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comments5.xml" ContentType="application/vnd.openxmlformats-officedocument.spreadsheetml.comments+xml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4.vml" ContentType="application/vnd.openxmlformats-officedocument.vmlDrawing"/>
  <Override PartName="/xl/drawings/_rels/drawing1.xml.rels" ContentType="application/vnd.openxmlformats-package.relationships+xml"/>
  <Override PartName="/xl/drawings/vmlDrawing5.vml" ContentType="application/vnd.openxmlformats-officedocument.vmlDrawing"/>
  <Override PartName="/xl/drawings/vmlDrawing6.vml" ContentType="application/vnd.openxmlformats-officedocument.vmlDrawi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omments6.xml" ContentType="application/vnd.openxmlformats-officedocument.spreadsheetml.comments+xml"/>
  <Override PartName="/xl/styles.xml" ContentType="application/vnd.openxmlformats-officedocument.spreadsheetml.styles+xml"/>
  <Override PartName="/xl/comments2.xml" ContentType="application/vnd.openxmlformats-officedocument.spreadsheetml.comments+xml"/>
  <Override PartName="/xl/comments9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AU DE BORD" sheetId="1" state="visible" r:id="rId3"/>
    <sheet name="CARNET DE SOUDURE" sheetId="2" state="visible" r:id="rId4"/>
    <sheet name="BARDAGE" sheetId="3" state="visible" r:id="rId5"/>
    <sheet name="ENROBAGE" sheetId="4" state="visible" r:id="rId6"/>
    <sheet name="PROGRAMME RT" sheetId="5" state="visible" r:id="rId7"/>
    <sheet name="JOINTS DE RÉPARATION" sheetId="6" state="visible" r:id="rId8"/>
    <sheet name="REGISTRE TUBES" sheetId="7" state="visible" r:id="rId9"/>
    <sheet name="SOUDEURS" sheetId="8" state="visible" r:id="rId10"/>
    <sheet name="PARAMÈTRES" sheetId="9" state="visible" r:id="rId11"/>
    <sheet name="دليل الاستخدام" sheetId="10" state="visible" r:id="rId12"/>
  </sheets>
  <definedNames>
    <definedName function="false" hidden="false" localSheetId="2" name="_xlnm.Print_Area" vbProcedure="false">BARDAGE!$A$1:$J$1989</definedName>
    <definedName function="false" hidden="false" localSheetId="1" name="_xlnm.Print_Titles" vbProcedure="false">'CARNET DE SOUDURE'!$5:$6</definedName>
    <definedName function="false" hidden="false" localSheetId="3" name="_xlnm.Print_Titles" vbProcedure="false">ENROBAGE!$6:$6</definedName>
    <definedName function="false" hidden="false" localSheetId="5" name="_xlnm.Print_Titles" vbProcedure="false">'JOINTS DE RÉPARATION'!$11:$11</definedName>
    <definedName function="false" hidden="false" localSheetId="4" name="_xlnm.Print_Titles" vbProcedure="false">'PROGRAMME RT'!$11:$11</definedName>
    <definedName function="false" hidden="false" localSheetId="6" name="_xlnm.Print_Titles" vbProcedure="false">'REGISTRE TUBES'!$6:$6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6" authorId="0">
      <text>
        <r>
          <rPr>
            <sz val="10"/>
            <rFont val="Arial"/>
            <family val="2"/>
          </rPr>
          <t xml:space="preserve">Un N° de joint en double sur la même ligne s'affiche en ROUGE.</t>
        </r>
      </text>
    </comment>
    <comment ref="F6" authorId="0">
      <text>
        <r>
          <rPr>
            <sz val="10"/>
            <rFont val="Arial"/>
            <family val="2"/>
          </rPr>
          <t xml:space="preserve">JN = joint de ligne · DJ = double joint (calculé depuis le N° de joint).</t>
        </r>
      </text>
    </comment>
    <comment ref="AA6" authorId="0">
      <text>
        <r>
          <rPr>
            <sz val="10"/>
            <rFont val="Arial"/>
            <family val="2"/>
          </rPr>
          <t xml:space="preserve">A = Accepté · R = À réparer · NX = Reprise de film · NT / CO = À couper</t>
        </r>
      </text>
    </comment>
    <comment ref="AB6" authorId="0">
      <text>
        <r>
          <rPr>
            <sz val="10"/>
            <rFont val="Arial"/>
            <family val="2"/>
          </rPr>
          <t xml:space="preserve">Localisation / nature du défaut RT (ex. (35-45) IP) et paramètres de réparation.</t>
        </r>
      </text>
    </comment>
    <comment ref="AQ6" authorId="0">
      <text>
        <r>
          <rPr>
            <sz val="10"/>
            <rFont val="Arial"/>
            <family val="2"/>
          </rPr>
          <t xml:space="preserve">Calculé automatiquement à partir des résultats VT / RT et des réparations.</t>
        </r>
      </text>
    </comment>
    <comment ref="AR6" authorId="0">
      <text>
        <r>
          <rPr>
            <sz val="10"/>
            <rFont val="Arial"/>
            <family val="2"/>
          </rPr>
          <t xml:space="preserve">Jours depuis le soudage (par rapport à la date de PROGRAMME RT) pour un joint non encore accepté. Rouge si &gt; 3 jours.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L6" authorId="0">
      <text>
        <r>
          <rPr>
            <sz val="10"/>
            <rFont val="Arial"/>
            <family val="2"/>
          </rPr>
          <t xml:space="preserve">Contrôle de continuité du revêtement (balai électrique / holiday detector).</t>
        </r>
      </text>
    </comment>
    <comment ref="M3" authorId="0">
      <text>
        <r>
          <rPr>
            <sz val="10"/>
            <rFont val="Arial"/>
            <family val="2"/>
          </rPr>
          <t xml:space="preserve">Nombre de joints du CARNET qui ne sont pas encore dans la liste ENROBAGE (à ajouter en bas).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4" authorId="0">
      <text>
        <r>
          <rPr>
            <sz val="10"/>
            <rFont val="Arial"/>
            <family val="2"/>
          </rPr>
          <t xml:space="preserve">Date du jour automatique. Pour voir un autre jour, tapez une date (ex. 17/09/2025).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4" authorId="0">
      <text>
        <r>
          <rPr>
            <sz val="10"/>
            <rFont val="Arial"/>
            <family val="2"/>
          </rPr>
          <t xml:space="preserve">Date du jour automatique. Pour voir un autre jour, tapez une date (ex. 17/09/2025).</t>
        </r>
      </text>
    </comment>
    <comment ref="L4" authorId="0">
      <text>
        <r>
          <rPr>
            <sz val="10"/>
            <rFont val="Arial"/>
            <family val="2"/>
          </rPr>
          <t xml:space="preserve">TOUS = historique complet · EN COURS = seulement les joints pas encore acceptés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6" authorId="0">
      <text>
        <r>
          <rPr>
            <sz val="10"/>
            <rFont val="Arial"/>
            <family val="2"/>
          </rPr>
          <t xml:space="preserve">Un N° de tube en double s'affiche en ROUGE.</t>
        </r>
      </text>
    </comment>
    <comment ref="E6" authorId="0">
      <text>
        <r>
          <rPr>
            <sz val="10"/>
            <rFont val="Arial"/>
            <family val="2"/>
          </rPr>
          <t xml:space="preserve">⚠ DIFFÉRENTE = le même N° de tube porte un autre N° de coulée dans le CARNET : à vérifier.</t>
        </r>
      </text>
    </comment>
  </commentList>
</comments>
</file>

<file path=xl/comments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12" authorId="0">
      <text>
        <r>
          <rPr>
            <sz val="10"/>
            <rFont val="Arial"/>
            <family val="2"/>
          </rPr>
          <t xml:space="preserve">Nombre total de joints prévus sur la ligne (sert au calcul de l'avancement).</t>
        </r>
      </text>
    </comment>
  </commentList>
</comments>
</file>

<file path=xl/sharedStrings.xml><?xml version="1.0" encoding="utf-8"?>
<sst xmlns="http://schemas.openxmlformats.org/spreadsheetml/2006/main" count="25976" uniqueCount="3315">
  <si>
    <t xml:space="preserve">TABLEAU DE BORD — SOUDAGE &amp; CONTRÔLE QUALITÉ PIPELINE</t>
  </si>
  <si>
    <t xml:space="preserve">Ligne / Puits :</t>
  </si>
  <si>
    <t xml:space="preserve">TOUTES</t>
  </si>
  <si>
    <t xml:space="preserve">◄ choisir une ligne pour filtrer tous les indicateurs</t>
  </si>
  <si>
    <t xml:space="preserve">JOINTS SOUDÉS (JN + DJ)</t>
  </si>
  <si>
    <t xml:space="preserve">AVANCEMENT SOUDAGE (JN)</t>
  </si>
  <si>
    <t xml:space="preserve">JOINTS RADIOGRAPHIÉS</t>
  </si>
  <si>
    <t xml:space="preserve">JOINTS ACCEPTÉS</t>
  </si>
  <si>
    <t xml:space="preserve">EN ATTENTE RT</t>
  </si>
  <si>
    <t xml:space="preserve">TAUX DE RÉPARATION</t>
  </si>
  <si>
    <t xml:space="preserve">À RÉPARER (R)</t>
  </si>
  <si>
    <t xml:space="preserve">COUPE (CO)</t>
  </si>
  <si>
    <t xml:space="preserve">NX – RT À REFAIRE</t>
  </si>
  <si>
    <t xml:space="preserve">RÉPARÉS → RT</t>
  </si>
  <si>
    <t xml:space="preserve">VT EN ATTENTE / REJETÉ</t>
  </si>
  <si>
    <t xml:space="preserve">À SOUDER (listés)</t>
  </si>
  <si>
    <t xml:space="preserve">SITUATION PAR LIGNE ET TYPE DE JOINT (JN / DJ)</t>
  </si>
  <si>
    <t xml:space="preserve">Ligne / type</t>
  </si>
  <si>
    <t xml:space="preserve">Joints estimés</t>
  </si>
  <si>
    <t xml:space="preserve">Joints soudés</t>
  </si>
  <si>
    <t xml:space="preserve">Reste à souder</t>
  </si>
  <si>
    <t xml:space="preserve">% Soudage</t>
  </si>
  <si>
    <t xml:space="preserve">Radiographiés</t>
  </si>
  <si>
    <t xml:space="preserve">% RT</t>
  </si>
  <si>
    <t xml:space="preserve">Acceptés</t>
  </si>
  <si>
    <t xml:space="preserve">% Accepté</t>
  </si>
  <si>
    <t xml:space="preserve">En réparation</t>
  </si>
  <si>
    <t xml:space="preserve">Taux de réparation</t>
  </si>
  <si>
    <t xml:space="preserve">En attente RT</t>
  </si>
  <si>
    <t xml:space="preserve">JN</t>
  </si>
  <si>
    <t xml:space="preserve">DJ</t>
  </si>
  <si>
    <t xml:space="preserve">TOTAL</t>
  </si>
  <si>
    <t xml:space="preserve">Statut</t>
  </si>
  <si>
    <t xml:space="preserve">Joints</t>
  </si>
  <si>
    <t xml:space="preserve">%</t>
  </si>
  <si>
    <t xml:space="preserve">ACCEPTÉ</t>
  </si>
  <si>
    <t xml:space="preserve">À RADIOGRAPHIER</t>
  </si>
  <si>
    <t xml:space="preserve">RÉPARÉ – À RADIOGRAPHIER</t>
  </si>
  <si>
    <t xml:space="preserve">À RÉPARER</t>
  </si>
  <si>
    <t xml:space="preserve">COUPE – À RESOUDER</t>
  </si>
  <si>
    <t xml:space="preserve">VT REJETÉ – À REPRENDRE</t>
  </si>
  <si>
    <t xml:space="preserve">VT EN ATTENTE</t>
  </si>
  <si>
    <t xml:space="preserve">À SOUDER</t>
  </si>
  <si>
    <t xml:space="preserve">PERFORMANCE DES SOUDEURS (toutes lignes)</t>
  </si>
  <si>
    <t xml:space="preserve">WR / équipe</t>
  </si>
  <si>
    <t xml:space="preserve">Nom(s)</t>
  </si>
  <si>
    <t xml:space="preserve">Rejetés</t>
  </si>
  <si>
    <t xml:space="preserve">Évaluation</t>
  </si>
  <si>
    <t xml:space="preserve">CARNET DE SOUDURE — PIPELINE</t>
  </si>
  <si>
    <t xml:space="preserve">Joints :</t>
  </si>
  <si>
    <t xml:space="preserve">Soudés :</t>
  </si>
  <si>
    <t xml:space="preserve">Acceptés :</t>
  </si>
  <si>
    <t xml:space="preserve">À radiographier :</t>
  </si>
  <si>
    <t xml:space="preserve">À réparer :</t>
  </si>
  <si>
    <t xml:space="preserve">IDENTIFICATION DU JOINT</t>
  </si>
  <si>
    <t xml:space="preserve">SOUDAGE</t>
  </si>
  <si>
    <t xml:space="preserve">CONTRÔLE VISUEL (VT)</t>
  </si>
  <si>
    <t xml:space="preserve">RADIOGRAPHIE RT-01</t>
  </si>
  <si>
    <t xml:space="preserve">RÉPARATION 1 → VT → RT</t>
  </si>
  <si>
    <t xml:space="preserve">RÉPARATION 2 → VT → RT</t>
  </si>
  <si>
    <t xml:space="preserve">PROGRAMME &amp; SUIVI</t>
  </si>
  <si>
    <t xml:space="preserve">N°</t>
  </si>
  <si>
    <t xml:space="preserve">Ligne</t>
  </si>
  <si>
    <t xml:space="preserve">Tronçon</t>
  </si>
  <si>
    <t xml:space="preserve">PK</t>
  </si>
  <si>
    <t xml:space="preserve">N° Joint</t>
  </si>
  <si>
    <t xml:space="preserve">Type</t>
  </si>
  <si>
    <t xml:space="preserve">Zone</t>
  </si>
  <si>
    <t xml:space="preserve">Ø</t>
  </si>
  <si>
    <t xml:space="preserve">Ép. (mm)</t>
  </si>
  <si>
    <t xml:space="preserve">Nuance</t>
  </si>
  <si>
    <t xml:space="preserve">WPS</t>
  </si>
  <si>
    <t xml:space="preserve">Tube 1</t>
  </si>
  <si>
    <t xml:space="preserve">Coulée 1</t>
  </si>
  <si>
    <t xml:space="preserve">Long. 1</t>
  </si>
  <si>
    <t xml:space="preserve">Tube 2</t>
  </si>
  <si>
    <t xml:space="preserve">Coulée 2</t>
  </si>
  <si>
    <t xml:space="preserve">Long. 2</t>
  </si>
  <si>
    <t xml:space="preserve">WR 1ère passe</t>
  </si>
  <si>
    <t xml:space="preserve">WR 2ème passe</t>
  </si>
  <si>
    <t xml:space="preserve">WR B+F</t>
  </si>
  <si>
    <t xml:space="preserve">Date soudage</t>
  </si>
  <si>
    <t xml:space="preserve">VT Date</t>
  </si>
  <si>
    <t xml:space="preserve">VT PV N°</t>
  </si>
  <si>
    <t xml:space="preserve">VT Rés.</t>
  </si>
  <si>
    <t xml:space="preserve">RT1 Date</t>
  </si>
  <si>
    <t xml:space="preserve">RT1 PV N°</t>
  </si>
  <si>
    <t xml:space="preserve">RT1 Rés.</t>
  </si>
  <si>
    <t xml:space="preserve">Défaut / paramètre rép.</t>
  </si>
  <si>
    <t xml:space="preserve">R1 WR</t>
  </si>
  <si>
    <t xml:space="preserve">R1 VT Rés.</t>
  </si>
  <si>
    <t xml:space="preserve">R1 RT Date</t>
  </si>
  <si>
    <t xml:space="preserve">R1 RT PV N°</t>
  </si>
  <si>
    <t xml:space="preserve">R1 RT Rés.</t>
  </si>
  <si>
    <t xml:space="preserve">R2 WR</t>
  </si>
  <si>
    <t xml:space="preserve">R2 VT Rés.</t>
  </si>
  <si>
    <t xml:space="preserve">R2 RT Date</t>
  </si>
  <si>
    <t xml:space="preserve">R2 RT PV N°</t>
  </si>
  <si>
    <t xml:space="preserve">R2 RT Rés.</t>
  </si>
  <si>
    <t xml:space="preserve">RT programmé le</t>
  </si>
  <si>
    <t xml:space="preserve">Remarques</t>
  </si>
  <si>
    <t xml:space="preserve">Nb RT</t>
  </si>
  <si>
    <t xml:space="preserve">Dernier RT</t>
  </si>
  <si>
    <t xml:space="preserve">STATUT</t>
  </si>
  <si>
    <t xml:space="preserve">Attente (j)</t>
  </si>
  <si>
    <t xml:space="preserve">hRT</t>
  </si>
  <si>
    <t xml:space="preserve">hRTn</t>
  </si>
  <si>
    <t xml:space="preserve">hREP</t>
  </si>
  <si>
    <t xml:space="preserve">hREPn</t>
  </si>
  <si>
    <t xml:space="preserve">hKEY</t>
  </si>
  <si>
    <t xml:space="preserve">MFD-ISW → MFD-CPF</t>
  </si>
  <si>
    <t xml:space="preserve">JN°001</t>
  </si>
  <si>
    <t xml:space="preserve">JN°002</t>
  </si>
  <si>
    <t xml:space="preserve">JN°003</t>
  </si>
  <si>
    <t xml:space="preserve">JN°004</t>
  </si>
  <si>
    <t xml:space="preserve">JN°005</t>
  </si>
  <si>
    <t xml:space="preserve">JN°006</t>
  </si>
  <si>
    <t xml:space="preserve">JN°007</t>
  </si>
  <si>
    <t xml:space="preserve">JN°008</t>
  </si>
  <si>
    <t xml:space="preserve">JN°009</t>
  </si>
  <si>
    <t xml:space="preserve">JN°010</t>
  </si>
  <si>
    <t xml:space="preserve">JN°011</t>
  </si>
  <si>
    <t xml:space="preserve">JN°012</t>
  </si>
  <si>
    <t xml:space="preserve">JN°013</t>
  </si>
  <si>
    <t xml:space="preserve">JN°014</t>
  </si>
  <si>
    <t xml:space="preserve">JN°015</t>
  </si>
  <si>
    <t xml:space="preserve">JN°016</t>
  </si>
  <si>
    <t xml:space="preserve">JN°017</t>
  </si>
  <si>
    <t xml:space="preserve">JN°018</t>
  </si>
  <si>
    <t xml:space="preserve">JN°019</t>
  </si>
  <si>
    <t xml:space="preserve">JN°020</t>
  </si>
  <si>
    <t xml:space="preserve">JN°021</t>
  </si>
  <si>
    <t xml:space="preserve">JN°022</t>
  </si>
  <si>
    <t xml:space="preserve">JN°023</t>
  </si>
  <si>
    <t xml:space="preserve">JN°024</t>
  </si>
  <si>
    <t xml:space="preserve">JN°025</t>
  </si>
  <si>
    <t xml:space="preserve">JN°026</t>
  </si>
  <si>
    <t xml:space="preserve">JN°027</t>
  </si>
  <si>
    <t xml:space="preserve">JN°028</t>
  </si>
  <si>
    <t xml:space="preserve">JN°029</t>
  </si>
  <si>
    <t xml:space="preserve">JN°030</t>
  </si>
  <si>
    <t xml:space="preserve">JN°031</t>
  </si>
  <si>
    <t xml:space="preserve">JN°032</t>
  </si>
  <si>
    <t xml:space="preserve">JN°033</t>
  </si>
  <si>
    <t xml:space="preserve">JN°034</t>
  </si>
  <si>
    <t xml:space="preserve">JN°035</t>
  </si>
  <si>
    <t xml:space="preserve">JN°036</t>
  </si>
  <si>
    <t xml:space="preserve">JN°037</t>
  </si>
  <si>
    <t xml:space="preserve">JN°038</t>
  </si>
  <si>
    <t xml:space="preserve">JN°039</t>
  </si>
  <si>
    <t xml:space="preserve">JN°040</t>
  </si>
  <si>
    <t xml:space="preserve">JN°041</t>
  </si>
  <si>
    <t xml:space="preserve">JN°042</t>
  </si>
  <si>
    <t xml:space="preserve">JN°043</t>
  </si>
  <si>
    <t xml:space="preserve">JN°044</t>
  </si>
  <si>
    <t xml:space="preserve">JN°045</t>
  </si>
  <si>
    <t xml:space="preserve">JN°046</t>
  </si>
  <si>
    <t xml:space="preserve">JN°047</t>
  </si>
  <si>
    <t xml:space="preserve">JN°048</t>
  </si>
  <si>
    <t xml:space="preserve">JN°049</t>
  </si>
  <si>
    <t xml:space="preserve">JN°050</t>
  </si>
  <si>
    <t xml:space="preserve">JN°051</t>
  </si>
  <si>
    <t xml:space="preserve">JN°052</t>
  </si>
  <si>
    <t xml:space="preserve">JN°053</t>
  </si>
  <si>
    <t xml:space="preserve">JN°054</t>
  </si>
  <si>
    <t xml:space="preserve">JN°055</t>
  </si>
  <si>
    <t xml:space="preserve">JN°056</t>
  </si>
  <si>
    <t xml:space="preserve">JN°057</t>
  </si>
  <si>
    <t xml:space="preserve">JN°058</t>
  </si>
  <si>
    <t xml:space="preserve">JN°059</t>
  </si>
  <si>
    <t xml:space="preserve">JN°060</t>
  </si>
  <si>
    <t xml:space="preserve">JN°061</t>
  </si>
  <si>
    <t xml:space="preserve">JN°062</t>
  </si>
  <si>
    <t xml:space="preserve">JN°063</t>
  </si>
  <si>
    <t xml:space="preserve">JN°064</t>
  </si>
  <si>
    <t xml:space="preserve">JN°065</t>
  </si>
  <si>
    <t xml:space="preserve">JN°066</t>
  </si>
  <si>
    <t xml:space="preserve">JN°067</t>
  </si>
  <si>
    <t xml:space="preserve">JN°068</t>
  </si>
  <si>
    <t xml:space="preserve">JN°069</t>
  </si>
  <si>
    <t xml:space="preserve">JN°070</t>
  </si>
  <si>
    <t xml:space="preserve">JN°071</t>
  </si>
  <si>
    <t xml:space="preserve">JN°072</t>
  </si>
  <si>
    <t xml:space="preserve">JN°073</t>
  </si>
  <si>
    <t xml:space="preserve">JN°074</t>
  </si>
  <si>
    <t xml:space="preserve">JN°075</t>
  </si>
  <si>
    <t xml:space="preserve">JN°076</t>
  </si>
  <si>
    <t xml:space="preserve">JN°077</t>
  </si>
  <si>
    <t xml:space="preserve">JN°078</t>
  </si>
  <si>
    <t xml:space="preserve">JN°079</t>
  </si>
  <si>
    <t xml:space="preserve">JN°080</t>
  </si>
  <si>
    <t xml:space="preserve">JN°081</t>
  </si>
  <si>
    <t xml:space="preserve">JN°082</t>
  </si>
  <si>
    <t xml:space="preserve">JN°083</t>
  </si>
  <si>
    <t xml:space="preserve">JN°084</t>
  </si>
  <si>
    <t xml:space="preserve">JN°085</t>
  </si>
  <si>
    <t xml:space="preserve">JN°086</t>
  </si>
  <si>
    <t xml:space="preserve">JN°087</t>
  </si>
  <si>
    <t xml:space="preserve">JN°088</t>
  </si>
  <si>
    <t xml:space="preserve">JN°089</t>
  </si>
  <si>
    <t xml:space="preserve">JN°090</t>
  </si>
  <si>
    <t xml:space="preserve">JN°091</t>
  </si>
  <si>
    <t xml:space="preserve">JN°092</t>
  </si>
  <si>
    <t xml:space="preserve">JN°093</t>
  </si>
  <si>
    <t xml:space="preserve">JN°094</t>
  </si>
  <si>
    <t xml:space="preserve">JN°095</t>
  </si>
  <si>
    <t xml:space="preserve">JN°096</t>
  </si>
  <si>
    <t xml:space="preserve">JN°097</t>
  </si>
  <si>
    <t xml:space="preserve">JN°098</t>
  </si>
  <si>
    <t xml:space="preserve">JN°099</t>
  </si>
  <si>
    <t xml:space="preserve">JN°100</t>
  </si>
  <si>
    <t xml:space="preserve">JN°101</t>
  </si>
  <si>
    <t xml:space="preserve">JN°102</t>
  </si>
  <si>
    <t xml:space="preserve">JN°103</t>
  </si>
  <si>
    <t xml:space="preserve">JN°104</t>
  </si>
  <si>
    <t xml:space="preserve">JN°105</t>
  </si>
  <si>
    <t xml:space="preserve">JN°106</t>
  </si>
  <si>
    <t xml:space="preserve">JN°107</t>
  </si>
  <si>
    <t xml:space="preserve">JN°108</t>
  </si>
  <si>
    <t xml:space="preserve">JN°109</t>
  </si>
  <si>
    <t xml:space="preserve">JN°110</t>
  </si>
  <si>
    <t xml:space="preserve">JN°111</t>
  </si>
  <si>
    <t xml:space="preserve">JN°112</t>
  </si>
  <si>
    <t xml:space="preserve">JN°113</t>
  </si>
  <si>
    <t xml:space="preserve">JN°114</t>
  </si>
  <si>
    <t xml:space="preserve">JN°115</t>
  </si>
  <si>
    <t xml:space="preserve">JN°116</t>
  </si>
  <si>
    <t xml:space="preserve">JN°117</t>
  </si>
  <si>
    <t xml:space="preserve">JN°118</t>
  </si>
  <si>
    <t xml:space="preserve">JN°119</t>
  </si>
  <si>
    <t xml:space="preserve">JN°120</t>
  </si>
  <si>
    <t xml:space="preserve">JN°121</t>
  </si>
  <si>
    <t xml:space="preserve">JN°122</t>
  </si>
  <si>
    <t xml:space="preserve">JN°123</t>
  </si>
  <si>
    <t xml:space="preserve">JN°124</t>
  </si>
  <si>
    <t xml:space="preserve">JN°125</t>
  </si>
  <si>
    <t xml:space="preserve">JN°126</t>
  </si>
  <si>
    <t xml:space="preserve">JN°127</t>
  </si>
  <si>
    <t xml:space="preserve">JN°128</t>
  </si>
  <si>
    <t xml:space="preserve">JN°129</t>
  </si>
  <si>
    <t xml:space="preserve">JN°130</t>
  </si>
  <si>
    <t xml:space="preserve">JN°131</t>
  </si>
  <si>
    <t xml:space="preserve">JN°132</t>
  </si>
  <si>
    <t xml:space="preserve">JN°133</t>
  </si>
  <si>
    <t xml:space="preserve">JN°134</t>
  </si>
  <si>
    <t xml:space="preserve">JN°135</t>
  </si>
  <si>
    <t xml:space="preserve">JN°136</t>
  </si>
  <si>
    <t xml:space="preserve">JN°137</t>
  </si>
  <si>
    <t xml:space="preserve">JN°138</t>
  </si>
  <si>
    <t xml:space="preserve">JN°139</t>
  </si>
  <si>
    <t xml:space="preserve">JN°140</t>
  </si>
  <si>
    <t xml:space="preserve">JN°141</t>
  </si>
  <si>
    <t xml:space="preserve">JN°142</t>
  </si>
  <si>
    <t xml:space="preserve">JN°143</t>
  </si>
  <si>
    <t xml:space="preserve">JN°144</t>
  </si>
  <si>
    <t xml:space="preserve">JN°145</t>
  </si>
  <si>
    <t xml:space="preserve">JN°146</t>
  </si>
  <si>
    <t xml:space="preserve">JN°147</t>
  </si>
  <si>
    <t xml:space="preserve">JN°148</t>
  </si>
  <si>
    <t xml:space="preserve">JN°149</t>
  </si>
  <si>
    <t xml:space="preserve">JN°150</t>
  </si>
  <si>
    <t xml:space="preserve">JN°151</t>
  </si>
  <si>
    <t xml:space="preserve">JN°152</t>
  </si>
  <si>
    <t xml:space="preserve">JN°153</t>
  </si>
  <si>
    <t xml:space="preserve">JN°154</t>
  </si>
  <si>
    <t xml:space="preserve">JN°155</t>
  </si>
  <si>
    <t xml:space="preserve">JN°156</t>
  </si>
  <si>
    <t xml:space="preserve">JN°157</t>
  </si>
  <si>
    <t xml:space="preserve">JN°158</t>
  </si>
  <si>
    <t xml:space="preserve">JN°159</t>
  </si>
  <si>
    <t xml:space="preserve">JN°160</t>
  </si>
  <si>
    <t xml:space="preserve">JN°161</t>
  </si>
  <si>
    <t xml:space="preserve">JN°162</t>
  </si>
  <si>
    <t xml:space="preserve">JN°163</t>
  </si>
  <si>
    <t xml:space="preserve">JN°164</t>
  </si>
  <si>
    <t xml:space="preserve">JN°165</t>
  </si>
  <si>
    <t xml:space="preserve">JN°166</t>
  </si>
  <si>
    <t xml:space="preserve">JN°167</t>
  </si>
  <si>
    <t xml:space="preserve">JN°168</t>
  </si>
  <si>
    <t xml:space="preserve">JN°169</t>
  </si>
  <si>
    <t xml:space="preserve">JN°170</t>
  </si>
  <si>
    <t xml:space="preserve">JN°171</t>
  </si>
  <si>
    <t xml:space="preserve">JN°172</t>
  </si>
  <si>
    <t xml:space="preserve">JN°173</t>
  </si>
  <si>
    <t xml:space="preserve">JN°174</t>
  </si>
  <si>
    <t xml:space="preserve">JN°175</t>
  </si>
  <si>
    <t xml:space="preserve">JN°176</t>
  </si>
  <si>
    <t xml:space="preserve">JN°177</t>
  </si>
  <si>
    <t xml:space="preserve">JN°178</t>
  </si>
  <si>
    <t xml:space="preserve">JN°179</t>
  </si>
  <si>
    <t xml:space="preserve">JN°180</t>
  </si>
  <si>
    <t xml:space="preserve">JN°181</t>
  </si>
  <si>
    <t xml:space="preserve">JN°182</t>
  </si>
  <si>
    <t xml:space="preserve">JN°183</t>
  </si>
  <si>
    <t xml:space="preserve">JN°184</t>
  </si>
  <si>
    <t xml:space="preserve">JN°185</t>
  </si>
  <si>
    <t xml:space="preserve">JN°186</t>
  </si>
  <si>
    <t xml:space="preserve">JN°187</t>
  </si>
  <si>
    <t xml:space="preserve">JN°188</t>
  </si>
  <si>
    <t xml:space="preserve">JN°189</t>
  </si>
  <si>
    <t xml:space="preserve">JN°190</t>
  </si>
  <si>
    <t xml:space="preserve">JN°191</t>
  </si>
  <si>
    <t xml:space="preserve">JN°192</t>
  </si>
  <si>
    <t xml:space="preserve">JN°193</t>
  </si>
  <si>
    <t xml:space="preserve">JN°194</t>
  </si>
  <si>
    <t xml:space="preserve">JN°195</t>
  </si>
  <si>
    <t xml:space="preserve">JN°196</t>
  </si>
  <si>
    <t xml:space="preserve">JN°197</t>
  </si>
  <si>
    <t xml:space="preserve">JN°198</t>
  </si>
  <si>
    <t xml:space="preserve">JN°199</t>
  </si>
  <si>
    <t xml:space="preserve">JN°200</t>
  </si>
  <si>
    <t xml:space="preserve">JN°201</t>
  </si>
  <si>
    <t xml:space="preserve">JN°202</t>
  </si>
  <si>
    <t xml:space="preserve">JN°203</t>
  </si>
  <si>
    <t xml:space="preserve">JN°204</t>
  </si>
  <si>
    <t xml:space="preserve">JN°205</t>
  </si>
  <si>
    <t xml:space="preserve">JN°206</t>
  </si>
  <si>
    <t xml:space="preserve">JN°207</t>
  </si>
  <si>
    <t xml:space="preserve">JN°208</t>
  </si>
  <si>
    <t xml:space="preserve">JN°209</t>
  </si>
  <si>
    <t xml:space="preserve">JN°210</t>
  </si>
  <si>
    <t xml:space="preserve">JN°211</t>
  </si>
  <si>
    <t xml:space="preserve">JN°212</t>
  </si>
  <si>
    <t xml:space="preserve">JN°213</t>
  </si>
  <si>
    <t xml:space="preserve">JN°214</t>
  </si>
  <si>
    <t xml:space="preserve">JN°215</t>
  </si>
  <si>
    <t xml:space="preserve">JN°216</t>
  </si>
  <si>
    <t xml:space="preserve">JN°217</t>
  </si>
  <si>
    <t xml:space="preserve">JN°218</t>
  </si>
  <si>
    <t xml:space="preserve">JN°219</t>
  </si>
  <si>
    <t xml:space="preserve">JN°220</t>
  </si>
  <si>
    <t xml:space="preserve">JN°221</t>
  </si>
  <si>
    <t xml:space="preserve">JN°222</t>
  </si>
  <si>
    <t xml:space="preserve">JN°223</t>
  </si>
  <si>
    <t xml:space="preserve">JN°224</t>
  </si>
  <si>
    <t xml:space="preserve">JN°225</t>
  </si>
  <si>
    <t xml:space="preserve">JN°226</t>
  </si>
  <si>
    <t xml:space="preserve">JN°227</t>
  </si>
  <si>
    <t xml:space="preserve">JN°228</t>
  </si>
  <si>
    <t xml:space="preserve">JN°229</t>
  </si>
  <si>
    <t xml:space="preserve">JN°230</t>
  </si>
  <si>
    <t xml:space="preserve">JN°231</t>
  </si>
  <si>
    <t xml:space="preserve">JN°232</t>
  </si>
  <si>
    <t xml:space="preserve">JN°233</t>
  </si>
  <si>
    <t xml:space="preserve">JN°234</t>
  </si>
  <si>
    <t xml:space="preserve">JN°235</t>
  </si>
  <si>
    <t xml:space="preserve">JN°236</t>
  </si>
  <si>
    <t xml:space="preserve">JN°237</t>
  </si>
  <si>
    <t xml:space="preserve">JN°238</t>
  </si>
  <si>
    <t xml:space="preserve">JN°239</t>
  </si>
  <si>
    <t xml:space="preserve">JN°240</t>
  </si>
  <si>
    <t xml:space="preserve">JN°241</t>
  </si>
  <si>
    <t xml:space="preserve">JN°242</t>
  </si>
  <si>
    <t xml:space="preserve">JN°243</t>
  </si>
  <si>
    <t xml:space="preserve">JN°244</t>
  </si>
  <si>
    <t xml:space="preserve">JN°245</t>
  </si>
  <si>
    <t xml:space="preserve">JN°246</t>
  </si>
  <si>
    <t xml:space="preserve">JN°247</t>
  </si>
  <si>
    <t xml:space="preserve">JN°248</t>
  </si>
  <si>
    <t xml:space="preserve">JN°249</t>
  </si>
  <si>
    <t xml:space="preserve">JN°250</t>
  </si>
  <si>
    <t xml:space="preserve">JN°251</t>
  </si>
  <si>
    <t xml:space="preserve">JN°252</t>
  </si>
  <si>
    <t xml:space="preserve">JN°253</t>
  </si>
  <si>
    <t xml:space="preserve">JN°254</t>
  </si>
  <si>
    <t xml:space="preserve">JN°255</t>
  </si>
  <si>
    <t xml:space="preserve">JN°256</t>
  </si>
  <si>
    <t xml:space="preserve">JN°257</t>
  </si>
  <si>
    <t xml:space="preserve">JN°258</t>
  </si>
  <si>
    <t xml:space="preserve">JN°259</t>
  </si>
  <si>
    <t xml:space="preserve">JN°260</t>
  </si>
  <si>
    <t xml:space="preserve">JN°261</t>
  </si>
  <si>
    <t xml:space="preserve">JN°262</t>
  </si>
  <si>
    <t xml:space="preserve">JN°263</t>
  </si>
  <si>
    <t xml:space="preserve">JN°264</t>
  </si>
  <si>
    <t xml:space="preserve">JN°265</t>
  </si>
  <si>
    <t xml:space="preserve">JN°266</t>
  </si>
  <si>
    <t xml:space="preserve">JN°267</t>
  </si>
  <si>
    <t xml:space="preserve">JN°268</t>
  </si>
  <si>
    <t xml:space="preserve">JN°269</t>
  </si>
  <si>
    <t xml:space="preserve">JN°270</t>
  </si>
  <si>
    <t xml:space="preserve">JN°271</t>
  </si>
  <si>
    <t xml:space="preserve">JN°272</t>
  </si>
  <si>
    <t xml:space="preserve">JN°273</t>
  </si>
  <si>
    <t xml:space="preserve">JN°274</t>
  </si>
  <si>
    <t xml:space="preserve">JN°275</t>
  </si>
  <si>
    <t xml:space="preserve">JN°276</t>
  </si>
  <si>
    <t xml:space="preserve">JN°277</t>
  </si>
  <si>
    <t xml:space="preserve">JN°278</t>
  </si>
  <si>
    <t xml:space="preserve">JN°279</t>
  </si>
  <si>
    <t xml:space="preserve">JN°280</t>
  </si>
  <si>
    <t xml:space="preserve">JN°281</t>
  </si>
  <si>
    <t xml:space="preserve">JN°282</t>
  </si>
  <si>
    <t xml:space="preserve">JN°283</t>
  </si>
  <si>
    <t xml:space="preserve">JN°284</t>
  </si>
  <si>
    <t xml:space="preserve">JN°285</t>
  </si>
  <si>
    <t xml:space="preserve">JN°286</t>
  </si>
  <si>
    <t xml:space="preserve">JN°287</t>
  </si>
  <si>
    <t xml:space="preserve">JN°288</t>
  </si>
  <si>
    <t xml:space="preserve">JN°289</t>
  </si>
  <si>
    <t xml:space="preserve">JN°290</t>
  </si>
  <si>
    <t xml:space="preserve">JN°291</t>
  </si>
  <si>
    <t xml:space="preserve">JN°292</t>
  </si>
  <si>
    <t xml:space="preserve">JN°293</t>
  </si>
  <si>
    <t xml:space="preserve">JN°294</t>
  </si>
  <si>
    <t xml:space="preserve">JN°295</t>
  </si>
  <si>
    <t xml:space="preserve">JN°296</t>
  </si>
  <si>
    <t xml:space="preserve">JN°297</t>
  </si>
  <si>
    <t xml:space="preserve">JN°298</t>
  </si>
  <si>
    <t xml:space="preserve">JN°299</t>
  </si>
  <si>
    <t xml:space="preserve">JN°300</t>
  </si>
  <si>
    <t xml:space="preserve">JN°301</t>
  </si>
  <si>
    <t xml:space="preserve">JN°302</t>
  </si>
  <si>
    <t xml:space="preserve">JN°303</t>
  </si>
  <si>
    <t xml:space="preserve">JN°304</t>
  </si>
  <si>
    <t xml:space="preserve">JN°305</t>
  </si>
  <si>
    <t xml:space="preserve">JN°306</t>
  </si>
  <si>
    <t xml:space="preserve">JN°307</t>
  </si>
  <si>
    <t xml:space="preserve">JN°308</t>
  </si>
  <si>
    <t xml:space="preserve">JN°309</t>
  </si>
  <si>
    <t xml:space="preserve">JN°310</t>
  </si>
  <si>
    <t xml:space="preserve">JN°311</t>
  </si>
  <si>
    <t xml:space="preserve">JN°312</t>
  </si>
  <si>
    <t xml:space="preserve">JN°313</t>
  </si>
  <si>
    <t xml:space="preserve">JN°314</t>
  </si>
  <si>
    <t xml:space="preserve">JN°315</t>
  </si>
  <si>
    <t xml:space="preserve">JN°316</t>
  </si>
  <si>
    <t xml:space="preserve">JN°317</t>
  </si>
  <si>
    <t xml:space="preserve">JN°318</t>
  </si>
  <si>
    <t xml:space="preserve">JN°319</t>
  </si>
  <si>
    <t xml:space="preserve">JN°320</t>
  </si>
  <si>
    <t xml:space="preserve">JN°321</t>
  </si>
  <si>
    <t xml:space="preserve">JN°322</t>
  </si>
  <si>
    <t xml:space="preserve">JN°323</t>
  </si>
  <si>
    <t xml:space="preserve">JN°324</t>
  </si>
  <si>
    <t xml:space="preserve">JN°325</t>
  </si>
  <si>
    <t xml:space="preserve">JN°326</t>
  </si>
  <si>
    <t xml:space="preserve">JN°327</t>
  </si>
  <si>
    <t xml:space="preserve">JN°328</t>
  </si>
  <si>
    <t xml:space="preserve">JN°329</t>
  </si>
  <si>
    <t xml:space="preserve">JN°330</t>
  </si>
  <si>
    <t xml:space="preserve">JN°331</t>
  </si>
  <si>
    <t xml:space="preserve">JN°332</t>
  </si>
  <si>
    <t xml:space="preserve">JN°333</t>
  </si>
  <si>
    <t xml:space="preserve">JN°334</t>
  </si>
  <si>
    <t xml:space="preserve">JN°335</t>
  </si>
  <si>
    <t xml:space="preserve">JN°336</t>
  </si>
  <si>
    <t xml:space="preserve">JN°337</t>
  </si>
  <si>
    <t xml:space="preserve">JN°338</t>
  </si>
  <si>
    <t xml:space="preserve">JN°339</t>
  </si>
  <si>
    <t xml:space="preserve">JN°340</t>
  </si>
  <si>
    <t xml:space="preserve">JN°341</t>
  </si>
  <si>
    <t xml:space="preserve">JN°342</t>
  </si>
  <si>
    <t xml:space="preserve">JN°343</t>
  </si>
  <si>
    <t xml:space="preserve">JN°344</t>
  </si>
  <si>
    <t xml:space="preserve">JN°345</t>
  </si>
  <si>
    <t xml:space="preserve">JN°346</t>
  </si>
  <si>
    <t xml:space="preserve">JN°347</t>
  </si>
  <si>
    <t xml:space="preserve">JN°348</t>
  </si>
  <si>
    <t xml:space="preserve">JN°349</t>
  </si>
  <si>
    <t xml:space="preserve">JN°350</t>
  </si>
  <si>
    <t xml:space="preserve">JN°351</t>
  </si>
  <si>
    <t xml:space="preserve">JN°352</t>
  </si>
  <si>
    <t xml:space="preserve">JN°353</t>
  </si>
  <si>
    <t xml:space="preserve">JN°354</t>
  </si>
  <si>
    <t xml:space="preserve">JN°355</t>
  </si>
  <si>
    <t xml:space="preserve">JN°356</t>
  </si>
  <si>
    <t xml:space="preserve">JN°357</t>
  </si>
  <si>
    <t xml:space="preserve">JN°358</t>
  </si>
  <si>
    <t xml:space="preserve">JN°359</t>
  </si>
  <si>
    <t xml:space="preserve">JN°360</t>
  </si>
  <si>
    <t xml:space="preserve">JN°361</t>
  </si>
  <si>
    <t xml:space="preserve">JN°362</t>
  </si>
  <si>
    <t xml:space="preserve">JN°363</t>
  </si>
  <si>
    <t xml:space="preserve">JN°364</t>
  </si>
  <si>
    <t xml:space="preserve">JN°365</t>
  </si>
  <si>
    <t xml:space="preserve">JN°366</t>
  </si>
  <si>
    <t xml:space="preserve">JN°367</t>
  </si>
  <si>
    <t xml:space="preserve">JN°368</t>
  </si>
  <si>
    <t xml:space="preserve">JN°369</t>
  </si>
  <si>
    <t xml:space="preserve">JN°370</t>
  </si>
  <si>
    <t xml:space="preserve">JN°371</t>
  </si>
  <si>
    <t xml:space="preserve">JN°372</t>
  </si>
  <si>
    <t xml:space="preserve">JN°373</t>
  </si>
  <si>
    <t xml:space="preserve">JN°374</t>
  </si>
  <si>
    <t xml:space="preserve">JN°375</t>
  </si>
  <si>
    <t xml:space="preserve">JN°376</t>
  </si>
  <si>
    <t xml:space="preserve">JN°377</t>
  </si>
  <si>
    <t xml:space="preserve">JN°378</t>
  </si>
  <si>
    <t xml:space="preserve">JN°379</t>
  </si>
  <si>
    <t xml:space="preserve">JN°380</t>
  </si>
  <si>
    <t xml:space="preserve">JN°381</t>
  </si>
  <si>
    <t xml:space="preserve">JN°382</t>
  </si>
  <si>
    <t xml:space="preserve">JN°383</t>
  </si>
  <si>
    <t xml:space="preserve">JN°384</t>
  </si>
  <si>
    <t xml:space="preserve">JN°385</t>
  </si>
  <si>
    <t xml:space="preserve">JN°386</t>
  </si>
  <si>
    <t xml:space="preserve">JN°387</t>
  </si>
  <si>
    <t xml:space="preserve">JN°388</t>
  </si>
  <si>
    <t xml:space="preserve">JN°389</t>
  </si>
  <si>
    <t xml:space="preserve">JN°390</t>
  </si>
  <si>
    <t xml:space="preserve">JN°391</t>
  </si>
  <si>
    <t xml:space="preserve">JN°392</t>
  </si>
  <si>
    <t xml:space="preserve">JN°393</t>
  </si>
  <si>
    <t xml:space="preserve">JN°394</t>
  </si>
  <si>
    <t xml:space="preserve">JN°395</t>
  </si>
  <si>
    <t xml:space="preserve">JN°396</t>
  </si>
  <si>
    <t xml:space="preserve">JN°397</t>
  </si>
  <si>
    <t xml:space="preserve">JN°398</t>
  </si>
  <si>
    <t xml:space="preserve">JN°399</t>
  </si>
  <si>
    <t xml:space="preserve">JN°400</t>
  </si>
  <si>
    <t xml:space="preserve">JN°401</t>
  </si>
  <si>
    <t xml:space="preserve">JN°402</t>
  </si>
  <si>
    <t xml:space="preserve">JN°403</t>
  </si>
  <si>
    <t xml:space="preserve">JN°404</t>
  </si>
  <si>
    <t xml:space="preserve">JN°405</t>
  </si>
  <si>
    <t xml:space="preserve">JN°406</t>
  </si>
  <si>
    <t xml:space="preserve">JN°407</t>
  </si>
  <si>
    <t xml:space="preserve">JN°408</t>
  </si>
  <si>
    <t xml:space="preserve">JN°409</t>
  </si>
  <si>
    <t xml:space="preserve">JN°410</t>
  </si>
  <si>
    <t xml:space="preserve">JN°411</t>
  </si>
  <si>
    <t xml:space="preserve">JN°412</t>
  </si>
  <si>
    <t xml:space="preserve">JN°413</t>
  </si>
  <si>
    <t xml:space="preserve">JN°414</t>
  </si>
  <si>
    <t xml:space="preserve">JN°415</t>
  </si>
  <si>
    <t xml:space="preserve">JN°416</t>
  </si>
  <si>
    <t xml:space="preserve">JN°417</t>
  </si>
  <si>
    <t xml:space="preserve">JN°418</t>
  </si>
  <si>
    <t xml:space="preserve">JN°419</t>
  </si>
  <si>
    <t xml:space="preserve">JN°420</t>
  </si>
  <si>
    <t xml:space="preserve">JN°421</t>
  </si>
  <si>
    <t xml:space="preserve">JN°422</t>
  </si>
  <si>
    <t xml:space="preserve">JN°423</t>
  </si>
  <si>
    <t xml:space="preserve">JN°424</t>
  </si>
  <si>
    <t xml:space="preserve">JN°425</t>
  </si>
  <si>
    <t xml:space="preserve">JN°426</t>
  </si>
  <si>
    <t xml:space="preserve">JN°427</t>
  </si>
  <si>
    <t xml:space="preserve">JN°428</t>
  </si>
  <si>
    <t xml:space="preserve">JN°429</t>
  </si>
  <si>
    <t xml:space="preserve">JN°430</t>
  </si>
  <si>
    <t xml:space="preserve">JN°431</t>
  </si>
  <si>
    <t xml:space="preserve">JN°432</t>
  </si>
  <si>
    <t xml:space="preserve">JN°433</t>
  </si>
  <si>
    <t xml:space="preserve">JN°434</t>
  </si>
  <si>
    <t xml:space="preserve">JN°435</t>
  </si>
  <si>
    <t xml:space="preserve">JN°436</t>
  </si>
  <si>
    <t xml:space="preserve">JN°437</t>
  </si>
  <si>
    <t xml:space="preserve">JN°438</t>
  </si>
  <si>
    <t xml:space="preserve">JN°439</t>
  </si>
  <si>
    <t xml:space="preserve">JN°440</t>
  </si>
  <si>
    <t xml:space="preserve">JN°441</t>
  </si>
  <si>
    <t xml:space="preserve">JN°442</t>
  </si>
  <si>
    <t xml:space="preserve">JN°443</t>
  </si>
  <si>
    <t xml:space="preserve">JN°444</t>
  </si>
  <si>
    <t xml:space="preserve">JN°445</t>
  </si>
  <si>
    <t xml:space="preserve">JN°446</t>
  </si>
  <si>
    <t xml:space="preserve">JN°447</t>
  </si>
  <si>
    <t xml:space="preserve">JN°448</t>
  </si>
  <si>
    <t xml:space="preserve">JN°449</t>
  </si>
  <si>
    <t xml:space="preserve">JN°450</t>
  </si>
  <si>
    <t xml:space="preserve">JN°451</t>
  </si>
  <si>
    <t xml:space="preserve">JN°452</t>
  </si>
  <si>
    <t xml:space="preserve">JN°453</t>
  </si>
  <si>
    <t xml:space="preserve">JN°454</t>
  </si>
  <si>
    <t xml:space="preserve">JN°455</t>
  </si>
  <si>
    <t xml:space="preserve">JN°456</t>
  </si>
  <si>
    <t xml:space="preserve">JN°457</t>
  </si>
  <si>
    <t xml:space="preserve">JN°458</t>
  </si>
  <si>
    <t xml:space="preserve">JN°459</t>
  </si>
  <si>
    <t xml:space="preserve">JN°460</t>
  </si>
  <si>
    <t xml:space="preserve">JN°461</t>
  </si>
  <si>
    <t xml:space="preserve">JN°462</t>
  </si>
  <si>
    <t xml:space="preserve">JN°463</t>
  </si>
  <si>
    <t xml:space="preserve">JN°464</t>
  </si>
  <si>
    <t xml:space="preserve">JN°465</t>
  </si>
  <si>
    <t xml:space="preserve">JN°466</t>
  </si>
  <si>
    <t xml:space="preserve">JN°467</t>
  </si>
  <si>
    <t xml:space="preserve">JN°468</t>
  </si>
  <si>
    <t xml:space="preserve">JN°469</t>
  </si>
  <si>
    <t xml:space="preserve">JN°470</t>
  </si>
  <si>
    <t xml:space="preserve">JN°471</t>
  </si>
  <si>
    <t xml:space="preserve">JN°472</t>
  </si>
  <si>
    <t xml:space="preserve">JN°473</t>
  </si>
  <si>
    <t xml:space="preserve">JN°474</t>
  </si>
  <si>
    <t xml:space="preserve">JN°475</t>
  </si>
  <si>
    <t xml:space="preserve">JN°476</t>
  </si>
  <si>
    <t xml:space="preserve">JN°477</t>
  </si>
  <si>
    <t xml:space="preserve">JN°478</t>
  </si>
  <si>
    <t xml:space="preserve">JN°479</t>
  </si>
  <si>
    <t xml:space="preserve">JN°480</t>
  </si>
  <si>
    <t xml:space="preserve">JN°481</t>
  </si>
  <si>
    <t xml:space="preserve">JN°482</t>
  </si>
  <si>
    <t xml:space="preserve">JN°483</t>
  </si>
  <si>
    <t xml:space="preserve">JN°484</t>
  </si>
  <si>
    <t xml:space="preserve">JN°485</t>
  </si>
  <si>
    <t xml:space="preserve">JN°486</t>
  </si>
  <si>
    <t xml:space="preserve">JN°487</t>
  </si>
  <si>
    <t xml:space="preserve">JN°488</t>
  </si>
  <si>
    <t xml:space="preserve">JN°489</t>
  </si>
  <si>
    <t xml:space="preserve">JN°490</t>
  </si>
  <si>
    <t xml:space="preserve">JN°491</t>
  </si>
  <si>
    <t xml:space="preserve">JN°492</t>
  </si>
  <si>
    <t xml:space="preserve">JN°493</t>
  </si>
  <si>
    <t xml:space="preserve">JN°494</t>
  </si>
  <si>
    <t xml:space="preserve">JN°495</t>
  </si>
  <si>
    <t xml:space="preserve">JN°496</t>
  </si>
  <si>
    <t xml:space="preserve">JN°497</t>
  </si>
  <si>
    <t xml:space="preserve">JN°498</t>
  </si>
  <si>
    <t xml:space="preserve">JN°499</t>
  </si>
  <si>
    <t xml:space="preserve">JN°500</t>
  </si>
  <si>
    <t xml:space="preserve">JN°501</t>
  </si>
  <si>
    <t xml:space="preserve">JN°502</t>
  </si>
  <si>
    <t xml:space="preserve">JN°503</t>
  </si>
  <si>
    <t xml:space="preserve">JN°504</t>
  </si>
  <si>
    <t xml:space="preserve">JN°505</t>
  </si>
  <si>
    <t xml:space="preserve">JN°506</t>
  </si>
  <si>
    <t xml:space="preserve">JN°507</t>
  </si>
  <si>
    <t xml:space="preserve">JN°508</t>
  </si>
  <si>
    <t xml:space="preserve">JN°509</t>
  </si>
  <si>
    <t xml:space="preserve">JN°510</t>
  </si>
  <si>
    <t xml:space="preserve">JN°511</t>
  </si>
  <si>
    <t xml:space="preserve">JN°512</t>
  </si>
  <si>
    <t xml:space="preserve">JN°513</t>
  </si>
  <si>
    <t xml:space="preserve">JN°514</t>
  </si>
  <si>
    <t xml:space="preserve">JN°515</t>
  </si>
  <si>
    <t xml:space="preserve">JN°516</t>
  </si>
  <si>
    <t xml:space="preserve">JN°517</t>
  </si>
  <si>
    <t xml:space="preserve">JN°518</t>
  </si>
  <si>
    <t xml:space="preserve">JN°519</t>
  </si>
  <si>
    <t xml:space="preserve">JN°520</t>
  </si>
  <si>
    <t xml:space="preserve">JN°521</t>
  </si>
  <si>
    <t xml:space="preserve">JN°522</t>
  </si>
  <si>
    <t xml:space="preserve">JN°523</t>
  </si>
  <si>
    <t xml:space="preserve">JN°524</t>
  </si>
  <si>
    <t xml:space="preserve">JN°525</t>
  </si>
  <si>
    <t xml:space="preserve">JN°526</t>
  </si>
  <si>
    <t xml:space="preserve">JN°527</t>
  </si>
  <si>
    <t xml:space="preserve">JN°528</t>
  </si>
  <si>
    <t xml:space="preserve">JN°529</t>
  </si>
  <si>
    <t xml:space="preserve">JN°530</t>
  </si>
  <si>
    <t xml:space="preserve">JN°531</t>
  </si>
  <si>
    <t xml:space="preserve">JN°532</t>
  </si>
  <si>
    <t xml:space="preserve">JN°533</t>
  </si>
  <si>
    <t xml:space="preserve">JN°534</t>
  </si>
  <si>
    <t xml:space="preserve">JN°535</t>
  </si>
  <si>
    <t xml:space="preserve">JN°536</t>
  </si>
  <si>
    <t xml:space="preserve">JN°537</t>
  </si>
  <si>
    <t xml:space="preserve">JN°538</t>
  </si>
  <si>
    <t xml:space="preserve">JN°539</t>
  </si>
  <si>
    <t xml:space="preserve">JN°540</t>
  </si>
  <si>
    <t xml:space="preserve">JN°541</t>
  </si>
  <si>
    <t xml:space="preserve">JN°542</t>
  </si>
  <si>
    <t xml:space="preserve">JN°543</t>
  </si>
  <si>
    <t xml:space="preserve">JN°544</t>
  </si>
  <si>
    <t xml:space="preserve">JN°545</t>
  </si>
  <si>
    <t xml:space="preserve">JN°546</t>
  </si>
  <si>
    <t xml:space="preserve">JN°547</t>
  </si>
  <si>
    <t xml:space="preserve">JN°548</t>
  </si>
  <si>
    <t xml:space="preserve">JN°549</t>
  </si>
  <si>
    <t xml:space="preserve">JN°550</t>
  </si>
  <si>
    <t xml:space="preserve">JN°551</t>
  </si>
  <si>
    <t xml:space="preserve">JN°552</t>
  </si>
  <si>
    <t xml:space="preserve">JN°553</t>
  </si>
  <si>
    <t xml:space="preserve">JN°554</t>
  </si>
  <si>
    <t xml:space="preserve">JN°555</t>
  </si>
  <si>
    <t xml:space="preserve">JN°556</t>
  </si>
  <si>
    <t xml:space="preserve">JN°557</t>
  </si>
  <si>
    <t xml:space="preserve">JN°558</t>
  </si>
  <si>
    <t xml:space="preserve">JN°559</t>
  </si>
  <si>
    <t xml:space="preserve">JN°560</t>
  </si>
  <si>
    <t xml:space="preserve">JN°561</t>
  </si>
  <si>
    <t xml:space="preserve">JN°562</t>
  </si>
  <si>
    <t xml:space="preserve">JN°563</t>
  </si>
  <si>
    <t xml:space="preserve">JN°564</t>
  </si>
  <si>
    <t xml:space="preserve">JN°565</t>
  </si>
  <si>
    <t xml:space="preserve">JN°566</t>
  </si>
  <si>
    <t xml:space="preserve">JN°567</t>
  </si>
  <si>
    <t xml:space="preserve">JN°568</t>
  </si>
  <si>
    <t xml:space="preserve">JN°569</t>
  </si>
  <si>
    <t xml:space="preserve">JN°570</t>
  </si>
  <si>
    <t xml:space="preserve">JN°571</t>
  </si>
  <si>
    <t xml:space="preserve">JN°572</t>
  </si>
  <si>
    <t xml:space="preserve">JN°573</t>
  </si>
  <si>
    <t xml:space="preserve">JN°574</t>
  </si>
  <si>
    <t xml:space="preserve">JN°575</t>
  </si>
  <si>
    <t xml:space="preserve">JN°576</t>
  </si>
  <si>
    <t xml:space="preserve">JN°577</t>
  </si>
  <si>
    <t xml:space="preserve">JN°578</t>
  </si>
  <si>
    <t xml:space="preserve">JN°579</t>
  </si>
  <si>
    <t xml:space="preserve">JN°580</t>
  </si>
  <si>
    <t xml:space="preserve">JN°581</t>
  </si>
  <si>
    <t xml:space="preserve">JN°582</t>
  </si>
  <si>
    <t xml:space="preserve">JN°583</t>
  </si>
  <si>
    <t xml:space="preserve">JN°584</t>
  </si>
  <si>
    <t xml:space="preserve">JN°585</t>
  </si>
  <si>
    <t xml:space="preserve">JN°586</t>
  </si>
  <si>
    <t xml:space="preserve">JN°587</t>
  </si>
  <si>
    <t xml:space="preserve">JN°588</t>
  </si>
  <si>
    <t xml:space="preserve">JN°589</t>
  </si>
  <si>
    <t xml:space="preserve">JN°590</t>
  </si>
  <si>
    <t xml:space="preserve">JN°591</t>
  </si>
  <si>
    <t xml:space="preserve">JN°592</t>
  </si>
  <si>
    <t xml:space="preserve">JN°593</t>
  </si>
  <si>
    <t xml:space="preserve">JN°594</t>
  </si>
  <si>
    <t xml:space="preserve">JN°595</t>
  </si>
  <si>
    <t xml:space="preserve">JN°596</t>
  </si>
  <si>
    <t xml:space="preserve">JN°597</t>
  </si>
  <si>
    <t xml:space="preserve">JN°598</t>
  </si>
  <si>
    <t xml:space="preserve">JN°599</t>
  </si>
  <si>
    <t xml:space="preserve">JN°600</t>
  </si>
  <si>
    <t xml:space="preserve">JN°601</t>
  </si>
  <si>
    <t xml:space="preserve">JN°602</t>
  </si>
  <si>
    <t xml:space="preserve">JN°603</t>
  </si>
  <si>
    <t xml:space="preserve">JN°604</t>
  </si>
  <si>
    <t xml:space="preserve">JN°605</t>
  </si>
  <si>
    <t xml:space="preserve">JN°606</t>
  </si>
  <si>
    <t xml:space="preserve">JN°607</t>
  </si>
  <si>
    <t xml:space="preserve">JN°608</t>
  </si>
  <si>
    <t xml:space="preserve">JN°609</t>
  </si>
  <si>
    <t xml:space="preserve">JN°610</t>
  </si>
  <si>
    <t xml:space="preserve">JN°611</t>
  </si>
  <si>
    <t xml:space="preserve">JN°612</t>
  </si>
  <si>
    <t xml:space="preserve">JN°613</t>
  </si>
  <si>
    <t xml:space="preserve">JN°614</t>
  </si>
  <si>
    <t xml:space="preserve">JN°615</t>
  </si>
  <si>
    <t xml:space="preserve">JN°616</t>
  </si>
  <si>
    <t xml:space="preserve">JN°617</t>
  </si>
  <si>
    <t xml:space="preserve">JN°618</t>
  </si>
  <si>
    <t xml:space="preserve">JN°619</t>
  </si>
  <si>
    <t xml:space="preserve">JN°620</t>
  </si>
  <si>
    <t xml:space="preserve">JN°621</t>
  </si>
  <si>
    <t xml:space="preserve">JN°622</t>
  </si>
  <si>
    <t xml:space="preserve">JN°623</t>
  </si>
  <si>
    <t xml:space="preserve">JN°624</t>
  </si>
  <si>
    <t xml:space="preserve">JN°625</t>
  </si>
  <si>
    <t xml:space="preserve">JN°626</t>
  </si>
  <si>
    <t xml:space="preserve">JN°627</t>
  </si>
  <si>
    <t xml:space="preserve">JN°628</t>
  </si>
  <si>
    <t xml:space="preserve">JN°629</t>
  </si>
  <si>
    <t xml:space="preserve">JN°630</t>
  </si>
  <si>
    <t xml:space="preserve">JN°631</t>
  </si>
  <si>
    <t xml:space="preserve">JN°632</t>
  </si>
  <si>
    <t xml:space="preserve">JN°633</t>
  </si>
  <si>
    <t xml:space="preserve">JN°634</t>
  </si>
  <si>
    <t xml:space="preserve">JN°635</t>
  </si>
  <si>
    <t xml:space="preserve">JN°636</t>
  </si>
  <si>
    <t xml:space="preserve">JN°637</t>
  </si>
  <si>
    <t xml:space="preserve">JN°638</t>
  </si>
  <si>
    <t xml:space="preserve">JN°639</t>
  </si>
  <si>
    <t xml:space="preserve">JN°640</t>
  </si>
  <si>
    <t xml:space="preserve">JN°641</t>
  </si>
  <si>
    <t xml:space="preserve">JN°642</t>
  </si>
  <si>
    <t xml:space="preserve">JN°643</t>
  </si>
  <si>
    <t xml:space="preserve">JN°644</t>
  </si>
  <si>
    <t xml:space="preserve">JN°645</t>
  </si>
  <si>
    <t xml:space="preserve">JN°646</t>
  </si>
  <si>
    <t xml:space="preserve">JN°647</t>
  </si>
  <si>
    <t xml:space="preserve">JN°648</t>
  </si>
  <si>
    <t xml:space="preserve">JN°649</t>
  </si>
  <si>
    <t xml:space="preserve">JN°650</t>
  </si>
  <si>
    <t xml:space="preserve">JN°651</t>
  </si>
  <si>
    <t xml:space="preserve">JN°652</t>
  </si>
  <si>
    <t xml:space="preserve">JN°653</t>
  </si>
  <si>
    <t xml:space="preserve">JN°654</t>
  </si>
  <si>
    <t xml:space="preserve">JN°655</t>
  </si>
  <si>
    <t xml:space="preserve">JN°656</t>
  </si>
  <si>
    <t xml:space="preserve">JN°657</t>
  </si>
  <si>
    <t xml:space="preserve">JN°658</t>
  </si>
  <si>
    <t xml:space="preserve">JN°659</t>
  </si>
  <si>
    <t xml:space="preserve">JN°660</t>
  </si>
  <si>
    <t xml:space="preserve">JN°661</t>
  </si>
  <si>
    <t xml:space="preserve">JN°662</t>
  </si>
  <si>
    <t xml:space="preserve">JN°663</t>
  </si>
  <si>
    <t xml:space="preserve">JN°664</t>
  </si>
  <si>
    <t xml:space="preserve">JN°665</t>
  </si>
  <si>
    <t xml:space="preserve">JN°666</t>
  </si>
  <si>
    <t xml:space="preserve">JN°667</t>
  </si>
  <si>
    <t xml:space="preserve">JN°668</t>
  </si>
  <si>
    <t xml:space="preserve">JN°669</t>
  </si>
  <si>
    <t xml:space="preserve">JN°670</t>
  </si>
  <si>
    <t xml:space="preserve">JN°671</t>
  </si>
  <si>
    <t xml:space="preserve">JN°672</t>
  </si>
  <si>
    <t xml:space="preserve">JN°673</t>
  </si>
  <si>
    <t xml:space="preserve">JN°674</t>
  </si>
  <si>
    <t xml:space="preserve">JN°675</t>
  </si>
  <si>
    <t xml:space="preserve">JN°676</t>
  </si>
  <si>
    <t xml:space="preserve">JN°677</t>
  </si>
  <si>
    <t xml:space="preserve">JN°678</t>
  </si>
  <si>
    <t xml:space="preserve">JN°679</t>
  </si>
  <si>
    <t xml:space="preserve">JN°680</t>
  </si>
  <si>
    <t xml:space="preserve">JN°681</t>
  </si>
  <si>
    <t xml:space="preserve">JN°682</t>
  </si>
  <si>
    <t xml:space="preserve">JN°683</t>
  </si>
  <si>
    <t xml:space="preserve">JN°684</t>
  </si>
  <si>
    <t xml:space="preserve">JN°685</t>
  </si>
  <si>
    <t xml:space="preserve">JN°686</t>
  </si>
  <si>
    <t xml:space="preserve">JN°687</t>
  </si>
  <si>
    <t xml:space="preserve">JN°688</t>
  </si>
  <si>
    <t xml:space="preserve">JN°689</t>
  </si>
  <si>
    <t xml:space="preserve">JN°690</t>
  </si>
  <si>
    <t xml:space="preserve">JN°691</t>
  </si>
  <si>
    <t xml:space="preserve">JN°692</t>
  </si>
  <si>
    <t xml:space="preserve">JN°693</t>
  </si>
  <si>
    <t xml:space="preserve">JN°694</t>
  </si>
  <si>
    <t xml:space="preserve">JN°695</t>
  </si>
  <si>
    <t xml:space="preserve">JN°696</t>
  </si>
  <si>
    <t xml:space="preserve">JN°697</t>
  </si>
  <si>
    <t xml:space="preserve">JN°698</t>
  </si>
  <si>
    <t xml:space="preserve">JN°699</t>
  </si>
  <si>
    <t xml:space="preserve">JN°700</t>
  </si>
  <si>
    <t xml:space="preserve">JN°701</t>
  </si>
  <si>
    <t xml:space="preserve">JN°702</t>
  </si>
  <si>
    <t xml:space="preserve">JN°703</t>
  </si>
  <si>
    <t xml:space="preserve">JN°704</t>
  </si>
  <si>
    <t xml:space="preserve">JN°705</t>
  </si>
  <si>
    <t xml:space="preserve">JN°706</t>
  </si>
  <si>
    <t xml:space="preserve">JN°707</t>
  </si>
  <si>
    <t xml:space="preserve">JN°708</t>
  </si>
  <si>
    <t xml:space="preserve">JN°709</t>
  </si>
  <si>
    <t xml:space="preserve">JN°710</t>
  </si>
  <si>
    <t xml:space="preserve">JN°711</t>
  </si>
  <si>
    <t xml:space="preserve">JN°712</t>
  </si>
  <si>
    <t xml:space="preserve">JN°713</t>
  </si>
  <si>
    <t xml:space="preserve">JN°714</t>
  </si>
  <si>
    <t xml:space="preserve">JN°715</t>
  </si>
  <si>
    <t xml:space="preserve">JN°716</t>
  </si>
  <si>
    <t xml:space="preserve">JN°717</t>
  </si>
  <si>
    <t xml:space="preserve">JN°718</t>
  </si>
  <si>
    <t xml:space="preserve">JN°719</t>
  </si>
  <si>
    <t xml:space="preserve">JN°720</t>
  </si>
  <si>
    <t xml:space="preserve">JN°721</t>
  </si>
  <si>
    <t xml:space="preserve">JN°722</t>
  </si>
  <si>
    <t xml:space="preserve">JN°723</t>
  </si>
  <si>
    <t xml:space="preserve">JN°724</t>
  </si>
  <si>
    <t xml:space="preserve">JN°725</t>
  </si>
  <si>
    <t xml:space="preserve">JN°726</t>
  </si>
  <si>
    <t xml:space="preserve">JN°727</t>
  </si>
  <si>
    <t xml:space="preserve">JN°728</t>
  </si>
  <si>
    <t xml:space="preserve">JN°729</t>
  </si>
  <si>
    <t xml:space="preserve">JN°730</t>
  </si>
  <si>
    <t xml:space="preserve">JN°731</t>
  </si>
  <si>
    <t xml:space="preserve">JN°732</t>
  </si>
  <si>
    <t xml:space="preserve">JN°733</t>
  </si>
  <si>
    <t xml:space="preserve">JN°734</t>
  </si>
  <si>
    <t xml:space="preserve">JN°735</t>
  </si>
  <si>
    <t xml:space="preserve">JN°736</t>
  </si>
  <si>
    <t xml:space="preserve">JN°737</t>
  </si>
  <si>
    <t xml:space="preserve">JN°738</t>
  </si>
  <si>
    <t xml:space="preserve">JN°739</t>
  </si>
  <si>
    <t xml:space="preserve">JN°740</t>
  </si>
  <si>
    <t xml:space="preserve">JN°741</t>
  </si>
  <si>
    <t xml:space="preserve">JN°742</t>
  </si>
  <si>
    <t xml:space="preserve">JN°743</t>
  </si>
  <si>
    <t xml:space="preserve">JN°744</t>
  </si>
  <si>
    <t xml:space="preserve">JN°745</t>
  </si>
  <si>
    <t xml:space="preserve">JN°746</t>
  </si>
  <si>
    <t xml:space="preserve">JN°747</t>
  </si>
  <si>
    <t xml:space="preserve">JN°748</t>
  </si>
  <si>
    <t xml:space="preserve">JN°749</t>
  </si>
  <si>
    <t xml:space="preserve">JN°750</t>
  </si>
  <si>
    <t xml:space="preserve">JN°751</t>
  </si>
  <si>
    <t xml:space="preserve">JN°752</t>
  </si>
  <si>
    <t xml:space="preserve">JN°753</t>
  </si>
  <si>
    <t xml:space="preserve">JN°754</t>
  </si>
  <si>
    <t xml:space="preserve">JN°755</t>
  </si>
  <si>
    <t xml:space="preserve">JN°756</t>
  </si>
  <si>
    <t xml:space="preserve">JN°757</t>
  </si>
  <si>
    <t xml:space="preserve">BRD</t>
  </si>
  <si>
    <t xml:space="preserve">/</t>
  </si>
  <si>
    <t xml:space="preserve">DJ°522</t>
  </si>
  <si>
    <t xml:space="preserve">16"</t>
  </si>
  <si>
    <t xml:space="preserve">API 5L_X52</t>
  </si>
  <si>
    <t xml:space="preserve">TFTII-PL04</t>
  </si>
  <si>
    <t xml:space="preserve">WR-040</t>
  </si>
  <si>
    <t xml:space="preserve">DJ-VT-046</t>
  </si>
  <si>
    <t xml:space="preserve">A</t>
  </si>
  <si>
    <t xml:space="preserve">DJ-RT-054</t>
  </si>
  <si>
    <t xml:space="preserve">JN°758</t>
  </si>
  <si>
    <t xml:space="preserve">TFTII-PL03</t>
  </si>
  <si>
    <t xml:space="preserve">WR-33-51/40-45</t>
  </si>
  <si>
    <t xml:space="preserve">DJ°507</t>
  </si>
  <si>
    <t xml:space="preserve">WR-028</t>
  </si>
  <si>
    <t xml:space="preserve">DJ-VT-045</t>
  </si>
  <si>
    <t xml:space="preserve">DJ-RT-053</t>
  </si>
  <si>
    <t xml:space="preserve">JN°759</t>
  </si>
  <si>
    <t xml:space="preserve">L-VT-069</t>
  </si>
  <si>
    <t xml:space="preserve">DJ°520</t>
  </si>
  <si>
    <t xml:space="preserve">JN°760</t>
  </si>
  <si>
    <t xml:space="preserve">DJ°505</t>
  </si>
  <si>
    <t xml:space="preserve">JN°761</t>
  </si>
  <si>
    <t xml:space="preserve">DJ°466</t>
  </si>
  <si>
    <t xml:space="preserve">DJ-VT-042</t>
  </si>
  <si>
    <t xml:space="preserve">JN°762</t>
  </si>
  <si>
    <t xml:space="preserve">DJ°477</t>
  </si>
  <si>
    <t xml:space="preserve">N,S</t>
  </si>
  <si>
    <t xml:space="preserve">JN°763</t>
  </si>
  <si>
    <t xml:space="preserve">JN°764</t>
  </si>
  <si>
    <t xml:space="preserve">DJ°506</t>
  </si>
  <si>
    <t xml:space="preserve">WR-041</t>
  </si>
  <si>
    <t xml:space="preserve">JN°765</t>
  </si>
  <si>
    <t xml:space="preserve">DJ°502</t>
  </si>
  <si>
    <t xml:space="preserve">JN°766</t>
  </si>
  <si>
    <t xml:space="preserve">DJ°508</t>
  </si>
  <si>
    <t xml:space="preserve">JN°767</t>
  </si>
  <si>
    <t xml:space="preserve">DJ°504</t>
  </si>
  <si>
    <t xml:space="preserve">JN°768</t>
  </si>
  <si>
    <t xml:space="preserve">DJ°510</t>
  </si>
  <si>
    <t xml:space="preserve">JN°769</t>
  </si>
  <si>
    <t xml:space="preserve">DJ°511</t>
  </si>
  <si>
    <t xml:space="preserve">JN°770</t>
  </si>
  <si>
    <t xml:space="preserve">DJ°519</t>
  </si>
  <si>
    <t xml:space="preserve">JN°771</t>
  </si>
  <si>
    <t xml:space="preserve">DJ°509</t>
  </si>
  <si>
    <t xml:space="preserve">JN°772</t>
  </si>
  <si>
    <t xml:space="preserve">DJ°517</t>
  </si>
  <si>
    <t xml:space="preserve">JN°773</t>
  </si>
  <si>
    <t xml:space="preserve">DJ°521</t>
  </si>
  <si>
    <t xml:space="preserve">JN°774</t>
  </si>
  <si>
    <t xml:space="preserve">DJ°476</t>
  </si>
  <si>
    <t xml:space="preserve">WR-042</t>
  </si>
  <si>
    <t xml:space="preserve">DJ-RT-050</t>
  </si>
  <si>
    <t xml:space="preserve">JN°775</t>
  </si>
  <si>
    <t xml:space="preserve">DJ°500</t>
  </si>
  <si>
    <t xml:space="preserve">DJ-VT-044</t>
  </si>
  <si>
    <t xml:space="preserve">DJ-RT-052</t>
  </si>
  <si>
    <t xml:space="preserve">N-S</t>
  </si>
  <si>
    <t xml:space="preserve">JN°776</t>
  </si>
  <si>
    <t xml:space="preserve">JN°777</t>
  </si>
  <si>
    <t xml:space="preserve">DJ°513</t>
  </si>
  <si>
    <t xml:space="preserve">JN°778</t>
  </si>
  <si>
    <t xml:space="preserve">DJ°515</t>
  </si>
  <si>
    <t xml:space="preserve">JN°779</t>
  </si>
  <si>
    <t xml:space="preserve">DJ°514</t>
  </si>
  <si>
    <t xml:space="preserve">JN°780</t>
  </si>
  <si>
    <t xml:space="preserve">WR-46-51/33-45</t>
  </si>
  <si>
    <t xml:space="preserve">L-VT-065</t>
  </si>
  <si>
    <t xml:space="preserve">DJ°479</t>
  </si>
  <si>
    <t xml:space="preserve">DJ-VT-043</t>
  </si>
  <si>
    <t xml:space="preserve">DJ-RT-051</t>
  </si>
  <si>
    <t xml:space="preserve">JN°781</t>
  </si>
  <si>
    <t xml:space="preserve">DJ°516</t>
  </si>
  <si>
    <t xml:space="preserve">JN°782</t>
  </si>
  <si>
    <t xml:space="preserve">DJ°501</t>
  </si>
  <si>
    <t xml:space="preserve">JN°783</t>
  </si>
  <si>
    <t xml:space="preserve">DJ°494</t>
  </si>
  <si>
    <t xml:space="preserve">JN°784</t>
  </si>
  <si>
    <t xml:space="preserve">DJ°499</t>
  </si>
  <si>
    <t xml:space="preserve">JN°785</t>
  </si>
  <si>
    <t xml:space="preserve">DJ°496</t>
  </si>
  <si>
    <t xml:space="preserve">JN°786</t>
  </si>
  <si>
    <t xml:space="preserve">DJ°493</t>
  </si>
  <si>
    <t xml:space="preserve">JN°787</t>
  </si>
  <si>
    <t xml:space="preserve">JN°788</t>
  </si>
  <si>
    <t xml:space="preserve">JN°789</t>
  </si>
  <si>
    <t xml:space="preserve">DJ°438</t>
  </si>
  <si>
    <t xml:space="preserve">DJ-VT-039</t>
  </si>
  <si>
    <t xml:space="preserve">DJ-RT-046</t>
  </si>
  <si>
    <t xml:space="preserve">JN°790</t>
  </si>
  <si>
    <t xml:space="preserve">WR-51-46</t>
  </si>
  <si>
    <t xml:space="preserve">DJ°497</t>
  </si>
  <si>
    <t xml:space="preserve">JN°791</t>
  </si>
  <si>
    <t xml:space="preserve">DJ°480</t>
  </si>
  <si>
    <t xml:space="preserve">WR-039</t>
  </si>
  <si>
    <t xml:space="preserve">JN°792</t>
  </si>
  <si>
    <t xml:space="preserve">DJ°495</t>
  </si>
  <si>
    <t xml:space="preserve">JN°793</t>
  </si>
  <si>
    <t xml:space="preserve">DJ°482</t>
  </si>
  <si>
    <t xml:space="preserve">JN°794</t>
  </si>
  <si>
    <t xml:space="preserve">DJ°481</t>
  </si>
  <si>
    <t xml:space="preserve">JN°795</t>
  </si>
  <si>
    <t xml:space="preserve">WR-51-45/46-33</t>
  </si>
  <si>
    <t xml:space="preserve">DJ°484</t>
  </si>
  <si>
    <t xml:space="preserve">JN°796</t>
  </si>
  <si>
    <t xml:space="preserve">DJ°483</t>
  </si>
  <si>
    <t xml:space="preserve">JN°797</t>
  </si>
  <si>
    <t xml:space="preserve">DJ°486</t>
  </si>
  <si>
    <t xml:space="preserve">JN°798</t>
  </si>
  <si>
    <t xml:space="preserve">DJ°488</t>
  </si>
  <si>
    <t xml:space="preserve">JN°799</t>
  </si>
  <si>
    <t xml:space="preserve">DJ°478</t>
  </si>
  <si>
    <t xml:space="preserve">JN°800</t>
  </si>
  <si>
    <t xml:space="preserve">L-VT-066</t>
  </si>
  <si>
    <t xml:space="preserve">DJ°485</t>
  </si>
  <si>
    <t xml:space="preserve">JN°801</t>
  </si>
  <si>
    <t xml:space="preserve">L-VT-0</t>
  </si>
  <si>
    <t xml:space="preserve">DJ°490</t>
  </si>
  <si>
    <t xml:space="preserve">JN°802</t>
  </si>
  <si>
    <t xml:space="preserve">DJ°463</t>
  </si>
  <si>
    <t xml:space="preserve">JN°803</t>
  </si>
  <si>
    <t xml:space="preserve">DJ°491</t>
  </si>
  <si>
    <t xml:space="preserve">JN°804</t>
  </si>
  <si>
    <t xml:space="preserve">DJ°462</t>
  </si>
  <si>
    <t xml:space="preserve">JN°805</t>
  </si>
  <si>
    <t xml:space="preserve">DJ°489</t>
  </si>
  <si>
    <t xml:space="preserve">JN°806</t>
  </si>
  <si>
    <t xml:space="preserve">DJ°464</t>
  </si>
  <si>
    <t xml:space="preserve">JN°807</t>
  </si>
  <si>
    <t xml:space="preserve">DJ°465</t>
  </si>
  <si>
    <t xml:space="preserve">JN°808</t>
  </si>
  <si>
    <t xml:space="preserve">DJ°492</t>
  </si>
  <si>
    <t xml:space="preserve">JN°809</t>
  </si>
  <si>
    <t xml:space="preserve">DJ°474</t>
  </si>
  <si>
    <t xml:space="preserve">JN°810</t>
  </si>
  <si>
    <t xml:space="preserve">T-46</t>
  </si>
  <si>
    <t xml:space="preserve">DJ°469</t>
  </si>
  <si>
    <t xml:space="preserve">JN°811</t>
  </si>
  <si>
    <t xml:space="preserve">L-VT-064</t>
  </si>
  <si>
    <t xml:space="preserve">DJ°472</t>
  </si>
  <si>
    <t xml:space="preserve">JN°812</t>
  </si>
  <si>
    <t xml:space="preserve">DJ°467</t>
  </si>
  <si>
    <t xml:space="preserve">JN°813</t>
  </si>
  <si>
    <t xml:space="preserve">DJ°468</t>
  </si>
  <si>
    <t xml:space="preserve">JN°814</t>
  </si>
  <si>
    <t xml:space="preserve">DJ°475</t>
  </si>
  <si>
    <t xml:space="preserve">JN°815</t>
  </si>
  <si>
    <t xml:space="preserve">L-VT-062</t>
  </si>
  <si>
    <t xml:space="preserve">DJ°470</t>
  </si>
  <si>
    <t xml:space="preserve">JN°816</t>
  </si>
  <si>
    <t xml:space="preserve">DJ°473</t>
  </si>
  <si>
    <t xml:space="preserve">JN°817</t>
  </si>
  <si>
    <t xml:space="preserve">JN°818</t>
  </si>
  <si>
    <t xml:space="preserve">T-45</t>
  </si>
  <si>
    <t xml:space="preserve">DJ°453</t>
  </si>
  <si>
    <t xml:space="preserve">DJ-VT-040</t>
  </si>
  <si>
    <t xml:space="preserve">DJ-RT-048</t>
  </si>
  <si>
    <t xml:space="preserve">JN°819</t>
  </si>
  <si>
    <t xml:space="preserve">DJ°455</t>
  </si>
  <si>
    <t xml:space="preserve">DJ-VT-041</t>
  </si>
  <si>
    <t xml:space="preserve">JN°820</t>
  </si>
  <si>
    <t xml:space="preserve">DJ°447</t>
  </si>
  <si>
    <t xml:space="preserve">JN°821</t>
  </si>
  <si>
    <t xml:space="preserve">DJ°445</t>
  </si>
  <si>
    <t xml:space="preserve">JN°822</t>
  </si>
  <si>
    <t xml:space="preserve">DJ°427</t>
  </si>
  <si>
    <t xml:space="preserve">JN°823</t>
  </si>
  <si>
    <t xml:space="preserve">DJ°448</t>
  </si>
  <si>
    <t xml:space="preserve">JN°824</t>
  </si>
  <si>
    <t xml:space="preserve">DJ°446</t>
  </si>
  <si>
    <t xml:space="preserve">JN°825</t>
  </si>
  <si>
    <t xml:space="preserve">DJ°450</t>
  </si>
  <si>
    <t xml:space="preserve">JN°826</t>
  </si>
  <si>
    <t xml:space="preserve">DJ°451</t>
  </si>
  <si>
    <t xml:space="preserve">JN°827</t>
  </si>
  <si>
    <t xml:space="preserve">DJ°452</t>
  </si>
  <si>
    <t xml:space="preserve">JN°828</t>
  </si>
  <si>
    <t xml:space="preserve">DJ°449</t>
  </si>
  <si>
    <t xml:space="preserve">JN°829</t>
  </si>
  <si>
    <t xml:space="preserve">DJ°430</t>
  </si>
  <si>
    <t xml:space="preserve">JN°830</t>
  </si>
  <si>
    <t xml:space="preserve">DJ°456</t>
  </si>
  <si>
    <t xml:space="preserve">JN°831</t>
  </si>
  <si>
    <t xml:space="preserve">DJ°459</t>
  </si>
  <si>
    <t xml:space="preserve">JN°832</t>
  </si>
  <si>
    <t xml:space="preserve">T-44</t>
  </si>
  <si>
    <t xml:space="preserve">DJ°458</t>
  </si>
  <si>
    <t xml:space="preserve">JN°833</t>
  </si>
  <si>
    <t xml:space="preserve">L-RT-060</t>
  </si>
  <si>
    <t xml:space="preserve">DJ°457</t>
  </si>
  <si>
    <t xml:space="preserve">JN°834</t>
  </si>
  <si>
    <t xml:space="preserve">DJ°454</t>
  </si>
  <si>
    <t xml:space="preserve">JN°835</t>
  </si>
  <si>
    <t xml:space="preserve">WR-45-46/33-52</t>
  </si>
  <si>
    <t xml:space="preserve">L-VT-061</t>
  </si>
  <si>
    <t xml:space="preserve">DJ°432</t>
  </si>
  <si>
    <t xml:space="preserve">JN°836</t>
  </si>
  <si>
    <t xml:space="preserve">DJ°429</t>
  </si>
  <si>
    <t xml:space="preserve">JN°837</t>
  </si>
  <si>
    <t xml:space="preserve">WR-46-52/33-45</t>
  </si>
  <si>
    <t xml:space="preserve">DJ°431</t>
  </si>
  <si>
    <t xml:space="preserve">JN°838</t>
  </si>
  <si>
    <t xml:space="preserve">DJ°443</t>
  </si>
  <si>
    <t xml:space="preserve">DJ-RT-047</t>
  </si>
  <si>
    <t xml:space="preserve">R</t>
  </si>
  <si>
    <t xml:space="preserve">(108-114) SV 1 ere P</t>
  </si>
  <si>
    <t xml:space="preserve">JN°839</t>
  </si>
  <si>
    <t xml:space="preserve">DJ°420</t>
  </si>
  <si>
    <t xml:space="preserve">DJ-VT-038</t>
  </si>
  <si>
    <t xml:space="preserve">DJ-RT-045</t>
  </si>
  <si>
    <t xml:space="preserve">JN°840</t>
  </si>
  <si>
    <t xml:space="preserve">DJ°433</t>
  </si>
  <si>
    <t xml:space="preserve">JN°841</t>
  </si>
  <si>
    <t xml:space="preserve">DJ°422</t>
  </si>
  <si>
    <t xml:space="preserve">JN°842</t>
  </si>
  <si>
    <t xml:space="preserve">DJ°442</t>
  </si>
  <si>
    <t xml:space="preserve">JN°843</t>
  </si>
  <si>
    <t xml:space="preserve">DJ°421</t>
  </si>
  <si>
    <t xml:space="preserve">JN°844</t>
  </si>
  <si>
    <t xml:space="preserve">DJ°408</t>
  </si>
  <si>
    <t xml:space="preserve">DJ-VT-035</t>
  </si>
  <si>
    <t xml:space="preserve">DJ-RT-042</t>
  </si>
  <si>
    <t xml:space="preserve">(43-84)  L,F + POR : 1 Passe</t>
  </si>
  <si>
    <t xml:space="preserve">JN°845</t>
  </si>
  <si>
    <t xml:space="preserve">DJ°409</t>
  </si>
  <si>
    <t xml:space="preserve">DJ-VT-036</t>
  </si>
  <si>
    <t xml:space="preserve">DJ-RT-043</t>
  </si>
  <si>
    <t xml:space="preserve">JN°846</t>
  </si>
  <si>
    <t xml:space="preserve">DJ°436</t>
  </si>
  <si>
    <t xml:space="preserve">JN°847</t>
  </si>
  <si>
    <t xml:space="preserve">WR-33-51/30-45</t>
  </si>
  <si>
    <t xml:space="preserve">L-VT-059</t>
  </si>
  <si>
    <t xml:space="preserve">DJ°437</t>
  </si>
  <si>
    <t xml:space="preserve">JN°848</t>
  </si>
  <si>
    <t xml:space="preserve">L-RT-061</t>
  </si>
  <si>
    <t xml:space="preserve">DJ°435</t>
  </si>
  <si>
    <t xml:space="preserve">JN°849</t>
  </si>
  <si>
    <t xml:space="preserve">DJ°440</t>
  </si>
  <si>
    <t xml:space="preserve">JN°850</t>
  </si>
  <si>
    <t xml:space="preserve">DJ°439</t>
  </si>
  <si>
    <t xml:space="preserve">JN°851</t>
  </si>
  <si>
    <t xml:space="preserve">DJ°441</t>
  </si>
  <si>
    <t xml:space="preserve">JN°852</t>
  </si>
  <si>
    <t xml:space="preserve">JN°853</t>
  </si>
  <si>
    <t xml:space="preserve">DJ°434</t>
  </si>
  <si>
    <t xml:space="preserve">JN°854</t>
  </si>
  <si>
    <t xml:space="preserve">DJ°416</t>
  </si>
  <si>
    <t xml:space="preserve">DJ-VT-037</t>
  </si>
  <si>
    <t xml:space="preserve">DJ-RT-044</t>
  </si>
  <si>
    <t xml:space="preserve">JN°855</t>
  </si>
  <si>
    <t xml:space="preserve">DJ°424</t>
  </si>
  <si>
    <t xml:space="preserve">JN°856</t>
  </si>
  <si>
    <t xml:space="preserve">DJ°415</t>
  </si>
  <si>
    <t xml:space="preserve">JN°857</t>
  </si>
  <si>
    <t xml:space="preserve">DJ°419</t>
  </si>
  <si>
    <t xml:space="preserve">JN°858</t>
  </si>
  <si>
    <t xml:space="preserve">DJ°418</t>
  </si>
  <si>
    <t xml:space="preserve">JN°859</t>
  </si>
  <si>
    <t xml:space="preserve">DJ°423</t>
  </si>
  <si>
    <t xml:space="preserve">JN°860</t>
  </si>
  <si>
    <t xml:space="preserve">L-VT-060</t>
  </si>
  <si>
    <t xml:space="preserve">DJ°417</t>
  </si>
  <si>
    <t xml:space="preserve">JN°861</t>
  </si>
  <si>
    <t xml:space="preserve">DJ°411</t>
  </si>
  <si>
    <t xml:space="preserve">JN°862</t>
  </si>
  <si>
    <t xml:space="preserve">DJ°360</t>
  </si>
  <si>
    <t xml:space="preserve">WR-037</t>
  </si>
  <si>
    <t xml:space="preserve">DJ-VT-030</t>
  </si>
  <si>
    <t xml:space="preserve">DJ-RT-038</t>
  </si>
  <si>
    <t xml:space="preserve">JN°863</t>
  </si>
  <si>
    <t xml:space="preserve">L-RT-062</t>
  </si>
  <si>
    <t xml:space="preserve">DJ°414</t>
  </si>
  <si>
    <t xml:space="preserve">JN°864</t>
  </si>
  <si>
    <t xml:space="preserve">DJ°426</t>
  </si>
  <si>
    <t xml:space="preserve">JN°865</t>
  </si>
  <si>
    <t xml:space="preserve">DJ°413</t>
  </si>
  <si>
    <t xml:space="preserve">JN°866</t>
  </si>
  <si>
    <t xml:space="preserve">DJ°341</t>
  </si>
  <si>
    <t xml:space="preserve">WR-029</t>
  </si>
  <si>
    <t xml:space="preserve">DJ-VT-029</t>
  </si>
  <si>
    <t xml:space="preserve">DJ-RT-039</t>
  </si>
  <si>
    <t xml:space="preserve">JN°867</t>
  </si>
  <si>
    <t xml:space="preserve">WR-46-52/30-33/51-45</t>
  </si>
  <si>
    <t xml:space="preserve">L-VT-057</t>
  </si>
  <si>
    <t xml:space="preserve">NX</t>
  </si>
  <si>
    <t xml:space="preserve">DJ°410</t>
  </si>
  <si>
    <t xml:space="preserve">JN°868</t>
  </si>
  <si>
    <t xml:space="preserve">DJ°412</t>
  </si>
  <si>
    <t xml:space="preserve">JN°869</t>
  </si>
  <si>
    <t xml:space="preserve">JN°870</t>
  </si>
  <si>
    <t xml:space="preserve">JN°871</t>
  </si>
  <si>
    <t xml:space="preserve">JN°872</t>
  </si>
  <si>
    <t xml:space="preserve">JN°873</t>
  </si>
  <si>
    <t xml:space="preserve">JN°874</t>
  </si>
  <si>
    <t xml:space="preserve">JN°875</t>
  </si>
  <si>
    <t xml:space="preserve">JN°876</t>
  </si>
  <si>
    <t xml:space="preserve">JN°877</t>
  </si>
  <si>
    <t xml:space="preserve">JN°878</t>
  </si>
  <si>
    <t xml:space="preserve">JN°879</t>
  </si>
  <si>
    <t xml:space="preserve">T-43</t>
  </si>
  <si>
    <t xml:space="preserve">JN°880</t>
  </si>
  <si>
    <t xml:space="preserve">JN°881</t>
  </si>
  <si>
    <t xml:space="preserve">(35-45)(57-60)IP</t>
  </si>
  <si>
    <t xml:space="preserve">JN°882</t>
  </si>
  <si>
    <t xml:space="preserve">JN°883</t>
  </si>
  <si>
    <t xml:space="preserve">JN°884</t>
  </si>
  <si>
    <t xml:space="preserve">JN°885</t>
  </si>
  <si>
    <t xml:space="preserve">JN°886</t>
  </si>
  <si>
    <t xml:space="preserve">JN°887</t>
  </si>
  <si>
    <t xml:space="preserve">JN°888</t>
  </si>
  <si>
    <t xml:space="preserve">JN°889</t>
  </si>
  <si>
    <t xml:space="preserve">JN°890</t>
  </si>
  <si>
    <t xml:space="preserve">JN°891</t>
  </si>
  <si>
    <t xml:space="preserve">JN°892</t>
  </si>
  <si>
    <t xml:space="preserve">JN°893</t>
  </si>
  <si>
    <t xml:space="preserve">JN°894</t>
  </si>
  <si>
    <t xml:space="preserve">JN°895</t>
  </si>
  <si>
    <t xml:space="preserve">JN°896</t>
  </si>
  <si>
    <t xml:space="preserve">JN°897</t>
  </si>
  <si>
    <t xml:space="preserve">JN°898</t>
  </si>
  <si>
    <t xml:space="preserve">JN°899</t>
  </si>
  <si>
    <t xml:space="preserve">JN°900</t>
  </si>
  <si>
    <t xml:space="preserve">JN°901</t>
  </si>
  <si>
    <t xml:space="preserve">JN°902</t>
  </si>
  <si>
    <t xml:space="preserve">JN°903</t>
  </si>
  <si>
    <t xml:space="preserve">JN°904</t>
  </si>
  <si>
    <t xml:space="preserve">JN°905</t>
  </si>
  <si>
    <t xml:space="preserve">JN°906</t>
  </si>
  <si>
    <t xml:space="preserve">JN°907</t>
  </si>
  <si>
    <t xml:space="preserve">JN°908</t>
  </si>
  <si>
    <t xml:space="preserve">T-42</t>
  </si>
  <si>
    <t xml:space="preserve">JN°909</t>
  </si>
  <si>
    <t xml:space="preserve">L-RT-52</t>
  </si>
  <si>
    <t xml:space="preserve">(10-11)excés1p (65-80)IU 1P</t>
  </si>
  <si>
    <t xml:space="preserve">JN°910</t>
  </si>
  <si>
    <t xml:space="preserve">JN°911</t>
  </si>
  <si>
    <t xml:space="preserve">(25-35)IU 1 P</t>
  </si>
  <si>
    <t xml:space="preserve">JN°912</t>
  </si>
  <si>
    <t xml:space="preserve">JN°913</t>
  </si>
  <si>
    <t xml:space="preserve">JN°914</t>
  </si>
  <si>
    <t xml:space="preserve">L-VT-058</t>
  </si>
  <si>
    <t xml:space="preserve">(55-65)IU 1 P</t>
  </si>
  <si>
    <t xml:space="preserve">JN°915</t>
  </si>
  <si>
    <t xml:space="preserve">(55-65IU 1 P</t>
  </si>
  <si>
    <t xml:space="preserve">JN°916</t>
  </si>
  <si>
    <t xml:space="preserve">(53-66)iu 1 p</t>
  </si>
  <si>
    <t xml:space="preserve">JN°917</t>
  </si>
  <si>
    <t xml:space="preserve">DJ°401</t>
  </si>
  <si>
    <t xml:space="preserve">DJ-RT-041</t>
  </si>
  <si>
    <t xml:space="preserve">JN°918</t>
  </si>
  <si>
    <t xml:space="preserve">DJ°397</t>
  </si>
  <si>
    <t xml:space="preserve">JN°919</t>
  </si>
  <si>
    <t xml:space="preserve">(60-78)IU 1 P</t>
  </si>
  <si>
    <t xml:space="preserve">DJ°392</t>
  </si>
  <si>
    <t xml:space="preserve">JN°920</t>
  </si>
  <si>
    <t xml:space="preserve">DJ°406</t>
  </si>
  <si>
    <t xml:space="preserve">JN°921</t>
  </si>
  <si>
    <t xml:space="preserve">DJ°388</t>
  </si>
  <si>
    <t xml:space="preserve">DJ-VT-033</t>
  </si>
  <si>
    <t xml:space="preserve">DJ-RT-040</t>
  </si>
  <si>
    <t xml:space="preserve">JN°922</t>
  </si>
  <si>
    <t xml:space="preserve">DJ°386</t>
  </si>
  <si>
    <t xml:space="preserve">JN°923</t>
  </si>
  <si>
    <t xml:space="preserve">DJ°407</t>
  </si>
  <si>
    <t xml:space="preserve">JN°924</t>
  </si>
  <si>
    <t xml:space="preserve">WR-51-52/33-45</t>
  </si>
  <si>
    <t xml:space="preserve">L-VT-056</t>
  </si>
  <si>
    <t xml:space="preserve">L-RT-53</t>
  </si>
  <si>
    <t xml:space="preserve">DJ°403</t>
  </si>
  <si>
    <t xml:space="preserve">JN°925</t>
  </si>
  <si>
    <t xml:space="preserve">DJ°404</t>
  </si>
  <si>
    <t xml:space="preserve">JN°926</t>
  </si>
  <si>
    <t xml:space="preserve">(80-96)IU</t>
  </si>
  <si>
    <t xml:space="preserve">DJ°405</t>
  </si>
  <si>
    <t xml:space="preserve">JN°927</t>
  </si>
  <si>
    <t xml:space="preserve">WR-46/32</t>
  </si>
  <si>
    <t xml:space="preserve">L-VT-055</t>
  </si>
  <si>
    <t xml:space="preserve">(60-70)IU +(112-120)IU</t>
  </si>
  <si>
    <t xml:space="preserve">DJ°399</t>
  </si>
  <si>
    <t xml:space="preserve">JN°928</t>
  </si>
  <si>
    <t xml:space="preserve">RX(30-65)</t>
  </si>
  <si>
    <t xml:space="preserve">DJ°400</t>
  </si>
  <si>
    <t xml:space="preserve">JN°929</t>
  </si>
  <si>
    <t xml:space="preserve">DJ°398</t>
  </si>
  <si>
    <t xml:space="preserve">JN°930</t>
  </si>
  <si>
    <t xml:space="preserve">DJ°396</t>
  </si>
  <si>
    <t xml:space="preserve">JN°931</t>
  </si>
  <si>
    <t xml:space="preserve">DJ°395</t>
  </si>
  <si>
    <t xml:space="preserve">JN°932</t>
  </si>
  <si>
    <t xml:space="preserve">DJ°393</t>
  </si>
  <si>
    <t xml:space="preserve">JN°933</t>
  </si>
  <si>
    <t xml:space="preserve">WR-46-52/32-33/51-45</t>
  </si>
  <si>
    <t xml:space="preserve">L-VT-054</t>
  </si>
  <si>
    <t xml:space="preserve">JN°934</t>
  </si>
  <si>
    <t xml:space="preserve">JN°935</t>
  </si>
  <si>
    <t xml:space="preserve">(51-60)IU</t>
  </si>
  <si>
    <t xml:space="preserve">JN°936</t>
  </si>
  <si>
    <t xml:space="preserve">JN°937</t>
  </si>
  <si>
    <t xml:space="preserve">JN°938</t>
  </si>
  <si>
    <t xml:space="preserve">CINTRE</t>
  </si>
  <si>
    <t xml:space="preserve">JN°939</t>
  </si>
  <si>
    <t xml:space="preserve">T-ROUT</t>
  </si>
  <si>
    <t xml:space="preserve">JN°940</t>
  </si>
  <si>
    <t xml:space="preserve">JN°941</t>
  </si>
  <si>
    <t xml:space="preserve">JN°942</t>
  </si>
  <si>
    <t xml:space="preserve">JN°943</t>
  </si>
  <si>
    <t xml:space="preserve">JN°944</t>
  </si>
  <si>
    <t xml:space="preserve">JN°945</t>
  </si>
  <si>
    <t xml:space="preserve">JN°946</t>
  </si>
  <si>
    <t xml:space="preserve">JN°947</t>
  </si>
  <si>
    <t xml:space="preserve">JN°948</t>
  </si>
  <si>
    <t xml:space="preserve">JN°949</t>
  </si>
  <si>
    <t xml:space="preserve">JN°950</t>
  </si>
  <si>
    <t xml:space="preserve">JN°951</t>
  </si>
  <si>
    <t xml:space="preserve">JN°952</t>
  </si>
  <si>
    <t xml:space="preserve">JN°953</t>
  </si>
  <si>
    <t xml:space="preserve">T-41</t>
  </si>
  <si>
    <t xml:space="preserve">JN°954</t>
  </si>
  <si>
    <t xml:space="preserve">L-RT-050</t>
  </si>
  <si>
    <t xml:space="preserve">JN°955</t>
  </si>
  <si>
    <t xml:space="preserve">(10-12) excés p</t>
  </si>
  <si>
    <t xml:space="preserve">JN°956</t>
  </si>
  <si>
    <t xml:space="preserve">JN°957</t>
  </si>
  <si>
    <t xml:space="preserve">JN°958</t>
  </si>
  <si>
    <t xml:space="preserve">JN°959</t>
  </si>
  <si>
    <t xml:space="preserve">JN°960</t>
  </si>
  <si>
    <t xml:space="preserve">(66-70) IL BF</t>
  </si>
  <si>
    <t xml:space="preserve">JN°961</t>
  </si>
  <si>
    <t xml:space="preserve">(60-75) Ref F</t>
  </si>
  <si>
    <t xml:space="preserve">JN°962</t>
  </si>
  <si>
    <t xml:space="preserve">WR-51-52/32-33/50-40</t>
  </si>
  <si>
    <t xml:space="preserve">L-VT-052</t>
  </si>
  <si>
    <t xml:space="preserve">JN°963</t>
  </si>
  <si>
    <t xml:space="preserve">JN°964</t>
  </si>
  <si>
    <t xml:space="preserve">JN°965</t>
  </si>
  <si>
    <t xml:space="preserve">JN°966</t>
  </si>
  <si>
    <t xml:space="preserve">JN°967</t>
  </si>
  <si>
    <t xml:space="preserve">JN°968</t>
  </si>
  <si>
    <t xml:space="preserve">DJ°381</t>
  </si>
  <si>
    <t xml:space="preserve">JN°969</t>
  </si>
  <si>
    <t xml:space="preserve">L-RT-051</t>
  </si>
  <si>
    <t xml:space="preserve">(70-91) IU 1ere P</t>
  </si>
  <si>
    <t xml:space="preserve">DJ°382</t>
  </si>
  <si>
    <t xml:space="preserve">JN°970</t>
  </si>
  <si>
    <t xml:space="preserve">DJ°391</t>
  </si>
  <si>
    <t xml:space="preserve">DJ-VT-034</t>
  </si>
  <si>
    <t xml:space="preserve">JN°971</t>
  </si>
  <si>
    <t xml:space="preserve">DJ°390</t>
  </si>
  <si>
    <t xml:space="preserve">JN°972</t>
  </si>
  <si>
    <t xml:space="preserve">DJ°389</t>
  </si>
  <si>
    <t xml:space="preserve">JN°973</t>
  </si>
  <si>
    <t xml:space="preserve">DJ°383</t>
  </si>
  <si>
    <t xml:space="preserve">JN°974</t>
  </si>
  <si>
    <t xml:space="preserve">DJ°384</t>
  </si>
  <si>
    <t xml:space="preserve">JN°975</t>
  </si>
  <si>
    <t xml:space="preserve">DJ°385</t>
  </si>
  <si>
    <t xml:space="preserve">JN°976</t>
  </si>
  <si>
    <t xml:space="preserve">DJ°374</t>
  </si>
  <si>
    <t xml:space="preserve">JN°977</t>
  </si>
  <si>
    <t xml:space="preserve">(20-50) IU+(60-85)RF</t>
  </si>
  <si>
    <t xml:space="preserve">DJ°377</t>
  </si>
  <si>
    <t xml:space="preserve">JN°978</t>
  </si>
  <si>
    <t xml:space="preserve">DJ°373</t>
  </si>
  <si>
    <t xml:space="preserve">JN°979</t>
  </si>
  <si>
    <t xml:space="preserve">JN°980</t>
  </si>
  <si>
    <t xml:space="preserve">JN°981</t>
  </si>
  <si>
    <t xml:space="preserve">JN°982</t>
  </si>
  <si>
    <t xml:space="preserve">T-40</t>
  </si>
  <si>
    <t xml:space="preserve">DJ°378</t>
  </si>
  <si>
    <t xml:space="preserve">JN°983</t>
  </si>
  <si>
    <t xml:space="preserve">L-VT-053</t>
  </si>
  <si>
    <t xml:space="preserve">(09-10)Excés1P+(60-85)RF</t>
  </si>
  <si>
    <t xml:space="preserve">DJ°375</t>
  </si>
  <si>
    <t xml:space="preserve">JN°984</t>
  </si>
  <si>
    <t xml:space="preserve">(60-91)IU 1P</t>
  </si>
  <si>
    <t xml:space="preserve">DJ°379</t>
  </si>
  <si>
    <t xml:space="preserve">JN°985</t>
  </si>
  <si>
    <t xml:space="preserve">(90-115)IU 1P</t>
  </si>
  <si>
    <t xml:space="preserve">DJ°376</t>
  </si>
  <si>
    <t xml:space="preserve">JN°986</t>
  </si>
  <si>
    <t xml:space="preserve">JN°987</t>
  </si>
  <si>
    <t xml:space="preserve">JN°988</t>
  </si>
  <si>
    <t xml:space="preserve">JN°989</t>
  </si>
  <si>
    <t xml:space="preserve">T-39</t>
  </si>
  <si>
    <t xml:space="preserve">JN°990</t>
  </si>
  <si>
    <t xml:space="preserve">L-RT-047</t>
  </si>
  <si>
    <t xml:space="preserve">JN°991</t>
  </si>
  <si>
    <t xml:space="preserve">JN°992</t>
  </si>
  <si>
    <t xml:space="preserve">JN°993</t>
  </si>
  <si>
    <t xml:space="preserve">JN°994</t>
  </si>
  <si>
    <t xml:space="preserve">(60-100) IU+BT 1ere P</t>
  </si>
  <si>
    <t xml:space="preserve">DJ°380</t>
  </si>
  <si>
    <t xml:space="preserve">JN°995</t>
  </si>
  <si>
    <t xml:space="preserve">JN°996</t>
  </si>
  <si>
    <t xml:space="preserve">JN°997</t>
  </si>
  <si>
    <t xml:space="preserve">JN°998</t>
  </si>
  <si>
    <t xml:space="preserve">JN°999</t>
  </si>
  <si>
    <t xml:space="preserve">JN°1000</t>
  </si>
  <si>
    <t xml:space="preserve">WR-46-44/36-33/30-52/50-51/43-45</t>
  </si>
  <si>
    <t xml:space="preserve">L-VT-049</t>
  </si>
  <si>
    <t xml:space="preserve">JN°1001</t>
  </si>
  <si>
    <t xml:space="preserve">DJ°372</t>
  </si>
  <si>
    <t xml:space="preserve">DJ-VT-032</t>
  </si>
  <si>
    <t xml:space="preserve">JN°1002</t>
  </si>
  <si>
    <t xml:space="preserve">DJ°370</t>
  </si>
  <si>
    <t xml:space="preserve">JN°1003</t>
  </si>
  <si>
    <t xml:space="preserve">DJ°371</t>
  </si>
  <si>
    <t xml:space="preserve">JN°1004</t>
  </si>
  <si>
    <t xml:space="preserve">DJ°365</t>
  </si>
  <si>
    <t xml:space="preserve">DJ-VT-031</t>
  </si>
  <si>
    <t xml:space="preserve">JN°1005</t>
  </si>
  <si>
    <t xml:space="preserve">L-RT-048</t>
  </si>
  <si>
    <t xml:space="preserve">DJ°366</t>
  </si>
  <si>
    <t xml:space="preserve">JN°1006</t>
  </si>
  <si>
    <t xml:space="preserve">DJ°369</t>
  </si>
  <si>
    <t xml:space="preserve">JN°1007</t>
  </si>
  <si>
    <t xml:space="preserve">JN°1008</t>
  </si>
  <si>
    <t xml:space="preserve">DJ°358</t>
  </si>
  <si>
    <t xml:space="preserve">JN°1009</t>
  </si>
  <si>
    <t xml:space="preserve">DJ°357</t>
  </si>
  <si>
    <t xml:space="preserve">DJ-RT-037</t>
  </si>
  <si>
    <t xml:space="preserve">JN°1010</t>
  </si>
  <si>
    <t xml:space="preserve">T-ROUTE</t>
  </si>
  <si>
    <t xml:space="preserve">JN°1011</t>
  </si>
  <si>
    <t xml:space="preserve">JN°1012</t>
  </si>
  <si>
    <t xml:space="preserve">JN°1013</t>
  </si>
  <si>
    <t xml:space="preserve">JN°1014</t>
  </si>
  <si>
    <t xml:space="preserve">JN°1015</t>
  </si>
  <si>
    <t xml:space="preserve">JN°1016</t>
  </si>
  <si>
    <t xml:space="preserve">JN°1017</t>
  </si>
  <si>
    <t xml:space="preserve">JN°1018</t>
  </si>
  <si>
    <t xml:space="preserve">JN°1019</t>
  </si>
  <si>
    <t xml:space="preserve">JN°1020</t>
  </si>
  <si>
    <t xml:space="preserve">JN°1021</t>
  </si>
  <si>
    <t xml:space="preserve">JN°1022</t>
  </si>
  <si>
    <t xml:space="preserve">T-38</t>
  </si>
  <si>
    <t xml:space="preserve">DJ°363</t>
  </si>
  <si>
    <t xml:space="preserve">JN°1023</t>
  </si>
  <si>
    <t xml:space="preserve">DJ°364</t>
  </si>
  <si>
    <t xml:space="preserve">JN°1024</t>
  </si>
  <si>
    <t xml:space="preserve">DJ°359</t>
  </si>
  <si>
    <t xml:space="preserve">JN°1025</t>
  </si>
  <si>
    <t xml:space="preserve">DJ°356</t>
  </si>
  <si>
    <t xml:space="preserve">DJ-RT-036</t>
  </si>
  <si>
    <t xml:space="preserve">JN°1026</t>
  </si>
  <si>
    <t xml:space="preserve">DJ°362</t>
  </si>
  <si>
    <t xml:space="preserve">JN°1027</t>
  </si>
  <si>
    <t xml:space="preserve">JN°1028</t>
  </si>
  <si>
    <t xml:space="preserve">JN°1029</t>
  </si>
  <si>
    <t xml:space="preserve">T-37</t>
  </si>
  <si>
    <t xml:space="preserve">DJ°361</t>
  </si>
  <si>
    <t xml:space="preserve">JN°1030</t>
  </si>
  <si>
    <t xml:space="preserve">DJ°355</t>
  </si>
  <si>
    <t xml:space="preserve">JN°1031</t>
  </si>
  <si>
    <t xml:space="preserve">DJ°347</t>
  </si>
  <si>
    <t xml:space="preserve">JN°1032</t>
  </si>
  <si>
    <t xml:space="preserve">DJ°349</t>
  </si>
  <si>
    <t xml:space="preserve">JN°1033</t>
  </si>
  <si>
    <t xml:space="preserve">L-VT-050</t>
  </si>
  <si>
    <t xml:space="preserve">DJ°340</t>
  </si>
  <si>
    <t xml:space="preserve">JN°1034</t>
  </si>
  <si>
    <t xml:space="preserve">DJ°346</t>
  </si>
  <si>
    <t xml:space="preserve">JN°1035</t>
  </si>
  <si>
    <t xml:space="preserve">DJ°350</t>
  </si>
  <si>
    <t xml:space="preserve">JN°1036</t>
  </si>
  <si>
    <t xml:space="preserve">L-RT-049</t>
  </si>
  <si>
    <t xml:space="preserve">DJ°351</t>
  </si>
  <si>
    <t xml:space="preserve">JN°1037</t>
  </si>
  <si>
    <t xml:space="preserve">DJ°354</t>
  </si>
  <si>
    <t xml:space="preserve">JN°1038</t>
  </si>
  <si>
    <t xml:space="preserve">(54-70) IU 1 ere P</t>
  </si>
  <si>
    <t xml:space="preserve">DJ°348</t>
  </si>
  <si>
    <t xml:space="preserve">JN°1039</t>
  </si>
  <si>
    <t xml:space="preserve">(57-80) IU 1 ere P</t>
  </si>
  <si>
    <t xml:space="preserve">DJ°278</t>
  </si>
  <si>
    <t xml:space="preserve">DJ-VT-023</t>
  </si>
  <si>
    <t xml:space="preserve">DJ-RT-029</t>
  </si>
  <si>
    <t xml:space="preserve">JN°1040</t>
  </si>
  <si>
    <t xml:space="preserve">DJ°343</t>
  </si>
  <si>
    <t xml:space="preserve">JN°1041</t>
  </si>
  <si>
    <t xml:space="preserve">DJ°338</t>
  </si>
  <si>
    <t xml:space="preserve">JN°1042</t>
  </si>
  <si>
    <t xml:space="preserve">(55-80) IU 1 ere P</t>
  </si>
  <si>
    <t xml:space="preserve">DJ°336</t>
  </si>
  <si>
    <t xml:space="preserve">DJ-VT-028</t>
  </si>
  <si>
    <t xml:space="preserve">DJ-RT-035</t>
  </si>
  <si>
    <t xml:space="preserve">JN°1043</t>
  </si>
  <si>
    <t xml:space="preserve">DJ°337</t>
  </si>
  <si>
    <t xml:space="preserve">JN°1044</t>
  </si>
  <si>
    <t xml:space="preserve">(35-80) IU 1 ere P</t>
  </si>
  <si>
    <t xml:space="preserve">DJ°344</t>
  </si>
  <si>
    <t xml:space="preserve">JN°1045</t>
  </si>
  <si>
    <t xml:space="preserve">JN°1046</t>
  </si>
  <si>
    <t xml:space="preserve">JN°1047</t>
  </si>
  <si>
    <t xml:space="preserve">JN°1048</t>
  </si>
  <si>
    <t xml:space="preserve">JN°1049</t>
  </si>
  <si>
    <t xml:space="preserve">JN°1050</t>
  </si>
  <si>
    <t xml:space="preserve">JN°1051</t>
  </si>
  <si>
    <t xml:space="preserve">JN°1052</t>
  </si>
  <si>
    <t xml:space="preserve">JN°1053</t>
  </si>
  <si>
    <t xml:space="preserve">JN°1054</t>
  </si>
  <si>
    <t xml:space="preserve">JN°1055</t>
  </si>
  <si>
    <t xml:space="preserve">JN°1056</t>
  </si>
  <si>
    <t xml:space="preserve">JN°1057</t>
  </si>
  <si>
    <t xml:space="preserve">T-36</t>
  </si>
  <si>
    <t xml:space="preserve">DJ°342</t>
  </si>
  <si>
    <t xml:space="preserve">JN°1058</t>
  </si>
  <si>
    <t xml:space="preserve">L-RT-045</t>
  </si>
  <si>
    <t xml:space="preserve">DJ°329</t>
  </si>
  <si>
    <t xml:space="preserve">JN°1059</t>
  </si>
  <si>
    <t xml:space="preserve">DJ°330</t>
  </si>
  <si>
    <t xml:space="preserve">JN°1060</t>
  </si>
  <si>
    <t xml:space="preserve">DJ°328</t>
  </si>
  <si>
    <t xml:space="preserve">JN°1061</t>
  </si>
  <si>
    <t xml:space="preserve">DJ°331</t>
  </si>
  <si>
    <t xml:space="preserve">JN°1062</t>
  </si>
  <si>
    <t xml:space="preserve">DJ°327</t>
  </si>
  <si>
    <t xml:space="preserve">JN°1063</t>
  </si>
  <si>
    <t xml:space="preserve">L-VT-051</t>
  </si>
  <si>
    <t xml:space="preserve">DJ°334</t>
  </si>
  <si>
    <t xml:space="preserve">JN°1064</t>
  </si>
  <si>
    <t xml:space="preserve">DJ°332</t>
  </si>
  <si>
    <t xml:space="preserve">JN°1065</t>
  </si>
  <si>
    <t xml:space="preserve">DJ°326</t>
  </si>
  <si>
    <t xml:space="preserve">JN°1066</t>
  </si>
  <si>
    <t xml:space="preserve">DJ°323</t>
  </si>
  <si>
    <t xml:space="preserve">DJ-VT-027</t>
  </si>
  <si>
    <t xml:space="preserve">DJ-RT-034</t>
  </si>
  <si>
    <t xml:space="preserve">JN°1067</t>
  </si>
  <si>
    <t xml:space="preserve">DJ°320</t>
  </si>
  <si>
    <t xml:space="preserve">DJ-VT-026</t>
  </si>
  <si>
    <t xml:space="preserve">DJ-RT-033</t>
  </si>
  <si>
    <t xml:space="preserve">JN°1068</t>
  </si>
  <si>
    <t xml:space="preserve">DJ°321</t>
  </si>
  <si>
    <t xml:space="preserve">JN°1069</t>
  </si>
  <si>
    <t xml:space="preserve">D</t>
  </si>
  <si>
    <t xml:space="preserve">L-VT-047</t>
  </si>
  <si>
    <t xml:space="preserve">(65-85) IU 1 ere P</t>
  </si>
  <si>
    <t xml:space="preserve">DJ°322</t>
  </si>
  <si>
    <t xml:space="preserve">JN°1070</t>
  </si>
  <si>
    <t xml:space="preserve">RX TOTAL</t>
  </si>
  <si>
    <t xml:space="preserve">DJ°324</t>
  </si>
  <si>
    <t xml:space="preserve">JN°1071</t>
  </si>
  <si>
    <t xml:space="preserve">DJ°325</t>
  </si>
  <si>
    <t xml:space="preserve">JN°1072</t>
  </si>
  <si>
    <t xml:space="preserve">DJ°319</t>
  </si>
  <si>
    <t xml:space="preserve">JN°1073</t>
  </si>
  <si>
    <t xml:space="preserve">DJ°318</t>
  </si>
  <si>
    <t xml:space="preserve">WR-038</t>
  </si>
  <si>
    <t xml:space="preserve">DJ-VT-025</t>
  </si>
  <si>
    <t xml:space="preserve">JN°1074</t>
  </si>
  <si>
    <t xml:space="preserve">L-RT-046</t>
  </si>
  <si>
    <t xml:space="preserve">DJ°308</t>
  </si>
  <si>
    <t xml:space="preserve">DJ-RT-032</t>
  </si>
  <si>
    <t xml:space="preserve">JN°1075</t>
  </si>
  <si>
    <t xml:space="preserve">DJ°311</t>
  </si>
  <si>
    <t xml:space="preserve">JN°1076</t>
  </si>
  <si>
    <t xml:space="preserve">DJ°309</t>
  </si>
  <si>
    <t xml:space="preserve">JN°1077</t>
  </si>
  <si>
    <t xml:space="preserve">JN°1078</t>
  </si>
  <si>
    <t xml:space="preserve">JN°1079</t>
  </si>
  <si>
    <t xml:space="preserve">T-35</t>
  </si>
  <si>
    <t xml:space="preserve">DJ°312</t>
  </si>
  <si>
    <t xml:space="preserve">JN°1080</t>
  </si>
  <si>
    <t xml:space="preserve">DJ°310</t>
  </si>
  <si>
    <t xml:space="preserve">JN°1081</t>
  </si>
  <si>
    <t xml:space="preserve">DJ°304</t>
  </si>
  <si>
    <t xml:space="preserve">DJ-VT-024</t>
  </si>
  <si>
    <t xml:space="preserve">JN°1082</t>
  </si>
  <si>
    <t xml:space="preserve">L-RT-043</t>
  </si>
  <si>
    <t xml:space="preserve">DJ°305</t>
  </si>
  <si>
    <t xml:space="preserve">JN°1083</t>
  </si>
  <si>
    <t xml:space="preserve">DJ°296</t>
  </si>
  <si>
    <t xml:space="preserve">DJ-RT-031</t>
  </si>
  <si>
    <t xml:space="preserve">JN°1084</t>
  </si>
  <si>
    <t xml:space="preserve">DJ°317</t>
  </si>
  <si>
    <t xml:space="preserve">JN°1085</t>
  </si>
  <si>
    <t xml:space="preserve">(65-90) IU 1ere P</t>
  </si>
  <si>
    <t xml:space="preserve">DJ°291</t>
  </si>
  <si>
    <t xml:space="preserve">JN°1086</t>
  </si>
  <si>
    <t xml:space="preserve">DJ°314</t>
  </si>
  <si>
    <t xml:space="preserve">JN°1087</t>
  </si>
  <si>
    <t xml:space="preserve">DJ°316</t>
  </si>
  <si>
    <t xml:space="preserve">JN°1088</t>
  </si>
  <si>
    <t xml:space="preserve">DJ°315</t>
  </si>
  <si>
    <t xml:space="preserve">JN°1089</t>
  </si>
  <si>
    <t xml:space="preserve">L-VT-048</t>
  </si>
  <si>
    <t xml:space="preserve">(74-95) IU 1ere P</t>
  </si>
  <si>
    <t xml:space="preserve">DJ°299</t>
  </si>
  <si>
    <t xml:space="preserve">JN°1090</t>
  </si>
  <si>
    <t xml:space="preserve">DJ°103</t>
  </si>
  <si>
    <t xml:space="preserve">DJ-VT-010</t>
  </si>
  <si>
    <t xml:space="preserve">DJ-RT-010</t>
  </si>
  <si>
    <t xml:space="preserve">JN°1091</t>
  </si>
  <si>
    <t xml:space="preserve">(70-85) IU 1ere P</t>
  </si>
  <si>
    <t xml:space="preserve">DJ°090</t>
  </si>
  <si>
    <t xml:space="preserve">DJ-VT-009</t>
  </si>
  <si>
    <t xml:space="preserve">JN°1092</t>
  </si>
  <si>
    <t xml:space="preserve">L-VT-045</t>
  </si>
  <si>
    <t xml:space="preserve">DJ°093</t>
  </si>
  <si>
    <t xml:space="preserve">DJ-RT-011</t>
  </si>
  <si>
    <t xml:space="preserve">JN°1093</t>
  </si>
  <si>
    <t xml:space="preserve">DJ°086</t>
  </si>
  <si>
    <t xml:space="preserve">JN°1094</t>
  </si>
  <si>
    <t xml:space="preserve">DJ°087</t>
  </si>
  <si>
    <t xml:space="preserve">JN°1095</t>
  </si>
  <si>
    <t xml:space="preserve">DJ°085</t>
  </si>
  <si>
    <t xml:space="preserve">JN°1096</t>
  </si>
  <si>
    <t xml:space="preserve">DJ°073</t>
  </si>
  <si>
    <t xml:space="preserve">DJ-VT-007</t>
  </si>
  <si>
    <t xml:space="preserve">JN°1097</t>
  </si>
  <si>
    <t xml:space="preserve">JN°1098</t>
  </si>
  <si>
    <t xml:space="preserve">JN°1099</t>
  </si>
  <si>
    <t xml:space="preserve">JN°1100</t>
  </si>
  <si>
    <t xml:space="preserve">JN°1101</t>
  </si>
  <si>
    <t xml:space="preserve">JN°1102</t>
  </si>
  <si>
    <t xml:space="preserve">JN°1103</t>
  </si>
  <si>
    <t xml:space="preserve">JN°1104</t>
  </si>
  <si>
    <t xml:space="preserve">T-34</t>
  </si>
  <si>
    <t xml:space="preserve">DJ°094</t>
  </si>
  <si>
    <t xml:space="preserve">JN°1105</t>
  </si>
  <si>
    <t xml:space="preserve">DJ°091</t>
  </si>
  <si>
    <t xml:space="preserve">JN°1106</t>
  </si>
  <si>
    <t xml:space="preserve">DJ°302</t>
  </si>
  <si>
    <t xml:space="preserve">JN°1107</t>
  </si>
  <si>
    <t xml:space="preserve">L-RT-044</t>
  </si>
  <si>
    <t xml:space="preserve">DJ°293</t>
  </si>
  <si>
    <t xml:space="preserve">JN°1108</t>
  </si>
  <si>
    <t xml:space="preserve">(50-65) IU 1ere P</t>
  </si>
  <si>
    <t xml:space="preserve">DJ°289</t>
  </si>
  <si>
    <t xml:space="preserve">DJ-RT-030</t>
  </si>
  <si>
    <t xml:space="preserve">JN°1109</t>
  </si>
  <si>
    <t xml:space="preserve">DJ°277</t>
  </si>
  <si>
    <t xml:space="preserve">JN°1110</t>
  </si>
  <si>
    <t xml:space="preserve">DJ°290</t>
  </si>
  <si>
    <t xml:space="preserve">JN°1111</t>
  </si>
  <si>
    <t xml:space="preserve">DJ°274</t>
  </si>
  <si>
    <t xml:space="preserve">DJ-VT-022</t>
  </si>
  <si>
    <t xml:space="preserve">JN°1112</t>
  </si>
  <si>
    <t xml:space="preserve">JN°1113</t>
  </si>
  <si>
    <t xml:space="preserve">T-33</t>
  </si>
  <si>
    <t xml:space="preserve">DJ°295</t>
  </si>
  <si>
    <t xml:space="preserve">JN°1114</t>
  </si>
  <si>
    <t xml:space="preserve">DJ°303</t>
  </si>
  <si>
    <t xml:space="preserve">JN°1115</t>
  </si>
  <si>
    <t xml:space="preserve">DJ°297</t>
  </si>
  <si>
    <t xml:space="preserve">JN°1116</t>
  </si>
  <si>
    <t xml:space="preserve">DJ°300</t>
  </si>
  <si>
    <t xml:space="preserve">JN°1117</t>
  </si>
  <si>
    <t xml:space="preserve">DJ°288</t>
  </si>
  <si>
    <t xml:space="preserve">JN°1118</t>
  </si>
  <si>
    <t xml:space="preserve">JN°1119</t>
  </si>
  <si>
    <t xml:space="preserve">JN°1120</t>
  </si>
  <si>
    <t xml:space="preserve">JN°1121</t>
  </si>
  <si>
    <t xml:space="preserve">T-32</t>
  </si>
  <si>
    <t xml:space="preserve">DJ°287</t>
  </si>
  <si>
    <t xml:space="preserve">JN°1122</t>
  </si>
  <si>
    <t xml:space="preserve">DJ°279</t>
  </si>
  <si>
    <t xml:space="preserve">JN°1123</t>
  </si>
  <si>
    <t xml:space="preserve">L-VT-046</t>
  </si>
  <si>
    <t xml:space="preserve">(65-80) IU 1 ere P</t>
  </si>
  <si>
    <t xml:space="preserve">DJ°306</t>
  </si>
  <si>
    <t xml:space="preserve">JN°1124</t>
  </si>
  <si>
    <t xml:space="preserve">(60-80) IU 1 ere P</t>
  </si>
  <si>
    <t xml:space="preserve">DJ°294</t>
  </si>
  <si>
    <t xml:space="preserve">JN°1125</t>
  </si>
  <si>
    <t xml:space="preserve">JN°1126</t>
  </si>
  <si>
    <t xml:space="preserve">JN°1127</t>
  </si>
  <si>
    <t xml:space="preserve">JN°1128</t>
  </si>
  <si>
    <t xml:space="preserve">JN°1129</t>
  </si>
  <si>
    <t xml:space="preserve">JN°1130</t>
  </si>
  <si>
    <t xml:space="preserve">JN°1131</t>
  </si>
  <si>
    <t xml:space="preserve">JN°1132</t>
  </si>
  <si>
    <t xml:space="preserve">JN°1133</t>
  </si>
  <si>
    <t xml:space="preserve">JN°1134</t>
  </si>
  <si>
    <t xml:space="preserve">JN°1135</t>
  </si>
  <si>
    <t xml:space="preserve">JN°1136</t>
  </si>
  <si>
    <t xml:space="preserve">JN°1137</t>
  </si>
  <si>
    <t xml:space="preserve">T-31</t>
  </si>
  <si>
    <t xml:space="preserve">DJ°301</t>
  </si>
  <si>
    <t xml:space="preserve">JN°1138</t>
  </si>
  <si>
    <t xml:space="preserve">L-RT-041</t>
  </si>
  <si>
    <t xml:space="preserve">DJ°292</t>
  </si>
  <si>
    <t xml:space="preserve">JN°1139</t>
  </si>
  <si>
    <t xml:space="preserve">DJ°286</t>
  </si>
  <si>
    <t xml:space="preserve">JN°1140</t>
  </si>
  <si>
    <t xml:space="preserve">DJ°280</t>
  </si>
  <si>
    <t xml:space="preserve">JN°1141</t>
  </si>
  <si>
    <t xml:space="preserve">DJ°281</t>
  </si>
  <si>
    <t xml:space="preserve">JN°1142</t>
  </si>
  <si>
    <t xml:space="preserve">JN°1143</t>
  </si>
  <si>
    <t xml:space="preserve">T-30</t>
  </si>
  <si>
    <t xml:space="preserve">DJ°282</t>
  </si>
  <si>
    <t xml:space="preserve">JN°1144</t>
  </si>
  <si>
    <t xml:space="preserve">DJ°285</t>
  </si>
  <si>
    <t xml:space="preserve">JN°1145</t>
  </si>
  <si>
    <t xml:space="preserve">DJ°275</t>
  </si>
  <si>
    <t xml:space="preserve">JN°1146</t>
  </si>
  <si>
    <t xml:space="preserve">DJ°283</t>
  </si>
  <si>
    <t xml:space="preserve">JN°1147</t>
  </si>
  <si>
    <t xml:space="preserve">DJ°284</t>
  </si>
  <si>
    <t xml:space="preserve">JN°1148</t>
  </si>
  <si>
    <t xml:space="preserve">valaise</t>
  </si>
  <si>
    <t xml:space="preserve">JN°1149</t>
  </si>
  <si>
    <t xml:space="preserve">JN°1150</t>
  </si>
  <si>
    <t xml:space="preserve">JN°1151</t>
  </si>
  <si>
    <t xml:space="preserve">JN°1152</t>
  </si>
  <si>
    <t xml:space="preserve">JN°1153</t>
  </si>
  <si>
    <t xml:space="preserve">JN°1154</t>
  </si>
  <si>
    <t xml:space="preserve">JN°1155</t>
  </si>
  <si>
    <t xml:space="preserve">JN°1156</t>
  </si>
  <si>
    <t xml:space="preserve">JN°1157</t>
  </si>
  <si>
    <t xml:space="preserve">JN°1158</t>
  </si>
  <si>
    <t xml:space="preserve">JN°1159</t>
  </si>
  <si>
    <t xml:space="preserve">JN°1160</t>
  </si>
  <si>
    <t xml:space="preserve">JN°1161</t>
  </si>
  <si>
    <t xml:space="preserve">JN°1162</t>
  </si>
  <si>
    <t xml:space="preserve">JN°1163</t>
  </si>
  <si>
    <t xml:space="preserve">JN°1164</t>
  </si>
  <si>
    <t xml:space="preserve">JN°1165</t>
  </si>
  <si>
    <t xml:space="preserve">JN°1166</t>
  </si>
  <si>
    <t xml:space="preserve">JN°1167</t>
  </si>
  <si>
    <t xml:space="preserve">JN°1168</t>
  </si>
  <si>
    <t xml:space="preserve">JN°1169</t>
  </si>
  <si>
    <t xml:space="preserve">JN°1170</t>
  </si>
  <si>
    <t xml:space="preserve">JN°1171</t>
  </si>
  <si>
    <t xml:space="preserve">JN°1172</t>
  </si>
  <si>
    <t xml:space="preserve">JN°1173</t>
  </si>
  <si>
    <t xml:space="preserve">JN°1174</t>
  </si>
  <si>
    <t xml:space="preserve">JN°1175</t>
  </si>
  <si>
    <t xml:space="preserve">JN°1176</t>
  </si>
  <si>
    <t xml:space="preserve">JN°1177</t>
  </si>
  <si>
    <t xml:space="preserve">JN°1178</t>
  </si>
  <si>
    <t xml:space="preserve">JN°1179</t>
  </si>
  <si>
    <t xml:space="preserve">JN°1180</t>
  </si>
  <si>
    <t xml:space="preserve">JN°1181</t>
  </si>
  <si>
    <t xml:space="preserve">JN°1182</t>
  </si>
  <si>
    <t xml:space="preserve">JN°1183</t>
  </si>
  <si>
    <t xml:space="preserve">JN°1184</t>
  </si>
  <si>
    <t xml:space="preserve">JN°1185</t>
  </si>
  <si>
    <t xml:space="preserve">JN°1186</t>
  </si>
  <si>
    <t xml:space="preserve">JN°1187</t>
  </si>
  <si>
    <t xml:space="preserve">JN°1188</t>
  </si>
  <si>
    <t xml:space="preserve">JN°1189</t>
  </si>
  <si>
    <t xml:space="preserve">JN°1190</t>
  </si>
  <si>
    <t xml:space="preserve">JN°1191</t>
  </si>
  <si>
    <t xml:space="preserve">JN°1192</t>
  </si>
  <si>
    <t xml:space="preserve">JN°1193</t>
  </si>
  <si>
    <t xml:space="preserve">JN°1194</t>
  </si>
  <si>
    <t xml:space="preserve">JN°1195</t>
  </si>
  <si>
    <t xml:space="preserve">JN°1196</t>
  </si>
  <si>
    <t xml:space="preserve">JN°1197</t>
  </si>
  <si>
    <t xml:space="preserve">JN°1198</t>
  </si>
  <si>
    <t xml:space="preserve">JN°1199</t>
  </si>
  <si>
    <t xml:space="preserve">JN°1200</t>
  </si>
  <si>
    <t xml:space="preserve">JN°1201</t>
  </si>
  <si>
    <t xml:space="preserve">JN°1202</t>
  </si>
  <si>
    <t xml:space="preserve">JN°1203</t>
  </si>
  <si>
    <t xml:space="preserve">JN°1204</t>
  </si>
  <si>
    <t xml:space="preserve">JN°1205</t>
  </si>
  <si>
    <t xml:space="preserve">JN°1206</t>
  </si>
  <si>
    <t xml:space="preserve">JN°1207</t>
  </si>
  <si>
    <t xml:space="preserve">JN°1208</t>
  </si>
  <si>
    <t xml:space="preserve">JN°1209</t>
  </si>
  <si>
    <t xml:space="preserve">JN°1210</t>
  </si>
  <si>
    <t xml:space="preserve">JN°1211</t>
  </si>
  <si>
    <t xml:space="preserve">JN°1212</t>
  </si>
  <si>
    <t xml:space="preserve">JN°1213</t>
  </si>
  <si>
    <t xml:space="preserve">JN°1214</t>
  </si>
  <si>
    <t xml:space="preserve">JN°1215</t>
  </si>
  <si>
    <t xml:space="preserve">JN°1216</t>
  </si>
  <si>
    <t xml:space="preserve">JN°1217</t>
  </si>
  <si>
    <t xml:space="preserve">JN°1218</t>
  </si>
  <si>
    <t xml:space="preserve">JN°1219</t>
  </si>
  <si>
    <t xml:space="preserve">JN°1220</t>
  </si>
  <si>
    <t xml:space="preserve">JN°1221</t>
  </si>
  <si>
    <t xml:space="preserve">JN°1222</t>
  </si>
  <si>
    <t xml:space="preserve">JN°1223</t>
  </si>
  <si>
    <t xml:space="preserve">JN°1224</t>
  </si>
  <si>
    <t xml:space="preserve">T-29</t>
  </si>
  <si>
    <t xml:space="preserve">DJ°276</t>
  </si>
  <si>
    <t xml:space="preserve">JN°1225</t>
  </si>
  <si>
    <t xml:space="preserve">L-VT-044</t>
  </si>
  <si>
    <t xml:space="preserve">DJ°231</t>
  </si>
  <si>
    <t xml:space="preserve">DJ-VT-019</t>
  </si>
  <si>
    <t xml:space="preserve">DJ-RT-024</t>
  </si>
  <si>
    <t xml:space="preserve">JN°1226</t>
  </si>
  <si>
    <t xml:space="preserve">DJ°272</t>
  </si>
  <si>
    <t xml:space="preserve">DJ-RT-028</t>
  </si>
  <si>
    <t xml:space="preserve">JN°1227</t>
  </si>
  <si>
    <t xml:space="preserve">DJ°247</t>
  </si>
  <si>
    <t xml:space="preserve">DJ-VT-020</t>
  </si>
  <si>
    <t xml:space="preserve">DJ-RT-026</t>
  </si>
  <si>
    <t xml:space="preserve">JN°1228</t>
  </si>
  <si>
    <t xml:space="preserve">(60-85) IU 1 Passe</t>
  </si>
  <si>
    <t xml:space="preserve">DJ°267</t>
  </si>
  <si>
    <t xml:space="preserve">JN°1229</t>
  </si>
  <si>
    <t xml:space="preserve">DJ°237</t>
  </si>
  <si>
    <t xml:space="preserve">JN°1230</t>
  </si>
  <si>
    <t xml:space="preserve">(50-75) IU 1 Passe</t>
  </si>
  <si>
    <t xml:space="preserve">DJ°244</t>
  </si>
  <si>
    <t xml:space="preserve">JN°1231</t>
  </si>
  <si>
    <t xml:space="preserve">(50-90) IU 1 Passe</t>
  </si>
  <si>
    <t xml:space="preserve">DJ°262</t>
  </si>
  <si>
    <t xml:space="preserve">DJ-VT-021</t>
  </si>
  <si>
    <t xml:space="preserve">DJ-RT-027</t>
  </si>
  <si>
    <t xml:space="preserve">JN°1232</t>
  </si>
  <si>
    <t xml:space="preserve">L-RT-042</t>
  </si>
  <si>
    <t xml:space="preserve">DJ°261</t>
  </si>
  <si>
    <t xml:space="preserve">JN°1233</t>
  </si>
  <si>
    <t xml:space="preserve">DJ°235</t>
  </si>
  <si>
    <t xml:space="preserve">JN°1234</t>
  </si>
  <si>
    <t xml:space="preserve">DJ°270</t>
  </si>
  <si>
    <t xml:space="preserve">JN°1235</t>
  </si>
  <si>
    <t xml:space="preserve">(50-85) IU 1 Passe</t>
  </si>
  <si>
    <t xml:space="preserve">DJ°250</t>
  </si>
  <si>
    <t xml:space="preserve">JN°1236</t>
  </si>
  <si>
    <t xml:space="preserve">(55-85) IU 1 Passe</t>
  </si>
  <si>
    <t xml:space="preserve">DJ°246</t>
  </si>
  <si>
    <t xml:space="preserve">JN°1237</t>
  </si>
  <si>
    <t xml:space="preserve">JN°1238</t>
  </si>
  <si>
    <t xml:space="preserve">JN°1239</t>
  </si>
  <si>
    <t xml:space="preserve">JN°1240</t>
  </si>
  <si>
    <t xml:space="preserve">T-28</t>
  </si>
  <si>
    <t xml:space="preserve">DJ°268</t>
  </si>
  <si>
    <t xml:space="preserve">JN°1241</t>
  </si>
  <si>
    <t xml:space="preserve">WR-46-44/36-33/32-52/50-51/43-45</t>
  </si>
  <si>
    <t xml:space="preserve">L-RT-038</t>
  </si>
  <si>
    <t xml:space="preserve">DJ°269</t>
  </si>
  <si>
    <t xml:space="preserve">JN°1242</t>
  </si>
  <si>
    <t xml:space="preserve">DJ°271</t>
  </si>
  <si>
    <t xml:space="preserve">JN°1243</t>
  </si>
  <si>
    <t xml:space="preserve">DJ°273</t>
  </si>
  <si>
    <t xml:space="preserve">JN°1244</t>
  </si>
  <si>
    <t xml:space="preserve">DJ°242</t>
  </si>
  <si>
    <t xml:space="preserve">DJ-RT-025</t>
  </si>
  <si>
    <t xml:space="preserve">JN°1245</t>
  </si>
  <si>
    <t xml:space="preserve">L-VT-043</t>
  </si>
  <si>
    <t xml:space="preserve">DJ°236</t>
  </si>
  <si>
    <t xml:space="preserve">JN°1246</t>
  </si>
  <si>
    <t xml:space="preserve">DJ°255</t>
  </si>
  <si>
    <t xml:space="preserve">JN°1247</t>
  </si>
  <si>
    <t xml:space="preserve">DJ°256</t>
  </si>
  <si>
    <t xml:space="preserve">JN°1248</t>
  </si>
  <si>
    <t xml:space="preserve">JN°1249</t>
  </si>
  <si>
    <t xml:space="preserve">JN°1250</t>
  </si>
  <si>
    <t xml:space="preserve">JN°1251</t>
  </si>
  <si>
    <t xml:space="preserve">JN°1252</t>
  </si>
  <si>
    <t xml:space="preserve">JN°1253</t>
  </si>
  <si>
    <t xml:space="preserve">JN°1254</t>
  </si>
  <si>
    <t xml:space="preserve">JN°1255</t>
  </si>
  <si>
    <t xml:space="preserve">JN°1256</t>
  </si>
  <si>
    <t xml:space="preserve">JN°1257</t>
  </si>
  <si>
    <t xml:space="preserve">JN°1258</t>
  </si>
  <si>
    <t xml:space="preserve">JN°1259</t>
  </si>
  <si>
    <t xml:space="preserve">T-27</t>
  </si>
  <si>
    <t xml:space="preserve">DJ°258</t>
  </si>
  <si>
    <t xml:space="preserve">JN°1260</t>
  </si>
  <si>
    <t xml:space="preserve">DJ°259</t>
  </si>
  <si>
    <t xml:space="preserve">JN°1261</t>
  </si>
  <si>
    <t xml:space="preserve">JN°1262</t>
  </si>
  <si>
    <t xml:space="preserve">JN°1263</t>
  </si>
  <si>
    <t xml:space="preserve">JN°1264</t>
  </si>
  <si>
    <t xml:space="preserve">JN°1265</t>
  </si>
  <si>
    <t xml:space="preserve">JN°1266</t>
  </si>
  <si>
    <t xml:space="preserve">JN°1267</t>
  </si>
  <si>
    <t xml:space="preserve">JN°1268</t>
  </si>
  <si>
    <t xml:space="preserve">JN°1269</t>
  </si>
  <si>
    <t xml:space="preserve">JN°1270</t>
  </si>
  <si>
    <t xml:space="preserve">JN°1271</t>
  </si>
  <si>
    <t xml:space="preserve">JN°1272</t>
  </si>
  <si>
    <t xml:space="preserve">JN°1273</t>
  </si>
  <si>
    <t xml:space="preserve">JN°1274</t>
  </si>
  <si>
    <t xml:space="preserve">T-26</t>
  </si>
  <si>
    <t xml:space="preserve">DJ°252</t>
  </si>
  <si>
    <t xml:space="preserve">JN°1275</t>
  </si>
  <si>
    <t xml:space="preserve">DJ°251</t>
  </si>
  <si>
    <t xml:space="preserve">JN°1276</t>
  </si>
  <si>
    <t xml:space="preserve">DJ°266</t>
  </si>
  <si>
    <t xml:space="preserve">JN°1277</t>
  </si>
  <si>
    <t xml:space="preserve">DJ°260</t>
  </si>
  <si>
    <t xml:space="preserve">JN°1278</t>
  </si>
  <si>
    <t xml:space="preserve">DJ°253</t>
  </si>
  <si>
    <t xml:space="preserve">JN°1279</t>
  </si>
  <si>
    <t xml:space="preserve">(73-90) I,U 1 er Passe</t>
  </si>
  <si>
    <t xml:space="preserve">DJ°263</t>
  </si>
  <si>
    <t xml:space="preserve">JN°1280</t>
  </si>
  <si>
    <t xml:space="preserve">DJ°257</t>
  </si>
  <si>
    <t xml:space="preserve">JN°1281</t>
  </si>
  <si>
    <t xml:space="preserve">L-RT-039</t>
  </si>
  <si>
    <t xml:space="preserve">DJ°254</t>
  </si>
  <si>
    <t xml:space="preserve">JN°1282R</t>
  </si>
  <si>
    <t xml:space="preserve">TFTII-REP-PL01</t>
  </si>
  <si>
    <t xml:space="preserve">WR-32</t>
  </si>
  <si>
    <t xml:space="preserve">(55-80) I,U 1 er Passe</t>
  </si>
  <si>
    <t xml:space="preserve">DJ°265</t>
  </si>
  <si>
    <t xml:space="preserve">JN°1283</t>
  </si>
  <si>
    <t xml:space="preserve">DJ°264</t>
  </si>
  <si>
    <t xml:space="preserve">JN°1284R</t>
  </si>
  <si>
    <t xml:space="preserve">(30-90) Refair Finition</t>
  </si>
  <si>
    <t xml:space="preserve">DJ°238</t>
  </si>
  <si>
    <t xml:space="preserve">JN°1285</t>
  </si>
  <si>
    <t xml:space="preserve">DJ°249</t>
  </si>
  <si>
    <t xml:space="preserve">JN°1286</t>
  </si>
  <si>
    <t xml:space="preserve">DJ°243</t>
  </si>
  <si>
    <t xml:space="preserve">JN°1287</t>
  </si>
  <si>
    <t xml:space="preserve">L-VT-042</t>
  </si>
  <si>
    <t xml:space="preserve">DJ°245</t>
  </si>
  <si>
    <t xml:space="preserve">JN°1288R</t>
  </si>
  <si>
    <t xml:space="preserve">L-VT-068</t>
  </si>
  <si>
    <t xml:space="preserve">(80-93) I,U 1 er Passe</t>
  </si>
  <si>
    <t xml:space="preserve">DJ°240</t>
  </si>
  <si>
    <t xml:space="preserve">JN°1289</t>
  </si>
  <si>
    <t xml:space="preserve">DJ°248</t>
  </si>
  <si>
    <t xml:space="preserve">JN°1290R</t>
  </si>
  <si>
    <t xml:space="preserve">WR-52</t>
  </si>
  <si>
    <t xml:space="preserve">(70-95) I,U 1 er Passe</t>
  </si>
  <si>
    <t xml:space="preserve">DJ°241</t>
  </si>
  <si>
    <t xml:space="preserve">JN°1291</t>
  </si>
  <si>
    <t xml:space="preserve">DJ°239</t>
  </si>
  <si>
    <t xml:space="preserve">JN°1292</t>
  </si>
  <si>
    <t xml:space="preserve">DJ°217</t>
  </si>
  <si>
    <t xml:space="preserve">DJ-VT-018</t>
  </si>
  <si>
    <t xml:space="preserve">JN°1293R</t>
  </si>
  <si>
    <t xml:space="preserve">(85-100) I,U 1 er Passe</t>
  </si>
  <si>
    <t xml:space="preserve">DJ°199</t>
  </si>
  <si>
    <t xml:space="preserve">DJ-VT-017</t>
  </si>
  <si>
    <t xml:space="preserve">JN°1294R</t>
  </si>
  <si>
    <t xml:space="preserve">(50-90) I,U 1 erPasse</t>
  </si>
  <si>
    <t xml:space="preserve">DJ°232</t>
  </si>
  <si>
    <t xml:space="preserve">JN°1295</t>
  </si>
  <si>
    <t xml:space="preserve">(60-80) I,U 1 er Passe</t>
  </si>
  <si>
    <t xml:space="preserve">DJ°233</t>
  </si>
  <si>
    <t xml:space="preserve">JN°1296</t>
  </si>
  <si>
    <t xml:space="preserve">L-RT-040</t>
  </si>
  <si>
    <t xml:space="preserve">DJ°234</t>
  </si>
  <si>
    <t xml:space="preserve">JN°1297R</t>
  </si>
  <si>
    <t xml:space="preserve">(75-100) I,U 1 er Passe</t>
  </si>
  <si>
    <t xml:space="preserve">DJ°230</t>
  </si>
  <si>
    <t xml:space="preserve">JN°1298R</t>
  </si>
  <si>
    <t xml:space="preserve">(55-70) Refair Finition</t>
  </si>
  <si>
    <t xml:space="preserve">DJ°215</t>
  </si>
  <si>
    <t xml:space="preserve">DJ-RT-022</t>
  </si>
  <si>
    <t xml:space="preserve">JN°1299</t>
  </si>
  <si>
    <t xml:space="preserve">DJ°229</t>
  </si>
  <si>
    <t xml:space="preserve">JN°1300</t>
  </si>
  <si>
    <t xml:space="preserve">JN°1301</t>
  </si>
  <si>
    <t xml:space="preserve">JN°1302</t>
  </si>
  <si>
    <t xml:space="preserve">T-25</t>
  </si>
  <si>
    <t xml:space="preserve">DJ°213</t>
  </si>
  <si>
    <t xml:space="preserve">JN°1303</t>
  </si>
  <si>
    <t xml:space="preserve">L-RT-035</t>
  </si>
  <si>
    <t xml:space="preserve">DJ°187</t>
  </si>
  <si>
    <t xml:space="preserve">DJ-VT-016</t>
  </si>
  <si>
    <t xml:space="preserve">JN°1304</t>
  </si>
  <si>
    <t xml:space="preserve">DJ°221</t>
  </si>
  <si>
    <t xml:space="preserve">JN°1305</t>
  </si>
  <si>
    <t xml:space="preserve">DJ°224</t>
  </si>
  <si>
    <t xml:space="preserve">DJ-RT-023</t>
  </si>
  <si>
    <t xml:space="preserve">JN°1306</t>
  </si>
  <si>
    <t xml:space="preserve">DJ°181</t>
  </si>
  <si>
    <t xml:space="preserve">DJ-VT-015</t>
  </si>
  <si>
    <t xml:space="preserve">JN°1307R</t>
  </si>
  <si>
    <t xml:space="preserve">(60-90) I.U 1 er Passe+(99-105)I.U 1 er Passe</t>
  </si>
  <si>
    <t xml:space="preserve">DJ°223</t>
  </si>
  <si>
    <t xml:space="preserve">JN°1308R</t>
  </si>
  <si>
    <t xml:space="preserve">(70-85) I.U 1 er Passe</t>
  </si>
  <si>
    <t xml:space="preserve">DJ°179</t>
  </si>
  <si>
    <t xml:space="preserve">JN°1309</t>
  </si>
  <si>
    <t xml:space="preserve">WR-46-44/36-33/32-30/43-45</t>
  </si>
  <si>
    <t xml:space="preserve">L-VT-040</t>
  </si>
  <si>
    <t xml:space="preserve">DJ°212</t>
  </si>
  <si>
    <t xml:space="preserve">JN°1310</t>
  </si>
  <si>
    <t xml:space="preserve">DJ°218</t>
  </si>
  <si>
    <t xml:space="preserve">JN°1311R</t>
  </si>
  <si>
    <t xml:space="preserve">(70-80) I.U 1 er Passe</t>
  </si>
  <si>
    <t xml:space="preserve">DJ°210</t>
  </si>
  <si>
    <t xml:space="preserve">JN°1312</t>
  </si>
  <si>
    <t xml:space="preserve">DJ°222</t>
  </si>
  <si>
    <t xml:space="preserve">JN°1313</t>
  </si>
  <si>
    <t xml:space="preserve">DJ°204</t>
  </si>
  <si>
    <t xml:space="preserve">JN°1314</t>
  </si>
  <si>
    <t xml:space="preserve">DJ°164</t>
  </si>
  <si>
    <t xml:space="preserve">DJ-VT-014</t>
  </si>
  <si>
    <t xml:space="preserve">JN°1315R</t>
  </si>
  <si>
    <t xml:space="preserve">(75-85) I.U 1 er Passe</t>
  </si>
  <si>
    <t xml:space="preserve">DJ°219</t>
  </si>
  <si>
    <t xml:space="preserve">JN°1316R</t>
  </si>
  <si>
    <t xml:space="preserve">(75-90) Refair Finition</t>
  </si>
  <si>
    <t xml:space="preserve">DJ°226</t>
  </si>
  <si>
    <t xml:space="preserve">JN°1317</t>
  </si>
  <si>
    <t xml:space="preserve">(45-70) I.U 1 er Passe</t>
  </si>
  <si>
    <t xml:space="preserve">DJ°220</t>
  </si>
  <si>
    <t xml:space="preserve">JN°1318</t>
  </si>
  <si>
    <t xml:space="preserve">L-RT-036</t>
  </si>
  <si>
    <t xml:space="preserve">DJ°211</t>
  </si>
  <si>
    <t xml:space="preserve">DJ-RT-021</t>
  </si>
  <si>
    <t xml:space="preserve">JN°1319</t>
  </si>
  <si>
    <t xml:space="preserve">DJ°205</t>
  </si>
  <si>
    <t xml:space="preserve">DJ-RT-020</t>
  </si>
  <si>
    <t xml:space="preserve">JN°1320</t>
  </si>
  <si>
    <t xml:space="preserve">JN°1321</t>
  </si>
  <si>
    <t xml:space="preserve">T-24</t>
  </si>
  <si>
    <t xml:space="preserve">DJ°214</t>
  </si>
  <si>
    <t xml:space="preserve">JN°1322</t>
  </si>
  <si>
    <t xml:space="preserve">DJ°225</t>
  </si>
  <si>
    <t xml:space="preserve">JN°1323</t>
  </si>
  <si>
    <t xml:space="preserve">DJ°208</t>
  </si>
  <si>
    <t xml:space="preserve">JN°1324R</t>
  </si>
  <si>
    <t xml:space="preserve">(54-85) I.U 1 er Passe</t>
  </si>
  <si>
    <t xml:space="preserve">DJ°201</t>
  </si>
  <si>
    <t xml:space="preserve">JN°1325R</t>
  </si>
  <si>
    <t xml:space="preserve">(85-100) I.U 1 er Passe</t>
  </si>
  <si>
    <t xml:space="preserve">DJ°196</t>
  </si>
  <si>
    <t xml:space="preserve">JN°1326R</t>
  </si>
  <si>
    <t xml:space="preserve">L-VT-067</t>
  </si>
  <si>
    <t xml:space="preserve">(65-100) I.U 1 er Passe</t>
  </si>
  <si>
    <t xml:space="preserve">DJ°174</t>
  </si>
  <si>
    <t xml:space="preserve">JN°1327R</t>
  </si>
  <si>
    <t xml:space="preserve">(75-100) I.U 1 er Passe</t>
  </si>
  <si>
    <t xml:space="preserve">DJ°171</t>
  </si>
  <si>
    <t xml:space="preserve">JN°1328</t>
  </si>
  <si>
    <t xml:space="preserve">L-VT-041</t>
  </si>
  <si>
    <t xml:space="preserve">DJ°177</t>
  </si>
  <si>
    <t xml:space="preserve">JN°1329</t>
  </si>
  <si>
    <t xml:space="preserve">DJ°166</t>
  </si>
  <si>
    <t xml:space="preserve">JN°1330</t>
  </si>
  <si>
    <t xml:space="preserve">DJ°207</t>
  </si>
  <si>
    <t xml:space="preserve">JN°1331</t>
  </si>
  <si>
    <t xml:space="preserve">DJ°203</t>
  </si>
  <si>
    <t xml:space="preserve">JN°1332R</t>
  </si>
  <si>
    <t xml:space="preserve">DJ°206</t>
  </si>
  <si>
    <t xml:space="preserve">JN°1333</t>
  </si>
  <si>
    <t xml:space="preserve">(60-85) I.U 1 er Passe</t>
  </si>
  <si>
    <t xml:space="preserve">DJ°197</t>
  </si>
  <si>
    <t xml:space="preserve">JN°1334</t>
  </si>
  <si>
    <t xml:space="preserve">JN°1335</t>
  </si>
  <si>
    <t xml:space="preserve">JN°1336</t>
  </si>
  <si>
    <t xml:space="preserve">JN°1337</t>
  </si>
  <si>
    <t xml:space="preserve">JN°1338</t>
  </si>
  <si>
    <t xml:space="preserve">JN°1339</t>
  </si>
  <si>
    <t xml:space="preserve">JN°1340</t>
  </si>
  <si>
    <t xml:space="preserve">JN°1341</t>
  </si>
  <si>
    <t xml:space="preserve">JN°1342</t>
  </si>
  <si>
    <t xml:space="preserve">JN°1343</t>
  </si>
  <si>
    <t xml:space="preserve">JN°1344</t>
  </si>
  <si>
    <t xml:space="preserve">JN°1345</t>
  </si>
  <si>
    <t xml:space="preserve">T-23</t>
  </si>
  <si>
    <t xml:space="preserve">DJ°200</t>
  </si>
  <si>
    <t xml:space="preserve">JN°1346</t>
  </si>
  <si>
    <t xml:space="preserve">DJ°202</t>
  </si>
  <si>
    <t xml:space="preserve">JN°1347R</t>
  </si>
  <si>
    <t xml:space="preserve">(70-90) I.U 1 er Passe</t>
  </si>
  <si>
    <t xml:space="preserve">DJ°194</t>
  </si>
  <si>
    <t xml:space="preserve">JN°1348</t>
  </si>
  <si>
    <t xml:space="preserve">L-RT-037</t>
  </si>
  <si>
    <t xml:space="preserve">DJ°198</t>
  </si>
  <si>
    <t xml:space="preserve">JN°1349</t>
  </si>
  <si>
    <t xml:space="preserve">DJ°193</t>
  </si>
  <si>
    <t xml:space="preserve">JN°1350</t>
  </si>
  <si>
    <t xml:space="preserve">DJ°162</t>
  </si>
  <si>
    <t xml:space="preserve">DJ-VT-013</t>
  </si>
  <si>
    <t xml:space="preserve">DJ-RT-018</t>
  </si>
  <si>
    <t xml:space="preserve">JN°1351</t>
  </si>
  <si>
    <t xml:space="preserve">JN°1352</t>
  </si>
  <si>
    <t xml:space="preserve">JN°1353</t>
  </si>
  <si>
    <t xml:space="preserve">JN°1354</t>
  </si>
  <si>
    <t xml:space="preserve">T-22</t>
  </si>
  <si>
    <t xml:space="preserve">DJ°180</t>
  </si>
  <si>
    <t xml:space="preserve">JN°1355</t>
  </si>
  <si>
    <t xml:space="preserve">WR-46-44/36-33/43-45</t>
  </si>
  <si>
    <t xml:space="preserve">L-VT-038</t>
  </si>
  <si>
    <t xml:space="preserve">L-RT-058</t>
  </si>
  <si>
    <t xml:space="preserve">DJ°189</t>
  </si>
  <si>
    <t xml:space="preserve">DJ-RT-019</t>
  </si>
  <si>
    <t xml:space="preserve">JN°1356</t>
  </si>
  <si>
    <t xml:space="preserve">DJ°173</t>
  </si>
  <si>
    <t xml:space="preserve">JN°1357</t>
  </si>
  <si>
    <t xml:space="preserve">(65-70)Ref FNT</t>
  </si>
  <si>
    <t xml:space="preserve">DJ°178</t>
  </si>
  <si>
    <t xml:space="preserve">JN°1358</t>
  </si>
  <si>
    <t xml:space="preserve">(50-55) RF(60-65)IF+IP</t>
  </si>
  <si>
    <t xml:space="preserve">DJ°183</t>
  </si>
  <si>
    <t xml:space="preserve">JN°1359</t>
  </si>
  <si>
    <t xml:space="preserve">DJ°175</t>
  </si>
  <si>
    <t xml:space="preserve">JN°1360</t>
  </si>
  <si>
    <t xml:space="preserve">DJ°188</t>
  </si>
  <si>
    <t xml:space="preserve">JN°1361</t>
  </si>
  <si>
    <t xml:space="preserve">DJ°195</t>
  </si>
  <si>
    <t xml:space="preserve">JN°1362</t>
  </si>
  <si>
    <t xml:space="preserve">DJ°186</t>
  </si>
  <si>
    <t xml:space="preserve">JN°1363</t>
  </si>
  <si>
    <t xml:space="preserve">(95-105) IC</t>
  </si>
  <si>
    <t xml:space="preserve">DJ°185</t>
  </si>
  <si>
    <t xml:space="preserve">JN°1364</t>
  </si>
  <si>
    <t xml:space="preserve">(54-65)RF+EU</t>
  </si>
  <si>
    <t xml:space="preserve">DJ°190</t>
  </si>
  <si>
    <t xml:space="preserve">JN°1365</t>
  </si>
  <si>
    <t xml:space="preserve">DJ°191</t>
  </si>
  <si>
    <t xml:space="preserve">JN°1366</t>
  </si>
  <si>
    <t xml:space="preserve">DJ°192</t>
  </si>
  <si>
    <t xml:space="preserve">JN°1367</t>
  </si>
  <si>
    <t xml:space="preserve">DJ°184</t>
  </si>
  <si>
    <t xml:space="preserve">JN°1368</t>
  </si>
  <si>
    <t xml:space="preserve">DJ°170</t>
  </si>
  <si>
    <t xml:space="preserve">JN°1369</t>
  </si>
  <si>
    <t xml:space="preserve">DJ°167</t>
  </si>
  <si>
    <t xml:space="preserve">JN°1370</t>
  </si>
  <si>
    <t xml:space="preserve">L-RT-059</t>
  </si>
  <si>
    <t xml:space="preserve">DJ°168</t>
  </si>
  <si>
    <t xml:space="preserve">JN°1371</t>
  </si>
  <si>
    <t xml:space="preserve">DJ°172</t>
  </si>
  <si>
    <t xml:space="preserve">JN°1372</t>
  </si>
  <si>
    <t xml:space="preserve">L-VT-039</t>
  </si>
  <si>
    <t xml:space="preserve">DJ°176</t>
  </si>
  <si>
    <t xml:space="preserve">JN°1373</t>
  </si>
  <si>
    <t xml:space="preserve">DJ°161</t>
  </si>
  <si>
    <t xml:space="preserve">JN°1374</t>
  </si>
  <si>
    <t xml:space="preserve">DJ°182</t>
  </si>
  <si>
    <t xml:space="preserve">JN°1375</t>
  </si>
  <si>
    <t xml:space="preserve">DJ°158</t>
  </si>
  <si>
    <t xml:space="preserve">DJ-RT-016</t>
  </si>
  <si>
    <t xml:space="preserve">JN°1376</t>
  </si>
  <si>
    <t xml:space="preserve">(20-65)IU+Po 48</t>
  </si>
  <si>
    <t xml:space="preserve">DJ°141</t>
  </si>
  <si>
    <t xml:space="preserve">DJ-VT-012</t>
  </si>
  <si>
    <t xml:space="preserve">DJ-RT-015</t>
  </si>
  <si>
    <t xml:space="preserve">JN°1377</t>
  </si>
  <si>
    <t xml:space="preserve">WR-46-44/32-33/45-43</t>
  </si>
  <si>
    <t xml:space="preserve">L-VT-035</t>
  </si>
  <si>
    <t xml:space="preserve">DJ°146</t>
  </si>
  <si>
    <t xml:space="preserve">JN°1378</t>
  </si>
  <si>
    <t xml:space="preserve">DJ°135</t>
  </si>
  <si>
    <t xml:space="preserve">JN°1379</t>
  </si>
  <si>
    <t xml:space="preserve">NT</t>
  </si>
  <si>
    <t xml:space="preserve">DJ°144</t>
  </si>
  <si>
    <t xml:space="preserve">JN°1380</t>
  </si>
  <si>
    <t xml:space="preserve">DJ°142</t>
  </si>
  <si>
    <t xml:space="preserve">JN°1381</t>
  </si>
  <si>
    <t xml:space="preserve">(15-25)IU'(35-50)IU</t>
  </si>
  <si>
    <t xml:space="preserve">DJ°143</t>
  </si>
  <si>
    <t xml:space="preserve">JN°1382</t>
  </si>
  <si>
    <t xml:space="preserve">DJ°067</t>
  </si>
  <si>
    <t xml:space="preserve">DJ-RT-013</t>
  </si>
  <si>
    <t xml:space="preserve">JN°1383</t>
  </si>
  <si>
    <t xml:space="preserve">DJ°160</t>
  </si>
  <si>
    <t xml:space="preserve">JN°1384</t>
  </si>
  <si>
    <t xml:space="preserve">(60-65)Ref FNT</t>
  </si>
  <si>
    <t xml:space="preserve">DJ°154</t>
  </si>
  <si>
    <t xml:space="preserve">JN°1385CT</t>
  </si>
  <si>
    <t xml:space="preserve">T-21</t>
  </si>
  <si>
    <t xml:space="preserve">DJ°155</t>
  </si>
  <si>
    <t xml:space="preserve">JN°1386</t>
  </si>
  <si>
    <t xml:space="preserve">L-RT-054</t>
  </si>
  <si>
    <t xml:space="preserve">DJ°165</t>
  </si>
  <si>
    <t xml:space="preserve">DJ-RT-017</t>
  </si>
  <si>
    <t xml:space="preserve">JN°1387</t>
  </si>
  <si>
    <t xml:space="preserve">DJ°163</t>
  </si>
  <si>
    <t xml:space="preserve">JN°1388</t>
  </si>
  <si>
    <t xml:space="preserve">DJ°156</t>
  </si>
  <si>
    <t xml:space="preserve">JN°1389</t>
  </si>
  <si>
    <t xml:space="preserve">DJ°157</t>
  </si>
  <si>
    <t xml:space="preserve">JN°1390</t>
  </si>
  <si>
    <t xml:space="preserve">DJ°089</t>
  </si>
  <si>
    <t xml:space="preserve">JN°1391</t>
  </si>
  <si>
    <t xml:space="preserve">DJ°068</t>
  </si>
  <si>
    <t xml:space="preserve">JN°1392</t>
  </si>
  <si>
    <t xml:space="preserve">DJ°123</t>
  </si>
  <si>
    <t xml:space="preserve">DJ-VT-011</t>
  </si>
  <si>
    <t xml:space="preserve">JN°1393</t>
  </si>
  <si>
    <t xml:space="preserve">DJ°032</t>
  </si>
  <si>
    <t xml:space="preserve">DJ-VT-004</t>
  </si>
  <si>
    <t xml:space="preserve">DJ-RT-004</t>
  </si>
  <si>
    <t xml:space="preserve">JN°1394</t>
  </si>
  <si>
    <t xml:space="preserve">L-VT-036</t>
  </si>
  <si>
    <t xml:space="preserve">DJ°122</t>
  </si>
  <si>
    <t xml:space="preserve">JN°1395</t>
  </si>
  <si>
    <t xml:space="preserve">DJ°104</t>
  </si>
  <si>
    <t xml:space="preserve">JN°1396</t>
  </si>
  <si>
    <t xml:space="preserve">DJ°150</t>
  </si>
  <si>
    <t xml:space="preserve">JN°1397</t>
  </si>
  <si>
    <t xml:space="preserve">L-VT-034</t>
  </si>
  <si>
    <t xml:space="preserve">DJ°151</t>
  </si>
  <si>
    <t xml:space="preserve">JN°1398</t>
  </si>
  <si>
    <t xml:space="preserve">DJ°153</t>
  </si>
  <si>
    <t xml:space="preserve">JN°1399</t>
  </si>
  <si>
    <t xml:space="preserve">DJ°152</t>
  </si>
  <si>
    <t xml:space="preserve">JN°1400</t>
  </si>
  <si>
    <t xml:space="preserve">DJ°147</t>
  </si>
  <si>
    <t xml:space="preserve">JN°1401</t>
  </si>
  <si>
    <t xml:space="preserve">L-RT-055</t>
  </si>
  <si>
    <t xml:space="preserve">DJ°111</t>
  </si>
  <si>
    <t xml:space="preserve">JN°1402</t>
  </si>
  <si>
    <t xml:space="preserve">DJ°148</t>
  </si>
  <si>
    <t xml:space="preserve">JN°1403</t>
  </si>
  <si>
    <t xml:space="preserve">DJ°149</t>
  </si>
  <si>
    <t xml:space="preserve">JN°1404</t>
  </si>
  <si>
    <t xml:space="preserve">(34-38) IF</t>
  </si>
  <si>
    <t xml:space="preserve">DJ°134</t>
  </si>
  <si>
    <t xml:space="preserve">DJ-RT-014</t>
  </si>
  <si>
    <t xml:space="preserve">JN°1405</t>
  </si>
  <si>
    <t xml:space="preserve">(35-65) IU</t>
  </si>
  <si>
    <t xml:space="preserve">DJ°133</t>
  </si>
  <si>
    <t xml:space="preserve">JN°1406</t>
  </si>
  <si>
    <t xml:space="preserve">DJ°137</t>
  </si>
  <si>
    <t xml:space="preserve">JN°1407</t>
  </si>
  <si>
    <t xml:space="preserve">DJ°136</t>
  </si>
  <si>
    <t xml:space="preserve">JN°1408</t>
  </si>
  <si>
    <t xml:space="preserve">DJ°108</t>
  </si>
  <si>
    <t xml:space="preserve">JN°1409</t>
  </si>
  <si>
    <t xml:space="preserve">DJ°105</t>
  </si>
  <si>
    <t xml:space="preserve">JN°1410</t>
  </si>
  <si>
    <t xml:space="preserve">DJ°110</t>
  </si>
  <si>
    <t xml:space="preserve">JN°1411</t>
  </si>
  <si>
    <t xml:space="preserve">DJ°106</t>
  </si>
  <si>
    <t xml:space="preserve">JN°1412</t>
  </si>
  <si>
    <t xml:space="preserve">DJ°131</t>
  </si>
  <si>
    <t xml:space="preserve">JN°1413</t>
  </si>
  <si>
    <t xml:space="preserve">DJ°097</t>
  </si>
  <si>
    <t xml:space="preserve">JN°1414</t>
  </si>
  <si>
    <t xml:space="preserve">L-VT-032</t>
  </si>
  <si>
    <t xml:space="preserve">DJ°098</t>
  </si>
  <si>
    <t xml:space="preserve">JN°1415</t>
  </si>
  <si>
    <t xml:space="preserve">DJ°095</t>
  </si>
  <si>
    <t xml:space="preserve">JN°1416</t>
  </si>
  <si>
    <t xml:space="preserve">L-RT-056</t>
  </si>
  <si>
    <t xml:space="preserve">DJ°096</t>
  </si>
  <si>
    <t xml:space="preserve">JN°1417</t>
  </si>
  <si>
    <t xml:space="preserve">T-20</t>
  </si>
  <si>
    <t xml:space="preserve">DJ°138</t>
  </si>
  <si>
    <t xml:space="preserve">JN°1418</t>
  </si>
  <si>
    <t xml:space="preserve">JN°1419</t>
  </si>
  <si>
    <t xml:space="preserve">JN°1420</t>
  </si>
  <si>
    <t xml:space="preserve">T-19</t>
  </si>
  <si>
    <t xml:space="preserve">DJ°139</t>
  </si>
  <si>
    <t xml:space="preserve">JN°1421R</t>
  </si>
  <si>
    <t xml:space="preserve">TFTII-PL-REP-01</t>
  </si>
  <si>
    <t xml:space="preserve">(00-10) E.U+(40-63)--(80-105) I.U 1 er P</t>
  </si>
  <si>
    <t xml:space="preserve">DJ°140</t>
  </si>
  <si>
    <t xml:space="preserve">JN°1422</t>
  </si>
  <si>
    <t xml:space="preserve">L-RT-033</t>
  </si>
  <si>
    <t xml:space="preserve">DJ°132</t>
  </si>
  <si>
    <t xml:space="preserve">JN°1423</t>
  </si>
  <si>
    <t xml:space="preserve">DJ°129</t>
  </si>
  <si>
    <t xml:space="preserve">JN°1424</t>
  </si>
  <si>
    <t xml:space="preserve">DJ°130</t>
  </si>
  <si>
    <t xml:space="preserve">JN°1425</t>
  </si>
  <si>
    <t xml:space="preserve">DJ°016</t>
  </si>
  <si>
    <t xml:space="preserve">DJ-VT-002</t>
  </si>
  <si>
    <t xml:space="preserve">DJ-RT-002</t>
  </si>
  <si>
    <t xml:space="preserve">JN°1426</t>
  </si>
  <si>
    <t xml:space="preserve">DJ°023</t>
  </si>
  <si>
    <t xml:space="preserve">DJ-VT-003</t>
  </si>
  <si>
    <t xml:space="preserve">DJ-RT-003</t>
  </si>
  <si>
    <t xml:space="preserve">JN°1427</t>
  </si>
  <si>
    <t xml:space="preserve">DJ°018</t>
  </si>
  <si>
    <t xml:space="preserve">JN°1428</t>
  </si>
  <si>
    <t xml:space="preserve">DJ°027</t>
  </si>
  <si>
    <t xml:space="preserve">JN°1429</t>
  </si>
  <si>
    <t xml:space="preserve">DJ°013</t>
  </si>
  <si>
    <t xml:space="preserve">JN°1430</t>
  </si>
  <si>
    <t xml:space="preserve">DJ°020</t>
  </si>
  <si>
    <t xml:space="preserve">JN°1431</t>
  </si>
  <si>
    <t xml:space="preserve">DJ°009</t>
  </si>
  <si>
    <t xml:space="preserve">JN°1432</t>
  </si>
  <si>
    <t xml:space="preserve">DJ°008</t>
  </si>
  <si>
    <t xml:space="preserve">JN°1433</t>
  </si>
  <si>
    <t xml:space="preserve">DJ°088</t>
  </si>
  <si>
    <t xml:space="preserve">JN°1434</t>
  </si>
  <si>
    <t xml:space="preserve">L-VT-033</t>
  </si>
  <si>
    <t xml:space="preserve">DJ°051</t>
  </si>
  <si>
    <t xml:space="preserve">DJ-VT-006</t>
  </si>
  <si>
    <t xml:space="preserve">JN°1435</t>
  </si>
  <si>
    <t xml:space="preserve">DJ°004</t>
  </si>
  <si>
    <t xml:space="preserve">DJ-VT-001</t>
  </si>
  <si>
    <t xml:space="preserve">DJ-RT-001</t>
  </si>
  <si>
    <t xml:space="preserve">JN°1436</t>
  </si>
  <si>
    <t xml:space="preserve">L-RT-034</t>
  </si>
  <si>
    <t xml:space="preserve">DJ°026</t>
  </si>
  <si>
    <t xml:space="preserve">JN°1437R</t>
  </si>
  <si>
    <t xml:space="preserve">(52-65) I.U 1 er P</t>
  </si>
  <si>
    <t xml:space="preserve">DJ°021</t>
  </si>
  <si>
    <t xml:space="preserve">JN°1438</t>
  </si>
  <si>
    <t xml:space="preserve">JN°1439</t>
  </si>
  <si>
    <t xml:space="preserve">JN°1440</t>
  </si>
  <si>
    <t xml:space="preserve">JN°1441</t>
  </si>
  <si>
    <t xml:space="preserve">JN°1442</t>
  </si>
  <si>
    <t xml:space="preserve">JN°1443</t>
  </si>
  <si>
    <t xml:space="preserve">JN°1444</t>
  </si>
  <si>
    <t xml:space="preserve">JN°1445</t>
  </si>
  <si>
    <t xml:space="preserve">JN°1446</t>
  </si>
  <si>
    <t xml:space="preserve">JN°1447</t>
  </si>
  <si>
    <t xml:space="preserve">JN°1448</t>
  </si>
  <si>
    <t xml:space="preserve">JN°1449</t>
  </si>
  <si>
    <t xml:space="preserve">T-18</t>
  </si>
  <si>
    <t xml:space="preserve">JN°1450</t>
  </si>
  <si>
    <t xml:space="preserve">JN°1451</t>
  </si>
  <si>
    <t xml:space="preserve">JN°1452</t>
  </si>
  <si>
    <t xml:space="preserve">JN°1453</t>
  </si>
  <si>
    <t xml:space="preserve">L-RT-028</t>
  </si>
  <si>
    <t xml:space="preserve">JN°1454</t>
  </si>
  <si>
    <t xml:space="preserve">JN°1455</t>
  </si>
  <si>
    <t xml:space="preserve">JN°1456</t>
  </si>
  <si>
    <t xml:space="preserve">JN°1457</t>
  </si>
  <si>
    <t xml:space="preserve">WR-46-44/32-33/43-30/45-36</t>
  </si>
  <si>
    <t xml:space="preserve">DJ°040</t>
  </si>
  <si>
    <t xml:space="preserve">DJ-VT-005</t>
  </si>
  <si>
    <t xml:space="preserve">JN°1458</t>
  </si>
  <si>
    <t xml:space="preserve">DJ°031</t>
  </si>
  <si>
    <t xml:space="preserve">DJ-RT-005</t>
  </si>
  <si>
    <t xml:space="preserve">JN°1459</t>
  </si>
  <si>
    <t xml:space="preserve">L-VT-031</t>
  </si>
  <si>
    <t xml:space="preserve">DJ°012</t>
  </si>
  <si>
    <t xml:space="preserve">JN°1460</t>
  </si>
  <si>
    <t xml:space="preserve">DJ°015</t>
  </si>
  <si>
    <t xml:space="preserve">JN°1461</t>
  </si>
  <si>
    <t xml:space="preserve">DJ°044</t>
  </si>
  <si>
    <t xml:space="preserve">DJ-RT-006</t>
  </si>
  <si>
    <t xml:space="preserve">JN°1462R</t>
  </si>
  <si>
    <t xml:space="preserve">(40-60) I.U 1 er Passe</t>
  </si>
  <si>
    <t xml:space="preserve">DJ°045</t>
  </si>
  <si>
    <t xml:space="preserve">JN°1463</t>
  </si>
  <si>
    <t xml:space="preserve">DJ°006</t>
  </si>
  <si>
    <t xml:space="preserve">JN°1464</t>
  </si>
  <si>
    <t xml:space="preserve">DJ°058</t>
  </si>
  <si>
    <t xml:space="preserve">JN°1465</t>
  </si>
  <si>
    <t xml:space="preserve">DJ°007</t>
  </si>
  <si>
    <t xml:space="preserve">JN°1466</t>
  </si>
  <si>
    <t xml:space="preserve">L-RT-030</t>
  </si>
  <si>
    <t xml:space="preserve">DJ°078</t>
  </si>
  <si>
    <t xml:space="preserve">DJ-VT-008</t>
  </si>
  <si>
    <t xml:space="preserve">DJ-RT-009</t>
  </si>
  <si>
    <t xml:space="preserve">JN°1467</t>
  </si>
  <si>
    <t xml:space="preserve">DJ°109</t>
  </si>
  <si>
    <t xml:space="preserve">JN°1468</t>
  </si>
  <si>
    <t xml:space="preserve">DJ°118</t>
  </si>
  <si>
    <t xml:space="preserve">DJ-RT-012</t>
  </si>
  <si>
    <t xml:space="preserve">JN°1469</t>
  </si>
  <si>
    <t xml:space="preserve">DJ°001</t>
  </si>
  <si>
    <t xml:space="preserve">JN°1470</t>
  </si>
  <si>
    <t xml:space="preserve">DJ°102</t>
  </si>
  <si>
    <t xml:space="preserve">JN°1471</t>
  </si>
  <si>
    <t xml:space="preserve">DJ°100</t>
  </si>
  <si>
    <t xml:space="preserve">JN°1472</t>
  </si>
  <si>
    <t xml:space="preserve">DJ°099</t>
  </si>
  <si>
    <t xml:space="preserve">JN°1473</t>
  </si>
  <si>
    <t xml:space="preserve">DJ°101</t>
  </si>
  <si>
    <t xml:space="preserve">JN°1474</t>
  </si>
  <si>
    <t xml:space="preserve">DJ°011</t>
  </si>
  <si>
    <t xml:space="preserve">JN°1475</t>
  </si>
  <si>
    <t xml:space="preserve">DJ°025</t>
  </si>
  <si>
    <t xml:space="preserve">JN°1476R</t>
  </si>
  <si>
    <t xml:space="preserve">(50-80) Ref Finition</t>
  </si>
  <si>
    <t xml:space="preserve">DJ°076</t>
  </si>
  <si>
    <t xml:space="preserve">JN°1477</t>
  </si>
  <si>
    <t xml:space="preserve">L-VT-028</t>
  </si>
  <si>
    <t xml:space="preserve">JN°1478</t>
  </si>
  <si>
    <t xml:space="preserve">JN°1479R</t>
  </si>
  <si>
    <t xml:space="preserve">(54-80) Ref Finition</t>
  </si>
  <si>
    <t xml:space="preserve">JN°1480</t>
  </si>
  <si>
    <t xml:space="preserve">JN°1481</t>
  </si>
  <si>
    <t xml:space="preserve">L-RT-031</t>
  </si>
  <si>
    <t xml:space="preserve">JN°1482</t>
  </si>
  <si>
    <t xml:space="preserve">JN°1483</t>
  </si>
  <si>
    <t xml:space="preserve">JN°1484</t>
  </si>
  <si>
    <t xml:space="preserve">JN°1485</t>
  </si>
  <si>
    <t xml:space="preserve">JN°1486</t>
  </si>
  <si>
    <t xml:space="preserve">JN°1487</t>
  </si>
  <si>
    <t xml:space="preserve">DJ°081</t>
  </si>
  <si>
    <t xml:space="preserve">JN°1488</t>
  </si>
  <si>
    <t xml:space="preserve">DJ°050</t>
  </si>
  <si>
    <t xml:space="preserve">JN°1489</t>
  </si>
  <si>
    <t xml:space="preserve">DJ°080</t>
  </si>
  <si>
    <t xml:space="preserve">JN°1490</t>
  </si>
  <si>
    <t xml:space="preserve">DJ°071</t>
  </si>
  <si>
    <t xml:space="preserve">DJ-RT-008</t>
  </si>
  <si>
    <t xml:space="preserve">JN°1491R</t>
  </si>
  <si>
    <t xml:space="preserve">L-VT-063</t>
  </si>
  <si>
    <t xml:space="preserve">DJ°079</t>
  </si>
  <si>
    <t xml:space="preserve">JN°1492</t>
  </si>
  <si>
    <t xml:space="preserve">DJ°061</t>
  </si>
  <si>
    <t xml:space="preserve">JN°1493</t>
  </si>
  <si>
    <t xml:space="preserve">L-VT-029</t>
  </si>
  <si>
    <t xml:space="preserve">DJ°077</t>
  </si>
  <si>
    <t xml:space="preserve">JN°1494</t>
  </si>
  <si>
    <t xml:space="preserve">DJ°047</t>
  </si>
  <si>
    <t xml:space="preserve">JN°1495</t>
  </si>
  <si>
    <t xml:space="preserve">DJ°125</t>
  </si>
  <si>
    <t xml:space="preserve">JN°1496R</t>
  </si>
  <si>
    <t xml:space="preserve">DJ°120</t>
  </si>
  <si>
    <t xml:space="preserve">JN°1497R</t>
  </si>
  <si>
    <t xml:space="preserve">DJ°062</t>
  </si>
  <si>
    <t xml:space="preserve">(63-69) (94-116) L,F 1 er Passe</t>
  </si>
  <si>
    <t xml:space="preserve">JN°1498</t>
  </si>
  <si>
    <t xml:space="preserve">L-RT-032</t>
  </si>
  <si>
    <t xml:space="preserve">DJ°119</t>
  </si>
  <si>
    <t xml:space="preserve">JN°1499</t>
  </si>
  <si>
    <t xml:space="preserve">DJ°070</t>
  </si>
  <si>
    <t xml:space="preserve">JN°1500</t>
  </si>
  <si>
    <t xml:space="preserve">JN°1501</t>
  </si>
  <si>
    <t xml:space="preserve">T-17</t>
  </si>
  <si>
    <t xml:space="preserve">DJ°121</t>
  </si>
  <si>
    <t xml:space="preserve">JN°1502</t>
  </si>
  <si>
    <t xml:space="preserve">DJ°115</t>
  </si>
  <si>
    <t xml:space="preserve">JN°1503</t>
  </si>
  <si>
    <t xml:space="preserve">DJ°117</t>
  </si>
  <si>
    <t xml:space="preserve">JN°1504</t>
  </si>
  <si>
    <t xml:space="preserve">L-RT-029</t>
  </si>
  <si>
    <t xml:space="preserve">DJ°113</t>
  </si>
  <si>
    <t xml:space="preserve">JN°1505</t>
  </si>
  <si>
    <t xml:space="preserve">DJ°112</t>
  </si>
  <si>
    <t xml:space="preserve">JN°1506</t>
  </si>
  <si>
    <t xml:space="preserve">DJ°114</t>
  </si>
  <si>
    <t xml:space="preserve">JN°1507</t>
  </si>
  <si>
    <t xml:space="preserve">JN°1508</t>
  </si>
  <si>
    <t xml:space="preserve">JN°1509</t>
  </si>
  <si>
    <t xml:space="preserve">T-16</t>
  </si>
  <si>
    <t xml:space="preserve">DJ°116</t>
  </si>
  <si>
    <t xml:space="preserve">JN°1510</t>
  </si>
  <si>
    <t xml:space="preserve">DJ°053</t>
  </si>
  <si>
    <t xml:space="preserve">DJ-RT-007</t>
  </si>
  <si>
    <t xml:space="preserve">JN°1511</t>
  </si>
  <si>
    <t xml:space="preserve">DJ°048</t>
  </si>
  <si>
    <t xml:space="preserve">JN°1512</t>
  </si>
  <si>
    <t xml:space="preserve">DJ°057</t>
  </si>
  <si>
    <t xml:space="preserve">JN°1513</t>
  </si>
  <si>
    <t xml:space="preserve">JN°1514</t>
  </si>
  <si>
    <t xml:space="preserve">T-15</t>
  </si>
  <si>
    <t xml:space="preserve">DJ°046</t>
  </si>
  <si>
    <t xml:space="preserve">JN°1515</t>
  </si>
  <si>
    <t xml:space="preserve">DJ°037</t>
  </si>
  <si>
    <t xml:space="preserve">JN°1516</t>
  </si>
  <si>
    <t xml:space="preserve">DJ°059</t>
  </si>
  <si>
    <t xml:space="preserve">JN°1517</t>
  </si>
  <si>
    <t xml:space="preserve">L-VT-030</t>
  </si>
  <si>
    <t xml:space="preserve">DJ°054</t>
  </si>
  <si>
    <t xml:space="preserve">JN°1518</t>
  </si>
  <si>
    <t xml:space="preserve">DJ°056</t>
  </si>
  <si>
    <t xml:space="preserve">JN°1519</t>
  </si>
  <si>
    <t xml:space="preserve">DJ°022</t>
  </si>
  <si>
    <t xml:space="preserve">JN°1520R</t>
  </si>
  <si>
    <t xml:space="preserve">DJ°049</t>
  </si>
  <si>
    <t xml:space="preserve">JN°1521R</t>
  </si>
  <si>
    <t xml:space="preserve">DJ°082</t>
  </si>
  <si>
    <t xml:space="preserve">JN°1522</t>
  </si>
  <si>
    <t xml:space="preserve">DJ°083</t>
  </si>
  <si>
    <t xml:space="preserve">JN°1523</t>
  </si>
  <si>
    <t xml:space="preserve">JN°1524</t>
  </si>
  <si>
    <t xml:space="preserve">T-R</t>
  </si>
  <si>
    <t xml:space="preserve">JN°1525</t>
  </si>
  <si>
    <t xml:space="preserve">JN°1526</t>
  </si>
  <si>
    <t xml:space="preserve">T-14</t>
  </si>
  <si>
    <t xml:space="preserve">DJ°039</t>
  </si>
  <si>
    <t xml:space="preserve">JN°1527R</t>
  </si>
  <si>
    <t xml:space="preserve">DJ°041</t>
  </si>
  <si>
    <t xml:space="preserve">JN°1528</t>
  </si>
  <si>
    <t xml:space="preserve">L-RT-024</t>
  </si>
  <si>
    <t xml:space="preserve">DJ°043</t>
  </si>
  <si>
    <t xml:space="preserve">JN°1529</t>
  </si>
  <si>
    <t xml:space="preserve">DJ°030</t>
  </si>
  <si>
    <t xml:space="preserve">JN°1530</t>
  </si>
  <si>
    <t xml:space="preserve">DJ°042</t>
  </si>
  <si>
    <t xml:space="preserve">JN°1531</t>
  </si>
  <si>
    <t xml:space="preserve">L-VT-026</t>
  </si>
  <si>
    <t xml:space="preserve">DJ°055</t>
  </si>
  <si>
    <t xml:space="preserve">JN°1532R</t>
  </si>
  <si>
    <t xml:space="preserve">DJ°064</t>
  </si>
  <si>
    <t xml:space="preserve">JN°1533</t>
  </si>
  <si>
    <t xml:space="preserve">DJ°065</t>
  </si>
  <si>
    <t xml:space="preserve">JN°1534</t>
  </si>
  <si>
    <t xml:space="preserve">DJ°074</t>
  </si>
  <si>
    <t xml:space="preserve">JN°1535</t>
  </si>
  <si>
    <t xml:space="preserve">DJ°072</t>
  </si>
  <si>
    <t xml:space="preserve">JN°1536</t>
  </si>
  <si>
    <t xml:space="preserve">DJ°069</t>
  </si>
  <si>
    <t xml:space="preserve">JN°1537</t>
  </si>
  <si>
    <t xml:space="preserve">DJ°052</t>
  </si>
  <si>
    <t xml:space="preserve">JN°1538</t>
  </si>
  <si>
    <t xml:space="preserve">DJ°063</t>
  </si>
  <si>
    <t xml:space="preserve">JN°1539R</t>
  </si>
  <si>
    <t xml:space="preserve">DJ°060</t>
  </si>
  <si>
    <t xml:space="preserve">JN°1540</t>
  </si>
  <si>
    <t xml:space="preserve">DJ°092</t>
  </si>
  <si>
    <t xml:space="preserve">JN°1541</t>
  </si>
  <si>
    <t xml:space="preserve">DJ°024</t>
  </si>
  <si>
    <t xml:space="preserve">JN°1542</t>
  </si>
  <si>
    <t xml:space="preserve">L-RT-025</t>
  </si>
  <si>
    <t xml:space="preserve">DJ°034</t>
  </si>
  <si>
    <t xml:space="preserve">JN°1543</t>
  </si>
  <si>
    <t xml:space="preserve">DJ°028</t>
  </si>
  <si>
    <t xml:space="preserve">JN°1544</t>
  </si>
  <si>
    <t xml:space="preserve">DJ°036</t>
  </si>
  <si>
    <t xml:space="preserve">JN°1545</t>
  </si>
  <si>
    <t xml:space="preserve">DJ°038</t>
  </si>
  <si>
    <t xml:space="preserve">JN°1546R</t>
  </si>
  <si>
    <t xml:space="preserve">DJ°033</t>
  </si>
  <si>
    <t xml:space="preserve">JN°1547</t>
  </si>
  <si>
    <t xml:space="preserve">DJ°035</t>
  </si>
  <si>
    <t xml:space="preserve">JN°1548</t>
  </si>
  <si>
    <t xml:space="preserve">L-VT-027</t>
  </si>
  <si>
    <t xml:space="preserve">DJ°075</t>
  </si>
  <si>
    <t xml:space="preserve">JN°1549</t>
  </si>
  <si>
    <t xml:space="preserve">DJ°066</t>
  </si>
  <si>
    <t xml:space="preserve">JN°1550R</t>
  </si>
  <si>
    <t xml:space="preserve">JN°1551</t>
  </si>
  <si>
    <t xml:space="preserve">JN°1552</t>
  </si>
  <si>
    <t xml:space="preserve">JN°1553</t>
  </si>
  <si>
    <t xml:space="preserve">WR-46-44/36-33/45-30/45-42</t>
  </si>
  <si>
    <t xml:space="preserve">L-VT-024</t>
  </si>
  <si>
    <t xml:space="preserve">JN°1554</t>
  </si>
  <si>
    <t xml:space="preserve">JN°1555</t>
  </si>
  <si>
    <t xml:space="preserve">JN°1556</t>
  </si>
  <si>
    <t xml:space="preserve">JN°1557</t>
  </si>
  <si>
    <t xml:space="preserve">L-RT-026</t>
  </si>
  <si>
    <t xml:space="preserve">JN°1558</t>
  </si>
  <si>
    <t xml:space="preserve">JN°1559</t>
  </si>
  <si>
    <t xml:space="preserve">JN°1560</t>
  </si>
  <si>
    <t xml:space="preserve">JN°1561</t>
  </si>
  <si>
    <t xml:space="preserve">JN°1562</t>
  </si>
  <si>
    <t xml:space="preserve">JN°1563</t>
  </si>
  <si>
    <t xml:space="preserve">JN°1564</t>
  </si>
  <si>
    <t xml:space="preserve">JN°1565</t>
  </si>
  <si>
    <t xml:space="preserve">JN°1566</t>
  </si>
  <si>
    <t xml:space="preserve">JN°1567</t>
  </si>
  <si>
    <t xml:space="preserve">JN°1568</t>
  </si>
  <si>
    <t xml:space="preserve">JN°1569</t>
  </si>
  <si>
    <t xml:space="preserve">JN°1570</t>
  </si>
  <si>
    <t xml:space="preserve">JN°1571</t>
  </si>
  <si>
    <t xml:space="preserve">JN°1572</t>
  </si>
  <si>
    <t xml:space="preserve">JN°1573</t>
  </si>
  <si>
    <t xml:space="preserve">JN°1574</t>
  </si>
  <si>
    <t xml:space="preserve">JN°1575</t>
  </si>
  <si>
    <t xml:space="preserve">JN°1576</t>
  </si>
  <si>
    <t xml:space="preserve">JN°1577</t>
  </si>
  <si>
    <t xml:space="preserve">JN°1578</t>
  </si>
  <si>
    <t xml:space="preserve">JN°1579</t>
  </si>
  <si>
    <t xml:space="preserve">JN°1580</t>
  </si>
  <si>
    <t xml:space="preserve">JN°1581</t>
  </si>
  <si>
    <t xml:space="preserve">JN°1582</t>
  </si>
  <si>
    <t xml:space="preserve">JN°1583</t>
  </si>
  <si>
    <t xml:space="preserve">JN°1584</t>
  </si>
  <si>
    <t xml:space="preserve">T-13</t>
  </si>
  <si>
    <t xml:space="preserve">JN°1585</t>
  </si>
  <si>
    <t xml:space="preserve">L-RT-017</t>
  </si>
  <si>
    <t xml:space="preserve">JN°1586R</t>
  </si>
  <si>
    <t xml:space="preserve">JN°1587</t>
  </si>
  <si>
    <t xml:space="preserve">JN°1588</t>
  </si>
  <si>
    <t xml:space="preserve">JN°1589</t>
  </si>
  <si>
    <t xml:space="preserve">08  09</t>
  </si>
  <si>
    <t xml:space="preserve">RX (30-65) (65-100)</t>
  </si>
  <si>
    <t xml:space="preserve">JN°1590</t>
  </si>
  <si>
    <t xml:space="preserve">RX (100-00)</t>
  </si>
  <si>
    <t xml:space="preserve">JN°1591</t>
  </si>
  <si>
    <t xml:space="preserve">JN°1592</t>
  </si>
  <si>
    <t xml:space="preserve">L-VT-025</t>
  </si>
  <si>
    <t xml:space="preserve">JN°1593</t>
  </si>
  <si>
    <t xml:space="preserve">JN°1594</t>
  </si>
  <si>
    <t xml:space="preserve">JN°1595</t>
  </si>
  <si>
    <t xml:space="preserve">JN°1596</t>
  </si>
  <si>
    <t xml:space="preserve">JN°1597</t>
  </si>
  <si>
    <t xml:space="preserve">JN°1598</t>
  </si>
  <si>
    <t xml:space="preserve">JN°1599</t>
  </si>
  <si>
    <t xml:space="preserve">JN°1600</t>
  </si>
  <si>
    <t xml:space="preserve">WR-46-44/36-33/45-30</t>
  </si>
  <si>
    <t xml:space="preserve">L-VT-022</t>
  </si>
  <si>
    <t xml:space="preserve">JN°1601</t>
  </si>
  <si>
    <t xml:space="preserve">JN°1602</t>
  </si>
  <si>
    <t xml:space="preserve">JN°1603R</t>
  </si>
  <si>
    <t xml:space="preserve">L-RT-057</t>
  </si>
  <si>
    <t xml:space="preserve">JN°1604R</t>
  </si>
  <si>
    <t xml:space="preserve">JN°1605</t>
  </si>
  <si>
    <t xml:space="preserve">L-RT-018</t>
  </si>
  <si>
    <t xml:space="preserve">JN°1606</t>
  </si>
  <si>
    <t xml:space="preserve">JN°1607</t>
  </si>
  <si>
    <t xml:space="preserve">JN°1608</t>
  </si>
  <si>
    <t xml:space="preserve">JN°1609</t>
  </si>
  <si>
    <t xml:space="preserve">JN°1610</t>
  </si>
  <si>
    <t xml:space="preserve">JN°1611</t>
  </si>
  <si>
    <t xml:space="preserve">JN°1612</t>
  </si>
  <si>
    <t xml:space="preserve">JN°1613</t>
  </si>
  <si>
    <t xml:space="preserve">JN°1614</t>
  </si>
  <si>
    <t xml:space="preserve">JN°1615</t>
  </si>
  <si>
    <t xml:space="preserve">JN°1616</t>
  </si>
  <si>
    <t xml:space="preserve">JN°1617</t>
  </si>
  <si>
    <t xml:space="preserve">L-VT-023</t>
  </si>
  <si>
    <t xml:space="preserve">JN°1618</t>
  </si>
  <si>
    <t xml:space="preserve">JN°1619</t>
  </si>
  <si>
    <t xml:space="preserve">JN°1620</t>
  </si>
  <si>
    <t xml:space="preserve">L-RT-019</t>
  </si>
  <si>
    <t xml:space="preserve">JN°1621</t>
  </si>
  <si>
    <t xml:space="preserve">JN°1622</t>
  </si>
  <si>
    <t xml:space="preserve">JN°1623</t>
  </si>
  <si>
    <t xml:space="preserve">JN°1624</t>
  </si>
  <si>
    <t xml:space="preserve">JN°1625</t>
  </si>
  <si>
    <t xml:space="preserve">JN°1626</t>
  </si>
  <si>
    <t xml:space="preserve">JN°1627</t>
  </si>
  <si>
    <t xml:space="preserve">JN°1628</t>
  </si>
  <si>
    <t xml:space="preserve">JN°1629</t>
  </si>
  <si>
    <t xml:space="preserve">JN°1630</t>
  </si>
  <si>
    <t xml:space="preserve">WR-46-44/30-33/47-48/45-36</t>
  </si>
  <si>
    <t xml:space="preserve">JN°1631</t>
  </si>
  <si>
    <t xml:space="preserve">L-VT-020</t>
  </si>
  <si>
    <t xml:space="preserve">JN°1632</t>
  </si>
  <si>
    <t xml:space="preserve">JN°1633</t>
  </si>
  <si>
    <t xml:space="preserve">JN°1634</t>
  </si>
  <si>
    <t xml:space="preserve">JN°1635</t>
  </si>
  <si>
    <t xml:space="preserve">JN°1636R</t>
  </si>
  <si>
    <t xml:space="preserve">JN°1637R</t>
  </si>
  <si>
    <t xml:space="preserve">JN°1638</t>
  </si>
  <si>
    <t xml:space="preserve">L-RT-020</t>
  </si>
  <si>
    <t xml:space="preserve">JN°1639</t>
  </si>
  <si>
    <t xml:space="preserve">JN°1640</t>
  </si>
  <si>
    <t xml:space="preserve">JN°1641</t>
  </si>
  <si>
    <t xml:space="preserve">JN°1642</t>
  </si>
  <si>
    <t xml:space="preserve">JN°1643</t>
  </si>
  <si>
    <t xml:space="preserve">JN°1644</t>
  </si>
  <si>
    <t xml:space="preserve">JN°1645</t>
  </si>
  <si>
    <t xml:space="preserve">JN°1646</t>
  </si>
  <si>
    <t xml:space="preserve">JN°1647</t>
  </si>
  <si>
    <t xml:space="preserve">JN°1648</t>
  </si>
  <si>
    <t xml:space="preserve">L-VT-021</t>
  </si>
  <si>
    <t xml:space="preserve">JN°1649</t>
  </si>
  <si>
    <t xml:space="preserve">JN°1650</t>
  </si>
  <si>
    <t xml:space="preserve">JN°1651</t>
  </si>
  <si>
    <t xml:space="preserve">L-RT-021</t>
  </si>
  <si>
    <t xml:space="preserve">JN°1652</t>
  </si>
  <si>
    <t xml:space="preserve">JN°1653</t>
  </si>
  <si>
    <t xml:space="preserve">JN°1654</t>
  </si>
  <si>
    <t xml:space="preserve">JN°1655</t>
  </si>
  <si>
    <t xml:space="preserve">JN°1656</t>
  </si>
  <si>
    <t xml:space="preserve">RX (65-100) (100-00)</t>
  </si>
  <si>
    <t xml:space="preserve">JN°1657</t>
  </si>
  <si>
    <t xml:space="preserve">JN°1658</t>
  </si>
  <si>
    <t xml:space="preserve">JN°1659</t>
  </si>
  <si>
    <t xml:space="preserve">JN°1660</t>
  </si>
  <si>
    <t xml:space="preserve">JN°1661</t>
  </si>
  <si>
    <t xml:space="preserve">JN°1662</t>
  </si>
  <si>
    <t xml:space="preserve">JN°1663</t>
  </si>
  <si>
    <t xml:space="preserve">JN°1664</t>
  </si>
  <si>
    <t xml:space="preserve">JN°1665</t>
  </si>
  <si>
    <t xml:space="preserve">L-VT-018</t>
  </si>
  <si>
    <t xml:space="preserve">JN°1666</t>
  </si>
  <si>
    <t xml:space="preserve">JN°1667</t>
  </si>
  <si>
    <t xml:space="preserve">L-RT-022</t>
  </si>
  <si>
    <t xml:space="preserve">JN°1668</t>
  </si>
  <si>
    <t xml:space="preserve">JN°1669</t>
  </si>
  <si>
    <t xml:space="preserve">JN°1670</t>
  </si>
  <si>
    <t xml:space="preserve">JN°1671</t>
  </si>
  <si>
    <t xml:space="preserve">JN°1672</t>
  </si>
  <si>
    <t xml:space="preserve">JN°1673</t>
  </si>
  <si>
    <t xml:space="preserve">JN°1674</t>
  </si>
  <si>
    <t xml:space="preserve">JN°1675</t>
  </si>
  <si>
    <t xml:space="preserve">JN°1676R</t>
  </si>
  <si>
    <t xml:space="preserve">JN°1677</t>
  </si>
  <si>
    <t xml:space="preserve">JN°1678</t>
  </si>
  <si>
    <t xml:space="preserve">JN°1679</t>
  </si>
  <si>
    <t xml:space="preserve">L-RT-027</t>
  </si>
  <si>
    <t xml:space="preserve">JN°1680</t>
  </si>
  <si>
    <t xml:space="preserve">JN°1681</t>
  </si>
  <si>
    <t xml:space="preserve">JN°1682</t>
  </si>
  <si>
    <t xml:space="preserve">L-VT-019</t>
  </si>
  <si>
    <t xml:space="preserve">JN°1683R</t>
  </si>
  <si>
    <t xml:space="preserve">JN°1684</t>
  </si>
  <si>
    <t xml:space="preserve">JN°1685</t>
  </si>
  <si>
    <t xml:space="preserve">JN°1686</t>
  </si>
  <si>
    <t xml:space="preserve">JN°1687</t>
  </si>
  <si>
    <t xml:space="preserve">JN°1688</t>
  </si>
  <si>
    <t xml:space="preserve">JN°1689</t>
  </si>
  <si>
    <t xml:space="preserve">JN°1690</t>
  </si>
  <si>
    <t xml:space="preserve">JN°1691</t>
  </si>
  <si>
    <t xml:space="preserve">JN°1692</t>
  </si>
  <si>
    <t xml:space="preserve">JN°1693</t>
  </si>
  <si>
    <t xml:space="preserve">JN°1694</t>
  </si>
  <si>
    <t xml:space="preserve">JN°1695</t>
  </si>
  <si>
    <t xml:space="preserve">JN°1696</t>
  </si>
  <si>
    <t xml:space="preserve">JN°1697</t>
  </si>
  <si>
    <t xml:space="preserve">JN°1698</t>
  </si>
  <si>
    <t xml:space="preserve">JN°1699</t>
  </si>
  <si>
    <t xml:space="preserve">JN°1700</t>
  </si>
  <si>
    <t xml:space="preserve">JN°1701</t>
  </si>
  <si>
    <t xml:space="preserve">JN°1702</t>
  </si>
  <si>
    <t xml:space="preserve">JN°1703</t>
  </si>
  <si>
    <t xml:space="preserve">JN°1704</t>
  </si>
  <si>
    <t xml:space="preserve">JN°1705</t>
  </si>
  <si>
    <t xml:space="preserve">JN°1706</t>
  </si>
  <si>
    <t xml:space="preserve">JN°1707</t>
  </si>
  <si>
    <t xml:space="preserve">JN°1708</t>
  </si>
  <si>
    <t xml:space="preserve">JN°1709</t>
  </si>
  <si>
    <t xml:space="preserve">JN°1710</t>
  </si>
  <si>
    <t xml:space="preserve">JN°1711</t>
  </si>
  <si>
    <t xml:space="preserve">JN°1712</t>
  </si>
  <si>
    <t xml:space="preserve">JN°1713</t>
  </si>
  <si>
    <t xml:space="preserve">JN°1714</t>
  </si>
  <si>
    <t xml:space="preserve">JN°1715</t>
  </si>
  <si>
    <t xml:space="preserve">JN°1716</t>
  </si>
  <si>
    <t xml:space="preserve">JN°1717</t>
  </si>
  <si>
    <t xml:space="preserve">JN°1718</t>
  </si>
  <si>
    <t xml:space="preserve">JN°1719</t>
  </si>
  <si>
    <t xml:space="preserve">T-12</t>
  </si>
  <si>
    <t xml:space="preserve">JN°1720</t>
  </si>
  <si>
    <t xml:space="preserve">L-RT-016</t>
  </si>
  <si>
    <t xml:space="preserve">JN°1721</t>
  </si>
  <si>
    <t xml:space="preserve">JN°1722</t>
  </si>
  <si>
    <t xml:space="preserve">JN°1723</t>
  </si>
  <si>
    <t xml:space="preserve">JN°1724</t>
  </si>
  <si>
    <t xml:space="preserve">JN°1725</t>
  </si>
  <si>
    <t xml:space="preserve">JN°1726</t>
  </si>
  <si>
    <t xml:space="preserve">T-11</t>
  </si>
  <si>
    <t xml:space="preserve">JN°1727</t>
  </si>
  <si>
    <t xml:space="preserve">JN°1728</t>
  </si>
  <si>
    <t xml:space="preserve">JN°1729</t>
  </si>
  <si>
    <t xml:space="preserve">JN°1730</t>
  </si>
  <si>
    <t xml:space="preserve">WR-46-44/43-33/30-32/45/36</t>
  </si>
  <si>
    <t xml:space="preserve">L-VT-017</t>
  </si>
  <si>
    <t xml:space="preserve">JN°1731</t>
  </si>
  <si>
    <t xml:space="preserve">JN°1732</t>
  </si>
  <si>
    <t xml:space="preserve">JN°1733</t>
  </si>
  <si>
    <t xml:space="preserve">JN°1734</t>
  </si>
  <si>
    <t xml:space="preserve">T-10</t>
  </si>
  <si>
    <t xml:space="preserve">JN°1735</t>
  </si>
  <si>
    <t xml:space="preserve">JN°1736</t>
  </si>
  <si>
    <t xml:space="preserve">JN°1737</t>
  </si>
  <si>
    <t xml:space="preserve">JN°1738</t>
  </si>
  <si>
    <t xml:space="preserve">JN°1739</t>
  </si>
  <si>
    <t xml:space="preserve">L-RT-015</t>
  </si>
  <si>
    <t xml:space="preserve">JN°1740</t>
  </si>
  <si>
    <t xml:space="preserve">JN°1741</t>
  </si>
  <si>
    <t xml:space="preserve">JN°1742</t>
  </si>
  <si>
    <t xml:space="preserve">JN°1743</t>
  </si>
  <si>
    <t xml:space="preserve">JN°1744R</t>
  </si>
  <si>
    <t xml:space="preserve">L-VT-037</t>
  </si>
  <si>
    <t xml:space="preserve">L-RT-023</t>
  </si>
  <si>
    <t xml:space="preserve">JN°1745</t>
  </si>
  <si>
    <t xml:space="preserve">JN°1746</t>
  </si>
  <si>
    <t xml:space="preserve">JN°1747</t>
  </si>
  <si>
    <t xml:space="preserve">JN°1748</t>
  </si>
  <si>
    <t xml:space="preserve">WR-46-44</t>
  </si>
  <si>
    <t xml:space="preserve">L-VT-015</t>
  </si>
  <si>
    <t xml:space="preserve">JN°1749</t>
  </si>
  <si>
    <t xml:space="preserve">WR-46-44/43-33/45-32</t>
  </si>
  <si>
    <t xml:space="preserve">JN°1750</t>
  </si>
  <si>
    <t xml:space="preserve">JN°1751</t>
  </si>
  <si>
    <t xml:space="preserve">JN°1752</t>
  </si>
  <si>
    <t xml:space="preserve">JN°1753</t>
  </si>
  <si>
    <t xml:space="preserve">JN°1754</t>
  </si>
  <si>
    <t xml:space="preserve">T-09</t>
  </si>
  <si>
    <t xml:space="preserve">JN°1755</t>
  </si>
  <si>
    <t xml:space="preserve">L-RT-014</t>
  </si>
  <si>
    <t xml:space="preserve">JN°1756</t>
  </si>
  <si>
    <t xml:space="preserve">JN°1757</t>
  </si>
  <si>
    <t xml:space="preserve">JN°1758</t>
  </si>
  <si>
    <t xml:space="preserve">WR-46-44/43-33</t>
  </si>
  <si>
    <t xml:space="preserve">JN°1759</t>
  </si>
  <si>
    <t xml:space="preserve">JN°1760</t>
  </si>
  <si>
    <t xml:space="preserve">JN°1761</t>
  </si>
  <si>
    <t xml:space="preserve">JN°1762</t>
  </si>
  <si>
    <t xml:space="preserve">JN°1763</t>
  </si>
  <si>
    <t xml:space="preserve">JN°1764</t>
  </si>
  <si>
    <t xml:space="preserve">JN°1765</t>
  </si>
  <si>
    <t xml:space="preserve">JN°1766</t>
  </si>
  <si>
    <t xml:space="preserve">JN°1767</t>
  </si>
  <si>
    <t xml:space="preserve">JN°1768</t>
  </si>
  <si>
    <t xml:space="preserve">L-RT-012</t>
  </si>
  <si>
    <t xml:space="preserve">JN°1769</t>
  </si>
  <si>
    <t xml:space="preserve">L-VT-016</t>
  </si>
  <si>
    <t xml:space="preserve">JN°1770</t>
  </si>
  <si>
    <t xml:space="preserve">JN°1771</t>
  </si>
  <si>
    <t xml:space="preserve">JN°1772</t>
  </si>
  <si>
    <t xml:space="preserve">JN°1773</t>
  </si>
  <si>
    <t xml:space="preserve">JN°1774</t>
  </si>
  <si>
    <t xml:space="preserve">JN°1775</t>
  </si>
  <si>
    <t xml:space="preserve">JN°1776</t>
  </si>
  <si>
    <t xml:space="preserve">JN°1777</t>
  </si>
  <si>
    <t xml:space="preserve">WR-43-44</t>
  </si>
  <si>
    <t xml:space="preserve">L-VT-013</t>
  </si>
  <si>
    <t xml:space="preserve">JN°1778</t>
  </si>
  <si>
    <t xml:space="preserve">WR-43-44/46-33</t>
  </si>
  <si>
    <t xml:space="preserve">JN°1779</t>
  </si>
  <si>
    <t xml:space="preserve">JN°1780</t>
  </si>
  <si>
    <t xml:space="preserve">WR-43-44/46-33/45-32</t>
  </si>
  <si>
    <t xml:space="preserve">L-RT-013</t>
  </si>
  <si>
    <t xml:space="preserve">JN°1781</t>
  </si>
  <si>
    <t xml:space="preserve">JN°1782</t>
  </si>
  <si>
    <t xml:space="preserve">JN°1783</t>
  </si>
  <si>
    <t xml:space="preserve">T-08</t>
  </si>
  <si>
    <t xml:space="preserve">JN°1784</t>
  </si>
  <si>
    <t xml:space="preserve">JN°1785</t>
  </si>
  <si>
    <t xml:space="preserve">JN°1786</t>
  </si>
  <si>
    <t xml:space="preserve">JN°1787</t>
  </si>
  <si>
    <t xml:space="preserve">JN°1788</t>
  </si>
  <si>
    <t xml:space="preserve">JN°1789</t>
  </si>
  <si>
    <t xml:space="preserve">JN°1790</t>
  </si>
  <si>
    <t xml:space="preserve">JN°1791</t>
  </si>
  <si>
    <t xml:space="preserve">JN°1792</t>
  </si>
  <si>
    <t xml:space="preserve">JN°1793</t>
  </si>
  <si>
    <t xml:space="preserve">JN°1794</t>
  </si>
  <si>
    <t xml:space="preserve">T-07</t>
  </si>
  <si>
    <t xml:space="preserve">JN°1795</t>
  </si>
  <si>
    <t xml:space="preserve">JN°1796</t>
  </si>
  <si>
    <t xml:space="preserve">JN°1797</t>
  </si>
  <si>
    <t xml:space="preserve">JN°1798</t>
  </si>
  <si>
    <t xml:space="preserve">JN°1799</t>
  </si>
  <si>
    <t xml:space="preserve">JN°1800</t>
  </si>
  <si>
    <t xml:space="preserve">JN°1801</t>
  </si>
  <si>
    <t xml:space="preserve">JN°1802</t>
  </si>
  <si>
    <t xml:space="preserve">JN°1803</t>
  </si>
  <si>
    <t xml:space="preserve">JN°1804</t>
  </si>
  <si>
    <t xml:space="preserve">JN°1805</t>
  </si>
  <si>
    <t xml:space="preserve">JN°1806</t>
  </si>
  <si>
    <t xml:space="preserve">JN°1807</t>
  </si>
  <si>
    <t xml:space="preserve">JN°1808</t>
  </si>
  <si>
    <t xml:space="preserve">JN°1809</t>
  </si>
  <si>
    <t xml:space="preserve">T-06</t>
  </si>
  <si>
    <t xml:space="preserve">JN°1810</t>
  </si>
  <si>
    <t xml:space="preserve">JN°1811</t>
  </si>
  <si>
    <t xml:space="preserve">JN°1812</t>
  </si>
  <si>
    <t xml:space="preserve">JN°1813</t>
  </si>
  <si>
    <t xml:space="preserve">L-VT-014</t>
  </si>
  <si>
    <t xml:space="preserve">JN°1814</t>
  </si>
  <si>
    <t xml:space="preserve">JN°1815</t>
  </si>
  <si>
    <t xml:space="preserve">JN°1816</t>
  </si>
  <si>
    <t xml:space="preserve">JN°1817</t>
  </si>
  <si>
    <t xml:space="preserve">L-VT-011</t>
  </si>
  <si>
    <t xml:space="preserve">L-RT-011</t>
  </si>
  <si>
    <t xml:space="preserve">JN°1818</t>
  </si>
  <si>
    <t xml:space="preserve">JN°1819</t>
  </si>
  <si>
    <t xml:space="preserve">WR-43-44/46-33/45-36</t>
  </si>
  <si>
    <t xml:space="preserve">JN°1820</t>
  </si>
  <si>
    <t xml:space="preserve">JN°1821</t>
  </si>
  <si>
    <t xml:space="preserve">JN°1822</t>
  </si>
  <si>
    <t xml:space="preserve">JN°1823</t>
  </si>
  <si>
    <t xml:space="preserve">JN°1824</t>
  </si>
  <si>
    <t xml:space="preserve">JN°1825</t>
  </si>
  <si>
    <t xml:space="preserve">JN°1826</t>
  </si>
  <si>
    <t xml:space="preserve">JN°1827</t>
  </si>
  <si>
    <t xml:space="preserve">L-RT-010</t>
  </si>
  <si>
    <t xml:space="preserve">JN°1828</t>
  </si>
  <si>
    <t xml:space="preserve">JN°1829</t>
  </si>
  <si>
    <t xml:space="preserve">WR-43-44/45-36</t>
  </si>
  <si>
    <t xml:space="preserve">JN°1830</t>
  </si>
  <si>
    <t xml:space="preserve">JN°1831</t>
  </si>
  <si>
    <t xml:space="preserve">JN°1832</t>
  </si>
  <si>
    <t xml:space="preserve">JN°1833</t>
  </si>
  <si>
    <t xml:space="preserve">JN°1834</t>
  </si>
  <si>
    <t xml:space="preserve">L-VT-012</t>
  </si>
  <si>
    <t xml:space="preserve">JN°1835</t>
  </si>
  <si>
    <t xml:space="preserve">L-RT-009</t>
  </si>
  <si>
    <t xml:space="preserve">JN°1836</t>
  </si>
  <si>
    <t xml:space="preserve">JN°1837</t>
  </si>
  <si>
    <t xml:space="preserve">L-VT-010</t>
  </si>
  <si>
    <t xml:space="preserve">JN°1838</t>
  </si>
  <si>
    <t xml:space="preserve">JN°1839</t>
  </si>
  <si>
    <t xml:space="preserve">JN°1840</t>
  </si>
  <si>
    <t xml:space="preserve">JN°1841</t>
  </si>
  <si>
    <t xml:space="preserve">JN°1842R</t>
  </si>
  <si>
    <t xml:space="preserve">JN°1843</t>
  </si>
  <si>
    <t xml:space="preserve">JN°1844R</t>
  </si>
  <si>
    <t xml:space="preserve">JN°1845</t>
  </si>
  <si>
    <t xml:space="preserve">JN°1846</t>
  </si>
  <si>
    <t xml:space="preserve">JN°1847</t>
  </si>
  <si>
    <t xml:space="preserve">JN°1848</t>
  </si>
  <si>
    <t xml:space="preserve">JN°1849</t>
  </si>
  <si>
    <t xml:space="preserve">JN°1850</t>
  </si>
  <si>
    <t xml:space="preserve">JN°1851</t>
  </si>
  <si>
    <t xml:space="preserve">JN°1852</t>
  </si>
  <si>
    <t xml:space="preserve">JN°1853</t>
  </si>
  <si>
    <t xml:space="preserve">JN°1854</t>
  </si>
  <si>
    <t xml:space="preserve">JN°1855</t>
  </si>
  <si>
    <t xml:space="preserve">JN°1856</t>
  </si>
  <si>
    <t xml:space="preserve">JN°1857</t>
  </si>
  <si>
    <t xml:space="preserve">JN°1858</t>
  </si>
  <si>
    <t xml:space="preserve">JN°1859</t>
  </si>
  <si>
    <t xml:space="preserve">JN°1860</t>
  </si>
  <si>
    <t xml:space="preserve">JN°1861</t>
  </si>
  <si>
    <t xml:space="preserve">JN°1862</t>
  </si>
  <si>
    <t xml:space="preserve">T-05</t>
  </si>
  <si>
    <t xml:space="preserve">JN°1863</t>
  </si>
  <si>
    <t xml:space="preserve">L-RT-008</t>
  </si>
  <si>
    <t xml:space="preserve">JN°1864</t>
  </si>
  <si>
    <t xml:space="preserve">JN°1865</t>
  </si>
  <si>
    <t xml:space="preserve">JN°1866</t>
  </si>
  <si>
    <t xml:space="preserve">JN°1867</t>
  </si>
  <si>
    <t xml:space="preserve">JN°1868</t>
  </si>
  <si>
    <t xml:space="preserve">JN°1869</t>
  </si>
  <si>
    <t xml:space="preserve">JN°1870</t>
  </si>
  <si>
    <t xml:space="preserve">JN°1871</t>
  </si>
  <si>
    <t xml:space="preserve">WR-32-44/30-36</t>
  </si>
  <si>
    <t xml:space="preserve">L-VT-008</t>
  </si>
  <si>
    <t xml:space="preserve">JN°1872</t>
  </si>
  <si>
    <t xml:space="preserve">WR-32-44/30-36/43-45</t>
  </si>
  <si>
    <t xml:space="preserve">JN°1873R</t>
  </si>
  <si>
    <t xml:space="preserve">JN°1874</t>
  </si>
  <si>
    <t xml:space="preserve">JN°1875</t>
  </si>
  <si>
    <t xml:space="preserve">JN°1876</t>
  </si>
  <si>
    <t xml:space="preserve">JN°1877</t>
  </si>
  <si>
    <t xml:space="preserve">(85-105) IFD</t>
  </si>
  <si>
    <t xml:space="preserve">JN°1878</t>
  </si>
  <si>
    <t xml:space="preserve">JN°1879</t>
  </si>
  <si>
    <t xml:space="preserve">JN°1880</t>
  </si>
  <si>
    <t xml:space="preserve">JN°1881</t>
  </si>
  <si>
    <t xml:space="preserve">JN°1882</t>
  </si>
  <si>
    <t xml:space="preserve">JN°1883</t>
  </si>
  <si>
    <t xml:space="preserve">JN°1884</t>
  </si>
  <si>
    <t xml:space="preserve">JN°1885</t>
  </si>
  <si>
    <t xml:space="preserve">JN°1886</t>
  </si>
  <si>
    <t xml:space="preserve">JN°1887</t>
  </si>
  <si>
    <t xml:space="preserve">JN°1888</t>
  </si>
  <si>
    <t xml:space="preserve">JN°1889</t>
  </si>
  <si>
    <t xml:space="preserve">JN°1890</t>
  </si>
  <si>
    <t xml:space="preserve">JN°1891</t>
  </si>
  <si>
    <t xml:space="preserve">JN°1892</t>
  </si>
  <si>
    <t xml:space="preserve">JN°1893</t>
  </si>
  <si>
    <t xml:space="preserve">T-04</t>
  </si>
  <si>
    <t xml:space="preserve">JN°1894</t>
  </si>
  <si>
    <t xml:space="preserve">RX (35-65)</t>
  </si>
  <si>
    <t xml:space="preserve">JN°1895</t>
  </si>
  <si>
    <t xml:space="preserve">(87-105) IU+SL</t>
  </si>
  <si>
    <t xml:space="preserve">JN°1896</t>
  </si>
  <si>
    <t xml:space="preserve">(59-62) IC</t>
  </si>
  <si>
    <t xml:space="preserve">JN°1897</t>
  </si>
  <si>
    <t xml:space="preserve">JN°1898</t>
  </si>
  <si>
    <t xml:space="preserve">L-RT-007</t>
  </si>
  <si>
    <t xml:space="preserve">JN°1899</t>
  </si>
  <si>
    <t xml:space="preserve">JN°1900</t>
  </si>
  <si>
    <t xml:space="preserve">JN°1901</t>
  </si>
  <si>
    <t xml:space="preserve">JN°1902</t>
  </si>
  <si>
    <t xml:space="preserve">JN°1903</t>
  </si>
  <si>
    <t xml:space="preserve">L-VT-009</t>
  </si>
  <si>
    <t xml:space="preserve">JN°1904</t>
  </si>
  <si>
    <t xml:space="preserve">JN°1905</t>
  </si>
  <si>
    <t xml:space="preserve">JN°1906</t>
  </si>
  <si>
    <t xml:space="preserve">WR-043-044/030-036</t>
  </si>
  <si>
    <t xml:space="preserve">L-VT-007</t>
  </si>
  <si>
    <t xml:space="preserve">JN°1907</t>
  </si>
  <si>
    <t xml:space="preserve">JN°1908</t>
  </si>
  <si>
    <t xml:space="preserve">L-RT-006</t>
  </si>
  <si>
    <t xml:space="preserve">JN°1909</t>
  </si>
  <si>
    <t xml:space="preserve">JN°1910</t>
  </si>
  <si>
    <t xml:space="preserve">JN°1911</t>
  </si>
  <si>
    <t xml:space="preserve">JN°1912</t>
  </si>
  <si>
    <t xml:space="preserve">JN°1913</t>
  </si>
  <si>
    <t xml:space="preserve">JN°1914</t>
  </si>
  <si>
    <t xml:space="preserve">JN°1915</t>
  </si>
  <si>
    <t xml:space="preserve">JN°1916</t>
  </si>
  <si>
    <t xml:space="preserve">JN°1917</t>
  </si>
  <si>
    <t xml:space="preserve">JN°1918</t>
  </si>
  <si>
    <t xml:space="preserve">JN°1919</t>
  </si>
  <si>
    <t xml:space="preserve">JN°1920</t>
  </si>
  <si>
    <t xml:space="preserve">WR-043-044</t>
  </si>
  <si>
    <t xml:space="preserve">L-VT-006</t>
  </si>
  <si>
    <t xml:space="preserve">JN°1921</t>
  </si>
  <si>
    <t xml:space="preserve">JN°1922</t>
  </si>
  <si>
    <t xml:space="preserve">WR-030-036/043-044</t>
  </si>
  <si>
    <t xml:space="preserve">L-RT-005</t>
  </si>
  <si>
    <t xml:space="preserve">JN°1923</t>
  </si>
  <si>
    <t xml:space="preserve">JN°1924</t>
  </si>
  <si>
    <t xml:space="preserve">JN°1925</t>
  </si>
  <si>
    <t xml:space="preserve">JN°1926</t>
  </si>
  <si>
    <t xml:space="preserve">JN°1927</t>
  </si>
  <si>
    <t xml:space="preserve">JN°1928</t>
  </si>
  <si>
    <t xml:space="preserve">L-VT-005</t>
  </si>
  <si>
    <t xml:space="preserve">JN°1929</t>
  </si>
  <si>
    <t xml:space="preserve">JN°1930</t>
  </si>
  <si>
    <t xml:space="preserve">JN°1931C</t>
  </si>
  <si>
    <t xml:space="preserve">WR-032/052</t>
  </si>
  <si>
    <t xml:space="preserve">JN°1932R</t>
  </si>
  <si>
    <t xml:space="preserve">JN°1933R</t>
  </si>
  <si>
    <t xml:space="preserve">JN°1934</t>
  </si>
  <si>
    <t xml:space="preserve">L-RT-004</t>
  </si>
  <si>
    <t xml:space="preserve">JN°1935</t>
  </si>
  <si>
    <t xml:space="preserve">JN°1936</t>
  </si>
  <si>
    <t xml:space="preserve">JN°1937</t>
  </si>
  <si>
    <t xml:space="preserve">JN°1938</t>
  </si>
  <si>
    <t xml:space="preserve">T-03</t>
  </si>
  <si>
    <t xml:space="preserve">JN°1939</t>
  </si>
  <si>
    <t xml:space="preserve">JN°1940</t>
  </si>
  <si>
    <t xml:space="preserve">JN°1941</t>
  </si>
  <si>
    <t xml:space="preserve">JN°1942</t>
  </si>
  <si>
    <t xml:space="preserve">JN°1943</t>
  </si>
  <si>
    <t xml:space="preserve">JN°1944</t>
  </si>
  <si>
    <t xml:space="preserve">L-VT-004</t>
  </si>
  <si>
    <t xml:space="preserve">JN°1945</t>
  </si>
  <si>
    <t xml:space="preserve">JN°1946</t>
  </si>
  <si>
    <t xml:space="preserve">JN°1947</t>
  </si>
  <si>
    <t xml:space="preserve">JN°1948</t>
  </si>
  <si>
    <t xml:space="preserve">JN°1949</t>
  </si>
  <si>
    <t xml:space="preserve">JN°1950</t>
  </si>
  <si>
    <t xml:space="preserve">T-02</t>
  </si>
  <si>
    <t xml:space="preserve">JN°1951</t>
  </si>
  <si>
    <t xml:space="preserve">JN°1952</t>
  </si>
  <si>
    <t xml:space="preserve">JN°1953</t>
  </si>
  <si>
    <t xml:space="preserve">JN°1954R</t>
  </si>
  <si>
    <t xml:space="preserve">JN°1955</t>
  </si>
  <si>
    <t xml:space="preserve">L-RT-003</t>
  </si>
  <si>
    <t xml:space="preserve">JN°1956</t>
  </si>
  <si>
    <t xml:space="preserve">JN°1957</t>
  </si>
  <si>
    <t xml:space="preserve">JN°1958</t>
  </si>
  <si>
    <t xml:space="preserve">JN°1959</t>
  </si>
  <si>
    <t xml:space="preserve">JN°1960</t>
  </si>
  <si>
    <t xml:space="preserve">JN°1961</t>
  </si>
  <si>
    <t xml:space="preserve">JN°1962</t>
  </si>
  <si>
    <t xml:space="preserve">T-01</t>
  </si>
  <si>
    <t xml:space="preserve">JN°1963</t>
  </si>
  <si>
    <t xml:space="preserve">JN°1964</t>
  </si>
  <si>
    <t xml:space="preserve">L-VT-003</t>
  </si>
  <si>
    <t xml:space="preserve">JN°1965</t>
  </si>
  <si>
    <t xml:space="preserve">JN°1966</t>
  </si>
  <si>
    <t xml:space="preserve">JN°1967</t>
  </si>
  <si>
    <t xml:space="preserve">JN°1968</t>
  </si>
  <si>
    <t xml:space="preserve">JN°1969</t>
  </si>
  <si>
    <t xml:space="preserve">JN°1970</t>
  </si>
  <si>
    <t xml:space="preserve">JN°1971</t>
  </si>
  <si>
    <t xml:space="preserve">JN°1972</t>
  </si>
  <si>
    <t xml:space="preserve">JN°1973</t>
  </si>
  <si>
    <t xml:space="preserve">JN°1974</t>
  </si>
  <si>
    <t xml:space="preserve">L-RT-001</t>
  </si>
  <si>
    <t xml:space="preserve">JN°1975</t>
  </si>
  <si>
    <t xml:space="preserve">JN°1976</t>
  </si>
  <si>
    <t xml:space="preserve">JN°1977R</t>
  </si>
  <si>
    <t xml:space="preserve">JN°1978</t>
  </si>
  <si>
    <t xml:space="preserve">L-VT-002</t>
  </si>
  <si>
    <t xml:space="preserve">JN°1979</t>
  </si>
  <si>
    <t xml:space="preserve">JN°1980</t>
  </si>
  <si>
    <t xml:space="preserve">JN°1981</t>
  </si>
  <si>
    <t xml:space="preserve">JN°1982</t>
  </si>
  <si>
    <t xml:space="preserve">JN°1983</t>
  </si>
  <si>
    <t xml:space="preserve">JN°1984</t>
  </si>
  <si>
    <t xml:space="preserve">L-VT-001</t>
  </si>
  <si>
    <t xml:space="preserve">JN°1985</t>
  </si>
  <si>
    <t xml:space="preserve">JN°1986</t>
  </si>
  <si>
    <t xml:space="preserve">JN°1987</t>
  </si>
  <si>
    <t xml:space="preserve">JN°1988</t>
  </si>
  <si>
    <t xml:space="preserve">JN°1989R</t>
  </si>
  <si>
    <t xml:space="preserve">JN°1990</t>
  </si>
  <si>
    <t xml:space="preserve">WR-030/036</t>
  </si>
  <si>
    <t xml:space="preserve">L-RT-002</t>
  </si>
  <si>
    <t xml:space="preserve">JN°1991</t>
  </si>
  <si>
    <t xml:space="preserve">JN°1992</t>
  </si>
  <si>
    <t xml:space="preserve">JN°1993</t>
  </si>
  <si>
    <t xml:space="preserve">JN°1994</t>
  </si>
  <si>
    <t xml:space="preserve">JN°1995</t>
  </si>
  <si>
    <t xml:space="preserve">JN°1996</t>
  </si>
  <si>
    <t xml:space="preserve">JN°1997</t>
  </si>
  <si>
    <t xml:space="preserve">JN°1998</t>
  </si>
  <si>
    <t xml:space="preserve">JN°1999</t>
  </si>
  <si>
    <t xml:space="preserve">JN°2000</t>
  </si>
  <si>
    <t xml:space="preserve">FICHE DE BARDAGE — PIPELINE</t>
  </si>
  <si>
    <t xml:space="preserve">Ligne :</t>
  </si>
  <si>
    <t xml:space="preserve">Fiche N° :</t>
  </si>
  <si>
    <t xml:space="preserve">01</t>
  </si>
  <si>
    <t xml:space="preserve">Page :</t>
  </si>
  <si>
    <t xml:space="preserve">1 / 71</t>
  </si>
  <si>
    <t xml:space="preserve">Date :</t>
  </si>
  <si>
    <t xml:space="preserve">N° ordre</t>
  </si>
  <si>
    <t xml:space="preserve">N° Pipe</t>
  </si>
  <si>
    <t xml:space="preserve">N° Coulée</t>
  </si>
  <si>
    <t xml:space="preserve">N° Lot</t>
  </si>
  <si>
    <t xml:space="preserve">Longueur (m)</t>
  </si>
  <si>
    <t xml:space="preserve">Longueur cumulée (m)</t>
  </si>
  <si>
    <t xml:space="preserve">NJ (aval)</t>
  </si>
  <si>
    <t xml:space="preserve">Date bardage</t>
  </si>
  <si>
    <t xml:space="preserve">Observations</t>
  </si>
  <si>
    <t xml:space="preserve">Total fiche</t>
  </si>
  <si>
    <t xml:space="preserve">Établi par :</t>
  </si>
  <si>
    <t xml:space="preserve">Contrôlé par :</t>
  </si>
  <si>
    <t xml:space="preserve">Visa client :</t>
  </si>
  <si>
    <t xml:space="preserve">02</t>
  </si>
  <si>
    <t xml:space="preserve">2 / 71</t>
  </si>
  <si>
    <t xml:space="preserve">03</t>
  </si>
  <si>
    <t xml:space="preserve">3 / 71</t>
  </si>
  <si>
    <t xml:space="preserve">04</t>
  </si>
  <si>
    <t xml:space="preserve">4 / 71</t>
  </si>
  <si>
    <t xml:space="preserve">05</t>
  </si>
  <si>
    <t xml:space="preserve">5 / 71</t>
  </si>
  <si>
    <t xml:space="preserve">06</t>
  </si>
  <si>
    <t xml:space="preserve">6 / 71</t>
  </si>
  <si>
    <t xml:space="preserve">07</t>
  </si>
  <si>
    <t xml:space="preserve">7 / 71</t>
  </si>
  <si>
    <t xml:space="preserve">08</t>
  </si>
  <si>
    <t xml:space="preserve">8 / 71</t>
  </si>
  <si>
    <t xml:space="preserve">09</t>
  </si>
  <si>
    <t xml:space="preserve">9 / 71</t>
  </si>
  <si>
    <t xml:space="preserve">10</t>
  </si>
  <si>
    <t xml:space="preserve">10 / 71</t>
  </si>
  <si>
    <t xml:space="preserve">11</t>
  </si>
  <si>
    <t xml:space="preserve">11 / 71</t>
  </si>
  <si>
    <t xml:space="preserve">12</t>
  </si>
  <si>
    <t xml:space="preserve">12 / 71</t>
  </si>
  <si>
    <t xml:space="preserve">13</t>
  </si>
  <si>
    <t xml:space="preserve">13 / 71</t>
  </si>
  <si>
    <t xml:space="preserve">14</t>
  </si>
  <si>
    <t xml:space="preserve">14 / 71</t>
  </si>
  <si>
    <t xml:space="preserve">15</t>
  </si>
  <si>
    <t xml:space="preserve">15 / 71</t>
  </si>
  <si>
    <t xml:space="preserve">16</t>
  </si>
  <si>
    <t xml:space="preserve">16 / 71</t>
  </si>
  <si>
    <t xml:space="preserve">17</t>
  </si>
  <si>
    <t xml:space="preserve">17 / 71</t>
  </si>
  <si>
    <t xml:space="preserve">18</t>
  </si>
  <si>
    <t xml:space="preserve">18 / 71</t>
  </si>
  <si>
    <t xml:space="preserve">19</t>
  </si>
  <si>
    <t xml:space="preserve">19 / 71</t>
  </si>
  <si>
    <t xml:space="preserve">20</t>
  </si>
  <si>
    <t xml:space="preserve">20 / 71</t>
  </si>
  <si>
    <t xml:space="preserve">21</t>
  </si>
  <si>
    <t xml:space="preserve">21 / 71</t>
  </si>
  <si>
    <t xml:space="preserve">22</t>
  </si>
  <si>
    <t xml:space="preserve">22 / 71</t>
  </si>
  <si>
    <t xml:space="preserve">23</t>
  </si>
  <si>
    <t xml:space="preserve">23 / 71</t>
  </si>
  <si>
    <t xml:space="preserve">24</t>
  </si>
  <si>
    <t xml:space="preserve">24 / 71</t>
  </si>
  <si>
    <t xml:space="preserve">25</t>
  </si>
  <si>
    <t xml:space="preserve">25 / 71</t>
  </si>
  <si>
    <t xml:space="preserve">26</t>
  </si>
  <si>
    <t xml:space="preserve">26 / 71</t>
  </si>
  <si>
    <t xml:space="preserve">27</t>
  </si>
  <si>
    <t xml:space="preserve">27 / 71</t>
  </si>
  <si>
    <t xml:space="preserve">28</t>
  </si>
  <si>
    <t xml:space="preserve">28 / 71</t>
  </si>
  <si>
    <t xml:space="preserve">29</t>
  </si>
  <si>
    <t xml:space="preserve">29 / 71</t>
  </si>
  <si>
    <t xml:space="preserve">30</t>
  </si>
  <si>
    <t xml:space="preserve">30 / 71</t>
  </si>
  <si>
    <t xml:space="preserve">31</t>
  </si>
  <si>
    <t xml:space="preserve">31 / 71</t>
  </si>
  <si>
    <t xml:space="preserve">32</t>
  </si>
  <si>
    <t xml:space="preserve">32 / 71</t>
  </si>
  <si>
    <t xml:space="preserve">33</t>
  </si>
  <si>
    <t xml:space="preserve">33 / 71</t>
  </si>
  <si>
    <t xml:space="preserve">34</t>
  </si>
  <si>
    <t xml:space="preserve">34 / 71</t>
  </si>
  <si>
    <t xml:space="preserve">35</t>
  </si>
  <si>
    <t xml:space="preserve">35 / 71</t>
  </si>
  <si>
    <t xml:space="preserve">36</t>
  </si>
  <si>
    <t xml:space="preserve">36 / 71</t>
  </si>
  <si>
    <t xml:space="preserve">37</t>
  </si>
  <si>
    <t xml:space="preserve">37 / 71</t>
  </si>
  <si>
    <t xml:space="preserve">38</t>
  </si>
  <si>
    <t xml:space="preserve">38 / 71</t>
  </si>
  <si>
    <t xml:space="preserve">39</t>
  </si>
  <si>
    <t xml:space="preserve">39 / 71</t>
  </si>
  <si>
    <t xml:space="preserve">40</t>
  </si>
  <si>
    <t xml:space="preserve">40 / 71</t>
  </si>
  <si>
    <t xml:space="preserve">41</t>
  </si>
  <si>
    <t xml:space="preserve">41 / 71</t>
  </si>
  <si>
    <t xml:space="preserve">42</t>
  </si>
  <si>
    <t xml:space="preserve">42 / 71</t>
  </si>
  <si>
    <t xml:space="preserve">43</t>
  </si>
  <si>
    <t xml:space="preserve">43 / 71</t>
  </si>
  <si>
    <t xml:space="preserve">44</t>
  </si>
  <si>
    <t xml:space="preserve">44 / 71</t>
  </si>
  <si>
    <t xml:space="preserve">45</t>
  </si>
  <si>
    <t xml:space="preserve">45 / 71</t>
  </si>
  <si>
    <t xml:space="preserve">46</t>
  </si>
  <si>
    <t xml:space="preserve">46 / 71</t>
  </si>
  <si>
    <t xml:space="preserve">47</t>
  </si>
  <si>
    <t xml:space="preserve">47 / 71</t>
  </si>
  <si>
    <t xml:space="preserve">48</t>
  </si>
  <si>
    <t xml:space="preserve">48 / 71</t>
  </si>
  <si>
    <t xml:space="preserve">49</t>
  </si>
  <si>
    <t xml:space="preserve">49 / 71</t>
  </si>
  <si>
    <t xml:space="preserve">50</t>
  </si>
  <si>
    <t xml:space="preserve">50 / 71</t>
  </si>
  <si>
    <t xml:space="preserve">51</t>
  </si>
  <si>
    <t xml:space="preserve">51 / 71</t>
  </si>
  <si>
    <t xml:space="preserve">52</t>
  </si>
  <si>
    <t xml:space="preserve">52 / 71</t>
  </si>
  <si>
    <t xml:space="preserve">53</t>
  </si>
  <si>
    <t xml:space="preserve">53 / 71</t>
  </si>
  <si>
    <t xml:space="preserve">54</t>
  </si>
  <si>
    <t xml:space="preserve">54 / 71</t>
  </si>
  <si>
    <t xml:space="preserve">55</t>
  </si>
  <si>
    <t xml:space="preserve">55 / 71</t>
  </si>
  <si>
    <t xml:space="preserve">56</t>
  </si>
  <si>
    <t xml:space="preserve">56 / 71</t>
  </si>
  <si>
    <t xml:space="preserve">57</t>
  </si>
  <si>
    <t xml:space="preserve">57 / 71</t>
  </si>
  <si>
    <t xml:space="preserve">58</t>
  </si>
  <si>
    <t xml:space="preserve">58 / 71</t>
  </si>
  <si>
    <t xml:space="preserve">59</t>
  </si>
  <si>
    <t xml:space="preserve">59 / 71</t>
  </si>
  <si>
    <t xml:space="preserve">60</t>
  </si>
  <si>
    <t xml:space="preserve">60 / 71</t>
  </si>
  <si>
    <t xml:space="preserve">61</t>
  </si>
  <si>
    <t xml:space="preserve">61 / 71</t>
  </si>
  <si>
    <t xml:space="preserve">62</t>
  </si>
  <si>
    <t xml:space="preserve">62 / 71</t>
  </si>
  <si>
    <t xml:space="preserve">63</t>
  </si>
  <si>
    <t xml:space="preserve">63 / 71</t>
  </si>
  <si>
    <t xml:space="preserve">64</t>
  </si>
  <si>
    <t xml:space="preserve">64 / 71</t>
  </si>
  <si>
    <t xml:space="preserve">65</t>
  </si>
  <si>
    <t xml:space="preserve">65 / 71</t>
  </si>
  <si>
    <t xml:space="preserve">66</t>
  </si>
  <si>
    <t xml:space="preserve">66 / 71</t>
  </si>
  <si>
    <t xml:space="preserve">67</t>
  </si>
  <si>
    <t xml:space="preserve">67 / 71</t>
  </si>
  <si>
    <t xml:space="preserve">68</t>
  </si>
  <si>
    <t xml:space="preserve">68 / 71</t>
  </si>
  <si>
    <t xml:space="preserve">69</t>
  </si>
  <si>
    <t xml:space="preserve">69 / 71</t>
  </si>
  <si>
    <t xml:space="preserve">70</t>
  </si>
  <si>
    <t xml:space="preserve">70 / 71</t>
  </si>
  <si>
    <t xml:space="preserve">71</t>
  </si>
  <si>
    <t xml:space="preserve">71 / 71</t>
  </si>
  <si>
    <t xml:space="preserve">ENROBAGE DES JOINTS (NJ)</t>
  </si>
  <si>
    <t xml:space="preserve">Ligne + NJ saisis (bleu) — PK, soudage, RT et statut viennent automatiquement du CARNET. Un joint est prêt à enrober quand son RT est ACCEPTÉ. Nouveau joint : ajouter Ligne + NJ en bas de liste.</t>
  </si>
  <si>
    <t xml:space="preserve">À enrober :</t>
  </si>
  <si>
    <t xml:space="preserve">Enrobés :</t>
  </si>
  <si>
    <t xml:space="preserve">En attente RT :</t>
  </si>
  <si>
    <t xml:space="preserve">À reprendre :</t>
  </si>
  <si>
    <t xml:space="preserve">Absents du carnet → ici :</t>
  </si>
  <si>
    <t xml:space="preserve">NJ</t>
  </si>
  <si>
    <t xml:space="preserve">Statut joint</t>
  </si>
  <si>
    <t xml:space="preserve">Prêt à enrober</t>
  </si>
  <si>
    <t xml:space="preserve">Date enrobage</t>
  </si>
  <si>
    <t xml:space="preserve">Type de revêtement</t>
  </si>
  <si>
    <t xml:space="preserve">Équipe / Opérateur</t>
  </si>
  <si>
    <t xml:space="preserve">Holiday test (A/R)</t>
  </si>
  <si>
    <t xml:space="preserve">N° PV</t>
  </si>
  <si>
    <t xml:space="preserve">Statut enrobage</t>
  </si>
  <si>
    <t xml:space="preserve">hIdx</t>
  </si>
  <si>
    <t xml:space="preserve">hKey</t>
  </si>
  <si>
    <t xml:space="preserve">PROGRAMME RADIOGRAPHIE (RT) DU JOUR</t>
  </si>
  <si>
    <t xml:space="preserve">Nombre de joints :</t>
  </si>
  <si>
    <t xml:space="preserve">Liste automatique des joints soudés et acceptés au VT, pas encore radiographiés, réparés, ou NX à refaire.</t>
  </si>
  <si>
    <t xml:space="preserve">VT réalisés</t>
  </si>
  <si>
    <t xml:space="preserve">RT réalisés</t>
  </si>
  <si>
    <t xml:space="preserve">RT acceptés</t>
  </si>
  <si>
    <t xml:space="preserve">RT rejetés (R/NT/CO)</t>
  </si>
  <si>
    <t xml:space="preserve">RT NX</t>
  </si>
  <si>
    <t xml:space="preserve">#</t>
  </si>
  <si>
    <t xml:space="preserve">Soudeurs (WR)</t>
  </si>
  <si>
    <t xml:space="preserve">Motif</t>
  </si>
  <si>
    <t xml:space="preserve">Fait ✓</t>
  </si>
  <si>
    <t xml:space="preserve">PV RT / Observations</t>
  </si>
  <si>
    <t xml:space="preserve">JOINTS DE RÉPARATION (identifiés au RT-01 : R · NX · NT · CO)</t>
  </si>
  <si>
    <t xml:space="preserve">Afficher :</t>
  </si>
  <si>
    <t xml:space="preserve">TOUS</t>
  </si>
  <si>
    <t xml:space="preserve">Tous les joints dont le RT-01 est R, NX, NT ou CO, avec le suivi réparation → VT → RT jusqu'à acceptation.</t>
  </si>
  <si>
    <t xml:space="preserve">SYNTHÈSE DES JOINTS DE RÉPARATION</t>
  </si>
  <si>
    <t xml:space="preserve">Total</t>
  </si>
  <si>
    <t xml:space="preserve">R — à réparer</t>
  </si>
  <si>
    <t xml:space="preserve">NX — reprise film</t>
  </si>
  <si>
    <t xml:space="preserve">NT — à couper</t>
  </si>
  <si>
    <t xml:space="preserve">CO — à couper</t>
  </si>
  <si>
    <t xml:space="preserve">Encore en cours</t>
  </si>
  <si>
    <t xml:space="preserve">RT1 PV</t>
  </si>
  <si>
    <t xml:space="preserve">Code RT1</t>
  </si>
  <si>
    <t xml:space="preserve">Défaut (localisation)</t>
  </si>
  <si>
    <t xml:space="preserve">WR réparation</t>
  </si>
  <si>
    <t xml:space="preserve">VT après rép.</t>
  </si>
  <si>
    <t xml:space="preserve">RT de contrôle</t>
  </si>
  <si>
    <t xml:space="preserve">Statut actuel</t>
  </si>
  <si>
    <t xml:space="preserve">REGISTRE DES TUBES (N° Pipe · N° Coulée · Lot · Longueur)</t>
  </si>
  <si>
    <t xml:space="preserve">Liste de tous les tubes reçus (source des N° de coulée). Ligne, NJ amont / aval et statut se lisent automatiquement dans le CARNET et la page BARDAGE.</t>
  </si>
  <si>
    <t xml:space="preserve">Tubes :</t>
  </si>
  <si>
    <t xml:space="preserve">Longueur totale (m) :</t>
  </si>
  <si>
    <t xml:space="preserve">Posés en ligne :</t>
  </si>
  <si>
    <t xml:space="preserve">Bardés :</t>
  </si>
  <si>
    <t xml:space="preserve">En stock :</t>
  </si>
  <si>
    <t xml:space="preserve">Coulées à vérifier :</t>
  </si>
  <si>
    <t xml:space="preserve">Contrôle coulée</t>
  </si>
  <si>
    <t xml:space="preserve">Revêtement</t>
  </si>
  <si>
    <t xml:space="preserve">Date réception</t>
  </si>
  <si>
    <t xml:space="preserve">NJ amont</t>
  </si>
  <si>
    <t xml:space="preserve">NJ aval</t>
  </si>
  <si>
    <t xml:space="preserve">Statut tube</t>
  </si>
  <si>
    <t xml:space="preserve">SOUDEURS — QUALIFICATION &amp; PERFORMANCE</t>
  </si>
  <si>
    <t xml:space="preserve">Taux de réparation = joints rejetés (R, NT ou CO) au RT-01 ÷ joints radiographiés (hors NX). Un soudeur est compté s'il a réalisé au moins une passe du joint.</t>
  </si>
  <si>
    <t xml:space="preserve">Repère soudeurs (WR / équipe)</t>
  </si>
  <si>
    <t xml:space="preserve">Qualifications (WQT)</t>
  </si>
  <si>
    <t xml:space="preserve">Radiographiés RT-01</t>
  </si>
  <si>
    <t xml:space="preserve">Rejetés (R/NT/CO)</t>
  </si>
  <si>
    <t xml:space="preserve">Réparations effectuées</t>
  </si>
  <si>
    <t xml:space="preserve">PARAMÈTRES DU PROJET</t>
  </si>
  <si>
    <t xml:space="preserve">Projet</t>
  </si>
  <si>
    <t xml:space="preserve">Développement des champs gaziers TFT II — réseau de collecte TFT Sud (LIGNE-16)</t>
  </si>
  <si>
    <t xml:space="preserve">Affaire N°</t>
  </si>
  <si>
    <t xml:space="preserve">8546</t>
  </si>
  <si>
    <t xml:space="preserve">Direction</t>
  </si>
  <si>
    <t xml:space="preserve">Direction Régionale Hassi R'Mel</t>
  </si>
  <si>
    <t xml:space="preserve">Entreprise</t>
  </si>
  <si>
    <t xml:space="preserve">ENGTP</t>
  </si>
  <si>
    <t xml:space="preserve">Code de référence</t>
  </si>
  <si>
    <t xml:space="preserve">API 1104</t>
  </si>
  <si>
    <t xml:space="preserve">LIGNES (une ligne par puits) — cellules jaunes à renseigner</t>
  </si>
  <si>
    <t xml:space="preserve">Description</t>
  </si>
  <si>
    <t xml:space="preserve">LIGNE-16 — MFD-ISW vers MFD-CPF</t>
  </si>
  <si>
    <t xml:space="preserve">CODES DE RÉSULTAT</t>
  </si>
  <si>
    <t xml:space="preserve">Code</t>
  </si>
  <si>
    <t xml:space="preserve">Contrôle</t>
  </si>
  <si>
    <t xml:space="preserve">Signification</t>
  </si>
  <si>
    <t xml:space="preserve">Action</t>
  </si>
  <si>
    <t xml:space="preserve">VT / RT</t>
  </si>
  <si>
    <t xml:space="preserve">Accepté</t>
  </si>
  <si>
    <t xml:space="preserve">Aucune — joint conforme</t>
  </si>
  <si>
    <t xml:space="preserve">Rejeté — défaut à réparer</t>
  </si>
  <si>
    <t xml:space="preserve">Réparer (WPS REP) → VT → RT de contrôle</t>
  </si>
  <si>
    <t xml:space="preserve">RT</t>
  </si>
  <si>
    <t xml:space="preserve">Reprise de film (film à refaire)</t>
  </si>
  <si>
    <t xml:space="preserve">Refaire une radiographie (sans réparation)</t>
  </si>
  <si>
    <t xml:space="preserve">À couper</t>
  </si>
  <si>
    <t xml:space="preserve">Couper le joint, resouder → VT → RT</t>
  </si>
  <si>
    <t xml:space="preserve">CO</t>
  </si>
  <si>
    <t xml:space="preserve">LISTES (menus déroulants)</t>
  </si>
  <si>
    <t xml:space="preserve">Filtre ligne</t>
  </si>
  <si>
    <t xml:space="preserve">VT</t>
  </si>
  <si>
    <t xml:space="preserve">Statuts</t>
  </si>
  <si>
    <t xml:space="preserve">Types d'enrobage</t>
  </si>
  <si>
    <t xml:space="preserve">Manchette thermorétractable</t>
  </si>
  <si>
    <t xml:space="preserve">Bande polyéthylène</t>
  </si>
  <si>
    <t xml:space="preserve">Époxy / polyuréthane liquide</t>
  </si>
  <si>
    <t xml:space="preserve">Autre</t>
  </si>
  <si>
    <t xml:space="preserve">دليل استخدام سجل اللحام</t>
  </si>
  <si>
    <t xml:space="preserve">1. PARAMÈTRES</t>
  </si>
  <si>
    <t xml:space="preserve">اكتب معلومات المشروع، وأسماء الخطوط (ISB-302، ISB-303، ISB-304…) وعدد الوصلات المتوقع لكل خط في الخلايا الصفراء.</t>
  </si>
  <si>
    <t xml:space="preserve">2. SOUDEURS</t>
  </si>
  <si>
    <t xml:space="preserve">قائمة اللحامين: الرمز WR والاسم والتأهيل. الأداء (عدد الوصلات، الرفض، نسبة الإصلاح) يُحسب تلقائياً.</t>
  </si>
  <si>
    <t xml:space="preserve">3. CARNET DE SOUDURE</t>
  </si>
  <si>
    <t xml:space="preserve">سطر واحد لكل وصلة (joint). املأ الأعمدة الزرقاء فقط: الخط، رقم الوصلة، اللحامين WR لكل تمريرة، تاريخ اللحام، نتيجة VT ثم RT-01.</t>
  </si>
  <si>
    <t xml:space="preserve">   إذا كانت نتيجة RT = R أو CO</t>
  </si>
  <si>
    <t xml:space="preserve">املأ قسم «RÉPARATION 1»: لحام الإصلاح WR، نتيجة VT بعد الإصلاح، ثم تاريخ ونتيجة RT الجديد. وإذا رُفض مرة أخرى استعمل «RÉPARATION 2».</t>
  </si>
  <si>
    <t xml:space="preserve">   إذا كانت النتيجة NX</t>
  </si>
  <si>
    <t xml:space="preserve">إعادة الفيلم: تُجرى صورة إشعاعية جديدة فقط دون إصلاح. سجّل نتيجة RT الجديدة في «R1 RT» واترك «R1 VT» فارغاً.</t>
  </si>
  <si>
    <t xml:space="preserve">   عمود STATUT</t>
  </si>
  <si>
    <t xml:space="preserve">يُحسب تلقائياً: À SOUDER ← VT EN ATTENTE ← À RADIOGRAPHIER ← ACCEPTÉ، أو À RÉPARER / COUPE / NX حسب النتائج، حتى تصبح الوصلة مقبولة.</t>
  </si>
  <si>
    <t xml:space="preserve">4. PROGRAMME RT</t>
  </si>
  <si>
    <t xml:space="preserve">كل يوم: اكتب التاريخ واختر الخط، فتظهر تلقائياً قائمة الوصلات التي تحتاج صورة إشعاعية (جديدة، أو بعد إصلاح، أو NX)، مع ملخص أعمال ذلك اليوم.</t>
  </si>
  <si>
    <t xml:space="preserve">5. JOINTS DE RÉPARATION</t>
  </si>
  <si>
    <t xml:space="preserve">قائمة تلقائية بكل الوصلات التي كانت نتيجة RT-01 فيها R أو NX أو NT أو CO، مع متابعة الإصلاح (WR، VT، RT) والحالة الحالية. اختر «EN COURS» لرؤية غير المقبولة فقط.</t>
  </si>
  <si>
    <t xml:space="preserve">BARDAGE</t>
  </si>
  <si>
    <t xml:space="preserve">بطاقات Bardage جاهزة للطباعة: كل جدول 19 أنبوباً بالتسلسل على الخط. اكتب رقم الأنبوب (N° Pipe) فيظهر رقم الصبّة واللوت والطول تلقائياً من «REGISTRE TUBES»، مع الطول التراكمي ورقم الوصلة NJ.</t>
  </si>
  <si>
    <t xml:space="preserve">REGISTRE TUBES</t>
  </si>
  <si>
    <t xml:space="preserve">سجل كل الأنابيب المستلمة (رقم الأنبوب، رقم الصبّة، اللوت، الطول). منه تُقرأ أرقام الصبّة في CARNET و BARDAGE، والحالة: EN STOCK / BARDÉ / POSÉ EN LIGNE.</t>
  </si>
  <si>
    <t xml:space="preserve">ENROBAGE</t>
  </si>
  <si>
    <t xml:space="preserve">كل أرقام الوصلات NJ مكتوبة لكل خط. الحالة ونتيجة RT تُقرأ من CARNET. عندما تصبح الوصلة ACCEPTÉ تصير «À ENROBER». اكتب تاريخ التغليف ونوعه ونتيجة Holiday test. وصلة جديدة: أضف الخط و NJ في آخر القائمة.</t>
  </si>
  <si>
    <t xml:space="preserve">6. TABLEAU DE BORD</t>
  </si>
  <si>
    <t xml:space="preserve">لوحة التحكم: اختر خطاً أو TOUTES، فتظهر نسبة التقدم وعدد الوصلات المقبولة ونسبة الإصلاح وأداء اللحامين والرسوم البيانية.</t>
  </si>
  <si>
    <t xml:space="preserve">رموز النتائج</t>
  </si>
  <si>
    <t xml:space="preserve">A = مقبول   •   R = مرفوض، يجب الإصلاح   •   NX = إعادة الفيلم، تُجرى صورة إشعاعية جديدة   •   NT أو CO = قطع الوصلة وإعادة لحامها</t>
  </si>
  <si>
    <t xml:space="preserve">الألوان</t>
  </si>
  <si>
    <t xml:space="preserve">أزرق = بيانات تُدخلها أنت   •   أسود = صيغ تلقائية (لا تكتب فوقها)   •   أصفر = إعدادات   •   رقم وصلة بالأحمر = مكرر على نفس الخط</t>
  </si>
  <si>
    <t xml:space="preserve">ملاحظة</t>
  </si>
  <si>
    <t xml:space="preserve">هذا الملف خاص بالخط LIGNE-16 (MFD-ISW → MFD-CPF). كل الوصلات منقولة من ورقة BDD في ملفك الأصلي (JN = وصلة خط، DJ = وصلة مزدوجة). الرمز NR في الملف الأصلي استُبدل بـ R. نسبة التقدم تُحسب على وصلات JN (1700 متوقعة).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</si>
</sst>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0.0%;\-0.0%;\-"/>
    <numFmt numFmtId="167" formatCode="General"/>
    <numFmt numFmtId="168" formatCode="dd/mm/yyyy"/>
    <numFmt numFmtId="169" formatCode="0"/>
    <numFmt numFmtId="170" formatCode="0.00"/>
    <numFmt numFmtId="171" formatCode="#,##0.00"/>
  </numFmts>
  <fonts count="5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2"/>
      <color rgb="FF0000FF"/>
      <name val="Arial"/>
      <family val="0"/>
      <charset val="1"/>
    </font>
    <font>
      <i val="true"/>
      <sz val="9"/>
      <color rgb="FF7F7F7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22"/>
      <color rgb="FFFFFFFF"/>
      <name val="Arial"/>
      <family val="0"/>
      <charset val="1"/>
    </font>
    <font>
      <i val="true"/>
      <sz val="8"/>
      <color rgb="FFF2F2F2"/>
      <name val="Arial"/>
      <family val="0"/>
      <charset val="1"/>
    </font>
    <font>
      <b val="true"/>
      <sz val="9"/>
      <color rgb="FF9C0006"/>
      <name val="Arial"/>
      <family val="0"/>
      <charset val="1"/>
    </font>
    <font>
      <b val="true"/>
      <sz val="9"/>
      <color rgb="FF5B2C83"/>
      <name val="Arial"/>
      <family val="0"/>
      <charset val="1"/>
    </font>
    <font>
      <b val="true"/>
      <sz val="9"/>
      <color rgb="FF9C5700"/>
      <name val="Arial"/>
      <family val="0"/>
      <charset val="1"/>
    </font>
    <font>
      <b val="true"/>
      <sz val="9"/>
      <color rgb="FF1F4E78"/>
      <name val="Arial"/>
      <family val="0"/>
      <charset val="1"/>
    </font>
    <font>
      <b val="true"/>
      <sz val="9"/>
      <color rgb="FF7F6000"/>
      <name val="Arial"/>
      <family val="0"/>
      <charset val="1"/>
    </font>
    <font>
      <b val="true"/>
      <sz val="9"/>
      <color rgb="FF595959"/>
      <name val="Arial"/>
      <family val="0"/>
      <charset val="1"/>
    </font>
    <font>
      <b val="true"/>
      <sz val="18"/>
      <color rgb="FF9C0006"/>
      <name val="Arial"/>
      <family val="0"/>
      <charset val="1"/>
    </font>
    <font>
      <b val="true"/>
      <sz val="18"/>
      <color rgb="FF5B2C83"/>
      <name val="Arial"/>
      <family val="0"/>
      <charset val="1"/>
    </font>
    <font>
      <b val="true"/>
      <sz val="18"/>
      <color rgb="FF9C5700"/>
      <name val="Arial"/>
      <family val="0"/>
      <charset val="1"/>
    </font>
    <font>
      <b val="true"/>
      <sz val="18"/>
      <color rgb="FF1F4E78"/>
      <name val="Arial"/>
      <family val="0"/>
      <charset val="1"/>
    </font>
    <font>
      <b val="true"/>
      <sz val="18"/>
      <color rgb="FF7F6000"/>
      <name val="Arial"/>
      <family val="0"/>
      <charset val="1"/>
    </font>
    <font>
      <b val="true"/>
      <sz val="18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6100"/>
      <name val="Arial"/>
      <family val="0"/>
      <charset val="1"/>
    </font>
    <font>
      <b val="true"/>
      <sz val="10"/>
      <color rgb="FF1F4E78"/>
      <name val="Arial"/>
      <family val="0"/>
      <charset val="1"/>
    </font>
    <font>
      <b val="true"/>
      <sz val="10"/>
      <color rgb="FF9C5700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b val="true"/>
      <sz val="10"/>
      <color rgb="FF5B2C83"/>
      <name val="Arial"/>
      <family val="0"/>
      <charset val="1"/>
    </font>
    <font>
      <b val="true"/>
      <sz val="10"/>
      <color rgb="FF7F6000"/>
      <name val="Arial"/>
      <family val="0"/>
      <charset val="1"/>
    </font>
    <font>
      <b val="true"/>
      <sz val="10"/>
      <color rgb="FF595959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i val="true"/>
      <sz val="9"/>
      <color rgb="FF595959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2"/>
      <color rgb="FFC00000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10"/>
      <name val="Arial"/>
      <family val="2"/>
    </font>
    <font>
      <b val="true"/>
      <sz val="14"/>
      <color rgb="FFFFFFFF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9"/>
      <color rgb="FF0000FF"/>
      <name val="Arial"/>
      <family val="0"/>
      <charset val="1"/>
    </font>
    <font>
      <b val="true"/>
      <sz val="9"/>
      <color rgb="FF1F3864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6"/>
      <color rgb="FFC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4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1"/>
      <color rgb="FF000000"/>
      <name val="Arial"/>
      <family val="0"/>
      <charset val="1"/>
    </font>
  </fonts>
  <fills count="24">
    <fill>
      <patternFill patternType="none"/>
    </fill>
    <fill>
      <patternFill patternType="gray125"/>
    </fill>
    <fill>
      <patternFill patternType="solid">
        <fgColor rgb="FF1F3864"/>
        <bgColor rgb="FF1F4E78"/>
      </patternFill>
    </fill>
    <fill>
      <patternFill patternType="solid">
        <fgColor rgb="FFFFF2CC"/>
        <bgColor rgb="FFF2F2F2"/>
      </patternFill>
    </fill>
    <fill>
      <patternFill patternType="solid">
        <fgColor rgb="FF0F766E"/>
        <bgColor rgb="FF2E75B6"/>
      </patternFill>
    </fill>
    <fill>
      <patternFill patternType="solid">
        <fgColor rgb="FF2E75B6"/>
        <bgColor rgb="FF4672A8"/>
      </patternFill>
    </fill>
    <fill>
      <patternFill patternType="solid">
        <fgColor rgb="FF548235"/>
        <bgColor rgb="FF595959"/>
      </patternFill>
    </fill>
    <fill>
      <patternFill patternType="solid">
        <fgColor rgb="FF7030A0"/>
        <bgColor rgb="FF5B2C83"/>
      </patternFill>
    </fill>
    <fill>
      <patternFill patternType="solid">
        <fgColor rgb="FFC00000"/>
        <bgColor rgb="FF9C0006"/>
      </patternFill>
    </fill>
    <fill>
      <patternFill patternType="solid">
        <fgColor rgb="FFFFC7CE"/>
        <bgColor rgb="FFF8CBAD"/>
      </patternFill>
    </fill>
    <fill>
      <patternFill patternType="solid">
        <fgColor rgb="FFE4DFEC"/>
        <bgColor rgb="FFD9D9D9"/>
      </patternFill>
    </fill>
    <fill>
      <patternFill patternType="solid">
        <fgColor rgb="FFFFEB9C"/>
        <bgColor rgb="FFFFF2CC"/>
      </patternFill>
    </fill>
    <fill>
      <patternFill patternType="solid">
        <fgColor rgb="FFDDEBF7"/>
        <bgColor rgb="FFEDEDED"/>
      </patternFill>
    </fill>
    <fill>
      <patternFill patternType="solid">
        <fgColor rgb="FFEDEDED"/>
        <bgColor rgb="FFF2F2F2"/>
      </patternFill>
    </fill>
    <fill>
      <patternFill patternType="solid">
        <fgColor rgb="FFF7F9FC"/>
        <bgColor rgb="FFFFFFFF"/>
      </patternFill>
    </fill>
    <fill>
      <patternFill patternType="solid">
        <fgColor rgb="FFC9A227"/>
        <bgColor rgb="FFDC853E"/>
      </patternFill>
    </fill>
    <fill>
      <patternFill patternType="solid">
        <fgColor rgb="FFC6EFCE"/>
        <bgColor rgb="FFDDEBF7"/>
      </patternFill>
    </fill>
    <fill>
      <patternFill patternType="solid">
        <fgColor rgb="FFC55A11"/>
        <bgColor rgb="FF9C5700"/>
      </patternFill>
    </fill>
    <fill>
      <patternFill patternType="solid">
        <fgColor rgb="FF843C0C"/>
        <bgColor rgb="FF9C5700"/>
      </patternFill>
    </fill>
    <fill>
      <patternFill patternType="solid">
        <fgColor rgb="FF808080"/>
        <bgColor rgb="FF7F7F7F"/>
      </patternFill>
    </fill>
    <fill>
      <patternFill patternType="solid">
        <fgColor rgb="FF806000"/>
        <bgColor rgb="FF7F6000"/>
      </patternFill>
    </fill>
    <fill>
      <patternFill patternType="solid">
        <fgColor rgb="FF375623"/>
        <bgColor rgb="FF595959"/>
      </patternFill>
    </fill>
    <fill>
      <patternFill patternType="solid">
        <fgColor rgb="FFF2F2F2"/>
        <bgColor rgb="FFEDEDED"/>
      </patternFill>
    </fill>
    <fill>
      <patternFill patternType="solid">
        <fgColor rgb="FFF8CBAD"/>
        <bgColor rgb="FFFFC7CE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medium">
        <color rgb="FFC9A227"/>
      </left>
      <right style="medium">
        <color rgb="FFC9A227"/>
      </right>
      <top style="medium">
        <color rgb="FFC9A227"/>
      </top>
      <bottom style="medium">
        <color rgb="FFC9A227"/>
      </bottom>
      <diagonal/>
    </border>
    <border diagonalUp="false" diagonalDown="false">
      <left style="thick">
        <color rgb="FFFFFFFF"/>
      </left>
      <right style="thick">
        <color rgb="FFFFFFFF"/>
      </right>
      <top/>
      <bottom/>
      <diagonal/>
    </border>
    <border diagonalUp="false" diagonalDown="false">
      <left/>
      <right/>
      <top/>
      <bottom style="medium">
        <color rgb="FFC9A227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/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8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9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0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1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2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3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6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6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14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6" fillId="1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6" fillId="1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1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4" fillId="1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4" fillId="1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16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12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11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9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1" fillId="1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2" fillId="3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3" fillId="13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35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35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8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4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9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4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17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18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7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19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7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8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9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41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2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42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1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42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3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5" fillId="2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5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47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1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48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41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41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41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3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42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2" fillId="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1" fillId="1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48" fillId="1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41" fillId="1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41" fillId="1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41" fillId="1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3" fillId="1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42" fillId="1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2" fillId="14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9" fillId="2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9" fillId="2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9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4" fillId="21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41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0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2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3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2" fillId="3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9" fillId="1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2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5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6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6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6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6" fillId="1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1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1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6" fillId="1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0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2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4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9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1" fontId="4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2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4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9" fontId="42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0" fontId="42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1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0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7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6" fillId="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24" fillId="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22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6" fillId="3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6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1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9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11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2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1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1" fillId="0" borderId="0" xfId="0" applyFont="true" applyBorder="false" applyAlignment="true" applyProtection="false">
      <alignment horizontal="general" vertical="center" textRotation="0" wrapText="false" indent="0" shrinkToFit="false" readingOrder="2"/>
      <protection locked="true" hidden="false"/>
    </xf>
    <xf numFmtId="164" fontId="57" fillId="0" borderId="0" xfId="0" applyFont="true" applyBorder="false" applyAlignment="true" applyProtection="false">
      <alignment horizontal="general" vertical="center" textRotation="0" wrapText="true" indent="0" shrinkToFit="false" readingOrder="2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9"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F766E"/>
          <bgColor rgb="FF000000"/>
        </patternFill>
      </fill>
    </dxf>
    <dxf>
      <fill>
        <patternFill patternType="solid">
          <fgColor rgb="FF548235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2E75B6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843C0C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9C5700"/>
          <bgColor rgb="FF000000"/>
        </patternFill>
      </fill>
    </dxf>
    <dxf>
      <fill>
        <patternFill patternType="solid">
          <fgColor rgb="FFC55A11"/>
          <bgColor rgb="FF000000"/>
        </patternFill>
      </fill>
    </dxf>
    <dxf>
      <fill>
        <patternFill patternType="solid">
          <fgColor rgb="FF7030A0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4DFEC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1F4E78"/>
          <bgColor rgb="FF000000"/>
        </patternFill>
      </fill>
    </dxf>
    <dxf>
      <fill>
        <patternFill patternType="solid">
          <fgColor rgb="FF595959"/>
          <bgColor rgb="FF000000"/>
        </patternFill>
      </fill>
    </dxf>
    <dxf>
      <fill>
        <patternFill patternType="solid">
          <fgColor rgb="FF5B2C83"/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ont>
        <name val="Arial"/>
        <charset val="1"/>
        <family val="0"/>
        <b val="1"/>
        <color rgb="FF9C5700"/>
      </font>
      <fill>
        <patternFill>
          <bgColor rgb="FFFFEB9C"/>
        </patternFill>
      </fill>
    </dxf>
    <dxf>
      <font>
        <name val="Arial"/>
        <charset val="1"/>
        <family val="0"/>
        <b val="1"/>
        <color rgb="FF843C0C"/>
      </font>
      <fill>
        <patternFill>
          <bgColor rgb="FFF8CBAD"/>
        </patternFill>
      </fill>
    </dxf>
    <dxf>
      <font>
        <name val="Arial"/>
        <charset val="1"/>
        <family val="0"/>
        <b val="1"/>
        <color rgb="FF5B2C83"/>
      </font>
      <fill>
        <patternFill>
          <bgColor rgb="FFE4DFEC"/>
        </patternFill>
      </fill>
    </dxf>
    <dxf>
      <font>
        <name val="Arial"/>
        <charset val="1"/>
        <family val="0"/>
        <b val="1"/>
        <color rgb="FF1F4E78"/>
      </font>
      <fill>
        <patternFill>
          <bgColor rgb="FFDDEBF7"/>
        </patternFill>
      </fill>
    </dxf>
    <dxf>
      <font>
        <name val="Arial"/>
        <charset val="1"/>
        <family val="0"/>
        <b val="1"/>
        <color rgb="FF7F6000"/>
      </font>
      <fill>
        <patternFill>
          <bgColor rgb="FFFFF2CC"/>
        </patternFill>
      </fill>
    </dxf>
    <dxf>
      <font>
        <name val="Arial"/>
        <charset val="1"/>
        <family val="0"/>
        <b val="1"/>
        <color rgb="FF595959"/>
      </font>
      <fill>
        <patternFill>
          <bgColor rgb="FFEDEDED"/>
        </patternFill>
      </fill>
    </dxf>
    <dxf>
      <font>
        <name val="Arial"/>
        <charset val="1"/>
        <family val="0"/>
        <b val="1"/>
        <color rgb="FF006100"/>
      </font>
    </dxf>
    <dxf>
      <font>
        <name val="Arial"/>
        <charset val="1"/>
        <family val="0"/>
        <b val="1"/>
        <color rgb="FFFFFFFF"/>
      </font>
      <fill>
        <patternFill>
          <bgColor rgb="FFFF0000"/>
        </patternFill>
      </fill>
    </dxf>
    <dxf>
      <fill>
        <patternFill patternType="solid">
          <fgColor rgb="FF375623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806000"/>
          <bgColor rgb="FF000000"/>
        </patternFill>
      </fill>
    </dxf>
    <dxf>
      <font>
        <name val="Arial"/>
        <charset val="1"/>
        <family val="0"/>
        <color rgb="FF006100"/>
      </font>
    </dxf>
  </dxfs>
  <colors>
    <indexedColors>
      <rgbColor rgb="FF000000"/>
      <rgbColor rgb="FFFFFFFF"/>
      <rgbColor rgb="FFFF0000"/>
      <rgbColor rgb="FF00FF00"/>
      <rgbColor rgb="FF0000FF"/>
      <rgbColor rgb="FFEDEDED"/>
      <rgbColor rgb="FFFF00FF"/>
      <rgbColor rgb="FF00FFFF"/>
      <rgbColor rgb="FF9C0006"/>
      <rgbColor rgb="FF008000"/>
      <rgbColor rgb="FF000080"/>
      <rgbColor rgb="FF806000"/>
      <rgbColor rgb="FF7F6000"/>
      <rgbColor rgb="FF0F766E"/>
      <rgbColor rgb="FFBFBFBF"/>
      <rgbColor rgb="FF808080"/>
      <rgbColor rgb="FF93A9CE"/>
      <rgbColor rgb="FFAB4744"/>
      <rgbColor rgb="FFFFF2CC"/>
      <rgbColor rgb="FFDDEBF7"/>
      <rgbColor rgb="FF9C5700"/>
      <rgbColor rgb="FFDC853E"/>
      <rgbColor rgb="FF1F4E78"/>
      <rgbColor rgb="FFD9D9D9"/>
      <rgbColor rgb="FF000080"/>
      <rgbColor rgb="FFFF00FF"/>
      <rgbColor rgb="FFF7F9FC"/>
      <rgbColor rgb="FF00FFFF"/>
      <rgbColor rgb="FF7F7F7F"/>
      <rgbColor rgb="FFC00000"/>
      <rgbColor rgb="FF4672A8"/>
      <rgbColor rgb="FF0000FF"/>
      <rgbColor rgb="FF548235"/>
      <rgbColor rgb="FFF2F2F2"/>
      <rgbColor rgb="FFC6EFCE"/>
      <rgbColor rgb="FFFFEB9C"/>
      <rgbColor rgb="FFB8CD97"/>
      <rgbColor rgb="FFD09493"/>
      <rgbColor rgb="FFFFC7CE"/>
      <rgbColor rgb="FFF8CBAD"/>
      <rgbColor rgb="FF2E75B6"/>
      <rgbColor rgb="FF4F81BD"/>
      <rgbColor rgb="FF8AA64F"/>
      <rgbColor rgb="FFE4DFEC"/>
      <rgbColor rgb="FFC9A227"/>
      <rgbColor rgb="FFC55A11"/>
      <rgbColor rgb="FF725990"/>
      <rgbColor rgb="FF878787"/>
      <rgbColor rgb="FF1F3864"/>
      <rgbColor rgb="FF4299B0"/>
      <rgbColor rgb="FF006100"/>
      <rgbColor rgb="FF595959"/>
      <rgbColor rgb="FF843C0C"/>
      <rgbColor rgb="FF7030A0"/>
      <rgbColor rgb="FF5B2C83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Soudés / radiographiés / acceptés (JN – DJ)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'TABLEAU DE BORD'!D17</c:f>
              <c:strCache>
                <c:ptCount val="1"/>
                <c:pt idx="0">
                  <c:v>Joints soudés</c:v>
                </c:pt>
              </c:strCache>
            </c:strRef>
          </c:tx>
          <c:spPr>
            <a:solidFill>
              <a:srgbClr val="1f3864"/>
            </a:solidFill>
            <a:ln w="0">
              <a:solidFill>
                <a:srgbClr val="1f3864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'TABLEAU DE BORD'!$B$18:$B$19</c:f>
              <c:strCache>
                <c:ptCount val="2"/>
                <c:pt idx="0">
                  <c:v>MFD-ISW → MFD-CPF  —  JN — joints de ligne</c:v>
                </c:pt>
                <c:pt idx="1">
                  <c:v>MFD-ISW → MFD-CPF  —  DJ — doubles joints</c:v>
                </c:pt>
              </c:strCache>
            </c:strRef>
          </c:cat>
          <c:val>
            <c:numRef>
              <c:f>'TABLEAU DE BORD'!$D$18:$D$19</c:f>
              <c:numCache>
                <c:formatCode>#,##0</c:formatCode>
                <c:ptCount val="2"/>
                <c:pt idx="0">
                  <c:v>835</c:v>
                </c:pt>
                <c:pt idx="1">
                  <c:v>478</c:v>
                </c:pt>
              </c:numCache>
            </c:numRef>
          </c:val>
        </c:ser>
        <c:ser>
          <c:idx val="1"/>
          <c:order val="1"/>
          <c:tx>
            <c:strRef>
              <c:f>'TABLEAU DE BORD'!G17</c:f>
              <c:strCache>
                <c:ptCount val="1"/>
                <c:pt idx="0">
                  <c:v>Radiographiés</c:v>
                </c:pt>
              </c:strCache>
            </c:strRef>
          </c:tx>
          <c:spPr>
            <a:solidFill>
              <a:srgbClr val="2e75b6"/>
            </a:solidFill>
            <a:ln w="0">
              <a:solidFill>
                <a:srgbClr val="2e75b6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'TABLEAU DE BORD'!$B$18:$B$19</c:f>
              <c:strCache>
                <c:ptCount val="2"/>
                <c:pt idx="0">
                  <c:v>MFD-ISW → MFD-CPF  —  JN — joints de ligne</c:v>
                </c:pt>
                <c:pt idx="1">
                  <c:v>MFD-ISW → MFD-CPF  —  DJ — doubles joints</c:v>
                </c:pt>
              </c:strCache>
            </c:strRef>
          </c:cat>
          <c:val>
            <c:numRef>
              <c:f>'TABLEAU DE BORD'!$G$18:$G$19</c:f>
              <c:numCache>
                <c:formatCode>#,##0</c:formatCode>
                <c:ptCount val="2"/>
                <c:pt idx="0">
                  <c:v>727</c:v>
                </c:pt>
                <c:pt idx="1">
                  <c:v>478</c:v>
                </c:pt>
              </c:numCache>
            </c:numRef>
          </c:val>
        </c:ser>
        <c:ser>
          <c:idx val="2"/>
          <c:order val="2"/>
          <c:tx>
            <c:strRef>
              <c:f>'TABLEAU DE BORD'!I17</c:f>
              <c:strCache>
                <c:ptCount val="1"/>
                <c:pt idx="0">
                  <c:v>Acceptés</c:v>
                </c:pt>
              </c:strCache>
            </c:strRef>
          </c:tx>
          <c:spPr>
            <a:solidFill>
              <a:srgbClr val="548235"/>
            </a:solidFill>
            <a:ln w="0">
              <a:solidFill>
                <a:srgbClr val="548235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'TABLEAU DE BORD'!$B$18:$B$19</c:f>
              <c:strCache>
                <c:ptCount val="2"/>
                <c:pt idx="0">
                  <c:v>MFD-ISW → MFD-CPF  —  JN — joints de ligne</c:v>
                </c:pt>
                <c:pt idx="1">
                  <c:v>MFD-ISW → MFD-CPF  —  DJ — doubles joints</c:v>
                </c:pt>
              </c:strCache>
            </c:strRef>
          </c:cat>
          <c:val>
            <c:numRef>
              <c:f>'TABLEAU DE BORD'!$I$18:$I$19</c:f>
              <c:numCache>
                <c:formatCode>#,##0</c:formatCode>
                <c:ptCount val="2"/>
                <c:pt idx="0">
                  <c:v>664</c:v>
                </c:pt>
                <c:pt idx="1">
                  <c:v>475</c:v>
                </c:pt>
              </c:numCache>
            </c:numRef>
          </c:val>
        </c:ser>
        <c:gapWidth val="60"/>
        <c:overlap val="0"/>
        <c:axId val="95505729"/>
        <c:axId val="18662237"/>
      </c:barChart>
      <c:catAx>
        <c:axId val="9550572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662237"/>
        <c:crosses val="autoZero"/>
        <c:auto val="1"/>
        <c:lblAlgn val="ctr"/>
        <c:lblOffset val="100"/>
        <c:noMultiLvlLbl val="0"/>
      </c:catAx>
      <c:valAx>
        <c:axId val="18662237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50572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Répartition des statuts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'TABLEAU DE BORD'!L22</c:f>
              <c:strCache>
                <c:ptCount val="1"/>
                <c:pt idx="0">
                  <c:v>Joints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672a8"/>
              </a:solidFill>
              <a:ln w="0">
                <a:noFill/>
              </a:ln>
            </c:spPr>
          </c:dPt>
          <c:dPt>
            <c:idx val="1"/>
            <c:spPr>
              <a:solidFill>
                <a:srgbClr val="ab4744"/>
              </a:solidFill>
              <a:ln w="0">
                <a:noFill/>
              </a:ln>
            </c:spPr>
          </c:dPt>
          <c:dPt>
            <c:idx val="2"/>
            <c:spPr>
              <a:solidFill>
                <a:srgbClr val="8aa64f"/>
              </a:solidFill>
              <a:ln w="0">
                <a:noFill/>
              </a:ln>
            </c:spPr>
          </c:dPt>
          <c:dPt>
            <c:idx val="3"/>
            <c:spPr>
              <a:solidFill>
                <a:srgbClr val="725990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299b0"/>
              </a:solidFill>
              <a:ln w="0">
                <a:noFill/>
              </a:ln>
            </c:spPr>
          </c:dPt>
          <c:dPt>
            <c:idx val="5"/>
            <c:spPr>
              <a:solidFill>
                <a:srgbClr val="dc853e"/>
              </a:solidFill>
              <a:ln w="0">
                <a:noFill/>
              </a:ln>
            </c:spPr>
          </c:dPt>
          <c:dPt>
            <c:idx val="6"/>
            <c:spPr>
              <a:solidFill>
                <a:srgbClr val="93a9ce"/>
              </a:solidFill>
              <a:ln w="0">
                <a:noFill/>
              </a:ln>
            </c:spPr>
          </c:dPt>
          <c:dPt>
            <c:idx val="7"/>
            <c:spPr>
              <a:solidFill>
                <a:srgbClr val="d09493"/>
              </a:solidFill>
              <a:ln w="0">
                <a:noFill/>
              </a:ln>
            </c:spPr>
          </c:dPt>
          <c:dPt>
            <c:idx val="8"/>
            <c:spPr>
              <a:solidFill>
                <a:srgbClr val="b8cd97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6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7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8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0"/>
            <c:showCatName val="0"/>
            <c:showSerName val="0"/>
            <c:showPercent val="1"/>
            <c:separator>
</c:separator>
            <c:showLeaderLines val="0"/>
          </c:dLbls>
          <c:cat>
            <c:strRef>
              <c:f>'TABLEAU DE BORD'!$J$23:$J$31</c:f>
              <c:strCache>
                <c:ptCount val="9"/>
                <c:pt idx="0">
                  <c:v>ACCEPTÉ</c:v>
                </c:pt>
                <c:pt idx="1">
                  <c:v>À RADIOGRAPHIER</c:v>
                </c:pt>
                <c:pt idx="2">
                  <c:v>RÉPARÉ – À RADIOGRAPHIER</c:v>
                </c:pt>
                <c:pt idx="3">
                  <c:v>NX – RT À REFAIRE</c:v>
                </c:pt>
                <c:pt idx="4">
                  <c:v>À RÉPARER</c:v>
                </c:pt>
                <c:pt idx="5">
                  <c:v>COUPE – À RESOUDER</c:v>
                </c:pt>
                <c:pt idx="6">
                  <c:v>VT REJETÉ – À REPRENDRE</c:v>
                </c:pt>
                <c:pt idx="7">
                  <c:v>VT EN ATTENTE</c:v>
                </c:pt>
                <c:pt idx="8">
                  <c:v>À SOUDER</c:v>
                </c:pt>
              </c:strCache>
            </c:strRef>
          </c:cat>
          <c:val>
            <c:numRef>
              <c:f>'TABLEAU DE BORD'!$L$23:$L$31</c:f>
              <c:numCache>
                <c:formatCode>#,##0</c:formatCode>
                <c:ptCount val="9"/>
                <c:pt idx="0">
                  <c:v>1139</c:v>
                </c:pt>
                <c:pt idx="1">
                  <c:v>108</c:v>
                </c:pt>
                <c:pt idx="2">
                  <c:v>0</c:v>
                </c:pt>
                <c:pt idx="3">
                  <c:v>11</c:v>
                </c:pt>
                <c:pt idx="4">
                  <c:v>54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1165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15 soudeurs / équipes (joints soudés)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'TABLEAU DE BORD'!E50</c:f>
              <c:strCache>
                <c:ptCount val="1"/>
                <c:pt idx="0">
                  <c:v>Joints soudés</c:v>
                </c:pt>
              </c:strCache>
            </c:strRef>
          </c:tx>
          <c:spPr>
            <a:solidFill>
              <a:srgbClr val="0f766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'TABLEAU DE BORD'!$B$51:$B$65</c:f>
              <c:strCache>
                <c:ptCount val="15"/>
                <c:pt idx="0">
                  <c:v>WR-039</c:v>
                </c:pt>
                <c:pt idx="1">
                  <c:v>WR-46-44/36-33/30-52/50-51/43-45</c:v>
                </c:pt>
                <c:pt idx="2">
                  <c:v>WR-029</c:v>
                </c:pt>
                <c:pt idx="3">
                  <c:v>WR-037</c:v>
                </c:pt>
                <c:pt idx="4">
                  <c:v>WR-46-44/32-33/43-30/45-36</c:v>
                </c:pt>
                <c:pt idx="5">
                  <c:v>WR-040</c:v>
                </c:pt>
                <c:pt idx="6">
                  <c:v>WR-46-44/32-33/45-43</c:v>
                </c:pt>
                <c:pt idx="7">
                  <c:v>WR-46-44/30-33/47-48/45-36</c:v>
                </c:pt>
                <c:pt idx="8">
                  <c:v>WR-038</c:v>
                </c:pt>
                <c:pt idx="9">
                  <c:v>WR-030-036/043-044</c:v>
                </c:pt>
                <c:pt idx="10">
                  <c:v>WR-041</c:v>
                </c:pt>
                <c:pt idx="11">
                  <c:v>WR-46-51/33-45</c:v>
                </c:pt>
                <c:pt idx="12">
                  <c:v>WR-028</c:v>
                </c:pt>
                <c:pt idx="13">
                  <c:v>WR-32</c:v>
                </c:pt>
                <c:pt idx="14">
                  <c:v>WR-51-52/32-33/50-40</c:v>
                </c:pt>
              </c:strCache>
            </c:strRef>
          </c:cat>
          <c:val>
            <c:numRef>
              <c:f>'TABLEAU DE BORD'!$E$51:$E$65</c:f>
              <c:numCache>
                <c:formatCode>#,##0</c:formatCode>
                <c:ptCount val="15"/>
                <c:pt idx="0">
                  <c:v>100</c:v>
                </c:pt>
                <c:pt idx="1">
                  <c:v>99</c:v>
                </c:pt>
                <c:pt idx="2">
                  <c:v>87</c:v>
                </c:pt>
                <c:pt idx="3">
                  <c:v>82</c:v>
                </c:pt>
                <c:pt idx="4">
                  <c:v>72</c:v>
                </c:pt>
                <c:pt idx="5">
                  <c:v>67</c:v>
                </c:pt>
                <c:pt idx="6">
                  <c:v>61</c:v>
                </c:pt>
                <c:pt idx="7">
                  <c:v>61</c:v>
                </c:pt>
                <c:pt idx="8">
                  <c:v>53</c:v>
                </c:pt>
                <c:pt idx="9">
                  <c:v>49</c:v>
                </c:pt>
                <c:pt idx="10">
                  <c:v>43</c:v>
                </c:pt>
                <c:pt idx="11">
                  <c:v>41</c:v>
                </c:pt>
                <c:pt idx="12">
                  <c:v>32</c:v>
                </c:pt>
                <c:pt idx="13">
                  <c:v>31</c:v>
                </c:pt>
                <c:pt idx="14">
                  <c:v>30</c:v>
                </c:pt>
              </c:numCache>
            </c:numRef>
          </c:val>
        </c:ser>
        <c:gapWidth val="150"/>
        <c:overlap val="0"/>
        <c:axId val="71016480"/>
        <c:axId val="1569848"/>
      </c:barChart>
      <c:catAx>
        <c:axId val="71016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69848"/>
        <c:crosses val="autoZero"/>
        <c:auto val="1"/>
        <c:lblAlgn val="ctr"/>
        <c:lblOffset val="100"/>
        <c:noMultiLvlLbl val="0"/>
      </c:catAx>
      <c:valAx>
        <c:axId val="1569848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01648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21</xdr:row>
      <xdr:rowOff>0</xdr:rowOff>
    </xdr:from>
    <xdr:to>
      <xdr:col>4</xdr:col>
      <xdr:colOff>156600</xdr:colOff>
      <xdr:row>36</xdr:row>
      <xdr:rowOff>22320</xdr:rowOff>
    </xdr:to>
    <xdr:graphicFrame>
      <xdr:nvGraphicFramePr>
        <xdr:cNvPr id="0" name="Chart 1"/>
        <xdr:cNvGraphicFramePr/>
      </xdr:nvGraphicFramePr>
      <xdr:xfrm>
        <a:off x="177840" y="5067360"/>
        <a:ext cx="55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32</xdr:row>
      <xdr:rowOff>0</xdr:rowOff>
    </xdr:from>
    <xdr:to>
      <xdr:col>12</xdr:col>
      <xdr:colOff>898920</xdr:colOff>
      <xdr:row>44</xdr:row>
      <xdr:rowOff>53640</xdr:rowOff>
    </xdr:to>
    <xdr:graphicFrame>
      <xdr:nvGraphicFramePr>
        <xdr:cNvPr id="1" name="Chart 2"/>
        <xdr:cNvGraphicFramePr/>
      </xdr:nvGraphicFramePr>
      <xdr:xfrm>
        <a:off x="11601360" y="7162920"/>
        <a:ext cx="4499640" cy="23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0</xdr:colOff>
      <xdr:row>49</xdr:row>
      <xdr:rowOff>0</xdr:rowOff>
    </xdr:from>
    <xdr:to>
      <xdr:col>11</xdr:col>
      <xdr:colOff>1019160</xdr:colOff>
      <xdr:row>66</xdr:row>
      <xdr:rowOff>1080</xdr:rowOff>
    </xdr:to>
    <xdr:graphicFrame>
      <xdr:nvGraphicFramePr>
        <xdr:cNvPr id="2" name="Chart 3"/>
        <xdr:cNvGraphicFramePr/>
      </xdr:nvGraphicFramePr>
      <xdr:xfrm>
        <a:off x="11601360" y="10515600"/>
        <a:ext cx="34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Carnet" displayName="Carnet" ref="A6:AW3006" headerRowCount="1" totalsRowCount="0" totalsRowShown="0">
  <autoFilter ref="A6:AW3006"/>
  <tableColumns count="49">
    <tableColumn id="1" name="N°"/>
    <tableColumn id="2" name="Ligne"/>
    <tableColumn id="3" name="Tronçon"/>
    <tableColumn id="4" name="PK"/>
    <tableColumn id="5" name="N° Joint"/>
    <tableColumn id="6" name="Type"/>
    <tableColumn id="7" name="Zone"/>
    <tableColumn id="8" name="Ø"/>
    <tableColumn id="9" name="Ép. (mm)"/>
    <tableColumn id="10" name="Nuance"/>
    <tableColumn id="11" name="WPS"/>
    <tableColumn id="12" name="Tube 1"/>
    <tableColumn id="13" name="Coulée 1"/>
    <tableColumn id="14" name="Long. 1"/>
    <tableColumn id="15" name="Tube 2"/>
    <tableColumn id="16" name="Coulée 2"/>
    <tableColumn id="17" name="Long. 2"/>
    <tableColumn id="18" name="WR 1ère passe"/>
    <tableColumn id="19" name="WR 2ème passe"/>
    <tableColumn id="20" name="WR B+F"/>
    <tableColumn id="21" name="Date soudage"/>
    <tableColumn id="22" name="VT Date"/>
    <tableColumn id="23" name="VT PV N°"/>
    <tableColumn id="24" name="VT Rés."/>
    <tableColumn id="25" name="RT1 Date"/>
    <tableColumn id="26" name="RT1 PV N°"/>
    <tableColumn id="27" name="RT1 Rés."/>
    <tableColumn id="28" name="Défaut / paramètre rép."/>
    <tableColumn id="29" name="R1 WR"/>
    <tableColumn id="30" name="R1 VT Rés."/>
    <tableColumn id="31" name="R1 RT Date"/>
    <tableColumn id="32" name="R1 RT PV N°"/>
    <tableColumn id="33" name="R1 RT Rés."/>
    <tableColumn id="34" name="R2 WR"/>
    <tableColumn id="35" name="R2 VT Rés."/>
    <tableColumn id="36" name="R2 RT Date"/>
    <tableColumn id="37" name="R2 RT PV N°"/>
    <tableColumn id="38" name="R2 RT Rés."/>
    <tableColumn id="39" name="RT programmé le"/>
    <tableColumn id="40" name="Remarques"/>
    <tableColumn id="41" name="Nb RT"/>
    <tableColumn id="42" name="Dernier RT"/>
    <tableColumn id="43" name="STATUT"/>
    <tableColumn id="44" name="Attente (j)"/>
    <tableColumn id="45" name="hRT"/>
    <tableColumn id="46" name="hRTn"/>
    <tableColumn id="47" name="hREP"/>
    <tableColumn id="48" name="hREPn"/>
    <tableColumn id="49" name="hKEY"/>
  </tableColumns>
</table>
</file>

<file path=xl/tables/table2.xml><?xml version="1.0" encoding="utf-8"?>
<table xmlns="http://schemas.openxmlformats.org/spreadsheetml/2006/main" id="2" name="Enrobage" displayName="Enrobage" ref="A6:Q3006" headerRowCount="1" totalsRowCount="0" totalsRowShown="0">
  <autoFilter ref="A6:Q3006"/>
  <tableColumns count="17">
    <tableColumn id="1" name="N°"/>
    <tableColumn id="2" name="Ligne"/>
    <tableColumn id="3" name="NJ"/>
    <tableColumn id="4" name="PK"/>
    <tableColumn id="5" name="Date soudage"/>
    <tableColumn id="6" name="Dernier RT"/>
    <tableColumn id="7" name="Statut joint"/>
    <tableColumn id="8" name="Prêt à enrober"/>
    <tableColumn id="9" name="Date enrobage"/>
    <tableColumn id="10" name="Type de revêtement"/>
    <tableColumn id="11" name="Équipe / Opérateur"/>
    <tableColumn id="12" name="Holiday test (A/R)"/>
    <tableColumn id="13" name="N° PV"/>
    <tableColumn id="14" name="Statut enrobage"/>
    <tableColumn id="15" name="Observations"/>
    <tableColumn id="16" name="hIdx"/>
    <tableColumn id="17" name="hKey"/>
  </tableColumns>
</table>
</file>

<file path=xl/tables/table3.xml><?xml version="1.0" encoding="utf-8"?>
<table xmlns="http://schemas.openxmlformats.org/spreadsheetml/2006/main" id="3" name="Registre" displayName="Registre" ref="A6:N2506" headerRowCount="1" totalsRowCount="0" totalsRowShown="0">
  <autoFilter ref="A6:N2506"/>
  <tableColumns count="14">
    <tableColumn id="1" name="N°"/>
    <tableColumn id="2" name="N° Pipe"/>
    <tableColumn id="3" name="N° Coulée"/>
    <tableColumn id="4" name="N° Lot"/>
    <tableColumn id="5" name="Contrôle coulée"/>
    <tableColumn id="6" name="Longueur (m)"/>
    <tableColumn id="7" name="Revêtement"/>
    <tableColumn id="8" name="Date réception"/>
    <tableColumn id="9" name="Ligne"/>
    <tableColumn id="10" name="NJ amont"/>
    <tableColumn id="11" name="NJ aval"/>
    <tableColumn id="12" name="PK"/>
    <tableColumn id="13" name="Statut tube"/>
    <tableColumn id="14" name="Observation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<Relationship Id="rId3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<Relationship Id="rId3" Type="http://schemas.openxmlformats.org/officeDocument/2006/relationships/table" Target="../tables/table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3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4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5.vml"/><Relationship Id="rId3" Type="http://schemas.openxmlformats.org/officeDocument/2006/relationships/table" Target="../tables/table3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6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227"/>
    <pageSetUpPr fitToPage="true"/>
  </sheetPr>
  <dimension ref="B2:Q10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13" min="3" style="0" width="13.5"/>
    <col collapsed="false" customWidth="true" hidden="true" outlineLevel="0" max="17" min="15" style="0" width="13"/>
  </cols>
  <sheetData>
    <row r="2" customFormat="false" ht="39.75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customFormat="false" ht="15" hidden="false" customHeight="false" outlineLevel="0" collapsed="false">
      <c r="B3" s="2" t="str">
        <f aca="true">PARAMÈTRES!$C$4&amp;"   •   Affaire N° "&amp;PARAMÈTRES!$C$5&amp;"   •   Mis à jour le "&amp;TEXT(TODAY(),"dd/mm/yyyy")</f>
        <v>Développement des champs gaziers TFT II — réseau de collecte TFT Sud (LIGNE-16)   •   Affaire N° 8546   •   Mis à jour le 28/09/2026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5" customFormat="false" ht="15" hidden="false" customHeight="true" outlineLevel="0" collapsed="false">
      <c r="B5" s="3" t="s">
        <v>1</v>
      </c>
      <c r="C5" s="4" t="s">
        <v>2</v>
      </c>
      <c r="D5" s="4"/>
      <c r="E5" s="5" t="s">
        <v>3</v>
      </c>
      <c r="F5" s="5"/>
      <c r="G5" s="5"/>
      <c r="H5" s="5"/>
      <c r="I5" s="5"/>
      <c r="J5" s="5"/>
      <c r="O5" s="0" t="str">
        <f aca="false">IF(C5="TOUTES","*",C5)</f>
        <v>*</v>
      </c>
    </row>
    <row r="7" customFormat="false" ht="21.75" hidden="false" customHeight="true" outlineLevel="0" collapsed="false">
      <c r="B7" s="6" t="s">
        <v>4</v>
      </c>
      <c r="C7" s="6"/>
      <c r="D7" s="7" t="s">
        <v>5</v>
      </c>
      <c r="E7" s="7"/>
      <c r="F7" s="8" t="s">
        <v>6</v>
      </c>
      <c r="G7" s="8"/>
      <c r="H7" s="9" t="s">
        <v>7</v>
      </c>
      <c r="I7" s="9"/>
      <c r="J7" s="10" t="s">
        <v>8</v>
      </c>
      <c r="K7" s="10"/>
      <c r="L7" s="11" t="s">
        <v>9</v>
      </c>
      <c r="M7" s="11"/>
    </row>
    <row r="8" customFormat="false" ht="21.75" hidden="false" customHeight="true" outlineLevel="0" collapsed="false">
      <c r="B8" s="12" t="n">
        <f aca="false">COUNTIFS('CARNET DE SOUDURE'!$B$7:$B$3006,$O$5,'CARNET DE SOUDURE'!$U$7:$U$3006,"&lt;&gt;")</f>
        <v>1313</v>
      </c>
      <c r="C8" s="12"/>
      <c r="D8" s="13" t="n">
        <f aca="false">IFERROR(COUNTIFS('CARNET DE SOUDURE'!$B$7:$B$3006,$O$5,'CARNET DE SOUDURE'!$U$7:$U$3006,"&lt;&gt;",'CARNET DE SOUDURE'!$F$7:$F$3006,"JN")/IF($C$5="TOUTES",SUM(PARAMÈTRES!$E$12:$E$19),SUMIF(PARAMÈTRES!$B$12:$B$19,$C$5,PARAMÈTRES!$E$12:$E$19)),0)</f>
        <v>0.491176470588235</v>
      </c>
      <c r="E8" s="13"/>
      <c r="F8" s="14" t="n">
        <f aca="false">COUNTIFS('CARNET DE SOUDURE'!$B$7:$B$3006,$O$5,'CARNET DE SOUDURE'!$AA$7:$AA$3006,"&lt;&gt;")</f>
        <v>1205</v>
      </c>
      <c r="G8" s="14"/>
      <c r="H8" s="15" t="n">
        <f aca="false">COUNTIFS('CARNET DE SOUDURE'!$B$7:$B$3006,$O$5,'CARNET DE SOUDURE'!$AQ$7:$AQ$3006,"ACCEPTÉ")</f>
        <v>1139</v>
      </c>
      <c r="I8" s="15"/>
      <c r="J8" s="16" t="n">
        <f aca="false">COUNTIFS('CARNET DE SOUDURE'!$B$7:$B$3006,$O$5,'CARNET DE SOUDURE'!$AQ$7:$AQ$3006,"À RADIOGRAPHIER")+COUNTIFS('CARNET DE SOUDURE'!$B$7:$B$3006,$O$5,'CARNET DE SOUDURE'!$AQ$7:$AQ$3006,"RÉPARÉ – À RADIOGRAPHIER")+COUNTIFS('CARNET DE SOUDURE'!$B$7:$B$3006,$O$5,'CARNET DE SOUDURE'!$AQ$7:$AQ$3006,"NX – RT À REFAIRE")</f>
        <v>119</v>
      </c>
      <c r="K8" s="16"/>
      <c r="L8" s="17" t="n">
        <f aca="false">IFERROR((COUNTIFS('CARNET DE SOUDURE'!$B$7:$B$3006,$O$5,'CARNET DE SOUDURE'!$AA$7:$AA$3006,"R")+COUNTIFS('CARNET DE SOUDURE'!$B$7:$B$3006,$O$5,'CARNET DE SOUDURE'!$AA$7:$AA$3006,"NT")+COUNTIFS('CARNET DE SOUDURE'!$B$7:$B$3006,$O$5,'CARNET DE SOUDURE'!$AA$7:$AA$3006,"CO"))/(COUNTIFS('CARNET DE SOUDURE'!$B$7:$B$3006,$O$5,'CARNET DE SOUDURE'!$AA$7:$AA$3006,"A")+(COUNTIFS('CARNET DE SOUDURE'!$B$7:$B$3006,$O$5,'CARNET DE SOUDURE'!$AA$7:$AA$3006,"R")+COUNTIFS('CARNET DE SOUDURE'!$B$7:$B$3006,$O$5,'CARNET DE SOUDURE'!$AA$7:$AA$3006,"NT")+COUNTIFS('CARNET DE SOUDURE'!$B$7:$B$3006,$O$5,'CARNET DE SOUDURE'!$AA$7:$AA$3006,"CO"))),0)</f>
        <v>0.0460636515912898</v>
      </c>
      <c r="M8" s="17"/>
    </row>
    <row r="9" customFormat="false" ht="21.75" hidden="false" customHeight="true" outlineLevel="0" collapsed="false">
      <c r="B9" s="12"/>
      <c r="C9" s="12"/>
      <c r="D9" s="13"/>
      <c r="E9" s="13"/>
      <c r="F9" s="14"/>
      <c r="G9" s="14"/>
      <c r="H9" s="15"/>
      <c r="I9" s="15"/>
      <c r="J9" s="16"/>
      <c r="K9" s="16"/>
      <c r="L9" s="17"/>
      <c r="M9" s="17"/>
    </row>
    <row r="10" customFormat="false" ht="15" hidden="false" customHeight="false" outlineLevel="0" collapsed="false">
      <c r="B10" s="18" t="str">
        <f aca="false">"JN "&amp;TEXT(COUNTIFS('CARNET DE SOUDURE'!$B$7:$B$3006,$O$5,'CARNET DE SOUDURE'!$U$7:$U$3006,"&lt;&gt;",'CARNET DE SOUDURE'!$F$7:$F$3006,"JN"),"#,##0")&amp;"  •  DJ "&amp;TEXT(COUNTIFS('CARNET DE SOUDURE'!$B$7:$B$3006,$O$5,'CARNET DE SOUDURE'!$U$7:$U$3006,"&lt;&gt;",'CARNET DE SOUDURE'!$F$7:$F$3006,"DJ"),"#,##0")</f>
        <v>JN 835  •  DJ 478</v>
      </c>
      <c r="C10" s="18"/>
      <c r="D10" s="19" t="str">
        <f aca="false">"JN : reste "&amp;TEXT(MAX(0,IF($C$5="TOUTES",SUM(PARAMÈTRES!$E$12:$E$19),SUMIF(PARAMÈTRES!$B$12:$B$19,$C$5,PARAMÈTRES!$E$12:$E$19))-COUNTIFS('CARNET DE SOUDURE'!$B$7:$B$3006,$O$5,'CARNET DE SOUDURE'!$U$7:$U$3006,"&lt;&gt;",'CARNET DE SOUDURE'!$F$7:$F$3006,"JN")),"#,##0")&amp;" sur "&amp;TEXT(IF($C$5="TOUTES",SUM(PARAMÈTRES!$E$12:$E$19),SUMIF(PARAMÈTRES!$B$12:$B$19,$C$5,PARAMÈTRES!$E$12:$E$19)),"#,##0")</f>
        <v>JN : reste 865 sur 1,700</v>
      </c>
      <c r="E10" s="19"/>
      <c r="F10" s="20" t="str">
        <f aca="false">TEXT(IFERROR(COUNTIFS('CARNET DE SOUDURE'!$B$7:$B$3006,$O$5,'CARNET DE SOUDURE'!$AA$7:$AA$3006,"&lt;&gt;")/COUNTIFS('CARNET DE SOUDURE'!$B$7:$B$3006,$O$5,'CARNET DE SOUDURE'!$U$7:$U$3006,"&lt;&gt;"),0),"0.0%")&amp;" des joints soudés"</f>
        <v>91.8% des joints soudés</v>
      </c>
      <c r="G10" s="20"/>
      <c r="H10" s="21" t="str">
        <f aca="false">TEXT(IFERROR(COUNTIFS('CARNET DE SOUDURE'!$B$7:$B$3006,$O$5,'CARNET DE SOUDURE'!$AQ$7:$AQ$3006,"ACCEPTÉ")/COUNTIFS('CARNET DE SOUDURE'!$B$7:$B$3006,$O$5,'CARNET DE SOUDURE'!$U$7:$U$3006,"&lt;&gt;"),0),"0.0%")&amp;" des joints soudés"</f>
        <v>86.7% des joints soudés</v>
      </c>
      <c r="I10" s="21"/>
      <c r="J10" s="22" t="str">
        <f aca="false">"voir PROGRAMME RT"</f>
        <v>voir PROGRAMME RT</v>
      </c>
      <c r="K10" s="22"/>
      <c r="L10" s="23" t="str">
        <f aca="false">TEXT((COUNTIFS('CARNET DE SOUDURE'!$B$7:$B$3006,$O$5,'CARNET DE SOUDURE'!$AA$7:$AA$3006,"R")+COUNTIFS('CARNET DE SOUDURE'!$B$7:$B$3006,$O$5,'CARNET DE SOUDURE'!$AA$7:$AA$3006,"NT")+COUNTIFS('CARNET DE SOUDURE'!$B$7:$B$3006,$O$5,'CARNET DE SOUDURE'!$AA$7:$AA$3006,"CO")),"0")&amp;" rejet(s) au RT-01"</f>
        <v>55 rejet(s) au RT-01</v>
      </c>
      <c r="M10" s="23"/>
    </row>
    <row r="12" customFormat="false" ht="15" hidden="false" customHeight="true" outlineLevel="0" collapsed="false">
      <c r="B12" s="24" t="s">
        <v>10</v>
      </c>
      <c r="C12" s="24"/>
      <c r="D12" s="25" t="s">
        <v>11</v>
      </c>
      <c r="E12" s="25"/>
      <c r="F12" s="26" t="s">
        <v>12</v>
      </c>
      <c r="G12" s="26"/>
      <c r="H12" s="27" t="s">
        <v>13</v>
      </c>
      <c r="I12" s="27"/>
      <c r="J12" s="28" t="s">
        <v>14</v>
      </c>
      <c r="K12" s="28"/>
      <c r="L12" s="29" t="s">
        <v>15</v>
      </c>
      <c r="M12" s="29"/>
    </row>
    <row r="13" customFormat="false" ht="30" hidden="false" customHeight="true" outlineLevel="0" collapsed="false">
      <c r="B13" s="30" t="n">
        <f aca="false">COUNTIFS('CARNET DE SOUDURE'!$B$7:$B$3006,$O$5,'CARNET DE SOUDURE'!$AQ$7:$AQ$3006,"À RÉPARER")</f>
        <v>54</v>
      </c>
      <c r="C13" s="30"/>
      <c r="D13" s="31" t="n">
        <f aca="false">COUNTIFS('CARNET DE SOUDURE'!$B$7:$B$3006,$O$5,'CARNET DE SOUDURE'!$AQ$7:$AQ$3006,"COUPE – À RESOUDER")</f>
        <v>1</v>
      </c>
      <c r="E13" s="31"/>
      <c r="F13" s="32" t="n">
        <f aca="false">COUNTIFS('CARNET DE SOUDURE'!$B$7:$B$3006,$O$5,'CARNET DE SOUDURE'!$AQ$7:$AQ$3006,"NX – RT À REFAIRE")</f>
        <v>11</v>
      </c>
      <c r="G13" s="32"/>
      <c r="H13" s="33" t="n">
        <f aca="false">COUNTIFS('CARNET DE SOUDURE'!$B$7:$B$3006,$O$5,'CARNET DE SOUDURE'!$AQ$7:$AQ$3006,"RÉPARÉ – À RADIOGRAPHIER")</f>
        <v>0</v>
      </c>
      <c r="I13" s="33"/>
      <c r="J13" s="34" t="n">
        <f aca="false">COUNTIFS('CARNET DE SOUDURE'!$B$7:$B$3006,$O$5,'CARNET DE SOUDURE'!$AQ$7:$AQ$3006,"VT EN ATTENTE")+COUNTIFS('CARNET DE SOUDURE'!$B$7:$B$3006,$O$5,'CARNET DE SOUDURE'!$AQ$7:$AQ$3006,"VT REJETÉ – À REPRENDRE")</f>
        <v>0</v>
      </c>
      <c r="K13" s="34"/>
      <c r="L13" s="35" t="n">
        <f aca="false">COUNTIFS('CARNET DE SOUDURE'!$B$7:$B$3006,$O$5,'CARNET DE SOUDURE'!$AQ$7:$AQ$3006,"À SOUDER")</f>
        <v>1165</v>
      </c>
      <c r="M13" s="35"/>
    </row>
    <row r="16" customFormat="false" ht="24" hidden="false" customHeight="true" outlineLevel="0" collapsed="false">
      <c r="B16" s="36" t="s">
        <v>16</v>
      </c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</row>
    <row r="17" customFormat="false" ht="30" hidden="false" customHeight="true" outlineLevel="0" collapsed="false">
      <c r="B17" s="37" t="s">
        <v>17</v>
      </c>
      <c r="C17" s="37" t="s">
        <v>18</v>
      </c>
      <c r="D17" s="37" t="s">
        <v>19</v>
      </c>
      <c r="E17" s="37" t="s">
        <v>20</v>
      </c>
      <c r="F17" s="37" t="s">
        <v>21</v>
      </c>
      <c r="G17" s="37" t="s">
        <v>22</v>
      </c>
      <c r="H17" s="37" t="s">
        <v>23</v>
      </c>
      <c r="I17" s="37" t="s">
        <v>24</v>
      </c>
      <c r="J17" s="37" t="s">
        <v>25</v>
      </c>
      <c r="K17" s="37" t="s">
        <v>26</v>
      </c>
      <c r="L17" s="37" t="s">
        <v>27</v>
      </c>
      <c r="M17" s="37" t="s">
        <v>28</v>
      </c>
    </row>
    <row r="18" customFormat="false" ht="15" hidden="false" customHeight="false" outlineLevel="0" collapsed="false">
      <c r="B18" s="38" t="str">
        <f aca="false">$P18&amp;"  —  JN — joints de ligne"</f>
        <v>MFD-ISW → MFD-CPF  —  JN — joints de ligne</v>
      </c>
      <c r="C18" s="39" t="n">
        <f aca="false">N(PARAMÈTRES!$E$12)</f>
        <v>1700</v>
      </c>
      <c r="D18" s="39" t="n">
        <f aca="false">COUNTIFS('CARNET DE SOUDURE'!$B$7:$B$3006,$P18,'CARNET DE SOUDURE'!$F$7:$F$3006,$Q18,'CARNET DE SOUDURE'!$U$7:$U$3006,"&lt;&gt;")</f>
        <v>835</v>
      </c>
      <c r="E18" s="39" t="n">
        <f aca="false">MAX(0,C18-D18)</f>
        <v>865</v>
      </c>
      <c r="F18" s="40" t="n">
        <f aca="false">IFERROR(D18/C18,0)</f>
        <v>0.491176470588235</v>
      </c>
      <c r="G18" s="39" t="n">
        <f aca="false">COUNTIFS('CARNET DE SOUDURE'!$B$7:$B$3006,$P18,'CARNET DE SOUDURE'!$F$7:$F$3006,$Q18,'CARNET DE SOUDURE'!$AA$7:$AA$3006,"&lt;&gt;")</f>
        <v>727</v>
      </c>
      <c r="H18" s="40" t="n">
        <f aca="false">IFERROR(G18/D18,0)</f>
        <v>0.870658682634731</v>
      </c>
      <c r="I18" s="39" t="n">
        <f aca="false">COUNTIFS('CARNET DE SOUDURE'!$B$7:$B$3006,$P18,'CARNET DE SOUDURE'!$F$7:$F$3006,$Q18,'CARNET DE SOUDURE'!$AQ$7:$AQ$3006,"ACCEPTÉ")</f>
        <v>664</v>
      </c>
      <c r="J18" s="40" t="n">
        <f aca="false">IFERROR(I18/D18,0)</f>
        <v>0.795209580838323</v>
      </c>
      <c r="K18" s="39" t="n">
        <f aca="false">COUNTIFS('CARNET DE SOUDURE'!$B$7:$B$3006,$P18,'CARNET DE SOUDURE'!$F$7:$F$3006,$Q18,'CARNET DE SOUDURE'!$AQ$7:$AQ$3006,"À RÉPARER")+COUNTIFS('CARNET DE SOUDURE'!$B$7:$B$3006,$P18,'CARNET DE SOUDURE'!$F$7:$F$3006,$Q18,'CARNET DE SOUDURE'!$AQ$7:$AQ$3006,"COUPE – À RESOUDER")+COUNTIFS('CARNET DE SOUDURE'!$B$7:$B$3006,$P18,'CARNET DE SOUDURE'!$F$7:$F$3006,$Q18,'CARNET DE SOUDURE'!$AQ$7:$AQ$3006,"VT REJETÉ – À REPRENDRE")</f>
        <v>52</v>
      </c>
      <c r="L18" s="40" t="n">
        <f aca="false">IFERROR((COUNTIFS('CARNET DE SOUDURE'!$B$7:$B$3006,$P18,'CARNET DE SOUDURE'!$F$7:$F$3006,$Q18,'CARNET DE SOUDURE'!$AA$7:$AA$3006,"R")+COUNTIFS('CARNET DE SOUDURE'!$B$7:$B$3006,$P18,'CARNET DE SOUDURE'!$F$7:$F$3006,$Q18,'CARNET DE SOUDURE'!$AA$7:$AA$3006,"NT")+COUNTIFS('CARNET DE SOUDURE'!$B$7:$B$3006,$P18,'CARNET DE SOUDURE'!$F$7:$F$3006,$Q18,'CARNET DE SOUDURE'!$AA$7:$AA$3006,"CO"))/(COUNTIFS('CARNET DE SOUDURE'!$B$7:$B$3006,$P18,'CARNET DE SOUDURE'!$F$7:$F$3006,$Q18,'CARNET DE SOUDURE'!$AA$7:$AA$3006,"A")+(COUNTIFS('CARNET DE SOUDURE'!$B$7:$B$3006,$P18,'CARNET DE SOUDURE'!$F$7:$F$3006,$Q18,'CARNET DE SOUDURE'!$AA$7:$AA$3006,"R")+COUNTIFS('CARNET DE SOUDURE'!$B$7:$B$3006,$P18,'CARNET DE SOUDURE'!$F$7:$F$3006,$Q18,'CARNET DE SOUDURE'!$AA$7:$AA$3006,"NT")+COUNTIFS('CARNET DE SOUDURE'!$B$7:$B$3006,$P18,'CARNET DE SOUDURE'!$F$7:$F$3006,$Q18,'CARNET DE SOUDURE'!$AA$7:$AA$3006,"CO"))),0)</f>
        <v>0.0726256983240224</v>
      </c>
      <c r="M18" s="39" t="n">
        <f aca="false">COUNTIFS('CARNET DE SOUDURE'!$B$7:$B$3006,$P18,'CARNET DE SOUDURE'!$F$7:$F$3006,$Q18,'CARNET DE SOUDURE'!$AQ$7:$AQ$3006,"À RADIOGRAPHIER")+COUNTIFS('CARNET DE SOUDURE'!$B$7:$B$3006,$P18,'CARNET DE SOUDURE'!$F$7:$F$3006,$Q18,'CARNET DE SOUDURE'!$AQ$7:$AQ$3006,"RÉPARÉ – À RADIOGRAPHIER")+COUNTIFS('CARNET DE SOUDURE'!$B$7:$B$3006,$P18,'CARNET DE SOUDURE'!$F$7:$F$3006,$Q18,'CARNET DE SOUDURE'!$AQ$7:$AQ$3006,"NX – RT À REFAIRE")</f>
        <v>119</v>
      </c>
      <c r="P18" s="0" t="str">
        <f aca="false">PARAMÈTRES!$B$12</f>
        <v>MFD-ISW → MFD-CPF</v>
      </c>
      <c r="Q18" s="41" t="s">
        <v>29</v>
      </c>
    </row>
    <row r="19" customFormat="false" ht="15" hidden="false" customHeight="false" outlineLevel="0" collapsed="false">
      <c r="B19" s="42" t="str">
        <f aca="false">$P19&amp;"  —  DJ — doubles joints"</f>
        <v>MFD-ISW → MFD-CPF  —  DJ — doubles joints</v>
      </c>
      <c r="C19" s="43" t="str">
        <f aca="false">"—"</f>
        <v>—</v>
      </c>
      <c r="D19" s="43" t="n">
        <f aca="false">COUNTIFS('CARNET DE SOUDURE'!$B$7:$B$3006,$P19,'CARNET DE SOUDURE'!$F$7:$F$3006,$Q19,'CARNET DE SOUDURE'!$U$7:$U$3006,"&lt;&gt;")</f>
        <v>478</v>
      </c>
      <c r="E19" s="43" t="str">
        <f aca="false">"—"</f>
        <v>—</v>
      </c>
      <c r="F19" s="44" t="str">
        <f aca="false">"—"</f>
        <v>—</v>
      </c>
      <c r="G19" s="43" t="n">
        <f aca="false">COUNTIFS('CARNET DE SOUDURE'!$B$7:$B$3006,$P19,'CARNET DE SOUDURE'!$F$7:$F$3006,$Q19,'CARNET DE SOUDURE'!$AA$7:$AA$3006,"&lt;&gt;")</f>
        <v>478</v>
      </c>
      <c r="H19" s="44" t="n">
        <f aca="false">IFERROR(G19/D19,0)</f>
        <v>1</v>
      </c>
      <c r="I19" s="43" t="n">
        <f aca="false">COUNTIFS('CARNET DE SOUDURE'!$B$7:$B$3006,$P19,'CARNET DE SOUDURE'!$F$7:$F$3006,$Q19,'CARNET DE SOUDURE'!$AQ$7:$AQ$3006,"ACCEPTÉ")</f>
        <v>475</v>
      </c>
      <c r="J19" s="44" t="n">
        <f aca="false">IFERROR(I19/D19,0)</f>
        <v>0.993723849372385</v>
      </c>
      <c r="K19" s="43" t="n">
        <f aca="false">COUNTIFS('CARNET DE SOUDURE'!$B$7:$B$3006,$P19,'CARNET DE SOUDURE'!$F$7:$F$3006,$Q19,'CARNET DE SOUDURE'!$AQ$7:$AQ$3006,"À RÉPARER")+COUNTIFS('CARNET DE SOUDURE'!$B$7:$B$3006,$P19,'CARNET DE SOUDURE'!$F$7:$F$3006,$Q19,'CARNET DE SOUDURE'!$AQ$7:$AQ$3006,"COUPE – À RESOUDER")+COUNTIFS('CARNET DE SOUDURE'!$B$7:$B$3006,$P19,'CARNET DE SOUDURE'!$F$7:$F$3006,$Q19,'CARNET DE SOUDURE'!$AQ$7:$AQ$3006,"VT REJETÉ – À REPRENDRE")</f>
        <v>3</v>
      </c>
      <c r="L19" s="44" t="n">
        <f aca="false">IFERROR((COUNTIFS('CARNET DE SOUDURE'!$B$7:$B$3006,$P19,'CARNET DE SOUDURE'!$F$7:$F$3006,$Q19,'CARNET DE SOUDURE'!$AA$7:$AA$3006,"R")+COUNTIFS('CARNET DE SOUDURE'!$B$7:$B$3006,$P19,'CARNET DE SOUDURE'!$F$7:$F$3006,$Q19,'CARNET DE SOUDURE'!$AA$7:$AA$3006,"NT")+COUNTIFS('CARNET DE SOUDURE'!$B$7:$B$3006,$P19,'CARNET DE SOUDURE'!$F$7:$F$3006,$Q19,'CARNET DE SOUDURE'!$AA$7:$AA$3006,"CO"))/(COUNTIFS('CARNET DE SOUDURE'!$B$7:$B$3006,$P19,'CARNET DE SOUDURE'!$F$7:$F$3006,$Q19,'CARNET DE SOUDURE'!$AA$7:$AA$3006,"A")+(COUNTIFS('CARNET DE SOUDURE'!$B$7:$B$3006,$P19,'CARNET DE SOUDURE'!$F$7:$F$3006,$Q19,'CARNET DE SOUDURE'!$AA$7:$AA$3006,"R")+COUNTIFS('CARNET DE SOUDURE'!$B$7:$B$3006,$P19,'CARNET DE SOUDURE'!$F$7:$F$3006,$Q19,'CARNET DE SOUDURE'!$AA$7:$AA$3006,"NT")+COUNTIFS('CARNET DE SOUDURE'!$B$7:$B$3006,$P19,'CARNET DE SOUDURE'!$F$7:$F$3006,$Q19,'CARNET DE SOUDURE'!$AA$7:$AA$3006,"CO"))),0)</f>
        <v>0.00627615062761506</v>
      </c>
      <c r="M19" s="43" t="n">
        <f aca="false">COUNTIFS('CARNET DE SOUDURE'!$B$7:$B$3006,$P19,'CARNET DE SOUDURE'!$F$7:$F$3006,$Q19,'CARNET DE SOUDURE'!$AQ$7:$AQ$3006,"À RADIOGRAPHIER")+COUNTIFS('CARNET DE SOUDURE'!$B$7:$B$3006,$P19,'CARNET DE SOUDURE'!$F$7:$F$3006,$Q19,'CARNET DE SOUDURE'!$AQ$7:$AQ$3006,"RÉPARÉ – À RADIOGRAPHIER")+COUNTIFS('CARNET DE SOUDURE'!$B$7:$B$3006,$P19,'CARNET DE SOUDURE'!$F$7:$F$3006,$Q19,'CARNET DE SOUDURE'!$AQ$7:$AQ$3006,"NX – RT À REFAIRE")</f>
        <v>0</v>
      </c>
      <c r="P19" s="0" t="str">
        <f aca="false">PARAMÈTRES!$B$12</f>
        <v>MFD-ISW → MFD-CPF</v>
      </c>
      <c r="Q19" s="41" t="s">
        <v>30</v>
      </c>
    </row>
    <row r="20" customFormat="false" ht="15" hidden="false" customHeight="false" outlineLevel="0" collapsed="false">
      <c r="B20" s="45" t="s">
        <v>31</v>
      </c>
      <c r="C20" s="46" t="n">
        <f aca="false">SUM(C18:C19)</f>
        <v>1700</v>
      </c>
      <c r="D20" s="46" t="n">
        <f aca="false">SUM(D18:D19)</f>
        <v>1313</v>
      </c>
      <c r="E20" s="46" t="n">
        <f aca="false">SUM(E18:E19)</f>
        <v>865</v>
      </c>
      <c r="F20" s="47" t="n">
        <f aca="false">IFERROR(SUMIF($Q$18:$Q$19,"JN",D18:D19)/C20,0)</f>
        <v>0.491176470588235</v>
      </c>
      <c r="G20" s="46" t="n">
        <f aca="false">SUM(G18:G19)</f>
        <v>1205</v>
      </c>
      <c r="H20" s="47" t="n">
        <f aca="false">IFERROR(G20/D20,0)</f>
        <v>0.917745620715918</v>
      </c>
      <c r="I20" s="46" t="n">
        <f aca="false">SUM(I18:I19)</f>
        <v>1139</v>
      </c>
      <c r="J20" s="47" t="n">
        <f aca="false">IFERROR(I20/D20,0)</f>
        <v>0.867479055597868</v>
      </c>
      <c r="K20" s="46" t="n">
        <f aca="false">SUM(K18:K19)</f>
        <v>55</v>
      </c>
      <c r="L20" s="47" t="n">
        <f aca="false">IFERROR((COUNTIF('CARNET DE SOUDURE'!$AA$7:$AA$3006,"R")+COUNTIF('CARNET DE SOUDURE'!$AA$7:$AA$3006,"NT")+COUNTIF('CARNET DE SOUDURE'!$AA$7:$AA$3006,"CO"))/(COUNTIF('CARNET DE SOUDURE'!$AA$7:$AA$3006,"A")+COUNTIF('CARNET DE SOUDURE'!$AA$7:$AA$3006,"R")+COUNTIF('CARNET DE SOUDURE'!$AA$7:$AA$3006,"NT")+COUNTIF('CARNET DE SOUDURE'!$AA$7:$AA$3006,"CO")),0)</f>
        <v>0.0460636515912898</v>
      </c>
      <c r="M20" s="46" t="n">
        <f aca="false">SUM(M18:M19)</f>
        <v>119</v>
      </c>
    </row>
    <row r="22" customFormat="false" ht="15" hidden="false" customHeight="true" outlineLevel="0" collapsed="false">
      <c r="J22" s="37" t="s">
        <v>32</v>
      </c>
      <c r="K22" s="37"/>
      <c r="L22" s="37" t="s">
        <v>33</v>
      </c>
      <c r="M22" s="37" t="s">
        <v>34</v>
      </c>
    </row>
    <row r="23" customFormat="false" ht="15" hidden="false" customHeight="true" outlineLevel="0" collapsed="false">
      <c r="J23" s="48" t="s">
        <v>35</v>
      </c>
      <c r="K23" s="48"/>
      <c r="L23" s="39" t="n">
        <f aca="false">COUNTIFS('CARNET DE SOUDURE'!$B$7:$B$3006,$O$5,'CARNET DE SOUDURE'!$AQ$7:$AQ$3006,"ACCEPTÉ")</f>
        <v>1139</v>
      </c>
      <c r="M23" s="40" t="n">
        <f aca="false">IFERROR(L23/SUM($L$23:$L$31),0)</f>
        <v>0.459644874899112</v>
      </c>
    </row>
    <row r="24" customFormat="false" ht="15" hidden="false" customHeight="true" outlineLevel="0" collapsed="false">
      <c r="J24" s="49" t="s">
        <v>36</v>
      </c>
      <c r="K24" s="49"/>
      <c r="L24" s="39" t="n">
        <f aca="false">COUNTIFS('CARNET DE SOUDURE'!$B$7:$B$3006,$O$5,'CARNET DE SOUDURE'!$AQ$7:$AQ$3006,"À RADIOGRAPHIER")</f>
        <v>108</v>
      </c>
      <c r="M24" s="40" t="n">
        <f aca="false">IFERROR(L24/SUM($L$23:$L$31),0)</f>
        <v>0.0435835351089588</v>
      </c>
    </row>
    <row r="25" customFormat="false" ht="15" hidden="false" customHeight="true" outlineLevel="0" collapsed="false">
      <c r="J25" s="49" t="s">
        <v>37</v>
      </c>
      <c r="K25" s="49"/>
      <c r="L25" s="39" t="n">
        <f aca="false">COUNTIFS('CARNET DE SOUDURE'!$B$7:$B$3006,$O$5,'CARNET DE SOUDURE'!$AQ$7:$AQ$3006,"RÉPARÉ – À RADIOGRAPHIER")</f>
        <v>0</v>
      </c>
      <c r="M25" s="40" t="n">
        <f aca="false">IFERROR(L25/SUM($L$23:$L$31),0)</f>
        <v>0</v>
      </c>
    </row>
    <row r="26" customFormat="false" ht="15" hidden="false" customHeight="true" outlineLevel="0" collapsed="false">
      <c r="J26" s="50" t="s">
        <v>12</v>
      </c>
      <c r="K26" s="50"/>
      <c r="L26" s="39" t="n">
        <f aca="false">COUNTIFS('CARNET DE SOUDURE'!$B$7:$B$3006,$O$5,'CARNET DE SOUDURE'!$AQ$7:$AQ$3006,"NX – RT À REFAIRE")</f>
        <v>11</v>
      </c>
      <c r="M26" s="40" t="n">
        <f aca="false">IFERROR(L26/SUM($L$23:$L$31),0)</f>
        <v>0.00443906376109766</v>
      </c>
    </row>
    <row r="27" customFormat="false" ht="15" hidden="false" customHeight="true" outlineLevel="0" collapsed="false">
      <c r="J27" s="51" t="s">
        <v>38</v>
      </c>
      <c r="K27" s="51"/>
      <c r="L27" s="39" t="n">
        <f aca="false">COUNTIFS('CARNET DE SOUDURE'!$B$7:$B$3006,$O$5,'CARNET DE SOUDURE'!$AQ$7:$AQ$3006,"À RÉPARER")</f>
        <v>54</v>
      </c>
      <c r="M27" s="40" t="n">
        <f aca="false">IFERROR(L27/SUM($L$23:$L$31),0)</f>
        <v>0.0217917675544794</v>
      </c>
    </row>
    <row r="28" customFormat="false" ht="15" hidden="false" customHeight="true" outlineLevel="0" collapsed="false">
      <c r="J28" s="52" t="s">
        <v>39</v>
      </c>
      <c r="K28" s="52"/>
      <c r="L28" s="39" t="n">
        <f aca="false">COUNTIFS('CARNET DE SOUDURE'!$B$7:$B$3006,$O$5,'CARNET DE SOUDURE'!$AQ$7:$AQ$3006,"COUPE – À RESOUDER")</f>
        <v>1</v>
      </c>
      <c r="M28" s="40" t="n">
        <f aca="false">IFERROR(L28/SUM($L$23:$L$31),0)</f>
        <v>0.000403551251008878</v>
      </c>
    </row>
    <row r="29" customFormat="false" ht="15" hidden="false" customHeight="true" outlineLevel="0" collapsed="false">
      <c r="J29" s="51" t="s">
        <v>40</v>
      </c>
      <c r="K29" s="51"/>
      <c r="L29" s="39" t="n">
        <f aca="false">COUNTIFS('CARNET DE SOUDURE'!$B$7:$B$3006,$O$5,'CARNET DE SOUDURE'!$AQ$7:$AQ$3006,"VT REJETÉ – À REPRENDRE")</f>
        <v>0</v>
      </c>
      <c r="M29" s="40" t="n">
        <f aca="false">IFERROR(L29/SUM($L$23:$L$31),0)</f>
        <v>0</v>
      </c>
    </row>
    <row r="30" customFormat="false" ht="15" hidden="false" customHeight="true" outlineLevel="0" collapsed="false">
      <c r="J30" s="53" t="s">
        <v>41</v>
      </c>
      <c r="K30" s="53"/>
      <c r="L30" s="39" t="n">
        <f aca="false">COUNTIFS('CARNET DE SOUDURE'!$B$7:$B$3006,$O$5,'CARNET DE SOUDURE'!$AQ$7:$AQ$3006,"VT EN ATTENTE")</f>
        <v>0</v>
      </c>
      <c r="M30" s="40" t="n">
        <f aca="false">IFERROR(L30/SUM($L$23:$L$31),0)</f>
        <v>0</v>
      </c>
    </row>
    <row r="31" customFormat="false" ht="15" hidden="false" customHeight="true" outlineLevel="0" collapsed="false">
      <c r="J31" s="54" t="s">
        <v>42</v>
      </c>
      <c r="K31" s="54"/>
      <c r="L31" s="39" t="n">
        <f aca="false">COUNTIFS('CARNET DE SOUDURE'!$B$7:$B$3006,$O$5,'CARNET DE SOUDURE'!$AQ$7:$AQ$3006,"À SOUDER")</f>
        <v>1165</v>
      </c>
      <c r="M31" s="40" t="n">
        <f aca="false">IFERROR(L31/SUM($L$23:$L$31),0)</f>
        <v>0.470137207425343</v>
      </c>
    </row>
    <row r="49" customFormat="false" ht="24" hidden="false" customHeight="true" outlineLevel="0" collapsed="false">
      <c r="B49" s="36" t="s">
        <v>43</v>
      </c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</row>
    <row r="50" customFormat="false" ht="15" hidden="false" customHeight="true" outlineLevel="0" collapsed="false">
      <c r="B50" s="55" t="s">
        <v>44</v>
      </c>
      <c r="C50" s="55" t="s">
        <v>45</v>
      </c>
      <c r="D50" s="55"/>
      <c r="E50" s="55" t="s">
        <v>19</v>
      </c>
      <c r="F50" s="55" t="s">
        <v>22</v>
      </c>
      <c r="G50" s="55" t="s">
        <v>46</v>
      </c>
      <c r="H50" s="55" t="s">
        <v>27</v>
      </c>
      <c r="I50" s="55" t="s">
        <v>47</v>
      </c>
    </row>
    <row r="51" customFormat="false" ht="15" hidden="false" customHeight="false" outlineLevel="0" collapsed="false">
      <c r="B51" s="56" t="str">
        <f aca="false">IF(SOUDEURS!B6="","",SOUDEURS!B6)</f>
        <v>WR-039</v>
      </c>
      <c r="C51" s="57" t="str">
        <f aca="false">IF(SOUDEURS!C6="","",SOUDEURS!C6)</f>
        <v/>
      </c>
      <c r="D51" s="57"/>
      <c r="E51" s="58" t="n">
        <f aca="false">SOUDEURS!F6</f>
        <v>100</v>
      </c>
      <c r="F51" s="58" t="n">
        <f aca="false">SOUDEURS!G6</f>
        <v>100</v>
      </c>
      <c r="G51" s="58" t="n">
        <f aca="false">SOUDEURS!H6</f>
        <v>0</v>
      </c>
      <c r="H51" s="59" t="n">
        <f aca="false">SOUDEURS!I6</f>
        <v>0</v>
      </c>
      <c r="I51" s="60" t="str">
        <f aca="false">SOUDEURS!K6</f>
        <v>Excellent</v>
      </c>
    </row>
    <row r="52" customFormat="false" ht="15" hidden="false" customHeight="false" outlineLevel="0" collapsed="false">
      <c r="B52" s="56" t="str">
        <f aca="false">IF(SOUDEURS!B7="","",SOUDEURS!B7)</f>
        <v>WR-46-44/36-33/30-52/50-51/43-45</v>
      </c>
      <c r="C52" s="57" t="str">
        <f aca="false">IF(SOUDEURS!C7="","",SOUDEURS!C7)</f>
        <v/>
      </c>
      <c r="D52" s="57"/>
      <c r="E52" s="58" t="n">
        <f aca="false">SOUDEURS!F7</f>
        <v>99</v>
      </c>
      <c r="F52" s="58" t="n">
        <f aca="false">SOUDEURS!G7</f>
        <v>94</v>
      </c>
      <c r="G52" s="58" t="n">
        <f aca="false">SOUDEURS!H7</f>
        <v>16</v>
      </c>
      <c r="H52" s="59" t="n">
        <f aca="false">SOUDEURS!I7</f>
        <v>0.170212765957447</v>
      </c>
      <c r="I52" s="60" t="str">
        <f aca="false">SOUDEURS!K7</f>
        <v>À surveiller</v>
      </c>
    </row>
    <row r="53" customFormat="false" ht="15" hidden="false" customHeight="false" outlineLevel="0" collapsed="false">
      <c r="B53" s="56" t="str">
        <f aca="false">IF(SOUDEURS!B8="","",SOUDEURS!B8)</f>
        <v>WR-029</v>
      </c>
      <c r="C53" s="57" t="str">
        <f aca="false">IF(SOUDEURS!C8="","",SOUDEURS!C8)</f>
        <v/>
      </c>
      <c r="D53" s="57"/>
      <c r="E53" s="58" t="n">
        <f aca="false">SOUDEURS!F8</f>
        <v>87</v>
      </c>
      <c r="F53" s="58" t="n">
        <f aca="false">SOUDEURS!G8</f>
        <v>87</v>
      </c>
      <c r="G53" s="58" t="n">
        <f aca="false">SOUDEURS!H8</f>
        <v>0</v>
      </c>
      <c r="H53" s="59" t="n">
        <f aca="false">SOUDEURS!I8</f>
        <v>0</v>
      </c>
      <c r="I53" s="60" t="str">
        <f aca="false">SOUDEURS!K8</f>
        <v>Excellent</v>
      </c>
    </row>
    <row r="54" customFormat="false" ht="15" hidden="false" customHeight="false" outlineLevel="0" collapsed="false">
      <c r="B54" s="56" t="str">
        <f aca="false">IF(SOUDEURS!B9="","",SOUDEURS!B9)</f>
        <v>WR-037</v>
      </c>
      <c r="C54" s="57" t="str">
        <f aca="false">IF(SOUDEURS!C9="","",SOUDEURS!C9)</f>
        <v/>
      </c>
      <c r="D54" s="57"/>
      <c r="E54" s="58" t="n">
        <f aca="false">SOUDEURS!F9</f>
        <v>82</v>
      </c>
      <c r="F54" s="58" t="n">
        <f aca="false">SOUDEURS!G9</f>
        <v>82</v>
      </c>
      <c r="G54" s="58" t="n">
        <f aca="false">SOUDEURS!H9</f>
        <v>0</v>
      </c>
      <c r="H54" s="59" t="n">
        <f aca="false">SOUDEURS!I9</f>
        <v>0</v>
      </c>
      <c r="I54" s="60" t="str">
        <f aca="false">SOUDEURS!K9</f>
        <v>Excellent</v>
      </c>
    </row>
    <row r="55" customFormat="false" ht="15" hidden="false" customHeight="false" outlineLevel="0" collapsed="false">
      <c r="B55" s="56" t="str">
        <f aca="false">IF(SOUDEURS!B10="","",SOUDEURS!B10)</f>
        <v>WR-46-44/32-33/43-30/45-36</v>
      </c>
      <c r="C55" s="57" t="str">
        <f aca="false">IF(SOUDEURS!C10="","",SOUDEURS!C10)</f>
        <v/>
      </c>
      <c r="D55" s="57"/>
      <c r="E55" s="58" t="n">
        <f aca="false">SOUDEURS!F10</f>
        <v>72</v>
      </c>
      <c r="F55" s="58" t="n">
        <f aca="false">SOUDEURS!G10</f>
        <v>72</v>
      </c>
      <c r="G55" s="58" t="n">
        <f aca="false">SOUDEURS!H10</f>
        <v>0</v>
      </c>
      <c r="H55" s="59" t="n">
        <f aca="false">SOUDEURS!I10</f>
        <v>0</v>
      </c>
      <c r="I55" s="60" t="str">
        <f aca="false">SOUDEURS!K10</f>
        <v>Excellent</v>
      </c>
    </row>
    <row r="56" customFormat="false" ht="15" hidden="false" customHeight="false" outlineLevel="0" collapsed="false">
      <c r="B56" s="56" t="str">
        <f aca="false">IF(SOUDEURS!B11="","",SOUDEURS!B11)</f>
        <v>WR-040</v>
      </c>
      <c r="C56" s="57" t="str">
        <f aca="false">IF(SOUDEURS!C11="","",SOUDEURS!C11)</f>
        <v/>
      </c>
      <c r="D56" s="57"/>
      <c r="E56" s="58" t="n">
        <f aca="false">SOUDEURS!F11</f>
        <v>67</v>
      </c>
      <c r="F56" s="58" t="n">
        <f aca="false">SOUDEURS!G11</f>
        <v>67</v>
      </c>
      <c r="G56" s="58" t="n">
        <f aca="false">SOUDEURS!H11</f>
        <v>1</v>
      </c>
      <c r="H56" s="59" t="n">
        <f aca="false">SOUDEURS!I11</f>
        <v>0.0149253731343284</v>
      </c>
      <c r="I56" s="60" t="str">
        <f aca="false">SOUDEURS!K11</f>
        <v>Excellent</v>
      </c>
    </row>
    <row r="57" customFormat="false" ht="15" hidden="false" customHeight="false" outlineLevel="0" collapsed="false">
      <c r="B57" s="56" t="str">
        <f aca="false">IF(SOUDEURS!B12="","",SOUDEURS!B12)</f>
        <v>WR-46-44/32-33/45-43</v>
      </c>
      <c r="C57" s="57" t="str">
        <f aca="false">IF(SOUDEURS!C12="","",SOUDEURS!C12)</f>
        <v/>
      </c>
      <c r="D57" s="57"/>
      <c r="E57" s="58" t="n">
        <f aca="false">SOUDEURS!F12</f>
        <v>61</v>
      </c>
      <c r="F57" s="58" t="n">
        <f aca="false">SOUDEURS!G12</f>
        <v>58</v>
      </c>
      <c r="G57" s="58" t="n">
        <f aca="false">SOUDEURS!H12</f>
        <v>5</v>
      </c>
      <c r="H57" s="59" t="n">
        <f aca="false">SOUDEURS!I12</f>
        <v>0.0862068965517241</v>
      </c>
      <c r="I57" s="60" t="str">
        <f aca="false">SOUDEURS!K12</f>
        <v>À surveiller</v>
      </c>
    </row>
    <row r="58" customFormat="false" ht="15" hidden="false" customHeight="false" outlineLevel="0" collapsed="false">
      <c r="B58" s="56" t="str">
        <f aca="false">IF(SOUDEURS!B13="","",SOUDEURS!B13)</f>
        <v>WR-46-44/30-33/47-48/45-36</v>
      </c>
      <c r="C58" s="57" t="str">
        <f aca="false">IF(SOUDEURS!C13="","",SOUDEURS!C13)</f>
        <v/>
      </c>
      <c r="D58" s="57"/>
      <c r="E58" s="58" t="n">
        <f aca="false">SOUDEURS!F13</f>
        <v>61</v>
      </c>
      <c r="F58" s="58" t="n">
        <f aca="false">SOUDEURS!G13</f>
        <v>59</v>
      </c>
      <c r="G58" s="58" t="n">
        <f aca="false">SOUDEURS!H13</f>
        <v>0</v>
      </c>
      <c r="H58" s="59" t="n">
        <f aca="false">SOUDEURS!I13</f>
        <v>0</v>
      </c>
      <c r="I58" s="60" t="str">
        <f aca="false">SOUDEURS!K13</f>
        <v>Excellent</v>
      </c>
    </row>
    <row r="59" customFormat="false" ht="15" hidden="false" customHeight="false" outlineLevel="0" collapsed="false">
      <c r="B59" s="56" t="str">
        <f aca="false">IF(SOUDEURS!B14="","",SOUDEURS!B14)</f>
        <v>WR-038</v>
      </c>
      <c r="C59" s="57" t="str">
        <f aca="false">IF(SOUDEURS!C14="","",SOUDEURS!C14)</f>
        <v/>
      </c>
      <c r="D59" s="57"/>
      <c r="E59" s="58" t="n">
        <f aca="false">SOUDEURS!F14</f>
        <v>53</v>
      </c>
      <c r="F59" s="58" t="n">
        <f aca="false">SOUDEURS!G14</f>
        <v>53</v>
      </c>
      <c r="G59" s="58" t="n">
        <f aca="false">SOUDEURS!H14</f>
        <v>1</v>
      </c>
      <c r="H59" s="59" t="n">
        <f aca="false">SOUDEURS!I14</f>
        <v>0.0188679245283019</v>
      </c>
      <c r="I59" s="60" t="str">
        <f aca="false">SOUDEURS!K14</f>
        <v>Excellent</v>
      </c>
    </row>
    <row r="60" customFormat="false" ht="15" hidden="false" customHeight="false" outlineLevel="0" collapsed="false">
      <c r="B60" s="56" t="str">
        <f aca="false">IF(SOUDEURS!B15="","",SOUDEURS!B15)</f>
        <v>WR-030-036/043-044</v>
      </c>
      <c r="C60" s="57" t="str">
        <f aca="false">IF(SOUDEURS!C15="","",SOUDEURS!C15)</f>
        <v/>
      </c>
      <c r="D60" s="57"/>
      <c r="E60" s="58" t="n">
        <f aca="false">SOUDEURS!F15</f>
        <v>49</v>
      </c>
      <c r="F60" s="58" t="n">
        <f aca="false">SOUDEURS!G15</f>
        <v>49</v>
      </c>
      <c r="G60" s="58" t="n">
        <f aca="false">SOUDEURS!H15</f>
        <v>0</v>
      </c>
      <c r="H60" s="59" t="n">
        <f aca="false">SOUDEURS!I15</f>
        <v>0</v>
      </c>
      <c r="I60" s="60" t="str">
        <f aca="false">SOUDEURS!K15</f>
        <v>Excellent</v>
      </c>
    </row>
    <row r="61" customFormat="false" ht="15" hidden="false" customHeight="false" outlineLevel="0" collapsed="false">
      <c r="B61" s="56" t="str">
        <f aca="false">IF(SOUDEURS!B16="","",SOUDEURS!B16)</f>
        <v>WR-041</v>
      </c>
      <c r="C61" s="57" t="str">
        <f aca="false">IF(SOUDEURS!C16="","",SOUDEURS!C16)</f>
        <v/>
      </c>
      <c r="D61" s="57"/>
      <c r="E61" s="58" t="n">
        <f aca="false">SOUDEURS!F16</f>
        <v>43</v>
      </c>
      <c r="F61" s="58" t="n">
        <f aca="false">SOUDEURS!G16</f>
        <v>43</v>
      </c>
      <c r="G61" s="58" t="n">
        <f aca="false">SOUDEURS!H16</f>
        <v>0</v>
      </c>
      <c r="H61" s="59" t="n">
        <f aca="false">SOUDEURS!I16</f>
        <v>0</v>
      </c>
      <c r="I61" s="60" t="str">
        <f aca="false">SOUDEURS!K16</f>
        <v>Excellent</v>
      </c>
    </row>
    <row r="62" customFormat="false" ht="15" hidden="false" customHeight="false" outlineLevel="0" collapsed="false">
      <c r="B62" s="56" t="str">
        <f aca="false">IF(SOUDEURS!B17="","",SOUDEURS!B17)</f>
        <v>WR-46-51/33-45</v>
      </c>
      <c r="C62" s="57" t="str">
        <f aca="false">IF(SOUDEURS!C17="","",SOUDEURS!C17)</f>
        <v/>
      </c>
      <c r="D62" s="57"/>
      <c r="E62" s="58" t="n">
        <f aca="false">SOUDEURS!F17</f>
        <v>41</v>
      </c>
      <c r="F62" s="58" t="n">
        <f aca="false">SOUDEURS!G17</f>
        <v>5</v>
      </c>
      <c r="G62" s="58" t="n">
        <f aca="false">SOUDEURS!H17</f>
        <v>0</v>
      </c>
      <c r="H62" s="59" t="n">
        <f aca="false">SOUDEURS!I17</f>
        <v>0</v>
      </c>
      <c r="I62" s="60" t="str">
        <f aca="false">SOUDEURS!K17</f>
        <v>Excellent</v>
      </c>
    </row>
    <row r="63" customFormat="false" ht="15" hidden="false" customHeight="false" outlineLevel="0" collapsed="false">
      <c r="B63" s="56" t="str">
        <f aca="false">IF(SOUDEURS!B18="","",SOUDEURS!B18)</f>
        <v>WR-028</v>
      </c>
      <c r="C63" s="57" t="str">
        <f aca="false">IF(SOUDEURS!C18="","",SOUDEURS!C18)</f>
        <v/>
      </c>
      <c r="D63" s="57"/>
      <c r="E63" s="58" t="n">
        <f aca="false">SOUDEURS!F18</f>
        <v>32</v>
      </c>
      <c r="F63" s="58" t="n">
        <f aca="false">SOUDEURS!G18</f>
        <v>32</v>
      </c>
      <c r="G63" s="58" t="n">
        <f aca="false">SOUDEURS!H18</f>
        <v>0</v>
      </c>
      <c r="H63" s="59" t="n">
        <f aca="false">SOUDEURS!I18</f>
        <v>0</v>
      </c>
      <c r="I63" s="60" t="str">
        <f aca="false">SOUDEURS!K18</f>
        <v>Excellent</v>
      </c>
    </row>
    <row r="64" customFormat="false" ht="15" hidden="false" customHeight="false" outlineLevel="0" collapsed="false">
      <c r="B64" s="56" t="str">
        <f aca="false">IF(SOUDEURS!B19="","",SOUDEURS!B19)</f>
        <v>WR-32</v>
      </c>
      <c r="C64" s="57" t="str">
        <f aca="false">IF(SOUDEURS!C19="","",SOUDEURS!C19)</f>
        <v/>
      </c>
      <c r="D64" s="57"/>
      <c r="E64" s="58" t="n">
        <f aca="false">SOUDEURS!F19</f>
        <v>31</v>
      </c>
      <c r="F64" s="58" t="n">
        <f aca="false">SOUDEURS!G19</f>
        <v>16</v>
      </c>
      <c r="G64" s="58" t="n">
        <f aca="false">SOUDEURS!H19</f>
        <v>0</v>
      </c>
      <c r="H64" s="59" t="n">
        <f aca="false">SOUDEURS!I19</f>
        <v>0</v>
      </c>
      <c r="I64" s="60" t="str">
        <f aca="false">SOUDEURS!K19</f>
        <v>Excellent</v>
      </c>
    </row>
    <row r="65" customFormat="false" ht="15" hidden="false" customHeight="false" outlineLevel="0" collapsed="false">
      <c r="B65" s="56" t="str">
        <f aca="false">IF(SOUDEURS!B20="","",SOUDEURS!B20)</f>
        <v>WR-51-52/32-33/50-40</v>
      </c>
      <c r="C65" s="57" t="str">
        <f aca="false">IF(SOUDEURS!C20="","",SOUDEURS!C20)</f>
        <v/>
      </c>
      <c r="D65" s="57"/>
      <c r="E65" s="58" t="n">
        <f aca="false">SOUDEURS!F20</f>
        <v>30</v>
      </c>
      <c r="F65" s="58" t="n">
        <f aca="false">SOUDEURS!G20</f>
        <v>30</v>
      </c>
      <c r="G65" s="58" t="n">
        <f aca="false">SOUDEURS!H20</f>
        <v>6</v>
      </c>
      <c r="H65" s="59" t="n">
        <f aca="false">SOUDEURS!I20</f>
        <v>0.2</v>
      </c>
      <c r="I65" s="60" t="str">
        <f aca="false">SOUDEURS!K20</f>
        <v>À surveiller</v>
      </c>
    </row>
    <row r="66" customFormat="false" ht="15" hidden="false" customHeight="false" outlineLevel="0" collapsed="false">
      <c r="B66" s="56" t="str">
        <f aca="false">IF(SOUDEURS!B21="","",SOUDEURS!B21)</f>
        <v>WR-46-44/36-33/32-52/50-51/43-45</v>
      </c>
      <c r="C66" s="57" t="str">
        <f aca="false">IF(SOUDEURS!C21="","",SOUDEURS!C21)</f>
        <v/>
      </c>
      <c r="D66" s="57"/>
      <c r="E66" s="58" t="n">
        <f aca="false">SOUDEURS!F21</f>
        <v>30</v>
      </c>
      <c r="F66" s="58" t="n">
        <f aca="false">SOUDEURS!G21</f>
        <v>30</v>
      </c>
      <c r="G66" s="58" t="n">
        <f aca="false">SOUDEURS!H21</f>
        <v>2</v>
      </c>
      <c r="H66" s="59" t="n">
        <f aca="false">SOUDEURS!I21</f>
        <v>0.0666666666666667</v>
      </c>
      <c r="I66" s="60" t="str">
        <f aca="false">SOUDEURS!K21</f>
        <v>À surveiller</v>
      </c>
    </row>
    <row r="67" customFormat="false" ht="15" hidden="false" customHeight="false" outlineLevel="0" collapsed="false">
      <c r="B67" s="56" t="str">
        <f aca="false">IF(SOUDEURS!B22="","",SOUDEURS!B22)</f>
        <v>WR-46-44/36-33/45-30</v>
      </c>
      <c r="C67" s="57" t="str">
        <f aca="false">IF(SOUDEURS!C22="","",SOUDEURS!C22)</f>
        <v/>
      </c>
      <c r="D67" s="57"/>
      <c r="E67" s="58" t="n">
        <f aca="false">SOUDEURS!F22</f>
        <v>28</v>
      </c>
      <c r="F67" s="58" t="n">
        <f aca="false">SOUDEURS!G22</f>
        <v>28</v>
      </c>
      <c r="G67" s="58" t="n">
        <f aca="false">SOUDEURS!H22</f>
        <v>0</v>
      </c>
      <c r="H67" s="59" t="n">
        <f aca="false">SOUDEURS!I22</f>
        <v>0</v>
      </c>
      <c r="I67" s="60" t="str">
        <f aca="false">SOUDEURS!K22</f>
        <v>Excellent</v>
      </c>
    </row>
    <row r="68" customFormat="false" ht="15" hidden="false" customHeight="false" outlineLevel="0" collapsed="false">
      <c r="B68" s="56" t="str">
        <f aca="false">IF(SOUDEURS!B23="","",SOUDEURS!B23)</f>
        <v>WR-46-52/30-33/51-45</v>
      </c>
      <c r="C68" s="57" t="str">
        <f aca="false">IF(SOUDEURS!C23="","",SOUDEURS!C23)</f>
        <v/>
      </c>
      <c r="D68" s="57"/>
      <c r="E68" s="58" t="n">
        <f aca="false">SOUDEURS!F23</f>
        <v>27</v>
      </c>
      <c r="F68" s="58" t="n">
        <f aca="false">SOUDEURS!G23</f>
        <v>26</v>
      </c>
      <c r="G68" s="58" t="n">
        <f aca="false">SOUDEURS!H23</f>
        <v>7</v>
      </c>
      <c r="H68" s="59" t="n">
        <f aca="false">SOUDEURS!I23</f>
        <v>0.269230769230769</v>
      </c>
      <c r="I68" s="60" t="str">
        <f aca="false">SOUDEURS!K23</f>
        <v>À surveiller</v>
      </c>
    </row>
    <row r="69" customFormat="false" ht="15" hidden="false" customHeight="false" outlineLevel="0" collapsed="false">
      <c r="B69" s="56" t="str">
        <f aca="false">IF(SOUDEURS!B24="","",SOUDEURS!B24)</f>
        <v>WR-46-44/36-33/45-30/45-42</v>
      </c>
      <c r="C69" s="57" t="str">
        <f aca="false">IF(SOUDEURS!C24="","",SOUDEURS!C24)</f>
        <v/>
      </c>
      <c r="D69" s="57"/>
      <c r="E69" s="58" t="n">
        <f aca="false">SOUDEURS!F24</f>
        <v>24</v>
      </c>
      <c r="F69" s="58" t="n">
        <f aca="false">SOUDEURS!G24</f>
        <v>19</v>
      </c>
      <c r="G69" s="58" t="n">
        <f aca="false">SOUDEURS!H24</f>
        <v>0</v>
      </c>
      <c r="H69" s="59" t="n">
        <f aca="false">SOUDEURS!I24</f>
        <v>0</v>
      </c>
      <c r="I69" s="60" t="str">
        <f aca="false">SOUDEURS!K24</f>
        <v>Excellent</v>
      </c>
    </row>
    <row r="70" customFormat="false" ht="15" hidden="false" customHeight="false" outlineLevel="0" collapsed="false">
      <c r="B70" s="56" t="str">
        <f aca="false">IF(SOUDEURS!B25="","",SOUDEURS!B25)</f>
        <v>WR-46-44/36-33/43-45</v>
      </c>
      <c r="C70" s="57" t="str">
        <f aca="false">IF(SOUDEURS!C25="","",SOUDEURS!C25)</f>
        <v/>
      </c>
      <c r="D70" s="57"/>
      <c r="E70" s="58" t="n">
        <f aca="false">SOUDEURS!F25</f>
        <v>22</v>
      </c>
      <c r="F70" s="58" t="n">
        <f aca="false">SOUDEURS!G25</f>
        <v>22</v>
      </c>
      <c r="G70" s="58" t="n">
        <f aca="false">SOUDEURS!H25</f>
        <v>5</v>
      </c>
      <c r="H70" s="59" t="n">
        <f aca="false">SOUDEURS!I25</f>
        <v>0.227272727272727</v>
      </c>
      <c r="I70" s="60" t="str">
        <f aca="false">SOUDEURS!K25</f>
        <v>À surveiller</v>
      </c>
    </row>
    <row r="71" customFormat="false" ht="15" hidden="false" customHeight="false" outlineLevel="0" collapsed="false">
      <c r="B71" s="56" t="str">
        <f aca="false">IF(SOUDEURS!B26="","",SOUDEURS!B26)</f>
        <v>WR-43-44/45-36</v>
      </c>
      <c r="C71" s="57" t="str">
        <f aca="false">IF(SOUDEURS!C26="","",SOUDEURS!C26)</f>
        <v/>
      </c>
      <c r="D71" s="57"/>
      <c r="E71" s="58" t="n">
        <f aca="false">SOUDEURS!F26</f>
        <v>21</v>
      </c>
      <c r="F71" s="58" t="n">
        <f aca="false">SOUDEURS!G26</f>
        <v>21</v>
      </c>
      <c r="G71" s="58" t="n">
        <f aca="false">SOUDEURS!H26</f>
        <v>0</v>
      </c>
      <c r="H71" s="59" t="n">
        <f aca="false">SOUDEURS!I26</f>
        <v>0</v>
      </c>
      <c r="I71" s="60" t="str">
        <f aca="false">SOUDEURS!K26</f>
        <v>Excellent</v>
      </c>
    </row>
    <row r="72" customFormat="false" ht="15" hidden="false" customHeight="false" outlineLevel="0" collapsed="false">
      <c r="B72" s="56" t="str">
        <f aca="false">IF(SOUDEURS!B27="","",SOUDEURS!B27)</f>
        <v>WR-52</v>
      </c>
      <c r="C72" s="57" t="str">
        <f aca="false">IF(SOUDEURS!C27="","",SOUDEURS!C27)</f>
        <v/>
      </c>
      <c r="D72" s="57"/>
      <c r="E72" s="58" t="n">
        <f aca="false">SOUDEURS!F27</f>
        <v>20</v>
      </c>
      <c r="F72" s="58" t="n">
        <f aca="false">SOUDEURS!G27</f>
        <v>0</v>
      </c>
      <c r="G72" s="58" t="n">
        <f aca="false">SOUDEURS!H27</f>
        <v>0</v>
      </c>
      <c r="H72" s="59" t="n">
        <f aca="false">SOUDEURS!I27</f>
        <v>0</v>
      </c>
      <c r="I72" s="60" t="str">
        <f aca="false">SOUDEURS!K27</f>
        <v>—</v>
      </c>
    </row>
    <row r="73" customFormat="false" ht="15" hidden="false" customHeight="false" outlineLevel="0" collapsed="false">
      <c r="B73" s="56" t="str">
        <f aca="false">IF(SOUDEURS!B28="","",SOUDEURS!B28)</f>
        <v>WR-46-44/36-33/32-30/43-45</v>
      </c>
      <c r="C73" s="57" t="str">
        <f aca="false">IF(SOUDEURS!C28="","",SOUDEURS!C28)</f>
        <v/>
      </c>
      <c r="D73" s="57"/>
      <c r="E73" s="58" t="n">
        <f aca="false">SOUDEURS!F28</f>
        <v>19</v>
      </c>
      <c r="F73" s="58" t="n">
        <f aca="false">SOUDEURS!G28</f>
        <v>19</v>
      </c>
      <c r="G73" s="58" t="n">
        <f aca="false">SOUDEURS!H28</f>
        <v>2</v>
      </c>
      <c r="H73" s="59" t="n">
        <f aca="false">SOUDEURS!I28</f>
        <v>0.105263157894737</v>
      </c>
      <c r="I73" s="60" t="str">
        <f aca="false">SOUDEURS!K28</f>
        <v>À surveiller</v>
      </c>
    </row>
    <row r="74" customFormat="false" ht="15" hidden="false" customHeight="false" outlineLevel="0" collapsed="false">
      <c r="B74" s="56" t="str">
        <f aca="false">IF(SOUDEURS!B29="","",SOUDEURS!B29)</f>
        <v>WR-46-44/43-33/45-32</v>
      </c>
      <c r="C74" s="57" t="str">
        <f aca="false">IF(SOUDEURS!C29="","",SOUDEURS!C29)</f>
        <v/>
      </c>
      <c r="D74" s="57"/>
      <c r="E74" s="58" t="n">
        <f aca="false">SOUDEURS!F29</f>
        <v>19</v>
      </c>
      <c r="F74" s="58" t="n">
        <f aca="false">SOUDEURS!G29</f>
        <v>19</v>
      </c>
      <c r="G74" s="58" t="n">
        <f aca="false">SOUDEURS!H29</f>
        <v>0</v>
      </c>
      <c r="H74" s="59" t="n">
        <f aca="false">SOUDEURS!I29</f>
        <v>0</v>
      </c>
      <c r="I74" s="60" t="str">
        <f aca="false">SOUDEURS!K29</f>
        <v>Excellent</v>
      </c>
    </row>
    <row r="75" customFormat="false" ht="15" hidden="false" customHeight="false" outlineLevel="0" collapsed="false">
      <c r="B75" s="56" t="str">
        <f aca="false">IF(SOUDEURS!B30="","",SOUDEURS!B30)</f>
        <v>WR-33-51/40-45</v>
      </c>
      <c r="C75" s="57" t="str">
        <f aca="false">IF(SOUDEURS!C30="","",SOUDEURS!C30)</f>
        <v/>
      </c>
      <c r="D75" s="57"/>
      <c r="E75" s="58" t="n">
        <f aca="false">SOUDEURS!F30</f>
        <v>18</v>
      </c>
      <c r="F75" s="58" t="n">
        <f aca="false">SOUDEURS!G30</f>
        <v>0</v>
      </c>
      <c r="G75" s="58" t="n">
        <f aca="false">SOUDEURS!H30</f>
        <v>0</v>
      </c>
      <c r="H75" s="59" t="n">
        <f aca="false">SOUDEURS!I30</f>
        <v>0</v>
      </c>
      <c r="I75" s="60" t="str">
        <f aca="false">SOUDEURS!K30</f>
        <v>—</v>
      </c>
    </row>
    <row r="76" customFormat="false" ht="15" hidden="false" customHeight="false" outlineLevel="0" collapsed="false">
      <c r="B76" s="56" t="str">
        <f aca="false">IF(SOUDEURS!B31="","",SOUDEURS!B31)</f>
        <v>WR-43-44/46-33/45-32</v>
      </c>
      <c r="C76" s="57" t="str">
        <f aca="false">IF(SOUDEURS!C31="","",SOUDEURS!C31)</f>
        <v/>
      </c>
      <c r="D76" s="57"/>
      <c r="E76" s="58" t="n">
        <f aca="false">SOUDEURS!F31</f>
        <v>18</v>
      </c>
      <c r="F76" s="58" t="n">
        <f aca="false">SOUDEURS!G31</f>
        <v>18</v>
      </c>
      <c r="G76" s="58" t="n">
        <f aca="false">SOUDEURS!H31</f>
        <v>0</v>
      </c>
      <c r="H76" s="59" t="n">
        <f aca="false">SOUDEURS!I31</f>
        <v>0</v>
      </c>
      <c r="I76" s="60" t="str">
        <f aca="false">SOUDEURS!K31</f>
        <v>Excellent</v>
      </c>
    </row>
    <row r="77" customFormat="false" ht="15" hidden="false" customHeight="false" outlineLevel="0" collapsed="false">
      <c r="B77" s="56" t="str">
        <f aca="false">IF(SOUDEURS!B32="","",SOUDEURS!B32)</f>
        <v>WR-32-44/30-36/43-45</v>
      </c>
      <c r="C77" s="57" t="str">
        <f aca="false">IF(SOUDEURS!C32="","",SOUDEURS!C32)</f>
        <v/>
      </c>
      <c r="D77" s="57"/>
      <c r="E77" s="58" t="n">
        <f aca="false">SOUDEURS!F32</f>
        <v>18</v>
      </c>
      <c r="F77" s="58" t="n">
        <f aca="false">SOUDEURS!G32</f>
        <v>17</v>
      </c>
      <c r="G77" s="58" t="n">
        <f aca="false">SOUDEURS!H32</f>
        <v>3</v>
      </c>
      <c r="H77" s="59" t="n">
        <f aca="false">SOUDEURS!I32</f>
        <v>0.176470588235294</v>
      </c>
      <c r="I77" s="60" t="str">
        <f aca="false">SOUDEURS!K32</f>
        <v>À surveiller</v>
      </c>
    </row>
    <row r="78" customFormat="false" ht="15" hidden="false" customHeight="false" outlineLevel="0" collapsed="false">
      <c r="B78" s="56" t="str">
        <f aca="false">IF(SOUDEURS!B33="","",SOUDEURS!B33)</f>
        <v>WR-33-51/30-45</v>
      </c>
      <c r="C78" s="57" t="str">
        <f aca="false">IF(SOUDEURS!C33="","",SOUDEURS!C33)</f>
        <v/>
      </c>
      <c r="D78" s="57"/>
      <c r="E78" s="58" t="n">
        <f aca="false">SOUDEURS!F33</f>
        <v>17</v>
      </c>
      <c r="F78" s="58" t="n">
        <f aca="false">SOUDEURS!G33</f>
        <v>17</v>
      </c>
      <c r="G78" s="58" t="n">
        <f aca="false">SOUDEURS!H33</f>
        <v>0</v>
      </c>
      <c r="H78" s="59" t="n">
        <f aca="false">SOUDEURS!I33</f>
        <v>0</v>
      </c>
      <c r="I78" s="60" t="str">
        <f aca="false">SOUDEURS!K33</f>
        <v>Excellent</v>
      </c>
    </row>
    <row r="79" customFormat="false" ht="15" hidden="false" customHeight="false" outlineLevel="0" collapsed="false">
      <c r="B79" s="56" t="str">
        <f aca="false">IF(SOUDEURS!B34="","",SOUDEURS!B34)</f>
        <v>WR-46-44/43-33/30-32/45/36</v>
      </c>
      <c r="C79" s="57" t="str">
        <f aca="false">IF(SOUDEURS!C34="","",SOUDEURS!C34)</f>
        <v/>
      </c>
      <c r="D79" s="57"/>
      <c r="E79" s="58" t="n">
        <f aca="false">SOUDEURS!F34</f>
        <v>14</v>
      </c>
      <c r="F79" s="58" t="n">
        <f aca="false">SOUDEURS!G34</f>
        <v>14</v>
      </c>
      <c r="G79" s="58" t="n">
        <f aca="false">SOUDEURS!H34</f>
        <v>0</v>
      </c>
      <c r="H79" s="59" t="n">
        <f aca="false">SOUDEURS!I34</f>
        <v>0</v>
      </c>
      <c r="I79" s="60" t="str">
        <f aca="false">SOUDEURS!K34</f>
        <v>Excellent</v>
      </c>
    </row>
    <row r="80" customFormat="false" ht="15" hidden="false" customHeight="false" outlineLevel="0" collapsed="false">
      <c r="B80" s="56" t="str">
        <f aca="false">IF(SOUDEURS!B35="","",SOUDEURS!B35)</f>
        <v>WR-043-044/030-036</v>
      </c>
      <c r="C80" s="57" t="str">
        <f aca="false">IF(SOUDEURS!C35="","",SOUDEURS!C35)</f>
        <v/>
      </c>
      <c r="D80" s="57"/>
      <c r="E80" s="58" t="n">
        <f aca="false">SOUDEURS!F35</f>
        <v>14</v>
      </c>
      <c r="F80" s="58" t="n">
        <f aca="false">SOUDEURS!G35</f>
        <v>14</v>
      </c>
      <c r="G80" s="58" t="n">
        <f aca="false">SOUDEURS!H35</f>
        <v>0</v>
      </c>
      <c r="H80" s="59" t="n">
        <f aca="false">SOUDEURS!I35</f>
        <v>0</v>
      </c>
      <c r="I80" s="60" t="str">
        <f aca="false">SOUDEURS!K35</f>
        <v>Excellent</v>
      </c>
    </row>
    <row r="81" customFormat="false" ht="15" hidden="false" customHeight="false" outlineLevel="0" collapsed="false">
      <c r="B81" s="56" t="str">
        <f aca="false">IF(SOUDEURS!B36="","",SOUDEURS!B36)</f>
        <v>WR-042</v>
      </c>
      <c r="C81" s="57" t="str">
        <f aca="false">IF(SOUDEURS!C36="","",SOUDEURS!C36)</f>
        <v/>
      </c>
      <c r="D81" s="57"/>
      <c r="E81" s="58" t="n">
        <f aca="false">SOUDEURS!F36</f>
        <v>13</v>
      </c>
      <c r="F81" s="58" t="n">
        <f aca="false">SOUDEURS!G36</f>
        <v>13</v>
      </c>
      <c r="G81" s="58" t="n">
        <f aca="false">SOUDEURS!H36</f>
        <v>1</v>
      </c>
      <c r="H81" s="59" t="n">
        <f aca="false">SOUDEURS!I36</f>
        <v>0.0769230769230769</v>
      </c>
      <c r="I81" s="60" t="str">
        <f aca="false">SOUDEURS!K36</f>
        <v>À surveiller</v>
      </c>
    </row>
    <row r="82" customFormat="false" ht="15" hidden="false" customHeight="false" outlineLevel="0" collapsed="false">
      <c r="B82" s="56" t="str">
        <f aca="false">IF(SOUDEURS!B37="","",SOUDEURS!B37)</f>
        <v>WR-46-52/32-33/51-45</v>
      </c>
      <c r="C82" s="57" t="str">
        <f aca="false">IF(SOUDEURS!C37="","",SOUDEURS!C37)</f>
        <v/>
      </c>
      <c r="D82" s="57"/>
      <c r="E82" s="58" t="n">
        <f aca="false">SOUDEURS!F37</f>
        <v>13</v>
      </c>
      <c r="F82" s="58" t="n">
        <f aca="false">SOUDEURS!G37</f>
        <v>13</v>
      </c>
      <c r="G82" s="58" t="n">
        <f aca="false">SOUDEURS!H37</f>
        <v>4</v>
      </c>
      <c r="H82" s="59" t="n">
        <f aca="false">SOUDEURS!I37</f>
        <v>0.307692307692308</v>
      </c>
      <c r="I82" s="60" t="str">
        <f aca="false">SOUDEURS!K37</f>
        <v>À surveiller</v>
      </c>
    </row>
    <row r="83" customFormat="false" ht="15" hidden="false" customHeight="false" outlineLevel="0" collapsed="false">
      <c r="B83" s="56" t="str">
        <f aca="false">IF(SOUDEURS!B38="","",SOUDEURS!B38)</f>
        <v>WR-030/036</v>
      </c>
      <c r="C83" s="57" t="str">
        <f aca="false">IF(SOUDEURS!C38="","",SOUDEURS!C38)</f>
        <v/>
      </c>
      <c r="D83" s="57"/>
      <c r="E83" s="58" t="n">
        <f aca="false">SOUDEURS!F38</f>
        <v>11</v>
      </c>
      <c r="F83" s="58" t="n">
        <f aca="false">SOUDEURS!G38</f>
        <v>11</v>
      </c>
      <c r="G83" s="58" t="n">
        <f aca="false">SOUDEURS!H38</f>
        <v>0</v>
      </c>
      <c r="H83" s="59" t="n">
        <f aca="false">SOUDEURS!I38</f>
        <v>0</v>
      </c>
      <c r="I83" s="60" t="str">
        <f aca="false">SOUDEURS!K38</f>
        <v>Excellent</v>
      </c>
    </row>
    <row r="84" customFormat="false" ht="15" hidden="false" customHeight="false" outlineLevel="0" collapsed="false">
      <c r="B84" s="56" t="str">
        <f aca="false">IF(SOUDEURS!B39="","",SOUDEURS!B39)</f>
        <v>WR-46-52/33-45</v>
      </c>
      <c r="C84" s="57" t="str">
        <f aca="false">IF(SOUDEURS!C39="","",SOUDEURS!C39)</f>
        <v/>
      </c>
      <c r="D84" s="57"/>
      <c r="E84" s="58" t="n">
        <f aca="false">SOUDEURS!F39</f>
        <v>10</v>
      </c>
      <c r="F84" s="58" t="n">
        <f aca="false">SOUDEURS!G39</f>
        <v>10</v>
      </c>
      <c r="G84" s="58" t="n">
        <f aca="false">SOUDEURS!H39</f>
        <v>0</v>
      </c>
      <c r="H84" s="59" t="n">
        <f aca="false">SOUDEURS!I39</f>
        <v>0</v>
      </c>
      <c r="I84" s="60" t="str">
        <f aca="false">SOUDEURS!K39</f>
        <v>Excellent</v>
      </c>
    </row>
    <row r="85" customFormat="false" ht="15" hidden="false" customHeight="false" outlineLevel="0" collapsed="false">
      <c r="B85" s="56" t="str">
        <f aca="false">IF(SOUDEURS!B40="","",SOUDEURS!B40)</f>
        <v>WR-43-44/46-33/45-36</v>
      </c>
      <c r="C85" s="57" t="str">
        <f aca="false">IF(SOUDEURS!C40="","",SOUDEURS!C40)</f>
        <v/>
      </c>
      <c r="D85" s="57"/>
      <c r="E85" s="58" t="n">
        <f aca="false">SOUDEURS!F40</f>
        <v>10</v>
      </c>
      <c r="F85" s="58" t="n">
        <f aca="false">SOUDEURS!G40</f>
        <v>10</v>
      </c>
      <c r="G85" s="58" t="n">
        <f aca="false">SOUDEURS!H40</f>
        <v>0</v>
      </c>
      <c r="H85" s="59" t="n">
        <f aca="false">SOUDEURS!I40</f>
        <v>0</v>
      </c>
      <c r="I85" s="60" t="str">
        <f aca="false">SOUDEURS!K40</f>
        <v>Excellent</v>
      </c>
    </row>
    <row r="86" customFormat="false" ht="15" hidden="false" customHeight="false" outlineLevel="0" collapsed="false">
      <c r="B86" s="56" t="str">
        <f aca="false">IF(SOUDEURS!B41="","",SOUDEURS!B41)</f>
        <v>WR-51-45/46-33</v>
      </c>
      <c r="C86" s="57" t="str">
        <f aca="false">IF(SOUDEURS!C41="","",SOUDEURS!C41)</f>
        <v/>
      </c>
      <c r="D86" s="57"/>
      <c r="E86" s="58" t="n">
        <f aca="false">SOUDEURS!F41</f>
        <v>6</v>
      </c>
      <c r="F86" s="58" t="n">
        <f aca="false">SOUDEURS!G41</f>
        <v>0</v>
      </c>
      <c r="G86" s="58" t="n">
        <f aca="false">SOUDEURS!H41</f>
        <v>0</v>
      </c>
      <c r="H86" s="59" t="n">
        <f aca="false">SOUDEURS!I41</f>
        <v>0</v>
      </c>
      <c r="I86" s="60" t="str">
        <f aca="false">SOUDEURS!K41</f>
        <v>—</v>
      </c>
    </row>
    <row r="87" customFormat="false" ht="15" hidden="false" customHeight="false" outlineLevel="0" collapsed="false">
      <c r="B87" s="56" t="str">
        <f aca="false">IF(SOUDEURS!B42="","",SOUDEURS!B42)</f>
        <v>WR-46/32</v>
      </c>
      <c r="C87" s="57" t="str">
        <f aca="false">IF(SOUDEURS!C42="","",SOUDEURS!C42)</f>
        <v/>
      </c>
      <c r="D87" s="57"/>
      <c r="E87" s="58" t="n">
        <f aca="false">SOUDEURS!F42</f>
        <v>6</v>
      </c>
      <c r="F87" s="58" t="n">
        <f aca="false">SOUDEURS!G42</f>
        <v>5</v>
      </c>
      <c r="G87" s="58" t="n">
        <f aca="false">SOUDEURS!H42</f>
        <v>1</v>
      </c>
      <c r="H87" s="59" t="n">
        <f aca="false">SOUDEURS!I42</f>
        <v>0.2</v>
      </c>
      <c r="I87" s="60" t="str">
        <f aca="false">SOUDEURS!K42</f>
        <v>À surveiller</v>
      </c>
    </row>
    <row r="88" customFormat="false" ht="15" hidden="false" customHeight="false" outlineLevel="0" collapsed="false">
      <c r="B88" s="56" t="str">
        <f aca="false">IF(SOUDEURS!B43="","",SOUDEURS!B43)</f>
        <v>WR-51-46</v>
      </c>
      <c r="C88" s="57" t="str">
        <f aca="false">IF(SOUDEURS!C43="","",SOUDEURS!C43)</f>
        <v/>
      </c>
      <c r="D88" s="57"/>
      <c r="E88" s="58" t="n">
        <f aca="false">SOUDEURS!F43</f>
        <v>5</v>
      </c>
      <c r="F88" s="58" t="n">
        <f aca="false">SOUDEURS!G43</f>
        <v>0</v>
      </c>
      <c r="G88" s="58" t="n">
        <f aca="false">SOUDEURS!H43</f>
        <v>0</v>
      </c>
      <c r="H88" s="59" t="n">
        <f aca="false">SOUDEURS!I43</f>
        <v>0</v>
      </c>
      <c r="I88" s="60" t="str">
        <f aca="false">SOUDEURS!K43</f>
        <v>—</v>
      </c>
    </row>
    <row r="89" customFormat="false" ht="15" hidden="false" customHeight="false" outlineLevel="0" collapsed="false">
      <c r="B89" s="56" t="str">
        <f aca="false">IF(SOUDEURS!B44="","",SOUDEURS!B44)</f>
        <v>WR-46-44/43-33</v>
      </c>
      <c r="C89" s="57" t="str">
        <f aca="false">IF(SOUDEURS!C44="","",SOUDEURS!C44)</f>
        <v/>
      </c>
      <c r="D89" s="57"/>
      <c r="E89" s="58" t="n">
        <f aca="false">SOUDEURS!F44</f>
        <v>5</v>
      </c>
      <c r="F89" s="58" t="n">
        <f aca="false">SOUDEURS!G44</f>
        <v>5</v>
      </c>
      <c r="G89" s="58" t="n">
        <f aca="false">SOUDEURS!H44</f>
        <v>0</v>
      </c>
      <c r="H89" s="59" t="n">
        <f aca="false">SOUDEURS!I44</f>
        <v>0</v>
      </c>
      <c r="I89" s="60" t="str">
        <f aca="false">SOUDEURS!K44</f>
        <v>Excellent</v>
      </c>
    </row>
    <row r="90" customFormat="false" ht="15" hidden="false" customHeight="false" outlineLevel="0" collapsed="false">
      <c r="B90" s="56" t="str">
        <f aca="false">IF(SOUDEURS!B45="","",SOUDEURS!B45)</f>
        <v>WR-43-44</v>
      </c>
      <c r="C90" s="57" t="str">
        <f aca="false">IF(SOUDEURS!C45="","",SOUDEURS!C45)</f>
        <v/>
      </c>
      <c r="D90" s="57"/>
      <c r="E90" s="58" t="n">
        <f aca="false">SOUDEURS!F45</f>
        <v>4</v>
      </c>
      <c r="F90" s="58" t="n">
        <f aca="false">SOUDEURS!G45</f>
        <v>4</v>
      </c>
      <c r="G90" s="58" t="n">
        <f aca="false">SOUDEURS!H45</f>
        <v>0</v>
      </c>
      <c r="H90" s="59" t="n">
        <f aca="false">SOUDEURS!I45</f>
        <v>0</v>
      </c>
      <c r="I90" s="60" t="str">
        <f aca="false">SOUDEURS!K45</f>
        <v>Excellent</v>
      </c>
    </row>
    <row r="91" customFormat="false" ht="15" hidden="false" customHeight="false" outlineLevel="0" collapsed="false">
      <c r="B91" s="56" t="str">
        <f aca="false">IF(SOUDEURS!B46="","",SOUDEURS!B46)</f>
        <v>WR-51-52/33-45</v>
      </c>
      <c r="C91" s="57" t="str">
        <f aca="false">IF(SOUDEURS!C46="","",SOUDEURS!C46)</f>
        <v/>
      </c>
      <c r="D91" s="57"/>
      <c r="E91" s="58" t="n">
        <f aca="false">SOUDEURS!F46</f>
        <v>3</v>
      </c>
      <c r="F91" s="58" t="n">
        <f aca="false">SOUDEURS!G46</f>
        <v>3</v>
      </c>
      <c r="G91" s="58" t="n">
        <f aca="false">SOUDEURS!H46</f>
        <v>1</v>
      </c>
      <c r="H91" s="59" t="n">
        <f aca="false">SOUDEURS!I46</f>
        <v>0.333333333333333</v>
      </c>
      <c r="I91" s="60" t="str">
        <f aca="false">SOUDEURS!K46</f>
        <v>À surveiller</v>
      </c>
    </row>
    <row r="92" customFormat="false" ht="15" hidden="false" customHeight="false" outlineLevel="0" collapsed="false">
      <c r="B92" s="56" t="str">
        <f aca="false">IF(SOUDEURS!B47="","",SOUDEURS!B47)</f>
        <v>WR-043-044</v>
      </c>
      <c r="C92" s="57" t="str">
        <f aca="false">IF(SOUDEURS!C47="","",SOUDEURS!C47)</f>
        <v/>
      </c>
      <c r="D92" s="57"/>
      <c r="E92" s="58" t="n">
        <f aca="false">SOUDEURS!F47</f>
        <v>3</v>
      </c>
      <c r="F92" s="58" t="n">
        <f aca="false">SOUDEURS!G47</f>
        <v>3</v>
      </c>
      <c r="G92" s="58" t="n">
        <f aca="false">SOUDEURS!H47</f>
        <v>0</v>
      </c>
      <c r="H92" s="59" t="n">
        <f aca="false">SOUDEURS!I47</f>
        <v>0</v>
      </c>
      <c r="I92" s="60" t="str">
        <f aca="false">SOUDEURS!K47</f>
        <v>Excellent</v>
      </c>
    </row>
    <row r="93" customFormat="false" ht="15" hidden="false" customHeight="false" outlineLevel="0" collapsed="false">
      <c r="B93" s="56" t="str">
        <f aca="false">IF(SOUDEURS!B48="","",SOUDEURS!B48)</f>
        <v>WR-45-46/33-52</v>
      </c>
      <c r="C93" s="57" t="str">
        <f aca="false">IF(SOUDEURS!C48="","",SOUDEURS!C48)</f>
        <v/>
      </c>
      <c r="D93" s="57"/>
      <c r="E93" s="58" t="n">
        <f aca="false">SOUDEURS!F48</f>
        <v>2</v>
      </c>
      <c r="F93" s="58" t="n">
        <f aca="false">SOUDEURS!G48</f>
        <v>2</v>
      </c>
      <c r="G93" s="58" t="n">
        <f aca="false">SOUDEURS!H48</f>
        <v>0</v>
      </c>
      <c r="H93" s="59" t="n">
        <f aca="false">SOUDEURS!I48</f>
        <v>0</v>
      </c>
      <c r="I93" s="60" t="str">
        <f aca="false">SOUDEURS!K48</f>
        <v>Excellent</v>
      </c>
    </row>
    <row r="94" customFormat="false" ht="15" hidden="false" customHeight="false" outlineLevel="0" collapsed="false">
      <c r="B94" s="56" t="str">
        <f aca="false">IF(SOUDEURS!B49="","",SOUDEURS!B49)</f>
        <v>WR-43-44/46-33</v>
      </c>
      <c r="C94" s="57" t="str">
        <f aca="false">IF(SOUDEURS!C49="","",SOUDEURS!C49)</f>
        <v/>
      </c>
      <c r="D94" s="57"/>
      <c r="E94" s="58" t="n">
        <f aca="false">SOUDEURS!F49</f>
        <v>2</v>
      </c>
      <c r="F94" s="58" t="n">
        <f aca="false">SOUDEURS!G49</f>
        <v>2</v>
      </c>
      <c r="G94" s="58" t="n">
        <f aca="false">SOUDEURS!H49</f>
        <v>0</v>
      </c>
      <c r="H94" s="59" t="n">
        <f aca="false">SOUDEURS!I49</f>
        <v>0</v>
      </c>
      <c r="I94" s="60" t="str">
        <f aca="false">SOUDEURS!K49</f>
        <v>Excellent</v>
      </c>
    </row>
    <row r="95" customFormat="false" ht="15" hidden="false" customHeight="false" outlineLevel="0" collapsed="false">
      <c r="B95" s="56" t="str">
        <f aca="false">IF(SOUDEURS!B50="","",SOUDEURS!B50)</f>
        <v>WR-46-44</v>
      </c>
      <c r="C95" s="57" t="str">
        <f aca="false">IF(SOUDEURS!C50="","",SOUDEURS!C50)</f>
        <v/>
      </c>
      <c r="D95" s="57"/>
      <c r="E95" s="58" t="n">
        <f aca="false">SOUDEURS!F50</f>
        <v>1</v>
      </c>
      <c r="F95" s="58" t="n">
        <f aca="false">SOUDEURS!G50</f>
        <v>1</v>
      </c>
      <c r="G95" s="58" t="n">
        <f aca="false">SOUDEURS!H50</f>
        <v>0</v>
      </c>
      <c r="H95" s="59" t="n">
        <f aca="false">SOUDEURS!I50</f>
        <v>0</v>
      </c>
      <c r="I95" s="60" t="str">
        <f aca="false">SOUDEURS!K50</f>
        <v>Excellent</v>
      </c>
    </row>
    <row r="96" customFormat="false" ht="15" hidden="false" customHeight="false" outlineLevel="0" collapsed="false">
      <c r="B96" s="56" t="str">
        <f aca="false">IF(SOUDEURS!B51="","",SOUDEURS!B51)</f>
        <v>WR-32-44/30-36</v>
      </c>
      <c r="C96" s="57" t="str">
        <f aca="false">IF(SOUDEURS!C51="","",SOUDEURS!C51)</f>
        <v/>
      </c>
      <c r="D96" s="57"/>
      <c r="E96" s="58" t="n">
        <f aca="false">SOUDEURS!F51</f>
        <v>1</v>
      </c>
      <c r="F96" s="58" t="n">
        <f aca="false">SOUDEURS!G51</f>
        <v>1</v>
      </c>
      <c r="G96" s="58" t="n">
        <f aca="false">SOUDEURS!H51</f>
        <v>0</v>
      </c>
      <c r="H96" s="59" t="n">
        <f aca="false">SOUDEURS!I51</f>
        <v>0</v>
      </c>
      <c r="I96" s="60" t="str">
        <f aca="false">SOUDEURS!K51</f>
        <v>Excellent</v>
      </c>
    </row>
    <row r="97" customFormat="false" ht="15" hidden="false" customHeight="false" outlineLevel="0" collapsed="false">
      <c r="B97" s="56" t="str">
        <f aca="false">IF(SOUDEURS!B52="","",SOUDEURS!B52)</f>
        <v>WR-032/052</v>
      </c>
      <c r="C97" s="57" t="str">
        <f aca="false">IF(SOUDEURS!C52="","",SOUDEURS!C52)</f>
        <v/>
      </c>
      <c r="D97" s="57"/>
      <c r="E97" s="58" t="n">
        <f aca="false">SOUDEURS!F52</f>
        <v>1</v>
      </c>
      <c r="F97" s="58" t="n">
        <f aca="false">SOUDEURS!G52</f>
        <v>0</v>
      </c>
      <c r="G97" s="58" t="n">
        <f aca="false">SOUDEURS!H52</f>
        <v>0</v>
      </c>
      <c r="H97" s="59" t="n">
        <f aca="false">SOUDEURS!I52</f>
        <v>0</v>
      </c>
      <c r="I97" s="60" t="str">
        <f aca="false">SOUDEURS!K52</f>
        <v>—</v>
      </c>
    </row>
    <row r="98" customFormat="false" ht="15" hidden="false" customHeight="false" outlineLevel="0" collapsed="false">
      <c r="B98" s="56" t="str">
        <f aca="false">IF(SOUDEURS!B53="","",SOUDEURS!B53)</f>
        <v/>
      </c>
      <c r="C98" s="57" t="str">
        <f aca="false">IF(SOUDEURS!C53="","",SOUDEURS!C53)</f>
        <v/>
      </c>
      <c r="D98" s="57"/>
      <c r="E98" s="58" t="str">
        <f aca="false">SOUDEURS!F53</f>
        <v/>
      </c>
      <c r="F98" s="58" t="str">
        <f aca="false">SOUDEURS!G53</f>
        <v/>
      </c>
      <c r="G98" s="58" t="str">
        <f aca="false">SOUDEURS!H53</f>
        <v/>
      </c>
      <c r="H98" s="59" t="str">
        <f aca="false">SOUDEURS!I53</f>
        <v/>
      </c>
      <c r="I98" s="60" t="str">
        <f aca="false">SOUDEURS!K53</f>
        <v/>
      </c>
    </row>
    <row r="99" customFormat="false" ht="15" hidden="false" customHeight="false" outlineLevel="0" collapsed="false">
      <c r="B99" s="56" t="str">
        <f aca="false">IF(SOUDEURS!B54="","",SOUDEURS!B54)</f>
        <v/>
      </c>
      <c r="C99" s="57" t="str">
        <f aca="false">IF(SOUDEURS!C54="","",SOUDEURS!C54)</f>
        <v/>
      </c>
      <c r="D99" s="57"/>
      <c r="E99" s="58" t="str">
        <f aca="false">SOUDEURS!F54</f>
        <v/>
      </c>
      <c r="F99" s="58" t="str">
        <f aca="false">SOUDEURS!G54</f>
        <v/>
      </c>
      <c r="G99" s="58" t="str">
        <f aca="false">SOUDEURS!H54</f>
        <v/>
      </c>
      <c r="H99" s="59" t="str">
        <f aca="false">SOUDEURS!I54</f>
        <v/>
      </c>
      <c r="I99" s="60" t="str">
        <f aca="false">SOUDEURS!K54</f>
        <v/>
      </c>
    </row>
    <row r="100" customFormat="false" ht="15" hidden="false" customHeight="false" outlineLevel="0" collapsed="false">
      <c r="B100" s="56" t="str">
        <f aca="false">IF(SOUDEURS!B55="","",SOUDEURS!B55)</f>
        <v/>
      </c>
      <c r="C100" s="57" t="str">
        <f aca="false">IF(SOUDEURS!C55="","",SOUDEURS!C55)</f>
        <v/>
      </c>
      <c r="D100" s="57"/>
      <c r="E100" s="58" t="str">
        <f aca="false">SOUDEURS!F55</f>
        <v/>
      </c>
      <c r="F100" s="58" t="str">
        <f aca="false">SOUDEURS!G55</f>
        <v/>
      </c>
      <c r="G100" s="58" t="str">
        <f aca="false">SOUDEURS!H55</f>
        <v/>
      </c>
      <c r="H100" s="59" t="str">
        <f aca="false">SOUDEURS!I55</f>
        <v/>
      </c>
      <c r="I100" s="60" t="str">
        <f aca="false">SOUDEURS!K55</f>
        <v/>
      </c>
    </row>
    <row r="101" customFormat="false" ht="15" hidden="false" customHeight="false" outlineLevel="0" collapsed="false">
      <c r="B101" s="56" t="str">
        <f aca="false">IF(SOUDEURS!B56="","",SOUDEURS!B56)</f>
        <v/>
      </c>
      <c r="C101" s="57" t="str">
        <f aca="false">IF(SOUDEURS!C56="","",SOUDEURS!C56)</f>
        <v/>
      </c>
      <c r="D101" s="57"/>
      <c r="E101" s="58" t="str">
        <f aca="false">SOUDEURS!F56</f>
        <v/>
      </c>
      <c r="F101" s="58" t="str">
        <f aca="false">SOUDEURS!G56</f>
        <v/>
      </c>
      <c r="G101" s="58" t="str">
        <f aca="false">SOUDEURS!H56</f>
        <v/>
      </c>
      <c r="H101" s="59" t="str">
        <f aca="false">SOUDEURS!I56</f>
        <v/>
      </c>
      <c r="I101" s="60" t="str">
        <f aca="false">SOUDEURS!K56</f>
        <v/>
      </c>
    </row>
    <row r="102" customFormat="false" ht="15" hidden="false" customHeight="false" outlineLevel="0" collapsed="false">
      <c r="B102" s="56" t="str">
        <f aca="false">IF(SOUDEURS!B57="","",SOUDEURS!B57)</f>
        <v/>
      </c>
      <c r="C102" s="57" t="str">
        <f aca="false">IF(SOUDEURS!C57="","",SOUDEURS!C57)</f>
        <v/>
      </c>
      <c r="D102" s="57"/>
      <c r="E102" s="58" t="str">
        <f aca="false">SOUDEURS!F57</f>
        <v/>
      </c>
      <c r="F102" s="58" t="str">
        <f aca="false">SOUDEURS!G57</f>
        <v/>
      </c>
      <c r="G102" s="58" t="str">
        <f aca="false">SOUDEURS!H57</f>
        <v/>
      </c>
      <c r="H102" s="59" t="str">
        <f aca="false">SOUDEURS!I57</f>
        <v/>
      </c>
      <c r="I102" s="60" t="str">
        <f aca="false">SOUDEURS!K57</f>
        <v/>
      </c>
    </row>
    <row r="103" customFormat="false" ht="15" hidden="false" customHeight="false" outlineLevel="0" collapsed="false">
      <c r="B103" s="56" t="str">
        <f aca="false">IF(SOUDEURS!B58="","",SOUDEURS!B58)</f>
        <v/>
      </c>
      <c r="C103" s="57" t="str">
        <f aca="false">IF(SOUDEURS!C58="","",SOUDEURS!C58)</f>
        <v/>
      </c>
      <c r="D103" s="57"/>
      <c r="E103" s="58" t="str">
        <f aca="false">SOUDEURS!F58</f>
        <v/>
      </c>
      <c r="F103" s="58" t="str">
        <f aca="false">SOUDEURS!G58</f>
        <v/>
      </c>
      <c r="G103" s="58" t="str">
        <f aca="false">SOUDEURS!H58</f>
        <v/>
      </c>
      <c r="H103" s="59" t="str">
        <f aca="false">SOUDEURS!I58</f>
        <v/>
      </c>
      <c r="I103" s="60" t="str">
        <f aca="false">SOUDEURS!K58</f>
        <v/>
      </c>
    </row>
    <row r="104" customFormat="false" ht="15" hidden="false" customHeight="false" outlineLevel="0" collapsed="false">
      <c r="B104" s="56" t="str">
        <f aca="false">IF(SOUDEURS!B59="","",SOUDEURS!B59)</f>
        <v/>
      </c>
      <c r="C104" s="57" t="str">
        <f aca="false">IF(SOUDEURS!C59="","",SOUDEURS!C59)</f>
        <v/>
      </c>
      <c r="D104" s="57"/>
      <c r="E104" s="58" t="str">
        <f aca="false">SOUDEURS!F59</f>
        <v/>
      </c>
      <c r="F104" s="58" t="str">
        <f aca="false">SOUDEURS!G59</f>
        <v/>
      </c>
      <c r="G104" s="58" t="str">
        <f aca="false">SOUDEURS!H59</f>
        <v/>
      </c>
      <c r="H104" s="59" t="str">
        <f aca="false">SOUDEURS!I59</f>
        <v/>
      </c>
      <c r="I104" s="60" t="str">
        <f aca="false">SOUDEURS!K59</f>
        <v/>
      </c>
    </row>
    <row r="105" customFormat="false" ht="15" hidden="false" customHeight="false" outlineLevel="0" collapsed="false">
      <c r="B105" s="56" t="str">
        <f aca="false">IF(SOUDEURS!B60="","",SOUDEURS!B60)</f>
        <v/>
      </c>
      <c r="C105" s="57" t="str">
        <f aca="false">IF(SOUDEURS!C60="","",SOUDEURS!C60)</f>
        <v/>
      </c>
      <c r="D105" s="57"/>
      <c r="E105" s="58" t="str">
        <f aca="false">SOUDEURS!F60</f>
        <v/>
      </c>
      <c r="F105" s="58" t="str">
        <f aca="false">SOUDEURS!G60</f>
        <v/>
      </c>
      <c r="G105" s="58" t="str">
        <f aca="false">SOUDEURS!H60</f>
        <v/>
      </c>
      <c r="H105" s="59" t="str">
        <f aca="false">SOUDEURS!I60</f>
        <v/>
      </c>
      <c r="I105" s="60" t="str">
        <f aca="false">SOUDEURS!K60</f>
        <v/>
      </c>
    </row>
    <row r="106" customFormat="false" ht="15" hidden="false" customHeight="false" outlineLevel="0" collapsed="false">
      <c r="B106" s="56" t="str">
        <f aca="false">IF(SOUDEURS!B61="","",SOUDEURS!B61)</f>
        <v/>
      </c>
      <c r="C106" s="57" t="str">
        <f aca="false">IF(SOUDEURS!C61="","",SOUDEURS!C61)</f>
        <v/>
      </c>
      <c r="D106" s="57"/>
      <c r="E106" s="58" t="str">
        <f aca="false">SOUDEURS!F61</f>
        <v/>
      </c>
      <c r="F106" s="58" t="str">
        <f aca="false">SOUDEURS!G61</f>
        <v/>
      </c>
      <c r="G106" s="58" t="str">
        <f aca="false">SOUDEURS!H61</f>
        <v/>
      </c>
      <c r="H106" s="59" t="str">
        <f aca="false">SOUDEURS!I61</f>
        <v/>
      </c>
      <c r="I106" s="60" t="str">
        <f aca="false">SOUDEURS!K61</f>
        <v/>
      </c>
    </row>
    <row r="107" customFormat="false" ht="15" hidden="false" customHeight="false" outlineLevel="0" collapsed="false">
      <c r="B107" s="56" t="str">
        <f aca="false">IF(SOUDEURS!B62="","",SOUDEURS!B62)</f>
        <v/>
      </c>
      <c r="C107" s="57" t="str">
        <f aca="false">IF(SOUDEURS!C62="","",SOUDEURS!C62)</f>
        <v/>
      </c>
      <c r="D107" s="57"/>
      <c r="E107" s="58" t="str">
        <f aca="false">SOUDEURS!F62</f>
        <v/>
      </c>
      <c r="F107" s="58" t="str">
        <f aca="false">SOUDEURS!G62</f>
        <v/>
      </c>
      <c r="G107" s="58" t="str">
        <f aca="false">SOUDEURS!H62</f>
        <v/>
      </c>
      <c r="H107" s="59" t="str">
        <f aca="false">SOUDEURS!I62</f>
        <v/>
      </c>
      <c r="I107" s="60" t="str">
        <f aca="false">SOUDEURS!K62</f>
        <v/>
      </c>
    </row>
  </sheetData>
  <mergeCells count="104">
    <mergeCell ref="B2:M2"/>
    <mergeCell ref="B3:M3"/>
    <mergeCell ref="C5:D5"/>
    <mergeCell ref="E5:J5"/>
    <mergeCell ref="B7:C7"/>
    <mergeCell ref="D7:E7"/>
    <mergeCell ref="F7:G7"/>
    <mergeCell ref="H7:I7"/>
    <mergeCell ref="J7:K7"/>
    <mergeCell ref="L7:M7"/>
    <mergeCell ref="B8:C9"/>
    <mergeCell ref="D8:E9"/>
    <mergeCell ref="F8:G9"/>
    <mergeCell ref="H8:I9"/>
    <mergeCell ref="J8:K9"/>
    <mergeCell ref="L8:M9"/>
    <mergeCell ref="B10:C10"/>
    <mergeCell ref="D10:E10"/>
    <mergeCell ref="F10:G10"/>
    <mergeCell ref="H10:I10"/>
    <mergeCell ref="J10:K10"/>
    <mergeCell ref="L10:M10"/>
    <mergeCell ref="B12:C12"/>
    <mergeCell ref="D12:E12"/>
    <mergeCell ref="F12:G12"/>
    <mergeCell ref="H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6:M16"/>
    <mergeCell ref="J22:K22"/>
    <mergeCell ref="J23:K23"/>
    <mergeCell ref="J24:K24"/>
    <mergeCell ref="J25:K25"/>
    <mergeCell ref="J26:K26"/>
    <mergeCell ref="J27:K27"/>
    <mergeCell ref="J28:K28"/>
    <mergeCell ref="J29:K29"/>
    <mergeCell ref="J30:K30"/>
    <mergeCell ref="J31:K31"/>
    <mergeCell ref="B49:M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  <mergeCell ref="C77:D77"/>
    <mergeCell ref="C78:D78"/>
    <mergeCell ref="C79:D79"/>
    <mergeCell ref="C80:D80"/>
    <mergeCell ref="C81:D81"/>
    <mergeCell ref="C82:D82"/>
    <mergeCell ref="C83:D83"/>
    <mergeCell ref="C84:D84"/>
    <mergeCell ref="C85:D85"/>
    <mergeCell ref="C86:D86"/>
    <mergeCell ref="C87:D87"/>
    <mergeCell ref="C88:D88"/>
    <mergeCell ref="C89:D89"/>
    <mergeCell ref="C90:D90"/>
    <mergeCell ref="C91:D91"/>
    <mergeCell ref="C92:D92"/>
    <mergeCell ref="C93:D93"/>
    <mergeCell ref="C94:D94"/>
    <mergeCell ref="C95:D95"/>
    <mergeCell ref="C96:D96"/>
    <mergeCell ref="C97:D97"/>
    <mergeCell ref="C98:D98"/>
    <mergeCell ref="C99:D99"/>
    <mergeCell ref="C100:D100"/>
    <mergeCell ref="C101:D101"/>
    <mergeCell ref="C102:D102"/>
    <mergeCell ref="C103:D103"/>
    <mergeCell ref="C104:D104"/>
    <mergeCell ref="C105:D105"/>
    <mergeCell ref="C106:D106"/>
    <mergeCell ref="C107:D107"/>
  </mergeCells>
  <conditionalFormatting sqref="F18:F19">
    <cfRule type="dataBar" priority="2">
      <dataBar showValue="1" minLength="10" maxLength="90">
        <cfvo type="num" val="0"/>
        <cfvo type="num" val="1"/>
        <color rgb="FF63BE7B"/>
      </dataBar>
      <extLst>
        <ext xmlns:x14="http://schemas.microsoft.com/office/spreadsheetml/2009/9/main" uri="{B025F937-C7B1-47D3-B67F-A62EFF666E3E}">
          <x14:id>{62F386C9-78CE-4346-BD30-53DD6470AC8D}</x14:id>
        </ext>
      </extLst>
    </cfRule>
  </conditionalFormatting>
  <conditionalFormatting sqref="H18:H19">
    <cfRule type="dataBar" priority="3">
      <dataBar showValue="1" minLength="10" maxLength="90">
        <cfvo type="num" val="0"/>
        <cfvo type="num" val="1"/>
        <color rgb="FF63BE7B"/>
      </dataBar>
      <extLst>
        <ext xmlns:x14="http://schemas.microsoft.com/office/spreadsheetml/2009/9/main" uri="{B025F937-C7B1-47D3-B67F-A62EFF666E3E}">
          <x14:id>{CA271F8A-82FD-40C5-94B6-C475D4882B38}</x14:id>
        </ext>
      </extLst>
    </cfRule>
  </conditionalFormatting>
  <conditionalFormatting sqref="J18:J19">
    <cfRule type="dataBar" priority="4">
      <dataBar showValue="1" minLength="10" maxLength="90">
        <cfvo type="num" val="0"/>
        <cfvo type="num" val="1"/>
        <color rgb="FF63BE7B"/>
      </dataBar>
      <extLst>
        <ext xmlns:x14="http://schemas.microsoft.com/office/spreadsheetml/2009/9/main" uri="{B025F937-C7B1-47D3-B67F-A62EFF666E3E}">
          <x14:id>{429F2841-A0A2-467A-9998-E941E0E14AAB}</x14:id>
        </ext>
      </extLst>
    </cfRule>
  </conditionalFormatting>
  <conditionalFormatting sqref="L18:L19">
    <cfRule type="cellIs" priority="5" operator="greaterThan" aboveAverage="0" equalAverage="0" bottom="0" percent="0" rank="0" text="" dxfId="0">
      <formula>0.05</formula>
    </cfRule>
  </conditionalFormatting>
  <conditionalFormatting sqref="K18:K19">
    <cfRule type="cellIs" priority="6" operator="greaterThan" aboveAverage="0" equalAverage="0" bottom="0" percent="0" rank="0" text="" dxfId="0">
      <formula>0</formula>
    </cfRule>
  </conditionalFormatting>
  <conditionalFormatting sqref="H51:H107">
    <cfRule type="dataBar" priority="7">
      <dataBar showValue="1" minLength="10" maxLength="90">
        <cfvo type="num" val="0"/>
        <cfvo type="num" val="0.2"/>
        <color rgb="FFF4B183"/>
      </dataBar>
      <extLst>
        <ext xmlns:x14="http://schemas.microsoft.com/office/spreadsheetml/2009/9/main" uri="{B025F937-C7B1-47D3-B67F-A62EFF666E3E}">
          <x14:id>{DCDBFE21-6CF3-4476-98D9-C285129CEF8B}</x14:id>
        </ext>
      </extLst>
    </cfRule>
  </conditionalFormatting>
  <conditionalFormatting sqref="I51:I107">
    <cfRule type="cellIs" priority="8" operator="equal" aboveAverage="0" equalAverage="0" bottom="0" percent="0" rank="0" text="" dxfId="1">
      <formula>"Excellent"</formula>
    </cfRule>
    <cfRule type="cellIs" priority="9" operator="equal" aboveAverage="0" equalAverage="0" bottom="0" percent="0" rank="0" text="" dxfId="0">
      <formula>"À surveiller"</formula>
    </cfRule>
  </conditionalFormatting>
  <dataValidations count="1">
    <dataValidation allowBlank="true" error="Choisir une ligne ou TOUTES" errorStyle="stop" errorTitle="Valeur non valide" operator="between" prompt="Choisir une ligne ou TOUTES" showDropDown="false" showErrorMessage="true" showInputMessage="true" sqref="C5" type="list">
      <formula1>PARAMÈTRES!$B$32:$B$40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2F386C9-78CE-4346-BD30-53DD6470AC8D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63BE7B"/>
              <x14:axisColor rgb="FF000000"/>
            </x14:dataBar>
          </x14:cfRule>
          <xm:sqref>F18:F19</xm:sqref>
        </x14:conditionalFormatting>
        <x14:conditionalFormatting xmlns:xm="http://schemas.microsoft.com/office/excel/2006/main">
          <x14:cfRule type="dataBar" id="{CA271F8A-82FD-40C5-94B6-C475D4882B38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63BE7B"/>
              <x14:axisColor rgb="FF000000"/>
            </x14:dataBar>
          </x14:cfRule>
          <xm:sqref>H18:H19</xm:sqref>
        </x14:conditionalFormatting>
        <x14:conditionalFormatting xmlns:xm="http://schemas.microsoft.com/office/excel/2006/main">
          <x14:cfRule type="dataBar" id="{429F2841-A0A2-467A-9998-E941E0E14AAB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63BE7B"/>
              <x14:axisColor rgb="FF000000"/>
            </x14:dataBar>
          </x14:cfRule>
          <xm:sqref>J18:J19</xm:sqref>
        </x14:conditionalFormatting>
        <x14:conditionalFormatting xmlns:xm="http://schemas.microsoft.com/office/excel/2006/main">
          <x14:cfRule type="dataBar" id="{DCDBFE21-6CF3-4476-98D9-C285129CEF8B}">
            <x14:dataBar minLength="10" maxLength="90" axisPosition="none" gradient="true">
              <x14:cfvo type="num">
                <xm:f>0</xm:f>
              </x14:cfvo>
              <x14:cfvo type="num">
                <xm:f>0.2</xm:f>
              </x14:cfvo>
              <x14:negativeFillColor rgb="FFF4B183"/>
              <x14:axisColor rgb="FF000000"/>
            </x14:dataBar>
          </x14:cfRule>
          <xm:sqref>H51:H107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true"/>
  </sheetPr>
  <dimension ref="A1:AW30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6" topLeftCell="F7" activePane="bottomRight" state="frozen"/>
      <selection pane="topLeft" activeCell="A1" activeCellId="0" sqref="A1"/>
      <selection pane="topRight" activeCell="F1" activeCellId="0" sqref="F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0"/>
    <col collapsed="false" customWidth="true" hidden="false" outlineLevel="0" max="3" min="3" style="0" width="8"/>
    <col collapsed="false" customWidth="true" hidden="false" outlineLevel="0" max="4" min="4" style="0" width="7"/>
    <col collapsed="false" customWidth="true" hidden="false" outlineLevel="0" max="5" min="5" style="0" width="13"/>
    <col collapsed="false" customWidth="true" hidden="false" outlineLevel="0" max="6" min="6" style="0" width="5"/>
    <col collapsed="false" customWidth="true" hidden="false" outlineLevel="0" max="7" min="7" style="0" width="6"/>
    <col collapsed="false" customWidth="true" hidden="false" outlineLevel="0" max="8" min="8" style="0" width="5"/>
    <col collapsed="false" customWidth="true" hidden="false" outlineLevel="0" max="9" min="9" style="0" width="7"/>
    <col collapsed="false" customWidth="true" hidden="false" outlineLevel="0" max="10" min="10" style="0" width="11"/>
    <col collapsed="false" customWidth="true" hidden="false" outlineLevel="0" max="11" min="11" style="0" width="12"/>
    <col collapsed="false" customWidth="true" hidden="false" outlineLevel="0" max="12" min="12" style="0" width="10"/>
    <col collapsed="false" customWidth="true" hidden="false" outlineLevel="0" max="13" min="13" style="0" width="11"/>
    <col collapsed="false" customWidth="true" hidden="false" outlineLevel="0" max="14" min="14" style="0" width="7"/>
    <col collapsed="false" customWidth="true" hidden="false" outlineLevel="0" max="15" min="15" style="0" width="10"/>
    <col collapsed="false" customWidth="true" hidden="false" outlineLevel="0" max="16" min="16" style="0" width="11"/>
    <col collapsed="false" customWidth="true" hidden="false" outlineLevel="0" max="17" min="17" style="0" width="7"/>
    <col collapsed="false" customWidth="true" hidden="false" outlineLevel="0" max="18" min="18" style="0" width="24"/>
    <col collapsed="false" customWidth="true" hidden="false" outlineLevel="0" max="20" min="19" style="0" width="9"/>
    <col collapsed="false" customWidth="true" hidden="false" outlineLevel="0" max="22" min="21" style="0" width="11"/>
    <col collapsed="false" customWidth="true" hidden="false" outlineLevel="0" max="23" min="23" style="0" width="9"/>
    <col collapsed="false" customWidth="true" hidden="false" outlineLevel="0" max="24" min="24" style="0" width="6"/>
    <col collapsed="false" customWidth="true" hidden="false" outlineLevel="0" max="25" min="25" style="0" width="11"/>
    <col collapsed="false" customWidth="true" hidden="false" outlineLevel="0" max="26" min="26" style="0" width="10"/>
    <col collapsed="false" customWidth="true" hidden="false" outlineLevel="0" max="27" min="27" style="0" width="6"/>
    <col collapsed="false" customWidth="true" hidden="false" outlineLevel="0" max="28" min="28" style="0" width="22"/>
    <col collapsed="false" customWidth="true" hidden="false" outlineLevel="0" max="29" min="29" style="0" width="8"/>
    <col collapsed="false" customWidth="true" hidden="false" outlineLevel="0" max="30" min="30" style="0" width="7"/>
    <col collapsed="false" customWidth="true" hidden="false" outlineLevel="0" max="31" min="31" style="0" width="11"/>
    <col collapsed="false" customWidth="true" hidden="false" outlineLevel="0" max="32" min="32" style="0" width="10"/>
    <col collapsed="false" customWidth="true" hidden="false" outlineLevel="0" max="33" min="33" style="0" width="7"/>
    <col collapsed="false" customWidth="true" hidden="false" outlineLevel="0" max="34" min="34" style="0" width="8"/>
    <col collapsed="false" customWidth="true" hidden="false" outlineLevel="0" max="35" min="35" style="0" width="7"/>
    <col collapsed="false" customWidth="true" hidden="false" outlineLevel="0" max="36" min="36" style="0" width="11"/>
    <col collapsed="false" customWidth="true" hidden="false" outlineLevel="0" max="37" min="37" style="0" width="10"/>
    <col collapsed="false" customWidth="true" hidden="false" outlineLevel="0" max="38" min="38" style="0" width="7"/>
    <col collapsed="false" customWidth="true" hidden="false" outlineLevel="0" max="39" min="39" style="0" width="11"/>
    <col collapsed="false" customWidth="true" hidden="false" outlineLevel="0" max="40" min="40" style="0" width="22"/>
    <col collapsed="false" customWidth="true" hidden="false" outlineLevel="0" max="41" min="41" style="0" width="6"/>
    <col collapsed="false" customWidth="true" hidden="false" outlineLevel="0" max="42" min="42" style="0" width="8"/>
    <col collapsed="false" customWidth="true" hidden="false" outlineLevel="0" max="43" min="43" style="0" width="24"/>
    <col collapsed="false" customWidth="true" hidden="false" outlineLevel="0" max="44" min="44" style="0" width="8"/>
    <col collapsed="false" customWidth="true" hidden="true" outlineLevel="0" max="49" min="45" style="0" width="4"/>
  </cols>
  <sheetData>
    <row r="1" customFormat="false" ht="33.75" hidden="false" customHeight="true" outlineLevel="0" collapsed="false">
      <c r="A1" s="1" t="s">
        <v>48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customFormat="false" ht="15" hidden="false" customHeight="false" outlineLevel="0" collapsed="false">
      <c r="A2" s="61" t="str">
        <f aca="false">PARAMÈTRES!$C$4&amp;"   •   Affaire N° "&amp;PARAMÈTRES!$C$5&amp;"   •   Saisir uniquement les colonnes en bleu — les colonnes N°, Nb RT, Dernier RT, STATUT et Attente sont automatiques"</f>
        <v>Développement des champs gaziers TFT II — réseau de collecte TFT Sud (LIGNE-16)   •   Affaire N° 8546   •   Saisir uniquement les colonnes en bleu — les colonnes N°, Nb RT, Dernier RT, STATUT et Attente sont automatiques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1"/>
      <c r="AL2" s="61"/>
      <c r="AM2" s="61"/>
      <c r="AN2" s="61"/>
      <c r="AO2" s="61"/>
      <c r="AP2" s="61"/>
      <c r="AQ2" s="61"/>
      <c r="AR2" s="61"/>
    </row>
    <row r="3" customFormat="false" ht="21.75" hidden="false" customHeight="true" outlineLevel="0" collapsed="false">
      <c r="B3" s="62" t="s">
        <v>49</v>
      </c>
      <c r="C3" s="63" t="n">
        <f aca="false">COUNTA(E7:E3006)</f>
        <v>2478</v>
      </c>
      <c r="E3" s="62" t="s">
        <v>50</v>
      </c>
      <c r="F3" s="63" t="n">
        <f aca="false">COUNT(U7:U3006)</f>
        <v>1313</v>
      </c>
      <c r="I3" s="62" t="s">
        <v>51</v>
      </c>
      <c r="J3" s="63" t="n">
        <f aca="false">COUNTIF(AQ7:AQ3006,"ACCEPTÉ")</f>
        <v>1139</v>
      </c>
      <c r="M3" s="64" t="s">
        <v>52</v>
      </c>
      <c r="N3" s="64"/>
      <c r="O3" s="64"/>
      <c r="P3" s="63" t="n">
        <f aca="false">SUMPRODUCT((AQ7:AQ3006="À RADIOGRAPHIER")+(AQ7:AQ3006="RÉPARÉ – À RADIOGRAPHIER")+(AQ7:AQ3006="NX – RT À REFAIRE"))</f>
        <v>119</v>
      </c>
      <c r="S3" s="64" t="s">
        <v>53</v>
      </c>
      <c r="T3" s="64"/>
      <c r="U3" s="64"/>
      <c r="V3" s="63" t="n">
        <f aca="false">SUMPRODUCT((AQ7:AQ3006="À RÉPARER")+(AQ7:AQ3006="COUPE – À RESOUDER")+(AQ7:AQ3006="VT REJETÉ – À REPRENDRE"))</f>
        <v>55</v>
      </c>
    </row>
    <row r="5" customFormat="false" ht="21.75" hidden="false" customHeight="true" outlineLevel="0" collapsed="false">
      <c r="A5" s="37" t="s">
        <v>54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55" t="s">
        <v>55</v>
      </c>
      <c r="S5" s="55"/>
      <c r="T5" s="55"/>
      <c r="U5" s="55"/>
      <c r="V5" s="65" t="s">
        <v>56</v>
      </c>
      <c r="W5" s="65"/>
      <c r="X5" s="65"/>
      <c r="Y5" s="66" t="s">
        <v>57</v>
      </c>
      <c r="Z5" s="66"/>
      <c r="AA5" s="66"/>
      <c r="AB5" s="66"/>
      <c r="AC5" s="67" t="s">
        <v>58</v>
      </c>
      <c r="AD5" s="67"/>
      <c r="AE5" s="67"/>
      <c r="AF5" s="67"/>
      <c r="AG5" s="67"/>
      <c r="AH5" s="68" t="s">
        <v>59</v>
      </c>
      <c r="AI5" s="68"/>
      <c r="AJ5" s="68"/>
      <c r="AK5" s="68"/>
      <c r="AL5" s="68"/>
      <c r="AM5" s="69" t="s">
        <v>60</v>
      </c>
      <c r="AN5" s="69"/>
      <c r="AO5" s="69"/>
      <c r="AP5" s="69"/>
      <c r="AQ5" s="69"/>
      <c r="AR5" s="69"/>
      <c r="AS5" s="70"/>
      <c r="AT5" s="70"/>
      <c r="AU5" s="70"/>
      <c r="AV5" s="70"/>
      <c r="AW5" s="70"/>
    </row>
    <row r="6" customFormat="false" ht="36" hidden="false" customHeight="true" outlineLevel="0" collapsed="false">
      <c r="A6" s="71" t="s">
        <v>61</v>
      </c>
      <c r="B6" s="71" t="s">
        <v>62</v>
      </c>
      <c r="C6" s="71" t="s">
        <v>63</v>
      </c>
      <c r="D6" s="71" t="s">
        <v>64</v>
      </c>
      <c r="E6" s="71" t="s">
        <v>65</v>
      </c>
      <c r="F6" s="71" t="s">
        <v>66</v>
      </c>
      <c r="G6" s="71" t="s">
        <v>67</v>
      </c>
      <c r="H6" s="71" t="s">
        <v>68</v>
      </c>
      <c r="I6" s="71" t="s">
        <v>69</v>
      </c>
      <c r="J6" s="71" t="s">
        <v>70</v>
      </c>
      <c r="K6" s="71" t="s">
        <v>71</v>
      </c>
      <c r="L6" s="71" t="s">
        <v>72</v>
      </c>
      <c r="M6" s="71" t="s">
        <v>73</v>
      </c>
      <c r="N6" s="71" t="s">
        <v>74</v>
      </c>
      <c r="O6" s="71" t="s">
        <v>75</v>
      </c>
      <c r="P6" s="71" t="s">
        <v>76</v>
      </c>
      <c r="Q6" s="71" t="s">
        <v>77</v>
      </c>
      <c r="R6" s="72" t="s">
        <v>78</v>
      </c>
      <c r="S6" s="72" t="s">
        <v>79</v>
      </c>
      <c r="T6" s="72" t="s">
        <v>80</v>
      </c>
      <c r="U6" s="72" t="s">
        <v>81</v>
      </c>
      <c r="V6" s="73" t="s">
        <v>82</v>
      </c>
      <c r="W6" s="73" t="s">
        <v>83</v>
      </c>
      <c r="X6" s="73" t="s">
        <v>84</v>
      </c>
      <c r="Y6" s="74" t="s">
        <v>85</v>
      </c>
      <c r="Z6" s="74" t="s">
        <v>86</v>
      </c>
      <c r="AA6" s="74" t="s">
        <v>87</v>
      </c>
      <c r="AB6" s="74" t="s">
        <v>88</v>
      </c>
      <c r="AC6" s="75" t="s">
        <v>89</v>
      </c>
      <c r="AD6" s="75" t="s">
        <v>90</v>
      </c>
      <c r="AE6" s="75" t="s">
        <v>91</v>
      </c>
      <c r="AF6" s="75" t="s">
        <v>92</v>
      </c>
      <c r="AG6" s="75" t="s">
        <v>93</v>
      </c>
      <c r="AH6" s="76" t="s">
        <v>94</v>
      </c>
      <c r="AI6" s="76" t="s">
        <v>95</v>
      </c>
      <c r="AJ6" s="76" t="s">
        <v>96</v>
      </c>
      <c r="AK6" s="76" t="s">
        <v>97</v>
      </c>
      <c r="AL6" s="76" t="s">
        <v>98</v>
      </c>
      <c r="AM6" s="77" t="s">
        <v>99</v>
      </c>
      <c r="AN6" s="77" t="s">
        <v>100</v>
      </c>
      <c r="AO6" s="77" t="s">
        <v>101</v>
      </c>
      <c r="AP6" s="77" t="s">
        <v>102</v>
      </c>
      <c r="AQ6" s="77" t="s">
        <v>103</v>
      </c>
      <c r="AR6" s="77" t="s">
        <v>104</v>
      </c>
      <c r="AS6" s="78" t="s">
        <v>105</v>
      </c>
      <c r="AT6" s="78" t="s">
        <v>106</v>
      </c>
      <c r="AU6" s="78" t="s">
        <v>107</v>
      </c>
      <c r="AV6" s="78" t="s">
        <v>108</v>
      </c>
      <c r="AW6" s="78" t="s">
        <v>109</v>
      </c>
    </row>
    <row r="7" customFormat="false" ht="74.6" hidden="false" customHeight="false" outlineLevel="0" collapsed="false">
      <c r="A7" s="79" t="n">
        <f aca="false">IF(E7="","",ROW()-6)</f>
        <v>1</v>
      </c>
      <c r="B7" s="80" t="s">
        <v>110</v>
      </c>
      <c r="C7" s="81"/>
      <c r="D7" s="81"/>
      <c r="E7" s="81" t="s">
        <v>111</v>
      </c>
      <c r="F7" s="82" t="str">
        <f aca="false">IF(E7="","",IF(LEFT(E7,2)="DJ","DJ","JN"))</f>
        <v>JN</v>
      </c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3"/>
      <c r="V7" s="83"/>
      <c r="W7" s="81"/>
      <c r="X7" s="81"/>
      <c r="Y7" s="83"/>
      <c r="Z7" s="81"/>
      <c r="AA7" s="81"/>
      <c r="AB7" s="81"/>
      <c r="AC7" s="81"/>
      <c r="AD7" s="81"/>
      <c r="AE7" s="83"/>
      <c r="AF7" s="81"/>
      <c r="AG7" s="81"/>
      <c r="AH7" s="81"/>
      <c r="AI7" s="81"/>
      <c r="AJ7" s="83"/>
      <c r="AK7" s="81"/>
      <c r="AL7" s="81"/>
      <c r="AM7" s="83"/>
      <c r="AN7" s="80"/>
      <c r="AO7" s="82" t="n">
        <f aca="false">IF(E7="","",(AA7&lt;&gt;"")+(AG7&lt;&gt;"")+(AL7&lt;&gt;""))</f>
        <v>0</v>
      </c>
      <c r="AP7" s="82" t="str">
        <f aca="false">IF(AL7&lt;&gt;"",AL7,IF(AG7&lt;&gt;"",AG7,IF(AA7&lt;&gt;"",AA7,"")))</f>
        <v/>
      </c>
      <c r="AQ7" s="84" t="str">
        <f aca="false">IF(E7="","",IF(U7="","À SOUDER",IF(X7="","VT EN ATTENTE",IF(X7="R","VT REJETÉ – À REPRENDRE",IF(AP7="","À RADIOGRAPHIER",IF(AP7="A","ACCEPTÉ",IF(AP7="NX","NX – RT À REFAIRE",IF(IF(AO7=1,AD7,IF(AO7=2,AI7,""))="A","RÉPARÉ – À RADIOGRAPHIER",IF(IF(AO7=1,AD7,IF(AO7=2,AI7,""))="R","VT REJETÉ – À REPRENDRE",IF(OR(AP7="CO",AP7="NT"),"COUPE – À RESOUDER","À RÉPARER"))))))))))</f>
        <v>À SOUDER</v>
      </c>
      <c r="AR7" s="82" t="str">
        <f aca="false">IF(AND(ISNUMBER(U7),OR(AQ7="À RADIOGRAPHIER",AQ7="RÉPARÉ – À RADIOGRAPHIER",AQ7="NX – RT À REFAIRE",AQ7="À RÉPARER",AQ7="COUPE – À RESOUDER",AQ7="VT REJETÉ – À REPRENDRE")),MAX(0,'PROGRAMME RT'!$C$4-U7),"")</f>
        <v/>
      </c>
      <c r="AS7" s="82" t="n">
        <f aca="false">IF(AND(OR(AQ7="À RADIOGRAPHIER",AQ7="RÉPARÉ – À RADIOGRAPHIER",AQ7="NX – RT À REFAIRE"),OR('PROGRAMME RT'!$D$5="TOUTES",B7='PROGRAMME RT'!$D$5)),1,0)</f>
        <v>0</v>
      </c>
      <c r="AT7" s="82" t="str">
        <f aca="false">IF(AS7=1,SUM(AS$7:AS7),"")</f>
        <v/>
      </c>
      <c r="AU7" s="82" t="n">
        <f aca="false">IF(AND(OR(AA7="R",AA7="NX",AA7="NT",AA7="CO"),OR('JOINTS DE RÉPARATION'!$D$5="TOUTES",B7='JOINTS DE RÉPARATION'!$D$5),OR('JOINTS DE RÉPARATION'!$L$4="TOUS",AQ7&lt;&gt;"ACCEPTÉ")),1,0)</f>
        <v>0</v>
      </c>
      <c r="AV7" s="82" t="str">
        <f aca="false">IF(AU7=1,SUM(AU$7:AU7),"")</f>
        <v/>
      </c>
      <c r="AW7" s="82" t="str">
        <f aca="false">IF(E7="","",B7&amp;"|"&amp;E7)</f>
        <v>MFD-ISW → MFD-CPF|JN°001</v>
      </c>
    </row>
    <row r="8" customFormat="false" ht="74.6" hidden="false" customHeight="false" outlineLevel="0" collapsed="false">
      <c r="A8" s="79" t="n">
        <f aca="false">IF(E8="","",ROW()-6)</f>
        <v>2</v>
      </c>
      <c r="B8" s="80" t="s">
        <v>110</v>
      </c>
      <c r="C8" s="81"/>
      <c r="D8" s="81"/>
      <c r="E8" s="81" t="s">
        <v>112</v>
      </c>
      <c r="F8" s="82" t="str">
        <f aca="false">IF(E8="","",IF(LEFT(E8,2)="DJ","DJ","JN"))</f>
        <v>JN</v>
      </c>
      <c r="G8" s="81"/>
      <c r="H8" s="81"/>
      <c r="I8" s="81"/>
      <c r="J8" s="81"/>
      <c r="K8" s="81"/>
      <c r="L8" s="81"/>
      <c r="M8" s="81"/>
      <c r="N8" s="81"/>
      <c r="O8" s="81"/>
      <c r="P8" s="81"/>
      <c r="Q8" s="81"/>
      <c r="R8" s="81"/>
      <c r="S8" s="81"/>
      <c r="T8" s="81"/>
      <c r="U8" s="83"/>
      <c r="V8" s="83"/>
      <c r="W8" s="81"/>
      <c r="X8" s="81"/>
      <c r="Y8" s="83"/>
      <c r="Z8" s="81"/>
      <c r="AA8" s="81"/>
      <c r="AB8" s="81"/>
      <c r="AC8" s="81"/>
      <c r="AD8" s="81"/>
      <c r="AE8" s="83"/>
      <c r="AF8" s="81"/>
      <c r="AG8" s="81"/>
      <c r="AH8" s="81"/>
      <c r="AI8" s="81"/>
      <c r="AJ8" s="83"/>
      <c r="AK8" s="81"/>
      <c r="AL8" s="81"/>
      <c r="AM8" s="83"/>
      <c r="AN8" s="80"/>
      <c r="AO8" s="82" t="n">
        <f aca="false">IF(E8="","",(AA8&lt;&gt;"")+(AG8&lt;&gt;"")+(AL8&lt;&gt;""))</f>
        <v>0</v>
      </c>
      <c r="AP8" s="82" t="str">
        <f aca="false">IF(AL8&lt;&gt;"",AL8,IF(AG8&lt;&gt;"",AG8,IF(AA8&lt;&gt;"",AA8,"")))</f>
        <v/>
      </c>
      <c r="AQ8" s="84" t="str">
        <f aca="false">IF(E8="","",IF(U8="","À SOUDER",IF(X8="","VT EN ATTENTE",IF(X8="R","VT REJETÉ – À REPRENDRE",IF(AP8="","À RADIOGRAPHIER",IF(AP8="A","ACCEPTÉ",IF(AP8="NX","NX – RT À REFAIRE",IF(IF(AO8=1,AD8,IF(AO8=2,AI8,""))="A","RÉPARÉ – À RADIOGRAPHIER",IF(IF(AO8=1,AD8,IF(AO8=2,AI8,""))="R","VT REJETÉ – À REPRENDRE",IF(OR(AP8="CO",AP8="NT"),"COUPE – À RESOUDER","À RÉPARER"))))))))))</f>
        <v>À SOUDER</v>
      </c>
      <c r="AR8" s="82" t="str">
        <f aca="false">IF(AND(ISNUMBER(U8),OR(AQ8="À RADIOGRAPHIER",AQ8="RÉPARÉ – À RADIOGRAPHIER",AQ8="NX – RT À REFAIRE",AQ8="À RÉPARER",AQ8="COUPE – À RESOUDER",AQ8="VT REJETÉ – À REPRENDRE")),MAX(0,'PROGRAMME RT'!$C$4-U8),"")</f>
        <v/>
      </c>
      <c r="AS8" s="82" t="n">
        <f aca="false">IF(AND(OR(AQ8="À RADIOGRAPHIER",AQ8="RÉPARÉ – À RADIOGRAPHIER",AQ8="NX – RT À REFAIRE"),OR('PROGRAMME RT'!$D$5="TOUTES",B8='PROGRAMME RT'!$D$5)),1,0)</f>
        <v>0</v>
      </c>
      <c r="AT8" s="82" t="str">
        <f aca="false">IF(AS8=1,SUM(AS$7:AS8),"")</f>
        <v/>
      </c>
      <c r="AU8" s="82" t="n">
        <f aca="false">IF(AND(OR(AA8="R",AA8="NX",AA8="NT",AA8="CO"),OR('JOINTS DE RÉPARATION'!$D$5="TOUTES",B8='JOINTS DE RÉPARATION'!$D$5),OR('JOINTS DE RÉPARATION'!$L$4="TOUS",AQ8&lt;&gt;"ACCEPTÉ")),1,0)</f>
        <v>0</v>
      </c>
      <c r="AV8" s="82" t="str">
        <f aca="false">IF(AU8=1,SUM(AU$7:AU8),"")</f>
        <v/>
      </c>
      <c r="AW8" s="82" t="str">
        <f aca="false">IF(E8="","",B8&amp;"|"&amp;E8)</f>
        <v>MFD-ISW → MFD-CPF|JN°002</v>
      </c>
    </row>
    <row r="9" customFormat="false" ht="74.6" hidden="false" customHeight="false" outlineLevel="0" collapsed="false">
      <c r="A9" s="79" t="n">
        <f aca="false">IF(E9="","",ROW()-6)</f>
        <v>3</v>
      </c>
      <c r="B9" s="80" t="s">
        <v>110</v>
      </c>
      <c r="C9" s="81"/>
      <c r="D9" s="81"/>
      <c r="E9" s="81" t="s">
        <v>113</v>
      </c>
      <c r="F9" s="82" t="str">
        <f aca="false">IF(E9="","",IF(LEFT(E9,2)="DJ","DJ","JN"))</f>
        <v>JN</v>
      </c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1"/>
      <c r="S9" s="81"/>
      <c r="T9" s="81"/>
      <c r="U9" s="83"/>
      <c r="V9" s="83"/>
      <c r="W9" s="81"/>
      <c r="X9" s="81"/>
      <c r="Y9" s="83"/>
      <c r="Z9" s="81"/>
      <c r="AA9" s="81"/>
      <c r="AB9" s="81"/>
      <c r="AC9" s="81"/>
      <c r="AD9" s="81"/>
      <c r="AE9" s="83"/>
      <c r="AF9" s="81"/>
      <c r="AG9" s="81"/>
      <c r="AH9" s="81"/>
      <c r="AI9" s="81"/>
      <c r="AJ9" s="83"/>
      <c r="AK9" s="81"/>
      <c r="AL9" s="81"/>
      <c r="AM9" s="83"/>
      <c r="AN9" s="80"/>
      <c r="AO9" s="82" t="n">
        <f aca="false">IF(E9="","",(AA9&lt;&gt;"")+(AG9&lt;&gt;"")+(AL9&lt;&gt;""))</f>
        <v>0</v>
      </c>
      <c r="AP9" s="82" t="str">
        <f aca="false">IF(AL9&lt;&gt;"",AL9,IF(AG9&lt;&gt;"",AG9,IF(AA9&lt;&gt;"",AA9,"")))</f>
        <v/>
      </c>
      <c r="AQ9" s="84" t="str">
        <f aca="false">IF(E9="","",IF(U9="","À SOUDER",IF(X9="","VT EN ATTENTE",IF(X9="R","VT REJETÉ – À REPRENDRE",IF(AP9="","À RADIOGRAPHIER",IF(AP9="A","ACCEPTÉ",IF(AP9="NX","NX – RT À REFAIRE",IF(IF(AO9=1,AD9,IF(AO9=2,AI9,""))="A","RÉPARÉ – À RADIOGRAPHIER",IF(IF(AO9=1,AD9,IF(AO9=2,AI9,""))="R","VT REJETÉ – À REPRENDRE",IF(OR(AP9="CO",AP9="NT"),"COUPE – À RESOUDER","À RÉPARER"))))))))))</f>
        <v>À SOUDER</v>
      </c>
      <c r="AR9" s="82" t="str">
        <f aca="false">IF(AND(ISNUMBER(U9),OR(AQ9="À RADIOGRAPHIER",AQ9="RÉPARÉ – À RADIOGRAPHIER",AQ9="NX – RT À REFAIRE",AQ9="À RÉPARER",AQ9="COUPE – À RESOUDER",AQ9="VT REJETÉ – À REPRENDRE")),MAX(0,'PROGRAMME RT'!$C$4-U9),"")</f>
        <v/>
      </c>
      <c r="AS9" s="82" t="n">
        <f aca="false">IF(AND(OR(AQ9="À RADIOGRAPHIER",AQ9="RÉPARÉ – À RADIOGRAPHIER",AQ9="NX – RT À REFAIRE"),OR('PROGRAMME RT'!$D$5="TOUTES",B9='PROGRAMME RT'!$D$5)),1,0)</f>
        <v>0</v>
      </c>
      <c r="AT9" s="82" t="str">
        <f aca="false">IF(AS9=1,SUM(AS$7:AS9),"")</f>
        <v/>
      </c>
      <c r="AU9" s="82" t="n">
        <f aca="false">IF(AND(OR(AA9="R",AA9="NX",AA9="NT",AA9="CO"),OR('JOINTS DE RÉPARATION'!$D$5="TOUTES",B9='JOINTS DE RÉPARATION'!$D$5),OR('JOINTS DE RÉPARATION'!$L$4="TOUS",AQ9&lt;&gt;"ACCEPTÉ")),1,0)</f>
        <v>0</v>
      </c>
      <c r="AV9" s="82" t="str">
        <f aca="false">IF(AU9=1,SUM(AU$7:AU9),"")</f>
        <v/>
      </c>
      <c r="AW9" s="82" t="str">
        <f aca="false">IF(E9="","",B9&amp;"|"&amp;E9)</f>
        <v>MFD-ISW → MFD-CPF|JN°003</v>
      </c>
    </row>
    <row r="10" customFormat="false" ht="74.6" hidden="false" customHeight="false" outlineLevel="0" collapsed="false">
      <c r="A10" s="79" t="n">
        <f aca="false">IF(E10="","",ROW()-6)</f>
        <v>4</v>
      </c>
      <c r="B10" s="80" t="s">
        <v>110</v>
      </c>
      <c r="C10" s="81"/>
      <c r="D10" s="81"/>
      <c r="E10" s="81" t="s">
        <v>114</v>
      </c>
      <c r="F10" s="82" t="str">
        <f aca="false">IF(E10="","",IF(LEFT(E10,2)="DJ","DJ","JN"))</f>
        <v>JN</v>
      </c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3"/>
      <c r="V10" s="83"/>
      <c r="W10" s="81"/>
      <c r="X10" s="81"/>
      <c r="Y10" s="83"/>
      <c r="Z10" s="81"/>
      <c r="AA10" s="81"/>
      <c r="AB10" s="81"/>
      <c r="AC10" s="81"/>
      <c r="AD10" s="81"/>
      <c r="AE10" s="83"/>
      <c r="AF10" s="81"/>
      <c r="AG10" s="81"/>
      <c r="AH10" s="81"/>
      <c r="AI10" s="81"/>
      <c r="AJ10" s="83"/>
      <c r="AK10" s="81"/>
      <c r="AL10" s="81"/>
      <c r="AM10" s="83"/>
      <c r="AN10" s="80"/>
      <c r="AO10" s="82" t="n">
        <f aca="false">IF(E10="","",(AA10&lt;&gt;"")+(AG10&lt;&gt;"")+(AL10&lt;&gt;""))</f>
        <v>0</v>
      </c>
      <c r="AP10" s="82" t="str">
        <f aca="false">IF(AL10&lt;&gt;"",AL10,IF(AG10&lt;&gt;"",AG10,IF(AA10&lt;&gt;"",AA10,"")))</f>
        <v/>
      </c>
      <c r="AQ10" s="84" t="str">
        <f aca="false">IF(E10="","",IF(U10="","À SOUDER",IF(X10="","VT EN ATTENTE",IF(X10="R","VT REJETÉ – À REPRENDRE",IF(AP10="","À RADIOGRAPHIER",IF(AP10="A","ACCEPTÉ",IF(AP10="NX","NX – RT À REFAIRE",IF(IF(AO10=1,AD10,IF(AO10=2,AI10,""))="A","RÉPARÉ – À RADIOGRAPHIER",IF(IF(AO10=1,AD10,IF(AO10=2,AI10,""))="R","VT REJETÉ – À REPRENDRE",IF(OR(AP10="CO",AP10="NT"),"COUPE – À RESOUDER","À RÉPARER"))))))))))</f>
        <v>À SOUDER</v>
      </c>
      <c r="AR10" s="82" t="str">
        <f aca="false">IF(AND(ISNUMBER(U10),OR(AQ10="À RADIOGRAPHIER",AQ10="RÉPARÉ – À RADIOGRAPHIER",AQ10="NX – RT À REFAIRE",AQ10="À RÉPARER",AQ10="COUPE – À RESOUDER",AQ10="VT REJETÉ – À REPRENDRE")),MAX(0,'PROGRAMME RT'!$C$4-U10),"")</f>
        <v/>
      </c>
      <c r="AS10" s="82" t="n">
        <f aca="false">IF(AND(OR(AQ10="À RADIOGRAPHIER",AQ10="RÉPARÉ – À RADIOGRAPHIER",AQ10="NX – RT À REFAIRE"),OR('PROGRAMME RT'!$D$5="TOUTES",B10='PROGRAMME RT'!$D$5)),1,0)</f>
        <v>0</v>
      </c>
      <c r="AT10" s="82" t="str">
        <f aca="false">IF(AS10=1,SUM(AS$7:AS10),"")</f>
        <v/>
      </c>
      <c r="AU10" s="82" t="n">
        <f aca="false">IF(AND(OR(AA10="R",AA10="NX",AA10="NT",AA10="CO"),OR('JOINTS DE RÉPARATION'!$D$5="TOUTES",B10='JOINTS DE RÉPARATION'!$D$5),OR('JOINTS DE RÉPARATION'!$L$4="TOUS",AQ10&lt;&gt;"ACCEPTÉ")),1,0)</f>
        <v>0</v>
      </c>
      <c r="AV10" s="82" t="str">
        <f aca="false">IF(AU10=1,SUM(AU$7:AU10),"")</f>
        <v/>
      </c>
      <c r="AW10" s="82" t="str">
        <f aca="false">IF(E10="","",B10&amp;"|"&amp;E10)</f>
        <v>MFD-ISW → MFD-CPF|JN°004</v>
      </c>
    </row>
    <row r="11" customFormat="false" ht="74.6" hidden="false" customHeight="false" outlineLevel="0" collapsed="false">
      <c r="A11" s="79" t="n">
        <f aca="false">IF(E11="","",ROW()-6)</f>
        <v>5</v>
      </c>
      <c r="B11" s="80" t="s">
        <v>110</v>
      </c>
      <c r="C11" s="81"/>
      <c r="D11" s="81"/>
      <c r="E11" s="81" t="s">
        <v>115</v>
      </c>
      <c r="F11" s="82" t="str">
        <f aca="false">IF(E11="","",IF(LEFT(E11,2)="DJ","DJ","JN"))</f>
        <v>JN</v>
      </c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1"/>
      <c r="T11" s="81"/>
      <c r="U11" s="83"/>
      <c r="V11" s="83"/>
      <c r="W11" s="81"/>
      <c r="X11" s="81"/>
      <c r="Y11" s="83"/>
      <c r="Z11" s="81"/>
      <c r="AA11" s="81"/>
      <c r="AB11" s="81"/>
      <c r="AC11" s="81"/>
      <c r="AD11" s="81"/>
      <c r="AE11" s="83"/>
      <c r="AF11" s="81"/>
      <c r="AG11" s="81"/>
      <c r="AH11" s="81"/>
      <c r="AI11" s="81"/>
      <c r="AJ11" s="83"/>
      <c r="AK11" s="81"/>
      <c r="AL11" s="81"/>
      <c r="AM11" s="83"/>
      <c r="AN11" s="80"/>
      <c r="AO11" s="82" t="n">
        <f aca="false">IF(E11="","",(AA11&lt;&gt;"")+(AG11&lt;&gt;"")+(AL11&lt;&gt;""))</f>
        <v>0</v>
      </c>
      <c r="AP11" s="82" t="str">
        <f aca="false">IF(AL11&lt;&gt;"",AL11,IF(AG11&lt;&gt;"",AG11,IF(AA11&lt;&gt;"",AA11,"")))</f>
        <v/>
      </c>
      <c r="AQ11" s="84" t="str">
        <f aca="false">IF(E11="","",IF(U11="","À SOUDER",IF(X11="","VT EN ATTENTE",IF(X11="R","VT REJETÉ – À REPRENDRE",IF(AP11="","À RADIOGRAPHIER",IF(AP11="A","ACCEPTÉ",IF(AP11="NX","NX – RT À REFAIRE",IF(IF(AO11=1,AD11,IF(AO11=2,AI11,""))="A","RÉPARÉ – À RADIOGRAPHIER",IF(IF(AO11=1,AD11,IF(AO11=2,AI11,""))="R","VT REJETÉ – À REPRENDRE",IF(OR(AP11="CO",AP11="NT"),"COUPE – À RESOUDER","À RÉPARER"))))))))))</f>
        <v>À SOUDER</v>
      </c>
      <c r="AR11" s="82" t="str">
        <f aca="false">IF(AND(ISNUMBER(U11),OR(AQ11="À RADIOGRAPHIER",AQ11="RÉPARÉ – À RADIOGRAPHIER",AQ11="NX – RT À REFAIRE",AQ11="À RÉPARER",AQ11="COUPE – À RESOUDER",AQ11="VT REJETÉ – À REPRENDRE")),MAX(0,'PROGRAMME RT'!$C$4-U11),"")</f>
        <v/>
      </c>
      <c r="AS11" s="82" t="n">
        <f aca="false">IF(AND(OR(AQ11="À RADIOGRAPHIER",AQ11="RÉPARÉ – À RADIOGRAPHIER",AQ11="NX – RT À REFAIRE"),OR('PROGRAMME RT'!$D$5="TOUTES",B11='PROGRAMME RT'!$D$5)),1,0)</f>
        <v>0</v>
      </c>
      <c r="AT11" s="82" t="str">
        <f aca="false">IF(AS11=1,SUM(AS$7:AS11),"")</f>
        <v/>
      </c>
      <c r="AU11" s="82" t="n">
        <f aca="false">IF(AND(OR(AA11="R",AA11="NX",AA11="NT",AA11="CO"),OR('JOINTS DE RÉPARATION'!$D$5="TOUTES",B11='JOINTS DE RÉPARATION'!$D$5),OR('JOINTS DE RÉPARATION'!$L$4="TOUS",AQ11&lt;&gt;"ACCEPTÉ")),1,0)</f>
        <v>0</v>
      </c>
      <c r="AV11" s="82" t="str">
        <f aca="false">IF(AU11=1,SUM(AU$7:AU11),"")</f>
        <v/>
      </c>
      <c r="AW11" s="82" t="str">
        <f aca="false">IF(E11="","",B11&amp;"|"&amp;E11)</f>
        <v>MFD-ISW → MFD-CPF|JN°005</v>
      </c>
    </row>
    <row r="12" customFormat="false" ht="74.6" hidden="false" customHeight="false" outlineLevel="0" collapsed="false">
      <c r="A12" s="79" t="n">
        <f aca="false">IF(E12="","",ROW()-6)</f>
        <v>6</v>
      </c>
      <c r="B12" s="80" t="s">
        <v>110</v>
      </c>
      <c r="C12" s="81"/>
      <c r="D12" s="81"/>
      <c r="E12" s="81" t="s">
        <v>116</v>
      </c>
      <c r="F12" s="82" t="str">
        <f aca="false">IF(E12="","",IF(LEFT(E12,2)="DJ","DJ","JN"))</f>
        <v>JN</v>
      </c>
      <c r="G12" s="81"/>
      <c r="H12" s="81"/>
      <c r="I12" s="81"/>
      <c r="J12" s="81"/>
      <c r="K12" s="81"/>
      <c r="L12" s="81"/>
      <c r="M12" s="81"/>
      <c r="N12" s="81"/>
      <c r="O12" s="81"/>
      <c r="P12" s="81"/>
      <c r="Q12" s="81"/>
      <c r="R12" s="81"/>
      <c r="S12" s="81"/>
      <c r="T12" s="81"/>
      <c r="U12" s="83"/>
      <c r="V12" s="83"/>
      <c r="W12" s="81"/>
      <c r="X12" s="81"/>
      <c r="Y12" s="83"/>
      <c r="Z12" s="81"/>
      <c r="AA12" s="81"/>
      <c r="AB12" s="81"/>
      <c r="AC12" s="81"/>
      <c r="AD12" s="81"/>
      <c r="AE12" s="83"/>
      <c r="AF12" s="81"/>
      <c r="AG12" s="81"/>
      <c r="AH12" s="81"/>
      <c r="AI12" s="81"/>
      <c r="AJ12" s="83"/>
      <c r="AK12" s="81"/>
      <c r="AL12" s="81"/>
      <c r="AM12" s="83"/>
      <c r="AN12" s="80"/>
      <c r="AO12" s="82" t="n">
        <f aca="false">IF(E12="","",(AA12&lt;&gt;"")+(AG12&lt;&gt;"")+(AL12&lt;&gt;""))</f>
        <v>0</v>
      </c>
      <c r="AP12" s="82" t="str">
        <f aca="false">IF(AL12&lt;&gt;"",AL12,IF(AG12&lt;&gt;"",AG12,IF(AA12&lt;&gt;"",AA12,"")))</f>
        <v/>
      </c>
      <c r="AQ12" s="84" t="str">
        <f aca="false">IF(E12="","",IF(U12="","À SOUDER",IF(X12="","VT EN ATTENTE",IF(X12="R","VT REJETÉ – À REPRENDRE",IF(AP12="","À RADIOGRAPHIER",IF(AP12="A","ACCEPTÉ",IF(AP12="NX","NX – RT À REFAIRE",IF(IF(AO12=1,AD12,IF(AO12=2,AI12,""))="A","RÉPARÉ – À RADIOGRAPHIER",IF(IF(AO12=1,AD12,IF(AO12=2,AI12,""))="R","VT REJETÉ – À REPRENDRE",IF(OR(AP12="CO",AP12="NT"),"COUPE – À RESOUDER","À RÉPARER"))))))))))</f>
        <v>À SOUDER</v>
      </c>
      <c r="AR12" s="82" t="str">
        <f aca="false">IF(AND(ISNUMBER(U12),OR(AQ12="À RADIOGRAPHIER",AQ12="RÉPARÉ – À RADIOGRAPHIER",AQ12="NX – RT À REFAIRE",AQ12="À RÉPARER",AQ12="COUPE – À RESOUDER",AQ12="VT REJETÉ – À REPRENDRE")),MAX(0,'PROGRAMME RT'!$C$4-U12),"")</f>
        <v/>
      </c>
      <c r="AS12" s="82" t="n">
        <f aca="false">IF(AND(OR(AQ12="À RADIOGRAPHIER",AQ12="RÉPARÉ – À RADIOGRAPHIER",AQ12="NX – RT À REFAIRE"),OR('PROGRAMME RT'!$D$5="TOUTES",B12='PROGRAMME RT'!$D$5)),1,0)</f>
        <v>0</v>
      </c>
      <c r="AT12" s="82" t="str">
        <f aca="false">IF(AS12=1,SUM(AS$7:AS12),"")</f>
        <v/>
      </c>
      <c r="AU12" s="82" t="n">
        <f aca="false">IF(AND(OR(AA12="R",AA12="NX",AA12="NT",AA12="CO"),OR('JOINTS DE RÉPARATION'!$D$5="TOUTES",B12='JOINTS DE RÉPARATION'!$D$5),OR('JOINTS DE RÉPARATION'!$L$4="TOUS",AQ12&lt;&gt;"ACCEPTÉ")),1,0)</f>
        <v>0</v>
      </c>
      <c r="AV12" s="82" t="str">
        <f aca="false">IF(AU12=1,SUM(AU$7:AU12),"")</f>
        <v/>
      </c>
      <c r="AW12" s="82" t="str">
        <f aca="false">IF(E12="","",B12&amp;"|"&amp;E12)</f>
        <v>MFD-ISW → MFD-CPF|JN°006</v>
      </c>
    </row>
    <row r="13" customFormat="false" ht="74.6" hidden="false" customHeight="false" outlineLevel="0" collapsed="false">
      <c r="A13" s="79" t="n">
        <f aca="false">IF(E13="","",ROW()-6)</f>
        <v>7</v>
      </c>
      <c r="B13" s="80" t="s">
        <v>110</v>
      </c>
      <c r="C13" s="81"/>
      <c r="D13" s="81"/>
      <c r="E13" s="81" t="s">
        <v>117</v>
      </c>
      <c r="F13" s="82" t="str">
        <f aca="false">IF(E13="","",IF(LEFT(E13,2)="DJ","DJ","JN"))</f>
        <v>JN</v>
      </c>
      <c r="G13" s="81"/>
      <c r="H13" s="81"/>
      <c r="I13" s="81"/>
      <c r="J13" s="81"/>
      <c r="K13" s="81"/>
      <c r="L13" s="81"/>
      <c r="M13" s="81"/>
      <c r="N13" s="81"/>
      <c r="O13" s="81"/>
      <c r="P13" s="81"/>
      <c r="Q13" s="81"/>
      <c r="R13" s="81"/>
      <c r="S13" s="81"/>
      <c r="T13" s="81"/>
      <c r="U13" s="83"/>
      <c r="V13" s="83"/>
      <c r="W13" s="81"/>
      <c r="X13" s="81"/>
      <c r="Y13" s="83"/>
      <c r="Z13" s="81"/>
      <c r="AA13" s="81"/>
      <c r="AB13" s="81"/>
      <c r="AC13" s="81"/>
      <c r="AD13" s="81"/>
      <c r="AE13" s="83"/>
      <c r="AF13" s="81"/>
      <c r="AG13" s="81"/>
      <c r="AH13" s="81"/>
      <c r="AI13" s="81"/>
      <c r="AJ13" s="83"/>
      <c r="AK13" s="81"/>
      <c r="AL13" s="81"/>
      <c r="AM13" s="83"/>
      <c r="AN13" s="80"/>
      <c r="AO13" s="82" t="n">
        <f aca="false">IF(E13="","",(AA13&lt;&gt;"")+(AG13&lt;&gt;"")+(AL13&lt;&gt;""))</f>
        <v>0</v>
      </c>
      <c r="AP13" s="82" t="str">
        <f aca="false">IF(AL13&lt;&gt;"",AL13,IF(AG13&lt;&gt;"",AG13,IF(AA13&lt;&gt;"",AA13,"")))</f>
        <v/>
      </c>
      <c r="AQ13" s="84" t="str">
        <f aca="false">IF(E13="","",IF(U13="","À SOUDER",IF(X13="","VT EN ATTENTE",IF(X13="R","VT REJETÉ – À REPRENDRE",IF(AP13="","À RADIOGRAPHIER",IF(AP13="A","ACCEPTÉ",IF(AP13="NX","NX – RT À REFAIRE",IF(IF(AO13=1,AD13,IF(AO13=2,AI13,""))="A","RÉPARÉ – À RADIOGRAPHIER",IF(IF(AO13=1,AD13,IF(AO13=2,AI13,""))="R","VT REJETÉ – À REPRENDRE",IF(OR(AP13="CO",AP13="NT"),"COUPE – À RESOUDER","À RÉPARER"))))))))))</f>
        <v>À SOUDER</v>
      </c>
      <c r="AR13" s="82" t="str">
        <f aca="false">IF(AND(ISNUMBER(U13),OR(AQ13="À RADIOGRAPHIER",AQ13="RÉPARÉ – À RADIOGRAPHIER",AQ13="NX – RT À REFAIRE",AQ13="À RÉPARER",AQ13="COUPE – À RESOUDER",AQ13="VT REJETÉ – À REPRENDRE")),MAX(0,'PROGRAMME RT'!$C$4-U13),"")</f>
        <v/>
      </c>
      <c r="AS13" s="82" t="n">
        <f aca="false">IF(AND(OR(AQ13="À RADIOGRAPHIER",AQ13="RÉPARÉ – À RADIOGRAPHIER",AQ13="NX – RT À REFAIRE"),OR('PROGRAMME RT'!$D$5="TOUTES",B13='PROGRAMME RT'!$D$5)),1,0)</f>
        <v>0</v>
      </c>
      <c r="AT13" s="82" t="str">
        <f aca="false">IF(AS13=1,SUM(AS$7:AS13),"")</f>
        <v/>
      </c>
      <c r="AU13" s="82" t="n">
        <f aca="false">IF(AND(OR(AA13="R",AA13="NX",AA13="NT",AA13="CO"),OR('JOINTS DE RÉPARATION'!$D$5="TOUTES",B13='JOINTS DE RÉPARATION'!$D$5),OR('JOINTS DE RÉPARATION'!$L$4="TOUS",AQ13&lt;&gt;"ACCEPTÉ")),1,0)</f>
        <v>0</v>
      </c>
      <c r="AV13" s="82" t="str">
        <f aca="false">IF(AU13=1,SUM(AU$7:AU13),"")</f>
        <v/>
      </c>
      <c r="AW13" s="82" t="str">
        <f aca="false">IF(E13="","",B13&amp;"|"&amp;E13)</f>
        <v>MFD-ISW → MFD-CPF|JN°007</v>
      </c>
    </row>
    <row r="14" customFormat="false" ht="74.6" hidden="false" customHeight="false" outlineLevel="0" collapsed="false">
      <c r="A14" s="79" t="n">
        <f aca="false">IF(E14="","",ROW()-6)</f>
        <v>8</v>
      </c>
      <c r="B14" s="80" t="s">
        <v>110</v>
      </c>
      <c r="C14" s="81"/>
      <c r="D14" s="81"/>
      <c r="E14" s="81" t="s">
        <v>118</v>
      </c>
      <c r="F14" s="82" t="str">
        <f aca="false">IF(E14="","",IF(LEFT(E14,2)="DJ","DJ","JN"))</f>
        <v>JN</v>
      </c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3"/>
      <c r="V14" s="83"/>
      <c r="W14" s="81"/>
      <c r="X14" s="81"/>
      <c r="Y14" s="83"/>
      <c r="Z14" s="81"/>
      <c r="AA14" s="81"/>
      <c r="AB14" s="81"/>
      <c r="AC14" s="81"/>
      <c r="AD14" s="81"/>
      <c r="AE14" s="83"/>
      <c r="AF14" s="81"/>
      <c r="AG14" s="81"/>
      <c r="AH14" s="81"/>
      <c r="AI14" s="81"/>
      <c r="AJ14" s="83"/>
      <c r="AK14" s="81"/>
      <c r="AL14" s="81"/>
      <c r="AM14" s="83"/>
      <c r="AN14" s="80"/>
      <c r="AO14" s="82" t="n">
        <f aca="false">IF(E14="","",(AA14&lt;&gt;"")+(AG14&lt;&gt;"")+(AL14&lt;&gt;""))</f>
        <v>0</v>
      </c>
      <c r="AP14" s="82" t="str">
        <f aca="false">IF(AL14&lt;&gt;"",AL14,IF(AG14&lt;&gt;"",AG14,IF(AA14&lt;&gt;"",AA14,"")))</f>
        <v/>
      </c>
      <c r="AQ14" s="84" t="str">
        <f aca="false">IF(E14="","",IF(U14="","À SOUDER",IF(X14="","VT EN ATTENTE",IF(X14="R","VT REJETÉ – À REPRENDRE",IF(AP14="","À RADIOGRAPHIER",IF(AP14="A","ACCEPTÉ",IF(AP14="NX","NX – RT À REFAIRE",IF(IF(AO14=1,AD14,IF(AO14=2,AI14,""))="A","RÉPARÉ – À RADIOGRAPHIER",IF(IF(AO14=1,AD14,IF(AO14=2,AI14,""))="R","VT REJETÉ – À REPRENDRE",IF(OR(AP14="CO",AP14="NT"),"COUPE – À RESOUDER","À RÉPARER"))))))))))</f>
        <v>À SOUDER</v>
      </c>
      <c r="AR14" s="82" t="str">
        <f aca="false">IF(AND(ISNUMBER(U14),OR(AQ14="À RADIOGRAPHIER",AQ14="RÉPARÉ – À RADIOGRAPHIER",AQ14="NX – RT À REFAIRE",AQ14="À RÉPARER",AQ14="COUPE – À RESOUDER",AQ14="VT REJETÉ – À REPRENDRE")),MAX(0,'PROGRAMME RT'!$C$4-U14),"")</f>
        <v/>
      </c>
      <c r="AS14" s="82" t="n">
        <f aca="false">IF(AND(OR(AQ14="À RADIOGRAPHIER",AQ14="RÉPARÉ – À RADIOGRAPHIER",AQ14="NX – RT À REFAIRE"),OR('PROGRAMME RT'!$D$5="TOUTES",B14='PROGRAMME RT'!$D$5)),1,0)</f>
        <v>0</v>
      </c>
      <c r="AT14" s="82" t="str">
        <f aca="false">IF(AS14=1,SUM(AS$7:AS14),"")</f>
        <v/>
      </c>
      <c r="AU14" s="82" t="n">
        <f aca="false">IF(AND(OR(AA14="R",AA14="NX",AA14="NT",AA14="CO"),OR('JOINTS DE RÉPARATION'!$D$5="TOUTES",B14='JOINTS DE RÉPARATION'!$D$5),OR('JOINTS DE RÉPARATION'!$L$4="TOUS",AQ14&lt;&gt;"ACCEPTÉ")),1,0)</f>
        <v>0</v>
      </c>
      <c r="AV14" s="82" t="str">
        <f aca="false">IF(AU14=1,SUM(AU$7:AU14),"")</f>
        <v/>
      </c>
      <c r="AW14" s="82" t="str">
        <f aca="false">IF(E14="","",B14&amp;"|"&amp;E14)</f>
        <v>MFD-ISW → MFD-CPF|JN°008</v>
      </c>
    </row>
    <row r="15" customFormat="false" ht="74.6" hidden="false" customHeight="false" outlineLevel="0" collapsed="false">
      <c r="A15" s="79" t="n">
        <f aca="false">IF(E15="","",ROW()-6)</f>
        <v>9</v>
      </c>
      <c r="B15" s="80" t="s">
        <v>110</v>
      </c>
      <c r="C15" s="81"/>
      <c r="D15" s="81"/>
      <c r="E15" s="81" t="s">
        <v>119</v>
      </c>
      <c r="F15" s="82" t="str">
        <f aca="false">IF(E15="","",IF(LEFT(E15,2)="DJ","DJ","JN"))</f>
        <v>JN</v>
      </c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3"/>
      <c r="V15" s="83"/>
      <c r="W15" s="81"/>
      <c r="X15" s="81"/>
      <c r="Y15" s="83"/>
      <c r="Z15" s="81"/>
      <c r="AA15" s="81"/>
      <c r="AB15" s="81"/>
      <c r="AC15" s="81"/>
      <c r="AD15" s="81"/>
      <c r="AE15" s="83"/>
      <c r="AF15" s="81"/>
      <c r="AG15" s="81"/>
      <c r="AH15" s="81"/>
      <c r="AI15" s="81"/>
      <c r="AJ15" s="83"/>
      <c r="AK15" s="81"/>
      <c r="AL15" s="81"/>
      <c r="AM15" s="83"/>
      <c r="AN15" s="80"/>
      <c r="AO15" s="82" t="n">
        <f aca="false">IF(E15="","",(AA15&lt;&gt;"")+(AG15&lt;&gt;"")+(AL15&lt;&gt;""))</f>
        <v>0</v>
      </c>
      <c r="AP15" s="82" t="str">
        <f aca="false">IF(AL15&lt;&gt;"",AL15,IF(AG15&lt;&gt;"",AG15,IF(AA15&lt;&gt;"",AA15,"")))</f>
        <v/>
      </c>
      <c r="AQ15" s="84" t="str">
        <f aca="false">IF(E15="","",IF(U15="","À SOUDER",IF(X15="","VT EN ATTENTE",IF(X15="R","VT REJETÉ – À REPRENDRE",IF(AP15="","À RADIOGRAPHIER",IF(AP15="A","ACCEPTÉ",IF(AP15="NX","NX – RT À REFAIRE",IF(IF(AO15=1,AD15,IF(AO15=2,AI15,""))="A","RÉPARÉ – À RADIOGRAPHIER",IF(IF(AO15=1,AD15,IF(AO15=2,AI15,""))="R","VT REJETÉ – À REPRENDRE",IF(OR(AP15="CO",AP15="NT"),"COUPE – À RESOUDER","À RÉPARER"))))))))))</f>
        <v>À SOUDER</v>
      </c>
      <c r="AR15" s="82" t="str">
        <f aca="false">IF(AND(ISNUMBER(U15),OR(AQ15="À RADIOGRAPHIER",AQ15="RÉPARÉ – À RADIOGRAPHIER",AQ15="NX – RT À REFAIRE",AQ15="À RÉPARER",AQ15="COUPE – À RESOUDER",AQ15="VT REJETÉ – À REPRENDRE")),MAX(0,'PROGRAMME RT'!$C$4-U15),"")</f>
        <v/>
      </c>
      <c r="AS15" s="82" t="n">
        <f aca="false">IF(AND(OR(AQ15="À RADIOGRAPHIER",AQ15="RÉPARÉ – À RADIOGRAPHIER",AQ15="NX – RT À REFAIRE"),OR('PROGRAMME RT'!$D$5="TOUTES",B15='PROGRAMME RT'!$D$5)),1,0)</f>
        <v>0</v>
      </c>
      <c r="AT15" s="82" t="str">
        <f aca="false">IF(AS15=1,SUM(AS$7:AS15),"")</f>
        <v/>
      </c>
      <c r="AU15" s="82" t="n">
        <f aca="false">IF(AND(OR(AA15="R",AA15="NX",AA15="NT",AA15="CO"),OR('JOINTS DE RÉPARATION'!$D$5="TOUTES",B15='JOINTS DE RÉPARATION'!$D$5),OR('JOINTS DE RÉPARATION'!$L$4="TOUS",AQ15&lt;&gt;"ACCEPTÉ")),1,0)</f>
        <v>0</v>
      </c>
      <c r="AV15" s="82" t="str">
        <f aca="false">IF(AU15=1,SUM(AU$7:AU15),"")</f>
        <v/>
      </c>
      <c r="AW15" s="82" t="str">
        <f aca="false">IF(E15="","",B15&amp;"|"&amp;E15)</f>
        <v>MFD-ISW → MFD-CPF|JN°009</v>
      </c>
    </row>
    <row r="16" customFormat="false" ht="74.6" hidden="false" customHeight="false" outlineLevel="0" collapsed="false">
      <c r="A16" s="79" t="n">
        <f aca="false">IF(E16="","",ROW()-6)</f>
        <v>10</v>
      </c>
      <c r="B16" s="80" t="s">
        <v>110</v>
      </c>
      <c r="C16" s="81"/>
      <c r="D16" s="81"/>
      <c r="E16" s="81" t="s">
        <v>120</v>
      </c>
      <c r="F16" s="82" t="str">
        <f aca="false">IF(E16="","",IF(LEFT(E16,2)="DJ","DJ","JN"))</f>
        <v>JN</v>
      </c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3"/>
      <c r="V16" s="83"/>
      <c r="W16" s="81"/>
      <c r="X16" s="81"/>
      <c r="Y16" s="83"/>
      <c r="Z16" s="81"/>
      <c r="AA16" s="81"/>
      <c r="AB16" s="81"/>
      <c r="AC16" s="81"/>
      <c r="AD16" s="81"/>
      <c r="AE16" s="83"/>
      <c r="AF16" s="81"/>
      <c r="AG16" s="81"/>
      <c r="AH16" s="81"/>
      <c r="AI16" s="81"/>
      <c r="AJ16" s="83"/>
      <c r="AK16" s="81"/>
      <c r="AL16" s="81"/>
      <c r="AM16" s="83"/>
      <c r="AN16" s="80"/>
      <c r="AO16" s="82" t="n">
        <f aca="false">IF(E16="","",(AA16&lt;&gt;"")+(AG16&lt;&gt;"")+(AL16&lt;&gt;""))</f>
        <v>0</v>
      </c>
      <c r="AP16" s="82" t="str">
        <f aca="false">IF(AL16&lt;&gt;"",AL16,IF(AG16&lt;&gt;"",AG16,IF(AA16&lt;&gt;"",AA16,"")))</f>
        <v/>
      </c>
      <c r="AQ16" s="84" t="str">
        <f aca="false">IF(E16="","",IF(U16="","À SOUDER",IF(X16="","VT EN ATTENTE",IF(X16="R","VT REJETÉ – À REPRENDRE",IF(AP16="","À RADIOGRAPHIER",IF(AP16="A","ACCEPTÉ",IF(AP16="NX","NX – RT À REFAIRE",IF(IF(AO16=1,AD16,IF(AO16=2,AI16,""))="A","RÉPARÉ – À RADIOGRAPHIER",IF(IF(AO16=1,AD16,IF(AO16=2,AI16,""))="R","VT REJETÉ – À REPRENDRE",IF(OR(AP16="CO",AP16="NT"),"COUPE – À RESOUDER","À RÉPARER"))))))))))</f>
        <v>À SOUDER</v>
      </c>
      <c r="AR16" s="82" t="str">
        <f aca="false">IF(AND(ISNUMBER(U16),OR(AQ16="À RADIOGRAPHIER",AQ16="RÉPARÉ – À RADIOGRAPHIER",AQ16="NX – RT À REFAIRE",AQ16="À RÉPARER",AQ16="COUPE – À RESOUDER",AQ16="VT REJETÉ – À REPRENDRE")),MAX(0,'PROGRAMME RT'!$C$4-U16),"")</f>
        <v/>
      </c>
      <c r="AS16" s="82" t="n">
        <f aca="false">IF(AND(OR(AQ16="À RADIOGRAPHIER",AQ16="RÉPARÉ – À RADIOGRAPHIER",AQ16="NX – RT À REFAIRE"),OR('PROGRAMME RT'!$D$5="TOUTES",B16='PROGRAMME RT'!$D$5)),1,0)</f>
        <v>0</v>
      </c>
      <c r="AT16" s="82" t="str">
        <f aca="false">IF(AS16=1,SUM(AS$7:AS16),"")</f>
        <v/>
      </c>
      <c r="AU16" s="82" t="n">
        <f aca="false">IF(AND(OR(AA16="R",AA16="NX",AA16="NT",AA16="CO"),OR('JOINTS DE RÉPARATION'!$D$5="TOUTES",B16='JOINTS DE RÉPARATION'!$D$5),OR('JOINTS DE RÉPARATION'!$L$4="TOUS",AQ16&lt;&gt;"ACCEPTÉ")),1,0)</f>
        <v>0</v>
      </c>
      <c r="AV16" s="82" t="str">
        <f aca="false">IF(AU16=1,SUM(AU$7:AU16),"")</f>
        <v/>
      </c>
      <c r="AW16" s="82" t="str">
        <f aca="false">IF(E16="","",B16&amp;"|"&amp;E16)</f>
        <v>MFD-ISW → MFD-CPF|JN°010</v>
      </c>
    </row>
    <row r="17" customFormat="false" ht="74.6" hidden="false" customHeight="false" outlineLevel="0" collapsed="false">
      <c r="A17" s="79" t="n">
        <f aca="false">IF(E17="","",ROW()-6)</f>
        <v>11</v>
      </c>
      <c r="B17" s="80" t="s">
        <v>110</v>
      </c>
      <c r="C17" s="81"/>
      <c r="D17" s="81"/>
      <c r="E17" s="81" t="s">
        <v>121</v>
      </c>
      <c r="F17" s="82" t="str">
        <f aca="false">IF(E17="","",IF(LEFT(E17,2)="DJ","DJ","JN"))</f>
        <v>JN</v>
      </c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3"/>
      <c r="V17" s="83"/>
      <c r="W17" s="81"/>
      <c r="X17" s="81"/>
      <c r="Y17" s="83"/>
      <c r="Z17" s="81"/>
      <c r="AA17" s="81"/>
      <c r="AB17" s="81"/>
      <c r="AC17" s="81"/>
      <c r="AD17" s="81"/>
      <c r="AE17" s="83"/>
      <c r="AF17" s="81"/>
      <c r="AG17" s="81"/>
      <c r="AH17" s="81"/>
      <c r="AI17" s="81"/>
      <c r="AJ17" s="83"/>
      <c r="AK17" s="81"/>
      <c r="AL17" s="81"/>
      <c r="AM17" s="83"/>
      <c r="AN17" s="80"/>
      <c r="AO17" s="82" t="n">
        <f aca="false">IF(E17="","",(AA17&lt;&gt;"")+(AG17&lt;&gt;"")+(AL17&lt;&gt;""))</f>
        <v>0</v>
      </c>
      <c r="AP17" s="82" t="str">
        <f aca="false">IF(AL17&lt;&gt;"",AL17,IF(AG17&lt;&gt;"",AG17,IF(AA17&lt;&gt;"",AA17,"")))</f>
        <v/>
      </c>
      <c r="AQ17" s="84" t="str">
        <f aca="false">IF(E17="","",IF(U17="","À SOUDER",IF(X17="","VT EN ATTENTE",IF(X17="R","VT REJETÉ – À REPRENDRE",IF(AP17="","À RADIOGRAPHIER",IF(AP17="A","ACCEPTÉ",IF(AP17="NX","NX – RT À REFAIRE",IF(IF(AO17=1,AD17,IF(AO17=2,AI17,""))="A","RÉPARÉ – À RADIOGRAPHIER",IF(IF(AO17=1,AD17,IF(AO17=2,AI17,""))="R","VT REJETÉ – À REPRENDRE",IF(OR(AP17="CO",AP17="NT"),"COUPE – À RESOUDER","À RÉPARER"))))))))))</f>
        <v>À SOUDER</v>
      </c>
      <c r="AR17" s="82" t="str">
        <f aca="false">IF(AND(ISNUMBER(U17),OR(AQ17="À RADIOGRAPHIER",AQ17="RÉPARÉ – À RADIOGRAPHIER",AQ17="NX – RT À REFAIRE",AQ17="À RÉPARER",AQ17="COUPE – À RESOUDER",AQ17="VT REJETÉ – À REPRENDRE")),MAX(0,'PROGRAMME RT'!$C$4-U17),"")</f>
        <v/>
      </c>
      <c r="AS17" s="82" t="n">
        <f aca="false">IF(AND(OR(AQ17="À RADIOGRAPHIER",AQ17="RÉPARÉ – À RADIOGRAPHIER",AQ17="NX – RT À REFAIRE"),OR('PROGRAMME RT'!$D$5="TOUTES",B17='PROGRAMME RT'!$D$5)),1,0)</f>
        <v>0</v>
      </c>
      <c r="AT17" s="82" t="str">
        <f aca="false">IF(AS17=1,SUM(AS$7:AS17),"")</f>
        <v/>
      </c>
      <c r="AU17" s="82" t="n">
        <f aca="false">IF(AND(OR(AA17="R",AA17="NX",AA17="NT",AA17="CO"),OR('JOINTS DE RÉPARATION'!$D$5="TOUTES",B17='JOINTS DE RÉPARATION'!$D$5),OR('JOINTS DE RÉPARATION'!$L$4="TOUS",AQ17&lt;&gt;"ACCEPTÉ")),1,0)</f>
        <v>0</v>
      </c>
      <c r="AV17" s="82" t="str">
        <f aca="false">IF(AU17=1,SUM(AU$7:AU17),"")</f>
        <v/>
      </c>
      <c r="AW17" s="82" t="str">
        <f aca="false">IF(E17="","",B17&amp;"|"&amp;E17)</f>
        <v>MFD-ISW → MFD-CPF|JN°011</v>
      </c>
    </row>
    <row r="18" customFormat="false" ht="74.6" hidden="false" customHeight="false" outlineLevel="0" collapsed="false">
      <c r="A18" s="79" t="n">
        <f aca="false">IF(E18="","",ROW()-6)</f>
        <v>12</v>
      </c>
      <c r="B18" s="80" t="s">
        <v>110</v>
      </c>
      <c r="C18" s="81"/>
      <c r="D18" s="81"/>
      <c r="E18" s="81" t="s">
        <v>122</v>
      </c>
      <c r="F18" s="82" t="str">
        <f aca="false">IF(E18="","",IF(LEFT(E18,2)="DJ","DJ","JN"))</f>
        <v>JN</v>
      </c>
      <c r="G18" s="81"/>
      <c r="H18" s="81"/>
      <c r="I18" s="81"/>
      <c r="J18" s="81"/>
      <c r="K18" s="81"/>
      <c r="L18" s="81"/>
      <c r="M18" s="81"/>
      <c r="N18" s="81"/>
      <c r="O18" s="81"/>
      <c r="P18" s="81"/>
      <c r="Q18" s="81"/>
      <c r="R18" s="81"/>
      <c r="S18" s="81"/>
      <c r="T18" s="81"/>
      <c r="U18" s="83"/>
      <c r="V18" s="83"/>
      <c r="W18" s="81"/>
      <c r="X18" s="81"/>
      <c r="Y18" s="83"/>
      <c r="Z18" s="81"/>
      <c r="AA18" s="81"/>
      <c r="AB18" s="81"/>
      <c r="AC18" s="81"/>
      <c r="AD18" s="81"/>
      <c r="AE18" s="83"/>
      <c r="AF18" s="81"/>
      <c r="AG18" s="81"/>
      <c r="AH18" s="81"/>
      <c r="AI18" s="81"/>
      <c r="AJ18" s="83"/>
      <c r="AK18" s="81"/>
      <c r="AL18" s="81"/>
      <c r="AM18" s="83"/>
      <c r="AN18" s="80"/>
      <c r="AO18" s="82" t="n">
        <f aca="false">IF(E18="","",(AA18&lt;&gt;"")+(AG18&lt;&gt;"")+(AL18&lt;&gt;""))</f>
        <v>0</v>
      </c>
      <c r="AP18" s="82" t="str">
        <f aca="false">IF(AL18&lt;&gt;"",AL18,IF(AG18&lt;&gt;"",AG18,IF(AA18&lt;&gt;"",AA18,"")))</f>
        <v/>
      </c>
      <c r="AQ18" s="84" t="str">
        <f aca="false">IF(E18="","",IF(U18="","À SOUDER",IF(X18="","VT EN ATTENTE",IF(X18="R","VT REJETÉ – À REPRENDRE",IF(AP18="","À RADIOGRAPHIER",IF(AP18="A","ACCEPTÉ",IF(AP18="NX","NX – RT À REFAIRE",IF(IF(AO18=1,AD18,IF(AO18=2,AI18,""))="A","RÉPARÉ – À RADIOGRAPHIER",IF(IF(AO18=1,AD18,IF(AO18=2,AI18,""))="R","VT REJETÉ – À REPRENDRE",IF(OR(AP18="CO",AP18="NT"),"COUPE – À RESOUDER","À RÉPARER"))))))))))</f>
        <v>À SOUDER</v>
      </c>
      <c r="AR18" s="82" t="str">
        <f aca="false">IF(AND(ISNUMBER(U18),OR(AQ18="À RADIOGRAPHIER",AQ18="RÉPARÉ – À RADIOGRAPHIER",AQ18="NX – RT À REFAIRE",AQ18="À RÉPARER",AQ18="COUPE – À RESOUDER",AQ18="VT REJETÉ – À REPRENDRE")),MAX(0,'PROGRAMME RT'!$C$4-U18),"")</f>
        <v/>
      </c>
      <c r="AS18" s="82" t="n">
        <f aca="false">IF(AND(OR(AQ18="À RADIOGRAPHIER",AQ18="RÉPARÉ – À RADIOGRAPHIER",AQ18="NX – RT À REFAIRE"),OR('PROGRAMME RT'!$D$5="TOUTES",B18='PROGRAMME RT'!$D$5)),1,0)</f>
        <v>0</v>
      </c>
      <c r="AT18" s="82" t="str">
        <f aca="false">IF(AS18=1,SUM(AS$7:AS18),"")</f>
        <v/>
      </c>
      <c r="AU18" s="82" t="n">
        <f aca="false">IF(AND(OR(AA18="R",AA18="NX",AA18="NT",AA18="CO"),OR('JOINTS DE RÉPARATION'!$D$5="TOUTES",B18='JOINTS DE RÉPARATION'!$D$5),OR('JOINTS DE RÉPARATION'!$L$4="TOUS",AQ18&lt;&gt;"ACCEPTÉ")),1,0)</f>
        <v>0</v>
      </c>
      <c r="AV18" s="82" t="str">
        <f aca="false">IF(AU18=1,SUM(AU$7:AU18),"")</f>
        <v/>
      </c>
      <c r="AW18" s="82" t="str">
        <f aca="false">IF(E18="","",B18&amp;"|"&amp;E18)</f>
        <v>MFD-ISW → MFD-CPF|JN°012</v>
      </c>
    </row>
    <row r="19" customFormat="false" ht="74.6" hidden="false" customHeight="false" outlineLevel="0" collapsed="false">
      <c r="A19" s="79" t="n">
        <f aca="false">IF(E19="","",ROW()-6)</f>
        <v>13</v>
      </c>
      <c r="B19" s="80" t="s">
        <v>110</v>
      </c>
      <c r="C19" s="81"/>
      <c r="D19" s="81"/>
      <c r="E19" s="81" t="s">
        <v>123</v>
      </c>
      <c r="F19" s="82" t="str">
        <f aca="false">IF(E19="","",IF(LEFT(E19,2)="DJ","DJ","JN"))</f>
        <v>JN</v>
      </c>
      <c r="G19" s="81"/>
      <c r="H19" s="81"/>
      <c r="I19" s="81"/>
      <c r="J19" s="81"/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83"/>
      <c r="V19" s="83"/>
      <c r="W19" s="81"/>
      <c r="X19" s="81"/>
      <c r="Y19" s="83"/>
      <c r="Z19" s="81"/>
      <c r="AA19" s="81"/>
      <c r="AB19" s="81"/>
      <c r="AC19" s="81"/>
      <c r="AD19" s="81"/>
      <c r="AE19" s="83"/>
      <c r="AF19" s="81"/>
      <c r="AG19" s="81"/>
      <c r="AH19" s="81"/>
      <c r="AI19" s="81"/>
      <c r="AJ19" s="83"/>
      <c r="AK19" s="81"/>
      <c r="AL19" s="81"/>
      <c r="AM19" s="83"/>
      <c r="AN19" s="80"/>
      <c r="AO19" s="82" t="n">
        <f aca="false">IF(E19="","",(AA19&lt;&gt;"")+(AG19&lt;&gt;"")+(AL19&lt;&gt;""))</f>
        <v>0</v>
      </c>
      <c r="AP19" s="82" t="str">
        <f aca="false">IF(AL19&lt;&gt;"",AL19,IF(AG19&lt;&gt;"",AG19,IF(AA19&lt;&gt;"",AA19,"")))</f>
        <v/>
      </c>
      <c r="AQ19" s="84" t="str">
        <f aca="false">IF(E19="","",IF(U19="","À SOUDER",IF(X19="","VT EN ATTENTE",IF(X19="R","VT REJETÉ – À REPRENDRE",IF(AP19="","À RADIOGRAPHIER",IF(AP19="A","ACCEPTÉ",IF(AP19="NX","NX – RT À REFAIRE",IF(IF(AO19=1,AD19,IF(AO19=2,AI19,""))="A","RÉPARÉ – À RADIOGRAPHIER",IF(IF(AO19=1,AD19,IF(AO19=2,AI19,""))="R","VT REJETÉ – À REPRENDRE",IF(OR(AP19="CO",AP19="NT"),"COUPE – À RESOUDER","À RÉPARER"))))))))))</f>
        <v>À SOUDER</v>
      </c>
      <c r="AR19" s="82" t="str">
        <f aca="false">IF(AND(ISNUMBER(U19),OR(AQ19="À RADIOGRAPHIER",AQ19="RÉPARÉ – À RADIOGRAPHIER",AQ19="NX – RT À REFAIRE",AQ19="À RÉPARER",AQ19="COUPE – À RESOUDER",AQ19="VT REJETÉ – À REPRENDRE")),MAX(0,'PROGRAMME RT'!$C$4-U19),"")</f>
        <v/>
      </c>
      <c r="AS19" s="82" t="n">
        <f aca="false">IF(AND(OR(AQ19="À RADIOGRAPHIER",AQ19="RÉPARÉ – À RADIOGRAPHIER",AQ19="NX – RT À REFAIRE"),OR('PROGRAMME RT'!$D$5="TOUTES",B19='PROGRAMME RT'!$D$5)),1,0)</f>
        <v>0</v>
      </c>
      <c r="AT19" s="82" t="str">
        <f aca="false">IF(AS19=1,SUM(AS$7:AS19),"")</f>
        <v/>
      </c>
      <c r="AU19" s="82" t="n">
        <f aca="false">IF(AND(OR(AA19="R",AA19="NX",AA19="NT",AA19="CO"),OR('JOINTS DE RÉPARATION'!$D$5="TOUTES",B19='JOINTS DE RÉPARATION'!$D$5),OR('JOINTS DE RÉPARATION'!$L$4="TOUS",AQ19&lt;&gt;"ACCEPTÉ")),1,0)</f>
        <v>0</v>
      </c>
      <c r="AV19" s="82" t="str">
        <f aca="false">IF(AU19=1,SUM(AU$7:AU19),"")</f>
        <v/>
      </c>
      <c r="AW19" s="82" t="str">
        <f aca="false">IF(E19="","",B19&amp;"|"&amp;E19)</f>
        <v>MFD-ISW → MFD-CPF|JN°013</v>
      </c>
    </row>
    <row r="20" customFormat="false" ht="74.6" hidden="false" customHeight="false" outlineLevel="0" collapsed="false">
      <c r="A20" s="79" t="n">
        <f aca="false">IF(E20="","",ROW()-6)</f>
        <v>14</v>
      </c>
      <c r="B20" s="80" t="s">
        <v>110</v>
      </c>
      <c r="C20" s="81"/>
      <c r="D20" s="81"/>
      <c r="E20" s="81" t="s">
        <v>124</v>
      </c>
      <c r="F20" s="82" t="str">
        <f aca="false">IF(E20="","",IF(LEFT(E20,2)="DJ","DJ","JN"))</f>
        <v>JN</v>
      </c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3"/>
      <c r="V20" s="83"/>
      <c r="W20" s="81"/>
      <c r="X20" s="81"/>
      <c r="Y20" s="83"/>
      <c r="Z20" s="81"/>
      <c r="AA20" s="81"/>
      <c r="AB20" s="81"/>
      <c r="AC20" s="81"/>
      <c r="AD20" s="81"/>
      <c r="AE20" s="83"/>
      <c r="AF20" s="81"/>
      <c r="AG20" s="81"/>
      <c r="AH20" s="81"/>
      <c r="AI20" s="81"/>
      <c r="AJ20" s="83"/>
      <c r="AK20" s="81"/>
      <c r="AL20" s="81"/>
      <c r="AM20" s="83"/>
      <c r="AN20" s="80"/>
      <c r="AO20" s="82" t="n">
        <f aca="false">IF(E20="","",(AA20&lt;&gt;"")+(AG20&lt;&gt;"")+(AL20&lt;&gt;""))</f>
        <v>0</v>
      </c>
      <c r="AP20" s="82" t="str">
        <f aca="false">IF(AL20&lt;&gt;"",AL20,IF(AG20&lt;&gt;"",AG20,IF(AA20&lt;&gt;"",AA20,"")))</f>
        <v/>
      </c>
      <c r="AQ20" s="84" t="str">
        <f aca="false">IF(E20="","",IF(U20="","À SOUDER",IF(X20="","VT EN ATTENTE",IF(X20="R","VT REJETÉ – À REPRENDRE",IF(AP20="","À RADIOGRAPHIER",IF(AP20="A","ACCEPTÉ",IF(AP20="NX","NX – RT À REFAIRE",IF(IF(AO20=1,AD20,IF(AO20=2,AI20,""))="A","RÉPARÉ – À RADIOGRAPHIER",IF(IF(AO20=1,AD20,IF(AO20=2,AI20,""))="R","VT REJETÉ – À REPRENDRE",IF(OR(AP20="CO",AP20="NT"),"COUPE – À RESOUDER","À RÉPARER"))))))))))</f>
        <v>À SOUDER</v>
      </c>
      <c r="AR20" s="82" t="str">
        <f aca="false">IF(AND(ISNUMBER(U20),OR(AQ20="À RADIOGRAPHIER",AQ20="RÉPARÉ – À RADIOGRAPHIER",AQ20="NX – RT À REFAIRE",AQ20="À RÉPARER",AQ20="COUPE – À RESOUDER",AQ20="VT REJETÉ – À REPRENDRE")),MAX(0,'PROGRAMME RT'!$C$4-U20),"")</f>
        <v/>
      </c>
      <c r="AS20" s="82" t="n">
        <f aca="false">IF(AND(OR(AQ20="À RADIOGRAPHIER",AQ20="RÉPARÉ – À RADIOGRAPHIER",AQ20="NX – RT À REFAIRE"),OR('PROGRAMME RT'!$D$5="TOUTES",B20='PROGRAMME RT'!$D$5)),1,0)</f>
        <v>0</v>
      </c>
      <c r="AT20" s="82" t="str">
        <f aca="false">IF(AS20=1,SUM(AS$7:AS20),"")</f>
        <v/>
      </c>
      <c r="AU20" s="82" t="n">
        <f aca="false">IF(AND(OR(AA20="R",AA20="NX",AA20="NT",AA20="CO"),OR('JOINTS DE RÉPARATION'!$D$5="TOUTES",B20='JOINTS DE RÉPARATION'!$D$5),OR('JOINTS DE RÉPARATION'!$L$4="TOUS",AQ20&lt;&gt;"ACCEPTÉ")),1,0)</f>
        <v>0</v>
      </c>
      <c r="AV20" s="82" t="str">
        <f aca="false">IF(AU20=1,SUM(AU$7:AU20),"")</f>
        <v/>
      </c>
      <c r="AW20" s="82" t="str">
        <f aca="false">IF(E20="","",B20&amp;"|"&amp;E20)</f>
        <v>MFD-ISW → MFD-CPF|JN°014</v>
      </c>
    </row>
    <row r="21" customFormat="false" ht="74.6" hidden="false" customHeight="false" outlineLevel="0" collapsed="false">
      <c r="A21" s="79" t="n">
        <f aca="false">IF(E21="","",ROW()-6)</f>
        <v>15</v>
      </c>
      <c r="B21" s="80" t="s">
        <v>110</v>
      </c>
      <c r="C21" s="81"/>
      <c r="D21" s="81"/>
      <c r="E21" s="81" t="s">
        <v>125</v>
      </c>
      <c r="F21" s="82" t="str">
        <f aca="false">IF(E21="","",IF(LEFT(E21,2)="DJ","DJ","JN"))</f>
        <v>JN</v>
      </c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1"/>
      <c r="T21" s="81"/>
      <c r="U21" s="83"/>
      <c r="V21" s="83"/>
      <c r="W21" s="81"/>
      <c r="X21" s="81"/>
      <c r="Y21" s="83"/>
      <c r="Z21" s="81"/>
      <c r="AA21" s="81"/>
      <c r="AB21" s="81"/>
      <c r="AC21" s="81"/>
      <c r="AD21" s="81"/>
      <c r="AE21" s="83"/>
      <c r="AF21" s="81"/>
      <c r="AG21" s="81"/>
      <c r="AH21" s="81"/>
      <c r="AI21" s="81"/>
      <c r="AJ21" s="83"/>
      <c r="AK21" s="81"/>
      <c r="AL21" s="81"/>
      <c r="AM21" s="83"/>
      <c r="AN21" s="80"/>
      <c r="AO21" s="82" t="n">
        <f aca="false">IF(E21="","",(AA21&lt;&gt;"")+(AG21&lt;&gt;"")+(AL21&lt;&gt;""))</f>
        <v>0</v>
      </c>
      <c r="AP21" s="82" t="str">
        <f aca="false">IF(AL21&lt;&gt;"",AL21,IF(AG21&lt;&gt;"",AG21,IF(AA21&lt;&gt;"",AA21,"")))</f>
        <v/>
      </c>
      <c r="AQ21" s="84" t="str">
        <f aca="false">IF(E21="","",IF(U21="","À SOUDER",IF(X21="","VT EN ATTENTE",IF(X21="R","VT REJETÉ – À REPRENDRE",IF(AP21="","À RADIOGRAPHIER",IF(AP21="A","ACCEPTÉ",IF(AP21="NX","NX – RT À REFAIRE",IF(IF(AO21=1,AD21,IF(AO21=2,AI21,""))="A","RÉPARÉ – À RADIOGRAPHIER",IF(IF(AO21=1,AD21,IF(AO21=2,AI21,""))="R","VT REJETÉ – À REPRENDRE",IF(OR(AP21="CO",AP21="NT"),"COUPE – À RESOUDER","À RÉPARER"))))))))))</f>
        <v>À SOUDER</v>
      </c>
      <c r="AR21" s="82" t="str">
        <f aca="false">IF(AND(ISNUMBER(U21),OR(AQ21="À RADIOGRAPHIER",AQ21="RÉPARÉ – À RADIOGRAPHIER",AQ21="NX – RT À REFAIRE",AQ21="À RÉPARER",AQ21="COUPE – À RESOUDER",AQ21="VT REJETÉ – À REPRENDRE")),MAX(0,'PROGRAMME RT'!$C$4-U21),"")</f>
        <v/>
      </c>
      <c r="AS21" s="82" t="n">
        <f aca="false">IF(AND(OR(AQ21="À RADIOGRAPHIER",AQ21="RÉPARÉ – À RADIOGRAPHIER",AQ21="NX – RT À REFAIRE"),OR('PROGRAMME RT'!$D$5="TOUTES",B21='PROGRAMME RT'!$D$5)),1,0)</f>
        <v>0</v>
      </c>
      <c r="AT21" s="82" t="str">
        <f aca="false">IF(AS21=1,SUM(AS$7:AS21),"")</f>
        <v/>
      </c>
      <c r="AU21" s="82" t="n">
        <f aca="false">IF(AND(OR(AA21="R",AA21="NX",AA21="NT",AA21="CO"),OR('JOINTS DE RÉPARATION'!$D$5="TOUTES",B21='JOINTS DE RÉPARATION'!$D$5),OR('JOINTS DE RÉPARATION'!$L$4="TOUS",AQ21&lt;&gt;"ACCEPTÉ")),1,0)</f>
        <v>0</v>
      </c>
      <c r="AV21" s="82" t="str">
        <f aca="false">IF(AU21=1,SUM(AU$7:AU21),"")</f>
        <v/>
      </c>
      <c r="AW21" s="82" t="str">
        <f aca="false">IF(E21="","",B21&amp;"|"&amp;E21)</f>
        <v>MFD-ISW → MFD-CPF|JN°015</v>
      </c>
    </row>
    <row r="22" customFormat="false" ht="74.6" hidden="false" customHeight="false" outlineLevel="0" collapsed="false">
      <c r="A22" s="79" t="n">
        <f aca="false">IF(E22="","",ROW()-6)</f>
        <v>16</v>
      </c>
      <c r="B22" s="80" t="s">
        <v>110</v>
      </c>
      <c r="C22" s="81"/>
      <c r="D22" s="81"/>
      <c r="E22" s="81" t="s">
        <v>126</v>
      </c>
      <c r="F22" s="82" t="str">
        <f aca="false">IF(E22="","",IF(LEFT(E22,2)="DJ","DJ","JN"))</f>
        <v>JN</v>
      </c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3"/>
      <c r="V22" s="83"/>
      <c r="W22" s="81"/>
      <c r="X22" s="81"/>
      <c r="Y22" s="83"/>
      <c r="Z22" s="81"/>
      <c r="AA22" s="81"/>
      <c r="AB22" s="81"/>
      <c r="AC22" s="81"/>
      <c r="AD22" s="81"/>
      <c r="AE22" s="83"/>
      <c r="AF22" s="81"/>
      <c r="AG22" s="81"/>
      <c r="AH22" s="81"/>
      <c r="AI22" s="81"/>
      <c r="AJ22" s="83"/>
      <c r="AK22" s="81"/>
      <c r="AL22" s="81"/>
      <c r="AM22" s="83"/>
      <c r="AN22" s="80"/>
      <c r="AO22" s="82" t="n">
        <f aca="false">IF(E22="","",(AA22&lt;&gt;"")+(AG22&lt;&gt;"")+(AL22&lt;&gt;""))</f>
        <v>0</v>
      </c>
      <c r="AP22" s="82" t="str">
        <f aca="false">IF(AL22&lt;&gt;"",AL22,IF(AG22&lt;&gt;"",AG22,IF(AA22&lt;&gt;"",AA22,"")))</f>
        <v/>
      </c>
      <c r="AQ22" s="84" t="str">
        <f aca="false">IF(E22="","",IF(U22="","À SOUDER",IF(X22="","VT EN ATTENTE",IF(X22="R","VT REJETÉ – À REPRENDRE",IF(AP22="","À RADIOGRAPHIER",IF(AP22="A","ACCEPTÉ",IF(AP22="NX","NX – RT À REFAIRE",IF(IF(AO22=1,AD22,IF(AO22=2,AI22,""))="A","RÉPARÉ – À RADIOGRAPHIER",IF(IF(AO22=1,AD22,IF(AO22=2,AI22,""))="R","VT REJETÉ – À REPRENDRE",IF(OR(AP22="CO",AP22="NT"),"COUPE – À RESOUDER","À RÉPARER"))))))))))</f>
        <v>À SOUDER</v>
      </c>
      <c r="AR22" s="82" t="str">
        <f aca="false">IF(AND(ISNUMBER(U22),OR(AQ22="À RADIOGRAPHIER",AQ22="RÉPARÉ – À RADIOGRAPHIER",AQ22="NX – RT À REFAIRE",AQ22="À RÉPARER",AQ22="COUPE – À RESOUDER",AQ22="VT REJETÉ – À REPRENDRE")),MAX(0,'PROGRAMME RT'!$C$4-U22),"")</f>
        <v/>
      </c>
      <c r="AS22" s="82" t="n">
        <f aca="false">IF(AND(OR(AQ22="À RADIOGRAPHIER",AQ22="RÉPARÉ – À RADIOGRAPHIER",AQ22="NX – RT À REFAIRE"),OR('PROGRAMME RT'!$D$5="TOUTES",B22='PROGRAMME RT'!$D$5)),1,0)</f>
        <v>0</v>
      </c>
      <c r="AT22" s="82" t="str">
        <f aca="false">IF(AS22=1,SUM(AS$7:AS22),"")</f>
        <v/>
      </c>
      <c r="AU22" s="82" t="n">
        <f aca="false">IF(AND(OR(AA22="R",AA22="NX",AA22="NT",AA22="CO"),OR('JOINTS DE RÉPARATION'!$D$5="TOUTES",B22='JOINTS DE RÉPARATION'!$D$5),OR('JOINTS DE RÉPARATION'!$L$4="TOUS",AQ22&lt;&gt;"ACCEPTÉ")),1,0)</f>
        <v>0</v>
      </c>
      <c r="AV22" s="82" t="str">
        <f aca="false">IF(AU22=1,SUM(AU$7:AU22),"")</f>
        <v/>
      </c>
      <c r="AW22" s="82" t="str">
        <f aca="false">IF(E22="","",B22&amp;"|"&amp;E22)</f>
        <v>MFD-ISW → MFD-CPF|JN°016</v>
      </c>
    </row>
    <row r="23" customFormat="false" ht="74.6" hidden="false" customHeight="false" outlineLevel="0" collapsed="false">
      <c r="A23" s="79" t="n">
        <f aca="false">IF(E23="","",ROW()-6)</f>
        <v>17</v>
      </c>
      <c r="B23" s="80" t="s">
        <v>110</v>
      </c>
      <c r="C23" s="81"/>
      <c r="D23" s="81"/>
      <c r="E23" s="81" t="s">
        <v>127</v>
      </c>
      <c r="F23" s="82" t="str">
        <f aca="false">IF(E23="","",IF(LEFT(E23,2)="DJ","DJ","JN"))</f>
        <v>JN</v>
      </c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3"/>
      <c r="V23" s="83"/>
      <c r="W23" s="81"/>
      <c r="X23" s="81"/>
      <c r="Y23" s="83"/>
      <c r="Z23" s="81"/>
      <c r="AA23" s="81"/>
      <c r="AB23" s="81"/>
      <c r="AC23" s="81"/>
      <c r="AD23" s="81"/>
      <c r="AE23" s="83"/>
      <c r="AF23" s="81"/>
      <c r="AG23" s="81"/>
      <c r="AH23" s="81"/>
      <c r="AI23" s="81"/>
      <c r="AJ23" s="83"/>
      <c r="AK23" s="81"/>
      <c r="AL23" s="81"/>
      <c r="AM23" s="83"/>
      <c r="AN23" s="80"/>
      <c r="AO23" s="82" t="n">
        <f aca="false">IF(E23="","",(AA23&lt;&gt;"")+(AG23&lt;&gt;"")+(AL23&lt;&gt;""))</f>
        <v>0</v>
      </c>
      <c r="AP23" s="82" t="str">
        <f aca="false">IF(AL23&lt;&gt;"",AL23,IF(AG23&lt;&gt;"",AG23,IF(AA23&lt;&gt;"",AA23,"")))</f>
        <v/>
      </c>
      <c r="AQ23" s="84" t="str">
        <f aca="false">IF(E23="","",IF(U23="","À SOUDER",IF(X23="","VT EN ATTENTE",IF(X23="R","VT REJETÉ – À REPRENDRE",IF(AP23="","À RADIOGRAPHIER",IF(AP23="A","ACCEPTÉ",IF(AP23="NX","NX – RT À REFAIRE",IF(IF(AO23=1,AD23,IF(AO23=2,AI23,""))="A","RÉPARÉ – À RADIOGRAPHIER",IF(IF(AO23=1,AD23,IF(AO23=2,AI23,""))="R","VT REJETÉ – À REPRENDRE",IF(OR(AP23="CO",AP23="NT"),"COUPE – À RESOUDER","À RÉPARER"))))))))))</f>
        <v>À SOUDER</v>
      </c>
      <c r="AR23" s="82" t="str">
        <f aca="false">IF(AND(ISNUMBER(U23),OR(AQ23="À RADIOGRAPHIER",AQ23="RÉPARÉ – À RADIOGRAPHIER",AQ23="NX – RT À REFAIRE",AQ23="À RÉPARER",AQ23="COUPE – À RESOUDER",AQ23="VT REJETÉ – À REPRENDRE")),MAX(0,'PROGRAMME RT'!$C$4-U23),"")</f>
        <v/>
      </c>
      <c r="AS23" s="82" t="n">
        <f aca="false">IF(AND(OR(AQ23="À RADIOGRAPHIER",AQ23="RÉPARÉ – À RADIOGRAPHIER",AQ23="NX – RT À REFAIRE"),OR('PROGRAMME RT'!$D$5="TOUTES",B23='PROGRAMME RT'!$D$5)),1,0)</f>
        <v>0</v>
      </c>
      <c r="AT23" s="82" t="str">
        <f aca="false">IF(AS23=1,SUM(AS$7:AS23),"")</f>
        <v/>
      </c>
      <c r="AU23" s="82" t="n">
        <f aca="false">IF(AND(OR(AA23="R",AA23="NX",AA23="NT",AA23="CO"),OR('JOINTS DE RÉPARATION'!$D$5="TOUTES",B23='JOINTS DE RÉPARATION'!$D$5),OR('JOINTS DE RÉPARATION'!$L$4="TOUS",AQ23&lt;&gt;"ACCEPTÉ")),1,0)</f>
        <v>0</v>
      </c>
      <c r="AV23" s="82" t="str">
        <f aca="false">IF(AU23=1,SUM(AU$7:AU23),"")</f>
        <v/>
      </c>
      <c r="AW23" s="82" t="str">
        <f aca="false">IF(E23="","",B23&amp;"|"&amp;E23)</f>
        <v>MFD-ISW → MFD-CPF|JN°017</v>
      </c>
    </row>
    <row r="24" customFormat="false" ht="74.6" hidden="false" customHeight="false" outlineLevel="0" collapsed="false">
      <c r="A24" s="79" t="n">
        <f aca="false">IF(E24="","",ROW()-6)</f>
        <v>18</v>
      </c>
      <c r="B24" s="80" t="s">
        <v>110</v>
      </c>
      <c r="C24" s="81"/>
      <c r="D24" s="81"/>
      <c r="E24" s="81" t="s">
        <v>128</v>
      </c>
      <c r="F24" s="82" t="str">
        <f aca="false">IF(E24="","",IF(LEFT(E24,2)="DJ","DJ","JN"))</f>
        <v>JN</v>
      </c>
      <c r="G24" s="81"/>
      <c r="H24" s="81"/>
      <c r="I24" s="81"/>
      <c r="J24" s="81"/>
      <c r="K24" s="81"/>
      <c r="L24" s="81"/>
      <c r="M24" s="81"/>
      <c r="N24" s="81"/>
      <c r="O24" s="81"/>
      <c r="P24" s="81"/>
      <c r="Q24" s="81"/>
      <c r="R24" s="81"/>
      <c r="S24" s="81"/>
      <c r="T24" s="81"/>
      <c r="U24" s="83"/>
      <c r="V24" s="83"/>
      <c r="W24" s="81"/>
      <c r="X24" s="81"/>
      <c r="Y24" s="83"/>
      <c r="Z24" s="81"/>
      <c r="AA24" s="81"/>
      <c r="AB24" s="81"/>
      <c r="AC24" s="81"/>
      <c r="AD24" s="81"/>
      <c r="AE24" s="83"/>
      <c r="AF24" s="81"/>
      <c r="AG24" s="81"/>
      <c r="AH24" s="81"/>
      <c r="AI24" s="81"/>
      <c r="AJ24" s="83"/>
      <c r="AK24" s="81"/>
      <c r="AL24" s="81"/>
      <c r="AM24" s="83"/>
      <c r="AN24" s="80"/>
      <c r="AO24" s="82" t="n">
        <f aca="false">IF(E24="","",(AA24&lt;&gt;"")+(AG24&lt;&gt;"")+(AL24&lt;&gt;""))</f>
        <v>0</v>
      </c>
      <c r="AP24" s="82" t="str">
        <f aca="false">IF(AL24&lt;&gt;"",AL24,IF(AG24&lt;&gt;"",AG24,IF(AA24&lt;&gt;"",AA24,"")))</f>
        <v/>
      </c>
      <c r="AQ24" s="84" t="str">
        <f aca="false">IF(E24="","",IF(U24="","À SOUDER",IF(X24="","VT EN ATTENTE",IF(X24="R","VT REJETÉ – À REPRENDRE",IF(AP24="","À RADIOGRAPHIER",IF(AP24="A","ACCEPTÉ",IF(AP24="NX","NX – RT À REFAIRE",IF(IF(AO24=1,AD24,IF(AO24=2,AI24,""))="A","RÉPARÉ – À RADIOGRAPHIER",IF(IF(AO24=1,AD24,IF(AO24=2,AI24,""))="R","VT REJETÉ – À REPRENDRE",IF(OR(AP24="CO",AP24="NT"),"COUPE – À RESOUDER","À RÉPARER"))))))))))</f>
        <v>À SOUDER</v>
      </c>
      <c r="AR24" s="82" t="str">
        <f aca="false">IF(AND(ISNUMBER(U24),OR(AQ24="À RADIOGRAPHIER",AQ24="RÉPARÉ – À RADIOGRAPHIER",AQ24="NX – RT À REFAIRE",AQ24="À RÉPARER",AQ24="COUPE – À RESOUDER",AQ24="VT REJETÉ – À REPRENDRE")),MAX(0,'PROGRAMME RT'!$C$4-U24),"")</f>
        <v/>
      </c>
      <c r="AS24" s="82" t="n">
        <f aca="false">IF(AND(OR(AQ24="À RADIOGRAPHIER",AQ24="RÉPARÉ – À RADIOGRAPHIER",AQ24="NX – RT À REFAIRE"),OR('PROGRAMME RT'!$D$5="TOUTES",B24='PROGRAMME RT'!$D$5)),1,0)</f>
        <v>0</v>
      </c>
      <c r="AT24" s="82" t="str">
        <f aca="false">IF(AS24=1,SUM(AS$7:AS24),"")</f>
        <v/>
      </c>
      <c r="AU24" s="82" t="n">
        <f aca="false">IF(AND(OR(AA24="R",AA24="NX",AA24="NT",AA24="CO"),OR('JOINTS DE RÉPARATION'!$D$5="TOUTES",B24='JOINTS DE RÉPARATION'!$D$5),OR('JOINTS DE RÉPARATION'!$L$4="TOUS",AQ24&lt;&gt;"ACCEPTÉ")),1,0)</f>
        <v>0</v>
      </c>
      <c r="AV24" s="82" t="str">
        <f aca="false">IF(AU24=1,SUM(AU$7:AU24),"")</f>
        <v/>
      </c>
      <c r="AW24" s="82" t="str">
        <f aca="false">IF(E24="","",B24&amp;"|"&amp;E24)</f>
        <v>MFD-ISW → MFD-CPF|JN°018</v>
      </c>
    </row>
    <row r="25" customFormat="false" ht="74.6" hidden="false" customHeight="false" outlineLevel="0" collapsed="false">
      <c r="A25" s="79" t="n">
        <f aca="false">IF(E25="","",ROW()-6)</f>
        <v>19</v>
      </c>
      <c r="B25" s="80" t="s">
        <v>110</v>
      </c>
      <c r="C25" s="81"/>
      <c r="D25" s="81"/>
      <c r="E25" s="81" t="s">
        <v>129</v>
      </c>
      <c r="F25" s="82" t="str">
        <f aca="false">IF(E25="","",IF(LEFT(E25,2)="DJ","DJ","JN"))</f>
        <v>JN</v>
      </c>
      <c r="G25" s="81"/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3"/>
      <c r="V25" s="83"/>
      <c r="W25" s="81"/>
      <c r="X25" s="81"/>
      <c r="Y25" s="83"/>
      <c r="Z25" s="81"/>
      <c r="AA25" s="81"/>
      <c r="AB25" s="81"/>
      <c r="AC25" s="81"/>
      <c r="AD25" s="81"/>
      <c r="AE25" s="83"/>
      <c r="AF25" s="81"/>
      <c r="AG25" s="81"/>
      <c r="AH25" s="81"/>
      <c r="AI25" s="81"/>
      <c r="AJ25" s="83"/>
      <c r="AK25" s="81"/>
      <c r="AL25" s="81"/>
      <c r="AM25" s="83"/>
      <c r="AN25" s="80"/>
      <c r="AO25" s="82" t="n">
        <f aca="false">IF(E25="","",(AA25&lt;&gt;"")+(AG25&lt;&gt;"")+(AL25&lt;&gt;""))</f>
        <v>0</v>
      </c>
      <c r="AP25" s="82" t="str">
        <f aca="false">IF(AL25&lt;&gt;"",AL25,IF(AG25&lt;&gt;"",AG25,IF(AA25&lt;&gt;"",AA25,"")))</f>
        <v/>
      </c>
      <c r="AQ25" s="84" t="str">
        <f aca="false">IF(E25="","",IF(U25="","À SOUDER",IF(X25="","VT EN ATTENTE",IF(X25="R","VT REJETÉ – À REPRENDRE",IF(AP25="","À RADIOGRAPHIER",IF(AP25="A","ACCEPTÉ",IF(AP25="NX","NX – RT À REFAIRE",IF(IF(AO25=1,AD25,IF(AO25=2,AI25,""))="A","RÉPARÉ – À RADIOGRAPHIER",IF(IF(AO25=1,AD25,IF(AO25=2,AI25,""))="R","VT REJETÉ – À REPRENDRE",IF(OR(AP25="CO",AP25="NT"),"COUPE – À RESOUDER","À RÉPARER"))))))))))</f>
        <v>À SOUDER</v>
      </c>
      <c r="AR25" s="82" t="str">
        <f aca="false">IF(AND(ISNUMBER(U25),OR(AQ25="À RADIOGRAPHIER",AQ25="RÉPARÉ – À RADIOGRAPHIER",AQ25="NX – RT À REFAIRE",AQ25="À RÉPARER",AQ25="COUPE – À RESOUDER",AQ25="VT REJETÉ – À REPRENDRE")),MAX(0,'PROGRAMME RT'!$C$4-U25),"")</f>
        <v/>
      </c>
      <c r="AS25" s="82" t="n">
        <f aca="false">IF(AND(OR(AQ25="À RADIOGRAPHIER",AQ25="RÉPARÉ – À RADIOGRAPHIER",AQ25="NX – RT À REFAIRE"),OR('PROGRAMME RT'!$D$5="TOUTES",B25='PROGRAMME RT'!$D$5)),1,0)</f>
        <v>0</v>
      </c>
      <c r="AT25" s="82" t="str">
        <f aca="false">IF(AS25=1,SUM(AS$7:AS25),"")</f>
        <v/>
      </c>
      <c r="AU25" s="82" t="n">
        <f aca="false">IF(AND(OR(AA25="R",AA25="NX",AA25="NT",AA25="CO"),OR('JOINTS DE RÉPARATION'!$D$5="TOUTES",B25='JOINTS DE RÉPARATION'!$D$5),OR('JOINTS DE RÉPARATION'!$L$4="TOUS",AQ25&lt;&gt;"ACCEPTÉ")),1,0)</f>
        <v>0</v>
      </c>
      <c r="AV25" s="82" t="str">
        <f aca="false">IF(AU25=1,SUM(AU$7:AU25),"")</f>
        <v/>
      </c>
      <c r="AW25" s="82" t="str">
        <f aca="false">IF(E25="","",B25&amp;"|"&amp;E25)</f>
        <v>MFD-ISW → MFD-CPF|JN°019</v>
      </c>
    </row>
    <row r="26" customFormat="false" ht="74.6" hidden="false" customHeight="false" outlineLevel="0" collapsed="false">
      <c r="A26" s="79" t="n">
        <f aca="false">IF(E26="","",ROW()-6)</f>
        <v>20</v>
      </c>
      <c r="B26" s="80" t="s">
        <v>110</v>
      </c>
      <c r="C26" s="81"/>
      <c r="D26" s="81"/>
      <c r="E26" s="81" t="s">
        <v>130</v>
      </c>
      <c r="F26" s="82" t="str">
        <f aca="false">IF(E26="","",IF(LEFT(E26,2)="DJ","DJ","JN"))</f>
        <v>JN</v>
      </c>
      <c r="G26" s="81"/>
      <c r="H26" s="81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3"/>
      <c r="V26" s="83"/>
      <c r="W26" s="81"/>
      <c r="X26" s="81"/>
      <c r="Y26" s="83"/>
      <c r="Z26" s="81"/>
      <c r="AA26" s="81"/>
      <c r="AB26" s="81"/>
      <c r="AC26" s="81"/>
      <c r="AD26" s="81"/>
      <c r="AE26" s="83"/>
      <c r="AF26" s="81"/>
      <c r="AG26" s="81"/>
      <c r="AH26" s="81"/>
      <c r="AI26" s="81"/>
      <c r="AJ26" s="83"/>
      <c r="AK26" s="81"/>
      <c r="AL26" s="81"/>
      <c r="AM26" s="83"/>
      <c r="AN26" s="80"/>
      <c r="AO26" s="82" t="n">
        <f aca="false">IF(E26="","",(AA26&lt;&gt;"")+(AG26&lt;&gt;"")+(AL26&lt;&gt;""))</f>
        <v>0</v>
      </c>
      <c r="AP26" s="82" t="str">
        <f aca="false">IF(AL26&lt;&gt;"",AL26,IF(AG26&lt;&gt;"",AG26,IF(AA26&lt;&gt;"",AA26,"")))</f>
        <v/>
      </c>
      <c r="AQ26" s="84" t="str">
        <f aca="false">IF(E26="","",IF(U26="","À SOUDER",IF(X26="","VT EN ATTENTE",IF(X26="R","VT REJETÉ – À REPRENDRE",IF(AP26="","À RADIOGRAPHIER",IF(AP26="A","ACCEPTÉ",IF(AP26="NX","NX – RT À REFAIRE",IF(IF(AO26=1,AD26,IF(AO26=2,AI26,""))="A","RÉPARÉ – À RADIOGRAPHIER",IF(IF(AO26=1,AD26,IF(AO26=2,AI26,""))="R","VT REJETÉ – À REPRENDRE",IF(OR(AP26="CO",AP26="NT"),"COUPE – À RESOUDER","À RÉPARER"))))))))))</f>
        <v>À SOUDER</v>
      </c>
      <c r="AR26" s="82" t="str">
        <f aca="false">IF(AND(ISNUMBER(U26),OR(AQ26="À RADIOGRAPHIER",AQ26="RÉPARÉ – À RADIOGRAPHIER",AQ26="NX – RT À REFAIRE",AQ26="À RÉPARER",AQ26="COUPE – À RESOUDER",AQ26="VT REJETÉ – À REPRENDRE")),MAX(0,'PROGRAMME RT'!$C$4-U26),"")</f>
        <v/>
      </c>
      <c r="AS26" s="82" t="n">
        <f aca="false">IF(AND(OR(AQ26="À RADIOGRAPHIER",AQ26="RÉPARÉ – À RADIOGRAPHIER",AQ26="NX – RT À REFAIRE"),OR('PROGRAMME RT'!$D$5="TOUTES",B26='PROGRAMME RT'!$D$5)),1,0)</f>
        <v>0</v>
      </c>
      <c r="AT26" s="82" t="str">
        <f aca="false">IF(AS26=1,SUM(AS$7:AS26),"")</f>
        <v/>
      </c>
      <c r="AU26" s="82" t="n">
        <f aca="false">IF(AND(OR(AA26="R",AA26="NX",AA26="NT",AA26="CO"),OR('JOINTS DE RÉPARATION'!$D$5="TOUTES",B26='JOINTS DE RÉPARATION'!$D$5),OR('JOINTS DE RÉPARATION'!$L$4="TOUS",AQ26&lt;&gt;"ACCEPTÉ")),1,0)</f>
        <v>0</v>
      </c>
      <c r="AV26" s="82" t="str">
        <f aca="false">IF(AU26=1,SUM(AU$7:AU26),"")</f>
        <v/>
      </c>
      <c r="AW26" s="82" t="str">
        <f aca="false">IF(E26="","",B26&amp;"|"&amp;E26)</f>
        <v>MFD-ISW → MFD-CPF|JN°020</v>
      </c>
    </row>
    <row r="27" customFormat="false" ht="74.6" hidden="false" customHeight="false" outlineLevel="0" collapsed="false">
      <c r="A27" s="79" t="n">
        <f aca="false">IF(E27="","",ROW()-6)</f>
        <v>21</v>
      </c>
      <c r="B27" s="80" t="s">
        <v>110</v>
      </c>
      <c r="C27" s="81"/>
      <c r="D27" s="81"/>
      <c r="E27" s="81" t="s">
        <v>131</v>
      </c>
      <c r="F27" s="82" t="str">
        <f aca="false">IF(E27="","",IF(LEFT(E27,2)="DJ","DJ","JN"))</f>
        <v>JN</v>
      </c>
      <c r="G27" s="81"/>
      <c r="H27" s="81"/>
      <c r="I27" s="81"/>
      <c r="J27" s="81"/>
      <c r="K27" s="81"/>
      <c r="L27" s="81"/>
      <c r="M27" s="81"/>
      <c r="N27" s="81"/>
      <c r="O27" s="81"/>
      <c r="P27" s="81"/>
      <c r="Q27" s="81"/>
      <c r="R27" s="81"/>
      <c r="S27" s="81"/>
      <c r="T27" s="81"/>
      <c r="U27" s="83"/>
      <c r="V27" s="83"/>
      <c r="W27" s="81"/>
      <c r="X27" s="81"/>
      <c r="Y27" s="83"/>
      <c r="Z27" s="81"/>
      <c r="AA27" s="81"/>
      <c r="AB27" s="81"/>
      <c r="AC27" s="81"/>
      <c r="AD27" s="81"/>
      <c r="AE27" s="83"/>
      <c r="AF27" s="81"/>
      <c r="AG27" s="81"/>
      <c r="AH27" s="81"/>
      <c r="AI27" s="81"/>
      <c r="AJ27" s="83"/>
      <c r="AK27" s="81"/>
      <c r="AL27" s="81"/>
      <c r="AM27" s="83"/>
      <c r="AN27" s="80"/>
      <c r="AO27" s="82" t="n">
        <f aca="false">IF(E27="","",(AA27&lt;&gt;"")+(AG27&lt;&gt;"")+(AL27&lt;&gt;""))</f>
        <v>0</v>
      </c>
      <c r="AP27" s="82" t="str">
        <f aca="false">IF(AL27&lt;&gt;"",AL27,IF(AG27&lt;&gt;"",AG27,IF(AA27&lt;&gt;"",AA27,"")))</f>
        <v/>
      </c>
      <c r="AQ27" s="84" t="str">
        <f aca="false">IF(E27="","",IF(U27="","À SOUDER",IF(X27="","VT EN ATTENTE",IF(X27="R","VT REJETÉ – À REPRENDRE",IF(AP27="","À RADIOGRAPHIER",IF(AP27="A","ACCEPTÉ",IF(AP27="NX","NX – RT À REFAIRE",IF(IF(AO27=1,AD27,IF(AO27=2,AI27,""))="A","RÉPARÉ – À RADIOGRAPHIER",IF(IF(AO27=1,AD27,IF(AO27=2,AI27,""))="R","VT REJETÉ – À REPRENDRE",IF(OR(AP27="CO",AP27="NT"),"COUPE – À RESOUDER","À RÉPARER"))))))))))</f>
        <v>À SOUDER</v>
      </c>
      <c r="AR27" s="82" t="str">
        <f aca="false">IF(AND(ISNUMBER(U27),OR(AQ27="À RADIOGRAPHIER",AQ27="RÉPARÉ – À RADIOGRAPHIER",AQ27="NX – RT À REFAIRE",AQ27="À RÉPARER",AQ27="COUPE – À RESOUDER",AQ27="VT REJETÉ – À REPRENDRE")),MAX(0,'PROGRAMME RT'!$C$4-U27),"")</f>
        <v/>
      </c>
      <c r="AS27" s="82" t="n">
        <f aca="false">IF(AND(OR(AQ27="À RADIOGRAPHIER",AQ27="RÉPARÉ – À RADIOGRAPHIER",AQ27="NX – RT À REFAIRE"),OR('PROGRAMME RT'!$D$5="TOUTES",B27='PROGRAMME RT'!$D$5)),1,0)</f>
        <v>0</v>
      </c>
      <c r="AT27" s="82" t="str">
        <f aca="false">IF(AS27=1,SUM(AS$7:AS27),"")</f>
        <v/>
      </c>
      <c r="AU27" s="82" t="n">
        <f aca="false">IF(AND(OR(AA27="R",AA27="NX",AA27="NT",AA27="CO"),OR('JOINTS DE RÉPARATION'!$D$5="TOUTES",B27='JOINTS DE RÉPARATION'!$D$5),OR('JOINTS DE RÉPARATION'!$L$4="TOUS",AQ27&lt;&gt;"ACCEPTÉ")),1,0)</f>
        <v>0</v>
      </c>
      <c r="AV27" s="82" t="str">
        <f aca="false">IF(AU27=1,SUM(AU$7:AU27),"")</f>
        <v/>
      </c>
      <c r="AW27" s="82" t="str">
        <f aca="false">IF(E27="","",B27&amp;"|"&amp;E27)</f>
        <v>MFD-ISW → MFD-CPF|JN°021</v>
      </c>
    </row>
    <row r="28" customFormat="false" ht="74.6" hidden="false" customHeight="false" outlineLevel="0" collapsed="false">
      <c r="A28" s="79" t="n">
        <f aca="false">IF(E28="","",ROW()-6)</f>
        <v>22</v>
      </c>
      <c r="B28" s="80" t="s">
        <v>110</v>
      </c>
      <c r="C28" s="81"/>
      <c r="D28" s="81"/>
      <c r="E28" s="81" t="s">
        <v>132</v>
      </c>
      <c r="F28" s="82" t="str">
        <f aca="false">IF(E28="","",IF(LEFT(E28,2)="DJ","DJ","JN"))</f>
        <v>JN</v>
      </c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3"/>
      <c r="V28" s="83"/>
      <c r="W28" s="81"/>
      <c r="X28" s="81"/>
      <c r="Y28" s="83"/>
      <c r="Z28" s="81"/>
      <c r="AA28" s="81"/>
      <c r="AB28" s="81"/>
      <c r="AC28" s="81"/>
      <c r="AD28" s="81"/>
      <c r="AE28" s="83"/>
      <c r="AF28" s="81"/>
      <c r="AG28" s="81"/>
      <c r="AH28" s="81"/>
      <c r="AI28" s="81"/>
      <c r="AJ28" s="83"/>
      <c r="AK28" s="81"/>
      <c r="AL28" s="81"/>
      <c r="AM28" s="83"/>
      <c r="AN28" s="80"/>
      <c r="AO28" s="82" t="n">
        <f aca="false">IF(E28="","",(AA28&lt;&gt;"")+(AG28&lt;&gt;"")+(AL28&lt;&gt;""))</f>
        <v>0</v>
      </c>
      <c r="AP28" s="82" t="str">
        <f aca="false">IF(AL28&lt;&gt;"",AL28,IF(AG28&lt;&gt;"",AG28,IF(AA28&lt;&gt;"",AA28,"")))</f>
        <v/>
      </c>
      <c r="AQ28" s="84" t="str">
        <f aca="false">IF(E28="","",IF(U28="","À SOUDER",IF(X28="","VT EN ATTENTE",IF(X28="R","VT REJETÉ – À REPRENDRE",IF(AP28="","À RADIOGRAPHIER",IF(AP28="A","ACCEPTÉ",IF(AP28="NX","NX – RT À REFAIRE",IF(IF(AO28=1,AD28,IF(AO28=2,AI28,""))="A","RÉPARÉ – À RADIOGRAPHIER",IF(IF(AO28=1,AD28,IF(AO28=2,AI28,""))="R","VT REJETÉ – À REPRENDRE",IF(OR(AP28="CO",AP28="NT"),"COUPE – À RESOUDER","À RÉPARER"))))))))))</f>
        <v>À SOUDER</v>
      </c>
      <c r="AR28" s="82" t="str">
        <f aca="false">IF(AND(ISNUMBER(U28),OR(AQ28="À RADIOGRAPHIER",AQ28="RÉPARÉ – À RADIOGRAPHIER",AQ28="NX – RT À REFAIRE",AQ28="À RÉPARER",AQ28="COUPE – À RESOUDER",AQ28="VT REJETÉ – À REPRENDRE")),MAX(0,'PROGRAMME RT'!$C$4-U28),"")</f>
        <v/>
      </c>
      <c r="AS28" s="82" t="n">
        <f aca="false">IF(AND(OR(AQ28="À RADIOGRAPHIER",AQ28="RÉPARÉ – À RADIOGRAPHIER",AQ28="NX – RT À REFAIRE"),OR('PROGRAMME RT'!$D$5="TOUTES",B28='PROGRAMME RT'!$D$5)),1,0)</f>
        <v>0</v>
      </c>
      <c r="AT28" s="82" t="str">
        <f aca="false">IF(AS28=1,SUM(AS$7:AS28),"")</f>
        <v/>
      </c>
      <c r="AU28" s="82" t="n">
        <f aca="false">IF(AND(OR(AA28="R",AA28="NX",AA28="NT",AA28="CO"),OR('JOINTS DE RÉPARATION'!$D$5="TOUTES",B28='JOINTS DE RÉPARATION'!$D$5),OR('JOINTS DE RÉPARATION'!$L$4="TOUS",AQ28&lt;&gt;"ACCEPTÉ")),1,0)</f>
        <v>0</v>
      </c>
      <c r="AV28" s="82" t="str">
        <f aca="false">IF(AU28=1,SUM(AU$7:AU28),"")</f>
        <v/>
      </c>
      <c r="AW28" s="82" t="str">
        <f aca="false">IF(E28="","",B28&amp;"|"&amp;E28)</f>
        <v>MFD-ISW → MFD-CPF|JN°022</v>
      </c>
    </row>
    <row r="29" customFormat="false" ht="74.6" hidden="false" customHeight="false" outlineLevel="0" collapsed="false">
      <c r="A29" s="79" t="n">
        <f aca="false">IF(E29="","",ROW()-6)</f>
        <v>23</v>
      </c>
      <c r="B29" s="80" t="s">
        <v>110</v>
      </c>
      <c r="C29" s="81"/>
      <c r="D29" s="81"/>
      <c r="E29" s="81" t="s">
        <v>133</v>
      </c>
      <c r="F29" s="82" t="str">
        <f aca="false">IF(E29="","",IF(LEFT(E29,2)="DJ","DJ","JN"))</f>
        <v>JN</v>
      </c>
      <c r="G29" s="81"/>
      <c r="H29" s="81"/>
      <c r="I29" s="81"/>
      <c r="J29" s="81"/>
      <c r="K29" s="81"/>
      <c r="L29" s="81"/>
      <c r="M29" s="81"/>
      <c r="N29" s="81"/>
      <c r="O29" s="81"/>
      <c r="P29" s="81"/>
      <c r="Q29" s="81"/>
      <c r="R29" s="81"/>
      <c r="S29" s="81"/>
      <c r="T29" s="81"/>
      <c r="U29" s="83"/>
      <c r="V29" s="83"/>
      <c r="W29" s="81"/>
      <c r="X29" s="81"/>
      <c r="Y29" s="83"/>
      <c r="Z29" s="81"/>
      <c r="AA29" s="81"/>
      <c r="AB29" s="81"/>
      <c r="AC29" s="81"/>
      <c r="AD29" s="81"/>
      <c r="AE29" s="83"/>
      <c r="AF29" s="81"/>
      <c r="AG29" s="81"/>
      <c r="AH29" s="81"/>
      <c r="AI29" s="81"/>
      <c r="AJ29" s="83"/>
      <c r="AK29" s="81"/>
      <c r="AL29" s="81"/>
      <c r="AM29" s="83"/>
      <c r="AN29" s="80"/>
      <c r="AO29" s="82" t="n">
        <f aca="false">IF(E29="","",(AA29&lt;&gt;"")+(AG29&lt;&gt;"")+(AL29&lt;&gt;""))</f>
        <v>0</v>
      </c>
      <c r="AP29" s="82" t="str">
        <f aca="false">IF(AL29&lt;&gt;"",AL29,IF(AG29&lt;&gt;"",AG29,IF(AA29&lt;&gt;"",AA29,"")))</f>
        <v/>
      </c>
      <c r="AQ29" s="84" t="str">
        <f aca="false">IF(E29="","",IF(U29="","À SOUDER",IF(X29="","VT EN ATTENTE",IF(X29="R","VT REJETÉ – À REPRENDRE",IF(AP29="","À RADIOGRAPHIER",IF(AP29="A","ACCEPTÉ",IF(AP29="NX","NX – RT À REFAIRE",IF(IF(AO29=1,AD29,IF(AO29=2,AI29,""))="A","RÉPARÉ – À RADIOGRAPHIER",IF(IF(AO29=1,AD29,IF(AO29=2,AI29,""))="R","VT REJETÉ – À REPRENDRE",IF(OR(AP29="CO",AP29="NT"),"COUPE – À RESOUDER","À RÉPARER"))))))))))</f>
        <v>À SOUDER</v>
      </c>
      <c r="AR29" s="82" t="str">
        <f aca="false">IF(AND(ISNUMBER(U29),OR(AQ29="À RADIOGRAPHIER",AQ29="RÉPARÉ – À RADIOGRAPHIER",AQ29="NX – RT À REFAIRE",AQ29="À RÉPARER",AQ29="COUPE – À RESOUDER",AQ29="VT REJETÉ – À REPRENDRE")),MAX(0,'PROGRAMME RT'!$C$4-U29),"")</f>
        <v/>
      </c>
      <c r="AS29" s="82" t="n">
        <f aca="false">IF(AND(OR(AQ29="À RADIOGRAPHIER",AQ29="RÉPARÉ – À RADIOGRAPHIER",AQ29="NX – RT À REFAIRE"),OR('PROGRAMME RT'!$D$5="TOUTES",B29='PROGRAMME RT'!$D$5)),1,0)</f>
        <v>0</v>
      </c>
      <c r="AT29" s="82" t="str">
        <f aca="false">IF(AS29=1,SUM(AS$7:AS29),"")</f>
        <v/>
      </c>
      <c r="AU29" s="82" t="n">
        <f aca="false">IF(AND(OR(AA29="R",AA29="NX",AA29="NT",AA29="CO"),OR('JOINTS DE RÉPARATION'!$D$5="TOUTES",B29='JOINTS DE RÉPARATION'!$D$5),OR('JOINTS DE RÉPARATION'!$L$4="TOUS",AQ29&lt;&gt;"ACCEPTÉ")),1,0)</f>
        <v>0</v>
      </c>
      <c r="AV29" s="82" t="str">
        <f aca="false">IF(AU29=1,SUM(AU$7:AU29),"")</f>
        <v/>
      </c>
      <c r="AW29" s="82" t="str">
        <f aca="false">IF(E29="","",B29&amp;"|"&amp;E29)</f>
        <v>MFD-ISW → MFD-CPF|JN°023</v>
      </c>
    </row>
    <row r="30" customFormat="false" ht="74.6" hidden="false" customHeight="false" outlineLevel="0" collapsed="false">
      <c r="A30" s="79" t="n">
        <f aca="false">IF(E30="","",ROW()-6)</f>
        <v>24</v>
      </c>
      <c r="B30" s="80" t="s">
        <v>110</v>
      </c>
      <c r="C30" s="81"/>
      <c r="D30" s="81"/>
      <c r="E30" s="81" t="s">
        <v>134</v>
      </c>
      <c r="F30" s="82" t="str">
        <f aca="false">IF(E30="","",IF(LEFT(E30,2)="DJ","DJ","JN"))</f>
        <v>JN</v>
      </c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3"/>
      <c r="V30" s="83"/>
      <c r="W30" s="81"/>
      <c r="X30" s="81"/>
      <c r="Y30" s="83"/>
      <c r="Z30" s="81"/>
      <c r="AA30" s="81"/>
      <c r="AB30" s="81"/>
      <c r="AC30" s="81"/>
      <c r="AD30" s="81"/>
      <c r="AE30" s="83"/>
      <c r="AF30" s="81"/>
      <c r="AG30" s="81"/>
      <c r="AH30" s="81"/>
      <c r="AI30" s="81"/>
      <c r="AJ30" s="83"/>
      <c r="AK30" s="81"/>
      <c r="AL30" s="81"/>
      <c r="AM30" s="83"/>
      <c r="AN30" s="80"/>
      <c r="AO30" s="82" t="n">
        <f aca="false">IF(E30="","",(AA30&lt;&gt;"")+(AG30&lt;&gt;"")+(AL30&lt;&gt;""))</f>
        <v>0</v>
      </c>
      <c r="AP30" s="82" t="str">
        <f aca="false">IF(AL30&lt;&gt;"",AL30,IF(AG30&lt;&gt;"",AG30,IF(AA30&lt;&gt;"",AA30,"")))</f>
        <v/>
      </c>
      <c r="AQ30" s="84" t="str">
        <f aca="false">IF(E30="","",IF(U30="","À SOUDER",IF(X30="","VT EN ATTENTE",IF(X30="R","VT REJETÉ – À REPRENDRE",IF(AP30="","À RADIOGRAPHIER",IF(AP30="A","ACCEPTÉ",IF(AP30="NX","NX – RT À REFAIRE",IF(IF(AO30=1,AD30,IF(AO30=2,AI30,""))="A","RÉPARÉ – À RADIOGRAPHIER",IF(IF(AO30=1,AD30,IF(AO30=2,AI30,""))="R","VT REJETÉ – À REPRENDRE",IF(OR(AP30="CO",AP30="NT"),"COUPE – À RESOUDER","À RÉPARER"))))))))))</f>
        <v>À SOUDER</v>
      </c>
      <c r="AR30" s="82" t="str">
        <f aca="false">IF(AND(ISNUMBER(U30),OR(AQ30="À RADIOGRAPHIER",AQ30="RÉPARÉ – À RADIOGRAPHIER",AQ30="NX – RT À REFAIRE",AQ30="À RÉPARER",AQ30="COUPE – À RESOUDER",AQ30="VT REJETÉ – À REPRENDRE")),MAX(0,'PROGRAMME RT'!$C$4-U30),"")</f>
        <v/>
      </c>
      <c r="AS30" s="82" t="n">
        <f aca="false">IF(AND(OR(AQ30="À RADIOGRAPHIER",AQ30="RÉPARÉ – À RADIOGRAPHIER",AQ30="NX – RT À REFAIRE"),OR('PROGRAMME RT'!$D$5="TOUTES",B30='PROGRAMME RT'!$D$5)),1,0)</f>
        <v>0</v>
      </c>
      <c r="AT30" s="82" t="str">
        <f aca="false">IF(AS30=1,SUM(AS$7:AS30),"")</f>
        <v/>
      </c>
      <c r="AU30" s="82" t="n">
        <f aca="false">IF(AND(OR(AA30="R",AA30="NX",AA30="NT",AA30="CO"),OR('JOINTS DE RÉPARATION'!$D$5="TOUTES",B30='JOINTS DE RÉPARATION'!$D$5),OR('JOINTS DE RÉPARATION'!$L$4="TOUS",AQ30&lt;&gt;"ACCEPTÉ")),1,0)</f>
        <v>0</v>
      </c>
      <c r="AV30" s="82" t="str">
        <f aca="false">IF(AU30=1,SUM(AU$7:AU30),"")</f>
        <v/>
      </c>
      <c r="AW30" s="82" t="str">
        <f aca="false">IF(E30="","",B30&amp;"|"&amp;E30)</f>
        <v>MFD-ISW → MFD-CPF|JN°024</v>
      </c>
    </row>
    <row r="31" customFormat="false" ht="74.6" hidden="false" customHeight="false" outlineLevel="0" collapsed="false">
      <c r="A31" s="79" t="n">
        <f aca="false">IF(E31="","",ROW()-6)</f>
        <v>25</v>
      </c>
      <c r="B31" s="80" t="s">
        <v>110</v>
      </c>
      <c r="C31" s="81"/>
      <c r="D31" s="81"/>
      <c r="E31" s="81" t="s">
        <v>135</v>
      </c>
      <c r="F31" s="82" t="str">
        <f aca="false">IF(E31="","",IF(LEFT(E31,2)="DJ","DJ","JN"))</f>
        <v>JN</v>
      </c>
      <c r="G31" s="81"/>
      <c r="H31" s="81"/>
      <c r="I31" s="81"/>
      <c r="J31" s="81"/>
      <c r="K31" s="81"/>
      <c r="L31" s="81"/>
      <c r="M31" s="81"/>
      <c r="N31" s="81"/>
      <c r="O31" s="81"/>
      <c r="P31" s="81"/>
      <c r="Q31" s="81"/>
      <c r="R31" s="81"/>
      <c r="S31" s="81"/>
      <c r="T31" s="81"/>
      <c r="U31" s="83"/>
      <c r="V31" s="83"/>
      <c r="W31" s="81"/>
      <c r="X31" s="81"/>
      <c r="Y31" s="83"/>
      <c r="Z31" s="81"/>
      <c r="AA31" s="81"/>
      <c r="AB31" s="81"/>
      <c r="AC31" s="81"/>
      <c r="AD31" s="81"/>
      <c r="AE31" s="83"/>
      <c r="AF31" s="81"/>
      <c r="AG31" s="81"/>
      <c r="AH31" s="81"/>
      <c r="AI31" s="81"/>
      <c r="AJ31" s="83"/>
      <c r="AK31" s="81"/>
      <c r="AL31" s="81"/>
      <c r="AM31" s="83"/>
      <c r="AN31" s="80"/>
      <c r="AO31" s="82" t="n">
        <f aca="false">IF(E31="","",(AA31&lt;&gt;"")+(AG31&lt;&gt;"")+(AL31&lt;&gt;""))</f>
        <v>0</v>
      </c>
      <c r="AP31" s="82" t="str">
        <f aca="false">IF(AL31&lt;&gt;"",AL31,IF(AG31&lt;&gt;"",AG31,IF(AA31&lt;&gt;"",AA31,"")))</f>
        <v/>
      </c>
      <c r="AQ31" s="84" t="str">
        <f aca="false">IF(E31="","",IF(U31="","À SOUDER",IF(X31="","VT EN ATTENTE",IF(X31="R","VT REJETÉ – À REPRENDRE",IF(AP31="","À RADIOGRAPHIER",IF(AP31="A","ACCEPTÉ",IF(AP31="NX","NX – RT À REFAIRE",IF(IF(AO31=1,AD31,IF(AO31=2,AI31,""))="A","RÉPARÉ – À RADIOGRAPHIER",IF(IF(AO31=1,AD31,IF(AO31=2,AI31,""))="R","VT REJETÉ – À REPRENDRE",IF(OR(AP31="CO",AP31="NT"),"COUPE – À RESOUDER","À RÉPARER"))))))))))</f>
        <v>À SOUDER</v>
      </c>
      <c r="AR31" s="82" t="str">
        <f aca="false">IF(AND(ISNUMBER(U31),OR(AQ31="À RADIOGRAPHIER",AQ31="RÉPARÉ – À RADIOGRAPHIER",AQ31="NX – RT À REFAIRE",AQ31="À RÉPARER",AQ31="COUPE – À RESOUDER",AQ31="VT REJETÉ – À REPRENDRE")),MAX(0,'PROGRAMME RT'!$C$4-U31),"")</f>
        <v/>
      </c>
      <c r="AS31" s="82" t="n">
        <f aca="false">IF(AND(OR(AQ31="À RADIOGRAPHIER",AQ31="RÉPARÉ – À RADIOGRAPHIER",AQ31="NX – RT À REFAIRE"),OR('PROGRAMME RT'!$D$5="TOUTES",B31='PROGRAMME RT'!$D$5)),1,0)</f>
        <v>0</v>
      </c>
      <c r="AT31" s="82" t="str">
        <f aca="false">IF(AS31=1,SUM(AS$7:AS31),"")</f>
        <v/>
      </c>
      <c r="AU31" s="82" t="n">
        <f aca="false">IF(AND(OR(AA31="R",AA31="NX",AA31="NT",AA31="CO"),OR('JOINTS DE RÉPARATION'!$D$5="TOUTES",B31='JOINTS DE RÉPARATION'!$D$5),OR('JOINTS DE RÉPARATION'!$L$4="TOUS",AQ31&lt;&gt;"ACCEPTÉ")),1,0)</f>
        <v>0</v>
      </c>
      <c r="AV31" s="82" t="str">
        <f aca="false">IF(AU31=1,SUM(AU$7:AU31),"")</f>
        <v/>
      </c>
      <c r="AW31" s="82" t="str">
        <f aca="false">IF(E31="","",B31&amp;"|"&amp;E31)</f>
        <v>MFD-ISW → MFD-CPF|JN°025</v>
      </c>
    </row>
    <row r="32" customFormat="false" ht="74.6" hidden="false" customHeight="false" outlineLevel="0" collapsed="false">
      <c r="A32" s="79" t="n">
        <f aca="false">IF(E32="","",ROW()-6)</f>
        <v>26</v>
      </c>
      <c r="B32" s="80" t="s">
        <v>110</v>
      </c>
      <c r="C32" s="81"/>
      <c r="D32" s="81"/>
      <c r="E32" s="81" t="s">
        <v>136</v>
      </c>
      <c r="F32" s="82" t="str">
        <f aca="false">IF(E32="","",IF(LEFT(E32,2)="DJ","DJ","JN"))</f>
        <v>JN</v>
      </c>
      <c r="G32" s="81"/>
      <c r="H32" s="81"/>
      <c r="I32" s="81"/>
      <c r="J32" s="81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3"/>
      <c r="V32" s="83"/>
      <c r="W32" s="81"/>
      <c r="X32" s="81"/>
      <c r="Y32" s="83"/>
      <c r="Z32" s="81"/>
      <c r="AA32" s="81"/>
      <c r="AB32" s="81"/>
      <c r="AC32" s="81"/>
      <c r="AD32" s="81"/>
      <c r="AE32" s="83"/>
      <c r="AF32" s="81"/>
      <c r="AG32" s="81"/>
      <c r="AH32" s="81"/>
      <c r="AI32" s="81"/>
      <c r="AJ32" s="83"/>
      <c r="AK32" s="81"/>
      <c r="AL32" s="81"/>
      <c r="AM32" s="83"/>
      <c r="AN32" s="80"/>
      <c r="AO32" s="82" t="n">
        <f aca="false">IF(E32="","",(AA32&lt;&gt;"")+(AG32&lt;&gt;"")+(AL32&lt;&gt;""))</f>
        <v>0</v>
      </c>
      <c r="AP32" s="82" t="str">
        <f aca="false">IF(AL32&lt;&gt;"",AL32,IF(AG32&lt;&gt;"",AG32,IF(AA32&lt;&gt;"",AA32,"")))</f>
        <v/>
      </c>
      <c r="AQ32" s="84" t="str">
        <f aca="false">IF(E32="","",IF(U32="","À SOUDER",IF(X32="","VT EN ATTENTE",IF(X32="R","VT REJETÉ – À REPRENDRE",IF(AP32="","À RADIOGRAPHIER",IF(AP32="A","ACCEPTÉ",IF(AP32="NX","NX – RT À REFAIRE",IF(IF(AO32=1,AD32,IF(AO32=2,AI32,""))="A","RÉPARÉ – À RADIOGRAPHIER",IF(IF(AO32=1,AD32,IF(AO32=2,AI32,""))="R","VT REJETÉ – À REPRENDRE",IF(OR(AP32="CO",AP32="NT"),"COUPE – À RESOUDER","À RÉPARER"))))))))))</f>
        <v>À SOUDER</v>
      </c>
      <c r="AR32" s="82" t="str">
        <f aca="false">IF(AND(ISNUMBER(U32),OR(AQ32="À RADIOGRAPHIER",AQ32="RÉPARÉ – À RADIOGRAPHIER",AQ32="NX – RT À REFAIRE",AQ32="À RÉPARER",AQ32="COUPE – À RESOUDER",AQ32="VT REJETÉ – À REPRENDRE")),MAX(0,'PROGRAMME RT'!$C$4-U32),"")</f>
        <v/>
      </c>
      <c r="AS32" s="82" t="n">
        <f aca="false">IF(AND(OR(AQ32="À RADIOGRAPHIER",AQ32="RÉPARÉ – À RADIOGRAPHIER",AQ32="NX – RT À REFAIRE"),OR('PROGRAMME RT'!$D$5="TOUTES",B32='PROGRAMME RT'!$D$5)),1,0)</f>
        <v>0</v>
      </c>
      <c r="AT32" s="82" t="str">
        <f aca="false">IF(AS32=1,SUM(AS$7:AS32),"")</f>
        <v/>
      </c>
      <c r="AU32" s="82" t="n">
        <f aca="false">IF(AND(OR(AA32="R",AA32="NX",AA32="NT",AA32="CO"),OR('JOINTS DE RÉPARATION'!$D$5="TOUTES",B32='JOINTS DE RÉPARATION'!$D$5),OR('JOINTS DE RÉPARATION'!$L$4="TOUS",AQ32&lt;&gt;"ACCEPTÉ")),1,0)</f>
        <v>0</v>
      </c>
      <c r="AV32" s="82" t="str">
        <f aca="false">IF(AU32=1,SUM(AU$7:AU32),"")</f>
        <v/>
      </c>
      <c r="AW32" s="82" t="str">
        <f aca="false">IF(E32="","",B32&amp;"|"&amp;E32)</f>
        <v>MFD-ISW → MFD-CPF|JN°026</v>
      </c>
    </row>
    <row r="33" customFormat="false" ht="74.6" hidden="false" customHeight="false" outlineLevel="0" collapsed="false">
      <c r="A33" s="79" t="n">
        <f aca="false">IF(E33="","",ROW()-6)</f>
        <v>27</v>
      </c>
      <c r="B33" s="80" t="s">
        <v>110</v>
      </c>
      <c r="C33" s="81"/>
      <c r="D33" s="81"/>
      <c r="E33" s="81" t="s">
        <v>137</v>
      </c>
      <c r="F33" s="82" t="str">
        <f aca="false">IF(E33="","",IF(LEFT(E33,2)="DJ","DJ","JN"))</f>
        <v>JN</v>
      </c>
      <c r="G33" s="81"/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3"/>
      <c r="V33" s="83"/>
      <c r="W33" s="81"/>
      <c r="X33" s="81"/>
      <c r="Y33" s="83"/>
      <c r="Z33" s="81"/>
      <c r="AA33" s="81"/>
      <c r="AB33" s="81"/>
      <c r="AC33" s="81"/>
      <c r="AD33" s="81"/>
      <c r="AE33" s="83"/>
      <c r="AF33" s="81"/>
      <c r="AG33" s="81"/>
      <c r="AH33" s="81"/>
      <c r="AI33" s="81"/>
      <c r="AJ33" s="83"/>
      <c r="AK33" s="81"/>
      <c r="AL33" s="81"/>
      <c r="AM33" s="83"/>
      <c r="AN33" s="80"/>
      <c r="AO33" s="82" t="n">
        <f aca="false">IF(E33="","",(AA33&lt;&gt;"")+(AG33&lt;&gt;"")+(AL33&lt;&gt;""))</f>
        <v>0</v>
      </c>
      <c r="AP33" s="82" t="str">
        <f aca="false">IF(AL33&lt;&gt;"",AL33,IF(AG33&lt;&gt;"",AG33,IF(AA33&lt;&gt;"",AA33,"")))</f>
        <v/>
      </c>
      <c r="AQ33" s="84" t="str">
        <f aca="false">IF(E33="","",IF(U33="","À SOUDER",IF(X33="","VT EN ATTENTE",IF(X33="R","VT REJETÉ – À REPRENDRE",IF(AP33="","À RADIOGRAPHIER",IF(AP33="A","ACCEPTÉ",IF(AP33="NX","NX – RT À REFAIRE",IF(IF(AO33=1,AD33,IF(AO33=2,AI33,""))="A","RÉPARÉ – À RADIOGRAPHIER",IF(IF(AO33=1,AD33,IF(AO33=2,AI33,""))="R","VT REJETÉ – À REPRENDRE",IF(OR(AP33="CO",AP33="NT"),"COUPE – À RESOUDER","À RÉPARER"))))))))))</f>
        <v>À SOUDER</v>
      </c>
      <c r="AR33" s="82" t="str">
        <f aca="false">IF(AND(ISNUMBER(U33),OR(AQ33="À RADIOGRAPHIER",AQ33="RÉPARÉ – À RADIOGRAPHIER",AQ33="NX – RT À REFAIRE",AQ33="À RÉPARER",AQ33="COUPE – À RESOUDER",AQ33="VT REJETÉ – À REPRENDRE")),MAX(0,'PROGRAMME RT'!$C$4-U33),"")</f>
        <v/>
      </c>
      <c r="AS33" s="82" t="n">
        <f aca="false">IF(AND(OR(AQ33="À RADIOGRAPHIER",AQ33="RÉPARÉ – À RADIOGRAPHIER",AQ33="NX – RT À REFAIRE"),OR('PROGRAMME RT'!$D$5="TOUTES",B33='PROGRAMME RT'!$D$5)),1,0)</f>
        <v>0</v>
      </c>
      <c r="AT33" s="82" t="str">
        <f aca="false">IF(AS33=1,SUM(AS$7:AS33),"")</f>
        <v/>
      </c>
      <c r="AU33" s="82" t="n">
        <f aca="false">IF(AND(OR(AA33="R",AA33="NX",AA33="NT",AA33="CO"),OR('JOINTS DE RÉPARATION'!$D$5="TOUTES",B33='JOINTS DE RÉPARATION'!$D$5),OR('JOINTS DE RÉPARATION'!$L$4="TOUS",AQ33&lt;&gt;"ACCEPTÉ")),1,0)</f>
        <v>0</v>
      </c>
      <c r="AV33" s="82" t="str">
        <f aca="false">IF(AU33=1,SUM(AU$7:AU33),"")</f>
        <v/>
      </c>
      <c r="AW33" s="82" t="str">
        <f aca="false">IF(E33="","",B33&amp;"|"&amp;E33)</f>
        <v>MFD-ISW → MFD-CPF|JN°027</v>
      </c>
    </row>
    <row r="34" customFormat="false" ht="74.6" hidden="false" customHeight="false" outlineLevel="0" collapsed="false">
      <c r="A34" s="79" t="n">
        <f aca="false">IF(E34="","",ROW()-6)</f>
        <v>28</v>
      </c>
      <c r="B34" s="80" t="s">
        <v>110</v>
      </c>
      <c r="C34" s="81"/>
      <c r="D34" s="81"/>
      <c r="E34" s="81" t="s">
        <v>138</v>
      </c>
      <c r="F34" s="82" t="str">
        <f aca="false">IF(E34="","",IF(LEFT(E34,2)="DJ","DJ","JN"))</f>
        <v>JN</v>
      </c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81"/>
      <c r="T34" s="81"/>
      <c r="U34" s="83"/>
      <c r="V34" s="83"/>
      <c r="W34" s="81"/>
      <c r="X34" s="81"/>
      <c r="Y34" s="83"/>
      <c r="Z34" s="81"/>
      <c r="AA34" s="81"/>
      <c r="AB34" s="81"/>
      <c r="AC34" s="81"/>
      <c r="AD34" s="81"/>
      <c r="AE34" s="83"/>
      <c r="AF34" s="81"/>
      <c r="AG34" s="81"/>
      <c r="AH34" s="81"/>
      <c r="AI34" s="81"/>
      <c r="AJ34" s="83"/>
      <c r="AK34" s="81"/>
      <c r="AL34" s="81"/>
      <c r="AM34" s="83"/>
      <c r="AN34" s="80"/>
      <c r="AO34" s="82" t="n">
        <f aca="false">IF(E34="","",(AA34&lt;&gt;"")+(AG34&lt;&gt;"")+(AL34&lt;&gt;""))</f>
        <v>0</v>
      </c>
      <c r="AP34" s="82" t="str">
        <f aca="false">IF(AL34&lt;&gt;"",AL34,IF(AG34&lt;&gt;"",AG34,IF(AA34&lt;&gt;"",AA34,"")))</f>
        <v/>
      </c>
      <c r="AQ34" s="84" t="str">
        <f aca="false">IF(E34="","",IF(U34="","À SOUDER",IF(X34="","VT EN ATTENTE",IF(X34="R","VT REJETÉ – À REPRENDRE",IF(AP34="","À RADIOGRAPHIER",IF(AP34="A","ACCEPTÉ",IF(AP34="NX","NX – RT À REFAIRE",IF(IF(AO34=1,AD34,IF(AO34=2,AI34,""))="A","RÉPARÉ – À RADIOGRAPHIER",IF(IF(AO34=1,AD34,IF(AO34=2,AI34,""))="R","VT REJETÉ – À REPRENDRE",IF(OR(AP34="CO",AP34="NT"),"COUPE – À RESOUDER","À RÉPARER"))))))))))</f>
        <v>À SOUDER</v>
      </c>
      <c r="AR34" s="82" t="str">
        <f aca="false">IF(AND(ISNUMBER(U34),OR(AQ34="À RADIOGRAPHIER",AQ34="RÉPARÉ – À RADIOGRAPHIER",AQ34="NX – RT À REFAIRE",AQ34="À RÉPARER",AQ34="COUPE – À RESOUDER",AQ34="VT REJETÉ – À REPRENDRE")),MAX(0,'PROGRAMME RT'!$C$4-U34),"")</f>
        <v/>
      </c>
      <c r="AS34" s="82" t="n">
        <f aca="false">IF(AND(OR(AQ34="À RADIOGRAPHIER",AQ34="RÉPARÉ – À RADIOGRAPHIER",AQ34="NX – RT À REFAIRE"),OR('PROGRAMME RT'!$D$5="TOUTES",B34='PROGRAMME RT'!$D$5)),1,0)</f>
        <v>0</v>
      </c>
      <c r="AT34" s="82" t="str">
        <f aca="false">IF(AS34=1,SUM(AS$7:AS34),"")</f>
        <v/>
      </c>
      <c r="AU34" s="82" t="n">
        <f aca="false">IF(AND(OR(AA34="R",AA34="NX",AA34="NT",AA34="CO"),OR('JOINTS DE RÉPARATION'!$D$5="TOUTES",B34='JOINTS DE RÉPARATION'!$D$5),OR('JOINTS DE RÉPARATION'!$L$4="TOUS",AQ34&lt;&gt;"ACCEPTÉ")),1,0)</f>
        <v>0</v>
      </c>
      <c r="AV34" s="82" t="str">
        <f aca="false">IF(AU34=1,SUM(AU$7:AU34),"")</f>
        <v/>
      </c>
      <c r="AW34" s="82" t="str">
        <f aca="false">IF(E34="","",B34&amp;"|"&amp;E34)</f>
        <v>MFD-ISW → MFD-CPF|JN°028</v>
      </c>
    </row>
    <row r="35" customFormat="false" ht="74.6" hidden="false" customHeight="false" outlineLevel="0" collapsed="false">
      <c r="A35" s="79" t="n">
        <f aca="false">IF(E35="","",ROW()-6)</f>
        <v>29</v>
      </c>
      <c r="B35" s="80" t="s">
        <v>110</v>
      </c>
      <c r="C35" s="81"/>
      <c r="D35" s="81"/>
      <c r="E35" s="81" t="s">
        <v>139</v>
      </c>
      <c r="F35" s="82" t="str">
        <f aca="false">IF(E35="","",IF(LEFT(E35,2)="DJ","DJ","JN"))</f>
        <v>JN</v>
      </c>
      <c r="G35" s="81"/>
      <c r="H35" s="81"/>
      <c r="I35" s="81"/>
      <c r="J35" s="81"/>
      <c r="K35" s="81"/>
      <c r="L35" s="81"/>
      <c r="M35" s="81"/>
      <c r="N35" s="81"/>
      <c r="O35" s="81"/>
      <c r="P35" s="81"/>
      <c r="Q35" s="81"/>
      <c r="R35" s="81"/>
      <c r="S35" s="81"/>
      <c r="T35" s="81"/>
      <c r="U35" s="83"/>
      <c r="V35" s="83"/>
      <c r="W35" s="81"/>
      <c r="X35" s="81"/>
      <c r="Y35" s="83"/>
      <c r="Z35" s="81"/>
      <c r="AA35" s="81"/>
      <c r="AB35" s="81"/>
      <c r="AC35" s="81"/>
      <c r="AD35" s="81"/>
      <c r="AE35" s="83"/>
      <c r="AF35" s="81"/>
      <c r="AG35" s="81"/>
      <c r="AH35" s="81"/>
      <c r="AI35" s="81"/>
      <c r="AJ35" s="83"/>
      <c r="AK35" s="81"/>
      <c r="AL35" s="81"/>
      <c r="AM35" s="83"/>
      <c r="AN35" s="80"/>
      <c r="AO35" s="82" t="n">
        <f aca="false">IF(E35="","",(AA35&lt;&gt;"")+(AG35&lt;&gt;"")+(AL35&lt;&gt;""))</f>
        <v>0</v>
      </c>
      <c r="AP35" s="82" t="str">
        <f aca="false">IF(AL35&lt;&gt;"",AL35,IF(AG35&lt;&gt;"",AG35,IF(AA35&lt;&gt;"",AA35,"")))</f>
        <v/>
      </c>
      <c r="AQ35" s="84" t="str">
        <f aca="false">IF(E35="","",IF(U35="","À SOUDER",IF(X35="","VT EN ATTENTE",IF(X35="R","VT REJETÉ – À REPRENDRE",IF(AP35="","À RADIOGRAPHIER",IF(AP35="A","ACCEPTÉ",IF(AP35="NX","NX – RT À REFAIRE",IF(IF(AO35=1,AD35,IF(AO35=2,AI35,""))="A","RÉPARÉ – À RADIOGRAPHIER",IF(IF(AO35=1,AD35,IF(AO35=2,AI35,""))="R","VT REJETÉ – À REPRENDRE",IF(OR(AP35="CO",AP35="NT"),"COUPE – À RESOUDER","À RÉPARER"))))))))))</f>
        <v>À SOUDER</v>
      </c>
      <c r="AR35" s="82" t="str">
        <f aca="false">IF(AND(ISNUMBER(U35),OR(AQ35="À RADIOGRAPHIER",AQ35="RÉPARÉ – À RADIOGRAPHIER",AQ35="NX – RT À REFAIRE",AQ35="À RÉPARER",AQ35="COUPE – À RESOUDER",AQ35="VT REJETÉ – À REPRENDRE")),MAX(0,'PROGRAMME RT'!$C$4-U35),"")</f>
        <v/>
      </c>
      <c r="AS35" s="82" t="n">
        <f aca="false">IF(AND(OR(AQ35="À RADIOGRAPHIER",AQ35="RÉPARÉ – À RADIOGRAPHIER",AQ35="NX – RT À REFAIRE"),OR('PROGRAMME RT'!$D$5="TOUTES",B35='PROGRAMME RT'!$D$5)),1,0)</f>
        <v>0</v>
      </c>
      <c r="AT35" s="82" t="str">
        <f aca="false">IF(AS35=1,SUM(AS$7:AS35),"")</f>
        <v/>
      </c>
      <c r="AU35" s="82" t="n">
        <f aca="false">IF(AND(OR(AA35="R",AA35="NX",AA35="NT",AA35="CO"),OR('JOINTS DE RÉPARATION'!$D$5="TOUTES",B35='JOINTS DE RÉPARATION'!$D$5),OR('JOINTS DE RÉPARATION'!$L$4="TOUS",AQ35&lt;&gt;"ACCEPTÉ")),1,0)</f>
        <v>0</v>
      </c>
      <c r="AV35" s="82" t="str">
        <f aca="false">IF(AU35=1,SUM(AU$7:AU35),"")</f>
        <v/>
      </c>
      <c r="AW35" s="82" t="str">
        <f aca="false">IF(E35="","",B35&amp;"|"&amp;E35)</f>
        <v>MFD-ISW → MFD-CPF|JN°029</v>
      </c>
    </row>
    <row r="36" customFormat="false" ht="74.6" hidden="false" customHeight="false" outlineLevel="0" collapsed="false">
      <c r="A36" s="79" t="n">
        <f aca="false">IF(E36="","",ROW()-6)</f>
        <v>30</v>
      </c>
      <c r="B36" s="80" t="s">
        <v>110</v>
      </c>
      <c r="C36" s="81"/>
      <c r="D36" s="81"/>
      <c r="E36" s="81" t="s">
        <v>140</v>
      </c>
      <c r="F36" s="82" t="str">
        <f aca="false">IF(E36="","",IF(LEFT(E36,2)="DJ","DJ","JN"))</f>
        <v>JN</v>
      </c>
      <c r="G36" s="81"/>
      <c r="H36" s="81"/>
      <c r="I36" s="81"/>
      <c r="J36" s="81"/>
      <c r="K36" s="81"/>
      <c r="L36" s="81"/>
      <c r="M36" s="81"/>
      <c r="N36" s="81"/>
      <c r="O36" s="81"/>
      <c r="P36" s="81"/>
      <c r="Q36" s="81"/>
      <c r="R36" s="81"/>
      <c r="S36" s="81"/>
      <c r="T36" s="81"/>
      <c r="U36" s="83"/>
      <c r="V36" s="83"/>
      <c r="W36" s="81"/>
      <c r="X36" s="81"/>
      <c r="Y36" s="83"/>
      <c r="Z36" s="81"/>
      <c r="AA36" s="81"/>
      <c r="AB36" s="81"/>
      <c r="AC36" s="81"/>
      <c r="AD36" s="81"/>
      <c r="AE36" s="83"/>
      <c r="AF36" s="81"/>
      <c r="AG36" s="81"/>
      <c r="AH36" s="81"/>
      <c r="AI36" s="81"/>
      <c r="AJ36" s="83"/>
      <c r="AK36" s="81"/>
      <c r="AL36" s="81"/>
      <c r="AM36" s="83"/>
      <c r="AN36" s="80"/>
      <c r="AO36" s="82" t="n">
        <f aca="false">IF(E36="","",(AA36&lt;&gt;"")+(AG36&lt;&gt;"")+(AL36&lt;&gt;""))</f>
        <v>0</v>
      </c>
      <c r="AP36" s="82" t="str">
        <f aca="false">IF(AL36&lt;&gt;"",AL36,IF(AG36&lt;&gt;"",AG36,IF(AA36&lt;&gt;"",AA36,"")))</f>
        <v/>
      </c>
      <c r="AQ36" s="84" t="str">
        <f aca="false">IF(E36="","",IF(U36="","À SOUDER",IF(X36="","VT EN ATTENTE",IF(X36="R","VT REJETÉ – À REPRENDRE",IF(AP36="","À RADIOGRAPHIER",IF(AP36="A","ACCEPTÉ",IF(AP36="NX","NX – RT À REFAIRE",IF(IF(AO36=1,AD36,IF(AO36=2,AI36,""))="A","RÉPARÉ – À RADIOGRAPHIER",IF(IF(AO36=1,AD36,IF(AO36=2,AI36,""))="R","VT REJETÉ – À REPRENDRE",IF(OR(AP36="CO",AP36="NT"),"COUPE – À RESOUDER","À RÉPARER"))))))))))</f>
        <v>À SOUDER</v>
      </c>
      <c r="AR36" s="82" t="str">
        <f aca="false">IF(AND(ISNUMBER(U36),OR(AQ36="À RADIOGRAPHIER",AQ36="RÉPARÉ – À RADIOGRAPHIER",AQ36="NX – RT À REFAIRE",AQ36="À RÉPARER",AQ36="COUPE – À RESOUDER",AQ36="VT REJETÉ – À REPRENDRE")),MAX(0,'PROGRAMME RT'!$C$4-U36),"")</f>
        <v/>
      </c>
      <c r="AS36" s="82" t="n">
        <f aca="false">IF(AND(OR(AQ36="À RADIOGRAPHIER",AQ36="RÉPARÉ – À RADIOGRAPHIER",AQ36="NX – RT À REFAIRE"),OR('PROGRAMME RT'!$D$5="TOUTES",B36='PROGRAMME RT'!$D$5)),1,0)</f>
        <v>0</v>
      </c>
      <c r="AT36" s="82" t="str">
        <f aca="false">IF(AS36=1,SUM(AS$7:AS36),"")</f>
        <v/>
      </c>
      <c r="AU36" s="82" t="n">
        <f aca="false">IF(AND(OR(AA36="R",AA36="NX",AA36="NT",AA36="CO"),OR('JOINTS DE RÉPARATION'!$D$5="TOUTES",B36='JOINTS DE RÉPARATION'!$D$5),OR('JOINTS DE RÉPARATION'!$L$4="TOUS",AQ36&lt;&gt;"ACCEPTÉ")),1,0)</f>
        <v>0</v>
      </c>
      <c r="AV36" s="82" t="str">
        <f aca="false">IF(AU36=1,SUM(AU$7:AU36),"")</f>
        <v/>
      </c>
      <c r="AW36" s="82" t="str">
        <f aca="false">IF(E36="","",B36&amp;"|"&amp;E36)</f>
        <v>MFD-ISW → MFD-CPF|JN°030</v>
      </c>
    </row>
    <row r="37" customFormat="false" ht="74.6" hidden="false" customHeight="false" outlineLevel="0" collapsed="false">
      <c r="A37" s="79" t="n">
        <f aca="false">IF(E37="","",ROW()-6)</f>
        <v>31</v>
      </c>
      <c r="B37" s="80" t="s">
        <v>110</v>
      </c>
      <c r="C37" s="81"/>
      <c r="D37" s="81"/>
      <c r="E37" s="81" t="s">
        <v>141</v>
      </c>
      <c r="F37" s="82" t="str">
        <f aca="false">IF(E37="","",IF(LEFT(E37,2)="DJ","DJ","JN"))</f>
        <v>JN</v>
      </c>
      <c r="G37" s="81"/>
      <c r="H37" s="81"/>
      <c r="I37" s="81"/>
      <c r="J37" s="81"/>
      <c r="K37" s="81"/>
      <c r="L37" s="81"/>
      <c r="M37" s="81"/>
      <c r="N37" s="81"/>
      <c r="O37" s="81"/>
      <c r="P37" s="81"/>
      <c r="Q37" s="81"/>
      <c r="R37" s="81"/>
      <c r="S37" s="81"/>
      <c r="T37" s="81"/>
      <c r="U37" s="83"/>
      <c r="V37" s="83"/>
      <c r="W37" s="81"/>
      <c r="X37" s="81"/>
      <c r="Y37" s="83"/>
      <c r="Z37" s="81"/>
      <c r="AA37" s="81"/>
      <c r="AB37" s="81"/>
      <c r="AC37" s="81"/>
      <c r="AD37" s="81"/>
      <c r="AE37" s="83"/>
      <c r="AF37" s="81"/>
      <c r="AG37" s="81"/>
      <c r="AH37" s="81"/>
      <c r="AI37" s="81"/>
      <c r="AJ37" s="83"/>
      <c r="AK37" s="81"/>
      <c r="AL37" s="81"/>
      <c r="AM37" s="83"/>
      <c r="AN37" s="80"/>
      <c r="AO37" s="82" t="n">
        <f aca="false">IF(E37="","",(AA37&lt;&gt;"")+(AG37&lt;&gt;"")+(AL37&lt;&gt;""))</f>
        <v>0</v>
      </c>
      <c r="AP37" s="82" t="str">
        <f aca="false">IF(AL37&lt;&gt;"",AL37,IF(AG37&lt;&gt;"",AG37,IF(AA37&lt;&gt;"",AA37,"")))</f>
        <v/>
      </c>
      <c r="AQ37" s="84" t="str">
        <f aca="false">IF(E37="","",IF(U37="","À SOUDER",IF(X37="","VT EN ATTENTE",IF(X37="R","VT REJETÉ – À REPRENDRE",IF(AP37="","À RADIOGRAPHIER",IF(AP37="A","ACCEPTÉ",IF(AP37="NX","NX – RT À REFAIRE",IF(IF(AO37=1,AD37,IF(AO37=2,AI37,""))="A","RÉPARÉ – À RADIOGRAPHIER",IF(IF(AO37=1,AD37,IF(AO37=2,AI37,""))="R","VT REJETÉ – À REPRENDRE",IF(OR(AP37="CO",AP37="NT"),"COUPE – À RESOUDER","À RÉPARER"))))))))))</f>
        <v>À SOUDER</v>
      </c>
      <c r="AR37" s="82" t="str">
        <f aca="false">IF(AND(ISNUMBER(U37),OR(AQ37="À RADIOGRAPHIER",AQ37="RÉPARÉ – À RADIOGRAPHIER",AQ37="NX – RT À REFAIRE",AQ37="À RÉPARER",AQ37="COUPE – À RESOUDER",AQ37="VT REJETÉ – À REPRENDRE")),MAX(0,'PROGRAMME RT'!$C$4-U37),"")</f>
        <v/>
      </c>
      <c r="AS37" s="82" t="n">
        <f aca="false">IF(AND(OR(AQ37="À RADIOGRAPHIER",AQ37="RÉPARÉ – À RADIOGRAPHIER",AQ37="NX – RT À REFAIRE"),OR('PROGRAMME RT'!$D$5="TOUTES",B37='PROGRAMME RT'!$D$5)),1,0)</f>
        <v>0</v>
      </c>
      <c r="AT37" s="82" t="str">
        <f aca="false">IF(AS37=1,SUM(AS$7:AS37),"")</f>
        <v/>
      </c>
      <c r="AU37" s="82" t="n">
        <f aca="false">IF(AND(OR(AA37="R",AA37="NX",AA37="NT",AA37="CO"),OR('JOINTS DE RÉPARATION'!$D$5="TOUTES",B37='JOINTS DE RÉPARATION'!$D$5),OR('JOINTS DE RÉPARATION'!$L$4="TOUS",AQ37&lt;&gt;"ACCEPTÉ")),1,0)</f>
        <v>0</v>
      </c>
      <c r="AV37" s="82" t="str">
        <f aca="false">IF(AU37=1,SUM(AU$7:AU37),"")</f>
        <v/>
      </c>
      <c r="AW37" s="82" t="str">
        <f aca="false">IF(E37="","",B37&amp;"|"&amp;E37)</f>
        <v>MFD-ISW → MFD-CPF|JN°031</v>
      </c>
    </row>
    <row r="38" customFormat="false" ht="74.6" hidden="false" customHeight="false" outlineLevel="0" collapsed="false">
      <c r="A38" s="79" t="n">
        <f aca="false">IF(E38="","",ROW()-6)</f>
        <v>32</v>
      </c>
      <c r="B38" s="80" t="s">
        <v>110</v>
      </c>
      <c r="C38" s="81"/>
      <c r="D38" s="81"/>
      <c r="E38" s="81" t="s">
        <v>142</v>
      </c>
      <c r="F38" s="82" t="str">
        <f aca="false">IF(E38="","",IF(LEFT(E38,2)="DJ","DJ","JN"))</f>
        <v>JN</v>
      </c>
      <c r="G38" s="81"/>
      <c r="H38" s="81"/>
      <c r="I38" s="81"/>
      <c r="J38" s="81"/>
      <c r="K38" s="81"/>
      <c r="L38" s="81"/>
      <c r="M38" s="81"/>
      <c r="N38" s="81"/>
      <c r="O38" s="81"/>
      <c r="P38" s="81"/>
      <c r="Q38" s="81"/>
      <c r="R38" s="81"/>
      <c r="S38" s="81"/>
      <c r="T38" s="81"/>
      <c r="U38" s="83"/>
      <c r="V38" s="83"/>
      <c r="W38" s="81"/>
      <c r="X38" s="81"/>
      <c r="Y38" s="83"/>
      <c r="Z38" s="81"/>
      <c r="AA38" s="81"/>
      <c r="AB38" s="81"/>
      <c r="AC38" s="81"/>
      <c r="AD38" s="81"/>
      <c r="AE38" s="83"/>
      <c r="AF38" s="81"/>
      <c r="AG38" s="81"/>
      <c r="AH38" s="81"/>
      <c r="AI38" s="81"/>
      <c r="AJ38" s="83"/>
      <c r="AK38" s="81"/>
      <c r="AL38" s="81"/>
      <c r="AM38" s="83"/>
      <c r="AN38" s="80"/>
      <c r="AO38" s="82" t="n">
        <f aca="false">IF(E38="","",(AA38&lt;&gt;"")+(AG38&lt;&gt;"")+(AL38&lt;&gt;""))</f>
        <v>0</v>
      </c>
      <c r="AP38" s="82" t="str">
        <f aca="false">IF(AL38&lt;&gt;"",AL38,IF(AG38&lt;&gt;"",AG38,IF(AA38&lt;&gt;"",AA38,"")))</f>
        <v/>
      </c>
      <c r="AQ38" s="84" t="str">
        <f aca="false">IF(E38="","",IF(U38="","À SOUDER",IF(X38="","VT EN ATTENTE",IF(X38="R","VT REJETÉ – À REPRENDRE",IF(AP38="","À RADIOGRAPHIER",IF(AP38="A","ACCEPTÉ",IF(AP38="NX","NX – RT À REFAIRE",IF(IF(AO38=1,AD38,IF(AO38=2,AI38,""))="A","RÉPARÉ – À RADIOGRAPHIER",IF(IF(AO38=1,AD38,IF(AO38=2,AI38,""))="R","VT REJETÉ – À REPRENDRE",IF(OR(AP38="CO",AP38="NT"),"COUPE – À RESOUDER","À RÉPARER"))))))))))</f>
        <v>À SOUDER</v>
      </c>
      <c r="AR38" s="82" t="str">
        <f aca="false">IF(AND(ISNUMBER(U38),OR(AQ38="À RADIOGRAPHIER",AQ38="RÉPARÉ – À RADIOGRAPHIER",AQ38="NX – RT À REFAIRE",AQ38="À RÉPARER",AQ38="COUPE – À RESOUDER",AQ38="VT REJETÉ – À REPRENDRE")),MAX(0,'PROGRAMME RT'!$C$4-U38),"")</f>
        <v/>
      </c>
      <c r="AS38" s="82" t="n">
        <f aca="false">IF(AND(OR(AQ38="À RADIOGRAPHIER",AQ38="RÉPARÉ – À RADIOGRAPHIER",AQ38="NX – RT À REFAIRE"),OR('PROGRAMME RT'!$D$5="TOUTES",B38='PROGRAMME RT'!$D$5)),1,0)</f>
        <v>0</v>
      </c>
      <c r="AT38" s="82" t="str">
        <f aca="false">IF(AS38=1,SUM(AS$7:AS38),"")</f>
        <v/>
      </c>
      <c r="AU38" s="82" t="n">
        <f aca="false">IF(AND(OR(AA38="R",AA38="NX",AA38="NT",AA38="CO"),OR('JOINTS DE RÉPARATION'!$D$5="TOUTES",B38='JOINTS DE RÉPARATION'!$D$5),OR('JOINTS DE RÉPARATION'!$L$4="TOUS",AQ38&lt;&gt;"ACCEPTÉ")),1,0)</f>
        <v>0</v>
      </c>
      <c r="AV38" s="82" t="str">
        <f aca="false">IF(AU38=1,SUM(AU$7:AU38),"")</f>
        <v/>
      </c>
      <c r="AW38" s="82" t="str">
        <f aca="false">IF(E38="","",B38&amp;"|"&amp;E38)</f>
        <v>MFD-ISW → MFD-CPF|JN°032</v>
      </c>
    </row>
    <row r="39" customFormat="false" ht="74.6" hidden="false" customHeight="false" outlineLevel="0" collapsed="false">
      <c r="A39" s="79" t="n">
        <f aca="false">IF(E39="","",ROW()-6)</f>
        <v>33</v>
      </c>
      <c r="B39" s="80" t="s">
        <v>110</v>
      </c>
      <c r="C39" s="81"/>
      <c r="D39" s="81"/>
      <c r="E39" s="81" t="s">
        <v>143</v>
      </c>
      <c r="F39" s="82" t="str">
        <f aca="false">IF(E39="","",IF(LEFT(E39,2)="DJ","DJ","JN"))</f>
        <v>JN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3"/>
      <c r="V39" s="83"/>
      <c r="W39" s="81"/>
      <c r="X39" s="81"/>
      <c r="Y39" s="83"/>
      <c r="Z39" s="81"/>
      <c r="AA39" s="81"/>
      <c r="AB39" s="81"/>
      <c r="AC39" s="81"/>
      <c r="AD39" s="81"/>
      <c r="AE39" s="83"/>
      <c r="AF39" s="81"/>
      <c r="AG39" s="81"/>
      <c r="AH39" s="81"/>
      <c r="AI39" s="81"/>
      <c r="AJ39" s="83"/>
      <c r="AK39" s="81"/>
      <c r="AL39" s="81"/>
      <c r="AM39" s="83"/>
      <c r="AN39" s="80"/>
      <c r="AO39" s="82" t="n">
        <f aca="false">IF(E39="","",(AA39&lt;&gt;"")+(AG39&lt;&gt;"")+(AL39&lt;&gt;""))</f>
        <v>0</v>
      </c>
      <c r="AP39" s="82" t="str">
        <f aca="false">IF(AL39&lt;&gt;"",AL39,IF(AG39&lt;&gt;"",AG39,IF(AA39&lt;&gt;"",AA39,"")))</f>
        <v/>
      </c>
      <c r="AQ39" s="84" t="str">
        <f aca="false">IF(E39="","",IF(U39="","À SOUDER",IF(X39="","VT EN ATTENTE",IF(X39="R","VT REJETÉ – À REPRENDRE",IF(AP39="","À RADIOGRAPHIER",IF(AP39="A","ACCEPTÉ",IF(AP39="NX","NX – RT À REFAIRE",IF(IF(AO39=1,AD39,IF(AO39=2,AI39,""))="A","RÉPARÉ – À RADIOGRAPHIER",IF(IF(AO39=1,AD39,IF(AO39=2,AI39,""))="R","VT REJETÉ – À REPRENDRE",IF(OR(AP39="CO",AP39="NT"),"COUPE – À RESOUDER","À RÉPARER"))))))))))</f>
        <v>À SOUDER</v>
      </c>
      <c r="AR39" s="82" t="str">
        <f aca="false">IF(AND(ISNUMBER(U39),OR(AQ39="À RADIOGRAPHIER",AQ39="RÉPARÉ – À RADIOGRAPHIER",AQ39="NX – RT À REFAIRE",AQ39="À RÉPARER",AQ39="COUPE – À RESOUDER",AQ39="VT REJETÉ – À REPRENDRE")),MAX(0,'PROGRAMME RT'!$C$4-U39),"")</f>
        <v/>
      </c>
      <c r="AS39" s="82" t="n">
        <f aca="false">IF(AND(OR(AQ39="À RADIOGRAPHIER",AQ39="RÉPARÉ – À RADIOGRAPHIER",AQ39="NX – RT À REFAIRE"),OR('PROGRAMME RT'!$D$5="TOUTES",B39='PROGRAMME RT'!$D$5)),1,0)</f>
        <v>0</v>
      </c>
      <c r="AT39" s="82" t="str">
        <f aca="false">IF(AS39=1,SUM(AS$7:AS39),"")</f>
        <v/>
      </c>
      <c r="AU39" s="82" t="n">
        <f aca="false">IF(AND(OR(AA39="R",AA39="NX",AA39="NT",AA39="CO"),OR('JOINTS DE RÉPARATION'!$D$5="TOUTES",B39='JOINTS DE RÉPARATION'!$D$5),OR('JOINTS DE RÉPARATION'!$L$4="TOUS",AQ39&lt;&gt;"ACCEPTÉ")),1,0)</f>
        <v>0</v>
      </c>
      <c r="AV39" s="82" t="str">
        <f aca="false">IF(AU39=1,SUM(AU$7:AU39),"")</f>
        <v/>
      </c>
      <c r="AW39" s="82" t="str">
        <f aca="false">IF(E39="","",B39&amp;"|"&amp;E39)</f>
        <v>MFD-ISW → MFD-CPF|JN°033</v>
      </c>
    </row>
    <row r="40" customFormat="false" ht="74.6" hidden="false" customHeight="false" outlineLevel="0" collapsed="false">
      <c r="A40" s="79" t="n">
        <f aca="false">IF(E40="","",ROW()-6)</f>
        <v>34</v>
      </c>
      <c r="B40" s="80" t="s">
        <v>110</v>
      </c>
      <c r="C40" s="81"/>
      <c r="D40" s="81"/>
      <c r="E40" s="81" t="s">
        <v>144</v>
      </c>
      <c r="F40" s="82" t="str">
        <f aca="false">IF(E40="","",IF(LEFT(E40,2)="DJ","DJ","JN"))</f>
        <v>JN</v>
      </c>
      <c r="G40" s="81"/>
      <c r="H40" s="81"/>
      <c r="I40" s="81"/>
      <c r="J40" s="81"/>
      <c r="K40" s="81"/>
      <c r="L40" s="81"/>
      <c r="M40" s="81"/>
      <c r="N40" s="81"/>
      <c r="O40" s="81"/>
      <c r="P40" s="81"/>
      <c r="Q40" s="81"/>
      <c r="R40" s="81"/>
      <c r="S40" s="81"/>
      <c r="T40" s="81"/>
      <c r="U40" s="83"/>
      <c r="V40" s="83"/>
      <c r="W40" s="81"/>
      <c r="X40" s="81"/>
      <c r="Y40" s="83"/>
      <c r="Z40" s="81"/>
      <c r="AA40" s="81"/>
      <c r="AB40" s="81"/>
      <c r="AC40" s="81"/>
      <c r="AD40" s="81"/>
      <c r="AE40" s="83"/>
      <c r="AF40" s="81"/>
      <c r="AG40" s="81"/>
      <c r="AH40" s="81"/>
      <c r="AI40" s="81"/>
      <c r="AJ40" s="83"/>
      <c r="AK40" s="81"/>
      <c r="AL40" s="81"/>
      <c r="AM40" s="83"/>
      <c r="AN40" s="80"/>
      <c r="AO40" s="82" t="n">
        <f aca="false">IF(E40="","",(AA40&lt;&gt;"")+(AG40&lt;&gt;"")+(AL40&lt;&gt;""))</f>
        <v>0</v>
      </c>
      <c r="AP40" s="82" t="str">
        <f aca="false">IF(AL40&lt;&gt;"",AL40,IF(AG40&lt;&gt;"",AG40,IF(AA40&lt;&gt;"",AA40,"")))</f>
        <v/>
      </c>
      <c r="AQ40" s="84" t="str">
        <f aca="false">IF(E40="","",IF(U40="","À SOUDER",IF(X40="","VT EN ATTENTE",IF(X40="R","VT REJETÉ – À REPRENDRE",IF(AP40="","À RADIOGRAPHIER",IF(AP40="A","ACCEPTÉ",IF(AP40="NX","NX – RT À REFAIRE",IF(IF(AO40=1,AD40,IF(AO40=2,AI40,""))="A","RÉPARÉ – À RADIOGRAPHIER",IF(IF(AO40=1,AD40,IF(AO40=2,AI40,""))="R","VT REJETÉ – À REPRENDRE",IF(OR(AP40="CO",AP40="NT"),"COUPE – À RESOUDER","À RÉPARER"))))))))))</f>
        <v>À SOUDER</v>
      </c>
      <c r="AR40" s="82" t="str">
        <f aca="false">IF(AND(ISNUMBER(U40),OR(AQ40="À RADIOGRAPHIER",AQ40="RÉPARÉ – À RADIOGRAPHIER",AQ40="NX – RT À REFAIRE",AQ40="À RÉPARER",AQ40="COUPE – À RESOUDER",AQ40="VT REJETÉ – À REPRENDRE")),MAX(0,'PROGRAMME RT'!$C$4-U40),"")</f>
        <v/>
      </c>
      <c r="AS40" s="82" t="n">
        <f aca="false">IF(AND(OR(AQ40="À RADIOGRAPHIER",AQ40="RÉPARÉ – À RADIOGRAPHIER",AQ40="NX – RT À REFAIRE"),OR('PROGRAMME RT'!$D$5="TOUTES",B40='PROGRAMME RT'!$D$5)),1,0)</f>
        <v>0</v>
      </c>
      <c r="AT40" s="82" t="str">
        <f aca="false">IF(AS40=1,SUM(AS$7:AS40),"")</f>
        <v/>
      </c>
      <c r="AU40" s="82" t="n">
        <f aca="false">IF(AND(OR(AA40="R",AA40="NX",AA40="NT",AA40="CO"),OR('JOINTS DE RÉPARATION'!$D$5="TOUTES",B40='JOINTS DE RÉPARATION'!$D$5),OR('JOINTS DE RÉPARATION'!$L$4="TOUS",AQ40&lt;&gt;"ACCEPTÉ")),1,0)</f>
        <v>0</v>
      </c>
      <c r="AV40" s="82" t="str">
        <f aca="false">IF(AU40=1,SUM(AU$7:AU40),"")</f>
        <v/>
      </c>
      <c r="AW40" s="82" t="str">
        <f aca="false">IF(E40="","",B40&amp;"|"&amp;E40)</f>
        <v>MFD-ISW → MFD-CPF|JN°034</v>
      </c>
    </row>
    <row r="41" customFormat="false" ht="74.6" hidden="false" customHeight="false" outlineLevel="0" collapsed="false">
      <c r="A41" s="79" t="n">
        <f aca="false">IF(E41="","",ROW()-6)</f>
        <v>35</v>
      </c>
      <c r="B41" s="80" t="s">
        <v>110</v>
      </c>
      <c r="C41" s="81"/>
      <c r="D41" s="81"/>
      <c r="E41" s="81" t="s">
        <v>145</v>
      </c>
      <c r="F41" s="82" t="str">
        <f aca="false">IF(E41="","",IF(LEFT(E41,2)="DJ","DJ","JN"))</f>
        <v>JN</v>
      </c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3"/>
      <c r="V41" s="83"/>
      <c r="W41" s="81"/>
      <c r="X41" s="81"/>
      <c r="Y41" s="83"/>
      <c r="Z41" s="81"/>
      <c r="AA41" s="81"/>
      <c r="AB41" s="81"/>
      <c r="AC41" s="81"/>
      <c r="AD41" s="81"/>
      <c r="AE41" s="83"/>
      <c r="AF41" s="81"/>
      <c r="AG41" s="81"/>
      <c r="AH41" s="81"/>
      <c r="AI41" s="81"/>
      <c r="AJ41" s="83"/>
      <c r="AK41" s="81"/>
      <c r="AL41" s="81"/>
      <c r="AM41" s="83"/>
      <c r="AN41" s="80"/>
      <c r="AO41" s="82" t="n">
        <f aca="false">IF(E41="","",(AA41&lt;&gt;"")+(AG41&lt;&gt;"")+(AL41&lt;&gt;""))</f>
        <v>0</v>
      </c>
      <c r="AP41" s="82" t="str">
        <f aca="false">IF(AL41&lt;&gt;"",AL41,IF(AG41&lt;&gt;"",AG41,IF(AA41&lt;&gt;"",AA41,"")))</f>
        <v/>
      </c>
      <c r="AQ41" s="84" t="str">
        <f aca="false">IF(E41="","",IF(U41="","À SOUDER",IF(X41="","VT EN ATTENTE",IF(X41="R","VT REJETÉ – À REPRENDRE",IF(AP41="","À RADIOGRAPHIER",IF(AP41="A","ACCEPTÉ",IF(AP41="NX","NX – RT À REFAIRE",IF(IF(AO41=1,AD41,IF(AO41=2,AI41,""))="A","RÉPARÉ – À RADIOGRAPHIER",IF(IF(AO41=1,AD41,IF(AO41=2,AI41,""))="R","VT REJETÉ – À REPRENDRE",IF(OR(AP41="CO",AP41="NT"),"COUPE – À RESOUDER","À RÉPARER"))))))))))</f>
        <v>À SOUDER</v>
      </c>
      <c r="AR41" s="82" t="str">
        <f aca="false">IF(AND(ISNUMBER(U41),OR(AQ41="À RADIOGRAPHIER",AQ41="RÉPARÉ – À RADIOGRAPHIER",AQ41="NX – RT À REFAIRE",AQ41="À RÉPARER",AQ41="COUPE – À RESOUDER",AQ41="VT REJETÉ – À REPRENDRE")),MAX(0,'PROGRAMME RT'!$C$4-U41),"")</f>
        <v/>
      </c>
      <c r="AS41" s="82" t="n">
        <f aca="false">IF(AND(OR(AQ41="À RADIOGRAPHIER",AQ41="RÉPARÉ – À RADIOGRAPHIER",AQ41="NX – RT À REFAIRE"),OR('PROGRAMME RT'!$D$5="TOUTES",B41='PROGRAMME RT'!$D$5)),1,0)</f>
        <v>0</v>
      </c>
      <c r="AT41" s="82" t="str">
        <f aca="false">IF(AS41=1,SUM(AS$7:AS41),"")</f>
        <v/>
      </c>
      <c r="AU41" s="82" t="n">
        <f aca="false">IF(AND(OR(AA41="R",AA41="NX",AA41="NT",AA41="CO"),OR('JOINTS DE RÉPARATION'!$D$5="TOUTES",B41='JOINTS DE RÉPARATION'!$D$5),OR('JOINTS DE RÉPARATION'!$L$4="TOUS",AQ41&lt;&gt;"ACCEPTÉ")),1,0)</f>
        <v>0</v>
      </c>
      <c r="AV41" s="82" t="str">
        <f aca="false">IF(AU41=1,SUM(AU$7:AU41),"")</f>
        <v/>
      </c>
      <c r="AW41" s="82" t="str">
        <f aca="false">IF(E41="","",B41&amp;"|"&amp;E41)</f>
        <v>MFD-ISW → MFD-CPF|JN°035</v>
      </c>
    </row>
    <row r="42" customFormat="false" ht="74.6" hidden="false" customHeight="false" outlineLevel="0" collapsed="false">
      <c r="A42" s="79" t="n">
        <f aca="false">IF(E42="","",ROW()-6)</f>
        <v>36</v>
      </c>
      <c r="B42" s="80" t="s">
        <v>110</v>
      </c>
      <c r="C42" s="81"/>
      <c r="D42" s="81"/>
      <c r="E42" s="81" t="s">
        <v>146</v>
      </c>
      <c r="F42" s="82" t="str">
        <f aca="false">IF(E42="","",IF(LEFT(E42,2)="DJ","DJ","JN"))</f>
        <v>JN</v>
      </c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81"/>
      <c r="S42" s="81"/>
      <c r="T42" s="81"/>
      <c r="U42" s="83"/>
      <c r="V42" s="83"/>
      <c r="W42" s="81"/>
      <c r="X42" s="81"/>
      <c r="Y42" s="83"/>
      <c r="Z42" s="81"/>
      <c r="AA42" s="81"/>
      <c r="AB42" s="81"/>
      <c r="AC42" s="81"/>
      <c r="AD42" s="81"/>
      <c r="AE42" s="83"/>
      <c r="AF42" s="81"/>
      <c r="AG42" s="81"/>
      <c r="AH42" s="81"/>
      <c r="AI42" s="81"/>
      <c r="AJ42" s="83"/>
      <c r="AK42" s="81"/>
      <c r="AL42" s="81"/>
      <c r="AM42" s="83"/>
      <c r="AN42" s="80"/>
      <c r="AO42" s="82" t="n">
        <f aca="false">IF(E42="","",(AA42&lt;&gt;"")+(AG42&lt;&gt;"")+(AL42&lt;&gt;""))</f>
        <v>0</v>
      </c>
      <c r="AP42" s="82" t="str">
        <f aca="false">IF(AL42&lt;&gt;"",AL42,IF(AG42&lt;&gt;"",AG42,IF(AA42&lt;&gt;"",AA42,"")))</f>
        <v/>
      </c>
      <c r="AQ42" s="84" t="str">
        <f aca="false">IF(E42="","",IF(U42="","À SOUDER",IF(X42="","VT EN ATTENTE",IF(X42="R","VT REJETÉ – À REPRENDRE",IF(AP42="","À RADIOGRAPHIER",IF(AP42="A","ACCEPTÉ",IF(AP42="NX","NX – RT À REFAIRE",IF(IF(AO42=1,AD42,IF(AO42=2,AI42,""))="A","RÉPARÉ – À RADIOGRAPHIER",IF(IF(AO42=1,AD42,IF(AO42=2,AI42,""))="R","VT REJETÉ – À REPRENDRE",IF(OR(AP42="CO",AP42="NT"),"COUPE – À RESOUDER","À RÉPARER"))))))))))</f>
        <v>À SOUDER</v>
      </c>
      <c r="AR42" s="82" t="str">
        <f aca="false">IF(AND(ISNUMBER(U42),OR(AQ42="À RADIOGRAPHIER",AQ42="RÉPARÉ – À RADIOGRAPHIER",AQ42="NX – RT À REFAIRE",AQ42="À RÉPARER",AQ42="COUPE – À RESOUDER",AQ42="VT REJETÉ – À REPRENDRE")),MAX(0,'PROGRAMME RT'!$C$4-U42),"")</f>
        <v/>
      </c>
      <c r="AS42" s="82" t="n">
        <f aca="false">IF(AND(OR(AQ42="À RADIOGRAPHIER",AQ42="RÉPARÉ – À RADIOGRAPHIER",AQ42="NX – RT À REFAIRE"),OR('PROGRAMME RT'!$D$5="TOUTES",B42='PROGRAMME RT'!$D$5)),1,0)</f>
        <v>0</v>
      </c>
      <c r="AT42" s="82" t="str">
        <f aca="false">IF(AS42=1,SUM(AS$7:AS42),"")</f>
        <v/>
      </c>
      <c r="AU42" s="82" t="n">
        <f aca="false">IF(AND(OR(AA42="R",AA42="NX",AA42="NT",AA42="CO"),OR('JOINTS DE RÉPARATION'!$D$5="TOUTES",B42='JOINTS DE RÉPARATION'!$D$5),OR('JOINTS DE RÉPARATION'!$L$4="TOUS",AQ42&lt;&gt;"ACCEPTÉ")),1,0)</f>
        <v>0</v>
      </c>
      <c r="AV42" s="82" t="str">
        <f aca="false">IF(AU42=1,SUM(AU$7:AU42),"")</f>
        <v/>
      </c>
      <c r="AW42" s="82" t="str">
        <f aca="false">IF(E42="","",B42&amp;"|"&amp;E42)</f>
        <v>MFD-ISW → MFD-CPF|JN°036</v>
      </c>
    </row>
    <row r="43" customFormat="false" ht="74.6" hidden="false" customHeight="false" outlineLevel="0" collapsed="false">
      <c r="A43" s="79" t="n">
        <f aca="false">IF(E43="","",ROW()-6)</f>
        <v>37</v>
      </c>
      <c r="B43" s="80" t="s">
        <v>110</v>
      </c>
      <c r="C43" s="81"/>
      <c r="D43" s="81"/>
      <c r="E43" s="81" t="s">
        <v>147</v>
      </c>
      <c r="F43" s="82" t="str">
        <f aca="false">IF(E43="","",IF(LEFT(E43,2)="DJ","DJ","JN"))</f>
        <v>JN</v>
      </c>
      <c r="G43" s="81"/>
      <c r="H43" s="81"/>
      <c r="I43" s="81"/>
      <c r="J43" s="81"/>
      <c r="K43" s="81"/>
      <c r="L43" s="81"/>
      <c r="M43" s="81"/>
      <c r="N43" s="81"/>
      <c r="O43" s="81"/>
      <c r="P43" s="81"/>
      <c r="Q43" s="81"/>
      <c r="R43" s="81"/>
      <c r="S43" s="81"/>
      <c r="T43" s="81"/>
      <c r="U43" s="83"/>
      <c r="V43" s="83"/>
      <c r="W43" s="81"/>
      <c r="X43" s="81"/>
      <c r="Y43" s="83"/>
      <c r="Z43" s="81"/>
      <c r="AA43" s="81"/>
      <c r="AB43" s="81"/>
      <c r="AC43" s="81"/>
      <c r="AD43" s="81"/>
      <c r="AE43" s="83"/>
      <c r="AF43" s="81"/>
      <c r="AG43" s="81"/>
      <c r="AH43" s="81"/>
      <c r="AI43" s="81"/>
      <c r="AJ43" s="83"/>
      <c r="AK43" s="81"/>
      <c r="AL43" s="81"/>
      <c r="AM43" s="83"/>
      <c r="AN43" s="80"/>
      <c r="AO43" s="82" t="n">
        <f aca="false">IF(E43="","",(AA43&lt;&gt;"")+(AG43&lt;&gt;"")+(AL43&lt;&gt;""))</f>
        <v>0</v>
      </c>
      <c r="AP43" s="82" t="str">
        <f aca="false">IF(AL43&lt;&gt;"",AL43,IF(AG43&lt;&gt;"",AG43,IF(AA43&lt;&gt;"",AA43,"")))</f>
        <v/>
      </c>
      <c r="AQ43" s="84" t="str">
        <f aca="false">IF(E43="","",IF(U43="","À SOUDER",IF(X43="","VT EN ATTENTE",IF(X43="R","VT REJETÉ – À REPRENDRE",IF(AP43="","À RADIOGRAPHIER",IF(AP43="A","ACCEPTÉ",IF(AP43="NX","NX – RT À REFAIRE",IF(IF(AO43=1,AD43,IF(AO43=2,AI43,""))="A","RÉPARÉ – À RADIOGRAPHIER",IF(IF(AO43=1,AD43,IF(AO43=2,AI43,""))="R","VT REJETÉ – À REPRENDRE",IF(OR(AP43="CO",AP43="NT"),"COUPE – À RESOUDER","À RÉPARER"))))))))))</f>
        <v>À SOUDER</v>
      </c>
      <c r="AR43" s="82" t="str">
        <f aca="false">IF(AND(ISNUMBER(U43),OR(AQ43="À RADIOGRAPHIER",AQ43="RÉPARÉ – À RADIOGRAPHIER",AQ43="NX – RT À REFAIRE",AQ43="À RÉPARER",AQ43="COUPE – À RESOUDER",AQ43="VT REJETÉ – À REPRENDRE")),MAX(0,'PROGRAMME RT'!$C$4-U43),"")</f>
        <v/>
      </c>
      <c r="AS43" s="82" t="n">
        <f aca="false">IF(AND(OR(AQ43="À RADIOGRAPHIER",AQ43="RÉPARÉ – À RADIOGRAPHIER",AQ43="NX – RT À REFAIRE"),OR('PROGRAMME RT'!$D$5="TOUTES",B43='PROGRAMME RT'!$D$5)),1,0)</f>
        <v>0</v>
      </c>
      <c r="AT43" s="82" t="str">
        <f aca="false">IF(AS43=1,SUM(AS$7:AS43),"")</f>
        <v/>
      </c>
      <c r="AU43" s="82" t="n">
        <f aca="false">IF(AND(OR(AA43="R",AA43="NX",AA43="NT",AA43="CO"),OR('JOINTS DE RÉPARATION'!$D$5="TOUTES",B43='JOINTS DE RÉPARATION'!$D$5),OR('JOINTS DE RÉPARATION'!$L$4="TOUS",AQ43&lt;&gt;"ACCEPTÉ")),1,0)</f>
        <v>0</v>
      </c>
      <c r="AV43" s="82" t="str">
        <f aca="false">IF(AU43=1,SUM(AU$7:AU43),"")</f>
        <v/>
      </c>
      <c r="AW43" s="82" t="str">
        <f aca="false">IF(E43="","",B43&amp;"|"&amp;E43)</f>
        <v>MFD-ISW → MFD-CPF|JN°037</v>
      </c>
    </row>
    <row r="44" customFormat="false" ht="74.6" hidden="false" customHeight="false" outlineLevel="0" collapsed="false">
      <c r="A44" s="79" t="n">
        <f aca="false">IF(E44="","",ROW()-6)</f>
        <v>38</v>
      </c>
      <c r="B44" s="80" t="s">
        <v>110</v>
      </c>
      <c r="C44" s="81"/>
      <c r="D44" s="81"/>
      <c r="E44" s="81" t="s">
        <v>148</v>
      </c>
      <c r="F44" s="82" t="str">
        <f aca="false">IF(E44="","",IF(LEFT(E44,2)="DJ","DJ","JN"))</f>
        <v>JN</v>
      </c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U44" s="83"/>
      <c r="V44" s="83"/>
      <c r="W44" s="81"/>
      <c r="X44" s="81"/>
      <c r="Y44" s="83"/>
      <c r="Z44" s="81"/>
      <c r="AA44" s="81"/>
      <c r="AB44" s="81"/>
      <c r="AC44" s="81"/>
      <c r="AD44" s="81"/>
      <c r="AE44" s="83"/>
      <c r="AF44" s="81"/>
      <c r="AG44" s="81"/>
      <c r="AH44" s="81"/>
      <c r="AI44" s="81"/>
      <c r="AJ44" s="83"/>
      <c r="AK44" s="81"/>
      <c r="AL44" s="81"/>
      <c r="AM44" s="83"/>
      <c r="AN44" s="80"/>
      <c r="AO44" s="82" t="n">
        <f aca="false">IF(E44="","",(AA44&lt;&gt;"")+(AG44&lt;&gt;"")+(AL44&lt;&gt;""))</f>
        <v>0</v>
      </c>
      <c r="AP44" s="82" t="str">
        <f aca="false">IF(AL44&lt;&gt;"",AL44,IF(AG44&lt;&gt;"",AG44,IF(AA44&lt;&gt;"",AA44,"")))</f>
        <v/>
      </c>
      <c r="AQ44" s="84" t="str">
        <f aca="false">IF(E44="","",IF(U44="","À SOUDER",IF(X44="","VT EN ATTENTE",IF(X44="R","VT REJETÉ – À REPRENDRE",IF(AP44="","À RADIOGRAPHIER",IF(AP44="A","ACCEPTÉ",IF(AP44="NX","NX – RT À REFAIRE",IF(IF(AO44=1,AD44,IF(AO44=2,AI44,""))="A","RÉPARÉ – À RADIOGRAPHIER",IF(IF(AO44=1,AD44,IF(AO44=2,AI44,""))="R","VT REJETÉ – À REPRENDRE",IF(OR(AP44="CO",AP44="NT"),"COUPE – À RESOUDER","À RÉPARER"))))))))))</f>
        <v>À SOUDER</v>
      </c>
      <c r="AR44" s="82" t="str">
        <f aca="false">IF(AND(ISNUMBER(U44),OR(AQ44="À RADIOGRAPHIER",AQ44="RÉPARÉ – À RADIOGRAPHIER",AQ44="NX – RT À REFAIRE",AQ44="À RÉPARER",AQ44="COUPE – À RESOUDER",AQ44="VT REJETÉ – À REPRENDRE")),MAX(0,'PROGRAMME RT'!$C$4-U44),"")</f>
        <v/>
      </c>
      <c r="AS44" s="82" t="n">
        <f aca="false">IF(AND(OR(AQ44="À RADIOGRAPHIER",AQ44="RÉPARÉ – À RADIOGRAPHIER",AQ44="NX – RT À REFAIRE"),OR('PROGRAMME RT'!$D$5="TOUTES",B44='PROGRAMME RT'!$D$5)),1,0)</f>
        <v>0</v>
      </c>
      <c r="AT44" s="82" t="str">
        <f aca="false">IF(AS44=1,SUM(AS$7:AS44),"")</f>
        <v/>
      </c>
      <c r="AU44" s="82" t="n">
        <f aca="false">IF(AND(OR(AA44="R",AA44="NX",AA44="NT",AA44="CO"),OR('JOINTS DE RÉPARATION'!$D$5="TOUTES",B44='JOINTS DE RÉPARATION'!$D$5),OR('JOINTS DE RÉPARATION'!$L$4="TOUS",AQ44&lt;&gt;"ACCEPTÉ")),1,0)</f>
        <v>0</v>
      </c>
      <c r="AV44" s="82" t="str">
        <f aca="false">IF(AU44=1,SUM(AU$7:AU44),"")</f>
        <v/>
      </c>
      <c r="AW44" s="82" t="str">
        <f aca="false">IF(E44="","",B44&amp;"|"&amp;E44)</f>
        <v>MFD-ISW → MFD-CPF|JN°038</v>
      </c>
    </row>
    <row r="45" customFormat="false" ht="74.6" hidden="false" customHeight="false" outlineLevel="0" collapsed="false">
      <c r="A45" s="79" t="n">
        <f aca="false">IF(E45="","",ROW()-6)</f>
        <v>39</v>
      </c>
      <c r="B45" s="80" t="s">
        <v>110</v>
      </c>
      <c r="C45" s="81"/>
      <c r="D45" s="81"/>
      <c r="E45" s="81" t="s">
        <v>149</v>
      </c>
      <c r="F45" s="82" t="str">
        <f aca="false">IF(E45="","",IF(LEFT(E45,2)="DJ","DJ","JN"))</f>
        <v>JN</v>
      </c>
      <c r="G45" s="81"/>
      <c r="H45" s="81"/>
      <c r="I45" s="81"/>
      <c r="J45" s="81"/>
      <c r="K45" s="81"/>
      <c r="L45" s="81"/>
      <c r="M45" s="81"/>
      <c r="N45" s="81"/>
      <c r="O45" s="81"/>
      <c r="P45" s="81"/>
      <c r="Q45" s="81"/>
      <c r="R45" s="81"/>
      <c r="S45" s="81"/>
      <c r="T45" s="81"/>
      <c r="U45" s="83"/>
      <c r="V45" s="83"/>
      <c r="W45" s="81"/>
      <c r="X45" s="81"/>
      <c r="Y45" s="83"/>
      <c r="Z45" s="81"/>
      <c r="AA45" s="81"/>
      <c r="AB45" s="81"/>
      <c r="AC45" s="81"/>
      <c r="AD45" s="81"/>
      <c r="AE45" s="83"/>
      <c r="AF45" s="81"/>
      <c r="AG45" s="81"/>
      <c r="AH45" s="81"/>
      <c r="AI45" s="81"/>
      <c r="AJ45" s="83"/>
      <c r="AK45" s="81"/>
      <c r="AL45" s="81"/>
      <c r="AM45" s="83"/>
      <c r="AN45" s="80"/>
      <c r="AO45" s="82" t="n">
        <f aca="false">IF(E45="","",(AA45&lt;&gt;"")+(AG45&lt;&gt;"")+(AL45&lt;&gt;""))</f>
        <v>0</v>
      </c>
      <c r="AP45" s="82" t="str">
        <f aca="false">IF(AL45&lt;&gt;"",AL45,IF(AG45&lt;&gt;"",AG45,IF(AA45&lt;&gt;"",AA45,"")))</f>
        <v/>
      </c>
      <c r="AQ45" s="84" t="str">
        <f aca="false">IF(E45="","",IF(U45="","À SOUDER",IF(X45="","VT EN ATTENTE",IF(X45="R","VT REJETÉ – À REPRENDRE",IF(AP45="","À RADIOGRAPHIER",IF(AP45="A","ACCEPTÉ",IF(AP45="NX","NX – RT À REFAIRE",IF(IF(AO45=1,AD45,IF(AO45=2,AI45,""))="A","RÉPARÉ – À RADIOGRAPHIER",IF(IF(AO45=1,AD45,IF(AO45=2,AI45,""))="R","VT REJETÉ – À REPRENDRE",IF(OR(AP45="CO",AP45="NT"),"COUPE – À RESOUDER","À RÉPARER"))))))))))</f>
        <v>À SOUDER</v>
      </c>
      <c r="AR45" s="82" t="str">
        <f aca="false">IF(AND(ISNUMBER(U45),OR(AQ45="À RADIOGRAPHIER",AQ45="RÉPARÉ – À RADIOGRAPHIER",AQ45="NX – RT À REFAIRE",AQ45="À RÉPARER",AQ45="COUPE – À RESOUDER",AQ45="VT REJETÉ – À REPRENDRE")),MAX(0,'PROGRAMME RT'!$C$4-U45),"")</f>
        <v/>
      </c>
      <c r="AS45" s="82" t="n">
        <f aca="false">IF(AND(OR(AQ45="À RADIOGRAPHIER",AQ45="RÉPARÉ – À RADIOGRAPHIER",AQ45="NX – RT À REFAIRE"),OR('PROGRAMME RT'!$D$5="TOUTES",B45='PROGRAMME RT'!$D$5)),1,0)</f>
        <v>0</v>
      </c>
      <c r="AT45" s="82" t="str">
        <f aca="false">IF(AS45=1,SUM(AS$7:AS45),"")</f>
        <v/>
      </c>
      <c r="AU45" s="82" t="n">
        <f aca="false">IF(AND(OR(AA45="R",AA45="NX",AA45="NT",AA45="CO"),OR('JOINTS DE RÉPARATION'!$D$5="TOUTES",B45='JOINTS DE RÉPARATION'!$D$5),OR('JOINTS DE RÉPARATION'!$L$4="TOUS",AQ45&lt;&gt;"ACCEPTÉ")),1,0)</f>
        <v>0</v>
      </c>
      <c r="AV45" s="82" t="str">
        <f aca="false">IF(AU45=1,SUM(AU$7:AU45),"")</f>
        <v/>
      </c>
      <c r="AW45" s="82" t="str">
        <f aca="false">IF(E45="","",B45&amp;"|"&amp;E45)</f>
        <v>MFD-ISW → MFD-CPF|JN°039</v>
      </c>
    </row>
    <row r="46" customFormat="false" ht="74.6" hidden="false" customHeight="false" outlineLevel="0" collapsed="false">
      <c r="A46" s="79" t="n">
        <f aca="false">IF(E46="","",ROW()-6)</f>
        <v>40</v>
      </c>
      <c r="B46" s="80" t="s">
        <v>110</v>
      </c>
      <c r="C46" s="81"/>
      <c r="D46" s="81"/>
      <c r="E46" s="81" t="s">
        <v>150</v>
      </c>
      <c r="F46" s="82" t="str">
        <f aca="false">IF(E46="","",IF(LEFT(E46,2)="DJ","DJ","JN"))</f>
        <v>JN</v>
      </c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81"/>
      <c r="T46" s="81"/>
      <c r="U46" s="83"/>
      <c r="V46" s="83"/>
      <c r="W46" s="81"/>
      <c r="X46" s="81"/>
      <c r="Y46" s="83"/>
      <c r="Z46" s="81"/>
      <c r="AA46" s="81"/>
      <c r="AB46" s="81"/>
      <c r="AC46" s="81"/>
      <c r="AD46" s="81"/>
      <c r="AE46" s="83"/>
      <c r="AF46" s="81"/>
      <c r="AG46" s="81"/>
      <c r="AH46" s="81"/>
      <c r="AI46" s="81"/>
      <c r="AJ46" s="83"/>
      <c r="AK46" s="81"/>
      <c r="AL46" s="81"/>
      <c r="AM46" s="83"/>
      <c r="AN46" s="80"/>
      <c r="AO46" s="82" t="n">
        <f aca="false">IF(E46="","",(AA46&lt;&gt;"")+(AG46&lt;&gt;"")+(AL46&lt;&gt;""))</f>
        <v>0</v>
      </c>
      <c r="AP46" s="82" t="str">
        <f aca="false">IF(AL46&lt;&gt;"",AL46,IF(AG46&lt;&gt;"",AG46,IF(AA46&lt;&gt;"",AA46,"")))</f>
        <v/>
      </c>
      <c r="AQ46" s="84" t="str">
        <f aca="false">IF(E46="","",IF(U46="","À SOUDER",IF(X46="","VT EN ATTENTE",IF(X46="R","VT REJETÉ – À REPRENDRE",IF(AP46="","À RADIOGRAPHIER",IF(AP46="A","ACCEPTÉ",IF(AP46="NX","NX – RT À REFAIRE",IF(IF(AO46=1,AD46,IF(AO46=2,AI46,""))="A","RÉPARÉ – À RADIOGRAPHIER",IF(IF(AO46=1,AD46,IF(AO46=2,AI46,""))="R","VT REJETÉ – À REPRENDRE",IF(OR(AP46="CO",AP46="NT"),"COUPE – À RESOUDER","À RÉPARER"))))))))))</f>
        <v>À SOUDER</v>
      </c>
      <c r="AR46" s="82" t="str">
        <f aca="false">IF(AND(ISNUMBER(U46),OR(AQ46="À RADIOGRAPHIER",AQ46="RÉPARÉ – À RADIOGRAPHIER",AQ46="NX – RT À REFAIRE",AQ46="À RÉPARER",AQ46="COUPE – À RESOUDER",AQ46="VT REJETÉ – À REPRENDRE")),MAX(0,'PROGRAMME RT'!$C$4-U46),"")</f>
        <v/>
      </c>
      <c r="AS46" s="82" t="n">
        <f aca="false">IF(AND(OR(AQ46="À RADIOGRAPHIER",AQ46="RÉPARÉ – À RADIOGRAPHIER",AQ46="NX – RT À REFAIRE"),OR('PROGRAMME RT'!$D$5="TOUTES",B46='PROGRAMME RT'!$D$5)),1,0)</f>
        <v>0</v>
      </c>
      <c r="AT46" s="82" t="str">
        <f aca="false">IF(AS46=1,SUM(AS$7:AS46),"")</f>
        <v/>
      </c>
      <c r="AU46" s="82" t="n">
        <f aca="false">IF(AND(OR(AA46="R",AA46="NX",AA46="NT",AA46="CO"),OR('JOINTS DE RÉPARATION'!$D$5="TOUTES",B46='JOINTS DE RÉPARATION'!$D$5),OR('JOINTS DE RÉPARATION'!$L$4="TOUS",AQ46&lt;&gt;"ACCEPTÉ")),1,0)</f>
        <v>0</v>
      </c>
      <c r="AV46" s="82" t="str">
        <f aca="false">IF(AU46=1,SUM(AU$7:AU46),"")</f>
        <v/>
      </c>
      <c r="AW46" s="82" t="str">
        <f aca="false">IF(E46="","",B46&amp;"|"&amp;E46)</f>
        <v>MFD-ISW → MFD-CPF|JN°040</v>
      </c>
    </row>
    <row r="47" customFormat="false" ht="74.6" hidden="false" customHeight="false" outlineLevel="0" collapsed="false">
      <c r="A47" s="79" t="n">
        <f aca="false">IF(E47="","",ROW()-6)</f>
        <v>41</v>
      </c>
      <c r="B47" s="80" t="s">
        <v>110</v>
      </c>
      <c r="C47" s="81"/>
      <c r="D47" s="81"/>
      <c r="E47" s="81" t="s">
        <v>151</v>
      </c>
      <c r="F47" s="82" t="str">
        <f aca="false">IF(E47="","",IF(LEFT(E47,2)="DJ","DJ","JN"))</f>
        <v>JN</v>
      </c>
      <c r="G47" s="81"/>
      <c r="H47" s="81"/>
      <c r="I47" s="81"/>
      <c r="J47" s="81"/>
      <c r="K47" s="81"/>
      <c r="L47" s="81"/>
      <c r="M47" s="81"/>
      <c r="N47" s="81"/>
      <c r="O47" s="81"/>
      <c r="P47" s="81"/>
      <c r="Q47" s="81"/>
      <c r="R47" s="81"/>
      <c r="S47" s="81"/>
      <c r="T47" s="81"/>
      <c r="U47" s="83"/>
      <c r="V47" s="83"/>
      <c r="W47" s="81"/>
      <c r="X47" s="81"/>
      <c r="Y47" s="83"/>
      <c r="Z47" s="81"/>
      <c r="AA47" s="81"/>
      <c r="AB47" s="81"/>
      <c r="AC47" s="81"/>
      <c r="AD47" s="81"/>
      <c r="AE47" s="83"/>
      <c r="AF47" s="81"/>
      <c r="AG47" s="81"/>
      <c r="AH47" s="81"/>
      <c r="AI47" s="81"/>
      <c r="AJ47" s="83"/>
      <c r="AK47" s="81"/>
      <c r="AL47" s="81"/>
      <c r="AM47" s="83"/>
      <c r="AN47" s="80"/>
      <c r="AO47" s="82" t="n">
        <f aca="false">IF(E47="","",(AA47&lt;&gt;"")+(AG47&lt;&gt;"")+(AL47&lt;&gt;""))</f>
        <v>0</v>
      </c>
      <c r="AP47" s="82" t="str">
        <f aca="false">IF(AL47&lt;&gt;"",AL47,IF(AG47&lt;&gt;"",AG47,IF(AA47&lt;&gt;"",AA47,"")))</f>
        <v/>
      </c>
      <c r="AQ47" s="84" t="str">
        <f aca="false">IF(E47="","",IF(U47="","À SOUDER",IF(X47="","VT EN ATTENTE",IF(X47="R","VT REJETÉ – À REPRENDRE",IF(AP47="","À RADIOGRAPHIER",IF(AP47="A","ACCEPTÉ",IF(AP47="NX","NX – RT À REFAIRE",IF(IF(AO47=1,AD47,IF(AO47=2,AI47,""))="A","RÉPARÉ – À RADIOGRAPHIER",IF(IF(AO47=1,AD47,IF(AO47=2,AI47,""))="R","VT REJETÉ – À REPRENDRE",IF(OR(AP47="CO",AP47="NT"),"COUPE – À RESOUDER","À RÉPARER"))))))))))</f>
        <v>À SOUDER</v>
      </c>
      <c r="AR47" s="82" t="str">
        <f aca="false">IF(AND(ISNUMBER(U47),OR(AQ47="À RADIOGRAPHIER",AQ47="RÉPARÉ – À RADIOGRAPHIER",AQ47="NX – RT À REFAIRE",AQ47="À RÉPARER",AQ47="COUPE – À RESOUDER",AQ47="VT REJETÉ – À REPRENDRE")),MAX(0,'PROGRAMME RT'!$C$4-U47),"")</f>
        <v/>
      </c>
      <c r="AS47" s="82" t="n">
        <f aca="false">IF(AND(OR(AQ47="À RADIOGRAPHIER",AQ47="RÉPARÉ – À RADIOGRAPHIER",AQ47="NX – RT À REFAIRE"),OR('PROGRAMME RT'!$D$5="TOUTES",B47='PROGRAMME RT'!$D$5)),1,0)</f>
        <v>0</v>
      </c>
      <c r="AT47" s="82" t="str">
        <f aca="false">IF(AS47=1,SUM(AS$7:AS47),"")</f>
        <v/>
      </c>
      <c r="AU47" s="82" t="n">
        <f aca="false">IF(AND(OR(AA47="R",AA47="NX",AA47="NT",AA47="CO"),OR('JOINTS DE RÉPARATION'!$D$5="TOUTES",B47='JOINTS DE RÉPARATION'!$D$5),OR('JOINTS DE RÉPARATION'!$L$4="TOUS",AQ47&lt;&gt;"ACCEPTÉ")),1,0)</f>
        <v>0</v>
      </c>
      <c r="AV47" s="82" t="str">
        <f aca="false">IF(AU47=1,SUM(AU$7:AU47),"")</f>
        <v/>
      </c>
      <c r="AW47" s="82" t="str">
        <f aca="false">IF(E47="","",B47&amp;"|"&amp;E47)</f>
        <v>MFD-ISW → MFD-CPF|JN°041</v>
      </c>
    </row>
    <row r="48" customFormat="false" ht="74.6" hidden="false" customHeight="false" outlineLevel="0" collapsed="false">
      <c r="A48" s="79" t="n">
        <f aca="false">IF(E48="","",ROW()-6)</f>
        <v>42</v>
      </c>
      <c r="B48" s="80" t="s">
        <v>110</v>
      </c>
      <c r="C48" s="81"/>
      <c r="D48" s="81"/>
      <c r="E48" s="81" t="s">
        <v>152</v>
      </c>
      <c r="F48" s="82" t="str">
        <f aca="false">IF(E48="","",IF(LEFT(E48,2)="DJ","DJ","JN"))</f>
        <v>JN</v>
      </c>
      <c r="G48" s="81"/>
      <c r="H48" s="81"/>
      <c r="I48" s="81"/>
      <c r="J48" s="81"/>
      <c r="K48" s="81"/>
      <c r="L48" s="81"/>
      <c r="M48" s="81"/>
      <c r="N48" s="81"/>
      <c r="O48" s="81"/>
      <c r="P48" s="81"/>
      <c r="Q48" s="81"/>
      <c r="R48" s="81"/>
      <c r="S48" s="81"/>
      <c r="T48" s="81"/>
      <c r="U48" s="83"/>
      <c r="V48" s="83"/>
      <c r="W48" s="81"/>
      <c r="X48" s="81"/>
      <c r="Y48" s="83"/>
      <c r="Z48" s="81"/>
      <c r="AA48" s="81"/>
      <c r="AB48" s="81"/>
      <c r="AC48" s="81"/>
      <c r="AD48" s="81"/>
      <c r="AE48" s="83"/>
      <c r="AF48" s="81"/>
      <c r="AG48" s="81"/>
      <c r="AH48" s="81"/>
      <c r="AI48" s="81"/>
      <c r="AJ48" s="83"/>
      <c r="AK48" s="81"/>
      <c r="AL48" s="81"/>
      <c r="AM48" s="83"/>
      <c r="AN48" s="80"/>
      <c r="AO48" s="82" t="n">
        <f aca="false">IF(E48="","",(AA48&lt;&gt;"")+(AG48&lt;&gt;"")+(AL48&lt;&gt;""))</f>
        <v>0</v>
      </c>
      <c r="AP48" s="82" t="str">
        <f aca="false">IF(AL48&lt;&gt;"",AL48,IF(AG48&lt;&gt;"",AG48,IF(AA48&lt;&gt;"",AA48,"")))</f>
        <v/>
      </c>
      <c r="AQ48" s="84" t="str">
        <f aca="false">IF(E48="","",IF(U48="","À SOUDER",IF(X48="","VT EN ATTENTE",IF(X48="R","VT REJETÉ – À REPRENDRE",IF(AP48="","À RADIOGRAPHIER",IF(AP48="A","ACCEPTÉ",IF(AP48="NX","NX – RT À REFAIRE",IF(IF(AO48=1,AD48,IF(AO48=2,AI48,""))="A","RÉPARÉ – À RADIOGRAPHIER",IF(IF(AO48=1,AD48,IF(AO48=2,AI48,""))="R","VT REJETÉ – À REPRENDRE",IF(OR(AP48="CO",AP48="NT"),"COUPE – À RESOUDER","À RÉPARER"))))))))))</f>
        <v>À SOUDER</v>
      </c>
      <c r="AR48" s="82" t="str">
        <f aca="false">IF(AND(ISNUMBER(U48),OR(AQ48="À RADIOGRAPHIER",AQ48="RÉPARÉ – À RADIOGRAPHIER",AQ48="NX – RT À REFAIRE",AQ48="À RÉPARER",AQ48="COUPE – À RESOUDER",AQ48="VT REJETÉ – À REPRENDRE")),MAX(0,'PROGRAMME RT'!$C$4-U48),"")</f>
        <v/>
      </c>
      <c r="AS48" s="82" t="n">
        <f aca="false">IF(AND(OR(AQ48="À RADIOGRAPHIER",AQ48="RÉPARÉ – À RADIOGRAPHIER",AQ48="NX – RT À REFAIRE"),OR('PROGRAMME RT'!$D$5="TOUTES",B48='PROGRAMME RT'!$D$5)),1,0)</f>
        <v>0</v>
      </c>
      <c r="AT48" s="82" t="str">
        <f aca="false">IF(AS48=1,SUM(AS$7:AS48),"")</f>
        <v/>
      </c>
      <c r="AU48" s="82" t="n">
        <f aca="false">IF(AND(OR(AA48="R",AA48="NX",AA48="NT",AA48="CO"),OR('JOINTS DE RÉPARATION'!$D$5="TOUTES",B48='JOINTS DE RÉPARATION'!$D$5),OR('JOINTS DE RÉPARATION'!$L$4="TOUS",AQ48&lt;&gt;"ACCEPTÉ")),1,0)</f>
        <v>0</v>
      </c>
      <c r="AV48" s="82" t="str">
        <f aca="false">IF(AU48=1,SUM(AU$7:AU48),"")</f>
        <v/>
      </c>
      <c r="AW48" s="82" t="str">
        <f aca="false">IF(E48="","",B48&amp;"|"&amp;E48)</f>
        <v>MFD-ISW → MFD-CPF|JN°042</v>
      </c>
    </row>
    <row r="49" customFormat="false" ht="74.6" hidden="false" customHeight="false" outlineLevel="0" collapsed="false">
      <c r="A49" s="79" t="n">
        <f aca="false">IF(E49="","",ROW()-6)</f>
        <v>43</v>
      </c>
      <c r="B49" s="80" t="s">
        <v>110</v>
      </c>
      <c r="C49" s="81"/>
      <c r="D49" s="81"/>
      <c r="E49" s="81" t="s">
        <v>153</v>
      </c>
      <c r="F49" s="82" t="str">
        <f aca="false">IF(E49="","",IF(LEFT(E49,2)="DJ","DJ","JN"))</f>
        <v>JN</v>
      </c>
      <c r="G49" s="81"/>
      <c r="H49" s="81"/>
      <c r="I49" s="81"/>
      <c r="J49" s="81"/>
      <c r="K49" s="81"/>
      <c r="L49" s="81"/>
      <c r="M49" s="81"/>
      <c r="N49" s="81"/>
      <c r="O49" s="81"/>
      <c r="P49" s="81"/>
      <c r="Q49" s="81"/>
      <c r="R49" s="81"/>
      <c r="S49" s="81"/>
      <c r="T49" s="81"/>
      <c r="U49" s="83"/>
      <c r="V49" s="83"/>
      <c r="W49" s="81"/>
      <c r="X49" s="81"/>
      <c r="Y49" s="83"/>
      <c r="Z49" s="81"/>
      <c r="AA49" s="81"/>
      <c r="AB49" s="81"/>
      <c r="AC49" s="81"/>
      <c r="AD49" s="81"/>
      <c r="AE49" s="83"/>
      <c r="AF49" s="81"/>
      <c r="AG49" s="81"/>
      <c r="AH49" s="81"/>
      <c r="AI49" s="81"/>
      <c r="AJ49" s="83"/>
      <c r="AK49" s="81"/>
      <c r="AL49" s="81"/>
      <c r="AM49" s="83"/>
      <c r="AN49" s="80"/>
      <c r="AO49" s="82" t="n">
        <f aca="false">IF(E49="","",(AA49&lt;&gt;"")+(AG49&lt;&gt;"")+(AL49&lt;&gt;""))</f>
        <v>0</v>
      </c>
      <c r="AP49" s="82" t="str">
        <f aca="false">IF(AL49&lt;&gt;"",AL49,IF(AG49&lt;&gt;"",AG49,IF(AA49&lt;&gt;"",AA49,"")))</f>
        <v/>
      </c>
      <c r="AQ49" s="84" t="str">
        <f aca="false">IF(E49="","",IF(U49="","À SOUDER",IF(X49="","VT EN ATTENTE",IF(X49="R","VT REJETÉ – À REPRENDRE",IF(AP49="","À RADIOGRAPHIER",IF(AP49="A","ACCEPTÉ",IF(AP49="NX","NX – RT À REFAIRE",IF(IF(AO49=1,AD49,IF(AO49=2,AI49,""))="A","RÉPARÉ – À RADIOGRAPHIER",IF(IF(AO49=1,AD49,IF(AO49=2,AI49,""))="R","VT REJETÉ – À REPRENDRE",IF(OR(AP49="CO",AP49="NT"),"COUPE – À RESOUDER","À RÉPARER"))))))))))</f>
        <v>À SOUDER</v>
      </c>
      <c r="AR49" s="82" t="str">
        <f aca="false">IF(AND(ISNUMBER(U49),OR(AQ49="À RADIOGRAPHIER",AQ49="RÉPARÉ – À RADIOGRAPHIER",AQ49="NX – RT À REFAIRE",AQ49="À RÉPARER",AQ49="COUPE – À RESOUDER",AQ49="VT REJETÉ – À REPRENDRE")),MAX(0,'PROGRAMME RT'!$C$4-U49),"")</f>
        <v/>
      </c>
      <c r="AS49" s="82" t="n">
        <f aca="false">IF(AND(OR(AQ49="À RADIOGRAPHIER",AQ49="RÉPARÉ – À RADIOGRAPHIER",AQ49="NX – RT À REFAIRE"),OR('PROGRAMME RT'!$D$5="TOUTES",B49='PROGRAMME RT'!$D$5)),1,0)</f>
        <v>0</v>
      </c>
      <c r="AT49" s="82" t="str">
        <f aca="false">IF(AS49=1,SUM(AS$7:AS49),"")</f>
        <v/>
      </c>
      <c r="AU49" s="82" t="n">
        <f aca="false">IF(AND(OR(AA49="R",AA49="NX",AA49="NT",AA49="CO"),OR('JOINTS DE RÉPARATION'!$D$5="TOUTES",B49='JOINTS DE RÉPARATION'!$D$5),OR('JOINTS DE RÉPARATION'!$L$4="TOUS",AQ49&lt;&gt;"ACCEPTÉ")),1,0)</f>
        <v>0</v>
      </c>
      <c r="AV49" s="82" t="str">
        <f aca="false">IF(AU49=1,SUM(AU$7:AU49),"")</f>
        <v/>
      </c>
      <c r="AW49" s="82" t="str">
        <f aca="false">IF(E49="","",B49&amp;"|"&amp;E49)</f>
        <v>MFD-ISW → MFD-CPF|JN°043</v>
      </c>
    </row>
    <row r="50" customFormat="false" ht="74.6" hidden="false" customHeight="false" outlineLevel="0" collapsed="false">
      <c r="A50" s="79" t="n">
        <f aca="false">IF(E50="","",ROW()-6)</f>
        <v>44</v>
      </c>
      <c r="B50" s="80" t="s">
        <v>110</v>
      </c>
      <c r="C50" s="81"/>
      <c r="D50" s="81"/>
      <c r="E50" s="81" t="s">
        <v>154</v>
      </c>
      <c r="F50" s="82" t="str">
        <f aca="false">IF(E50="","",IF(LEFT(E50,2)="DJ","DJ","JN"))</f>
        <v>JN</v>
      </c>
      <c r="G50" s="81"/>
      <c r="H50" s="81"/>
      <c r="I50" s="81"/>
      <c r="J50" s="81"/>
      <c r="K50" s="81"/>
      <c r="L50" s="81"/>
      <c r="M50" s="81"/>
      <c r="N50" s="81"/>
      <c r="O50" s="81"/>
      <c r="P50" s="81"/>
      <c r="Q50" s="81"/>
      <c r="R50" s="81"/>
      <c r="S50" s="81"/>
      <c r="T50" s="81"/>
      <c r="U50" s="83"/>
      <c r="V50" s="83"/>
      <c r="W50" s="81"/>
      <c r="X50" s="81"/>
      <c r="Y50" s="83"/>
      <c r="Z50" s="81"/>
      <c r="AA50" s="81"/>
      <c r="AB50" s="81"/>
      <c r="AC50" s="81"/>
      <c r="AD50" s="81"/>
      <c r="AE50" s="83"/>
      <c r="AF50" s="81"/>
      <c r="AG50" s="81"/>
      <c r="AH50" s="81"/>
      <c r="AI50" s="81"/>
      <c r="AJ50" s="83"/>
      <c r="AK50" s="81"/>
      <c r="AL50" s="81"/>
      <c r="AM50" s="83"/>
      <c r="AN50" s="80"/>
      <c r="AO50" s="82" t="n">
        <f aca="false">IF(E50="","",(AA50&lt;&gt;"")+(AG50&lt;&gt;"")+(AL50&lt;&gt;""))</f>
        <v>0</v>
      </c>
      <c r="AP50" s="82" t="str">
        <f aca="false">IF(AL50&lt;&gt;"",AL50,IF(AG50&lt;&gt;"",AG50,IF(AA50&lt;&gt;"",AA50,"")))</f>
        <v/>
      </c>
      <c r="AQ50" s="84" t="str">
        <f aca="false">IF(E50="","",IF(U50="","À SOUDER",IF(X50="","VT EN ATTENTE",IF(X50="R","VT REJETÉ – À REPRENDRE",IF(AP50="","À RADIOGRAPHIER",IF(AP50="A","ACCEPTÉ",IF(AP50="NX","NX – RT À REFAIRE",IF(IF(AO50=1,AD50,IF(AO50=2,AI50,""))="A","RÉPARÉ – À RADIOGRAPHIER",IF(IF(AO50=1,AD50,IF(AO50=2,AI50,""))="R","VT REJETÉ – À REPRENDRE",IF(OR(AP50="CO",AP50="NT"),"COUPE – À RESOUDER","À RÉPARER"))))))))))</f>
        <v>À SOUDER</v>
      </c>
      <c r="AR50" s="82" t="str">
        <f aca="false">IF(AND(ISNUMBER(U50),OR(AQ50="À RADIOGRAPHIER",AQ50="RÉPARÉ – À RADIOGRAPHIER",AQ50="NX – RT À REFAIRE",AQ50="À RÉPARER",AQ50="COUPE – À RESOUDER",AQ50="VT REJETÉ – À REPRENDRE")),MAX(0,'PROGRAMME RT'!$C$4-U50),"")</f>
        <v/>
      </c>
      <c r="AS50" s="82" t="n">
        <f aca="false">IF(AND(OR(AQ50="À RADIOGRAPHIER",AQ50="RÉPARÉ – À RADIOGRAPHIER",AQ50="NX – RT À REFAIRE"),OR('PROGRAMME RT'!$D$5="TOUTES",B50='PROGRAMME RT'!$D$5)),1,0)</f>
        <v>0</v>
      </c>
      <c r="AT50" s="82" t="str">
        <f aca="false">IF(AS50=1,SUM(AS$7:AS50),"")</f>
        <v/>
      </c>
      <c r="AU50" s="82" t="n">
        <f aca="false">IF(AND(OR(AA50="R",AA50="NX",AA50="NT",AA50="CO"),OR('JOINTS DE RÉPARATION'!$D$5="TOUTES",B50='JOINTS DE RÉPARATION'!$D$5),OR('JOINTS DE RÉPARATION'!$L$4="TOUS",AQ50&lt;&gt;"ACCEPTÉ")),1,0)</f>
        <v>0</v>
      </c>
      <c r="AV50" s="82" t="str">
        <f aca="false">IF(AU50=1,SUM(AU$7:AU50),"")</f>
        <v/>
      </c>
      <c r="AW50" s="82" t="str">
        <f aca="false">IF(E50="","",B50&amp;"|"&amp;E50)</f>
        <v>MFD-ISW → MFD-CPF|JN°044</v>
      </c>
    </row>
    <row r="51" customFormat="false" ht="74.6" hidden="false" customHeight="false" outlineLevel="0" collapsed="false">
      <c r="A51" s="79" t="n">
        <f aca="false">IF(E51="","",ROW()-6)</f>
        <v>45</v>
      </c>
      <c r="B51" s="80" t="s">
        <v>110</v>
      </c>
      <c r="C51" s="81"/>
      <c r="D51" s="81"/>
      <c r="E51" s="81" t="s">
        <v>155</v>
      </c>
      <c r="F51" s="82" t="str">
        <f aca="false">IF(E51="","",IF(LEFT(E51,2)="DJ","DJ","JN"))</f>
        <v>JN</v>
      </c>
      <c r="G51" s="81"/>
      <c r="H51" s="81"/>
      <c r="I51" s="81"/>
      <c r="J51" s="81"/>
      <c r="K51" s="81"/>
      <c r="L51" s="81"/>
      <c r="M51" s="81"/>
      <c r="N51" s="81"/>
      <c r="O51" s="81"/>
      <c r="P51" s="81"/>
      <c r="Q51" s="81"/>
      <c r="R51" s="81"/>
      <c r="S51" s="81"/>
      <c r="T51" s="81"/>
      <c r="U51" s="83"/>
      <c r="V51" s="83"/>
      <c r="W51" s="81"/>
      <c r="X51" s="81"/>
      <c r="Y51" s="83"/>
      <c r="Z51" s="81"/>
      <c r="AA51" s="81"/>
      <c r="AB51" s="81"/>
      <c r="AC51" s="81"/>
      <c r="AD51" s="81"/>
      <c r="AE51" s="83"/>
      <c r="AF51" s="81"/>
      <c r="AG51" s="81"/>
      <c r="AH51" s="81"/>
      <c r="AI51" s="81"/>
      <c r="AJ51" s="83"/>
      <c r="AK51" s="81"/>
      <c r="AL51" s="81"/>
      <c r="AM51" s="83"/>
      <c r="AN51" s="80"/>
      <c r="AO51" s="82" t="n">
        <f aca="false">IF(E51="","",(AA51&lt;&gt;"")+(AG51&lt;&gt;"")+(AL51&lt;&gt;""))</f>
        <v>0</v>
      </c>
      <c r="AP51" s="82" t="str">
        <f aca="false">IF(AL51&lt;&gt;"",AL51,IF(AG51&lt;&gt;"",AG51,IF(AA51&lt;&gt;"",AA51,"")))</f>
        <v/>
      </c>
      <c r="AQ51" s="84" t="str">
        <f aca="false">IF(E51="","",IF(U51="","À SOUDER",IF(X51="","VT EN ATTENTE",IF(X51="R","VT REJETÉ – À REPRENDRE",IF(AP51="","À RADIOGRAPHIER",IF(AP51="A","ACCEPTÉ",IF(AP51="NX","NX – RT À REFAIRE",IF(IF(AO51=1,AD51,IF(AO51=2,AI51,""))="A","RÉPARÉ – À RADIOGRAPHIER",IF(IF(AO51=1,AD51,IF(AO51=2,AI51,""))="R","VT REJETÉ – À REPRENDRE",IF(OR(AP51="CO",AP51="NT"),"COUPE – À RESOUDER","À RÉPARER"))))))))))</f>
        <v>À SOUDER</v>
      </c>
      <c r="AR51" s="82" t="str">
        <f aca="false">IF(AND(ISNUMBER(U51),OR(AQ51="À RADIOGRAPHIER",AQ51="RÉPARÉ – À RADIOGRAPHIER",AQ51="NX – RT À REFAIRE",AQ51="À RÉPARER",AQ51="COUPE – À RESOUDER",AQ51="VT REJETÉ – À REPRENDRE")),MAX(0,'PROGRAMME RT'!$C$4-U51),"")</f>
        <v/>
      </c>
      <c r="AS51" s="82" t="n">
        <f aca="false">IF(AND(OR(AQ51="À RADIOGRAPHIER",AQ51="RÉPARÉ – À RADIOGRAPHIER",AQ51="NX – RT À REFAIRE"),OR('PROGRAMME RT'!$D$5="TOUTES",B51='PROGRAMME RT'!$D$5)),1,0)</f>
        <v>0</v>
      </c>
      <c r="AT51" s="82" t="str">
        <f aca="false">IF(AS51=1,SUM(AS$7:AS51),"")</f>
        <v/>
      </c>
      <c r="AU51" s="82" t="n">
        <f aca="false">IF(AND(OR(AA51="R",AA51="NX",AA51="NT",AA51="CO"),OR('JOINTS DE RÉPARATION'!$D$5="TOUTES",B51='JOINTS DE RÉPARATION'!$D$5),OR('JOINTS DE RÉPARATION'!$L$4="TOUS",AQ51&lt;&gt;"ACCEPTÉ")),1,0)</f>
        <v>0</v>
      </c>
      <c r="AV51" s="82" t="str">
        <f aca="false">IF(AU51=1,SUM(AU$7:AU51),"")</f>
        <v/>
      </c>
      <c r="AW51" s="82" t="str">
        <f aca="false">IF(E51="","",B51&amp;"|"&amp;E51)</f>
        <v>MFD-ISW → MFD-CPF|JN°045</v>
      </c>
    </row>
    <row r="52" customFormat="false" ht="74.6" hidden="false" customHeight="false" outlineLevel="0" collapsed="false">
      <c r="A52" s="79" t="n">
        <f aca="false">IF(E52="","",ROW()-6)</f>
        <v>46</v>
      </c>
      <c r="B52" s="80" t="s">
        <v>110</v>
      </c>
      <c r="C52" s="81"/>
      <c r="D52" s="81"/>
      <c r="E52" s="81" t="s">
        <v>156</v>
      </c>
      <c r="F52" s="82" t="str">
        <f aca="false">IF(E52="","",IF(LEFT(E52,2)="DJ","DJ","JN"))</f>
        <v>JN</v>
      </c>
      <c r="G52" s="81"/>
      <c r="H52" s="81"/>
      <c r="I52" s="81"/>
      <c r="J52" s="81"/>
      <c r="K52" s="81"/>
      <c r="L52" s="81"/>
      <c r="M52" s="81"/>
      <c r="N52" s="81"/>
      <c r="O52" s="81"/>
      <c r="P52" s="81"/>
      <c r="Q52" s="81"/>
      <c r="R52" s="81"/>
      <c r="S52" s="81"/>
      <c r="T52" s="81"/>
      <c r="U52" s="83"/>
      <c r="V52" s="83"/>
      <c r="W52" s="81"/>
      <c r="X52" s="81"/>
      <c r="Y52" s="83"/>
      <c r="Z52" s="81"/>
      <c r="AA52" s="81"/>
      <c r="AB52" s="81"/>
      <c r="AC52" s="81"/>
      <c r="AD52" s="81"/>
      <c r="AE52" s="83"/>
      <c r="AF52" s="81"/>
      <c r="AG52" s="81"/>
      <c r="AH52" s="81"/>
      <c r="AI52" s="81"/>
      <c r="AJ52" s="83"/>
      <c r="AK52" s="81"/>
      <c r="AL52" s="81"/>
      <c r="AM52" s="83"/>
      <c r="AN52" s="80"/>
      <c r="AO52" s="82" t="n">
        <f aca="false">IF(E52="","",(AA52&lt;&gt;"")+(AG52&lt;&gt;"")+(AL52&lt;&gt;""))</f>
        <v>0</v>
      </c>
      <c r="AP52" s="82" t="str">
        <f aca="false">IF(AL52&lt;&gt;"",AL52,IF(AG52&lt;&gt;"",AG52,IF(AA52&lt;&gt;"",AA52,"")))</f>
        <v/>
      </c>
      <c r="AQ52" s="84" t="str">
        <f aca="false">IF(E52="","",IF(U52="","À SOUDER",IF(X52="","VT EN ATTENTE",IF(X52="R","VT REJETÉ – À REPRENDRE",IF(AP52="","À RADIOGRAPHIER",IF(AP52="A","ACCEPTÉ",IF(AP52="NX","NX – RT À REFAIRE",IF(IF(AO52=1,AD52,IF(AO52=2,AI52,""))="A","RÉPARÉ – À RADIOGRAPHIER",IF(IF(AO52=1,AD52,IF(AO52=2,AI52,""))="R","VT REJETÉ – À REPRENDRE",IF(OR(AP52="CO",AP52="NT"),"COUPE – À RESOUDER","À RÉPARER"))))))))))</f>
        <v>À SOUDER</v>
      </c>
      <c r="AR52" s="82" t="str">
        <f aca="false">IF(AND(ISNUMBER(U52),OR(AQ52="À RADIOGRAPHIER",AQ52="RÉPARÉ – À RADIOGRAPHIER",AQ52="NX – RT À REFAIRE",AQ52="À RÉPARER",AQ52="COUPE – À RESOUDER",AQ52="VT REJETÉ – À REPRENDRE")),MAX(0,'PROGRAMME RT'!$C$4-U52),"")</f>
        <v/>
      </c>
      <c r="AS52" s="82" t="n">
        <f aca="false">IF(AND(OR(AQ52="À RADIOGRAPHIER",AQ52="RÉPARÉ – À RADIOGRAPHIER",AQ52="NX – RT À REFAIRE"),OR('PROGRAMME RT'!$D$5="TOUTES",B52='PROGRAMME RT'!$D$5)),1,0)</f>
        <v>0</v>
      </c>
      <c r="AT52" s="82" t="str">
        <f aca="false">IF(AS52=1,SUM(AS$7:AS52),"")</f>
        <v/>
      </c>
      <c r="AU52" s="82" t="n">
        <f aca="false">IF(AND(OR(AA52="R",AA52="NX",AA52="NT",AA52="CO"),OR('JOINTS DE RÉPARATION'!$D$5="TOUTES",B52='JOINTS DE RÉPARATION'!$D$5),OR('JOINTS DE RÉPARATION'!$L$4="TOUS",AQ52&lt;&gt;"ACCEPTÉ")),1,0)</f>
        <v>0</v>
      </c>
      <c r="AV52" s="82" t="str">
        <f aca="false">IF(AU52=1,SUM(AU$7:AU52),"")</f>
        <v/>
      </c>
      <c r="AW52" s="82" t="str">
        <f aca="false">IF(E52="","",B52&amp;"|"&amp;E52)</f>
        <v>MFD-ISW → MFD-CPF|JN°046</v>
      </c>
    </row>
    <row r="53" customFormat="false" ht="74.6" hidden="false" customHeight="false" outlineLevel="0" collapsed="false">
      <c r="A53" s="79" t="n">
        <f aca="false">IF(E53="","",ROW()-6)</f>
        <v>47</v>
      </c>
      <c r="B53" s="80" t="s">
        <v>110</v>
      </c>
      <c r="C53" s="81"/>
      <c r="D53" s="81"/>
      <c r="E53" s="81" t="s">
        <v>157</v>
      </c>
      <c r="F53" s="82" t="str">
        <f aca="false">IF(E53="","",IF(LEFT(E53,2)="DJ","DJ","JN"))</f>
        <v>JN</v>
      </c>
      <c r="G53" s="81"/>
      <c r="H53" s="81"/>
      <c r="I53" s="81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3"/>
      <c r="V53" s="83"/>
      <c r="W53" s="81"/>
      <c r="X53" s="81"/>
      <c r="Y53" s="83"/>
      <c r="Z53" s="81"/>
      <c r="AA53" s="81"/>
      <c r="AB53" s="81"/>
      <c r="AC53" s="81"/>
      <c r="AD53" s="81"/>
      <c r="AE53" s="83"/>
      <c r="AF53" s="81"/>
      <c r="AG53" s="81"/>
      <c r="AH53" s="81"/>
      <c r="AI53" s="81"/>
      <c r="AJ53" s="83"/>
      <c r="AK53" s="81"/>
      <c r="AL53" s="81"/>
      <c r="AM53" s="83"/>
      <c r="AN53" s="80"/>
      <c r="AO53" s="82" t="n">
        <f aca="false">IF(E53="","",(AA53&lt;&gt;"")+(AG53&lt;&gt;"")+(AL53&lt;&gt;""))</f>
        <v>0</v>
      </c>
      <c r="AP53" s="82" t="str">
        <f aca="false">IF(AL53&lt;&gt;"",AL53,IF(AG53&lt;&gt;"",AG53,IF(AA53&lt;&gt;"",AA53,"")))</f>
        <v/>
      </c>
      <c r="AQ53" s="84" t="str">
        <f aca="false">IF(E53="","",IF(U53="","À SOUDER",IF(X53="","VT EN ATTENTE",IF(X53="R","VT REJETÉ – À REPRENDRE",IF(AP53="","À RADIOGRAPHIER",IF(AP53="A","ACCEPTÉ",IF(AP53="NX","NX – RT À REFAIRE",IF(IF(AO53=1,AD53,IF(AO53=2,AI53,""))="A","RÉPARÉ – À RADIOGRAPHIER",IF(IF(AO53=1,AD53,IF(AO53=2,AI53,""))="R","VT REJETÉ – À REPRENDRE",IF(OR(AP53="CO",AP53="NT"),"COUPE – À RESOUDER","À RÉPARER"))))))))))</f>
        <v>À SOUDER</v>
      </c>
      <c r="AR53" s="82" t="str">
        <f aca="false">IF(AND(ISNUMBER(U53),OR(AQ53="À RADIOGRAPHIER",AQ53="RÉPARÉ – À RADIOGRAPHIER",AQ53="NX – RT À REFAIRE",AQ53="À RÉPARER",AQ53="COUPE – À RESOUDER",AQ53="VT REJETÉ – À REPRENDRE")),MAX(0,'PROGRAMME RT'!$C$4-U53),"")</f>
        <v/>
      </c>
      <c r="AS53" s="82" t="n">
        <f aca="false">IF(AND(OR(AQ53="À RADIOGRAPHIER",AQ53="RÉPARÉ – À RADIOGRAPHIER",AQ53="NX – RT À REFAIRE"),OR('PROGRAMME RT'!$D$5="TOUTES",B53='PROGRAMME RT'!$D$5)),1,0)</f>
        <v>0</v>
      </c>
      <c r="AT53" s="82" t="str">
        <f aca="false">IF(AS53=1,SUM(AS$7:AS53),"")</f>
        <v/>
      </c>
      <c r="AU53" s="82" t="n">
        <f aca="false">IF(AND(OR(AA53="R",AA53="NX",AA53="NT",AA53="CO"),OR('JOINTS DE RÉPARATION'!$D$5="TOUTES",B53='JOINTS DE RÉPARATION'!$D$5),OR('JOINTS DE RÉPARATION'!$L$4="TOUS",AQ53&lt;&gt;"ACCEPTÉ")),1,0)</f>
        <v>0</v>
      </c>
      <c r="AV53" s="82" t="str">
        <f aca="false">IF(AU53=1,SUM(AU$7:AU53),"")</f>
        <v/>
      </c>
      <c r="AW53" s="82" t="str">
        <f aca="false">IF(E53="","",B53&amp;"|"&amp;E53)</f>
        <v>MFD-ISW → MFD-CPF|JN°047</v>
      </c>
    </row>
    <row r="54" customFormat="false" ht="74.6" hidden="false" customHeight="false" outlineLevel="0" collapsed="false">
      <c r="A54" s="79" t="n">
        <f aca="false">IF(E54="","",ROW()-6)</f>
        <v>48</v>
      </c>
      <c r="B54" s="80" t="s">
        <v>110</v>
      </c>
      <c r="C54" s="81"/>
      <c r="D54" s="81"/>
      <c r="E54" s="81" t="s">
        <v>158</v>
      </c>
      <c r="F54" s="82" t="str">
        <f aca="false">IF(E54="","",IF(LEFT(E54,2)="DJ","DJ","JN"))</f>
        <v>JN</v>
      </c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3"/>
      <c r="V54" s="83"/>
      <c r="W54" s="81"/>
      <c r="X54" s="81"/>
      <c r="Y54" s="83"/>
      <c r="Z54" s="81"/>
      <c r="AA54" s="81"/>
      <c r="AB54" s="81"/>
      <c r="AC54" s="81"/>
      <c r="AD54" s="81"/>
      <c r="AE54" s="83"/>
      <c r="AF54" s="81"/>
      <c r="AG54" s="81"/>
      <c r="AH54" s="81"/>
      <c r="AI54" s="81"/>
      <c r="AJ54" s="83"/>
      <c r="AK54" s="81"/>
      <c r="AL54" s="81"/>
      <c r="AM54" s="83"/>
      <c r="AN54" s="80"/>
      <c r="AO54" s="82" t="n">
        <f aca="false">IF(E54="","",(AA54&lt;&gt;"")+(AG54&lt;&gt;"")+(AL54&lt;&gt;""))</f>
        <v>0</v>
      </c>
      <c r="AP54" s="82" t="str">
        <f aca="false">IF(AL54&lt;&gt;"",AL54,IF(AG54&lt;&gt;"",AG54,IF(AA54&lt;&gt;"",AA54,"")))</f>
        <v/>
      </c>
      <c r="AQ54" s="84" t="str">
        <f aca="false">IF(E54="","",IF(U54="","À SOUDER",IF(X54="","VT EN ATTENTE",IF(X54="R","VT REJETÉ – À REPRENDRE",IF(AP54="","À RADIOGRAPHIER",IF(AP54="A","ACCEPTÉ",IF(AP54="NX","NX – RT À REFAIRE",IF(IF(AO54=1,AD54,IF(AO54=2,AI54,""))="A","RÉPARÉ – À RADIOGRAPHIER",IF(IF(AO54=1,AD54,IF(AO54=2,AI54,""))="R","VT REJETÉ – À REPRENDRE",IF(OR(AP54="CO",AP54="NT"),"COUPE – À RESOUDER","À RÉPARER"))))))))))</f>
        <v>À SOUDER</v>
      </c>
      <c r="AR54" s="82" t="str">
        <f aca="false">IF(AND(ISNUMBER(U54),OR(AQ54="À RADIOGRAPHIER",AQ54="RÉPARÉ – À RADIOGRAPHIER",AQ54="NX – RT À REFAIRE",AQ54="À RÉPARER",AQ54="COUPE – À RESOUDER",AQ54="VT REJETÉ – À REPRENDRE")),MAX(0,'PROGRAMME RT'!$C$4-U54),"")</f>
        <v/>
      </c>
      <c r="AS54" s="82" t="n">
        <f aca="false">IF(AND(OR(AQ54="À RADIOGRAPHIER",AQ54="RÉPARÉ – À RADIOGRAPHIER",AQ54="NX – RT À REFAIRE"),OR('PROGRAMME RT'!$D$5="TOUTES",B54='PROGRAMME RT'!$D$5)),1,0)</f>
        <v>0</v>
      </c>
      <c r="AT54" s="82" t="str">
        <f aca="false">IF(AS54=1,SUM(AS$7:AS54),"")</f>
        <v/>
      </c>
      <c r="AU54" s="82" t="n">
        <f aca="false">IF(AND(OR(AA54="R",AA54="NX",AA54="NT",AA54="CO"),OR('JOINTS DE RÉPARATION'!$D$5="TOUTES",B54='JOINTS DE RÉPARATION'!$D$5),OR('JOINTS DE RÉPARATION'!$L$4="TOUS",AQ54&lt;&gt;"ACCEPTÉ")),1,0)</f>
        <v>0</v>
      </c>
      <c r="AV54" s="82" t="str">
        <f aca="false">IF(AU54=1,SUM(AU$7:AU54),"")</f>
        <v/>
      </c>
      <c r="AW54" s="82" t="str">
        <f aca="false">IF(E54="","",B54&amp;"|"&amp;E54)</f>
        <v>MFD-ISW → MFD-CPF|JN°048</v>
      </c>
    </row>
    <row r="55" customFormat="false" ht="74.6" hidden="false" customHeight="false" outlineLevel="0" collapsed="false">
      <c r="A55" s="79" t="n">
        <f aca="false">IF(E55="","",ROW()-6)</f>
        <v>49</v>
      </c>
      <c r="B55" s="80" t="s">
        <v>110</v>
      </c>
      <c r="C55" s="81"/>
      <c r="D55" s="81"/>
      <c r="E55" s="81" t="s">
        <v>159</v>
      </c>
      <c r="F55" s="82" t="str">
        <f aca="false">IF(E55="","",IF(LEFT(E55,2)="DJ","DJ","JN"))</f>
        <v>JN</v>
      </c>
      <c r="G55" s="81"/>
      <c r="H55" s="81"/>
      <c r="I55" s="81"/>
      <c r="J55" s="81"/>
      <c r="K55" s="81"/>
      <c r="L55" s="81"/>
      <c r="M55" s="81"/>
      <c r="N55" s="81"/>
      <c r="O55" s="81"/>
      <c r="P55" s="81"/>
      <c r="Q55" s="81"/>
      <c r="R55" s="81"/>
      <c r="S55" s="81"/>
      <c r="T55" s="81"/>
      <c r="U55" s="83"/>
      <c r="V55" s="83"/>
      <c r="W55" s="81"/>
      <c r="X55" s="81"/>
      <c r="Y55" s="83"/>
      <c r="Z55" s="81"/>
      <c r="AA55" s="81"/>
      <c r="AB55" s="81"/>
      <c r="AC55" s="81"/>
      <c r="AD55" s="81"/>
      <c r="AE55" s="83"/>
      <c r="AF55" s="81"/>
      <c r="AG55" s="81"/>
      <c r="AH55" s="81"/>
      <c r="AI55" s="81"/>
      <c r="AJ55" s="83"/>
      <c r="AK55" s="81"/>
      <c r="AL55" s="81"/>
      <c r="AM55" s="83"/>
      <c r="AN55" s="80"/>
      <c r="AO55" s="82" t="n">
        <f aca="false">IF(E55="","",(AA55&lt;&gt;"")+(AG55&lt;&gt;"")+(AL55&lt;&gt;""))</f>
        <v>0</v>
      </c>
      <c r="AP55" s="82" t="str">
        <f aca="false">IF(AL55&lt;&gt;"",AL55,IF(AG55&lt;&gt;"",AG55,IF(AA55&lt;&gt;"",AA55,"")))</f>
        <v/>
      </c>
      <c r="AQ55" s="84" t="str">
        <f aca="false">IF(E55="","",IF(U55="","À SOUDER",IF(X55="","VT EN ATTENTE",IF(X55="R","VT REJETÉ – À REPRENDRE",IF(AP55="","À RADIOGRAPHIER",IF(AP55="A","ACCEPTÉ",IF(AP55="NX","NX – RT À REFAIRE",IF(IF(AO55=1,AD55,IF(AO55=2,AI55,""))="A","RÉPARÉ – À RADIOGRAPHIER",IF(IF(AO55=1,AD55,IF(AO55=2,AI55,""))="R","VT REJETÉ – À REPRENDRE",IF(OR(AP55="CO",AP55="NT"),"COUPE – À RESOUDER","À RÉPARER"))))))))))</f>
        <v>À SOUDER</v>
      </c>
      <c r="AR55" s="82" t="str">
        <f aca="false">IF(AND(ISNUMBER(U55),OR(AQ55="À RADIOGRAPHIER",AQ55="RÉPARÉ – À RADIOGRAPHIER",AQ55="NX – RT À REFAIRE",AQ55="À RÉPARER",AQ55="COUPE – À RESOUDER",AQ55="VT REJETÉ – À REPRENDRE")),MAX(0,'PROGRAMME RT'!$C$4-U55),"")</f>
        <v/>
      </c>
      <c r="AS55" s="82" t="n">
        <f aca="false">IF(AND(OR(AQ55="À RADIOGRAPHIER",AQ55="RÉPARÉ – À RADIOGRAPHIER",AQ55="NX – RT À REFAIRE"),OR('PROGRAMME RT'!$D$5="TOUTES",B55='PROGRAMME RT'!$D$5)),1,0)</f>
        <v>0</v>
      </c>
      <c r="AT55" s="82" t="str">
        <f aca="false">IF(AS55=1,SUM(AS$7:AS55),"")</f>
        <v/>
      </c>
      <c r="AU55" s="82" t="n">
        <f aca="false">IF(AND(OR(AA55="R",AA55="NX",AA55="NT",AA55="CO"),OR('JOINTS DE RÉPARATION'!$D$5="TOUTES",B55='JOINTS DE RÉPARATION'!$D$5),OR('JOINTS DE RÉPARATION'!$L$4="TOUS",AQ55&lt;&gt;"ACCEPTÉ")),1,0)</f>
        <v>0</v>
      </c>
      <c r="AV55" s="82" t="str">
        <f aca="false">IF(AU55=1,SUM(AU$7:AU55),"")</f>
        <v/>
      </c>
      <c r="AW55" s="82" t="str">
        <f aca="false">IF(E55="","",B55&amp;"|"&amp;E55)</f>
        <v>MFD-ISW → MFD-CPF|JN°049</v>
      </c>
    </row>
    <row r="56" customFormat="false" ht="74.6" hidden="false" customHeight="false" outlineLevel="0" collapsed="false">
      <c r="A56" s="79" t="n">
        <f aca="false">IF(E56="","",ROW()-6)</f>
        <v>50</v>
      </c>
      <c r="B56" s="80" t="s">
        <v>110</v>
      </c>
      <c r="C56" s="81"/>
      <c r="D56" s="81"/>
      <c r="E56" s="81" t="s">
        <v>160</v>
      </c>
      <c r="F56" s="82" t="str">
        <f aca="false">IF(E56="","",IF(LEFT(E56,2)="DJ","DJ","JN"))</f>
        <v>JN</v>
      </c>
      <c r="G56" s="81"/>
      <c r="H56" s="81"/>
      <c r="I56" s="81"/>
      <c r="J56" s="81"/>
      <c r="K56" s="81"/>
      <c r="L56" s="81"/>
      <c r="M56" s="81"/>
      <c r="N56" s="81"/>
      <c r="O56" s="81"/>
      <c r="P56" s="81"/>
      <c r="Q56" s="81"/>
      <c r="R56" s="81"/>
      <c r="S56" s="81"/>
      <c r="T56" s="81"/>
      <c r="U56" s="83"/>
      <c r="V56" s="83"/>
      <c r="W56" s="81"/>
      <c r="X56" s="81"/>
      <c r="Y56" s="83"/>
      <c r="Z56" s="81"/>
      <c r="AA56" s="81"/>
      <c r="AB56" s="81"/>
      <c r="AC56" s="81"/>
      <c r="AD56" s="81"/>
      <c r="AE56" s="83"/>
      <c r="AF56" s="81"/>
      <c r="AG56" s="81"/>
      <c r="AH56" s="81"/>
      <c r="AI56" s="81"/>
      <c r="AJ56" s="83"/>
      <c r="AK56" s="81"/>
      <c r="AL56" s="81"/>
      <c r="AM56" s="83"/>
      <c r="AN56" s="80"/>
      <c r="AO56" s="82" t="n">
        <f aca="false">IF(E56="","",(AA56&lt;&gt;"")+(AG56&lt;&gt;"")+(AL56&lt;&gt;""))</f>
        <v>0</v>
      </c>
      <c r="AP56" s="82" t="str">
        <f aca="false">IF(AL56&lt;&gt;"",AL56,IF(AG56&lt;&gt;"",AG56,IF(AA56&lt;&gt;"",AA56,"")))</f>
        <v/>
      </c>
      <c r="AQ56" s="84" t="str">
        <f aca="false">IF(E56="","",IF(U56="","À SOUDER",IF(X56="","VT EN ATTENTE",IF(X56="R","VT REJETÉ – À REPRENDRE",IF(AP56="","À RADIOGRAPHIER",IF(AP56="A","ACCEPTÉ",IF(AP56="NX","NX – RT À REFAIRE",IF(IF(AO56=1,AD56,IF(AO56=2,AI56,""))="A","RÉPARÉ – À RADIOGRAPHIER",IF(IF(AO56=1,AD56,IF(AO56=2,AI56,""))="R","VT REJETÉ – À REPRENDRE",IF(OR(AP56="CO",AP56="NT"),"COUPE – À RESOUDER","À RÉPARER"))))))))))</f>
        <v>À SOUDER</v>
      </c>
      <c r="AR56" s="82" t="str">
        <f aca="false">IF(AND(ISNUMBER(U56),OR(AQ56="À RADIOGRAPHIER",AQ56="RÉPARÉ – À RADIOGRAPHIER",AQ56="NX – RT À REFAIRE",AQ56="À RÉPARER",AQ56="COUPE – À RESOUDER",AQ56="VT REJETÉ – À REPRENDRE")),MAX(0,'PROGRAMME RT'!$C$4-U56),"")</f>
        <v/>
      </c>
      <c r="AS56" s="82" t="n">
        <f aca="false">IF(AND(OR(AQ56="À RADIOGRAPHIER",AQ56="RÉPARÉ – À RADIOGRAPHIER",AQ56="NX – RT À REFAIRE"),OR('PROGRAMME RT'!$D$5="TOUTES",B56='PROGRAMME RT'!$D$5)),1,0)</f>
        <v>0</v>
      </c>
      <c r="AT56" s="82" t="str">
        <f aca="false">IF(AS56=1,SUM(AS$7:AS56),"")</f>
        <v/>
      </c>
      <c r="AU56" s="82" t="n">
        <f aca="false">IF(AND(OR(AA56="R",AA56="NX",AA56="NT",AA56="CO"),OR('JOINTS DE RÉPARATION'!$D$5="TOUTES",B56='JOINTS DE RÉPARATION'!$D$5),OR('JOINTS DE RÉPARATION'!$L$4="TOUS",AQ56&lt;&gt;"ACCEPTÉ")),1,0)</f>
        <v>0</v>
      </c>
      <c r="AV56" s="82" t="str">
        <f aca="false">IF(AU56=1,SUM(AU$7:AU56),"")</f>
        <v/>
      </c>
      <c r="AW56" s="82" t="str">
        <f aca="false">IF(E56="","",B56&amp;"|"&amp;E56)</f>
        <v>MFD-ISW → MFD-CPF|JN°050</v>
      </c>
    </row>
    <row r="57" customFormat="false" ht="74.6" hidden="false" customHeight="false" outlineLevel="0" collapsed="false">
      <c r="A57" s="79" t="n">
        <f aca="false">IF(E57="","",ROW()-6)</f>
        <v>51</v>
      </c>
      <c r="B57" s="80" t="s">
        <v>110</v>
      </c>
      <c r="C57" s="81"/>
      <c r="D57" s="81"/>
      <c r="E57" s="81" t="s">
        <v>161</v>
      </c>
      <c r="F57" s="82" t="str">
        <f aca="false">IF(E57="","",IF(LEFT(E57,2)="DJ","DJ","JN"))</f>
        <v>JN</v>
      </c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3"/>
      <c r="V57" s="83"/>
      <c r="W57" s="81"/>
      <c r="X57" s="81"/>
      <c r="Y57" s="83"/>
      <c r="Z57" s="81"/>
      <c r="AA57" s="81"/>
      <c r="AB57" s="81"/>
      <c r="AC57" s="81"/>
      <c r="AD57" s="81"/>
      <c r="AE57" s="83"/>
      <c r="AF57" s="81"/>
      <c r="AG57" s="81"/>
      <c r="AH57" s="81"/>
      <c r="AI57" s="81"/>
      <c r="AJ57" s="83"/>
      <c r="AK57" s="81"/>
      <c r="AL57" s="81"/>
      <c r="AM57" s="83"/>
      <c r="AN57" s="80"/>
      <c r="AO57" s="82" t="n">
        <f aca="false">IF(E57="","",(AA57&lt;&gt;"")+(AG57&lt;&gt;"")+(AL57&lt;&gt;""))</f>
        <v>0</v>
      </c>
      <c r="AP57" s="82" t="str">
        <f aca="false">IF(AL57&lt;&gt;"",AL57,IF(AG57&lt;&gt;"",AG57,IF(AA57&lt;&gt;"",AA57,"")))</f>
        <v/>
      </c>
      <c r="AQ57" s="84" t="str">
        <f aca="false">IF(E57="","",IF(U57="","À SOUDER",IF(X57="","VT EN ATTENTE",IF(X57="R","VT REJETÉ – À REPRENDRE",IF(AP57="","À RADIOGRAPHIER",IF(AP57="A","ACCEPTÉ",IF(AP57="NX","NX – RT À REFAIRE",IF(IF(AO57=1,AD57,IF(AO57=2,AI57,""))="A","RÉPARÉ – À RADIOGRAPHIER",IF(IF(AO57=1,AD57,IF(AO57=2,AI57,""))="R","VT REJETÉ – À REPRENDRE",IF(OR(AP57="CO",AP57="NT"),"COUPE – À RESOUDER","À RÉPARER"))))))))))</f>
        <v>À SOUDER</v>
      </c>
      <c r="AR57" s="82" t="str">
        <f aca="false">IF(AND(ISNUMBER(U57),OR(AQ57="À RADIOGRAPHIER",AQ57="RÉPARÉ – À RADIOGRAPHIER",AQ57="NX – RT À REFAIRE",AQ57="À RÉPARER",AQ57="COUPE – À RESOUDER",AQ57="VT REJETÉ – À REPRENDRE")),MAX(0,'PROGRAMME RT'!$C$4-U57),"")</f>
        <v/>
      </c>
      <c r="AS57" s="82" t="n">
        <f aca="false">IF(AND(OR(AQ57="À RADIOGRAPHIER",AQ57="RÉPARÉ – À RADIOGRAPHIER",AQ57="NX – RT À REFAIRE"),OR('PROGRAMME RT'!$D$5="TOUTES",B57='PROGRAMME RT'!$D$5)),1,0)</f>
        <v>0</v>
      </c>
      <c r="AT57" s="82" t="str">
        <f aca="false">IF(AS57=1,SUM(AS$7:AS57),"")</f>
        <v/>
      </c>
      <c r="AU57" s="82" t="n">
        <f aca="false">IF(AND(OR(AA57="R",AA57="NX",AA57="NT",AA57="CO"),OR('JOINTS DE RÉPARATION'!$D$5="TOUTES",B57='JOINTS DE RÉPARATION'!$D$5),OR('JOINTS DE RÉPARATION'!$L$4="TOUS",AQ57&lt;&gt;"ACCEPTÉ")),1,0)</f>
        <v>0</v>
      </c>
      <c r="AV57" s="82" t="str">
        <f aca="false">IF(AU57=1,SUM(AU$7:AU57),"")</f>
        <v/>
      </c>
      <c r="AW57" s="82" t="str">
        <f aca="false">IF(E57="","",B57&amp;"|"&amp;E57)</f>
        <v>MFD-ISW → MFD-CPF|JN°051</v>
      </c>
    </row>
    <row r="58" customFormat="false" ht="74.6" hidden="false" customHeight="false" outlineLevel="0" collapsed="false">
      <c r="A58" s="79" t="n">
        <f aca="false">IF(E58="","",ROW()-6)</f>
        <v>52</v>
      </c>
      <c r="B58" s="80" t="s">
        <v>110</v>
      </c>
      <c r="C58" s="81"/>
      <c r="D58" s="81"/>
      <c r="E58" s="81" t="s">
        <v>162</v>
      </c>
      <c r="F58" s="82" t="str">
        <f aca="false">IF(E58="","",IF(LEFT(E58,2)="DJ","DJ","JN"))</f>
        <v>JN</v>
      </c>
      <c r="G58" s="81"/>
      <c r="H58" s="81"/>
      <c r="I58" s="81"/>
      <c r="J58" s="81"/>
      <c r="K58" s="81"/>
      <c r="L58" s="81"/>
      <c r="M58" s="81"/>
      <c r="N58" s="81"/>
      <c r="O58" s="81"/>
      <c r="P58" s="81"/>
      <c r="Q58" s="81"/>
      <c r="R58" s="81"/>
      <c r="S58" s="81"/>
      <c r="T58" s="81"/>
      <c r="U58" s="83"/>
      <c r="V58" s="83"/>
      <c r="W58" s="81"/>
      <c r="X58" s="81"/>
      <c r="Y58" s="83"/>
      <c r="Z58" s="81"/>
      <c r="AA58" s="81"/>
      <c r="AB58" s="81"/>
      <c r="AC58" s="81"/>
      <c r="AD58" s="81"/>
      <c r="AE58" s="83"/>
      <c r="AF58" s="81"/>
      <c r="AG58" s="81"/>
      <c r="AH58" s="81"/>
      <c r="AI58" s="81"/>
      <c r="AJ58" s="83"/>
      <c r="AK58" s="81"/>
      <c r="AL58" s="81"/>
      <c r="AM58" s="83"/>
      <c r="AN58" s="80"/>
      <c r="AO58" s="82" t="n">
        <f aca="false">IF(E58="","",(AA58&lt;&gt;"")+(AG58&lt;&gt;"")+(AL58&lt;&gt;""))</f>
        <v>0</v>
      </c>
      <c r="AP58" s="82" t="str">
        <f aca="false">IF(AL58&lt;&gt;"",AL58,IF(AG58&lt;&gt;"",AG58,IF(AA58&lt;&gt;"",AA58,"")))</f>
        <v/>
      </c>
      <c r="AQ58" s="84" t="str">
        <f aca="false">IF(E58="","",IF(U58="","À SOUDER",IF(X58="","VT EN ATTENTE",IF(X58="R","VT REJETÉ – À REPRENDRE",IF(AP58="","À RADIOGRAPHIER",IF(AP58="A","ACCEPTÉ",IF(AP58="NX","NX – RT À REFAIRE",IF(IF(AO58=1,AD58,IF(AO58=2,AI58,""))="A","RÉPARÉ – À RADIOGRAPHIER",IF(IF(AO58=1,AD58,IF(AO58=2,AI58,""))="R","VT REJETÉ – À REPRENDRE",IF(OR(AP58="CO",AP58="NT"),"COUPE – À RESOUDER","À RÉPARER"))))))))))</f>
        <v>À SOUDER</v>
      </c>
      <c r="AR58" s="82" t="str">
        <f aca="false">IF(AND(ISNUMBER(U58),OR(AQ58="À RADIOGRAPHIER",AQ58="RÉPARÉ – À RADIOGRAPHIER",AQ58="NX – RT À REFAIRE",AQ58="À RÉPARER",AQ58="COUPE – À RESOUDER",AQ58="VT REJETÉ – À REPRENDRE")),MAX(0,'PROGRAMME RT'!$C$4-U58),"")</f>
        <v/>
      </c>
      <c r="AS58" s="82" t="n">
        <f aca="false">IF(AND(OR(AQ58="À RADIOGRAPHIER",AQ58="RÉPARÉ – À RADIOGRAPHIER",AQ58="NX – RT À REFAIRE"),OR('PROGRAMME RT'!$D$5="TOUTES",B58='PROGRAMME RT'!$D$5)),1,0)</f>
        <v>0</v>
      </c>
      <c r="AT58" s="82" t="str">
        <f aca="false">IF(AS58=1,SUM(AS$7:AS58),"")</f>
        <v/>
      </c>
      <c r="AU58" s="82" t="n">
        <f aca="false">IF(AND(OR(AA58="R",AA58="NX",AA58="NT",AA58="CO"),OR('JOINTS DE RÉPARATION'!$D$5="TOUTES",B58='JOINTS DE RÉPARATION'!$D$5),OR('JOINTS DE RÉPARATION'!$L$4="TOUS",AQ58&lt;&gt;"ACCEPTÉ")),1,0)</f>
        <v>0</v>
      </c>
      <c r="AV58" s="82" t="str">
        <f aca="false">IF(AU58=1,SUM(AU$7:AU58),"")</f>
        <v/>
      </c>
      <c r="AW58" s="82" t="str">
        <f aca="false">IF(E58="","",B58&amp;"|"&amp;E58)</f>
        <v>MFD-ISW → MFD-CPF|JN°052</v>
      </c>
    </row>
    <row r="59" customFormat="false" ht="74.6" hidden="false" customHeight="false" outlineLevel="0" collapsed="false">
      <c r="A59" s="79" t="n">
        <f aca="false">IF(E59="","",ROW()-6)</f>
        <v>53</v>
      </c>
      <c r="B59" s="80" t="s">
        <v>110</v>
      </c>
      <c r="C59" s="81"/>
      <c r="D59" s="81"/>
      <c r="E59" s="81" t="s">
        <v>163</v>
      </c>
      <c r="F59" s="82" t="str">
        <f aca="false">IF(E59="","",IF(LEFT(E59,2)="DJ","DJ","JN"))</f>
        <v>JN</v>
      </c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3"/>
      <c r="V59" s="83"/>
      <c r="W59" s="81"/>
      <c r="X59" s="81"/>
      <c r="Y59" s="83"/>
      <c r="Z59" s="81"/>
      <c r="AA59" s="81"/>
      <c r="AB59" s="81"/>
      <c r="AC59" s="81"/>
      <c r="AD59" s="81"/>
      <c r="AE59" s="83"/>
      <c r="AF59" s="81"/>
      <c r="AG59" s="81"/>
      <c r="AH59" s="81"/>
      <c r="AI59" s="81"/>
      <c r="AJ59" s="83"/>
      <c r="AK59" s="81"/>
      <c r="AL59" s="81"/>
      <c r="AM59" s="83"/>
      <c r="AN59" s="80"/>
      <c r="AO59" s="82" t="n">
        <f aca="false">IF(E59="","",(AA59&lt;&gt;"")+(AG59&lt;&gt;"")+(AL59&lt;&gt;""))</f>
        <v>0</v>
      </c>
      <c r="AP59" s="82" t="str">
        <f aca="false">IF(AL59&lt;&gt;"",AL59,IF(AG59&lt;&gt;"",AG59,IF(AA59&lt;&gt;"",AA59,"")))</f>
        <v/>
      </c>
      <c r="AQ59" s="84" t="str">
        <f aca="false">IF(E59="","",IF(U59="","À SOUDER",IF(X59="","VT EN ATTENTE",IF(X59="R","VT REJETÉ – À REPRENDRE",IF(AP59="","À RADIOGRAPHIER",IF(AP59="A","ACCEPTÉ",IF(AP59="NX","NX – RT À REFAIRE",IF(IF(AO59=1,AD59,IF(AO59=2,AI59,""))="A","RÉPARÉ – À RADIOGRAPHIER",IF(IF(AO59=1,AD59,IF(AO59=2,AI59,""))="R","VT REJETÉ – À REPRENDRE",IF(OR(AP59="CO",AP59="NT"),"COUPE – À RESOUDER","À RÉPARER"))))))))))</f>
        <v>À SOUDER</v>
      </c>
      <c r="AR59" s="82" t="str">
        <f aca="false">IF(AND(ISNUMBER(U59),OR(AQ59="À RADIOGRAPHIER",AQ59="RÉPARÉ – À RADIOGRAPHIER",AQ59="NX – RT À REFAIRE",AQ59="À RÉPARER",AQ59="COUPE – À RESOUDER",AQ59="VT REJETÉ – À REPRENDRE")),MAX(0,'PROGRAMME RT'!$C$4-U59),"")</f>
        <v/>
      </c>
      <c r="AS59" s="82" t="n">
        <f aca="false">IF(AND(OR(AQ59="À RADIOGRAPHIER",AQ59="RÉPARÉ – À RADIOGRAPHIER",AQ59="NX – RT À REFAIRE"),OR('PROGRAMME RT'!$D$5="TOUTES",B59='PROGRAMME RT'!$D$5)),1,0)</f>
        <v>0</v>
      </c>
      <c r="AT59" s="82" t="str">
        <f aca="false">IF(AS59=1,SUM(AS$7:AS59),"")</f>
        <v/>
      </c>
      <c r="AU59" s="82" t="n">
        <f aca="false">IF(AND(OR(AA59="R",AA59="NX",AA59="NT",AA59="CO"),OR('JOINTS DE RÉPARATION'!$D$5="TOUTES",B59='JOINTS DE RÉPARATION'!$D$5),OR('JOINTS DE RÉPARATION'!$L$4="TOUS",AQ59&lt;&gt;"ACCEPTÉ")),1,0)</f>
        <v>0</v>
      </c>
      <c r="AV59" s="82" t="str">
        <f aca="false">IF(AU59=1,SUM(AU$7:AU59),"")</f>
        <v/>
      </c>
      <c r="AW59" s="82" t="str">
        <f aca="false">IF(E59="","",B59&amp;"|"&amp;E59)</f>
        <v>MFD-ISW → MFD-CPF|JN°053</v>
      </c>
    </row>
    <row r="60" customFormat="false" ht="74.6" hidden="false" customHeight="false" outlineLevel="0" collapsed="false">
      <c r="A60" s="79" t="n">
        <f aca="false">IF(E60="","",ROW()-6)</f>
        <v>54</v>
      </c>
      <c r="B60" s="80" t="s">
        <v>110</v>
      </c>
      <c r="C60" s="81"/>
      <c r="D60" s="81"/>
      <c r="E60" s="81" t="s">
        <v>164</v>
      </c>
      <c r="F60" s="82" t="str">
        <f aca="false">IF(E60="","",IF(LEFT(E60,2)="DJ","DJ","JN"))</f>
        <v>JN</v>
      </c>
      <c r="G60" s="81"/>
      <c r="H60" s="81"/>
      <c r="I60" s="81"/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3"/>
      <c r="V60" s="83"/>
      <c r="W60" s="81"/>
      <c r="X60" s="81"/>
      <c r="Y60" s="83"/>
      <c r="Z60" s="81"/>
      <c r="AA60" s="81"/>
      <c r="AB60" s="81"/>
      <c r="AC60" s="81"/>
      <c r="AD60" s="81"/>
      <c r="AE60" s="83"/>
      <c r="AF60" s="81"/>
      <c r="AG60" s="81"/>
      <c r="AH60" s="81"/>
      <c r="AI60" s="81"/>
      <c r="AJ60" s="83"/>
      <c r="AK60" s="81"/>
      <c r="AL60" s="81"/>
      <c r="AM60" s="83"/>
      <c r="AN60" s="80"/>
      <c r="AO60" s="82" t="n">
        <f aca="false">IF(E60="","",(AA60&lt;&gt;"")+(AG60&lt;&gt;"")+(AL60&lt;&gt;""))</f>
        <v>0</v>
      </c>
      <c r="AP60" s="82" t="str">
        <f aca="false">IF(AL60&lt;&gt;"",AL60,IF(AG60&lt;&gt;"",AG60,IF(AA60&lt;&gt;"",AA60,"")))</f>
        <v/>
      </c>
      <c r="AQ60" s="84" t="str">
        <f aca="false">IF(E60="","",IF(U60="","À SOUDER",IF(X60="","VT EN ATTENTE",IF(X60="R","VT REJETÉ – À REPRENDRE",IF(AP60="","À RADIOGRAPHIER",IF(AP60="A","ACCEPTÉ",IF(AP60="NX","NX – RT À REFAIRE",IF(IF(AO60=1,AD60,IF(AO60=2,AI60,""))="A","RÉPARÉ – À RADIOGRAPHIER",IF(IF(AO60=1,AD60,IF(AO60=2,AI60,""))="R","VT REJETÉ – À REPRENDRE",IF(OR(AP60="CO",AP60="NT"),"COUPE – À RESOUDER","À RÉPARER"))))))))))</f>
        <v>À SOUDER</v>
      </c>
      <c r="AR60" s="82" t="str">
        <f aca="false">IF(AND(ISNUMBER(U60),OR(AQ60="À RADIOGRAPHIER",AQ60="RÉPARÉ – À RADIOGRAPHIER",AQ60="NX – RT À REFAIRE",AQ60="À RÉPARER",AQ60="COUPE – À RESOUDER",AQ60="VT REJETÉ – À REPRENDRE")),MAX(0,'PROGRAMME RT'!$C$4-U60),"")</f>
        <v/>
      </c>
      <c r="AS60" s="82" t="n">
        <f aca="false">IF(AND(OR(AQ60="À RADIOGRAPHIER",AQ60="RÉPARÉ – À RADIOGRAPHIER",AQ60="NX – RT À REFAIRE"),OR('PROGRAMME RT'!$D$5="TOUTES",B60='PROGRAMME RT'!$D$5)),1,0)</f>
        <v>0</v>
      </c>
      <c r="AT60" s="82" t="str">
        <f aca="false">IF(AS60=1,SUM(AS$7:AS60),"")</f>
        <v/>
      </c>
      <c r="AU60" s="82" t="n">
        <f aca="false">IF(AND(OR(AA60="R",AA60="NX",AA60="NT",AA60="CO"),OR('JOINTS DE RÉPARATION'!$D$5="TOUTES",B60='JOINTS DE RÉPARATION'!$D$5),OR('JOINTS DE RÉPARATION'!$L$4="TOUS",AQ60&lt;&gt;"ACCEPTÉ")),1,0)</f>
        <v>0</v>
      </c>
      <c r="AV60" s="82" t="str">
        <f aca="false">IF(AU60=1,SUM(AU$7:AU60),"")</f>
        <v/>
      </c>
      <c r="AW60" s="82" t="str">
        <f aca="false">IF(E60="","",B60&amp;"|"&amp;E60)</f>
        <v>MFD-ISW → MFD-CPF|JN°054</v>
      </c>
    </row>
    <row r="61" customFormat="false" ht="74.6" hidden="false" customHeight="false" outlineLevel="0" collapsed="false">
      <c r="A61" s="79" t="n">
        <f aca="false">IF(E61="","",ROW()-6)</f>
        <v>55</v>
      </c>
      <c r="B61" s="80" t="s">
        <v>110</v>
      </c>
      <c r="C61" s="81"/>
      <c r="D61" s="81"/>
      <c r="E61" s="81" t="s">
        <v>165</v>
      </c>
      <c r="F61" s="82" t="str">
        <f aca="false">IF(E61="","",IF(LEFT(E61,2)="DJ","DJ","JN"))</f>
        <v>JN</v>
      </c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3"/>
      <c r="V61" s="83"/>
      <c r="W61" s="81"/>
      <c r="X61" s="81"/>
      <c r="Y61" s="83"/>
      <c r="Z61" s="81"/>
      <c r="AA61" s="81"/>
      <c r="AB61" s="81"/>
      <c r="AC61" s="81"/>
      <c r="AD61" s="81"/>
      <c r="AE61" s="83"/>
      <c r="AF61" s="81"/>
      <c r="AG61" s="81"/>
      <c r="AH61" s="81"/>
      <c r="AI61" s="81"/>
      <c r="AJ61" s="83"/>
      <c r="AK61" s="81"/>
      <c r="AL61" s="81"/>
      <c r="AM61" s="83"/>
      <c r="AN61" s="80"/>
      <c r="AO61" s="82" t="n">
        <f aca="false">IF(E61="","",(AA61&lt;&gt;"")+(AG61&lt;&gt;"")+(AL61&lt;&gt;""))</f>
        <v>0</v>
      </c>
      <c r="AP61" s="82" t="str">
        <f aca="false">IF(AL61&lt;&gt;"",AL61,IF(AG61&lt;&gt;"",AG61,IF(AA61&lt;&gt;"",AA61,"")))</f>
        <v/>
      </c>
      <c r="AQ61" s="84" t="str">
        <f aca="false">IF(E61="","",IF(U61="","À SOUDER",IF(X61="","VT EN ATTENTE",IF(X61="R","VT REJETÉ – À REPRENDRE",IF(AP61="","À RADIOGRAPHIER",IF(AP61="A","ACCEPTÉ",IF(AP61="NX","NX – RT À REFAIRE",IF(IF(AO61=1,AD61,IF(AO61=2,AI61,""))="A","RÉPARÉ – À RADIOGRAPHIER",IF(IF(AO61=1,AD61,IF(AO61=2,AI61,""))="R","VT REJETÉ – À REPRENDRE",IF(OR(AP61="CO",AP61="NT"),"COUPE – À RESOUDER","À RÉPARER"))))))))))</f>
        <v>À SOUDER</v>
      </c>
      <c r="AR61" s="82" t="str">
        <f aca="false">IF(AND(ISNUMBER(U61),OR(AQ61="À RADIOGRAPHIER",AQ61="RÉPARÉ – À RADIOGRAPHIER",AQ61="NX – RT À REFAIRE",AQ61="À RÉPARER",AQ61="COUPE – À RESOUDER",AQ61="VT REJETÉ – À REPRENDRE")),MAX(0,'PROGRAMME RT'!$C$4-U61),"")</f>
        <v/>
      </c>
      <c r="AS61" s="82" t="n">
        <f aca="false">IF(AND(OR(AQ61="À RADIOGRAPHIER",AQ61="RÉPARÉ – À RADIOGRAPHIER",AQ61="NX – RT À REFAIRE"),OR('PROGRAMME RT'!$D$5="TOUTES",B61='PROGRAMME RT'!$D$5)),1,0)</f>
        <v>0</v>
      </c>
      <c r="AT61" s="82" t="str">
        <f aca="false">IF(AS61=1,SUM(AS$7:AS61),"")</f>
        <v/>
      </c>
      <c r="AU61" s="82" t="n">
        <f aca="false">IF(AND(OR(AA61="R",AA61="NX",AA61="NT",AA61="CO"),OR('JOINTS DE RÉPARATION'!$D$5="TOUTES",B61='JOINTS DE RÉPARATION'!$D$5),OR('JOINTS DE RÉPARATION'!$L$4="TOUS",AQ61&lt;&gt;"ACCEPTÉ")),1,0)</f>
        <v>0</v>
      </c>
      <c r="AV61" s="82" t="str">
        <f aca="false">IF(AU61=1,SUM(AU$7:AU61),"")</f>
        <v/>
      </c>
      <c r="AW61" s="82" t="str">
        <f aca="false">IF(E61="","",B61&amp;"|"&amp;E61)</f>
        <v>MFD-ISW → MFD-CPF|JN°055</v>
      </c>
    </row>
    <row r="62" customFormat="false" ht="74.6" hidden="false" customHeight="false" outlineLevel="0" collapsed="false">
      <c r="A62" s="79" t="n">
        <f aca="false">IF(E62="","",ROW()-6)</f>
        <v>56</v>
      </c>
      <c r="B62" s="80" t="s">
        <v>110</v>
      </c>
      <c r="C62" s="81"/>
      <c r="D62" s="81"/>
      <c r="E62" s="81" t="s">
        <v>166</v>
      </c>
      <c r="F62" s="82" t="str">
        <f aca="false">IF(E62="","",IF(LEFT(E62,2)="DJ","DJ","JN"))</f>
        <v>JN</v>
      </c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3"/>
      <c r="V62" s="83"/>
      <c r="W62" s="81"/>
      <c r="X62" s="81"/>
      <c r="Y62" s="83"/>
      <c r="Z62" s="81"/>
      <c r="AA62" s="81"/>
      <c r="AB62" s="81"/>
      <c r="AC62" s="81"/>
      <c r="AD62" s="81"/>
      <c r="AE62" s="83"/>
      <c r="AF62" s="81"/>
      <c r="AG62" s="81"/>
      <c r="AH62" s="81"/>
      <c r="AI62" s="81"/>
      <c r="AJ62" s="83"/>
      <c r="AK62" s="81"/>
      <c r="AL62" s="81"/>
      <c r="AM62" s="83"/>
      <c r="AN62" s="80"/>
      <c r="AO62" s="82" t="n">
        <f aca="false">IF(E62="","",(AA62&lt;&gt;"")+(AG62&lt;&gt;"")+(AL62&lt;&gt;""))</f>
        <v>0</v>
      </c>
      <c r="AP62" s="82" t="str">
        <f aca="false">IF(AL62&lt;&gt;"",AL62,IF(AG62&lt;&gt;"",AG62,IF(AA62&lt;&gt;"",AA62,"")))</f>
        <v/>
      </c>
      <c r="AQ62" s="84" t="str">
        <f aca="false">IF(E62="","",IF(U62="","À SOUDER",IF(X62="","VT EN ATTENTE",IF(X62="R","VT REJETÉ – À REPRENDRE",IF(AP62="","À RADIOGRAPHIER",IF(AP62="A","ACCEPTÉ",IF(AP62="NX","NX – RT À REFAIRE",IF(IF(AO62=1,AD62,IF(AO62=2,AI62,""))="A","RÉPARÉ – À RADIOGRAPHIER",IF(IF(AO62=1,AD62,IF(AO62=2,AI62,""))="R","VT REJETÉ – À REPRENDRE",IF(OR(AP62="CO",AP62="NT"),"COUPE – À RESOUDER","À RÉPARER"))))))))))</f>
        <v>À SOUDER</v>
      </c>
      <c r="AR62" s="82" t="str">
        <f aca="false">IF(AND(ISNUMBER(U62),OR(AQ62="À RADIOGRAPHIER",AQ62="RÉPARÉ – À RADIOGRAPHIER",AQ62="NX – RT À REFAIRE",AQ62="À RÉPARER",AQ62="COUPE – À RESOUDER",AQ62="VT REJETÉ – À REPRENDRE")),MAX(0,'PROGRAMME RT'!$C$4-U62),"")</f>
        <v/>
      </c>
      <c r="AS62" s="82" t="n">
        <f aca="false">IF(AND(OR(AQ62="À RADIOGRAPHIER",AQ62="RÉPARÉ – À RADIOGRAPHIER",AQ62="NX – RT À REFAIRE"),OR('PROGRAMME RT'!$D$5="TOUTES",B62='PROGRAMME RT'!$D$5)),1,0)</f>
        <v>0</v>
      </c>
      <c r="AT62" s="82" t="str">
        <f aca="false">IF(AS62=1,SUM(AS$7:AS62),"")</f>
        <v/>
      </c>
      <c r="AU62" s="82" t="n">
        <f aca="false">IF(AND(OR(AA62="R",AA62="NX",AA62="NT",AA62="CO"),OR('JOINTS DE RÉPARATION'!$D$5="TOUTES",B62='JOINTS DE RÉPARATION'!$D$5),OR('JOINTS DE RÉPARATION'!$L$4="TOUS",AQ62&lt;&gt;"ACCEPTÉ")),1,0)</f>
        <v>0</v>
      </c>
      <c r="AV62" s="82" t="str">
        <f aca="false">IF(AU62=1,SUM(AU$7:AU62),"")</f>
        <v/>
      </c>
      <c r="AW62" s="82" t="str">
        <f aca="false">IF(E62="","",B62&amp;"|"&amp;E62)</f>
        <v>MFD-ISW → MFD-CPF|JN°056</v>
      </c>
    </row>
    <row r="63" customFormat="false" ht="74.6" hidden="false" customHeight="false" outlineLevel="0" collapsed="false">
      <c r="A63" s="79" t="n">
        <f aca="false">IF(E63="","",ROW()-6)</f>
        <v>57</v>
      </c>
      <c r="B63" s="80" t="s">
        <v>110</v>
      </c>
      <c r="C63" s="81"/>
      <c r="D63" s="81"/>
      <c r="E63" s="81" t="s">
        <v>167</v>
      </c>
      <c r="F63" s="82" t="str">
        <f aca="false">IF(E63="","",IF(LEFT(E63,2)="DJ","DJ","JN"))</f>
        <v>JN</v>
      </c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3"/>
      <c r="V63" s="83"/>
      <c r="W63" s="81"/>
      <c r="X63" s="81"/>
      <c r="Y63" s="83"/>
      <c r="Z63" s="81"/>
      <c r="AA63" s="81"/>
      <c r="AB63" s="81"/>
      <c r="AC63" s="81"/>
      <c r="AD63" s="81"/>
      <c r="AE63" s="83"/>
      <c r="AF63" s="81"/>
      <c r="AG63" s="81"/>
      <c r="AH63" s="81"/>
      <c r="AI63" s="81"/>
      <c r="AJ63" s="83"/>
      <c r="AK63" s="81"/>
      <c r="AL63" s="81"/>
      <c r="AM63" s="83"/>
      <c r="AN63" s="80"/>
      <c r="AO63" s="82" t="n">
        <f aca="false">IF(E63="","",(AA63&lt;&gt;"")+(AG63&lt;&gt;"")+(AL63&lt;&gt;""))</f>
        <v>0</v>
      </c>
      <c r="AP63" s="82" t="str">
        <f aca="false">IF(AL63&lt;&gt;"",AL63,IF(AG63&lt;&gt;"",AG63,IF(AA63&lt;&gt;"",AA63,"")))</f>
        <v/>
      </c>
      <c r="AQ63" s="84" t="str">
        <f aca="false">IF(E63="","",IF(U63="","À SOUDER",IF(X63="","VT EN ATTENTE",IF(X63="R","VT REJETÉ – À REPRENDRE",IF(AP63="","À RADIOGRAPHIER",IF(AP63="A","ACCEPTÉ",IF(AP63="NX","NX – RT À REFAIRE",IF(IF(AO63=1,AD63,IF(AO63=2,AI63,""))="A","RÉPARÉ – À RADIOGRAPHIER",IF(IF(AO63=1,AD63,IF(AO63=2,AI63,""))="R","VT REJETÉ – À REPRENDRE",IF(OR(AP63="CO",AP63="NT"),"COUPE – À RESOUDER","À RÉPARER"))))))))))</f>
        <v>À SOUDER</v>
      </c>
      <c r="AR63" s="82" t="str">
        <f aca="false">IF(AND(ISNUMBER(U63),OR(AQ63="À RADIOGRAPHIER",AQ63="RÉPARÉ – À RADIOGRAPHIER",AQ63="NX – RT À REFAIRE",AQ63="À RÉPARER",AQ63="COUPE – À RESOUDER",AQ63="VT REJETÉ – À REPRENDRE")),MAX(0,'PROGRAMME RT'!$C$4-U63),"")</f>
        <v/>
      </c>
      <c r="AS63" s="82" t="n">
        <f aca="false">IF(AND(OR(AQ63="À RADIOGRAPHIER",AQ63="RÉPARÉ – À RADIOGRAPHIER",AQ63="NX – RT À REFAIRE"),OR('PROGRAMME RT'!$D$5="TOUTES",B63='PROGRAMME RT'!$D$5)),1,0)</f>
        <v>0</v>
      </c>
      <c r="AT63" s="82" t="str">
        <f aca="false">IF(AS63=1,SUM(AS$7:AS63),"")</f>
        <v/>
      </c>
      <c r="AU63" s="82" t="n">
        <f aca="false">IF(AND(OR(AA63="R",AA63="NX",AA63="NT",AA63="CO"),OR('JOINTS DE RÉPARATION'!$D$5="TOUTES",B63='JOINTS DE RÉPARATION'!$D$5),OR('JOINTS DE RÉPARATION'!$L$4="TOUS",AQ63&lt;&gt;"ACCEPTÉ")),1,0)</f>
        <v>0</v>
      </c>
      <c r="AV63" s="82" t="str">
        <f aca="false">IF(AU63=1,SUM(AU$7:AU63),"")</f>
        <v/>
      </c>
      <c r="AW63" s="82" t="str">
        <f aca="false">IF(E63="","",B63&amp;"|"&amp;E63)</f>
        <v>MFD-ISW → MFD-CPF|JN°057</v>
      </c>
    </row>
    <row r="64" customFormat="false" ht="74.6" hidden="false" customHeight="false" outlineLevel="0" collapsed="false">
      <c r="A64" s="79" t="n">
        <f aca="false">IF(E64="","",ROW()-6)</f>
        <v>58</v>
      </c>
      <c r="B64" s="80" t="s">
        <v>110</v>
      </c>
      <c r="C64" s="81"/>
      <c r="D64" s="81"/>
      <c r="E64" s="81" t="s">
        <v>168</v>
      </c>
      <c r="F64" s="82" t="str">
        <f aca="false">IF(E64="","",IF(LEFT(E64,2)="DJ","DJ","JN"))</f>
        <v>JN</v>
      </c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3"/>
      <c r="V64" s="83"/>
      <c r="W64" s="81"/>
      <c r="X64" s="81"/>
      <c r="Y64" s="83"/>
      <c r="Z64" s="81"/>
      <c r="AA64" s="81"/>
      <c r="AB64" s="81"/>
      <c r="AC64" s="81"/>
      <c r="AD64" s="81"/>
      <c r="AE64" s="83"/>
      <c r="AF64" s="81"/>
      <c r="AG64" s="81"/>
      <c r="AH64" s="81"/>
      <c r="AI64" s="81"/>
      <c r="AJ64" s="83"/>
      <c r="AK64" s="81"/>
      <c r="AL64" s="81"/>
      <c r="AM64" s="83"/>
      <c r="AN64" s="80"/>
      <c r="AO64" s="82" t="n">
        <f aca="false">IF(E64="","",(AA64&lt;&gt;"")+(AG64&lt;&gt;"")+(AL64&lt;&gt;""))</f>
        <v>0</v>
      </c>
      <c r="AP64" s="82" t="str">
        <f aca="false">IF(AL64&lt;&gt;"",AL64,IF(AG64&lt;&gt;"",AG64,IF(AA64&lt;&gt;"",AA64,"")))</f>
        <v/>
      </c>
      <c r="AQ64" s="84" t="str">
        <f aca="false">IF(E64="","",IF(U64="","À SOUDER",IF(X64="","VT EN ATTENTE",IF(X64="R","VT REJETÉ – À REPRENDRE",IF(AP64="","À RADIOGRAPHIER",IF(AP64="A","ACCEPTÉ",IF(AP64="NX","NX – RT À REFAIRE",IF(IF(AO64=1,AD64,IF(AO64=2,AI64,""))="A","RÉPARÉ – À RADIOGRAPHIER",IF(IF(AO64=1,AD64,IF(AO64=2,AI64,""))="R","VT REJETÉ – À REPRENDRE",IF(OR(AP64="CO",AP64="NT"),"COUPE – À RESOUDER","À RÉPARER"))))))))))</f>
        <v>À SOUDER</v>
      </c>
      <c r="AR64" s="82" t="str">
        <f aca="false">IF(AND(ISNUMBER(U64),OR(AQ64="À RADIOGRAPHIER",AQ64="RÉPARÉ – À RADIOGRAPHIER",AQ64="NX – RT À REFAIRE",AQ64="À RÉPARER",AQ64="COUPE – À RESOUDER",AQ64="VT REJETÉ – À REPRENDRE")),MAX(0,'PROGRAMME RT'!$C$4-U64),"")</f>
        <v/>
      </c>
      <c r="AS64" s="82" t="n">
        <f aca="false">IF(AND(OR(AQ64="À RADIOGRAPHIER",AQ64="RÉPARÉ – À RADIOGRAPHIER",AQ64="NX – RT À REFAIRE"),OR('PROGRAMME RT'!$D$5="TOUTES",B64='PROGRAMME RT'!$D$5)),1,0)</f>
        <v>0</v>
      </c>
      <c r="AT64" s="82" t="str">
        <f aca="false">IF(AS64=1,SUM(AS$7:AS64),"")</f>
        <v/>
      </c>
      <c r="AU64" s="82" t="n">
        <f aca="false">IF(AND(OR(AA64="R",AA64="NX",AA64="NT",AA64="CO"),OR('JOINTS DE RÉPARATION'!$D$5="TOUTES",B64='JOINTS DE RÉPARATION'!$D$5),OR('JOINTS DE RÉPARATION'!$L$4="TOUS",AQ64&lt;&gt;"ACCEPTÉ")),1,0)</f>
        <v>0</v>
      </c>
      <c r="AV64" s="82" t="str">
        <f aca="false">IF(AU64=1,SUM(AU$7:AU64),"")</f>
        <v/>
      </c>
      <c r="AW64" s="82" t="str">
        <f aca="false">IF(E64="","",B64&amp;"|"&amp;E64)</f>
        <v>MFD-ISW → MFD-CPF|JN°058</v>
      </c>
    </row>
    <row r="65" customFormat="false" ht="74.6" hidden="false" customHeight="false" outlineLevel="0" collapsed="false">
      <c r="A65" s="79" t="n">
        <f aca="false">IF(E65="","",ROW()-6)</f>
        <v>59</v>
      </c>
      <c r="B65" s="80" t="s">
        <v>110</v>
      </c>
      <c r="C65" s="81"/>
      <c r="D65" s="81"/>
      <c r="E65" s="81" t="s">
        <v>169</v>
      </c>
      <c r="F65" s="82" t="str">
        <f aca="false">IF(E65="","",IF(LEFT(E65,2)="DJ","DJ","JN"))</f>
        <v>JN</v>
      </c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3"/>
      <c r="V65" s="83"/>
      <c r="W65" s="81"/>
      <c r="X65" s="81"/>
      <c r="Y65" s="83"/>
      <c r="Z65" s="81"/>
      <c r="AA65" s="81"/>
      <c r="AB65" s="81"/>
      <c r="AC65" s="81"/>
      <c r="AD65" s="81"/>
      <c r="AE65" s="83"/>
      <c r="AF65" s="81"/>
      <c r="AG65" s="81"/>
      <c r="AH65" s="81"/>
      <c r="AI65" s="81"/>
      <c r="AJ65" s="83"/>
      <c r="AK65" s="81"/>
      <c r="AL65" s="81"/>
      <c r="AM65" s="83"/>
      <c r="AN65" s="80"/>
      <c r="AO65" s="82" t="n">
        <f aca="false">IF(E65="","",(AA65&lt;&gt;"")+(AG65&lt;&gt;"")+(AL65&lt;&gt;""))</f>
        <v>0</v>
      </c>
      <c r="AP65" s="82" t="str">
        <f aca="false">IF(AL65&lt;&gt;"",AL65,IF(AG65&lt;&gt;"",AG65,IF(AA65&lt;&gt;"",AA65,"")))</f>
        <v/>
      </c>
      <c r="AQ65" s="84" t="str">
        <f aca="false">IF(E65="","",IF(U65="","À SOUDER",IF(X65="","VT EN ATTENTE",IF(X65="R","VT REJETÉ – À REPRENDRE",IF(AP65="","À RADIOGRAPHIER",IF(AP65="A","ACCEPTÉ",IF(AP65="NX","NX – RT À REFAIRE",IF(IF(AO65=1,AD65,IF(AO65=2,AI65,""))="A","RÉPARÉ – À RADIOGRAPHIER",IF(IF(AO65=1,AD65,IF(AO65=2,AI65,""))="R","VT REJETÉ – À REPRENDRE",IF(OR(AP65="CO",AP65="NT"),"COUPE – À RESOUDER","À RÉPARER"))))))))))</f>
        <v>À SOUDER</v>
      </c>
      <c r="AR65" s="82" t="str">
        <f aca="false">IF(AND(ISNUMBER(U65),OR(AQ65="À RADIOGRAPHIER",AQ65="RÉPARÉ – À RADIOGRAPHIER",AQ65="NX – RT À REFAIRE",AQ65="À RÉPARER",AQ65="COUPE – À RESOUDER",AQ65="VT REJETÉ – À REPRENDRE")),MAX(0,'PROGRAMME RT'!$C$4-U65),"")</f>
        <v/>
      </c>
      <c r="AS65" s="82" t="n">
        <f aca="false">IF(AND(OR(AQ65="À RADIOGRAPHIER",AQ65="RÉPARÉ – À RADIOGRAPHIER",AQ65="NX – RT À REFAIRE"),OR('PROGRAMME RT'!$D$5="TOUTES",B65='PROGRAMME RT'!$D$5)),1,0)</f>
        <v>0</v>
      </c>
      <c r="AT65" s="82" t="str">
        <f aca="false">IF(AS65=1,SUM(AS$7:AS65),"")</f>
        <v/>
      </c>
      <c r="AU65" s="82" t="n">
        <f aca="false">IF(AND(OR(AA65="R",AA65="NX",AA65="NT",AA65="CO"),OR('JOINTS DE RÉPARATION'!$D$5="TOUTES",B65='JOINTS DE RÉPARATION'!$D$5),OR('JOINTS DE RÉPARATION'!$L$4="TOUS",AQ65&lt;&gt;"ACCEPTÉ")),1,0)</f>
        <v>0</v>
      </c>
      <c r="AV65" s="82" t="str">
        <f aca="false">IF(AU65=1,SUM(AU$7:AU65),"")</f>
        <v/>
      </c>
      <c r="AW65" s="82" t="str">
        <f aca="false">IF(E65="","",B65&amp;"|"&amp;E65)</f>
        <v>MFD-ISW → MFD-CPF|JN°059</v>
      </c>
    </row>
    <row r="66" customFormat="false" ht="74.6" hidden="false" customHeight="false" outlineLevel="0" collapsed="false">
      <c r="A66" s="79" t="n">
        <f aca="false">IF(E66="","",ROW()-6)</f>
        <v>60</v>
      </c>
      <c r="B66" s="80" t="s">
        <v>110</v>
      </c>
      <c r="C66" s="81"/>
      <c r="D66" s="81"/>
      <c r="E66" s="81" t="s">
        <v>170</v>
      </c>
      <c r="F66" s="82" t="str">
        <f aca="false">IF(E66="","",IF(LEFT(E66,2)="DJ","DJ","JN"))</f>
        <v>JN</v>
      </c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3"/>
      <c r="V66" s="83"/>
      <c r="W66" s="81"/>
      <c r="X66" s="81"/>
      <c r="Y66" s="83"/>
      <c r="Z66" s="81"/>
      <c r="AA66" s="81"/>
      <c r="AB66" s="81"/>
      <c r="AC66" s="81"/>
      <c r="AD66" s="81"/>
      <c r="AE66" s="83"/>
      <c r="AF66" s="81"/>
      <c r="AG66" s="81"/>
      <c r="AH66" s="81"/>
      <c r="AI66" s="81"/>
      <c r="AJ66" s="83"/>
      <c r="AK66" s="81"/>
      <c r="AL66" s="81"/>
      <c r="AM66" s="83"/>
      <c r="AN66" s="80"/>
      <c r="AO66" s="82" t="n">
        <f aca="false">IF(E66="","",(AA66&lt;&gt;"")+(AG66&lt;&gt;"")+(AL66&lt;&gt;""))</f>
        <v>0</v>
      </c>
      <c r="AP66" s="82" t="str">
        <f aca="false">IF(AL66&lt;&gt;"",AL66,IF(AG66&lt;&gt;"",AG66,IF(AA66&lt;&gt;"",AA66,"")))</f>
        <v/>
      </c>
      <c r="AQ66" s="84" t="str">
        <f aca="false">IF(E66="","",IF(U66="","À SOUDER",IF(X66="","VT EN ATTENTE",IF(X66="R","VT REJETÉ – À REPRENDRE",IF(AP66="","À RADIOGRAPHIER",IF(AP66="A","ACCEPTÉ",IF(AP66="NX","NX – RT À REFAIRE",IF(IF(AO66=1,AD66,IF(AO66=2,AI66,""))="A","RÉPARÉ – À RADIOGRAPHIER",IF(IF(AO66=1,AD66,IF(AO66=2,AI66,""))="R","VT REJETÉ – À REPRENDRE",IF(OR(AP66="CO",AP66="NT"),"COUPE – À RESOUDER","À RÉPARER"))))))))))</f>
        <v>À SOUDER</v>
      </c>
      <c r="AR66" s="82" t="str">
        <f aca="false">IF(AND(ISNUMBER(U66),OR(AQ66="À RADIOGRAPHIER",AQ66="RÉPARÉ – À RADIOGRAPHIER",AQ66="NX – RT À REFAIRE",AQ66="À RÉPARER",AQ66="COUPE – À RESOUDER",AQ66="VT REJETÉ – À REPRENDRE")),MAX(0,'PROGRAMME RT'!$C$4-U66),"")</f>
        <v/>
      </c>
      <c r="AS66" s="82" t="n">
        <f aca="false">IF(AND(OR(AQ66="À RADIOGRAPHIER",AQ66="RÉPARÉ – À RADIOGRAPHIER",AQ66="NX – RT À REFAIRE"),OR('PROGRAMME RT'!$D$5="TOUTES",B66='PROGRAMME RT'!$D$5)),1,0)</f>
        <v>0</v>
      </c>
      <c r="AT66" s="82" t="str">
        <f aca="false">IF(AS66=1,SUM(AS$7:AS66),"")</f>
        <v/>
      </c>
      <c r="AU66" s="82" t="n">
        <f aca="false">IF(AND(OR(AA66="R",AA66="NX",AA66="NT",AA66="CO"),OR('JOINTS DE RÉPARATION'!$D$5="TOUTES",B66='JOINTS DE RÉPARATION'!$D$5),OR('JOINTS DE RÉPARATION'!$L$4="TOUS",AQ66&lt;&gt;"ACCEPTÉ")),1,0)</f>
        <v>0</v>
      </c>
      <c r="AV66" s="82" t="str">
        <f aca="false">IF(AU66=1,SUM(AU$7:AU66),"")</f>
        <v/>
      </c>
      <c r="AW66" s="82" t="str">
        <f aca="false">IF(E66="","",B66&amp;"|"&amp;E66)</f>
        <v>MFD-ISW → MFD-CPF|JN°060</v>
      </c>
    </row>
    <row r="67" customFormat="false" ht="74.6" hidden="false" customHeight="false" outlineLevel="0" collapsed="false">
      <c r="A67" s="79" t="n">
        <f aca="false">IF(E67="","",ROW()-6)</f>
        <v>61</v>
      </c>
      <c r="B67" s="80" t="s">
        <v>110</v>
      </c>
      <c r="C67" s="81"/>
      <c r="D67" s="81"/>
      <c r="E67" s="81" t="s">
        <v>171</v>
      </c>
      <c r="F67" s="82" t="str">
        <f aca="false">IF(E67="","",IF(LEFT(E67,2)="DJ","DJ","JN"))</f>
        <v>JN</v>
      </c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3"/>
      <c r="V67" s="83"/>
      <c r="W67" s="81"/>
      <c r="X67" s="81"/>
      <c r="Y67" s="83"/>
      <c r="Z67" s="81"/>
      <c r="AA67" s="81"/>
      <c r="AB67" s="81"/>
      <c r="AC67" s="81"/>
      <c r="AD67" s="81"/>
      <c r="AE67" s="83"/>
      <c r="AF67" s="81"/>
      <c r="AG67" s="81"/>
      <c r="AH67" s="81"/>
      <c r="AI67" s="81"/>
      <c r="AJ67" s="83"/>
      <c r="AK67" s="81"/>
      <c r="AL67" s="81"/>
      <c r="AM67" s="83"/>
      <c r="AN67" s="80"/>
      <c r="AO67" s="82" t="n">
        <f aca="false">IF(E67="","",(AA67&lt;&gt;"")+(AG67&lt;&gt;"")+(AL67&lt;&gt;""))</f>
        <v>0</v>
      </c>
      <c r="AP67" s="82" t="str">
        <f aca="false">IF(AL67&lt;&gt;"",AL67,IF(AG67&lt;&gt;"",AG67,IF(AA67&lt;&gt;"",AA67,"")))</f>
        <v/>
      </c>
      <c r="AQ67" s="84" t="str">
        <f aca="false">IF(E67="","",IF(U67="","À SOUDER",IF(X67="","VT EN ATTENTE",IF(X67="R","VT REJETÉ – À REPRENDRE",IF(AP67="","À RADIOGRAPHIER",IF(AP67="A","ACCEPTÉ",IF(AP67="NX","NX – RT À REFAIRE",IF(IF(AO67=1,AD67,IF(AO67=2,AI67,""))="A","RÉPARÉ – À RADIOGRAPHIER",IF(IF(AO67=1,AD67,IF(AO67=2,AI67,""))="R","VT REJETÉ – À REPRENDRE",IF(OR(AP67="CO",AP67="NT"),"COUPE – À RESOUDER","À RÉPARER"))))))))))</f>
        <v>À SOUDER</v>
      </c>
      <c r="AR67" s="82" t="str">
        <f aca="false">IF(AND(ISNUMBER(U67),OR(AQ67="À RADIOGRAPHIER",AQ67="RÉPARÉ – À RADIOGRAPHIER",AQ67="NX – RT À REFAIRE",AQ67="À RÉPARER",AQ67="COUPE – À RESOUDER",AQ67="VT REJETÉ – À REPRENDRE")),MAX(0,'PROGRAMME RT'!$C$4-U67),"")</f>
        <v/>
      </c>
      <c r="AS67" s="82" t="n">
        <f aca="false">IF(AND(OR(AQ67="À RADIOGRAPHIER",AQ67="RÉPARÉ – À RADIOGRAPHIER",AQ67="NX – RT À REFAIRE"),OR('PROGRAMME RT'!$D$5="TOUTES",B67='PROGRAMME RT'!$D$5)),1,0)</f>
        <v>0</v>
      </c>
      <c r="AT67" s="82" t="str">
        <f aca="false">IF(AS67=1,SUM(AS$7:AS67),"")</f>
        <v/>
      </c>
      <c r="AU67" s="82" t="n">
        <f aca="false">IF(AND(OR(AA67="R",AA67="NX",AA67="NT",AA67="CO"),OR('JOINTS DE RÉPARATION'!$D$5="TOUTES",B67='JOINTS DE RÉPARATION'!$D$5),OR('JOINTS DE RÉPARATION'!$L$4="TOUS",AQ67&lt;&gt;"ACCEPTÉ")),1,0)</f>
        <v>0</v>
      </c>
      <c r="AV67" s="82" t="str">
        <f aca="false">IF(AU67=1,SUM(AU$7:AU67),"")</f>
        <v/>
      </c>
      <c r="AW67" s="82" t="str">
        <f aca="false">IF(E67="","",B67&amp;"|"&amp;E67)</f>
        <v>MFD-ISW → MFD-CPF|JN°061</v>
      </c>
    </row>
    <row r="68" customFormat="false" ht="74.6" hidden="false" customHeight="false" outlineLevel="0" collapsed="false">
      <c r="A68" s="79" t="n">
        <f aca="false">IF(E68="","",ROW()-6)</f>
        <v>62</v>
      </c>
      <c r="B68" s="80" t="s">
        <v>110</v>
      </c>
      <c r="C68" s="81"/>
      <c r="D68" s="81"/>
      <c r="E68" s="81" t="s">
        <v>172</v>
      </c>
      <c r="F68" s="82" t="str">
        <f aca="false">IF(E68="","",IF(LEFT(E68,2)="DJ","DJ","JN"))</f>
        <v>JN</v>
      </c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3"/>
      <c r="V68" s="83"/>
      <c r="W68" s="81"/>
      <c r="X68" s="81"/>
      <c r="Y68" s="83"/>
      <c r="Z68" s="81"/>
      <c r="AA68" s="81"/>
      <c r="AB68" s="81"/>
      <c r="AC68" s="81"/>
      <c r="AD68" s="81"/>
      <c r="AE68" s="83"/>
      <c r="AF68" s="81"/>
      <c r="AG68" s="81"/>
      <c r="AH68" s="81"/>
      <c r="AI68" s="81"/>
      <c r="AJ68" s="83"/>
      <c r="AK68" s="81"/>
      <c r="AL68" s="81"/>
      <c r="AM68" s="83"/>
      <c r="AN68" s="80"/>
      <c r="AO68" s="82" t="n">
        <f aca="false">IF(E68="","",(AA68&lt;&gt;"")+(AG68&lt;&gt;"")+(AL68&lt;&gt;""))</f>
        <v>0</v>
      </c>
      <c r="AP68" s="82" t="str">
        <f aca="false">IF(AL68&lt;&gt;"",AL68,IF(AG68&lt;&gt;"",AG68,IF(AA68&lt;&gt;"",AA68,"")))</f>
        <v/>
      </c>
      <c r="AQ68" s="84" t="str">
        <f aca="false">IF(E68="","",IF(U68="","À SOUDER",IF(X68="","VT EN ATTENTE",IF(X68="R","VT REJETÉ – À REPRENDRE",IF(AP68="","À RADIOGRAPHIER",IF(AP68="A","ACCEPTÉ",IF(AP68="NX","NX – RT À REFAIRE",IF(IF(AO68=1,AD68,IF(AO68=2,AI68,""))="A","RÉPARÉ – À RADIOGRAPHIER",IF(IF(AO68=1,AD68,IF(AO68=2,AI68,""))="R","VT REJETÉ – À REPRENDRE",IF(OR(AP68="CO",AP68="NT"),"COUPE – À RESOUDER","À RÉPARER"))))))))))</f>
        <v>À SOUDER</v>
      </c>
      <c r="AR68" s="82" t="str">
        <f aca="false">IF(AND(ISNUMBER(U68),OR(AQ68="À RADIOGRAPHIER",AQ68="RÉPARÉ – À RADIOGRAPHIER",AQ68="NX – RT À REFAIRE",AQ68="À RÉPARER",AQ68="COUPE – À RESOUDER",AQ68="VT REJETÉ – À REPRENDRE")),MAX(0,'PROGRAMME RT'!$C$4-U68),"")</f>
        <v/>
      </c>
      <c r="AS68" s="82" t="n">
        <f aca="false">IF(AND(OR(AQ68="À RADIOGRAPHIER",AQ68="RÉPARÉ – À RADIOGRAPHIER",AQ68="NX – RT À REFAIRE"),OR('PROGRAMME RT'!$D$5="TOUTES",B68='PROGRAMME RT'!$D$5)),1,0)</f>
        <v>0</v>
      </c>
      <c r="AT68" s="82" t="str">
        <f aca="false">IF(AS68=1,SUM(AS$7:AS68),"")</f>
        <v/>
      </c>
      <c r="AU68" s="82" t="n">
        <f aca="false">IF(AND(OR(AA68="R",AA68="NX",AA68="NT",AA68="CO"),OR('JOINTS DE RÉPARATION'!$D$5="TOUTES",B68='JOINTS DE RÉPARATION'!$D$5),OR('JOINTS DE RÉPARATION'!$L$4="TOUS",AQ68&lt;&gt;"ACCEPTÉ")),1,0)</f>
        <v>0</v>
      </c>
      <c r="AV68" s="82" t="str">
        <f aca="false">IF(AU68=1,SUM(AU$7:AU68),"")</f>
        <v/>
      </c>
      <c r="AW68" s="82" t="str">
        <f aca="false">IF(E68="","",B68&amp;"|"&amp;E68)</f>
        <v>MFD-ISW → MFD-CPF|JN°062</v>
      </c>
    </row>
    <row r="69" customFormat="false" ht="74.6" hidden="false" customHeight="false" outlineLevel="0" collapsed="false">
      <c r="A69" s="79" t="n">
        <f aca="false">IF(E69="","",ROW()-6)</f>
        <v>63</v>
      </c>
      <c r="B69" s="80" t="s">
        <v>110</v>
      </c>
      <c r="C69" s="81"/>
      <c r="D69" s="81"/>
      <c r="E69" s="81" t="s">
        <v>173</v>
      </c>
      <c r="F69" s="82" t="str">
        <f aca="false">IF(E69="","",IF(LEFT(E69,2)="DJ","DJ","JN"))</f>
        <v>JN</v>
      </c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3"/>
      <c r="V69" s="83"/>
      <c r="W69" s="81"/>
      <c r="X69" s="81"/>
      <c r="Y69" s="83"/>
      <c r="Z69" s="81"/>
      <c r="AA69" s="81"/>
      <c r="AB69" s="81"/>
      <c r="AC69" s="81"/>
      <c r="AD69" s="81"/>
      <c r="AE69" s="83"/>
      <c r="AF69" s="81"/>
      <c r="AG69" s="81"/>
      <c r="AH69" s="81"/>
      <c r="AI69" s="81"/>
      <c r="AJ69" s="83"/>
      <c r="AK69" s="81"/>
      <c r="AL69" s="81"/>
      <c r="AM69" s="83"/>
      <c r="AN69" s="80"/>
      <c r="AO69" s="82" t="n">
        <f aca="false">IF(E69="","",(AA69&lt;&gt;"")+(AG69&lt;&gt;"")+(AL69&lt;&gt;""))</f>
        <v>0</v>
      </c>
      <c r="AP69" s="82" t="str">
        <f aca="false">IF(AL69&lt;&gt;"",AL69,IF(AG69&lt;&gt;"",AG69,IF(AA69&lt;&gt;"",AA69,"")))</f>
        <v/>
      </c>
      <c r="AQ69" s="84" t="str">
        <f aca="false">IF(E69="","",IF(U69="","À SOUDER",IF(X69="","VT EN ATTENTE",IF(X69="R","VT REJETÉ – À REPRENDRE",IF(AP69="","À RADIOGRAPHIER",IF(AP69="A","ACCEPTÉ",IF(AP69="NX","NX – RT À REFAIRE",IF(IF(AO69=1,AD69,IF(AO69=2,AI69,""))="A","RÉPARÉ – À RADIOGRAPHIER",IF(IF(AO69=1,AD69,IF(AO69=2,AI69,""))="R","VT REJETÉ – À REPRENDRE",IF(OR(AP69="CO",AP69="NT"),"COUPE – À RESOUDER","À RÉPARER"))))))))))</f>
        <v>À SOUDER</v>
      </c>
      <c r="AR69" s="82" t="str">
        <f aca="false">IF(AND(ISNUMBER(U69),OR(AQ69="À RADIOGRAPHIER",AQ69="RÉPARÉ – À RADIOGRAPHIER",AQ69="NX – RT À REFAIRE",AQ69="À RÉPARER",AQ69="COUPE – À RESOUDER",AQ69="VT REJETÉ – À REPRENDRE")),MAX(0,'PROGRAMME RT'!$C$4-U69),"")</f>
        <v/>
      </c>
      <c r="AS69" s="82" t="n">
        <f aca="false">IF(AND(OR(AQ69="À RADIOGRAPHIER",AQ69="RÉPARÉ – À RADIOGRAPHIER",AQ69="NX – RT À REFAIRE"),OR('PROGRAMME RT'!$D$5="TOUTES",B69='PROGRAMME RT'!$D$5)),1,0)</f>
        <v>0</v>
      </c>
      <c r="AT69" s="82" t="str">
        <f aca="false">IF(AS69=1,SUM(AS$7:AS69),"")</f>
        <v/>
      </c>
      <c r="AU69" s="82" t="n">
        <f aca="false">IF(AND(OR(AA69="R",AA69="NX",AA69="NT",AA69="CO"),OR('JOINTS DE RÉPARATION'!$D$5="TOUTES",B69='JOINTS DE RÉPARATION'!$D$5),OR('JOINTS DE RÉPARATION'!$L$4="TOUS",AQ69&lt;&gt;"ACCEPTÉ")),1,0)</f>
        <v>0</v>
      </c>
      <c r="AV69" s="82" t="str">
        <f aca="false">IF(AU69=1,SUM(AU$7:AU69),"")</f>
        <v/>
      </c>
      <c r="AW69" s="82" t="str">
        <f aca="false">IF(E69="","",B69&amp;"|"&amp;E69)</f>
        <v>MFD-ISW → MFD-CPF|JN°063</v>
      </c>
    </row>
    <row r="70" customFormat="false" ht="74.6" hidden="false" customHeight="false" outlineLevel="0" collapsed="false">
      <c r="A70" s="79" t="n">
        <f aca="false">IF(E70="","",ROW()-6)</f>
        <v>64</v>
      </c>
      <c r="B70" s="80" t="s">
        <v>110</v>
      </c>
      <c r="C70" s="81"/>
      <c r="D70" s="81"/>
      <c r="E70" s="81" t="s">
        <v>174</v>
      </c>
      <c r="F70" s="82" t="str">
        <f aca="false">IF(E70="","",IF(LEFT(E70,2)="DJ","DJ","JN"))</f>
        <v>JN</v>
      </c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3"/>
      <c r="V70" s="83"/>
      <c r="W70" s="81"/>
      <c r="X70" s="81"/>
      <c r="Y70" s="83"/>
      <c r="Z70" s="81"/>
      <c r="AA70" s="81"/>
      <c r="AB70" s="81"/>
      <c r="AC70" s="81"/>
      <c r="AD70" s="81"/>
      <c r="AE70" s="83"/>
      <c r="AF70" s="81"/>
      <c r="AG70" s="81"/>
      <c r="AH70" s="81"/>
      <c r="AI70" s="81"/>
      <c r="AJ70" s="83"/>
      <c r="AK70" s="81"/>
      <c r="AL70" s="81"/>
      <c r="AM70" s="83"/>
      <c r="AN70" s="80"/>
      <c r="AO70" s="82" t="n">
        <f aca="false">IF(E70="","",(AA70&lt;&gt;"")+(AG70&lt;&gt;"")+(AL70&lt;&gt;""))</f>
        <v>0</v>
      </c>
      <c r="AP70" s="82" t="str">
        <f aca="false">IF(AL70&lt;&gt;"",AL70,IF(AG70&lt;&gt;"",AG70,IF(AA70&lt;&gt;"",AA70,"")))</f>
        <v/>
      </c>
      <c r="AQ70" s="84" t="str">
        <f aca="false">IF(E70="","",IF(U70="","À SOUDER",IF(X70="","VT EN ATTENTE",IF(X70="R","VT REJETÉ – À REPRENDRE",IF(AP70="","À RADIOGRAPHIER",IF(AP70="A","ACCEPTÉ",IF(AP70="NX","NX – RT À REFAIRE",IF(IF(AO70=1,AD70,IF(AO70=2,AI70,""))="A","RÉPARÉ – À RADIOGRAPHIER",IF(IF(AO70=1,AD70,IF(AO70=2,AI70,""))="R","VT REJETÉ – À REPRENDRE",IF(OR(AP70="CO",AP70="NT"),"COUPE – À RESOUDER","À RÉPARER"))))))))))</f>
        <v>À SOUDER</v>
      </c>
      <c r="AR70" s="82" t="str">
        <f aca="false">IF(AND(ISNUMBER(U70),OR(AQ70="À RADIOGRAPHIER",AQ70="RÉPARÉ – À RADIOGRAPHIER",AQ70="NX – RT À REFAIRE",AQ70="À RÉPARER",AQ70="COUPE – À RESOUDER",AQ70="VT REJETÉ – À REPRENDRE")),MAX(0,'PROGRAMME RT'!$C$4-U70),"")</f>
        <v/>
      </c>
      <c r="AS70" s="82" t="n">
        <f aca="false">IF(AND(OR(AQ70="À RADIOGRAPHIER",AQ70="RÉPARÉ – À RADIOGRAPHIER",AQ70="NX – RT À REFAIRE"),OR('PROGRAMME RT'!$D$5="TOUTES",B70='PROGRAMME RT'!$D$5)),1,0)</f>
        <v>0</v>
      </c>
      <c r="AT70" s="82" t="str">
        <f aca="false">IF(AS70=1,SUM(AS$7:AS70),"")</f>
        <v/>
      </c>
      <c r="AU70" s="82" t="n">
        <f aca="false">IF(AND(OR(AA70="R",AA70="NX",AA70="NT",AA70="CO"),OR('JOINTS DE RÉPARATION'!$D$5="TOUTES",B70='JOINTS DE RÉPARATION'!$D$5),OR('JOINTS DE RÉPARATION'!$L$4="TOUS",AQ70&lt;&gt;"ACCEPTÉ")),1,0)</f>
        <v>0</v>
      </c>
      <c r="AV70" s="82" t="str">
        <f aca="false">IF(AU70=1,SUM(AU$7:AU70),"")</f>
        <v/>
      </c>
      <c r="AW70" s="82" t="str">
        <f aca="false">IF(E70="","",B70&amp;"|"&amp;E70)</f>
        <v>MFD-ISW → MFD-CPF|JN°064</v>
      </c>
    </row>
    <row r="71" customFormat="false" ht="74.6" hidden="false" customHeight="false" outlineLevel="0" collapsed="false">
      <c r="A71" s="79" t="n">
        <f aca="false">IF(E71="","",ROW()-6)</f>
        <v>65</v>
      </c>
      <c r="B71" s="80" t="s">
        <v>110</v>
      </c>
      <c r="C71" s="81"/>
      <c r="D71" s="81"/>
      <c r="E71" s="81" t="s">
        <v>175</v>
      </c>
      <c r="F71" s="82" t="str">
        <f aca="false">IF(E71="","",IF(LEFT(E71,2)="DJ","DJ","JN"))</f>
        <v>JN</v>
      </c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3"/>
      <c r="V71" s="83"/>
      <c r="W71" s="81"/>
      <c r="X71" s="81"/>
      <c r="Y71" s="83"/>
      <c r="Z71" s="81"/>
      <c r="AA71" s="81"/>
      <c r="AB71" s="81"/>
      <c r="AC71" s="81"/>
      <c r="AD71" s="81"/>
      <c r="AE71" s="83"/>
      <c r="AF71" s="81"/>
      <c r="AG71" s="81"/>
      <c r="AH71" s="81"/>
      <c r="AI71" s="81"/>
      <c r="AJ71" s="83"/>
      <c r="AK71" s="81"/>
      <c r="AL71" s="81"/>
      <c r="AM71" s="83"/>
      <c r="AN71" s="80"/>
      <c r="AO71" s="82" t="n">
        <f aca="false">IF(E71="","",(AA71&lt;&gt;"")+(AG71&lt;&gt;"")+(AL71&lt;&gt;""))</f>
        <v>0</v>
      </c>
      <c r="AP71" s="82" t="str">
        <f aca="false">IF(AL71&lt;&gt;"",AL71,IF(AG71&lt;&gt;"",AG71,IF(AA71&lt;&gt;"",AA71,"")))</f>
        <v/>
      </c>
      <c r="AQ71" s="84" t="str">
        <f aca="false">IF(E71="","",IF(U71="","À SOUDER",IF(X71="","VT EN ATTENTE",IF(X71="R","VT REJETÉ – À REPRENDRE",IF(AP71="","À RADIOGRAPHIER",IF(AP71="A","ACCEPTÉ",IF(AP71="NX","NX – RT À REFAIRE",IF(IF(AO71=1,AD71,IF(AO71=2,AI71,""))="A","RÉPARÉ – À RADIOGRAPHIER",IF(IF(AO71=1,AD71,IF(AO71=2,AI71,""))="R","VT REJETÉ – À REPRENDRE",IF(OR(AP71="CO",AP71="NT"),"COUPE – À RESOUDER","À RÉPARER"))))))))))</f>
        <v>À SOUDER</v>
      </c>
      <c r="AR71" s="82" t="str">
        <f aca="false">IF(AND(ISNUMBER(U71),OR(AQ71="À RADIOGRAPHIER",AQ71="RÉPARÉ – À RADIOGRAPHIER",AQ71="NX – RT À REFAIRE",AQ71="À RÉPARER",AQ71="COUPE – À RESOUDER",AQ71="VT REJETÉ – À REPRENDRE")),MAX(0,'PROGRAMME RT'!$C$4-U71),"")</f>
        <v/>
      </c>
      <c r="AS71" s="82" t="n">
        <f aca="false">IF(AND(OR(AQ71="À RADIOGRAPHIER",AQ71="RÉPARÉ – À RADIOGRAPHIER",AQ71="NX – RT À REFAIRE"),OR('PROGRAMME RT'!$D$5="TOUTES",B71='PROGRAMME RT'!$D$5)),1,0)</f>
        <v>0</v>
      </c>
      <c r="AT71" s="82" t="str">
        <f aca="false">IF(AS71=1,SUM(AS$7:AS71),"")</f>
        <v/>
      </c>
      <c r="AU71" s="82" t="n">
        <f aca="false">IF(AND(OR(AA71="R",AA71="NX",AA71="NT",AA71="CO"),OR('JOINTS DE RÉPARATION'!$D$5="TOUTES",B71='JOINTS DE RÉPARATION'!$D$5),OR('JOINTS DE RÉPARATION'!$L$4="TOUS",AQ71&lt;&gt;"ACCEPTÉ")),1,0)</f>
        <v>0</v>
      </c>
      <c r="AV71" s="82" t="str">
        <f aca="false">IF(AU71=1,SUM(AU$7:AU71),"")</f>
        <v/>
      </c>
      <c r="AW71" s="82" t="str">
        <f aca="false">IF(E71="","",B71&amp;"|"&amp;E71)</f>
        <v>MFD-ISW → MFD-CPF|JN°065</v>
      </c>
    </row>
    <row r="72" customFormat="false" ht="74.6" hidden="false" customHeight="false" outlineLevel="0" collapsed="false">
      <c r="A72" s="79" t="n">
        <f aca="false">IF(E72="","",ROW()-6)</f>
        <v>66</v>
      </c>
      <c r="B72" s="80" t="s">
        <v>110</v>
      </c>
      <c r="C72" s="81"/>
      <c r="D72" s="81"/>
      <c r="E72" s="81" t="s">
        <v>176</v>
      </c>
      <c r="F72" s="82" t="str">
        <f aca="false">IF(E72="","",IF(LEFT(E72,2)="DJ","DJ","JN"))</f>
        <v>JN</v>
      </c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3"/>
      <c r="V72" s="83"/>
      <c r="W72" s="81"/>
      <c r="X72" s="81"/>
      <c r="Y72" s="83"/>
      <c r="Z72" s="81"/>
      <c r="AA72" s="81"/>
      <c r="AB72" s="81"/>
      <c r="AC72" s="81"/>
      <c r="AD72" s="81"/>
      <c r="AE72" s="83"/>
      <c r="AF72" s="81"/>
      <c r="AG72" s="81"/>
      <c r="AH72" s="81"/>
      <c r="AI72" s="81"/>
      <c r="AJ72" s="83"/>
      <c r="AK72" s="81"/>
      <c r="AL72" s="81"/>
      <c r="AM72" s="83"/>
      <c r="AN72" s="80"/>
      <c r="AO72" s="82" t="n">
        <f aca="false">IF(E72="","",(AA72&lt;&gt;"")+(AG72&lt;&gt;"")+(AL72&lt;&gt;""))</f>
        <v>0</v>
      </c>
      <c r="AP72" s="82" t="str">
        <f aca="false">IF(AL72&lt;&gt;"",AL72,IF(AG72&lt;&gt;"",AG72,IF(AA72&lt;&gt;"",AA72,"")))</f>
        <v/>
      </c>
      <c r="AQ72" s="84" t="str">
        <f aca="false">IF(E72="","",IF(U72="","À SOUDER",IF(X72="","VT EN ATTENTE",IF(X72="R","VT REJETÉ – À REPRENDRE",IF(AP72="","À RADIOGRAPHIER",IF(AP72="A","ACCEPTÉ",IF(AP72="NX","NX – RT À REFAIRE",IF(IF(AO72=1,AD72,IF(AO72=2,AI72,""))="A","RÉPARÉ – À RADIOGRAPHIER",IF(IF(AO72=1,AD72,IF(AO72=2,AI72,""))="R","VT REJETÉ – À REPRENDRE",IF(OR(AP72="CO",AP72="NT"),"COUPE – À RESOUDER","À RÉPARER"))))))))))</f>
        <v>À SOUDER</v>
      </c>
      <c r="AR72" s="82" t="str">
        <f aca="false">IF(AND(ISNUMBER(U72),OR(AQ72="À RADIOGRAPHIER",AQ72="RÉPARÉ – À RADIOGRAPHIER",AQ72="NX – RT À REFAIRE",AQ72="À RÉPARER",AQ72="COUPE – À RESOUDER",AQ72="VT REJETÉ – À REPRENDRE")),MAX(0,'PROGRAMME RT'!$C$4-U72),"")</f>
        <v/>
      </c>
      <c r="AS72" s="82" t="n">
        <f aca="false">IF(AND(OR(AQ72="À RADIOGRAPHIER",AQ72="RÉPARÉ – À RADIOGRAPHIER",AQ72="NX – RT À REFAIRE"),OR('PROGRAMME RT'!$D$5="TOUTES",B72='PROGRAMME RT'!$D$5)),1,0)</f>
        <v>0</v>
      </c>
      <c r="AT72" s="82" t="str">
        <f aca="false">IF(AS72=1,SUM(AS$7:AS72),"")</f>
        <v/>
      </c>
      <c r="AU72" s="82" t="n">
        <f aca="false">IF(AND(OR(AA72="R",AA72="NX",AA72="NT",AA72="CO"),OR('JOINTS DE RÉPARATION'!$D$5="TOUTES",B72='JOINTS DE RÉPARATION'!$D$5),OR('JOINTS DE RÉPARATION'!$L$4="TOUS",AQ72&lt;&gt;"ACCEPTÉ")),1,0)</f>
        <v>0</v>
      </c>
      <c r="AV72" s="82" t="str">
        <f aca="false">IF(AU72=1,SUM(AU$7:AU72),"")</f>
        <v/>
      </c>
      <c r="AW72" s="82" t="str">
        <f aca="false">IF(E72="","",B72&amp;"|"&amp;E72)</f>
        <v>MFD-ISW → MFD-CPF|JN°066</v>
      </c>
    </row>
    <row r="73" customFormat="false" ht="74.6" hidden="false" customHeight="false" outlineLevel="0" collapsed="false">
      <c r="A73" s="79" t="n">
        <f aca="false">IF(E73="","",ROW()-6)</f>
        <v>67</v>
      </c>
      <c r="B73" s="80" t="s">
        <v>110</v>
      </c>
      <c r="C73" s="81"/>
      <c r="D73" s="81"/>
      <c r="E73" s="81" t="s">
        <v>177</v>
      </c>
      <c r="F73" s="82" t="str">
        <f aca="false">IF(E73="","",IF(LEFT(E73,2)="DJ","DJ","JN"))</f>
        <v>JN</v>
      </c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3"/>
      <c r="V73" s="83"/>
      <c r="W73" s="81"/>
      <c r="X73" s="81"/>
      <c r="Y73" s="83"/>
      <c r="Z73" s="81"/>
      <c r="AA73" s="81"/>
      <c r="AB73" s="81"/>
      <c r="AC73" s="81"/>
      <c r="AD73" s="81"/>
      <c r="AE73" s="83"/>
      <c r="AF73" s="81"/>
      <c r="AG73" s="81"/>
      <c r="AH73" s="81"/>
      <c r="AI73" s="81"/>
      <c r="AJ73" s="83"/>
      <c r="AK73" s="81"/>
      <c r="AL73" s="81"/>
      <c r="AM73" s="83"/>
      <c r="AN73" s="80"/>
      <c r="AO73" s="82" t="n">
        <f aca="false">IF(E73="","",(AA73&lt;&gt;"")+(AG73&lt;&gt;"")+(AL73&lt;&gt;""))</f>
        <v>0</v>
      </c>
      <c r="AP73" s="82" t="str">
        <f aca="false">IF(AL73&lt;&gt;"",AL73,IF(AG73&lt;&gt;"",AG73,IF(AA73&lt;&gt;"",AA73,"")))</f>
        <v/>
      </c>
      <c r="AQ73" s="84" t="str">
        <f aca="false">IF(E73="","",IF(U73="","À SOUDER",IF(X73="","VT EN ATTENTE",IF(X73="R","VT REJETÉ – À REPRENDRE",IF(AP73="","À RADIOGRAPHIER",IF(AP73="A","ACCEPTÉ",IF(AP73="NX","NX – RT À REFAIRE",IF(IF(AO73=1,AD73,IF(AO73=2,AI73,""))="A","RÉPARÉ – À RADIOGRAPHIER",IF(IF(AO73=1,AD73,IF(AO73=2,AI73,""))="R","VT REJETÉ – À REPRENDRE",IF(OR(AP73="CO",AP73="NT"),"COUPE – À RESOUDER","À RÉPARER"))))))))))</f>
        <v>À SOUDER</v>
      </c>
      <c r="AR73" s="82" t="str">
        <f aca="false">IF(AND(ISNUMBER(U73),OR(AQ73="À RADIOGRAPHIER",AQ73="RÉPARÉ – À RADIOGRAPHIER",AQ73="NX – RT À REFAIRE",AQ73="À RÉPARER",AQ73="COUPE – À RESOUDER",AQ73="VT REJETÉ – À REPRENDRE")),MAX(0,'PROGRAMME RT'!$C$4-U73),"")</f>
        <v/>
      </c>
      <c r="AS73" s="82" t="n">
        <f aca="false">IF(AND(OR(AQ73="À RADIOGRAPHIER",AQ73="RÉPARÉ – À RADIOGRAPHIER",AQ73="NX – RT À REFAIRE"),OR('PROGRAMME RT'!$D$5="TOUTES",B73='PROGRAMME RT'!$D$5)),1,0)</f>
        <v>0</v>
      </c>
      <c r="AT73" s="82" t="str">
        <f aca="false">IF(AS73=1,SUM(AS$7:AS73),"")</f>
        <v/>
      </c>
      <c r="AU73" s="82" t="n">
        <f aca="false">IF(AND(OR(AA73="R",AA73="NX",AA73="NT",AA73="CO"),OR('JOINTS DE RÉPARATION'!$D$5="TOUTES",B73='JOINTS DE RÉPARATION'!$D$5),OR('JOINTS DE RÉPARATION'!$L$4="TOUS",AQ73&lt;&gt;"ACCEPTÉ")),1,0)</f>
        <v>0</v>
      </c>
      <c r="AV73" s="82" t="str">
        <f aca="false">IF(AU73=1,SUM(AU$7:AU73),"")</f>
        <v/>
      </c>
      <c r="AW73" s="82" t="str">
        <f aca="false">IF(E73="","",B73&amp;"|"&amp;E73)</f>
        <v>MFD-ISW → MFD-CPF|JN°067</v>
      </c>
    </row>
    <row r="74" customFormat="false" ht="74.6" hidden="false" customHeight="false" outlineLevel="0" collapsed="false">
      <c r="A74" s="79" t="n">
        <f aca="false">IF(E74="","",ROW()-6)</f>
        <v>68</v>
      </c>
      <c r="B74" s="80" t="s">
        <v>110</v>
      </c>
      <c r="C74" s="81"/>
      <c r="D74" s="81"/>
      <c r="E74" s="81" t="s">
        <v>178</v>
      </c>
      <c r="F74" s="82" t="str">
        <f aca="false">IF(E74="","",IF(LEFT(E74,2)="DJ","DJ","JN"))</f>
        <v>JN</v>
      </c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3"/>
      <c r="V74" s="83"/>
      <c r="W74" s="81"/>
      <c r="X74" s="81"/>
      <c r="Y74" s="83"/>
      <c r="Z74" s="81"/>
      <c r="AA74" s="81"/>
      <c r="AB74" s="81"/>
      <c r="AC74" s="81"/>
      <c r="AD74" s="81"/>
      <c r="AE74" s="83"/>
      <c r="AF74" s="81"/>
      <c r="AG74" s="81"/>
      <c r="AH74" s="81"/>
      <c r="AI74" s="81"/>
      <c r="AJ74" s="83"/>
      <c r="AK74" s="81"/>
      <c r="AL74" s="81"/>
      <c r="AM74" s="83"/>
      <c r="AN74" s="80"/>
      <c r="AO74" s="82" t="n">
        <f aca="false">IF(E74="","",(AA74&lt;&gt;"")+(AG74&lt;&gt;"")+(AL74&lt;&gt;""))</f>
        <v>0</v>
      </c>
      <c r="AP74" s="82" t="str">
        <f aca="false">IF(AL74&lt;&gt;"",AL74,IF(AG74&lt;&gt;"",AG74,IF(AA74&lt;&gt;"",AA74,"")))</f>
        <v/>
      </c>
      <c r="AQ74" s="84" t="str">
        <f aca="false">IF(E74="","",IF(U74="","À SOUDER",IF(X74="","VT EN ATTENTE",IF(X74="R","VT REJETÉ – À REPRENDRE",IF(AP74="","À RADIOGRAPHIER",IF(AP74="A","ACCEPTÉ",IF(AP74="NX","NX – RT À REFAIRE",IF(IF(AO74=1,AD74,IF(AO74=2,AI74,""))="A","RÉPARÉ – À RADIOGRAPHIER",IF(IF(AO74=1,AD74,IF(AO74=2,AI74,""))="R","VT REJETÉ – À REPRENDRE",IF(OR(AP74="CO",AP74="NT"),"COUPE – À RESOUDER","À RÉPARER"))))))))))</f>
        <v>À SOUDER</v>
      </c>
      <c r="AR74" s="82" t="str">
        <f aca="false">IF(AND(ISNUMBER(U74),OR(AQ74="À RADIOGRAPHIER",AQ74="RÉPARÉ – À RADIOGRAPHIER",AQ74="NX – RT À REFAIRE",AQ74="À RÉPARER",AQ74="COUPE – À RESOUDER",AQ74="VT REJETÉ – À REPRENDRE")),MAX(0,'PROGRAMME RT'!$C$4-U74),"")</f>
        <v/>
      </c>
      <c r="AS74" s="82" t="n">
        <f aca="false">IF(AND(OR(AQ74="À RADIOGRAPHIER",AQ74="RÉPARÉ – À RADIOGRAPHIER",AQ74="NX – RT À REFAIRE"),OR('PROGRAMME RT'!$D$5="TOUTES",B74='PROGRAMME RT'!$D$5)),1,0)</f>
        <v>0</v>
      </c>
      <c r="AT74" s="82" t="str">
        <f aca="false">IF(AS74=1,SUM(AS$7:AS74),"")</f>
        <v/>
      </c>
      <c r="AU74" s="82" t="n">
        <f aca="false">IF(AND(OR(AA74="R",AA74="NX",AA74="NT",AA74="CO"),OR('JOINTS DE RÉPARATION'!$D$5="TOUTES",B74='JOINTS DE RÉPARATION'!$D$5),OR('JOINTS DE RÉPARATION'!$L$4="TOUS",AQ74&lt;&gt;"ACCEPTÉ")),1,0)</f>
        <v>0</v>
      </c>
      <c r="AV74" s="82" t="str">
        <f aca="false">IF(AU74=1,SUM(AU$7:AU74),"")</f>
        <v/>
      </c>
      <c r="AW74" s="82" t="str">
        <f aca="false">IF(E74="","",B74&amp;"|"&amp;E74)</f>
        <v>MFD-ISW → MFD-CPF|JN°068</v>
      </c>
    </row>
    <row r="75" customFormat="false" ht="74.6" hidden="false" customHeight="false" outlineLevel="0" collapsed="false">
      <c r="A75" s="79" t="n">
        <f aca="false">IF(E75="","",ROW()-6)</f>
        <v>69</v>
      </c>
      <c r="B75" s="80" t="s">
        <v>110</v>
      </c>
      <c r="C75" s="81"/>
      <c r="D75" s="81"/>
      <c r="E75" s="81" t="s">
        <v>179</v>
      </c>
      <c r="F75" s="82" t="str">
        <f aca="false">IF(E75="","",IF(LEFT(E75,2)="DJ","DJ","JN"))</f>
        <v>JN</v>
      </c>
      <c r="G75" s="81"/>
      <c r="H75" s="81"/>
      <c r="I75" s="81"/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3"/>
      <c r="V75" s="83"/>
      <c r="W75" s="81"/>
      <c r="X75" s="81"/>
      <c r="Y75" s="83"/>
      <c r="Z75" s="81"/>
      <c r="AA75" s="81"/>
      <c r="AB75" s="81"/>
      <c r="AC75" s="81"/>
      <c r="AD75" s="81"/>
      <c r="AE75" s="83"/>
      <c r="AF75" s="81"/>
      <c r="AG75" s="81"/>
      <c r="AH75" s="81"/>
      <c r="AI75" s="81"/>
      <c r="AJ75" s="83"/>
      <c r="AK75" s="81"/>
      <c r="AL75" s="81"/>
      <c r="AM75" s="83"/>
      <c r="AN75" s="80"/>
      <c r="AO75" s="82" t="n">
        <f aca="false">IF(E75="","",(AA75&lt;&gt;"")+(AG75&lt;&gt;"")+(AL75&lt;&gt;""))</f>
        <v>0</v>
      </c>
      <c r="AP75" s="82" t="str">
        <f aca="false">IF(AL75&lt;&gt;"",AL75,IF(AG75&lt;&gt;"",AG75,IF(AA75&lt;&gt;"",AA75,"")))</f>
        <v/>
      </c>
      <c r="AQ75" s="84" t="str">
        <f aca="false">IF(E75="","",IF(U75="","À SOUDER",IF(X75="","VT EN ATTENTE",IF(X75="R","VT REJETÉ – À REPRENDRE",IF(AP75="","À RADIOGRAPHIER",IF(AP75="A","ACCEPTÉ",IF(AP75="NX","NX – RT À REFAIRE",IF(IF(AO75=1,AD75,IF(AO75=2,AI75,""))="A","RÉPARÉ – À RADIOGRAPHIER",IF(IF(AO75=1,AD75,IF(AO75=2,AI75,""))="R","VT REJETÉ – À REPRENDRE",IF(OR(AP75="CO",AP75="NT"),"COUPE – À RESOUDER","À RÉPARER"))))))))))</f>
        <v>À SOUDER</v>
      </c>
      <c r="AR75" s="82" t="str">
        <f aca="false">IF(AND(ISNUMBER(U75),OR(AQ75="À RADIOGRAPHIER",AQ75="RÉPARÉ – À RADIOGRAPHIER",AQ75="NX – RT À REFAIRE",AQ75="À RÉPARER",AQ75="COUPE – À RESOUDER",AQ75="VT REJETÉ – À REPRENDRE")),MAX(0,'PROGRAMME RT'!$C$4-U75),"")</f>
        <v/>
      </c>
      <c r="AS75" s="82" t="n">
        <f aca="false">IF(AND(OR(AQ75="À RADIOGRAPHIER",AQ75="RÉPARÉ – À RADIOGRAPHIER",AQ75="NX – RT À REFAIRE"),OR('PROGRAMME RT'!$D$5="TOUTES",B75='PROGRAMME RT'!$D$5)),1,0)</f>
        <v>0</v>
      </c>
      <c r="AT75" s="82" t="str">
        <f aca="false">IF(AS75=1,SUM(AS$7:AS75),"")</f>
        <v/>
      </c>
      <c r="AU75" s="82" t="n">
        <f aca="false">IF(AND(OR(AA75="R",AA75="NX",AA75="NT",AA75="CO"),OR('JOINTS DE RÉPARATION'!$D$5="TOUTES",B75='JOINTS DE RÉPARATION'!$D$5),OR('JOINTS DE RÉPARATION'!$L$4="TOUS",AQ75&lt;&gt;"ACCEPTÉ")),1,0)</f>
        <v>0</v>
      </c>
      <c r="AV75" s="82" t="str">
        <f aca="false">IF(AU75=1,SUM(AU$7:AU75),"")</f>
        <v/>
      </c>
      <c r="AW75" s="82" t="str">
        <f aca="false">IF(E75="","",B75&amp;"|"&amp;E75)</f>
        <v>MFD-ISW → MFD-CPF|JN°069</v>
      </c>
    </row>
    <row r="76" customFormat="false" ht="74.6" hidden="false" customHeight="false" outlineLevel="0" collapsed="false">
      <c r="A76" s="79" t="n">
        <f aca="false">IF(E76="","",ROW()-6)</f>
        <v>70</v>
      </c>
      <c r="B76" s="80" t="s">
        <v>110</v>
      </c>
      <c r="C76" s="81"/>
      <c r="D76" s="81"/>
      <c r="E76" s="81" t="s">
        <v>180</v>
      </c>
      <c r="F76" s="82" t="str">
        <f aca="false">IF(E76="","",IF(LEFT(E76,2)="DJ","DJ","JN"))</f>
        <v>JN</v>
      </c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3"/>
      <c r="V76" s="83"/>
      <c r="W76" s="81"/>
      <c r="X76" s="81"/>
      <c r="Y76" s="83"/>
      <c r="Z76" s="81"/>
      <c r="AA76" s="81"/>
      <c r="AB76" s="81"/>
      <c r="AC76" s="81"/>
      <c r="AD76" s="81"/>
      <c r="AE76" s="83"/>
      <c r="AF76" s="81"/>
      <c r="AG76" s="81"/>
      <c r="AH76" s="81"/>
      <c r="AI76" s="81"/>
      <c r="AJ76" s="83"/>
      <c r="AK76" s="81"/>
      <c r="AL76" s="81"/>
      <c r="AM76" s="83"/>
      <c r="AN76" s="80"/>
      <c r="AO76" s="82" t="n">
        <f aca="false">IF(E76="","",(AA76&lt;&gt;"")+(AG76&lt;&gt;"")+(AL76&lt;&gt;""))</f>
        <v>0</v>
      </c>
      <c r="AP76" s="82" t="str">
        <f aca="false">IF(AL76&lt;&gt;"",AL76,IF(AG76&lt;&gt;"",AG76,IF(AA76&lt;&gt;"",AA76,"")))</f>
        <v/>
      </c>
      <c r="AQ76" s="84" t="str">
        <f aca="false">IF(E76="","",IF(U76="","À SOUDER",IF(X76="","VT EN ATTENTE",IF(X76="R","VT REJETÉ – À REPRENDRE",IF(AP76="","À RADIOGRAPHIER",IF(AP76="A","ACCEPTÉ",IF(AP76="NX","NX – RT À REFAIRE",IF(IF(AO76=1,AD76,IF(AO76=2,AI76,""))="A","RÉPARÉ – À RADIOGRAPHIER",IF(IF(AO76=1,AD76,IF(AO76=2,AI76,""))="R","VT REJETÉ – À REPRENDRE",IF(OR(AP76="CO",AP76="NT"),"COUPE – À RESOUDER","À RÉPARER"))))))))))</f>
        <v>À SOUDER</v>
      </c>
      <c r="AR76" s="82" t="str">
        <f aca="false">IF(AND(ISNUMBER(U76),OR(AQ76="À RADIOGRAPHIER",AQ76="RÉPARÉ – À RADIOGRAPHIER",AQ76="NX – RT À REFAIRE",AQ76="À RÉPARER",AQ76="COUPE – À RESOUDER",AQ76="VT REJETÉ – À REPRENDRE")),MAX(0,'PROGRAMME RT'!$C$4-U76),"")</f>
        <v/>
      </c>
      <c r="AS76" s="82" t="n">
        <f aca="false">IF(AND(OR(AQ76="À RADIOGRAPHIER",AQ76="RÉPARÉ – À RADIOGRAPHIER",AQ76="NX – RT À REFAIRE"),OR('PROGRAMME RT'!$D$5="TOUTES",B76='PROGRAMME RT'!$D$5)),1,0)</f>
        <v>0</v>
      </c>
      <c r="AT76" s="82" t="str">
        <f aca="false">IF(AS76=1,SUM(AS$7:AS76),"")</f>
        <v/>
      </c>
      <c r="AU76" s="82" t="n">
        <f aca="false">IF(AND(OR(AA76="R",AA76="NX",AA76="NT",AA76="CO"),OR('JOINTS DE RÉPARATION'!$D$5="TOUTES",B76='JOINTS DE RÉPARATION'!$D$5),OR('JOINTS DE RÉPARATION'!$L$4="TOUS",AQ76&lt;&gt;"ACCEPTÉ")),1,0)</f>
        <v>0</v>
      </c>
      <c r="AV76" s="82" t="str">
        <f aca="false">IF(AU76=1,SUM(AU$7:AU76),"")</f>
        <v/>
      </c>
      <c r="AW76" s="82" t="str">
        <f aca="false">IF(E76="","",B76&amp;"|"&amp;E76)</f>
        <v>MFD-ISW → MFD-CPF|JN°070</v>
      </c>
    </row>
    <row r="77" customFormat="false" ht="74.6" hidden="false" customHeight="false" outlineLevel="0" collapsed="false">
      <c r="A77" s="79" t="n">
        <f aca="false">IF(E77="","",ROW()-6)</f>
        <v>71</v>
      </c>
      <c r="B77" s="80" t="s">
        <v>110</v>
      </c>
      <c r="C77" s="81"/>
      <c r="D77" s="81"/>
      <c r="E77" s="81" t="s">
        <v>181</v>
      </c>
      <c r="F77" s="82" t="str">
        <f aca="false">IF(E77="","",IF(LEFT(E77,2)="DJ","DJ","JN"))</f>
        <v>JN</v>
      </c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3"/>
      <c r="V77" s="83"/>
      <c r="W77" s="81"/>
      <c r="X77" s="81"/>
      <c r="Y77" s="83"/>
      <c r="Z77" s="81"/>
      <c r="AA77" s="81"/>
      <c r="AB77" s="81"/>
      <c r="AC77" s="81"/>
      <c r="AD77" s="81"/>
      <c r="AE77" s="83"/>
      <c r="AF77" s="81"/>
      <c r="AG77" s="81"/>
      <c r="AH77" s="81"/>
      <c r="AI77" s="81"/>
      <c r="AJ77" s="83"/>
      <c r="AK77" s="81"/>
      <c r="AL77" s="81"/>
      <c r="AM77" s="83"/>
      <c r="AN77" s="80"/>
      <c r="AO77" s="82" t="n">
        <f aca="false">IF(E77="","",(AA77&lt;&gt;"")+(AG77&lt;&gt;"")+(AL77&lt;&gt;""))</f>
        <v>0</v>
      </c>
      <c r="AP77" s="82" t="str">
        <f aca="false">IF(AL77&lt;&gt;"",AL77,IF(AG77&lt;&gt;"",AG77,IF(AA77&lt;&gt;"",AA77,"")))</f>
        <v/>
      </c>
      <c r="AQ77" s="84" t="str">
        <f aca="false">IF(E77="","",IF(U77="","À SOUDER",IF(X77="","VT EN ATTENTE",IF(X77="R","VT REJETÉ – À REPRENDRE",IF(AP77="","À RADIOGRAPHIER",IF(AP77="A","ACCEPTÉ",IF(AP77="NX","NX – RT À REFAIRE",IF(IF(AO77=1,AD77,IF(AO77=2,AI77,""))="A","RÉPARÉ – À RADIOGRAPHIER",IF(IF(AO77=1,AD77,IF(AO77=2,AI77,""))="R","VT REJETÉ – À REPRENDRE",IF(OR(AP77="CO",AP77="NT"),"COUPE – À RESOUDER","À RÉPARER"))))))))))</f>
        <v>À SOUDER</v>
      </c>
      <c r="AR77" s="82" t="str">
        <f aca="false">IF(AND(ISNUMBER(U77),OR(AQ77="À RADIOGRAPHIER",AQ77="RÉPARÉ – À RADIOGRAPHIER",AQ77="NX – RT À REFAIRE",AQ77="À RÉPARER",AQ77="COUPE – À RESOUDER",AQ77="VT REJETÉ – À REPRENDRE")),MAX(0,'PROGRAMME RT'!$C$4-U77),"")</f>
        <v/>
      </c>
      <c r="AS77" s="82" t="n">
        <f aca="false">IF(AND(OR(AQ77="À RADIOGRAPHIER",AQ77="RÉPARÉ – À RADIOGRAPHIER",AQ77="NX – RT À REFAIRE"),OR('PROGRAMME RT'!$D$5="TOUTES",B77='PROGRAMME RT'!$D$5)),1,0)</f>
        <v>0</v>
      </c>
      <c r="AT77" s="82" t="str">
        <f aca="false">IF(AS77=1,SUM(AS$7:AS77),"")</f>
        <v/>
      </c>
      <c r="AU77" s="82" t="n">
        <f aca="false">IF(AND(OR(AA77="R",AA77="NX",AA77="NT",AA77="CO"),OR('JOINTS DE RÉPARATION'!$D$5="TOUTES",B77='JOINTS DE RÉPARATION'!$D$5),OR('JOINTS DE RÉPARATION'!$L$4="TOUS",AQ77&lt;&gt;"ACCEPTÉ")),1,0)</f>
        <v>0</v>
      </c>
      <c r="AV77" s="82" t="str">
        <f aca="false">IF(AU77=1,SUM(AU$7:AU77),"")</f>
        <v/>
      </c>
      <c r="AW77" s="82" t="str">
        <f aca="false">IF(E77="","",B77&amp;"|"&amp;E77)</f>
        <v>MFD-ISW → MFD-CPF|JN°071</v>
      </c>
    </row>
    <row r="78" customFormat="false" ht="74.6" hidden="false" customHeight="false" outlineLevel="0" collapsed="false">
      <c r="A78" s="79" t="n">
        <f aca="false">IF(E78="","",ROW()-6)</f>
        <v>72</v>
      </c>
      <c r="B78" s="80" t="s">
        <v>110</v>
      </c>
      <c r="C78" s="81"/>
      <c r="D78" s="81"/>
      <c r="E78" s="81" t="s">
        <v>182</v>
      </c>
      <c r="F78" s="82" t="str">
        <f aca="false">IF(E78="","",IF(LEFT(E78,2)="DJ","DJ","JN"))</f>
        <v>JN</v>
      </c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3"/>
      <c r="V78" s="83"/>
      <c r="W78" s="81"/>
      <c r="X78" s="81"/>
      <c r="Y78" s="83"/>
      <c r="Z78" s="81"/>
      <c r="AA78" s="81"/>
      <c r="AB78" s="81"/>
      <c r="AC78" s="81"/>
      <c r="AD78" s="81"/>
      <c r="AE78" s="83"/>
      <c r="AF78" s="81"/>
      <c r="AG78" s="81"/>
      <c r="AH78" s="81"/>
      <c r="AI78" s="81"/>
      <c r="AJ78" s="83"/>
      <c r="AK78" s="81"/>
      <c r="AL78" s="81"/>
      <c r="AM78" s="83"/>
      <c r="AN78" s="80"/>
      <c r="AO78" s="82" t="n">
        <f aca="false">IF(E78="","",(AA78&lt;&gt;"")+(AG78&lt;&gt;"")+(AL78&lt;&gt;""))</f>
        <v>0</v>
      </c>
      <c r="AP78" s="82" t="str">
        <f aca="false">IF(AL78&lt;&gt;"",AL78,IF(AG78&lt;&gt;"",AG78,IF(AA78&lt;&gt;"",AA78,"")))</f>
        <v/>
      </c>
      <c r="AQ78" s="84" t="str">
        <f aca="false">IF(E78="","",IF(U78="","À SOUDER",IF(X78="","VT EN ATTENTE",IF(X78="R","VT REJETÉ – À REPRENDRE",IF(AP78="","À RADIOGRAPHIER",IF(AP78="A","ACCEPTÉ",IF(AP78="NX","NX – RT À REFAIRE",IF(IF(AO78=1,AD78,IF(AO78=2,AI78,""))="A","RÉPARÉ – À RADIOGRAPHIER",IF(IF(AO78=1,AD78,IF(AO78=2,AI78,""))="R","VT REJETÉ – À REPRENDRE",IF(OR(AP78="CO",AP78="NT"),"COUPE – À RESOUDER","À RÉPARER"))))))))))</f>
        <v>À SOUDER</v>
      </c>
      <c r="AR78" s="82" t="str">
        <f aca="false">IF(AND(ISNUMBER(U78),OR(AQ78="À RADIOGRAPHIER",AQ78="RÉPARÉ – À RADIOGRAPHIER",AQ78="NX – RT À REFAIRE",AQ78="À RÉPARER",AQ78="COUPE – À RESOUDER",AQ78="VT REJETÉ – À REPRENDRE")),MAX(0,'PROGRAMME RT'!$C$4-U78),"")</f>
        <v/>
      </c>
      <c r="AS78" s="82" t="n">
        <f aca="false">IF(AND(OR(AQ78="À RADIOGRAPHIER",AQ78="RÉPARÉ – À RADIOGRAPHIER",AQ78="NX – RT À REFAIRE"),OR('PROGRAMME RT'!$D$5="TOUTES",B78='PROGRAMME RT'!$D$5)),1,0)</f>
        <v>0</v>
      </c>
      <c r="AT78" s="82" t="str">
        <f aca="false">IF(AS78=1,SUM(AS$7:AS78),"")</f>
        <v/>
      </c>
      <c r="AU78" s="82" t="n">
        <f aca="false">IF(AND(OR(AA78="R",AA78="NX",AA78="NT",AA78="CO"),OR('JOINTS DE RÉPARATION'!$D$5="TOUTES",B78='JOINTS DE RÉPARATION'!$D$5),OR('JOINTS DE RÉPARATION'!$L$4="TOUS",AQ78&lt;&gt;"ACCEPTÉ")),1,0)</f>
        <v>0</v>
      </c>
      <c r="AV78" s="82" t="str">
        <f aca="false">IF(AU78=1,SUM(AU$7:AU78),"")</f>
        <v/>
      </c>
      <c r="AW78" s="82" t="str">
        <f aca="false">IF(E78="","",B78&amp;"|"&amp;E78)</f>
        <v>MFD-ISW → MFD-CPF|JN°072</v>
      </c>
    </row>
    <row r="79" customFormat="false" ht="74.6" hidden="false" customHeight="false" outlineLevel="0" collapsed="false">
      <c r="A79" s="79" t="n">
        <f aca="false">IF(E79="","",ROW()-6)</f>
        <v>73</v>
      </c>
      <c r="B79" s="80" t="s">
        <v>110</v>
      </c>
      <c r="C79" s="81"/>
      <c r="D79" s="81"/>
      <c r="E79" s="81" t="s">
        <v>183</v>
      </c>
      <c r="F79" s="82" t="str">
        <f aca="false">IF(E79="","",IF(LEFT(E79,2)="DJ","DJ","JN"))</f>
        <v>JN</v>
      </c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3"/>
      <c r="V79" s="83"/>
      <c r="W79" s="81"/>
      <c r="X79" s="81"/>
      <c r="Y79" s="83"/>
      <c r="Z79" s="81"/>
      <c r="AA79" s="81"/>
      <c r="AB79" s="81"/>
      <c r="AC79" s="81"/>
      <c r="AD79" s="81"/>
      <c r="AE79" s="83"/>
      <c r="AF79" s="81"/>
      <c r="AG79" s="81"/>
      <c r="AH79" s="81"/>
      <c r="AI79" s="81"/>
      <c r="AJ79" s="83"/>
      <c r="AK79" s="81"/>
      <c r="AL79" s="81"/>
      <c r="AM79" s="83"/>
      <c r="AN79" s="80"/>
      <c r="AO79" s="82" t="n">
        <f aca="false">IF(E79="","",(AA79&lt;&gt;"")+(AG79&lt;&gt;"")+(AL79&lt;&gt;""))</f>
        <v>0</v>
      </c>
      <c r="AP79" s="82" t="str">
        <f aca="false">IF(AL79&lt;&gt;"",AL79,IF(AG79&lt;&gt;"",AG79,IF(AA79&lt;&gt;"",AA79,"")))</f>
        <v/>
      </c>
      <c r="AQ79" s="84" t="str">
        <f aca="false">IF(E79="","",IF(U79="","À SOUDER",IF(X79="","VT EN ATTENTE",IF(X79="R","VT REJETÉ – À REPRENDRE",IF(AP79="","À RADIOGRAPHIER",IF(AP79="A","ACCEPTÉ",IF(AP79="NX","NX – RT À REFAIRE",IF(IF(AO79=1,AD79,IF(AO79=2,AI79,""))="A","RÉPARÉ – À RADIOGRAPHIER",IF(IF(AO79=1,AD79,IF(AO79=2,AI79,""))="R","VT REJETÉ – À REPRENDRE",IF(OR(AP79="CO",AP79="NT"),"COUPE – À RESOUDER","À RÉPARER"))))))))))</f>
        <v>À SOUDER</v>
      </c>
      <c r="AR79" s="82" t="str">
        <f aca="false">IF(AND(ISNUMBER(U79),OR(AQ79="À RADIOGRAPHIER",AQ79="RÉPARÉ – À RADIOGRAPHIER",AQ79="NX – RT À REFAIRE",AQ79="À RÉPARER",AQ79="COUPE – À RESOUDER",AQ79="VT REJETÉ – À REPRENDRE")),MAX(0,'PROGRAMME RT'!$C$4-U79),"")</f>
        <v/>
      </c>
      <c r="AS79" s="82" t="n">
        <f aca="false">IF(AND(OR(AQ79="À RADIOGRAPHIER",AQ79="RÉPARÉ – À RADIOGRAPHIER",AQ79="NX – RT À REFAIRE"),OR('PROGRAMME RT'!$D$5="TOUTES",B79='PROGRAMME RT'!$D$5)),1,0)</f>
        <v>0</v>
      </c>
      <c r="AT79" s="82" t="str">
        <f aca="false">IF(AS79=1,SUM(AS$7:AS79),"")</f>
        <v/>
      </c>
      <c r="AU79" s="82" t="n">
        <f aca="false">IF(AND(OR(AA79="R",AA79="NX",AA79="NT",AA79="CO"),OR('JOINTS DE RÉPARATION'!$D$5="TOUTES",B79='JOINTS DE RÉPARATION'!$D$5),OR('JOINTS DE RÉPARATION'!$L$4="TOUS",AQ79&lt;&gt;"ACCEPTÉ")),1,0)</f>
        <v>0</v>
      </c>
      <c r="AV79" s="82" t="str">
        <f aca="false">IF(AU79=1,SUM(AU$7:AU79),"")</f>
        <v/>
      </c>
      <c r="AW79" s="82" t="str">
        <f aca="false">IF(E79="","",B79&amp;"|"&amp;E79)</f>
        <v>MFD-ISW → MFD-CPF|JN°073</v>
      </c>
    </row>
    <row r="80" customFormat="false" ht="74.6" hidden="false" customHeight="false" outlineLevel="0" collapsed="false">
      <c r="A80" s="79" t="n">
        <f aca="false">IF(E80="","",ROW()-6)</f>
        <v>74</v>
      </c>
      <c r="B80" s="80" t="s">
        <v>110</v>
      </c>
      <c r="C80" s="81"/>
      <c r="D80" s="81"/>
      <c r="E80" s="81" t="s">
        <v>184</v>
      </c>
      <c r="F80" s="82" t="str">
        <f aca="false">IF(E80="","",IF(LEFT(E80,2)="DJ","DJ","JN"))</f>
        <v>JN</v>
      </c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3"/>
      <c r="V80" s="83"/>
      <c r="W80" s="81"/>
      <c r="X80" s="81"/>
      <c r="Y80" s="83"/>
      <c r="Z80" s="81"/>
      <c r="AA80" s="81"/>
      <c r="AB80" s="81"/>
      <c r="AC80" s="81"/>
      <c r="AD80" s="81"/>
      <c r="AE80" s="83"/>
      <c r="AF80" s="81"/>
      <c r="AG80" s="81"/>
      <c r="AH80" s="81"/>
      <c r="AI80" s="81"/>
      <c r="AJ80" s="83"/>
      <c r="AK80" s="81"/>
      <c r="AL80" s="81"/>
      <c r="AM80" s="83"/>
      <c r="AN80" s="80"/>
      <c r="AO80" s="82" t="n">
        <f aca="false">IF(E80="","",(AA80&lt;&gt;"")+(AG80&lt;&gt;"")+(AL80&lt;&gt;""))</f>
        <v>0</v>
      </c>
      <c r="AP80" s="82" t="str">
        <f aca="false">IF(AL80&lt;&gt;"",AL80,IF(AG80&lt;&gt;"",AG80,IF(AA80&lt;&gt;"",AA80,"")))</f>
        <v/>
      </c>
      <c r="AQ80" s="84" t="str">
        <f aca="false">IF(E80="","",IF(U80="","À SOUDER",IF(X80="","VT EN ATTENTE",IF(X80="R","VT REJETÉ – À REPRENDRE",IF(AP80="","À RADIOGRAPHIER",IF(AP80="A","ACCEPTÉ",IF(AP80="NX","NX – RT À REFAIRE",IF(IF(AO80=1,AD80,IF(AO80=2,AI80,""))="A","RÉPARÉ – À RADIOGRAPHIER",IF(IF(AO80=1,AD80,IF(AO80=2,AI80,""))="R","VT REJETÉ – À REPRENDRE",IF(OR(AP80="CO",AP80="NT"),"COUPE – À RESOUDER","À RÉPARER"))))))))))</f>
        <v>À SOUDER</v>
      </c>
      <c r="AR80" s="82" t="str">
        <f aca="false">IF(AND(ISNUMBER(U80),OR(AQ80="À RADIOGRAPHIER",AQ80="RÉPARÉ – À RADIOGRAPHIER",AQ80="NX – RT À REFAIRE",AQ80="À RÉPARER",AQ80="COUPE – À RESOUDER",AQ80="VT REJETÉ – À REPRENDRE")),MAX(0,'PROGRAMME RT'!$C$4-U80),"")</f>
        <v/>
      </c>
      <c r="AS80" s="82" t="n">
        <f aca="false">IF(AND(OR(AQ80="À RADIOGRAPHIER",AQ80="RÉPARÉ – À RADIOGRAPHIER",AQ80="NX – RT À REFAIRE"),OR('PROGRAMME RT'!$D$5="TOUTES",B80='PROGRAMME RT'!$D$5)),1,0)</f>
        <v>0</v>
      </c>
      <c r="AT80" s="82" t="str">
        <f aca="false">IF(AS80=1,SUM(AS$7:AS80),"")</f>
        <v/>
      </c>
      <c r="AU80" s="82" t="n">
        <f aca="false">IF(AND(OR(AA80="R",AA80="NX",AA80="NT",AA80="CO"),OR('JOINTS DE RÉPARATION'!$D$5="TOUTES",B80='JOINTS DE RÉPARATION'!$D$5),OR('JOINTS DE RÉPARATION'!$L$4="TOUS",AQ80&lt;&gt;"ACCEPTÉ")),1,0)</f>
        <v>0</v>
      </c>
      <c r="AV80" s="82" t="str">
        <f aca="false">IF(AU80=1,SUM(AU$7:AU80),"")</f>
        <v/>
      </c>
      <c r="AW80" s="82" t="str">
        <f aca="false">IF(E80="","",B80&amp;"|"&amp;E80)</f>
        <v>MFD-ISW → MFD-CPF|JN°074</v>
      </c>
    </row>
    <row r="81" customFormat="false" ht="74.6" hidden="false" customHeight="false" outlineLevel="0" collapsed="false">
      <c r="A81" s="79" t="n">
        <f aca="false">IF(E81="","",ROW()-6)</f>
        <v>75</v>
      </c>
      <c r="B81" s="80" t="s">
        <v>110</v>
      </c>
      <c r="C81" s="81"/>
      <c r="D81" s="81"/>
      <c r="E81" s="81" t="s">
        <v>185</v>
      </c>
      <c r="F81" s="82" t="str">
        <f aca="false">IF(E81="","",IF(LEFT(E81,2)="DJ","DJ","JN"))</f>
        <v>JN</v>
      </c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3"/>
      <c r="V81" s="83"/>
      <c r="W81" s="81"/>
      <c r="X81" s="81"/>
      <c r="Y81" s="83"/>
      <c r="Z81" s="81"/>
      <c r="AA81" s="81"/>
      <c r="AB81" s="81"/>
      <c r="AC81" s="81"/>
      <c r="AD81" s="81"/>
      <c r="AE81" s="83"/>
      <c r="AF81" s="81"/>
      <c r="AG81" s="81"/>
      <c r="AH81" s="81"/>
      <c r="AI81" s="81"/>
      <c r="AJ81" s="83"/>
      <c r="AK81" s="81"/>
      <c r="AL81" s="81"/>
      <c r="AM81" s="83"/>
      <c r="AN81" s="80"/>
      <c r="AO81" s="82" t="n">
        <f aca="false">IF(E81="","",(AA81&lt;&gt;"")+(AG81&lt;&gt;"")+(AL81&lt;&gt;""))</f>
        <v>0</v>
      </c>
      <c r="AP81" s="82" t="str">
        <f aca="false">IF(AL81&lt;&gt;"",AL81,IF(AG81&lt;&gt;"",AG81,IF(AA81&lt;&gt;"",AA81,"")))</f>
        <v/>
      </c>
      <c r="AQ81" s="84" t="str">
        <f aca="false">IF(E81="","",IF(U81="","À SOUDER",IF(X81="","VT EN ATTENTE",IF(X81="R","VT REJETÉ – À REPRENDRE",IF(AP81="","À RADIOGRAPHIER",IF(AP81="A","ACCEPTÉ",IF(AP81="NX","NX – RT À REFAIRE",IF(IF(AO81=1,AD81,IF(AO81=2,AI81,""))="A","RÉPARÉ – À RADIOGRAPHIER",IF(IF(AO81=1,AD81,IF(AO81=2,AI81,""))="R","VT REJETÉ – À REPRENDRE",IF(OR(AP81="CO",AP81="NT"),"COUPE – À RESOUDER","À RÉPARER"))))))))))</f>
        <v>À SOUDER</v>
      </c>
      <c r="AR81" s="82" t="str">
        <f aca="false">IF(AND(ISNUMBER(U81),OR(AQ81="À RADIOGRAPHIER",AQ81="RÉPARÉ – À RADIOGRAPHIER",AQ81="NX – RT À REFAIRE",AQ81="À RÉPARER",AQ81="COUPE – À RESOUDER",AQ81="VT REJETÉ – À REPRENDRE")),MAX(0,'PROGRAMME RT'!$C$4-U81),"")</f>
        <v/>
      </c>
      <c r="AS81" s="82" t="n">
        <f aca="false">IF(AND(OR(AQ81="À RADIOGRAPHIER",AQ81="RÉPARÉ – À RADIOGRAPHIER",AQ81="NX – RT À REFAIRE"),OR('PROGRAMME RT'!$D$5="TOUTES",B81='PROGRAMME RT'!$D$5)),1,0)</f>
        <v>0</v>
      </c>
      <c r="AT81" s="82" t="str">
        <f aca="false">IF(AS81=1,SUM(AS$7:AS81),"")</f>
        <v/>
      </c>
      <c r="AU81" s="82" t="n">
        <f aca="false">IF(AND(OR(AA81="R",AA81="NX",AA81="NT",AA81="CO"),OR('JOINTS DE RÉPARATION'!$D$5="TOUTES",B81='JOINTS DE RÉPARATION'!$D$5),OR('JOINTS DE RÉPARATION'!$L$4="TOUS",AQ81&lt;&gt;"ACCEPTÉ")),1,0)</f>
        <v>0</v>
      </c>
      <c r="AV81" s="82" t="str">
        <f aca="false">IF(AU81=1,SUM(AU$7:AU81),"")</f>
        <v/>
      </c>
      <c r="AW81" s="82" t="str">
        <f aca="false">IF(E81="","",B81&amp;"|"&amp;E81)</f>
        <v>MFD-ISW → MFD-CPF|JN°075</v>
      </c>
    </row>
    <row r="82" customFormat="false" ht="74.6" hidden="false" customHeight="false" outlineLevel="0" collapsed="false">
      <c r="A82" s="79" t="n">
        <f aca="false">IF(E82="","",ROW()-6)</f>
        <v>76</v>
      </c>
      <c r="B82" s="80" t="s">
        <v>110</v>
      </c>
      <c r="C82" s="81"/>
      <c r="D82" s="81"/>
      <c r="E82" s="81" t="s">
        <v>186</v>
      </c>
      <c r="F82" s="82" t="str">
        <f aca="false">IF(E82="","",IF(LEFT(E82,2)="DJ","DJ","JN"))</f>
        <v>JN</v>
      </c>
      <c r="G82" s="81"/>
      <c r="H82" s="81"/>
      <c r="I82" s="81"/>
      <c r="J82" s="81"/>
      <c r="K82" s="81"/>
      <c r="L82" s="81"/>
      <c r="M82" s="81"/>
      <c r="N82" s="81"/>
      <c r="O82" s="81"/>
      <c r="P82" s="81"/>
      <c r="Q82" s="81"/>
      <c r="R82" s="81"/>
      <c r="S82" s="81"/>
      <c r="T82" s="81"/>
      <c r="U82" s="83"/>
      <c r="V82" s="83"/>
      <c r="W82" s="81"/>
      <c r="X82" s="81"/>
      <c r="Y82" s="83"/>
      <c r="Z82" s="81"/>
      <c r="AA82" s="81"/>
      <c r="AB82" s="81"/>
      <c r="AC82" s="81"/>
      <c r="AD82" s="81"/>
      <c r="AE82" s="83"/>
      <c r="AF82" s="81"/>
      <c r="AG82" s="81"/>
      <c r="AH82" s="81"/>
      <c r="AI82" s="81"/>
      <c r="AJ82" s="83"/>
      <c r="AK82" s="81"/>
      <c r="AL82" s="81"/>
      <c r="AM82" s="83"/>
      <c r="AN82" s="80"/>
      <c r="AO82" s="82" t="n">
        <f aca="false">IF(E82="","",(AA82&lt;&gt;"")+(AG82&lt;&gt;"")+(AL82&lt;&gt;""))</f>
        <v>0</v>
      </c>
      <c r="AP82" s="82" t="str">
        <f aca="false">IF(AL82&lt;&gt;"",AL82,IF(AG82&lt;&gt;"",AG82,IF(AA82&lt;&gt;"",AA82,"")))</f>
        <v/>
      </c>
      <c r="AQ82" s="84" t="str">
        <f aca="false">IF(E82="","",IF(U82="","À SOUDER",IF(X82="","VT EN ATTENTE",IF(X82="R","VT REJETÉ – À REPRENDRE",IF(AP82="","À RADIOGRAPHIER",IF(AP82="A","ACCEPTÉ",IF(AP82="NX","NX – RT À REFAIRE",IF(IF(AO82=1,AD82,IF(AO82=2,AI82,""))="A","RÉPARÉ – À RADIOGRAPHIER",IF(IF(AO82=1,AD82,IF(AO82=2,AI82,""))="R","VT REJETÉ – À REPRENDRE",IF(OR(AP82="CO",AP82="NT"),"COUPE – À RESOUDER","À RÉPARER"))))))))))</f>
        <v>À SOUDER</v>
      </c>
      <c r="AR82" s="82" t="str">
        <f aca="false">IF(AND(ISNUMBER(U82),OR(AQ82="À RADIOGRAPHIER",AQ82="RÉPARÉ – À RADIOGRAPHIER",AQ82="NX – RT À REFAIRE",AQ82="À RÉPARER",AQ82="COUPE – À RESOUDER",AQ82="VT REJETÉ – À REPRENDRE")),MAX(0,'PROGRAMME RT'!$C$4-U82),"")</f>
        <v/>
      </c>
      <c r="AS82" s="82" t="n">
        <f aca="false">IF(AND(OR(AQ82="À RADIOGRAPHIER",AQ82="RÉPARÉ – À RADIOGRAPHIER",AQ82="NX – RT À REFAIRE"),OR('PROGRAMME RT'!$D$5="TOUTES",B82='PROGRAMME RT'!$D$5)),1,0)</f>
        <v>0</v>
      </c>
      <c r="AT82" s="82" t="str">
        <f aca="false">IF(AS82=1,SUM(AS$7:AS82),"")</f>
        <v/>
      </c>
      <c r="AU82" s="82" t="n">
        <f aca="false">IF(AND(OR(AA82="R",AA82="NX",AA82="NT",AA82="CO"),OR('JOINTS DE RÉPARATION'!$D$5="TOUTES",B82='JOINTS DE RÉPARATION'!$D$5),OR('JOINTS DE RÉPARATION'!$L$4="TOUS",AQ82&lt;&gt;"ACCEPTÉ")),1,0)</f>
        <v>0</v>
      </c>
      <c r="AV82" s="82" t="str">
        <f aca="false">IF(AU82=1,SUM(AU$7:AU82),"")</f>
        <v/>
      </c>
      <c r="AW82" s="82" t="str">
        <f aca="false">IF(E82="","",B82&amp;"|"&amp;E82)</f>
        <v>MFD-ISW → MFD-CPF|JN°076</v>
      </c>
    </row>
    <row r="83" customFormat="false" ht="74.6" hidden="false" customHeight="false" outlineLevel="0" collapsed="false">
      <c r="A83" s="79" t="n">
        <f aca="false">IF(E83="","",ROW()-6)</f>
        <v>77</v>
      </c>
      <c r="B83" s="80" t="s">
        <v>110</v>
      </c>
      <c r="C83" s="81"/>
      <c r="D83" s="81"/>
      <c r="E83" s="81" t="s">
        <v>187</v>
      </c>
      <c r="F83" s="82" t="str">
        <f aca="false">IF(E83="","",IF(LEFT(E83,2)="DJ","DJ","JN"))</f>
        <v>JN</v>
      </c>
      <c r="G83" s="81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3"/>
      <c r="V83" s="83"/>
      <c r="W83" s="81"/>
      <c r="X83" s="81"/>
      <c r="Y83" s="83"/>
      <c r="Z83" s="81"/>
      <c r="AA83" s="81"/>
      <c r="AB83" s="81"/>
      <c r="AC83" s="81"/>
      <c r="AD83" s="81"/>
      <c r="AE83" s="83"/>
      <c r="AF83" s="81"/>
      <c r="AG83" s="81"/>
      <c r="AH83" s="81"/>
      <c r="AI83" s="81"/>
      <c r="AJ83" s="83"/>
      <c r="AK83" s="81"/>
      <c r="AL83" s="81"/>
      <c r="AM83" s="83"/>
      <c r="AN83" s="80"/>
      <c r="AO83" s="82" t="n">
        <f aca="false">IF(E83="","",(AA83&lt;&gt;"")+(AG83&lt;&gt;"")+(AL83&lt;&gt;""))</f>
        <v>0</v>
      </c>
      <c r="AP83" s="82" t="str">
        <f aca="false">IF(AL83&lt;&gt;"",AL83,IF(AG83&lt;&gt;"",AG83,IF(AA83&lt;&gt;"",AA83,"")))</f>
        <v/>
      </c>
      <c r="AQ83" s="84" t="str">
        <f aca="false">IF(E83="","",IF(U83="","À SOUDER",IF(X83="","VT EN ATTENTE",IF(X83="R","VT REJETÉ – À REPRENDRE",IF(AP83="","À RADIOGRAPHIER",IF(AP83="A","ACCEPTÉ",IF(AP83="NX","NX – RT À REFAIRE",IF(IF(AO83=1,AD83,IF(AO83=2,AI83,""))="A","RÉPARÉ – À RADIOGRAPHIER",IF(IF(AO83=1,AD83,IF(AO83=2,AI83,""))="R","VT REJETÉ – À REPRENDRE",IF(OR(AP83="CO",AP83="NT"),"COUPE – À RESOUDER","À RÉPARER"))))))))))</f>
        <v>À SOUDER</v>
      </c>
      <c r="AR83" s="82" t="str">
        <f aca="false">IF(AND(ISNUMBER(U83),OR(AQ83="À RADIOGRAPHIER",AQ83="RÉPARÉ – À RADIOGRAPHIER",AQ83="NX – RT À REFAIRE",AQ83="À RÉPARER",AQ83="COUPE – À RESOUDER",AQ83="VT REJETÉ – À REPRENDRE")),MAX(0,'PROGRAMME RT'!$C$4-U83),"")</f>
        <v/>
      </c>
      <c r="AS83" s="82" t="n">
        <f aca="false">IF(AND(OR(AQ83="À RADIOGRAPHIER",AQ83="RÉPARÉ – À RADIOGRAPHIER",AQ83="NX – RT À REFAIRE"),OR('PROGRAMME RT'!$D$5="TOUTES",B83='PROGRAMME RT'!$D$5)),1,0)</f>
        <v>0</v>
      </c>
      <c r="AT83" s="82" t="str">
        <f aca="false">IF(AS83=1,SUM(AS$7:AS83),"")</f>
        <v/>
      </c>
      <c r="AU83" s="82" t="n">
        <f aca="false">IF(AND(OR(AA83="R",AA83="NX",AA83="NT",AA83="CO"),OR('JOINTS DE RÉPARATION'!$D$5="TOUTES",B83='JOINTS DE RÉPARATION'!$D$5),OR('JOINTS DE RÉPARATION'!$L$4="TOUS",AQ83&lt;&gt;"ACCEPTÉ")),1,0)</f>
        <v>0</v>
      </c>
      <c r="AV83" s="82" t="str">
        <f aca="false">IF(AU83=1,SUM(AU$7:AU83),"")</f>
        <v/>
      </c>
      <c r="AW83" s="82" t="str">
        <f aca="false">IF(E83="","",B83&amp;"|"&amp;E83)</f>
        <v>MFD-ISW → MFD-CPF|JN°077</v>
      </c>
    </row>
    <row r="84" customFormat="false" ht="74.6" hidden="false" customHeight="false" outlineLevel="0" collapsed="false">
      <c r="A84" s="79" t="n">
        <f aca="false">IF(E84="","",ROW()-6)</f>
        <v>78</v>
      </c>
      <c r="B84" s="80" t="s">
        <v>110</v>
      </c>
      <c r="C84" s="81"/>
      <c r="D84" s="81"/>
      <c r="E84" s="81" t="s">
        <v>188</v>
      </c>
      <c r="F84" s="82" t="str">
        <f aca="false">IF(E84="","",IF(LEFT(E84,2)="DJ","DJ","JN"))</f>
        <v>JN</v>
      </c>
      <c r="G84" s="81"/>
      <c r="H84" s="81"/>
      <c r="I84" s="81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3"/>
      <c r="V84" s="83"/>
      <c r="W84" s="81"/>
      <c r="X84" s="81"/>
      <c r="Y84" s="83"/>
      <c r="Z84" s="81"/>
      <c r="AA84" s="81"/>
      <c r="AB84" s="81"/>
      <c r="AC84" s="81"/>
      <c r="AD84" s="81"/>
      <c r="AE84" s="83"/>
      <c r="AF84" s="81"/>
      <c r="AG84" s="81"/>
      <c r="AH84" s="81"/>
      <c r="AI84" s="81"/>
      <c r="AJ84" s="83"/>
      <c r="AK84" s="81"/>
      <c r="AL84" s="81"/>
      <c r="AM84" s="83"/>
      <c r="AN84" s="80"/>
      <c r="AO84" s="82" t="n">
        <f aca="false">IF(E84="","",(AA84&lt;&gt;"")+(AG84&lt;&gt;"")+(AL84&lt;&gt;""))</f>
        <v>0</v>
      </c>
      <c r="AP84" s="82" t="str">
        <f aca="false">IF(AL84&lt;&gt;"",AL84,IF(AG84&lt;&gt;"",AG84,IF(AA84&lt;&gt;"",AA84,"")))</f>
        <v/>
      </c>
      <c r="AQ84" s="84" t="str">
        <f aca="false">IF(E84="","",IF(U84="","À SOUDER",IF(X84="","VT EN ATTENTE",IF(X84="R","VT REJETÉ – À REPRENDRE",IF(AP84="","À RADIOGRAPHIER",IF(AP84="A","ACCEPTÉ",IF(AP84="NX","NX – RT À REFAIRE",IF(IF(AO84=1,AD84,IF(AO84=2,AI84,""))="A","RÉPARÉ – À RADIOGRAPHIER",IF(IF(AO84=1,AD84,IF(AO84=2,AI84,""))="R","VT REJETÉ – À REPRENDRE",IF(OR(AP84="CO",AP84="NT"),"COUPE – À RESOUDER","À RÉPARER"))))))))))</f>
        <v>À SOUDER</v>
      </c>
      <c r="AR84" s="82" t="str">
        <f aca="false">IF(AND(ISNUMBER(U84),OR(AQ84="À RADIOGRAPHIER",AQ84="RÉPARÉ – À RADIOGRAPHIER",AQ84="NX – RT À REFAIRE",AQ84="À RÉPARER",AQ84="COUPE – À RESOUDER",AQ84="VT REJETÉ – À REPRENDRE")),MAX(0,'PROGRAMME RT'!$C$4-U84),"")</f>
        <v/>
      </c>
      <c r="AS84" s="82" t="n">
        <f aca="false">IF(AND(OR(AQ84="À RADIOGRAPHIER",AQ84="RÉPARÉ – À RADIOGRAPHIER",AQ84="NX – RT À REFAIRE"),OR('PROGRAMME RT'!$D$5="TOUTES",B84='PROGRAMME RT'!$D$5)),1,0)</f>
        <v>0</v>
      </c>
      <c r="AT84" s="82" t="str">
        <f aca="false">IF(AS84=1,SUM(AS$7:AS84),"")</f>
        <v/>
      </c>
      <c r="AU84" s="82" t="n">
        <f aca="false">IF(AND(OR(AA84="R",AA84="NX",AA84="NT",AA84="CO"),OR('JOINTS DE RÉPARATION'!$D$5="TOUTES",B84='JOINTS DE RÉPARATION'!$D$5),OR('JOINTS DE RÉPARATION'!$L$4="TOUS",AQ84&lt;&gt;"ACCEPTÉ")),1,0)</f>
        <v>0</v>
      </c>
      <c r="AV84" s="82" t="str">
        <f aca="false">IF(AU84=1,SUM(AU$7:AU84),"")</f>
        <v/>
      </c>
      <c r="AW84" s="82" t="str">
        <f aca="false">IF(E84="","",B84&amp;"|"&amp;E84)</f>
        <v>MFD-ISW → MFD-CPF|JN°078</v>
      </c>
    </row>
    <row r="85" customFormat="false" ht="74.6" hidden="false" customHeight="false" outlineLevel="0" collapsed="false">
      <c r="A85" s="79" t="n">
        <f aca="false">IF(E85="","",ROW()-6)</f>
        <v>79</v>
      </c>
      <c r="B85" s="80" t="s">
        <v>110</v>
      </c>
      <c r="C85" s="81"/>
      <c r="D85" s="81"/>
      <c r="E85" s="81" t="s">
        <v>189</v>
      </c>
      <c r="F85" s="82" t="str">
        <f aca="false">IF(E85="","",IF(LEFT(E85,2)="DJ","DJ","JN"))</f>
        <v>JN</v>
      </c>
      <c r="G85" s="81"/>
      <c r="H85" s="81"/>
      <c r="I85" s="81"/>
      <c r="J85" s="81"/>
      <c r="K85" s="81"/>
      <c r="L85" s="81"/>
      <c r="M85" s="81"/>
      <c r="N85" s="81"/>
      <c r="O85" s="81"/>
      <c r="P85" s="81"/>
      <c r="Q85" s="81"/>
      <c r="R85" s="81"/>
      <c r="S85" s="81"/>
      <c r="T85" s="81"/>
      <c r="U85" s="83"/>
      <c r="V85" s="83"/>
      <c r="W85" s="81"/>
      <c r="X85" s="81"/>
      <c r="Y85" s="83"/>
      <c r="Z85" s="81"/>
      <c r="AA85" s="81"/>
      <c r="AB85" s="81"/>
      <c r="AC85" s="81"/>
      <c r="AD85" s="81"/>
      <c r="AE85" s="83"/>
      <c r="AF85" s="81"/>
      <c r="AG85" s="81"/>
      <c r="AH85" s="81"/>
      <c r="AI85" s="81"/>
      <c r="AJ85" s="83"/>
      <c r="AK85" s="81"/>
      <c r="AL85" s="81"/>
      <c r="AM85" s="83"/>
      <c r="AN85" s="80"/>
      <c r="AO85" s="82" t="n">
        <f aca="false">IF(E85="","",(AA85&lt;&gt;"")+(AG85&lt;&gt;"")+(AL85&lt;&gt;""))</f>
        <v>0</v>
      </c>
      <c r="AP85" s="82" t="str">
        <f aca="false">IF(AL85&lt;&gt;"",AL85,IF(AG85&lt;&gt;"",AG85,IF(AA85&lt;&gt;"",AA85,"")))</f>
        <v/>
      </c>
      <c r="AQ85" s="84" t="str">
        <f aca="false">IF(E85="","",IF(U85="","À SOUDER",IF(X85="","VT EN ATTENTE",IF(X85="R","VT REJETÉ – À REPRENDRE",IF(AP85="","À RADIOGRAPHIER",IF(AP85="A","ACCEPTÉ",IF(AP85="NX","NX – RT À REFAIRE",IF(IF(AO85=1,AD85,IF(AO85=2,AI85,""))="A","RÉPARÉ – À RADIOGRAPHIER",IF(IF(AO85=1,AD85,IF(AO85=2,AI85,""))="R","VT REJETÉ – À REPRENDRE",IF(OR(AP85="CO",AP85="NT"),"COUPE – À RESOUDER","À RÉPARER"))))))))))</f>
        <v>À SOUDER</v>
      </c>
      <c r="AR85" s="82" t="str">
        <f aca="false">IF(AND(ISNUMBER(U85),OR(AQ85="À RADIOGRAPHIER",AQ85="RÉPARÉ – À RADIOGRAPHIER",AQ85="NX – RT À REFAIRE",AQ85="À RÉPARER",AQ85="COUPE – À RESOUDER",AQ85="VT REJETÉ – À REPRENDRE")),MAX(0,'PROGRAMME RT'!$C$4-U85),"")</f>
        <v/>
      </c>
      <c r="AS85" s="82" t="n">
        <f aca="false">IF(AND(OR(AQ85="À RADIOGRAPHIER",AQ85="RÉPARÉ – À RADIOGRAPHIER",AQ85="NX – RT À REFAIRE"),OR('PROGRAMME RT'!$D$5="TOUTES",B85='PROGRAMME RT'!$D$5)),1,0)</f>
        <v>0</v>
      </c>
      <c r="AT85" s="82" t="str">
        <f aca="false">IF(AS85=1,SUM(AS$7:AS85),"")</f>
        <v/>
      </c>
      <c r="AU85" s="82" t="n">
        <f aca="false">IF(AND(OR(AA85="R",AA85="NX",AA85="NT",AA85="CO"),OR('JOINTS DE RÉPARATION'!$D$5="TOUTES",B85='JOINTS DE RÉPARATION'!$D$5),OR('JOINTS DE RÉPARATION'!$L$4="TOUS",AQ85&lt;&gt;"ACCEPTÉ")),1,0)</f>
        <v>0</v>
      </c>
      <c r="AV85" s="82" t="str">
        <f aca="false">IF(AU85=1,SUM(AU$7:AU85),"")</f>
        <v/>
      </c>
      <c r="AW85" s="82" t="str">
        <f aca="false">IF(E85="","",B85&amp;"|"&amp;E85)</f>
        <v>MFD-ISW → MFD-CPF|JN°079</v>
      </c>
    </row>
    <row r="86" customFormat="false" ht="74.6" hidden="false" customHeight="false" outlineLevel="0" collapsed="false">
      <c r="A86" s="79" t="n">
        <f aca="false">IF(E86="","",ROW()-6)</f>
        <v>80</v>
      </c>
      <c r="B86" s="80" t="s">
        <v>110</v>
      </c>
      <c r="C86" s="81"/>
      <c r="D86" s="81"/>
      <c r="E86" s="81" t="s">
        <v>190</v>
      </c>
      <c r="F86" s="82" t="str">
        <f aca="false">IF(E86="","",IF(LEFT(E86,2)="DJ","DJ","JN"))</f>
        <v>JN</v>
      </c>
      <c r="G86" s="81"/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81"/>
      <c r="S86" s="81"/>
      <c r="T86" s="81"/>
      <c r="U86" s="83"/>
      <c r="V86" s="83"/>
      <c r="W86" s="81"/>
      <c r="X86" s="81"/>
      <c r="Y86" s="83"/>
      <c r="Z86" s="81"/>
      <c r="AA86" s="81"/>
      <c r="AB86" s="81"/>
      <c r="AC86" s="81"/>
      <c r="AD86" s="81"/>
      <c r="AE86" s="83"/>
      <c r="AF86" s="81"/>
      <c r="AG86" s="81"/>
      <c r="AH86" s="81"/>
      <c r="AI86" s="81"/>
      <c r="AJ86" s="83"/>
      <c r="AK86" s="81"/>
      <c r="AL86" s="81"/>
      <c r="AM86" s="83"/>
      <c r="AN86" s="80"/>
      <c r="AO86" s="82" t="n">
        <f aca="false">IF(E86="","",(AA86&lt;&gt;"")+(AG86&lt;&gt;"")+(AL86&lt;&gt;""))</f>
        <v>0</v>
      </c>
      <c r="AP86" s="82" t="str">
        <f aca="false">IF(AL86&lt;&gt;"",AL86,IF(AG86&lt;&gt;"",AG86,IF(AA86&lt;&gt;"",AA86,"")))</f>
        <v/>
      </c>
      <c r="AQ86" s="84" t="str">
        <f aca="false">IF(E86="","",IF(U86="","À SOUDER",IF(X86="","VT EN ATTENTE",IF(X86="R","VT REJETÉ – À REPRENDRE",IF(AP86="","À RADIOGRAPHIER",IF(AP86="A","ACCEPTÉ",IF(AP86="NX","NX – RT À REFAIRE",IF(IF(AO86=1,AD86,IF(AO86=2,AI86,""))="A","RÉPARÉ – À RADIOGRAPHIER",IF(IF(AO86=1,AD86,IF(AO86=2,AI86,""))="R","VT REJETÉ – À REPRENDRE",IF(OR(AP86="CO",AP86="NT"),"COUPE – À RESOUDER","À RÉPARER"))))))))))</f>
        <v>À SOUDER</v>
      </c>
      <c r="AR86" s="82" t="str">
        <f aca="false">IF(AND(ISNUMBER(U86),OR(AQ86="À RADIOGRAPHIER",AQ86="RÉPARÉ – À RADIOGRAPHIER",AQ86="NX – RT À REFAIRE",AQ86="À RÉPARER",AQ86="COUPE – À RESOUDER",AQ86="VT REJETÉ – À REPRENDRE")),MAX(0,'PROGRAMME RT'!$C$4-U86),"")</f>
        <v/>
      </c>
      <c r="AS86" s="82" t="n">
        <f aca="false">IF(AND(OR(AQ86="À RADIOGRAPHIER",AQ86="RÉPARÉ – À RADIOGRAPHIER",AQ86="NX – RT À REFAIRE"),OR('PROGRAMME RT'!$D$5="TOUTES",B86='PROGRAMME RT'!$D$5)),1,0)</f>
        <v>0</v>
      </c>
      <c r="AT86" s="82" t="str">
        <f aca="false">IF(AS86=1,SUM(AS$7:AS86),"")</f>
        <v/>
      </c>
      <c r="AU86" s="82" t="n">
        <f aca="false">IF(AND(OR(AA86="R",AA86="NX",AA86="NT",AA86="CO"),OR('JOINTS DE RÉPARATION'!$D$5="TOUTES",B86='JOINTS DE RÉPARATION'!$D$5),OR('JOINTS DE RÉPARATION'!$L$4="TOUS",AQ86&lt;&gt;"ACCEPTÉ")),1,0)</f>
        <v>0</v>
      </c>
      <c r="AV86" s="82" t="str">
        <f aca="false">IF(AU86=1,SUM(AU$7:AU86),"")</f>
        <v/>
      </c>
      <c r="AW86" s="82" t="str">
        <f aca="false">IF(E86="","",B86&amp;"|"&amp;E86)</f>
        <v>MFD-ISW → MFD-CPF|JN°080</v>
      </c>
    </row>
    <row r="87" customFormat="false" ht="74.6" hidden="false" customHeight="false" outlineLevel="0" collapsed="false">
      <c r="A87" s="79" t="n">
        <f aca="false">IF(E87="","",ROW()-6)</f>
        <v>81</v>
      </c>
      <c r="B87" s="80" t="s">
        <v>110</v>
      </c>
      <c r="C87" s="81"/>
      <c r="D87" s="81"/>
      <c r="E87" s="81" t="s">
        <v>191</v>
      </c>
      <c r="F87" s="82" t="str">
        <f aca="false">IF(E87="","",IF(LEFT(E87,2)="DJ","DJ","JN"))</f>
        <v>JN</v>
      </c>
      <c r="G87" s="81"/>
      <c r="H87" s="81"/>
      <c r="I87" s="81"/>
      <c r="J87" s="81"/>
      <c r="K87" s="81"/>
      <c r="L87" s="81"/>
      <c r="M87" s="81"/>
      <c r="N87" s="81"/>
      <c r="O87" s="81"/>
      <c r="P87" s="81"/>
      <c r="Q87" s="81"/>
      <c r="R87" s="81"/>
      <c r="S87" s="81"/>
      <c r="T87" s="81"/>
      <c r="U87" s="83"/>
      <c r="V87" s="83"/>
      <c r="W87" s="81"/>
      <c r="X87" s="81"/>
      <c r="Y87" s="83"/>
      <c r="Z87" s="81"/>
      <c r="AA87" s="81"/>
      <c r="AB87" s="81"/>
      <c r="AC87" s="81"/>
      <c r="AD87" s="81"/>
      <c r="AE87" s="83"/>
      <c r="AF87" s="81"/>
      <c r="AG87" s="81"/>
      <c r="AH87" s="81"/>
      <c r="AI87" s="81"/>
      <c r="AJ87" s="83"/>
      <c r="AK87" s="81"/>
      <c r="AL87" s="81"/>
      <c r="AM87" s="83"/>
      <c r="AN87" s="80"/>
      <c r="AO87" s="82" t="n">
        <f aca="false">IF(E87="","",(AA87&lt;&gt;"")+(AG87&lt;&gt;"")+(AL87&lt;&gt;""))</f>
        <v>0</v>
      </c>
      <c r="AP87" s="82" t="str">
        <f aca="false">IF(AL87&lt;&gt;"",AL87,IF(AG87&lt;&gt;"",AG87,IF(AA87&lt;&gt;"",AA87,"")))</f>
        <v/>
      </c>
      <c r="AQ87" s="84" t="str">
        <f aca="false">IF(E87="","",IF(U87="","À SOUDER",IF(X87="","VT EN ATTENTE",IF(X87="R","VT REJETÉ – À REPRENDRE",IF(AP87="","À RADIOGRAPHIER",IF(AP87="A","ACCEPTÉ",IF(AP87="NX","NX – RT À REFAIRE",IF(IF(AO87=1,AD87,IF(AO87=2,AI87,""))="A","RÉPARÉ – À RADIOGRAPHIER",IF(IF(AO87=1,AD87,IF(AO87=2,AI87,""))="R","VT REJETÉ – À REPRENDRE",IF(OR(AP87="CO",AP87="NT"),"COUPE – À RESOUDER","À RÉPARER"))))))))))</f>
        <v>À SOUDER</v>
      </c>
      <c r="AR87" s="82" t="str">
        <f aca="false">IF(AND(ISNUMBER(U87),OR(AQ87="À RADIOGRAPHIER",AQ87="RÉPARÉ – À RADIOGRAPHIER",AQ87="NX – RT À REFAIRE",AQ87="À RÉPARER",AQ87="COUPE – À RESOUDER",AQ87="VT REJETÉ – À REPRENDRE")),MAX(0,'PROGRAMME RT'!$C$4-U87),"")</f>
        <v/>
      </c>
      <c r="AS87" s="82" t="n">
        <f aca="false">IF(AND(OR(AQ87="À RADIOGRAPHIER",AQ87="RÉPARÉ – À RADIOGRAPHIER",AQ87="NX – RT À REFAIRE"),OR('PROGRAMME RT'!$D$5="TOUTES",B87='PROGRAMME RT'!$D$5)),1,0)</f>
        <v>0</v>
      </c>
      <c r="AT87" s="82" t="str">
        <f aca="false">IF(AS87=1,SUM(AS$7:AS87),"")</f>
        <v/>
      </c>
      <c r="AU87" s="82" t="n">
        <f aca="false">IF(AND(OR(AA87="R",AA87="NX",AA87="NT",AA87="CO"),OR('JOINTS DE RÉPARATION'!$D$5="TOUTES",B87='JOINTS DE RÉPARATION'!$D$5),OR('JOINTS DE RÉPARATION'!$L$4="TOUS",AQ87&lt;&gt;"ACCEPTÉ")),1,0)</f>
        <v>0</v>
      </c>
      <c r="AV87" s="82" t="str">
        <f aca="false">IF(AU87=1,SUM(AU$7:AU87),"")</f>
        <v/>
      </c>
      <c r="AW87" s="82" t="str">
        <f aca="false">IF(E87="","",B87&amp;"|"&amp;E87)</f>
        <v>MFD-ISW → MFD-CPF|JN°081</v>
      </c>
    </row>
    <row r="88" customFormat="false" ht="74.6" hidden="false" customHeight="false" outlineLevel="0" collapsed="false">
      <c r="A88" s="79" t="n">
        <f aca="false">IF(E88="","",ROW()-6)</f>
        <v>82</v>
      </c>
      <c r="B88" s="80" t="s">
        <v>110</v>
      </c>
      <c r="C88" s="81"/>
      <c r="D88" s="81"/>
      <c r="E88" s="81" t="s">
        <v>192</v>
      </c>
      <c r="F88" s="82" t="str">
        <f aca="false">IF(E88="","",IF(LEFT(E88,2)="DJ","DJ","JN"))</f>
        <v>JN</v>
      </c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3"/>
      <c r="V88" s="83"/>
      <c r="W88" s="81"/>
      <c r="X88" s="81"/>
      <c r="Y88" s="83"/>
      <c r="Z88" s="81"/>
      <c r="AA88" s="81"/>
      <c r="AB88" s="81"/>
      <c r="AC88" s="81"/>
      <c r="AD88" s="81"/>
      <c r="AE88" s="83"/>
      <c r="AF88" s="81"/>
      <c r="AG88" s="81"/>
      <c r="AH88" s="81"/>
      <c r="AI88" s="81"/>
      <c r="AJ88" s="83"/>
      <c r="AK88" s="81"/>
      <c r="AL88" s="81"/>
      <c r="AM88" s="83"/>
      <c r="AN88" s="80"/>
      <c r="AO88" s="82" t="n">
        <f aca="false">IF(E88="","",(AA88&lt;&gt;"")+(AG88&lt;&gt;"")+(AL88&lt;&gt;""))</f>
        <v>0</v>
      </c>
      <c r="AP88" s="82" t="str">
        <f aca="false">IF(AL88&lt;&gt;"",AL88,IF(AG88&lt;&gt;"",AG88,IF(AA88&lt;&gt;"",AA88,"")))</f>
        <v/>
      </c>
      <c r="AQ88" s="84" t="str">
        <f aca="false">IF(E88="","",IF(U88="","À SOUDER",IF(X88="","VT EN ATTENTE",IF(X88="R","VT REJETÉ – À REPRENDRE",IF(AP88="","À RADIOGRAPHIER",IF(AP88="A","ACCEPTÉ",IF(AP88="NX","NX – RT À REFAIRE",IF(IF(AO88=1,AD88,IF(AO88=2,AI88,""))="A","RÉPARÉ – À RADIOGRAPHIER",IF(IF(AO88=1,AD88,IF(AO88=2,AI88,""))="R","VT REJETÉ – À REPRENDRE",IF(OR(AP88="CO",AP88="NT"),"COUPE – À RESOUDER","À RÉPARER"))))))))))</f>
        <v>À SOUDER</v>
      </c>
      <c r="AR88" s="82" t="str">
        <f aca="false">IF(AND(ISNUMBER(U88),OR(AQ88="À RADIOGRAPHIER",AQ88="RÉPARÉ – À RADIOGRAPHIER",AQ88="NX – RT À REFAIRE",AQ88="À RÉPARER",AQ88="COUPE – À RESOUDER",AQ88="VT REJETÉ – À REPRENDRE")),MAX(0,'PROGRAMME RT'!$C$4-U88),"")</f>
        <v/>
      </c>
      <c r="AS88" s="82" t="n">
        <f aca="false">IF(AND(OR(AQ88="À RADIOGRAPHIER",AQ88="RÉPARÉ – À RADIOGRAPHIER",AQ88="NX – RT À REFAIRE"),OR('PROGRAMME RT'!$D$5="TOUTES",B88='PROGRAMME RT'!$D$5)),1,0)</f>
        <v>0</v>
      </c>
      <c r="AT88" s="82" t="str">
        <f aca="false">IF(AS88=1,SUM(AS$7:AS88),"")</f>
        <v/>
      </c>
      <c r="AU88" s="82" t="n">
        <f aca="false">IF(AND(OR(AA88="R",AA88="NX",AA88="NT",AA88="CO"),OR('JOINTS DE RÉPARATION'!$D$5="TOUTES",B88='JOINTS DE RÉPARATION'!$D$5),OR('JOINTS DE RÉPARATION'!$L$4="TOUS",AQ88&lt;&gt;"ACCEPTÉ")),1,0)</f>
        <v>0</v>
      </c>
      <c r="AV88" s="82" t="str">
        <f aca="false">IF(AU88=1,SUM(AU$7:AU88),"")</f>
        <v/>
      </c>
      <c r="AW88" s="82" t="str">
        <f aca="false">IF(E88="","",B88&amp;"|"&amp;E88)</f>
        <v>MFD-ISW → MFD-CPF|JN°082</v>
      </c>
    </row>
    <row r="89" customFormat="false" ht="74.6" hidden="false" customHeight="false" outlineLevel="0" collapsed="false">
      <c r="A89" s="79" t="n">
        <f aca="false">IF(E89="","",ROW()-6)</f>
        <v>83</v>
      </c>
      <c r="B89" s="80" t="s">
        <v>110</v>
      </c>
      <c r="C89" s="81"/>
      <c r="D89" s="81"/>
      <c r="E89" s="81" t="s">
        <v>193</v>
      </c>
      <c r="F89" s="82" t="str">
        <f aca="false">IF(E89="","",IF(LEFT(E89,2)="DJ","DJ","JN"))</f>
        <v>JN</v>
      </c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3"/>
      <c r="V89" s="83"/>
      <c r="W89" s="81"/>
      <c r="X89" s="81"/>
      <c r="Y89" s="83"/>
      <c r="Z89" s="81"/>
      <c r="AA89" s="81"/>
      <c r="AB89" s="81"/>
      <c r="AC89" s="81"/>
      <c r="AD89" s="81"/>
      <c r="AE89" s="83"/>
      <c r="AF89" s="81"/>
      <c r="AG89" s="81"/>
      <c r="AH89" s="81"/>
      <c r="AI89" s="81"/>
      <c r="AJ89" s="83"/>
      <c r="AK89" s="81"/>
      <c r="AL89" s="81"/>
      <c r="AM89" s="83"/>
      <c r="AN89" s="80"/>
      <c r="AO89" s="82" t="n">
        <f aca="false">IF(E89="","",(AA89&lt;&gt;"")+(AG89&lt;&gt;"")+(AL89&lt;&gt;""))</f>
        <v>0</v>
      </c>
      <c r="AP89" s="82" t="str">
        <f aca="false">IF(AL89&lt;&gt;"",AL89,IF(AG89&lt;&gt;"",AG89,IF(AA89&lt;&gt;"",AA89,"")))</f>
        <v/>
      </c>
      <c r="AQ89" s="84" t="str">
        <f aca="false">IF(E89="","",IF(U89="","À SOUDER",IF(X89="","VT EN ATTENTE",IF(X89="R","VT REJETÉ – À REPRENDRE",IF(AP89="","À RADIOGRAPHIER",IF(AP89="A","ACCEPTÉ",IF(AP89="NX","NX – RT À REFAIRE",IF(IF(AO89=1,AD89,IF(AO89=2,AI89,""))="A","RÉPARÉ – À RADIOGRAPHIER",IF(IF(AO89=1,AD89,IF(AO89=2,AI89,""))="R","VT REJETÉ – À REPRENDRE",IF(OR(AP89="CO",AP89="NT"),"COUPE – À RESOUDER","À RÉPARER"))))))))))</f>
        <v>À SOUDER</v>
      </c>
      <c r="AR89" s="82" t="str">
        <f aca="false">IF(AND(ISNUMBER(U89),OR(AQ89="À RADIOGRAPHIER",AQ89="RÉPARÉ – À RADIOGRAPHIER",AQ89="NX – RT À REFAIRE",AQ89="À RÉPARER",AQ89="COUPE – À RESOUDER",AQ89="VT REJETÉ – À REPRENDRE")),MAX(0,'PROGRAMME RT'!$C$4-U89),"")</f>
        <v/>
      </c>
      <c r="AS89" s="82" t="n">
        <f aca="false">IF(AND(OR(AQ89="À RADIOGRAPHIER",AQ89="RÉPARÉ – À RADIOGRAPHIER",AQ89="NX – RT À REFAIRE"),OR('PROGRAMME RT'!$D$5="TOUTES",B89='PROGRAMME RT'!$D$5)),1,0)</f>
        <v>0</v>
      </c>
      <c r="AT89" s="82" t="str">
        <f aca="false">IF(AS89=1,SUM(AS$7:AS89),"")</f>
        <v/>
      </c>
      <c r="AU89" s="82" t="n">
        <f aca="false">IF(AND(OR(AA89="R",AA89="NX",AA89="NT",AA89="CO"),OR('JOINTS DE RÉPARATION'!$D$5="TOUTES",B89='JOINTS DE RÉPARATION'!$D$5),OR('JOINTS DE RÉPARATION'!$L$4="TOUS",AQ89&lt;&gt;"ACCEPTÉ")),1,0)</f>
        <v>0</v>
      </c>
      <c r="AV89" s="82" t="str">
        <f aca="false">IF(AU89=1,SUM(AU$7:AU89),"")</f>
        <v/>
      </c>
      <c r="AW89" s="82" t="str">
        <f aca="false">IF(E89="","",B89&amp;"|"&amp;E89)</f>
        <v>MFD-ISW → MFD-CPF|JN°083</v>
      </c>
    </row>
    <row r="90" customFormat="false" ht="74.6" hidden="false" customHeight="false" outlineLevel="0" collapsed="false">
      <c r="A90" s="79" t="n">
        <f aca="false">IF(E90="","",ROW()-6)</f>
        <v>84</v>
      </c>
      <c r="B90" s="80" t="s">
        <v>110</v>
      </c>
      <c r="C90" s="81"/>
      <c r="D90" s="81"/>
      <c r="E90" s="81" t="s">
        <v>194</v>
      </c>
      <c r="F90" s="82" t="str">
        <f aca="false">IF(E90="","",IF(LEFT(E90,2)="DJ","DJ","JN"))</f>
        <v>JN</v>
      </c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3"/>
      <c r="V90" s="83"/>
      <c r="W90" s="81"/>
      <c r="X90" s="81"/>
      <c r="Y90" s="83"/>
      <c r="Z90" s="81"/>
      <c r="AA90" s="81"/>
      <c r="AB90" s="81"/>
      <c r="AC90" s="81"/>
      <c r="AD90" s="81"/>
      <c r="AE90" s="83"/>
      <c r="AF90" s="81"/>
      <c r="AG90" s="81"/>
      <c r="AH90" s="81"/>
      <c r="AI90" s="81"/>
      <c r="AJ90" s="83"/>
      <c r="AK90" s="81"/>
      <c r="AL90" s="81"/>
      <c r="AM90" s="83"/>
      <c r="AN90" s="80"/>
      <c r="AO90" s="82" t="n">
        <f aca="false">IF(E90="","",(AA90&lt;&gt;"")+(AG90&lt;&gt;"")+(AL90&lt;&gt;""))</f>
        <v>0</v>
      </c>
      <c r="AP90" s="82" t="str">
        <f aca="false">IF(AL90&lt;&gt;"",AL90,IF(AG90&lt;&gt;"",AG90,IF(AA90&lt;&gt;"",AA90,"")))</f>
        <v/>
      </c>
      <c r="AQ90" s="84" t="str">
        <f aca="false">IF(E90="","",IF(U90="","À SOUDER",IF(X90="","VT EN ATTENTE",IF(X90="R","VT REJETÉ – À REPRENDRE",IF(AP90="","À RADIOGRAPHIER",IF(AP90="A","ACCEPTÉ",IF(AP90="NX","NX – RT À REFAIRE",IF(IF(AO90=1,AD90,IF(AO90=2,AI90,""))="A","RÉPARÉ – À RADIOGRAPHIER",IF(IF(AO90=1,AD90,IF(AO90=2,AI90,""))="R","VT REJETÉ – À REPRENDRE",IF(OR(AP90="CO",AP90="NT"),"COUPE – À RESOUDER","À RÉPARER"))))))))))</f>
        <v>À SOUDER</v>
      </c>
      <c r="AR90" s="82" t="str">
        <f aca="false">IF(AND(ISNUMBER(U90),OR(AQ90="À RADIOGRAPHIER",AQ90="RÉPARÉ – À RADIOGRAPHIER",AQ90="NX – RT À REFAIRE",AQ90="À RÉPARER",AQ90="COUPE – À RESOUDER",AQ90="VT REJETÉ – À REPRENDRE")),MAX(0,'PROGRAMME RT'!$C$4-U90),"")</f>
        <v/>
      </c>
      <c r="AS90" s="82" t="n">
        <f aca="false">IF(AND(OR(AQ90="À RADIOGRAPHIER",AQ90="RÉPARÉ – À RADIOGRAPHIER",AQ90="NX – RT À REFAIRE"),OR('PROGRAMME RT'!$D$5="TOUTES",B90='PROGRAMME RT'!$D$5)),1,0)</f>
        <v>0</v>
      </c>
      <c r="AT90" s="82" t="str">
        <f aca="false">IF(AS90=1,SUM(AS$7:AS90),"")</f>
        <v/>
      </c>
      <c r="AU90" s="82" t="n">
        <f aca="false">IF(AND(OR(AA90="R",AA90="NX",AA90="NT",AA90="CO"),OR('JOINTS DE RÉPARATION'!$D$5="TOUTES",B90='JOINTS DE RÉPARATION'!$D$5),OR('JOINTS DE RÉPARATION'!$L$4="TOUS",AQ90&lt;&gt;"ACCEPTÉ")),1,0)</f>
        <v>0</v>
      </c>
      <c r="AV90" s="82" t="str">
        <f aca="false">IF(AU90=1,SUM(AU$7:AU90),"")</f>
        <v/>
      </c>
      <c r="AW90" s="82" t="str">
        <f aca="false">IF(E90="","",B90&amp;"|"&amp;E90)</f>
        <v>MFD-ISW → MFD-CPF|JN°084</v>
      </c>
    </row>
    <row r="91" customFormat="false" ht="74.6" hidden="false" customHeight="false" outlineLevel="0" collapsed="false">
      <c r="A91" s="79" t="n">
        <f aca="false">IF(E91="","",ROW()-6)</f>
        <v>85</v>
      </c>
      <c r="B91" s="80" t="s">
        <v>110</v>
      </c>
      <c r="C91" s="81"/>
      <c r="D91" s="81"/>
      <c r="E91" s="81" t="s">
        <v>195</v>
      </c>
      <c r="F91" s="82" t="str">
        <f aca="false">IF(E91="","",IF(LEFT(E91,2)="DJ","DJ","JN"))</f>
        <v>JN</v>
      </c>
      <c r="G91" s="81"/>
      <c r="H91" s="81"/>
      <c r="I91" s="81"/>
      <c r="J91" s="81"/>
      <c r="K91" s="81"/>
      <c r="L91" s="81"/>
      <c r="M91" s="81"/>
      <c r="N91" s="81"/>
      <c r="O91" s="81"/>
      <c r="P91" s="81"/>
      <c r="Q91" s="81"/>
      <c r="R91" s="81"/>
      <c r="S91" s="81"/>
      <c r="T91" s="81"/>
      <c r="U91" s="83"/>
      <c r="V91" s="83"/>
      <c r="W91" s="81"/>
      <c r="X91" s="81"/>
      <c r="Y91" s="83"/>
      <c r="Z91" s="81"/>
      <c r="AA91" s="81"/>
      <c r="AB91" s="81"/>
      <c r="AC91" s="81"/>
      <c r="AD91" s="81"/>
      <c r="AE91" s="83"/>
      <c r="AF91" s="81"/>
      <c r="AG91" s="81"/>
      <c r="AH91" s="81"/>
      <c r="AI91" s="81"/>
      <c r="AJ91" s="83"/>
      <c r="AK91" s="81"/>
      <c r="AL91" s="81"/>
      <c r="AM91" s="83"/>
      <c r="AN91" s="80"/>
      <c r="AO91" s="82" t="n">
        <f aca="false">IF(E91="","",(AA91&lt;&gt;"")+(AG91&lt;&gt;"")+(AL91&lt;&gt;""))</f>
        <v>0</v>
      </c>
      <c r="AP91" s="82" t="str">
        <f aca="false">IF(AL91&lt;&gt;"",AL91,IF(AG91&lt;&gt;"",AG91,IF(AA91&lt;&gt;"",AA91,"")))</f>
        <v/>
      </c>
      <c r="AQ91" s="84" t="str">
        <f aca="false">IF(E91="","",IF(U91="","À SOUDER",IF(X91="","VT EN ATTENTE",IF(X91="R","VT REJETÉ – À REPRENDRE",IF(AP91="","À RADIOGRAPHIER",IF(AP91="A","ACCEPTÉ",IF(AP91="NX","NX – RT À REFAIRE",IF(IF(AO91=1,AD91,IF(AO91=2,AI91,""))="A","RÉPARÉ – À RADIOGRAPHIER",IF(IF(AO91=1,AD91,IF(AO91=2,AI91,""))="R","VT REJETÉ – À REPRENDRE",IF(OR(AP91="CO",AP91="NT"),"COUPE – À RESOUDER","À RÉPARER"))))))))))</f>
        <v>À SOUDER</v>
      </c>
      <c r="AR91" s="82" t="str">
        <f aca="false">IF(AND(ISNUMBER(U91),OR(AQ91="À RADIOGRAPHIER",AQ91="RÉPARÉ – À RADIOGRAPHIER",AQ91="NX – RT À REFAIRE",AQ91="À RÉPARER",AQ91="COUPE – À RESOUDER",AQ91="VT REJETÉ – À REPRENDRE")),MAX(0,'PROGRAMME RT'!$C$4-U91),"")</f>
        <v/>
      </c>
      <c r="AS91" s="82" t="n">
        <f aca="false">IF(AND(OR(AQ91="À RADIOGRAPHIER",AQ91="RÉPARÉ – À RADIOGRAPHIER",AQ91="NX – RT À REFAIRE"),OR('PROGRAMME RT'!$D$5="TOUTES",B91='PROGRAMME RT'!$D$5)),1,0)</f>
        <v>0</v>
      </c>
      <c r="AT91" s="82" t="str">
        <f aca="false">IF(AS91=1,SUM(AS$7:AS91),"")</f>
        <v/>
      </c>
      <c r="AU91" s="82" t="n">
        <f aca="false">IF(AND(OR(AA91="R",AA91="NX",AA91="NT",AA91="CO"),OR('JOINTS DE RÉPARATION'!$D$5="TOUTES",B91='JOINTS DE RÉPARATION'!$D$5),OR('JOINTS DE RÉPARATION'!$L$4="TOUS",AQ91&lt;&gt;"ACCEPTÉ")),1,0)</f>
        <v>0</v>
      </c>
      <c r="AV91" s="82" t="str">
        <f aca="false">IF(AU91=1,SUM(AU$7:AU91),"")</f>
        <v/>
      </c>
      <c r="AW91" s="82" t="str">
        <f aca="false">IF(E91="","",B91&amp;"|"&amp;E91)</f>
        <v>MFD-ISW → MFD-CPF|JN°085</v>
      </c>
    </row>
    <row r="92" customFormat="false" ht="74.6" hidden="false" customHeight="false" outlineLevel="0" collapsed="false">
      <c r="A92" s="79" t="n">
        <f aca="false">IF(E92="","",ROW()-6)</f>
        <v>86</v>
      </c>
      <c r="B92" s="80" t="s">
        <v>110</v>
      </c>
      <c r="C92" s="81"/>
      <c r="D92" s="81"/>
      <c r="E92" s="81" t="s">
        <v>196</v>
      </c>
      <c r="F92" s="82" t="str">
        <f aca="false">IF(E92="","",IF(LEFT(E92,2)="DJ","DJ","JN"))</f>
        <v>JN</v>
      </c>
      <c r="G92" s="81"/>
      <c r="H92" s="81"/>
      <c r="I92" s="81"/>
      <c r="J92" s="81"/>
      <c r="K92" s="81"/>
      <c r="L92" s="81"/>
      <c r="M92" s="81"/>
      <c r="N92" s="81"/>
      <c r="O92" s="81"/>
      <c r="P92" s="81"/>
      <c r="Q92" s="81"/>
      <c r="R92" s="81"/>
      <c r="S92" s="81"/>
      <c r="T92" s="81"/>
      <c r="U92" s="83"/>
      <c r="V92" s="83"/>
      <c r="W92" s="81"/>
      <c r="X92" s="81"/>
      <c r="Y92" s="83"/>
      <c r="Z92" s="81"/>
      <c r="AA92" s="81"/>
      <c r="AB92" s="81"/>
      <c r="AC92" s="81"/>
      <c r="AD92" s="81"/>
      <c r="AE92" s="83"/>
      <c r="AF92" s="81"/>
      <c r="AG92" s="81"/>
      <c r="AH92" s="81"/>
      <c r="AI92" s="81"/>
      <c r="AJ92" s="83"/>
      <c r="AK92" s="81"/>
      <c r="AL92" s="81"/>
      <c r="AM92" s="83"/>
      <c r="AN92" s="80"/>
      <c r="AO92" s="82" t="n">
        <f aca="false">IF(E92="","",(AA92&lt;&gt;"")+(AG92&lt;&gt;"")+(AL92&lt;&gt;""))</f>
        <v>0</v>
      </c>
      <c r="AP92" s="82" t="str">
        <f aca="false">IF(AL92&lt;&gt;"",AL92,IF(AG92&lt;&gt;"",AG92,IF(AA92&lt;&gt;"",AA92,"")))</f>
        <v/>
      </c>
      <c r="AQ92" s="84" t="str">
        <f aca="false">IF(E92="","",IF(U92="","À SOUDER",IF(X92="","VT EN ATTENTE",IF(X92="R","VT REJETÉ – À REPRENDRE",IF(AP92="","À RADIOGRAPHIER",IF(AP92="A","ACCEPTÉ",IF(AP92="NX","NX – RT À REFAIRE",IF(IF(AO92=1,AD92,IF(AO92=2,AI92,""))="A","RÉPARÉ – À RADIOGRAPHIER",IF(IF(AO92=1,AD92,IF(AO92=2,AI92,""))="R","VT REJETÉ – À REPRENDRE",IF(OR(AP92="CO",AP92="NT"),"COUPE – À RESOUDER","À RÉPARER"))))))))))</f>
        <v>À SOUDER</v>
      </c>
      <c r="AR92" s="82" t="str">
        <f aca="false">IF(AND(ISNUMBER(U92),OR(AQ92="À RADIOGRAPHIER",AQ92="RÉPARÉ – À RADIOGRAPHIER",AQ92="NX – RT À REFAIRE",AQ92="À RÉPARER",AQ92="COUPE – À RESOUDER",AQ92="VT REJETÉ – À REPRENDRE")),MAX(0,'PROGRAMME RT'!$C$4-U92),"")</f>
        <v/>
      </c>
      <c r="AS92" s="82" t="n">
        <f aca="false">IF(AND(OR(AQ92="À RADIOGRAPHIER",AQ92="RÉPARÉ – À RADIOGRAPHIER",AQ92="NX – RT À REFAIRE"),OR('PROGRAMME RT'!$D$5="TOUTES",B92='PROGRAMME RT'!$D$5)),1,0)</f>
        <v>0</v>
      </c>
      <c r="AT92" s="82" t="str">
        <f aca="false">IF(AS92=1,SUM(AS$7:AS92),"")</f>
        <v/>
      </c>
      <c r="AU92" s="82" t="n">
        <f aca="false">IF(AND(OR(AA92="R",AA92="NX",AA92="NT",AA92="CO"),OR('JOINTS DE RÉPARATION'!$D$5="TOUTES",B92='JOINTS DE RÉPARATION'!$D$5),OR('JOINTS DE RÉPARATION'!$L$4="TOUS",AQ92&lt;&gt;"ACCEPTÉ")),1,0)</f>
        <v>0</v>
      </c>
      <c r="AV92" s="82" t="str">
        <f aca="false">IF(AU92=1,SUM(AU$7:AU92),"")</f>
        <v/>
      </c>
      <c r="AW92" s="82" t="str">
        <f aca="false">IF(E92="","",B92&amp;"|"&amp;E92)</f>
        <v>MFD-ISW → MFD-CPF|JN°086</v>
      </c>
    </row>
    <row r="93" customFormat="false" ht="74.6" hidden="false" customHeight="false" outlineLevel="0" collapsed="false">
      <c r="A93" s="79" t="n">
        <f aca="false">IF(E93="","",ROW()-6)</f>
        <v>87</v>
      </c>
      <c r="B93" s="80" t="s">
        <v>110</v>
      </c>
      <c r="C93" s="81"/>
      <c r="D93" s="81"/>
      <c r="E93" s="81" t="s">
        <v>197</v>
      </c>
      <c r="F93" s="82" t="str">
        <f aca="false">IF(E93="","",IF(LEFT(E93,2)="DJ","DJ","JN"))</f>
        <v>JN</v>
      </c>
      <c r="G93" s="81"/>
      <c r="H93" s="81"/>
      <c r="I93" s="81"/>
      <c r="J93" s="81"/>
      <c r="K93" s="81"/>
      <c r="L93" s="81"/>
      <c r="M93" s="81"/>
      <c r="N93" s="81"/>
      <c r="O93" s="81"/>
      <c r="P93" s="81"/>
      <c r="Q93" s="81"/>
      <c r="R93" s="81"/>
      <c r="S93" s="81"/>
      <c r="T93" s="81"/>
      <c r="U93" s="83"/>
      <c r="V93" s="83"/>
      <c r="W93" s="81"/>
      <c r="X93" s="81"/>
      <c r="Y93" s="83"/>
      <c r="Z93" s="81"/>
      <c r="AA93" s="81"/>
      <c r="AB93" s="81"/>
      <c r="AC93" s="81"/>
      <c r="AD93" s="81"/>
      <c r="AE93" s="83"/>
      <c r="AF93" s="81"/>
      <c r="AG93" s="81"/>
      <c r="AH93" s="81"/>
      <c r="AI93" s="81"/>
      <c r="AJ93" s="83"/>
      <c r="AK93" s="81"/>
      <c r="AL93" s="81"/>
      <c r="AM93" s="83"/>
      <c r="AN93" s="80"/>
      <c r="AO93" s="82" t="n">
        <f aca="false">IF(E93="","",(AA93&lt;&gt;"")+(AG93&lt;&gt;"")+(AL93&lt;&gt;""))</f>
        <v>0</v>
      </c>
      <c r="AP93" s="82" t="str">
        <f aca="false">IF(AL93&lt;&gt;"",AL93,IF(AG93&lt;&gt;"",AG93,IF(AA93&lt;&gt;"",AA93,"")))</f>
        <v/>
      </c>
      <c r="AQ93" s="84" t="str">
        <f aca="false">IF(E93="","",IF(U93="","À SOUDER",IF(X93="","VT EN ATTENTE",IF(X93="R","VT REJETÉ – À REPRENDRE",IF(AP93="","À RADIOGRAPHIER",IF(AP93="A","ACCEPTÉ",IF(AP93="NX","NX – RT À REFAIRE",IF(IF(AO93=1,AD93,IF(AO93=2,AI93,""))="A","RÉPARÉ – À RADIOGRAPHIER",IF(IF(AO93=1,AD93,IF(AO93=2,AI93,""))="R","VT REJETÉ – À REPRENDRE",IF(OR(AP93="CO",AP93="NT"),"COUPE – À RESOUDER","À RÉPARER"))))))))))</f>
        <v>À SOUDER</v>
      </c>
      <c r="AR93" s="82" t="str">
        <f aca="false">IF(AND(ISNUMBER(U93),OR(AQ93="À RADIOGRAPHIER",AQ93="RÉPARÉ – À RADIOGRAPHIER",AQ93="NX – RT À REFAIRE",AQ93="À RÉPARER",AQ93="COUPE – À RESOUDER",AQ93="VT REJETÉ – À REPRENDRE")),MAX(0,'PROGRAMME RT'!$C$4-U93),"")</f>
        <v/>
      </c>
      <c r="AS93" s="82" t="n">
        <f aca="false">IF(AND(OR(AQ93="À RADIOGRAPHIER",AQ93="RÉPARÉ – À RADIOGRAPHIER",AQ93="NX – RT À REFAIRE"),OR('PROGRAMME RT'!$D$5="TOUTES",B93='PROGRAMME RT'!$D$5)),1,0)</f>
        <v>0</v>
      </c>
      <c r="AT93" s="82" t="str">
        <f aca="false">IF(AS93=1,SUM(AS$7:AS93),"")</f>
        <v/>
      </c>
      <c r="AU93" s="82" t="n">
        <f aca="false">IF(AND(OR(AA93="R",AA93="NX",AA93="NT",AA93="CO"),OR('JOINTS DE RÉPARATION'!$D$5="TOUTES",B93='JOINTS DE RÉPARATION'!$D$5),OR('JOINTS DE RÉPARATION'!$L$4="TOUS",AQ93&lt;&gt;"ACCEPTÉ")),1,0)</f>
        <v>0</v>
      </c>
      <c r="AV93" s="82" t="str">
        <f aca="false">IF(AU93=1,SUM(AU$7:AU93),"")</f>
        <v/>
      </c>
      <c r="AW93" s="82" t="str">
        <f aca="false">IF(E93="","",B93&amp;"|"&amp;E93)</f>
        <v>MFD-ISW → MFD-CPF|JN°087</v>
      </c>
    </row>
    <row r="94" customFormat="false" ht="74.6" hidden="false" customHeight="false" outlineLevel="0" collapsed="false">
      <c r="A94" s="79" t="n">
        <f aca="false">IF(E94="","",ROW()-6)</f>
        <v>88</v>
      </c>
      <c r="B94" s="80" t="s">
        <v>110</v>
      </c>
      <c r="C94" s="81"/>
      <c r="D94" s="81"/>
      <c r="E94" s="81" t="s">
        <v>198</v>
      </c>
      <c r="F94" s="82" t="str">
        <f aca="false">IF(E94="","",IF(LEFT(E94,2)="DJ","DJ","JN"))</f>
        <v>JN</v>
      </c>
      <c r="G94" s="81"/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81"/>
      <c r="S94" s="81"/>
      <c r="T94" s="81"/>
      <c r="U94" s="83"/>
      <c r="V94" s="83"/>
      <c r="W94" s="81"/>
      <c r="X94" s="81"/>
      <c r="Y94" s="83"/>
      <c r="Z94" s="81"/>
      <c r="AA94" s="81"/>
      <c r="AB94" s="81"/>
      <c r="AC94" s="81"/>
      <c r="AD94" s="81"/>
      <c r="AE94" s="83"/>
      <c r="AF94" s="81"/>
      <c r="AG94" s="81"/>
      <c r="AH94" s="81"/>
      <c r="AI94" s="81"/>
      <c r="AJ94" s="83"/>
      <c r="AK94" s="81"/>
      <c r="AL94" s="81"/>
      <c r="AM94" s="83"/>
      <c r="AN94" s="80"/>
      <c r="AO94" s="82" t="n">
        <f aca="false">IF(E94="","",(AA94&lt;&gt;"")+(AG94&lt;&gt;"")+(AL94&lt;&gt;""))</f>
        <v>0</v>
      </c>
      <c r="AP94" s="82" t="str">
        <f aca="false">IF(AL94&lt;&gt;"",AL94,IF(AG94&lt;&gt;"",AG94,IF(AA94&lt;&gt;"",AA94,"")))</f>
        <v/>
      </c>
      <c r="AQ94" s="84" t="str">
        <f aca="false">IF(E94="","",IF(U94="","À SOUDER",IF(X94="","VT EN ATTENTE",IF(X94="R","VT REJETÉ – À REPRENDRE",IF(AP94="","À RADIOGRAPHIER",IF(AP94="A","ACCEPTÉ",IF(AP94="NX","NX – RT À REFAIRE",IF(IF(AO94=1,AD94,IF(AO94=2,AI94,""))="A","RÉPARÉ – À RADIOGRAPHIER",IF(IF(AO94=1,AD94,IF(AO94=2,AI94,""))="R","VT REJETÉ – À REPRENDRE",IF(OR(AP94="CO",AP94="NT"),"COUPE – À RESOUDER","À RÉPARER"))))))))))</f>
        <v>À SOUDER</v>
      </c>
      <c r="AR94" s="82" t="str">
        <f aca="false">IF(AND(ISNUMBER(U94),OR(AQ94="À RADIOGRAPHIER",AQ94="RÉPARÉ – À RADIOGRAPHIER",AQ94="NX – RT À REFAIRE",AQ94="À RÉPARER",AQ94="COUPE – À RESOUDER",AQ94="VT REJETÉ – À REPRENDRE")),MAX(0,'PROGRAMME RT'!$C$4-U94),"")</f>
        <v/>
      </c>
      <c r="AS94" s="82" t="n">
        <f aca="false">IF(AND(OR(AQ94="À RADIOGRAPHIER",AQ94="RÉPARÉ – À RADIOGRAPHIER",AQ94="NX – RT À REFAIRE"),OR('PROGRAMME RT'!$D$5="TOUTES",B94='PROGRAMME RT'!$D$5)),1,0)</f>
        <v>0</v>
      </c>
      <c r="AT94" s="82" t="str">
        <f aca="false">IF(AS94=1,SUM(AS$7:AS94),"")</f>
        <v/>
      </c>
      <c r="AU94" s="82" t="n">
        <f aca="false">IF(AND(OR(AA94="R",AA94="NX",AA94="NT",AA94="CO"),OR('JOINTS DE RÉPARATION'!$D$5="TOUTES",B94='JOINTS DE RÉPARATION'!$D$5),OR('JOINTS DE RÉPARATION'!$L$4="TOUS",AQ94&lt;&gt;"ACCEPTÉ")),1,0)</f>
        <v>0</v>
      </c>
      <c r="AV94" s="82" t="str">
        <f aca="false">IF(AU94=1,SUM(AU$7:AU94),"")</f>
        <v/>
      </c>
      <c r="AW94" s="82" t="str">
        <f aca="false">IF(E94="","",B94&amp;"|"&amp;E94)</f>
        <v>MFD-ISW → MFD-CPF|JN°088</v>
      </c>
    </row>
    <row r="95" customFormat="false" ht="74.6" hidden="false" customHeight="false" outlineLevel="0" collapsed="false">
      <c r="A95" s="79" t="n">
        <f aca="false">IF(E95="","",ROW()-6)</f>
        <v>89</v>
      </c>
      <c r="B95" s="80" t="s">
        <v>110</v>
      </c>
      <c r="C95" s="81"/>
      <c r="D95" s="81"/>
      <c r="E95" s="81" t="s">
        <v>199</v>
      </c>
      <c r="F95" s="82" t="str">
        <f aca="false">IF(E95="","",IF(LEFT(E95,2)="DJ","DJ","JN"))</f>
        <v>JN</v>
      </c>
      <c r="G95" s="81"/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81"/>
      <c r="S95" s="81"/>
      <c r="T95" s="81"/>
      <c r="U95" s="83"/>
      <c r="V95" s="83"/>
      <c r="W95" s="81"/>
      <c r="X95" s="81"/>
      <c r="Y95" s="83"/>
      <c r="Z95" s="81"/>
      <c r="AA95" s="81"/>
      <c r="AB95" s="81"/>
      <c r="AC95" s="81"/>
      <c r="AD95" s="81"/>
      <c r="AE95" s="83"/>
      <c r="AF95" s="81"/>
      <c r="AG95" s="81"/>
      <c r="AH95" s="81"/>
      <c r="AI95" s="81"/>
      <c r="AJ95" s="83"/>
      <c r="AK95" s="81"/>
      <c r="AL95" s="81"/>
      <c r="AM95" s="83"/>
      <c r="AN95" s="80"/>
      <c r="AO95" s="82" t="n">
        <f aca="false">IF(E95="","",(AA95&lt;&gt;"")+(AG95&lt;&gt;"")+(AL95&lt;&gt;""))</f>
        <v>0</v>
      </c>
      <c r="AP95" s="82" t="str">
        <f aca="false">IF(AL95&lt;&gt;"",AL95,IF(AG95&lt;&gt;"",AG95,IF(AA95&lt;&gt;"",AA95,"")))</f>
        <v/>
      </c>
      <c r="AQ95" s="84" t="str">
        <f aca="false">IF(E95="","",IF(U95="","À SOUDER",IF(X95="","VT EN ATTENTE",IF(X95="R","VT REJETÉ – À REPRENDRE",IF(AP95="","À RADIOGRAPHIER",IF(AP95="A","ACCEPTÉ",IF(AP95="NX","NX – RT À REFAIRE",IF(IF(AO95=1,AD95,IF(AO95=2,AI95,""))="A","RÉPARÉ – À RADIOGRAPHIER",IF(IF(AO95=1,AD95,IF(AO95=2,AI95,""))="R","VT REJETÉ – À REPRENDRE",IF(OR(AP95="CO",AP95="NT"),"COUPE – À RESOUDER","À RÉPARER"))))))))))</f>
        <v>À SOUDER</v>
      </c>
      <c r="AR95" s="82" t="str">
        <f aca="false">IF(AND(ISNUMBER(U95),OR(AQ95="À RADIOGRAPHIER",AQ95="RÉPARÉ – À RADIOGRAPHIER",AQ95="NX – RT À REFAIRE",AQ95="À RÉPARER",AQ95="COUPE – À RESOUDER",AQ95="VT REJETÉ – À REPRENDRE")),MAX(0,'PROGRAMME RT'!$C$4-U95),"")</f>
        <v/>
      </c>
      <c r="AS95" s="82" t="n">
        <f aca="false">IF(AND(OR(AQ95="À RADIOGRAPHIER",AQ95="RÉPARÉ – À RADIOGRAPHIER",AQ95="NX – RT À REFAIRE"),OR('PROGRAMME RT'!$D$5="TOUTES",B95='PROGRAMME RT'!$D$5)),1,0)</f>
        <v>0</v>
      </c>
      <c r="AT95" s="82" t="str">
        <f aca="false">IF(AS95=1,SUM(AS$7:AS95),"")</f>
        <v/>
      </c>
      <c r="AU95" s="82" t="n">
        <f aca="false">IF(AND(OR(AA95="R",AA95="NX",AA95="NT",AA95="CO"),OR('JOINTS DE RÉPARATION'!$D$5="TOUTES",B95='JOINTS DE RÉPARATION'!$D$5),OR('JOINTS DE RÉPARATION'!$L$4="TOUS",AQ95&lt;&gt;"ACCEPTÉ")),1,0)</f>
        <v>0</v>
      </c>
      <c r="AV95" s="82" t="str">
        <f aca="false">IF(AU95=1,SUM(AU$7:AU95),"")</f>
        <v/>
      </c>
      <c r="AW95" s="82" t="str">
        <f aca="false">IF(E95="","",B95&amp;"|"&amp;E95)</f>
        <v>MFD-ISW → MFD-CPF|JN°089</v>
      </c>
    </row>
    <row r="96" customFormat="false" ht="74.6" hidden="false" customHeight="false" outlineLevel="0" collapsed="false">
      <c r="A96" s="79" t="n">
        <f aca="false">IF(E96="","",ROW()-6)</f>
        <v>90</v>
      </c>
      <c r="B96" s="80" t="s">
        <v>110</v>
      </c>
      <c r="C96" s="81"/>
      <c r="D96" s="81"/>
      <c r="E96" s="81" t="s">
        <v>200</v>
      </c>
      <c r="F96" s="82" t="str">
        <f aca="false">IF(E96="","",IF(LEFT(E96,2)="DJ","DJ","JN"))</f>
        <v>JN</v>
      </c>
      <c r="G96" s="81"/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81"/>
      <c r="S96" s="81"/>
      <c r="T96" s="81"/>
      <c r="U96" s="83"/>
      <c r="V96" s="83"/>
      <c r="W96" s="81"/>
      <c r="X96" s="81"/>
      <c r="Y96" s="83"/>
      <c r="Z96" s="81"/>
      <c r="AA96" s="81"/>
      <c r="AB96" s="81"/>
      <c r="AC96" s="81"/>
      <c r="AD96" s="81"/>
      <c r="AE96" s="83"/>
      <c r="AF96" s="81"/>
      <c r="AG96" s="81"/>
      <c r="AH96" s="81"/>
      <c r="AI96" s="81"/>
      <c r="AJ96" s="83"/>
      <c r="AK96" s="81"/>
      <c r="AL96" s="81"/>
      <c r="AM96" s="83"/>
      <c r="AN96" s="80"/>
      <c r="AO96" s="82" t="n">
        <f aca="false">IF(E96="","",(AA96&lt;&gt;"")+(AG96&lt;&gt;"")+(AL96&lt;&gt;""))</f>
        <v>0</v>
      </c>
      <c r="AP96" s="82" t="str">
        <f aca="false">IF(AL96&lt;&gt;"",AL96,IF(AG96&lt;&gt;"",AG96,IF(AA96&lt;&gt;"",AA96,"")))</f>
        <v/>
      </c>
      <c r="AQ96" s="84" t="str">
        <f aca="false">IF(E96="","",IF(U96="","À SOUDER",IF(X96="","VT EN ATTENTE",IF(X96="R","VT REJETÉ – À REPRENDRE",IF(AP96="","À RADIOGRAPHIER",IF(AP96="A","ACCEPTÉ",IF(AP96="NX","NX – RT À REFAIRE",IF(IF(AO96=1,AD96,IF(AO96=2,AI96,""))="A","RÉPARÉ – À RADIOGRAPHIER",IF(IF(AO96=1,AD96,IF(AO96=2,AI96,""))="R","VT REJETÉ – À REPRENDRE",IF(OR(AP96="CO",AP96="NT"),"COUPE – À RESOUDER","À RÉPARER"))))))))))</f>
        <v>À SOUDER</v>
      </c>
      <c r="AR96" s="82" t="str">
        <f aca="false">IF(AND(ISNUMBER(U96),OR(AQ96="À RADIOGRAPHIER",AQ96="RÉPARÉ – À RADIOGRAPHIER",AQ96="NX – RT À REFAIRE",AQ96="À RÉPARER",AQ96="COUPE – À RESOUDER",AQ96="VT REJETÉ – À REPRENDRE")),MAX(0,'PROGRAMME RT'!$C$4-U96),"")</f>
        <v/>
      </c>
      <c r="AS96" s="82" t="n">
        <f aca="false">IF(AND(OR(AQ96="À RADIOGRAPHIER",AQ96="RÉPARÉ – À RADIOGRAPHIER",AQ96="NX – RT À REFAIRE"),OR('PROGRAMME RT'!$D$5="TOUTES",B96='PROGRAMME RT'!$D$5)),1,0)</f>
        <v>0</v>
      </c>
      <c r="AT96" s="82" t="str">
        <f aca="false">IF(AS96=1,SUM(AS$7:AS96),"")</f>
        <v/>
      </c>
      <c r="AU96" s="82" t="n">
        <f aca="false">IF(AND(OR(AA96="R",AA96="NX",AA96="NT",AA96="CO"),OR('JOINTS DE RÉPARATION'!$D$5="TOUTES",B96='JOINTS DE RÉPARATION'!$D$5),OR('JOINTS DE RÉPARATION'!$L$4="TOUS",AQ96&lt;&gt;"ACCEPTÉ")),1,0)</f>
        <v>0</v>
      </c>
      <c r="AV96" s="82" t="str">
        <f aca="false">IF(AU96=1,SUM(AU$7:AU96),"")</f>
        <v/>
      </c>
      <c r="AW96" s="82" t="str">
        <f aca="false">IF(E96="","",B96&amp;"|"&amp;E96)</f>
        <v>MFD-ISW → MFD-CPF|JN°090</v>
      </c>
    </row>
    <row r="97" customFormat="false" ht="74.6" hidden="false" customHeight="false" outlineLevel="0" collapsed="false">
      <c r="A97" s="79" t="n">
        <f aca="false">IF(E97="","",ROW()-6)</f>
        <v>91</v>
      </c>
      <c r="B97" s="80" t="s">
        <v>110</v>
      </c>
      <c r="C97" s="81"/>
      <c r="D97" s="81"/>
      <c r="E97" s="81" t="s">
        <v>201</v>
      </c>
      <c r="F97" s="82" t="str">
        <f aca="false">IF(E97="","",IF(LEFT(E97,2)="DJ","DJ","JN"))</f>
        <v>JN</v>
      </c>
      <c r="G97" s="81"/>
      <c r="H97" s="81"/>
      <c r="I97" s="81"/>
      <c r="J97" s="81"/>
      <c r="K97" s="81"/>
      <c r="L97" s="81"/>
      <c r="M97" s="81"/>
      <c r="N97" s="81"/>
      <c r="O97" s="81"/>
      <c r="P97" s="81"/>
      <c r="Q97" s="81"/>
      <c r="R97" s="81"/>
      <c r="S97" s="81"/>
      <c r="T97" s="81"/>
      <c r="U97" s="83"/>
      <c r="V97" s="83"/>
      <c r="W97" s="81"/>
      <c r="X97" s="81"/>
      <c r="Y97" s="83"/>
      <c r="Z97" s="81"/>
      <c r="AA97" s="81"/>
      <c r="AB97" s="81"/>
      <c r="AC97" s="81"/>
      <c r="AD97" s="81"/>
      <c r="AE97" s="83"/>
      <c r="AF97" s="81"/>
      <c r="AG97" s="81"/>
      <c r="AH97" s="81"/>
      <c r="AI97" s="81"/>
      <c r="AJ97" s="83"/>
      <c r="AK97" s="81"/>
      <c r="AL97" s="81"/>
      <c r="AM97" s="83"/>
      <c r="AN97" s="80"/>
      <c r="AO97" s="82" t="n">
        <f aca="false">IF(E97="","",(AA97&lt;&gt;"")+(AG97&lt;&gt;"")+(AL97&lt;&gt;""))</f>
        <v>0</v>
      </c>
      <c r="AP97" s="82" t="str">
        <f aca="false">IF(AL97&lt;&gt;"",AL97,IF(AG97&lt;&gt;"",AG97,IF(AA97&lt;&gt;"",AA97,"")))</f>
        <v/>
      </c>
      <c r="AQ97" s="84" t="str">
        <f aca="false">IF(E97="","",IF(U97="","À SOUDER",IF(X97="","VT EN ATTENTE",IF(X97="R","VT REJETÉ – À REPRENDRE",IF(AP97="","À RADIOGRAPHIER",IF(AP97="A","ACCEPTÉ",IF(AP97="NX","NX – RT À REFAIRE",IF(IF(AO97=1,AD97,IF(AO97=2,AI97,""))="A","RÉPARÉ – À RADIOGRAPHIER",IF(IF(AO97=1,AD97,IF(AO97=2,AI97,""))="R","VT REJETÉ – À REPRENDRE",IF(OR(AP97="CO",AP97="NT"),"COUPE – À RESOUDER","À RÉPARER"))))))))))</f>
        <v>À SOUDER</v>
      </c>
      <c r="AR97" s="82" t="str">
        <f aca="false">IF(AND(ISNUMBER(U97),OR(AQ97="À RADIOGRAPHIER",AQ97="RÉPARÉ – À RADIOGRAPHIER",AQ97="NX – RT À REFAIRE",AQ97="À RÉPARER",AQ97="COUPE – À RESOUDER",AQ97="VT REJETÉ – À REPRENDRE")),MAX(0,'PROGRAMME RT'!$C$4-U97),"")</f>
        <v/>
      </c>
      <c r="AS97" s="82" t="n">
        <f aca="false">IF(AND(OR(AQ97="À RADIOGRAPHIER",AQ97="RÉPARÉ – À RADIOGRAPHIER",AQ97="NX – RT À REFAIRE"),OR('PROGRAMME RT'!$D$5="TOUTES",B97='PROGRAMME RT'!$D$5)),1,0)</f>
        <v>0</v>
      </c>
      <c r="AT97" s="82" t="str">
        <f aca="false">IF(AS97=1,SUM(AS$7:AS97),"")</f>
        <v/>
      </c>
      <c r="AU97" s="82" t="n">
        <f aca="false">IF(AND(OR(AA97="R",AA97="NX",AA97="NT",AA97="CO"),OR('JOINTS DE RÉPARATION'!$D$5="TOUTES",B97='JOINTS DE RÉPARATION'!$D$5),OR('JOINTS DE RÉPARATION'!$L$4="TOUS",AQ97&lt;&gt;"ACCEPTÉ")),1,0)</f>
        <v>0</v>
      </c>
      <c r="AV97" s="82" t="str">
        <f aca="false">IF(AU97=1,SUM(AU$7:AU97),"")</f>
        <v/>
      </c>
      <c r="AW97" s="82" t="str">
        <f aca="false">IF(E97="","",B97&amp;"|"&amp;E97)</f>
        <v>MFD-ISW → MFD-CPF|JN°091</v>
      </c>
    </row>
    <row r="98" customFormat="false" ht="74.6" hidden="false" customHeight="false" outlineLevel="0" collapsed="false">
      <c r="A98" s="79" t="n">
        <f aca="false">IF(E98="","",ROW()-6)</f>
        <v>92</v>
      </c>
      <c r="B98" s="80" t="s">
        <v>110</v>
      </c>
      <c r="C98" s="81"/>
      <c r="D98" s="81"/>
      <c r="E98" s="81" t="s">
        <v>202</v>
      </c>
      <c r="F98" s="82" t="str">
        <f aca="false">IF(E98="","",IF(LEFT(E98,2)="DJ","DJ","JN"))</f>
        <v>JN</v>
      </c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1"/>
      <c r="U98" s="83"/>
      <c r="V98" s="83"/>
      <c r="W98" s="81"/>
      <c r="X98" s="81"/>
      <c r="Y98" s="83"/>
      <c r="Z98" s="81"/>
      <c r="AA98" s="81"/>
      <c r="AB98" s="81"/>
      <c r="AC98" s="81"/>
      <c r="AD98" s="81"/>
      <c r="AE98" s="83"/>
      <c r="AF98" s="81"/>
      <c r="AG98" s="81"/>
      <c r="AH98" s="81"/>
      <c r="AI98" s="81"/>
      <c r="AJ98" s="83"/>
      <c r="AK98" s="81"/>
      <c r="AL98" s="81"/>
      <c r="AM98" s="83"/>
      <c r="AN98" s="80"/>
      <c r="AO98" s="82" t="n">
        <f aca="false">IF(E98="","",(AA98&lt;&gt;"")+(AG98&lt;&gt;"")+(AL98&lt;&gt;""))</f>
        <v>0</v>
      </c>
      <c r="AP98" s="82" t="str">
        <f aca="false">IF(AL98&lt;&gt;"",AL98,IF(AG98&lt;&gt;"",AG98,IF(AA98&lt;&gt;"",AA98,"")))</f>
        <v/>
      </c>
      <c r="AQ98" s="84" t="str">
        <f aca="false">IF(E98="","",IF(U98="","À SOUDER",IF(X98="","VT EN ATTENTE",IF(X98="R","VT REJETÉ – À REPRENDRE",IF(AP98="","À RADIOGRAPHIER",IF(AP98="A","ACCEPTÉ",IF(AP98="NX","NX – RT À REFAIRE",IF(IF(AO98=1,AD98,IF(AO98=2,AI98,""))="A","RÉPARÉ – À RADIOGRAPHIER",IF(IF(AO98=1,AD98,IF(AO98=2,AI98,""))="R","VT REJETÉ – À REPRENDRE",IF(OR(AP98="CO",AP98="NT"),"COUPE – À RESOUDER","À RÉPARER"))))))))))</f>
        <v>À SOUDER</v>
      </c>
      <c r="AR98" s="82" t="str">
        <f aca="false">IF(AND(ISNUMBER(U98),OR(AQ98="À RADIOGRAPHIER",AQ98="RÉPARÉ – À RADIOGRAPHIER",AQ98="NX – RT À REFAIRE",AQ98="À RÉPARER",AQ98="COUPE – À RESOUDER",AQ98="VT REJETÉ – À REPRENDRE")),MAX(0,'PROGRAMME RT'!$C$4-U98),"")</f>
        <v/>
      </c>
      <c r="AS98" s="82" t="n">
        <f aca="false">IF(AND(OR(AQ98="À RADIOGRAPHIER",AQ98="RÉPARÉ – À RADIOGRAPHIER",AQ98="NX – RT À REFAIRE"),OR('PROGRAMME RT'!$D$5="TOUTES",B98='PROGRAMME RT'!$D$5)),1,0)</f>
        <v>0</v>
      </c>
      <c r="AT98" s="82" t="str">
        <f aca="false">IF(AS98=1,SUM(AS$7:AS98),"")</f>
        <v/>
      </c>
      <c r="AU98" s="82" t="n">
        <f aca="false">IF(AND(OR(AA98="R",AA98="NX",AA98="NT",AA98="CO"),OR('JOINTS DE RÉPARATION'!$D$5="TOUTES",B98='JOINTS DE RÉPARATION'!$D$5),OR('JOINTS DE RÉPARATION'!$L$4="TOUS",AQ98&lt;&gt;"ACCEPTÉ")),1,0)</f>
        <v>0</v>
      </c>
      <c r="AV98" s="82" t="str">
        <f aca="false">IF(AU98=1,SUM(AU$7:AU98),"")</f>
        <v/>
      </c>
      <c r="AW98" s="82" t="str">
        <f aca="false">IF(E98="","",B98&amp;"|"&amp;E98)</f>
        <v>MFD-ISW → MFD-CPF|JN°092</v>
      </c>
    </row>
    <row r="99" customFormat="false" ht="74.6" hidden="false" customHeight="false" outlineLevel="0" collapsed="false">
      <c r="A99" s="79" t="n">
        <f aca="false">IF(E99="","",ROW()-6)</f>
        <v>93</v>
      </c>
      <c r="B99" s="80" t="s">
        <v>110</v>
      </c>
      <c r="C99" s="81"/>
      <c r="D99" s="81"/>
      <c r="E99" s="81" t="s">
        <v>203</v>
      </c>
      <c r="F99" s="82" t="str">
        <f aca="false">IF(E99="","",IF(LEFT(E99,2)="DJ","DJ","JN"))</f>
        <v>JN</v>
      </c>
      <c r="G99" s="81"/>
      <c r="H99" s="81"/>
      <c r="I99" s="81"/>
      <c r="J99" s="81"/>
      <c r="K99" s="81"/>
      <c r="L99" s="81"/>
      <c r="M99" s="81"/>
      <c r="N99" s="81"/>
      <c r="O99" s="81"/>
      <c r="P99" s="81"/>
      <c r="Q99" s="81"/>
      <c r="R99" s="81"/>
      <c r="S99" s="81"/>
      <c r="T99" s="81"/>
      <c r="U99" s="83"/>
      <c r="V99" s="83"/>
      <c r="W99" s="81"/>
      <c r="X99" s="81"/>
      <c r="Y99" s="83"/>
      <c r="Z99" s="81"/>
      <c r="AA99" s="81"/>
      <c r="AB99" s="81"/>
      <c r="AC99" s="81"/>
      <c r="AD99" s="81"/>
      <c r="AE99" s="83"/>
      <c r="AF99" s="81"/>
      <c r="AG99" s="81"/>
      <c r="AH99" s="81"/>
      <c r="AI99" s="81"/>
      <c r="AJ99" s="83"/>
      <c r="AK99" s="81"/>
      <c r="AL99" s="81"/>
      <c r="AM99" s="83"/>
      <c r="AN99" s="80"/>
      <c r="AO99" s="82" t="n">
        <f aca="false">IF(E99="","",(AA99&lt;&gt;"")+(AG99&lt;&gt;"")+(AL99&lt;&gt;""))</f>
        <v>0</v>
      </c>
      <c r="AP99" s="82" t="str">
        <f aca="false">IF(AL99&lt;&gt;"",AL99,IF(AG99&lt;&gt;"",AG99,IF(AA99&lt;&gt;"",AA99,"")))</f>
        <v/>
      </c>
      <c r="AQ99" s="84" t="str">
        <f aca="false">IF(E99="","",IF(U99="","À SOUDER",IF(X99="","VT EN ATTENTE",IF(X99="R","VT REJETÉ – À REPRENDRE",IF(AP99="","À RADIOGRAPHIER",IF(AP99="A","ACCEPTÉ",IF(AP99="NX","NX – RT À REFAIRE",IF(IF(AO99=1,AD99,IF(AO99=2,AI99,""))="A","RÉPARÉ – À RADIOGRAPHIER",IF(IF(AO99=1,AD99,IF(AO99=2,AI99,""))="R","VT REJETÉ – À REPRENDRE",IF(OR(AP99="CO",AP99="NT"),"COUPE – À RESOUDER","À RÉPARER"))))))))))</f>
        <v>À SOUDER</v>
      </c>
      <c r="AR99" s="82" t="str">
        <f aca="false">IF(AND(ISNUMBER(U99),OR(AQ99="À RADIOGRAPHIER",AQ99="RÉPARÉ – À RADIOGRAPHIER",AQ99="NX – RT À REFAIRE",AQ99="À RÉPARER",AQ99="COUPE – À RESOUDER",AQ99="VT REJETÉ – À REPRENDRE")),MAX(0,'PROGRAMME RT'!$C$4-U99),"")</f>
        <v/>
      </c>
      <c r="AS99" s="82" t="n">
        <f aca="false">IF(AND(OR(AQ99="À RADIOGRAPHIER",AQ99="RÉPARÉ – À RADIOGRAPHIER",AQ99="NX – RT À REFAIRE"),OR('PROGRAMME RT'!$D$5="TOUTES",B99='PROGRAMME RT'!$D$5)),1,0)</f>
        <v>0</v>
      </c>
      <c r="AT99" s="82" t="str">
        <f aca="false">IF(AS99=1,SUM(AS$7:AS99),"")</f>
        <v/>
      </c>
      <c r="AU99" s="82" t="n">
        <f aca="false">IF(AND(OR(AA99="R",AA99="NX",AA99="NT",AA99="CO"),OR('JOINTS DE RÉPARATION'!$D$5="TOUTES",B99='JOINTS DE RÉPARATION'!$D$5),OR('JOINTS DE RÉPARATION'!$L$4="TOUS",AQ99&lt;&gt;"ACCEPTÉ")),1,0)</f>
        <v>0</v>
      </c>
      <c r="AV99" s="82" t="str">
        <f aca="false">IF(AU99=1,SUM(AU$7:AU99),"")</f>
        <v/>
      </c>
      <c r="AW99" s="82" t="str">
        <f aca="false">IF(E99="","",B99&amp;"|"&amp;E99)</f>
        <v>MFD-ISW → MFD-CPF|JN°093</v>
      </c>
    </row>
    <row r="100" customFormat="false" ht="74.6" hidden="false" customHeight="false" outlineLevel="0" collapsed="false">
      <c r="A100" s="79" t="n">
        <f aca="false">IF(E100="","",ROW()-6)</f>
        <v>94</v>
      </c>
      <c r="B100" s="80" t="s">
        <v>110</v>
      </c>
      <c r="C100" s="81"/>
      <c r="D100" s="81"/>
      <c r="E100" s="81" t="s">
        <v>204</v>
      </c>
      <c r="F100" s="82" t="str">
        <f aca="false">IF(E100="","",IF(LEFT(E100,2)="DJ","DJ","JN"))</f>
        <v>JN</v>
      </c>
      <c r="G100" s="81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3"/>
      <c r="V100" s="83"/>
      <c r="W100" s="81"/>
      <c r="X100" s="81"/>
      <c r="Y100" s="83"/>
      <c r="Z100" s="81"/>
      <c r="AA100" s="81"/>
      <c r="AB100" s="81"/>
      <c r="AC100" s="81"/>
      <c r="AD100" s="81"/>
      <c r="AE100" s="83"/>
      <c r="AF100" s="81"/>
      <c r="AG100" s="81"/>
      <c r="AH100" s="81"/>
      <c r="AI100" s="81"/>
      <c r="AJ100" s="83"/>
      <c r="AK100" s="81"/>
      <c r="AL100" s="81"/>
      <c r="AM100" s="83"/>
      <c r="AN100" s="80"/>
      <c r="AO100" s="82" t="n">
        <f aca="false">IF(E100="","",(AA100&lt;&gt;"")+(AG100&lt;&gt;"")+(AL100&lt;&gt;""))</f>
        <v>0</v>
      </c>
      <c r="AP100" s="82" t="str">
        <f aca="false">IF(AL100&lt;&gt;"",AL100,IF(AG100&lt;&gt;"",AG100,IF(AA100&lt;&gt;"",AA100,"")))</f>
        <v/>
      </c>
      <c r="AQ100" s="84" t="str">
        <f aca="false">IF(E100="","",IF(U100="","À SOUDER",IF(X100="","VT EN ATTENTE",IF(X100="R","VT REJETÉ – À REPRENDRE",IF(AP100="","À RADIOGRAPHIER",IF(AP100="A","ACCEPTÉ",IF(AP100="NX","NX – RT À REFAIRE",IF(IF(AO100=1,AD100,IF(AO100=2,AI100,""))="A","RÉPARÉ – À RADIOGRAPHIER",IF(IF(AO100=1,AD100,IF(AO100=2,AI100,""))="R","VT REJETÉ – À REPRENDRE",IF(OR(AP100="CO",AP100="NT"),"COUPE – À RESOUDER","À RÉPARER"))))))))))</f>
        <v>À SOUDER</v>
      </c>
      <c r="AR100" s="82" t="str">
        <f aca="false">IF(AND(ISNUMBER(U100),OR(AQ100="À RADIOGRAPHIER",AQ100="RÉPARÉ – À RADIOGRAPHIER",AQ100="NX – RT À REFAIRE",AQ100="À RÉPARER",AQ100="COUPE – À RESOUDER",AQ100="VT REJETÉ – À REPRENDRE")),MAX(0,'PROGRAMME RT'!$C$4-U100),"")</f>
        <v/>
      </c>
      <c r="AS100" s="82" t="n">
        <f aca="false">IF(AND(OR(AQ100="À RADIOGRAPHIER",AQ100="RÉPARÉ – À RADIOGRAPHIER",AQ100="NX – RT À REFAIRE"),OR('PROGRAMME RT'!$D$5="TOUTES",B100='PROGRAMME RT'!$D$5)),1,0)</f>
        <v>0</v>
      </c>
      <c r="AT100" s="82" t="str">
        <f aca="false">IF(AS100=1,SUM(AS$7:AS100),"")</f>
        <v/>
      </c>
      <c r="AU100" s="82" t="n">
        <f aca="false">IF(AND(OR(AA100="R",AA100="NX",AA100="NT",AA100="CO"),OR('JOINTS DE RÉPARATION'!$D$5="TOUTES",B100='JOINTS DE RÉPARATION'!$D$5),OR('JOINTS DE RÉPARATION'!$L$4="TOUS",AQ100&lt;&gt;"ACCEPTÉ")),1,0)</f>
        <v>0</v>
      </c>
      <c r="AV100" s="82" t="str">
        <f aca="false">IF(AU100=1,SUM(AU$7:AU100),"")</f>
        <v/>
      </c>
      <c r="AW100" s="82" t="str">
        <f aca="false">IF(E100="","",B100&amp;"|"&amp;E100)</f>
        <v>MFD-ISW → MFD-CPF|JN°094</v>
      </c>
    </row>
    <row r="101" customFormat="false" ht="74.6" hidden="false" customHeight="false" outlineLevel="0" collapsed="false">
      <c r="A101" s="79" t="n">
        <f aca="false">IF(E101="","",ROW()-6)</f>
        <v>95</v>
      </c>
      <c r="B101" s="80" t="s">
        <v>110</v>
      </c>
      <c r="C101" s="81"/>
      <c r="D101" s="81"/>
      <c r="E101" s="81" t="s">
        <v>205</v>
      </c>
      <c r="F101" s="82" t="str">
        <f aca="false">IF(E101="","",IF(LEFT(E101,2)="DJ","DJ","JN"))</f>
        <v>JN</v>
      </c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3"/>
      <c r="V101" s="83"/>
      <c r="W101" s="81"/>
      <c r="X101" s="81"/>
      <c r="Y101" s="83"/>
      <c r="Z101" s="81"/>
      <c r="AA101" s="81"/>
      <c r="AB101" s="81"/>
      <c r="AC101" s="81"/>
      <c r="AD101" s="81"/>
      <c r="AE101" s="83"/>
      <c r="AF101" s="81"/>
      <c r="AG101" s="81"/>
      <c r="AH101" s="81"/>
      <c r="AI101" s="81"/>
      <c r="AJ101" s="83"/>
      <c r="AK101" s="81"/>
      <c r="AL101" s="81"/>
      <c r="AM101" s="83"/>
      <c r="AN101" s="80"/>
      <c r="AO101" s="82" t="n">
        <f aca="false">IF(E101="","",(AA101&lt;&gt;"")+(AG101&lt;&gt;"")+(AL101&lt;&gt;""))</f>
        <v>0</v>
      </c>
      <c r="AP101" s="82" t="str">
        <f aca="false">IF(AL101&lt;&gt;"",AL101,IF(AG101&lt;&gt;"",AG101,IF(AA101&lt;&gt;"",AA101,"")))</f>
        <v/>
      </c>
      <c r="AQ101" s="84" t="str">
        <f aca="false">IF(E101="","",IF(U101="","À SOUDER",IF(X101="","VT EN ATTENTE",IF(X101="R","VT REJETÉ – À REPRENDRE",IF(AP101="","À RADIOGRAPHIER",IF(AP101="A","ACCEPTÉ",IF(AP101="NX","NX – RT À REFAIRE",IF(IF(AO101=1,AD101,IF(AO101=2,AI101,""))="A","RÉPARÉ – À RADIOGRAPHIER",IF(IF(AO101=1,AD101,IF(AO101=2,AI101,""))="R","VT REJETÉ – À REPRENDRE",IF(OR(AP101="CO",AP101="NT"),"COUPE – À RESOUDER","À RÉPARER"))))))))))</f>
        <v>À SOUDER</v>
      </c>
      <c r="AR101" s="82" t="str">
        <f aca="false">IF(AND(ISNUMBER(U101),OR(AQ101="À RADIOGRAPHIER",AQ101="RÉPARÉ – À RADIOGRAPHIER",AQ101="NX – RT À REFAIRE",AQ101="À RÉPARER",AQ101="COUPE – À RESOUDER",AQ101="VT REJETÉ – À REPRENDRE")),MAX(0,'PROGRAMME RT'!$C$4-U101),"")</f>
        <v/>
      </c>
      <c r="AS101" s="82" t="n">
        <f aca="false">IF(AND(OR(AQ101="À RADIOGRAPHIER",AQ101="RÉPARÉ – À RADIOGRAPHIER",AQ101="NX – RT À REFAIRE"),OR('PROGRAMME RT'!$D$5="TOUTES",B101='PROGRAMME RT'!$D$5)),1,0)</f>
        <v>0</v>
      </c>
      <c r="AT101" s="82" t="str">
        <f aca="false">IF(AS101=1,SUM(AS$7:AS101),"")</f>
        <v/>
      </c>
      <c r="AU101" s="82" t="n">
        <f aca="false">IF(AND(OR(AA101="R",AA101="NX",AA101="NT",AA101="CO"),OR('JOINTS DE RÉPARATION'!$D$5="TOUTES",B101='JOINTS DE RÉPARATION'!$D$5),OR('JOINTS DE RÉPARATION'!$L$4="TOUS",AQ101&lt;&gt;"ACCEPTÉ")),1,0)</f>
        <v>0</v>
      </c>
      <c r="AV101" s="82" t="str">
        <f aca="false">IF(AU101=1,SUM(AU$7:AU101),"")</f>
        <v/>
      </c>
      <c r="AW101" s="82" t="str">
        <f aca="false">IF(E101="","",B101&amp;"|"&amp;E101)</f>
        <v>MFD-ISW → MFD-CPF|JN°095</v>
      </c>
    </row>
    <row r="102" customFormat="false" ht="74.6" hidden="false" customHeight="false" outlineLevel="0" collapsed="false">
      <c r="A102" s="79" t="n">
        <f aca="false">IF(E102="","",ROW()-6)</f>
        <v>96</v>
      </c>
      <c r="B102" s="80" t="s">
        <v>110</v>
      </c>
      <c r="C102" s="81"/>
      <c r="D102" s="81"/>
      <c r="E102" s="81" t="s">
        <v>206</v>
      </c>
      <c r="F102" s="82" t="str">
        <f aca="false">IF(E102="","",IF(LEFT(E102,2)="DJ","DJ","JN"))</f>
        <v>JN</v>
      </c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3"/>
      <c r="V102" s="83"/>
      <c r="W102" s="81"/>
      <c r="X102" s="81"/>
      <c r="Y102" s="83"/>
      <c r="Z102" s="81"/>
      <c r="AA102" s="81"/>
      <c r="AB102" s="81"/>
      <c r="AC102" s="81"/>
      <c r="AD102" s="81"/>
      <c r="AE102" s="83"/>
      <c r="AF102" s="81"/>
      <c r="AG102" s="81"/>
      <c r="AH102" s="81"/>
      <c r="AI102" s="81"/>
      <c r="AJ102" s="83"/>
      <c r="AK102" s="81"/>
      <c r="AL102" s="81"/>
      <c r="AM102" s="83"/>
      <c r="AN102" s="80"/>
      <c r="AO102" s="82" t="n">
        <f aca="false">IF(E102="","",(AA102&lt;&gt;"")+(AG102&lt;&gt;"")+(AL102&lt;&gt;""))</f>
        <v>0</v>
      </c>
      <c r="AP102" s="82" t="str">
        <f aca="false">IF(AL102&lt;&gt;"",AL102,IF(AG102&lt;&gt;"",AG102,IF(AA102&lt;&gt;"",AA102,"")))</f>
        <v/>
      </c>
      <c r="AQ102" s="84" t="str">
        <f aca="false">IF(E102="","",IF(U102="","À SOUDER",IF(X102="","VT EN ATTENTE",IF(X102="R","VT REJETÉ – À REPRENDRE",IF(AP102="","À RADIOGRAPHIER",IF(AP102="A","ACCEPTÉ",IF(AP102="NX","NX – RT À REFAIRE",IF(IF(AO102=1,AD102,IF(AO102=2,AI102,""))="A","RÉPARÉ – À RADIOGRAPHIER",IF(IF(AO102=1,AD102,IF(AO102=2,AI102,""))="R","VT REJETÉ – À REPRENDRE",IF(OR(AP102="CO",AP102="NT"),"COUPE – À RESOUDER","À RÉPARER"))))))))))</f>
        <v>À SOUDER</v>
      </c>
      <c r="AR102" s="82" t="str">
        <f aca="false">IF(AND(ISNUMBER(U102),OR(AQ102="À RADIOGRAPHIER",AQ102="RÉPARÉ – À RADIOGRAPHIER",AQ102="NX – RT À REFAIRE",AQ102="À RÉPARER",AQ102="COUPE – À RESOUDER",AQ102="VT REJETÉ – À REPRENDRE")),MAX(0,'PROGRAMME RT'!$C$4-U102),"")</f>
        <v/>
      </c>
      <c r="AS102" s="82" t="n">
        <f aca="false">IF(AND(OR(AQ102="À RADIOGRAPHIER",AQ102="RÉPARÉ – À RADIOGRAPHIER",AQ102="NX – RT À REFAIRE"),OR('PROGRAMME RT'!$D$5="TOUTES",B102='PROGRAMME RT'!$D$5)),1,0)</f>
        <v>0</v>
      </c>
      <c r="AT102" s="82" t="str">
        <f aca="false">IF(AS102=1,SUM(AS$7:AS102),"")</f>
        <v/>
      </c>
      <c r="AU102" s="82" t="n">
        <f aca="false">IF(AND(OR(AA102="R",AA102="NX",AA102="NT",AA102="CO"),OR('JOINTS DE RÉPARATION'!$D$5="TOUTES",B102='JOINTS DE RÉPARATION'!$D$5),OR('JOINTS DE RÉPARATION'!$L$4="TOUS",AQ102&lt;&gt;"ACCEPTÉ")),1,0)</f>
        <v>0</v>
      </c>
      <c r="AV102" s="82" t="str">
        <f aca="false">IF(AU102=1,SUM(AU$7:AU102),"")</f>
        <v/>
      </c>
      <c r="AW102" s="82" t="str">
        <f aca="false">IF(E102="","",B102&amp;"|"&amp;E102)</f>
        <v>MFD-ISW → MFD-CPF|JN°096</v>
      </c>
    </row>
    <row r="103" customFormat="false" ht="74.6" hidden="false" customHeight="false" outlineLevel="0" collapsed="false">
      <c r="A103" s="79" t="n">
        <f aca="false">IF(E103="","",ROW()-6)</f>
        <v>97</v>
      </c>
      <c r="B103" s="80" t="s">
        <v>110</v>
      </c>
      <c r="C103" s="81"/>
      <c r="D103" s="81"/>
      <c r="E103" s="81" t="s">
        <v>207</v>
      </c>
      <c r="F103" s="82" t="str">
        <f aca="false">IF(E103="","",IF(LEFT(E103,2)="DJ","DJ","JN"))</f>
        <v>JN</v>
      </c>
      <c r="G103" s="81"/>
      <c r="H103" s="81"/>
      <c r="I103" s="81"/>
      <c r="J103" s="81"/>
      <c r="K103" s="81"/>
      <c r="L103" s="81"/>
      <c r="M103" s="81"/>
      <c r="N103" s="81"/>
      <c r="O103" s="81"/>
      <c r="P103" s="81"/>
      <c r="Q103" s="81"/>
      <c r="R103" s="81"/>
      <c r="S103" s="81"/>
      <c r="T103" s="81"/>
      <c r="U103" s="83"/>
      <c r="V103" s="83"/>
      <c r="W103" s="81"/>
      <c r="X103" s="81"/>
      <c r="Y103" s="83"/>
      <c r="Z103" s="81"/>
      <c r="AA103" s="81"/>
      <c r="AB103" s="81"/>
      <c r="AC103" s="81"/>
      <c r="AD103" s="81"/>
      <c r="AE103" s="83"/>
      <c r="AF103" s="81"/>
      <c r="AG103" s="81"/>
      <c r="AH103" s="81"/>
      <c r="AI103" s="81"/>
      <c r="AJ103" s="83"/>
      <c r="AK103" s="81"/>
      <c r="AL103" s="81"/>
      <c r="AM103" s="83"/>
      <c r="AN103" s="80"/>
      <c r="AO103" s="82" t="n">
        <f aca="false">IF(E103="","",(AA103&lt;&gt;"")+(AG103&lt;&gt;"")+(AL103&lt;&gt;""))</f>
        <v>0</v>
      </c>
      <c r="AP103" s="82" t="str">
        <f aca="false">IF(AL103&lt;&gt;"",AL103,IF(AG103&lt;&gt;"",AG103,IF(AA103&lt;&gt;"",AA103,"")))</f>
        <v/>
      </c>
      <c r="AQ103" s="84" t="str">
        <f aca="false">IF(E103="","",IF(U103="","À SOUDER",IF(X103="","VT EN ATTENTE",IF(X103="R","VT REJETÉ – À REPRENDRE",IF(AP103="","À RADIOGRAPHIER",IF(AP103="A","ACCEPTÉ",IF(AP103="NX","NX – RT À REFAIRE",IF(IF(AO103=1,AD103,IF(AO103=2,AI103,""))="A","RÉPARÉ – À RADIOGRAPHIER",IF(IF(AO103=1,AD103,IF(AO103=2,AI103,""))="R","VT REJETÉ – À REPRENDRE",IF(OR(AP103="CO",AP103="NT"),"COUPE – À RESOUDER","À RÉPARER"))))))))))</f>
        <v>À SOUDER</v>
      </c>
      <c r="AR103" s="82" t="str">
        <f aca="false">IF(AND(ISNUMBER(U103),OR(AQ103="À RADIOGRAPHIER",AQ103="RÉPARÉ – À RADIOGRAPHIER",AQ103="NX – RT À REFAIRE",AQ103="À RÉPARER",AQ103="COUPE – À RESOUDER",AQ103="VT REJETÉ – À REPRENDRE")),MAX(0,'PROGRAMME RT'!$C$4-U103),"")</f>
        <v/>
      </c>
      <c r="AS103" s="82" t="n">
        <f aca="false">IF(AND(OR(AQ103="À RADIOGRAPHIER",AQ103="RÉPARÉ – À RADIOGRAPHIER",AQ103="NX – RT À REFAIRE"),OR('PROGRAMME RT'!$D$5="TOUTES",B103='PROGRAMME RT'!$D$5)),1,0)</f>
        <v>0</v>
      </c>
      <c r="AT103" s="82" t="str">
        <f aca="false">IF(AS103=1,SUM(AS$7:AS103),"")</f>
        <v/>
      </c>
      <c r="AU103" s="82" t="n">
        <f aca="false">IF(AND(OR(AA103="R",AA103="NX",AA103="NT",AA103="CO"),OR('JOINTS DE RÉPARATION'!$D$5="TOUTES",B103='JOINTS DE RÉPARATION'!$D$5),OR('JOINTS DE RÉPARATION'!$L$4="TOUS",AQ103&lt;&gt;"ACCEPTÉ")),1,0)</f>
        <v>0</v>
      </c>
      <c r="AV103" s="82" t="str">
        <f aca="false">IF(AU103=1,SUM(AU$7:AU103),"")</f>
        <v/>
      </c>
      <c r="AW103" s="82" t="str">
        <f aca="false">IF(E103="","",B103&amp;"|"&amp;E103)</f>
        <v>MFD-ISW → MFD-CPF|JN°097</v>
      </c>
    </row>
    <row r="104" customFormat="false" ht="74.6" hidden="false" customHeight="false" outlineLevel="0" collapsed="false">
      <c r="A104" s="79" t="n">
        <f aca="false">IF(E104="","",ROW()-6)</f>
        <v>98</v>
      </c>
      <c r="B104" s="80" t="s">
        <v>110</v>
      </c>
      <c r="C104" s="81"/>
      <c r="D104" s="81"/>
      <c r="E104" s="81" t="s">
        <v>208</v>
      </c>
      <c r="F104" s="82" t="str">
        <f aca="false">IF(E104="","",IF(LEFT(E104,2)="DJ","DJ","JN"))</f>
        <v>JN</v>
      </c>
      <c r="G104" s="81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3"/>
      <c r="V104" s="83"/>
      <c r="W104" s="81"/>
      <c r="X104" s="81"/>
      <c r="Y104" s="83"/>
      <c r="Z104" s="81"/>
      <c r="AA104" s="81"/>
      <c r="AB104" s="81"/>
      <c r="AC104" s="81"/>
      <c r="AD104" s="81"/>
      <c r="AE104" s="83"/>
      <c r="AF104" s="81"/>
      <c r="AG104" s="81"/>
      <c r="AH104" s="81"/>
      <c r="AI104" s="81"/>
      <c r="AJ104" s="83"/>
      <c r="AK104" s="81"/>
      <c r="AL104" s="81"/>
      <c r="AM104" s="83"/>
      <c r="AN104" s="80"/>
      <c r="AO104" s="82" t="n">
        <f aca="false">IF(E104="","",(AA104&lt;&gt;"")+(AG104&lt;&gt;"")+(AL104&lt;&gt;""))</f>
        <v>0</v>
      </c>
      <c r="AP104" s="82" t="str">
        <f aca="false">IF(AL104&lt;&gt;"",AL104,IF(AG104&lt;&gt;"",AG104,IF(AA104&lt;&gt;"",AA104,"")))</f>
        <v/>
      </c>
      <c r="AQ104" s="84" t="str">
        <f aca="false">IF(E104="","",IF(U104="","À SOUDER",IF(X104="","VT EN ATTENTE",IF(X104="R","VT REJETÉ – À REPRENDRE",IF(AP104="","À RADIOGRAPHIER",IF(AP104="A","ACCEPTÉ",IF(AP104="NX","NX – RT À REFAIRE",IF(IF(AO104=1,AD104,IF(AO104=2,AI104,""))="A","RÉPARÉ – À RADIOGRAPHIER",IF(IF(AO104=1,AD104,IF(AO104=2,AI104,""))="R","VT REJETÉ – À REPRENDRE",IF(OR(AP104="CO",AP104="NT"),"COUPE – À RESOUDER","À RÉPARER"))))))))))</f>
        <v>À SOUDER</v>
      </c>
      <c r="AR104" s="82" t="str">
        <f aca="false">IF(AND(ISNUMBER(U104),OR(AQ104="À RADIOGRAPHIER",AQ104="RÉPARÉ – À RADIOGRAPHIER",AQ104="NX – RT À REFAIRE",AQ104="À RÉPARER",AQ104="COUPE – À RESOUDER",AQ104="VT REJETÉ – À REPRENDRE")),MAX(0,'PROGRAMME RT'!$C$4-U104),"")</f>
        <v/>
      </c>
      <c r="AS104" s="82" t="n">
        <f aca="false">IF(AND(OR(AQ104="À RADIOGRAPHIER",AQ104="RÉPARÉ – À RADIOGRAPHIER",AQ104="NX – RT À REFAIRE"),OR('PROGRAMME RT'!$D$5="TOUTES",B104='PROGRAMME RT'!$D$5)),1,0)</f>
        <v>0</v>
      </c>
      <c r="AT104" s="82" t="str">
        <f aca="false">IF(AS104=1,SUM(AS$7:AS104),"")</f>
        <v/>
      </c>
      <c r="AU104" s="82" t="n">
        <f aca="false">IF(AND(OR(AA104="R",AA104="NX",AA104="NT",AA104="CO"),OR('JOINTS DE RÉPARATION'!$D$5="TOUTES",B104='JOINTS DE RÉPARATION'!$D$5),OR('JOINTS DE RÉPARATION'!$L$4="TOUS",AQ104&lt;&gt;"ACCEPTÉ")),1,0)</f>
        <v>0</v>
      </c>
      <c r="AV104" s="82" t="str">
        <f aca="false">IF(AU104=1,SUM(AU$7:AU104),"")</f>
        <v/>
      </c>
      <c r="AW104" s="82" t="str">
        <f aca="false">IF(E104="","",B104&amp;"|"&amp;E104)</f>
        <v>MFD-ISW → MFD-CPF|JN°098</v>
      </c>
    </row>
    <row r="105" customFormat="false" ht="74.6" hidden="false" customHeight="false" outlineLevel="0" collapsed="false">
      <c r="A105" s="79" t="n">
        <f aca="false">IF(E105="","",ROW()-6)</f>
        <v>99</v>
      </c>
      <c r="B105" s="80" t="s">
        <v>110</v>
      </c>
      <c r="C105" s="81"/>
      <c r="D105" s="81"/>
      <c r="E105" s="81" t="s">
        <v>209</v>
      </c>
      <c r="F105" s="82" t="str">
        <f aca="false">IF(E105="","",IF(LEFT(E105,2)="DJ","DJ","JN"))</f>
        <v>JN</v>
      </c>
      <c r="G105" s="81"/>
      <c r="H105" s="81"/>
      <c r="I105" s="81"/>
      <c r="J105" s="81"/>
      <c r="K105" s="81"/>
      <c r="L105" s="81"/>
      <c r="M105" s="81"/>
      <c r="N105" s="81"/>
      <c r="O105" s="81"/>
      <c r="P105" s="81"/>
      <c r="Q105" s="81"/>
      <c r="R105" s="81"/>
      <c r="S105" s="81"/>
      <c r="T105" s="81"/>
      <c r="U105" s="83"/>
      <c r="V105" s="83"/>
      <c r="W105" s="81"/>
      <c r="X105" s="81"/>
      <c r="Y105" s="83"/>
      <c r="Z105" s="81"/>
      <c r="AA105" s="81"/>
      <c r="AB105" s="81"/>
      <c r="AC105" s="81"/>
      <c r="AD105" s="81"/>
      <c r="AE105" s="83"/>
      <c r="AF105" s="81"/>
      <c r="AG105" s="81"/>
      <c r="AH105" s="81"/>
      <c r="AI105" s="81"/>
      <c r="AJ105" s="83"/>
      <c r="AK105" s="81"/>
      <c r="AL105" s="81"/>
      <c r="AM105" s="83"/>
      <c r="AN105" s="80"/>
      <c r="AO105" s="82" t="n">
        <f aca="false">IF(E105="","",(AA105&lt;&gt;"")+(AG105&lt;&gt;"")+(AL105&lt;&gt;""))</f>
        <v>0</v>
      </c>
      <c r="AP105" s="82" t="str">
        <f aca="false">IF(AL105&lt;&gt;"",AL105,IF(AG105&lt;&gt;"",AG105,IF(AA105&lt;&gt;"",AA105,"")))</f>
        <v/>
      </c>
      <c r="AQ105" s="84" t="str">
        <f aca="false">IF(E105="","",IF(U105="","À SOUDER",IF(X105="","VT EN ATTENTE",IF(X105="R","VT REJETÉ – À REPRENDRE",IF(AP105="","À RADIOGRAPHIER",IF(AP105="A","ACCEPTÉ",IF(AP105="NX","NX – RT À REFAIRE",IF(IF(AO105=1,AD105,IF(AO105=2,AI105,""))="A","RÉPARÉ – À RADIOGRAPHIER",IF(IF(AO105=1,AD105,IF(AO105=2,AI105,""))="R","VT REJETÉ – À REPRENDRE",IF(OR(AP105="CO",AP105="NT"),"COUPE – À RESOUDER","À RÉPARER"))))))))))</f>
        <v>À SOUDER</v>
      </c>
      <c r="AR105" s="82" t="str">
        <f aca="false">IF(AND(ISNUMBER(U105),OR(AQ105="À RADIOGRAPHIER",AQ105="RÉPARÉ – À RADIOGRAPHIER",AQ105="NX – RT À REFAIRE",AQ105="À RÉPARER",AQ105="COUPE – À RESOUDER",AQ105="VT REJETÉ – À REPRENDRE")),MAX(0,'PROGRAMME RT'!$C$4-U105),"")</f>
        <v/>
      </c>
      <c r="AS105" s="82" t="n">
        <f aca="false">IF(AND(OR(AQ105="À RADIOGRAPHIER",AQ105="RÉPARÉ – À RADIOGRAPHIER",AQ105="NX – RT À REFAIRE"),OR('PROGRAMME RT'!$D$5="TOUTES",B105='PROGRAMME RT'!$D$5)),1,0)</f>
        <v>0</v>
      </c>
      <c r="AT105" s="82" t="str">
        <f aca="false">IF(AS105=1,SUM(AS$7:AS105),"")</f>
        <v/>
      </c>
      <c r="AU105" s="82" t="n">
        <f aca="false">IF(AND(OR(AA105="R",AA105="NX",AA105="NT",AA105="CO"),OR('JOINTS DE RÉPARATION'!$D$5="TOUTES",B105='JOINTS DE RÉPARATION'!$D$5),OR('JOINTS DE RÉPARATION'!$L$4="TOUS",AQ105&lt;&gt;"ACCEPTÉ")),1,0)</f>
        <v>0</v>
      </c>
      <c r="AV105" s="82" t="str">
        <f aca="false">IF(AU105=1,SUM(AU$7:AU105),"")</f>
        <v/>
      </c>
      <c r="AW105" s="82" t="str">
        <f aca="false">IF(E105="","",B105&amp;"|"&amp;E105)</f>
        <v>MFD-ISW → MFD-CPF|JN°099</v>
      </c>
    </row>
    <row r="106" customFormat="false" ht="74.6" hidden="false" customHeight="false" outlineLevel="0" collapsed="false">
      <c r="A106" s="79" t="n">
        <f aca="false">IF(E106="","",ROW()-6)</f>
        <v>100</v>
      </c>
      <c r="B106" s="80" t="s">
        <v>110</v>
      </c>
      <c r="C106" s="81"/>
      <c r="D106" s="81"/>
      <c r="E106" s="81" t="s">
        <v>210</v>
      </c>
      <c r="F106" s="82" t="str">
        <f aca="false">IF(E106="","",IF(LEFT(E106,2)="DJ","DJ","JN"))</f>
        <v>JN</v>
      </c>
      <c r="G106" s="81"/>
      <c r="H106" s="81"/>
      <c r="I106" s="81"/>
      <c r="J106" s="81"/>
      <c r="K106" s="81"/>
      <c r="L106" s="81"/>
      <c r="M106" s="81"/>
      <c r="N106" s="81"/>
      <c r="O106" s="81"/>
      <c r="P106" s="81"/>
      <c r="Q106" s="81"/>
      <c r="R106" s="81"/>
      <c r="S106" s="81"/>
      <c r="T106" s="81"/>
      <c r="U106" s="83"/>
      <c r="V106" s="83"/>
      <c r="W106" s="81"/>
      <c r="X106" s="81"/>
      <c r="Y106" s="83"/>
      <c r="Z106" s="81"/>
      <c r="AA106" s="81"/>
      <c r="AB106" s="81"/>
      <c r="AC106" s="81"/>
      <c r="AD106" s="81"/>
      <c r="AE106" s="83"/>
      <c r="AF106" s="81"/>
      <c r="AG106" s="81"/>
      <c r="AH106" s="81"/>
      <c r="AI106" s="81"/>
      <c r="AJ106" s="83"/>
      <c r="AK106" s="81"/>
      <c r="AL106" s="81"/>
      <c r="AM106" s="83"/>
      <c r="AN106" s="80"/>
      <c r="AO106" s="82" t="n">
        <f aca="false">IF(E106="","",(AA106&lt;&gt;"")+(AG106&lt;&gt;"")+(AL106&lt;&gt;""))</f>
        <v>0</v>
      </c>
      <c r="AP106" s="82" t="str">
        <f aca="false">IF(AL106&lt;&gt;"",AL106,IF(AG106&lt;&gt;"",AG106,IF(AA106&lt;&gt;"",AA106,"")))</f>
        <v/>
      </c>
      <c r="AQ106" s="84" t="str">
        <f aca="false">IF(E106="","",IF(U106="","À SOUDER",IF(X106="","VT EN ATTENTE",IF(X106="R","VT REJETÉ – À REPRENDRE",IF(AP106="","À RADIOGRAPHIER",IF(AP106="A","ACCEPTÉ",IF(AP106="NX","NX – RT À REFAIRE",IF(IF(AO106=1,AD106,IF(AO106=2,AI106,""))="A","RÉPARÉ – À RADIOGRAPHIER",IF(IF(AO106=1,AD106,IF(AO106=2,AI106,""))="R","VT REJETÉ – À REPRENDRE",IF(OR(AP106="CO",AP106="NT"),"COUPE – À RESOUDER","À RÉPARER"))))))))))</f>
        <v>À SOUDER</v>
      </c>
      <c r="AR106" s="82" t="str">
        <f aca="false">IF(AND(ISNUMBER(U106),OR(AQ106="À RADIOGRAPHIER",AQ106="RÉPARÉ – À RADIOGRAPHIER",AQ106="NX – RT À REFAIRE",AQ106="À RÉPARER",AQ106="COUPE – À RESOUDER",AQ106="VT REJETÉ – À REPRENDRE")),MAX(0,'PROGRAMME RT'!$C$4-U106),"")</f>
        <v/>
      </c>
      <c r="AS106" s="82" t="n">
        <f aca="false">IF(AND(OR(AQ106="À RADIOGRAPHIER",AQ106="RÉPARÉ – À RADIOGRAPHIER",AQ106="NX – RT À REFAIRE"),OR('PROGRAMME RT'!$D$5="TOUTES",B106='PROGRAMME RT'!$D$5)),1,0)</f>
        <v>0</v>
      </c>
      <c r="AT106" s="82" t="str">
        <f aca="false">IF(AS106=1,SUM(AS$7:AS106),"")</f>
        <v/>
      </c>
      <c r="AU106" s="82" t="n">
        <f aca="false">IF(AND(OR(AA106="R",AA106="NX",AA106="NT",AA106="CO"),OR('JOINTS DE RÉPARATION'!$D$5="TOUTES",B106='JOINTS DE RÉPARATION'!$D$5),OR('JOINTS DE RÉPARATION'!$L$4="TOUS",AQ106&lt;&gt;"ACCEPTÉ")),1,0)</f>
        <v>0</v>
      </c>
      <c r="AV106" s="82" t="str">
        <f aca="false">IF(AU106=1,SUM(AU$7:AU106),"")</f>
        <v/>
      </c>
      <c r="AW106" s="82" t="str">
        <f aca="false">IF(E106="","",B106&amp;"|"&amp;E106)</f>
        <v>MFD-ISW → MFD-CPF|JN°100</v>
      </c>
    </row>
    <row r="107" customFormat="false" ht="74.6" hidden="false" customHeight="false" outlineLevel="0" collapsed="false">
      <c r="A107" s="79" t="n">
        <f aca="false">IF(E107="","",ROW()-6)</f>
        <v>101</v>
      </c>
      <c r="B107" s="80" t="s">
        <v>110</v>
      </c>
      <c r="C107" s="81"/>
      <c r="D107" s="81"/>
      <c r="E107" s="81" t="s">
        <v>211</v>
      </c>
      <c r="F107" s="82" t="str">
        <f aca="false">IF(E107="","",IF(LEFT(E107,2)="DJ","DJ","JN"))</f>
        <v>JN</v>
      </c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3"/>
      <c r="V107" s="83"/>
      <c r="W107" s="81"/>
      <c r="X107" s="81"/>
      <c r="Y107" s="83"/>
      <c r="Z107" s="81"/>
      <c r="AA107" s="81"/>
      <c r="AB107" s="81"/>
      <c r="AC107" s="81"/>
      <c r="AD107" s="81"/>
      <c r="AE107" s="83"/>
      <c r="AF107" s="81"/>
      <c r="AG107" s="81"/>
      <c r="AH107" s="81"/>
      <c r="AI107" s="81"/>
      <c r="AJ107" s="83"/>
      <c r="AK107" s="81"/>
      <c r="AL107" s="81"/>
      <c r="AM107" s="83"/>
      <c r="AN107" s="80"/>
      <c r="AO107" s="82" t="n">
        <f aca="false">IF(E107="","",(AA107&lt;&gt;"")+(AG107&lt;&gt;"")+(AL107&lt;&gt;""))</f>
        <v>0</v>
      </c>
      <c r="AP107" s="82" t="str">
        <f aca="false">IF(AL107&lt;&gt;"",AL107,IF(AG107&lt;&gt;"",AG107,IF(AA107&lt;&gt;"",AA107,"")))</f>
        <v/>
      </c>
      <c r="AQ107" s="84" t="str">
        <f aca="false">IF(E107="","",IF(U107="","À SOUDER",IF(X107="","VT EN ATTENTE",IF(X107="R","VT REJETÉ – À REPRENDRE",IF(AP107="","À RADIOGRAPHIER",IF(AP107="A","ACCEPTÉ",IF(AP107="NX","NX – RT À REFAIRE",IF(IF(AO107=1,AD107,IF(AO107=2,AI107,""))="A","RÉPARÉ – À RADIOGRAPHIER",IF(IF(AO107=1,AD107,IF(AO107=2,AI107,""))="R","VT REJETÉ – À REPRENDRE",IF(OR(AP107="CO",AP107="NT"),"COUPE – À RESOUDER","À RÉPARER"))))))))))</f>
        <v>À SOUDER</v>
      </c>
      <c r="AR107" s="82" t="str">
        <f aca="false">IF(AND(ISNUMBER(U107),OR(AQ107="À RADIOGRAPHIER",AQ107="RÉPARÉ – À RADIOGRAPHIER",AQ107="NX – RT À REFAIRE",AQ107="À RÉPARER",AQ107="COUPE – À RESOUDER",AQ107="VT REJETÉ – À REPRENDRE")),MAX(0,'PROGRAMME RT'!$C$4-U107),"")</f>
        <v/>
      </c>
      <c r="AS107" s="82" t="n">
        <f aca="false">IF(AND(OR(AQ107="À RADIOGRAPHIER",AQ107="RÉPARÉ – À RADIOGRAPHIER",AQ107="NX – RT À REFAIRE"),OR('PROGRAMME RT'!$D$5="TOUTES",B107='PROGRAMME RT'!$D$5)),1,0)</f>
        <v>0</v>
      </c>
      <c r="AT107" s="82" t="str">
        <f aca="false">IF(AS107=1,SUM(AS$7:AS107),"")</f>
        <v/>
      </c>
      <c r="AU107" s="82" t="n">
        <f aca="false">IF(AND(OR(AA107="R",AA107="NX",AA107="NT",AA107="CO"),OR('JOINTS DE RÉPARATION'!$D$5="TOUTES",B107='JOINTS DE RÉPARATION'!$D$5),OR('JOINTS DE RÉPARATION'!$L$4="TOUS",AQ107&lt;&gt;"ACCEPTÉ")),1,0)</f>
        <v>0</v>
      </c>
      <c r="AV107" s="82" t="str">
        <f aca="false">IF(AU107=1,SUM(AU$7:AU107),"")</f>
        <v/>
      </c>
      <c r="AW107" s="82" t="str">
        <f aca="false">IF(E107="","",B107&amp;"|"&amp;E107)</f>
        <v>MFD-ISW → MFD-CPF|JN°101</v>
      </c>
    </row>
    <row r="108" customFormat="false" ht="74.6" hidden="false" customHeight="false" outlineLevel="0" collapsed="false">
      <c r="A108" s="79" t="n">
        <f aca="false">IF(E108="","",ROW()-6)</f>
        <v>102</v>
      </c>
      <c r="B108" s="80" t="s">
        <v>110</v>
      </c>
      <c r="C108" s="81"/>
      <c r="D108" s="81"/>
      <c r="E108" s="81" t="s">
        <v>212</v>
      </c>
      <c r="F108" s="82" t="str">
        <f aca="false">IF(E108="","",IF(LEFT(E108,2)="DJ","DJ","JN"))</f>
        <v>JN</v>
      </c>
      <c r="G108" s="81"/>
      <c r="H108" s="81"/>
      <c r="I108" s="81"/>
      <c r="J108" s="81"/>
      <c r="K108" s="81"/>
      <c r="L108" s="81"/>
      <c r="M108" s="81"/>
      <c r="N108" s="81"/>
      <c r="O108" s="81"/>
      <c r="P108" s="81"/>
      <c r="Q108" s="81"/>
      <c r="R108" s="81"/>
      <c r="S108" s="81"/>
      <c r="T108" s="81"/>
      <c r="U108" s="83"/>
      <c r="V108" s="83"/>
      <c r="W108" s="81"/>
      <c r="X108" s="81"/>
      <c r="Y108" s="83"/>
      <c r="Z108" s="81"/>
      <c r="AA108" s="81"/>
      <c r="AB108" s="81"/>
      <c r="AC108" s="81"/>
      <c r="AD108" s="81"/>
      <c r="AE108" s="83"/>
      <c r="AF108" s="81"/>
      <c r="AG108" s="81"/>
      <c r="AH108" s="81"/>
      <c r="AI108" s="81"/>
      <c r="AJ108" s="83"/>
      <c r="AK108" s="81"/>
      <c r="AL108" s="81"/>
      <c r="AM108" s="83"/>
      <c r="AN108" s="80"/>
      <c r="AO108" s="82" t="n">
        <f aca="false">IF(E108="","",(AA108&lt;&gt;"")+(AG108&lt;&gt;"")+(AL108&lt;&gt;""))</f>
        <v>0</v>
      </c>
      <c r="AP108" s="82" t="str">
        <f aca="false">IF(AL108&lt;&gt;"",AL108,IF(AG108&lt;&gt;"",AG108,IF(AA108&lt;&gt;"",AA108,"")))</f>
        <v/>
      </c>
      <c r="AQ108" s="84" t="str">
        <f aca="false">IF(E108="","",IF(U108="","À SOUDER",IF(X108="","VT EN ATTENTE",IF(X108="R","VT REJETÉ – À REPRENDRE",IF(AP108="","À RADIOGRAPHIER",IF(AP108="A","ACCEPTÉ",IF(AP108="NX","NX – RT À REFAIRE",IF(IF(AO108=1,AD108,IF(AO108=2,AI108,""))="A","RÉPARÉ – À RADIOGRAPHIER",IF(IF(AO108=1,AD108,IF(AO108=2,AI108,""))="R","VT REJETÉ – À REPRENDRE",IF(OR(AP108="CO",AP108="NT"),"COUPE – À RESOUDER","À RÉPARER"))))))))))</f>
        <v>À SOUDER</v>
      </c>
      <c r="AR108" s="82" t="str">
        <f aca="false">IF(AND(ISNUMBER(U108),OR(AQ108="À RADIOGRAPHIER",AQ108="RÉPARÉ – À RADIOGRAPHIER",AQ108="NX – RT À REFAIRE",AQ108="À RÉPARER",AQ108="COUPE – À RESOUDER",AQ108="VT REJETÉ – À REPRENDRE")),MAX(0,'PROGRAMME RT'!$C$4-U108),"")</f>
        <v/>
      </c>
      <c r="AS108" s="82" t="n">
        <f aca="false">IF(AND(OR(AQ108="À RADIOGRAPHIER",AQ108="RÉPARÉ – À RADIOGRAPHIER",AQ108="NX – RT À REFAIRE"),OR('PROGRAMME RT'!$D$5="TOUTES",B108='PROGRAMME RT'!$D$5)),1,0)</f>
        <v>0</v>
      </c>
      <c r="AT108" s="82" t="str">
        <f aca="false">IF(AS108=1,SUM(AS$7:AS108),"")</f>
        <v/>
      </c>
      <c r="AU108" s="82" t="n">
        <f aca="false">IF(AND(OR(AA108="R",AA108="NX",AA108="NT",AA108="CO"),OR('JOINTS DE RÉPARATION'!$D$5="TOUTES",B108='JOINTS DE RÉPARATION'!$D$5),OR('JOINTS DE RÉPARATION'!$L$4="TOUS",AQ108&lt;&gt;"ACCEPTÉ")),1,0)</f>
        <v>0</v>
      </c>
      <c r="AV108" s="82" t="str">
        <f aca="false">IF(AU108=1,SUM(AU$7:AU108),"")</f>
        <v/>
      </c>
      <c r="AW108" s="82" t="str">
        <f aca="false">IF(E108="","",B108&amp;"|"&amp;E108)</f>
        <v>MFD-ISW → MFD-CPF|JN°102</v>
      </c>
    </row>
    <row r="109" customFormat="false" ht="74.6" hidden="false" customHeight="false" outlineLevel="0" collapsed="false">
      <c r="A109" s="79" t="n">
        <f aca="false">IF(E109="","",ROW()-6)</f>
        <v>103</v>
      </c>
      <c r="B109" s="80" t="s">
        <v>110</v>
      </c>
      <c r="C109" s="81"/>
      <c r="D109" s="81"/>
      <c r="E109" s="81" t="s">
        <v>213</v>
      </c>
      <c r="F109" s="82" t="str">
        <f aca="false">IF(E109="","",IF(LEFT(E109,2)="DJ","DJ","JN"))</f>
        <v>JN</v>
      </c>
      <c r="G109" s="81"/>
      <c r="H109" s="81"/>
      <c r="I109" s="81"/>
      <c r="J109" s="81"/>
      <c r="K109" s="81"/>
      <c r="L109" s="81"/>
      <c r="M109" s="81"/>
      <c r="N109" s="81"/>
      <c r="O109" s="81"/>
      <c r="P109" s="81"/>
      <c r="Q109" s="81"/>
      <c r="R109" s="81"/>
      <c r="S109" s="81"/>
      <c r="T109" s="81"/>
      <c r="U109" s="83"/>
      <c r="V109" s="83"/>
      <c r="W109" s="81"/>
      <c r="X109" s="81"/>
      <c r="Y109" s="83"/>
      <c r="Z109" s="81"/>
      <c r="AA109" s="81"/>
      <c r="AB109" s="81"/>
      <c r="AC109" s="81"/>
      <c r="AD109" s="81"/>
      <c r="AE109" s="83"/>
      <c r="AF109" s="81"/>
      <c r="AG109" s="81"/>
      <c r="AH109" s="81"/>
      <c r="AI109" s="81"/>
      <c r="AJ109" s="83"/>
      <c r="AK109" s="81"/>
      <c r="AL109" s="81"/>
      <c r="AM109" s="83"/>
      <c r="AN109" s="80"/>
      <c r="AO109" s="82" t="n">
        <f aca="false">IF(E109="","",(AA109&lt;&gt;"")+(AG109&lt;&gt;"")+(AL109&lt;&gt;""))</f>
        <v>0</v>
      </c>
      <c r="AP109" s="82" t="str">
        <f aca="false">IF(AL109&lt;&gt;"",AL109,IF(AG109&lt;&gt;"",AG109,IF(AA109&lt;&gt;"",AA109,"")))</f>
        <v/>
      </c>
      <c r="AQ109" s="84" t="str">
        <f aca="false">IF(E109="","",IF(U109="","À SOUDER",IF(X109="","VT EN ATTENTE",IF(X109="R","VT REJETÉ – À REPRENDRE",IF(AP109="","À RADIOGRAPHIER",IF(AP109="A","ACCEPTÉ",IF(AP109="NX","NX – RT À REFAIRE",IF(IF(AO109=1,AD109,IF(AO109=2,AI109,""))="A","RÉPARÉ – À RADIOGRAPHIER",IF(IF(AO109=1,AD109,IF(AO109=2,AI109,""))="R","VT REJETÉ – À REPRENDRE",IF(OR(AP109="CO",AP109="NT"),"COUPE – À RESOUDER","À RÉPARER"))))))))))</f>
        <v>À SOUDER</v>
      </c>
      <c r="AR109" s="82" t="str">
        <f aca="false">IF(AND(ISNUMBER(U109),OR(AQ109="À RADIOGRAPHIER",AQ109="RÉPARÉ – À RADIOGRAPHIER",AQ109="NX – RT À REFAIRE",AQ109="À RÉPARER",AQ109="COUPE – À RESOUDER",AQ109="VT REJETÉ – À REPRENDRE")),MAX(0,'PROGRAMME RT'!$C$4-U109),"")</f>
        <v/>
      </c>
      <c r="AS109" s="82" t="n">
        <f aca="false">IF(AND(OR(AQ109="À RADIOGRAPHIER",AQ109="RÉPARÉ – À RADIOGRAPHIER",AQ109="NX – RT À REFAIRE"),OR('PROGRAMME RT'!$D$5="TOUTES",B109='PROGRAMME RT'!$D$5)),1,0)</f>
        <v>0</v>
      </c>
      <c r="AT109" s="82" t="str">
        <f aca="false">IF(AS109=1,SUM(AS$7:AS109),"")</f>
        <v/>
      </c>
      <c r="AU109" s="82" t="n">
        <f aca="false">IF(AND(OR(AA109="R",AA109="NX",AA109="NT",AA109="CO"),OR('JOINTS DE RÉPARATION'!$D$5="TOUTES",B109='JOINTS DE RÉPARATION'!$D$5),OR('JOINTS DE RÉPARATION'!$L$4="TOUS",AQ109&lt;&gt;"ACCEPTÉ")),1,0)</f>
        <v>0</v>
      </c>
      <c r="AV109" s="82" t="str">
        <f aca="false">IF(AU109=1,SUM(AU$7:AU109),"")</f>
        <v/>
      </c>
      <c r="AW109" s="82" t="str">
        <f aca="false">IF(E109="","",B109&amp;"|"&amp;E109)</f>
        <v>MFD-ISW → MFD-CPF|JN°103</v>
      </c>
    </row>
    <row r="110" customFormat="false" ht="74.6" hidden="false" customHeight="false" outlineLevel="0" collapsed="false">
      <c r="A110" s="79" t="n">
        <f aca="false">IF(E110="","",ROW()-6)</f>
        <v>104</v>
      </c>
      <c r="B110" s="80" t="s">
        <v>110</v>
      </c>
      <c r="C110" s="81"/>
      <c r="D110" s="81"/>
      <c r="E110" s="81" t="s">
        <v>214</v>
      </c>
      <c r="F110" s="82" t="str">
        <f aca="false">IF(E110="","",IF(LEFT(E110,2)="DJ","DJ","JN"))</f>
        <v>JN</v>
      </c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  <c r="S110" s="81"/>
      <c r="T110" s="81"/>
      <c r="U110" s="83"/>
      <c r="V110" s="83"/>
      <c r="W110" s="81"/>
      <c r="X110" s="81"/>
      <c r="Y110" s="83"/>
      <c r="Z110" s="81"/>
      <c r="AA110" s="81"/>
      <c r="AB110" s="81"/>
      <c r="AC110" s="81"/>
      <c r="AD110" s="81"/>
      <c r="AE110" s="83"/>
      <c r="AF110" s="81"/>
      <c r="AG110" s="81"/>
      <c r="AH110" s="81"/>
      <c r="AI110" s="81"/>
      <c r="AJ110" s="83"/>
      <c r="AK110" s="81"/>
      <c r="AL110" s="81"/>
      <c r="AM110" s="83"/>
      <c r="AN110" s="80"/>
      <c r="AO110" s="82" t="n">
        <f aca="false">IF(E110="","",(AA110&lt;&gt;"")+(AG110&lt;&gt;"")+(AL110&lt;&gt;""))</f>
        <v>0</v>
      </c>
      <c r="AP110" s="82" t="str">
        <f aca="false">IF(AL110&lt;&gt;"",AL110,IF(AG110&lt;&gt;"",AG110,IF(AA110&lt;&gt;"",AA110,"")))</f>
        <v/>
      </c>
      <c r="AQ110" s="84" t="str">
        <f aca="false">IF(E110="","",IF(U110="","À SOUDER",IF(X110="","VT EN ATTENTE",IF(X110="R","VT REJETÉ – À REPRENDRE",IF(AP110="","À RADIOGRAPHIER",IF(AP110="A","ACCEPTÉ",IF(AP110="NX","NX – RT À REFAIRE",IF(IF(AO110=1,AD110,IF(AO110=2,AI110,""))="A","RÉPARÉ – À RADIOGRAPHIER",IF(IF(AO110=1,AD110,IF(AO110=2,AI110,""))="R","VT REJETÉ – À REPRENDRE",IF(OR(AP110="CO",AP110="NT"),"COUPE – À RESOUDER","À RÉPARER"))))))))))</f>
        <v>À SOUDER</v>
      </c>
      <c r="AR110" s="82" t="str">
        <f aca="false">IF(AND(ISNUMBER(U110),OR(AQ110="À RADIOGRAPHIER",AQ110="RÉPARÉ – À RADIOGRAPHIER",AQ110="NX – RT À REFAIRE",AQ110="À RÉPARER",AQ110="COUPE – À RESOUDER",AQ110="VT REJETÉ – À REPRENDRE")),MAX(0,'PROGRAMME RT'!$C$4-U110),"")</f>
        <v/>
      </c>
      <c r="AS110" s="82" t="n">
        <f aca="false">IF(AND(OR(AQ110="À RADIOGRAPHIER",AQ110="RÉPARÉ – À RADIOGRAPHIER",AQ110="NX – RT À REFAIRE"),OR('PROGRAMME RT'!$D$5="TOUTES",B110='PROGRAMME RT'!$D$5)),1,0)</f>
        <v>0</v>
      </c>
      <c r="AT110" s="82" t="str">
        <f aca="false">IF(AS110=1,SUM(AS$7:AS110),"")</f>
        <v/>
      </c>
      <c r="AU110" s="82" t="n">
        <f aca="false">IF(AND(OR(AA110="R",AA110="NX",AA110="NT",AA110="CO"),OR('JOINTS DE RÉPARATION'!$D$5="TOUTES",B110='JOINTS DE RÉPARATION'!$D$5),OR('JOINTS DE RÉPARATION'!$L$4="TOUS",AQ110&lt;&gt;"ACCEPTÉ")),1,0)</f>
        <v>0</v>
      </c>
      <c r="AV110" s="82" t="str">
        <f aca="false">IF(AU110=1,SUM(AU$7:AU110),"")</f>
        <v/>
      </c>
      <c r="AW110" s="82" t="str">
        <f aca="false">IF(E110="","",B110&amp;"|"&amp;E110)</f>
        <v>MFD-ISW → MFD-CPF|JN°104</v>
      </c>
    </row>
    <row r="111" customFormat="false" ht="74.6" hidden="false" customHeight="false" outlineLevel="0" collapsed="false">
      <c r="A111" s="79" t="n">
        <f aca="false">IF(E111="","",ROW()-6)</f>
        <v>105</v>
      </c>
      <c r="B111" s="80" t="s">
        <v>110</v>
      </c>
      <c r="C111" s="81"/>
      <c r="D111" s="81"/>
      <c r="E111" s="81" t="s">
        <v>215</v>
      </c>
      <c r="F111" s="82" t="str">
        <f aca="false">IF(E111="","",IF(LEFT(E111,2)="DJ","DJ","JN"))</f>
        <v>JN</v>
      </c>
      <c r="G111" s="81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S111" s="81"/>
      <c r="T111" s="81"/>
      <c r="U111" s="83"/>
      <c r="V111" s="83"/>
      <c r="W111" s="81"/>
      <c r="X111" s="81"/>
      <c r="Y111" s="83"/>
      <c r="Z111" s="81"/>
      <c r="AA111" s="81"/>
      <c r="AB111" s="81"/>
      <c r="AC111" s="81"/>
      <c r="AD111" s="81"/>
      <c r="AE111" s="83"/>
      <c r="AF111" s="81"/>
      <c r="AG111" s="81"/>
      <c r="AH111" s="81"/>
      <c r="AI111" s="81"/>
      <c r="AJ111" s="83"/>
      <c r="AK111" s="81"/>
      <c r="AL111" s="81"/>
      <c r="AM111" s="83"/>
      <c r="AN111" s="80"/>
      <c r="AO111" s="82" t="n">
        <f aca="false">IF(E111="","",(AA111&lt;&gt;"")+(AG111&lt;&gt;"")+(AL111&lt;&gt;""))</f>
        <v>0</v>
      </c>
      <c r="AP111" s="82" t="str">
        <f aca="false">IF(AL111&lt;&gt;"",AL111,IF(AG111&lt;&gt;"",AG111,IF(AA111&lt;&gt;"",AA111,"")))</f>
        <v/>
      </c>
      <c r="AQ111" s="84" t="str">
        <f aca="false">IF(E111="","",IF(U111="","À SOUDER",IF(X111="","VT EN ATTENTE",IF(X111="R","VT REJETÉ – À REPRENDRE",IF(AP111="","À RADIOGRAPHIER",IF(AP111="A","ACCEPTÉ",IF(AP111="NX","NX – RT À REFAIRE",IF(IF(AO111=1,AD111,IF(AO111=2,AI111,""))="A","RÉPARÉ – À RADIOGRAPHIER",IF(IF(AO111=1,AD111,IF(AO111=2,AI111,""))="R","VT REJETÉ – À REPRENDRE",IF(OR(AP111="CO",AP111="NT"),"COUPE – À RESOUDER","À RÉPARER"))))))))))</f>
        <v>À SOUDER</v>
      </c>
      <c r="AR111" s="82" t="str">
        <f aca="false">IF(AND(ISNUMBER(U111),OR(AQ111="À RADIOGRAPHIER",AQ111="RÉPARÉ – À RADIOGRAPHIER",AQ111="NX – RT À REFAIRE",AQ111="À RÉPARER",AQ111="COUPE – À RESOUDER",AQ111="VT REJETÉ – À REPRENDRE")),MAX(0,'PROGRAMME RT'!$C$4-U111),"")</f>
        <v/>
      </c>
      <c r="AS111" s="82" t="n">
        <f aca="false">IF(AND(OR(AQ111="À RADIOGRAPHIER",AQ111="RÉPARÉ – À RADIOGRAPHIER",AQ111="NX – RT À REFAIRE"),OR('PROGRAMME RT'!$D$5="TOUTES",B111='PROGRAMME RT'!$D$5)),1,0)</f>
        <v>0</v>
      </c>
      <c r="AT111" s="82" t="str">
        <f aca="false">IF(AS111=1,SUM(AS$7:AS111),"")</f>
        <v/>
      </c>
      <c r="AU111" s="82" t="n">
        <f aca="false">IF(AND(OR(AA111="R",AA111="NX",AA111="NT",AA111="CO"),OR('JOINTS DE RÉPARATION'!$D$5="TOUTES",B111='JOINTS DE RÉPARATION'!$D$5),OR('JOINTS DE RÉPARATION'!$L$4="TOUS",AQ111&lt;&gt;"ACCEPTÉ")),1,0)</f>
        <v>0</v>
      </c>
      <c r="AV111" s="82" t="str">
        <f aca="false">IF(AU111=1,SUM(AU$7:AU111),"")</f>
        <v/>
      </c>
      <c r="AW111" s="82" t="str">
        <f aca="false">IF(E111="","",B111&amp;"|"&amp;E111)</f>
        <v>MFD-ISW → MFD-CPF|JN°105</v>
      </c>
    </row>
    <row r="112" customFormat="false" ht="74.6" hidden="false" customHeight="false" outlineLevel="0" collapsed="false">
      <c r="A112" s="79" t="n">
        <f aca="false">IF(E112="","",ROW()-6)</f>
        <v>106</v>
      </c>
      <c r="B112" s="80" t="s">
        <v>110</v>
      </c>
      <c r="C112" s="81"/>
      <c r="D112" s="81"/>
      <c r="E112" s="81" t="s">
        <v>216</v>
      </c>
      <c r="F112" s="82" t="str">
        <f aca="false">IF(E112="","",IF(LEFT(E112,2)="DJ","DJ","JN"))</f>
        <v>JN</v>
      </c>
      <c r="G112" s="81"/>
      <c r="H112" s="81"/>
      <c r="I112" s="81"/>
      <c r="J112" s="81"/>
      <c r="K112" s="81"/>
      <c r="L112" s="81"/>
      <c r="M112" s="81"/>
      <c r="N112" s="81"/>
      <c r="O112" s="81"/>
      <c r="P112" s="81"/>
      <c r="Q112" s="81"/>
      <c r="R112" s="81"/>
      <c r="S112" s="81"/>
      <c r="T112" s="81"/>
      <c r="U112" s="83"/>
      <c r="V112" s="83"/>
      <c r="W112" s="81"/>
      <c r="X112" s="81"/>
      <c r="Y112" s="83"/>
      <c r="Z112" s="81"/>
      <c r="AA112" s="81"/>
      <c r="AB112" s="81"/>
      <c r="AC112" s="81"/>
      <c r="AD112" s="81"/>
      <c r="AE112" s="83"/>
      <c r="AF112" s="81"/>
      <c r="AG112" s="81"/>
      <c r="AH112" s="81"/>
      <c r="AI112" s="81"/>
      <c r="AJ112" s="83"/>
      <c r="AK112" s="81"/>
      <c r="AL112" s="81"/>
      <c r="AM112" s="83"/>
      <c r="AN112" s="80"/>
      <c r="AO112" s="82" t="n">
        <f aca="false">IF(E112="","",(AA112&lt;&gt;"")+(AG112&lt;&gt;"")+(AL112&lt;&gt;""))</f>
        <v>0</v>
      </c>
      <c r="AP112" s="82" t="str">
        <f aca="false">IF(AL112&lt;&gt;"",AL112,IF(AG112&lt;&gt;"",AG112,IF(AA112&lt;&gt;"",AA112,"")))</f>
        <v/>
      </c>
      <c r="AQ112" s="84" t="str">
        <f aca="false">IF(E112="","",IF(U112="","À SOUDER",IF(X112="","VT EN ATTENTE",IF(X112="R","VT REJETÉ – À REPRENDRE",IF(AP112="","À RADIOGRAPHIER",IF(AP112="A","ACCEPTÉ",IF(AP112="NX","NX – RT À REFAIRE",IF(IF(AO112=1,AD112,IF(AO112=2,AI112,""))="A","RÉPARÉ – À RADIOGRAPHIER",IF(IF(AO112=1,AD112,IF(AO112=2,AI112,""))="R","VT REJETÉ – À REPRENDRE",IF(OR(AP112="CO",AP112="NT"),"COUPE – À RESOUDER","À RÉPARER"))))))))))</f>
        <v>À SOUDER</v>
      </c>
      <c r="AR112" s="82" t="str">
        <f aca="false">IF(AND(ISNUMBER(U112),OR(AQ112="À RADIOGRAPHIER",AQ112="RÉPARÉ – À RADIOGRAPHIER",AQ112="NX – RT À REFAIRE",AQ112="À RÉPARER",AQ112="COUPE – À RESOUDER",AQ112="VT REJETÉ – À REPRENDRE")),MAX(0,'PROGRAMME RT'!$C$4-U112),"")</f>
        <v/>
      </c>
      <c r="AS112" s="82" t="n">
        <f aca="false">IF(AND(OR(AQ112="À RADIOGRAPHIER",AQ112="RÉPARÉ – À RADIOGRAPHIER",AQ112="NX – RT À REFAIRE"),OR('PROGRAMME RT'!$D$5="TOUTES",B112='PROGRAMME RT'!$D$5)),1,0)</f>
        <v>0</v>
      </c>
      <c r="AT112" s="82" t="str">
        <f aca="false">IF(AS112=1,SUM(AS$7:AS112),"")</f>
        <v/>
      </c>
      <c r="AU112" s="82" t="n">
        <f aca="false">IF(AND(OR(AA112="R",AA112="NX",AA112="NT",AA112="CO"),OR('JOINTS DE RÉPARATION'!$D$5="TOUTES",B112='JOINTS DE RÉPARATION'!$D$5),OR('JOINTS DE RÉPARATION'!$L$4="TOUS",AQ112&lt;&gt;"ACCEPTÉ")),1,0)</f>
        <v>0</v>
      </c>
      <c r="AV112" s="82" t="str">
        <f aca="false">IF(AU112=1,SUM(AU$7:AU112),"")</f>
        <v/>
      </c>
      <c r="AW112" s="82" t="str">
        <f aca="false">IF(E112="","",B112&amp;"|"&amp;E112)</f>
        <v>MFD-ISW → MFD-CPF|JN°106</v>
      </c>
    </row>
    <row r="113" customFormat="false" ht="74.6" hidden="false" customHeight="false" outlineLevel="0" collapsed="false">
      <c r="A113" s="79" t="n">
        <f aca="false">IF(E113="","",ROW()-6)</f>
        <v>107</v>
      </c>
      <c r="B113" s="80" t="s">
        <v>110</v>
      </c>
      <c r="C113" s="81"/>
      <c r="D113" s="81"/>
      <c r="E113" s="81" t="s">
        <v>217</v>
      </c>
      <c r="F113" s="82" t="str">
        <f aca="false">IF(E113="","",IF(LEFT(E113,2)="DJ","DJ","JN"))</f>
        <v>JN</v>
      </c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3"/>
      <c r="V113" s="83"/>
      <c r="W113" s="81"/>
      <c r="X113" s="81"/>
      <c r="Y113" s="83"/>
      <c r="Z113" s="81"/>
      <c r="AA113" s="81"/>
      <c r="AB113" s="81"/>
      <c r="AC113" s="81"/>
      <c r="AD113" s="81"/>
      <c r="AE113" s="83"/>
      <c r="AF113" s="81"/>
      <c r="AG113" s="81"/>
      <c r="AH113" s="81"/>
      <c r="AI113" s="81"/>
      <c r="AJ113" s="83"/>
      <c r="AK113" s="81"/>
      <c r="AL113" s="81"/>
      <c r="AM113" s="83"/>
      <c r="AN113" s="80"/>
      <c r="AO113" s="82" t="n">
        <f aca="false">IF(E113="","",(AA113&lt;&gt;"")+(AG113&lt;&gt;"")+(AL113&lt;&gt;""))</f>
        <v>0</v>
      </c>
      <c r="AP113" s="82" t="str">
        <f aca="false">IF(AL113&lt;&gt;"",AL113,IF(AG113&lt;&gt;"",AG113,IF(AA113&lt;&gt;"",AA113,"")))</f>
        <v/>
      </c>
      <c r="AQ113" s="84" t="str">
        <f aca="false">IF(E113="","",IF(U113="","À SOUDER",IF(X113="","VT EN ATTENTE",IF(X113="R","VT REJETÉ – À REPRENDRE",IF(AP113="","À RADIOGRAPHIER",IF(AP113="A","ACCEPTÉ",IF(AP113="NX","NX – RT À REFAIRE",IF(IF(AO113=1,AD113,IF(AO113=2,AI113,""))="A","RÉPARÉ – À RADIOGRAPHIER",IF(IF(AO113=1,AD113,IF(AO113=2,AI113,""))="R","VT REJETÉ – À REPRENDRE",IF(OR(AP113="CO",AP113="NT"),"COUPE – À RESOUDER","À RÉPARER"))))))))))</f>
        <v>À SOUDER</v>
      </c>
      <c r="AR113" s="82" t="str">
        <f aca="false">IF(AND(ISNUMBER(U113),OR(AQ113="À RADIOGRAPHIER",AQ113="RÉPARÉ – À RADIOGRAPHIER",AQ113="NX – RT À REFAIRE",AQ113="À RÉPARER",AQ113="COUPE – À RESOUDER",AQ113="VT REJETÉ – À REPRENDRE")),MAX(0,'PROGRAMME RT'!$C$4-U113),"")</f>
        <v/>
      </c>
      <c r="AS113" s="82" t="n">
        <f aca="false">IF(AND(OR(AQ113="À RADIOGRAPHIER",AQ113="RÉPARÉ – À RADIOGRAPHIER",AQ113="NX – RT À REFAIRE"),OR('PROGRAMME RT'!$D$5="TOUTES",B113='PROGRAMME RT'!$D$5)),1,0)</f>
        <v>0</v>
      </c>
      <c r="AT113" s="82" t="str">
        <f aca="false">IF(AS113=1,SUM(AS$7:AS113),"")</f>
        <v/>
      </c>
      <c r="AU113" s="82" t="n">
        <f aca="false">IF(AND(OR(AA113="R",AA113="NX",AA113="NT",AA113="CO"),OR('JOINTS DE RÉPARATION'!$D$5="TOUTES",B113='JOINTS DE RÉPARATION'!$D$5),OR('JOINTS DE RÉPARATION'!$L$4="TOUS",AQ113&lt;&gt;"ACCEPTÉ")),1,0)</f>
        <v>0</v>
      </c>
      <c r="AV113" s="82" t="str">
        <f aca="false">IF(AU113=1,SUM(AU$7:AU113),"")</f>
        <v/>
      </c>
      <c r="AW113" s="82" t="str">
        <f aca="false">IF(E113="","",B113&amp;"|"&amp;E113)</f>
        <v>MFD-ISW → MFD-CPF|JN°107</v>
      </c>
    </row>
    <row r="114" customFormat="false" ht="74.6" hidden="false" customHeight="false" outlineLevel="0" collapsed="false">
      <c r="A114" s="79" t="n">
        <f aca="false">IF(E114="","",ROW()-6)</f>
        <v>108</v>
      </c>
      <c r="B114" s="80" t="s">
        <v>110</v>
      </c>
      <c r="C114" s="81"/>
      <c r="D114" s="81"/>
      <c r="E114" s="81" t="s">
        <v>218</v>
      </c>
      <c r="F114" s="82" t="str">
        <f aca="false">IF(E114="","",IF(LEFT(E114,2)="DJ","DJ","JN"))</f>
        <v>JN</v>
      </c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3"/>
      <c r="V114" s="83"/>
      <c r="W114" s="81"/>
      <c r="X114" s="81"/>
      <c r="Y114" s="83"/>
      <c r="Z114" s="81"/>
      <c r="AA114" s="81"/>
      <c r="AB114" s="81"/>
      <c r="AC114" s="81"/>
      <c r="AD114" s="81"/>
      <c r="AE114" s="83"/>
      <c r="AF114" s="81"/>
      <c r="AG114" s="81"/>
      <c r="AH114" s="81"/>
      <c r="AI114" s="81"/>
      <c r="AJ114" s="83"/>
      <c r="AK114" s="81"/>
      <c r="AL114" s="81"/>
      <c r="AM114" s="83"/>
      <c r="AN114" s="80"/>
      <c r="AO114" s="82" t="n">
        <f aca="false">IF(E114="","",(AA114&lt;&gt;"")+(AG114&lt;&gt;"")+(AL114&lt;&gt;""))</f>
        <v>0</v>
      </c>
      <c r="AP114" s="82" t="str">
        <f aca="false">IF(AL114&lt;&gt;"",AL114,IF(AG114&lt;&gt;"",AG114,IF(AA114&lt;&gt;"",AA114,"")))</f>
        <v/>
      </c>
      <c r="AQ114" s="84" t="str">
        <f aca="false">IF(E114="","",IF(U114="","À SOUDER",IF(X114="","VT EN ATTENTE",IF(X114="R","VT REJETÉ – À REPRENDRE",IF(AP114="","À RADIOGRAPHIER",IF(AP114="A","ACCEPTÉ",IF(AP114="NX","NX – RT À REFAIRE",IF(IF(AO114=1,AD114,IF(AO114=2,AI114,""))="A","RÉPARÉ – À RADIOGRAPHIER",IF(IF(AO114=1,AD114,IF(AO114=2,AI114,""))="R","VT REJETÉ – À REPRENDRE",IF(OR(AP114="CO",AP114="NT"),"COUPE – À RESOUDER","À RÉPARER"))))))))))</f>
        <v>À SOUDER</v>
      </c>
      <c r="AR114" s="82" t="str">
        <f aca="false">IF(AND(ISNUMBER(U114),OR(AQ114="À RADIOGRAPHIER",AQ114="RÉPARÉ – À RADIOGRAPHIER",AQ114="NX – RT À REFAIRE",AQ114="À RÉPARER",AQ114="COUPE – À RESOUDER",AQ114="VT REJETÉ – À REPRENDRE")),MAX(0,'PROGRAMME RT'!$C$4-U114),"")</f>
        <v/>
      </c>
      <c r="AS114" s="82" t="n">
        <f aca="false">IF(AND(OR(AQ114="À RADIOGRAPHIER",AQ114="RÉPARÉ – À RADIOGRAPHIER",AQ114="NX – RT À REFAIRE"),OR('PROGRAMME RT'!$D$5="TOUTES",B114='PROGRAMME RT'!$D$5)),1,0)</f>
        <v>0</v>
      </c>
      <c r="AT114" s="82" t="str">
        <f aca="false">IF(AS114=1,SUM(AS$7:AS114),"")</f>
        <v/>
      </c>
      <c r="AU114" s="82" t="n">
        <f aca="false">IF(AND(OR(AA114="R",AA114="NX",AA114="NT",AA114="CO"),OR('JOINTS DE RÉPARATION'!$D$5="TOUTES",B114='JOINTS DE RÉPARATION'!$D$5),OR('JOINTS DE RÉPARATION'!$L$4="TOUS",AQ114&lt;&gt;"ACCEPTÉ")),1,0)</f>
        <v>0</v>
      </c>
      <c r="AV114" s="82" t="str">
        <f aca="false">IF(AU114=1,SUM(AU$7:AU114),"")</f>
        <v/>
      </c>
      <c r="AW114" s="82" t="str">
        <f aca="false">IF(E114="","",B114&amp;"|"&amp;E114)</f>
        <v>MFD-ISW → MFD-CPF|JN°108</v>
      </c>
    </row>
    <row r="115" customFormat="false" ht="74.6" hidden="false" customHeight="false" outlineLevel="0" collapsed="false">
      <c r="A115" s="79" t="n">
        <f aca="false">IF(E115="","",ROW()-6)</f>
        <v>109</v>
      </c>
      <c r="B115" s="80" t="s">
        <v>110</v>
      </c>
      <c r="C115" s="81"/>
      <c r="D115" s="81"/>
      <c r="E115" s="81" t="s">
        <v>219</v>
      </c>
      <c r="F115" s="82" t="str">
        <f aca="false">IF(E115="","",IF(LEFT(E115,2)="DJ","DJ","JN"))</f>
        <v>JN</v>
      </c>
      <c r="G115" s="81"/>
      <c r="H115" s="81"/>
      <c r="I115" s="81"/>
      <c r="J115" s="81"/>
      <c r="K115" s="81"/>
      <c r="L115" s="81"/>
      <c r="M115" s="81"/>
      <c r="N115" s="81"/>
      <c r="O115" s="81"/>
      <c r="P115" s="81"/>
      <c r="Q115" s="81"/>
      <c r="R115" s="81"/>
      <c r="S115" s="81"/>
      <c r="T115" s="81"/>
      <c r="U115" s="83"/>
      <c r="V115" s="83"/>
      <c r="W115" s="81"/>
      <c r="X115" s="81"/>
      <c r="Y115" s="83"/>
      <c r="Z115" s="81"/>
      <c r="AA115" s="81"/>
      <c r="AB115" s="81"/>
      <c r="AC115" s="81"/>
      <c r="AD115" s="81"/>
      <c r="AE115" s="83"/>
      <c r="AF115" s="81"/>
      <c r="AG115" s="81"/>
      <c r="AH115" s="81"/>
      <c r="AI115" s="81"/>
      <c r="AJ115" s="83"/>
      <c r="AK115" s="81"/>
      <c r="AL115" s="81"/>
      <c r="AM115" s="83"/>
      <c r="AN115" s="80"/>
      <c r="AO115" s="82" t="n">
        <f aca="false">IF(E115="","",(AA115&lt;&gt;"")+(AG115&lt;&gt;"")+(AL115&lt;&gt;""))</f>
        <v>0</v>
      </c>
      <c r="AP115" s="82" t="str">
        <f aca="false">IF(AL115&lt;&gt;"",AL115,IF(AG115&lt;&gt;"",AG115,IF(AA115&lt;&gt;"",AA115,"")))</f>
        <v/>
      </c>
      <c r="AQ115" s="84" t="str">
        <f aca="false">IF(E115="","",IF(U115="","À SOUDER",IF(X115="","VT EN ATTENTE",IF(X115="R","VT REJETÉ – À REPRENDRE",IF(AP115="","À RADIOGRAPHIER",IF(AP115="A","ACCEPTÉ",IF(AP115="NX","NX – RT À REFAIRE",IF(IF(AO115=1,AD115,IF(AO115=2,AI115,""))="A","RÉPARÉ – À RADIOGRAPHIER",IF(IF(AO115=1,AD115,IF(AO115=2,AI115,""))="R","VT REJETÉ – À REPRENDRE",IF(OR(AP115="CO",AP115="NT"),"COUPE – À RESOUDER","À RÉPARER"))))))))))</f>
        <v>À SOUDER</v>
      </c>
      <c r="AR115" s="82" t="str">
        <f aca="false">IF(AND(ISNUMBER(U115),OR(AQ115="À RADIOGRAPHIER",AQ115="RÉPARÉ – À RADIOGRAPHIER",AQ115="NX – RT À REFAIRE",AQ115="À RÉPARER",AQ115="COUPE – À RESOUDER",AQ115="VT REJETÉ – À REPRENDRE")),MAX(0,'PROGRAMME RT'!$C$4-U115),"")</f>
        <v/>
      </c>
      <c r="AS115" s="82" t="n">
        <f aca="false">IF(AND(OR(AQ115="À RADIOGRAPHIER",AQ115="RÉPARÉ – À RADIOGRAPHIER",AQ115="NX – RT À REFAIRE"),OR('PROGRAMME RT'!$D$5="TOUTES",B115='PROGRAMME RT'!$D$5)),1,0)</f>
        <v>0</v>
      </c>
      <c r="AT115" s="82" t="str">
        <f aca="false">IF(AS115=1,SUM(AS$7:AS115),"")</f>
        <v/>
      </c>
      <c r="AU115" s="82" t="n">
        <f aca="false">IF(AND(OR(AA115="R",AA115="NX",AA115="NT",AA115="CO"),OR('JOINTS DE RÉPARATION'!$D$5="TOUTES",B115='JOINTS DE RÉPARATION'!$D$5),OR('JOINTS DE RÉPARATION'!$L$4="TOUS",AQ115&lt;&gt;"ACCEPTÉ")),1,0)</f>
        <v>0</v>
      </c>
      <c r="AV115" s="82" t="str">
        <f aca="false">IF(AU115=1,SUM(AU$7:AU115),"")</f>
        <v/>
      </c>
      <c r="AW115" s="82" t="str">
        <f aca="false">IF(E115="","",B115&amp;"|"&amp;E115)</f>
        <v>MFD-ISW → MFD-CPF|JN°109</v>
      </c>
    </row>
    <row r="116" customFormat="false" ht="74.6" hidden="false" customHeight="false" outlineLevel="0" collapsed="false">
      <c r="A116" s="79" t="n">
        <f aca="false">IF(E116="","",ROW()-6)</f>
        <v>110</v>
      </c>
      <c r="B116" s="80" t="s">
        <v>110</v>
      </c>
      <c r="C116" s="81"/>
      <c r="D116" s="81"/>
      <c r="E116" s="81" t="s">
        <v>220</v>
      </c>
      <c r="F116" s="82" t="str">
        <f aca="false">IF(E116="","",IF(LEFT(E116,2)="DJ","DJ","JN"))</f>
        <v>JN</v>
      </c>
      <c r="G116" s="81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3"/>
      <c r="V116" s="83"/>
      <c r="W116" s="81"/>
      <c r="X116" s="81"/>
      <c r="Y116" s="83"/>
      <c r="Z116" s="81"/>
      <c r="AA116" s="81"/>
      <c r="AB116" s="81"/>
      <c r="AC116" s="81"/>
      <c r="AD116" s="81"/>
      <c r="AE116" s="83"/>
      <c r="AF116" s="81"/>
      <c r="AG116" s="81"/>
      <c r="AH116" s="81"/>
      <c r="AI116" s="81"/>
      <c r="AJ116" s="83"/>
      <c r="AK116" s="81"/>
      <c r="AL116" s="81"/>
      <c r="AM116" s="83"/>
      <c r="AN116" s="80"/>
      <c r="AO116" s="82" t="n">
        <f aca="false">IF(E116="","",(AA116&lt;&gt;"")+(AG116&lt;&gt;"")+(AL116&lt;&gt;""))</f>
        <v>0</v>
      </c>
      <c r="AP116" s="82" t="str">
        <f aca="false">IF(AL116&lt;&gt;"",AL116,IF(AG116&lt;&gt;"",AG116,IF(AA116&lt;&gt;"",AA116,"")))</f>
        <v/>
      </c>
      <c r="AQ116" s="84" t="str">
        <f aca="false">IF(E116="","",IF(U116="","À SOUDER",IF(X116="","VT EN ATTENTE",IF(X116="R","VT REJETÉ – À REPRENDRE",IF(AP116="","À RADIOGRAPHIER",IF(AP116="A","ACCEPTÉ",IF(AP116="NX","NX – RT À REFAIRE",IF(IF(AO116=1,AD116,IF(AO116=2,AI116,""))="A","RÉPARÉ – À RADIOGRAPHIER",IF(IF(AO116=1,AD116,IF(AO116=2,AI116,""))="R","VT REJETÉ – À REPRENDRE",IF(OR(AP116="CO",AP116="NT"),"COUPE – À RESOUDER","À RÉPARER"))))))))))</f>
        <v>À SOUDER</v>
      </c>
      <c r="AR116" s="82" t="str">
        <f aca="false">IF(AND(ISNUMBER(U116),OR(AQ116="À RADIOGRAPHIER",AQ116="RÉPARÉ – À RADIOGRAPHIER",AQ116="NX – RT À REFAIRE",AQ116="À RÉPARER",AQ116="COUPE – À RESOUDER",AQ116="VT REJETÉ – À REPRENDRE")),MAX(0,'PROGRAMME RT'!$C$4-U116),"")</f>
        <v/>
      </c>
      <c r="AS116" s="82" t="n">
        <f aca="false">IF(AND(OR(AQ116="À RADIOGRAPHIER",AQ116="RÉPARÉ – À RADIOGRAPHIER",AQ116="NX – RT À REFAIRE"),OR('PROGRAMME RT'!$D$5="TOUTES",B116='PROGRAMME RT'!$D$5)),1,0)</f>
        <v>0</v>
      </c>
      <c r="AT116" s="82" t="str">
        <f aca="false">IF(AS116=1,SUM(AS$7:AS116),"")</f>
        <v/>
      </c>
      <c r="AU116" s="82" t="n">
        <f aca="false">IF(AND(OR(AA116="R",AA116="NX",AA116="NT",AA116="CO"),OR('JOINTS DE RÉPARATION'!$D$5="TOUTES",B116='JOINTS DE RÉPARATION'!$D$5),OR('JOINTS DE RÉPARATION'!$L$4="TOUS",AQ116&lt;&gt;"ACCEPTÉ")),1,0)</f>
        <v>0</v>
      </c>
      <c r="AV116" s="82" t="str">
        <f aca="false">IF(AU116=1,SUM(AU$7:AU116),"")</f>
        <v/>
      </c>
      <c r="AW116" s="82" t="str">
        <f aca="false">IF(E116="","",B116&amp;"|"&amp;E116)</f>
        <v>MFD-ISW → MFD-CPF|JN°110</v>
      </c>
    </row>
    <row r="117" customFormat="false" ht="74.6" hidden="false" customHeight="false" outlineLevel="0" collapsed="false">
      <c r="A117" s="79" t="n">
        <f aca="false">IF(E117="","",ROW()-6)</f>
        <v>111</v>
      </c>
      <c r="B117" s="80" t="s">
        <v>110</v>
      </c>
      <c r="C117" s="81"/>
      <c r="D117" s="81"/>
      <c r="E117" s="81" t="s">
        <v>221</v>
      </c>
      <c r="F117" s="82" t="str">
        <f aca="false">IF(E117="","",IF(LEFT(E117,2)="DJ","DJ","JN"))</f>
        <v>JN</v>
      </c>
      <c r="G117" s="81"/>
      <c r="H117" s="81"/>
      <c r="I117" s="81"/>
      <c r="J117" s="81"/>
      <c r="K117" s="81"/>
      <c r="L117" s="81"/>
      <c r="M117" s="81"/>
      <c r="N117" s="81"/>
      <c r="O117" s="81"/>
      <c r="P117" s="81"/>
      <c r="Q117" s="81"/>
      <c r="R117" s="81"/>
      <c r="S117" s="81"/>
      <c r="T117" s="81"/>
      <c r="U117" s="83"/>
      <c r="V117" s="83"/>
      <c r="W117" s="81"/>
      <c r="X117" s="81"/>
      <c r="Y117" s="83"/>
      <c r="Z117" s="81"/>
      <c r="AA117" s="81"/>
      <c r="AB117" s="81"/>
      <c r="AC117" s="81"/>
      <c r="AD117" s="81"/>
      <c r="AE117" s="83"/>
      <c r="AF117" s="81"/>
      <c r="AG117" s="81"/>
      <c r="AH117" s="81"/>
      <c r="AI117" s="81"/>
      <c r="AJ117" s="83"/>
      <c r="AK117" s="81"/>
      <c r="AL117" s="81"/>
      <c r="AM117" s="83"/>
      <c r="AN117" s="80"/>
      <c r="AO117" s="82" t="n">
        <f aca="false">IF(E117="","",(AA117&lt;&gt;"")+(AG117&lt;&gt;"")+(AL117&lt;&gt;""))</f>
        <v>0</v>
      </c>
      <c r="AP117" s="82" t="str">
        <f aca="false">IF(AL117&lt;&gt;"",AL117,IF(AG117&lt;&gt;"",AG117,IF(AA117&lt;&gt;"",AA117,"")))</f>
        <v/>
      </c>
      <c r="AQ117" s="84" t="str">
        <f aca="false">IF(E117="","",IF(U117="","À SOUDER",IF(X117="","VT EN ATTENTE",IF(X117="R","VT REJETÉ – À REPRENDRE",IF(AP117="","À RADIOGRAPHIER",IF(AP117="A","ACCEPTÉ",IF(AP117="NX","NX – RT À REFAIRE",IF(IF(AO117=1,AD117,IF(AO117=2,AI117,""))="A","RÉPARÉ – À RADIOGRAPHIER",IF(IF(AO117=1,AD117,IF(AO117=2,AI117,""))="R","VT REJETÉ – À REPRENDRE",IF(OR(AP117="CO",AP117="NT"),"COUPE – À RESOUDER","À RÉPARER"))))))))))</f>
        <v>À SOUDER</v>
      </c>
      <c r="AR117" s="82" t="str">
        <f aca="false">IF(AND(ISNUMBER(U117),OR(AQ117="À RADIOGRAPHIER",AQ117="RÉPARÉ – À RADIOGRAPHIER",AQ117="NX – RT À REFAIRE",AQ117="À RÉPARER",AQ117="COUPE – À RESOUDER",AQ117="VT REJETÉ – À REPRENDRE")),MAX(0,'PROGRAMME RT'!$C$4-U117),"")</f>
        <v/>
      </c>
      <c r="AS117" s="82" t="n">
        <f aca="false">IF(AND(OR(AQ117="À RADIOGRAPHIER",AQ117="RÉPARÉ – À RADIOGRAPHIER",AQ117="NX – RT À REFAIRE"),OR('PROGRAMME RT'!$D$5="TOUTES",B117='PROGRAMME RT'!$D$5)),1,0)</f>
        <v>0</v>
      </c>
      <c r="AT117" s="82" t="str">
        <f aca="false">IF(AS117=1,SUM(AS$7:AS117),"")</f>
        <v/>
      </c>
      <c r="AU117" s="82" t="n">
        <f aca="false">IF(AND(OR(AA117="R",AA117="NX",AA117="NT",AA117="CO"),OR('JOINTS DE RÉPARATION'!$D$5="TOUTES",B117='JOINTS DE RÉPARATION'!$D$5),OR('JOINTS DE RÉPARATION'!$L$4="TOUS",AQ117&lt;&gt;"ACCEPTÉ")),1,0)</f>
        <v>0</v>
      </c>
      <c r="AV117" s="82" t="str">
        <f aca="false">IF(AU117=1,SUM(AU$7:AU117),"")</f>
        <v/>
      </c>
      <c r="AW117" s="82" t="str">
        <f aca="false">IF(E117="","",B117&amp;"|"&amp;E117)</f>
        <v>MFD-ISW → MFD-CPF|JN°111</v>
      </c>
    </row>
    <row r="118" customFormat="false" ht="74.6" hidden="false" customHeight="false" outlineLevel="0" collapsed="false">
      <c r="A118" s="79" t="n">
        <f aca="false">IF(E118="","",ROW()-6)</f>
        <v>112</v>
      </c>
      <c r="B118" s="80" t="s">
        <v>110</v>
      </c>
      <c r="C118" s="81"/>
      <c r="D118" s="81"/>
      <c r="E118" s="81" t="s">
        <v>222</v>
      </c>
      <c r="F118" s="82" t="str">
        <f aca="false">IF(E118="","",IF(LEFT(E118,2)="DJ","DJ","JN"))</f>
        <v>JN</v>
      </c>
      <c r="G118" s="81"/>
      <c r="H118" s="81"/>
      <c r="I118" s="81"/>
      <c r="J118" s="81"/>
      <c r="K118" s="81"/>
      <c r="L118" s="81"/>
      <c r="M118" s="81"/>
      <c r="N118" s="81"/>
      <c r="O118" s="81"/>
      <c r="P118" s="81"/>
      <c r="Q118" s="81"/>
      <c r="R118" s="81"/>
      <c r="S118" s="81"/>
      <c r="T118" s="81"/>
      <c r="U118" s="83"/>
      <c r="V118" s="83"/>
      <c r="W118" s="81"/>
      <c r="X118" s="81"/>
      <c r="Y118" s="83"/>
      <c r="Z118" s="81"/>
      <c r="AA118" s="81"/>
      <c r="AB118" s="81"/>
      <c r="AC118" s="81"/>
      <c r="AD118" s="81"/>
      <c r="AE118" s="83"/>
      <c r="AF118" s="81"/>
      <c r="AG118" s="81"/>
      <c r="AH118" s="81"/>
      <c r="AI118" s="81"/>
      <c r="AJ118" s="83"/>
      <c r="AK118" s="81"/>
      <c r="AL118" s="81"/>
      <c r="AM118" s="83"/>
      <c r="AN118" s="80"/>
      <c r="AO118" s="82" t="n">
        <f aca="false">IF(E118="","",(AA118&lt;&gt;"")+(AG118&lt;&gt;"")+(AL118&lt;&gt;""))</f>
        <v>0</v>
      </c>
      <c r="AP118" s="82" t="str">
        <f aca="false">IF(AL118&lt;&gt;"",AL118,IF(AG118&lt;&gt;"",AG118,IF(AA118&lt;&gt;"",AA118,"")))</f>
        <v/>
      </c>
      <c r="AQ118" s="84" t="str">
        <f aca="false">IF(E118="","",IF(U118="","À SOUDER",IF(X118="","VT EN ATTENTE",IF(X118="R","VT REJETÉ – À REPRENDRE",IF(AP118="","À RADIOGRAPHIER",IF(AP118="A","ACCEPTÉ",IF(AP118="NX","NX – RT À REFAIRE",IF(IF(AO118=1,AD118,IF(AO118=2,AI118,""))="A","RÉPARÉ – À RADIOGRAPHIER",IF(IF(AO118=1,AD118,IF(AO118=2,AI118,""))="R","VT REJETÉ – À REPRENDRE",IF(OR(AP118="CO",AP118="NT"),"COUPE – À RESOUDER","À RÉPARER"))))))))))</f>
        <v>À SOUDER</v>
      </c>
      <c r="AR118" s="82" t="str">
        <f aca="false">IF(AND(ISNUMBER(U118),OR(AQ118="À RADIOGRAPHIER",AQ118="RÉPARÉ – À RADIOGRAPHIER",AQ118="NX – RT À REFAIRE",AQ118="À RÉPARER",AQ118="COUPE – À RESOUDER",AQ118="VT REJETÉ – À REPRENDRE")),MAX(0,'PROGRAMME RT'!$C$4-U118),"")</f>
        <v/>
      </c>
      <c r="AS118" s="82" t="n">
        <f aca="false">IF(AND(OR(AQ118="À RADIOGRAPHIER",AQ118="RÉPARÉ – À RADIOGRAPHIER",AQ118="NX – RT À REFAIRE"),OR('PROGRAMME RT'!$D$5="TOUTES",B118='PROGRAMME RT'!$D$5)),1,0)</f>
        <v>0</v>
      </c>
      <c r="AT118" s="82" t="str">
        <f aca="false">IF(AS118=1,SUM(AS$7:AS118),"")</f>
        <v/>
      </c>
      <c r="AU118" s="82" t="n">
        <f aca="false">IF(AND(OR(AA118="R",AA118="NX",AA118="NT",AA118="CO"),OR('JOINTS DE RÉPARATION'!$D$5="TOUTES",B118='JOINTS DE RÉPARATION'!$D$5),OR('JOINTS DE RÉPARATION'!$L$4="TOUS",AQ118&lt;&gt;"ACCEPTÉ")),1,0)</f>
        <v>0</v>
      </c>
      <c r="AV118" s="82" t="str">
        <f aca="false">IF(AU118=1,SUM(AU$7:AU118),"")</f>
        <v/>
      </c>
      <c r="AW118" s="82" t="str">
        <f aca="false">IF(E118="","",B118&amp;"|"&amp;E118)</f>
        <v>MFD-ISW → MFD-CPF|JN°112</v>
      </c>
    </row>
    <row r="119" customFormat="false" ht="74.6" hidden="false" customHeight="false" outlineLevel="0" collapsed="false">
      <c r="A119" s="79" t="n">
        <f aca="false">IF(E119="","",ROW()-6)</f>
        <v>113</v>
      </c>
      <c r="B119" s="80" t="s">
        <v>110</v>
      </c>
      <c r="C119" s="81"/>
      <c r="D119" s="81"/>
      <c r="E119" s="81" t="s">
        <v>223</v>
      </c>
      <c r="F119" s="82" t="str">
        <f aca="false">IF(E119="","",IF(LEFT(E119,2)="DJ","DJ","JN"))</f>
        <v>JN</v>
      </c>
      <c r="G119" s="81"/>
      <c r="H119" s="81"/>
      <c r="I119" s="81"/>
      <c r="J119" s="81"/>
      <c r="K119" s="81"/>
      <c r="L119" s="81"/>
      <c r="M119" s="81"/>
      <c r="N119" s="81"/>
      <c r="O119" s="81"/>
      <c r="P119" s="81"/>
      <c r="Q119" s="81"/>
      <c r="R119" s="81"/>
      <c r="S119" s="81"/>
      <c r="T119" s="81"/>
      <c r="U119" s="83"/>
      <c r="V119" s="83"/>
      <c r="W119" s="81"/>
      <c r="X119" s="81"/>
      <c r="Y119" s="83"/>
      <c r="Z119" s="81"/>
      <c r="AA119" s="81"/>
      <c r="AB119" s="81"/>
      <c r="AC119" s="81"/>
      <c r="AD119" s="81"/>
      <c r="AE119" s="83"/>
      <c r="AF119" s="81"/>
      <c r="AG119" s="81"/>
      <c r="AH119" s="81"/>
      <c r="AI119" s="81"/>
      <c r="AJ119" s="83"/>
      <c r="AK119" s="81"/>
      <c r="AL119" s="81"/>
      <c r="AM119" s="83"/>
      <c r="AN119" s="80"/>
      <c r="AO119" s="82" t="n">
        <f aca="false">IF(E119="","",(AA119&lt;&gt;"")+(AG119&lt;&gt;"")+(AL119&lt;&gt;""))</f>
        <v>0</v>
      </c>
      <c r="AP119" s="82" t="str">
        <f aca="false">IF(AL119&lt;&gt;"",AL119,IF(AG119&lt;&gt;"",AG119,IF(AA119&lt;&gt;"",AA119,"")))</f>
        <v/>
      </c>
      <c r="AQ119" s="84" t="str">
        <f aca="false">IF(E119="","",IF(U119="","À SOUDER",IF(X119="","VT EN ATTENTE",IF(X119="R","VT REJETÉ – À REPRENDRE",IF(AP119="","À RADIOGRAPHIER",IF(AP119="A","ACCEPTÉ",IF(AP119="NX","NX – RT À REFAIRE",IF(IF(AO119=1,AD119,IF(AO119=2,AI119,""))="A","RÉPARÉ – À RADIOGRAPHIER",IF(IF(AO119=1,AD119,IF(AO119=2,AI119,""))="R","VT REJETÉ – À REPRENDRE",IF(OR(AP119="CO",AP119="NT"),"COUPE – À RESOUDER","À RÉPARER"))))))))))</f>
        <v>À SOUDER</v>
      </c>
      <c r="AR119" s="82" t="str">
        <f aca="false">IF(AND(ISNUMBER(U119),OR(AQ119="À RADIOGRAPHIER",AQ119="RÉPARÉ – À RADIOGRAPHIER",AQ119="NX – RT À REFAIRE",AQ119="À RÉPARER",AQ119="COUPE – À RESOUDER",AQ119="VT REJETÉ – À REPRENDRE")),MAX(0,'PROGRAMME RT'!$C$4-U119),"")</f>
        <v/>
      </c>
      <c r="AS119" s="82" t="n">
        <f aca="false">IF(AND(OR(AQ119="À RADIOGRAPHIER",AQ119="RÉPARÉ – À RADIOGRAPHIER",AQ119="NX – RT À REFAIRE"),OR('PROGRAMME RT'!$D$5="TOUTES",B119='PROGRAMME RT'!$D$5)),1,0)</f>
        <v>0</v>
      </c>
      <c r="AT119" s="82" t="str">
        <f aca="false">IF(AS119=1,SUM(AS$7:AS119),"")</f>
        <v/>
      </c>
      <c r="AU119" s="82" t="n">
        <f aca="false">IF(AND(OR(AA119="R",AA119="NX",AA119="NT",AA119="CO"),OR('JOINTS DE RÉPARATION'!$D$5="TOUTES",B119='JOINTS DE RÉPARATION'!$D$5),OR('JOINTS DE RÉPARATION'!$L$4="TOUS",AQ119&lt;&gt;"ACCEPTÉ")),1,0)</f>
        <v>0</v>
      </c>
      <c r="AV119" s="82" t="str">
        <f aca="false">IF(AU119=1,SUM(AU$7:AU119),"")</f>
        <v/>
      </c>
      <c r="AW119" s="82" t="str">
        <f aca="false">IF(E119="","",B119&amp;"|"&amp;E119)</f>
        <v>MFD-ISW → MFD-CPF|JN°113</v>
      </c>
    </row>
    <row r="120" customFormat="false" ht="74.6" hidden="false" customHeight="false" outlineLevel="0" collapsed="false">
      <c r="A120" s="79" t="n">
        <f aca="false">IF(E120="","",ROW()-6)</f>
        <v>114</v>
      </c>
      <c r="B120" s="80" t="s">
        <v>110</v>
      </c>
      <c r="C120" s="81"/>
      <c r="D120" s="81"/>
      <c r="E120" s="81" t="s">
        <v>224</v>
      </c>
      <c r="F120" s="82" t="str">
        <f aca="false">IF(E120="","",IF(LEFT(E120,2)="DJ","DJ","JN"))</f>
        <v>JN</v>
      </c>
      <c r="G120" s="81"/>
      <c r="H120" s="81"/>
      <c r="I120" s="81"/>
      <c r="J120" s="81"/>
      <c r="K120" s="81"/>
      <c r="L120" s="81"/>
      <c r="M120" s="81"/>
      <c r="N120" s="81"/>
      <c r="O120" s="81"/>
      <c r="P120" s="81"/>
      <c r="Q120" s="81"/>
      <c r="R120" s="81"/>
      <c r="S120" s="81"/>
      <c r="T120" s="81"/>
      <c r="U120" s="83"/>
      <c r="V120" s="83"/>
      <c r="W120" s="81"/>
      <c r="X120" s="81"/>
      <c r="Y120" s="83"/>
      <c r="Z120" s="81"/>
      <c r="AA120" s="81"/>
      <c r="AB120" s="81"/>
      <c r="AC120" s="81"/>
      <c r="AD120" s="81"/>
      <c r="AE120" s="83"/>
      <c r="AF120" s="81"/>
      <c r="AG120" s="81"/>
      <c r="AH120" s="81"/>
      <c r="AI120" s="81"/>
      <c r="AJ120" s="83"/>
      <c r="AK120" s="81"/>
      <c r="AL120" s="81"/>
      <c r="AM120" s="83"/>
      <c r="AN120" s="80"/>
      <c r="AO120" s="82" t="n">
        <f aca="false">IF(E120="","",(AA120&lt;&gt;"")+(AG120&lt;&gt;"")+(AL120&lt;&gt;""))</f>
        <v>0</v>
      </c>
      <c r="AP120" s="82" t="str">
        <f aca="false">IF(AL120&lt;&gt;"",AL120,IF(AG120&lt;&gt;"",AG120,IF(AA120&lt;&gt;"",AA120,"")))</f>
        <v/>
      </c>
      <c r="AQ120" s="84" t="str">
        <f aca="false">IF(E120="","",IF(U120="","À SOUDER",IF(X120="","VT EN ATTENTE",IF(X120="R","VT REJETÉ – À REPRENDRE",IF(AP120="","À RADIOGRAPHIER",IF(AP120="A","ACCEPTÉ",IF(AP120="NX","NX – RT À REFAIRE",IF(IF(AO120=1,AD120,IF(AO120=2,AI120,""))="A","RÉPARÉ – À RADIOGRAPHIER",IF(IF(AO120=1,AD120,IF(AO120=2,AI120,""))="R","VT REJETÉ – À REPRENDRE",IF(OR(AP120="CO",AP120="NT"),"COUPE – À RESOUDER","À RÉPARER"))))))))))</f>
        <v>À SOUDER</v>
      </c>
      <c r="AR120" s="82" t="str">
        <f aca="false">IF(AND(ISNUMBER(U120),OR(AQ120="À RADIOGRAPHIER",AQ120="RÉPARÉ – À RADIOGRAPHIER",AQ120="NX – RT À REFAIRE",AQ120="À RÉPARER",AQ120="COUPE – À RESOUDER",AQ120="VT REJETÉ – À REPRENDRE")),MAX(0,'PROGRAMME RT'!$C$4-U120),"")</f>
        <v/>
      </c>
      <c r="AS120" s="82" t="n">
        <f aca="false">IF(AND(OR(AQ120="À RADIOGRAPHIER",AQ120="RÉPARÉ – À RADIOGRAPHIER",AQ120="NX – RT À REFAIRE"),OR('PROGRAMME RT'!$D$5="TOUTES",B120='PROGRAMME RT'!$D$5)),1,0)</f>
        <v>0</v>
      </c>
      <c r="AT120" s="82" t="str">
        <f aca="false">IF(AS120=1,SUM(AS$7:AS120),"")</f>
        <v/>
      </c>
      <c r="AU120" s="82" t="n">
        <f aca="false">IF(AND(OR(AA120="R",AA120="NX",AA120="NT",AA120="CO"),OR('JOINTS DE RÉPARATION'!$D$5="TOUTES",B120='JOINTS DE RÉPARATION'!$D$5),OR('JOINTS DE RÉPARATION'!$L$4="TOUS",AQ120&lt;&gt;"ACCEPTÉ")),1,0)</f>
        <v>0</v>
      </c>
      <c r="AV120" s="82" t="str">
        <f aca="false">IF(AU120=1,SUM(AU$7:AU120),"")</f>
        <v/>
      </c>
      <c r="AW120" s="82" t="str">
        <f aca="false">IF(E120="","",B120&amp;"|"&amp;E120)</f>
        <v>MFD-ISW → MFD-CPF|JN°114</v>
      </c>
    </row>
    <row r="121" customFormat="false" ht="74.6" hidden="false" customHeight="false" outlineLevel="0" collapsed="false">
      <c r="A121" s="79" t="n">
        <f aca="false">IF(E121="","",ROW()-6)</f>
        <v>115</v>
      </c>
      <c r="B121" s="80" t="s">
        <v>110</v>
      </c>
      <c r="C121" s="81"/>
      <c r="D121" s="81"/>
      <c r="E121" s="81" t="s">
        <v>225</v>
      </c>
      <c r="F121" s="82" t="str">
        <f aca="false">IF(E121="","",IF(LEFT(E121,2)="DJ","DJ","JN"))</f>
        <v>JN</v>
      </c>
      <c r="G121" s="81"/>
      <c r="H121" s="81"/>
      <c r="I121" s="81"/>
      <c r="J121" s="81"/>
      <c r="K121" s="81"/>
      <c r="L121" s="81"/>
      <c r="M121" s="81"/>
      <c r="N121" s="81"/>
      <c r="O121" s="81"/>
      <c r="P121" s="81"/>
      <c r="Q121" s="81"/>
      <c r="R121" s="81"/>
      <c r="S121" s="81"/>
      <c r="T121" s="81"/>
      <c r="U121" s="83"/>
      <c r="V121" s="83"/>
      <c r="W121" s="81"/>
      <c r="X121" s="81"/>
      <c r="Y121" s="83"/>
      <c r="Z121" s="81"/>
      <c r="AA121" s="81"/>
      <c r="AB121" s="81"/>
      <c r="AC121" s="81"/>
      <c r="AD121" s="81"/>
      <c r="AE121" s="83"/>
      <c r="AF121" s="81"/>
      <c r="AG121" s="81"/>
      <c r="AH121" s="81"/>
      <c r="AI121" s="81"/>
      <c r="AJ121" s="83"/>
      <c r="AK121" s="81"/>
      <c r="AL121" s="81"/>
      <c r="AM121" s="83"/>
      <c r="AN121" s="80"/>
      <c r="AO121" s="82" t="n">
        <f aca="false">IF(E121="","",(AA121&lt;&gt;"")+(AG121&lt;&gt;"")+(AL121&lt;&gt;""))</f>
        <v>0</v>
      </c>
      <c r="AP121" s="82" t="str">
        <f aca="false">IF(AL121&lt;&gt;"",AL121,IF(AG121&lt;&gt;"",AG121,IF(AA121&lt;&gt;"",AA121,"")))</f>
        <v/>
      </c>
      <c r="AQ121" s="84" t="str">
        <f aca="false">IF(E121="","",IF(U121="","À SOUDER",IF(X121="","VT EN ATTENTE",IF(X121="R","VT REJETÉ – À REPRENDRE",IF(AP121="","À RADIOGRAPHIER",IF(AP121="A","ACCEPTÉ",IF(AP121="NX","NX – RT À REFAIRE",IF(IF(AO121=1,AD121,IF(AO121=2,AI121,""))="A","RÉPARÉ – À RADIOGRAPHIER",IF(IF(AO121=1,AD121,IF(AO121=2,AI121,""))="R","VT REJETÉ – À REPRENDRE",IF(OR(AP121="CO",AP121="NT"),"COUPE – À RESOUDER","À RÉPARER"))))))))))</f>
        <v>À SOUDER</v>
      </c>
      <c r="AR121" s="82" t="str">
        <f aca="false">IF(AND(ISNUMBER(U121),OR(AQ121="À RADIOGRAPHIER",AQ121="RÉPARÉ – À RADIOGRAPHIER",AQ121="NX – RT À REFAIRE",AQ121="À RÉPARER",AQ121="COUPE – À RESOUDER",AQ121="VT REJETÉ – À REPRENDRE")),MAX(0,'PROGRAMME RT'!$C$4-U121),"")</f>
        <v/>
      </c>
      <c r="AS121" s="82" t="n">
        <f aca="false">IF(AND(OR(AQ121="À RADIOGRAPHIER",AQ121="RÉPARÉ – À RADIOGRAPHIER",AQ121="NX – RT À REFAIRE"),OR('PROGRAMME RT'!$D$5="TOUTES",B121='PROGRAMME RT'!$D$5)),1,0)</f>
        <v>0</v>
      </c>
      <c r="AT121" s="82" t="str">
        <f aca="false">IF(AS121=1,SUM(AS$7:AS121),"")</f>
        <v/>
      </c>
      <c r="AU121" s="82" t="n">
        <f aca="false">IF(AND(OR(AA121="R",AA121="NX",AA121="NT",AA121="CO"),OR('JOINTS DE RÉPARATION'!$D$5="TOUTES",B121='JOINTS DE RÉPARATION'!$D$5),OR('JOINTS DE RÉPARATION'!$L$4="TOUS",AQ121&lt;&gt;"ACCEPTÉ")),1,0)</f>
        <v>0</v>
      </c>
      <c r="AV121" s="82" t="str">
        <f aca="false">IF(AU121=1,SUM(AU$7:AU121),"")</f>
        <v/>
      </c>
      <c r="AW121" s="82" t="str">
        <f aca="false">IF(E121="","",B121&amp;"|"&amp;E121)</f>
        <v>MFD-ISW → MFD-CPF|JN°115</v>
      </c>
    </row>
    <row r="122" customFormat="false" ht="74.6" hidden="false" customHeight="false" outlineLevel="0" collapsed="false">
      <c r="A122" s="79" t="n">
        <f aca="false">IF(E122="","",ROW()-6)</f>
        <v>116</v>
      </c>
      <c r="B122" s="80" t="s">
        <v>110</v>
      </c>
      <c r="C122" s="81"/>
      <c r="D122" s="81"/>
      <c r="E122" s="81" t="s">
        <v>226</v>
      </c>
      <c r="F122" s="82" t="str">
        <f aca="false">IF(E122="","",IF(LEFT(E122,2)="DJ","DJ","JN"))</f>
        <v>JN</v>
      </c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  <c r="S122" s="81"/>
      <c r="T122" s="81"/>
      <c r="U122" s="83"/>
      <c r="V122" s="83"/>
      <c r="W122" s="81"/>
      <c r="X122" s="81"/>
      <c r="Y122" s="83"/>
      <c r="Z122" s="81"/>
      <c r="AA122" s="81"/>
      <c r="AB122" s="81"/>
      <c r="AC122" s="81"/>
      <c r="AD122" s="81"/>
      <c r="AE122" s="83"/>
      <c r="AF122" s="81"/>
      <c r="AG122" s="81"/>
      <c r="AH122" s="81"/>
      <c r="AI122" s="81"/>
      <c r="AJ122" s="83"/>
      <c r="AK122" s="81"/>
      <c r="AL122" s="81"/>
      <c r="AM122" s="83"/>
      <c r="AN122" s="80"/>
      <c r="AO122" s="82" t="n">
        <f aca="false">IF(E122="","",(AA122&lt;&gt;"")+(AG122&lt;&gt;"")+(AL122&lt;&gt;""))</f>
        <v>0</v>
      </c>
      <c r="AP122" s="82" t="str">
        <f aca="false">IF(AL122&lt;&gt;"",AL122,IF(AG122&lt;&gt;"",AG122,IF(AA122&lt;&gt;"",AA122,"")))</f>
        <v/>
      </c>
      <c r="AQ122" s="84" t="str">
        <f aca="false">IF(E122="","",IF(U122="","À SOUDER",IF(X122="","VT EN ATTENTE",IF(X122="R","VT REJETÉ – À REPRENDRE",IF(AP122="","À RADIOGRAPHIER",IF(AP122="A","ACCEPTÉ",IF(AP122="NX","NX – RT À REFAIRE",IF(IF(AO122=1,AD122,IF(AO122=2,AI122,""))="A","RÉPARÉ – À RADIOGRAPHIER",IF(IF(AO122=1,AD122,IF(AO122=2,AI122,""))="R","VT REJETÉ – À REPRENDRE",IF(OR(AP122="CO",AP122="NT"),"COUPE – À RESOUDER","À RÉPARER"))))))))))</f>
        <v>À SOUDER</v>
      </c>
      <c r="AR122" s="82" t="str">
        <f aca="false">IF(AND(ISNUMBER(U122),OR(AQ122="À RADIOGRAPHIER",AQ122="RÉPARÉ – À RADIOGRAPHIER",AQ122="NX – RT À REFAIRE",AQ122="À RÉPARER",AQ122="COUPE – À RESOUDER",AQ122="VT REJETÉ – À REPRENDRE")),MAX(0,'PROGRAMME RT'!$C$4-U122),"")</f>
        <v/>
      </c>
      <c r="AS122" s="82" t="n">
        <f aca="false">IF(AND(OR(AQ122="À RADIOGRAPHIER",AQ122="RÉPARÉ – À RADIOGRAPHIER",AQ122="NX – RT À REFAIRE"),OR('PROGRAMME RT'!$D$5="TOUTES",B122='PROGRAMME RT'!$D$5)),1,0)</f>
        <v>0</v>
      </c>
      <c r="AT122" s="82" t="str">
        <f aca="false">IF(AS122=1,SUM(AS$7:AS122),"")</f>
        <v/>
      </c>
      <c r="AU122" s="82" t="n">
        <f aca="false">IF(AND(OR(AA122="R",AA122="NX",AA122="NT",AA122="CO"),OR('JOINTS DE RÉPARATION'!$D$5="TOUTES",B122='JOINTS DE RÉPARATION'!$D$5),OR('JOINTS DE RÉPARATION'!$L$4="TOUS",AQ122&lt;&gt;"ACCEPTÉ")),1,0)</f>
        <v>0</v>
      </c>
      <c r="AV122" s="82" t="str">
        <f aca="false">IF(AU122=1,SUM(AU$7:AU122),"")</f>
        <v/>
      </c>
      <c r="AW122" s="82" t="str">
        <f aca="false">IF(E122="","",B122&amp;"|"&amp;E122)</f>
        <v>MFD-ISW → MFD-CPF|JN°116</v>
      </c>
    </row>
    <row r="123" customFormat="false" ht="74.6" hidden="false" customHeight="false" outlineLevel="0" collapsed="false">
      <c r="A123" s="79" t="n">
        <f aca="false">IF(E123="","",ROW()-6)</f>
        <v>117</v>
      </c>
      <c r="B123" s="80" t="s">
        <v>110</v>
      </c>
      <c r="C123" s="81"/>
      <c r="D123" s="81"/>
      <c r="E123" s="81" t="s">
        <v>227</v>
      </c>
      <c r="F123" s="82" t="str">
        <f aca="false">IF(E123="","",IF(LEFT(E123,2)="DJ","DJ","JN"))</f>
        <v>JN</v>
      </c>
      <c r="G123" s="81"/>
      <c r="H123" s="81"/>
      <c r="I123" s="81"/>
      <c r="J123" s="81"/>
      <c r="K123" s="81"/>
      <c r="L123" s="81"/>
      <c r="M123" s="81"/>
      <c r="N123" s="81"/>
      <c r="O123" s="81"/>
      <c r="P123" s="81"/>
      <c r="Q123" s="81"/>
      <c r="R123" s="81"/>
      <c r="S123" s="81"/>
      <c r="T123" s="81"/>
      <c r="U123" s="83"/>
      <c r="V123" s="83"/>
      <c r="W123" s="81"/>
      <c r="X123" s="81"/>
      <c r="Y123" s="83"/>
      <c r="Z123" s="81"/>
      <c r="AA123" s="81"/>
      <c r="AB123" s="81"/>
      <c r="AC123" s="81"/>
      <c r="AD123" s="81"/>
      <c r="AE123" s="83"/>
      <c r="AF123" s="81"/>
      <c r="AG123" s="81"/>
      <c r="AH123" s="81"/>
      <c r="AI123" s="81"/>
      <c r="AJ123" s="83"/>
      <c r="AK123" s="81"/>
      <c r="AL123" s="81"/>
      <c r="AM123" s="83"/>
      <c r="AN123" s="80"/>
      <c r="AO123" s="82" t="n">
        <f aca="false">IF(E123="","",(AA123&lt;&gt;"")+(AG123&lt;&gt;"")+(AL123&lt;&gt;""))</f>
        <v>0</v>
      </c>
      <c r="AP123" s="82" t="str">
        <f aca="false">IF(AL123&lt;&gt;"",AL123,IF(AG123&lt;&gt;"",AG123,IF(AA123&lt;&gt;"",AA123,"")))</f>
        <v/>
      </c>
      <c r="AQ123" s="84" t="str">
        <f aca="false">IF(E123="","",IF(U123="","À SOUDER",IF(X123="","VT EN ATTENTE",IF(X123="R","VT REJETÉ – À REPRENDRE",IF(AP123="","À RADIOGRAPHIER",IF(AP123="A","ACCEPTÉ",IF(AP123="NX","NX – RT À REFAIRE",IF(IF(AO123=1,AD123,IF(AO123=2,AI123,""))="A","RÉPARÉ – À RADIOGRAPHIER",IF(IF(AO123=1,AD123,IF(AO123=2,AI123,""))="R","VT REJETÉ – À REPRENDRE",IF(OR(AP123="CO",AP123="NT"),"COUPE – À RESOUDER","À RÉPARER"))))))))))</f>
        <v>À SOUDER</v>
      </c>
      <c r="AR123" s="82" t="str">
        <f aca="false">IF(AND(ISNUMBER(U123),OR(AQ123="À RADIOGRAPHIER",AQ123="RÉPARÉ – À RADIOGRAPHIER",AQ123="NX – RT À REFAIRE",AQ123="À RÉPARER",AQ123="COUPE – À RESOUDER",AQ123="VT REJETÉ – À REPRENDRE")),MAX(0,'PROGRAMME RT'!$C$4-U123),"")</f>
        <v/>
      </c>
      <c r="AS123" s="82" t="n">
        <f aca="false">IF(AND(OR(AQ123="À RADIOGRAPHIER",AQ123="RÉPARÉ – À RADIOGRAPHIER",AQ123="NX – RT À REFAIRE"),OR('PROGRAMME RT'!$D$5="TOUTES",B123='PROGRAMME RT'!$D$5)),1,0)</f>
        <v>0</v>
      </c>
      <c r="AT123" s="82" t="str">
        <f aca="false">IF(AS123=1,SUM(AS$7:AS123),"")</f>
        <v/>
      </c>
      <c r="AU123" s="82" t="n">
        <f aca="false">IF(AND(OR(AA123="R",AA123="NX",AA123="NT",AA123="CO"),OR('JOINTS DE RÉPARATION'!$D$5="TOUTES",B123='JOINTS DE RÉPARATION'!$D$5),OR('JOINTS DE RÉPARATION'!$L$4="TOUS",AQ123&lt;&gt;"ACCEPTÉ")),1,0)</f>
        <v>0</v>
      </c>
      <c r="AV123" s="82" t="str">
        <f aca="false">IF(AU123=1,SUM(AU$7:AU123),"")</f>
        <v/>
      </c>
      <c r="AW123" s="82" t="str">
        <f aca="false">IF(E123="","",B123&amp;"|"&amp;E123)</f>
        <v>MFD-ISW → MFD-CPF|JN°117</v>
      </c>
    </row>
    <row r="124" customFormat="false" ht="74.6" hidden="false" customHeight="false" outlineLevel="0" collapsed="false">
      <c r="A124" s="79" t="n">
        <f aca="false">IF(E124="","",ROW()-6)</f>
        <v>118</v>
      </c>
      <c r="B124" s="80" t="s">
        <v>110</v>
      </c>
      <c r="C124" s="81"/>
      <c r="D124" s="81"/>
      <c r="E124" s="81" t="s">
        <v>228</v>
      </c>
      <c r="F124" s="82" t="str">
        <f aca="false">IF(E124="","",IF(LEFT(E124,2)="DJ","DJ","JN"))</f>
        <v>JN</v>
      </c>
      <c r="G124" s="81"/>
      <c r="H124" s="81"/>
      <c r="I124" s="81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U124" s="83"/>
      <c r="V124" s="83"/>
      <c r="W124" s="81"/>
      <c r="X124" s="81"/>
      <c r="Y124" s="83"/>
      <c r="Z124" s="81"/>
      <c r="AA124" s="81"/>
      <c r="AB124" s="81"/>
      <c r="AC124" s="81"/>
      <c r="AD124" s="81"/>
      <c r="AE124" s="83"/>
      <c r="AF124" s="81"/>
      <c r="AG124" s="81"/>
      <c r="AH124" s="81"/>
      <c r="AI124" s="81"/>
      <c r="AJ124" s="83"/>
      <c r="AK124" s="81"/>
      <c r="AL124" s="81"/>
      <c r="AM124" s="83"/>
      <c r="AN124" s="80"/>
      <c r="AO124" s="82" t="n">
        <f aca="false">IF(E124="","",(AA124&lt;&gt;"")+(AG124&lt;&gt;"")+(AL124&lt;&gt;""))</f>
        <v>0</v>
      </c>
      <c r="AP124" s="82" t="str">
        <f aca="false">IF(AL124&lt;&gt;"",AL124,IF(AG124&lt;&gt;"",AG124,IF(AA124&lt;&gt;"",AA124,"")))</f>
        <v/>
      </c>
      <c r="AQ124" s="84" t="str">
        <f aca="false">IF(E124="","",IF(U124="","À SOUDER",IF(X124="","VT EN ATTENTE",IF(X124="R","VT REJETÉ – À REPRENDRE",IF(AP124="","À RADIOGRAPHIER",IF(AP124="A","ACCEPTÉ",IF(AP124="NX","NX – RT À REFAIRE",IF(IF(AO124=1,AD124,IF(AO124=2,AI124,""))="A","RÉPARÉ – À RADIOGRAPHIER",IF(IF(AO124=1,AD124,IF(AO124=2,AI124,""))="R","VT REJETÉ – À REPRENDRE",IF(OR(AP124="CO",AP124="NT"),"COUPE – À RESOUDER","À RÉPARER"))))))))))</f>
        <v>À SOUDER</v>
      </c>
      <c r="AR124" s="82" t="str">
        <f aca="false">IF(AND(ISNUMBER(U124),OR(AQ124="À RADIOGRAPHIER",AQ124="RÉPARÉ – À RADIOGRAPHIER",AQ124="NX – RT À REFAIRE",AQ124="À RÉPARER",AQ124="COUPE – À RESOUDER",AQ124="VT REJETÉ – À REPRENDRE")),MAX(0,'PROGRAMME RT'!$C$4-U124),"")</f>
        <v/>
      </c>
      <c r="AS124" s="82" t="n">
        <f aca="false">IF(AND(OR(AQ124="À RADIOGRAPHIER",AQ124="RÉPARÉ – À RADIOGRAPHIER",AQ124="NX – RT À REFAIRE"),OR('PROGRAMME RT'!$D$5="TOUTES",B124='PROGRAMME RT'!$D$5)),1,0)</f>
        <v>0</v>
      </c>
      <c r="AT124" s="82" t="str">
        <f aca="false">IF(AS124=1,SUM(AS$7:AS124),"")</f>
        <v/>
      </c>
      <c r="AU124" s="82" t="n">
        <f aca="false">IF(AND(OR(AA124="R",AA124="NX",AA124="NT",AA124="CO"),OR('JOINTS DE RÉPARATION'!$D$5="TOUTES",B124='JOINTS DE RÉPARATION'!$D$5),OR('JOINTS DE RÉPARATION'!$L$4="TOUS",AQ124&lt;&gt;"ACCEPTÉ")),1,0)</f>
        <v>0</v>
      </c>
      <c r="AV124" s="82" t="str">
        <f aca="false">IF(AU124=1,SUM(AU$7:AU124),"")</f>
        <v/>
      </c>
      <c r="AW124" s="82" t="str">
        <f aca="false">IF(E124="","",B124&amp;"|"&amp;E124)</f>
        <v>MFD-ISW → MFD-CPF|JN°118</v>
      </c>
    </row>
    <row r="125" customFormat="false" ht="74.6" hidden="false" customHeight="false" outlineLevel="0" collapsed="false">
      <c r="A125" s="79" t="n">
        <f aca="false">IF(E125="","",ROW()-6)</f>
        <v>119</v>
      </c>
      <c r="B125" s="80" t="s">
        <v>110</v>
      </c>
      <c r="C125" s="81"/>
      <c r="D125" s="81"/>
      <c r="E125" s="81" t="s">
        <v>229</v>
      </c>
      <c r="F125" s="82" t="str">
        <f aca="false">IF(E125="","",IF(LEFT(E125,2)="DJ","DJ","JN"))</f>
        <v>JN</v>
      </c>
      <c r="G125" s="81"/>
      <c r="H125" s="81"/>
      <c r="I125" s="81"/>
      <c r="J125" s="81"/>
      <c r="K125" s="81"/>
      <c r="L125" s="81"/>
      <c r="M125" s="81"/>
      <c r="N125" s="81"/>
      <c r="O125" s="81"/>
      <c r="P125" s="81"/>
      <c r="Q125" s="81"/>
      <c r="R125" s="81"/>
      <c r="S125" s="81"/>
      <c r="T125" s="81"/>
      <c r="U125" s="83"/>
      <c r="V125" s="83"/>
      <c r="W125" s="81"/>
      <c r="X125" s="81"/>
      <c r="Y125" s="83"/>
      <c r="Z125" s="81"/>
      <c r="AA125" s="81"/>
      <c r="AB125" s="81"/>
      <c r="AC125" s="81"/>
      <c r="AD125" s="81"/>
      <c r="AE125" s="83"/>
      <c r="AF125" s="81"/>
      <c r="AG125" s="81"/>
      <c r="AH125" s="81"/>
      <c r="AI125" s="81"/>
      <c r="AJ125" s="83"/>
      <c r="AK125" s="81"/>
      <c r="AL125" s="81"/>
      <c r="AM125" s="83"/>
      <c r="AN125" s="80"/>
      <c r="AO125" s="82" t="n">
        <f aca="false">IF(E125="","",(AA125&lt;&gt;"")+(AG125&lt;&gt;"")+(AL125&lt;&gt;""))</f>
        <v>0</v>
      </c>
      <c r="AP125" s="82" t="str">
        <f aca="false">IF(AL125&lt;&gt;"",AL125,IF(AG125&lt;&gt;"",AG125,IF(AA125&lt;&gt;"",AA125,"")))</f>
        <v/>
      </c>
      <c r="AQ125" s="84" t="str">
        <f aca="false">IF(E125="","",IF(U125="","À SOUDER",IF(X125="","VT EN ATTENTE",IF(X125="R","VT REJETÉ – À REPRENDRE",IF(AP125="","À RADIOGRAPHIER",IF(AP125="A","ACCEPTÉ",IF(AP125="NX","NX – RT À REFAIRE",IF(IF(AO125=1,AD125,IF(AO125=2,AI125,""))="A","RÉPARÉ – À RADIOGRAPHIER",IF(IF(AO125=1,AD125,IF(AO125=2,AI125,""))="R","VT REJETÉ – À REPRENDRE",IF(OR(AP125="CO",AP125="NT"),"COUPE – À RESOUDER","À RÉPARER"))))))))))</f>
        <v>À SOUDER</v>
      </c>
      <c r="AR125" s="82" t="str">
        <f aca="false">IF(AND(ISNUMBER(U125),OR(AQ125="À RADIOGRAPHIER",AQ125="RÉPARÉ – À RADIOGRAPHIER",AQ125="NX – RT À REFAIRE",AQ125="À RÉPARER",AQ125="COUPE – À RESOUDER",AQ125="VT REJETÉ – À REPRENDRE")),MAX(0,'PROGRAMME RT'!$C$4-U125),"")</f>
        <v/>
      </c>
      <c r="AS125" s="82" t="n">
        <f aca="false">IF(AND(OR(AQ125="À RADIOGRAPHIER",AQ125="RÉPARÉ – À RADIOGRAPHIER",AQ125="NX – RT À REFAIRE"),OR('PROGRAMME RT'!$D$5="TOUTES",B125='PROGRAMME RT'!$D$5)),1,0)</f>
        <v>0</v>
      </c>
      <c r="AT125" s="82" t="str">
        <f aca="false">IF(AS125=1,SUM(AS$7:AS125),"")</f>
        <v/>
      </c>
      <c r="AU125" s="82" t="n">
        <f aca="false">IF(AND(OR(AA125="R",AA125="NX",AA125="NT",AA125="CO"),OR('JOINTS DE RÉPARATION'!$D$5="TOUTES",B125='JOINTS DE RÉPARATION'!$D$5),OR('JOINTS DE RÉPARATION'!$L$4="TOUS",AQ125&lt;&gt;"ACCEPTÉ")),1,0)</f>
        <v>0</v>
      </c>
      <c r="AV125" s="82" t="str">
        <f aca="false">IF(AU125=1,SUM(AU$7:AU125),"")</f>
        <v/>
      </c>
      <c r="AW125" s="82" t="str">
        <f aca="false">IF(E125="","",B125&amp;"|"&amp;E125)</f>
        <v>MFD-ISW → MFD-CPF|JN°119</v>
      </c>
    </row>
    <row r="126" customFormat="false" ht="74.6" hidden="false" customHeight="false" outlineLevel="0" collapsed="false">
      <c r="A126" s="79" t="n">
        <f aca="false">IF(E126="","",ROW()-6)</f>
        <v>120</v>
      </c>
      <c r="B126" s="80" t="s">
        <v>110</v>
      </c>
      <c r="C126" s="81"/>
      <c r="D126" s="81"/>
      <c r="E126" s="81" t="s">
        <v>230</v>
      </c>
      <c r="F126" s="82" t="str">
        <f aca="false">IF(E126="","",IF(LEFT(E126,2)="DJ","DJ","JN"))</f>
        <v>JN</v>
      </c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3"/>
      <c r="V126" s="83"/>
      <c r="W126" s="81"/>
      <c r="X126" s="81"/>
      <c r="Y126" s="83"/>
      <c r="Z126" s="81"/>
      <c r="AA126" s="81"/>
      <c r="AB126" s="81"/>
      <c r="AC126" s="81"/>
      <c r="AD126" s="81"/>
      <c r="AE126" s="83"/>
      <c r="AF126" s="81"/>
      <c r="AG126" s="81"/>
      <c r="AH126" s="81"/>
      <c r="AI126" s="81"/>
      <c r="AJ126" s="83"/>
      <c r="AK126" s="81"/>
      <c r="AL126" s="81"/>
      <c r="AM126" s="83"/>
      <c r="AN126" s="80"/>
      <c r="AO126" s="82" t="n">
        <f aca="false">IF(E126="","",(AA126&lt;&gt;"")+(AG126&lt;&gt;"")+(AL126&lt;&gt;""))</f>
        <v>0</v>
      </c>
      <c r="AP126" s="82" t="str">
        <f aca="false">IF(AL126&lt;&gt;"",AL126,IF(AG126&lt;&gt;"",AG126,IF(AA126&lt;&gt;"",AA126,"")))</f>
        <v/>
      </c>
      <c r="AQ126" s="84" t="str">
        <f aca="false">IF(E126="","",IF(U126="","À SOUDER",IF(X126="","VT EN ATTENTE",IF(X126="R","VT REJETÉ – À REPRENDRE",IF(AP126="","À RADIOGRAPHIER",IF(AP126="A","ACCEPTÉ",IF(AP126="NX","NX – RT À REFAIRE",IF(IF(AO126=1,AD126,IF(AO126=2,AI126,""))="A","RÉPARÉ – À RADIOGRAPHIER",IF(IF(AO126=1,AD126,IF(AO126=2,AI126,""))="R","VT REJETÉ – À REPRENDRE",IF(OR(AP126="CO",AP126="NT"),"COUPE – À RESOUDER","À RÉPARER"))))))))))</f>
        <v>À SOUDER</v>
      </c>
      <c r="AR126" s="82" t="str">
        <f aca="false">IF(AND(ISNUMBER(U126),OR(AQ126="À RADIOGRAPHIER",AQ126="RÉPARÉ – À RADIOGRAPHIER",AQ126="NX – RT À REFAIRE",AQ126="À RÉPARER",AQ126="COUPE – À RESOUDER",AQ126="VT REJETÉ – À REPRENDRE")),MAX(0,'PROGRAMME RT'!$C$4-U126),"")</f>
        <v/>
      </c>
      <c r="AS126" s="82" t="n">
        <f aca="false">IF(AND(OR(AQ126="À RADIOGRAPHIER",AQ126="RÉPARÉ – À RADIOGRAPHIER",AQ126="NX – RT À REFAIRE"),OR('PROGRAMME RT'!$D$5="TOUTES",B126='PROGRAMME RT'!$D$5)),1,0)</f>
        <v>0</v>
      </c>
      <c r="AT126" s="82" t="str">
        <f aca="false">IF(AS126=1,SUM(AS$7:AS126),"")</f>
        <v/>
      </c>
      <c r="AU126" s="82" t="n">
        <f aca="false">IF(AND(OR(AA126="R",AA126="NX",AA126="NT",AA126="CO"),OR('JOINTS DE RÉPARATION'!$D$5="TOUTES",B126='JOINTS DE RÉPARATION'!$D$5),OR('JOINTS DE RÉPARATION'!$L$4="TOUS",AQ126&lt;&gt;"ACCEPTÉ")),1,0)</f>
        <v>0</v>
      </c>
      <c r="AV126" s="82" t="str">
        <f aca="false">IF(AU126=1,SUM(AU$7:AU126),"")</f>
        <v/>
      </c>
      <c r="AW126" s="82" t="str">
        <f aca="false">IF(E126="","",B126&amp;"|"&amp;E126)</f>
        <v>MFD-ISW → MFD-CPF|JN°120</v>
      </c>
    </row>
    <row r="127" customFormat="false" ht="74.6" hidden="false" customHeight="false" outlineLevel="0" collapsed="false">
      <c r="A127" s="79" t="n">
        <f aca="false">IF(E127="","",ROW()-6)</f>
        <v>121</v>
      </c>
      <c r="B127" s="80" t="s">
        <v>110</v>
      </c>
      <c r="C127" s="81"/>
      <c r="D127" s="81"/>
      <c r="E127" s="81" t="s">
        <v>231</v>
      </c>
      <c r="F127" s="82" t="str">
        <f aca="false">IF(E127="","",IF(LEFT(E127,2)="DJ","DJ","JN"))</f>
        <v>JN</v>
      </c>
      <c r="G127" s="81"/>
      <c r="H127" s="81"/>
      <c r="I127" s="81"/>
      <c r="J127" s="81"/>
      <c r="K127" s="81"/>
      <c r="L127" s="81"/>
      <c r="M127" s="81"/>
      <c r="N127" s="81"/>
      <c r="O127" s="81"/>
      <c r="P127" s="81"/>
      <c r="Q127" s="81"/>
      <c r="R127" s="81"/>
      <c r="S127" s="81"/>
      <c r="T127" s="81"/>
      <c r="U127" s="83"/>
      <c r="V127" s="83"/>
      <c r="W127" s="81"/>
      <c r="X127" s="81"/>
      <c r="Y127" s="83"/>
      <c r="Z127" s="81"/>
      <c r="AA127" s="81"/>
      <c r="AB127" s="81"/>
      <c r="AC127" s="81"/>
      <c r="AD127" s="81"/>
      <c r="AE127" s="83"/>
      <c r="AF127" s="81"/>
      <c r="AG127" s="81"/>
      <c r="AH127" s="81"/>
      <c r="AI127" s="81"/>
      <c r="AJ127" s="83"/>
      <c r="AK127" s="81"/>
      <c r="AL127" s="81"/>
      <c r="AM127" s="83"/>
      <c r="AN127" s="80"/>
      <c r="AO127" s="82" t="n">
        <f aca="false">IF(E127="","",(AA127&lt;&gt;"")+(AG127&lt;&gt;"")+(AL127&lt;&gt;""))</f>
        <v>0</v>
      </c>
      <c r="AP127" s="82" t="str">
        <f aca="false">IF(AL127&lt;&gt;"",AL127,IF(AG127&lt;&gt;"",AG127,IF(AA127&lt;&gt;"",AA127,"")))</f>
        <v/>
      </c>
      <c r="AQ127" s="84" t="str">
        <f aca="false">IF(E127="","",IF(U127="","À SOUDER",IF(X127="","VT EN ATTENTE",IF(X127="R","VT REJETÉ – À REPRENDRE",IF(AP127="","À RADIOGRAPHIER",IF(AP127="A","ACCEPTÉ",IF(AP127="NX","NX – RT À REFAIRE",IF(IF(AO127=1,AD127,IF(AO127=2,AI127,""))="A","RÉPARÉ – À RADIOGRAPHIER",IF(IF(AO127=1,AD127,IF(AO127=2,AI127,""))="R","VT REJETÉ – À REPRENDRE",IF(OR(AP127="CO",AP127="NT"),"COUPE – À RESOUDER","À RÉPARER"))))))))))</f>
        <v>À SOUDER</v>
      </c>
      <c r="AR127" s="82" t="str">
        <f aca="false">IF(AND(ISNUMBER(U127),OR(AQ127="À RADIOGRAPHIER",AQ127="RÉPARÉ – À RADIOGRAPHIER",AQ127="NX – RT À REFAIRE",AQ127="À RÉPARER",AQ127="COUPE – À RESOUDER",AQ127="VT REJETÉ – À REPRENDRE")),MAX(0,'PROGRAMME RT'!$C$4-U127),"")</f>
        <v/>
      </c>
      <c r="AS127" s="82" t="n">
        <f aca="false">IF(AND(OR(AQ127="À RADIOGRAPHIER",AQ127="RÉPARÉ – À RADIOGRAPHIER",AQ127="NX – RT À REFAIRE"),OR('PROGRAMME RT'!$D$5="TOUTES",B127='PROGRAMME RT'!$D$5)),1,0)</f>
        <v>0</v>
      </c>
      <c r="AT127" s="82" t="str">
        <f aca="false">IF(AS127=1,SUM(AS$7:AS127),"")</f>
        <v/>
      </c>
      <c r="AU127" s="82" t="n">
        <f aca="false">IF(AND(OR(AA127="R",AA127="NX",AA127="NT",AA127="CO"),OR('JOINTS DE RÉPARATION'!$D$5="TOUTES",B127='JOINTS DE RÉPARATION'!$D$5),OR('JOINTS DE RÉPARATION'!$L$4="TOUS",AQ127&lt;&gt;"ACCEPTÉ")),1,0)</f>
        <v>0</v>
      </c>
      <c r="AV127" s="82" t="str">
        <f aca="false">IF(AU127=1,SUM(AU$7:AU127),"")</f>
        <v/>
      </c>
      <c r="AW127" s="82" t="str">
        <f aca="false">IF(E127="","",B127&amp;"|"&amp;E127)</f>
        <v>MFD-ISW → MFD-CPF|JN°121</v>
      </c>
    </row>
    <row r="128" customFormat="false" ht="74.6" hidden="false" customHeight="false" outlineLevel="0" collapsed="false">
      <c r="A128" s="79" t="n">
        <f aca="false">IF(E128="","",ROW()-6)</f>
        <v>122</v>
      </c>
      <c r="B128" s="80" t="s">
        <v>110</v>
      </c>
      <c r="C128" s="81"/>
      <c r="D128" s="81"/>
      <c r="E128" s="81" t="s">
        <v>232</v>
      </c>
      <c r="F128" s="82" t="str">
        <f aca="false">IF(E128="","",IF(LEFT(E128,2)="DJ","DJ","JN"))</f>
        <v>JN</v>
      </c>
      <c r="G128" s="81"/>
      <c r="H128" s="81"/>
      <c r="I128" s="81"/>
      <c r="J128" s="81"/>
      <c r="K128" s="81"/>
      <c r="L128" s="81"/>
      <c r="M128" s="81"/>
      <c r="N128" s="81"/>
      <c r="O128" s="81"/>
      <c r="P128" s="81"/>
      <c r="Q128" s="81"/>
      <c r="R128" s="81"/>
      <c r="S128" s="81"/>
      <c r="T128" s="81"/>
      <c r="U128" s="83"/>
      <c r="V128" s="83"/>
      <c r="W128" s="81"/>
      <c r="X128" s="81"/>
      <c r="Y128" s="83"/>
      <c r="Z128" s="81"/>
      <c r="AA128" s="81"/>
      <c r="AB128" s="81"/>
      <c r="AC128" s="81"/>
      <c r="AD128" s="81"/>
      <c r="AE128" s="83"/>
      <c r="AF128" s="81"/>
      <c r="AG128" s="81"/>
      <c r="AH128" s="81"/>
      <c r="AI128" s="81"/>
      <c r="AJ128" s="83"/>
      <c r="AK128" s="81"/>
      <c r="AL128" s="81"/>
      <c r="AM128" s="83"/>
      <c r="AN128" s="80"/>
      <c r="AO128" s="82" t="n">
        <f aca="false">IF(E128="","",(AA128&lt;&gt;"")+(AG128&lt;&gt;"")+(AL128&lt;&gt;""))</f>
        <v>0</v>
      </c>
      <c r="AP128" s="82" t="str">
        <f aca="false">IF(AL128&lt;&gt;"",AL128,IF(AG128&lt;&gt;"",AG128,IF(AA128&lt;&gt;"",AA128,"")))</f>
        <v/>
      </c>
      <c r="AQ128" s="84" t="str">
        <f aca="false">IF(E128="","",IF(U128="","À SOUDER",IF(X128="","VT EN ATTENTE",IF(X128="R","VT REJETÉ – À REPRENDRE",IF(AP128="","À RADIOGRAPHIER",IF(AP128="A","ACCEPTÉ",IF(AP128="NX","NX – RT À REFAIRE",IF(IF(AO128=1,AD128,IF(AO128=2,AI128,""))="A","RÉPARÉ – À RADIOGRAPHIER",IF(IF(AO128=1,AD128,IF(AO128=2,AI128,""))="R","VT REJETÉ – À REPRENDRE",IF(OR(AP128="CO",AP128="NT"),"COUPE – À RESOUDER","À RÉPARER"))))))))))</f>
        <v>À SOUDER</v>
      </c>
      <c r="AR128" s="82" t="str">
        <f aca="false">IF(AND(ISNUMBER(U128),OR(AQ128="À RADIOGRAPHIER",AQ128="RÉPARÉ – À RADIOGRAPHIER",AQ128="NX – RT À REFAIRE",AQ128="À RÉPARER",AQ128="COUPE – À RESOUDER",AQ128="VT REJETÉ – À REPRENDRE")),MAX(0,'PROGRAMME RT'!$C$4-U128),"")</f>
        <v/>
      </c>
      <c r="AS128" s="82" t="n">
        <f aca="false">IF(AND(OR(AQ128="À RADIOGRAPHIER",AQ128="RÉPARÉ – À RADIOGRAPHIER",AQ128="NX – RT À REFAIRE"),OR('PROGRAMME RT'!$D$5="TOUTES",B128='PROGRAMME RT'!$D$5)),1,0)</f>
        <v>0</v>
      </c>
      <c r="AT128" s="82" t="str">
        <f aca="false">IF(AS128=1,SUM(AS$7:AS128),"")</f>
        <v/>
      </c>
      <c r="AU128" s="82" t="n">
        <f aca="false">IF(AND(OR(AA128="R",AA128="NX",AA128="NT",AA128="CO"),OR('JOINTS DE RÉPARATION'!$D$5="TOUTES",B128='JOINTS DE RÉPARATION'!$D$5),OR('JOINTS DE RÉPARATION'!$L$4="TOUS",AQ128&lt;&gt;"ACCEPTÉ")),1,0)</f>
        <v>0</v>
      </c>
      <c r="AV128" s="82" t="str">
        <f aca="false">IF(AU128=1,SUM(AU$7:AU128),"")</f>
        <v/>
      </c>
      <c r="AW128" s="82" t="str">
        <f aca="false">IF(E128="","",B128&amp;"|"&amp;E128)</f>
        <v>MFD-ISW → MFD-CPF|JN°122</v>
      </c>
    </row>
    <row r="129" customFormat="false" ht="74.6" hidden="false" customHeight="false" outlineLevel="0" collapsed="false">
      <c r="A129" s="79" t="n">
        <f aca="false">IF(E129="","",ROW()-6)</f>
        <v>123</v>
      </c>
      <c r="B129" s="80" t="s">
        <v>110</v>
      </c>
      <c r="C129" s="81"/>
      <c r="D129" s="81"/>
      <c r="E129" s="81" t="s">
        <v>233</v>
      </c>
      <c r="F129" s="82" t="str">
        <f aca="false">IF(E129="","",IF(LEFT(E129,2)="DJ","DJ","JN"))</f>
        <v>JN</v>
      </c>
      <c r="G129" s="81"/>
      <c r="H129" s="81"/>
      <c r="I129" s="81"/>
      <c r="J129" s="81"/>
      <c r="K129" s="81"/>
      <c r="L129" s="81"/>
      <c r="M129" s="81"/>
      <c r="N129" s="81"/>
      <c r="O129" s="81"/>
      <c r="P129" s="81"/>
      <c r="Q129" s="81"/>
      <c r="R129" s="81"/>
      <c r="S129" s="81"/>
      <c r="T129" s="81"/>
      <c r="U129" s="83"/>
      <c r="V129" s="83"/>
      <c r="W129" s="81"/>
      <c r="X129" s="81"/>
      <c r="Y129" s="83"/>
      <c r="Z129" s="81"/>
      <c r="AA129" s="81"/>
      <c r="AB129" s="81"/>
      <c r="AC129" s="81"/>
      <c r="AD129" s="81"/>
      <c r="AE129" s="83"/>
      <c r="AF129" s="81"/>
      <c r="AG129" s="81"/>
      <c r="AH129" s="81"/>
      <c r="AI129" s="81"/>
      <c r="AJ129" s="83"/>
      <c r="AK129" s="81"/>
      <c r="AL129" s="81"/>
      <c r="AM129" s="83"/>
      <c r="AN129" s="80"/>
      <c r="AO129" s="82" t="n">
        <f aca="false">IF(E129="","",(AA129&lt;&gt;"")+(AG129&lt;&gt;"")+(AL129&lt;&gt;""))</f>
        <v>0</v>
      </c>
      <c r="AP129" s="82" t="str">
        <f aca="false">IF(AL129&lt;&gt;"",AL129,IF(AG129&lt;&gt;"",AG129,IF(AA129&lt;&gt;"",AA129,"")))</f>
        <v/>
      </c>
      <c r="AQ129" s="84" t="str">
        <f aca="false">IF(E129="","",IF(U129="","À SOUDER",IF(X129="","VT EN ATTENTE",IF(X129="R","VT REJETÉ – À REPRENDRE",IF(AP129="","À RADIOGRAPHIER",IF(AP129="A","ACCEPTÉ",IF(AP129="NX","NX – RT À REFAIRE",IF(IF(AO129=1,AD129,IF(AO129=2,AI129,""))="A","RÉPARÉ – À RADIOGRAPHIER",IF(IF(AO129=1,AD129,IF(AO129=2,AI129,""))="R","VT REJETÉ – À REPRENDRE",IF(OR(AP129="CO",AP129="NT"),"COUPE – À RESOUDER","À RÉPARER"))))))))))</f>
        <v>À SOUDER</v>
      </c>
      <c r="AR129" s="82" t="str">
        <f aca="false">IF(AND(ISNUMBER(U129),OR(AQ129="À RADIOGRAPHIER",AQ129="RÉPARÉ – À RADIOGRAPHIER",AQ129="NX – RT À REFAIRE",AQ129="À RÉPARER",AQ129="COUPE – À RESOUDER",AQ129="VT REJETÉ – À REPRENDRE")),MAX(0,'PROGRAMME RT'!$C$4-U129),"")</f>
        <v/>
      </c>
      <c r="AS129" s="82" t="n">
        <f aca="false">IF(AND(OR(AQ129="À RADIOGRAPHIER",AQ129="RÉPARÉ – À RADIOGRAPHIER",AQ129="NX – RT À REFAIRE"),OR('PROGRAMME RT'!$D$5="TOUTES",B129='PROGRAMME RT'!$D$5)),1,0)</f>
        <v>0</v>
      </c>
      <c r="AT129" s="82" t="str">
        <f aca="false">IF(AS129=1,SUM(AS$7:AS129),"")</f>
        <v/>
      </c>
      <c r="AU129" s="82" t="n">
        <f aca="false">IF(AND(OR(AA129="R",AA129="NX",AA129="NT",AA129="CO"),OR('JOINTS DE RÉPARATION'!$D$5="TOUTES",B129='JOINTS DE RÉPARATION'!$D$5),OR('JOINTS DE RÉPARATION'!$L$4="TOUS",AQ129&lt;&gt;"ACCEPTÉ")),1,0)</f>
        <v>0</v>
      </c>
      <c r="AV129" s="82" t="str">
        <f aca="false">IF(AU129=1,SUM(AU$7:AU129),"")</f>
        <v/>
      </c>
      <c r="AW129" s="82" t="str">
        <f aca="false">IF(E129="","",B129&amp;"|"&amp;E129)</f>
        <v>MFD-ISW → MFD-CPF|JN°123</v>
      </c>
    </row>
    <row r="130" customFormat="false" ht="74.6" hidden="false" customHeight="false" outlineLevel="0" collapsed="false">
      <c r="A130" s="79" t="n">
        <f aca="false">IF(E130="","",ROW()-6)</f>
        <v>124</v>
      </c>
      <c r="B130" s="80" t="s">
        <v>110</v>
      </c>
      <c r="C130" s="81"/>
      <c r="D130" s="81"/>
      <c r="E130" s="81" t="s">
        <v>234</v>
      </c>
      <c r="F130" s="82" t="str">
        <f aca="false">IF(E130="","",IF(LEFT(E130,2)="DJ","DJ","JN"))</f>
        <v>JN</v>
      </c>
      <c r="G130" s="81"/>
      <c r="H130" s="81"/>
      <c r="I130" s="81"/>
      <c r="J130" s="81"/>
      <c r="K130" s="81"/>
      <c r="L130" s="81"/>
      <c r="M130" s="81"/>
      <c r="N130" s="81"/>
      <c r="O130" s="81"/>
      <c r="P130" s="81"/>
      <c r="Q130" s="81"/>
      <c r="R130" s="81"/>
      <c r="S130" s="81"/>
      <c r="T130" s="81"/>
      <c r="U130" s="83"/>
      <c r="V130" s="83"/>
      <c r="W130" s="81"/>
      <c r="X130" s="81"/>
      <c r="Y130" s="83"/>
      <c r="Z130" s="81"/>
      <c r="AA130" s="81"/>
      <c r="AB130" s="81"/>
      <c r="AC130" s="81"/>
      <c r="AD130" s="81"/>
      <c r="AE130" s="83"/>
      <c r="AF130" s="81"/>
      <c r="AG130" s="81"/>
      <c r="AH130" s="81"/>
      <c r="AI130" s="81"/>
      <c r="AJ130" s="83"/>
      <c r="AK130" s="81"/>
      <c r="AL130" s="81"/>
      <c r="AM130" s="83"/>
      <c r="AN130" s="80"/>
      <c r="AO130" s="82" t="n">
        <f aca="false">IF(E130="","",(AA130&lt;&gt;"")+(AG130&lt;&gt;"")+(AL130&lt;&gt;""))</f>
        <v>0</v>
      </c>
      <c r="AP130" s="82" t="str">
        <f aca="false">IF(AL130&lt;&gt;"",AL130,IF(AG130&lt;&gt;"",AG130,IF(AA130&lt;&gt;"",AA130,"")))</f>
        <v/>
      </c>
      <c r="AQ130" s="84" t="str">
        <f aca="false">IF(E130="","",IF(U130="","À SOUDER",IF(X130="","VT EN ATTENTE",IF(X130="R","VT REJETÉ – À REPRENDRE",IF(AP130="","À RADIOGRAPHIER",IF(AP130="A","ACCEPTÉ",IF(AP130="NX","NX – RT À REFAIRE",IF(IF(AO130=1,AD130,IF(AO130=2,AI130,""))="A","RÉPARÉ – À RADIOGRAPHIER",IF(IF(AO130=1,AD130,IF(AO130=2,AI130,""))="R","VT REJETÉ – À REPRENDRE",IF(OR(AP130="CO",AP130="NT"),"COUPE – À RESOUDER","À RÉPARER"))))))))))</f>
        <v>À SOUDER</v>
      </c>
      <c r="AR130" s="82" t="str">
        <f aca="false">IF(AND(ISNUMBER(U130),OR(AQ130="À RADIOGRAPHIER",AQ130="RÉPARÉ – À RADIOGRAPHIER",AQ130="NX – RT À REFAIRE",AQ130="À RÉPARER",AQ130="COUPE – À RESOUDER",AQ130="VT REJETÉ – À REPRENDRE")),MAX(0,'PROGRAMME RT'!$C$4-U130),"")</f>
        <v/>
      </c>
      <c r="AS130" s="82" t="n">
        <f aca="false">IF(AND(OR(AQ130="À RADIOGRAPHIER",AQ130="RÉPARÉ – À RADIOGRAPHIER",AQ130="NX – RT À REFAIRE"),OR('PROGRAMME RT'!$D$5="TOUTES",B130='PROGRAMME RT'!$D$5)),1,0)</f>
        <v>0</v>
      </c>
      <c r="AT130" s="82" t="str">
        <f aca="false">IF(AS130=1,SUM(AS$7:AS130),"")</f>
        <v/>
      </c>
      <c r="AU130" s="82" t="n">
        <f aca="false">IF(AND(OR(AA130="R",AA130="NX",AA130="NT",AA130="CO"),OR('JOINTS DE RÉPARATION'!$D$5="TOUTES",B130='JOINTS DE RÉPARATION'!$D$5),OR('JOINTS DE RÉPARATION'!$L$4="TOUS",AQ130&lt;&gt;"ACCEPTÉ")),1,0)</f>
        <v>0</v>
      </c>
      <c r="AV130" s="82" t="str">
        <f aca="false">IF(AU130=1,SUM(AU$7:AU130),"")</f>
        <v/>
      </c>
      <c r="AW130" s="82" t="str">
        <f aca="false">IF(E130="","",B130&amp;"|"&amp;E130)</f>
        <v>MFD-ISW → MFD-CPF|JN°124</v>
      </c>
    </row>
    <row r="131" customFormat="false" ht="74.6" hidden="false" customHeight="false" outlineLevel="0" collapsed="false">
      <c r="A131" s="79" t="n">
        <f aca="false">IF(E131="","",ROW()-6)</f>
        <v>125</v>
      </c>
      <c r="B131" s="80" t="s">
        <v>110</v>
      </c>
      <c r="C131" s="81"/>
      <c r="D131" s="81"/>
      <c r="E131" s="81" t="s">
        <v>235</v>
      </c>
      <c r="F131" s="82" t="str">
        <f aca="false">IF(E131="","",IF(LEFT(E131,2)="DJ","DJ","JN"))</f>
        <v>JN</v>
      </c>
      <c r="G131" s="81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3"/>
      <c r="V131" s="83"/>
      <c r="W131" s="81"/>
      <c r="X131" s="81"/>
      <c r="Y131" s="83"/>
      <c r="Z131" s="81"/>
      <c r="AA131" s="81"/>
      <c r="AB131" s="81"/>
      <c r="AC131" s="81"/>
      <c r="AD131" s="81"/>
      <c r="AE131" s="83"/>
      <c r="AF131" s="81"/>
      <c r="AG131" s="81"/>
      <c r="AH131" s="81"/>
      <c r="AI131" s="81"/>
      <c r="AJ131" s="83"/>
      <c r="AK131" s="81"/>
      <c r="AL131" s="81"/>
      <c r="AM131" s="83"/>
      <c r="AN131" s="80"/>
      <c r="AO131" s="82" t="n">
        <f aca="false">IF(E131="","",(AA131&lt;&gt;"")+(AG131&lt;&gt;"")+(AL131&lt;&gt;""))</f>
        <v>0</v>
      </c>
      <c r="AP131" s="82" t="str">
        <f aca="false">IF(AL131&lt;&gt;"",AL131,IF(AG131&lt;&gt;"",AG131,IF(AA131&lt;&gt;"",AA131,"")))</f>
        <v/>
      </c>
      <c r="AQ131" s="84" t="str">
        <f aca="false">IF(E131="","",IF(U131="","À SOUDER",IF(X131="","VT EN ATTENTE",IF(X131="R","VT REJETÉ – À REPRENDRE",IF(AP131="","À RADIOGRAPHIER",IF(AP131="A","ACCEPTÉ",IF(AP131="NX","NX – RT À REFAIRE",IF(IF(AO131=1,AD131,IF(AO131=2,AI131,""))="A","RÉPARÉ – À RADIOGRAPHIER",IF(IF(AO131=1,AD131,IF(AO131=2,AI131,""))="R","VT REJETÉ – À REPRENDRE",IF(OR(AP131="CO",AP131="NT"),"COUPE – À RESOUDER","À RÉPARER"))))))))))</f>
        <v>À SOUDER</v>
      </c>
      <c r="AR131" s="82" t="str">
        <f aca="false">IF(AND(ISNUMBER(U131),OR(AQ131="À RADIOGRAPHIER",AQ131="RÉPARÉ – À RADIOGRAPHIER",AQ131="NX – RT À REFAIRE",AQ131="À RÉPARER",AQ131="COUPE – À RESOUDER",AQ131="VT REJETÉ – À REPRENDRE")),MAX(0,'PROGRAMME RT'!$C$4-U131),"")</f>
        <v/>
      </c>
      <c r="AS131" s="82" t="n">
        <f aca="false">IF(AND(OR(AQ131="À RADIOGRAPHIER",AQ131="RÉPARÉ – À RADIOGRAPHIER",AQ131="NX – RT À REFAIRE"),OR('PROGRAMME RT'!$D$5="TOUTES",B131='PROGRAMME RT'!$D$5)),1,0)</f>
        <v>0</v>
      </c>
      <c r="AT131" s="82" t="str">
        <f aca="false">IF(AS131=1,SUM(AS$7:AS131),"")</f>
        <v/>
      </c>
      <c r="AU131" s="82" t="n">
        <f aca="false">IF(AND(OR(AA131="R",AA131="NX",AA131="NT",AA131="CO"),OR('JOINTS DE RÉPARATION'!$D$5="TOUTES",B131='JOINTS DE RÉPARATION'!$D$5),OR('JOINTS DE RÉPARATION'!$L$4="TOUS",AQ131&lt;&gt;"ACCEPTÉ")),1,0)</f>
        <v>0</v>
      </c>
      <c r="AV131" s="82" t="str">
        <f aca="false">IF(AU131=1,SUM(AU$7:AU131),"")</f>
        <v/>
      </c>
      <c r="AW131" s="82" t="str">
        <f aca="false">IF(E131="","",B131&amp;"|"&amp;E131)</f>
        <v>MFD-ISW → MFD-CPF|JN°125</v>
      </c>
    </row>
    <row r="132" customFormat="false" ht="74.6" hidden="false" customHeight="false" outlineLevel="0" collapsed="false">
      <c r="A132" s="79" t="n">
        <f aca="false">IF(E132="","",ROW()-6)</f>
        <v>126</v>
      </c>
      <c r="B132" s="80" t="s">
        <v>110</v>
      </c>
      <c r="C132" s="81"/>
      <c r="D132" s="81"/>
      <c r="E132" s="81" t="s">
        <v>236</v>
      </c>
      <c r="F132" s="82" t="str">
        <f aca="false">IF(E132="","",IF(LEFT(E132,2)="DJ","DJ","JN"))</f>
        <v>JN</v>
      </c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3"/>
      <c r="V132" s="83"/>
      <c r="W132" s="81"/>
      <c r="X132" s="81"/>
      <c r="Y132" s="83"/>
      <c r="Z132" s="81"/>
      <c r="AA132" s="81"/>
      <c r="AB132" s="81"/>
      <c r="AC132" s="81"/>
      <c r="AD132" s="81"/>
      <c r="AE132" s="83"/>
      <c r="AF132" s="81"/>
      <c r="AG132" s="81"/>
      <c r="AH132" s="81"/>
      <c r="AI132" s="81"/>
      <c r="AJ132" s="83"/>
      <c r="AK132" s="81"/>
      <c r="AL132" s="81"/>
      <c r="AM132" s="83"/>
      <c r="AN132" s="80"/>
      <c r="AO132" s="82" t="n">
        <f aca="false">IF(E132="","",(AA132&lt;&gt;"")+(AG132&lt;&gt;"")+(AL132&lt;&gt;""))</f>
        <v>0</v>
      </c>
      <c r="AP132" s="82" t="str">
        <f aca="false">IF(AL132&lt;&gt;"",AL132,IF(AG132&lt;&gt;"",AG132,IF(AA132&lt;&gt;"",AA132,"")))</f>
        <v/>
      </c>
      <c r="AQ132" s="84" t="str">
        <f aca="false">IF(E132="","",IF(U132="","À SOUDER",IF(X132="","VT EN ATTENTE",IF(X132="R","VT REJETÉ – À REPRENDRE",IF(AP132="","À RADIOGRAPHIER",IF(AP132="A","ACCEPTÉ",IF(AP132="NX","NX – RT À REFAIRE",IF(IF(AO132=1,AD132,IF(AO132=2,AI132,""))="A","RÉPARÉ – À RADIOGRAPHIER",IF(IF(AO132=1,AD132,IF(AO132=2,AI132,""))="R","VT REJETÉ – À REPRENDRE",IF(OR(AP132="CO",AP132="NT"),"COUPE – À RESOUDER","À RÉPARER"))))))))))</f>
        <v>À SOUDER</v>
      </c>
      <c r="AR132" s="82" t="str">
        <f aca="false">IF(AND(ISNUMBER(U132),OR(AQ132="À RADIOGRAPHIER",AQ132="RÉPARÉ – À RADIOGRAPHIER",AQ132="NX – RT À REFAIRE",AQ132="À RÉPARER",AQ132="COUPE – À RESOUDER",AQ132="VT REJETÉ – À REPRENDRE")),MAX(0,'PROGRAMME RT'!$C$4-U132),"")</f>
        <v/>
      </c>
      <c r="AS132" s="82" t="n">
        <f aca="false">IF(AND(OR(AQ132="À RADIOGRAPHIER",AQ132="RÉPARÉ – À RADIOGRAPHIER",AQ132="NX – RT À REFAIRE"),OR('PROGRAMME RT'!$D$5="TOUTES",B132='PROGRAMME RT'!$D$5)),1,0)</f>
        <v>0</v>
      </c>
      <c r="AT132" s="82" t="str">
        <f aca="false">IF(AS132=1,SUM(AS$7:AS132),"")</f>
        <v/>
      </c>
      <c r="AU132" s="82" t="n">
        <f aca="false">IF(AND(OR(AA132="R",AA132="NX",AA132="NT",AA132="CO"),OR('JOINTS DE RÉPARATION'!$D$5="TOUTES",B132='JOINTS DE RÉPARATION'!$D$5),OR('JOINTS DE RÉPARATION'!$L$4="TOUS",AQ132&lt;&gt;"ACCEPTÉ")),1,0)</f>
        <v>0</v>
      </c>
      <c r="AV132" s="82" t="str">
        <f aca="false">IF(AU132=1,SUM(AU$7:AU132),"")</f>
        <v/>
      </c>
      <c r="AW132" s="82" t="str">
        <f aca="false">IF(E132="","",B132&amp;"|"&amp;E132)</f>
        <v>MFD-ISW → MFD-CPF|JN°126</v>
      </c>
    </row>
    <row r="133" customFormat="false" ht="74.6" hidden="false" customHeight="false" outlineLevel="0" collapsed="false">
      <c r="A133" s="79" t="n">
        <f aca="false">IF(E133="","",ROW()-6)</f>
        <v>127</v>
      </c>
      <c r="B133" s="80" t="s">
        <v>110</v>
      </c>
      <c r="C133" s="81"/>
      <c r="D133" s="81"/>
      <c r="E133" s="81" t="s">
        <v>237</v>
      </c>
      <c r="F133" s="82" t="str">
        <f aca="false">IF(E133="","",IF(LEFT(E133,2)="DJ","DJ","JN"))</f>
        <v>JN</v>
      </c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3"/>
      <c r="V133" s="83"/>
      <c r="W133" s="81"/>
      <c r="X133" s="81"/>
      <c r="Y133" s="83"/>
      <c r="Z133" s="81"/>
      <c r="AA133" s="81"/>
      <c r="AB133" s="81"/>
      <c r="AC133" s="81"/>
      <c r="AD133" s="81"/>
      <c r="AE133" s="83"/>
      <c r="AF133" s="81"/>
      <c r="AG133" s="81"/>
      <c r="AH133" s="81"/>
      <c r="AI133" s="81"/>
      <c r="AJ133" s="83"/>
      <c r="AK133" s="81"/>
      <c r="AL133" s="81"/>
      <c r="AM133" s="83"/>
      <c r="AN133" s="80"/>
      <c r="AO133" s="82" t="n">
        <f aca="false">IF(E133="","",(AA133&lt;&gt;"")+(AG133&lt;&gt;"")+(AL133&lt;&gt;""))</f>
        <v>0</v>
      </c>
      <c r="AP133" s="82" t="str">
        <f aca="false">IF(AL133&lt;&gt;"",AL133,IF(AG133&lt;&gt;"",AG133,IF(AA133&lt;&gt;"",AA133,"")))</f>
        <v/>
      </c>
      <c r="AQ133" s="84" t="str">
        <f aca="false">IF(E133="","",IF(U133="","À SOUDER",IF(X133="","VT EN ATTENTE",IF(X133="R","VT REJETÉ – À REPRENDRE",IF(AP133="","À RADIOGRAPHIER",IF(AP133="A","ACCEPTÉ",IF(AP133="NX","NX – RT À REFAIRE",IF(IF(AO133=1,AD133,IF(AO133=2,AI133,""))="A","RÉPARÉ – À RADIOGRAPHIER",IF(IF(AO133=1,AD133,IF(AO133=2,AI133,""))="R","VT REJETÉ – À REPRENDRE",IF(OR(AP133="CO",AP133="NT"),"COUPE – À RESOUDER","À RÉPARER"))))))))))</f>
        <v>À SOUDER</v>
      </c>
      <c r="AR133" s="82" t="str">
        <f aca="false">IF(AND(ISNUMBER(U133),OR(AQ133="À RADIOGRAPHIER",AQ133="RÉPARÉ – À RADIOGRAPHIER",AQ133="NX – RT À REFAIRE",AQ133="À RÉPARER",AQ133="COUPE – À RESOUDER",AQ133="VT REJETÉ – À REPRENDRE")),MAX(0,'PROGRAMME RT'!$C$4-U133),"")</f>
        <v/>
      </c>
      <c r="AS133" s="82" t="n">
        <f aca="false">IF(AND(OR(AQ133="À RADIOGRAPHIER",AQ133="RÉPARÉ – À RADIOGRAPHIER",AQ133="NX – RT À REFAIRE"),OR('PROGRAMME RT'!$D$5="TOUTES",B133='PROGRAMME RT'!$D$5)),1,0)</f>
        <v>0</v>
      </c>
      <c r="AT133" s="82" t="str">
        <f aca="false">IF(AS133=1,SUM(AS$7:AS133),"")</f>
        <v/>
      </c>
      <c r="AU133" s="82" t="n">
        <f aca="false">IF(AND(OR(AA133="R",AA133="NX",AA133="NT",AA133="CO"),OR('JOINTS DE RÉPARATION'!$D$5="TOUTES",B133='JOINTS DE RÉPARATION'!$D$5),OR('JOINTS DE RÉPARATION'!$L$4="TOUS",AQ133&lt;&gt;"ACCEPTÉ")),1,0)</f>
        <v>0</v>
      </c>
      <c r="AV133" s="82" t="str">
        <f aca="false">IF(AU133=1,SUM(AU$7:AU133),"")</f>
        <v/>
      </c>
      <c r="AW133" s="82" t="str">
        <f aca="false">IF(E133="","",B133&amp;"|"&amp;E133)</f>
        <v>MFD-ISW → MFD-CPF|JN°127</v>
      </c>
    </row>
    <row r="134" customFormat="false" ht="74.6" hidden="false" customHeight="false" outlineLevel="0" collapsed="false">
      <c r="A134" s="79" t="n">
        <f aca="false">IF(E134="","",ROW()-6)</f>
        <v>128</v>
      </c>
      <c r="B134" s="80" t="s">
        <v>110</v>
      </c>
      <c r="C134" s="81"/>
      <c r="D134" s="81"/>
      <c r="E134" s="81" t="s">
        <v>238</v>
      </c>
      <c r="F134" s="82" t="str">
        <f aca="false">IF(E134="","",IF(LEFT(E134,2)="DJ","DJ","JN"))</f>
        <v>JN</v>
      </c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3"/>
      <c r="V134" s="83"/>
      <c r="W134" s="81"/>
      <c r="X134" s="81"/>
      <c r="Y134" s="83"/>
      <c r="Z134" s="81"/>
      <c r="AA134" s="81"/>
      <c r="AB134" s="81"/>
      <c r="AC134" s="81"/>
      <c r="AD134" s="81"/>
      <c r="AE134" s="83"/>
      <c r="AF134" s="81"/>
      <c r="AG134" s="81"/>
      <c r="AH134" s="81"/>
      <c r="AI134" s="81"/>
      <c r="AJ134" s="83"/>
      <c r="AK134" s="81"/>
      <c r="AL134" s="81"/>
      <c r="AM134" s="83"/>
      <c r="AN134" s="80"/>
      <c r="AO134" s="82" t="n">
        <f aca="false">IF(E134="","",(AA134&lt;&gt;"")+(AG134&lt;&gt;"")+(AL134&lt;&gt;""))</f>
        <v>0</v>
      </c>
      <c r="AP134" s="82" t="str">
        <f aca="false">IF(AL134&lt;&gt;"",AL134,IF(AG134&lt;&gt;"",AG134,IF(AA134&lt;&gt;"",AA134,"")))</f>
        <v/>
      </c>
      <c r="AQ134" s="84" t="str">
        <f aca="false">IF(E134="","",IF(U134="","À SOUDER",IF(X134="","VT EN ATTENTE",IF(X134="R","VT REJETÉ – À REPRENDRE",IF(AP134="","À RADIOGRAPHIER",IF(AP134="A","ACCEPTÉ",IF(AP134="NX","NX – RT À REFAIRE",IF(IF(AO134=1,AD134,IF(AO134=2,AI134,""))="A","RÉPARÉ – À RADIOGRAPHIER",IF(IF(AO134=1,AD134,IF(AO134=2,AI134,""))="R","VT REJETÉ – À REPRENDRE",IF(OR(AP134="CO",AP134="NT"),"COUPE – À RESOUDER","À RÉPARER"))))))))))</f>
        <v>À SOUDER</v>
      </c>
      <c r="AR134" s="82" t="str">
        <f aca="false">IF(AND(ISNUMBER(U134),OR(AQ134="À RADIOGRAPHIER",AQ134="RÉPARÉ – À RADIOGRAPHIER",AQ134="NX – RT À REFAIRE",AQ134="À RÉPARER",AQ134="COUPE – À RESOUDER",AQ134="VT REJETÉ – À REPRENDRE")),MAX(0,'PROGRAMME RT'!$C$4-U134),"")</f>
        <v/>
      </c>
      <c r="AS134" s="82" t="n">
        <f aca="false">IF(AND(OR(AQ134="À RADIOGRAPHIER",AQ134="RÉPARÉ – À RADIOGRAPHIER",AQ134="NX – RT À REFAIRE"),OR('PROGRAMME RT'!$D$5="TOUTES",B134='PROGRAMME RT'!$D$5)),1,0)</f>
        <v>0</v>
      </c>
      <c r="AT134" s="82" t="str">
        <f aca="false">IF(AS134=1,SUM(AS$7:AS134),"")</f>
        <v/>
      </c>
      <c r="AU134" s="82" t="n">
        <f aca="false">IF(AND(OR(AA134="R",AA134="NX",AA134="NT",AA134="CO"),OR('JOINTS DE RÉPARATION'!$D$5="TOUTES",B134='JOINTS DE RÉPARATION'!$D$5),OR('JOINTS DE RÉPARATION'!$L$4="TOUS",AQ134&lt;&gt;"ACCEPTÉ")),1,0)</f>
        <v>0</v>
      </c>
      <c r="AV134" s="82" t="str">
        <f aca="false">IF(AU134=1,SUM(AU$7:AU134),"")</f>
        <v/>
      </c>
      <c r="AW134" s="82" t="str">
        <f aca="false">IF(E134="","",B134&amp;"|"&amp;E134)</f>
        <v>MFD-ISW → MFD-CPF|JN°128</v>
      </c>
    </row>
    <row r="135" customFormat="false" ht="74.6" hidden="false" customHeight="false" outlineLevel="0" collapsed="false">
      <c r="A135" s="79" t="n">
        <f aca="false">IF(E135="","",ROW()-6)</f>
        <v>129</v>
      </c>
      <c r="B135" s="80" t="s">
        <v>110</v>
      </c>
      <c r="C135" s="81"/>
      <c r="D135" s="81"/>
      <c r="E135" s="81" t="s">
        <v>239</v>
      </c>
      <c r="F135" s="82" t="str">
        <f aca="false">IF(E135="","",IF(LEFT(E135,2)="DJ","DJ","JN"))</f>
        <v>JN</v>
      </c>
      <c r="G135" s="81"/>
      <c r="H135" s="81"/>
      <c r="I135" s="81"/>
      <c r="J135" s="81"/>
      <c r="K135" s="81"/>
      <c r="L135" s="81"/>
      <c r="M135" s="81"/>
      <c r="N135" s="81"/>
      <c r="O135" s="81"/>
      <c r="P135" s="81"/>
      <c r="Q135" s="81"/>
      <c r="R135" s="81"/>
      <c r="S135" s="81"/>
      <c r="T135" s="81"/>
      <c r="U135" s="83"/>
      <c r="V135" s="83"/>
      <c r="W135" s="81"/>
      <c r="X135" s="81"/>
      <c r="Y135" s="83"/>
      <c r="Z135" s="81"/>
      <c r="AA135" s="81"/>
      <c r="AB135" s="81"/>
      <c r="AC135" s="81"/>
      <c r="AD135" s="81"/>
      <c r="AE135" s="83"/>
      <c r="AF135" s="81"/>
      <c r="AG135" s="81"/>
      <c r="AH135" s="81"/>
      <c r="AI135" s="81"/>
      <c r="AJ135" s="83"/>
      <c r="AK135" s="81"/>
      <c r="AL135" s="81"/>
      <c r="AM135" s="83"/>
      <c r="AN135" s="80"/>
      <c r="AO135" s="82" t="n">
        <f aca="false">IF(E135="","",(AA135&lt;&gt;"")+(AG135&lt;&gt;"")+(AL135&lt;&gt;""))</f>
        <v>0</v>
      </c>
      <c r="AP135" s="82" t="str">
        <f aca="false">IF(AL135&lt;&gt;"",AL135,IF(AG135&lt;&gt;"",AG135,IF(AA135&lt;&gt;"",AA135,"")))</f>
        <v/>
      </c>
      <c r="AQ135" s="84" t="str">
        <f aca="false">IF(E135="","",IF(U135="","À SOUDER",IF(X135="","VT EN ATTENTE",IF(X135="R","VT REJETÉ – À REPRENDRE",IF(AP135="","À RADIOGRAPHIER",IF(AP135="A","ACCEPTÉ",IF(AP135="NX","NX – RT À REFAIRE",IF(IF(AO135=1,AD135,IF(AO135=2,AI135,""))="A","RÉPARÉ – À RADIOGRAPHIER",IF(IF(AO135=1,AD135,IF(AO135=2,AI135,""))="R","VT REJETÉ – À REPRENDRE",IF(OR(AP135="CO",AP135="NT"),"COUPE – À RESOUDER","À RÉPARER"))))))))))</f>
        <v>À SOUDER</v>
      </c>
      <c r="AR135" s="82" t="str">
        <f aca="false">IF(AND(ISNUMBER(U135),OR(AQ135="À RADIOGRAPHIER",AQ135="RÉPARÉ – À RADIOGRAPHIER",AQ135="NX – RT À REFAIRE",AQ135="À RÉPARER",AQ135="COUPE – À RESOUDER",AQ135="VT REJETÉ – À REPRENDRE")),MAX(0,'PROGRAMME RT'!$C$4-U135),"")</f>
        <v/>
      </c>
      <c r="AS135" s="82" t="n">
        <f aca="false">IF(AND(OR(AQ135="À RADIOGRAPHIER",AQ135="RÉPARÉ – À RADIOGRAPHIER",AQ135="NX – RT À REFAIRE"),OR('PROGRAMME RT'!$D$5="TOUTES",B135='PROGRAMME RT'!$D$5)),1,0)</f>
        <v>0</v>
      </c>
      <c r="AT135" s="82" t="str">
        <f aca="false">IF(AS135=1,SUM(AS$7:AS135),"")</f>
        <v/>
      </c>
      <c r="AU135" s="82" t="n">
        <f aca="false">IF(AND(OR(AA135="R",AA135="NX",AA135="NT",AA135="CO"),OR('JOINTS DE RÉPARATION'!$D$5="TOUTES",B135='JOINTS DE RÉPARATION'!$D$5),OR('JOINTS DE RÉPARATION'!$L$4="TOUS",AQ135&lt;&gt;"ACCEPTÉ")),1,0)</f>
        <v>0</v>
      </c>
      <c r="AV135" s="82" t="str">
        <f aca="false">IF(AU135=1,SUM(AU$7:AU135),"")</f>
        <v/>
      </c>
      <c r="AW135" s="82" t="str">
        <f aca="false">IF(E135="","",B135&amp;"|"&amp;E135)</f>
        <v>MFD-ISW → MFD-CPF|JN°129</v>
      </c>
    </row>
    <row r="136" customFormat="false" ht="74.6" hidden="false" customHeight="false" outlineLevel="0" collapsed="false">
      <c r="A136" s="79" t="n">
        <f aca="false">IF(E136="","",ROW()-6)</f>
        <v>130</v>
      </c>
      <c r="B136" s="80" t="s">
        <v>110</v>
      </c>
      <c r="C136" s="81"/>
      <c r="D136" s="81"/>
      <c r="E136" s="81" t="s">
        <v>240</v>
      </c>
      <c r="F136" s="82" t="str">
        <f aca="false">IF(E136="","",IF(LEFT(E136,2)="DJ","DJ","JN"))</f>
        <v>JN</v>
      </c>
      <c r="G136" s="81"/>
      <c r="H136" s="81"/>
      <c r="I136" s="81"/>
      <c r="J136" s="81"/>
      <c r="K136" s="81"/>
      <c r="L136" s="81"/>
      <c r="M136" s="81"/>
      <c r="N136" s="81"/>
      <c r="O136" s="81"/>
      <c r="P136" s="81"/>
      <c r="Q136" s="81"/>
      <c r="R136" s="81"/>
      <c r="S136" s="81"/>
      <c r="T136" s="81"/>
      <c r="U136" s="83"/>
      <c r="V136" s="83"/>
      <c r="W136" s="81"/>
      <c r="X136" s="81"/>
      <c r="Y136" s="83"/>
      <c r="Z136" s="81"/>
      <c r="AA136" s="81"/>
      <c r="AB136" s="81"/>
      <c r="AC136" s="81"/>
      <c r="AD136" s="81"/>
      <c r="AE136" s="83"/>
      <c r="AF136" s="81"/>
      <c r="AG136" s="81"/>
      <c r="AH136" s="81"/>
      <c r="AI136" s="81"/>
      <c r="AJ136" s="83"/>
      <c r="AK136" s="81"/>
      <c r="AL136" s="81"/>
      <c r="AM136" s="83"/>
      <c r="AN136" s="80"/>
      <c r="AO136" s="82" t="n">
        <f aca="false">IF(E136="","",(AA136&lt;&gt;"")+(AG136&lt;&gt;"")+(AL136&lt;&gt;""))</f>
        <v>0</v>
      </c>
      <c r="AP136" s="82" t="str">
        <f aca="false">IF(AL136&lt;&gt;"",AL136,IF(AG136&lt;&gt;"",AG136,IF(AA136&lt;&gt;"",AA136,"")))</f>
        <v/>
      </c>
      <c r="AQ136" s="84" t="str">
        <f aca="false">IF(E136="","",IF(U136="","À SOUDER",IF(X136="","VT EN ATTENTE",IF(X136="R","VT REJETÉ – À REPRENDRE",IF(AP136="","À RADIOGRAPHIER",IF(AP136="A","ACCEPTÉ",IF(AP136="NX","NX – RT À REFAIRE",IF(IF(AO136=1,AD136,IF(AO136=2,AI136,""))="A","RÉPARÉ – À RADIOGRAPHIER",IF(IF(AO136=1,AD136,IF(AO136=2,AI136,""))="R","VT REJETÉ – À REPRENDRE",IF(OR(AP136="CO",AP136="NT"),"COUPE – À RESOUDER","À RÉPARER"))))))))))</f>
        <v>À SOUDER</v>
      </c>
      <c r="AR136" s="82" t="str">
        <f aca="false">IF(AND(ISNUMBER(U136),OR(AQ136="À RADIOGRAPHIER",AQ136="RÉPARÉ – À RADIOGRAPHIER",AQ136="NX – RT À REFAIRE",AQ136="À RÉPARER",AQ136="COUPE – À RESOUDER",AQ136="VT REJETÉ – À REPRENDRE")),MAX(0,'PROGRAMME RT'!$C$4-U136),"")</f>
        <v/>
      </c>
      <c r="AS136" s="82" t="n">
        <f aca="false">IF(AND(OR(AQ136="À RADIOGRAPHIER",AQ136="RÉPARÉ – À RADIOGRAPHIER",AQ136="NX – RT À REFAIRE"),OR('PROGRAMME RT'!$D$5="TOUTES",B136='PROGRAMME RT'!$D$5)),1,0)</f>
        <v>0</v>
      </c>
      <c r="AT136" s="82" t="str">
        <f aca="false">IF(AS136=1,SUM(AS$7:AS136),"")</f>
        <v/>
      </c>
      <c r="AU136" s="82" t="n">
        <f aca="false">IF(AND(OR(AA136="R",AA136="NX",AA136="NT",AA136="CO"),OR('JOINTS DE RÉPARATION'!$D$5="TOUTES",B136='JOINTS DE RÉPARATION'!$D$5),OR('JOINTS DE RÉPARATION'!$L$4="TOUS",AQ136&lt;&gt;"ACCEPTÉ")),1,0)</f>
        <v>0</v>
      </c>
      <c r="AV136" s="82" t="str">
        <f aca="false">IF(AU136=1,SUM(AU$7:AU136),"")</f>
        <v/>
      </c>
      <c r="AW136" s="82" t="str">
        <f aca="false">IF(E136="","",B136&amp;"|"&amp;E136)</f>
        <v>MFD-ISW → MFD-CPF|JN°130</v>
      </c>
    </row>
    <row r="137" customFormat="false" ht="74.6" hidden="false" customHeight="false" outlineLevel="0" collapsed="false">
      <c r="A137" s="79" t="n">
        <f aca="false">IF(E137="","",ROW()-6)</f>
        <v>131</v>
      </c>
      <c r="B137" s="80" t="s">
        <v>110</v>
      </c>
      <c r="C137" s="81"/>
      <c r="D137" s="81"/>
      <c r="E137" s="81" t="s">
        <v>241</v>
      </c>
      <c r="F137" s="82" t="str">
        <f aca="false">IF(E137="","",IF(LEFT(E137,2)="DJ","DJ","JN"))</f>
        <v>JN</v>
      </c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3"/>
      <c r="V137" s="83"/>
      <c r="W137" s="81"/>
      <c r="X137" s="81"/>
      <c r="Y137" s="83"/>
      <c r="Z137" s="81"/>
      <c r="AA137" s="81"/>
      <c r="AB137" s="81"/>
      <c r="AC137" s="81"/>
      <c r="AD137" s="81"/>
      <c r="AE137" s="83"/>
      <c r="AF137" s="81"/>
      <c r="AG137" s="81"/>
      <c r="AH137" s="81"/>
      <c r="AI137" s="81"/>
      <c r="AJ137" s="83"/>
      <c r="AK137" s="81"/>
      <c r="AL137" s="81"/>
      <c r="AM137" s="83"/>
      <c r="AN137" s="80"/>
      <c r="AO137" s="82" t="n">
        <f aca="false">IF(E137="","",(AA137&lt;&gt;"")+(AG137&lt;&gt;"")+(AL137&lt;&gt;""))</f>
        <v>0</v>
      </c>
      <c r="AP137" s="82" t="str">
        <f aca="false">IF(AL137&lt;&gt;"",AL137,IF(AG137&lt;&gt;"",AG137,IF(AA137&lt;&gt;"",AA137,"")))</f>
        <v/>
      </c>
      <c r="AQ137" s="84" t="str">
        <f aca="false">IF(E137="","",IF(U137="","À SOUDER",IF(X137="","VT EN ATTENTE",IF(X137="R","VT REJETÉ – À REPRENDRE",IF(AP137="","À RADIOGRAPHIER",IF(AP137="A","ACCEPTÉ",IF(AP137="NX","NX – RT À REFAIRE",IF(IF(AO137=1,AD137,IF(AO137=2,AI137,""))="A","RÉPARÉ – À RADIOGRAPHIER",IF(IF(AO137=1,AD137,IF(AO137=2,AI137,""))="R","VT REJETÉ – À REPRENDRE",IF(OR(AP137="CO",AP137="NT"),"COUPE – À RESOUDER","À RÉPARER"))))))))))</f>
        <v>À SOUDER</v>
      </c>
      <c r="AR137" s="82" t="str">
        <f aca="false">IF(AND(ISNUMBER(U137),OR(AQ137="À RADIOGRAPHIER",AQ137="RÉPARÉ – À RADIOGRAPHIER",AQ137="NX – RT À REFAIRE",AQ137="À RÉPARER",AQ137="COUPE – À RESOUDER",AQ137="VT REJETÉ – À REPRENDRE")),MAX(0,'PROGRAMME RT'!$C$4-U137),"")</f>
        <v/>
      </c>
      <c r="AS137" s="82" t="n">
        <f aca="false">IF(AND(OR(AQ137="À RADIOGRAPHIER",AQ137="RÉPARÉ – À RADIOGRAPHIER",AQ137="NX – RT À REFAIRE"),OR('PROGRAMME RT'!$D$5="TOUTES",B137='PROGRAMME RT'!$D$5)),1,0)</f>
        <v>0</v>
      </c>
      <c r="AT137" s="82" t="str">
        <f aca="false">IF(AS137=1,SUM(AS$7:AS137),"")</f>
        <v/>
      </c>
      <c r="AU137" s="82" t="n">
        <f aca="false">IF(AND(OR(AA137="R",AA137="NX",AA137="NT",AA137="CO"),OR('JOINTS DE RÉPARATION'!$D$5="TOUTES",B137='JOINTS DE RÉPARATION'!$D$5),OR('JOINTS DE RÉPARATION'!$L$4="TOUS",AQ137&lt;&gt;"ACCEPTÉ")),1,0)</f>
        <v>0</v>
      </c>
      <c r="AV137" s="82" t="str">
        <f aca="false">IF(AU137=1,SUM(AU$7:AU137),"")</f>
        <v/>
      </c>
      <c r="AW137" s="82" t="str">
        <f aca="false">IF(E137="","",B137&amp;"|"&amp;E137)</f>
        <v>MFD-ISW → MFD-CPF|JN°131</v>
      </c>
    </row>
    <row r="138" customFormat="false" ht="74.6" hidden="false" customHeight="false" outlineLevel="0" collapsed="false">
      <c r="A138" s="79" t="n">
        <f aca="false">IF(E138="","",ROW()-6)</f>
        <v>132</v>
      </c>
      <c r="B138" s="80" t="s">
        <v>110</v>
      </c>
      <c r="C138" s="81"/>
      <c r="D138" s="81"/>
      <c r="E138" s="81" t="s">
        <v>242</v>
      </c>
      <c r="F138" s="82" t="str">
        <f aca="false">IF(E138="","",IF(LEFT(E138,2)="DJ","DJ","JN"))</f>
        <v>JN</v>
      </c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3"/>
      <c r="V138" s="83"/>
      <c r="W138" s="81"/>
      <c r="X138" s="81"/>
      <c r="Y138" s="83"/>
      <c r="Z138" s="81"/>
      <c r="AA138" s="81"/>
      <c r="AB138" s="81"/>
      <c r="AC138" s="81"/>
      <c r="AD138" s="81"/>
      <c r="AE138" s="83"/>
      <c r="AF138" s="81"/>
      <c r="AG138" s="81"/>
      <c r="AH138" s="81"/>
      <c r="AI138" s="81"/>
      <c r="AJ138" s="83"/>
      <c r="AK138" s="81"/>
      <c r="AL138" s="81"/>
      <c r="AM138" s="83"/>
      <c r="AN138" s="80"/>
      <c r="AO138" s="82" t="n">
        <f aca="false">IF(E138="","",(AA138&lt;&gt;"")+(AG138&lt;&gt;"")+(AL138&lt;&gt;""))</f>
        <v>0</v>
      </c>
      <c r="AP138" s="82" t="str">
        <f aca="false">IF(AL138&lt;&gt;"",AL138,IF(AG138&lt;&gt;"",AG138,IF(AA138&lt;&gt;"",AA138,"")))</f>
        <v/>
      </c>
      <c r="AQ138" s="84" t="str">
        <f aca="false">IF(E138="","",IF(U138="","À SOUDER",IF(X138="","VT EN ATTENTE",IF(X138="R","VT REJETÉ – À REPRENDRE",IF(AP138="","À RADIOGRAPHIER",IF(AP138="A","ACCEPTÉ",IF(AP138="NX","NX – RT À REFAIRE",IF(IF(AO138=1,AD138,IF(AO138=2,AI138,""))="A","RÉPARÉ – À RADIOGRAPHIER",IF(IF(AO138=1,AD138,IF(AO138=2,AI138,""))="R","VT REJETÉ – À REPRENDRE",IF(OR(AP138="CO",AP138="NT"),"COUPE – À RESOUDER","À RÉPARER"))))))))))</f>
        <v>À SOUDER</v>
      </c>
      <c r="AR138" s="82" t="str">
        <f aca="false">IF(AND(ISNUMBER(U138),OR(AQ138="À RADIOGRAPHIER",AQ138="RÉPARÉ – À RADIOGRAPHIER",AQ138="NX – RT À REFAIRE",AQ138="À RÉPARER",AQ138="COUPE – À RESOUDER",AQ138="VT REJETÉ – À REPRENDRE")),MAX(0,'PROGRAMME RT'!$C$4-U138),"")</f>
        <v/>
      </c>
      <c r="AS138" s="82" t="n">
        <f aca="false">IF(AND(OR(AQ138="À RADIOGRAPHIER",AQ138="RÉPARÉ – À RADIOGRAPHIER",AQ138="NX – RT À REFAIRE"),OR('PROGRAMME RT'!$D$5="TOUTES",B138='PROGRAMME RT'!$D$5)),1,0)</f>
        <v>0</v>
      </c>
      <c r="AT138" s="82" t="str">
        <f aca="false">IF(AS138=1,SUM(AS$7:AS138),"")</f>
        <v/>
      </c>
      <c r="AU138" s="82" t="n">
        <f aca="false">IF(AND(OR(AA138="R",AA138="NX",AA138="NT",AA138="CO"),OR('JOINTS DE RÉPARATION'!$D$5="TOUTES",B138='JOINTS DE RÉPARATION'!$D$5),OR('JOINTS DE RÉPARATION'!$L$4="TOUS",AQ138&lt;&gt;"ACCEPTÉ")),1,0)</f>
        <v>0</v>
      </c>
      <c r="AV138" s="82" t="str">
        <f aca="false">IF(AU138=1,SUM(AU$7:AU138),"")</f>
        <v/>
      </c>
      <c r="AW138" s="82" t="str">
        <f aca="false">IF(E138="","",B138&amp;"|"&amp;E138)</f>
        <v>MFD-ISW → MFD-CPF|JN°132</v>
      </c>
    </row>
    <row r="139" customFormat="false" ht="74.6" hidden="false" customHeight="false" outlineLevel="0" collapsed="false">
      <c r="A139" s="79" t="n">
        <f aca="false">IF(E139="","",ROW()-6)</f>
        <v>133</v>
      </c>
      <c r="B139" s="80" t="s">
        <v>110</v>
      </c>
      <c r="C139" s="81"/>
      <c r="D139" s="81"/>
      <c r="E139" s="81" t="s">
        <v>243</v>
      </c>
      <c r="F139" s="82" t="str">
        <f aca="false">IF(E139="","",IF(LEFT(E139,2)="DJ","DJ","JN"))</f>
        <v>JN</v>
      </c>
      <c r="G139" s="81"/>
      <c r="H139" s="81"/>
      <c r="I139" s="81"/>
      <c r="J139" s="81"/>
      <c r="K139" s="81"/>
      <c r="L139" s="81"/>
      <c r="M139" s="81"/>
      <c r="N139" s="81"/>
      <c r="O139" s="81"/>
      <c r="P139" s="81"/>
      <c r="Q139" s="81"/>
      <c r="R139" s="81"/>
      <c r="S139" s="81"/>
      <c r="T139" s="81"/>
      <c r="U139" s="83"/>
      <c r="V139" s="83"/>
      <c r="W139" s="81"/>
      <c r="X139" s="81"/>
      <c r="Y139" s="83"/>
      <c r="Z139" s="81"/>
      <c r="AA139" s="81"/>
      <c r="AB139" s="81"/>
      <c r="AC139" s="81"/>
      <c r="AD139" s="81"/>
      <c r="AE139" s="83"/>
      <c r="AF139" s="81"/>
      <c r="AG139" s="81"/>
      <c r="AH139" s="81"/>
      <c r="AI139" s="81"/>
      <c r="AJ139" s="83"/>
      <c r="AK139" s="81"/>
      <c r="AL139" s="81"/>
      <c r="AM139" s="83"/>
      <c r="AN139" s="80"/>
      <c r="AO139" s="82" t="n">
        <f aca="false">IF(E139="","",(AA139&lt;&gt;"")+(AG139&lt;&gt;"")+(AL139&lt;&gt;""))</f>
        <v>0</v>
      </c>
      <c r="AP139" s="82" t="str">
        <f aca="false">IF(AL139&lt;&gt;"",AL139,IF(AG139&lt;&gt;"",AG139,IF(AA139&lt;&gt;"",AA139,"")))</f>
        <v/>
      </c>
      <c r="AQ139" s="84" t="str">
        <f aca="false">IF(E139="","",IF(U139="","À SOUDER",IF(X139="","VT EN ATTENTE",IF(X139="R","VT REJETÉ – À REPRENDRE",IF(AP139="","À RADIOGRAPHIER",IF(AP139="A","ACCEPTÉ",IF(AP139="NX","NX – RT À REFAIRE",IF(IF(AO139=1,AD139,IF(AO139=2,AI139,""))="A","RÉPARÉ – À RADIOGRAPHIER",IF(IF(AO139=1,AD139,IF(AO139=2,AI139,""))="R","VT REJETÉ – À REPRENDRE",IF(OR(AP139="CO",AP139="NT"),"COUPE – À RESOUDER","À RÉPARER"))))))))))</f>
        <v>À SOUDER</v>
      </c>
      <c r="AR139" s="82" t="str">
        <f aca="false">IF(AND(ISNUMBER(U139),OR(AQ139="À RADIOGRAPHIER",AQ139="RÉPARÉ – À RADIOGRAPHIER",AQ139="NX – RT À REFAIRE",AQ139="À RÉPARER",AQ139="COUPE – À RESOUDER",AQ139="VT REJETÉ – À REPRENDRE")),MAX(0,'PROGRAMME RT'!$C$4-U139),"")</f>
        <v/>
      </c>
      <c r="AS139" s="82" t="n">
        <f aca="false">IF(AND(OR(AQ139="À RADIOGRAPHIER",AQ139="RÉPARÉ – À RADIOGRAPHIER",AQ139="NX – RT À REFAIRE"),OR('PROGRAMME RT'!$D$5="TOUTES",B139='PROGRAMME RT'!$D$5)),1,0)</f>
        <v>0</v>
      </c>
      <c r="AT139" s="82" t="str">
        <f aca="false">IF(AS139=1,SUM(AS$7:AS139),"")</f>
        <v/>
      </c>
      <c r="AU139" s="82" t="n">
        <f aca="false">IF(AND(OR(AA139="R",AA139="NX",AA139="NT",AA139="CO"),OR('JOINTS DE RÉPARATION'!$D$5="TOUTES",B139='JOINTS DE RÉPARATION'!$D$5),OR('JOINTS DE RÉPARATION'!$L$4="TOUS",AQ139&lt;&gt;"ACCEPTÉ")),1,0)</f>
        <v>0</v>
      </c>
      <c r="AV139" s="82" t="str">
        <f aca="false">IF(AU139=1,SUM(AU$7:AU139),"")</f>
        <v/>
      </c>
      <c r="AW139" s="82" t="str">
        <f aca="false">IF(E139="","",B139&amp;"|"&amp;E139)</f>
        <v>MFD-ISW → MFD-CPF|JN°133</v>
      </c>
    </row>
    <row r="140" customFormat="false" ht="74.6" hidden="false" customHeight="false" outlineLevel="0" collapsed="false">
      <c r="A140" s="79" t="n">
        <f aca="false">IF(E140="","",ROW()-6)</f>
        <v>134</v>
      </c>
      <c r="B140" s="80" t="s">
        <v>110</v>
      </c>
      <c r="C140" s="81"/>
      <c r="D140" s="81"/>
      <c r="E140" s="81" t="s">
        <v>244</v>
      </c>
      <c r="F140" s="82" t="str">
        <f aca="false">IF(E140="","",IF(LEFT(E140,2)="DJ","DJ","JN"))</f>
        <v>JN</v>
      </c>
      <c r="G140" s="81"/>
      <c r="H140" s="81"/>
      <c r="I140" s="81"/>
      <c r="J140" s="81"/>
      <c r="K140" s="81"/>
      <c r="L140" s="81"/>
      <c r="M140" s="81"/>
      <c r="N140" s="81"/>
      <c r="O140" s="81"/>
      <c r="P140" s="81"/>
      <c r="Q140" s="81"/>
      <c r="R140" s="81"/>
      <c r="S140" s="81"/>
      <c r="T140" s="81"/>
      <c r="U140" s="83"/>
      <c r="V140" s="83"/>
      <c r="W140" s="81"/>
      <c r="X140" s="81"/>
      <c r="Y140" s="83"/>
      <c r="Z140" s="81"/>
      <c r="AA140" s="81"/>
      <c r="AB140" s="81"/>
      <c r="AC140" s="81"/>
      <c r="AD140" s="81"/>
      <c r="AE140" s="83"/>
      <c r="AF140" s="81"/>
      <c r="AG140" s="81"/>
      <c r="AH140" s="81"/>
      <c r="AI140" s="81"/>
      <c r="AJ140" s="83"/>
      <c r="AK140" s="81"/>
      <c r="AL140" s="81"/>
      <c r="AM140" s="83"/>
      <c r="AN140" s="80"/>
      <c r="AO140" s="82" t="n">
        <f aca="false">IF(E140="","",(AA140&lt;&gt;"")+(AG140&lt;&gt;"")+(AL140&lt;&gt;""))</f>
        <v>0</v>
      </c>
      <c r="AP140" s="82" t="str">
        <f aca="false">IF(AL140&lt;&gt;"",AL140,IF(AG140&lt;&gt;"",AG140,IF(AA140&lt;&gt;"",AA140,"")))</f>
        <v/>
      </c>
      <c r="AQ140" s="84" t="str">
        <f aca="false">IF(E140="","",IF(U140="","À SOUDER",IF(X140="","VT EN ATTENTE",IF(X140="R","VT REJETÉ – À REPRENDRE",IF(AP140="","À RADIOGRAPHIER",IF(AP140="A","ACCEPTÉ",IF(AP140="NX","NX – RT À REFAIRE",IF(IF(AO140=1,AD140,IF(AO140=2,AI140,""))="A","RÉPARÉ – À RADIOGRAPHIER",IF(IF(AO140=1,AD140,IF(AO140=2,AI140,""))="R","VT REJETÉ – À REPRENDRE",IF(OR(AP140="CO",AP140="NT"),"COUPE – À RESOUDER","À RÉPARER"))))))))))</f>
        <v>À SOUDER</v>
      </c>
      <c r="AR140" s="82" t="str">
        <f aca="false">IF(AND(ISNUMBER(U140),OR(AQ140="À RADIOGRAPHIER",AQ140="RÉPARÉ – À RADIOGRAPHIER",AQ140="NX – RT À REFAIRE",AQ140="À RÉPARER",AQ140="COUPE – À RESOUDER",AQ140="VT REJETÉ – À REPRENDRE")),MAX(0,'PROGRAMME RT'!$C$4-U140),"")</f>
        <v/>
      </c>
      <c r="AS140" s="82" t="n">
        <f aca="false">IF(AND(OR(AQ140="À RADIOGRAPHIER",AQ140="RÉPARÉ – À RADIOGRAPHIER",AQ140="NX – RT À REFAIRE"),OR('PROGRAMME RT'!$D$5="TOUTES",B140='PROGRAMME RT'!$D$5)),1,0)</f>
        <v>0</v>
      </c>
      <c r="AT140" s="82" t="str">
        <f aca="false">IF(AS140=1,SUM(AS$7:AS140),"")</f>
        <v/>
      </c>
      <c r="AU140" s="82" t="n">
        <f aca="false">IF(AND(OR(AA140="R",AA140="NX",AA140="NT",AA140="CO"),OR('JOINTS DE RÉPARATION'!$D$5="TOUTES",B140='JOINTS DE RÉPARATION'!$D$5),OR('JOINTS DE RÉPARATION'!$L$4="TOUS",AQ140&lt;&gt;"ACCEPTÉ")),1,0)</f>
        <v>0</v>
      </c>
      <c r="AV140" s="82" t="str">
        <f aca="false">IF(AU140=1,SUM(AU$7:AU140),"")</f>
        <v/>
      </c>
      <c r="AW140" s="82" t="str">
        <f aca="false">IF(E140="","",B140&amp;"|"&amp;E140)</f>
        <v>MFD-ISW → MFD-CPF|JN°134</v>
      </c>
    </row>
    <row r="141" customFormat="false" ht="74.6" hidden="false" customHeight="false" outlineLevel="0" collapsed="false">
      <c r="A141" s="79" t="n">
        <f aca="false">IF(E141="","",ROW()-6)</f>
        <v>135</v>
      </c>
      <c r="B141" s="80" t="s">
        <v>110</v>
      </c>
      <c r="C141" s="81"/>
      <c r="D141" s="81"/>
      <c r="E141" s="81" t="s">
        <v>245</v>
      </c>
      <c r="F141" s="82" t="str">
        <f aca="false">IF(E141="","",IF(LEFT(E141,2)="DJ","DJ","JN"))</f>
        <v>JN</v>
      </c>
      <c r="G141" s="81"/>
      <c r="H141" s="81"/>
      <c r="I141" s="81"/>
      <c r="J141" s="81"/>
      <c r="K141" s="81"/>
      <c r="L141" s="81"/>
      <c r="M141" s="81"/>
      <c r="N141" s="81"/>
      <c r="O141" s="81"/>
      <c r="P141" s="81"/>
      <c r="Q141" s="81"/>
      <c r="R141" s="81"/>
      <c r="S141" s="81"/>
      <c r="T141" s="81"/>
      <c r="U141" s="83"/>
      <c r="V141" s="83"/>
      <c r="W141" s="81"/>
      <c r="X141" s="81"/>
      <c r="Y141" s="83"/>
      <c r="Z141" s="81"/>
      <c r="AA141" s="81"/>
      <c r="AB141" s="81"/>
      <c r="AC141" s="81"/>
      <c r="AD141" s="81"/>
      <c r="AE141" s="83"/>
      <c r="AF141" s="81"/>
      <c r="AG141" s="81"/>
      <c r="AH141" s="81"/>
      <c r="AI141" s="81"/>
      <c r="AJ141" s="83"/>
      <c r="AK141" s="81"/>
      <c r="AL141" s="81"/>
      <c r="AM141" s="83"/>
      <c r="AN141" s="80"/>
      <c r="AO141" s="82" t="n">
        <f aca="false">IF(E141="","",(AA141&lt;&gt;"")+(AG141&lt;&gt;"")+(AL141&lt;&gt;""))</f>
        <v>0</v>
      </c>
      <c r="AP141" s="82" t="str">
        <f aca="false">IF(AL141&lt;&gt;"",AL141,IF(AG141&lt;&gt;"",AG141,IF(AA141&lt;&gt;"",AA141,"")))</f>
        <v/>
      </c>
      <c r="AQ141" s="84" t="str">
        <f aca="false">IF(E141="","",IF(U141="","À SOUDER",IF(X141="","VT EN ATTENTE",IF(X141="R","VT REJETÉ – À REPRENDRE",IF(AP141="","À RADIOGRAPHIER",IF(AP141="A","ACCEPTÉ",IF(AP141="NX","NX – RT À REFAIRE",IF(IF(AO141=1,AD141,IF(AO141=2,AI141,""))="A","RÉPARÉ – À RADIOGRAPHIER",IF(IF(AO141=1,AD141,IF(AO141=2,AI141,""))="R","VT REJETÉ – À REPRENDRE",IF(OR(AP141="CO",AP141="NT"),"COUPE – À RESOUDER","À RÉPARER"))))))))))</f>
        <v>À SOUDER</v>
      </c>
      <c r="AR141" s="82" t="str">
        <f aca="false">IF(AND(ISNUMBER(U141),OR(AQ141="À RADIOGRAPHIER",AQ141="RÉPARÉ – À RADIOGRAPHIER",AQ141="NX – RT À REFAIRE",AQ141="À RÉPARER",AQ141="COUPE – À RESOUDER",AQ141="VT REJETÉ – À REPRENDRE")),MAX(0,'PROGRAMME RT'!$C$4-U141),"")</f>
        <v/>
      </c>
      <c r="AS141" s="82" t="n">
        <f aca="false">IF(AND(OR(AQ141="À RADIOGRAPHIER",AQ141="RÉPARÉ – À RADIOGRAPHIER",AQ141="NX – RT À REFAIRE"),OR('PROGRAMME RT'!$D$5="TOUTES",B141='PROGRAMME RT'!$D$5)),1,0)</f>
        <v>0</v>
      </c>
      <c r="AT141" s="82" t="str">
        <f aca="false">IF(AS141=1,SUM(AS$7:AS141),"")</f>
        <v/>
      </c>
      <c r="AU141" s="82" t="n">
        <f aca="false">IF(AND(OR(AA141="R",AA141="NX",AA141="NT",AA141="CO"),OR('JOINTS DE RÉPARATION'!$D$5="TOUTES",B141='JOINTS DE RÉPARATION'!$D$5),OR('JOINTS DE RÉPARATION'!$L$4="TOUS",AQ141&lt;&gt;"ACCEPTÉ")),1,0)</f>
        <v>0</v>
      </c>
      <c r="AV141" s="82" t="str">
        <f aca="false">IF(AU141=1,SUM(AU$7:AU141),"")</f>
        <v/>
      </c>
      <c r="AW141" s="82" t="str">
        <f aca="false">IF(E141="","",B141&amp;"|"&amp;E141)</f>
        <v>MFD-ISW → MFD-CPF|JN°135</v>
      </c>
    </row>
    <row r="142" customFormat="false" ht="74.6" hidden="false" customHeight="false" outlineLevel="0" collapsed="false">
      <c r="A142" s="79" t="n">
        <f aca="false">IF(E142="","",ROW()-6)</f>
        <v>136</v>
      </c>
      <c r="B142" s="80" t="s">
        <v>110</v>
      </c>
      <c r="C142" s="81"/>
      <c r="D142" s="81"/>
      <c r="E142" s="81" t="s">
        <v>246</v>
      </c>
      <c r="F142" s="82" t="str">
        <f aca="false">IF(E142="","",IF(LEFT(E142,2)="DJ","DJ","JN"))</f>
        <v>JN</v>
      </c>
      <c r="G142" s="81"/>
      <c r="H142" s="81"/>
      <c r="I142" s="81"/>
      <c r="J142" s="81"/>
      <c r="K142" s="81"/>
      <c r="L142" s="81"/>
      <c r="M142" s="81"/>
      <c r="N142" s="81"/>
      <c r="O142" s="81"/>
      <c r="P142" s="81"/>
      <c r="Q142" s="81"/>
      <c r="R142" s="81"/>
      <c r="S142" s="81"/>
      <c r="T142" s="81"/>
      <c r="U142" s="83"/>
      <c r="V142" s="83"/>
      <c r="W142" s="81"/>
      <c r="X142" s="81"/>
      <c r="Y142" s="83"/>
      <c r="Z142" s="81"/>
      <c r="AA142" s="81"/>
      <c r="AB142" s="81"/>
      <c r="AC142" s="81"/>
      <c r="AD142" s="81"/>
      <c r="AE142" s="83"/>
      <c r="AF142" s="81"/>
      <c r="AG142" s="81"/>
      <c r="AH142" s="81"/>
      <c r="AI142" s="81"/>
      <c r="AJ142" s="83"/>
      <c r="AK142" s="81"/>
      <c r="AL142" s="81"/>
      <c r="AM142" s="83"/>
      <c r="AN142" s="80"/>
      <c r="AO142" s="82" t="n">
        <f aca="false">IF(E142="","",(AA142&lt;&gt;"")+(AG142&lt;&gt;"")+(AL142&lt;&gt;""))</f>
        <v>0</v>
      </c>
      <c r="AP142" s="82" t="str">
        <f aca="false">IF(AL142&lt;&gt;"",AL142,IF(AG142&lt;&gt;"",AG142,IF(AA142&lt;&gt;"",AA142,"")))</f>
        <v/>
      </c>
      <c r="AQ142" s="84" t="str">
        <f aca="false">IF(E142="","",IF(U142="","À SOUDER",IF(X142="","VT EN ATTENTE",IF(X142="R","VT REJETÉ – À REPRENDRE",IF(AP142="","À RADIOGRAPHIER",IF(AP142="A","ACCEPTÉ",IF(AP142="NX","NX – RT À REFAIRE",IF(IF(AO142=1,AD142,IF(AO142=2,AI142,""))="A","RÉPARÉ – À RADIOGRAPHIER",IF(IF(AO142=1,AD142,IF(AO142=2,AI142,""))="R","VT REJETÉ – À REPRENDRE",IF(OR(AP142="CO",AP142="NT"),"COUPE – À RESOUDER","À RÉPARER"))))))))))</f>
        <v>À SOUDER</v>
      </c>
      <c r="AR142" s="82" t="str">
        <f aca="false">IF(AND(ISNUMBER(U142),OR(AQ142="À RADIOGRAPHIER",AQ142="RÉPARÉ – À RADIOGRAPHIER",AQ142="NX – RT À REFAIRE",AQ142="À RÉPARER",AQ142="COUPE – À RESOUDER",AQ142="VT REJETÉ – À REPRENDRE")),MAX(0,'PROGRAMME RT'!$C$4-U142),"")</f>
        <v/>
      </c>
      <c r="AS142" s="82" t="n">
        <f aca="false">IF(AND(OR(AQ142="À RADIOGRAPHIER",AQ142="RÉPARÉ – À RADIOGRAPHIER",AQ142="NX – RT À REFAIRE"),OR('PROGRAMME RT'!$D$5="TOUTES",B142='PROGRAMME RT'!$D$5)),1,0)</f>
        <v>0</v>
      </c>
      <c r="AT142" s="82" t="str">
        <f aca="false">IF(AS142=1,SUM(AS$7:AS142),"")</f>
        <v/>
      </c>
      <c r="AU142" s="82" t="n">
        <f aca="false">IF(AND(OR(AA142="R",AA142="NX",AA142="NT",AA142="CO"),OR('JOINTS DE RÉPARATION'!$D$5="TOUTES",B142='JOINTS DE RÉPARATION'!$D$5),OR('JOINTS DE RÉPARATION'!$L$4="TOUS",AQ142&lt;&gt;"ACCEPTÉ")),1,0)</f>
        <v>0</v>
      </c>
      <c r="AV142" s="82" t="str">
        <f aca="false">IF(AU142=1,SUM(AU$7:AU142),"")</f>
        <v/>
      </c>
      <c r="AW142" s="82" t="str">
        <f aca="false">IF(E142="","",B142&amp;"|"&amp;E142)</f>
        <v>MFD-ISW → MFD-CPF|JN°136</v>
      </c>
    </row>
    <row r="143" customFormat="false" ht="74.6" hidden="false" customHeight="false" outlineLevel="0" collapsed="false">
      <c r="A143" s="79" t="n">
        <f aca="false">IF(E143="","",ROW()-6)</f>
        <v>137</v>
      </c>
      <c r="B143" s="80" t="s">
        <v>110</v>
      </c>
      <c r="C143" s="81"/>
      <c r="D143" s="81"/>
      <c r="E143" s="81" t="s">
        <v>247</v>
      </c>
      <c r="F143" s="82" t="str">
        <f aca="false">IF(E143="","",IF(LEFT(E143,2)="DJ","DJ","JN"))</f>
        <v>JN</v>
      </c>
      <c r="G143" s="81"/>
      <c r="H143" s="81"/>
      <c r="I143" s="81"/>
      <c r="J143" s="81"/>
      <c r="K143" s="81"/>
      <c r="L143" s="81"/>
      <c r="M143" s="81"/>
      <c r="N143" s="81"/>
      <c r="O143" s="81"/>
      <c r="P143" s="81"/>
      <c r="Q143" s="81"/>
      <c r="R143" s="81"/>
      <c r="S143" s="81"/>
      <c r="T143" s="81"/>
      <c r="U143" s="83"/>
      <c r="V143" s="83"/>
      <c r="W143" s="81"/>
      <c r="X143" s="81"/>
      <c r="Y143" s="83"/>
      <c r="Z143" s="81"/>
      <c r="AA143" s="81"/>
      <c r="AB143" s="81"/>
      <c r="AC143" s="81"/>
      <c r="AD143" s="81"/>
      <c r="AE143" s="83"/>
      <c r="AF143" s="81"/>
      <c r="AG143" s="81"/>
      <c r="AH143" s="81"/>
      <c r="AI143" s="81"/>
      <c r="AJ143" s="83"/>
      <c r="AK143" s="81"/>
      <c r="AL143" s="81"/>
      <c r="AM143" s="83"/>
      <c r="AN143" s="80"/>
      <c r="AO143" s="82" t="n">
        <f aca="false">IF(E143="","",(AA143&lt;&gt;"")+(AG143&lt;&gt;"")+(AL143&lt;&gt;""))</f>
        <v>0</v>
      </c>
      <c r="AP143" s="82" t="str">
        <f aca="false">IF(AL143&lt;&gt;"",AL143,IF(AG143&lt;&gt;"",AG143,IF(AA143&lt;&gt;"",AA143,"")))</f>
        <v/>
      </c>
      <c r="AQ143" s="84" t="str">
        <f aca="false">IF(E143="","",IF(U143="","À SOUDER",IF(X143="","VT EN ATTENTE",IF(X143="R","VT REJETÉ – À REPRENDRE",IF(AP143="","À RADIOGRAPHIER",IF(AP143="A","ACCEPTÉ",IF(AP143="NX","NX – RT À REFAIRE",IF(IF(AO143=1,AD143,IF(AO143=2,AI143,""))="A","RÉPARÉ – À RADIOGRAPHIER",IF(IF(AO143=1,AD143,IF(AO143=2,AI143,""))="R","VT REJETÉ – À REPRENDRE",IF(OR(AP143="CO",AP143="NT"),"COUPE – À RESOUDER","À RÉPARER"))))))))))</f>
        <v>À SOUDER</v>
      </c>
      <c r="AR143" s="82" t="str">
        <f aca="false">IF(AND(ISNUMBER(U143),OR(AQ143="À RADIOGRAPHIER",AQ143="RÉPARÉ – À RADIOGRAPHIER",AQ143="NX – RT À REFAIRE",AQ143="À RÉPARER",AQ143="COUPE – À RESOUDER",AQ143="VT REJETÉ – À REPRENDRE")),MAX(0,'PROGRAMME RT'!$C$4-U143),"")</f>
        <v/>
      </c>
      <c r="AS143" s="82" t="n">
        <f aca="false">IF(AND(OR(AQ143="À RADIOGRAPHIER",AQ143="RÉPARÉ – À RADIOGRAPHIER",AQ143="NX – RT À REFAIRE"),OR('PROGRAMME RT'!$D$5="TOUTES",B143='PROGRAMME RT'!$D$5)),1,0)</f>
        <v>0</v>
      </c>
      <c r="AT143" s="82" t="str">
        <f aca="false">IF(AS143=1,SUM(AS$7:AS143),"")</f>
        <v/>
      </c>
      <c r="AU143" s="82" t="n">
        <f aca="false">IF(AND(OR(AA143="R",AA143="NX",AA143="NT",AA143="CO"),OR('JOINTS DE RÉPARATION'!$D$5="TOUTES",B143='JOINTS DE RÉPARATION'!$D$5),OR('JOINTS DE RÉPARATION'!$L$4="TOUS",AQ143&lt;&gt;"ACCEPTÉ")),1,0)</f>
        <v>0</v>
      </c>
      <c r="AV143" s="82" t="str">
        <f aca="false">IF(AU143=1,SUM(AU$7:AU143),"")</f>
        <v/>
      </c>
      <c r="AW143" s="82" t="str">
        <f aca="false">IF(E143="","",B143&amp;"|"&amp;E143)</f>
        <v>MFD-ISW → MFD-CPF|JN°137</v>
      </c>
    </row>
    <row r="144" customFormat="false" ht="74.6" hidden="false" customHeight="false" outlineLevel="0" collapsed="false">
      <c r="A144" s="79" t="n">
        <f aca="false">IF(E144="","",ROW()-6)</f>
        <v>138</v>
      </c>
      <c r="B144" s="80" t="s">
        <v>110</v>
      </c>
      <c r="C144" s="81"/>
      <c r="D144" s="81"/>
      <c r="E144" s="81" t="s">
        <v>248</v>
      </c>
      <c r="F144" s="82" t="str">
        <f aca="false">IF(E144="","",IF(LEFT(E144,2)="DJ","DJ","JN"))</f>
        <v>JN</v>
      </c>
      <c r="G144" s="81"/>
      <c r="H144" s="81"/>
      <c r="I144" s="81"/>
      <c r="J144" s="81"/>
      <c r="K144" s="81"/>
      <c r="L144" s="81"/>
      <c r="M144" s="81"/>
      <c r="N144" s="81"/>
      <c r="O144" s="81"/>
      <c r="P144" s="81"/>
      <c r="Q144" s="81"/>
      <c r="R144" s="81"/>
      <c r="S144" s="81"/>
      <c r="T144" s="81"/>
      <c r="U144" s="83"/>
      <c r="V144" s="83"/>
      <c r="W144" s="81"/>
      <c r="X144" s="81"/>
      <c r="Y144" s="83"/>
      <c r="Z144" s="81"/>
      <c r="AA144" s="81"/>
      <c r="AB144" s="81"/>
      <c r="AC144" s="81"/>
      <c r="AD144" s="81"/>
      <c r="AE144" s="83"/>
      <c r="AF144" s="81"/>
      <c r="AG144" s="81"/>
      <c r="AH144" s="81"/>
      <c r="AI144" s="81"/>
      <c r="AJ144" s="83"/>
      <c r="AK144" s="81"/>
      <c r="AL144" s="81"/>
      <c r="AM144" s="83"/>
      <c r="AN144" s="80"/>
      <c r="AO144" s="82" t="n">
        <f aca="false">IF(E144="","",(AA144&lt;&gt;"")+(AG144&lt;&gt;"")+(AL144&lt;&gt;""))</f>
        <v>0</v>
      </c>
      <c r="AP144" s="82" t="str">
        <f aca="false">IF(AL144&lt;&gt;"",AL144,IF(AG144&lt;&gt;"",AG144,IF(AA144&lt;&gt;"",AA144,"")))</f>
        <v/>
      </c>
      <c r="AQ144" s="84" t="str">
        <f aca="false">IF(E144="","",IF(U144="","À SOUDER",IF(X144="","VT EN ATTENTE",IF(X144="R","VT REJETÉ – À REPRENDRE",IF(AP144="","À RADIOGRAPHIER",IF(AP144="A","ACCEPTÉ",IF(AP144="NX","NX – RT À REFAIRE",IF(IF(AO144=1,AD144,IF(AO144=2,AI144,""))="A","RÉPARÉ – À RADIOGRAPHIER",IF(IF(AO144=1,AD144,IF(AO144=2,AI144,""))="R","VT REJETÉ – À REPRENDRE",IF(OR(AP144="CO",AP144="NT"),"COUPE – À RESOUDER","À RÉPARER"))))))))))</f>
        <v>À SOUDER</v>
      </c>
      <c r="AR144" s="82" t="str">
        <f aca="false">IF(AND(ISNUMBER(U144),OR(AQ144="À RADIOGRAPHIER",AQ144="RÉPARÉ – À RADIOGRAPHIER",AQ144="NX – RT À REFAIRE",AQ144="À RÉPARER",AQ144="COUPE – À RESOUDER",AQ144="VT REJETÉ – À REPRENDRE")),MAX(0,'PROGRAMME RT'!$C$4-U144),"")</f>
        <v/>
      </c>
      <c r="AS144" s="82" t="n">
        <f aca="false">IF(AND(OR(AQ144="À RADIOGRAPHIER",AQ144="RÉPARÉ – À RADIOGRAPHIER",AQ144="NX – RT À REFAIRE"),OR('PROGRAMME RT'!$D$5="TOUTES",B144='PROGRAMME RT'!$D$5)),1,0)</f>
        <v>0</v>
      </c>
      <c r="AT144" s="82" t="str">
        <f aca="false">IF(AS144=1,SUM(AS$7:AS144),"")</f>
        <v/>
      </c>
      <c r="AU144" s="82" t="n">
        <f aca="false">IF(AND(OR(AA144="R",AA144="NX",AA144="NT",AA144="CO"),OR('JOINTS DE RÉPARATION'!$D$5="TOUTES",B144='JOINTS DE RÉPARATION'!$D$5),OR('JOINTS DE RÉPARATION'!$L$4="TOUS",AQ144&lt;&gt;"ACCEPTÉ")),1,0)</f>
        <v>0</v>
      </c>
      <c r="AV144" s="82" t="str">
        <f aca="false">IF(AU144=1,SUM(AU$7:AU144),"")</f>
        <v/>
      </c>
      <c r="AW144" s="82" t="str">
        <f aca="false">IF(E144="","",B144&amp;"|"&amp;E144)</f>
        <v>MFD-ISW → MFD-CPF|JN°138</v>
      </c>
    </row>
    <row r="145" customFormat="false" ht="74.6" hidden="false" customHeight="false" outlineLevel="0" collapsed="false">
      <c r="A145" s="79" t="n">
        <f aca="false">IF(E145="","",ROW()-6)</f>
        <v>139</v>
      </c>
      <c r="B145" s="80" t="s">
        <v>110</v>
      </c>
      <c r="C145" s="81"/>
      <c r="D145" s="81"/>
      <c r="E145" s="81" t="s">
        <v>249</v>
      </c>
      <c r="F145" s="82" t="str">
        <f aca="false">IF(E145="","",IF(LEFT(E145,2)="DJ","DJ","JN"))</f>
        <v>JN</v>
      </c>
      <c r="G145" s="81"/>
      <c r="H145" s="81"/>
      <c r="I145" s="81"/>
      <c r="J145" s="81"/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83"/>
      <c r="V145" s="83"/>
      <c r="W145" s="81"/>
      <c r="X145" s="81"/>
      <c r="Y145" s="83"/>
      <c r="Z145" s="81"/>
      <c r="AA145" s="81"/>
      <c r="AB145" s="81"/>
      <c r="AC145" s="81"/>
      <c r="AD145" s="81"/>
      <c r="AE145" s="83"/>
      <c r="AF145" s="81"/>
      <c r="AG145" s="81"/>
      <c r="AH145" s="81"/>
      <c r="AI145" s="81"/>
      <c r="AJ145" s="83"/>
      <c r="AK145" s="81"/>
      <c r="AL145" s="81"/>
      <c r="AM145" s="83"/>
      <c r="AN145" s="80"/>
      <c r="AO145" s="82" t="n">
        <f aca="false">IF(E145="","",(AA145&lt;&gt;"")+(AG145&lt;&gt;"")+(AL145&lt;&gt;""))</f>
        <v>0</v>
      </c>
      <c r="AP145" s="82" t="str">
        <f aca="false">IF(AL145&lt;&gt;"",AL145,IF(AG145&lt;&gt;"",AG145,IF(AA145&lt;&gt;"",AA145,"")))</f>
        <v/>
      </c>
      <c r="AQ145" s="84" t="str">
        <f aca="false">IF(E145="","",IF(U145="","À SOUDER",IF(X145="","VT EN ATTENTE",IF(X145="R","VT REJETÉ – À REPRENDRE",IF(AP145="","À RADIOGRAPHIER",IF(AP145="A","ACCEPTÉ",IF(AP145="NX","NX – RT À REFAIRE",IF(IF(AO145=1,AD145,IF(AO145=2,AI145,""))="A","RÉPARÉ – À RADIOGRAPHIER",IF(IF(AO145=1,AD145,IF(AO145=2,AI145,""))="R","VT REJETÉ – À REPRENDRE",IF(OR(AP145="CO",AP145="NT"),"COUPE – À RESOUDER","À RÉPARER"))))))))))</f>
        <v>À SOUDER</v>
      </c>
      <c r="AR145" s="82" t="str">
        <f aca="false">IF(AND(ISNUMBER(U145),OR(AQ145="À RADIOGRAPHIER",AQ145="RÉPARÉ – À RADIOGRAPHIER",AQ145="NX – RT À REFAIRE",AQ145="À RÉPARER",AQ145="COUPE – À RESOUDER",AQ145="VT REJETÉ – À REPRENDRE")),MAX(0,'PROGRAMME RT'!$C$4-U145),"")</f>
        <v/>
      </c>
      <c r="AS145" s="82" t="n">
        <f aca="false">IF(AND(OR(AQ145="À RADIOGRAPHIER",AQ145="RÉPARÉ – À RADIOGRAPHIER",AQ145="NX – RT À REFAIRE"),OR('PROGRAMME RT'!$D$5="TOUTES",B145='PROGRAMME RT'!$D$5)),1,0)</f>
        <v>0</v>
      </c>
      <c r="AT145" s="82" t="str">
        <f aca="false">IF(AS145=1,SUM(AS$7:AS145),"")</f>
        <v/>
      </c>
      <c r="AU145" s="82" t="n">
        <f aca="false">IF(AND(OR(AA145="R",AA145="NX",AA145="NT",AA145="CO"),OR('JOINTS DE RÉPARATION'!$D$5="TOUTES",B145='JOINTS DE RÉPARATION'!$D$5),OR('JOINTS DE RÉPARATION'!$L$4="TOUS",AQ145&lt;&gt;"ACCEPTÉ")),1,0)</f>
        <v>0</v>
      </c>
      <c r="AV145" s="82" t="str">
        <f aca="false">IF(AU145=1,SUM(AU$7:AU145),"")</f>
        <v/>
      </c>
      <c r="AW145" s="82" t="str">
        <f aca="false">IF(E145="","",B145&amp;"|"&amp;E145)</f>
        <v>MFD-ISW → MFD-CPF|JN°139</v>
      </c>
    </row>
    <row r="146" customFormat="false" ht="74.6" hidden="false" customHeight="false" outlineLevel="0" collapsed="false">
      <c r="A146" s="79" t="n">
        <f aca="false">IF(E146="","",ROW()-6)</f>
        <v>140</v>
      </c>
      <c r="B146" s="80" t="s">
        <v>110</v>
      </c>
      <c r="C146" s="81"/>
      <c r="D146" s="81"/>
      <c r="E146" s="81" t="s">
        <v>250</v>
      </c>
      <c r="F146" s="82" t="str">
        <f aca="false">IF(E146="","",IF(LEFT(E146,2)="DJ","DJ","JN"))</f>
        <v>JN</v>
      </c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  <c r="S146" s="81"/>
      <c r="T146" s="81"/>
      <c r="U146" s="83"/>
      <c r="V146" s="83"/>
      <c r="W146" s="81"/>
      <c r="X146" s="81"/>
      <c r="Y146" s="83"/>
      <c r="Z146" s="81"/>
      <c r="AA146" s="81"/>
      <c r="AB146" s="81"/>
      <c r="AC146" s="81"/>
      <c r="AD146" s="81"/>
      <c r="AE146" s="83"/>
      <c r="AF146" s="81"/>
      <c r="AG146" s="81"/>
      <c r="AH146" s="81"/>
      <c r="AI146" s="81"/>
      <c r="AJ146" s="83"/>
      <c r="AK146" s="81"/>
      <c r="AL146" s="81"/>
      <c r="AM146" s="83"/>
      <c r="AN146" s="80"/>
      <c r="AO146" s="82" t="n">
        <f aca="false">IF(E146="","",(AA146&lt;&gt;"")+(AG146&lt;&gt;"")+(AL146&lt;&gt;""))</f>
        <v>0</v>
      </c>
      <c r="AP146" s="82" t="str">
        <f aca="false">IF(AL146&lt;&gt;"",AL146,IF(AG146&lt;&gt;"",AG146,IF(AA146&lt;&gt;"",AA146,"")))</f>
        <v/>
      </c>
      <c r="AQ146" s="84" t="str">
        <f aca="false">IF(E146="","",IF(U146="","À SOUDER",IF(X146="","VT EN ATTENTE",IF(X146="R","VT REJETÉ – À REPRENDRE",IF(AP146="","À RADIOGRAPHIER",IF(AP146="A","ACCEPTÉ",IF(AP146="NX","NX – RT À REFAIRE",IF(IF(AO146=1,AD146,IF(AO146=2,AI146,""))="A","RÉPARÉ – À RADIOGRAPHIER",IF(IF(AO146=1,AD146,IF(AO146=2,AI146,""))="R","VT REJETÉ – À REPRENDRE",IF(OR(AP146="CO",AP146="NT"),"COUPE – À RESOUDER","À RÉPARER"))))))))))</f>
        <v>À SOUDER</v>
      </c>
      <c r="AR146" s="82" t="str">
        <f aca="false">IF(AND(ISNUMBER(U146),OR(AQ146="À RADIOGRAPHIER",AQ146="RÉPARÉ – À RADIOGRAPHIER",AQ146="NX – RT À REFAIRE",AQ146="À RÉPARER",AQ146="COUPE – À RESOUDER",AQ146="VT REJETÉ – À REPRENDRE")),MAX(0,'PROGRAMME RT'!$C$4-U146),"")</f>
        <v/>
      </c>
      <c r="AS146" s="82" t="n">
        <f aca="false">IF(AND(OR(AQ146="À RADIOGRAPHIER",AQ146="RÉPARÉ – À RADIOGRAPHIER",AQ146="NX – RT À REFAIRE"),OR('PROGRAMME RT'!$D$5="TOUTES",B146='PROGRAMME RT'!$D$5)),1,0)</f>
        <v>0</v>
      </c>
      <c r="AT146" s="82" t="str">
        <f aca="false">IF(AS146=1,SUM(AS$7:AS146),"")</f>
        <v/>
      </c>
      <c r="AU146" s="82" t="n">
        <f aca="false">IF(AND(OR(AA146="R",AA146="NX",AA146="NT",AA146="CO"),OR('JOINTS DE RÉPARATION'!$D$5="TOUTES",B146='JOINTS DE RÉPARATION'!$D$5),OR('JOINTS DE RÉPARATION'!$L$4="TOUS",AQ146&lt;&gt;"ACCEPTÉ")),1,0)</f>
        <v>0</v>
      </c>
      <c r="AV146" s="82" t="str">
        <f aca="false">IF(AU146=1,SUM(AU$7:AU146),"")</f>
        <v/>
      </c>
      <c r="AW146" s="82" t="str">
        <f aca="false">IF(E146="","",B146&amp;"|"&amp;E146)</f>
        <v>MFD-ISW → MFD-CPF|JN°140</v>
      </c>
    </row>
    <row r="147" customFormat="false" ht="74.6" hidden="false" customHeight="false" outlineLevel="0" collapsed="false">
      <c r="A147" s="79" t="n">
        <f aca="false">IF(E147="","",ROW()-6)</f>
        <v>141</v>
      </c>
      <c r="B147" s="80" t="s">
        <v>110</v>
      </c>
      <c r="C147" s="81"/>
      <c r="D147" s="81"/>
      <c r="E147" s="81" t="s">
        <v>251</v>
      </c>
      <c r="F147" s="82" t="str">
        <f aca="false">IF(E147="","",IF(LEFT(E147,2)="DJ","DJ","JN"))</f>
        <v>JN</v>
      </c>
      <c r="G147" s="81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81"/>
      <c r="S147" s="81"/>
      <c r="T147" s="81"/>
      <c r="U147" s="83"/>
      <c r="V147" s="83"/>
      <c r="W147" s="81"/>
      <c r="X147" s="81"/>
      <c r="Y147" s="83"/>
      <c r="Z147" s="81"/>
      <c r="AA147" s="81"/>
      <c r="AB147" s="81"/>
      <c r="AC147" s="81"/>
      <c r="AD147" s="81"/>
      <c r="AE147" s="83"/>
      <c r="AF147" s="81"/>
      <c r="AG147" s="81"/>
      <c r="AH147" s="81"/>
      <c r="AI147" s="81"/>
      <c r="AJ147" s="83"/>
      <c r="AK147" s="81"/>
      <c r="AL147" s="81"/>
      <c r="AM147" s="83"/>
      <c r="AN147" s="80"/>
      <c r="AO147" s="82" t="n">
        <f aca="false">IF(E147="","",(AA147&lt;&gt;"")+(AG147&lt;&gt;"")+(AL147&lt;&gt;""))</f>
        <v>0</v>
      </c>
      <c r="AP147" s="82" t="str">
        <f aca="false">IF(AL147&lt;&gt;"",AL147,IF(AG147&lt;&gt;"",AG147,IF(AA147&lt;&gt;"",AA147,"")))</f>
        <v/>
      </c>
      <c r="AQ147" s="84" t="str">
        <f aca="false">IF(E147="","",IF(U147="","À SOUDER",IF(X147="","VT EN ATTENTE",IF(X147="R","VT REJETÉ – À REPRENDRE",IF(AP147="","À RADIOGRAPHIER",IF(AP147="A","ACCEPTÉ",IF(AP147="NX","NX – RT À REFAIRE",IF(IF(AO147=1,AD147,IF(AO147=2,AI147,""))="A","RÉPARÉ – À RADIOGRAPHIER",IF(IF(AO147=1,AD147,IF(AO147=2,AI147,""))="R","VT REJETÉ – À REPRENDRE",IF(OR(AP147="CO",AP147="NT"),"COUPE – À RESOUDER","À RÉPARER"))))))))))</f>
        <v>À SOUDER</v>
      </c>
      <c r="AR147" s="82" t="str">
        <f aca="false">IF(AND(ISNUMBER(U147),OR(AQ147="À RADIOGRAPHIER",AQ147="RÉPARÉ – À RADIOGRAPHIER",AQ147="NX – RT À REFAIRE",AQ147="À RÉPARER",AQ147="COUPE – À RESOUDER",AQ147="VT REJETÉ – À REPRENDRE")),MAX(0,'PROGRAMME RT'!$C$4-U147),"")</f>
        <v/>
      </c>
      <c r="AS147" s="82" t="n">
        <f aca="false">IF(AND(OR(AQ147="À RADIOGRAPHIER",AQ147="RÉPARÉ – À RADIOGRAPHIER",AQ147="NX – RT À REFAIRE"),OR('PROGRAMME RT'!$D$5="TOUTES",B147='PROGRAMME RT'!$D$5)),1,0)</f>
        <v>0</v>
      </c>
      <c r="AT147" s="82" t="str">
        <f aca="false">IF(AS147=1,SUM(AS$7:AS147),"")</f>
        <v/>
      </c>
      <c r="AU147" s="82" t="n">
        <f aca="false">IF(AND(OR(AA147="R",AA147="NX",AA147="NT",AA147="CO"),OR('JOINTS DE RÉPARATION'!$D$5="TOUTES",B147='JOINTS DE RÉPARATION'!$D$5),OR('JOINTS DE RÉPARATION'!$L$4="TOUS",AQ147&lt;&gt;"ACCEPTÉ")),1,0)</f>
        <v>0</v>
      </c>
      <c r="AV147" s="82" t="str">
        <f aca="false">IF(AU147=1,SUM(AU$7:AU147),"")</f>
        <v/>
      </c>
      <c r="AW147" s="82" t="str">
        <f aca="false">IF(E147="","",B147&amp;"|"&amp;E147)</f>
        <v>MFD-ISW → MFD-CPF|JN°141</v>
      </c>
    </row>
    <row r="148" customFormat="false" ht="74.6" hidden="false" customHeight="false" outlineLevel="0" collapsed="false">
      <c r="A148" s="79" t="n">
        <f aca="false">IF(E148="","",ROW()-6)</f>
        <v>142</v>
      </c>
      <c r="B148" s="80" t="s">
        <v>110</v>
      </c>
      <c r="C148" s="81"/>
      <c r="D148" s="81"/>
      <c r="E148" s="81" t="s">
        <v>252</v>
      </c>
      <c r="F148" s="82" t="str">
        <f aca="false">IF(E148="","",IF(LEFT(E148,2)="DJ","DJ","JN"))</f>
        <v>JN</v>
      </c>
      <c r="G148" s="81"/>
      <c r="H148" s="81"/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3"/>
      <c r="V148" s="83"/>
      <c r="W148" s="81"/>
      <c r="X148" s="81"/>
      <c r="Y148" s="83"/>
      <c r="Z148" s="81"/>
      <c r="AA148" s="81"/>
      <c r="AB148" s="81"/>
      <c r="AC148" s="81"/>
      <c r="AD148" s="81"/>
      <c r="AE148" s="83"/>
      <c r="AF148" s="81"/>
      <c r="AG148" s="81"/>
      <c r="AH148" s="81"/>
      <c r="AI148" s="81"/>
      <c r="AJ148" s="83"/>
      <c r="AK148" s="81"/>
      <c r="AL148" s="81"/>
      <c r="AM148" s="83"/>
      <c r="AN148" s="80"/>
      <c r="AO148" s="82" t="n">
        <f aca="false">IF(E148="","",(AA148&lt;&gt;"")+(AG148&lt;&gt;"")+(AL148&lt;&gt;""))</f>
        <v>0</v>
      </c>
      <c r="AP148" s="82" t="str">
        <f aca="false">IF(AL148&lt;&gt;"",AL148,IF(AG148&lt;&gt;"",AG148,IF(AA148&lt;&gt;"",AA148,"")))</f>
        <v/>
      </c>
      <c r="AQ148" s="84" t="str">
        <f aca="false">IF(E148="","",IF(U148="","À SOUDER",IF(X148="","VT EN ATTENTE",IF(X148="R","VT REJETÉ – À REPRENDRE",IF(AP148="","À RADIOGRAPHIER",IF(AP148="A","ACCEPTÉ",IF(AP148="NX","NX – RT À REFAIRE",IF(IF(AO148=1,AD148,IF(AO148=2,AI148,""))="A","RÉPARÉ – À RADIOGRAPHIER",IF(IF(AO148=1,AD148,IF(AO148=2,AI148,""))="R","VT REJETÉ – À REPRENDRE",IF(OR(AP148="CO",AP148="NT"),"COUPE – À RESOUDER","À RÉPARER"))))))))))</f>
        <v>À SOUDER</v>
      </c>
      <c r="AR148" s="82" t="str">
        <f aca="false">IF(AND(ISNUMBER(U148),OR(AQ148="À RADIOGRAPHIER",AQ148="RÉPARÉ – À RADIOGRAPHIER",AQ148="NX – RT À REFAIRE",AQ148="À RÉPARER",AQ148="COUPE – À RESOUDER",AQ148="VT REJETÉ – À REPRENDRE")),MAX(0,'PROGRAMME RT'!$C$4-U148),"")</f>
        <v/>
      </c>
      <c r="AS148" s="82" t="n">
        <f aca="false">IF(AND(OR(AQ148="À RADIOGRAPHIER",AQ148="RÉPARÉ – À RADIOGRAPHIER",AQ148="NX – RT À REFAIRE"),OR('PROGRAMME RT'!$D$5="TOUTES",B148='PROGRAMME RT'!$D$5)),1,0)</f>
        <v>0</v>
      </c>
      <c r="AT148" s="82" t="str">
        <f aca="false">IF(AS148=1,SUM(AS$7:AS148),"")</f>
        <v/>
      </c>
      <c r="AU148" s="82" t="n">
        <f aca="false">IF(AND(OR(AA148="R",AA148="NX",AA148="NT",AA148="CO"),OR('JOINTS DE RÉPARATION'!$D$5="TOUTES",B148='JOINTS DE RÉPARATION'!$D$5),OR('JOINTS DE RÉPARATION'!$L$4="TOUS",AQ148&lt;&gt;"ACCEPTÉ")),1,0)</f>
        <v>0</v>
      </c>
      <c r="AV148" s="82" t="str">
        <f aca="false">IF(AU148=1,SUM(AU$7:AU148),"")</f>
        <v/>
      </c>
      <c r="AW148" s="82" t="str">
        <f aca="false">IF(E148="","",B148&amp;"|"&amp;E148)</f>
        <v>MFD-ISW → MFD-CPF|JN°142</v>
      </c>
    </row>
    <row r="149" customFormat="false" ht="74.6" hidden="false" customHeight="false" outlineLevel="0" collapsed="false">
      <c r="A149" s="79" t="n">
        <f aca="false">IF(E149="","",ROW()-6)</f>
        <v>143</v>
      </c>
      <c r="B149" s="80" t="s">
        <v>110</v>
      </c>
      <c r="C149" s="81"/>
      <c r="D149" s="81"/>
      <c r="E149" s="81" t="s">
        <v>253</v>
      </c>
      <c r="F149" s="82" t="str">
        <f aca="false">IF(E149="","",IF(LEFT(E149,2)="DJ","DJ","JN"))</f>
        <v>JN</v>
      </c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3"/>
      <c r="V149" s="83"/>
      <c r="W149" s="81"/>
      <c r="X149" s="81"/>
      <c r="Y149" s="83"/>
      <c r="Z149" s="81"/>
      <c r="AA149" s="81"/>
      <c r="AB149" s="81"/>
      <c r="AC149" s="81"/>
      <c r="AD149" s="81"/>
      <c r="AE149" s="83"/>
      <c r="AF149" s="81"/>
      <c r="AG149" s="81"/>
      <c r="AH149" s="81"/>
      <c r="AI149" s="81"/>
      <c r="AJ149" s="83"/>
      <c r="AK149" s="81"/>
      <c r="AL149" s="81"/>
      <c r="AM149" s="83"/>
      <c r="AN149" s="80"/>
      <c r="AO149" s="82" t="n">
        <f aca="false">IF(E149="","",(AA149&lt;&gt;"")+(AG149&lt;&gt;"")+(AL149&lt;&gt;""))</f>
        <v>0</v>
      </c>
      <c r="AP149" s="82" t="str">
        <f aca="false">IF(AL149&lt;&gt;"",AL149,IF(AG149&lt;&gt;"",AG149,IF(AA149&lt;&gt;"",AA149,"")))</f>
        <v/>
      </c>
      <c r="AQ149" s="84" t="str">
        <f aca="false">IF(E149="","",IF(U149="","À SOUDER",IF(X149="","VT EN ATTENTE",IF(X149="R","VT REJETÉ – À REPRENDRE",IF(AP149="","À RADIOGRAPHIER",IF(AP149="A","ACCEPTÉ",IF(AP149="NX","NX – RT À REFAIRE",IF(IF(AO149=1,AD149,IF(AO149=2,AI149,""))="A","RÉPARÉ – À RADIOGRAPHIER",IF(IF(AO149=1,AD149,IF(AO149=2,AI149,""))="R","VT REJETÉ – À REPRENDRE",IF(OR(AP149="CO",AP149="NT"),"COUPE – À RESOUDER","À RÉPARER"))))))))))</f>
        <v>À SOUDER</v>
      </c>
      <c r="AR149" s="82" t="str">
        <f aca="false">IF(AND(ISNUMBER(U149),OR(AQ149="À RADIOGRAPHIER",AQ149="RÉPARÉ – À RADIOGRAPHIER",AQ149="NX – RT À REFAIRE",AQ149="À RÉPARER",AQ149="COUPE – À RESOUDER",AQ149="VT REJETÉ – À REPRENDRE")),MAX(0,'PROGRAMME RT'!$C$4-U149),"")</f>
        <v/>
      </c>
      <c r="AS149" s="82" t="n">
        <f aca="false">IF(AND(OR(AQ149="À RADIOGRAPHIER",AQ149="RÉPARÉ – À RADIOGRAPHIER",AQ149="NX – RT À REFAIRE"),OR('PROGRAMME RT'!$D$5="TOUTES",B149='PROGRAMME RT'!$D$5)),1,0)</f>
        <v>0</v>
      </c>
      <c r="AT149" s="82" t="str">
        <f aca="false">IF(AS149=1,SUM(AS$7:AS149),"")</f>
        <v/>
      </c>
      <c r="AU149" s="82" t="n">
        <f aca="false">IF(AND(OR(AA149="R",AA149="NX",AA149="NT",AA149="CO"),OR('JOINTS DE RÉPARATION'!$D$5="TOUTES",B149='JOINTS DE RÉPARATION'!$D$5),OR('JOINTS DE RÉPARATION'!$L$4="TOUS",AQ149&lt;&gt;"ACCEPTÉ")),1,0)</f>
        <v>0</v>
      </c>
      <c r="AV149" s="82" t="str">
        <f aca="false">IF(AU149=1,SUM(AU$7:AU149),"")</f>
        <v/>
      </c>
      <c r="AW149" s="82" t="str">
        <f aca="false">IF(E149="","",B149&amp;"|"&amp;E149)</f>
        <v>MFD-ISW → MFD-CPF|JN°143</v>
      </c>
    </row>
    <row r="150" customFormat="false" ht="74.6" hidden="false" customHeight="false" outlineLevel="0" collapsed="false">
      <c r="A150" s="79" t="n">
        <f aca="false">IF(E150="","",ROW()-6)</f>
        <v>144</v>
      </c>
      <c r="B150" s="80" t="s">
        <v>110</v>
      </c>
      <c r="C150" s="81"/>
      <c r="D150" s="81"/>
      <c r="E150" s="81" t="s">
        <v>254</v>
      </c>
      <c r="F150" s="82" t="str">
        <f aca="false">IF(E150="","",IF(LEFT(E150,2)="DJ","DJ","JN"))</f>
        <v>JN</v>
      </c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3"/>
      <c r="V150" s="83"/>
      <c r="W150" s="81"/>
      <c r="X150" s="81"/>
      <c r="Y150" s="83"/>
      <c r="Z150" s="81"/>
      <c r="AA150" s="81"/>
      <c r="AB150" s="81"/>
      <c r="AC150" s="81"/>
      <c r="AD150" s="81"/>
      <c r="AE150" s="83"/>
      <c r="AF150" s="81"/>
      <c r="AG150" s="81"/>
      <c r="AH150" s="81"/>
      <c r="AI150" s="81"/>
      <c r="AJ150" s="83"/>
      <c r="AK150" s="81"/>
      <c r="AL150" s="81"/>
      <c r="AM150" s="83"/>
      <c r="AN150" s="80"/>
      <c r="AO150" s="82" t="n">
        <f aca="false">IF(E150="","",(AA150&lt;&gt;"")+(AG150&lt;&gt;"")+(AL150&lt;&gt;""))</f>
        <v>0</v>
      </c>
      <c r="AP150" s="82" t="str">
        <f aca="false">IF(AL150&lt;&gt;"",AL150,IF(AG150&lt;&gt;"",AG150,IF(AA150&lt;&gt;"",AA150,"")))</f>
        <v/>
      </c>
      <c r="AQ150" s="84" t="str">
        <f aca="false">IF(E150="","",IF(U150="","À SOUDER",IF(X150="","VT EN ATTENTE",IF(X150="R","VT REJETÉ – À REPRENDRE",IF(AP150="","À RADIOGRAPHIER",IF(AP150="A","ACCEPTÉ",IF(AP150="NX","NX – RT À REFAIRE",IF(IF(AO150=1,AD150,IF(AO150=2,AI150,""))="A","RÉPARÉ – À RADIOGRAPHIER",IF(IF(AO150=1,AD150,IF(AO150=2,AI150,""))="R","VT REJETÉ – À REPRENDRE",IF(OR(AP150="CO",AP150="NT"),"COUPE – À RESOUDER","À RÉPARER"))))))))))</f>
        <v>À SOUDER</v>
      </c>
      <c r="AR150" s="82" t="str">
        <f aca="false">IF(AND(ISNUMBER(U150),OR(AQ150="À RADIOGRAPHIER",AQ150="RÉPARÉ – À RADIOGRAPHIER",AQ150="NX – RT À REFAIRE",AQ150="À RÉPARER",AQ150="COUPE – À RESOUDER",AQ150="VT REJETÉ – À REPRENDRE")),MAX(0,'PROGRAMME RT'!$C$4-U150),"")</f>
        <v/>
      </c>
      <c r="AS150" s="82" t="n">
        <f aca="false">IF(AND(OR(AQ150="À RADIOGRAPHIER",AQ150="RÉPARÉ – À RADIOGRAPHIER",AQ150="NX – RT À REFAIRE"),OR('PROGRAMME RT'!$D$5="TOUTES",B150='PROGRAMME RT'!$D$5)),1,0)</f>
        <v>0</v>
      </c>
      <c r="AT150" s="82" t="str">
        <f aca="false">IF(AS150=1,SUM(AS$7:AS150),"")</f>
        <v/>
      </c>
      <c r="AU150" s="82" t="n">
        <f aca="false">IF(AND(OR(AA150="R",AA150="NX",AA150="NT",AA150="CO"),OR('JOINTS DE RÉPARATION'!$D$5="TOUTES",B150='JOINTS DE RÉPARATION'!$D$5),OR('JOINTS DE RÉPARATION'!$L$4="TOUS",AQ150&lt;&gt;"ACCEPTÉ")),1,0)</f>
        <v>0</v>
      </c>
      <c r="AV150" s="82" t="str">
        <f aca="false">IF(AU150=1,SUM(AU$7:AU150),"")</f>
        <v/>
      </c>
      <c r="AW150" s="82" t="str">
        <f aca="false">IF(E150="","",B150&amp;"|"&amp;E150)</f>
        <v>MFD-ISW → MFD-CPF|JN°144</v>
      </c>
    </row>
    <row r="151" customFormat="false" ht="74.6" hidden="false" customHeight="false" outlineLevel="0" collapsed="false">
      <c r="A151" s="79" t="n">
        <f aca="false">IF(E151="","",ROW()-6)</f>
        <v>145</v>
      </c>
      <c r="B151" s="80" t="s">
        <v>110</v>
      </c>
      <c r="C151" s="81"/>
      <c r="D151" s="81"/>
      <c r="E151" s="81" t="s">
        <v>255</v>
      </c>
      <c r="F151" s="82" t="str">
        <f aca="false">IF(E151="","",IF(LEFT(E151,2)="DJ","DJ","JN"))</f>
        <v>JN</v>
      </c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81"/>
      <c r="S151" s="81"/>
      <c r="T151" s="81"/>
      <c r="U151" s="83"/>
      <c r="V151" s="83"/>
      <c r="W151" s="81"/>
      <c r="X151" s="81"/>
      <c r="Y151" s="83"/>
      <c r="Z151" s="81"/>
      <c r="AA151" s="81"/>
      <c r="AB151" s="81"/>
      <c r="AC151" s="81"/>
      <c r="AD151" s="81"/>
      <c r="AE151" s="83"/>
      <c r="AF151" s="81"/>
      <c r="AG151" s="81"/>
      <c r="AH151" s="81"/>
      <c r="AI151" s="81"/>
      <c r="AJ151" s="83"/>
      <c r="AK151" s="81"/>
      <c r="AL151" s="81"/>
      <c r="AM151" s="83"/>
      <c r="AN151" s="80"/>
      <c r="AO151" s="82" t="n">
        <f aca="false">IF(E151="","",(AA151&lt;&gt;"")+(AG151&lt;&gt;"")+(AL151&lt;&gt;""))</f>
        <v>0</v>
      </c>
      <c r="AP151" s="82" t="str">
        <f aca="false">IF(AL151&lt;&gt;"",AL151,IF(AG151&lt;&gt;"",AG151,IF(AA151&lt;&gt;"",AA151,"")))</f>
        <v/>
      </c>
      <c r="AQ151" s="84" t="str">
        <f aca="false">IF(E151="","",IF(U151="","À SOUDER",IF(X151="","VT EN ATTENTE",IF(X151="R","VT REJETÉ – À REPRENDRE",IF(AP151="","À RADIOGRAPHIER",IF(AP151="A","ACCEPTÉ",IF(AP151="NX","NX – RT À REFAIRE",IF(IF(AO151=1,AD151,IF(AO151=2,AI151,""))="A","RÉPARÉ – À RADIOGRAPHIER",IF(IF(AO151=1,AD151,IF(AO151=2,AI151,""))="R","VT REJETÉ – À REPRENDRE",IF(OR(AP151="CO",AP151="NT"),"COUPE – À RESOUDER","À RÉPARER"))))))))))</f>
        <v>À SOUDER</v>
      </c>
      <c r="AR151" s="82" t="str">
        <f aca="false">IF(AND(ISNUMBER(U151),OR(AQ151="À RADIOGRAPHIER",AQ151="RÉPARÉ – À RADIOGRAPHIER",AQ151="NX – RT À REFAIRE",AQ151="À RÉPARER",AQ151="COUPE – À RESOUDER",AQ151="VT REJETÉ – À REPRENDRE")),MAX(0,'PROGRAMME RT'!$C$4-U151),"")</f>
        <v/>
      </c>
      <c r="AS151" s="82" t="n">
        <f aca="false">IF(AND(OR(AQ151="À RADIOGRAPHIER",AQ151="RÉPARÉ – À RADIOGRAPHIER",AQ151="NX – RT À REFAIRE"),OR('PROGRAMME RT'!$D$5="TOUTES",B151='PROGRAMME RT'!$D$5)),1,0)</f>
        <v>0</v>
      </c>
      <c r="AT151" s="82" t="str">
        <f aca="false">IF(AS151=1,SUM(AS$7:AS151),"")</f>
        <v/>
      </c>
      <c r="AU151" s="82" t="n">
        <f aca="false">IF(AND(OR(AA151="R",AA151="NX",AA151="NT",AA151="CO"),OR('JOINTS DE RÉPARATION'!$D$5="TOUTES",B151='JOINTS DE RÉPARATION'!$D$5),OR('JOINTS DE RÉPARATION'!$L$4="TOUS",AQ151&lt;&gt;"ACCEPTÉ")),1,0)</f>
        <v>0</v>
      </c>
      <c r="AV151" s="82" t="str">
        <f aca="false">IF(AU151=1,SUM(AU$7:AU151),"")</f>
        <v/>
      </c>
      <c r="AW151" s="82" t="str">
        <f aca="false">IF(E151="","",B151&amp;"|"&amp;E151)</f>
        <v>MFD-ISW → MFD-CPF|JN°145</v>
      </c>
    </row>
    <row r="152" customFormat="false" ht="74.6" hidden="false" customHeight="false" outlineLevel="0" collapsed="false">
      <c r="A152" s="79" t="n">
        <f aca="false">IF(E152="","",ROW()-6)</f>
        <v>146</v>
      </c>
      <c r="B152" s="80" t="s">
        <v>110</v>
      </c>
      <c r="C152" s="81"/>
      <c r="D152" s="81"/>
      <c r="E152" s="81" t="s">
        <v>256</v>
      </c>
      <c r="F152" s="82" t="str">
        <f aca="false">IF(E152="","",IF(LEFT(E152,2)="DJ","DJ","JN"))</f>
        <v>JN</v>
      </c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3"/>
      <c r="V152" s="83"/>
      <c r="W152" s="81"/>
      <c r="X152" s="81"/>
      <c r="Y152" s="83"/>
      <c r="Z152" s="81"/>
      <c r="AA152" s="81"/>
      <c r="AB152" s="81"/>
      <c r="AC152" s="81"/>
      <c r="AD152" s="81"/>
      <c r="AE152" s="83"/>
      <c r="AF152" s="81"/>
      <c r="AG152" s="81"/>
      <c r="AH152" s="81"/>
      <c r="AI152" s="81"/>
      <c r="AJ152" s="83"/>
      <c r="AK152" s="81"/>
      <c r="AL152" s="81"/>
      <c r="AM152" s="83"/>
      <c r="AN152" s="80"/>
      <c r="AO152" s="82" t="n">
        <f aca="false">IF(E152="","",(AA152&lt;&gt;"")+(AG152&lt;&gt;"")+(AL152&lt;&gt;""))</f>
        <v>0</v>
      </c>
      <c r="AP152" s="82" t="str">
        <f aca="false">IF(AL152&lt;&gt;"",AL152,IF(AG152&lt;&gt;"",AG152,IF(AA152&lt;&gt;"",AA152,"")))</f>
        <v/>
      </c>
      <c r="AQ152" s="84" t="str">
        <f aca="false">IF(E152="","",IF(U152="","À SOUDER",IF(X152="","VT EN ATTENTE",IF(X152="R","VT REJETÉ – À REPRENDRE",IF(AP152="","À RADIOGRAPHIER",IF(AP152="A","ACCEPTÉ",IF(AP152="NX","NX – RT À REFAIRE",IF(IF(AO152=1,AD152,IF(AO152=2,AI152,""))="A","RÉPARÉ – À RADIOGRAPHIER",IF(IF(AO152=1,AD152,IF(AO152=2,AI152,""))="R","VT REJETÉ – À REPRENDRE",IF(OR(AP152="CO",AP152="NT"),"COUPE – À RESOUDER","À RÉPARER"))))))))))</f>
        <v>À SOUDER</v>
      </c>
      <c r="AR152" s="82" t="str">
        <f aca="false">IF(AND(ISNUMBER(U152),OR(AQ152="À RADIOGRAPHIER",AQ152="RÉPARÉ – À RADIOGRAPHIER",AQ152="NX – RT À REFAIRE",AQ152="À RÉPARER",AQ152="COUPE – À RESOUDER",AQ152="VT REJETÉ – À REPRENDRE")),MAX(0,'PROGRAMME RT'!$C$4-U152),"")</f>
        <v/>
      </c>
      <c r="AS152" s="82" t="n">
        <f aca="false">IF(AND(OR(AQ152="À RADIOGRAPHIER",AQ152="RÉPARÉ – À RADIOGRAPHIER",AQ152="NX – RT À REFAIRE"),OR('PROGRAMME RT'!$D$5="TOUTES",B152='PROGRAMME RT'!$D$5)),1,0)</f>
        <v>0</v>
      </c>
      <c r="AT152" s="82" t="str">
        <f aca="false">IF(AS152=1,SUM(AS$7:AS152),"")</f>
        <v/>
      </c>
      <c r="AU152" s="82" t="n">
        <f aca="false">IF(AND(OR(AA152="R",AA152="NX",AA152="NT",AA152="CO"),OR('JOINTS DE RÉPARATION'!$D$5="TOUTES",B152='JOINTS DE RÉPARATION'!$D$5),OR('JOINTS DE RÉPARATION'!$L$4="TOUS",AQ152&lt;&gt;"ACCEPTÉ")),1,0)</f>
        <v>0</v>
      </c>
      <c r="AV152" s="82" t="str">
        <f aca="false">IF(AU152=1,SUM(AU$7:AU152),"")</f>
        <v/>
      </c>
      <c r="AW152" s="82" t="str">
        <f aca="false">IF(E152="","",B152&amp;"|"&amp;E152)</f>
        <v>MFD-ISW → MFD-CPF|JN°146</v>
      </c>
    </row>
    <row r="153" customFormat="false" ht="74.6" hidden="false" customHeight="false" outlineLevel="0" collapsed="false">
      <c r="A153" s="79" t="n">
        <f aca="false">IF(E153="","",ROW()-6)</f>
        <v>147</v>
      </c>
      <c r="B153" s="80" t="s">
        <v>110</v>
      </c>
      <c r="C153" s="81"/>
      <c r="D153" s="81"/>
      <c r="E153" s="81" t="s">
        <v>257</v>
      </c>
      <c r="F153" s="82" t="str">
        <f aca="false">IF(E153="","",IF(LEFT(E153,2)="DJ","DJ","JN"))</f>
        <v>JN</v>
      </c>
      <c r="G153" s="81"/>
      <c r="H153" s="81"/>
      <c r="I153" s="81"/>
      <c r="J153" s="81"/>
      <c r="K153" s="81"/>
      <c r="L153" s="81"/>
      <c r="M153" s="81"/>
      <c r="N153" s="81"/>
      <c r="O153" s="81"/>
      <c r="P153" s="81"/>
      <c r="Q153" s="81"/>
      <c r="R153" s="81"/>
      <c r="S153" s="81"/>
      <c r="T153" s="81"/>
      <c r="U153" s="83"/>
      <c r="V153" s="83"/>
      <c r="W153" s="81"/>
      <c r="X153" s="81"/>
      <c r="Y153" s="83"/>
      <c r="Z153" s="81"/>
      <c r="AA153" s="81"/>
      <c r="AB153" s="81"/>
      <c r="AC153" s="81"/>
      <c r="AD153" s="81"/>
      <c r="AE153" s="83"/>
      <c r="AF153" s="81"/>
      <c r="AG153" s="81"/>
      <c r="AH153" s="81"/>
      <c r="AI153" s="81"/>
      <c r="AJ153" s="83"/>
      <c r="AK153" s="81"/>
      <c r="AL153" s="81"/>
      <c r="AM153" s="83"/>
      <c r="AN153" s="80"/>
      <c r="AO153" s="82" t="n">
        <f aca="false">IF(E153="","",(AA153&lt;&gt;"")+(AG153&lt;&gt;"")+(AL153&lt;&gt;""))</f>
        <v>0</v>
      </c>
      <c r="AP153" s="82" t="str">
        <f aca="false">IF(AL153&lt;&gt;"",AL153,IF(AG153&lt;&gt;"",AG153,IF(AA153&lt;&gt;"",AA153,"")))</f>
        <v/>
      </c>
      <c r="AQ153" s="84" t="str">
        <f aca="false">IF(E153="","",IF(U153="","À SOUDER",IF(X153="","VT EN ATTENTE",IF(X153="R","VT REJETÉ – À REPRENDRE",IF(AP153="","À RADIOGRAPHIER",IF(AP153="A","ACCEPTÉ",IF(AP153="NX","NX – RT À REFAIRE",IF(IF(AO153=1,AD153,IF(AO153=2,AI153,""))="A","RÉPARÉ – À RADIOGRAPHIER",IF(IF(AO153=1,AD153,IF(AO153=2,AI153,""))="R","VT REJETÉ – À REPRENDRE",IF(OR(AP153="CO",AP153="NT"),"COUPE – À RESOUDER","À RÉPARER"))))))))))</f>
        <v>À SOUDER</v>
      </c>
      <c r="AR153" s="82" t="str">
        <f aca="false">IF(AND(ISNUMBER(U153),OR(AQ153="À RADIOGRAPHIER",AQ153="RÉPARÉ – À RADIOGRAPHIER",AQ153="NX – RT À REFAIRE",AQ153="À RÉPARER",AQ153="COUPE – À RESOUDER",AQ153="VT REJETÉ – À REPRENDRE")),MAX(0,'PROGRAMME RT'!$C$4-U153),"")</f>
        <v/>
      </c>
      <c r="AS153" s="82" t="n">
        <f aca="false">IF(AND(OR(AQ153="À RADIOGRAPHIER",AQ153="RÉPARÉ – À RADIOGRAPHIER",AQ153="NX – RT À REFAIRE"),OR('PROGRAMME RT'!$D$5="TOUTES",B153='PROGRAMME RT'!$D$5)),1,0)</f>
        <v>0</v>
      </c>
      <c r="AT153" s="82" t="str">
        <f aca="false">IF(AS153=1,SUM(AS$7:AS153),"")</f>
        <v/>
      </c>
      <c r="AU153" s="82" t="n">
        <f aca="false">IF(AND(OR(AA153="R",AA153="NX",AA153="NT",AA153="CO"),OR('JOINTS DE RÉPARATION'!$D$5="TOUTES",B153='JOINTS DE RÉPARATION'!$D$5),OR('JOINTS DE RÉPARATION'!$L$4="TOUS",AQ153&lt;&gt;"ACCEPTÉ")),1,0)</f>
        <v>0</v>
      </c>
      <c r="AV153" s="82" t="str">
        <f aca="false">IF(AU153=1,SUM(AU$7:AU153),"")</f>
        <v/>
      </c>
      <c r="AW153" s="82" t="str">
        <f aca="false">IF(E153="","",B153&amp;"|"&amp;E153)</f>
        <v>MFD-ISW → MFD-CPF|JN°147</v>
      </c>
    </row>
    <row r="154" customFormat="false" ht="74.6" hidden="false" customHeight="false" outlineLevel="0" collapsed="false">
      <c r="A154" s="79" t="n">
        <f aca="false">IF(E154="","",ROW()-6)</f>
        <v>148</v>
      </c>
      <c r="B154" s="80" t="s">
        <v>110</v>
      </c>
      <c r="C154" s="81"/>
      <c r="D154" s="81"/>
      <c r="E154" s="81" t="s">
        <v>258</v>
      </c>
      <c r="F154" s="82" t="str">
        <f aca="false">IF(E154="","",IF(LEFT(E154,2)="DJ","DJ","JN"))</f>
        <v>JN</v>
      </c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3"/>
      <c r="V154" s="83"/>
      <c r="W154" s="81"/>
      <c r="X154" s="81"/>
      <c r="Y154" s="83"/>
      <c r="Z154" s="81"/>
      <c r="AA154" s="81"/>
      <c r="AB154" s="81"/>
      <c r="AC154" s="81"/>
      <c r="AD154" s="81"/>
      <c r="AE154" s="83"/>
      <c r="AF154" s="81"/>
      <c r="AG154" s="81"/>
      <c r="AH154" s="81"/>
      <c r="AI154" s="81"/>
      <c r="AJ154" s="83"/>
      <c r="AK154" s="81"/>
      <c r="AL154" s="81"/>
      <c r="AM154" s="83"/>
      <c r="AN154" s="80"/>
      <c r="AO154" s="82" t="n">
        <f aca="false">IF(E154="","",(AA154&lt;&gt;"")+(AG154&lt;&gt;"")+(AL154&lt;&gt;""))</f>
        <v>0</v>
      </c>
      <c r="AP154" s="82" t="str">
        <f aca="false">IF(AL154&lt;&gt;"",AL154,IF(AG154&lt;&gt;"",AG154,IF(AA154&lt;&gt;"",AA154,"")))</f>
        <v/>
      </c>
      <c r="AQ154" s="84" t="str">
        <f aca="false">IF(E154="","",IF(U154="","À SOUDER",IF(X154="","VT EN ATTENTE",IF(X154="R","VT REJETÉ – À REPRENDRE",IF(AP154="","À RADIOGRAPHIER",IF(AP154="A","ACCEPTÉ",IF(AP154="NX","NX – RT À REFAIRE",IF(IF(AO154=1,AD154,IF(AO154=2,AI154,""))="A","RÉPARÉ – À RADIOGRAPHIER",IF(IF(AO154=1,AD154,IF(AO154=2,AI154,""))="R","VT REJETÉ – À REPRENDRE",IF(OR(AP154="CO",AP154="NT"),"COUPE – À RESOUDER","À RÉPARER"))))))))))</f>
        <v>À SOUDER</v>
      </c>
      <c r="AR154" s="82" t="str">
        <f aca="false">IF(AND(ISNUMBER(U154),OR(AQ154="À RADIOGRAPHIER",AQ154="RÉPARÉ – À RADIOGRAPHIER",AQ154="NX – RT À REFAIRE",AQ154="À RÉPARER",AQ154="COUPE – À RESOUDER",AQ154="VT REJETÉ – À REPRENDRE")),MAX(0,'PROGRAMME RT'!$C$4-U154),"")</f>
        <v/>
      </c>
      <c r="AS154" s="82" t="n">
        <f aca="false">IF(AND(OR(AQ154="À RADIOGRAPHIER",AQ154="RÉPARÉ – À RADIOGRAPHIER",AQ154="NX – RT À REFAIRE"),OR('PROGRAMME RT'!$D$5="TOUTES",B154='PROGRAMME RT'!$D$5)),1,0)</f>
        <v>0</v>
      </c>
      <c r="AT154" s="82" t="str">
        <f aca="false">IF(AS154=1,SUM(AS$7:AS154),"")</f>
        <v/>
      </c>
      <c r="AU154" s="82" t="n">
        <f aca="false">IF(AND(OR(AA154="R",AA154="NX",AA154="NT",AA154="CO"),OR('JOINTS DE RÉPARATION'!$D$5="TOUTES",B154='JOINTS DE RÉPARATION'!$D$5),OR('JOINTS DE RÉPARATION'!$L$4="TOUS",AQ154&lt;&gt;"ACCEPTÉ")),1,0)</f>
        <v>0</v>
      </c>
      <c r="AV154" s="82" t="str">
        <f aca="false">IF(AU154=1,SUM(AU$7:AU154),"")</f>
        <v/>
      </c>
      <c r="AW154" s="82" t="str">
        <f aca="false">IF(E154="","",B154&amp;"|"&amp;E154)</f>
        <v>MFD-ISW → MFD-CPF|JN°148</v>
      </c>
    </row>
    <row r="155" customFormat="false" ht="74.6" hidden="false" customHeight="false" outlineLevel="0" collapsed="false">
      <c r="A155" s="79" t="n">
        <f aca="false">IF(E155="","",ROW()-6)</f>
        <v>149</v>
      </c>
      <c r="B155" s="80" t="s">
        <v>110</v>
      </c>
      <c r="C155" s="81"/>
      <c r="D155" s="81"/>
      <c r="E155" s="81" t="s">
        <v>259</v>
      </c>
      <c r="F155" s="82" t="str">
        <f aca="false">IF(E155="","",IF(LEFT(E155,2)="DJ","DJ","JN"))</f>
        <v>JN</v>
      </c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3"/>
      <c r="V155" s="83"/>
      <c r="W155" s="81"/>
      <c r="X155" s="81"/>
      <c r="Y155" s="83"/>
      <c r="Z155" s="81"/>
      <c r="AA155" s="81"/>
      <c r="AB155" s="81"/>
      <c r="AC155" s="81"/>
      <c r="AD155" s="81"/>
      <c r="AE155" s="83"/>
      <c r="AF155" s="81"/>
      <c r="AG155" s="81"/>
      <c r="AH155" s="81"/>
      <c r="AI155" s="81"/>
      <c r="AJ155" s="83"/>
      <c r="AK155" s="81"/>
      <c r="AL155" s="81"/>
      <c r="AM155" s="83"/>
      <c r="AN155" s="80"/>
      <c r="AO155" s="82" t="n">
        <f aca="false">IF(E155="","",(AA155&lt;&gt;"")+(AG155&lt;&gt;"")+(AL155&lt;&gt;""))</f>
        <v>0</v>
      </c>
      <c r="AP155" s="82" t="str">
        <f aca="false">IF(AL155&lt;&gt;"",AL155,IF(AG155&lt;&gt;"",AG155,IF(AA155&lt;&gt;"",AA155,"")))</f>
        <v/>
      </c>
      <c r="AQ155" s="84" t="str">
        <f aca="false">IF(E155="","",IF(U155="","À SOUDER",IF(X155="","VT EN ATTENTE",IF(X155="R","VT REJETÉ – À REPRENDRE",IF(AP155="","À RADIOGRAPHIER",IF(AP155="A","ACCEPTÉ",IF(AP155="NX","NX – RT À REFAIRE",IF(IF(AO155=1,AD155,IF(AO155=2,AI155,""))="A","RÉPARÉ – À RADIOGRAPHIER",IF(IF(AO155=1,AD155,IF(AO155=2,AI155,""))="R","VT REJETÉ – À REPRENDRE",IF(OR(AP155="CO",AP155="NT"),"COUPE – À RESOUDER","À RÉPARER"))))))))))</f>
        <v>À SOUDER</v>
      </c>
      <c r="AR155" s="82" t="str">
        <f aca="false">IF(AND(ISNUMBER(U155),OR(AQ155="À RADIOGRAPHIER",AQ155="RÉPARÉ – À RADIOGRAPHIER",AQ155="NX – RT À REFAIRE",AQ155="À RÉPARER",AQ155="COUPE – À RESOUDER",AQ155="VT REJETÉ – À REPRENDRE")),MAX(0,'PROGRAMME RT'!$C$4-U155),"")</f>
        <v/>
      </c>
      <c r="AS155" s="82" t="n">
        <f aca="false">IF(AND(OR(AQ155="À RADIOGRAPHIER",AQ155="RÉPARÉ – À RADIOGRAPHIER",AQ155="NX – RT À REFAIRE"),OR('PROGRAMME RT'!$D$5="TOUTES",B155='PROGRAMME RT'!$D$5)),1,0)</f>
        <v>0</v>
      </c>
      <c r="AT155" s="82" t="str">
        <f aca="false">IF(AS155=1,SUM(AS$7:AS155),"")</f>
        <v/>
      </c>
      <c r="AU155" s="82" t="n">
        <f aca="false">IF(AND(OR(AA155="R",AA155="NX",AA155="NT",AA155="CO"),OR('JOINTS DE RÉPARATION'!$D$5="TOUTES",B155='JOINTS DE RÉPARATION'!$D$5),OR('JOINTS DE RÉPARATION'!$L$4="TOUS",AQ155&lt;&gt;"ACCEPTÉ")),1,0)</f>
        <v>0</v>
      </c>
      <c r="AV155" s="82" t="str">
        <f aca="false">IF(AU155=1,SUM(AU$7:AU155),"")</f>
        <v/>
      </c>
      <c r="AW155" s="82" t="str">
        <f aca="false">IF(E155="","",B155&amp;"|"&amp;E155)</f>
        <v>MFD-ISW → MFD-CPF|JN°149</v>
      </c>
    </row>
    <row r="156" customFormat="false" ht="74.6" hidden="false" customHeight="false" outlineLevel="0" collapsed="false">
      <c r="A156" s="79" t="n">
        <f aca="false">IF(E156="","",ROW()-6)</f>
        <v>150</v>
      </c>
      <c r="B156" s="80" t="s">
        <v>110</v>
      </c>
      <c r="C156" s="81"/>
      <c r="D156" s="81"/>
      <c r="E156" s="81" t="s">
        <v>260</v>
      </c>
      <c r="F156" s="82" t="str">
        <f aca="false">IF(E156="","",IF(LEFT(E156,2)="DJ","DJ","JN"))</f>
        <v>JN</v>
      </c>
      <c r="G156" s="81"/>
      <c r="H156" s="81"/>
      <c r="I156" s="81"/>
      <c r="J156" s="81"/>
      <c r="K156" s="81"/>
      <c r="L156" s="81"/>
      <c r="M156" s="81"/>
      <c r="N156" s="81"/>
      <c r="O156" s="81"/>
      <c r="P156" s="81"/>
      <c r="Q156" s="81"/>
      <c r="R156" s="81"/>
      <c r="S156" s="81"/>
      <c r="T156" s="81"/>
      <c r="U156" s="83"/>
      <c r="V156" s="83"/>
      <c r="W156" s="81"/>
      <c r="X156" s="81"/>
      <c r="Y156" s="83"/>
      <c r="Z156" s="81"/>
      <c r="AA156" s="81"/>
      <c r="AB156" s="81"/>
      <c r="AC156" s="81"/>
      <c r="AD156" s="81"/>
      <c r="AE156" s="83"/>
      <c r="AF156" s="81"/>
      <c r="AG156" s="81"/>
      <c r="AH156" s="81"/>
      <c r="AI156" s="81"/>
      <c r="AJ156" s="83"/>
      <c r="AK156" s="81"/>
      <c r="AL156" s="81"/>
      <c r="AM156" s="83"/>
      <c r="AN156" s="80"/>
      <c r="AO156" s="82" t="n">
        <f aca="false">IF(E156="","",(AA156&lt;&gt;"")+(AG156&lt;&gt;"")+(AL156&lt;&gt;""))</f>
        <v>0</v>
      </c>
      <c r="AP156" s="82" t="str">
        <f aca="false">IF(AL156&lt;&gt;"",AL156,IF(AG156&lt;&gt;"",AG156,IF(AA156&lt;&gt;"",AA156,"")))</f>
        <v/>
      </c>
      <c r="AQ156" s="84" t="str">
        <f aca="false">IF(E156="","",IF(U156="","À SOUDER",IF(X156="","VT EN ATTENTE",IF(X156="R","VT REJETÉ – À REPRENDRE",IF(AP156="","À RADIOGRAPHIER",IF(AP156="A","ACCEPTÉ",IF(AP156="NX","NX – RT À REFAIRE",IF(IF(AO156=1,AD156,IF(AO156=2,AI156,""))="A","RÉPARÉ – À RADIOGRAPHIER",IF(IF(AO156=1,AD156,IF(AO156=2,AI156,""))="R","VT REJETÉ – À REPRENDRE",IF(OR(AP156="CO",AP156="NT"),"COUPE – À RESOUDER","À RÉPARER"))))))))))</f>
        <v>À SOUDER</v>
      </c>
      <c r="AR156" s="82" t="str">
        <f aca="false">IF(AND(ISNUMBER(U156),OR(AQ156="À RADIOGRAPHIER",AQ156="RÉPARÉ – À RADIOGRAPHIER",AQ156="NX – RT À REFAIRE",AQ156="À RÉPARER",AQ156="COUPE – À RESOUDER",AQ156="VT REJETÉ – À REPRENDRE")),MAX(0,'PROGRAMME RT'!$C$4-U156),"")</f>
        <v/>
      </c>
      <c r="AS156" s="82" t="n">
        <f aca="false">IF(AND(OR(AQ156="À RADIOGRAPHIER",AQ156="RÉPARÉ – À RADIOGRAPHIER",AQ156="NX – RT À REFAIRE"),OR('PROGRAMME RT'!$D$5="TOUTES",B156='PROGRAMME RT'!$D$5)),1,0)</f>
        <v>0</v>
      </c>
      <c r="AT156" s="82" t="str">
        <f aca="false">IF(AS156=1,SUM(AS$7:AS156),"")</f>
        <v/>
      </c>
      <c r="AU156" s="82" t="n">
        <f aca="false">IF(AND(OR(AA156="R",AA156="NX",AA156="NT",AA156="CO"),OR('JOINTS DE RÉPARATION'!$D$5="TOUTES",B156='JOINTS DE RÉPARATION'!$D$5),OR('JOINTS DE RÉPARATION'!$L$4="TOUS",AQ156&lt;&gt;"ACCEPTÉ")),1,0)</f>
        <v>0</v>
      </c>
      <c r="AV156" s="82" t="str">
        <f aca="false">IF(AU156=1,SUM(AU$7:AU156),"")</f>
        <v/>
      </c>
      <c r="AW156" s="82" t="str">
        <f aca="false">IF(E156="","",B156&amp;"|"&amp;E156)</f>
        <v>MFD-ISW → MFD-CPF|JN°150</v>
      </c>
    </row>
    <row r="157" customFormat="false" ht="74.6" hidden="false" customHeight="false" outlineLevel="0" collapsed="false">
      <c r="A157" s="79" t="n">
        <f aca="false">IF(E157="","",ROW()-6)</f>
        <v>151</v>
      </c>
      <c r="B157" s="80" t="s">
        <v>110</v>
      </c>
      <c r="C157" s="81"/>
      <c r="D157" s="81"/>
      <c r="E157" s="81" t="s">
        <v>261</v>
      </c>
      <c r="F157" s="82" t="str">
        <f aca="false">IF(E157="","",IF(LEFT(E157,2)="DJ","DJ","JN"))</f>
        <v>JN</v>
      </c>
      <c r="G157" s="81"/>
      <c r="H157" s="81"/>
      <c r="I157" s="81"/>
      <c r="J157" s="81"/>
      <c r="K157" s="81"/>
      <c r="L157" s="81"/>
      <c r="M157" s="81"/>
      <c r="N157" s="81"/>
      <c r="O157" s="81"/>
      <c r="P157" s="81"/>
      <c r="Q157" s="81"/>
      <c r="R157" s="81"/>
      <c r="S157" s="81"/>
      <c r="T157" s="81"/>
      <c r="U157" s="83"/>
      <c r="V157" s="83"/>
      <c r="W157" s="81"/>
      <c r="X157" s="81"/>
      <c r="Y157" s="83"/>
      <c r="Z157" s="81"/>
      <c r="AA157" s="81"/>
      <c r="AB157" s="81"/>
      <c r="AC157" s="81"/>
      <c r="AD157" s="81"/>
      <c r="AE157" s="83"/>
      <c r="AF157" s="81"/>
      <c r="AG157" s="81"/>
      <c r="AH157" s="81"/>
      <c r="AI157" s="81"/>
      <c r="AJ157" s="83"/>
      <c r="AK157" s="81"/>
      <c r="AL157" s="81"/>
      <c r="AM157" s="83"/>
      <c r="AN157" s="80"/>
      <c r="AO157" s="82" t="n">
        <f aca="false">IF(E157="","",(AA157&lt;&gt;"")+(AG157&lt;&gt;"")+(AL157&lt;&gt;""))</f>
        <v>0</v>
      </c>
      <c r="AP157" s="82" t="str">
        <f aca="false">IF(AL157&lt;&gt;"",AL157,IF(AG157&lt;&gt;"",AG157,IF(AA157&lt;&gt;"",AA157,"")))</f>
        <v/>
      </c>
      <c r="AQ157" s="84" t="str">
        <f aca="false">IF(E157="","",IF(U157="","À SOUDER",IF(X157="","VT EN ATTENTE",IF(X157="R","VT REJETÉ – À REPRENDRE",IF(AP157="","À RADIOGRAPHIER",IF(AP157="A","ACCEPTÉ",IF(AP157="NX","NX – RT À REFAIRE",IF(IF(AO157=1,AD157,IF(AO157=2,AI157,""))="A","RÉPARÉ – À RADIOGRAPHIER",IF(IF(AO157=1,AD157,IF(AO157=2,AI157,""))="R","VT REJETÉ – À REPRENDRE",IF(OR(AP157="CO",AP157="NT"),"COUPE – À RESOUDER","À RÉPARER"))))))))))</f>
        <v>À SOUDER</v>
      </c>
      <c r="AR157" s="82" t="str">
        <f aca="false">IF(AND(ISNUMBER(U157),OR(AQ157="À RADIOGRAPHIER",AQ157="RÉPARÉ – À RADIOGRAPHIER",AQ157="NX – RT À REFAIRE",AQ157="À RÉPARER",AQ157="COUPE – À RESOUDER",AQ157="VT REJETÉ – À REPRENDRE")),MAX(0,'PROGRAMME RT'!$C$4-U157),"")</f>
        <v/>
      </c>
      <c r="AS157" s="82" t="n">
        <f aca="false">IF(AND(OR(AQ157="À RADIOGRAPHIER",AQ157="RÉPARÉ – À RADIOGRAPHIER",AQ157="NX – RT À REFAIRE"),OR('PROGRAMME RT'!$D$5="TOUTES",B157='PROGRAMME RT'!$D$5)),1,0)</f>
        <v>0</v>
      </c>
      <c r="AT157" s="82" t="str">
        <f aca="false">IF(AS157=1,SUM(AS$7:AS157),"")</f>
        <v/>
      </c>
      <c r="AU157" s="82" t="n">
        <f aca="false">IF(AND(OR(AA157="R",AA157="NX",AA157="NT",AA157="CO"),OR('JOINTS DE RÉPARATION'!$D$5="TOUTES",B157='JOINTS DE RÉPARATION'!$D$5),OR('JOINTS DE RÉPARATION'!$L$4="TOUS",AQ157&lt;&gt;"ACCEPTÉ")),1,0)</f>
        <v>0</v>
      </c>
      <c r="AV157" s="82" t="str">
        <f aca="false">IF(AU157=1,SUM(AU$7:AU157),"")</f>
        <v/>
      </c>
      <c r="AW157" s="82" t="str">
        <f aca="false">IF(E157="","",B157&amp;"|"&amp;E157)</f>
        <v>MFD-ISW → MFD-CPF|JN°151</v>
      </c>
    </row>
    <row r="158" customFormat="false" ht="74.6" hidden="false" customHeight="false" outlineLevel="0" collapsed="false">
      <c r="A158" s="79" t="n">
        <f aca="false">IF(E158="","",ROW()-6)</f>
        <v>152</v>
      </c>
      <c r="B158" s="80" t="s">
        <v>110</v>
      </c>
      <c r="C158" s="81"/>
      <c r="D158" s="81"/>
      <c r="E158" s="81" t="s">
        <v>262</v>
      </c>
      <c r="F158" s="82" t="str">
        <f aca="false">IF(E158="","",IF(LEFT(E158,2)="DJ","DJ","JN"))</f>
        <v>JN</v>
      </c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  <c r="S158" s="81"/>
      <c r="T158" s="81"/>
      <c r="U158" s="83"/>
      <c r="V158" s="83"/>
      <c r="W158" s="81"/>
      <c r="X158" s="81"/>
      <c r="Y158" s="83"/>
      <c r="Z158" s="81"/>
      <c r="AA158" s="81"/>
      <c r="AB158" s="81"/>
      <c r="AC158" s="81"/>
      <c r="AD158" s="81"/>
      <c r="AE158" s="83"/>
      <c r="AF158" s="81"/>
      <c r="AG158" s="81"/>
      <c r="AH158" s="81"/>
      <c r="AI158" s="81"/>
      <c r="AJ158" s="83"/>
      <c r="AK158" s="81"/>
      <c r="AL158" s="81"/>
      <c r="AM158" s="83"/>
      <c r="AN158" s="80"/>
      <c r="AO158" s="82" t="n">
        <f aca="false">IF(E158="","",(AA158&lt;&gt;"")+(AG158&lt;&gt;"")+(AL158&lt;&gt;""))</f>
        <v>0</v>
      </c>
      <c r="AP158" s="82" t="str">
        <f aca="false">IF(AL158&lt;&gt;"",AL158,IF(AG158&lt;&gt;"",AG158,IF(AA158&lt;&gt;"",AA158,"")))</f>
        <v/>
      </c>
      <c r="AQ158" s="84" t="str">
        <f aca="false">IF(E158="","",IF(U158="","À SOUDER",IF(X158="","VT EN ATTENTE",IF(X158="R","VT REJETÉ – À REPRENDRE",IF(AP158="","À RADIOGRAPHIER",IF(AP158="A","ACCEPTÉ",IF(AP158="NX","NX – RT À REFAIRE",IF(IF(AO158=1,AD158,IF(AO158=2,AI158,""))="A","RÉPARÉ – À RADIOGRAPHIER",IF(IF(AO158=1,AD158,IF(AO158=2,AI158,""))="R","VT REJETÉ – À REPRENDRE",IF(OR(AP158="CO",AP158="NT"),"COUPE – À RESOUDER","À RÉPARER"))))))))))</f>
        <v>À SOUDER</v>
      </c>
      <c r="AR158" s="82" t="str">
        <f aca="false">IF(AND(ISNUMBER(U158),OR(AQ158="À RADIOGRAPHIER",AQ158="RÉPARÉ – À RADIOGRAPHIER",AQ158="NX – RT À REFAIRE",AQ158="À RÉPARER",AQ158="COUPE – À RESOUDER",AQ158="VT REJETÉ – À REPRENDRE")),MAX(0,'PROGRAMME RT'!$C$4-U158),"")</f>
        <v/>
      </c>
      <c r="AS158" s="82" t="n">
        <f aca="false">IF(AND(OR(AQ158="À RADIOGRAPHIER",AQ158="RÉPARÉ – À RADIOGRAPHIER",AQ158="NX – RT À REFAIRE"),OR('PROGRAMME RT'!$D$5="TOUTES",B158='PROGRAMME RT'!$D$5)),1,0)</f>
        <v>0</v>
      </c>
      <c r="AT158" s="82" t="str">
        <f aca="false">IF(AS158=1,SUM(AS$7:AS158),"")</f>
        <v/>
      </c>
      <c r="AU158" s="82" t="n">
        <f aca="false">IF(AND(OR(AA158="R",AA158="NX",AA158="NT",AA158="CO"),OR('JOINTS DE RÉPARATION'!$D$5="TOUTES",B158='JOINTS DE RÉPARATION'!$D$5),OR('JOINTS DE RÉPARATION'!$L$4="TOUS",AQ158&lt;&gt;"ACCEPTÉ")),1,0)</f>
        <v>0</v>
      </c>
      <c r="AV158" s="82" t="str">
        <f aca="false">IF(AU158=1,SUM(AU$7:AU158),"")</f>
        <v/>
      </c>
      <c r="AW158" s="82" t="str">
        <f aca="false">IF(E158="","",B158&amp;"|"&amp;E158)</f>
        <v>MFD-ISW → MFD-CPF|JN°152</v>
      </c>
    </row>
    <row r="159" customFormat="false" ht="74.6" hidden="false" customHeight="false" outlineLevel="0" collapsed="false">
      <c r="A159" s="79" t="n">
        <f aca="false">IF(E159="","",ROW()-6)</f>
        <v>153</v>
      </c>
      <c r="B159" s="80" t="s">
        <v>110</v>
      </c>
      <c r="C159" s="81"/>
      <c r="D159" s="81"/>
      <c r="E159" s="81" t="s">
        <v>263</v>
      </c>
      <c r="F159" s="82" t="str">
        <f aca="false">IF(E159="","",IF(LEFT(E159,2)="DJ","DJ","JN"))</f>
        <v>JN</v>
      </c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S159" s="81"/>
      <c r="T159" s="81"/>
      <c r="U159" s="83"/>
      <c r="V159" s="83"/>
      <c r="W159" s="81"/>
      <c r="X159" s="81"/>
      <c r="Y159" s="83"/>
      <c r="Z159" s="81"/>
      <c r="AA159" s="81"/>
      <c r="AB159" s="81"/>
      <c r="AC159" s="81"/>
      <c r="AD159" s="81"/>
      <c r="AE159" s="83"/>
      <c r="AF159" s="81"/>
      <c r="AG159" s="81"/>
      <c r="AH159" s="81"/>
      <c r="AI159" s="81"/>
      <c r="AJ159" s="83"/>
      <c r="AK159" s="81"/>
      <c r="AL159" s="81"/>
      <c r="AM159" s="83"/>
      <c r="AN159" s="80"/>
      <c r="AO159" s="82" t="n">
        <f aca="false">IF(E159="","",(AA159&lt;&gt;"")+(AG159&lt;&gt;"")+(AL159&lt;&gt;""))</f>
        <v>0</v>
      </c>
      <c r="AP159" s="82" t="str">
        <f aca="false">IF(AL159&lt;&gt;"",AL159,IF(AG159&lt;&gt;"",AG159,IF(AA159&lt;&gt;"",AA159,"")))</f>
        <v/>
      </c>
      <c r="AQ159" s="84" t="str">
        <f aca="false">IF(E159="","",IF(U159="","À SOUDER",IF(X159="","VT EN ATTENTE",IF(X159="R","VT REJETÉ – À REPRENDRE",IF(AP159="","À RADIOGRAPHIER",IF(AP159="A","ACCEPTÉ",IF(AP159="NX","NX – RT À REFAIRE",IF(IF(AO159=1,AD159,IF(AO159=2,AI159,""))="A","RÉPARÉ – À RADIOGRAPHIER",IF(IF(AO159=1,AD159,IF(AO159=2,AI159,""))="R","VT REJETÉ – À REPRENDRE",IF(OR(AP159="CO",AP159="NT"),"COUPE – À RESOUDER","À RÉPARER"))))))))))</f>
        <v>À SOUDER</v>
      </c>
      <c r="AR159" s="82" t="str">
        <f aca="false">IF(AND(ISNUMBER(U159),OR(AQ159="À RADIOGRAPHIER",AQ159="RÉPARÉ – À RADIOGRAPHIER",AQ159="NX – RT À REFAIRE",AQ159="À RÉPARER",AQ159="COUPE – À RESOUDER",AQ159="VT REJETÉ – À REPRENDRE")),MAX(0,'PROGRAMME RT'!$C$4-U159),"")</f>
        <v/>
      </c>
      <c r="AS159" s="82" t="n">
        <f aca="false">IF(AND(OR(AQ159="À RADIOGRAPHIER",AQ159="RÉPARÉ – À RADIOGRAPHIER",AQ159="NX – RT À REFAIRE"),OR('PROGRAMME RT'!$D$5="TOUTES",B159='PROGRAMME RT'!$D$5)),1,0)</f>
        <v>0</v>
      </c>
      <c r="AT159" s="82" t="str">
        <f aca="false">IF(AS159=1,SUM(AS$7:AS159),"")</f>
        <v/>
      </c>
      <c r="AU159" s="82" t="n">
        <f aca="false">IF(AND(OR(AA159="R",AA159="NX",AA159="NT",AA159="CO"),OR('JOINTS DE RÉPARATION'!$D$5="TOUTES",B159='JOINTS DE RÉPARATION'!$D$5),OR('JOINTS DE RÉPARATION'!$L$4="TOUS",AQ159&lt;&gt;"ACCEPTÉ")),1,0)</f>
        <v>0</v>
      </c>
      <c r="AV159" s="82" t="str">
        <f aca="false">IF(AU159=1,SUM(AU$7:AU159),"")</f>
        <v/>
      </c>
      <c r="AW159" s="82" t="str">
        <f aca="false">IF(E159="","",B159&amp;"|"&amp;E159)</f>
        <v>MFD-ISW → MFD-CPF|JN°153</v>
      </c>
    </row>
    <row r="160" customFormat="false" ht="74.6" hidden="false" customHeight="false" outlineLevel="0" collapsed="false">
      <c r="A160" s="79" t="n">
        <f aca="false">IF(E160="","",ROW()-6)</f>
        <v>154</v>
      </c>
      <c r="B160" s="80" t="s">
        <v>110</v>
      </c>
      <c r="C160" s="81"/>
      <c r="D160" s="81"/>
      <c r="E160" s="81" t="s">
        <v>264</v>
      </c>
      <c r="F160" s="82" t="str">
        <f aca="false">IF(E160="","",IF(LEFT(E160,2)="DJ","DJ","JN"))</f>
        <v>JN</v>
      </c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3"/>
      <c r="V160" s="83"/>
      <c r="W160" s="81"/>
      <c r="X160" s="81"/>
      <c r="Y160" s="83"/>
      <c r="Z160" s="81"/>
      <c r="AA160" s="81"/>
      <c r="AB160" s="81"/>
      <c r="AC160" s="81"/>
      <c r="AD160" s="81"/>
      <c r="AE160" s="83"/>
      <c r="AF160" s="81"/>
      <c r="AG160" s="81"/>
      <c r="AH160" s="81"/>
      <c r="AI160" s="81"/>
      <c r="AJ160" s="83"/>
      <c r="AK160" s="81"/>
      <c r="AL160" s="81"/>
      <c r="AM160" s="83"/>
      <c r="AN160" s="80"/>
      <c r="AO160" s="82" t="n">
        <f aca="false">IF(E160="","",(AA160&lt;&gt;"")+(AG160&lt;&gt;"")+(AL160&lt;&gt;""))</f>
        <v>0</v>
      </c>
      <c r="AP160" s="82" t="str">
        <f aca="false">IF(AL160&lt;&gt;"",AL160,IF(AG160&lt;&gt;"",AG160,IF(AA160&lt;&gt;"",AA160,"")))</f>
        <v/>
      </c>
      <c r="AQ160" s="84" t="str">
        <f aca="false">IF(E160="","",IF(U160="","À SOUDER",IF(X160="","VT EN ATTENTE",IF(X160="R","VT REJETÉ – À REPRENDRE",IF(AP160="","À RADIOGRAPHIER",IF(AP160="A","ACCEPTÉ",IF(AP160="NX","NX – RT À REFAIRE",IF(IF(AO160=1,AD160,IF(AO160=2,AI160,""))="A","RÉPARÉ – À RADIOGRAPHIER",IF(IF(AO160=1,AD160,IF(AO160=2,AI160,""))="R","VT REJETÉ – À REPRENDRE",IF(OR(AP160="CO",AP160="NT"),"COUPE – À RESOUDER","À RÉPARER"))))))))))</f>
        <v>À SOUDER</v>
      </c>
      <c r="AR160" s="82" t="str">
        <f aca="false">IF(AND(ISNUMBER(U160),OR(AQ160="À RADIOGRAPHIER",AQ160="RÉPARÉ – À RADIOGRAPHIER",AQ160="NX – RT À REFAIRE",AQ160="À RÉPARER",AQ160="COUPE – À RESOUDER",AQ160="VT REJETÉ – À REPRENDRE")),MAX(0,'PROGRAMME RT'!$C$4-U160),"")</f>
        <v/>
      </c>
      <c r="AS160" s="82" t="n">
        <f aca="false">IF(AND(OR(AQ160="À RADIOGRAPHIER",AQ160="RÉPARÉ – À RADIOGRAPHIER",AQ160="NX – RT À REFAIRE"),OR('PROGRAMME RT'!$D$5="TOUTES",B160='PROGRAMME RT'!$D$5)),1,0)</f>
        <v>0</v>
      </c>
      <c r="AT160" s="82" t="str">
        <f aca="false">IF(AS160=1,SUM(AS$7:AS160),"")</f>
        <v/>
      </c>
      <c r="AU160" s="82" t="n">
        <f aca="false">IF(AND(OR(AA160="R",AA160="NX",AA160="NT",AA160="CO"),OR('JOINTS DE RÉPARATION'!$D$5="TOUTES",B160='JOINTS DE RÉPARATION'!$D$5),OR('JOINTS DE RÉPARATION'!$L$4="TOUS",AQ160&lt;&gt;"ACCEPTÉ")),1,0)</f>
        <v>0</v>
      </c>
      <c r="AV160" s="82" t="str">
        <f aca="false">IF(AU160=1,SUM(AU$7:AU160),"")</f>
        <v/>
      </c>
      <c r="AW160" s="82" t="str">
        <f aca="false">IF(E160="","",B160&amp;"|"&amp;E160)</f>
        <v>MFD-ISW → MFD-CPF|JN°154</v>
      </c>
    </row>
    <row r="161" customFormat="false" ht="74.6" hidden="false" customHeight="false" outlineLevel="0" collapsed="false">
      <c r="A161" s="79" t="n">
        <f aca="false">IF(E161="","",ROW()-6)</f>
        <v>155</v>
      </c>
      <c r="B161" s="80" t="s">
        <v>110</v>
      </c>
      <c r="C161" s="81"/>
      <c r="D161" s="81"/>
      <c r="E161" s="81" t="s">
        <v>265</v>
      </c>
      <c r="F161" s="82" t="str">
        <f aca="false">IF(E161="","",IF(LEFT(E161,2)="DJ","DJ","JN"))</f>
        <v>JN</v>
      </c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3"/>
      <c r="V161" s="83"/>
      <c r="W161" s="81"/>
      <c r="X161" s="81"/>
      <c r="Y161" s="83"/>
      <c r="Z161" s="81"/>
      <c r="AA161" s="81"/>
      <c r="AB161" s="81"/>
      <c r="AC161" s="81"/>
      <c r="AD161" s="81"/>
      <c r="AE161" s="83"/>
      <c r="AF161" s="81"/>
      <c r="AG161" s="81"/>
      <c r="AH161" s="81"/>
      <c r="AI161" s="81"/>
      <c r="AJ161" s="83"/>
      <c r="AK161" s="81"/>
      <c r="AL161" s="81"/>
      <c r="AM161" s="83"/>
      <c r="AN161" s="80"/>
      <c r="AO161" s="82" t="n">
        <f aca="false">IF(E161="","",(AA161&lt;&gt;"")+(AG161&lt;&gt;"")+(AL161&lt;&gt;""))</f>
        <v>0</v>
      </c>
      <c r="AP161" s="82" t="str">
        <f aca="false">IF(AL161&lt;&gt;"",AL161,IF(AG161&lt;&gt;"",AG161,IF(AA161&lt;&gt;"",AA161,"")))</f>
        <v/>
      </c>
      <c r="AQ161" s="84" t="str">
        <f aca="false">IF(E161="","",IF(U161="","À SOUDER",IF(X161="","VT EN ATTENTE",IF(X161="R","VT REJETÉ – À REPRENDRE",IF(AP161="","À RADIOGRAPHIER",IF(AP161="A","ACCEPTÉ",IF(AP161="NX","NX – RT À REFAIRE",IF(IF(AO161=1,AD161,IF(AO161=2,AI161,""))="A","RÉPARÉ – À RADIOGRAPHIER",IF(IF(AO161=1,AD161,IF(AO161=2,AI161,""))="R","VT REJETÉ – À REPRENDRE",IF(OR(AP161="CO",AP161="NT"),"COUPE – À RESOUDER","À RÉPARER"))))))))))</f>
        <v>À SOUDER</v>
      </c>
      <c r="AR161" s="82" t="str">
        <f aca="false">IF(AND(ISNUMBER(U161),OR(AQ161="À RADIOGRAPHIER",AQ161="RÉPARÉ – À RADIOGRAPHIER",AQ161="NX – RT À REFAIRE",AQ161="À RÉPARER",AQ161="COUPE – À RESOUDER",AQ161="VT REJETÉ – À REPRENDRE")),MAX(0,'PROGRAMME RT'!$C$4-U161),"")</f>
        <v/>
      </c>
      <c r="AS161" s="82" t="n">
        <f aca="false">IF(AND(OR(AQ161="À RADIOGRAPHIER",AQ161="RÉPARÉ – À RADIOGRAPHIER",AQ161="NX – RT À REFAIRE"),OR('PROGRAMME RT'!$D$5="TOUTES",B161='PROGRAMME RT'!$D$5)),1,0)</f>
        <v>0</v>
      </c>
      <c r="AT161" s="82" t="str">
        <f aca="false">IF(AS161=1,SUM(AS$7:AS161),"")</f>
        <v/>
      </c>
      <c r="AU161" s="82" t="n">
        <f aca="false">IF(AND(OR(AA161="R",AA161="NX",AA161="NT",AA161="CO"),OR('JOINTS DE RÉPARATION'!$D$5="TOUTES",B161='JOINTS DE RÉPARATION'!$D$5),OR('JOINTS DE RÉPARATION'!$L$4="TOUS",AQ161&lt;&gt;"ACCEPTÉ")),1,0)</f>
        <v>0</v>
      </c>
      <c r="AV161" s="82" t="str">
        <f aca="false">IF(AU161=1,SUM(AU$7:AU161),"")</f>
        <v/>
      </c>
      <c r="AW161" s="82" t="str">
        <f aca="false">IF(E161="","",B161&amp;"|"&amp;E161)</f>
        <v>MFD-ISW → MFD-CPF|JN°155</v>
      </c>
    </row>
    <row r="162" customFormat="false" ht="74.6" hidden="false" customHeight="false" outlineLevel="0" collapsed="false">
      <c r="A162" s="79" t="n">
        <f aca="false">IF(E162="","",ROW()-6)</f>
        <v>156</v>
      </c>
      <c r="B162" s="80" t="s">
        <v>110</v>
      </c>
      <c r="C162" s="81"/>
      <c r="D162" s="81"/>
      <c r="E162" s="81" t="s">
        <v>266</v>
      </c>
      <c r="F162" s="82" t="str">
        <f aca="false">IF(E162="","",IF(LEFT(E162,2)="DJ","DJ","JN"))</f>
        <v>JN</v>
      </c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3"/>
      <c r="V162" s="83"/>
      <c r="W162" s="81"/>
      <c r="X162" s="81"/>
      <c r="Y162" s="83"/>
      <c r="Z162" s="81"/>
      <c r="AA162" s="81"/>
      <c r="AB162" s="81"/>
      <c r="AC162" s="81"/>
      <c r="AD162" s="81"/>
      <c r="AE162" s="83"/>
      <c r="AF162" s="81"/>
      <c r="AG162" s="81"/>
      <c r="AH162" s="81"/>
      <c r="AI162" s="81"/>
      <c r="AJ162" s="83"/>
      <c r="AK162" s="81"/>
      <c r="AL162" s="81"/>
      <c r="AM162" s="83"/>
      <c r="AN162" s="80"/>
      <c r="AO162" s="82" t="n">
        <f aca="false">IF(E162="","",(AA162&lt;&gt;"")+(AG162&lt;&gt;"")+(AL162&lt;&gt;""))</f>
        <v>0</v>
      </c>
      <c r="AP162" s="82" t="str">
        <f aca="false">IF(AL162&lt;&gt;"",AL162,IF(AG162&lt;&gt;"",AG162,IF(AA162&lt;&gt;"",AA162,"")))</f>
        <v/>
      </c>
      <c r="AQ162" s="84" t="str">
        <f aca="false">IF(E162="","",IF(U162="","À SOUDER",IF(X162="","VT EN ATTENTE",IF(X162="R","VT REJETÉ – À REPRENDRE",IF(AP162="","À RADIOGRAPHIER",IF(AP162="A","ACCEPTÉ",IF(AP162="NX","NX – RT À REFAIRE",IF(IF(AO162=1,AD162,IF(AO162=2,AI162,""))="A","RÉPARÉ – À RADIOGRAPHIER",IF(IF(AO162=1,AD162,IF(AO162=2,AI162,""))="R","VT REJETÉ – À REPRENDRE",IF(OR(AP162="CO",AP162="NT"),"COUPE – À RESOUDER","À RÉPARER"))))))))))</f>
        <v>À SOUDER</v>
      </c>
      <c r="AR162" s="82" t="str">
        <f aca="false">IF(AND(ISNUMBER(U162),OR(AQ162="À RADIOGRAPHIER",AQ162="RÉPARÉ – À RADIOGRAPHIER",AQ162="NX – RT À REFAIRE",AQ162="À RÉPARER",AQ162="COUPE – À RESOUDER",AQ162="VT REJETÉ – À REPRENDRE")),MAX(0,'PROGRAMME RT'!$C$4-U162),"")</f>
        <v/>
      </c>
      <c r="AS162" s="82" t="n">
        <f aca="false">IF(AND(OR(AQ162="À RADIOGRAPHIER",AQ162="RÉPARÉ – À RADIOGRAPHIER",AQ162="NX – RT À REFAIRE"),OR('PROGRAMME RT'!$D$5="TOUTES",B162='PROGRAMME RT'!$D$5)),1,0)</f>
        <v>0</v>
      </c>
      <c r="AT162" s="82" t="str">
        <f aca="false">IF(AS162=1,SUM(AS$7:AS162),"")</f>
        <v/>
      </c>
      <c r="AU162" s="82" t="n">
        <f aca="false">IF(AND(OR(AA162="R",AA162="NX",AA162="NT",AA162="CO"),OR('JOINTS DE RÉPARATION'!$D$5="TOUTES",B162='JOINTS DE RÉPARATION'!$D$5),OR('JOINTS DE RÉPARATION'!$L$4="TOUS",AQ162&lt;&gt;"ACCEPTÉ")),1,0)</f>
        <v>0</v>
      </c>
      <c r="AV162" s="82" t="str">
        <f aca="false">IF(AU162=1,SUM(AU$7:AU162),"")</f>
        <v/>
      </c>
      <c r="AW162" s="82" t="str">
        <f aca="false">IF(E162="","",B162&amp;"|"&amp;E162)</f>
        <v>MFD-ISW → MFD-CPF|JN°156</v>
      </c>
    </row>
    <row r="163" customFormat="false" ht="74.6" hidden="false" customHeight="false" outlineLevel="0" collapsed="false">
      <c r="A163" s="79" t="n">
        <f aca="false">IF(E163="","",ROW()-6)</f>
        <v>157</v>
      </c>
      <c r="B163" s="80" t="s">
        <v>110</v>
      </c>
      <c r="C163" s="81"/>
      <c r="D163" s="81"/>
      <c r="E163" s="81" t="s">
        <v>267</v>
      </c>
      <c r="F163" s="82" t="str">
        <f aca="false">IF(E163="","",IF(LEFT(E163,2)="DJ","DJ","JN"))</f>
        <v>JN</v>
      </c>
      <c r="G163" s="81"/>
      <c r="H163" s="81"/>
      <c r="I163" s="81"/>
      <c r="J163" s="81"/>
      <c r="K163" s="81"/>
      <c r="L163" s="81"/>
      <c r="M163" s="81"/>
      <c r="N163" s="81"/>
      <c r="O163" s="81"/>
      <c r="P163" s="81"/>
      <c r="Q163" s="81"/>
      <c r="R163" s="81"/>
      <c r="S163" s="81"/>
      <c r="T163" s="81"/>
      <c r="U163" s="83"/>
      <c r="V163" s="83"/>
      <c r="W163" s="81"/>
      <c r="X163" s="81"/>
      <c r="Y163" s="83"/>
      <c r="Z163" s="81"/>
      <c r="AA163" s="81"/>
      <c r="AB163" s="81"/>
      <c r="AC163" s="81"/>
      <c r="AD163" s="81"/>
      <c r="AE163" s="83"/>
      <c r="AF163" s="81"/>
      <c r="AG163" s="81"/>
      <c r="AH163" s="81"/>
      <c r="AI163" s="81"/>
      <c r="AJ163" s="83"/>
      <c r="AK163" s="81"/>
      <c r="AL163" s="81"/>
      <c r="AM163" s="83"/>
      <c r="AN163" s="80"/>
      <c r="AO163" s="82" t="n">
        <f aca="false">IF(E163="","",(AA163&lt;&gt;"")+(AG163&lt;&gt;"")+(AL163&lt;&gt;""))</f>
        <v>0</v>
      </c>
      <c r="AP163" s="82" t="str">
        <f aca="false">IF(AL163&lt;&gt;"",AL163,IF(AG163&lt;&gt;"",AG163,IF(AA163&lt;&gt;"",AA163,"")))</f>
        <v/>
      </c>
      <c r="AQ163" s="84" t="str">
        <f aca="false">IF(E163="","",IF(U163="","À SOUDER",IF(X163="","VT EN ATTENTE",IF(X163="R","VT REJETÉ – À REPRENDRE",IF(AP163="","À RADIOGRAPHIER",IF(AP163="A","ACCEPTÉ",IF(AP163="NX","NX – RT À REFAIRE",IF(IF(AO163=1,AD163,IF(AO163=2,AI163,""))="A","RÉPARÉ – À RADIOGRAPHIER",IF(IF(AO163=1,AD163,IF(AO163=2,AI163,""))="R","VT REJETÉ – À REPRENDRE",IF(OR(AP163="CO",AP163="NT"),"COUPE – À RESOUDER","À RÉPARER"))))))))))</f>
        <v>À SOUDER</v>
      </c>
      <c r="AR163" s="82" t="str">
        <f aca="false">IF(AND(ISNUMBER(U163),OR(AQ163="À RADIOGRAPHIER",AQ163="RÉPARÉ – À RADIOGRAPHIER",AQ163="NX – RT À REFAIRE",AQ163="À RÉPARER",AQ163="COUPE – À RESOUDER",AQ163="VT REJETÉ – À REPRENDRE")),MAX(0,'PROGRAMME RT'!$C$4-U163),"")</f>
        <v/>
      </c>
      <c r="AS163" s="82" t="n">
        <f aca="false">IF(AND(OR(AQ163="À RADIOGRAPHIER",AQ163="RÉPARÉ – À RADIOGRAPHIER",AQ163="NX – RT À REFAIRE"),OR('PROGRAMME RT'!$D$5="TOUTES",B163='PROGRAMME RT'!$D$5)),1,0)</f>
        <v>0</v>
      </c>
      <c r="AT163" s="82" t="str">
        <f aca="false">IF(AS163=1,SUM(AS$7:AS163),"")</f>
        <v/>
      </c>
      <c r="AU163" s="82" t="n">
        <f aca="false">IF(AND(OR(AA163="R",AA163="NX",AA163="NT",AA163="CO"),OR('JOINTS DE RÉPARATION'!$D$5="TOUTES",B163='JOINTS DE RÉPARATION'!$D$5),OR('JOINTS DE RÉPARATION'!$L$4="TOUS",AQ163&lt;&gt;"ACCEPTÉ")),1,0)</f>
        <v>0</v>
      </c>
      <c r="AV163" s="82" t="str">
        <f aca="false">IF(AU163=1,SUM(AU$7:AU163),"")</f>
        <v/>
      </c>
      <c r="AW163" s="82" t="str">
        <f aca="false">IF(E163="","",B163&amp;"|"&amp;E163)</f>
        <v>MFD-ISW → MFD-CPF|JN°157</v>
      </c>
    </row>
    <row r="164" customFormat="false" ht="74.6" hidden="false" customHeight="false" outlineLevel="0" collapsed="false">
      <c r="A164" s="79" t="n">
        <f aca="false">IF(E164="","",ROW()-6)</f>
        <v>158</v>
      </c>
      <c r="B164" s="80" t="s">
        <v>110</v>
      </c>
      <c r="C164" s="81"/>
      <c r="D164" s="81"/>
      <c r="E164" s="81" t="s">
        <v>268</v>
      </c>
      <c r="F164" s="82" t="str">
        <f aca="false">IF(E164="","",IF(LEFT(E164,2)="DJ","DJ","JN"))</f>
        <v>JN</v>
      </c>
      <c r="G164" s="81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3"/>
      <c r="V164" s="83"/>
      <c r="W164" s="81"/>
      <c r="X164" s="81"/>
      <c r="Y164" s="83"/>
      <c r="Z164" s="81"/>
      <c r="AA164" s="81"/>
      <c r="AB164" s="81"/>
      <c r="AC164" s="81"/>
      <c r="AD164" s="81"/>
      <c r="AE164" s="83"/>
      <c r="AF164" s="81"/>
      <c r="AG164" s="81"/>
      <c r="AH164" s="81"/>
      <c r="AI164" s="81"/>
      <c r="AJ164" s="83"/>
      <c r="AK164" s="81"/>
      <c r="AL164" s="81"/>
      <c r="AM164" s="83"/>
      <c r="AN164" s="80"/>
      <c r="AO164" s="82" t="n">
        <f aca="false">IF(E164="","",(AA164&lt;&gt;"")+(AG164&lt;&gt;"")+(AL164&lt;&gt;""))</f>
        <v>0</v>
      </c>
      <c r="AP164" s="82" t="str">
        <f aca="false">IF(AL164&lt;&gt;"",AL164,IF(AG164&lt;&gt;"",AG164,IF(AA164&lt;&gt;"",AA164,"")))</f>
        <v/>
      </c>
      <c r="AQ164" s="84" t="str">
        <f aca="false">IF(E164="","",IF(U164="","À SOUDER",IF(X164="","VT EN ATTENTE",IF(X164="R","VT REJETÉ – À REPRENDRE",IF(AP164="","À RADIOGRAPHIER",IF(AP164="A","ACCEPTÉ",IF(AP164="NX","NX – RT À REFAIRE",IF(IF(AO164=1,AD164,IF(AO164=2,AI164,""))="A","RÉPARÉ – À RADIOGRAPHIER",IF(IF(AO164=1,AD164,IF(AO164=2,AI164,""))="R","VT REJETÉ – À REPRENDRE",IF(OR(AP164="CO",AP164="NT"),"COUPE – À RESOUDER","À RÉPARER"))))))))))</f>
        <v>À SOUDER</v>
      </c>
      <c r="AR164" s="82" t="str">
        <f aca="false">IF(AND(ISNUMBER(U164),OR(AQ164="À RADIOGRAPHIER",AQ164="RÉPARÉ – À RADIOGRAPHIER",AQ164="NX – RT À REFAIRE",AQ164="À RÉPARER",AQ164="COUPE – À RESOUDER",AQ164="VT REJETÉ – À REPRENDRE")),MAX(0,'PROGRAMME RT'!$C$4-U164),"")</f>
        <v/>
      </c>
      <c r="AS164" s="82" t="n">
        <f aca="false">IF(AND(OR(AQ164="À RADIOGRAPHIER",AQ164="RÉPARÉ – À RADIOGRAPHIER",AQ164="NX – RT À REFAIRE"),OR('PROGRAMME RT'!$D$5="TOUTES",B164='PROGRAMME RT'!$D$5)),1,0)</f>
        <v>0</v>
      </c>
      <c r="AT164" s="82" t="str">
        <f aca="false">IF(AS164=1,SUM(AS$7:AS164),"")</f>
        <v/>
      </c>
      <c r="AU164" s="82" t="n">
        <f aca="false">IF(AND(OR(AA164="R",AA164="NX",AA164="NT",AA164="CO"),OR('JOINTS DE RÉPARATION'!$D$5="TOUTES",B164='JOINTS DE RÉPARATION'!$D$5),OR('JOINTS DE RÉPARATION'!$L$4="TOUS",AQ164&lt;&gt;"ACCEPTÉ")),1,0)</f>
        <v>0</v>
      </c>
      <c r="AV164" s="82" t="str">
        <f aca="false">IF(AU164=1,SUM(AU$7:AU164),"")</f>
        <v/>
      </c>
      <c r="AW164" s="82" t="str">
        <f aca="false">IF(E164="","",B164&amp;"|"&amp;E164)</f>
        <v>MFD-ISW → MFD-CPF|JN°158</v>
      </c>
    </row>
    <row r="165" customFormat="false" ht="74.6" hidden="false" customHeight="false" outlineLevel="0" collapsed="false">
      <c r="A165" s="79" t="n">
        <f aca="false">IF(E165="","",ROW()-6)</f>
        <v>159</v>
      </c>
      <c r="B165" s="80" t="s">
        <v>110</v>
      </c>
      <c r="C165" s="81"/>
      <c r="D165" s="81"/>
      <c r="E165" s="81" t="s">
        <v>269</v>
      </c>
      <c r="F165" s="82" t="str">
        <f aca="false">IF(E165="","",IF(LEFT(E165,2)="DJ","DJ","JN"))</f>
        <v>JN</v>
      </c>
      <c r="G165" s="81"/>
      <c r="H165" s="81"/>
      <c r="I165" s="81"/>
      <c r="J165" s="81"/>
      <c r="K165" s="81"/>
      <c r="L165" s="81"/>
      <c r="M165" s="81"/>
      <c r="N165" s="81"/>
      <c r="O165" s="81"/>
      <c r="P165" s="81"/>
      <c r="Q165" s="81"/>
      <c r="R165" s="81"/>
      <c r="S165" s="81"/>
      <c r="T165" s="81"/>
      <c r="U165" s="83"/>
      <c r="V165" s="83"/>
      <c r="W165" s="81"/>
      <c r="X165" s="81"/>
      <c r="Y165" s="83"/>
      <c r="Z165" s="81"/>
      <c r="AA165" s="81"/>
      <c r="AB165" s="81"/>
      <c r="AC165" s="81"/>
      <c r="AD165" s="81"/>
      <c r="AE165" s="83"/>
      <c r="AF165" s="81"/>
      <c r="AG165" s="81"/>
      <c r="AH165" s="81"/>
      <c r="AI165" s="81"/>
      <c r="AJ165" s="83"/>
      <c r="AK165" s="81"/>
      <c r="AL165" s="81"/>
      <c r="AM165" s="83"/>
      <c r="AN165" s="80"/>
      <c r="AO165" s="82" t="n">
        <f aca="false">IF(E165="","",(AA165&lt;&gt;"")+(AG165&lt;&gt;"")+(AL165&lt;&gt;""))</f>
        <v>0</v>
      </c>
      <c r="AP165" s="82" t="str">
        <f aca="false">IF(AL165&lt;&gt;"",AL165,IF(AG165&lt;&gt;"",AG165,IF(AA165&lt;&gt;"",AA165,"")))</f>
        <v/>
      </c>
      <c r="AQ165" s="84" t="str">
        <f aca="false">IF(E165="","",IF(U165="","À SOUDER",IF(X165="","VT EN ATTENTE",IF(X165="R","VT REJETÉ – À REPRENDRE",IF(AP165="","À RADIOGRAPHIER",IF(AP165="A","ACCEPTÉ",IF(AP165="NX","NX – RT À REFAIRE",IF(IF(AO165=1,AD165,IF(AO165=2,AI165,""))="A","RÉPARÉ – À RADIOGRAPHIER",IF(IF(AO165=1,AD165,IF(AO165=2,AI165,""))="R","VT REJETÉ – À REPRENDRE",IF(OR(AP165="CO",AP165="NT"),"COUPE – À RESOUDER","À RÉPARER"))))))))))</f>
        <v>À SOUDER</v>
      </c>
      <c r="AR165" s="82" t="str">
        <f aca="false">IF(AND(ISNUMBER(U165),OR(AQ165="À RADIOGRAPHIER",AQ165="RÉPARÉ – À RADIOGRAPHIER",AQ165="NX – RT À REFAIRE",AQ165="À RÉPARER",AQ165="COUPE – À RESOUDER",AQ165="VT REJETÉ – À REPRENDRE")),MAX(0,'PROGRAMME RT'!$C$4-U165),"")</f>
        <v/>
      </c>
      <c r="AS165" s="82" t="n">
        <f aca="false">IF(AND(OR(AQ165="À RADIOGRAPHIER",AQ165="RÉPARÉ – À RADIOGRAPHIER",AQ165="NX – RT À REFAIRE"),OR('PROGRAMME RT'!$D$5="TOUTES",B165='PROGRAMME RT'!$D$5)),1,0)</f>
        <v>0</v>
      </c>
      <c r="AT165" s="82" t="str">
        <f aca="false">IF(AS165=1,SUM(AS$7:AS165),"")</f>
        <v/>
      </c>
      <c r="AU165" s="82" t="n">
        <f aca="false">IF(AND(OR(AA165="R",AA165="NX",AA165="NT",AA165="CO"),OR('JOINTS DE RÉPARATION'!$D$5="TOUTES",B165='JOINTS DE RÉPARATION'!$D$5),OR('JOINTS DE RÉPARATION'!$L$4="TOUS",AQ165&lt;&gt;"ACCEPTÉ")),1,0)</f>
        <v>0</v>
      </c>
      <c r="AV165" s="82" t="str">
        <f aca="false">IF(AU165=1,SUM(AU$7:AU165),"")</f>
        <v/>
      </c>
      <c r="AW165" s="82" t="str">
        <f aca="false">IF(E165="","",B165&amp;"|"&amp;E165)</f>
        <v>MFD-ISW → MFD-CPF|JN°159</v>
      </c>
    </row>
    <row r="166" customFormat="false" ht="74.6" hidden="false" customHeight="false" outlineLevel="0" collapsed="false">
      <c r="A166" s="79" t="n">
        <f aca="false">IF(E166="","",ROW()-6)</f>
        <v>160</v>
      </c>
      <c r="B166" s="80" t="s">
        <v>110</v>
      </c>
      <c r="C166" s="81"/>
      <c r="D166" s="81"/>
      <c r="E166" s="81" t="s">
        <v>270</v>
      </c>
      <c r="F166" s="82" t="str">
        <f aca="false">IF(E166="","",IF(LEFT(E166,2)="DJ","DJ","JN"))</f>
        <v>JN</v>
      </c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  <c r="S166" s="81"/>
      <c r="T166" s="81"/>
      <c r="U166" s="83"/>
      <c r="V166" s="83"/>
      <c r="W166" s="81"/>
      <c r="X166" s="81"/>
      <c r="Y166" s="83"/>
      <c r="Z166" s="81"/>
      <c r="AA166" s="81"/>
      <c r="AB166" s="81"/>
      <c r="AC166" s="81"/>
      <c r="AD166" s="81"/>
      <c r="AE166" s="83"/>
      <c r="AF166" s="81"/>
      <c r="AG166" s="81"/>
      <c r="AH166" s="81"/>
      <c r="AI166" s="81"/>
      <c r="AJ166" s="83"/>
      <c r="AK166" s="81"/>
      <c r="AL166" s="81"/>
      <c r="AM166" s="83"/>
      <c r="AN166" s="80"/>
      <c r="AO166" s="82" t="n">
        <f aca="false">IF(E166="","",(AA166&lt;&gt;"")+(AG166&lt;&gt;"")+(AL166&lt;&gt;""))</f>
        <v>0</v>
      </c>
      <c r="AP166" s="82" t="str">
        <f aca="false">IF(AL166&lt;&gt;"",AL166,IF(AG166&lt;&gt;"",AG166,IF(AA166&lt;&gt;"",AA166,"")))</f>
        <v/>
      </c>
      <c r="AQ166" s="84" t="str">
        <f aca="false">IF(E166="","",IF(U166="","À SOUDER",IF(X166="","VT EN ATTENTE",IF(X166="R","VT REJETÉ – À REPRENDRE",IF(AP166="","À RADIOGRAPHIER",IF(AP166="A","ACCEPTÉ",IF(AP166="NX","NX – RT À REFAIRE",IF(IF(AO166=1,AD166,IF(AO166=2,AI166,""))="A","RÉPARÉ – À RADIOGRAPHIER",IF(IF(AO166=1,AD166,IF(AO166=2,AI166,""))="R","VT REJETÉ – À REPRENDRE",IF(OR(AP166="CO",AP166="NT"),"COUPE – À RESOUDER","À RÉPARER"))))))))))</f>
        <v>À SOUDER</v>
      </c>
      <c r="AR166" s="82" t="str">
        <f aca="false">IF(AND(ISNUMBER(U166),OR(AQ166="À RADIOGRAPHIER",AQ166="RÉPARÉ – À RADIOGRAPHIER",AQ166="NX – RT À REFAIRE",AQ166="À RÉPARER",AQ166="COUPE – À RESOUDER",AQ166="VT REJETÉ – À REPRENDRE")),MAX(0,'PROGRAMME RT'!$C$4-U166),"")</f>
        <v/>
      </c>
      <c r="AS166" s="82" t="n">
        <f aca="false">IF(AND(OR(AQ166="À RADIOGRAPHIER",AQ166="RÉPARÉ – À RADIOGRAPHIER",AQ166="NX – RT À REFAIRE"),OR('PROGRAMME RT'!$D$5="TOUTES",B166='PROGRAMME RT'!$D$5)),1,0)</f>
        <v>0</v>
      </c>
      <c r="AT166" s="82" t="str">
        <f aca="false">IF(AS166=1,SUM(AS$7:AS166),"")</f>
        <v/>
      </c>
      <c r="AU166" s="82" t="n">
        <f aca="false">IF(AND(OR(AA166="R",AA166="NX",AA166="NT",AA166="CO"),OR('JOINTS DE RÉPARATION'!$D$5="TOUTES",B166='JOINTS DE RÉPARATION'!$D$5),OR('JOINTS DE RÉPARATION'!$L$4="TOUS",AQ166&lt;&gt;"ACCEPTÉ")),1,0)</f>
        <v>0</v>
      </c>
      <c r="AV166" s="82" t="str">
        <f aca="false">IF(AU166=1,SUM(AU$7:AU166),"")</f>
        <v/>
      </c>
      <c r="AW166" s="82" t="str">
        <f aca="false">IF(E166="","",B166&amp;"|"&amp;E166)</f>
        <v>MFD-ISW → MFD-CPF|JN°160</v>
      </c>
    </row>
    <row r="167" customFormat="false" ht="74.6" hidden="false" customHeight="false" outlineLevel="0" collapsed="false">
      <c r="A167" s="79" t="n">
        <f aca="false">IF(E167="","",ROW()-6)</f>
        <v>161</v>
      </c>
      <c r="B167" s="80" t="s">
        <v>110</v>
      </c>
      <c r="C167" s="81"/>
      <c r="D167" s="81"/>
      <c r="E167" s="81" t="s">
        <v>271</v>
      </c>
      <c r="F167" s="82" t="str">
        <f aca="false">IF(E167="","",IF(LEFT(E167,2)="DJ","DJ","JN"))</f>
        <v>JN</v>
      </c>
      <c r="G167" s="81"/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81"/>
      <c r="S167" s="81"/>
      <c r="T167" s="81"/>
      <c r="U167" s="83"/>
      <c r="V167" s="83"/>
      <c r="W167" s="81"/>
      <c r="X167" s="81"/>
      <c r="Y167" s="83"/>
      <c r="Z167" s="81"/>
      <c r="AA167" s="81"/>
      <c r="AB167" s="81"/>
      <c r="AC167" s="81"/>
      <c r="AD167" s="81"/>
      <c r="AE167" s="83"/>
      <c r="AF167" s="81"/>
      <c r="AG167" s="81"/>
      <c r="AH167" s="81"/>
      <c r="AI167" s="81"/>
      <c r="AJ167" s="83"/>
      <c r="AK167" s="81"/>
      <c r="AL167" s="81"/>
      <c r="AM167" s="83"/>
      <c r="AN167" s="80"/>
      <c r="AO167" s="82" t="n">
        <f aca="false">IF(E167="","",(AA167&lt;&gt;"")+(AG167&lt;&gt;"")+(AL167&lt;&gt;""))</f>
        <v>0</v>
      </c>
      <c r="AP167" s="82" t="str">
        <f aca="false">IF(AL167&lt;&gt;"",AL167,IF(AG167&lt;&gt;"",AG167,IF(AA167&lt;&gt;"",AA167,"")))</f>
        <v/>
      </c>
      <c r="AQ167" s="84" t="str">
        <f aca="false">IF(E167="","",IF(U167="","À SOUDER",IF(X167="","VT EN ATTENTE",IF(X167="R","VT REJETÉ – À REPRENDRE",IF(AP167="","À RADIOGRAPHIER",IF(AP167="A","ACCEPTÉ",IF(AP167="NX","NX – RT À REFAIRE",IF(IF(AO167=1,AD167,IF(AO167=2,AI167,""))="A","RÉPARÉ – À RADIOGRAPHIER",IF(IF(AO167=1,AD167,IF(AO167=2,AI167,""))="R","VT REJETÉ – À REPRENDRE",IF(OR(AP167="CO",AP167="NT"),"COUPE – À RESOUDER","À RÉPARER"))))))))))</f>
        <v>À SOUDER</v>
      </c>
      <c r="AR167" s="82" t="str">
        <f aca="false">IF(AND(ISNUMBER(U167),OR(AQ167="À RADIOGRAPHIER",AQ167="RÉPARÉ – À RADIOGRAPHIER",AQ167="NX – RT À REFAIRE",AQ167="À RÉPARER",AQ167="COUPE – À RESOUDER",AQ167="VT REJETÉ – À REPRENDRE")),MAX(0,'PROGRAMME RT'!$C$4-U167),"")</f>
        <v/>
      </c>
      <c r="AS167" s="82" t="n">
        <f aca="false">IF(AND(OR(AQ167="À RADIOGRAPHIER",AQ167="RÉPARÉ – À RADIOGRAPHIER",AQ167="NX – RT À REFAIRE"),OR('PROGRAMME RT'!$D$5="TOUTES",B167='PROGRAMME RT'!$D$5)),1,0)</f>
        <v>0</v>
      </c>
      <c r="AT167" s="82" t="str">
        <f aca="false">IF(AS167=1,SUM(AS$7:AS167),"")</f>
        <v/>
      </c>
      <c r="AU167" s="82" t="n">
        <f aca="false">IF(AND(OR(AA167="R",AA167="NX",AA167="NT",AA167="CO"),OR('JOINTS DE RÉPARATION'!$D$5="TOUTES",B167='JOINTS DE RÉPARATION'!$D$5),OR('JOINTS DE RÉPARATION'!$L$4="TOUS",AQ167&lt;&gt;"ACCEPTÉ")),1,0)</f>
        <v>0</v>
      </c>
      <c r="AV167" s="82" t="str">
        <f aca="false">IF(AU167=1,SUM(AU$7:AU167),"")</f>
        <v/>
      </c>
      <c r="AW167" s="82" t="str">
        <f aca="false">IF(E167="","",B167&amp;"|"&amp;E167)</f>
        <v>MFD-ISW → MFD-CPF|JN°161</v>
      </c>
    </row>
    <row r="168" customFormat="false" ht="74.6" hidden="false" customHeight="false" outlineLevel="0" collapsed="false">
      <c r="A168" s="79" t="n">
        <f aca="false">IF(E168="","",ROW()-6)</f>
        <v>162</v>
      </c>
      <c r="B168" s="80" t="s">
        <v>110</v>
      </c>
      <c r="C168" s="81"/>
      <c r="D168" s="81"/>
      <c r="E168" s="81" t="s">
        <v>272</v>
      </c>
      <c r="F168" s="82" t="str">
        <f aca="false">IF(E168="","",IF(LEFT(E168,2)="DJ","DJ","JN"))</f>
        <v>JN</v>
      </c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3"/>
      <c r="V168" s="83"/>
      <c r="W168" s="81"/>
      <c r="X168" s="81"/>
      <c r="Y168" s="83"/>
      <c r="Z168" s="81"/>
      <c r="AA168" s="81"/>
      <c r="AB168" s="81"/>
      <c r="AC168" s="81"/>
      <c r="AD168" s="81"/>
      <c r="AE168" s="83"/>
      <c r="AF168" s="81"/>
      <c r="AG168" s="81"/>
      <c r="AH168" s="81"/>
      <c r="AI168" s="81"/>
      <c r="AJ168" s="83"/>
      <c r="AK168" s="81"/>
      <c r="AL168" s="81"/>
      <c r="AM168" s="83"/>
      <c r="AN168" s="80"/>
      <c r="AO168" s="82" t="n">
        <f aca="false">IF(E168="","",(AA168&lt;&gt;"")+(AG168&lt;&gt;"")+(AL168&lt;&gt;""))</f>
        <v>0</v>
      </c>
      <c r="AP168" s="82" t="str">
        <f aca="false">IF(AL168&lt;&gt;"",AL168,IF(AG168&lt;&gt;"",AG168,IF(AA168&lt;&gt;"",AA168,"")))</f>
        <v/>
      </c>
      <c r="AQ168" s="84" t="str">
        <f aca="false">IF(E168="","",IF(U168="","À SOUDER",IF(X168="","VT EN ATTENTE",IF(X168="R","VT REJETÉ – À REPRENDRE",IF(AP168="","À RADIOGRAPHIER",IF(AP168="A","ACCEPTÉ",IF(AP168="NX","NX – RT À REFAIRE",IF(IF(AO168=1,AD168,IF(AO168=2,AI168,""))="A","RÉPARÉ – À RADIOGRAPHIER",IF(IF(AO168=1,AD168,IF(AO168=2,AI168,""))="R","VT REJETÉ – À REPRENDRE",IF(OR(AP168="CO",AP168="NT"),"COUPE – À RESOUDER","À RÉPARER"))))))))))</f>
        <v>À SOUDER</v>
      </c>
      <c r="AR168" s="82" t="str">
        <f aca="false">IF(AND(ISNUMBER(U168),OR(AQ168="À RADIOGRAPHIER",AQ168="RÉPARÉ – À RADIOGRAPHIER",AQ168="NX – RT À REFAIRE",AQ168="À RÉPARER",AQ168="COUPE – À RESOUDER",AQ168="VT REJETÉ – À REPRENDRE")),MAX(0,'PROGRAMME RT'!$C$4-U168),"")</f>
        <v/>
      </c>
      <c r="AS168" s="82" t="n">
        <f aca="false">IF(AND(OR(AQ168="À RADIOGRAPHIER",AQ168="RÉPARÉ – À RADIOGRAPHIER",AQ168="NX – RT À REFAIRE"),OR('PROGRAMME RT'!$D$5="TOUTES",B168='PROGRAMME RT'!$D$5)),1,0)</f>
        <v>0</v>
      </c>
      <c r="AT168" s="82" t="str">
        <f aca="false">IF(AS168=1,SUM(AS$7:AS168),"")</f>
        <v/>
      </c>
      <c r="AU168" s="82" t="n">
        <f aca="false">IF(AND(OR(AA168="R",AA168="NX",AA168="NT",AA168="CO"),OR('JOINTS DE RÉPARATION'!$D$5="TOUTES",B168='JOINTS DE RÉPARATION'!$D$5),OR('JOINTS DE RÉPARATION'!$L$4="TOUS",AQ168&lt;&gt;"ACCEPTÉ")),1,0)</f>
        <v>0</v>
      </c>
      <c r="AV168" s="82" t="str">
        <f aca="false">IF(AU168=1,SUM(AU$7:AU168),"")</f>
        <v/>
      </c>
      <c r="AW168" s="82" t="str">
        <f aca="false">IF(E168="","",B168&amp;"|"&amp;E168)</f>
        <v>MFD-ISW → MFD-CPF|JN°162</v>
      </c>
    </row>
    <row r="169" customFormat="false" ht="74.6" hidden="false" customHeight="false" outlineLevel="0" collapsed="false">
      <c r="A169" s="79" t="n">
        <f aca="false">IF(E169="","",ROW()-6)</f>
        <v>163</v>
      </c>
      <c r="B169" s="80" t="s">
        <v>110</v>
      </c>
      <c r="C169" s="81"/>
      <c r="D169" s="81"/>
      <c r="E169" s="81" t="s">
        <v>273</v>
      </c>
      <c r="F169" s="82" t="str">
        <f aca="false">IF(E169="","",IF(LEFT(E169,2)="DJ","DJ","JN"))</f>
        <v>JN</v>
      </c>
      <c r="G169" s="81"/>
      <c r="H169" s="81"/>
      <c r="I169" s="81"/>
      <c r="J169" s="81"/>
      <c r="K169" s="81"/>
      <c r="L169" s="81"/>
      <c r="M169" s="81"/>
      <c r="N169" s="81"/>
      <c r="O169" s="81"/>
      <c r="P169" s="81"/>
      <c r="Q169" s="81"/>
      <c r="R169" s="81"/>
      <c r="S169" s="81"/>
      <c r="T169" s="81"/>
      <c r="U169" s="83"/>
      <c r="V169" s="83"/>
      <c r="W169" s="81"/>
      <c r="X169" s="81"/>
      <c r="Y169" s="83"/>
      <c r="Z169" s="81"/>
      <c r="AA169" s="81"/>
      <c r="AB169" s="81"/>
      <c r="AC169" s="81"/>
      <c r="AD169" s="81"/>
      <c r="AE169" s="83"/>
      <c r="AF169" s="81"/>
      <c r="AG169" s="81"/>
      <c r="AH169" s="81"/>
      <c r="AI169" s="81"/>
      <c r="AJ169" s="83"/>
      <c r="AK169" s="81"/>
      <c r="AL169" s="81"/>
      <c r="AM169" s="83"/>
      <c r="AN169" s="80"/>
      <c r="AO169" s="82" t="n">
        <f aca="false">IF(E169="","",(AA169&lt;&gt;"")+(AG169&lt;&gt;"")+(AL169&lt;&gt;""))</f>
        <v>0</v>
      </c>
      <c r="AP169" s="82" t="str">
        <f aca="false">IF(AL169&lt;&gt;"",AL169,IF(AG169&lt;&gt;"",AG169,IF(AA169&lt;&gt;"",AA169,"")))</f>
        <v/>
      </c>
      <c r="AQ169" s="84" t="str">
        <f aca="false">IF(E169="","",IF(U169="","À SOUDER",IF(X169="","VT EN ATTENTE",IF(X169="R","VT REJETÉ – À REPRENDRE",IF(AP169="","À RADIOGRAPHIER",IF(AP169="A","ACCEPTÉ",IF(AP169="NX","NX – RT À REFAIRE",IF(IF(AO169=1,AD169,IF(AO169=2,AI169,""))="A","RÉPARÉ – À RADIOGRAPHIER",IF(IF(AO169=1,AD169,IF(AO169=2,AI169,""))="R","VT REJETÉ – À REPRENDRE",IF(OR(AP169="CO",AP169="NT"),"COUPE – À RESOUDER","À RÉPARER"))))))))))</f>
        <v>À SOUDER</v>
      </c>
      <c r="AR169" s="82" t="str">
        <f aca="false">IF(AND(ISNUMBER(U169),OR(AQ169="À RADIOGRAPHIER",AQ169="RÉPARÉ – À RADIOGRAPHIER",AQ169="NX – RT À REFAIRE",AQ169="À RÉPARER",AQ169="COUPE – À RESOUDER",AQ169="VT REJETÉ – À REPRENDRE")),MAX(0,'PROGRAMME RT'!$C$4-U169),"")</f>
        <v/>
      </c>
      <c r="AS169" s="82" t="n">
        <f aca="false">IF(AND(OR(AQ169="À RADIOGRAPHIER",AQ169="RÉPARÉ – À RADIOGRAPHIER",AQ169="NX – RT À REFAIRE"),OR('PROGRAMME RT'!$D$5="TOUTES",B169='PROGRAMME RT'!$D$5)),1,0)</f>
        <v>0</v>
      </c>
      <c r="AT169" s="82" t="str">
        <f aca="false">IF(AS169=1,SUM(AS$7:AS169),"")</f>
        <v/>
      </c>
      <c r="AU169" s="82" t="n">
        <f aca="false">IF(AND(OR(AA169="R",AA169="NX",AA169="NT",AA169="CO"),OR('JOINTS DE RÉPARATION'!$D$5="TOUTES",B169='JOINTS DE RÉPARATION'!$D$5),OR('JOINTS DE RÉPARATION'!$L$4="TOUS",AQ169&lt;&gt;"ACCEPTÉ")),1,0)</f>
        <v>0</v>
      </c>
      <c r="AV169" s="82" t="str">
        <f aca="false">IF(AU169=1,SUM(AU$7:AU169),"")</f>
        <v/>
      </c>
      <c r="AW169" s="82" t="str">
        <f aca="false">IF(E169="","",B169&amp;"|"&amp;E169)</f>
        <v>MFD-ISW → MFD-CPF|JN°163</v>
      </c>
    </row>
    <row r="170" customFormat="false" ht="74.6" hidden="false" customHeight="false" outlineLevel="0" collapsed="false">
      <c r="A170" s="79" t="n">
        <f aca="false">IF(E170="","",ROW()-6)</f>
        <v>164</v>
      </c>
      <c r="B170" s="80" t="s">
        <v>110</v>
      </c>
      <c r="C170" s="81"/>
      <c r="D170" s="81"/>
      <c r="E170" s="81" t="s">
        <v>274</v>
      </c>
      <c r="F170" s="82" t="str">
        <f aca="false">IF(E170="","",IF(LEFT(E170,2)="DJ","DJ","JN"))</f>
        <v>JN</v>
      </c>
      <c r="G170" s="81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  <c r="S170" s="81"/>
      <c r="T170" s="81"/>
      <c r="U170" s="83"/>
      <c r="V170" s="83"/>
      <c r="W170" s="81"/>
      <c r="X170" s="81"/>
      <c r="Y170" s="83"/>
      <c r="Z170" s="81"/>
      <c r="AA170" s="81"/>
      <c r="AB170" s="81"/>
      <c r="AC170" s="81"/>
      <c r="AD170" s="81"/>
      <c r="AE170" s="83"/>
      <c r="AF170" s="81"/>
      <c r="AG170" s="81"/>
      <c r="AH170" s="81"/>
      <c r="AI170" s="81"/>
      <c r="AJ170" s="83"/>
      <c r="AK170" s="81"/>
      <c r="AL170" s="81"/>
      <c r="AM170" s="83"/>
      <c r="AN170" s="80"/>
      <c r="AO170" s="82" t="n">
        <f aca="false">IF(E170="","",(AA170&lt;&gt;"")+(AG170&lt;&gt;"")+(AL170&lt;&gt;""))</f>
        <v>0</v>
      </c>
      <c r="AP170" s="82" t="str">
        <f aca="false">IF(AL170&lt;&gt;"",AL170,IF(AG170&lt;&gt;"",AG170,IF(AA170&lt;&gt;"",AA170,"")))</f>
        <v/>
      </c>
      <c r="AQ170" s="84" t="str">
        <f aca="false">IF(E170="","",IF(U170="","À SOUDER",IF(X170="","VT EN ATTENTE",IF(X170="R","VT REJETÉ – À REPRENDRE",IF(AP170="","À RADIOGRAPHIER",IF(AP170="A","ACCEPTÉ",IF(AP170="NX","NX – RT À REFAIRE",IF(IF(AO170=1,AD170,IF(AO170=2,AI170,""))="A","RÉPARÉ – À RADIOGRAPHIER",IF(IF(AO170=1,AD170,IF(AO170=2,AI170,""))="R","VT REJETÉ – À REPRENDRE",IF(OR(AP170="CO",AP170="NT"),"COUPE – À RESOUDER","À RÉPARER"))))))))))</f>
        <v>À SOUDER</v>
      </c>
      <c r="AR170" s="82" t="str">
        <f aca="false">IF(AND(ISNUMBER(U170),OR(AQ170="À RADIOGRAPHIER",AQ170="RÉPARÉ – À RADIOGRAPHIER",AQ170="NX – RT À REFAIRE",AQ170="À RÉPARER",AQ170="COUPE – À RESOUDER",AQ170="VT REJETÉ – À REPRENDRE")),MAX(0,'PROGRAMME RT'!$C$4-U170),"")</f>
        <v/>
      </c>
      <c r="AS170" s="82" t="n">
        <f aca="false">IF(AND(OR(AQ170="À RADIOGRAPHIER",AQ170="RÉPARÉ – À RADIOGRAPHIER",AQ170="NX – RT À REFAIRE"),OR('PROGRAMME RT'!$D$5="TOUTES",B170='PROGRAMME RT'!$D$5)),1,0)</f>
        <v>0</v>
      </c>
      <c r="AT170" s="82" t="str">
        <f aca="false">IF(AS170=1,SUM(AS$7:AS170),"")</f>
        <v/>
      </c>
      <c r="AU170" s="82" t="n">
        <f aca="false">IF(AND(OR(AA170="R",AA170="NX",AA170="NT",AA170="CO"),OR('JOINTS DE RÉPARATION'!$D$5="TOUTES",B170='JOINTS DE RÉPARATION'!$D$5),OR('JOINTS DE RÉPARATION'!$L$4="TOUS",AQ170&lt;&gt;"ACCEPTÉ")),1,0)</f>
        <v>0</v>
      </c>
      <c r="AV170" s="82" t="str">
        <f aca="false">IF(AU170=1,SUM(AU$7:AU170),"")</f>
        <v/>
      </c>
      <c r="AW170" s="82" t="str">
        <f aca="false">IF(E170="","",B170&amp;"|"&amp;E170)</f>
        <v>MFD-ISW → MFD-CPF|JN°164</v>
      </c>
    </row>
    <row r="171" customFormat="false" ht="74.6" hidden="false" customHeight="false" outlineLevel="0" collapsed="false">
      <c r="A171" s="79" t="n">
        <f aca="false">IF(E171="","",ROW()-6)</f>
        <v>165</v>
      </c>
      <c r="B171" s="80" t="s">
        <v>110</v>
      </c>
      <c r="C171" s="81"/>
      <c r="D171" s="81"/>
      <c r="E171" s="81" t="s">
        <v>275</v>
      </c>
      <c r="F171" s="82" t="str">
        <f aca="false">IF(E171="","",IF(LEFT(E171,2)="DJ","DJ","JN"))</f>
        <v>JN</v>
      </c>
      <c r="G171" s="81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  <c r="S171" s="81"/>
      <c r="T171" s="81"/>
      <c r="U171" s="83"/>
      <c r="V171" s="83"/>
      <c r="W171" s="81"/>
      <c r="X171" s="81"/>
      <c r="Y171" s="83"/>
      <c r="Z171" s="81"/>
      <c r="AA171" s="81"/>
      <c r="AB171" s="81"/>
      <c r="AC171" s="81"/>
      <c r="AD171" s="81"/>
      <c r="AE171" s="83"/>
      <c r="AF171" s="81"/>
      <c r="AG171" s="81"/>
      <c r="AH171" s="81"/>
      <c r="AI171" s="81"/>
      <c r="AJ171" s="83"/>
      <c r="AK171" s="81"/>
      <c r="AL171" s="81"/>
      <c r="AM171" s="83"/>
      <c r="AN171" s="80"/>
      <c r="AO171" s="82" t="n">
        <f aca="false">IF(E171="","",(AA171&lt;&gt;"")+(AG171&lt;&gt;"")+(AL171&lt;&gt;""))</f>
        <v>0</v>
      </c>
      <c r="AP171" s="82" t="str">
        <f aca="false">IF(AL171&lt;&gt;"",AL171,IF(AG171&lt;&gt;"",AG171,IF(AA171&lt;&gt;"",AA171,"")))</f>
        <v/>
      </c>
      <c r="AQ171" s="84" t="str">
        <f aca="false">IF(E171="","",IF(U171="","À SOUDER",IF(X171="","VT EN ATTENTE",IF(X171="R","VT REJETÉ – À REPRENDRE",IF(AP171="","À RADIOGRAPHIER",IF(AP171="A","ACCEPTÉ",IF(AP171="NX","NX – RT À REFAIRE",IF(IF(AO171=1,AD171,IF(AO171=2,AI171,""))="A","RÉPARÉ – À RADIOGRAPHIER",IF(IF(AO171=1,AD171,IF(AO171=2,AI171,""))="R","VT REJETÉ – À REPRENDRE",IF(OR(AP171="CO",AP171="NT"),"COUPE – À RESOUDER","À RÉPARER"))))))))))</f>
        <v>À SOUDER</v>
      </c>
      <c r="AR171" s="82" t="str">
        <f aca="false">IF(AND(ISNUMBER(U171),OR(AQ171="À RADIOGRAPHIER",AQ171="RÉPARÉ – À RADIOGRAPHIER",AQ171="NX – RT À REFAIRE",AQ171="À RÉPARER",AQ171="COUPE – À RESOUDER",AQ171="VT REJETÉ – À REPRENDRE")),MAX(0,'PROGRAMME RT'!$C$4-U171),"")</f>
        <v/>
      </c>
      <c r="AS171" s="82" t="n">
        <f aca="false">IF(AND(OR(AQ171="À RADIOGRAPHIER",AQ171="RÉPARÉ – À RADIOGRAPHIER",AQ171="NX – RT À REFAIRE"),OR('PROGRAMME RT'!$D$5="TOUTES",B171='PROGRAMME RT'!$D$5)),1,0)</f>
        <v>0</v>
      </c>
      <c r="AT171" s="82" t="str">
        <f aca="false">IF(AS171=1,SUM(AS$7:AS171),"")</f>
        <v/>
      </c>
      <c r="AU171" s="82" t="n">
        <f aca="false">IF(AND(OR(AA171="R",AA171="NX",AA171="NT",AA171="CO"),OR('JOINTS DE RÉPARATION'!$D$5="TOUTES",B171='JOINTS DE RÉPARATION'!$D$5),OR('JOINTS DE RÉPARATION'!$L$4="TOUS",AQ171&lt;&gt;"ACCEPTÉ")),1,0)</f>
        <v>0</v>
      </c>
      <c r="AV171" s="82" t="str">
        <f aca="false">IF(AU171=1,SUM(AU$7:AU171),"")</f>
        <v/>
      </c>
      <c r="AW171" s="82" t="str">
        <f aca="false">IF(E171="","",B171&amp;"|"&amp;E171)</f>
        <v>MFD-ISW → MFD-CPF|JN°165</v>
      </c>
    </row>
    <row r="172" customFormat="false" ht="74.6" hidden="false" customHeight="false" outlineLevel="0" collapsed="false">
      <c r="A172" s="79" t="n">
        <f aca="false">IF(E172="","",ROW()-6)</f>
        <v>166</v>
      </c>
      <c r="B172" s="80" t="s">
        <v>110</v>
      </c>
      <c r="C172" s="81"/>
      <c r="D172" s="81"/>
      <c r="E172" s="81" t="s">
        <v>276</v>
      </c>
      <c r="F172" s="82" t="str">
        <f aca="false">IF(E172="","",IF(LEFT(E172,2)="DJ","DJ","JN"))</f>
        <v>JN</v>
      </c>
      <c r="G172" s="81"/>
      <c r="H172" s="81"/>
      <c r="I172" s="81"/>
      <c r="J172" s="81"/>
      <c r="K172" s="81"/>
      <c r="L172" s="81"/>
      <c r="M172" s="81"/>
      <c r="N172" s="81"/>
      <c r="O172" s="81"/>
      <c r="P172" s="81"/>
      <c r="Q172" s="81"/>
      <c r="R172" s="81"/>
      <c r="S172" s="81"/>
      <c r="T172" s="81"/>
      <c r="U172" s="83"/>
      <c r="V172" s="83"/>
      <c r="W172" s="81"/>
      <c r="X172" s="81"/>
      <c r="Y172" s="83"/>
      <c r="Z172" s="81"/>
      <c r="AA172" s="81"/>
      <c r="AB172" s="81"/>
      <c r="AC172" s="81"/>
      <c r="AD172" s="81"/>
      <c r="AE172" s="83"/>
      <c r="AF172" s="81"/>
      <c r="AG172" s="81"/>
      <c r="AH172" s="81"/>
      <c r="AI172" s="81"/>
      <c r="AJ172" s="83"/>
      <c r="AK172" s="81"/>
      <c r="AL172" s="81"/>
      <c r="AM172" s="83"/>
      <c r="AN172" s="80"/>
      <c r="AO172" s="82" t="n">
        <f aca="false">IF(E172="","",(AA172&lt;&gt;"")+(AG172&lt;&gt;"")+(AL172&lt;&gt;""))</f>
        <v>0</v>
      </c>
      <c r="AP172" s="82" t="str">
        <f aca="false">IF(AL172&lt;&gt;"",AL172,IF(AG172&lt;&gt;"",AG172,IF(AA172&lt;&gt;"",AA172,"")))</f>
        <v/>
      </c>
      <c r="AQ172" s="84" t="str">
        <f aca="false">IF(E172="","",IF(U172="","À SOUDER",IF(X172="","VT EN ATTENTE",IF(X172="R","VT REJETÉ – À REPRENDRE",IF(AP172="","À RADIOGRAPHIER",IF(AP172="A","ACCEPTÉ",IF(AP172="NX","NX – RT À REFAIRE",IF(IF(AO172=1,AD172,IF(AO172=2,AI172,""))="A","RÉPARÉ – À RADIOGRAPHIER",IF(IF(AO172=1,AD172,IF(AO172=2,AI172,""))="R","VT REJETÉ – À REPRENDRE",IF(OR(AP172="CO",AP172="NT"),"COUPE – À RESOUDER","À RÉPARER"))))))))))</f>
        <v>À SOUDER</v>
      </c>
      <c r="AR172" s="82" t="str">
        <f aca="false">IF(AND(ISNUMBER(U172),OR(AQ172="À RADIOGRAPHIER",AQ172="RÉPARÉ – À RADIOGRAPHIER",AQ172="NX – RT À REFAIRE",AQ172="À RÉPARER",AQ172="COUPE – À RESOUDER",AQ172="VT REJETÉ – À REPRENDRE")),MAX(0,'PROGRAMME RT'!$C$4-U172),"")</f>
        <v/>
      </c>
      <c r="AS172" s="82" t="n">
        <f aca="false">IF(AND(OR(AQ172="À RADIOGRAPHIER",AQ172="RÉPARÉ – À RADIOGRAPHIER",AQ172="NX – RT À REFAIRE"),OR('PROGRAMME RT'!$D$5="TOUTES",B172='PROGRAMME RT'!$D$5)),1,0)</f>
        <v>0</v>
      </c>
      <c r="AT172" s="82" t="str">
        <f aca="false">IF(AS172=1,SUM(AS$7:AS172),"")</f>
        <v/>
      </c>
      <c r="AU172" s="82" t="n">
        <f aca="false">IF(AND(OR(AA172="R",AA172="NX",AA172="NT",AA172="CO"),OR('JOINTS DE RÉPARATION'!$D$5="TOUTES",B172='JOINTS DE RÉPARATION'!$D$5),OR('JOINTS DE RÉPARATION'!$L$4="TOUS",AQ172&lt;&gt;"ACCEPTÉ")),1,0)</f>
        <v>0</v>
      </c>
      <c r="AV172" s="82" t="str">
        <f aca="false">IF(AU172=1,SUM(AU$7:AU172),"")</f>
        <v/>
      </c>
      <c r="AW172" s="82" t="str">
        <f aca="false">IF(E172="","",B172&amp;"|"&amp;E172)</f>
        <v>MFD-ISW → MFD-CPF|JN°166</v>
      </c>
    </row>
    <row r="173" customFormat="false" ht="74.6" hidden="false" customHeight="false" outlineLevel="0" collapsed="false">
      <c r="A173" s="79" t="n">
        <f aca="false">IF(E173="","",ROW()-6)</f>
        <v>167</v>
      </c>
      <c r="B173" s="80" t="s">
        <v>110</v>
      </c>
      <c r="C173" s="81"/>
      <c r="D173" s="81"/>
      <c r="E173" s="81" t="s">
        <v>277</v>
      </c>
      <c r="F173" s="82" t="str">
        <f aca="false">IF(E173="","",IF(LEFT(E173,2)="DJ","DJ","JN"))</f>
        <v>JN</v>
      </c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3"/>
      <c r="V173" s="83"/>
      <c r="W173" s="81"/>
      <c r="X173" s="81"/>
      <c r="Y173" s="83"/>
      <c r="Z173" s="81"/>
      <c r="AA173" s="81"/>
      <c r="AB173" s="81"/>
      <c r="AC173" s="81"/>
      <c r="AD173" s="81"/>
      <c r="AE173" s="83"/>
      <c r="AF173" s="81"/>
      <c r="AG173" s="81"/>
      <c r="AH173" s="81"/>
      <c r="AI173" s="81"/>
      <c r="AJ173" s="83"/>
      <c r="AK173" s="81"/>
      <c r="AL173" s="81"/>
      <c r="AM173" s="83"/>
      <c r="AN173" s="80"/>
      <c r="AO173" s="82" t="n">
        <f aca="false">IF(E173="","",(AA173&lt;&gt;"")+(AG173&lt;&gt;"")+(AL173&lt;&gt;""))</f>
        <v>0</v>
      </c>
      <c r="AP173" s="82" t="str">
        <f aca="false">IF(AL173&lt;&gt;"",AL173,IF(AG173&lt;&gt;"",AG173,IF(AA173&lt;&gt;"",AA173,"")))</f>
        <v/>
      </c>
      <c r="AQ173" s="84" t="str">
        <f aca="false">IF(E173="","",IF(U173="","À SOUDER",IF(X173="","VT EN ATTENTE",IF(X173="R","VT REJETÉ – À REPRENDRE",IF(AP173="","À RADIOGRAPHIER",IF(AP173="A","ACCEPTÉ",IF(AP173="NX","NX – RT À REFAIRE",IF(IF(AO173=1,AD173,IF(AO173=2,AI173,""))="A","RÉPARÉ – À RADIOGRAPHIER",IF(IF(AO173=1,AD173,IF(AO173=2,AI173,""))="R","VT REJETÉ – À REPRENDRE",IF(OR(AP173="CO",AP173="NT"),"COUPE – À RESOUDER","À RÉPARER"))))))))))</f>
        <v>À SOUDER</v>
      </c>
      <c r="AR173" s="82" t="str">
        <f aca="false">IF(AND(ISNUMBER(U173),OR(AQ173="À RADIOGRAPHIER",AQ173="RÉPARÉ – À RADIOGRAPHIER",AQ173="NX – RT À REFAIRE",AQ173="À RÉPARER",AQ173="COUPE – À RESOUDER",AQ173="VT REJETÉ – À REPRENDRE")),MAX(0,'PROGRAMME RT'!$C$4-U173),"")</f>
        <v/>
      </c>
      <c r="AS173" s="82" t="n">
        <f aca="false">IF(AND(OR(AQ173="À RADIOGRAPHIER",AQ173="RÉPARÉ – À RADIOGRAPHIER",AQ173="NX – RT À REFAIRE"),OR('PROGRAMME RT'!$D$5="TOUTES",B173='PROGRAMME RT'!$D$5)),1,0)</f>
        <v>0</v>
      </c>
      <c r="AT173" s="82" t="str">
        <f aca="false">IF(AS173=1,SUM(AS$7:AS173),"")</f>
        <v/>
      </c>
      <c r="AU173" s="82" t="n">
        <f aca="false">IF(AND(OR(AA173="R",AA173="NX",AA173="NT",AA173="CO"),OR('JOINTS DE RÉPARATION'!$D$5="TOUTES",B173='JOINTS DE RÉPARATION'!$D$5),OR('JOINTS DE RÉPARATION'!$L$4="TOUS",AQ173&lt;&gt;"ACCEPTÉ")),1,0)</f>
        <v>0</v>
      </c>
      <c r="AV173" s="82" t="str">
        <f aca="false">IF(AU173=1,SUM(AU$7:AU173),"")</f>
        <v/>
      </c>
      <c r="AW173" s="82" t="str">
        <f aca="false">IF(E173="","",B173&amp;"|"&amp;E173)</f>
        <v>MFD-ISW → MFD-CPF|JN°167</v>
      </c>
    </row>
    <row r="174" customFormat="false" ht="74.6" hidden="false" customHeight="false" outlineLevel="0" collapsed="false">
      <c r="A174" s="79" t="n">
        <f aca="false">IF(E174="","",ROW()-6)</f>
        <v>168</v>
      </c>
      <c r="B174" s="80" t="s">
        <v>110</v>
      </c>
      <c r="C174" s="81"/>
      <c r="D174" s="81"/>
      <c r="E174" s="81" t="s">
        <v>278</v>
      </c>
      <c r="F174" s="82" t="str">
        <f aca="false">IF(E174="","",IF(LEFT(E174,2)="DJ","DJ","JN"))</f>
        <v>JN</v>
      </c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3"/>
      <c r="V174" s="83"/>
      <c r="W174" s="81"/>
      <c r="X174" s="81"/>
      <c r="Y174" s="83"/>
      <c r="Z174" s="81"/>
      <c r="AA174" s="81"/>
      <c r="AB174" s="81"/>
      <c r="AC174" s="81"/>
      <c r="AD174" s="81"/>
      <c r="AE174" s="83"/>
      <c r="AF174" s="81"/>
      <c r="AG174" s="81"/>
      <c r="AH174" s="81"/>
      <c r="AI174" s="81"/>
      <c r="AJ174" s="83"/>
      <c r="AK174" s="81"/>
      <c r="AL174" s="81"/>
      <c r="AM174" s="83"/>
      <c r="AN174" s="80"/>
      <c r="AO174" s="82" t="n">
        <f aca="false">IF(E174="","",(AA174&lt;&gt;"")+(AG174&lt;&gt;"")+(AL174&lt;&gt;""))</f>
        <v>0</v>
      </c>
      <c r="AP174" s="82" t="str">
        <f aca="false">IF(AL174&lt;&gt;"",AL174,IF(AG174&lt;&gt;"",AG174,IF(AA174&lt;&gt;"",AA174,"")))</f>
        <v/>
      </c>
      <c r="AQ174" s="84" t="str">
        <f aca="false">IF(E174="","",IF(U174="","À SOUDER",IF(X174="","VT EN ATTENTE",IF(X174="R","VT REJETÉ – À REPRENDRE",IF(AP174="","À RADIOGRAPHIER",IF(AP174="A","ACCEPTÉ",IF(AP174="NX","NX – RT À REFAIRE",IF(IF(AO174=1,AD174,IF(AO174=2,AI174,""))="A","RÉPARÉ – À RADIOGRAPHIER",IF(IF(AO174=1,AD174,IF(AO174=2,AI174,""))="R","VT REJETÉ – À REPRENDRE",IF(OR(AP174="CO",AP174="NT"),"COUPE – À RESOUDER","À RÉPARER"))))))))))</f>
        <v>À SOUDER</v>
      </c>
      <c r="AR174" s="82" t="str">
        <f aca="false">IF(AND(ISNUMBER(U174),OR(AQ174="À RADIOGRAPHIER",AQ174="RÉPARÉ – À RADIOGRAPHIER",AQ174="NX – RT À REFAIRE",AQ174="À RÉPARER",AQ174="COUPE – À RESOUDER",AQ174="VT REJETÉ – À REPRENDRE")),MAX(0,'PROGRAMME RT'!$C$4-U174),"")</f>
        <v/>
      </c>
      <c r="AS174" s="82" t="n">
        <f aca="false">IF(AND(OR(AQ174="À RADIOGRAPHIER",AQ174="RÉPARÉ – À RADIOGRAPHIER",AQ174="NX – RT À REFAIRE"),OR('PROGRAMME RT'!$D$5="TOUTES",B174='PROGRAMME RT'!$D$5)),1,0)</f>
        <v>0</v>
      </c>
      <c r="AT174" s="82" t="str">
        <f aca="false">IF(AS174=1,SUM(AS$7:AS174),"")</f>
        <v/>
      </c>
      <c r="AU174" s="82" t="n">
        <f aca="false">IF(AND(OR(AA174="R",AA174="NX",AA174="NT",AA174="CO"),OR('JOINTS DE RÉPARATION'!$D$5="TOUTES",B174='JOINTS DE RÉPARATION'!$D$5),OR('JOINTS DE RÉPARATION'!$L$4="TOUS",AQ174&lt;&gt;"ACCEPTÉ")),1,0)</f>
        <v>0</v>
      </c>
      <c r="AV174" s="82" t="str">
        <f aca="false">IF(AU174=1,SUM(AU$7:AU174),"")</f>
        <v/>
      </c>
      <c r="AW174" s="82" t="str">
        <f aca="false">IF(E174="","",B174&amp;"|"&amp;E174)</f>
        <v>MFD-ISW → MFD-CPF|JN°168</v>
      </c>
    </row>
    <row r="175" customFormat="false" ht="74.6" hidden="false" customHeight="false" outlineLevel="0" collapsed="false">
      <c r="A175" s="79" t="n">
        <f aca="false">IF(E175="","",ROW()-6)</f>
        <v>169</v>
      </c>
      <c r="B175" s="80" t="s">
        <v>110</v>
      </c>
      <c r="C175" s="81"/>
      <c r="D175" s="81"/>
      <c r="E175" s="81" t="s">
        <v>279</v>
      </c>
      <c r="F175" s="82" t="str">
        <f aca="false">IF(E175="","",IF(LEFT(E175,2)="DJ","DJ","JN"))</f>
        <v>JN</v>
      </c>
      <c r="G175" s="81"/>
      <c r="H175" s="81"/>
      <c r="I175" s="81"/>
      <c r="J175" s="81"/>
      <c r="K175" s="81"/>
      <c r="L175" s="81"/>
      <c r="M175" s="81"/>
      <c r="N175" s="81"/>
      <c r="O175" s="81"/>
      <c r="P175" s="81"/>
      <c r="Q175" s="81"/>
      <c r="R175" s="81"/>
      <c r="S175" s="81"/>
      <c r="T175" s="81"/>
      <c r="U175" s="83"/>
      <c r="V175" s="83"/>
      <c r="W175" s="81"/>
      <c r="X175" s="81"/>
      <c r="Y175" s="83"/>
      <c r="Z175" s="81"/>
      <c r="AA175" s="81"/>
      <c r="AB175" s="81"/>
      <c r="AC175" s="81"/>
      <c r="AD175" s="81"/>
      <c r="AE175" s="83"/>
      <c r="AF175" s="81"/>
      <c r="AG175" s="81"/>
      <c r="AH175" s="81"/>
      <c r="AI175" s="81"/>
      <c r="AJ175" s="83"/>
      <c r="AK175" s="81"/>
      <c r="AL175" s="81"/>
      <c r="AM175" s="83"/>
      <c r="AN175" s="80"/>
      <c r="AO175" s="82" t="n">
        <f aca="false">IF(E175="","",(AA175&lt;&gt;"")+(AG175&lt;&gt;"")+(AL175&lt;&gt;""))</f>
        <v>0</v>
      </c>
      <c r="AP175" s="82" t="str">
        <f aca="false">IF(AL175&lt;&gt;"",AL175,IF(AG175&lt;&gt;"",AG175,IF(AA175&lt;&gt;"",AA175,"")))</f>
        <v/>
      </c>
      <c r="AQ175" s="84" t="str">
        <f aca="false">IF(E175="","",IF(U175="","À SOUDER",IF(X175="","VT EN ATTENTE",IF(X175="R","VT REJETÉ – À REPRENDRE",IF(AP175="","À RADIOGRAPHIER",IF(AP175="A","ACCEPTÉ",IF(AP175="NX","NX – RT À REFAIRE",IF(IF(AO175=1,AD175,IF(AO175=2,AI175,""))="A","RÉPARÉ – À RADIOGRAPHIER",IF(IF(AO175=1,AD175,IF(AO175=2,AI175,""))="R","VT REJETÉ – À REPRENDRE",IF(OR(AP175="CO",AP175="NT"),"COUPE – À RESOUDER","À RÉPARER"))))))))))</f>
        <v>À SOUDER</v>
      </c>
      <c r="AR175" s="82" t="str">
        <f aca="false">IF(AND(ISNUMBER(U175),OR(AQ175="À RADIOGRAPHIER",AQ175="RÉPARÉ – À RADIOGRAPHIER",AQ175="NX – RT À REFAIRE",AQ175="À RÉPARER",AQ175="COUPE – À RESOUDER",AQ175="VT REJETÉ – À REPRENDRE")),MAX(0,'PROGRAMME RT'!$C$4-U175),"")</f>
        <v/>
      </c>
      <c r="AS175" s="82" t="n">
        <f aca="false">IF(AND(OR(AQ175="À RADIOGRAPHIER",AQ175="RÉPARÉ – À RADIOGRAPHIER",AQ175="NX – RT À REFAIRE"),OR('PROGRAMME RT'!$D$5="TOUTES",B175='PROGRAMME RT'!$D$5)),1,0)</f>
        <v>0</v>
      </c>
      <c r="AT175" s="82" t="str">
        <f aca="false">IF(AS175=1,SUM(AS$7:AS175),"")</f>
        <v/>
      </c>
      <c r="AU175" s="82" t="n">
        <f aca="false">IF(AND(OR(AA175="R",AA175="NX",AA175="NT",AA175="CO"),OR('JOINTS DE RÉPARATION'!$D$5="TOUTES",B175='JOINTS DE RÉPARATION'!$D$5),OR('JOINTS DE RÉPARATION'!$L$4="TOUS",AQ175&lt;&gt;"ACCEPTÉ")),1,0)</f>
        <v>0</v>
      </c>
      <c r="AV175" s="82" t="str">
        <f aca="false">IF(AU175=1,SUM(AU$7:AU175),"")</f>
        <v/>
      </c>
      <c r="AW175" s="82" t="str">
        <f aca="false">IF(E175="","",B175&amp;"|"&amp;E175)</f>
        <v>MFD-ISW → MFD-CPF|JN°169</v>
      </c>
    </row>
    <row r="176" customFormat="false" ht="74.6" hidden="false" customHeight="false" outlineLevel="0" collapsed="false">
      <c r="A176" s="79" t="n">
        <f aca="false">IF(E176="","",ROW()-6)</f>
        <v>170</v>
      </c>
      <c r="B176" s="80" t="s">
        <v>110</v>
      </c>
      <c r="C176" s="81"/>
      <c r="D176" s="81"/>
      <c r="E176" s="81" t="s">
        <v>280</v>
      </c>
      <c r="F176" s="82" t="str">
        <f aca="false">IF(E176="","",IF(LEFT(E176,2)="DJ","DJ","JN"))</f>
        <v>JN</v>
      </c>
      <c r="G176" s="81"/>
      <c r="H176" s="81"/>
      <c r="I176" s="81"/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1"/>
      <c r="U176" s="83"/>
      <c r="V176" s="83"/>
      <c r="W176" s="81"/>
      <c r="X176" s="81"/>
      <c r="Y176" s="83"/>
      <c r="Z176" s="81"/>
      <c r="AA176" s="81"/>
      <c r="AB176" s="81"/>
      <c r="AC176" s="81"/>
      <c r="AD176" s="81"/>
      <c r="AE176" s="83"/>
      <c r="AF176" s="81"/>
      <c r="AG176" s="81"/>
      <c r="AH176" s="81"/>
      <c r="AI176" s="81"/>
      <c r="AJ176" s="83"/>
      <c r="AK176" s="81"/>
      <c r="AL176" s="81"/>
      <c r="AM176" s="83"/>
      <c r="AN176" s="80"/>
      <c r="AO176" s="82" t="n">
        <f aca="false">IF(E176="","",(AA176&lt;&gt;"")+(AG176&lt;&gt;"")+(AL176&lt;&gt;""))</f>
        <v>0</v>
      </c>
      <c r="AP176" s="82" t="str">
        <f aca="false">IF(AL176&lt;&gt;"",AL176,IF(AG176&lt;&gt;"",AG176,IF(AA176&lt;&gt;"",AA176,"")))</f>
        <v/>
      </c>
      <c r="AQ176" s="84" t="str">
        <f aca="false">IF(E176="","",IF(U176="","À SOUDER",IF(X176="","VT EN ATTENTE",IF(X176="R","VT REJETÉ – À REPRENDRE",IF(AP176="","À RADIOGRAPHIER",IF(AP176="A","ACCEPTÉ",IF(AP176="NX","NX – RT À REFAIRE",IF(IF(AO176=1,AD176,IF(AO176=2,AI176,""))="A","RÉPARÉ – À RADIOGRAPHIER",IF(IF(AO176=1,AD176,IF(AO176=2,AI176,""))="R","VT REJETÉ – À REPRENDRE",IF(OR(AP176="CO",AP176="NT"),"COUPE – À RESOUDER","À RÉPARER"))))))))))</f>
        <v>À SOUDER</v>
      </c>
      <c r="AR176" s="82" t="str">
        <f aca="false">IF(AND(ISNUMBER(U176),OR(AQ176="À RADIOGRAPHIER",AQ176="RÉPARÉ – À RADIOGRAPHIER",AQ176="NX – RT À REFAIRE",AQ176="À RÉPARER",AQ176="COUPE – À RESOUDER",AQ176="VT REJETÉ – À REPRENDRE")),MAX(0,'PROGRAMME RT'!$C$4-U176),"")</f>
        <v/>
      </c>
      <c r="AS176" s="82" t="n">
        <f aca="false">IF(AND(OR(AQ176="À RADIOGRAPHIER",AQ176="RÉPARÉ – À RADIOGRAPHIER",AQ176="NX – RT À REFAIRE"),OR('PROGRAMME RT'!$D$5="TOUTES",B176='PROGRAMME RT'!$D$5)),1,0)</f>
        <v>0</v>
      </c>
      <c r="AT176" s="82" t="str">
        <f aca="false">IF(AS176=1,SUM(AS$7:AS176),"")</f>
        <v/>
      </c>
      <c r="AU176" s="82" t="n">
        <f aca="false">IF(AND(OR(AA176="R",AA176="NX",AA176="NT",AA176="CO"),OR('JOINTS DE RÉPARATION'!$D$5="TOUTES",B176='JOINTS DE RÉPARATION'!$D$5),OR('JOINTS DE RÉPARATION'!$L$4="TOUS",AQ176&lt;&gt;"ACCEPTÉ")),1,0)</f>
        <v>0</v>
      </c>
      <c r="AV176" s="82" t="str">
        <f aca="false">IF(AU176=1,SUM(AU$7:AU176),"")</f>
        <v/>
      </c>
      <c r="AW176" s="82" t="str">
        <f aca="false">IF(E176="","",B176&amp;"|"&amp;E176)</f>
        <v>MFD-ISW → MFD-CPF|JN°170</v>
      </c>
    </row>
    <row r="177" customFormat="false" ht="74.6" hidden="false" customHeight="false" outlineLevel="0" collapsed="false">
      <c r="A177" s="79" t="n">
        <f aca="false">IF(E177="","",ROW()-6)</f>
        <v>171</v>
      </c>
      <c r="B177" s="80" t="s">
        <v>110</v>
      </c>
      <c r="C177" s="81"/>
      <c r="D177" s="81"/>
      <c r="E177" s="81" t="s">
        <v>281</v>
      </c>
      <c r="F177" s="82" t="str">
        <f aca="false">IF(E177="","",IF(LEFT(E177,2)="DJ","DJ","JN"))</f>
        <v>JN</v>
      </c>
      <c r="G177" s="81"/>
      <c r="H177" s="81"/>
      <c r="I177" s="81"/>
      <c r="J177" s="81"/>
      <c r="K177" s="81"/>
      <c r="L177" s="81"/>
      <c r="M177" s="81"/>
      <c r="N177" s="81"/>
      <c r="O177" s="81"/>
      <c r="P177" s="81"/>
      <c r="Q177" s="81"/>
      <c r="R177" s="81"/>
      <c r="S177" s="81"/>
      <c r="T177" s="81"/>
      <c r="U177" s="83"/>
      <c r="V177" s="83"/>
      <c r="W177" s="81"/>
      <c r="X177" s="81"/>
      <c r="Y177" s="83"/>
      <c r="Z177" s="81"/>
      <c r="AA177" s="81"/>
      <c r="AB177" s="81"/>
      <c r="AC177" s="81"/>
      <c r="AD177" s="81"/>
      <c r="AE177" s="83"/>
      <c r="AF177" s="81"/>
      <c r="AG177" s="81"/>
      <c r="AH177" s="81"/>
      <c r="AI177" s="81"/>
      <c r="AJ177" s="83"/>
      <c r="AK177" s="81"/>
      <c r="AL177" s="81"/>
      <c r="AM177" s="83"/>
      <c r="AN177" s="80"/>
      <c r="AO177" s="82" t="n">
        <f aca="false">IF(E177="","",(AA177&lt;&gt;"")+(AG177&lt;&gt;"")+(AL177&lt;&gt;""))</f>
        <v>0</v>
      </c>
      <c r="AP177" s="82" t="str">
        <f aca="false">IF(AL177&lt;&gt;"",AL177,IF(AG177&lt;&gt;"",AG177,IF(AA177&lt;&gt;"",AA177,"")))</f>
        <v/>
      </c>
      <c r="AQ177" s="84" t="str">
        <f aca="false">IF(E177="","",IF(U177="","À SOUDER",IF(X177="","VT EN ATTENTE",IF(X177="R","VT REJETÉ – À REPRENDRE",IF(AP177="","À RADIOGRAPHIER",IF(AP177="A","ACCEPTÉ",IF(AP177="NX","NX – RT À REFAIRE",IF(IF(AO177=1,AD177,IF(AO177=2,AI177,""))="A","RÉPARÉ – À RADIOGRAPHIER",IF(IF(AO177=1,AD177,IF(AO177=2,AI177,""))="R","VT REJETÉ – À REPRENDRE",IF(OR(AP177="CO",AP177="NT"),"COUPE – À RESOUDER","À RÉPARER"))))))))))</f>
        <v>À SOUDER</v>
      </c>
      <c r="AR177" s="82" t="str">
        <f aca="false">IF(AND(ISNUMBER(U177),OR(AQ177="À RADIOGRAPHIER",AQ177="RÉPARÉ – À RADIOGRAPHIER",AQ177="NX – RT À REFAIRE",AQ177="À RÉPARER",AQ177="COUPE – À RESOUDER",AQ177="VT REJETÉ – À REPRENDRE")),MAX(0,'PROGRAMME RT'!$C$4-U177),"")</f>
        <v/>
      </c>
      <c r="AS177" s="82" t="n">
        <f aca="false">IF(AND(OR(AQ177="À RADIOGRAPHIER",AQ177="RÉPARÉ – À RADIOGRAPHIER",AQ177="NX – RT À REFAIRE"),OR('PROGRAMME RT'!$D$5="TOUTES",B177='PROGRAMME RT'!$D$5)),1,0)</f>
        <v>0</v>
      </c>
      <c r="AT177" s="82" t="str">
        <f aca="false">IF(AS177=1,SUM(AS$7:AS177),"")</f>
        <v/>
      </c>
      <c r="AU177" s="82" t="n">
        <f aca="false">IF(AND(OR(AA177="R",AA177="NX",AA177="NT",AA177="CO"),OR('JOINTS DE RÉPARATION'!$D$5="TOUTES",B177='JOINTS DE RÉPARATION'!$D$5),OR('JOINTS DE RÉPARATION'!$L$4="TOUS",AQ177&lt;&gt;"ACCEPTÉ")),1,0)</f>
        <v>0</v>
      </c>
      <c r="AV177" s="82" t="str">
        <f aca="false">IF(AU177=1,SUM(AU$7:AU177),"")</f>
        <v/>
      </c>
      <c r="AW177" s="82" t="str">
        <f aca="false">IF(E177="","",B177&amp;"|"&amp;E177)</f>
        <v>MFD-ISW → MFD-CPF|JN°171</v>
      </c>
    </row>
    <row r="178" customFormat="false" ht="74.6" hidden="false" customHeight="false" outlineLevel="0" collapsed="false">
      <c r="A178" s="79" t="n">
        <f aca="false">IF(E178="","",ROW()-6)</f>
        <v>172</v>
      </c>
      <c r="B178" s="80" t="s">
        <v>110</v>
      </c>
      <c r="C178" s="81"/>
      <c r="D178" s="81"/>
      <c r="E178" s="81" t="s">
        <v>282</v>
      </c>
      <c r="F178" s="82" t="str">
        <f aca="false">IF(E178="","",IF(LEFT(E178,2)="DJ","DJ","JN"))</f>
        <v>JN</v>
      </c>
      <c r="G178" s="81"/>
      <c r="H178" s="81"/>
      <c r="I178" s="81"/>
      <c r="J178" s="81"/>
      <c r="K178" s="81"/>
      <c r="L178" s="81"/>
      <c r="M178" s="81"/>
      <c r="N178" s="81"/>
      <c r="O178" s="81"/>
      <c r="P178" s="81"/>
      <c r="Q178" s="81"/>
      <c r="R178" s="81"/>
      <c r="S178" s="81"/>
      <c r="T178" s="81"/>
      <c r="U178" s="83"/>
      <c r="V178" s="83"/>
      <c r="W178" s="81"/>
      <c r="X178" s="81"/>
      <c r="Y178" s="83"/>
      <c r="Z178" s="81"/>
      <c r="AA178" s="81"/>
      <c r="AB178" s="81"/>
      <c r="AC178" s="81"/>
      <c r="AD178" s="81"/>
      <c r="AE178" s="83"/>
      <c r="AF178" s="81"/>
      <c r="AG178" s="81"/>
      <c r="AH178" s="81"/>
      <c r="AI178" s="81"/>
      <c r="AJ178" s="83"/>
      <c r="AK178" s="81"/>
      <c r="AL178" s="81"/>
      <c r="AM178" s="83"/>
      <c r="AN178" s="80"/>
      <c r="AO178" s="82" t="n">
        <f aca="false">IF(E178="","",(AA178&lt;&gt;"")+(AG178&lt;&gt;"")+(AL178&lt;&gt;""))</f>
        <v>0</v>
      </c>
      <c r="AP178" s="82" t="str">
        <f aca="false">IF(AL178&lt;&gt;"",AL178,IF(AG178&lt;&gt;"",AG178,IF(AA178&lt;&gt;"",AA178,"")))</f>
        <v/>
      </c>
      <c r="AQ178" s="84" t="str">
        <f aca="false">IF(E178="","",IF(U178="","À SOUDER",IF(X178="","VT EN ATTENTE",IF(X178="R","VT REJETÉ – À REPRENDRE",IF(AP178="","À RADIOGRAPHIER",IF(AP178="A","ACCEPTÉ",IF(AP178="NX","NX – RT À REFAIRE",IF(IF(AO178=1,AD178,IF(AO178=2,AI178,""))="A","RÉPARÉ – À RADIOGRAPHIER",IF(IF(AO178=1,AD178,IF(AO178=2,AI178,""))="R","VT REJETÉ – À REPRENDRE",IF(OR(AP178="CO",AP178="NT"),"COUPE – À RESOUDER","À RÉPARER"))))))))))</f>
        <v>À SOUDER</v>
      </c>
      <c r="AR178" s="82" t="str">
        <f aca="false">IF(AND(ISNUMBER(U178),OR(AQ178="À RADIOGRAPHIER",AQ178="RÉPARÉ – À RADIOGRAPHIER",AQ178="NX – RT À REFAIRE",AQ178="À RÉPARER",AQ178="COUPE – À RESOUDER",AQ178="VT REJETÉ – À REPRENDRE")),MAX(0,'PROGRAMME RT'!$C$4-U178),"")</f>
        <v/>
      </c>
      <c r="AS178" s="82" t="n">
        <f aca="false">IF(AND(OR(AQ178="À RADIOGRAPHIER",AQ178="RÉPARÉ – À RADIOGRAPHIER",AQ178="NX – RT À REFAIRE"),OR('PROGRAMME RT'!$D$5="TOUTES",B178='PROGRAMME RT'!$D$5)),1,0)</f>
        <v>0</v>
      </c>
      <c r="AT178" s="82" t="str">
        <f aca="false">IF(AS178=1,SUM(AS$7:AS178),"")</f>
        <v/>
      </c>
      <c r="AU178" s="82" t="n">
        <f aca="false">IF(AND(OR(AA178="R",AA178="NX",AA178="NT",AA178="CO"),OR('JOINTS DE RÉPARATION'!$D$5="TOUTES",B178='JOINTS DE RÉPARATION'!$D$5),OR('JOINTS DE RÉPARATION'!$L$4="TOUS",AQ178&lt;&gt;"ACCEPTÉ")),1,0)</f>
        <v>0</v>
      </c>
      <c r="AV178" s="82" t="str">
        <f aca="false">IF(AU178=1,SUM(AU$7:AU178),"")</f>
        <v/>
      </c>
      <c r="AW178" s="82" t="str">
        <f aca="false">IF(E178="","",B178&amp;"|"&amp;E178)</f>
        <v>MFD-ISW → MFD-CPF|JN°172</v>
      </c>
    </row>
    <row r="179" customFormat="false" ht="74.6" hidden="false" customHeight="false" outlineLevel="0" collapsed="false">
      <c r="A179" s="79" t="n">
        <f aca="false">IF(E179="","",ROW()-6)</f>
        <v>173</v>
      </c>
      <c r="B179" s="80" t="s">
        <v>110</v>
      </c>
      <c r="C179" s="81"/>
      <c r="D179" s="81"/>
      <c r="E179" s="81" t="s">
        <v>283</v>
      </c>
      <c r="F179" s="82" t="str">
        <f aca="false">IF(E179="","",IF(LEFT(E179,2)="DJ","DJ","JN"))</f>
        <v>JN</v>
      </c>
      <c r="G179" s="81"/>
      <c r="H179" s="81"/>
      <c r="I179" s="81"/>
      <c r="J179" s="81"/>
      <c r="K179" s="81"/>
      <c r="L179" s="81"/>
      <c r="M179" s="81"/>
      <c r="N179" s="81"/>
      <c r="O179" s="81"/>
      <c r="P179" s="81"/>
      <c r="Q179" s="81"/>
      <c r="R179" s="81"/>
      <c r="S179" s="81"/>
      <c r="T179" s="81"/>
      <c r="U179" s="83"/>
      <c r="V179" s="83"/>
      <c r="W179" s="81"/>
      <c r="X179" s="81"/>
      <c r="Y179" s="83"/>
      <c r="Z179" s="81"/>
      <c r="AA179" s="81"/>
      <c r="AB179" s="81"/>
      <c r="AC179" s="81"/>
      <c r="AD179" s="81"/>
      <c r="AE179" s="83"/>
      <c r="AF179" s="81"/>
      <c r="AG179" s="81"/>
      <c r="AH179" s="81"/>
      <c r="AI179" s="81"/>
      <c r="AJ179" s="83"/>
      <c r="AK179" s="81"/>
      <c r="AL179" s="81"/>
      <c r="AM179" s="83"/>
      <c r="AN179" s="80"/>
      <c r="AO179" s="82" t="n">
        <f aca="false">IF(E179="","",(AA179&lt;&gt;"")+(AG179&lt;&gt;"")+(AL179&lt;&gt;""))</f>
        <v>0</v>
      </c>
      <c r="AP179" s="82" t="str">
        <f aca="false">IF(AL179&lt;&gt;"",AL179,IF(AG179&lt;&gt;"",AG179,IF(AA179&lt;&gt;"",AA179,"")))</f>
        <v/>
      </c>
      <c r="AQ179" s="84" t="str">
        <f aca="false">IF(E179="","",IF(U179="","À SOUDER",IF(X179="","VT EN ATTENTE",IF(X179="R","VT REJETÉ – À REPRENDRE",IF(AP179="","À RADIOGRAPHIER",IF(AP179="A","ACCEPTÉ",IF(AP179="NX","NX – RT À REFAIRE",IF(IF(AO179=1,AD179,IF(AO179=2,AI179,""))="A","RÉPARÉ – À RADIOGRAPHIER",IF(IF(AO179=1,AD179,IF(AO179=2,AI179,""))="R","VT REJETÉ – À REPRENDRE",IF(OR(AP179="CO",AP179="NT"),"COUPE – À RESOUDER","À RÉPARER"))))))))))</f>
        <v>À SOUDER</v>
      </c>
      <c r="AR179" s="82" t="str">
        <f aca="false">IF(AND(ISNUMBER(U179),OR(AQ179="À RADIOGRAPHIER",AQ179="RÉPARÉ – À RADIOGRAPHIER",AQ179="NX – RT À REFAIRE",AQ179="À RÉPARER",AQ179="COUPE – À RESOUDER",AQ179="VT REJETÉ – À REPRENDRE")),MAX(0,'PROGRAMME RT'!$C$4-U179),"")</f>
        <v/>
      </c>
      <c r="AS179" s="82" t="n">
        <f aca="false">IF(AND(OR(AQ179="À RADIOGRAPHIER",AQ179="RÉPARÉ – À RADIOGRAPHIER",AQ179="NX – RT À REFAIRE"),OR('PROGRAMME RT'!$D$5="TOUTES",B179='PROGRAMME RT'!$D$5)),1,0)</f>
        <v>0</v>
      </c>
      <c r="AT179" s="82" t="str">
        <f aca="false">IF(AS179=1,SUM(AS$7:AS179),"")</f>
        <v/>
      </c>
      <c r="AU179" s="82" t="n">
        <f aca="false">IF(AND(OR(AA179="R",AA179="NX",AA179="NT",AA179="CO"),OR('JOINTS DE RÉPARATION'!$D$5="TOUTES",B179='JOINTS DE RÉPARATION'!$D$5),OR('JOINTS DE RÉPARATION'!$L$4="TOUS",AQ179&lt;&gt;"ACCEPTÉ")),1,0)</f>
        <v>0</v>
      </c>
      <c r="AV179" s="82" t="str">
        <f aca="false">IF(AU179=1,SUM(AU$7:AU179),"")</f>
        <v/>
      </c>
      <c r="AW179" s="82" t="str">
        <f aca="false">IF(E179="","",B179&amp;"|"&amp;E179)</f>
        <v>MFD-ISW → MFD-CPF|JN°173</v>
      </c>
    </row>
    <row r="180" customFormat="false" ht="74.6" hidden="false" customHeight="false" outlineLevel="0" collapsed="false">
      <c r="A180" s="79" t="n">
        <f aca="false">IF(E180="","",ROW()-6)</f>
        <v>174</v>
      </c>
      <c r="B180" s="80" t="s">
        <v>110</v>
      </c>
      <c r="C180" s="81"/>
      <c r="D180" s="81"/>
      <c r="E180" s="81" t="s">
        <v>284</v>
      </c>
      <c r="F180" s="82" t="str">
        <f aca="false">IF(E180="","",IF(LEFT(E180,2)="DJ","DJ","JN"))</f>
        <v>JN</v>
      </c>
      <c r="G180" s="81"/>
      <c r="H180" s="81"/>
      <c r="I180" s="81"/>
      <c r="J180" s="81"/>
      <c r="K180" s="81"/>
      <c r="L180" s="81"/>
      <c r="M180" s="81"/>
      <c r="N180" s="81"/>
      <c r="O180" s="81"/>
      <c r="P180" s="81"/>
      <c r="Q180" s="81"/>
      <c r="R180" s="81"/>
      <c r="S180" s="81"/>
      <c r="T180" s="81"/>
      <c r="U180" s="83"/>
      <c r="V180" s="83"/>
      <c r="W180" s="81"/>
      <c r="X180" s="81"/>
      <c r="Y180" s="83"/>
      <c r="Z180" s="81"/>
      <c r="AA180" s="81"/>
      <c r="AB180" s="81"/>
      <c r="AC180" s="81"/>
      <c r="AD180" s="81"/>
      <c r="AE180" s="83"/>
      <c r="AF180" s="81"/>
      <c r="AG180" s="81"/>
      <c r="AH180" s="81"/>
      <c r="AI180" s="81"/>
      <c r="AJ180" s="83"/>
      <c r="AK180" s="81"/>
      <c r="AL180" s="81"/>
      <c r="AM180" s="83"/>
      <c r="AN180" s="80"/>
      <c r="AO180" s="82" t="n">
        <f aca="false">IF(E180="","",(AA180&lt;&gt;"")+(AG180&lt;&gt;"")+(AL180&lt;&gt;""))</f>
        <v>0</v>
      </c>
      <c r="AP180" s="82" t="str">
        <f aca="false">IF(AL180&lt;&gt;"",AL180,IF(AG180&lt;&gt;"",AG180,IF(AA180&lt;&gt;"",AA180,"")))</f>
        <v/>
      </c>
      <c r="AQ180" s="84" t="str">
        <f aca="false">IF(E180="","",IF(U180="","À SOUDER",IF(X180="","VT EN ATTENTE",IF(X180="R","VT REJETÉ – À REPRENDRE",IF(AP180="","À RADIOGRAPHIER",IF(AP180="A","ACCEPTÉ",IF(AP180="NX","NX – RT À REFAIRE",IF(IF(AO180=1,AD180,IF(AO180=2,AI180,""))="A","RÉPARÉ – À RADIOGRAPHIER",IF(IF(AO180=1,AD180,IF(AO180=2,AI180,""))="R","VT REJETÉ – À REPRENDRE",IF(OR(AP180="CO",AP180="NT"),"COUPE – À RESOUDER","À RÉPARER"))))))))))</f>
        <v>À SOUDER</v>
      </c>
      <c r="AR180" s="82" t="str">
        <f aca="false">IF(AND(ISNUMBER(U180),OR(AQ180="À RADIOGRAPHIER",AQ180="RÉPARÉ – À RADIOGRAPHIER",AQ180="NX – RT À REFAIRE",AQ180="À RÉPARER",AQ180="COUPE – À RESOUDER",AQ180="VT REJETÉ – À REPRENDRE")),MAX(0,'PROGRAMME RT'!$C$4-U180),"")</f>
        <v/>
      </c>
      <c r="AS180" s="82" t="n">
        <f aca="false">IF(AND(OR(AQ180="À RADIOGRAPHIER",AQ180="RÉPARÉ – À RADIOGRAPHIER",AQ180="NX – RT À REFAIRE"),OR('PROGRAMME RT'!$D$5="TOUTES",B180='PROGRAMME RT'!$D$5)),1,0)</f>
        <v>0</v>
      </c>
      <c r="AT180" s="82" t="str">
        <f aca="false">IF(AS180=1,SUM(AS$7:AS180),"")</f>
        <v/>
      </c>
      <c r="AU180" s="82" t="n">
        <f aca="false">IF(AND(OR(AA180="R",AA180="NX",AA180="NT",AA180="CO"),OR('JOINTS DE RÉPARATION'!$D$5="TOUTES",B180='JOINTS DE RÉPARATION'!$D$5),OR('JOINTS DE RÉPARATION'!$L$4="TOUS",AQ180&lt;&gt;"ACCEPTÉ")),1,0)</f>
        <v>0</v>
      </c>
      <c r="AV180" s="82" t="str">
        <f aca="false">IF(AU180=1,SUM(AU$7:AU180),"")</f>
        <v/>
      </c>
      <c r="AW180" s="82" t="str">
        <f aca="false">IF(E180="","",B180&amp;"|"&amp;E180)</f>
        <v>MFD-ISW → MFD-CPF|JN°174</v>
      </c>
    </row>
    <row r="181" customFormat="false" ht="74.6" hidden="false" customHeight="false" outlineLevel="0" collapsed="false">
      <c r="A181" s="79" t="n">
        <f aca="false">IF(E181="","",ROW()-6)</f>
        <v>175</v>
      </c>
      <c r="B181" s="80" t="s">
        <v>110</v>
      </c>
      <c r="C181" s="81"/>
      <c r="D181" s="81"/>
      <c r="E181" s="81" t="s">
        <v>285</v>
      </c>
      <c r="F181" s="82" t="str">
        <f aca="false">IF(E181="","",IF(LEFT(E181,2)="DJ","DJ","JN"))</f>
        <v>JN</v>
      </c>
      <c r="G181" s="81"/>
      <c r="H181" s="81"/>
      <c r="I181" s="81"/>
      <c r="J181" s="81"/>
      <c r="K181" s="81"/>
      <c r="L181" s="81"/>
      <c r="M181" s="81"/>
      <c r="N181" s="81"/>
      <c r="O181" s="81"/>
      <c r="P181" s="81"/>
      <c r="Q181" s="81"/>
      <c r="R181" s="81"/>
      <c r="S181" s="81"/>
      <c r="T181" s="81"/>
      <c r="U181" s="83"/>
      <c r="V181" s="83"/>
      <c r="W181" s="81"/>
      <c r="X181" s="81"/>
      <c r="Y181" s="83"/>
      <c r="Z181" s="81"/>
      <c r="AA181" s="81"/>
      <c r="AB181" s="81"/>
      <c r="AC181" s="81"/>
      <c r="AD181" s="81"/>
      <c r="AE181" s="83"/>
      <c r="AF181" s="81"/>
      <c r="AG181" s="81"/>
      <c r="AH181" s="81"/>
      <c r="AI181" s="81"/>
      <c r="AJ181" s="83"/>
      <c r="AK181" s="81"/>
      <c r="AL181" s="81"/>
      <c r="AM181" s="83"/>
      <c r="AN181" s="80"/>
      <c r="AO181" s="82" t="n">
        <f aca="false">IF(E181="","",(AA181&lt;&gt;"")+(AG181&lt;&gt;"")+(AL181&lt;&gt;""))</f>
        <v>0</v>
      </c>
      <c r="AP181" s="82" t="str">
        <f aca="false">IF(AL181&lt;&gt;"",AL181,IF(AG181&lt;&gt;"",AG181,IF(AA181&lt;&gt;"",AA181,"")))</f>
        <v/>
      </c>
      <c r="AQ181" s="84" t="str">
        <f aca="false">IF(E181="","",IF(U181="","À SOUDER",IF(X181="","VT EN ATTENTE",IF(X181="R","VT REJETÉ – À REPRENDRE",IF(AP181="","À RADIOGRAPHIER",IF(AP181="A","ACCEPTÉ",IF(AP181="NX","NX – RT À REFAIRE",IF(IF(AO181=1,AD181,IF(AO181=2,AI181,""))="A","RÉPARÉ – À RADIOGRAPHIER",IF(IF(AO181=1,AD181,IF(AO181=2,AI181,""))="R","VT REJETÉ – À REPRENDRE",IF(OR(AP181="CO",AP181="NT"),"COUPE – À RESOUDER","À RÉPARER"))))))))))</f>
        <v>À SOUDER</v>
      </c>
      <c r="AR181" s="82" t="str">
        <f aca="false">IF(AND(ISNUMBER(U181),OR(AQ181="À RADIOGRAPHIER",AQ181="RÉPARÉ – À RADIOGRAPHIER",AQ181="NX – RT À REFAIRE",AQ181="À RÉPARER",AQ181="COUPE – À RESOUDER",AQ181="VT REJETÉ – À REPRENDRE")),MAX(0,'PROGRAMME RT'!$C$4-U181),"")</f>
        <v/>
      </c>
      <c r="AS181" s="82" t="n">
        <f aca="false">IF(AND(OR(AQ181="À RADIOGRAPHIER",AQ181="RÉPARÉ – À RADIOGRAPHIER",AQ181="NX – RT À REFAIRE"),OR('PROGRAMME RT'!$D$5="TOUTES",B181='PROGRAMME RT'!$D$5)),1,0)</f>
        <v>0</v>
      </c>
      <c r="AT181" s="82" t="str">
        <f aca="false">IF(AS181=1,SUM(AS$7:AS181),"")</f>
        <v/>
      </c>
      <c r="AU181" s="82" t="n">
        <f aca="false">IF(AND(OR(AA181="R",AA181="NX",AA181="NT",AA181="CO"),OR('JOINTS DE RÉPARATION'!$D$5="TOUTES",B181='JOINTS DE RÉPARATION'!$D$5),OR('JOINTS DE RÉPARATION'!$L$4="TOUS",AQ181&lt;&gt;"ACCEPTÉ")),1,0)</f>
        <v>0</v>
      </c>
      <c r="AV181" s="82" t="str">
        <f aca="false">IF(AU181=1,SUM(AU$7:AU181),"")</f>
        <v/>
      </c>
      <c r="AW181" s="82" t="str">
        <f aca="false">IF(E181="","",B181&amp;"|"&amp;E181)</f>
        <v>MFD-ISW → MFD-CPF|JN°175</v>
      </c>
    </row>
    <row r="182" customFormat="false" ht="74.6" hidden="false" customHeight="false" outlineLevel="0" collapsed="false">
      <c r="A182" s="79" t="n">
        <f aca="false">IF(E182="","",ROW()-6)</f>
        <v>176</v>
      </c>
      <c r="B182" s="80" t="s">
        <v>110</v>
      </c>
      <c r="C182" s="81"/>
      <c r="D182" s="81"/>
      <c r="E182" s="81" t="s">
        <v>286</v>
      </c>
      <c r="F182" s="82" t="str">
        <f aca="false">IF(E182="","",IF(LEFT(E182,2)="DJ","DJ","JN"))</f>
        <v>JN</v>
      </c>
      <c r="G182" s="81"/>
      <c r="H182" s="81"/>
      <c r="I182" s="81"/>
      <c r="J182" s="81"/>
      <c r="K182" s="81"/>
      <c r="L182" s="81"/>
      <c r="M182" s="81"/>
      <c r="N182" s="81"/>
      <c r="O182" s="81"/>
      <c r="P182" s="81"/>
      <c r="Q182" s="81"/>
      <c r="R182" s="81"/>
      <c r="S182" s="81"/>
      <c r="T182" s="81"/>
      <c r="U182" s="83"/>
      <c r="V182" s="83"/>
      <c r="W182" s="81"/>
      <c r="X182" s="81"/>
      <c r="Y182" s="83"/>
      <c r="Z182" s="81"/>
      <c r="AA182" s="81"/>
      <c r="AB182" s="81"/>
      <c r="AC182" s="81"/>
      <c r="AD182" s="81"/>
      <c r="AE182" s="83"/>
      <c r="AF182" s="81"/>
      <c r="AG182" s="81"/>
      <c r="AH182" s="81"/>
      <c r="AI182" s="81"/>
      <c r="AJ182" s="83"/>
      <c r="AK182" s="81"/>
      <c r="AL182" s="81"/>
      <c r="AM182" s="83"/>
      <c r="AN182" s="80"/>
      <c r="AO182" s="82" t="n">
        <f aca="false">IF(E182="","",(AA182&lt;&gt;"")+(AG182&lt;&gt;"")+(AL182&lt;&gt;""))</f>
        <v>0</v>
      </c>
      <c r="AP182" s="82" t="str">
        <f aca="false">IF(AL182&lt;&gt;"",AL182,IF(AG182&lt;&gt;"",AG182,IF(AA182&lt;&gt;"",AA182,"")))</f>
        <v/>
      </c>
      <c r="AQ182" s="84" t="str">
        <f aca="false">IF(E182="","",IF(U182="","À SOUDER",IF(X182="","VT EN ATTENTE",IF(X182="R","VT REJETÉ – À REPRENDRE",IF(AP182="","À RADIOGRAPHIER",IF(AP182="A","ACCEPTÉ",IF(AP182="NX","NX – RT À REFAIRE",IF(IF(AO182=1,AD182,IF(AO182=2,AI182,""))="A","RÉPARÉ – À RADIOGRAPHIER",IF(IF(AO182=1,AD182,IF(AO182=2,AI182,""))="R","VT REJETÉ – À REPRENDRE",IF(OR(AP182="CO",AP182="NT"),"COUPE – À RESOUDER","À RÉPARER"))))))))))</f>
        <v>À SOUDER</v>
      </c>
      <c r="AR182" s="82" t="str">
        <f aca="false">IF(AND(ISNUMBER(U182),OR(AQ182="À RADIOGRAPHIER",AQ182="RÉPARÉ – À RADIOGRAPHIER",AQ182="NX – RT À REFAIRE",AQ182="À RÉPARER",AQ182="COUPE – À RESOUDER",AQ182="VT REJETÉ – À REPRENDRE")),MAX(0,'PROGRAMME RT'!$C$4-U182),"")</f>
        <v/>
      </c>
      <c r="AS182" s="82" t="n">
        <f aca="false">IF(AND(OR(AQ182="À RADIOGRAPHIER",AQ182="RÉPARÉ – À RADIOGRAPHIER",AQ182="NX – RT À REFAIRE"),OR('PROGRAMME RT'!$D$5="TOUTES",B182='PROGRAMME RT'!$D$5)),1,0)</f>
        <v>0</v>
      </c>
      <c r="AT182" s="82" t="str">
        <f aca="false">IF(AS182=1,SUM(AS$7:AS182),"")</f>
        <v/>
      </c>
      <c r="AU182" s="82" t="n">
        <f aca="false">IF(AND(OR(AA182="R",AA182="NX",AA182="NT",AA182="CO"),OR('JOINTS DE RÉPARATION'!$D$5="TOUTES",B182='JOINTS DE RÉPARATION'!$D$5),OR('JOINTS DE RÉPARATION'!$L$4="TOUS",AQ182&lt;&gt;"ACCEPTÉ")),1,0)</f>
        <v>0</v>
      </c>
      <c r="AV182" s="82" t="str">
        <f aca="false">IF(AU182=1,SUM(AU$7:AU182),"")</f>
        <v/>
      </c>
      <c r="AW182" s="82" t="str">
        <f aca="false">IF(E182="","",B182&amp;"|"&amp;E182)</f>
        <v>MFD-ISW → MFD-CPF|JN°176</v>
      </c>
    </row>
    <row r="183" customFormat="false" ht="74.6" hidden="false" customHeight="false" outlineLevel="0" collapsed="false">
      <c r="A183" s="79" t="n">
        <f aca="false">IF(E183="","",ROW()-6)</f>
        <v>177</v>
      </c>
      <c r="B183" s="80" t="s">
        <v>110</v>
      </c>
      <c r="C183" s="81"/>
      <c r="D183" s="81"/>
      <c r="E183" s="81" t="s">
        <v>287</v>
      </c>
      <c r="F183" s="82" t="str">
        <f aca="false">IF(E183="","",IF(LEFT(E183,2)="DJ","DJ","JN"))</f>
        <v>JN</v>
      </c>
      <c r="G183" s="81"/>
      <c r="H183" s="81"/>
      <c r="I183" s="81"/>
      <c r="J183" s="81"/>
      <c r="K183" s="81"/>
      <c r="L183" s="81"/>
      <c r="M183" s="81"/>
      <c r="N183" s="81"/>
      <c r="O183" s="81"/>
      <c r="P183" s="81"/>
      <c r="Q183" s="81"/>
      <c r="R183" s="81"/>
      <c r="S183" s="81"/>
      <c r="T183" s="81"/>
      <c r="U183" s="83"/>
      <c r="V183" s="83"/>
      <c r="W183" s="81"/>
      <c r="X183" s="81"/>
      <c r="Y183" s="83"/>
      <c r="Z183" s="81"/>
      <c r="AA183" s="81"/>
      <c r="AB183" s="81"/>
      <c r="AC183" s="81"/>
      <c r="AD183" s="81"/>
      <c r="AE183" s="83"/>
      <c r="AF183" s="81"/>
      <c r="AG183" s="81"/>
      <c r="AH183" s="81"/>
      <c r="AI183" s="81"/>
      <c r="AJ183" s="83"/>
      <c r="AK183" s="81"/>
      <c r="AL183" s="81"/>
      <c r="AM183" s="83"/>
      <c r="AN183" s="80"/>
      <c r="AO183" s="82" t="n">
        <f aca="false">IF(E183="","",(AA183&lt;&gt;"")+(AG183&lt;&gt;"")+(AL183&lt;&gt;""))</f>
        <v>0</v>
      </c>
      <c r="AP183" s="82" t="str">
        <f aca="false">IF(AL183&lt;&gt;"",AL183,IF(AG183&lt;&gt;"",AG183,IF(AA183&lt;&gt;"",AA183,"")))</f>
        <v/>
      </c>
      <c r="AQ183" s="84" t="str">
        <f aca="false">IF(E183="","",IF(U183="","À SOUDER",IF(X183="","VT EN ATTENTE",IF(X183="R","VT REJETÉ – À REPRENDRE",IF(AP183="","À RADIOGRAPHIER",IF(AP183="A","ACCEPTÉ",IF(AP183="NX","NX – RT À REFAIRE",IF(IF(AO183=1,AD183,IF(AO183=2,AI183,""))="A","RÉPARÉ – À RADIOGRAPHIER",IF(IF(AO183=1,AD183,IF(AO183=2,AI183,""))="R","VT REJETÉ – À REPRENDRE",IF(OR(AP183="CO",AP183="NT"),"COUPE – À RESOUDER","À RÉPARER"))))))))))</f>
        <v>À SOUDER</v>
      </c>
      <c r="AR183" s="82" t="str">
        <f aca="false">IF(AND(ISNUMBER(U183),OR(AQ183="À RADIOGRAPHIER",AQ183="RÉPARÉ – À RADIOGRAPHIER",AQ183="NX – RT À REFAIRE",AQ183="À RÉPARER",AQ183="COUPE – À RESOUDER",AQ183="VT REJETÉ – À REPRENDRE")),MAX(0,'PROGRAMME RT'!$C$4-U183),"")</f>
        <v/>
      </c>
      <c r="AS183" s="82" t="n">
        <f aca="false">IF(AND(OR(AQ183="À RADIOGRAPHIER",AQ183="RÉPARÉ – À RADIOGRAPHIER",AQ183="NX – RT À REFAIRE"),OR('PROGRAMME RT'!$D$5="TOUTES",B183='PROGRAMME RT'!$D$5)),1,0)</f>
        <v>0</v>
      </c>
      <c r="AT183" s="82" t="str">
        <f aca="false">IF(AS183=1,SUM(AS$7:AS183),"")</f>
        <v/>
      </c>
      <c r="AU183" s="82" t="n">
        <f aca="false">IF(AND(OR(AA183="R",AA183="NX",AA183="NT",AA183="CO"),OR('JOINTS DE RÉPARATION'!$D$5="TOUTES",B183='JOINTS DE RÉPARATION'!$D$5),OR('JOINTS DE RÉPARATION'!$L$4="TOUS",AQ183&lt;&gt;"ACCEPTÉ")),1,0)</f>
        <v>0</v>
      </c>
      <c r="AV183" s="82" t="str">
        <f aca="false">IF(AU183=1,SUM(AU$7:AU183),"")</f>
        <v/>
      </c>
      <c r="AW183" s="82" t="str">
        <f aca="false">IF(E183="","",B183&amp;"|"&amp;E183)</f>
        <v>MFD-ISW → MFD-CPF|JN°177</v>
      </c>
    </row>
    <row r="184" customFormat="false" ht="74.6" hidden="false" customHeight="false" outlineLevel="0" collapsed="false">
      <c r="A184" s="79" t="n">
        <f aca="false">IF(E184="","",ROW()-6)</f>
        <v>178</v>
      </c>
      <c r="B184" s="80" t="s">
        <v>110</v>
      </c>
      <c r="C184" s="81"/>
      <c r="D184" s="81"/>
      <c r="E184" s="81" t="s">
        <v>288</v>
      </c>
      <c r="F184" s="82" t="str">
        <f aca="false">IF(E184="","",IF(LEFT(E184,2)="DJ","DJ","JN"))</f>
        <v>JN</v>
      </c>
      <c r="G184" s="81"/>
      <c r="H184" s="81"/>
      <c r="I184" s="81"/>
      <c r="J184" s="81"/>
      <c r="K184" s="81"/>
      <c r="L184" s="81"/>
      <c r="M184" s="81"/>
      <c r="N184" s="81"/>
      <c r="O184" s="81"/>
      <c r="P184" s="81"/>
      <c r="Q184" s="81"/>
      <c r="R184" s="81"/>
      <c r="S184" s="81"/>
      <c r="T184" s="81"/>
      <c r="U184" s="83"/>
      <c r="V184" s="83"/>
      <c r="W184" s="81"/>
      <c r="X184" s="81"/>
      <c r="Y184" s="83"/>
      <c r="Z184" s="81"/>
      <c r="AA184" s="81"/>
      <c r="AB184" s="81"/>
      <c r="AC184" s="81"/>
      <c r="AD184" s="81"/>
      <c r="AE184" s="83"/>
      <c r="AF184" s="81"/>
      <c r="AG184" s="81"/>
      <c r="AH184" s="81"/>
      <c r="AI184" s="81"/>
      <c r="AJ184" s="83"/>
      <c r="AK184" s="81"/>
      <c r="AL184" s="81"/>
      <c r="AM184" s="83"/>
      <c r="AN184" s="80"/>
      <c r="AO184" s="82" t="n">
        <f aca="false">IF(E184="","",(AA184&lt;&gt;"")+(AG184&lt;&gt;"")+(AL184&lt;&gt;""))</f>
        <v>0</v>
      </c>
      <c r="AP184" s="82" t="str">
        <f aca="false">IF(AL184&lt;&gt;"",AL184,IF(AG184&lt;&gt;"",AG184,IF(AA184&lt;&gt;"",AA184,"")))</f>
        <v/>
      </c>
      <c r="AQ184" s="84" t="str">
        <f aca="false">IF(E184="","",IF(U184="","À SOUDER",IF(X184="","VT EN ATTENTE",IF(X184="R","VT REJETÉ – À REPRENDRE",IF(AP184="","À RADIOGRAPHIER",IF(AP184="A","ACCEPTÉ",IF(AP184="NX","NX – RT À REFAIRE",IF(IF(AO184=1,AD184,IF(AO184=2,AI184,""))="A","RÉPARÉ – À RADIOGRAPHIER",IF(IF(AO184=1,AD184,IF(AO184=2,AI184,""))="R","VT REJETÉ – À REPRENDRE",IF(OR(AP184="CO",AP184="NT"),"COUPE – À RESOUDER","À RÉPARER"))))))))))</f>
        <v>À SOUDER</v>
      </c>
      <c r="AR184" s="82" t="str">
        <f aca="false">IF(AND(ISNUMBER(U184),OR(AQ184="À RADIOGRAPHIER",AQ184="RÉPARÉ – À RADIOGRAPHIER",AQ184="NX – RT À REFAIRE",AQ184="À RÉPARER",AQ184="COUPE – À RESOUDER",AQ184="VT REJETÉ – À REPRENDRE")),MAX(0,'PROGRAMME RT'!$C$4-U184),"")</f>
        <v/>
      </c>
      <c r="AS184" s="82" t="n">
        <f aca="false">IF(AND(OR(AQ184="À RADIOGRAPHIER",AQ184="RÉPARÉ – À RADIOGRAPHIER",AQ184="NX – RT À REFAIRE"),OR('PROGRAMME RT'!$D$5="TOUTES",B184='PROGRAMME RT'!$D$5)),1,0)</f>
        <v>0</v>
      </c>
      <c r="AT184" s="82" t="str">
        <f aca="false">IF(AS184=1,SUM(AS$7:AS184),"")</f>
        <v/>
      </c>
      <c r="AU184" s="82" t="n">
        <f aca="false">IF(AND(OR(AA184="R",AA184="NX",AA184="NT",AA184="CO"),OR('JOINTS DE RÉPARATION'!$D$5="TOUTES",B184='JOINTS DE RÉPARATION'!$D$5),OR('JOINTS DE RÉPARATION'!$L$4="TOUS",AQ184&lt;&gt;"ACCEPTÉ")),1,0)</f>
        <v>0</v>
      </c>
      <c r="AV184" s="82" t="str">
        <f aca="false">IF(AU184=1,SUM(AU$7:AU184),"")</f>
        <v/>
      </c>
      <c r="AW184" s="82" t="str">
        <f aca="false">IF(E184="","",B184&amp;"|"&amp;E184)</f>
        <v>MFD-ISW → MFD-CPF|JN°178</v>
      </c>
    </row>
    <row r="185" customFormat="false" ht="74.6" hidden="false" customHeight="false" outlineLevel="0" collapsed="false">
      <c r="A185" s="79" t="n">
        <f aca="false">IF(E185="","",ROW()-6)</f>
        <v>179</v>
      </c>
      <c r="B185" s="80" t="s">
        <v>110</v>
      </c>
      <c r="C185" s="81"/>
      <c r="D185" s="81"/>
      <c r="E185" s="81" t="s">
        <v>289</v>
      </c>
      <c r="F185" s="82" t="str">
        <f aca="false">IF(E185="","",IF(LEFT(E185,2)="DJ","DJ","JN"))</f>
        <v>JN</v>
      </c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3"/>
      <c r="V185" s="83"/>
      <c r="W185" s="81"/>
      <c r="X185" s="81"/>
      <c r="Y185" s="83"/>
      <c r="Z185" s="81"/>
      <c r="AA185" s="81"/>
      <c r="AB185" s="81"/>
      <c r="AC185" s="81"/>
      <c r="AD185" s="81"/>
      <c r="AE185" s="83"/>
      <c r="AF185" s="81"/>
      <c r="AG185" s="81"/>
      <c r="AH185" s="81"/>
      <c r="AI185" s="81"/>
      <c r="AJ185" s="83"/>
      <c r="AK185" s="81"/>
      <c r="AL185" s="81"/>
      <c r="AM185" s="83"/>
      <c r="AN185" s="80"/>
      <c r="AO185" s="82" t="n">
        <f aca="false">IF(E185="","",(AA185&lt;&gt;"")+(AG185&lt;&gt;"")+(AL185&lt;&gt;""))</f>
        <v>0</v>
      </c>
      <c r="AP185" s="82" t="str">
        <f aca="false">IF(AL185&lt;&gt;"",AL185,IF(AG185&lt;&gt;"",AG185,IF(AA185&lt;&gt;"",AA185,"")))</f>
        <v/>
      </c>
      <c r="AQ185" s="84" t="str">
        <f aca="false">IF(E185="","",IF(U185="","À SOUDER",IF(X185="","VT EN ATTENTE",IF(X185="R","VT REJETÉ – À REPRENDRE",IF(AP185="","À RADIOGRAPHIER",IF(AP185="A","ACCEPTÉ",IF(AP185="NX","NX – RT À REFAIRE",IF(IF(AO185=1,AD185,IF(AO185=2,AI185,""))="A","RÉPARÉ – À RADIOGRAPHIER",IF(IF(AO185=1,AD185,IF(AO185=2,AI185,""))="R","VT REJETÉ – À REPRENDRE",IF(OR(AP185="CO",AP185="NT"),"COUPE – À RESOUDER","À RÉPARER"))))))))))</f>
        <v>À SOUDER</v>
      </c>
      <c r="AR185" s="82" t="str">
        <f aca="false">IF(AND(ISNUMBER(U185),OR(AQ185="À RADIOGRAPHIER",AQ185="RÉPARÉ – À RADIOGRAPHIER",AQ185="NX – RT À REFAIRE",AQ185="À RÉPARER",AQ185="COUPE – À RESOUDER",AQ185="VT REJETÉ – À REPRENDRE")),MAX(0,'PROGRAMME RT'!$C$4-U185),"")</f>
        <v/>
      </c>
      <c r="AS185" s="82" t="n">
        <f aca="false">IF(AND(OR(AQ185="À RADIOGRAPHIER",AQ185="RÉPARÉ – À RADIOGRAPHIER",AQ185="NX – RT À REFAIRE"),OR('PROGRAMME RT'!$D$5="TOUTES",B185='PROGRAMME RT'!$D$5)),1,0)</f>
        <v>0</v>
      </c>
      <c r="AT185" s="82" t="str">
        <f aca="false">IF(AS185=1,SUM(AS$7:AS185),"")</f>
        <v/>
      </c>
      <c r="AU185" s="82" t="n">
        <f aca="false">IF(AND(OR(AA185="R",AA185="NX",AA185="NT",AA185="CO"),OR('JOINTS DE RÉPARATION'!$D$5="TOUTES",B185='JOINTS DE RÉPARATION'!$D$5),OR('JOINTS DE RÉPARATION'!$L$4="TOUS",AQ185&lt;&gt;"ACCEPTÉ")),1,0)</f>
        <v>0</v>
      </c>
      <c r="AV185" s="82" t="str">
        <f aca="false">IF(AU185=1,SUM(AU$7:AU185),"")</f>
        <v/>
      </c>
      <c r="AW185" s="82" t="str">
        <f aca="false">IF(E185="","",B185&amp;"|"&amp;E185)</f>
        <v>MFD-ISW → MFD-CPF|JN°179</v>
      </c>
    </row>
    <row r="186" customFormat="false" ht="74.6" hidden="false" customHeight="false" outlineLevel="0" collapsed="false">
      <c r="A186" s="79" t="n">
        <f aca="false">IF(E186="","",ROW()-6)</f>
        <v>180</v>
      </c>
      <c r="B186" s="80" t="s">
        <v>110</v>
      </c>
      <c r="C186" s="81"/>
      <c r="D186" s="81"/>
      <c r="E186" s="81" t="s">
        <v>290</v>
      </c>
      <c r="F186" s="82" t="str">
        <f aca="false">IF(E186="","",IF(LEFT(E186,2)="DJ","DJ","JN"))</f>
        <v>JN</v>
      </c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3"/>
      <c r="V186" s="83"/>
      <c r="W186" s="81"/>
      <c r="X186" s="81"/>
      <c r="Y186" s="83"/>
      <c r="Z186" s="81"/>
      <c r="AA186" s="81"/>
      <c r="AB186" s="81"/>
      <c r="AC186" s="81"/>
      <c r="AD186" s="81"/>
      <c r="AE186" s="83"/>
      <c r="AF186" s="81"/>
      <c r="AG186" s="81"/>
      <c r="AH186" s="81"/>
      <c r="AI186" s="81"/>
      <c r="AJ186" s="83"/>
      <c r="AK186" s="81"/>
      <c r="AL186" s="81"/>
      <c r="AM186" s="83"/>
      <c r="AN186" s="80"/>
      <c r="AO186" s="82" t="n">
        <f aca="false">IF(E186="","",(AA186&lt;&gt;"")+(AG186&lt;&gt;"")+(AL186&lt;&gt;""))</f>
        <v>0</v>
      </c>
      <c r="AP186" s="82" t="str">
        <f aca="false">IF(AL186&lt;&gt;"",AL186,IF(AG186&lt;&gt;"",AG186,IF(AA186&lt;&gt;"",AA186,"")))</f>
        <v/>
      </c>
      <c r="AQ186" s="84" t="str">
        <f aca="false">IF(E186="","",IF(U186="","À SOUDER",IF(X186="","VT EN ATTENTE",IF(X186="R","VT REJETÉ – À REPRENDRE",IF(AP186="","À RADIOGRAPHIER",IF(AP186="A","ACCEPTÉ",IF(AP186="NX","NX – RT À REFAIRE",IF(IF(AO186=1,AD186,IF(AO186=2,AI186,""))="A","RÉPARÉ – À RADIOGRAPHIER",IF(IF(AO186=1,AD186,IF(AO186=2,AI186,""))="R","VT REJETÉ – À REPRENDRE",IF(OR(AP186="CO",AP186="NT"),"COUPE – À RESOUDER","À RÉPARER"))))))))))</f>
        <v>À SOUDER</v>
      </c>
      <c r="AR186" s="82" t="str">
        <f aca="false">IF(AND(ISNUMBER(U186),OR(AQ186="À RADIOGRAPHIER",AQ186="RÉPARÉ – À RADIOGRAPHIER",AQ186="NX – RT À REFAIRE",AQ186="À RÉPARER",AQ186="COUPE – À RESOUDER",AQ186="VT REJETÉ – À REPRENDRE")),MAX(0,'PROGRAMME RT'!$C$4-U186),"")</f>
        <v/>
      </c>
      <c r="AS186" s="82" t="n">
        <f aca="false">IF(AND(OR(AQ186="À RADIOGRAPHIER",AQ186="RÉPARÉ – À RADIOGRAPHIER",AQ186="NX – RT À REFAIRE"),OR('PROGRAMME RT'!$D$5="TOUTES",B186='PROGRAMME RT'!$D$5)),1,0)</f>
        <v>0</v>
      </c>
      <c r="AT186" s="82" t="str">
        <f aca="false">IF(AS186=1,SUM(AS$7:AS186),"")</f>
        <v/>
      </c>
      <c r="AU186" s="82" t="n">
        <f aca="false">IF(AND(OR(AA186="R",AA186="NX",AA186="NT",AA186="CO"),OR('JOINTS DE RÉPARATION'!$D$5="TOUTES",B186='JOINTS DE RÉPARATION'!$D$5),OR('JOINTS DE RÉPARATION'!$L$4="TOUS",AQ186&lt;&gt;"ACCEPTÉ")),1,0)</f>
        <v>0</v>
      </c>
      <c r="AV186" s="82" t="str">
        <f aca="false">IF(AU186=1,SUM(AU$7:AU186),"")</f>
        <v/>
      </c>
      <c r="AW186" s="82" t="str">
        <f aca="false">IF(E186="","",B186&amp;"|"&amp;E186)</f>
        <v>MFD-ISW → MFD-CPF|JN°180</v>
      </c>
    </row>
    <row r="187" customFormat="false" ht="74.6" hidden="false" customHeight="false" outlineLevel="0" collapsed="false">
      <c r="A187" s="79" t="n">
        <f aca="false">IF(E187="","",ROW()-6)</f>
        <v>181</v>
      </c>
      <c r="B187" s="80" t="s">
        <v>110</v>
      </c>
      <c r="C187" s="81"/>
      <c r="D187" s="81"/>
      <c r="E187" s="81" t="s">
        <v>291</v>
      </c>
      <c r="F187" s="82" t="str">
        <f aca="false">IF(E187="","",IF(LEFT(E187,2)="DJ","DJ","JN"))</f>
        <v>JN</v>
      </c>
      <c r="G187" s="81"/>
      <c r="H187" s="81"/>
      <c r="I187" s="81"/>
      <c r="J187" s="81"/>
      <c r="K187" s="81"/>
      <c r="L187" s="81"/>
      <c r="M187" s="81"/>
      <c r="N187" s="81"/>
      <c r="O187" s="81"/>
      <c r="P187" s="81"/>
      <c r="Q187" s="81"/>
      <c r="R187" s="81"/>
      <c r="S187" s="81"/>
      <c r="T187" s="81"/>
      <c r="U187" s="83"/>
      <c r="V187" s="83"/>
      <c r="W187" s="81"/>
      <c r="X187" s="81"/>
      <c r="Y187" s="83"/>
      <c r="Z187" s="81"/>
      <c r="AA187" s="81"/>
      <c r="AB187" s="81"/>
      <c r="AC187" s="81"/>
      <c r="AD187" s="81"/>
      <c r="AE187" s="83"/>
      <c r="AF187" s="81"/>
      <c r="AG187" s="81"/>
      <c r="AH187" s="81"/>
      <c r="AI187" s="81"/>
      <c r="AJ187" s="83"/>
      <c r="AK187" s="81"/>
      <c r="AL187" s="81"/>
      <c r="AM187" s="83"/>
      <c r="AN187" s="80"/>
      <c r="AO187" s="82" t="n">
        <f aca="false">IF(E187="","",(AA187&lt;&gt;"")+(AG187&lt;&gt;"")+(AL187&lt;&gt;""))</f>
        <v>0</v>
      </c>
      <c r="AP187" s="82" t="str">
        <f aca="false">IF(AL187&lt;&gt;"",AL187,IF(AG187&lt;&gt;"",AG187,IF(AA187&lt;&gt;"",AA187,"")))</f>
        <v/>
      </c>
      <c r="AQ187" s="84" t="str">
        <f aca="false">IF(E187="","",IF(U187="","À SOUDER",IF(X187="","VT EN ATTENTE",IF(X187="R","VT REJETÉ – À REPRENDRE",IF(AP187="","À RADIOGRAPHIER",IF(AP187="A","ACCEPTÉ",IF(AP187="NX","NX – RT À REFAIRE",IF(IF(AO187=1,AD187,IF(AO187=2,AI187,""))="A","RÉPARÉ – À RADIOGRAPHIER",IF(IF(AO187=1,AD187,IF(AO187=2,AI187,""))="R","VT REJETÉ – À REPRENDRE",IF(OR(AP187="CO",AP187="NT"),"COUPE – À RESOUDER","À RÉPARER"))))))))))</f>
        <v>À SOUDER</v>
      </c>
      <c r="AR187" s="82" t="str">
        <f aca="false">IF(AND(ISNUMBER(U187),OR(AQ187="À RADIOGRAPHIER",AQ187="RÉPARÉ – À RADIOGRAPHIER",AQ187="NX – RT À REFAIRE",AQ187="À RÉPARER",AQ187="COUPE – À RESOUDER",AQ187="VT REJETÉ – À REPRENDRE")),MAX(0,'PROGRAMME RT'!$C$4-U187),"")</f>
        <v/>
      </c>
      <c r="AS187" s="82" t="n">
        <f aca="false">IF(AND(OR(AQ187="À RADIOGRAPHIER",AQ187="RÉPARÉ – À RADIOGRAPHIER",AQ187="NX – RT À REFAIRE"),OR('PROGRAMME RT'!$D$5="TOUTES",B187='PROGRAMME RT'!$D$5)),1,0)</f>
        <v>0</v>
      </c>
      <c r="AT187" s="82" t="str">
        <f aca="false">IF(AS187=1,SUM(AS$7:AS187),"")</f>
        <v/>
      </c>
      <c r="AU187" s="82" t="n">
        <f aca="false">IF(AND(OR(AA187="R",AA187="NX",AA187="NT",AA187="CO"),OR('JOINTS DE RÉPARATION'!$D$5="TOUTES",B187='JOINTS DE RÉPARATION'!$D$5),OR('JOINTS DE RÉPARATION'!$L$4="TOUS",AQ187&lt;&gt;"ACCEPTÉ")),1,0)</f>
        <v>0</v>
      </c>
      <c r="AV187" s="82" t="str">
        <f aca="false">IF(AU187=1,SUM(AU$7:AU187),"")</f>
        <v/>
      </c>
      <c r="AW187" s="82" t="str">
        <f aca="false">IF(E187="","",B187&amp;"|"&amp;E187)</f>
        <v>MFD-ISW → MFD-CPF|JN°181</v>
      </c>
    </row>
    <row r="188" customFormat="false" ht="74.6" hidden="false" customHeight="false" outlineLevel="0" collapsed="false">
      <c r="A188" s="79" t="n">
        <f aca="false">IF(E188="","",ROW()-6)</f>
        <v>182</v>
      </c>
      <c r="B188" s="80" t="s">
        <v>110</v>
      </c>
      <c r="C188" s="81"/>
      <c r="D188" s="81"/>
      <c r="E188" s="81" t="s">
        <v>292</v>
      </c>
      <c r="F188" s="82" t="str">
        <f aca="false">IF(E188="","",IF(LEFT(E188,2)="DJ","DJ","JN"))</f>
        <v>JN</v>
      </c>
      <c r="G188" s="81"/>
      <c r="H188" s="81"/>
      <c r="I188" s="81"/>
      <c r="J188" s="81"/>
      <c r="K188" s="81"/>
      <c r="L188" s="81"/>
      <c r="M188" s="81"/>
      <c r="N188" s="81"/>
      <c r="O188" s="81"/>
      <c r="P188" s="81"/>
      <c r="Q188" s="81"/>
      <c r="R188" s="81"/>
      <c r="S188" s="81"/>
      <c r="T188" s="81"/>
      <c r="U188" s="83"/>
      <c r="V188" s="83"/>
      <c r="W188" s="81"/>
      <c r="X188" s="81"/>
      <c r="Y188" s="83"/>
      <c r="Z188" s="81"/>
      <c r="AA188" s="81"/>
      <c r="AB188" s="81"/>
      <c r="AC188" s="81"/>
      <c r="AD188" s="81"/>
      <c r="AE188" s="83"/>
      <c r="AF188" s="81"/>
      <c r="AG188" s="81"/>
      <c r="AH188" s="81"/>
      <c r="AI188" s="81"/>
      <c r="AJ188" s="83"/>
      <c r="AK188" s="81"/>
      <c r="AL188" s="81"/>
      <c r="AM188" s="83"/>
      <c r="AN188" s="80"/>
      <c r="AO188" s="82" t="n">
        <f aca="false">IF(E188="","",(AA188&lt;&gt;"")+(AG188&lt;&gt;"")+(AL188&lt;&gt;""))</f>
        <v>0</v>
      </c>
      <c r="AP188" s="82" t="str">
        <f aca="false">IF(AL188&lt;&gt;"",AL188,IF(AG188&lt;&gt;"",AG188,IF(AA188&lt;&gt;"",AA188,"")))</f>
        <v/>
      </c>
      <c r="AQ188" s="84" t="str">
        <f aca="false">IF(E188="","",IF(U188="","À SOUDER",IF(X188="","VT EN ATTENTE",IF(X188="R","VT REJETÉ – À REPRENDRE",IF(AP188="","À RADIOGRAPHIER",IF(AP188="A","ACCEPTÉ",IF(AP188="NX","NX – RT À REFAIRE",IF(IF(AO188=1,AD188,IF(AO188=2,AI188,""))="A","RÉPARÉ – À RADIOGRAPHIER",IF(IF(AO188=1,AD188,IF(AO188=2,AI188,""))="R","VT REJETÉ – À REPRENDRE",IF(OR(AP188="CO",AP188="NT"),"COUPE – À RESOUDER","À RÉPARER"))))))))))</f>
        <v>À SOUDER</v>
      </c>
      <c r="AR188" s="82" t="str">
        <f aca="false">IF(AND(ISNUMBER(U188),OR(AQ188="À RADIOGRAPHIER",AQ188="RÉPARÉ – À RADIOGRAPHIER",AQ188="NX – RT À REFAIRE",AQ188="À RÉPARER",AQ188="COUPE – À RESOUDER",AQ188="VT REJETÉ – À REPRENDRE")),MAX(0,'PROGRAMME RT'!$C$4-U188),"")</f>
        <v/>
      </c>
      <c r="AS188" s="82" t="n">
        <f aca="false">IF(AND(OR(AQ188="À RADIOGRAPHIER",AQ188="RÉPARÉ – À RADIOGRAPHIER",AQ188="NX – RT À REFAIRE"),OR('PROGRAMME RT'!$D$5="TOUTES",B188='PROGRAMME RT'!$D$5)),1,0)</f>
        <v>0</v>
      </c>
      <c r="AT188" s="82" t="str">
        <f aca="false">IF(AS188=1,SUM(AS$7:AS188),"")</f>
        <v/>
      </c>
      <c r="AU188" s="82" t="n">
        <f aca="false">IF(AND(OR(AA188="R",AA188="NX",AA188="NT",AA188="CO"),OR('JOINTS DE RÉPARATION'!$D$5="TOUTES",B188='JOINTS DE RÉPARATION'!$D$5),OR('JOINTS DE RÉPARATION'!$L$4="TOUS",AQ188&lt;&gt;"ACCEPTÉ")),1,0)</f>
        <v>0</v>
      </c>
      <c r="AV188" s="82" t="str">
        <f aca="false">IF(AU188=1,SUM(AU$7:AU188),"")</f>
        <v/>
      </c>
      <c r="AW188" s="82" t="str">
        <f aca="false">IF(E188="","",B188&amp;"|"&amp;E188)</f>
        <v>MFD-ISW → MFD-CPF|JN°182</v>
      </c>
    </row>
    <row r="189" customFormat="false" ht="74.6" hidden="false" customHeight="false" outlineLevel="0" collapsed="false">
      <c r="A189" s="79" t="n">
        <f aca="false">IF(E189="","",ROW()-6)</f>
        <v>183</v>
      </c>
      <c r="B189" s="80" t="s">
        <v>110</v>
      </c>
      <c r="C189" s="81"/>
      <c r="D189" s="81"/>
      <c r="E189" s="81" t="s">
        <v>293</v>
      </c>
      <c r="F189" s="82" t="str">
        <f aca="false">IF(E189="","",IF(LEFT(E189,2)="DJ","DJ","JN"))</f>
        <v>JN</v>
      </c>
      <c r="G189" s="81"/>
      <c r="H189" s="81"/>
      <c r="I189" s="81"/>
      <c r="J189" s="81"/>
      <c r="K189" s="81"/>
      <c r="L189" s="81"/>
      <c r="M189" s="81"/>
      <c r="N189" s="81"/>
      <c r="O189" s="81"/>
      <c r="P189" s="81"/>
      <c r="Q189" s="81"/>
      <c r="R189" s="81"/>
      <c r="S189" s="81"/>
      <c r="T189" s="81"/>
      <c r="U189" s="83"/>
      <c r="V189" s="83"/>
      <c r="W189" s="81"/>
      <c r="X189" s="81"/>
      <c r="Y189" s="83"/>
      <c r="Z189" s="81"/>
      <c r="AA189" s="81"/>
      <c r="AB189" s="81"/>
      <c r="AC189" s="81"/>
      <c r="AD189" s="81"/>
      <c r="AE189" s="83"/>
      <c r="AF189" s="81"/>
      <c r="AG189" s="81"/>
      <c r="AH189" s="81"/>
      <c r="AI189" s="81"/>
      <c r="AJ189" s="83"/>
      <c r="AK189" s="81"/>
      <c r="AL189" s="81"/>
      <c r="AM189" s="83"/>
      <c r="AN189" s="80"/>
      <c r="AO189" s="82" t="n">
        <f aca="false">IF(E189="","",(AA189&lt;&gt;"")+(AG189&lt;&gt;"")+(AL189&lt;&gt;""))</f>
        <v>0</v>
      </c>
      <c r="AP189" s="82" t="str">
        <f aca="false">IF(AL189&lt;&gt;"",AL189,IF(AG189&lt;&gt;"",AG189,IF(AA189&lt;&gt;"",AA189,"")))</f>
        <v/>
      </c>
      <c r="AQ189" s="84" t="str">
        <f aca="false">IF(E189="","",IF(U189="","À SOUDER",IF(X189="","VT EN ATTENTE",IF(X189="R","VT REJETÉ – À REPRENDRE",IF(AP189="","À RADIOGRAPHIER",IF(AP189="A","ACCEPTÉ",IF(AP189="NX","NX – RT À REFAIRE",IF(IF(AO189=1,AD189,IF(AO189=2,AI189,""))="A","RÉPARÉ – À RADIOGRAPHIER",IF(IF(AO189=1,AD189,IF(AO189=2,AI189,""))="R","VT REJETÉ – À REPRENDRE",IF(OR(AP189="CO",AP189="NT"),"COUPE – À RESOUDER","À RÉPARER"))))))))))</f>
        <v>À SOUDER</v>
      </c>
      <c r="AR189" s="82" t="str">
        <f aca="false">IF(AND(ISNUMBER(U189),OR(AQ189="À RADIOGRAPHIER",AQ189="RÉPARÉ – À RADIOGRAPHIER",AQ189="NX – RT À REFAIRE",AQ189="À RÉPARER",AQ189="COUPE – À RESOUDER",AQ189="VT REJETÉ – À REPRENDRE")),MAX(0,'PROGRAMME RT'!$C$4-U189),"")</f>
        <v/>
      </c>
      <c r="AS189" s="82" t="n">
        <f aca="false">IF(AND(OR(AQ189="À RADIOGRAPHIER",AQ189="RÉPARÉ – À RADIOGRAPHIER",AQ189="NX – RT À REFAIRE"),OR('PROGRAMME RT'!$D$5="TOUTES",B189='PROGRAMME RT'!$D$5)),1,0)</f>
        <v>0</v>
      </c>
      <c r="AT189" s="82" t="str">
        <f aca="false">IF(AS189=1,SUM(AS$7:AS189),"")</f>
        <v/>
      </c>
      <c r="AU189" s="82" t="n">
        <f aca="false">IF(AND(OR(AA189="R",AA189="NX",AA189="NT",AA189="CO"),OR('JOINTS DE RÉPARATION'!$D$5="TOUTES",B189='JOINTS DE RÉPARATION'!$D$5),OR('JOINTS DE RÉPARATION'!$L$4="TOUS",AQ189&lt;&gt;"ACCEPTÉ")),1,0)</f>
        <v>0</v>
      </c>
      <c r="AV189" s="82" t="str">
        <f aca="false">IF(AU189=1,SUM(AU$7:AU189),"")</f>
        <v/>
      </c>
      <c r="AW189" s="82" t="str">
        <f aca="false">IF(E189="","",B189&amp;"|"&amp;E189)</f>
        <v>MFD-ISW → MFD-CPF|JN°183</v>
      </c>
    </row>
    <row r="190" customFormat="false" ht="74.6" hidden="false" customHeight="false" outlineLevel="0" collapsed="false">
      <c r="A190" s="79" t="n">
        <f aca="false">IF(E190="","",ROW()-6)</f>
        <v>184</v>
      </c>
      <c r="B190" s="80" t="s">
        <v>110</v>
      </c>
      <c r="C190" s="81"/>
      <c r="D190" s="81"/>
      <c r="E190" s="81" t="s">
        <v>294</v>
      </c>
      <c r="F190" s="82" t="str">
        <f aca="false">IF(E190="","",IF(LEFT(E190,2)="DJ","DJ","JN"))</f>
        <v>JN</v>
      </c>
      <c r="G190" s="81"/>
      <c r="H190" s="81"/>
      <c r="I190" s="81"/>
      <c r="J190" s="81"/>
      <c r="K190" s="81"/>
      <c r="L190" s="81"/>
      <c r="M190" s="81"/>
      <c r="N190" s="81"/>
      <c r="O190" s="81"/>
      <c r="P190" s="81"/>
      <c r="Q190" s="81"/>
      <c r="R190" s="81"/>
      <c r="S190" s="81"/>
      <c r="T190" s="81"/>
      <c r="U190" s="83"/>
      <c r="V190" s="83"/>
      <c r="W190" s="81"/>
      <c r="X190" s="81"/>
      <c r="Y190" s="83"/>
      <c r="Z190" s="81"/>
      <c r="AA190" s="81"/>
      <c r="AB190" s="81"/>
      <c r="AC190" s="81"/>
      <c r="AD190" s="81"/>
      <c r="AE190" s="83"/>
      <c r="AF190" s="81"/>
      <c r="AG190" s="81"/>
      <c r="AH190" s="81"/>
      <c r="AI190" s="81"/>
      <c r="AJ190" s="83"/>
      <c r="AK190" s="81"/>
      <c r="AL190" s="81"/>
      <c r="AM190" s="83"/>
      <c r="AN190" s="80"/>
      <c r="AO190" s="82" t="n">
        <f aca="false">IF(E190="","",(AA190&lt;&gt;"")+(AG190&lt;&gt;"")+(AL190&lt;&gt;""))</f>
        <v>0</v>
      </c>
      <c r="AP190" s="82" t="str">
        <f aca="false">IF(AL190&lt;&gt;"",AL190,IF(AG190&lt;&gt;"",AG190,IF(AA190&lt;&gt;"",AA190,"")))</f>
        <v/>
      </c>
      <c r="AQ190" s="84" t="str">
        <f aca="false">IF(E190="","",IF(U190="","À SOUDER",IF(X190="","VT EN ATTENTE",IF(X190="R","VT REJETÉ – À REPRENDRE",IF(AP190="","À RADIOGRAPHIER",IF(AP190="A","ACCEPTÉ",IF(AP190="NX","NX – RT À REFAIRE",IF(IF(AO190=1,AD190,IF(AO190=2,AI190,""))="A","RÉPARÉ – À RADIOGRAPHIER",IF(IF(AO190=1,AD190,IF(AO190=2,AI190,""))="R","VT REJETÉ – À REPRENDRE",IF(OR(AP190="CO",AP190="NT"),"COUPE – À RESOUDER","À RÉPARER"))))))))))</f>
        <v>À SOUDER</v>
      </c>
      <c r="AR190" s="82" t="str">
        <f aca="false">IF(AND(ISNUMBER(U190),OR(AQ190="À RADIOGRAPHIER",AQ190="RÉPARÉ – À RADIOGRAPHIER",AQ190="NX – RT À REFAIRE",AQ190="À RÉPARER",AQ190="COUPE – À RESOUDER",AQ190="VT REJETÉ – À REPRENDRE")),MAX(0,'PROGRAMME RT'!$C$4-U190),"")</f>
        <v/>
      </c>
      <c r="AS190" s="82" t="n">
        <f aca="false">IF(AND(OR(AQ190="À RADIOGRAPHIER",AQ190="RÉPARÉ – À RADIOGRAPHIER",AQ190="NX – RT À REFAIRE"),OR('PROGRAMME RT'!$D$5="TOUTES",B190='PROGRAMME RT'!$D$5)),1,0)</f>
        <v>0</v>
      </c>
      <c r="AT190" s="82" t="str">
        <f aca="false">IF(AS190=1,SUM(AS$7:AS190),"")</f>
        <v/>
      </c>
      <c r="AU190" s="82" t="n">
        <f aca="false">IF(AND(OR(AA190="R",AA190="NX",AA190="NT",AA190="CO"),OR('JOINTS DE RÉPARATION'!$D$5="TOUTES",B190='JOINTS DE RÉPARATION'!$D$5),OR('JOINTS DE RÉPARATION'!$L$4="TOUS",AQ190&lt;&gt;"ACCEPTÉ")),1,0)</f>
        <v>0</v>
      </c>
      <c r="AV190" s="82" t="str">
        <f aca="false">IF(AU190=1,SUM(AU$7:AU190),"")</f>
        <v/>
      </c>
      <c r="AW190" s="82" t="str">
        <f aca="false">IF(E190="","",B190&amp;"|"&amp;E190)</f>
        <v>MFD-ISW → MFD-CPF|JN°184</v>
      </c>
    </row>
    <row r="191" customFormat="false" ht="74.6" hidden="false" customHeight="false" outlineLevel="0" collapsed="false">
      <c r="A191" s="79" t="n">
        <f aca="false">IF(E191="","",ROW()-6)</f>
        <v>185</v>
      </c>
      <c r="B191" s="80" t="s">
        <v>110</v>
      </c>
      <c r="C191" s="81"/>
      <c r="D191" s="81"/>
      <c r="E191" s="81" t="s">
        <v>295</v>
      </c>
      <c r="F191" s="82" t="str">
        <f aca="false">IF(E191="","",IF(LEFT(E191,2)="DJ","DJ","JN"))</f>
        <v>JN</v>
      </c>
      <c r="G191" s="81"/>
      <c r="H191" s="81"/>
      <c r="I191" s="81"/>
      <c r="J191" s="81"/>
      <c r="K191" s="81"/>
      <c r="L191" s="81"/>
      <c r="M191" s="81"/>
      <c r="N191" s="81"/>
      <c r="O191" s="81"/>
      <c r="P191" s="81"/>
      <c r="Q191" s="81"/>
      <c r="R191" s="81"/>
      <c r="S191" s="81"/>
      <c r="T191" s="81"/>
      <c r="U191" s="83"/>
      <c r="V191" s="83"/>
      <c r="W191" s="81"/>
      <c r="X191" s="81"/>
      <c r="Y191" s="83"/>
      <c r="Z191" s="81"/>
      <c r="AA191" s="81"/>
      <c r="AB191" s="81"/>
      <c r="AC191" s="81"/>
      <c r="AD191" s="81"/>
      <c r="AE191" s="83"/>
      <c r="AF191" s="81"/>
      <c r="AG191" s="81"/>
      <c r="AH191" s="81"/>
      <c r="AI191" s="81"/>
      <c r="AJ191" s="83"/>
      <c r="AK191" s="81"/>
      <c r="AL191" s="81"/>
      <c r="AM191" s="83"/>
      <c r="AN191" s="80"/>
      <c r="AO191" s="82" t="n">
        <f aca="false">IF(E191="","",(AA191&lt;&gt;"")+(AG191&lt;&gt;"")+(AL191&lt;&gt;""))</f>
        <v>0</v>
      </c>
      <c r="AP191" s="82" t="str">
        <f aca="false">IF(AL191&lt;&gt;"",AL191,IF(AG191&lt;&gt;"",AG191,IF(AA191&lt;&gt;"",AA191,"")))</f>
        <v/>
      </c>
      <c r="AQ191" s="84" t="str">
        <f aca="false">IF(E191="","",IF(U191="","À SOUDER",IF(X191="","VT EN ATTENTE",IF(X191="R","VT REJETÉ – À REPRENDRE",IF(AP191="","À RADIOGRAPHIER",IF(AP191="A","ACCEPTÉ",IF(AP191="NX","NX – RT À REFAIRE",IF(IF(AO191=1,AD191,IF(AO191=2,AI191,""))="A","RÉPARÉ – À RADIOGRAPHIER",IF(IF(AO191=1,AD191,IF(AO191=2,AI191,""))="R","VT REJETÉ – À REPRENDRE",IF(OR(AP191="CO",AP191="NT"),"COUPE – À RESOUDER","À RÉPARER"))))))))))</f>
        <v>À SOUDER</v>
      </c>
      <c r="AR191" s="82" t="str">
        <f aca="false">IF(AND(ISNUMBER(U191),OR(AQ191="À RADIOGRAPHIER",AQ191="RÉPARÉ – À RADIOGRAPHIER",AQ191="NX – RT À REFAIRE",AQ191="À RÉPARER",AQ191="COUPE – À RESOUDER",AQ191="VT REJETÉ – À REPRENDRE")),MAX(0,'PROGRAMME RT'!$C$4-U191),"")</f>
        <v/>
      </c>
      <c r="AS191" s="82" t="n">
        <f aca="false">IF(AND(OR(AQ191="À RADIOGRAPHIER",AQ191="RÉPARÉ – À RADIOGRAPHIER",AQ191="NX – RT À REFAIRE"),OR('PROGRAMME RT'!$D$5="TOUTES",B191='PROGRAMME RT'!$D$5)),1,0)</f>
        <v>0</v>
      </c>
      <c r="AT191" s="82" t="str">
        <f aca="false">IF(AS191=1,SUM(AS$7:AS191),"")</f>
        <v/>
      </c>
      <c r="AU191" s="82" t="n">
        <f aca="false">IF(AND(OR(AA191="R",AA191="NX",AA191="NT",AA191="CO"),OR('JOINTS DE RÉPARATION'!$D$5="TOUTES",B191='JOINTS DE RÉPARATION'!$D$5),OR('JOINTS DE RÉPARATION'!$L$4="TOUS",AQ191&lt;&gt;"ACCEPTÉ")),1,0)</f>
        <v>0</v>
      </c>
      <c r="AV191" s="82" t="str">
        <f aca="false">IF(AU191=1,SUM(AU$7:AU191),"")</f>
        <v/>
      </c>
      <c r="AW191" s="82" t="str">
        <f aca="false">IF(E191="","",B191&amp;"|"&amp;E191)</f>
        <v>MFD-ISW → MFD-CPF|JN°185</v>
      </c>
    </row>
    <row r="192" customFormat="false" ht="74.6" hidden="false" customHeight="false" outlineLevel="0" collapsed="false">
      <c r="A192" s="79" t="n">
        <f aca="false">IF(E192="","",ROW()-6)</f>
        <v>186</v>
      </c>
      <c r="B192" s="80" t="s">
        <v>110</v>
      </c>
      <c r="C192" s="81"/>
      <c r="D192" s="81"/>
      <c r="E192" s="81" t="s">
        <v>296</v>
      </c>
      <c r="F192" s="82" t="str">
        <f aca="false">IF(E192="","",IF(LEFT(E192,2)="DJ","DJ","JN"))</f>
        <v>JN</v>
      </c>
      <c r="G192" s="81"/>
      <c r="H192" s="81"/>
      <c r="I192" s="81"/>
      <c r="J192" s="81"/>
      <c r="K192" s="81"/>
      <c r="L192" s="81"/>
      <c r="M192" s="81"/>
      <c r="N192" s="81"/>
      <c r="O192" s="81"/>
      <c r="P192" s="81"/>
      <c r="Q192" s="81"/>
      <c r="R192" s="81"/>
      <c r="S192" s="81"/>
      <c r="T192" s="81"/>
      <c r="U192" s="83"/>
      <c r="V192" s="83"/>
      <c r="W192" s="81"/>
      <c r="X192" s="81"/>
      <c r="Y192" s="83"/>
      <c r="Z192" s="81"/>
      <c r="AA192" s="81"/>
      <c r="AB192" s="81"/>
      <c r="AC192" s="81"/>
      <c r="AD192" s="81"/>
      <c r="AE192" s="83"/>
      <c r="AF192" s="81"/>
      <c r="AG192" s="81"/>
      <c r="AH192" s="81"/>
      <c r="AI192" s="81"/>
      <c r="AJ192" s="83"/>
      <c r="AK192" s="81"/>
      <c r="AL192" s="81"/>
      <c r="AM192" s="83"/>
      <c r="AN192" s="80"/>
      <c r="AO192" s="82" t="n">
        <f aca="false">IF(E192="","",(AA192&lt;&gt;"")+(AG192&lt;&gt;"")+(AL192&lt;&gt;""))</f>
        <v>0</v>
      </c>
      <c r="AP192" s="82" t="str">
        <f aca="false">IF(AL192&lt;&gt;"",AL192,IF(AG192&lt;&gt;"",AG192,IF(AA192&lt;&gt;"",AA192,"")))</f>
        <v/>
      </c>
      <c r="AQ192" s="84" t="str">
        <f aca="false">IF(E192="","",IF(U192="","À SOUDER",IF(X192="","VT EN ATTENTE",IF(X192="R","VT REJETÉ – À REPRENDRE",IF(AP192="","À RADIOGRAPHIER",IF(AP192="A","ACCEPTÉ",IF(AP192="NX","NX – RT À REFAIRE",IF(IF(AO192=1,AD192,IF(AO192=2,AI192,""))="A","RÉPARÉ – À RADIOGRAPHIER",IF(IF(AO192=1,AD192,IF(AO192=2,AI192,""))="R","VT REJETÉ – À REPRENDRE",IF(OR(AP192="CO",AP192="NT"),"COUPE – À RESOUDER","À RÉPARER"))))))))))</f>
        <v>À SOUDER</v>
      </c>
      <c r="AR192" s="82" t="str">
        <f aca="false">IF(AND(ISNUMBER(U192),OR(AQ192="À RADIOGRAPHIER",AQ192="RÉPARÉ – À RADIOGRAPHIER",AQ192="NX – RT À REFAIRE",AQ192="À RÉPARER",AQ192="COUPE – À RESOUDER",AQ192="VT REJETÉ – À REPRENDRE")),MAX(0,'PROGRAMME RT'!$C$4-U192),"")</f>
        <v/>
      </c>
      <c r="AS192" s="82" t="n">
        <f aca="false">IF(AND(OR(AQ192="À RADIOGRAPHIER",AQ192="RÉPARÉ – À RADIOGRAPHIER",AQ192="NX – RT À REFAIRE"),OR('PROGRAMME RT'!$D$5="TOUTES",B192='PROGRAMME RT'!$D$5)),1,0)</f>
        <v>0</v>
      </c>
      <c r="AT192" s="82" t="str">
        <f aca="false">IF(AS192=1,SUM(AS$7:AS192),"")</f>
        <v/>
      </c>
      <c r="AU192" s="82" t="n">
        <f aca="false">IF(AND(OR(AA192="R",AA192="NX",AA192="NT",AA192="CO"),OR('JOINTS DE RÉPARATION'!$D$5="TOUTES",B192='JOINTS DE RÉPARATION'!$D$5),OR('JOINTS DE RÉPARATION'!$L$4="TOUS",AQ192&lt;&gt;"ACCEPTÉ")),1,0)</f>
        <v>0</v>
      </c>
      <c r="AV192" s="82" t="str">
        <f aca="false">IF(AU192=1,SUM(AU$7:AU192),"")</f>
        <v/>
      </c>
      <c r="AW192" s="82" t="str">
        <f aca="false">IF(E192="","",B192&amp;"|"&amp;E192)</f>
        <v>MFD-ISW → MFD-CPF|JN°186</v>
      </c>
    </row>
    <row r="193" customFormat="false" ht="74.6" hidden="false" customHeight="false" outlineLevel="0" collapsed="false">
      <c r="A193" s="79" t="n">
        <f aca="false">IF(E193="","",ROW()-6)</f>
        <v>187</v>
      </c>
      <c r="B193" s="80" t="s">
        <v>110</v>
      </c>
      <c r="C193" s="81"/>
      <c r="D193" s="81"/>
      <c r="E193" s="81" t="s">
        <v>297</v>
      </c>
      <c r="F193" s="82" t="str">
        <f aca="false">IF(E193="","",IF(LEFT(E193,2)="DJ","DJ","JN"))</f>
        <v>JN</v>
      </c>
      <c r="G193" s="81"/>
      <c r="H193" s="81"/>
      <c r="I193" s="81"/>
      <c r="J193" s="81"/>
      <c r="K193" s="81"/>
      <c r="L193" s="81"/>
      <c r="M193" s="81"/>
      <c r="N193" s="81"/>
      <c r="O193" s="81"/>
      <c r="P193" s="81"/>
      <c r="Q193" s="81"/>
      <c r="R193" s="81"/>
      <c r="S193" s="81"/>
      <c r="T193" s="81"/>
      <c r="U193" s="83"/>
      <c r="V193" s="83"/>
      <c r="W193" s="81"/>
      <c r="X193" s="81"/>
      <c r="Y193" s="83"/>
      <c r="Z193" s="81"/>
      <c r="AA193" s="81"/>
      <c r="AB193" s="81"/>
      <c r="AC193" s="81"/>
      <c r="AD193" s="81"/>
      <c r="AE193" s="83"/>
      <c r="AF193" s="81"/>
      <c r="AG193" s="81"/>
      <c r="AH193" s="81"/>
      <c r="AI193" s="81"/>
      <c r="AJ193" s="83"/>
      <c r="AK193" s="81"/>
      <c r="AL193" s="81"/>
      <c r="AM193" s="83"/>
      <c r="AN193" s="80"/>
      <c r="AO193" s="82" t="n">
        <f aca="false">IF(E193="","",(AA193&lt;&gt;"")+(AG193&lt;&gt;"")+(AL193&lt;&gt;""))</f>
        <v>0</v>
      </c>
      <c r="AP193" s="82" t="str">
        <f aca="false">IF(AL193&lt;&gt;"",AL193,IF(AG193&lt;&gt;"",AG193,IF(AA193&lt;&gt;"",AA193,"")))</f>
        <v/>
      </c>
      <c r="AQ193" s="84" t="str">
        <f aca="false">IF(E193="","",IF(U193="","À SOUDER",IF(X193="","VT EN ATTENTE",IF(X193="R","VT REJETÉ – À REPRENDRE",IF(AP193="","À RADIOGRAPHIER",IF(AP193="A","ACCEPTÉ",IF(AP193="NX","NX – RT À REFAIRE",IF(IF(AO193=1,AD193,IF(AO193=2,AI193,""))="A","RÉPARÉ – À RADIOGRAPHIER",IF(IF(AO193=1,AD193,IF(AO193=2,AI193,""))="R","VT REJETÉ – À REPRENDRE",IF(OR(AP193="CO",AP193="NT"),"COUPE – À RESOUDER","À RÉPARER"))))))))))</f>
        <v>À SOUDER</v>
      </c>
      <c r="AR193" s="82" t="str">
        <f aca="false">IF(AND(ISNUMBER(U193),OR(AQ193="À RADIOGRAPHIER",AQ193="RÉPARÉ – À RADIOGRAPHIER",AQ193="NX – RT À REFAIRE",AQ193="À RÉPARER",AQ193="COUPE – À RESOUDER",AQ193="VT REJETÉ – À REPRENDRE")),MAX(0,'PROGRAMME RT'!$C$4-U193),"")</f>
        <v/>
      </c>
      <c r="AS193" s="82" t="n">
        <f aca="false">IF(AND(OR(AQ193="À RADIOGRAPHIER",AQ193="RÉPARÉ – À RADIOGRAPHIER",AQ193="NX – RT À REFAIRE"),OR('PROGRAMME RT'!$D$5="TOUTES",B193='PROGRAMME RT'!$D$5)),1,0)</f>
        <v>0</v>
      </c>
      <c r="AT193" s="82" t="str">
        <f aca="false">IF(AS193=1,SUM(AS$7:AS193),"")</f>
        <v/>
      </c>
      <c r="AU193" s="82" t="n">
        <f aca="false">IF(AND(OR(AA193="R",AA193="NX",AA193="NT",AA193="CO"),OR('JOINTS DE RÉPARATION'!$D$5="TOUTES",B193='JOINTS DE RÉPARATION'!$D$5),OR('JOINTS DE RÉPARATION'!$L$4="TOUS",AQ193&lt;&gt;"ACCEPTÉ")),1,0)</f>
        <v>0</v>
      </c>
      <c r="AV193" s="82" t="str">
        <f aca="false">IF(AU193=1,SUM(AU$7:AU193),"")</f>
        <v/>
      </c>
      <c r="AW193" s="82" t="str">
        <f aca="false">IF(E193="","",B193&amp;"|"&amp;E193)</f>
        <v>MFD-ISW → MFD-CPF|JN°187</v>
      </c>
    </row>
    <row r="194" customFormat="false" ht="74.6" hidden="false" customHeight="false" outlineLevel="0" collapsed="false">
      <c r="A194" s="79" t="n">
        <f aca="false">IF(E194="","",ROW()-6)</f>
        <v>188</v>
      </c>
      <c r="B194" s="80" t="s">
        <v>110</v>
      </c>
      <c r="C194" s="81"/>
      <c r="D194" s="81"/>
      <c r="E194" s="81" t="s">
        <v>298</v>
      </c>
      <c r="F194" s="82" t="str">
        <f aca="false">IF(E194="","",IF(LEFT(E194,2)="DJ","DJ","JN"))</f>
        <v>JN</v>
      </c>
      <c r="G194" s="81"/>
      <c r="H194" s="81"/>
      <c r="I194" s="81"/>
      <c r="J194" s="81"/>
      <c r="K194" s="81"/>
      <c r="L194" s="81"/>
      <c r="M194" s="81"/>
      <c r="N194" s="81"/>
      <c r="O194" s="81"/>
      <c r="P194" s="81"/>
      <c r="Q194" s="81"/>
      <c r="R194" s="81"/>
      <c r="S194" s="81"/>
      <c r="T194" s="81"/>
      <c r="U194" s="83"/>
      <c r="V194" s="83"/>
      <c r="W194" s="81"/>
      <c r="X194" s="81"/>
      <c r="Y194" s="83"/>
      <c r="Z194" s="81"/>
      <c r="AA194" s="81"/>
      <c r="AB194" s="81"/>
      <c r="AC194" s="81"/>
      <c r="AD194" s="81"/>
      <c r="AE194" s="83"/>
      <c r="AF194" s="81"/>
      <c r="AG194" s="81"/>
      <c r="AH194" s="81"/>
      <c r="AI194" s="81"/>
      <c r="AJ194" s="83"/>
      <c r="AK194" s="81"/>
      <c r="AL194" s="81"/>
      <c r="AM194" s="83"/>
      <c r="AN194" s="80"/>
      <c r="AO194" s="82" t="n">
        <f aca="false">IF(E194="","",(AA194&lt;&gt;"")+(AG194&lt;&gt;"")+(AL194&lt;&gt;""))</f>
        <v>0</v>
      </c>
      <c r="AP194" s="82" t="str">
        <f aca="false">IF(AL194&lt;&gt;"",AL194,IF(AG194&lt;&gt;"",AG194,IF(AA194&lt;&gt;"",AA194,"")))</f>
        <v/>
      </c>
      <c r="AQ194" s="84" t="str">
        <f aca="false">IF(E194="","",IF(U194="","À SOUDER",IF(X194="","VT EN ATTENTE",IF(X194="R","VT REJETÉ – À REPRENDRE",IF(AP194="","À RADIOGRAPHIER",IF(AP194="A","ACCEPTÉ",IF(AP194="NX","NX – RT À REFAIRE",IF(IF(AO194=1,AD194,IF(AO194=2,AI194,""))="A","RÉPARÉ – À RADIOGRAPHIER",IF(IF(AO194=1,AD194,IF(AO194=2,AI194,""))="R","VT REJETÉ – À REPRENDRE",IF(OR(AP194="CO",AP194="NT"),"COUPE – À RESOUDER","À RÉPARER"))))))))))</f>
        <v>À SOUDER</v>
      </c>
      <c r="AR194" s="82" t="str">
        <f aca="false">IF(AND(ISNUMBER(U194),OR(AQ194="À RADIOGRAPHIER",AQ194="RÉPARÉ – À RADIOGRAPHIER",AQ194="NX – RT À REFAIRE",AQ194="À RÉPARER",AQ194="COUPE – À RESOUDER",AQ194="VT REJETÉ – À REPRENDRE")),MAX(0,'PROGRAMME RT'!$C$4-U194),"")</f>
        <v/>
      </c>
      <c r="AS194" s="82" t="n">
        <f aca="false">IF(AND(OR(AQ194="À RADIOGRAPHIER",AQ194="RÉPARÉ – À RADIOGRAPHIER",AQ194="NX – RT À REFAIRE"),OR('PROGRAMME RT'!$D$5="TOUTES",B194='PROGRAMME RT'!$D$5)),1,0)</f>
        <v>0</v>
      </c>
      <c r="AT194" s="82" t="str">
        <f aca="false">IF(AS194=1,SUM(AS$7:AS194),"")</f>
        <v/>
      </c>
      <c r="AU194" s="82" t="n">
        <f aca="false">IF(AND(OR(AA194="R",AA194="NX",AA194="NT",AA194="CO"),OR('JOINTS DE RÉPARATION'!$D$5="TOUTES",B194='JOINTS DE RÉPARATION'!$D$5),OR('JOINTS DE RÉPARATION'!$L$4="TOUS",AQ194&lt;&gt;"ACCEPTÉ")),1,0)</f>
        <v>0</v>
      </c>
      <c r="AV194" s="82" t="str">
        <f aca="false">IF(AU194=1,SUM(AU$7:AU194),"")</f>
        <v/>
      </c>
      <c r="AW194" s="82" t="str">
        <f aca="false">IF(E194="","",B194&amp;"|"&amp;E194)</f>
        <v>MFD-ISW → MFD-CPF|JN°188</v>
      </c>
    </row>
    <row r="195" customFormat="false" ht="74.6" hidden="false" customHeight="false" outlineLevel="0" collapsed="false">
      <c r="A195" s="79" t="n">
        <f aca="false">IF(E195="","",ROW()-6)</f>
        <v>189</v>
      </c>
      <c r="B195" s="80" t="s">
        <v>110</v>
      </c>
      <c r="C195" s="81"/>
      <c r="D195" s="81"/>
      <c r="E195" s="81" t="s">
        <v>299</v>
      </c>
      <c r="F195" s="82" t="str">
        <f aca="false">IF(E195="","",IF(LEFT(E195,2)="DJ","DJ","JN"))</f>
        <v>JN</v>
      </c>
      <c r="G195" s="81"/>
      <c r="H195" s="81"/>
      <c r="I195" s="81"/>
      <c r="J195" s="81"/>
      <c r="K195" s="81"/>
      <c r="L195" s="81"/>
      <c r="M195" s="81"/>
      <c r="N195" s="81"/>
      <c r="O195" s="81"/>
      <c r="P195" s="81"/>
      <c r="Q195" s="81"/>
      <c r="R195" s="81"/>
      <c r="S195" s="81"/>
      <c r="T195" s="81"/>
      <c r="U195" s="83"/>
      <c r="V195" s="83"/>
      <c r="W195" s="81"/>
      <c r="X195" s="81"/>
      <c r="Y195" s="83"/>
      <c r="Z195" s="81"/>
      <c r="AA195" s="81"/>
      <c r="AB195" s="81"/>
      <c r="AC195" s="81"/>
      <c r="AD195" s="81"/>
      <c r="AE195" s="83"/>
      <c r="AF195" s="81"/>
      <c r="AG195" s="81"/>
      <c r="AH195" s="81"/>
      <c r="AI195" s="81"/>
      <c r="AJ195" s="83"/>
      <c r="AK195" s="81"/>
      <c r="AL195" s="81"/>
      <c r="AM195" s="83"/>
      <c r="AN195" s="80"/>
      <c r="AO195" s="82" t="n">
        <f aca="false">IF(E195="","",(AA195&lt;&gt;"")+(AG195&lt;&gt;"")+(AL195&lt;&gt;""))</f>
        <v>0</v>
      </c>
      <c r="AP195" s="82" t="str">
        <f aca="false">IF(AL195&lt;&gt;"",AL195,IF(AG195&lt;&gt;"",AG195,IF(AA195&lt;&gt;"",AA195,"")))</f>
        <v/>
      </c>
      <c r="AQ195" s="84" t="str">
        <f aca="false">IF(E195="","",IF(U195="","À SOUDER",IF(X195="","VT EN ATTENTE",IF(X195="R","VT REJETÉ – À REPRENDRE",IF(AP195="","À RADIOGRAPHIER",IF(AP195="A","ACCEPTÉ",IF(AP195="NX","NX – RT À REFAIRE",IF(IF(AO195=1,AD195,IF(AO195=2,AI195,""))="A","RÉPARÉ – À RADIOGRAPHIER",IF(IF(AO195=1,AD195,IF(AO195=2,AI195,""))="R","VT REJETÉ – À REPRENDRE",IF(OR(AP195="CO",AP195="NT"),"COUPE – À RESOUDER","À RÉPARER"))))))))))</f>
        <v>À SOUDER</v>
      </c>
      <c r="AR195" s="82" t="str">
        <f aca="false">IF(AND(ISNUMBER(U195),OR(AQ195="À RADIOGRAPHIER",AQ195="RÉPARÉ – À RADIOGRAPHIER",AQ195="NX – RT À REFAIRE",AQ195="À RÉPARER",AQ195="COUPE – À RESOUDER",AQ195="VT REJETÉ – À REPRENDRE")),MAX(0,'PROGRAMME RT'!$C$4-U195),"")</f>
        <v/>
      </c>
      <c r="AS195" s="82" t="n">
        <f aca="false">IF(AND(OR(AQ195="À RADIOGRAPHIER",AQ195="RÉPARÉ – À RADIOGRAPHIER",AQ195="NX – RT À REFAIRE"),OR('PROGRAMME RT'!$D$5="TOUTES",B195='PROGRAMME RT'!$D$5)),1,0)</f>
        <v>0</v>
      </c>
      <c r="AT195" s="82" t="str">
        <f aca="false">IF(AS195=1,SUM(AS$7:AS195),"")</f>
        <v/>
      </c>
      <c r="AU195" s="82" t="n">
        <f aca="false">IF(AND(OR(AA195="R",AA195="NX",AA195="NT",AA195="CO"),OR('JOINTS DE RÉPARATION'!$D$5="TOUTES",B195='JOINTS DE RÉPARATION'!$D$5),OR('JOINTS DE RÉPARATION'!$L$4="TOUS",AQ195&lt;&gt;"ACCEPTÉ")),1,0)</f>
        <v>0</v>
      </c>
      <c r="AV195" s="82" t="str">
        <f aca="false">IF(AU195=1,SUM(AU$7:AU195),"")</f>
        <v/>
      </c>
      <c r="AW195" s="82" t="str">
        <f aca="false">IF(E195="","",B195&amp;"|"&amp;E195)</f>
        <v>MFD-ISW → MFD-CPF|JN°189</v>
      </c>
    </row>
    <row r="196" customFormat="false" ht="74.6" hidden="false" customHeight="false" outlineLevel="0" collapsed="false">
      <c r="A196" s="79" t="n">
        <f aca="false">IF(E196="","",ROW()-6)</f>
        <v>190</v>
      </c>
      <c r="B196" s="80" t="s">
        <v>110</v>
      </c>
      <c r="C196" s="81"/>
      <c r="D196" s="81"/>
      <c r="E196" s="81" t="s">
        <v>300</v>
      </c>
      <c r="F196" s="82" t="str">
        <f aca="false">IF(E196="","",IF(LEFT(E196,2)="DJ","DJ","JN"))</f>
        <v>JN</v>
      </c>
      <c r="G196" s="81"/>
      <c r="H196" s="81"/>
      <c r="I196" s="81"/>
      <c r="J196" s="81"/>
      <c r="K196" s="81"/>
      <c r="L196" s="81"/>
      <c r="M196" s="81"/>
      <c r="N196" s="81"/>
      <c r="O196" s="81"/>
      <c r="P196" s="81"/>
      <c r="Q196" s="81"/>
      <c r="R196" s="81"/>
      <c r="S196" s="81"/>
      <c r="T196" s="81"/>
      <c r="U196" s="83"/>
      <c r="V196" s="83"/>
      <c r="W196" s="81"/>
      <c r="X196" s="81"/>
      <c r="Y196" s="83"/>
      <c r="Z196" s="81"/>
      <c r="AA196" s="81"/>
      <c r="AB196" s="81"/>
      <c r="AC196" s="81"/>
      <c r="AD196" s="81"/>
      <c r="AE196" s="83"/>
      <c r="AF196" s="81"/>
      <c r="AG196" s="81"/>
      <c r="AH196" s="81"/>
      <c r="AI196" s="81"/>
      <c r="AJ196" s="83"/>
      <c r="AK196" s="81"/>
      <c r="AL196" s="81"/>
      <c r="AM196" s="83"/>
      <c r="AN196" s="80"/>
      <c r="AO196" s="82" t="n">
        <f aca="false">IF(E196="","",(AA196&lt;&gt;"")+(AG196&lt;&gt;"")+(AL196&lt;&gt;""))</f>
        <v>0</v>
      </c>
      <c r="AP196" s="82" t="str">
        <f aca="false">IF(AL196&lt;&gt;"",AL196,IF(AG196&lt;&gt;"",AG196,IF(AA196&lt;&gt;"",AA196,"")))</f>
        <v/>
      </c>
      <c r="AQ196" s="84" t="str">
        <f aca="false">IF(E196="","",IF(U196="","À SOUDER",IF(X196="","VT EN ATTENTE",IF(X196="R","VT REJETÉ – À REPRENDRE",IF(AP196="","À RADIOGRAPHIER",IF(AP196="A","ACCEPTÉ",IF(AP196="NX","NX – RT À REFAIRE",IF(IF(AO196=1,AD196,IF(AO196=2,AI196,""))="A","RÉPARÉ – À RADIOGRAPHIER",IF(IF(AO196=1,AD196,IF(AO196=2,AI196,""))="R","VT REJETÉ – À REPRENDRE",IF(OR(AP196="CO",AP196="NT"),"COUPE – À RESOUDER","À RÉPARER"))))))))))</f>
        <v>À SOUDER</v>
      </c>
      <c r="AR196" s="82" t="str">
        <f aca="false">IF(AND(ISNUMBER(U196),OR(AQ196="À RADIOGRAPHIER",AQ196="RÉPARÉ – À RADIOGRAPHIER",AQ196="NX – RT À REFAIRE",AQ196="À RÉPARER",AQ196="COUPE – À RESOUDER",AQ196="VT REJETÉ – À REPRENDRE")),MAX(0,'PROGRAMME RT'!$C$4-U196),"")</f>
        <v/>
      </c>
      <c r="AS196" s="82" t="n">
        <f aca="false">IF(AND(OR(AQ196="À RADIOGRAPHIER",AQ196="RÉPARÉ – À RADIOGRAPHIER",AQ196="NX – RT À REFAIRE"),OR('PROGRAMME RT'!$D$5="TOUTES",B196='PROGRAMME RT'!$D$5)),1,0)</f>
        <v>0</v>
      </c>
      <c r="AT196" s="82" t="str">
        <f aca="false">IF(AS196=1,SUM(AS$7:AS196),"")</f>
        <v/>
      </c>
      <c r="AU196" s="82" t="n">
        <f aca="false">IF(AND(OR(AA196="R",AA196="NX",AA196="NT",AA196="CO"),OR('JOINTS DE RÉPARATION'!$D$5="TOUTES",B196='JOINTS DE RÉPARATION'!$D$5),OR('JOINTS DE RÉPARATION'!$L$4="TOUS",AQ196&lt;&gt;"ACCEPTÉ")),1,0)</f>
        <v>0</v>
      </c>
      <c r="AV196" s="82" t="str">
        <f aca="false">IF(AU196=1,SUM(AU$7:AU196),"")</f>
        <v/>
      </c>
      <c r="AW196" s="82" t="str">
        <f aca="false">IF(E196="","",B196&amp;"|"&amp;E196)</f>
        <v>MFD-ISW → MFD-CPF|JN°190</v>
      </c>
    </row>
    <row r="197" customFormat="false" ht="74.6" hidden="false" customHeight="false" outlineLevel="0" collapsed="false">
      <c r="A197" s="79" t="n">
        <f aca="false">IF(E197="","",ROW()-6)</f>
        <v>191</v>
      </c>
      <c r="B197" s="80" t="s">
        <v>110</v>
      </c>
      <c r="C197" s="81"/>
      <c r="D197" s="81"/>
      <c r="E197" s="81" t="s">
        <v>301</v>
      </c>
      <c r="F197" s="82" t="str">
        <f aca="false">IF(E197="","",IF(LEFT(E197,2)="DJ","DJ","JN"))</f>
        <v>JN</v>
      </c>
      <c r="G197" s="81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81"/>
      <c r="U197" s="83"/>
      <c r="V197" s="83"/>
      <c r="W197" s="81"/>
      <c r="X197" s="81"/>
      <c r="Y197" s="83"/>
      <c r="Z197" s="81"/>
      <c r="AA197" s="81"/>
      <c r="AB197" s="81"/>
      <c r="AC197" s="81"/>
      <c r="AD197" s="81"/>
      <c r="AE197" s="83"/>
      <c r="AF197" s="81"/>
      <c r="AG197" s="81"/>
      <c r="AH197" s="81"/>
      <c r="AI197" s="81"/>
      <c r="AJ197" s="83"/>
      <c r="AK197" s="81"/>
      <c r="AL197" s="81"/>
      <c r="AM197" s="83"/>
      <c r="AN197" s="80"/>
      <c r="AO197" s="82" t="n">
        <f aca="false">IF(E197="","",(AA197&lt;&gt;"")+(AG197&lt;&gt;"")+(AL197&lt;&gt;""))</f>
        <v>0</v>
      </c>
      <c r="AP197" s="82" t="str">
        <f aca="false">IF(AL197&lt;&gt;"",AL197,IF(AG197&lt;&gt;"",AG197,IF(AA197&lt;&gt;"",AA197,"")))</f>
        <v/>
      </c>
      <c r="AQ197" s="84" t="str">
        <f aca="false">IF(E197="","",IF(U197="","À SOUDER",IF(X197="","VT EN ATTENTE",IF(X197="R","VT REJETÉ – À REPRENDRE",IF(AP197="","À RADIOGRAPHIER",IF(AP197="A","ACCEPTÉ",IF(AP197="NX","NX – RT À REFAIRE",IF(IF(AO197=1,AD197,IF(AO197=2,AI197,""))="A","RÉPARÉ – À RADIOGRAPHIER",IF(IF(AO197=1,AD197,IF(AO197=2,AI197,""))="R","VT REJETÉ – À REPRENDRE",IF(OR(AP197="CO",AP197="NT"),"COUPE – À RESOUDER","À RÉPARER"))))))))))</f>
        <v>À SOUDER</v>
      </c>
      <c r="AR197" s="82" t="str">
        <f aca="false">IF(AND(ISNUMBER(U197),OR(AQ197="À RADIOGRAPHIER",AQ197="RÉPARÉ – À RADIOGRAPHIER",AQ197="NX – RT À REFAIRE",AQ197="À RÉPARER",AQ197="COUPE – À RESOUDER",AQ197="VT REJETÉ – À REPRENDRE")),MAX(0,'PROGRAMME RT'!$C$4-U197),"")</f>
        <v/>
      </c>
      <c r="AS197" s="82" t="n">
        <f aca="false">IF(AND(OR(AQ197="À RADIOGRAPHIER",AQ197="RÉPARÉ – À RADIOGRAPHIER",AQ197="NX – RT À REFAIRE"),OR('PROGRAMME RT'!$D$5="TOUTES",B197='PROGRAMME RT'!$D$5)),1,0)</f>
        <v>0</v>
      </c>
      <c r="AT197" s="82" t="str">
        <f aca="false">IF(AS197=1,SUM(AS$7:AS197),"")</f>
        <v/>
      </c>
      <c r="AU197" s="82" t="n">
        <f aca="false">IF(AND(OR(AA197="R",AA197="NX",AA197="NT",AA197="CO"),OR('JOINTS DE RÉPARATION'!$D$5="TOUTES",B197='JOINTS DE RÉPARATION'!$D$5),OR('JOINTS DE RÉPARATION'!$L$4="TOUS",AQ197&lt;&gt;"ACCEPTÉ")),1,0)</f>
        <v>0</v>
      </c>
      <c r="AV197" s="82" t="str">
        <f aca="false">IF(AU197=1,SUM(AU$7:AU197),"")</f>
        <v/>
      </c>
      <c r="AW197" s="82" t="str">
        <f aca="false">IF(E197="","",B197&amp;"|"&amp;E197)</f>
        <v>MFD-ISW → MFD-CPF|JN°191</v>
      </c>
    </row>
    <row r="198" customFormat="false" ht="74.6" hidden="false" customHeight="false" outlineLevel="0" collapsed="false">
      <c r="A198" s="79" t="n">
        <f aca="false">IF(E198="","",ROW()-6)</f>
        <v>192</v>
      </c>
      <c r="B198" s="80" t="s">
        <v>110</v>
      </c>
      <c r="C198" s="81"/>
      <c r="D198" s="81"/>
      <c r="E198" s="81" t="s">
        <v>302</v>
      </c>
      <c r="F198" s="82" t="str">
        <f aca="false">IF(E198="","",IF(LEFT(E198,2)="DJ","DJ","JN"))</f>
        <v>JN</v>
      </c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81"/>
      <c r="U198" s="83"/>
      <c r="V198" s="83"/>
      <c r="W198" s="81"/>
      <c r="X198" s="81"/>
      <c r="Y198" s="83"/>
      <c r="Z198" s="81"/>
      <c r="AA198" s="81"/>
      <c r="AB198" s="81"/>
      <c r="AC198" s="81"/>
      <c r="AD198" s="81"/>
      <c r="AE198" s="83"/>
      <c r="AF198" s="81"/>
      <c r="AG198" s="81"/>
      <c r="AH198" s="81"/>
      <c r="AI198" s="81"/>
      <c r="AJ198" s="83"/>
      <c r="AK198" s="81"/>
      <c r="AL198" s="81"/>
      <c r="AM198" s="83"/>
      <c r="AN198" s="80"/>
      <c r="AO198" s="82" t="n">
        <f aca="false">IF(E198="","",(AA198&lt;&gt;"")+(AG198&lt;&gt;"")+(AL198&lt;&gt;""))</f>
        <v>0</v>
      </c>
      <c r="AP198" s="82" t="str">
        <f aca="false">IF(AL198&lt;&gt;"",AL198,IF(AG198&lt;&gt;"",AG198,IF(AA198&lt;&gt;"",AA198,"")))</f>
        <v/>
      </c>
      <c r="AQ198" s="84" t="str">
        <f aca="false">IF(E198="","",IF(U198="","À SOUDER",IF(X198="","VT EN ATTENTE",IF(X198="R","VT REJETÉ – À REPRENDRE",IF(AP198="","À RADIOGRAPHIER",IF(AP198="A","ACCEPTÉ",IF(AP198="NX","NX – RT À REFAIRE",IF(IF(AO198=1,AD198,IF(AO198=2,AI198,""))="A","RÉPARÉ – À RADIOGRAPHIER",IF(IF(AO198=1,AD198,IF(AO198=2,AI198,""))="R","VT REJETÉ – À REPRENDRE",IF(OR(AP198="CO",AP198="NT"),"COUPE – À RESOUDER","À RÉPARER"))))))))))</f>
        <v>À SOUDER</v>
      </c>
      <c r="AR198" s="82" t="str">
        <f aca="false">IF(AND(ISNUMBER(U198),OR(AQ198="À RADIOGRAPHIER",AQ198="RÉPARÉ – À RADIOGRAPHIER",AQ198="NX – RT À REFAIRE",AQ198="À RÉPARER",AQ198="COUPE – À RESOUDER",AQ198="VT REJETÉ – À REPRENDRE")),MAX(0,'PROGRAMME RT'!$C$4-U198),"")</f>
        <v/>
      </c>
      <c r="AS198" s="82" t="n">
        <f aca="false">IF(AND(OR(AQ198="À RADIOGRAPHIER",AQ198="RÉPARÉ – À RADIOGRAPHIER",AQ198="NX – RT À REFAIRE"),OR('PROGRAMME RT'!$D$5="TOUTES",B198='PROGRAMME RT'!$D$5)),1,0)</f>
        <v>0</v>
      </c>
      <c r="AT198" s="82" t="str">
        <f aca="false">IF(AS198=1,SUM(AS$7:AS198),"")</f>
        <v/>
      </c>
      <c r="AU198" s="82" t="n">
        <f aca="false">IF(AND(OR(AA198="R",AA198="NX",AA198="NT",AA198="CO"),OR('JOINTS DE RÉPARATION'!$D$5="TOUTES",B198='JOINTS DE RÉPARATION'!$D$5),OR('JOINTS DE RÉPARATION'!$L$4="TOUS",AQ198&lt;&gt;"ACCEPTÉ")),1,0)</f>
        <v>0</v>
      </c>
      <c r="AV198" s="82" t="str">
        <f aca="false">IF(AU198=1,SUM(AU$7:AU198),"")</f>
        <v/>
      </c>
      <c r="AW198" s="82" t="str">
        <f aca="false">IF(E198="","",B198&amp;"|"&amp;E198)</f>
        <v>MFD-ISW → MFD-CPF|JN°192</v>
      </c>
    </row>
    <row r="199" customFormat="false" ht="74.6" hidden="false" customHeight="false" outlineLevel="0" collapsed="false">
      <c r="A199" s="79" t="n">
        <f aca="false">IF(E199="","",ROW()-6)</f>
        <v>193</v>
      </c>
      <c r="B199" s="80" t="s">
        <v>110</v>
      </c>
      <c r="C199" s="81"/>
      <c r="D199" s="81"/>
      <c r="E199" s="81" t="s">
        <v>303</v>
      </c>
      <c r="F199" s="82" t="str">
        <f aca="false">IF(E199="","",IF(LEFT(E199,2)="DJ","DJ","JN"))</f>
        <v>JN</v>
      </c>
      <c r="G199" s="81"/>
      <c r="H199" s="81"/>
      <c r="I199" s="81"/>
      <c r="J199" s="81"/>
      <c r="K199" s="81"/>
      <c r="L199" s="81"/>
      <c r="M199" s="81"/>
      <c r="N199" s="81"/>
      <c r="O199" s="81"/>
      <c r="P199" s="81"/>
      <c r="Q199" s="81"/>
      <c r="R199" s="81"/>
      <c r="S199" s="81"/>
      <c r="T199" s="81"/>
      <c r="U199" s="83"/>
      <c r="V199" s="83"/>
      <c r="W199" s="81"/>
      <c r="X199" s="81"/>
      <c r="Y199" s="83"/>
      <c r="Z199" s="81"/>
      <c r="AA199" s="81"/>
      <c r="AB199" s="81"/>
      <c r="AC199" s="81"/>
      <c r="AD199" s="81"/>
      <c r="AE199" s="83"/>
      <c r="AF199" s="81"/>
      <c r="AG199" s="81"/>
      <c r="AH199" s="81"/>
      <c r="AI199" s="81"/>
      <c r="AJ199" s="83"/>
      <c r="AK199" s="81"/>
      <c r="AL199" s="81"/>
      <c r="AM199" s="83"/>
      <c r="AN199" s="80"/>
      <c r="AO199" s="82" t="n">
        <f aca="false">IF(E199="","",(AA199&lt;&gt;"")+(AG199&lt;&gt;"")+(AL199&lt;&gt;""))</f>
        <v>0</v>
      </c>
      <c r="AP199" s="82" t="str">
        <f aca="false">IF(AL199&lt;&gt;"",AL199,IF(AG199&lt;&gt;"",AG199,IF(AA199&lt;&gt;"",AA199,"")))</f>
        <v/>
      </c>
      <c r="AQ199" s="84" t="str">
        <f aca="false">IF(E199="","",IF(U199="","À SOUDER",IF(X199="","VT EN ATTENTE",IF(X199="R","VT REJETÉ – À REPRENDRE",IF(AP199="","À RADIOGRAPHIER",IF(AP199="A","ACCEPTÉ",IF(AP199="NX","NX – RT À REFAIRE",IF(IF(AO199=1,AD199,IF(AO199=2,AI199,""))="A","RÉPARÉ – À RADIOGRAPHIER",IF(IF(AO199=1,AD199,IF(AO199=2,AI199,""))="R","VT REJETÉ – À REPRENDRE",IF(OR(AP199="CO",AP199="NT"),"COUPE – À RESOUDER","À RÉPARER"))))))))))</f>
        <v>À SOUDER</v>
      </c>
      <c r="AR199" s="82" t="str">
        <f aca="false">IF(AND(ISNUMBER(U199),OR(AQ199="À RADIOGRAPHIER",AQ199="RÉPARÉ – À RADIOGRAPHIER",AQ199="NX – RT À REFAIRE",AQ199="À RÉPARER",AQ199="COUPE – À RESOUDER",AQ199="VT REJETÉ – À REPRENDRE")),MAX(0,'PROGRAMME RT'!$C$4-U199),"")</f>
        <v/>
      </c>
      <c r="AS199" s="82" t="n">
        <f aca="false">IF(AND(OR(AQ199="À RADIOGRAPHIER",AQ199="RÉPARÉ – À RADIOGRAPHIER",AQ199="NX – RT À REFAIRE"),OR('PROGRAMME RT'!$D$5="TOUTES",B199='PROGRAMME RT'!$D$5)),1,0)</f>
        <v>0</v>
      </c>
      <c r="AT199" s="82" t="str">
        <f aca="false">IF(AS199=1,SUM(AS$7:AS199),"")</f>
        <v/>
      </c>
      <c r="AU199" s="82" t="n">
        <f aca="false">IF(AND(OR(AA199="R",AA199="NX",AA199="NT",AA199="CO"),OR('JOINTS DE RÉPARATION'!$D$5="TOUTES",B199='JOINTS DE RÉPARATION'!$D$5),OR('JOINTS DE RÉPARATION'!$L$4="TOUS",AQ199&lt;&gt;"ACCEPTÉ")),1,0)</f>
        <v>0</v>
      </c>
      <c r="AV199" s="82" t="str">
        <f aca="false">IF(AU199=1,SUM(AU$7:AU199),"")</f>
        <v/>
      </c>
      <c r="AW199" s="82" t="str">
        <f aca="false">IF(E199="","",B199&amp;"|"&amp;E199)</f>
        <v>MFD-ISW → MFD-CPF|JN°193</v>
      </c>
    </row>
    <row r="200" customFormat="false" ht="74.6" hidden="false" customHeight="false" outlineLevel="0" collapsed="false">
      <c r="A200" s="79" t="n">
        <f aca="false">IF(E200="","",ROW()-6)</f>
        <v>194</v>
      </c>
      <c r="B200" s="80" t="s">
        <v>110</v>
      </c>
      <c r="C200" s="81"/>
      <c r="D200" s="81"/>
      <c r="E200" s="81" t="s">
        <v>304</v>
      </c>
      <c r="F200" s="82" t="str">
        <f aca="false">IF(E200="","",IF(LEFT(E200,2)="DJ","DJ","JN"))</f>
        <v>JN</v>
      </c>
      <c r="G200" s="81"/>
      <c r="H200" s="81"/>
      <c r="I200" s="81"/>
      <c r="J200" s="81"/>
      <c r="K200" s="81"/>
      <c r="L200" s="81"/>
      <c r="M200" s="81"/>
      <c r="N200" s="81"/>
      <c r="O200" s="81"/>
      <c r="P200" s="81"/>
      <c r="Q200" s="81"/>
      <c r="R200" s="81"/>
      <c r="S200" s="81"/>
      <c r="T200" s="81"/>
      <c r="U200" s="83"/>
      <c r="V200" s="83"/>
      <c r="W200" s="81"/>
      <c r="X200" s="81"/>
      <c r="Y200" s="83"/>
      <c r="Z200" s="81"/>
      <c r="AA200" s="81"/>
      <c r="AB200" s="81"/>
      <c r="AC200" s="81"/>
      <c r="AD200" s="81"/>
      <c r="AE200" s="83"/>
      <c r="AF200" s="81"/>
      <c r="AG200" s="81"/>
      <c r="AH200" s="81"/>
      <c r="AI200" s="81"/>
      <c r="AJ200" s="83"/>
      <c r="AK200" s="81"/>
      <c r="AL200" s="81"/>
      <c r="AM200" s="83"/>
      <c r="AN200" s="80"/>
      <c r="AO200" s="82" t="n">
        <f aca="false">IF(E200="","",(AA200&lt;&gt;"")+(AG200&lt;&gt;"")+(AL200&lt;&gt;""))</f>
        <v>0</v>
      </c>
      <c r="AP200" s="82" t="str">
        <f aca="false">IF(AL200&lt;&gt;"",AL200,IF(AG200&lt;&gt;"",AG200,IF(AA200&lt;&gt;"",AA200,"")))</f>
        <v/>
      </c>
      <c r="AQ200" s="84" t="str">
        <f aca="false">IF(E200="","",IF(U200="","À SOUDER",IF(X200="","VT EN ATTENTE",IF(X200="R","VT REJETÉ – À REPRENDRE",IF(AP200="","À RADIOGRAPHIER",IF(AP200="A","ACCEPTÉ",IF(AP200="NX","NX – RT À REFAIRE",IF(IF(AO200=1,AD200,IF(AO200=2,AI200,""))="A","RÉPARÉ – À RADIOGRAPHIER",IF(IF(AO200=1,AD200,IF(AO200=2,AI200,""))="R","VT REJETÉ – À REPRENDRE",IF(OR(AP200="CO",AP200="NT"),"COUPE – À RESOUDER","À RÉPARER"))))))))))</f>
        <v>À SOUDER</v>
      </c>
      <c r="AR200" s="82" t="str">
        <f aca="false">IF(AND(ISNUMBER(U200),OR(AQ200="À RADIOGRAPHIER",AQ200="RÉPARÉ – À RADIOGRAPHIER",AQ200="NX – RT À REFAIRE",AQ200="À RÉPARER",AQ200="COUPE – À RESOUDER",AQ200="VT REJETÉ – À REPRENDRE")),MAX(0,'PROGRAMME RT'!$C$4-U200),"")</f>
        <v/>
      </c>
      <c r="AS200" s="82" t="n">
        <f aca="false">IF(AND(OR(AQ200="À RADIOGRAPHIER",AQ200="RÉPARÉ – À RADIOGRAPHIER",AQ200="NX – RT À REFAIRE"),OR('PROGRAMME RT'!$D$5="TOUTES",B200='PROGRAMME RT'!$D$5)),1,0)</f>
        <v>0</v>
      </c>
      <c r="AT200" s="82" t="str">
        <f aca="false">IF(AS200=1,SUM(AS$7:AS200),"")</f>
        <v/>
      </c>
      <c r="AU200" s="82" t="n">
        <f aca="false">IF(AND(OR(AA200="R",AA200="NX",AA200="NT",AA200="CO"),OR('JOINTS DE RÉPARATION'!$D$5="TOUTES",B200='JOINTS DE RÉPARATION'!$D$5),OR('JOINTS DE RÉPARATION'!$L$4="TOUS",AQ200&lt;&gt;"ACCEPTÉ")),1,0)</f>
        <v>0</v>
      </c>
      <c r="AV200" s="82" t="str">
        <f aca="false">IF(AU200=1,SUM(AU$7:AU200),"")</f>
        <v/>
      </c>
      <c r="AW200" s="82" t="str">
        <f aca="false">IF(E200="","",B200&amp;"|"&amp;E200)</f>
        <v>MFD-ISW → MFD-CPF|JN°194</v>
      </c>
    </row>
    <row r="201" customFormat="false" ht="74.6" hidden="false" customHeight="false" outlineLevel="0" collapsed="false">
      <c r="A201" s="79" t="n">
        <f aca="false">IF(E201="","",ROW()-6)</f>
        <v>195</v>
      </c>
      <c r="B201" s="80" t="s">
        <v>110</v>
      </c>
      <c r="C201" s="81"/>
      <c r="D201" s="81"/>
      <c r="E201" s="81" t="s">
        <v>305</v>
      </c>
      <c r="F201" s="82" t="str">
        <f aca="false">IF(E201="","",IF(LEFT(E201,2)="DJ","DJ","JN"))</f>
        <v>JN</v>
      </c>
      <c r="G201" s="81"/>
      <c r="H201" s="81"/>
      <c r="I201" s="81"/>
      <c r="J201" s="81"/>
      <c r="K201" s="81"/>
      <c r="L201" s="81"/>
      <c r="M201" s="81"/>
      <c r="N201" s="81"/>
      <c r="O201" s="81"/>
      <c r="P201" s="81"/>
      <c r="Q201" s="81"/>
      <c r="R201" s="81"/>
      <c r="S201" s="81"/>
      <c r="T201" s="81"/>
      <c r="U201" s="83"/>
      <c r="V201" s="83"/>
      <c r="W201" s="81"/>
      <c r="X201" s="81"/>
      <c r="Y201" s="83"/>
      <c r="Z201" s="81"/>
      <c r="AA201" s="81"/>
      <c r="AB201" s="81"/>
      <c r="AC201" s="81"/>
      <c r="AD201" s="81"/>
      <c r="AE201" s="83"/>
      <c r="AF201" s="81"/>
      <c r="AG201" s="81"/>
      <c r="AH201" s="81"/>
      <c r="AI201" s="81"/>
      <c r="AJ201" s="83"/>
      <c r="AK201" s="81"/>
      <c r="AL201" s="81"/>
      <c r="AM201" s="83"/>
      <c r="AN201" s="80"/>
      <c r="AO201" s="82" t="n">
        <f aca="false">IF(E201="","",(AA201&lt;&gt;"")+(AG201&lt;&gt;"")+(AL201&lt;&gt;""))</f>
        <v>0</v>
      </c>
      <c r="AP201" s="82" t="str">
        <f aca="false">IF(AL201&lt;&gt;"",AL201,IF(AG201&lt;&gt;"",AG201,IF(AA201&lt;&gt;"",AA201,"")))</f>
        <v/>
      </c>
      <c r="AQ201" s="84" t="str">
        <f aca="false">IF(E201="","",IF(U201="","À SOUDER",IF(X201="","VT EN ATTENTE",IF(X201="R","VT REJETÉ – À REPRENDRE",IF(AP201="","À RADIOGRAPHIER",IF(AP201="A","ACCEPTÉ",IF(AP201="NX","NX – RT À REFAIRE",IF(IF(AO201=1,AD201,IF(AO201=2,AI201,""))="A","RÉPARÉ – À RADIOGRAPHIER",IF(IF(AO201=1,AD201,IF(AO201=2,AI201,""))="R","VT REJETÉ – À REPRENDRE",IF(OR(AP201="CO",AP201="NT"),"COUPE – À RESOUDER","À RÉPARER"))))))))))</f>
        <v>À SOUDER</v>
      </c>
      <c r="AR201" s="82" t="str">
        <f aca="false">IF(AND(ISNUMBER(U201),OR(AQ201="À RADIOGRAPHIER",AQ201="RÉPARÉ – À RADIOGRAPHIER",AQ201="NX – RT À REFAIRE",AQ201="À RÉPARER",AQ201="COUPE – À RESOUDER",AQ201="VT REJETÉ – À REPRENDRE")),MAX(0,'PROGRAMME RT'!$C$4-U201),"")</f>
        <v/>
      </c>
      <c r="AS201" s="82" t="n">
        <f aca="false">IF(AND(OR(AQ201="À RADIOGRAPHIER",AQ201="RÉPARÉ – À RADIOGRAPHIER",AQ201="NX – RT À REFAIRE"),OR('PROGRAMME RT'!$D$5="TOUTES",B201='PROGRAMME RT'!$D$5)),1,0)</f>
        <v>0</v>
      </c>
      <c r="AT201" s="82" t="str">
        <f aca="false">IF(AS201=1,SUM(AS$7:AS201),"")</f>
        <v/>
      </c>
      <c r="AU201" s="82" t="n">
        <f aca="false">IF(AND(OR(AA201="R",AA201="NX",AA201="NT",AA201="CO"),OR('JOINTS DE RÉPARATION'!$D$5="TOUTES",B201='JOINTS DE RÉPARATION'!$D$5),OR('JOINTS DE RÉPARATION'!$L$4="TOUS",AQ201&lt;&gt;"ACCEPTÉ")),1,0)</f>
        <v>0</v>
      </c>
      <c r="AV201" s="82" t="str">
        <f aca="false">IF(AU201=1,SUM(AU$7:AU201),"")</f>
        <v/>
      </c>
      <c r="AW201" s="82" t="str">
        <f aca="false">IF(E201="","",B201&amp;"|"&amp;E201)</f>
        <v>MFD-ISW → MFD-CPF|JN°195</v>
      </c>
    </row>
    <row r="202" customFormat="false" ht="74.6" hidden="false" customHeight="false" outlineLevel="0" collapsed="false">
      <c r="A202" s="79" t="n">
        <f aca="false">IF(E202="","",ROW()-6)</f>
        <v>196</v>
      </c>
      <c r="B202" s="80" t="s">
        <v>110</v>
      </c>
      <c r="C202" s="81"/>
      <c r="D202" s="81"/>
      <c r="E202" s="81" t="s">
        <v>306</v>
      </c>
      <c r="F202" s="82" t="str">
        <f aca="false">IF(E202="","",IF(LEFT(E202,2)="DJ","DJ","JN"))</f>
        <v>JN</v>
      </c>
      <c r="G202" s="81"/>
      <c r="H202" s="81"/>
      <c r="I202" s="81"/>
      <c r="J202" s="81"/>
      <c r="K202" s="81"/>
      <c r="L202" s="81"/>
      <c r="M202" s="81"/>
      <c r="N202" s="81"/>
      <c r="O202" s="81"/>
      <c r="P202" s="81"/>
      <c r="Q202" s="81"/>
      <c r="R202" s="81"/>
      <c r="S202" s="81"/>
      <c r="T202" s="81"/>
      <c r="U202" s="83"/>
      <c r="V202" s="83"/>
      <c r="W202" s="81"/>
      <c r="X202" s="81"/>
      <c r="Y202" s="83"/>
      <c r="Z202" s="81"/>
      <c r="AA202" s="81"/>
      <c r="AB202" s="81"/>
      <c r="AC202" s="81"/>
      <c r="AD202" s="81"/>
      <c r="AE202" s="83"/>
      <c r="AF202" s="81"/>
      <c r="AG202" s="81"/>
      <c r="AH202" s="81"/>
      <c r="AI202" s="81"/>
      <c r="AJ202" s="83"/>
      <c r="AK202" s="81"/>
      <c r="AL202" s="81"/>
      <c r="AM202" s="83"/>
      <c r="AN202" s="80"/>
      <c r="AO202" s="82" t="n">
        <f aca="false">IF(E202="","",(AA202&lt;&gt;"")+(AG202&lt;&gt;"")+(AL202&lt;&gt;""))</f>
        <v>0</v>
      </c>
      <c r="AP202" s="82" t="str">
        <f aca="false">IF(AL202&lt;&gt;"",AL202,IF(AG202&lt;&gt;"",AG202,IF(AA202&lt;&gt;"",AA202,"")))</f>
        <v/>
      </c>
      <c r="AQ202" s="84" t="str">
        <f aca="false">IF(E202="","",IF(U202="","À SOUDER",IF(X202="","VT EN ATTENTE",IF(X202="R","VT REJETÉ – À REPRENDRE",IF(AP202="","À RADIOGRAPHIER",IF(AP202="A","ACCEPTÉ",IF(AP202="NX","NX – RT À REFAIRE",IF(IF(AO202=1,AD202,IF(AO202=2,AI202,""))="A","RÉPARÉ – À RADIOGRAPHIER",IF(IF(AO202=1,AD202,IF(AO202=2,AI202,""))="R","VT REJETÉ – À REPRENDRE",IF(OR(AP202="CO",AP202="NT"),"COUPE – À RESOUDER","À RÉPARER"))))))))))</f>
        <v>À SOUDER</v>
      </c>
      <c r="AR202" s="82" t="str">
        <f aca="false">IF(AND(ISNUMBER(U202),OR(AQ202="À RADIOGRAPHIER",AQ202="RÉPARÉ – À RADIOGRAPHIER",AQ202="NX – RT À REFAIRE",AQ202="À RÉPARER",AQ202="COUPE – À RESOUDER",AQ202="VT REJETÉ – À REPRENDRE")),MAX(0,'PROGRAMME RT'!$C$4-U202),"")</f>
        <v/>
      </c>
      <c r="AS202" s="82" t="n">
        <f aca="false">IF(AND(OR(AQ202="À RADIOGRAPHIER",AQ202="RÉPARÉ – À RADIOGRAPHIER",AQ202="NX – RT À REFAIRE"),OR('PROGRAMME RT'!$D$5="TOUTES",B202='PROGRAMME RT'!$D$5)),1,0)</f>
        <v>0</v>
      </c>
      <c r="AT202" s="82" t="str">
        <f aca="false">IF(AS202=1,SUM(AS$7:AS202),"")</f>
        <v/>
      </c>
      <c r="AU202" s="82" t="n">
        <f aca="false">IF(AND(OR(AA202="R",AA202="NX",AA202="NT",AA202="CO"),OR('JOINTS DE RÉPARATION'!$D$5="TOUTES",B202='JOINTS DE RÉPARATION'!$D$5),OR('JOINTS DE RÉPARATION'!$L$4="TOUS",AQ202&lt;&gt;"ACCEPTÉ")),1,0)</f>
        <v>0</v>
      </c>
      <c r="AV202" s="82" t="str">
        <f aca="false">IF(AU202=1,SUM(AU$7:AU202),"")</f>
        <v/>
      </c>
      <c r="AW202" s="82" t="str">
        <f aca="false">IF(E202="","",B202&amp;"|"&amp;E202)</f>
        <v>MFD-ISW → MFD-CPF|JN°196</v>
      </c>
    </row>
    <row r="203" customFormat="false" ht="74.6" hidden="false" customHeight="false" outlineLevel="0" collapsed="false">
      <c r="A203" s="79" t="n">
        <f aca="false">IF(E203="","",ROW()-6)</f>
        <v>197</v>
      </c>
      <c r="B203" s="80" t="s">
        <v>110</v>
      </c>
      <c r="C203" s="81"/>
      <c r="D203" s="81"/>
      <c r="E203" s="81" t="s">
        <v>307</v>
      </c>
      <c r="F203" s="82" t="str">
        <f aca="false">IF(E203="","",IF(LEFT(E203,2)="DJ","DJ","JN"))</f>
        <v>JN</v>
      </c>
      <c r="G203" s="81"/>
      <c r="H203" s="81"/>
      <c r="I203" s="81"/>
      <c r="J203" s="81"/>
      <c r="K203" s="81"/>
      <c r="L203" s="81"/>
      <c r="M203" s="81"/>
      <c r="N203" s="81"/>
      <c r="O203" s="81"/>
      <c r="P203" s="81"/>
      <c r="Q203" s="81"/>
      <c r="R203" s="81"/>
      <c r="S203" s="81"/>
      <c r="T203" s="81"/>
      <c r="U203" s="83"/>
      <c r="V203" s="83"/>
      <c r="W203" s="81"/>
      <c r="X203" s="81"/>
      <c r="Y203" s="83"/>
      <c r="Z203" s="81"/>
      <c r="AA203" s="81"/>
      <c r="AB203" s="81"/>
      <c r="AC203" s="81"/>
      <c r="AD203" s="81"/>
      <c r="AE203" s="83"/>
      <c r="AF203" s="81"/>
      <c r="AG203" s="81"/>
      <c r="AH203" s="81"/>
      <c r="AI203" s="81"/>
      <c r="AJ203" s="83"/>
      <c r="AK203" s="81"/>
      <c r="AL203" s="81"/>
      <c r="AM203" s="83"/>
      <c r="AN203" s="80"/>
      <c r="AO203" s="82" t="n">
        <f aca="false">IF(E203="","",(AA203&lt;&gt;"")+(AG203&lt;&gt;"")+(AL203&lt;&gt;""))</f>
        <v>0</v>
      </c>
      <c r="AP203" s="82" t="str">
        <f aca="false">IF(AL203&lt;&gt;"",AL203,IF(AG203&lt;&gt;"",AG203,IF(AA203&lt;&gt;"",AA203,"")))</f>
        <v/>
      </c>
      <c r="AQ203" s="84" t="str">
        <f aca="false">IF(E203="","",IF(U203="","À SOUDER",IF(X203="","VT EN ATTENTE",IF(X203="R","VT REJETÉ – À REPRENDRE",IF(AP203="","À RADIOGRAPHIER",IF(AP203="A","ACCEPTÉ",IF(AP203="NX","NX – RT À REFAIRE",IF(IF(AO203=1,AD203,IF(AO203=2,AI203,""))="A","RÉPARÉ – À RADIOGRAPHIER",IF(IF(AO203=1,AD203,IF(AO203=2,AI203,""))="R","VT REJETÉ – À REPRENDRE",IF(OR(AP203="CO",AP203="NT"),"COUPE – À RESOUDER","À RÉPARER"))))))))))</f>
        <v>À SOUDER</v>
      </c>
      <c r="AR203" s="82" t="str">
        <f aca="false">IF(AND(ISNUMBER(U203),OR(AQ203="À RADIOGRAPHIER",AQ203="RÉPARÉ – À RADIOGRAPHIER",AQ203="NX – RT À REFAIRE",AQ203="À RÉPARER",AQ203="COUPE – À RESOUDER",AQ203="VT REJETÉ – À REPRENDRE")),MAX(0,'PROGRAMME RT'!$C$4-U203),"")</f>
        <v/>
      </c>
      <c r="AS203" s="82" t="n">
        <f aca="false">IF(AND(OR(AQ203="À RADIOGRAPHIER",AQ203="RÉPARÉ – À RADIOGRAPHIER",AQ203="NX – RT À REFAIRE"),OR('PROGRAMME RT'!$D$5="TOUTES",B203='PROGRAMME RT'!$D$5)),1,0)</f>
        <v>0</v>
      </c>
      <c r="AT203" s="82" t="str">
        <f aca="false">IF(AS203=1,SUM(AS$7:AS203),"")</f>
        <v/>
      </c>
      <c r="AU203" s="82" t="n">
        <f aca="false">IF(AND(OR(AA203="R",AA203="NX",AA203="NT",AA203="CO"),OR('JOINTS DE RÉPARATION'!$D$5="TOUTES",B203='JOINTS DE RÉPARATION'!$D$5),OR('JOINTS DE RÉPARATION'!$L$4="TOUS",AQ203&lt;&gt;"ACCEPTÉ")),1,0)</f>
        <v>0</v>
      </c>
      <c r="AV203" s="82" t="str">
        <f aca="false">IF(AU203=1,SUM(AU$7:AU203),"")</f>
        <v/>
      </c>
      <c r="AW203" s="82" t="str">
        <f aca="false">IF(E203="","",B203&amp;"|"&amp;E203)</f>
        <v>MFD-ISW → MFD-CPF|JN°197</v>
      </c>
    </row>
    <row r="204" customFormat="false" ht="74.6" hidden="false" customHeight="false" outlineLevel="0" collapsed="false">
      <c r="A204" s="79" t="n">
        <f aca="false">IF(E204="","",ROW()-6)</f>
        <v>198</v>
      </c>
      <c r="B204" s="80" t="s">
        <v>110</v>
      </c>
      <c r="C204" s="81"/>
      <c r="D204" s="81"/>
      <c r="E204" s="81" t="s">
        <v>308</v>
      </c>
      <c r="F204" s="82" t="str">
        <f aca="false">IF(E204="","",IF(LEFT(E204,2)="DJ","DJ","JN"))</f>
        <v>JN</v>
      </c>
      <c r="G204" s="81"/>
      <c r="H204" s="81"/>
      <c r="I204" s="81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U204" s="83"/>
      <c r="V204" s="83"/>
      <c r="W204" s="81"/>
      <c r="X204" s="81"/>
      <c r="Y204" s="83"/>
      <c r="Z204" s="81"/>
      <c r="AA204" s="81"/>
      <c r="AB204" s="81"/>
      <c r="AC204" s="81"/>
      <c r="AD204" s="81"/>
      <c r="AE204" s="83"/>
      <c r="AF204" s="81"/>
      <c r="AG204" s="81"/>
      <c r="AH204" s="81"/>
      <c r="AI204" s="81"/>
      <c r="AJ204" s="83"/>
      <c r="AK204" s="81"/>
      <c r="AL204" s="81"/>
      <c r="AM204" s="83"/>
      <c r="AN204" s="80"/>
      <c r="AO204" s="82" t="n">
        <f aca="false">IF(E204="","",(AA204&lt;&gt;"")+(AG204&lt;&gt;"")+(AL204&lt;&gt;""))</f>
        <v>0</v>
      </c>
      <c r="AP204" s="82" t="str">
        <f aca="false">IF(AL204&lt;&gt;"",AL204,IF(AG204&lt;&gt;"",AG204,IF(AA204&lt;&gt;"",AA204,"")))</f>
        <v/>
      </c>
      <c r="AQ204" s="84" t="str">
        <f aca="false">IF(E204="","",IF(U204="","À SOUDER",IF(X204="","VT EN ATTENTE",IF(X204="R","VT REJETÉ – À REPRENDRE",IF(AP204="","À RADIOGRAPHIER",IF(AP204="A","ACCEPTÉ",IF(AP204="NX","NX – RT À REFAIRE",IF(IF(AO204=1,AD204,IF(AO204=2,AI204,""))="A","RÉPARÉ – À RADIOGRAPHIER",IF(IF(AO204=1,AD204,IF(AO204=2,AI204,""))="R","VT REJETÉ – À REPRENDRE",IF(OR(AP204="CO",AP204="NT"),"COUPE – À RESOUDER","À RÉPARER"))))))))))</f>
        <v>À SOUDER</v>
      </c>
      <c r="AR204" s="82" t="str">
        <f aca="false">IF(AND(ISNUMBER(U204),OR(AQ204="À RADIOGRAPHIER",AQ204="RÉPARÉ – À RADIOGRAPHIER",AQ204="NX – RT À REFAIRE",AQ204="À RÉPARER",AQ204="COUPE – À RESOUDER",AQ204="VT REJETÉ – À REPRENDRE")),MAX(0,'PROGRAMME RT'!$C$4-U204),"")</f>
        <v/>
      </c>
      <c r="AS204" s="82" t="n">
        <f aca="false">IF(AND(OR(AQ204="À RADIOGRAPHIER",AQ204="RÉPARÉ – À RADIOGRAPHIER",AQ204="NX – RT À REFAIRE"),OR('PROGRAMME RT'!$D$5="TOUTES",B204='PROGRAMME RT'!$D$5)),1,0)</f>
        <v>0</v>
      </c>
      <c r="AT204" s="82" t="str">
        <f aca="false">IF(AS204=1,SUM(AS$7:AS204),"")</f>
        <v/>
      </c>
      <c r="AU204" s="82" t="n">
        <f aca="false">IF(AND(OR(AA204="R",AA204="NX",AA204="NT",AA204="CO"),OR('JOINTS DE RÉPARATION'!$D$5="TOUTES",B204='JOINTS DE RÉPARATION'!$D$5),OR('JOINTS DE RÉPARATION'!$L$4="TOUS",AQ204&lt;&gt;"ACCEPTÉ")),1,0)</f>
        <v>0</v>
      </c>
      <c r="AV204" s="82" t="str">
        <f aca="false">IF(AU204=1,SUM(AU$7:AU204),"")</f>
        <v/>
      </c>
      <c r="AW204" s="82" t="str">
        <f aca="false">IF(E204="","",B204&amp;"|"&amp;E204)</f>
        <v>MFD-ISW → MFD-CPF|JN°198</v>
      </c>
    </row>
    <row r="205" customFormat="false" ht="74.6" hidden="false" customHeight="false" outlineLevel="0" collapsed="false">
      <c r="A205" s="79" t="n">
        <f aca="false">IF(E205="","",ROW()-6)</f>
        <v>199</v>
      </c>
      <c r="B205" s="80" t="s">
        <v>110</v>
      </c>
      <c r="C205" s="81"/>
      <c r="D205" s="81"/>
      <c r="E205" s="81" t="s">
        <v>309</v>
      </c>
      <c r="F205" s="82" t="str">
        <f aca="false">IF(E205="","",IF(LEFT(E205,2)="DJ","DJ","JN"))</f>
        <v>JN</v>
      </c>
      <c r="G205" s="81"/>
      <c r="H205" s="81"/>
      <c r="I205" s="81"/>
      <c r="J205" s="81"/>
      <c r="K205" s="81"/>
      <c r="L205" s="81"/>
      <c r="M205" s="81"/>
      <c r="N205" s="81"/>
      <c r="O205" s="81"/>
      <c r="P205" s="81"/>
      <c r="Q205" s="81"/>
      <c r="R205" s="81"/>
      <c r="S205" s="81"/>
      <c r="T205" s="81"/>
      <c r="U205" s="83"/>
      <c r="V205" s="83"/>
      <c r="W205" s="81"/>
      <c r="X205" s="81"/>
      <c r="Y205" s="83"/>
      <c r="Z205" s="81"/>
      <c r="AA205" s="81"/>
      <c r="AB205" s="81"/>
      <c r="AC205" s="81"/>
      <c r="AD205" s="81"/>
      <c r="AE205" s="83"/>
      <c r="AF205" s="81"/>
      <c r="AG205" s="81"/>
      <c r="AH205" s="81"/>
      <c r="AI205" s="81"/>
      <c r="AJ205" s="83"/>
      <c r="AK205" s="81"/>
      <c r="AL205" s="81"/>
      <c r="AM205" s="83"/>
      <c r="AN205" s="80"/>
      <c r="AO205" s="82" t="n">
        <f aca="false">IF(E205="","",(AA205&lt;&gt;"")+(AG205&lt;&gt;"")+(AL205&lt;&gt;""))</f>
        <v>0</v>
      </c>
      <c r="AP205" s="82" t="str">
        <f aca="false">IF(AL205&lt;&gt;"",AL205,IF(AG205&lt;&gt;"",AG205,IF(AA205&lt;&gt;"",AA205,"")))</f>
        <v/>
      </c>
      <c r="AQ205" s="84" t="str">
        <f aca="false">IF(E205="","",IF(U205="","À SOUDER",IF(X205="","VT EN ATTENTE",IF(X205="R","VT REJETÉ – À REPRENDRE",IF(AP205="","À RADIOGRAPHIER",IF(AP205="A","ACCEPTÉ",IF(AP205="NX","NX – RT À REFAIRE",IF(IF(AO205=1,AD205,IF(AO205=2,AI205,""))="A","RÉPARÉ – À RADIOGRAPHIER",IF(IF(AO205=1,AD205,IF(AO205=2,AI205,""))="R","VT REJETÉ – À REPRENDRE",IF(OR(AP205="CO",AP205="NT"),"COUPE – À RESOUDER","À RÉPARER"))))))))))</f>
        <v>À SOUDER</v>
      </c>
      <c r="AR205" s="82" t="str">
        <f aca="false">IF(AND(ISNUMBER(U205),OR(AQ205="À RADIOGRAPHIER",AQ205="RÉPARÉ – À RADIOGRAPHIER",AQ205="NX – RT À REFAIRE",AQ205="À RÉPARER",AQ205="COUPE – À RESOUDER",AQ205="VT REJETÉ – À REPRENDRE")),MAX(0,'PROGRAMME RT'!$C$4-U205),"")</f>
        <v/>
      </c>
      <c r="AS205" s="82" t="n">
        <f aca="false">IF(AND(OR(AQ205="À RADIOGRAPHIER",AQ205="RÉPARÉ – À RADIOGRAPHIER",AQ205="NX – RT À REFAIRE"),OR('PROGRAMME RT'!$D$5="TOUTES",B205='PROGRAMME RT'!$D$5)),1,0)</f>
        <v>0</v>
      </c>
      <c r="AT205" s="82" t="str">
        <f aca="false">IF(AS205=1,SUM(AS$7:AS205),"")</f>
        <v/>
      </c>
      <c r="AU205" s="82" t="n">
        <f aca="false">IF(AND(OR(AA205="R",AA205="NX",AA205="NT",AA205="CO"),OR('JOINTS DE RÉPARATION'!$D$5="TOUTES",B205='JOINTS DE RÉPARATION'!$D$5),OR('JOINTS DE RÉPARATION'!$L$4="TOUS",AQ205&lt;&gt;"ACCEPTÉ")),1,0)</f>
        <v>0</v>
      </c>
      <c r="AV205" s="82" t="str">
        <f aca="false">IF(AU205=1,SUM(AU$7:AU205),"")</f>
        <v/>
      </c>
      <c r="AW205" s="82" t="str">
        <f aca="false">IF(E205="","",B205&amp;"|"&amp;E205)</f>
        <v>MFD-ISW → MFD-CPF|JN°199</v>
      </c>
    </row>
    <row r="206" customFormat="false" ht="74.6" hidden="false" customHeight="false" outlineLevel="0" collapsed="false">
      <c r="A206" s="79" t="n">
        <f aca="false">IF(E206="","",ROW()-6)</f>
        <v>200</v>
      </c>
      <c r="B206" s="80" t="s">
        <v>110</v>
      </c>
      <c r="C206" s="81"/>
      <c r="D206" s="81"/>
      <c r="E206" s="81" t="s">
        <v>310</v>
      </c>
      <c r="F206" s="82" t="str">
        <f aca="false">IF(E206="","",IF(LEFT(E206,2)="DJ","DJ","JN"))</f>
        <v>JN</v>
      </c>
      <c r="G206" s="81"/>
      <c r="H206" s="81"/>
      <c r="I206" s="81"/>
      <c r="J206" s="81"/>
      <c r="K206" s="81"/>
      <c r="L206" s="81"/>
      <c r="M206" s="81"/>
      <c r="N206" s="81"/>
      <c r="O206" s="81"/>
      <c r="P206" s="81"/>
      <c r="Q206" s="81"/>
      <c r="R206" s="81"/>
      <c r="S206" s="81"/>
      <c r="T206" s="81"/>
      <c r="U206" s="83"/>
      <c r="V206" s="83"/>
      <c r="W206" s="81"/>
      <c r="X206" s="81"/>
      <c r="Y206" s="83"/>
      <c r="Z206" s="81"/>
      <c r="AA206" s="81"/>
      <c r="AB206" s="81"/>
      <c r="AC206" s="81"/>
      <c r="AD206" s="81"/>
      <c r="AE206" s="83"/>
      <c r="AF206" s="81"/>
      <c r="AG206" s="81"/>
      <c r="AH206" s="81"/>
      <c r="AI206" s="81"/>
      <c r="AJ206" s="83"/>
      <c r="AK206" s="81"/>
      <c r="AL206" s="81"/>
      <c r="AM206" s="83"/>
      <c r="AN206" s="80"/>
      <c r="AO206" s="82" t="n">
        <f aca="false">IF(E206="","",(AA206&lt;&gt;"")+(AG206&lt;&gt;"")+(AL206&lt;&gt;""))</f>
        <v>0</v>
      </c>
      <c r="AP206" s="82" t="str">
        <f aca="false">IF(AL206&lt;&gt;"",AL206,IF(AG206&lt;&gt;"",AG206,IF(AA206&lt;&gt;"",AA206,"")))</f>
        <v/>
      </c>
      <c r="AQ206" s="84" t="str">
        <f aca="false">IF(E206="","",IF(U206="","À SOUDER",IF(X206="","VT EN ATTENTE",IF(X206="R","VT REJETÉ – À REPRENDRE",IF(AP206="","À RADIOGRAPHIER",IF(AP206="A","ACCEPTÉ",IF(AP206="NX","NX – RT À REFAIRE",IF(IF(AO206=1,AD206,IF(AO206=2,AI206,""))="A","RÉPARÉ – À RADIOGRAPHIER",IF(IF(AO206=1,AD206,IF(AO206=2,AI206,""))="R","VT REJETÉ – À REPRENDRE",IF(OR(AP206="CO",AP206="NT"),"COUPE – À RESOUDER","À RÉPARER"))))))))))</f>
        <v>À SOUDER</v>
      </c>
      <c r="AR206" s="82" t="str">
        <f aca="false">IF(AND(ISNUMBER(U206),OR(AQ206="À RADIOGRAPHIER",AQ206="RÉPARÉ – À RADIOGRAPHIER",AQ206="NX – RT À REFAIRE",AQ206="À RÉPARER",AQ206="COUPE – À RESOUDER",AQ206="VT REJETÉ – À REPRENDRE")),MAX(0,'PROGRAMME RT'!$C$4-U206),"")</f>
        <v/>
      </c>
      <c r="AS206" s="82" t="n">
        <f aca="false">IF(AND(OR(AQ206="À RADIOGRAPHIER",AQ206="RÉPARÉ – À RADIOGRAPHIER",AQ206="NX – RT À REFAIRE"),OR('PROGRAMME RT'!$D$5="TOUTES",B206='PROGRAMME RT'!$D$5)),1,0)</f>
        <v>0</v>
      </c>
      <c r="AT206" s="82" t="str">
        <f aca="false">IF(AS206=1,SUM(AS$7:AS206),"")</f>
        <v/>
      </c>
      <c r="AU206" s="82" t="n">
        <f aca="false">IF(AND(OR(AA206="R",AA206="NX",AA206="NT",AA206="CO"),OR('JOINTS DE RÉPARATION'!$D$5="TOUTES",B206='JOINTS DE RÉPARATION'!$D$5),OR('JOINTS DE RÉPARATION'!$L$4="TOUS",AQ206&lt;&gt;"ACCEPTÉ")),1,0)</f>
        <v>0</v>
      </c>
      <c r="AV206" s="82" t="str">
        <f aca="false">IF(AU206=1,SUM(AU$7:AU206),"")</f>
        <v/>
      </c>
      <c r="AW206" s="82" t="str">
        <f aca="false">IF(E206="","",B206&amp;"|"&amp;E206)</f>
        <v>MFD-ISW → MFD-CPF|JN°200</v>
      </c>
    </row>
    <row r="207" customFormat="false" ht="74.6" hidden="false" customHeight="false" outlineLevel="0" collapsed="false">
      <c r="A207" s="79" t="n">
        <f aca="false">IF(E207="","",ROW()-6)</f>
        <v>201</v>
      </c>
      <c r="B207" s="80" t="s">
        <v>110</v>
      </c>
      <c r="C207" s="81"/>
      <c r="D207" s="81"/>
      <c r="E207" s="81" t="s">
        <v>311</v>
      </c>
      <c r="F207" s="82" t="str">
        <f aca="false">IF(E207="","",IF(LEFT(E207,2)="DJ","DJ","JN"))</f>
        <v>JN</v>
      </c>
      <c r="G207" s="81"/>
      <c r="H207" s="81"/>
      <c r="I207" s="81"/>
      <c r="J207" s="81"/>
      <c r="K207" s="81"/>
      <c r="L207" s="81"/>
      <c r="M207" s="81"/>
      <c r="N207" s="81"/>
      <c r="O207" s="81"/>
      <c r="P207" s="81"/>
      <c r="Q207" s="81"/>
      <c r="R207" s="81"/>
      <c r="S207" s="81"/>
      <c r="T207" s="81"/>
      <c r="U207" s="83"/>
      <c r="V207" s="83"/>
      <c r="W207" s="81"/>
      <c r="X207" s="81"/>
      <c r="Y207" s="83"/>
      <c r="Z207" s="81"/>
      <c r="AA207" s="81"/>
      <c r="AB207" s="81"/>
      <c r="AC207" s="81"/>
      <c r="AD207" s="81"/>
      <c r="AE207" s="83"/>
      <c r="AF207" s="81"/>
      <c r="AG207" s="81"/>
      <c r="AH207" s="81"/>
      <c r="AI207" s="81"/>
      <c r="AJ207" s="83"/>
      <c r="AK207" s="81"/>
      <c r="AL207" s="81"/>
      <c r="AM207" s="83"/>
      <c r="AN207" s="80"/>
      <c r="AO207" s="82" t="n">
        <f aca="false">IF(E207="","",(AA207&lt;&gt;"")+(AG207&lt;&gt;"")+(AL207&lt;&gt;""))</f>
        <v>0</v>
      </c>
      <c r="AP207" s="82" t="str">
        <f aca="false">IF(AL207&lt;&gt;"",AL207,IF(AG207&lt;&gt;"",AG207,IF(AA207&lt;&gt;"",AA207,"")))</f>
        <v/>
      </c>
      <c r="AQ207" s="84" t="str">
        <f aca="false">IF(E207="","",IF(U207="","À SOUDER",IF(X207="","VT EN ATTENTE",IF(X207="R","VT REJETÉ – À REPRENDRE",IF(AP207="","À RADIOGRAPHIER",IF(AP207="A","ACCEPTÉ",IF(AP207="NX","NX – RT À REFAIRE",IF(IF(AO207=1,AD207,IF(AO207=2,AI207,""))="A","RÉPARÉ – À RADIOGRAPHIER",IF(IF(AO207=1,AD207,IF(AO207=2,AI207,""))="R","VT REJETÉ – À REPRENDRE",IF(OR(AP207="CO",AP207="NT"),"COUPE – À RESOUDER","À RÉPARER"))))))))))</f>
        <v>À SOUDER</v>
      </c>
      <c r="AR207" s="82" t="str">
        <f aca="false">IF(AND(ISNUMBER(U207),OR(AQ207="À RADIOGRAPHIER",AQ207="RÉPARÉ – À RADIOGRAPHIER",AQ207="NX – RT À REFAIRE",AQ207="À RÉPARER",AQ207="COUPE – À RESOUDER",AQ207="VT REJETÉ – À REPRENDRE")),MAX(0,'PROGRAMME RT'!$C$4-U207),"")</f>
        <v/>
      </c>
      <c r="AS207" s="82" t="n">
        <f aca="false">IF(AND(OR(AQ207="À RADIOGRAPHIER",AQ207="RÉPARÉ – À RADIOGRAPHIER",AQ207="NX – RT À REFAIRE"),OR('PROGRAMME RT'!$D$5="TOUTES",B207='PROGRAMME RT'!$D$5)),1,0)</f>
        <v>0</v>
      </c>
      <c r="AT207" s="82" t="str">
        <f aca="false">IF(AS207=1,SUM(AS$7:AS207),"")</f>
        <v/>
      </c>
      <c r="AU207" s="82" t="n">
        <f aca="false">IF(AND(OR(AA207="R",AA207="NX",AA207="NT",AA207="CO"),OR('JOINTS DE RÉPARATION'!$D$5="TOUTES",B207='JOINTS DE RÉPARATION'!$D$5),OR('JOINTS DE RÉPARATION'!$L$4="TOUS",AQ207&lt;&gt;"ACCEPTÉ")),1,0)</f>
        <v>0</v>
      </c>
      <c r="AV207" s="82" t="str">
        <f aca="false">IF(AU207=1,SUM(AU$7:AU207),"")</f>
        <v/>
      </c>
      <c r="AW207" s="82" t="str">
        <f aca="false">IF(E207="","",B207&amp;"|"&amp;E207)</f>
        <v>MFD-ISW → MFD-CPF|JN°201</v>
      </c>
    </row>
    <row r="208" customFormat="false" ht="74.6" hidden="false" customHeight="false" outlineLevel="0" collapsed="false">
      <c r="A208" s="79" t="n">
        <f aca="false">IF(E208="","",ROW()-6)</f>
        <v>202</v>
      </c>
      <c r="B208" s="80" t="s">
        <v>110</v>
      </c>
      <c r="C208" s="81"/>
      <c r="D208" s="81"/>
      <c r="E208" s="81" t="s">
        <v>312</v>
      </c>
      <c r="F208" s="82" t="str">
        <f aca="false">IF(E208="","",IF(LEFT(E208,2)="DJ","DJ","JN"))</f>
        <v>JN</v>
      </c>
      <c r="G208" s="81"/>
      <c r="H208" s="81"/>
      <c r="I208" s="81"/>
      <c r="J208" s="81"/>
      <c r="K208" s="81"/>
      <c r="L208" s="81"/>
      <c r="M208" s="81"/>
      <c r="N208" s="81"/>
      <c r="O208" s="81"/>
      <c r="P208" s="81"/>
      <c r="Q208" s="81"/>
      <c r="R208" s="81"/>
      <c r="S208" s="81"/>
      <c r="T208" s="81"/>
      <c r="U208" s="83"/>
      <c r="V208" s="83"/>
      <c r="W208" s="81"/>
      <c r="X208" s="81"/>
      <c r="Y208" s="83"/>
      <c r="Z208" s="81"/>
      <c r="AA208" s="81"/>
      <c r="AB208" s="81"/>
      <c r="AC208" s="81"/>
      <c r="AD208" s="81"/>
      <c r="AE208" s="83"/>
      <c r="AF208" s="81"/>
      <c r="AG208" s="81"/>
      <c r="AH208" s="81"/>
      <c r="AI208" s="81"/>
      <c r="AJ208" s="83"/>
      <c r="AK208" s="81"/>
      <c r="AL208" s="81"/>
      <c r="AM208" s="83"/>
      <c r="AN208" s="80"/>
      <c r="AO208" s="82" t="n">
        <f aca="false">IF(E208="","",(AA208&lt;&gt;"")+(AG208&lt;&gt;"")+(AL208&lt;&gt;""))</f>
        <v>0</v>
      </c>
      <c r="AP208" s="82" t="str">
        <f aca="false">IF(AL208&lt;&gt;"",AL208,IF(AG208&lt;&gt;"",AG208,IF(AA208&lt;&gt;"",AA208,"")))</f>
        <v/>
      </c>
      <c r="AQ208" s="84" t="str">
        <f aca="false">IF(E208="","",IF(U208="","À SOUDER",IF(X208="","VT EN ATTENTE",IF(X208="R","VT REJETÉ – À REPRENDRE",IF(AP208="","À RADIOGRAPHIER",IF(AP208="A","ACCEPTÉ",IF(AP208="NX","NX – RT À REFAIRE",IF(IF(AO208=1,AD208,IF(AO208=2,AI208,""))="A","RÉPARÉ – À RADIOGRAPHIER",IF(IF(AO208=1,AD208,IF(AO208=2,AI208,""))="R","VT REJETÉ – À REPRENDRE",IF(OR(AP208="CO",AP208="NT"),"COUPE – À RESOUDER","À RÉPARER"))))))))))</f>
        <v>À SOUDER</v>
      </c>
      <c r="AR208" s="82" t="str">
        <f aca="false">IF(AND(ISNUMBER(U208),OR(AQ208="À RADIOGRAPHIER",AQ208="RÉPARÉ – À RADIOGRAPHIER",AQ208="NX – RT À REFAIRE",AQ208="À RÉPARER",AQ208="COUPE – À RESOUDER",AQ208="VT REJETÉ – À REPRENDRE")),MAX(0,'PROGRAMME RT'!$C$4-U208),"")</f>
        <v/>
      </c>
      <c r="AS208" s="82" t="n">
        <f aca="false">IF(AND(OR(AQ208="À RADIOGRAPHIER",AQ208="RÉPARÉ – À RADIOGRAPHIER",AQ208="NX – RT À REFAIRE"),OR('PROGRAMME RT'!$D$5="TOUTES",B208='PROGRAMME RT'!$D$5)),1,0)</f>
        <v>0</v>
      </c>
      <c r="AT208" s="82" t="str">
        <f aca="false">IF(AS208=1,SUM(AS$7:AS208),"")</f>
        <v/>
      </c>
      <c r="AU208" s="82" t="n">
        <f aca="false">IF(AND(OR(AA208="R",AA208="NX",AA208="NT",AA208="CO"),OR('JOINTS DE RÉPARATION'!$D$5="TOUTES",B208='JOINTS DE RÉPARATION'!$D$5),OR('JOINTS DE RÉPARATION'!$L$4="TOUS",AQ208&lt;&gt;"ACCEPTÉ")),1,0)</f>
        <v>0</v>
      </c>
      <c r="AV208" s="82" t="str">
        <f aca="false">IF(AU208=1,SUM(AU$7:AU208),"")</f>
        <v/>
      </c>
      <c r="AW208" s="82" t="str">
        <f aca="false">IF(E208="","",B208&amp;"|"&amp;E208)</f>
        <v>MFD-ISW → MFD-CPF|JN°202</v>
      </c>
    </row>
    <row r="209" customFormat="false" ht="74.6" hidden="false" customHeight="false" outlineLevel="0" collapsed="false">
      <c r="A209" s="79" t="n">
        <f aca="false">IF(E209="","",ROW()-6)</f>
        <v>203</v>
      </c>
      <c r="B209" s="80" t="s">
        <v>110</v>
      </c>
      <c r="C209" s="81"/>
      <c r="D209" s="81"/>
      <c r="E209" s="81" t="s">
        <v>313</v>
      </c>
      <c r="F209" s="82" t="str">
        <f aca="false">IF(E209="","",IF(LEFT(E209,2)="DJ","DJ","JN"))</f>
        <v>JN</v>
      </c>
      <c r="G209" s="81"/>
      <c r="H209" s="81"/>
      <c r="I209" s="81"/>
      <c r="J209" s="81"/>
      <c r="K209" s="81"/>
      <c r="L209" s="81"/>
      <c r="M209" s="81"/>
      <c r="N209" s="81"/>
      <c r="O209" s="81"/>
      <c r="P209" s="81"/>
      <c r="Q209" s="81"/>
      <c r="R209" s="81"/>
      <c r="S209" s="81"/>
      <c r="T209" s="81"/>
      <c r="U209" s="83"/>
      <c r="V209" s="83"/>
      <c r="W209" s="81"/>
      <c r="X209" s="81"/>
      <c r="Y209" s="83"/>
      <c r="Z209" s="81"/>
      <c r="AA209" s="81"/>
      <c r="AB209" s="81"/>
      <c r="AC209" s="81"/>
      <c r="AD209" s="81"/>
      <c r="AE209" s="83"/>
      <c r="AF209" s="81"/>
      <c r="AG209" s="81"/>
      <c r="AH209" s="81"/>
      <c r="AI209" s="81"/>
      <c r="AJ209" s="83"/>
      <c r="AK209" s="81"/>
      <c r="AL209" s="81"/>
      <c r="AM209" s="83"/>
      <c r="AN209" s="80"/>
      <c r="AO209" s="82" t="n">
        <f aca="false">IF(E209="","",(AA209&lt;&gt;"")+(AG209&lt;&gt;"")+(AL209&lt;&gt;""))</f>
        <v>0</v>
      </c>
      <c r="AP209" s="82" t="str">
        <f aca="false">IF(AL209&lt;&gt;"",AL209,IF(AG209&lt;&gt;"",AG209,IF(AA209&lt;&gt;"",AA209,"")))</f>
        <v/>
      </c>
      <c r="AQ209" s="84" t="str">
        <f aca="false">IF(E209="","",IF(U209="","À SOUDER",IF(X209="","VT EN ATTENTE",IF(X209="R","VT REJETÉ – À REPRENDRE",IF(AP209="","À RADIOGRAPHIER",IF(AP209="A","ACCEPTÉ",IF(AP209="NX","NX – RT À REFAIRE",IF(IF(AO209=1,AD209,IF(AO209=2,AI209,""))="A","RÉPARÉ – À RADIOGRAPHIER",IF(IF(AO209=1,AD209,IF(AO209=2,AI209,""))="R","VT REJETÉ – À REPRENDRE",IF(OR(AP209="CO",AP209="NT"),"COUPE – À RESOUDER","À RÉPARER"))))))))))</f>
        <v>À SOUDER</v>
      </c>
      <c r="AR209" s="82" t="str">
        <f aca="false">IF(AND(ISNUMBER(U209),OR(AQ209="À RADIOGRAPHIER",AQ209="RÉPARÉ – À RADIOGRAPHIER",AQ209="NX – RT À REFAIRE",AQ209="À RÉPARER",AQ209="COUPE – À RESOUDER",AQ209="VT REJETÉ – À REPRENDRE")),MAX(0,'PROGRAMME RT'!$C$4-U209),"")</f>
        <v/>
      </c>
      <c r="AS209" s="82" t="n">
        <f aca="false">IF(AND(OR(AQ209="À RADIOGRAPHIER",AQ209="RÉPARÉ – À RADIOGRAPHIER",AQ209="NX – RT À REFAIRE"),OR('PROGRAMME RT'!$D$5="TOUTES",B209='PROGRAMME RT'!$D$5)),1,0)</f>
        <v>0</v>
      </c>
      <c r="AT209" s="82" t="str">
        <f aca="false">IF(AS209=1,SUM(AS$7:AS209),"")</f>
        <v/>
      </c>
      <c r="AU209" s="82" t="n">
        <f aca="false">IF(AND(OR(AA209="R",AA209="NX",AA209="NT",AA209="CO"),OR('JOINTS DE RÉPARATION'!$D$5="TOUTES",B209='JOINTS DE RÉPARATION'!$D$5),OR('JOINTS DE RÉPARATION'!$L$4="TOUS",AQ209&lt;&gt;"ACCEPTÉ")),1,0)</f>
        <v>0</v>
      </c>
      <c r="AV209" s="82" t="str">
        <f aca="false">IF(AU209=1,SUM(AU$7:AU209),"")</f>
        <v/>
      </c>
      <c r="AW209" s="82" t="str">
        <f aca="false">IF(E209="","",B209&amp;"|"&amp;E209)</f>
        <v>MFD-ISW → MFD-CPF|JN°203</v>
      </c>
    </row>
    <row r="210" customFormat="false" ht="74.6" hidden="false" customHeight="false" outlineLevel="0" collapsed="false">
      <c r="A210" s="79" t="n">
        <f aca="false">IF(E210="","",ROW()-6)</f>
        <v>204</v>
      </c>
      <c r="B210" s="80" t="s">
        <v>110</v>
      </c>
      <c r="C210" s="81"/>
      <c r="D210" s="81"/>
      <c r="E210" s="81" t="s">
        <v>314</v>
      </c>
      <c r="F210" s="82" t="str">
        <f aca="false">IF(E210="","",IF(LEFT(E210,2)="DJ","DJ","JN"))</f>
        <v>JN</v>
      </c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  <c r="S210" s="81"/>
      <c r="T210" s="81"/>
      <c r="U210" s="83"/>
      <c r="V210" s="83"/>
      <c r="W210" s="81"/>
      <c r="X210" s="81"/>
      <c r="Y210" s="83"/>
      <c r="Z210" s="81"/>
      <c r="AA210" s="81"/>
      <c r="AB210" s="81"/>
      <c r="AC210" s="81"/>
      <c r="AD210" s="81"/>
      <c r="AE210" s="83"/>
      <c r="AF210" s="81"/>
      <c r="AG210" s="81"/>
      <c r="AH210" s="81"/>
      <c r="AI210" s="81"/>
      <c r="AJ210" s="83"/>
      <c r="AK210" s="81"/>
      <c r="AL210" s="81"/>
      <c r="AM210" s="83"/>
      <c r="AN210" s="80"/>
      <c r="AO210" s="82" t="n">
        <f aca="false">IF(E210="","",(AA210&lt;&gt;"")+(AG210&lt;&gt;"")+(AL210&lt;&gt;""))</f>
        <v>0</v>
      </c>
      <c r="AP210" s="82" t="str">
        <f aca="false">IF(AL210&lt;&gt;"",AL210,IF(AG210&lt;&gt;"",AG210,IF(AA210&lt;&gt;"",AA210,"")))</f>
        <v/>
      </c>
      <c r="AQ210" s="84" t="str">
        <f aca="false">IF(E210="","",IF(U210="","À SOUDER",IF(X210="","VT EN ATTENTE",IF(X210="R","VT REJETÉ – À REPRENDRE",IF(AP210="","À RADIOGRAPHIER",IF(AP210="A","ACCEPTÉ",IF(AP210="NX","NX – RT À REFAIRE",IF(IF(AO210=1,AD210,IF(AO210=2,AI210,""))="A","RÉPARÉ – À RADIOGRAPHIER",IF(IF(AO210=1,AD210,IF(AO210=2,AI210,""))="R","VT REJETÉ – À REPRENDRE",IF(OR(AP210="CO",AP210="NT"),"COUPE – À RESOUDER","À RÉPARER"))))))))))</f>
        <v>À SOUDER</v>
      </c>
      <c r="AR210" s="82" t="str">
        <f aca="false">IF(AND(ISNUMBER(U210),OR(AQ210="À RADIOGRAPHIER",AQ210="RÉPARÉ – À RADIOGRAPHIER",AQ210="NX – RT À REFAIRE",AQ210="À RÉPARER",AQ210="COUPE – À RESOUDER",AQ210="VT REJETÉ – À REPRENDRE")),MAX(0,'PROGRAMME RT'!$C$4-U210),"")</f>
        <v/>
      </c>
      <c r="AS210" s="82" t="n">
        <f aca="false">IF(AND(OR(AQ210="À RADIOGRAPHIER",AQ210="RÉPARÉ – À RADIOGRAPHIER",AQ210="NX – RT À REFAIRE"),OR('PROGRAMME RT'!$D$5="TOUTES",B210='PROGRAMME RT'!$D$5)),1,0)</f>
        <v>0</v>
      </c>
      <c r="AT210" s="82" t="str">
        <f aca="false">IF(AS210=1,SUM(AS$7:AS210),"")</f>
        <v/>
      </c>
      <c r="AU210" s="82" t="n">
        <f aca="false">IF(AND(OR(AA210="R",AA210="NX",AA210="NT",AA210="CO"),OR('JOINTS DE RÉPARATION'!$D$5="TOUTES",B210='JOINTS DE RÉPARATION'!$D$5),OR('JOINTS DE RÉPARATION'!$L$4="TOUS",AQ210&lt;&gt;"ACCEPTÉ")),1,0)</f>
        <v>0</v>
      </c>
      <c r="AV210" s="82" t="str">
        <f aca="false">IF(AU210=1,SUM(AU$7:AU210),"")</f>
        <v/>
      </c>
      <c r="AW210" s="82" t="str">
        <f aca="false">IF(E210="","",B210&amp;"|"&amp;E210)</f>
        <v>MFD-ISW → MFD-CPF|JN°204</v>
      </c>
    </row>
    <row r="211" customFormat="false" ht="74.6" hidden="false" customHeight="false" outlineLevel="0" collapsed="false">
      <c r="A211" s="79" t="n">
        <f aca="false">IF(E211="","",ROW()-6)</f>
        <v>205</v>
      </c>
      <c r="B211" s="80" t="s">
        <v>110</v>
      </c>
      <c r="C211" s="81"/>
      <c r="D211" s="81"/>
      <c r="E211" s="81" t="s">
        <v>315</v>
      </c>
      <c r="F211" s="82" t="str">
        <f aca="false">IF(E211="","",IF(LEFT(E211,2)="DJ","DJ","JN"))</f>
        <v>JN</v>
      </c>
      <c r="G211" s="81"/>
      <c r="H211" s="81"/>
      <c r="I211" s="81"/>
      <c r="J211" s="81"/>
      <c r="K211" s="81"/>
      <c r="L211" s="81"/>
      <c r="M211" s="81"/>
      <c r="N211" s="81"/>
      <c r="O211" s="81"/>
      <c r="P211" s="81"/>
      <c r="Q211" s="81"/>
      <c r="R211" s="81"/>
      <c r="S211" s="81"/>
      <c r="T211" s="81"/>
      <c r="U211" s="83"/>
      <c r="V211" s="83"/>
      <c r="W211" s="81"/>
      <c r="X211" s="81"/>
      <c r="Y211" s="83"/>
      <c r="Z211" s="81"/>
      <c r="AA211" s="81"/>
      <c r="AB211" s="81"/>
      <c r="AC211" s="81"/>
      <c r="AD211" s="81"/>
      <c r="AE211" s="83"/>
      <c r="AF211" s="81"/>
      <c r="AG211" s="81"/>
      <c r="AH211" s="81"/>
      <c r="AI211" s="81"/>
      <c r="AJ211" s="83"/>
      <c r="AK211" s="81"/>
      <c r="AL211" s="81"/>
      <c r="AM211" s="83"/>
      <c r="AN211" s="80"/>
      <c r="AO211" s="82" t="n">
        <f aca="false">IF(E211="","",(AA211&lt;&gt;"")+(AG211&lt;&gt;"")+(AL211&lt;&gt;""))</f>
        <v>0</v>
      </c>
      <c r="AP211" s="82" t="str">
        <f aca="false">IF(AL211&lt;&gt;"",AL211,IF(AG211&lt;&gt;"",AG211,IF(AA211&lt;&gt;"",AA211,"")))</f>
        <v/>
      </c>
      <c r="AQ211" s="84" t="str">
        <f aca="false">IF(E211="","",IF(U211="","À SOUDER",IF(X211="","VT EN ATTENTE",IF(X211="R","VT REJETÉ – À REPRENDRE",IF(AP211="","À RADIOGRAPHIER",IF(AP211="A","ACCEPTÉ",IF(AP211="NX","NX – RT À REFAIRE",IF(IF(AO211=1,AD211,IF(AO211=2,AI211,""))="A","RÉPARÉ – À RADIOGRAPHIER",IF(IF(AO211=1,AD211,IF(AO211=2,AI211,""))="R","VT REJETÉ – À REPRENDRE",IF(OR(AP211="CO",AP211="NT"),"COUPE – À RESOUDER","À RÉPARER"))))))))))</f>
        <v>À SOUDER</v>
      </c>
      <c r="AR211" s="82" t="str">
        <f aca="false">IF(AND(ISNUMBER(U211),OR(AQ211="À RADIOGRAPHIER",AQ211="RÉPARÉ – À RADIOGRAPHIER",AQ211="NX – RT À REFAIRE",AQ211="À RÉPARER",AQ211="COUPE – À RESOUDER",AQ211="VT REJETÉ – À REPRENDRE")),MAX(0,'PROGRAMME RT'!$C$4-U211),"")</f>
        <v/>
      </c>
      <c r="AS211" s="82" t="n">
        <f aca="false">IF(AND(OR(AQ211="À RADIOGRAPHIER",AQ211="RÉPARÉ – À RADIOGRAPHIER",AQ211="NX – RT À REFAIRE"),OR('PROGRAMME RT'!$D$5="TOUTES",B211='PROGRAMME RT'!$D$5)),1,0)</f>
        <v>0</v>
      </c>
      <c r="AT211" s="82" t="str">
        <f aca="false">IF(AS211=1,SUM(AS$7:AS211),"")</f>
        <v/>
      </c>
      <c r="AU211" s="82" t="n">
        <f aca="false">IF(AND(OR(AA211="R",AA211="NX",AA211="NT",AA211="CO"),OR('JOINTS DE RÉPARATION'!$D$5="TOUTES",B211='JOINTS DE RÉPARATION'!$D$5),OR('JOINTS DE RÉPARATION'!$L$4="TOUS",AQ211&lt;&gt;"ACCEPTÉ")),1,0)</f>
        <v>0</v>
      </c>
      <c r="AV211" s="82" t="str">
        <f aca="false">IF(AU211=1,SUM(AU$7:AU211),"")</f>
        <v/>
      </c>
      <c r="AW211" s="82" t="str">
        <f aca="false">IF(E211="","",B211&amp;"|"&amp;E211)</f>
        <v>MFD-ISW → MFD-CPF|JN°205</v>
      </c>
    </row>
    <row r="212" customFormat="false" ht="74.6" hidden="false" customHeight="false" outlineLevel="0" collapsed="false">
      <c r="A212" s="79" t="n">
        <f aca="false">IF(E212="","",ROW()-6)</f>
        <v>206</v>
      </c>
      <c r="B212" s="80" t="s">
        <v>110</v>
      </c>
      <c r="C212" s="81"/>
      <c r="D212" s="81"/>
      <c r="E212" s="81" t="s">
        <v>316</v>
      </c>
      <c r="F212" s="82" t="str">
        <f aca="false">IF(E212="","",IF(LEFT(E212,2)="DJ","DJ","JN"))</f>
        <v>JN</v>
      </c>
      <c r="G212" s="81"/>
      <c r="H212" s="81"/>
      <c r="I212" s="81"/>
      <c r="J212" s="81"/>
      <c r="K212" s="81"/>
      <c r="L212" s="81"/>
      <c r="M212" s="81"/>
      <c r="N212" s="81"/>
      <c r="O212" s="81"/>
      <c r="P212" s="81"/>
      <c r="Q212" s="81"/>
      <c r="R212" s="81"/>
      <c r="S212" s="81"/>
      <c r="T212" s="81"/>
      <c r="U212" s="83"/>
      <c r="V212" s="83"/>
      <c r="W212" s="81"/>
      <c r="X212" s="81"/>
      <c r="Y212" s="83"/>
      <c r="Z212" s="81"/>
      <c r="AA212" s="81"/>
      <c r="AB212" s="81"/>
      <c r="AC212" s="81"/>
      <c r="AD212" s="81"/>
      <c r="AE212" s="83"/>
      <c r="AF212" s="81"/>
      <c r="AG212" s="81"/>
      <c r="AH212" s="81"/>
      <c r="AI212" s="81"/>
      <c r="AJ212" s="83"/>
      <c r="AK212" s="81"/>
      <c r="AL212" s="81"/>
      <c r="AM212" s="83"/>
      <c r="AN212" s="80"/>
      <c r="AO212" s="82" t="n">
        <f aca="false">IF(E212="","",(AA212&lt;&gt;"")+(AG212&lt;&gt;"")+(AL212&lt;&gt;""))</f>
        <v>0</v>
      </c>
      <c r="AP212" s="82" t="str">
        <f aca="false">IF(AL212&lt;&gt;"",AL212,IF(AG212&lt;&gt;"",AG212,IF(AA212&lt;&gt;"",AA212,"")))</f>
        <v/>
      </c>
      <c r="AQ212" s="84" t="str">
        <f aca="false">IF(E212="","",IF(U212="","À SOUDER",IF(X212="","VT EN ATTENTE",IF(X212="R","VT REJETÉ – À REPRENDRE",IF(AP212="","À RADIOGRAPHIER",IF(AP212="A","ACCEPTÉ",IF(AP212="NX","NX – RT À REFAIRE",IF(IF(AO212=1,AD212,IF(AO212=2,AI212,""))="A","RÉPARÉ – À RADIOGRAPHIER",IF(IF(AO212=1,AD212,IF(AO212=2,AI212,""))="R","VT REJETÉ – À REPRENDRE",IF(OR(AP212="CO",AP212="NT"),"COUPE – À RESOUDER","À RÉPARER"))))))))))</f>
        <v>À SOUDER</v>
      </c>
      <c r="AR212" s="82" t="str">
        <f aca="false">IF(AND(ISNUMBER(U212),OR(AQ212="À RADIOGRAPHIER",AQ212="RÉPARÉ – À RADIOGRAPHIER",AQ212="NX – RT À REFAIRE",AQ212="À RÉPARER",AQ212="COUPE – À RESOUDER",AQ212="VT REJETÉ – À REPRENDRE")),MAX(0,'PROGRAMME RT'!$C$4-U212),"")</f>
        <v/>
      </c>
      <c r="AS212" s="82" t="n">
        <f aca="false">IF(AND(OR(AQ212="À RADIOGRAPHIER",AQ212="RÉPARÉ – À RADIOGRAPHIER",AQ212="NX – RT À REFAIRE"),OR('PROGRAMME RT'!$D$5="TOUTES",B212='PROGRAMME RT'!$D$5)),1,0)</f>
        <v>0</v>
      </c>
      <c r="AT212" s="82" t="str">
        <f aca="false">IF(AS212=1,SUM(AS$7:AS212),"")</f>
        <v/>
      </c>
      <c r="AU212" s="82" t="n">
        <f aca="false">IF(AND(OR(AA212="R",AA212="NX",AA212="NT",AA212="CO"),OR('JOINTS DE RÉPARATION'!$D$5="TOUTES",B212='JOINTS DE RÉPARATION'!$D$5),OR('JOINTS DE RÉPARATION'!$L$4="TOUS",AQ212&lt;&gt;"ACCEPTÉ")),1,0)</f>
        <v>0</v>
      </c>
      <c r="AV212" s="82" t="str">
        <f aca="false">IF(AU212=1,SUM(AU$7:AU212),"")</f>
        <v/>
      </c>
      <c r="AW212" s="82" t="str">
        <f aca="false">IF(E212="","",B212&amp;"|"&amp;E212)</f>
        <v>MFD-ISW → MFD-CPF|JN°206</v>
      </c>
    </row>
    <row r="213" customFormat="false" ht="74.6" hidden="false" customHeight="false" outlineLevel="0" collapsed="false">
      <c r="A213" s="79" t="n">
        <f aca="false">IF(E213="","",ROW()-6)</f>
        <v>207</v>
      </c>
      <c r="B213" s="80" t="s">
        <v>110</v>
      </c>
      <c r="C213" s="81"/>
      <c r="D213" s="81"/>
      <c r="E213" s="81" t="s">
        <v>317</v>
      </c>
      <c r="F213" s="82" t="str">
        <f aca="false">IF(E213="","",IF(LEFT(E213,2)="DJ","DJ","JN"))</f>
        <v>JN</v>
      </c>
      <c r="G213" s="81"/>
      <c r="H213" s="81"/>
      <c r="I213" s="81"/>
      <c r="J213" s="81"/>
      <c r="K213" s="81"/>
      <c r="L213" s="81"/>
      <c r="M213" s="81"/>
      <c r="N213" s="81"/>
      <c r="O213" s="81"/>
      <c r="P213" s="81"/>
      <c r="Q213" s="81"/>
      <c r="R213" s="81"/>
      <c r="S213" s="81"/>
      <c r="T213" s="81"/>
      <c r="U213" s="83"/>
      <c r="V213" s="83"/>
      <c r="W213" s="81"/>
      <c r="X213" s="81"/>
      <c r="Y213" s="83"/>
      <c r="Z213" s="81"/>
      <c r="AA213" s="81"/>
      <c r="AB213" s="81"/>
      <c r="AC213" s="81"/>
      <c r="AD213" s="81"/>
      <c r="AE213" s="83"/>
      <c r="AF213" s="81"/>
      <c r="AG213" s="81"/>
      <c r="AH213" s="81"/>
      <c r="AI213" s="81"/>
      <c r="AJ213" s="83"/>
      <c r="AK213" s="81"/>
      <c r="AL213" s="81"/>
      <c r="AM213" s="83"/>
      <c r="AN213" s="80"/>
      <c r="AO213" s="82" t="n">
        <f aca="false">IF(E213="","",(AA213&lt;&gt;"")+(AG213&lt;&gt;"")+(AL213&lt;&gt;""))</f>
        <v>0</v>
      </c>
      <c r="AP213" s="82" t="str">
        <f aca="false">IF(AL213&lt;&gt;"",AL213,IF(AG213&lt;&gt;"",AG213,IF(AA213&lt;&gt;"",AA213,"")))</f>
        <v/>
      </c>
      <c r="AQ213" s="84" t="str">
        <f aca="false">IF(E213="","",IF(U213="","À SOUDER",IF(X213="","VT EN ATTENTE",IF(X213="R","VT REJETÉ – À REPRENDRE",IF(AP213="","À RADIOGRAPHIER",IF(AP213="A","ACCEPTÉ",IF(AP213="NX","NX – RT À REFAIRE",IF(IF(AO213=1,AD213,IF(AO213=2,AI213,""))="A","RÉPARÉ – À RADIOGRAPHIER",IF(IF(AO213=1,AD213,IF(AO213=2,AI213,""))="R","VT REJETÉ – À REPRENDRE",IF(OR(AP213="CO",AP213="NT"),"COUPE – À RESOUDER","À RÉPARER"))))))))))</f>
        <v>À SOUDER</v>
      </c>
      <c r="AR213" s="82" t="str">
        <f aca="false">IF(AND(ISNUMBER(U213),OR(AQ213="À RADIOGRAPHIER",AQ213="RÉPARÉ – À RADIOGRAPHIER",AQ213="NX – RT À REFAIRE",AQ213="À RÉPARER",AQ213="COUPE – À RESOUDER",AQ213="VT REJETÉ – À REPRENDRE")),MAX(0,'PROGRAMME RT'!$C$4-U213),"")</f>
        <v/>
      </c>
      <c r="AS213" s="82" t="n">
        <f aca="false">IF(AND(OR(AQ213="À RADIOGRAPHIER",AQ213="RÉPARÉ – À RADIOGRAPHIER",AQ213="NX – RT À REFAIRE"),OR('PROGRAMME RT'!$D$5="TOUTES",B213='PROGRAMME RT'!$D$5)),1,0)</f>
        <v>0</v>
      </c>
      <c r="AT213" s="82" t="str">
        <f aca="false">IF(AS213=1,SUM(AS$7:AS213),"")</f>
        <v/>
      </c>
      <c r="AU213" s="82" t="n">
        <f aca="false">IF(AND(OR(AA213="R",AA213="NX",AA213="NT",AA213="CO"),OR('JOINTS DE RÉPARATION'!$D$5="TOUTES",B213='JOINTS DE RÉPARATION'!$D$5),OR('JOINTS DE RÉPARATION'!$L$4="TOUS",AQ213&lt;&gt;"ACCEPTÉ")),1,0)</f>
        <v>0</v>
      </c>
      <c r="AV213" s="82" t="str">
        <f aca="false">IF(AU213=1,SUM(AU$7:AU213),"")</f>
        <v/>
      </c>
      <c r="AW213" s="82" t="str">
        <f aca="false">IF(E213="","",B213&amp;"|"&amp;E213)</f>
        <v>MFD-ISW → MFD-CPF|JN°207</v>
      </c>
    </row>
    <row r="214" customFormat="false" ht="74.6" hidden="false" customHeight="false" outlineLevel="0" collapsed="false">
      <c r="A214" s="79" t="n">
        <f aca="false">IF(E214="","",ROW()-6)</f>
        <v>208</v>
      </c>
      <c r="B214" s="80" t="s">
        <v>110</v>
      </c>
      <c r="C214" s="81"/>
      <c r="D214" s="81"/>
      <c r="E214" s="81" t="s">
        <v>318</v>
      </c>
      <c r="F214" s="82" t="str">
        <f aca="false">IF(E214="","",IF(LEFT(E214,2)="DJ","DJ","JN"))</f>
        <v>JN</v>
      </c>
      <c r="G214" s="81"/>
      <c r="H214" s="81"/>
      <c r="I214" s="81"/>
      <c r="J214" s="81"/>
      <c r="K214" s="81"/>
      <c r="L214" s="81"/>
      <c r="M214" s="81"/>
      <c r="N214" s="81"/>
      <c r="O214" s="81"/>
      <c r="P214" s="81"/>
      <c r="Q214" s="81"/>
      <c r="R214" s="81"/>
      <c r="S214" s="81"/>
      <c r="T214" s="81"/>
      <c r="U214" s="83"/>
      <c r="V214" s="83"/>
      <c r="W214" s="81"/>
      <c r="X214" s="81"/>
      <c r="Y214" s="83"/>
      <c r="Z214" s="81"/>
      <c r="AA214" s="81"/>
      <c r="AB214" s="81"/>
      <c r="AC214" s="81"/>
      <c r="AD214" s="81"/>
      <c r="AE214" s="83"/>
      <c r="AF214" s="81"/>
      <c r="AG214" s="81"/>
      <c r="AH214" s="81"/>
      <c r="AI214" s="81"/>
      <c r="AJ214" s="83"/>
      <c r="AK214" s="81"/>
      <c r="AL214" s="81"/>
      <c r="AM214" s="83"/>
      <c r="AN214" s="80"/>
      <c r="AO214" s="82" t="n">
        <f aca="false">IF(E214="","",(AA214&lt;&gt;"")+(AG214&lt;&gt;"")+(AL214&lt;&gt;""))</f>
        <v>0</v>
      </c>
      <c r="AP214" s="82" t="str">
        <f aca="false">IF(AL214&lt;&gt;"",AL214,IF(AG214&lt;&gt;"",AG214,IF(AA214&lt;&gt;"",AA214,"")))</f>
        <v/>
      </c>
      <c r="AQ214" s="84" t="str">
        <f aca="false">IF(E214="","",IF(U214="","À SOUDER",IF(X214="","VT EN ATTENTE",IF(X214="R","VT REJETÉ – À REPRENDRE",IF(AP214="","À RADIOGRAPHIER",IF(AP214="A","ACCEPTÉ",IF(AP214="NX","NX – RT À REFAIRE",IF(IF(AO214=1,AD214,IF(AO214=2,AI214,""))="A","RÉPARÉ – À RADIOGRAPHIER",IF(IF(AO214=1,AD214,IF(AO214=2,AI214,""))="R","VT REJETÉ – À REPRENDRE",IF(OR(AP214="CO",AP214="NT"),"COUPE – À RESOUDER","À RÉPARER"))))))))))</f>
        <v>À SOUDER</v>
      </c>
      <c r="AR214" s="82" t="str">
        <f aca="false">IF(AND(ISNUMBER(U214),OR(AQ214="À RADIOGRAPHIER",AQ214="RÉPARÉ – À RADIOGRAPHIER",AQ214="NX – RT À REFAIRE",AQ214="À RÉPARER",AQ214="COUPE – À RESOUDER",AQ214="VT REJETÉ – À REPRENDRE")),MAX(0,'PROGRAMME RT'!$C$4-U214),"")</f>
        <v/>
      </c>
      <c r="AS214" s="82" t="n">
        <f aca="false">IF(AND(OR(AQ214="À RADIOGRAPHIER",AQ214="RÉPARÉ – À RADIOGRAPHIER",AQ214="NX – RT À REFAIRE"),OR('PROGRAMME RT'!$D$5="TOUTES",B214='PROGRAMME RT'!$D$5)),1,0)</f>
        <v>0</v>
      </c>
      <c r="AT214" s="82" t="str">
        <f aca="false">IF(AS214=1,SUM(AS$7:AS214),"")</f>
        <v/>
      </c>
      <c r="AU214" s="82" t="n">
        <f aca="false">IF(AND(OR(AA214="R",AA214="NX",AA214="NT",AA214="CO"),OR('JOINTS DE RÉPARATION'!$D$5="TOUTES",B214='JOINTS DE RÉPARATION'!$D$5),OR('JOINTS DE RÉPARATION'!$L$4="TOUS",AQ214&lt;&gt;"ACCEPTÉ")),1,0)</f>
        <v>0</v>
      </c>
      <c r="AV214" s="82" t="str">
        <f aca="false">IF(AU214=1,SUM(AU$7:AU214),"")</f>
        <v/>
      </c>
      <c r="AW214" s="82" t="str">
        <f aca="false">IF(E214="","",B214&amp;"|"&amp;E214)</f>
        <v>MFD-ISW → MFD-CPF|JN°208</v>
      </c>
    </row>
    <row r="215" customFormat="false" ht="74.6" hidden="false" customHeight="false" outlineLevel="0" collapsed="false">
      <c r="A215" s="79" t="n">
        <f aca="false">IF(E215="","",ROW()-6)</f>
        <v>209</v>
      </c>
      <c r="B215" s="80" t="s">
        <v>110</v>
      </c>
      <c r="C215" s="81"/>
      <c r="D215" s="81"/>
      <c r="E215" s="81" t="s">
        <v>319</v>
      </c>
      <c r="F215" s="82" t="str">
        <f aca="false">IF(E215="","",IF(LEFT(E215,2)="DJ","DJ","JN"))</f>
        <v>JN</v>
      </c>
      <c r="G215" s="81"/>
      <c r="H215" s="81"/>
      <c r="I215" s="81"/>
      <c r="J215" s="81"/>
      <c r="K215" s="81"/>
      <c r="L215" s="81"/>
      <c r="M215" s="81"/>
      <c r="N215" s="81"/>
      <c r="O215" s="81"/>
      <c r="P215" s="81"/>
      <c r="Q215" s="81"/>
      <c r="R215" s="81"/>
      <c r="S215" s="81"/>
      <c r="T215" s="81"/>
      <c r="U215" s="83"/>
      <c r="V215" s="83"/>
      <c r="W215" s="81"/>
      <c r="X215" s="81"/>
      <c r="Y215" s="83"/>
      <c r="Z215" s="81"/>
      <c r="AA215" s="81"/>
      <c r="AB215" s="81"/>
      <c r="AC215" s="81"/>
      <c r="AD215" s="81"/>
      <c r="AE215" s="83"/>
      <c r="AF215" s="81"/>
      <c r="AG215" s="81"/>
      <c r="AH215" s="81"/>
      <c r="AI215" s="81"/>
      <c r="AJ215" s="83"/>
      <c r="AK215" s="81"/>
      <c r="AL215" s="81"/>
      <c r="AM215" s="83"/>
      <c r="AN215" s="80"/>
      <c r="AO215" s="82" t="n">
        <f aca="false">IF(E215="","",(AA215&lt;&gt;"")+(AG215&lt;&gt;"")+(AL215&lt;&gt;""))</f>
        <v>0</v>
      </c>
      <c r="AP215" s="82" t="str">
        <f aca="false">IF(AL215&lt;&gt;"",AL215,IF(AG215&lt;&gt;"",AG215,IF(AA215&lt;&gt;"",AA215,"")))</f>
        <v/>
      </c>
      <c r="AQ215" s="84" t="str">
        <f aca="false">IF(E215="","",IF(U215="","À SOUDER",IF(X215="","VT EN ATTENTE",IF(X215="R","VT REJETÉ – À REPRENDRE",IF(AP215="","À RADIOGRAPHIER",IF(AP215="A","ACCEPTÉ",IF(AP215="NX","NX – RT À REFAIRE",IF(IF(AO215=1,AD215,IF(AO215=2,AI215,""))="A","RÉPARÉ – À RADIOGRAPHIER",IF(IF(AO215=1,AD215,IF(AO215=2,AI215,""))="R","VT REJETÉ – À REPRENDRE",IF(OR(AP215="CO",AP215="NT"),"COUPE – À RESOUDER","À RÉPARER"))))))))))</f>
        <v>À SOUDER</v>
      </c>
      <c r="AR215" s="82" t="str">
        <f aca="false">IF(AND(ISNUMBER(U215),OR(AQ215="À RADIOGRAPHIER",AQ215="RÉPARÉ – À RADIOGRAPHIER",AQ215="NX – RT À REFAIRE",AQ215="À RÉPARER",AQ215="COUPE – À RESOUDER",AQ215="VT REJETÉ – À REPRENDRE")),MAX(0,'PROGRAMME RT'!$C$4-U215),"")</f>
        <v/>
      </c>
      <c r="AS215" s="82" t="n">
        <f aca="false">IF(AND(OR(AQ215="À RADIOGRAPHIER",AQ215="RÉPARÉ – À RADIOGRAPHIER",AQ215="NX – RT À REFAIRE"),OR('PROGRAMME RT'!$D$5="TOUTES",B215='PROGRAMME RT'!$D$5)),1,0)</f>
        <v>0</v>
      </c>
      <c r="AT215" s="82" t="str">
        <f aca="false">IF(AS215=1,SUM(AS$7:AS215),"")</f>
        <v/>
      </c>
      <c r="AU215" s="82" t="n">
        <f aca="false">IF(AND(OR(AA215="R",AA215="NX",AA215="NT",AA215="CO"),OR('JOINTS DE RÉPARATION'!$D$5="TOUTES",B215='JOINTS DE RÉPARATION'!$D$5),OR('JOINTS DE RÉPARATION'!$L$4="TOUS",AQ215&lt;&gt;"ACCEPTÉ")),1,0)</f>
        <v>0</v>
      </c>
      <c r="AV215" s="82" t="str">
        <f aca="false">IF(AU215=1,SUM(AU$7:AU215),"")</f>
        <v/>
      </c>
      <c r="AW215" s="82" t="str">
        <f aca="false">IF(E215="","",B215&amp;"|"&amp;E215)</f>
        <v>MFD-ISW → MFD-CPF|JN°209</v>
      </c>
    </row>
    <row r="216" customFormat="false" ht="74.6" hidden="false" customHeight="false" outlineLevel="0" collapsed="false">
      <c r="A216" s="79" t="n">
        <f aca="false">IF(E216="","",ROW()-6)</f>
        <v>210</v>
      </c>
      <c r="B216" s="80" t="s">
        <v>110</v>
      </c>
      <c r="C216" s="81"/>
      <c r="D216" s="81"/>
      <c r="E216" s="81" t="s">
        <v>320</v>
      </c>
      <c r="F216" s="82" t="str">
        <f aca="false">IF(E216="","",IF(LEFT(E216,2)="DJ","DJ","JN"))</f>
        <v>JN</v>
      </c>
      <c r="G216" s="81"/>
      <c r="H216" s="81"/>
      <c r="I216" s="81"/>
      <c r="J216" s="81"/>
      <c r="K216" s="81"/>
      <c r="L216" s="81"/>
      <c r="M216" s="81"/>
      <c r="N216" s="81"/>
      <c r="O216" s="81"/>
      <c r="P216" s="81"/>
      <c r="Q216" s="81"/>
      <c r="R216" s="81"/>
      <c r="S216" s="81"/>
      <c r="T216" s="81"/>
      <c r="U216" s="83"/>
      <c r="V216" s="83"/>
      <c r="W216" s="81"/>
      <c r="X216" s="81"/>
      <c r="Y216" s="83"/>
      <c r="Z216" s="81"/>
      <c r="AA216" s="81"/>
      <c r="AB216" s="81"/>
      <c r="AC216" s="81"/>
      <c r="AD216" s="81"/>
      <c r="AE216" s="83"/>
      <c r="AF216" s="81"/>
      <c r="AG216" s="81"/>
      <c r="AH216" s="81"/>
      <c r="AI216" s="81"/>
      <c r="AJ216" s="83"/>
      <c r="AK216" s="81"/>
      <c r="AL216" s="81"/>
      <c r="AM216" s="83"/>
      <c r="AN216" s="80"/>
      <c r="AO216" s="82" t="n">
        <f aca="false">IF(E216="","",(AA216&lt;&gt;"")+(AG216&lt;&gt;"")+(AL216&lt;&gt;""))</f>
        <v>0</v>
      </c>
      <c r="AP216" s="82" t="str">
        <f aca="false">IF(AL216&lt;&gt;"",AL216,IF(AG216&lt;&gt;"",AG216,IF(AA216&lt;&gt;"",AA216,"")))</f>
        <v/>
      </c>
      <c r="AQ216" s="84" t="str">
        <f aca="false">IF(E216="","",IF(U216="","À SOUDER",IF(X216="","VT EN ATTENTE",IF(X216="R","VT REJETÉ – À REPRENDRE",IF(AP216="","À RADIOGRAPHIER",IF(AP216="A","ACCEPTÉ",IF(AP216="NX","NX – RT À REFAIRE",IF(IF(AO216=1,AD216,IF(AO216=2,AI216,""))="A","RÉPARÉ – À RADIOGRAPHIER",IF(IF(AO216=1,AD216,IF(AO216=2,AI216,""))="R","VT REJETÉ – À REPRENDRE",IF(OR(AP216="CO",AP216="NT"),"COUPE – À RESOUDER","À RÉPARER"))))))))))</f>
        <v>À SOUDER</v>
      </c>
      <c r="AR216" s="82" t="str">
        <f aca="false">IF(AND(ISNUMBER(U216),OR(AQ216="À RADIOGRAPHIER",AQ216="RÉPARÉ – À RADIOGRAPHIER",AQ216="NX – RT À REFAIRE",AQ216="À RÉPARER",AQ216="COUPE – À RESOUDER",AQ216="VT REJETÉ – À REPRENDRE")),MAX(0,'PROGRAMME RT'!$C$4-U216),"")</f>
        <v/>
      </c>
      <c r="AS216" s="82" t="n">
        <f aca="false">IF(AND(OR(AQ216="À RADIOGRAPHIER",AQ216="RÉPARÉ – À RADIOGRAPHIER",AQ216="NX – RT À REFAIRE"),OR('PROGRAMME RT'!$D$5="TOUTES",B216='PROGRAMME RT'!$D$5)),1,0)</f>
        <v>0</v>
      </c>
      <c r="AT216" s="82" t="str">
        <f aca="false">IF(AS216=1,SUM(AS$7:AS216),"")</f>
        <v/>
      </c>
      <c r="AU216" s="82" t="n">
        <f aca="false">IF(AND(OR(AA216="R",AA216="NX",AA216="NT",AA216="CO"),OR('JOINTS DE RÉPARATION'!$D$5="TOUTES",B216='JOINTS DE RÉPARATION'!$D$5),OR('JOINTS DE RÉPARATION'!$L$4="TOUS",AQ216&lt;&gt;"ACCEPTÉ")),1,0)</f>
        <v>0</v>
      </c>
      <c r="AV216" s="82" t="str">
        <f aca="false">IF(AU216=1,SUM(AU$7:AU216),"")</f>
        <v/>
      </c>
      <c r="AW216" s="82" t="str">
        <f aca="false">IF(E216="","",B216&amp;"|"&amp;E216)</f>
        <v>MFD-ISW → MFD-CPF|JN°210</v>
      </c>
    </row>
    <row r="217" customFormat="false" ht="74.6" hidden="false" customHeight="false" outlineLevel="0" collapsed="false">
      <c r="A217" s="79" t="n">
        <f aca="false">IF(E217="","",ROW()-6)</f>
        <v>211</v>
      </c>
      <c r="B217" s="80" t="s">
        <v>110</v>
      </c>
      <c r="C217" s="81"/>
      <c r="D217" s="81"/>
      <c r="E217" s="81" t="s">
        <v>321</v>
      </c>
      <c r="F217" s="82" t="str">
        <f aca="false">IF(E217="","",IF(LEFT(E217,2)="DJ","DJ","JN"))</f>
        <v>JN</v>
      </c>
      <c r="G217" s="81"/>
      <c r="H217" s="81"/>
      <c r="I217" s="81"/>
      <c r="J217" s="81"/>
      <c r="K217" s="81"/>
      <c r="L217" s="81"/>
      <c r="M217" s="81"/>
      <c r="N217" s="81"/>
      <c r="O217" s="81"/>
      <c r="P217" s="81"/>
      <c r="Q217" s="81"/>
      <c r="R217" s="81"/>
      <c r="S217" s="81"/>
      <c r="T217" s="81"/>
      <c r="U217" s="83"/>
      <c r="V217" s="83"/>
      <c r="W217" s="81"/>
      <c r="X217" s="81"/>
      <c r="Y217" s="83"/>
      <c r="Z217" s="81"/>
      <c r="AA217" s="81"/>
      <c r="AB217" s="81"/>
      <c r="AC217" s="81"/>
      <c r="AD217" s="81"/>
      <c r="AE217" s="83"/>
      <c r="AF217" s="81"/>
      <c r="AG217" s="81"/>
      <c r="AH217" s="81"/>
      <c r="AI217" s="81"/>
      <c r="AJ217" s="83"/>
      <c r="AK217" s="81"/>
      <c r="AL217" s="81"/>
      <c r="AM217" s="83"/>
      <c r="AN217" s="80"/>
      <c r="AO217" s="82" t="n">
        <f aca="false">IF(E217="","",(AA217&lt;&gt;"")+(AG217&lt;&gt;"")+(AL217&lt;&gt;""))</f>
        <v>0</v>
      </c>
      <c r="AP217" s="82" t="str">
        <f aca="false">IF(AL217&lt;&gt;"",AL217,IF(AG217&lt;&gt;"",AG217,IF(AA217&lt;&gt;"",AA217,"")))</f>
        <v/>
      </c>
      <c r="AQ217" s="84" t="str">
        <f aca="false">IF(E217="","",IF(U217="","À SOUDER",IF(X217="","VT EN ATTENTE",IF(X217="R","VT REJETÉ – À REPRENDRE",IF(AP217="","À RADIOGRAPHIER",IF(AP217="A","ACCEPTÉ",IF(AP217="NX","NX – RT À REFAIRE",IF(IF(AO217=1,AD217,IF(AO217=2,AI217,""))="A","RÉPARÉ – À RADIOGRAPHIER",IF(IF(AO217=1,AD217,IF(AO217=2,AI217,""))="R","VT REJETÉ – À REPRENDRE",IF(OR(AP217="CO",AP217="NT"),"COUPE – À RESOUDER","À RÉPARER"))))))))))</f>
        <v>À SOUDER</v>
      </c>
      <c r="AR217" s="82" t="str">
        <f aca="false">IF(AND(ISNUMBER(U217),OR(AQ217="À RADIOGRAPHIER",AQ217="RÉPARÉ – À RADIOGRAPHIER",AQ217="NX – RT À REFAIRE",AQ217="À RÉPARER",AQ217="COUPE – À RESOUDER",AQ217="VT REJETÉ – À REPRENDRE")),MAX(0,'PROGRAMME RT'!$C$4-U217),"")</f>
        <v/>
      </c>
      <c r="AS217" s="82" t="n">
        <f aca="false">IF(AND(OR(AQ217="À RADIOGRAPHIER",AQ217="RÉPARÉ – À RADIOGRAPHIER",AQ217="NX – RT À REFAIRE"),OR('PROGRAMME RT'!$D$5="TOUTES",B217='PROGRAMME RT'!$D$5)),1,0)</f>
        <v>0</v>
      </c>
      <c r="AT217" s="82" t="str">
        <f aca="false">IF(AS217=1,SUM(AS$7:AS217),"")</f>
        <v/>
      </c>
      <c r="AU217" s="82" t="n">
        <f aca="false">IF(AND(OR(AA217="R",AA217="NX",AA217="NT",AA217="CO"),OR('JOINTS DE RÉPARATION'!$D$5="TOUTES",B217='JOINTS DE RÉPARATION'!$D$5),OR('JOINTS DE RÉPARATION'!$L$4="TOUS",AQ217&lt;&gt;"ACCEPTÉ")),1,0)</f>
        <v>0</v>
      </c>
      <c r="AV217" s="82" t="str">
        <f aca="false">IF(AU217=1,SUM(AU$7:AU217),"")</f>
        <v/>
      </c>
      <c r="AW217" s="82" t="str">
        <f aca="false">IF(E217="","",B217&amp;"|"&amp;E217)</f>
        <v>MFD-ISW → MFD-CPF|JN°211</v>
      </c>
    </row>
    <row r="218" customFormat="false" ht="74.6" hidden="false" customHeight="false" outlineLevel="0" collapsed="false">
      <c r="A218" s="79" t="n">
        <f aca="false">IF(E218="","",ROW()-6)</f>
        <v>212</v>
      </c>
      <c r="B218" s="80" t="s">
        <v>110</v>
      </c>
      <c r="C218" s="81"/>
      <c r="D218" s="81"/>
      <c r="E218" s="81" t="s">
        <v>322</v>
      </c>
      <c r="F218" s="82" t="str">
        <f aca="false">IF(E218="","",IF(LEFT(E218,2)="DJ","DJ","JN"))</f>
        <v>JN</v>
      </c>
      <c r="G218" s="81"/>
      <c r="H218" s="81"/>
      <c r="I218" s="81"/>
      <c r="J218" s="81"/>
      <c r="K218" s="81"/>
      <c r="L218" s="81"/>
      <c r="M218" s="81"/>
      <c r="N218" s="81"/>
      <c r="O218" s="81"/>
      <c r="P218" s="81"/>
      <c r="Q218" s="81"/>
      <c r="R218" s="81"/>
      <c r="S218" s="81"/>
      <c r="T218" s="81"/>
      <c r="U218" s="83"/>
      <c r="V218" s="83"/>
      <c r="W218" s="81"/>
      <c r="X218" s="81"/>
      <c r="Y218" s="83"/>
      <c r="Z218" s="81"/>
      <c r="AA218" s="81"/>
      <c r="AB218" s="81"/>
      <c r="AC218" s="81"/>
      <c r="AD218" s="81"/>
      <c r="AE218" s="83"/>
      <c r="AF218" s="81"/>
      <c r="AG218" s="81"/>
      <c r="AH218" s="81"/>
      <c r="AI218" s="81"/>
      <c r="AJ218" s="83"/>
      <c r="AK218" s="81"/>
      <c r="AL218" s="81"/>
      <c r="AM218" s="83"/>
      <c r="AN218" s="80"/>
      <c r="AO218" s="82" t="n">
        <f aca="false">IF(E218="","",(AA218&lt;&gt;"")+(AG218&lt;&gt;"")+(AL218&lt;&gt;""))</f>
        <v>0</v>
      </c>
      <c r="AP218" s="82" t="str">
        <f aca="false">IF(AL218&lt;&gt;"",AL218,IF(AG218&lt;&gt;"",AG218,IF(AA218&lt;&gt;"",AA218,"")))</f>
        <v/>
      </c>
      <c r="AQ218" s="84" t="str">
        <f aca="false">IF(E218="","",IF(U218="","À SOUDER",IF(X218="","VT EN ATTENTE",IF(X218="R","VT REJETÉ – À REPRENDRE",IF(AP218="","À RADIOGRAPHIER",IF(AP218="A","ACCEPTÉ",IF(AP218="NX","NX – RT À REFAIRE",IF(IF(AO218=1,AD218,IF(AO218=2,AI218,""))="A","RÉPARÉ – À RADIOGRAPHIER",IF(IF(AO218=1,AD218,IF(AO218=2,AI218,""))="R","VT REJETÉ – À REPRENDRE",IF(OR(AP218="CO",AP218="NT"),"COUPE – À RESOUDER","À RÉPARER"))))))))))</f>
        <v>À SOUDER</v>
      </c>
      <c r="AR218" s="82" t="str">
        <f aca="false">IF(AND(ISNUMBER(U218),OR(AQ218="À RADIOGRAPHIER",AQ218="RÉPARÉ – À RADIOGRAPHIER",AQ218="NX – RT À REFAIRE",AQ218="À RÉPARER",AQ218="COUPE – À RESOUDER",AQ218="VT REJETÉ – À REPRENDRE")),MAX(0,'PROGRAMME RT'!$C$4-U218),"")</f>
        <v/>
      </c>
      <c r="AS218" s="82" t="n">
        <f aca="false">IF(AND(OR(AQ218="À RADIOGRAPHIER",AQ218="RÉPARÉ – À RADIOGRAPHIER",AQ218="NX – RT À REFAIRE"),OR('PROGRAMME RT'!$D$5="TOUTES",B218='PROGRAMME RT'!$D$5)),1,0)</f>
        <v>0</v>
      </c>
      <c r="AT218" s="82" t="str">
        <f aca="false">IF(AS218=1,SUM(AS$7:AS218),"")</f>
        <v/>
      </c>
      <c r="AU218" s="82" t="n">
        <f aca="false">IF(AND(OR(AA218="R",AA218="NX",AA218="NT",AA218="CO"),OR('JOINTS DE RÉPARATION'!$D$5="TOUTES",B218='JOINTS DE RÉPARATION'!$D$5),OR('JOINTS DE RÉPARATION'!$L$4="TOUS",AQ218&lt;&gt;"ACCEPTÉ")),1,0)</f>
        <v>0</v>
      </c>
      <c r="AV218" s="82" t="str">
        <f aca="false">IF(AU218=1,SUM(AU$7:AU218),"")</f>
        <v/>
      </c>
      <c r="AW218" s="82" t="str">
        <f aca="false">IF(E218="","",B218&amp;"|"&amp;E218)</f>
        <v>MFD-ISW → MFD-CPF|JN°212</v>
      </c>
    </row>
    <row r="219" customFormat="false" ht="74.6" hidden="false" customHeight="false" outlineLevel="0" collapsed="false">
      <c r="A219" s="79" t="n">
        <f aca="false">IF(E219="","",ROW()-6)</f>
        <v>213</v>
      </c>
      <c r="B219" s="80" t="s">
        <v>110</v>
      </c>
      <c r="C219" s="81"/>
      <c r="D219" s="81"/>
      <c r="E219" s="81" t="s">
        <v>323</v>
      </c>
      <c r="F219" s="82" t="str">
        <f aca="false">IF(E219="","",IF(LEFT(E219,2)="DJ","DJ","JN"))</f>
        <v>JN</v>
      </c>
      <c r="G219" s="81"/>
      <c r="H219" s="81"/>
      <c r="I219" s="81"/>
      <c r="J219" s="81"/>
      <c r="K219" s="81"/>
      <c r="L219" s="81"/>
      <c r="M219" s="81"/>
      <c r="N219" s="81"/>
      <c r="O219" s="81"/>
      <c r="P219" s="81"/>
      <c r="Q219" s="81"/>
      <c r="R219" s="81"/>
      <c r="S219" s="81"/>
      <c r="T219" s="81"/>
      <c r="U219" s="83"/>
      <c r="V219" s="83"/>
      <c r="W219" s="81"/>
      <c r="X219" s="81"/>
      <c r="Y219" s="83"/>
      <c r="Z219" s="81"/>
      <c r="AA219" s="81"/>
      <c r="AB219" s="81"/>
      <c r="AC219" s="81"/>
      <c r="AD219" s="81"/>
      <c r="AE219" s="83"/>
      <c r="AF219" s="81"/>
      <c r="AG219" s="81"/>
      <c r="AH219" s="81"/>
      <c r="AI219" s="81"/>
      <c r="AJ219" s="83"/>
      <c r="AK219" s="81"/>
      <c r="AL219" s="81"/>
      <c r="AM219" s="83"/>
      <c r="AN219" s="80"/>
      <c r="AO219" s="82" t="n">
        <f aca="false">IF(E219="","",(AA219&lt;&gt;"")+(AG219&lt;&gt;"")+(AL219&lt;&gt;""))</f>
        <v>0</v>
      </c>
      <c r="AP219" s="82" t="str">
        <f aca="false">IF(AL219&lt;&gt;"",AL219,IF(AG219&lt;&gt;"",AG219,IF(AA219&lt;&gt;"",AA219,"")))</f>
        <v/>
      </c>
      <c r="AQ219" s="84" t="str">
        <f aca="false">IF(E219="","",IF(U219="","À SOUDER",IF(X219="","VT EN ATTENTE",IF(X219="R","VT REJETÉ – À REPRENDRE",IF(AP219="","À RADIOGRAPHIER",IF(AP219="A","ACCEPTÉ",IF(AP219="NX","NX – RT À REFAIRE",IF(IF(AO219=1,AD219,IF(AO219=2,AI219,""))="A","RÉPARÉ – À RADIOGRAPHIER",IF(IF(AO219=1,AD219,IF(AO219=2,AI219,""))="R","VT REJETÉ – À REPRENDRE",IF(OR(AP219="CO",AP219="NT"),"COUPE – À RESOUDER","À RÉPARER"))))))))))</f>
        <v>À SOUDER</v>
      </c>
      <c r="AR219" s="82" t="str">
        <f aca="false">IF(AND(ISNUMBER(U219),OR(AQ219="À RADIOGRAPHIER",AQ219="RÉPARÉ – À RADIOGRAPHIER",AQ219="NX – RT À REFAIRE",AQ219="À RÉPARER",AQ219="COUPE – À RESOUDER",AQ219="VT REJETÉ – À REPRENDRE")),MAX(0,'PROGRAMME RT'!$C$4-U219),"")</f>
        <v/>
      </c>
      <c r="AS219" s="82" t="n">
        <f aca="false">IF(AND(OR(AQ219="À RADIOGRAPHIER",AQ219="RÉPARÉ – À RADIOGRAPHIER",AQ219="NX – RT À REFAIRE"),OR('PROGRAMME RT'!$D$5="TOUTES",B219='PROGRAMME RT'!$D$5)),1,0)</f>
        <v>0</v>
      </c>
      <c r="AT219" s="82" t="str">
        <f aca="false">IF(AS219=1,SUM(AS$7:AS219),"")</f>
        <v/>
      </c>
      <c r="AU219" s="82" t="n">
        <f aca="false">IF(AND(OR(AA219="R",AA219="NX",AA219="NT",AA219="CO"),OR('JOINTS DE RÉPARATION'!$D$5="TOUTES",B219='JOINTS DE RÉPARATION'!$D$5),OR('JOINTS DE RÉPARATION'!$L$4="TOUS",AQ219&lt;&gt;"ACCEPTÉ")),1,0)</f>
        <v>0</v>
      </c>
      <c r="AV219" s="82" t="str">
        <f aca="false">IF(AU219=1,SUM(AU$7:AU219),"")</f>
        <v/>
      </c>
      <c r="AW219" s="82" t="str">
        <f aca="false">IF(E219="","",B219&amp;"|"&amp;E219)</f>
        <v>MFD-ISW → MFD-CPF|JN°213</v>
      </c>
    </row>
    <row r="220" customFormat="false" ht="74.6" hidden="false" customHeight="false" outlineLevel="0" collapsed="false">
      <c r="A220" s="79" t="n">
        <f aca="false">IF(E220="","",ROW()-6)</f>
        <v>214</v>
      </c>
      <c r="B220" s="80" t="s">
        <v>110</v>
      </c>
      <c r="C220" s="81"/>
      <c r="D220" s="81"/>
      <c r="E220" s="81" t="s">
        <v>324</v>
      </c>
      <c r="F220" s="82" t="str">
        <f aca="false">IF(E220="","",IF(LEFT(E220,2)="DJ","DJ","JN"))</f>
        <v>JN</v>
      </c>
      <c r="G220" s="81"/>
      <c r="H220" s="81"/>
      <c r="I220" s="81"/>
      <c r="J220" s="81"/>
      <c r="K220" s="81"/>
      <c r="L220" s="81"/>
      <c r="M220" s="81"/>
      <c r="N220" s="81"/>
      <c r="O220" s="81"/>
      <c r="P220" s="81"/>
      <c r="Q220" s="81"/>
      <c r="R220" s="81"/>
      <c r="S220" s="81"/>
      <c r="T220" s="81"/>
      <c r="U220" s="83"/>
      <c r="V220" s="83"/>
      <c r="W220" s="81"/>
      <c r="X220" s="81"/>
      <c r="Y220" s="83"/>
      <c r="Z220" s="81"/>
      <c r="AA220" s="81"/>
      <c r="AB220" s="81"/>
      <c r="AC220" s="81"/>
      <c r="AD220" s="81"/>
      <c r="AE220" s="83"/>
      <c r="AF220" s="81"/>
      <c r="AG220" s="81"/>
      <c r="AH220" s="81"/>
      <c r="AI220" s="81"/>
      <c r="AJ220" s="83"/>
      <c r="AK220" s="81"/>
      <c r="AL220" s="81"/>
      <c r="AM220" s="83"/>
      <c r="AN220" s="80"/>
      <c r="AO220" s="82" t="n">
        <f aca="false">IF(E220="","",(AA220&lt;&gt;"")+(AG220&lt;&gt;"")+(AL220&lt;&gt;""))</f>
        <v>0</v>
      </c>
      <c r="AP220" s="82" t="str">
        <f aca="false">IF(AL220&lt;&gt;"",AL220,IF(AG220&lt;&gt;"",AG220,IF(AA220&lt;&gt;"",AA220,"")))</f>
        <v/>
      </c>
      <c r="AQ220" s="84" t="str">
        <f aca="false">IF(E220="","",IF(U220="","À SOUDER",IF(X220="","VT EN ATTENTE",IF(X220="R","VT REJETÉ – À REPRENDRE",IF(AP220="","À RADIOGRAPHIER",IF(AP220="A","ACCEPTÉ",IF(AP220="NX","NX – RT À REFAIRE",IF(IF(AO220=1,AD220,IF(AO220=2,AI220,""))="A","RÉPARÉ – À RADIOGRAPHIER",IF(IF(AO220=1,AD220,IF(AO220=2,AI220,""))="R","VT REJETÉ – À REPRENDRE",IF(OR(AP220="CO",AP220="NT"),"COUPE – À RESOUDER","À RÉPARER"))))))))))</f>
        <v>À SOUDER</v>
      </c>
      <c r="AR220" s="82" t="str">
        <f aca="false">IF(AND(ISNUMBER(U220),OR(AQ220="À RADIOGRAPHIER",AQ220="RÉPARÉ – À RADIOGRAPHIER",AQ220="NX – RT À REFAIRE",AQ220="À RÉPARER",AQ220="COUPE – À RESOUDER",AQ220="VT REJETÉ – À REPRENDRE")),MAX(0,'PROGRAMME RT'!$C$4-U220),"")</f>
        <v/>
      </c>
      <c r="AS220" s="82" t="n">
        <f aca="false">IF(AND(OR(AQ220="À RADIOGRAPHIER",AQ220="RÉPARÉ – À RADIOGRAPHIER",AQ220="NX – RT À REFAIRE"),OR('PROGRAMME RT'!$D$5="TOUTES",B220='PROGRAMME RT'!$D$5)),1,0)</f>
        <v>0</v>
      </c>
      <c r="AT220" s="82" t="str">
        <f aca="false">IF(AS220=1,SUM(AS$7:AS220),"")</f>
        <v/>
      </c>
      <c r="AU220" s="82" t="n">
        <f aca="false">IF(AND(OR(AA220="R",AA220="NX",AA220="NT",AA220="CO"),OR('JOINTS DE RÉPARATION'!$D$5="TOUTES",B220='JOINTS DE RÉPARATION'!$D$5),OR('JOINTS DE RÉPARATION'!$L$4="TOUS",AQ220&lt;&gt;"ACCEPTÉ")),1,0)</f>
        <v>0</v>
      </c>
      <c r="AV220" s="82" t="str">
        <f aca="false">IF(AU220=1,SUM(AU$7:AU220),"")</f>
        <v/>
      </c>
      <c r="AW220" s="82" t="str">
        <f aca="false">IF(E220="","",B220&amp;"|"&amp;E220)</f>
        <v>MFD-ISW → MFD-CPF|JN°214</v>
      </c>
    </row>
    <row r="221" customFormat="false" ht="74.6" hidden="false" customHeight="false" outlineLevel="0" collapsed="false">
      <c r="A221" s="79" t="n">
        <f aca="false">IF(E221="","",ROW()-6)</f>
        <v>215</v>
      </c>
      <c r="B221" s="80" t="s">
        <v>110</v>
      </c>
      <c r="C221" s="81"/>
      <c r="D221" s="81"/>
      <c r="E221" s="81" t="s">
        <v>325</v>
      </c>
      <c r="F221" s="82" t="str">
        <f aca="false">IF(E221="","",IF(LEFT(E221,2)="DJ","DJ","JN"))</f>
        <v>JN</v>
      </c>
      <c r="G221" s="81"/>
      <c r="H221" s="81"/>
      <c r="I221" s="81"/>
      <c r="J221" s="81"/>
      <c r="K221" s="81"/>
      <c r="L221" s="81"/>
      <c r="M221" s="81"/>
      <c r="N221" s="81"/>
      <c r="O221" s="81"/>
      <c r="P221" s="81"/>
      <c r="Q221" s="81"/>
      <c r="R221" s="81"/>
      <c r="S221" s="81"/>
      <c r="T221" s="81"/>
      <c r="U221" s="83"/>
      <c r="V221" s="83"/>
      <c r="W221" s="81"/>
      <c r="X221" s="81"/>
      <c r="Y221" s="83"/>
      <c r="Z221" s="81"/>
      <c r="AA221" s="81"/>
      <c r="AB221" s="81"/>
      <c r="AC221" s="81"/>
      <c r="AD221" s="81"/>
      <c r="AE221" s="83"/>
      <c r="AF221" s="81"/>
      <c r="AG221" s="81"/>
      <c r="AH221" s="81"/>
      <c r="AI221" s="81"/>
      <c r="AJ221" s="83"/>
      <c r="AK221" s="81"/>
      <c r="AL221" s="81"/>
      <c r="AM221" s="83"/>
      <c r="AN221" s="80"/>
      <c r="AO221" s="82" t="n">
        <f aca="false">IF(E221="","",(AA221&lt;&gt;"")+(AG221&lt;&gt;"")+(AL221&lt;&gt;""))</f>
        <v>0</v>
      </c>
      <c r="AP221" s="82" t="str">
        <f aca="false">IF(AL221&lt;&gt;"",AL221,IF(AG221&lt;&gt;"",AG221,IF(AA221&lt;&gt;"",AA221,"")))</f>
        <v/>
      </c>
      <c r="AQ221" s="84" t="str">
        <f aca="false">IF(E221="","",IF(U221="","À SOUDER",IF(X221="","VT EN ATTENTE",IF(X221="R","VT REJETÉ – À REPRENDRE",IF(AP221="","À RADIOGRAPHIER",IF(AP221="A","ACCEPTÉ",IF(AP221="NX","NX – RT À REFAIRE",IF(IF(AO221=1,AD221,IF(AO221=2,AI221,""))="A","RÉPARÉ – À RADIOGRAPHIER",IF(IF(AO221=1,AD221,IF(AO221=2,AI221,""))="R","VT REJETÉ – À REPRENDRE",IF(OR(AP221="CO",AP221="NT"),"COUPE – À RESOUDER","À RÉPARER"))))))))))</f>
        <v>À SOUDER</v>
      </c>
      <c r="AR221" s="82" t="str">
        <f aca="false">IF(AND(ISNUMBER(U221),OR(AQ221="À RADIOGRAPHIER",AQ221="RÉPARÉ – À RADIOGRAPHIER",AQ221="NX – RT À REFAIRE",AQ221="À RÉPARER",AQ221="COUPE – À RESOUDER",AQ221="VT REJETÉ – À REPRENDRE")),MAX(0,'PROGRAMME RT'!$C$4-U221),"")</f>
        <v/>
      </c>
      <c r="AS221" s="82" t="n">
        <f aca="false">IF(AND(OR(AQ221="À RADIOGRAPHIER",AQ221="RÉPARÉ – À RADIOGRAPHIER",AQ221="NX – RT À REFAIRE"),OR('PROGRAMME RT'!$D$5="TOUTES",B221='PROGRAMME RT'!$D$5)),1,0)</f>
        <v>0</v>
      </c>
      <c r="AT221" s="82" t="str">
        <f aca="false">IF(AS221=1,SUM(AS$7:AS221),"")</f>
        <v/>
      </c>
      <c r="AU221" s="82" t="n">
        <f aca="false">IF(AND(OR(AA221="R",AA221="NX",AA221="NT",AA221="CO"),OR('JOINTS DE RÉPARATION'!$D$5="TOUTES",B221='JOINTS DE RÉPARATION'!$D$5),OR('JOINTS DE RÉPARATION'!$L$4="TOUS",AQ221&lt;&gt;"ACCEPTÉ")),1,0)</f>
        <v>0</v>
      </c>
      <c r="AV221" s="82" t="str">
        <f aca="false">IF(AU221=1,SUM(AU$7:AU221),"")</f>
        <v/>
      </c>
      <c r="AW221" s="82" t="str">
        <f aca="false">IF(E221="","",B221&amp;"|"&amp;E221)</f>
        <v>MFD-ISW → MFD-CPF|JN°215</v>
      </c>
    </row>
    <row r="222" customFormat="false" ht="74.6" hidden="false" customHeight="false" outlineLevel="0" collapsed="false">
      <c r="A222" s="79" t="n">
        <f aca="false">IF(E222="","",ROW()-6)</f>
        <v>216</v>
      </c>
      <c r="B222" s="80" t="s">
        <v>110</v>
      </c>
      <c r="C222" s="81"/>
      <c r="D222" s="81"/>
      <c r="E222" s="81" t="s">
        <v>326</v>
      </c>
      <c r="F222" s="82" t="str">
        <f aca="false">IF(E222="","",IF(LEFT(E222,2)="DJ","DJ","JN"))</f>
        <v>JN</v>
      </c>
      <c r="G222" s="81"/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81"/>
      <c r="S222" s="81"/>
      <c r="T222" s="81"/>
      <c r="U222" s="83"/>
      <c r="V222" s="83"/>
      <c r="W222" s="81"/>
      <c r="X222" s="81"/>
      <c r="Y222" s="83"/>
      <c r="Z222" s="81"/>
      <c r="AA222" s="81"/>
      <c r="AB222" s="81"/>
      <c r="AC222" s="81"/>
      <c r="AD222" s="81"/>
      <c r="AE222" s="83"/>
      <c r="AF222" s="81"/>
      <c r="AG222" s="81"/>
      <c r="AH222" s="81"/>
      <c r="AI222" s="81"/>
      <c r="AJ222" s="83"/>
      <c r="AK222" s="81"/>
      <c r="AL222" s="81"/>
      <c r="AM222" s="83"/>
      <c r="AN222" s="80"/>
      <c r="AO222" s="82" t="n">
        <f aca="false">IF(E222="","",(AA222&lt;&gt;"")+(AG222&lt;&gt;"")+(AL222&lt;&gt;""))</f>
        <v>0</v>
      </c>
      <c r="AP222" s="82" t="str">
        <f aca="false">IF(AL222&lt;&gt;"",AL222,IF(AG222&lt;&gt;"",AG222,IF(AA222&lt;&gt;"",AA222,"")))</f>
        <v/>
      </c>
      <c r="AQ222" s="84" t="str">
        <f aca="false">IF(E222="","",IF(U222="","À SOUDER",IF(X222="","VT EN ATTENTE",IF(X222="R","VT REJETÉ – À REPRENDRE",IF(AP222="","À RADIOGRAPHIER",IF(AP222="A","ACCEPTÉ",IF(AP222="NX","NX – RT À REFAIRE",IF(IF(AO222=1,AD222,IF(AO222=2,AI222,""))="A","RÉPARÉ – À RADIOGRAPHIER",IF(IF(AO222=1,AD222,IF(AO222=2,AI222,""))="R","VT REJETÉ – À REPRENDRE",IF(OR(AP222="CO",AP222="NT"),"COUPE – À RESOUDER","À RÉPARER"))))))))))</f>
        <v>À SOUDER</v>
      </c>
      <c r="AR222" s="82" t="str">
        <f aca="false">IF(AND(ISNUMBER(U222),OR(AQ222="À RADIOGRAPHIER",AQ222="RÉPARÉ – À RADIOGRAPHIER",AQ222="NX – RT À REFAIRE",AQ222="À RÉPARER",AQ222="COUPE – À RESOUDER",AQ222="VT REJETÉ – À REPRENDRE")),MAX(0,'PROGRAMME RT'!$C$4-U222),"")</f>
        <v/>
      </c>
      <c r="AS222" s="82" t="n">
        <f aca="false">IF(AND(OR(AQ222="À RADIOGRAPHIER",AQ222="RÉPARÉ – À RADIOGRAPHIER",AQ222="NX – RT À REFAIRE"),OR('PROGRAMME RT'!$D$5="TOUTES",B222='PROGRAMME RT'!$D$5)),1,0)</f>
        <v>0</v>
      </c>
      <c r="AT222" s="82" t="str">
        <f aca="false">IF(AS222=1,SUM(AS$7:AS222),"")</f>
        <v/>
      </c>
      <c r="AU222" s="82" t="n">
        <f aca="false">IF(AND(OR(AA222="R",AA222="NX",AA222="NT",AA222="CO"),OR('JOINTS DE RÉPARATION'!$D$5="TOUTES",B222='JOINTS DE RÉPARATION'!$D$5),OR('JOINTS DE RÉPARATION'!$L$4="TOUS",AQ222&lt;&gt;"ACCEPTÉ")),1,0)</f>
        <v>0</v>
      </c>
      <c r="AV222" s="82" t="str">
        <f aca="false">IF(AU222=1,SUM(AU$7:AU222),"")</f>
        <v/>
      </c>
      <c r="AW222" s="82" t="str">
        <f aca="false">IF(E222="","",B222&amp;"|"&amp;E222)</f>
        <v>MFD-ISW → MFD-CPF|JN°216</v>
      </c>
    </row>
    <row r="223" customFormat="false" ht="74.6" hidden="false" customHeight="false" outlineLevel="0" collapsed="false">
      <c r="A223" s="79" t="n">
        <f aca="false">IF(E223="","",ROW()-6)</f>
        <v>217</v>
      </c>
      <c r="B223" s="80" t="s">
        <v>110</v>
      </c>
      <c r="C223" s="81"/>
      <c r="D223" s="81"/>
      <c r="E223" s="81" t="s">
        <v>327</v>
      </c>
      <c r="F223" s="82" t="str">
        <f aca="false">IF(E223="","",IF(LEFT(E223,2)="DJ","DJ","JN"))</f>
        <v>JN</v>
      </c>
      <c r="G223" s="81"/>
      <c r="H223" s="81"/>
      <c r="I223" s="81"/>
      <c r="J223" s="81"/>
      <c r="K223" s="81"/>
      <c r="L223" s="81"/>
      <c r="M223" s="81"/>
      <c r="N223" s="81"/>
      <c r="O223" s="81"/>
      <c r="P223" s="81"/>
      <c r="Q223" s="81"/>
      <c r="R223" s="81"/>
      <c r="S223" s="81"/>
      <c r="T223" s="81"/>
      <c r="U223" s="83"/>
      <c r="V223" s="83"/>
      <c r="W223" s="81"/>
      <c r="X223" s="81"/>
      <c r="Y223" s="83"/>
      <c r="Z223" s="81"/>
      <c r="AA223" s="81"/>
      <c r="AB223" s="81"/>
      <c r="AC223" s="81"/>
      <c r="AD223" s="81"/>
      <c r="AE223" s="83"/>
      <c r="AF223" s="81"/>
      <c r="AG223" s="81"/>
      <c r="AH223" s="81"/>
      <c r="AI223" s="81"/>
      <c r="AJ223" s="83"/>
      <c r="AK223" s="81"/>
      <c r="AL223" s="81"/>
      <c r="AM223" s="83"/>
      <c r="AN223" s="80"/>
      <c r="AO223" s="82" t="n">
        <f aca="false">IF(E223="","",(AA223&lt;&gt;"")+(AG223&lt;&gt;"")+(AL223&lt;&gt;""))</f>
        <v>0</v>
      </c>
      <c r="AP223" s="82" t="str">
        <f aca="false">IF(AL223&lt;&gt;"",AL223,IF(AG223&lt;&gt;"",AG223,IF(AA223&lt;&gt;"",AA223,"")))</f>
        <v/>
      </c>
      <c r="AQ223" s="84" t="str">
        <f aca="false">IF(E223="","",IF(U223="","À SOUDER",IF(X223="","VT EN ATTENTE",IF(X223="R","VT REJETÉ – À REPRENDRE",IF(AP223="","À RADIOGRAPHIER",IF(AP223="A","ACCEPTÉ",IF(AP223="NX","NX – RT À REFAIRE",IF(IF(AO223=1,AD223,IF(AO223=2,AI223,""))="A","RÉPARÉ – À RADIOGRAPHIER",IF(IF(AO223=1,AD223,IF(AO223=2,AI223,""))="R","VT REJETÉ – À REPRENDRE",IF(OR(AP223="CO",AP223="NT"),"COUPE – À RESOUDER","À RÉPARER"))))))))))</f>
        <v>À SOUDER</v>
      </c>
      <c r="AR223" s="82" t="str">
        <f aca="false">IF(AND(ISNUMBER(U223),OR(AQ223="À RADIOGRAPHIER",AQ223="RÉPARÉ – À RADIOGRAPHIER",AQ223="NX – RT À REFAIRE",AQ223="À RÉPARER",AQ223="COUPE – À RESOUDER",AQ223="VT REJETÉ – À REPRENDRE")),MAX(0,'PROGRAMME RT'!$C$4-U223),"")</f>
        <v/>
      </c>
      <c r="AS223" s="82" t="n">
        <f aca="false">IF(AND(OR(AQ223="À RADIOGRAPHIER",AQ223="RÉPARÉ – À RADIOGRAPHIER",AQ223="NX – RT À REFAIRE"),OR('PROGRAMME RT'!$D$5="TOUTES",B223='PROGRAMME RT'!$D$5)),1,0)</f>
        <v>0</v>
      </c>
      <c r="AT223" s="82" t="str">
        <f aca="false">IF(AS223=1,SUM(AS$7:AS223),"")</f>
        <v/>
      </c>
      <c r="AU223" s="82" t="n">
        <f aca="false">IF(AND(OR(AA223="R",AA223="NX",AA223="NT",AA223="CO"),OR('JOINTS DE RÉPARATION'!$D$5="TOUTES",B223='JOINTS DE RÉPARATION'!$D$5),OR('JOINTS DE RÉPARATION'!$L$4="TOUS",AQ223&lt;&gt;"ACCEPTÉ")),1,0)</f>
        <v>0</v>
      </c>
      <c r="AV223" s="82" t="str">
        <f aca="false">IF(AU223=1,SUM(AU$7:AU223),"")</f>
        <v/>
      </c>
      <c r="AW223" s="82" t="str">
        <f aca="false">IF(E223="","",B223&amp;"|"&amp;E223)</f>
        <v>MFD-ISW → MFD-CPF|JN°217</v>
      </c>
    </row>
    <row r="224" customFormat="false" ht="74.6" hidden="false" customHeight="false" outlineLevel="0" collapsed="false">
      <c r="A224" s="79" t="n">
        <f aca="false">IF(E224="","",ROW()-6)</f>
        <v>218</v>
      </c>
      <c r="B224" s="80" t="s">
        <v>110</v>
      </c>
      <c r="C224" s="81"/>
      <c r="D224" s="81"/>
      <c r="E224" s="81" t="s">
        <v>328</v>
      </c>
      <c r="F224" s="82" t="str">
        <f aca="false">IF(E224="","",IF(LEFT(E224,2)="DJ","DJ","JN"))</f>
        <v>JN</v>
      </c>
      <c r="G224" s="81"/>
      <c r="H224" s="81"/>
      <c r="I224" s="81"/>
      <c r="J224" s="81"/>
      <c r="K224" s="81"/>
      <c r="L224" s="81"/>
      <c r="M224" s="81"/>
      <c r="N224" s="81"/>
      <c r="O224" s="81"/>
      <c r="P224" s="81"/>
      <c r="Q224" s="81"/>
      <c r="R224" s="81"/>
      <c r="S224" s="81"/>
      <c r="T224" s="81"/>
      <c r="U224" s="83"/>
      <c r="V224" s="83"/>
      <c r="W224" s="81"/>
      <c r="X224" s="81"/>
      <c r="Y224" s="83"/>
      <c r="Z224" s="81"/>
      <c r="AA224" s="81"/>
      <c r="AB224" s="81"/>
      <c r="AC224" s="81"/>
      <c r="AD224" s="81"/>
      <c r="AE224" s="83"/>
      <c r="AF224" s="81"/>
      <c r="AG224" s="81"/>
      <c r="AH224" s="81"/>
      <c r="AI224" s="81"/>
      <c r="AJ224" s="83"/>
      <c r="AK224" s="81"/>
      <c r="AL224" s="81"/>
      <c r="AM224" s="83"/>
      <c r="AN224" s="80"/>
      <c r="AO224" s="82" t="n">
        <f aca="false">IF(E224="","",(AA224&lt;&gt;"")+(AG224&lt;&gt;"")+(AL224&lt;&gt;""))</f>
        <v>0</v>
      </c>
      <c r="AP224" s="82" t="str">
        <f aca="false">IF(AL224&lt;&gt;"",AL224,IF(AG224&lt;&gt;"",AG224,IF(AA224&lt;&gt;"",AA224,"")))</f>
        <v/>
      </c>
      <c r="AQ224" s="84" t="str">
        <f aca="false">IF(E224="","",IF(U224="","À SOUDER",IF(X224="","VT EN ATTENTE",IF(X224="R","VT REJETÉ – À REPRENDRE",IF(AP224="","À RADIOGRAPHIER",IF(AP224="A","ACCEPTÉ",IF(AP224="NX","NX – RT À REFAIRE",IF(IF(AO224=1,AD224,IF(AO224=2,AI224,""))="A","RÉPARÉ – À RADIOGRAPHIER",IF(IF(AO224=1,AD224,IF(AO224=2,AI224,""))="R","VT REJETÉ – À REPRENDRE",IF(OR(AP224="CO",AP224="NT"),"COUPE – À RESOUDER","À RÉPARER"))))))))))</f>
        <v>À SOUDER</v>
      </c>
      <c r="AR224" s="82" t="str">
        <f aca="false">IF(AND(ISNUMBER(U224),OR(AQ224="À RADIOGRAPHIER",AQ224="RÉPARÉ – À RADIOGRAPHIER",AQ224="NX – RT À REFAIRE",AQ224="À RÉPARER",AQ224="COUPE – À RESOUDER",AQ224="VT REJETÉ – À REPRENDRE")),MAX(0,'PROGRAMME RT'!$C$4-U224),"")</f>
        <v/>
      </c>
      <c r="AS224" s="82" t="n">
        <f aca="false">IF(AND(OR(AQ224="À RADIOGRAPHIER",AQ224="RÉPARÉ – À RADIOGRAPHIER",AQ224="NX – RT À REFAIRE"),OR('PROGRAMME RT'!$D$5="TOUTES",B224='PROGRAMME RT'!$D$5)),1,0)</f>
        <v>0</v>
      </c>
      <c r="AT224" s="82" t="str">
        <f aca="false">IF(AS224=1,SUM(AS$7:AS224),"")</f>
        <v/>
      </c>
      <c r="AU224" s="82" t="n">
        <f aca="false">IF(AND(OR(AA224="R",AA224="NX",AA224="NT",AA224="CO"),OR('JOINTS DE RÉPARATION'!$D$5="TOUTES",B224='JOINTS DE RÉPARATION'!$D$5),OR('JOINTS DE RÉPARATION'!$L$4="TOUS",AQ224&lt;&gt;"ACCEPTÉ")),1,0)</f>
        <v>0</v>
      </c>
      <c r="AV224" s="82" t="str">
        <f aca="false">IF(AU224=1,SUM(AU$7:AU224),"")</f>
        <v/>
      </c>
      <c r="AW224" s="82" t="str">
        <f aca="false">IF(E224="","",B224&amp;"|"&amp;E224)</f>
        <v>MFD-ISW → MFD-CPF|JN°218</v>
      </c>
    </row>
    <row r="225" customFormat="false" ht="74.6" hidden="false" customHeight="false" outlineLevel="0" collapsed="false">
      <c r="A225" s="79" t="n">
        <f aca="false">IF(E225="","",ROW()-6)</f>
        <v>219</v>
      </c>
      <c r="B225" s="80" t="s">
        <v>110</v>
      </c>
      <c r="C225" s="81"/>
      <c r="D225" s="81"/>
      <c r="E225" s="81" t="s">
        <v>329</v>
      </c>
      <c r="F225" s="82" t="str">
        <f aca="false">IF(E225="","",IF(LEFT(E225,2)="DJ","DJ","JN"))</f>
        <v>JN</v>
      </c>
      <c r="G225" s="81"/>
      <c r="H225" s="81"/>
      <c r="I225" s="81"/>
      <c r="J225" s="81"/>
      <c r="K225" s="81"/>
      <c r="L225" s="81"/>
      <c r="M225" s="81"/>
      <c r="N225" s="81"/>
      <c r="O225" s="81"/>
      <c r="P225" s="81"/>
      <c r="Q225" s="81"/>
      <c r="R225" s="81"/>
      <c r="S225" s="81"/>
      <c r="T225" s="81"/>
      <c r="U225" s="83"/>
      <c r="V225" s="83"/>
      <c r="W225" s="81"/>
      <c r="X225" s="81"/>
      <c r="Y225" s="83"/>
      <c r="Z225" s="81"/>
      <c r="AA225" s="81"/>
      <c r="AB225" s="81"/>
      <c r="AC225" s="81"/>
      <c r="AD225" s="81"/>
      <c r="AE225" s="83"/>
      <c r="AF225" s="81"/>
      <c r="AG225" s="81"/>
      <c r="AH225" s="81"/>
      <c r="AI225" s="81"/>
      <c r="AJ225" s="83"/>
      <c r="AK225" s="81"/>
      <c r="AL225" s="81"/>
      <c r="AM225" s="83"/>
      <c r="AN225" s="80"/>
      <c r="AO225" s="82" t="n">
        <f aca="false">IF(E225="","",(AA225&lt;&gt;"")+(AG225&lt;&gt;"")+(AL225&lt;&gt;""))</f>
        <v>0</v>
      </c>
      <c r="AP225" s="82" t="str">
        <f aca="false">IF(AL225&lt;&gt;"",AL225,IF(AG225&lt;&gt;"",AG225,IF(AA225&lt;&gt;"",AA225,"")))</f>
        <v/>
      </c>
      <c r="AQ225" s="84" t="str">
        <f aca="false">IF(E225="","",IF(U225="","À SOUDER",IF(X225="","VT EN ATTENTE",IF(X225="R","VT REJETÉ – À REPRENDRE",IF(AP225="","À RADIOGRAPHIER",IF(AP225="A","ACCEPTÉ",IF(AP225="NX","NX – RT À REFAIRE",IF(IF(AO225=1,AD225,IF(AO225=2,AI225,""))="A","RÉPARÉ – À RADIOGRAPHIER",IF(IF(AO225=1,AD225,IF(AO225=2,AI225,""))="R","VT REJETÉ – À REPRENDRE",IF(OR(AP225="CO",AP225="NT"),"COUPE – À RESOUDER","À RÉPARER"))))))))))</f>
        <v>À SOUDER</v>
      </c>
      <c r="AR225" s="82" t="str">
        <f aca="false">IF(AND(ISNUMBER(U225),OR(AQ225="À RADIOGRAPHIER",AQ225="RÉPARÉ – À RADIOGRAPHIER",AQ225="NX – RT À REFAIRE",AQ225="À RÉPARER",AQ225="COUPE – À RESOUDER",AQ225="VT REJETÉ – À REPRENDRE")),MAX(0,'PROGRAMME RT'!$C$4-U225),"")</f>
        <v/>
      </c>
      <c r="AS225" s="82" t="n">
        <f aca="false">IF(AND(OR(AQ225="À RADIOGRAPHIER",AQ225="RÉPARÉ – À RADIOGRAPHIER",AQ225="NX – RT À REFAIRE"),OR('PROGRAMME RT'!$D$5="TOUTES",B225='PROGRAMME RT'!$D$5)),1,0)</f>
        <v>0</v>
      </c>
      <c r="AT225" s="82" t="str">
        <f aca="false">IF(AS225=1,SUM(AS$7:AS225),"")</f>
        <v/>
      </c>
      <c r="AU225" s="82" t="n">
        <f aca="false">IF(AND(OR(AA225="R",AA225="NX",AA225="NT",AA225="CO"),OR('JOINTS DE RÉPARATION'!$D$5="TOUTES",B225='JOINTS DE RÉPARATION'!$D$5),OR('JOINTS DE RÉPARATION'!$L$4="TOUS",AQ225&lt;&gt;"ACCEPTÉ")),1,0)</f>
        <v>0</v>
      </c>
      <c r="AV225" s="82" t="str">
        <f aca="false">IF(AU225=1,SUM(AU$7:AU225),"")</f>
        <v/>
      </c>
      <c r="AW225" s="82" t="str">
        <f aca="false">IF(E225="","",B225&amp;"|"&amp;E225)</f>
        <v>MFD-ISW → MFD-CPF|JN°219</v>
      </c>
    </row>
    <row r="226" customFormat="false" ht="74.6" hidden="false" customHeight="false" outlineLevel="0" collapsed="false">
      <c r="A226" s="79" t="n">
        <f aca="false">IF(E226="","",ROW()-6)</f>
        <v>220</v>
      </c>
      <c r="B226" s="80" t="s">
        <v>110</v>
      </c>
      <c r="C226" s="81"/>
      <c r="D226" s="81"/>
      <c r="E226" s="81" t="s">
        <v>330</v>
      </c>
      <c r="F226" s="82" t="str">
        <f aca="false">IF(E226="","",IF(LEFT(E226,2)="DJ","DJ","JN"))</f>
        <v>JN</v>
      </c>
      <c r="G226" s="81"/>
      <c r="H226" s="81"/>
      <c r="I226" s="81"/>
      <c r="J226" s="81"/>
      <c r="K226" s="81"/>
      <c r="L226" s="81"/>
      <c r="M226" s="81"/>
      <c r="N226" s="81"/>
      <c r="O226" s="81"/>
      <c r="P226" s="81"/>
      <c r="Q226" s="81"/>
      <c r="R226" s="81"/>
      <c r="S226" s="81"/>
      <c r="T226" s="81"/>
      <c r="U226" s="83"/>
      <c r="V226" s="83"/>
      <c r="W226" s="81"/>
      <c r="X226" s="81"/>
      <c r="Y226" s="83"/>
      <c r="Z226" s="81"/>
      <c r="AA226" s="81"/>
      <c r="AB226" s="81"/>
      <c r="AC226" s="81"/>
      <c r="AD226" s="81"/>
      <c r="AE226" s="83"/>
      <c r="AF226" s="81"/>
      <c r="AG226" s="81"/>
      <c r="AH226" s="81"/>
      <c r="AI226" s="81"/>
      <c r="AJ226" s="83"/>
      <c r="AK226" s="81"/>
      <c r="AL226" s="81"/>
      <c r="AM226" s="83"/>
      <c r="AN226" s="80"/>
      <c r="AO226" s="82" t="n">
        <f aca="false">IF(E226="","",(AA226&lt;&gt;"")+(AG226&lt;&gt;"")+(AL226&lt;&gt;""))</f>
        <v>0</v>
      </c>
      <c r="AP226" s="82" t="str">
        <f aca="false">IF(AL226&lt;&gt;"",AL226,IF(AG226&lt;&gt;"",AG226,IF(AA226&lt;&gt;"",AA226,"")))</f>
        <v/>
      </c>
      <c r="AQ226" s="84" t="str">
        <f aca="false">IF(E226="","",IF(U226="","À SOUDER",IF(X226="","VT EN ATTENTE",IF(X226="R","VT REJETÉ – À REPRENDRE",IF(AP226="","À RADIOGRAPHIER",IF(AP226="A","ACCEPTÉ",IF(AP226="NX","NX – RT À REFAIRE",IF(IF(AO226=1,AD226,IF(AO226=2,AI226,""))="A","RÉPARÉ – À RADIOGRAPHIER",IF(IF(AO226=1,AD226,IF(AO226=2,AI226,""))="R","VT REJETÉ – À REPRENDRE",IF(OR(AP226="CO",AP226="NT"),"COUPE – À RESOUDER","À RÉPARER"))))))))))</f>
        <v>À SOUDER</v>
      </c>
      <c r="AR226" s="82" t="str">
        <f aca="false">IF(AND(ISNUMBER(U226),OR(AQ226="À RADIOGRAPHIER",AQ226="RÉPARÉ – À RADIOGRAPHIER",AQ226="NX – RT À REFAIRE",AQ226="À RÉPARER",AQ226="COUPE – À RESOUDER",AQ226="VT REJETÉ – À REPRENDRE")),MAX(0,'PROGRAMME RT'!$C$4-U226),"")</f>
        <v/>
      </c>
      <c r="AS226" s="82" t="n">
        <f aca="false">IF(AND(OR(AQ226="À RADIOGRAPHIER",AQ226="RÉPARÉ – À RADIOGRAPHIER",AQ226="NX – RT À REFAIRE"),OR('PROGRAMME RT'!$D$5="TOUTES",B226='PROGRAMME RT'!$D$5)),1,0)</f>
        <v>0</v>
      </c>
      <c r="AT226" s="82" t="str">
        <f aca="false">IF(AS226=1,SUM(AS$7:AS226),"")</f>
        <v/>
      </c>
      <c r="AU226" s="82" t="n">
        <f aca="false">IF(AND(OR(AA226="R",AA226="NX",AA226="NT",AA226="CO"),OR('JOINTS DE RÉPARATION'!$D$5="TOUTES",B226='JOINTS DE RÉPARATION'!$D$5),OR('JOINTS DE RÉPARATION'!$L$4="TOUS",AQ226&lt;&gt;"ACCEPTÉ")),1,0)</f>
        <v>0</v>
      </c>
      <c r="AV226" s="82" t="str">
        <f aca="false">IF(AU226=1,SUM(AU$7:AU226),"")</f>
        <v/>
      </c>
      <c r="AW226" s="82" t="str">
        <f aca="false">IF(E226="","",B226&amp;"|"&amp;E226)</f>
        <v>MFD-ISW → MFD-CPF|JN°220</v>
      </c>
    </row>
    <row r="227" customFormat="false" ht="74.6" hidden="false" customHeight="false" outlineLevel="0" collapsed="false">
      <c r="A227" s="79" t="n">
        <f aca="false">IF(E227="","",ROW()-6)</f>
        <v>221</v>
      </c>
      <c r="B227" s="80" t="s">
        <v>110</v>
      </c>
      <c r="C227" s="81"/>
      <c r="D227" s="81"/>
      <c r="E227" s="81" t="s">
        <v>331</v>
      </c>
      <c r="F227" s="82" t="str">
        <f aca="false">IF(E227="","",IF(LEFT(E227,2)="DJ","DJ","JN"))</f>
        <v>JN</v>
      </c>
      <c r="G227" s="81"/>
      <c r="H227" s="81"/>
      <c r="I227" s="81"/>
      <c r="J227" s="81"/>
      <c r="K227" s="81"/>
      <c r="L227" s="81"/>
      <c r="M227" s="81"/>
      <c r="N227" s="81"/>
      <c r="O227" s="81"/>
      <c r="P227" s="81"/>
      <c r="Q227" s="81"/>
      <c r="R227" s="81"/>
      <c r="S227" s="81"/>
      <c r="T227" s="81"/>
      <c r="U227" s="83"/>
      <c r="V227" s="83"/>
      <c r="W227" s="81"/>
      <c r="X227" s="81"/>
      <c r="Y227" s="83"/>
      <c r="Z227" s="81"/>
      <c r="AA227" s="81"/>
      <c r="AB227" s="81"/>
      <c r="AC227" s="81"/>
      <c r="AD227" s="81"/>
      <c r="AE227" s="83"/>
      <c r="AF227" s="81"/>
      <c r="AG227" s="81"/>
      <c r="AH227" s="81"/>
      <c r="AI227" s="81"/>
      <c r="AJ227" s="83"/>
      <c r="AK227" s="81"/>
      <c r="AL227" s="81"/>
      <c r="AM227" s="83"/>
      <c r="AN227" s="80"/>
      <c r="AO227" s="82" t="n">
        <f aca="false">IF(E227="","",(AA227&lt;&gt;"")+(AG227&lt;&gt;"")+(AL227&lt;&gt;""))</f>
        <v>0</v>
      </c>
      <c r="AP227" s="82" t="str">
        <f aca="false">IF(AL227&lt;&gt;"",AL227,IF(AG227&lt;&gt;"",AG227,IF(AA227&lt;&gt;"",AA227,"")))</f>
        <v/>
      </c>
      <c r="AQ227" s="84" t="str">
        <f aca="false">IF(E227="","",IF(U227="","À SOUDER",IF(X227="","VT EN ATTENTE",IF(X227="R","VT REJETÉ – À REPRENDRE",IF(AP227="","À RADIOGRAPHIER",IF(AP227="A","ACCEPTÉ",IF(AP227="NX","NX – RT À REFAIRE",IF(IF(AO227=1,AD227,IF(AO227=2,AI227,""))="A","RÉPARÉ – À RADIOGRAPHIER",IF(IF(AO227=1,AD227,IF(AO227=2,AI227,""))="R","VT REJETÉ – À REPRENDRE",IF(OR(AP227="CO",AP227="NT"),"COUPE – À RESOUDER","À RÉPARER"))))))))))</f>
        <v>À SOUDER</v>
      </c>
      <c r="AR227" s="82" t="str">
        <f aca="false">IF(AND(ISNUMBER(U227),OR(AQ227="À RADIOGRAPHIER",AQ227="RÉPARÉ – À RADIOGRAPHIER",AQ227="NX – RT À REFAIRE",AQ227="À RÉPARER",AQ227="COUPE – À RESOUDER",AQ227="VT REJETÉ – À REPRENDRE")),MAX(0,'PROGRAMME RT'!$C$4-U227),"")</f>
        <v/>
      </c>
      <c r="AS227" s="82" t="n">
        <f aca="false">IF(AND(OR(AQ227="À RADIOGRAPHIER",AQ227="RÉPARÉ – À RADIOGRAPHIER",AQ227="NX – RT À REFAIRE"),OR('PROGRAMME RT'!$D$5="TOUTES",B227='PROGRAMME RT'!$D$5)),1,0)</f>
        <v>0</v>
      </c>
      <c r="AT227" s="82" t="str">
        <f aca="false">IF(AS227=1,SUM(AS$7:AS227),"")</f>
        <v/>
      </c>
      <c r="AU227" s="82" t="n">
        <f aca="false">IF(AND(OR(AA227="R",AA227="NX",AA227="NT",AA227="CO"),OR('JOINTS DE RÉPARATION'!$D$5="TOUTES",B227='JOINTS DE RÉPARATION'!$D$5),OR('JOINTS DE RÉPARATION'!$L$4="TOUS",AQ227&lt;&gt;"ACCEPTÉ")),1,0)</f>
        <v>0</v>
      </c>
      <c r="AV227" s="82" t="str">
        <f aca="false">IF(AU227=1,SUM(AU$7:AU227),"")</f>
        <v/>
      </c>
      <c r="AW227" s="82" t="str">
        <f aca="false">IF(E227="","",B227&amp;"|"&amp;E227)</f>
        <v>MFD-ISW → MFD-CPF|JN°221</v>
      </c>
    </row>
    <row r="228" customFormat="false" ht="74.6" hidden="false" customHeight="false" outlineLevel="0" collapsed="false">
      <c r="A228" s="79" t="n">
        <f aca="false">IF(E228="","",ROW()-6)</f>
        <v>222</v>
      </c>
      <c r="B228" s="80" t="s">
        <v>110</v>
      </c>
      <c r="C228" s="81"/>
      <c r="D228" s="81"/>
      <c r="E228" s="81" t="s">
        <v>332</v>
      </c>
      <c r="F228" s="82" t="str">
        <f aca="false">IF(E228="","",IF(LEFT(E228,2)="DJ","DJ","JN"))</f>
        <v>JN</v>
      </c>
      <c r="G228" s="81"/>
      <c r="H228" s="81"/>
      <c r="I228" s="81"/>
      <c r="J228" s="81"/>
      <c r="K228" s="81"/>
      <c r="L228" s="81"/>
      <c r="M228" s="81"/>
      <c r="N228" s="81"/>
      <c r="O228" s="81"/>
      <c r="P228" s="81"/>
      <c r="Q228" s="81"/>
      <c r="R228" s="81"/>
      <c r="S228" s="81"/>
      <c r="T228" s="81"/>
      <c r="U228" s="83"/>
      <c r="V228" s="83"/>
      <c r="W228" s="81"/>
      <c r="X228" s="81"/>
      <c r="Y228" s="83"/>
      <c r="Z228" s="81"/>
      <c r="AA228" s="81"/>
      <c r="AB228" s="81"/>
      <c r="AC228" s="81"/>
      <c r="AD228" s="81"/>
      <c r="AE228" s="83"/>
      <c r="AF228" s="81"/>
      <c r="AG228" s="81"/>
      <c r="AH228" s="81"/>
      <c r="AI228" s="81"/>
      <c r="AJ228" s="83"/>
      <c r="AK228" s="81"/>
      <c r="AL228" s="81"/>
      <c r="AM228" s="83"/>
      <c r="AN228" s="80"/>
      <c r="AO228" s="82" t="n">
        <f aca="false">IF(E228="","",(AA228&lt;&gt;"")+(AG228&lt;&gt;"")+(AL228&lt;&gt;""))</f>
        <v>0</v>
      </c>
      <c r="AP228" s="82" t="str">
        <f aca="false">IF(AL228&lt;&gt;"",AL228,IF(AG228&lt;&gt;"",AG228,IF(AA228&lt;&gt;"",AA228,"")))</f>
        <v/>
      </c>
      <c r="AQ228" s="84" t="str">
        <f aca="false">IF(E228="","",IF(U228="","À SOUDER",IF(X228="","VT EN ATTENTE",IF(X228="R","VT REJETÉ – À REPRENDRE",IF(AP228="","À RADIOGRAPHIER",IF(AP228="A","ACCEPTÉ",IF(AP228="NX","NX – RT À REFAIRE",IF(IF(AO228=1,AD228,IF(AO228=2,AI228,""))="A","RÉPARÉ – À RADIOGRAPHIER",IF(IF(AO228=1,AD228,IF(AO228=2,AI228,""))="R","VT REJETÉ – À REPRENDRE",IF(OR(AP228="CO",AP228="NT"),"COUPE – À RESOUDER","À RÉPARER"))))))))))</f>
        <v>À SOUDER</v>
      </c>
      <c r="AR228" s="82" t="str">
        <f aca="false">IF(AND(ISNUMBER(U228),OR(AQ228="À RADIOGRAPHIER",AQ228="RÉPARÉ – À RADIOGRAPHIER",AQ228="NX – RT À REFAIRE",AQ228="À RÉPARER",AQ228="COUPE – À RESOUDER",AQ228="VT REJETÉ – À REPRENDRE")),MAX(0,'PROGRAMME RT'!$C$4-U228),"")</f>
        <v/>
      </c>
      <c r="AS228" s="82" t="n">
        <f aca="false">IF(AND(OR(AQ228="À RADIOGRAPHIER",AQ228="RÉPARÉ – À RADIOGRAPHIER",AQ228="NX – RT À REFAIRE"),OR('PROGRAMME RT'!$D$5="TOUTES",B228='PROGRAMME RT'!$D$5)),1,0)</f>
        <v>0</v>
      </c>
      <c r="AT228" s="82" t="str">
        <f aca="false">IF(AS228=1,SUM(AS$7:AS228),"")</f>
        <v/>
      </c>
      <c r="AU228" s="82" t="n">
        <f aca="false">IF(AND(OR(AA228="R",AA228="NX",AA228="NT",AA228="CO"),OR('JOINTS DE RÉPARATION'!$D$5="TOUTES",B228='JOINTS DE RÉPARATION'!$D$5),OR('JOINTS DE RÉPARATION'!$L$4="TOUS",AQ228&lt;&gt;"ACCEPTÉ")),1,0)</f>
        <v>0</v>
      </c>
      <c r="AV228" s="82" t="str">
        <f aca="false">IF(AU228=1,SUM(AU$7:AU228),"")</f>
        <v/>
      </c>
      <c r="AW228" s="82" t="str">
        <f aca="false">IF(E228="","",B228&amp;"|"&amp;E228)</f>
        <v>MFD-ISW → MFD-CPF|JN°222</v>
      </c>
    </row>
    <row r="229" customFormat="false" ht="74.6" hidden="false" customHeight="false" outlineLevel="0" collapsed="false">
      <c r="A229" s="79" t="n">
        <f aca="false">IF(E229="","",ROW()-6)</f>
        <v>223</v>
      </c>
      <c r="B229" s="80" t="s">
        <v>110</v>
      </c>
      <c r="C229" s="81"/>
      <c r="D229" s="81"/>
      <c r="E229" s="81" t="s">
        <v>333</v>
      </c>
      <c r="F229" s="82" t="str">
        <f aca="false">IF(E229="","",IF(LEFT(E229,2)="DJ","DJ","JN"))</f>
        <v>JN</v>
      </c>
      <c r="G229" s="81"/>
      <c r="H229" s="81"/>
      <c r="I229" s="81"/>
      <c r="J229" s="81"/>
      <c r="K229" s="81"/>
      <c r="L229" s="81"/>
      <c r="M229" s="81"/>
      <c r="N229" s="81"/>
      <c r="O229" s="81"/>
      <c r="P229" s="81"/>
      <c r="Q229" s="81"/>
      <c r="R229" s="81"/>
      <c r="S229" s="81"/>
      <c r="T229" s="81"/>
      <c r="U229" s="83"/>
      <c r="V229" s="83"/>
      <c r="W229" s="81"/>
      <c r="X229" s="81"/>
      <c r="Y229" s="83"/>
      <c r="Z229" s="81"/>
      <c r="AA229" s="81"/>
      <c r="AB229" s="81"/>
      <c r="AC229" s="81"/>
      <c r="AD229" s="81"/>
      <c r="AE229" s="83"/>
      <c r="AF229" s="81"/>
      <c r="AG229" s="81"/>
      <c r="AH229" s="81"/>
      <c r="AI229" s="81"/>
      <c r="AJ229" s="83"/>
      <c r="AK229" s="81"/>
      <c r="AL229" s="81"/>
      <c r="AM229" s="83"/>
      <c r="AN229" s="80"/>
      <c r="AO229" s="82" t="n">
        <f aca="false">IF(E229="","",(AA229&lt;&gt;"")+(AG229&lt;&gt;"")+(AL229&lt;&gt;""))</f>
        <v>0</v>
      </c>
      <c r="AP229" s="82" t="str">
        <f aca="false">IF(AL229&lt;&gt;"",AL229,IF(AG229&lt;&gt;"",AG229,IF(AA229&lt;&gt;"",AA229,"")))</f>
        <v/>
      </c>
      <c r="AQ229" s="84" t="str">
        <f aca="false">IF(E229="","",IF(U229="","À SOUDER",IF(X229="","VT EN ATTENTE",IF(X229="R","VT REJETÉ – À REPRENDRE",IF(AP229="","À RADIOGRAPHIER",IF(AP229="A","ACCEPTÉ",IF(AP229="NX","NX – RT À REFAIRE",IF(IF(AO229=1,AD229,IF(AO229=2,AI229,""))="A","RÉPARÉ – À RADIOGRAPHIER",IF(IF(AO229=1,AD229,IF(AO229=2,AI229,""))="R","VT REJETÉ – À REPRENDRE",IF(OR(AP229="CO",AP229="NT"),"COUPE – À RESOUDER","À RÉPARER"))))))))))</f>
        <v>À SOUDER</v>
      </c>
      <c r="AR229" s="82" t="str">
        <f aca="false">IF(AND(ISNUMBER(U229),OR(AQ229="À RADIOGRAPHIER",AQ229="RÉPARÉ – À RADIOGRAPHIER",AQ229="NX – RT À REFAIRE",AQ229="À RÉPARER",AQ229="COUPE – À RESOUDER",AQ229="VT REJETÉ – À REPRENDRE")),MAX(0,'PROGRAMME RT'!$C$4-U229),"")</f>
        <v/>
      </c>
      <c r="AS229" s="82" t="n">
        <f aca="false">IF(AND(OR(AQ229="À RADIOGRAPHIER",AQ229="RÉPARÉ – À RADIOGRAPHIER",AQ229="NX – RT À REFAIRE"),OR('PROGRAMME RT'!$D$5="TOUTES",B229='PROGRAMME RT'!$D$5)),1,0)</f>
        <v>0</v>
      </c>
      <c r="AT229" s="82" t="str">
        <f aca="false">IF(AS229=1,SUM(AS$7:AS229),"")</f>
        <v/>
      </c>
      <c r="AU229" s="82" t="n">
        <f aca="false">IF(AND(OR(AA229="R",AA229="NX",AA229="NT",AA229="CO"),OR('JOINTS DE RÉPARATION'!$D$5="TOUTES",B229='JOINTS DE RÉPARATION'!$D$5),OR('JOINTS DE RÉPARATION'!$L$4="TOUS",AQ229&lt;&gt;"ACCEPTÉ")),1,0)</f>
        <v>0</v>
      </c>
      <c r="AV229" s="82" t="str">
        <f aca="false">IF(AU229=1,SUM(AU$7:AU229),"")</f>
        <v/>
      </c>
      <c r="AW229" s="82" t="str">
        <f aca="false">IF(E229="","",B229&amp;"|"&amp;E229)</f>
        <v>MFD-ISW → MFD-CPF|JN°223</v>
      </c>
    </row>
    <row r="230" customFormat="false" ht="74.6" hidden="false" customHeight="false" outlineLevel="0" collapsed="false">
      <c r="A230" s="79" t="n">
        <f aca="false">IF(E230="","",ROW()-6)</f>
        <v>224</v>
      </c>
      <c r="B230" s="80" t="s">
        <v>110</v>
      </c>
      <c r="C230" s="81"/>
      <c r="D230" s="81"/>
      <c r="E230" s="81" t="s">
        <v>334</v>
      </c>
      <c r="F230" s="82" t="str">
        <f aca="false">IF(E230="","",IF(LEFT(E230,2)="DJ","DJ","JN"))</f>
        <v>JN</v>
      </c>
      <c r="G230" s="81"/>
      <c r="H230" s="81"/>
      <c r="I230" s="81"/>
      <c r="J230" s="81"/>
      <c r="K230" s="81"/>
      <c r="L230" s="81"/>
      <c r="M230" s="81"/>
      <c r="N230" s="81"/>
      <c r="O230" s="81"/>
      <c r="P230" s="81"/>
      <c r="Q230" s="81"/>
      <c r="R230" s="81"/>
      <c r="S230" s="81"/>
      <c r="T230" s="81"/>
      <c r="U230" s="83"/>
      <c r="V230" s="83"/>
      <c r="W230" s="81"/>
      <c r="X230" s="81"/>
      <c r="Y230" s="83"/>
      <c r="Z230" s="81"/>
      <c r="AA230" s="81"/>
      <c r="AB230" s="81"/>
      <c r="AC230" s="81"/>
      <c r="AD230" s="81"/>
      <c r="AE230" s="83"/>
      <c r="AF230" s="81"/>
      <c r="AG230" s="81"/>
      <c r="AH230" s="81"/>
      <c r="AI230" s="81"/>
      <c r="AJ230" s="83"/>
      <c r="AK230" s="81"/>
      <c r="AL230" s="81"/>
      <c r="AM230" s="83"/>
      <c r="AN230" s="80"/>
      <c r="AO230" s="82" t="n">
        <f aca="false">IF(E230="","",(AA230&lt;&gt;"")+(AG230&lt;&gt;"")+(AL230&lt;&gt;""))</f>
        <v>0</v>
      </c>
      <c r="AP230" s="82" t="str">
        <f aca="false">IF(AL230&lt;&gt;"",AL230,IF(AG230&lt;&gt;"",AG230,IF(AA230&lt;&gt;"",AA230,"")))</f>
        <v/>
      </c>
      <c r="AQ230" s="84" t="str">
        <f aca="false">IF(E230="","",IF(U230="","À SOUDER",IF(X230="","VT EN ATTENTE",IF(X230="R","VT REJETÉ – À REPRENDRE",IF(AP230="","À RADIOGRAPHIER",IF(AP230="A","ACCEPTÉ",IF(AP230="NX","NX – RT À REFAIRE",IF(IF(AO230=1,AD230,IF(AO230=2,AI230,""))="A","RÉPARÉ – À RADIOGRAPHIER",IF(IF(AO230=1,AD230,IF(AO230=2,AI230,""))="R","VT REJETÉ – À REPRENDRE",IF(OR(AP230="CO",AP230="NT"),"COUPE – À RESOUDER","À RÉPARER"))))))))))</f>
        <v>À SOUDER</v>
      </c>
      <c r="AR230" s="82" t="str">
        <f aca="false">IF(AND(ISNUMBER(U230),OR(AQ230="À RADIOGRAPHIER",AQ230="RÉPARÉ – À RADIOGRAPHIER",AQ230="NX – RT À REFAIRE",AQ230="À RÉPARER",AQ230="COUPE – À RESOUDER",AQ230="VT REJETÉ – À REPRENDRE")),MAX(0,'PROGRAMME RT'!$C$4-U230),"")</f>
        <v/>
      </c>
      <c r="AS230" s="82" t="n">
        <f aca="false">IF(AND(OR(AQ230="À RADIOGRAPHIER",AQ230="RÉPARÉ – À RADIOGRAPHIER",AQ230="NX – RT À REFAIRE"),OR('PROGRAMME RT'!$D$5="TOUTES",B230='PROGRAMME RT'!$D$5)),1,0)</f>
        <v>0</v>
      </c>
      <c r="AT230" s="82" t="str">
        <f aca="false">IF(AS230=1,SUM(AS$7:AS230),"")</f>
        <v/>
      </c>
      <c r="AU230" s="82" t="n">
        <f aca="false">IF(AND(OR(AA230="R",AA230="NX",AA230="NT",AA230="CO"),OR('JOINTS DE RÉPARATION'!$D$5="TOUTES",B230='JOINTS DE RÉPARATION'!$D$5),OR('JOINTS DE RÉPARATION'!$L$4="TOUS",AQ230&lt;&gt;"ACCEPTÉ")),1,0)</f>
        <v>0</v>
      </c>
      <c r="AV230" s="82" t="str">
        <f aca="false">IF(AU230=1,SUM(AU$7:AU230),"")</f>
        <v/>
      </c>
      <c r="AW230" s="82" t="str">
        <f aca="false">IF(E230="","",B230&amp;"|"&amp;E230)</f>
        <v>MFD-ISW → MFD-CPF|JN°224</v>
      </c>
    </row>
    <row r="231" customFormat="false" ht="74.6" hidden="false" customHeight="false" outlineLevel="0" collapsed="false">
      <c r="A231" s="79" t="n">
        <f aca="false">IF(E231="","",ROW()-6)</f>
        <v>225</v>
      </c>
      <c r="B231" s="80" t="s">
        <v>110</v>
      </c>
      <c r="C231" s="81"/>
      <c r="D231" s="81"/>
      <c r="E231" s="81" t="s">
        <v>335</v>
      </c>
      <c r="F231" s="82" t="str">
        <f aca="false">IF(E231="","",IF(LEFT(E231,2)="DJ","DJ","JN"))</f>
        <v>JN</v>
      </c>
      <c r="G231" s="81"/>
      <c r="H231" s="81"/>
      <c r="I231" s="81"/>
      <c r="J231" s="81"/>
      <c r="K231" s="81"/>
      <c r="L231" s="81"/>
      <c r="M231" s="81"/>
      <c r="N231" s="81"/>
      <c r="O231" s="81"/>
      <c r="P231" s="81"/>
      <c r="Q231" s="81"/>
      <c r="R231" s="81"/>
      <c r="S231" s="81"/>
      <c r="T231" s="81"/>
      <c r="U231" s="83"/>
      <c r="V231" s="83"/>
      <c r="W231" s="81"/>
      <c r="X231" s="81"/>
      <c r="Y231" s="83"/>
      <c r="Z231" s="81"/>
      <c r="AA231" s="81"/>
      <c r="AB231" s="81"/>
      <c r="AC231" s="81"/>
      <c r="AD231" s="81"/>
      <c r="AE231" s="83"/>
      <c r="AF231" s="81"/>
      <c r="AG231" s="81"/>
      <c r="AH231" s="81"/>
      <c r="AI231" s="81"/>
      <c r="AJ231" s="83"/>
      <c r="AK231" s="81"/>
      <c r="AL231" s="81"/>
      <c r="AM231" s="83"/>
      <c r="AN231" s="80"/>
      <c r="AO231" s="82" t="n">
        <f aca="false">IF(E231="","",(AA231&lt;&gt;"")+(AG231&lt;&gt;"")+(AL231&lt;&gt;""))</f>
        <v>0</v>
      </c>
      <c r="AP231" s="82" t="str">
        <f aca="false">IF(AL231&lt;&gt;"",AL231,IF(AG231&lt;&gt;"",AG231,IF(AA231&lt;&gt;"",AA231,"")))</f>
        <v/>
      </c>
      <c r="AQ231" s="84" t="str">
        <f aca="false">IF(E231="","",IF(U231="","À SOUDER",IF(X231="","VT EN ATTENTE",IF(X231="R","VT REJETÉ – À REPRENDRE",IF(AP231="","À RADIOGRAPHIER",IF(AP231="A","ACCEPTÉ",IF(AP231="NX","NX – RT À REFAIRE",IF(IF(AO231=1,AD231,IF(AO231=2,AI231,""))="A","RÉPARÉ – À RADIOGRAPHIER",IF(IF(AO231=1,AD231,IF(AO231=2,AI231,""))="R","VT REJETÉ – À REPRENDRE",IF(OR(AP231="CO",AP231="NT"),"COUPE – À RESOUDER","À RÉPARER"))))))))))</f>
        <v>À SOUDER</v>
      </c>
      <c r="AR231" s="82" t="str">
        <f aca="false">IF(AND(ISNUMBER(U231),OR(AQ231="À RADIOGRAPHIER",AQ231="RÉPARÉ – À RADIOGRAPHIER",AQ231="NX – RT À REFAIRE",AQ231="À RÉPARER",AQ231="COUPE – À RESOUDER",AQ231="VT REJETÉ – À REPRENDRE")),MAX(0,'PROGRAMME RT'!$C$4-U231),"")</f>
        <v/>
      </c>
      <c r="AS231" s="82" t="n">
        <f aca="false">IF(AND(OR(AQ231="À RADIOGRAPHIER",AQ231="RÉPARÉ – À RADIOGRAPHIER",AQ231="NX – RT À REFAIRE"),OR('PROGRAMME RT'!$D$5="TOUTES",B231='PROGRAMME RT'!$D$5)),1,0)</f>
        <v>0</v>
      </c>
      <c r="AT231" s="82" t="str">
        <f aca="false">IF(AS231=1,SUM(AS$7:AS231),"")</f>
        <v/>
      </c>
      <c r="AU231" s="82" t="n">
        <f aca="false">IF(AND(OR(AA231="R",AA231="NX",AA231="NT",AA231="CO"),OR('JOINTS DE RÉPARATION'!$D$5="TOUTES",B231='JOINTS DE RÉPARATION'!$D$5),OR('JOINTS DE RÉPARATION'!$L$4="TOUS",AQ231&lt;&gt;"ACCEPTÉ")),1,0)</f>
        <v>0</v>
      </c>
      <c r="AV231" s="82" t="str">
        <f aca="false">IF(AU231=1,SUM(AU$7:AU231),"")</f>
        <v/>
      </c>
      <c r="AW231" s="82" t="str">
        <f aca="false">IF(E231="","",B231&amp;"|"&amp;E231)</f>
        <v>MFD-ISW → MFD-CPF|JN°225</v>
      </c>
    </row>
    <row r="232" customFormat="false" ht="74.6" hidden="false" customHeight="false" outlineLevel="0" collapsed="false">
      <c r="A232" s="79" t="n">
        <f aca="false">IF(E232="","",ROW()-6)</f>
        <v>226</v>
      </c>
      <c r="B232" s="80" t="s">
        <v>110</v>
      </c>
      <c r="C232" s="81"/>
      <c r="D232" s="81"/>
      <c r="E232" s="81" t="s">
        <v>336</v>
      </c>
      <c r="F232" s="82" t="str">
        <f aca="false">IF(E232="","",IF(LEFT(E232,2)="DJ","DJ","JN"))</f>
        <v>JN</v>
      </c>
      <c r="G232" s="81"/>
      <c r="H232" s="81"/>
      <c r="I232" s="81"/>
      <c r="J232" s="81"/>
      <c r="K232" s="81"/>
      <c r="L232" s="81"/>
      <c r="M232" s="81"/>
      <c r="N232" s="81"/>
      <c r="O232" s="81"/>
      <c r="P232" s="81"/>
      <c r="Q232" s="81"/>
      <c r="R232" s="81"/>
      <c r="S232" s="81"/>
      <c r="T232" s="81"/>
      <c r="U232" s="83"/>
      <c r="V232" s="83"/>
      <c r="W232" s="81"/>
      <c r="X232" s="81"/>
      <c r="Y232" s="83"/>
      <c r="Z232" s="81"/>
      <c r="AA232" s="81"/>
      <c r="AB232" s="81"/>
      <c r="AC232" s="81"/>
      <c r="AD232" s="81"/>
      <c r="AE232" s="83"/>
      <c r="AF232" s="81"/>
      <c r="AG232" s="81"/>
      <c r="AH232" s="81"/>
      <c r="AI232" s="81"/>
      <c r="AJ232" s="83"/>
      <c r="AK232" s="81"/>
      <c r="AL232" s="81"/>
      <c r="AM232" s="83"/>
      <c r="AN232" s="80"/>
      <c r="AO232" s="82" t="n">
        <f aca="false">IF(E232="","",(AA232&lt;&gt;"")+(AG232&lt;&gt;"")+(AL232&lt;&gt;""))</f>
        <v>0</v>
      </c>
      <c r="AP232" s="82" t="str">
        <f aca="false">IF(AL232&lt;&gt;"",AL232,IF(AG232&lt;&gt;"",AG232,IF(AA232&lt;&gt;"",AA232,"")))</f>
        <v/>
      </c>
      <c r="AQ232" s="84" t="str">
        <f aca="false">IF(E232="","",IF(U232="","À SOUDER",IF(X232="","VT EN ATTENTE",IF(X232="R","VT REJETÉ – À REPRENDRE",IF(AP232="","À RADIOGRAPHIER",IF(AP232="A","ACCEPTÉ",IF(AP232="NX","NX – RT À REFAIRE",IF(IF(AO232=1,AD232,IF(AO232=2,AI232,""))="A","RÉPARÉ – À RADIOGRAPHIER",IF(IF(AO232=1,AD232,IF(AO232=2,AI232,""))="R","VT REJETÉ – À REPRENDRE",IF(OR(AP232="CO",AP232="NT"),"COUPE – À RESOUDER","À RÉPARER"))))))))))</f>
        <v>À SOUDER</v>
      </c>
      <c r="AR232" s="82" t="str">
        <f aca="false">IF(AND(ISNUMBER(U232),OR(AQ232="À RADIOGRAPHIER",AQ232="RÉPARÉ – À RADIOGRAPHIER",AQ232="NX – RT À REFAIRE",AQ232="À RÉPARER",AQ232="COUPE – À RESOUDER",AQ232="VT REJETÉ – À REPRENDRE")),MAX(0,'PROGRAMME RT'!$C$4-U232),"")</f>
        <v/>
      </c>
      <c r="AS232" s="82" t="n">
        <f aca="false">IF(AND(OR(AQ232="À RADIOGRAPHIER",AQ232="RÉPARÉ – À RADIOGRAPHIER",AQ232="NX – RT À REFAIRE"),OR('PROGRAMME RT'!$D$5="TOUTES",B232='PROGRAMME RT'!$D$5)),1,0)</f>
        <v>0</v>
      </c>
      <c r="AT232" s="82" t="str">
        <f aca="false">IF(AS232=1,SUM(AS$7:AS232),"")</f>
        <v/>
      </c>
      <c r="AU232" s="82" t="n">
        <f aca="false">IF(AND(OR(AA232="R",AA232="NX",AA232="NT",AA232="CO"),OR('JOINTS DE RÉPARATION'!$D$5="TOUTES",B232='JOINTS DE RÉPARATION'!$D$5),OR('JOINTS DE RÉPARATION'!$L$4="TOUS",AQ232&lt;&gt;"ACCEPTÉ")),1,0)</f>
        <v>0</v>
      </c>
      <c r="AV232" s="82" t="str">
        <f aca="false">IF(AU232=1,SUM(AU$7:AU232),"")</f>
        <v/>
      </c>
      <c r="AW232" s="82" t="str">
        <f aca="false">IF(E232="","",B232&amp;"|"&amp;E232)</f>
        <v>MFD-ISW → MFD-CPF|JN°226</v>
      </c>
    </row>
    <row r="233" customFormat="false" ht="74.6" hidden="false" customHeight="false" outlineLevel="0" collapsed="false">
      <c r="A233" s="79" t="n">
        <f aca="false">IF(E233="","",ROW()-6)</f>
        <v>227</v>
      </c>
      <c r="B233" s="80" t="s">
        <v>110</v>
      </c>
      <c r="C233" s="81"/>
      <c r="D233" s="81"/>
      <c r="E233" s="81" t="s">
        <v>337</v>
      </c>
      <c r="F233" s="82" t="str">
        <f aca="false">IF(E233="","",IF(LEFT(E233,2)="DJ","DJ","JN"))</f>
        <v>JN</v>
      </c>
      <c r="G233" s="81"/>
      <c r="H233" s="81"/>
      <c r="I233" s="81"/>
      <c r="J233" s="81"/>
      <c r="K233" s="81"/>
      <c r="L233" s="81"/>
      <c r="M233" s="81"/>
      <c r="N233" s="81"/>
      <c r="O233" s="81"/>
      <c r="P233" s="81"/>
      <c r="Q233" s="81"/>
      <c r="R233" s="81"/>
      <c r="S233" s="81"/>
      <c r="T233" s="81"/>
      <c r="U233" s="83"/>
      <c r="V233" s="83"/>
      <c r="W233" s="81"/>
      <c r="X233" s="81"/>
      <c r="Y233" s="83"/>
      <c r="Z233" s="81"/>
      <c r="AA233" s="81"/>
      <c r="AB233" s="81"/>
      <c r="AC233" s="81"/>
      <c r="AD233" s="81"/>
      <c r="AE233" s="83"/>
      <c r="AF233" s="81"/>
      <c r="AG233" s="81"/>
      <c r="AH233" s="81"/>
      <c r="AI233" s="81"/>
      <c r="AJ233" s="83"/>
      <c r="AK233" s="81"/>
      <c r="AL233" s="81"/>
      <c r="AM233" s="83"/>
      <c r="AN233" s="80"/>
      <c r="AO233" s="82" t="n">
        <f aca="false">IF(E233="","",(AA233&lt;&gt;"")+(AG233&lt;&gt;"")+(AL233&lt;&gt;""))</f>
        <v>0</v>
      </c>
      <c r="AP233" s="82" t="str">
        <f aca="false">IF(AL233&lt;&gt;"",AL233,IF(AG233&lt;&gt;"",AG233,IF(AA233&lt;&gt;"",AA233,"")))</f>
        <v/>
      </c>
      <c r="AQ233" s="84" t="str">
        <f aca="false">IF(E233="","",IF(U233="","À SOUDER",IF(X233="","VT EN ATTENTE",IF(X233="R","VT REJETÉ – À REPRENDRE",IF(AP233="","À RADIOGRAPHIER",IF(AP233="A","ACCEPTÉ",IF(AP233="NX","NX – RT À REFAIRE",IF(IF(AO233=1,AD233,IF(AO233=2,AI233,""))="A","RÉPARÉ – À RADIOGRAPHIER",IF(IF(AO233=1,AD233,IF(AO233=2,AI233,""))="R","VT REJETÉ – À REPRENDRE",IF(OR(AP233="CO",AP233="NT"),"COUPE – À RESOUDER","À RÉPARER"))))))))))</f>
        <v>À SOUDER</v>
      </c>
      <c r="AR233" s="82" t="str">
        <f aca="false">IF(AND(ISNUMBER(U233),OR(AQ233="À RADIOGRAPHIER",AQ233="RÉPARÉ – À RADIOGRAPHIER",AQ233="NX – RT À REFAIRE",AQ233="À RÉPARER",AQ233="COUPE – À RESOUDER",AQ233="VT REJETÉ – À REPRENDRE")),MAX(0,'PROGRAMME RT'!$C$4-U233),"")</f>
        <v/>
      </c>
      <c r="AS233" s="82" t="n">
        <f aca="false">IF(AND(OR(AQ233="À RADIOGRAPHIER",AQ233="RÉPARÉ – À RADIOGRAPHIER",AQ233="NX – RT À REFAIRE"),OR('PROGRAMME RT'!$D$5="TOUTES",B233='PROGRAMME RT'!$D$5)),1,0)</f>
        <v>0</v>
      </c>
      <c r="AT233" s="82" t="str">
        <f aca="false">IF(AS233=1,SUM(AS$7:AS233),"")</f>
        <v/>
      </c>
      <c r="AU233" s="82" t="n">
        <f aca="false">IF(AND(OR(AA233="R",AA233="NX",AA233="NT",AA233="CO"),OR('JOINTS DE RÉPARATION'!$D$5="TOUTES",B233='JOINTS DE RÉPARATION'!$D$5),OR('JOINTS DE RÉPARATION'!$L$4="TOUS",AQ233&lt;&gt;"ACCEPTÉ")),1,0)</f>
        <v>0</v>
      </c>
      <c r="AV233" s="82" t="str">
        <f aca="false">IF(AU233=1,SUM(AU$7:AU233),"")</f>
        <v/>
      </c>
      <c r="AW233" s="82" t="str">
        <f aca="false">IF(E233="","",B233&amp;"|"&amp;E233)</f>
        <v>MFD-ISW → MFD-CPF|JN°227</v>
      </c>
    </row>
    <row r="234" customFormat="false" ht="74.6" hidden="false" customHeight="false" outlineLevel="0" collapsed="false">
      <c r="A234" s="79" t="n">
        <f aca="false">IF(E234="","",ROW()-6)</f>
        <v>228</v>
      </c>
      <c r="B234" s="80" t="s">
        <v>110</v>
      </c>
      <c r="C234" s="81"/>
      <c r="D234" s="81"/>
      <c r="E234" s="81" t="s">
        <v>338</v>
      </c>
      <c r="F234" s="82" t="str">
        <f aca="false">IF(E234="","",IF(LEFT(E234,2)="DJ","DJ","JN"))</f>
        <v>JN</v>
      </c>
      <c r="G234" s="81"/>
      <c r="H234" s="81"/>
      <c r="I234" s="81"/>
      <c r="J234" s="81"/>
      <c r="K234" s="81"/>
      <c r="L234" s="81"/>
      <c r="M234" s="81"/>
      <c r="N234" s="81"/>
      <c r="O234" s="81"/>
      <c r="P234" s="81"/>
      <c r="Q234" s="81"/>
      <c r="R234" s="81"/>
      <c r="S234" s="81"/>
      <c r="T234" s="81"/>
      <c r="U234" s="83"/>
      <c r="V234" s="83"/>
      <c r="W234" s="81"/>
      <c r="X234" s="81"/>
      <c r="Y234" s="83"/>
      <c r="Z234" s="81"/>
      <c r="AA234" s="81"/>
      <c r="AB234" s="81"/>
      <c r="AC234" s="81"/>
      <c r="AD234" s="81"/>
      <c r="AE234" s="83"/>
      <c r="AF234" s="81"/>
      <c r="AG234" s="81"/>
      <c r="AH234" s="81"/>
      <c r="AI234" s="81"/>
      <c r="AJ234" s="83"/>
      <c r="AK234" s="81"/>
      <c r="AL234" s="81"/>
      <c r="AM234" s="83"/>
      <c r="AN234" s="80"/>
      <c r="AO234" s="82" t="n">
        <f aca="false">IF(E234="","",(AA234&lt;&gt;"")+(AG234&lt;&gt;"")+(AL234&lt;&gt;""))</f>
        <v>0</v>
      </c>
      <c r="AP234" s="82" t="str">
        <f aca="false">IF(AL234&lt;&gt;"",AL234,IF(AG234&lt;&gt;"",AG234,IF(AA234&lt;&gt;"",AA234,"")))</f>
        <v/>
      </c>
      <c r="AQ234" s="84" t="str">
        <f aca="false">IF(E234="","",IF(U234="","À SOUDER",IF(X234="","VT EN ATTENTE",IF(X234="R","VT REJETÉ – À REPRENDRE",IF(AP234="","À RADIOGRAPHIER",IF(AP234="A","ACCEPTÉ",IF(AP234="NX","NX – RT À REFAIRE",IF(IF(AO234=1,AD234,IF(AO234=2,AI234,""))="A","RÉPARÉ – À RADIOGRAPHIER",IF(IF(AO234=1,AD234,IF(AO234=2,AI234,""))="R","VT REJETÉ – À REPRENDRE",IF(OR(AP234="CO",AP234="NT"),"COUPE – À RESOUDER","À RÉPARER"))))))))))</f>
        <v>À SOUDER</v>
      </c>
      <c r="AR234" s="82" t="str">
        <f aca="false">IF(AND(ISNUMBER(U234),OR(AQ234="À RADIOGRAPHIER",AQ234="RÉPARÉ – À RADIOGRAPHIER",AQ234="NX – RT À REFAIRE",AQ234="À RÉPARER",AQ234="COUPE – À RESOUDER",AQ234="VT REJETÉ – À REPRENDRE")),MAX(0,'PROGRAMME RT'!$C$4-U234),"")</f>
        <v/>
      </c>
      <c r="AS234" s="82" t="n">
        <f aca="false">IF(AND(OR(AQ234="À RADIOGRAPHIER",AQ234="RÉPARÉ – À RADIOGRAPHIER",AQ234="NX – RT À REFAIRE"),OR('PROGRAMME RT'!$D$5="TOUTES",B234='PROGRAMME RT'!$D$5)),1,0)</f>
        <v>0</v>
      </c>
      <c r="AT234" s="82" t="str">
        <f aca="false">IF(AS234=1,SUM(AS$7:AS234),"")</f>
        <v/>
      </c>
      <c r="AU234" s="82" t="n">
        <f aca="false">IF(AND(OR(AA234="R",AA234="NX",AA234="NT",AA234="CO"),OR('JOINTS DE RÉPARATION'!$D$5="TOUTES",B234='JOINTS DE RÉPARATION'!$D$5),OR('JOINTS DE RÉPARATION'!$L$4="TOUS",AQ234&lt;&gt;"ACCEPTÉ")),1,0)</f>
        <v>0</v>
      </c>
      <c r="AV234" s="82" t="str">
        <f aca="false">IF(AU234=1,SUM(AU$7:AU234),"")</f>
        <v/>
      </c>
      <c r="AW234" s="82" t="str">
        <f aca="false">IF(E234="","",B234&amp;"|"&amp;E234)</f>
        <v>MFD-ISW → MFD-CPF|JN°228</v>
      </c>
    </row>
    <row r="235" customFormat="false" ht="74.6" hidden="false" customHeight="false" outlineLevel="0" collapsed="false">
      <c r="A235" s="79" t="n">
        <f aca="false">IF(E235="","",ROW()-6)</f>
        <v>229</v>
      </c>
      <c r="B235" s="80" t="s">
        <v>110</v>
      </c>
      <c r="C235" s="81"/>
      <c r="D235" s="81"/>
      <c r="E235" s="81" t="s">
        <v>339</v>
      </c>
      <c r="F235" s="82" t="str">
        <f aca="false">IF(E235="","",IF(LEFT(E235,2)="DJ","DJ","JN"))</f>
        <v>JN</v>
      </c>
      <c r="G235" s="81"/>
      <c r="H235" s="81"/>
      <c r="I235" s="81"/>
      <c r="J235" s="81"/>
      <c r="K235" s="81"/>
      <c r="L235" s="81"/>
      <c r="M235" s="81"/>
      <c r="N235" s="81"/>
      <c r="O235" s="81"/>
      <c r="P235" s="81"/>
      <c r="Q235" s="81"/>
      <c r="R235" s="81"/>
      <c r="S235" s="81"/>
      <c r="T235" s="81"/>
      <c r="U235" s="83"/>
      <c r="V235" s="83"/>
      <c r="W235" s="81"/>
      <c r="X235" s="81"/>
      <c r="Y235" s="83"/>
      <c r="Z235" s="81"/>
      <c r="AA235" s="81"/>
      <c r="AB235" s="81"/>
      <c r="AC235" s="81"/>
      <c r="AD235" s="81"/>
      <c r="AE235" s="83"/>
      <c r="AF235" s="81"/>
      <c r="AG235" s="81"/>
      <c r="AH235" s="81"/>
      <c r="AI235" s="81"/>
      <c r="AJ235" s="83"/>
      <c r="AK235" s="81"/>
      <c r="AL235" s="81"/>
      <c r="AM235" s="83"/>
      <c r="AN235" s="80"/>
      <c r="AO235" s="82" t="n">
        <f aca="false">IF(E235="","",(AA235&lt;&gt;"")+(AG235&lt;&gt;"")+(AL235&lt;&gt;""))</f>
        <v>0</v>
      </c>
      <c r="AP235" s="82" t="str">
        <f aca="false">IF(AL235&lt;&gt;"",AL235,IF(AG235&lt;&gt;"",AG235,IF(AA235&lt;&gt;"",AA235,"")))</f>
        <v/>
      </c>
      <c r="AQ235" s="84" t="str">
        <f aca="false">IF(E235="","",IF(U235="","À SOUDER",IF(X235="","VT EN ATTENTE",IF(X235="R","VT REJETÉ – À REPRENDRE",IF(AP235="","À RADIOGRAPHIER",IF(AP235="A","ACCEPTÉ",IF(AP235="NX","NX – RT À REFAIRE",IF(IF(AO235=1,AD235,IF(AO235=2,AI235,""))="A","RÉPARÉ – À RADIOGRAPHIER",IF(IF(AO235=1,AD235,IF(AO235=2,AI235,""))="R","VT REJETÉ – À REPRENDRE",IF(OR(AP235="CO",AP235="NT"),"COUPE – À RESOUDER","À RÉPARER"))))))))))</f>
        <v>À SOUDER</v>
      </c>
      <c r="AR235" s="82" t="str">
        <f aca="false">IF(AND(ISNUMBER(U235),OR(AQ235="À RADIOGRAPHIER",AQ235="RÉPARÉ – À RADIOGRAPHIER",AQ235="NX – RT À REFAIRE",AQ235="À RÉPARER",AQ235="COUPE – À RESOUDER",AQ235="VT REJETÉ – À REPRENDRE")),MAX(0,'PROGRAMME RT'!$C$4-U235),"")</f>
        <v/>
      </c>
      <c r="AS235" s="82" t="n">
        <f aca="false">IF(AND(OR(AQ235="À RADIOGRAPHIER",AQ235="RÉPARÉ – À RADIOGRAPHIER",AQ235="NX – RT À REFAIRE"),OR('PROGRAMME RT'!$D$5="TOUTES",B235='PROGRAMME RT'!$D$5)),1,0)</f>
        <v>0</v>
      </c>
      <c r="AT235" s="82" t="str">
        <f aca="false">IF(AS235=1,SUM(AS$7:AS235),"")</f>
        <v/>
      </c>
      <c r="AU235" s="82" t="n">
        <f aca="false">IF(AND(OR(AA235="R",AA235="NX",AA235="NT",AA235="CO"),OR('JOINTS DE RÉPARATION'!$D$5="TOUTES",B235='JOINTS DE RÉPARATION'!$D$5),OR('JOINTS DE RÉPARATION'!$L$4="TOUS",AQ235&lt;&gt;"ACCEPTÉ")),1,0)</f>
        <v>0</v>
      </c>
      <c r="AV235" s="82" t="str">
        <f aca="false">IF(AU235=1,SUM(AU$7:AU235),"")</f>
        <v/>
      </c>
      <c r="AW235" s="82" t="str">
        <f aca="false">IF(E235="","",B235&amp;"|"&amp;E235)</f>
        <v>MFD-ISW → MFD-CPF|JN°229</v>
      </c>
    </row>
    <row r="236" customFormat="false" ht="74.6" hidden="false" customHeight="false" outlineLevel="0" collapsed="false">
      <c r="A236" s="79" t="n">
        <f aca="false">IF(E236="","",ROW()-6)</f>
        <v>230</v>
      </c>
      <c r="B236" s="80" t="s">
        <v>110</v>
      </c>
      <c r="C236" s="81"/>
      <c r="D236" s="81"/>
      <c r="E236" s="81" t="s">
        <v>340</v>
      </c>
      <c r="F236" s="82" t="str">
        <f aca="false">IF(E236="","",IF(LEFT(E236,2)="DJ","DJ","JN"))</f>
        <v>JN</v>
      </c>
      <c r="G236" s="81"/>
      <c r="H236" s="81"/>
      <c r="I236" s="81"/>
      <c r="J236" s="81"/>
      <c r="K236" s="81"/>
      <c r="L236" s="81"/>
      <c r="M236" s="81"/>
      <c r="N236" s="81"/>
      <c r="O236" s="81"/>
      <c r="P236" s="81"/>
      <c r="Q236" s="81"/>
      <c r="R236" s="81"/>
      <c r="S236" s="81"/>
      <c r="T236" s="81"/>
      <c r="U236" s="83"/>
      <c r="V236" s="83"/>
      <c r="W236" s="81"/>
      <c r="X236" s="81"/>
      <c r="Y236" s="83"/>
      <c r="Z236" s="81"/>
      <c r="AA236" s="81"/>
      <c r="AB236" s="81"/>
      <c r="AC236" s="81"/>
      <c r="AD236" s="81"/>
      <c r="AE236" s="83"/>
      <c r="AF236" s="81"/>
      <c r="AG236" s="81"/>
      <c r="AH236" s="81"/>
      <c r="AI236" s="81"/>
      <c r="AJ236" s="83"/>
      <c r="AK236" s="81"/>
      <c r="AL236" s="81"/>
      <c r="AM236" s="83"/>
      <c r="AN236" s="80"/>
      <c r="AO236" s="82" t="n">
        <f aca="false">IF(E236="","",(AA236&lt;&gt;"")+(AG236&lt;&gt;"")+(AL236&lt;&gt;""))</f>
        <v>0</v>
      </c>
      <c r="AP236" s="82" t="str">
        <f aca="false">IF(AL236&lt;&gt;"",AL236,IF(AG236&lt;&gt;"",AG236,IF(AA236&lt;&gt;"",AA236,"")))</f>
        <v/>
      </c>
      <c r="AQ236" s="84" t="str">
        <f aca="false">IF(E236="","",IF(U236="","À SOUDER",IF(X236="","VT EN ATTENTE",IF(X236="R","VT REJETÉ – À REPRENDRE",IF(AP236="","À RADIOGRAPHIER",IF(AP236="A","ACCEPTÉ",IF(AP236="NX","NX – RT À REFAIRE",IF(IF(AO236=1,AD236,IF(AO236=2,AI236,""))="A","RÉPARÉ – À RADIOGRAPHIER",IF(IF(AO236=1,AD236,IF(AO236=2,AI236,""))="R","VT REJETÉ – À REPRENDRE",IF(OR(AP236="CO",AP236="NT"),"COUPE – À RESOUDER","À RÉPARER"))))))))))</f>
        <v>À SOUDER</v>
      </c>
      <c r="AR236" s="82" t="str">
        <f aca="false">IF(AND(ISNUMBER(U236),OR(AQ236="À RADIOGRAPHIER",AQ236="RÉPARÉ – À RADIOGRAPHIER",AQ236="NX – RT À REFAIRE",AQ236="À RÉPARER",AQ236="COUPE – À RESOUDER",AQ236="VT REJETÉ – À REPRENDRE")),MAX(0,'PROGRAMME RT'!$C$4-U236),"")</f>
        <v/>
      </c>
      <c r="AS236" s="82" t="n">
        <f aca="false">IF(AND(OR(AQ236="À RADIOGRAPHIER",AQ236="RÉPARÉ – À RADIOGRAPHIER",AQ236="NX – RT À REFAIRE"),OR('PROGRAMME RT'!$D$5="TOUTES",B236='PROGRAMME RT'!$D$5)),1,0)</f>
        <v>0</v>
      </c>
      <c r="AT236" s="82" t="str">
        <f aca="false">IF(AS236=1,SUM(AS$7:AS236),"")</f>
        <v/>
      </c>
      <c r="AU236" s="82" t="n">
        <f aca="false">IF(AND(OR(AA236="R",AA236="NX",AA236="NT",AA236="CO"),OR('JOINTS DE RÉPARATION'!$D$5="TOUTES",B236='JOINTS DE RÉPARATION'!$D$5),OR('JOINTS DE RÉPARATION'!$L$4="TOUS",AQ236&lt;&gt;"ACCEPTÉ")),1,0)</f>
        <v>0</v>
      </c>
      <c r="AV236" s="82" t="str">
        <f aca="false">IF(AU236=1,SUM(AU$7:AU236),"")</f>
        <v/>
      </c>
      <c r="AW236" s="82" t="str">
        <f aca="false">IF(E236="","",B236&amp;"|"&amp;E236)</f>
        <v>MFD-ISW → MFD-CPF|JN°230</v>
      </c>
    </row>
    <row r="237" customFormat="false" ht="74.6" hidden="false" customHeight="false" outlineLevel="0" collapsed="false">
      <c r="A237" s="79" t="n">
        <f aca="false">IF(E237="","",ROW()-6)</f>
        <v>231</v>
      </c>
      <c r="B237" s="80" t="s">
        <v>110</v>
      </c>
      <c r="C237" s="81"/>
      <c r="D237" s="81"/>
      <c r="E237" s="81" t="s">
        <v>341</v>
      </c>
      <c r="F237" s="82" t="str">
        <f aca="false">IF(E237="","",IF(LEFT(E237,2)="DJ","DJ","JN"))</f>
        <v>JN</v>
      </c>
      <c r="G237" s="81"/>
      <c r="H237" s="81"/>
      <c r="I237" s="81"/>
      <c r="J237" s="81"/>
      <c r="K237" s="81"/>
      <c r="L237" s="81"/>
      <c r="M237" s="81"/>
      <c r="N237" s="81"/>
      <c r="O237" s="81"/>
      <c r="P237" s="81"/>
      <c r="Q237" s="81"/>
      <c r="R237" s="81"/>
      <c r="S237" s="81"/>
      <c r="T237" s="81"/>
      <c r="U237" s="83"/>
      <c r="V237" s="83"/>
      <c r="W237" s="81"/>
      <c r="X237" s="81"/>
      <c r="Y237" s="83"/>
      <c r="Z237" s="81"/>
      <c r="AA237" s="81"/>
      <c r="AB237" s="81"/>
      <c r="AC237" s="81"/>
      <c r="AD237" s="81"/>
      <c r="AE237" s="83"/>
      <c r="AF237" s="81"/>
      <c r="AG237" s="81"/>
      <c r="AH237" s="81"/>
      <c r="AI237" s="81"/>
      <c r="AJ237" s="83"/>
      <c r="AK237" s="81"/>
      <c r="AL237" s="81"/>
      <c r="AM237" s="83"/>
      <c r="AN237" s="80"/>
      <c r="AO237" s="82" t="n">
        <f aca="false">IF(E237="","",(AA237&lt;&gt;"")+(AG237&lt;&gt;"")+(AL237&lt;&gt;""))</f>
        <v>0</v>
      </c>
      <c r="AP237" s="82" t="str">
        <f aca="false">IF(AL237&lt;&gt;"",AL237,IF(AG237&lt;&gt;"",AG237,IF(AA237&lt;&gt;"",AA237,"")))</f>
        <v/>
      </c>
      <c r="AQ237" s="84" t="str">
        <f aca="false">IF(E237="","",IF(U237="","À SOUDER",IF(X237="","VT EN ATTENTE",IF(X237="R","VT REJETÉ – À REPRENDRE",IF(AP237="","À RADIOGRAPHIER",IF(AP237="A","ACCEPTÉ",IF(AP237="NX","NX – RT À REFAIRE",IF(IF(AO237=1,AD237,IF(AO237=2,AI237,""))="A","RÉPARÉ – À RADIOGRAPHIER",IF(IF(AO237=1,AD237,IF(AO237=2,AI237,""))="R","VT REJETÉ – À REPRENDRE",IF(OR(AP237="CO",AP237="NT"),"COUPE – À RESOUDER","À RÉPARER"))))))))))</f>
        <v>À SOUDER</v>
      </c>
      <c r="AR237" s="82" t="str">
        <f aca="false">IF(AND(ISNUMBER(U237),OR(AQ237="À RADIOGRAPHIER",AQ237="RÉPARÉ – À RADIOGRAPHIER",AQ237="NX – RT À REFAIRE",AQ237="À RÉPARER",AQ237="COUPE – À RESOUDER",AQ237="VT REJETÉ – À REPRENDRE")),MAX(0,'PROGRAMME RT'!$C$4-U237),"")</f>
        <v/>
      </c>
      <c r="AS237" s="82" t="n">
        <f aca="false">IF(AND(OR(AQ237="À RADIOGRAPHIER",AQ237="RÉPARÉ – À RADIOGRAPHIER",AQ237="NX – RT À REFAIRE"),OR('PROGRAMME RT'!$D$5="TOUTES",B237='PROGRAMME RT'!$D$5)),1,0)</f>
        <v>0</v>
      </c>
      <c r="AT237" s="82" t="str">
        <f aca="false">IF(AS237=1,SUM(AS$7:AS237),"")</f>
        <v/>
      </c>
      <c r="AU237" s="82" t="n">
        <f aca="false">IF(AND(OR(AA237="R",AA237="NX",AA237="NT",AA237="CO"),OR('JOINTS DE RÉPARATION'!$D$5="TOUTES",B237='JOINTS DE RÉPARATION'!$D$5),OR('JOINTS DE RÉPARATION'!$L$4="TOUS",AQ237&lt;&gt;"ACCEPTÉ")),1,0)</f>
        <v>0</v>
      </c>
      <c r="AV237" s="82" t="str">
        <f aca="false">IF(AU237=1,SUM(AU$7:AU237),"")</f>
        <v/>
      </c>
      <c r="AW237" s="82" t="str">
        <f aca="false">IF(E237="","",B237&amp;"|"&amp;E237)</f>
        <v>MFD-ISW → MFD-CPF|JN°231</v>
      </c>
    </row>
    <row r="238" customFormat="false" ht="74.6" hidden="false" customHeight="false" outlineLevel="0" collapsed="false">
      <c r="A238" s="79" t="n">
        <f aca="false">IF(E238="","",ROW()-6)</f>
        <v>232</v>
      </c>
      <c r="B238" s="80" t="s">
        <v>110</v>
      </c>
      <c r="C238" s="81"/>
      <c r="D238" s="81"/>
      <c r="E238" s="81" t="s">
        <v>342</v>
      </c>
      <c r="F238" s="82" t="str">
        <f aca="false">IF(E238="","",IF(LEFT(E238,2)="DJ","DJ","JN"))</f>
        <v>JN</v>
      </c>
      <c r="G238" s="81"/>
      <c r="H238" s="81"/>
      <c r="I238" s="81"/>
      <c r="J238" s="81"/>
      <c r="K238" s="81"/>
      <c r="L238" s="81"/>
      <c r="M238" s="81"/>
      <c r="N238" s="81"/>
      <c r="O238" s="81"/>
      <c r="P238" s="81"/>
      <c r="Q238" s="81"/>
      <c r="R238" s="81"/>
      <c r="S238" s="81"/>
      <c r="T238" s="81"/>
      <c r="U238" s="83"/>
      <c r="V238" s="83"/>
      <c r="W238" s="81"/>
      <c r="X238" s="81"/>
      <c r="Y238" s="83"/>
      <c r="Z238" s="81"/>
      <c r="AA238" s="81"/>
      <c r="AB238" s="81"/>
      <c r="AC238" s="81"/>
      <c r="AD238" s="81"/>
      <c r="AE238" s="83"/>
      <c r="AF238" s="81"/>
      <c r="AG238" s="81"/>
      <c r="AH238" s="81"/>
      <c r="AI238" s="81"/>
      <c r="AJ238" s="83"/>
      <c r="AK238" s="81"/>
      <c r="AL238" s="81"/>
      <c r="AM238" s="83"/>
      <c r="AN238" s="80"/>
      <c r="AO238" s="82" t="n">
        <f aca="false">IF(E238="","",(AA238&lt;&gt;"")+(AG238&lt;&gt;"")+(AL238&lt;&gt;""))</f>
        <v>0</v>
      </c>
      <c r="AP238" s="82" t="str">
        <f aca="false">IF(AL238&lt;&gt;"",AL238,IF(AG238&lt;&gt;"",AG238,IF(AA238&lt;&gt;"",AA238,"")))</f>
        <v/>
      </c>
      <c r="AQ238" s="84" t="str">
        <f aca="false">IF(E238="","",IF(U238="","À SOUDER",IF(X238="","VT EN ATTENTE",IF(X238="R","VT REJETÉ – À REPRENDRE",IF(AP238="","À RADIOGRAPHIER",IF(AP238="A","ACCEPTÉ",IF(AP238="NX","NX – RT À REFAIRE",IF(IF(AO238=1,AD238,IF(AO238=2,AI238,""))="A","RÉPARÉ – À RADIOGRAPHIER",IF(IF(AO238=1,AD238,IF(AO238=2,AI238,""))="R","VT REJETÉ – À REPRENDRE",IF(OR(AP238="CO",AP238="NT"),"COUPE – À RESOUDER","À RÉPARER"))))))))))</f>
        <v>À SOUDER</v>
      </c>
      <c r="AR238" s="82" t="str">
        <f aca="false">IF(AND(ISNUMBER(U238),OR(AQ238="À RADIOGRAPHIER",AQ238="RÉPARÉ – À RADIOGRAPHIER",AQ238="NX – RT À REFAIRE",AQ238="À RÉPARER",AQ238="COUPE – À RESOUDER",AQ238="VT REJETÉ – À REPRENDRE")),MAX(0,'PROGRAMME RT'!$C$4-U238),"")</f>
        <v/>
      </c>
      <c r="AS238" s="82" t="n">
        <f aca="false">IF(AND(OR(AQ238="À RADIOGRAPHIER",AQ238="RÉPARÉ – À RADIOGRAPHIER",AQ238="NX – RT À REFAIRE"),OR('PROGRAMME RT'!$D$5="TOUTES",B238='PROGRAMME RT'!$D$5)),1,0)</f>
        <v>0</v>
      </c>
      <c r="AT238" s="82" t="str">
        <f aca="false">IF(AS238=1,SUM(AS$7:AS238),"")</f>
        <v/>
      </c>
      <c r="AU238" s="82" t="n">
        <f aca="false">IF(AND(OR(AA238="R",AA238="NX",AA238="NT",AA238="CO"),OR('JOINTS DE RÉPARATION'!$D$5="TOUTES",B238='JOINTS DE RÉPARATION'!$D$5),OR('JOINTS DE RÉPARATION'!$L$4="TOUS",AQ238&lt;&gt;"ACCEPTÉ")),1,0)</f>
        <v>0</v>
      </c>
      <c r="AV238" s="82" t="str">
        <f aca="false">IF(AU238=1,SUM(AU$7:AU238),"")</f>
        <v/>
      </c>
      <c r="AW238" s="82" t="str">
        <f aca="false">IF(E238="","",B238&amp;"|"&amp;E238)</f>
        <v>MFD-ISW → MFD-CPF|JN°232</v>
      </c>
    </row>
    <row r="239" customFormat="false" ht="74.6" hidden="false" customHeight="false" outlineLevel="0" collapsed="false">
      <c r="A239" s="79" t="n">
        <f aca="false">IF(E239="","",ROW()-6)</f>
        <v>233</v>
      </c>
      <c r="B239" s="80" t="s">
        <v>110</v>
      </c>
      <c r="C239" s="81"/>
      <c r="D239" s="81"/>
      <c r="E239" s="81" t="s">
        <v>343</v>
      </c>
      <c r="F239" s="82" t="str">
        <f aca="false">IF(E239="","",IF(LEFT(E239,2)="DJ","DJ","JN"))</f>
        <v>JN</v>
      </c>
      <c r="G239" s="81"/>
      <c r="H239" s="81"/>
      <c r="I239" s="81"/>
      <c r="J239" s="81"/>
      <c r="K239" s="81"/>
      <c r="L239" s="81"/>
      <c r="M239" s="81"/>
      <c r="N239" s="81"/>
      <c r="O239" s="81"/>
      <c r="P239" s="81"/>
      <c r="Q239" s="81"/>
      <c r="R239" s="81"/>
      <c r="S239" s="81"/>
      <c r="T239" s="81"/>
      <c r="U239" s="83"/>
      <c r="V239" s="83"/>
      <c r="W239" s="81"/>
      <c r="X239" s="81"/>
      <c r="Y239" s="83"/>
      <c r="Z239" s="81"/>
      <c r="AA239" s="81"/>
      <c r="AB239" s="81"/>
      <c r="AC239" s="81"/>
      <c r="AD239" s="81"/>
      <c r="AE239" s="83"/>
      <c r="AF239" s="81"/>
      <c r="AG239" s="81"/>
      <c r="AH239" s="81"/>
      <c r="AI239" s="81"/>
      <c r="AJ239" s="83"/>
      <c r="AK239" s="81"/>
      <c r="AL239" s="81"/>
      <c r="AM239" s="83"/>
      <c r="AN239" s="80"/>
      <c r="AO239" s="82" t="n">
        <f aca="false">IF(E239="","",(AA239&lt;&gt;"")+(AG239&lt;&gt;"")+(AL239&lt;&gt;""))</f>
        <v>0</v>
      </c>
      <c r="AP239" s="82" t="str">
        <f aca="false">IF(AL239&lt;&gt;"",AL239,IF(AG239&lt;&gt;"",AG239,IF(AA239&lt;&gt;"",AA239,"")))</f>
        <v/>
      </c>
      <c r="AQ239" s="84" t="str">
        <f aca="false">IF(E239="","",IF(U239="","À SOUDER",IF(X239="","VT EN ATTENTE",IF(X239="R","VT REJETÉ – À REPRENDRE",IF(AP239="","À RADIOGRAPHIER",IF(AP239="A","ACCEPTÉ",IF(AP239="NX","NX – RT À REFAIRE",IF(IF(AO239=1,AD239,IF(AO239=2,AI239,""))="A","RÉPARÉ – À RADIOGRAPHIER",IF(IF(AO239=1,AD239,IF(AO239=2,AI239,""))="R","VT REJETÉ – À REPRENDRE",IF(OR(AP239="CO",AP239="NT"),"COUPE – À RESOUDER","À RÉPARER"))))))))))</f>
        <v>À SOUDER</v>
      </c>
      <c r="AR239" s="82" t="str">
        <f aca="false">IF(AND(ISNUMBER(U239),OR(AQ239="À RADIOGRAPHIER",AQ239="RÉPARÉ – À RADIOGRAPHIER",AQ239="NX – RT À REFAIRE",AQ239="À RÉPARER",AQ239="COUPE – À RESOUDER",AQ239="VT REJETÉ – À REPRENDRE")),MAX(0,'PROGRAMME RT'!$C$4-U239),"")</f>
        <v/>
      </c>
      <c r="AS239" s="82" t="n">
        <f aca="false">IF(AND(OR(AQ239="À RADIOGRAPHIER",AQ239="RÉPARÉ – À RADIOGRAPHIER",AQ239="NX – RT À REFAIRE"),OR('PROGRAMME RT'!$D$5="TOUTES",B239='PROGRAMME RT'!$D$5)),1,0)</f>
        <v>0</v>
      </c>
      <c r="AT239" s="82" t="str">
        <f aca="false">IF(AS239=1,SUM(AS$7:AS239),"")</f>
        <v/>
      </c>
      <c r="AU239" s="82" t="n">
        <f aca="false">IF(AND(OR(AA239="R",AA239="NX",AA239="NT",AA239="CO"),OR('JOINTS DE RÉPARATION'!$D$5="TOUTES",B239='JOINTS DE RÉPARATION'!$D$5),OR('JOINTS DE RÉPARATION'!$L$4="TOUS",AQ239&lt;&gt;"ACCEPTÉ")),1,0)</f>
        <v>0</v>
      </c>
      <c r="AV239" s="82" t="str">
        <f aca="false">IF(AU239=1,SUM(AU$7:AU239),"")</f>
        <v/>
      </c>
      <c r="AW239" s="82" t="str">
        <f aca="false">IF(E239="","",B239&amp;"|"&amp;E239)</f>
        <v>MFD-ISW → MFD-CPF|JN°233</v>
      </c>
    </row>
    <row r="240" customFormat="false" ht="74.6" hidden="false" customHeight="false" outlineLevel="0" collapsed="false">
      <c r="A240" s="79" t="n">
        <f aca="false">IF(E240="","",ROW()-6)</f>
        <v>234</v>
      </c>
      <c r="B240" s="80" t="s">
        <v>110</v>
      </c>
      <c r="C240" s="81"/>
      <c r="D240" s="81"/>
      <c r="E240" s="81" t="s">
        <v>344</v>
      </c>
      <c r="F240" s="82" t="str">
        <f aca="false">IF(E240="","",IF(LEFT(E240,2)="DJ","DJ","JN"))</f>
        <v>JN</v>
      </c>
      <c r="G240" s="81"/>
      <c r="H240" s="81"/>
      <c r="I240" s="81"/>
      <c r="J240" s="81"/>
      <c r="K240" s="81"/>
      <c r="L240" s="81"/>
      <c r="M240" s="81"/>
      <c r="N240" s="81"/>
      <c r="O240" s="81"/>
      <c r="P240" s="81"/>
      <c r="Q240" s="81"/>
      <c r="R240" s="81"/>
      <c r="S240" s="81"/>
      <c r="T240" s="81"/>
      <c r="U240" s="83"/>
      <c r="V240" s="83"/>
      <c r="W240" s="81"/>
      <c r="X240" s="81"/>
      <c r="Y240" s="83"/>
      <c r="Z240" s="81"/>
      <c r="AA240" s="81"/>
      <c r="AB240" s="81"/>
      <c r="AC240" s="81"/>
      <c r="AD240" s="81"/>
      <c r="AE240" s="83"/>
      <c r="AF240" s="81"/>
      <c r="AG240" s="81"/>
      <c r="AH240" s="81"/>
      <c r="AI240" s="81"/>
      <c r="AJ240" s="83"/>
      <c r="AK240" s="81"/>
      <c r="AL240" s="81"/>
      <c r="AM240" s="83"/>
      <c r="AN240" s="80"/>
      <c r="AO240" s="82" t="n">
        <f aca="false">IF(E240="","",(AA240&lt;&gt;"")+(AG240&lt;&gt;"")+(AL240&lt;&gt;""))</f>
        <v>0</v>
      </c>
      <c r="AP240" s="82" t="str">
        <f aca="false">IF(AL240&lt;&gt;"",AL240,IF(AG240&lt;&gt;"",AG240,IF(AA240&lt;&gt;"",AA240,"")))</f>
        <v/>
      </c>
      <c r="AQ240" s="84" t="str">
        <f aca="false">IF(E240="","",IF(U240="","À SOUDER",IF(X240="","VT EN ATTENTE",IF(X240="R","VT REJETÉ – À REPRENDRE",IF(AP240="","À RADIOGRAPHIER",IF(AP240="A","ACCEPTÉ",IF(AP240="NX","NX – RT À REFAIRE",IF(IF(AO240=1,AD240,IF(AO240=2,AI240,""))="A","RÉPARÉ – À RADIOGRAPHIER",IF(IF(AO240=1,AD240,IF(AO240=2,AI240,""))="R","VT REJETÉ – À REPRENDRE",IF(OR(AP240="CO",AP240="NT"),"COUPE – À RESOUDER","À RÉPARER"))))))))))</f>
        <v>À SOUDER</v>
      </c>
      <c r="AR240" s="82" t="str">
        <f aca="false">IF(AND(ISNUMBER(U240),OR(AQ240="À RADIOGRAPHIER",AQ240="RÉPARÉ – À RADIOGRAPHIER",AQ240="NX – RT À REFAIRE",AQ240="À RÉPARER",AQ240="COUPE – À RESOUDER",AQ240="VT REJETÉ – À REPRENDRE")),MAX(0,'PROGRAMME RT'!$C$4-U240),"")</f>
        <v/>
      </c>
      <c r="AS240" s="82" t="n">
        <f aca="false">IF(AND(OR(AQ240="À RADIOGRAPHIER",AQ240="RÉPARÉ – À RADIOGRAPHIER",AQ240="NX – RT À REFAIRE"),OR('PROGRAMME RT'!$D$5="TOUTES",B240='PROGRAMME RT'!$D$5)),1,0)</f>
        <v>0</v>
      </c>
      <c r="AT240" s="82" t="str">
        <f aca="false">IF(AS240=1,SUM(AS$7:AS240),"")</f>
        <v/>
      </c>
      <c r="AU240" s="82" t="n">
        <f aca="false">IF(AND(OR(AA240="R",AA240="NX",AA240="NT",AA240="CO"),OR('JOINTS DE RÉPARATION'!$D$5="TOUTES",B240='JOINTS DE RÉPARATION'!$D$5),OR('JOINTS DE RÉPARATION'!$L$4="TOUS",AQ240&lt;&gt;"ACCEPTÉ")),1,0)</f>
        <v>0</v>
      </c>
      <c r="AV240" s="82" t="str">
        <f aca="false">IF(AU240=1,SUM(AU$7:AU240),"")</f>
        <v/>
      </c>
      <c r="AW240" s="82" t="str">
        <f aca="false">IF(E240="","",B240&amp;"|"&amp;E240)</f>
        <v>MFD-ISW → MFD-CPF|JN°234</v>
      </c>
    </row>
    <row r="241" customFormat="false" ht="74.6" hidden="false" customHeight="false" outlineLevel="0" collapsed="false">
      <c r="A241" s="79" t="n">
        <f aca="false">IF(E241="","",ROW()-6)</f>
        <v>235</v>
      </c>
      <c r="B241" s="80" t="s">
        <v>110</v>
      </c>
      <c r="C241" s="81"/>
      <c r="D241" s="81"/>
      <c r="E241" s="81" t="s">
        <v>345</v>
      </c>
      <c r="F241" s="82" t="str">
        <f aca="false">IF(E241="","",IF(LEFT(E241,2)="DJ","DJ","JN"))</f>
        <v>JN</v>
      </c>
      <c r="G241" s="81"/>
      <c r="H241" s="81"/>
      <c r="I241" s="81"/>
      <c r="J241" s="81"/>
      <c r="K241" s="81"/>
      <c r="L241" s="81"/>
      <c r="M241" s="81"/>
      <c r="N241" s="81"/>
      <c r="O241" s="81"/>
      <c r="P241" s="81"/>
      <c r="Q241" s="81"/>
      <c r="R241" s="81"/>
      <c r="S241" s="81"/>
      <c r="T241" s="81"/>
      <c r="U241" s="83"/>
      <c r="V241" s="83"/>
      <c r="W241" s="81"/>
      <c r="X241" s="81"/>
      <c r="Y241" s="83"/>
      <c r="Z241" s="81"/>
      <c r="AA241" s="81"/>
      <c r="AB241" s="81"/>
      <c r="AC241" s="81"/>
      <c r="AD241" s="81"/>
      <c r="AE241" s="83"/>
      <c r="AF241" s="81"/>
      <c r="AG241" s="81"/>
      <c r="AH241" s="81"/>
      <c r="AI241" s="81"/>
      <c r="AJ241" s="83"/>
      <c r="AK241" s="81"/>
      <c r="AL241" s="81"/>
      <c r="AM241" s="83"/>
      <c r="AN241" s="80"/>
      <c r="AO241" s="82" t="n">
        <f aca="false">IF(E241="","",(AA241&lt;&gt;"")+(AG241&lt;&gt;"")+(AL241&lt;&gt;""))</f>
        <v>0</v>
      </c>
      <c r="AP241" s="82" t="str">
        <f aca="false">IF(AL241&lt;&gt;"",AL241,IF(AG241&lt;&gt;"",AG241,IF(AA241&lt;&gt;"",AA241,"")))</f>
        <v/>
      </c>
      <c r="AQ241" s="84" t="str">
        <f aca="false">IF(E241="","",IF(U241="","À SOUDER",IF(X241="","VT EN ATTENTE",IF(X241="R","VT REJETÉ – À REPRENDRE",IF(AP241="","À RADIOGRAPHIER",IF(AP241="A","ACCEPTÉ",IF(AP241="NX","NX – RT À REFAIRE",IF(IF(AO241=1,AD241,IF(AO241=2,AI241,""))="A","RÉPARÉ – À RADIOGRAPHIER",IF(IF(AO241=1,AD241,IF(AO241=2,AI241,""))="R","VT REJETÉ – À REPRENDRE",IF(OR(AP241="CO",AP241="NT"),"COUPE – À RESOUDER","À RÉPARER"))))))))))</f>
        <v>À SOUDER</v>
      </c>
      <c r="AR241" s="82" t="str">
        <f aca="false">IF(AND(ISNUMBER(U241),OR(AQ241="À RADIOGRAPHIER",AQ241="RÉPARÉ – À RADIOGRAPHIER",AQ241="NX – RT À REFAIRE",AQ241="À RÉPARER",AQ241="COUPE – À RESOUDER",AQ241="VT REJETÉ – À REPRENDRE")),MAX(0,'PROGRAMME RT'!$C$4-U241),"")</f>
        <v/>
      </c>
      <c r="AS241" s="82" t="n">
        <f aca="false">IF(AND(OR(AQ241="À RADIOGRAPHIER",AQ241="RÉPARÉ – À RADIOGRAPHIER",AQ241="NX – RT À REFAIRE"),OR('PROGRAMME RT'!$D$5="TOUTES",B241='PROGRAMME RT'!$D$5)),1,0)</f>
        <v>0</v>
      </c>
      <c r="AT241" s="82" t="str">
        <f aca="false">IF(AS241=1,SUM(AS$7:AS241),"")</f>
        <v/>
      </c>
      <c r="AU241" s="82" t="n">
        <f aca="false">IF(AND(OR(AA241="R",AA241="NX",AA241="NT",AA241="CO"),OR('JOINTS DE RÉPARATION'!$D$5="TOUTES",B241='JOINTS DE RÉPARATION'!$D$5),OR('JOINTS DE RÉPARATION'!$L$4="TOUS",AQ241&lt;&gt;"ACCEPTÉ")),1,0)</f>
        <v>0</v>
      </c>
      <c r="AV241" s="82" t="str">
        <f aca="false">IF(AU241=1,SUM(AU$7:AU241),"")</f>
        <v/>
      </c>
      <c r="AW241" s="82" t="str">
        <f aca="false">IF(E241="","",B241&amp;"|"&amp;E241)</f>
        <v>MFD-ISW → MFD-CPF|JN°235</v>
      </c>
    </row>
    <row r="242" customFormat="false" ht="74.6" hidden="false" customHeight="false" outlineLevel="0" collapsed="false">
      <c r="A242" s="79" t="n">
        <f aca="false">IF(E242="","",ROW()-6)</f>
        <v>236</v>
      </c>
      <c r="B242" s="80" t="s">
        <v>110</v>
      </c>
      <c r="C242" s="81"/>
      <c r="D242" s="81"/>
      <c r="E242" s="81" t="s">
        <v>346</v>
      </c>
      <c r="F242" s="82" t="str">
        <f aca="false">IF(E242="","",IF(LEFT(E242,2)="DJ","DJ","JN"))</f>
        <v>JN</v>
      </c>
      <c r="G242" s="81"/>
      <c r="H242" s="81"/>
      <c r="I242" s="81"/>
      <c r="J242" s="81"/>
      <c r="K242" s="81"/>
      <c r="L242" s="81"/>
      <c r="M242" s="81"/>
      <c r="N242" s="81"/>
      <c r="O242" s="81"/>
      <c r="P242" s="81"/>
      <c r="Q242" s="81"/>
      <c r="R242" s="81"/>
      <c r="S242" s="81"/>
      <c r="T242" s="81"/>
      <c r="U242" s="83"/>
      <c r="V242" s="83"/>
      <c r="W242" s="81"/>
      <c r="X242" s="81"/>
      <c r="Y242" s="83"/>
      <c r="Z242" s="81"/>
      <c r="AA242" s="81"/>
      <c r="AB242" s="81"/>
      <c r="AC242" s="81"/>
      <c r="AD242" s="81"/>
      <c r="AE242" s="83"/>
      <c r="AF242" s="81"/>
      <c r="AG242" s="81"/>
      <c r="AH242" s="81"/>
      <c r="AI242" s="81"/>
      <c r="AJ242" s="83"/>
      <c r="AK242" s="81"/>
      <c r="AL242" s="81"/>
      <c r="AM242" s="83"/>
      <c r="AN242" s="80"/>
      <c r="AO242" s="82" t="n">
        <f aca="false">IF(E242="","",(AA242&lt;&gt;"")+(AG242&lt;&gt;"")+(AL242&lt;&gt;""))</f>
        <v>0</v>
      </c>
      <c r="AP242" s="82" t="str">
        <f aca="false">IF(AL242&lt;&gt;"",AL242,IF(AG242&lt;&gt;"",AG242,IF(AA242&lt;&gt;"",AA242,"")))</f>
        <v/>
      </c>
      <c r="AQ242" s="84" t="str">
        <f aca="false">IF(E242="","",IF(U242="","À SOUDER",IF(X242="","VT EN ATTENTE",IF(X242="R","VT REJETÉ – À REPRENDRE",IF(AP242="","À RADIOGRAPHIER",IF(AP242="A","ACCEPTÉ",IF(AP242="NX","NX – RT À REFAIRE",IF(IF(AO242=1,AD242,IF(AO242=2,AI242,""))="A","RÉPARÉ – À RADIOGRAPHIER",IF(IF(AO242=1,AD242,IF(AO242=2,AI242,""))="R","VT REJETÉ – À REPRENDRE",IF(OR(AP242="CO",AP242="NT"),"COUPE – À RESOUDER","À RÉPARER"))))))))))</f>
        <v>À SOUDER</v>
      </c>
      <c r="AR242" s="82" t="str">
        <f aca="false">IF(AND(ISNUMBER(U242),OR(AQ242="À RADIOGRAPHIER",AQ242="RÉPARÉ – À RADIOGRAPHIER",AQ242="NX – RT À REFAIRE",AQ242="À RÉPARER",AQ242="COUPE – À RESOUDER",AQ242="VT REJETÉ – À REPRENDRE")),MAX(0,'PROGRAMME RT'!$C$4-U242),"")</f>
        <v/>
      </c>
      <c r="AS242" s="82" t="n">
        <f aca="false">IF(AND(OR(AQ242="À RADIOGRAPHIER",AQ242="RÉPARÉ – À RADIOGRAPHIER",AQ242="NX – RT À REFAIRE"),OR('PROGRAMME RT'!$D$5="TOUTES",B242='PROGRAMME RT'!$D$5)),1,0)</f>
        <v>0</v>
      </c>
      <c r="AT242" s="82" t="str">
        <f aca="false">IF(AS242=1,SUM(AS$7:AS242),"")</f>
        <v/>
      </c>
      <c r="AU242" s="82" t="n">
        <f aca="false">IF(AND(OR(AA242="R",AA242="NX",AA242="NT",AA242="CO"),OR('JOINTS DE RÉPARATION'!$D$5="TOUTES",B242='JOINTS DE RÉPARATION'!$D$5),OR('JOINTS DE RÉPARATION'!$L$4="TOUS",AQ242&lt;&gt;"ACCEPTÉ")),1,0)</f>
        <v>0</v>
      </c>
      <c r="AV242" s="82" t="str">
        <f aca="false">IF(AU242=1,SUM(AU$7:AU242),"")</f>
        <v/>
      </c>
      <c r="AW242" s="82" t="str">
        <f aca="false">IF(E242="","",B242&amp;"|"&amp;E242)</f>
        <v>MFD-ISW → MFD-CPF|JN°236</v>
      </c>
    </row>
    <row r="243" customFormat="false" ht="74.6" hidden="false" customHeight="false" outlineLevel="0" collapsed="false">
      <c r="A243" s="79" t="n">
        <f aca="false">IF(E243="","",ROW()-6)</f>
        <v>237</v>
      </c>
      <c r="B243" s="80" t="s">
        <v>110</v>
      </c>
      <c r="C243" s="81"/>
      <c r="D243" s="81"/>
      <c r="E243" s="81" t="s">
        <v>347</v>
      </c>
      <c r="F243" s="82" t="str">
        <f aca="false">IF(E243="","",IF(LEFT(E243,2)="DJ","DJ","JN"))</f>
        <v>JN</v>
      </c>
      <c r="G243" s="81"/>
      <c r="H243" s="81"/>
      <c r="I243" s="81"/>
      <c r="J243" s="81"/>
      <c r="K243" s="81"/>
      <c r="L243" s="81"/>
      <c r="M243" s="81"/>
      <c r="N243" s="81"/>
      <c r="O243" s="81"/>
      <c r="P243" s="81"/>
      <c r="Q243" s="81"/>
      <c r="R243" s="81"/>
      <c r="S243" s="81"/>
      <c r="T243" s="81"/>
      <c r="U243" s="83"/>
      <c r="V243" s="83"/>
      <c r="W243" s="81"/>
      <c r="X243" s="81"/>
      <c r="Y243" s="83"/>
      <c r="Z243" s="81"/>
      <c r="AA243" s="81"/>
      <c r="AB243" s="81"/>
      <c r="AC243" s="81"/>
      <c r="AD243" s="81"/>
      <c r="AE243" s="83"/>
      <c r="AF243" s="81"/>
      <c r="AG243" s="81"/>
      <c r="AH243" s="81"/>
      <c r="AI243" s="81"/>
      <c r="AJ243" s="83"/>
      <c r="AK243" s="81"/>
      <c r="AL243" s="81"/>
      <c r="AM243" s="83"/>
      <c r="AN243" s="80"/>
      <c r="AO243" s="82" t="n">
        <f aca="false">IF(E243="","",(AA243&lt;&gt;"")+(AG243&lt;&gt;"")+(AL243&lt;&gt;""))</f>
        <v>0</v>
      </c>
      <c r="AP243" s="82" t="str">
        <f aca="false">IF(AL243&lt;&gt;"",AL243,IF(AG243&lt;&gt;"",AG243,IF(AA243&lt;&gt;"",AA243,"")))</f>
        <v/>
      </c>
      <c r="AQ243" s="84" t="str">
        <f aca="false">IF(E243="","",IF(U243="","À SOUDER",IF(X243="","VT EN ATTENTE",IF(X243="R","VT REJETÉ – À REPRENDRE",IF(AP243="","À RADIOGRAPHIER",IF(AP243="A","ACCEPTÉ",IF(AP243="NX","NX – RT À REFAIRE",IF(IF(AO243=1,AD243,IF(AO243=2,AI243,""))="A","RÉPARÉ – À RADIOGRAPHIER",IF(IF(AO243=1,AD243,IF(AO243=2,AI243,""))="R","VT REJETÉ – À REPRENDRE",IF(OR(AP243="CO",AP243="NT"),"COUPE – À RESOUDER","À RÉPARER"))))))))))</f>
        <v>À SOUDER</v>
      </c>
      <c r="AR243" s="82" t="str">
        <f aca="false">IF(AND(ISNUMBER(U243),OR(AQ243="À RADIOGRAPHIER",AQ243="RÉPARÉ – À RADIOGRAPHIER",AQ243="NX – RT À REFAIRE",AQ243="À RÉPARER",AQ243="COUPE – À RESOUDER",AQ243="VT REJETÉ – À REPRENDRE")),MAX(0,'PROGRAMME RT'!$C$4-U243),"")</f>
        <v/>
      </c>
      <c r="AS243" s="82" t="n">
        <f aca="false">IF(AND(OR(AQ243="À RADIOGRAPHIER",AQ243="RÉPARÉ – À RADIOGRAPHIER",AQ243="NX – RT À REFAIRE"),OR('PROGRAMME RT'!$D$5="TOUTES",B243='PROGRAMME RT'!$D$5)),1,0)</f>
        <v>0</v>
      </c>
      <c r="AT243" s="82" t="str">
        <f aca="false">IF(AS243=1,SUM(AS$7:AS243),"")</f>
        <v/>
      </c>
      <c r="AU243" s="82" t="n">
        <f aca="false">IF(AND(OR(AA243="R",AA243="NX",AA243="NT",AA243="CO"),OR('JOINTS DE RÉPARATION'!$D$5="TOUTES",B243='JOINTS DE RÉPARATION'!$D$5),OR('JOINTS DE RÉPARATION'!$L$4="TOUS",AQ243&lt;&gt;"ACCEPTÉ")),1,0)</f>
        <v>0</v>
      </c>
      <c r="AV243" s="82" t="str">
        <f aca="false">IF(AU243=1,SUM(AU$7:AU243),"")</f>
        <v/>
      </c>
      <c r="AW243" s="82" t="str">
        <f aca="false">IF(E243="","",B243&amp;"|"&amp;E243)</f>
        <v>MFD-ISW → MFD-CPF|JN°237</v>
      </c>
    </row>
    <row r="244" customFormat="false" ht="74.6" hidden="false" customHeight="false" outlineLevel="0" collapsed="false">
      <c r="A244" s="79" t="n">
        <f aca="false">IF(E244="","",ROW()-6)</f>
        <v>238</v>
      </c>
      <c r="B244" s="80" t="s">
        <v>110</v>
      </c>
      <c r="C244" s="81"/>
      <c r="D244" s="81"/>
      <c r="E244" s="81" t="s">
        <v>348</v>
      </c>
      <c r="F244" s="82" t="str">
        <f aca="false">IF(E244="","",IF(LEFT(E244,2)="DJ","DJ","JN"))</f>
        <v>JN</v>
      </c>
      <c r="G244" s="81"/>
      <c r="H244" s="81"/>
      <c r="I244" s="81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U244" s="83"/>
      <c r="V244" s="83"/>
      <c r="W244" s="81"/>
      <c r="X244" s="81"/>
      <c r="Y244" s="83"/>
      <c r="Z244" s="81"/>
      <c r="AA244" s="81"/>
      <c r="AB244" s="81"/>
      <c r="AC244" s="81"/>
      <c r="AD244" s="81"/>
      <c r="AE244" s="83"/>
      <c r="AF244" s="81"/>
      <c r="AG244" s="81"/>
      <c r="AH244" s="81"/>
      <c r="AI244" s="81"/>
      <c r="AJ244" s="83"/>
      <c r="AK244" s="81"/>
      <c r="AL244" s="81"/>
      <c r="AM244" s="83"/>
      <c r="AN244" s="80"/>
      <c r="AO244" s="82" t="n">
        <f aca="false">IF(E244="","",(AA244&lt;&gt;"")+(AG244&lt;&gt;"")+(AL244&lt;&gt;""))</f>
        <v>0</v>
      </c>
      <c r="AP244" s="82" t="str">
        <f aca="false">IF(AL244&lt;&gt;"",AL244,IF(AG244&lt;&gt;"",AG244,IF(AA244&lt;&gt;"",AA244,"")))</f>
        <v/>
      </c>
      <c r="AQ244" s="84" t="str">
        <f aca="false">IF(E244="","",IF(U244="","À SOUDER",IF(X244="","VT EN ATTENTE",IF(X244="R","VT REJETÉ – À REPRENDRE",IF(AP244="","À RADIOGRAPHIER",IF(AP244="A","ACCEPTÉ",IF(AP244="NX","NX – RT À REFAIRE",IF(IF(AO244=1,AD244,IF(AO244=2,AI244,""))="A","RÉPARÉ – À RADIOGRAPHIER",IF(IF(AO244=1,AD244,IF(AO244=2,AI244,""))="R","VT REJETÉ – À REPRENDRE",IF(OR(AP244="CO",AP244="NT"),"COUPE – À RESOUDER","À RÉPARER"))))))))))</f>
        <v>À SOUDER</v>
      </c>
      <c r="AR244" s="82" t="str">
        <f aca="false">IF(AND(ISNUMBER(U244),OR(AQ244="À RADIOGRAPHIER",AQ244="RÉPARÉ – À RADIOGRAPHIER",AQ244="NX – RT À REFAIRE",AQ244="À RÉPARER",AQ244="COUPE – À RESOUDER",AQ244="VT REJETÉ – À REPRENDRE")),MAX(0,'PROGRAMME RT'!$C$4-U244),"")</f>
        <v/>
      </c>
      <c r="AS244" s="82" t="n">
        <f aca="false">IF(AND(OR(AQ244="À RADIOGRAPHIER",AQ244="RÉPARÉ – À RADIOGRAPHIER",AQ244="NX – RT À REFAIRE"),OR('PROGRAMME RT'!$D$5="TOUTES",B244='PROGRAMME RT'!$D$5)),1,0)</f>
        <v>0</v>
      </c>
      <c r="AT244" s="82" t="str">
        <f aca="false">IF(AS244=1,SUM(AS$7:AS244),"")</f>
        <v/>
      </c>
      <c r="AU244" s="82" t="n">
        <f aca="false">IF(AND(OR(AA244="R",AA244="NX",AA244="NT",AA244="CO"),OR('JOINTS DE RÉPARATION'!$D$5="TOUTES",B244='JOINTS DE RÉPARATION'!$D$5),OR('JOINTS DE RÉPARATION'!$L$4="TOUS",AQ244&lt;&gt;"ACCEPTÉ")),1,0)</f>
        <v>0</v>
      </c>
      <c r="AV244" s="82" t="str">
        <f aca="false">IF(AU244=1,SUM(AU$7:AU244),"")</f>
        <v/>
      </c>
      <c r="AW244" s="82" t="str">
        <f aca="false">IF(E244="","",B244&amp;"|"&amp;E244)</f>
        <v>MFD-ISW → MFD-CPF|JN°238</v>
      </c>
    </row>
    <row r="245" customFormat="false" ht="74.6" hidden="false" customHeight="false" outlineLevel="0" collapsed="false">
      <c r="A245" s="79" t="n">
        <f aca="false">IF(E245="","",ROW()-6)</f>
        <v>239</v>
      </c>
      <c r="B245" s="80" t="s">
        <v>110</v>
      </c>
      <c r="C245" s="81"/>
      <c r="D245" s="81"/>
      <c r="E245" s="81" t="s">
        <v>349</v>
      </c>
      <c r="F245" s="82" t="str">
        <f aca="false">IF(E245="","",IF(LEFT(E245,2)="DJ","DJ","JN"))</f>
        <v>JN</v>
      </c>
      <c r="G245" s="81"/>
      <c r="H245" s="81"/>
      <c r="I245" s="81"/>
      <c r="J245" s="81"/>
      <c r="K245" s="81"/>
      <c r="L245" s="81"/>
      <c r="M245" s="81"/>
      <c r="N245" s="81"/>
      <c r="O245" s="81"/>
      <c r="P245" s="81"/>
      <c r="Q245" s="81"/>
      <c r="R245" s="81"/>
      <c r="S245" s="81"/>
      <c r="T245" s="81"/>
      <c r="U245" s="83"/>
      <c r="V245" s="83"/>
      <c r="W245" s="81"/>
      <c r="X245" s="81"/>
      <c r="Y245" s="83"/>
      <c r="Z245" s="81"/>
      <c r="AA245" s="81"/>
      <c r="AB245" s="81"/>
      <c r="AC245" s="81"/>
      <c r="AD245" s="81"/>
      <c r="AE245" s="83"/>
      <c r="AF245" s="81"/>
      <c r="AG245" s="81"/>
      <c r="AH245" s="81"/>
      <c r="AI245" s="81"/>
      <c r="AJ245" s="83"/>
      <c r="AK245" s="81"/>
      <c r="AL245" s="81"/>
      <c r="AM245" s="83"/>
      <c r="AN245" s="80"/>
      <c r="AO245" s="82" t="n">
        <f aca="false">IF(E245="","",(AA245&lt;&gt;"")+(AG245&lt;&gt;"")+(AL245&lt;&gt;""))</f>
        <v>0</v>
      </c>
      <c r="AP245" s="82" t="str">
        <f aca="false">IF(AL245&lt;&gt;"",AL245,IF(AG245&lt;&gt;"",AG245,IF(AA245&lt;&gt;"",AA245,"")))</f>
        <v/>
      </c>
      <c r="AQ245" s="84" t="str">
        <f aca="false">IF(E245="","",IF(U245="","À SOUDER",IF(X245="","VT EN ATTENTE",IF(X245="R","VT REJETÉ – À REPRENDRE",IF(AP245="","À RADIOGRAPHIER",IF(AP245="A","ACCEPTÉ",IF(AP245="NX","NX – RT À REFAIRE",IF(IF(AO245=1,AD245,IF(AO245=2,AI245,""))="A","RÉPARÉ – À RADIOGRAPHIER",IF(IF(AO245=1,AD245,IF(AO245=2,AI245,""))="R","VT REJETÉ – À REPRENDRE",IF(OR(AP245="CO",AP245="NT"),"COUPE – À RESOUDER","À RÉPARER"))))))))))</f>
        <v>À SOUDER</v>
      </c>
      <c r="AR245" s="82" t="str">
        <f aca="false">IF(AND(ISNUMBER(U245),OR(AQ245="À RADIOGRAPHIER",AQ245="RÉPARÉ – À RADIOGRAPHIER",AQ245="NX – RT À REFAIRE",AQ245="À RÉPARER",AQ245="COUPE – À RESOUDER",AQ245="VT REJETÉ – À REPRENDRE")),MAX(0,'PROGRAMME RT'!$C$4-U245),"")</f>
        <v/>
      </c>
      <c r="AS245" s="82" t="n">
        <f aca="false">IF(AND(OR(AQ245="À RADIOGRAPHIER",AQ245="RÉPARÉ – À RADIOGRAPHIER",AQ245="NX – RT À REFAIRE"),OR('PROGRAMME RT'!$D$5="TOUTES",B245='PROGRAMME RT'!$D$5)),1,0)</f>
        <v>0</v>
      </c>
      <c r="AT245" s="82" t="str">
        <f aca="false">IF(AS245=1,SUM(AS$7:AS245),"")</f>
        <v/>
      </c>
      <c r="AU245" s="82" t="n">
        <f aca="false">IF(AND(OR(AA245="R",AA245="NX",AA245="NT",AA245="CO"),OR('JOINTS DE RÉPARATION'!$D$5="TOUTES",B245='JOINTS DE RÉPARATION'!$D$5),OR('JOINTS DE RÉPARATION'!$L$4="TOUS",AQ245&lt;&gt;"ACCEPTÉ")),1,0)</f>
        <v>0</v>
      </c>
      <c r="AV245" s="82" t="str">
        <f aca="false">IF(AU245=1,SUM(AU$7:AU245),"")</f>
        <v/>
      </c>
      <c r="AW245" s="82" t="str">
        <f aca="false">IF(E245="","",B245&amp;"|"&amp;E245)</f>
        <v>MFD-ISW → MFD-CPF|JN°239</v>
      </c>
    </row>
    <row r="246" customFormat="false" ht="74.6" hidden="false" customHeight="false" outlineLevel="0" collapsed="false">
      <c r="A246" s="79" t="n">
        <f aca="false">IF(E246="","",ROW()-6)</f>
        <v>240</v>
      </c>
      <c r="B246" s="80" t="s">
        <v>110</v>
      </c>
      <c r="C246" s="81"/>
      <c r="D246" s="81"/>
      <c r="E246" s="81" t="s">
        <v>350</v>
      </c>
      <c r="F246" s="82" t="str">
        <f aca="false">IF(E246="","",IF(LEFT(E246,2)="DJ","DJ","JN"))</f>
        <v>JN</v>
      </c>
      <c r="G246" s="81"/>
      <c r="H246" s="81"/>
      <c r="I246" s="81"/>
      <c r="J246" s="81"/>
      <c r="K246" s="81"/>
      <c r="L246" s="81"/>
      <c r="M246" s="81"/>
      <c r="N246" s="81"/>
      <c r="O246" s="81"/>
      <c r="P246" s="81"/>
      <c r="Q246" s="81"/>
      <c r="R246" s="81"/>
      <c r="S246" s="81"/>
      <c r="T246" s="81"/>
      <c r="U246" s="83"/>
      <c r="V246" s="83"/>
      <c r="W246" s="81"/>
      <c r="X246" s="81"/>
      <c r="Y246" s="83"/>
      <c r="Z246" s="81"/>
      <c r="AA246" s="81"/>
      <c r="AB246" s="81"/>
      <c r="AC246" s="81"/>
      <c r="AD246" s="81"/>
      <c r="AE246" s="83"/>
      <c r="AF246" s="81"/>
      <c r="AG246" s="81"/>
      <c r="AH246" s="81"/>
      <c r="AI246" s="81"/>
      <c r="AJ246" s="83"/>
      <c r="AK246" s="81"/>
      <c r="AL246" s="81"/>
      <c r="AM246" s="83"/>
      <c r="AN246" s="80"/>
      <c r="AO246" s="82" t="n">
        <f aca="false">IF(E246="","",(AA246&lt;&gt;"")+(AG246&lt;&gt;"")+(AL246&lt;&gt;""))</f>
        <v>0</v>
      </c>
      <c r="AP246" s="82" t="str">
        <f aca="false">IF(AL246&lt;&gt;"",AL246,IF(AG246&lt;&gt;"",AG246,IF(AA246&lt;&gt;"",AA246,"")))</f>
        <v/>
      </c>
      <c r="AQ246" s="84" t="str">
        <f aca="false">IF(E246="","",IF(U246="","À SOUDER",IF(X246="","VT EN ATTENTE",IF(X246="R","VT REJETÉ – À REPRENDRE",IF(AP246="","À RADIOGRAPHIER",IF(AP246="A","ACCEPTÉ",IF(AP246="NX","NX – RT À REFAIRE",IF(IF(AO246=1,AD246,IF(AO246=2,AI246,""))="A","RÉPARÉ – À RADIOGRAPHIER",IF(IF(AO246=1,AD246,IF(AO246=2,AI246,""))="R","VT REJETÉ – À REPRENDRE",IF(OR(AP246="CO",AP246="NT"),"COUPE – À RESOUDER","À RÉPARER"))))))))))</f>
        <v>À SOUDER</v>
      </c>
      <c r="AR246" s="82" t="str">
        <f aca="false">IF(AND(ISNUMBER(U246),OR(AQ246="À RADIOGRAPHIER",AQ246="RÉPARÉ – À RADIOGRAPHIER",AQ246="NX – RT À REFAIRE",AQ246="À RÉPARER",AQ246="COUPE – À RESOUDER",AQ246="VT REJETÉ – À REPRENDRE")),MAX(0,'PROGRAMME RT'!$C$4-U246),"")</f>
        <v/>
      </c>
      <c r="AS246" s="82" t="n">
        <f aca="false">IF(AND(OR(AQ246="À RADIOGRAPHIER",AQ246="RÉPARÉ – À RADIOGRAPHIER",AQ246="NX – RT À REFAIRE"),OR('PROGRAMME RT'!$D$5="TOUTES",B246='PROGRAMME RT'!$D$5)),1,0)</f>
        <v>0</v>
      </c>
      <c r="AT246" s="82" t="str">
        <f aca="false">IF(AS246=1,SUM(AS$7:AS246),"")</f>
        <v/>
      </c>
      <c r="AU246" s="82" t="n">
        <f aca="false">IF(AND(OR(AA246="R",AA246="NX",AA246="NT",AA246="CO"),OR('JOINTS DE RÉPARATION'!$D$5="TOUTES",B246='JOINTS DE RÉPARATION'!$D$5),OR('JOINTS DE RÉPARATION'!$L$4="TOUS",AQ246&lt;&gt;"ACCEPTÉ")),1,0)</f>
        <v>0</v>
      </c>
      <c r="AV246" s="82" t="str">
        <f aca="false">IF(AU246=1,SUM(AU$7:AU246),"")</f>
        <v/>
      </c>
      <c r="AW246" s="82" t="str">
        <f aca="false">IF(E246="","",B246&amp;"|"&amp;E246)</f>
        <v>MFD-ISW → MFD-CPF|JN°240</v>
      </c>
    </row>
    <row r="247" customFormat="false" ht="74.6" hidden="false" customHeight="false" outlineLevel="0" collapsed="false">
      <c r="A247" s="79" t="n">
        <f aca="false">IF(E247="","",ROW()-6)</f>
        <v>241</v>
      </c>
      <c r="B247" s="80" t="s">
        <v>110</v>
      </c>
      <c r="C247" s="81"/>
      <c r="D247" s="81"/>
      <c r="E247" s="81" t="s">
        <v>351</v>
      </c>
      <c r="F247" s="82" t="str">
        <f aca="false">IF(E247="","",IF(LEFT(E247,2)="DJ","DJ","JN"))</f>
        <v>JN</v>
      </c>
      <c r="G247" s="81"/>
      <c r="H247" s="81"/>
      <c r="I247" s="81"/>
      <c r="J247" s="81"/>
      <c r="K247" s="81"/>
      <c r="L247" s="81"/>
      <c r="M247" s="81"/>
      <c r="N247" s="81"/>
      <c r="O247" s="81"/>
      <c r="P247" s="81"/>
      <c r="Q247" s="81"/>
      <c r="R247" s="81"/>
      <c r="S247" s="81"/>
      <c r="T247" s="81"/>
      <c r="U247" s="83"/>
      <c r="V247" s="83"/>
      <c r="W247" s="81"/>
      <c r="X247" s="81"/>
      <c r="Y247" s="83"/>
      <c r="Z247" s="81"/>
      <c r="AA247" s="81"/>
      <c r="AB247" s="81"/>
      <c r="AC247" s="81"/>
      <c r="AD247" s="81"/>
      <c r="AE247" s="83"/>
      <c r="AF247" s="81"/>
      <c r="AG247" s="81"/>
      <c r="AH247" s="81"/>
      <c r="AI247" s="81"/>
      <c r="AJ247" s="83"/>
      <c r="AK247" s="81"/>
      <c r="AL247" s="81"/>
      <c r="AM247" s="83"/>
      <c r="AN247" s="80"/>
      <c r="AO247" s="82" t="n">
        <f aca="false">IF(E247="","",(AA247&lt;&gt;"")+(AG247&lt;&gt;"")+(AL247&lt;&gt;""))</f>
        <v>0</v>
      </c>
      <c r="AP247" s="82" t="str">
        <f aca="false">IF(AL247&lt;&gt;"",AL247,IF(AG247&lt;&gt;"",AG247,IF(AA247&lt;&gt;"",AA247,"")))</f>
        <v/>
      </c>
      <c r="AQ247" s="84" t="str">
        <f aca="false">IF(E247="","",IF(U247="","À SOUDER",IF(X247="","VT EN ATTENTE",IF(X247="R","VT REJETÉ – À REPRENDRE",IF(AP247="","À RADIOGRAPHIER",IF(AP247="A","ACCEPTÉ",IF(AP247="NX","NX – RT À REFAIRE",IF(IF(AO247=1,AD247,IF(AO247=2,AI247,""))="A","RÉPARÉ – À RADIOGRAPHIER",IF(IF(AO247=1,AD247,IF(AO247=2,AI247,""))="R","VT REJETÉ – À REPRENDRE",IF(OR(AP247="CO",AP247="NT"),"COUPE – À RESOUDER","À RÉPARER"))))))))))</f>
        <v>À SOUDER</v>
      </c>
      <c r="AR247" s="82" t="str">
        <f aca="false">IF(AND(ISNUMBER(U247),OR(AQ247="À RADIOGRAPHIER",AQ247="RÉPARÉ – À RADIOGRAPHIER",AQ247="NX – RT À REFAIRE",AQ247="À RÉPARER",AQ247="COUPE – À RESOUDER",AQ247="VT REJETÉ – À REPRENDRE")),MAX(0,'PROGRAMME RT'!$C$4-U247),"")</f>
        <v/>
      </c>
      <c r="AS247" s="82" t="n">
        <f aca="false">IF(AND(OR(AQ247="À RADIOGRAPHIER",AQ247="RÉPARÉ – À RADIOGRAPHIER",AQ247="NX – RT À REFAIRE"),OR('PROGRAMME RT'!$D$5="TOUTES",B247='PROGRAMME RT'!$D$5)),1,0)</f>
        <v>0</v>
      </c>
      <c r="AT247" s="82" t="str">
        <f aca="false">IF(AS247=1,SUM(AS$7:AS247),"")</f>
        <v/>
      </c>
      <c r="AU247" s="82" t="n">
        <f aca="false">IF(AND(OR(AA247="R",AA247="NX",AA247="NT",AA247="CO"),OR('JOINTS DE RÉPARATION'!$D$5="TOUTES",B247='JOINTS DE RÉPARATION'!$D$5),OR('JOINTS DE RÉPARATION'!$L$4="TOUS",AQ247&lt;&gt;"ACCEPTÉ")),1,0)</f>
        <v>0</v>
      </c>
      <c r="AV247" s="82" t="str">
        <f aca="false">IF(AU247=1,SUM(AU$7:AU247),"")</f>
        <v/>
      </c>
      <c r="AW247" s="82" t="str">
        <f aca="false">IF(E247="","",B247&amp;"|"&amp;E247)</f>
        <v>MFD-ISW → MFD-CPF|JN°241</v>
      </c>
    </row>
    <row r="248" customFormat="false" ht="74.6" hidden="false" customHeight="false" outlineLevel="0" collapsed="false">
      <c r="A248" s="79" t="n">
        <f aca="false">IF(E248="","",ROW()-6)</f>
        <v>242</v>
      </c>
      <c r="B248" s="80" t="s">
        <v>110</v>
      </c>
      <c r="C248" s="81"/>
      <c r="D248" s="81"/>
      <c r="E248" s="81" t="s">
        <v>352</v>
      </c>
      <c r="F248" s="82" t="str">
        <f aca="false">IF(E248="","",IF(LEFT(E248,2)="DJ","DJ","JN"))</f>
        <v>JN</v>
      </c>
      <c r="G248" s="81"/>
      <c r="H248" s="81"/>
      <c r="I248" s="81"/>
      <c r="J248" s="81"/>
      <c r="K248" s="81"/>
      <c r="L248" s="81"/>
      <c r="M248" s="81"/>
      <c r="N248" s="81"/>
      <c r="O248" s="81"/>
      <c r="P248" s="81"/>
      <c r="Q248" s="81"/>
      <c r="R248" s="81"/>
      <c r="S248" s="81"/>
      <c r="T248" s="81"/>
      <c r="U248" s="83"/>
      <c r="V248" s="83"/>
      <c r="W248" s="81"/>
      <c r="X248" s="81"/>
      <c r="Y248" s="83"/>
      <c r="Z248" s="81"/>
      <c r="AA248" s="81"/>
      <c r="AB248" s="81"/>
      <c r="AC248" s="81"/>
      <c r="AD248" s="81"/>
      <c r="AE248" s="83"/>
      <c r="AF248" s="81"/>
      <c r="AG248" s="81"/>
      <c r="AH248" s="81"/>
      <c r="AI248" s="81"/>
      <c r="AJ248" s="83"/>
      <c r="AK248" s="81"/>
      <c r="AL248" s="81"/>
      <c r="AM248" s="83"/>
      <c r="AN248" s="80"/>
      <c r="AO248" s="82" t="n">
        <f aca="false">IF(E248="","",(AA248&lt;&gt;"")+(AG248&lt;&gt;"")+(AL248&lt;&gt;""))</f>
        <v>0</v>
      </c>
      <c r="AP248" s="82" t="str">
        <f aca="false">IF(AL248&lt;&gt;"",AL248,IF(AG248&lt;&gt;"",AG248,IF(AA248&lt;&gt;"",AA248,"")))</f>
        <v/>
      </c>
      <c r="AQ248" s="84" t="str">
        <f aca="false">IF(E248="","",IF(U248="","À SOUDER",IF(X248="","VT EN ATTENTE",IF(X248="R","VT REJETÉ – À REPRENDRE",IF(AP248="","À RADIOGRAPHIER",IF(AP248="A","ACCEPTÉ",IF(AP248="NX","NX – RT À REFAIRE",IF(IF(AO248=1,AD248,IF(AO248=2,AI248,""))="A","RÉPARÉ – À RADIOGRAPHIER",IF(IF(AO248=1,AD248,IF(AO248=2,AI248,""))="R","VT REJETÉ – À REPRENDRE",IF(OR(AP248="CO",AP248="NT"),"COUPE – À RESOUDER","À RÉPARER"))))))))))</f>
        <v>À SOUDER</v>
      </c>
      <c r="AR248" s="82" t="str">
        <f aca="false">IF(AND(ISNUMBER(U248),OR(AQ248="À RADIOGRAPHIER",AQ248="RÉPARÉ – À RADIOGRAPHIER",AQ248="NX – RT À REFAIRE",AQ248="À RÉPARER",AQ248="COUPE – À RESOUDER",AQ248="VT REJETÉ – À REPRENDRE")),MAX(0,'PROGRAMME RT'!$C$4-U248),"")</f>
        <v/>
      </c>
      <c r="AS248" s="82" t="n">
        <f aca="false">IF(AND(OR(AQ248="À RADIOGRAPHIER",AQ248="RÉPARÉ – À RADIOGRAPHIER",AQ248="NX – RT À REFAIRE"),OR('PROGRAMME RT'!$D$5="TOUTES",B248='PROGRAMME RT'!$D$5)),1,0)</f>
        <v>0</v>
      </c>
      <c r="AT248" s="82" t="str">
        <f aca="false">IF(AS248=1,SUM(AS$7:AS248),"")</f>
        <v/>
      </c>
      <c r="AU248" s="82" t="n">
        <f aca="false">IF(AND(OR(AA248="R",AA248="NX",AA248="NT",AA248="CO"),OR('JOINTS DE RÉPARATION'!$D$5="TOUTES",B248='JOINTS DE RÉPARATION'!$D$5),OR('JOINTS DE RÉPARATION'!$L$4="TOUS",AQ248&lt;&gt;"ACCEPTÉ")),1,0)</f>
        <v>0</v>
      </c>
      <c r="AV248" s="82" t="str">
        <f aca="false">IF(AU248=1,SUM(AU$7:AU248),"")</f>
        <v/>
      </c>
      <c r="AW248" s="82" t="str">
        <f aca="false">IF(E248="","",B248&amp;"|"&amp;E248)</f>
        <v>MFD-ISW → MFD-CPF|JN°242</v>
      </c>
    </row>
    <row r="249" customFormat="false" ht="74.6" hidden="false" customHeight="false" outlineLevel="0" collapsed="false">
      <c r="A249" s="79" t="n">
        <f aca="false">IF(E249="","",ROW()-6)</f>
        <v>243</v>
      </c>
      <c r="B249" s="80" t="s">
        <v>110</v>
      </c>
      <c r="C249" s="81"/>
      <c r="D249" s="81"/>
      <c r="E249" s="81" t="s">
        <v>353</v>
      </c>
      <c r="F249" s="82" t="str">
        <f aca="false">IF(E249="","",IF(LEFT(E249,2)="DJ","DJ","JN"))</f>
        <v>JN</v>
      </c>
      <c r="G249" s="81"/>
      <c r="H249" s="81"/>
      <c r="I249" s="81"/>
      <c r="J249" s="81"/>
      <c r="K249" s="81"/>
      <c r="L249" s="81"/>
      <c r="M249" s="81"/>
      <c r="N249" s="81"/>
      <c r="O249" s="81"/>
      <c r="P249" s="81"/>
      <c r="Q249" s="81"/>
      <c r="R249" s="81"/>
      <c r="S249" s="81"/>
      <c r="T249" s="81"/>
      <c r="U249" s="83"/>
      <c r="V249" s="83"/>
      <c r="W249" s="81"/>
      <c r="X249" s="81"/>
      <c r="Y249" s="83"/>
      <c r="Z249" s="81"/>
      <c r="AA249" s="81"/>
      <c r="AB249" s="81"/>
      <c r="AC249" s="81"/>
      <c r="AD249" s="81"/>
      <c r="AE249" s="83"/>
      <c r="AF249" s="81"/>
      <c r="AG249" s="81"/>
      <c r="AH249" s="81"/>
      <c r="AI249" s="81"/>
      <c r="AJ249" s="83"/>
      <c r="AK249" s="81"/>
      <c r="AL249" s="81"/>
      <c r="AM249" s="83"/>
      <c r="AN249" s="80"/>
      <c r="AO249" s="82" t="n">
        <f aca="false">IF(E249="","",(AA249&lt;&gt;"")+(AG249&lt;&gt;"")+(AL249&lt;&gt;""))</f>
        <v>0</v>
      </c>
      <c r="AP249" s="82" t="str">
        <f aca="false">IF(AL249&lt;&gt;"",AL249,IF(AG249&lt;&gt;"",AG249,IF(AA249&lt;&gt;"",AA249,"")))</f>
        <v/>
      </c>
      <c r="AQ249" s="84" t="str">
        <f aca="false">IF(E249="","",IF(U249="","À SOUDER",IF(X249="","VT EN ATTENTE",IF(X249="R","VT REJETÉ – À REPRENDRE",IF(AP249="","À RADIOGRAPHIER",IF(AP249="A","ACCEPTÉ",IF(AP249="NX","NX – RT À REFAIRE",IF(IF(AO249=1,AD249,IF(AO249=2,AI249,""))="A","RÉPARÉ – À RADIOGRAPHIER",IF(IF(AO249=1,AD249,IF(AO249=2,AI249,""))="R","VT REJETÉ – À REPRENDRE",IF(OR(AP249="CO",AP249="NT"),"COUPE – À RESOUDER","À RÉPARER"))))))))))</f>
        <v>À SOUDER</v>
      </c>
      <c r="AR249" s="82" t="str">
        <f aca="false">IF(AND(ISNUMBER(U249),OR(AQ249="À RADIOGRAPHIER",AQ249="RÉPARÉ – À RADIOGRAPHIER",AQ249="NX – RT À REFAIRE",AQ249="À RÉPARER",AQ249="COUPE – À RESOUDER",AQ249="VT REJETÉ – À REPRENDRE")),MAX(0,'PROGRAMME RT'!$C$4-U249),"")</f>
        <v/>
      </c>
      <c r="AS249" s="82" t="n">
        <f aca="false">IF(AND(OR(AQ249="À RADIOGRAPHIER",AQ249="RÉPARÉ – À RADIOGRAPHIER",AQ249="NX – RT À REFAIRE"),OR('PROGRAMME RT'!$D$5="TOUTES",B249='PROGRAMME RT'!$D$5)),1,0)</f>
        <v>0</v>
      </c>
      <c r="AT249" s="82" t="str">
        <f aca="false">IF(AS249=1,SUM(AS$7:AS249),"")</f>
        <v/>
      </c>
      <c r="AU249" s="82" t="n">
        <f aca="false">IF(AND(OR(AA249="R",AA249="NX",AA249="NT",AA249="CO"),OR('JOINTS DE RÉPARATION'!$D$5="TOUTES",B249='JOINTS DE RÉPARATION'!$D$5),OR('JOINTS DE RÉPARATION'!$L$4="TOUS",AQ249&lt;&gt;"ACCEPTÉ")),1,0)</f>
        <v>0</v>
      </c>
      <c r="AV249" s="82" t="str">
        <f aca="false">IF(AU249=1,SUM(AU$7:AU249),"")</f>
        <v/>
      </c>
      <c r="AW249" s="82" t="str">
        <f aca="false">IF(E249="","",B249&amp;"|"&amp;E249)</f>
        <v>MFD-ISW → MFD-CPF|JN°243</v>
      </c>
    </row>
    <row r="250" customFormat="false" ht="74.6" hidden="false" customHeight="false" outlineLevel="0" collapsed="false">
      <c r="A250" s="79" t="n">
        <f aca="false">IF(E250="","",ROW()-6)</f>
        <v>244</v>
      </c>
      <c r="B250" s="80" t="s">
        <v>110</v>
      </c>
      <c r="C250" s="81"/>
      <c r="D250" s="81"/>
      <c r="E250" s="81" t="s">
        <v>354</v>
      </c>
      <c r="F250" s="82" t="str">
        <f aca="false">IF(E250="","",IF(LEFT(E250,2)="DJ","DJ","JN"))</f>
        <v>JN</v>
      </c>
      <c r="G250" s="81"/>
      <c r="H250" s="81"/>
      <c r="I250" s="81"/>
      <c r="J250" s="81"/>
      <c r="K250" s="81"/>
      <c r="L250" s="81"/>
      <c r="M250" s="81"/>
      <c r="N250" s="81"/>
      <c r="O250" s="81"/>
      <c r="P250" s="81"/>
      <c r="Q250" s="81"/>
      <c r="R250" s="81"/>
      <c r="S250" s="81"/>
      <c r="T250" s="81"/>
      <c r="U250" s="83"/>
      <c r="V250" s="83"/>
      <c r="W250" s="81"/>
      <c r="X250" s="81"/>
      <c r="Y250" s="83"/>
      <c r="Z250" s="81"/>
      <c r="AA250" s="81"/>
      <c r="AB250" s="81"/>
      <c r="AC250" s="81"/>
      <c r="AD250" s="81"/>
      <c r="AE250" s="83"/>
      <c r="AF250" s="81"/>
      <c r="AG250" s="81"/>
      <c r="AH250" s="81"/>
      <c r="AI250" s="81"/>
      <c r="AJ250" s="83"/>
      <c r="AK250" s="81"/>
      <c r="AL250" s="81"/>
      <c r="AM250" s="83"/>
      <c r="AN250" s="80"/>
      <c r="AO250" s="82" t="n">
        <f aca="false">IF(E250="","",(AA250&lt;&gt;"")+(AG250&lt;&gt;"")+(AL250&lt;&gt;""))</f>
        <v>0</v>
      </c>
      <c r="AP250" s="82" t="str">
        <f aca="false">IF(AL250&lt;&gt;"",AL250,IF(AG250&lt;&gt;"",AG250,IF(AA250&lt;&gt;"",AA250,"")))</f>
        <v/>
      </c>
      <c r="AQ250" s="84" t="str">
        <f aca="false">IF(E250="","",IF(U250="","À SOUDER",IF(X250="","VT EN ATTENTE",IF(X250="R","VT REJETÉ – À REPRENDRE",IF(AP250="","À RADIOGRAPHIER",IF(AP250="A","ACCEPTÉ",IF(AP250="NX","NX – RT À REFAIRE",IF(IF(AO250=1,AD250,IF(AO250=2,AI250,""))="A","RÉPARÉ – À RADIOGRAPHIER",IF(IF(AO250=1,AD250,IF(AO250=2,AI250,""))="R","VT REJETÉ – À REPRENDRE",IF(OR(AP250="CO",AP250="NT"),"COUPE – À RESOUDER","À RÉPARER"))))))))))</f>
        <v>À SOUDER</v>
      </c>
      <c r="AR250" s="82" t="str">
        <f aca="false">IF(AND(ISNUMBER(U250),OR(AQ250="À RADIOGRAPHIER",AQ250="RÉPARÉ – À RADIOGRAPHIER",AQ250="NX – RT À REFAIRE",AQ250="À RÉPARER",AQ250="COUPE – À RESOUDER",AQ250="VT REJETÉ – À REPRENDRE")),MAX(0,'PROGRAMME RT'!$C$4-U250),"")</f>
        <v/>
      </c>
      <c r="AS250" s="82" t="n">
        <f aca="false">IF(AND(OR(AQ250="À RADIOGRAPHIER",AQ250="RÉPARÉ – À RADIOGRAPHIER",AQ250="NX – RT À REFAIRE"),OR('PROGRAMME RT'!$D$5="TOUTES",B250='PROGRAMME RT'!$D$5)),1,0)</f>
        <v>0</v>
      </c>
      <c r="AT250" s="82" t="str">
        <f aca="false">IF(AS250=1,SUM(AS$7:AS250),"")</f>
        <v/>
      </c>
      <c r="AU250" s="82" t="n">
        <f aca="false">IF(AND(OR(AA250="R",AA250="NX",AA250="NT",AA250="CO"),OR('JOINTS DE RÉPARATION'!$D$5="TOUTES",B250='JOINTS DE RÉPARATION'!$D$5),OR('JOINTS DE RÉPARATION'!$L$4="TOUS",AQ250&lt;&gt;"ACCEPTÉ")),1,0)</f>
        <v>0</v>
      </c>
      <c r="AV250" s="82" t="str">
        <f aca="false">IF(AU250=1,SUM(AU$7:AU250),"")</f>
        <v/>
      </c>
      <c r="AW250" s="82" t="str">
        <f aca="false">IF(E250="","",B250&amp;"|"&amp;E250)</f>
        <v>MFD-ISW → MFD-CPF|JN°244</v>
      </c>
    </row>
    <row r="251" customFormat="false" ht="74.6" hidden="false" customHeight="false" outlineLevel="0" collapsed="false">
      <c r="A251" s="79" t="n">
        <f aca="false">IF(E251="","",ROW()-6)</f>
        <v>245</v>
      </c>
      <c r="B251" s="80" t="s">
        <v>110</v>
      </c>
      <c r="C251" s="81"/>
      <c r="D251" s="81"/>
      <c r="E251" s="81" t="s">
        <v>355</v>
      </c>
      <c r="F251" s="82" t="str">
        <f aca="false">IF(E251="","",IF(LEFT(E251,2)="DJ","DJ","JN"))</f>
        <v>JN</v>
      </c>
      <c r="G251" s="81"/>
      <c r="H251" s="81"/>
      <c r="I251" s="81"/>
      <c r="J251" s="81"/>
      <c r="K251" s="81"/>
      <c r="L251" s="81"/>
      <c r="M251" s="81"/>
      <c r="N251" s="81"/>
      <c r="O251" s="81"/>
      <c r="P251" s="81"/>
      <c r="Q251" s="81"/>
      <c r="R251" s="81"/>
      <c r="S251" s="81"/>
      <c r="T251" s="81"/>
      <c r="U251" s="83"/>
      <c r="V251" s="83"/>
      <c r="W251" s="81"/>
      <c r="X251" s="81"/>
      <c r="Y251" s="83"/>
      <c r="Z251" s="81"/>
      <c r="AA251" s="81"/>
      <c r="AB251" s="81"/>
      <c r="AC251" s="81"/>
      <c r="AD251" s="81"/>
      <c r="AE251" s="83"/>
      <c r="AF251" s="81"/>
      <c r="AG251" s="81"/>
      <c r="AH251" s="81"/>
      <c r="AI251" s="81"/>
      <c r="AJ251" s="83"/>
      <c r="AK251" s="81"/>
      <c r="AL251" s="81"/>
      <c r="AM251" s="83"/>
      <c r="AN251" s="80"/>
      <c r="AO251" s="82" t="n">
        <f aca="false">IF(E251="","",(AA251&lt;&gt;"")+(AG251&lt;&gt;"")+(AL251&lt;&gt;""))</f>
        <v>0</v>
      </c>
      <c r="AP251" s="82" t="str">
        <f aca="false">IF(AL251&lt;&gt;"",AL251,IF(AG251&lt;&gt;"",AG251,IF(AA251&lt;&gt;"",AA251,"")))</f>
        <v/>
      </c>
      <c r="AQ251" s="84" t="str">
        <f aca="false">IF(E251="","",IF(U251="","À SOUDER",IF(X251="","VT EN ATTENTE",IF(X251="R","VT REJETÉ – À REPRENDRE",IF(AP251="","À RADIOGRAPHIER",IF(AP251="A","ACCEPTÉ",IF(AP251="NX","NX – RT À REFAIRE",IF(IF(AO251=1,AD251,IF(AO251=2,AI251,""))="A","RÉPARÉ – À RADIOGRAPHIER",IF(IF(AO251=1,AD251,IF(AO251=2,AI251,""))="R","VT REJETÉ – À REPRENDRE",IF(OR(AP251="CO",AP251="NT"),"COUPE – À RESOUDER","À RÉPARER"))))))))))</f>
        <v>À SOUDER</v>
      </c>
      <c r="AR251" s="82" t="str">
        <f aca="false">IF(AND(ISNUMBER(U251),OR(AQ251="À RADIOGRAPHIER",AQ251="RÉPARÉ – À RADIOGRAPHIER",AQ251="NX – RT À REFAIRE",AQ251="À RÉPARER",AQ251="COUPE – À RESOUDER",AQ251="VT REJETÉ – À REPRENDRE")),MAX(0,'PROGRAMME RT'!$C$4-U251),"")</f>
        <v/>
      </c>
      <c r="AS251" s="82" t="n">
        <f aca="false">IF(AND(OR(AQ251="À RADIOGRAPHIER",AQ251="RÉPARÉ – À RADIOGRAPHIER",AQ251="NX – RT À REFAIRE"),OR('PROGRAMME RT'!$D$5="TOUTES",B251='PROGRAMME RT'!$D$5)),1,0)</f>
        <v>0</v>
      </c>
      <c r="AT251" s="82" t="str">
        <f aca="false">IF(AS251=1,SUM(AS$7:AS251),"")</f>
        <v/>
      </c>
      <c r="AU251" s="82" t="n">
        <f aca="false">IF(AND(OR(AA251="R",AA251="NX",AA251="NT",AA251="CO"),OR('JOINTS DE RÉPARATION'!$D$5="TOUTES",B251='JOINTS DE RÉPARATION'!$D$5),OR('JOINTS DE RÉPARATION'!$L$4="TOUS",AQ251&lt;&gt;"ACCEPTÉ")),1,0)</f>
        <v>0</v>
      </c>
      <c r="AV251" s="82" t="str">
        <f aca="false">IF(AU251=1,SUM(AU$7:AU251),"")</f>
        <v/>
      </c>
      <c r="AW251" s="82" t="str">
        <f aca="false">IF(E251="","",B251&amp;"|"&amp;E251)</f>
        <v>MFD-ISW → MFD-CPF|JN°245</v>
      </c>
    </row>
    <row r="252" customFormat="false" ht="74.6" hidden="false" customHeight="false" outlineLevel="0" collapsed="false">
      <c r="A252" s="79" t="n">
        <f aca="false">IF(E252="","",ROW()-6)</f>
        <v>246</v>
      </c>
      <c r="B252" s="80" t="s">
        <v>110</v>
      </c>
      <c r="C252" s="81"/>
      <c r="D252" s="81"/>
      <c r="E252" s="81" t="s">
        <v>356</v>
      </c>
      <c r="F252" s="82" t="str">
        <f aca="false">IF(E252="","",IF(LEFT(E252,2)="DJ","DJ","JN"))</f>
        <v>JN</v>
      </c>
      <c r="G252" s="81"/>
      <c r="H252" s="81"/>
      <c r="I252" s="81"/>
      <c r="J252" s="81"/>
      <c r="K252" s="81"/>
      <c r="L252" s="81"/>
      <c r="M252" s="81"/>
      <c r="N252" s="81"/>
      <c r="O252" s="81"/>
      <c r="P252" s="81"/>
      <c r="Q252" s="81"/>
      <c r="R252" s="81"/>
      <c r="S252" s="81"/>
      <c r="T252" s="81"/>
      <c r="U252" s="83"/>
      <c r="V252" s="83"/>
      <c r="W252" s="81"/>
      <c r="X252" s="81"/>
      <c r="Y252" s="83"/>
      <c r="Z252" s="81"/>
      <c r="AA252" s="81"/>
      <c r="AB252" s="81"/>
      <c r="AC252" s="81"/>
      <c r="AD252" s="81"/>
      <c r="AE252" s="83"/>
      <c r="AF252" s="81"/>
      <c r="AG252" s="81"/>
      <c r="AH252" s="81"/>
      <c r="AI252" s="81"/>
      <c r="AJ252" s="83"/>
      <c r="AK252" s="81"/>
      <c r="AL252" s="81"/>
      <c r="AM252" s="83"/>
      <c r="AN252" s="80"/>
      <c r="AO252" s="82" t="n">
        <f aca="false">IF(E252="","",(AA252&lt;&gt;"")+(AG252&lt;&gt;"")+(AL252&lt;&gt;""))</f>
        <v>0</v>
      </c>
      <c r="AP252" s="82" t="str">
        <f aca="false">IF(AL252&lt;&gt;"",AL252,IF(AG252&lt;&gt;"",AG252,IF(AA252&lt;&gt;"",AA252,"")))</f>
        <v/>
      </c>
      <c r="AQ252" s="84" t="str">
        <f aca="false">IF(E252="","",IF(U252="","À SOUDER",IF(X252="","VT EN ATTENTE",IF(X252="R","VT REJETÉ – À REPRENDRE",IF(AP252="","À RADIOGRAPHIER",IF(AP252="A","ACCEPTÉ",IF(AP252="NX","NX – RT À REFAIRE",IF(IF(AO252=1,AD252,IF(AO252=2,AI252,""))="A","RÉPARÉ – À RADIOGRAPHIER",IF(IF(AO252=1,AD252,IF(AO252=2,AI252,""))="R","VT REJETÉ – À REPRENDRE",IF(OR(AP252="CO",AP252="NT"),"COUPE – À RESOUDER","À RÉPARER"))))))))))</f>
        <v>À SOUDER</v>
      </c>
      <c r="AR252" s="82" t="str">
        <f aca="false">IF(AND(ISNUMBER(U252),OR(AQ252="À RADIOGRAPHIER",AQ252="RÉPARÉ – À RADIOGRAPHIER",AQ252="NX – RT À REFAIRE",AQ252="À RÉPARER",AQ252="COUPE – À RESOUDER",AQ252="VT REJETÉ – À REPRENDRE")),MAX(0,'PROGRAMME RT'!$C$4-U252),"")</f>
        <v/>
      </c>
      <c r="AS252" s="82" t="n">
        <f aca="false">IF(AND(OR(AQ252="À RADIOGRAPHIER",AQ252="RÉPARÉ – À RADIOGRAPHIER",AQ252="NX – RT À REFAIRE"),OR('PROGRAMME RT'!$D$5="TOUTES",B252='PROGRAMME RT'!$D$5)),1,0)</f>
        <v>0</v>
      </c>
      <c r="AT252" s="82" t="str">
        <f aca="false">IF(AS252=1,SUM(AS$7:AS252),"")</f>
        <v/>
      </c>
      <c r="AU252" s="82" t="n">
        <f aca="false">IF(AND(OR(AA252="R",AA252="NX",AA252="NT",AA252="CO"),OR('JOINTS DE RÉPARATION'!$D$5="TOUTES",B252='JOINTS DE RÉPARATION'!$D$5),OR('JOINTS DE RÉPARATION'!$L$4="TOUS",AQ252&lt;&gt;"ACCEPTÉ")),1,0)</f>
        <v>0</v>
      </c>
      <c r="AV252" s="82" t="str">
        <f aca="false">IF(AU252=1,SUM(AU$7:AU252),"")</f>
        <v/>
      </c>
      <c r="AW252" s="82" t="str">
        <f aca="false">IF(E252="","",B252&amp;"|"&amp;E252)</f>
        <v>MFD-ISW → MFD-CPF|JN°246</v>
      </c>
    </row>
    <row r="253" customFormat="false" ht="74.6" hidden="false" customHeight="false" outlineLevel="0" collapsed="false">
      <c r="A253" s="79" t="n">
        <f aca="false">IF(E253="","",ROW()-6)</f>
        <v>247</v>
      </c>
      <c r="B253" s="80" t="s">
        <v>110</v>
      </c>
      <c r="C253" s="81"/>
      <c r="D253" s="81"/>
      <c r="E253" s="81" t="s">
        <v>357</v>
      </c>
      <c r="F253" s="82" t="str">
        <f aca="false">IF(E253="","",IF(LEFT(E253,2)="DJ","DJ","JN"))</f>
        <v>JN</v>
      </c>
      <c r="G253" s="81"/>
      <c r="H253" s="81"/>
      <c r="I253" s="81"/>
      <c r="J253" s="81"/>
      <c r="K253" s="81"/>
      <c r="L253" s="81"/>
      <c r="M253" s="81"/>
      <c r="N253" s="81"/>
      <c r="O253" s="81"/>
      <c r="P253" s="81"/>
      <c r="Q253" s="81"/>
      <c r="R253" s="81"/>
      <c r="S253" s="81"/>
      <c r="T253" s="81"/>
      <c r="U253" s="83"/>
      <c r="V253" s="83"/>
      <c r="W253" s="81"/>
      <c r="X253" s="81"/>
      <c r="Y253" s="83"/>
      <c r="Z253" s="81"/>
      <c r="AA253" s="81"/>
      <c r="AB253" s="81"/>
      <c r="AC253" s="81"/>
      <c r="AD253" s="81"/>
      <c r="AE253" s="83"/>
      <c r="AF253" s="81"/>
      <c r="AG253" s="81"/>
      <c r="AH253" s="81"/>
      <c r="AI253" s="81"/>
      <c r="AJ253" s="83"/>
      <c r="AK253" s="81"/>
      <c r="AL253" s="81"/>
      <c r="AM253" s="83"/>
      <c r="AN253" s="80"/>
      <c r="AO253" s="82" t="n">
        <f aca="false">IF(E253="","",(AA253&lt;&gt;"")+(AG253&lt;&gt;"")+(AL253&lt;&gt;""))</f>
        <v>0</v>
      </c>
      <c r="AP253" s="82" t="str">
        <f aca="false">IF(AL253&lt;&gt;"",AL253,IF(AG253&lt;&gt;"",AG253,IF(AA253&lt;&gt;"",AA253,"")))</f>
        <v/>
      </c>
      <c r="AQ253" s="84" t="str">
        <f aca="false">IF(E253="","",IF(U253="","À SOUDER",IF(X253="","VT EN ATTENTE",IF(X253="R","VT REJETÉ – À REPRENDRE",IF(AP253="","À RADIOGRAPHIER",IF(AP253="A","ACCEPTÉ",IF(AP253="NX","NX – RT À REFAIRE",IF(IF(AO253=1,AD253,IF(AO253=2,AI253,""))="A","RÉPARÉ – À RADIOGRAPHIER",IF(IF(AO253=1,AD253,IF(AO253=2,AI253,""))="R","VT REJETÉ – À REPRENDRE",IF(OR(AP253="CO",AP253="NT"),"COUPE – À RESOUDER","À RÉPARER"))))))))))</f>
        <v>À SOUDER</v>
      </c>
      <c r="AR253" s="82" t="str">
        <f aca="false">IF(AND(ISNUMBER(U253),OR(AQ253="À RADIOGRAPHIER",AQ253="RÉPARÉ – À RADIOGRAPHIER",AQ253="NX – RT À REFAIRE",AQ253="À RÉPARER",AQ253="COUPE – À RESOUDER",AQ253="VT REJETÉ – À REPRENDRE")),MAX(0,'PROGRAMME RT'!$C$4-U253),"")</f>
        <v/>
      </c>
      <c r="AS253" s="82" t="n">
        <f aca="false">IF(AND(OR(AQ253="À RADIOGRAPHIER",AQ253="RÉPARÉ – À RADIOGRAPHIER",AQ253="NX – RT À REFAIRE"),OR('PROGRAMME RT'!$D$5="TOUTES",B253='PROGRAMME RT'!$D$5)),1,0)</f>
        <v>0</v>
      </c>
      <c r="AT253" s="82" t="str">
        <f aca="false">IF(AS253=1,SUM(AS$7:AS253),"")</f>
        <v/>
      </c>
      <c r="AU253" s="82" t="n">
        <f aca="false">IF(AND(OR(AA253="R",AA253="NX",AA253="NT",AA253="CO"),OR('JOINTS DE RÉPARATION'!$D$5="TOUTES",B253='JOINTS DE RÉPARATION'!$D$5),OR('JOINTS DE RÉPARATION'!$L$4="TOUS",AQ253&lt;&gt;"ACCEPTÉ")),1,0)</f>
        <v>0</v>
      </c>
      <c r="AV253" s="82" t="str">
        <f aca="false">IF(AU253=1,SUM(AU$7:AU253),"")</f>
        <v/>
      </c>
      <c r="AW253" s="82" t="str">
        <f aca="false">IF(E253="","",B253&amp;"|"&amp;E253)</f>
        <v>MFD-ISW → MFD-CPF|JN°247</v>
      </c>
    </row>
    <row r="254" customFormat="false" ht="74.6" hidden="false" customHeight="false" outlineLevel="0" collapsed="false">
      <c r="A254" s="79" t="n">
        <f aca="false">IF(E254="","",ROW()-6)</f>
        <v>248</v>
      </c>
      <c r="B254" s="80" t="s">
        <v>110</v>
      </c>
      <c r="C254" s="81"/>
      <c r="D254" s="81"/>
      <c r="E254" s="81" t="s">
        <v>358</v>
      </c>
      <c r="F254" s="82" t="str">
        <f aca="false">IF(E254="","",IF(LEFT(E254,2)="DJ","DJ","JN"))</f>
        <v>JN</v>
      </c>
      <c r="G254" s="81"/>
      <c r="H254" s="81"/>
      <c r="I254" s="81"/>
      <c r="J254" s="81"/>
      <c r="K254" s="81"/>
      <c r="L254" s="81"/>
      <c r="M254" s="81"/>
      <c r="N254" s="81"/>
      <c r="O254" s="81"/>
      <c r="P254" s="81"/>
      <c r="Q254" s="81"/>
      <c r="R254" s="81"/>
      <c r="S254" s="81"/>
      <c r="T254" s="81"/>
      <c r="U254" s="83"/>
      <c r="V254" s="83"/>
      <c r="W254" s="81"/>
      <c r="X254" s="81"/>
      <c r="Y254" s="83"/>
      <c r="Z254" s="81"/>
      <c r="AA254" s="81"/>
      <c r="AB254" s="81"/>
      <c r="AC254" s="81"/>
      <c r="AD254" s="81"/>
      <c r="AE254" s="83"/>
      <c r="AF254" s="81"/>
      <c r="AG254" s="81"/>
      <c r="AH254" s="81"/>
      <c r="AI254" s="81"/>
      <c r="AJ254" s="83"/>
      <c r="AK254" s="81"/>
      <c r="AL254" s="81"/>
      <c r="AM254" s="83"/>
      <c r="AN254" s="80"/>
      <c r="AO254" s="82" t="n">
        <f aca="false">IF(E254="","",(AA254&lt;&gt;"")+(AG254&lt;&gt;"")+(AL254&lt;&gt;""))</f>
        <v>0</v>
      </c>
      <c r="AP254" s="82" t="str">
        <f aca="false">IF(AL254&lt;&gt;"",AL254,IF(AG254&lt;&gt;"",AG254,IF(AA254&lt;&gt;"",AA254,"")))</f>
        <v/>
      </c>
      <c r="AQ254" s="84" t="str">
        <f aca="false">IF(E254="","",IF(U254="","À SOUDER",IF(X254="","VT EN ATTENTE",IF(X254="R","VT REJETÉ – À REPRENDRE",IF(AP254="","À RADIOGRAPHIER",IF(AP254="A","ACCEPTÉ",IF(AP254="NX","NX – RT À REFAIRE",IF(IF(AO254=1,AD254,IF(AO254=2,AI254,""))="A","RÉPARÉ – À RADIOGRAPHIER",IF(IF(AO254=1,AD254,IF(AO254=2,AI254,""))="R","VT REJETÉ – À REPRENDRE",IF(OR(AP254="CO",AP254="NT"),"COUPE – À RESOUDER","À RÉPARER"))))))))))</f>
        <v>À SOUDER</v>
      </c>
      <c r="AR254" s="82" t="str">
        <f aca="false">IF(AND(ISNUMBER(U254),OR(AQ254="À RADIOGRAPHIER",AQ254="RÉPARÉ – À RADIOGRAPHIER",AQ254="NX – RT À REFAIRE",AQ254="À RÉPARER",AQ254="COUPE – À RESOUDER",AQ254="VT REJETÉ – À REPRENDRE")),MAX(0,'PROGRAMME RT'!$C$4-U254),"")</f>
        <v/>
      </c>
      <c r="AS254" s="82" t="n">
        <f aca="false">IF(AND(OR(AQ254="À RADIOGRAPHIER",AQ254="RÉPARÉ – À RADIOGRAPHIER",AQ254="NX – RT À REFAIRE"),OR('PROGRAMME RT'!$D$5="TOUTES",B254='PROGRAMME RT'!$D$5)),1,0)</f>
        <v>0</v>
      </c>
      <c r="AT254" s="82" t="str">
        <f aca="false">IF(AS254=1,SUM(AS$7:AS254),"")</f>
        <v/>
      </c>
      <c r="AU254" s="82" t="n">
        <f aca="false">IF(AND(OR(AA254="R",AA254="NX",AA254="NT",AA254="CO"),OR('JOINTS DE RÉPARATION'!$D$5="TOUTES",B254='JOINTS DE RÉPARATION'!$D$5),OR('JOINTS DE RÉPARATION'!$L$4="TOUS",AQ254&lt;&gt;"ACCEPTÉ")),1,0)</f>
        <v>0</v>
      </c>
      <c r="AV254" s="82" t="str">
        <f aca="false">IF(AU254=1,SUM(AU$7:AU254),"")</f>
        <v/>
      </c>
      <c r="AW254" s="82" t="str">
        <f aca="false">IF(E254="","",B254&amp;"|"&amp;E254)</f>
        <v>MFD-ISW → MFD-CPF|JN°248</v>
      </c>
    </row>
    <row r="255" customFormat="false" ht="74.6" hidden="false" customHeight="false" outlineLevel="0" collapsed="false">
      <c r="A255" s="79" t="n">
        <f aca="false">IF(E255="","",ROW()-6)</f>
        <v>249</v>
      </c>
      <c r="B255" s="80" t="s">
        <v>110</v>
      </c>
      <c r="C255" s="81"/>
      <c r="D255" s="81"/>
      <c r="E255" s="81" t="s">
        <v>359</v>
      </c>
      <c r="F255" s="82" t="str">
        <f aca="false">IF(E255="","",IF(LEFT(E255,2)="DJ","DJ","JN"))</f>
        <v>JN</v>
      </c>
      <c r="G255" s="81"/>
      <c r="H255" s="81"/>
      <c r="I255" s="81"/>
      <c r="J255" s="81"/>
      <c r="K255" s="81"/>
      <c r="L255" s="81"/>
      <c r="M255" s="81"/>
      <c r="N255" s="81"/>
      <c r="O255" s="81"/>
      <c r="P255" s="81"/>
      <c r="Q255" s="81"/>
      <c r="R255" s="81"/>
      <c r="S255" s="81"/>
      <c r="T255" s="81"/>
      <c r="U255" s="83"/>
      <c r="V255" s="83"/>
      <c r="W255" s="81"/>
      <c r="X255" s="81"/>
      <c r="Y255" s="83"/>
      <c r="Z255" s="81"/>
      <c r="AA255" s="81"/>
      <c r="AB255" s="81"/>
      <c r="AC255" s="81"/>
      <c r="AD255" s="81"/>
      <c r="AE255" s="83"/>
      <c r="AF255" s="81"/>
      <c r="AG255" s="81"/>
      <c r="AH255" s="81"/>
      <c r="AI255" s="81"/>
      <c r="AJ255" s="83"/>
      <c r="AK255" s="81"/>
      <c r="AL255" s="81"/>
      <c r="AM255" s="83"/>
      <c r="AN255" s="80"/>
      <c r="AO255" s="82" t="n">
        <f aca="false">IF(E255="","",(AA255&lt;&gt;"")+(AG255&lt;&gt;"")+(AL255&lt;&gt;""))</f>
        <v>0</v>
      </c>
      <c r="AP255" s="82" t="str">
        <f aca="false">IF(AL255&lt;&gt;"",AL255,IF(AG255&lt;&gt;"",AG255,IF(AA255&lt;&gt;"",AA255,"")))</f>
        <v/>
      </c>
      <c r="AQ255" s="84" t="str">
        <f aca="false">IF(E255="","",IF(U255="","À SOUDER",IF(X255="","VT EN ATTENTE",IF(X255="R","VT REJETÉ – À REPRENDRE",IF(AP255="","À RADIOGRAPHIER",IF(AP255="A","ACCEPTÉ",IF(AP255="NX","NX – RT À REFAIRE",IF(IF(AO255=1,AD255,IF(AO255=2,AI255,""))="A","RÉPARÉ – À RADIOGRAPHIER",IF(IF(AO255=1,AD255,IF(AO255=2,AI255,""))="R","VT REJETÉ – À REPRENDRE",IF(OR(AP255="CO",AP255="NT"),"COUPE – À RESOUDER","À RÉPARER"))))))))))</f>
        <v>À SOUDER</v>
      </c>
      <c r="AR255" s="82" t="str">
        <f aca="false">IF(AND(ISNUMBER(U255),OR(AQ255="À RADIOGRAPHIER",AQ255="RÉPARÉ – À RADIOGRAPHIER",AQ255="NX – RT À REFAIRE",AQ255="À RÉPARER",AQ255="COUPE – À RESOUDER",AQ255="VT REJETÉ – À REPRENDRE")),MAX(0,'PROGRAMME RT'!$C$4-U255),"")</f>
        <v/>
      </c>
      <c r="AS255" s="82" t="n">
        <f aca="false">IF(AND(OR(AQ255="À RADIOGRAPHIER",AQ255="RÉPARÉ – À RADIOGRAPHIER",AQ255="NX – RT À REFAIRE"),OR('PROGRAMME RT'!$D$5="TOUTES",B255='PROGRAMME RT'!$D$5)),1,0)</f>
        <v>0</v>
      </c>
      <c r="AT255" s="82" t="str">
        <f aca="false">IF(AS255=1,SUM(AS$7:AS255),"")</f>
        <v/>
      </c>
      <c r="AU255" s="82" t="n">
        <f aca="false">IF(AND(OR(AA255="R",AA255="NX",AA255="NT",AA255="CO"),OR('JOINTS DE RÉPARATION'!$D$5="TOUTES",B255='JOINTS DE RÉPARATION'!$D$5),OR('JOINTS DE RÉPARATION'!$L$4="TOUS",AQ255&lt;&gt;"ACCEPTÉ")),1,0)</f>
        <v>0</v>
      </c>
      <c r="AV255" s="82" t="str">
        <f aca="false">IF(AU255=1,SUM(AU$7:AU255),"")</f>
        <v/>
      </c>
      <c r="AW255" s="82" t="str">
        <f aca="false">IF(E255="","",B255&amp;"|"&amp;E255)</f>
        <v>MFD-ISW → MFD-CPF|JN°249</v>
      </c>
    </row>
    <row r="256" customFormat="false" ht="74.6" hidden="false" customHeight="false" outlineLevel="0" collapsed="false">
      <c r="A256" s="79" t="n">
        <f aca="false">IF(E256="","",ROW()-6)</f>
        <v>250</v>
      </c>
      <c r="B256" s="80" t="s">
        <v>110</v>
      </c>
      <c r="C256" s="81"/>
      <c r="D256" s="81"/>
      <c r="E256" s="81" t="s">
        <v>360</v>
      </c>
      <c r="F256" s="82" t="str">
        <f aca="false">IF(E256="","",IF(LEFT(E256,2)="DJ","DJ","JN"))</f>
        <v>JN</v>
      </c>
      <c r="G256" s="81"/>
      <c r="H256" s="81"/>
      <c r="I256" s="81"/>
      <c r="J256" s="81"/>
      <c r="K256" s="81"/>
      <c r="L256" s="81"/>
      <c r="M256" s="81"/>
      <c r="N256" s="81"/>
      <c r="O256" s="81"/>
      <c r="P256" s="81"/>
      <c r="Q256" s="81"/>
      <c r="R256" s="81"/>
      <c r="S256" s="81"/>
      <c r="T256" s="81"/>
      <c r="U256" s="83"/>
      <c r="V256" s="83"/>
      <c r="W256" s="81"/>
      <c r="X256" s="81"/>
      <c r="Y256" s="83"/>
      <c r="Z256" s="81"/>
      <c r="AA256" s="81"/>
      <c r="AB256" s="81"/>
      <c r="AC256" s="81"/>
      <c r="AD256" s="81"/>
      <c r="AE256" s="83"/>
      <c r="AF256" s="81"/>
      <c r="AG256" s="81"/>
      <c r="AH256" s="81"/>
      <c r="AI256" s="81"/>
      <c r="AJ256" s="83"/>
      <c r="AK256" s="81"/>
      <c r="AL256" s="81"/>
      <c r="AM256" s="83"/>
      <c r="AN256" s="80"/>
      <c r="AO256" s="82" t="n">
        <f aca="false">IF(E256="","",(AA256&lt;&gt;"")+(AG256&lt;&gt;"")+(AL256&lt;&gt;""))</f>
        <v>0</v>
      </c>
      <c r="AP256" s="82" t="str">
        <f aca="false">IF(AL256&lt;&gt;"",AL256,IF(AG256&lt;&gt;"",AG256,IF(AA256&lt;&gt;"",AA256,"")))</f>
        <v/>
      </c>
      <c r="AQ256" s="84" t="str">
        <f aca="false">IF(E256="","",IF(U256="","À SOUDER",IF(X256="","VT EN ATTENTE",IF(X256="R","VT REJETÉ – À REPRENDRE",IF(AP256="","À RADIOGRAPHIER",IF(AP256="A","ACCEPTÉ",IF(AP256="NX","NX – RT À REFAIRE",IF(IF(AO256=1,AD256,IF(AO256=2,AI256,""))="A","RÉPARÉ – À RADIOGRAPHIER",IF(IF(AO256=1,AD256,IF(AO256=2,AI256,""))="R","VT REJETÉ – À REPRENDRE",IF(OR(AP256="CO",AP256="NT"),"COUPE – À RESOUDER","À RÉPARER"))))))))))</f>
        <v>À SOUDER</v>
      </c>
      <c r="AR256" s="82" t="str">
        <f aca="false">IF(AND(ISNUMBER(U256),OR(AQ256="À RADIOGRAPHIER",AQ256="RÉPARÉ – À RADIOGRAPHIER",AQ256="NX – RT À REFAIRE",AQ256="À RÉPARER",AQ256="COUPE – À RESOUDER",AQ256="VT REJETÉ – À REPRENDRE")),MAX(0,'PROGRAMME RT'!$C$4-U256),"")</f>
        <v/>
      </c>
      <c r="AS256" s="82" t="n">
        <f aca="false">IF(AND(OR(AQ256="À RADIOGRAPHIER",AQ256="RÉPARÉ – À RADIOGRAPHIER",AQ256="NX – RT À REFAIRE"),OR('PROGRAMME RT'!$D$5="TOUTES",B256='PROGRAMME RT'!$D$5)),1,0)</f>
        <v>0</v>
      </c>
      <c r="AT256" s="82" t="str">
        <f aca="false">IF(AS256=1,SUM(AS$7:AS256),"")</f>
        <v/>
      </c>
      <c r="AU256" s="82" t="n">
        <f aca="false">IF(AND(OR(AA256="R",AA256="NX",AA256="NT",AA256="CO"),OR('JOINTS DE RÉPARATION'!$D$5="TOUTES",B256='JOINTS DE RÉPARATION'!$D$5),OR('JOINTS DE RÉPARATION'!$L$4="TOUS",AQ256&lt;&gt;"ACCEPTÉ")),1,0)</f>
        <v>0</v>
      </c>
      <c r="AV256" s="82" t="str">
        <f aca="false">IF(AU256=1,SUM(AU$7:AU256),"")</f>
        <v/>
      </c>
      <c r="AW256" s="82" t="str">
        <f aca="false">IF(E256="","",B256&amp;"|"&amp;E256)</f>
        <v>MFD-ISW → MFD-CPF|JN°250</v>
      </c>
    </row>
    <row r="257" customFormat="false" ht="74.6" hidden="false" customHeight="false" outlineLevel="0" collapsed="false">
      <c r="A257" s="79" t="n">
        <f aca="false">IF(E257="","",ROW()-6)</f>
        <v>251</v>
      </c>
      <c r="B257" s="80" t="s">
        <v>110</v>
      </c>
      <c r="C257" s="81"/>
      <c r="D257" s="81"/>
      <c r="E257" s="81" t="s">
        <v>361</v>
      </c>
      <c r="F257" s="82" t="str">
        <f aca="false">IF(E257="","",IF(LEFT(E257,2)="DJ","DJ","JN"))</f>
        <v>JN</v>
      </c>
      <c r="G257" s="81"/>
      <c r="H257" s="81"/>
      <c r="I257" s="81"/>
      <c r="J257" s="81"/>
      <c r="K257" s="81"/>
      <c r="L257" s="81"/>
      <c r="M257" s="81"/>
      <c r="N257" s="81"/>
      <c r="O257" s="81"/>
      <c r="P257" s="81"/>
      <c r="Q257" s="81"/>
      <c r="R257" s="81"/>
      <c r="S257" s="81"/>
      <c r="T257" s="81"/>
      <c r="U257" s="83"/>
      <c r="V257" s="83"/>
      <c r="W257" s="81"/>
      <c r="X257" s="81"/>
      <c r="Y257" s="83"/>
      <c r="Z257" s="81"/>
      <c r="AA257" s="81"/>
      <c r="AB257" s="81"/>
      <c r="AC257" s="81"/>
      <c r="AD257" s="81"/>
      <c r="AE257" s="83"/>
      <c r="AF257" s="81"/>
      <c r="AG257" s="81"/>
      <c r="AH257" s="81"/>
      <c r="AI257" s="81"/>
      <c r="AJ257" s="83"/>
      <c r="AK257" s="81"/>
      <c r="AL257" s="81"/>
      <c r="AM257" s="83"/>
      <c r="AN257" s="80"/>
      <c r="AO257" s="82" t="n">
        <f aca="false">IF(E257="","",(AA257&lt;&gt;"")+(AG257&lt;&gt;"")+(AL257&lt;&gt;""))</f>
        <v>0</v>
      </c>
      <c r="AP257" s="82" t="str">
        <f aca="false">IF(AL257&lt;&gt;"",AL257,IF(AG257&lt;&gt;"",AG257,IF(AA257&lt;&gt;"",AA257,"")))</f>
        <v/>
      </c>
      <c r="AQ257" s="84" t="str">
        <f aca="false">IF(E257="","",IF(U257="","À SOUDER",IF(X257="","VT EN ATTENTE",IF(X257="R","VT REJETÉ – À REPRENDRE",IF(AP257="","À RADIOGRAPHIER",IF(AP257="A","ACCEPTÉ",IF(AP257="NX","NX – RT À REFAIRE",IF(IF(AO257=1,AD257,IF(AO257=2,AI257,""))="A","RÉPARÉ – À RADIOGRAPHIER",IF(IF(AO257=1,AD257,IF(AO257=2,AI257,""))="R","VT REJETÉ – À REPRENDRE",IF(OR(AP257="CO",AP257="NT"),"COUPE – À RESOUDER","À RÉPARER"))))))))))</f>
        <v>À SOUDER</v>
      </c>
      <c r="AR257" s="82" t="str">
        <f aca="false">IF(AND(ISNUMBER(U257),OR(AQ257="À RADIOGRAPHIER",AQ257="RÉPARÉ – À RADIOGRAPHIER",AQ257="NX – RT À REFAIRE",AQ257="À RÉPARER",AQ257="COUPE – À RESOUDER",AQ257="VT REJETÉ – À REPRENDRE")),MAX(0,'PROGRAMME RT'!$C$4-U257),"")</f>
        <v/>
      </c>
      <c r="AS257" s="82" t="n">
        <f aca="false">IF(AND(OR(AQ257="À RADIOGRAPHIER",AQ257="RÉPARÉ – À RADIOGRAPHIER",AQ257="NX – RT À REFAIRE"),OR('PROGRAMME RT'!$D$5="TOUTES",B257='PROGRAMME RT'!$D$5)),1,0)</f>
        <v>0</v>
      </c>
      <c r="AT257" s="82" t="str">
        <f aca="false">IF(AS257=1,SUM(AS$7:AS257),"")</f>
        <v/>
      </c>
      <c r="AU257" s="82" t="n">
        <f aca="false">IF(AND(OR(AA257="R",AA257="NX",AA257="NT",AA257="CO"),OR('JOINTS DE RÉPARATION'!$D$5="TOUTES",B257='JOINTS DE RÉPARATION'!$D$5),OR('JOINTS DE RÉPARATION'!$L$4="TOUS",AQ257&lt;&gt;"ACCEPTÉ")),1,0)</f>
        <v>0</v>
      </c>
      <c r="AV257" s="82" t="str">
        <f aca="false">IF(AU257=1,SUM(AU$7:AU257),"")</f>
        <v/>
      </c>
      <c r="AW257" s="82" t="str">
        <f aca="false">IF(E257="","",B257&amp;"|"&amp;E257)</f>
        <v>MFD-ISW → MFD-CPF|JN°251</v>
      </c>
    </row>
    <row r="258" customFormat="false" ht="74.6" hidden="false" customHeight="false" outlineLevel="0" collapsed="false">
      <c r="A258" s="79" t="n">
        <f aca="false">IF(E258="","",ROW()-6)</f>
        <v>252</v>
      </c>
      <c r="B258" s="80" t="s">
        <v>110</v>
      </c>
      <c r="C258" s="81"/>
      <c r="D258" s="81"/>
      <c r="E258" s="81" t="s">
        <v>362</v>
      </c>
      <c r="F258" s="82" t="str">
        <f aca="false">IF(E258="","",IF(LEFT(E258,2)="DJ","DJ","JN"))</f>
        <v>JN</v>
      </c>
      <c r="G258" s="81"/>
      <c r="H258" s="81"/>
      <c r="I258" s="81"/>
      <c r="J258" s="81"/>
      <c r="K258" s="81"/>
      <c r="L258" s="81"/>
      <c r="M258" s="81"/>
      <c r="N258" s="81"/>
      <c r="O258" s="81"/>
      <c r="P258" s="81"/>
      <c r="Q258" s="81"/>
      <c r="R258" s="81"/>
      <c r="S258" s="81"/>
      <c r="T258" s="81"/>
      <c r="U258" s="83"/>
      <c r="V258" s="83"/>
      <c r="W258" s="81"/>
      <c r="X258" s="81"/>
      <c r="Y258" s="83"/>
      <c r="Z258" s="81"/>
      <c r="AA258" s="81"/>
      <c r="AB258" s="81"/>
      <c r="AC258" s="81"/>
      <c r="AD258" s="81"/>
      <c r="AE258" s="83"/>
      <c r="AF258" s="81"/>
      <c r="AG258" s="81"/>
      <c r="AH258" s="81"/>
      <c r="AI258" s="81"/>
      <c r="AJ258" s="83"/>
      <c r="AK258" s="81"/>
      <c r="AL258" s="81"/>
      <c r="AM258" s="83"/>
      <c r="AN258" s="80"/>
      <c r="AO258" s="82" t="n">
        <f aca="false">IF(E258="","",(AA258&lt;&gt;"")+(AG258&lt;&gt;"")+(AL258&lt;&gt;""))</f>
        <v>0</v>
      </c>
      <c r="AP258" s="82" t="str">
        <f aca="false">IF(AL258&lt;&gt;"",AL258,IF(AG258&lt;&gt;"",AG258,IF(AA258&lt;&gt;"",AA258,"")))</f>
        <v/>
      </c>
      <c r="AQ258" s="84" t="str">
        <f aca="false">IF(E258="","",IF(U258="","À SOUDER",IF(X258="","VT EN ATTENTE",IF(X258="R","VT REJETÉ – À REPRENDRE",IF(AP258="","À RADIOGRAPHIER",IF(AP258="A","ACCEPTÉ",IF(AP258="NX","NX – RT À REFAIRE",IF(IF(AO258=1,AD258,IF(AO258=2,AI258,""))="A","RÉPARÉ – À RADIOGRAPHIER",IF(IF(AO258=1,AD258,IF(AO258=2,AI258,""))="R","VT REJETÉ – À REPRENDRE",IF(OR(AP258="CO",AP258="NT"),"COUPE – À RESOUDER","À RÉPARER"))))))))))</f>
        <v>À SOUDER</v>
      </c>
      <c r="AR258" s="82" t="str">
        <f aca="false">IF(AND(ISNUMBER(U258),OR(AQ258="À RADIOGRAPHIER",AQ258="RÉPARÉ – À RADIOGRAPHIER",AQ258="NX – RT À REFAIRE",AQ258="À RÉPARER",AQ258="COUPE – À RESOUDER",AQ258="VT REJETÉ – À REPRENDRE")),MAX(0,'PROGRAMME RT'!$C$4-U258),"")</f>
        <v/>
      </c>
      <c r="AS258" s="82" t="n">
        <f aca="false">IF(AND(OR(AQ258="À RADIOGRAPHIER",AQ258="RÉPARÉ – À RADIOGRAPHIER",AQ258="NX – RT À REFAIRE"),OR('PROGRAMME RT'!$D$5="TOUTES",B258='PROGRAMME RT'!$D$5)),1,0)</f>
        <v>0</v>
      </c>
      <c r="AT258" s="82" t="str">
        <f aca="false">IF(AS258=1,SUM(AS$7:AS258),"")</f>
        <v/>
      </c>
      <c r="AU258" s="82" t="n">
        <f aca="false">IF(AND(OR(AA258="R",AA258="NX",AA258="NT",AA258="CO"),OR('JOINTS DE RÉPARATION'!$D$5="TOUTES",B258='JOINTS DE RÉPARATION'!$D$5),OR('JOINTS DE RÉPARATION'!$L$4="TOUS",AQ258&lt;&gt;"ACCEPTÉ")),1,0)</f>
        <v>0</v>
      </c>
      <c r="AV258" s="82" t="str">
        <f aca="false">IF(AU258=1,SUM(AU$7:AU258),"")</f>
        <v/>
      </c>
      <c r="AW258" s="82" t="str">
        <f aca="false">IF(E258="","",B258&amp;"|"&amp;E258)</f>
        <v>MFD-ISW → MFD-CPF|JN°252</v>
      </c>
    </row>
    <row r="259" customFormat="false" ht="74.6" hidden="false" customHeight="false" outlineLevel="0" collapsed="false">
      <c r="A259" s="79" t="n">
        <f aca="false">IF(E259="","",ROW()-6)</f>
        <v>253</v>
      </c>
      <c r="B259" s="80" t="s">
        <v>110</v>
      </c>
      <c r="C259" s="81"/>
      <c r="D259" s="81"/>
      <c r="E259" s="81" t="s">
        <v>363</v>
      </c>
      <c r="F259" s="82" t="str">
        <f aca="false">IF(E259="","",IF(LEFT(E259,2)="DJ","DJ","JN"))</f>
        <v>JN</v>
      </c>
      <c r="G259" s="81"/>
      <c r="H259" s="81"/>
      <c r="I259" s="81"/>
      <c r="J259" s="81"/>
      <c r="K259" s="81"/>
      <c r="L259" s="81"/>
      <c r="M259" s="81"/>
      <c r="N259" s="81"/>
      <c r="O259" s="81"/>
      <c r="P259" s="81"/>
      <c r="Q259" s="81"/>
      <c r="R259" s="81"/>
      <c r="S259" s="81"/>
      <c r="T259" s="81"/>
      <c r="U259" s="83"/>
      <c r="V259" s="83"/>
      <c r="W259" s="81"/>
      <c r="X259" s="81"/>
      <c r="Y259" s="83"/>
      <c r="Z259" s="81"/>
      <c r="AA259" s="81"/>
      <c r="AB259" s="81"/>
      <c r="AC259" s="81"/>
      <c r="AD259" s="81"/>
      <c r="AE259" s="83"/>
      <c r="AF259" s="81"/>
      <c r="AG259" s="81"/>
      <c r="AH259" s="81"/>
      <c r="AI259" s="81"/>
      <c r="AJ259" s="83"/>
      <c r="AK259" s="81"/>
      <c r="AL259" s="81"/>
      <c r="AM259" s="83"/>
      <c r="AN259" s="80"/>
      <c r="AO259" s="82" t="n">
        <f aca="false">IF(E259="","",(AA259&lt;&gt;"")+(AG259&lt;&gt;"")+(AL259&lt;&gt;""))</f>
        <v>0</v>
      </c>
      <c r="AP259" s="82" t="str">
        <f aca="false">IF(AL259&lt;&gt;"",AL259,IF(AG259&lt;&gt;"",AG259,IF(AA259&lt;&gt;"",AA259,"")))</f>
        <v/>
      </c>
      <c r="AQ259" s="84" t="str">
        <f aca="false">IF(E259="","",IF(U259="","À SOUDER",IF(X259="","VT EN ATTENTE",IF(X259="R","VT REJETÉ – À REPRENDRE",IF(AP259="","À RADIOGRAPHIER",IF(AP259="A","ACCEPTÉ",IF(AP259="NX","NX – RT À REFAIRE",IF(IF(AO259=1,AD259,IF(AO259=2,AI259,""))="A","RÉPARÉ – À RADIOGRAPHIER",IF(IF(AO259=1,AD259,IF(AO259=2,AI259,""))="R","VT REJETÉ – À REPRENDRE",IF(OR(AP259="CO",AP259="NT"),"COUPE – À RESOUDER","À RÉPARER"))))))))))</f>
        <v>À SOUDER</v>
      </c>
      <c r="AR259" s="82" t="str">
        <f aca="false">IF(AND(ISNUMBER(U259),OR(AQ259="À RADIOGRAPHIER",AQ259="RÉPARÉ – À RADIOGRAPHIER",AQ259="NX – RT À REFAIRE",AQ259="À RÉPARER",AQ259="COUPE – À RESOUDER",AQ259="VT REJETÉ – À REPRENDRE")),MAX(0,'PROGRAMME RT'!$C$4-U259),"")</f>
        <v/>
      </c>
      <c r="AS259" s="82" t="n">
        <f aca="false">IF(AND(OR(AQ259="À RADIOGRAPHIER",AQ259="RÉPARÉ – À RADIOGRAPHIER",AQ259="NX – RT À REFAIRE"),OR('PROGRAMME RT'!$D$5="TOUTES",B259='PROGRAMME RT'!$D$5)),1,0)</f>
        <v>0</v>
      </c>
      <c r="AT259" s="82" t="str">
        <f aca="false">IF(AS259=1,SUM(AS$7:AS259),"")</f>
        <v/>
      </c>
      <c r="AU259" s="82" t="n">
        <f aca="false">IF(AND(OR(AA259="R",AA259="NX",AA259="NT",AA259="CO"),OR('JOINTS DE RÉPARATION'!$D$5="TOUTES",B259='JOINTS DE RÉPARATION'!$D$5),OR('JOINTS DE RÉPARATION'!$L$4="TOUS",AQ259&lt;&gt;"ACCEPTÉ")),1,0)</f>
        <v>0</v>
      </c>
      <c r="AV259" s="82" t="str">
        <f aca="false">IF(AU259=1,SUM(AU$7:AU259),"")</f>
        <v/>
      </c>
      <c r="AW259" s="82" t="str">
        <f aca="false">IF(E259="","",B259&amp;"|"&amp;E259)</f>
        <v>MFD-ISW → MFD-CPF|JN°253</v>
      </c>
    </row>
    <row r="260" customFormat="false" ht="74.6" hidden="false" customHeight="false" outlineLevel="0" collapsed="false">
      <c r="A260" s="79" t="n">
        <f aca="false">IF(E260="","",ROW()-6)</f>
        <v>254</v>
      </c>
      <c r="B260" s="80" t="s">
        <v>110</v>
      </c>
      <c r="C260" s="81"/>
      <c r="D260" s="81"/>
      <c r="E260" s="81" t="s">
        <v>364</v>
      </c>
      <c r="F260" s="82" t="str">
        <f aca="false">IF(E260="","",IF(LEFT(E260,2)="DJ","DJ","JN"))</f>
        <v>JN</v>
      </c>
      <c r="G260" s="81"/>
      <c r="H260" s="81"/>
      <c r="I260" s="81"/>
      <c r="J260" s="81"/>
      <c r="K260" s="81"/>
      <c r="L260" s="81"/>
      <c r="M260" s="81"/>
      <c r="N260" s="81"/>
      <c r="O260" s="81"/>
      <c r="P260" s="81"/>
      <c r="Q260" s="81"/>
      <c r="R260" s="81"/>
      <c r="S260" s="81"/>
      <c r="T260" s="81"/>
      <c r="U260" s="83"/>
      <c r="V260" s="83"/>
      <c r="W260" s="81"/>
      <c r="X260" s="81"/>
      <c r="Y260" s="83"/>
      <c r="Z260" s="81"/>
      <c r="AA260" s="81"/>
      <c r="AB260" s="81"/>
      <c r="AC260" s="81"/>
      <c r="AD260" s="81"/>
      <c r="AE260" s="83"/>
      <c r="AF260" s="81"/>
      <c r="AG260" s="81"/>
      <c r="AH260" s="81"/>
      <c r="AI260" s="81"/>
      <c r="AJ260" s="83"/>
      <c r="AK260" s="81"/>
      <c r="AL260" s="81"/>
      <c r="AM260" s="83"/>
      <c r="AN260" s="80"/>
      <c r="AO260" s="82" t="n">
        <f aca="false">IF(E260="","",(AA260&lt;&gt;"")+(AG260&lt;&gt;"")+(AL260&lt;&gt;""))</f>
        <v>0</v>
      </c>
      <c r="AP260" s="82" t="str">
        <f aca="false">IF(AL260&lt;&gt;"",AL260,IF(AG260&lt;&gt;"",AG260,IF(AA260&lt;&gt;"",AA260,"")))</f>
        <v/>
      </c>
      <c r="AQ260" s="84" t="str">
        <f aca="false">IF(E260="","",IF(U260="","À SOUDER",IF(X260="","VT EN ATTENTE",IF(X260="R","VT REJETÉ – À REPRENDRE",IF(AP260="","À RADIOGRAPHIER",IF(AP260="A","ACCEPTÉ",IF(AP260="NX","NX – RT À REFAIRE",IF(IF(AO260=1,AD260,IF(AO260=2,AI260,""))="A","RÉPARÉ – À RADIOGRAPHIER",IF(IF(AO260=1,AD260,IF(AO260=2,AI260,""))="R","VT REJETÉ – À REPRENDRE",IF(OR(AP260="CO",AP260="NT"),"COUPE – À RESOUDER","À RÉPARER"))))))))))</f>
        <v>À SOUDER</v>
      </c>
      <c r="AR260" s="82" t="str">
        <f aca="false">IF(AND(ISNUMBER(U260),OR(AQ260="À RADIOGRAPHIER",AQ260="RÉPARÉ – À RADIOGRAPHIER",AQ260="NX – RT À REFAIRE",AQ260="À RÉPARER",AQ260="COUPE – À RESOUDER",AQ260="VT REJETÉ – À REPRENDRE")),MAX(0,'PROGRAMME RT'!$C$4-U260),"")</f>
        <v/>
      </c>
      <c r="AS260" s="82" t="n">
        <f aca="false">IF(AND(OR(AQ260="À RADIOGRAPHIER",AQ260="RÉPARÉ – À RADIOGRAPHIER",AQ260="NX – RT À REFAIRE"),OR('PROGRAMME RT'!$D$5="TOUTES",B260='PROGRAMME RT'!$D$5)),1,0)</f>
        <v>0</v>
      </c>
      <c r="AT260" s="82" t="str">
        <f aca="false">IF(AS260=1,SUM(AS$7:AS260),"")</f>
        <v/>
      </c>
      <c r="AU260" s="82" t="n">
        <f aca="false">IF(AND(OR(AA260="R",AA260="NX",AA260="NT",AA260="CO"),OR('JOINTS DE RÉPARATION'!$D$5="TOUTES",B260='JOINTS DE RÉPARATION'!$D$5),OR('JOINTS DE RÉPARATION'!$L$4="TOUS",AQ260&lt;&gt;"ACCEPTÉ")),1,0)</f>
        <v>0</v>
      </c>
      <c r="AV260" s="82" t="str">
        <f aca="false">IF(AU260=1,SUM(AU$7:AU260),"")</f>
        <v/>
      </c>
      <c r="AW260" s="82" t="str">
        <f aca="false">IF(E260="","",B260&amp;"|"&amp;E260)</f>
        <v>MFD-ISW → MFD-CPF|JN°254</v>
      </c>
    </row>
    <row r="261" customFormat="false" ht="74.6" hidden="false" customHeight="false" outlineLevel="0" collapsed="false">
      <c r="A261" s="79" t="n">
        <f aca="false">IF(E261="","",ROW()-6)</f>
        <v>255</v>
      </c>
      <c r="B261" s="80" t="s">
        <v>110</v>
      </c>
      <c r="C261" s="81"/>
      <c r="D261" s="81"/>
      <c r="E261" s="81" t="s">
        <v>365</v>
      </c>
      <c r="F261" s="82" t="str">
        <f aca="false">IF(E261="","",IF(LEFT(E261,2)="DJ","DJ","JN"))</f>
        <v>JN</v>
      </c>
      <c r="G261" s="81"/>
      <c r="H261" s="81"/>
      <c r="I261" s="81"/>
      <c r="J261" s="81"/>
      <c r="K261" s="81"/>
      <c r="L261" s="81"/>
      <c r="M261" s="81"/>
      <c r="N261" s="81"/>
      <c r="O261" s="81"/>
      <c r="P261" s="81"/>
      <c r="Q261" s="81"/>
      <c r="R261" s="81"/>
      <c r="S261" s="81"/>
      <c r="T261" s="81"/>
      <c r="U261" s="83"/>
      <c r="V261" s="83"/>
      <c r="W261" s="81"/>
      <c r="X261" s="81"/>
      <c r="Y261" s="83"/>
      <c r="Z261" s="81"/>
      <c r="AA261" s="81"/>
      <c r="AB261" s="81"/>
      <c r="AC261" s="81"/>
      <c r="AD261" s="81"/>
      <c r="AE261" s="83"/>
      <c r="AF261" s="81"/>
      <c r="AG261" s="81"/>
      <c r="AH261" s="81"/>
      <c r="AI261" s="81"/>
      <c r="AJ261" s="83"/>
      <c r="AK261" s="81"/>
      <c r="AL261" s="81"/>
      <c r="AM261" s="83"/>
      <c r="AN261" s="80"/>
      <c r="AO261" s="82" t="n">
        <f aca="false">IF(E261="","",(AA261&lt;&gt;"")+(AG261&lt;&gt;"")+(AL261&lt;&gt;""))</f>
        <v>0</v>
      </c>
      <c r="AP261" s="82" t="str">
        <f aca="false">IF(AL261&lt;&gt;"",AL261,IF(AG261&lt;&gt;"",AG261,IF(AA261&lt;&gt;"",AA261,"")))</f>
        <v/>
      </c>
      <c r="AQ261" s="84" t="str">
        <f aca="false">IF(E261="","",IF(U261="","À SOUDER",IF(X261="","VT EN ATTENTE",IF(X261="R","VT REJETÉ – À REPRENDRE",IF(AP261="","À RADIOGRAPHIER",IF(AP261="A","ACCEPTÉ",IF(AP261="NX","NX – RT À REFAIRE",IF(IF(AO261=1,AD261,IF(AO261=2,AI261,""))="A","RÉPARÉ – À RADIOGRAPHIER",IF(IF(AO261=1,AD261,IF(AO261=2,AI261,""))="R","VT REJETÉ – À REPRENDRE",IF(OR(AP261="CO",AP261="NT"),"COUPE – À RESOUDER","À RÉPARER"))))))))))</f>
        <v>À SOUDER</v>
      </c>
      <c r="AR261" s="82" t="str">
        <f aca="false">IF(AND(ISNUMBER(U261),OR(AQ261="À RADIOGRAPHIER",AQ261="RÉPARÉ – À RADIOGRAPHIER",AQ261="NX – RT À REFAIRE",AQ261="À RÉPARER",AQ261="COUPE – À RESOUDER",AQ261="VT REJETÉ – À REPRENDRE")),MAX(0,'PROGRAMME RT'!$C$4-U261),"")</f>
        <v/>
      </c>
      <c r="AS261" s="82" t="n">
        <f aca="false">IF(AND(OR(AQ261="À RADIOGRAPHIER",AQ261="RÉPARÉ – À RADIOGRAPHIER",AQ261="NX – RT À REFAIRE"),OR('PROGRAMME RT'!$D$5="TOUTES",B261='PROGRAMME RT'!$D$5)),1,0)</f>
        <v>0</v>
      </c>
      <c r="AT261" s="82" t="str">
        <f aca="false">IF(AS261=1,SUM(AS$7:AS261),"")</f>
        <v/>
      </c>
      <c r="AU261" s="82" t="n">
        <f aca="false">IF(AND(OR(AA261="R",AA261="NX",AA261="NT",AA261="CO"),OR('JOINTS DE RÉPARATION'!$D$5="TOUTES",B261='JOINTS DE RÉPARATION'!$D$5),OR('JOINTS DE RÉPARATION'!$L$4="TOUS",AQ261&lt;&gt;"ACCEPTÉ")),1,0)</f>
        <v>0</v>
      </c>
      <c r="AV261" s="82" t="str">
        <f aca="false">IF(AU261=1,SUM(AU$7:AU261),"")</f>
        <v/>
      </c>
      <c r="AW261" s="82" t="str">
        <f aca="false">IF(E261="","",B261&amp;"|"&amp;E261)</f>
        <v>MFD-ISW → MFD-CPF|JN°255</v>
      </c>
    </row>
    <row r="262" customFormat="false" ht="74.6" hidden="false" customHeight="false" outlineLevel="0" collapsed="false">
      <c r="A262" s="79" t="n">
        <f aca="false">IF(E262="","",ROW()-6)</f>
        <v>256</v>
      </c>
      <c r="B262" s="80" t="s">
        <v>110</v>
      </c>
      <c r="C262" s="81"/>
      <c r="D262" s="81"/>
      <c r="E262" s="81" t="s">
        <v>366</v>
      </c>
      <c r="F262" s="82" t="str">
        <f aca="false">IF(E262="","",IF(LEFT(E262,2)="DJ","DJ","JN"))</f>
        <v>JN</v>
      </c>
      <c r="G262" s="81"/>
      <c r="H262" s="81"/>
      <c r="I262" s="81"/>
      <c r="J262" s="81"/>
      <c r="K262" s="81"/>
      <c r="L262" s="81"/>
      <c r="M262" s="81"/>
      <c r="N262" s="81"/>
      <c r="O262" s="81"/>
      <c r="P262" s="81"/>
      <c r="Q262" s="81"/>
      <c r="R262" s="81"/>
      <c r="S262" s="81"/>
      <c r="T262" s="81"/>
      <c r="U262" s="83"/>
      <c r="V262" s="83"/>
      <c r="W262" s="81"/>
      <c r="X262" s="81"/>
      <c r="Y262" s="83"/>
      <c r="Z262" s="81"/>
      <c r="AA262" s="81"/>
      <c r="AB262" s="81"/>
      <c r="AC262" s="81"/>
      <c r="AD262" s="81"/>
      <c r="AE262" s="83"/>
      <c r="AF262" s="81"/>
      <c r="AG262" s="81"/>
      <c r="AH262" s="81"/>
      <c r="AI262" s="81"/>
      <c r="AJ262" s="83"/>
      <c r="AK262" s="81"/>
      <c r="AL262" s="81"/>
      <c r="AM262" s="83"/>
      <c r="AN262" s="80"/>
      <c r="AO262" s="82" t="n">
        <f aca="false">IF(E262="","",(AA262&lt;&gt;"")+(AG262&lt;&gt;"")+(AL262&lt;&gt;""))</f>
        <v>0</v>
      </c>
      <c r="AP262" s="82" t="str">
        <f aca="false">IF(AL262&lt;&gt;"",AL262,IF(AG262&lt;&gt;"",AG262,IF(AA262&lt;&gt;"",AA262,"")))</f>
        <v/>
      </c>
      <c r="AQ262" s="84" t="str">
        <f aca="false">IF(E262="","",IF(U262="","À SOUDER",IF(X262="","VT EN ATTENTE",IF(X262="R","VT REJETÉ – À REPRENDRE",IF(AP262="","À RADIOGRAPHIER",IF(AP262="A","ACCEPTÉ",IF(AP262="NX","NX – RT À REFAIRE",IF(IF(AO262=1,AD262,IF(AO262=2,AI262,""))="A","RÉPARÉ – À RADIOGRAPHIER",IF(IF(AO262=1,AD262,IF(AO262=2,AI262,""))="R","VT REJETÉ – À REPRENDRE",IF(OR(AP262="CO",AP262="NT"),"COUPE – À RESOUDER","À RÉPARER"))))))))))</f>
        <v>À SOUDER</v>
      </c>
      <c r="AR262" s="82" t="str">
        <f aca="false">IF(AND(ISNUMBER(U262),OR(AQ262="À RADIOGRAPHIER",AQ262="RÉPARÉ – À RADIOGRAPHIER",AQ262="NX – RT À REFAIRE",AQ262="À RÉPARER",AQ262="COUPE – À RESOUDER",AQ262="VT REJETÉ – À REPRENDRE")),MAX(0,'PROGRAMME RT'!$C$4-U262),"")</f>
        <v/>
      </c>
      <c r="AS262" s="82" t="n">
        <f aca="false">IF(AND(OR(AQ262="À RADIOGRAPHIER",AQ262="RÉPARÉ – À RADIOGRAPHIER",AQ262="NX – RT À REFAIRE"),OR('PROGRAMME RT'!$D$5="TOUTES",B262='PROGRAMME RT'!$D$5)),1,0)</f>
        <v>0</v>
      </c>
      <c r="AT262" s="82" t="str">
        <f aca="false">IF(AS262=1,SUM(AS$7:AS262),"")</f>
        <v/>
      </c>
      <c r="AU262" s="82" t="n">
        <f aca="false">IF(AND(OR(AA262="R",AA262="NX",AA262="NT",AA262="CO"),OR('JOINTS DE RÉPARATION'!$D$5="TOUTES",B262='JOINTS DE RÉPARATION'!$D$5),OR('JOINTS DE RÉPARATION'!$L$4="TOUS",AQ262&lt;&gt;"ACCEPTÉ")),1,0)</f>
        <v>0</v>
      </c>
      <c r="AV262" s="82" t="str">
        <f aca="false">IF(AU262=1,SUM(AU$7:AU262),"")</f>
        <v/>
      </c>
      <c r="AW262" s="82" t="str">
        <f aca="false">IF(E262="","",B262&amp;"|"&amp;E262)</f>
        <v>MFD-ISW → MFD-CPF|JN°256</v>
      </c>
    </row>
    <row r="263" customFormat="false" ht="74.6" hidden="false" customHeight="false" outlineLevel="0" collapsed="false">
      <c r="A263" s="79" t="n">
        <f aca="false">IF(E263="","",ROW()-6)</f>
        <v>257</v>
      </c>
      <c r="B263" s="80" t="s">
        <v>110</v>
      </c>
      <c r="C263" s="81"/>
      <c r="D263" s="81"/>
      <c r="E263" s="81" t="s">
        <v>367</v>
      </c>
      <c r="F263" s="82" t="str">
        <f aca="false">IF(E263="","",IF(LEFT(E263,2)="DJ","DJ","JN"))</f>
        <v>JN</v>
      </c>
      <c r="G263" s="81"/>
      <c r="H263" s="81"/>
      <c r="I263" s="81"/>
      <c r="J263" s="81"/>
      <c r="K263" s="81"/>
      <c r="L263" s="81"/>
      <c r="M263" s="81"/>
      <c r="N263" s="81"/>
      <c r="O263" s="81"/>
      <c r="P263" s="81"/>
      <c r="Q263" s="81"/>
      <c r="R263" s="81"/>
      <c r="S263" s="81"/>
      <c r="T263" s="81"/>
      <c r="U263" s="83"/>
      <c r="V263" s="83"/>
      <c r="W263" s="81"/>
      <c r="X263" s="81"/>
      <c r="Y263" s="83"/>
      <c r="Z263" s="81"/>
      <c r="AA263" s="81"/>
      <c r="AB263" s="81"/>
      <c r="AC263" s="81"/>
      <c r="AD263" s="81"/>
      <c r="AE263" s="83"/>
      <c r="AF263" s="81"/>
      <c r="AG263" s="81"/>
      <c r="AH263" s="81"/>
      <c r="AI263" s="81"/>
      <c r="AJ263" s="83"/>
      <c r="AK263" s="81"/>
      <c r="AL263" s="81"/>
      <c r="AM263" s="83"/>
      <c r="AN263" s="80"/>
      <c r="AO263" s="82" t="n">
        <f aca="false">IF(E263="","",(AA263&lt;&gt;"")+(AG263&lt;&gt;"")+(AL263&lt;&gt;""))</f>
        <v>0</v>
      </c>
      <c r="AP263" s="82" t="str">
        <f aca="false">IF(AL263&lt;&gt;"",AL263,IF(AG263&lt;&gt;"",AG263,IF(AA263&lt;&gt;"",AA263,"")))</f>
        <v/>
      </c>
      <c r="AQ263" s="84" t="str">
        <f aca="false">IF(E263="","",IF(U263="","À SOUDER",IF(X263="","VT EN ATTENTE",IF(X263="R","VT REJETÉ – À REPRENDRE",IF(AP263="","À RADIOGRAPHIER",IF(AP263="A","ACCEPTÉ",IF(AP263="NX","NX – RT À REFAIRE",IF(IF(AO263=1,AD263,IF(AO263=2,AI263,""))="A","RÉPARÉ – À RADIOGRAPHIER",IF(IF(AO263=1,AD263,IF(AO263=2,AI263,""))="R","VT REJETÉ – À REPRENDRE",IF(OR(AP263="CO",AP263="NT"),"COUPE – À RESOUDER","À RÉPARER"))))))))))</f>
        <v>À SOUDER</v>
      </c>
      <c r="AR263" s="82" t="str">
        <f aca="false">IF(AND(ISNUMBER(U263),OR(AQ263="À RADIOGRAPHIER",AQ263="RÉPARÉ – À RADIOGRAPHIER",AQ263="NX – RT À REFAIRE",AQ263="À RÉPARER",AQ263="COUPE – À RESOUDER",AQ263="VT REJETÉ – À REPRENDRE")),MAX(0,'PROGRAMME RT'!$C$4-U263),"")</f>
        <v/>
      </c>
      <c r="AS263" s="82" t="n">
        <f aca="false">IF(AND(OR(AQ263="À RADIOGRAPHIER",AQ263="RÉPARÉ – À RADIOGRAPHIER",AQ263="NX – RT À REFAIRE"),OR('PROGRAMME RT'!$D$5="TOUTES",B263='PROGRAMME RT'!$D$5)),1,0)</f>
        <v>0</v>
      </c>
      <c r="AT263" s="82" t="str">
        <f aca="false">IF(AS263=1,SUM(AS$7:AS263),"")</f>
        <v/>
      </c>
      <c r="AU263" s="82" t="n">
        <f aca="false">IF(AND(OR(AA263="R",AA263="NX",AA263="NT",AA263="CO"),OR('JOINTS DE RÉPARATION'!$D$5="TOUTES",B263='JOINTS DE RÉPARATION'!$D$5),OR('JOINTS DE RÉPARATION'!$L$4="TOUS",AQ263&lt;&gt;"ACCEPTÉ")),1,0)</f>
        <v>0</v>
      </c>
      <c r="AV263" s="82" t="str">
        <f aca="false">IF(AU263=1,SUM(AU$7:AU263),"")</f>
        <v/>
      </c>
      <c r="AW263" s="82" t="str">
        <f aca="false">IF(E263="","",B263&amp;"|"&amp;E263)</f>
        <v>MFD-ISW → MFD-CPF|JN°257</v>
      </c>
    </row>
    <row r="264" customFormat="false" ht="74.6" hidden="false" customHeight="false" outlineLevel="0" collapsed="false">
      <c r="A264" s="79" t="n">
        <f aca="false">IF(E264="","",ROW()-6)</f>
        <v>258</v>
      </c>
      <c r="B264" s="80" t="s">
        <v>110</v>
      </c>
      <c r="C264" s="81"/>
      <c r="D264" s="81"/>
      <c r="E264" s="81" t="s">
        <v>368</v>
      </c>
      <c r="F264" s="82" t="str">
        <f aca="false">IF(E264="","",IF(LEFT(E264,2)="DJ","DJ","JN"))</f>
        <v>JN</v>
      </c>
      <c r="G264" s="81"/>
      <c r="H264" s="81"/>
      <c r="I264" s="81"/>
      <c r="J264" s="81"/>
      <c r="K264" s="81"/>
      <c r="L264" s="81"/>
      <c r="M264" s="81"/>
      <c r="N264" s="81"/>
      <c r="O264" s="81"/>
      <c r="P264" s="81"/>
      <c r="Q264" s="81"/>
      <c r="R264" s="81"/>
      <c r="S264" s="81"/>
      <c r="T264" s="81"/>
      <c r="U264" s="83"/>
      <c r="V264" s="83"/>
      <c r="W264" s="81"/>
      <c r="X264" s="81"/>
      <c r="Y264" s="83"/>
      <c r="Z264" s="81"/>
      <c r="AA264" s="81"/>
      <c r="AB264" s="81"/>
      <c r="AC264" s="81"/>
      <c r="AD264" s="81"/>
      <c r="AE264" s="83"/>
      <c r="AF264" s="81"/>
      <c r="AG264" s="81"/>
      <c r="AH264" s="81"/>
      <c r="AI264" s="81"/>
      <c r="AJ264" s="83"/>
      <c r="AK264" s="81"/>
      <c r="AL264" s="81"/>
      <c r="AM264" s="83"/>
      <c r="AN264" s="80"/>
      <c r="AO264" s="82" t="n">
        <f aca="false">IF(E264="","",(AA264&lt;&gt;"")+(AG264&lt;&gt;"")+(AL264&lt;&gt;""))</f>
        <v>0</v>
      </c>
      <c r="AP264" s="82" t="str">
        <f aca="false">IF(AL264&lt;&gt;"",AL264,IF(AG264&lt;&gt;"",AG264,IF(AA264&lt;&gt;"",AA264,"")))</f>
        <v/>
      </c>
      <c r="AQ264" s="84" t="str">
        <f aca="false">IF(E264="","",IF(U264="","À SOUDER",IF(X264="","VT EN ATTENTE",IF(X264="R","VT REJETÉ – À REPRENDRE",IF(AP264="","À RADIOGRAPHIER",IF(AP264="A","ACCEPTÉ",IF(AP264="NX","NX – RT À REFAIRE",IF(IF(AO264=1,AD264,IF(AO264=2,AI264,""))="A","RÉPARÉ – À RADIOGRAPHIER",IF(IF(AO264=1,AD264,IF(AO264=2,AI264,""))="R","VT REJETÉ – À REPRENDRE",IF(OR(AP264="CO",AP264="NT"),"COUPE – À RESOUDER","À RÉPARER"))))))))))</f>
        <v>À SOUDER</v>
      </c>
      <c r="AR264" s="82" t="str">
        <f aca="false">IF(AND(ISNUMBER(U264),OR(AQ264="À RADIOGRAPHIER",AQ264="RÉPARÉ – À RADIOGRAPHIER",AQ264="NX – RT À REFAIRE",AQ264="À RÉPARER",AQ264="COUPE – À RESOUDER",AQ264="VT REJETÉ – À REPRENDRE")),MAX(0,'PROGRAMME RT'!$C$4-U264),"")</f>
        <v/>
      </c>
      <c r="AS264" s="82" t="n">
        <f aca="false">IF(AND(OR(AQ264="À RADIOGRAPHIER",AQ264="RÉPARÉ – À RADIOGRAPHIER",AQ264="NX – RT À REFAIRE"),OR('PROGRAMME RT'!$D$5="TOUTES",B264='PROGRAMME RT'!$D$5)),1,0)</f>
        <v>0</v>
      </c>
      <c r="AT264" s="82" t="str">
        <f aca="false">IF(AS264=1,SUM(AS$7:AS264),"")</f>
        <v/>
      </c>
      <c r="AU264" s="82" t="n">
        <f aca="false">IF(AND(OR(AA264="R",AA264="NX",AA264="NT",AA264="CO"),OR('JOINTS DE RÉPARATION'!$D$5="TOUTES",B264='JOINTS DE RÉPARATION'!$D$5),OR('JOINTS DE RÉPARATION'!$L$4="TOUS",AQ264&lt;&gt;"ACCEPTÉ")),1,0)</f>
        <v>0</v>
      </c>
      <c r="AV264" s="82" t="str">
        <f aca="false">IF(AU264=1,SUM(AU$7:AU264),"")</f>
        <v/>
      </c>
      <c r="AW264" s="82" t="str">
        <f aca="false">IF(E264="","",B264&amp;"|"&amp;E264)</f>
        <v>MFD-ISW → MFD-CPF|JN°258</v>
      </c>
    </row>
    <row r="265" customFormat="false" ht="74.6" hidden="false" customHeight="false" outlineLevel="0" collapsed="false">
      <c r="A265" s="79" t="n">
        <f aca="false">IF(E265="","",ROW()-6)</f>
        <v>259</v>
      </c>
      <c r="B265" s="80" t="s">
        <v>110</v>
      </c>
      <c r="C265" s="81"/>
      <c r="D265" s="81"/>
      <c r="E265" s="81" t="s">
        <v>369</v>
      </c>
      <c r="F265" s="82" t="str">
        <f aca="false">IF(E265="","",IF(LEFT(E265,2)="DJ","DJ","JN"))</f>
        <v>JN</v>
      </c>
      <c r="G265" s="81"/>
      <c r="H265" s="81"/>
      <c r="I265" s="81"/>
      <c r="J265" s="81"/>
      <c r="K265" s="81"/>
      <c r="L265" s="81"/>
      <c r="M265" s="81"/>
      <c r="N265" s="81"/>
      <c r="O265" s="81"/>
      <c r="P265" s="81"/>
      <c r="Q265" s="81"/>
      <c r="R265" s="81"/>
      <c r="S265" s="81"/>
      <c r="T265" s="81"/>
      <c r="U265" s="83"/>
      <c r="V265" s="83"/>
      <c r="W265" s="81"/>
      <c r="X265" s="81"/>
      <c r="Y265" s="83"/>
      <c r="Z265" s="81"/>
      <c r="AA265" s="81"/>
      <c r="AB265" s="81"/>
      <c r="AC265" s="81"/>
      <c r="AD265" s="81"/>
      <c r="AE265" s="83"/>
      <c r="AF265" s="81"/>
      <c r="AG265" s="81"/>
      <c r="AH265" s="81"/>
      <c r="AI265" s="81"/>
      <c r="AJ265" s="83"/>
      <c r="AK265" s="81"/>
      <c r="AL265" s="81"/>
      <c r="AM265" s="83"/>
      <c r="AN265" s="80"/>
      <c r="AO265" s="82" t="n">
        <f aca="false">IF(E265="","",(AA265&lt;&gt;"")+(AG265&lt;&gt;"")+(AL265&lt;&gt;""))</f>
        <v>0</v>
      </c>
      <c r="AP265" s="82" t="str">
        <f aca="false">IF(AL265&lt;&gt;"",AL265,IF(AG265&lt;&gt;"",AG265,IF(AA265&lt;&gt;"",AA265,"")))</f>
        <v/>
      </c>
      <c r="AQ265" s="84" t="str">
        <f aca="false">IF(E265="","",IF(U265="","À SOUDER",IF(X265="","VT EN ATTENTE",IF(X265="R","VT REJETÉ – À REPRENDRE",IF(AP265="","À RADIOGRAPHIER",IF(AP265="A","ACCEPTÉ",IF(AP265="NX","NX – RT À REFAIRE",IF(IF(AO265=1,AD265,IF(AO265=2,AI265,""))="A","RÉPARÉ – À RADIOGRAPHIER",IF(IF(AO265=1,AD265,IF(AO265=2,AI265,""))="R","VT REJETÉ – À REPRENDRE",IF(OR(AP265="CO",AP265="NT"),"COUPE – À RESOUDER","À RÉPARER"))))))))))</f>
        <v>À SOUDER</v>
      </c>
      <c r="AR265" s="82" t="str">
        <f aca="false">IF(AND(ISNUMBER(U265),OR(AQ265="À RADIOGRAPHIER",AQ265="RÉPARÉ – À RADIOGRAPHIER",AQ265="NX – RT À REFAIRE",AQ265="À RÉPARER",AQ265="COUPE – À RESOUDER",AQ265="VT REJETÉ – À REPRENDRE")),MAX(0,'PROGRAMME RT'!$C$4-U265),"")</f>
        <v/>
      </c>
      <c r="AS265" s="82" t="n">
        <f aca="false">IF(AND(OR(AQ265="À RADIOGRAPHIER",AQ265="RÉPARÉ – À RADIOGRAPHIER",AQ265="NX – RT À REFAIRE"),OR('PROGRAMME RT'!$D$5="TOUTES",B265='PROGRAMME RT'!$D$5)),1,0)</f>
        <v>0</v>
      </c>
      <c r="AT265" s="82" t="str">
        <f aca="false">IF(AS265=1,SUM(AS$7:AS265),"")</f>
        <v/>
      </c>
      <c r="AU265" s="82" t="n">
        <f aca="false">IF(AND(OR(AA265="R",AA265="NX",AA265="NT",AA265="CO"),OR('JOINTS DE RÉPARATION'!$D$5="TOUTES",B265='JOINTS DE RÉPARATION'!$D$5),OR('JOINTS DE RÉPARATION'!$L$4="TOUS",AQ265&lt;&gt;"ACCEPTÉ")),1,0)</f>
        <v>0</v>
      </c>
      <c r="AV265" s="82" t="str">
        <f aca="false">IF(AU265=1,SUM(AU$7:AU265),"")</f>
        <v/>
      </c>
      <c r="AW265" s="82" t="str">
        <f aca="false">IF(E265="","",B265&amp;"|"&amp;E265)</f>
        <v>MFD-ISW → MFD-CPF|JN°259</v>
      </c>
    </row>
    <row r="266" customFormat="false" ht="74.6" hidden="false" customHeight="false" outlineLevel="0" collapsed="false">
      <c r="A266" s="79" t="n">
        <f aca="false">IF(E266="","",ROW()-6)</f>
        <v>260</v>
      </c>
      <c r="B266" s="80" t="s">
        <v>110</v>
      </c>
      <c r="C266" s="81"/>
      <c r="D266" s="81"/>
      <c r="E266" s="81" t="s">
        <v>370</v>
      </c>
      <c r="F266" s="82" t="str">
        <f aca="false">IF(E266="","",IF(LEFT(E266,2)="DJ","DJ","JN"))</f>
        <v>JN</v>
      </c>
      <c r="G266" s="81"/>
      <c r="H266" s="81"/>
      <c r="I266" s="81"/>
      <c r="J266" s="81"/>
      <c r="K266" s="81"/>
      <c r="L266" s="81"/>
      <c r="M266" s="81"/>
      <c r="N266" s="81"/>
      <c r="O266" s="81"/>
      <c r="P266" s="81"/>
      <c r="Q266" s="81"/>
      <c r="R266" s="81"/>
      <c r="S266" s="81"/>
      <c r="T266" s="81"/>
      <c r="U266" s="83"/>
      <c r="V266" s="83"/>
      <c r="W266" s="81"/>
      <c r="X266" s="81"/>
      <c r="Y266" s="83"/>
      <c r="Z266" s="81"/>
      <c r="AA266" s="81"/>
      <c r="AB266" s="81"/>
      <c r="AC266" s="81"/>
      <c r="AD266" s="81"/>
      <c r="AE266" s="83"/>
      <c r="AF266" s="81"/>
      <c r="AG266" s="81"/>
      <c r="AH266" s="81"/>
      <c r="AI266" s="81"/>
      <c r="AJ266" s="83"/>
      <c r="AK266" s="81"/>
      <c r="AL266" s="81"/>
      <c r="AM266" s="83"/>
      <c r="AN266" s="80"/>
      <c r="AO266" s="82" t="n">
        <f aca="false">IF(E266="","",(AA266&lt;&gt;"")+(AG266&lt;&gt;"")+(AL266&lt;&gt;""))</f>
        <v>0</v>
      </c>
      <c r="AP266" s="82" t="str">
        <f aca="false">IF(AL266&lt;&gt;"",AL266,IF(AG266&lt;&gt;"",AG266,IF(AA266&lt;&gt;"",AA266,"")))</f>
        <v/>
      </c>
      <c r="AQ266" s="84" t="str">
        <f aca="false">IF(E266="","",IF(U266="","À SOUDER",IF(X266="","VT EN ATTENTE",IF(X266="R","VT REJETÉ – À REPRENDRE",IF(AP266="","À RADIOGRAPHIER",IF(AP266="A","ACCEPTÉ",IF(AP266="NX","NX – RT À REFAIRE",IF(IF(AO266=1,AD266,IF(AO266=2,AI266,""))="A","RÉPARÉ – À RADIOGRAPHIER",IF(IF(AO266=1,AD266,IF(AO266=2,AI266,""))="R","VT REJETÉ – À REPRENDRE",IF(OR(AP266="CO",AP266="NT"),"COUPE – À RESOUDER","À RÉPARER"))))))))))</f>
        <v>À SOUDER</v>
      </c>
      <c r="AR266" s="82" t="str">
        <f aca="false">IF(AND(ISNUMBER(U266),OR(AQ266="À RADIOGRAPHIER",AQ266="RÉPARÉ – À RADIOGRAPHIER",AQ266="NX – RT À REFAIRE",AQ266="À RÉPARER",AQ266="COUPE – À RESOUDER",AQ266="VT REJETÉ – À REPRENDRE")),MAX(0,'PROGRAMME RT'!$C$4-U266),"")</f>
        <v/>
      </c>
      <c r="AS266" s="82" t="n">
        <f aca="false">IF(AND(OR(AQ266="À RADIOGRAPHIER",AQ266="RÉPARÉ – À RADIOGRAPHIER",AQ266="NX – RT À REFAIRE"),OR('PROGRAMME RT'!$D$5="TOUTES",B266='PROGRAMME RT'!$D$5)),1,0)</f>
        <v>0</v>
      </c>
      <c r="AT266" s="82" t="str">
        <f aca="false">IF(AS266=1,SUM(AS$7:AS266),"")</f>
        <v/>
      </c>
      <c r="AU266" s="82" t="n">
        <f aca="false">IF(AND(OR(AA266="R",AA266="NX",AA266="NT",AA266="CO"),OR('JOINTS DE RÉPARATION'!$D$5="TOUTES",B266='JOINTS DE RÉPARATION'!$D$5),OR('JOINTS DE RÉPARATION'!$L$4="TOUS",AQ266&lt;&gt;"ACCEPTÉ")),1,0)</f>
        <v>0</v>
      </c>
      <c r="AV266" s="82" t="str">
        <f aca="false">IF(AU266=1,SUM(AU$7:AU266),"")</f>
        <v/>
      </c>
      <c r="AW266" s="82" t="str">
        <f aca="false">IF(E266="","",B266&amp;"|"&amp;E266)</f>
        <v>MFD-ISW → MFD-CPF|JN°260</v>
      </c>
    </row>
    <row r="267" customFormat="false" ht="74.6" hidden="false" customHeight="false" outlineLevel="0" collapsed="false">
      <c r="A267" s="79" t="n">
        <f aca="false">IF(E267="","",ROW()-6)</f>
        <v>261</v>
      </c>
      <c r="B267" s="80" t="s">
        <v>110</v>
      </c>
      <c r="C267" s="81"/>
      <c r="D267" s="81"/>
      <c r="E267" s="81" t="s">
        <v>371</v>
      </c>
      <c r="F267" s="82" t="str">
        <f aca="false">IF(E267="","",IF(LEFT(E267,2)="DJ","DJ","JN"))</f>
        <v>JN</v>
      </c>
      <c r="G267" s="81"/>
      <c r="H267" s="81"/>
      <c r="I267" s="81"/>
      <c r="J267" s="81"/>
      <c r="K267" s="81"/>
      <c r="L267" s="81"/>
      <c r="M267" s="81"/>
      <c r="N267" s="81"/>
      <c r="O267" s="81"/>
      <c r="P267" s="81"/>
      <c r="Q267" s="81"/>
      <c r="R267" s="81"/>
      <c r="S267" s="81"/>
      <c r="T267" s="81"/>
      <c r="U267" s="83"/>
      <c r="V267" s="83"/>
      <c r="W267" s="81"/>
      <c r="X267" s="81"/>
      <c r="Y267" s="83"/>
      <c r="Z267" s="81"/>
      <c r="AA267" s="81"/>
      <c r="AB267" s="81"/>
      <c r="AC267" s="81"/>
      <c r="AD267" s="81"/>
      <c r="AE267" s="83"/>
      <c r="AF267" s="81"/>
      <c r="AG267" s="81"/>
      <c r="AH267" s="81"/>
      <c r="AI267" s="81"/>
      <c r="AJ267" s="83"/>
      <c r="AK267" s="81"/>
      <c r="AL267" s="81"/>
      <c r="AM267" s="83"/>
      <c r="AN267" s="80"/>
      <c r="AO267" s="82" t="n">
        <f aca="false">IF(E267="","",(AA267&lt;&gt;"")+(AG267&lt;&gt;"")+(AL267&lt;&gt;""))</f>
        <v>0</v>
      </c>
      <c r="AP267" s="82" t="str">
        <f aca="false">IF(AL267&lt;&gt;"",AL267,IF(AG267&lt;&gt;"",AG267,IF(AA267&lt;&gt;"",AA267,"")))</f>
        <v/>
      </c>
      <c r="AQ267" s="84" t="str">
        <f aca="false">IF(E267="","",IF(U267="","À SOUDER",IF(X267="","VT EN ATTENTE",IF(X267="R","VT REJETÉ – À REPRENDRE",IF(AP267="","À RADIOGRAPHIER",IF(AP267="A","ACCEPTÉ",IF(AP267="NX","NX – RT À REFAIRE",IF(IF(AO267=1,AD267,IF(AO267=2,AI267,""))="A","RÉPARÉ – À RADIOGRAPHIER",IF(IF(AO267=1,AD267,IF(AO267=2,AI267,""))="R","VT REJETÉ – À REPRENDRE",IF(OR(AP267="CO",AP267="NT"),"COUPE – À RESOUDER","À RÉPARER"))))))))))</f>
        <v>À SOUDER</v>
      </c>
      <c r="AR267" s="82" t="str">
        <f aca="false">IF(AND(ISNUMBER(U267),OR(AQ267="À RADIOGRAPHIER",AQ267="RÉPARÉ – À RADIOGRAPHIER",AQ267="NX – RT À REFAIRE",AQ267="À RÉPARER",AQ267="COUPE – À RESOUDER",AQ267="VT REJETÉ – À REPRENDRE")),MAX(0,'PROGRAMME RT'!$C$4-U267),"")</f>
        <v/>
      </c>
      <c r="AS267" s="82" t="n">
        <f aca="false">IF(AND(OR(AQ267="À RADIOGRAPHIER",AQ267="RÉPARÉ – À RADIOGRAPHIER",AQ267="NX – RT À REFAIRE"),OR('PROGRAMME RT'!$D$5="TOUTES",B267='PROGRAMME RT'!$D$5)),1,0)</f>
        <v>0</v>
      </c>
      <c r="AT267" s="82" t="str">
        <f aca="false">IF(AS267=1,SUM(AS$7:AS267),"")</f>
        <v/>
      </c>
      <c r="AU267" s="82" t="n">
        <f aca="false">IF(AND(OR(AA267="R",AA267="NX",AA267="NT",AA267="CO"),OR('JOINTS DE RÉPARATION'!$D$5="TOUTES",B267='JOINTS DE RÉPARATION'!$D$5),OR('JOINTS DE RÉPARATION'!$L$4="TOUS",AQ267&lt;&gt;"ACCEPTÉ")),1,0)</f>
        <v>0</v>
      </c>
      <c r="AV267" s="82" t="str">
        <f aca="false">IF(AU267=1,SUM(AU$7:AU267),"")</f>
        <v/>
      </c>
      <c r="AW267" s="82" t="str">
        <f aca="false">IF(E267="","",B267&amp;"|"&amp;E267)</f>
        <v>MFD-ISW → MFD-CPF|JN°261</v>
      </c>
    </row>
    <row r="268" customFormat="false" ht="74.6" hidden="false" customHeight="false" outlineLevel="0" collapsed="false">
      <c r="A268" s="79" t="n">
        <f aca="false">IF(E268="","",ROW()-6)</f>
        <v>262</v>
      </c>
      <c r="B268" s="80" t="s">
        <v>110</v>
      </c>
      <c r="C268" s="81"/>
      <c r="D268" s="81"/>
      <c r="E268" s="81" t="s">
        <v>372</v>
      </c>
      <c r="F268" s="82" t="str">
        <f aca="false">IF(E268="","",IF(LEFT(E268,2)="DJ","DJ","JN"))</f>
        <v>JN</v>
      </c>
      <c r="G268" s="81"/>
      <c r="H268" s="81"/>
      <c r="I268" s="81"/>
      <c r="J268" s="81"/>
      <c r="K268" s="81"/>
      <c r="L268" s="81"/>
      <c r="M268" s="81"/>
      <c r="N268" s="81"/>
      <c r="O268" s="81"/>
      <c r="P268" s="81"/>
      <c r="Q268" s="81"/>
      <c r="R268" s="81"/>
      <c r="S268" s="81"/>
      <c r="T268" s="81"/>
      <c r="U268" s="83"/>
      <c r="V268" s="83"/>
      <c r="W268" s="81"/>
      <c r="X268" s="81"/>
      <c r="Y268" s="83"/>
      <c r="Z268" s="81"/>
      <c r="AA268" s="81"/>
      <c r="AB268" s="81"/>
      <c r="AC268" s="81"/>
      <c r="AD268" s="81"/>
      <c r="AE268" s="83"/>
      <c r="AF268" s="81"/>
      <c r="AG268" s="81"/>
      <c r="AH268" s="81"/>
      <c r="AI268" s="81"/>
      <c r="AJ268" s="83"/>
      <c r="AK268" s="81"/>
      <c r="AL268" s="81"/>
      <c r="AM268" s="83"/>
      <c r="AN268" s="80"/>
      <c r="AO268" s="82" t="n">
        <f aca="false">IF(E268="","",(AA268&lt;&gt;"")+(AG268&lt;&gt;"")+(AL268&lt;&gt;""))</f>
        <v>0</v>
      </c>
      <c r="AP268" s="82" t="str">
        <f aca="false">IF(AL268&lt;&gt;"",AL268,IF(AG268&lt;&gt;"",AG268,IF(AA268&lt;&gt;"",AA268,"")))</f>
        <v/>
      </c>
      <c r="AQ268" s="84" t="str">
        <f aca="false">IF(E268="","",IF(U268="","À SOUDER",IF(X268="","VT EN ATTENTE",IF(X268="R","VT REJETÉ – À REPRENDRE",IF(AP268="","À RADIOGRAPHIER",IF(AP268="A","ACCEPTÉ",IF(AP268="NX","NX – RT À REFAIRE",IF(IF(AO268=1,AD268,IF(AO268=2,AI268,""))="A","RÉPARÉ – À RADIOGRAPHIER",IF(IF(AO268=1,AD268,IF(AO268=2,AI268,""))="R","VT REJETÉ – À REPRENDRE",IF(OR(AP268="CO",AP268="NT"),"COUPE – À RESOUDER","À RÉPARER"))))))))))</f>
        <v>À SOUDER</v>
      </c>
      <c r="AR268" s="82" t="str">
        <f aca="false">IF(AND(ISNUMBER(U268),OR(AQ268="À RADIOGRAPHIER",AQ268="RÉPARÉ – À RADIOGRAPHIER",AQ268="NX – RT À REFAIRE",AQ268="À RÉPARER",AQ268="COUPE – À RESOUDER",AQ268="VT REJETÉ – À REPRENDRE")),MAX(0,'PROGRAMME RT'!$C$4-U268),"")</f>
        <v/>
      </c>
      <c r="AS268" s="82" t="n">
        <f aca="false">IF(AND(OR(AQ268="À RADIOGRAPHIER",AQ268="RÉPARÉ – À RADIOGRAPHIER",AQ268="NX – RT À REFAIRE"),OR('PROGRAMME RT'!$D$5="TOUTES",B268='PROGRAMME RT'!$D$5)),1,0)</f>
        <v>0</v>
      </c>
      <c r="AT268" s="82" t="str">
        <f aca="false">IF(AS268=1,SUM(AS$7:AS268),"")</f>
        <v/>
      </c>
      <c r="AU268" s="82" t="n">
        <f aca="false">IF(AND(OR(AA268="R",AA268="NX",AA268="NT",AA268="CO"),OR('JOINTS DE RÉPARATION'!$D$5="TOUTES",B268='JOINTS DE RÉPARATION'!$D$5),OR('JOINTS DE RÉPARATION'!$L$4="TOUS",AQ268&lt;&gt;"ACCEPTÉ")),1,0)</f>
        <v>0</v>
      </c>
      <c r="AV268" s="82" t="str">
        <f aca="false">IF(AU268=1,SUM(AU$7:AU268),"")</f>
        <v/>
      </c>
      <c r="AW268" s="82" t="str">
        <f aca="false">IF(E268="","",B268&amp;"|"&amp;E268)</f>
        <v>MFD-ISW → MFD-CPF|JN°262</v>
      </c>
    </row>
    <row r="269" customFormat="false" ht="74.6" hidden="false" customHeight="false" outlineLevel="0" collapsed="false">
      <c r="A269" s="79" t="n">
        <f aca="false">IF(E269="","",ROW()-6)</f>
        <v>263</v>
      </c>
      <c r="B269" s="80" t="s">
        <v>110</v>
      </c>
      <c r="C269" s="81"/>
      <c r="D269" s="81"/>
      <c r="E269" s="81" t="s">
        <v>373</v>
      </c>
      <c r="F269" s="82" t="str">
        <f aca="false">IF(E269="","",IF(LEFT(E269,2)="DJ","DJ","JN"))</f>
        <v>JN</v>
      </c>
      <c r="G269" s="81"/>
      <c r="H269" s="81"/>
      <c r="I269" s="81"/>
      <c r="J269" s="81"/>
      <c r="K269" s="81"/>
      <c r="L269" s="81"/>
      <c r="M269" s="81"/>
      <c r="N269" s="81"/>
      <c r="O269" s="81"/>
      <c r="P269" s="81"/>
      <c r="Q269" s="81"/>
      <c r="R269" s="81"/>
      <c r="S269" s="81"/>
      <c r="T269" s="81"/>
      <c r="U269" s="83"/>
      <c r="V269" s="83"/>
      <c r="W269" s="81"/>
      <c r="X269" s="81"/>
      <c r="Y269" s="83"/>
      <c r="Z269" s="81"/>
      <c r="AA269" s="81"/>
      <c r="AB269" s="81"/>
      <c r="AC269" s="81"/>
      <c r="AD269" s="81"/>
      <c r="AE269" s="83"/>
      <c r="AF269" s="81"/>
      <c r="AG269" s="81"/>
      <c r="AH269" s="81"/>
      <c r="AI269" s="81"/>
      <c r="AJ269" s="83"/>
      <c r="AK269" s="81"/>
      <c r="AL269" s="81"/>
      <c r="AM269" s="83"/>
      <c r="AN269" s="80"/>
      <c r="AO269" s="82" t="n">
        <f aca="false">IF(E269="","",(AA269&lt;&gt;"")+(AG269&lt;&gt;"")+(AL269&lt;&gt;""))</f>
        <v>0</v>
      </c>
      <c r="AP269" s="82" t="str">
        <f aca="false">IF(AL269&lt;&gt;"",AL269,IF(AG269&lt;&gt;"",AG269,IF(AA269&lt;&gt;"",AA269,"")))</f>
        <v/>
      </c>
      <c r="AQ269" s="84" t="str">
        <f aca="false">IF(E269="","",IF(U269="","À SOUDER",IF(X269="","VT EN ATTENTE",IF(X269="R","VT REJETÉ – À REPRENDRE",IF(AP269="","À RADIOGRAPHIER",IF(AP269="A","ACCEPTÉ",IF(AP269="NX","NX – RT À REFAIRE",IF(IF(AO269=1,AD269,IF(AO269=2,AI269,""))="A","RÉPARÉ – À RADIOGRAPHIER",IF(IF(AO269=1,AD269,IF(AO269=2,AI269,""))="R","VT REJETÉ – À REPRENDRE",IF(OR(AP269="CO",AP269="NT"),"COUPE – À RESOUDER","À RÉPARER"))))))))))</f>
        <v>À SOUDER</v>
      </c>
      <c r="AR269" s="82" t="str">
        <f aca="false">IF(AND(ISNUMBER(U269),OR(AQ269="À RADIOGRAPHIER",AQ269="RÉPARÉ – À RADIOGRAPHIER",AQ269="NX – RT À REFAIRE",AQ269="À RÉPARER",AQ269="COUPE – À RESOUDER",AQ269="VT REJETÉ – À REPRENDRE")),MAX(0,'PROGRAMME RT'!$C$4-U269),"")</f>
        <v/>
      </c>
      <c r="AS269" s="82" t="n">
        <f aca="false">IF(AND(OR(AQ269="À RADIOGRAPHIER",AQ269="RÉPARÉ – À RADIOGRAPHIER",AQ269="NX – RT À REFAIRE"),OR('PROGRAMME RT'!$D$5="TOUTES",B269='PROGRAMME RT'!$D$5)),1,0)</f>
        <v>0</v>
      </c>
      <c r="AT269" s="82" t="str">
        <f aca="false">IF(AS269=1,SUM(AS$7:AS269),"")</f>
        <v/>
      </c>
      <c r="AU269" s="82" t="n">
        <f aca="false">IF(AND(OR(AA269="R",AA269="NX",AA269="NT",AA269="CO"),OR('JOINTS DE RÉPARATION'!$D$5="TOUTES",B269='JOINTS DE RÉPARATION'!$D$5),OR('JOINTS DE RÉPARATION'!$L$4="TOUS",AQ269&lt;&gt;"ACCEPTÉ")),1,0)</f>
        <v>0</v>
      </c>
      <c r="AV269" s="82" t="str">
        <f aca="false">IF(AU269=1,SUM(AU$7:AU269),"")</f>
        <v/>
      </c>
      <c r="AW269" s="82" t="str">
        <f aca="false">IF(E269="","",B269&amp;"|"&amp;E269)</f>
        <v>MFD-ISW → MFD-CPF|JN°263</v>
      </c>
    </row>
    <row r="270" customFormat="false" ht="74.6" hidden="false" customHeight="false" outlineLevel="0" collapsed="false">
      <c r="A270" s="79" t="n">
        <f aca="false">IF(E270="","",ROW()-6)</f>
        <v>264</v>
      </c>
      <c r="B270" s="80" t="s">
        <v>110</v>
      </c>
      <c r="C270" s="81"/>
      <c r="D270" s="81"/>
      <c r="E270" s="81" t="s">
        <v>374</v>
      </c>
      <c r="F270" s="82" t="str">
        <f aca="false">IF(E270="","",IF(LEFT(E270,2)="DJ","DJ","JN"))</f>
        <v>JN</v>
      </c>
      <c r="G270" s="81"/>
      <c r="H270" s="81"/>
      <c r="I270" s="81"/>
      <c r="J270" s="81"/>
      <c r="K270" s="81"/>
      <c r="L270" s="81"/>
      <c r="M270" s="81"/>
      <c r="N270" s="81"/>
      <c r="O270" s="81"/>
      <c r="P270" s="81"/>
      <c r="Q270" s="81"/>
      <c r="R270" s="81"/>
      <c r="S270" s="81"/>
      <c r="T270" s="81"/>
      <c r="U270" s="83"/>
      <c r="V270" s="83"/>
      <c r="W270" s="81"/>
      <c r="X270" s="81"/>
      <c r="Y270" s="83"/>
      <c r="Z270" s="81"/>
      <c r="AA270" s="81"/>
      <c r="AB270" s="81"/>
      <c r="AC270" s="81"/>
      <c r="AD270" s="81"/>
      <c r="AE270" s="83"/>
      <c r="AF270" s="81"/>
      <c r="AG270" s="81"/>
      <c r="AH270" s="81"/>
      <c r="AI270" s="81"/>
      <c r="AJ270" s="83"/>
      <c r="AK270" s="81"/>
      <c r="AL270" s="81"/>
      <c r="AM270" s="83"/>
      <c r="AN270" s="80"/>
      <c r="AO270" s="82" t="n">
        <f aca="false">IF(E270="","",(AA270&lt;&gt;"")+(AG270&lt;&gt;"")+(AL270&lt;&gt;""))</f>
        <v>0</v>
      </c>
      <c r="AP270" s="82" t="str">
        <f aca="false">IF(AL270&lt;&gt;"",AL270,IF(AG270&lt;&gt;"",AG270,IF(AA270&lt;&gt;"",AA270,"")))</f>
        <v/>
      </c>
      <c r="AQ270" s="84" t="str">
        <f aca="false">IF(E270="","",IF(U270="","À SOUDER",IF(X270="","VT EN ATTENTE",IF(X270="R","VT REJETÉ – À REPRENDRE",IF(AP270="","À RADIOGRAPHIER",IF(AP270="A","ACCEPTÉ",IF(AP270="NX","NX – RT À REFAIRE",IF(IF(AO270=1,AD270,IF(AO270=2,AI270,""))="A","RÉPARÉ – À RADIOGRAPHIER",IF(IF(AO270=1,AD270,IF(AO270=2,AI270,""))="R","VT REJETÉ – À REPRENDRE",IF(OR(AP270="CO",AP270="NT"),"COUPE – À RESOUDER","À RÉPARER"))))))))))</f>
        <v>À SOUDER</v>
      </c>
      <c r="AR270" s="82" t="str">
        <f aca="false">IF(AND(ISNUMBER(U270),OR(AQ270="À RADIOGRAPHIER",AQ270="RÉPARÉ – À RADIOGRAPHIER",AQ270="NX – RT À REFAIRE",AQ270="À RÉPARER",AQ270="COUPE – À RESOUDER",AQ270="VT REJETÉ – À REPRENDRE")),MAX(0,'PROGRAMME RT'!$C$4-U270),"")</f>
        <v/>
      </c>
      <c r="AS270" s="82" t="n">
        <f aca="false">IF(AND(OR(AQ270="À RADIOGRAPHIER",AQ270="RÉPARÉ – À RADIOGRAPHIER",AQ270="NX – RT À REFAIRE"),OR('PROGRAMME RT'!$D$5="TOUTES",B270='PROGRAMME RT'!$D$5)),1,0)</f>
        <v>0</v>
      </c>
      <c r="AT270" s="82" t="str">
        <f aca="false">IF(AS270=1,SUM(AS$7:AS270),"")</f>
        <v/>
      </c>
      <c r="AU270" s="82" t="n">
        <f aca="false">IF(AND(OR(AA270="R",AA270="NX",AA270="NT",AA270="CO"),OR('JOINTS DE RÉPARATION'!$D$5="TOUTES",B270='JOINTS DE RÉPARATION'!$D$5),OR('JOINTS DE RÉPARATION'!$L$4="TOUS",AQ270&lt;&gt;"ACCEPTÉ")),1,0)</f>
        <v>0</v>
      </c>
      <c r="AV270" s="82" t="str">
        <f aca="false">IF(AU270=1,SUM(AU$7:AU270),"")</f>
        <v/>
      </c>
      <c r="AW270" s="82" t="str">
        <f aca="false">IF(E270="","",B270&amp;"|"&amp;E270)</f>
        <v>MFD-ISW → MFD-CPF|JN°264</v>
      </c>
    </row>
    <row r="271" customFormat="false" ht="74.6" hidden="false" customHeight="false" outlineLevel="0" collapsed="false">
      <c r="A271" s="79" t="n">
        <f aca="false">IF(E271="","",ROW()-6)</f>
        <v>265</v>
      </c>
      <c r="B271" s="80" t="s">
        <v>110</v>
      </c>
      <c r="C271" s="81"/>
      <c r="D271" s="81"/>
      <c r="E271" s="81" t="s">
        <v>375</v>
      </c>
      <c r="F271" s="82" t="str">
        <f aca="false">IF(E271="","",IF(LEFT(E271,2)="DJ","DJ","JN"))</f>
        <v>JN</v>
      </c>
      <c r="G271" s="81"/>
      <c r="H271" s="81"/>
      <c r="I271" s="81"/>
      <c r="J271" s="81"/>
      <c r="K271" s="81"/>
      <c r="L271" s="81"/>
      <c r="M271" s="81"/>
      <c r="N271" s="81"/>
      <c r="O271" s="81"/>
      <c r="P271" s="81"/>
      <c r="Q271" s="81"/>
      <c r="R271" s="81"/>
      <c r="S271" s="81"/>
      <c r="T271" s="81"/>
      <c r="U271" s="83"/>
      <c r="V271" s="83"/>
      <c r="W271" s="81"/>
      <c r="X271" s="81"/>
      <c r="Y271" s="83"/>
      <c r="Z271" s="81"/>
      <c r="AA271" s="81"/>
      <c r="AB271" s="81"/>
      <c r="AC271" s="81"/>
      <c r="AD271" s="81"/>
      <c r="AE271" s="83"/>
      <c r="AF271" s="81"/>
      <c r="AG271" s="81"/>
      <c r="AH271" s="81"/>
      <c r="AI271" s="81"/>
      <c r="AJ271" s="83"/>
      <c r="AK271" s="81"/>
      <c r="AL271" s="81"/>
      <c r="AM271" s="83"/>
      <c r="AN271" s="80"/>
      <c r="AO271" s="82" t="n">
        <f aca="false">IF(E271="","",(AA271&lt;&gt;"")+(AG271&lt;&gt;"")+(AL271&lt;&gt;""))</f>
        <v>0</v>
      </c>
      <c r="AP271" s="82" t="str">
        <f aca="false">IF(AL271&lt;&gt;"",AL271,IF(AG271&lt;&gt;"",AG271,IF(AA271&lt;&gt;"",AA271,"")))</f>
        <v/>
      </c>
      <c r="AQ271" s="84" t="str">
        <f aca="false">IF(E271="","",IF(U271="","À SOUDER",IF(X271="","VT EN ATTENTE",IF(X271="R","VT REJETÉ – À REPRENDRE",IF(AP271="","À RADIOGRAPHIER",IF(AP271="A","ACCEPTÉ",IF(AP271="NX","NX – RT À REFAIRE",IF(IF(AO271=1,AD271,IF(AO271=2,AI271,""))="A","RÉPARÉ – À RADIOGRAPHIER",IF(IF(AO271=1,AD271,IF(AO271=2,AI271,""))="R","VT REJETÉ – À REPRENDRE",IF(OR(AP271="CO",AP271="NT"),"COUPE – À RESOUDER","À RÉPARER"))))))))))</f>
        <v>À SOUDER</v>
      </c>
      <c r="AR271" s="82" t="str">
        <f aca="false">IF(AND(ISNUMBER(U271),OR(AQ271="À RADIOGRAPHIER",AQ271="RÉPARÉ – À RADIOGRAPHIER",AQ271="NX – RT À REFAIRE",AQ271="À RÉPARER",AQ271="COUPE – À RESOUDER",AQ271="VT REJETÉ – À REPRENDRE")),MAX(0,'PROGRAMME RT'!$C$4-U271),"")</f>
        <v/>
      </c>
      <c r="AS271" s="82" t="n">
        <f aca="false">IF(AND(OR(AQ271="À RADIOGRAPHIER",AQ271="RÉPARÉ – À RADIOGRAPHIER",AQ271="NX – RT À REFAIRE"),OR('PROGRAMME RT'!$D$5="TOUTES",B271='PROGRAMME RT'!$D$5)),1,0)</f>
        <v>0</v>
      </c>
      <c r="AT271" s="82" t="str">
        <f aca="false">IF(AS271=1,SUM(AS$7:AS271),"")</f>
        <v/>
      </c>
      <c r="AU271" s="82" t="n">
        <f aca="false">IF(AND(OR(AA271="R",AA271="NX",AA271="NT",AA271="CO"),OR('JOINTS DE RÉPARATION'!$D$5="TOUTES",B271='JOINTS DE RÉPARATION'!$D$5),OR('JOINTS DE RÉPARATION'!$L$4="TOUS",AQ271&lt;&gt;"ACCEPTÉ")),1,0)</f>
        <v>0</v>
      </c>
      <c r="AV271" s="82" t="str">
        <f aca="false">IF(AU271=1,SUM(AU$7:AU271),"")</f>
        <v/>
      </c>
      <c r="AW271" s="82" t="str">
        <f aca="false">IF(E271="","",B271&amp;"|"&amp;E271)</f>
        <v>MFD-ISW → MFD-CPF|JN°265</v>
      </c>
    </row>
    <row r="272" customFormat="false" ht="74.6" hidden="false" customHeight="false" outlineLevel="0" collapsed="false">
      <c r="A272" s="79" t="n">
        <f aca="false">IF(E272="","",ROW()-6)</f>
        <v>266</v>
      </c>
      <c r="B272" s="80" t="s">
        <v>110</v>
      </c>
      <c r="C272" s="81"/>
      <c r="D272" s="81"/>
      <c r="E272" s="81" t="s">
        <v>376</v>
      </c>
      <c r="F272" s="82" t="str">
        <f aca="false">IF(E272="","",IF(LEFT(E272,2)="DJ","DJ","JN"))</f>
        <v>JN</v>
      </c>
      <c r="G272" s="81"/>
      <c r="H272" s="81"/>
      <c r="I272" s="81"/>
      <c r="J272" s="81"/>
      <c r="K272" s="81"/>
      <c r="L272" s="81"/>
      <c r="M272" s="81"/>
      <c r="N272" s="81"/>
      <c r="O272" s="81"/>
      <c r="P272" s="81"/>
      <c r="Q272" s="81"/>
      <c r="R272" s="81"/>
      <c r="S272" s="81"/>
      <c r="T272" s="81"/>
      <c r="U272" s="83"/>
      <c r="V272" s="83"/>
      <c r="W272" s="81"/>
      <c r="X272" s="81"/>
      <c r="Y272" s="83"/>
      <c r="Z272" s="81"/>
      <c r="AA272" s="81"/>
      <c r="AB272" s="81"/>
      <c r="AC272" s="81"/>
      <c r="AD272" s="81"/>
      <c r="AE272" s="83"/>
      <c r="AF272" s="81"/>
      <c r="AG272" s="81"/>
      <c r="AH272" s="81"/>
      <c r="AI272" s="81"/>
      <c r="AJ272" s="83"/>
      <c r="AK272" s="81"/>
      <c r="AL272" s="81"/>
      <c r="AM272" s="83"/>
      <c r="AN272" s="80"/>
      <c r="AO272" s="82" t="n">
        <f aca="false">IF(E272="","",(AA272&lt;&gt;"")+(AG272&lt;&gt;"")+(AL272&lt;&gt;""))</f>
        <v>0</v>
      </c>
      <c r="AP272" s="82" t="str">
        <f aca="false">IF(AL272&lt;&gt;"",AL272,IF(AG272&lt;&gt;"",AG272,IF(AA272&lt;&gt;"",AA272,"")))</f>
        <v/>
      </c>
      <c r="AQ272" s="84" t="str">
        <f aca="false">IF(E272="","",IF(U272="","À SOUDER",IF(X272="","VT EN ATTENTE",IF(X272="R","VT REJETÉ – À REPRENDRE",IF(AP272="","À RADIOGRAPHIER",IF(AP272="A","ACCEPTÉ",IF(AP272="NX","NX – RT À REFAIRE",IF(IF(AO272=1,AD272,IF(AO272=2,AI272,""))="A","RÉPARÉ – À RADIOGRAPHIER",IF(IF(AO272=1,AD272,IF(AO272=2,AI272,""))="R","VT REJETÉ – À REPRENDRE",IF(OR(AP272="CO",AP272="NT"),"COUPE – À RESOUDER","À RÉPARER"))))))))))</f>
        <v>À SOUDER</v>
      </c>
      <c r="AR272" s="82" t="str">
        <f aca="false">IF(AND(ISNUMBER(U272),OR(AQ272="À RADIOGRAPHIER",AQ272="RÉPARÉ – À RADIOGRAPHIER",AQ272="NX – RT À REFAIRE",AQ272="À RÉPARER",AQ272="COUPE – À RESOUDER",AQ272="VT REJETÉ – À REPRENDRE")),MAX(0,'PROGRAMME RT'!$C$4-U272),"")</f>
        <v/>
      </c>
      <c r="AS272" s="82" t="n">
        <f aca="false">IF(AND(OR(AQ272="À RADIOGRAPHIER",AQ272="RÉPARÉ – À RADIOGRAPHIER",AQ272="NX – RT À REFAIRE"),OR('PROGRAMME RT'!$D$5="TOUTES",B272='PROGRAMME RT'!$D$5)),1,0)</f>
        <v>0</v>
      </c>
      <c r="AT272" s="82" t="str">
        <f aca="false">IF(AS272=1,SUM(AS$7:AS272),"")</f>
        <v/>
      </c>
      <c r="AU272" s="82" t="n">
        <f aca="false">IF(AND(OR(AA272="R",AA272="NX",AA272="NT",AA272="CO"),OR('JOINTS DE RÉPARATION'!$D$5="TOUTES",B272='JOINTS DE RÉPARATION'!$D$5),OR('JOINTS DE RÉPARATION'!$L$4="TOUS",AQ272&lt;&gt;"ACCEPTÉ")),1,0)</f>
        <v>0</v>
      </c>
      <c r="AV272" s="82" t="str">
        <f aca="false">IF(AU272=1,SUM(AU$7:AU272),"")</f>
        <v/>
      </c>
      <c r="AW272" s="82" t="str">
        <f aca="false">IF(E272="","",B272&amp;"|"&amp;E272)</f>
        <v>MFD-ISW → MFD-CPF|JN°266</v>
      </c>
    </row>
    <row r="273" customFormat="false" ht="74.6" hidden="false" customHeight="false" outlineLevel="0" collapsed="false">
      <c r="A273" s="79" t="n">
        <f aca="false">IF(E273="","",ROW()-6)</f>
        <v>267</v>
      </c>
      <c r="B273" s="80" t="s">
        <v>110</v>
      </c>
      <c r="C273" s="81"/>
      <c r="D273" s="81"/>
      <c r="E273" s="81" t="s">
        <v>377</v>
      </c>
      <c r="F273" s="82" t="str">
        <f aca="false">IF(E273="","",IF(LEFT(E273,2)="DJ","DJ","JN"))</f>
        <v>JN</v>
      </c>
      <c r="G273" s="81"/>
      <c r="H273" s="81"/>
      <c r="I273" s="81"/>
      <c r="J273" s="81"/>
      <c r="K273" s="81"/>
      <c r="L273" s="81"/>
      <c r="M273" s="81"/>
      <c r="N273" s="81"/>
      <c r="O273" s="81"/>
      <c r="P273" s="81"/>
      <c r="Q273" s="81"/>
      <c r="R273" s="81"/>
      <c r="S273" s="81"/>
      <c r="T273" s="81"/>
      <c r="U273" s="83"/>
      <c r="V273" s="83"/>
      <c r="W273" s="81"/>
      <c r="X273" s="81"/>
      <c r="Y273" s="83"/>
      <c r="Z273" s="81"/>
      <c r="AA273" s="81"/>
      <c r="AB273" s="81"/>
      <c r="AC273" s="81"/>
      <c r="AD273" s="81"/>
      <c r="AE273" s="83"/>
      <c r="AF273" s="81"/>
      <c r="AG273" s="81"/>
      <c r="AH273" s="81"/>
      <c r="AI273" s="81"/>
      <c r="AJ273" s="83"/>
      <c r="AK273" s="81"/>
      <c r="AL273" s="81"/>
      <c r="AM273" s="83"/>
      <c r="AN273" s="80"/>
      <c r="AO273" s="82" t="n">
        <f aca="false">IF(E273="","",(AA273&lt;&gt;"")+(AG273&lt;&gt;"")+(AL273&lt;&gt;""))</f>
        <v>0</v>
      </c>
      <c r="AP273" s="82" t="str">
        <f aca="false">IF(AL273&lt;&gt;"",AL273,IF(AG273&lt;&gt;"",AG273,IF(AA273&lt;&gt;"",AA273,"")))</f>
        <v/>
      </c>
      <c r="AQ273" s="84" t="str">
        <f aca="false">IF(E273="","",IF(U273="","À SOUDER",IF(X273="","VT EN ATTENTE",IF(X273="R","VT REJETÉ – À REPRENDRE",IF(AP273="","À RADIOGRAPHIER",IF(AP273="A","ACCEPTÉ",IF(AP273="NX","NX – RT À REFAIRE",IF(IF(AO273=1,AD273,IF(AO273=2,AI273,""))="A","RÉPARÉ – À RADIOGRAPHIER",IF(IF(AO273=1,AD273,IF(AO273=2,AI273,""))="R","VT REJETÉ – À REPRENDRE",IF(OR(AP273="CO",AP273="NT"),"COUPE – À RESOUDER","À RÉPARER"))))))))))</f>
        <v>À SOUDER</v>
      </c>
      <c r="AR273" s="82" t="str">
        <f aca="false">IF(AND(ISNUMBER(U273),OR(AQ273="À RADIOGRAPHIER",AQ273="RÉPARÉ – À RADIOGRAPHIER",AQ273="NX – RT À REFAIRE",AQ273="À RÉPARER",AQ273="COUPE – À RESOUDER",AQ273="VT REJETÉ – À REPRENDRE")),MAX(0,'PROGRAMME RT'!$C$4-U273),"")</f>
        <v/>
      </c>
      <c r="AS273" s="82" t="n">
        <f aca="false">IF(AND(OR(AQ273="À RADIOGRAPHIER",AQ273="RÉPARÉ – À RADIOGRAPHIER",AQ273="NX – RT À REFAIRE"),OR('PROGRAMME RT'!$D$5="TOUTES",B273='PROGRAMME RT'!$D$5)),1,0)</f>
        <v>0</v>
      </c>
      <c r="AT273" s="82" t="str">
        <f aca="false">IF(AS273=1,SUM(AS$7:AS273),"")</f>
        <v/>
      </c>
      <c r="AU273" s="82" t="n">
        <f aca="false">IF(AND(OR(AA273="R",AA273="NX",AA273="NT",AA273="CO"),OR('JOINTS DE RÉPARATION'!$D$5="TOUTES",B273='JOINTS DE RÉPARATION'!$D$5),OR('JOINTS DE RÉPARATION'!$L$4="TOUS",AQ273&lt;&gt;"ACCEPTÉ")),1,0)</f>
        <v>0</v>
      </c>
      <c r="AV273" s="82" t="str">
        <f aca="false">IF(AU273=1,SUM(AU$7:AU273),"")</f>
        <v/>
      </c>
      <c r="AW273" s="82" t="str">
        <f aca="false">IF(E273="","",B273&amp;"|"&amp;E273)</f>
        <v>MFD-ISW → MFD-CPF|JN°267</v>
      </c>
    </row>
    <row r="274" customFormat="false" ht="74.6" hidden="false" customHeight="false" outlineLevel="0" collapsed="false">
      <c r="A274" s="79" t="n">
        <f aca="false">IF(E274="","",ROW()-6)</f>
        <v>268</v>
      </c>
      <c r="B274" s="80" t="s">
        <v>110</v>
      </c>
      <c r="C274" s="81"/>
      <c r="D274" s="81"/>
      <c r="E274" s="81" t="s">
        <v>378</v>
      </c>
      <c r="F274" s="82" t="str">
        <f aca="false">IF(E274="","",IF(LEFT(E274,2)="DJ","DJ","JN"))</f>
        <v>JN</v>
      </c>
      <c r="G274" s="81"/>
      <c r="H274" s="81"/>
      <c r="I274" s="81"/>
      <c r="J274" s="81"/>
      <c r="K274" s="81"/>
      <c r="L274" s="81"/>
      <c r="M274" s="81"/>
      <c r="N274" s="81"/>
      <c r="O274" s="81"/>
      <c r="P274" s="81"/>
      <c r="Q274" s="81"/>
      <c r="R274" s="81"/>
      <c r="S274" s="81"/>
      <c r="T274" s="81"/>
      <c r="U274" s="83"/>
      <c r="V274" s="83"/>
      <c r="W274" s="81"/>
      <c r="X274" s="81"/>
      <c r="Y274" s="83"/>
      <c r="Z274" s="81"/>
      <c r="AA274" s="81"/>
      <c r="AB274" s="81"/>
      <c r="AC274" s="81"/>
      <c r="AD274" s="81"/>
      <c r="AE274" s="83"/>
      <c r="AF274" s="81"/>
      <c r="AG274" s="81"/>
      <c r="AH274" s="81"/>
      <c r="AI274" s="81"/>
      <c r="AJ274" s="83"/>
      <c r="AK274" s="81"/>
      <c r="AL274" s="81"/>
      <c r="AM274" s="83"/>
      <c r="AN274" s="80"/>
      <c r="AO274" s="82" t="n">
        <f aca="false">IF(E274="","",(AA274&lt;&gt;"")+(AG274&lt;&gt;"")+(AL274&lt;&gt;""))</f>
        <v>0</v>
      </c>
      <c r="AP274" s="82" t="str">
        <f aca="false">IF(AL274&lt;&gt;"",AL274,IF(AG274&lt;&gt;"",AG274,IF(AA274&lt;&gt;"",AA274,"")))</f>
        <v/>
      </c>
      <c r="AQ274" s="84" t="str">
        <f aca="false">IF(E274="","",IF(U274="","À SOUDER",IF(X274="","VT EN ATTENTE",IF(X274="R","VT REJETÉ – À REPRENDRE",IF(AP274="","À RADIOGRAPHIER",IF(AP274="A","ACCEPTÉ",IF(AP274="NX","NX – RT À REFAIRE",IF(IF(AO274=1,AD274,IF(AO274=2,AI274,""))="A","RÉPARÉ – À RADIOGRAPHIER",IF(IF(AO274=1,AD274,IF(AO274=2,AI274,""))="R","VT REJETÉ – À REPRENDRE",IF(OR(AP274="CO",AP274="NT"),"COUPE – À RESOUDER","À RÉPARER"))))))))))</f>
        <v>À SOUDER</v>
      </c>
      <c r="AR274" s="82" t="str">
        <f aca="false">IF(AND(ISNUMBER(U274),OR(AQ274="À RADIOGRAPHIER",AQ274="RÉPARÉ – À RADIOGRAPHIER",AQ274="NX – RT À REFAIRE",AQ274="À RÉPARER",AQ274="COUPE – À RESOUDER",AQ274="VT REJETÉ – À REPRENDRE")),MAX(0,'PROGRAMME RT'!$C$4-U274),"")</f>
        <v/>
      </c>
      <c r="AS274" s="82" t="n">
        <f aca="false">IF(AND(OR(AQ274="À RADIOGRAPHIER",AQ274="RÉPARÉ – À RADIOGRAPHIER",AQ274="NX – RT À REFAIRE"),OR('PROGRAMME RT'!$D$5="TOUTES",B274='PROGRAMME RT'!$D$5)),1,0)</f>
        <v>0</v>
      </c>
      <c r="AT274" s="82" t="str">
        <f aca="false">IF(AS274=1,SUM(AS$7:AS274),"")</f>
        <v/>
      </c>
      <c r="AU274" s="82" t="n">
        <f aca="false">IF(AND(OR(AA274="R",AA274="NX",AA274="NT",AA274="CO"),OR('JOINTS DE RÉPARATION'!$D$5="TOUTES",B274='JOINTS DE RÉPARATION'!$D$5),OR('JOINTS DE RÉPARATION'!$L$4="TOUS",AQ274&lt;&gt;"ACCEPTÉ")),1,0)</f>
        <v>0</v>
      </c>
      <c r="AV274" s="82" t="str">
        <f aca="false">IF(AU274=1,SUM(AU$7:AU274),"")</f>
        <v/>
      </c>
      <c r="AW274" s="82" t="str">
        <f aca="false">IF(E274="","",B274&amp;"|"&amp;E274)</f>
        <v>MFD-ISW → MFD-CPF|JN°268</v>
      </c>
    </row>
    <row r="275" customFormat="false" ht="74.6" hidden="false" customHeight="false" outlineLevel="0" collapsed="false">
      <c r="A275" s="79" t="n">
        <f aca="false">IF(E275="","",ROW()-6)</f>
        <v>269</v>
      </c>
      <c r="B275" s="80" t="s">
        <v>110</v>
      </c>
      <c r="C275" s="81"/>
      <c r="D275" s="81"/>
      <c r="E275" s="81" t="s">
        <v>379</v>
      </c>
      <c r="F275" s="82" t="str">
        <f aca="false">IF(E275="","",IF(LEFT(E275,2)="DJ","DJ","JN"))</f>
        <v>JN</v>
      </c>
      <c r="G275" s="81"/>
      <c r="H275" s="81"/>
      <c r="I275" s="81"/>
      <c r="J275" s="81"/>
      <c r="K275" s="81"/>
      <c r="L275" s="81"/>
      <c r="M275" s="81"/>
      <c r="N275" s="81"/>
      <c r="O275" s="81"/>
      <c r="P275" s="81"/>
      <c r="Q275" s="81"/>
      <c r="R275" s="81"/>
      <c r="S275" s="81"/>
      <c r="T275" s="81"/>
      <c r="U275" s="83"/>
      <c r="V275" s="83"/>
      <c r="W275" s="81"/>
      <c r="X275" s="81"/>
      <c r="Y275" s="83"/>
      <c r="Z275" s="81"/>
      <c r="AA275" s="81"/>
      <c r="AB275" s="81"/>
      <c r="AC275" s="81"/>
      <c r="AD275" s="81"/>
      <c r="AE275" s="83"/>
      <c r="AF275" s="81"/>
      <c r="AG275" s="81"/>
      <c r="AH275" s="81"/>
      <c r="AI275" s="81"/>
      <c r="AJ275" s="83"/>
      <c r="AK275" s="81"/>
      <c r="AL275" s="81"/>
      <c r="AM275" s="83"/>
      <c r="AN275" s="80"/>
      <c r="AO275" s="82" t="n">
        <f aca="false">IF(E275="","",(AA275&lt;&gt;"")+(AG275&lt;&gt;"")+(AL275&lt;&gt;""))</f>
        <v>0</v>
      </c>
      <c r="AP275" s="82" t="str">
        <f aca="false">IF(AL275&lt;&gt;"",AL275,IF(AG275&lt;&gt;"",AG275,IF(AA275&lt;&gt;"",AA275,"")))</f>
        <v/>
      </c>
      <c r="AQ275" s="84" t="str">
        <f aca="false">IF(E275="","",IF(U275="","À SOUDER",IF(X275="","VT EN ATTENTE",IF(X275="R","VT REJETÉ – À REPRENDRE",IF(AP275="","À RADIOGRAPHIER",IF(AP275="A","ACCEPTÉ",IF(AP275="NX","NX – RT À REFAIRE",IF(IF(AO275=1,AD275,IF(AO275=2,AI275,""))="A","RÉPARÉ – À RADIOGRAPHIER",IF(IF(AO275=1,AD275,IF(AO275=2,AI275,""))="R","VT REJETÉ – À REPRENDRE",IF(OR(AP275="CO",AP275="NT"),"COUPE – À RESOUDER","À RÉPARER"))))))))))</f>
        <v>À SOUDER</v>
      </c>
      <c r="AR275" s="82" t="str">
        <f aca="false">IF(AND(ISNUMBER(U275),OR(AQ275="À RADIOGRAPHIER",AQ275="RÉPARÉ – À RADIOGRAPHIER",AQ275="NX – RT À REFAIRE",AQ275="À RÉPARER",AQ275="COUPE – À RESOUDER",AQ275="VT REJETÉ – À REPRENDRE")),MAX(0,'PROGRAMME RT'!$C$4-U275),"")</f>
        <v/>
      </c>
      <c r="AS275" s="82" t="n">
        <f aca="false">IF(AND(OR(AQ275="À RADIOGRAPHIER",AQ275="RÉPARÉ – À RADIOGRAPHIER",AQ275="NX – RT À REFAIRE"),OR('PROGRAMME RT'!$D$5="TOUTES",B275='PROGRAMME RT'!$D$5)),1,0)</f>
        <v>0</v>
      </c>
      <c r="AT275" s="82" t="str">
        <f aca="false">IF(AS275=1,SUM(AS$7:AS275),"")</f>
        <v/>
      </c>
      <c r="AU275" s="82" t="n">
        <f aca="false">IF(AND(OR(AA275="R",AA275="NX",AA275="NT",AA275="CO"),OR('JOINTS DE RÉPARATION'!$D$5="TOUTES",B275='JOINTS DE RÉPARATION'!$D$5),OR('JOINTS DE RÉPARATION'!$L$4="TOUS",AQ275&lt;&gt;"ACCEPTÉ")),1,0)</f>
        <v>0</v>
      </c>
      <c r="AV275" s="82" t="str">
        <f aca="false">IF(AU275=1,SUM(AU$7:AU275),"")</f>
        <v/>
      </c>
      <c r="AW275" s="82" t="str">
        <f aca="false">IF(E275="","",B275&amp;"|"&amp;E275)</f>
        <v>MFD-ISW → MFD-CPF|JN°269</v>
      </c>
    </row>
    <row r="276" customFormat="false" ht="74.6" hidden="false" customHeight="false" outlineLevel="0" collapsed="false">
      <c r="A276" s="79" t="n">
        <f aca="false">IF(E276="","",ROW()-6)</f>
        <v>270</v>
      </c>
      <c r="B276" s="80" t="s">
        <v>110</v>
      </c>
      <c r="C276" s="81"/>
      <c r="D276" s="81"/>
      <c r="E276" s="81" t="s">
        <v>380</v>
      </c>
      <c r="F276" s="82" t="str">
        <f aca="false">IF(E276="","",IF(LEFT(E276,2)="DJ","DJ","JN"))</f>
        <v>JN</v>
      </c>
      <c r="G276" s="81"/>
      <c r="H276" s="81"/>
      <c r="I276" s="81"/>
      <c r="J276" s="81"/>
      <c r="K276" s="81"/>
      <c r="L276" s="81"/>
      <c r="M276" s="81"/>
      <c r="N276" s="81"/>
      <c r="O276" s="81"/>
      <c r="P276" s="81"/>
      <c r="Q276" s="81"/>
      <c r="R276" s="81"/>
      <c r="S276" s="81"/>
      <c r="T276" s="81"/>
      <c r="U276" s="83"/>
      <c r="V276" s="83"/>
      <c r="W276" s="81"/>
      <c r="X276" s="81"/>
      <c r="Y276" s="83"/>
      <c r="Z276" s="81"/>
      <c r="AA276" s="81"/>
      <c r="AB276" s="81"/>
      <c r="AC276" s="81"/>
      <c r="AD276" s="81"/>
      <c r="AE276" s="83"/>
      <c r="AF276" s="81"/>
      <c r="AG276" s="81"/>
      <c r="AH276" s="81"/>
      <c r="AI276" s="81"/>
      <c r="AJ276" s="83"/>
      <c r="AK276" s="81"/>
      <c r="AL276" s="81"/>
      <c r="AM276" s="83"/>
      <c r="AN276" s="80"/>
      <c r="AO276" s="82" t="n">
        <f aca="false">IF(E276="","",(AA276&lt;&gt;"")+(AG276&lt;&gt;"")+(AL276&lt;&gt;""))</f>
        <v>0</v>
      </c>
      <c r="AP276" s="82" t="str">
        <f aca="false">IF(AL276&lt;&gt;"",AL276,IF(AG276&lt;&gt;"",AG276,IF(AA276&lt;&gt;"",AA276,"")))</f>
        <v/>
      </c>
      <c r="AQ276" s="84" t="str">
        <f aca="false">IF(E276="","",IF(U276="","À SOUDER",IF(X276="","VT EN ATTENTE",IF(X276="R","VT REJETÉ – À REPRENDRE",IF(AP276="","À RADIOGRAPHIER",IF(AP276="A","ACCEPTÉ",IF(AP276="NX","NX – RT À REFAIRE",IF(IF(AO276=1,AD276,IF(AO276=2,AI276,""))="A","RÉPARÉ – À RADIOGRAPHIER",IF(IF(AO276=1,AD276,IF(AO276=2,AI276,""))="R","VT REJETÉ – À REPRENDRE",IF(OR(AP276="CO",AP276="NT"),"COUPE – À RESOUDER","À RÉPARER"))))))))))</f>
        <v>À SOUDER</v>
      </c>
      <c r="AR276" s="82" t="str">
        <f aca="false">IF(AND(ISNUMBER(U276),OR(AQ276="À RADIOGRAPHIER",AQ276="RÉPARÉ – À RADIOGRAPHIER",AQ276="NX – RT À REFAIRE",AQ276="À RÉPARER",AQ276="COUPE – À RESOUDER",AQ276="VT REJETÉ – À REPRENDRE")),MAX(0,'PROGRAMME RT'!$C$4-U276),"")</f>
        <v/>
      </c>
      <c r="AS276" s="82" t="n">
        <f aca="false">IF(AND(OR(AQ276="À RADIOGRAPHIER",AQ276="RÉPARÉ – À RADIOGRAPHIER",AQ276="NX – RT À REFAIRE"),OR('PROGRAMME RT'!$D$5="TOUTES",B276='PROGRAMME RT'!$D$5)),1,0)</f>
        <v>0</v>
      </c>
      <c r="AT276" s="82" t="str">
        <f aca="false">IF(AS276=1,SUM(AS$7:AS276),"")</f>
        <v/>
      </c>
      <c r="AU276" s="82" t="n">
        <f aca="false">IF(AND(OR(AA276="R",AA276="NX",AA276="NT",AA276="CO"),OR('JOINTS DE RÉPARATION'!$D$5="TOUTES",B276='JOINTS DE RÉPARATION'!$D$5),OR('JOINTS DE RÉPARATION'!$L$4="TOUS",AQ276&lt;&gt;"ACCEPTÉ")),1,0)</f>
        <v>0</v>
      </c>
      <c r="AV276" s="82" t="str">
        <f aca="false">IF(AU276=1,SUM(AU$7:AU276),"")</f>
        <v/>
      </c>
      <c r="AW276" s="82" t="str">
        <f aca="false">IF(E276="","",B276&amp;"|"&amp;E276)</f>
        <v>MFD-ISW → MFD-CPF|JN°270</v>
      </c>
    </row>
    <row r="277" customFormat="false" ht="74.6" hidden="false" customHeight="false" outlineLevel="0" collapsed="false">
      <c r="A277" s="79" t="n">
        <f aca="false">IF(E277="","",ROW()-6)</f>
        <v>271</v>
      </c>
      <c r="B277" s="80" t="s">
        <v>110</v>
      </c>
      <c r="C277" s="81"/>
      <c r="D277" s="81"/>
      <c r="E277" s="81" t="s">
        <v>381</v>
      </c>
      <c r="F277" s="82" t="str">
        <f aca="false">IF(E277="","",IF(LEFT(E277,2)="DJ","DJ","JN"))</f>
        <v>JN</v>
      </c>
      <c r="G277" s="81"/>
      <c r="H277" s="81"/>
      <c r="I277" s="81"/>
      <c r="J277" s="81"/>
      <c r="K277" s="81"/>
      <c r="L277" s="81"/>
      <c r="M277" s="81"/>
      <c r="N277" s="81"/>
      <c r="O277" s="81"/>
      <c r="P277" s="81"/>
      <c r="Q277" s="81"/>
      <c r="R277" s="81"/>
      <c r="S277" s="81"/>
      <c r="T277" s="81"/>
      <c r="U277" s="83"/>
      <c r="V277" s="83"/>
      <c r="W277" s="81"/>
      <c r="X277" s="81"/>
      <c r="Y277" s="83"/>
      <c r="Z277" s="81"/>
      <c r="AA277" s="81"/>
      <c r="AB277" s="81"/>
      <c r="AC277" s="81"/>
      <c r="AD277" s="81"/>
      <c r="AE277" s="83"/>
      <c r="AF277" s="81"/>
      <c r="AG277" s="81"/>
      <c r="AH277" s="81"/>
      <c r="AI277" s="81"/>
      <c r="AJ277" s="83"/>
      <c r="AK277" s="81"/>
      <c r="AL277" s="81"/>
      <c r="AM277" s="83"/>
      <c r="AN277" s="80"/>
      <c r="AO277" s="82" t="n">
        <f aca="false">IF(E277="","",(AA277&lt;&gt;"")+(AG277&lt;&gt;"")+(AL277&lt;&gt;""))</f>
        <v>0</v>
      </c>
      <c r="AP277" s="82" t="str">
        <f aca="false">IF(AL277&lt;&gt;"",AL277,IF(AG277&lt;&gt;"",AG277,IF(AA277&lt;&gt;"",AA277,"")))</f>
        <v/>
      </c>
      <c r="AQ277" s="84" t="str">
        <f aca="false">IF(E277="","",IF(U277="","À SOUDER",IF(X277="","VT EN ATTENTE",IF(X277="R","VT REJETÉ – À REPRENDRE",IF(AP277="","À RADIOGRAPHIER",IF(AP277="A","ACCEPTÉ",IF(AP277="NX","NX – RT À REFAIRE",IF(IF(AO277=1,AD277,IF(AO277=2,AI277,""))="A","RÉPARÉ – À RADIOGRAPHIER",IF(IF(AO277=1,AD277,IF(AO277=2,AI277,""))="R","VT REJETÉ – À REPRENDRE",IF(OR(AP277="CO",AP277="NT"),"COUPE – À RESOUDER","À RÉPARER"))))))))))</f>
        <v>À SOUDER</v>
      </c>
      <c r="AR277" s="82" t="str">
        <f aca="false">IF(AND(ISNUMBER(U277),OR(AQ277="À RADIOGRAPHIER",AQ277="RÉPARÉ – À RADIOGRAPHIER",AQ277="NX – RT À REFAIRE",AQ277="À RÉPARER",AQ277="COUPE – À RESOUDER",AQ277="VT REJETÉ – À REPRENDRE")),MAX(0,'PROGRAMME RT'!$C$4-U277),"")</f>
        <v/>
      </c>
      <c r="AS277" s="82" t="n">
        <f aca="false">IF(AND(OR(AQ277="À RADIOGRAPHIER",AQ277="RÉPARÉ – À RADIOGRAPHIER",AQ277="NX – RT À REFAIRE"),OR('PROGRAMME RT'!$D$5="TOUTES",B277='PROGRAMME RT'!$D$5)),1,0)</f>
        <v>0</v>
      </c>
      <c r="AT277" s="82" t="str">
        <f aca="false">IF(AS277=1,SUM(AS$7:AS277),"")</f>
        <v/>
      </c>
      <c r="AU277" s="82" t="n">
        <f aca="false">IF(AND(OR(AA277="R",AA277="NX",AA277="NT",AA277="CO"),OR('JOINTS DE RÉPARATION'!$D$5="TOUTES",B277='JOINTS DE RÉPARATION'!$D$5),OR('JOINTS DE RÉPARATION'!$L$4="TOUS",AQ277&lt;&gt;"ACCEPTÉ")),1,0)</f>
        <v>0</v>
      </c>
      <c r="AV277" s="82" t="str">
        <f aca="false">IF(AU277=1,SUM(AU$7:AU277),"")</f>
        <v/>
      </c>
      <c r="AW277" s="82" t="str">
        <f aca="false">IF(E277="","",B277&amp;"|"&amp;E277)</f>
        <v>MFD-ISW → MFD-CPF|JN°271</v>
      </c>
    </row>
    <row r="278" customFormat="false" ht="74.6" hidden="false" customHeight="false" outlineLevel="0" collapsed="false">
      <c r="A278" s="79" t="n">
        <f aca="false">IF(E278="","",ROW()-6)</f>
        <v>272</v>
      </c>
      <c r="B278" s="80" t="s">
        <v>110</v>
      </c>
      <c r="C278" s="81"/>
      <c r="D278" s="81"/>
      <c r="E278" s="81" t="s">
        <v>382</v>
      </c>
      <c r="F278" s="82" t="str">
        <f aca="false">IF(E278="","",IF(LEFT(E278,2)="DJ","DJ","JN"))</f>
        <v>JN</v>
      </c>
      <c r="G278" s="81"/>
      <c r="H278" s="81"/>
      <c r="I278" s="81"/>
      <c r="J278" s="81"/>
      <c r="K278" s="81"/>
      <c r="L278" s="81"/>
      <c r="M278" s="81"/>
      <c r="N278" s="81"/>
      <c r="O278" s="81"/>
      <c r="P278" s="81"/>
      <c r="Q278" s="81"/>
      <c r="R278" s="81"/>
      <c r="S278" s="81"/>
      <c r="T278" s="81"/>
      <c r="U278" s="83"/>
      <c r="V278" s="83"/>
      <c r="W278" s="81"/>
      <c r="X278" s="81"/>
      <c r="Y278" s="83"/>
      <c r="Z278" s="81"/>
      <c r="AA278" s="81"/>
      <c r="AB278" s="81"/>
      <c r="AC278" s="81"/>
      <c r="AD278" s="81"/>
      <c r="AE278" s="83"/>
      <c r="AF278" s="81"/>
      <c r="AG278" s="81"/>
      <c r="AH278" s="81"/>
      <c r="AI278" s="81"/>
      <c r="AJ278" s="83"/>
      <c r="AK278" s="81"/>
      <c r="AL278" s="81"/>
      <c r="AM278" s="83"/>
      <c r="AN278" s="80"/>
      <c r="AO278" s="82" t="n">
        <f aca="false">IF(E278="","",(AA278&lt;&gt;"")+(AG278&lt;&gt;"")+(AL278&lt;&gt;""))</f>
        <v>0</v>
      </c>
      <c r="AP278" s="82" t="str">
        <f aca="false">IF(AL278&lt;&gt;"",AL278,IF(AG278&lt;&gt;"",AG278,IF(AA278&lt;&gt;"",AA278,"")))</f>
        <v/>
      </c>
      <c r="AQ278" s="84" t="str">
        <f aca="false">IF(E278="","",IF(U278="","À SOUDER",IF(X278="","VT EN ATTENTE",IF(X278="R","VT REJETÉ – À REPRENDRE",IF(AP278="","À RADIOGRAPHIER",IF(AP278="A","ACCEPTÉ",IF(AP278="NX","NX – RT À REFAIRE",IF(IF(AO278=1,AD278,IF(AO278=2,AI278,""))="A","RÉPARÉ – À RADIOGRAPHIER",IF(IF(AO278=1,AD278,IF(AO278=2,AI278,""))="R","VT REJETÉ – À REPRENDRE",IF(OR(AP278="CO",AP278="NT"),"COUPE – À RESOUDER","À RÉPARER"))))))))))</f>
        <v>À SOUDER</v>
      </c>
      <c r="AR278" s="82" t="str">
        <f aca="false">IF(AND(ISNUMBER(U278),OR(AQ278="À RADIOGRAPHIER",AQ278="RÉPARÉ – À RADIOGRAPHIER",AQ278="NX – RT À REFAIRE",AQ278="À RÉPARER",AQ278="COUPE – À RESOUDER",AQ278="VT REJETÉ – À REPRENDRE")),MAX(0,'PROGRAMME RT'!$C$4-U278),"")</f>
        <v/>
      </c>
      <c r="AS278" s="82" t="n">
        <f aca="false">IF(AND(OR(AQ278="À RADIOGRAPHIER",AQ278="RÉPARÉ – À RADIOGRAPHIER",AQ278="NX – RT À REFAIRE"),OR('PROGRAMME RT'!$D$5="TOUTES",B278='PROGRAMME RT'!$D$5)),1,0)</f>
        <v>0</v>
      </c>
      <c r="AT278" s="82" t="str">
        <f aca="false">IF(AS278=1,SUM(AS$7:AS278),"")</f>
        <v/>
      </c>
      <c r="AU278" s="82" t="n">
        <f aca="false">IF(AND(OR(AA278="R",AA278="NX",AA278="NT",AA278="CO"),OR('JOINTS DE RÉPARATION'!$D$5="TOUTES",B278='JOINTS DE RÉPARATION'!$D$5),OR('JOINTS DE RÉPARATION'!$L$4="TOUS",AQ278&lt;&gt;"ACCEPTÉ")),1,0)</f>
        <v>0</v>
      </c>
      <c r="AV278" s="82" t="str">
        <f aca="false">IF(AU278=1,SUM(AU$7:AU278),"")</f>
        <v/>
      </c>
      <c r="AW278" s="82" t="str">
        <f aca="false">IF(E278="","",B278&amp;"|"&amp;E278)</f>
        <v>MFD-ISW → MFD-CPF|JN°272</v>
      </c>
    </row>
    <row r="279" customFormat="false" ht="74.6" hidden="false" customHeight="false" outlineLevel="0" collapsed="false">
      <c r="A279" s="79" t="n">
        <f aca="false">IF(E279="","",ROW()-6)</f>
        <v>273</v>
      </c>
      <c r="B279" s="80" t="s">
        <v>110</v>
      </c>
      <c r="C279" s="81"/>
      <c r="D279" s="81"/>
      <c r="E279" s="81" t="s">
        <v>383</v>
      </c>
      <c r="F279" s="82" t="str">
        <f aca="false">IF(E279="","",IF(LEFT(E279,2)="DJ","DJ","JN"))</f>
        <v>JN</v>
      </c>
      <c r="G279" s="81"/>
      <c r="H279" s="81"/>
      <c r="I279" s="81"/>
      <c r="J279" s="81"/>
      <c r="K279" s="81"/>
      <c r="L279" s="81"/>
      <c r="M279" s="81"/>
      <c r="N279" s="81"/>
      <c r="O279" s="81"/>
      <c r="P279" s="81"/>
      <c r="Q279" s="81"/>
      <c r="R279" s="81"/>
      <c r="S279" s="81"/>
      <c r="T279" s="81"/>
      <c r="U279" s="83"/>
      <c r="V279" s="83"/>
      <c r="W279" s="81"/>
      <c r="X279" s="81"/>
      <c r="Y279" s="83"/>
      <c r="Z279" s="81"/>
      <c r="AA279" s="81"/>
      <c r="AB279" s="81"/>
      <c r="AC279" s="81"/>
      <c r="AD279" s="81"/>
      <c r="AE279" s="83"/>
      <c r="AF279" s="81"/>
      <c r="AG279" s="81"/>
      <c r="AH279" s="81"/>
      <c r="AI279" s="81"/>
      <c r="AJ279" s="83"/>
      <c r="AK279" s="81"/>
      <c r="AL279" s="81"/>
      <c r="AM279" s="83"/>
      <c r="AN279" s="80"/>
      <c r="AO279" s="82" t="n">
        <f aca="false">IF(E279="","",(AA279&lt;&gt;"")+(AG279&lt;&gt;"")+(AL279&lt;&gt;""))</f>
        <v>0</v>
      </c>
      <c r="AP279" s="82" t="str">
        <f aca="false">IF(AL279&lt;&gt;"",AL279,IF(AG279&lt;&gt;"",AG279,IF(AA279&lt;&gt;"",AA279,"")))</f>
        <v/>
      </c>
      <c r="AQ279" s="84" t="str">
        <f aca="false">IF(E279="","",IF(U279="","À SOUDER",IF(X279="","VT EN ATTENTE",IF(X279="R","VT REJETÉ – À REPRENDRE",IF(AP279="","À RADIOGRAPHIER",IF(AP279="A","ACCEPTÉ",IF(AP279="NX","NX – RT À REFAIRE",IF(IF(AO279=1,AD279,IF(AO279=2,AI279,""))="A","RÉPARÉ – À RADIOGRAPHIER",IF(IF(AO279=1,AD279,IF(AO279=2,AI279,""))="R","VT REJETÉ – À REPRENDRE",IF(OR(AP279="CO",AP279="NT"),"COUPE – À RESOUDER","À RÉPARER"))))))))))</f>
        <v>À SOUDER</v>
      </c>
      <c r="AR279" s="82" t="str">
        <f aca="false">IF(AND(ISNUMBER(U279),OR(AQ279="À RADIOGRAPHIER",AQ279="RÉPARÉ – À RADIOGRAPHIER",AQ279="NX – RT À REFAIRE",AQ279="À RÉPARER",AQ279="COUPE – À RESOUDER",AQ279="VT REJETÉ – À REPRENDRE")),MAX(0,'PROGRAMME RT'!$C$4-U279),"")</f>
        <v/>
      </c>
      <c r="AS279" s="82" t="n">
        <f aca="false">IF(AND(OR(AQ279="À RADIOGRAPHIER",AQ279="RÉPARÉ – À RADIOGRAPHIER",AQ279="NX – RT À REFAIRE"),OR('PROGRAMME RT'!$D$5="TOUTES",B279='PROGRAMME RT'!$D$5)),1,0)</f>
        <v>0</v>
      </c>
      <c r="AT279" s="82" t="str">
        <f aca="false">IF(AS279=1,SUM(AS$7:AS279),"")</f>
        <v/>
      </c>
      <c r="AU279" s="82" t="n">
        <f aca="false">IF(AND(OR(AA279="R",AA279="NX",AA279="NT",AA279="CO"),OR('JOINTS DE RÉPARATION'!$D$5="TOUTES",B279='JOINTS DE RÉPARATION'!$D$5),OR('JOINTS DE RÉPARATION'!$L$4="TOUS",AQ279&lt;&gt;"ACCEPTÉ")),1,0)</f>
        <v>0</v>
      </c>
      <c r="AV279" s="82" t="str">
        <f aca="false">IF(AU279=1,SUM(AU$7:AU279),"")</f>
        <v/>
      </c>
      <c r="AW279" s="82" t="str">
        <f aca="false">IF(E279="","",B279&amp;"|"&amp;E279)</f>
        <v>MFD-ISW → MFD-CPF|JN°273</v>
      </c>
    </row>
    <row r="280" customFormat="false" ht="74.6" hidden="false" customHeight="false" outlineLevel="0" collapsed="false">
      <c r="A280" s="79" t="n">
        <f aca="false">IF(E280="","",ROW()-6)</f>
        <v>274</v>
      </c>
      <c r="B280" s="80" t="s">
        <v>110</v>
      </c>
      <c r="C280" s="81"/>
      <c r="D280" s="81"/>
      <c r="E280" s="81" t="s">
        <v>384</v>
      </c>
      <c r="F280" s="82" t="str">
        <f aca="false">IF(E280="","",IF(LEFT(E280,2)="DJ","DJ","JN"))</f>
        <v>JN</v>
      </c>
      <c r="G280" s="81"/>
      <c r="H280" s="81"/>
      <c r="I280" s="81"/>
      <c r="J280" s="81"/>
      <c r="K280" s="81"/>
      <c r="L280" s="81"/>
      <c r="M280" s="81"/>
      <c r="N280" s="81"/>
      <c r="O280" s="81"/>
      <c r="P280" s="81"/>
      <c r="Q280" s="81"/>
      <c r="R280" s="81"/>
      <c r="S280" s="81"/>
      <c r="T280" s="81"/>
      <c r="U280" s="83"/>
      <c r="V280" s="83"/>
      <c r="W280" s="81"/>
      <c r="X280" s="81"/>
      <c r="Y280" s="83"/>
      <c r="Z280" s="81"/>
      <c r="AA280" s="81"/>
      <c r="AB280" s="81"/>
      <c r="AC280" s="81"/>
      <c r="AD280" s="81"/>
      <c r="AE280" s="83"/>
      <c r="AF280" s="81"/>
      <c r="AG280" s="81"/>
      <c r="AH280" s="81"/>
      <c r="AI280" s="81"/>
      <c r="AJ280" s="83"/>
      <c r="AK280" s="81"/>
      <c r="AL280" s="81"/>
      <c r="AM280" s="83"/>
      <c r="AN280" s="80"/>
      <c r="AO280" s="82" t="n">
        <f aca="false">IF(E280="","",(AA280&lt;&gt;"")+(AG280&lt;&gt;"")+(AL280&lt;&gt;""))</f>
        <v>0</v>
      </c>
      <c r="AP280" s="82" t="str">
        <f aca="false">IF(AL280&lt;&gt;"",AL280,IF(AG280&lt;&gt;"",AG280,IF(AA280&lt;&gt;"",AA280,"")))</f>
        <v/>
      </c>
      <c r="AQ280" s="84" t="str">
        <f aca="false">IF(E280="","",IF(U280="","À SOUDER",IF(X280="","VT EN ATTENTE",IF(X280="R","VT REJETÉ – À REPRENDRE",IF(AP280="","À RADIOGRAPHIER",IF(AP280="A","ACCEPTÉ",IF(AP280="NX","NX – RT À REFAIRE",IF(IF(AO280=1,AD280,IF(AO280=2,AI280,""))="A","RÉPARÉ – À RADIOGRAPHIER",IF(IF(AO280=1,AD280,IF(AO280=2,AI280,""))="R","VT REJETÉ – À REPRENDRE",IF(OR(AP280="CO",AP280="NT"),"COUPE – À RESOUDER","À RÉPARER"))))))))))</f>
        <v>À SOUDER</v>
      </c>
      <c r="AR280" s="82" t="str">
        <f aca="false">IF(AND(ISNUMBER(U280),OR(AQ280="À RADIOGRAPHIER",AQ280="RÉPARÉ – À RADIOGRAPHIER",AQ280="NX – RT À REFAIRE",AQ280="À RÉPARER",AQ280="COUPE – À RESOUDER",AQ280="VT REJETÉ – À REPRENDRE")),MAX(0,'PROGRAMME RT'!$C$4-U280),"")</f>
        <v/>
      </c>
      <c r="AS280" s="82" t="n">
        <f aca="false">IF(AND(OR(AQ280="À RADIOGRAPHIER",AQ280="RÉPARÉ – À RADIOGRAPHIER",AQ280="NX – RT À REFAIRE"),OR('PROGRAMME RT'!$D$5="TOUTES",B280='PROGRAMME RT'!$D$5)),1,0)</f>
        <v>0</v>
      </c>
      <c r="AT280" s="82" t="str">
        <f aca="false">IF(AS280=1,SUM(AS$7:AS280),"")</f>
        <v/>
      </c>
      <c r="AU280" s="82" t="n">
        <f aca="false">IF(AND(OR(AA280="R",AA280="NX",AA280="NT",AA280="CO"),OR('JOINTS DE RÉPARATION'!$D$5="TOUTES",B280='JOINTS DE RÉPARATION'!$D$5),OR('JOINTS DE RÉPARATION'!$L$4="TOUS",AQ280&lt;&gt;"ACCEPTÉ")),1,0)</f>
        <v>0</v>
      </c>
      <c r="AV280" s="82" t="str">
        <f aca="false">IF(AU280=1,SUM(AU$7:AU280),"")</f>
        <v/>
      </c>
      <c r="AW280" s="82" t="str">
        <f aca="false">IF(E280="","",B280&amp;"|"&amp;E280)</f>
        <v>MFD-ISW → MFD-CPF|JN°274</v>
      </c>
    </row>
    <row r="281" customFormat="false" ht="74.6" hidden="false" customHeight="false" outlineLevel="0" collapsed="false">
      <c r="A281" s="79" t="n">
        <f aca="false">IF(E281="","",ROW()-6)</f>
        <v>275</v>
      </c>
      <c r="B281" s="80" t="s">
        <v>110</v>
      </c>
      <c r="C281" s="81"/>
      <c r="D281" s="81"/>
      <c r="E281" s="81" t="s">
        <v>385</v>
      </c>
      <c r="F281" s="82" t="str">
        <f aca="false">IF(E281="","",IF(LEFT(E281,2)="DJ","DJ","JN"))</f>
        <v>JN</v>
      </c>
      <c r="G281" s="81"/>
      <c r="H281" s="81"/>
      <c r="I281" s="81"/>
      <c r="J281" s="81"/>
      <c r="K281" s="81"/>
      <c r="L281" s="81"/>
      <c r="M281" s="81"/>
      <c r="N281" s="81"/>
      <c r="O281" s="81"/>
      <c r="P281" s="81"/>
      <c r="Q281" s="81"/>
      <c r="R281" s="81"/>
      <c r="S281" s="81"/>
      <c r="T281" s="81"/>
      <c r="U281" s="83"/>
      <c r="V281" s="83"/>
      <c r="W281" s="81"/>
      <c r="X281" s="81"/>
      <c r="Y281" s="83"/>
      <c r="Z281" s="81"/>
      <c r="AA281" s="81"/>
      <c r="AB281" s="81"/>
      <c r="AC281" s="81"/>
      <c r="AD281" s="81"/>
      <c r="AE281" s="83"/>
      <c r="AF281" s="81"/>
      <c r="AG281" s="81"/>
      <c r="AH281" s="81"/>
      <c r="AI281" s="81"/>
      <c r="AJ281" s="83"/>
      <c r="AK281" s="81"/>
      <c r="AL281" s="81"/>
      <c r="AM281" s="83"/>
      <c r="AN281" s="80"/>
      <c r="AO281" s="82" t="n">
        <f aca="false">IF(E281="","",(AA281&lt;&gt;"")+(AG281&lt;&gt;"")+(AL281&lt;&gt;""))</f>
        <v>0</v>
      </c>
      <c r="AP281" s="82" t="str">
        <f aca="false">IF(AL281&lt;&gt;"",AL281,IF(AG281&lt;&gt;"",AG281,IF(AA281&lt;&gt;"",AA281,"")))</f>
        <v/>
      </c>
      <c r="AQ281" s="84" t="str">
        <f aca="false">IF(E281="","",IF(U281="","À SOUDER",IF(X281="","VT EN ATTENTE",IF(X281="R","VT REJETÉ – À REPRENDRE",IF(AP281="","À RADIOGRAPHIER",IF(AP281="A","ACCEPTÉ",IF(AP281="NX","NX – RT À REFAIRE",IF(IF(AO281=1,AD281,IF(AO281=2,AI281,""))="A","RÉPARÉ – À RADIOGRAPHIER",IF(IF(AO281=1,AD281,IF(AO281=2,AI281,""))="R","VT REJETÉ – À REPRENDRE",IF(OR(AP281="CO",AP281="NT"),"COUPE – À RESOUDER","À RÉPARER"))))))))))</f>
        <v>À SOUDER</v>
      </c>
      <c r="AR281" s="82" t="str">
        <f aca="false">IF(AND(ISNUMBER(U281),OR(AQ281="À RADIOGRAPHIER",AQ281="RÉPARÉ – À RADIOGRAPHIER",AQ281="NX – RT À REFAIRE",AQ281="À RÉPARER",AQ281="COUPE – À RESOUDER",AQ281="VT REJETÉ – À REPRENDRE")),MAX(0,'PROGRAMME RT'!$C$4-U281),"")</f>
        <v/>
      </c>
      <c r="AS281" s="82" t="n">
        <f aca="false">IF(AND(OR(AQ281="À RADIOGRAPHIER",AQ281="RÉPARÉ – À RADIOGRAPHIER",AQ281="NX – RT À REFAIRE"),OR('PROGRAMME RT'!$D$5="TOUTES",B281='PROGRAMME RT'!$D$5)),1,0)</f>
        <v>0</v>
      </c>
      <c r="AT281" s="82" t="str">
        <f aca="false">IF(AS281=1,SUM(AS$7:AS281),"")</f>
        <v/>
      </c>
      <c r="AU281" s="82" t="n">
        <f aca="false">IF(AND(OR(AA281="R",AA281="NX",AA281="NT",AA281="CO"),OR('JOINTS DE RÉPARATION'!$D$5="TOUTES",B281='JOINTS DE RÉPARATION'!$D$5),OR('JOINTS DE RÉPARATION'!$L$4="TOUS",AQ281&lt;&gt;"ACCEPTÉ")),1,0)</f>
        <v>0</v>
      </c>
      <c r="AV281" s="82" t="str">
        <f aca="false">IF(AU281=1,SUM(AU$7:AU281),"")</f>
        <v/>
      </c>
      <c r="AW281" s="82" t="str">
        <f aca="false">IF(E281="","",B281&amp;"|"&amp;E281)</f>
        <v>MFD-ISW → MFD-CPF|JN°275</v>
      </c>
    </row>
    <row r="282" customFormat="false" ht="74.6" hidden="false" customHeight="false" outlineLevel="0" collapsed="false">
      <c r="A282" s="79" t="n">
        <f aca="false">IF(E282="","",ROW()-6)</f>
        <v>276</v>
      </c>
      <c r="B282" s="80" t="s">
        <v>110</v>
      </c>
      <c r="C282" s="81"/>
      <c r="D282" s="81"/>
      <c r="E282" s="81" t="s">
        <v>386</v>
      </c>
      <c r="F282" s="82" t="str">
        <f aca="false">IF(E282="","",IF(LEFT(E282,2)="DJ","DJ","JN"))</f>
        <v>JN</v>
      </c>
      <c r="G282" s="81"/>
      <c r="H282" s="81"/>
      <c r="I282" s="81"/>
      <c r="J282" s="81"/>
      <c r="K282" s="81"/>
      <c r="L282" s="81"/>
      <c r="M282" s="81"/>
      <c r="N282" s="81"/>
      <c r="O282" s="81"/>
      <c r="P282" s="81"/>
      <c r="Q282" s="81"/>
      <c r="R282" s="81"/>
      <c r="S282" s="81"/>
      <c r="T282" s="81"/>
      <c r="U282" s="83"/>
      <c r="V282" s="83"/>
      <c r="W282" s="81"/>
      <c r="X282" s="81"/>
      <c r="Y282" s="83"/>
      <c r="Z282" s="81"/>
      <c r="AA282" s="81"/>
      <c r="AB282" s="81"/>
      <c r="AC282" s="81"/>
      <c r="AD282" s="81"/>
      <c r="AE282" s="83"/>
      <c r="AF282" s="81"/>
      <c r="AG282" s="81"/>
      <c r="AH282" s="81"/>
      <c r="AI282" s="81"/>
      <c r="AJ282" s="83"/>
      <c r="AK282" s="81"/>
      <c r="AL282" s="81"/>
      <c r="AM282" s="83"/>
      <c r="AN282" s="80"/>
      <c r="AO282" s="82" t="n">
        <f aca="false">IF(E282="","",(AA282&lt;&gt;"")+(AG282&lt;&gt;"")+(AL282&lt;&gt;""))</f>
        <v>0</v>
      </c>
      <c r="AP282" s="82" t="str">
        <f aca="false">IF(AL282&lt;&gt;"",AL282,IF(AG282&lt;&gt;"",AG282,IF(AA282&lt;&gt;"",AA282,"")))</f>
        <v/>
      </c>
      <c r="AQ282" s="84" t="str">
        <f aca="false">IF(E282="","",IF(U282="","À SOUDER",IF(X282="","VT EN ATTENTE",IF(X282="R","VT REJETÉ – À REPRENDRE",IF(AP282="","À RADIOGRAPHIER",IF(AP282="A","ACCEPTÉ",IF(AP282="NX","NX – RT À REFAIRE",IF(IF(AO282=1,AD282,IF(AO282=2,AI282,""))="A","RÉPARÉ – À RADIOGRAPHIER",IF(IF(AO282=1,AD282,IF(AO282=2,AI282,""))="R","VT REJETÉ – À REPRENDRE",IF(OR(AP282="CO",AP282="NT"),"COUPE – À RESOUDER","À RÉPARER"))))))))))</f>
        <v>À SOUDER</v>
      </c>
      <c r="AR282" s="82" t="str">
        <f aca="false">IF(AND(ISNUMBER(U282),OR(AQ282="À RADIOGRAPHIER",AQ282="RÉPARÉ – À RADIOGRAPHIER",AQ282="NX – RT À REFAIRE",AQ282="À RÉPARER",AQ282="COUPE – À RESOUDER",AQ282="VT REJETÉ – À REPRENDRE")),MAX(0,'PROGRAMME RT'!$C$4-U282),"")</f>
        <v/>
      </c>
      <c r="AS282" s="82" t="n">
        <f aca="false">IF(AND(OR(AQ282="À RADIOGRAPHIER",AQ282="RÉPARÉ – À RADIOGRAPHIER",AQ282="NX – RT À REFAIRE"),OR('PROGRAMME RT'!$D$5="TOUTES",B282='PROGRAMME RT'!$D$5)),1,0)</f>
        <v>0</v>
      </c>
      <c r="AT282" s="82" t="str">
        <f aca="false">IF(AS282=1,SUM(AS$7:AS282),"")</f>
        <v/>
      </c>
      <c r="AU282" s="82" t="n">
        <f aca="false">IF(AND(OR(AA282="R",AA282="NX",AA282="NT",AA282="CO"),OR('JOINTS DE RÉPARATION'!$D$5="TOUTES",B282='JOINTS DE RÉPARATION'!$D$5),OR('JOINTS DE RÉPARATION'!$L$4="TOUS",AQ282&lt;&gt;"ACCEPTÉ")),1,0)</f>
        <v>0</v>
      </c>
      <c r="AV282" s="82" t="str">
        <f aca="false">IF(AU282=1,SUM(AU$7:AU282),"")</f>
        <v/>
      </c>
      <c r="AW282" s="82" t="str">
        <f aca="false">IF(E282="","",B282&amp;"|"&amp;E282)</f>
        <v>MFD-ISW → MFD-CPF|JN°276</v>
      </c>
    </row>
    <row r="283" customFormat="false" ht="74.6" hidden="false" customHeight="false" outlineLevel="0" collapsed="false">
      <c r="A283" s="79" t="n">
        <f aca="false">IF(E283="","",ROW()-6)</f>
        <v>277</v>
      </c>
      <c r="B283" s="80" t="s">
        <v>110</v>
      </c>
      <c r="C283" s="81"/>
      <c r="D283" s="81"/>
      <c r="E283" s="81" t="s">
        <v>387</v>
      </c>
      <c r="F283" s="82" t="str">
        <f aca="false">IF(E283="","",IF(LEFT(E283,2)="DJ","DJ","JN"))</f>
        <v>JN</v>
      </c>
      <c r="G283" s="81"/>
      <c r="H283" s="81"/>
      <c r="I283" s="81"/>
      <c r="J283" s="81"/>
      <c r="K283" s="81"/>
      <c r="L283" s="81"/>
      <c r="M283" s="81"/>
      <c r="N283" s="81"/>
      <c r="O283" s="81"/>
      <c r="P283" s="81"/>
      <c r="Q283" s="81"/>
      <c r="R283" s="81"/>
      <c r="S283" s="81"/>
      <c r="T283" s="81"/>
      <c r="U283" s="83"/>
      <c r="V283" s="83"/>
      <c r="W283" s="81"/>
      <c r="X283" s="81"/>
      <c r="Y283" s="83"/>
      <c r="Z283" s="81"/>
      <c r="AA283" s="81"/>
      <c r="AB283" s="81"/>
      <c r="AC283" s="81"/>
      <c r="AD283" s="81"/>
      <c r="AE283" s="83"/>
      <c r="AF283" s="81"/>
      <c r="AG283" s="81"/>
      <c r="AH283" s="81"/>
      <c r="AI283" s="81"/>
      <c r="AJ283" s="83"/>
      <c r="AK283" s="81"/>
      <c r="AL283" s="81"/>
      <c r="AM283" s="83"/>
      <c r="AN283" s="80"/>
      <c r="AO283" s="82" t="n">
        <f aca="false">IF(E283="","",(AA283&lt;&gt;"")+(AG283&lt;&gt;"")+(AL283&lt;&gt;""))</f>
        <v>0</v>
      </c>
      <c r="AP283" s="82" t="str">
        <f aca="false">IF(AL283&lt;&gt;"",AL283,IF(AG283&lt;&gt;"",AG283,IF(AA283&lt;&gt;"",AA283,"")))</f>
        <v/>
      </c>
      <c r="AQ283" s="84" t="str">
        <f aca="false">IF(E283="","",IF(U283="","À SOUDER",IF(X283="","VT EN ATTENTE",IF(X283="R","VT REJETÉ – À REPRENDRE",IF(AP283="","À RADIOGRAPHIER",IF(AP283="A","ACCEPTÉ",IF(AP283="NX","NX – RT À REFAIRE",IF(IF(AO283=1,AD283,IF(AO283=2,AI283,""))="A","RÉPARÉ – À RADIOGRAPHIER",IF(IF(AO283=1,AD283,IF(AO283=2,AI283,""))="R","VT REJETÉ – À REPRENDRE",IF(OR(AP283="CO",AP283="NT"),"COUPE – À RESOUDER","À RÉPARER"))))))))))</f>
        <v>À SOUDER</v>
      </c>
      <c r="AR283" s="82" t="str">
        <f aca="false">IF(AND(ISNUMBER(U283),OR(AQ283="À RADIOGRAPHIER",AQ283="RÉPARÉ – À RADIOGRAPHIER",AQ283="NX – RT À REFAIRE",AQ283="À RÉPARER",AQ283="COUPE – À RESOUDER",AQ283="VT REJETÉ – À REPRENDRE")),MAX(0,'PROGRAMME RT'!$C$4-U283),"")</f>
        <v/>
      </c>
      <c r="AS283" s="82" t="n">
        <f aca="false">IF(AND(OR(AQ283="À RADIOGRAPHIER",AQ283="RÉPARÉ – À RADIOGRAPHIER",AQ283="NX – RT À REFAIRE"),OR('PROGRAMME RT'!$D$5="TOUTES",B283='PROGRAMME RT'!$D$5)),1,0)</f>
        <v>0</v>
      </c>
      <c r="AT283" s="82" t="str">
        <f aca="false">IF(AS283=1,SUM(AS$7:AS283),"")</f>
        <v/>
      </c>
      <c r="AU283" s="82" t="n">
        <f aca="false">IF(AND(OR(AA283="R",AA283="NX",AA283="NT",AA283="CO"),OR('JOINTS DE RÉPARATION'!$D$5="TOUTES",B283='JOINTS DE RÉPARATION'!$D$5),OR('JOINTS DE RÉPARATION'!$L$4="TOUS",AQ283&lt;&gt;"ACCEPTÉ")),1,0)</f>
        <v>0</v>
      </c>
      <c r="AV283" s="82" t="str">
        <f aca="false">IF(AU283=1,SUM(AU$7:AU283),"")</f>
        <v/>
      </c>
      <c r="AW283" s="82" t="str">
        <f aca="false">IF(E283="","",B283&amp;"|"&amp;E283)</f>
        <v>MFD-ISW → MFD-CPF|JN°277</v>
      </c>
    </row>
    <row r="284" customFormat="false" ht="74.6" hidden="false" customHeight="false" outlineLevel="0" collapsed="false">
      <c r="A284" s="79" t="n">
        <f aca="false">IF(E284="","",ROW()-6)</f>
        <v>278</v>
      </c>
      <c r="B284" s="80" t="s">
        <v>110</v>
      </c>
      <c r="C284" s="81"/>
      <c r="D284" s="81"/>
      <c r="E284" s="81" t="s">
        <v>388</v>
      </c>
      <c r="F284" s="82" t="str">
        <f aca="false">IF(E284="","",IF(LEFT(E284,2)="DJ","DJ","JN"))</f>
        <v>JN</v>
      </c>
      <c r="G284" s="81"/>
      <c r="H284" s="81"/>
      <c r="I284" s="81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U284" s="83"/>
      <c r="V284" s="83"/>
      <c r="W284" s="81"/>
      <c r="X284" s="81"/>
      <c r="Y284" s="83"/>
      <c r="Z284" s="81"/>
      <c r="AA284" s="81"/>
      <c r="AB284" s="81"/>
      <c r="AC284" s="81"/>
      <c r="AD284" s="81"/>
      <c r="AE284" s="83"/>
      <c r="AF284" s="81"/>
      <c r="AG284" s="81"/>
      <c r="AH284" s="81"/>
      <c r="AI284" s="81"/>
      <c r="AJ284" s="83"/>
      <c r="AK284" s="81"/>
      <c r="AL284" s="81"/>
      <c r="AM284" s="83"/>
      <c r="AN284" s="80"/>
      <c r="AO284" s="82" t="n">
        <f aca="false">IF(E284="","",(AA284&lt;&gt;"")+(AG284&lt;&gt;"")+(AL284&lt;&gt;""))</f>
        <v>0</v>
      </c>
      <c r="AP284" s="82" t="str">
        <f aca="false">IF(AL284&lt;&gt;"",AL284,IF(AG284&lt;&gt;"",AG284,IF(AA284&lt;&gt;"",AA284,"")))</f>
        <v/>
      </c>
      <c r="AQ284" s="84" t="str">
        <f aca="false">IF(E284="","",IF(U284="","À SOUDER",IF(X284="","VT EN ATTENTE",IF(X284="R","VT REJETÉ – À REPRENDRE",IF(AP284="","À RADIOGRAPHIER",IF(AP284="A","ACCEPTÉ",IF(AP284="NX","NX – RT À REFAIRE",IF(IF(AO284=1,AD284,IF(AO284=2,AI284,""))="A","RÉPARÉ – À RADIOGRAPHIER",IF(IF(AO284=1,AD284,IF(AO284=2,AI284,""))="R","VT REJETÉ – À REPRENDRE",IF(OR(AP284="CO",AP284="NT"),"COUPE – À RESOUDER","À RÉPARER"))))))))))</f>
        <v>À SOUDER</v>
      </c>
      <c r="AR284" s="82" t="str">
        <f aca="false">IF(AND(ISNUMBER(U284),OR(AQ284="À RADIOGRAPHIER",AQ284="RÉPARÉ – À RADIOGRAPHIER",AQ284="NX – RT À REFAIRE",AQ284="À RÉPARER",AQ284="COUPE – À RESOUDER",AQ284="VT REJETÉ – À REPRENDRE")),MAX(0,'PROGRAMME RT'!$C$4-U284),"")</f>
        <v/>
      </c>
      <c r="AS284" s="82" t="n">
        <f aca="false">IF(AND(OR(AQ284="À RADIOGRAPHIER",AQ284="RÉPARÉ – À RADIOGRAPHIER",AQ284="NX – RT À REFAIRE"),OR('PROGRAMME RT'!$D$5="TOUTES",B284='PROGRAMME RT'!$D$5)),1,0)</f>
        <v>0</v>
      </c>
      <c r="AT284" s="82" t="str">
        <f aca="false">IF(AS284=1,SUM(AS$7:AS284),"")</f>
        <v/>
      </c>
      <c r="AU284" s="82" t="n">
        <f aca="false">IF(AND(OR(AA284="R",AA284="NX",AA284="NT",AA284="CO"),OR('JOINTS DE RÉPARATION'!$D$5="TOUTES",B284='JOINTS DE RÉPARATION'!$D$5),OR('JOINTS DE RÉPARATION'!$L$4="TOUS",AQ284&lt;&gt;"ACCEPTÉ")),1,0)</f>
        <v>0</v>
      </c>
      <c r="AV284" s="82" t="str">
        <f aca="false">IF(AU284=1,SUM(AU$7:AU284),"")</f>
        <v/>
      </c>
      <c r="AW284" s="82" t="str">
        <f aca="false">IF(E284="","",B284&amp;"|"&amp;E284)</f>
        <v>MFD-ISW → MFD-CPF|JN°278</v>
      </c>
    </row>
    <row r="285" customFormat="false" ht="74.6" hidden="false" customHeight="false" outlineLevel="0" collapsed="false">
      <c r="A285" s="79" t="n">
        <f aca="false">IF(E285="","",ROW()-6)</f>
        <v>279</v>
      </c>
      <c r="B285" s="80" t="s">
        <v>110</v>
      </c>
      <c r="C285" s="81"/>
      <c r="D285" s="81"/>
      <c r="E285" s="81" t="s">
        <v>389</v>
      </c>
      <c r="F285" s="82" t="str">
        <f aca="false">IF(E285="","",IF(LEFT(E285,2)="DJ","DJ","JN"))</f>
        <v>JN</v>
      </c>
      <c r="G285" s="81"/>
      <c r="H285" s="81"/>
      <c r="I285" s="81"/>
      <c r="J285" s="81"/>
      <c r="K285" s="81"/>
      <c r="L285" s="81"/>
      <c r="M285" s="81"/>
      <c r="N285" s="81"/>
      <c r="O285" s="81"/>
      <c r="P285" s="81"/>
      <c r="Q285" s="81"/>
      <c r="R285" s="81"/>
      <c r="S285" s="81"/>
      <c r="T285" s="81"/>
      <c r="U285" s="83"/>
      <c r="V285" s="83"/>
      <c r="W285" s="81"/>
      <c r="X285" s="81"/>
      <c r="Y285" s="83"/>
      <c r="Z285" s="81"/>
      <c r="AA285" s="81"/>
      <c r="AB285" s="81"/>
      <c r="AC285" s="81"/>
      <c r="AD285" s="81"/>
      <c r="AE285" s="83"/>
      <c r="AF285" s="81"/>
      <c r="AG285" s="81"/>
      <c r="AH285" s="81"/>
      <c r="AI285" s="81"/>
      <c r="AJ285" s="83"/>
      <c r="AK285" s="81"/>
      <c r="AL285" s="81"/>
      <c r="AM285" s="83"/>
      <c r="AN285" s="80"/>
      <c r="AO285" s="82" t="n">
        <f aca="false">IF(E285="","",(AA285&lt;&gt;"")+(AG285&lt;&gt;"")+(AL285&lt;&gt;""))</f>
        <v>0</v>
      </c>
      <c r="AP285" s="82" t="str">
        <f aca="false">IF(AL285&lt;&gt;"",AL285,IF(AG285&lt;&gt;"",AG285,IF(AA285&lt;&gt;"",AA285,"")))</f>
        <v/>
      </c>
      <c r="AQ285" s="84" t="str">
        <f aca="false">IF(E285="","",IF(U285="","À SOUDER",IF(X285="","VT EN ATTENTE",IF(X285="R","VT REJETÉ – À REPRENDRE",IF(AP285="","À RADIOGRAPHIER",IF(AP285="A","ACCEPTÉ",IF(AP285="NX","NX – RT À REFAIRE",IF(IF(AO285=1,AD285,IF(AO285=2,AI285,""))="A","RÉPARÉ – À RADIOGRAPHIER",IF(IF(AO285=1,AD285,IF(AO285=2,AI285,""))="R","VT REJETÉ – À REPRENDRE",IF(OR(AP285="CO",AP285="NT"),"COUPE – À RESOUDER","À RÉPARER"))))))))))</f>
        <v>À SOUDER</v>
      </c>
      <c r="AR285" s="82" t="str">
        <f aca="false">IF(AND(ISNUMBER(U285),OR(AQ285="À RADIOGRAPHIER",AQ285="RÉPARÉ – À RADIOGRAPHIER",AQ285="NX – RT À REFAIRE",AQ285="À RÉPARER",AQ285="COUPE – À RESOUDER",AQ285="VT REJETÉ – À REPRENDRE")),MAX(0,'PROGRAMME RT'!$C$4-U285),"")</f>
        <v/>
      </c>
      <c r="AS285" s="82" t="n">
        <f aca="false">IF(AND(OR(AQ285="À RADIOGRAPHIER",AQ285="RÉPARÉ – À RADIOGRAPHIER",AQ285="NX – RT À REFAIRE"),OR('PROGRAMME RT'!$D$5="TOUTES",B285='PROGRAMME RT'!$D$5)),1,0)</f>
        <v>0</v>
      </c>
      <c r="AT285" s="82" t="str">
        <f aca="false">IF(AS285=1,SUM(AS$7:AS285),"")</f>
        <v/>
      </c>
      <c r="AU285" s="82" t="n">
        <f aca="false">IF(AND(OR(AA285="R",AA285="NX",AA285="NT",AA285="CO"),OR('JOINTS DE RÉPARATION'!$D$5="TOUTES",B285='JOINTS DE RÉPARATION'!$D$5),OR('JOINTS DE RÉPARATION'!$L$4="TOUS",AQ285&lt;&gt;"ACCEPTÉ")),1,0)</f>
        <v>0</v>
      </c>
      <c r="AV285" s="82" t="str">
        <f aca="false">IF(AU285=1,SUM(AU$7:AU285),"")</f>
        <v/>
      </c>
      <c r="AW285" s="82" t="str">
        <f aca="false">IF(E285="","",B285&amp;"|"&amp;E285)</f>
        <v>MFD-ISW → MFD-CPF|JN°279</v>
      </c>
    </row>
    <row r="286" customFormat="false" ht="74.6" hidden="false" customHeight="false" outlineLevel="0" collapsed="false">
      <c r="A286" s="79" t="n">
        <f aca="false">IF(E286="","",ROW()-6)</f>
        <v>280</v>
      </c>
      <c r="B286" s="80" t="s">
        <v>110</v>
      </c>
      <c r="C286" s="81"/>
      <c r="D286" s="81"/>
      <c r="E286" s="81" t="s">
        <v>390</v>
      </c>
      <c r="F286" s="82" t="str">
        <f aca="false">IF(E286="","",IF(LEFT(E286,2)="DJ","DJ","JN"))</f>
        <v>JN</v>
      </c>
      <c r="G286" s="81"/>
      <c r="H286" s="81"/>
      <c r="I286" s="81"/>
      <c r="J286" s="81"/>
      <c r="K286" s="81"/>
      <c r="L286" s="81"/>
      <c r="M286" s="81"/>
      <c r="N286" s="81"/>
      <c r="O286" s="81"/>
      <c r="P286" s="81"/>
      <c r="Q286" s="81"/>
      <c r="R286" s="81"/>
      <c r="S286" s="81"/>
      <c r="T286" s="81"/>
      <c r="U286" s="83"/>
      <c r="V286" s="83"/>
      <c r="W286" s="81"/>
      <c r="X286" s="81"/>
      <c r="Y286" s="83"/>
      <c r="Z286" s="81"/>
      <c r="AA286" s="81"/>
      <c r="AB286" s="81"/>
      <c r="AC286" s="81"/>
      <c r="AD286" s="81"/>
      <c r="AE286" s="83"/>
      <c r="AF286" s="81"/>
      <c r="AG286" s="81"/>
      <c r="AH286" s="81"/>
      <c r="AI286" s="81"/>
      <c r="AJ286" s="83"/>
      <c r="AK286" s="81"/>
      <c r="AL286" s="81"/>
      <c r="AM286" s="83"/>
      <c r="AN286" s="80"/>
      <c r="AO286" s="82" t="n">
        <f aca="false">IF(E286="","",(AA286&lt;&gt;"")+(AG286&lt;&gt;"")+(AL286&lt;&gt;""))</f>
        <v>0</v>
      </c>
      <c r="AP286" s="82" t="str">
        <f aca="false">IF(AL286&lt;&gt;"",AL286,IF(AG286&lt;&gt;"",AG286,IF(AA286&lt;&gt;"",AA286,"")))</f>
        <v/>
      </c>
      <c r="AQ286" s="84" t="str">
        <f aca="false">IF(E286="","",IF(U286="","À SOUDER",IF(X286="","VT EN ATTENTE",IF(X286="R","VT REJETÉ – À REPRENDRE",IF(AP286="","À RADIOGRAPHIER",IF(AP286="A","ACCEPTÉ",IF(AP286="NX","NX – RT À REFAIRE",IF(IF(AO286=1,AD286,IF(AO286=2,AI286,""))="A","RÉPARÉ – À RADIOGRAPHIER",IF(IF(AO286=1,AD286,IF(AO286=2,AI286,""))="R","VT REJETÉ – À REPRENDRE",IF(OR(AP286="CO",AP286="NT"),"COUPE – À RESOUDER","À RÉPARER"))))))))))</f>
        <v>À SOUDER</v>
      </c>
      <c r="AR286" s="82" t="str">
        <f aca="false">IF(AND(ISNUMBER(U286),OR(AQ286="À RADIOGRAPHIER",AQ286="RÉPARÉ – À RADIOGRAPHIER",AQ286="NX – RT À REFAIRE",AQ286="À RÉPARER",AQ286="COUPE – À RESOUDER",AQ286="VT REJETÉ – À REPRENDRE")),MAX(0,'PROGRAMME RT'!$C$4-U286),"")</f>
        <v/>
      </c>
      <c r="AS286" s="82" t="n">
        <f aca="false">IF(AND(OR(AQ286="À RADIOGRAPHIER",AQ286="RÉPARÉ – À RADIOGRAPHIER",AQ286="NX – RT À REFAIRE"),OR('PROGRAMME RT'!$D$5="TOUTES",B286='PROGRAMME RT'!$D$5)),1,0)</f>
        <v>0</v>
      </c>
      <c r="AT286" s="82" t="str">
        <f aca="false">IF(AS286=1,SUM(AS$7:AS286),"")</f>
        <v/>
      </c>
      <c r="AU286" s="82" t="n">
        <f aca="false">IF(AND(OR(AA286="R",AA286="NX",AA286="NT",AA286="CO"),OR('JOINTS DE RÉPARATION'!$D$5="TOUTES",B286='JOINTS DE RÉPARATION'!$D$5),OR('JOINTS DE RÉPARATION'!$L$4="TOUS",AQ286&lt;&gt;"ACCEPTÉ")),1,0)</f>
        <v>0</v>
      </c>
      <c r="AV286" s="82" t="str">
        <f aca="false">IF(AU286=1,SUM(AU$7:AU286),"")</f>
        <v/>
      </c>
      <c r="AW286" s="82" t="str">
        <f aca="false">IF(E286="","",B286&amp;"|"&amp;E286)</f>
        <v>MFD-ISW → MFD-CPF|JN°280</v>
      </c>
    </row>
    <row r="287" customFormat="false" ht="74.6" hidden="false" customHeight="false" outlineLevel="0" collapsed="false">
      <c r="A287" s="79" t="n">
        <f aca="false">IF(E287="","",ROW()-6)</f>
        <v>281</v>
      </c>
      <c r="B287" s="80" t="s">
        <v>110</v>
      </c>
      <c r="C287" s="81"/>
      <c r="D287" s="81"/>
      <c r="E287" s="81" t="s">
        <v>391</v>
      </c>
      <c r="F287" s="82" t="str">
        <f aca="false">IF(E287="","",IF(LEFT(E287,2)="DJ","DJ","JN"))</f>
        <v>JN</v>
      </c>
      <c r="G287" s="81"/>
      <c r="H287" s="81"/>
      <c r="I287" s="81"/>
      <c r="J287" s="81"/>
      <c r="K287" s="81"/>
      <c r="L287" s="81"/>
      <c r="M287" s="81"/>
      <c r="N287" s="81"/>
      <c r="O287" s="81"/>
      <c r="P287" s="81"/>
      <c r="Q287" s="81"/>
      <c r="R287" s="81"/>
      <c r="S287" s="81"/>
      <c r="T287" s="81"/>
      <c r="U287" s="83"/>
      <c r="V287" s="83"/>
      <c r="W287" s="81"/>
      <c r="X287" s="81"/>
      <c r="Y287" s="83"/>
      <c r="Z287" s="81"/>
      <c r="AA287" s="81"/>
      <c r="AB287" s="81"/>
      <c r="AC287" s="81"/>
      <c r="AD287" s="81"/>
      <c r="AE287" s="83"/>
      <c r="AF287" s="81"/>
      <c r="AG287" s="81"/>
      <c r="AH287" s="81"/>
      <c r="AI287" s="81"/>
      <c r="AJ287" s="83"/>
      <c r="AK287" s="81"/>
      <c r="AL287" s="81"/>
      <c r="AM287" s="83"/>
      <c r="AN287" s="80"/>
      <c r="AO287" s="82" t="n">
        <f aca="false">IF(E287="","",(AA287&lt;&gt;"")+(AG287&lt;&gt;"")+(AL287&lt;&gt;""))</f>
        <v>0</v>
      </c>
      <c r="AP287" s="82" t="str">
        <f aca="false">IF(AL287&lt;&gt;"",AL287,IF(AG287&lt;&gt;"",AG287,IF(AA287&lt;&gt;"",AA287,"")))</f>
        <v/>
      </c>
      <c r="AQ287" s="84" t="str">
        <f aca="false">IF(E287="","",IF(U287="","À SOUDER",IF(X287="","VT EN ATTENTE",IF(X287="R","VT REJETÉ – À REPRENDRE",IF(AP287="","À RADIOGRAPHIER",IF(AP287="A","ACCEPTÉ",IF(AP287="NX","NX – RT À REFAIRE",IF(IF(AO287=1,AD287,IF(AO287=2,AI287,""))="A","RÉPARÉ – À RADIOGRAPHIER",IF(IF(AO287=1,AD287,IF(AO287=2,AI287,""))="R","VT REJETÉ – À REPRENDRE",IF(OR(AP287="CO",AP287="NT"),"COUPE – À RESOUDER","À RÉPARER"))))))))))</f>
        <v>À SOUDER</v>
      </c>
      <c r="AR287" s="82" t="str">
        <f aca="false">IF(AND(ISNUMBER(U287),OR(AQ287="À RADIOGRAPHIER",AQ287="RÉPARÉ – À RADIOGRAPHIER",AQ287="NX – RT À REFAIRE",AQ287="À RÉPARER",AQ287="COUPE – À RESOUDER",AQ287="VT REJETÉ – À REPRENDRE")),MAX(0,'PROGRAMME RT'!$C$4-U287),"")</f>
        <v/>
      </c>
      <c r="AS287" s="82" t="n">
        <f aca="false">IF(AND(OR(AQ287="À RADIOGRAPHIER",AQ287="RÉPARÉ – À RADIOGRAPHIER",AQ287="NX – RT À REFAIRE"),OR('PROGRAMME RT'!$D$5="TOUTES",B287='PROGRAMME RT'!$D$5)),1,0)</f>
        <v>0</v>
      </c>
      <c r="AT287" s="82" t="str">
        <f aca="false">IF(AS287=1,SUM(AS$7:AS287),"")</f>
        <v/>
      </c>
      <c r="AU287" s="82" t="n">
        <f aca="false">IF(AND(OR(AA287="R",AA287="NX",AA287="NT",AA287="CO"),OR('JOINTS DE RÉPARATION'!$D$5="TOUTES",B287='JOINTS DE RÉPARATION'!$D$5),OR('JOINTS DE RÉPARATION'!$L$4="TOUS",AQ287&lt;&gt;"ACCEPTÉ")),1,0)</f>
        <v>0</v>
      </c>
      <c r="AV287" s="82" t="str">
        <f aca="false">IF(AU287=1,SUM(AU$7:AU287),"")</f>
        <v/>
      </c>
      <c r="AW287" s="82" t="str">
        <f aca="false">IF(E287="","",B287&amp;"|"&amp;E287)</f>
        <v>MFD-ISW → MFD-CPF|JN°281</v>
      </c>
    </row>
    <row r="288" customFormat="false" ht="74.6" hidden="false" customHeight="false" outlineLevel="0" collapsed="false">
      <c r="A288" s="79" t="n">
        <f aca="false">IF(E288="","",ROW()-6)</f>
        <v>282</v>
      </c>
      <c r="B288" s="80" t="s">
        <v>110</v>
      </c>
      <c r="C288" s="81"/>
      <c r="D288" s="81"/>
      <c r="E288" s="81" t="s">
        <v>392</v>
      </c>
      <c r="F288" s="82" t="str">
        <f aca="false">IF(E288="","",IF(LEFT(E288,2)="DJ","DJ","JN"))</f>
        <v>JN</v>
      </c>
      <c r="G288" s="81"/>
      <c r="H288" s="81"/>
      <c r="I288" s="81"/>
      <c r="J288" s="81"/>
      <c r="K288" s="81"/>
      <c r="L288" s="81"/>
      <c r="M288" s="81"/>
      <c r="N288" s="81"/>
      <c r="O288" s="81"/>
      <c r="P288" s="81"/>
      <c r="Q288" s="81"/>
      <c r="R288" s="81"/>
      <c r="S288" s="81"/>
      <c r="T288" s="81"/>
      <c r="U288" s="83"/>
      <c r="V288" s="83"/>
      <c r="W288" s="81"/>
      <c r="X288" s="81"/>
      <c r="Y288" s="83"/>
      <c r="Z288" s="81"/>
      <c r="AA288" s="81"/>
      <c r="AB288" s="81"/>
      <c r="AC288" s="81"/>
      <c r="AD288" s="81"/>
      <c r="AE288" s="83"/>
      <c r="AF288" s="81"/>
      <c r="AG288" s="81"/>
      <c r="AH288" s="81"/>
      <c r="AI288" s="81"/>
      <c r="AJ288" s="83"/>
      <c r="AK288" s="81"/>
      <c r="AL288" s="81"/>
      <c r="AM288" s="83"/>
      <c r="AN288" s="80"/>
      <c r="AO288" s="82" t="n">
        <f aca="false">IF(E288="","",(AA288&lt;&gt;"")+(AG288&lt;&gt;"")+(AL288&lt;&gt;""))</f>
        <v>0</v>
      </c>
      <c r="AP288" s="82" t="str">
        <f aca="false">IF(AL288&lt;&gt;"",AL288,IF(AG288&lt;&gt;"",AG288,IF(AA288&lt;&gt;"",AA288,"")))</f>
        <v/>
      </c>
      <c r="AQ288" s="84" t="str">
        <f aca="false">IF(E288="","",IF(U288="","À SOUDER",IF(X288="","VT EN ATTENTE",IF(X288="R","VT REJETÉ – À REPRENDRE",IF(AP288="","À RADIOGRAPHIER",IF(AP288="A","ACCEPTÉ",IF(AP288="NX","NX – RT À REFAIRE",IF(IF(AO288=1,AD288,IF(AO288=2,AI288,""))="A","RÉPARÉ – À RADIOGRAPHIER",IF(IF(AO288=1,AD288,IF(AO288=2,AI288,""))="R","VT REJETÉ – À REPRENDRE",IF(OR(AP288="CO",AP288="NT"),"COUPE – À RESOUDER","À RÉPARER"))))))))))</f>
        <v>À SOUDER</v>
      </c>
      <c r="AR288" s="82" t="str">
        <f aca="false">IF(AND(ISNUMBER(U288),OR(AQ288="À RADIOGRAPHIER",AQ288="RÉPARÉ – À RADIOGRAPHIER",AQ288="NX – RT À REFAIRE",AQ288="À RÉPARER",AQ288="COUPE – À RESOUDER",AQ288="VT REJETÉ – À REPRENDRE")),MAX(0,'PROGRAMME RT'!$C$4-U288),"")</f>
        <v/>
      </c>
      <c r="AS288" s="82" t="n">
        <f aca="false">IF(AND(OR(AQ288="À RADIOGRAPHIER",AQ288="RÉPARÉ – À RADIOGRAPHIER",AQ288="NX – RT À REFAIRE"),OR('PROGRAMME RT'!$D$5="TOUTES",B288='PROGRAMME RT'!$D$5)),1,0)</f>
        <v>0</v>
      </c>
      <c r="AT288" s="82" t="str">
        <f aca="false">IF(AS288=1,SUM(AS$7:AS288),"")</f>
        <v/>
      </c>
      <c r="AU288" s="82" t="n">
        <f aca="false">IF(AND(OR(AA288="R",AA288="NX",AA288="NT",AA288="CO"),OR('JOINTS DE RÉPARATION'!$D$5="TOUTES",B288='JOINTS DE RÉPARATION'!$D$5),OR('JOINTS DE RÉPARATION'!$L$4="TOUS",AQ288&lt;&gt;"ACCEPTÉ")),1,0)</f>
        <v>0</v>
      </c>
      <c r="AV288" s="82" t="str">
        <f aca="false">IF(AU288=1,SUM(AU$7:AU288),"")</f>
        <v/>
      </c>
      <c r="AW288" s="82" t="str">
        <f aca="false">IF(E288="","",B288&amp;"|"&amp;E288)</f>
        <v>MFD-ISW → MFD-CPF|JN°282</v>
      </c>
    </row>
    <row r="289" customFormat="false" ht="74.6" hidden="false" customHeight="false" outlineLevel="0" collapsed="false">
      <c r="A289" s="79" t="n">
        <f aca="false">IF(E289="","",ROW()-6)</f>
        <v>283</v>
      </c>
      <c r="B289" s="80" t="s">
        <v>110</v>
      </c>
      <c r="C289" s="81"/>
      <c r="D289" s="81"/>
      <c r="E289" s="81" t="s">
        <v>393</v>
      </c>
      <c r="F289" s="82" t="str">
        <f aca="false">IF(E289="","",IF(LEFT(E289,2)="DJ","DJ","JN"))</f>
        <v>JN</v>
      </c>
      <c r="G289" s="81"/>
      <c r="H289" s="81"/>
      <c r="I289" s="81"/>
      <c r="J289" s="81"/>
      <c r="K289" s="81"/>
      <c r="L289" s="81"/>
      <c r="M289" s="81"/>
      <c r="N289" s="81"/>
      <c r="O289" s="81"/>
      <c r="P289" s="81"/>
      <c r="Q289" s="81"/>
      <c r="R289" s="81"/>
      <c r="S289" s="81"/>
      <c r="T289" s="81"/>
      <c r="U289" s="83"/>
      <c r="V289" s="83"/>
      <c r="W289" s="81"/>
      <c r="X289" s="81"/>
      <c r="Y289" s="83"/>
      <c r="Z289" s="81"/>
      <c r="AA289" s="81"/>
      <c r="AB289" s="81"/>
      <c r="AC289" s="81"/>
      <c r="AD289" s="81"/>
      <c r="AE289" s="83"/>
      <c r="AF289" s="81"/>
      <c r="AG289" s="81"/>
      <c r="AH289" s="81"/>
      <c r="AI289" s="81"/>
      <c r="AJ289" s="83"/>
      <c r="AK289" s="81"/>
      <c r="AL289" s="81"/>
      <c r="AM289" s="83"/>
      <c r="AN289" s="80"/>
      <c r="AO289" s="82" t="n">
        <f aca="false">IF(E289="","",(AA289&lt;&gt;"")+(AG289&lt;&gt;"")+(AL289&lt;&gt;""))</f>
        <v>0</v>
      </c>
      <c r="AP289" s="82" t="str">
        <f aca="false">IF(AL289&lt;&gt;"",AL289,IF(AG289&lt;&gt;"",AG289,IF(AA289&lt;&gt;"",AA289,"")))</f>
        <v/>
      </c>
      <c r="AQ289" s="84" t="str">
        <f aca="false">IF(E289="","",IF(U289="","À SOUDER",IF(X289="","VT EN ATTENTE",IF(X289="R","VT REJETÉ – À REPRENDRE",IF(AP289="","À RADIOGRAPHIER",IF(AP289="A","ACCEPTÉ",IF(AP289="NX","NX – RT À REFAIRE",IF(IF(AO289=1,AD289,IF(AO289=2,AI289,""))="A","RÉPARÉ – À RADIOGRAPHIER",IF(IF(AO289=1,AD289,IF(AO289=2,AI289,""))="R","VT REJETÉ – À REPRENDRE",IF(OR(AP289="CO",AP289="NT"),"COUPE – À RESOUDER","À RÉPARER"))))))))))</f>
        <v>À SOUDER</v>
      </c>
      <c r="AR289" s="82" t="str">
        <f aca="false">IF(AND(ISNUMBER(U289),OR(AQ289="À RADIOGRAPHIER",AQ289="RÉPARÉ – À RADIOGRAPHIER",AQ289="NX – RT À REFAIRE",AQ289="À RÉPARER",AQ289="COUPE – À RESOUDER",AQ289="VT REJETÉ – À REPRENDRE")),MAX(0,'PROGRAMME RT'!$C$4-U289),"")</f>
        <v/>
      </c>
      <c r="AS289" s="82" t="n">
        <f aca="false">IF(AND(OR(AQ289="À RADIOGRAPHIER",AQ289="RÉPARÉ – À RADIOGRAPHIER",AQ289="NX – RT À REFAIRE"),OR('PROGRAMME RT'!$D$5="TOUTES",B289='PROGRAMME RT'!$D$5)),1,0)</f>
        <v>0</v>
      </c>
      <c r="AT289" s="82" t="str">
        <f aca="false">IF(AS289=1,SUM(AS$7:AS289),"")</f>
        <v/>
      </c>
      <c r="AU289" s="82" t="n">
        <f aca="false">IF(AND(OR(AA289="R",AA289="NX",AA289="NT",AA289="CO"),OR('JOINTS DE RÉPARATION'!$D$5="TOUTES",B289='JOINTS DE RÉPARATION'!$D$5),OR('JOINTS DE RÉPARATION'!$L$4="TOUS",AQ289&lt;&gt;"ACCEPTÉ")),1,0)</f>
        <v>0</v>
      </c>
      <c r="AV289" s="82" t="str">
        <f aca="false">IF(AU289=1,SUM(AU$7:AU289),"")</f>
        <v/>
      </c>
      <c r="AW289" s="82" t="str">
        <f aca="false">IF(E289="","",B289&amp;"|"&amp;E289)</f>
        <v>MFD-ISW → MFD-CPF|JN°283</v>
      </c>
    </row>
    <row r="290" customFormat="false" ht="74.6" hidden="false" customHeight="false" outlineLevel="0" collapsed="false">
      <c r="A290" s="79" t="n">
        <f aca="false">IF(E290="","",ROW()-6)</f>
        <v>284</v>
      </c>
      <c r="B290" s="80" t="s">
        <v>110</v>
      </c>
      <c r="C290" s="81"/>
      <c r="D290" s="81"/>
      <c r="E290" s="81" t="s">
        <v>394</v>
      </c>
      <c r="F290" s="82" t="str">
        <f aca="false">IF(E290="","",IF(LEFT(E290,2)="DJ","DJ","JN"))</f>
        <v>JN</v>
      </c>
      <c r="G290" s="81"/>
      <c r="H290" s="81"/>
      <c r="I290" s="81"/>
      <c r="J290" s="81"/>
      <c r="K290" s="81"/>
      <c r="L290" s="81"/>
      <c r="M290" s="81"/>
      <c r="N290" s="81"/>
      <c r="O290" s="81"/>
      <c r="P290" s="81"/>
      <c r="Q290" s="81"/>
      <c r="R290" s="81"/>
      <c r="S290" s="81"/>
      <c r="T290" s="81"/>
      <c r="U290" s="83"/>
      <c r="V290" s="83"/>
      <c r="W290" s="81"/>
      <c r="X290" s="81"/>
      <c r="Y290" s="83"/>
      <c r="Z290" s="81"/>
      <c r="AA290" s="81"/>
      <c r="AB290" s="81"/>
      <c r="AC290" s="81"/>
      <c r="AD290" s="81"/>
      <c r="AE290" s="83"/>
      <c r="AF290" s="81"/>
      <c r="AG290" s="81"/>
      <c r="AH290" s="81"/>
      <c r="AI290" s="81"/>
      <c r="AJ290" s="83"/>
      <c r="AK290" s="81"/>
      <c r="AL290" s="81"/>
      <c r="AM290" s="83"/>
      <c r="AN290" s="80"/>
      <c r="AO290" s="82" t="n">
        <f aca="false">IF(E290="","",(AA290&lt;&gt;"")+(AG290&lt;&gt;"")+(AL290&lt;&gt;""))</f>
        <v>0</v>
      </c>
      <c r="AP290" s="82" t="str">
        <f aca="false">IF(AL290&lt;&gt;"",AL290,IF(AG290&lt;&gt;"",AG290,IF(AA290&lt;&gt;"",AA290,"")))</f>
        <v/>
      </c>
      <c r="AQ290" s="84" t="str">
        <f aca="false">IF(E290="","",IF(U290="","À SOUDER",IF(X290="","VT EN ATTENTE",IF(X290="R","VT REJETÉ – À REPRENDRE",IF(AP290="","À RADIOGRAPHIER",IF(AP290="A","ACCEPTÉ",IF(AP290="NX","NX – RT À REFAIRE",IF(IF(AO290=1,AD290,IF(AO290=2,AI290,""))="A","RÉPARÉ – À RADIOGRAPHIER",IF(IF(AO290=1,AD290,IF(AO290=2,AI290,""))="R","VT REJETÉ – À REPRENDRE",IF(OR(AP290="CO",AP290="NT"),"COUPE – À RESOUDER","À RÉPARER"))))))))))</f>
        <v>À SOUDER</v>
      </c>
      <c r="AR290" s="82" t="str">
        <f aca="false">IF(AND(ISNUMBER(U290),OR(AQ290="À RADIOGRAPHIER",AQ290="RÉPARÉ – À RADIOGRAPHIER",AQ290="NX – RT À REFAIRE",AQ290="À RÉPARER",AQ290="COUPE – À RESOUDER",AQ290="VT REJETÉ – À REPRENDRE")),MAX(0,'PROGRAMME RT'!$C$4-U290),"")</f>
        <v/>
      </c>
      <c r="AS290" s="82" t="n">
        <f aca="false">IF(AND(OR(AQ290="À RADIOGRAPHIER",AQ290="RÉPARÉ – À RADIOGRAPHIER",AQ290="NX – RT À REFAIRE"),OR('PROGRAMME RT'!$D$5="TOUTES",B290='PROGRAMME RT'!$D$5)),1,0)</f>
        <v>0</v>
      </c>
      <c r="AT290" s="82" t="str">
        <f aca="false">IF(AS290=1,SUM(AS$7:AS290),"")</f>
        <v/>
      </c>
      <c r="AU290" s="82" t="n">
        <f aca="false">IF(AND(OR(AA290="R",AA290="NX",AA290="NT",AA290="CO"),OR('JOINTS DE RÉPARATION'!$D$5="TOUTES",B290='JOINTS DE RÉPARATION'!$D$5),OR('JOINTS DE RÉPARATION'!$L$4="TOUS",AQ290&lt;&gt;"ACCEPTÉ")),1,0)</f>
        <v>0</v>
      </c>
      <c r="AV290" s="82" t="str">
        <f aca="false">IF(AU290=1,SUM(AU$7:AU290),"")</f>
        <v/>
      </c>
      <c r="AW290" s="82" t="str">
        <f aca="false">IF(E290="","",B290&amp;"|"&amp;E290)</f>
        <v>MFD-ISW → MFD-CPF|JN°284</v>
      </c>
    </row>
    <row r="291" customFormat="false" ht="74.6" hidden="false" customHeight="false" outlineLevel="0" collapsed="false">
      <c r="A291" s="79" t="n">
        <f aca="false">IF(E291="","",ROW()-6)</f>
        <v>285</v>
      </c>
      <c r="B291" s="80" t="s">
        <v>110</v>
      </c>
      <c r="C291" s="81"/>
      <c r="D291" s="81"/>
      <c r="E291" s="81" t="s">
        <v>395</v>
      </c>
      <c r="F291" s="82" t="str">
        <f aca="false">IF(E291="","",IF(LEFT(E291,2)="DJ","DJ","JN"))</f>
        <v>JN</v>
      </c>
      <c r="G291" s="81"/>
      <c r="H291" s="81"/>
      <c r="I291" s="81"/>
      <c r="J291" s="81"/>
      <c r="K291" s="81"/>
      <c r="L291" s="81"/>
      <c r="M291" s="81"/>
      <c r="N291" s="81"/>
      <c r="O291" s="81"/>
      <c r="P291" s="81"/>
      <c r="Q291" s="81"/>
      <c r="R291" s="81"/>
      <c r="S291" s="81"/>
      <c r="T291" s="81"/>
      <c r="U291" s="83"/>
      <c r="V291" s="83"/>
      <c r="W291" s="81"/>
      <c r="X291" s="81"/>
      <c r="Y291" s="83"/>
      <c r="Z291" s="81"/>
      <c r="AA291" s="81"/>
      <c r="AB291" s="81"/>
      <c r="AC291" s="81"/>
      <c r="AD291" s="81"/>
      <c r="AE291" s="83"/>
      <c r="AF291" s="81"/>
      <c r="AG291" s="81"/>
      <c r="AH291" s="81"/>
      <c r="AI291" s="81"/>
      <c r="AJ291" s="83"/>
      <c r="AK291" s="81"/>
      <c r="AL291" s="81"/>
      <c r="AM291" s="83"/>
      <c r="AN291" s="80"/>
      <c r="AO291" s="82" t="n">
        <f aca="false">IF(E291="","",(AA291&lt;&gt;"")+(AG291&lt;&gt;"")+(AL291&lt;&gt;""))</f>
        <v>0</v>
      </c>
      <c r="AP291" s="82" t="str">
        <f aca="false">IF(AL291&lt;&gt;"",AL291,IF(AG291&lt;&gt;"",AG291,IF(AA291&lt;&gt;"",AA291,"")))</f>
        <v/>
      </c>
      <c r="AQ291" s="84" t="str">
        <f aca="false">IF(E291="","",IF(U291="","À SOUDER",IF(X291="","VT EN ATTENTE",IF(X291="R","VT REJETÉ – À REPRENDRE",IF(AP291="","À RADIOGRAPHIER",IF(AP291="A","ACCEPTÉ",IF(AP291="NX","NX – RT À REFAIRE",IF(IF(AO291=1,AD291,IF(AO291=2,AI291,""))="A","RÉPARÉ – À RADIOGRAPHIER",IF(IF(AO291=1,AD291,IF(AO291=2,AI291,""))="R","VT REJETÉ – À REPRENDRE",IF(OR(AP291="CO",AP291="NT"),"COUPE – À RESOUDER","À RÉPARER"))))))))))</f>
        <v>À SOUDER</v>
      </c>
      <c r="AR291" s="82" t="str">
        <f aca="false">IF(AND(ISNUMBER(U291),OR(AQ291="À RADIOGRAPHIER",AQ291="RÉPARÉ – À RADIOGRAPHIER",AQ291="NX – RT À REFAIRE",AQ291="À RÉPARER",AQ291="COUPE – À RESOUDER",AQ291="VT REJETÉ – À REPRENDRE")),MAX(0,'PROGRAMME RT'!$C$4-U291),"")</f>
        <v/>
      </c>
      <c r="AS291" s="82" t="n">
        <f aca="false">IF(AND(OR(AQ291="À RADIOGRAPHIER",AQ291="RÉPARÉ – À RADIOGRAPHIER",AQ291="NX – RT À REFAIRE"),OR('PROGRAMME RT'!$D$5="TOUTES",B291='PROGRAMME RT'!$D$5)),1,0)</f>
        <v>0</v>
      </c>
      <c r="AT291" s="82" t="str">
        <f aca="false">IF(AS291=1,SUM(AS$7:AS291),"")</f>
        <v/>
      </c>
      <c r="AU291" s="82" t="n">
        <f aca="false">IF(AND(OR(AA291="R",AA291="NX",AA291="NT",AA291="CO"),OR('JOINTS DE RÉPARATION'!$D$5="TOUTES",B291='JOINTS DE RÉPARATION'!$D$5),OR('JOINTS DE RÉPARATION'!$L$4="TOUS",AQ291&lt;&gt;"ACCEPTÉ")),1,0)</f>
        <v>0</v>
      </c>
      <c r="AV291" s="82" t="str">
        <f aca="false">IF(AU291=1,SUM(AU$7:AU291),"")</f>
        <v/>
      </c>
      <c r="AW291" s="82" t="str">
        <f aca="false">IF(E291="","",B291&amp;"|"&amp;E291)</f>
        <v>MFD-ISW → MFD-CPF|JN°285</v>
      </c>
    </row>
    <row r="292" customFormat="false" ht="74.6" hidden="false" customHeight="false" outlineLevel="0" collapsed="false">
      <c r="A292" s="79" t="n">
        <f aca="false">IF(E292="","",ROW()-6)</f>
        <v>286</v>
      </c>
      <c r="B292" s="80" t="s">
        <v>110</v>
      </c>
      <c r="C292" s="81"/>
      <c r="D292" s="81"/>
      <c r="E292" s="81" t="s">
        <v>396</v>
      </c>
      <c r="F292" s="82" t="str">
        <f aca="false">IF(E292="","",IF(LEFT(E292,2)="DJ","DJ","JN"))</f>
        <v>JN</v>
      </c>
      <c r="G292" s="81"/>
      <c r="H292" s="81"/>
      <c r="I292" s="81"/>
      <c r="J292" s="81"/>
      <c r="K292" s="81"/>
      <c r="L292" s="81"/>
      <c r="M292" s="81"/>
      <c r="N292" s="81"/>
      <c r="O292" s="81"/>
      <c r="P292" s="81"/>
      <c r="Q292" s="81"/>
      <c r="R292" s="81"/>
      <c r="S292" s="81"/>
      <c r="T292" s="81"/>
      <c r="U292" s="83"/>
      <c r="V292" s="83"/>
      <c r="W292" s="81"/>
      <c r="X292" s="81"/>
      <c r="Y292" s="83"/>
      <c r="Z292" s="81"/>
      <c r="AA292" s="81"/>
      <c r="AB292" s="81"/>
      <c r="AC292" s="81"/>
      <c r="AD292" s="81"/>
      <c r="AE292" s="83"/>
      <c r="AF292" s="81"/>
      <c r="AG292" s="81"/>
      <c r="AH292" s="81"/>
      <c r="AI292" s="81"/>
      <c r="AJ292" s="83"/>
      <c r="AK292" s="81"/>
      <c r="AL292" s="81"/>
      <c r="AM292" s="83"/>
      <c r="AN292" s="80"/>
      <c r="AO292" s="82" t="n">
        <f aca="false">IF(E292="","",(AA292&lt;&gt;"")+(AG292&lt;&gt;"")+(AL292&lt;&gt;""))</f>
        <v>0</v>
      </c>
      <c r="AP292" s="82" t="str">
        <f aca="false">IF(AL292&lt;&gt;"",AL292,IF(AG292&lt;&gt;"",AG292,IF(AA292&lt;&gt;"",AA292,"")))</f>
        <v/>
      </c>
      <c r="AQ292" s="84" t="str">
        <f aca="false">IF(E292="","",IF(U292="","À SOUDER",IF(X292="","VT EN ATTENTE",IF(X292="R","VT REJETÉ – À REPRENDRE",IF(AP292="","À RADIOGRAPHIER",IF(AP292="A","ACCEPTÉ",IF(AP292="NX","NX – RT À REFAIRE",IF(IF(AO292=1,AD292,IF(AO292=2,AI292,""))="A","RÉPARÉ – À RADIOGRAPHIER",IF(IF(AO292=1,AD292,IF(AO292=2,AI292,""))="R","VT REJETÉ – À REPRENDRE",IF(OR(AP292="CO",AP292="NT"),"COUPE – À RESOUDER","À RÉPARER"))))))))))</f>
        <v>À SOUDER</v>
      </c>
      <c r="AR292" s="82" t="str">
        <f aca="false">IF(AND(ISNUMBER(U292),OR(AQ292="À RADIOGRAPHIER",AQ292="RÉPARÉ – À RADIOGRAPHIER",AQ292="NX – RT À REFAIRE",AQ292="À RÉPARER",AQ292="COUPE – À RESOUDER",AQ292="VT REJETÉ – À REPRENDRE")),MAX(0,'PROGRAMME RT'!$C$4-U292),"")</f>
        <v/>
      </c>
      <c r="AS292" s="82" t="n">
        <f aca="false">IF(AND(OR(AQ292="À RADIOGRAPHIER",AQ292="RÉPARÉ – À RADIOGRAPHIER",AQ292="NX – RT À REFAIRE"),OR('PROGRAMME RT'!$D$5="TOUTES",B292='PROGRAMME RT'!$D$5)),1,0)</f>
        <v>0</v>
      </c>
      <c r="AT292" s="82" t="str">
        <f aca="false">IF(AS292=1,SUM(AS$7:AS292),"")</f>
        <v/>
      </c>
      <c r="AU292" s="82" t="n">
        <f aca="false">IF(AND(OR(AA292="R",AA292="NX",AA292="NT",AA292="CO"),OR('JOINTS DE RÉPARATION'!$D$5="TOUTES",B292='JOINTS DE RÉPARATION'!$D$5),OR('JOINTS DE RÉPARATION'!$L$4="TOUS",AQ292&lt;&gt;"ACCEPTÉ")),1,0)</f>
        <v>0</v>
      </c>
      <c r="AV292" s="82" t="str">
        <f aca="false">IF(AU292=1,SUM(AU$7:AU292),"")</f>
        <v/>
      </c>
      <c r="AW292" s="82" t="str">
        <f aca="false">IF(E292="","",B292&amp;"|"&amp;E292)</f>
        <v>MFD-ISW → MFD-CPF|JN°286</v>
      </c>
    </row>
    <row r="293" customFormat="false" ht="74.6" hidden="false" customHeight="false" outlineLevel="0" collapsed="false">
      <c r="A293" s="79" t="n">
        <f aca="false">IF(E293="","",ROW()-6)</f>
        <v>287</v>
      </c>
      <c r="B293" s="80" t="s">
        <v>110</v>
      </c>
      <c r="C293" s="81"/>
      <c r="D293" s="81"/>
      <c r="E293" s="81" t="s">
        <v>397</v>
      </c>
      <c r="F293" s="82" t="str">
        <f aca="false">IF(E293="","",IF(LEFT(E293,2)="DJ","DJ","JN"))</f>
        <v>JN</v>
      </c>
      <c r="G293" s="81"/>
      <c r="H293" s="81"/>
      <c r="I293" s="81"/>
      <c r="J293" s="81"/>
      <c r="K293" s="81"/>
      <c r="L293" s="81"/>
      <c r="M293" s="81"/>
      <c r="N293" s="81"/>
      <c r="O293" s="81"/>
      <c r="P293" s="81"/>
      <c r="Q293" s="81"/>
      <c r="R293" s="81"/>
      <c r="S293" s="81"/>
      <c r="T293" s="81"/>
      <c r="U293" s="83"/>
      <c r="V293" s="83"/>
      <c r="W293" s="81"/>
      <c r="X293" s="81"/>
      <c r="Y293" s="83"/>
      <c r="Z293" s="81"/>
      <c r="AA293" s="81"/>
      <c r="AB293" s="81"/>
      <c r="AC293" s="81"/>
      <c r="AD293" s="81"/>
      <c r="AE293" s="83"/>
      <c r="AF293" s="81"/>
      <c r="AG293" s="81"/>
      <c r="AH293" s="81"/>
      <c r="AI293" s="81"/>
      <c r="AJ293" s="83"/>
      <c r="AK293" s="81"/>
      <c r="AL293" s="81"/>
      <c r="AM293" s="83"/>
      <c r="AN293" s="80"/>
      <c r="AO293" s="82" t="n">
        <f aca="false">IF(E293="","",(AA293&lt;&gt;"")+(AG293&lt;&gt;"")+(AL293&lt;&gt;""))</f>
        <v>0</v>
      </c>
      <c r="AP293" s="82" t="str">
        <f aca="false">IF(AL293&lt;&gt;"",AL293,IF(AG293&lt;&gt;"",AG293,IF(AA293&lt;&gt;"",AA293,"")))</f>
        <v/>
      </c>
      <c r="AQ293" s="84" t="str">
        <f aca="false">IF(E293="","",IF(U293="","À SOUDER",IF(X293="","VT EN ATTENTE",IF(X293="R","VT REJETÉ – À REPRENDRE",IF(AP293="","À RADIOGRAPHIER",IF(AP293="A","ACCEPTÉ",IF(AP293="NX","NX – RT À REFAIRE",IF(IF(AO293=1,AD293,IF(AO293=2,AI293,""))="A","RÉPARÉ – À RADIOGRAPHIER",IF(IF(AO293=1,AD293,IF(AO293=2,AI293,""))="R","VT REJETÉ – À REPRENDRE",IF(OR(AP293="CO",AP293="NT"),"COUPE – À RESOUDER","À RÉPARER"))))))))))</f>
        <v>À SOUDER</v>
      </c>
      <c r="AR293" s="82" t="str">
        <f aca="false">IF(AND(ISNUMBER(U293),OR(AQ293="À RADIOGRAPHIER",AQ293="RÉPARÉ – À RADIOGRAPHIER",AQ293="NX – RT À REFAIRE",AQ293="À RÉPARER",AQ293="COUPE – À RESOUDER",AQ293="VT REJETÉ – À REPRENDRE")),MAX(0,'PROGRAMME RT'!$C$4-U293),"")</f>
        <v/>
      </c>
      <c r="AS293" s="82" t="n">
        <f aca="false">IF(AND(OR(AQ293="À RADIOGRAPHIER",AQ293="RÉPARÉ – À RADIOGRAPHIER",AQ293="NX – RT À REFAIRE"),OR('PROGRAMME RT'!$D$5="TOUTES",B293='PROGRAMME RT'!$D$5)),1,0)</f>
        <v>0</v>
      </c>
      <c r="AT293" s="82" t="str">
        <f aca="false">IF(AS293=1,SUM(AS$7:AS293),"")</f>
        <v/>
      </c>
      <c r="AU293" s="82" t="n">
        <f aca="false">IF(AND(OR(AA293="R",AA293="NX",AA293="NT",AA293="CO"),OR('JOINTS DE RÉPARATION'!$D$5="TOUTES",B293='JOINTS DE RÉPARATION'!$D$5),OR('JOINTS DE RÉPARATION'!$L$4="TOUS",AQ293&lt;&gt;"ACCEPTÉ")),1,0)</f>
        <v>0</v>
      </c>
      <c r="AV293" s="82" t="str">
        <f aca="false">IF(AU293=1,SUM(AU$7:AU293),"")</f>
        <v/>
      </c>
      <c r="AW293" s="82" t="str">
        <f aca="false">IF(E293="","",B293&amp;"|"&amp;E293)</f>
        <v>MFD-ISW → MFD-CPF|JN°287</v>
      </c>
    </row>
    <row r="294" customFormat="false" ht="74.6" hidden="false" customHeight="false" outlineLevel="0" collapsed="false">
      <c r="A294" s="79" t="n">
        <f aca="false">IF(E294="","",ROW()-6)</f>
        <v>288</v>
      </c>
      <c r="B294" s="80" t="s">
        <v>110</v>
      </c>
      <c r="C294" s="81"/>
      <c r="D294" s="81"/>
      <c r="E294" s="81" t="s">
        <v>398</v>
      </c>
      <c r="F294" s="82" t="str">
        <f aca="false">IF(E294="","",IF(LEFT(E294,2)="DJ","DJ","JN"))</f>
        <v>JN</v>
      </c>
      <c r="G294" s="81"/>
      <c r="H294" s="81"/>
      <c r="I294" s="81"/>
      <c r="J294" s="81"/>
      <c r="K294" s="81"/>
      <c r="L294" s="81"/>
      <c r="M294" s="81"/>
      <c r="N294" s="81"/>
      <c r="O294" s="81"/>
      <c r="P294" s="81"/>
      <c r="Q294" s="81"/>
      <c r="R294" s="81"/>
      <c r="S294" s="81"/>
      <c r="T294" s="81"/>
      <c r="U294" s="83"/>
      <c r="V294" s="83"/>
      <c r="W294" s="81"/>
      <c r="X294" s="81"/>
      <c r="Y294" s="83"/>
      <c r="Z294" s="81"/>
      <c r="AA294" s="81"/>
      <c r="AB294" s="81"/>
      <c r="AC294" s="81"/>
      <c r="AD294" s="81"/>
      <c r="AE294" s="83"/>
      <c r="AF294" s="81"/>
      <c r="AG294" s="81"/>
      <c r="AH294" s="81"/>
      <c r="AI294" s="81"/>
      <c r="AJ294" s="83"/>
      <c r="AK294" s="81"/>
      <c r="AL294" s="81"/>
      <c r="AM294" s="83"/>
      <c r="AN294" s="80"/>
      <c r="AO294" s="82" t="n">
        <f aca="false">IF(E294="","",(AA294&lt;&gt;"")+(AG294&lt;&gt;"")+(AL294&lt;&gt;""))</f>
        <v>0</v>
      </c>
      <c r="AP294" s="82" t="str">
        <f aca="false">IF(AL294&lt;&gt;"",AL294,IF(AG294&lt;&gt;"",AG294,IF(AA294&lt;&gt;"",AA294,"")))</f>
        <v/>
      </c>
      <c r="AQ294" s="84" t="str">
        <f aca="false">IF(E294="","",IF(U294="","À SOUDER",IF(X294="","VT EN ATTENTE",IF(X294="R","VT REJETÉ – À REPRENDRE",IF(AP294="","À RADIOGRAPHIER",IF(AP294="A","ACCEPTÉ",IF(AP294="NX","NX – RT À REFAIRE",IF(IF(AO294=1,AD294,IF(AO294=2,AI294,""))="A","RÉPARÉ – À RADIOGRAPHIER",IF(IF(AO294=1,AD294,IF(AO294=2,AI294,""))="R","VT REJETÉ – À REPRENDRE",IF(OR(AP294="CO",AP294="NT"),"COUPE – À RESOUDER","À RÉPARER"))))))))))</f>
        <v>À SOUDER</v>
      </c>
      <c r="AR294" s="82" t="str">
        <f aca="false">IF(AND(ISNUMBER(U294),OR(AQ294="À RADIOGRAPHIER",AQ294="RÉPARÉ – À RADIOGRAPHIER",AQ294="NX – RT À REFAIRE",AQ294="À RÉPARER",AQ294="COUPE – À RESOUDER",AQ294="VT REJETÉ – À REPRENDRE")),MAX(0,'PROGRAMME RT'!$C$4-U294),"")</f>
        <v/>
      </c>
      <c r="AS294" s="82" t="n">
        <f aca="false">IF(AND(OR(AQ294="À RADIOGRAPHIER",AQ294="RÉPARÉ – À RADIOGRAPHIER",AQ294="NX – RT À REFAIRE"),OR('PROGRAMME RT'!$D$5="TOUTES",B294='PROGRAMME RT'!$D$5)),1,0)</f>
        <v>0</v>
      </c>
      <c r="AT294" s="82" t="str">
        <f aca="false">IF(AS294=1,SUM(AS$7:AS294),"")</f>
        <v/>
      </c>
      <c r="AU294" s="82" t="n">
        <f aca="false">IF(AND(OR(AA294="R",AA294="NX",AA294="NT",AA294="CO"),OR('JOINTS DE RÉPARATION'!$D$5="TOUTES",B294='JOINTS DE RÉPARATION'!$D$5),OR('JOINTS DE RÉPARATION'!$L$4="TOUS",AQ294&lt;&gt;"ACCEPTÉ")),1,0)</f>
        <v>0</v>
      </c>
      <c r="AV294" s="82" t="str">
        <f aca="false">IF(AU294=1,SUM(AU$7:AU294),"")</f>
        <v/>
      </c>
      <c r="AW294" s="82" t="str">
        <f aca="false">IF(E294="","",B294&amp;"|"&amp;E294)</f>
        <v>MFD-ISW → MFD-CPF|JN°288</v>
      </c>
    </row>
    <row r="295" customFormat="false" ht="74.6" hidden="false" customHeight="false" outlineLevel="0" collapsed="false">
      <c r="A295" s="79" t="n">
        <f aca="false">IF(E295="","",ROW()-6)</f>
        <v>289</v>
      </c>
      <c r="B295" s="80" t="s">
        <v>110</v>
      </c>
      <c r="C295" s="81"/>
      <c r="D295" s="81"/>
      <c r="E295" s="81" t="s">
        <v>399</v>
      </c>
      <c r="F295" s="82" t="str">
        <f aca="false">IF(E295="","",IF(LEFT(E295,2)="DJ","DJ","JN"))</f>
        <v>JN</v>
      </c>
      <c r="G295" s="81"/>
      <c r="H295" s="81"/>
      <c r="I295" s="81"/>
      <c r="J295" s="81"/>
      <c r="K295" s="81"/>
      <c r="L295" s="81"/>
      <c r="M295" s="81"/>
      <c r="N295" s="81"/>
      <c r="O295" s="81"/>
      <c r="P295" s="81"/>
      <c r="Q295" s="81"/>
      <c r="R295" s="81"/>
      <c r="S295" s="81"/>
      <c r="T295" s="81"/>
      <c r="U295" s="83"/>
      <c r="V295" s="83"/>
      <c r="W295" s="81"/>
      <c r="X295" s="81"/>
      <c r="Y295" s="83"/>
      <c r="Z295" s="81"/>
      <c r="AA295" s="81"/>
      <c r="AB295" s="81"/>
      <c r="AC295" s="81"/>
      <c r="AD295" s="81"/>
      <c r="AE295" s="83"/>
      <c r="AF295" s="81"/>
      <c r="AG295" s="81"/>
      <c r="AH295" s="81"/>
      <c r="AI295" s="81"/>
      <c r="AJ295" s="83"/>
      <c r="AK295" s="81"/>
      <c r="AL295" s="81"/>
      <c r="AM295" s="83"/>
      <c r="AN295" s="80"/>
      <c r="AO295" s="82" t="n">
        <f aca="false">IF(E295="","",(AA295&lt;&gt;"")+(AG295&lt;&gt;"")+(AL295&lt;&gt;""))</f>
        <v>0</v>
      </c>
      <c r="AP295" s="82" t="str">
        <f aca="false">IF(AL295&lt;&gt;"",AL295,IF(AG295&lt;&gt;"",AG295,IF(AA295&lt;&gt;"",AA295,"")))</f>
        <v/>
      </c>
      <c r="AQ295" s="84" t="str">
        <f aca="false">IF(E295="","",IF(U295="","À SOUDER",IF(X295="","VT EN ATTENTE",IF(X295="R","VT REJETÉ – À REPRENDRE",IF(AP295="","À RADIOGRAPHIER",IF(AP295="A","ACCEPTÉ",IF(AP295="NX","NX – RT À REFAIRE",IF(IF(AO295=1,AD295,IF(AO295=2,AI295,""))="A","RÉPARÉ – À RADIOGRAPHIER",IF(IF(AO295=1,AD295,IF(AO295=2,AI295,""))="R","VT REJETÉ – À REPRENDRE",IF(OR(AP295="CO",AP295="NT"),"COUPE – À RESOUDER","À RÉPARER"))))))))))</f>
        <v>À SOUDER</v>
      </c>
      <c r="AR295" s="82" t="str">
        <f aca="false">IF(AND(ISNUMBER(U295),OR(AQ295="À RADIOGRAPHIER",AQ295="RÉPARÉ – À RADIOGRAPHIER",AQ295="NX – RT À REFAIRE",AQ295="À RÉPARER",AQ295="COUPE – À RESOUDER",AQ295="VT REJETÉ – À REPRENDRE")),MAX(0,'PROGRAMME RT'!$C$4-U295),"")</f>
        <v/>
      </c>
      <c r="AS295" s="82" t="n">
        <f aca="false">IF(AND(OR(AQ295="À RADIOGRAPHIER",AQ295="RÉPARÉ – À RADIOGRAPHIER",AQ295="NX – RT À REFAIRE"),OR('PROGRAMME RT'!$D$5="TOUTES",B295='PROGRAMME RT'!$D$5)),1,0)</f>
        <v>0</v>
      </c>
      <c r="AT295" s="82" t="str">
        <f aca="false">IF(AS295=1,SUM(AS$7:AS295),"")</f>
        <v/>
      </c>
      <c r="AU295" s="82" t="n">
        <f aca="false">IF(AND(OR(AA295="R",AA295="NX",AA295="NT",AA295="CO"),OR('JOINTS DE RÉPARATION'!$D$5="TOUTES",B295='JOINTS DE RÉPARATION'!$D$5),OR('JOINTS DE RÉPARATION'!$L$4="TOUS",AQ295&lt;&gt;"ACCEPTÉ")),1,0)</f>
        <v>0</v>
      </c>
      <c r="AV295" s="82" t="str">
        <f aca="false">IF(AU295=1,SUM(AU$7:AU295),"")</f>
        <v/>
      </c>
      <c r="AW295" s="82" t="str">
        <f aca="false">IF(E295="","",B295&amp;"|"&amp;E295)</f>
        <v>MFD-ISW → MFD-CPF|JN°289</v>
      </c>
    </row>
    <row r="296" customFormat="false" ht="74.6" hidden="false" customHeight="false" outlineLevel="0" collapsed="false">
      <c r="A296" s="79" t="n">
        <f aca="false">IF(E296="","",ROW()-6)</f>
        <v>290</v>
      </c>
      <c r="B296" s="80" t="s">
        <v>110</v>
      </c>
      <c r="C296" s="81"/>
      <c r="D296" s="81"/>
      <c r="E296" s="81" t="s">
        <v>400</v>
      </c>
      <c r="F296" s="82" t="str">
        <f aca="false">IF(E296="","",IF(LEFT(E296,2)="DJ","DJ","JN"))</f>
        <v>JN</v>
      </c>
      <c r="G296" s="81"/>
      <c r="H296" s="81"/>
      <c r="I296" s="81"/>
      <c r="J296" s="81"/>
      <c r="K296" s="81"/>
      <c r="L296" s="81"/>
      <c r="M296" s="81"/>
      <c r="N296" s="81"/>
      <c r="O296" s="81"/>
      <c r="P296" s="81"/>
      <c r="Q296" s="81"/>
      <c r="R296" s="81"/>
      <c r="S296" s="81"/>
      <c r="T296" s="81"/>
      <c r="U296" s="83"/>
      <c r="V296" s="83"/>
      <c r="W296" s="81"/>
      <c r="X296" s="81"/>
      <c r="Y296" s="83"/>
      <c r="Z296" s="81"/>
      <c r="AA296" s="81"/>
      <c r="AB296" s="81"/>
      <c r="AC296" s="81"/>
      <c r="AD296" s="81"/>
      <c r="AE296" s="83"/>
      <c r="AF296" s="81"/>
      <c r="AG296" s="81"/>
      <c r="AH296" s="81"/>
      <c r="AI296" s="81"/>
      <c r="AJ296" s="83"/>
      <c r="AK296" s="81"/>
      <c r="AL296" s="81"/>
      <c r="AM296" s="83"/>
      <c r="AN296" s="80"/>
      <c r="AO296" s="82" t="n">
        <f aca="false">IF(E296="","",(AA296&lt;&gt;"")+(AG296&lt;&gt;"")+(AL296&lt;&gt;""))</f>
        <v>0</v>
      </c>
      <c r="AP296" s="82" t="str">
        <f aca="false">IF(AL296&lt;&gt;"",AL296,IF(AG296&lt;&gt;"",AG296,IF(AA296&lt;&gt;"",AA296,"")))</f>
        <v/>
      </c>
      <c r="AQ296" s="84" t="str">
        <f aca="false">IF(E296="","",IF(U296="","À SOUDER",IF(X296="","VT EN ATTENTE",IF(X296="R","VT REJETÉ – À REPRENDRE",IF(AP296="","À RADIOGRAPHIER",IF(AP296="A","ACCEPTÉ",IF(AP296="NX","NX – RT À REFAIRE",IF(IF(AO296=1,AD296,IF(AO296=2,AI296,""))="A","RÉPARÉ – À RADIOGRAPHIER",IF(IF(AO296=1,AD296,IF(AO296=2,AI296,""))="R","VT REJETÉ – À REPRENDRE",IF(OR(AP296="CO",AP296="NT"),"COUPE – À RESOUDER","À RÉPARER"))))))))))</f>
        <v>À SOUDER</v>
      </c>
      <c r="AR296" s="82" t="str">
        <f aca="false">IF(AND(ISNUMBER(U296),OR(AQ296="À RADIOGRAPHIER",AQ296="RÉPARÉ – À RADIOGRAPHIER",AQ296="NX – RT À REFAIRE",AQ296="À RÉPARER",AQ296="COUPE – À RESOUDER",AQ296="VT REJETÉ – À REPRENDRE")),MAX(0,'PROGRAMME RT'!$C$4-U296),"")</f>
        <v/>
      </c>
      <c r="AS296" s="82" t="n">
        <f aca="false">IF(AND(OR(AQ296="À RADIOGRAPHIER",AQ296="RÉPARÉ – À RADIOGRAPHIER",AQ296="NX – RT À REFAIRE"),OR('PROGRAMME RT'!$D$5="TOUTES",B296='PROGRAMME RT'!$D$5)),1,0)</f>
        <v>0</v>
      </c>
      <c r="AT296" s="82" t="str">
        <f aca="false">IF(AS296=1,SUM(AS$7:AS296),"")</f>
        <v/>
      </c>
      <c r="AU296" s="82" t="n">
        <f aca="false">IF(AND(OR(AA296="R",AA296="NX",AA296="NT",AA296="CO"),OR('JOINTS DE RÉPARATION'!$D$5="TOUTES",B296='JOINTS DE RÉPARATION'!$D$5),OR('JOINTS DE RÉPARATION'!$L$4="TOUS",AQ296&lt;&gt;"ACCEPTÉ")),1,0)</f>
        <v>0</v>
      </c>
      <c r="AV296" s="82" t="str">
        <f aca="false">IF(AU296=1,SUM(AU$7:AU296),"")</f>
        <v/>
      </c>
      <c r="AW296" s="82" t="str">
        <f aca="false">IF(E296="","",B296&amp;"|"&amp;E296)</f>
        <v>MFD-ISW → MFD-CPF|JN°290</v>
      </c>
    </row>
    <row r="297" customFormat="false" ht="74.6" hidden="false" customHeight="false" outlineLevel="0" collapsed="false">
      <c r="A297" s="79" t="n">
        <f aca="false">IF(E297="","",ROW()-6)</f>
        <v>291</v>
      </c>
      <c r="B297" s="80" t="s">
        <v>110</v>
      </c>
      <c r="C297" s="81"/>
      <c r="D297" s="81"/>
      <c r="E297" s="81" t="s">
        <v>401</v>
      </c>
      <c r="F297" s="82" t="str">
        <f aca="false">IF(E297="","",IF(LEFT(E297,2)="DJ","DJ","JN"))</f>
        <v>JN</v>
      </c>
      <c r="G297" s="81"/>
      <c r="H297" s="81"/>
      <c r="I297" s="81"/>
      <c r="J297" s="81"/>
      <c r="K297" s="81"/>
      <c r="L297" s="81"/>
      <c r="M297" s="81"/>
      <c r="N297" s="81"/>
      <c r="O297" s="81"/>
      <c r="P297" s="81"/>
      <c r="Q297" s="81"/>
      <c r="R297" s="81"/>
      <c r="S297" s="81"/>
      <c r="T297" s="81"/>
      <c r="U297" s="83"/>
      <c r="V297" s="83"/>
      <c r="W297" s="81"/>
      <c r="X297" s="81"/>
      <c r="Y297" s="83"/>
      <c r="Z297" s="81"/>
      <c r="AA297" s="81"/>
      <c r="AB297" s="81"/>
      <c r="AC297" s="81"/>
      <c r="AD297" s="81"/>
      <c r="AE297" s="83"/>
      <c r="AF297" s="81"/>
      <c r="AG297" s="81"/>
      <c r="AH297" s="81"/>
      <c r="AI297" s="81"/>
      <c r="AJ297" s="83"/>
      <c r="AK297" s="81"/>
      <c r="AL297" s="81"/>
      <c r="AM297" s="83"/>
      <c r="AN297" s="80"/>
      <c r="AO297" s="82" t="n">
        <f aca="false">IF(E297="","",(AA297&lt;&gt;"")+(AG297&lt;&gt;"")+(AL297&lt;&gt;""))</f>
        <v>0</v>
      </c>
      <c r="AP297" s="82" t="str">
        <f aca="false">IF(AL297&lt;&gt;"",AL297,IF(AG297&lt;&gt;"",AG297,IF(AA297&lt;&gt;"",AA297,"")))</f>
        <v/>
      </c>
      <c r="AQ297" s="84" t="str">
        <f aca="false">IF(E297="","",IF(U297="","À SOUDER",IF(X297="","VT EN ATTENTE",IF(X297="R","VT REJETÉ – À REPRENDRE",IF(AP297="","À RADIOGRAPHIER",IF(AP297="A","ACCEPTÉ",IF(AP297="NX","NX – RT À REFAIRE",IF(IF(AO297=1,AD297,IF(AO297=2,AI297,""))="A","RÉPARÉ – À RADIOGRAPHIER",IF(IF(AO297=1,AD297,IF(AO297=2,AI297,""))="R","VT REJETÉ – À REPRENDRE",IF(OR(AP297="CO",AP297="NT"),"COUPE – À RESOUDER","À RÉPARER"))))))))))</f>
        <v>À SOUDER</v>
      </c>
      <c r="AR297" s="82" t="str">
        <f aca="false">IF(AND(ISNUMBER(U297),OR(AQ297="À RADIOGRAPHIER",AQ297="RÉPARÉ – À RADIOGRAPHIER",AQ297="NX – RT À REFAIRE",AQ297="À RÉPARER",AQ297="COUPE – À RESOUDER",AQ297="VT REJETÉ – À REPRENDRE")),MAX(0,'PROGRAMME RT'!$C$4-U297),"")</f>
        <v/>
      </c>
      <c r="AS297" s="82" t="n">
        <f aca="false">IF(AND(OR(AQ297="À RADIOGRAPHIER",AQ297="RÉPARÉ – À RADIOGRAPHIER",AQ297="NX – RT À REFAIRE"),OR('PROGRAMME RT'!$D$5="TOUTES",B297='PROGRAMME RT'!$D$5)),1,0)</f>
        <v>0</v>
      </c>
      <c r="AT297" s="82" t="str">
        <f aca="false">IF(AS297=1,SUM(AS$7:AS297),"")</f>
        <v/>
      </c>
      <c r="AU297" s="82" t="n">
        <f aca="false">IF(AND(OR(AA297="R",AA297="NX",AA297="NT",AA297="CO"),OR('JOINTS DE RÉPARATION'!$D$5="TOUTES",B297='JOINTS DE RÉPARATION'!$D$5),OR('JOINTS DE RÉPARATION'!$L$4="TOUS",AQ297&lt;&gt;"ACCEPTÉ")),1,0)</f>
        <v>0</v>
      </c>
      <c r="AV297" s="82" t="str">
        <f aca="false">IF(AU297=1,SUM(AU$7:AU297),"")</f>
        <v/>
      </c>
      <c r="AW297" s="82" t="str">
        <f aca="false">IF(E297="","",B297&amp;"|"&amp;E297)</f>
        <v>MFD-ISW → MFD-CPF|JN°291</v>
      </c>
    </row>
    <row r="298" customFormat="false" ht="74.6" hidden="false" customHeight="false" outlineLevel="0" collapsed="false">
      <c r="A298" s="79" t="n">
        <f aca="false">IF(E298="","",ROW()-6)</f>
        <v>292</v>
      </c>
      <c r="B298" s="80" t="s">
        <v>110</v>
      </c>
      <c r="C298" s="81"/>
      <c r="D298" s="81"/>
      <c r="E298" s="81" t="s">
        <v>402</v>
      </c>
      <c r="F298" s="82" t="str">
        <f aca="false">IF(E298="","",IF(LEFT(E298,2)="DJ","DJ","JN"))</f>
        <v>JN</v>
      </c>
      <c r="G298" s="81"/>
      <c r="H298" s="81"/>
      <c r="I298" s="81"/>
      <c r="J298" s="81"/>
      <c r="K298" s="81"/>
      <c r="L298" s="81"/>
      <c r="M298" s="81"/>
      <c r="N298" s="81"/>
      <c r="O298" s="81"/>
      <c r="P298" s="81"/>
      <c r="Q298" s="81"/>
      <c r="R298" s="81"/>
      <c r="S298" s="81"/>
      <c r="T298" s="81"/>
      <c r="U298" s="83"/>
      <c r="V298" s="83"/>
      <c r="W298" s="81"/>
      <c r="X298" s="81"/>
      <c r="Y298" s="83"/>
      <c r="Z298" s="81"/>
      <c r="AA298" s="81"/>
      <c r="AB298" s="81"/>
      <c r="AC298" s="81"/>
      <c r="AD298" s="81"/>
      <c r="AE298" s="83"/>
      <c r="AF298" s="81"/>
      <c r="AG298" s="81"/>
      <c r="AH298" s="81"/>
      <c r="AI298" s="81"/>
      <c r="AJ298" s="83"/>
      <c r="AK298" s="81"/>
      <c r="AL298" s="81"/>
      <c r="AM298" s="83"/>
      <c r="AN298" s="80"/>
      <c r="AO298" s="82" t="n">
        <f aca="false">IF(E298="","",(AA298&lt;&gt;"")+(AG298&lt;&gt;"")+(AL298&lt;&gt;""))</f>
        <v>0</v>
      </c>
      <c r="AP298" s="82" t="str">
        <f aca="false">IF(AL298&lt;&gt;"",AL298,IF(AG298&lt;&gt;"",AG298,IF(AA298&lt;&gt;"",AA298,"")))</f>
        <v/>
      </c>
      <c r="AQ298" s="84" t="str">
        <f aca="false">IF(E298="","",IF(U298="","À SOUDER",IF(X298="","VT EN ATTENTE",IF(X298="R","VT REJETÉ – À REPRENDRE",IF(AP298="","À RADIOGRAPHIER",IF(AP298="A","ACCEPTÉ",IF(AP298="NX","NX – RT À REFAIRE",IF(IF(AO298=1,AD298,IF(AO298=2,AI298,""))="A","RÉPARÉ – À RADIOGRAPHIER",IF(IF(AO298=1,AD298,IF(AO298=2,AI298,""))="R","VT REJETÉ – À REPRENDRE",IF(OR(AP298="CO",AP298="NT"),"COUPE – À RESOUDER","À RÉPARER"))))))))))</f>
        <v>À SOUDER</v>
      </c>
      <c r="AR298" s="82" t="str">
        <f aca="false">IF(AND(ISNUMBER(U298),OR(AQ298="À RADIOGRAPHIER",AQ298="RÉPARÉ – À RADIOGRAPHIER",AQ298="NX – RT À REFAIRE",AQ298="À RÉPARER",AQ298="COUPE – À RESOUDER",AQ298="VT REJETÉ – À REPRENDRE")),MAX(0,'PROGRAMME RT'!$C$4-U298),"")</f>
        <v/>
      </c>
      <c r="AS298" s="82" t="n">
        <f aca="false">IF(AND(OR(AQ298="À RADIOGRAPHIER",AQ298="RÉPARÉ – À RADIOGRAPHIER",AQ298="NX – RT À REFAIRE"),OR('PROGRAMME RT'!$D$5="TOUTES",B298='PROGRAMME RT'!$D$5)),1,0)</f>
        <v>0</v>
      </c>
      <c r="AT298" s="82" t="str">
        <f aca="false">IF(AS298=1,SUM(AS$7:AS298),"")</f>
        <v/>
      </c>
      <c r="AU298" s="82" t="n">
        <f aca="false">IF(AND(OR(AA298="R",AA298="NX",AA298="NT",AA298="CO"),OR('JOINTS DE RÉPARATION'!$D$5="TOUTES",B298='JOINTS DE RÉPARATION'!$D$5),OR('JOINTS DE RÉPARATION'!$L$4="TOUS",AQ298&lt;&gt;"ACCEPTÉ")),1,0)</f>
        <v>0</v>
      </c>
      <c r="AV298" s="82" t="str">
        <f aca="false">IF(AU298=1,SUM(AU$7:AU298),"")</f>
        <v/>
      </c>
      <c r="AW298" s="82" t="str">
        <f aca="false">IF(E298="","",B298&amp;"|"&amp;E298)</f>
        <v>MFD-ISW → MFD-CPF|JN°292</v>
      </c>
    </row>
    <row r="299" customFormat="false" ht="74.6" hidden="false" customHeight="false" outlineLevel="0" collapsed="false">
      <c r="A299" s="79" t="n">
        <f aca="false">IF(E299="","",ROW()-6)</f>
        <v>293</v>
      </c>
      <c r="B299" s="80" t="s">
        <v>110</v>
      </c>
      <c r="C299" s="81"/>
      <c r="D299" s="81"/>
      <c r="E299" s="81" t="s">
        <v>403</v>
      </c>
      <c r="F299" s="82" t="str">
        <f aca="false">IF(E299="","",IF(LEFT(E299,2)="DJ","DJ","JN"))</f>
        <v>JN</v>
      </c>
      <c r="G299" s="81"/>
      <c r="H299" s="81"/>
      <c r="I299" s="81"/>
      <c r="J299" s="81"/>
      <c r="K299" s="81"/>
      <c r="L299" s="81"/>
      <c r="M299" s="81"/>
      <c r="N299" s="81"/>
      <c r="O299" s="81"/>
      <c r="P299" s="81"/>
      <c r="Q299" s="81"/>
      <c r="R299" s="81"/>
      <c r="S299" s="81"/>
      <c r="T299" s="81"/>
      <c r="U299" s="83"/>
      <c r="V299" s="83"/>
      <c r="W299" s="81"/>
      <c r="X299" s="81"/>
      <c r="Y299" s="83"/>
      <c r="Z299" s="81"/>
      <c r="AA299" s="81"/>
      <c r="AB299" s="81"/>
      <c r="AC299" s="81"/>
      <c r="AD299" s="81"/>
      <c r="AE299" s="83"/>
      <c r="AF299" s="81"/>
      <c r="AG299" s="81"/>
      <c r="AH299" s="81"/>
      <c r="AI299" s="81"/>
      <c r="AJ299" s="83"/>
      <c r="AK299" s="81"/>
      <c r="AL299" s="81"/>
      <c r="AM299" s="83"/>
      <c r="AN299" s="80"/>
      <c r="AO299" s="82" t="n">
        <f aca="false">IF(E299="","",(AA299&lt;&gt;"")+(AG299&lt;&gt;"")+(AL299&lt;&gt;""))</f>
        <v>0</v>
      </c>
      <c r="AP299" s="82" t="str">
        <f aca="false">IF(AL299&lt;&gt;"",AL299,IF(AG299&lt;&gt;"",AG299,IF(AA299&lt;&gt;"",AA299,"")))</f>
        <v/>
      </c>
      <c r="AQ299" s="84" t="str">
        <f aca="false">IF(E299="","",IF(U299="","À SOUDER",IF(X299="","VT EN ATTENTE",IF(X299="R","VT REJETÉ – À REPRENDRE",IF(AP299="","À RADIOGRAPHIER",IF(AP299="A","ACCEPTÉ",IF(AP299="NX","NX – RT À REFAIRE",IF(IF(AO299=1,AD299,IF(AO299=2,AI299,""))="A","RÉPARÉ – À RADIOGRAPHIER",IF(IF(AO299=1,AD299,IF(AO299=2,AI299,""))="R","VT REJETÉ – À REPRENDRE",IF(OR(AP299="CO",AP299="NT"),"COUPE – À RESOUDER","À RÉPARER"))))))))))</f>
        <v>À SOUDER</v>
      </c>
      <c r="AR299" s="82" t="str">
        <f aca="false">IF(AND(ISNUMBER(U299),OR(AQ299="À RADIOGRAPHIER",AQ299="RÉPARÉ – À RADIOGRAPHIER",AQ299="NX – RT À REFAIRE",AQ299="À RÉPARER",AQ299="COUPE – À RESOUDER",AQ299="VT REJETÉ – À REPRENDRE")),MAX(0,'PROGRAMME RT'!$C$4-U299),"")</f>
        <v/>
      </c>
      <c r="AS299" s="82" t="n">
        <f aca="false">IF(AND(OR(AQ299="À RADIOGRAPHIER",AQ299="RÉPARÉ – À RADIOGRAPHIER",AQ299="NX – RT À REFAIRE"),OR('PROGRAMME RT'!$D$5="TOUTES",B299='PROGRAMME RT'!$D$5)),1,0)</f>
        <v>0</v>
      </c>
      <c r="AT299" s="82" t="str">
        <f aca="false">IF(AS299=1,SUM(AS$7:AS299),"")</f>
        <v/>
      </c>
      <c r="AU299" s="82" t="n">
        <f aca="false">IF(AND(OR(AA299="R",AA299="NX",AA299="NT",AA299="CO"),OR('JOINTS DE RÉPARATION'!$D$5="TOUTES",B299='JOINTS DE RÉPARATION'!$D$5),OR('JOINTS DE RÉPARATION'!$L$4="TOUS",AQ299&lt;&gt;"ACCEPTÉ")),1,0)</f>
        <v>0</v>
      </c>
      <c r="AV299" s="82" t="str">
        <f aca="false">IF(AU299=1,SUM(AU$7:AU299),"")</f>
        <v/>
      </c>
      <c r="AW299" s="82" t="str">
        <f aca="false">IF(E299="","",B299&amp;"|"&amp;E299)</f>
        <v>MFD-ISW → MFD-CPF|JN°293</v>
      </c>
    </row>
    <row r="300" customFormat="false" ht="74.6" hidden="false" customHeight="false" outlineLevel="0" collapsed="false">
      <c r="A300" s="79" t="n">
        <f aca="false">IF(E300="","",ROW()-6)</f>
        <v>294</v>
      </c>
      <c r="B300" s="80" t="s">
        <v>110</v>
      </c>
      <c r="C300" s="81"/>
      <c r="D300" s="81"/>
      <c r="E300" s="81" t="s">
        <v>404</v>
      </c>
      <c r="F300" s="82" t="str">
        <f aca="false">IF(E300="","",IF(LEFT(E300,2)="DJ","DJ","JN"))</f>
        <v>JN</v>
      </c>
      <c r="G300" s="81"/>
      <c r="H300" s="81"/>
      <c r="I300" s="81"/>
      <c r="J300" s="81"/>
      <c r="K300" s="81"/>
      <c r="L300" s="81"/>
      <c r="M300" s="81"/>
      <c r="N300" s="81"/>
      <c r="O300" s="81"/>
      <c r="P300" s="81"/>
      <c r="Q300" s="81"/>
      <c r="R300" s="81"/>
      <c r="S300" s="81"/>
      <c r="T300" s="81"/>
      <c r="U300" s="83"/>
      <c r="V300" s="83"/>
      <c r="W300" s="81"/>
      <c r="X300" s="81"/>
      <c r="Y300" s="83"/>
      <c r="Z300" s="81"/>
      <c r="AA300" s="81"/>
      <c r="AB300" s="81"/>
      <c r="AC300" s="81"/>
      <c r="AD300" s="81"/>
      <c r="AE300" s="83"/>
      <c r="AF300" s="81"/>
      <c r="AG300" s="81"/>
      <c r="AH300" s="81"/>
      <c r="AI300" s="81"/>
      <c r="AJ300" s="83"/>
      <c r="AK300" s="81"/>
      <c r="AL300" s="81"/>
      <c r="AM300" s="83"/>
      <c r="AN300" s="80"/>
      <c r="AO300" s="82" t="n">
        <f aca="false">IF(E300="","",(AA300&lt;&gt;"")+(AG300&lt;&gt;"")+(AL300&lt;&gt;""))</f>
        <v>0</v>
      </c>
      <c r="AP300" s="82" t="str">
        <f aca="false">IF(AL300&lt;&gt;"",AL300,IF(AG300&lt;&gt;"",AG300,IF(AA300&lt;&gt;"",AA300,"")))</f>
        <v/>
      </c>
      <c r="AQ300" s="84" t="str">
        <f aca="false">IF(E300="","",IF(U300="","À SOUDER",IF(X300="","VT EN ATTENTE",IF(X300="R","VT REJETÉ – À REPRENDRE",IF(AP300="","À RADIOGRAPHIER",IF(AP300="A","ACCEPTÉ",IF(AP300="NX","NX – RT À REFAIRE",IF(IF(AO300=1,AD300,IF(AO300=2,AI300,""))="A","RÉPARÉ – À RADIOGRAPHIER",IF(IF(AO300=1,AD300,IF(AO300=2,AI300,""))="R","VT REJETÉ – À REPRENDRE",IF(OR(AP300="CO",AP300="NT"),"COUPE – À RESOUDER","À RÉPARER"))))))))))</f>
        <v>À SOUDER</v>
      </c>
      <c r="AR300" s="82" t="str">
        <f aca="false">IF(AND(ISNUMBER(U300),OR(AQ300="À RADIOGRAPHIER",AQ300="RÉPARÉ – À RADIOGRAPHIER",AQ300="NX – RT À REFAIRE",AQ300="À RÉPARER",AQ300="COUPE – À RESOUDER",AQ300="VT REJETÉ – À REPRENDRE")),MAX(0,'PROGRAMME RT'!$C$4-U300),"")</f>
        <v/>
      </c>
      <c r="AS300" s="82" t="n">
        <f aca="false">IF(AND(OR(AQ300="À RADIOGRAPHIER",AQ300="RÉPARÉ – À RADIOGRAPHIER",AQ300="NX – RT À REFAIRE"),OR('PROGRAMME RT'!$D$5="TOUTES",B300='PROGRAMME RT'!$D$5)),1,0)</f>
        <v>0</v>
      </c>
      <c r="AT300" s="82" t="str">
        <f aca="false">IF(AS300=1,SUM(AS$7:AS300),"")</f>
        <v/>
      </c>
      <c r="AU300" s="82" t="n">
        <f aca="false">IF(AND(OR(AA300="R",AA300="NX",AA300="NT",AA300="CO"),OR('JOINTS DE RÉPARATION'!$D$5="TOUTES",B300='JOINTS DE RÉPARATION'!$D$5),OR('JOINTS DE RÉPARATION'!$L$4="TOUS",AQ300&lt;&gt;"ACCEPTÉ")),1,0)</f>
        <v>0</v>
      </c>
      <c r="AV300" s="82" t="str">
        <f aca="false">IF(AU300=1,SUM(AU$7:AU300),"")</f>
        <v/>
      </c>
      <c r="AW300" s="82" t="str">
        <f aca="false">IF(E300="","",B300&amp;"|"&amp;E300)</f>
        <v>MFD-ISW → MFD-CPF|JN°294</v>
      </c>
    </row>
    <row r="301" customFormat="false" ht="74.6" hidden="false" customHeight="false" outlineLevel="0" collapsed="false">
      <c r="A301" s="79" t="n">
        <f aca="false">IF(E301="","",ROW()-6)</f>
        <v>295</v>
      </c>
      <c r="B301" s="80" t="s">
        <v>110</v>
      </c>
      <c r="C301" s="81"/>
      <c r="D301" s="81"/>
      <c r="E301" s="81" t="s">
        <v>405</v>
      </c>
      <c r="F301" s="82" t="str">
        <f aca="false">IF(E301="","",IF(LEFT(E301,2)="DJ","DJ","JN"))</f>
        <v>JN</v>
      </c>
      <c r="G301" s="81"/>
      <c r="H301" s="81"/>
      <c r="I301" s="81"/>
      <c r="J301" s="81"/>
      <c r="K301" s="81"/>
      <c r="L301" s="81"/>
      <c r="M301" s="81"/>
      <c r="N301" s="81"/>
      <c r="O301" s="81"/>
      <c r="P301" s="81"/>
      <c r="Q301" s="81"/>
      <c r="R301" s="81"/>
      <c r="S301" s="81"/>
      <c r="T301" s="81"/>
      <c r="U301" s="83"/>
      <c r="V301" s="83"/>
      <c r="W301" s="81"/>
      <c r="X301" s="81"/>
      <c r="Y301" s="83"/>
      <c r="Z301" s="81"/>
      <c r="AA301" s="81"/>
      <c r="AB301" s="81"/>
      <c r="AC301" s="81"/>
      <c r="AD301" s="81"/>
      <c r="AE301" s="83"/>
      <c r="AF301" s="81"/>
      <c r="AG301" s="81"/>
      <c r="AH301" s="81"/>
      <c r="AI301" s="81"/>
      <c r="AJ301" s="83"/>
      <c r="AK301" s="81"/>
      <c r="AL301" s="81"/>
      <c r="AM301" s="83"/>
      <c r="AN301" s="80"/>
      <c r="AO301" s="82" t="n">
        <f aca="false">IF(E301="","",(AA301&lt;&gt;"")+(AG301&lt;&gt;"")+(AL301&lt;&gt;""))</f>
        <v>0</v>
      </c>
      <c r="AP301" s="82" t="str">
        <f aca="false">IF(AL301&lt;&gt;"",AL301,IF(AG301&lt;&gt;"",AG301,IF(AA301&lt;&gt;"",AA301,"")))</f>
        <v/>
      </c>
      <c r="AQ301" s="84" t="str">
        <f aca="false">IF(E301="","",IF(U301="","À SOUDER",IF(X301="","VT EN ATTENTE",IF(X301="R","VT REJETÉ – À REPRENDRE",IF(AP301="","À RADIOGRAPHIER",IF(AP301="A","ACCEPTÉ",IF(AP301="NX","NX – RT À REFAIRE",IF(IF(AO301=1,AD301,IF(AO301=2,AI301,""))="A","RÉPARÉ – À RADIOGRAPHIER",IF(IF(AO301=1,AD301,IF(AO301=2,AI301,""))="R","VT REJETÉ – À REPRENDRE",IF(OR(AP301="CO",AP301="NT"),"COUPE – À RESOUDER","À RÉPARER"))))))))))</f>
        <v>À SOUDER</v>
      </c>
      <c r="AR301" s="82" t="str">
        <f aca="false">IF(AND(ISNUMBER(U301),OR(AQ301="À RADIOGRAPHIER",AQ301="RÉPARÉ – À RADIOGRAPHIER",AQ301="NX – RT À REFAIRE",AQ301="À RÉPARER",AQ301="COUPE – À RESOUDER",AQ301="VT REJETÉ – À REPRENDRE")),MAX(0,'PROGRAMME RT'!$C$4-U301),"")</f>
        <v/>
      </c>
      <c r="AS301" s="82" t="n">
        <f aca="false">IF(AND(OR(AQ301="À RADIOGRAPHIER",AQ301="RÉPARÉ – À RADIOGRAPHIER",AQ301="NX – RT À REFAIRE"),OR('PROGRAMME RT'!$D$5="TOUTES",B301='PROGRAMME RT'!$D$5)),1,0)</f>
        <v>0</v>
      </c>
      <c r="AT301" s="82" t="str">
        <f aca="false">IF(AS301=1,SUM(AS$7:AS301),"")</f>
        <v/>
      </c>
      <c r="AU301" s="82" t="n">
        <f aca="false">IF(AND(OR(AA301="R",AA301="NX",AA301="NT",AA301="CO"),OR('JOINTS DE RÉPARATION'!$D$5="TOUTES",B301='JOINTS DE RÉPARATION'!$D$5),OR('JOINTS DE RÉPARATION'!$L$4="TOUS",AQ301&lt;&gt;"ACCEPTÉ")),1,0)</f>
        <v>0</v>
      </c>
      <c r="AV301" s="82" t="str">
        <f aca="false">IF(AU301=1,SUM(AU$7:AU301),"")</f>
        <v/>
      </c>
      <c r="AW301" s="82" t="str">
        <f aca="false">IF(E301="","",B301&amp;"|"&amp;E301)</f>
        <v>MFD-ISW → MFD-CPF|JN°295</v>
      </c>
    </row>
    <row r="302" customFormat="false" ht="74.6" hidden="false" customHeight="false" outlineLevel="0" collapsed="false">
      <c r="A302" s="79" t="n">
        <f aca="false">IF(E302="","",ROW()-6)</f>
        <v>296</v>
      </c>
      <c r="B302" s="80" t="s">
        <v>110</v>
      </c>
      <c r="C302" s="81"/>
      <c r="D302" s="81"/>
      <c r="E302" s="81" t="s">
        <v>406</v>
      </c>
      <c r="F302" s="82" t="str">
        <f aca="false">IF(E302="","",IF(LEFT(E302,2)="DJ","DJ","JN"))</f>
        <v>JN</v>
      </c>
      <c r="G302" s="81"/>
      <c r="H302" s="81"/>
      <c r="I302" s="81"/>
      <c r="J302" s="81"/>
      <c r="K302" s="81"/>
      <c r="L302" s="81"/>
      <c r="M302" s="81"/>
      <c r="N302" s="81"/>
      <c r="O302" s="81"/>
      <c r="P302" s="81"/>
      <c r="Q302" s="81"/>
      <c r="R302" s="81"/>
      <c r="S302" s="81"/>
      <c r="T302" s="81"/>
      <c r="U302" s="83"/>
      <c r="V302" s="83"/>
      <c r="W302" s="81"/>
      <c r="X302" s="81"/>
      <c r="Y302" s="83"/>
      <c r="Z302" s="81"/>
      <c r="AA302" s="81"/>
      <c r="AB302" s="81"/>
      <c r="AC302" s="81"/>
      <c r="AD302" s="81"/>
      <c r="AE302" s="83"/>
      <c r="AF302" s="81"/>
      <c r="AG302" s="81"/>
      <c r="AH302" s="81"/>
      <c r="AI302" s="81"/>
      <c r="AJ302" s="83"/>
      <c r="AK302" s="81"/>
      <c r="AL302" s="81"/>
      <c r="AM302" s="83"/>
      <c r="AN302" s="80"/>
      <c r="AO302" s="82" t="n">
        <f aca="false">IF(E302="","",(AA302&lt;&gt;"")+(AG302&lt;&gt;"")+(AL302&lt;&gt;""))</f>
        <v>0</v>
      </c>
      <c r="AP302" s="82" t="str">
        <f aca="false">IF(AL302&lt;&gt;"",AL302,IF(AG302&lt;&gt;"",AG302,IF(AA302&lt;&gt;"",AA302,"")))</f>
        <v/>
      </c>
      <c r="AQ302" s="84" t="str">
        <f aca="false">IF(E302="","",IF(U302="","À SOUDER",IF(X302="","VT EN ATTENTE",IF(X302="R","VT REJETÉ – À REPRENDRE",IF(AP302="","À RADIOGRAPHIER",IF(AP302="A","ACCEPTÉ",IF(AP302="NX","NX – RT À REFAIRE",IF(IF(AO302=1,AD302,IF(AO302=2,AI302,""))="A","RÉPARÉ – À RADIOGRAPHIER",IF(IF(AO302=1,AD302,IF(AO302=2,AI302,""))="R","VT REJETÉ – À REPRENDRE",IF(OR(AP302="CO",AP302="NT"),"COUPE – À RESOUDER","À RÉPARER"))))))))))</f>
        <v>À SOUDER</v>
      </c>
      <c r="AR302" s="82" t="str">
        <f aca="false">IF(AND(ISNUMBER(U302),OR(AQ302="À RADIOGRAPHIER",AQ302="RÉPARÉ – À RADIOGRAPHIER",AQ302="NX – RT À REFAIRE",AQ302="À RÉPARER",AQ302="COUPE – À RESOUDER",AQ302="VT REJETÉ – À REPRENDRE")),MAX(0,'PROGRAMME RT'!$C$4-U302),"")</f>
        <v/>
      </c>
      <c r="AS302" s="82" t="n">
        <f aca="false">IF(AND(OR(AQ302="À RADIOGRAPHIER",AQ302="RÉPARÉ – À RADIOGRAPHIER",AQ302="NX – RT À REFAIRE"),OR('PROGRAMME RT'!$D$5="TOUTES",B302='PROGRAMME RT'!$D$5)),1,0)</f>
        <v>0</v>
      </c>
      <c r="AT302" s="82" t="str">
        <f aca="false">IF(AS302=1,SUM(AS$7:AS302),"")</f>
        <v/>
      </c>
      <c r="AU302" s="82" t="n">
        <f aca="false">IF(AND(OR(AA302="R",AA302="NX",AA302="NT",AA302="CO"),OR('JOINTS DE RÉPARATION'!$D$5="TOUTES",B302='JOINTS DE RÉPARATION'!$D$5),OR('JOINTS DE RÉPARATION'!$L$4="TOUS",AQ302&lt;&gt;"ACCEPTÉ")),1,0)</f>
        <v>0</v>
      </c>
      <c r="AV302" s="82" t="str">
        <f aca="false">IF(AU302=1,SUM(AU$7:AU302),"")</f>
        <v/>
      </c>
      <c r="AW302" s="82" t="str">
        <f aca="false">IF(E302="","",B302&amp;"|"&amp;E302)</f>
        <v>MFD-ISW → MFD-CPF|JN°296</v>
      </c>
    </row>
    <row r="303" customFormat="false" ht="74.6" hidden="false" customHeight="false" outlineLevel="0" collapsed="false">
      <c r="A303" s="79" t="n">
        <f aca="false">IF(E303="","",ROW()-6)</f>
        <v>297</v>
      </c>
      <c r="B303" s="80" t="s">
        <v>110</v>
      </c>
      <c r="C303" s="81"/>
      <c r="D303" s="81"/>
      <c r="E303" s="81" t="s">
        <v>407</v>
      </c>
      <c r="F303" s="82" t="str">
        <f aca="false">IF(E303="","",IF(LEFT(E303,2)="DJ","DJ","JN"))</f>
        <v>JN</v>
      </c>
      <c r="G303" s="81"/>
      <c r="H303" s="81"/>
      <c r="I303" s="81"/>
      <c r="J303" s="81"/>
      <c r="K303" s="81"/>
      <c r="L303" s="81"/>
      <c r="M303" s="81"/>
      <c r="N303" s="81"/>
      <c r="O303" s="81"/>
      <c r="P303" s="81"/>
      <c r="Q303" s="81"/>
      <c r="R303" s="81"/>
      <c r="S303" s="81"/>
      <c r="T303" s="81"/>
      <c r="U303" s="83"/>
      <c r="V303" s="83"/>
      <c r="W303" s="81"/>
      <c r="X303" s="81"/>
      <c r="Y303" s="83"/>
      <c r="Z303" s="81"/>
      <c r="AA303" s="81"/>
      <c r="AB303" s="81"/>
      <c r="AC303" s="81"/>
      <c r="AD303" s="81"/>
      <c r="AE303" s="83"/>
      <c r="AF303" s="81"/>
      <c r="AG303" s="81"/>
      <c r="AH303" s="81"/>
      <c r="AI303" s="81"/>
      <c r="AJ303" s="83"/>
      <c r="AK303" s="81"/>
      <c r="AL303" s="81"/>
      <c r="AM303" s="83"/>
      <c r="AN303" s="80"/>
      <c r="AO303" s="82" t="n">
        <f aca="false">IF(E303="","",(AA303&lt;&gt;"")+(AG303&lt;&gt;"")+(AL303&lt;&gt;""))</f>
        <v>0</v>
      </c>
      <c r="AP303" s="82" t="str">
        <f aca="false">IF(AL303&lt;&gt;"",AL303,IF(AG303&lt;&gt;"",AG303,IF(AA303&lt;&gt;"",AA303,"")))</f>
        <v/>
      </c>
      <c r="AQ303" s="84" t="str">
        <f aca="false">IF(E303="","",IF(U303="","À SOUDER",IF(X303="","VT EN ATTENTE",IF(X303="R","VT REJETÉ – À REPRENDRE",IF(AP303="","À RADIOGRAPHIER",IF(AP303="A","ACCEPTÉ",IF(AP303="NX","NX – RT À REFAIRE",IF(IF(AO303=1,AD303,IF(AO303=2,AI303,""))="A","RÉPARÉ – À RADIOGRAPHIER",IF(IF(AO303=1,AD303,IF(AO303=2,AI303,""))="R","VT REJETÉ – À REPRENDRE",IF(OR(AP303="CO",AP303="NT"),"COUPE – À RESOUDER","À RÉPARER"))))))))))</f>
        <v>À SOUDER</v>
      </c>
      <c r="AR303" s="82" t="str">
        <f aca="false">IF(AND(ISNUMBER(U303),OR(AQ303="À RADIOGRAPHIER",AQ303="RÉPARÉ – À RADIOGRAPHIER",AQ303="NX – RT À REFAIRE",AQ303="À RÉPARER",AQ303="COUPE – À RESOUDER",AQ303="VT REJETÉ – À REPRENDRE")),MAX(0,'PROGRAMME RT'!$C$4-U303),"")</f>
        <v/>
      </c>
      <c r="AS303" s="82" t="n">
        <f aca="false">IF(AND(OR(AQ303="À RADIOGRAPHIER",AQ303="RÉPARÉ – À RADIOGRAPHIER",AQ303="NX – RT À REFAIRE"),OR('PROGRAMME RT'!$D$5="TOUTES",B303='PROGRAMME RT'!$D$5)),1,0)</f>
        <v>0</v>
      </c>
      <c r="AT303" s="82" t="str">
        <f aca="false">IF(AS303=1,SUM(AS$7:AS303),"")</f>
        <v/>
      </c>
      <c r="AU303" s="82" t="n">
        <f aca="false">IF(AND(OR(AA303="R",AA303="NX",AA303="NT",AA303="CO"),OR('JOINTS DE RÉPARATION'!$D$5="TOUTES",B303='JOINTS DE RÉPARATION'!$D$5),OR('JOINTS DE RÉPARATION'!$L$4="TOUS",AQ303&lt;&gt;"ACCEPTÉ")),1,0)</f>
        <v>0</v>
      </c>
      <c r="AV303" s="82" t="str">
        <f aca="false">IF(AU303=1,SUM(AU$7:AU303),"")</f>
        <v/>
      </c>
      <c r="AW303" s="82" t="str">
        <f aca="false">IF(E303="","",B303&amp;"|"&amp;E303)</f>
        <v>MFD-ISW → MFD-CPF|JN°297</v>
      </c>
    </row>
    <row r="304" customFormat="false" ht="74.6" hidden="false" customHeight="false" outlineLevel="0" collapsed="false">
      <c r="A304" s="79" t="n">
        <f aca="false">IF(E304="","",ROW()-6)</f>
        <v>298</v>
      </c>
      <c r="B304" s="80" t="s">
        <v>110</v>
      </c>
      <c r="C304" s="81"/>
      <c r="D304" s="81"/>
      <c r="E304" s="81" t="s">
        <v>408</v>
      </c>
      <c r="F304" s="82" t="str">
        <f aca="false">IF(E304="","",IF(LEFT(E304,2)="DJ","DJ","JN"))</f>
        <v>JN</v>
      </c>
      <c r="G304" s="81"/>
      <c r="H304" s="81"/>
      <c r="I304" s="81"/>
      <c r="J304" s="81"/>
      <c r="K304" s="81"/>
      <c r="L304" s="81"/>
      <c r="M304" s="81"/>
      <c r="N304" s="81"/>
      <c r="O304" s="81"/>
      <c r="P304" s="81"/>
      <c r="Q304" s="81"/>
      <c r="R304" s="81"/>
      <c r="S304" s="81"/>
      <c r="T304" s="81"/>
      <c r="U304" s="83"/>
      <c r="V304" s="83"/>
      <c r="W304" s="81"/>
      <c r="X304" s="81"/>
      <c r="Y304" s="83"/>
      <c r="Z304" s="81"/>
      <c r="AA304" s="81"/>
      <c r="AB304" s="81"/>
      <c r="AC304" s="81"/>
      <c r="AD304" s="81"/>
      <c r="AE304" s="83"/>
      <c r="AF304" s="81"/>
      <c r="AG304" s="81"/>
      <c r="AH304" s="81"/>
      <c r="AI304" s="81"/>
      <c r="AJ304" s="83"/>
      <c r="AK304" s="81"/>
      <c r="AL304" s="81"/>
      <c r="AM304" s="83"/>
      <c r="AN304" s="80"/>
      <c r="AO304" s="82" t="n">
        <f aca="false">IF(E304="","",(AA304&lt;&gt;"")+(AG304&lt;&gt;"")+(AL304&lt;&gt;""))</f>
        <v>0</v>
      </c>
      <c r="AP304" s="82" t="str">
        <f aca="false">IF(AL304&lt;&gt;"",AL304,IF(AG304&lt;&gt;"",AG304,IF(AA304&lt;&gt;"",AA304,"")))</f>
        <v/>
      </c>
      <c r="AQ304" s="84" t="str">
        <f aca="false">IF(E304="","",IF(U304="","À SOUDER",IF(X304="","VT EN ATTENTE",IF(X304="R","VT REJETÉ – À REPRENDRE",IF(AP304="","À RADIOGRAPHIER",IF(AP304="A","ACCEPTÉ",IF(AP304="NX","NX – RT À REFAIRE",IF(IF(AO304=1,AD304,IF(AO304=2,AI304,""))="A","RÉPARÉ – À RADIOGRAPHIER",IF(IF(AO304=1,AD304,IF(AO304=2,AI304,""))="R","VT REJETÉ – À REPRENDRE",IF(OR(AP304="CO",AP304="NT"),"COUPE – À RESOUDER","À RÉPARER"))))))))))</f>
        <v>À SOUDER</v>
      </c>
      <c r="AR304" s="82" t="str">
        <f aca="false">IF(AND(ISNUMBER(U304),OR(AQ304="À RADIOGRAPHIER",AQ304="RÉPARÉ – À RADIOGRAPHIER",AQ304="NX – RT À REFAIRE",AQ304="À RÉPARER",AQ304="COUPE – À RESOUDER",AQ304="VT REJETÉ – À REPRENDRE")),MAX(0,'PROGRAMME RT'!$C$4-U304),"")</f>
        <v/>
      </c>
      <c r="AS304" s="82" t="n">
        <f aca="false">IF(AND(OR(AQ304="À RADIOGRAPHIER",AQ304="RÉPARÉ – À RADIOGRAPHIER",AQ304="NX – RT À REFAIRE"),OR('PROGRAMME RT'!$D$5="TOUTES",B304='PROGRAMME RT'!$D$5)),1,0)</f>
        <v>0</v>
      </c>
      <c r="AT304" s="82" t="str">
        <f aca="false">IF(AS304=1,SUM(AS$7:AS304),"")</f>
        <v/>
      </c>
      <c r="AU304" s="82" t="n">
        <f aca="false">IF(AND(OR(AA304="R",AA304="NX",AA304="NT",AA304="CO"),OR('JOINTS DE RÉPARATION'!$D$5="TOUTES",B304='JOINTS DE RÉPARATION'!$D$5),OR('JOINTS DE RÉPARATION'!$L$4="TOUS",AQ304&lt;&gt;"ACCEPTÉ")),1,0)</f>
        <v>0</v>
      </c>
      <c r="AV304" s="82" t="str">
        <f aca="false">IF(AU304=1,SUM(AU$7:AU304),"")</f>
        <v/>
      </c>
      <c r="AW304" s="82" t="str">
        <f aca="false">IF(E304="","",B304&amp;"|"&amp;E304)</f>
        <v>MFD-ISW → MFD-CPF|JN°298</v>
      </c>
    </row>
    <row r="305" customFormat="false" ht="74.6" hidden="false" customHeight="false" outlineLevel="0" collapsed="false">
      <c r="A305" s="79" t="n">
        <f aca="false">IF(E305="","",ROW()-6)</f>
        <v>299</v>
      </c>
      <c r="B305" s="80" t="s">
        <v>110</v>
      </c>
      <c r="C305" s="81"/>
      <c r="D305" s="81"/>
      <c r="E305" s="81" t="s">
        <v>409</v>
      </c>
      <c r="F305" s="82" t="str">
        <f aca="false">IF(E305="","",IF(LEFT(E305,2)="DJ","DJ","JN"))</f>
        <v>JN</v>
      </c>
      <c r="G305" s="81"/>
      <c r="H305" s="81"/>
      <c r="I305" s="81"/>
      <c r="J305" s="81"/>
      <c r="K305" s="81"/>
      <c r="L305" s="81"/>
      <c r="M305" s="81"/>
      <c r="N305" s="81"/>
      <c r="O305" s="81"/>
      <c r="P305" s="81"/>
      <c r="Q305" s="81"/>
      <c r="R305" s="81"/>
      <c r="S305" s="81"/>
      <c r="T305" s="81"/>
      <c r="U305" s="83"/>
      <c r="V305" s="83"/>
      <c r="W305" s="81"/>
      <c r="X305" s="81"/>
      <c r="Y305" s="83"/>
      <c r="Z305" s="81"/>
      <c r="AA305" s="81"/>
      <c r="AB305" s="81"/>
      <c r="AC305" s="81"/>
      <c r="AD305" s="81"/>
      <c r="AE305" s="83"/>
      <c r="AF305" s="81"/>
      <c r="AG305" s="81"/>
      <c r="AH305" s="81"/>
      <c r="AI305" s="81"/>
      <c r="AJ305" s="83"/>
      <c r="AK305" s="81"/>
      <c r="AL305" s="81"/>
      <c r="AM305" s="83"/>
      <c r="AN305" s="80"/>
      <c r="AO305" s="82" t="n">
        <f aca="false">IF(E305="","",(AA305&lt;&gt;"")+(AG305&lt;&gt;"")+(AL305&lt;&gt;""))</f>
        <v>0</v>
      </c>
      <c r="AP305" s="82" t="str">
        <f aca="false">IF(AL305&lt;&gt;"",AL305,IF(AG305&lt;&gt;"",AG305,IF(AA305&lt;&gt;"",AA305,"")))</f>
        <v/>
      </c>
      <c r="AQ305" s="84" t="str">
        <f aca="false">IF(E305="","",IF(U305="","À SOUDER",IF(X305="","VT EN ATTENTE",IF(X305="R","VT REJETÉ – À REPRENDRE",IF(AP305="","À RADIOGRAPHIER",IF(AP305="A","ACCEPTÉ",IF(AP305="NX","NX – RT À REFAIRE",IF(IF(AO305=1,AD305,IF(AO305=2,AI305,""))="A","RÉPARÉ – À RADIOGRAPHIER",IF(IF(AO305=1,AD305,IF(AO305=2,AI305,""))="R","VT REJETÉ – À REPRENDRE",IF(OR(AP305="CO",AP305="NT"),"COUPE – À RESOUDER","À RÉPARER"))))))))))</f>
        <v>À SOUDER</v>
      </c>
      <c r="AR305" s="82" t="str">
        <f aca="false">IF(AND(ISNUMBER(U305),OR(AQ305="À RADIOGRAPHIER",AQ305="RÉPARÉ – À RADIOGRAPHIER",AQ305="NX – RT À REFAIRE",AQ305="À RÉPARER",AQ305="COUPE – À RESOUDER",AQ305="VT REJETÉ – À REPRENDRE")),MAX(0,'PROGRAMME RT'!$C$4-U305),"")</f>
        <v/>
      </c>
      <c r="AS305" s="82" t="n">
        <f aca="false">IF(AND(OR(AQ305="À RADIOGRAPHIER",AQ305="RÉPARÉ – À RADIOGRAPHIER",AQ305="NX – RT À REFAIRE"),OR('PROGRAMME RT'!$D$5="TOUTES",B305='PROGRAMME RT'!$D$5)),1,0)</f>
        <v>0</v>
      </c>
      <c r="AT305" s="82" t="str">
        <f aca="false">IF(AS305=1,SUM(AS$7:AS305),"")</f>
        <v/>
      </c>
      <c r="AU305" s="82" t="n">
        <f aca="false">IF(AND(OR(AA305="R",AA305="NX",AA305="NT",AA305="CO"),OR('JOINTS DE RÉPARATION'!$D$5="TOUTES",B305='JOINTS DE RÉPARATION'!$D$5),OR('JOINTS DE RÉPARATION'!$L$4="TOUS",AQ305&lt;&gt;"ACCEPTÉ")),1,0)</f>
        <v>0</v>
      </c>
      <c r="AV305" s="82" t="str">
        <f aca="false">IF(AU305=1,SUM(AU$7:AU305),"")</f>
        <v/>
      </c>
      <c r="AW305" s="82" t="str">
        <f aca="false">IF(E305="","",B305&amp;"|"&amp;E305)</f>
        <v>MFD-ISW → MFD-CPF|JN°299</v>
      </c>
    </row>
    <row r="306" customFormat="false" ht="74.6" hidden="false" customHeight="false" outlineLevel="0" collapsed="false">
      <c r="A306" s="79" t="n">
        <f aca="false">IF(E306="","",ROW()-6)</f>
        <v>300</v>
      </c>
      <c r="B306" s="80" t="s">
        <v>110</v>
      </c>
      <c r="C306" s="81"/>
      <c r="D306" s="81"/>
      <c r="E306" s="81" t="s">
        <v>410</v>
      </c>
      <c r="F306" s="82" t="str">
        <f aca="false">IF(E306="","",IF(LEFT(E306,2)="DJ","DJ","JN"))</f>
        <v>JN</v>
      </c>
      <c r="G306" s="81"/>
      <c r="H306" s="81"/>
      <c r="I306" s="81"/>
      <c r="J306" s="81"/>
      <c r="K306" s="81"/>
      <c r="L306" s="81"/>
      <c r="M306" s="81"/>
      <c r="N306" s="81"/>
      <c r="O306" s="81"/>
      <c r="P306" s="81"/>
      <c r="Q306" s="81"/>
      <c r="R306" s="81"/>
      <c r="S306" s="81"/>
      <c r="T306" s="81"/>
      <c r="U306" s="83"/>
      <c r="V306" s="83"/>
      <c r="W306" s="81"/>
      <c r="X306" s="81"/>
      <c r="Y306" s="83"/>
      <c r="Z306" s="81"/>
      <c r="AA306" s="81"/>
      <c r="AB306" s="81"/>
      <c r="AC306" s="81"/>
      <c r="AD306" s="81"/>
      <c r="AE306" s="83"/>
      <c r="AF306" s="81"/>
      <c r="AG306" s="81"/>
      <c r="AH306" s="81"/>
      <c r="AI306" s="81"/>
      <c r="AJ306" s="83"/>
      <c r="AK306" s="81"/>
      <c r="AL306" s="81"/>
      <c r="AM306" s="83"/>
      <c r="AN306" s="80"/>
      <c r="AO306" s="82" t="n">
        <f aca="false">IF(E306="","",(AA306&lt;&gt;"")+(AG306&lt;&gt;"")+(AL306&lt;&gt;""))</f>
        <v>0</v>
      </c>
      <c r="AP306" s="82" t="str">
        <f aca="false">IF(AL306&lt;&gt;"",AL306,IF(AG306&lt;&gt;"",AG306,IF(AA306&lt;&gt;"",AA306,"")))</f>
        <v/>
      </c>
      <c r="AQ306" s="84" t="str">
        <f aca="false">IF(E306="","",IF(U306="","À SOUDER",IF(X306="","VT EN ATTENTE",IF(X306="R","VT REJETÉ – À REPRENDRE",IF(AP306="","À RADIOGRAPHIER",IF(AP306="A","ACCEPTÉ",IF(AP306="NX","NX – RT À REFAIRE",IF(IF(AO306=1,AD306,IF(AO306=2,AI306,""))="A","RÉPARÉ – À RADIOGRAPHIER",IF(IF(AO306=1,AD306,IF(AO306=2,AI306,""))="R","VT REJETÉ – À REPRENDRE",IF(OR(AP306="CO",AP306="NT"),"COUPE – À RESOUDER","À RÉPARER"))))))))))</f>
        <v>À SOUDER</v>
      </c>
      <c r="AR306" s="82" t="str">
        <f aca="false">IF(AND(ISNUMBER(U306),OR(AQ306="À RADIOGRAPHIER",AQ306="RÉPARÉ – À RADIOGRAPHIER",AQ306="NX – RT À REFAIRE",AQ306="À RÉPARER",AQ306="COUPE – À RESOUDER",AQ306="VT REJETÉ – À REPRENDRE")),MAX(0,'PROGRAMME RT'!$C$4-U306),"")</f>
        <v/>
      </c>
      <c r="AS306" s="82" t="n">
        <f aca="false">IF(AND(OR(AQ306="À RADIOGRAPHIER",AQ306="RÉPARÉ – À RADIOGRAPHIER",AQ306="NX – RT À REFAIRE"),OR('PROGRAMME RT'!$D$5="TOUTES",B306='PROGRAMME RT'!$D$5)),1,0)</f>
        <v>0</v>
      </c>
      <c r="AT306" s="82" t="str">
        <f aca="false">IF(AS306=1,SUM(AS$7:AS306),"")</f>
        <v/>
      </c>
      <c r="AU306" s="82" t="n">
        <f aca="false">IF(AND(OR(AA306="R",AA306="NX",AA306="NT",AA306="CO"),OR('JOINTS DE RÉPARATION'!$D$5="TOUTES",B306='JOINTS DE RÉPARATION'!$D$5),OR('JOINTS DE RÉPARATION'!$L$4="TOUS",AQ306&lt;&gt;"ACCEPTÉ")),1,0)</f>
        <v>0</v>
      </c>
      <c r="AV306" s="82" t="str">
        <f aca="false">IF(AU306=1,SUM(AU$7:AU306),"")</f>
        <v/>
      </c>
      <c r="AW306" s="82" t="str">
        <f aca="false">IF(E306="","",B306&amp;"|"&amp;E306)</f>
        <v>MFD-ISW → MFD-CPF|JN°300</v>
      </c>
    </row>
    <row r="307" customFormat="false" ht="74.6" hidden="false" customHeight="false" outlineLevel="0" collapsed="false">
      <c r="A307" s="79" t="n">
        <f aca="false">IF(E307="","",ROW()-6)</f>
        <v>301</v>
      </c>
      <c r="B307" s="80" t="s">
        <v>110</v>
      </c>
      <c r="C307" s="81"/>
      <c r="D307" s="81"/>
      <c r="E307" s="81" t="s">
        <v>411</v>
      </c>
      <c r="F307" s="82" t="str">
        <f aca="false">IF(E307="","",IF(LEFT(E307,2)="DJ","DJ","JN"))</f>
        <v>JN</v>
      </c>
      <c r="G307" s="81"/>
      <c r="H307" s="81"/>
      <c r="I307" s="81"/>
      <c r="J307" s="81"/>
      <c r="K307" s="81"/>
      <c r="L307" s="81"/>
      <c r="M307" s="81"/>
      <c r="N307" s="81"/>
      <c r="O307" s="81"/>
      <c r="P307" s="81"/>
      <c r="Q307" s="81"/>
      <c r="R307" s="81"/>
      <c r="S307" s="81"/>
      <c r="T307" s="81"/>
      <c r="U307" s="83"/>
      <c r="V307" s="83"/>
      <c r="W307" s="81"/>
      <c r="X307" s="81"/>
      <c r="Y307" s="83"/>
      <c r="Z307" s="81"/>
      <c r="AA307" s="81"/>
      <c r="AB307" s="81"/>
      <c r="AC307" s="81"/>
      <c r="AD307" s="81"/>
      <c r="AE307" s="83"/>
      <c r="AF307" s="81"/>
      <c r="AG307" s="81"/>
      <c r="AH307" s="81"/>
      <c r="AI307" s="81"/>
      <c r="AJ307" s="83"/>
      <c r="AK307" s="81"/>
      <c r="AL307" s="81"/>
      <c r="AM307" s="83"/>
      <c r="AN307" s="80"/>
      <c r="AO307" s="82" t="n">
        <f aca="false">IF(E307="","",(AA307&lt;&gt;"")+(AG307&lt;&gt;"")+(AL307&lt;&gt;""))</f>
        <v>0</v>
      </c>
      <c r="AP307" s="82" t="str">
        <f aca="false">IF(AL307&lt;&gt;"",AL307,IF(AG307&lt;&gt;"",AG307,IF(AA307&lt;&gt;"",AA307,"")))</f>
        <v/>
      </c>
      <c r="AQ307" s="84" t="str">
        <f aca="false">IF(E307="","",IF(U307="","À SOUDER",IF(X307="","VT EN ATTENTE",IF(X307="R","VT REJETÉ – À REPRENDRE",IF(AP307="","À RADIOGRAPHIER",IF(AP307="A","ACCEPTÉ",IF(AP307="NX","NX – RT À REFAIRE",IF(IF(AO307=1,AD307,IF(AO307=2,AI307,""))="A","RÉPARÉ – À RADIOGRAPHIER",IF(IF(AO307=1,AD307,IF(AO307=2,AI307,""))="R","VT REJETÉ – À REPRENDRE",IF(OR(AP307="CO",AP307="NT"),"COUPE – À RESOUDER","À RÉPARER"))))))))))</f>
        <v>À SOUDER</v>
      </c>
      <c r="AR307" s="82" t="str">
        <f aca="false">IF(AND(ISNUMBER(U307),OR(AQ307="À RADIOGRAPHIER",AQ307="RÉPARÉ – À RADIOGRAPHIER",AQ307="NX – RT À REFAIRE",AQ307="À RÉPARER",AQ307="COUPE – À RESOUDER",AQ307="VT REJETÉ – À REPRENDRE")),MAX(0,'PROGRAMME RT'!$C$4-U307),"")</f>
        <v/>
      </c>
      <c r="AS307" s="82" t="n">
        <f aca="false">IF(AND(OR(AQ307="À RADIOGRAPHIER",AQ307="RÉPARÉ – À RADIOGRAPHIER",AQ307="NX – RT À REFAIRE"),OR('PROGRAMME RT'!$D$5="TOUTES",B307='PROGRAMME RT'!$D$5)),1,0)</f>
        <v>0</v>
      </c>
      <c r="AT307" s="82" t="str">
        <f aca="false">IF(AS307=1,SUM(AS$7:AS307),"")</f>
        <v/>
      </c>
      <c r="AU307" s="82" t="n">
        <f aca="false">IF(AND(OR(AA307="R",AA307="NX",AA307="NT",AA307="CO"),OR('JOINTS DE RÉPARATION'!$D$5="TOUTES",B307='JOINTS DE RÉPARATION'!$D$5),OR('JOINTS DE RÉPARATION'!$L$4="TOUS",AQ307&lt;&gt;"ACCEPTÉ")),1,0)</f>
        <v>0</v>
      </c>
      <c r="AV307" s="82" t="str">
        <f aca="false">IF(AU307=1,SUM(AU$7:AU307),"")</f>
        <v/>
      </c>
      <c r="AW307" s="82" t="str">
        <f aca="false">IF(E307="","",B307&amp;"|"&amp;E307)</f>
        <v>MFD-ISW → MFD-CPF|JN°301</v>
      </c>
    </row>
    <row r="308" customFormat="false" ht="74.6" hidden="false" customHeight="false" outlineLevel="0" collapsed="false">
      <c r="A308" s="79" t="n">
        <f aca="false">IF(E308="","",ROW()-6)</f>
        <v>302</v>
      </c>
      <c r="B308" s="80" t="s">
        <v>110</v>
      </c>
      <c r="C308" s="81"/>
      <c r="D308" s="81"/>
      <c r="E308" s="81" t="s">
        <v>412</v>
      </c>
      <c r="F308" s="82" t="str">
        <f aca="false">IF(E308="","",IF(LEFT(E308,2)="DJ","DJ","JN"))</f>
        <v>JN</v>
      </c>
      <c r="G308" s="81"/>
      <c r="H308" s="81"/>
      <c r="I308" s="81"/>
      <c r="J308" s="81"/>
      <c r="K308" s="81"/>
      <c r="L308" s="81"/>
      <c r="M308" s="81"/>
      <c r="N308" s="81"/>
      <c r="O308" s="81"/>
      <c r="P308" s="81"/>
      <c r="Q308" s="81"/>
      <c r="R308" s="81"/>
      <c r="S308" s="81"/>
      <c r="T308" s="81"/>
      <c r="U308" s="83"/>
      <c r="V308" s="83"/>
      <c r="W308" s="81"/>
      <c r="X308" s="81"/>
      <c r="Y308" s="83"/>
      <c r="Z308" s="81"/>
      <c r="AA308" s="81"/>
      <c r="AB308" s="81"/>
      <c r="AC308" s="81"/>
      <c r="AD308" s="81"/>
      <c r="AE308" s="83"/>
      <c r="AF308" s="81"/>
      <c r="AG308" s="81"/>
      <c r="AH308" s="81"/>
      <c r="AI308" s="81"/>
      <c r="AJ308" s="83"/>
      <c r="AK308" s="81"/>
      <c r="AL308" s="81"/>
      <c r="AM308" s="83"/>
      <c r="AN308" s="80"/>
      <c r="AO308" s="82" t="n">
        <f aca="false">IF(E308="","",(AA308&lt;&gt;"")+(AG308&lt;&gt;"")+(AL308&lt;&gt;""))</f>
        <v>0</v>
      </c>
      <c r="AP308" s="82" t="str">
        <f aca="false">IF(AL308&lt;&gt;"",AL308,IF(AG308&lt;&gt;"",AG308,IF(AA308&lt;&gt;"",AA308,"")))</f>
        <v/>
      </c>
      <c r="AQ308" s="84" t="str">
        <f aca="false">IF(E308="","",IF(U308="","À SOUDER",IF(X308="","VT EN ATTENTE",IF(X308="R","VT REJETÉ – À REPRENDRE",IF(AP308="","À RADIOGRAPHIER",IF(AP308="A","ACCEPTÉ",IF(AP308="NX","NX – RT À REFAIRE",IF(IF(AO308=1,AD308,IF(AO308=2,AI308,""))="A","RÉPARÉ – À RADIOGRAPHIER",IF(IF(AO308=1,AD308,IF(AO308=2,AI308,""))="R","VT REJETÉ – À REPRENDRE",IF(OR(AP308="CO",AP308="NT"),"COUPE – À RESOUDER","À RÉPARER"))))))))))</f>
        <v>À SOUDER</v>
      </c>
      <c r="AR308" s="82" t="str">
        <f aca="false">IF(AND(ISNUMBER(U308),OR(AQ308="À RADIOGRAPHIER",AQ308="RÉPARÉ – À RADIOGRAPHIER",AQ308="NX – RT À REFAIRE",AQ308="À RÉPARER",AQ308="COUPE – À RESOUDER",AQ308="VT REJETÉ – À REPRENDRE")),MAX(0,'PROGRAMME RT'!$C$4-U308),"")</f>
        <v/>
      </c>
      <c r="AS308" s="82" t="n">
        <f aca="false">IF(AND(OR(AQ308="À RADIOGRAPHIER",AQ308="RÉPARÉ – À RADIOGRAPHIER",AQ308="NX – RT À REFAIRE"),OR('PROGRAMME RT'!$D$5="TOUTES",B308='PROGRAMME RT'!$D$5)),1,0)</f>
        <v>0</v>
      </c>
      <c r="AT308" s="82" t="str">
        <f aca="false">IF(AS308=1,SUM(AS$7:AS308),"")</f>
        <v/>
      </c>
      <c r="AU308" s="82" t="n">
        <f aca="false">IF(AND(OR(AA308="R",AA308="NX",AA308="NT",AA308="CO"),OR('JOINTS DE RÉPARATION'!$D$5="TOUTES",B308='JOINTS DE RÉPARATION'!$D$5),OR('JOINTS DE RÉPARATION'!$L$4="TOUS",AQ308&lt;&gt;"ACCEPTÉ")),1,0)</f>
        <v>0</v>
      </c>
      <c r="AV308" s="82" t="str">
        <f aca="false">IF(AU308=1,SUM(AU$7:AU308),"")</f>
        <v/>
      </c>
      <c r="AW308" s="82" t="str">
        <f aca="false">IF(E308="","",B308&amp;"|"&amp;E308)</f>
        <v>MFD-ISW → MFD-CPF|JN°302</v>
      </c>
    </row>
    <row r="309" customFormat="false" ht="74.6" hidden="false" customHeight="false" outlineLevel="0" collapsed="false">
      <c r="A309" s="79" t="n">
        <f aca="false">IF(E309="","",ROW()-6)</f>
        <v>303</v>
      </c>
      <c r="B309" s="80" t="s">
        <v>110</v>
      </c>
      <c r="C309" s="81"/>
      <c r="D309" s="81"/>
      <c r="E309" s="81" t="s">
        <v>413</v>
      </c>
      <c r="F309" s="82" t="str">
        <f aca="false">IF(E309="","",IF(LEFT(E309,2)="DJ","DJ","JN"))</f>
        <v>JN</v>
      </c>
      <c r="G309" s="81"/>
      <c r="H309" s="81"/>
      <c r="I309" s="81"/>
      <c r="J309" s="81"/>
      <c r="K309" s="81"/>
      <c r="L309" s="81"/>
      <c r="M309" s="81"/>
      <c r="N309" s="81"/>
      <c r="O309" s="81"/>
      <c r="P309" s="81"/>
      <c r="Q309" s="81"/>
      <c r="R309" s="81"/>
      <c r="S309" s="81"/>
      <c r="T309" s="81"/>
      <c r="U309" s="83"/>
      <c r="V309" s="83"/>
      <c r="W309" s="81"/>
      <c r="X309" s="81"/>
      <c r="Y309" s="83"/>
      <c r="Z309" s="81"/>
      <c r="AA309" s="81"/>
      <c r="AB309" s="81"/>
      <c r="AC309" s="81"/>
      <c r="AD309" s="81"/>
      <c r="AE309" s="83"/>
      <c r="AF309" s="81"/>
      <c r="AG309" s="81"/>
      <c r="AH309" s="81"/>
      <c r="AI309" s="81"/>
      <c r="AJ309" s="83"/>
      <c r="AK309" s="81"/>
      <c r="AL309" s="81"/>
      <c r="AM309" s="83"/>
      <c r="AN309" s="80"/>
      <c r="AO309" s="82" t="n">
        <f aca="false">IF(E309="","",(AA309&lt;&gt;"")+(AG309&lt;&gt;"")+(AL309&lt;&gt;""))</f>
        <v>0</v>
      </c>
      <c r="AP309" s="82" t="str">
        <f aca="false">IF(AL309&lt;&gt;"",AL309,IF(AG309&lt;&gt;"",AG309,IF(AA309&lt;&gt;"",AA309,"")))</f>
        <v/>
      </c>
      <c r="AQ309" s="84" t="str">
        <f aca="false">IF(E309="","",IF(U309="","À SOUDER",IF(X309="","VT EN ATTENTE",IF(X309="R","VT REJETÉ – À REPRENDRE",IF(AP309="","À RADIOGRAPHIER",IF(AP309="A","ACCEPTÉ",IF(AP309="NX","NX – RT À REFAIRE",IF(IF(AO309=1,AD309,IF(AO309=2,AI309,""))="A","RÉPARÉ – À RADIOGRAPHIER",IF(IF(AO309=1,AD309,IF(AO309=2,AI309,""))="R","VT REJETÉ – À REPRENDRE",IF(OR(AP309="CO",AP309="NT"),"COUPE – À RESOUDER","À RÉPARER"))))))))))</f>
        <v>À SOUDER</v>
      </c>
      <c r="AR309" s="82" t="str">
        <f aca="false">IF(AND(ISNUMBER(U309),OR(AQ309="À RADIOGRAPHIER",AQ309="RÉPARÉ – À RADIOGRAPHIER",AQ309="NX – RT À REFAIRE",AQ309="À RÉPARER",AQ309="COUPE – À RESOUDER",AQ309="VT REJETÉ – À REPRENDRE")),MAX(0,'PROGRAMME RT'!$C$4-U309),"")</f>
        <v/>
      </c>
      <c r="AS309" s="82" t="n">
        <f aca="false">IF(AND(OR(AQ309="À RADIOGRAPHIER",AQ309="RÉPARÉ – À RADIOGRAPHIER",AQ309="NX – RT À REFAIRE"),OR('PROGRAMME RT'!$D$5="TOUTES",B309='PROGRAMME RT'!$D$5)),1,0)</f>
        <v>0</v>
      </c>
      <c r="AT309" s="82" t="str">
        <f aca="false">IF(AS309=1,SUM(AS$7:AS309),"")</f>
        <v/>
      </c>
      <c r="AU309" s="82" t="n">
        <f aca="false">IF(AND(OR(AA309="R",AA309="NX",AA309="NT",AA309="CO"),OR('JOINTS DE RÉPARATION'!$D$5="TOUTES",B309='JOINTS DE RÉPARATION'!$D$5),OR('JOINTS DE RÉPARATION'!$L$4="TOUS",AQ309&lt;&gt;"ACCEPTÉ")),1,0)</f>
        <v>0</v>
      </c>
      <c r="AV309" s="82" t="str">
        <f aca="false">IF(AU309=1,SUM(AU$7:AU309),"")</f>
        <v/>
      </c>
      <c r="AW309" s="82" t="str">
        <f aca="false">IF(E309="","",B309&amp;"|"&amp;E309)</f>
        <v>MFD-ISW → MFD-CPF|JN°303</v>
      </c>
    </row>
    <row r="310" customFormat="false" ht="74.6" hidden="false" customHeight="false" outlineLevel="0" collapsed="false">
      <c r="A310" s="79" t="n">
        <f aca="false">IF(E310="","",ROW()-6)</f>
        <v>304</v>
      </c>
      <c r="B310" s="80" t="s">
        <v>110</v>
      </c>
      <c r="C310" s="81"/>
      <c r="D310" s="81"/>
      <c r="E310" s="81" t="s">
        <v>414</v>
      </c>
      <c r="F310" s="82" t="str">
        <f aca="false">IF(E310="","",IF(LEFT(E310,2)="DJ","DJ","JN"))</f>
        <v>JN</v>
      </c>
      <c r="G310" s="81"/>
      <c r="H310" s="81"/>
      <c r="I310" s="81"/>
      <c r="J310" s="81"/>
      <c r="K310" s="81"/>
      <c r="L310" s="81"/>
      <c r="M310" s="81"/>
      <c r="N310" s="81"/>
      <c r="O310" s="81"/>
      <c r="P310" s="81"/>
      <c r="Q310" s="81"/>
      <c r="R310" s="81"/>
      <c r="S310" s="81"/>
      <c r="T310" s="81"/>
      <c r="U310" s="83"/>
      <c r="V310" s="83"/>
      <c r="W310" s="81"/>
      <c r="X310" s="81"/>
      <c r="Y310" s="83"/>
      <c r="Z310" s="81"/>
      <c r="AA310" s="81"/>
      <c r="AB310" s="81"/>
      <c r="AC310" s="81"/>
      <c r="AD310" s="81"/>
      <c r="AE310" s="83"/>
      <c r="AF310" s="81"/>
      <c r="AG310" s="81"/>
      <c r="AH310" s="81"/>
      <c r="AI310" s="81"/>
      <c r="AJ310" s="83"/>
      <c r="AK310" s="81"/>
      <c r="AL310" s="81"/>
      <c r="AM310" s="83"/>
      <c r="AN310" s="80"/>
      <c r="AO310" s="82" t="n">
        <f aca="false">IF(E310="","",(AA310&lt;&gt;"")+(AG310&lt;&gt;"")+(AL310&lt;&gt;""))</f>
        <v>0</v>
      </c>
      <c r="AP310" s="82" t="str">
        <f aca="false">IF(AL310&lt;&gt;"",AL310,IF(AG310&lt;&gt;"",AG310,IF(AA310&lt;&gt;"",AA310,"")))</f>
        <v/>
      </c>
      <c r="AQ310" s="84" t="str">
        <f aca="false">IF(E310="","",IF(U310="","À SOUDER",IF(X310="","VT EN ATTENTE",IF(X310="R","VT REJETÉ – À REPRENDRE",IF(AP310="","À RADIOGRAPHIER",IF(AP310="A","ACCEPTÉ",IF(AP310="NX","NX – RT À REFAIRE",IF(IF(AO310=1,AD310,IF(AO310=2,AI310,""))="A","RÉPARÉ – À RADIOGRAPHIER",IF(IF(AO310=1,AD310,IF(AO310=2,AI310,""))="R","VT REJETÉ – À REPRENDRE",IF(OR(AP310="CO",AP310="NT"),"COUPE – À RESOUDER","À RÉPARER"))))))))))</f>
        <v>À SOUDER</v>
      </c>
      <c r="AR310" s="82" t="str">
        <f aca="false">IF(AND(ISNUMBER(U310),OR(AQ310="À RADIOGRAPHIER",AQ310="RÉPARÉ – À RADIOGRAPHIER",AQ310="NX – RT À REFAIRE",AQ310="À RÉPARER",AQ310="COUPE – À RESOUDER",AQ310="VT REJETÉ – À REPRENDRE")),MAX(0,'PROGRAMME RT'!$C$4-U310),"")</f>
        <v/>
      </c>
      <c r="AS310" s="82" t="n">
        <f aca="false">IF(AND(OR(AQ310="À RADIOGRAPHIER",AQ310="RÉPARÉ – À RADIOGRAPHIER",AQ310="NX – RT À REFAIRE"),OR('PROGRAMME RT'!$D$5="TOUTES",B310='PROGRAMME RT'!$D$5)),1,0)</f>
        <v>0</v>
      </c>
      <c r="AT310" s="82" t="str">
        <f aca="false">IF(AS310=1,SUM(AS$7:AS310),"")</f>
        <v/>
      </c>
      <c r="AU310" s="82" t="n">
        <f aca="false">IF(AND(OR(AA310="R",AA310="NX",AA310="NT",AA310="CO"),OR('JOINTS DE RÉPARATION'!$D$5="TOUTES",B310='JOINTS DE RÉPARATION'!$D$5),OR('JOINTS DE RÉPARATION'!$L$4="TOUS",AQ310&lt;&gt;"ACCEPTÉ")),1,0)</f>
        <v>0</v>
      </c>
      <c r="AV310" s="82" t="str">
        <f aca="false">IF(AU310=1,SUM(AU$7:AU310),"")</f>
        <v/>
      </c>
      <c r="AW310" s="82" t="str">
        <f aca="false">IF(E310="","",B310&amp;"|"&amp;E310)</f>
        <v>MFD-ISW → MFD-CPF|JN°304</v>
      </c>
    </row>
    <row r="311" customFormat="false" ht="74.6" hidden="false" customHeight="false" outlineLevel="0" collapsed="false">
      <c r="A311" s="79" t="n">
        <f aca="false">IF(E311="","",ROW()-6)</f>
        <v>305</v>
      </c>
      <c r="B311" s="80" t="s">
        <v>110</v>
      </c>
      <c r="C311" s="81"/>
      <c r="D311" s="81"/>
      <c r="E311" s="81" t="s">
        <v>415</v>
      </c>
      <c r="F311" s="82" t="str">
        <f aca="false">IF(E311="","",IF(LEFT(E311,2)="DJ","DJ","JN"))</f>
        <v>JN</v>
      </c>
      <c r="G311" s="81"/>
      <c r="H311" s="81"/>
      <c r="I311" s="81"/>
      <c r="J311" s="81"/>
      <c r="K311" s="81"/>
      <c r="L311" s="81"/>
      <c r="M311" s="81"/>
      <c r="N311" s="81"/>
      <c r="O311" s="81"/>
      <c r="P311" s="81"/>
      <c r="Q311" s="81"/>
      <c r="R311" s="81"/>
      <c r="S311" s="81"/>
      <c r="T311" s="81"/>
      <c r="U311" s="83"/>
      <c r="V311" s="83"/>
      <c r="W311" s="81"/>
      <c r="X311" s="81"/>
      <c r="Y311" s="83"/>
      <c r="Z311" s="81"/>
      <c r="AA311" s="81"/>
      <c r="AB311" s="81"/>
      <c r="AC311" s="81"/>
      <c r="AD311" s="81"/>
      <c r="AE311" s="83"/>
      <c r="AF311" s="81"/>
      <c r="AG311" s="81"/>
      <c r="AH311" s="81"/>
      <c r="AI311" s="81"/>
      <c r="AJ311" s="83"/>
      <c r="AK311" s="81"/>
      <c r="AL311" s="81"/>
      <c r="AM311" s="83"/>
      <c r="AN311" s="80"/>
      <c r="AO311" s="82" t="n">
        <f aca="false">IF(E311="","",(AA311&lt;&gt;"")+(AG311&lt;&gt;"")+(AL311&lt;&gt;""))</f>
        <v>0</v>
      </c>
      <c r="AP311" s="82" t="str">
        <f aca="false">IF(AL311&lt;&gt;"",AL311,IF(AG311&lt;&gt;"",AG311,IF(AA311&lt;&gt;"",AA311,"")))</f>
        <v/>
      </c>
      <c r="AQ311" s="84" t="str">
        <f aca="false">IF(E311="","",IF(U311="","À SOUDER",IF(X311="","VT EN ATTENTE",IF(X311="R","VT REJETÉ – À REPRENDRE",IF(AP311="","À RADIOGRAPHIER",IF(AP311="A","ACCEPTÉ",IF(AP311="NX","NX – RT À REFAIRE",IF(IF(AO311=1,AD311,IF(AO311=2,AI311,""))="A","RÉPARÉ – À RADIOGRAPHIER",IF(IF(AO311=1,AD311,IF(AO311=2,AI311,""))="R","VT REJETÉ – À REPRENDRE",IF(OR(AP311="CO",AP311="NT"),"COUPE – À RESOUDER","À RÉPARER"))))))))))</f>
        <v>À SOUDER</v>
      </c>
      <c r="AR311" s="82" t="str">
        <f aca="false">IF(AND(ISNUMBER(U311),OR(AQ311="À RADIOGRAPHIER",AQ311="RÉPARÉ – À RADIOGRAPHIER",AQ311="NX – RT À REFAIRE",AQ311="À RÉPARER",AQ311="COUPE – À RESOUDER",AQ311="VT REJETÉ – À REPRENDRE")),MAX(0,'PROGRAMME RT'!$C$4-U311),"")</f>
        <v/>
      </c>
      <c r="AS311" s="82" t="n">
        <f aca="false">IF(AND(OR(AQ311="À RADIOGRAPHIER",AQ311="RÉPARÉ – À RADIOGRAPHIER",AQ311="NX – RT À REFAIRE"),OR('PROGRAMME RT'!$D$5="TOUTES",B311='PROGRAMME RT'!$D$5)),1,0)</f>
        <v>0</v>
      </c>
      <c r="AT311" s="82" t="str">
        <f aca="false">IF(AS311=1,SUM(AS$7:AS311),"")</f>
        <v/>
      </c>
      <c r="AU311" s="82" t="n">
        <f aca="false">IF(AND(OR(AA311="R",AA311="NX",AA311="NT",AA311="CO"),OR('JOINTS DE RÉPARATION'!$D$5="TOUTES",B311='JOINTS DE RÉPARATION'!$D$5),OR('JOINTS DE RÉPARATION'!$L$4="TOUS",AQ311&lt;&gt;"ACCEPTÉ")),1,0)</f>
        <v>0</v>
      </c>
      <c r="AV311" s="82" t="str">
        <f aca="false">IF(AU311=1,SUM(AU$7:AU311),"")</f>
        <v/>
      </c>
      <c r="AW311" s="82" t="str">
        <f aca="false">IF(E311="","",B311&amp;"|"&amp;E311)</f>
        <v>MFD-ISW → MFD-CPF|JN°305</v>
      </c>
    </row>
    <row r="312" customFormat="false" ht="74.6" hidden="false" customHeight="false" outlineLevel="0" collapsed="false">
      <c r="A312" s="79" t="n">
        <f aca="false">IF(E312="","",ROW()-6)</f>
        <v>306</v>
      </c>
      <c r="B312" s="80" t="s">
        <v>110</v>
      </c>
      <c r="C312" s="81"/>
      <c r="D312" s="81"/>
      <c r="E312" s="81" t="s">
        <v>416</v>
      </c>
      <c r="F312" s="82" t="str">
        <f aca="false">IF(E312="","",IF(LEFT(E312,2)="DJ","DJ","JN"))</f>
        <v>JN</v>
      </c>
      <c r="G312" s="81"/>
      <c r="H312" s="81"/>
      <c r="I312" s="81"/>
      <c r="J312" s="81"/>
      <c r="K312" s="81"/>
      <c r="L312" s="81"/>
      <c r="M312" s="81"/>
      <c r="N312" s="81"/>
      <c r="O312" s="81"/>
      <c r="P312" s="81"/>
      <c r="Q312" s="81"/>
      <c r="R312" s="81"/>
      <c r="S312" s="81"/>
      <c r="T312" s="81"/>
      <c r="U312" s="83"/>
      <c r="V312" s="83"/>
      <c r="W312" s="81"/>
      <c r="X312" s="81"/>
      <c r="Y312" s="83"/>
      <c r="Z312" s="81"/>
      <c r="AA312" s="81"/>
      <c r="AB312" s="81"/>
      <c r="AC312" s="81"/>
      <c r="AD312" s="81"/>
      <c r="AE312" s="83"/>
      <c r="AF312" s="81"/>
      <c r="AG312" s="81"/>
      <c r="AH312" s="81"/>
      <c r="AI312" s="81"/>
      <c r="AJ312" s="83"/>
      <c r="AK312" s="81"/>
      <c r="AL312" s="81"/>
      <c r="AM312" s="83"/>
      <c r="AN312" s="80"/>
      <c r="AO312" s="82" t="n">
        <f aca="false">IF(E312="","",(AA312&lt;&gt;"")+(AG312&lt;&gt;"")+(AL312&lt;&gt;""))</f>
        <v>0</v>
      </c>
      <c r="AP312" s="82" t="str">
        <f aca="false">IF(AL312&lt;&gt;"",AL312,IF(AG312&lt;&gt;"",AG312,IF(AA312&lt;&gt;"",AA312,"")))</f>
        <v/>
      </c>
      <c r="AQ312" s="84" t="str">
        <f aca="false">IF(E312="","",IF(U312="","À SOUDER",IF(X312="","VT EN ATTENTE",IF(X312="R","VT REJETÉ – À REPRENDRE",IF(AP312="","À RADIOGRAPHIER",IF(AP312="A","ACCEPTÉ",IF(AP312="NX","NX – RT À REFAIRE",IF(IF(AO312=1,AD312,IF(AO312=2,AI312,""))="A","RÉPARÉ – À RADIOGRAPHIER",IF(IF(AO312=1,AD312,IF(AO312=2,AI312,""))="R","VT REJETÉ – À REPRENDRE",IF(OR(AP312="CO",AP312="NT"),"COUPE – À RESOUDER","À RÉPARER"))))))))))</f>
        <v>À SOUDER</v>
      </c>
      <c r="AR312" s="82" t="str">
        <f aca="false">IF(AND(ISNUMBER(U312),OR(AQ312="À RADIOGRAPHIER",AQ312="RÉPARÉ – À RADIOGRAPHIER",AQ312="NX – RT À REFAIRE",AQ312="À RÉPARER",AQ312="COUPE – À RESOUDER",AQ312="VT REJETÉ – À REPRENDRE")),MAX(0,'PROGRAMME RT'!$C$4-U312),"")</f>
        <v/>
      </c>
      <c r="AS312" s="82" t="n">
        <f aca="false">IF(AND(OR(AQ312="À RADIOGRAPHIER",AQ312="RÉPARÉ – À RADIOGRAPHIER",AQ312="NX – RT À REFAIRE"),OR('PROGRAMME RT'!$D$5="TOUTES",B312='PROGRAMME RT'!$D$5)),1,0)</f>
        <v>0</v>
      </c>
      <c r="AT312" s="82" t="str">
        <f aca="false">IF(AS312=1,SUM(AS$7:AS312),"")</f>
        <v/>
      </c>
      <c r="AU312" s="82" t="n">
        <f aca="false">IF(AND(OR(AA312="R",AA312="NX",AA312="NT",AA312="CO"),OR('JOINTS DE RÉPARATION'!$D$5="TOUTES",B312='JOINTS DE RÉPARATION'!$D$5),OR('JOINTS DE RÉPARATION'!$L$4="TOUS",AQ312&lt;&gt;"ACCEPTÉ")),1,0)</f>
        <v>0</v>
      </c>
      <c r="AV312" s="82" t="str">
        <f aca="false">IF(AU312=1,SUM(AU$7:AU312),"")</f>
        <v/>
      </c>
      <c r="AW312" s="82" t="str">
        <f aca="false">IF(E312="","",B312&amp;"|"&amp;E312)</f>
        <v>MFD-ISW → MFD-CPF|JN°306</v>
      </c>
    </row>
    <row r="313" customFormat="false" ht="74.6" hidden="false" customHeight="false" outlineLevel="0" collapsed="false">
      <c r="A313" s="79" t="n">
        <f aca="false">IF(E313="","",ROW()-6)</f>
        <v>307</v>
      </c>
      <c r="B313" s="80" t="s">
        <v>110</v>
      </c>
      <c r="C313" s="81"/>
      <c r="D313" s="81"/>
      <c r="E313" s="81" t="s">
        <v>417</v>
      </c>
      <c r="F313" s="82" t="str">
        <f aca="false">IF(E313="","",IF(LEFT(E313,2)="DJ","DJ","JN"))</f>
        <v>JN</v>
      </c>
      <c r="G313" s="81"/>
      <c r="H313" s="81"/>
      <c r="I313" s="81"/>
      <c r="J313" s="81"/>
      <c r="K313" s="81"/>
      <c r="L313" s="81"/>
      <c r="M313" s="81"/>
      <c r="N313" s="81"/>
      <c r="O313" s="81"/>
      <c r="P313" s="81"/>
      <c r="Q313" s="81"/>
      <c r="R313" s="81"/>
      <c r="S313" s="81"/>
      <c r="T313" s="81"/>
      <c r="U313" s="83"/>
      <c r="V313" s="83"/>
      <c r="W313" s="81"/>
      <c r="X313" s="81"/>
      <c r="Y313" s="83"/>
      <c r="Z313" s="81"/>
      <c r="AA313" s="81"/>
      <c r="AB313" s="81"/>
      <c r="AC313" s="81"/>
      <c r="AD313" s="81"/>
      <c r="AE313" s="83"/>
      <c r="AF313" s="81"/>
      <c r="AG313" s="81"/>
      <c r="AH313" s="81"/>
      <c r="AI313" s="81"/>
      <c r="AJ313" s="83"/>
      <c r="AK313" s="81"/>
      <c r="AL313" s="81"/>
      <c r="AM313" s="83"/>
      <c r="AN313" s="80"/>
      <c r="AO313" s="82" t="n">
        <f aca="false">IF(E313="","",(AA313&lt;&gt;"")+(AG313&lt;&gt;"")+(AL313&lt;&gt;""))</f>
        <v>0</v>
      </c>
      <c r="AP313" s="82" t="str">
        <f aca="false">IF(AL313&lt;&gt;"",AL313,IF(AG313&lt;&gt;"",AG313,IF(AA313&lt;&gt;"",AA313,"")))</f>
        <v/>
      </c>
      <c r="AQ313" s="84" t="str">
        <f aca="false">IF(E313="","",IF(U313="","À SOUDER",IF(X313="","VT EN ATTENTE",IF(X313="R","VT REJETÉ – À REPRENDRE",IF(AP313="","À RADIOGRAPHIER",IF(AP313="A","ACCEPTÉ",IF(AP313="NX","NX – RT À REFAIRE",IF(IF(AO313=1,AD313,IF(AO313=2,AI313,""))="A","RÉPARÉ – À RADIOGRAPHIER",IF(IF(AO313=1,AD313,IF(AO313=2,AI313,""))="R","VT REJETÉ – À REPRENDRE",IF(OR(AP313="CO",AP313="NT"),"COUPE – À RESOUDER","À RÉPARER"))))))))))</f>
        <v>À SOUDER</v>
      </c>
      <c r="AR313" s="82" t="str">
        <f aca="false">IF(AND(ISNUMBER(U313),OR(AQ313="À RADIOGRAPHIER",AQ313="RÉPARÉ – À RADIOGRAPHIER",AQ313="NX – RT À REFAIRE",AQ313="À RÉPARER",AQ313="COUPE – À RESOUDER",AQ313="VT REJETÉ – À REPRENDRE")),MAX(0,'PROGRAMME RT'!$C$4-U313),"")</f>
        <v/>
      </c>
      <c r="AS313" s="82" t="n">
        <f aca="false">IF(AND(OR(AQ313="À RADIOGRAPHIER",AQ313="RÉPARÉ – À RADIOGRAPHIER",AQ313="NX – RT À REFAIRE"),OR('PROGRAMME RT'!$D$5="TOUTES",B313='PROGRAMME RT'!$D$5)),1,0)</f>
        <v>0</v>
      </c>
      <c r="AT313" s="82" t="str">
        <f aca="false">IF(AS313=1,SUM(AS$7:AS313),"")</f>
        <v/>
      </c>
      <c r="AU313" s="82" t="n">
        <f aca="false">IF(AND(OR(AA313="R",AA313="NX",AA313="NT",AA313="CO"),OR('JOINTS DE RÉPARATION'!$D$5="TOUTES",B313='JOINTS DE RÉPARATION'!$D$5),OR('JOINTS DE RÉPARATION'!$L$4="TOUS",AQ313&lt;&gt;"ACCEPTÉ")),1,0)</f>
        <v>0</v>
      </c>
      <c r="AV313" s="82" t="str">
        <f aca="false">IF(AU313=1,SUM(AU$7:AU313),"")</f>
        <v/>
      </c>
      <c r="AW313" s="82" t="str">
        <f aca="false">IF(E313="","",B313&amp;"|"&amp;E313)</f>
        <v>MFD-ISW → MFD-CPF|JN°307</v>
      </c>
    </row>
    <row r="314" customFormat="false" ht="74.6" hidden="false" customHeight="false" outlineLevel="0" collapsed="false">
      <c r="A314" s="79" t="n">
        <f aca="false">IF(E314="","",ROW()-6)</f>
        <v>308</v>
      </c>
      <c r="B314" s="80" t="s">
        <v>110</v>
      </c>
      <c r="C314" s="81"/>
      <c r="D314" s="81"/>
      <c r="E314" s="81" t="s">
        <v>418</v>
      </c>
      <c r="F314" s="82" t="str">
        <f aca="false">IF(E314="","",IF(LEFT(E314,2)="DJ","DJ","JN"))</f>
        <v>JN</v>
      </c>
      <c r="G314" s="81"/>
      <c r="H314" s="81"/>
      <c r="I314" s="81"/>
      <c r="J314" s="81"/>
      <c r="K314" s="81"/>
      <c r="L314" s="81"/>
      <c r="M314" s="81"/>
      <c r="N314" s="81"/>
      <c r="O314" s="81"/>
      <c r="P314" s="81"/>
      <c r="Q314" s="81"/>
      <c r="R314" s="81"/>
      <c r="S314" s="81"/>
      <c r="T314" s="81"/>
      <c r="U314" s="83"/>
      <c r="V314" s="83"/>
      <c r="W314" s="81"/>
      <c r="X314" s="81"/>
      <c r="Y314" s="83"/>
      <c r="Z314" s="81"/>
      <c r="AA314" s="81"/>
      <c r="AB314" s="81"/>
      <c r="AC314" s="81"/>
      <c r="AD314" s="81"/>
      <c r="AE314" s="83"/>
      <c r="AF314" s="81"/>
      <c r="AG314" s="81"/>
      <c r="AH314" s="81"/>
      <c r="AI314" s="81"/>
      <c r="AJ314" s="83"/>
      <c r="AK314" s="81"/>
      <c r="AL314" s="81"/>
      <c r="AM314" s="83"/>
      <c r="AN314" s="80"/>
      <c r="AO314" s="82" t="n">
        <f aca="false">IF(E314="","",(AA314&lt;&gt;"")+(AG314&lt;&gt;"")+(AL314&lt;&gt;""))</f>
        <v>0</v>
      </c>
      <c r="AP314" s="82" t="str">
        <f aca="false">IF(AL314&lt;&gt;"",AL314,IF(AG314&lt;&gt;"",AG314,IF(AA314&lt;&gt;"",AA314,"")))</f>
        <v/>
      </c>
      <c r="AQ314" s="84" t="str">
        <f aca="false">IF(E314="","",IF(U314="","À SOUDER",IF(X314="","VT EN ATTENTE",IF(X314="R","VT REJETÉ – À REPRENDRE",IF(AP314="","À RADIOGRAPHIER",IF(AP314="A","ACCEPTÉ",IF(AP314="NX","NX – RT À REFAIRE",IF(IF(AO314=1,AD314,IF(AO314=2,AI314,""))="A","RÉPARÉ – À RADIOGRAPHIER",IF(IF(AO314=1,AD314,IF(AO314=2,AI314,""))="R","VT REJETÉ – À REPRENDRE",IF(OR(AP314="CO",AP314="NT"),"COUPE – À RESOUDER","À RÉPARER"))))))))))</f>
        <v>À SOUDER</v>
      </c>
      <c r="AR314" s="82" t="str">
        <f aca="false">IF(AND(ISNUMBER(U314),OR(AQ314="À RADIOGRAPHIER",AQ314="RÉPARÉ – À RADIOGRAPHIER",AQ314="NX – RT À REFAIRE",AQ314="À RÉPARER",AQ314="COUPE – À RESOUDER",AQ314="VT REJETÉ – À REPRENDRE")),MAX(0,'PROGRAMME RT'!$C$4-U314),"")</f>
        <v/>
      </c>
      <c r="AS314" s="82" t="n">
        <f aca="false">IF(AND(OR(AQ314="À RADIOGRAPHIER",AQ314="RÉPARÉ – À RADIOGRAPHIER",AQ314="NX – RT À REFAIRE"),OR('PROGRAMME RT'!$D$5="TOUTES",B314='PROGRAMME RT'!$D$5)),1,0)</f>
        <v>0</v>
      </c>
      <c r="AT314" s="82" t="str">
        <f aca="false">IF(AS314=1,SUM(AS$7:AS314),"")</f>
        <v/>
      </c>
      <c r="AU314" s="82" t="n">
        <f aca="false">IF(AND(OR(AA314="R",AA314="NX",AA314="NT",AA314="CO"),OR('JOINTS DE RÉPARATION'!$D$5="TOUTES",B314='JOINTS DE RÉPARATION'!$D$5),OR('JOINTS DE RÉPARATION'!$L$4="TOUS",AQ314&lt;&gt;"ACCEPTÉ")),1,0)</f>
        <v>0</v>
      </c>
      <c r="AV314" s="82" t="str">
        <f aca="false">IF(AU314=1,SUM(AU$7:AU314),"")</f>
        <v/>
      </c>
      <c r="AW314" s="82" t="str">
        <f aca="false">IF(E314="","",B314&amp;"|"&amp;E314)</f>
        <v>MFD-ISW → MFD-CPF|JN°308</v>
      </c>
    </row>
    <row r="315" customFormat="false" ht="74.6" hidden="false" customHeight="false" outlineLevel="0" collapsed="false">
      <c r="A315" s="79" t="n">
        <f aca="false">IF(E315="","",ROW()-6)</f>
        <v>309</v>
      </c>
      <c r="B315" s="80" t="s">
        <v>110</v>
      </c>
      <c r="C315" s="81"/>
      <c r="D315" s="81"/>
      <c r="E315" s="81" t="s">
        <v>419</v>
      </c>
      <c r="F315" s="82" t="str">
        <f aca="false">IF(E315="","",IF(LEFT(E315,2)="DJ","DJ","JN"))</f>
        <v>JN</v>
      </c>
      <c r="G315" s="81"/>
      <c r="H315" s="81"/>
      <c r="I315" s="81"/>
      <c r="J315" s="81"/>
      <c r="K315" s="81"/>
      <c r="L315" s="81"/>
      <c r="M315" s="81"/>
      <c r="N315" s="81"/>
      <c r="O315" s="81"/>
      <c r="P315" s="81"/>
      <c r="Q315" s="81"/>
      <c r="R315" s="81"/>
      <c r="S315" s="81"/>
      <c r="T315" s="81"/>
      <c r="U315" s="83"/>
      <c r="V315" s="83"/>
      <c r="W315" s="81"/>
      <c r="X315" s="81"/>
      <c r="Y315" s="83"/>
      <c r="Z315" s="81"/>
      <c r="AA315" s="81"/>
      <c r="AB315" s="81"/>
      <c r="AC315" s="81"/>
      <c r="AD315" s="81"/>
      <c r="AE315" s="83"/>
      <c r="AF315" s="81"/>
      <c r="AG315" s="81"/>
      <c r="AH315" s="81"/>
      <c r="AI315" s="81"/>
      <c r="AJ315" s="83"/>
      <c r="AK315" s="81"/>
      <c r="AL315" s="81"/>
      <c r="AM315" s="83"/>
      <c r="AN315" s="80"/>
      <c r="AO315" s="82" t="n">
        <f aca="false">IF(E315="","",(AA315&lt;&gt;"")+(AG315&lt;&gt;"")+(AL315&lt;&gt;""))</f>
        <v>0</v>
      </c>
      <c r="AP315" s="82" t="str">
        <f aca="false">IF(AL315&lt;&gt;"",AL315,IF(AG315&lt;&gt;"",AG315,IF(AA315&lt;&gt;"",AA315,"")))</f>
        <v/>
      </c>
      <c r="AQ315" s="84" t="str">
        <f aca="false">IF(E315="","",IF(U315="","À SOUDER",IF(X315="","VT EN ATTENTE",IF(X315="R","VT REJETÉ – À REPRENDRE",IF(AP315="","À RADIOGRAPHIER",IF(AP315="A","ACCEPTÉ",IF(AP315="NX","NX – RT À REFAIRE",IF(IF(AO315=1,AD315,IF(AO315=2,AI315,""))="A","RÉPARÉ – À RADIOGRAPHIER",IF(IF(AO315=1,AD315,IF(AO315=2,AI315,""))="R","VT REJETÉ – À REPRENDRE",IF(OR(AP315="CO",AP315="NT"),"COUPE – À RESOUDER","À RÉPARER"))))))))))</f>
        <v>À SOUDER</v>
      </c>
      <c r="AR315" s="82" t="str">
        <f aca="false">IF(AND(ISNUMBER(U315),OR(AQ315="À RADIOGRAPHIER",AQ315="RÉPARÉ – À RADIOGRAPHIER",AQ315="NX – RT À REFAIRE",AQ315="À RÉPARER",AQ315="COUPE – À RESOUDER",AQ315="VT REJETÉ – À REPRENDRE")),MAX(0,'PROGRAMME RT'!$C$4-U315),"")</f>
        <v/>
      </c>
      <c r="AS315" s="82" t="n">
        <f aca="false">IF(AND(OR(AQ315="À RADIOGRAPHIER",AQ315="RÉPARÉ – À RADIOGRAPHIER",AQ315="NX – RT À REFAIRE"),OR('PROGRAMME RT'!$D$5="TOUTES",B315='PROGRAMME RT'!$D$5)),1,0)</f>
        <v>0</v>
      </c>
      <c r="AT315" s="82" t="str">
        <f aca="false">IF(AS315=1,SUM(AS$7:AS315),"")</f>
        <v/>
      </c>
      <c r="AU315" s="82" t="n">
        <f aca="false">IF(AND(OR(AA315="R",AA315="NX",AA315="NT",AA315="CO"),OR('JOINTS DE RÉPARATION'!$D$5="TOUTES",B315='JOINTS DE RÉPARATION'!$D$5),OR('JOINTS DE RÉPARATION'!$L$4="TOUS",AQ315&lt;&gt;"ACCEPTÉ")),1,0)</f>
        <v>0</v>
      </c>
      <c r="AV315" s="82" t="str">
        <f aca="false">IF(AU315=1,SUM(AU$7:AU315),"")</f>
        <v/>
      </c>
      <c r="AW315" s="82" t="str">
        <f aca="false">IF(E315="","",B315&amp;"|"&amp;E315)</f>
        <v>MFD-ISW → MFD-CPF|JN°309</v>
      </c>
    </row>
    <row r="316" customFormat="false" ht="74.6" hidden="false" customHeight="false" outlineLevel="0" collapsed="false">
      <c r="A316" s="79" t="n">
        <f aca="false">IF(E316="","",ROW()-6)</f>
        <v>310</v>
      </c>
      <c r="B316" s="80" t="s">
        <v>110</v>
      </c>
      <c r="C316" s="81"/>
      <c r="D316" s="81"/>
      <c r="E316" s="81" t="s">
        <v>420</v>
      </c>
      <c r="F316" s="82" t="str">
        <f aca="false">IF(E316="","",IF(LEFT(E316,2)="DJ","DJ","JN"))</f>
        <v>JN</v>
      </c>
      <c r="G316" s="81"/>
      <c r="H316" s="81"/>
      <c r="I316" s="81"/>
      <c r="J316" s="81"/>
      <c r="K316" s="81"/>
      <c r="L316" s="81"/>
      <c r="M316" s="81"/>
      <c r="N316" s="81"/>
      <c r="O316" s="81"/>
      <c r="P316" s="81"/>
      <c r="Q316" s="81"/>
      <c r="R316" s="81"/>
      <c r="S316" s="81"/>
      <c r="T316" s="81"/>
      <c r="U316" s="83"/>
      <c r="V316" s="83"/>
      <c r="W316" s="81"/>
      <c r="X316" s="81"/>
      <c r="Y316" s="83"/>
      <c r="Z316" s="81"/>
      <c r="AA316" s="81"/>
      <c r="AB316" s="81"/>
      <c r="AC316" s="81"/>
      <c r="AD316" s="81"/>
      <c r="AE316" s="83"/>
      <c r="AF316" s="81"/>
      <c r="AG316" s="81"/>
      <c r="AH316" s="81"/>
      <c r="AI316" s="81"/>
      <c r="AJ316" s="83"/>
      <c r="AK316" s="81"/>
      <c r="AL316" s="81"/>
      <c r="AM316" s="83"/>
      <c r="AN316" s="80"/>
      <c r="AO316" s="82" t="n">
        <f aca="false">IF(E316="","",(AA316&lt;&gt;"")+(AG316&lt;&gt;"")+(AL316&lt;&gt;""))</f>
        <v>0</v>
      </c>
      <c r="AP316" s="82" t="str">
        <f aca="false">IF(AL316&lt;&gt;"",AL316,IF(AG316&lt;&gt;"",AG316,IF(AA316&lt;&gt;"",AA316,"")))</f>
        <v/>
      </c>
      <c r="AQ316" s="84" t="str">
        <f aca="false">IF(E316="","",IF(U316="","À SOUDER",IF(X316="","VT EN ATTENTE",IF(X316="R","VT REJETÉ – À REPRENDRE",IF(AP316="","À RADIOGRAPHIER",IF(AP316="A","ACCEPTÉ",IF(AP316="NX","NX – RT À REFAIRE",IF(IF(AO316=1,AD316,IF(AO316=2,AI316,""))="A","RÉPARÉ – À RADIOGRAPHIER",IF(IF(AO316=1,AD316,IF(AO316=2,AI316,""))="R","VT REJETÉ – À REPRENDRE",IF(OR(AP316="CO",AP316="NT"),"COUPE – À RESOUDER","À RÉPARER"))))))))))</f>
        <v>À SOUDER</v>
      </c>
      <c r="AR316" s="82" t="str">
        <f aca="false">IF(AND(ISNUMBER(U316),OR(AQ316="À RADIOGRAPHIER",AQ316="RÉPARÉ – À RADIOGRAPHIER",AQ316="NX – RT À REFAIRE",AQ316="À RÉPARER",AQ316="COUPE – À RESOUDER",AQ316="VT REJETÉ – À REPRENDRE")),MAX(0,'PROGRAMME RT'!$C$4-U316),"")</f>
        <v/>
      </c>
      <c r="AS316" s="82" t="n">
        <f aca="false">IF(AND(OR(AQ316="À RADIOGRAPHIER",AQ316="RÉPARÉ – À RADIOGRAPHIER",AQ316="NX – RT À REFAIRE"),OR('PROGRAMME RT'!$D$5="TOUTES",B316='PROGRAMME RT'!$D$5)),1,0)</f>
        <v>0</v>
      </c>
      <c r="AT316" s="82" t="str">
        <f aca="false">IF(AS316=1,SUM(AS$7:AS316),"")</f>
        <v/>
      </c>
      <c r="AU316" s="82" t="n">
        <f aca="false">IF(AND(OR(AA316="R",AA316="NX",AA316="NT",AA316="CO"),OR('JOINTS DE RÉPARATION'!$D$5="TOUTES",B316='JOINTS DE RÉPARATION'!$D$5),OR('JOINTS DE RÉPARATION'!$L$4="TOUS",AQ316&lt;&gt;"ACCEPTÉ")),1,0)</f>
        <v>0</v>
      </c>
      <c r="AV316" s="82" t="str">
        <f aca="false">IF(AU316=1,SUM(AU$7:AU316),"")</f>
        <v/>
      </c>
      <c r="AW316" s="82" t="str">
        <f aca="false">IF(E316="","",B316&amp;"|"&amp;E316)</f>
        <v>MFD-ISW → MFD-CPF|JN°310</v>
      </c>
    </row>
    <row r="317" customFormat="false" ht="74.6" hidden="false" customHeight="false" outlineLevel="0" collapsed="false">
      <c r="A317" s="79" t="n">
        <f aca="false">IF(E317="","",ROW()-6)</f>
        <v>311</v>
      </c>
      <c r="B317" s="80" t="s">
        <v>110</v>
      </c>
      <c r="C317" s="81"/>
      <c r="D317" s="81"/>
      <c r="E317" s="81" t="s">
        <v>421</v>
      </c>
      <c r="F317" s="82" t="str">
        <f aca="false">IF(E317="","",IF(LEFT(E317,2)="DJ","DJ","JN"))</f>
        <v>JN</v>
      </c>
      <c r="G317" s="81"/>
      <c r="H317" s="81"/>
      <c r="I317" s="81"/>
      <c r="J317" s="81"/>
      <c r="K317" s="81"/>
      <c r="L317" s="81"/>
      <c r="M317" s="81"/>
      <c r="N317" s="81"/>
      <c r="O317" s="81"/>
      <c r="P317" s="81"/>
      <c r="Q317" s="81"/>
      <c r="R317" s="81"/>
      <c r="S317" s="81"/>
      <c r="T317" s="81"/>
      <c r="U317" s="83"/>
      <c r="V317" s="83"/>
      <c r="W317" s="81"/>
      <c r="X317" s="81"/>
      <c r="Y317" s="83"/>
      <c r="Z317" s="81"/>
      <c r="AA317" s="81"/>
      <c r="AB317" s="81"/>
      <c r="AC317" s="81"/>
      <c r="AD317" s="81"/>
      <c r="AE317" s="83"/>
      <c r="AF317" s="81"/>
      <c r="AG317" s="81"/>
      <c r="AH317" s="81"/>
      <c r="AI317" s="81"/>
      <c r="AJ317" s="83"/>
      <c r="AK317" s="81"/>
      <c r="AL317" s="81"/>
      <c r="AM317" s="83"/>
      <c r="AN317" s="80"/>
      <c r="AO317" s="82" t="n">
        <f aca="false">IF(E317="","",(AA317&lt;&gt;"")+(AG317&lt;&gt;"")+(AL317&lt;&gt;""))</f>
        <v>0</v>
      </c>
      <c r="AP317" s="82" t="str">
        <f aca="false">IF(AL317&lt;&gt;"",AL317,IF(AG317&lt;&gt;"",AG317,IF(AA317&lt;&gt;"",AA317,"")))</f>
        <v/>
      </c>
      <c r="AQ317" s="84" t="str">
        <f aca="false">IF(E317="","",IF(U317="","À SOUDER",IF(X317="","VT EN ATTENTE",IF(X317="R","VT REJETÉ – À REPRENDRE",IF(AP317="","À RADIOGRAPHIER",IF(AP317="A","ACCEPTÉ",IF(AP317="NX","NX – RT À REFAIRE",IF(IF(AO317=1,AD317,IF(AO317=2,AI317,""))="A","RÉPARÉ – À RADIOGRAPHIER",IF(IF(AO317=1,AD317,IF(AO317=2,AI317,""))="R","VT REJETÉ – À REPRENDRE",IF(OR(AP317="CO",AP317="NT"),"COUPE – À RESOUDER","À RÉPARER"))))))))))</f>
        <v>À SOUDER</v>
      </c>
      <c r="AR317" s="82" t="str">
        <f aca="false">IF(AND(ISNUMBER(U317),OR(AQ317="À RADIOGRAPHIER",AQ317="RÉPARÉ – À RADIOGRAPHIER",AQ317="NX – RT À REFAIRE",AQ317="À RÉPARER",AQ317="COUPE – À RESOUDER",AQ317="VT REJETÉ – À REPRENDRE")),MAX(0,'PROGRAMME RT'!$C$4-U317),"")</f>
        <v/>
      </c>
      <c r="AS317" s="82" t="n">
        <f aca="false">IF(AND(OR(AQ317="À RADIOGRAPHIER",AQ317="RÉPARÉ – À RADIOGRAPHIER",AQ317="NX – RT À REFAIRE"),OR('PROGRAMME RT'!$D$5="TOUTES",B317='PROGRAMME RT'!$D$5)),1,0)</f>
        <v>0</v>
      </c>
      <c r="AT317" s="82" t="str">
        <f aca="false">IF(AS317=1,SUM(AS$7:AS317),"")</f>
        <v/>
      </c>
      <c r="AU317" s="82" t="n">
        <f aca="false">IF(AND(OR(AA317="R",AA317="NX",AA317="NT",AA317="CO"),OR('JOINTS DE RÉPARATION'!$D$5="TOUTES",B317='JOINTS DE RÉPARATION'!$D$5),OR('JOINTS DE RÉPARATION'!$L$4="TOUS",AQ317&lt;&gt;"ACCEPTÉ")),1,0)</f>
        <v>0</v>
      </c>
      <c r="AV317" s="82" t="str">
        <f aca="false">IF(AU317=1,SUM(AU$7:AU317),"")</f>
        <v/>
      </c>
      <c r="AW317" s="82" t="str">
        <f aca="false">IF(E317="","",B317&amp;"|"&amp;E317)</f>
        <v>MFD-ISW → MFD-CPF|JN°311</v>
      </c>
    </row>
    <row r="318" customFormat="false" ht="74.6" hidden="false" customHeight="false" outlineLevel="0" collapsed="false">
      <c r="A318" s="79" t="n">
        <f aca="false">IF(E318="","",ROW()-6)</f>
        <v>312</v>
      </c>
      <c r="B318" s="80" t="s">
        <v>110</v>
      </c>
      <c r="C318" s="81"/>
      <c r="D318" s="81"/>
      <c r="E318" s="81" t="s">
        <v>422</v>
      </c>
      <c r="F318" s="82" t="str">
        <f aca="false">IF(E318="","",IF(LEFT(E318,2)="DJ","DJ","JN"))</f>
        <v>JN</v>
      </c>
      <c r="G318" s="81"/>
      <c r="H318" s="81"/>
      <c r="I318" s="81"/>
      <c r="J318" s="81"/>
      <c r="K318" s="81"/>
      <c r="L318" s="81"/>
      <c r="M318" s="81"/>
      <c r="N318" s="81"/>
      <c r="O318" s="81"/>
      <c r="P318" s="81"/>
      <c r="Q318" s="81"/>
      <c r="R318" s="81"/>
      <c r="S318" s="81"/>
      <c r="T318" s="81"/>
      <c r="U318" s="83"/>
      <c r="V318" s="83"/>
      <c r="W318" s="81"/>
      <c r="X318" s="81"/>
      <c r="Y318" s="83"/>
      <c r="Z318" s="81"/>
      <c r="AA318" s="81"/>
      <c r="AB318" s="81"/>
      <c r="AC318" s="81"/>
      <c r="AD318" s="81"/>
      <c r="AE318" s="83"/>
      <c r="AF318" s="81"/>
      <c r="AG318" s="81"/>
      <c r="AH318" s="81"/>
      <c r="AI318" s="81"/>
      <c r="AJ318" s="83"/>
      <c r="AK318" s="81"/>
      <c r="AL318" s="81"/>
      <c r="AM318" s="83"/>
      <c r="AN318" s="80"/>
      <c r="AO318" s="82" t="n">
        <f aca="false">IF(E318="","",(AA318&lt;&gt;"")+(AG318&lt;&gt;"")+(AL318&lt;&gt;""))</f>
        <v>0</v>
      </c>
      <c r="AP318" s="82" t="str">
        <f aca="false">IF(AL318&lt;&gt;"",AL318,IF(AG318&lt;&gt;"",AG318,IF(AA318&lt;&gt;"",AA318,"")))</f>
        <v/>
      </c>
      <c r="AQ318" s="84" t="str">
        <f aca="false">IF(E318="","",IF(U318="","À SOUDER",IF(X318="","VT EN ATTENTE",IF(X318="R","VT REJETÉ – À REPRENDRE",IF(AP318="","À RADIOGRAPHIER",IF(AP318="A","ACCEPTÉ",IF(AP318="NX","NX – RT À REFAIRE",IF(IF(AO318=1,AD318,IF(AO318=2,AI318,""))="A","RÉPARÉ – À RADIOGRAPHIER",IF(IF(AO318=1,AD318,IF(AO318=2,AI318,""))="R","VT REJETÉ – À REPRENDRE",IF(OR(AP318="CO",AP318="NT"),"COUPE – À RESOUDER","À RÉPARER"))))))))))</f>
        <v>À SOUDER</v>
      </c>
      <c r="AR318" s="82" t="str">
        <f aca="false">IF(AND(ISNUMBER(U318),OR(AQ318="À RADIOGRAPHIER",AQ318="RÉPARÉ – À RADIOGRAPHIER",AQ318="NX – RT À REFAIRE",AQ318="À RÉPARER",AQ318="COUPE – À RESOUDER",AQ318="VT REJETÉ – À REPRENDRE")),MAX(0,'PROGRAMME RT'!$C$4-U318),"")</f>
        <v/>
      </c>
      <c r="AS318" s="82" t="n">
        <f aca="false">IF(AND(OR(AQ318="À RADIOGRAPHIER",AQ318="RÉPARÉ – À RADIOGRAPHIER",AQ318="NX – RT À REFAIRE"),OR('PROGRAMME RT'!$D$5="TOUTES",B318='PROGRAMME RT'!$D$5)),1,0)</f>
        <v>0</v>
      </c>
      <c r="AT318" s="82" t="str">
        <f aca="false">IF(AS318=1,SUM(AS$7:AS318),"")</f>
        <v/>
      </c>
      <c r="AU318" s="82" t="n">
        <f aca="false">IF(AND(OR(AA318="R",AA318="NX",AA318="NT",AA318="CO"),OR('JOINTS DE RÉPARATION'!$D$5="TOUTES",B318='JOINTS DE RÉPARATION'!$D$5),OR('JOINTS DE RÉPARATION'!$L$4="TOUS",AQ318&lt;&gt;"ACCEPTÉ")),1,0)</f>
        <v>0</v>
      </c>
      <c r="AV318" s="82" t="str">
        <f aca="false">IF(AU318=1,SUM(AU$7:AU318),"")</f>
        <v/>
      </c>
      <c r="AW318" s="82" t="str">
        <f aca="false">IF(E318="","",B318&amp;"|"&amp;E318)</f>
        <v>MFD-ISW → MFD-CPF|JN°312</v>
      </c>
    </row>
    <row r="319" customFormat="false" ht="74.6" hidden="false" customHeight="false" outlineLevel="0" collapsed="false">
      <c r="A319" s="79" t="n">
        <f aca="false">IF(E319="","",ROW()-6)</f>
        <v>313</v>
      </c>
      <c r="B319" s="80" t="s">
        <v>110</v>
      </c>
      <c r="C319" s="81"/>
      <c r="D319" s="81"/>
      <c r="E319" s="81" t="s">
        <v>423</v>
      </c>
      <c r="F319" s="82" t="str">
        <f aca="false">IF(E319="","",IF(LEFT(E319,2)="DJ","DJ","JN"))</f>
        <v>JN</v>
      </c>
      <c r="G319" s="81"/>
      <c r="H319" s="81"/>
      <c r="I319" s="81"/>
      <c r="J319" s="81"/>
      <c r="K319" s="81"/>
      <c r="L319" s="81"/>
      <c r="M319" s="81"/>
      <c r="N319" s="81"/>
      <c r="O319" s="81"/>
      <c r="P319" s="81"/>
      <c r="Q319" s="81"/>
      <c r="R319" s="81"/>
      <c r="S319" s="81"/>
      <c r="T319" s="81"/>
      <c r="U319" s="83"/>
      <c r="V319" s="83"/>
      <c r="W319" s="81"/>
      <c r="X319" s="81"/>
      <c r="Y319" s="83"/>
      <c r="Z319" s="81"/>
      <c r="AA319" s="81"/>
      <c r="AB319" s="81"/>
      <c r="AC319" s="81"/>
      <c r="AD319" s="81"/>
      <c r="AE319" s="83"/>
      <c r="AF319" s="81"/>
      <c r="AG319" s="81"/>
      <c r="AH319" s="81"/>
      <c r="AI319" s="81"/>
      <c r="AJ319" s="83"/>
      <c r="AK319" s="81"/>
      <c r="AL319" s="81"/>
      <c r="AM319" s="83"/>
      <c r="AN319" s="80"/>
      <c r="AO319" s="82" t="n">
        <f aca="false">IF(E319="","",(AA319&lt;&gt;"")+(AG319&lt;&gt;"")+(AL319&lt;&gt;""))</f>
        <v>0</v>
      </c>
      <c r="AP319" s="82" t="str">
        <f aca="false">IF(AL319&lt;&gt;"",AL319,IF(AG319&lt;&gt;"",AG319,IF(AA319&lt;&gt;"",AA319,"")))</f>
        <v/>
      </c>
      <c r="AQ319" s="84" t="str">
        <f aca="false">IF(E319="","",IF(U319="","À SOUDER",IF(X319="","VT EN ATTENTE",IF(X319="R","VT REJETÉ – À REPRENDRE",IF(AP319="","À RADIOGRAPHIER",IF(AP319="A","ACCEPTÉ",IF(AP319="NX","NX – RT À REFAIRE",IF(IF(AO319=1,AD319,IF(AO319=2,AI319,""))="A","RÉPARÉ – À RADIOGRAPHIER",IF(IF(AO319=1,AD319,IF(AO319=2,AI319,""))="R","VT REJETÉ – À REPRENDRE",IF(OR(AP319="CO",AP319="NT"),"COUPE – À RESOUDER","À RÉPARER"))))))))))</f>
        <v>À SOUDER</v>
      </c>
      <c r="AR319" s="82" t="str">
        <f aca="false">IF(AND(ISNUMBER(U319),OR(AQ319="À RADIOGRAPHIER",AQ319="RÉPARÉ – À RADIOGRAPHIER",AQ319="NX – RT À REFAIRE",AQ319="À RÉPARER",AQ319="COUPE – À RESOUDER",AQ319="VT REJETÉ – À REPRENDRE")),MAX(0,'PROGRAMME RT'!$C$4-U319),"")</f>
        <v/>
      </c>
      <c r="AS319" s="82" t="n">
        <f aca="false">IF(AND(OR(AQ319="À RADIOGRAPHIER",AQ319="RÉPARÉ – À RADIOGRAPHIER",AQ319="NX – RT À REFAIRE"),OR('PROGRAMME RT'!$D$5="TOUTES",B319='PROGRAMME RT'!$D$5)),1,0)</f>
        <v>0</v>
      </c>
      <c r="AT319" s="82" t="str">
        <f aca="false">IF(AS319=1,SUM(AS$7:AS319),"")</f>
        <v/>
      </c>
      <c r="AU319" s="82" t="n">
        <f aca="false">IF(AND(OR(AA319="R",AA319="NX",AA319="NT",AA319="CO"),OR('JOINTS DE RÉPARATION'!$D$5="TOUTES",B319='JOINTS DE RÉPARATION'!$D$5),OR('JOINTS DE RÉPARATION'!$L$4="TOUS",AQ319&lt;&gt;"ACCEPTÉ")),1,0)</f>
        <v>0</v>
      </c>
      <c r="AV319" s="82" t="str">
        <f aca="false">IF(AU319=1,SUM(AU$7:AU319),"")</f>
        <v/>
      </c>
      <c r="AW319" s="82" t="str">
        <f aca="false">IF(E319="","",B319&amp;"|"&amp;E319)</f>
        <v>MFD-ISW → MFD-CPF|JN°313</v>
      </c>
    </row>
    <row r="320" customFormat="false" ht="74.6" hidden="false" customHeight="false" outlineLevel="0" collapsed="false">
      <c r="A320" s="79" t="n">
        <f aca="false">IF(E320="","",ROW()-6)</f>
        <v>314</v>
      </c>
      <c r="B320" s="80" t="s">
        <v>110</v>
      </c>
      <c r="C320" s="81"/>
      <c r="D320" s="81"/>
      <c r="E320" s="81" t="s">
        <v>424</v>
      </c>
      <c r="F320" s="82" t="str">
        <f aca="false">IF(E320="","",IF(LEFT(E320,2)="DJ","DJ","JN"))</f>
        <v>JN</v>
      </c>
      <c r="G320" s="81"/>
      <c r="H320" s="81"/>
      <c r="I320" s="81"/>
      <c r="J320" s="81"/>
      <c r="K320" s="81"/>
      <c r="L320" s="81"/>
      <c r="M320" s="81"/>
      <c r="N320" s="81"/>
      <c r="O320" s="81"/>
      <c r="P320" s="81"/>
      <c r="Q320" s="81"/>
      <c r="R320" s="81"/>
      <c r="S320" s="81"/>
      <c r="T320" s="81"/>
      <c r="U320" s="83"/>
      <c r="V320" s="83"/>
      <c r="W320" s="81"/>
      <c r="X320" s="81"/>
      <c r="Y320" s="83"/>
      <c r="Z320" s="81"/>
      <c r="AA320" s="81"/>
      <c r="AB320" s="81"/>
      <c r="AC320" s="81"/>
      <c r="AD320" s="81"/>
      <c r="AE320" s="83"/>
      <c r="AF320" s="81"/>
      <c r="AG320" s="81"/>
      <c r="AH320" s="81"/>
      <c r="AI320" s="81"/>
      <c r="AJ320" s="83"/>
      <c r="AK320" s="81"/>
      <c r="AL320" s="81"/>
      <c r="AM320" s="83"/>
      <c r="AN320" s="80"/>
      <c r="AO320" s="82" t="n">
        <f aca="false">IF(E320="","",(AA320&lt;&gt;"")+(AG320&lt;&gt;"")+(AL320&lt;&gt;""))</f>
        <v>0</v>
      </c>
      <c r="AP320" s="82" t="str">
        <f aca="false">IF(AL320&lt;&gt;"",AL320,IF(AG320&lt;&gt;"",AG320,IF(AA320&lt;&gt;"",AA320,"")))</f>
        <v/>
      </c>
      <c r="AQ320" s="84" t="str">
        <f aca="false">IF(E320="","",IF(U320="","À SOUDER",IF(X320="","VT EN ATTENTE",IF(X320="R","VT REJETÉ – À REPRENDRE",IF(AP320="","À RADIOGRAPHIER",IF(AP320="A","ACCEPTÉ",IF(AP320="NX","NX – RT À REFAIRE",IF(IF(AO320=1,AD320,IF(AO320=2,AI320,""))="A","RÉPARÉ – À RADIOGRAPHIER",IF(IF(AO320=1,AD320,IF(AO320=2,AI320,""))="R","VT REJETÉ – À REPRENDRE",IF(OR(AP320="CO",AP320="NT"),"COUPE – À RESOUDER","À RÉPARER"))))))))))</f>
        <v>À SOUDER</v>
      </c>
      <c r="AR320" s="82" t="str">
        <f aca="false">IF(AND(ISNUMBER(U320),OR(AQ320="À RADIOGRAPHIER",AQ320="RÉPARÉ – À RADIOGRAPHIER",AQ320="NX – RT À REFAIRE",AQ320="À RÉPARER",AQ320="COUPE – À RESOUDER",AQ320="VT REJETÉ – À REPRENDRE")),MAX(0,'PROGRAMME RT'!$C$4-U320),"")</f>
        <v/>
      </c>
      <c r="AS320" s="82" t="n">
        <f aca="false">IF(AND(OR(AQ320="À RADIOGRAPHIER",AQ320="RÉPARÉ – À RADIOGRAPHIER",AQ320="NX – RT À REFAIRE"),OR('PROGRAMME RT'!$D$5="TOUTES",B320='PROGRAMME RT'!$D$5)),1,0)</f>
        <v>0</v>
      </c>
      <c r="AT320" s="82" t="str">
        <f aca="false">IF(AS320=1,SUM(AS$7:AS320),"")</f>
        <v/>
      </c>
      <c r="AU320" s="82" t="n">
        <f aca="false">IF(AND(OR(AA320="R",AA320="NX",AA320="NT",AA320="CO"),OR('JOINTS DE RÉPARATION'!$D$5="TOUTES",B320='JOINTS DE RÉPARATION'!$D$5),OR('JOINTS DE RÉPARATION'!$L$4="TOUS",AQ320&lt;&gt;"ACCEPTÉ")),1,0)</f>
        <v>0</v>
      </c>
      <c r="AV320" s="82" t="str">
        <f aca="false">IF(AU320=1,SUM(AU$7:AU320),"")</f>
        <v/>
      </c>
      <c r="AW320" s="82" t="str">
        <f aca="false">IF(E320="","",B320&amp;"|"&amp;E320)</f>
        <v>MFD-ISW → MFD-CPF|JN°314</v>
      </c>
    </row>
    <row r="321" customFormat="false" ht="74.6" hidden="false" customHeight="false" outlineLevel="0" collapsed="false">
      <c r="A321" s="79" t="n">
        <f aca="false">IF(E321="","",ROW()-6)</f>
        <v>315</v>
      </c>
      <c r="B321" s="80" t="s">
        <v>110</v>
      </c>
      <c r="C321" s="81"/>
      <c r="D321" s="81"/>
      <c r="E321" s="81" t="s">
        <v>425</v>
      </c>
      <c r="F321" s="82" t="str">
        <f aca="false">IF(E321="","",IF(LEFT(E321,2)="DJ","DJ","JN"))</f>
        <v>JN</v>
      </c>
      <c r="G321" s="81"/>
      <c r="H321" s="81"/>
      <c r="I321" s="81"/>
      <c r="J321" s="81"/>
      <c r="K321" s="81"/>
      <c r="L321" s="81"/>
      <c r="M321" s="81"/>
      <c r="N321" s="81"/>
      <c r="O321" s="81"/>
      <c r="P321" s="81"/>
      <c r="Q321" s="81"/>
      <c r="R321" s="81"/>
      <c r="S321" s="81"/>
      <c r="T321" s="81"/>
      <c r="U321" s="83"/>
      <c r="V321" s="83"/>
      <c r="W321" s="81"/>
      <c r="X321" s="81"/>
      <c r="Y321" s="83"/>
      <c r="Z321" s="81"/>
      <c r="AA321" s="81"/>
      <c r="AB321" s="81"/>
      <c r="AC321" s="81"/>
      <c r="AD321" s="81"/>
      <c r="AE321" s="83"/>
      <c r="AF321" s="81"/>
      <c r="AG321" s="81"/>
      <c r="AH321" s="81"/>
      <c r="AI321" s="81"/>
      <c r="AJ321" s="83"/>
      <c r="AK321" s="81"/>
      <c r="AL321" s="81"/>
      <c r="AM321" s="83"/>
      <c r="AN321" s="80"/>
      <c r="AO321" s="82" t="n">
        <f aca="false">IF(E321="","",(AA321&lt;&gt;"")+(AG321&lt;&gt;"")+(AL321&lt;&gt;""))</f>
        <v>0</v>
      </c>
      <c r="AP321" s="82" t="str">
        <f aca="false">IF(AL321&lt;&gt;"",AL321,IF(AG321&lt;&gt;"",AG321,IF(AA321&lt;&gt;"",AA321,"")))</f>
        <v/>
      </c>
      <c r="AQ321" s="84" t="str">
        <f aca="false">IF(E321="","",IF(U321="","À SOUDER",IF(X321="","VT EN ATTENTE",IF(X321="R","VT REJETÉ – À REPRENDRE",IF(AP321="","À RADIOGRAPHIER",IF(AP321="A","ACCEPTÉ",IF(AP321="NX","NX – RT À REFAIRE",IF(IF(AO321=1,AD321,IF(AO321=2,AI321,""))="A","RÉPARÉ – À RADIOGRAPHIER",IF(IF(AO321=1,AD321,IF(AO321=2,AI321,""))="R","VT REJETÉ – À REPRENDRE",IF(OR(AP321="CO",AP321="NT"),"COUPE – À RESOUDER","À RÉPARER"))))))))))</f>
        <v>À SOUDER</v>
      </c>
      <c r="AR321" s="82" t="str">
        <f aca="false">IF(AND(ISNUMBER(U321),OR(AQ321="À RADIOGRAPHIER",AQ321="RÉPARÉ – À RADIOGRAPHIER",AQ321="NX – RT À REFAIRE",AQ321="À RÉPARER",AQ321="COUPE – À RESOUDER",AQ321="VT REJETÉ – À REPRENDRE")),MAX(0,'PROGRAMME RT'!$C$4-U321),"")</f>
        <v/>
      </c>
      <c r="AS321" s="82" t="n">
        <f aca="false">IF(AND(OR(AQ321="À RADIOGRAPHIER",AQ321="RÉPARÉ – À RADIOGRAPHIER",AQ321="NX – RT À REFAIRE"),OR('PROGRAMME RT'!$D$5="TOUTES",B321='PROGRAMME RT'!$D$5)),1,0)</f>
        <v>0</v>
      </c>
      <c r="AT321" s="82" t="str">
        <f aca="false">IF(AS321=1,SUM(AS$7:AS321),"")</f>
        <v/>
      </c>
      <c r="AU321" s="82" t="n">
        <f aca="false">IF(AND(OR(AA321="R",AA321="NX",AA321="NT",AA321="CO"),OR('JOINTS DE RÉPARATION'!$D$5="TOUTES",B321='JOINTS DE RÉPARATION'!$D$5),OR('JOINTS DE RÉPARATION'!$L$4="TOUS",AQ321&lt;&gt;"ACCEPTÉ")),1,0)</f>
        <v>0</v>
      </c>
      <c r="AV321" s="82" t="str">
        <f aca="false">IF(AU321=1,SUM(AU$7:AU321),"")</f>
        <v/>
      </c>
      <c r="AW321" s="82" t="str">
        <f aca="false">IF(E321="","",B321&amp;"|"&amp;E321)</f>
        <v>MFD-ISW → MFD-CPF|JN°315</v>
      </c>
    </row>
    <row r="322" customFormat="false" ht="74.6" hidden="false" customHeight="false" outlineLevel="0" collapsed="false">
      <c r="A322" s="79" t="n">
        <f aca="false">IF(E322="","",ROW()-6)</f>
        <v>316</v>
      </c>
      <c r="B322" s="80" t="s">
        <v>110</v>
      </c>
      <c r="C322" s="81"/>
      <c r="D322" s="81"/>
      <c r="E322" s="81" t="s">
        <v>426</v>
      </c>
      <c r="F322" s="82" t="str">
        <f aca="false">IF(E322="","",IF(LEFT(E322,2)="DJ","DJ","JN"))</f>
        <v>JN</v>
      </c>
      <c r="G322" s="81"/>
      <c r="H322" s="81"/>
      <c r="I322" s="81"/>
      <c r="J322" s="81"/>
      <c r="K322" s="81"/>
      <c r="L322" s="81"/>
      <c r="M322" s="81"/>
      <c r="N322" s="81"/>
      <c r="O322" s="81"/>
      <c r="P322" s="81"/>
      <c r="Q322" s="81"/>
      <c r="R322" s="81"/>
      <c r="S322" s="81"/>
      <c r="T322" s="81"/>
      <c r="U322" s="83"/>
      <c r="V322" s="83"/>
      <c r="W322" s="81"/>
      <c r="X322" s="81"/>
      <c r="Y322" s="83"/>
      <c r="Z322" s="81"/>
      <c r="AA322" s="81"/>
      <c r="AB322" s="81"/>
      <c r="AC322" s="81"/>
      <c r="AD322" s="81"/>
      <c r="AE322" s="83"/>
      <c r="AF322" s="81"/>
      <c r="AG322" s="81"/>
      <c r="AH322" s="81"/>
      <c r="AI322" s="81"/>
      <c r="AJ322" s="83"/>
      <c r="AK322" s="81"/>
      <c r="AL322" s="81"/>
      <c r="AM322" s="83"/>
      <c r="AN322" s="80"/>
      <c r="AO322" s="82" t="n">
        <f aca="false">IF(E322="","",(AA322&lt;&gt;"")+(AG322&lt;&gt;"")+(AL322&lt;&gt;""))</f>
        <v>0</v>
      </c>
      <c r="AP322" s="82" t="str">
        <f aca="false">IF(AL322&lt;&gt;"",AL322,IF(AG322&lt;&gt;"",AG322,IF(AA322&lt;&gt;"",AA322,"")))</f>
        <v/>
      </c>
      <c r="AQ322" s="84" t="str">
        <f aca="false">IF(E322="","",IF(U322="","À SOUDER",IF(X322="","VT EN ATTENTE",IF(X322="R","VT REJETÉ – À REPRENDRE",IF(AP322="","À RADIOGRAPHIER",IF(AP322="A","ACCEPTÉ",IF(AP322="NX","NX – RT À REFAIRE",IF(IF(AO322=1,AD322,IF(AO322=2,AI322,""))="A","RÉPARÉ – À RADIOGRAPHIER",IF(IF(AO322=1,AD322,IF(AO322=2,AI322,""))="R","VT REJETÉ – À REPRENDRE",IF(OR(AP322="CO",AP322="NT"),"COUPE – À RESOUDER","À RÉPARER"))))))))))</f>
        <v>À SOUDER</v>
      </c>
      <c r="AR322" s="82" t="str">
        <f aca="false">IF(AND(ISNUMBER(U322),OR(AQ322="À RADIOGRAPHIER",AQ322="RÉPARÉ – À RADIOGRAPHIER",AQ322="NX – RT À REFAIRE",AQ322="À RÉPARER",AQ322="COUPE – À RESOUDER",AQ322="VT REJETÉ – À REPRENDRE")),MAX(0,'PROGRAMME RT'!$C$4-U322),"")</f>
        <v/>
      </c>
      <c r="AS322" s="82" t="n">
        <f aca="false">IF(AND(OR(AQ322="À RADIOGRAPHIER",AQ322="RÉPARÉ – À RADIOGRAPHIER",AQ322="NX – RT À REFAIRE"),OR('PROGRAMME RT'!$D$5="TOUTES",B322='PROGRAMME RT'!$D$5)),1,0)</f>
        <v>0</v>
      </c>
      <c r="AT322" s="82" t="str">
        <f aca="false">IF(AS322=1,SUM(AS$7:AS322),"")</f>
        <v/>
      </c>
      <c r="AU322" s="82" t="n">
        <f aca="false">IF(AND(OR(AA322="R",AA322="NX",AA322="NT",AA322="CO"),OR('JOINTS DE RÉPARATION'!$D$5="TOUTES",B322='JOINTS DE RÉPARATION'!$D$5),OR('JOINTS DE RÉPARATION'!$L$4="TOUS",AQ322&lt;&gt;"ACCEPTÉ")),1,0)</f>
        <v>0</v>
      </c>
      <c r="AV322" s="82" t="str">
        <f aca="false">IF(AU322=1,SUM(AU$7:AU322),"")</f>
        <v/>
      </c>
      <c r="AW322" s="82" t="str">
        <f aca="false">IF(E322="","",B322&amp;"|"&amp;E322)</f>
        <v>MFD-ISW → MFD-CPF|JN°316</v>
      </c>
    </row>
    <row r="323" customFormat="false" ht="74.6" hidden="false" customHeight="false" outlineLevel="0" collapsed="false">
      <c r="A323" s="79" t="n">
        <f aca="false">IF(E323="","",ROW()-6)</f>
        <v>317</v>
      </c>
      <c r="B323" s="80" t="s">
        <v>110</v>
      </c>
      <c r="C323" s="81"/>
      <c r="D323" s="81"/>
      <c r="E323" s="81" t="s">
        <v>427</v>
      </c>
      <c r="F323" s="82" t="str">
        <f aca="false">IF(E323="","",IF(LEFT(E323,2)="DJ","DJ","JN"))</f>
        <v>JN</v>
      </c>
      <c r="G323" s="81"/>
      <c r="H323" s="81"/>
      <c r="I323" s="81"/>
      <c r="J323" s="81"/>
      <c r="K323" s="81"/>
      <c r="L323" s="81"/>
      <c r="M323" s="81"/>
      <c r="N323" s="81"/>
      <c r="O323" s="81"/>
      <c r="P323" s="81"/>
      <c r="Q323" s="81"/>
      <c r="R323" s="81"/>
      <c r="S323" s="81"/>
      <c r="T323" s="81"/>
      <c r="U323" s="83"/>
      <c r="V323" s="83"/>
      <c r="W323" s="81"/>
      <c r="X323" s="81"/>
      <c r="Y323" s="83"/>
      <c r="Z323" s="81"/>
      <c r="AA323" s="81"/>
      <c r="AB323" s="81"/>
      <c r="AC323" s="81"/>
      <c r="AD323" s="81"/>
      <c r="AE323" s="83"/>
      <c r="AF323" s="81"/>
      <c r="AG323" s="81"/>
      <c r="AH323" s="81"/>
      <c r="AI323" s="81"/>
      <c r="AJ323" s="83"/>
      <c r="AK323" s="81"/>
      <c r="AL323" s="81"/>
      <c r="AM323" s="83"/>
      <c r="AN323" s="80"/>
      <c r="AO323" s="82" t="n">
        <f aca="false">IF(E323="","",(AA323&lt;&gt;"")+(AG323&lt;&gt;"")+(AL323&lt;&gt;""))</f>
        <v>0</v>
      </c>
      <c r="AP323" s="82" t="str">
        <f aca="false">IF(AL323&lt;&gt;"",AL323,IF(AG323&lt;&gt;"",AG323,IF(AA323&lt;&gt;"",AA323,"")))</f>
        <v/>
      </c>
      <c r="AQ323" s="84" t="str">
        <f aca="false">IF(E323="","",IF(U323="","À SOUDER",IF(X323="","VT EN ATTENTE",IF(X323="R","VT REJETÉ – À REPRENDRE",IF(AP323="","À RADIOGRAPHIER",IF(AP323="A","ACCEPTÉ",IF(AP323="NX","NX – RT À REFAIRE",IF(IF(AO323=1,AD323,IF(AO323=2,AI323,""))="A","RÉPARÉ – À RADIOGRAPHIER",IF(IF(AO323=1,AD323,IF(AO323=2,AI323,""))="R","VT REJETÉ – À REPRENDRE",IF(OR(AP323="CO",AP323="NT"),"COUPE – À RESOUDER","À RÉPARER"))))))))))</f>
        <v>À SOUDER</v>
      </c>
      <c r="AR323" s="82" t="str">
        <f aca="false">IF(AND(ISNUMBER(U323),OR(AQ323="À RADIOGRAPHIER",AQ323="RÉPARÉ – À RADIOGRAPHIER",AQ323="NX – RT À REFAIRE",AQ323="À RÉPARER",AQ323="COUPE – À RESOUDER",AQ323="VT REJETÉ – À REPRENDRE")),MAX(0,'PROGRAMME RT'!$C$4-U323),"")</f>
        <v/>
      </c>
      <c r="AS323" s="82" t="n">
        <f aca="false">IF(AND(OR(AQ323="À RADIOGRAPHIER",AQ323="RÉPARÉ – À RADIOGRAPHIER",AQ323="NX – RT À REFAIRE"),OR('PROGRAMME RT'!$D$5="TOUTES",B323='PROGRAMME RT'!$D$5)),1,0)</f>
        <v>0</v>
      </c>
      <c r="AT323" s="82" t="str">
        <f aca="false">IF(AS323=1,SUM(AS$7:AS323),"")</f>
        <v/>
      </c>
      <c r="AU323" s="82" t="n">
        <f aca="false">IF(AND(OR(AA323="R",AA323="NX",AA323="NT",AA323="CO"),OR('JOINTS DE RÉPARATION'!$D$5="TOUTES",B323='JOINTS DE RÉPARATION'!$D$5),OR('JOINTS DE RÉPARATION'!$L$4="TOUS",AQ323&lt;&gt;"ACCEPTÉ")),1,0)</f>
        <v>0</v>
      </c>
      <c r="AV323" s="82" t="str">
        <f aca="false">IF(AU323=1,SUM(AU$7:AU323),"")</f>
        <v/>
      </c>
      <c r="AW323" s="82" t="str">
        <f aca="false">IF(E323="","",B323&amp;"|"&amp;E323)</f>
        <v>MFD-ISW → MFD-CPF|JN°317</v>
      </c>
    </row>
    <row r="324" customFormat="false" ht="74.6" hidden="false" customHeight="false" outlineLevel="0" collapsed="false">
      <c r="A324" s="79" t="n">
        <f aca="false">IF(E324="","",ROW()-6)</f>
        <v>318</v>
      </c>
      <c r="B324" s="80" t="s">
        <v>110</v>
      </c>
      <c r="C324" s="81"/>
      <c r="D324" s="81"/>
      <c r="E324" s="81" t="s">
        <v>428</v>
      </c>
      <c r="F324" s="82" t="str">
        <f aca="false">IF(E324="","",IF(LEFT(E324,2)="DJ","DJ","JN"))</f>
        <v>JN</v>
      </c>
      <c r="G324" s="81"/>
      <c r="H324" s="81"/>
      <c r="I324" s="81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U324" s="83"/>
      <c r="V324" s="83"/>
      <c r="W324" s="81"/>
      <c r="X324" s="81"/>
      <c r="Y324" s="83"/>
      <c r="Z324" s="81"/>
      <c r="AA324" s="81"/>
      <c r="AB324" s="81"/>
      <c r="AC324" s="81"/>
      <c r="AD324" s="81"/>
      <c r="AE324" s="83"/>
      <c r="AF324" s="81"/>
      <c r="AG324" s="81"/>
      <c r="AH324" s="81"/>
      <c r="AI324" s="81"/>
      <c r="AJ324" s="83"/>
      <c r="AK324" s="81"/>
      <c r="AL324" s="81"/>
      <c r="AM324" s="83"/>
      <c r="AN324" s="80"/>
      <c r="AO324" s="82" t="n">
        <f aca="false">IF(E324="","",(AA324&lt;&gt;"")+(AG324&lt;&gt;"")+(AL324&lt;&gt;""))</f>
        <v>0</v>
      </c>
      <c r="AP324" s="82" t="str">
        <f aca="false">IF(AL324&lt;&gt;"",AL324,IF(AG324&lt;&gt;"",AG324,IF(AA324&lt;&gt;"",AA324,"")))</f>
        <v/>
      </c>
      <c r="AQ324" s="84" t="str">
        <f aca="false">IF(E324="","",IF(U324="","À SOUDER",IF(X324="","VT EN ATTENTE",IF(X324="R","VT REJETÉ – À REPRENDRE",IF(AP324="","À RADIOGRAPHIER",IF(AP324="A","ACCEPTÉ",IF(AP324="NX","NX – RT À REFAIRE",IF(IF(AO324=1,AD324,IF(AO324=2,AI324,""))="A","RÉPARÉ – À RADIOGRAPHIER",IF(IF(AO324=1,AD324,IF(AO324=2,AI324,""))="R","VT REJETÉ – À REPRENDRE",IF(OR(AP324="CO",AP324="NT"),"COUPE – À RESOUDER","À RÉPARER"))))))))))</f>
        <v>À SOUDER</v>
      </c>
      <c r="AR324" s="82" t="str">
        <f aca="false">IF(AND(ISNUMBER(U324),OR(AQ324="À RADIOGRAPHIER",AQ324="RÉPARÉ – À RADIOGRAPHIER",AQ324="NX – RT À REFAIRE",AQ324="À RÉPARER",AQ324="COUPE – À RESOUDER",AQ324="VT REJETÉ – À REPRENDRE")),MAX(0,'PROGRAMME RT'!$C$4-U324),"")</f>
        <v/>
      </c>
      <c r="AS324" s="82" t="n">
        <f aca="false">IF(AND(OR(AQ324="À RADIOGRAPHIER",AQ324="RÉPARÉ – À RADIOGRAPHIER",AQ324="NX – RT À REFAIRE"),OR('PROGRAMME RT'!$D$5="TOUTES",B324='PROGRAMME RT'!$D$5)),1,0)</f>
        <v>0</v>
      </c>
      <c r="AT324" s="82" t="str">
        <f aca="false">IF(AS324=1,SUM(AS$7:AS324),"")</f>
        <v/>
      </c>
      <c r="AU324" s="82" t="n">
        <f aca="false">IF(AND(OR(AA324="R",AA324="NX",AA324="NT",AA324="CO"),OR('JOINTS DE RÉPARATION'!$D$5="TOUTES",B324='JOINTS DE RÉPARATION'!$D$5),OR('JOINTS DE RÉPARATION'!$L$4="TOUS",AQ324&lt;&gt;"ACCEPTÉ")),1,0)</f>
        <v>0</v>
      </c>
      <c r="AV324" s="82" t="str">
        <f aca="false">IF(AU324=1,SUM(AU$7:AU324),"")</f>
        <v/>
      </c>
      <c r="AW324" s="82" t="str">
        <f aca="false">IF(E324="","",B324&amp;"|"&amp;E324)</f>
        <v>MFD-ISW → MFD-CPF|JN°318</v>
      </c>
    </row>
    <row r="325" customFormat="false" ht="74.6" hidden="false" customHeight="false" outlineLevel="0" collapsed="false">
      <c r="A325" s="79" t="n">
        <f aca="false">IF(E325="","",ROW()-6)</f>
        <v>319</v>
      </c>
      <c r="B325" s="80" t="s">
        <v>110</v>
      </c>
      <c r="C325" s="81"/>
      <c r="D325" s="81"/>
      <c r="E325" s="81" t="s">
        <v>429</v>
      </c>
      <c r="F325" s="82" t="str">
        <f aca="false">IF(E325="","",IF(LEFT(E325,2)="DJ","DJ","JN"))</f>
        <v>JN</v>
      </c>
      <c r="G325" s="81"/>
      <c r="H325" s="81"/>
      <c r="I325" s="81"/>
      <c r="J325" s="81"/>
      <c r="K325" s="81"/>
      <c r="L325" s="81"/>
      <c r="M325" s="81"/>
      <c r="N325" s="81"/>
      <c r="O325" s="81"/>
      <c r="P325" s="81"/>
      <c r="Q325" s="81"/>
      <c r="R325" s="81"/>
      <c r="S325" s="81"/>
      <c r="T325" s="81"/>
      <c r="U325" s="83"/>
      <c r="V325" s="83"/>
      <c r="W325" s="81"/>
      <c r="X325" s="81"/>
      <c r="Y325" s="83"/>
      <c r="Z325" s="81"/>
      <c r="AA325" s="81"/>
      <c r="AB325" s="81"/>
      <c r="AC325" s="81"/>
      <c r="AD325" s="81"/>
      <c r="AE325" s="83"/>
      <c r="AF325" s="81"/>
      <c r="AG325" s="81"/>
      <c r="AH325" s="81"/>
      <c r="AI325" s="81"/>
      <c r="AJ325" s="83"/>
      <c r="AK325" s="81"/>
      <c r="AL325" s="81"/>
      <c r="AM325" s="83"/>
      <c r="AN325" s="80"/>
      <c r="AO325" s="82" t="n">
        <f aca="false">IF(E325="","",(AA325&lt;&gt;"")+(AG325&lt;&gt;"")+(AL325&lt;&gt;""))</f>
        <v>0</v>
      </c>
      <c r="AP325" s="82" t="str">
        <f aca="false">IF(AL325&lt;&gt;"",AL325,IF(AG325&lt;&gt;"",AG325,IF(AA325&lt;&gt;"",AA325,"")))</f>
        <v/>
      </c>
      <c r="AQ325" s="84" t="str">
        <f aca="false">IF(E325="","",IF(U325="","À SOUDER",IF(X325="","VT EN ATTENTE",IF(X325="R","VT REJETÉ – À REPRENDRE",IF(AP325="","À RADIOGRAPHIER",IF(AP325="A","ACCEPTÉ",IF(AP325="NX","NX – RT À REFAIRE",IF(IF(AO325=1,AD325,IF(AO325=2,AI325,""))="A","RÉPARÉ – À RADIOGRAPHIER",IF(IF(AO325=1,AD325,IF(AO325=2,AI325,""))="R","VT REJETÉ – À REPRENDRE",IF(OR(AP325="CO",AP325="NT"),"COUPE – À RESOUDER","À RÉPARER"))))))))))</f>
        <v>À SOUDER</v>
      </c>
      <c r="AR325" s="82" t="str">
        <f aca="false">IF(AND(ISNUMBER(U325),OR(AQ325="À RADIOGRAPHIER",AQ325="RÉPARÉ – À RADIOGRAPHIER",AQ325="NX – RT À REFAIRE",AQ325="À RÉPARER",AQ325="COUPE – À RESOUDER",AQ325="VT REJETÉ – À REPRENDRE")),MAX(0,'PROGRAMME RT'!$C$4-U325),"")</f>
        <v/>
      </c>
      <c r="AS325" s="82" t="n">
        <f aca="false">IF(AND(OR(AQ325="À RADIOGRAPHIER",AQ325="RÉPARÉ – À RADIOGRAPHIER",AQ325="NX – RT À REFAIRE"),OR('PROGRAMME RT'!$D$5="TOUTES",B325='PROGRAMME RT'!$D$5)),1,0)</f>
        <v>0</v>
      </c>
      <c r="AT325" s="82" t="str">
        <f aca="false">IF(AS325=1,SUM(AS$7:AS325),"")</f>
        <v/>
      </c>
      <c r="AU325" s="82" t="n">
        <f aca="false">IF(AND(OR(AA325="R",AA325="NX",AA325="NT",AA325="CO"),OR('JOINTS DE RÉPARATION'!$D$5="TOUTES",B325='JOINTS DE RÉPARATION'!$D$5),OR('JOINTS DE RÉPARATION'!$L$4="TOUS",AQ325&lt;&gt;"ACCEPTÉ")),1,0)</f>
        <v>0</v>
      </c>
      <c r="AV325" s="82" t="str">
        <f aca="false">IF(AU325=1,SUM(AU$7:AU325),"")</f>
        <v/>
      </c>
      <c r="AW325" s="82" t="str">
        <f aca="false">IF(E325="","",B325&amp;"|"&amp;E325)</f>
        <v>MFD-ISW → MFD-CPF|JN°319</v>
      </c>
    </row>
    <row r="326" customFormat="false" ht="74.6" hidden="false" customHeight="false" outlineLevel="0" collapsed="false">
      <c r="A326" s="79" t="n">
        <f aca="false">IF(E326="","",ROW()-6)</f>
        <v>320</v>
      </c>
      <c r="B326" s="80" t="s">
        <v>110</v>
      </c>
      <c r="C326" s="81"/>
      <c r="D326" s="81"/>
      <c r="E326" s="81" t="s">
        <v>430</v>
      </c>
      <c r="F326" s="82" t="str">
        <f aca="false">IF(E326="","",IF(LEFT(E326,2)="DJ","DJ","JN"))</f>
        <v>JN</v>
      </c>
      <c r="G326" s="81"/>
      <c r="H326" s="81"/>
      <c r="I326" s="81"/>
      <c r="J326" s="81"/>
      <c r="K326" s="81"/>
      <c r="L326" s="81"/>
      <c r="M326" s="81"/>
      <c r="N326" s="81"/>
      <c r="O326" s="81"/>
      <c r="P326" s="81"/>
      <c r="Q326" s="81"/>
      <c r="R326" s="81"/>
      <c r="S326" s="81"/>
      <c r="T326" s="81"/>
      <c r="U326" s="83"/>
      <c r="V326" s="83"/>
      <c r="W326" s="81"/>
      <c r="X326" s="81"/>
      <c r="Y326" s="83"/>
      <c r="Z326" s="81"/>
      <c r="AA326" s="81"/>
      <c r="AB326" s="81"/>
      <c r="AC326" s="81"/>
      <c r="AD326" s="81"/>
      <c r="AE326" s="83"/>
      <c r="AF326" s="81"/>
      <c r="AG326" s="81"/>
      <c r="AH326" s="81"/>
      <c r="AI326" s="81"/>
      <c r="AJ326" s="83"/>
      <c r="AK326" s="81"/>
      <c r="AL326" s="81"/>
      <c r="AM326" s="83"/>
      <c r="AN326" s="80"/>
      <c r="AO326" s="82" t="n">
        <f aca="false">IF(E326="","",(AA326&lt;&gt;"")+(AG326&lt;&gt;"")+(AL326&lt;&gt;""))</f>
        <v>0</v>
      </c>
      <c r="AP326" s="82" t="str">
        <f aca="false">IF(AL326&lt;&gt;"",AL326,IF(AG326&lt;&gt;"",AG326,IF(AA326&lt;&gt;"",AA326,"")))</f>
        <v/>
      </c>
      <c r="AQ326" s="84" t="str">
        <f aca="false">IF(E326="","",IF(U326="","À SOUDER",IF(X326="","VT EN ATTENTE",IF(X326="R","VT REJETÉ – À REPRENDRE",IF(AP326="","À RADIOGRAPHIER",IF(AP326="A","ACCEPTÉ",IF(AP326="NX","NX – RT À REFAIRE",IF(IF(AO326=1,AD326,IF(AO326=2,AI326,""))="A","RÉPARÉ – À RADIOGRAPHIER",IF(IF(AO326=1,AD326,IF(AO326=2,AI326,""))="R","VT REJETÉ – À REPRENDRE",IF(OR(AP326="CO",AP326="NT"),"COUPE – À RESOUDER","À RÉPARER"))))))))))</f>
        <v>À SOUDER</v>
      </c>
      <c r="AR326" s="82" t="str">
        <f aca="false">IF(AND(ISNUMBER(U326),OR(AQ326="À RADIOGRAPHIER",AQ326="RÉPARÉ – À RADIOGRAPHIER",AQ326="NX – RT À REFAIRE",AQ326="À RÉPARER",AQ326="COUPE – À RESOUDER",AQ326="VT REJETÉ – À REPRENDRE")),MAX(0,'PROGRAMME RT'!$C$4-U326),"")</f>
        <v/>
      </c>
      <c r="AS326" s="82" t="n">
        <f aca="false">IF(AND(OR(AQ326="À RADIOGRAPHIER",AQ326="RÉPARÉ – À RADIOGRAPHIER",AQ326="NX – RT À REFAIRE"),OR('PROGRAMME RT'!$D$5="TOUTES",B326='PROGRAMME RT'!$D$5)),1,0)</f>
        <v>0</v>
      </c>
      <c r="AT326" s="82" t="str">
        <f aca="false">IF(AS326=1,SUM(AS$7:AS326),"")</f>
        <v/>
      </c>
      <c r="AU326" s="82" t="n">
        <f aca="false">IF(AND(OR(AA326="R",AA326="NX",AA326="NT",AA326="CO"),OR('JOINTS DE RÉPARATION'!$D$5="TOUTES",B326='JOINTS DE RÉPARATION'!$D$5),OR('JOINTS DE RÉPARATION'!$L$4="TOUS",AQ326&lt;&gt;"ACCEPTÉ")),1,0)</f>
        <v>0</v>
      </c>
      <c r="AV326" s="82" t="str">
        <f aca="false">IF(AU326=1,SUM(AU$7:AU326),"")</f>
        <v/>
      </c>
      <c r="AW326" s="82" t="str">
        <f aca="false">IF(E326="","",B326&amp;"|"&amp;E326)</f>
        <v>MFD-ISW → MFD-CPF|JN°320</v>
      </c>
    </row>
    <row r="327" customFormat="false" ht="74.6" hidden="false" customHeight="false" outlineLevel="0" collapsed="false">
      <c r="A327" s="79" t="n">
        <f aca="false">IF(E327="","",ROW()-6)</f>
        <v>321</v>
      </c>
      <c r="B327" s="80" t="s">
        <v>110</v>
      </c>
      <c r="C327" s="81"/>
      <c r="D327" s="81"/>
      <c r="E327" s="81" t="s">
        <v>431</v>
      </c>
      <c r="F327" s="82" t="str">
        <f aca="false">IF(E327="","",IF(LEFT(E327,2)="DJ","DJ","JN"))</f>
        <v>JN</v>
      </c>
      <c r="G327" s="81"/>
      <c r="H327" s="81"/>
      <c r="I327" s="81"/>
      <c r="J327" s="81"/>
      <c r="K327" s="81"/>
      <c r="L327" s="81"/>
      <c r="M327" s="81"/>
      <c r="N327" s="81"/>
      <c r="O327" s="81"/>
      <c r="P327" s="81"/>
      <c r="Q327" s="81"/>
      <c r="R327" s="81"/>
      <c r="S327" s="81"/>
      <c r="T327" s="81"/>
      <c r="U327" s="83"/>
      <c r="V327" s="83"/>
      <c r="W327" s="81"/>
      <c r="X327" s="81"/>
      <c r="Y327" s="83"/>
      <c r="Z327" s="81"/>
      <c r="AA327" s="81"/>
      <c r="AB327" s="81"/>
      <c r="AC327" s="81"/>
      <c r="AD327" s="81"/>
      <c r="AE327" s="83"/>
      <c r="AF327" s="81"/>
      <c r="AG327" s="81"/>
      <c r="AH327" s="81"/>
      <c r="AI327" s="81"/>
      <c r="AJ327" s="83"/>
      <c r="AK327" s="81"/>
      <c r="AL327" s="81"/>
      <c r="AM327" s="83"/>
      <c r="AN327" s="80"/>
      <c r="AO327" s="82" t="n">
        <f aca="false">IF(E327="","",(AA327&lt;&gt;"")+(AG327&lt;&gt;"")+(AL327&lt;&gt;""))</f>
        <v>0</v>
      </c>
      <c r="AP327" s="82" t="str">
        <f aca="false">IF(AL327&lt;&gt;"",AL327,IF(AG327&lt;&gt;"",AG327,IF(AA327&lt;&gt;"",AA327,"")))</f>
        <v/>
      </c>
      <c r="AQ327" s="84" t="str">
        <f aca="false">IF(E327="","",IF(U327="","À SOUDER",IF(X327="","VT EN ATTENTE",IF(X327="R","VT REJETÉ – À REPRENDRE",IF(AP327="","À RADIOGRAPHIER",IF(AP327="A","ACCEPTÉ",IF(AP327="NX","NX – RT À REFAIRE",IF(IF(AO327=1,AD327,IF(AO327=2,AI327,""))="A","RÉPARÉ – À RADIOGRAPHIER",IF(IF(AO327=1,AD327,IF(AO327=2,AI327,""))="R","VT REJETÉ – À REPRENDRE",IF(OR(AP327="CO",AP327="NT"),"COUPE – À RESOUDER","À RÉPARER"))))))))))</f>
        <v>À SOUDER</v>
      </c>
      <c r="AR327" s="82" t="str">
        <f aca="false">IF(AND(ISNUMBER(U327),OR(AQ327="À RADIOGRAPHIER",AQ327="RÉPARÉ – À RADIOGRAPHIER",AQ327="NX – RT À REFAIRE",AQ327="À RÉPARER",AQ327="COUPE – À RESOUDER",AQ327="VT REJETÉ – À REPRENDRE")),MAX(0,'PROGRAMME RT'!$C$4-U327),"")</f>
        <v/>
      </c>
      <c r="AS327" s="82" t="n">
        <f aca="false">IF(AND(OR(AQ327="À RADIOGRAPHIER",AQ327="RÉPARÉ – À RADIOGRAPHIER",AQ327="NX – RT À REFAIRE"),OR('PROGRAMME RT'!$D$5="TOUTES",B327='PROGRAMME RT'!$D$5)),1,0)</f>
        <v>0</v>
      </c>
      <c r="AT327" s="82" t="str">
        <f aca="false">IF(AS327=1,SUM(AS$7:AS327),"")</f>
        <v/>
      </c>
      <c r="AU327" s="82" t="n">
        <f aca="false">IF(AND(OR(AA327="R",AA327="NX",AA327="NT",AA327="CO"),OR('JOINTS DE RÉPARATION'!$D$5="TOUTES",B327='JOINTS DE RÉPARATION'!$D$5),OR('JOINTS DE RÉPARATION'!$L$4="TOUS",AQ327&lt;&gt;"ACCEPTÉ")),1,0)</f>
        <v>0</v>
      </c>
      <c r="AV327" s="82" t="str">
        <f aca="false">IF(AU327=1,SUM(AU$7:AU327),"")</f>
        <v/>
      </c>
      <c r="AW327" s="82" t="str">
        <f aca="false">IF(E327="","",B327&amp;"|"&amp;E327)</f>
        <v>MFD-ISW → MFD-CPF|JN°321</v>
      </c>
    </row>
    <row r="328" customFormat="false" ht="74.6" hidden="false" customHeight="false" outlineLevel="0" collapsed="false">
      <c r="A328" s="79" t="n">
        <f aca="false">IF(E328="","",ROW()-6)</f>
        <v>322</v>
      </c>
      <c r="B328" s="80" t="s">
        <v>110</v>
      </c>
      <c r="C328" s="81"/>
      <c r="D328" s="81"/>
      <c r="E328" s="81" t="s">
        <v>432</v>
      </c>
      <c r="F328" s="82" t="str">
        <f aca="false">IF(E328="","",IF(LEFT(E328,2)="DJ","DJ","JN"))</f>
        <v>JN</v>
      </c>
      <c r="G328" s="81"/>
      <c r="H328" s="81"/>
      <c r="I328" s="81"/>
      <c r="J328" s="81"/>
      <c r="K328" s="81"/>
      <c r="L328" s="81"/>
      <c r="M328" s="81"/>
      <c r="N328" s="81"/>
      <c r="O328" s="81"/>
      <c r="P328" s="81"/>
      <c r="Q328" s="81"/>
      <c r="R328" s="81"/>
      <c r="S328" s="81"/>
      <c r="T328" s="81"/>
      <c r="U328" s="83"/>
      <c r="V328" s="83"/>
      <c r="W328" s="81"/>
      <c r="X328" s="81"/>
      <c r="Y328" s="83"/>
      <c r="Z328" s="81"/>
      <c r="AA328" s="81"/>
      <c r="AB328" s="81"/>
      <c r="AC328" s="81"/>
      <c r="AD328" s="81"/>
      <c r="AE328" s="83"/>
      <c r="AF328" s="81"/>
      <c r="AG328" s="81"/>
      <c r="AH328" s="81"/>
      <c r="AI328" s="81"/>
      <c r="AJ328" s="83"/>
      <c r="AK328" s="81"/>
      <c r="AL328" s="81"/>
      <c r="AM328" s="83"/>
      <c r="AN328" s="80"/>
      <c r="AO328" s="82" t="n">
        <f aca="false">IF(E328="","",(AA328&lt;&gt;"")+(AG328&lt;&gt;"")+(AL328&lt;&gt;""))</f>
        <v>0</v>
      </c>
      <c r="AP328" s="82" t="str">
        <f aca="false">IF(AL328&lt;&gt;"",AL328,IF(AG328&lt;&gt;"",AG328,IF(AA328&lt;&gt;"",AA328,"")))</f>
        <v/>
      </c>
      <c r="AQ328" s="84" t="str">
        <f aca="false">IF(E328="","",IF(U328="","À SOUDER",IF(X328="","VT EN ATTENTE",IF(X328="R","VT REJETÉ – À REPRENDRE",IF(AP328="","À RADIOGRAPHIER",IF(AP328="A","ACCEPTÉ",IF(AP328="NX","NX – RT À REFAIRE",IF(IF(AO328=1,AD328,IF(AO328=2,AI328,""))="A","RÉPARÉ – À RADIOGRAPHIER",IF(IF(AO328=1,AD328,IF(AO328=2,AI328,""))="R","VT REJETÉ – À REPRENDRE",IF(OR(AP328="CO",AP328="NT"),"COUPE – À RESOUDER","À RÉPARER"))))))))))</f>
        <v>À SOUDER</v>
      </c>
      <c r="AR328" s="82" t="str">
        <f aca="false">IF(AND(ISNUMBER(U328),OR(AQ328="À RADIOGRAPHIER",AQ328="RÉPARÉ – À RADIOGRAPHIER",AQ328="NX – RT À REFAIRE",AQ328="À RÉPARER",AQ328="COUPE – À RESOUDER",AQ328="VT REJETÉ – À REPRENDRE")),MAX(0,'PROGRAMME RT'!$C$4-U328),"")</f>
        <v/>
      </c>
      <c r="AS328" s="82" t="n">
        <f aca="false">IF(AND(OR(AQ328="À RADIOGRAPHIER",AQ328="RÉPARÉ – À RADIOGRAPHIER",AQ328="NX – RT À REFAIRE"),OR('PROGRAMME RT'!$D$5="TOUTES",B328='PROGRAMME RT'!$D$5)),1,0)</f>
        <v>0</v>
      </c>
      <c r="AT328" s="82" t="str">
        <f aca="false">IF(AS328=1,SUM(AS$7:AS328),"")</f>
        <v/>
      </c>
      <c r="AU328" s="82" t="n">
        <f aca="false">IF(AND(OR(AA328="R",AA328="NX",AA328="NT",AA328="CO"),OR('JOINTS DE RÉPARATION'!$D$5="TOUTES",B328='JOINTS DE RÉPARATION'!$D$5),OR('JOINTS DE RÉPARATION'!$L$4="TOUS",AQ328&lt;&gt;"ACCEPTÉ")),1,0)</f>
        <v>0</v>
      </c>
      <c r="AV328" s="82" t="str">
        <f aca="false">IF(AU328=1,SUM(AU$7:AU328),"")</f>
        <v/>
      </c>
      <c r="AW328" s="82" t="str">
        <f aca="false">IF(E328="","",B328&amp;"|"&amp;E328)</f>
        <v>MFD-ISW → MFD-CPF|JN°322</v>
      </c>
    </row>
    <row r="329" customFormat="false" ht="74.6" hidden="false" customHeight="false" outlineLevel="0" collapsed="false">
      <c r="A329" s="79" t="n">
        <f aca="false">IF(E329="","",ROW()-6)</f>
        <v>323</v>
      </c>
      <c r="B329" s="80" t="s">
        <v>110</v>
      </c>
      <c r="C329" s="81"/>
      <c r="D329" s="81"/>
      <c r="E329" s="81" t="s">
        <v>433</v>
      </c>
      <c r="F329" s="82" t="str">
        <f aca="false">IF(E329="","",IF(LEFT(E329,2)="DJ","DJ","JN"))</f>
        <v>JN</v>
      </c>
      <c r="G329" s="81"/>
      <c r="H329" s="81"/>
      <c r="I329" s="81"/>
      <c r="J329" s="81"/>
      <c r="K329" s="81"/>
      <c r="L329" s="81"/>
      <c r="M329" s="81"/>
      <c r="N329" s="81"/>
      <c r="O329" s="81"/>
      <c r="P329" s="81"/>
      <c r="Q329" s="81"/>
      <c r="R329" s="81"/>
      <c r="S329" s="81"/>
      <c r="T329" s="81"/>
      <c r="U329" s="83"/>
      <c r="V329" s="83"/>
      <c r="W329" s="81"/>
      <c r="X329" s="81"/>
      <c r="Y329" s="83"/>
      <c r="Z329" s="81"/>
      <c r="AA329" s="81"/>
      <c r="AB329" s="81"/>
      <c r="AC329" s="81"/>
      <c r="AD329" s="81"/>
      <c r="AE329" s="83"/>
      <c r="AF329" s="81"/>
      <c r="AG329" s="81"/>
      <c r="AH329" s="81"/>
      <c r="AI329" s="81"/>
      <c r="AJ329" s="83"/>
      <c r="AK329" s="81"/>
      <c r="AL329" s="81"/>
      <c r="AM329" s="83"/>
      <c r="AN329" s="80"/>
      <c r="AO329" s="82" t="n">
        <f aca="false">IF(E329="","",(AA329&lt;&gt;"")+(AG329&lt;&gt;"")+(AL329&lt;&gt;""))</f>
        <v>0</v>
      </c>
      <c r="AP329" s="82" t="str">
        <f aca="false">IF(AL329&lt;&gt;"",AL329,IF(AG329&lt;&gt;"",AG329,IF(AA329&lt;&gt;"",AA329,"")))</f>
        <v/>
      </c>
      <c r="AQ329" s="84" t="str">
        <f aca="false">IF(E329="","",IF(U329="","À SOUDER",IF(X329="","VT EN ATTENTE",IF(X329="R","VT REJETÉ – À REPRENDRE",IF(AP329="","À RADIOGRAPHIER",IF(AP329="A","ACCEPTÉ",IF(AP329="NX","NX – RT À REFAIRE",IF(IF(AO329=1,AD329,IF(AO329=2,AI329,""))="A","RÉPARÉ – À RADIOGRAPHIER",IF(IF(AO329=1,AD329,IF(AO329=2,AI329,""))="R","VT REJETÉ – À REPRENDRE",IF(OR(AP329="CO",AP329="NT"),"COUPE – À RESOUDER","À RÉPARER"))))))))))</f>
        <v>À SOUDER</v>
      </c>
      <c r="AR329" s="82" t="str">
        <f aca="false">IF(AND(ISNUMBER(U329),OR(AQ329="À RADIOGRAPHIER",AQ329="RÉPARÉ – À RADIOGRAPHIER",AQ329="NX – RT À REFAIRE",AQ329="À RÉPARER",AQ329="COUPE – À RESOUDER",AQ329="VT REJETÉ – À REPRENDRE")),MAX(0,'PROGRAMME RT'!$C$4-U329),"")</f>
        <v/>
      </c>
      <c r="AS329" s="82" t="n">
        <f aca="false">IF(AND(OR(AQ329="À RADIOGRAPHIER",AQ329="RÉPARÉ – À RADIOGRAPHIER",AQ329="NX – RT À REFAIRE"),OR('PROGRAMME RT'!$D$5="TOUTES",B329='PROGRAMME RT'!$D$5)),1,0)</f>
        <v>0</v>
      </c>
      <c r="AT329" s="82" t="str">
        <f aca="false">IF(AS329=1,SUM(AS$7:AS329),"")</f>
        <v/>
      </c>
      <c r="AU329" s="82" t="n">
        <f aca="false">IF(AND(OR(AA329="R",AA329="NX",AA329="NT",AA329="CO"),OR('JOINTS DE RÉPARATION'!$D$5="TOUTES",B329='JOINTS DE RÉPARATION'!$D$5),OR('JOINTS DE RÉPARATION'!$L$4="TOUS",AQ329&lt;&gt;"ACCEPTÉ")),1,0)</f>
        <v>0</v>
      </c>
      <c r="AV329" s="82" t="str">
        <f aca="false">IF(AU329=1,SUM(AU$7:AU329),"")</f>
        <v/>
      </c>
      <c r="AW329" s="82" t="str">
        <f aca="false">IF(E329="","",B329&amp;"|"&amp;E329)</f>
        <v>MFD-ISW → MFD-CPF|JN°323</v>
      </c>
    </row>
    <row r="330" customFormat="false" ht="74.6" hidden="false" customHeight="false" outlineLevel="0" collapsed="false">
      <c r="A330" s="79" t="n">
        <f aca="false">IF(E330="","",ROW()-6)</f>
        <v>324</v>
      </c>
      <c r="B330" s="80" t="s">
        <v>110</v>
      </c>
      <c r="C330" s="81"/>
      <c r="D330" s="81"/>
      <c r="E330" s="81" t="s">
        <v>434</v>
      </c>
      <c r="F330" s="82" t="str">
        <f aca="false">IF(E330="","",IF(LEFT(E330,2)="DJ","DJ","JN"))</f>
        <v>JN</v>
      </c>
      <c r="G330" s="81"/>
      <c r="H330" s="81"/>
      <c r="I330" s="81"/>
      <c r="J330" s="81"/>
      <c r="K330" s="81"/>
      <c r="L330" s="81"/>
      <c r="M330" s="81"/>
      <c r="N330" s="81"/>
      <c r="O330" s="81"/>
      <c r="P330" s="81"/>
      <c r="Q330" s="81"/>
      <c r="R330" s="81"/>
      <c r="S330" s="81"/>
      <c r="T330" s="81"/>
      <c r="U330" s="83"/>
      <c r="V330" s="83"/>
      <c r="W330" s="81"/>
      <c r="X330" s="81"/>
      <c r="Y330" s="83"/>
      <c r="Z330" s="81"/>
      <c r="AA330" s="81"/>
      <c r="AB330" s="81"/>
      <c r="AC330" s="81"/>
      <c r="AD330" s="81"/>
      <c r="AE330" s="83"/>
      <c r="AF330" s="81"/>
      <c r="AG330" s="81"/>
      <c r="AH330" s="81"/>
      <c r="AI330" s="81"/>
      <c r="AJ330" s="83"/>
      <c r="AK330" s="81"/>
      <c r="AL330" s="81"/>
      <c r="AM330" s="83"/>
      <c r="AN330" s="80"/>
      <c r="AO330" s="82" t="n">
        <f aca="false">IF(E330="","",(AA330&lt;&gt;"")+(AG330&lt;&gt;"")+(AL330&lt;&gt;""))</f>
        <v>0</v>
      </c>
      <c r="AP330" s="82" t="str">
        <f aca="false">IF(AL330&lt;&gt;"",AL330,IF(AG330&lt;&gt;"",AG330,IF(AA330&lt;&gt;"",AA330,"")))</f>
        <v/>
      </c>
      <c r="AQ330" s="84" t="str">
        <f aca="false">IF(E330="","",IF(U330="","À SOUDER",IF(X330="","VT EN ATTENTE",IF(X330="R","VT REJETÉ – À REPRENDRE",IF(AP330="","À RADIOGRAPHIER",IF(AP330="A","ACCEPTÉ",IF(AP330="NX","NX – RT À REFAIRE",IF(IF(AO330=1,AD330,IF(AO330=2,AI330,""))="A","RÉPARÉ – À RADIOGRAPHIER",IF(IF(AO330=1,AD330,IF(AO330=2,AI330,""))="R","VT REJETÉ – À REPRENDRE",IF(OR(AP330="CO",AP330="NT"),"COUPE – À RESOUDER","À RÉPARER"))))))))))</f>
        <v>À SOUDER</v>
      </c>
      <c r="AR330" s="82" t="str">
        <f aca="false">IF(AND(ISNUMBER(U330),OR(AQ330="À RADIOGRAPHIER",AQ330="RÉPARÉ – À RADIOGRAPHIER",AQ330="NX – RT À REFAIRE",AQ330="À RÉPARER",AQ330="COUPE – À RESOUDER",AQ330="VT REJETÉ – À REPRENDRE")),MAX(0,'PROGRAMME RT'!$C$4-U330),"")</f>
        <v/>
      </c>
      <c r="AS330" s="82" t="n">
        <f aca="false">IF(AND(OR(AQ330="À RADIOGRAPHIER",AQ330="RÉPARÉ – À RADIOGRAPHIER",AQ330="NX – RT À REFAIRE"),OR('PROGRAMME RT'!$D$5="TOUTES",B330='PROGRAMME RT'!$D$5)),1,0)</f>
        <v>0</v>
      </c>
      <c r="AT330" s="82" t="str">
        <f aca="false">IF(AS330=1,SUM(AS$7:AS330),"")</f>
        <v/>
      </c>
      <c r="AU330" s="82" t="n">
        <f aca="false">IF(AND(OR(AA330="R",AA330="NX",AA330="NT",AA330="CO"),OR('JOINTS DE RÉPARATION'!$D$5="TOUTES",B330='JOINTS DE RÉPARATION'!$D$5),OR('JOINTS DE RÉPARATION'!$L$4="TOUS",AQ330&lt;&gt;"ACCEPTÉ")),1,0)</f>
        <v>0</v>
      </c>
      <c r="AV330" s="82" t="str">
        <f aca="false">IF(AU330=1,SUM(AU$7:AU330),"")</f>
        <v/>
      </c>
      <c r="AW330" s="82" t="str">
        <f aca="false">IF(E330="","",B330&amp;"|"&amp;E330)</f>
        <v>MFD-ISW → MFD-CPF|JN°324</v>
      </c>
    </row>
    <row r="331" customFormat="false" ht="74.6" hidden="false" customHeight="false" outlineLevel="0" collapsed="false">
      <c r="A331" s="79" t="n">
        <f aca="false">IF(E331="","",ROW()-6)</f>
        <v>325</v>
      </c>
      <c r="B331" s="80" t="s">
        <v>110</v>
      </c>
      <c r="C331" s="81"/>
      <c r="D331" s="81"/>
      <c r="E331" s="81" t="s">
        <v>435</v>
      </c>
      <c r="F331" s="82" t="str">
        <f aca="false">IF(E331="","",IF(LEFT(E331,2)="DJ","DJ","JN"))</f>
        <v>JN</v>
      </c>
      <c r="G331" s="81"/>
      <c r="H331" s="81"/>
      <c r="I331" s="81"/>
      <c r="J331" s="81"/>
      <c r="K331" s="81"/>
      <c r="L331" s="81"/>
      <c r="M331" s="81"/>
      <c r="N331" s="81"/>
      <c r="O331" s="81"/>
      <c r="P331" s="81"/>
      <c r="Q331" s="81"/>
      <c r="R331" s="81"/>
      <c r="S331" s="81"/>
      <c r="T331" s="81"/>
      <c r="U331" s="83"/>
      <c r="V331" s="83"/>
      <c r="W331" s="81"/>
      <c r="X331" s="81"/>
      <c r="Y331" s="83"/>
      <c r="Z331" s="81"/>
      <c r="AA331" s="81"/>
      <c r="AB331" s="81"/>
      <c r="AC331" s="81"/>
      <c r="AD331" s="81"/>
      <c r="AE331" s="83"/>
      <c r="AF331" s="81"/>
      <c r="AG331" s="81"/>
      <c r="AH331" s="81"/>
      <c r="AI331" s="81"/>
      <c r="AJ331" s="83"/>
      <c r="AK331" s="81"/>
      <c r="AL331" s="81"/>
      <c r="AM331" s="83"/>
      <c r="AN331" s="80"/>
      <c r="AO331" s="82" t="n">
        <f aca="false">IF(E331="","",(AA331&lt;&gt;"")+(AG331&lt;&gt;"")+(AL331&lt;&gt;""))</f>
        <v>0</v>
      </c>
      <c r="AP331" s="82" t="str">
        <f aca="false">IF(AL331&lt;&gt;"",AL331,IF(AG331&lt;&gt;"",AG331,IF(AA331&lt;&gt;"",AA331,"")))</f>
        <v/>
      </c>
      <c r="AQ331" s="84" t="str">
        <f aca="false">IF(E331="","",IF(U331="","À SOUDER",IF(X331="","VT EN ATTENTE",IF(X331="R","VT REJETÉ – À REPRENDRE",IF(AP331="","À RADIOGRAPHIER",IF(AP331="A","ACCEPTÉ",IF(AP331="NX","NX – RT À REFAIRE",IF(IF(AO331=1,AD331,IF(AO331=2,AI331,""))="A","RÉPARÉ – À RADIOGRAPHIER",IF(IF(AO331=1,AD331,IF(AO331=2,AI331,""))="R","VT REJETÉ – À REPRENDRE",IF(OR(AP331="CO",AP331="NT"),"COUPE – À RESOUDER","À RÉPARER"))))))))))</f>
        <v>À SOUDER</v>
      </c>
      <c r="AR331" s="82" t="str">
        <f aca="false">IF(AND(ISNUMBER(U331),OR(AQ331="À RADIOGRAPHIER",AQ331="RÉPARÉ – À RADIOGRAPHIER",AQ331="NX – RT À REFAIRE",AQ331="À RÉPARER",AQ331="COUPE – À RESOUDER",AQ331="VT REJETÉ – À REPRENDRE")),MAX(0,'PROGRAMME RT'!$C$4-U331),"")</f>
        <v/>
      </c>
      <c r="AS331" s="82" t="n">
        <f aca="false">IF(AND(OR(AQ331="À RADIOGRAPHIER",AQ331="RÉPARÉ – À RADIOGRAPHIER",AQ331="NX – RT À REFAIRE"),OR('PROGRAMME RT'!$D$5="TOUTES",B331='PROGRAMME RT'!$D$5)),1,0)</f>
        <v>0</v>
      </c>
      <c r="AT331" s="82" t="str">
        <f aca="false">IF(AS331=1,SUM(AS$7:AS331),"")</f>
        <v/>
      </c>
      <c r="AU331" s="82" t="n">
        <f aca="false">IF(AND(OR(AA331="R",AA331="NX",AA331="NT",AA331="CO"),OR('JOINTS DE RÉPARATION'!$D$5="TOUTES",B331='JOINTS DE RÉPARATION'!$D$5),OR('JOINTS DE RÉPARATION'!$L$4="TOUS",AQ331&lt;&gt;"ACCEPTÉ")),1,0)</f>
        <v>0</v>
      </c>
      <c r="AV331" s="82" t="str">
        <f aca="false">IF(AU331=1,SUM(AU$7:AU331),"")</f>
        <v/>
      </c>
      <c r="AW331" s="82" t="str">
        <f aca="false">IF(E331="","",B331&amp;"|"&amp;E331)</f>
        <v>MFD-ISW → MFD-CPF|JN°325</v>
      </c>
    </row>
    <row r="332" customFormat="false" ht="74.6" hidden="false" customHeight="false" outlineLevel="0" collapsed="false">
      <c r="A332" s="79" t="n">
        <f aca="false">IF(E332="","",ROW()-6)</f>
        <v>326</v>
      </c>
      <c r="B332" s="80" t="s">
        <v>110</v>
      </c>
      <c r="C332" s="81"/>
      <c r="D332" s="81"/>
      <c r="E332" s="81" t="s">
        <v>436</v>
      </c>
      <c r="F332" s="82" t="str">
        <f aca="false">IF(E332="","",IF(LEFT(E332,2)="DJ","DJ","JN"))</f>
        <v>JN</v>
      </c>
      <c r="G332" s="81"/>
      <c r="H332" s="81"/>
      <c r="I332" s="81"/>
      <c r="J332" s="81"/>
      <c r="K332" s="81"/>
      <c r="L332" s="81"/>
      <c r="M332" s="81"/>
      <c r="N332" s="81"/>
      <c r="O332" s="81"/>
      <c r="P332" s="81"/>
      <c r="Q332" s="81"/>
      <c r="R332" s="81"/>
      <c r="S332" s="81"/>
      <c r="T332" s="81"/>
      <c r="U332" s="83"/>
      <c r="V332" s="83"/>
      <c r="W332" s="81"/>
      <c r="X332" s="81"/>
      <c r="Y332" s="83"/>
      <c r="Z332" s="81"/>
      <c r="AA332" s="81"/>
      <c r="AB332" s="81"/>
      <c r="AC332" s="81"/>
      <c r="AD332" s="81"/>
      <c r="AE332" s="83"/>
      <c r="AF332" s="81"/>
      <c r="AG332" s="81"/>
      <c r="AH332" s="81"/>
      <c r="AI332" s="81"/>
      <c r="AJ332" s="83"/>
      <c r="AK332" s="81"/>
      <c r="AL332" s="81"/>
      <c r="AM332" s="83"/>
      <c r="AN332" s="80"/>
      <c r="AO332" s="82" t="n">
        <f aca="false">IF(E332="","",(AA332&lt;&gt;"")+(AG332&lt;&gt;"")+(AL332&lt;&gt;""))</f>
        <v>0</v>
      </c>
      <c r="AP332" s="82" t="str">
        <f aca="false">IF(AL332&lt;&gt;"",AL332,IF(AG332&lt;&gt;"",AG332,IF(AA332&lt;&gt;"",AA332,"")))</f>
        <v/>
      </c>
      <c r="AQ332" s="84" t="str">
        <f aca="false">IF(E332="","",IF(U332="","À SOUDER",IF(X332="","VT EN ATTENTE",IF(X332="R","VT REJETÉ – À REPRENDRE",IF(AP332="","À RADIOGRAPHIER",IF(AP332="A","ACCEPTÉ",IF(AP332="NX","NX – RT À REFAIRE",IF(IF(AO332=1,AD332,IF(AO332=2,AI332,""))="A","RÉPARÉ – À RADIOGRAPHIER",IF(IF(AO332=1,AD332,IF(AO332=2,AI332,""))="R","VT REJETÉ – À REPRENDRE",IF(OR(AP332="CO",AP332="NT"),"COUPE – À RESOUDER","À RÉPARER"))))))))))</f>
        <v>À SOUDER</v>
      </c>
      <c r="AR332" s="82" t="str">
        <f aca="false">IF(AND(ISNUMBER(U332),OR(AQ332="À RADIOGRAPHIER",AQ332="RÉPARÉ – À RADIOGRAPHIER",AQ332="NX – RT À REFAIRE",AQ332="À RÉPARER",AQ332="COUPE – À RESOUDER",AQ332="VT REJETÉ – À REPRENDRE")),MAX(0,'PROGRAMME RT'!$C$4-U332),"")</f>
        <v/>
      </c>
      <c r="AS332" s="82" t="n">
        <f aca="false">IF(AND(OR(AQ332="À RADIOGRAPHIER",AQ332="RÉPARÉ – À RADIOGRAPHIER",AQ332="NX – RT À REFAIRE"),OR('PROGRAMME RT'!$D$5="TOUTES",B332='PROGRAMME RT'!$D$5)),1,0)</f>
        <v>0</v>
      </c>
      <c r="AT332" s="82" t="str">
        <f aca="false">IF(AS332=1,SUM(AS$7:AS332),"")</f>
        <v/>
      </c>
      <c r="AU332" s="82" t="n">
        <f aca="false">IF(AND(OR(AA332="R",AA332="NX",AA332="NT",AA332="CO"),OR('JOINTS DE RÉPARATION'!$D$5="TOUTES",B332='JOINTS DE RÉPARATION'!$D$5),OR('JOINTS DE RÉPARATION'!$L$4="TOUS",AQ332&lt;&gt;"ACCEPTÉ")),1,0)</f>
        <v>0</v>
      </c>
      <c r="AV332" s="82" t="str">
        <f aca="false">IF(AU332=1,SUM(AU$7:AU332),"")</f>
        <v/>
      </c>
      <c r="AW332" s="82" t="str">
        <f aca="false">IF(E332="","",B332&amp;"|"&amp;E332)</f>
        <v>MFD-ISW → MFD-CPF|JN°326</v>
      </c>
    </row>
    <row r="333" customFormat="false" ht="74.6" hidden="false" customHeight="false" outlineLevel="0" collapsed="false">
      <c r="A333" s="79" t="n">
        <f aca="false">IF(E333="","",ROW()-6)</f>
        <v>327</v>
      </c>
      <c r="B333" s="80" t="s">
        <v>110</v>
      </c>
      <c r="C333" s="81"/>
      <c r="D333" s="81"/>
      <c r="E333" s="81" t="s">
        <v>437</v>
      </c>
      <c r="F333" s="82" t="str">
        <f aca="false">IF(E333="","",IF(LEFT(E333,2)="DJ","DJ","JN"))</f>
        <v>JN</v>
      </c>
      <c r="G333" s="81"/>
      <c r="H333" s="81"/>
      <c r="I333" s="81"/>
      <c r="J333" s="81"/>
      <c r="K333" s="81"/>
      <c r="L333" s="81"/>
      <c r="M333" s="81"/>
      <c r="N333" s="81"/>
      <c r="O333" s="81"/>
      <c r="P333" s="81"/>
      <c r="Q333" s="81"/>
      <c r="R333" s="81"/>
      <c r="S333" s="81"/>
      <c r="T333" s="81"/>
      <c r="U333" s="83"/>
      <c r="V333" s="83"/>
      <c r="W333" s="81"/>
      <c r="X333" s="81"/>
      <c r="Y333" s="83"/>
      <c r="Z333" s="81"/>
      <c r="AA333" s="81"/>
      <c r="AB333" s="81"/>
      <c r="AC333" s="81"/>
      <c r="AD333" s="81"/>
      <c r="AE333" s="83"/>
      <c r="AF333" s="81"/>
      <c r="AG333" s="81"/>
      <c r="AH333" s="81"/>
      <c r="AI333" s="81"/>
      <c r="AJ333" s="83"/>
      <c r="AK333" s="81"/>
      <c r="AL333" s="81"/>
      <c r="AM333" s="83"/>
      <c r="AN333" s="80"/>
      <c r="AO333" s="82" t="n">
        <f aca="false">IF(E333="","",(AA333&lt;&gt;"")+(AG333&lt;&gt;"")+(AL333&lt;&gt;""))</f>
        <v>0</v>
      </c>
      <c r="AP333" s="82" t="str">
        <f aca="false">IF(AL333&lt;&gt;"",AL333,IF(AG333&lt;&gt;"",AG333,IF(AA333&lt;&gt;"",AA333,"")))</f>
        <v/>
      </c>
      <c r="AQ333" s="84" t="str">
        <f aca="false">IF(E333="","",IF(U333="","À SOUDER",IF(X333="","VT EN ATTENTE",IF(X333="R","VT REJETÉ – À REPRENDRE",IF(AP333="","À RADIOGRAPHIER",IF(AP333="A","ACCEPTÉ",IF(AP333="NX","NX – RT À REFAIRE",IF(IF(AO333=1,AD333,IF(AO333=2,AI333,""))="A","RÉPARÉ – À RADIOGRAPHIER",IF(IF(AO333=1,AD333,IF(AO333=2,AI333,""))="R","VT REJETÉ – À REPRENDRE",IF(OR(AP333="CO",AP333="NT"),"COUPE – À RESOUDER","À RÉPARER"))))))))))</f>
        <v>À SOUDER</v>
      </c>
      <c r="AR333" s="82" t="str">
        <f aca="false">IF(AND(ISNUMBER(U333),OR(AQ333="À RADIOGRAPHIER",AQ333="RÉPARÉ – À RADIOGRAPHIER",AQ333="NX – RT À REFAIRE",AQ333="À RÉPARER",AQ333="COUPE – À RESOUDER",AQ333="VT REJETÉ – À REPRENDRE")),MAX(0,'PROGRAMME RT'!$C$4-U333),"")</f>
        <v/>
      </c>
      <c r="AS333" s="82" t="n">
        <f aca="false">IF(AND(OR(AQ333="À RADIOGRAPHIER",AQ333="RÉPARÉ – À RADIOGRAPHIER",AQ333="NX – RT À REFAIRE"),OR('PROGRAMME RT'!$D$5="TOUTES",B333='PROGRAMME RT'!$D$5)),1,0)</f>
        <v>0</v>
      </c>
      <c r="AT333" s="82" t="str">
        <f aca="false">IF(AS333=1,SUM(AS$7:AS333),"")</f>
        <v/>
      </c>
      <c r="AU333" s="82" t="n">
        <f aca="false">IF(AND(OR(AA333="R",AA333="NX",AA333="NT",AA333="CO"),OR('JOINTS DE RÉPARATION'!$D$5="TOUTES",B333='JOINTS DE RÉPARATION'!$D$5),OR('JOINTS DE RÉPARATION'!$L$4="TOUS",AQ333&lt;&gt;"ACCEPTÉ")),1,0)</f>
        <v>0</v>
      </c>
      <c r="AV333" s="82" t="str">
        <f aca="false">IF(AU333=1,SUM(AU$7:AU333),"")</f>
        <v/>
      </c>
      <c r="AW333" s="82" t="str">
        <f aca="false">IF(E333="","",B333&amp;"|"&amp;E333)</f>
        <v>MFD-ISW → MFD-CPF|JN°327</v>
      </c>
    </row>
    <row r="334" customFormat="false" ht="74.6" hidden="false" customHeight="false" outlineLevel="0" collapsed="false">
      <c r="A334" s="79" t="n">
        <f aca="false">IF(E334="","",ROW()-6)</f>
        <v>328</v>
      </c>
      <c r="B334" s="80" t="s">
        <v>110</v>
      </c>
      <c r="C334" s="81"/>
      <c r="D334" s="81"/>
      <c r="E334" s="81" t="s">
        <v>438</v>
      </c>
      <c r="F334" s="82" t="str">
        <f aca="false">IF(E334="","",IF(LEFT(E334,2)="DJ","DJ","JN"))</f>
        <v>JN</v>
      </c>
      <c r="G334" s="81"/>
      <c r="H334" s="81"/>
      <c r="I334" s="81"/>
      <c r="J334" s="81"/>
      <c r="K334" s="81"/>
      <c r="L334" s="81"/>
      <c r="M334" s="81"/>
      <c r="N334" s="81"/>
      <c r="O334" s="81"/>
      <c r="P334" s="81"/>
      <c r="Q334" s="81"/>
      <c r="R334" s="81"/>
      <c r="S334" s="81"/>
      <c r="T334" s="81"/>
      <c r="U334" s="83"/>
      <c r="V334" s="83"/>
      <c r="W334" s="81"/>
      <c r="X334" s="81"/>
      <c r="Y334" s="83"/>
      <c r="Z334" s="81"/>
      <c r="AA334" s="81"/>
      <c r="AB334" s="81"/>
      <c r="AC334" s="81"/>
      <c r="AD334" s="81"/>
      <c r="AE334" s="83"/>
      <c r="AF334" s="81"/>
      <c r="AG334" s="81"/>
      <c r="AH334" s="81"/>
      <c r="AI334" s="81"/>
      <c r="AJ334" s="83"/>
      <c r="AK334" s="81"/>
      <c r="AL334" s="81"/>
      <c r="AM334" s="83"/>
      <c r="AN334" s="80"/>
      <c r="AO334" s="82" t="n">
        <f aca="false">IF(E334="","",(AA334&lt;&gt;"")+(AG334&lt;&gt;"")+(AL334&lt;&gt;""))</f>
        <v>0</v>
      </c>
      <c r="AP334" s="82" t="str">
        <f aca="false">IF(AL334&lt;&gt;"",AL334,IF(AG334&lt;&gt;"",AG334,IF(AA334&lt;&gt;"",AA334,"")))</f>
        <v/>
      </c>
      <c r="AQ334" s="84" t="str">
        <f aca="false">IF(E334="","",IF(U334="","À SOUDER",IF(X334="","VT EN ATTENTE",IF(X334="R","VT REJETÉ – À REPRENDRE",IF(AP334="","À RADIOGRAPHIER",IF(AP334="A","ACCEPTÉ",IF(AP334="NX","NX – RT À REFAIRE",IF(IF(AO334=1,AD334,IF(AO334=2,AI334,""))="A","RÉPARÉ – À RADIOGRAPHIER",IF(IF(AO334=1,AD334,IF(AO334=2,AI334,""))="R","VT REJETÉ – À REPRENDRE",IF(OR(AP334="CO",AP334="NT"),"COUPE – À RESOUDER","À RÉPARER"))))))))))</f>
        <v>À SOUDER</v>
      </c>
      <c r="AR334" s="82" t="str">
        <f aca="false">IF(AND(ISNUMBER(U334),OR(AQ334="À RADIOGRAPHIER",AQ334="RÉPARÉ – À RADIOGRAPHIER",AQ334="NX – RT À REFAIRE",AQ334="À RÉPARER",AQ334="COUPE – À RESOUDER",AQ334="VT REJETÉ – À REPRENDRE")),MAX(0,'PROGRAMME RT'!$C$4-U334),"")</f>
        <v/>
      </c>
      <c r="AS334" s="82" t="n">
        <f aca="false">IF(AND(OR(AQ334="À RADIOGRAPHIER",AQ334="RÉPARÉ – À RADIOGRAPHIER",AQ334="NX – RT À REFAIRE"),OR('PROGRAMME RT'!$D$5="TOUTES",B334='PROGRAMME RT'!$D$5)),1,0)</f>
        <v>0</v>
      </c>
      <c r="AT334" s="82" t="str">
        <f aca="false">IF(AS334=1,SUM(AS$7:AS334),"")</f>
        <v/>
      </c>
      <c r="AU334" s="82" t="n">
        <f aca="false">IF(AND(OR(AA334="R",AA334="NX",AA334="NT",AA334="CO"),OR('JOINTS DE RÉPARATION'!$D$5="TOUTES",B334='JOINTS DE RÉPARATION'!$D$5),OR('JOINTS DE RÉPARATION'!$L$4="TOUS",AQ334&lt;&gt;"ACCEPTÉ")),1,0)</f>
        <v>0</v>
      </c>
      <c r="AV334" s="82" t="str">
        <f aca="false">IF(AU334=1,SUM(AU$7:AU334),"")</f>
        <v/>
      </c>
      <c r="AW334" s="82" t="str">
        <f aca="false">IF(E334="","",B334&amp;"|"&amp;E334)</f>
        <v>MFD-ISW → MFD-CPF|JN°328</v>
      </c>
    </row>
    <row r="335" customFormat="false" ht="74.6" hidden="false" customHeight="false" outlineLevel="0" collapsed="false">
      <c r="A335" s="79" t="n">
        <f aca="false">IF(E335="","",ROW()-6)</f>
        <v>329</v>
      </c>
      <c r="B335" s="80" t="s">
        <v>110</v>
      </c>
      <c r="C335" s="81"/>
      <c r="D335" s="81"/>
      <c r="E335" s="81" t="s">
        <v>439</v>
      </c>
      <c r="F335" s="82" t="str">
        <f aca="false">IF(E335="","",IF(LEFT(E335,2)="DJ","DJ","JN"))</f>
        <v>JN</v>
      </c>
      <c r="G335" s="81"/>
      <c r="H335" s="81"/>
      <c r="I335" s="81"/>
      <c r="J335" s="81"/>
      <c r="K335" s="81"/>
      <c r="L335" s="81"/>
      <c r="M335" s="81"/>
      <c r="N335" s="81"/>
      <c r="O335" s="81"/>
      <c r="P335" s="81"/>
      <c r="Q335" s="81"/>
      <c r="R335" s="81"/>
      <c r="S335" s="81"/>
      <c r="T335" s="81"/>
      <c r="U335" s="83"/>
      <c r="V335" s="83"/>
      <c r="W335" s="81"/>
      <c r="X335" s="81"/>
      <c r="Y335" s="83"/>
      <c r="Z335" s="81"/>
      <c r="AA335" s="81"/>
      <c r="AB335" s="81"/>
      <c r="AC335" s="81"/>
      <c r="AD335" s="81"/>
      <c r="AE335" s="83"/>
      <c r="AF335" s="81"/>
      <c r="AG335" s="81"/>
      <c r="AH335" s="81"/>
      <c r="AI335" s="81"/>
      <c r="AJ335" s="83"/>
      <c r="AK335" s="81"/>
      <c r="AL335" s="81"/>
      <c r="AM335" s="83"/>
      <c r="AN335" s="80"/>
      <c r="AO335" s="82" t="n">
        <f aca="false">IF(E335="","",(AA335&lt;&gt;"")+(AG335&lt;&gt;"")+(AL335&lt;&gt;""))</f>
        <v>0</v>
      </c>
      <c r="AP335" s="82" t="str">
        <f aca="false">IF(AL335&lt;&gt;"",AL335,IF(AG335&lt;&gt;"",AG335,IF(AA335&lt;&gt;"",AA335,"")))</f>
        <v/>
      </c>
      <c r="AQ335" s="84" t="str">
        <f aca="false">IF(E335="","",IF(U335="","À SOUDER",IF(X335="","VT EN ATTENTE",IF(X335="R","VT REJETÉ – À REPRENDRE",IF(AP335="","À RADIOGRAPHIER",IF(AP335="A","ACCEPTÉ",IF(AP335="NX","NX – RT À REFAIRE",IF(IF(AO335=1,AD335,IF(AO335=2,AI335,""))="A","RÉPARÉ – À RADIOGRAPHIER",IF(IF(AO335=1,AD335,IF(AO335=2,AI335,""))="R","VT REJETÉ – À REPRENDRE",IF(OR(AP335="CO",AP335="NT"),"COUPE – À RESOUDER","À RÉPARER"))))))))))</f>
        <v>À SOUDER</v>
      </c>
      <c r="AR335" s="82" t="str">
        <f aca="false">IF(AND(ISNUMBER(U335),OR(AQ335="À RADIOGRAPHIER",AQ335="RÉPARÉ – À RADIOGRAPHIER",AQ335="NX – RT À REFAIRE",AQ335="À RÉPARER",AQ335="COUPE – À RESOUDER",AQ335="VT REJETÉ – À REPRENDRE")),MAX(0,'PROGRAMME RT'!$C$4-U335),"")</f>
        <v/>
      </c>
      <c r="AS335" s="82" t="n">
        <f aca="false">IF(AND(OR(AQ335="À RADIOGRAPHIER",AQ335="RÉPARÉ – À RADIOGRAPHIER",AQ335="NX – RT À REFAIRE"),OR('PROGRAMME RT'!$D$5="TOUTES",B335='PROGRAMME RT'!$D$5)),1,0)</f>
        <v>0</v>
      </c>
      <c r="AT335" s="82" t="str">
        <f aca="false">IF(AS335=1,SUM(AS$7:AS335),"")</f>
        <v/>
      </c>
      <c r="AU335" s="82" t="n">
        <f aca="false">IF(AND(OR(AA335="R",AA335="NX",AA335="NT",AA335="CO"),OR('JOINTS DE RÉPARATION'!$D$5="TOUTES",B335='JOINTS DE RÉPARATION'!$D$5),OR('JOINTS DE RÉPARATION'!$L$4="TOUS",AQ335&lt;&gt;"ACCEPTÉ")),1,0)</f>
        <v>0</v>
      </c>
      <c r="AV335" s="82" t="str">
        <f aca="false">IF(AU335=1,SUM(AU$7:AU335),"")</f>
        <v/>
      </c>
      <c r="AW335" s="82" t="str">
        <f aca="false">IF(E335="","",B335&amp;"|"&amp;E335)</f>
        <v>MFD-ISW → MFD-CPF|JN°329</v>
      </c>
    </row>
    <row r="336" customFormat="false" ht="74.6" hidden="false" customHeight="false" outlineLevel="0" collapsed="false">
      <c r="A336" s="79" t="n">
        <f aca="false">IF(E336="","",ROW()-6)</f>
        <v>330</v>
      </c>
      <c r="B336" s="80" t="s">
        <v>110</v>
      </c>
      <c r="C336" s="81"/>
      <c r="D336" s="81"/>
      <c r="E336" s="81" t="s">
        <v>440</v>
      </c>
      <c r="F336" s="82" t="str">
        <f aca="false">IF(E336="","",IF(LEFT(E336,2)="DJ","DJ","JN"))</f>
        <v>JN</v>
      </c>
      <c r="G336" s="81"/>
      <c r="H336" s="81"/>
      <c r="I336" s="81"/>
      <c r="J336" s="81"/>
      <c r="K336" s="81"/>
      <c r="L336" s="81"/>
      <c r="M336" s="81"/>
      <c r="N336" s="81"/>
      <c r="O336" s="81"/>
      <c r="P336" s="81"/>
      <c r="Q336" s="81"/>
      <c r="R336" s="81"/>
      <c r="S336" s="81"/>
      <c r="T336" s="81"/>
      <c r="U336" s="83"/>
      <c r="V336" s="83"/>
      <c r="W336" s="81"/>
      <c r="X336" s="81"/>
      <c r="Y336" s="83"/>
      <c r="Z336" s="81"/>
      <c r="AA336" s="81"/>
      <c r="AB336" s="81"/>
      <c r="AC336" s="81"/>
      <c r="AD336" s="81"/>
      <c r="AE336" s="83"/>
      <c r="AF336" s="81"/>
      <c r="AG336" s="81"/>
      <c r="AH336" s="81"/>
      <c r="AI336" s="81"/>
      <c r="AJ336" s="83"/>
      <c r="AK336" s="81"/>
      <c r="AL336" s="81"/>
      <c r="AM336" s="83"/>
      <c r="AN336" s="80"/>
      <c r="AO336" s="82" t="n">
        <f aca="false">IF(E336="","",(AA336&lt;&gt;"")+(AG336&lt;&gt;"")+(AL336&lt;&gt;""))</f>
        <v>0</v>
      </c>
      <c r="AP336" s="82" t="str">
        <f aca="false">IF(AL336&lt;&gt;"",AL336,IF(AG336&lt;&gt;"",AG336,IF(AA336&lt;&gt;"",AA336,"")))</f>
        <v/>
      </c>
      <c r="AQ336" s="84" t="str">
        <f aca="false">IF(E336="","",IF(U336="","À SOUDER",IF(X336="","VT EN ATTENTE",IF(X336="R","VT REJETÉ – À REPRENDRE",IF(AP336="","À RADIOGRAPHIER",IF(AP336="A","ACCEPTÉ",IF(AP336="NX","NX – RT À REFAIRE",IF(IF(AO336=1,AD336,IF(AO336=2,AI336,""))="A","RÉPARÉ – À RADIOGRAPHIER",IF(IF(AO336=1,AD336,IF(AO336=2,AI336,""))="R","VT REJETÉ – À REPRENDRE",IF(OR(AP336="CO",AP336="NT"),"COUPE – À RESOUDER","À RÉPARER"))))))))))</f>
        <v>À SOUDER</v>
      </c>
      <c r="AR336" s="82" t="str">
        <f aca="false">IF(AND(ISNUMBER(U336),OR(AQ336="À RADIOGRAPHIER",AQ336="RÉPARÉ – À RADIOGRAPHIER",AQ336="NX – RT À REFAIRE",AQ336="À RÉPARER",AQ336="COUPE – À RESOUDER",AQ336="VT REJETÉ – À REPRENDRE")),MAX(0,'PROGRAMME RT'!$C$4-U336),"")</f>
        <v/>
      </c>
      <c r="AS336" s="82" t="n">
        <f aca="false">IF(AND(OR(AQ336="À RADIOGRAPHIER",AQ336="RÉPARÉ – À RADIOGRAPHIER",AQ336="NX – RT À REFAIRE"),OR('PROGRAMME RT'!$D$5="TOUTES",B336='PROGRAMME RT'!$D$5)),1,0)</f>
        <v>0</v>
      </c>
      <c r="AT336" s="82" t="str">
        <f aca="false">IF(AS336=1,SUM(AS$7:AS336),"")</f>
        <v/>
      </c>
      <c r="AU336" s="82" t="n">
        <f aca="false">IF(AND(OR(AA336="R",AA336="NX",AA336="NT",AA336="CO"),OR('JOINTS DE RÉPARATION'!$D$5="TOUTES",B336='JOINTS DE RÉPARATION'!$D$5),OR('JOINTS DE RÉPARATION'!$L$4="TOUS",AQ336&lt;&gt;"ACCEPTÉ")),1,0)</f>
        <v>0</v>
      </c>
      <c r="AV336" s="82" t="str">
        <f aca="false">IF(AU336=1,SUM(AU$7:AU336),"")</f>
        <v/>
      </c>
      <c r="AW336" s="82" t="str">
        <f aca="false">IF(E336="","",B336&amp;"|"&amp;E336)</f>
        <v>MFD-ISW → MFD-CPF|JN°330</v>
      </c>
    </row>
    <row r="337" customFormat="false" ht="74.6" hidden="false" customHeight="false" outlineLevel="0" collapsed="false">
      <c r="A337" s="79" t="n">
        <f aca="false">IF(E337="","",ROW()-6)</f>
        <v>331</v>
      </c>
      <c r="B337" s="80" t="s">
        <v>110</v>
      </c>
      <c r="C337" s="81"/>
      <c r="D337" s="81"/>
      <c r="E337" s="81" t="s">
        <v>441</v>
      </c>
      <c r="F337" s="82" t="str">
        <f aca="false">IF(E337="","",IF(LEFT(E337,2)="DJ","DJ","JN"))</f>
        <v>JN</v>
      </c>
      <c r="G337" s="81"/>
      <c r="H337" s="81"/>
      <c r="I337" s="81"/>
      <c r="J337" s="81"/>
      <c r="K337" s="81"/>
      <c r="L337" s="81"/>
      <c r="M337" s="81"/>
      <c r="N337" s="81"/>
      <c r="O337" s="81"/>
      <c r="P337" s="81"/>
      <c r="Q337" s="81"/>
      <c r="R337" s="81"/>
      <c r="S337" s="81"/>
      <c r="T337" s="81"/>
      <c r="U337" s="83"/>
      <c r="V337" s="83"/>
      <c r="W337" s="81"/>
      <c r="X337" s="81"/>
      <c r="Y337" s="83"/>
      <c r="Z337" s="81"/>
      <c r="AA337" s="81"/>
      <c r="AB337" s="81"/>
      <c r="AC337" s="81"/>
      <c r="AD337" s="81"/>
      <c r="AE337" s="83"/>
      <c r="AF337" s="81"/>
      <c r="AG337" s="81"/>
      <c r="AH337" s="81"/>
      <c r="AI337" s="81"/>
      <c r="AJ337" s="83"/>
      <c r="AK337" s="81"/>
      <c r="AL337" s="81"/>
      <c r="AM337" s="83"/>
      <c r="AN337" s="80"/>
      <c r="AO337" s="82" t="n">
        <f aca="false">IF(E337="","",(AA337&lt;&gt;"")+(AG337&lt;&gt;"")+(AL337&lt;&gt;""))</f>
        <v>0</v>
      </c>
      <c r="AP337" s="82" t="str">
        <f aca="false">IF(AL337&lt;&gt;"",AL337,IF(AG337&lt;&gt;"",AG337,IF(AA337&lt;&gt;"",AA337,"")))</f>
        <v/>
      </c>
      <c r="AQ337" s="84" t="str">
        <f aca="false">IF(E337="","",IF(U337="","À SOUDER",IF(X337="","VT EN ATTENTE",IF(X337="R","VT REJETÉ – À REPRENDRE",IF(AP337="","À RADIOGRAPHIER",IF(AP337="A","ACCEPTÉ",IF(AP337="NX","NX – RT À REFAIRE",IF(IF(AO337=1,AD337,IF(AO337=2,AI337,""))="A","RÉPARÉ – À RADIOGRAPHIER",IF(IF(AO337=1,AD337,IF(AO337=2,AI337,""))="R","VT REJETÉ – À REPRENDRE",IF(OR(AP337="CO",AP337="NT"),"COUPE – À RESOUDER","À RÉPARER"))))))))))</f>
        <v>À SOUDER</v>
      </c>
      <c r="AR337" s="82" t="str">
        <f aca="false">IF(AND(ISNUMBER(U337),OR(AQ337="À RADIOGRAPHIER",AQ337="RÉPARÉ – À RADIOGRAPHIER",AQ337="NX – RT À REFAIRE",AQ337="À RÉPARER",AQ337="COUPE – À RESOUDER",AQ337="VT REJETÉ – À REPRENDRE")),MAX(0,'PROGRAMME RT'!$C$4-U337),"")</f>
        <v/>
      </c>
      <c r="AS337" s="82" t="n">
        <f aca="false">IF(AND(OR(AQ337="À RADIOGRAPHIER",AQ337="RÉPARÉ – À RADIOGRAPHIER",AQ337="NX – RT À REFAIRE"),OR('PROGRAMME RT'!$D$5="TOUTES",B337='PROGRAMME RT'!$D$5)),1,0)</f>
        <v>0</v>
      </c>
      <c r="AT337" s="82" t="str">
        <f aca="false">IF(AS337=1,SUM(AS$7:AS337),"")</f>
        <v/>
      </c>
      <c r="AU337" s="82" t="n">
        <f aca="false">IF(AND(OR(AA337="R",AA337="NX",AA337="NT",AA337="CO"),OR('JOINTS DE RÉPARATION'!$D$5="TOUTES",B337='JOINTS DE RÉPARATION'!$D$5),OR('JOINTS DE RÉPARATION'!$L$4="TOUS",AQ337&lt;&gt;"ACCEPTÉ")),1,0)</f>
        <v>0</v>
      </c>
      <c r="AV337" s="82" t="str">
        <f aca="false">IF(AU337=1,SUM(AU$7:AU337),"")</f>
        <v/>
      </c>
      <c r="AW337" s="82" t="str">
        <f aca="false">IF(E337="","",B337&amp;"|"&amp;E337)</f>
        <v>MFD-ISW → MFD-CPF|JN°331</v>
      </c>
    </row>
    <row r="338" customFormat="false" ht="74.6" hidden="false" customHeight="false" outlineLevel="0" collapsed="false">
      <c r="A338" s="79" t="n">
        <f aca="false">IF(E338="","",ROW()-6)</f>
        <v>332</v>
      </c>
      <c r="B338" s="80" t="s">
        <v>110</v>
      </c>
      <c r="C338" s="81"/>
      <c r="D338" s="81"/>
      <c r="E338" s="81" t="s">
        <v>442</v>
      </c>
      <c r="F338" s="82" t="str">
        <f aca="false">IF(E338="","",IF(LEFT(E338,2)="DJ","DJ","JN"))</f>
        <v>JN</v>
      </c>
      <c r="G338" s="81"/>
      <c r="H338" s="81"/>
      <c r="I338" s="81"/>
      <c r="J338" s="81"/>
      <c r="K338" s="81"/>
      <c r="L338" s="81"/>
      <c r="M338" s="81"/>
      <c r="N338" s="81"/>
      <c r="O338" s="81"/>
      <c r="P338" s="81"/>
      <c r="Q338" s="81"/>
      <c r="R338" s="81"/>
      <c r="S338" s="81"/>
      <c r="T338" s="81"/>
      <c r="U338" s="83"/>
      <c r="V338" s="83"/>
      <c r="W338" s="81"/>
      <c r="X338" s="81"/>
      <c r="Y338" s="83"/>
      <c r="Z338" s="81"/>
      <c r="AA338" s="81"/>
      <c r="AB338" s="81"/>
      <c r="AC338" s="81"/>
      <c r="AD338" s="81"/>
      <c r="AE338" s="83"/>
      <c r="AF338" s="81"/>
      <c r="AG338" s="81"/>
      <c r="AH338" s="81"/>
      <c r="AI338" s="81"/>
      <c r="AJ338" s="83"/>
      <c r="AK338" s="81"/>
      <c r="AL338" s="81"/>
      <c r="AM338" s="83"/>
      <c r="AN338" s="80"/>
      <c r="AO338" s="82" t="n">
        <f aca="false">IF(E338="","",(AA338&lt;&gt;"")+(AG338&lt;&gt;"")+(AL338&lt;&gt;""))</f>
        <v>0</v>
      </c>
      <c r="AP338" s="82" t="str">
        <f aca="false">IF(AL338&lt;&gt;"",AL338,IF(AG338&lt;&gt;"",AG338,IF(AA338&lt;&gt;"",AA338,"")))</f>
        <v/>
      </c>
      <c r="AQ338" s="84" t="str">
        <f aca="false">IF(E338="","",IF(U338="","À SOUDER",IF(X338="","VT EN ATTENTE",IF(X338="R","VT REJETÉ – À REPRENDRE",IF(AP338="","À RADIOGRAPHIER",IF(AP338="A","ACCEPTÉ",IF(AP338="NX","NX – RT À REFAIRE",IF(IF(AO338=1,AD338,IF(AO338=2,AI338,""))="A","RÉPARÉ – À RADIOGRAPHIER",IF(IF(AO338=1,AD338,IF(AO338=2,AI338,""))="R","VT REJETÉ – À REPRENDRE",IF(OR(AP338="CO",AP338="NT"),"COUPE – À RESOUDER","À RÉPARER"))))))))))</f>
        <v>À SOUDER</v>
      </c>
      <c r="AR338" s="82" t="str">
        <f aca="false">IF(AND(ISNUMBER(U338),OR(AQ338="À RADIOGRAPHIER",AQ338="RÉPARÉ – À RADIOGRAPHIER",AQ338="NX – RT À REFAIRE",AQ338="À RÉPARER",AQ338="COUPE – À RESOUDER",AQ338="VT REJETÉ – À REPRENDRE")),MAX(0,'PROGRAMME RT'!$C$4-U338),"")</f>
        <v/>
      </c>
      <c r="AS338" s="82" t="n">
        <f aca="false">IF(AND(OR(AQ338="À RADIOGRAPHIER",AQ338="RÉPARÉ – À RADIOGRAPHIER",AQ338="NX – RT À REFAIRE"),OR('PROGRAMME RT'!$D$5="TOUTES",B338='PROGRAMME RT'!$D$5)),1,0)</f>
        <v>0</v>
      </c>
      <c r="AT338" s="82" t="str">
        <f aca="false">IF(AS338=1,SUM(AS$7:AS338),"")</f>
        <v/>
      </c>
      <c r="AU338" s="82" t="n">
        <f aca="false">IF(AND(OR(AA338="R",AA338="NX",AA338="NT",AA338="CO"),OR('JOINTS DE RÉPARATION'!$D$5="TOUTES",B338='JOINTS DE RÉPARATION'!$D$5),OR('JOINTS DE RÉPARATION'!$L$4="TOUS",AQ338&lt;&gt;"ACCEPTÉ")),1,0)</f>
        <v>0</v>
      </c>
      <c r="AV338" s="82" t="str">
        <f aca="false">IF(AU338=1,SUM(AU$7:AU338),"")</f>
        <v/>
      </c>
      <c r="AW338" s="82" t="str">
        <f aca="false">IF(E338="","",B338&amp;"|"&amp;E338)</f>
        <v>MFD-ISW → MFD-CPF|JN°332</v>
      </c>
    </row>
    <row r="339" customFormat="false" ht="74.6" hidden="false" customHeight="false" outlineLevel="0" collapsed="false">
      <c r="A339" s="79" t="n">
        <f aca="false">IF(E339="","",ROW()-6)</f>
        <v>333</v>
      </c>
      <c r="B339" s="80" t="s">
        <v>110</v>
      </c>
      <c r="C339" s="81"/>
      <c r="D339" s="81"/>
      <c r="E339" s="81" t="s">
        <v>443</v>
      </c>
      <c r="F339" s="82" t="str">
        <f aca="false">IF(E339="","",IF(LEFT(E339,2)="DJ","DJ","JN"))</f>
        <v>JN</v>
      </c>
      <c r="G339" s="81"/>
      <c r="H339" s="81"/>
      <c r="I339" s="81"/>
      <c r="J339" s="81"/>
      <c r="K339" s="81"/>
      <c r="L339" s="81"/>
      <c r="M339" s="81"/>
      <c r="N339" s="81"/>
      <c r="O339" s="81"/>
      <c r="P339" s="81"/>
      <c r="Q339" s="81"/>
      <c r="R339" s="81"/>
      <c r="S339" s="81"/>
      <c r="T339" s="81"/>
      <c r="U339" s="83"/>
      <c r="V339" s="83"/>
      <c r="W339" s="81"/>
      <c r="X339" s="81"/>
      <c r="Y339" s="83"/>
      <c r="Z339" s="81"/>
      <c r="AA339" s="81"/>
      <c r="AB339" s="81"/>
      <c r="AC339" s="81"/>
      <c r="AD339" s="81"/>
      <c r="AE339" s="83"/>
      <c r="AF339" s="81"/>
      <c r="AG339" s="81"/>
      <c r="AH339" s="81"/>
      <c r="AI339" s="81"/>
      <c r="AJ339" s="83"/>
      <c r="AK339" s="81"/>
      <c r="AL339" s="81"/>
      <c r="AM339" s="83"/>
      <c r="AN339" s="80"/>
      <c r="AO339" s="82" t="n">
        <f aca="false">IF(E339="","",(AA339&lt;&gt;"")+(AG339&lt;&gt;"")+(AL339&lt;&gt;""))</f>
        <v>0</v>
      </c>
      <c r="AP339" s="82" t="str">
        <f aca="false">IF(AL339&lt;&gt;"",AL339,IF(AG339&lt;&gt;"",AG339,IF(AA339&lt;&gt;"",AA339,"")))</f>
        <v/>
      </c>
      <c r="AQ339" s="84" t="str">
        <f aca="false">IF(E339="","",IF(U339="","À SOUDER",IF(X339="","VT EN ATTENTE",IF(X339="R","VT REJETÉ – À REPRENDRE",IF(AP339="","À RADIOGRAPHIER",IF(AP339="A","ACCEPTÉ",IF(AP339="NX","NX – RT À REFAIRE",IF(IF(AO339=1,AD339,IF(AO339=2,AI339,""))="A","RÉPARÉ – À RADIOGRAPHIER",IF(IF(AO339=1,AD339,IF(AO339=2,AI339,""))="R","VT REJETÉ – À REPRENDRE",IF(OR(AP339="CO",AP339="NT"),"COUPE – À RESOUDER","À RÉPARER"))))))))))</f>
        <v>À SOUDER</v>
      </c>
      <c r="AR339" s="82" t="str">
        <f aca="false">IF(AND(ISNUMBER(U339),OR(AQ339="À RADIOGRAPHIER",AQ339="RÉPARÉ – À RADIOGRAPHIER",AQ339="NX – RT À REFAIRE",AQ339="À RÉPARER",AQ339="COUPE – À RESOUDER",AQ339="VT REJETÉ – À REPRENDRE")),MAX(0,'PROGRAMME RT'!$C$4-U339),"")</f>
        <v/>
      </c>
      <c r="AS339" s="82" t="n">
        <f aca="false">IF(AND(OR(AQ339="À RADIOGRAPHIER",AQ339="RÉPARÉ – À RADIOGRAPHIER",AQ339="NX – RT À REFAIRE"),OR('PROGRAMME RT'!$D$5="TOUTES",B339='PROGRAMME RT'!$D$5)),1,0)</f>
        <v>0</v>
      </c>
      <c r="AT339" s="82" t="str">
        <f aca="false">IF(AS339=1,SUM(AS$7:AS339),"")</f>
        <v/>
      </c>
      <c r="AU339" s="82" t="n">
        <f aca="false">IF(AND(OR(AA339="R",AA339="NX",AA339="NT",AA339="CO"),OR('JOINTS DE RÉPARATION'!$D$5="TOUTES",B339='JOINTS DE RÉPARATION'!$D$5),OR('JOINTS DE RÉPARATION'!$L$4="TOUS",AQ339&lt;&gt;"ACCEPTÉ")),1,0)</f>
        <v>0</v>
      </c>
      <c r="AV339" s="82" t="str">
        <f aca="false">IF(AU339=1,SUM(AU$7:AU339),"")</f>
        <v/>
      </c>
      <c r="AW339" s="82" t="str">
        <f aca="false">IF(E339="","",B339&amp;"|"&amp;E339)</f>
        <v>MFD-ISW → MFD-CPF|JN°333</v>
      </c>
    </row>
    <row r="340" customFormat="false" ht="74.6" hidden="false" customHeight="false" outlineLevel="0" collapsed="false">
      <c r="A340" s="79" t="n">
        <f aca="false">IF(E340="","",ROW()-6)</f>
        <v>334</v>
      </c>
      <c r="B340" s="80" t="s">
        <v>110</v>
      </c>
      <c r="C340" s="81"/>
      <c r="D340" s="81"/>
      <c r="E340" s="81" t="s">
        <v>444</v>
      </c>
      <c r="F340" s="82" t="str">
        <f aca="false">IF(E340="","",IF(LEFT(E340,2)="DJ","DJ","JN"))</f>
        <v>JN</v>
      </c>
      <c r="G340" s="81"/>
      <c r="H340" s="81"/>
      <c r="I340" s="81"/>
      <c r="J340" s="81"/>
      <c r="K340" s="81"/>
      <c r="L340" s="81"/>
      <c r="M340" s="81"/>
      <c r="N340" s="81"/>
      <c r="O340" s="81"/>
      <c r="P340" s="81"/>
      <c r="Q340" s="81"/>
      <c r="R340" s="81"/>
      <c r="S340" s="81"/>
      <c r="T340" s="81"/>
      <c r="U340" s="83"/>
      <c r="V340" s="83"/>
      <c r="W340" s="81"/>
      <c r="X340" s="81"/>
      <c r="Y340" s="83"/>
      <c r="Z340" s="81"/>
      <c r="AA340" s="81"/>
      <c r="AB340" s="81"/>
      <c r="AC340" s="81"/>
      <c r="AD340" s="81"/>
      <c r="AE340" s="83"/>
      <c r="AF340" s="81"/>
      <c r="AG340" s="81"/>
      <c r="AH340" s="81"/>
      <c r="AI340" s="81"/>
      <c r="AJ340" s="83"/>
      <c r="AK340" s="81"/>
      <c r="AL340" s="81"/>
      <c r="AM340" s="83"/>
      <c r="AN340" s="80"/>
      <c r="AO340" s="82" t="n">
        <f aca="false">IF(E340="","",(AA340&lt;&gt;"")+(AG340&lt;&gt;"")+(AL340&lt;&gt;""))</f>
        <v>0</v>
      </c>
      <c r="AP340" s="82" t="str">
        <f aca="false">IF(AL340&lt;&gt;"",AL340,IF(AG340&lt;&gt;"",AG340,IF(AA340&lt;&gt;"",AA340,"")))</f>
        <v/>
      </c>
      <c r="AQ340" s="84" t="str">
        <f aca="false">IF(E340="","",IF(U340="","À SOUDER",IF(X340="","VT EN ATTENTE",IF(X340="R","VT REJETÉ – À REPRENDRE",IF(AP340="","À RADIOGRAPHIER",IF(AP340="A","ACCEPTÉ",IF(AP340="NX","NX – RT À REFAIRE",IF(IF(AO340=1,AD340,IF(AO340=2,AI340,""))="A","RÉPARÉ – À RADIOGRAPHIER",IF(IF(AO340=1,AD340,IF(AO340=2,AI340,""))="R","VT REJETÉ – À REPRENDRE",IF(OR(AP340="CO",AP340="NT"),"COUPE – À RESOUDER","À RÉPARER"))))))))))</f>
        <v>À SOUDER</v>
      </c>
      <c r="AR340" s="82" t="str">
        <f aca="false">IF(AND(ISNUMBER(U340),OR(AQ340="À RADIOGRAPHIER",AQ340="RÉPARÉ – À RADIOGRAPHIER",AQ340="NX – RT À REFAIRE",AQ340="À RÉPARER",AQ340="COUPE – À RESOUDER",AQ340="VT REJETÉ – À REPRENDRE")),MAX(0,'PROGRAMME RT'!$C$4-U340),"")</f>
        <v/>
      </c>
      <c r="AS340" s="82" t="n">
        <f aca="false">IF(AND(OR(AQ340="À RADIOGRAPHIER",AQ340="RÉPARÉ – À RADIOGRAPHIER",AQ340="NX – RT À REFAIRE"),OR('PROGRAMME RT'!$D$5="TOUTES",B340='PROGRAMME RT'!$D$5)),1,0)</f>
        <v>0</v>
      </c>
      <c r="AT340" s="82" t="str">
        <f aca="false">IF(AS340=1,SUM(AS$7:AS340),"")</f>
        <v/>
      </c>
      <c r="AU340" s="82" t="n">
        <f aca="false">IF(AND(OR(AA340="R",AA340="NX",AA340="NT",AA340="CO"),OR('JOINTS DE RÉPARATION'!$D$5="TOUTES",B340='JOINTS DE RÉPARATION'!$D$5),OR('JOINTS DE RÉPARATION'!$L$4="TOUS",AQ340&lt;&gt;"ACCEPTÉ")),1,0)</f>
        <v>0</v>
      </c>
      <c r="AV340" s="82" t="str">
        <f aca="false">IF(AU340=1,SUM(AU$7:AU340),"")</f>
        <v/>
      </c>
      <c r="AW340" s="82" t="str">
        <f aca="false">IF(E340="","",B340&amp;"|"&amp;E340)</f>
        <v>MFD-ISW → MFD-CPF|JN°334</v>
      </c>
    </row>
    <row r="341" customFormat="false" ht="74.6" hidden="false" customHeight="false" outlineLevel="0" collapsed="false">
      <c r="A341" s="79" t="n">
        <f aca="false">IF(E341="","",ROW()-6)</f>
        <v>335</v>
      </c>
      <c r="B341" s="80" t="s">
        <v>110</v>
      </c>
      <c r="C341" s="81"/>
      <c r="D341" s="81"/>
      <c r="E341" s="81" t="s">
        <v>445</v>
      </c>
      <c r="F341" s="82" t="str">
        <f aca="false">IF(E341="","",IF(LEFT(E341,2)="DJ","DJ","JN"))</f>
        <v>JN</v>
      </c>
      <c r="G341" s="81"/>
      <c r="H341" s="81"/>
      <c r="I341" s="81"/>
      <c r="J341" s="81"/>
      <c r="K341" s="81"/>
      <c r="L341" s="81"/>
      <c r="M341" s="81"/>
      <c r="N341" s="81"/>
      <c r="O341" s="81"/>
      <c r="P341" s="81"/>
      <c r="Q341" s="81"/>
      <c r="R341" s="81"/>
      <c r="S341" s="81"/>
      <c r="T341" s="81"/>
      <c r="U341" s="83"/>
      <c r="V341" s="83"/>
      <c r="W341" s="81"/>
      <c r="X341" s="81"/>
      <c r="Y341" s="83"/>
      <c r="Z341" s="81"/>
      <c r="AA341" s="81"/>
      <c r="AB341" s="81"/>
      <c r="AC341" s="81"/>
      <c r="AD341" s="81"/>
      <c r="AE341" s="83"/>
      <c r="AF341" s="81"/>
      <c r="AG341" s="81"/>
      <c r="AH341" s="81"/>
      <c r="AI341" s="81"/>
      <c r="AJ341" s="83"/>
      <c r="AK341" s="81"/>
      <c r="AL341" s="81"/>
      <c r="AM341" s="83"/>
      <c r="AN341" s="80"/>
      <c r="AO341" s="82" t="n">
        <f aca="false">IF(E341="","",(AA341&lt;&gt;"")+(AG341&lt;&gt;"")+(AL341&lt;&gt;""))</f>
        <v>0</v>
      </c>
      <c r="AP341" s="82" t="str">
        <f aca="false">IF(AL341&lt;&gt;"",AL341,IF(AG341&lt;&gt;"",AG341,IF(AA341&lt;&gt;"",AA341,"")))</f>
        <v/>
      </c>
      <c r="AQ341" s="84" t="str">
        <f aca="false">IF(E341="","",IF(U341="","À SOUDER",IF(X341="","VT EN ATTENTE",IF(X341="R","VT REJETÉ – À REPRENDRE",IF(AP341="","À RADIOGRAPHIER",IF(AP341="A","ACCEPTÉ",IF(AP341="NX","NX – RT À REFAIRE",IF(IF(AO341=1,AD341,IF(AO341=2,AI341,""))="A","RÉPARÉ – À RADIOGRAPHIER",IF(IF(AO341=1,AD341,IF(AO341=2,AI341,""))="R","VT REJETÉ – À REPRENDRE",IF(OR(AP341="CO",AP341="NT"),"COUPE – À RESOUDER","À RÉPARER"))))))))))</f>
        <v>À SOUDER</v>
      </c>
      <c r="AR341" s="82" t="str">
        <f aca="false">IF(AND(ISNUMBER(U341),OR(AQ341="À RADIOGRAPHIER",AQ341="RÉPARÉ – À RADIOGRAPHIER",AQ341="NX – RT À REFAIRE",AQ341="À RÉPARER",AQ341="COUPE – À RESOUDER",AQ341="VT REJETÉ – À REPRENDRE")),MAX(0,'PROGRAMME RT'!$C$4-U341),"")</f>
        <v/>
      </c>
      <c r="AS341" s="82" t="n">
        <f aca="false">IF(AND(OR(AQ341="À RADIOGRAPHIER",AQ341="RÉPARÉ – À RADIOGRAPHIER",AQ341="NX – RT À REFAIRE"),OR('PROGRAMME RT'!$D$5="TOUTES",B341='PROGRAMME RT'!$D$5)),1,0)</f>
        <v>0</v>
      </c>
      <c r="AT341" s="82" t="str">
        <f aca="false">IF(AS341=1,SUM(AS$7:AS341),"")</f>
        <v/>
      </c>
      <c r="AU341" s="82" t="n">
        <f aca="false">IF(AND(OR(AA341="R",AA341="NX",AA341="NT",AA341="CO"),OR('JOINTS DE RÉPARATION'!$D$5="TOUTES",B341='JOINTS DE RÉPARATION'!$D$5),OR('JOINTS DE RÉPARATION'!$L$4="TOUS",AQ341&lt;&gt;"ACCEPTÉ")),1,0)</f>
        <v>0</v>
      </c>
      <c r="AV341" s="82" t="str">
        <f aca="false">IF(AU341=1,SUM(AU$7:AU341),"")</f>
        <v/>
      </c>
      <c r="AW341" s="82" t="str">
        <f aca="false">IF(E341="","",B341&amp;"|"&amp;E341)</f>
        <v>MFD-ISW → MFD-CPF|JN°335</v>
      </c>
    </row>
    <row r="342" customFormat="false" ht="74.6" hidden="false" customHeight="false" outlineLevel="0" collapsed="false">
      <c r="A342" s="79" t="n">
        <f aca="false">IF(E342="","",ROW()-6)</f>
        <v>336</v>
      </c>
      <c r="B342" s="80" t="s">
        <v>110</v>
      </c>
      <c r="C342" s="81"/>
      <c r="D342" s="81"/>
      <c r="E342" s="81" t="s">
        <v>446</v>
      </c>
      <c r="F342" s="82" t="str">
        <f aca="false">IF(E342="","",IF(LEFT(E342,2)="DJ","DJ","JN"))</f>
        <v>JN</v>
      </c>
      <c r="G342" s="81"/>
      <c r="H342" s="81"/>
      <c r="I342" s="81"/>
      <c r="J342" s="81"/>
      <c r="K342" s="81"/>
      <c r="L342" s="81"/>
      <c r="M342" s="81"/>
      <c r="N342" s="81"/>
      <c r="O342" s="81"/>
      <c r="P342" s="81"/>
      <c r="Q342" s="81"/>
      <c r="R342" s="81"/>
      <c r="S342" s="81"/>
      <c r="T342" s="81"/>
      <c r="U342" s="83"/>
      <c r="V342" s="83"/>
      <c r="W342" s="81"/>
      <c r="X342" s="81"/>
      <c r="Y342" s="83"/>
      <c r="Z342" s="81"/>
      <c r="AA342" s="81"/>
      <c r="AB342" s="81"/>
      <c r="AC342" s="81"/>
      <c r="AD342" s="81"/>
      <c r="AE342" s="83"/>
      <c r="AF342" s="81"/>
      <c r="AG342" s="81"/>
      <c r="AH342" s="81"/>
      <c r="AI342" s="81"/>
      <c r="AJ342" s="83"/>
      <c r="AK342" s="81"/>
      <c r="AL342" s="81"/>
      <c r="AM342" s="83"/>
      <c r="AN342" s="80"/>
      <c r="AO342" s="82" t="n">
        <f aca="false">IF(E342="","",(AA342&lt;&gt;"")+(AG342&lt;&gt;"")+(AL342&lt;&gt;""))</f>
        <v>0</v>
      </c>
      <c r="AP342" s="82" t="str">
        <f aca="false">IF(AL342&lt;&gt;"",AL342,IF(AG342&lt;&gt;"",AG342,IF(AA342&lt;&gt;"",AA342,"")))</f>
        <v/>
      </c>
      <c r="AQ342" s="84" t="str">
        <f aca="false">IF(E342="","",IF(U342="","À SOUDER",IF(X342="","VT EN ATTENTE",IF(X342="R","VT REJETÉ – À REPRENDRE",IF(AP342="","À RADIOGRAPHIER",IF(AP342="A","ACCEPTÉ",IF(AP342="NX","NX – RT À REFAIRE",IF(IF(AO342=1,AD342,IF(AO342=2,AI342,""))="A","RÉPARÉ – À RADIOGRAPHIER",IF(IF(AO342=1,AD342,IF(AO342=2,AI342,""))="R","VT REJETÉ – À REPRENDRE",IF(OR(AP342="CO",AP342="NT"),"COUPE – À RESOUDER","À RÉPARER"))))))))))</f>
        <v>À SOUDER</v>
      </c>
      <c r="AR342" s="82" t="str">
        <f aca="false">IF(AND(ISNUMBER(U342),OR(AQ342="À RADIOGRAPHIER",AQ342="RÉPARÉ – À RADIOGRAPHIER",AQ342="NX – RT À REFAIRE",AQ342="À RÉPARER",AQ342="COUPE – À RESOUDER",AQ342="VT REJETÉ – À REPRENDRE")),MAX(0,'PROGRAMME RT'!$C$4-U342),"")</f>
        <v/>
      </c>
      <c r="AS342" s="82" t="n">
        <f aca="false">IF(AND(OR(AQ342="À RADIOGRAPHIER",AQ342="RÉPARÉ – À RADIOGRAPHIER",AQ342="NX – RT À REFAIRE"),OR('PROGRAMME RT'!$D$5="TOUTES",B342='PROGRAMME RT'!$D$5)),1,0)</f>
        <v>0</v>
      </c>
      <c r="AT342" s="82" t="str">
        <f aca="false">IF(AS342=1,SUM(AS$7:AS342),"")</f>
        <v/>
      </c>
      <c r="AU342" s="82" t="n">
        <f aca="false">IF(AND(OR(AA342="R",AA342="NX",AA342="NT",AA342="CO"),OR('JOINTS DE RÉPARATION'!$D$5="TOUTES",B342='JOINTS DE RÉPARATION'!$D$5),OR('JOINTS DE RÉPARATION'!$L$4="TOUS",AQ342&lt;&gt;"ACCEPTÉ")),1,0)</f>
        <v>0</v>
      </c>
      <c r="AV342" s="82" t="str">
        <f aca="false">IF(AU342=1,SUM(AU$7:AU342),"")</f>
        <v/>
      </c>
      <c r="AW342" s="82" t="str">
        <f aca="false">IF(E342="","",B342&amp;"|"&amp;E342)</f>
        <v>MFD-ISW → MFD-CPF|JN°336</v>
      </c>
    </row>
    <row r="343" customFormat="false" ht="74.6" hidden="false" customHeight="false" outlineLevel="0" collapsed="false">
      <c r="A343" s="79" t="n">
        <f aca="false">IF(E343="","",ROW()-6)</f>
        <v>337</v>
      </c>
      <c r="B343" s="80" t="s">
        <v>110</v>
      </c>
      <c r="C343" s="81"/>
      <c r="D343" s="81"/>
      <c r="E343" s="81" t="s">
        <v>447</v>
      </c>
      <c r="F343" s="82" t="str">
        <f aca="false">IF(E343="","",IF(LEFT(E343,2)="DJ","DJ","JN"))</f>
        <v>JN</v>
      </c>
      <c r="G343" s="81"/>
      <c r="H343" s="81"/>
      <c r="I343" s="81"/>
      <c r="J343" s="81"/>
      <c r="K343" s="81"/>
      <c r="L343" s="81"/>
      <c r="M343" s="81"/>
      <c r="N343" s="81"/>
      <c r="O343" s="81"/>
      <c r="P343" s="81"/>
      <c r="Q343" s="81"/>
      <c r="R343" s="81"/>
      <c r="S343" s="81"/>
      <c r="T343" s="81"/>
      <c r="U343" s="83"/>
      <c r="V343" s="83"/>
      <c r="W343" s="81"/>
      <c r="X343" s="81"/>
      <c r="Y343" s="83"/>
      <c r="Z343" s="81"/>
      <c r="AA343" s="81"/>
      <c r="AB343" s="81"/>
      <c r="AC343" s="81"/>
      <c r="AD343" s="81"/>
      <c r="AE343" s="83"/>
      <c r="AF343" s="81"/>
      <c r="AG343" s="81"/>
      <c r="AH343" s="81"/>
      <c r="AI343" s="81"/>
      <c r="AJ343" s="83"/>
      <c r="AK343" s="81"/>
      <c r="AL343" s="81"/>
      <c r="AM343" s="83"/>
      <c r="AN343" s="80"/>
      <c r="AO343" s="82" t="n">
        <f aca="false">IF(E343="","",(AA343&lt;&gt;"")+(AG343&lt;&gt;"")+(AL343&lt;&gt;""))</f>
        <v>0</v>
      </c>
      <c r="AP343" s="82" t="str">
        <f aca="false">IF(AL343&lt;&gt;"",AL343,IF(AG343&lt;&gt;"",AG343,IF(AA343&lt;&gt;"",AA343,"")))</f>
        <v/>
      </c>
      <c r="AQ343" s="84" t="str">
        <f aca="false">IF(E343="","",IF(U343="","À SOUDER",IF(X343="","VT EN ATTENTE",IF(X343="R","VT REJETÉ – À REPRENDRE",IF(AP343="","À RADIOGRAPHIER",IF(AP343="A","ACCEPTÉ",IF(AP343="NX","NX – RT À REFAIRE",IF(IF(AO343=1,AD343,IF(AO343=2,AI343,""))="A","RÉPARÉ – À RADIOGRAPHIER",IF(IF(AO343=1,AD343,IF(AO343=2,AI343,""))="R","VT REJETÉ – À REPRENDRE",IF(OR(AP343="CO",AP343="NT"),"COUPE – À RESOUDER","À RÉPARER"))))))))))</f>
        <v>À SOUDER</v>
      </c>
      <c r="AR343" s="82" t="str">
        <f aca="false">IF(AND(ISNUMBER(U343),OR(AQ343="À RADIOGRAPHIER",AQ343="RÉPARÉ – À RADIOGRAPHIER",AQ343="NX – RT À REFAIRE",AQ343="À RÉPARER",AQ343="COUPE – À RESOUDER",AQ343="VT REJETÉ – À REPRENDRE")),MAX(0,'PROGRAMME RT'!$C$4-U343),"")</f>
        <v/>
      </c>
      <c r="AS343" s="82" t="n">
        <f aca="false">IF(AND(OR(AQ343="À RADIOGRAPHIER",AQ343="RÉPARÉ – À RADIOGRAPHIER",AQ343="NX – RT À REFAIRE"),OR('PROGRAMME RT'!$D$5="TOUTES",B343='PROGRAMME RT'!$D$5)),1,0)</f>
        <v>0</v>
      </c>
      <c r="AT343" s="82" t="str">
        <f aca="false">IF(AS343=1,SUM(AS$7:AS343),"")</f>
        <v/>
      </c>
      <c r="AU343" s="82" t="n">
        <f aca="false">IF(AND(OR(AA343="R",AA343="NX",AA343="NT",AA343="CO"),OR('JOINTS DE RÉPARATION'!$D$5="TOUTES",B343='JOINTS DE RÉPARATION'!$D$5),OR('JOINTS DE RÉPARATION'!$L$4="TOUS",AQ343&lt;&gt;"ACCEPTÉ")),1,0)</f>
        <v>0</v>
      </c>
      <c r="AV343" s="82" t="str">
        <f aca="false">IF(AU343=1,SUM(AU$7:AU343),"")</f>
        <v/>
      </c>
      <c r="AW343" s="82" t="str">
        <f aca="false">IF(E343="","",B343&amp;"|"&amp;E343)</f>
        <v>MFD-ISW → MFD-CPF|JN°337</v>
      </c>
    </row>
    <row r="344" customFormat="false" ht="74.6" hidden="false" customHeight="false" outlineLevel="0" collapsed="false">
      <c r="A344" s="79" t="n">
        <f aca="false">IF(E344="","",ROW()-6)</f>
        <v>338</v>
      </c>
      <c r="B344" s="80" t="s">
        <v>110</v>
      </c>
      <c r="C344" s="81"/>
      <c r="D344" s="81"/>
      <c r="E344" s="81" t="s">
        <v>448</v>
      </c>
      <c r="F344" s="82" t="str">
        <f aca="false">IF(E344="","",IF(LEFT(E344,2)="DJ","DJ","JN"))</f>
        <v>JN</v>
      </c>
      <c r="G344" s="81"/>
      <c r="H344" s="81"/>
      <c r="I344" s="81"/>
      <c r="J344" s="81"/>
      <c r="K344" s="81"/>
      <c r="L344" s="81"/>
      <c r="M344" s="81"/>
      <c r="N344" s="81"/>
      <c r="O344" s="81"/>
      <c r="P344" s="81"/>
      <c r="Q344" s="81"/>
      <c r="R344" s="81"/>
      <c r="S344" s="81"/>
      <c r="T344" s="81"/>
      <c r="U344" s="83"/>
      <c r="V344" s="83"/>
      <c r="W344" s="81"/>
      <c r="X344" s="81"/>
      <c r="Y344" s="83"/>
      <c r="Z344" s="81"/>
      <c r="AA344" s="81"/>
      <c r="AB344" s="81"/>
      <c r="AC344" s="81"/>
      <c r="AD344" s="81"/>
      <c r="AE344" s="83"/>
      <c r="AF344" s="81"/>
      <c r="AG344" s="81"/>
      <c r="AH344" s="81"/>
      <c r="AI344" s="81"/>
      <c r="AJ344" s="83"/>
      <c r="AK344" s="81"/>
      <c r="AL344" s="81"/>
      <c r="AM344" s="83"/>
      <c r="AN344" s="80"/>
      <c r="AO344" s="82" t="n">
        <f aca="false">IF(E344="","",(AA344&lt;&gt;"")+(AG344&lt;&gt;"")+(AL344&lt;&gt;""))</f>
        <v>0</v>
      </c>
      <c r="AP344" s="82" t="str">
        <f aca="false">IF(AL344&lt;&gt;"",AL344,IF(AG344&lt;&gt;"",AG344,IF(AA344&lt;&gt;"",AA344,"")))</f>
        <v/>
      </c>
      <c r="AQ344" s="84" t="str">
        <f aca="false">IF(E344="","",IF(U344="","À SOUDER",IF(X344="","VT EN ATTENTE",IF(X344="R","VT REJETÉ – À REPRENDRE",IF(AP344="","À RADIOGRAPHIER",IF(AP344="A","ACCEPTÉ",IF(AP344="NX","NX – RT À REFAIRE",IF(IF(AO344=1,AD344,IF(AO344=2,AI344,""))="A","RÉPARÉ – À RADIOGRAPHIER",IF(IF(AO344=1,AD344,IF(AO344=2,AI344,""))="R","VT REJETÉ – À REPRENDRE",IF(OR(AP344="CO",AP344="NT"),"COUPE – À RESOUDER","À RÉPARER"))))))))))</f>
        <v>À SOUDER</v>
      </c>
      <c r="AR344" s="82" t="str">
        <f aca="false">IF(AND(ISNUMBER(U344),OR(AQ344="À RADIOGRAPHIER",AQ344="RÉPARÉ – À RADIOGRAPHIER",AQ344="NX – RT À REFAIRE",AQ344="À RÉPARER",AQ344="COUPE – À RESOUDER",AQ344="VT REJETÉ – À REPRENDRE")),MAX(0,'PROGRAMME RT'!$C$4-U344),"")</f>
        <v/>
      </c>
      <c r="AS344" s="82" t="n">
        <f aca="false">IF(AND(OR(AQ344="À RADIOGRAPHIER",AQ344="RÉPARÉ – À RADIOGRAPHIER",AQ344="NX – RT À REFAIRE"),OR('PROGRAMME RT'!$D$5="TOUTES",B344='PROGRAMME RT'!$D$5)),1,0)</f>
        <v>0</v>
      </c>
      <c r="AT344" s="82" t="str">
        <f aca="false">IF(AS344=1,SUM(AS$7:AS344),"")</f>
        <v/>
      </c>
      <c r="AU344" s="82" t="n">
        <f aca="false">IF(AND(OR(AA344="R",AA344="NX",AA344="NT",AA344="CO"),OR('JOINTS DE RÉPARATION'!$D$5="TOUTES",B344='JOINTS DE RÉPARATION'!$D$5),OR('JOINTS DE RÉPARATION'!$L$4="TOUS",AQ344&lt;&gt;"ACCEPTÉ")),1,0)</f>
        <v>0</v>
      </c>
      <c r="AV344" s="82" t="str">
        <f aca="false">IF(AU344=1,SUM(AU$7:AU344),"")</f>
        <v/>
      </c>
      <c r="AW344" s="82" t="str">
        <f aca="false">IF(E344="","",B344&amp;"|"&amp;E344)</f>
        <v>MFD-ISW → MFD-CPF|JN°338</v>
      </c>
    </row>
    <row r="345" customFormat="false" ht="74.6" hidden="false" customHeight="false" outlineLevel="0" collapsed="false">
      <c r="A345" s="79" t="n">
        <f aca="false">IF(E345="","",ROW()-6)</f>
        <v>339</v>
      </c>
      <c r="B345" s="80" t="s">
        <v>110</v>
      </c>
      <c r="C345" s="81"/>
      <c r="D345" s="81"/>
      <c r="E345" s="81" t="s">
        <v>449</v>
      </c>
      <c r="F345" s="82" t="str">
        <f aca="false">IF(E345="","",IF(LEFT(E345,2)="DJ","DJ","JN"))</f>
        <v>JN</v>
      </c>
      <c r="G345" s="81"/>
      <c r="H345" s="81"/>
      <c r="I345" s="81"/>
      <c r="J345" s="81"/>
      <c r="K345" s="81"/>
      <c r="L345" s="81"/>
      <c r="M345" s="81"/>
      <c r="N345" s="81"/>
      <c r="O345" s="81"/>
      <c r="P345" s="81"/>
      <c r="Q345" s="81"/>
      <c r="R345" s="81"/>
      <c r="S345" s="81"/>
      <c r="T345" s="81"/>
      <c r="U345" s="83"/>
      <c r="V345" s="83"/>
      <c r="W345" s="81"/>
      <c r="X345" s="81"/>
      <c r="Y345" s="83"/>
      <c r="Z345" s="81"/>
      <c r="AA345" s="81"/>
      <c r="AB345" s="81"/>
      <c r="AC345" s="81"/>
      <c r="AD345" s="81"/>
      <c r="AE345" s="83"/>
      <c r="AF345" s="81"/>
      <c r="AG345" s="81"/>
      <c r="AH345" s="81"/>
      <c r="AI345" s="81"/>
      <c r="AJ345" s="83"/>
      <c r="AK345" s="81"/>
      <c r="AL345" s="81"/>
      <c r="AM345" s="83"/>
      <c r="AN345" s="80"/>
      <c r="AO345" s="82" t="n">
        <f aca="false">IF(E345="","",(AA345&lt;&gt;"")+(AG345&lt;&gt;"")+(AL345&lt;&gt;""))</f>
        <v>0</v>
      </c>
      <c r="AP345" s="82" t="str">
        <f aca="false">IF(AL345&lt;&gt;"",AL345,IF(AG345&lt;&gt;"",AG345,IF(AA345&lt;&gt;"",AA345,"")))</f>
        <v/>
      </c>
      <c r="AQ345" s="84" t="str">
        <f aca="false">IF(E345="","",IF(U345="","À SOUDER",IF(X345="","VT EN ATTENTE",IF(X345="R","VT REJETÉ – À REPRENDRE",IF(AP345="","À RADIOGRAPHIER",IF(AP345="A","ACCEPTÉ",IF(AP345="NX","NX – RT À REFAIRE",IF(IF(AO345=1,AD345,IF(AO345=2,AI345,""))="A","RÉPARÉ – À RADIOGRAPHIER",IF(IF(AO345=1,AD345,IF(AO345=2,AI345,""))="R","VT REJETÉ – À REPRENDRE",IF(OR(AP345="CO",AP345="NT"),"COUPE – À RESOUDER","À RÉPARER"))))))))))</f>
        <v>À SOUDER</v>
      </c>
      <c r="AR345" s="82" t="str">
        <f aca="false">IF(AND(ISNUMBER(U345),OR(AQ345="À RADIOGRAPHIER",AQ345="RÉPARÉ – À RADIOGRAPHIER",AQ345="NX – RT À REFAIRE",AQ345="À RÉPARER",AQ345="COUPE – À RESOUDER",AQ345="VT REJETÉ – À REPRENDRE")),MAX(0,'PROGRAMME RT'!$C$4-U345),"")</f>
        <v/>
      </c>
      <c r="AS345" s="82" t="n">
        <f aca="false">IF(AND(OR(AQ345="À RADIOGRAPHIER",AQ345="RÉPARÉ – À RADIOGRAPHIER",AQ345="NX – RT À REFAIRE"),OR('PROGRAMME RT'!$D$5="TOUTES",B345='PROGRAMME RT'!$D$5)),1,0)</f>
        <v>0</v>
      </c>
      <c r="AT345" s="82" t="str">
        <f aca="false">IF(AS345=1,SUM(AS$7:AS345),"")</f>
        <v/>
      </c>
      <c r="AU345" s="82" t="n">
        <f aca="false">IF(AND(OR(AA345="R",AA345="NX",AA345="NT",AA345="CO"),OR('JOINTS DE RÉPARATION'!$D$5="TOUTES",B345='JOINTS DE RÉPARATION'!$D$5),OR('JOINTS DE RÉPARATION'!$L$4="TOUS",AQ345&lt;&gt;"ACCEPTÉ")),1,0)</f>
        <v>0</v>
      </c>
      <c r="AV345" s="82" t="str">
        <f aca="false">IF(AU345=1,SUM(AU$7:AU345),"")</f>
        <v/>
      </c>
      <c r="AW345" s="82" t="str">
        <f aca="false">IF(E345="","",B345&amp;"|"&amp;E345)</f>
        <v>MFD-ISW → MFD-CPF|JN°339</v>
      </c>
    </row>
    <row r="346" customFormat="false" ht="74.6" hidden="false" customHeight="false" outlineLevel="0" collapsed="false">
      <c r="A346" s="79" t="n">
        <f aca="false">IF(E346="","",ROW()-6)</f>
        <v>340</v>
      </c>
      <c r="B346" s="80" t="s">
        <v>110</v>
      </c>
      <c r="C346" s="81"/>
      <c r="D346" s="81"/>
      <c r="E346" s="81" t="s">
        <v>450</v>
      </c>
      <c r="F346" s="82" t="str">
        <f aca="false">IF(E346="","",IF(LEFT(E346,2)="DJ","DJ","JN"))</f>
        <v>JN</v>
      </c>
      <c r="G346" s="81"/>
      <c r="H346" s="81"/>
      <c r="I346" s="81"/>
      <c r="J346" s="81"/>
      <c r="K346" s="81"/>
      <c r="L346" s="81"/>
      <c r="M346" s="81"/>
      <c r="N346" s="81"/>
      <c r="O346" s="81"/>
      <c r="P346" s="81"/>
      <c r="Q346" s="81"/>
      <c r="R346" s="81"/>
      <c r="S346" s="81"/>
      <c r="T346" s="81"/>
      <c r="U346" s="83"/>
      <c r="V346" s="83"/>
      <c r="W346" s="81"/>
      <c r="X346" s="81"/>
      <c r="Y346" s="83"/>
      <c r="Z346" s="81"/>
      <c r="AA346" s="81"/>
      <c r="AB346" s="81"/>
      <c r="AC346" s="81"/>
      <c r="AD346" s="81"/>
      <c r="AE346" s="83"/>
      <c r="AF346" s="81"/>
      <c r="AG346" s="81"/>
      <c r="AH346" s="81"/>
      <c r="AI346" s="81"/>
      <c r="AJ346" s="83"/>
      <c r="AK346" s="81"/>
      <c r="AL346" s="81"/>
      <c r="AM346" s="83"/>
      <c r="AN346" s="80"/>
      <c r="AO346" s="82" t="n">
        <f aca="false">IF(E346="","",(AA346&lt;&gt;"")+(AG346&lt;&gt;"")+(AL346&lt;&gt;""))</f>
        <v>0</v>
      </c>
      <c r="AP346" s="82" t="str">
        <f aca="false">IF(AL346&lt;&gt;"",AL346,IF(AG346&lt;&gt;"",AG346,IF(AA346&lt;&gt;"",AA346,"")))</f>
        <v/>
      </c>
      <c r="AQ346" s="84" t="str">
        <f aca="false">IF(E346="","",IF(U346="","À SOUDER",IF(X346="","VT EN ATTENTE",IF(X346="R","VT REJETÉ – À REPRENDRE",IF(AP346="","À RADIOGRAPHIER",IF(AP346="A","ACCEPTÉ",IF(AP346="NX","NX – RT À REFAIRE",IF(IF(AO346=1,AD346,IF(AO346=2,AI346,""))="A","RÉPARÉ – À RADIOGRAPHIER",IF(IF(AO346=1,AD346,IF(AO346=2,AI346,""))="R","VT REJETÉ – À REPRENDRE",IF(OR(AP346="CO",AP346="NT"),"COUPE – À RESOUDER","À RÉPARER"))))))))))</f>
        <v>À SOUDER</v>
      </c>
      <c r="AR346" s="82" t="str">
        <f aca="false">IF(AND(ISNUMBER(U346),OR(AQ346="À RADIOGRAPHIER",AQ346="RÉPARÉ – À RADIOGRAPHIER",AQ346="NX – RT À REFAIRE",AQ346="À RÉPARER",AQ346="COUPE – À RESOUDER",AQ346="VT REJETÉ – À REPRENDRE")),MAX(0,'PROGRAMME RT'!$C$4-U346),"")</f>
        <v/>
      </c>
      <c r="AS346" s="82" t="n">
        <f aca="false">IF(AND(OR(AQ346="À RADIOGRAPHIER",AQ346="RÉPARÉ – À RADIOGRAPHIER",AQ346="NX – RT À REFAIRE"),OR('PROGRAMME RT'!$D$5="TOUTES",B346='PROGRAMME RT'!$D$5)),1,0)</f>
        <v>0</v>
      </c>
      <c r="AT346" s="82" t="str">
        <f aca="false">IF(AS346=1,SUM(AS$7:AS346),"")</f>
        <v/>
      </c>
      <c r="AU346" s="82" t="n">
        <f aca="false">IF(AND(OR(AA346="R",AA346="NX",AA346="NT",AA346="CO"),OR('JOINTS DE RÉPARATION'!$D$5="TOUTES",B346='JOINTS DE RÉPARATION'!$D$5),OR('JOINTS DE RÉPARATION'!$L$4="TOUS",AQ346&lt;&gt;"ACCEPTÉ")),1,0)</f>
        <v>0</v>
      </c>
      <c r="AV346" s="82" t="str">
        <f aca="false">IF(AU346=1,SUM(AU$7:AU346),"")</f>
        <v/>
      </c>
      <c r="AW346" s="82" t="str">
        <f aca="false">IF(E346="","",B346&amp;"|"&amp;E346)</f>
        <v>MFD-ISW → MFD-CPF|JN°340</v>
      </c>
    </row>
    <row r="347" customFormat="false" ht="74.6" hidden="false" customHeight="false" outlineLevel="0" collapsed="false">
      <c r="A347" s="79" t="n">
        <f aca="false">IF(E347="","",ROW()-6)</f>
        <v>341</v>
      </c>
      <c r="B347" s="80" t="s">
        <v>110</v>
      </c>
      <c r="C347" s="81"/>
      <c r="D347" s="81"/>
      <c r="E347" s="81" t="s">
        <v>451</v>
      </c>
      <c r="F347" s="82" t="str">
        <f aca="false">IF(E347="","",IF(LEFT(E347,2)="DJ","DJ","JN"))</f>
        <v>JN</v>
      </c>
      <c r="G347" s="81"/>
      <c r="H347" s="81"/>
      <c r="I347" s="81"/>
      <c r="J347" s="81"/>
      <c r="K347" s="81"/>
      <c r="L347" s="81"/>
      <c r="M347" s="81"/>
      <c r="N347" s="81"/>
      <c r="O347" s="81"/>
      <c r="P347" s="81"/>
      <c r="Q347" s="81"/>
      <c r="R347" s="81"/>
      <c r="S347" s="81"/>
      <c r="T347" s="81"/>
      <c r="U347" s="83"/>
      <c r="V347" s="83"/>
      <c r="W347" s="81"/>
      <c r="X347" s="81"/>
      <c r="Y347" s="83"/>
      <c r="Z347" s="81"/>
      <c r="AA347" s="81"/>
      <c r="AB347" s="81"/>
      <c r="AC347" s="81"/>
      <c r="AD347" s="81"/>
      <c r="AE347" s="83"/>
      <c r="AF347" s="81"/>
      <c r="AG347" s="81"/>
      <c r="AH347" s="81"/>
      <c r="AI347" s="81"/>
      <c r="AJ347" s="83"/>
      <c r="AK347" s="81"/>
      <c r="AL347" s="81"/>
      <c r="AM347" s="83"/>
      <c r="AN347" s="80"/>
      <c r="AO347" s="82" t="n">
        <f aca="false">IF(E347="","",(AA347&lt;&gt;"")+(AG347&lt;&gt;"")+(AL347&lt;&gt;""))</f>
        <v>0</v>
      </c>
      <c r="AP347" s="82" t="str">
        <f aca="false">IF(AL347&lt;&gt;"",AL347,IF(AG347&lt;&gt;"",AG347,IF(AA347&lt;&gt;"",AA347,"")))</f>
        <v/>
      </c>
      <c r="AQ347" s="84" t="str">
        <f aca="false">IF(E347="","",IF(U347="","À SOUDER",IF(X347="","VT EN ATTENTE",IF(X347="R","VT REJETÉ – À REPRENDRE",IF(AP347="","À RADIOGRAPHIER",IF(AP347="A","ACCEPTÉ",IF(AP347="NX","NX – RT À REFAIRE",IF(IF(AO347=1,AD347,IF(AO347=2,AI347,""))="A","RÉPARÉ – À RADIOGRAPHIER",IF(IF(AO347=1,AD347,IF(AO347=2,AI347,""))="R","VT REJETÉ – À REPRENDRE",IF(OR(AP347="CO",AP347="NT"),"COUPE – À RESOUDER","À RÉPARER"))))))))))</f>
        <v>À SOUDER</v>
      </c>
      <c r="AR347" s="82" t="str">
        <f aca="false">IF(AND(ISNUMBER(U347),OR(AQ347="À RADIOGRAPHIER",AQ347="RÉPARÉ – À RADIOGRAPHIER",AQ347="NX – RT À REFAIRE",AQ347="À RÉPARER",AQ347="COUPE – À RESOUDER",AQ347="VT REJETÉ – À REPRENDRE")),MAX(0,'PROGRAMME RT'!$C$4-U347),"")</f>
        <v/>
      </c>
      <c r="AS347" s="82" t="n">
        <f aca="false">IF(AND(OR(AQ347="À RADIOGRAPHIER",AQ347="RÉPARÉ – À RADIOGRAPHIER",AQ347="NX – RT À REFAIRE"),OR('PROGRAMME RT'!$D$5="TOUTES",B347='PROGRAMME RT'!$D$5)),1,0)</f>
        <v>0</v>
      </c>
      <c r="AT347" s="82" t="str">
        <f aca="false">IF(AS347=1,SUM(AS$7:AS347),"")</f>
        <v/>
      </c>
      <c r="AU347" s="82" t="n">
        <f aca="false">IF(AND(OR(AA347="R",AA347="NX",AA347="NT",AA347="CO"),OR('JOINTS DE RÉPARATION'!$D$5="TOUTES",B347='JOINTS DE RÉPARATION'!$D$5),OR('JOINTS DE RÉPARATION'!$L$4="TOUS",AQ347&lt;&gt;"ACCEPTÉ")),1,0)</f>
        <v>0</v>
      </c>
      <c r="AV347" s="82" t="str">
        <f aca="false">IF(AU347=1,SUM(AU$7:AU347),"")</f>
        <v/>
      </c>
      <c r="AW347" s="82" t="str">
        <f aca="false">IF(E347="","",B347&amp;"|"&amp;E347)</f>
        <v>MFD-ISW → MFD-CPF|JN°341</v>
      </c>
    </row>
    <row r="348" customFormat="false" ht="74.6" hidden="false" customHeight="false" outlineLevel="0" collapsed="false">
      <c r="A348" s="79" t="n">
        <f aca="false">IF(E348="","",ROW()-6)</f>
        <v>342</v>
      </c>
      <c r="B348" s="80" t="s">
        <v>110</v>
      </c>
      <c r="C348" s="81"/>
      <c r="D348" s="81"/>
      <c r="E348" s="81" t="s">
        <v>452</v>
      </c>
      <c r="F348" s="82" t="str">
        <f aca="false">IF(E348="","",IF(LEFT(E348,2)="DJ","DJ","JN"))</f>
        <v>JN</v>
      </c>
      <c r="G348" s="81"/>
      <c r="H348" s="81"/>
      <c r="I348" s="81"/>
      <c r="J348" s="81"/>
      <c r="K348" s="81"/>
      <c r="L348" s="81"/>
      <c r="M348" s="81"/>
      <c r="N348" s="81"/>
      <c r="O348" s="81"/>
      <c r="P348" s="81"/>
      <c r="Q348" s="81"/>
      <c r="R348" s="81"/>
      <c r="S348" s="81"/>
      <c r="T348" s="81"/>
      <c r="U348" s="83"/>
      <c r="V348" s="83"/>
      <c r="W348" s="81"/>
      <c r="X348" s="81"/>
      <c r="Y348" s="83"/>
      <c r="Z348" s="81"/>
      <c r="AA348" s="81"/>
      <c r="AB348" s="81"/>
      <c r="AC348" s="81"/>
      <c r="AD348" s="81"/>
      <c r="AE348" s="83"/>
      <c r="AF348" s="81"/>
      <c r="AG348" s="81"/>
      <c r="AH348" s="81"/>
      <c r="AI348" s="81"/>
      <c r="AJ348" s="83"/>
      <c r="AK348" s="81"/>
      <c r="AL348" s="81"/>
      <c r="AM348" s="83"/>
      <c r="AN348" s="80"/>
      <c r="AO348" s="82" t="n">
        <f aca="false">IF(E348="","",(AA348&lt;&gt;"")+(AG348&lt;&gt;"")+(AL348&lt;&gt;""))</f>
        <v>0</v>
      </c>
      <c r="AP348" s="82" t="str">
        <f aca="false">IF(AL348&lt;&gt;"",AL348,IF(AG348&lt;&gt;"",AG348,IF(AA348&lt;&gt;"",AA348,"")))</f>
        <v/>
      </c>
      <c r="AQ348" s="84" t="str">
        <f aca="false">IF(E348="","",IF(U348="","À SOUDER",IF(X348="","VT EN ATTENTE",IF(X348="R","VT REJETÉ – À REPRENDRE",IF(AP348="","À RADIOGRAPHIER",IF(AP348="A","ACCEPTÉ",IF(AP348="NX","NX – RT À REFAIRE",IF(IF(AO348=1,AD348,IF(AO348=2,AI348,""))="A","RÉPARÉ – À RADIOGRAPHIER",IF(IF(AO348=1,AD348,IF(AO348=2,AI348,""))="R","VT REJETÉ – À REPRENDRE",IF(OR(AP348="CO",AP348="NT"),"COUPE – À RESOUDER","À RÉPARER"))))))))))</f>
        <v>À SOUDER</v>
      </c>
      <c r="AR348" s="82" t="str">
        <f aca="false">IF(AND(ISNUMBER(U348),OR(AQ348="À RADIOGRAPHIER",AQ348="RÉPARÉ – À RADIOGRAPHIER",AQ348="NX – RT À REFAIRE",AQ348="À RÉPARER",AQ348="COUPE – À RESOUDER",AQ348="VT REJETÉ – À REPRENDRE")),MAX(0,'PROGRAMME RT'!$C$4-U348),"")</f>
        <v/>
      </c>
      <c r="AS348" s="82" t="n">
        <f aca="false">IF(AND(OR(AQ348="À RADIOGRAPHIER",AQ348="RÉPARÉ – À RADIOGRAPHIER",AQ348="NX – RT À REFAIRE"),OR('PROGRAMME RT'!$D$5="TOUTES",B348='PROGRAMME RT'!$D$5)),1,0)</f>
        <v>0</v>
      </c>
      <c r="AT348" s="82" t="str">
        <f aca="false">IF(AS348=1,SUM(AS$7:AS348),"")</f>
        <v/>
      </c>
      <c r="AU348" s="82" t="n">
        <f aca="false">IF(AND(OR(AA348="R",AA348="NX",AA348="NT",AA348="CO"),OR('JOINTS DE RÉPARATION'!$D$5="TOUTES",B348='JOINTS DE RÉPARATION'!$D$5),OR('JOINTS DE RÉPARATION'!$L$4="TOUS",AQ348&lt;&gt;"ACCEPTÉ")),1,0)</f>
        <v>0</v>
      </c>
      <c r="AV348" s="82" t="str">
        <f aca="false">IF(AU348=1,SUM(AU$7:AU348),"")</f>
        <v/>
      </c>
      <c r="AW348" s="82" t="str">
        <f aca="false">IF(E348="","",B348&amp;"|"&amp;E348)</f>
        <v>MFD-ISW → MFD-CPF|JN°342</v>
      </c>
    </row>
    <row r="349" customFormat="false" ht="74.6" hidden="false" customHeight="false" outlineLevel="0" collapsed="false">
      <c r="A349" s="79" t="n">
        <f aca="false">IF(E349="","",ROW()-6)</f>
        <v>343</v>
      </c>
      <c r="B349" s="80" t="s">
        <v>110</v>
      </c>
      <c r="C349" s="81"/>
      <c r="D349" s="81"/>
      <c r="E349" s="81" t="s">
        <v>453</v>
      </c>
      <c r="F349" s="82" t="str">
        <f aca="false">IF(E349="","",IF(LEFT(E349,2)="DJ","DJ","JN"))</f>
        <v>JN</v>
      </c>
      <c r="G349" s="81"/>
      <c r="H349" s="81"/>
      <c r="I349" s="81"/>
      <c r="J349" s="81"/>
      <c r="K349" s="81"/>
      <c r="L349" s="81"/>
      <c r="M349" s="81"/>
      <c r="N349" s="81"/>
      <c r="O349" s="81"/>
      <c r="P349" s="81"/>
      <c r="Q349" s="81"/>
      <c r="R349" s="81"/>
      <c r="S349" s="81"/>
      <c r="T349" s="81"/>
      <c r="U349" s="83"/>
      <c r="V349" s="83"/>
      <c r="W349" s="81"/>
      <c r="X349" s="81"/>
      <c r="Y349" s="83"/>
      <c r="Z349" s="81"/>
      <c r="AA349" s="81"/>
      <c r="AB349" s="81"/>
      <c r="AC349" s="81"/>
      <c r="AD349" s="81"/>
      <c r="AE349" s="83"/>
      <c r="AF349" s="81"/>
      <c r="AG349" s="81"/>
      <c r="AH349" s="81"/>
      <c r="AI349" s="81"/>
      <c r="AJ349" s="83"/>
      <c r="AK349" s="81"/>
      <c r="AL349" s="81"/>
      <c r="AM349" s="83"/>
      <c r="AN349" s="80"/>
      <c r="AO349" s="82" t="n">
        <f aca="false">IF(E349="","",(AA349&lt;&gt;"")+(AG349&lt;&gt;"")+(AL349&lt;&gt;""))</f>
        <v>0</v>
      </c>
      <c r="AP349" s="82" t="str">
        <f aca="false">IF(AL349&lt;&gt;"",AL349,IF(AG349&lt;&gt;"",AG349,IF(AA349&lt;&gt;"",AA349,"")))</f>
        <v/>
      </c>
      <c r="AQ349" s="84" t="str">
        <f aca="false">IF(E349="","",IF(U349="","À SOUDER",IF(X349="","VT EN ATTENTE",IF(X349="R","VT REJETÉ – À REPRENDRE",IF(AP349="","À RADIOGRAPHIER",IF(AP349="A","ACCEPTÉ",IF(AP349="NX","NX – RT À REFAIRE",IF(IF(AO349=1,AD349,IF(AO349=2,AI349,""))="A","RÉPARÉ – À RADIOGRAPHIER",IF(IF(AO349=1,AD349,IF(AO349=2,AI349,""))="R","VT REJETÉ – À REPRENDRE",IF(OR(AP349="CO",AP349="NT"),"COUPE – À RESOUDER","À RÉPARER"))))))))))</f>
        <v>À SOUDER</v>
      </c>
      <c r="AR349" s="82" t="str">
        <f aca="false">IF(AND(ISNUMBER(U349),OR(AQ349="À RADIOGRAPHIER",AQ349="RÉPARÉ – À RADIOGRAPHIER",AQ349="NX – RT À REFAIRE",AQ349="À RÉPARER",AQ349="COUPE – À RESOUDER",AQ349="VT REJETÉ – À REPRENDRE")),MAX(0,'PROGRAMME RT'!$C$4-U349),"")</f>
        <v/>
      </c>
      <c r="AS349" s="82" t="n">
        <f aca="false">IF(AND(OR(AQ349="À RADIOGRAPHIER",AQ349="RÉPARÉ – À RADIOGRAPHIER",AQ349="NX – RT À REFAIRE"),OR('PROGRAMME RT'!$D$5="TOUTES",B349='PROGRAMME RT'!$D$5)),1,0)</f>
        <v>0</v>
      </c>
      <c r="AT349" s="82" t="str">
        <f aca="false">IF(AS349=1,SUM(AS$7:AS349),"")</f>
        <v/>
      </c>
      <c r="AU349" s="82" t="n">
        <f aca="false">IF(AND(OR(AA349="R",AA349="NX",AA349="NT",AA349="CO"),OR('JOINTS DE RÉPARATION'!$D$5="TOUTES",B349='JOINTS DE RÉPARATION'!$D$5),OR('JOINTS DE RÉPARATION'!$L$4="TOUS",AQ349&lt;&gt;"ACCEPTÉ")),1,0)</f>
        <v>0</v>
      </c>
      <c r="AV349" s="82" t="str">
        <f aca="false">IF(AU349=1,SUM(AU$7:AU349),"")</f>
        <v/>
      </c>
      <c r="AW349" s="82" t="str">
        <f aca="false">IF(E349="","",B349&amp;"|"&amp;E349)</f>
        <v>MFD-ISW → MFD-CPF|JN°343</v>
      </c>
    </row>
    <row r="350" customFormat="false" ht="74.6" hidden="false" customHeight="false" outlineLevel="0" collapsed="false">
      <c r="A350" s="79" t="n">
        <f aca="false">IF(E350="","",ROW()-6)</f>
        <v>344</v>
      </c>
      <c r="B350" s="80" t="s">
        <v>110</v>
      </c>
      <c r="C350" s="81"/>
      <c r="D350" s="81"/>
      <c r="E350" s="81" t="s">
        <v>454</v>
      </c>
      <c r="F350" s="82" t="str">
        <f aca="false">IF(E350="","",IF(LEFT(E350,2)="DJ","DJ","JN"))</f>
        <v>JN</v>
      </c>
      <c r="G350" s="81"/>
      <c r="H350" s="81"/>
      <c r="I350" s="81"/>
      <c r="J350" s="81"/>
      <c r="K350" s="81"/>
      <c r="L350" s="81"/>
      <c r="M350" s="81"/>
      <c r="N350" s="81"/>
      <c r="O350" s="81"/>
      <c r="P350" s="81"/>
      <c r="Q350" s="81"/>
      <c r="R350" s="81"/>
      <c r="S350" s="81"/>
      <c r="T350" s="81"/>
      <c r="U350" s="83"/>
      <c r="V350" s="83"/>
      <c r="W350" s="81"/>
      <c r="X350" s="81"/>
      <c r="Y350" s="83"/>
      <c r="Z350" s="81"/>
      <c r="AA350" s="81"/>
      <c r="AB350" s="81"/>
      <c r="AC350" s="81"/>
      <c r="AD350" s="81"/>
      <c r="AE350" s="83"/>
      <c r="AF350" s="81"/>
      <c r="AG350" s="81"/>
      <c r="AH350" s="81"/>
      <c r="AI350" s="81"/>
      <c r="AJ350" s="83"/>
      <c r="AK350" s="81"/>
      <c r="AL350" s="81"/>
      <c r="AM350" s="83"/>
      <c r="AN350" s="80"/>
      <c r="AO350" s="82" t="n">
        <f aca="false">IF(E350="","",(AA350&lt;&gt;"")+(AG350&lt;&gt;"")+(AL350&lt;&gt;""))</f>
        <v>0</v>
      </c>
      <c r="AP350" s="82" t="str">
        <f aca="false">IF(AL350&lt;&gt;"",AL350,IF(AG350&lt;&gt;"",AG350,IF(AA350&lt;&gt;"",AA350,"")))</f>
        <v/>
      </c>
      <c r="AQ350" s="84" t="str">
        <f aca="false">IF(E350="","",IF(U350="","À SOUDER",IF(X350="","VT EN ATTENTE",IF(X350="R","VT REJETÉ – À REPRENDRE",IF(AP350="","À RADIOGRAPHIER",IF(AP350="A","ACCEPTÉ",IF(AP350="NX","NX – RT À REFAIRE",IF(IF(AO350=1,AD350,IF(AO350=2,AI350,""))="A","RÉPARÉ – À RADIOGRAPHIER",IF(IF(AO350=1,AD350,IF(AO350=2,AI350,""))="R","VT REJETÉ – À REPRENDRE",IF(OR(AP350="CO",AP350="NT"),"COUPE – À RESOUDER","À RÉPARER"))))))))))</f>
        <v>À SOUDER</v>
      </c>
      <c r="AR350" s="82" t="str">
        <f aca="false">IF(AND(ISNUMBER(U350),OR(AQ350="À RADIOGRAPHIER",AQ350="RÉPARÉ – À RADIOGRAPHIER",AQ350="NX – RT À REFAIRE",AQ350="À RÉPARER",AQ350="COUPE – À RESOUDER",AQ350="VT REJETÉ – À REPRENDRE")),MAX(0,'PROGRAMME RT'!$C$4-U350),"")</f>
        <v/>
      </c>
      <c r="AS350" s="82" t="n">
        <f aca="false">IF(AND(OR(AQ350="À RADIOGRAPHIER",AQ350="RÉPARÉ – À RADIOGRAPHIER",AQ350="NX – RT À REFAIRE"),OR('PROGRAMME RT'!$D$5="TOUTES",B350='PROGRAMME RT'!$D$5)),1,0)</f>
        <v>0</v>
      </c>
      <c r="AT350" s="82" t="str">
        <f aca="false">IF(AS350=1,SUM(AS$7:AS350),"")</f>
        <v/>
      </c>
      <c r="AU350" s="82" t="n">
        <f aca="false">IF(AND(OR(AA350="R",AA350="NX",AA350="NT",AA350="CO"),OR('JOINTS DE RÉPARATION'!$D$5="TOUTES",B350='JOINTS DE RÉPARATION'!$D$5),OR('JOINTS DE RÉPARATION'!$L$4="TOUS",AQ350&lt;&gt;"ACCEPTÉ")),1,0)</f>
        <v>0</v>
      </c>
      <c r="AV350" s="82" t="str">
        <f aca="false">IF(AU350=1,SUM(AU$7:AU350),"")</f>
        <v/>
      </c>
      <c r="AW350" s="82" t="str">
        <f aca="false">IF(E350="","",B350&amp;"|"&amp;E350)</f>
        <v>MFD-ISW → MFD-CPF|JN°344</v>
      </c>
    </row>
    <row r="351" customFormat="false" ht="74.6" hidden="false" customHeight="false" outlineLevel="0" collapsed="false">
      <c r="A351" s="79" t="n">
        <f aca="false">IF(E351="","",ROW()-6)</f>
        <v>345</v>
      </c>
      <c r="B351" s="80" t="s">
        <v>110</v>
      </c>
      <c r="C351" s="81"/>
      <c r="D351" s="81"/>
      <c r="E351" s="81" t="s">
        <v>455</v>
      </c>
      <c r="F351" s="82" t="str">
        <f aca="false">IF(E351="","",IF(LEFT(E351,2)="DJ","DJ","JN"))</f>
        <v>JN</v>
      </c>
      <c r="G351" s="81"/>
      <c r="H351" s="81"/>
      <c r="I351" s="81"/>
      <c r="J351" s="81"/>
      <c r="K351" s="81"/>
      <c r="L351" s="81"/>
      <c r="M351" s="81"/>
      <c r="N351" s="81"/>
      <c r="O351" s="81"/>
      <c r="P351" s="81"/>
      <c r="Q351" s="81"/>
      <c r="R351" s="81"/>
      <c r="S351" s="81"/>
      <c r="T351" s="81"/>
      <c r="U351" s="83"/>
      <c r="V351" s="83"/>
      <c r="W351" s="81"/>
      <c r="X351" s="81"/>
      <c r="Y351" s="83"/>
      <c r="Z351" s="81"/>
      <c r="AA351" s="81"/>
      <c r="AB351" s="81"/>
      <c r="AC351" s="81"/>
      <c r="AD351" s="81"/>
      <c r="AE351" s="83"/>
      <c r="AF351" s="81"/>
      <c r="AG351" s="81"/>
      <c r="AH351" s="81"/>
      <c r="AI351" s="81"/>
      <c r="AJ351" s="83"/>
      <c r="AK351" s="81"/>
      <c r="AL351" s="81"/>
      <c r="AM351" s="83"/>
      <c r="AN351" s="80"/>
      <c r="AO351" s="82" t="n">
        <f aca="false">IF(E351="","",(AA351&lt;&gt;"")+(AG351&lt;&gt;"")+(AL351&lt;&gt;""))</f>
        <v>0</v>
      </c>
      <c r="AP351" s="82" t="str">
        <f aca="false">IF(AL351&lt;&gt;"",AL351,IF(AG351&lt;&gt;"",AG351,IF(AA351&lt;&gt;"",AA351,"")))</f>
        <v/>
      </c>
      <c r="AQ351" s="84" t="str">
        <f aca="false">IF(E351="","",IF(U351="","À SOUDER",IF(X351="","VT EN ATTENTE",IF(X351="R","VT REJETÉ – À REPRENDRE",IF(AP351="","À RADIOGRAPHIER",IF(AP351="A","ACCEPTÉ",IF(AP351="NX","NX – RT À REFAIRE",IF(IF(AO351=1,AD351,IF(AO351=2,AI351,""))="A","RÉPARÉ – À RADIOGRAPHIER",IF(IF(AO351=1,AD351,IF(AO351=2,AI351,""))="R","VT REJETÉ – À REPRENDRE",IF(OR(AP351="CO",AP351="NT"),"COUPE – À RESOUDER","À RÉPARER"))))))))))</f>
        <v>À SOUDER</v>
      </c>
      <c r="AR351" s="82" t="str">
        <f aca="false">IF(AND(ISNUMBER(U351),OR(AQ351="À RADIOGRAPHIER",AQ351="RÉPARÉ – À RADIOGRAPHIER",AQ351="NX – RT À REFAIRE",AQ351="À RÉPARER",AQ351="COUPE – À RESOUDER",AQ351="VT REJETÉ – À REPRENDRE")),MAX(0,'PROGRAMME RT'!$C$4-U351),"")</f>
        <v/>
      </c>
      <c r="AS351" s="82" t="n">
        <f aca="false">IF(AND(OR(AQ351="À RADIOGRAPHIER",AQ351="RÉPARÉ – À RADIOGRAPHIER",AQ351="NX – RT À REFAIRE"),OR('PROGRAMME RT'!$D$5="TOUTES",B351='PROGRAMME RT'!$D$5)),1,0)</f>
        <v>0</v>
      </c>
      <c r="AT351" s="82" t="str">
        <f aca="false">IF(AS351=1,SUM(AS$7:AS351),"")</f>
        <v/>
      </c>
      <c r="AU351" s="82" t="n">
        <f aca="false">IF(AND(OR(AA351="R",AA351="NX",AA351="NT",AA351="CO"),OR('JOINTS DE RÉPARATION'!$D$5="TOUTES",B351='JOINTS DE RÉPARATION'!$D$5),OR('JOINTS DE RÉPARATION'!$L$4="TOUS",AQ351&lt;&gt;"ACCEPTÉ")),1,0)</f>
        <v>0</v>
      </c>
      <c r="AV351" s="82" t="str">
        <f aca="false">IF(AU351=1,SUM(AU$7:AU351),"")</f>
        <v/>
      </c>
      <c r="AW351" s="82" t="str">
        <f aca="false">IF(E351="","",B351&amp;"|"&amp;E351)</f>
        <v>MFD-ISW → MFD-CPF|JN°345</v>
      </c>
    </row>
    <row r="352" customFormat="false" ht="74.6" hidden="false" customHeight="false" outlineLevel="0" collapsed="false">
      <c r="A352" s="79" t="n">
        <f aca="false">IF(E352="","",ROW()-6)</f>
        <v>346</v>
      </c>
      <c r="B352" s="80" t="s">
        <v>110</v>
      </c>
      <c r="C352" s="81"/>
      <c r="D352" s="81"/>
      <c r="E352" s="81" t="s">
        <v>456</v>
      </c>
      <c r="F352" s="82" t="str">
        <f aca="false">IF(E352="","",IF(LEFT(E352,2)="DJ","DJ","JN"))</f>
        <v>JN</v>
      </c>
      <c r="G352" s="81"/>
      <c r="H352" s="81"/>
      <c r="I352" s="81"/>
      <c r="J352" s="81"/>
      <c r="K352" s="81"/>
      <c r="L352" s="81"/>
      <c r="M352" s="81"/>
      <c r="N352" s="81"/>
      <c r="O352" s="81"/>
      <c r="P352" s="81"/>
      <c r="Q352" s="81"/>
      <c r="R352" s="81"/>
      <c r="S352" s="81"/>
      <c r="T352" s="81"/>
      <c r="U352" s="83"/>
      <c r="V352" s="83"/>
      <c r="W352" s="81"/>
      <c r="X352" s="81"/>
      <c r="Y352" s="83"/>
      <c r="Z352" s="81"/>
      <c r="AA352" s="81"/>
      <c r="AB352" s="81"/>
      <c r="AC352" s="81"/>
      <c r="AD352" s="81"/>
      <c r="AE352" s="83"/>
      <c r="AF352" s="81"/>
      <c r="AG352" s="81"/>
      <c r="AH352" s="81"/>
      <c r="AI352" s="81"/>
      <c r="AJ352" s="83"/>
      <c r="AK352" s="81"/>
      <c r="AL352" s="81"/>
      <c r="AM352" s="83"/>
      <c r="AN352" s="80"/>
      <c r="AO352" s="82" t="n">
        <f aca="false">IF(E352="","",(AA352&lt;&gt;"")+(AG352&lt;&gt;"")+(AL352&lt;&gt;""))</f>
        <v>0</v>
      </c>
      <c r="AP352" s="82" t="str">
        <f aca="false">IF(AL352&lt;&gt;"",AL352,IF(AG352&lt;&gt;"",AG352,IF(AA352&lt;&gt;"",AA352,"")))</f>
        <v/>
      </c>
      <c r="AQ352" s="84" t="str">
        <f aca="false">IF(E352="","",IF(U352="","À SOUDER",IF(X352="","VT EN ATTENTE",IF(X352="R","VT REJETÉ – À REPRENDRE",IF(AP352="","À RADIOGRAPHIER",IF(AP352="A","ACCEPTÉ",IF(AP352="NX","NX – RT À REFAIRE",IF(IF(AO352=1,AD352,IF(AO352=2,AI352,""))="A","RÉPARÉ – À RADIOGRAPHIER",IF(IF(AO352=1,AD352,IF(AO352=2,AI352,""))="R","VT REJETÉ – À REPRENDRE",IF(OR(AP352="CO",AP352="NT"),"COUPE – À RESOUDER","À RÉPARER"))))))))))</f>
        <v>À SOUDER</v>
      </c>
      <c r="AR352" s="82" t="str">
        <f aca="false">IF(AND(ISNUMBER(U352),OR(AQ352="À RADIOGRAPHIER",AQ352="RÉPARÉ – À RADIOGRAPHIER",AQ352="NX – RT À REFAIRE",AQ352="À RÉPARER",AQ352="COUPE – À RESOUDER",AQ352="VT REJETÉ – À REPRENDRE")),MAX(0,'PROGRAMME RT'!$C$4-U352),"")</f>
        <v/>
      </c>
      <c r="AS352" s="82" t="n">
        <f aca="false">IF(AND(OR(AQ352="À RADIOGRAPHIER",AQ352="RÉPARÉ – À RADIOGRAPHIER",AQ352="NX – RT À REFAIRE"),OR('PROGRAMME RT'!$D$5="TOUTES",B352='PROGRAMME RT'!$D$5)),1,0)</f>
        <v>0</v>
      </c>
      <c r="AT352" s="82" t="str">
        <f aca="false">IF(AS352=1,SUM(AS$7:AS352),"")</f>
        <v/>
      </c>
      <c r="AU352" s="82" t="n">
        <f aca="false">IF(AND(OR(AA352="R",AA352="NX",AA352="NT",AA352="CO"),OR('JOINTS DE RÉPARATION'!$D$5="TOUTES",B352='JOINTS DE RÉPARATION'!$D$5),OR('JOINTS DE RÉPARATION'!$L$4="TOUS",AQ352&lt;&gt;"ACCEPTÉ")),1,0)</f>
        <v>0</v>
      </c>
      <c r="AV352" s="82" t="str">
        <f aca="false">IF(AU352=1,SUM(AU$7:AU352),"")</f>
        <v/>
      </c>
      <c r="AW352" s="82" t="str">
        <f aca="false">IF(E352="","",B352&amp;"|"&amp;E352)</f>
        <v>MFD-ISW → MFD-CPF|JN°346</v>
      </c>
    </row>
    <row r="353" customFormat="false" ht="74.6" hidden="false" customHeight="false" outlineLevel="0" collapsed="false">
      <c r="A353" s="79" t="n">
        <f aca="false">IF(E353="","",ROW()-6)</f>
        <v>347</v>
      </c>
      <c r="B353" s="80" t="s">
        <v>110</v>
      </c>
      <c r="C353" s="81"/>
      <c r="D353" s="81"/>
      <c r="E353" s="81" t="s">
        <v>457</v>
      </c>
      <c r="F353" s="82" t="str">
        <f aca="false">IF(E353="","",IF(LEFT(E353,2)="DJ","DJ","JN"))</f>
        <v>JN</v>
      </c>
      <c r="G353" s="81"/>
      <c r="H353" s="81"/>
      <c r="I353" s="81"/>
      <c r="J353" s="81"/>
      <c r="K353" s="81"/>
      <c r="L353" s="81"/>
      <c r="M353" s="81"/>
      <c r="N353" s="81"/>
      <c r="O353" s="81"/>
      <c r="P353" s="81"/>
      <c r="Q353" s="81"/>
      <c r="R353" s="81"/>
      <c r="S353" s="81"/>
      <c r="T353" s="81"/>
      <c r="U353" s="83"/>
      <c r="V353" s="83"/>
      <c r="W353" s="81"/>
      <c r="X353" s="81"/>
      <c r="Y353" s="83"/>
      <c r="Z353" s="81"/>
      <c r="AA353" s="81"/>
      <c r="AB353" s="81"/>
      <c r="AC353" s="81"/>
      <c r="AD353" s="81"/>
      <c r="AE353" s="83"/>
      <c r="AF353" s="81"/>
      <c r="AG353" s="81"/>
      <c r="AH353" s="81"/>
      <c r="AI353" s="81"/>
      <c r="AJ353" s="83"/>
      <c r="AK353" s="81"/>
      <c r="AL353" s="81"/>
      <c r="AM353" s="83"/>
      <c r="AN353" s="80"/>
      <c r="AO353" s="82" t="n">
        <f aca="false">IF(E353="","",(AA353&lt;&gt;"")+(AG353&lt;&gt;"")+(AL353&lt;&gt;""))</f>
        <v>0</v>
      </c>
      <c r="AP353" s="82" t="str">
        <f aca="false">IF(AL353&lt;&gt;"",AL353,IF(AG353&lt;&gt;"",AG353,IF(AA353&lt;&gt;"",AA353,"")))</f>
        <v/>
      </c>
      <c r="AQ353" s="84" t="str">
        <f aca="false">IF(E353="","",IF(U353="","À SOUDER",IF(X353="","VT EN ATTENTE",IF(X353="R","VT REJETÉ – À REPRENDRE",IF(AP353="","À RADIOGRAPHIER",IF(AP353="A","ACCEPTÉ",IF(AP353="NX","NX – RT À REFAIRE",IF(IF(AO353=1,AD353,IF(AO353=2,AI353,""))="A","RÉPARÉ – À RADIOGRAPHIER",IF(IF(AO353=1,AD353,IF(AO353=2,AI353,""))="R","VT REJETÉ – À REPRENDRE",IF(OR(AP353="CO",AP353="NT"),"COUPE – À RESOUDER","À RÉPARER"))))))))))</f>
        <v>À SOUDER</v>
      </c>
      <c r="AR353" s="82" t="str">
        <f aca="false">IF(AND(ISNUMBER(U353),OR(AQ353="À RADIOGRAPHIER",AQ353="RÉPARÉ – À RADIOGRAPHIER",AQ353="NX – RT À REFAIRE",AQ353="À RÉPARER",AQ353="COUPE – À RESOUDER",AQ353="VT REJETÉ – À REPRENDRE")),MAX(0,'PROGRAMME RT'!$C$4-U353),"")</f>
        <v/>
      </c>
      <c r="AS353" s="82" t="n">
        <f aca="false">IF(AND(OR(AQ353="À RADIOGRAPHIER",AQ353="RÉPARÉ – À RADIOGRAPHIER",AQ353="NX – RT À REFAIRE"),OR('PROGRAMME RT'!$D$5="TOUTES",B353='PROGRAMME RT'!$D$5)),1,0)</f>
        <v>0</v>
      </c>
      <c r="AT353" s="82" t="str">
        <f aca="false">IF(AS353=1,SUM(AS$7:AS353),"")</f>
        <v/>
      </c>
      <c r="AU353" s="82" t="n">
        <f aca="false">IF(AND(OR(AA353="R",AA353="NX",AA353="NT",AA353="CO"),OR('JOINTS DE RÉPARATION'!$D$5="TOUTES",B353='JOINTS DE RÉPARATION'!$D$5),OR('JOINTS DE RÉPARATION'!$L$4="TOUS",AQ353&lt;&gt;"ACCEPTÉ")),1,0)</f>
        <v>0</v>
      </c>
      <c r="AV353" s="82" t="str">
        <f aca="false">IF(AU353=1,SUM(AU$7:AU353),"")</f>
        <v/>
      </c>
      <c r="AW353" s="82" t="str">
        <f aca="false">IF(E353="","",B353&amp;"|"&amp;E353)</f>
        <v>MFD-ISW → MFD-CPF|JN°347</v>
      </c>
    </row>
    <row r="354" customFormat="false" ht="74.6" hidden="false" customHeight="false" outlineLevel="0" collapsed="false">
      <c r="A354" s="79" t="n">
        <f aca="false">IF(E354="","",ROW()-6)</f>
        <v>348</v>
      </c>
      <c r="B354" s="80" t="s">
        <v>110</v>
      </c>
      <c r="C354" s="81"/>
      <c r="D354" s="81"/>
      <c r="E354" s="81" t="s">
        <v>458</v>
      </c>
      <c r="F354" s="82" t="str">
        <f aca="false">IF(E354="","",IF(LEFT(E354,2)="DJ","DJ","JN"))</f>
        <v>JN</v>
      </c>
      <c r="G354" s="81"/>
      <c r="H354" s="81"/>
      <c r="I354" s="81"/>
      <c r="J354" s="81"/>
      <c r="K354" s="81"/>
      <c r="L354" s="81"/>
      <c r="M354" s="81"/>
      <c r="N354" s="81"/>
      <c r="O354" s="81"/>
      <c r="P354" s="81"/>
      <c r="Q354" s="81"/>
      <c r="R354" s="81"/>
      <c r="S354" s="81"/>
      <c r="T354" s="81"/>
      <c r="U354" s="83"/>
      <c r="V354" s="83"/>
      <c r="W354" s="81"/>
      <c r="X354" s="81"/>
      <c r="Y354" s="83"/>
      <c r="Z354" s="81"/>
      <c r="AA354" s="81"/>
      <c r="AB354" s="81"/>
      <c r="AC354" s="81"/>
      <c r="AD354" s="81"/>
      <c r="AE354" s="83"/>
      <c r="AF354" s="81"/>
      <c r="AG354" s="81"/>
      <c r="AH354" s="81"/>
      <c r="AI354" s="81"/>
      <c r="AJ354" s="83"/>
      <c r="AK354" s="81"/>
      <c r="AL354" s="81"/>
      <c r="AM354" s="83"/>
      <c r="AN354" s="80"/>
      <c r="AO354" s="82" t="n">
        <f aca="false">IF(E354="","",(AA354&lt;&gt;"")+(AG354&lt;&gt;"")+(AL354&lt;&gt;""))</f>
        <v>0</v>
      </c>
      <c r="AP354" s="82" t="str">
        <f aca="false">IF(AL354&lt;&gt;"",AL354,IF(AG354&lt;&gt;"",AG354,IF(AA354&lt;&gt;"",AA354,"")))</f>
        <v/>
      </c>
      <c r="AQ354" s="84" t="str">
        <f aca="false">IF(E354="","",IF(U354="","À SOUDER",IF(X354="","VT EN ATTENTE",IF(X354="R","VT REJETÉ – À REPRENDRE",IF(AP354="","À RADIOGRAPHIER",IF(AP354="A","ACCEPTÉ",IF(AP354="NX","NX – RT À REFAIRE",IF(IF(AO354=1,AD354,IF(AO354=2,AI354,""))="A","RÉPARÉ – À RADIOGRAPHIER",IF(IF(AO354=1,AD354,IF(AO354=2,AI354,""))="R","VT REJETÉ – À REPRENDRE",IF(OR(AP354="CO",AP354="NT"),"COUPE – À RESOUDER","À RÉPARER"))))))))))</f>
        <v>À SOUDER</v>
      </c>
      <c r="AR354" s="82" t="str">
        <f aca="false">IF(AND(ISNUMBER(U354),OR(AQ354="À RADIOGRAPHIER",AQ354="RÉPARÉ – À RADIOGRAPHIER",AQ354="NX – RT À REFAIRE",AQ354="À RÉPARER",AQ354="COUPE – À RESOUDER",AQ354="VT REJETÉ – À REPRENDRE")),MAX(0,'PROGRAMME RT'!$C$4-U354),"")</f>
        <v/>
      </c>
      <c r="AS354" s="82" t="n">
        <f aca="false">IF(AND(OR(AQ354="À RADIOGRAPHIER",AQ354="RÉPARÉ – À RADIOGRAPHIER",AQ354="NX – RT À REFAIRE"),OR('PROGRAMME RT'!$D$5="TOUTES",B354='PROGRAMME RT'!$D$5)),1,0)</f>
        <v>0</v>
      </c>
      <c r="AT354" s="82" t="str">
        <f aca="false">IF(AS354=1,SUM(AS$7:AS354),"")</f>
        <v/>
      </c>
      <c r="AU354" s="82" t="n">
        <f aca="false">IF(AND(OR(AA354="R",AA354="NX",AA354="NT",AA354="CO"),OR('JOINTS DE RÉPARATION'!$D$5="TOUTES",B354='JOINTS DE RÉPARATION'!$D$5),OR('JOINTS DE RÉPARATION'!$L$4="TOUS",AQ354&lt;&gt;"ACCEPTÉ")),1,0)</f>
        <v>0</v>
      </c>
      <c r="AV354" s="82" t="str">
        <f aca="false">IF(AU354=1,SUM(AU$7:AU354),"")</f>
        <v/>
      </c>
      <c r="AW354" s="82" t="str">
        <f aca="false">IF(E354="","",B354&amp;"|"&amp;E354)</f>
        <v>MFD-ISW → MFD-CPF|JN°348</v>
      </c>
    </row>
    <row r="355" customFormat="false" ht="74.6" hidden="false" customHeight="false" outlineLevel="0" collapsed="false">
      <c r="A355" s="79" t="n">
        <f aca="false">IF(E355="","",ROW()-6)</f>
        <v>349</v>
      </c>
      <c r="B355" s="80" t="s">
        <v>110</v>
      </c>
      <c r="C355" s="81"/>
      <c r="D355" s="81"/>
      <c r="E355" s="81" t="s">
        <v>459</v>
      </c>
      <c r="F355" s="82" t="str">
        <f aca="false">IF(E355="","",IF(LEFT(E355,2)="DJ","DJ","JN"))</f>
        <v>JN</v>
      </c>
      <c r="G355" s="81"/>
      <c r="H355" s="81"/>
      <c r="I355" s="81"/>
      <c r="J355" s="81"/>
      <c r="K355" s="81"/>
      <c r="L355" s="81"/>
      <c r="M355" s="81"/>
      <c r="N355" s="81"/>
      <c r="O355" s="81"/>
      <c r="P355" s="81"/>
      <c r="Q355" s="81"/>
      <c r="R355" s="81"/>
      <c r="S355" s="81"/>
      <c r="T355" s="81"/>
      <c r="U355" s="83"/>
      <c r="V355" s="83"/>
      <c r="W355" s="81"/>
      <c r="X355" s="81"/>
      <c r="Y355" s="83"/>
      <c r="Z355" s="81"/>
      <c r="AA355" s="81"/>
      <c r="AB355" s="81"/>
      <c r="AC355" s="81"/>
      <c r="AD355" s="81"/>
      <c r="AE355" s="83"/>
      <c r="AF355" s="81"/>
      <c r="AG355" s="81"/>
      <c r="AH355" s="81"/>
      <c r="AI355" s="81"/>
      <c r="AJ355" s="83"/>
      <c r="AK355" s="81"/>
      <c r="AL355" s="81"/>
      <c r="AM355" s="83"/>
      <c r="AN355" s="80"/>
      <c r="AO355" s="82" t="n">
        <f aca="false">IF(E355="","",(AA355&lt;&gt;"")+(AG355&lt;&gt;"")+(AL355&lt;&gt;""))</f>
        <v>0</v>
      </c>
      <c r="AP355" s="82" t="str">
        <f aca="false">IF(AL355&lt;&gt;"",AL355,IF(AG355&lt;&gt;"",AG355,IF(AA355&lt;&gt;"",AA355,"")))</f>
        <v/>
      </c>
      <c r="AQ355" s="84" t="str">
        <f aca="false">IF(E355="","",IF(U355="","À SOUDER",IF(X355="","VT EN ATTENTE",IF(X355="R","VT REJETÉ – À REPRENDRE",IF(AP355="","À RADIOGRAPHIER",IF(AP355="A","ACCEPTÉ",IF(AP355="NX","NX – RT À REFAIRE",IF(IF(AO355=1,AD355,IF(AO355=2,AI355,""))="A","RÉPARÉ – À RADIOGRAPHIER",IF(IF(AO355=1,AD355,IF(AO355=2,AI355,""))="R","VT REJETÉ – À REPRENDRE",IF(OR(AP355="CO",AP355="NT"),"COUPE – À RESOUDER","À RÉPARER"))))))))))</f>
        <v>À SOUDER</v>
      </c>
      <c r="AR355" s="82" t="str">
        <f aca="false">IF(AND(ISNUMBER(U355),OR(AQ355="À RADIOGRAPHIER",AQ355="RÉPARÉ – À RADIOGRAPHIER",AQ355="NX – RT À REFAIRE",AQ355="À RÉPARER",AQ355="COUPE – À RESOUDER",AQ355="VT REJETÉ – À REPRENDRE")),MAX(0,'PROGRAMME RT'!$C$4-U355),"")</f>
        <v/>
      </c>
      <c r="AS355" s="82" t="n">
        <f aca="false">IF(AND(OR(AQ355="À RADIOGRAPHIER",AQ355="RÉPARÉ – À RADIOGRAPHIER",AQ355="NX – RT À REFAIRE"),OR('PROGRAMME RT'!$D$5="TOUTES",B355='PROGRAMME RT'!$D$5)),1,0)</f>
        <v>0</v>
      </c>
      <c r="AT355" s="82" t="str">
        <f aca="false">IF(AS355=1,SUM(AS$7:AS355),"")</f>
        <v/>
      </c>
      <c r="AU355" s="82" t="n">
        <f aca="false">IF(AND(OR(AA355="R",AA355="NX",AA355="NT",AA355="CO"),OR('JOINTS DE RÉPARATION'!$D$5="TOUTES",B355='JOINTS DE RÉPARATION'!$D$5),OR('JOINTS DE RÉPARATION'!$L$4="TOUS",AQ355&lt;&gt;"ACCEPTÉ")),1,0)</f>
        <v>0</v>
      </c>
      <c r="AV355" s="82" t="str">
        <f aca="false">IF(AU355=1,SUM(AU$7:AU355),"")</f>
        <v/>
      </c>
      <c r="AW355" s="82" t="str">
        <f aca="false">IF(E355="","",B355&amp;"|"&amp;E355)</f>
        <v>MFD-ISW → MFD-CPF|JN°349</v>
      </c>
    </row>
    <row r="356" customFormat="false" ht="74.6" hidden="false" customHeight="false" outlineLevel="0" collapsed="false">
      <c r="A356" s="79" t="n">
        <f aca="false">IF(E356="","",ROW()-6)</f>
        <v>350</v>
      </c>
      <c r="B356" s="80" t="s">
        <v>110</v>
      </c>
      <c r="C356" s="81"/>
      <c r="D356" s="81"/>
      <c r="E356" s="81" t="s">
        <v>460</v>
      </c>
      <c r="F356" s="82" t="str">
        <f aca="false">IF(E356="","",IF(LEFT(E356,2)="DJ","DJ","JN"))</f>
        <v>JN</v>
      </c>
      <c r="G356" s="81"/>
      <c r="H356" s="81"/>
      <c r="I356" s="81"/>
      <c r="J356" s="81"/>
      <c r="K356" s="81"/>
      <c r="L356" s="81"/>
      <c r="M356" s="81"/>
      <c r="N356" s="81"/>
      <c r="O356" s="81"/>
      <c r="P356" s="81"/>
      <c r="Q356" s="81"/>
      <c r="R356" s="81"/>
      <c r="S356" s="81"/>
      <c r="T356" s="81"/>
      <c r="U356" s="83"/>
      <c r="V356" s="83"/>
      <c r="W356" s="81"/>
      <c r="X356" s="81"/>
      <c r="Y356" s="83"/>
      <c r="Z356" s="81"/>
      <c r="AA356" s="81"/>
      <c r="AB356" s="81"/>
      <c r="AC356" s="81"/>
      <c r="AD356" s="81"/>
      <c r="AE356" s="83"/>
      <c r="AF356" s="81"/>
      <c r="AG356" s="81"/>
      <c r="AH356" s="81"/>
      <c r="AI356" s="81"/>
      <c r="AJ356" s="83"/>
      <c r="AK356" s="81"/>
      <c r="AL356" s="81"/>
      <c r="AM356" s="83"/>
      <c r="AN356" s="80"/>
      <c r="AO356" s="82" t="n">
        <f aca="false">IF(E356="","",(AA356&lt;&gt;"")+(AG356&lt;&gt;"")+(AL356&lt;&gt;""))</f>
        <v>0</v>
      </c>
      <c r="AP356" s="82" t="str">
        <f aca="false">IF(AL356&lt;&gt;"",AL356,IF(AG356&lt;&gt;"",AG356,IF(AA356&lt;&gt;"",AA356,"")))</f>
        <v/>
      </c>
      <c r="AQ356" s="84" t="str">
        <f aca="false">IF(E356="","",IF(U356="","À SOUDER",IF(X356="","VT EN ATTENTE",IF(X356="R","VT REJETÉ – À REPRENDRE",IF(AP356="","À RADIOGRAPHIER",IF(AP356="A","ACCEPTÉ",IF(AP356="NX","NX – RT À REFAIRE",IF(IF(AO356=1,AD356,IF(AO356=2,AI356,""))="A","RÉPARÉ – À RADIOGRAPHIER",IF(IF(AO356=1,AD356,IF(AO356=2,AI356,""))="R","VT REJETÉ – À REPRENDRE",IF(OR(AP356="CO",AP356="NT"),"COUPE – À RESOUDER","À RÉPARER"))))))))))</f>
        <v>À SOUDER</v>
      </c>
      <c r="AR356" s="82" t="str">
        <f aca="false">IF(AND(ISNUMBER(U356),OR(AQ356="À RADIOGRAPHIER",AQ356="RÉPARÉ – À RADIOGRAPHIER",AQ356="NX – RT À REFAIRE",AQ356="À RÉPARER",AQ356="COUPE – À RESOUDER",AQ356="VT REJETÉ – À REPRENDRE")),MAX(0,'PROGRAMME RT'!$C$4-U356),"")</f>
        <v/>
      </c>
      <c r="AS356" s="82" t="n">
        <f aca="false">IF(AND(OR(AQ356="À RADIOGRAPHIER",AQ356="RÉPARÉ – À RADIOGRAPHIER",AQ356="NX – RT À REFAIRE"),OR('PROGRAMME RT'!$D$5="TOUTES",B356='PROGRAMME RT'!$D$5)),1,0)</f>
        <v>0</v>
      </c>
      <c r="AT356" s="82" t="str">
        <f aca="false">IF(AS356=1,SUM(AS$7:AS356),"")</f>
        <v/>
      </c>
      <c r="AU356" s="82" t="n">
        <f aca="false">IF(AND(OR(AA356="R",AA356="NX",AA356="NT",AA356="CO"),OR('JOINTS DE RÉPARATION'!$D$5="TOUTES",B356='JOINTS DE RÉPARATION'!$D$5),OR('JOINTS DE RÉPARATION'!$L$4="TOUS",AQ356&lt;&gt;"ACCEPTÉ")),1,0)</f>
        <v>0</v>
      </c>
      <c r="AV356" s="82" t="str">
        <f aca="false">IF(AU356=1,SUM(AU$7:AU356),"")</f>
        <v/>
      </c>
      <c r="AW356" s="82" t="str">
        <f aca="false">IF(E356="","",B356&amp;"|"&amp;E356)</f>
        <v>MFD-ISW → MFD-CPF|JN°350</v>
      </c>
    </row>
    <row r="357" customFormat="false" ht="74.6" hidden="false" customHeight="false" outlineLevel="0" collapsed="false">
      <c r="A357" s="79" t="n">
        <f aca="false">IF(E357="","",ROW()-6)</f>
        <v>351</v>
      </c>
      <c r="B357" s="80" t="s">
        <v>110</v>
      </c>
      <c r="C357" s="81"/>
      <c r="D357" s="81"/>
      <c r="E357" s="81" t="s">
        <v>461</v>
      </c>
      <c r="F357" s="82" t="str">
        <f aca="false">IF(E357="","",IF(LEFT(E357,2)="DJ","DJ","JN"))</f>
        <v>JN</v>
      </c>
      <c r="G357" s="81"/>
      <c r="H357" s="81"/>
      <c r="I357" s="81"/>
      <c r="J357" s="81"/>
      <c r="K357" s="81"/>
      <c r="L357" s="81"/>
      <c r="M357" s="81"/>
      <c r="N357" s="81"/>
      <c r="O357" s="81"/>
      <c r="P357" s="81"/>
      <c r="Q357" s="81"/>
      <c r="R357" s="81"/>
      <c r="S357" s="81"/>
      <c r="T357" s="81"/>
      <c r="U357" s="83"/>
      <c r="V357" s="83"/>
      <c r="W357" s="81"/>
      <c r="X357" s="81"/>
      <c r="Y357" s="83"/>
      <c r="Z357" s="81"/>
      <c r="AA357" s="81"/>
      <c r="AB357" s="81"/>
      <c r="AC357" s="81"/>
      <c r="AD357" s="81"/>
      <c r="AE357" s="83"/>
      <c r="AF357" s="81"/>
      <c r="AG357" s="81"/>
      <c r="AH357" s="81"/>
      <c r="AI357" s="81"/>
      <c r="AJ357" s="83"/>
      <c r="AK357" s="81"/>
      <c r="AL357" s="81"/>
      <c r="AM357" s="83"/>
      <c r="AN357" s="80"/>
      <c r="AO357" s="82" t="n">
        <f aca="false">IF(E357="","",(AA357&lt;&gt;"")+(AG357&lt;&gt;"")+(AL357&lt;&gt;""))</f>
        <v>0</v>
      </c>
      <c r="AP357" s="82" t="str">
        <f aca="false">IF(AL357&lt;&gt;"",AL357,IF(AG357&lt;&gt;"",AG357,IF(AA357&lt;&gt;"",AA357,"")))</f>
        <v/>
      </c>
      <c r="AQ357" s="84" t="str">
        <f aca="false">IF(E357="","",IF(U357="","À SOUDER",IF(X357="","VT EN ATTENTE",IF(X357="R","VT REJETÉ – À REPRENDRE",IF(AP357="","À RADIOGRAPHIER",IF(AP357="A","ACCEPTÉ",IF(AP357="NX","NX – RT À REFAIRE",IF(IF(AO357=1,AD357,IF(AO357=2,AI357,""))="A","RÉPARÉ – À RADIOGRAPHIER",IF(IF(AO357=1,AD357,IF(AO357=2,AI357,""))="R","VT REJETÉ – À REPRENDRE",IF(OR(AP357="CO",AP357="NT"),"COUPE – À RESOUDER","À RÉPARER"))))))))))</f>
        <v>À SOUDER</v>
      </c>
      <c r="AR357" s="82" t="str">
        <f aca="false">IF(AND(ISNUMBER(U357),OR(AQ357="À RADIOGRAPHIER",AQ357="RÉPARÉ – À RADIOGRAPHIER",AQ357="NX – RT À REFAIRE",AQ357="À RÉPARER",AQ357="COUPE – À RESOUDER",AQ357="VT REJETÉ – À REPRENDRE")),MAX(0,'PROGRAMME RT'!$C$4-U357),"")</f>
        <v/>
      </c>
      <c r="AS357" s="82" t="n">
        <f aca="false">IF(AND(OR(AQ357="À RADIOGRAPHIER",AQ357="RÉPARÉ – À RADIOGRAPHIER",AQ357="NX – RT À REFAIRE"),OR('PROGRAMME RT'!$D$5="TOUTES",B357='PROGRAMME RT'!$D$5)),1,0)</f>
        <v>0</v>
      </c>
      <c r="AT357" s="82" t="str">
        <f aca="false">IF(AS357=1,SUM(AS$7:AS357),"")</f>
        <v/>
      </c>
      <c r="AU357" s="82" t="n">
        <f aca="false">IF(AND(OR(AA357="R",AA357="NX",AA357="NT",AA357="CO"),OR('JOINTS DE RÉPARATION'!$D$5="TOUTES",B357='JOINTS DE RÉPARATION'!$D$5),OR('JOINTS DE RÉPARATION'!$L$4="TOUS",AQ357&lt;&gt;"ACCEPTÉ")),1,0)</f>
        <v>0</v>
      </c>
      <c r="AV357" s="82" t="str">
        <f aca="false">IF(AU357=1,SUM(AU$7:AU357),"")</f>
        <v/>
      </c>
      <c r="AW357" s="82" t="str">
        <f aca="false">IF(E357="","",B357&amp;"|"&amp;E357)</f>
        <v>MFD-ISW → MFD-CPF|JN°351</v>
      </c>
    </row>
    <row r="358" customFormat="false" ht="74.6" hidden="false" customHeight="false" outlineLevel="0" collapsed="false">
      <c r="A358" s="79" t="n">
        <f aca="false">IF(E358="","",ROW()-6)</f>
        <v>352</v>
      </c>
      <c r="B358" s="80" t="s">
        <v>110</v>
      </c>
      <c r="C358" s="81"/>
      <c r="D358" s="81"/>
      <c r="E358" s="81" t="s">
        <v>462</v>
      </c>
      <c r="F358" s="82" t="str">
        <f aca="false">IF(E358="","",IF(LEFT(E358,2)="DJ","DJ","JN"))</f>
        <v>JN</v>
      </c>
      <c r="G358" s="81"/>
      <c r="H358" s="81"/>
      <c r="I358" s="81"/>
      <c r="J358" s="81"/>
      <c r="K358" s="81"/>
      <c r="L358" s="81"/>
      <c r="M358" s="81"/>
      <c r="N358" s="81"/>
      <c r="O358" s="81"/>
      <c r="P358" s="81"/>
      <c r="Q358" s="81"/>
      <c r="R358" s="81"/>
      <c r="S358" s="81"/>
      <c r="T358" s="81"/>
      <c r="U358" s="83"/>
      <c r="V358" s="83"/>
      <c r="W358" s="81"/>
      <c r="X358" s="81"/>
      <c r="Y358" s="83"/>
      <c r="Z358" s="81"/>
      <c r="AA358" s="81"/>
      <c r="AB358" s="81"/>
      <c r="AC358" s="81"/>
      <c r="AD358" s="81"/>
      <c r="AE358" s="83"/>
      <c r="AF358" s="81"/>
      <c r="AG358" s="81"/>
      <c r="AH358" s="81"/>
      <c r="AI358" s="81"/>
      <c r="AJ358" s="83"/>
      <c r="AK358" s="81"/>
      <c r="AL358" s="81"/>
      <c r="AM358" s="83"/>
      <c r="AN358" s="80"/>
      <c r="AO358" s="82" t="n">
        <f aca="false">IF(E358="","",(AA358&lt;&gt;"")+(AG358&lt;&gt;"")+(AL358&lt;&gt;""))</f>
        <v>0</v>
      </c>
      <c r="AP358" s="82" t="str">
        <f aca="false">IF(AL358&lt;&gt;"",AL358,IF(AG358&lt;&gt;"",AG358,IF(AA358&lt;&gt;"",AA358,"")))</f>
        <v/>
      </c>
      <c r="AQ358" s="84" t="str">
        <f aca="false">IF(E358="","",IF(U358="","À SOUDER",IF(X358="","VT EN ATTENTE",IF(X358="R","VT REJETÉ – À REPRENDRE",IF(AP358="","À RADIOGRAPHIER",IF(AP358="A","ACCEPTÉ",IF(AP358="NX","NX – RT À REFAIRE",IF(IF(AO358=1,AD358,IF(AO358=2,AI358,""))="A","RÉPARÉ – À RADIOGRAPHIER",IF(IF(AO358=1,AD358,IF(AO358=2,AI358,""))="R","VT REJETÉ – À REPRENDRE",IF(OR(AP358="CO",AP358="NT"),"COUPE – À RESOUDER","À RÉPARER"))))))))))</f>
        <v>À SOUDER</v>
      </c>
      <c r="AR358" s="82" t="str">
        <f aca="false">IF(AND(ISNUMBER(U358),OR(AQ358="À RADIOGRAPHIER",AQ358="RÉPARÉ – À RADIOGRAPHIER",AQ358="NX – RT À REFAIRE",AQ358="À RÉPARER",AQ358="COUPE – À RESOUDER",AQ358="VT REJETÉ – À REPRENDRE")),MAX(0,'PROGRAMME RT'!$C$4-U358),"")</f>
        <v/>
      </c>
      <c r="AS358" s="82" t="n">
        <f aca="false">IF(AND(OR(AQ358="À RADIOGRAPHIER",AQ358="RÉPARÉ – À RADIOGRAPHIER",AQ358="NX – RT À REFAIRE"),OR('PROGRAMME RT'!$D$5="TOUTES",B358='PROGRAMME RT'!$D$5)),1,0)</f>
        <v>0</v>
      </c>
      <c r="AT358" s="82" t="str">
        <f aca="false">IF(AS358=1,SUM(AS$7:AS358),"")</f>
        <v/>
      </c>
      <c r="AU358" s="82" t="n">
        <f aca="false">IF(AND(OR(AA358="R",AA358="NX",AA358="NT",AA358="CO"),OR('JOINTS DE RÉPARATION'!$D$5="TOUTES",B358='JOINTS DE RÉPARATION'!$D$5),OR('JOINTS DE RÉPARATION'!$L$4="TOUS",AQ358&lt;&gt;"ACCEPTÉ")),1,0)</f>
        <v>0</v>
      </c>
      <c r="AV358" s="82" t="str">
        <f aca="false">IF(AU358=1,SUM(AU$7:AU358),"")</f>
        <v/>
      </c>
      <c r="AW358" s="82" t="str">
        <f aca="false">IF(E358="","",B358&amp;"|"&amp;E358)</f>
        <v>MFD-ISW → MFD-CPF|JN°352</v>
      </c>
    </row>
    <row r="359" customFormat="false" ht="74.6" hidden="false" customHeight="false" outlineLevel="0" collapsed="false">
      <c r="A359" s="79" t="n">
        <f aca="false">IF(E359="","",ROW()-6)</f>
        <v>353</v>
      </c>
      <c r="B359" s="80" t="s">
        <v>110</v>
      </c>
      <c r="C359" s="81"/>
      <c r="D359" s="81"/>
      <c r="E359" s="81" t="s">
        <v>463</v>
      </c>
      <c r="F359" s="82" t="str">
        <f aca="false">IF(E359="","",IF(LEFT(E359,2)="DJ","DJ","JN"))</f>
        <v>JN</v>
      </c>
      <c r="G359" s="81"/>
      <c r="H359" s="81"/>
      <c r="I359" s="81"/>
      <c r="J359" s="81"/>
      <c r="K359" s="81"/>
      <c r="L359" s="81"/>
      <c r="M359" s="81"/>
      <c r="N359" s="81"/>
      <c r="O359" s="81"/>
      <c r="P359" s="81"/>
      <c r="Q359" s="81"/>
      <c r="R359" s="81"/>
      <c r="S359" s="81"/>
      <c r="T359" s="81"/>
      <c r="U359" s="83"/>
      <c r="V359" s="83"/>
      <c r="W359" s="81"/>
      <c r="X359" s="81"/>
      <c r="Y359" s="83"/>
      <c r="Z359" s="81"/>
      <c r="AA359" s="81"/>
      <c r="AB359" s="81"/>
      <c r="AC359" s="81"/>
      <c r="AD359" s="81"/>
      <c r="AE359" s="83"/>
      <c r="AF359" s="81"/>
      <c r="AG359" s="81"/>
      <c r="AH359" s="81"/>
      <c r="AI359" s="81"/>
      <c r="AJ359" s="83"/>
      <c r="AK359" s="81"/>
      <c r="AL359" s="81"/>
      <c r="AM359" s="83"/>
      <c r="AN359" s="80"/>
      <c r="AO359" s="82" t="n">
        <f aca="false">IF(E359="","",(AA359&lt;&gt;"")+(AG359&lt;&gt;"")+(AL359&lt;&gt;""))</f>
        <v>0</v>
      </c>
      <c r="AP359" s="82" t="str">
        <f aca="false">IF(AL359&lt;&gt;"",AL359,IF(AG359&lt;&gt;"",AG359,IF(AA359&lt;&gt;"",AA359,"")))</f>
        <v/>
      </c>
      <c r="AQ359" s="84" t="str">
        <f aca="false">IF(E359="","",IF(U359="","À SOUDER",IF(X359="","VT EN ATTENTE",IF(X359="R","VT REJETÉ – À REPRENDRE",IF(AP359="","À RADIOGRAPHIER",IF(AP359="A","ACCEPTÉ",IF(AP359="NX","NX – RT À REFAIRE",IF(IF(AO359=1,AD359,IF(AO359=2,AI359,""))="A","RÉPARÉ – À RADIOGRAPHIER",IF(IF(AO359=1,AD359,IF(AO359=2,AI359,""))="R","VT REJETÉ – À REPRENDRE",IF(OR(AP359="CO",AP359="NT"),"COUPE – À RESOUDER","À RÉPARER"))))))))))</f>
        <v>À SOUDER</v>
      </c>
      <c r="AR359" s="82" t="str">
        <f aca="false">IF(AND(ISNUMBER(U359),OR(AQ359="À RADIOGRAPHIER",AQ359="RÉPARÉ – À RADIOGRAPHIER",AQ359="NX – RT À REFAIRE",AQ359="À RÉPARER",AQ359="COUPE – À RESOUDER",AQ359="VT REJETÉ – À REPRENDRE")),MAX(0,'PROGRAMME RT'!$C$4-U359),"")</f>
        <v/>
      </c>
      <c r="AS359" s="82" t="n">
        <f aca="false">IF(AND(OR(AQ359="À RADIOGRAPHIER",AQ359="RÉPARÉ – À RADIOGRAPHIER",AQ359="NX – RT À REFAIRE"),OR('PROGRAMME RT'!$D$5="TOUTES",B359='PROGRAMME RT'!$D$5)),1,0)</f>
        <v>0</v>
      </c>
      <c r="AT359" s="82" t="str">
        <f aca="false">IF(AS359=1,SUM(AS$7:AS359),"")</f>
        <v/>
      </c>
      <c r="AU359" s="82" t="n">
        <f aca="false">IF(AND(OR(AA359="R",AA359="NX",AA359="NT",AA359="CO"),OR('JOINTS DE RÉPARATION'!$D$5="TOUTES",B359='JOINTS DE RÉPARATION'!$D$5),OR('JOINTS DE RÉPARATION'!$L$4="TOUS",AQ359&lt;&gt;"ACCEPTÉ")),1,0)</f>
        <v>0</v>
      </c>
      <c r="AV359" s="82" t="str">
        <f aca="false">IF(AU359=1,SUM(AU$7:AU359),"")</f>
        <v/>
      </c>
      <c r="AW359" s="82" t="str">
        <f aca="false">IF(E359="","",B359&amp;"|"&amp;E359)</f>
        <v>MFD-ISW → MFD-CPF|JN°353</v>
      </c>
    </row>
    <row r="360" customFormat="false" ht="74.6" hidden="false" customHeight="false" outlineLevel="0" collapsed="false">
      <c r="A360" s="79" t="n">
        <f aca="false">IF(E360="","",ROW()-6)</f>
        <v>354</v>
      </c>
      <c r="B360" s="80" t="s">
        <v>110</v>
      </c>
      <c r="C360" s="81"/>
      <c r="D360" s="81"/>
      <c r="E360" s="81" t="s">
        <v>464</v>
      </c>
      <c r="F360" s="82" t="str">
        <f aca="false">IF(E360="","",IF(LEFT(E360,2)="DJ","DJ","JN"))</f>
        <v>JN</v>
      </c>
      <c r="G360" s="81"/>
      <c r="H360" s="81"/>
      <c r="I360" s="81"/>
      <c r="J360" s="81"/>
      <c r="K360" s="81"/>
      <c r="L360" s="81"/>
      <c r="M360" s="81"/>
      <c r="N360" s="81"/>
      <c r="O360" s="81"/>
      <c r="P360" s="81"/>
      <c r="Q360" s="81"/>
      <c r="R360" s="81"/>
      <c r="S360" s="81"/>
      <c r="T360" s="81"/>
      <c r="U360" s="83"/>
      <c r="V360" s="83"/>
      <c r="W360" s="81"/>
      <c r="X360" s="81"/>
      <c r="Y360" s="83"/>
      <c r="Z360" s="81"/>
      <c r="AA360" s="81"/>
      <c r="AB360" s="81"/>
      <c r="AC360" s="81"/>
      <c r="AD360" s="81"/>
      <c r="AE360" s="83"/>
      <c r="AF360" s="81"/>
      <c r="AG360" s="81"/>
      <c r="AH360" s="81"/>
      <c r="AI360" s="81"/>
      <c r="AJ360" s="83"/>
      <c r="AK360" s="81"/>
      <c r="AL360" s="81"/>
      <c r="AM360" s="83"/>
      <c r="AN360" s="80"/>
      <c r="AO360" s="82" t="n">
        <f aca="false">IF(E360="","",(AA360&lt;&gt;"")+(AG360&lt;&gt;"")+(AL360&lt;&gt;""))</f>
        <v>0</v>
      </c>
      <c r="AP360" s="82" t="str">
        <f aca="false">IF(AL360&lt;&gt;"",AL360,IF(AG360&lt;&gt;"",AG360,IF(AA360&lt;&gt;"",AA360,"")))</f>
        <v/>
      </c>
      <c r="AQ360" s="84" t="str">
        <f aca="false">IF(E360="","",IF(U360="","À SOUDER",IF(X360="","VT EN ATTENTE",IF(X360="R","VT REJETÉ – À REPRENDRE",IF(AP360="","À RADIOGRAPHIER",IF(AP360="A","ACCEPTÉ",IF(AP360="NX","NX – RT À REFAIRE",IF(IF(AO360=1,AD360,IF(AO360=2,AI360,""))="A","RÉPARÉ – À RADIOGRAPHIER",IF(IF(AO360=1,AD360,IF(AO360=2,AI360,""))="R","VT REJETÉ – À REPRENDRE",IF(OR(AP360="CO",AP360="NT"),"COUPE – À RESOUDER","À RÉPARER"))))))))))</f>
        <v>À SOUDER</v>
      </c>
      <c r="AR360" s="82" t="str">
        <f aca="false">IF(AND(ISNUMBER(U360),OR(AQ360="À RADIOGRAPHIER",AQ360="RÉPARÉ – À RADIOGRAPHIER",AQ360="NX – RT À REFAIRE",AQ360="À RÉPARER",AQ360="COUPE – À RESOUDER",AQ360="VT REJETÉ – À REPRENDRE")),MAX(0,'PROGRAMME RT'!$C$4-U360),"")</f>
        <v/>
      </c>
      <c r="AS360" s="82" t="n">
        <f aca="false">IF(AND(OR(AQ360="À RADIOGRAPHIER",AQ360="RÉPARÉ – À RADIOGRAPHIER",AQ360="NX – RT À REFAIRE"),OR('PROGRAMME RT'!$D$5="TOUTES",B360='PROGRAMME RT'!$D$5)),1,0)</f>
        <v>0</v>
      </c>
      <c r="AT360" s="82" t="str">
        <f aca="false">IF(AS360=1,SUM(AS$7:AS360),"")</f>
        <v/>
      </c>
      <c r="AU360" s="82" t="n">
        <f aca="false">IF(AND(OR(AA360="R",AA360="NX",AA360="NT",AA360="CO"),OR('JOINTS DE RÉPARATION'!$D$5="TOUTES",B360='JOINTS DE RÉPARATION'!$D$5),OR('JOINTS DE RÉPARATION'!$L$4="TOUS",AQ360&lt;&gt;"ACCEPTÉ")),1,0)</f>
        <v>0</v>
      </c>
      <c r="AV360" s="82" t="str">
        <f aca="false">IF(AU360=1,SUM(AU$7:AU360),"")</f>
        <v/>
      </c>
      <c r="AW360" s="82" t="str">
        <f aca="false">IF(E360="","",B360&amp;"|"&amp;E360)</f>
        <v>MFD-ISW → MFD-CPF|JN°354</v>
      </c>
    </row>
    <row r="361" customFormat="false" ht="74.6" hidden="false" customHeight="false" outlineLevel="0" collapsed="false">
      <c r="A361" s="79" t="n">
        <f aca="false">IF(E361="","",ROW()-6)</f>
        <v>355</v>
      </c>
      <c r="B361" s="80" t="s">
        <v>110</v>
      </c>
      <c r="C361" s="81"/>
      <c r="D361" s="81"/>
      <c r="E361" s="81" t="s">
        <v>465</v>
      </c>
      <c r="F361" s="82" t="str">
        <f aca="false">IF(E361="","",IF(LEFT(E361,2)="DJ","DJ","JN"))</f>
        <v>JN</v>
      </c>
      <c r="G361" s="81"/>
      <c r="H361" s="81"/>
      <c r="I361" s="81"/>
      <c r="J361" s="81"/>
      <c r="K361" s="81"/>
      <c r="L361" s="81"/>
      <c r="M361" s="81"/>
      <c r="N361" s="81"/>
      <c r="O361" s="81"/>
      <c r="P361" s="81"/>
      <c r="Q361" s="81"/>
      <c r="R361" s="81"/>
      <c r="S361" s="81"/>
      <c r="T361" s="81"/>
      <c r="U361" s="83"/>
      <c r="V361" s="83"/>
      <c r="W361" s="81"/>
      <c r="X361" s="81"/>
      <c r="Y361" s="83"/>
      <c r="Z361" s="81"/>
      <c r="AA361" s="81"/>
      <c r="AB361" s="81"/>
      <c r="AC361" s="81"/>
      <c r="AD361" s="81"/>
      <c r="AE361" s="83"/>
      <c r="AF361" s="81"/>
      <c r="AG361" s="81"/>
      <c r="AH361" s="81"/>
      <c r="AI361" s="81"/>
      <c r="AJ361" s="83"/>
      <c r="AK361" s="81"/>
      <c r="AL361" s="81"/>
      <c r="AM361" s="83"/>
      <c r="AN361" s="80"/>
      <c r="AO361" s="82" t="n">
        <f aca="false">IF(E361="","",(AA361&lt;&gt;"")+(AG361&lt;&gt;"")+(AL361&lt;&gt;""))</f>
        <v>0</v>
      </c>
      <c r="AP361" s="82" t="str">
        <f aca="false">IF(AL361&lt;&gt;"",AL361,IF(AG361&lt;&gt;"",AG361,IF(AA361&lt;&gt;"",AA361,"")))</f>
        <v/>
      </c>
      <c r="AQ361" s="84" t="str">
        <f aca="false">IF(E361="","",IF(U361="","À SOUDER",IF(X361="","VT EN ATTENTE",IF(X361="R","VT REJETÉ – À REPRENDRE",IF(AP361="","À RADIOGRAPHIER",IF(AP361="A","ACCEPTÉ",IF(AP361="NX","NX – RT À REFAIRE",IF(IF(AO361=1,AD361,IF(AO361=2,AI361,""))="A","RÉPARÉ – À RADIOGRAPHIER",IF(IF(AO361=1,AD361,IF(AO361=2,AI361,""))="R","VT REJETÉ – À REPRENDRE",IF(OR(AP361="CO",AP361="NT"),"COUPE – À RESOUDER","À RÉPARER"))))))))))</f>
        <v>À SOUDER</v>
      </c>
      <c r="AR361" s="82" t="str">
        <f aca="false">IF(AND(ISNUMBER(U361),OR(AQ361="À RADIOGRAPHIER",AQ361="RÉPARÉ – À RADIOGRAPHIER",AQ361="NX – RT À REFAIRE",AQ361="À RÉPARER",AQ361="COUPE – À RESOUDER",AQ361="VT REJETÉ – À REPRENDRE")),MAX(0,'PROGRAMME RT'!$C$4-U361),"")</f>
        <v/>
      </c>
      <c r="AS361" s="82" t="n">
        <f aca="false">IF(AND(OR(AQ361="À RADIOGRAPHIER",AQ361="RÉPARÉ – À RADIOGRAPHIER",AQ361="NX – RT À REFAIRE"),OR('PROGRAMME RT'!$D$5="TOUTES",B361='PROGRAMME RT'!$D$5)),1,0)</f>
        <v>0</v>
      </c>
      <c r="AT361" s="82" t="str">
        <f aca="false">IF(AS361=1,SUM(AS$7:AS361),"")</f>
        <v/>
      </c>
      <c r="AU361" s="82" t="n">
        <f aca="false">IF(AND(OR(AA361="R",AA361="NX",AA361="NT",AA361="CO"),OR('JOINTS DE RÉPARATION'!$D$5="TOUTES",B361='JOINTS DE RÉPARATION'!$D$5),OR('JOINTS DE RÉPARATION'!$L$4="TOUS",AQ361&lt;&gt;"ACCEPTÉ")),1,0)</f>
        <v>0</v>
      </c>
      <c r="AV361" s="82" t="str">
        <f aca="false">IF(AU361=1,SUM(AU$7:AU361),"")</f>
        <v/>
      </c>
      <c r="AW361" s="82" t="str">
        <f aca="false">IF(E361="","",B361&amp;"|"&amp;E361)</f>
        <v>MFD-ISW → MFD-CPF|JN°355</v>
      </c>
    </row>
    <row r="362" customFormat="false" ht="74.6" hidden="false" customHeight="false" outlineLevel="0" collapsed="false">
      <c r="A362" s="79" t="n">
        <f aca="false">IF(E362="","",ROW()-6)</f>
        <v>356</v>
      </c>
      <c r="B362" s="80" t="s">
        <v>110</v>
      </c>
      <c r="C362" s="81"/>
      <c r="D362" s="81"/>
      <c r="E362" s="81" t="s">
        <v>466</v>
      </c>
      <c r="F362" s="82" t="str">
        <f aca="false">IF(E362="","",IF(LEFT(E362,2)="DJ","DJ","JN"))</f>
        <v>JN</v>
      </c>
      <c r="G362" s="81"/>
      <c r="H362" s="81"/>
      <c r="I362" s="81"/>
      <c r="J362" s="81"/>
      <c r="K362" s="81"/>
      <c r="L362" s="81"/>
      <c r="M362" s="81"/>
      <c r="N362" s="81"/>
      <c r="O362" s="81"/>
      <c r="P362" s="81"/>
      <c r="Q362" s="81"/>
      <c r="R362" s="81"/>
      <c r="S362" s="81"/>
      <c r="T362" s="81"/>
      <c r="U362" s="83"/>
      <c r="V362" s="83"/>
      <c r="W362" s="81"/>
      <c r="X362" s="81"/>
      <c r="Y362" s="83"/>
      <c r="Z362" s="81"/>
      <c r="AA362" s="81"/>
      <c r="AB362" s="81"/>
      <c r="AC362" s="81"/>
      <c r="AD362" s="81"/>
      <c r="AE362" s="83"/>
      <c r="AF362" s="81"/>
      <c r="AG362" s="81"/>
      <c r="AH362" s="81"/>
      <c r="AI362" s="81"/>
      <c r="AJ362" s="83"/>
      <c r="AK362" s="81"/>
      <c r="AL362" s="81"/>
      <c r="AM362" s="83"/>
      <c r="AN362" s="80"/>
      <c r="AO362" s="82" t="n">
        <f aca="false">IF(E362="","",(AA362&lt;&gt;"")+(AG362&lt;&gt;"")+(AL362&lt;&gt;""))</f>
        <v>0</v>
      </c>
      <c r="AP362" s="82" t="str">
        <f aca="false">IF(AL362&lt;&gt;"",AL362,IF(AG362&lt;&gt;"",AG362,IF(AA362&lt;&gt;"",AA362,"")))</f>
        <v/>
      </c>
      <c r="AQ362" s="84" t="str">
        <f aca="false">IF(E362="","",IF(U362="","À SOUDER",IF(X362="","VT EN ATTENTE",IF(X362="R","VT REJETÉ – À REPRENDRE",IF(AP362="","À RADIOGRAPHIER",IF(AP362="A","ACCEPTÉ",IF(AP362="NX","NX – RT À REFAIRE",IF(IF(AO362=1,AD362,IF(AO362=2,AI362,""))="A","RÉPARÉ – À RADIOGRAPHIER",IF(IF(AO362=1,AD362,IF(AO362=2,AI362,""))="R","VT REJETÉ – À REPRENDRE",IF(OR(AP362="CO",AP362="NT"),"COUPE – À RESOUDER","À RÉPARER"))))))))))</f>
        <v>À SOUDER</v>
      </c>
      <c r="AR362" s="82" t="str">
        <f aca="false">IF(AND(ISNUMBER(U362),OR(AQ362="À RADIOGRAPHIER",AQ362="RÉPARÉ – À RADIOGRAPHIER",AQ362="NX – RT À REFAIRE",AQ362="À RÉPARER",AQ362="COUPE – À RESOUDER",AQ362="VT REJETÉ – À REPRENDRE")),MAX(0,'PROGRAMME RT'!$C$4-U362),"")</f>
        <v/>
      </c>
      <c r="AS362" s="82" t="n">
        <f aca="false">IF(AND(OR(AQ362="À RADIOGRAPHIER",AQ362="RÉPARÉ – À RADIOGRAPHIER",AQ362="NX – RT À REFAIRE"),OR('PROGRAMME RT'!$D$5="TOUTES",B362='PROGRAMME RT'!$D$5)),1,0)</f>
        <v>0</v>
      </c>
      <c r="AT362" s="82" t="str">
        <f aca="false">IF(AS362=1,SUM(AS$7:AS362),"")</f>
        <v/>
      </c>
      <c r="AU362" s="82" t="n">
        <f aca="false">IF(AND(OR(AA362="R",AA362="NX",AA362="NT",AA362="CO"),OR('JOINTS DE RÉPARATION'!$D$5="TOUTES",B362='JOINTS DE RÉPARATION'!$D$5),OR('JOINTS DE RÉPARATION'!$L$4="TOUS",AQ362&lt;&gt;"ACCEPTÉ")),1,0)</f>
        <v>0</v>
      </c>
      <c r="AV362" s="82" t="str">
        <f aca="false">IF(AU362=1,SUM(AU$7:AU362),"")</f>
        <v/>
      </c>
      <c r="AW362" s="82" t="str">
        <f aca="false">IF(E362="","",B362&amp;"|"&amp;E362)</f>
        <v>MFD-ISW → MFD-CPF|JN°356</v>
      </c>
    </row>
    <row r="363" customFormat="false" ht="74.6" hidden="false" customHeight="false" outlineLevel="0" collapsed="false">
      <c r="A363" s="79" t="n">
        <f aca="false">IF(E363="","",ROW()-6)</f>
        <v>357</v>
      </c>
      <c r="B363" s="80" t="s">
        <v>110</v>
      </c>
      <c r="C363" s="81"/>
      <c r="D363" s="81"/>
      <c r="E363" s="81" t="s">
        <v>467</v>
      </c>
      <c r="F363" s="82" t="str">
        <f aca="false">IF(E363="","",IF(LEFT(E363,2)="DJ","DJ","JN"))</f>
        <v>JN</v>
      </c>
      <c r="G363" s="81"/>
      <c r="H363" s="81"/>
      <c r="I363" s="81"/>
      <c r="J363" s="81"/>
      <c r="K363" s="81"/>
      <c r="L363" s="81"/>
      <c r="M363" s="81"/>
      <c r="N363" s="81"/>
      <c r="O363" s="81"/>
      <c r="P363" s="81"/>
      <c r="Q363" s="81"/>
      <c r="R363" s="81"/>
      <c r="S363" s="81"/>
      <c r="T363" s="81"/>
      <c r="U363" s="83"/>
      <c r="V363" s="83"/>
      <c r="W363" s="81"/>
      <c r="X363" s="81"/>
      <c r="Y363" s="83"/>
      <c r="Z363" s="81"/>
      <c r="AA363" s="81"/>
      <c r="AB363" s="81"/>
      <c r="AC363" s="81"/>
      <c r="AD363" s="81"/>
      <c r="AE363" s="83"/>
      <c r="AF363" s="81"/>
      <c r="AG363" s="81"/>
      <c r="AH363" s="81"/>
      <c r="AI363" s="81"/>
      <c r="AJ363" s="83"/>
      <c r="AK363" s="81"/>
      <c r="AL363" s="81"/>
      <c r="AM363" s="83"/>
      <c r="AN363" s="80"/>
      <c r="AO363" s="82" t="n">
        <f aca="false">IF(E363="","",(AA363&lt;&gt;"")+(AG363&lt;&gt;"")+(AL363&lt;&gt;""))</f>
        <v>0</v>
      </c>
      <c r="AP363" s="82" t="str">
        <f aca="false">IF(AL363&lt;&gt;"",AL363,IF(AG363&lt;&gt;"",AG363,IF(AA363&lt;&gt;"",AA363,"")))</f>
        <v/>
      </c>
      <c r="AQ363" s="84" t="str">
        <f aca="false">IF(E363="","",IF(U363="","À SOUDER",IF(X363="","VT EN ATTENTE",IF(X363="R","VT REJETÉ – À REPRENDRE",IF(AP363="","À RADIOGRAPHIER",IF(AP363="A","ACCEPTÉ",IF(AP363="NX","NX – RT À REFAIRE",IF(IF(AO363=1,AD363,IF(AO363=2,AI363,""))="A","RÉPARÉ – À RADIOGRAPHIER",IF(IF(AO363=1,AD363,IF(AO363=2,AI363,""))="R","VT REJETÉ – À REPRENDRE",IF(OR(AP363="CO",AP363="NT"),"COUPE – À RESOUDER","À RÉPARER"))))))))))</f>
        <v>À SOUDER</v>
      </c>
      <c r="AR363" s="82" t="str">
        <f aca="false">IF(AND(ISNUMBER(U363),OR(AQ363="À RADIOGRAPHIER",AQ363="RÉPARÉ – À RADIOGRAPHIER",AQ363="NX – RT À REFAIRE",AQ363="À RÉPARER",AQ363="COUPE – À RESOUDER",AQ363="VT REJETÉ – À REPRENDRE")),MAX(0,'PROGRAMME RT'!$C$4-U363),"")</f>
        <v/>
      </c>
      <c r="AS363" s="82" t="n">
        <f aca="false">IF(AND(OR(AQ363="À RADIOGRAPHIER",AQ363="RÉPARÉ – À RADIOGRAPHIER",AQ363="NX – RT À REFAIRE"),OR('PROGRAMME RT'!$D$5="TOUTES",B363='PROGRAMME RT'!$D$5)),1,0)</f>
        <v>0</v>
      </c>
      <c r="AT363" s="82" t="str">
        <f aca="false">IF(AS363=1,SUM(AS$7:AS363),"")</f>
        <v/>
      </c>
      <c r="AU363" s="82" t="n">
        <f aca="false">IF(AND(OR(AA363="R",AA363="NX",AA363="NT",AA363="CO"),OR('JOINTS DE RÉPARATION'!$D$5="TOUTES",B363='JOINTS DE RÉPARATION'!$D$5),OR('JOINTS DE RÉPARATION'!$L$4="TOUS",AQ363&lt;&gt;"ACCEPTÉ")),1,0)</f>
        <v>0</v>
      </c>
      <c r="AV363" s="82" t="str">
        <f aca="false">IF(AU363=1,SUM(AU$7:AU363),"")</f>
        <v/>
      </c>
      <c r="AW363" s="82" t="str">
        <f aca="false">IF(E363="","",B363&amp;"|"&amp;E363)</f>
        <v>MFD-ISW → MFD-CPF|JN°357</v>
      </c>
    </row>
    <row r="364" customFormat="false" ht="74.6" hidden="false" customHeight="false" outlineLevel="0" collapsed="false">
      <c r="A364" s="79" t="n">
        <f aca="false">IF(E364="","",ROW()-6)</f>
        <v>358</v>
      </c>
      <c r="B364" s="80" t="s">
        <v>110</v>
      </c>
      <c r="C364" s="81"/>
      <c r="D364" s="81"/>
      <c r="E364" s="81" t="s">
        <v>468</v>
      </c>
      <c r="F364" s="82" t="str">
        <f aca="false">IF(E364="","",IF(LEFT(E364,2)="DJ","DJ","JN"))</f>
        <v>JN</v>
      </c>
      <c r="G364" s="81"/>
      <c r="H364" s="81"/>
      <c r="I364" s="81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U364" s="83"/>
      <c r="V364" s="83"/>
      <c r="W364" s="81"/>
      <c r="X364" s="81"/>
      <c r="Y364" s="83"/>
      <c r="Z364" s="81"/>
      <c r="AA364" s="81"/>
      <c r="AB364" s="81"/>
      <c r="AC364" s="81"/>
      <c r="AD364" s="81"/>
      <c r="AE364" s="83"/>
      <c r="AF364" s="81"/>
      <c r="AG364" s="81"/>
      <c r="AH364" s="81"/>
      <c r="AI364" s="81"/>
      <c r="AJ364" s="83"/>
      <c r="AK364" s="81"/>
      <c r="AL364" s="81"/>
      <c r="AM364" s="83"/>
      <c r="AN364" s="80"/>
      <c r="AO364" s="82" t="n">
        <f aca="false">IF(E364="","",(AA364&lt;&gt;"")+(AG364&lt;&gt;"")+(AL364&lt;&gt;""))</f>
        <v>0</v>
      </c>
      <c r="AP364" s="82" t="str">
        <f aca="false">IF(AL364&lt;&gt;"",AL364,IF(AG364&lt;&gt;"",AG364,IF(AA364&lt;&gt;"",AA364,"")))</f>
        <v/>
      </c>
      <c r="AQ364" s="84" t="str">
        <f aca="false">IF(E364="","",IF(U364="","À SOUDER",IF(X364="","VT EN ATTENTE",IF(X364="R","VT REJETÉ – À REPRENDRE",IF(AP364="","À RADIOGRAPHIER",IF(AP364="A","ACCEPTÉ",IF(AP364="NX","NX – RT À REFAIRE",IF(IF(AO364=1,AD364,IF(AO364=2,AI364,""))="A","RÉPARÉ – À RADIOGRAPHIER",IF(IF(AO364=1,AD364,IF(AO364=2,AI364,""))="R","VT REJETÉ – À REPRENDRE",IF(OR(AP364="CO",AP364="NT"),"COUPE – À RESOUDER","À RÉPARER"))))))))))</f>
        <v>À SOUDER</v>
      </c>
      <c r="AR364" s="82" t="str">
        <f aca="false">IF(AND(ISNUMBER(U364),OR(AQ364="À RADIOGRAPHIER",AQ364="RÉPARÉ – À RADIOGRAPHIER",AQ364="NX – RT À REFAIRE",AQ364="À RÉPARER",AQ364="COUPE – À RESOUDER",AQ364="VT REJETÉ – À REPRENDRE")),MAX(0,'PROGRAMME RT'!$C$4-U364),"")</f>
        <v/>
      </c>
      <c r="AS364" s="82" t="n">
        <f aca="false">IF(AND(OR(AQ364="À RADIOGRAPHIER",AQ364="RÉPARÉ – À RADIOGRAPHIER",AQ364="NX – RT À REFAIRE"),OR('PROGRAMME RT'!$D$5="TOUTES",B364='PROGRAMME RT'!$D$5)),1,0)</f>
        <v>0</v>
      </c>
      <c r="AT364" s="82" t="str">
        <f aca="false">IF(AS364=1,SUM(AS$7:AS364),"")</f>
        <v/>
      </c>
      <c r="AU364" s="82" t="n">
        <f aca="false">IF(AND(OR(AA364="R",AA364="NX",AA364="NT",AA364="CO"),OR('JOINTS DE RÉPARATION'!$D$5="TOUTES",B364='JOINTS DE RÉPARATION'!$D$5),OR('JOINTS DE RÉPARATION'!$L$4="TOUS",AQ364&lt;&gt;"ACCEPTÉ")),1,0)</f>
        <v>0</v>
      </c>
      <c r="AV364" s="82" t="str">
        <f aca="false">IF(AU364=1,SUM(AU$7:AU364),"")</f>
        <v/>
      </c>
      <c r="AW364" s="82" t="str">
        <f aca="false">IF(E364="","",B364&amp;"|"&amp;E364)</f>
        <v>MFD-ISW → MFD-CPF|JN°358</v>
      </c>
    </row>
    <row r="365" customFormat="false" ht="74.6" hidden="false" customHeight="false" outlineLevel="0" collapsed="false">
      <c r="A365" s="79" t="n">
        <f aca="false">IF(E365="","",ROW()-6)</f>
        <v>359</v>
      </c>
      <c r="B365" s="80" t="s">
        <v>110</v>
      </c>
      <c r="C365" s="81"/>
      <c r="D365" s="81"/>
      <c r="E365" s="81" t="s">
        <v>469</v>
      </c>
      <c r="F365" s="82" t="str">
        <f aca="false">IF(E365="","",IF(LEFT(E365,2)="DJ","DJ","JN"))</f>
        <v>JN</v>
      </c>
      <c r="G365" s="81"/>
      <c r="H365" s="81"/>
      <c r="I365" s="81"/>
      <c r="J365" s="81"/>
      <c r="K365" s="81"/>
      <c r="L365" s="81"/>
      <c r="M365" s="81"/>
      <c r="N365" s="81"/>
      <c r="O365" s="81"/>
      <c r="P365" s="81"/>
      <c r="Q365" s="81"/>
      <c r="R365" s="81"/>
      <c r="S365" s="81"/>
      <c r="T365" s="81"/>
      <c r="U365" s="83"/>
      <c r="V365" s="83"/>
      <c r="W365" s="81"/>
      <c r="X365" s="81"/>
      <c r="Y365" s="83"/>
      <c r="Z365" s="81"/>
      <c r="AA365" s="81"/>
      <c r="AB365" s="81"/>
      <c r="AC365" s="81"/>
      <c r="AD365" s="81"/>
      <c r="AE365" s="83"/>
      <c r="AF365" s="81"/>
      <c r="AG365" s="81"/>
      <c r="AH365" s="81"/>
      <c r="AI365" s="81"/>
      <c r="AJ365" s="83"/>
      <c r="AK365" s="81"/>
      <c r="AL365" s="81"/>
      <c r="AM365" s="83"/>
      <c r="AN365" s="80"/>
      <c r="AO365" s="82" t="n">
        <f aca="false">IF(E365="","",(AA365&lt;&gt;"")+(AG365&lt;&gt;"")+(AL365&lt;&gt;""))</f>
        <v>0</v>
      </c>
      <c r="AP365" s="82" t="str">
        <f aca="false">IF(AL365&lt;&gt;"",AL365,IF(AG365&lt;&gt;"",AG365,IF(AA365&lt;&gt;"",AA365,"")))</f>
        <v/>
      </c>
      <c r="AQ365" s="84" t="str">
        <f aca="false">IF(E365="","",IF(U365="","À SOUDER",IF(X365="","VT EN ATTENTE",IF(X365="R","VT REJETÉ – À REPRENDRE",IF(AP365="","À RADIOGRAPHIER",IF(AP365="A","ACCEPTÉ",IF(AP365="NX","NX – RT À REFAIRE",IF(IF(AO365=1,AD365,IF(AO365=2,AI365,""))="A","RÉPARÉ – À RADIOGRAPHIER",IF(IF(AO365=1,AD365,IF(AO365=2,AI365,""))="R","VT REJETÉ – À REPRENDRE",IF(OR(AP365="CO",AP365="NT"),"COUPE – À RESOUDER","À RÉPARER"))))))))))</f>
        <v>À SOUDER</v>
      </c>
      <c r="AR365" s="82" t="str">
        <f aca="false">IF(AND(ISNUMBER(U365),OR(AQ365="À RADIOGRAPHIER",AQ365="RÉPARÉ – À RADIOGRAPHIER",AQ365="NX – RT À REFAIRE",AQ365="À RÉPARER",AQ365="COUPE – À RESOUDER",AQ365="VT REJETÉ – À REPRENDRE")),MAX(0,'PROGRAMME RT'!$C$4-U365),"")</f>
        <v/>
      </c>
      <c r="AS365" s="82" t="n">
        <f aca="false">IF(AND(OR(AQ365="À RADIOGRAPHIER",AQ365="RÉPARÉ – À RADIOGRAPHIER",AQ365="NX – RT À REFAIRE"),OR('PROGRAMME RT'!$D$5="TOUTES",B365='PROGRAMME RT'!$D$5)),1,0)</f>
        <v>0</v>
      </c>
      <c r="AT365" s="82" t="str">
        <f aca="false">IF(AS365=1,SUM(AS$7:AS365),"")</f>
        <v/>
      </c>
      <c r="AU365" s="82" t="n">
        <f aca="false">IF(AND(OR(AA365="R",AA365="NX",AA365="NT",AA365="CO"),OR('JOINTS DE RÉPARATION'!$D$5="TOUTES",B365='JOINTS DE RÉPARATION'!$D$5),OR('JOINTS DE RÉPARATION'!$L$4="TOUS",AQ365&lt;&gt;"ACCEPTÉ")),1,0)</f>
        <v>0</v>
      </c>
      <c r="AV365" s="82" t="str">
        <f aca="false">IF(AU365=1,SUM(AU$7:AU365),"")</f>
        <v/>
      </c>
      <c r="AW365" s="82" t="str">
        <f aca="false">IF(E365="","",B365&amp;"|"&amp;E365)</f>
        <v>MFD-ISW → MFD-CPF|JN°359</v>
      </c>
    </row>
    <row r="366" customFormat="false" ht="74.6" hidden="false" customHeight="false" outlineLevel="0" collapsed="false">
      <c r="A366" s="79" t="n">
        <f aca="false">IF(E366="","",ROW()-6)</f>
        <v>360</v>
      </c>
      <c r="B366" s="80" t="s">
        <v>110</v>
      </c>
      <c r="C366" s="81"/>
      <c r="D366" s="81"/>
      <c r="E366" s="81" t="s">
        <v>470</v>
      </c>
      <c r="F366" s="82" t="str">
        <f aca="false">IF(E366="","",IF(LEFT(E366,2)="DJ","DJ","JN"))</f>
        <v>JN</v>
      </c>
      <c r="G366" s="81"/>
      <c r="H366" s="81"/>
      <c r="I366" s="81"/>
      <c r="J366" s="81"/>
      <c r="K366" s="81"/>
      <c r="L366" s="81"/>
      <c r="M366" s="81"/>
      <c r="N366" s="81"/>
      <c r="O366" s="81"/>
      <c r="P366" s="81"/>
      <c r="Q366" s="81"/>
      <c r="R366" s="81"/>
      <c r="S366" s="81"/>
      <c r="T366" s="81"/>
      <c r="U366" s="83"/>
      <c r="V366" s="83"/>
      <c r="W366" s="81"/>
      <c r="X366" s="81"/>
      <c r="Y366" s="83"/>
      <c r="Z366" s="81"/>
      <c r="AA366" s="81"/>
      <c r="AB366" s="81"/>
      <c r="AC366" s="81"/>
      <c r="AD366" s="81"/>
      <c r="AE366" s="83"/>
      <c r="AF366" s="81"/>
      <c r="AG366" s="81"/>
      <c r="AH366" s="81"/>
      <c r="AI366" s="81"/>
      <c r="AJ366" s="83"/>
      <c r="AK366" s="81"/>
      <c r="AL366" s="81"/>
      <c r="AM366" s="83"/>
      <c r="AN366" s="80"/>
      <c r="AO366" s="82" t="n">
        <f aca="false">IF(E366="","",(AA366&lt;&gt;"")+(AG366&lt;&gt;"")+(AL366&lt;&gt;""))</f>
        <v>0</v>
      </c>
      <c r="AP366" s="82" t="str">
        <f aca="false">IF(AL366&lt;&gt;"",AL366,IF(AG366&lt;&gt;"",AG366,IF(AA366&lt;&gt;"",AA366,"")))</f>
        <v/>
      </c>
      <c r="AQ366" s="84" t="str">
        <f aca="false">IF(E366="","",IF(U366="","À SOUDER",IF(X366="","VT EN ATTENTE",IF(X366="R","VT REJETÉ – À REPRENDRE",IF(AP366="","À RADIOGRAPHIER",IF(AP366="A","ACCEPTÉ",IF(AP366="NX","NX – RT À REFAIRE",IF(IF(AO366=1,AD366,IF(AO366=2,AI366,""))="A","RÉPARÉ – À RADIOGRAPHIER",IF(IF(AO366=1,AD366,IF(AO366=2,AI366,""))="R","VT REJETÉ – À REPRENDRE",IF(OR(AP366="CO",AP366="NT"),"COUPE – À RESOUDER","À RÉPARER"))))))))))</f>
        <v>À SOUDER</v>
      </c>
      <c r="AR366" s="82" t="str">
        <f aca="false">IF(AND(ISNUMBER(U366),OR(AQ366="À RADIOGRAPHIER",AQ366="RÉPARÉ – À RADIOGRAPHIER",AQ366="NX – RT À REFAIRE",AQ366="À RÉPARER",AQ366="COUPE – À RESOUDER",AQ366="VT REJETÉ – À REPRENDRE")),MAX(0,'PROGRAMME RT'!$C$4-U366),"")</f>
        <v/>
      </c>
      <c r="AS366" s="82" t="n">
        <f aca="false">IF(AND(OR(AQ366="À RADIOGRAPHIER",AQ366="RÉPARÉ – À RADIOGRAPHIER",AQ366="NX – RT À REFAIRE"),OR('PROGRAMME RT'!$D$5="TOUTES",B366='PROGRAMME RT'!$D$5)),1,0)</f>
        <v>0</v>
      </c>
      <c r="AT366" s="82" t="str">
        <f aca="false">IF(AS366=1,SUM(AS$7:AS366),"")</f>
        <v/>
      </c>
      <c r="AU366" s="82" t="n">
        <f aca="false">IF(AND(OR(AA366="R",AA366="NX",AA366="NT",AA366="CO"),OR('JOINTS DE RÉPARATION'!$D$5="TOUTES",B366='JOINTS DE RÉPARATION'!$D$5),OR('JOINTS DE RÉPARATION'!$L$4="TOUS",AQ366&lt;&gt;"ACCEPTÉ")),1,0)</f>
        <v>0</v>
      </c>
      <c r="AV366" s="82" t="str">
        <f aca="false">IF(AU366=1,SUM(AU$7:AU366),"")</f>
        <v/>
      </c>
      <c r="AW366" s="82" t="str">
        <f aca="false">IF(E366="","",B366&amp;"|"&amp;E366)</f>
        <v>MFD-ISW → MFD-CPF|JN°360</v>
      </c>
    </row>
    <row r="367" customFormat="false" ht="74.6" hidden="false" customHeight="false" outlineLevel="0" collapsed="false">
      <c r="A367" s="79" t="n">
        <f aca="false">IF(E367="","",ROW()-6)</f>
        <v>361</v>
      </c>
      <c r="B367" s="80" t="s">
        <v>110</v>
      </c>
      <c r="C367" s="81"/>
      <c r="D367" s="81"/>
      <c r="E367" s="81" t="s">
        <v>471</v>
      </c>
      <c r="F367" s="82" t="str">
        <f aca="false">IF(E367="","",IF(LEFT(E367,2)="DJ","DJ","JN"))</f>
        <v>JN</v>
      </c>
      <c r="G367" s="81"/>
      <c r="H367" s="81"/>
      <c r="I367" s="81"/>
      <c r="J367" s="81"/>
      <c r="K367" s="81"/>
      <c r="L367" s="81"/>
      <c r="M367" s="81"/>
      <c r="N367" s="81"/>
      <c r="O367" s="81"/>
      <c r="P367" s="81"/>
      <c r="Q367" s="81"/>
      <c r="R367" s="81"/>
      <c r="S367" s="81"/>
      <c r="T367" s="81"/>
      <c r="U367" s="83"/>
      <c r="V367" s="83"/>
      <c r="W367" s="81"/>
      <c r="X367" s="81"/>
      <c r="Y367" s="83"/>
      <c r="Z367" s="81"/>
      <c r="AA367" s="81"/>
      <c r="AB367" s="81"/>
      <c r="AC367" s="81"/>
      <c r="AD367" s="81"/>
      <c r="AE367" s="83"/>
      <c r="AF367" s="81"/>
      <c r="AG367" s="81"/>
      <c r="AH367" s="81"/>
      <c r="AI367" s="81"/>
      <c r="AJ367" s="83"/>
      <c r="AK367" s="81"/>
      <c r="AL367" s="81"/>
      <c r="AM367" s="83"/>
      <c r="AN367" s="80"/>
      <c r="AO367" s="82" t="n">
        <f aca="false">IF(E367="","",(AA367&lt;&gt;"")+(AG367&lt;&gt;"")+(AL367&lt;&gt;""))</f>
        <v>0</v>
      </c>
      <c r="AP367" s="82" t="str">
        <f aca="false">IF(AL367&lt;&gt;"",AL367,IF(AG367&lt;&gt;"",AG367,IF(AA367&lt;&gt;"",AA367,"")))</f>
        <v/>
      </c>
      <c r="AQ367" s="84" t="str">
        <f aca="false">IF(E367="","",IF(U367="","À SOUDER",IF(X367="","VT EN ATTENTE",IF(X367="R","VT REJETÉ – À REPRENDRE",IF(AP367="","À RADIOGRAPHIER",IF(AP367="A","ACCEPTÉ",IF(AP367="NX","NX – RT À REFAIRE",IF(IF(AO367=1,AD367,IF(AO367=2,AI367,""))="A","RÉPARÉ – À RADIOGRAPHIER",IF(IF(AO367=1,AD367,IF(AO367=2,AI367,""))="R","VT REJETÉ – À REPRENDRE",IF(OR(AP367="CO",AP367="NT"),"COUPE – À RESOUDER","À RÉPARER"))))))))))</f>
        <v>À SOUDER</v>
      </c>
      <c r="AR367" s="82" t="str">
        <f aca="false">IF(AND(ISNUMBER(U367),OR(AQ367="À RADIOGRAPHIER",AQ367="RÉPARÉ – À RADIOGRAPHIER",AQ367="NX – RT À REFAIRE",AQ367="À RÉPARER",AQ367="COUPE – À RESOUDER",AQ367="VT REJETÉ – À REPRENDRE")),MAX(0,'PROGRAMME RT'!$C$4-U367),"")</f>
        <v/>
      </c>
      <c r="AS367" s="82" t="n">
        <f aca="false">IF(AND(OR(AQ367="À RADIOGRAPHIER",AQ367="RÉPARÉ – À RADIOGRAPHIER",AQ367="NX – RT À REFAIRE"),OR('PROGRAMME RT'!$D$5="TOUTES",B367='PROGRAMME RT'!$D$5)),1,0)</f>
        <v>0</v>
      </c>
      <c r="AT367" s="82" t="str">
        <f aca="false">IF(AS367=1,SUM(AS$7:AS367),"")</f>
        <v/>
      </c>
      <c r="AU367" s="82" t="n">
        <f aca="false">IF(AND(OR(AA367="R",AA367="NX",AA367="NT",AA367="CO"),OR('JOINTS DE RÉPARATION'!$D$5="TOUTES",B367='JOINTS DE RÉPARATION'!$D$5),OR('JOINTS DE RÉPARATION'!$L$4="TOUS",AQ367&lt;&gt;"ACCEPTÉ")),1,0)</f>
        <v>0</v>
      </c>
      <c r="AV367" s="82" t="str">
        <f aca="false">IF(AU367=1,SUM(AU$7:AU367),"")</f>
        <v/>
      </c>
      <c r="AW367" s="82" t="str">
        <f aca="false">IF(E367="","",B367&amp;"|"&amp;E367)</f>
        <v>MFD-ISW → MFD-CPF|JN°361</v>
      </c>
    </row>
    <row r="368" customFormat="false" ht="74.6" hidden="false" customHeight="false" outlineLevel="0" collapsed="false">
      <c r="A368" s="79" t="n">
        <f aca="false">IF(E368="","",ROW()-6)</f>
        <v>362</v>
      </c>
      <c r="B368" s="80" t="s">
        <v>110</v>
      </c>
      <c r="C368" s="81"/>
      <c r="D368" s="81"/>
      <c r="E368" s="81" t="s">
        <v>472</v>
      </c>
      <c r="F368" s="82" t="str">
        <f aca="false">IF(E368="","",IF(LEFT(E368,2)="DJ","DJ","JN"))</f>
        <v>JN</v>
      </c>
      <c r="G368" s="81"/>
      <c r="H368" s="81"/>
      <c r="I368" s="81"/>
      <c r="J368" s="81"/>
      <c r="K368" s="81"/>
      <c r="L368" s="81"/>
      <c r="M368" s="81"/>
      <c r="N368" s="81"/>
      <c r="O368" s="81"/>
      <c r="P368" s="81"/>
      <c r="Q368" s="81"/>
      <c r="R368" s="81"/>
      <c r="S368" s="81"/>
      <c r="T368" s="81"/>
      <c r="U368" s="83"/>
      <c r="V368" s="83"/>
      <c r="W368" s="81"/>
      <c r="X368" s="81"/>
      <c r="Y368" s="83"/>
      <c r="Z368" s="81"/>
      <c r="AA368" s="81"/>
      <c r="AB368" s="81"/>
      <c r="AC368" s="81"/>
      <c r="AD368" s="81"/>
      <c r="AE368" s="83"/>
      <c r="AF368" s="81"/>
      <c r="AG368" s="81"/>
      <c r="AH368" s="81"/>
      <c r="AI368" s="81"/>
      <c r="AJ368" s="83"/>
      <c r="AK368" s="81"/>
      <c r="AL368" s="81"/>
      <c r="AM368" s="83"/>
      <c r="AN368" s="80"/>
      <c r="AO368" s="82" t="n">
        <f aca="false">IF(E368="","",(AA368&lt;&gt;"")+(AG368&lt;&gt;"")+(AL368&lt;&gt;""))</f>
        <v>0</v>
      </c>
      <c r="AP368" s="82" t="str">
        <f aca="false">IF(AL368&lt;&gt;"",AL368,IF(AG368&lt;&gt;"",AG368,IF(AA368&lt;&gt;"",AA368,"")))</f>
        <v/>
      </c>
      <c r="AQ368" s="84" t="str">
        <f aca="false">IF(E368="","",IF(U368="","À SOUDER",IF(X368="","VT EN ATTENTE",IF(X368="R","VT REJETÉ – À REPRENDRE",IF(AP368="","À RADIOGRAPHIER",IF(AP368="A","ACCEPTÉ",IF(AP368="NX","NX – RT À REFAIRE",IF(IF(AO368=1,AD368,IF(AO368=2,AI368,""))="A","RÉPARÉ – À RADIOGRAPHIER",IF(IF(AO368=1,AD368,IF(AO368=2,AI368,""))="R","VT REJETÉ – À REPRENDRE",IF(OR(AP368="CO",AP368="NT"),"COUPE – À RESOUDER","À RÉPARER"))))))))))</f>
        <v>À SOUDER</v>
      </c>
      <c r="AR368" s="82" t="str">
        <f aca="false">IF(AND(ISNUMBER(U368),OR(AQ368="À RADIOGRAPHIER",AQ368="RÉPARÉ – À RADIOGRAPHIER",AQ368="NX – RT À REFAIRE",AQ368="À RÉPARER",AQ368="COUPE – À RESOUDER",AQ368="VT REJETÉ – À REPRENDRE")),MAX(0,'PROGRAMME RT'!$C$4-U368),"")</f>
        <v/>
      </c>
      <c r="AS368" s="82" t="n">
        <f aca="false">IF(AND(OR(AQ368="À RADIOGRAPHIER",AQ368="RÉPARÉ – À RADIOGRAPHIER",AQ368="NX – RT À REFAIRE"),OR('PROGRAMME RT'!$D$5="TOUTES",B368='PROGRAMME RT'!$D$5)),1,0)</f>
        <v>0</v>
      </c>
      <c r="AT368" s="82" t="str">
        <f aca="false">IF(AS368=1,SUM(AS$7:AS368),"")</f>
        <v/>
      </c>
      <c r="AU368" s="82" t="n">
        <f aca="false">IF(AND(OR(AA368="R",AA368="NX",AA368="NT",AA368="CO"),OR('JOINTS DE RÉPARATION'!$D$5="TOUTES",B368='JOINTS DE RÉPARATION'!$D$5),OR('JOINTS DE RÉPARATION'!$L$4="TOUS",AQ368&lt;&gt;"ACCEPTÉ")),1,0)</f>
        <v>0</v>
      </c>
      <c r="AV368" s="82" t="str">
        <f aca="false">IF(AU368=1,SUM(AU$7:AU368),"")</f>
        <v/>
      </c>
      <c r="AW368" s="82" t="str">
        <f aca="false">IF(E368="","",B368&amp;"|"&amp;E368)</f>
        <v>MFD-ISW → MFD-CPF|JN°362</v>
      </c>
    </row>
    <row r="369" customFormat="false" ht="74.6" hidden="false" customHeight="false" outlineLevel="0" collapsed="false">
      <c r="A369" s="79" t="n">
        <f aca="false">IF(E369="","",ROW()-6)</f>
        <v>363</v>
      </c>
      <c r="B369" s="80" t="s">
        <v>110</v>
      </c>
      <c r="C369" s="81"/>
      <c r="D369" s="81"/>
      <c r="E369" s="81" t="s">
        <v>473</v>
      </c>
      <c r="F369" s="82" t="str">
        <f aca="false">IF(E369="","",IF(LEFT(E369,2)="DJ","DJ","JN"))</f>
        <v>JN</v>
      </c>
      <c r="G369" s="81"/>
      <c r="H369" s="81"/>
      <c r="I369" s="81"/>
      <c r="J369" s="81"/>
      <c r="K369" s="81"/>
      <c r="L369" s="81"/>
      <c r="M369" s="81"/>
      <c r="N369" s="81"/>
      <c r="O369" s="81"/>
      <c r="P369" s="81"/>
      <c r="Q369" s="81"/>
      <c r="R369" s="81"/>
      <c r="S369" s="81"/>
      <c r="T369" s="81"/>
      <c r="U369" s="83"/>
      <c r="V369" s="83"/>
      <c r="W369" s="81"/>
      <c r="X369" s="81"/>
      <c r="Y369" s="83"/>
      <c r="Z369" s="81"/>
      <c r="AA369" s="81"/>
      <c r="AB369" s="81"/>
      <c r="AC369" s="81"/>
      <c r="AD369" s="81"/>
      <c r="AE369" s="83"/>
      <c r="AF369" s="81"/>
      <c r="AG369" s="81"/>
      <c r="AH369" s="81"/>
      <c r="AI369" s="81"/>
      <c r="AJ369" s="83"/>
      <c r="AK369" s="81"/>
      <c r="AL369" s="81"/>
      <c r="AM369" s="83"/>
      <c r="AN369" s="80"/>
      <c r="AO369" s="82" t="n">
        <f aca="false">IF(E369="","",(AA369&lt;&gt;"")+(AG369&lt;&gt;"")+(AL369&lt;&gt;""))</f>
        <v>0</v>
      </c>
      <c r="AP369" s="82" t="str">
        <f aca="false">IF(AL369&lt;&gt;"",AL369,IF(AG369&lt;&gt;"",AG369,IF(AA369&lt;&gt;"",AA369,"")))</f>
        <v/>
      </c>
      <c r="AQ369" s="84" t="str">
        <f aca="false">IF(E369="","",IF(U369="","À SOUDER",IF(X369="","VT EN ATTENTE",IF(X369="R","VT REJETÉ – À REPRENDRE",IF(AP369="","À RADIOGRAPHIER",IF(AP369="A","ACCEPTÉ",IF(AP369="NX","NX – RT À REFAIRE",IF(IF(AO369=1,AD369,IF(AO369=2,AI369,""))="A","RÉPARÉ – À RADIOGRAPHIER",IF(IF(AO369=1,AD369,IF(AO369=2,AI369,""))="R","VT REJETÉ – À REPRENDRE",IF(OR(AP369="CO",AP369="NT"),"COUPE – À RESOUDER","À RÉPARER"))))))))))</f>
        <v>À SOUDER</v>
      </c>
      <c r="AR369" s="82" t="str">
        <f aca="false">IF(AND(ISNUMBER(U369),OR(AQ369="À RADIOGRAPHIER",AQ369="RÉPARÉ – À RADIOGRAPHIER",AQ369="NX – RT À REFAIRE",AQ369="À RÉPARER",AQ369="COUPE – À RESOUDER",AQ369="VT REJETÉ – À REPRENDRE")),MAX(0,'PROGRAMME RT'!$C$4-U369),"")</f>
        <v/>
      </c>
      <c r="AS369" s="82" t="n">
        <f aca="false">IF(AND(OR(AQ369="À RADIOGRAPHIER",AQ369="RÉPARÉ – À RADIOGRAPHIER",AQ369="NX – RT À REFAIRE"),OR('PROGRAMME RT'!$D$5="TOUTES",B369='PROGRAMME RT'!$D$5)),1,0)</f>
        <v>0</v>
      </c>
      <c r="AT369" s="82" t="str">
        <f aca="false">IF(AS369=1,SUM(AS$7:AS369),"")</f>
        <v/>
      </c>
      <c r="AU369" s="82" t="n">
        <f aca="false">IF(AND(OR(AA369="R",AA369="NX",AA369="NT",AA369="CO"),OR('JOINTS DE RÉPARATION'!$D$5="TOUTES",B369='JOINTS DE RÉPARATION'!$D$5),OR('JOINTS DE RÉPARATION'!$L$4="TOUS",AQ369&lt;&gt;"ACCEPTÉ")),1,0)</f>
        <v>0</v>
      </c>
      <c r="AV369" s="82" t="str">
        <f aca="false">IF(AU369=1,SUM(AU$7:AU369),"")</f>
        <v/>
      </c>
      <c r="AW369" s="82" t="str">
        <f aca="false">IF(E369="","",B369&amp;"|"&amp;E369)</f>
        <v>MFD-ISW → MFD-CPF|JN°363</v>
      </c>
    </row>
    <row r="370" customFormat="false" ht="74.6" hidden="false" customHeight="false" outlineLevel="0" collapsed="false">
      <c r="A370" s="79" t="n">
        <f aca="false">IF(E370="","",ROW()-6)</f>
        <v>364</v>
      </c>
      <c r="B370" s="80" t="s">
        <v>110</v>
      </c>
      <c r="C370" s="81"/>
      <c r="D370" s="81"/>
      <c r="E370" s="81" t="s">
        <v>474</v>
      </c>
      <c r="F370" s="82" t="str">
        <f aca="false">IF(E370="","",IF(LEFT(E370,2)="DJ","DJ","JN"))</f>
        <v>JN</v>
      </c>
      <c r="G370" s="81"/>
      <c r="H370" s="81"/>
      <c r="I370" s="81"/>
      <c r="J370" s="81"/>
      <c r="K370" s="81"/>
      <c r="L370" s="81"/>
      <c r="M370" s="81"/>
      <c r="N370" s="81"/>
      <c r="O370" s="81"/>
      <c r="P370" s="81"/>
      <c r="Q370" s="81"/>
      <c r="R370" s="81"/>
      <c r="S370" s="81"/>
      <c r="T370" s="81"/>
      <c r="U370" s="83"/>
      <c r="V370" s="83"/>
      <c r="W370" s="81"/>
      <c r="X370" s="81"/>
      <c r="Y370" s="83"/>
      <c r="Z370" s="81"/>
      <c r="AA370" s="81"/>
      <c r="AB370" s="81"/>
      <c r="AC370" s="81"/>
      <c r="AD370" s="81"/>
      <c r="AE370" s="83"/>
      <c r="AF370" s="81"/>
      <c r="AG370" s="81"/>
      <c r="AH370" s="81"/>
      <c r="AI370" s="81"/>
      <c r="AJ370" s="83"/>
      <c r="AK370" s="81"/>
      <c r="AL370" s="81"/>
      <c r="AM370" s="83"/>
      <c r="AN370" s="80"/>
      <c r="AO370" s="82" t="n">
        <f aca="false">IF(E370="","",(AA370&lt;&gt;"")+(AG370&lt;&gt;"")+(AL370&lt;&gt;""))</f>
        <v>0</v>
      </c>
      <c r="AP370" s="82" t="str">
        <f aca="false">IF(AL370&lt;&gt;"",AL370,IF(AG370&lt;&gt;"",AG370,IF(AA370&lt;&gt;"",AA370,"")))</f>
        <v/>
      </c>
      <c r="AQ370" s="84" t="str">
        <f aca="false">IF(E370="","",IF(U370="","À SOUDER",IF(X370="","VT EN ATTENTE",IF(X370="R","VT REJETÉ – À REPRENDRE",IF(AP370="","À RADIOGRAPHIER",IF(AP370="A","ACCEPTÉ",IF(AP370="NX","NX – RT À REFAIRE",IF(IF(AO370=1,AD370,IF(AO370=2,AI370,""))="A","RÉPARÉ – À RADIOGRAPHIER",IF(IF(AO370=1,AD370,IF(AO370=2,AI370,""))="R","VT REJETÉ – À REPRENDRE",IF(OR(AP370="CO",AP370="NT"),"COUPE – À RESOUDER","À RÉPARER"))))))))))</f>
        <v>À SOUDER</v>
      </c>
      <c r="AR370" s="82" t="str">
        <f aca="false">IF(AND(ISNUMBER(U370),OR(AQ370="À RADIOGRAPHIER",AQ370="RÉPARÉ – À RADIOGRAPHIER",AQ370="NX – RT À REFAIRE",AQ370="À RÉPARER",AQ370="COUPE – À RESOUDER",AQ370="VT REJETÉ – À REPRENDRE")),MAX(0,'PROGRAMME RT'!$C$4-U370),"")</f>
        <v/>
      </c>
      <c r="AS370" s="82" t="n">
        <f aca="false">IF(AND(OR(AQ370="À RADIOGRAPHIER",AQ370="RÉPARÉ – À RADIOGRAPHIER",AQ370="NX – RT À REFAIRE"),OR('PROGRAMME RT'!$D$5="TOUTES",B370='PROGRAMME RT'!$D$5)),1,0)</f>
        <v>0</v>
      </c>
      <c r="AT370" s="82" t="str">
        <f aca="false">IF(AS370=1,SUM(AS$7:AS370),"")</f>
        <v/>
      </c>
      <c r="AU370" s="82" t="n">
        <f aca="false">IF(AND(OR(AA370="R",AA370="NX",AA370="NT",AA370="CO"),OR('JOINTS DE RÉPARATION'!$D$5="TOUTES",B370='JOINTS DE RÉPARATION'!$D$5),OR('JOINTS DE RÉPARATION'!$L$4="TOUS",AQ370&lt;&gt;"ACCEPTÉ")),1,0)</f>
        <v>0</v>
      </c>
      <c r="AV370" s="82" t="str">
        <f aca="false">IF(AU370=1,SUM(AU$7:AU370),"")</f>
        <v/>
      </c>
      <c r="AW370" s="82" t="str">
        <f aca="false">IF(E370="","",B370&amp;"|"&amp;E370)</f>
        <v>MFD-ISW → MFD-CPF|JN°364</v>
      </c>
    </row>
    <row r="371" customFormat="false" ht="74.6" hidden="false" customHeight="false" outlineLevel="0" collapsed="false">
      <c r="A371" s="79" t="n">
        <f aca="false">IF(E371="","",ROW()-6)</f>
        <v>365</v>
      </c>
      <c r="B371" s="80" t="s">
        <v>110</v>
      </c>
      <c r="C371" s="81"/>
      <c r="D371" s="81"/>
      <c r="E371" s="81" t="s">
        <v>475</v>
      </c>
      <c r="F371" s="82" t="str">
        <f aca="false">IF(E371="","",IF(LEFT(E371,2)="DJ","DJ","JN"))</f>
        <v>JN</v>
      </c>
      <c r="G371" s="81"/>
      <c r="H371" s="81"/>
      <c r="I371" s="81"/>
      <c r="J371" s="81"/>
      <c r="K371" s="81"/>
      <c r="L371" s="81"/>
      <c r="M371" s="81"/>
      <c r="N371" s="81"/>
      <c r="O371" s="81"/>
      <c r="P371" s="81"/>
      <c r="Q371" s="81"/>
      <c r="R371" s="81"/>
      <c r="S371" s="81"/>
      <c r="T371" s="81"/>
      <c r="U371" s="83"/>
      <c r="V371" s="83"/>
      <c r="W371" s="81"/>
      <c r="X371" s="81"/>
      <c r="Y371" s="83"/>
      <c r="Z371" s="81"/>
      <c r="AA371" s="81"/>
      <c r="AB371" s="81"/>
      <c r="AC371" s="81"/>
      <c r="AD371" s="81"/>
      <c r="AE371" s="83"/>
      <c r="AF371" s="81"/>
      <c r="AG371" s="81"/>
      <c r="AH371" s="81"/>
      <c r="AI371" s="81"/>
      <c r="AJ371" s="83"/>
      <c r="AK371" s="81"/>
      <c r="AL371" s="81"/>
      <c r="AM371" s="83"/>
      <c r="AN371" s="80"/>
      <c r="AO371" s="82" t="n">
        <f aca="false">IF(E371="","",(AA371&lt;&gt;"")+(AG371&lt;&gt;"")+(AL371&lt;&gt;""))</f>
        <v>0</v>
      </c>
      <c r="AP371" s="82" t="str">
        <f aca="false">IF(AL371&lt;&gt;"",AL371,IF(AG371&lt;&gt;"",AG371,IF(AA371&lt;&gt;"",AA371,"")))</f>
        <v/>
      </c>
      <c r="AQ371" s="84" t="str">
        <f aca="false">IF(E371="","",IF(U371="","À SOUDER",IF(X371="","VT EN ATTENTE",IF(X371="R","VT REJETÉ – À REPRENDRE",IF(AP371="","À RADIOGRAPHIER",IF(AP371="A","ACCEPTÉ",IF(AP371="NX","NX – RT À REFAIRE",IF(IF(AO371=1,AD371,IF(AO371=2,AI371,""))="A","RÉPARÉ – À RADIOGRAPHIER",IF(IF(AO371=1,AD371,IF(AO371=2,AI371,""))="R","VT REJETÉ – À REPRENDRE",IF(OR(AP371="CO",AP371="NT"),"COUPE – À RESOUDER","À RÉPARER"))))))))))</f>
        <v>À SOUDER</v>
      </c>
      <c r="AR371" s="82" t="str">
        <f aca="false">IF(AND(ISNUMBER(U371),OR(AQ371="À RADIOGRAPHIER",AQ371="RÉPARÉ – À RADIOGRAPHIER",AQ371="NX – RT À REFAIRE",AQ371="À RÉPARER",AQ371="COUPE – À RESOUDER",AQ371="VT REJETÉ – À REPRENDRE")),MAX(0,'PROGRAMME RT'!$C$4-U371),"")</f>
        <v/>
      </c>
      <c r="AS371" s="82" t="n">
        <f aca="false">IF(AND(OR(AQ371="À RADIOGRAPHIER",AQ371="RÉPARÉ – À RADIOGRAPHIER",AQ371="NX – RT À REFAIRE"),OR('PROGRAMME RT'!$D$5="TOUTES",B371='PROGRAMME RT'!$D$5)),1,0)</f>
        <v>0</v>
      </c>
      <c r="AT371" s="82" t="str">
        <f aca="false">IF(AS371=1,SUM(AS$7:AS371),"")</f>
        <v/>
      </c>
      <c r="AU371" s="82" t="n">
        <f aca="false">IF(AND(OR(AA371="R",AA371="NX",AA371="NT",AA371="CO"),OR('JOINTS DE RÉPARATION'!$D$5="TOUTES",B371='JOINTS DE RÉPARATION'!$D$5),OR('JOINTS DE RÉPARATION'!$L$4="TOUS",AQ371&lt;&gt;"ACCEPTÉ")),1,0)</f>
        <v>0</v>
      </c>
      <c r="AV371" s="82" t="str">
        <f aca="false">IF(AU371=1,SUM(AU$7:AU371),"")</f>
        <v/>
      </c>
      <c r="AW371" s="82" t="str">
        <f aca="false">IF(E371="","",B371&amp;"|"&amp;E371)</f>
        <v>MFD-ISW → MFD-CPF|JN°365</v>
      </c>
    </row>
    <row r="372" customFormat="false" ht="74.6" hidden="false" customHeight="false" outlineLevel="0" collapsed="false">
      <c r="A372" s="79" t="n">
        <f aca="false">IF(E372="","",ROW()-6)</f>
        <v>366</v>
      </c>
      <c r="B372" s="80" t="s">
        <v>110</v>
      </c>
      <c r="C372" s="81"/>
      <c r="D372" s="81"/>
      <c r="E372" s="81" t="s">
        <v>476</v>
      </c>
      <c r="F372" s="82" t="str">
        <f aca="false">IF(E372="","",IF(LEFT(E372,2)="DJ","DJ","JN"))</f>
        <v>JN</v>
      </c>
      <c r="G372" s="81"/>
      <c r="H372" s="81"/>
      <c r="I372" s="81"/>
      <c r="J372" s="81"/>
      <c r="K372" s="81"/>
      <c r="L372" s="81"/>
      <c r="M372" s="81"/>
      <c r="N372" s="81"/>
      <c r="O372" s="81"/>
      <c r="P372" s="81"/>
      <c r="Q372" s="81"/>
      <c r="R372" s="81"/>
      <c r="S372" s="81"/>
      <c r="T372" s="81"/>
      <c r="U372" s="83"/>
      <c r="V372" s="83"/>
      <c r="W372" s="81"/>
      <c r="X372" s="81"/>
      <c r="Y372" s="83"/>
      <c r="Z372" s="81"/>
      <c r="AA372" s="81"/>
      <c r="AB372" s="81"/>
      <c r="AC372" s="81"/>
      <c r="AD372" s="81"/>
      <c r="AE372" s="83"/>
      <c r="AF372" s="81"/>
      <c r="AG372" s="81"/>
      <c r="AH372" s="81"/>
      <c r="AI372" s="81"/>
      <c r="AJ372" s="83"/>
      <c r="AK372" s="81"/>
      <c r="AL372" s="81"/>
      <c r="AM372" s="83"/>
      <c r="AN372" s="80"/>
      <c r="AO372" s="82" t="n">
        <f aca="false">IF(E372="","",(AA372&lt;&gt;"")+(AG372&lt;&gt;"")+(AL372&lt;&gt;""))</f>
        <v>0</v>
      </c>
      <c r="AP372" s="82" t="str">
        <f aca="false">IF(AL372&lt;&gt;"",AL372,IF(AG372&lt;&gt;"",AG372,IF(AA372&lt;&gt;"",AA372,"")))</f>
        <v/>
      </c>
      <c r="AQ372" s="84" t="str">
        <f aca="false">IF(E372="","",IF(U372="","À SOUDER",IF(X372="","VT EN ATTENTE",IF(X372="R","VT REJETÉ – À REPRENDRE",IF(AP372="","À RADIOGRAPHIER",IF(AP372="A","ACCEPTÉ",IF(AP372="NX","NX – RT À REFAIRE",IF(IF(AO372=1,AD372,IF(AO372=2,AI372,""))="A","RÉPARÉ – À RADIOGRAPHIER",IF(IF(AO372=1,AD372,IF(AO372=2,AI372,""))="R","VT REJETÉ – À REPRENDRE",IF(OR(AP372="CO",AP372="NT"),"COUPE – À RESOUDER","À RÉPARER"))))))))))</f>
        <v>À SOUDER</v>
      </c>
      <c r="AR372" s="82" t="str">
        <f aca="false">IF(AND(ISNUMBER(U372),OR(AQ372="À RADIOGRAPHIER",AQ372="RÉPARÉ – À RADIOGRAPHIER",AQ372="NX – RT À REFAIRE",AQ372="À RÉPARER",AQ372="COUPE – À RESOUDER",AQ372="VT REJETÉ – À REPRENDRE")),MAX(0,'PROGRAMME RT'!$C$4-U372),"")</f>
        <v/>
      </c>
      <c r="AS372" s="82" t="n">
        <f aca="false">IF(AND(OR(AQ372="À RADIOGRAPHIER",AQ372="RÉPARÉ – À RADIOGRAPHIER",AQ372="NX – RT À REFAIRE"),OR('PROGRAMME RT'!$D$5="TOUTES",B372='PROGRAMME RT'!$D$5)),1,0)</f>
        <v>0</v>
      </c>
      <c r="AT372" s="82" t="str">
        <f aca="false">IF(AS372=1,SUM(AS$7:AS372),"")</f>
        <v/>
      </c>
      <c r="AU372" s="82" t="n">
        <f aca="false">IF(AND(OR(AA372="R",AA372="NX",AA372="NT",AA372="CO"),OR('JOINTS DE RÉPARATION'!$D$5="TOUTES",B372='JOINTS DE RÉPARATION'!$D$5),OR('JOINTS DE RÉPARATION'!$L$4="TOUS",AQ372&lt;&gt;"ACCEPTÉ")),1,0)</f>
        <v>0</v>
      </c>
      <c r="AV372" s="82" t="str">
        <f aca="false">IF(AU372=1,SUM(AU$7:AU372),"")</f>
        <v/>
      </c>
      <c r="AW372" s="82" t="str">
        <f aca="false">IF(E372="","",B372&amp;"|"&amp;E372)</f>
        <v>MFD-ISW → MFD-CPF|JN°366</v>
      </c>
    </row>
    <row r="373" customFormat="false" ht="74.6" hidden="false" customHeight="false" outlineLevel="0" collapsed="false">
      <c r="A373" s="79" t="n">
        <f aca="false">IF(E373="","",ROW()-6)</f>
        <v>367</v>
      </c>
      <c r="B373" s="80" t="s">
        <v>110</v>
      </c>
      <c r="C373" s="81"/>
      <c r="D373" s="81"/>
      <c r="E373" s="81" t="s">
        <v>477</v>
      </c>
      <c r="F373" s="82" t="str">
        <f aca="false">IF(E373="","",IF(LEFT(E373,2)="DJ","DJ","JN"))</f>
        <v>JN</v>
      </c>
      <c r="G373" s="81"/>
      <c r="H373" s="81"/>
      <c r="I373" s="81"/>
      <c r="J373" s="81"/>
      <c r="K373" s="81"/>
      <c r="L373" s="81"/>
      <c r="M373" s="81"/>
      <c r="N373" s="81"/>
      <c r="O373" s="81"/>
      <c r="P373" s="81"/>
      <c r="Q373" s="81"/>
      <c r="R373" s="81"/>
      <c r="S373" s="81"/>
      <c r="T373" s="81"/>
      <c r="U373" s="83"/>
      <c r="V373" s="83"/>
      <c r="W373" s="81"/>
      <c r="X373" s="81"/>
      <c r="Y373" s="83"/>
      <c r="Z373" s="81"/>
      <c r="AA373" s="81"/>
      <c r="AB373" s="81"/>
      <c r="AC373" s="81"/>
      <c r="AD373" s="81"/>
      <c r="AE373" s="83"/>
      <c r="AF373" s="81"/>
      <c r="AG373" s="81"/>
      <c r="AH373" s="81"/>
      <c r="AI373" s="81"/>
      <c r="AJ373" s="83"/>
      <c r="AK373" s="81"/>
      <c r="AL373" s="81"/>
      <c r="AM373" s="83"/>
      <c r="AN373" s="80"/>
      <c r="AO373" s="82" t="n">
        <f aca="false">IF(E373="","",(AA373&lt;&gt;"")+(AG373&lt;&gt;"")+(AL373&lt;&gt;""))</f>
        <v>0</v>
      </c>
      <c r="AP373" s="82" t="str">
        <f aca="false">IF(AL373&lt;&gt;"",AL373,IF(AG373&lt;&gt;"",AG373,IF(AA373&lt;&gt;"",AA373,"")))</f>
        <v/>
      </c>
      <c r="AQ373" s="84" t="str">
        <f aca="false">IF(E373="","",IF(U373="","À SOUDER",IF(X373="","VT EN ATTENTE",IF(X373="R","VT REJETÉ – À REPRENDRE",IF(AP373="","À RADIOGRAPHIER",IF(AP373="A","ACCEPTÉ",IF(AP373="NX","NX – RT À REFAIRE",IF(IF(AO373=1,AD373,IF(AO373=2,AI373,""))="A","RÉPARÉ – À RADIOGRAPHIER",IF(IF(AO373=1,AD373,IF(AO373=2,AI373,""))="R","VT REJETÉ – À REPRENDRE",IF(OR(AP373="CO",AP373="NT"),"COUPE – À RESOUDER","À RÉPARER"))))))))))</f>
        <v>À SOUDER</v>
      </c>
      <c r="AR373" s="82" t="str">
        <f aca="false">IF(AND(ISNUMBER(U373),OR(AQ373="À RADIOGRAPHIER",AQ373="RÉPARÉ – À RADIOGRAPHIER",AQ373="NX – RT À REFAIRE",AQ373="À RÉPARER",AQ373="COUPE – À RESOUDER",AQ373="VT REJETÉ – À REPRENDRE")),MAX(0,'PROGRAMME RT'!$C$4-U373),"")</f>
        <v/>
      </c>
      <c r="AS373" s="82" t="n">
        <f aca="false">IF(AND(OR(AQ373="À RADIOGRAPHIER",AQ373="RÉPARÉ – À RADIOGRAPHIER",AQ373="NX – RT À REFAIRE"),OR('PROGRAMME RT'!$D$5="TOUTES",B373='PROGRAMME RT'!$D$5)),1,0)</f>
        <v>0</v>
      </c>
      <c r="AT373" s="82" t="str">
        <f aca="false">IF(AS373=1,SUM(AS$7:AS373),"")</f>
        <v/>
      </c>
      <c r="AU373" s="82" t="n">
        <f aca="false">IF(AND(OR(AA373="R",AA373="NX",AA373="NT",AA373="CO"),OR('JOINTS DE RÉPARATION'!$D$5="TOUTES",B373='JOINTS DE RÉPARATION'!$D$5),OR('JOINTS DE RÉPARATION'!$L$4="TOUS",AQ373&lt;&gt;"ACCEPTÉ")),1,0)</f>
        <v>0</v>
      </c>
      <c r="AV373" s="82" t="str">
        <f aca="false">IF(AU373=1,SUM(AU$7:AU373),"")</f>
        <v/>
      </c>
      <c r="AW373" s="82" t="str">
        <f aca="false">IF(E373="","",B373&amp;"|"&amp;E373)</f>
        <v>MFD-ISW → MFD-CPF|JN°367</v>
      </c>
    </row>
    <row r="374" customFormat="false" ht="74.6" hidden="false" customHeight="false" outlineLevel="0" collapsed="false">
      <c r="A374" s="79" t="n">
        <f aca="false">IF(E374="","",ROW()-6)</f>
        <v>368</v>
      </c>
      <c r="B374" s="80" t="s">
        <v>110</v>
      </c>
      <c r="C374" s="81"/>
      <c r="D374" s="81"/>
      <c r="E374" s="81" t="s">
        <v>478</v>
      </c>
      <c r="F374" s="82" t="str">
        <f aca="false">IF(E374="","",IF(LEFT(E374,2)="DJ","DJ","JN"))</f>
        <v>JN</v>
      </c>
      <c r="G374" s="81"/>
      <c r="H374" s="81"/>
      <c r="I374" s="81"/>
      <c r="J374" s="81"/>
      <c r="K374" s="81"/>
      <c r="L374" s="81"/>
      <c r="M374" s="81"/>
      <c r="N374" s="81"/>
      <c r="O374" s="81"/>
      <c r="P374" s="81"/>
      <c r="Q374" s="81"/>
      <c r="R374" s="81"/>
      <c r="S374" s="81"/>
      <c r="T374" s="81"/>
      <c r="U374" s="83"/>
      <c r="V374" s="83"/>
      <c r="W374" s="81"/>
      <c r="X374" s="81"/>
      <c r="Y374" s="83"/>
      <c r="Z374" s="81"/>
      <c r="AA374" s="81"/>
      <c r="AB374" s="81"/>
      <c r="AC374" s="81"/>
      <c r="AD374" s="81"/>
      <c r="AE374" s="83"/>
      <c r="AF374" s="81"/>
      <c r="AG374" s="81"/>
      <c r="AH374" s="81"/>
      <c r="AI374" s="81"/>
      <c r="AJ374" s="83"/>
      <c r="AK374" s="81"/>
      <c r="AL374" s="81"/>
      <c r="AM374" s="83"/>
      <c r="AN374" s="80"/>
      <c r="AO374" s="82" t="n">
        <f aca="false">IF(E374="","",(AA374&lt;&gt;"")+(AG374&lt;&gt;"")+(AL374&lt;&gt;""))</f>
        <v>0</v>
      </c>
      <c r="AP374" s="82" t="str">
        <f aca="false">IF(AL374&lt;&gt;"",AL374,IF(AG374&lt;&gt;"",AG374,IF(AA374&lt;&gt;"",AA374,"")))</f>
        <v/>
      </c>
      <c r="AQ374" s="84" t="str">
        <f aca="false">IF(E374="","",IF(U374="","À SOUDER",IF(X374="","VT EN ATTENTE",IF(X374="R","VT REJETÉ – À REPRENDRE",IF(AP374="","À RADIOGRAPHIER",IF(AP374="A","ACCEPTÉ",IF(AP374="NX","NX – RT À REFAIRE",IF(IF(AO374=1,AD374,IF(AO374=2,AI374,""))="A","RÉPARÉ – À RADIOGRAPHIER",IF(IF(AO374=1,AD374,IF(AO374=2,AI374,""))="R","VT REJETÉ – À REPRENDRE",IF(OR(AP374="CO",AP374="NT"),"COUPE – À RESOUDER","À RÉPARER"))))))))))</f>
        <v>À SOUDER</v>
      </c>
      <c r="AR374" s="82" t="str">
        <f aca="false">IF(AND(ISNUMBER(U374),OR(AQ374="À RADIOGRAPHIER",AQ374="RÉPARÉ – À RADIOGRAPHIER",AQ374="NX – RT À REFAIRE",AQ374="À RÉPARER",AQ374="COUPE – À RESOUDER",AQ374="VT REJETÉ – À REPRENDRE")),MAX(0,'PROGRAMME RT'!$C$4-U374),"")</f>
        <v/>
      </c>
      <c r="AS374" s="82" t="n">
        <f aca="false">IF(AND(OR(AQ374="À RADIOGRAPHIER",AQ374="RÉPARÉ – À RADIOGRAPHIER",AQ374="NX – RT À REFAIRE"),OR('PROGRAMME RT'!$D$5="TOUTES",B374='PROGRAMME RT'!$D$5)),1,0)</f>
        <v>0</v>
      </c>
      <c r="AT374" s="82" t="str">
        <f aca="false">IF(AS374=1,SUM(AS$7:AS374),"")</f>
        <v/>
      </c>
      <c r="AU374" s="82" t="n">
        <f aca="false">IF(AND(OR(AA374="R",AA374="NX",AA374="NT",AA374="CO"),OR('JOINTS DE RÉPARATION'!$D$5="TOUTES",B374='JOINTS DE RÉPARATION'!$D$5),OR('JOINTS DE RÉPARATION'!$L$4="TOUS",AQ374&lt;&gt;"ACCEPTÉ")),1,0)</f>
        <v>0</v>
      </c>
      <c r="AV374" s="82" t="str">
        <f aca="false">IF(AU374=1,SUM(AU$7:AU374),"")</f>
        <v/>
      </c>
      <c r="AW374" s="82" t="str">
        <f aca="false">IF(E374="","",B374&amp;"|"&amp;E374)</f>
        <v>MFD-ISW → MFD-CPF|JN°368</v>
      </c>
    </row>
    <row r="375" customFormat="false" ht="74.6" hidden="false" customHeight="false" outlineLevel="0" collapsed="false">
      <c r="A375" s="79" t="n">
        <f aca="false">IF(E375="","",ROW()-6)</f>
        <v>369</v>
      </c>
      <c r="B375" s="80" t="s">
        <v>110</v>
      </c>
      <c r="C375" s="81"/>
      <c r="D375" s="81"/>
      <c r="E375" s="81" t="s">
        <v>479</v>
      </c>
      <c r="F375" s="82" t="str">
        <f aca="false">IF(E375="","",IF(LEFT(E375,2)="DJ","DJ","JN"))</f>
        <v>JN</v>
      </c>
      <c r="G375" s="81"/>
      <c r="H375" s="81"/>
      <c r="I375" s="81"/>
      <c r="J375" s="81"/>
      <c r="K375" s="81"/>
      <c r="L375" s="81"/>
      <c r="M375" s="81"/>
      <c r="N375" s="81"/>
      <c r="O375" s="81"/>
      <c r="P375" s="81"/>
      <c r="Q375" s="81"/>
      <c r="R375" s="81"/>
      <c r="S375" s="81"/>
      <c r="T375" s="81"/>
      <c r="U375" s="83"/>
      <c r="V375" s="83"/>
      <c r="W375" s="81"/>
      <c r="X375" s="81"/>
      <c r="Y375" s="83"/>
      <c r="Z375" s="81"/>
      <c r="AA375" s="81"/>
      <c r="AB375" s="81"/>
      <c r="AC375" s="81"/>
      <c r="AD375" s="81"/>
      <c r="AE375" s="83"/>
      <c r="AF375" s="81"/>
      <c r="AG375" s="81"/>
      <c r="AH375" s="81"/>
      <c r="AI375" s="81"/>
      <c r="AJ375" s="83"/>
      <c r="AK375" s="81"/>
      <c r="AL375" s="81"/>
      <c r="AM375" s="83"/>
      <c r="AN375" s="80"/>
      <c r="AO375" s="82" t="n">
        <f aca="false">IF(E375="","",(AA375&lt;&gt;"")+(AG375&lt;&gt;"")+(AL375&lt;&gt;""))</f>
        <v>0</v>
      </c>
      <c r="AP375" s="82" t="str">
        <f aca="false">IF(AL375&lt;&gt;"",AL375,IF(AG375&lt;&gt;"",AG375,IF(AA375&lt;&gt;"",AA375,"")))</f>
        <v/>
      </c>
      <c r="AQ375" s="84" t="str">
        <f aca="false">IF(E375="","",IF(U375="","À SOUDER",IF(X375="","VT EN ATTENTE",IF(X375="R","VT REJETÉ – À REPRENDRE",IF(AP375="","À RADIOGRAPHIER",IF(AP375="A","ACCEPTÉ",IF(AP375="NX","NX – RT À REFAIRE",IF(IF(AO375=1,AD375,IF(AO375=2,AI375,""))="A","RÉPARÉ – À RADIOGRAPHIER",IF(IF(AO375=1,AD375,IF(AO375=2,AI375,""))="R","VT REJETÉ – À REPRENDRE",IF(OR(AP375="CO",AP375="NT"),"COUPE – À RESOUDER","À RÉPARER"))))))))))</f>
        <v>À SOUDER</v>
      </c>
      <c r="AR375" s="82" t="str">
        <f aca="false">IF(AND(ISNUMBER(U375),OR(AQ375="À RADIOGRAPHIER",AQ375="RÉPARÉ – À RADIOGRAPHIER",AQ375="NX – RT À REFAIRE",AQ375="À RÉPARER",AQ375="COUPE – À RESOUDER",AQ375="VT REJETÉ – À REPRENDRE")),MAX(0,'PROGRAMME RT'!$C$4-U375),"")</f>
        <v/>
      </c>
      <c r="AS375" s="82" t="n">
        <f aca="false">IF(AND(OR(AQ375="À RADIOGRAPHIER",AQ375="RÉPARÉ – À RADIOGRAPHIER",AQ375="NX – RT À REFAIRE"),OR('PROGRAMME RT'!$D$5="TOUTES",B375='PROGRAMME RT'!$D$5)),1,0)</f>
        <v>0</v>
      </c>
      <c r="AT375" s="82" t="str">
        <f aca="false">IF(AS375=1,SUM(AS$7:AS375),"")</f>
        <v/>
      </c>
      <c r="AU375" s="82" t="n">
        <f aca="false">IF(AND(OR(AA375="R",AA375="NX",AA375="NT",AA375="CO"),OR('JOINTS DE RÉPARATION'!$D$5="TOUTES",B375='JOINTS DE RÉPARATION'!$D$5),OR('JOINTS DE RÉPARATION'!$L$4="TOUS",AQ375&lt;&gt;"ACCEPTÉ")),1,0)</f>
        <v>0</v>
      </c>
      <c r="AV375" s="82" t="str">
        <f aca="false">IF(AU375=1,SUM(AU$7:AU375),"")</f>
        <v/>
      </c>
      <c r="AW375" s="82" t="str">
        <f aca="false">IF(E375="","",B375&amp;"|"&amp;E375)</f>
        <v>MFD-ISW → MFD-CPF|JN°369</v>
      </c>
    </row>
    <row r="376" customFormat="false" ht="74.6" hidden="false" customHeight="false" outlineLevel="0" collapsed="false">
      <c r="A376" s="79" t="n">
        <f aca="false">IF(E376="","",ROW()-6)</f>
        <v>370</v>
      </c>
      <c r="B376" s="80" t="s">
        <v>110</v>
      </c>
      <c r="C376" s="81"/>
      <c r="D376" s="81"/>
      <c r="E376" s="81" t="s">
        <v>480</v>
      </c>
      <c r="F376" s="82" t="str">
        <f aca="false">IF(E376="","",IF(LEFT(E376,2)="DJ","DJ","JN"))</f>
        <v>JN</v>
      </c>
      <c r="G376" s="81"/>
      <c r="H376" s="81"/>
      <c r="I376" s="81"/>
      <c r="J376" s="81"/>
      <c r="K376" s="81"/>
      <c r="L376" s="81"/>
      <c r="M376" s="81"/>
      <c r="N376" s="81"/>
      <c r="O376" s="81"/>
      <c r="P376" s="81"/>
      <c r="Q376" s="81"/>
      <c r="R376" s="81"/>
      <c r="S376" s="81"/>
      <c r="T376" s="81"/>
      <c r="U376" s="83"/>
      <c r="V376" s="83"/>
      <c r="W376" s="81"/>
      <c r="X376" s="81"/>
      <c r="Y376" s="83"/>
      <c r="Z376" s="81"/>
      <c r="AA376" s="81"/>
      <c r="AB376" s="81"/>
      <c r="AC376" s="81"/>
      <c r="AD376" s="81"/>
      <c r="AE376" s="83"/>
      <c r="AF376" s="81"/>
      <c r="AG376" s="81"/>
      <c r="AH376" s="81"/>
      <c r="AI376" s="81"/>
      <c r="AJ376" s="83"/>
      <c r="AK376" s="81"/>
      <c r="AL376" s="81"/>
      <c r="AM376" s="83"/>
      <c r="AN376" s="80"/>
      <c r="AO376" s="82" t="n">
        <f aca="false">IF(E376="","",(AA376&lt;&gt;"")+(AG376&lt;&gt;"")+(AL376&lt;&gt;""))</f>
        <v>0</v>
      </c>
      <c r="AP376" s="82" t="str">
        <f aca="false">IF(AL376&lt;&gt;"",AL376,IF(AG376&lt;&gt;"",AG376,IF(AA376&lt;&gt;"",AA376,"")))</f>
        <v/>
      </c>
      <c r="AQ376" s="84" t="str">
        <f aca="false">IF(E376="","",IF(U376="","À SOUDER",IF(X376="","VT EN ATTENTE",IF(X376="R","VT REJETÉ – À REPRENDRE",IF(AP376="","À RADIOGRAPHIER",IF(AP376="A","ACCEPTÉ",IF(AP376="NX","NX – RT À REFAIRE",IF(IF(AO376=1,AD376,IF(AO376=2,AI376,""))="A","RÉPARÉ – À RADIOGRAPHIER",IF(IF(AO376=1,AD376,IF(AO376=2,AI376,""))="R","VT REJETÉ – À REPRENDRE",IF(OR(AP376="CO",AP376="NT"),"COUPE – À RESOUDER","À RÉPARER"))))))))))</f>
        <v>À SOUDER</v>
      </c>
      <c r="AR376" s="82" t="str">
        <f aca="false">IF(AND(ISNUMBER(U376),OR(AQ376="À RADIOGRAPHIER",AQ376="RÉPARÉ – À RADIOGRAPHIER",AQ376="NX – RT À REFAIRE",AQ376="À RÉPARER",AQ376="COUPE – À RESOUDER",AQ376="VT REJETÉ – À REPRENDRE")),MAX(0,'PROGRAMME RT'!$C$4-U376),"")</f>
        <v/>
      </c>
      <c r="AS376" s="82" t="n">
        <f aca="false">IF(AND(OR(AQ376="À RADIOGRAPHIER",AQ376="RÉPARÉ – À RADIOGRAPHIER",AQ376="NX – RT À REFAIRE"),OR('PROGRAMME RT'!$D$5="TOUTES",B376='PROGRAMME RT'!$D$5)),1,0)</f>
        <v>0</v>
      </c>
      <c r="AT376" s="82" t="str">
        <f aca="false">IF(AS376=1,SUM(AS$7:AS376),"")</f>
        <v/>
      </c>
      <c r="AU376" s="82" t="n">
        <f aca="false">IF(AND(OR(AA376="R",AA376="NX",AA376="NT",AA376="CO"),OR('JOINTS DE RÉPARATION'!$D$5="TOUTES",B376='JOINTS DE RÉPARATION'!$D$5),OR('JOINTS DE RÉPARATION'!$L$4="TOUS",AQ376&lt;&gt;"ACCEPTÉ")),1,0)</f>
        <v>0</v>
      </c>
      <c r="AV376" s="82" t="str">
        <f aca="false">IF(AU376=1,SUM(AU$7:AU376),"")</f>
        <v/>
      </c>
      <c r="AW376" s="82" t="str">
        <f aca="false">IF(E376="","",B376&amp;"|"&amp;E376)</f>
        <v>MFD-ISW → MFD-CPF|JN°370</v>
      </c>
    </row>
    <row r="377" customFormat="false" ht="74.6" hidden="false" customHeight="false" outlineLevel="0" collapsed="false">
      <c r="A377" s="79" t="n">
        <f aca="false">IF(E377="","",ROW()-6)</f>
        <v>371</v>
      </c>
      <c r="B377" s="80" t="s">
        <v>110</v>
      </c>
      <c r="C377" s="81"/>
      <c r="D377" s="81"/>
      <c r="E377" s="81" t="s">
        <v>481</v>
      </c>
      <c r="F377" s="82" t="str">
        <f aca="false">IF(E377="","",IF(LEFT(E377,2)="DJ","DJ","JN"))</f>
        <v>JN</v>
      </c>
      <c r="G377" s="81"/>
      <c r="H377" s="81"/>
      <c r="I377" s="81"/>
      <c r="J377" s="81"/>
      <c r="K377" s="81"/>
      <c r="L377" s="81"/>
      <c r="M377" s="81"/>
      <c r="N377" s="81"/>
      <c r="O377" s="81"/>
      <c r="P377" s="81"/>
      <c r="Q377" s="81"/>
      <c r="R377" s="81"/>
      <c r="S377" s="81"/>
      <c r="T377" s="81"/>
      <c r="U377" s="83"/>
      <c r="V377" s="83"/>
      <c r="W377" s="81"/>
      <c r="X377" s="81"/>
      <c r="Y377" s="83"/>
      <c r="Z377" s="81"/>
      <c r="AA377" s="81"/>
      <c r="AB377" s="81"/>
      <c r="AC377" s="81"/>
      <c r="AD377" s="81"/>
      <c r="AE377" s="83"/>
      <c r="AF377" s="81"/>
      <c r="AG377" s="81"/>
      <c r="AH377" s="81"/>
      <c r="AI377" s="81"/>
      <c r="AJ377" s="83"/>
      <c r="AK377" s="81"/>
      <c r="AL377" s="81"/>
      <c r="AM377" s="83"/>
      <c r="AN377" s="80"/>
      <c r="AO377" s="82" t="n">
        <f aca="false">IF(E377="","",(AA377&lt;&gt;"")+(AG377&lt;&gt;"")+(AL377&lt;&gt;""))</f>
        <v>0</v>
      </c>
      <c r="AP377" s="82" t="str">
        <f aca="false">IF(AL377&lt;&gt;"",AL377,IF(AG377&lt;&gt;"",AG377,IF(AA377&lt;&gt;"",AA377,"")))</f>
        <v/>
      </c>
      <c r="AQ377" s="84" t="str">
        <f aca="false">IF(E377="","",IF(U377="","À SOUDER",IF(X377="","VT EN ATTENTE",IF(X377="R","VT REJETÉ – À REPRENDRE",IF(AP377="","À RADIOGRAPHIER",IF(AP377="A","ACCEPTÉ",IF(AP377="NX","NX – RT À REFAIRE",IF(IF(AO377=1,AD377,IF(AO377=2,AI377,""))="A","RÉPARÉ – À RADIOGRAPHIER",IF(IF(AO377=1,AD377,IF(AO377=2,AI377,""))="R","VT REJETÉ – À REPRENDRE",IF(OR(AP377="CO",AP377="NT"),"COUPE – À RESOUDER","À RÉPARER"))))))))))</f>
        <v>À SOUDER</v>
      </c>
      <c r="AR377" s="82" t="str">
        <f aca="false">IF(AND(ISNUMBER(U377),OR(AQ377="À RADIOGRAPHIER",AQ377="RÉPARÉ – À RADIOGRAPHIER",AQ377="NX – RT À REFAIRE",AQ377="À RÉPARER",AQ377="COUPE – À RESOUDER",AQ377="VT REJETÉ – À REPRENDRE")),MAX(0,'PROGRAMME RT'!$C$4-U377),"")</f>
        <v/>
      </c>
      <c r="AS377" s="82" t="n">
        <f aca="false">IF(AND(OR(AQ377="À RADIOGRAPHIER",AQ377="RÉPARÉ – À RADIOGRAPHIER",AQ377="NX – RT À REFAIRE"),OR('PROGRAMME RT'!$D$5="TOUTES",B377='PROGRAMME RT'!$D$5)),1,0)</f>
        <v>0</v>
      </c>
      <c r="AT377" s="82" t="str">
        <f aca="false">IF(AS377=1,SUM(AS$7:AS377),"")</f>
        <v/>
      </c>
      <c r="AU377" s="82" t="n">
        <f aca="false">IF(AND(OR(AA377="R",AA377="NX",AA377="NT",AA377="CO"),OR('JOINTS DE RÉPARATION'!$D$5="TOUTES",B377='JOINTS DE RÉPARATION'!$D$5),OR('JOINTS DE RÉPARATION'!$L$4="TOUS",AQ377&lt;&gt;"ACCEPTÉ")),1,0)</f>
        <v>0</v>
      </c>
      <c r="AV377" s="82" t="str">
        <f aca="false">IF(AU377=1,SUM(AU$7:AU377),"")</f>
        <v/>
      </c>
      <c r="AW377" s="82" t="str">
        <f aca="false">IF(E377="","",B377&amp;"|"&amp;E377)</f>
        <v>MFD-ISW → MFD-CPF|JN°371</v>
      </c>
    </row>
    <row r="378" customFormat="false" ht="74.6" hidden="false" customHeight="false" outlineLevel="0" collapsed="false">
      <c r="A378" s="79" t="n">
        <f aca="false">IF(E378="","",ROW()-6)</f>
        <v>372</v>
      </c>
      <c r="B378" s="80" t="s">
        <v>110</v>
      </c>
      <c r="C378" s="81"/>
      <c r="D378" s="81"/>
      <c r="E378" s="81" t="s">
        <v>482</v>
      </c>
      <c r="F378" s="82" t="str">
        <f aca="false">IF(E378="","",IF(LEFT(E378,2)="DJ","DJ","JN"))</f>
        <v>JN</v>
      </c>
      <c r="G378" s="81"/>
      <c r="H378" s="81"/>
      <c r="I378" s="81"/>
      <c r="J378" s="81"/>
      <c r="K378" s="81"/>
      <c r="L378" s="81"/>
      <c r="M378" s="81"/>
      <c r="N378" s="81"/>
      <c r="O378" s="81"/>
      <c r="P378" s="81"/>
      <c r="Q378" s="81"/>
      <c r="R378" s="81"/>
      <c r="S378" s="81"/>
      <c r="T378" s="81"/>
      <c r="U378" s="83"/>
      <c r="V378" s="83"/>
      <c r="W378" s="81"/>
      <c r="X378" s="81"/>
      <c r="Y378" s="83"/>
      <c r="Z378" s="81"/>
      <c r="AA378" s="81"/>
      <c r="AB378" s="81"/>
      <c r="AC378" s="81"/>
      <c r="AD378" s="81"/>
      <c r="AE378" s="83"/>
      <c r="AF378" s="81"/>
      <c r="AG378" s="81"/>
      <c r="AH378" s="81"/>
      <c r="AI378" s="81"/>
      <c r="AJ378" s="83"/>
      <c r="AK378" s="81"/>
      <c r="AL378" s="81"/>
      <c r="AM378" s="83"/>
      <c r="AN378" s="80"/>
      <c r="AO378" s="82" t="n">
        <f aca="false">IF(E378="","",(AA378&lt;&gt;"")+(AG378&lt;&gt;"")+(AL378&lt;&gt;""))</f>
        <v>0</v>
      </c>
      <c r="AP378" s="82" t="str">
        <f aca="false">IF(AL378&lt;&gt;"",AL378,IF(AG378&lt;&gt;"",AG378,IF(AA378&lt;&gt;"",AA378,"")))</f>
        <v/>
      </c>
      <c r="AQ378" s="84" t="str">
        <f aca="false">IF(E378="","",IF(U378="","À SOUDER",IF(X378="","VT EN ATTENTE",IF(X378="R","VT REJETÉ – À REPRENDRE",IF(AP378="","À RADIOGRAPHIER",IF(AP378="A","ACCEPTÉ",IF(AP378="NX","NX – RT À REFAIRE",IF(IF(AO378=1,AD378,IF(AO378=2,AI378,""))="A","RÉPARÉ – À RADIOGRAPHIER",IF(IF(AO378=1,AD378,IF(AO378=2,AI378,""))="R","VT REJETÉ – À REPRENDRE",IF(OR(AP378="CO",AP378="NT"),"COUPE – À RESOUDER","À RÉPARER"))))))))))</f>
        <v>À SOUDER</v>
      </c>
      <c r="AR378" s="82" t="str">
        <f aca="false">IF(AND(ISNUMBER(U378),OR(AQ378="À RADIOGRAPHIER",AQ378="RÉPARÉ – À RADIOGRAPHIER",AQ378="NX – RT À REFAIRE",AQ378="À RÉPARER",AQ378="COUPE – À RESOUDER",AQ378="VT REJETÉ – À REPRENDRE")),MAX(0,'PROGRAMME RT'!$C$4-U378),"")</f>
        <v/>
      </c>
      <c r="AS378" s="82" t="n">
        <f aca="false">IF(AND(OR(AQ378="À RADIOGRAPHIER",AQ378="RÉPARÉ – À RADIOGRAPHIER",AQ378="NX – RT À REFAIRE"),OR('PROGRAMME RT'!$D$5="TOUTES",B378='PROGRAMME RT'!$D$5)),1,0)</f>
        <v>0</v>
      </c>
      <c r="AT378" s="82" t="str">
        <f aca="false">IF(AS378=1,SUM(AS$7:AS378),"")</f>
        <v/>
      </c>
      <c r="AU378" s="82" t="n">
        <f aca="false">IF(AND(OR(AA378="R",AA378="NX",AA378="NT",AA378="CO"),OR('JOINTS DE RÉPARATION'!$D$5="TOUTES",B378='JOINTS DE RÉPARATION'!$D$5),OR('JOINTS DE RÉPARATION'!$L$4="TOUS",AQ378&lt;&gt;"ACCEPTÉ")),1,0)</f>
        <v>0</v>
      </c>
      <c r="AV378" s="82" t="str">
        <f aca="false">IF(AU378=1,SUM(AU$7:AU378),"")</f>
        <v/>
      </c>
      <c r="AW378" s="82" t="str">
        <f aca="false">IF(E378="","",B378&amp;"|"&amp;E378)</f>
        <v>MFD-ISW → MFD-CPF|JN°372</v>
      </c>
    </row>
    <row r="379" customFormat="false" ht="74.6" hidden="false" customHeight="false" outlineLevel="0" collapsed="false">
      <c r="A379" s="79" t="n">
        <f aca="false">IF(E379="","",ROW()-6)</f>
        <v>373</v>
      </c>
      <c r="B379" s="80" t="s">
        <v>110</v>
      </c>
      <c r="C379" s="81"/>
      <c r="D379" s="81"/>
      <c r="E379" s="81" t="s">
        <v>483</v>
      </c>
      <c r="F379" s="82" t="str">
        <f aca="false">IF(E379="","",IF(LEFT(E379,2)="DJ","DJ","JN"))</f>
        <v>JN</v>
      </c>
      <c r="G379" s="81"/>
      <c r="H379" s="81"/>
      <c r="I379" s="81"/>
      <c r="J379" s="81"/>
      <c r="K379" s="81"/>
      <c r="L379" s="81"/>
      <c r="M379" s="81"/>
      <c r="N379" s="81"/>
      <c r="O379" s="81"/>
      <c r="P379" s="81"/>
      <c r="Q379" s="81"/>
      <c r="R379" s="81"/>
      <c r="S379" s="81"/>
      <c r="T379" s="81"/>
      <c r="U379" s="83"/>
      <c r="V379" s="83"/>
      <c r="W379" s="81"/>
      <c r="X379" s="81"/>
      <c r="Y379" s="83"/>
      <c r="Z379" s="81"/>
      <c r="AA379" s="81"/>
      <c r="AB379" s="81"/>
      <c r="AC379" s="81"/>
      <c r="AD379" s="81"/>
      <c r="AE379" s="83"/>
      <c r="AF379" s="81"/>
      <c r="AG379" s="81"/>
      <c r="AH379" s="81"/>
      <c r="AI379" s="81"/>
      <c r="AJ379" s="83"/>
      <c r="AK379" s="81"/>
      <c r="AL379" s="81"/>
      <c r="AM379" s="83"/>
      <c r="AN379" s="80"/>
      <c r="AO379" s="82" t="n">
        <f aca="false">IF(E379="","",(AA379&lt;&gt;"")+(AG379&lt;&gt;"")+(AL379&lt;&gt;""))</f>
        <v>0</v>
      </c>
      <c r="AP379" s="82" t="str">
        <f aca="false">IF(AL379&lt;&gt;"",AL379,IF(AG379&lt;&gt;"",AG379,IF(AA379&lt;&gt;"",AA379,"")))</f>
        <v/>
      </c>
      <c r="AQ379" s="84" t="str">
        <f aca="false">IF(E379="","",IF(U379="","À SOUDER",IF(X379="","VT EN ATTENTE",IF(X379="R","VT REJETÉ – À REPRENDRE",IF(AP379="","À RADIOGRAPHIER",IF(AP379="A","ACCEPTÉ",IF(AP379="NX","NX – RT À REFAIRE",IF(IF(AO379=1,AD379,IF(AO379=2,AI379,""))="A","RÉPARÉ – À RADIOGRAPHIER",IF(IF(AO379=1,AD379,IF(AO379=2,AI379,""))="R","VT REJETÉ – À REPRENDRE",IF(OR(AP379="CO",AP379="NT"),"COUPE – À RESOUDER","À RÉPARER"))))))))))</f>
        <v>À SOUDER</v>
      </c>
      <c r="AR379" s="82" t="str">
        <f aca="false">IF(AND(ISNUMBER(U379),OR(AQ379="À RADIOGRAPHIER",AQ379="RÉPARÉ – À RADIOGRAPHIER",AQ379="NX – RT À REFAIRE",AQ379="À RÉPARER",AQ379="COUPE – À RESOUDER",AQ379="VT REJETÉ – À REPRENDRE")),MAX(0,'PROGRAMME RT'!$C$4-U379),"")</f>
        <v/>
      </c>
      <c r="AS379" s="82" t="n">
        <f aca="false">IF(AND(OR(AQ379="À RADIOGRAPHIER",AQ379="RÉPARÉ – À RADIOGRAPHIER",AQ379="NX – RT À REFAIRE"),OR('PROGRAMME RT'!$D$5="TOUTES",B379='PROGRAMME RT'!$D$5)),1,0)</f>
        <v>0</v>
      </c>
      <c r="AT379" s="82" t="str">
        <f aca="false">IF(AS379=1,SUM(AS$7:AS379),"")</f>
        <v/>
      </c>
      <c r="AU379" s="82" t="n">
        <f aca="false">IF(AND(OR(AA379="R",AA379="NX",AA379="NT",AA379="CO"),OR('JOINTS DE RÉPARATION'!$D$5="TOUTES",B379='JOINTS DE RÉPARATION'!$D$5),OR('JOINTS DE RÉPARATION'!$L$4="TOUS",AQ379&lt;&gt;"ACCEPTÉ")),1,0)</f>
        <v>0</v>
      </c>
      <c r="AV379" s="82" t="str">
        <f aca="false">IF(AU379=1,SUM(AU$7:AU379),"")</f>
        <v/>
      </c>
      <c r="AW379" s="82" t="str">
        <f aca="false">IF(E379="","",B379&amp;"|"&amp;E379)</f>
        <v>MFD-ISW → MFD-CPF|JN°373</v>
      </c>
    </row>
    <row r="380" customFormat="false" ht="74.6" hidden="false" customHeight="false" outlineLevel="0" collapsed="false">
      <c r="A380" s="79" t="n">
        <f aca="false">IF(E380="","",ROW()-6)</f>
        <v>374</v>
      </c>
      <c r="B380" s="80" t="s">
        <v>110</v>
      </c>
      <c r="C380" s="81"/>
      <c r="D380" s="81"/>
      <c r="E380" s="81" t="s">
        <v>484</v>
      </c>
      <c r="F380" s="82" t="str">
        <f aca="false">IF(E380="","",IF(LEFT(E380,2)="DJ","DJ","JN"))</f>
        <v>JN</v>
      </c>
      <c r="G380" s="81"/>
      <c r="H380" s="81"/>
      <c r="I380" s="81"/>
      <c r="J380" s="81"/>
      <c r="K380" s="81"/>
      <c r="L380" s="81"/>
      <c r="M380" s="81"/>
      <c r="N380" s="81"/>
      <c r="O380" s="81"/>
      <c r="P380" s="81"/>
      <c r="Q380" s="81"/>
      <c r="R380" s="81"/>
      <c r="S380" s="81"/>
      <c r="T380" s="81"/>
      <c r="U380" s="83"/>
      <c r="V380" s="83"/>
      <c r="W380" s="81"/>
      <c r="X380" s="81"/>
      <c r="Y380" s="83"/>
      <c r="Z380" s="81"/>
      <c r="AA380" s="81"/>
      <c r="AB380" s="81"/>
      <c r="AC380" s="81"/>
      <c r="AD380" s="81"/>
      <c r="AE380" s="83"/>
      <c r="AF380" s="81"/>
      <c r="AG380" s="81"/>
      <c r="AH380" s="81"/>
      <c r="AI380" s="81"/>
      <c r="AJ380" s="83"/>
      <c r="AK380" s="81"/>
      <c r="AL380" s="81"/>
      <c r="AM380" s="83"/>
      <c r="AN380" s="80"/>
      <c r="AO380" s="82" t="n">
        <f aca="false">IF(E380="","",(AA380&lt;&gt;"")+(AG380&lt;&gt;"")+(AL380&lt;&gt;""))</f>
        <v>0</v>
      </c>
      <c r="AP380" s="82" t="str">
        <f aca="false">IF(AL380&lt;&gt;"",AL380,IF(AG380&lt;&gt;"",AG380,IF(AA380&lt;&gt;"",AA380,"")))</f>
        <v/>
      </c>
      <c r="AQ380" s="84" t="str">
        <f aca="false">IF(E380="","",IF(U380="","À SOUDER",IF(X380="","VT EN ATTENTE",IF(X380="R","VT REJETÉ – À REPRENDRE",IF(AP380="","À RADIOGRAPHIER",IF(AP380="A","ACCEPTÉ",IF(AP380="NX","NX – RT À REFAIRE",IF(IF(AO380=1,AD380,IF(AO380=2,AI380,""))="A","RÉPARÉ – À RADIOGRAPHIER",IF(IF(AO380=1,AD380,IF(AO380=2,AI380,""))="R","VT REJETÉ – À REPRENDRE",IF(OR(AP380="CO",AP380="NT"),"COUPE – À RESOUDER","À RÉPARER"))))))))))</f>
        <v>À SOUDER</v>
      </c>
      <c r="AR380" s="82" t="str">
        <f aca="false">IF(AND(ISNUMBER(U380),OR(AQ380="À RADIOGRAPHIER",AQ380="RÉPARÉ – À RADIOGRAPHIER",AQ380="NX – RT À REFAIRE",AQ380="À RÉPARER",AQ380="COUPE – À RESOUDER",AQ380="VT REJETÉ – À REPRENDRE")),MAX(0,'PROGRAMME RT'!$C$4-U380),"")</f>
        <v/>
      </c>
      <c r="AS380" s="82" t="n">
        <f aca="false">IF(AND(OR(AQ380="À RADIOGRAPHIER",AQ380="RÉPARÉ – À RADIOGRAPHIER",AQ380="NX – RT À REFAIRE"),OR('PROGRAMME RT'!$D$5="TOUTES",B380='PROGRAMME RT'!$D$5)),1,0)</f>
        <v>0</v>
      </c>
      <c r="AT380" s="82" t="str">
        <f aca="false">IF(AS380=1,SUM(AS$7:AS380),"")</f>
        <v/>
      </c>
      <c r="AU380" s="82" t="n">
        <f aca="false">IF(AND(OR(AA380="R",AA380="NX",AA380="NT",AA380="CO"),OR('JOINTS DE RÉPARATION'!$D$5="TOUTES",B380='JOINTS DE RÉPARATION'!$D$5),OR('JOINTS DE RÉPARATION'!$L$4="TOUS",AQ380&lt;&gt;"ACCEPTÉ")),1,0)</f>
        <v>0</v>
      </c>
      <c r="AV380" s="82" t="str">
        <f aca="false">IF(AU380=1,SUM(AU$7:AU380),"")</f>
        <v/>
      </c>
      <c r="AW380" s="82" t="str">
        <f aca="false">IF(E380="","",B380&amp;"|"&amp;E380)</f>
        <v>MFD-ISW → MFD-CPF|JN°374</v>
      </c>
    </row>
    <row r="381" customFormat="false" ht="74.6" hidden="false" customHeight="false" outlineLevel="0" collapsed="false">
      <c r="A381" s="79" t="n">
        <f aca="false">IF(E381="","",ROW()-6)</f>
        <v>375</v>
      </c>
      <c r="B381" s="80" t="s">
        <v>110</v>
      </c>
      <c r="C381" s="81"/>
      <c r="D381" s="81"/>
      <c r="E381" s="81" t="s">
        <v>485</v>
      </c>
      <c r="F381" s="82" t="str">
        <f aca="false">IF(E381="","",IF(LEFT(E381,2)="DJ","DJ","JN"))</f>
        <v>JN</v>
      </c>
      <c r="G381" s="81"/>
      <c r="H381" s="81"/>
      <c r="I381" s="81"/>
      <c r="J381" s="81"/>
      <c r="K381" s="81"/>
      <c r="L381" s="81"/>
      <c r="M381" s="81"/>
      <c r="N381" s="81"/>
      <c r="O381" s="81"/>
      <c r="P381" s="81"/>
      <c r="Q381" s="81"/>
      <c r="R381" s="81"/>
      <c r="S381" s="81"/>
      <c r="T381" s="81"/>
      <c r="U381" s="83"/>
      <c r="V381" s="83"/>
      <c r="W381" s="81"/>
      <c r="X381" s="81"/>
      <c r="Y381" s="83"/>
      <c r="Z381" s="81"/>
      <c r="AA381" s="81"/>
      <c r="AB381" s="81"/>
      <c r="AC381" s="81"/>
      <c r="AD381" s="81"/>
      <c r="AE381" s="83"/>
      <c r="AF381" s="81"/>
      <c r="AG381" s="81"/>
      <c r="AH381" s="81"/>
      <c r="AI381" s="81"/>
      <c r="AJ381" s="83"/>
      <c r="AK381" s="81"/>
      <c r="AL381" s="81"/>
      <c r="AM381" s="83"/>
      <c r="AN381" s="80"/>
      <c r="AO381" s="82" t="n">
        <f aca="false">IF(E381="","",(AA381&lt;&gt;"")+(AG381&lt;&gt;"")+(AL381&lt;&gt;""))</f>
        <v>0</v>
      </c>
      <c r="AP381" s="82" t="str">
        <f aca="false">IF(AL381&lt;&gt;"",AL381,IF(AG381&lt;&gt;"",AG381,IF(AA381&lt;&gt;"",AA381,"")))</f>
        <v/>
      </c>
      <c r="AQ381" s="84" t="str">
        <f aca="false">IF(E381="","",IF(U381="","À SOUDER",IF(X381="","VT EN ATTENTE",IF(X381="R","VT REJETÉ – À REPRENDRE",IF(AP381="","À RADIOGRAPHIER",IF(AP381="A","ACCEPTÉ",IF(AP381="NX","NX – RT À REFAIRE",IF(IF(AO381=1,AD381,IF(AO381=2,AI381,""))="A","RÉPARÉ – À RADIOGRAPHIER",IF(IF(AO381=1,AD381,IF(AO381=2,AI381,""))="R","VT REJETÉ – À REPRENDRE",IF(OR(AP381="CO",AP381="NT"),"COUPE – À RESOUDER","À RÉPARER"))))))))))</f>
        <v>À SOUDER</v>
      </c>
      <c r="AR381" s="82" t="str">
        <f aca="false">IF(AND(ISNUMBER(U381),OR(AQ381="À RADIOGRAPHIER",AQ381="RÉPARÉ – À RADIOGRAPHIER",AQ381="NX – RT À REFAIRE",AQ381="À RÉPARER",AQ381="COUPE – À RESOUDER",AQ381="VT REJETÉ – À REPRENDRE")),MAX(0,'PROGRAMME RT'!$C$4-U381),"")</f>
        <v/>
      </c>
      <c r="AS381" s="82" t="n">
        <f aca="false">IF(AND(OR(AQ381="À RADIOGRAPHIER",AQ381="RÉPARÉ – À RADIOGRAPHIER",AQ381="NX – RT À REFAIRE"),OR('PROGRAMME RT'!$D$5="TOUTES",B381='PROGRAMME RT'!$D$5)),1,0)</f>
        <v>0</v>
      </c>
      <c r="AT381" s="82" t="str">
        <f aca="false">IF(AS381=1,SUM(AS$7:AS381),"")</f>
        <v/>
      </c>
      <c r="AU381" s="82" t="n">
        <f aca="false">IF(AND(OR(AA381="R",AA381="NX",AA381="NT",AA381="CO"),OR('JOINTS DE RÉPARATION'!$D$5="TOUTES",B381='JOINTS DE RÉPARATION'!$D$5),OR('JOINTS DE RÉPARATION'!$L$4="TOUS",AQ381&lt;&gt;"ACCEPTÉ")),1,0)</f>
        <v>0</v>
      </c>
      <c r="AV381" s="82" t="str">
        <f aca="false">IF(AU381=1,SUM(AU$7:AU381),"")</f>
        <v/>
      </c>
      <c r="AW381" s="82" t="str">
        <f aca="false">IF(E381="","",B381&amp;"|"&amp;E381)</f>
        <v>MFD-ISW → MFD-CPF|JN°375</v>
      </c>
    </row>
    <row r="382" customFormat="false" ht="74.6" hidden="false" customHeight="false" outlineLevel="0" collapsed="false">
      <c r="A382" s="79" t="n">
        <f aca="false">IF(E382="","",ROW()-6)</f>
        <v>376</v>
      </c>
      <c r="B382" s="80" t="s">
        <v>110</v>
      </c>
      <c r="C382" s="81"/>
      <c r="D382" s="81"/>
      <c r="E382" s="81" t="s">
        <v>486</v>
      </c>
      <c r="F382" s="82" t="str">
        <f aca="false">IF(E382="","",IF(LEFT(E382,2)="DJ","DJ","JN"))</f>
        <v>JN</v>
      </c>
      <c r="G382" s="81"/>
      <c r="H382" s="81"/>
      <c r="I382" s="81"/>
      <c r="J382" s="81"/>
      <c r="K382" s="81"/>
      <c r="L382" s="81"/>
      <c r="M382" s="81"/>
      <c r="N382" s="81"/>
      <c r="O382" s="81"/>
      <c r="P382" s="81"/>
      <c r="Q382" s="81"/>
      <c r="R382" s="81"/>
      <c r="S382" s="81"/>
      <c r="T382" s="81"/>
      <c r="U382" s="83"/>
      <c r="V382" s="83"/>
      <c r="W382" s="81"/>
      <c r="X382" s="81"/>
      <c r="Y382" s="83"/>
      <c r="Z382" s="81"/>
      <c r="AA382" s="81"/>
      <c r="AB382" s="81"/>
      <c r="AC382" s="81"/>
      <c r="AD382" s="81"/>
      <c r="AE382" s="83"/>
      <c r="AF382" s="81"/>
      <c r="AG382" s="81"/>
      <c r="AH382" s="81"/>
      <c r="AI382" s="81"/>
      <c r="AJ382" s="83"/>
      <c r="AK382" s="81"/>
      <c r="AL382" s="81"/>
      <c r="AM382" s="83"/>
      <c r="AN382" s="80"/>
      <c r="AO382" s="82" t="n">
        <f aca="false">IF(E382="","",(AA382&lt;&gt;"")+(AG382&lt;&gt;"")+(AL382&lt;&gt;""))</f>
        <v>0</v>
      </c>
      <c r="AP382" s="82" t="str">
        <f aca="false">IF(AL382&lt;&gt;"",AL382,IF(AG382&lt;&gt;"",AG382,IF(AA382&lt;&gt;"",AA382,"")))</f>
        <v/>
      </c>
      <c r="AQ382" s="84" t="str">
        <f aca="false">IF(E382="","",IF(U382="","À SOUDER",IF(X382="","VT EN ATTENTE",IF(X382="R","VT REJETÉ – À REPRENDRE",IF(AP382="","À RADIOGRAPHIER",IF(AP382="A","ACCEPTÉ",IF(AP382="NX","NX – RT À REFAIRE",IF(IF(AO382=1,AD382,IF(AO382=2,AI382,""))="A","RÉPARÉ – À RADIOGRAPHIER",IF(IF(AO382=1,AD382,IF(AO382=2,AI382,""))="R","VT REJETÉ – À REPRENDRE",IF(OR(AP382="CO",AP382="NT"),"COUPE – À RESOUDER","À RÉPARER"))))))))))</f>
        <v>À SOUDER</v>
      </c>
      <c r="AR382" s="82" t="str">
        <f aca="false">IF(AND(ISNUMBER(U382),OR(AQ382="À RADIOGRAPHIER",AQ382="RÉPARÉ – À RADIOGRAPHIER",AQ382="NX – RT À REFAIRE",AQ382="À RÉPARER",AQ382="COUPE – À RESOUDER",AQ382="VT REJETÉ – À REPRENDRE")),MAX(0,'PROGRAMME RT'!$C$4-U382),"")</f>
        <v/>
      </c>
      <c r="AS382" s="82" t="n">
        <f aca="false">IF(AND(OR(AQ382="À RADIOGRAPHIER",AQ382="RÉPARÉ – À RADIOGRAPHIER",AQ382="NX – RT À REFAIRE"),OR('PROGRAMME RT'!$D$5="TOUTES",B382='PROGRAMME RT'!$D$5)),1,0)</f>
        <v>0</v>
      </c>
      <c r="AT382" s="82" t="str">
        <f aca="false">IF(AS382=1,SUM(AS$7:AS382),"")</f>
        <v/>
      </c>
      <c r="AU382" s="82" t="n">
        <f aca="false">IF(AND(OR(AA382="R",AA382="NX",AA382="NT",AA382="CO"),OR('JOINTS DE RÉPARATION'!$D$5="TOUTES",B382='JOINTS DE RÉPARATION'!$D$5),OR('JOINTS DE RÉPARATION'!$L$4="TOUS",AQ382&lt;&gt;"ACCEPTÉ")),1,0)</f>
        <v>0</v>
      </c>
      <c r="AV382" s="82" t="str">
        <f aca="false">IF(AU382=1,SUM(AU$7:AU382),"")</f>
        <v/>
      </c>
      <c r="AW382" s="82" t="str">
        <f aca="false">IF(E382="","",B382&amp;"|"&amp;E382)</f>
        <v>MFD-ISW → MFD-CPF|JN°376</v>
      </c>
    </row>
    <row r="383" customFormat="false" ht="74.6" hidden="false" customHeight="false" outlineLevel="0" collapsed="false">
      <c r="A383" s="79" t="n">
        <f aca="false">IF(E383="","",ROW()-6)</f>
        <v>377</v>
      </c>
      <c r="B383" s="80" t="s">
        <v>110</v>
      </c>
      <c r="C383" s="81"/>
      <c r="D383" s="81"/>
      <c r="E383" s="81" t="s">
        <v>487</v>
      </c>
      <c r="F383" s="82" t="str">
        <f aca="false">IF(E383="","",IF(LEFT(E383,2)="DJ","DJ","JN"))</f>
        <v>JN</v>
      </c>
      <c r="G383" s="81"/>
      <c r="H383" s="81"/>
      <c r="I383" s="81"/>
      <c r="J383" s="81"/>
      <c r="K383" s="81"/>
      <c r="L383" s="81"/>
      <c r="M383" s="81"/>
      <c r="N383" s="81"/>
      <c r="O383" s="81"/>
      <c r="P383" s="81"/>
      <c r="Q383" s="81"/>
      <c r="R383" s="81"/>
      <c r="S383" s="81"/>
      <c r="T383" s="81"/>
      <c r="U383" s="83"/>
      <c r="V383" s="83"/>
      <c r="W383" s="81"/>
      <c r="X383" s="81"/>
      <c r="Y383" s="83"/>
      <c r="Z383" s="81"/>
      <c r="AA383" s="81"/>
      <c r="AB383" s="81"/>
      <c r="AC383" s="81"/>
      <c r="AD383" s="81"/>
      <c r="AE383" s="83"/>
      <c r="AF383" s="81"/>
      <c r="AG383" s="81"/>
      <c r="AH383" s="81"/>
      <c r="AI383" s="81"/>
      <c r="AJ383" s="83"/>
      <c r="AK383" s="81"/>
      <c r="AL383" s="81"/>
      <c r="AM383" s="83"/>
      <c r="AN383" s="80"/>
      <c r="AO383" s="82" t="n">
        <f aca="false">IF(E383="","",(AA383&lt;&gt;"")+(AG383&lt;&gt;"")+(AL383&lt;&gt;""))</f>
        <v>0</v>
      </c>
      <c r="AP383" s="82" t="str">
        <f aca="false">IF(AL383&lt;&gt;"",AL383,IF(AG383&lt;&gt;"",AG383,IF(AA383&lt;&gt;"",AA383,"")))</f>
        <v/>
      </c>
      <c r="AQ383" s="84" t="str">
        <f aca="false">IF(E383="","",IF(U383="","À SOUDER",IF(X383="","VT EN ATTENTE",IF(X383="R","VT REJETÉ – À REPRENDRE",IF(AP383="","À RADIOGRAPHIER",IF(AP383="A","ACCEPTÉ",IF(AP383="NX","NX – RT À REFAIRE",IF(IF(AO383=1,AD383,IF(AO383=2,AI383,""))="A","RÉPARÉ – À RADIOGRAPHIER",IF(IF(AO383=1,AD383,IF(AO383=2,AI383,""))="R","VT REJETÉ – À REPRENDRE",IF(OR(AP383="CO",AP383="NT"),"COUPE – À RESOUDER","À RÉPARER"))))))))))</f>
        <v>À SOUDER</v>
      </c>
      <c r="AR383" s="82" t="str">
        <f aca="false">IF(AND(ISNUMBER(U383),OR(AQ383="À RADIOGRAPHIER",AQ383="RÉPARÉ – À RADIOGRAPHIER",AQ383="NX – RT À REFAIRE",AQ383="À RÉPARER",AQ383="COUPE – À RESOUDER",AQ383="VT REJETÉ – À REPRENDRE")),MAX(0,'PROGRAMME RT'!$C$4-U383),"")</f>
        <v/>
      </c>
      <c r="AS383" s="82" t="n">
        <f aca="false">IF(AND(OR(AQ383="À RADIOGRAPHIER",AQ383="RÉPARÉ – À RADIOGRAPHIER",AQ383="NX – RT À REFAIRE"),OR('PROGRAMME RT'!$D$5="TOUTES",B383='PROGRAMME RT'!$D$5)),1,0)</f>
        <v>0</v>
      </c>
      <c r="AT383" s="82" t="str">
        <f aca="false">IF(AS383=1,SUM(AS$7:AS383),"")</f>
        <v/>
      </c>
      <c r="AU383" s="82" t="n">
        <f aca="false">IF(AND(OR(AA383="R",AA383="NX",AA383="NT",AA383="CO"),OR('JOINTS DE RÉPARATION'!$D$5="TOUTES",B383='JOINTS DE RÉPARATION'!$D$5),OR('JOINTS DE RÉPARATION'!$L$4="TOUS",AQ383&lt;&gt;"ACCEPTÉ")),1,0)</f>
        <v>0</v>
      </c>
      <c r="AV383" s="82" t="str">
        <f aca="false">IF(AU383=1,SUM(AU$7:AU383),"")</f>
        <v/>
      </c>
      <c r="AW383" s="82" t="str">
        <f aca="false">IF(E383="","",B383&amp;"|"&amp;E383)</f>
        <v>MFD-ISW → MFD-CPF|JN°377</v>
      </c>
    </row>
    <row r="384" customFormat="false" ht="74.6" hidden="false" customHeight="false" outlineLevel="0" collapsed="false">
      <c r="A384" s="79" t="n">
        <f aca="false">IF(E384="","",ROW()-6)</f>
        <v>378</v>
      </c>
      <c r="B384" s="80" t="s">
        <v>110</v>
      </c>
      <c r="C384" s="81"/>
      <c r="D384" s="81"/>
      <c r="E384" s="81" t="s">
        <v>488</v>
      </c>
      <c r="F384" s="82" t="str">
        <f aca="false">IF(E384="","",IF(LEFT(E384,2)="DJ","DJ","JN"))</f>
        <v>JN</v>
      </c>
      <c r="G384" s="81"/>
      <c r="H384" s="81"/>
      <c r="I384" s="81"/>
      <c r="J384" s="81"/>
      <c r="K384" s="81"/>
      <c r="L384" s="81"/>
      <c r="M384" s="81"/>
      <c r="N384" s="81"/>
      <c r="O384" s="81"/>
      <c r="P384" s="81"/>
      <c r="Q384" s="81"/>
      <c r="R384" s="81"/>
      <c r="S384" s="81"/>
      <c r="T384" s="81"/>
      <c r="U384" s="83"/>
      <c r="V384" s="83"/>
      <c r="W384" s="81"/>
      <c r="X384" s="81"/>
      <c r="Y384" s="83"/>
      <c r="Z384" s="81"/>
      <c r="AA384" s="81"/>
      <c r="AB384" s="81"/>
      <c r="AC384" s="81"/>
      <c r="AD384" s="81"/>
      <c r="AE384" s="83"/>
      <c r="AF384" s="81"/>
      <c r="AG384" s="81"/>
      <c r="AH384" s="81"/>
      <c r="AI384" s="81"/>
      <c r="AJ384" s="83"/>
      <c r="AK384" s="81"/>
      <c r="AL384" s="81"/>
      <c r="AM384" s="83"/>
      <c r="AN384" s="80"/>
      <c r="AO384" s="82" t="n">
        <f aca="false">IF(E384="","",(AA384&lt;&gt;"")+(AG384&lt;&gt;"")+(AL384&lt;&gt;""))</f>
        <v>0</v>
      </c>
      <c r="AP384" s="82" t="str">
        <f aca="false">IF(AL384&lt;&gt;"",AL384,IF(AG384&lt;&gt;"",AG384,IF(AA384&lt;&gt;"",AA384,"")))</f>
        <v/>
      </c>
      <c r="AQ384" s="84" t="str">
        <f aca="false">IF(E384="","",IF(U384="","À SOUDER",IF(X384="","VT EN ATTENTE",IF(X384="R","VT REJETÉ – À REPRENDRE",IF(AP384="","À RADIOGRAPHIER",IF(AP384="A","ACCEPTÉ",IF(AP384="NX","NX – RT À REFAIRE",IF(IF(AO384=1,AD384,IF(AO384=2,AI384,""))="A","RÉPARÉ – À RADIOGRAPHIER",IF(IF(AO384=1,AD384,IF(AO384=2,AI384,""))="R","VT REJETÉ – À REPRENDRE",IF(OR(AP384="CO",AP384="NT"),"COUPE – À RESOUDER","À RÉPARER"))))))))))</f>
        <v>À SOUDER</v>
      </c>
      <c r="AR384" s="82" t="str">
        <f aca="false">IF(AND(ISNUMBER(U384),OR(AQ384="À RADIOGRAPHIER",AQ384="RÉPARÉ – À RADIOGRAPHIER",AQ384="NX – RT À REFAIRE",AQ384="À RÉPARER",AQ384="COUPE – À RESOUDER",AQ384="VT REJETÉ – À REPRENDRE")),MAX(0,'PROGRAMME RT'!$C$4-U384),"")</f>
        <v/>
      </c>
      <c r="AS384" s="82" t="n">
        <f aca="false">IF(AND(OR(AQ384="À RADIOGRAPHIER",AQ384="RÉPARÉ – À RADIOGRAPHIER",AQ384="NX – RT À REFAIRE"),OR('PROGRAMME RT'!$D$5="TOUTES",B384='PROGRAMME RT'!$D$5)),1,0)</f>
        <v>0</v>
      </c>
      <c r="AT384" s="82" t="str">
        <f aca="false">IF(AS384=1,SUM(AS$7:AS384),"")</f>
        <v/>
      </c>
      <c r="AU384" s="82" t="n">
        <f aca="false">IF(AND(OR(AA384="R",AA384="NX",AA384="NT",AA384="CO"),OR('JOINTS DE RÉPARATION'!$D$5="TOUTES",B384='JOINTS DE RÉPARATION'!$D$5),OR('JOINTS DE RÉPARATION'!$L$4="TOUS",AQ384&lt;&gt;"ACCEPTÉ")),1,0)</f>
        <v>0</v>
      </c>
      <c r="AV384" s="82" t="str">
        <f aca="false">IF(AU384=1,SUM(AU$7:AU384),"")</f>
        <v/>
      </c>
      <c r="AW384" s="82" t="str">
        <f aca="false">IF(E384="","",B384&amp;"|"&amp;E384)</f>
        <v>MFD-ISW → MFD-CPF|JN°378</v>
      </c>
    </row>
    <row r="385" customFormat="false" ht="74.6" hidden="false" customHeight="false" outlineLevel="0" collapsed="false">
      <c r="A385" s="79" t="n">
        <f aca="false">IF(E385="","",ROW()-6)</f>
        <v>379</v>
      </c>
      <c r="B385" s="80" t="s">
        <v>110</v>
      </c>
      <c r="C385" s="81"/>
      <c r="D385" s="81"/>
      <c r="E385" s="81" t="s">
        <v>489</v>
      </c>
      <c r="F385" s="82" t="str">
        <f aca="false">IF(E385="","",IF(LEFT(E385,2)="DJ","DJ","JN"))</f>
        <v>JN</v>
      </c>
      <c r="G385" s="81"/>
      <c r="H385" s="81"/>
      <c r="I385" s="81"/>
      <c r="J385" s="81"/>
      <c r="K385" s="81"/>
      <c r="L385" s="81"/>
      <c r="M385" s="81"/>
      <c r="N385" s="81"/>
      <c r="O385" s="81"/>
      <c r="P385" s="81"/>
      <c r="Q385" s="81"/>
      <c r="R385" s="81"/>
      <c r="S385" s="81"/>
      <c r="T385" s="81"/>
      <c r="U385" s="83"/>
      <c r="V385" s="83"/>
      <c r="W385" s="81"/>
      <c r="X385" s="81"/>
      <c r="Y385" s="83"/>
      <c r="Z385" s="81"/>
      <c r="AA385" s="81"/>
      <c r="AB385" s="81"/>
      <c r="AC385" s="81"/>
      <c r="AD385" s="81"/>
      <c r="AE385" s="83"/>
      <c r="AF385" s="81"/>
      <c r="AG385" s="81"/>
      <c r="AH385" s="81"/>
      <c r="AI385" s="81"/>
      <c r="AJ385" s="83"/>
      <c r="AK385" s="81"/>
      <c r="AL385" s="81"/>
      <c r="AM385" s="83"/>
      <c r="AN385" s="80"/>
      <c r="AO385" s="82" t="n">
        <f aca="false">IF(E385="","",(AA385&lt;&gt;"")+(AG385&lt;&gt;"")+(AL385&lt;&gt;""))</f>
        <v>0</v>
      </c>
      <c r="AP385" s="82" t="str">
        <f aca="false">IF(AL385&lt;&gt;"",AL385,IF(AG385&lt;&gt;"",AG385,IF(AA385&lt;&gt;"",AA385,"")))</f>
        <v/>
      </c>
      <c r="AQ385" s="84" t="str">
        <f aca="false">IF(E385="","",IF(U385="","À SOUDER",IF(X385="","VT EN ATTENTE",IF(X385="R","VT REJETÉ – À REPRENDRE",IF(AP385="","À RADIOGRAPHIER",IF(AP385="A","ACCEPTÉ",IF(AP385="NX","NX – RT À REFAIRE",IF(IF(AO385=1,AD385,IF(AO385=2,AI385,""))="A","RÉPARÉ – À RADIOGRAPHIER",IF(IF(AO385=1,AD385,IF(AO385=2,AI385,""))="R","VT REJETÉ – À REPRENDRE",IF(OR(AP385="CO",AP385="NT"),"COUPE – À RESOUDER","À RÉPARER"))))))))))</f>
        <v>À SOUDER</v>
      </c>
      <c r="AR385" s="82" t="str">
        <f aca="false">IF(AND(ISNUMBER(U385),OR(AQ385="À RADIOGRAPHIER",AQ385="RÉPARÉ – À RADIOGRAPHIER",AQ385="NX – RT À REFAIRE",AQ385="À RÉPARER",AQ385="COUPE – À RESOUDER",AQ385="VT REJETÉ – À REPRENDRE")),MAX(0,'PROGRAMME RT'!$C$4-U385),"")</f>
        <v/>
      </c>
      <c r="AS385" s="82" t="n">
        <f aca="false">IF(AND(OR(AQ385="À RADIOGRAPHIER",AQ385="RÉPARÉ – À RADIOGRAPHIER",AQ385="NX – RT À REFAIRE"),OR('PROGRAMME RT'!$D$5="TOUTES",B385='PROGRAMME RT'!$D$5)),1,0)</f>
        <v>0</v>
      </c>
      <c r="AT385" s="82" t="str">
        <f aca="false">IF(AS385=1,SUM(AS$7:AS385),"")</f>
        <v/>
      </c>
      <c r="AU385" s="82" t="n">
        <f aca="false">IF(AND(OR(AA385="R",AA385="NX",AA385="NT",AA385="CO"),OR('JOINTS DE RÉPARATION'!$D$5="TOUTES",B385='JOINTS DE RÉPARATION'!$D$5),OR('JOINTS DE RÉPARATION'!$L$4="TOUS",AQ385&lt;&gt;"ACCEPTÉ")),1,0)</f>
        <v>0</v>
      </c>
      <c r="AV385" s="82" t="str">
        <f aca="false">IF(AU385=1,SUM(AU$7:AU385),"")</f>
        <v/>
      </c>
      <c r="AW385" s="82" t="str">
        <f aca="false">IF(E385="","",B385&amp;"|"&amp;E385)</f>
        <v>MFD-ISW → MFD-CPF|JN°379</v>
      </c>
    </row>
    <row r="386" customFormat="false" ht="74.6" hidden="false" customHeight="false" outlineLevel="0" collapsed="false">
      <c r="A386" s="79" t="n">
        <f aca="false">IF(E386="","",ROW()-6)</f>
        <v>380</v>
      </c>
      <c r="B386" s="80" t="s">
        <v>110</v>
      </c>
      <c r="C386" s="81"/>
      <c r="D386" s="81"/>
      <c r="E386" s="81" t="s">
        <v>490</v>
      </c>
      <c r="F386" s="82" t="str">
        <f aca="false">IF(E386="","",IF(LEFT(E386,2)="DJ","DJ","JN"))</f>
        <v>JN</v>
      </c>
      <c r="G386" s="81"/>
      <c r="H386" s="81"/>
      <c r="I386" s="81"/>
      <c r="J386" s="81"/>
      <c r="K386" s="81"/>
      <c r="L386" s="81"/>
      <c r="M386" s="81"/>
      <c r="N386" s="81"/>
      <c r="O386" s="81"/>
      <c r="P386" s="81"/>
      <c r="Q386" s="81"/>
      <c r="R386" s="81"/>
      <c r="S386" s="81"/>
      <c r="T386" s="81"/>
      <c r="U386" s="83"/>
      <c r="V386" s="83"/>
      <c r="W386" s="81"/>
      <c r="X386" s="81"/>
      <c r="Y386" s="83"/>
      <c r="Z386" s="81"/>
      <c r="AA386" s="81"/>
      <c r="AB386" s="81"/>
      <c r="AC386" s="81"/>
      <c r="AD386" s="81"/>
      <c r="AE386" s="83"/>
      <c r="AF386" s="81"/>
      <c r="AG386" s="81"/>
      <c r="AH386" s="81"/>
      <c r="AI386" s="81"/>
      <c r="AJ386" s="83"/>
      <c r="AK386" s="81"/>
      <c r="AL386" s="81"/>
      <c r="AM386" s="83"/>
      <c r="AN386" s="80"/>
      <c r="AO386" s="82" t="n">
        <f aca="false">IF(E386="","",(AA386&lt;&gt;"")+(AG386&lt;&gt;"")+(AL386&lt;&gt;""))</f>
        <v>0</v>
      </c>
      <c r="AP386" s="82" t="str">
        <f aca="false">IF(AL386&lt;&gt;"",AL386,IF(AG386&lt;&gt;"",AG386,IF(AA386&lt;&gt;"",AA386,"")))</f>
        <v/>
      </c>
      <c r="AQ386" s="84" t="str">
        <f aca="false">IF(E386="","",IF(U386="","À SOUDER",IF(X386="","VT EN ATTENTE",IF(X386="R","VT REJETÉ – À REPRENDRE",IF(AP386="","À RADIOGRAPHIER",IF(AP386="A","ACCEPTÉ",IF(AP386="NX","NX – RT À REFAIRE",IF(IF(AO386=1,AD386,IF(AO386=2,AI386,""))="A","RÉPARÉ – À RADIOGRAPHIER",IF(IF(AO386=1,AD386,IF(AO386=2,AI386,""))="R","VT REJETÉ – À REPRENDRE",IF(OR(AP386="CO",AP386="NT"),"COUPE – À RESOUDER","À RÉPARER"))))))))))</f>
        <v>À SOUDER</v>
      </c>
      <c r="AR386" s="82" t="str">
        <f aca="false">IF(AND(ISNUMBER(U386),OR(AQ386="À RADIOGRAPHIER",AQ386="RÉPARÉ – À RADIOGRAPHIER",AQ386="NX – RT À REFAIRE",AQ386="À RÉPARER",AQ386="COUPE – À RESOUDER",AQ386="VT REJETÉ – À REPRENDRE")),MAX(0,'PROGRAMME RT'!$C$4-U386),"")</f>
        <v/>
      </c>
      <c r="AS386" s="82" t="n">
        <f aca="false">IF(AND(OR(AQ386="À RADIOGRAPHIER",AQ386="RÉPARÉ – À RADIOGRAPHIER",AQ386="NX – RT À REFAIRE"),OR('PROGRAMME RT'!$D$5="TOUTES",B386='PROGRAMME RT'!$D$5)),1,0)</f>
        <v>0</v>
      </c>
      <c r="AT386" s="82" t="str">
        <f aca="false">IF(AS386=1,SUM(AS$7:AS386),"")</f>
        <v/>
      </c>
      <c r="AU386" s="82" t="n">
        <f aca="false">IF(AND(OR(AA386="R",AA386="NX",AA386="NT",AA386="CO"),OR('JOINTS DE RÉPARATION'!$D$5="TOUTES",B386='JOINTS DE RÉPARATION'!$D$5),OR('JOINTS DE RÉPARATION'!$L$4="TOUS",AQ386&lt;&gt;"ACCEPTÉ")),1,0)</f>
        <v>0</v>
      </c>
      <c r="AV386" s="82" t="str">
        <f aca="false">IF(AU386=1,SUM(AU$7:AU386),"")</f>
        <v/>
      </c>
      <c r="AW386" s="82" t="str">
        <f aca="false">IF(E386="","",B386&amp;"|"&amp;E386)</f>
        <v>MFD-ISW → MFD-CPF|JN°380</v>
      </c>
    </row>
    <row r="387" customFormat="false" ht="74.6" hidden="false" customHeight="false" outlineLevel="0" collapsed="false">
      <c r="A387" s="79" t="n">
        <f aca="false">IF(E387="","",ROW()-6)</f>
        <v>381</v>
      </c>
      <c r="B387" s="80" t="s">
        <v>110</v>
      </c>
      <c r="C387" s="81"/>
      <c r="D387" s="81"/>
      <c r="E387" s="81" t="s">
        <v>491</v>
      </c>
      <c r="F387" s="82" t="str">
        <f aca="false">IF(E387="","",IF(LEFT(E387,2)="DJ","DJ","JN"))</f>
        <v>JN</v>
      </c>
      <c r="G387" s="81"/>
      <c r="H387" s="81"/>
      <c r="I387" s="81"/>
      <c r="J387" s="81"/>
      <c r="K387" s="81"/>
      <c r="L387" s="81"/>
      <c r="M387" s="81"/>
      <c r="N387" s="81"/>
      <c r="O387" s="81"/>
      <c r="P387" s="81"/>
      <c r="Q387" s="81"/>
      <c r="R387" s="81"/>
      <c r="S387" s="81"/>
      <c r="T387" s="81"/>
      <c r="U387" s="83"/>
      <c r="V387" s="83"/>
      <c r="W387" s="81"/>
      <c r="X387" s="81"/>
      <c r="Y387" s="83"/>
      <c r="Z387" s="81"/>
      <c r="AA387" s="81"/>
      <c r="AB387" s="81"/>
      <c r="AC387" s="81"/>
      <c r="AD387" s="81"/>
      <c r="AE387" s="83"/>
      <c r="AF387" s="81"/>
      <c r="AG387" s="81"/>
      <c r="AH387" s="81"/>
      <c r="AI387" s="81"/>
      <c r="AJ387" s="83"/>
      <c r="AK387" s="81"/>
      <c r="AL387" s="81"/>
      <c r="AM387" s="83"/>
      <c r="AN387" s="80"/>
      <c r="AO387" s="82" t="n">
        <f aca="false">IF(E387="","",(AA387&lt;&gt;"")+(AG387&lt;&gt;"")+(AL387&lt;&gt;""))</f>
        <v>0</v>
      </c>
      <c r="AP387" s="82" t="str">
        <f aca="false">IF(AL387&lt;&gt;"",AL387,IF(AG387&lt;&gt;"",AG387,IF(AA387&lt;&gt;"",AA387,"")))</f>
        <v/>
      </c>
      <c r="AQ387" s="84" t="str">
        <f aca="false">IF(E387="","",IF(U387="","À SOUDER",IF(X387="","VT EN ATTENTE",IF(X387="R","VT REJETÉ – À REPRENDRE",IF(AP387="","À RADIOGRAPHIER",IF(AP387="A","ACCEPTÉ",IF(AP387="NX","NX – RT À REFAIRE",IF(IF(AO387=1,AD387,IF(AO387=2,AI387,""))="A","RÉPARÉ – À RADIOGRAPHIER",IF(IF(AO387=1,AD387,IF(AO387=2,AI387,""))="R","VT REJETÉ – À REPRENDRE",IF(OR(AP387="CO",AP387="NT"),"COUPE – À RESOUDER","À RÉPARER"))))))))))</f>
        <v>À SOUDER</v>
      </c>
      <c r="AR387" s="82" t="str">
        <f aca="false">IF(AND(ISNUMBER(U387),OR(AQ387="À RADIOGRAPHIER",AQ387="RÉPARÉ – À RADIOGRAPHIER",AQ387="NX – RT À REFAIRE",AQ387="À RÉPARER",AQ387="COUPE – À RESOUDER",AQ387="VT REJETÉ – À REPRENDRE")),MAX(0,'PROGRAMME RT'!$C$4-U387),"")</f>
        <v/>
      </c>
      <c r="AS387" s="82" t="n">
        <f aca="false">IF(AND(OR(AQ387="À RADIOGRAPHIER",AQ387="RÉPARÉ – À RADIOGRAPHIER",AQ387="NX – RT À REFAIRE"),OR('PROGRAMME RT'!$D$5="TOUTES",B387='PROGRAMME RT'!$D$5)),1,0)</f>
        <v>0</v>
      </c>
      <c r="AT387" s="82" t="str">
        <f aca="false">IF(AS387=1,SUM(AS$7:AS387),"")</f>
        <v/>
      </c>
      <c r="AU387" s="82" t="n">
        <f aca="false">IF(AND(OR(AA387="R",AA387="NX",AA387="NT",AA387="CO"),OR('JOINTS DE RÉPARATION'!$D$5="TOUTES",B387='JOINTS DE RÉPARATION'!$D$5),OR('JOINTS DE RÉPARATION'!$L$4="TOUS",AQ387&lt;&gt;"ACCEPTÉ")),1,0)</f>
        <v>0</v>
      </c>
      <c r="AV387" s="82" t="str">
        <f aca="false">IF(AU387=1,SUM(AU$7:AU387),"")</f>
        <v/>
      </c>
      <c r="AW387" s="82" t="str">
        <f aca="false">IF(E387="","",B387&amp;"|"&amp;E387)</f>
        <v>MFD-ISW → MFD-CPF|JN°381</v>
      </c>
    </row>
    <row r="388" customFormat="false" ht="74.6" hidden="false" customHeight="false" outlineLevel="0" collapsed="false">
      <c r="A388" s="79" t="n">
        <f aca="false">IF(E388="","",ROW()-6)</f>
        <v>382</v>
      </c>
      <c r="B388" s="80" t="s">
        <v>110</v>
      </c>
      <c r="C388" s="81"/>
      <c r="D388" s="81"/>
      <c r="E388" s="81" t="s">
        <v>492</v>
      </c>
      <c r="F388" s="82" t="str">
        <f aca="false">IF(E388="","",IF(LEFT(E388,2)="DJ","DJ","JN"))</f>
        <v>JN</v>
      </c>
      <c r="G388" s="81"/>
      <c r="H388" s="81"/>
      <c r="I388" s="81"/>
      <c r="J388" s="81"/>
      <c r="K388" s="81"/>
      <c r="L388" s="81"/>
      <c r="M388" s="81"/>
      <c r="N388" s="81"/>
      <c r="O388" s="81"/>
      <c r="P388" s="81"/>
      <c r="Q388" s="81"/>
      <c r="R388" s="81"/>
      <c r="S388" s="81"/>
      <c r="T388" s="81"/>
      <c r="U388" s="83"/>
      <c r="V388" s="83"/>
      <c r="W388" s="81"/>
      <c r="X388" s="81"/>
      <c r="Y388" s="83"/>
      <c r="Z388" s="81"/>
      <c r="AA388" s="81"/>
      <c r="AB388" s="81"/>
      <c r="AC388" s="81"/>
      <c r="AD388" s="81"/>
      <c r="AE388" s="83"/>
      <c r="AF388" s="81"/>
      <c r="AG388" s="81"/>
      <c r="AH388" s="81"/>
      <c r="AI388" s="81"/>
      <c r="AJ388" s="83"/>
      <c r="AK388" s="81"/>
      <c r="AL388" s="81"/>
      <c r="AM388" s="83"/>
      <c r="AN388" s="80"/>
      <c r="AO388" s="82" t="n">
        <f aca="false">IF(E388="","",(AA388&lt;&gt;"")+(AG388&lt;&gt;"")+(AL388&lt;&gt;""))</f>
        <v>0</v>
      </c>
      <c r="AP388" s="82" t="str">
        <f aca="false">IF(AL388&lt;&gt;"",AL388,IF(AG388&lt;&gt;"",AG388,IF(AA388&lt;&gt;"",AA388,"")))</f>
        <v/>
      </c>
      <c r="AQ388" s="84" t="str">
        <f aca="false">IF(E388="","",IF(U388="","À SOUDER",IF(X388="","VT EN ATTENTE",IF(X388="R","VT REJETÉ – À REPRENDRE",IF(AP388="","À RADIOGRAPHIER",IF(AP388="A","ACCEPTÉ",IF(AP388="NX","NX – RT À REFAIRE",IF(IF(AO388=1,AD388,IF(AO388=2,AI388,""))="A","RÉPARÉ – À RADIOGRAPHIER",IF(IF(AO388=1,AD388,IF(AO388=2,AI388,""))="R","VT REJETÉ – À REPRENDRE",IF(OR(AP388="CO",AP388="NT"),"COUPE – À RESOUDER","À RÉPARER"))))))))))</f>
        <v>À SOUDER</v>
      </c>
      <c r="AR388" s="82" t="str">
        <f aca="false">IF(AND(ISNUMBER(U388),OR(AQ388="À RADIOGRAPHIER",AQ388="RÉPARÉ – À RADIOGRAPHIER",AQ388="NX – RT À REFAIRE",AQ388="À RÉPARER",AQ388="COUPE – À RESOUDER",AQ388="VT REJETÉ – À REPRENDRE")),MAX(0,'PROGRAMME RT'!$C$4-U388),"")</f>
        <v/>
      </c>
      <c r="AS388" s="82" t="n">
        <f aca="false">IF(AND(OR(AQ388="À RADIOGRAPHIER",AQ388="RÉPARÉ – À RADIOGRAPHIER",AQ388="NX – RT À REFAIRE"),OR('PROGRAMME RT'!$D$5="TOUTES",B388='PROGRAMME RT'!$D$5)),1,0)</f>
        <v>0</v>
      </c>
      <c r="AT388" s="82" t="str">
        <f aca="false">IF(AS388=1,SUM(AS$7:AS388),"")</f>
        <v/>
      </c>
      <c r="AU388" s="82" t="n">
        <f aca="false">IF(AND(OR(AA388="R",AA388="NX",AA388="NT",AA388="CO"),OR('JOINTS DE RÉPARATION'!$D$5="TOUTES",B388='JOINTS DE RÉPARATION'!$D$5),OR('JOINTS DE RÉPARATION'!$L$4="TOUS",AQ388&lt;&gt;"ACCEPTÉ")),1,0)</f>
        <v>0</v>
      </c>
      <c r="AV388" s="82" t="str">
        <f aca="false">IF(AU388=1,SUM(AU$7:AU388),"")</f>
        <v/>
      </c>
      <c r="AW388" s="82" t="str">
        <f aca="false">IF(E388="","",B388&amp;"|"&amp;E388)</f>
        <v>MFD-ISW → MFD-CPF|JN°382</v>
      </c>
    </row>
    <row r="389" customFormat="false" ht="74.6" hidden="false" customHeight="false" outlineLevel="0" collapsed="false">
      <c r="A389" s="79" t="n">
        <f aca="false">IF(E389="","",ROW()-6)</f>
        <v>383</v>
      </c>
      <c r="B389" s="80" t="s">
        <v>110</v>
      </c>
      <c r="C389" s="81"/>
      <c r="D389" s="81"/>
      <c r="E389" s="81" t="s">
        <v>493</v>
      </c>
      <c r="F389" s="82" t="str">
        <f aca="false">IF(E389="","",IF(LEFT(E389,2)="DJ","DJ","JN"))</f>
        <v>JN</v>
      </c>
      <c r="G389" s="81"/>
      <c r="H389" s="81"/>
      <c r="I389" s="81"/>
      <c r="J389" s="81"/>
      <c r="K389" s="81"/>
      <c r="L389" s="81"/>
      <c r="M389" s="81"/>
      <c r="N389" s="81"/>
      <c r="O389" s="81"/>
      <c r="P389" s="81"/>
      <c r="Q389" s="81"/>
      <c r="R389" s="81"/>
      <c r="S389" s="81"/>
      <c r="T389" s="81"/>
      <c r="U389" s="83"/>
      <c r="V389" s="83"/>
      <c r="W389" s="81"/>
      <c r="X389" s="81"/>
      <c r="Y389" s="83"/>
      <c r="Z389" s="81"/>
      <c r="AA389" s="81"/>
      <c r="AB389" s="81"/>
      <c r="AC389" s="81"/>
      <c r="AD389" s="81"/>
      <c r="AE389" s="83"/>
      <c r="AF389" s="81"/>
      <c r="AG389" s="81"/>
      <c r="AH389" s="81"/>
      <c r="AI389" s="81"/>
      <c r="AJ389" s="83"/>
      <c r="AK389" s="81"/>
      <c r="AL389" s="81"/>
      <c r="AM389" s="83"/>
      <c r="AN389" s="80"/>
      <c r="AO389" s="82" t="n">
        <f aca="false">IF(E389="","",(AA389&lt;&gt;"")+(AG389&lt;&gt;"")+(AL389&lt;&gt;""))</f>
        <v>0</v>
      </c>
      <c r="AP389" s="82" t="str">
        <f aca="false">IF(AL389&lt;&gt;"",AL389,IF(AG389&lt;&gt;"",AG389,IF(AA389&lt;&gt;"",AA389,"")))</f>
        <v/>
      </c>
      <c r="AQ389" s="84" t="str">
        <f aca="false">IF(E389="","",IF(U389="","À SOUDER",IF(X389="","VT EN ATTENTE",IF(X389="R","VT REJETÉ – À REPRENDRE",IF(AP389="","À RADIOGRAPHIER",IF(AP389="A","ACCEPTÉ",IF(AP389="NX","NX – RT À REFAIRE",IF(IF(AO389=1,AD389,IF(AO389=2,AI389,""))="A","RÉPARÉ – À RADIOGRAPHIER",IF(IF(AO389=1,AD389,IF(AO389=2,AI389,""))="R","VT REJETÉ – À REPRENDRE",IF(OR(AP389="CO",AP389="NT"),"COUPE – À RESOUDER","À RÉPARER"))))))))))</f>
        <v>À SOUDER</v>
      </c>
      <c r="AR389" s="82" t="str">
        <f aca="false">IF(AND(ISNUMBER(U389),OR(AQ389="À RADIOGRAPHIER",AQ389="RÉPARÉ – À RADIOGRAPHIER",AQ389="NX – RT À REFAIRE",AQ389="À RÉPARER",AQ389="COUPE – À RESOUDER",AQ389="VT REJETÉ – À REPRENDRE")),MAX(0,'PROGRAMME RT'!$C$4-U389),"")</f>
        <v/>
      </c>
      <c r="AS389" s="82" t="n">
        <f aca="false">IF(AND(OR(AQ389="À RADIOGRAPHIER",AQ389="RÉPARÉ – À RADIOGRAPHIER",AQ389="NX – RT À REFAIRE"),OR('PROGRAMME RT'!$D$5="TOUTES",B389='PROGRAMME RT'!$D$5)),1,0)</f>
        <v>0</v>
      </c>
      <c r="AT389" s="82" t="str">
        <f aca="false">IF(AS389=1,SUM(AS$7:AS389),"")</f>
        <v/>
      </c>
      <c r="AU389" s="82" t="n">
        <f aca="false">IF(AND(OR(AA389="R",AA389="NX",AA389="NT",AA389="CO"),OR('JOINTS DE RÉPARATION'!$D$5="TOUTES",B389='JOINTS DE RÉPARATION'!$D$5),OR('JOINTS DE RÉPARATION'!$L$4="TOUS",AQ389&lt;&gt;"ACCEPTÉ")),1,0)</f>
        <v>0</v>
      </c>
      <c r="AV389" s="82" t="str">
        <f aca="false">IF(AU389=1,SUM(AU$7:AU389),"")</f>
        <v/>
      </c>
      <c r="AW389" s="82" t="str">
        <f aca="false">IF(E389="","",B389&amp;"|"&amp;E389)</f>
        <v>MFD-ISW → MFD-CPF|JN°383</v>
      </c>
    </row>
    <row r="390" customFormat="false" ht="74.6" hidden="false" customHeight="false" outlineLevel="0" collapsed="false">
      <c r="A390" s="79" t="n">
        <f aca="false">IF(E390="","",ROW()-6)</f>
        <v>384</v>
      </c>
      <c r="B390" s="80" t="s">
        <v>110</v>
      </c>
      <c r="C390" s="81"/>
      <c r="D390" s="81"/>
      <c r="E390" s="81" t="s">
        <v>494</v>
      </c>
      <c r="F390" s="82" t="str">
        <f aca="false">IF(E390="","",IF(LEFT(E390,2)="DJ","DJ","JN"))</f>
        <v>JN</v>
      </c>
      <c r="G390" s="81"/>
      <c r="H390" s="81"/>
      <c r="I390" s="81"/>
      <c r="J390" s="81"/>
      <c r="K390" s="81"/>
      <c r="L390" s="81"/>
      <c r="M390" s="81"/>
      <c r="N390" s="81"/>
      <c r="O390" s="81"/>
      <c r="P390" s="81"/>
      <c r="Q390" s="81"/>
      <c r="R390" s="81"/>
      <c r="S390" s="81"/>
      <c r="T390" s="81"/>
      <c r="U390" s="83"/>
      <c r="V390" s="83"/>
      <c r="W390" s="81"/>
      <c r="X390" s="81"/>
      <c r="Y390" s="83"/>
      <c r="Z390" s="81"/>
      <c r="AA390" s="81"/>
      <c r="AB390" s="81"/>
      <c r="AC390" s="81"/>
      <c r="AD390" s="81"/>
      <c r="AE390" s="83"/>
      <c r="AF390" s="81"/>
      <c r="AG390" s="81"/>
      <c r="AH390" s="81"/>
      <c r="AI390" s="81"/>
      <c r="AJ390" s="83"/>
      <c r="AK390" s="81"/>
      <c r="AL390" s="81"/>
      <c r="AM390" s="83"/>
      <c r="AN390" s="80"/>
      <c r="AO390" s="82" t="n">
        <f aca="false">IF(E390="","",(AA390&lt;&gt;"")+(AG390&lt;&gt;"")+(AL390&lt;&gt;""))</f>
        <v>0</v>
      </c>
      <c r="AP390" s="82" t="str">
        <f aca="false">IF(AL390&lt;&gt;"",AL390,IF(AG390&lt;&gt;"",AG390,IF(AA390&lt;&gt;"",AA390,"")))</f>
        <v/>
      </c>
      <c r="AQ390" s="84" t="str">
        <f aca="false">IF(E390="","",IF(U390="","À SOUDER",IF(X390="","VT EN ATTENTE",IF(X390="R","VT REJETÉ – À REPRENDRE",IF(AP390="","À RADIOGRAPHIER",IF(AP390="A","ACCEPTÉ",IF(AP390="NX","NX – RT À REFAIRE",IF(IF(AO390=1,AD390,IF(AO390=2,AI390,""))="A","RÉPARÉ – À RADIOGRAPHIER",IF(IF(AO390=1,AD390,IF(AO390=2,AI390,""))="R","VT REJETÉ – À REPRENDRE",IF(OR(AP390="CO",AP390="NT"),"COUPE – À RESOUDER","À RÉPARER"))))))))))</f>
        <v>À SOUDER</v>
      </c>
      <c r="AR390" s="82" t="str">
        <f aca="false">IF(AND(ISNUMBER(U390),OR(AQ390="À RADIOGRAPHIER",AQ390="RÉPARÉ – À RADIOGRAPHIER",AQ390="NX – RT À REFAIRE",AQ390="À RÉPARER",AQ390="COUPE – À RESOUDER",AQ390="VT REJETÉ – À REPRENDRE")),MAX(0,'PROGRAMME RT'!$C$4-U390),"")</f>
        <v/>
      </c>
      <c r="AS390" s="82" t="n">
        <f aca="false">IF(AND(OR(AQ390="À RADIOGRAPHIER",AQ390="RÉPARÉ – À RADIOGRAPHIER",AQ390="NX – RT À REFAIRE"),OR('PROGRAMME RT'!$D$5="TOUTES",B390='PROGRAMME RT'!$D$5)),1,0)</f>
        <v>0</v>
      </c>
      <c r="AT390" s="82" t="str">
        <f aca="false">IF(AS390=1,SUM(AS$7:AS390),"")</f>
        <v/>
      </c>
      <c r="AU390" s="82" t="n">
        <f aca="false">IF(AND(OR(AA390="R",AA390="NX",AA390="NT",AA390="CO"),OR('JOINTS DE RÉPARATION'!$D$5="TOUTES",B390='JOINTS DE RÉPARATION'!$D$5),OR('JOINTS DE RÉPARATION'!$L$4="TOUS",AQ390&lt;&gt;"ACCEPTÉ")),1,0)</f>
        <v>0</v>
      </c>
      <c r="AV390" s="82" t="str">
        <f aca="false">IF(AU390=1,SUM(AU$7:AU390),"")</f>
        <v/>
      </c>
      <c r="AW390" s="82" t="str">
        <f aca="false">IF(E390="","",B390&amp;"|"&amp;E390)</f>
        <v>MFD-ISW → MFD-CPF|JN°384</v>
      </c>
    </row>
    <row r="391" customFormat="false" ht="74.6" hidden="false" customHeight="false" outlineLevel="0" collapsed="false">
      <c r="A391" s="79" t="n">
        <f aca="false">IF(E391="","",ROW()-6)</f>
        <v>385</v>
      </c>
      <c r="B391" s="80" t="s">
        <v>110</v>
      </c>
      <c r="C391" s="81"/>
      <c r="D391" s="81"/>
      <c r="E391" s="81" t="s">
        <v>495</v>
      </c>
      <c r="F391" s="82" t="str">
        <f aca="false">IF(E391="","",IF(LEFT(E391,2)="DJ","DJ","JN"))</f>
        <v>JN</v>
      </c>
      <c r="G391" s="81"/>
      <c r="H391" s="81"/>
      <c r="I391" s="81"/>
      <c r="J391" s="81"/>
      <c r="K391" s="81"/>
      <c r="L391" s="81"/>
      <c r="M391" s="81"/>
      <c r="N391" s="81"/>
      <c r="O391" s="81"/>
      <c r="P391" s="81"/>
      <c r="Q391" s="81"/>
      <c r="R391" s="81"/>
      <c r="S391" s="81"/>
      <c r="T391" s="81"/>
      <c r="U391" s="83"/>
      <c r="V391" s="83"/>
      <c r="W391" s="81"/>
      <c r="X391" s="81"/>
      <c r="Y391" s="83"/>
      <c r="Z391" s="81"/>
      <c r="AA391" s="81"/>
      <c r="AB391" s="81"/>
      <c r="AC391" s="81"/>
      <c r="AD391" s="81"/>
      <c r="AE391" s="83"/>
      <c r="AF391" s="81"/>
      <c r="AG391" s="81"/>
      <c r="AH391" s="81"/>
      <c r="AI391" s="81"/>
      <c r="AJ391" s="83"/>
      <c r="AK391" s="81"/>
      <c r="AL391" s="81"/>
      <c r="AM391" s="83"/>
      <c r="AN391" s="80"/>
      <c r="AO391" s="82" t="n">
        <f aca="false">IF(E391="","",(AA391&lt;&gt;"")+(AG391&lt;&gt;"")+(AL391&lt;&gt;""))</f>
        <v>0</v>
      </c>
      <c r="AP391" s="82" t="str">
        <f aca="false">IF(AL391&lt;&gt;"",AL391,IF(AG391&lt;&gt;"",AG391,IF(AA391&lt;&gt;"",AA391,"")))</f>
        <v/>
      </c>
      <c r="AQ391" s="84" t="str">
        <f aca="false">IF(E391="","",IF(U391="","À SOUDER",IF(X391="","VT EN ATTENTE",IF(X391="R","VT REJETÉ – À REPRENDRE",IF(AP391="","À RADIOGRAPHIER",IF(AP391="A","ACCEPTÉ",IF(AP391="NX","NX – RT À REFAIRE",IF(IF(AO391=1,AD391,IF(AO391=2,AI391,""))="A","RÉPARÉ – À RADIOGRAPHIER",IF(IF(AO391=1,AD391,IF(AO391=2,AI391,""))="R","VT REJETÉ – À REPRENDRE",IF(OR(AP391="CO",AP391="NT"),"COUPE – À RESOUDER","À RÉPARER"))))))))))</f>
        <v>À SOUDER</v>
      </c>
      <c r="AR391" s="82" t="str">
        <f aca="false">IF(AND(ISNUMBER(U391),OR(AQ391="À RADIOGRAPHIER",AQ391="RÉPARÉ – À RADIOGRAPHIER",AQ391="NX – RT À REFAIRE",AQ391="À RÉPARER",AQ391="COUPE – À RESOUDER",AQ391="VT REJETÉ – À REPRENDRE")),MAX(0,'PROGRAMME RT'!$C$4-U391),"")</f>
        <v/>
      </c>
      <c r="AS391" s="82" t="n">
        <f aca="false">IF(AND(OR(AQ391="À RADIOGRAPHIER",AQ391="RÉPARÉ – À RADIOGRAPHIER",AQ391="NX – RT À REFAIRE"),OR('PROGRAMME RT'!$D$5="TOUTES",B391='PROGRAMME RT'!$D$5)),1,0)</f>
        <v>0</v>
      </c>
      <c r="AT391" s="82" t="str">
        <f aca="false">IF(AS391=1,SUM(AS$7:AS391),"")</f>
        <v/>
      </c>
      <c r="AU391" s="82" t="n">
        <f aca="false">IF(AND(OR(AA391="R",AA391="NX",AA391="NT",AA391="CO"),OR('JOINTS DE RÉPARATION'!$D$5="TOUTES",B391='JOINTS DE RÉPARATION'!$D$5),OR('JOINTS DE RÉPARATION'!$L$4="TOUS",AQ391&lt;&gt;"ACCEPTÉ")),1,0)</f>
        <v>0</v>
      </c>
      <c r="AV391" s="82" t="str">
        <f aca="false">IF(AU391=1,SUM(AU$7:AU391),"")</f>
        <v/>
      </c>
      <c r="AW391" s="82" t="str">
        <f aca="false">IF(E391="","",B391&amp;"|"&amp;E391)</f>
        <v>MFD-ISW → MFD-CPF|JN°385</v>
      </c>
    </row>
    <row r="392" customFormat="false" ht="74.6" hidden="false" customHeight="false" outlineLevel="0" collapsed="false">
      <c r="A392" s="79" t="n">
        <f aca="false">IF(E392="","",ROW()-6)</f>
        <v>386</v>
      </c>
      <c r="B392" s="80" t="s">
        <v>110</v>
      </c>
      <c r="C392" s="81"/>
      <c r="D392" s="81"/>
      <c r="E392" s="81" t="s">
        <v>496</v>
      </c>
      <c r="F392" s="82" t="str">
        <f aca="false">IF(E392="","",IF(LEFT(E392,2)="DJ","DJ","JN"))</f>
        <v>JN</v>
      </c>
      <c r="G392" s="81"/>
      <c r="H392" s="81"/>
      <c r="I392" s="81"/>
      <c r="J392" s="81"/>
      <c r="K392" s="81"/>
      <c r="L392" s="81"/>
      <c r="M392" s="81"/>
      <c r="N392" s="81"/>
      <c r="O392" s="81"/>
      <c r="P392" s="81"/>
      <c r="Q392" s="81"/>
      <c r="R392" s="81"/>
      <c r="S392" s="81"/>
      <c r="T392" s="81"/>
      <c r="U392" s="83"/>
      <c r="V392" s="83"/>
      <c r="W392" s="81"/>
      <c r="X392" s="81"/>
      <c r="Y392" s="83"/>
      <c r="Z392" s="81"/>
      <c r="AA392" s="81"/>
      <c r="AB392" s="81"/>
      <c r="AC392" s="81"/>
      <c r="AD392" s="81"/>
      <c r="AE392" s="83"/>
      <c r="AF392" s="81"/>
      <c r="AG392" s="81"/>
      <c r="AH392" s="81"/>
      <c r="AI392" s="81"/>
      <c r="AJ392" s="83"/>
      <c r="AK392" s="81"/>
      <c r="AL392" s="81"/>
      <c r="AM392" s="83"/>
      <c r="AN392" s="80"/>
      <c r="AO392" s="82" t="n">
        <f aca="false">IF(E392="","",(AA392&lt;&gt;"")+(AG392&lt;&gt;"")+(AL392&lt;&gt;""))</f>
        <v>0</v>
      </c>
      <c r="AP392" s="82" t="str">
        <f aca="false">IF(AL392&lt;&gt;"",AL392,IF(AG392&lt;&gt;"",AG392,IF(AA392&lt;&gt;"",AA392,"")))</f>
        <v/>
      </c>
      <c r="AQ392" s="84" t="str">
        <f aca="false">IF(E392="","",IF(U392="","À SOUDER",IF(X392="","VT EN ATTENTE",IF(X392="R","VT REJETÉ – À REPRENDRE",IF(AP392="","À RADIOGRAPHIER",IF(AP392="A","ACCEPTÉ",IF(AP392="NX","NX – RT À REFAIRE",IF(IF(AO392=1,AD392,IF(AO392=2,AI392,""))="A","RÉPARÉ – À RADIOGRAPHIER",IF(IF(AO392=1,AD392,IF(AO392=2,AI392,""))="R","VT REJETÉ – À REPRENDRE",IF(OR(AP392="CO",AP392="NT"),"COUPE – À RESOUDER","À RÉPARER"))))))))))</f>
        <v>À SOUDER</v>
      </c>
      <c r="AR392" s="82" t="str">
        <f aca="false">IF(AND(ISNUMBER(U392),OR(AQ392="À RADIOGRAPHIER",AQ392="RÉPARÉ – À RADIOGRAPHIER",AQ392="NX – RT À REFAIRE",AQ392="À RÉPARER",AQ392="COUPE – À RESOUDER",AQ392="VT REJETÉ – À REPRENDRE")),MAX(0,'PROGRAMME RT'!$C$4-U392),"")</f>
        <v/>
      </c>
      <c r="AS392" s="82" t="n">
        <f aca="false">IF(AND(OR(AQ392="À RADIOGRAPHIER",AQ392="RÉPARÉ – À RADIOGRAPHIER",AQ392="NX – RT À REFAIRE"),OR('PROGRAMME RT'!$D$5="TOUTES",B392='PROGRAMME RT'!$D$5)),1,0)</f>
        <v>0</v>
      </c>
      <c r="AT392" s="82" t="str">
        <f aca="false">IF(AS392=1,SUM(AS$7:AS392),"")</f>
        <v/>
      </c>
      <c r="AU392" s="82" t="n">
        <f aca="false">IF(AND(OR(AA392="R",AA392="NX",AA392="NT",AA392="CO"),OR('JOINTS DE RÉPARATION'!$D$5="TOUTES",B392='JOINTS DE RÉPARATION'!$D$5),OR('JOINTS DE RÉPARATION'!$L$4="TOUS",AQ392&lt;&gt;"ACCEPTÉ")),1,0)</f>
        <v>0</v>
      </c>
      <c r="AV392" s="82" t="str">
        <f aca="false">IF(AU392=1,SUM(AU$7:AU392),"")</f>
        <v/>
      </c>
      <c r="AW392" s="82" t="str">
        <f aca="false">IF(E392="","",B392&amp;"|"&amp;E392)</f>
        <v>MFD-ISW → MFD-CPF|JN°386</v>
      </c>
    </row>
    <row r="393" customFormat="false" ht="74.6" hidden="false" customHeight="false" outlineLevel="0" collapsed="false">
      <c r="A393" s="79" t="n">
        <f aca="false">IF(E393="","",ROW()-6)</f>
        <v>387</v>
      </c>
      <c r="B393" s="80" t="s">
        <v>110</v>
      </c>
      <c r="C393" s="81"/>
      <c r="D393" s="81"/>
      <c r="E393" s="81" t="s">
        <v>497</v>
      </c>
      <c r="F393" s="82" t="str">
        <f aca="false">IF(E393="","",IF(LEFT(E393,2)="DJ","DJ","JN"))</f>
        <v>JN</v>
      </c>
      <c r="G393" s="81"/>
      <c r="H393" s="81"/>
      <c r="I393" s="81"/>
      <c r="J393" s="81"/>
      <c r="K393" s="81"/>
      <c r="L393" s="81"/>
      <c r="M393" s="81"/>
      <c r="N393" s="81"/>
      <c r="O393" s="81"/>
      <c r="P393" s="81"/>
      <c r="Q393" s="81"/>
      <c r="R393" s="81"/>
      <c r="S393" s="81"/>
      <c r="T393" s="81"/>
      <c r="U393" s="83"/>
      <c r="V393" s="83"/>
      <c r="W393" s="81"/>
      <c r="X393" s="81"/>
      <c r="Y393" s="83"/>
      <c r="Z393" s="81"/>
      <c r="AA393" s="81"/>
      <c r="AB393" s="81"/>
      <c r="AC393" s="81"/>
      <c r="AD393" s="81"/>
      <c r="AE393" s="83"/>
      <c r="AF393" s="81"/>
      <c r="AG393" s="81"/>
      <c r="AH393" s="81"/>
      <c r="AI393" s="81"/>
      <c r="AJ393" s="83"/>
      <c r="AK393" s="81"/>
      <c r="AL393" s="81"/>
      <c r="AM393" s="83"/>
      <c r="AN393" s="80"/>
      <c r="AO393" s="82" t="n">
        <f aca="false">IF(E393="","",(AA393&lt;&gt;"")+(AG393&lt;&gt;"")+(AL393&lt;&gt;""))</f>
        <v>0</v>
      </c>
      <c r="AP393" s="82" t="str">
        <f aca="false">IF(AL393&lt;&gt;"",AL393,IF(AG393&lt;&gt;"",AG393,IF(AA393&lt;&gt;"",AA393,"")))</f>
        <v/>
      </c>
      <c r="AQ393" s="84" t="str">
        <f aca="false">IF(E393="","",IF(U393="","À SOUDER",IF(X393="","VT EN ATTENTE",IF(X393="R","VT REJETÉ – À REPRENDRE",IF(AP393="","À RADIOGRAPHIER",IF(AP393="A","ACCEPTÉ",IF(AP393="NX","NX – RT À REFAIRE",IF(IF(AO393=1,AD393,IF(AO393=2,AI393,""))="A","RÉPARÉ – À RADIOGRAPHIER",IF(IF(AO393=1,AD393,IF(AO393=2,AI393,""))="R","VT REJETÉ – À REPRENDRE",IF(OR(AP393="CO",AP393="NT"),"COUPE – À RESOUDER","À RÉPARER"))))))))))</f>
        <v>À SOUDER</v>
      </c>
      <c r="AR393" s="82" t="str">
        <f aca="false">IF(AND(ISNUMBER(U393),OR(AQ393="À RADIOGRAPHIER",AQ393="RÉPARÉ – À RADIOGRAPHIER",AQ393="NX – RT À REFAIRE",AQ393="À RÉPARER",AQ393="COUPE – À RESOUDER",AQ393="VT REJETÉ – À REPRENDRE")),MAX(0,'PROGRAMME RT'!$C$4-U393),"")</f>
        <v/>
      </c>
      <c r="AS393" s="82" t="n">
        <f aca="false">IF(AND(OR(AQ393="À RADIOGRAPHIER",AQ393="RÉPARÉ – À RADIOGRAPHIER",AQ393="NX – RT À REFAIRE"),OR('PROGRAMME RT'!$D$5="TOUTES",B393='PROGRAMME RT'!$D$5)),1,0)</f>
        <v>0</v>
      </c>
      <c r="AT393" s="82" t="str">
        <f aca="false">IF(AS393=1,SUM(AS$7:AS393),"")</f>
        <v/>
      </c>
      <c r="AU393" s="82" t="n">
        <f aca="false">IF(AND(OR(AA393="R",AA393="NX",AA393="NT",AA393="CO"),OR('JOINTS DE RÉPARATION'!$D$5="TOUTES",B393='JOINTS DE RÉPARATION'!$D$5),OR('JOINTS DE RÉPARATION'!$L$4="TOUS",AQ393&lt;&gt;"ACCEPTÉ")),1,0)</f>
        <v>0</v>
      </c>
      <c r="AV393" s="82" t="str">
        <f aca="false">IF(AU393=1,SUM(AU$7:AU393),"")</f>
        <v/>
      </c>
      <c r="AW393" s="82" t="str">
        <f aca="false">IF(E393="","",B393&amp;"|"&amp;E393)</f>
        <v>MFD-ISW → MFD-CPF|JN°387</v>
      </c>
    </row>
    <row r="394" customFormat="false" ht="74.6" hidden="false" customHeight="false" outlineLevel="0" collapsed="false">
      <c r="A394" s="79" t="n">
        <f aca="false">IF(E394="","",ROW()-6)</f>
        <v>388</v>
      </c>
      <c r="B394" s="80" t="s">
        <v>110</v>
      </c>
      <c r="C394" s="81"/>
      <c r="D394" s="81"/>
      <c r="E394" s="81" t="s">
        <v>498</v>
      </c>
      <c r="F394" s="82" t="str">
        <f aca="false">IF(E394="","",IF(LEFT(E394,2)="DJ","DJ","JN"))</f>
        <v>JN</v>
      </c>
      <c r="G394" s="81"/>
      <c r="H394" s="81"/>
      <c r="I394" s="81"/>
      <c r="J394" s="81"/>
      <c r="K394" s="81"/>
      <c r="L394" s="81"/>
      <c r="M394" s="81"/>
      <c r="N394" s="81"/>
      <c r="O394" s="81"/>
      <c r="P394" s="81"/>
      <c r="Q394" s="81"/>
      <c r="R394" s="81"/>
      <c r="S394" s="81"/>
      <c r="T394" s="81"/>
      <c r="U394" s="83"/>
      <c r="V394" s="83"/>
      <c r="W394" s="81"/>
      <c r="X394" s="81"/>
      <c r="Y394" s="83"/>
      <c r="Z394" s="81"/>
      <c r="AA394" s="81"/>
      <c r="AB394" s="81"/>
      <c r="AC394" s="81"/>
      <c r="AD394" s="81"/>
      <c r="AE394" s="83"/>
      <c r="AF394" s="81"/>
      <c r="AG394" s="81"/>
      <c r="AH394" s="81"/>
      <c r="AI394" s="81"/>
      <c r="AJ394" s="83"/>
      <c r="AK394" s="81"/>
      <c r="AL394" s="81"/>
      <c r="AM394" s="83"/>
      <c r="AN394" s="80"/>
      <c r="AO394" s="82" t="n">
        <f aca="false">IF(E394="","",(AA394&lt;&gt;"")+(AG394&lt;&gt;"")+(AL394&lt;&gt;""))</f>
        <v>0</v>
      </c>
      <c r="AP394" s="82" t="str">
        <f aca="false">IF(AL394&lt;&gt;"",AL394,IF(AG394&lt;&gt;"",AG394,IF(AA394&lt;&gt;"",AA394,"")))</f>
        <v/>
      </c>
      <c r="AQ394" s="84" t="str">
        <f aca="false">IF(E394="","",IF(U394="","À SOUDER",IF(X394="","VT EN ATTENTE",IF(X394="R","VT REJETÉ – À REPRENDRE",IF(AP394="","À RADIOGRAPHIER",IF(AP394="A","ACCEPTÉ",IF(AP394="NX","NX – RT À REFAIRE",IF(IF(AO394=1,AD394,IF(AO394=2,AI394,""))="A","RÉPARÉ – À RADIOGRAPHIER",IF(IF(AO394=1,AD394,IF(AO394=2,AI394,""))="R","VT REJETÉ – À REPRENDRE",IF(OR(AP394="CO",AP394="NT"),"COUPE – À RESOUDER","À RÉPARER"))))))))))</f>
        <v>À SOUDER</v>
      </c>
      <c r="AR394" s="82" t="str">
        <f aca="false">IF(AND(ISNUMBER(U394),OR(AQ394="À RADIOGRAPHIER",AQ394="RÉPARÉ – À RADIOGRAPHIER",AQ394="NX – RT À REFAIRE",AQ394="À RÉPARER",AQ394="COUPE – À RESOUDER",AQ394="VT REJETÉ – À REPRENDRE")),MAX(0,'PROGRAMME RT'!$C$4-U394),"")</f>
        <v/>
      </c>
      <c r="AS394" s="82" t="n">
        <f aca="false">IF(AND(OR(AQ394="À RADIOGRAPHIER",AQ394="RÉPARÉ – À RADIOGRAPHIER",AQ394="NX – RT À REFAIRE"),OR('PROGRAMME RT'!$D$5="TOUTES",B394='PROGRAMME RT'!$D$5)),1,0)</f>
        <v>0</v>
      </c>
      <c r="AT394" s="82" t="str">
        <f aca="false">IF(AS394=1,SUM(AS$7:AS394),"")</f>
        <v/>
      </c>
      <c r="AU394" s="82" t="n">
        <f aca="false">IF(AND(OR(AA394="R",AA394="NX",AA394="NT",AA394="CO"),OR('JOINTS DE RÉPARATION'!$D$5="TOUTES",B394='JOINTS DE RÉPARATION'!$D$5),OR('JOINTS DE RÉPARATION'!$L$4="TOUS",AQ394&lt;&gt;"ACCEPTÉ")),1,0)</f>
        <v>0</v>
      </c>
      <c r="AV394" s="82" t="str">
        <f aca="false">IF(AU394=1,SUM(AU$7:AU394),"")</f>
        <v/>
      </c>
      <c r="AW394" s="82" t="str">
        <f aca="false">IF(E394="","",B394&amp;"|"&amp;E394)</f>
        <v>MFD-ISW → MFD-CPF|JN°388</v>
      </c>
    </row>
    <row r="395" customFormat="false" ht="74.6" hidden="false" customHeight="false" outlineLevel="0" collapsed="false">
      <c r="A395" s="79" t="n">
        <f aca="false">IF(E395="","",ROW()-6)</f>
        <v>389</v>
      </c>
      <c r="B395" s="80" t="s">
        <v>110</v>
      </c>
      <c r="C395" s="81"/>
      <c r="D395" s="81"/>
      <c r="E395" s="81" t="s">
        <v>499</v>
      </c>
      <c r="F395" s="82" t="str">
        <f aca="false">IF(E395="","",IF(LEFT(E395,2)="DJ","DJ","JN"))</f>
        <v>JN</v>
      </c>
      <c r="G395" s="81"/>
      <c r="H395" s="81"/>
      <c r="I395" s="81"/>
      <c r="J395" s="81"/>
      <c r="K395" s="81"/>
      <c r="L395" s="81"/>
      <c r="M395" s="81"/>
      <c r="N395" s="81"/>
      <c r="O395" s="81"/>
      <c r="P395" s="81"/>
      <c r="Q395" s="81"/>
      <c r="R395" s="81"/>
      <c r="S395" s="81"/>
      <c r="T395" s="81"/>
      <c r="U395" s="83"/>
      <c r="V395" s="83"/>
      <c r="W395" s="81"/>
      <c r="X395" s="81"/>
      <c r="Y395" s="83"/>
      <c r="Z395" s="81"/>
      <c r="AA395" s="81"/>
      <c r="AB395" s="81"/>
      <c r="AC395" s="81"/>
      <c r="AD395" s="81"/>
      <c r="AE395" s="83"/>
      <c r="AF395" s="81"/>
      <c r="AG395" s="81"/>
      <c r="AH395" s="81"/>
      <c r="AI395" s="81"/>
      <c r="AJ395" s="83"/>
      <c r="AK395" s="81"/>
      <c r="AL395" s="81"/>
      <c r="AM395" s="83"/>
      <c r="AN395" s="80"/>
      <c r="AO395" s="82" t="n">
        <f aca="false">IF(E395="","",(AA395&lt;&gt;"")+(AG395&lt;&gt;"")+(AL395&lt;&gt;""))</f>
        <v>0</v>
      </c>
      <c r="AP395" s="82" t="str">
        <f aca="false">IF(AL395&lt;&gt;"",AL395,IF(AG395&lt;&gt;"",AG395,IF(AA395&lt;&gt;"",AA395,"")))</f>
        <v/>
      </c>
      <c r="AQ395" s="84" t="str">
        <f aca="false">IF(E395="","",IF(U395="","À SOUDER",IF(X395="","VT EN ATTENTE",IF(X395="R","VT REJETÉ – À REPRENDRE",IF(AP395="","À RADIOGRAPHIER",IF(AP395="A","ACCEPTÉ",IF(AP395="NX","NX – RT À REFAIRE",IF(IF(AO395=1,AD395,IF(AO395=2,AI395,""))="A","RÉPARÉ – À RADIOGRAPHIER",IF(IF(AO395=1,AD395,IF(AO395=2,AI395,""))="R","VT REJETÉ – À REPRENDRE",IF(OR(AP395="CO",AP395="NT"),"COUPE – À RESOUDER","À RÉPARER"))))))))))</f>
        <v>À SOUDER</v>
      </c>
      <c r="AR395" s="82" t="str">
        <f aca="false">IF(AND(ISNUMBER(U395),OR(AQ395="À RADIOGRAPHIER",AQ395="RÉPARÉ – À RADIOGRAPHIER",AQ395="NX – RT À REFAIRE",AQ395="À RÉPARER",AQ395="COUPE – À RESOUDER",AQ395="VT REJETÉ – À REPRENDRE")),MAX(0,'PROGRAMME RT'!$C$4-U395),"")</f>
        <v/>
      </c>
      <c r="AS395" s="82" t="n">
        <f aca="false">IF(AND(OR(AQ395="À RADIOGRAPHIER",AQ395="RÉPARÉ – À RADIOGRAPHIER",AQ395="NX – RT À REFAIRE"),OR('PROGRAMME RT'!$D$5="TOUTES",B395='PROGRAMME RT'!$D$5)),1,0)</f>
        <v>0</v>
      </c>
      <c r="AT395" s="82" t="str">
        <f aca="false">IF(AS395=1,SUM(AS$7:AS395),"")</f>
        <v/>
      </c>
      <c r="AU395" s="82" t="n">
        <f aca="false">IF(AND(OR(AA395="R",AA395="NX",AA395="NT",AA395="CO"),OR('JOINTS DE RÉPARATION'!$D$5="TOUTES",B395='JOINTS DE RÉPARATION'!$D$5),OR('JOINTS DE RÉPARATION'!$L$4="TOUS",AQ395&lt;&gt;"ACCEPTÉ")),1,0)</f>
        <v>0</v>
      </c>
      <c r="AV395" s="82" t="str">
        <f aca="false">IF(AU395=1,SUM(AU$7:AU395),"")</f>
        <v/>
      </c>
      <c r="AW395" s="82" t="str">
        <f aca="false">IF(E395="","",B395&amp;"|"&amp;E395)</f>
        <v>MFD-ISW → MFD-CPF|JN°389</v>
      </c>
    </row>
    <row r="396" customFormat="false" ht="74.6" hidden="false" customHeight="false" outlineLevel="0" collapsed="false">
      <c r="A396" s="79" t="n">
        <f aca="false">IF(E396="","",ROW()-6)</f>
        <v>390</v>
      </c>
      <c r="B396" s="80" t="s">
        <v>110</v>
      </c>
      <c r="C396" s="81"/>
      <c r="D396" s="81"/>
      <c r="E396" s="81" t="s">
        <v>500</v>
      </c>
      <c r="F396" s="82" t="str">
        <f aca="false">IF(E396="","",IF(LEFT(E396,2)="DJ","DJ","JN"))</f>
        <v>JN</v>
      </c>
      <c r="G396" s="81"/>
      <c r="H396" s="81"/>
      <c r="I396" s="81"/>
      <c r="J396" s="81"/>
      <c r="K396" s="81"/>
      <c r="L396" s="81"/>
      <c r="M396" s="81"/>
      <c r="N396" s="81"/>
      <c r="O396" s="81"/>
      <c r="P396" s="81"/>
      <c r="Q396" s="81"/>
      <c r="R396" s="81"/>
      <c r="S396" s="81"/>
      <c r="T396" s="81"/>
      <c r="U396" s="83"/>
      <c r="V396" s="83"/>
      <c r="W396" s="81"/>
      <c r="X396" s="81"/>
      <c r="Y396" s="83"/>
      <c r="Z396" s="81"/>
      <c r="AA396" s="81"/>
      <c r="AB396" s="81"/>
      <c r="AC396" s="81"/>
      <c r="AD396" s="81"/>
      <c r="AE396" s="83"/>
      <c r="AF396" s="81"/>
      <c r="AG396" s="81"/>
      <c r="AH396" s="81"/>
      <c r="AI396" s="81"/>
      <c r="AJ396" s="83"/>
      <c r="AK396" s="81"/>
      <c r="AL396" s="81"/>
      <c r="AM396" s="83"/>
      <c r="AN396" s="80"/>
      <c r="AO396" s="82" t="n">
        <f aca="false">IF(E396="","",(AA396&lt;&gt;"")+(AG396&lt;&gt;"")+(AL396&lt;&gt;""))</f>
        <v>0</v>
      </c>
      <c r="AP396" s="82" t="str">
        <f aca="false">IF(AL396&lt;&gt;"",AL396,IF(AG396&lt;&gt;"",AG396,IF(AA396&lt;&gt;"",AA396,"")))</f>
        <v/>
      </c>
      <c r="AQ396" s="84" t="str">
        <f aca="false">IF(E396="","",IF(U396="","À SOUDER",IF(X396="","VT EN ATTENTE",IF(X396="R","VT REJETÉ – À REPRENDRE",IF(AP396="","À RADIOGRAPHIER",IF(AP396="A","ACCEPTÉ",IF(AP396="NX","NX – RT À REFAIRE",IF(IF(AO396=1,AD396,IF(AO396=2,AI396,""))="A","RÉPARÉ – À RADIOGRAPHIER",IF(IF(AO396=1,AD396,IF(AO396=2,AI396,""))="R","VT REJETÉ – À REPRENDRE",IF(OR(AP396="CO",AP396="NT"),"COUPE – À RESOUDER","À RÉPARER"))))))))))</f>
        <v>À SOUDER</v>
      </c>
      <c r="AR396" s="82" t="str">
        <f aca="false">IF(AND(ISNUMBER(U396),OR(AQ396="À RADIOGRAPHIER",AQ396="RÉPARÉ – À RADIOGRAPHIER",AQ396="NX – RT À REFAIRE",AQ396="À RÉPARER",AQ396="COUPE – À RESOUDER",AQ396="VT REJETÉ – À REPRENDRE")),MAX(0,'PROGRAMME RT'!$C$4-U396),"")</f>
        <v/>
      </c>
      <c r="AS396" s="82" t="n">
        <f aca="false">IF(AND(OR(AQ396="À RADIOGRAPHIER",AQ396="RÉPARÉ – À RADIOGRAPHIER",AQ396="NX – RT À REFAIRE"),OR('PROGRAMME RT'!$D$5="TOUTES",B396='PROGRAMME RT'!$D$5)),1,0)</f>
        <v>0</v>
      </c>
      <c r="AT396" s="82" t="str">
        <f aca="false">IF(AS396=1,SUM(AS$7:AS396),"")</f>
        <v/>
      </c>
      <c r="AU396" s="82" t="n">
        <f aca="false">IF(AND(OR(AA396="R",AA396="NX",AA396="NT",AA396="CO"),OR('JOINTS DE RÉPARATION'!$D$5="TOUTES",B396='JOINTS DE RÉPARATION'!$D$5),OR('JOINTS DE RÉPARATION'!$L$4="TOUS",AQ396&lt;&gt;"ACCEPTÉ")),1,0)</f>
        <v>0</v>
      </c>
      <c r="AV396" s="82" t="str">
        <f aca="false">IF(AU396=1,SUM(AU$7:AU396),"")</f>
        <v/>
      </c>
      <c r="AW396" s="82" t="str">
        <f aca="false">IF(E396="","",B396&amp;"|"&amp;E396)</f>
        <v>MFD-ISW → MFD-CPF|JN°390</v>
      </c>
    </row>
    <row r="397" customFormat="false" ht="74.6" hidden="false" customHeight="false" outlineLevel="0" collapsed="false">
      <c r="A397" s="79" t="n">
        <f aca="false">IF(E397="","",ROW()-6)</f>
        <v>391</v>
      </c>
      <c r="B397" s="80" t="s">
        <v>110</v>
      </c>
      <c r="C397" s="81"/>
      <c r="D397" s="81"/>
      <c r="E397" s="81" t="s">
        <v>501</v>
      </c>
      <c r="F397" s="82" t="str">
        <f aca="false">IF(E397="","",IF(LEFT(E397,2)="DJ","DJ","JN"))</f>
        <v>JN</v>
      </c>
      <c r="G397" s="81"/>
      <c r="H397" s="81"/>
      <c r="I397" s="81"/>
      <c r="J397" s="81"/>
      <c r="K397" s="81"/>
      <c r="L397" s="81"/>
      <c r="M397" s="81"/>
      <c r="N397" s="81"/>
      <c r="O397" s="81"/>
      <c r="P397" s="81"/>
      <c r="Q397" s="81"/>
      <c r="R397" s="81"/>
      <c r="S397" s="81"/>
      <c r="T397" s="81"/>
      <c r="U397" s="83"/>
      <c r="V397" s="83"/>
      <c r="W397" s="81"/>
      <c r="X397" s="81"/>
      <c r="Y397" s="83"/>
      <c r="Z397" s="81"/>
      <c r="AA397" s="81"/>
      <c r="AB397" s="81"/>
      <c r="AC397" s="81"/>
      <c r="AD397" s="81"/>
      <c r="AE397" s="83"/>
      <c r="AF397" s="81"/>
      <c r="AG397" s="81"/>
      <c r="AH397" s="81"/>
      <c r="AI397" s="81"/>
      <c r="AJ397" s="83"/>
      <c r="AK397" s="81"/>
      <c r="AL397" s="81"/>
      <c r="AM397" s="83"/>
      <c r="AN397" s="80"/>
      <c r="AO397" s="82" t="n">
        <f aca="false">IF(E397="","",(AA397&lt;&gt;"")+(AG397&lt;&gt;"")+(AL397&lt;&gt;""))</f>
        <v>0</v>
      </c>
      <c r="AP397" s="82" t="str">
        <f aca="false">IF(AL397&lt;&gt;"",AL397,IF(AG397&lt;&gt;"",AG397,IF(AA397&lt;&gt;"",AA397,"")))</f>
        <v/>
      </c>
      <c r="AQ397" s="84" t="str">
        <f aca="false">IF(E397="","",IF(U397="","À SOUDER",IF(X397="","VT EN ATTENTE",IF(X397="R","VT REJETÉ – À REPRENDRE",IF(AP397="","À RADIOGRAPHIER",IF(AP397="A","ACCEPTÉ",IF(AP397="NX","NX – RT À REFAIRE",IF(IF(AO397=1,AD397,IF(AO397=2,AI397,""))="A","RÉPARÉ – À RADIOGRAPHIER",IF(IF(AO397=1,AD397,IF(AO397=2,AI397,""))="R","VT REJETÉ – À REPRENDRE",IF(OR(AP397="CO",AP397="NT"),"COUPE – À RESOUDER","À RÉPARER"))))))))))</f>
        <v>À SOUDER</v>
      </c>
      <c r="AR397" s="82" t="str">
        <f aca="false">IF(AND(ISNUMBER(U397),OR(AQ397="À RADIOGRAPHIER",AQ397="RÉPARÉ – À RADIOGRAPHIER",AQ397="NX – RT À REFAIRE",AQ397="À RÉPARER",AQ397="COUPE – À RESOUDER",AQ397="VT REJETÉ – À REPRENDRE")),MAX(0,'PROGRAMME RT'!$C$4-U397),"")</f>
        <v/>
      </c>
      <c r="AS397" s="82" t="n">
        <f aca="false">IF(AND(OR(AQ397="À RADIOGRAPHIER",AQ397="RÉPARÉ – À RADIOGRAPHIER",AQ397="NX – RT À REFAIRE"),OR('PROGRAMME RT'!$D$5="TOUTES",B397='PROGRAMME RT'!$D$5)),1,0)</f>
        <v>0</v>
      </c>
      <c r="AT397" s="82" t="str">
        <f aca="false">IF(AS397=1,SUM(AS$7:AS397),"")</f>
        <v/>
      </c>
      <c r="AU397" s="82" t="n">
        <f aca="false">IF(AND(OR(AA397="R",AA397="NX",AA397="NT",AA397="CO"),OR('JOINTS DE RÉPARATION'!$D$5="TOUTES",B397='JOINTS DE RÉPARATION'!$D$5),OR('JOINTS DE RÉPARATION'!$L$4="TOUS",AQ397&lt;&gt;"ACCEPTÉ")),1,0)</f>
        <v>0</v>
      </c>
      <c r="AV397" s="82" t="str">
        <f aca="false">IF(AU397=1,SUM(AU$7:AU397),"")</f>
        <v/>
      </c>
      <c r="AW397" s="82" t="str">
        <f aca="false">IF(E397="","",B397&amp;"|"&amp;E397)</f>
        <v>MFD-ISW → MFD-CPF|JN°391</v>
      </c>
    </row>
    <row r="398" customFormat="false" ht="74.6" hidden="false" customHeight="false" outlineLevel="0" collapsed="false">
      <c r="A398" s="79" t="n">
        <f aca="false">IF(E398="","",ROW()-6)</f>
        <v>392</v>
      </c>
      <c r="B398" s="80" t="s">
        <v>110</v>
      </c>
      <c r="C398" s="81"/>
      <c r="D398" s="81"/>
      <c r="E398" s="81" t="s">
        <v>502</v>
      </c>
      <c r="F398" s="82" t="str">
        <f aca="false">IF(E398="","",IF(LEFT(E398,2)="DJ","DJ","JN"))</f>
        <v>JN</v>
      </c>
      <c r="G398" s="81"/>
      <c r="H398" s="81"/>
      <c r="I398" s="81"/>
      <c r="J398" s="81"/>
      <c r="K398" s="81"/>
      <c r="L398" s="81"/>
      <c r="M398" s="81"/>
      <c r="N398" s="81"/>
      <c r="O398" s="81"/>
      <c r="P398" s="81"/>
      <c r="Q398" s="81"/>
      <c r="R398" s="81"/>
      <c r="S398" s="81"/>
      <c r="T398" s="81"/>
      <c r="U398" s="83"/>
      <c r="V398" s="83"/>
      <c r="W398" s="81"/>
      <c r="X398" s="81"/>
      <c r="Y398" s="83"/>
      <c r="Z398" s="81"/>
      <c r="AA398" s="81"/>
      <c r="AB398" s="81"/>
      <c r="AC398" s="81"/>
      <c r="AD398" s="81"/>
      <c r="AE398" s="83"/>
      <c r="AF398" s="81"/>
      <c r="AG398" s="81"/>
      <c r="AH398" s="81"/>
      <c r="AI398" s="81"/>
      <c r="AJ398" s="83"/>
      <c r="AK398" s="81"/>
      <c r="AL398" s="81"/>
      <c r="AM398" s="83"/>
      <c r="AN398" s="80"/>
      <c r="AO398" s="82" t="n">
        <f aca="false">IF(E398="","",(AA398&lt;&gt;"")+(AG398&lt;&gt;"")+(AL398&lt;&gt;""))</f>
        <v>0</v>
      </c>
      <c r="AP398" s="82" t="str">
        <f aca="false">IF(AL398&lt;&gt;"",AL398,IF(AG398&lt;&gt;"",AG398,IF(AA398&lt;&gt;"",AA398,"")))</f>
        <v/>
      </c>
      <c r="AQ398" s="84" t="str">
        <f aca="false">IF(E398="","",IF(U398="","À SOUDER",IF(X398="","VT EN ATTENTE",IF(X398="R","VT REJETÉ – À REPRENDRE",IF(AP398="","À RADIOGRAPHIER",IF(AP398="A","ACCEPTÉ",IF(AP398="NX","NX – RT À REFAIRE",IF(IF(AO398=1,AD398,IF(AO398=2,AI398,""))="A","RÉPARÉ – À RADIOGRAPHIER",IF(IF(AO398=1,AD398,IF(AO398=2,AI398,""))="R","VT REJETÉ – À REPRENDRE",IF(OR(AP398="CO",AP398="NT"),"COUPE – À RESOUDER","À RÉPARER"))))))))))</f>
        <v>À SOUDER</v>
      </c>
      <c r="AR398" s="82" t="str">
        <f aca="false">IF(AND(ISNUMBER(U398),OR(AQ398="À RADIOGRAPHIER",AQ398="RÉPARÉ – À RADIOGRAPHIER",AQ398="NX – RT À REFAIRE",AQ398="À RÉPARER",AQ398="COUPE – À RESOUDER",AQ398="VT REJETÉ – À REPRENDRE")),MAX(0,'PROGRAMME RT'!$C$4-U398),"")</f>
        <v/>
      </c>
      <c r="AS398" s="82" t="n">
        <f aca="false">IF(AND(OR(AQ398="À RADIOGRAPHIER",AQ398="RÉPARÉ – À RADIOGRAPHIER",AQ398="NX – RT À REFAIRE"),OR('PROGRAMME RT'!$D$5="TOUTES",B398='PROGRAMME RT'!$D$5)),1,0)</f>
        <v>0</v>
      </c>
      <c r="AT398" s="82" t="str">
        <f aca="false">IF(AS398=1,SUM(AS$7:AS398),"")</f>
        <v/>
      </c>
      <c r="AU398" s="82" t="n">
        <f aca="false">IF(AND(OR(AA398="R",AA398="NX",AA398="NT",AA398="CO"),OR('JOINTS DE RÉPARATION'!$D$5="TOUTES",B398='JOINTS DE RÉPARATION'!$D$5),OR('JOINTS DE RÉPARATION'!$L$4="TOUS",AQ398&lt;&gt;"ACCEPTÉ")),1,0)</f>
        <v>0</v>
      </c>
      <c r="AV398" s="82" t="str">
        <f aca="false">IF(AU398=1,SUM(AU$7:AU398),"")</f>
        <v/>
      </c>
      <c r="AW398" s="82" t="str">
        <f aca="false">IF(E398="","",B398&amp;"|"&amp;E398)</f>
        <v>MFD-ISW → MFD-CPF|JN°392</v>
      </c>
    </row>
    <row r="399" customFormat="false" ht="74.6" hidden="false" customHeight="false" outlineLevel="0" collapsed="false">
      <c r="A399" s="79" t="n">
        <f aca="false">IF(E399="","",ROW()-6)</f>
        <v>393</v>
      </c>
      <c r="B399" s="80" t="s">
        <v>110</v>
      </c>
      <c r="C399" s="81"/>
      <c r="D399" s="81"/>
      <c r="E399" s="81" t="s">
        <v>503</v>
      </c>
      <c r="F399" s="82" t="str">
        <f aca="false">IF(E399="","",IF(LEFT(E399,2)="DJ","DJ","JN"))</f>
        <v>JN</v>
      </c>
      <c r="G399" s="81"/>
      <c r="H399" s="81"/>
      <c r="I399" s="81"/>
      <c r="J399" s="81"/>
      <c r="K399" s="81"/>
      <c r="L399" s="81"/>
      <c r="M399" s="81"/>
      <c r="N399" s="81"/>
      <c r="O399" s="81"/>
      <c r="P399" s="81"/>
      <c r="Q399" s="81"/>
      <c r="R399" s="81"/>
      <c r="S399" s="81"/>
      <c r="T399" s="81"/>
      <c r="U399" s="83"/>
      <c r="V399" s="83"/>
      <c r="W399" s="81"/>
      <c r="X399" s="81"/>
      <c r="Y399" s="83"/>
      <c r="Z399" s="81"/>
      <c r="AA399" s="81"/>
      <c r="AB399" s="81"/>
      <c r="AC399" s="81"/>
      <c r="AD399" s="81"/>
      <c r="AE399" s="83"/>
      <c r="AF399" s="81"/>
      <c r="AG399" s="81"/>
      <c r="AH399" s="81"/>
      <c r="AI399" s="81"/>
      <c r="AJ399" s="83"/>
      <c r="AK399" s="81"/>
      <c r="AL399" s="81"/>
      <c r="AM399" s="83"/>
      <c r="AN399" s="80"/>
      <c r="AO399" s="82" t="n">
        <f aca="false">IF(E399="","",(AA399&lt;&gt;"")+(AG399&lt;&gt;"")+(AL399&lt;&gt;""))</f>
        <v>0</v>
      </c>
      <c r="AP399" s="82" t="str">
        <f aca="false">IF(AL399&lt;&gt;"",AL399,IF(AG399&lt;&gt;"",AG399,IF(AA399&lt;&gt;"",AA399,"")))</f>
        <v/>
      </c>
      <c r="AQ399" s="84" t="str">
        <f aca="false">IF(E399="","",IF(U399="","À SOUDER",IF(X399="","VT EN ATTENTE",IF(X399="R","VT REJETÉ – À REPRENDRE",IF(AP399="","À RADIOGRAPHIER",IF(AP399="A","ACCEPTÉ",IF(AP399="NX","NX – RT À REFAIRE",IF(IF(AO399=1,AD399,IF(AO399=2,AI399,""))="A","RÉPARÉ – À RADIOGRAPHIER",IF(IF(AO399=1,AD399,IF(AO399=2,AI399,""))="R","VT REJETÉ – À REPRENDRE",IF(OR(AP399="CO",AP399="NT"),"COUPE – À RESOUDER","À RÉPARER"))))))))))</f>
        <v>À SOUDER</v>
      </c>
      <c r="AR399" s="82" t="str">
        <f aca="false">IF(AND(ISNUMBER(U399),OR(AQ399="À RADIOGRAPHIER",AQ399="RÉPARÉ – À RADIOGRAPHIER",AQ399="NX – RT À REFAIRE",AQ399="À RÉPARER",AQ399="COUPE – À RESOUDER",AQ399="VT REJETÉ – À REPRENDRE")),MAX(0,'PROGRAMME RT'!$C$4-U399),"")</f>
        <v/>
      </c>
      <c r="AS399" s="82" t="n">
        <f aca="false">IF(AND(OR(AQ399="À RADIOGRAPHIER",AQ399="RÉPARÉ – À RADIOGRAPHIER",AQ399="NX – RT À REFAIRE"),OR('PROGRAMME RT'!$D$5="TOUTES",B399='PROGRAMME RT'!$D$5)),1,0)</f>
        <v>0</v>
      </c>
      <c r="AT399" s="82" t="str">
        <f aca="false">IF(AS399=1,SUM(AS$7:AS399),"")</f>
        <v/>
      </c>
      <c r="AU399" s="82" t="n">
        <f aca="false">IF(AND(OR(AA399="R",AA399="NX",AA399="NT",AA399="CO"),OR('JOINTS DE RÉPARATION'!$D$5="TOUTES",B399='JOINTS DE RÉPARATION'!$D$5),OR('JOINTS DE RÉPARATION'!$L$4="TOUS",AQ399&lt;&gt;"ACCEPTÉ")),1,0)</f>
        <v>0</v>
      </c>
      <c r="AV399" s="82" t="str">
        <f aca="false">IF(AU399=1,SUM(AU$7:AU399),"")</f>
        <v/>
      </c>
      <c r="AW399" s="82" t="str">
        <f aca="false">IF(E399="","",B399&amp;"|"&amp;E399)</f>
        <v>MFD-ISW → MFD-CPF|JN°393</v>
      </c>
    </row>
    <row r="400" customFormat="false" ht="74.6" hidden="false" customHeight="false" outlineLevel="0" collapsed="false">
      <c r="A400" s="79" t="n">
        <f aca="false">IF(E400="","",ROW()-6)</f>
        <v>394</v>
      </c>
      <c r="B400" s="80" t="s">
        <v>110</v>
      </c>
      <c r="C400" s="81"/>
      <c r="D400" s="81"/>
      <c r="E400" s="81" t="s">
        <v>504</v>
      </c>
      <c r="F400" s="82" t="str">
        <f aca="false">IF(E400="","",IF(LEFT(E400,2)="DJ","DJ","JN"))</f>
        <v>JN</v>
      </c>
      <c r="G400" s="81"/>
      <c r="H400" s="81"/>
      <c r="I400" s="81"/>
      <c r="J400" s="81"/>
      <c r="K400" s="81"/>
      <c r="L400" s="81"/>
      <c r="M400" s="81"/>
      <c r="N400" s="81"/>
      <c r="O400" s="81"/>
      <c r="P400" s="81"/>
      <c r="Q400" s="81"/>
      <c r="R400" s="81"/>
      <c r="S400" s="81"/>
      <c r="T400" s="81"/>
      <c r="U400" s="83"/>
      <c r="V400" s="83"/>
      <c r="W400" s="81"/>
      <c r="X400" s="81"/>
      <c r="Y400" s="83"/>
      <c r="Z400" s="81"/>
      <c r="AA400" s="81"/>
      <c r="AB400" s="81"/>
      <c r="AC400" s="81"/>
      <c r="AD400" s="81"/>
      <c r="AE400" s="83"/>
      <c r="AF400" s="81"/>
      <c r="AG400" s="81"/>
      <c r="AH400" s="81"/>
      <c r="AI400" s="81"/>
      <c r="AJ400" s="83"/>
      <c r="AK400" s="81"/>
      <c r="AL400" s="81"/>
      <c r="AM400" s="83"/>
      <c r="AN400" s="80"/>
      <c r="AO400" s="82" t="n">
        <f aca="false">IF(E400="","",(AA400&lt;&gt;"")+(AG400&lt;&gt;"")+(AL400&lt;&gt;""))</f>
        <v>0</v>
      </c>
      <c r="AP400" s="82" t="str">
        <f aca="false">IF(AL400&lt;&gt;"",AL400,IF(AG400&lt;&gt;"",AG400,IF(AA400&lt;&gt;"",AA400,"")))</f>
        <v/>
      </c>
      <c r="AQ400" s="84" t="str">
        <f aca="false">IF(E400="","",IF(U400="","À SOUDER",IF(X400="","VT EN ATTENTE",IF(X400="R","VT REJETÉ – À REPRENDRE",IF(AP400="","À RADIOGRAPHIER",IF(AP400="A","ACCEPTÉ",IF(AP400="NX","NX – RT À REFAIRE",IF(IF(AO400=1,AD400,IF(AO400=2,AI400,""))="A","RÉPARÉ – À RADIOGRAPHIER",IF(IF(AO400=1,AD400,IF(AO400=2,AI400,""))="R","VT REJETÉ – À REPRENDRE",IF(OR(AP400="CO",AP400="NT"),"COUPE – À RESOUDER","À RÉPARER"))))))))))</f>
        <v>À SOUDER</v>
      </c>
      <c r="AR400" s="82" t="str">
        <f aca="false">IF(AND(ISNUMBER(U400),OR(AQ400="À RADIOGRAPHIER",AQ400="RÉPARÉ – À RADIOGRAPHIER",AQ400="NX – RT À REFAIRE",AQ400="À RÉPARER",AQ400="COUPE – À RESOUDER",AQ400="VT REJETÉ – À REPRENDRE")),MAX(0,'PROGRAMME RT'!$C$4-U400),"")</f>
        <v/>
      </c>
      <c r="AS400" s="82" t="n">
        <f aca="false">IF(AND(OR(AQ400="À RADIOGRAPHIER",AQ400="RÉPARÉ – À RADIOGRAPHIER",AQ400="NX – RT À REFAIRE"),OR('PROGRAMME RT'!$D$5="TOUTES",B400='PROGRAMME RT'!$D$5)),1,0)</f>
        <v>0</v>
      </c>
      <c r="AT400" s="82" t="str">
        <f aca="false">IF(AS400=1,SUM(AS$7:AS400),"")</f>
        <v/>
      </c>
      <c r="AU400" s="82" t="n">
        <f aca="false">IF(AND(OR(AA400="R",AA400="NX",AA400="NT",AA400="CO"),OR('JOINTS DE RÉPARATION'!$D$5="TOUTES",B400='JOINTS DE RÉPARATION'!$D$5),OR('JOINTS DE RÉPARATION'!$L$4="TOUS",AQ400&lt;&gt;"ACCEPTÉ")),1,0)</f>
        <v>0</v>
      </c>
      <c r="AV400" s="82" t="str">
        <f aca="false">IF(AU400=1,SUM(AU$7:AU400),"")</f>
        <v/>
      </c>
      <c r="AW400" s="82" t="str">
        <f aca="false">IF(E400="","",B400&amp;"|"&amp;E400)</f>
        <v>MFD-ISW → MFD-CPF|JN°394</v>
      </c>
    </row>
    <row r="401" customFormat="false" ht="74.6" hidden="false" customHeight="false" outlineLevel="0" collapsed="false">
      <c r="A401" s="79" t="n">
        <f aca="false">IF(E401="","",ROW()-6)</f>
        <v>395</v>
      </c>
      <c r="B401" s="80" t="s">
        <v>110</v>
      </c>
      <c r="C401" s="81"/>
      <c r="D401" s="81"/>
      <c r="E401" s="81" t="s">
        <v>505</v>
      </c>
      <c r="F401" s="82" t="str">
        <f aca="false">IF(E401="","",IF(LEFT(E401,2)="DJ","DJ","JN"))</f>
        <v>JN</v>
      </c>
      <c r="G401" s="81"/>
      <c r="H401" s="81"/>
      <c r="I401" s="81"/>
      <c r="J401" s="81"/>
      <c r="K401" s="81"/>
      <c r="L401" s="81"/>
      <c r="M401" s="81"/>
      <c r="N401" s="81"/>
      <c r="O401" s="81"/>
      <c r="P401" s="81"/>
      <c r="Q401" s="81"/>
      <c r="R401" s="81"/>
      <c r="S401" s="81"/>
      <c r="T401" s="81"/>
      <c r="U401" s="83"/>
      <c r="V401" s="83"/>
      <c r="W401" s="81"/>
      <c r="X401" s="81"/>
      <c r="Y401" s="83"/>
      <c r="Z401" s="81"/>
      <c r="AA401" s="81"/>
      <c r="AB401" s="81"/>
      <c r="AC401" s="81"/>
      <c r="AD401" s="81"/>
      <c r="AE401" s="83"/>
      <c r="AF401" s="81"/>
      <c r="AG401" s="81"/>
      <c r="AH401" s="81"/>
      <c r="AI401" s="81"/>
      <c r="AJ401" s="83"/>
      <c r="AK401" s="81"/>
      <c r="AL401" s="81"/>
      <c r="AM401" s="83"/>
      <c r="AN401" s="80"/>
      <c r="AO401" s="82" t="n">
        <f aca="false">IF(E401="","",(AA401&lt;&gt;"")+(AG401&lt;&gt;"")+(AL401&lt;&gt;""))</f>
        <v>0</v>
      </c>
      <c r="AP401" s="82" t="str">
        <f aca="false">IF(AL401&lt;&gt;"",AL401,IF(AG401&lt;&gt;"",AG401,IF(AA401&lt;&gt;"",AA401,"")))</f>
        <v/>
      </c>
      <c r="AQ401" s="84" t="str">
        <f aca="false">IF(E401="","",IF(U401="","À SOUDER",IF(X401="","VT EN ATTENTE",IF(X401="R","VT REJETÉ – À REPRENDRE",IF(AP401="","À RADIOGRAPHIER",IF(AP401="A","ACCEPTÉ",IF(AP401="NX","NX – RT À REFAIRE",IF(IF(AO401=1,AD401,IF(AO401=2,AI401,""))="A","RÉPARÉ – À RADIOGRAPHIER",IF(IF(AO401=1,AD401,IF(AO401=2,AI401,""))="R","VT REJETÉ – À REPRENDRE",IF(OR(AP401="CO",AP401="NT"),"COUPE – À RESOUDER","À RÉPARER"))))))))))</f>
        <v>À SOUDER</v>
      </c>
      <c r="AR401" s="82" t="str">
        <f aca="false">IF(AND(ISNUMBER(U401),OR(AQ401="À RADIOGRAPHIER",AQ401="RÉPARÉ – À RADIOGRAPHIER",AQ401="NX – RT À REFAIRE",AQ401="À RÉPARER",AQ401="COUPE – À RESOUDER",AQ401="VT REJETÉ – À REPRENDRE")),MAX(0,'PROGRAMME RT'!$C$4-U401),"")</f>
        <v/>
      </c>
      <c r="AS401" s="82" t="n">
        <f aca="false">IF(AND(OR(AQ401="À RADIOGRAPHIER",AQ401="RÉPARÉ – À RADIOGRAPHIER",AQ401="NX – RT À REFAIRE"),OR('PROGRAMME RT'!$D$5="TOUTES",B401='PROGRAMME RT'!$D$5)),1,0)</f>
        <v>0</v>
      </c>
      <c r="AT401" s="82" t="str">
        <f aca="false">IF(AS401=1,SUM(AS$7:AS401),"")</f>
        <v/>
      </c>
      <c r="AU401" s="82" t="n">
        <f aca="false">IF(AND(OR(AA401="R",AA401="NX",AA401="NT",AA401="CO"),OR('JOINTS DE RÉPARATION'!$D$5="TOUTES",B401='JOINTS DE RÉPARATION'!$D$5),OR('JOINTS DE RÉPARATION'!$L$4="TOUS",AQ401&lt;&gt;"ACCEPTÉ")),1,0)</f>
        <v>0</v>
      </c>
      <c r="AV401" s="82" t="str">
        <f aca="false">IF(AU401=1,SUM(AU$7:AU401),"")</f>
        <v/>
      </c>
      <c r="AW401" s="82" t="str">
        <f aca="false">IF(E401="","",B401&amp;"|"&amp;E401)</f>
        <v>MFD-ISW → MFD-CPF|JN°395</v>
      </c>
    </row>
    <row r="402" customFormat="false" ht="74.6" hidden="false" customHeight="false" outlineLevel="0" collapsed="false">
      <c r="A402" s="79" t="n">
        <f aca="false">IF(E402="","",ROW()-6)</f>
        <v>396</v>
      </c>
      <c r="B402" s="80" t="s">
        <v>110</v>
      </c>
      <c r="C402" s="81"/>
      <c r="D402" s="81"/>
      <c r="E402" s="81" t="s">
        <v>506</v>
      </c>
      <c r="F402" s="82" t="str">
        <f aca="false">IF(E402="","",IF(LEFT(E402,2)="DJ","DJ","JN"))</f>
        <v>JN</v>
      </c>
      <c r="G402" s="81"/>
      <c r="H402" s="81"/>
      <c r="I402" s="81"/>
      <c r="J402" s="81"/>
      <c r="K402" s="81"/>
      <c r="L402" s="81"/>
      <c r="M402" s="81"/>
      <c r="N402" s="81"/>
      <c r="O402" s="81"/>
      <c r="P402" s="81"/>
      <c r="Q402" s="81"/>
      <c r="R402" s="81"/>
      <c r="S402" s="81"/>
      <c r="T402" s="81"/>
      <c r="U402" s="83"/>
      <c r="V402" s="83"/>
      <c r="W402" s="81"/>
      <c r="X402" s="81"/>
      <c r="Y402" s="83"/>
      <c r="Z402" s="81"/>
      <c r="AA402" s="81"/>
      <c r="AB402" s="81"/>
      <c r="AC402" s="81"/>
      <c r="AD402" s="81"/>
      <c r="AE402" s="83"/>
      <c r="AF402" s="81"/>
      <c r="AG402" s="81"/>
      <c r="AH402" s="81"/>
      <c r="AI402" s="81"/>
      <c r="AJ402" s="83"/>
      <c r="AK402" s="81"/>
      <c r="AL402" s="81"/>
      <c r="AM402" s="83"/>
      <c r="AN402" s="80"/>
      <c r="AO402" s="82" t="n">
        <f aca="false">IF(E402="","",(AA402&lt;&gt;"")+(AG402&lt;&gt;"")+(AL402&lt;&gt;""))</f>
        <v>0</v>
      </c>
      <c r="AP402" s="82" t="str">
        <f aca="false">IF(AL402&lt;&gt;"",AL402,IF(AG402&lt;&gt;"",AG402,IF(AA402&lt;&gt;"",AA402,"")))</f>
        <v/>
      </c>
      <c r="AQ402" s="84" t="str">
        <f aca="false">IF(E402="","",IF(U402="","À SOUDER",IF(X402="","VT EN ATTENTE",IF(X402="R","VT REJETÉ – À REPRENDRE",IF(AP402="","À RADIOGRAPHIER",IF(AP402="A","ACCEPTÉ",IF(AP402="NX","NX – RT À REFAIRE",IF(IF(AO402=1,AD402,IF(AO402=2,AI402,""))="A","RÉPARÉ – À RADIOGRAPHIER",IF(IF(AO402=1,AD402,IF(AO402=2,AI402,""))="R","VT REJETÉ – À REPRENDRE",IF(OR(AP402="CO",AP402="NT"),"COUPE – À RESOUDER","À RÉPARER"))))))))))</f>
        <v>À SOUDER</v>
      </c>
      <c r="AR402" s="82" t="str">
        <f aca="false">IF(AND(ISNUMBER(U402),OR(AQ402="À RADIOGRAPHIER",AQ402="RÉPARÉ – À RADIOGRAPHIER",AQ402="NX – RT À REFAIRE",AQ402="À RÉPARER",AQ402="COUPE – À RESOUDER",AQ402="VT REJETÉ – À REPRENDRE")),MAX(0,'PROGRAMME RT'!$C$4-U402),"")</f>
        <v/>
      </c>
      <c r="AS402" s="82" t="n">
        <f aca="false">IF(AND(OR(AQ402="À RADIOGRAPHIER",AQ402="RÉPARÉ – À RADIOGRAPHIER",AQ402="NX – RT À REFAIRE"),OR('PROGRAMME RT'!$D$5="TOUTES",B402='PROGRAMME RT'!$D$5)),1,0)</f>
        <v>0</v>
      </c>
      <c r="AT402" s="82" t="str">
        <f aca="false">IF(AS402=1,SUM(AS$7:AS402),"")</f>
        <v/>
      </c>
      <c r="AU402" s="82" t="n">
        <f aca="false">IF(AND(OR(AA402="R",AA402="NX",AA402="NT",AA402="CO"),OR('JOINTS DE RÉPARATION'!$D$5="TOUTES",B402='JOINTS DE RÉPARATION'!$D$5),OR('JOINTS DE RÉPARATION'!$L$4="TOUS",AQ402&lt;&gt;"ACCEPTÉ")),1,0)</f>
        <v>0</v>
      </c>
      <c r="AV402" s="82" t="str">
        <f aca="false">IF(AU402=1,SUM(AU$7:AU402),"")</f>
        <v/>
      </c>
      <c r="AW402" s="82" t="str">
        <f aca="false">IF(E402="","",B402&amp;"|"&amp;E402)</f>
        <v>MFD-ISW → MFD-CPF|JN°396</v>
      </c>
    </row>
    <row r="403" customFormat="false" ht="74.6" hidden="false" customHeight="false" outlineLevel="0" collapsed="false">
      <c r="A403" s="79" t="n">
        <f aca="false">IF(E403="","",ROW()-6)</f>
        <v>397</v>
      </c>
      <c r="B403" s="80" t="s">
        <v>110</v>
      </c>
      <c r="C403" s="81"/>
      <c r="D403" s="81"/>
      <c r="E403" s="81" t="s">
        <v>507</v>
      </c>
      <c r="F403" s="82" t="str">
        <f aca="false">IF(E403="","",IF(LEFT(E403,2)="DJ","DJ","JN"))</f>
        <v>JN</v>
      </c>
      <c r="G403" s="81"/>
      <c r="H403" s="81"/>
      <c r="I403" s="81"/>
      <c r="J403" s="81"/>
      <c r="K403" s="81"/>
      <c r="L403" s="81"/>
      <c r="M403" s="81"/>
      <c r="N403" s="81"/>
      <c r="O403" s="81"/>
      <c r="P403" s="81"/>
      <c r="Q403" s="81"/>
      <c r="R403" s="81"/>
      <c r="S403" s="81"/>
      <c r="T403" s="81"/>
      <c r="U403" s="83"/>
      <c r="V403" s="83"/>
      <c r="W403" s="81"/>
      <c r="X403" s="81"/>
      <c r="Y403" s="83"/>
      <c r="Z403" s="81"/>
      <c r="AA403" s="81"/>
      <c r="AB403" s="81"/>
      <c r="AC403" s="81"/>
      <c r="AD403" s="81"/>
      <c r="AE403" s="83"/>
      <c r="AF403" s="81"/>
      <c r="AG403" s="81"/>
      <c r="AH403" s="81"/>
      <c r="AI403" s="81"/>
      <c r="AJ403" s="83"/>
      <c r="AK403" s="81"/>
      <c r="AL403" s="81"/>
      <c r="AM403" s="83"/>
      <c r="AN403" s="80"/>
      <c r="AO403" s="82" t="n">
        <f aca="false">IF(E403="","",(AA403&lt;&gt;"")+(AG403&lt;&gt;"")+(AL403&lt;&gt;""))</f>
        <v>0</v>
      </c>
      <c r="AP403" s="82" t="str">
        <f aca="false">IF(AL403&lt;&gt;"",AL403,IF(AG403&lt;&gt;"",AG403,IF(AA403&lt;&gt;"",AA403,"")))</f>
        <v/>
      </c>
      <c r="AQ403" s="84" t="str">
        <f aca="false">IF(E403="","",IF(U403="","À SOUDER",IF(X403="","VT EN ATTENTE",IF(X403="R","VT REJETÉ – À REPRENDRE",IF(AP403="","À RADIOGRAPHIER",IF(AP403="A","ACCEPTÉ",IF(AP403="NX","NX – RT À REFAIRE",IF(IF(AO403=1,AD403,IF(AO403=2,AI403,""))="A","RÉPARÉ – À RADIOGRAPHIER",IF(IF(AO403=1,AD403,IF(AO403=2,AI403,""))="R","VT REJETÉ – À REPRENDRE",IF(OR(AP403="CO",AP403="NT"),"COUPE – À RESOUDER","À RÉPARER"))))))))))</f>
        <v>À SOUDER</v>
      </c>
      <c r="AR403" s="82" t="str">
        <f aca="false">IF(AND(ISNUMBER(U403),OR(AQ403="À RADIOGRAPHIER",AQ403="RÉPARÉ – À RADIOGRAPHIER",AQ403="NX – RT À REFAIRE",AQ403="À RÉPARER",AQ403="COUPE – À RESOUDER",AQ403="VT REJETÉ – À REPRENDRE")),MAX(0,'PROGRAMME RT'!$C$4-U403),"")</f>
        <v/>
      </c>
      <c r="AS403" s="82" t="n">
        <f aca="false">IF(AND(OR(AQ403="À RADIOGRAPHIER",AQ403="RÉPARÉ – À RADIOGRAPHIER",AQ403="NX – RT À REFAIRE"),OR('PROGRAMME RT'!$D$5="TOUTES",B403='PROGRAMME RT'!$D$5)),1,0)</f>
        <v>0</v>
      </c>
      <c r="AT403" s="82" t="str">
        <f aca="false">IF(AS403=1,SUM(AS$7:AS403),"")</f>
        <v/>
      </c>
      <c r="AU403" s="82" t="n">
        <f aca="false">IF(AND(OR(AA403="R",AA403="NX",AA403="NT",AA403="CO"),OR('JOINTS DE RÉPARATION'!$D$5="TOUTES",B403='JOINTS DE RÉPARATION'!$D$5),OR('JOINTS DE RÉPARATION'!$L$4="TOUS",AQ403&lt;&gt;"ACCEPTÉ")),1,0)</f>
        <v>0</v>
      </c>
      <c r="AV403" s="82" t="str">
        <f aca="false">IF(AU403=1,SUM(AU$7:AU403),"")</f>
        <v/>
      </c>
      <c r="AW403" s="82" t="str">
        <f aca="false">IF(E403="","",B403&amp;"|"&amp;E403)</f>
        <v>MFD-ISW → MFD-CPF|JN°397</v>
      </c>
    </row>
    <row r="404" customFormat="false" ht="74.6" hidden="false" customHeight="false" outlineLevel="0" collapsed="false">
      <c r="A404" s="79" t="n">
        <f aca="false">IF(E404="","",ROW()-6)</f>
        <v>398</v>
      </c>
      <c r="B404" s="80" t="s">
        <v>110</v>
      </c>
      <c r="C404" s="81"/>
      <c r="D404" s="81"/>
      <c r="E404" s="81" t="s">
        <v>508</v>
      </c>
      <c r="F404" s="82" t="str">
        <f aca="false">IF(E404="","",IF(LEFT(E404,2)="DJ","DJ","JN"))</f>
        <v>JN</v>
      </c>
      <c r="G404" s="81"/>
      <c r="H404" s="81"/>
      <c r="I404" s="81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U404" s="83"/>
      <c r="V404" s="83"/>
      <c r="W404" s="81"/>
      <c r="X404" s="81"/>
      <c r="Y404" s="83"/>
      <c r="Z404" s="81"/>
      <c r="AA404" s="81"/>
      <c r="AB404" s="81"/>
      <c r="AC404" s="81"/>
      <c r="AD404" s="81"/>
      <c r="AE404" s="83"/>
      <c r="AF404" s="81"/>
      <c r="AG404" s="81"/>
      <c r="AH404" s="81"/>
      <c r="AI404" s="81"/>
      <c r="AJ404" s="83"/>
      <c r="AK404" s="81"/>
      <c r="AL404" s="81"/>
      <c r="AM404" s="83"/>
      <c r="AN404" s="80"/>
      <c r="AO404" s="82" t="n">
        <f aca="false">IF(E404="","",(AA404&lt;&gt;"")+(AG404&lt;&gt;"")+(AL404&lt;&gt;""))</f>
        <v>0</v>
      </c>
      <c r="AP404" s="82" t="str">
        <f aca="false">IF(AL404&lt;&gt;"",AL404,IF(AG404&lt;&gt;"",AG404,IF(AA404&lt;&gt;"",AA404,"")))</f>
        <v/>
      </c>
      <c r="AQ404" s="84" t="str">
        <f aca="false">IF(E404="","",IF(U404="","À SOUDER",IF(X404="","VT EN ATTENTE",IF(X404="R","VT REJETÉ – À REPRENDRE",IF(AP404="","À RADIOGRAPHIER",IF(AP404="A","ACCEPTÉ",IF(AP404="NX","NX – RT À REFAIRE",IF(IF(AO404=1,AD404,IF(AO404=2,AI404,""))="A","RÉPARÉ – À RADIOGRAPHIER",IF(IF(AO404=1,AD404,IF(AO404=2,AI404,""))="R","VT REJETÉ – À REPRENDRE",IF(OR(AP404="CO",AP404="NT"),"COUPE – À RESOUDER","À RÉPARER"))))))))))</f>
        <v>À SOUDER</v>
      </c>
      <c r="AR404" s="82" t="str">
        <f aca="false">IF(AND(ISNUMBER(U404),OR(AQ404="À RADIOGRAPHIER",AQ404="RÉPARÉ – À RADIOGRAPHIER",AQ404="NX – RT À REFAIRE",AQ404="À RÉPARER",AQ404="COUPE – À RESOUDER",AQ404="VT REJETÉ – À REPRENDRE")),MAX(0,'PROGRAMME RT'!$C$4-U404),"")</f>
        <v/>
      </c>
      <c r="AS404" s="82" t="n">
        <f aca="false">IF(AND(OR(AQ404="À RADIOGRAPHIER",AQ404="RÉPARÉ – À RADIOGRAPHIER",AQ404="NX – RT À REFAIRE"),OR('PROGRAMME RT'!$D$5="TOUTES",B404='PROGRAMME RT'!$D$5)),1,0)</f>
        <v>0</v>
      </c>
      <c r="AT404" s="82" t="str">
        <f aca="false">IF(AS404=1,SUM(AS$7:AS404),"")</f>
        <v/>
      </c>
      <c r="AU404" s="82" t="n">
        <f aca="false">IF(AND(OR(AA404="R",AA404="NX",AA404="NT",AA404="CO"),OR('JOINTS DE RÉPARATION'!$D$5="TOUTES",B404='JOINTS DE RÉPARATION'!$D$5),OR('JOINTS DE RÉPARATION'!$L$4="TOUS",AQ404&lt;&gt;"ACCEPTÉ")),1,0)</f>
        <v>0</v>
      </c>
      <c r="AV404" s="82" t="str">
        <f aca="false">IF(AU404=1,SUM(AU$7:AU404),"")</f>
        <v/>
      </c>
      <c r="AW404" s="82" t="str">
        <f aca="false">IF(E404="","",B404&amp;"|"&amp;E404)</f>
        <v>MFD-ISW → MFD-CPF|JN°398</v>
      </c>
    </row>
    <row r="405" customFormat="false" ht="74.6" hidden="false" customHeight="false" outlineLevel="0" collapsed="false">
      <c r="A405" s="79" t="n">
        <f aca="false">IF(E405="","",ROW()-6)</f>
        <v>399</v>
      </c>
      <c r="B405" s="80" t="s">
        <v>110</v>
      </c>
      <c r="C405" s="81"/>
      <c r="D405" s="81"/>
      <c r="E405" s="81" t="s">
        <v>509</v>
      </c>
      <c r="F405" s="82" t="str">
        <f aca="false">IF(E405="","",IF(LEFT(E405,2)="DJ","DJ","JN"))</f>
        <v>JN</v>
      </c>
      <c r="G405" s="81"/>
      <c r="H405" s="81"/>
      <c r="I405" s="81"/>
      <c r="J405" s="81"/>
      <c r="K405" s="81"/>
      <c r="L405" s="81"/>
      <c r="M405" s="81"/>
      <c r="N405" s="81"/>
      <c r="O405" s="81"/>
      <c r="P405" s="81"/>
      <c r="Q405" s="81"/>
      <c r="R405" s="81"/>
      <c r="S405" s="81"/>
      <c r="T405" s="81"/>
      <c r="U405" s="83"/>
      <c r="V405" s="83"/>
      <c r="W405" s="81"/>
      <c r="X405" s="81"/>
      <c r="Y405" s="83"/>
      <c r="Z405" s="81"/>
      <c r="AA405" s="81"/>
      <c r="AB405" s="81"/>
      <c r="AC405" s="81"/>
      <c r="AD405" s="81"/>
      <c r="AE405" s="83"/>
      <c r="AF405" s="81"/>
      <c r="AG405" s="81"/>
      <c r="AH405" s="81"/>
      <c r="AI405" s="81"/>
      <c r="AJ405" s="83"/>
      <c r="AK405" s="81"/>
      <c r="AL405" s="81"/>
      <c r="AM405" s="83"/>
      <c r="AN405" s="80"/>
      <c r="AO405" s="82" t="n">
        <f aca="false">IF(E405="","",(AA405&lt;&gt;"")+(AG405&lt;&gt;"")+(AL405&lt;&gt;""))</f>
        <v>0</v>
      </c>
      <c r="AP405" s="82" t="str">
        <f aca="false">IF(AL405&lt;&gt;"",AL405,IF(AG405&lt;&gt;"",AG405,IF(AA405&lt;&gt;"",AA405,"")))</f>
        <v/>
      </c>
      <c r="AQ405" s="84" t="str">
        <f aca="false">IF(E405="","",IF(U405="","À SOUDER",IF(X405="","VT EN ATTENTE",IF(X405="R","VT REJETÉ – À REPRENDRE",IF(AP405="","À RADIOGRAPHIER",IF(AP405="A","ACCEPTÉ",IF(AP405="NX","NX – RT À REFAIRE",IF(IF(AO405=1,AD405,IF(AO405=2,AI405,""))="A","RÉPARÉ – À RADIOGRAPHIER",IF(IF(AO405=1,AD405,IF(AO405=2,AI405,""))="R","VT REJETÉ – À REPRENDRE",IF(OR(AP405="CO",AP405="NT"),"COUPE – À RESOUDER","À RÉPARER"))))))))))</f>
        <v>À SOUDER</v>
      </c>
      <c r="AR405" s="82" t="str">
        <f aca="false">IF(AND(ISNUMBER(U405),OR(AQ405="À RADIOGRAPHIER",AQ405="RÉPARÉ – À RADIOGRAPHIER",AQ405="NX – RT À REFAIRE",AQ405="À RÉPARER",AQ405="COUPE – À RESOUDER",AQ405="VT REJETÉ – À REPRENDRE")),MAX(0,'PROGRAMME RT'!$C$4-U405),"")</f>
        <v/>
      </c>
      <c r="AS405" s="82" t="n">
        <f aca="false">IF(AND(OR(AQ405="À RADIOGRAPHIER",AQ405="RÉPARÉ – À RADIOGRAPHIER",AQ405="NX – RT À REFAIRE"),OR('PROGRAMME RT'!$D$5="TOUTES",B405='PROGRAMME RT'!$D$5)),1,0)</f>
        <v>0</v>
      </c>
      <c r="AT405" s="82" t="str">
        <f aca="false">IF(AS405=1,SUM(AS$7:AS405),"")</f>
        <v/>
      </c>
      <c r="AU405" s="82" t="n">
        <f aca="false">IF(AND(OR(AA405="R",AA405="NX",AA405="NT",AA405="CO"),OR('JOINTS DE RÉPARATION'!$D$5="TOUTES",B405='JOINTS DE RÉPARATION'!$D$5),OR('JOINTS DE RÉPARATION'!$L$4="TOUS",AQ405&lt;&gt;"ACCEPTÉ")),1,0)</f>
        <v>0</v>
      </c>
      <c r="AV405" s="82" t="str">
        <f aca="false">IF(AU405=1,SUM(AU$7:AU405),"")</f>
        <v/>
      </c>
      <c r="AW405" s="82" t="str">
        <f aca="false">IF(E405="","",B405&amp;"|"&amp;E405)</f>
        <v>MFD-ISW → MFD-CPF|JN°399</v>
      </c>
    </row>
    <row r="406" customFormat="false" ht="74.6" hidden="false" customHeight="false" outlineLevel="0" collapsed="false">
      <c r="A406" s="79" t="n">
        <f aca="false">IF(E406="","",ROW()-6)</f>
        <v>400</v>
      </c>
      <c r="B406" s="80" t="s">
        <v>110</v>
      </c>
      <c r="C406" s="81"/>
      <c r="D406" s="81"/>
      <c r="E406" s="81" t="s">
        <v>510</v>
      </c>
      <c r="F406" s="82" t="str">
        <f aca="false">IF(E406="","",IF(LEFT(E406,2)="DJ","DJ","JN"))</f>
        <v>JN</v>
      </c>
      <c r="G406" s="81"/>
      <c r="H406" s="81"/>
      <c r="I406" s="81"/>
      <c r="J406" s="81"/>
      <c r="K406" s="81"/>
      <c r="L406" s="81"/>
      <c r="M406" s="81"/>
      <c r="N406" s="81"/>
      <c r="O406" s="81"/>
      <c r="P406" s="81"/>
      <c r="Q406" s="81"/>
      <c r="R406" s="81"/>
      <c r="S406" s="81"/>
      <c r="T406" s="81"/>
      <c r="U406" s="83"/>
      <c r="V406" s="83"/>
      <c r="W406" s="81"/>
      <c r="X406" s="81"/>
      <c r="Y406" s="83"/>
      <c r="Z406" s="81"/>
      <c r="AA406" s="81"/>
      <c r="AB406" s="81"/>
      <c r="AC406" s="81"/>
      <c r="AD406" s="81"/>
      <c r="AE406" s="83"/>
      <c r="AF406" s="81"/>
      <c r="AG406" s="81"/>
      <c r="AH406" s="81"/>
      <c r="AI406" s="81"/>
      <c r="AJ406" s="83"/>
      <c r="AK406" s="81"/>
      <c r="AL406" s="81"/>
      <c r="AM406" s="83"/>
      <c r="AN406" s="80"/>
      <c r="AO406" s="82" t="n">
        <f aca="false">IF(E406="","",(AA406&lt;&gt;"")+(AG406&lt;&gt;"")+(AL406&lt;&gt;""))</f>
        <v>0</v>
      </c>
      <c r="AP406" s="82" t="str">
        <f aca="false">IF(AL406&lt;&gt;"",AL406,IF(AG406&lt;&gt;"",AG406,IF(AA406&lt;&gt;"",AA406,"")))</f>
        <v/>
      </c>
      <c r="AQ406" s="84" t="str">
        <f aca="false">IF(E406="","",IF(U406="","À SOUDER",IF(X406="","VT EN ATTENTE",IF(X406="R","VT REJETÉ – À REPRENDRE",IF(AP406="","À RADIOGRAPHIER",IF(AP406="A","ACCEPTÉ",IF(AP406="NX","NX – RT À REFAIRE",IF(IF(AO406=1,AD406,IF(AO406=2,AI406,""))="A","RÉPARÉ – À RADIOGRAPHIER",IF(IF(AO406=1,AD406,IF(AO406=2,AI406,""))="R","VT REJETÉ – À REPRENDRE",IF(OR(AP406="CO",AP406="NT"),"COUPE – À RESOUDER","À RÉPARER"))))))))))</f>
        <v>À SOUDER</v>
      </c>
      <c r="AR406" s="82" t="str">
        <f aca="false">IF(AND(ISNUMBER(U406),OR(AQ406="À RADIOGRAPHIER",AQ406="RÉPARÉ – À RADIOGRAPHIER",AQ406="NX – RT À REFAIRE",AQ406="À RÉPARER",AQ406="COUPE – À RESOUDER",AQ406="VT REJETÉ – À REPRENDRE")),MAX(0,'PROGRAMME RT'!$C$4-U406),"")</f>
        <v/>
      </c>
      <c r="AS406" s="82" t="n">
        <f aca="false">IF(AND(OR(AQ406="À RADIOGRAPHIER",AQ406="RÉPARÉ – À RADIOGRAPHIER",AQ406="NX – RT À REFAIRE"),OR('PROGRAMME RT'!$D$5="TOUTES",B406='PROGRAMME RT'!$D$5)),1,0)</f>
        <v>0</v>
      </c>
      <c r="AT406" s="82" t="str">
        <f aca="false">IF(AS406=1,SUM(AS$7:AS406),"")</f>
        <v/>
      </c>
      <c r="AU406" s="82" t="n">
        <f aca="false">IF(AND(OR(AA406="R",AA406="NX",AA406="NT",AA406="CO"),OR('JOINTS DE RÉPARATION'!$D$5="TOUTES",B406='JOINTS DE RÉPARATION'!$D$5),OR('JOINTS DE RÉPARATION'!$L$4="TOUS",AQ406&lt;&gt;"ACCEPTÉ")),1,0)</f>
        <v>0</v>
      </c>
      <c r="AV406" s="82" t="str">
        <f aca="false">IF(AU406=1,SUM(AU$7:AU406),"")</f>
        <v/>
      </c>
      <c r="AW406" s="82" t="str">
        <f aca="false">IF(E406="","",B406&amp;"|"&amp;E406)</f>
        <v>MFD-ISW → MFD-CPF|JN°400</v>
      </c>
    </row>
    <row r="407" customFormat="false" ht="74.6" hidden="false" customHeight="false" outlineLevel="0" collapsed="false">
      <c r="A407" s="79" t="n">
        <f aca="false">IF(E407="","",ROW()-6)</f>
        <v>401</v>
      </c>
      <c r="B407" s="80" t="s">
        <v>110</v>
      </c>
      <c r="C407" s="81"/>
      <c r="D407" s="81"/>
      <c r="E407" s="81" t="s">
        <v>511</v>
      </c>
      <c r="F407" s="82" t="str">
        <f aca="false">IF(E407="","",IF(LEFT(E407,2)="DJ","DJ","JN"))</f>
        <v>JN</v>
      </c>
      <c r="G407" s="81"/>
      <c r="H407" s="81"/>
      <c r="I407" s="81"/>
      <c r="J407" s="81"/>
      <c r="K407" s="81"/>
      <c r="L407" s="81"/>
      <c r="M407" s="81"/>
      <c r="N407" s="81"/>
      <c r="O407" s="81"/>
      <c r="P407" s="81"/>
      <c r="Q407" s="81"/>
      <c r="R407" s="81"/>
      <c r="S407" s="81"/>
      <c r="T407" s="81"/>
      <c r="U407" s="83"/>
      <c r="V407" s="83"/>
      <c r="W407" s="81"/>
      <c r="X407" s="81"/>
      <c r="Y407" s="83"/>
      <c r="Z407" s="81"/>
      <c r="AA407" s="81"/>
      <c r="AB407" s="81"/>
      <c r="AC407" s="81"/>
      <c r="AD407" s="81"/>
      <c r="AE407" s="83"/>
      <c r="AF407" s="81"/>
      <c r="AG407" s="81"/>
      <c r="AH407" s="81"/>
      <c r="AI407" s="81"/>
      <c r="AJ407" s="83"/>
      <c r="AK407" s="81"/>
      <c r="AL407" s="81"/>
      <c r="AM407" s="83"/>
      <c r="AN407" s="80"/>
      <c r="AO407" s="82" t="n">
        <f aca="false">IF(E407="","",(AA407&lt;&gt;"")+(AG407&lt;&gt;"")+(AL407&lt;&gt;""))</f>
        <v>0</v>
      </c>
      <c r="AP407" s="82" t="str">
        <f aca="false">IF(AL407&lt;&gt;"",AL407,IF(AG407&lt;&gt;"",AG407,IF(AA407&lt;&gt;"",AA407,"")))</f>
        <v/>
      </c>
      <c r="AQ407" s="84" t="str">
        <f aca="false">IF(E407="","",IF(U407="","À SOUDER",IF(X407="","VT EN ATTENTE",IF(X407="R","VT REJETÉ – À REPRENDRE",IF(AP407="","À RADIOGRAPHIER",IF(AP407="A","ACCEPTÉ",IF(AP407="NX","NX – RT À REFAIRE",IF(IF(AO407=1,AD407,IF(AO407=2,AI407,""))="A","RÉPARÉ – À RADIOGRAPHIER",IF(IF(AO407=1,AD407,IF(AO407=2,AI407,""))="R","VT REJETÉ – À REPRENDRE",IF(OR(AP407="CO",AP407="NT"),"COUPE – À RESOUDER","À RÉPARER"))))))))))</f>
        <v>À SOUDER</v>
      </c>
      <c r="AR407" s="82" t="str">
        <f aca="false">IF(AND(ISNUMBER(U407),OR(AQ407="À RADIOGRAPHIER",AQ407="RÉPARÉ – À RADIOGRAPHIER",AQ407="NX – RT À REFAIRE",AQ407="À RÉPARER",AQ407="COUPE – À RESOUDER",AQ407="VT REJETÉ – À REPRENDRE")),MAX(0,'PROGRAMME RT'!$C$4-U407),"")</f>
        <v/>
      </c>
      <c r="AS407" s="82" t="n">
        <f aca="false">IF(AND(OR(AQ407="À RADIOGRAPHIER",AQ407="RÉPARÉ – À RADIOGRAPHIER",AQ407="NX – RT À REFAIRE"),OR('PROGRAMME RT'!$D$5="TOUTES",B407='PROGRAMME RT'!$D$5)),1,0)</f>
        <v>0</v>
      </c>
      <c r="AT407" s="82" t="str">
        <f aca="false">IF(AS407=1,SUM(AS$7:AS407),"")</f>
        <v/>
      </c>
      <c r="AU407" s="82" t="n">
        <f aca="false">IF(AND(OR(AA407="R",AA407="NX",AA407="NT",AA407="CO"),OR('JOINTS DE RÉPARATION'!$D$5="TOUTES",B407='JOINTS DE RÉPARATION'!$D$5),OR('JOINTS DE RÉPARATION'!$L$4="TOUS",AQ407&lt;&gt;"ACCEPTÉ")),1,0)</f>
        <v>0</v>
      </c>
      <c r="AV407" s="82" t="str">
        <f aca="false">IF(AU407=1,SUM(AU$7:AU407),"")</f>
        <v/>
      </c>
      <c r="AW407" s="82" t="str">
        <f aca="false">IF(E407="","",B407&amp;"|"&amp;E407)</f>
        <v>MFD-ISW → MFD-CPF|JN°401</v>
      </c>
    </row>
    <row r="408" customFormat="false" ht="74.6" hidden="false" customHeight="false" outlineLevel="0" collapsed="false">
      <c r="A408" s="79" t="n">
        <f aca="false">IF(E408="","",ROW()-6)</f>
        <v>402</v>
      </c>
      <c r="B408" s="80" t="s">
        <v>110</v>
      </c>
      <c r="C408" s="81"/>
      <c r="D408" s="81"/>
      <c r="E408" s="81" t="s">
        <v>512</v>
      </c>
      <c r="F408" s="82" t="str">
        <f aca="false">IF(E408="","",IF(LEFT(E408,2)="DJ","DJ","JN"))</f>
        <v>JN</v>
      </c>
      <c r="G408" s="81"/>
      <c r="H408" s="81"/>
      <c r="I408" s="81"/>
      <c r="J408" s="81"/>
      <c r="K408" s="81"/>
      <c r="L408" s="81"/>
      <c r="M408" s="81"/>
      <c r="N408" s="81"/>
      <c r="O408" s="81"/>
      <c r="P408" s="81"/>
      <c r="Q408" s="81"/>
      <c r="R408" s="81"/>
      <c r="S408" s="81"/>
      <c r="T408" s="81"/>
      <c r="U408" s="83"/>
      <c r="V408" s="83"/>
      <c r="W408" s="81"/>
      <c r="X408" s="81"/>
      <c r="Y408" s="83"/>
      <c r="Z408" s="81"/>
      <c r="AA408" s="81"/>
      <c r="AB408" s="81"/>
      <c r="AC408" s="81"/>
      <c r="AD408" s="81"/>
      <c r="AE408" s="83"/>
      <c r="AF408" s="81"/>
      <c r="AG408" s="81"/>
      <c r="AH408" s="81"/>
      <c r="AI408" s="81"/>
      <c r="AJ408" s="83"/>
      <c r="AK408" s="81"/>
      <c r="AL408" s="81"/>
      <c r="AM408" s="83"/>
      <c r="AN408" s="80"/>
      <c r="AO408" s="82" t="n">
        <f aca="false">IF(E408="","",(AA408&lt;&gt;"")+(AG408&lt;&gt;"")+(AL408&lt;&gt;""))</f>
        <v>0</v>
      </c>
      <c r="AP408" s="82" t="str">
        <f aca="false">IF(AL408&lt;&gt;"",AL408,IF(AG408&lt;&gt;"",AG408,IF(AA408&lt;&gt;"",AA408,"")))</f>
        <v/>
      </c>
      <c r="AQ408" s="84" t="str">
        <f aca="false">IF(E408="","",IF(U408="","À SOUDER",IF(X408="","VT EN ATTENTE",IF(X408="R","VT REJETÉ – À REPRENDRE",IF(AP408="","À RADIOGRAPHIER",IF(AP408="A","ACCEPTÉ",IF(AP408="NX","NX – RT À REFAIRE",IF(IF(AO408=1,AD408,IF(AO408=2,AI408,""))="A","RÉPARÉ – À RADIOGRAPHIER",IF(IF(AO408=1,AD408,IF(AO408=2,AI408,""))="R","VT REJETÉ – À REPRENDRE",IF(OR(AP408="CO",AP408="NT"),"COUPE – À RESOUDER","À RÉPARER"))))))))))</f>
        <v>À SOUDER</v>
      </c>
      <c r="AR408" s="82" t="str">
        <f aca="false">IF(AND(ISNUMBER(U408),OR(AQ408="À RADIOGRAPHIER",AQ408="RÉPARÉ – À RADIOGRAPHIER",AQ408="NX – RT À REFAIRE",AQ408="À RÉPARER",AQ408="COUPE – À RESOUDER",AQ408="VT REJETÉ – À REPRENDRE")),MAX(0,'PROGRAMME RT'!$C$4-U408),"")</f>
        <v/>
      </c>
      <c r="AS408" s="82" t="n">
        <f aca="false">IF(AND(OR(AQ408="À RADIOGRAPHIER",AQ408="RÉPARÉ – À RADIOGRAPHIER",AQ408="NX – RT À REFAIRE"),OR('PROGRAMME RT'!$D$5="TOUTES",B408='PROGRAMME RT'!$D$5)),1,0)</f>
        <v>0</v>
      </c>
      <c r="AT408" s="82" t="str">
        <f aca="false">IF(AS408=1,SUM(AS$7:AS408),"")</f>
        <v/>
      </c>
      <c r="AU408" s="82" t="n">
        <f aca="false">IF(AND(OR(AA408="R",AA408="NX",AA408="NT",AA408="CO"),OR('JOINTS DE RÉPARATION'!$D$5="TOUTES",B408='JOINTS DE RÉPARATION'!$D$5),OR('JOINTS DE RÉPARATION'!$L$4="TOUS",AQ408&lt;&gt;"ACCEPTÉ")),1,0)</f>
        <v>0</v>
      </c>
      <c r="AV408" s="82" t="str">
        <f aca="false">IF(AU408=1,SUM(AU$7:AU408),"")</f>
        <v/>
      </c>
      <c r="AW408" s="82" t="str">
        <f aca="false">IF(E408="","",B408&amp;"|"&amp;E408)</f>
        <v>MFD-ISW → MFD-CPF|JN°402</v>
      </c>
    </row>
    <row r="409" customFormat="false" ht="74.6" hidden="false" customHeight="false" outlineLevel="0" collapsed="false">
      <c r="A409" s="79" t="n">
        <f aca="false">IF(E409="","",ROW()-6)</f>
        <v>403</v>
      </c>
      <c r="B409" s="80" t="s">
        <v>110</v>
      </c>
      <c r="C409" s="81"/>
      <c r="D409" s="81"/>
      <c r="E409" s="81" t="s">
        <v>513</v>
      </c>
      <c r="F409" s="82" t="str">
        <f aca="false">IF(E409="","",IF(LEFT(E409,2)="DJ","DJ","JN"))</f>
        <v>JN</v>
      </c>
      <c r="G409" s="81"/>
      <c r="H409" s="81"/>
      <c r="I409" s="81"/>
      <c r="J409" s="81"/>
      <c r="K409" s="81"/>
      <c r="L409" s="81"/>
      <c r="M409" s="81"/>
      <c r="N409" s="81"/>
      <c r="O409" s="81"/>
      <c r="P409" s="81"/>
      <c r="Q409" s="81"/>
      <c r="R409" s="81"/>
      <c r="S409" s="81"/>
      <c r="T409" s="81"/>
      <c r="U409" s="83"/>
      <c r="V409" s="83"/>
      <c r="W409" s="81"/>
      <c r="X409" s="81"/>
      <c r="Y409" s="83"/>
      <c r="Z409" s="81"/>
      <c r="AA409" s="81"/>
      <c r="AB409" s="81"/>
      <c r="AC409" s="81"/>
      <c r="AD409" s="81"/>
      <c r="AE409" s="83"/>
      <c r="AF409" s="81"/>
      <c r="AG409" s="81"/>
      <c r="AH409" s="81"/>
      <c r="AI409" s="81"/>
      <c r="AJ409" s="83"/>
      <c r="AK409" s="81"/>
      <c r="AL409" s="81"/>
      <c r="AM409" s="83"/>
      <c r="AN409" s="80"/>
      <c r="AO409" s="82" t="n">
        <f aca="false">IF(E409="","",(AA409&lt;&gt;"")+(AG409&lt;&gt;"")+(AL409&lt;&gt;""))</f>
        <v>0</v>
      </c>
      <c r="AP409" s="82" t="str">
        <f aca="false">IF(AL409&lt;&gt;"",AL409,IF(AG409&lt;&gt;"",AG409,IF(AA409&lt;&gt;"",AA409,"")))</f>
        <v/>
      </c>
      <c r="AQ409" s="84" t="str">
        <f aca="false">IF(E409="","",IF(U409="","À SOUDER",IF(X409="","VT EN ATTENTE",IF(X409="R","VT REJETÉ – À REPRENDRE",IF(AP409="","À RADIOGRAPHIER",IF(AP409="A","ACCEPTÉ",IF(AP409="NX","NX – RT À REFAIRE",IF(IF(AO409=1,AD409,IF(AO409=2,AI409,""))="A","RÉPARÉ – À RADIOGRAPHIER",IF(IF(AO409=1,AD409,IF(AO409=2,AI409,""))="R","VT REJETÉ – À REPRENDRE",IF(OR(AP409="CO",AP409="NT"),"COUPE – À RESOUDER","À RÉPARER"))))))))))</f>
        <v>À SOUDER</v>
      </c>
      <c r="AR409" s="82" t="str">
        <f aca="false">IF(AND(ISNUMBER(U409),OR(AQ409="À RADIOGRAPHIER",AQ409="RÉPARÉ – À RADIOGRAPHIER",AQ409="NX – RT À REFAIRE",AQ409="À RÉPARER",AQ409="COUPE – À RESOUDER",AQ409="VT REJETÉ – À REPRENDRE")),MAX(0,'PROGRAMME RT'!$C$4-U409),"")</f>
        <v/>
      </c>
      <c r="AS409" s="82" t="n">
        <f aca="false">IF(AND(OR(AQ409="À RADIOGRAPHIER",AQ409="RÉPARÉ – À RADIOGRAPHIER",AQ409="NX – RT À REFAIRE"),OR('PROGRAMME RT'!$D$5="TOUTES",B409='PROGRAMME RT'!$D$5)),1,0)</f>
        <v>0</v>
      </c>
      <c r="AT409" s="82" t="str">
        <f aca="false">IF(AS409=1,SUM(AS$7:AS409),"")</f>
        <v/>
      </c>
      <c r="AU409" s="82" t="n">
        <f aca="false">IF(AND(OR(AA409="R",AA409="NX",AA409="NT",AA409="CO"),OR('JOINTS DE RÉPARATION'!$D$5="TOUTES",B409='JOINTS DE RÉPARATION'!$D$5),OR('JOINTS DE RÉPARATION'!$L$4="TOUS",AQ409&lt;&gt;"ACCEPTÉ")),1,0)</f>
        <v>0</v>
      </c>
      <c r="AV409" s="82" t="str">
        <f aca="false">IF(AU409=1,SUM(AU$7:AU409),"")</f>
        <v/>
      </c>
      <c r="AW409" s="82" t="str">
        <f aca="false">IF(E409="","",B409&amp;"|"&amp;E409)</f>
        <v>MFD-ISW → MFD-CPF|JN°403</v>
      </c>
    </row>
    <row r="410" customFormat="false" ht="74.6" hidden="false" customHeight="false" outlineLevel="0" collapsed="false">
      <c r="A410" s="79" t="n">
        <f aca="false">IF(E410="","",ROW()-6)</f>
        <v>404</v>
      </c>
      <c r="B410" s="80" t="s">
        <v>110</v>
      </c>
      <c r="C410" s="81"/>
      <c r="D410" s="81"/>
      <c r="E410" s="81" t="s">
        <v>514</v>
      </c>
      <c r="F410" s="82" t="str">
        <f aca="false">IF(E410="","",IF(LEFT(E410,2)="DJ","DJ","JN"))</f>
        <v>JN</v>
      </c>
      <c r="G410" s="81"/>
      <c r="H410" s="81"/>
      <c r="I410" s="81"/>
      <c r="J410" s="81"/>
      <c r="K410" s="81"/>
      <c r="L410" s="81"/>
      <c r="M410" s="81"/>
      <c r="N410" s="81"/>
      <c r="O410" s="81"/>
      <c r="P410" s="81"/>
      <c r="Q410" s="81"/>
      <c r="R410" s="81"/>
      <c r="S410" s="81"/>
      <c r="T410" s="81"/>
      <c r="U410" s="83"/>
      <c r="V410" s="83"/>
      <c r="W410" s="81"/>
      <c r="X410" s="81"/>
      <c r="Y410" s="83"/>
      <c r="Z410" s="81"/>
      <c r="AA410" s="81"/>
      <c r="AB410" s="81"/>
      <c r="AC410" s="81"/>
      <c r="AD410" s="81"/>
      <c r="AE410" s="83"/>
      <c r="AF410" s="81"/>
      <c r="AG410" s="81"/>
      <c r="AH410" s="81"/>
      <c r="AI410" s="81"/>
      <c r="AJ410" s="83"/>
      <c r="AK410" s="81"/>
      <c r="AL410" s="81"/>
      <c r="AM410" s="83"/>
      <c r="AN410" s="80"/>
      <c r="AO410" s="82" t="n">
        <f aca="false">IF(E410="","",(AA410&lt;&gt;"")+(AG410&lt;&gt;"")+(AL410&lt;&gt;""))</f>
        <v>0</v>
      </c>
      <c r="AP410" s="82" t="str">
        <f aca="false">IF(AL410&lt;&gt;"",AL410,IF(AG410&lt;&gt;"",AG410,IF(AA410&lt;&gt;"",AA410,"")))</f>
        <v/>
      </c>
      <c r="AQ410" s="84" t="str">
        <f aca="false">IF(E410="","",IF(U410="","À SOUDER",IF(X410="","VT EN ATTENTE",IF(X410="R","VT REJETÉ – À REPRENDRE",IF(AP410="","À RADIOGRAPHIER",IF(AP410="A","ACCEPTÉ",IF(AP410="NX","NX – RT À REFAIRE",IF(IF(AO410=1,AD410,IF(AO410=2,AI410,""))="A","RÉPARÉ – À RADIOGRAPHIER",IF(IF(AO410=1,AD410,IF(AO410=2,AI410,""))="R","VT REJETÉ – À REPRENDRE",IF(OR(AP410="CO",AP410="NT"),"COUPE – À RESOUDER","À RÉPARER"))))))))))</f>
        <v>À SOUDER</v>
      </c>
      <c r="AR410" s="82" t="str">
        <f aca="false">IF(AND(ISNUMBER(U410),OR(AQ410="À RADIOGRAPHIER",AQ410="RÉPARÉ – À RADIOGRAPHIER",AQ410="NX – RT À REFAIRE",AQ410="À RÉPARER",AQ410="COUPE – À RESOUDER",AQ410="VT REJETÉ – À REPRENDRE")),MAX(0,'PROGRAMME RT'!$C$4-U410),"")</f>
        <v/>
      </c>
      <c r="AS410" s="82" t="n">
        <f aca="false">IF(AND(OR(AQ410="À RADIOGRAPHIER",AQ410="RÉPARÉ – À RADIOGRAPHIER",AQ410="NX – RT À REFAIRE"),OR('PROGRAMME RT'!$D$5="TOUTES",B410='PROGRAMME RT'!$D$5)),1,0)</f>
        <v>0</v>
      </c>
      <c r="AT410" s="82" t="str">
        <f aca="false">IF(AS410=1,SUM(AS$7:AS410),"")</f>
        <v/>
      </c>
      <c r="AU410" s="82" t="n">
        <f aca="false">IF(AND(OR(AA410="R",AA410="NX",AA410="NT",AA410="CO"),OR('JOINTS DE RÉPARATION'!$D$5="TOUTES",B410='JOINTS DE RÉPARATION'!$D$5),OR('JOINTS DE RÉPARATION'!$L$4="TOUS",AQ410&lt;&gt;"ACCEPTÉ")),1,0)</f>
        <v>0</v>
      </c>
      <c r="AV410" s="82" t="str">
        <f aca="false">IF(AU410=1,SUM(AU$7:AU410),"")</f>
        <v/>
      </c>
      <c r="AW410" s="82" t="str">
        <f aca="false">IF(E410="","",B410&amp;"|"&amp;E410)</f>
        <v>MFD-ISW → MFD-CPF|JN°404</v>
      </c>
    </row>
    <row r="411" customFormat="false" ht="74.6" hidden="false" customHeight="false" outlineLevel="0" collapsed="false">
      <c r="A411" s="79" t="n">
        <f aca="false">IF(E411="","",ROW()-6)</f>
        <v>405</v>
      </c>
      <c r="B411" s="80" t="s">
        <v>110</v>
      </c>
      <c r="C411" s="81"/>
      <c r="D411" s="81"/>
      <c r="E411" s="81" t="s">
        <v>515</v>
      </c>
      <c r="F411" s="82" t="str">
        <f aca="false">IF(E411="","",IF(LEFT(E411,2)="DJ","DJ","JN"))</f>
        <v>JN</v>
      </c>
      <c r="G411" s="81"/>
      <c r="H411" s="81"/>
      <c r="I411" s="81"/>
      <c r="J411" s="81"/>
      <c r="K411" s="81"/>
      <c r="L411" s="81"/>
      <c r="M411" s="81"/>
      <c r="N411" s="81"/>
      <c r="O411" s="81"/>
      <c r="P411" s="81"/>
      <c r="Q411" s="81"/>
      <c r="R411" s="81"/>
      <c r="S411" s="81"/>
      <c r="T411" s="81"/>
      <c r="U411" s="83"/>
      <c r="V411" s="83"/>
      <c r="W411" s="81"/>
      <c r="X411" s="81"/>
      <c r="Y411" s="83"/>
      <c r="Z411" s="81"/>
      <c r="AA411" s="81"/>
      <c r="AB411" s="81"/>
      <c r="AC411" s="81"/>
      <c r="AD411" s="81"/>
      <c r="AE411" s="83"/>
      <c r="AF411" s="81"/>
      <c r="AG411" s="81"/>
      <c r="AH411" s="81"/>
      <c r="AI411" s="81"/>
      <c r="AJ411" s="83"/>
      <c r="AK411" s="81"/>
      <c r="AL411" s="81"/>
      <c r="AM411" s="83"/>
      <c r="AN411" s="80"/>
      <c r="AO411" s="82" t="n">
        <f aca="false">IF(E411="","",(AA411&lt;&gt;"")+(AG411&lt;&gt;"")+(AL411&lt;&gt;""))</f>
        <v>0</v>
      </c>
      <c r="AP411" s="82" t="str">
        <f aca="false">IF(AL411&lt;&gt;"",AL411,IF(AG411&lt;&gt;"",AG411,IF(AA411&lt;&gt;"",AA411,"")))</f>
        <v/>
      </c>
      <c r="AQ411" s="84" t="str">
        <f aca="false">IF(E411="","",IF(U411="","À SOUDER",IF(X411="","VT EN ATTENTE",IF(X411="R","VT REJETÉ – À REPRENDRE",IF(AP411="","À RADIOGRAPHIER",IF(AP411="A","ACCEPTÉ",IF(AP411="NX","NX – RT À REFAIRE",IF(IF(AO411=1,AD411,IF(AO411=2,AI411,""))="A","RÉPARÉ – À RADIOGRAPHIER",IF(IF(AO411=1,AD411,IF(AO411=2,AI411,""))="R","VT REJETÉ – À REPRENDRE",IF(OR(AP411="CO",AP411="NT"),"COUPE – À RESOUDER","À RÉPARER"))))))))))</f>
        <v>À SOUDER</v>
      </c>
      <c r="AR411" s="82" t="str">
        <f aca="false">IF(AND(ISNUMBER(U411),OR(AQ411="À RADIOGRAPHIER",AQ411="RÉPARÉ – À RADIOGRAPHIER",AQ411="NX – RT À REFAIRE",AQ411="À RÉPARER",AQ411="COUPE – À RESOUDER",AQ411="VT REJETÉ – À REPRENDRE")),MAX(0,'PROGRAMME RT'!$C$4-U411),"")</f>
        <v/>
      </c>
      <c r="AS411" s="82" t="n">
        <f aca="false">IF(AND(OR(AQ411="À RADIOGRAPHIER",AQ411="RÉPARÉ – À RADIOGRAPHIER",AQ411="NX – RT À REFAIRE"),OR('PROGRAMME RT'!$D$5="TOUTES",B411='PROGRAMME RT'!$D$5)),1,0)</f>
        <v>0</v>
      </c>
      <c r="AT411" s="82" t="str">
        <f aca="false">IF(AS411=1,SUM(AS$7:AS411),"")</f>
        <v/>
      </c>
      <c r="AU411" s="82" t="n">
        <f aca="false">IF(AND(OR(AA411="R",AA411="NX",AA411="NT",AA411="CO"),OR('JOINTS DE RÉPARATION'!$D$5="TOUTES",B411='JOINTS DE RÉPARATION'!$D$5),OR('JOINTS DE RÉPARATION'!$L$4="TOUS",AQ411&lt;&gt;"ACCEPTÉ")),1,0)</f>
        <v>0</v>
      </c>
      <c r="AV411" s="82" t="str">
        <f aca="false">IF(AU411=1,SUM(AU$7:AU411),"")</f>
        <v/>
      </c>
      <c r="AW411" s="82" t="str">
        <f aca="false">IF(E411="","",B411&amp;"|"&amp;E411)</f>
        <v>MFD-ISW → MFD-CPF|JN°405</v>
      </c>
    </row>
    <row r="412" customFormat="false" ht="74.6" hidden="false" customHeight="false" outlineLevel="0" collapsed="false">
      <c r="A412" s="79" t="n">
        <f aca="false">IF(E412="","",ROW()-6)</f>
        <v>406</v>
      </c>
      <c r="B412" s="80" t="s">
        <v>110</v>
      </c>
      <c r="C412" s="81"/>
      <c r="D412" s="81"/>
      <c r="E412" s="81" t="s">
        <v>516</v>
      </c>
      <c r="F412" s="82" t="str">
        <f aca="false">IF(E412="","",IF(LEFT(E412,2)="DJ","DJ","JN"))</f>
        <v>JN</v>
      </c>
      <c r="G412" s="81"/>
      <c r="H412" s="81"/>
      <c r="I412" s="81"/>
      <c r="J412" s="81"/>
      <c r="K412" s="81"/>
      <c r="L412" s="81"/>
      <c r="M412" s="81"/>
      <c r="N412" s="81"/>
      <c r="O412" s="81"/>
      <c r="P412" s="81"/>
      <c r="Q412" s="81"/>
      <c r="R412" s="81"/>
      <c r="S412" s="81"/>
      <c r="T412" s="81"/>
      <c r="U412" s="83"/>
      <c r="V412" s="83"/>
      <c r="W412" s="81"/>
      <c r="X412" s="81"/>
      <c r="Y412" s="83"/>
      <c r="Z412" s="81"/>
      <c r="AA412" s="81"/>
      <c r="AB412" s="81"/>
      <c r="AC412" s="81"/>
      <c r="AD412" s="81"/>
      <c r="AE412" s="83"/>
      <c r="AF412" s="81"/>
      <c r="AG412" s="81"/>
      <c r="AH412" s="81"/>
      <c r="AI412" s="81"/>
      <c r="AJ412" s="83"/>
      <c r="AK412" s="81"/>
      <c r="AL412" s="81"/>
      <c r="AM412" s="83"/>
      <c r="AN412" s="80"/>
      <c r="AO412" s="82" t="n">
        <f aca="false">IF(E412="","",(AA412&lt;&gt;"")+(AG412&lt;&gt;"")+(AL412&lt;&gt;""))</f>
        <v>0</v>
      </c>
      <c r="AP412" s="82" t="str">
        <f aca="false">IF(AL412&lt;&gt;"",AL412,IF(AG412&lt;&gt;"",AG412,IF(AA412&lt;&gt;"",AA412,"")))</f>
        <v/>
      </c>
      <c r="AQ412" s="84" t="str">
        <f aca="false">IF(E412="","",IF(U412="","À SOUDER",IF(X412="","VT EN ATTENTE",IF(X412="R","VT REJETÉ – À REPRENDRE",IF(AP412="","À RADIOGRAPHIER",IF(AP412="A","ACCEPTÉ",IF(AP412="NX","NX – RT À REFAIRE",IF(IF(AO412=1,AD412,IF(AO412=2,AI412,""))="A","RÉPARÉ – À RADIOGRAPHIER",IF(IF(AO412=1,AD412,IF(AO412=2,AI412,""))="R","VT REJETÉ – À REPRENDRE",IF(OR(AP412="CO",AP412="NT"),"COUPE – À RESOUDER","À RÉPARER"))))))))))</f>
        <v>À SOUDER</v>
      </c>
      <c r="AR412" s="82" t="str">
        <f aca="false">IF(AND(ISNUMBER(U412),OR(AQ412="À RADIOGRAPHIER",AQ412="RÉPARÉ – À RADIOGRAPHIER",AQ412="NX – RT À REFAIRE",AQ412="À RÉPARER",AQ412="COUPE – À RESOUDER",AQ412="VT REJETÉ – À REPRENDRE")),MAX(0,'PROGRAMME RT'!$C$4-U412),"")</f>
        <v/>
      </c>
      <c r="AS412" s="82" t="n">
        <f aca="false">IF(AND(OR(AQ412="À RADIOGRAPHIER",AQ412="RÉPARÉ – À RADIOGRAPHIER",AQ412="NX – RT À REFAIRE"),OR('PROGRAMME RT'!$D$5="TOUTES",B412='PROGRAMME RT'!$D$5)),1,0)</f>
        <v>0</v>
      </c>
      <c r="AT412" s="82" t="str">
        <f aca="false">IF(AS412=1,SUM(AS$7:AS412),"")</f>
        <v/>
      </c>
      <c r="AU412" s="82" t="n">
        <f aca="false">IF(AND(OR(AA412="R",AA412="NX",AA412="NT",AA412="CO"),OR('JOINTS DE RÉPARATION'!$D$5="TOUTES",B412='JOINTS DE RÉPARATION'!$D$5),OR('JOINTS DE RÉPARATION'!$L$4="TOUS",AQ412&lt;&gt;"ACCEPTÉ")),1,0)</f>
        <v>0</v>
      </c>
      <c r="AV412" s="82" t="str">
        <f aca="false">IF(AU412=1,SUM(AU$7:AU412),"")</f>
        <v/>
      </c>
      <c r="AW412" s="82" t="str">
        <f aca="false">IF(E412="","",B412&amp;"|"&amp;E412)</f>
        <v>MFD-ISW → MFD-CPF|JN°406</v>
      </c>
    </row>
    <row r="413" customFormat="false" ht="74.6" hidden="false" customHeight="false" outlineLevel="0" collapsed="false">
      <c r="A413" s="79" t="n">
        <f aca="false">IF(E413="","",ROW()-6)</f>
        <v>407</v>
      </c>
      <c r="B413" s="80" t="s">
        <v>110</v>
      </c>
      <c r="C413" s="81"/>
      <c r="D413" s="81"/>
      <c r="E413" s="81" t="s">
        <v>517</v>
      </c>
      <c r="F413" s="82" t="str">
        <f aca="false">IF(E413="","",IF(LEFT(E413,2)="DJ","DJ","JN"))</f>
        <v>JN</v>
      </c>
      <c r="G413" s="81"/>
      <c r="H413" s="81"/>
      <c r="I413" s="81"/>
      <c r="J413" s="81"/>
      <c r="K413" s="81"/>
      <c r="L413" s="81"/>
      <c r="M413" s="81"/>
      <c r="N413" s="81"/>
      <c r="O413" s="81"/>
      <c r="P413" s="81"/>
      <c r="Q413" s="81"/>
      <c r="R413" s="81"/>
      <c r="S413" s="81"/>
      <c r="T413" s="81"/>
      <c r="U413" s="83"/>
      <c r="V413" s="83"/>
      <c r="W413" s="81"/>
      <c r="X413" s="81"/>
      <c r="Y413" s="83"/>
      <c r="Z413" s="81"/>
      <c r="AA413" s="81"/>
      <c r="AB413" s="81"/>
      <c r="AC413" s="81"/>
      <c r="AD413" s="81"/>
      <c r="AE413" s="83"/>
      <c r="AF413" s="81"/>
      <c r="AG413" s="81"/>
      <c r="AH413" s="81"/>
      <c r="AI413" s="81"/>
      <c r="AJ413" s="83"/>
      <c r="AK413" s="81"/>
      <c r="AL413" s="81"/>
      <c r="AM413" s="83"/>
      <c r="AN413" s="80"/>
      <c r="AO413" s="82" t="n">
        <f aca="false">IF(E413="","",(AA413&lt;&gt;"")+(AG413&lt;&gt;"")+(AL413&lt;&gt;""))</f>
        <v>0</v>
      </c>
      <c r="AP413" s="82" t="str">
        <f aca="false">IF(AL413&lt;&gt;"",AL413,IF(AG413&lt;&gt;"",AG413,IF(AA413&lt;&gt;"",AA413,"")))</f>
        <v/>
      </c>
      <c r="AQ413" s="84" t="str">
        <f aca="false">IF(E413="","",IF(U413="","À SOUDER",IF(X413="","VT EN ATTENTE",IF(X413="R","VT REJETÉ – À REPRENDRE",IF(AP413="","À RADIOGRAPHIER",IF(AP413="A","ACCEPTÉ",IF(AP413="NX","NX – RT À REFAIRE",IF(IF(AO413=1,AD413,IF(AO413=2,AI413,""))="A","RÉPARÉ – À RADIOGRAPHIER",IF(IF(AO413=1,AD413,IF(AO413=2,AI413,""))="R","VT REJETÉ – À REPRENDRE",IF(OR(AP413="CO",AP413="NT"),"COUPE – À RESOUDER","À RÉPARER"))))))))))</f>
        <v>À SOUDER</v>
      </c>
      <c r="AR413" s="82" t="str">
        <f aca="false">IF(AND(ISNUMBER(U413),OR(AQ413="À RADIOGRAPHIER",AQ413="RÉPARÉ – À RADIOGRAPHIER",AQ413="NX – RT À REFAIRE",AQ413="À RÉPARER",AQ413="COUPE – À RESOUDER",AQ413="VT REJETÉ – À REPRENDRE")),MAX(0,'PROGRAMME RT'!$C$4-U413),"")</f>
        <v/>
      </c>
      <c r="AS413" s="82" t="n">
        <f aca="false">IF(AND(OR(AQ413="À RADIOGRAPHIER",AQ413="RÉPARÉ – À RADIOGRAPHIER",AQ413="NX – RT À REFAIRE"),OR('PROGRAMME RT'!$D$5="TOUTES",B413='PROGRAMME RT'!$D$5)),1,0)</f>
        <v>0</v>
      </c>
      <c r="AT413" s="82" t="str">
        <f aca="false">IF(AS413=1,SUM(AS$7:AS413),"")</f>
        <v/>
      </c>
      <c r="AU413" s="82" t="n">
        <f aca="false">IF(AND(OR(AA413="R",AA413="NX",AA413="NT",AA413="CO"),OR('JOINTS DE RÉPARATION'!$D$5="TOUTES",B413='JOINTS DE RÉPARATION'!$D$5),OR('JOINTS DE RÉPARATION'!$L$4="TOUS",AQ413&lt;&gt;"ACCEPTÉ")),1,0)</f>
        <v>0</v>
      </c>
      <c r="AV413" s="82" t="str">
        <f aca="false">IF(AU413=1,SUM(AU$7:AU413),"")</f>
        <v/>
      </c>
      <c r="AW413" s="82" t="str">
        <f aca="false">IF(E413="","",B413&amp;"|"&amp;E413)</f>
        <v>MFD-ISW → MFD-CPF|JN°407</v>
      </c>
    </row>
    <row r="414" customFormat="false" ht="74.6" hidden="false" customHeight="false" outlineLevel="0" collapsed="false">
      <c r="A414" s="79" t="n">
        <f aca="false">IF(E414="","",ROW()-6)</f>
        <v>408</v>
      </c>
      <c r="B414" s="80" t="s">
        <v>110</v>
      </c>
      <c r="C414" s="81"/>
      <c r="D414" s="81"/>
      <c r="E414" s="81" t="s">
        <v>518</v>
      </c>
      <c r="F414" s="82" t="str">
        <f aca="false">IF(E414="","",IF(LEFT(E414,2)="DJ","DJ","JN"))</f>
        <v>JN</v>
      </c>
      <c r="G414" s="81"/>
      <c r="H414" s="81"/>
      <c r="I414" s="81"/>
      <c r="J414" s="81"/>
      <c r="K414" s="81"/>
      <c r="L414" s="81"/>
      <c r="M414" s="81"/>
      <c r="N414" s="81"/>
      <c r="O414" s="81"/>
      <c r="P414" s="81"/>
      <c r="Q414" s="81"/>
      <c r="R414" s="81"/>
      <c r="S414" s="81"/>
      <c r="T414" s="81"/>
      <c r="U414" s="83"/>
      <c r="V414" s="83"/>
      <c r="W414" s="81"/>
      <c r="X414" s="81"/>
      <c r="Y414" s="83"/>
      <c r="Z414" s="81"/>
      <c r="AA414" s="81"/>
      <c r="AB414" s="81"/>
      <c r="AC414" s="81"/>
      <c r="AD414" s="81"/>
      <c r="AE414" s="83"/>
      <c r="AF414" s="81"/>
      <c r="AG414" s="81"/>
      <c r="AH414" s="81"/>
      <c r="AI414" s="81"/>
      <c r="AJ414" s="83"/>
      <c r="AK414" s="81"/>
      <c r="AL414" s="81"/>
      <c r="AM414" s="83"/>
      <c r="AN414" s="80"/>
      <c r="AO414" s="82" t="n">
        <f aca="false">IF(E414="","",(AA414&lt;&gt;"")+(AG414&lt;&gt;"")+(AL414&lt;&gt;""))</f>
        <v>0</v>
      </c>
      <c r="AP414" s="82" t="str">
        <f aca="false">IF(AL414&lt;&gt;"",AL414,IF(AG414&lt;&gt;"",AG414,IF(AA414&lt;&gt;"",AA414,"")))</f>
        <v/>
      </c>
      <c r="AQ414" s="84" t="str">
        <f aca="false">IF(E414="","",IF(U414="","À SOUDER",IF(X414="","VT EN ATTENTE",IF(X414="R","VT REJETÉ – À REPRENDRE",IF(AP414="","À RADIOGRAPHIER",IF(AP414="A","ACCEPTÉ",IF(AP414="NX","NX – RT À REFAIRE",IF(IF(AO414=1,AD414,IF(AO414=2,AI414,""))="A","RÉPARÉ – À RADIOGRAPHIER",IF(IF(AO414=1,AD414,IF(AO414=2,AI414,""))="R","VT REJETÉ – À REPRENDRE",IF(OR(AP414="CO",AP414="NT"),"COUPE – À RESOUDER","À RÉPARER"))))))))))</f>
        <v>À SOUDER</v>
      </c>
      <c r="AR414" s="82" t="str">
        <f aca="false">IF(AND(ISNUMBER(U414),OR(AQ414="À RADIOGRAPHIER",AQ414="RÉPARÉ – À RADIOGRAPHIER",AQ414="NX – RT À REFAIRE",AQ414="À RÉPARER",AQ414="COUPE – À RESOUDER",AQ414="VT REJETÉ – À REPRENDRE")),MAX(0,'PROGRAMME RT'!$C$4-U414),"")</f>
        <v/>
      </c>
      <c r="AS414" s="82" t="n">
        <f aca="false">IF(AND(OR(AQ414="À RADIOGRAPHIER",AQ414="RÉPARÉ – À RADIOGRAPHIER",AQ414="NX – RT À REFAIRE"),OR('PROGRAMME RT'!$D$5="TOUTES",B414='PROGRAMME RT'!$D$5)),1,0)</f>
        <v>0</v>
      </c>
      <c r="AT414" s="82" t="str">
        <f aca="false">IF(AS414=1,SUM(AS$7:AS414),"")</f>
        <v/>
      </c>
      <c r="AU414" s="82" t="n">
        <f aca="false">IF(AND(OR(AA414="R",AA414="NX",AA414="NT",AA414="CO"),OR('JOINTS DE RÉPARATION'!$D$5="TOUTES",B414='JOINTS DE RÉPARATION'!$D$5),OR('JOINTS DE RÉPARATION'!$L$4="TOUS",AQ414&lt;&gt;"ACCEPTÉ")),1,0)</f>
        <v>0</v>
      </c>
      <c r="AV414" s="82" t="str">
        <f aca="false">IF(AU414=1,SUM(AU$7:AU414),"")</f>
        <v/>
      </c>
      <c r="AW414" s="82" t="str">
        <f aca="false">IF(E414="","",B414&amp;"|"&amp;E414)</f>
        <v>MFD-ISW → MFD-CPF|JN°408</v>
      </c>
    </row>
    <row r="415" customFormat="false" ht="74.6" hidden="false" customHeight="false" outlineLevel="0" collapsed="false">
      <c r="A415" s="79" t="n">
        <f aca="false">IF(E415="","",ROW()-6)</f>
        <v>409</v>
      </c>
      <c r="B415" s="80" t="s">
        <v>110</v>
      </c>
      <c r="C415" s="81"/>
      <c r="D415" s="81"/>
      <c r="E415" s="81" t="s">
        <v>519</v>
      </c>
      <c r="F415" s="82" t="str">
        <f aca="false">IF(E415="","",IF(LEFT(E415,2)="DJ","DJ","JN"))</f>
        <v>JN</v>
      </c>
      <c r="G415" s="81"/>
      <c r="H415" s="81"/>
      <c r="I415" s="81"/>
      <c r="J415" s="81"/>
      <c r="K415" s="81"/>
      <c r="L415" s="81"/>
      <c r="M415" s="81"/>
      <c r="N415" s="81"/>
      <c r="O415" s="81"/>
      <c r="P415" s="81"/>
      <c r="Q415" s="81"/>
      <c r="R415" s="81"/>
      <c r="S415" s="81"/>
      <c r="T415" s="81"/>
      <c r="U415" s="83"/>
      <c r="V415" s="83"/>
      <c r="W415" s="81"/>
      <c r="X415" s="81"/>
      <c r="Y415" s="83"/>
      <c r="Z415" s="81"/>
      <c r="AA415" s="81"/>
      <c r="AB415" s="81"/>
      <c r="AC415" s="81"/>
      <c r="AD415" s="81"/>
      <c r="AE415" s="83"/>
      <c r="AF415" s="81"/>
      <c r="AG415" s="81"/>
      <c r="AH415" s="81"/>
      <c r="AI415" s="81"/>
      <c r="AJ415" s="83"/>
      <c r="AK415" s="81"/>
      <c r="AL415" s="81"/>
      <c r="AM415" s="83"/>
      <c r="AN415" s="80"/>
      <c r="AO415" s="82" t="n">
        <f aca="false">IF(E415="","",(AA415&lt;&gt;"")+(AG415&lt;&gt;"")+(AL415&lt;&gt;""))</f>
        <v>0</v>
      </c>
      <c r="AP415" s="82" t="str">
        <f aca="false">IF(AL415&lt;&gt;"",AL415,IF(AG415&lt;&gt;"",AG415,IF(AA415&lt;&gt;"",AA415,"")))</f>
        <v/>
      </c>
      <c r="AQ415" s="84" t="str">
        <f aca="false">IF(E415="","",IF(U415="","À SOUDER",IF(X415="","VT EN ATTENTE",IF(X415="R","VT REJETÉ – À REPRENDRE",IF(AP415="","À RADIOGRAPHIER",IF(AP415="A","ACCEPTÉ",IF(AP415="NX","NX – RT À REFAIRE",IF(IF(AO415=1,AD415,IF(AO415=2,AI415,""))="A","RÉPARÉ – À RADIOGRAPHIER",IF(IF(AO415=1,AD415,IF(AO415=2,AI415,""))="R","VT REJETÉ – À REPRENDRE",IF(OR(AP415="CO",AP415="NT"),"COUPE – À RESOUDER","À RÉPARER"))))))))))</f>
        <v>À SOUDER</v>
      </c>
      <c r="AR415" s="82" t="str">
        <f aca="false">IF(AND(ISNUMBER(U415),OR(AQ415="À RADIOGRAPHIER",AQ415="RÉPARÉ – À RADIOGRAPHIER",AQ415="NX – RT À REFAIRE",AQ415="À RÉPARER",AQ415="COUPE – À RESOUDER",AQ415="VT REJETÉ – À REPRENDRE")),MAX(0,'PROGRAMME RT'!$C$4-U415),"")</f>
        <v/>
      </c>
      <c r="AS415" s="82" t="n">
        <f aca="false">IF(AND(OR(AQ415="À RADIOGRAPHIER",AQ415="RÉPARÉ – À RADIOGRAPHIER",AQ415="NX – RT À REFAIRE"),OR('PROGRAMME RT'!$D$5="TOUTES",B415='PROGRAMME RT'!$D$5)),1,0)</f>
        <v>0</v>
      </c>
      <c r="AT415" s="82" t="str">
        <f aca="false">IF(AS415=1,SUM(AS$7:AS415),"")</f>
        <v/>
      </c>
      <c r="AU415" s="82" t="n">
        <f aca="false">IF(AND(OR(AA415="R",AA415="NX",AA415="NT",AA415="CO"),OR('JOINTS DE RÉPARATION'!$D$5="TOUTES",B415='JOINTS DE RÉPARATION'!$D$5),OR('JOINTS DE RÉPARATION'!$L$4="TOUS",AQ415&lt;&gt;"ACCEPTÉ")),1,0)</f>
        <v>0</v>
      </c>
      <c r="AV415" s="82" t="str">
        <f aca="false">IF(AU415=1,SUM(AU$7:AU415),"")</f>
        <v/>
      </c>
      <c r="AW415" s="82" t="str">
        <f aca="false">IF(E415="","",B415&amp;"|"&amp;E415)</f>
        <v>MFD-ISW → MFD-CPF|JN°409</v>
      </c>
    </row>
    <row r="416" customFormat="false" ht="74.6" hidden="false" customHeight="false" outlineLevel="0" collapsed="false">
      <c r="A416" s="79" t="n">
        <f aca="false">IF(E416="","",ROW()-6)</f>
        <v>410</v>
      </c>
      <c r="B416" s="80" t="s">
        <v>110</v>
      </c>
      <c r="C416" s="81"/>
      <c r="D416" s="81"/>
      <c r="E416" s="81" t="s">
        <v>520</v>
      </c>
      <c r="F416" s="82" t="str">
        <f aca="false">IF(E416="","",IF(LEFT(E416,2)="DJ","DJ","JN"))</f>
        <v>JN</v>
      </c>
      <c r="G416" s="81"/>
      <c r="H416" s="81"/>
      <c r="I416" s="81"/>
      <c r="J416" s="81"/>
      <c r="K416" s="81"/>
      <c r="L416" s="81"/>
      <c r="M416" s="81"/>
      <c r="N416" s="81"/>
      <c r="O416" s="81"/>
      <c r="P416" s="81"/>
      <c r="Q416" s="81"/>
      <c r="R416" s="81"/>
      <c r="S416" s="81"/>
      <c r="T416" s="81"/>
      <c r="U416" s="83"/>
      <c r="V416" s="83"/>
      <c r="W416" s="81"/>
      <c r="X416" s="81"/>
      <c r="Y416" s="83"/>
      <c r="Z416" s="81"/>
      <c r="AA416" s="81"/>
      <c r="AB416" s="81"/>
      <c r="AC416" s="81"/>
      <c r="AD416" s="81"/>
      <c r="AE416" s="83"/>
      <c r="AF416" s="81"/>
      <c r="AG416" s="81"/>
      <c r="AH416" s="81"/>
      <c r="AI416" s="81"/>
      <c r="AJ416" s="83"/>
      <c r="AK416" s="81"/>
      <c r="AL416" s="81"/>
      <c r="AM416" s="83"/>
      <c r="AN416" s="80"/>
      <c r="AO416" s="82" t="n">
        <f aca="false">IF(E416="","",(AA416&lt;&gt;"")+(AG416&lt;&gt;"")+(AL416&lt;&gt;""))</f>
        <v>0</v>
      </c>
      <c r="AP416" s="82" t="str">
        <f aca="false">IF(AL416&lt;&gt;"",AL416,IF(AG416&lt;&gt;"",AG416,IF(AA416&lt;&gt;"",AA416,"")))</f>
        <v/>
      </c>
      <c r="AQ416" s="84" t="str">
        <f aca="false">IF(E416="","",IF(U416="","À SOUDER",IF(X416="","VT EN ATTENTE",IF(X416="R","VT REJETÉ – À REPRENDRE",IF(AP416="","À RADIOGRAPHIER",IF(AP416="A","ACCEPTÉ",IF(AP416="NX","NX – RT À REFAIRE",IF(IF(AO416=1,AD416,IF(AO416=2,AI416,""))="A","RÉPARÉ – À RADIOGRAPHIER",IF(IF(AO416=1,AD416,IF(AO416=2,AI416,""))="R","VT REJETÉ – À REPRENDRE",IF(OR(AP416="CO",AP416="NT"),"COUPE – À RESOUDER","À RÉPARER"))))))))))</f>
        <v>À SOUDER</v>
      </c>
      <c r="AR416" s="82" t="str">
        <f aca="false">IF(AND(ISNUMBER(U416),OR(AQ416="À RADIOGRAPHIER",AQ416="RÉPARÉ – À RADIOGRAPHIER",AQ416="NX – RT À REFAIRE",AQ416="À RÉPARER",AQ416="COUPE – À RESOUDER",AQ416="VT REJETÉ – À REPRENDRE")),MAX(0,'PROGRAMME RT'!$C$4-U416),"")</f>
        <v/>
      </c>
      <c r="AS416" s="82" t="n">
        <f aca="false">IF(AND(OR(AQ416="À RADIOGRAPHIER",AQ416="RÉPARÉ – À RADIOGRAPHIER",AQ416="NX – RT À REFAIRE"),OR('PROGRAMME RT'!$D$5="TOUTES",B416='PROGRAMME RT'!$D$5)),1,0)</f>
        <v>0</v>
      </c>
      <c r="AT416" s="82" t="str">
        <f aca="false">IF(AS416=1,SUM(AS$7:AS416),"")</f>
        <v/>
      </c>
      <c r="AU416" s="82" t="n">
        <f aca="false">IF(AND(OR(AA416="R",AA416="NX",AA416="NT",AA416="CO"),OR('JOINTS DE RÉPARATION'!$D$5="TOUTES",B416='JOINTS DE RÉPARATION'!$D$5),OR('JOINTS DE RÉPARATION'!$L$4="TOUS",AQ416&lt;&gt;"ACCEPTÉ")),1,0)</f>
        <v>0</v>
      </c>
      <c r="AV416" s="82" t="str">
        <f aca="false">IF(AU416=1,SUM(AU$7:AU416),"")</f>
        <v/>
      </c>
      <c r="AW416" s="82" t="str">
        <f aca="false">IF(E416="","",B416&amp;"|"&amp;E416)</f>
        <v>MFD-ISW → MFD-CPF|JN°410</v>
      </c>
    </row>
    <row r="417" customFormat="false" ht="74.6" hidden="false" customHeight="false" outlineLevel="0" collapsed="false">
      <c r="A417" s="79" t="n">
        <f aca="false">IF(E417="","",ROW()-6)</f>
        <v>411</v>
      </c>
      <c r="B417" s="80" t="s">
        <v>110</v>
      </c>
      <c r="C417" s="81"/>
      <c r="D417" s="81"/>
      <c r="E417" s="81" t="s">
        <v>521</v>
      </c>
      <c r="F417" s="82" t="str">
        <f aca="false">IF(E417="","",IF(LEFT(E417,2)="DJ","DJ","JN"))</f>
        <v>JN</v>
      </c>
      <c r="G417" s="81"/>
      <c r="H417" s="81"/>
      <c r="I417" s="81"/>
      <c r="J417" s="81"/>
      <c r="K417" s="81"/>
      <c r="L417" s="81"/>
      <c r="M417" s="81"/>
      <c r="N417" s="81"/>
      <c r="O417" s="81"/>
      <c r="P417" s="81"/>
      <c r="Q417" s="81"/>
      <c r="R417" s="81"/>
      <c r="S417" s="81"/>
      <c r="T417" s="81"/>
      <c r="U417" s="83"/>
      <c r="V417" s="83"/>
      <c r="W417" s="81"/>
      <c r="X417" s="81"/>
      <c r="Y417" s="83"/>
      <c r="Z417" s="81"/>
      <c r="AA417" s="81"/>
      <c r="AB417" s="81"/>
      <c r="AC417" s="81"/>
      <c r="AD417" s="81"/>
      <c r="AE417" s="83"/>
      <c r="AF417" s="81"/>
      <c r="AG417" s="81"/>
      <c r="AH417" s="81"/>
      <c r="AI417" s="81"/>
      <c r="AJ417" s="83"/>
      <c r="AK417" s="81"/>
      <c r="AL417" s="81"/>
      <c r="AM417" s="83"/>
      <c r="AN417" s="80"/>
      <c r="AO417" s="82" t="n">
        <f aca="false">IF(E417="","",(AA417&lt;&gt;"")+(AG417&lt;&gt;"")+(AL417&lt;&gt;""))</f>
        <v>0</v>
      </c>
      <c r="AP417" s="82" t="str">
        <f aca="false">IF(AL417&lt;&gt;"",AL417,IF(AG417&lt;&gt;"",AG417,IF(AA417&lt;&gt;"",AA417,"")))</f>
        <v/>
      </c>
      <c r="AQ417" s="84" t="str">
        <f aca="false">IF(E417="","",IF(U417="","À SOUDER",IF(X417="","VT EN ATTENTE",IF(X417="R","VT REJETÉ – À REPRENDRE",IF(AP417="","À RADIOGRAPHIER",IF(AP417="A","ACCEPTÉ",IF(AP417="NX","NX – RT À REFAIRE",IF(IF(AO417=1,AD417,IF(AO417=2,AI417,""))="A","RÉPARÉ – À RADIOGRAPHIER",IF(IF(AO417=1,AD417,IF(AO417=2,AI417,""))="R","VT REJETÉ – À REPRENDRE",IF(OR(AP417="CO",AP417="NT"),"COUPE – À RESOUDER","À RÉPARER"))))))))))</f>
        <v>À SOUDER</v>
      </c>
      <c r="AR417" s="82" t="str">
        <f aca="false">IF(AND(ISNUMBER(U417),OR(AQ417="À RADIOGRAPHIER",AQ417="RÉPARÉ – À RADIOGRAPHIER",AQ417="NX – RT À REFAIRE",AQ417="À RÉPARER",AQ417="COUPE – À RESOUDER",AQ417="VT REJETÉ – À REPRENDRE")),MAX(0,'PROGRAMME RT'!$C$4-U417),"")</f>
        <v/>
      </c>
      <c r="AS417" s="82" t="n">
        <f aca="false">IF(AND(OR(AQ417="À RADIOGRAPHIER",AQ417="RÉPARÉ – À RADIOGRAPHIER",AQ417="NX – RT À REFAIRE"),OR('PROGRAMME RT'!$D$5="TOUTES",B417='PROGRAMME RT'!$D$5)),1,0)</f>
        <v>0</v>
      </c>
      <c r="AT417" s="82" t="str">
        <f aca="false">IF(AS417=1,SUM(AS$7:AS417),"")</f>
        <v/>
      </c>
      <c r="AU417" s="82" t="n">
        <f aca="false">IF(AND(OR(AA417="R",AA417="NX",AA417="NT",AA417="CO"),OR('JOINTS DE RÉPARATION'!$D$5="TOUTES",B417='JOINTS DE RÉPARATION'!$D$5),OR('JOINTS DE RÉPARATION'!$L$4="TOUS",AQ417&lt;&gt;"ACCEPTÉ")),1,0)</f>
        <v>0</v>
      </c>
      <c r="AV417" s="82" t="str">
        <f aca="false">IF(AU417=1,SUM(AU$7:AU417),"")</f>
        <v/>
      </c>
      <c r="AW417" s="82" t="str">
        <f aca="false">IF(E417="","",B417&amp;"|"&amp;E417)</f>
        <v>MFD-ISW → MFD-CPF|JN°411</v>
      </c>
    </row>
    <row r="418" customFormat="false" ht="74.6" hidden="false" customHeight="false" outlineLevel="0" collapsed="false">
      <c r="A418" s="79" t="n">
        <f aca="false">IF(E418="","",ROW()-6)</f>
        <v>412</v>
      </c>
      <c r="B418" s="80" t="s">
        <v>110</v>
      </c>
      <c r="C418" s="81"/>
      <c r="D418" s="81"/>
      <c r="E418" s="81" t="s">
        <v>522</v>
      </c>
      <c r="F418" s="82" t="str">
        <f aca="false">IF(E418="","",IF(LEFT(E418,2)="DJ","DJ","JN"))</f>
        <v>JN</v>
      </c>
      <c r="G418" s="81"/>
      <c r="H418" s="81"/>
      <c r="I418" s="81"/>
      <c r="J418" s="81"/>
      <c r="K418" s="81"/>
      <c r="L418" s="81"/>
      <c r="M418" s="81"/>
      <c r="N418" s="81"/>
      <c r="O418" s="81"/>
      <c r="P418" s="81"/>
      <c r="Q418" s="81"/>
      <c r="R418" s="81"/>
      <c r="S418" s="81"/>
      <c r="T418" s="81"/>
      <c r="U418" s="83"/>
      <c r="V418" s="83"/>
      <c r="W418" s="81"/>
      <c r="X418" s="81"/>
      <c r="Y418" s="83"/>
      <c r="Z418" s="81"/>
      <c r="AA418" s="81"/>
      <c r="AB418" s="81"/>
      <c r="AC418" s="81"/>
      <c r="AD418" s="81"/>
      <c r="AE418" s="83"/>
      <c r="AF418" s="81"/>
      <c r="AG418" s="81"/>
      <c r="AH418" s="81"/>
      <c r="AI418" s="81"/>
      <c r="AJ418" s="83"/>
      <c r="AK418" s="81"/>
      <c r="AL418" s="81"/>
      <c r="AM418" s="83"/>
      <c r="AN418" s="80"/>
      <c r="AO418" s="82" t="n">
        <f aca="false">IF(E418="","",(AA418&lt;&gt;"")+(AG418&lt;&gt;"")+(AL418&lt;&gt;""))</f>
        <v>0</v>
      </c>
      <c r="AP418" s="82" t="str">
        <f aca="false">IF(AL418&lt;&gt;"",AL418,IF(AG418&lt;&gt;"",AG418,IF(AA418&lt;&gt;"",AA418,"")))</f>
        <v/>
      </c>
      <c r="AQ418" s="84" t="str">
        <f aca="false">IF(E418="","",IF(U418="","À SOUDER",IF(X418="","VT EN ATTENTE",IF(X418="R","VT REJETÉ – À REPRENDRE",IF(AP418="","À RADIOGRAPHIER",IF(AP418="A","ACCEPTÉ",IF(AP418="NX","NX – RT À REFAIRE",IF(IF(AO418=1,AD418,IF(AO418=2,AI418,""))="A","RÉPARÉ – À RADIOGRAPHIER",IF(IF(AO418=1,AD418,IF(AO418=2,AI418,""))="R","VT REJETÉ – À REPRENDRE",IF(OR(AP418="CO",AP418="NT"),"COUPE – À RESOUDER","À RÉPARER"))))))))))</f>
        <v>À SOUDER</v>
      </c>
      <c r="AR418" s="82" t="str">
        <f aca="false">IF(AND(ISNUMBER(U418),OR(AQ418="À RADIOGRAPHIER",AQ418="RÉPARÉ – À RADIOGRAPHIER",AQ418="NX – RT À REFAIRE",AQ418="À RÉPARER",AQ418="COUPE – À RESOUDER",AQ418="VT REJETÉ – À REPRENDRE")),MAX(0,'PROGRAMME RT'!$C$4-U418),"")</f>
        <v/>
      </c>
      <c r="AS418" s="82" t="n">
        <f aca="false">IF(AND(OR(AQ418="À RADIOGRAPHIER",AQ418="RÉPARÉ – À RADIOGRAPHIER",AQ418="NX – RT À REFAIRE"),OR('PROGRAMME RT'!$D$5="TOUTES",B418='PROGRAMME RT'!$D$5)),1,0)</f>
        <v>0</v>
      </c>
      <c r="AT418" s="82" t="str">
        <f aca="false">IF(AS418=1,SUM(AS$7:AS418),"")</f>
        <v/>
      </c>
      <c r="AU418" s="82" t="n">
        <f aca="false">IF(AND(OR(AA418="R",AA418="NX",AA418="NT",AA418="CO"),OR('JOINTS DE RÉPARATION'!$D$5="TOUTES",B418='JOINTS DE RÉPARATION'!$D$5),OR('JOINTS DE RÉPARATION'!$L$4="TOUS",AQ418&lt;&gt;"ACCEPTÉ")),1,0)</f>
        <v>0</v>
      </c>
      <c r="AV418" s="82" t="str">
        <f aca="false">IF(AU418=1,SUM(AU$7:AU418),"")</f>
        <v/>
      </c>
      <c r="AW418" s="82" t="str">
        <f aca="false">IF(E418="","",B418&amp;"|"&amp;E418)</f>
        <v>MFD-ISW → MFD-CPF|JN°412</v>
      </c>
    </row>
    <row r="419" customFormat="false" ht="74.6" hidden="false" customHeight="false" outlineLevel="0" collapsed="false">
      <c r="A419" s="79" t="n">
        <f aca="false">IF(E419="","",ROW()-6)</f>
        <v>413</v>
      </c>
      <c r="B419" s="80" t="s">
        <v>110</v>
      </c>
      <c r="C419" s="81"/>
      <c r="D419" s="81"/>
      <c r="E419" s="81" t="s">
        <v>523</v>
      </c>
      <c r="F419" s="82" t="str">
        <f aca="false">IF(E419="","",IF(LEFT(E419,2)="DJ","DJ","JN"))</f>
        <v>JN</v>
      </c>
      <c r="G419" s="81"/>
      <c r="H419" s="81"/>
      <c r="I419" s="81"/>
      <c r="J419" s="81"/>
      <c r="K419" s="81"/>
      <c r="L419" s="81"/>
      <c r="M419" s="81"/>
      <c r="N419" s="81"/>
      <c r="O419" s="81"/>
      <c r="P419" s="81"/>
      <c r="Q419" s="81"/>
      <c r="R419" s="81"/>
      <c r="S419" s="81"/>
      <c r="T419" s="81"/>
      <c r="U419" s="83"/>
      <c r="V419" s="83"/>
      <c r="W419" s="81"/>
      <c r="X419" s="81"/>
      <c r="Y419" s="83"/>
      <c r="Z419" s="81"/>
      <c r="AA419" s="81"/>
      <c r="AB419" s="81"/>
      <c r="AC419" s="81"/>
      <c r="AD419" s="81"/>
      <c r="AE419" s="83"/>
      <c r="AF419" s="81"/>
      <c r="AG419" s="81"/>
      <c r="AH419" s="81"/>
      <c r="AI419" s="81"/>
      <c r="AJ419" s="83"/>
      <c r="AK419" s="81"/>
      <c r="AL419" s="81"/>
      <c r="AM419" s="83"/>
      <c r="AN419" s="80"/>
      <c r="AO419" s="82" t="n">
        <f aca="false">IF(E419="","",(AA419&lt;&gt;"")+(AG419&lt;&gt;"")+(AL419&lt;&gt;""))</f>
        <v>0</v>
      </c>
      <c r="AP419" s="82" t="str">
        <f aca="false">IF(AL419&lt;&gt;"",AL419,IF(AG419&lt;&gt;"",AG419,IF(AA419&lt;&gt;"",AA419,"")))</f>
        <v/>
      </c>
      <c r="AQ419" s="84" t="str">
        <f aca="false">IF(E419="","",IF(U419="","À SOUDER",IF(X419="","VT EN ATTENTE",IF(X419="R","VT REJETÉ – À REPRENDRE",IF(AP419="","À RADIOGRAPHIER",IF(AP419="A","ACCEPTÉ",IF(AP419="NX","NX – RT À REFAIRE",IF(IF(AO419=1,AD419,IF(AO419=2,AI419,""))="A","RÉPARÉ – À RADIOGRAPHIER",IF(IF(AO419=1,AD419,IF(AO419=2,AI419,""))="R","VT REJETÉ – À REPRENDRE",IF(OR(AP419="CO",AP419="NT"),"COUPE – À RESOUDER","À RÉPARER"))))))))))</f>
        <v>À SOUDER</v>
      </c>
      <c r="AR419" s="82" t="str">
        <f aca="false">IF(AND(ISNUMBER(U419),OR(AQ419="À RADIOGRAPHIER",AQ419="RÉPARÉ – À RADIOGRAPHIER",AQ419="NX – RT À REFAIRE",AQ419="À RÉPARER",AQ419="COUPE – À RESOUDER",AQ419="VT REJETÉ – À REPRENDRE")),MAX(0,'PROGRAMME RT'!$C$4-U419),"")</f>
        <v/>
      </c>
      <c r="AS419" s="82" t="n">
        <f aca="false">IF(AND(OR(AQ419="À RADIOGRAPHIER",AQ419="RÉPARÉ – À RADIOGRAPHIER",AQ419="NX – RT À REFAIRE"),OR('PROGRAMME RT'!$D$5="TOUTES",B419='PROGRAMME RT'!$D$5)),1,0)</f>
        <v>0</v>
      </c>
      <c r="AT419" s="82" t="str">
        <f aca="false">IF(AS419=1,SUM(AS$7:AS419),"")</f>
        <v/>
      </c>
      <c r="AU419" s="82" t="n">
        <f aca="false">IF(AND(OR(AA419="R",AA419="NX",AA419="NT",AA419="CO"),OR('JOINTS DE RÉPARATION'!$D$5="TOUTES",B419='JOINTS DE RÉPARATION'!$D$5),OR('JOINTS DE RÉPARATION'!$L$4="TOUS",AQ419&lt;&gt;"ACCEPTÉ")),1,0)</f>
        <v>0</v>
      </c>
      <c r="AV419" s="82" t="str">
        <f aca="false">IF(AU419=1,SUM(AU$7:AU419),"")</f>
        <v/>
      </c>
      <c r="AW419" s="82" t="str">
        <f aca="false">IF(E419="","",B419&amp;"|"&amp;E419)</f>
        <v>MFD-ISW → MFD-CPF|JN°413</v>
      </c>
    </row>
    <row r="420" customFormat="false" ht="74.6" hidden="false" customHeight="false" outlineLevel="0" collapsed="false">
      <c r="A420" s="79" t="n">
        <f aca="false">IF(E420="","",ROW()-6)</f>
        <v>414</v>
      </c>
      <c r="B420" s="80" t="s">
        <v>110</v>
      </c>
      <c r="C420" s="81"/>
      <c r="D420" s="81"/>
      <c r="E420" s="81" t="s">
        <v>524</v>
      </c>
      <c r="F420" s="82" t="str">
        <f aca="false">IF(E420="","",IF(LEFT(E420,2)="DJ","DJ","JN"))</f>
        <v>JN</v>
      </c>
      <c r="G420" s="81"/>
      <c r="H420" s="81"/>
      <c r="I420" s="81"/>
      <c r="J420" s="81"/>
      <c r="K420" s="81"/>
      <c r="L420" s="81"/>
      <c r="M420" s="81"/>
      <c r="N420" s="81"/>
      <c r="O420" s="81"/>
      <c r="P420" s="81"/>
      <c r="Q420" s="81"/>
      <c r="R420" s="81"/>
      <c r="S420" s="81"/>
      <c r="T420" s="81"/>
      <c r="U420" s="83"/>
      <c r="V420" s="83"/>
      <c r="W420" s="81"/>
      <c r="X420" s="81"/>
      <c r="Y420" s="83"/>
      <c r="Z420" s="81"/>
      <c r="AA420" s="81"/>
      <c r="AB420" s="81"/>
      <c r="AC420" s="81"/>
      <c r="AD420" s="81"/>
      <c r="AE420" s="83"/>
      <c r="AF420" s="81"/>
      <c r="AG420" s="81"/>
      <c r="AH420" s="81"/>
      <c r="AI420" s="81"/>
      <c r="AJ420" s="83"/>
      <c r="AK420" s="81"/>
      <c r="AL420" s="81"/>
      <c r="AM420" s="83"/>
      <c r="AN420" s="80"/>
      <c r="AO420" s="82" t="n">
        <f aca="false">IF(E420="","",(AA420&lt;&gt;"")+(AG420&lt;&gt;"")+(AL420&lt;&gt;""))</f>
        <v>0</v>
      </c>
      <c r="AP420" s="82" t="str">
        <f aca="false">IF(AL420&lt;&gt;"",AL420,IF(AG420&lt;&gt;"",AG420,IF(AA420&lt;&gt;"",AA420,"")))</f>
        <v/>
      </c>
      <c r="AQ420" s="84" t="str">
        <f aca="false">IF(E420="","",IF(U420="","À SOUDER",IF(X420="","VT EN ATTENTE",IF(X420="R","VT REJETÉ – À REPRENDRE",IF(AP420="","À RADIOGRAPHIER",IF(AP420="A","ACCEPTÉ",IF(AP420="NX","NX – RT À REFAIRE",IF(IF(AO420=1,AD420,IF(AO420=2,AI420,""))="A","RÉPARÉ – À RADIOGRAPHIER",IF(IF(AO420=1,AD420,IF(AO420=2,AI420,""))="R","VT REJETÉ – À REPRENDRE",IF(OR(AP420="CO",AP420="NT"),"COUPE – À RESOUDER","À RÉPARER"))))))))))</f>
        <v>À SOUDER</v>
      </c>
      <c r="AR420" s="82" t="str">
        <f aca="false">IF(AND(ISNUMBER(U420),OR(AQ420="À RADIOGRAPHIER",AQ420="RÉPARÉ – À RADIOGRAPHIER",AQ420="NX – RT À REFAIRE",AQ420="À RÉPARER",AQ420="COUPE – À RESOUDER",AQ420="VT REJETÉ – À REPRENDRE")),MAX(0,'PROGRAMME RT'!$C$4-U420),"")</f>
        <v/>
      </c>
      <c r="AS420" s="82" t="n">
        <f aca="false">IF(AND(OR(AQ420="À RADIOGRAPHIER",AQ420="RÉPARÉ – À RADIOGRAPHIER",AQ420="NX – RT À REFAIRE"),OR('PROGRAMME RT'!$D$5="TOUTES",B420='PROGRAMME RT'!$D$5)),1,0)</f>
        <v>0</v>
      </c>
      <c r="AT420" s="82" t="str">
        <f aca="false">IF(AS420=1,SUM(AS$7:AS420),"")</f>
        <v/>
      </c>
      <c r="AU420" s="82" t="n">
        <f aca="false">IF(AND(OR(AA420="R",AA420="NX",AA420="NT",AA420="CO"),OR('JOINTS DE RÉPARATION'!$D$5="TOUTES",B420='JOINTS DE RÉPARATION'!$D$5),OR('JOINTS DE RÉPARATION'!$L$4="TOUS",AQ420&lt;&gt;"ACCEPTÉ")),1,0)</f>
        <v>0</v>
      </c>
      <c r="AV420" s="82" t="str">
        <f aca="false">IF(AU420=1,SUM(AU$7:AU420),"")</f>
        <v/>
      </c>
      <c r="AW420" s="82" t="str">
        <f aca="false">IF(E420="","",B420&amp;"|"&amp;E420)</f>
        <v>MFD-ISW → MFD-CPF|JN°414</v>
      </c>
    </row>
    <row r="421" customFormat="false" ht="74.6" hidden="false" customHeight="false" outlineLevel="0" collapsed="false">
      <c r="A421" s="79" t="n">
        <f aca="false">IF(E421="","",ROW()-6)</f>
        <v>415</v>
      </c>
      <c r="B421" s="80" t="s">
        <v>110</v>
      </c>
      <c r="C421" s="81"/>
      <c r="D421" s="81"/>
      <c r="E421" s="81" t="s">
        <v>525</v>
      </c>
      <c r="F421" s="82" t="str">
        <f aca="false">IF(E421="","",IF(LEFT(E421,2)="DJ","DJ","JN"))</f>
        <v>JN</v>
      </c>
      <c r="G421" s="81"/>
      <c r="H421" s="81"/>
      <c r="I421" s="81"/>
      <c r="J421" s="81"/>
      <c r="K421" s="81"/>
      <c r="L421" s="81"/>
      <c r="M421" s="81"/>
      <c r="N421" s="81"/>
      <c r="O421" s="81"/>
      <c r="P421" s="81"/>
      <c r="Q421" s="81"/>
      <c r="R421" s="81"/>
      <c r="S421" s="81"/>
      <c r="T421" s="81"/>
      <c r="U421" s="83"/>
      <c r="V421" s="83"/>
      <c r="W421" s="81"/>
      <c r="X421" s="81"/>
      <c r="Y421" s="83"/>
      <c r="Z421" s="81"/>
      <c r="AA421" s="81"/>
      <c r="AB421" s="81"/>
      <c r="AC421" s="81"/>
      <c r="AD421" s="81"/>
      <c r="AE421" s="83"/>
      <c r="AF421" s="81"/>
      <c r="AG421" s="81"/>
      <c r="AH421" s="81"/>
      <c r="AI421" s="81"/>
      <c r="AJ421" s="83"/>
      <c r="AK421" s="81"/>
      <c r="AL421" s="81"/>
      <c r="AM421" s="83"/>
      <c r="AN421" s="80"/>
      <c r="AO421" s="82" t="n">
        <f aca="false">IF(E421="","",(AA421&lt;&gt;"")+(AG421&lt;&gt;"")+(AL421&lt;&gt;""))</f>
        <v>0</v>
      </c>
      <c r="AP421" s="82" t="str">
        <f aca="false">IF(AL421&lt;&gt;"",AL421,IF(AG421&lt;&gt;"",AG421,IF(AA421&lt;&gt;"",AA421,"")))</f>
        <v/>
      </c>
      <c r="AQ421" s="84" t="str">
        <f aca="false">IF(E421="","",IF(U421="","À SOUDER",IF(X421="","VT EN ATTENTE",IF(X421="R","VT REJETÉ – À REPRENDRE",IF(AP421="","À RADIOGRAPHIER",IF(AP421="A","ACCEPTÉ",IF(AP421="NX","NX – RT À REFAIRE",IF(IF(AO421=1,AD421,IF(AO421=2,AI421,""))="A","RÉPARÉ – À RADIOGRAPHIER",IF(IF(AO421=1,AD421,IF(AO421=2,AI421,""))="R","VT REJETÉ – À REPRENDRE",IF(OR(AP421="CO",AP421="NT"),"COUPE – À RESOUDER","À RÉPARER"))))))))))</f>
        <v>À SOUDER</v>
      </c>
      <c r="AR421" s="82" t="str">
        <f aca="false">IF(AND(ISNUMBER(U421),OR(AQ421="À RADIOGRAPHIER",AQ421="RÉPARÉ – À RADIOGRAPHIER",AQ421="NX – RT À REFAIRE",AQ421="À RÉPARER",AQ421="COUPE – À RESOUDER",AQ421="VT REJETÉ – À REPRENDRE")),MAX(0,'PROGRAMME RT'!$C$4-U421),"")</f>
        <v/>
      </c>
      <c r="AS421" s="82" t="n">
        <f aca="false">IF(AND(OR(AQ421="À RADIOGRAPHIER",AQ421="RÉPARÉ – À RADIOGRAPHIER",AQ421="NX – RT À REFAIRE"),OR('PROGRAMME RT'!$D$5="TOUTES",B421='PROGRAMME RT'!$D$5)),1,0)</f>
        <v>0</v>
      </c>
      <c r="AT421" s="82" t="str">
        <f aca="false">IF(AS421=1,SUM(AS$7:AS421),"")</f>
        <v/>
      </c>
      <c r="AU421" s="82" t="n">
        <f aca="false">IF(AND(OR(AA421="R",AA421="NX",AA421="NT",AA421="CO"),OR('JOINTS DE RÉPARATION'!$D$5="TOUTES",B421='JOINTS DE RÉPARATION'!$D$5),OR('JOINTS DE RÉPARATION'!$L$4="TOUS",AQ421&lt;&gt;"ACCEPTÉ")),1,0)</f>
        <v>0</v>
      </c>
      <c r="AV421" s="82" t="str">
        <f aca="false">IF(AU421=1,SUM(AU$7:AU421),"")</f>
        <v/>
      </c>
      <c r="AW421" s="82" t="str">
        <f aca="false">IF(E421="","",B421&amp;"|"&amp;E421)</f>
        <v>MFD-ISW → MFD-CPF|JN°415</v>
      </c>
    </row>
    <row r="422" customFormat="false" ht="74.6" hidden="false" customHeight="false" outlineLevel="0" collapsed="false">
      <c r="A422" s="79" t="n">
        <f aca="false">IF(E422="","",ROW()-6)</f>
        <v>416</v>
      </c>
      <c r="B422" s="80" t="s">
        <v>110</v>
      </c>
      <c r="C422" s="81"/>
      <c r="D422" s="81"/>
      <c r="E422" s="81" t="s">
        <v>526</v>
      </c>
      <c r="F422" s="82" t="str">
        <f aca="false">IF(E422="","",IF(LEFT(E422,2)="DJ","DJ","JN"))</f>
        <v>JN</v>
      </c>
      <c r="G422" s="81"/>
      <c r="H422" s="81"/>
      <c r="I422" s="81"/>
      <c r="J422" s="81"/>
      <c r="K422" s="81"/>
      <c r="L422" s="81"/>
      <c r="M422" s="81"/>
      <c r="N422" s="81"/>
      <c r="O422" s="81"/>
      <c r="P422" s="81"/>
      <c r="Q422" s="81"/>
      <c r="R422" s="81"/>
      <c r="S422" s="81"/>
      <c r="T422" s="81"/>
      <c r="U422" s="83"/>
      <c r="V422" s="83"/>
      <c r="W422" s="81"/>
      <c r="X422" s="81"/>
      <c r="Y422" s="83"/>
      <c r="Z422" s="81"/>
      <c r="AA422" s="81"/>
      <c r="AB422" s="81"/>
      <c r="AC422" s="81"/>
      <c r="AD422" s="81"/>
      <c r="AE422" s="83"/>
      <c r="AF422" s="81"/>
      <c r="AG422" s="81"/>
      <c r="AH422" s="81"/>
      <c r="AI422" s="81"/>
      <c r="AJ422" s="83"/>
      <c r="AK422" s="81"/>
      <c r="AL422" s="81"/>
      <c r="AM422" s="83"/>
      <c r="AN422" s="80"/>
      <c r="AO422" s="82" t="n">
        <f aca="false">IF(E422="","",(AA422&lt;&gt;"")+(AG422&lt;&gt;"")+(AL422&lt;&gt;""))</f>
        <v>0</v>
      </c>
      <c r="AP422" s="82" t="str">
        <f aca="false">IF(AL422&lt;&gt;"",AL422,IF(AG422&lt;&gt;"",AG422,IF(AA422&lt;&gt;"",AA422,"")))</f>
        <v/>
      </c>
      <c r="AQ422" s="84" t="str">
        <f aca="false">IF(E422="","",IF(U422="","À SOUDER",IF(X422="","VT EN ATTENTE",IF(X422="R","VT REJETÉ – À REPRENDRE",IF(AP422="","À RADIOGRAPHIER",IF(AP422="A","ACCEPTÉ",IF(AP422="NX","NX – RT À REFAIRE",IF(IF(AO422=1,AD422,IF(AO422=2,AI422,""))="A","RÉPARÉ – À RADIOGRAPHIER",IF(IF(AO422=1,AD422,IF(AO422=2,AI422,""))="R","VT REJETÉ – À REPRENDRE",IF(OR(AP422="CO",AP422="NT"),"COUPE – À RESOUDER","À RÉPARER"))))))))))</f>
        <v>À SOUDER</v>
      </c>
      <c r="AR422" s="82" t="str">
        <f aca="false">IF(AND(ISNUMBER(U422),OR(AQ422="À RADIOGRAPHIER",AQ422="RÉPARÉ – À RADIOGRAPHIER",AQ422="NX – RT À REFAIRE",AQ422="À RÉPARER",AQ422="COUPE – À RESOUDER",AQ422="VT REJETÉ – À REPRENDRE")),MAX(0,'PROGRAMME RT'!$C$4-U422),"")</f>
        <v/>
      </c>
      <c r="AS422" s="82" t="n">
        <f aca="false">IF(AND(OR(AQ422="À RADIOGRAPHIER",AQ422="RÉPARÉ – À RADIOGRAPHIER",AQ422="NX – RT À REFAIRE"),OR('PROGRAMME RT'!$D$5="TOUTES",B422='PROGRAMME RT'!$D$5)),1,0)</f>
        <v>0</v>
      </c>
      <c r="AT422" s="82" t="str">
        <f aca="false">IF(AS422=1,SUM(AS$7:AS422),"")</f>
        <v/>
      </c>
      <c r="AU422" s="82" t="n">
        <f aca="false">IF(AND(OR(AA422="R",AA422="NX",AA422="NT",AA422="CO"),OR('JOINTS DE RÉPARATION'!$D$5="TOUTES",B422='JOINTS DE RÉPARATION'!$D$5),OR('JOINTS DE RÉPARATION'!$L$4="TOUS",AQ422&lt;&gt;"ACCEPTÉ")),1,0)</f>
        <v>0</v>
      </c>
      <c r="AV422" s="82" t="str">
        <f aca="false">IF(AU422=1,SUM(AU$7:AU422),"")</f>
        <v/>
      </c>
      <c r="AW422" s="82" t="str">
        <f aca="false">IF(E422="","",B422&amp;"|"&amp;E422)</f>
        <v>MFD-ISW → MFD-CPF|JN°416</v>
      </c>
    </row>
    <row r="423" customFormat="false" ht="74.6" hidden="false" customHeight="false" outlineLevel="0" collapsed="false">
      <c r="A423" s="79" t="n">
        <f aca="false">IF(E423="","",ROW()-6)</f>
        <v>417</v>
      </c>
      <c r="B423" s="80" t="s">
        <v>110</v>
      </c>
      <c r="C423" s="81"/>
      <c r="D423" s="81"/>
      <c r="E423" s="81" t="s">
        <v>527</v>
      </c>
      <c r="F423" s="82" t="str">
        <f aca="false">IF(E423="","",IF(LEFT(E423,2)="DJ","DJ","JN"))</f>
        <v>JN</v>
      </c>
      <c r="G423" s="81"/>
      <c r="H423" s="81"/>
      <c r="I423" s="81"/>
      <c r="J423" s="81"/>
      <c r="K423" s="81"/>
      <c r="L423" s="81"/>
      <c r="M423" s="81"/>
      <c r="N423" s="81"/>
      <c r="O423" s="81"/>
      <c r="P423" s="81"/>
      <c r="Q423" s="81"/>
      <c r="R423" s="81"/>
      <c r="S423" s="81"/>
      <c r="T423" s="81"/>
      <c r="U423" s="83"/>
      <c r="V423" s="83"/>
      <c r="W423" s="81"/>
      <c r="X423" s="81"/>
      <c r="Y423" s="83"/>
      <c r="Z423" s="81"/>
      <c r="AA423" s="81"/>
      <c r="AB423" s="81"/>
      <c r="AC423" s="81"/>
      <c r="AD423" s="81"/>
      <c r="AE423" s="83"/>
      <c r="AF423" s="81"/>
      <c r="AG423" s="81"/>
      <c r="AH423" s="81"/>
      <c r="AI423" s="81"/>
      <c r="AJ423" s="83"/>
      <c r="AK423" s="81"/>
      <c r="AL423" s="81"/>
      <c r="AM423" s="83"/>
      <c r="AN423" s="80"/>
      <c r="AO423" s="82" t="n">
        <f aca="false">IF(E423="","",(AA423&lt;&gt;"")+(AG423&lt;&gt;"")+(AL423&lt;&gt;""))</f>
        <v>0</v>
      </c>
      <c r="AP423" s="82" t="str">
        <f aca="false">IF(AL423&lt;&gt;"",AL423,IF(AG423&lt;&gt;"",AG423,IF(AA423&lt;&gt;"",AA423,"")))</f>
        <v/>
      </c>
      <c r="AQ423" s="84" t="str">
        <f aca="false">IF(E423="","",IF(U423="","À SOUDER",IF(X423="","VT EN ATTENTE",IF(X423="R","VT REJETÉ – À REPRENDRE",IF(AP423="","À RADIOGRAPHIER",IF(AP423="A","ACCEPTÉ",IF(AP423="NX","NX – RT À REFAIRE",IF(IF(AO423=1,AD423,IF(AO423=2,AI423,""))="A","RÉPARÉ – À RADIOGRAPHIER",IF(IF(AO423=1,AD423,IF(AO423=2,AI423,""))="R","VT REJETÉ – À REPRENDRE",IF(OR(AP423="CO",AP423="NT"),"COUPE – À RESOUDER","À RÉPARER"))))))))))</f>
        <v>À SOUDER</v>
      </c>
      <c r="AR423" s="82" t="str">
        <f aca="false">IF(AND(ISNUMBER(U423),OR(AQ423="À RADIOGRAPHIER",AQ423="RÉPARÉ – À RADIOGRAPHIER",AQ423="NX – RT À REFAIRE",AQ423="À RÉPARER",AQ423="COUPE – À RESOUDER",AQ423="VT REJETÉ – À REPRENDRE")),MAX(0,'PROGRAMME RT'!$C$4-U423),"")</f>
        <v/>
      </c>
      <c r="AS423" s="82" t="n">
        <f aca="false">IF(AND(OR(AQ423="À RADIOGRAPHIER",AQ423="RÉPARÉ – À RADIOGRAPHIER",AQ423="NX – RT À REFAIRE"),OR('PROGRAMME RT'!$D$5="TOUTES",B423='PROGRAMME RT'!$D$5)),1,0)</f>
        <v>0</v>
      </c>
      <c r="AT423" s="82" t="str">
        <f aca="false">IF(AS423=1,SUM(AS$7:AS423),"")</f>
        <v/>
      </c>
      <c r="AU423" s="82" t="n">
        <f aca="false">IF(AND(OR(AA423="R",AA423="NX",AA423="NT",AA423="CO"),OR('JOINTS DE RÉPARATION'!$D$5="TOUTES",B423='JOINTS DE RÉPARATION'!$D$5),OR('JOINTS DE RÉPARATION'!$L$4="TOUS",AQ423&lt;&gt;"ACCEPTÉ")),1,0)</f>
        <v>0</v>
      </c>
      <c r="AV423" s="82" t="str">
        <f aca="false">IF(AU423=1,SUM(AU$7:AU423),"")</f>
        <v/>
      </c>
      <c r="AW423" s="82" t="str">
        <f aca="false">IF(E423="","",B423&amp;"|"&amp;E423)</f>
        <v>MFD-ISW → MFD-CPF|JN°417</v>
      </c>
    </row>
    <row r="424" customFormat="false" ht="74.6" hidden="false" customHeight="false" outlineLevel="0" collapsed="false">
      <c r="A424" s="79" t="n">
        <f aca="false">IF(E424="","",ROW()-6)</f>
        <v>418</v>
      </c>
      <c r="B424" s="80" t="s">
        <v>110</v>
      </c>
      <c r="C424" s="81"/>
      <c r="D424" s="81"/>
      <c r="E424" s="81" t="s">
        <v>528</v>
      </c>
      <c r="F424" s="82" t="str">
        <f aca="false">IF(E424="","",IF(LEFT(E424,2)="DJ","DJ","JN"))</f>
        <v>JN</v>
      </c>
      <c r="G424" s="81"/>
      <c r="H424" s="81"/>
      <c r="I424" s="81"/>
      <c r="J424" s="81"/>
      <c r="K424" s="81"/>
      <c r="L424" s="81"/>
      <c r="M424" s="81"/>
      <c r="N424" s="81"/>
      <c r="O424" s="81"/>
      <c r="P424" s="81"/>
      <c r="Q424" s="81"/>
      <c r="R424" s="81"/>
      <c r="S424" s="81"/>
      <c r="T424" s="81"/>
      <c r="U424" s="83"/>
      <c r="V424" s="83"/>
      <c r="W424" s="81"/>
      <c r="X424" s="81"/>
      <c r="Y424" s="83"/>
      <c r="Z424" s="81"/>
      <c r="AA424" s="81"/>
      <c r="AB424" s="81"/>
      <c r="AC424" s="81"/>
      <c r="AD424" s="81"/>
      <c r="AE424" s="83"/>
      <c r="AF424" s="81"/>
      <c r="AG424" s="81"/>
      <c r="AH424" s="81"/>
      <c r="AI424" s="81"/>
      <c r="AJ424" s="83"/>
      <c r="AK424" s="81"/>
      <c r="AL424" s="81"/>
      <c r="AM424" s="83"/>
      <c r="AN424" s="80"/>
      <c r="AO424" s="82" t="n">
        <f aca="false">IF(E424="","",(AA424&lt;&gt;"")+(AG424&lt;&gt;"")+(AL424&lt;&gt;""))</f>
        <v>0</v>
      </c>
      <c r="AP424" s="82" t="str">
        <f aca="false">IF(AL424&lt;&gt;"",AL424,IF(AG424&lt;&gt;"",AG424,IF(AA424&lt;&gt;"",AA424,"")))</f>
        <v/>
      </c>
      <c r="AQ424" s="84" t="str">
        <f aca="false">IF(E424="","",IF(U424="","À SOUDER",IF(X424="","VT EN ATTENTE",IF(X424="R","VT REJETÉ – À REPRENDRE",IF(AP424="","À RADIOGRAPHIER",IF(AP424="A","ACCEPTÉ",IF(AP424="NX","NX – RT À REFAIRE",IF(IF(AO424=1,AD424,IF(AO424=2,AI424,""))="A","RÉPARÉ – À RADIOGRAPHIER",IF(IF(AO424=1,AD424,IF(AO424=2,AI424,""))="R","VT REJETÉ – À REPRENDRE",IF(OR(AP424="CO",AP424="NT"),"COUPE – À RESOUDER","À RÉPARER"))))))))))</f>
        <v>À SOUDER</v>
      </c>
      <c r="AR424" s="82" t="str">
        <f aca="false">IF(AND(ISNUMBER(U424),OR(AQ424="À RADIOGRAPHIER",AQ424="RÉPARÉ – À RADIOGRAPHIER",AQ424="NX – RT À REFAIRE",AQ424="À RÉPARER",AQ424="COUPE – À RESOUDER",AQ424="VT REJETÉ – À REPRENDRE")),MAX(0,'PROGRAMME RT'!$C$4-U424),"")</f>
        <v/>
      </c>
      <c r="AS424" s="82" t="n">
        <f aca="false">IF(AND(OR(AQ424="À RADIOGRAPHIER",AQ424="RÉPARÉ – À RADIOGRAPHIER",AQ424="NX – RT À REFAIRE"),OR('PROGRAMME RT'!$D$5="TOUTES",B424='PROGRAMME RT'!$D$5)),1,0)</f>
        <v>0</v>
      </c>
      <c r="AT424" s="82" t="str">
        <f aca="false">IF(AS424=1,SUM(AS$7:AS424),"")</f>
        <v/>
      </c>
      <c r="AU424" s="82" t="n">
        <f aca="false">IF(AND(OR(AA424="R",AA424="NX",AA424="NT",AA424="CO"),OR('JOINTS DE RÉPARATION'!$D$5="TOUTES",B424='JOINTS DE RÉPARATION'!$D$5),OR('JOINTS DE RÉPARATION'!$L$4="TOUS",AQ424&lt;&gt;"ACCEPTÉ")),1,0)</f>
        <v>0</v>
      </c>
      <c r="AV424" s="82" t="str">
        <f aca="false">IF(AU424=1,SUM(AU$7:AU424),"")</f>
        <v/>
      </c>
      <c r="AW424" s="82" t="str">
        <f aca="false">IF(E424="","",B424&amp;"|"&amp;E424)</f>
        <v>MFD-ISW → MFD-CPF|JN°418</v>
      </c>
    </row>
    <row r="425" customFormat="false" ht="74.6" hidden="false" customHeight="false" outlineLevel="0" collapsed="false">
      <c r="A425" s="79" t="n">
        <f aca="false">IF(E425="","",ROW()-6)</f>
        <v>419</v>
      </c>
      <c r="B425" s="80" t="s">
        <v>110</v>
      </c>
      <c r="C425" s="81"/>
      <c r="D425" s="81"/>
      <c r="E425" s="81" t="s">
        <v>529</v>
      </c>
      <c r="F425" s="82" t="str">
        <f aca="false">IF(E425="","",IF(LEFT(E425,2)="DJ","DJ","JN"))</f>
        <v>JN</v>
      </c>
      <c r="G425" s="81"/>
      <c r="H425" s="81"/>
      <c r="I425" s="81"/>
      <c r="J425" s="81"/>
      <c r="K425" s="81"/>
      <c r="L425" s="81"/>
      <c r="M425" s="81"/>
      <c r="N425" s="81"/>
      <c r="O425" s="81"/>
      <c r="P425" s="81"/>
      <c r="Q425" s="81"/>
      <c r="R425" s="81"/>
      <c r="S425" s="81"/>
      <c r="T425" s="81"/>
      <c r="U425" s="83"/>
      <c r="V425" s="83"/>
      <c r="W425" s="81"/>
      <c r="X425" s="81"/>
      <c r="Y425" s="83"/>
      <c r="Z425" s="81"/>
      <c r="AA425" s="81"/>
      <c r="AB425" s="81"/>
      <c r="AC425" s="81"/>
      <c r="AD425" s="81"/>
      <c r="AE425" s="83"/>
      <c r="AF425" s="81"/>
      <c r="AG425" s="81"/>
      <c r="AH425" s="81"/>
      <c r="AI425" s="81"/>
      <c r="AJ425" s="83"/>
      <c r="AK425" s="81"/>
      <c r="AL425" s="81"/>
      <c r="AM425" s="83"/>
      <c r="AN425" s="80"/>
      <c r="AO425" s="82" t="n">
        <f aca="false">IF(E425="","",(AA425&lt;&gt;"")+(AG425&lt;&gt;"")+(AL425&lt;&gt;""))</f>
        <v>0</v>
      </c>
      <c r="AP425" s="82" t="str">
        <f aca="false">IF(AL425&lt;&gt;"",AL425,IF(AG425&lt;&gt;"",AG425,IF(AA425&lt;&gt;"",AA425,"")))</f>
        <v/>
      </c>
      <c r="AQ425" s="84" t="str">
        <f aca="false">IF(E425="","",IF(U425="","À SOUDER",IF(X425="","VT EN ATTENTE",IF(X425="R","VT REJETÉ – À REPRENDRE",IF(AP425="","À RADIOGRAPHIER",IF(AP425="A","ACCEPTÉ",IF(AP425="NX","NX – RT À REFAIRE",IF(IF(AO425=1,AD425,IF(AO425=2,AI425,""))="A","RÉPARÉ – À RADIOGRAPHIER",IF(IF(AO425=1,AD425,IF(AO425=2,AI425,""))="R","VT REJETÉ – À REPRENDRE",IF(OR(AP425="CO",AP425="NT"),"COUPE – À RESOUDER","À RÉPARER"))))))))))</f>
        <v>À SOUDER</v>
      </c>
      <c r="AR425" s="82" t="str">
        <f aca="false">IF(AND(ISNUMBER(U425),OR(AQ425="À RADIOGRAPHIER",AQ425="RÉPARÉ – À RADIOGRAPHIER",AQ425="NX – RT À REFAIRE",AQ425="À RÉPARER",AQ425="COUPE – À RESOUDER",AQ425="VT REJETÉ – À REPRENDRE")),MAX(0,'PROGRAMME RT'!$C$4-U425),"")</f>
        <v/>
      </c>
      <c r="AS425" s="82" t="n">
        <f aca="false">IF(AND(OR(AQ425="À RADIOGRAPHIER",AQ425="RÉPARÉ – À RADIOGRAPHIER",AQ425="NX – RT À REFAIRE"),OR('PROGRAMME RT'!$D$5="TOUTES",B425='PROGRAMME RT'!$D$5)),1,0)</f>
        <v>0</v>
      </c>
      <c r="AT425" s="82" t="str">
        <f aca="false">IF(AS425=1,SUM(AS$7:AS425),"")</f>
        <v/>
      </c>
      <c r="AU425" s="82" t="n">
        <f aca="false">IF(AND(OR(AA425="R",AA425="NX",AA425="NT",AA425="CO"),OR('JOINTS DE RÉPARATION'!$D$5="TOUTES",B425='JOINTS DE RÉPARATION'!$D$5),OR('JOINTS DE RÉPARATION'!$L$4="TOUS",AQ425&lt;&gt;"ACCEPTÉ")),1,0)</f>
        <v>0</v>
      </c>
      <c r="AV425" s="82" t="str">
        <f aca="false">IF(AU425=1,SUM(AU$7:AU425),"")</f>
        <v/>
      </c>
      <c r="AW425" s="82" t="str">
        <f aca="false">IF(E425="","",B425&amp;"|"&amp;E425)</f>
        <v>MFD-ISW → MFD-CPF|JN°419</v>
      </c>
    </row>
    <row r="426" customFormat="false" ht="74.6" hidden="false" customHeight="false" outlineLevel="0" collapsed="false">
      <c r="A426" s="79" t="n">
        <f aca="false">IF(E426="","",ROW()-6)</f>
        <v>420</v>
      </c>
      <c r="B426" s="80" t="s">
        <v>110</v>
      </c>
      <c r="C426" s="81"/>
      <c r="D426" s="81"/>
      <c r="E426" s="81" t="s">
        <v>530</v>
      </c>
      <c r="F426" s="82" t="str">
        <f aca="false">IF(E426="","",IF(LEFT(E426,2)="DJ","DJ","JN"))</f>
        <v>JN</v>
      </c>
      <c r="G426" s="81"/>
      <c r="H426" s="81"/>
      <c r="I426" s="81"/>
      <c r="J426" s="81"/>
      <c r="K426" s="81"/>
      <c r="L426" s="81"/>
      <c r="M426" s="81"/>
      <c r="N426" s="81"/>
      <c r="O426" s="81"/>
      <c r="P426" s="81"/>
      <c r="Q426" s="81"/>
      <c r="R426" s="81"/>
      <c r="S426" s="81"/>
      <c r="T426" s="81"/>
      <c r="U426" s="83"/>
      <c r="V426" s="83"/>
      <c r="W426" s="81"/>
      <c r="X426" s="81"/>
      <c r="Y426" s="83"/>
      <c r="Z426" s="81"/>
      <c r="AA426" s="81"/>
      <c r="AB426" s="81"/>
      <c r="AC426" s="81"/>
      <c r="AD426" s="81"/>
      <c r="AE426" s="83"/>
      <c r="AF426" s="81"/>
      <c r="AG426" s="81"/>
      <c r="AH426" s="81"/>
      <c r="AI426" s="81"/>
      <c r="AJ426" s="83"/>
      <c r="AK426" s="81"/>
      <c r="AL426" s="81"/>
      <c r="AM426" s="83"/>
      <c r="AN426" s="80"/>
      <c r="AO426" s="82" t="n">
        <f aca="false">IF(E426="","",(AA426&lt;&gt;"")+(AG426&lt;&gt;"")+(AL426&lt;&gt;""))</f>
        <v>0</v>
      </c>
      <c r="AP426" s="82" t="str">
        <f aca="false">IF(AL426&lt;&gt;"",AL426,IF(AG426&lt;&gt;"",AG426,IF(AA426&lt;&gt;"",AA426,"")))</f>
        <v/>
      </c>
      <c r="AQ426" s="84" t="str">
        <f aca="false">IF(E426="","",IF(U426="","À SOUDER",IF(X426="","VT EN ATTENTE",IF(X426="R","VT REJETÉ – À REPRENDRE",IF(AP426="","À RADIOGRAPHIER",IF(AP426="A","ACCEPTÉ",IF(AP426="NX","NX – RT À REFAIRE",IF(IF(AO426=1,AD426,IF(AO426=2,AI426,""))="A","RÉPARÉ – À RADIOGRAPHIER",IF(IF(AO426=1,AD426,IF(AO426=2,AI426,""))="R","VT REJETÉ – À REPRENDRE",IF(OR(AP426="CO",AP426="NT"),"COUPE – À RESOUDER","À RÉPARER"))))))))))</f>
        <v>À SOUDER</v>
      </c>
      <c r="AR426" s="82" t="str">
        <f aca="false">IF(AND(ISNUMBER(U426),OR(AQ426="À RADIOGRAPHIER",AQ426="RÉPARÉ – À RADIOGRAPHIER",AQ426="NX – RT À REFAIRE",AQ426="À RÉPARER",AQ426="COUPE – À RESOUDER",AQ426="VT REJETÉ – À REPRENDRE")),MAX(0,'PROGRAMME RT'!$C$4-U426),"")</f>
        <v/>
      </c>
      <c r="AS426" s="82" t="n">
        <f aca="false">IF(AND(OR(AQ426="À RADIOGRAPHIER",AQ426="RÉPARÉ – À RADIOGRAPHIER",AQ426="NX – RT À REFAIRE"),OR('PROGRAMME RT'!$D$5="TOUTES",B426='PROGRAMME RT'!$D$5)),1,0)</f>
        <v>0</v>
      </c>
      <c r="AT426" s="82" t="str">
        <f aca="false">IF(AS426=1,SUM(AS$7:AS426),"")</f>
        <v/>
      </c>
      <c r="AU426" s="82" t="n">
        <f aca="false">IF(AND(OR(AA426="R",AA426="NX",AA426="NT",AA426="CO"),OR('JOINTS DE RÉPARATION'!$D$5="TOUTES",B426='JOINTS DE RÉPARATION'!$D$5),OR('JOINTS DE RÉPARATION'!$L$4="TOUS",AQ426&lt;&gt;"ACCEPTÉ")),1,0)</f>
        <v>0</v>
      </c>
      <c r="AV426" s="82" t="str">
        <f aca="false">IF(AU426=1,SUM(AU$7:AU426),"")</f>
        <v/>
      </c>
      <c r="AW426" s="82" t="str">
        <f aca="false">IF(E426="","",B426&amp;"|"&amp;E426)</f>
        <v>MFD-ISW → MFD-CPF|JN°420</v>
      </c>
    </row>
    <row r="427" customFormat="false" ht="74.6" hidden="false" customHeight="false" outlineLevel="0" collapsed="false">
      <c r="A427" s="79" t="n">
        <f aca="false">IF(E427="","",ROW()-6)</f>
        <v>421</v>
      </c>
      <c r="B427" s="80" t="s">
        <v>110</v>
      </c>
      <c r="C427" s="81"/>
      <c r="D427" s="81"/>
      <c r="E427" s="81" t="s">
        <v>531</v>
      </c>
      <c r="F427" s="82" t="str">
        <f aca="false">IF(E427="","",IF(LEFT(E427,2)="DJ","DJ","JN"))</f>
        <v>JN</v>
      </c>
      <c r="G427" s="81"/>
      <c r="H427" s="81"/>
      <c r="I427" s="81"/>
      <c r="J427" s="81"/>
      <c r="K427" s="81"/>
      <c r="L427" s="81"/>
      <c r="M427" s="81"/>
      <c r="N427" s="81"/>
      <c r="O427" s="81"/>
      <c r="P427" s="81"/>
      <c r="Q427" s="81"/>
      <c r="R427" s="81"/>
      <c r="S427" s="81"/>
      <c r="T427" s="81"/>
      <c r="U427" s="83"/>
      <c r="V427" s="83"/>
      <c r="W427" s="81"/>
      <c r="X427" s="81"/>
      <c r="Y427" s="83"/>
      <c r="Z427" s="81"/>
      <c r="AA427" s="81"/>
      <c r="AB427" s="81"/>
      <c r="AC427" s="81"/>
      <c r="AD427" s="81"/>
      <c r="AE427" s="83"/>
      <c r="AF427" s="81"/>
      <c r="AG427" s="81"/>
      <c r="AH427" s="81"/>
      <c r="AI427" s="81"/>
      <c r="AJ427" s="83"/>
      <c r="AK427" s="81"/>
      <c r="AL427" s="81"/>
      <c r="AM427" s="83"/>
      <c r="AN427" s="80"/>
      <c r="AO427" s="82" t="n">
        <f aca="false">IF(E427="","",(AA427&lt;&gt;"")+(AG427&lt;&gt;"")+(AL427&lt;&gt;""))</f>
        <v>0</v>
      </c>
      <c r="AP427" s="82" t="str">
        <f aca="false">IF(AL427&lt;&gt;"",AL427,IF(AG427&lt;&gt;"",AG427,IF(AA427&lt;&gt;"",AA427,"")))</f>
        <v/>
      </c>
      <c r="AQ427" s="84" t="str">
        <f aca="false">IF(E427="","",IF(U427="","À SOUDER",IF(X427="","VT EN ATTENTE",IF(X427="R","VT REJETÉ – À REPRENDRE",IF(AP427="","À RADIOGRAPHIER",IF(AP427="A","ACCEPTÉ",IF(AP427="NX","NX – RT À REFAIRE",IF(IF(AO427=1,AD427,IF(AO427=2,AI427,""))="A","RÉPARÉ – À RADIOGRAPHIER",IF(IF(AO427=1,AD427,IF(AO427=2,AI427,""))="R","VT REJETÉ – À REPRENDRE",IF(OR(AP427="CO",AP427="NT"),"COUPE – À RESOUDER","À RÉPARER"))))))))))</f>
        <v>À SOUDER</v>
      </c>
      <c r="AR427" s="82" t="str">
        <f aca="false">IF(AND(ISNUMBER(U427),OR(AQ427="À RADIOGRAPHIER",AQ427="RÉPARÉ – À RADIOGRAPHIER",AQ427="NX – RT À REFAIRE",AQ427="À RÉPARER",AQ427="COUPE – À RESOUDER",AQ427="VT REJETÉ – À REPRENDRE")),MAX(0,'PROGRAMME RT'!$C$4-U427),"")</f>
        <v/>
      </c>
      <c r="AS427" s="82" t="n">
        <f aca="false">IF(AND(OR(AQ427="À RADIOGRAPHIER",AQ427="RÉPARÉ – À RADIOGRAPHIER",AQ427="NX – RT À REFAIRE"),OR('PROGRAMME RT'!$D$5="TOUTES",B427='PROGRAMME RT'!$D$5)),1,0)</f>
        <v>0</v>
      </c>
      <c r="AT427" s="82" t="str">
        <f aca="false">IF(AS427=1,SUM(AS$7:AS427),"")</f>
        <v/>
      </c>
      <c r="AU427" s="82" t="n">
        <f aca="false">IF(AND(OR(AA427="R",AA427="NX",AA427="NT",AA427="CO"),OR('JOINTS DE RÉPARATION'!$D$5="TOUTES",B427='JOINTS DE RÉPARATION'!$D$5),OR('JOINTS DE RÉPARATION'!$L$4="TOUS",AQ427&lt;&gt;"ACCEPTÉ")),1,0)</f>
        <v>0</v>
      </c>
      <c r="AV427" s="82" t="str">
        <f aca="false">IF(AU427=1,SUM(AU$7:AU427),"")</f>
        <v/>
      </c>
      <c r="AW427" s="82" t="str">
        <f aca="false">IF(E427="","",B427&amp;"|"&amp;E427)</f>
        <v>MFD-ISW → MFD-CPF|JN°421</v>
      </c>
    </row>
    <row r="428" customFormat="false" ht="74.6" hidden="false" customHeight="false" outlineLevel="0" collapsed="false">
      <c r="A428" s="79" t="n">
        <f aca="false">IF(E428="","",ROW()-6)</f>
        <v>422</v>
      </c>
      <c r="B428" s="80" t="s">
        <v>110</v>
      </c>
      <c r="C428" s="81"/>
      <c r="D428" s="81"/>
      <c r="E428" s="81" t="s">
        <v>532</v>
      </c>
      <c r="F428" s="82" t="str">
        <f aca="false">IF(E428="","",IF(LEFT(E428,2)="DJ","DJ","JN"))</f>
        <v>JN</v>
      </c>
      <c r="G428" s="81"/>
      <c r="H428" s="81"/>
      <c r="I428" s="81"/>
      <c r="J428" s="81"/>
      <c r="K428" s="81"/>
      <c r="L428" s="81"/>
      <c r="M428" s="81"/>
      <c r="N428" s="81"/>
      <c r="O428" s="81"/>
      <c r="P428" s="81"/>
      <c r="Q428" s="81"/>
      <c r="R428" s="81"/>
      <c r="S428" s="81"/>
      <c r="T428" s="81"/>
      <c r="U428" s="83"/>
      <c r="V428" s="83"/>
      <c r="W428" s="81"/>
      <c r="X428" s="81"/>
      <c r="Y428" s="83"/>
      <c r="Z428" s="81"/>
      <c r="AA428" s="81"/>
      <c r="AB428" s="81"/>
      <c r="AC428" s="81"/>
      <c r="AD428" s="81"/>
      <c r="AE428" s="83"/>
      <c r="AF428" s="81"/>
      <c r="AG428" s="81"/>
      <c r="AH428" s="81"/>
      <c r="AI428" s="81"/>
      <c r="AJ428" s="83"/>
      <c r="AK428" s="81"/>
      <c r="AL428" s="81"/>
      <c r="AM428" s="83"/>
      <c r="AN428" s="80"/>
      <c r="AO428" s="82" t="n">
        <f aca="false">IF(E428="","",(AA428&lt;&gt;"")+(AG428&lt;&gt;"")+(AL428&lt;&gt;""))</f>
        <v>0</v>
      </c>
      <c r="AP428" s="82" t="str">
        <f aca="false">IF(AL428&lt;&gt;"",AL428,IF(AG428&lt;&gt;"",AG428,IF(AA428&lt;&gt;"",AA428,"")))</f>
        <v/>
      </c>
      <c r="AQ428" s="84" t="str">
        <f aca="false">IF(E428="","",IF(U428="","À SOUDER",IF(X428="","VT EN ATTENTE",IF(X428="R","VT REJETÉ – À REPRENDRE",IF(AP428="","À RADIOGRAPHIER",IF(AP428="A","ACCEPTÉ",IF(AP428="NX","NX – RT À REFAIRE",IF(IF(AO428=1,AD428,IF(AO428=2,AI428,""))="A","RÉPARÉ – À RADIOGRAPHIER",IF(IF(AO428=1,AD428,IF(AO428=2,AI428,""))="R","VT REJETÉ – À REPRENDRE",IF(OR(AP428="CO",AP428="NT"),"COUPE – À RESOUDER","À RÉPARER"))))))))))</f>
        <v>À SOUDER</v>
      </c>
      <c r="AR428" s="82" t="str">
        <f aca="false">IF(AND(ISNUMBER(U428),OR(AQ428="À RADIOGRAPHIER",AQ428="RÉPARÉ – À RADIOGRAPHIER",AQ428="NX – RT À REFAIRE",AQ428="À RÉPARER",AQ428="COUPE – À RESOUDER",AQ428="VT REJETÉ – À REPRENDRE")),MAX(0,'PROGRAMME RT'!$C$4-U428),"")</f>
        <v/>
      </c>
      <c r="AS428" s="82" t="n">
        <f aca="false">IF(AND(OR(AQ428="À RADIOGRAPHIER",AQ428="RÉPARÉ – À RADIOGRAPHIER",AQ428="NX – RT À REFAIRE"),OR('PROGRAMME RT'!$D$5="TOUTES",B428='PROGRAMME RT'!$D$5)),1,0)</f>
        <v>0</v>
      </c>
      <c r="AT428" s="82" t="str">
        <f aca="false">IF(AS428=1,SUM(AS$7:AS428),"")</f>
        <v/>
      </c>
      <c r="AU428" s="82" t="n">
        <f aca="false">IF(AND(OR(AA428="R",AA428="NX",AA428="NT",AA428="CO"),OR('JOINTS DE RÉPARATION'!$D$5="TOUTES",B428='JOINTS DE RÉPARATION'!$D$5),OR('JOINTS DE RÉPARATION'!$L$4="TOUS",AQ428&lt;&gt;"ACCEPTÉ")),1,0)</f>
        <v>0</v>
      </c>
      <c r="AV428" s="82" t="str">
        <f aca="false">IF(AU428=1,SUM(AU$7:AU428),"")</f>
        <v/>
      </c>
      <c r="AW428" s="82" t="str">
        <f aca="false">IF(E428="","",B428&amp;"|"&amp;E428)</f>
        <v>MFD-ISW → MFD-CPF|JN°422</v>
      </c>
    </row>
    <row r="429" customFormat="false" ht="74.6" hidden="false" customHeight="false" outlineLevel="0" collapsed="false">
      <c r="A429" s="79" t="n">
        <f aca="false">IF(E429="","",ROW()-6)</f>
        <v>423</v>
      </c>
      <c r="B429" s="80" t="s">
        <v>110</v>
      </c>
      <c r="C429" s="81"/>
      <c r="D429" s="81"/>
      <c r="E429" s="81" t="s">
        <v>533</v>
      </c>
      <c r="F429" s="82" t="str">
        <f aca="false">IF(E429="","",IF(LEFT(E429,2)="DJ","DJ","JN"))</f>
        <v>JN</v>
      </c>
      <c r="G429" s="81"/>
      <c r="H429" s="81"/>
      <c r="I429" s="81"/>
      <c r="J429" s="81"/>
      <c r="K429" s="81"/>
      <c r="L429" s="81"/>
      <c r="M429" s="81"/>
      <c r="N429" s="81"/>
      <c r="O429" s="81"/>
      <c r="P429" s="81"/>
      <c r="Q429" s="81"/>
      <c r="R429" s="81"/>
      <c r="S429" s="81"/>
      <c r="T429" s="81"/>
      <c r="U429" s="83"/>
      <c r="V429" s="83"/>
      <c r="W429" s="81"/>
      <c r="X429" s="81"/>
      <c r="Y429" s="83"/>
      <c r="Z429" s="81"/>
      <c r="AA429" s="81"/>
      <c r="AB429" s="81"/>
      <c r="AC429" s="81"/>
      <c r="AD429" s="81"/>
      <c r="AE429" s="83"/>
      <c r="AF429" s="81"/>
      <c r="AG429" s="81"/>
      <c r="AH429" s="81"/>
      <c r="AI429" s="81"/>
      <c r="AJ429" s="83"/>
      <c r="AK429" s="81"/>
      <c r="AL429" s="81"/>
      <c r="AM429" s="83"/>
      <c r="AN429" s="80"/>
      <c r="AO429" s="82" t="n">
        <f aca="false">IF(E429="","",(AA429&lt;&gt;"")+(AG429&lt;&gt;"")+(AL429&lt;&gt;""))</f>
        <v>0</v>
      </c>
      <c r="AP429" s="82" t="str">
        <f aca="false">IF(AL429&lt;&gt;"",AL429,IF(AG429&lt;&gt;"",AG429,IF(AA429&lt;&gt;"",AA429,"")))</f>
        <v/>
      </c>
      <c r="AQ429" s="84" t="str">
        <f aca="false">IF(E429="","",IF(U429="","À SOUDER",IF(X429="","VT EN ATTENTE",IF(X429="R","VT REJETÉ – À REPRENDRE",IF(AP429="","À RADIOGRAPHIER",IF(AP429="A","ACCEPTÉ",IF(AP429="NX","NX – RT À REFAIRE",IF(IF(AO429=1,AD429,IF(AO429=2,AI429,""))="A","RÉPARÉ – À RADIOGRAPHIER",IF(IF(AO429=1,AD429,IF(AO429=2,AI429,""))="R","VT REJETÉ – À REPRENDRE",IF(OR(AP429="CO",AP429="NT"),"COUPE – À RESOUDER","À RÉPARER"))))))))))</f>
        <v>À SOUDER</v>
      </c>
      <c r="AR429" s="82" t="str">
        <f aca="false">IF(AND(ISNUMBER(U429),OR(AQ429="À RADIOGRAPHIER",AQ429="RÉPARÉ – À RADIOGRAPHIER",AQ429="NX – RT À REFAIRE",AQ429="À RÉPARER",AQ429="COUPE – À RESOUDER",AQ429="VT REJETÉ – À REPRENDRE")),MAX(0,'PROGRAMME RT'!$C$4-U429),"")</f>
        <v/>
      </c>
      <c r="AS429" s="82" t="n">
        <f aca="false">IF(AND(OR(AQ429="À RADIOGRAPHIER",AQ429="RÉPARÉ – À RADIOGRAPHIER",AQ429="NX – RT À REFAIRE"),OR('PROGRAMME RT'!$D$5="TOUTES",B429='PROGRAMME RT'!$D$5)),1,0)</f>
        <v>0</v>
      </c>
      <c r="AT429" s="82" t="str">
        <f aca="false">IF(AS429=1,SUM(AS$7:AS429),"")</f>
        <v/>
      </c>
      <c r="AU429" s="82" t="n">
        <f aca="false">IF(AND(OR(AA429="R",AA429="NX",AA429="NT",AA429="CO"),OR('JOINTS DE RÉPARATION'!$D$5="TOUTES",B429='JOINTS DE RÉPARATION'!$D$5),OR('JOINTS DE RÉPARATION'!$L$4="TOUS",AQ429&lt;&gt;"ACCEPTÉ")),1,0)</f>
        <v>0</v>
      </c>
      <c r="AV429" s="82" t="str">
        <f aca="false">IF(AU429=1,SUM(AU$7:AU429),"")</f>
        <v/>
      </c>
      <c r="AW429" s="82" t="str">
        <f aca="false">IF(E429="","",B429&amp;"|"&amp;E429)</f>
        <v>MFD-ISW → MFD-CPF|JN°423</v>
      </c>
    </row>
    <row r="430" customFormat="false" ht="74.6" hidden="false" customHeight="false" outlineLevel="0" collapsed="false">
      <c r="A430" s="79" t="n">
        <f aca="false">IF(E430="","",ROW()-6)</f>
        <v>424</v>
      </c>
      <c r="B430" s="80" t="s">
        <v>110</v>
      </c>
      <c r="C430" s="81"/>
      <c r="D430" s="81"/>
      <c r="E430" s="81" t="s">
        <v>534</v>
      </c>
      <c r="F430" s="82" t="str">
        <f aca="false">IF(E430="","",IF(LEFT(E430,2)="DJ","DJ","JN"))</f>
        <v>JN</v>
      </c>
      <c r="G430" s="81"/>
      <c r="H430" s="81"/>
      <c r="I430" s="81"/>
      <c r="J430" s="81"/>
      <c r="K430" s="81"/>
      <c r="L430" s="81"/>
      <c r="M430" s="81"/>
      <c r="N430" s="81"/>
      <c r="O430" s="81"/>
      <c r="P430" s="81"/>
      <c r="Q430" s="81"/>
      <c r="R430" s="81"/>
      <c r="S430" s="81"/>
      <c r="T430" s="81"/>
      <c r="U430" s="83"/>
      <c r="V430" s="83"/>
      <c r="W430" s="81"/>
      <c r="X430" s="81"/>
      <c r="Y430" s="83"/>
      <c r="Z430" s="81"/>
      <c r="AA430" s="81"/>
      <c r="AB430" s="81"/>
      <c r="AC430" s="81"/>
      <c r="AD430" s="81"/>
      <c r="AE430" s="83"/>
      <c r="AF430" s="81"/>
      <c r="AG430" s="81"/>
      <c r="AH430" s="81"/>
      <c r="AI430" s="81"/>
      <c r="AJ430" s="83"/>
      <c r="AK430" s="81"/>
      <c r="AL430" s="81"/>
      <c r="AM430" s="83"/>
      <c r="AN430" s="80"/>
      <c r="AO430" s="82" t="n">
        <f aca="false">IF(E430="","",(AA430&lt;&gt;"")+(AG430&lt;&gt;"")+(AL430&lt;&gt;""))</f>
        <v>0</v>
      </c>
      <c r="AP430" s="82" t="str">
        <f aca="false">IF(AL430&lt;&gt;"",AL430,IF(AG430&lt;&gt;"",AG430,IF(AA430&lt;&gt;"",AA430,"")))</f>
        <v/>
      </c>
      <c r="AQ430" s="84" t="str">
        <f aca="false">IF(E430="","",IF(U430="","À SOUDER",IF(X430="","VT EN ATTENTE",IF(X430="R","VT REJETÉ – À REPRENDRE",IF(AP430="","À RADIOGRAPHIER",IF(AP430="A","ACCEPTÉ",IF(AP430="NX","NX – RT À REFAIRE",IF(IF(AO430=1,AD430,IF(AO430=2,AI430,""))="A","RÉPARÉ – À RADIOGRAPHIER",IF(IF(AO430=1,AD430,IF(AO430=2,AI430,""))="R","VT REJETÉ – À REPRENDRE",IF(OR(AP430="CO",AP430="NT"),"COUPE – À RESOUDER","À RÉPARER"))))))))))</f>
        <v>À SOUDER</v>
      </c>
      <c r="AR430" s="82" t="str">
        <f aca="false">IF(AND(ISNUMBER(U430),OR(AQ430="À RADIOGRAPHIER",AQ430="RÉPARÉ – À RADIOGRAPHIER",AQ430="NX – RT À REFAIRE",AQ430="À RÉPARER",AQ430="COUPE – À RESOUDER",AQ430="VT REJETÉ – À REPRENDRE")),MAX(0,'PROGRAMME RT'!$C$4-U430),"")</f>
        <v/>
      </c>
      <c r="AS430" s="82" t="n">
        <f aca="false">IF(AND(OR(AQ430="À RADIOGRAPHIER",AQ430="RÉPARÉ – À RADIOGRAPHIER",AQ430="NX – RT À REFAIRE"),OR('PROGRAMME RT'!$D$5="TOUTES",B430='PROGRAMME RT'!$D$5)),1,0)</f>
        <v>0</v>
      </c>
      <c r="AT430" s="82" t="str">
        <f aca="false">IF(AS430=1,SUM(AS$7:AS430),"")</f>
        <v/>
      </c>
      <c r="AU430" s="82" t="n">
        <f aca="false">IF(AND(OR(AA430="R",AA430="NX",AA430="NT",AA430="CO"),OR('JOINTS DE RÉPARATION'!$D$5="TOUTES",B430='JOINTS DE RÉPARATION'!$D$5),OR('JOINTS DE RÉPARATION'!$L$4="TOUS",AQ430&lt;&gt;"ACCEPTÉ")),1,0)</f>
        <v>0</v>
      </c>
      <c r="AV430" s="82" t="str">
        <f aca="false">IF(AU430=1,SUM(AU$7:AU430),"")</f>
        <v/>
      </c>
      <c r="AW430" s="82" t="str">
        <f aca="false">IF(E430="","",B430&amp;"|"&amp;E430)</f>
        <v>MFD-ISW → MFD-CPF|JN°424</v>
      </c>
    </row>
    <row r="431" customFormat="false" ht="74.6" hidden="false" customHeight="false" outlineLevel="0" collapsed="false">
      <c r="A431" s="79" t="n">
        <f aca="false">IF(E431="","",ROW()-6)</f>
        <v>425</v>
      </c>
      <c r="B431" s="80" t="s">
        <v>110</v>
      </c>
      <c r="C431" s="81"/>
      <c r="D431" s="81"/>
      <c r="E431" s="81" t="s">
        <v>535</v>
      </c>
      <c r="F431" s="82" t="str">
        <f aca="false">IF(E431="","",IF(LEFT(E431,2)="DJ","DJ","JN"))</f>
        <v>JN</v>
      </c>
      <c r="G431" s="81"/>
      <c r="H431" s="81"/>
      <c r="I431" s="81"/>
      <c r="J431" s="81"/>
      <c r="K431" s="81"/>
      <c r="L431" s="81"/>
      <c r="M431" s="81"/>
      <c r="N431" s="81"/>
      <c r="O431" s="81"/>
      <c r="P431" s="81"/>
      <c r="Q431" s="81"/>
      <c r="R431" s="81"/>
      <c r="S431" s="81"/>
      <c r="T431" s="81"/>
      <c r="U431" s="83"/>
      <c r="V431" s="83"/>
      <c r="W431" s="81"/>
      <c r="X431" s="81"/>
      <c r="Y431" s="83"/>
      <c r="Z431" s="81"/>
      <c r="AA431" s="81"/>
      <c r="AB431" s="81"/>
      <c r="AC431" s="81"/>
      <c r="AD431" s="81"/>
      <c r="AE431" s="83"/>
      <c r="AF431" s="81"/>
      <c r="AG431" s="81"/>
      <c r="AH431" s="81"/>
      <c r="AI431" s="81"/>
      <c r="AJ431" s="83"/>
      <c r="AK431" s="81"/>
      <c r="AL431" s="81"/>
      <c r="AM431" s="83"/>
      <c r="AN431" s="80"/>
      <c r="AO431" s="82" t="n">
        <f aca="false">IF(E431="","",(AA431&lt;&gt;"")+(AG431&lt;&gt;"")+(AL431&lt;&gt;""))</f>
        <v>0</v>
      </c>
      <c r="AP431" s="82" t="str">
        <f aca="false">IF(AL431&lt;&gt;"",AL431,IF(AG431&lt;&gt;"",AG431,IF(AA431&lt;&gt;"",AA431,"")))</f>
        <v/>
      </c>
      <c r="AQ431" s="84" t="str">
        <f aca="false">IF(E431="","",IF(U431="","À SOUDER",IF(X431="","VT EN ATTENTE",IF(X431="R","VT REJETÉ – À REPRENDRE",IF(AP431="","À RADIOGRAPHIER",IF(AP431="A","ACCEPTÉ",IF(AP431="NX","NX – RT À REFAIRE",IF(IF(AO431=1,AD431,IF(AO431=2,AI431,""))="A","RÉPARÉ – À RADIOGRAPHIER",IF(IF(AO431=1,AD431,IF(AO431=2,AI431,""))="R","VT REJETÉ – À REPRENDRE",IF(OR(AP431="CO",AP431="NT"),"COUPE – À RESOUDER","À RÉPARER"))))))))))</f>
        <v>À SOUDER</v>
      </c>
      <c r="AR431" s="82" t="str">
        <f aca="false">IF(AND(ISNUMBER(U431),OR(AQ431="À RADIOGRAPHIER",AQ431="RÉPARÉ – À RADIOGRAPHIER",AQ431="NX – RT À REFAIRE",AQ431="À RÉPARER",AQ431="COUPE – À RESOUDER",AQ431="VT REJETÉ – À REPRENDRE")),MAX(0,'PROGRAMME RT'!$C$4-U431),"")</f>
        <v/>
      </c>
      <c r="AS431" s="82" t="n">
        <f aca="false">IF(AND(OR(AQ431="À RADIOGRAPHIER",AQ431="RÉPARÉ – À RADIOGRAPHIER",AQ431="NX – RT À REFAIRE"),OR('PROGRAMME RT'!$D$5="TOUTES",B431='PROGRAMME RT'!$D$5)),1,0)</f>
        <v>0</v>
      </c>
      <c r="AT431" s="82" t="str">
        <f aca="false">IF(AS431=1,SUM(AS$7:AS431),"")</f>
        <v/>
      </c>
      <c r="AU431" s="82" t="n">
        <f aca="false">IF(AND(OR(AA431="R",AA431="NX",AA431="NT",AA431="CO"),OR('JOINTS DE RÉPARATION'!$D$5="TOUTES",B431='JOINTS DE RÉPARATION'!$D$5),OR('JOINTS DE RÉPARATION'!$L$4="TOUS",AQ431&lt;&gt;"ACCEPTÉ")),1,0)</f>
        <v>0</v>
      </c>
      <c r="AV431" s="82" t="str">
        <f aca="false">IF(AU431=1,SUM(AU$7:AU431),"")</f>
        <v/>
      </c>
      <c r="AW431" s="82" t="str">
        <f aca="false">IF(E431="","",B431&amp;"|"&amp;E431)</f>
        <v>MFD-ISW → MFD-CPF|JN°425</v>
      </c>
    </row>
    <row r="432" customFormat="false" ht="74.6" hidden="false" customHeight="false" outlineLevel="0" collapsed="false">
      <c r="A432" s="79" t="n">
        <f aca="false">IF(E432="","",ROW()-6)</f>
        <v>426</v>
      </c>
      <c r="B432" s="80" t="s">
        <v>110</v>
      </c>
      <c r="C432" s="81"/>
      <c r="D432" s="81"/>
      <c r="E432" s="81" t="s">
        <v>536</v>
      </c>
      <c r="F432" s="82" t="str">
        <f aca="false">IF(E432="","",IF(LEFT(E432,2)="DJ","DJ","JN"))</f>
        <v>JN</v>
      </c>
      <c r="G432" s="81"/>
      <c r="H432" s="81"/>
      <c r="I432" s="81"/>
      <c r="J432" s="81"/>
      <c r="K432" s="81"/>
      <c r="L432" s="81"/>
      <c r="M432" s="81"/>
      <c r="N432" s="81"/>
      <c r="O432" s="81"/>
      <c r="P432" s="81"/>
      <c r="Q432" s="81"/>
      <c r="R432" s="81"/>
      <c r="S432" s="81"/>
      <c r="T432" s="81"/>
      <c r="U432" s="83"/>
      <c r="V432" s="83"/>
      <c r="W432" s="81"/>
      <c r="X432" s="81"/>
      <c r="Y432" s="83"/>
      <c r="Z432" s="81"/>
      <c r="AA432" s="81"/>
      <c r="AB432" s="81"/>
      <c r="AC432" s="81"/>
      <c r="AD432" s="81"/>
      <c r="AE432" s="83"/>
      <c r="AF432" s="81"/>
      <c r="AG432" s="81"/>
      <c r="AH432" s="81"/>
      <c r="AI432" s="81"/>
      <c r="AJ432" s="83"/>
      <c r="AK432" s="81"/>
      <c r="AL432" s="81"/>
      <c r="AM432" s="83"/>
      <c r="AN432" s="80"/>
      <c r="AO432" s="82" t="n">
        <f aca="false">IF(E432="","",(AA432&lt;&gt;"")+(AG432&lt;&gt;"")+(AL432&lt;&gt;""))</f>
        <v>0</v>
      </c>
      <c r="AP432" s="82" t="str">
        <f aca="false">IF(AL432&lt;&gt;"",AL432,IF(AG432&lt;&gt;"",AG432,IF(AA432&lt;&gt;"",AA432,"")))</f>
        <v/>
      </c>
      <c r="AQ432" s="84" t="str">
        <f aca="false">IF(E432="","",IF(U432="","À SOUDER",IF(X432="","VT EN ATTENTE",IF(X432="R","VT REJETÉ – À REPRENDRE",IF(AP432="","À RADIOGRAPHIER",IF(AP432="A","ACCEPTÉ",IF(AP432="NX","NX – RT À REFAIRE",IF(IF(AO432=1,AD432,IF(AO432=2,AI432,""))="A","RÉPARÉ – À RADIOGRAPHIER",IF(IF(AO432=1,AD432,IF(AO432=2,AI432,""))="R","VT REJETÉ – À REPRENDRE",IF(OR(AP432="CO",AP432="NT"),"COUPE – À RESOUDER","À RÉPARER"))))))))))</f>
        <v>À SOUDER</v>
      </c>
      <c r="AR432" s="82" t="str">
        <f aca="false">IF(AND(ISNUMBER(U432),OR(AQ432="À RADIOGRAPHIER",AQ432="RÉPARÉ – À RADIOGRAPHIER",AQ432="NX – RT À REFAIRE",AQ432="À RÉPARER",AQ432="COUPE – À RESOUDER",AQ432="VT REJETÉ – À REPRENDRE")),MAX(0,'PROGRAMME RT'!$C$4-U432),"")</f>
        <v/>
      </c>
      <c r="AS432" s="82" t="n">
        <f aca="false">IF(AND(OR(AQ432="À RADIOGRAPHIER",AQ432="RÉPARÉ – À RADIOGRAPHIER",AQ432="NX – RT À REFAIRE"),OR('PROGRAMME RT'!$D$5="TOUTES",B432='PROGRAMME RT'!$D$5)),1,0)</f>
        <v>0</v>
      </c>
      <c r="AT432" s="82" t="str">
        <f aca="false">IF(AS432=1,SUM(AS$7:AS432),"")</f>
        <v/>
      </c>
      <c r="AU432" s="82" t="n">
        <f aca="false">IF(AND(OR(AA432="R",AA432="NX",AA432="NT",AA432="CO"),OR('JOINTS DE RÉPARATION'!$D$5="TOUTES",B432='JOINTS DE RÉPARATION'!$D$5),OR('JOINTS DE RÉPARATION'!$L$4="TOUS",AQ432&lt;&gt;"ACCEPTÉ")),1,0)</f>
        <v>0</v>
      </c>
      <c r="AV432" s="82" t="str">
        <f aca="false">IF(AU432=1,SUM(AU$7:AU432),"")</f>
        <v/>
      </c>
      <c r="AW432" s="82" t="str">
        <f aca="false">IF(E432="","",B432&amp;"|"&amp;E432)</f>
        <v>MFD-ISW → MFD-CPF|JN°426</v>
      </c>
    </row>
    <row r="433" customFormat="false" ht="74.6" hidden="false" customHeight="false" outlineLevel="0" collapsed="false">
      <c r="A433" s="79" t="n">
        <f aca="false">IF(E433="","",ROW()-6)</f>
        <v>427</v>
      </c>
      <c r="B433" s="80" t="s">
        <v>110</v>
      </c>
      <c r="C433" s="81"/>
      <c r="D433" s="81"/>
      <c r="E433" s="81" t="s">
        <v>537</v>
      </c>
      <c r="F433" s="82" t="str">
        <f aca="false">IF(E433="","",IF(LEFT(E433,2)="DJ","DJ","JN"))</f>
        <v>JN</v>
      </c>
      <c r="G433" s="81"/>
      <c r="H433" s="81"/>
      <c r="I433" s="81"/>
      <c r="J433" s="81"/>
      <c r="K433" s="81"/>
      <c r="L433" s="81"/>
      <c r="M433" s="81"/>
      <c r="N433" s="81"/>
      <c r="O433" s="81"/>
      <c r="P433" s="81"/>
      <c r="Q433" s="81"/>
      <c r="R433" s="81"/>
      <c r="S433" s="81"/>
      <c r="T433" s="81"/>
      <c r="U433" s="83"/>
      <c r="V433" s="83"/>
      <c r="W433" s="81"/>
      <c r="X433" s="81"/>
      <c r="Y433" s="83"/>
      <c r="Z433" s="81"/>
      <c r="AA433" s="81"/>
      <c r="AB433" s="81"/>
      <c r="AC433" s="81"/>
      <c r="AD433" s="81"/>
      <c r="AE433" s="83"/>
      <c r="AF433" s="81"/>
      <c r="AG433" s="81"/>
      <c r="AH433" s="81"/>
      <c r="AI433" s="81"/>
      <c r="AJ433" s="83"/>
      <c r="AK433" s="81"/>
      <c r="AL433" s="81"/>
      <c r="AM433" s="83"/>
      <c r="AN433" s="80"/>
      <c r="AO433" s="82" t="n">
        <f aca="false">IF(E433="","",(AA433&lt;&gt;"")+(AG433&lt;&gt;"")+(AL433&lt;&gt;""))</f>
        <v>0</v>
      </c>
      <c r="AP433" s="82" t="str">
        <f aca="false">IF(AL433&lt;&gt;"",AL433,IF(AG433&lt;&gt;"",AG433,IF(AA433&lt;&gt;"",AA433,"")))</f>
        <v/>
      </c>
      <c r="AQ433" s="84" t="str">
        <f aca="false">IF(E433="","",IF(U433="","À SOUDER",IF(X433="","VT EN ATTENTE",IF(X433="R","VT REJETÉ – À REPRENDRE",IF(AP433="","À RADIOGRAPHIER",IF(AP433="A","ACCEPTÉ",IF(AP433="NX","NX – RT À REFAIRE",IF(IF(AO433=1,AD433,IF(AO433=2,AI433,""))="A","RÉPARÉ – À RADIOGRAPHIER",IF(IF(AO433=1,AD433,IF(AO433=2,AI433,""))="R","VT REJETÉ – À REPRENDRE",IF(OR(AP433="CO",AP433="NT"),"COUPE – À RESOUDER","À RÉPARER"))))))))))</f>
        <v>À SOUDER</v>
      </c>
      <c r="AR433" s="82" t="str">
        <f aca="false">IF(AND(ISNUMBER(U433),OR(AQ433="À RADIOGRAPHIER",AQ433="RÉPARÉ – À RADIOGRAPHIER",AQ433="NX – RT À REFAIRE",AQ433="À RÉPARER",AQ433="COUPE – À RESOUDER",AQ433="VT REJETÉ – À REPRENDRE")),MAX(0,'PROGRAMME RT'!$C$4-U433),"")</f>
        <v/>
      </c>
      <c r="AS433" s="82" t="n">
        <f aca="false">IF(AND(OR(AQ433="À RADIOGRAPHIER",AQ433="RÉPARÉ – À RADIOGRAPHIER",AQ433="NX – RT À REFAIRE"),OR('PROGRAMME RT'!$D$5="TOUTES",B433='PROGRAMME RT'!$D$5)),1,0)</f>
        <v>0</v>
      </c>
      <c r="AT433" s="82" t="str">
        <f aca="false">IF(AS433=1,SUM(AS$7:AS433),"")</f>
        <v/>
      </c>
      <c r="AU433" s="82" t="n">
        <f aca="false">IF(AND(OR(AA433="R",AA433="NX",AA433="NT",AA433="CO"),OR('JOINTS DE RÉPARATION'!$D$5="TOUTES",B433='JOINTS DE RÉPARATION'!$D$5),OR('JOINTS DE RÉPARATION'!$L$4="TOUS",AQ433&lt;&gt;"ACCEPTÉ")),1,0)</f>
        <v>0</v>
      </c>
      <c r="AV433" s="82" t="str">
        <f aca="false">IF(AU433=1,SUM(AU$7:AU433),"")</f>
        <v/>
      </c>
      <c r="AW433" s="82" t="str">
        <f aca="false">IF(E433="","",B433&amp;"|"&amp;E433)</f>
        <v>MFD-ISW → MFD-CPF|JN°427</v>
      </c>
    </row>
    <row r="434" customFormat="false" ht="74.6" hidden="false" customHeight="false" outlineLevel="0" collapsed="false">
      <c r="A434" s="79" t="n">
        <f aca="false">IF(E434="","",ROW()-6)</f>
        <v>428</v>
      </c>
      <c r="B434" s="80" t="s">
        <v>110</v>
      </c>
      <c r="C434" s="81"/>
      <c r="D434" s="81"/>
      <c r="E434" s="81" t="s">
        <v>538</v>
      </c>
      <c r="F434" s="82" t="str">
        <f aca="false">IF(E434="","",IF(LEFT(E434,2)="DJ","DJ","JN"))</f>
        <v>JN</v>
      </c>
      <c r="G434" s="81"/>
      <c r="H434" s="81"/>
      <c r="I434" s="81"/>
      <c r="J434" s="81"/>
      <c r="K434" s="81"/>
      <c r="L434" s="81"/>
      <c r="M434" s="81"/>
      <c r="N434" s="81"/>
      <c r="O434" s="81"/>
      <c r="P434" s="81"/>
      <c r="Q434" s="81"/>
      <c r="R434" s="81"/>
      <c r="S434" s="81"/>
      <c r="T434" s="81"/>
      <c r="U434" s="83"/>
      <c r="V434" s="83"/>
      <c r="W434" s="81"/>
      <c r="X434" s="81"/>
      <c r="Y434" s="83"/>
      <c r="Z434" s="81"/>
      <c r="AA434" s="81"/>
      <c r="AB434" s="81"/>
      <c r="AC434" s="81"/>
      <c r="AD434" s="81"/>
      <c r="AE434" s="83"/>
      <c r="AF434" s="81"/>
      <c r="AG434" s="81"/>
      <c r="AH434" s="81"/>
      <c r="AI434" s="81"/>
      <c r="AJ434" s="83"/>
      <c r="AK434" s="81"/>
      <c r="AL434" s="81"/>
      <c r="AM434" s="83"/>
      <c r="AN434" s="80"/>
      <c r="AO434" s="82" t="n">
        <f aca="false">IF(E434="","",(AA434&lt;&gt;"")+(AG434&lt;&gt;"")+(AL434&lt;&gt;""))</f>
        <v>0</v>
      </c>
      <c r="AP434" s="82" t="str">
        <f aca="false">IF(AL434&lt;&gt;"",AL434,IF(AG434&lt;&gt;"",AG434,IF(AA434&lt;&gt;"",AA434,"")))</f>
        <v/>
      </c>
      <c r="AQ434" s="84" t="str">
        <f aca="false">IF(E434="","",IF(U434="","À SOUDER",IF(X434="","VT EN ATTENTE",IF(X434="R","VT REJETÉ – À REPRENDRE",IF(AP434="","À RADIOGRAPHIER",IF(AP434="A","ACCEPTÉ",IF(AP434="NX","NX – RT À REFAIRE",IF(IF(AO434=1,AD434,IF(AO434=2,AI434,""))="A","RÉPARÉ – À RADIOGRAPHIER",IF(IF(AO434=1,AD434,IF(AO434=2,AI434,""))="R","VT REJETÉ – À REPRENDRE",IF(OR(AP434="CO",AP434="NT"),"COUPE – À RESOUDER","À RÉPARER"))))))))))</f>
        <v>À SOUDER</v>
      </c>
      <c r="AR434" s="82" t="str">
        <f aca="false">IF(AND(ISNUMBER(U434),OR(AQ434="À RADIOGRAPHIER",AQ434="RÉPARÉ – À RADIOGRAPHIER",AQ434="NX – RT À REFAIRE",AQ434="À RÉPARER",AQ434="COUPE – À RESOUDER",AQ434="VT REJETÉ – À REPRENDRE")),MAX(0,'PROGRAMME RT'!$C$4-U434),"")</f>
        <v/>
      </c>
      <c r="AS434" s="82" t="n">
        <f aca="false">IF(AND(OR(AQ434="À RADIOGRAPHIER",AQ434="RÉPARÉ – À RADIOGRAPHIER",AQ434="NX – RT À REFAIRE"),OR('PROGRAMME RT'!$D$5="TOUTES",B434='PROGRAMME RT'!$D$5)),1,0)</f>
        <v>0</v>
      </c>
      <c r="AT434" s="82" t="str">
        <f aca="false">IF(AS434=1,SUM(AS$7:AS434),"")</f>
        <v/>
      </c>
      <c r="AU434" s="82" t="n">
        <f aca="false">IF(AND(OR(AA434="R",AA434="NX",AA434="NT",AA434="CO"),OR('JOINTS DE RÉPARATION'!$D$5="TOUTES",B434='JOINTS DE RÉPARATION'!$D$5),OR('JOINTS DE RÉPARATION'!$L$4="TOUS",AQ434&lt;&gt;"ACCEPTÉ")),1,0)</f>
        <v>0</v>
      </c>
      <c r="AV434" s="82" t="str">
        <f aca="false">IF(AU434=1,SUM(AU$7:AU434),"")</f>
        <v/>
      </c>
      <c r="AW434" s="82" t="str">
        <f aca="false">IF(E434="","",B434&amp;"|"&amp;E434)</f>
        <v>MFD-ISW → MFD-CPF|JN°428</v>
      </c>
    </row>
    <row r="435" customFormat="false" ht="74.6" hidden="false" customHeight="false" outlineLevel="0" collapsed="false">
      <c r="A435" s="79" t="n">
        <f aca="false">IF(E435="","",ROW()-6)</f>
        <v>429</v>
      </c>
      <c r="B435" s="80" t="s">
        <v>110</v>
      </c>
      <c r="C435" s="81"/>
      <c r="D435" s="81"/>
      <c r="E435" s="81" t="s">
        <v>539</v>
      </c>
      <c r="F435" s="82" t="str">
        <f aca="false">IF(E435="","",IF(LEFT(E435,2)="DJ","DJ","JN"))</f>
        <v>JN</v>
      </c>
      <c r="G435" s="81"/>
      <c r="H435" s="81"/>
      <c r="I435" s="81"/>
      <c r="J435" s="81"/>
      <c r="K435" s="81"/>
      <c r="L435" s="81"/>
      <c r="M435" s="81"/>
      <c r="N435" s="81"/>
      <c r="O435" s="81"/>
      <c r="P435" s="81"/>
      <c r="Q435" s="81"/>
      <c r="R435" s="81"/>
      <c r="S435" s="81"/>
      <c r="T435" s="81"/>
      <c r="U435" s="83"/>
      <c r="V435" s="83"/>
      <c r="W435" s="81"/>
      <c r="X435" s="81"/>
      <c r="Y435" s="83"/>
      <c r="Z435" s="81"/>
      <c r="AA435" s="81"/>
      <c r="AB435" s="81"/>
      <c r="AC435" s="81"/>
      <c r="AD435" s="81"/>
      <c r="AE435" s="83"/>
      <c r="AF435" s="81"/>
      <c r="AG435" s="81"/>
      <c r="AH435" s="81"/>
      <c r="AI435" s="81"/>
      <c r="AJ435" s="83"/>
      <c r="AK435" s="81"/>
      <c r="AL435" s="81"/>
      <c r="AM435" s="83"/>
      <c r="AN435" s="80"/>
      <c r="AO435" s="82" t="n">
        <f aca="false">IF(E435="","",(AA435&lt;&gt;"")+(AG435&lt;&gt;"")+(AL435&lt;&gt;""))</f>
        <v>0</v>
      </c>
      <c r="AP435" s="82" t="str">
        <f aca="false">IF(AL435&lt;&gt;"",AL435,IF(AG435&lt;&gt;"",AG435,IF(AA435&lt;&gt;"",AA435,"")))</f>
        <v/>
      </c>
      <c r="AQ435" s="84" t="str">
        <f aca="false">IF(E435="","",IF(U435="","À SOUDER",IF(X435="","VT EN ATTENTE",IF(X435="R","VT REJETÉ – À REPRENDRE",IF(AP435="","À RADIOGRAPHIER",IF(AP435="A","ACCEPTÉ",IF(AP435="NX","NX – RT À REFAIRE",IF(IF(AO435=1,AD435,IF(AO435=2,AI435,""))="A","RÉPARÉ – À RADIOGRAPHIER",IF(IF(AO435=1,AD435,IF(AO435=2,AI435,""))="R","VT REJETÉ – À REPRENDRE",IF(OR(AP435="CO",AP435="NT"),"COUPE – À RESOUDER","À RÉPARER"))))))))))</f>
        <v>À SOUDER</v>
      </c>
      <c r="AR435" s="82" t="str">
        <f aca="false">IF(AND(ISNUMBER(U435),OR(AQ435="À RADIOGRAPHIER",AQ435="RÉPARÉ – À RADIOGRAPHIER",AQ435="NX – RT À REFAIRE",AQ435="À RÉPARER",AQ435="COUPE – À RESOUDER",AQ435="VT REJETÉ – À REPRENDRE")),MAX(0,'PROGRAMME RT'!$C$4-U435),"")</f>
        <v/>
      </c>
      <c r="AS435" s="82" t="n">
        <f aca="false">IF(AND(OR(AQ435="À RADIOGRAPHIER",AQ435="RÉPARÉ – À RADIOGRAPHIER",AQ435="NX – RT À REFAIRE"),OR('PROGRAMME RT'!$D$5="TOUTES",B435='PROGRAMME RT'!$D$5)),1,0)</f>
        <v>0</v>
      </c>
      <c r="AT435" s="82" t="str">
        <f aca="false">IF(AS435=1,SUM(AS$7:AS435),"")</f>
        <v/>
      </c>
      <c r="AU435" s="82" t="n">
        <f aca="false">IF(AND(OR(AA435="R",AA435="NX",AA435="NT",AA435="CO"),OR('JOINTS DE RÉPARATION'!$D$5="TOUTES",B435='JOINTS DE RÉPARATION'!$D$5),OR('JOINTS DE RÉPARATION'!$L$4="TOUS",AQ435&lt;&gt;"ACCEPTÉ")),1,0)</f>
        <v>0</v>
      </c>
      <c r="AV435" s="82" t="str">
        <f aca="false">IF(AU435=1,SUM(AU$7:AU435),"")</f>
        <v/>
      </c>
      <c r="AW435" s="82" t="str">
        <f aca="false">IF(E435="","",B435&amp;"|"&amp;E435)</f>
        <v>MFD-ISW → MFD-CPF|JN°429</v>
      </c>
    </row>
    <row r="436" customFormat="false" ht="74.6" hidden="false" customHeight="false" outlineLevel="0" collapsed="false">
      <c r="A436" s="79" t="n">
        <f aca="false">IF(E436="","",ROW()-6)</f>
        <v>430</v>
      </c>
      <c r="B436" s="80" t="s">
        <v>110</v>
      </c>
      <c r="C436" s="81"/>
      <c r="D436" s="81"/>
      <c r="E436" s="81" t="s">
        <v>540</v>
      </c>
      <c r="F436" s="82" t="str">
        <f aca="false">IF(E436="","",IF(LEFT(E436,2)="DJ","DJ","JN"))</f>
        <v>JN</v>
      </c>
      <c r="G436" s="81"/>
      <c r="H436" s="81"/>
      <c r="I436" s="81"/>
      <c r="J436" s="81"/>
      <c r="K436" s="81"/>
      <c r="L436" s="81"/>
      <c r="M436" s="81"/>
      <c r="N436" s="81"/>
      <c r="O436" s="81"/>
      <c r="P436" s="81"/>
      <c r="Q436" s="81"/>
      <c r="R436" s="81"/>
      <c r="S436" s="81"/>
      <c r="T436" s="81"/>
      <c r="U436" s="83"/>
      <c r="V436" s="83"/>
      <c r="W436" s="81"/>
      <c r="X436" s="81"/>
      <c r="Y436" s="83"/>
      <c r="Z436" s="81"/>
      <c r="AA436" s="81"/>
      <c r="AB436" s="81"/>
      <c r="AC436" s="81"/>
      <c r="AD436" s="81"/>
      <c r="AE436" s="83"/>
      <c r="AF436" s="81"/>
      <c r="AG436" s="81"/>
      <c r="AH436" s="81"/>
      <c r="AI436" s="81"/>
      <c r="AJ436" s="83"/>
      <c r="AK436" s="81"/>
      <c r="AL436" s="81"/>
      <c r="AM436" s="83"/>
      <c r="AN436" s="80"/>
      <c r="AO436" s="82" t="n">
        <f aca="false">IF(E436="","",(AA436&lt;&gt;"")+(AG436&lt;&gt;"")+(AL436&lt;&gt;""))</f>
        <v>0</v>
      </c>
      <c r="AP436" s="82" t="str">
        <f aca="false">IF(AL436&lt;&gt;"",AL436,IF(AG436&lt;&gt;"",AG436,IF(AA436&lt;&gt;"",AA436,"")))</f>
        <v/>
      </c>
      <c r="AQ436" s="84" t="str">
        <f aca="false">IF(E436="","",IF(U436="","À SOUDER",IF(X436="","VT EN ATTENTE",IF(X436="R","VT REJETÉ – À REPRENDRE",IF(AP436="","À RADIOGRAPHIER",IF(AP436="A","ACCEPTÉ",IF(AP436="NX","NX – RT À REFAIRE",IF(IF(AO436=1,AD436,IF(AO436=2,AI436,""))="A","RÉPARÉ – À RADIOGRAPHIER",IF(IF(AO436=1,AD436,IF(AO436=2,AI436,""))="R","VT REJETÉ – À REPRENDRE",IF(OR(AP436="CO",AP436="NT"),"COUPE – À RESOUDER","À RÉPARER"))))))))))</f>
        <v>À SOUDER</v>
      </c>
      <c r="AR436" s="82" t="str">
        <f aca="false">IF(AND(ISNUMBER(U436),OR(AQ436="À RADIOGRAPHIER",AQ436="RÉPARÉ – À RADIOGRAPHIER",AQ436="NX – RT À REFAIRE",AQ436="À RÉPARER",AQ436="COUPE – À RESOUDER",AQ436="VT REJETÉ – À REPRENDRE")),MAX(0,'PROGRAMME RT'!$C$4-U436),"")</f>
        <v/>
      </c>
      <c r="AS436" s="82" t="n">
        <f aca="false">IF(AND(OR(AQ436="À RADIOGRAPHIER",AQ436="RÉPARÉ – À RADIOGRAPHIER",AQ436="NX – RT À REFAIRE"),OR('PROGRAMME RT'!$D$5="TOUTES",B436='PROGRAMME RT'!$D$5)),1,0)</f>
        <v>0</v>
      </c>
      <c r="AT436" s="82" t="str">
        <f aca="false">IF(AS436=1,SUM(AS$7:AS436),"")</f>
        <v/>
      </c>
      <c r="AU436" s="82" t="n">
        <f aca="false">IF(AND(OR(AA436="R",AA436="NX",AA436="NT",AA436="CO"),OR('JOINTS DE RÉPARATION'!$D$5="TOUTES",B436='JOINTS DE RÉPARATION'!$D$5),OR('JOINTS DE RÉPARATION'!$L$4="TOUS",AQ436&lt;&gt;"ACCEPTÉ")),1,0)</f>
        <v>0</v>
      </c>
      <c r="AV436" s="82" t="str">
        <f aca="false">IF(AU436=1,SUM(AU$7:AU436),"")</f>
        <v/>
      </c>
      <c r="AW436" s="82" t="str">
        <f aca="false">IF(E436="","",B436&amp;"|"&amp;E436)</f>
        <v>MFD-ISW → MFD-CPF|JN°430</v>
      </c>
    </row>
    <row r="437" customFormat="false" ht="74.6" hidden="false" customHeight="false" outlineLevel="0" collapsed="false">
      <c r="A437" s="79" t="n">
        <f aca="false">IF(E437="","",ROW()-6)</f>
        <v>431</v>
      </c>
      <c r="B437" s="80" t="s">
        <v>110</v>
      </c>
      <c r="C437" s="81"/>
      <c r="D437" s="81"/>
      <c r="E437" s="81" t="s">
        <v>541</v>
      </c>
      <c r="F437" s="82" t="str">
        <f aca="false">IF(E437="","",IF(LEFT(E437,2)="DJ","DJ","JN"))</f>
        <v>JN</v>
      </c>
      <c r="G437" s="81"/>
      <c r="H437" s="81"/>
      <c r="I437" s="81"/>
      <c r="J437" s="81"/>
      <c r="K437" s="81"/>
      <c r="L437" s="81"/>
      <c r="M437" s="81"/>
      <c r="N437" s="81"/>
      <c r="O437" s="81"/>
      <c r="P437" s="81"/>
      <c r="Q437" s="81"/>
      <c r="R437" s="81"/>
      <c r="S437" s="81"/>
      <c r="T437" s="81"/>
      <c r="U437" s="83"/>
      <c r="V437" s="83"/>
      <c r="W437" s="81"/>
      <c r="X437" s="81"/>
      <c r="Y437" s="83"/>
      <c r="Z437" s="81"/>
      <c r="AA437" s="81"/>
      <c r="AB437" s="81"/>
      <c r="AC437" s="81"/>
      <c r="AD437" s="81"/>
      <c r="AE437" s="83"/>
      <c r="AF437" s="81"/>
      <c r="AG437" s="81"/>
      <c r="AH437" s="81"/>
      <c r="AI437" s="81"/>
      <c r="AJ437" s="83"/>
      <c r="AK437" s="81"/>
      <c r="AL437" s="81"/>
      <c r="AM437" s="83"/>
      <c r="AN437" s="80"/>
      <c r="AO437" s="82" t="n">
        <f aca="false">IF(E437="","",(AA437&lt;&gt;"")+(AG437&lt;&gt;"")+(AL437&lt;&gt;""))</f>
        <v>0</v>
      </c>
      <c r="AP437" s="82" t="str">
        <f aca="false">IF(AL437&lt;&gt;"",AL437,IF(AG437&lt;&gt;"",AG437,IF(AA437&lt;&gt;"",AA437,"")))</f>
        <v/>
      </c>
      <c r="AQ437" s="84" t="str">
        <f aca="false">IF(E437="","",IF(U437="","À SOUDER",IF(X437="","VT EN ATTENTE",IF(X437="R","VT REJETÉ – À REPRENDRE",IF(AP437="","À RADIOGRAPHIER",IF(AP437="A","ACCEPTÉ",IF(AP437="NX","NX – RT À REFAIRE",IF(IF(AO437=1,AD437,IF(AO437=2,AI437,""))="A","RÉPARÉ – À RADIOGRAPHIER",IF(IF(AO437=1,AD437,IF(AO437=2,AI437,""))="R","VT REJETÉ – À REPRENDRE",IF(OR(AP437="CO",AP437="NT"),"COUPE – À RESOUDER","À RÉPARER"))))))))))</f>
        <v>À SOUDER</v>
      </c>
      <c r="AR437" s="82" t="str">
        <f aca="false">IF(AND(ISNUMBER(U437),OR(AQ437="À RADIOGRAPHIER",AQ437="RÉPARÉ – À RADIOGRAPHIER",AQ437="NX – RT À REFAIRE",AQ437="À RÉPARER",AQ437="COUPE – À RESOUDER",AQ437="VT REJETÉ – À REPRENDRE")),MAX(0,'PROGRAMME RT'!$C$4-U437),"")</f>
        <v/>
      </c>
      <c r="AS437" s="82" t="n">
        <f aca="false">IF(AND(OR(AQ437="À RADIOGRAPHIER",AQ437="RÉPARÉ – À RADIOGRAPHIER",AQ437="NX – RT À REFAIRE"),OR('PROGRAMME RT'!$D$5="TOUTES",B437='PROGRAMME RT'!$D$5)),1,0)</f>
        <v>0</v>
      </c>
      <c r="AT437" s="82" t="str">
        <f aca="false">IF(AS437=1,SUM(AS$7:AS437),"")</f>
        <v/>
      </c>
      <c r="AU437" s="82" t="n">
        <f aca="false">IF(AND(OR(AA437="R",AA437="NX",AA437="NT",AA437="CO"),OR('JOINTS DE RÉPARATION'!$D$5="TOUTES",B437='JOINTS DE RÉPARATION'!$D$5),OR('JOINTS DE RÉPARATION'!$L$4="TOUS",AQ437&lt;&gt;"ACCEPTÉ")),1,0)</f>
        <v>0</v>
      </c>
      <c r="AV437" s="82" t="str">
        <f aca="false">IF(AU437=1,SUM(AU$7:AU437),"")</f>
        <v/>
      </c>
      <c r="AW437" s="82" t="str">
        <f aca="false">IF(E437="","",B437&amp;"|"&amp;E437)</f>
        <v>MFD-ISW → MFD-CPF|JN°431</v>
      </c>
    </row>
    <row r="438" customFormat="false" ht="74.6" hidden="false" customHeight="false" outlineLevel="0" collapsed="false">
      <c r="A438" s="79" t="n">
        <f aca="false">IF(E438="","",ROW()-6)</f>
        <v>432</v>
      </c>
      <c r="B438" s="80" t="s">
        <v>110</v>
      </c>
      <c r="C438" s="81"/>
      <c r="D438" s="81"/>
      <c r="E438" s="81" t="s">
        <v>542</v>
      </c>
      <c r="F438" s="82" t="str">
        <f aca="false">IF(E438="","",IF(LEFT(E438,2)="DJ","DJ","JN"))</f>
        <v>JN</v>
      </c>
      <c r="G438" s="81"/>
      <c r="H438" s="81"/>
      <c r="I438" s="81"/>
      <c r="J438" s="81"/>
      <c r="K438" s="81"/>
      <c r="L438" s="81"/>
      <c r="M438" s="81"/>
      <c r="N438" s="81"/>
      <c r="O438" s="81"/>
      <c r="P438" s="81"/>
      <c r="Q438" s="81"/>
      <c r="R438" s="81"/>
      <c r="S438" s="81"/>
      <c r="T438" s="81"/>
      <c r="U438" s="83"/>
      <c r="V438" s="83"/>
      <c r="W438" s="81"/>
      <c r="X438" s="81"/>
      <c r="Y438" s="83"/>
      <c r="Z438" s="81"/>
      <c r="AA438" s="81"/>
      <c r="AB438" s="81"/>
      <c r="AC438" s="81"/>
      <c r="AD438" s="81"/>
      <c r="AE438" s="83"/>
      <c r="AF438" s="81"/>
      <c r="AG438" s="81"/>
      <c r="AH438" s="81"/>
      <c r="AI438" s="81"/>
      <c r="AJ438" s="83"/>
      <c r="AK438" s="81"/>
      <c r="AL438" s="81"/>
      <c r="AM438" s="83"/>
      <c r="AN438" s="80"/>
      <c r="AO438" s="82" t="n">
        <f aca="false">IF(E438="","",(AA438&lt;&gt;"")+(AG438&lt;&gt;"")+(AL438&lt;&gt;""))</f>
        <v>0</v>
      </c>
      <c r="AP438" s="82" t="str">
        <f aca="false">IF(AL438&lt;&gt;"",AL438,IF(AG438&lt;&gt;"",AG438,IF(AA438&lt;&gt;"",AA438,"")))</f>
        <v/>
      </c>
      <c r="AQ438" s="84" t="str">
        <f aca="false">IF(E438="","",IF(U438="","À SOUDER",IF(X438="","VT EN ATTENTE",IF(X438="R","VT REJETÉ – À REPRENDRE",IF(AP438="","À RADIOGRAPHIER",IF(AP438="A","ACCEPTÉ",IF(AP438="NX","NX – RT À REFAIRE",IF(IF(AO438=1,AD438,IF(AO438=2,AI438,""))="A","RÉPARÉ – À RADIOGRAPHIER",IF(IF(AO438=1,AD438,IF(AO438=2,AI438,""))="R","VT REJETÉ – À REPRENDRE",IF(OR(AP438="CO",AP438="NT"),"COUPE – À RESOUDER","À RÉPARER"))))))))))</f>
        <v>À SOUDER</v>
      </c>
      <c r="AR438" s="82" t="str">
        <f aca="false">IF(AND(ISNUMBER(U438),OR(AQ438="À RADIOGRAPHIER",AQ438="RÉPARÉ – À RADIOGRAPHIER",AQ438="NX – RT À REFAIRE",AQ438="À RÉPARER",AQ438="COUPE – À RESOUDER",AQ438="VT REJETÉ – À REPRENDRE")),MAX(0,'PROGRAMME RT'!$C$4-U438),"")</f>
        <v/>
      </c>
      <c r="AS438" s="82" t="n">
        <f aca="false">IF(AND(OR(AQ438="À RADIOGRAPHIER",AQ438="RÉPARÉ – À RADIOGRAPHIER",AQ438="NX – RT À REFAIRE"),OR('PROGRAMME RT'!$D$5="TOUTES",B438='PROGRAMME RT'!$D$5)),1,0)</f>
        <v>0</v>
      </c>
      <c r="AT438" s="82" t="str">
        <f aca="false">IF(AS438=1,SUM(AS$7:AS438),"")</f>
        <v/>
      </c>
      <c r="AU438" s="82" t="n">
        <f aca="false">IF(AND(OR(AA438="R",AA438="NX",AA438="NT",AA438="CO"),OR('JOINTS DE RÉPARATION'!$D$5="TOUTES",B438='JOINTS DE RÉPARATION'!$D$5),OR('JOINTS DE RÉPARATION'!$L$4="TOUS",AQ438&lt;&gt;"ACCEPTÉ")),1,0)</f>
        <v>0</v>
      </c>
      <c r="AV438" s="82" t="str">
        <f aca="false">IF(AU438=1,SUM(AU$7:AU438),"")</f>
        <v/>
      </c>
      <c r="AW438" s="82" t="str">
        <f aca="false">IF(E438="","",B438&amp;"|"&amp;E438)</f>
        <v>MFD-ISW → MFD-CPF|JN°432</v>
      </c>
    </row>
    <row r="439" customFormat="false" ht="74.6" hidden="false" customHeight="false" outlineLevel="0" collapsed="false">
      <c r="A439" s="79" t="n">
        <f aca="false">IF(E439="","",ROW()-6)</f>
        <v>433</v>
      </c>
      <c r="B439" s="80" t="s">
        <v>110</v>
      </c>
      <c r="C439" s="81"/>
      <c r="D439" s="81"/>
      <c r="E439" s="81" t="s">
        <v>543</v>
      </c>
      <c r="F439" s="82" t="str">
        <f aca="false">IF(E439="","",IF(LEFT(E439,2)="DJ","DJ","JN"))</f>
        <v>JN</v>
      </c>
      <c r="G439" s="81"/>
      <c r="H439" s="81"/>
      <c r="I439" s="81"/>
      <c r="J439" s="81"/>
      <c r="K439" s="81"/>
      <c r="L439" s="81"/>
      <c r="M439" s="81"/>
      <c r="N439" s="81"/>
      <c r="O439" s="81"/>
      <c r="P439" s="81"/>
      <c r="Q439" s="81"/>
      <c r="R439" s="81"/>
      <c r="S439" s="81"/>
      <c r="T439" s="81"/>
      <c r="U439" s="83"/>
      <c r="V439" s="83"/>
      <c r="W439" s="81"/>
      <c r="X439" s="81"/>
      <c r="Y439" s="83"/>
      <c r="Z439" s="81"/>
      <c r="AA439" s="81"/>
      <c r="AB439" s="81"/>
      <c r="AC439" s="81"/>
      <c r="AD439" s="81"/>
      <c r="AE439" s="83"/>
      <c r="AF439" s="81"/>
      <c r="AG439" s="81"/>
      <c r="AH439" s="81"/>
      <c r="AI439" s="81"/>
      <c r="AJ439" s="83"/>
      <c r="AK439" s="81"/>
      <c r="AL439" s="81"/>
      <c r="AM439" s="83"/>
      <c r="AN439" s="80"/>
      <c r="AO439" s="82" t="n">
        <f aca="false">IF(E439="","",(AA439&lt;&gt;"")+(AG439&lt;&gt;"")+(AL439&lt;&gt;""))</f>
        <v>0</v>
      </c>
      <c r="AP439" s="82" t="str">
        <f aca="false">IF(AL439&lt;&gt;"",AL439,IF(AG439&lt;&gt;"",AG439,IF(AA439&lt;&gt;"",AA439,"")))</f>
        <v/>
      </c>
      <c r="AQ439" s="84" t="str">
        <f aca="false">IF(E439="","",IF(U439="","À SOUDER",IF(X439="","VT EN ATTENTE",IF(X439="R","VT REJETÉ – À REPRENDRE",IF(AP439="","À RADIOGRAPHIER",IF(AP439="A","ACCEPTÉ",IF(AP439="NX","NX – RT À REFAIRE",IF(IF(AO439=1,AD439,IF(AO439=2,AI439,""))="A","RÉPARÉ – À RADIOGRAPHIER",IF(IF(AO439=1,AD439,IF(AO439=2,AI439,""))="R","VT REJETÉ – À REPRENDRE",IF(OR(AP439="CO",AP439="NT"),"COUPE – À RESOUDER","À RÉPARER"))))))))))</f>
        <v>À SOUDER</v>
      </c>
      <c r="AR439" s="82" t="str">
        <f aca="false">IF(AND(ISNUMBER(U439),OR(AQ439="À RADIOGRAPHIER",AQ439="RÉPARÉ – À RADIOGRAPHIER",AQ439="NX – RT À REFAIRE",AQ439="À RÉPARER",AQ439="COUPE – À RESOUDER",AQ439="VT REJETÉ – À REPRENDRE")),MAX(0,'PROGRAMME RT'!$C$4-U439),"")</f>
        <v/>
      </c>
      <c r="AS439" s="82" t="n">
        <f aca="false">IF(AND(OR(AQ439="À RADIOGRAPHIER",AQ439="RÉPARÉ – À RADIOGRAPHIER",AQ439="NX – RT À REFAIRE"),OR('PROGRAMME RT'!$D$5="TOUTES",B439='PROGRAMME RT'!$D$5)),1,0)</f>
        <v>0</v>
      </c>
      <c r="AT439" s="82" t="str">
        <f aca="false">IF(AS439=1,SUM(AS$7:AS439),"")</f>
        <v/>
      </c>
      <c r="AU439" s="82" t="n">
        <f aca="false">IF(AND(OR(AA439="R",AA439="NX",AA439="NT",AA439="CO"),OR('JOINTS DE RÉPARATION'!$D$5="TOUTES",B439='JOINTS DE RÉPARATION'!$D$5),OR('JOINTS DE RÉPARATION'!$L$4="TOUS",AQ439&lt;&gt;"ACCEPTÉ")),1,0)</f>
        <v>0</v>
      </c>
      <c r="AV439" s="82" t="str">
        <f aca="false">IF(AU439=1,SUM(AU$7:AU439),"")</f>
        <v/>
      </c>
      <c r="AW439" s="82" t="str">
        <f aca="false">IF(E439="","",B439&amp;"|"&amp;E439)</f>
        <v>MFD-ISW → MFD-CPF|JN°433</v>
      </c>
    </row>
    <row r="440" customFormat="false" ht="74.6" hidden="false" customHeight="false" outlineLevel="0" collapsed="false">
      <c r="A440" s="79" t="n">
        <f aca="false">IF(E440="","",ROW()-6)</f>
        <v>434</v>
      </c>
      <c r="B440" s="80" t="s">
        <v>110</v>
      </c>
      <c r="C440" s="81"/>
      <c r="D440" s="81"/>
      <c r="E440" s="81" t="s">
        <v>544</v>
      </c>
      <c r="F440" s="82" t="str">
        <f aca="false">IF(E440="","",IF(LEFT(E440,2)="DJ","DJ","JN"))</f>
        <v>JN</v>
      </c>
      <c r="G440" s="81"/>
      <c r="H440" s="81"/>
      <c r="I440" s="81"/>
      <c r="J440" s="81"/>
      <c r="K440" s="81"/>
      <c r="L440" s="81"/>
      <c r="M440" s="81"/>
      <c r="N440" s="81"/>
      <c r="O440" s="81"/>
      <c r="P440" s="81"/>
      <c r="Q440" s="81"/>
      <c r="R440" s="81"/>
      <c r="S440" s="81"/>
      <c r="T440" s="81"/>
      <c r="U440" s="83"/>
      <c r="V440" s="83"/>
      <c r="W440" s="81"/>
      <c r="X440" s="81"/>
      <c r="Y440" s="83"/>
      <c r="Z440" s="81"/>
      <c r="AA440" s="81"/>
      <c r="AB440" s="81"/>
      <c r="AC440" s="81"/>
      <c r="AD440" s="81"/>
      <c r="AE440" s="83"/>
      <c r="AF440" s="81"/>
      <c r="AG440" s="81"/>
      <c r="AH440" s="81"/>
      <c r="AI440" s="81"/>
      <c r="AJ440" s="83"/>
      <c r="AK440" s="81"/>
      <c r="AL440" s="81"/>
      <c r="AM440" s="83"/>
      <c r="AN440" s="80"/>
      <c r="AO440" s="82" t="n">
        <f aca="false">IF(E440="","",(AA440&lt;&gt;"")+(AG440&lt;&gt;"")+(AL440&lt;&gt;""))</f>
        <v>0</v>
      </c>
      <c r="AP440" s="82" t="str">
        <f aca="false">IF(AL440&lt;&gt;"",AL440,IF(AG440&lt;&gt;"",AG440,IF(AA440&lt;&gt;"",AA440,"")))</f>
        <v/>
      </c>
      <c r="AQ440" s="84" t="str">
        <f aca="false">IF(E440="","",IF(U440="","À SOUDER",IF(X440="","VT EN ATTENTE",IF(X440="R","VT REJETÉ – À REPRENDRE",IF(AP440="","À RADIOGRAPHIER",IF(AP440="A","ACCEPTÉ",IF(AP440="NX","NX – RT À REFAIRE",IF(IF(AO440=1,AD440,IF(AO440=2,AI440,""))="A","RÉPARÉ – À RADIOGRAPHIER",IF(IF(AO440=1,AD440,IF(AO440=2,AI440,""))="R","VT REJETÉ – À REPRENDRE",IF(OR(AP440="CO",AP440="NT"),"COUPE – À RESOUDER","À RÉPARER"))))))))))</f>
        <v>À SOUDER</v>
      </c>
      <c r="AR440" s="82" t="str">
        <f aca="false">IF(AND(ISNUMBER(U440),OR(AQ440="À RADIOGRAPHIER",AQ440="RÉPARÉ – À RADIOGRAPHIER",AQ440="NX – RT À REFAIRE",AQ440="À RÉPARER",AQ440="COUPE – À RESOUDER",AQ440="VT REJETÉ – À REPRENDRE")),MAX(0,'PROGRAMME RT'!$C$4-U440),"")</f>
        <v/>
      </c>
      <c r="AS440" s="82" t="n">
        <f aca="false">IF(AND(OR(AQ440="À RADIOGRAPHIER",AQ440="RÉPARÉ – À RADIOGRAPHIER",AQ440="NX – RT À REFAIRE"),OR('PROGRAMME RT'!$D$5="TOUTES",B440='PROGRAMME RT'!$D$5)),1,0)</f>
        <v>0</v>
      </c>
      <c r="AT440" s="82" t="str">
        <f aca="false">IF(AS440=1,SUM(AS$7:AS440),"")</f>
        <v/>
      </c>
      <c r="AU440" s="82" t="n">
        <f aca="false">IF(AND(OR(AA440="R",AA440="NX",AA440="NT",AA440="CO"),OR('JOINTS DE RÉPARATION'!$D$5="TOUTES",B440='JOINTS DE RÉPARATION'!$D$5),OR('JOINTS DE RÉPARATION'!$L$4="TOUS",AQ440&lt;&gt;"ACCEPTÉ")),1,0)</f>
        <v>0</v>
      </c>
      <c r="AV440" s="82" t="str">
        <f aca="false">IF(AU440=1,SUM(AU$7:AU440),"")</f>
        <v/>
      </c>
      <c r="AW440" s="82" t="str">
        <f aca="false">IF(E440="","",B440&amp;"|"&amp;E440)</f>
        <v>MFD-ISW → MFD-CPF|JN°434</v>
      </c>
    </row>
    <row r="441" customFormat="false" ht="74.6" hidden="false" customHeight="false" outlineLevel="0" collapsed="false">
      <c r="A441" s="79" t="n">
        <f aca="false">IF(E441="","",ROW()-6)</f>
        <v>435</v>
      </c>
      <c r="B441" s="80" t="s">
        <v>110</v>
      </c>
      <c r="C441" s="81"/>
      <c r="D441" s="81"/>
      <c r="E441" s="81" t="s">
        <v>545</v>
      </c>
      <c r="F441" s="82" t="str">
        <f aca="false">IF(E441="","",IF(LEFT(E441,2)="DJ","DJ","JN"))</f>
        <v>JN</v>
      </c>
      <c r="G441" s="81"/>
      <c r="H441" s="81"/>
      <c r="I441" s="81"/>
      <c r="J441" s="81"/>
      <c r="K441" s="81"/>
      <c r="L441" s="81"/>
      <c r="M441" s="81"/>
      <c r="N441" s="81"/>
      <c r="O441" s="81"/>
      <c r="P441" s="81"/>
      <c r="Q441" s="81"/>
      <c r="R441" s="81"/>
      <c r="S441" s="81"/>
      <c r="T441" s="81"/>
      <c r="U441" s="83"/>
      <c r="V441" s="83"/>
      <c r="W441" s="81"/>
      <c r="X441" s="81"/>
      <c r="Y441" s="83"/>
      <c r="Z441" s="81"/>
      <c r="AA441" s="81"/>
      <c r="AB441" s="81"/>
      <c r="AC441" s="81"/>
      <c r="AD441" s="81"/>
      <c r="AE441" s="83"/>
      <c r="AF441" s="81"/>
      <c r="AG441" s="81"/>
      <c r="AH441" s="81"/>
      <c r="AI441" s="81"/>
      <c r="AJ441" s="83"/>
      <c r="AK441" s="81"/>
      <c r="AL441" s="81"/>
      <c r="AM441" s="83"/>
      <c r="AN441" s="80"/>
      <c r="AO441" s="82" t="n">
        <f aca="false">IF(E441="","",(AA441&lt;&gt;"")+(AG441&lt;&gt;"")+(AL441&lt;&gt;""))</f>
        <v>0</v>
      </c>
      <c r="AP441" s="82" t="str">
        <f aca="false">IF(AL441&lt;&gt;"",AL441,IF(AG441&lt;&gt;"",AG441,IF(AA441&lt;&gt;"",AA441,"")))</f>
        <v/>
      </c>
      <c r="AQ441" s="84" t="str">
        <f aca="false">IF(E441="","",IF(U441="","À SOUDER",IF(X441="","VT EN ATTENTE",IF(X441="R","VT REJETÉ – À REPRENDRE",IF(AP441="","À RADIOGRAPHIER",IF(AP441="A","ACCEPTÉ",IF(AP441="NX","NX – RT À REFAIRE",IF(IF(AO441=1,AD441,IF(AO441=2,AI441,""))="A","RÉPARÉ – À RADIOGRAPHIER",IF(IF(AO441=1,AD441,IF(AO441=2,AI441,""))="R","VT REJETÉ – À REPRENDRE",IF(OR(AP441="CO",AP441="NT"),"COUPE – À RESOUDER","À RÉPARER"))))))))))</f>
        <v>À SOUDER</v>
      </c>
      <c r="AR441" s="82" t="str">
        <f aca="false">IF(AND(ISNUMBER(U441),OR(AQ441="À RADIOGRAPHIER",AQ441="RÉPARÉ – À RADIOGRAPHIER",AQ441="NX – RT À REFAIRE",AQ441="À RÉPARER",AQ441="COUPE – À RESOUDER",AQ441="VT REJETÉ – À REPRENDRE")),MAX(0,'PROGRAMME RT'!$C$4-U441),"")</f>
        <v/>
      </c>
      <c r="AS441" s="82" t="n">
        <f aca="false">IF(AND(OR(AQ441="À RADIOGRAPHIER",AQ441="RÉPARÉ – À RADIOGRAPHIER",AQ441="NX – RT À REFAIRE"),OR('PROGRAMME RT'!$D$5="TOUTES",B441='PROGRAMME RT'!$D$5)),1,0)</f>
        <v>0</v>
      </c>
      <c r="AT441" s="82" t="str">
        <f aca="false">IF(AS441=1,SUM(AS$7:AS441),"")</f>
        <v/>
      </c>
      <c r="AU441" s="82" t="n">
        <f aca="false">IF(AND(OR(AA441="R",AA441="NX",AA441="NT",AA441="CO"),OR('JOINTS DE RÉPARATION'!$D$5="TOUTES",B441='JOINTS DE RÉPARATION'!$D$5),OR('JOINTS DE RÉPARATION'!$L$4="TOUS",AQ441&lt;&gt;"ACCEPTÉ")),1,0)</f>
        <v>0</v>
      </c>
      <c r="AV441" s="82" t="str">
        <f aca="false">IF(AU441=1,SUM(AU$7:AU441),"")</f>
        <v/>
      </c>
      <c r="AW441" s="82" t="str">
        <f aca="false">IF(E441="","",B441&amp;"|"&amp;E441)</f>
        <v>MFD-ISW → MFD-CPF|JN°435</v>
      </c>
    </row>
    <row r="442" customFormat="false" ht="74.6" hidden="false" customHeight="false" outlineLevel="0" collapsed="false">
      <c r="A442" s="79" t="n">
        <f aca="false">IF(E442="","",ROW()-6)</f>
        <v>436</v>
      </c>
      <c r="B442" s="80" t="s">
        <v>110</v>
      </c>
      <c r="C442" s="81"/>
      <c r="D442" s="81"/>
      <c r="E442" s="81" t="s">
        <v>546</v>
      </c>
      <c r="F442" s="82" t="str">
        <f aca="false">IF(E442="","",IF(LEFT(E442,2)="DJ","DJ","JN"))</f>
        <v>JN</v>
      </c>
      <c r="G442" s="81"/>
      <c r="H442" s="81"/>
      <c r="I442" s="81"/>
      <c r="J442" s="81"/>
      <c r="K442" s="81"/>
      <c r="L442" s="81"/>
      <c r="M442" s="81"/>
      <c r="N442" s="81"/>
      <c r="O442" s="81"/>
      <c r="P442" s="81"/>
      <c r="Q442" s="81"/>
      <c r="R442" s="81"/>
      <c r="S442" s="81"/>
      <c r="T442" s="81"/>
      <c r="U442" s="83"/>
      <c r="V442" s="83"/>
      <c r="W442" s="81"/>
      <c r="X442" s="81"/>
      <c r="Y442" s="83"/>
      <c r="Z442" s="81"/>
      <c r="AA442" s="81"/>
      <c r="AB442" s="81"/>
      <c r="AC442" s="81"/>
      <c r="AD442" s="81"/>
      <c r="AE442" s="83"/>
      <c r="AF442" s="81"/>
      <c r="AG442" s="81"/>
      <c r="AH442" s="81"/>
      <c r="AI442" s="81"/>
      <c r="AJ442" s="83"/>
      <c r="AK442" s="81"/>
      <c r="AL442" s="81"/>
      <c r="AM442" s="83"/>
      <c r="AN442" s="80"/>
      <c r="AO442" s="82" t="n">
        <f aca="false">IF(E442="","",(AA442&lt;&gt;"")+(AG442&lt;&gt;"")+(AL442&lt;&gt;""))</f>
        <v>0</v>
      </c>
      <c r="AP442" s="82" t="str">
        <f aca="false">IF(AL442&lt;&gt;"",AL442,IF(AG442&lt;&gt;"",AG442,IF(AA442&lt;&gt;"",AA442,"")))</f>
        <v/>
      </c>
      <c r="AQ442" s="84" t="str">
        <f aca="false">IF(E442="","",IF(U442="","À SOUDER",IF(X442="","VT EN ATTENTE",IF(X442="R","VT REJETÉ – À REPRENDRE",IF(AP442="","À RADIOGRAPHIER",IF(AP442="A","ACCEPTÉ",IF(AP442="NX","NX – RT À REFAIRE",IF(IF(AO442=1,AD442,IF(AO442=2,AI442,""))="A","RÉPARÉ – À RADIOGRAPHIER",IF(IF(AO442=1,AD442,IF(AO442=2,AI442,""))="R","VT REJETÉ – À REPRENDRE",IF(OR(AP442="CO",AP442="NT"),"COUPE – À RESOUDER","À RÉPARER"))))))))))</f>
        <v>À SOUDER</v>
      </c>
      <c r="AR442" s="82" t="str">
        <f aca="false">IF(AND(ISNUMBER(U442),OR(AQ442="À RADIOGRAPHIER",AQ442="RÉPARÉ – À RADIOGRAPHIER",AQ442="NX – RT À REFAIRE",AQ442="À RÉPARER",AQ442="COUPE – À RESOUDER",AQ442="VT REJETÉ – À REPRENDRE")),MAX(0,'PROGRAMME RT'!$C$4-U442),"")</f>
        <v/>
      </c>
      <c r="AS442" s="82" t="n">
        <f aca="false">IF(AND(OR(AQ442="À RADIOGRAPHIER",AQ442="RÉPARÉ – À RADIOGRAPHIER",AQ442="NX – RT À REFAIRE"),OR('PROGRAMME RT'!$D$5="TOUTES",B442='PROGRAMME RT'!$D$5)),1,0)</f>
        <v>0</v>
      </c>
      <c r="AT442" s="82" t="str">
        <f aca="false">IF(AS442=1,SUM(AS$7:AS442),"")</f>
        <v/>
      </c>
      <c r="AU442" s="82" t="n">
        <f aca="false">IF(AND(OR(AA442="R",AA442="NX",AA442="NT",AA442="CO"),OR('JOINTS DE RÉPARATION'!$D$5="TOUTES",B442='JOINTS DE RÉPARATION'!$D$5),OR('JOINTS DE RÉPARATION'!$L$4="TOUS",AQ442&lt;&gt;"ACCEPTÉ")),1,0)</f>
        <v>0</v>
      </c>
      <c r="AV442" s="82" t="str">
        <f aca="false">IF(AU442=1,SUM(AU$7:AU442),"")</f>
        <v/>
      </c>
      <c r="AW442" s="82" t="str">
        <f aca="false">IF(E442="","",B442&amp;"|"&amp;E442)</f>
        <v>MFD-ISW → MFD-CPF|JN°436</v>
      </c>
    </row>
    <row r="443" customFormat="false" ht="74.6" hidden="false" customHeight="false" outlineLevel="0" collapsed="false">
      <c r="A443" s="79" t="n">
        <f aca="false">IF(E443="","",ROW()-6)</f>
        <v>437</v>
      </c>
      <c r="B443" s="80" t="s">
        <v>110</v>
      </c>
      <c r="C443" s="81"/>
      <c r="D443" s="81"/>
      <c r="E443" s="81" t="s">
        <v>547</v>
      </c>
      <c r="F443" s="82" t="str">
        <f aca="false">IF(E443="","",IF(LEFT(E443,2)="DJ","DJ","JN"))</f>
        <v>JN</v>
      </c>
      <c r="G443" s="81"/>
      <c r="H443" s="81"/>
      <c r="I443" s="81"/>
      <c r="J443" s="81"/>
      <c r="K443" s="81"/>
      <c r="L443" s="81"/>
      <c r="M443" s="81"/>
      <c r="N443" s="81"/>
      <c r="O443" s="81"/>
      <c r="P443" s="81"/>
      <c r="Q443" s="81"/>
      <c r="R443" s="81"/>
      <c r="S443" s="81"/>
      <c r="T443" s="81"/>
      <c r="U443" s="83"/>
      <c r="V443" s="83"/>
      <c r="W443" s="81"/>
      <c r="X443" s="81"/>
      <c r="Y443" s="83"/>
      <c r="Z443" s="81"/>
      <c r="AA443" s="81"/>
      <c r="AB443" s="81"/>
      <c r="AC443" s="81"/>
      <c r="AD443" s="81"/>
      <c r="AE443" s="83"/>
      <c r="AF443" s="81"/>
      <c r="AG443" s="81"/>
      <c r="AH443" s="81"/>
      <c r="AI443" s="81"/>
      <c r="AJ443" s="83"/>
      <c r="AK443" s="81"/>
      <c r="AL443" s="81"/>
      <c r="AM443" s="83"/>
      <c r="AN443" s="80"/>
      <c r="AO443" s="82" t="n">
        <f aca="false">IF(E443="","",(AA443&lt;&gt;"")+(AG443&lt;&gt;"")+(AL443&lt;&gt;""))</f>
        <v>0</v>
      </c>
      <c r="AP443" s="82" t="str">
        <f aca="false">IF(AL443&lt;&gt;"",AL443,IF(AG443&lt;&gt;"",AG443,IF(AA443&lt;&gt;"",AA443,"")))</f>
        <v/>
      </c>
      <c r="AQ443" s="84" t="str">
        <f aca="false">IF(E443="","",IF(U443="","À SOUDER",IF(X443="","VT EN ATTENTE",IF(X443="R","VT REJETÉ – À REPRENDRE",IF(AP443="","À RADIOGRAPHIER",IF(AP443="A","ACCEPTÉ",IF(AP443="NX","NX – RT À REFAIRE",IF(IF(AO443=1,AD443,IF(AO443=2,AI443,""))="A","RÉPARÉ – À RADIOGRAPHIER",IF(IF(AO443=1,AD443,IF(AO443=2,AI443,""))="R","VT REJETÉ – À REPRENDRE",IF(OR(AP443="CO",AP443="NT"),"COUPE – À RESOUDER","À RÉPARER"))))))))))</f>
        <v>À SOUDER</v>
      </c>
      <c r="AR443" s="82" t="str">
        <f aca="false">IF(AND(ISNUMBER(U443),OR(AQ443="À RADIOGRAPHIER",AQ443="RÉPARÉ – À RADIOGRAPHIER",AQ443="NX – RT À REFAIRE",AQ443="À RÉPARER",AQ443="COUPE – À RESOUDER",AQ443="VT REJETÉ – À REPRENDRE")),MAX(0,'PROGRAMME RT'!$C$4-U443),"")</f>
        <v/>
      </c>
      <c r="AS443" s="82" t="n">
        <f aca="false">IF(AND(OR(AQ443="À RADIOGRAPHIER",AQ443="RÉPARÉ – À RADIOGRAPHIER",AQ443="NX – RT À REFAIRE"),OR('PROGRAMME RT'!$D$5="TOUTES",B443='PROGRAMME RT'!$D$5)),1,0)</f>
        <v>0</v>
      </c>
      <c r="AT443" s="82" t="str">
        <f aca="false">IF(AS443=1,SUM(AS$7:AS443),"")</f>
        <v/>
      </c>
      <c r="AU443" s="82" t="n">
        <f aca="false">IF(AND(OR(AA443="R",AA443="NX",AA443="NT",AA443="CO"),OR('JOINTS DE RÉPARATION'!$D$5="TOUTES",B443='JOINTS DE RÉPARATION'!$D$5),OR('JOINTS DE RÉPARATION'!$L$4="TOUS",AQ443&lt;&gt;"ACCEPTÉ")),1,0)</f>
        <v>0</v>
      </c>
      <c r="AV443" s="82" t="str">
        <f aca="false">IF(AU443=1,SUM(AU$7:AU443),"")</f>
        <v/>
      </c>
      <c r="AW443" s="82" t="str">
        <f aca="false">IF(E443="","",B443&amp;"|"&amp;E443)</f>
        <v>MFD-ISW → MFD-CPF|JN°437</v>
      </c>
    </row>
    <row r="444" customFormat="false" ht="74.6" hidden="false" customHeight="false" outlineLevel="0" collapsed="false">
      <c r="A444" s="79" t="n">
        <f aca="false">IF(E444="","",ROW()-6)</f>
        <v>438</v>
      </c>
      <c r="B444" s="80" t="s">
        <v>110</v>
      </c>
      <c r="C444" s="81"/>
      <c r="D444" s="81"/>
      <c r="E444" s="81" t="s">
        <v>548</v>
      </c>
      <c r="F444" s="82" t="str">
        <f aca="false">IF(E444="","",IF(LEFT(E444,2)="DJ","DJ","JN"))</f>
        <v>JN</v>
      </c>
      <c r="G444" s="81"/>
      <c r="H444" s="81"/>
      <c r="I444" s="81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U444" s="83"/>
      <c r="V444" s="83"/>
      <c r="W444" s="81"/>
      <c r="X444" s="81"/>
      <c r="Y444" s="83"/>
      <c r="Z444" s="81"/>
      <c r="AA444" s="81"/>
      <c r="AB444" s="81"/>
      <c r="AC444" s="81"/>
      <c r="AD444" s="81"/>
      <c r="AE444" s="83"/>
      <c r="AF444" s="81"/>
      <c r="AG444" s="81"/>
      <c r="AH444" s="81"/>
      <c r="AI444" s="81"/>
      <c r="AJ444" s="83"/>
      <c r="AK444" s="81"/>
      <c r="AL444" s="81"/>
      <c r="AM444" s="83"/>
      <c r="AN444" s="80"/>
      <c r="AO444" s="82" t="n">
        <f aca="false">IF(E444="","",(AA444&lt;&gt;"")+(AG444&lt;&gt;"")+(AL444&lt;&gt;""))</f>
        <v>0</v>
      </c>
      <c r="AP444" s="82" t="str">
        <f aca="false">IF(AL444&lt;&gt;"",AL444,IF(AG444&lt;&gt;"",AG444,IF(AA444&lt;&gt;"",AA444,"")))</f>
        <v/>
      </c>
      <c r="AQ444" s="84" t="str">
        <f aca="false">IF(E444="","",IF(U444="","À SOUDER",IF(X444="","VT EN ATTENTE",IF(X444="R","VT REJETÉ – À REPRENDRE",IF(AP444="","À RADIOGRAPHIER",IF(AP444="A","ACCEPTÉ",IF(AP444="NX","NX – RT À REFAIRE",IF(IF(AO444=1,AD444,IF(AO444=2,AI444,""))="A","RÉPARÉ – À RADIOGRAPHIER",IF(IF(AO444=1,AD444,IF(AO444=2,AI444,""))="R","VT REJETÉ – À REPRENDRE",IF(OR(AP444="CO",AP444="NT"),"COUPE – À RESOUDER","À RÉPARER"))))))))))</f>
        <v>À SOUDER</v>
      </c>
      <c r="AR444" s="82" t="str">
        <f aca="false">IF(AND(ISNUMBER(U444),OR(AQ444="À RADIOGRAPHIER",AQ444="RÉPARÉ – À RADIOGRAPHIER",AQ444="NX – RT À REFAIRE",AQ444="À RÉPARER",AQ444="COUPE – À RESOUDER",AQ444="VT REJETÉ – À REPRENDRE")),MAX(0,'PROGRAMME RT'!$C$4-U444),"")</f>
        <v/>
      </c>
      <c r="AS444" s="82" t="n">
        <f aca="false">IF(AND(OR(AQ444="À RADIOGRAPHIER",AQ444="RÉPARÉ – À RADIOGRAPHIER",AQ444="NX – RT À REFAIRE"),OR('PROGRAMME RT'!$D$5="TOUTES",B444='PROGRAMME RT'!$D$5)),1,0)</f>
        <v>0</v>
      </c>
      <c r="AT444" s="82" t="str">
        <f aca="false">IF(AS444=1,SUM(AS$7:AS444),"")</f>
        <v/>
      </c>
      <c r="AU444" s="82" t="n">
        <f aca="false">IF(AND(OR(AA444="R",AA444="NX",AA444="NT",AA444="CO"),OR('JOINTS DE RÉPARATION'!$D$5="TOUTES",B444='JOINTS DE RÉPARATION'!$D$5),OR('JOINTS DE RÉPARATION'!$L$4="TOUS",AQ444&lt;&gt;"ACCEPTÉ")),1,0)</f>
        <v>0</v>
      </c>
      <c r="AV444" s="82" t="str">
        <f aca="false">IF(AU444=1,SUM(AU$7:AU444),"")</f>
        <v/>
      </c>
      <c r="AW444" s="82" t="str">
        <f aca="false">IF(E444="","",B444&amp;"|"&amp;E444)</f>
        <v>MFD-ISW → MFD-CPF|JN°438</v>
      </c>
    </row>
    <row r="445" customFormat="false" ht="74.6" hidden="false" customHeight="false" outlineLevel="0" collapsed="false">
      <c r="A445" s="79" t="n">
        <f aca="false">IF(E445="","",ROW()-6)</f>
        <v>439</v>
      </c>
      <c r="B445" s="80" t="s">
        <v>110</v>
      </c>
      <c r="C445" s="81"/>
      <c r="D445" s="81"/>
      <c r="E445" s="81" t="s">
        <v>549</v>
      </c>
      <c r="F445" s="82" t="str">
        <f aca="false">IF(E445="","",IF(LEFT(E445,2)="DJ","DJ","JN"))</f>
        <v>JN</v>
      </c>
      <c r="G445" s="81"/>
      <c r="H445" s="81"/>
      <c r="I445" s="81"/>
      <c r="J445" s="81"/>
      <c r="K445" s="81"/>
      <c r="L445" s="81"/>
      <c r="M445" s="81"/>
      <c r="N445" s="81"/>
      <c r="O445" s="81"/>
      <c r="P445" s="81"/>
      <c r="Q445" s="81"/>
      <c r="R445" s="81"/>
      <c r="S445" s="81"/>
      <c r="T445" s="81"/>
      <c r="U445" s="83"/>
      <c r="V445" s="83"/>
      <c r="W445" s="81"/>
      <c r="X445" s="81"/>
      <c r="Y445" s="83"/>
      <c r="Z445" s="81"/>
      <c r="AA445" s="81"/>
      <c r="AB445" s="81"/>
      <c r="AC445" s="81"/>
      <c r="AD445" s="81"/>
      <c r="AE445" s="83"/>
      <c r="AF445" s="81"/>
      <c r="AG445" s="81"/>
      <c r="AH445" s="81"/>
      <c r="AI445" s="81"/>
      <c r="AJ445" s="83"/>
      <c r="AK445" s="81"/>
      <c r="AL445" s="81"/>
      <c r="AM445" s="83"/>
      <c r="AN445" s="80"/>
      <c r="AO445" s="82" t="n">
        <f aca="false">IF(E445="","",(AA445&lt;&gt;"")+(AG445&lt;&gt;"")+(AL445&lt;&gt;""))</f>
        <v>0</v>
      </c>
      <c r="AP445" s="82" t="str">
        <f aca="false">IF(AL445&lt;&gt;"",AL445,IF(AG445&lt;&gt;"",AG445,IF(AA445&lt;&gt;"",AA445,"")))</f>
        <v/>
      </c>
      <c r="AQ445" s="84" t="str">
        <f aca="false">IF(E445="","",IF(U445="","À SOUDER",IF(X445="","VT EN ATTENTE",IF(X445="R","VT REJETÉ – À REPRENDRE",IF(AP445="","À RADIOGRAPHIER",IF(AP445="A","ACCEPTÉ",IF(AP445="NX","NX – RT À REFAIRE",IF(IF(AO445=1,AD445,IF(AO445=2,AI445,""))="A","RÉPARÉ – À RADIOGRAPHIER",IF(IF(AO445=1,AD445,IF(AO445=2,AI445,""))="R","VT REJETÉ – À REPRENDRE",IF(OR(AP445="CO",AP445="NT"),"COUPE – À RESOUDER","À RÉPARER"))))))))))</f>
        <v>À SOUDER</v>
      </c>
      <c r="AR445" s="82" t="str">
        <f aca="false">IF(AND(ISNUMBER(U445),OR(AQ445="À RADIOGRAPHIER",AQ445="RÉPARÉ – À RADIOGRAPHIER",AQ445="NX – RT À REFAIRE",AQ445="À RÉPARER",AQ445="COUPE – À RESOUDER",AQ445="VT REJETÉ – À REPRENDRE")),MAX(0,'PROGRAMME RT'!$C$4-U445),"")</f>
        <v/>
      </c>
      <c r="AS445" s="82" t="n">
        <f aca="false">IF(AND(OR(AQ445="À RADIOGRAPHIER",AQ445="RÉPARÉ – À RADIOGRAPHIER",AQ445="NX – RT À REFAIRE"),OR('PROGRAMME RT'!$D$5="TOUTES",B445='PROGRAMME RT'!$D$5)),1,0)</f>
        <v>0</v>
      </c>
      <c r="AT445" s="82" t="str">
        <f aca="false">IF(AS445=1,SUM(AS$7:AS445),"")</f>
        <v/>
      </c>
      <c r="AU445" s="82" t="n">
        <f aca="false">IF(AND(OR(AA445="R",AA445="NX",AA445="NT",AA445="CO"),OR('JOINTS DE RÉPARATION'!$D$5="TOUTES",B445='JOINTS DE RÉPARATION'!$D$5),OR('JOINTS DE RÉPARATION'!$L$4="TOUS",AQ445&lt;&gt;"ACCEPTÉ")),1,0)</f>
        <v>0</v>
      </c>
      <c r="AV445" s="82" t="str">
        <f aca="false">IF(AU445=1,SUM(AU$7:AU445),"")</f>
        <v/>
      </c>
      <c r="AW445" s="82" t="str">
        <f aca="false">IF(E445="","",B445&amp;"|"&amp;E445)</f>
        <v>MFD-ISW → MFD-CPF|JN°439</v>
      </c>
    </row>
    <row r="446" customFormat="false" ht="74.6" hidden="false" customHeight="false" outlineLevel="0" collapsed="false">
      <c r="A446" s="79" t="n">
        <f aca="false">IF(E446="","",ROW()-6)</f>
        <v>440</v>
      </c>
      <c r="B446" s="80" t="s">
        <v>110</v>
      </c>
      <c r="C446" s="81"/>
      <c r="D446" s="81"/>
      <c r="E446" s="81" t="s">
        <v>550</v>
      </c>
      <c r="F446" s="82" t="str">
        <f aca="false">IF(E446="","",IF(LEFT(E446,2)="DJ","DJ","JN"))</f>
        <v>JN</v>
      </c>
      <c r="G446" s="81"/>
      <c r="H446" s="81"/>
      <c r="I446" s="81"/>
      <c r="J446" s="81"/>
      <c r="K446" s="81"/>
      <c r="L446" s="81"/>
      <c r="M446" s="81"/>
      <c r="N446" s="81"/>
      <c r="O446" s="81"/>
      <c r="P446" s="81"/>
      <c r="Q446" s="81"/>
      <c r="R446" s="81"/>
      <c r="S446" s="81"/>
      <c r="T446" s="81"/>
      <c r="U446" s="83"/>
      <c r="V446" s="83"/>
      <c r="W446" s="81"/>
      <c r="X446" s="81"/>
      <c r="Y446" s="83"/>
      <c r="Z446" s="81"/>
      <c r="AA446" s="81"/>
      <c r="AB446" s="81"/>
      <c r="AC446" s="81"/>
      <c r="AD446" s="81"/>
      <c r="AE446" s="83"/>
      <c r="AF446" s="81"/>
      <c r="AG446" s="81"/>
      <c r="AH446" s="81"/>
      <c r="AI446" s="81"/>
      <c r="AJ446" s="83"/>
      <c r="AK446" s="81"/>
      <c r="AL446" s="81"/>
      <c r="AM446" s="83"/>
      <c r="AN446" s="80"/>
      <c r="AO446" s="82" t="n">
        <f aca="false">IF(E446="","",(AA446&lt;&gt;"")+(AG446&lt;&gt;"")+(AL446&lt;&gt;""))</f>
        <v>0</v>
      </c>
      <c r="AP446" s="82" t="str">
        <f aca="false">IF(AL446&lt;&gt;"",AL446,IF(AG446&lt;&gt;"",AG446,IF(AA446&lt;&gt;"",AA446,"")))</f>
        <v/>
      </c>
      <c r="AQ446" s="84" t="str">
        <f aca="false">IF(E446="","",IF(U446="","À SOUDER",IF(X446="","VT EN ATTENTE",IF(X446="R","VT REJETÉ – À REPRENDRE",IF(AP446="","À RADIOGRAPHIER",IF(AP446="A","ACCEPTÉ",IF(AP446="NX","NX – RT À REFAIRE",IF(IF(AO446=1,AD446,IF(AO446=2,AI446,""))="A","RÉPARÉ – À RADIOGRAPHIER",IF(IF(AO446=1,AD446,IF(AO446=2,AI446,""))="R","VT REJETÉ – À REPRENDRE",IF(OR(AP446="CO",AP446="NT"),"COUPE – À RESOUDER","À RÉPARER"))))))))))</f>
        <v>À SOUDER</v>
      </c>
      <c r="AR446" s="82" t="str">
        <f aca="false">IF(AND(ISNUMBER(U446),OR(AQ446="À RADIOGRAPHIER",AQ446="RÉPARÉ – À RADIOGRAPHIER",AQ446="NX – RT À REFAIRE",AQ446="À RÉPARER",AQ446="COUPE – À RESOUDER",AQ446="VT REJETÉ – À REPRENDRE")),MAX(0,'PROGRAMME RT'!$C$4-U446),"")</f>
        <v/>
      </c>
      <c r="AS446" s="82" t="n">
        <f aca="false">IF(AND(OR(AQ446="À RADIOGRAPHIER",AQ446="RÉPARÉ – À RADIOGRAPHIER",AQ446="NX – RT À REFAIRE"),OR('PROGRAMME RT'!$D$5="TOUTES",B446='PROGRAMME RT'!$D$5)),1,0)</f>
        <v>0</v>
      </c>
      <c r="AT446" s="82" t="str">
        <f aca="false">IF(AS446=1,SUM(AS$7:AS446),"")</f>
        <v/>
      </c>
      <c r="AU446" s="82" t="n">
        <f aca="false">IF(AND(OR(AA446="R",AA446="NX",AA446="NT",AA446="CO"),OR('JOINTS DE RÉPARATION'!$D$5="TOUTES",B446='JOINTS DE RÉPARATION'!$D$5),OR('JOINTS DE RÉPARATION'!$L$4="TOUS",AQ446&lt;&gt;"ACCEPTÉ")),1,0)</f>
        <v>0</v>
      </c>
      <c r="AV446" s="82" t="str">
        <f aca="false">IF(AU446=1,SUM(AU$7:AU446),"")</f>
        <v/>
      </c>
      <c r="AW446" s="82" t="str">
        <f aca="false">IF(E446="","",B446&amp;"|"&amp;E446)</f>
        <v>MFD-ISW → MFD-CPF|JN°440</v>
      </c>
    </row>
    <row r="447" customFormat="false" ht="74.6" hidden="false" customHeight="false" outlineLevel="0" collapsed="false">
      <c r="A447" s="79" t="n">
        <f aca="false">IF(E447="","",ROW()-6)</f>
        <v>441</v>
      </c>
      <c r="B447" s="80" t="s">
        <v>110</v>
      </c>
      <c r="C447" s="81"/>
      <c r="D447" s="81"/>
      <c r="E447" s="81" t="s">
        <v>551</v>
      </c>
      <c r="F447" s="82" t="str">
        <f aca="false">IF(E447="","",IF(LEFT(E447,2)="DJ","DJ","JN"))</f>
        <v>JN</v>
      </c>
      <c r="G447" s="81"/>
      <c r="H447" s="81"/>
      <c r="I447" s="81"/>
      <c r="J447" s="81"/>
      <c r="K447" s="81"/>
      <c r="L447" s="81"/>
      <c r="M447" s="81"/>
      <c r="N447" s="81"/>
      <c r="O447" s="81"/>
      <c r="P447" s="81"/>
      <c r="Q447" s="81"/>
      <c r="R447" s="81"/>
      <c r="S447" s="81"/>
      <c r="T447" s="81"/>
      <c r="U447" s="83"/>
      <c r="V447" s="83"/>
      <c r="W447" s="81"/>
      <c r="X447" s="81"/>
      <c r="Y447" s="83"/>
      <c r="Z447" s="81"/>
      <c r="AA447" s="81"/>
      <c r="AB447" s="81"/>
      <c r="AC447" s="81"/>
      <c r="AD447" s="81"/>
      <c r="AE447" s="83"/>
      <c r="AF447" s="81"/>
      <c r="AG447" s="81"/>
      <c r="AH447" s="81"/>
      <c r="AI447" s="81"/>
      <c r="AJ447" s="83"/>
      <c r="AK447" s="81"/>
      <c r="AL447" s="81"/>
      <c r="AM447" s="83"/>
      <c r="AN447" s="80"/>
      <c r="AO447" s="82" t="n">
        <f aca="false">IF(E447="","",(AA447&lt;&gt;"")+(AG447&lt;&gt;"")+(AL447&lt;&gt;""))</f>
        <v>0</v>
      </c>
      <c r="AP447" s="82" t="str">
        <f aca="false">IF(AL447&lt;&gt;"",AL447,IF(AG447&lt;&gt;"",AG447,IF(AA447&lt;&gt;"",AA447,"")))</f>
        <v/>
      </c>
      <c r="AQ447" s="84" t="str">
        <f aca="false">IF(E447="","",IF(U447="","À SOUDER",IF(X447="","VT EN ATTENTE",IF(X447="R","VT REJETÉ – À REPRENDRE",IF(AP447="","À RADIOGRAPHIER",IF(AP447="A","ACCEPTÉ",IF(AP447="NX","NX – RT À REFAIRE",IF(IF(AO447=1,AD447,IF(AO447=2,AI447,""))="A","RÉPARÉ – À RADIOGRAPHIER",IF(IF(AO447=1,AD447,IF(AO447=2,AI447,""))="R","VT REJETÉ – À REPRENDRE",IF(OR(AP447="CO",AP447="NT"),"COUPE – À RESOUDER","À RÉPARER"))))))))))</f>
        <v>À SOUDER</v>
      </c>
      <c r="AR447" s="82" t="str">
        <f aca="false">IF(AND(ISNUMBER(U447),OR(AQ447="À RADIOGRAPHIER",AQ447="RÉPARÉ – À RADIOGRAPHIER",AQ447="NX – RT À REFAIRE",AQ447="À RÉPARER",AQ447="COUPE – À RESOUDER",AQ447="VT REJETÉ – À REPRENDRE")),MAX(0,'PROGRAMME RT'!$C$4-U447),"")</f>
        <v/>
      </c>
      <c r="AS447" s="82" t="n">
        <f aca="false">IF(AND(OR(AQ447="À RADIOGRAPHIER",AQ447="RÉPARÉ – À RADIOGRAPHIER",AQ447="NX – RT À REFAIRE"),OR('PROGRAMME RT'!$D$5="TOUTES",B447='PROGRAMME RT'!$D$5)),1,0)</f>
        <v>0</v>
      </c>
      <c r="AT447" s="82" t="str">
        <f aca="false">IF(AS447=1,SUM(AS$7:AS447),"")</f>
        <v/>
      </c>
      <c r="AU447" s="82" t="n">
        <f aca="false">IF(AND(OR(AA447="R",AA447="NX",AA447="NT",AA447="CO"),OR('JOINTS DE RÉPARATION'!$D$5="TOUTES",B447='JOINTS DE RÉPARATION'!$D$5),OR('JOINTS DE RÉPARATION'!$L$4="TOUS",AQ447&lt;&gt;"ACCEPTÉ")),1,0)</f>
        <v>0</v>
      </c>
      <c r="AV447" s="82" t="str">
        <f aca="false">IF(AU447=1,SUM(AU$7:AU447),"")</f>
        <v/>
      </c>
      <c r="AW447" s="82" t="str">
        <f aca="false">IF(E447="","",B447&amp;"|"&amp;E447)</f>
        <v>MFD-ISW → MFD-CPF|JN°441</v>
      </c>
    </row>
    <row r="448" customFormat="false" ht="74.6" hidden="false" customHeight="false" outlineLevel="0" collapsed="false">
      <c r="A448" s="79" t="n">
        <f aca="false">IF(E448="","",ROW()-6)</f>
        <v>442</v>
      </c>
      <c r="B448" s="80" t="s">
        <v>110</v>
      </c>
      <c r="C448" s="81"/>
      <c r="D448" s="81"/>
      <c r="E448" s="81" t="s">
        <v>552</v>
      </c>
      <c r="F448" s="82" t="str">
        <f aca="false">IF(E448="","",IF(LEFT(E448,2)="DJ","DJ","JN"))</f>
        <v>JN</v>
      </c>
      <c r="G448" s="81"/>
      <c r="H448" s="81"/>
      <c r="I448" s="81"/>
      <c r="J448" s="81"/>
      <c r="K448" s="81"/>
      <c r="L448" s="81"/>
      <c r="M448" s="81"/>
      <c r="N448" s="81"/>
      <c r="O448" s="81"/>
      <c r="P448" s="81"/>
      <c r="Q448" s="81"/>
      <c r="R448" s="81"/>
      <c r="S448" s="81"/>
      <c r="T448" s="81"/>
      <c r="U448" s="83"/>
      <c r="V448" s="83"/>
      <c r="W448" s="81"/>
      <c r="X448" s="81"/>
      <c r="Y448" s="83"/>
      <c r="Z448" s="81"/>
      <c r="AA448" s="81"/>
      <c r="AB448" s="81"/>
      <c r="AC448" s="81"/>
      <c r="AD448" s="81"/>
      <c r="AE448" s="83"/>
      <c r="AF448" s="81"/>
      <c r="AG448" s="81"/>
      <c r="AH448" s="81"/>
      <c r="AI448" s="81"/>
      <c r="AJ448" s="83"/>
      <c r="AK448" s="81"/>
      <c r="AL448" s="81"/>
      <c r="AM448" s="83"/>
      <c r="AN448" s="80"/>
      <c r="AO448" s="82" t="n">
        <f aca="false">IF(E448="","",(AA448&lt;&gt;"")+(AG448&lt;&gt;"")+(AL448&lt;&gt;""))</f>
        <v>0</v>
      </c>
      <c r="AP448" s="82" t="str">
        <f aca="false">IF(AL448&lt;&gt;"",AL448,IF(AG448&lt;&gt;"",AG448,IF(AA448&lt;&gt;"",AA448,"")))</f>
        <v/>
      </c>
      <c r="AQ448" s="84" t="str">
        <f aca="false">IF(E448="","",IF(U448="","À SOUDER",IF(X448="","VT EN ATTENTE",IF(X448="R","VT REJETÉ – À REPRENDRE",IF(AP448="","À RADIOGRAPHIER",IF(AP448="A","ACCEPTÉ",IF(AP448="NX","NX – RT À REFAIRE",IF(IF(AO448=1,AD448,IF(AO448=2,AI448,""))="A","RÉPARÉ – À RADIOGRAPHIER",IF(IF(AO448=1,AD448,IF(AO448=2,AI448,""))="R","VT REJETÉ – À REPRENDRE",IF(OR(AP448="CO",AP448="NT"),"COUPE – À RESOUDER","À RÉPARER"))))))))))</f>
        <v>À SOUDER</v>
      </c>
      <c r="AR448" s="82" t="str">
        <f aca="false">IF(AND(ISNUMBER(U448),OR(AQ448="À RADIOGRAPHIER",AQ448="RÉPARÉ – À RADIOGRAPHIER",AQ448="NX – RT À REFAIRE",AQ448="À RÉPARER",AQ448="COUPE – À RESOUDER",AQ448="VT REJETÉ – À REPRENDRE")),MAX(0,'PROGRAMME RT'!$C$4-U448),"")</f>
        <v/>
      </c>
      <c r="AS448" s="82" t="n">
        <f aca="false">IF(AND(OR(AQ448="À RADIOGRAPHIER",AQ448="RÉPARÉ – À RADIOGRAPHIER",AQ448="NX – RT À REFAIRE"),OR('PROGRAMME RT'!$D$5="TOUTES",B448='PROGRAMME RT'!$D$5)),1,0)</f>
        <v>0</v>
      </c>
      <c r="AT448" s="82" t="str">
        <f aca="false">IF(AS448=1,SUM(AS$7:AS448),"")</f>
        <v/>
      </c>
      <c r="AU448" s="82" t="n">
        <f aca="false">IF(AND(OR(AA448="R",AA448="NX",AA448="NT",AA448="CO"),OR('JOINTS DE RÉPARATION'!$D$5="TOUTES",B448='JOINTS DE RÉPARATION'!$D$5),OR('JOINTS DE RÉPARATION'!$L$4="TOUS",AQ448&lt;&gt;"ACCEPTÉ")),1,0)</f>
        <v>0</v>
      </c>
      <c r="AV448" s="82" t="str">
        <f aca="false">IF(AU448=1,SUM(AU$7:AU448),"")</f>
        <v/>
      </c>
      <c r="AW448" s="82" t="str">
        <f aca="false">IF(E448="","",B448&amp;"|"&amp;E448)</f>
        <v>MFD-ISW → MFD-CPF|JN°442</v>
      </c>
    </row>
    <row r="449" customFormat="false" ht="74.6" hidden="false" customHeight="false" outlineLevel="0" collapsed="false">
      <c r="A449" s="79" t="n">
        <f aca="false">IF(E449="","",ROW()-6)</f>
        <v>443</v>
      </c>
      <c r="B449" s="80" t="s">
        <v>110</v>
      </c>
      <c r="C449" s="81"/>
      <c r="D449" s="81"/>
      <c r="E449" s="81" t="s">
        <v>553</v>
      </c>
      <c r="F449" s="82" t="str">
        <f aca="false">IF(E449="","",IF(LEFT(E449,2)="DJ","DJ","JN"))</f>
        <v>JN</v>
      </c>
      <c r="G449" s="81"/>
      <c r="H449" s="81"/>
      <c r="I449" s="81"/>
      <c r="J449" s="81"/>
      <c r="K449" s="81"/>
      <c r="L449" s="81"/>
      <c r="M449" s="81"/>
      <c r="N449" s="81"/>
      <c r="O449" s="81"/>
      <c r="P449" s="81"/>
      <c r="Q449" s="81"/>
      <c r="R449" s="81"/>
      <c r="S449" s="81"/>
      <c r="T449" s="81"/>
      <c r="U449" s="83"/>
      <c r="V449" s="83"/>
      <c r="W449" s="81"/>
      <c r="X449" s="81"/>
      <c r="Y449" s="83"/>
      <c r="Z449" s="81"/>
      <c r="AA449" s="81"/>
      <c r="AB449" s="81"/>
      <c r="AC449" s="81"/>
      <c r="AD449" s="81"/>
      <c r="AE449" s="83"/>
      <c r="AF449" s="81"/>
      <c r="AG449" s="81"/>
      <c r="AH449" s="81"/>
      <c r="AI449" s="81"/>
      <c r="AJ449" s="83"/>
      <c r="AK449" s="81"/>
      <c r="AL449" s="81"/>
      <c r="AM449" s="83"/>
      <c r="AN449" s="80"/>
      <c r="AO449" s="82" t="n">
        <f aca="false">IF(E449="","",(AA449&lt;&gt;"")+(AG449&lt;&gt;"")+(AL449&lt;&gt;""))</f>
        <v>0</v>
      </c>
      <c r="AP449" s="82" t="str">
        <f aca="false">IF(AL449&lt;&gt;"",AL449,IF(AG449&lt;&gt;"",AG449,IF(AA449&lt;&gt;"",AA449,"")))</f>
        <v/>
      </c>
      <c r="AQ449" s="84" t="str">
        <f aca="false">IF(E449="","",IF(U449="","À SOUDER",IF(X449="","VT EN ATTENTE",IF(X449="R","VT REJETÉ – À REPRENDRE",IF(AP449="","À RADIOGRAPHIER",IF(AP449="A","ACCEPTÉ",IF(AP449="NX","NX – RT À REFAIRE",IF(IF(AO449=1,AD449,IF(AO449=2,AI449,""))="A","RÉPARÉ – À RADIOGRAPHIER",IF(IF(AO449=1,AD449,IF(AO449=2,AI449,""))="R","VT REJETÉ – À REPRENDRE",IF(OR(AP449="CO",AP449="NT"),"COUPE – À RESOUDER","À RÉPARER"))))))))))</f>
        <v>À SOUDER</v>
      </c>
      <c r="AR449" s="82" t="str">
        <f aca="false">IF(AND(ISNUMBER(U449),OR(AQ449="À RADIOGRAPHIER",AQ449="RÉPARÉ – À RADIOGRAPHIER",AQ449="NX – RT À REFAIRE",AQ449="À RÉPARER",AQ449="COUPE – À RESOUDER",AQ449="VT REJETÉ – À REPRENDRE")),MAX(0,'PROGRAMME RT'!$C$4-U449),"")</f>
        <v/>
      </c>
      <c r="AS449" s="82" t="n">
        <f aca="false">IF(AND(OR(AQ449="À RADIOGRAPHIER",AQ449="RÉPARÉ – À RADIOGRAPHIER",AQ449="NX – RT À REFAIRE"),OR('PROGRAMME RT'!$D$5="TOUTES",B449='PROGRAMME RT'!$D$5)),1,0)</f>
        <v>0</v>
      </c>
      <c r="AT449" s="82" t="str">
        <f aca="false">IF(AS449=1,SUM(AS$7:AS449),"")</f>
        <v/>
      </c>
      <c r="AU449" s="82" t="n">
        <f aca="false">IF(AND(OR(AA449="R",AA449="NX",AA449="NT",AA449="CO"),OR('JOINTS DE RÉPARATION'!$D$5="TOUTES",B449='JOINTS DE RÉPARATION'!$D$5),OR('JOINTS DE RÉPARATION'!$L$4="TOUS",AQ449&lt;&gt;"ACCEPTÉ")),1,0)</f>
        <v>0</v>
      </c>
      <c r="AV449" s="82" t="str">
        <f aca="false">IF(AU449=1,SUM(AU$7:AU449),"")</f>
        <v/>
      </c>
      <c r="AW449" s="82" t="str">
        <f aca="false">IF(E449="","",B449&amp;"|"&amp;E449)</f>
        <v>MFD-ISW → MFD-CPF|JN°443</v>
      </c>
    </row>
    <row r="450" customFormat="false" ht="74.6" hidden="false" customHeight="false" outlineLevel="0" collapsed="false">
      <c r="A450" s="79" t="n">
        <f aca="false">IF(E450="","",ROW()-6)</f>
        <v>444</v>
      </c>
      <c r="B450" s="80" t="s">
        <v>110</v>
      </c>
      <c r="C450" s="81"/>
      <c r="D450" s="81"/>
      <c r="E450" s="81" t="s">
        <v>554</v>
      </c>
      <c r="F450" s="82" t="str">
        <f aca="false">IF(E450="","",IF(LEFT(E450,2)="DJ","DJ","JN"))</f>
        <v>JN</v>
      </c>
      <c r="G450" s="81"/>
      <c r="H450" s="81"/>
      <c r="I450" s="81"/>
      <c r="J450" s="81"/>
      <c r="K450" s="81"/>
      <c r="L450" s="81"/>
      <c r="M450" s="81"/>
      <c r="N450" s="81"/>
      <c r="O450" s="81"/>
      <c r="P450" s="81"/>
      <c r="Q450" s="81"/>
      <c r="R450" s="81"/>
      <c r="S450" s="81"/>
      <c r="T450" s="81"/>
      <c r="U450" s="83"/>
      <c r="V450" s="83"/>
      <c r="W450" s="81"/>
      <c r="X450" s="81"/>
      <c r="Y450" s="83"/>
      <c r="Z450" s="81"/>
      <c r="AA450" s="81"/>
      <c r="AB450" s="81"/>
      <c r="AC450" s="81"/>
      <c r="AD450" s="81"/>
      <c r="AE450" s="83"/>
      <c r="AF450" s="81"/>
      <c r="AG450" s="81"/>
      <c r="AH450" s="81"/>
      <c r="AI450" s="81"/>
      <c r="AJ450" s="83"/>
      <c r="AK450" s="81"/>
      <c r="AL450" s="81"/>
      <c r="AM450" s="83"/>
      <c r="AN450" s="80"/>
      <c r="AO450" s="82" t="n">
        <f aca="false">IF(E450="","",(AA450&lt;&gt;"")+(AG450&lt;&gt;"")+(AL450&lt;&gt;""))</f>
        <v>0</v>
      </c>
      <c r="AP450" s="82" t="str">
        <f aca="false">IF(AL450&lt;&gt;"",AL450,IF(AG450&lt;&gt;"",AG450,IF(AA450&lt;&gt;"",AA450,"")))</f>
        <v/>
      </c>
      <c r="AQ450" s="84" t="str">
        <f aca="false">IF(E450="","",IF(U450="","À SOUDER",IF(X450="","VT EN ATTENTE",IF(X450="R","VT REJETÉ – À REPRENDRE",IF(AP450="","À RADIOGRAPHIER",IF(AP450="A","ACCEPTÉ",IF(AP450="NX","NX – RT À REFAIRE",IF(IF(AO450=1,AD450,IF(AO450=2,AI450,""))="A","RÉPARÉ – À RADIOGRAPHIER",IF(IF(AO450=1,AD450,IF(AO450=2,AI450,""))="R","VT REJETÉ – À REPRENDRE",IF(OR(AP450="CO",AP450="NT"),"COUPE – À RESOUDER","À RÉPARER"))))))))))</f>
        <v>À SOUDER</v>
      </c>
      <c r="AR450" s="82" t="str">
        <f aca="false">IF(AND(ISNUMBER(U450),OR(AQ450="À RADIOGRAPHIER",AQ450="RÉPARÉ – À RADIOGRAPHIER",AQ450="NX – RT À REFAIRE",AQ450="À RÉPARER",AQ450="COUPE – À RESOUDER",AQ450="VT REJETÉ – À REPRENDRE")),MAX(0,'PROGRAMME RT'!$C$4-U450),"")</f>
        <v/>
      </c>
      <c r="AS450" s="82" t="n">
        <f aca="false">IF(AND(OR(AQ450="À RADIOGRAPHIER",AQ450="RÉPARÉ – À RADIOGRAPHIER",AQ450="NX – RT À REFAIRE"),OR('PROGRAMME RT'!$D$5="TOUTES",B450='PROGRAMME RT'!$D$5)),1,0)</f>
        <v>0</v>
      </c>
      <c r="AT450" s="82" t="str">
        <f aca="false">IF(AS450=1,SUM(AS$7:AS450),"")</f>
        <v/>
      </c>
      <c r="AU450" s="82" t="n">
        <f aca="false">IF(AND(OR(AA450="R",AA450="NX",AA450="NT",AA450="CO"),OR('JOINTS DE RÉPARATION'!$D$5="TOUTES",B450='JOINTS DE RÉPARATION'!$D$5),OR('JOINTS DE RÉPARATION'!$L$4="TOUS",AQ450&lt;&gt;"ACCEPTÉ")),1,0)</f>
        <v>0</v>
      </c>
      <c r="AV450" s="82" t="str">
        <f aca="false">IF(AU450=1,SUM(AU$7:AU450),"")</f>
        <v/>
      </c>
      <c r="AW450" s="82" t="str">
        <f aca="false">IF(E450="","",B450&amp;"|"&amp;E450)</f>
        <v>MFD-ISW → MFD-CPF|JN°444</v>
      </c>
    </row>
    <row r="451" customFormat="false" ht="74.6" hidden="false" customHeight="false" outlineLevel="0" collapsed="false">
      <c r="A451" s="79" t="n">
        <f aca="false">IF(E451="","",ROW()-6)</f>
        <v>445</v>
      </c>
      <c r="B451" s="80" t="s">
        <v>110</v>
      </c>
      <c r="C451" s="81"/>
      <c r="D451" s="81"/>
      <c r="E451" s="81" t="s">
        <v>555</v>
      </c>
      <c r="F451" s="82" t="str">
        <f aca="false">IF(E451="","",IF(LEFT(E451,2)="DJ","DJ","JN"))</f>
        <v>JN</v>
      </c>
      <c r="G451" s="81"/>
      <c r="H451" s="81"/>
      <c r="I451" s="81"/>
      <c r="J451" s="81"/>
      <c r="K451" s="81"/>
      <c r="L451" s="81"/>
      <c r="M451" s="81"/>
      <c r="N451" s="81"/>
      <c r="O451" s="81"/>
      <c r="P451" s="81"/>
      <c r="Q451" s="81"/>
      <c r="R451" s="81"/>
      <c r="S451" s="81"/>
      <c r="T451" s="81"/>
      <c r="U451" s="83"/>
      <c r="V451" s="83"/>
      <c r="W451" s="81"/>
      <c r="X451" s="81"/>
      <c r="Y451" s="83"/>
      <c r="Z451" s="81"/>
      <c r="AA451" s="81"/>
      <c r="AB451" s="81"/>
      <c r="AC451" s="81"/>
      <c r="AD451" s="81"/>
      <c r="AE451" s="83"/>
      <c r="AF451" s="81"/>
      <c r="AG451" s="81"/>
      <c r="AH451" s="81"/>
      <c r="AI451" s="81"/>
      <c r="AJ451" s="83"/>
      <c r="AK451" s="81"/>
      <c r="AL451" s="81"/>
      <c r="AM451" s="83"/>
      <c r="AN451" s="80"/>
      <c r="AO451" s="82" t="n">
        <f aca="false">IF(E451="","",(AA451&lt;&gt;"")+(AG451&lt;&gt;"")+(AL451&lt;&gt;""))</f>
        <v>0</v>
      </c>
      <c r="AP451" s="82" t="str">
        <f aca="false">IF(AL451&lt;&gt;"",AL451,IF(AG451&lt;&gt;"",AG451,IF(AA451&lt;&gt;"",AA451,"")))</f>
        <v/>
      </c>
      <c r="AQ451" s="84" t="str">
        <f aca="false">IF(E451="","",IF(U451="","À SOUDER",IF(X451="","VT EN ATTENTE",IF(X451="R","VT REJETÉ – À REPRENDRE",IF(AP451="","À RADIOGRAPHIER",IF(AP451="A","ACCEPTÉ",IF(AP451="NX","NX – RT À REFAIRE",IF(IF(AO451=1,AD451,IF(AO451=2,AI451,""))="A","RÉPARÉ – À RADIOGRAPHIER",IF(IF(AO451=1,AD451,IF(AO451=2,AI451,""))="R","VT REJETÉ – À REPRENDRE",IF(OR(AP451="CO",AP451="NT"),"COUPE – À RESOUDER","À RÉPARER"))))))))))</f>
        <v>À SOUDER</v>
      </c>
      <c r="AR451" s="82" t="str">
        <f aca="false">IF(AND(ISNUMBER(U451),OR(AQ451="À RADIOGRAPHIER",AQ451="RÉPARÉ – À RADIOGRAPHIER",AQ451="NX – RT À REFAIRE",AQ451="À RÉPARER",AQ451="COUPE – À RESOUDER",AQ451="VT REJETÉ – À REPRENDRE")),MAX(0,'PROGRAMME RT'!$C$4-U451),"")</f>
        <v/>
      </c>
      <c r="AS451" s="82" t="n">
        <f aca="false">IF(AND(OR(AQ451="À RADIOGRAPHIER",AQ451="RÉPARÉ – À RADIOGRAPHIER",AQ451="NX – RT À REFAIRE"),OR('PROGRAMME RT'!$D$5="TOUTES",B451='PROGRAMME RT'!$D$5)),1,0)</f>
        <v>0</v>
      </c>
      <c r="AT451" s="82" t="str">
        <f aca="false">IF(AS451=1,SUM(AS$7:AS451),"")</f>
        <v/>
      </c>
      <c r="AU451" s="82" t="n">
        <f aca="false">IF(AND(OR(AA451="R",AA451="NX",AA451="NT",AA451="CO"),OR('JOINTS DE RÉPARATION'!$D$5="TOUTES",B451='JOINTS DE RÉPARATION'!$D$5),OR('JOINTS DE RÉPARATION'!$L$4="TOUS",AQ451&lt;&gt;"ACCEPTÉ")),1,0)</f>
        <v>0</v>
      </c>
      <c r="AV451" s="82" t="str">
        <f aca="false">IF(AU451=1,SUM(AU$7:AU451),"")</f>
        <v/>
      </c>
      <c r="AW451" s="82" t="str">
        <f aca="false">IF(E451="","",B451&amp;"|"&amp;E451)</f>
        <v>MFD-ISW → MFD-CPF|JN°445</v>
      </c>
    </row>
    <row r="452" customFormat="false" ht="74.6" hidden="false" customHeight="false" outlineLevel="0" collapsed="false">
      <c r="A452" s="79" t="n">
        <f aca="false">IF(E452="","",ROW()-6)</f>
        <v>446</v>
      </c>
      <c r="B452" s="80" t="s">
        <v>110</v>
      </c>
      <c r="C452" s="81"/>
      <c r="D452" s="81"/>
      <c r="E452" s="81" t="s">
        <v>556</v>
      </c>
      <c r="F452" s="82" t="str">
        <f aca="false">IF(E452="","",IF(LEFT(E452,2)="DJ","DJ","JN"))</f>
        <v>JN</v>
      </c>
      <c r="G452" s="81"/>
      <c r="H452" s="81"/>
      <c r="I452" s="81"/>
      <c r="J452" s="81"/>
      <c r="K452" s="81"/>
      <c r="L452" s="81"/>
      <c r="M452" s="81"/>
      <c r="N452" s="81"/>
      <c r="O452" s="81"/>
      <c r="P452" s="81"/>
      <c r="Q452" s="81"/>
      <c r="R452" s="81"/>
      <c r="S452" s="81"/>
      <c r="T452" s="81"/>
      <c r="U452" s="83"/>
      <c r="V452" s="83"/>
      <c r="W452" s="81"/>
      <c r="X452" s="81"/>
      <c r="Y452" s="83"/>
      <c r="Z452" s="81"/>
      <c r="AA452" s="81"/>
      <c r="AB452" s="81"/>
      <c r="AC452" s="81"/>
      <c r="AD452" s="81"/>
      <c r="AE452" s="83"/>
      <c r="AF452" s="81"/>
      <c r="AG452" s="81"/>
      <c r="AH452" s="81"/>
      <c r="AI452" s="81"/>
      <c r="AJ452" s="83"/>
      <c r="AK452" s="81"/>
      <c r="AL452" s="81"/>
      <c r="AM452" s="83"/>
      <c r="AN452" s="80"/>
      <c r="AO452" s="82" t="n">
        <f aca="false">IF(E452="","",(AA452&lt;&gt;"")+(AG452&lt;&gt;"")+(AL452&lt;&gt;""))</f>
        <v>0</v>
      </c>
      <c r="AP452" s="82" t="str">
        <f aca="false">IF(AL452&lt;&gt;"",AL452,IF(AG452&lt;&gt;"",AG452,IF(AA452&lt;&gt;"",AA452,"")))</f>
        <v/>
      </c>
      <c r="AQ452" s="84" t="str">
        <f aca="false">IF(E452="","",IF(U452="","À SOUDER",IF(X452="","VT EN ATTENTE",IF(X452="R","VT REJETÉ – À REPRENDRE",IF(AP452="","À RADIOGRAPHIER",IF(AP452="A","ACCEPTÉ",IF(AP452="NX","NX – RT À REFAIRE",IF(IF(AO452=1,AD452,IF(AO452=2,AI452,""))="A","RÉPARÉ – À RADIOGRAPHIER",IF(IF(AO452=1,AD452,IF(AO452=2,AI452,""))="R","VT REJETÉ – À REPRENDRE",IF(OR(AP452="CO",AP452="NT"),"COUPE – À RESOUDER","À RÉPARER"))))))))))</f>
        <v>À SOUDER</v>
      </c>
      <c r="AR452" s="82" t="str">
        <f aca="false">IF(AND(ISNUMBER(U452),OR(AQ452="À RADIOGRAPHIER",AQ452="RÉPARÉ – À RADIOGRAPHIER",AQ452="NX – RT À REFAIRE",AQ452="À RÉPARER",AQ452="COUPE – À RESOUDER",AQ452="VT REJETÉ – À REPRENDRE")),MAX(0,'PROGRAMME RT'!$C$4-U452),"")</f>
        <v/>
      </c>
      <c r="AS452" s="82" t="n">
        <f aca="false">IF(AND(OR(AQ452="À RADIOGRAPHIER",AQ452="RÉPARÉ – À RADIOGRAPHIER",AQ452="NX – RT À REFAIRE"),OR('PROGRAMME RT'!$D$5="TOUTES",B452='PROGRAMME RT'!$D$5)),1,0)</f>
        <v>0</v>
      </c>
      <c r="AT452" s="82" t="str">
        <f aca="false">IF(AS452=1,SUM(AS$7:AS452),"")</f>
        <v/>
      </c>
      <c r="AU452" s="82" t="n">
        <f aca="false">IF(AND(OR(AA452="R",AA452="NX",AA452="NT",AA452="CO"),OR('JOINTS DE RÉPARATION'!$D$5="TOUTES",B452='JOINTS DE RÉPARATION'!$D$5),OR('JOINTS DE RÉPARATION'!$L$4="TOUS",AQ452&lt;&gt;"ACCEPTÉ")),1,0)</f>
        <v>0</v>
      </c>
      <c r="AV452" s="82" t="str">
        <f aca="false">IF(AU452=1,SUM(AU$7:AU452),"")</f>
        <v/>
      </c>
      <c r="AW452" s="82" t="str">
        <f aca="false">IF(E452="","",B452&amp;"|"&amp;E452)</f>
        <v>MFD-ISW → MFD-CPF|JN°446</v>
      </c>
    </row>
    <row r="453" customFormat="false" ht="74.6" hidden="false" customHeight="false" outlineLevel="0" collapsed="false">
      <c r="A453" s="79" t="n">
        <f aca="false">IF(E453="","",ROW()-6)</f>
        <v>447</v>
      </c>
      <c r="B453" s="80" t="s">
        <v>110</v>
      </c>
      <c r="C453" s="81"/>
      <c r="D453" s="81"/>
      <c r="E453" s="81" t="s">
        <v>557</v>
      </c>
      <c r="F453" s="82" t="str">
        <f aca="false">IF(E453="","",IF(LEFT(E453,2)="DJ","DJ","JN"))</f>
        <v>JN</v>
      </c>
      <c r="G453" s="81"/>
      <c r="H453" s="81"/>
      <c r="I453" s="81"/>
      <c r="J453" s="81"/>
      <c r="K453" s="81"/>
      <c r="L453" s="81"/>
      <c r="M453" s="81"/>
      <c r="N453" s="81"/>
      <c r="O453" s="81"/>
      <c r="P453" s="81"/>
      <c r="Q453" s="81"/>
      <c r="R453" s="81"/>
      <c r="S453" s="81"/>
      <c r="T453" s="81"/>
      <c r="U453" s="83"/>
      <c r="V453" s="83"/>
      <c r="W453" s="81"/>
      <c r="X453" s="81"/>
      <c r="Y453" s="83"/>
      <c r="Z453" s="81"/>
      <c r="AA453" s="81"/>
      <c r="AB453" s="81"/>
      <c r="AC453" s="81"/>
      <c r="AD453" s="81"/>
      <c r="AE453" s="83"/>
      <c r="AF453" s="81"/>
      <c r="AG453" s="81"/>
      <c r="AH453" s="81"/>
      <c r="AI453" s="81"/>
      <c r="AJ453" s="83"/>
      <c r="AK453" s="81"/>
      <c r="AL453" s="81"/>
      <c r="AM453" s="83"/>
      <c r="AN453" s="80"/>
      <c r="AO453" s="82" t="n">
        <f aca="false">IF(E453="","",(AA453&lt;&gt;"")+(AG453&lt;&gt;"")+(AL453&lt;&gt;""))</f>
        <v>0</v>
      </c>
      <c r="AP453" s="82" t="str">
        <f aca="false">IF(AL453&lt;&gt;"",AL453,IF(AG453&lt;&gt;"",AG453,IF(AA453&lt;&gt;"",AA453,"")))</f>
        <v/>
      </c>
      <c r="AQ453" s="84" t="str">
        <f aca="false">IF(E453="","",IF(U453="","À SOUDER",IF(X453="","VT EN ATTENTE",IF(X453="R","VT REJETÉ – À REPRENDRE",IF(AP453="","À RADIOGRAPHIER",IF(AP453="A","ACCEPTÉ",IF(AP453="NX","NX – RT À REFAIRE",IF(IF(AO453=1,AD453,IF(AO453=2,AI453,""))="A","RÉPARÉ – À RADIOGRAPHIER",IF(IF(AO453=1,AD453,IF(AO453=2,AI453,""))="R","VT REJETÉ – À REPRENDRE",IF(OR(AP453="CO",AP453="NT"),"COUPE – À RESOUDER","À RÉPARER"))))))))))</f>
        <v>À SOUDER</v>
      </c>
      <c r="AR453" s="82" t="str">
        <f aca="false">IF(AND(ISNUMBER(U453),OR(AQ453="À RADIOGRAPHIER",AQ453="RÉPARÉ – À RADIOGRAPHIER",AQ453="NX – RT À REFAIRE",AQ453="À RÉPARER",AQ453="COUPE – À RESOUDER",AQ453="VT REJETÉ – À REPRENDRE")),MAX(0,'PROGRAMME RT'!$C$4-U453),"")</f>
        <v/>
      </c>
      <c r="AS453" s="82" t="n">
        <f aca="false">IF(AND(OR(AQ453="À RADIOGRAPHIER",AQ453="RÉPARÉ – À RADIOGRAPHIER",AQ453="NX – RT À REFAIRE"),OR('PROGRAMME RT'!$D$5="TOUTES",B453='PROGRAMME RT'!$D$5)),1,0)</f>
        <v>0</v>
      </c>
      <c r="AT453" s="82" t="str">
        <f aca="false">IF(AS453=1,SUM(AS$7:AS453),"")</f>
        <v/>
      </c>
      <c r="AU453" s="82" t="n">
        <f aca="false">IF(AND(OR(AA453="R",AA453="NX",AA453="NT",AA453="CO"),OR('JOINTS DE RÉPARATION'!$D$5="TOUTES",B453='JOINTS DE RÉPARATION'!$D$5),OR('JOINTS DE RÉPARATION'!$L$4="TOUS",AQ453&lt;&gt;"ACCEPTÉ")),1,0)</f>
        <v>0</v>
      </c>
      <c r="AV453" s="82" t="str">
        <f aca="false">IF(AU453=1,SUM(AU$7:AU453),"")</f>
        <v/>
      </c>
      <c r="AW453" s="82" t="str">
        <f aca="false">IF(E453="","",B453&amp;"|"&amp;E453)</f>
        <v>MFD-ISW → MFD-CPF|JN°447</v>
      </c>
    </row>
    <row r="454" customFormat="false" ht="74.6" hidden="false" customHeight="false" outlineLevel="0" collapsed="false">
      <c r="A454" s="79" t="n">
        <f aca="false">IF(E454="","",ROW()-6)</f>
        <v>448</v>
      </c>
      <c r="B454" s="80" t="s">
        <v>110</v>
      </c>
      <c r="C454" s="81"/>
      <c r="D454" s="81"/>
      <c r="E454" s="81" t="s">
        <v>558</v>
      </c>
      <c r="F454" s="82" t="str">
        <f aca="false">IF(E454="","",IF(LEFT(E454,2)="DJ","DJ","JN"))</f>
        <v>JN</v>
      </c>
      <c r="G454" s="81"/>
      <c r="H454" s="81"/>
      <c r="I454" s="81"/>
      <c r="J454" s="81"/>
      <c r="K454" s="81"/>
      <c r="L454" s="81"/>
      <c r="M454" s="81"/>
      <c r="N454" s="81"/>
      <c r="O454" s="81"/>
      <c r="P454" s="81"/>
      <c r="Q454" s="81"/>
      <c r="R454" s="81"/>
      <c r="S454" s="81"/>
      <c r="T454" s="81"/>
      <c r="U454" s="83"/>
      <c r="V454" s="83"/>
      <c r="W454" s="81"/>
      <c r="X454" s="81"/>
      <c r="Y454" s="83"/>
      <c r="Z454" s="81"/>
      <c r="AA454" s="81"/>
      <c r="AB454" s="81"/>
      <c r="AC454" s="81"/>
      <c r="AD454" s="81"/>
      <c r="AE454" s="83"/>
      <c r="AF454" s="81"/>
      <c r="AG454" s="81"/>
      <c r="AH454" s="81"/>
      <c r="AI454" s="81"/>
      <c r="AJ454" s="83"/>
      <c r="AK454" s="81"/>
      <c r="AL454" s="81"/>
      <c r="AM454" s="83"/>
      <c r="AN454" s="80"/>
      <c r="AO454" s="82" t="n">
        <f aca="false">IF(E454="","",(AA454&lt;&gt;"")+(AG454&lt;&gt;"")+(AL454&lt;&gt;""))</f>
        <v>0</v>
      </c>
      <c r="AP454" s="82" t="str">
        <f aca="false">IF(AL454&lt;&gt;"",AL454,IF(AG454&lt;&gt;"",AG454,IF(AA454&lt;&gt;"",AA454,"")))</f>
        <v/>
      </c>
      <c r="AQ454" s="84" t="str">
        <f aca="false">IF(E454="","",IF(U454="","À SOUDER",IF(X454="","VT EN ATTENTE",IF(X454="R","VT REJETÉ – À REPRENDRE",IF(AP454="","À RADIOGRAPHIER",IF(AP454="A","ACCEPTÉ",IF(AP454="NX","NX – RT À REFAIRE",IF(IF(AO454=1,AD454,IF(AO454=2,AI454,""))="A","RÉPARÉ – À RADIOGRAPHIER",IF(IF(AO454=1,AD454,IF(AO454=2,AI454,""))="R","VT REJETÉ – À REPRENDRE",IF(OR(AP454="CO",AP454="NT"),"COUPE – À RESOUDER","À RÉPARER"))))))))))</f>
        <v>À SOUDER</v>
      </c>
      <c r="AR454" s="82" t="str">
        <f aca="false">IF(AND(ISNUMBER(U454),OR(AQ454="À RADIOGRAPHIER",AQ454="RÉPARÉ – À RADIOGRAPHIER",AQ454="NX – RT À REFAIRE",AQ454="À RÉPARER",AQ454="COUPE – À RESOUDER",AQ454="VT REJETÉ – À REPRENDRE")),MAX(0,'PROGRAMME RT'!$C$4-U454),"")</f>
        <v/>
      </c>
      <c r="AS454" s="82" t="n">
        <f aca="false">IF(AND(OR(AQ454="À RADIOGRAPHIER",AQ454="RÉPARÉ – À RADIOGRAPHIER",AQ454="NX – RT À REFAIRE"),OR('PROGRAMME RT'!$D$5="TOUTES",B454='PROGRAMME RT'!$D$5)),1,0)</f>
        <v>0</v>
      </c>
      <c r="AT454" s="82" t="str">
        <f aca="false">IF(AS454=1,SUM(AS$7:AS454),"")</f>
        <v/>
      </c>
      <c r="AU454" s="82" t="n">
        <f aca="false">IF(AND(OR(AA454="R",AA454="NX",AA454="NT",AA454="CO"),OR('JOINTS DE RÉPARATION'!$D$5="TOUTES",B454='JOINTS DE RÉPARATION'!$D$5),OR('JOINTS DE RÉPARATION'!$L$4="TOUS",AQ454&lt;&gt;"ACCEPTÉ")),1,0)</f>
        <v>0</v>
      </c>
      <c r="AV454" s="82" t="str">
        <f aca="false">IF(AU454=1,SUM(AU$7:AU454),"")</f>
        <v/>
      </c>
      <c r="AW454" s="82" t="str">
        <f aca="false">IF(E454="","",B454&amp;"|"&amp;E454)</f>
        <v>MFD-ISW → MFD-CPF|JN°448</v>
      </c>
    </row>
    <row r="455" customFormat="false" ht="74.6" hidden="false" customHeight="false" outlineLevel="0" collapsed="false">
      <c r="A455" s="79" t="n">
        <f aca="false">IF(E455="","",ROW()-6)</f>
        <v>449</v>
      </c>
      <c r="B455" s="80" t="s">
        <v>110</v>
      </c>
      <c r="C455" s="81"/>
      <c r="D455" s="81"/>
      <c r="E455" s="81" t="s">
        <v>559</v>
      </c>
      <c r="F455" s="82" t="str">
        <f aca="false">IF(E455="","",IF(LEFT(E455,2)="DJ","DJ","JN"))</f>
        <v>JN</v>
      </c>
      <c r="G455" s="81"/>
      <c r="H455" s="81"/>
      <c r="I455" s="81"/>
      <c r="J455" s="81"/>
      <c r="K455" s="81"/>
      <c r="L455" s="81"/>
      <c r="M455" s="81"/>
      <c r="N455" s="81"/>
      <c r="O455" s="81"/>
      <c r="P455" s="81"/>
      <c r="Q455" s="81"/>
      <c r="R455" s="81"/>
      <c r="S455" s="81"/>
      <c r="T455" s="81"/>
      <c r="U455" s="83"/>
      <c r="V455" s="83"/>
      <c r="W455" s="81"/>
      <c r="X455" s="81"/>
      <c r="Y455" s="83"/>
      <c r="Z455" s="81"/>
      <c r="AA455" s="81"/>
      <c r="AB455" s="81"/>
      <c r="AC455" s="81"/>
      <c r="AD455" s="81"/>
      <c r="AE455" s="83"/>
      <c r="AF455" s="81"/>
      <c r="AG455" s="81"/>
      <c r="AH455" s="81"/>
      <c r="AI455" s="81"/>
      <c r="AJ455" s="83"/>
      <c r="AK455" s="81"/>
      <c r="AL455" s="81"/>
      <c r="AM455" s="83"/>
      <c r="AN455" s="80"/>
      <c r="AO455" s="82" t="n">
        <f aca="false">IF(E455="","",(AA455&lt;&gt;"")+(AG455&lt;&gt;"")+(AL455&lt;&gt;""))</f>
        <v>0</v>
      </c>
      <c r="AP455" s="82" t="str">
        <f aca="false">IF(AL455&lt;&gt;"",AL455,IF(AG455&lt;&gt;"",AG455,IF(AA455&lt;&gt;"",AA455,"")))</f>
        <v/>
      </c>
      <c r="AQ455" s="84" t="str">
        <f aca="false">IF(E455="","",IF(U455="","À SOUDER",IF(X455="","VT EN ATTENTE",IF(X455="R","VT REJETÉ – À REPRENDRE",IF(AP455="","À RADIOGRAPHIER",IF(AP455="A","ACCEPTÉ",IF(AP455="NX","NX – RT À REFAIRE",IF(IF(AO455=1,AD455,IF(AO455=2,AI455,""))="A","RÉPARÉ – À RADIOGRAPHIER",IF(IF(AO455=1,AD455,IF(AO455=2,AI455,""))="R","VT REJETÉ – À REPRENDRE",IF(OR(AP455="CO",AP455="NT"),"COUPE – À RESOUDER","À RÉPARER"))))))))))</f>
        <v>À SOUDER</v>
      </c>
      <c r="AR455" s="82" t="str">
        <f aca="false">IF(AND(ISNUMBER(U455),OR(AQ455="À RADIOGRAPHIER",AQ455="RÉPARÉ – À RADIOGRAPHIER",AQ455="NX – RT À REFAIRE",AQ455="À RÉPARER",AQ455="COUPE – À RESOUDER",AQ455="VT REJETÉ – À REPRENDRE")),MAX(0,'PROGRAMME RT'!$C$4-U455),"")</f>
        <v/>
      </c>
      <c r="AS455" s="82" t="n">
        <f aca="false">IF(AND(OR(AQ455="À RADIOGRAPHIER",AQ455="RÉPARÉ – À RADIOGRAPHIER",AQ455="NX – RT À REFAIRE"),OR('PROGRAMME RT'!$D$5="TOUTES",B455='PROGRAMME RT'!$D$5)),1,0)</f>
        <v>0</v>
      </c>
      <c r="AT455" s="82" t="str">
        <f aca="false">IF(AS455=1,SUM(AS$7:AS455),"")</f>
        <v/>
      </c>
      <c r="AU455" s="82" t="n">
        <f aca="false">IF(AND(OR(AA455="R",AA455="NX",AA455="NT",AA455="CO"),OR('JOINTS DE RÉPARATION'!$D$5="TOUTES",B455='JOINTS DE RÉPARATION'!$D$5),OR('JOINTS DE RÉPARATION'!$L$4="TOUS",AQ455&lt;&gt;"ACCEPTÉ")),1,0)</f>
        <v>0</v>
      </c>
      <c r="AV455" s="82" t="str">
        <f aca="false">IF(AU455=1,SUM(AU$7:AU455),"")</f>
        <v/>
      </c>
      <c r="AW455" s="82" t="str">
        <f aca="false">IF(E455="","",B455&amp;"|"&amp;E455)</f>
        <v>MFD-ISW → MFD-CPF|JN°449</v>
      </c>
    </row>
    <row r="456" customFormat="false" ht="74.6" hidden="false" customHeight="false" outlineLevel="0" collapsed="false">
      <c r="A456" s="79" t="n">
        <f aca="false">IF(E456="","",ROW()-6)</f>
        <v>450</v>
      </c>
      <c r="B456" s="80" t="s">
        <v>110</v>
      </c>
      <c r="C456" s="81"/>
      <c r="D456" s="81"/>
      <c r="E456" s="81" t="s">
        <v>560</v>
      </c>
      <c r="F456" s="82" t="str">
        <f aca="false">IF(E456="","",IF(LEFT(E456,2)="DJ","DJ","JN"))</f>
        <v>JN</v>
      </c>
      <c r="G456" s="81"/>
      <c r="H456" s="81"/>
      <c r="I456" s="81"/>
      <c r="J456" s="81"/>
      <c r="K456" s="81"/>
      <c r="L456" s="81"/>
      <c r="M456" s="81"/>
      <c r="N456" s="81"/>
      <c r="O456" s="81"/>
      <c r="P456" s="81"/>
      <c r="Q456" s="81"/>
      <c r="R456" s="81"/>
      <c r="S456" s="81"/>
      <c r="T456" s="81"/>
      <c r="U456" s="83"/>
      <c r="V456" s="83"/>
      <c r="W456" s="81"/>
      <c r="X456" s="81"/>
      <c r="Y456" s="83"/>
      <c r="Z456" s="81"/>
      <c r="AA456" s="81"/>
      <c r="AB456" s="81"/>
      <c r="AC456" s="81"/>
      <c r="AD456" s="81"/>
      <c r="AE456" s="83"/>
      <c r="AF456" s="81"/>
      <c r="AG456" s="81"/>
      <c r="AH456" s="81"/>
      <c r="AI456" s="81"/>
      <c r="AJ456" s="83"/>
      <c r="AK456" s="81"/>
      <c r="AL456" s="81"/>
      <c r="AM456" s="83"/>
      <c r="AN456" s="80"/>
      <c r="AO456" s="82" t="n">
        <f aca="false">IF(E456="","",(AA456&lt;&gt;"")+(AG456&lt;&gt;"")+(AL456&lt;&gt;""))</f>
        <v>0</v>
      </c>
      <c r="AP456" s="82" t="str">
        <f aca="false">IF(AL456&lt;&gt;"",AL456,IF(AG456&lt;&gt;"",AG456,IF(AA456&lt;&gt;"",AA456,"")))</f>
        <v/>
      </c>
      <c r="AQ456" s="84" t="str">
        <f aca="false">IF(E456="","",IF(U456="","À SOUDER",IF(X456="","VT EN ATTENTE",IF(X456="R","VT REJETÉ – À REPRENDRE",IF(AP456="","À RADIOGRAPHIER",IF(AP456="A","ACCEPTÉ",IF(AP456="NX","NX – RT À REFAIRE",IF(IF(AO456=1,AD456,IF(AO456=2,AI456,""))="A","RÉPARÉ – À RADIOGRAPHIER",IF(IF(AO456=1,AD456,IF(AO456=2,AI456,""))="R","VT REJETÉ – À REPRENDRE",IF(OR(AP456="CO",AP456="NT"),"COUPE – À RESOUDER","À RÉPARER"))))))))))</f>
        <v>À SOUDER</v>
      </c>
      <c r="AR456" s="82" t="str">
        <f aca="false">IF(AND(ISNUMBER(U456),OR(AQ456="À RADIOGRAPHIER",AQ456="RÉPARÉ – À RADIOGRAPHIER",AQ456="NX – RT À REFAIRE",AQ456="À RÉPARER",AQ456="COUPE – À RESOUDER",AQ456="VT REJETÉ – À REPRENDRE")),MAX(0,'PROGRAMME RT'!$C$4-U456),"")</f>
        <v/>
      </c>
      <c r="AS456" s="82" t="n">
        <f aca="false">IF(AND(OR(AQ456="À RADIOGRAPHIER",AQ456="RÉPARÉ – À RADIOGRAPHIER",AQ456="NX – RT À REFAIRE"),OR('PROGRAMME RT'!$D$5="TOUTES",B456='PROGRAMME RT'!$D$5)),1,0)</f>
        <v>0</v>
      </c>
      <c r="AT456" s="82" t="str">
        <f aca="false">IF(AS456=1,SUM(AS$7:AS456),"")</f>
        <v/>
      </c>
      <c r="AU456" s="82" t="n">
        <f aca="false">IF(AND(OR(AA456="R",AA456="NX",AA456="NT",AA456="CO"),OR('JOINTS DE RÉPARATION'!$D$5="TOUTES",B456='JOINTS DE RÉPARATION'!$D$5),OR('JOINTS DE RÉPARATION'!$L$4="TOUS",AQ456&lt;&gt;"ACCEPTÉ")),1,0)</f>
        <v>0</v>
      </c>
      <c r="AV456" s="82" t="str">
        <f aca="false">IF(AU456=1,SUM(AU$7:AU456),"")</f>
        <v/>
      </c>
      <c r="AW456" s="82" t="str">
        <f aca="false">IF(E456="","",B456&amp;"|"&amp;E456)</f>
        <v>MFD-ISW → MFD-CPF|JN°450</v>
      </c>
    </row>
    <row r="457" customFormat="false" ht="74.6" hidden="false" customHeight="false" outlineLevel="0" collapsed="false">
      <c r="A457" s="79" t="n">
        <f aca="false">IF(E457="","",ROW()-6)</f>
        <v>451</v>
      </c>
      <c r="B457" s="80" t="s">
        <v>110</v>
      </c>
      <c r="C457" s="81"/>
      <c r="D457" s="81"/>
      <c r="E457" s="81" t="s">
        <v>561</v>
      </c>
      <c r="F457" s="82" t="str">
        <f aca="false">IF(E457="","",IF(LEFT(E457,2)="DJ","DJ","JN"))</f>
        <v>JN</v>
      </c>
      <c r="G457" s="81"/>
      <c r="H457" s="81"/>
      <c r="I457" s="81"/>
      <c r="J457" s="81"/>
      <c r="K457" s="81"/>
      <c r="L457" s="81"/>
      <c r="M457" s="81"/>
      <c r="N457" s="81"/>
      <c r="O457" s="81"/>
      <c r="P457" s="81"/>
      <c r="Q457" s="81"/>
      <c r="R457" s="81"/>
      <c r="S457" s="81"/>
      <c r="T457" s="81"/>
      <c r="U457" s="83"/>
      <c r="V457" s="83"/>
      <c r="W457" s="81"/>
      <c r="X457" s="81"/>
      <c r="Y457" s="83"/>
      <c r="Z457" s="81"/>
      <c r="AA457" s="81"/>
      <c r="AB457" s="81"/>
      <c r="AC457" s="81"/>
      <c r="AD457" s="81"/>
      <c r="AE457" s="83"/>
      <c r="AF457" s="81"/>
      <c r="AG457" s="81"/>
      <c r="AH457" s="81"/>
      <c r="AI457" s="81"/>
      <c r="AJ457" s="83"/>
      <c r="AK457" s="81"/>
      <c r="AL457" s="81"/>
      <c r="AM457" s="83"/>
      <c r="AN457" s="80"/>
      <c r="AO457" s="82" t="n">
        <f aca="false">IF(E457="","",(AA457&lt;&gt;"")+(AG457&lt;&gt;"")+(AL457&lt;&gt;""))</f>
        <v>0</v>
      </c>
      <c r="AP457" s="82" t="str">
        <f aca="false">IF(AL457&lt;&gt;"",AL457,IF(AG457&lt;&gt;"",AG457,IF(AA457&lt;&gt;"",AA457,"")))</f>
        <v/>
      </c>
      <c r="AQ457" s="84" t="str">
        <f aca="false">IF(E457="","",IF(U457="","À SOUDER",IF(X457="","VT EN ATTENTE",IF(X457="R","VT REJETÉ – À REPRENDRE",IF(AP457="","À RADIOGRAPHIER",IF(AP457="A","ACCEPTÉ",IF(AP457="NX","NX – RT À REFAIRE",IF(IF(AO457=1,AD457,IF(AO457=2,AI457,""))="A","RÉPARÉ – À RADIOGRAPHIER",IF(IF(AO457=1,AD457,IF(AO457=2,AI457,""))="R","VT REJETÉ – À REPRENDRE",IF(OR(AP457="CO",AP457="NT"),"COUPE – À RESOUDER","À RÉPARER"))))))))))</f>
        <v>À SOUDER</v>
      </c>
      <c r="AR457" s="82" t="str">
        <f aca="false">IF(AND(ISNUMBER(U457),OR(AQ457="À RADIOGRAPHIER",AQ457="RÉPARÉ – À RADIOGRAPHIER",AQ457="NX – RT À REFAIRE",AQ457="À RÉPARER",AQ457="COUPE – À RESOUDER",AQ457="VT REJETÉ – À REPRENDRE")),MAX(0,'PROGRAMME RT'!$C$4-U457),"")</f>
        <v/>
      </c>
      <c r="AS457" s="82" t="n">
        <f aca="false">IF(AND(OR(AQ457="À RADIOGRAPHIER",AQ457="RÉPARÉ – À RADIOGRAPHIER",AQ457="NX – RT À REFAIRE"),OR('PROGRAMME RT'!$D$5="TOUTES",B457='PROGRAMME RT'!$D$5)),1,0)</f>
        <v>0</v>
      </c>
      <c r="AT457" s="82" t="str">
        <f aca="false">IF(AS457=1,SUM(AS$7:AS457),"")</f>
        <v/>
      </c>
      <c r="AU457" s="82" t="n">
        <f aca="false">IF(AND(OR(AA457="R",AA457="NX",AA457="NT",AA457="CO"),OR('JOINTS DE RÉPARATION'!$D$5="TOUTES",B457='JOINTS DE RÉPARATION'!$D$5),OR('JOINTS DE RÉPARATION'!$L$4="TOUS",AQ457&lt;&gt;"ACCEPTÉ")),1,0)</f>
        <v>0</v>
      </c>
      <c r="AV457" s="82" t="str">
        <f aca="false">IF(AU457=1,SUM(AU$7:AU457),"")</f>
        <v/>
      </c>
      <c r="AW457" s="82" t="str">
        <f aca="false">IF(E457="","",B457&amp;"|"&amp;E457)</f>
        <v>MFD-ISW → MFD-CPF|JN°451</v>
      </c>
    </row>
    <row r="458" customFormat="false" ht="74.6" hidden="false" customHeight="false" outlineLevel="0" collapsed="false">
      <c r="A458" s="79" t="n">
        <f aca="false">IF(E458="","",ROW()-6)</f>
        <v>452</v>
      </c>
      <c r="B458" s="80" t="s">
        <v>110</v>
      </c>
      <c r="C458" s="81"/>
      <c r="D458" s="81"/>
      <c r="E458" s="81" t="s">
        <v>562</v>
      </c>
      <c r="F458" s="82" t="str">
        <f aca="false">IF(E458="","",IF(LEFT(E458,2)="DJ","DJ","JN"))</f>
        <v>JN</v>
      </c>
      <c r="G458" s="81"/>
      <c r="H458" s="81"/>
      <c r="I458" s="81"/>
      <c r="J458" s="81"/>
      <c r="K458" s="81"/>
      <c r="L458" s="81"/>
      <c r="M458" s="81"/>
      <c r="N458" s="81"/>
      <c r="O458" s="81"/>
      <c r="P458" s="81"/>
      <c r="Q458" s="81"/>
      <c r="R458" s="81"/>
      <c r="S458" s="81"/>
      <c r="T458" s="81"/>
      <c r="U458" s="83"/>
      <c r="V458" s="83"/>
      <c r="W458" s="81"/>
      <c r="X458" s="81"/>
      <c r="Y458" s="83"/>
      <c r="Z458" s="81"/>
      <c r="AA458" s="81"/>
      <c r="AB458" s="81"/>
      <c r="AC458" s="81"/>
      <c r="AD458" s="81"/>
      <c r="AE458" s="83"/>
      <c r="AF458" s="81"/>
      <c r="AG458" s="81"/>
      <c r="AH458" s="81"/>
      <c r="AI458" s="81"/>
      <c r="AJ458" s="83"/>
      <c r="AK458" s="81"/>
      <c r="AL458" s="81"/>
      <c r="AM458" s="83"/>
      <c r="AN458" s="80"/>
      <c r="AO458" s="82" t="n">
        <f aca="false">IF(E458="","",(AA458&lt;&gt;"")+(AG458&lt;&gt;"")+(AL458&lt;&gt;""))</f>
        <v>0</v>
      </c>
      <c r="AP458" s="82" t="str">
        <f aca="false">IF(AL458&lt;&gt;"",AL458,IF(AG458&lt;&gt;"",AG458,IF(AA458&lt;&gt;"",AA458,"")))</f>
        <v/>
      </c>
      <c r="AQ458" s="84" t="str">
        <f aca="false">IF(E458="","",IF(U458="","À SOUDER",IF(X458="","VT EN ATTENTE",IF(X458="R","VT REJETÉ – À REPRENDRE",IF(AP458="","À RADIOGRAPHIER",IF(AP458="A","ACCEPTÉ",IF(AP458="NX","NX – RT À REFAIRE",IF(IF(AO458=1,AD458,IF(AO458=2,AI458,""))="A","RÉPARÉ – À RADIOGRAPHIER",IF(IF(AO458=1,AD458,IF(AO458=2,AI458,""))="R","VT REJETÉ – À REPRENDRE",IF(OR(AP458="CO",AP458="NT"),"COUPE – À RESOUDER","À RÉPARER"))))))))))</f>
        <v>À SOUDER</v>
      </c>
      <c r="AR458" s="82" t="str">
        <f aca="false">IF(AND(ISNUMBER(U458),OR(AQ458="À RADIOGRAPHIER",AQ458="RÉPARÉ – À RADIOGRAPHIER",AQ458="NX – RT À REFAIRE",AQ458="À RÉPARER",AQ458="COUPE – À RESOUDER",AQ458="VT REJETÉ – À REPRENDRE")),MAX(0,'PROGRAMME RT'!$C$4-U458),"")</f>
        <v/>
      </c>
      <c r="AS458" s="82" t="n">
        <f aca="false">IF(AND(OR(AQ458="À RADIOGRAPHIER",AQ458="RÉPARÉ – À RADIOGRAPHIER",AQ458="NX – RT À REFAIRE"),OR('PROGRAMME RT'!$D$5="TOUTES",B458='PROGRAMME RT'!$D$5)),1,0)</f>
        <v>0</v>
      </c>
      <c r="AT458" s="82" t="str">
        <f aca="false">IF(AS458=1,SUM(AS$7:AS458),"")</f>
        <v/>
      </c>
      <c r="AU458" s="82" t="n">
        <f aca="false">IF(AND(OR(AA458="R",AA458="NX",AA458="NT",AA458="CO"),OR('JOINTS DE RÉPARATION'!$D$5="TOUTES",B458='JOINTS DE RÉPARATION'!$D$5),OR('JOINTS DE RÉPARATION'!$L$4="TOUS",AQ458&lt;&gt;"ACCEPTÉ")),1,0)</f>
        <v>0</v>
      </c>
      <c r="AV458" s="82" t="str">
        <f aca="false">IF(AU458=1,SUM(AU$7:AU458),"")</f>
        <v/>
      </c>
      <c r="AW458" s="82" t="str">
        <f aca="false">IF(E458="","",B458&amp;"|"&amp;E458)</f>
        <v>MFD-ISW → MFD-CPF|JN°452</v>
      </c>
    </row>
    <row r="459" customFormat="false" ht="74.6" hidden="false" customHeight="false" outlineLevel="0" collapsed="false">
      <c r="A459" s="79" t="n">
        <f aca="false">IF(E459="","",ROW()-6)</f>
        <v>453</v>
      </c>
      <c r="B459" s="80" t="s">
        <v>110</v>
      </c>
      <c r="C459" s="81"/>
      <c r="D459" s="81"/>
      <c r="E459" s="81" t="s">
        <v>563</v>
      </c>
      <c r="F459" s="82" t="str">
        <f aca="false">IF(E459="","",IF(LEFT(E459,2)="DJ","DJ","JN"))</f>
        <v>JN</v>
      </c>
      <c r="G459" s="81"/>
      <c r="H459" s="81"/>
      <c r="I459" s="81"/>
      <c r="J459" s="81"/>
      <c r="K459" s="81"/>
      <c r="L459" s="81"/>
      <c r="M459" s="81"/>
      <c r="N459" s="81"/>
      <c r="O459" s="81"/>
      <c r="P459" s="81"/>
      <c r="Q459" s="81"/>
      <c r="R459" s="81"/>
      <c r="S459" s="81"/>
      <c r="T459" s="81"/>
      <c r="U459" s="83"/>
      <c r="V459" s="83"/>
      <c r="W459" s="81"/>
      <c r="X459" s="81"/>
      <c r="Y459" s="83"/>
      <c r="Z459" s="81"/>
      <c r="AA459" s="81"/>
      <c r="AB459" s="81"/>
      <c r="AC459" s="81"/>
      <c r="AD459" s="81"/>
      <c r="AE459" s="83"/>
      <c r="AF459" s="81"/>
      <c r="AG459" s="81"/>
      <c r="AH459" s="81"/>
      <c r="AI459" s="81"/>
      <c r="AJ459" s="83"/>
      <c r="AK459" s="81"/>
      <c r="AL459" s="81"/>
      <c r="AM459" s="83"/>
      <c r="AN459" s="80"/>
      <c r="AO459" s="82" t="n">
        <f aca="false">IF(E459="","",(AA459&lt;&gt;"")+(AG459&lt;&gt;"")+(AL459&lt;&gt;""))</f>
        <v>0</v>
      </c>
      <c r="AP459" s="82" t="str">
        <f aca="false">IF(AL459&lt;&gt;"",AL459,IF(AG459&lt;&gt;"",AG459,IF(AA459&lt;&gt;"",AA459,"")))</f>
        <v/>
      </c>
      <c r="AQ459" s="84" t="str">
        <f aca="false">IF(E459="","",IF(U459="","À SOUDER",IF(X459="","VT EN ATTENTE",IF(X459="R","VT REJETÉ – À REPRENDRE",IF(AP459="","À RADIOGRAPHIER",IF(AP459="A","ACCEPTÉ",IF(AP459="NX","NX – RT À REFAIRE",IF(IF(AO459=1,AD459,IF(AO459=2,AI459,""))="A","RÉPARÉ – À RADIOGRAPHIER",IF(IF(AO459=1,AD459,IF(AO459=2,AI459,""))="R","VT REJETÉ – À REPRENDRE",IF(OR(AP459="CO",AP459="NT"),"COUPE – À RESOUDER","À RÉPARER"))))))))))</f>
        <v>À SOUDER</v>
      </c>
      <c r="AR459" s="82" t="str">
        <f aca="false">IF(AND(ISNUMBER(U459),OR(AQ459="À RADIOGRAPHIER",AQ459="RÉPARÉ – À RADIOGRAPHIER",AQ459="NX – RT À REFAIRE",AQ459="À RÉPARER",AQ459="COUPE – À RESOUDER",AQ459="VT REJETÉ – À REPRENDRE")),MAX(0,'PROGRAMME RT'!$C$4-U459),"")</f>
        <v/>
      </c>
      <c r="AS459" s="82" t="n">
        <f aca="false">IF(AND(OR(AQ459="À RADIOGRAPHIER",AQ459="RÉPARÉ – À RADIOGRAPHIER",AQ459="NX – RT À REFAIRE"),OR('PROGRAMME RT'!$D$5="TOUTES",B459='PROGRAMME RT'!$D$5)),1,0)</f>
        <v>0</v>
      </c>
      <c r="AT459" s="82" t="str">
        <f aca="false">IF(AS459=1,SUM(AS$7:AS459),"")</f>
        <v/>
      </c>
      <c r="AU459" s="82" t="n">
        <f aca="false">IF(AND(OR(AA459="R",AA459="NX",AA459="NT",AA459="CO"),OR('JOINTS DE RÉPARATION'!$D$5="TOUTES",B459='JOINTS DE RÉPARATION'!$D$5),OR('JOINTS DE RÉPARATION'!$L$4="TOUS",AQ459&lt;&gt;"ACCEPTÉ")),1,0)</f>
        <v>0</v>
      </c>
      <c r="AV459" s="82" t="str">
        <f aca="false">IF(AU459=1,SUM(AU$7:AU459),"")</f>
        <v/>
      </c>
      <c r="AW459" s="82" t="str">
        <f aca="false">IF(E459="","",B459&amp;"|"&amp;E459)</f>
        <v>MFD-ISW → MFD-CPF|JN°453</v>
      </c>
    </row>
    <row r="460" customFormat="false" ht="74.6" hidden="false" customHeight="false" outlineLevel="0" collapsed="false">
      <c r="A460" s="79" t="n">
        <f aca="false">IF(E460="","",ROW()-6)</f>
        <v>454</v>
      </c>
      <c r="B460" s="80" t="s">
        <v>110</v>
      </c>
      <c r="C460" s="81"/>
      <c r="D460" s="81"/>
      <c r="E460" s="81" t="s">
        <v>564</v>
      </c>
      <c r="F460" s="82" t="str">
        <f aca="false">IF(E460="","",IF(LEFT(E460,2)="DJ","DJ","JN"))</f>
        <v>JN</v>
      </c>
      <c r="G460" s="81"/>
      <c r="H460" s="81"/>
      <c r="I460" s="81"/>
      <c r="J460" s="81"/>
      <c r="K460" s="81"/>
      <c r="L460" s="81"/>
      <c r="M460" s="81"/>
      <c r="N460" s="81"/>
      <c r="O460" s="81"/>
      <c r="P460" s="81"/>
      <c r="Q460" s="81"/>
      <c r="R460" s="81"/>
      <c r="S460" s="81"/>
      <c r="T460" s="81"/>
      <c r="U460" s="83"/>
      <c r="V460" s="83"/>
      <c r="W460" s="81"/>
      <c r="X460" s="81"/>
      <c r="Y460" s="83"/>
      <c r="Z460" s="81"/>
      <c r="AA460" s="81"/>
      <c r="AB460" s="81"/>
      <c r="AC460" s="81"/>
      <c r="AD460" s="81"/>
      <c r="AE460" s="83"/>
      <c r="AF460" s="81"/>
      <c r="AG460" s="81"/>
      <c r="AH460" s="81"/>
      <c r="AI460" s="81"/>
      <c r="AJ460" s="83"/>
      <c r="AK460" s="81"/>
      <c r="AL460" s="81"/>
      <c r="AM460" s="83"/>
      <c r="AN460" s="80"/>
      <c r="AO460" s="82" t="n">
        <f aca="false">IF(E460="","",(AA460&lt;&gt;"")+(AG460&lt;&gt;"")+(AL460&lt;&gt;""))</f>
        <v>0</v>
      </c>
      <c r="AP460" s="82" t="str">
        <f aca="false">IF(AL460&lt;&gt;"",AL460,IF(AG460&lt;&gt;"",AG460,IF(AA460&lt;&gt;"",AA460,"")))</f>
        <v/>
      </c>
      <c r="AQ460" s="84" t="str">
        <f aca="false">IF(E460="","",IF(U460="","À SOUDER",IF(X460="","VT EN ATTENTE",IF(X460="R","VT REJETÉ – À REPRENDRE",IF(AP460="","À RADIOGRAPHIER",IF(AP460="A","ACCEPTÉ",IF(AP460="NX","NX – RT À REFAIRE",IF(IF(AO460=1,AD460,IF(AO460=2,AI460,""))="A","RÉPARÉ – À RADIOGRAPHIER",IF(IF(AO460=1,AD460,IF(AO460=2,AI460,""))="R","VT REJETÉ – À REPRENDRE",IF(OR(AP460="CO",AP460="NT"),"COUPE – À RESOUDER","À RÉPARER"))))))))))</f>
        <v>À SOUDER</v>
      </c>
      <c r="AR460" s="82" t="str">
        <f aca="false">IF(AND(ISNUMBER(U460),OR(AQ460="À RADIOGRAPHIER",AQ460="RÉPARÉ – À RADIOGRAPHIER",AQ460="NX – RT À REFAIRE",AQ460="À RÉPARER",AQ460="COUPE – À RESOUDER",AQ460="VT REJETÉ – À REPRENDRE")),MAX(0,'PROGRAMME RT'!$C$4-U460),"")</f>
        <v/>
      </c>
      <c r="AS460" s="82" t="n">
        <f aca="false">IF(AND(OR(AQ460="À RADIOGRAPHIER",AQ460="RÉPARÉ – À RADIOGRAPHIER",AQ460="NX – RT À REFAIRE"),OR('PROGRAMME RT'!$D$5="TOUTES",B460='PROGRAMME RT'!$D$5)),1,0)</f>
        <v>0</v>
      </c>
      <c r="AT460" s="82" t="str">
        <f aca="false">IF(AS460=1,SUM(AS$7:AS460),"")</f>
        <v/>
      </c>
      <c r="AU460" s="82" t="n">
        <f aca="false">IF(AND(OR(AA460="R",AA460="NX",AA460="NT",AA460="CO"),OR('JOINTS DE RÉPARATION'!$D$5="TOUTES",B460='JOINTS DE RÉPARATION'!$D$5),OR('JOINTS DE RÉPARATION'!$L$4="TOUS",AQ460&lt;&gt;"ACCEPTÉ")),1,0)</f>
        <v>0</v>
      </c>
      <c r="AV460" s="82" t="str">
        <f aca="false">IF(AU460=1,SUM(AU$7:AU460),"")</f>
        <v/>
      </c>
      <c r="AW460" s="82" t="str">
        <f aca="false">IF(E460="","",B460&amp;"|"&amp;E460)</f>
        <v>MFD-ISW → MFD-CPF|JN°454</v>
      </c>
    </row>
    <row r="461" customFormat="false" ht="74.6" hidden="false" customHeight="false" outlineLevel="0" collapsed="false">
      <c r="A461" s="79" t="n">
        <f aca="false">IF(E461="","",ROW()-6)</f>
        <v>455</v>
      </c>
      <c r="B461" s="80" t="s">
        <v>110</v>
      </c>
      <c r="C461" s="81"/>
      <c r="D461" s="81"/>
      <c r="E461" s="81" t="s">
        <v>565</v>
      </c>
      <c r="F461" s="82" t="str">
        <f aca="false">IF(E461="","",IF(LEFT(E461,2)="DJ","DJ","JN"))</f>
        <v>JN</v>
      </c>
      <c r="G461" s="81"/>
      <c r="H461" s="81"/>
      <c r="I461" s="81"/>
      <c r="J461" s="81"/>
      <c r="K461" s="81"/>
      <c r="L461" s="81"/>
      <c r="M461" s="81"/>
      <c r="N461" s="81"/>
      <c r="O461" s="81"/>
      <c r="P461" s="81"/>
      <c r="Q461" s="81"/>
      <c r="R461" s="81"/>
      <c r="S461" s="81"/>
      <c r="T461" s="81"/>
      <c r="U461" s="83"/>
      <c r="V461" s="83"/>
      <c r="W461" s="81"/>
      <c r="X461" s="81"/>
      <c r="Y461" s="83"/>
      <c r="Z461" s="81"/>
      <c r="AA461" s="81"/>
      <c r="AB461" s="81"/>
      <c r="AC461" s="81"/>
      <c r="AD461" s="81"/>
      <c r="AE461" s="83"/>
      <c r="AF461" s="81"/>
      <c r="AG461" s="81"/>
      <c r="AH461" s="81"/>
      <c r="AI461" s="81"/>
      <c r="AJ461" s="83"/>
      <c r="AK461" s="81"/>
      <c r="AL461" s="81"/>
      <c r="AM461" s="83"/>
      <c r="AN461" s="80"/>
      <c r="AO461" s="82" t="n">
        <f aca="false">IF(E461="","",(AA461&lt;&gt;"")+(AG461&lt;&gt;"")+(AL461&lt;&gt;""))</f>
        <v>0</v>
      </c>
      <c r="AP461" s="82" t="str">
        <f aca="false">IF(AL461&lt;&gt;"",AL461,IF(AG461&lt;&gt;"",AG461,IF(AA461&lt;&gt;"",AA461,"")))</f>
        <v/>
      </c>
      <c r="AQ461" s="84" t="str">
        <f aca="false">IF(E461="","",IF(U461="","À SOUDER",IF(X461="","VT EN ATTENTE",IF(X461="R","VT REJETÉ – À REPRENDRE",IF(AP461="","À RADIOGRAPHIER",IF(AP461="A","ACCEPTÉ",IF(AP461="NX","NX – RT À REFAIRE",IF(IF(AO461=1,AD461,IF(AO461=2,AI461,""))="A","RÉPARÉ – À RADIOGRAPHIER",IF(IF(AO461=1,AD461,IF(AO461=2,AI461,""))="R","VT REJETÉ – À REPRENDRE",IF(OR(AP461="CO",AP461="NT"),"COUPE – À RESOUDER","À RÉPARER"))))))))))</f>
        <v>À SOUDER</v>
      </c>
      <c r="AR461" s="82" t="str">
        <f aca="false">IF(AND(ISNUMBER(U461),OR(AQ461="À RADIOGRAPHIER",AQ461="RÉPARÉ – À RADIOGRAPHIER",AQ461="NX – RT À REFAIRE",AQ461="À RÉPARER",AQ461="COUPE – À RESOUDER",AQ461="VT REJETÉ – À REPRENDRE")),MAX(0,'PROGRAMME RT'!$C$4-U461),"")</f>
        <v/>
      </c>
      <c r="AS461" s="82" t="n">
        <f aca="false">IF(AND(OR(AQ461="À RADIOGRAPHIER",AQ461="RÉPARÉ – À RADIOGRAPHIER",AQ461="NX – RT À REFAIRE"),OR('PROGRAMME RT'!$D$5="TOUTES",B461='PROGRAMME RT'!$D$5)),1,0)</f>
        <v>0</v>
      </c>
      <c r="AT461" s="82" t="str">
        <f aca="false">IF(AS461=1,SUM(AS$7:AS461),"")</f>
        <v/>
      </c>
      <c r="AU461" s="82" t="n">
        <f aca="false">IF(AND(OR(AA461="R",AA461="NX",AA461="NT",AA461="CO"),OR('JOINTS DE RÉPARATION'!$D$5="TOUTES",B461='JOINTS DE RÉPARATION'!$D$5),OR('JOINTS DE RÉPARATION'!$L$4="TOUS",AQ461&lt;&gt;"ACCEPTÉ")),1,0)</f>
        <v>0</v>
      </c>
      <c r="AV461" s="82" t="str">
        <f aca="false">IF(AU461=1,SUM(AU$7:AU461),"")</f>
        <v/>
      </c>
      <c r="AW461" s="82" t="str">
        <f aca="false">IF(E461="","",B461&amp;"|"&amp;E461)</f>
        <v>MFD-ISW → MFD-CPF|JN°455</v>
      </c>
    </row>
    <row r="462" customFormat="false" ht="74.6" hidden="false" customHeight="false" outlineLevel="0" collapsed="false">
      <c r="A462" s="79" t="n">
        <f aca="false">IF(E462="","",ROW()-6)</f>
        <v>456</v>
      </c>
      <c r="B462" s="80" t="s">
        <v>110</v>
      </c>
      <c r="C462" s="81"/>
      <c r="D462" s="81"/>
      <c r="E462" s="81" t="s">
        <v>566</v>
      </c>
      <c r="F462" s="82" t="str">
        <f aca="false">IF(E462="","",IF(LEFT(E462,2)="DJ","DJ","JN"))</f>
        <v>JN</v>
      </c>
      <c r="G462" s="81"/>
      <c r="H462" s="81"/>
      <c r="I462" s="81"/>
      <c r="J462" s="81"/>
      <c r="K462" s="81"/>
      <c r="L462" s="81"/>
      <c r="M462" s="81"/>
      <c r="N462" s="81"/>
      <c r="O462" s="81"/>
      <c r="P462" s="81"/>
      <c r="Q462" s="81"/>
      <c r="R462" s="81"/>
      <c r="S462" s="81"/>
      <c r="T462" s="81"/>
      <c r="U462" s="83"/>
      <c r="V462" s="83"/>
      <c r="W462" s="81"/>
      <c r="X462" s="81"/>
      <c r="Y462" s="83"/>
      <c r="Z462" s="81"/>
      <c r="AA462" s="81"/>
      <c r="AB462" s="81"/>
      <c r="AC462" s="81"/>
      <c r="AD462" s="81"/>
      <c r="AE462" s="83"/>
      <c r="AF462" s="81"/>
      <c r="AG462" s="81"/>
      <c r="AH462" s="81"/>
      <c r="AI462" s="81"/>
      <c r="AJ462" s="83"/>
      <c r="AK462" s="81"/>
      <c r="AL462" s="81"/>
      <c r="AM462" s="83"/>
      <c r="AN462" s="80"/>
      <c r="AO462" s="82" t="n">
        <f aca="false">IF(E462="","",(AA462&lt;&gt;"")+(AG462&lt;&gt;"")+(AL462&lt;&gt;""))</f>
        <v>0</v>
      </c>
      <c r="AP462" s="82" t="str">
        <f aca="false">IF(AL462&lt;&gt;"",AL462,IF(AG462&lt;&gt;"",AG462,IF(AA462&lt;&gt;"",AA462,"")))</f>
        <v/>
      </c>
      <c r="AQ462" s="84" t="str">
        <f aca="false">IF(E462="","",IF(U462="","À SOUDER",IF(X462="","VT EN ATTENTE",IF(X462="R","VT REJETÉ – À REPRENDRE",IF(AP462="","À RADIOGRAPHIER",IF(AP462="A","ACCEPTÉ",IF(AP462="NX","NX – RT À REFAIRE",IF(IF(AO462=1,AD462,IF(AO462=2,AI462,""))="A","RÉPARÉ – À RADIOGRAPHIER",IF(IF(AO462=1,AD462,IF(AO462=2,AI462,""))="R","VT REJETÉ – À REPRENDRE",IF(OR(AP462="CO",AP462="NT"),"COUPE – À RESOUDER","À RÉPARER"))))))))))</f>
        <v>À SOUDER</v>
      </c>
      <c r="AR462" s="82" t="str">
        <f aca="false">IF(AND(ISNUMBER(U462),OR(AQ462="À RADIOGRAPHIER",AQ462="RÉPARÉ – À RADIOGRAPHIER",AQ462="NX – RT À REFAIRE",AQ462="À RÉPARER",AQ462="COUPE – À RESOUDER",AQ462="VT REJETÉ – À REPRENDRE")),MAX(0,'PROGRAMME RT'!$C$4-U462),"")</f>
        <v/>
      </c>
      <c r="AS462" s="82" t="n">
        <f aca="false">IF(AND(OR(AQ462="À RADIOGRAPHIER",AQ462="RÉPARÉ – À RADIOGRAPHIER",AQ462="NX – RT À REFAIRE"),OR('PROGRAMME RT'!$D$5="TOUTES",B462='PROGRAMME RT'!$D$5)),1,0)</f>
        <v>0</v>
      </c>
      <c r="AT462" s="82" t="str">
        <f aca="false">IF(AS462=1,SUM(AS$7:AS462),"")</f>
        <v/>
      </c>
      <c r="AU462" s="82" t="n">
        <f aca="false">IF(AND(OR(AA462="R",AA462="NX",AA462="NT",AA462="CO"),OR('JOINTS DE RÉPARATION'!$D$5="TOUTES",B462='JOINTS DE RÉPARATION'!$D$5),OR('JOINTS DE RÉPARATION'!$L$4="TOUS",AQ462&lt;&gt;"ACCEPTÉ")),1,0)</f>
        <v>0</v>
      </c>
      <c r="AV462" s="82" t="str">
        <f aca="false">IF(AU462=1,SUM(AU$7:AU462),"")</f>
        <v/>
      </c>
      <c r="AW462" s="82" t="str">
        <f aca="false">IF(E462="","",B462&amp;"|"&amp;E462)</f>
        <v>MFD-ISW → MFD-CPF|JN°456</v>
      </c>
    </row>
    <row r="463" customFormat="false" ht="74.6" hidden="false" customHeight="false" outlineLevel="0" collapsed="false">
      <c r="A463" s="79" t="n">
        <f aca="false">IF(E463="","",ROW()-6)</f>
        <v>457</v>
      </c>
      <c r="B463" s="80" t="s">
        <v>110</v>
      </c>
      <c r="C463" s="81"/>
      <c r="D463" s="81"/>
      <c r="E463" s="81" t="s">
        <v>567</v>
      </c>
      <c r="F463" s="82" t="str">
        <f aca="false">IF(E463="","",IF(LEFT(E463,2)="DJ","DJ","JN"))</f>
        <v>JN</v>
      </c>
      <c r="G463" s="81"/>
      <c r="H463" s="81"/>
      <c r="I463" s="81"/>
      <c r="J463" s="81"/>
      <c r="K463" s="81"/>
      <c r="L463" s="81"/>
      <c r="M463" s="81"/>
      <c r="N463" s="81"/>
      <c r="O463" s="81"/>
      <c r="P463" s="81"/>
      <c r="Q463" s="81"/>
      <c r="R463" s="81"/>
      <c r="S463" s="81"/>
      <c r="T463" s="81"/>
      <c r="U463" s="83"/>
      <c r="V463" s="83"/>
      <c r="W463" s="81"/>
      <c r="X463" s="81"/>
      <c r="Y463" s="83"/>
      <c r="Z463" s="81"/>
      <c r="AA463" s="81"/>
      <c r="AB463" s="81"/>
      <c r="AC463" s="81"/>
      <c r="AD463" s="81"/>
      <c r="AE463" s="83"/>
      <c r="AF463" s="81"/>
      <c r="AG463" s="81"/>
      <c r="AH463" s="81"/>
      <c r="AI463" s="81"/>
      <c r="AJ463" s="83"/>
      <c r="AK463" s="81"/>
      <c r="AL463" s="81"/>
      <c r="AM463" s="83"/>
      <c r="AN463" s="80"/>
      <c r="AO463" s="82" t="n">
        <f aca="false">IF(E463="","",(AA463&lt;&gt;"")+(AG463&lt;&gt;"")+(AL463&lt;&gt;""))</f>
        <v>0</v>
      </c>
      <c r="AP463" s="82" t="str">
        <f aca="false">IF(AL463&lt;&gt;"",AL463,IF(AG463&lt;&gt;"",AG463,IF(AA463&lt;&gt;"",AA463,"")))</f>
        <v/>
      </c>
      <c r="AQ463" s="84" t="str">
        <f aca="false">IF(E463="","",IF(U463="","À SOUDER",IF(X463="","VT EN ATTENTE",IF(X463="R","VT REJETÉ – À REPRENDRE",IF(AP463="","À RADIOGRAPHIER",IF(AP463="A","ACCEPTÉ",IF(AP463="NX","NX – RT À REFAIRE",IF(IF(AO463=1,AD463,IF(AO463=2,AI463,""))="A","RÉPARÉ – À RADIOGRAPHIER",IF(IF(AO463=1,AD463,IF(AO463=2,AI463,""))="R","VT REJETÉ – À REPRENDRE",IF(OR(AP463="CO",AP463="NT"),"COUPE – À RESOUDER","À RÉPARER"))))))))))</f>
        <v>À SOUDER</v>
      </c>
      <c r="AR463" s="82" t="str">
        <f aca="false">IF(AND(ISNUMBER(U463),OR(AQ463="À RADIOGRAPHIER",AQ463="RÉPARÉ – À RADIOGRAPHIER",AQ463="NX – RT À REFAIRE",AQ463="À RÉPARER",AQ463="COUPE – À RESOUDER",AQ463="VT REJETÉ – À REPRENDRE")),MAX(0,'PROGRAMME RT'!$C$4-U463),"")</f>
        <v/>
      </c>
      <c r="AS463" s="82" t="n">
        <f aca="false">IF(AND(OR(AQ463="À RADIOGRAPHIER",AQ463="RÉPARÉ – À RADIOGRAPHIER",AQ463="NX – RT À REFAIRE"),OR('PROGRAMME RT'!$D$5="TOUTES",B463='PROGRAMME RT'!$D$5)),1,0)</f>
        <v>0</v>
      </c>
      <c r="AT463" s="82" t="str">
        <f aca="false">IF(AS463=1,SUM(AS$7:AS463),"")</f>
        <v/>
      </c>
      <c r="AU463" s="82" t="n">
        <f aca="false">IF(AND(OR(AA463="R",AA463="NX",AA463="NT",AA463="CO"),OR('JOINTS DE RÉPARATION'!$D$5="TOUTES",B463='JOINTS DE RÉPARATION'!$D$5),OR('JOINTS DE RÉPARATION'!$L$4="TOUS",AQ463&lt;&gt;"ACCEPTÉ")),1,0)</f>
        <v>0</v>
      </c>
      <c r="AV463" s="82" t="str">
        <f aca="false">IF(AU463=1,SUM(AU$7:AU463),"")</f>
        <v/>
      </c>
      <c r="AW463" s="82" t="str">
        <f aca="false">IF(E463="","",B463&amp;"|"&amp;E463)</f>
        <v>MFD-ISW → MFD-CPF|JN°457</v>
      </c>
    </row>
    <row r="464" customFormat="false" ht="74.6" hidden="false" customHeight="false" outlineLevel="0" collapsed="false">
      <c r="A464" s="79" t="n">
        <f aca="false">IF(E464="","",ROW()-6)</f>
        <v>458</v>
      </c>
      <c r="B464" s="80" t="s">
        <v>110</v>
      </c>
      <c r="C464" s="81"/>
      <c r="D464" s="81"/>
      <c r="E464" s="81" t="s">
        <v>568</v>
      </c>
      <c r="F464" s="82" t="str">
        <f aca="false">IF(E464="","",IF(LEFT(E464,2)="DJ","DJ","JN"))</f>
        <v>JN</v>
      </c>
      <c r="G464" s="81"/>
      <c r="H464" s="81"/>
      <c r="I464" s="81"/>
      <c r="J464" s="81"/>
      <c r="K464" s="81"/>
      <c r="L464" s="81"/>
      <c r="M464" s="81"/>
      <c r="N464" s="81"/>
      <c r="O464" s="81"/>
      <c r="P464" s="81"/>
      <c r="Q464" s="81"/>
      <c r="R464" s="81"/>
      <c r="S464" s="81"/>
      <c r="T464" s="81"/>
      <c r="U464" s="83"/>
      <c r="V464" s="83"/>
      <c r="W464" s="81"/>
      <c r="X464" s="81"/>
      <c r="Y464" s="83"/>
      <c r="Z464" s="81"/>
      <c r="AA464" s="81"/>
      <c r="AB464" s="81"/>
      <c r="AC464" s="81"/>
      <c r="AD464" s="81"/>
      <c r="AE464" s="83"/>
      <c r="AF464" s="81"/>
      <c r="AG464" s="81"/>
      <c r="AH464" s="81"/>
      <c r="AI464" s="81"/>
      <c r="AJ464" s="83"/>
      <c r="AK464" s="81"/>
      <c r="AL464" s="81"/>
      <c r="AM464" s="83"/>
      <c r="AN464" s="80"/>
      <c r="AO464" s="82" t="n">
        <f aca="false">IF(E464="","",(AA464&lt;&gt;"")+(AG464&lt;&gt;"")+(AL464&lt;&gt;""))</f>
        <v>0</v>
      </c>
      <c r="AP464" s="82" t="str">
        <f aca="false">IF(AL464&lt;&gt;"",AL464,IF(AG464&lt;&gt;"",AG464,IF(AA464&lt;&gt;"",AA464,"")))</f>
        <v/>
      </c>
      <c r="AQ464" s="84" t="str">
        <f aca="false">IF(E464="","",IF(U464="","À SOUDER",IF(X464="","VT EN ATTENTE",IF(X464="R","VT REJETÉ – À REPRENDRE",IF(AP464="","À RADIOGRAPHIER",IF(AP464="A","ACCEPTÉ",IF(AP464="NX","NX – RT À REFAIRE",IF(IF(AO464=1,AD464,IF(AO464=2,AI464,""))="A","RÉPARÉ – À RADIOGRAPHIER",IF(IF(AO464=1,AD464,IF(AO464=2,AI464,""))="R","VT REJETÉ – À REPRENDRE",IF(OR(AP464="CO",AP464="NT"),"COUPE – À RESOUDER","À RÉPARER"))))))))))</f>
        <v>À SOUDER</v>
      </c>
      <c r="AR464" s="82" t="str">
        <f aca="false">IF(AND(ISNUMBER(U464),OR(AQ464="À RADIOGRAPHIER",AQ464="RÉPARÉ – À RADIOGRAPHIER",AQ464="NX – RT À REFAIRE",AQ464="À RÉPARER",AQ464="COUPE – À RESOUDER",AQ464="VT REJETÉ – À REPRENDRE")),MAX(0,'PROGRAMME RT'!$C$4-U464),"")</f>
        <v/>
      </c>
      <c r="AS464" s="82" t="n">
        <f aca="false">IF(AND(OR(AQ464="À RADIOGRAPHIER",AQ464="RÉPARÉ – À RADIOGRAPHIER",AQ464="NX – RT À REFAIRE"),OR('PROGRAMME RT'!$D$5="TOUTES",B464='PROGRAMME RT'!$D$5)),1,0)</f>
        <v>0</v>
      </c>
      <c r="AT464" s="82" t="str">
        <f aca="false">IF(AS464=1,SUM(AS$7:AS464),"")</f>
        <v/>
      </c>
      <c r="AU464" s="82" t="n">
        <f aca="false">IF(AND(OR(AA464="R",AA464="NX",AA464="NT",AA464="CO"),OR('JOINTS DE RÉPARATION'!$D$5="TOUTES",B464='JOINTS DE RÉPARATION'!$D$5),OR('JOINTS DE RÉPARATION'!$L$4="TOUS",AQ464&lt;&gt;"ACCEPTÉ")),1,0)</f>
        <v>0</v>
      </c>
      <c r="AV464" s="82" t="str">
        <f aca="false">IF(AU464=1,SUM(AU$7:AU464),"")</f>
        <v/>
      </c>
      <c r="AW464" s="82" t="str">
        <f aca="false">IF(E464="","",B464&amp;"|"&amp;E464)</f>
        <v>MFD-ISW → MFD-CPF|JN°458</v>
      </c>
    </row>
    <row r="465" customFormat="false" ht="74.6" hidden="false" customHeight="false" outlineLevel="0" collapsed="false">
      <c r="A465" s="79" t="n">
        <f aca="false">IF(E465="","",ROW()-6)</f>
        <v>459</v>
      </c>
      <c r="B465" s="80" t="s">
        <v>110</v>
      </c>
      <c r="C465" s="81"/>
      <c r="D465" s="81"/>
      <c r="E465" s="81" t="s">
        <v>569</v>
      </c>
      <c r="F465" s="82" t="str">
        <f aca="false">IF(E465="","",IF(LEFT(E465,2)="DJ","DJ","JN"))</f>
        <v>JN</v>
      </c>
      <c r="G465" s="81"/>
      <c r="H465" s="81"/>
      <c r="I465" s="81"/>
      <c r="J465" s="81"/>
      <c r="K465" s="81"/>
      <c r="L465" s="81"/>
      <c r="M465" s="81"/>
      <c r="N465" s="81"/>
      <c r="O465" s="81"/>
      <c r="P465" s="81"/>
      <c r="Q465" s="81"/>
      <c r="R465" s="81"/>
      <c r="S465" s="81"/>
      <c r="T465" s="81"/>
      <c r="U465" s="83"/>
      <c r="V465" s="83"/>
      <c r="W465" s="81"/>
      <c r="X465" s="81"/>
      <c r="Y465" s="83"/>
      <c r="Z465" s="81"/>
      <c r="AA465" s="81"/>
      <c r="AB465" s="81"/>
      <c r="AC465" s="81"/>
      <c r="AD465" s="81"/>
      <c r="AE465" s="83"/>
      <c r="AF465" s="81"/>
      <c r="AG465" s="81"/>
      <c r="AH465" s="81"/>
      <c r="AI465" s="81"/>
      <c r="AJ465" s="83"/>
      <c r="AK465" s="81"/>
      <c r="AL465" s="81"/>
      <c r="AM465" s="83"/>
      <c r="AN465" s="80"/>
      <c r="AO465" s="82" t="n">
        <f aca="false">IF(E465="","",(AA465&lt;&gt;"")+(AG465&lt;&gt;"")+(AL465&lt;&gt;""))</f>
        <v>0</v>
      </c>
      <c r="AP465" s="82" t="str">
        <f aca="false">IF(AL465&lt;&gt;"",AL465,IF(AG465&lt;&gt;"",AG465,IF(AA465&lt;&gt;"",AA465,"")))</f>
        <v/>
      </c>
      <c r="AQ465" s="84" t="str">
        <f aca="false">IF(E465="","",IF(U465="","À SOUDER",IF(X465="","VT EN ATTENTE",IF(X465="R","VT REJETÉ – À REPRENDRE",IF(AP465="","À RADIOGRAPHIER",IF(AP465="A","ACCEPTÉ",IF(AP465="NX","NX – RT À REFAIRE",IF(IF(AO465=1,AD465,IF(AO465=2,AI465,""))="A","RÉPARÉ – À RADIOGRAPHIER",IF(IF(AO465=1,AD465,IF(AO465=2,AI465,""))="R","VT REJETÉ – À REPRENDRE",IF(OR(AP465="CO",AP465="NT"),"COUPE – À RESOUDER","À RÉPARER"))))))))))</f>
        <v>À SOUDER</v>
      </c>
      <c r="AR465" s="82" t="str">
        <f aca="false">IF(AND(ISNUMBER(U465),OR(AQ465="À RADIOGRAPHIER",AQ465="RÉPARÉ – À RADIOGRAPHIER",AQ465="NX – RT À REFAIRE",AQ465="À RÉPARER",AQ465="COUPE – À RESOUDER",AQ465="VT REJETÉ – À REPRENDRE")),MAX(0,'PROGRAMME RT'!$C$4-U465),"")</f>
        <v/>
      </c>
      <c r="AS465" s="82" t="n">
        <f aca="false">IF(AND(OR(AQ465="À RADIOGRAPHIER",AQ465="RÉPARÉ – À RADIOGRAPHIER",AQ465="NX – RT À REFAIRE"),OR('PROGRAMME RT'!$D$5="TOUTES",B465='PROGRAMME RT'!$D$5)),1,0)</f>
        <v>0</v>
      </c>
      <c r="AT465" s="82" t="str">
        <f aca="false">IF(AS465=1,SUM(AS$7:AS465),"")</f>
        <v/>
      </c>
      <c r="AU465" s="82" t="n">
        <f aca="false">IF(AND(OR(AA465="R",AA465="NX",AA465="NT",AA465="CO"),OR('JOINTS DE RÉPARATION'!$D$5="TOUTES",B465='JOINTS DE RÉPARATION'!$D$5),OR('JOINTS DE RÉPARATION'!$L$4="TOUS",AQ465&lt;&gt;"ACCEPTÉ")),1,0)</f>
        <v>0</v>
      </c>
      <c r="AV465" s="82" t="str">
        <f aca="false">IF(AU465=1,SUM(AU$7:AU465),"")</f>
        <v/>
      </c>
      <c r="AW465" s="82" t="str">
        <f aca="false">IF(E465="","",B465&amp;"|"&amp;E465)</f>
        <v>MFD-ISW → MFD-CPF|JN°459</v>
      </c>
    </row>
    <row r="466" customFormat="false" ht="74.6" hidden="false" customHeight="false" outlineLevel="0" collapsed="false">
      <c r="A466" s="79" t="n">
        <f aca="false">IF(E466="","",ROW()-6)</f>
        <v>460</v>
      </c>
      <c r="B466" s="80" t="s">
        <v>110</v>
      </c>
      <c r="C466" s="81"/>
      <c r="D466" s="81"/>
      <c r="E466" s="81" t="s">
        <v>570</v>
      </c>
      <c r="F466" s="82" t="str">
        <f aca="false">IF(E466="","",IF(LEFT(E466,2)="DJ","DJ","JN"))</f>
        <v>JN</v>
      </c>
      <c r="G466" s="81"/>
      <c r="H466" s="81"/>
      <c r="I466" s="81"/>
      <c r="J466" s="81"/>
      <c r="K466" s="81"/>
      <c r="L466" s="81"/>
      <c r="M466" s="81"/>
      <c r="N466" s="81"/>
      <c r="O466" s="81"/>
      <c r="P466" s="81"/>
      <c r="Q466" s="81"/>
      <c r="R466" s="81"/>
      <c r="S466" s="81"/>
      <c r="T466" s="81"/>
      <c r="U466" s="83"/>
      <c r="V466" s="83"/>
      <c r="W466" s="81"/>
      <c r="X466" s="81"/>
      <c r="Y466" s="83"/>
      <c r="Z466" s="81"/>
      <c r="AA466" s="81"/>
      <c r="AB466" s="81"/>
      <c r="AC466" s="81"/>
      <c r="AD466" s="81"/>
      <c r="AE466" s="83"/>
      <c r="AF466" s="81"/>
      <c r="AG466" s="81"/>
      <c r="AH466" s="81"/>
      <c r="AI466" s="81"/>
      <c r="AJ466" s="83"/>
      <c r="AK466" s="81"/>
      <c r="AL466" s="81"/>
      <c r="AM466" s="83"/>
      <c r="AN466" s="80"/>
      <c r="AO466" s="82" t="n">
        <f aca="false">IF(E466="","",(AA466&lt;&gt;"")+(AG466&lt;&gt;"")+(AL466&lt;&gt;""))</f>
        <v>0</v>
      </c>
      <c r="AP466" s="82" t="str">
        <f aca="false">IF(AL466&lt;&gt;"",AL466,IF(AG466&lt;&gt;"",AG466,IF(AA466&lt;&gt;"",AA466,"")))</f>
        <v/>
      </c>
      <c r="AQ466" s="84" t="str">
        <f aca="false">IF(E466="","",IF(U466="","À SOUDER",IF(X466="","VT EN ATTENTE",IF(X466="R","VT REJETÉ – À REPRENDRE",IF(AP466="","À RADIOGRAPHIER",IF(AP466="A","ACCEPTÉ",IF(AP466="NX","NX – RT À REFAIRE",IF(IF(AO466=1,AD466,IF(AO466=2,AI466,""))="A","RÉPARÉ – À RADIOGRAPHIER",IF(IF(AO466=1,AD466,IF(AO466=2,AI466,""))="R","VT REJETÉ – À REPRENDRE",IF(OR(AP466="CO",AP466="NT"),"COUPE – À RESOUDER","À RÉPARER"))))))))))</f>
        <v>À SOUDER</v>
      </c>
      <c r="AR466" s="82" t="str">
        <f aca="false">IF(AND(ISNUMBER(U466),OR(AQ466="À RADIOGRAPHIER",AQ466="RÉPARÉ – À RADIOGRAPHIER",AQ466="NX – RT À REFAIRE",AQ466="À RÉPARER",AQ466="COUPE – À RESOUDER",AQ466="VT REJETÉ – À REPRENDRE")),MAX(0,'PROGRAMME RT'!$C$4-U466),"")</f>
        <v/>
      </c>
      <c r="AS466" s="82" t="n">
        <f aca="false">IF(AND(OR(AQ466="À RADIOGRAPHIER",AQ466="RÉPARÉ – À RADIOGRAPHIER",AQ466="NX – RT À REFAIRE"),OR('PROGRAMME RT'!$D$5="TOUTES",B466='PROGRAMME RT'!$D$5)),1,0)</f>
        <v>0</v>
      </c>
      <c r="AT466" s="82" t="str">
        <f aca="false">IF(AS466=1,SUM(AS$7:AS466),"")</f>
        <v/>
      </c>
      <c r="AU466" s="82" t="n">
        <f aca="false">IF(AND(OR(AA466="R",AA466="NX",AA466="NT",AA466="CO"),OR('JOINTS DE RÉPARATION'!$D$5="TOUTES",B466='JOINTS DE RÉPARATION'!$D$5),OR('JOINTS DE RÉPARATION'!$L$4="TOUS",AQ466&lt;&gt;"ACCEPTÉ")),1,0)</f>
        <v>0</v>
      </c>
      <c r="AV466" s="82" t="str">
        <f aca="false">IF(AU466=1,SUM(AU$7:AU466),"")</f>
        <v/>
      </c>
      <c r="AW466" s="82" t="str">
        <f aca="false">IF(E466="","",B466&amp;"|"&amp;E466)</f>
        <v>MFD-ISW → MFD-CPF|JN°460</v>
      </c>
    </row>
    <row r="467" customFormat="false" ht="74.6" hidden="false" customHeight="false" outlineLevel="0" collapsed="false">
      <c r="A467" s="79" t="n">
        <f aca="false">IF(E467="","",ROW()-6)</f>
        <v>461</v>
      </c>
      <c r="B467" s="80" t="s">
        <v>110</v>
      </c>
      <c r="C467" s="81"/>
      <c r="D467" s="81"/>
      <c r="E467" s="81" t="s">
        <v>571</v>
      </c>
      <c r="F467" s="82" t="str">
        <f aca="false">IF(E467="","",IF(LEFT(E467,2)="DJ","DJ","JN"))</f>
        <v>JN</v>
      </c>
      <c r="G467" s="81"/>
      <c r="H467" s="81"/>
      <c r="I467" s="81"/>
      <c r="J467" s="81"/>
      <c r="K467" s="81"/>
      <c r="L467" s="81"/>
      <c r="M467" s="81"/>
      <c r="N467" s="81"/>
      <c r="O467" s="81"/>
      <c r="P467" s="81"/>
      <c r="Q467" s="81"/>
      <c r="R467" s="81"/>
      <c r="S467" s="81"/>
      <c r="T467" s="81"/>
      <c r="U467" s="83"/>
      <c r="V467" s="83"/>
      <c r="W467" s="81"/>
      <c r="X467" s="81"/>
      <c r="Y467" s="83"/>
      <c r="Z467" s="81"/>
      <c r="AA467" s="81"/>
      <c r="AB467" s="81"/>
      <c r="AC467" s="81"/>
      <c r="AD467" s="81"/>
      <c r="AE467" s="83"/>
      <c r="AF467" s="81"/>
      <c r="AG467" s="81"/>
      <c r="AH467" s="81"/>
      <c r="AI467" s="81"/>
      <c r="AJ467" s="83"/>
      <c r="AK467" s="81"/>
      <c r="AL467" s="81"/>
      <c r="AM467" s="83"/>
      <c r="AN467" s="80"/>
      <c r="AO467" s="82" t="n">
        <f aca="false">IF(E467="","",(AA467&lt;&gt;"")+(AG467&lt;&gt;"")+(AL467&lt;&gt;""))</f>
        <v>0</v>
      </c>
      <c r="AP467" s="82" t="str">
        <f aca="false">IF(AL467&lt;&gt;"",AL467,IF(AG467&lt;&gt;"",AG467,IF(AA467&lt;&gt;"",AA467,"")))</f>
        <v/>
      </c>
      <c r="AQ467" s="84" t="str">
        <f aca="false">IF(E467="","",IF(U467="","À SOUDER",IF(X467="","VT EN ATTENTE",IF(X467="R","VT REJETÉ – À REPRENDRE",IF(AP467="","À RADIOGRAPHIER",IF(AP467="A","ACCEPTÉ",IF(AP467="NX","NX – RT À REFAIRE",IF(IF(AO467=1,AD467,IF(AO467=2,AI467,""))="A","RÉPARÉ – À RADIOGRAPHIER",IF(IF(AO467=1,AD467,IF(AO467=2,AI467,""))="R","VT REJETÉ – À REPRENDRE",IF(OR(AP467="CO",AP467="NT"),"COUPE – À RESOUDER","À RÉPARER"))))))))))</f>
        <v>À SOUDER</v>
      </c>
      <c r="AR467" s="82" t="str">
        <f aca="false">IF(AND(ISNUMBER(U467),OR(AQ467="À RADIOGRAPHIER",AQ467="RÉPARÉ – À RADIOGRAPHIER",AQ467="NX – RT À REFAIRE",AQ467="À RÉPARER",AQ467="COUPE – À RESOUDER",AQ467="VT REJETÉ – À REPRENDRE")),MAX(0,'PROGRAMME RT'!$C$4-U467),"")</f>
        <v/>
      </c>
      <c r="AS467" s="82" t="n">
        <f aca="false">IF(AND(OR(AQ467="À RADIOGRAPHIER",AQ467="RÉPARÉ – À RADIOGRAPHIER",AQ467="NX – RT À REFAIRE"),OR('PROGRAMME RT'!$D$5="TOUTES",B467='PROGRAMME RT'!$D$5)),1,0)</f>
        <v>0</v>
      </c>
      <c r="AT467" s="82" t="str">
        <f aca="false">IF(AS467=1,SUM(AS$7:AS467),"")</f>
        <v/>
      </c>
      <c r="AU467" s="82" t="n">
        <f aca="false">IF(AND(OR(AA467="R",AA467="NX",AA467="NT",AA467="CO"),OR('JOINTS DE RÉPARATION'!$D$5="TOUTES",B467='JOINTS DE RÉPARATION'!$D$5),OR('JOINTS DE RÉPARATION'!$L$4="TOUS",AQ467&lt;&gt;"ACCEPTÉ")),1,0)</f>
        <v>0</v>
      </c>
      <c r="AV467" s="82" t="str">
        <f aca="false">IF(AU467=1,SUM(AU$7:AU467),"")</f>
        <v/>
      </c>
      <c r="AW467" s="82" t="str">
        <f aca="false">IF(E467="","",B467&amp;"|"&amp;E467)</f>
        <v>MFD-ISW → MFD-CPF|JN°461</v>
      </c>
    </row>
    <row r="468" customFormat="false" ht="74.6" hidden="false" customHeight="false" outlineLevel="0" collapsed="false">
      <c r="A468" s="79" t="n">
        <f aca="false">IF(E468="","",ROW()-6)</f>
        <v>462</v>
      </c>
      <c r="B468" s="80" t="s">
        <v>110</v>
      </c>
      <c r="C468" s="81"/>
      <c r="D468" s="81"/>
      <c r="E468" s="81" t="s">
        <v>572</v>
      </c>
      <c r="F468" s="82" t="str">
        <f aca="false">IF(E468="","",IF(LEFT(E468,2)="DJ","DJ","JN"))</f>
        <v>JN</v>
      </c>
      <c r="G468" s="81"/>
      <c r="H468" s="81"/>
      <c r="I468" s="81"/>
      <c r="J468" s="81"/>
      <c r="K468" s="81"/>
      <c r="L468" s="81"/>
      <c r="M468" s="81"/>
      <c r="N468" s="81"/>
      <c r="O468" s="81"/>
      <c r="P468" s="81"/>
      <c r="Q468" s="81"/>
      <c r="R468" s="81"/>
      <c r="S468" s="81"/>
      <c r="T468" s="81"/>
      <c r="U468" s="83"/>
      <c r="V468" s="83"/>
      <c r="W468" s="81"/>
      <c r="X468" s="81"/>
      <c r="Y468" s="83"/>
      <c r="Z468" s="81"/>
      <c r="AA468" s="81"/>
      <c r="AB468" s="81"/>
      <c r="AC468" s="81"/>
      <c r="AD468" s="81"/>
      <c r="AE468" s="83"/>
      <c r="AF468" s="81"/>
      <c r="AG468" s="81"/>
      <c r="AH468" s="81"/>
      <c r="AI468" s="81"/>
      <c r="AJ468" s="83"/>
      <c r="AK468" s="81"/>
      <c r="AL468" s="81"/>
      <c r="AM468" s="83"/>
      <c r="AN468" s="80"/>
      <c r="AO468" s="82" t="n">
        <f aca="false">IF(E468="","",(AA468&lt;&gt;"")+(AG468&lt;&gt;"")+(AL468&lt;&gt;""))</f>
        <v>0</v>
      </c>
      <c r="AP468" s="82" t="str">
        <f aca="false">IF(AL468&lt;&gt;"",AL468,IF(AG468&lt;&gt;"",AG468,IF(AA468&lt;&gt;"",AA468,"")))</f>
        <v/>
      </c>
      <c r="AQ468" s="84" t="str">
        <f aca="false">IF(E468="","",IF(U468="","À SOUDER",IF(X468="","VT EN ATTENTE",IF(X468="R","VT REJETÉ – À REPRENDRE",IF(AP468="","À RADIOGRAPHIER",IF(AP468="A","ACCEPTÉ",IF(AP468="NX","NX – RT À REFAIRE",IF(IF(AO468=1,AD468,IF(AO468=2,AI468,""))="A","RÉPARÉ – À RADIOGRAPHIER",IF(IF(AO468=1,AD468,IF(AO468=2,AI468,""))="R","VT REJETÉ – À REPRENDRE",IF(OR(AP468="CO",AP468="NT"),"COUPE – À RESOUDER","À RÉPARER"))))))))))</f>
        <v>À SOUDER</v>
      </c>
      <c r="AR468" s="82" t="str">
        <f aca="false">IF(AND(ISNUMBER(U468),OR(AQ468="À RADIOGRAPHIER",AQ468="RÉPARÉ – À RADIOGRAPHIER",AQ468="NX – RT À REFAIRE",AQ468="À RÉPARER",AQ468="COUPE – À RESOUDER",AQ468="VT REJETÉ – À REPRENDRE")),MAX(0,'PROGRAMME RT'!$C$4-U468),"")</f>
        <v/>
      </c>
      <c r="AS468" s="82" t="n">
        <f aca="false">IF(AND(OR(AQ468="À RADIOGRAPHIER",AQ468="RÉPARÉ – À RADIOGRAPHIER",AQ468="NX – RT À REFAIRE"),OR('PROGRAMME RT'!$D$5="TOUTES",B468='PROGRAMME RT'!$D$5)),1,0)</f>
        <v>0</v>
      </c>
      <c r="AT468" s="82" t="str">
        <f aca="false">IF(AS468=1,SUM(AS$7:AS468),"")</f>
        <v/>
      </c>
      <c r="AU468" s="82" t="n">
        <f aca="false">IF(AND(OR(AA468="R",AA468="NX",AA468="NT",AA468="CO"),OR('JOINTS DE RÉPARATION'!$D$5="TOUTES",B468='JOINTS DE RÉPARATION'!$D$5),OR('JOINTS DE RÉPARATION'!$L$4="TOUS",AQ468&lt;&gt;"ACCEPTÉ")),1,0)</f>
        <v>0</v>
      </c>
      <c r="AV468" s="82" t="str">
        <f aca="false">IF(AU468=1,SUM(AU$7:AU468),"")</f>
        <v/>
      </c>
      <c r="AW468" s="82" t="str">
        <f aca="false">IF(E468="","",B468&amp;"|"&amp;E468)</f>
        <v>MFD-ISW → MFD-CPF|JN°462</v>
      </c>
    </row>
    <row r="469" customFormat="false" ht="74.6" hidden="false" customHeight="false" outlineLevel="0" collapsed="false">
      <c r="A469" s="79" t="n">
        <f aca="false">IF(E469="","",ROW()-6)</f>
        <v>463</v>
      </c>
      <c r="B469" s="80" t="s">
        <v>110</v>
      </c>
      <c r="C469" s="81"/>
      <c r="D469" s="81"/>
      <c r="E469" s="81" t="s">
        <v>573</v>
      </c>
      <c r="F469" s="82" t="str">
        <f aca="false">IF(E469="","",IF(LEFT(E469,2)="DJ","DJ","JN"))</f>
        <v>JN</v>
      </c>
      <c r="G469" s="81"/>
      <c r="H469" s="81"/>
      <c r="I469" s="81"/>
      <c r="J469" s="81"/>
      <c r="K469" s="81"/>
      <c r="L469" s="81"/>
      <c r="M469" s="81"/>
      <c r="N469" s="81"/>
      <c r="O469" s="81"/>
      <c r="P469" s="81"/>
      <c r="Q469" s="81"/>
      <c r="R469" s="81"/>
      <c r="S469" s="81"/>
      <c r="T469" s="81"/>
      <c r="U469" s="83"/>
      <c r="V469" s="83"/>
      <c r="W469" s="81"/>
      <c r="X469" s="81"/>
      <c r="Y469" s="83"/>
      <c r="Z469" s="81"/>
      <c r="AA469" s="81"/>
      <c r="AB469" s="81"/>
      <c r="AC469" s="81"/>
      <c r="AD469" s="81"/>
      <c r="AE469" s="83"/>
      <c r="AF469" s="81"/>
      <c r="AG469" s="81"/>
      <c r="AH469" s="81"/>
      <c r="AI469" s="81"/>
      <c r="AJ469" s="83"/>
      <c r="AK469" s="81"/>
      <c r="AL469" s="81"/>
      <c r="AM469" s="83"/>
      <c r="AN469" s="80"/>
      <c r="AO469" s="82" t="n">
        <f aca="false">IF(E469="","",(AA469&lt;&gt;"")+(AG469&lt;&gt;"")+(AL469&lt;&gt;""))</f>
        <v>0</v>
      </c>
      <c r="AP469" s="82" t="str">
        <f aca="false">IF(AL469&lt;&gt;"",AL469,IF(AG469&lt;&gt;"",AG469,IF(AA469&lt;&gt;"",AA469,"")))</f>
        <v/>
      </c>
      <c r="AQ469" s="84" t="str">
        <f aca="false">IF(E469="","",IF(U469="","À SOUDER",IF(X469="","VT EN ATTENTE",IF(X469="R","VT REJETÉ – À REPRENDRE",IF(AP469="","À RADIOGRAPHIER",IF(AP469="A","ACCEPTÉ",IF(AP469="NX","NX – RT À REFAIRE",IF(IF(AO469=1,AD469,IF(AO469=2,AI469,""))="A","RÉPARÉ – À RADIOGRAPHIER",IF(IF(AO469=1,AD469,IF(AO469=2,AI469,""))="R","VT REJETÉ – À REPRENDRE",IF(OR(AP469="CO",AP469="NT"),"COUPE – À RESOUDER","À RÉPARER"))))))))))</f>
        <v>À SOUDER</v>
      </c>
      <c r="AR469" s="82" t="str">
        <f aca="false">IF(AND(ISNUMBER(U469),OR(AQ469="À RADIOGRAPHIER",AQ469="RÉPARÉ – À RADIOGRAPHIER",AQ469="NX – RT À REFAIRE",AQ469="À RÉPARER",AQ469="COUPE – À RESOUDER",AQ469="VT REJETÉ – À REPRENDRE")),MAX(0,'PROGRAMME RT'!$C$4-U469),"")</f>
        <v/>
      </c>
      <c r="AS469" s="82" t="n">
        <f aca="false">IF(AND(OR(AQ469="À RADIOGRAPHIER",AQ469="RÉPARÉ – À RADIOGRAPHIER",AQ469="NX – RT À REFAIRE"),OR('PROGRAMME RT'!$D$5="TOUTES",B469='PROGRAMME RT'!$D$5)),1,0)</f>
        <v>0</v>
      </c>
      <c r="AT469" s="82" t="str">
        <f aca="false">IF(AS469=1,SUM(AS$7:AS469),"")</f>
        <v/>
      </c>
      <c r="AU469" s="82" t="n">
        <f aca="false">IF(AND(OR(AA469="R",AA469="NX",AA469="NT",AA469="CO"),OR('JOINTS DE RÉPARATION'!$D$5="TOUTES",B469='JOINTS DE RÉPARATION'!$D$5),OR('JOINTS DE RÉPARATION'!$L$4="TOUS",AQ469&lt;&gt;"ACCEPTÉ")),1,0)</f>
        <v>0</v>
      </c>
      <c r="AV469" s="82" t="str">
        <f aca="false">IF(AU469=1,SUM(AU$7:AU469),"")</f>
        <v/>
      </c>
      <c r="AW469" s="82" t="str">
        <f aca="false">IF(E469="","",B469&amp;"|"&amp;E469)</f>
        <v>MFD-ISW → MFD-CPF|JN°463</v>
      </c>
    </row>
    <row r="470" customFormat="false" ht="74.6" hidden="false" customHeight="false" outlineLevel="0" collapsed="false">
      <c r="A470" s="79" t="n">
        <f aca="false">IF(E470="","",ROW()-6)</f>
        <v>464</v>
      </c>
      <c r="B470" s="80" t="s">
        <v>110</v>
      </c>
      <c r="C470" s="81"/>
      <c r="D470" s="81"/>
      <c r="E470" s="81" t="s">
        <v>574</v>
      </c>
      <c r="F470" s="82" t="str">
        <f aca="false">IF(E470="","",IF(LEFT(E470,2)="DJ","DJ","JN"))</f>
        <v>JN</v>
      </c>
      <c r="G470" s="81"/>
      <c r="H470" s="81"/>
      <c r="I470" s="81"/>
      <c r="J470" s="81"/>
      <c r="K470" s="81"/>
      <c r="L470" s="81"/>
      <c r="M470" s="81"/>
      <c r="N470" s="81"/>
      <c r="O470" s="81"/>
      <c r="P470" s="81"/>
      <c r="Q470" s="81"/>
      <c r="R470" s="81"/>
      <c r="S470" s="81"/>
      <c r="T470" s="81"/>
      <c r="U470" s="83"/>
      <c r="V470" s="83"/>
      <c r="W470" s="81"/>
      <c r="X470" s="81"/>
      <c r="Y470" s="83"/>
      <c r="Z470" s="81"/>
      <c r="AA470" s="81"/>
      <c r="AB470" s="81"/>
      <c r="AC470" s="81"/>
      <c r="AD470" s="81"/>
      <c r="AE470" s="83"/>
      <c r="AF470" s="81"/>
      <c r="AG470" s="81"/>
      <c r="AH470" s="81"/>
      <c r="AI470" s="81"/>
      <c r="AJ470" s="83"/>
      <c r="AK470" s="81"/>
      <c r="AL470" s="81"/>
      <c r="AM470" s="83"/>
      <c r="AN470" s="80"/>
      <c r="AO470" s="82" t="n">
        <f aca="false">IF(E470="","",(AA470&lt;&gt;"")+(AG470&lt;&gt;"")+(AL470&lt;&gt;""))</f>
        <v>0</v>
      </c>
      <c r="AP470" s="82" t="str">
        <f aca="false">IF(AL470&lt;&gt;"",AL470,IF(AG470&lt;&gt;"",AG470,IF(AA470&lt;&gt;"",AA470,"")))</f>
        <v/>
      </c>
      <c r="AQ470" s="84" t="str">
        <f aca="false">IF(E470="","",IF(U470="","À SOUDER",IF(X470="","VT EN ATTENTE",IF(X470="R","VT REJETÉ – À REPRENDRE",IF(AP470="","À RADIOGRAPHIER",IF(AP470="A","ACCEPTÉ",IF(AP470="NX","NX – RT À REFAIRE",IF(IF(AO470=1,AD470,IF(AO470=2,AI470,""))="A","RÉPARÉ – À RADIOGRAPHIER",IF(IF(AO470=1,AD470,IF(AO470=2,AI470,""))="R","VT REJETÉ – À REPRENDRE",IF(OR(AP470="CO",AP470="NT"),"COUPE – À RESOUDER","À RÉPARER"))))))))))</f>
        <v>À SOUDER</v>
      </c>
      <c r="AR470" s="82" t="str">
        <f aca="false">IF(AND(ISNUMBER(U470),OR(AQ470="À RADIOGRAPHIER",AQ470="RÉPARÉ – À RADIOGRAPHIER",AQ470="NX – RT À REFAIRE",AQ470="À RÉPARER",AQ470="COUPE – À RESOUDER",AQ470="VT REJETÉ – À REPRENDRE")),MAX(0,'PROGRAMME RT'!$C$4-U470),"")</f>
        <v/>
      </c>
      <c r="AS470" s="82" t="n">
        <f aca="false">IF(AND(OR(AQ470="À RADIOGRAPHIER",AQ470="RÉPARÉ – À RADIOGRAPHIER",AQ470="NX – RT À REFAIRE"),OR('PROGRAMME RT'!$D$5="TOUTES",B470='PROGRAMME RT'!$D$5)),1,0)</f>
        <v>0</v>
      </c>
      <c r="AT470" s="82" t="str">
        <f aca="false">IF(AS470=1,SUM(AS$7:AS470),"")</f>
        <v/>
      </c>
      <c r="AU470" s="82" t="n">
        <f aca="false">IF(AND(OR(AA470="R",AA470="NX",AA470="NT",AA470="CO"),OR('JOINTS DE RÉPARATION'!$D$5="TOUTES",B470='JOINTS DE RÉPARATION'!$D$5),OR('JOINTS DE RÉPARATION'!$L$4="TOUS",AQ470&lt;&gt;"ACCEPTÉ")),1,0)</f>
        <v>0</v>
      </c>
      <c r="AV470" s="82" t="str">
        <f aca="false">IF(AU470=1,SUM(AU$7:AU470),"")</f>
        <v/>
      </c>
      <c r="AW470" s="82" t="str">
        <f aca="false">IF(E470="","",B470&amp;"|"&amp;E470)</f>
        <v>MFD-ISW → MFD-CPF|JN°464</v>
      </c>
    </row>
    <row r="471" customFormat="false" ht="74.6" hidden="false" customHeight="false" outlineLevel="0" collapsed="false">
      <c r="A471" s="79" t="n">
        <f aca="false">IF(E471="","",ROW()-6)</f>
        <v>465</v>
      </c>
      <c r="B471" s="80" t="s">
        <v>110</v>
      </c>
      <c r="C471" s="81"/>
      <c r="D471" s="81"/>
      <c r="E471" s="81" t="s">
        <v>575</v>
      </c>
      <c r="F471" s="82" t="str">
        <f aca="false">IF(E471="","",IF(LEFT(E471,2)="DJ","DJ","JN"))</f>
        <v>JN</v>
      </c>
      <c r="G471" s="81"/>
      <c r="H471" s="81"/>
      <c r="I471" s="81"/>
      <c r="J471" s="81"/>
      <c r="K471" s="81"/>
      <c r="L471" s="81"/>
      <c r="M471" s="81"/>
      <c r="N471" s="81"/>
      <c r="O471" s="81"/>
      <c r="P471" s="81"/>
      <c r="Q471" s="81"/>
      <c r="R471" s="81"/>
      <c r="S471" s="81"/>
      <c r="T471" s="81"/>
      <c r="U471" s="83"/>
      <c r="V471" s="83"/>
      <c r="W471" s="81"/>
      <c r="X471" s="81"/>
      <c r="Y471" s="83"/>
      <c r="Z471" s="81"/>
      <c r="AA471" s="81"/>
      <c r="AB471" s="81"/>
      <c r="AC471" s="81"/>
      <c r="AD471" s="81"/>
      <c r="AE471" s="83"/>
      <c r="AF471" s="81"/>
      <c r="AG471" s="81"/>
      <c r="AH471" s="81"/>
      <c r="AI471" s="81"/>
      <c r="AJ471" s="83"/>
      <c r="AK471" s="81"/>
      <c r="AL471" s="81"/>
      <c r="AM471" s="83"/>
      <c r="AN471" s="80"/>
      <c r="AO471" s="82" t="n">
        <f aca="false">IF(E471="","",(AA471&lt;&gt;"")+(AG471&lt;&gt;"")+(AL471&lt;&gt;""))</f>
        <v>0</v>
      </c>
      <c r="AP471" s="82" t="str">
        <f aca="false">IF(AL471&lt;&gt;"",AL471,IF(AG471&lt;&gt;"",AG471,IF(AA471&lt;&gt;"",AA471,"")))</f>
        <v/>
      </c>
      <c r="AQ471" s="84" t="str">
        <f aca="false">IF(E471="","",IF(U471="","À SOUDER",IF(X471="","VT EN ATTENTE",IF(X471="R","VT REJETÉ – À REPRENDRE",IF(AP471="","À RADIOGRAPHIER",IF(AP471="A","ACCEPTÉ",IF(AP471="NX","NX – RT À REFAIRE",IF(IF(AO471=1,AD471,IF(AO471=2,AI471,""))="A","RÉPARÉ – À RADIOGRAPHIER",IF(IF(AO471=1,AD471,IF(AO471=2,AI471,""))="R","VT REJETÉ – À REPRENDRE",IF(OR(AP471="CO",AP471="NT"),"COUPE – À RESOUDER","À RÉPARER"))))))))))</f>
        <v>À SOUDER</v>
      </c>
      <c r="AR471" s="82" t="str">
        <f aca="false">IF(AND(ISNUMBER(U471),OR(AQ471="À RADIOGRAPHIER",AQ471="RÉPARÉ – À RADIOGRAPHIER",AQ471="NX – RT À REFAIRE",AQ471="À RÉPARER",AQ471="COUPE – À RESOUDER",AQ471="VT REJETÉ – À REPRENDRE")),MAX(0,'PROGRAMME RT'!$C$4-U471),"")</f>
        <v/>
      </c>
      <c r="AS471" s="82" t="n">
        <f aca="false">IF(AND(OR(AQ471="À RADIOGRAPHIER",AQ471="RÉPARÉ – À RADIOGRAPHIER",AQ471="NX – RT À REFAIRE"),OR('PROGRAMME RT'!$D$5="TOUTES",B471='PROGRAMME RT'!$D$5)),1,0)</f>
        <v>0</v>
      </c>
      <c r="AT471" s="82" t="str">
        <f aca="false">IF(AS471=1,SUM(AS$7:AS471),"")</f>
        <v/>
      </c>
      <c r="AU471" s="82" t="n">
        <f aca="false">IF(AND(OR(AA471="R",AA471="NX",AA471="NT",AA471="CO"),OR('JOINTS DE RÉPARATION'!$D$5="TOUTES",B471='JOINTS DE RÉPARATION'!$D$5),OR('JOINTS DE RÉPARATION'!$L$4="TOUS",AQ471&lt;&gt;"ACCEPTÉ")),1,0)</f>
        <v>0</v>
      </c>
      <c r="AV471" s="82" t="str">
        <f aca="false">IF(AU471=1,SUM(AU$7:AU471),"")</f>
        <v/>
      </c>
      <c r="AW471" s="82" t="str">
        <f aca="false">IF(E471="","",B471&amp;"|"&amp;E471)</f>
        <v>MFD-ISW → MFD-CPF|JN°465</v>
      </c>
    </row>
    <row r="472" customFormat="false" ht="74.6" hidden="false" customHeight="false" outlineLevel="0" collapsed="false">
      <c r="A472" s="79" t="n">
        <f aca="false">IF(E472="","",ROW()-6)</f>
        <v>466</v>
      </c>
      <c r="B472" s="80" t="s">
        <v>110</v>
      </c>
      <c r="C472" s="81"/>
      <c r="D472" s="81"/>
      <c r="E472" s="81" t="s">
        <v>576</v>
      </c>
      <c r="F472" s="82" t="str">
        <f aca="false">IF(E472="","",IF(LEFT(E472,2)="DJ","DJ","JN"))</f>
        <v>JN</v>
      </c>
      <c r="G472" s="81"/>
      <c r="H472" s="81"/>
      <c r="I472" s="81"/>
      <c r="J472" s="81"/>
      <c r="K472" s="81"/>
      <c r="L472" s="81"/>
      <c r="M472" s="81"/>
      <c r="N472" s="81"/>
      <c r="O472" s="81"/>
      <c r="P472" s="81"/>
      <c r="Q472" s="81"/>
      <c r="R472" s="81"/>
      <c r="S472" s="81"/>
      <c r="T472" s="81"/>
      <c r="U472" s="83"/>
      <c r="V472" s="83"/>
      <c r="W472" s="81"/>
      <c r="X472" s="81"/>
      <c r="Y472" s="83"/>
      <c r="Z472" s="81"/>
      <c r="AA472" s="81"/>
      <c r="AB472" s="81"/>
      <c r="AC472" s="81"/>
      <c r="AD472" s="81"/>
      <c r="AE472" s="83"/>
      <c r="AF472" s="81"/>
      <c r="AG472" s="81"/>
      <c r="AH472" s="81"/>
      <c r="AI472" s="81"/>
      <c r="AJ472" s="83"/>
      <c r="AK472" s="81"/>
      <c r="AL472" s="81"/>
      <c r="AM472" s="83"/>
      <c r="AN472" s="80"/>
      <c r="AO472" s="82" t="n">
        <f aca="false">IF(E472="","",(AA472&lt;&gt;"")+(AG472&lt;&gt;"")+(AL472&lt;&gt;""))</f>
        <v>0</v>
      </c>
      <c r="AP472" s="82" t="str">
        <f aca="false">IF(AL472&lt;&gt;"",AL472,IF(AG472&lt;&gt;"",AG472,IF(AA472&lt;&gt;"",AA472,"")))</f>
        <v/>
      </c>
      <c r="AQ472" s="84" t="str">
        <f aca="false">IF(E472="","",IF(U472="","À SOUDER",IF(X472="","VT EN ATTENTE",IF(X472="R","VT REJETÉ – À REPRENDRE",IF(AP472="","À RADIOGRAPHIER",IF(AP472="A","ACCEPTÉ",IF(AP472="NX","NX – RT À REFAIRE",IF(IF(AO472=1,AD472,IF(AO472=2,AI472,""))="A","RÉPARÉ – À RADIOGRAPHIER",IF(IF(AO472=1,AD472,IF(AO472=2,AI472,""))="R","VT REJETÉ – À REPRENDRE",IF(OR(AP472="CO",AP472="NT"),"COUPE – À RESOUDER","À RÉPARER"))))))))))</f>
        <v>À SOUDER</v>
      </c>
      <c r="AR472" s="82" t="str">
        <f aca="false">IF(AND(ISNUMBER(U472),OR(AQ472="À RADIOGRAPHIER",AQ472="RÉPARÉ – À RADIOGRAPHIER",AQ472="NX – RT À REFAIRE",AQ472="À RÉPARER",AQ472="COUPE – À RESOUDER",AQ472="VT REJETÉ – À REPRENDRE")),MAX(0,'PROGRAMME RT'!$C$4-U472),"")</f>
        <v/>
      </c>
      <c r="AS472" s="82" t="n">
        <f aca="false">IF(AND(OR(AQ472="À RADIOGRAPHIER",AQ472="RÉPARÉ – À RADIOGRAPHIER",AQ472="NX – RT À REFAIRE"),OR('PROGRAMME RT'!$D$5="TOUTES",B472='PROGRAMME RT'!$D$5)),1,0)</f>
        <v>0</v>
      </c>
      <c r="AT472" s="82" t="str">
        <f aca="false">IF(AS472=1,SUM(AS$7:AS472),"")</f>
        <v/>
      </c>
      <c r="AU472" s="82" t="n">
        <f aca="false">IF(AND(OR(AA472="R",AA472="NX",AA472="NT",AA472="CO"),OR('JOINTS DE RÉPARATION'!$D$5="TOUTES",B472='JOINTS DE RÉPARATION'!$D$5),OR('JOINTS DE RÉPARATION'!$L$4="TOUS",AQ472&lt;&gt;"ACCEPTÉ")),1,0)</f>
        <v>0</v>
      </c>
      <c r="AV472" s="82" t="str">
        <f aca="false">IF(AU472=1,SUM(AU$7:AU472),"")</f>
        <v/>
      </c>
      <c r="AW472" s="82" t="str">
        <f aca="false">IF(E472="","",B472&amp;"|"&amp;E472)</f>
        <v>MFD-ISW → MFD-CPF|JN°466</v>
      </c>
    </row>
    <row r="473" customFormat="false" ht="74.6" hidden="false" customHeight="false" outlineLevel="0" collapsed="false">
      <c r="A473" s="79" t="n">
        <f aca="false">IF(E473="","",ROW()-6)</f>
        <v>467</v>
      </c>
      <c r="B473" s="80" t="s">
        <v>110</v>
      </c>
      <c r="C473" s="81"/>
      <c r="D473" s="81"/>
      <c r="E473" s="81" t="s">
        <v>577</v>
      </c>
      <c r="F473" s="82" t="str">
        <f aca="false">IF(E473="","",IF(LEFT(E473,2)="DJ","DJ","JN"))</f>
        <v>JN</v>
      </c>
      <c r="G473" s="81"/>
      <c r="H473" s="81"/>
      <c r="I473" s="81"/>
      <c r="J473" s="81"/>
      <c r="K473" s="81"/>
      <c r="L473" s="81"/>
      <c r="M473" s="81"/>
      <c r="N473" s="81"/>
      <c r="O473" s="81"/>
      <c r="P473" s="81"/>
      <c r="Q473" s="81"/>
      <c r="R473" s="81"/>
      <c r="S473" s="81"/>
      <c r="T473" s="81"/>
      <c r="U473" s="83"/>
      <c r="V473" s="83"/>
      <c r="W473" s="81"/>
      <c r="X473" s="81"/>
      <c r="Y473" s="83"/>
      <c r="Z473" s="81"/>
      <c r="AA473" s="81"/>
      <c r="AB473" s="81"/>
      <c r="AC473" s="81"/>
      <c r="AD473" s="81"/>
      <c r="AE473" s="83"/>
      <c r="AF473" s="81"/>
      <c r="AG473" s="81"/>
      <c r="AH473" s="81"/>
      <c r="AI473" s="81"/>
      <c r="AJ473" s="83"/>
      <c r="AK473" s="81"/>
      <c r="AL473" s="81"/>
      <c r="AM473" s="83"/>
      <c r="AN473" s="80"/>
      <c r="AO473" s="82" t="n">
        <f aca="false">IF(E473="","",(AA473&lt;&gt;"")+(AG473&lt;&gt;"")+(AL473&lt;&gt;""))</f>
        <v>0</v>
      </c>
      <c r="AP473" s="82" t="str">
        <f aca="false">IF(AL473&lt;&gt;"",AL473,IF(AG473&lt;&gt;"",AG473,IF(AA473&lt;&gt;"",AA473,"")))</f>
        <v/>
      </c>
      <c r="AQ473" s="84" t="str">
        <f aca="false">IF(E473="","",IF(U473="","À SOUDER",IF(X473="","VT EN ATTENTE",IF(X473="R","VT REJETÉ – À REPRENDRE",IF(AP473="","À RADIOGRAPHIER",IF(AP473="A","ACCEPTÉ",IF(AP473="NX","NX – RT À REFAIRE",IF(IF(AO473=1,AD473,IF(AO473=2,AI473,""))="A","RÉPARÉ – À RADIOGRAPHIER",IF(IF(AO473=1,AD473,IF(AO473=2,AI473,""))="R","VT REJETÉ – À REPRENDRE",IF(OR(AP473="CO",AP473="NT"),"COUPE – À RESOUDER","À RÉPARER"))))))))))</f>
        <v>À SOUDER</v>
      </c>
      <c r="AR473" s="82" t="str">
        <f aca="false">IF(AND(ISNUMBER(U473),OR(AQ473="À RADIOGRAPHIER",AQ473="RÉPARÉ – À RADIOGRAPHIER",AQ473="NX – RT À REFAIRE",AQ473="À RÉPARER",AQ473="COUPE – À RESOUDER",AQ473="VT REJETÉ – À REPRENDRE")),MAX(0,'PROGRAMME RT'!$C$4-U473),"")</f>
        <v/>
      </c>
      <c r="AS473" s="82" t="n">
        <f aca="false">IF(AND(OR(AQ473="À RADIOGRAPHIER",AQ473="RÉPARÉ – À RADIOGRAPHIER",AQ473="NX – RT À REFAIRE"),OR('PROGRAMME RT'!$D$5="TOUTES",B473='PROGRAMME RT'!$D$5)),1,0)</f>
        <v>0</v>
      </c>
      <c r="AT473" s="82" t="str">
        <f aca="false">IF(AS473=1,SUM(AS$7:AS473),"")</f>
        <v/>
      </c>
      <c r="AU473" s="82" t="n">
        <f aca="false">IF(AND(OR(AA473="R",AA473="NX",AA473="NT",AA473="CO"),OR('JOINTS DE RÉPARATION'!$D$5="TOUTES",B473='JOINTS DE RÉPARATION'!$D$5),OR('JOINTS DE RÉPARATION'!$L$4="TOUS",AQ473&lt;&gt;"ACCEPTÉ")),1,0)</f>
        <v>0</v>
      </c>
      <c r="AV473" s="82" t="str">
        <f aca="false">IF(AU473=1,SUM(AU$7:AU473),"")</f>
        <v/>
      </c>
      <c r="AW473" s="82" t="str">
        <f aca="false">IF(E473="","",B473&amp;"|"&amp;E473)</f>
        <v>MFD-ISW → MFD-CPF|JN°467</v>
      </c>
    </row>
    <row r="474" customFormat="false" ht="74.6" hidden="false" customHeight="false" outlineLevel="0" collapsed="false">
      <c r="A474" s="79" t="n">
        <f aca="false">IF(E474="","",ROW()-6)</f>
        <v>468</v>
      </c>
      <c r="B474" s="80" t="s">
        <v>110</v>
      </c>
      <c r="C474" s="81"/>
      <c r="D474" s="81"/>
      <c r="E474" s="81" t="s">
        <v>578</v>
      </c>
      <c r="F474" s="82" t="str">
        <f aca="false">IF(E474="","",IF(LEFT(E474,2)="DJ","DJ","JN"))</f>
        <v>JN</v>
      </c>
      <c r="G474" s="81"/>
      <c r="H474" s="81"/>
      <c r="I474" s="81"/>
      <c r="J474" s="81"/>
      <c r="K474" s="81"/>
      <c r="L474" s="81"/>
      <c r="M474" s="81"/>
      <c r="N474" s="81"/>
      <c r="O474" s="81"/>
      <c r="P474" s="81"/>
      <c r="Q474" s="81"/>
      <c r="R474" s="81"/>
      <c r="S474" s="81"/>
      <c r="T474" s="81"/>
      <c r="U474" s="83"/>
      <c r="V474" s="83"/>
      <c r="W474" s="81"/>
      <c r="X474" s="81"/>
      <c r="Y474" s="83"/>
      <c r="Z474" s="81"/>
      <c r="AA474" s="81"/>
      <c r="AB474" s="81"/>
      <c r="AC474" s="81"/>
      <c r="AD474" s="81"/>
      <c r="AE474" s="83"/>
      <c r="AF474" s="81"/>
      <c r="AG474" s="81"/>
      <c r="AH474" s="81"/>
      <c r="AI474" s="81"/>
      <c r="AJ474" s="83"/>
      <c r="AK474" s="81"/>
      <c r="AL474" s="81"/>
      <c r="AM474" s="83"/>
      <c r="AN474" s="80"/>
      <c r="AO474" s="82" t="n">
        <f aca="false">IF(E474="","",(AA474&lt;&gt;"")+(AG474&lt;&gt;"")+(AL474&lt;&gt;""))</f>
        <v>0</v>
      </c>
      <c r="AP474" s="82" t="str">
        <f aca="false">IF(AL474&lt;&gt;"",AL474,IF(AG474&lt;&gt;"",AG474,IF(AA474&lt;&gt;"",AA474,"")))</f>
        <v/>
      </c>
      <c r="AQ474" s="84" t="str">
        <f aca="false">IF(E474="","",IF(U474="","À SOUDER",IF(X474="","VT EN ATTENTE",IF(X474="R","VT REJETÉ – À REPRENDRE",IF(AP474="","À RADIOGRAPHIER",IF(AP474="A","ACCEPTÉ",IF(AP474="NX","NX – RT À REFAIRE",IF(IF(AO474=1,AD474,IF(AO474=2,AI474,""))="A","RÉPARÉ – À RADIOGRAPHIER",IF(IF(AO474=1,AD474,IF(AO474=2,AI474,""))="R","VT REJETÉ – À REPRENDRE",IF(OR(AP474="CO",AP474="NT"),"COUPE – À RESOUDER","À RÉPARER"))))))))))</f>
        <v>À SOUDER</v>
      </c>
      <c r="AR474" s="82" t="str">
        <f aca="false">IF(AND(ISNUMBER(U474),OR(AQ474="À RADIOGRAPHIER",AQ474="RÉPARÉ – À RADIOGRAPHIER",AQ474="NX – RT À REFAIRE",AQ474="À RÉPARER",AQ474="COUPE – À RESOUDER",AQ474="VT REJETÉ – À REPRENDRE")),MAX(0,'PROGRAMME RT'!$C$4-U474),"")</f>
        <v/>
      </c>
      <c r="AS474" s="82" t="n">
        <f aca="false">IF(AND(OR(AQ474="À RADIOGRAPHIER",AQ474="RÉPARÉ – À RADIOGRAPHIER",AQ474="NX – RT À REFAIRE"),OR('PROGRAMME RT'!$D$5="TOUTES",B474='PROGRAMME RT'!$D$5)),1,0)</f>
        <v>0</v>
      </c>
      <c r="AT474" s="82" t="str">
        <f aca="false">IF(AS474=1,SUM(AS$7:AS474),"")</f>
        <v/>
      </c>
      <c r="AU474" s="82" t="n">
        <f aca="false">IF(AND(OR(AA474="R",AA474="NX",AA474="NT",AA474="CO"),OR('JOINTS DE RÉPARATION'!$D$5="TOUTES",B474='JOINTS DE RÉPARATION'!$D$5),OR('JOINTS DE RÉPARATION'!$L$4="TOUS",AQ474&lt;&gt;"ACCEPTÉ")),1,0)</f>
        <v>0</v>
      </c>
      <c r="AV474" s="82" t="str">
        <f aca="false">IF(AU474=1,SUM(AU$7:AU474),"")</f>
        <v/>
      </c>
      <c r="AW474" s="82" t="str">
        <f aca="false">IF(E474="","",B474&amp;"|"&amp;E474)</f>
        <v>MFD-ISW → MFD-CPF|JN°468</v>
      </c>
    </row>
    <row r="475" customFormat="false" ht="74.6" hidden="false" customHeight="false" outlineLevel="0" collapsed="false">
      <c r="A475" s="79" t="n">
        <f aca="false">IF(E475="","",ROW()-6)</f>
        <v>469</v>
      </c>
      <c r="B475" s="80" t="s">
        <v>110</v>
      </c>
      <c r="C475" s="81"/>
      <c r="D475" s="81"/>
      <c r="E475" s="81" t="s">
        <v>579</v>
      </c>
      <c r="F475" s="82" t="str">
        <f aca="false">IF(E475="","",IF(LEFT(E475,2)="DJ","DJ","JN"))</f>
        <v>JN</v>
      </c>
      <c r="G475" s="81"/>
      <c r="H475" s="81"/>
      <c r="I475" s="81"/>
      <c r="J475" s="81"/>
      <c r="K475" s="81"/>
      <c r="L475" s="81"/>
      <c r="M475" s="81"/>
      <c r="N475" s="81"/>
      <c r="O475" s="81"/>
      <c r="P475" s="81"/>
      <c r="Q475" s="81"/>
      <c r="R475" s="81"/>
      <c r="S475" s="81"/>
      <c r="T475" s="81"/>
      <c r="U475" s="83"/>
      <c r="V475" s="83"/>
      <c r="W475" s="81"/>
      <c r="X475" s="81"/>
      <c r="Y475" s="83"/>
      <c r="Z475" s="81"/>
      <c r="AA475" s="81"/>
      <c r="AB475" s="81"/>
      <c r="AC475" s="81"/>
      <c r="AD475" s="81"/>
      <c r="AE475" s="83"/>
      <c r="AF475" s="81"/>
      <c r="AG475" s="81"/>
      <c r="AH475" s="81"/>
      <c r="AI475" s="81"/>
      <c r="AJ475" s="83"/>
      <c r="AK475" s="81"/>
      <c r="AL475" s="81"/>
      <c r="AM475" s="83"/>
      <c r="AN475" s="80"/>
      <c r="AO475" s="82" t="n">
        <f aca="false">IF(E475="","",(AA475&lt;&gt;"")+(AG475&lt;&gt;"")+(AL475&lt;&gt;""))</f>
        <v>0</v>
      </c>
      <c r="AP475" s="82" t="str">
        <f aca="false">IF(AL475&lt;&gt;"",AL475,IF(AG475&lt;&gt;"",AG475,IF(AA475&lt;&gt;"",AA475,"")))</f>
        <v/>
      </c>
      <c r="AQ475" s="84" t="str">
        <f aca="false">IF(E475="","",IF(U475="","À SOUDER",IF(X475="","VT EN ATTENTE",IF(X475="R","VT REJETÉ – À REPRENDRE",IF(AP475="","À RADIOGRAPHIER",IF(AP475="A","ACCEPTÉ",IF(AP475="NX","NX – RT À REFAIRE",IF(IF(AO475=1,AD475,IF(AO475=2,AI475,""))="A","RÉPARÉ – À RADIOGRAPHIER",IF(IF(AO475=1,AD475,IF(AO475=2,AI475,""))="R","VT REJETÉ – À REPRENDRE",IF(OR(AP475="CO",AP475="NT"),"COUPE – À RESOUDER","À RÉPARER"))))))))))</f>
        <v>À SOUDER</v>
      </c>
      <c r="AR475" s="82" t="str">
        <f aca="false">IF(AND(ISNUMBER(U475),OR(AQ475="À RADIOGRAPHIER",AQ475="RÉPARÉ – À RADIOGRAPHIER",AQ475="NX – RT À REFAIRE",AQ475="À RÉPARER",AQ475="COUPE – À RESOUDER",AQ475="VT REJETÉ – À REPRENDRE")),MAX(0,'PROGRAMME RT'!$C$4-U475),"")</f>
        <v/>
      </c>
      <c r="AS475" s="82" t="n">
        <f aca="false">IF(AND(OR(AQ475="À RADIOGRAPHIER",AQ475="RÉPARÉ – À RADIOGRAPHIER",AQ475="NX – RT À REFAIRE"),OR('PROGRAMME RT'!$D$5="TOUTES",B475='PROGRAMME RT'!$D$5)),1,0)</f>
        <v>0</v>
      </c>
      <c r="AT475" s="82" t="str">
        <f aca="false">IF(AS475=1,SUM(AS$7:AS475),"")</f>
        <v/>
      </c>
      <c r="AU475" s="82" t="n">
        <f aca="false">IF(AND(OR(AA475="R",AA475="NX",AA475="NT",AA475="CO"),OR('JOINTS DE RÉPARATION'!$D$5="TOUTES",B475='JOINTS DE RÉPARATION'!$D$5),OR('JOINTS DE RÉPARATION'!$L$4="TOUS",AQ475&lt;&gt;"ACCEPTÉ")),1,0)</f>
        <v>0</v>
      </c>
      <c r="AV475" s="82" t="str">
        <f aca="false">IF(AU475=1,SUM(AU$7:AU475),"")</f>
        <v/>
      </c>
      <c r="AW475" s="82" t="str">
        <f aca="false">IF(E475="","",B475&amp;"|"&amp;E475)</f>
        <v>MFD-ISW → MFD-CPF|JN°469</v>
      </c>
    </row>
    <row r="476" customFormat="false" ht="74.6" hidden="false" customHeight="false" outlineLevel="0" collapsed="false">
      <c r="A476" s="79" t="n">
        <f aca="false">IF(E476="","",ROW()-6)</f>
        <v>470</v>
      </c>
      <c r="B476" s="80" t="s">
        <v>110</v>
      </c>
      <c r="C476" s="81"/>
      <c r="D476" s="81"/>
      <c r="E476" s="81" t="s">
        <v>580</v>
      </c>
      <c r="F476" s="82" t="str">
        <f aca="false">IF(E476="","",IF(LEFT(E476,2)="DJ","DJ","JN"))</f>
        <v>JN</v>
      </c>
      <c r="G476" s="81"/>
      <c r="H476" s="81"/>
      <c r="I476" s="81"/>
      <c r="J476" s="81"/>
      <c r="K476" s="81"/>
      <c r="L476" s="81"/>
      <c r="M476" s="81"/>
      <c r="N476" s="81"/>
      <c r="O476" s="81"/>
      <c r="P476" s="81"/>
      <c r="Q476" s="81"/>
      <c r="R476" s="81"/>
      <c r="S476" s="81"/>
      <c r="T476" s="81"/>
      <c r="U476" s="83"/>
      <c r="V476" s="83"/>
      <c r="W476" s="81"/>
      <c r="X476" s="81"/>
      <c r="Y476" s="83"/>
      <c r="Z476" s="81"/>
      <c r="AA476" s="81"/>
      <c r="AB476" s="81"/>
      <c r="AC476" s="81"/>
      <c r="AD476" s="81"/>
      <c r="AE476" s="83"/>
      <c r="AF476" s="81"/>
      <c r="AG476" s="81"/>
      <c r="AH476" s="81"/>
      <c r="AI476" s="81"/>
      <c r="AJ476" s="83"/>
      <c r="AK476" s="81"/>
      <c r="AL476" s="81"/>
      <c r="AM476" s="83"/>
      <c r="AN476" s="80"/>
      <c r="AO476" s="82" t="n">
        <f aca="false">IF(E476="","",(AA476&lt;&gt;"")+(AG476&lt;&gt;"")+(AL476&lt;&gt;""))</f>
        <v>0</v>
      </c>
      <c r="AP476" s="82" t="str">
        <f aca="false">IF(AL476&lt;&gt;"",AL476,IF(AG476&lt;&gt;"",AG476,IF(AA476&lt;&gt;"",AA476,"")))</f>
        <v/>
      </c>
      <c r="AQ476" s="84" t="str">
        <f aca="false">IF(E476="","",IF(U476="","À SOUDER",IF(X476="","VT EN ATTENTE",IF(X476="R","VT REJETÉ – À REPRENDRE",IF(AP476="","À RADIOGRAPHIER",IF(AP476="A","ACCEPTÉ",IF(AP476="NX","NX – RT À REFAIRE",IF(IF(AO476=1,AD476,IF(AO476=2,AI476,""))="A","RÉPARÉ – À RADIOGRAPHIER",IF(IF(AO476=1,AD476,IF(AO476=2,AI476,""))="R","VT REJETÉ – À REPRENDRE",IF(OR(AP476="CO",AP476="NT"),"COUPE – À RESOUDER","À RÉPARER"))))))))))</f>
        <v>À SOUDER</v>
      </c>
      <c r="AR476" s="82" t="str">
        <f aca="false">IF(AND(ISNUMBER(U476),OR(AQ476="À RADIOGRAPHIER",AQ476="RÉPARÉ – À RADIOGRAPHIER",AQ476="NX – RT À REFAIRE",AQ476="À RÉPARER",AQ476="COUPE – À RESOUDER",AQ476="VT REJETÉ – À REPRENDRE")),MAX(0,'PROGRAMME RT'!$C$4-U476),"")</f>
        <v/>
      </c>
      <c r="AS476" s="82" t="n">
        <f aca="false">IF(AND(OR(AQ476="À RADIOGRAPHIER",AQ476="RÉPARÉ – À RADIOGRAPHIER",AQ476="NX – RT À REFAIRE"),OR('PROGRAMME RT'!$D$5="TOUTES",B476='PROGRAMME RT'!$D$5)),1,0)</f>
        <v>0</v>
      </c>
      <c r="AT476" s="82" t="str">
        <f aca="false">IF(AS476=1,SUM(AS$7:AS476),"")</f>
        <v/>
      </c>
      <c r="AU476" s="82" t="n">
        <f aca="false">IF(AND(OR(AA476="R",AA476="NX",AA476="NT",AA476="CO"),OR('JOINTS DE RÉPARATION'!$D$5="TOUTES",B476='JOINTS DE RÉPARATION'!$D$5),OR('JOINTS DE RÉPARATION'!$L$4="TOUS",AQ476&lt;&gt;"ACCEPTÉ")),1,0)</f>
        <v>0</v>
      </c>
      <c r="AV476" s="82" t="str">
        <f aca="false">IF(AU476=1,SUM(AU$7:AU476),"")</f>
        <v/>
      </c>
      <c r="AW476" s="82" t="str">
        <f aca="false">IF(E476="","",B476&amp;"|"&amp;E476)</f>
        <v>MFD-ISW → MFD-CPF|JN°470</v>
      </c>
    </row>
    <row r="477" customFormat="false" ht="74.6" hidden="false" customHeight="false" outlineLevel="0" collapsed="false">
      <c r="A477" s="79" t="n">
        <f aca="false">IF(E477="","",ROW()-6)</f>
        <v>471</v>
      </c>
      <c r="B477" s="80" t="s">
        <v>110</v>
      </c>
      <c r="C477" s="81"/>
      <c r="D477" s="81"/>
      <c r="E477" s="81" t="s">
        <v>581</v>
      </c>
      <c r="F477" s="82" t="str">
        <f aca="false">IF(E477="","",IF(LEFT(E477,2)="DJ","DJ","JN"))</f>
        <v>JN</v>
      </c>
      <c r="G477" s="81"/>
      <c r="H477" s="81"/>
      <c r="I477" s="81"/>
      <c r="J477" s="81"/>
      <c r="K477" s="81"/>
      <c r="L477" s="81"/>
      <c r="M477" s="81"/>
      <c r="N477" s="81"/>
      <c r="O477" s="81"/>
      <c r="P477" s="81"/>
      <c r="Q477" s="81"/>
      <c r="R477" s="81"/>
      <c r="S477" s="81"/>
      <c r="T477" s="81"/>
      <c r="U477" s="83"/>
      <c r="V477" s="83"/>
      <c r="W477" s="81"/>
      <c r="X477" s="81"/>
      <c r="Y477" s="83"/>
      <c r="Z477" s="81"/>
      <c r="AA477" s="81"/>
      <c r="AB477" s="81"/>
      <c r="AC477" s="81"/>
      <c r="AD477" s="81"/>
      <c r="AE477" s="83"/>
      <c r="AF477" s="81"/>
      <c r="AG477" s="81"/>
      <c r="AH477" s="81"/>
      <c r="AI477" s="81"/>
      <c r="AJ477" s="83"/>
      <c r="AK477" s="81"/>
      <c r="AL477" s="81"/>
      <c r="AM477" s="83"/>
      <c r="AN477" s="80"/>
      <c r="AO477" s="82" t="n">
        <f aca="false">IF(E477="","",(AA477&lt;&gt;"")+(AG477&lt;&gt;"")+(AL477&lt;&gt;""))</f>
        <v>0</v>
      </c>
      <c r="AP477" s="82" t="str">
        <f aca="false">IF(AL477&lt;&gt;"",AL477,IF(AG477&lt;&gt;"",AG477,IF(AA477&lt;&gt;"",AA477,"")))</f>
        <v/>
      </c>
      <c r="AQ477" s="84" t="str">
        <f aca="false">IF(E477="","",IF(U477="","À SOUDER",IF(X477="","VT EN ATTENTE",IF(X477="R","VT REJETÉ – À REPRENDRE",IF(AP477="","À RADIOGRAPHIER",IF(AP477="A","ACCEPTÉ",IF(AP477="NX","NX – RT À REFAIRE",IF(IF(AO477=1,AD477,IF(AO477=2,AI477,""))="A","RÉPARÉ – À RADIOGRAPHIER",IF(IF(AO477=1,AD477,IF(AO477=2,AI477,""))="R","VT REJETÉ – À REPRENDRE",IF(OR(AP477="CO",AP477="NT"),"COUPE – À RESOUDER","À RÉPARER"))))))))))</f>
        <v>À SOUDER</v>
      </c>
      <c r="AR477" s="82" t="str">
        <f aca="false">IF(AND(ISNUMBER(U477),OR(AQ477="À RADIOGRAPHIER",AQ477="RÉPARÉ – À RADIOGRAPHIER",AQ477="NX – RT À REFAIRE",AQ477="À RÉPARER",AQ477="COUPE – À RESOUDER",AQ477="VT REJETÉ – À REPRENDRE")),MAX(0,'PROGRAMME RT'!$C$4-U477),"")</f>
        <v/>
      </c>
      <c r="AS477" s="82" t="n">
        <f aca="false">IF(AND(OR(AQ477="À RADIOGRAPHIER",AQ477="RÉPARÉ – À RADIOGRAPHIER",AQ477="NX – RT À REFAIRE"),OR('PROGRAMME RT'!$D$5="TOUTES",B477='PROGRAMME RT'!$D$5)),1,0)</f>
        <v>0</v>
      </c>
      <c r="AT477" s="82" t="str">
        <f aca="false">IF(AS477=1,SUM(AS$7:AS477),"")</f>
        <v/>
      </c>
      <c r="AU477" s="82" t="n">
        <f aca="false">IF(AND(OR(AA477="R",AA477="NX",AA477="NT",AA477="CO"),OR('JOINTS DE RÉPARATION'!$D$5="TOUTES",B477='JOINTS DE RÉPARATION'!$D$5),OR('JOINTS DE RÉPARATION'!$L$4="TOUS",AQ477&lt;&gt;"ACCEPTÉ")),1,0)</f>
        <v>0</v>
      </c>
      <c r="AV477" s="82" t="str">
        <f aca="false">IF(AU477=1,SUM(AU$7:AU477),"")</f>
        <v/>
      </c>
      <c r="AW477" s="82" t="str">
        <f aca="false">IF(E477="","",B477&amp;"|"&amp;E477)</f>
        <v>MFD-ISW → MFD-CPF|JN°471</v>
      </c>
    </row>
    <row r="478" customFormat="false" ht="74.6" hidden="false" customHeight="false" outlineLevel="0" collapsed="false">
      <c r="A478" s="79" t="n">
        <f aca="false">IF(E478="","",ROW()-6)</f>
        <v>472</v>
      </c>
      <c r="B478" s="80" t="s">
        <v>110</v>
      </c>
      <c r="C478" s="81"/>
      <c r="D478" s="81"/>
      <c r="E478" s="81" t="s">
        <v>582</v>
      </c>
      <c r="F478" s="82" t="str">
        <f aca="false">IF(E478="","",IF(LEFT(E478,2)="DJ","DJ","JN"))</f>
        <v>JN</v>
      </c>
      <c r="G478" s="81"/>
      <c r="H478" s="81"/>
      <c r="I478" s="81"/>
      <c r="J478" s="81"/>
      <c r="K478" s="81"/>
      <c r="L478" s="81"/>
      <c r="M478" s="81"/>
      <c r="N478" s="81"/>
      <c r="O478" s="81"/>
      <c r="P478" s="81"/>
      <c r="Q478" s="81"/>
      <c r="R478" s="81"/>
      <c r="S478" s="81"/>
      <c r="T478" s="81"/>
      <c r="U478" s="83"/>
      <c r="V478" s="83"/>
      <c r="W478" s="81"/>
      <c r="X478" s="81"/>
      <c r="Y478" s="83"/>
      <c r="Z478" s="81"/>
      <c r="AA478" s="81"/>
      <c r="AB478" s="81"/>
      <c r="AC478" s="81"/>
      <c r="AD478" s="81"/>
      <c r="AE478" s="83"/>
      <c r="AF478" s="81"/>
      <c r="AG478" s="81"/>
      <c r="AH478" s="81"/>
      <c r="AI478" s="81"/>
      <c r="AJ478" s="83"/>
      <c r="AK478" s="81"/>
      <c r="AL478" s="81"/>
      <c r="AM478" s="83"/>
      <c r="AN478" s="80"/>
      <c r="AO478" s="82" t="n">
        <f aca="false">IF(E478="","",(AA478&lt;&gt;"")+(AG478&lt;&gt;"")+(AL478&lt;&gt;""))</f>
        <v>0</v>
      </c>
      <c r="AP478" s="82" t="str">
        <f aca="false">IF(AL478&lt;&gt;"",AL478,IF(AG478&lt;&gt;"",AG478,IF(AA478&lt;&gt;"",AA478,"")))</f>
        <v/>
      </c>
      <c r="AQ478" s="84" t="str">
        <f aca="false">IF(E478="","",IF(U478="","À SOUDER",IF(X478="","VT EN ATTENTE",IF(X478="R","VT REJETÉ – À REPRENDRE",IF(AP478="","À RADIOGRAPHIER",IF(AP478="A","ACCEPTÉ",IF(AP478="NX","NX – RT À REFAIRE",IF(IF(AO478=1,AD478,IF(AO478=2,AI478,""))="A","RÉPARÉ – À RADIOGRAPHIER",IF(IF(AO478=1,AD478,IF(AO478=2,AI478,""))="R","VT REJETÉ – À REPRENDRE",IF(OR(AP478="CO",AP478="NT"),"COUPE – À RESOUDER","À RÉPARER"))))))))))</f>
        <v>À SOUDER</v>
      </c>
      <c r="AR478" s="82" t="str">
        <f aca="false">IF(AND(ISNUMBER(U478),OR(AQ478="À RADIOGRAPHIER",AQ478="RÉPARÉ – À RADIOGRAPHIER",AQ478="NX – RT À REFAIRE",AQ478="À RÉPARER",AQ478="COUPE – À RESOUDER",AQ478="VT REJETÉ – À REPRENDRE")),MAX(0,'PROGRAMME RT'!$C$4-U478),"")</f>
        <v/>
      </c>
      <c r="AS478" s="82" t="n">
        <f aca="false">IF(AND(OR(AQ478="À RADIOGRAPHIER",AQ478="RÉPARÉ – À RADIOGRAPHIER",AQ478="NX – RT À REFAIRE"),OR('PROGRAMME RT'!$D$5="TOUTES",B478='PROGRAMME RT'!$D$5)),1,0)</f>
        <v>0</v>
      </c>
      <c r="AT478" s="82" t="str">
        <f aca="false">IF(AS478=1,SUM(AS$7:AS478),"")</f>
        <v/>
      </c>
      <c r="AU478" s="82" t="n">
        <f aca="false">IF(AND(OR(AA478="R",AA478="NX",AA478="NT",AA478="CO"),OR('JOINTS DE RÉPARATION'!$D$5="TOUTES",B478='JOINTS DE RÉPARATION'!$D$5),OR('JOINTS DE RÉPARATION'!$L$4="TOUS",AQ478&lt;&gt;"ACCEPTÉ")),1,0)</f>
        <v>0</v>
      </c>
      <c r="AV478" s="82" t="str">
        <f aca="false">IF(AU478=1,SUM(AU$7:AU478),"")</f>
        <v/>
      </c>
      <c r="AW478" s="82" t="str">
        <f aca="false">IF(E478="","",B478&amp;"|"&amp;E478)</f>
        <v>MFD-ISW → MFD-CPF|JN°472</v>
      </c>
    </row>
    <row r="479" customFormat="false" ht="74.6" hidden="false" customHeight="false" outlineLevel="0" collapsed="false">
      <c r="A479" s="79" t="n">
        <f aca="false">IF(E479="","",ROW()-6)</f>
        <v>473</v>
      </c>
      <c r="B479" s="80" t="s">
        <v>110</v>
      </c>
      <c r="C479" s="81"/>
      <c r="D479" s="81"/>
      <c r="E479" s="81" t="s">
        <v>583</v>
      </c>
      <c r="F479" s="82" t="str">
        <f aca="false">IF(E479="","",IF(LEFT(E479,2)="DJ","DJ","JN"))</f>
        <v>JN</v>
      </c>
      <c r="G479" s="81"/>
      <c r="H479" s="81"/>
      <c r="I479" s="81"/>
      <c r="J479" s="81"/>
      <c r="K479" s="81"/>
      <c r="L479" s="81"/>
      <c r="M479" s="81"/>
      <c r="N479" s="81"/>
      <c r="O479" s="81"/>
      <c r="P479" s="81"/>
      <c r="Q479" s="81"/>
      <c r="R479" s="81"/>
      <c r="S479" s="81"/>
      <c r="T479" s="81"/>
      <c r="U479" s="83"/>
      <c r="V479" s="83"/>
      <c r="W479" s="81"/>
      <c r="X479" s="81"/>
      <c r="Y479" s="83"/>
      <c r="Z479" s="81"/>
      <c r="AA479" s="81"/>
      <c r="AB479" s="81"/>
      <c r="AC479" s="81"/>
      <c r="AD479" s="81"/>
      <c r="AE479" s="83"/>
      <c r="AF479" s="81"/>
      <c r="AG479" s="81"/>
      <c r="AH479" s="81"/>
      <c r="AI479" s="81"/>
      <c r="AJ479" s="83"/>
      <c r="AK479" s="81"/>
      <c r="AL479" s="81"/>
      <c r="AM479" s="83"/>
      <c r="AN479" s="80"/>
      <c r="AO479" s="82" t="n">
        <f aca="false">IF(E479="","",(AA479&lt;&gt;"")+(AG479&lt;&gt;"")+(AL479&lt;&gt;""))</f>
        <v>0</v>
      </c>
      <c r="AP479" s="82" t="str">
        <f aca="false">IF(AL479&lt;&gt;"",AL479,IF(AG479&lt;&gt;"",AG479,IF(AA479&lt;&gt;"",AA479,"")))</f>
        <v/>
      </c>
      <c r="AQ479" s="84" t="str">
        <f aca="false">IF(E479="","",IF(U479="","À SOUDER",IF(X479="","VT EN ATTENTE",IF(X479="R","VT REJETÉ – À REPRENDRE",IF(AP479="","À RADIOGRAPHIER",IF(AP479="A","ACCEPTÉ",IF(AP479="NX","NX – RT À REFAIRE",IF(IF(AO479=1,AD479,IF(AO479=2,AI479,""))="A","RÉPARÉ – À RADIOGRAPHIER",IF(IF(AO479=1,AD479,IF(AO479=2,AI479,""))="R","VT REJETÉ – À REPRENDRE",IF(OR(AP479="CO",AP479="NT"),"COUPE – À RESOUDER","À RÉPARER"))))))))))</f>
        <v>À SOUDER</v>
      </c>
      <c r="AR479" s="82" t="str">
        <f aca="false">IF(AND(ISNUMBER(U479),OR(AQ479="À RADIOGRAPHIER",AQ479="RÉPARÉ – À RADIOGRAPHIER",AQ479="NX – RT À REFAIRE",AQ479="À RÉPARER",AQ479="COUPE – À RESOUDER",AQ479="VT REJETÉ – À REPRENDRE")),MAX(0,'PROGRAMME RT'!$C$4-U479),"")</f>
        <v/>
      </c>
      <c r="AS479" s="82" t="n">
        <f aca="false">IF(AND(OR(AQ479="À RADIOGRAPHIER",AQ479="RÉPARÉ – À RADIOGRAPHIER",AQ479="NX – RT À REFAIRE"),OR('PROGRAMME RT'!$D$5="TOUTES",B479='PROGRAMME RT'!$D$5)),1,0)</f>
        <v>0</v>
      </c>
      <c r="AT479" s="82" t="str">
        <f aca="false">IF(AS479=1,SUM(AS$7:AS479),"")</f>
        <v/>
      </c>
      <c r="AU479" s="82" t="n">
        <f aca="false">IF(AND(OR(AA479="R",AA479="NX",AA479="NT",AA479="CO"),OR('JOINTS DE RÉPARATION'!$D$5="TOUTES",B479='JOINTS DE RÉPARATION'!$D$5),OR('JOINTS DE RÉPARATION'!$L$4="TOUS",AQ479&lt;&gt;"ACCEPTÉ")),1,0)</f>
        <v>0</v>
      </c>
      <c r="AV479" s="82" t="str">
        <f aca="false">IF(AU479=1,SUM(AU$7:AU479),"")</f>
        <v/>
      </c>
      <c r="AW479" s="82" t="str">
        <f aca="false">IF(E479="","",B479&amp;"|"&amp;E479)</f>
        <v>MFD-ISW → MFD-CPF|JN°473</v>
      </c>
    </row>
    <row r="480" customFormat="false" ht="74.6" hidden="false" customHeight="false" outlineLevel="0" collapsed="false">
      <c r="A480" s="79" t="n">
        <f aca="false">IF(E480="","",ROW()-6)</f>
        <v>474</v>
      </c>
      <c r="B480" s="80" t="s">
        <v>110</v>
      </c>
      <c r="C480" s="81"/>
      <c r="D480" s="81"/>
      <c r="E480" s="81" t="s">
        <v>584</v>
      </c>
      <c r="F480" s="82" t="str">
        <f aca="false">IF(E480="","",IF(LEFT(E480,2)="DJ","DJ","JN"))</f>
        <v>JN</v>
      </c>
      <c r="G480" s="81"/>
      <c r="H480" s="81"/>
      <c r="I480" s="81"/>
      <c r="J480" s="81"/>
      <c r="K480" s="81"/>
      <c r="L480" s="81"/>
      <c r="M480" s="81"/>
      <c r="N480" s="81"/>
      <c r="O480" s="81"/>
      <c r="P480" s="81"/>
      <c r="Q480" s="81"/>
      <c r="R480" s="81"/>
      <c r="S480" s="81"/>
      <c r="T480" s="81"/>
      <c r="U480" s="83"/>
      <c r="V480" s="83"/>
      <c r="W480" s="81"/>
      <c r="X480" s="81"/>
      <c r="Y480" s="83"/>
      <c r="Z480" s="81"/>
      <c r="AA480" s="81"/>
      <c r="AB480" s="81"/>
      <c r="AC480" s="81"/>
      <c r="AD480" s="81"/>
      <c r="AE480" s="83"/>
      <c r="AF480" s="81"/>
      <c r="AG480" s="81"/>
      <c r="AH480" s="81"/>
      <c r="AI480" s="81"/>
      <c r="AJ480" s="83"/>
      <c r="AK480" s="81"/>
      <c r="AL480" s="81"/>
      <c r="AM480" s="83"/>
      <c r="AN480" s="80"/>
      <c r="AO480" s="82" t="n">
        <f aca="false">IF(E480="","",(AA480&lt;&gt;"")+(AG480&lt;&gt;"")+(AL480&lt;&gt;""))</f>
        <v>0</v>
      </c>
      <c r="AP480" s="82" t="str">
        <f aca="false">IF(AL480&lt;&gt;"",AL480,IF(AG480&lt;&gt;"",AG480,IF(AA480&lt;&gt;"",AA480,"")))</f>
        <v/>
      </c>
      <c r="AQ480" s="84" t="str">
        <f aca="false">IF(E480="","",IF(U480="","À SOUDER",IF(X480="","VT EN ATTENTE",IF(X480="R","VT REJETÉ – À REPRENDRE",IF(AP480="","À RADIOGRAPHIER",IF(AP480="A","ACCEPTÉ",IF(AP480="NX","NX – RT À REFAIRE",IF(IF(AO480=1,AD480,IF(AO480=2,AI480,""))="A","RÉPARÉ – À RADIOGRAPHIER",IF(IF(AO480=1,AD480,IF(AO480=2,AI480,""))="R","VT REJETÉ – À REPRENDRE",IF(OR(AP480="CO",AP480="NT"),"COUPE – À RESOUDER","À RÉPARER"))))))))))</f>
        <v>À SOUDER</v>
      </c>
      <c r="AR480" s="82" t="str">
        <f aca="false">IF(AND(ISNUMBER(U480),OR(AQ480="À RADIOGRAPHIER",AQ480="RÉPARÉ – À RADIOGRAPHIER",AQ480="NX – RT À REFAIRE",AQ480="À RÉPARER",AQ480="COUPE – À RESOUDER",AQ480="VT REJETÉ – À REPRENDRE")),MAX(0,'PROGRAMME RT'!$C$4-U480),"")</f>
        <v/>
      </c>
      <c r="AS480" s="82" t="n">
        <f aca="false">IF(AND(OR(AQ480="À RADIOGRAPHIER",AQ480="RÉPARÉ – À RADIOGRAPHIER",AQ480="NX – RT À REFAIRE"),OR('PROGRAMME RT'!$D$5="TOUTES",B480='PROGRAMME RT'!$D$5)),1,0)</f>
        <v>0</v>
      </c>
      <c r="AT480" s="82" t="str">
        <f aca="false">IF(AS480=1,SUM(AS$7:AS480),"")</f>
        <v/>
      </c>
      <c r="AU480" s="82" t="n">
        <f aca="false">IF(AND(OR(AA480="R",AA480="NX",AA480="NT",AA480="CO"),OR('JOINTS DE RÉPARATION'!$D$5="TOUTES",B480='JOINTS DE RÉPARATION'!$D$5),OR('JOINTS DE RÉPARATION'!$L$4="TOUS",AQ480&lt;&gt;"ACCEPTÉ")),1,0)</f>
        <v>0</v>
      </c>
      <c r="AV480" s="82" t="str">
        <f aca="false">IF(AU480=1,SUM(AU$7:AU480),"")</f>
        <v/>
      </c>
      <c r="AW480" s="82" t="str">
        <f aca="false">IF(E480="","",B480&amp;"|"&amp;E480)</f>
        <v>MFD-ISW → MFD-CPF|JN°474</v>
      </c>
    </row>
    <row r="481" customFormat="false" ht="74.6" hidden="false" customHeight="false" outlineLevel="0" collapsed="false">
      <c r="A481" s="79" t="n">
        <f aca="false">IF(E481="","",ROW()-6)</f>
        <v>475</v>
      </c>
      <c r="B481" s="80" t="s">
        <v>110</v>
      </c>
      <c r="C481" s="81"/>
      <c r="D481" s="81"/>
      <c r="E481" s="81" t="s">
        <v>585</v>
      </c>
      <c r="F481" s="82" t="str">
        <f aca="false">IF(E481="","",IF(LEFT(E481,2)="DJ","DJ","JN"))</f>
        <v>JN</v>
      </c>
      <c r="G481" s="81"/>
      <c r="H481" s="81"/>
      <c r="I481" s="81"/>
      <c r="J481" s="81"/>
      <c r="K481" s="81"/>
      <c r="L481" s="81"/>
      <c r="M481" s="81"/>
      <c r="N481" s="81"/>
      <c r="O481" s="81"/>
      <c r="P481" s="81"/>
      <c r="Q481" s="81"/>
      <c r="R481" s="81"/>
      <c r="S481" s="81"/>
      <c r="T481" s="81"/>
      <c r="U481" s="83"/>
      <c r="V481" s="83"/>
      <c r="W481" s="81"/>
      <c r="X481" s="81"/>
      <c r="Y481" s="83"/>
      <c r="Z481" s="81"/>
      <c r="AA481" s="81"/>
      <c r="AB481" s="81"/>
      <c r="AC481" s="81"/>
      <c r="AD481" s="81"/>
      <c r="AE481" s="83"/>
      <c r="AF481" s="81"/>
      <c r="AG481" s="81"/>
      <c r="AH481" s="81"/>
      <c r="AI481" s="81"/>
      <c r="AJ481" s="83"/>
      <c r="AK481" s="81"/>
      <c r="AL481" s="81"/>
      <c r="AM481" s="83"/>
      <c r="AN481" s="80"/>
      <c r="AO481" s="82" t="n">
        <f aca="false">IF(E481="","",(AA481&lt;&gt;"")+(AG481&lt;&gt;"")+(AL481&lt;&gt;""))</f>
        <v>0</v>
      </c>
      <c r="AP481" s="82" t="str">
        <f aca="false">IF(AL481&lt;&gt;"",AL481,IF(AG481&lt;&gt;"",AG481,IF(AA481&lt;&gt;"",AA481,"")))</f>
        <v/>
      </c>
      <c r="AQ481" s="84" t="str">
        <f aca="false">IF(E481="","",IF(U481="","À SOUDER",IF(X481="","VT EN ATTENTE",IF(X481="R","VT REJETÉ – À REPRENDRE",IF(AP481="","À RADIOGRAPHIER",IF(AP481="A","ACCEPTÉ",IF(AP481="NX","NX – RT À REFAIRE",IF(IF(AO481=1,AD481,IF(AO481=2,AI481,""))="A","RÉPARÉ – À RADIOGRAPHIER",IF(IF(AO481=1,AD481,IF(AO481=2,AI481,""))="R","VT REJETÉ – À REPRENDRE",IF(OR(AP481="CO",AP481="NT"),"COUPE – À RESOUDER","À RÉPARER"))))))))))</f>
        <v>À SOUDER</v>
      </c>
      <c r="AR481" s="82" t="str">
        <f aca="false">IF(AND(ISNUMBER(U481),OR(AQ481="À RADIOGRAPHIER",AQ481="RÉPARÉ – À RADIOGRAPHIER",AQ481="NX – RT À REFAIRE",AQ481="À RÉPARER",AQ481="COUPE – À RESOUDER",AQ481="VT REJETÉ – À REPRENDRE")),MAX(0,'PROGRAMME RT'!$C$4-U481),"")</f>
        <v/>
      </c>
      <c r="AS481" s="82" t="n">
        <f aca="false">IF(AND(OR(AQ481="À RADIOGRAPHIER",AQ481="RÉPARÉ – À RADIOGRAPHIER",AQ481="NX – RT À REFAIRE"),OR('PROGRAMME RT'!$D$5="TOUTES",B481='PROGRAMME RT'!$D$5)),1,0)</f>
        <v>0</v>
      </c>
      <c r="AT481" s="82" t="str">
        <f aca="false">IF(AS481=1,SUM(AS$7:AS481),"")</f>
        <v/>
      </c>
      <c r="AU481" s="82" t="n">
        <f aca="false">IF(AND(OR(AA481="R",AA481="NX",AA481="NT",AA481="CO"),OR('JOINTS DE RÉPARATION'!$D$5="TOUTES",B481='JOINTS DE RÉPARATION'!$D$5),OR('JOINTS DE RÉPARATION'!$L$4="TOUS",AQ481&lt;&gt;"ACCEPTÉ")),1,0)</f>
        <v>0</v>
      </c>
      <c r="AV481" s="82" t="str">
        <f aca="false">IF(AU481=1,SUM(AU$7:AU481),"")</f>
        <v/>
      </c>
      <c r="AW481" s="82" t="str">
        <f aca="false">IF(E481="","",B481&amp;"|"&amp;E481)</f>
        <v>MFD-ISW → MFD-CPF|JN°475</v>
      </c>
    </row>
    <row r="482" customFormat="false" ht="74.6" hidden="false" customHeight="false" outlineLevel="0" collapsed="false">
      <c r="A482" s="79" t="n">
        <f aca="false">IF(E482="","",ROW()-6)</f>
        <v>476</v>
      </c>
      <c r="B482" s="80" t="s">
        <v>110</v>
      </c>
      <c r="C482" s="81"/>
      <c r="D482" s="81"/>
      <c r="E482" s="81" t="s">
        <v>586</v>
      </c>
      <c r="F482" s="82" t="str">
        <f aca="false">IF(E482="","",IF(LEFT(E482,2)="DJ","DJ","JN"))</f>
        <v>JN</v>
      </c>
      <c r="G482" s="81"/>
      <c r="H482" s="81"/>
      <c r="I482" s="81"/>
      <c r="J482" s="81"/>
      <c r="K482" s="81"/>
      <c r="L482" s="81"/>
      <c r="M482" s="81"/>
      <c r="N482" s="81"/>
      <c r="O482" s="81"/>
      <c r="P482" s="81"/>
      <c r="Q482" s="81"/>
      <c r="R482" s="81"/>
      <c r="S482" s="81"/>
      <c r="T482" s="81"/>
      <c r="U482" s="83"/>
      <c r="V482" s="83"/>
      <c r="W482" s="81"/>
      <c r="X482" s="81"/>
      <c r="Y482" s="83"/>
      <c r="Z482" s="81"/>
      <c r="AA482" s="81"/>
      <c r="AB482" s="81"/>
      <c r="AC482" s="81"/>
      <c r="AD482" s="81"/>
      <c r="AE482" s="83"/>
      <c r="AF482" s="81"/>
      <c r="AG482" s="81"/>
      <c r="AH482" s="81"/>
      <c r="AI482" s="81"/>
      <c r="AJ482" s="83"/>
      <c r="AK482" s="81"/>
      <c r="AL482" s="81"/>
      <c r="AM482" s="83"/>
      <c r="AN482" s="80"/>
      <c r="AO482" s="82" t="n">
        <f aca="false">IF(E482="","",(AA482&lt;&gt;"")+(AG482&lt;&gt;"")+(AL482&lt;&gt;""))</f>
        <v>0</v>
      </c>
      <c r="AP482" s="82" t="str">
        <f aca="false">IF(AL482&lt;&gt;"",AL482,IF(AG482&lt;&gt;"",AG482,IF(AA482&lt;&gt;"",AA482,"")))</f>
        <v/>
      </c>
      <c r="AQ482" s="84" t="str">
        <f aca="false">IF(E482="","",IF(U482="","À SOUDER",IF(X482="","VT EN ATTENTE",IF(X482="R","VT REJETÉ – À REPRENDRE",IF(AP482="","À RADIOGRAPHIER",IF(AP482="A","ACCEPTÉ",IF(AP482="NX","NX – RT À REFAIRE",IF(IF(AO482=1,AD482,IF(AO482=2,AI482,""))="A","RÉPARÉ – À RADIOGRAPHIER",IF(IF(AO482=1,AD482,IF(AO482=2,AI482,""))="R","VT REJETÉ – À REPRENDRE",IF(OR(AP482="CO",AP482="NT"),"COUPE – À RESOUDER","À RÉPARER"))))))))))</f>
        <v>À SOUDER</v>
      </c>
      <c r="AR482" s="82" t="str">
        <f aca="false">IF(AND(ISNUMBER(U482),OR(AQ482="À RADIOGRAPHIER",AQ482="RÉPARÉ – À RADIOGRAPHIER",AQ482="NX – RT À REFAIRE",AQ482="À RÉPARER",AQ482="COUPE – À RESOUDER",AQ482="VT REJETÉ – À REPRENDRE")),MAX(0,'PROGRAMME RT'!$C$4-U482),"")</f>
        <v/>
      </c>
      <c r="AS482" s="82" t="n">
        <f aca="false">IF(AND(OR(AQ482="À RADIOGRAPHIER",AQ482="RÉPARÉ – À RADIOGRAPHIER",AQ482="NX – RT À REFAIRE"),OR('PROGRAMME RT'!$D$5="TOUTES",B482='PROGRAMME RT'!$D$5)),1,0)</f>
        <v>0</v>
      </c>
      <c r="AT482" s="82" t="str">
        <f aca="false">IF(AS482=1,SUM(AS$7:AS482),"")</f>
        <v/>
      </c>
      <c r="AU482" s="82" t="n">
        <f aca="false">IF(AND(OR(AA482="R",AA482="NX",AA482="NT",AA482="CO"),OR('JOINTS DE RÉPARATION'!$D$5="TOUTES",B482='JOINTS DE RÉPARATION'!$D$5),OR('JOINTS DE RÉPARATION'!$L$4="TOUS",AQ482&lt;&gt;"ACCEPTÉ")),1,0)</f>
        <v>0</v>
      </c>
      <c r="AV482" s="82" t="str">
        <f aca="false">IF(AU482=1,SUM(AU$7:AU482),"")</f>
        <v/>
      </c>
      <c r="AW482" s="82" t="str">
        <f aca="false">IF(E482="","",B482&amp;"|"&amp;E482)</f>
        <v>MFD-ISW → MFD-CPF|JN°476</v>
      </c>
    </row>
    <row r="483" customFormat="false" ht="74.6" hidden="false" customHeight="false" outlineLevel="0" collapsed="false">
      <c r="A483" s="79" t="n">
        <f aca="false">IF(E483="","",ROW()-6)</f>
        <v>477</v>
      </c>
      <c r="B483" s="80" t="s">
        <v>110</v>
      </c>
      <c r="C483" s="81"/>
      <c r="D483" s="81"/>
      <c r="E483" s="81" t="s">
        <v>587</v>
      </c>
      <c r="F483" s="82" t="str">
        <f aca="false">IF(E483="","",IF(LEFT(E483,2)="DJ","DJ","JN"))</f>
        <v>JN</v>
      </c>
      <c r="G483" s="81"/>
      <c r="H483" s="81"/>
      <c r="I483" s="81"/>
      <c r="J483" s="81"/>
      <c r="K483" s="81"/>
      <c r="L483" s="81"/>
      <c r="M483" s="81"/>
      <c r="N483" s="81"/>
      <c r="O483" s="81"/>
      <c r="P483" s="81"/>
      <c r="Q483" s="81"/>
      <c r="R483" s="81"/>
      <c r="S483" s="81"/>
      <c r="T483" s="81"/>
      <c r="U483" s="83"/>
      <c r="V483" s="83"/>
      <c r="W483" s="81"/>
      <c r="X483" s="81"/>
      <c r="Y483" s="83"/>
      <c r="Z483" s="81"/>
      <c r="AA483" s="81"/>
      <c r="AB483" s="81"/>
      <c r="AC483" s="81"/>
      <c r="AD483" s="81"/>
      <c r="AE483" s="83"/>
      <c r="AF483" s="81"/>
      <c r="AG483" s="81"/>
      <c r="AH483" s="81"/>
      <c r="AI483" s="81"/>
      <c r="AJ483" s="83"/>
      <c r="AK483" s="81"/>
      <c r="AL483" s="81"/>
      <c r="AM483" s="83"/>
      <c r="AN483" s="80"/>
      <c r="AO483" s="82" t="n">
        <f aca="false">IF(E483="","",(AA483&lt;&gt;"")+(AG483&lt;&gt;"")+(AL483&lt;&gt;""))</f>
        <v>0</v>
      </c>
      <c r="AP483" s="82" t="str">
        <f aca="false">IF(AL483&lt;&gt;"",AL483,IF(AG483&lt;&gt;"",AG483,IF(AA483&lt;&gt;"",AA483,"")))</f>
        <v/>
      </c>
      <c r="AQ483" s="84" t="str">
        <f aca="false">IF(E483="","",IF(U483="","À SOUDER",IF(X483="","VT EN ATTENTE",IF(X483="R","VT REJETÉ – À REPRENDRE",IF(AP483="","À RADIOGRAPHIER",IF(AP483="A","ACCEPTÉ",IF(AP483="NX","NX – RT À REFAIRE",IF(IF(AO483=1,AD483,IF(AO483=2,AI483,""))="A","RÉPARÉ – À RADIOGRAPHIER",IF(IF(AO483=1,AD483,IF(AO483=2,AI483,""))="R","VT REJETÉ – À REPRENDRE",IF(OR(AP483="CO",AP483="NT"),"COUPE – À RESOUDER","À RÉPARER"))))))))))</f>
        <v>À SOUDER</v>
      </c>
      <c r="AR483" s="82" t="str">
        <f aca="false">IF(AND(ISNUMBER(U483),OR(AQ483="À RADIOGRAPHIER",AQ483="RÉPARÉ – À RADIOGRAPHIER",AQ483="NX – RT À REFAIRE",AQ483="À RÉPARER",AQ483="COUPE – À RESOUDER",AQ483="VT REJETÉ – À REPRENDRE")),MAX(0,'PROGRAMME RT'!$C$4-U483),"")</f>
        <v/>
      </c>
      <c r="AS483" s="82" t="n">
        <f aca="false">IF(AND(OR(AQ483="À RADIOGRAPHIER",AQ483="RÉPARÉ – À RADIOGRAPHIER",AQ483="NX – RT À REFAIRE"),OR('PROGRAMME RT'!$D$5="TOUTES",B483='PROGRAMME RT'!$D$5)),1,0)</f>
        <v>0</v>
      </c>
      <c r="AT483" s="82" t="str">
        <f aca="false">IF(AS483=1,SUM(AS$7:AS483),"")</f>
        <v/>
      </c>
      <c r="AU483" s="82" t="n">
        <f aca="false">IF(AND(OR(AA483="R",AA483="NX",AA483="NT",AA483="CO"),OR('JOINTS DE RÉPARATION'!$D$5="TOUTES",B483='JOINTS DE RÉPARATION'!$D$5),OR('JOINTS DE RÉPARATION'!$L$4="TOUS",AQ483&lt;&gt;"ACCEPTÉ")),1,0)</f>
        <v>0</v>
      </c>
      <c r="AV483" s="82" t="str">
        <f aca="false">IF(AU483=1,SUM(AU$7:AU483),"")</f>
        <v/>
      </c>
      <c r="AW483" s="82" t="str">
        <f aca="false">IF(E483="","",B483&amp;"|"&amp;E483)</f>
        <v>MFD-ISW → MFD-CPF|JN°477</v>
      </c>
    </row>
    <row r="484" customFormat="false" ht="74.6" hidden="false" customHeight="false" outlineLevel="0" collapsed="false">
      <c r="A484" s="79" t="n">
        <f aca="false">IF(E484="","",ROW()-6)</f>
        <v>478</v>
      </c>
      <c r="B484" s="80" t="s">
        <v>110</v>
      </c>
      <c r="C484" s="81"/>
      <c r="D484" s="81"/>
      <c r="E484" s="81" t="s">
        <v>588</v>
      </c>
      <c r="F484" s="82" t="str">
        <f aca="false">IF(E484="","",IF(LEFT(E484,2)="DJ","DJ","JN"))</f>
        <v>JN</v>
      </c>
      <c r="G484" s="81"/>
      <c r="H484" s="81"/>
      <c r="I484" s="81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U484" s="83"/>
      <c r="V484" s="83"/>
      <c r="W484" s="81"/>
      <c r="X484" s="81"/>
      <c r="Y484" s="83"/>
      <c r="Z484" s="81"/>
      <c r="AA484" s="81"/>
      <c r="AB484" s="81"/>
      <c r="AC484" s="81"/>
      <c r="AD484" s="81"/>
      <c r="AE484" s="83"/>
      <c r="AF484" s="81"/>
      <c r="AG484" s="81"/>
      <c r="AH484" s="81"/>
      <c r="AI484" s="81"/>
      <c r="AJ484" s="83"/>
      <c r="AK484" s="81"/>
      <c r="AL484" s="81"/>
      <c r="AM484" s="83"/>
      <c r="AN484" s="80"/>
      <c r="AO484" s="82" t="n">
        <f aca="false">IF(E484="","",(AA484&lt;&gt;"")+(AG484&lt;&gt;"")+(AL484&lt;&gt;""))</f>
        <v>0</v>
      </c>
      <c r="AP484" s="82" t="str">
        <f aca="false">IF(AL484&lt;&gt;"",AL484,IF(AG484&lt;&gt;"",AG484,IF(AA484&lt;&gt;"",AA484,"")))</f>
        <v/>
      </c>
      <c r="AQ484" s="84" t="str">
        <f aca="false">IF(E484="","",IF(U484="","À SOUDER",IF(X484="","VT EN ATTENTE",IF(X484="R","VT REJETÉ – À REPRENDRE",IF(AP484="","À RADIOGRAPHIER",IF(AP484="A","ACCEPTÉ",IF(AP484="NX","NX – RT À REFAIRE",IF(IF(AO484=1,AD484,IF(AO484=2,AI484,""))="A","RÉPARÉ – À RADIOGRAPHIER",IF(IF(AO484=1,AD484,IF(AO484=2,AI484,""))="R","VT REJETÉ – À REPRENDRE",IF(OR(AP484="CO",AP484="NT"),"COUPE – À RESOUDER","À RÉPARER"))))))))))</f>
        <v>À SOUDER</v>
      </c>
      <c r="AR484" s="82" t="str">
        <f aca="false">IF(AND(ISNUMBER(U484),OR(AQ484="À RADIOGRAPHIER",AQ484="RÉPARÉ – À RADIOGRAPHIER",AQ484="NX – RT À REFAIRE",AQ484="À RÉPARER",AQ484="COUPE – À RESOUDER",AQ484="VT REJETÉ – À REPRENDRE")),MAX(0,'PROGRAMME RT'!$C$4-U484),"")</f>
        <v/>
      </c>
      <c r="AS484" s="82" t="n">
        <f aca="false">IF(AND(OR(AQ484="À RADIOGRAPHIER",AQ484="RÉPARÉ – À RADIOGRAPHIER",AQ484="NX – RT À REFAIRE"),OR('PROGRAMME RT'!$D$5="TOUTES",B484='PROGRAMME RT'!$D$5)),1,0)</f>
        <v>0</v>
      </c>
      <c r="AT484" s="82" t="str">
        <f aca="false">IF(AS484=1,SUM(AS$7:AS484),"")</f>
        <v/>
      </c>
      <c r="AU484" s="82" t="n">
        <f aca="false">IF(AND(OR(AA484="R",AA484="NX",AA484="NT",AA484="CO"),OR('JOINTS DE RÉPARATION'!$D$5="TOUTES",B484='JOINTS DE RÉPARATION'!$D$5),OR('JOINTS DE RÉPARATION'!$L$4="TOUS",AQ484&lt;&gt;"ACCEPTÉ")),1,0)</f>
        <v>0</v>
      </c>
      <c r="AV484" s="82" t="str">
        <f aca="false">IF(AU484=1,SUM(AU$7:AU484),"")</f>
        <v/>
      </c>
      <c r="AW484" s="82" t="str">
        <f aca="false">IF(E484="","",B484&amp;"|"&amp;E484)</f>
        <v>MFD-ISW → MFD-CPF|JN°478</v>
      </c>
    </row>
    <row r="485" customFormat="false" ht="74.6" hidden="false" customHeight="false" outlineLevel="0" collapsed="false">
      <c r="A485" s="79" t="n">
        <f aca="false">IF(E485="","",ROW()-6)</f>
        <v>479</v>
      </c>
      <c r="B485" s="80" t="s">
        <v>110</v>
      </c>
      <c r="C485" s="81"/>
      <c r="D485" s="81"/>
      <c r="E485" s="81" t="s">
        <v>589</v>
      </c>
      <c r="F485" s="82" t="str">
        <f aca="false">IF(E485="","",IF(LEFT(E485,2)="DJ","DJ","JN"))</f>
        <v>JN</v>
      </c>
      <c r="G485" s="81"/>
      <c r="H485" s="81"/>
      <c r="I485" s="81"/>
      <c r="J485" s="81"/>
      <c r="K485" s="81"/>
      <c r="L485" s="81"/>
      <c r="M485" s="81"/>
      <c r="N485" s="81"/>
      <c r="O485" s="81"/>
      <c r="P485" s="81"/>
      <c r="Q485" s="81"/>
      <c r="R485" s="81"/>
      <c r="S485" s="81"/>
      <c r="T485" s="81"/>
      <c r="U485" s="83"/>
      <c r="V485" s="83"/>
      <c r="W485" s="81"/>
      <c r="X485" s="81"/>
      <c r="Y485" s="83"/>
      <c r="Z485" s="81"/>
      <c r="AA485" s="81"/>
      <c r="AB485" s="81"/>
      <c r="AC485" s="81"/>
      <c r="AD485" s="81"/>
      <c r="AE485" s="83"/>
      <c r="AF485" s="81"/>
      <c r="AG485" s="81"/>
      <c r="AH485" s="81"/>
      <c r="AI485" s="81"/>
      <c r="AJ485" s="83"/>
      <c r="AK485" s="81"/>
      <c r="AL485" s="81"/>
      <c r="AM485" s="83"/>
      <c r="AN485" s="80"/>
      <c r="AO485" s="82" t="n">
        <f aca="false">IF(E485="","",(AA485&lt;&gt;"")+(AG485&lt;&gt;"")+(AL485&lt;&gt;""))</f>
        <v>0</v>
      </c>
      <c r="AP485" s="82" t="str">
        <f aca="false">IF(AL485&lt;&gt;"",AL485,IF(AG485&lt;&gt;"",AG485,IF(AA485&lt;&gt;"",AA485,"")))</f>
        <v/>
      </c>
      <c r="AQ485" s="84" t="str">
        <f aca="false">IF(E485="","",IF(U485="","À SOUDER",IF(X485="","VT EN ATTENTE",IF(X485="R","VT REJETÉ – À REPRENDRE",IF(AP485="","À RADIOGRAPHIER",IF(AP485="A","ACCEPTÉ",IF(AP485="NX","NX – RT À REFAIRE",IF(IF(AO485=1,AD485,IF(AO485=2,AI485,""))="A","RÉPARÉ – À RADIOGRAPHIER",IF(IF(AO485=1,AD485,IF(AO485=2,AI485,""))="R","VT REJETÉ – À REPRENDRE",IF(OR(AP485="CO",AP485="NT"),"COUPE – À RESOUDER","À RÉPARER"))))))))))</f>
        <v>À SOUDER</v>
      </c>
      <c r="AR485" s="82" t="str">
        <f aca="false">IF(AND(ISNUMBER(U485),OR(AQ485="À RADIOGRAPHIER",AQ485="RÉPARÉ – À RADIOGRAPHIER",AQ485="NX – RT À REFAIRE",AQ485="À RÉPARER",AQ485="COUPE – À RESOUDER",AQ485="VT REJETÉ – À REPRENDRE")),MAX(0,'PROGRAMME RT'!$C$4-U485),"")</f>
        <v/>
      </c>
      <c r="AS485" s="82" t="n">
        <f aca="false">IF(AND(OR(AQ485="À RADIOGRAPHIER",AQ485="RÉPARÉ – À RADIOGRAPHIER",AQ485="NX – RT À REFAIRE"),OR('PROGRAMME RT'!$D$5="TOUTES",B485='PROGRAMME RT'!$D$5)),1,0)</f>
        <v>0</v>
      </c>
      <c r="AT485" s="82" t="str">
        <f aca="false">IF(AS485=1,SUM(AS$7:AS485),"")</f>
        <v/>
      </c>
      <c r="AU485" s="82" t="n">
        <f aca="false">IF(AND(OR(AA485="R",AA485="NX",AA485="NT",AA485="CO"),OR('JOINTS DE RÉPARATION'!$D$5="TOUTES",B485='JOINTS DE RÉPARATION'!$D$5),OR('JOINTS DE RÉPARATION'!$L$4="TOUS",AQ485&lt;&gt;"ACCEPTÉ")),1,0)</f>
        <v>0</v>
      </c>
      <c r="AV485" s="82" t="str">
        <f aca="false">IF(AU485=1,SUM(AU$7:AU485),"")</f>
        <v/>
      </c>
      <c r="AW485" s="82" t="str">
        <f aca="false">IF(E485="","",B485&amp;"|"&amp;E485)</f>
        <v>MFD-ISW → MFD-CPF|JN°479</v>
      </c>
    </row>
    <row r="486" customFormat="false" ht="74.6" hidden="false" customHeight="false" outlineLevel="0" collapsed="false">
      <c r="A486" s="79" t="n">
        <f aca="false">IF(E486="","",ROW()-6)</f>
        <v>480</v>
      </c>
      <c r="B486" s="80" t="s">
        <v>110</v>
      </c>
      <c r="C486" s="81"/>
      <c r="D486" s="81"/>
      <c r="E486" s="81" t="s">
        <v>590</v>
      </c>
      <c r="F486" s="82" t="str">
        <f aca="false">IF(E486="","",IF(LEFT(E486,2)="DJ","DJ","JN"))</f>
        <v>JN</v>
      </c>
      <c r="G486" s="81"/>
      <c r="H486" s="81"/>
      <c r="I486" s="81"/>
      <c r="J486" s="81"/>
      <c r="K486" s="81"/>
      <c r="L486" s="81"/>
      <c r="M486" s="81"/>
      <c r="N486" s="81"/>
      <c r="O486" s="81"/>
      <c r="P486" s="81"/>
      <c r="Q486" s="81"/>
      <c r="R486" s="81"/>
      <c r="S486" s="81"/>
      <c r="T486" s="81"/>
      <c r="U486" s="83"/>
      <c r="V486" s="83"/>
      <c r="W486" s="81"/>
      <c r="X486" s="81"/>
      <c r="Y486" s="83"/>
      <c r="Z486" s="81"/>
      <c r="AA486" s="81"/>
      <c r="AB486" s="81"/>
      <c r="AC486" s="81"/>
      <c r="AD486" s="81"/>
      <c r="AE486" s="83"/>
      <c r="AF486" s="81"/>
      <c r="AG486" s="81"/>
      <c r="AH486" s="81"/>
      <c r="AI486" s="81"/>
      <c r="AJ486" s="83"/>
      <c r="AK486" s="81"/>
      <c r="AL486" s="81"/>
      <c r="AM486" s="83"/>
      <c r="AN486" s="80"/>
      <c r="AO486" s="82" t="n">
        <f aca="false">IF(E486="","",(AA486&lt;&gt;"")+(AG486&lt;&gt;"")+(AL486&lt;&gt;""))</f>
        <v>0</v>
      </c>
      <c r="AP486" s="82" t="str">
        <f aca="false">IF(AL486&lt;&gt;"",AL486,IF(AG486&lt;&gt;"",AG486,IF(AA486&lt;&gt;"",AA486,"")))</f>
        <v/>
      </c>
      <c r="AQ486" s="84" t="str">
        <f aca="false">IF(E486="","",IF(U486="","À SOUDER",IF(X486="","VT EN ATTENTE",IF(X486="R","VT REJETÉ – À REPRENDRE",IF(AP486="","À RADIOGRAPHIER",IF(AP486="A","ACCEPTÉ",IF(AP486="NX","NX – RT À REFAIRE",IF(IF(AO486=1,AD486,IF(AO486=2,AI486,""))="A","RÉPARÉ – À RADIOGRAPHIER",IF(IF(AO486=1,AD486,IF(AO486=2,AI486,""))="R","VT REJETÉ – À REPRENDRE",IF(OR(AP486="CO",AP486="NT"),"COUPE – À RESOUDER","À RÉPARER"))))))))))</f>
        <v>À SOUDER</v>
      </c>
      <c r="AR486" s="82" t="str">
        <f aca="false">IF(AND(ISNUMBER(U486),OR(AQ486="À RADIOGRAPHIER",AQ486="RÉPARÉ – À RADIOGRAPHIER",AQ486="NX – RT À REFAIRE",AQ486="À RÉPARER",AQ486="COUPE – À RESOUDER",AQ486="VT REJETÉ – À REPRENDRE")),MAX(0,'PROGRAMME RT'!$C$4-U486),"")</f>
        <v/>
      </c>
      <c r="AS486" s="82" t="n">
        <f aca="false">IF(AND(OR(AQ486="À RADIOGRAPHIER",AQ486="RÉPARÉ – À RADIOGRAPHIER",AQ486="NX – RT À REFAIRE"),OR('PROGRAMME RT'!$D$5="TOUTES",B486='PROGRAMME RT'!$D$5)),1,0)</f>
        <v>0</v>
      </c>
      <c r="AT486" s="82" t="str">
        <f aca="false">IF(AS486=1,SUM(AS$7:AS486),"")</f>
        <v/>
      </c>
      <c r="AU486" s="82" t="n">
        <f aca="false">IF(AND(OR(AA486="R",AA486="NX",AA486="NT",AA486="CO"),OR('JOINTS DE RÉPARATION'!$D$5="TOUTES",B486='JOINTS DE RÉPARATION'!$D$5),OR('JOINTS DE RÉPARATION'!$L$4="TOUS",AQ486&lt;&gt;"ACCEPTÉ")),1,0)</f>
        <v>0</v>
      </c>
      <c r="AV486" s="82" t="str">
        <f aca="false">IF(AU486=1,SUM(AU$7:AU486),"")</f>
        <v/>
      </c>
      <c r="AW486" s="82" t="str">
        <f aca="false">IF(E486="","",B486&amp;"|"&amp;E486)</f>
        <v>MFD-ISW → MFD-CPF|JN°480</v>
      </c>
    </row>
    <row r="487" customFormat="false" ht="74.6" hidden="false" customHeight="false" outlineLevel="0" collapsed="false">
      <c r="A487" s="79" t="n">
        <f aca="false">IF(E487="","",ROW()-6)</f>
        <v>481</v>
      </c>
      <c r="B487" s="80" t="s">
        <v>110</v>
      </c>
      <c r="C487" s="81"/>
      <c r="D487" s="81"/>
      <c r="E487" s="81" t="s">
        <v>591</v>
      </c>
      <c r="F487" s="82" t="str">
        <f aca="false">IF(E487="","",IF(LEFT(E487,2)="DJ","DJ","JN"))</f>
        <v>JN</v>
      </c>
      <c r="G487" s="81"/>
      <c r="H487" s="81"/>
      <c r="I487" s="81"/>
      <c r="J487" s="81"/>
      <c r="K487" s="81"/>
      <c r="L487" s="81"/>
      <c r="M487" s="81"/>
      <c r="N487" s="81"/>
      <c r="O487" s="81"/>
      <c r="P487" s="81"/>
      <c r="Q487" s="81"/>
      <c r="R487" s="81"/>
      <c r="S487" s="81"/>
      <c r="T487" s="81"/>
      <c r="U487" s="83"/>
      <c r="V487" s="83"/>
      <c r="W487" s="81"/>
      <c r="X487" s="81"/>
      <c r="Y487" s="83"/>
      <c r="Z487" s="81"/>
      <c r="AA487" s="81"/>
      <c r="AB487" s="81"/>
      <c r="AC487" s="81"/>
      <c r="AD487" s="81"/>
      <c r="AE487" s="83"/>
      <c r="AF487" s="81"/>
      <c r="AG487" s="81"/>
      <c r="AH487" s="81"/>
      <c r="AI487" s="81"/>
      <c r="AJ487" s="83"/>
      <c r="AK487" s="81"/>
      <c r="AL487" s="81"/>
      <c r="AM487" s="83"/>
      <c r="AN487" s="80"/>
      <c r="AO487" s="82" t="n">
        <f aca="false">IF(E487="","",(AA487&lt;&gt;"")+(AG487&lt;&gt;"")+(AL487&lt;&gt;""))</f>
        <v>0</v>
      </c>
      <c r="AP487" s="82" t="str">
        <f aca="false">IF(AL487&lt;&gt;"",AL487,IF(AG487&lt;&gt;"",AG487,IF(AA487&lt;&gt;"",AA487,"")))</f>
        <v/>
      </c>
      <c r="AQ487" s="84" t="str">
        <f aca="false">IF(E487="","",IF(U487="","À SOUDER",IF(X487="","VT EN ATTENTE",IF(X487="R","VT REJETÉ – À REPRENDRE",IF(AP487="","À RADIOGRAPHIER",IF(AP487="A","ACCEPTÉ",IF(AP487="NX","NX – RT À REFAIRE",IF(IF(AO487=1,AD487,IF(AO487=2,AI487,""))="A","RÉPARÉ – À RADIOGRAPHIER",IF(IF(AO487=1,AD487,IF(AO487=2,AI487,""))="R","VT REJETÉ – À REPRENDRE",IF(OR(AP487="CO",AP487="NT"),"COUPE – À RESOUDER","À RÉPARER"))))))))))</f>
        <v>À SOUDER</v>
      </c>
      <c r="AR487" s="82" t="str">
        <f aca="false">IF(AND(ISNUMBER(U487),OR(AQ487="À RADIOGRAPHIER",AQ487="RÉPARÉ – À RADIOGRAPHIER",AQ487="NX – RT À REFAIRE",AQ487="À RÉPARER",AQ487="COUPE – À RESOUDER",AQ487="VT REJETÉ – À REPRENDRE")),MAX(0,'PROGRAMME RT'!$C$4-U487),"")</f>
        <v/>
      </c>
      <c r="AS487" s="82" t="n">
        <f aca="false">IF(AND(OR(AQ487="À RADIOGRAPHIER",AQ487="RÉPARÉ – À RADIOGRAPHIER",AQ487="NX – RT À REFAIRE"),OR('PROGRAMME RT'!$D$5="TOUTES",B487='PROGRAMME RT'!$D$5)),1,0)</f>
        <v>0</v>
      </c>
      <c r="AT487" s="82" t="str">
        <f aca="false">IF(AS487=1,SUM(AS$7:AS487),"")</f>
        <v/>
      </c>
      <c r="AU487" s="82" t="n">
        <f aca="false">IF(AND(OR(AA487="R",AA487="NX",AA487="NT",AA487="CO"),OR('JOINTS DE RÉPARATION'!$D$5="TOUTES",B487='JOINTS DE RÉPARATION'!$D$5),OR('JOINTS DE RÉPARATION'!$L$4="TOUS",AQ487&lt;&gt;"ACCEPTÉ")),1,0)</f>
        <v>0</v>
      </c>
      <c r="AV487" s="82" t="str">
        <f aca="false">IF(AU487=1,SUM(AU$7:AU487),"")</f>
        <v/>
      </c>
      <c r="AW487" s="82" t="str">
        <f aca="false">IF(E487="","",B487&amp;"|"&amp;E487)</f>
        <v>MFD-ISW → MFD-CPF|JN°481</v>
      </c>
    </row>
    <row r="488" customFormat="false" ht="74.6" hidden="false" customHeight="false" outlineLevel="0" collapsed="false">
      <c r="A488" s="79" t="n">
        <f aca="false">IF(E488="","",ROW()-6)</f>
        <v>482</v>
      </c>
      <c r="B488" s="80" t="s">
        <v>110</v>
      </c>
      <c r="C488" s="81"/>
      <c r="D488" s="81"/>
      <c r="E488" s="81" t="s">
        <v>592</v>
      </c>
      <c r="F488" s="82" t="str">
        <f aca="false">IF(E488="","",IF(LEFT(E488,2)="DJ","DJ","JN"))</f>
        <v>JN</v>
      </c>
      <c r="G488" s="81"/>
      <c r="H488" s="81"/>
      <c r="I488" s="81"/>
      <c r="J488" s="81"/>
      <c r="K488" s="81"/>
      <c r="L488" s="81"/>
      <c r="M488" s="81"/>
      <c r="N488" s="81"/>
      <c r="O488" s="81"/>
      <c r="P488" s="81"/>
      <c r="Q488" s="81"/>
      <c r="R488" s="81"/>
      <c r="S488" s="81"/>
      <c r="T488" s="81"/>
      <c r="U488" s="83"/>
      <c r="V488" s="83"/>
      <c r="W488" s="81"/>
      <c r="X488" s="81"/>
      <c r="Y488" s="83"/>
      <c r="Z488" s="81"/>
      <c r="AA488" s="81"/>
      <c r="AB488" s="81"/>
      <c r="AC488" s="81"/>
      <c r="AD488" s="81"/>
      <c r="AE488" s="83"/>
      <c r="AF488" s="81"/>
      <c r="AG488" s="81"/>
      <c r="AH488" s="81"/>
      <c r="AI488" s="81"/>
      <c r="AJ488" s="83"/>
      <c r="AK488" s="81"/>
      <c r="AL488" s="81"/>
      <c r="AM488" s="83"/>
      <c r="AN488" s="80"/>
      <c r="AO488" s="82" t="n">
        <f aca="false">IF(E488="","",(AA488&lt;&gt;"")+(AG488&lt;&gt;"")+(AL488&lt;&gt;""))</f>
        <v>0</v>
      </c>
      <c r="AP488" s="82" t="str">
        <f aca="false">IF(AL488&lt;&gt;"",AL488,IF(AG488&lt;&gt;"",AG488,IF(AA488&lt;&gt;"",AA488,"")))</f>
        <v/>
      </c>
      <c r="AQ488" s="84" t="str">
        <f aca="false">IF(E488="","",IF(U488="","À SOUDER",IF(X488="","VT EN ATTENTE",IF(X488="R","VT REJETÉ – À REPRENDRE",IF(AP488="","À RADIOGRAPHIER",IF(AP488="A","ACCEPTÉ",IF(AP488="NX","NX – RT À REFAIRE",IF(IF(AO488=1,AD488,IF(AO488=2,AI488,""))="A","RÉPARÉ – À RADIOGRAPHIER",IF(IF(AO488=1,AD488,IF(AO488=2,AI488,""))="R","VT REJETÉ – À REPRENDRE",IF(OR(AP488="CO",AP488="NT"),"COUPE – À RESOUDER","À RÉPARER"))))))))))</f>
        <v>À SOUDER</v>
      </c>
      <c r="AR488" s="82" t="str">
        <f aca="false">IF(AND(ISNUMBER(U488),OR(AQ488="À RADIOGRAPHIER",AQ488="RÉPARÉ – À RADIOGRAPHIER",AQ488="NX – RT À REFAIRE",AQ488="À RÉPARER",AQ488="COUPE – À RESOUDER",AQ488="VT REJETÉ – À REPRENDRE")),MAX(0,'PROGRAMME RT'!$C$4-U488),"")</f>
        <v/>
      </c>
      <c r="AS488" s="82" t="n">
        <f aca="false">IF(AND(OR(AQ488="À RADIOGRAPHIER",AQ488="RÉPARÉ – À RADIOGRAPHIER",AQ488="NX – RT À REFAIRE"),OR('PROGRAMME RT'!$D$5="TOUTES",B488='PROGRAMME RT'!$D$5)),1,0)</f>
        <v>0</v>
      </c>
      <c r="AT488" s="82" t="str">
        <f aca="false">IF(AS488=1,SUM(AS$7:AS488),"")</f>
        <v/>
      </c>
      <c r="AU488" s="82" t="n">
        <f aca="false">IF(AND(OR(AA488="R",AA488="NX",AA488="NT",AA488="CO"),OR('JOINTS DE RÉPARATION'!$D$5="TOUTES",B488='JOINTS DE RÉPARATION'!$D$5),OR('JOINTS DE RÉPARATION'!$L$4="TOUS",AQ488&lt;&gt;"ACCEPTÉ")),1,0)</f>
        <v>0</v>
      </c>
      <c r="AV488" s="82" t="str">
        <f aca="false">IF(AU488=1,SUM(AU$7:AU488),"")</f>
        <v/>
      </c>
      <c r="AW488" s="82" t="str">
        <f aca="false">IF(E488="","",B488&amp;"|"&amp;E488)</f>
        <v>MFD-ISW → MFD-CPF|JN°482</v>
      </c>
    </row>
    <row r="489" customFormat="false" ht="74.6" hidden="false" customHeight="false" outlineLevel="0" collapsed="false">
      <c r="A489" s="79" t="n">
        <f aca="false">IF(E489="","",ROW()-6)</f>
        <v>483</v>
      </c>
      <c r="B489" s="80" t="s">
        <v>110</v>
      </c>
      <c r="C489" s="81"/>
      <c r="D489" s="81"/>
      <c r="E489" s="81" t="s">
        <v>593</v>
      </c>
      <c r="F489" s="82" t="str">
        <f aca="false">IF(E489="","",IF(LEFT(E489,2)="DJ","DJ","JN"))</f>
        <v>JN</v>
      </c>
      <c r="G489" s="81"/>
      <c r="H489" s="81"/>
      <c r="I489" s="81"/>
      <c r="J489" s="81"/>
      <c r="K489" s="81"/>
      <c r="L489" s="81"/>
      <c r="M489" s="81"/>
      <c r="N489" s="81"/>
      <c r="O489" s="81"/>
      <c r="P489" s="81"/>
      <c r="Q489" s="81"/>
      <c r="R489" s="81"/>
      <c r="S489" s="81"/>
      <c r="T489" s="81"/>
      <c r="U489" s="83"/>
      <c r="V489" s="83"/>
      <c r="W489" s="81"/>
      <c r="X489" s="81"/>
      <c r="Y489" s="83"/>
      <c r="Z489" s="81"/>
      <c r="AA489" s="81"/>
      <c r="AB489" s="81"/>
      <c r="AC489" s="81"/>
      <c r="AD489" s="81"/>
      <c r="AE489" s="83"/>
      <c r="AF489" s="81"/>
      <c r="AG489" s="81"/>
      <c r="AH489" s="81"/>
      <c r="AI489" s="81"/>
      <c r="AJ489" s="83"/>
      <c r="AK489" s="81"/>
      <c r="AL489" s="81"/>
      <c r="AM489" s="83"/>
      <c r="AN489" s="80"/>
      <c r="AO489" s="82" t="n">
        <f aca="false">IF(E489="","",(AA489&lt;&gt;"")+(AG489&lt;&gt;"")+(AL489&lt;&gt;""))</f>
        <v>0</v>
      </c>
      <c r="AP489" s="82" t="str">
        <f aca="false">IF(AL489&lt;&gt;"",AL489,IF(AG489&lt;&gt;"",AG489,IF(AA489&lt;&gt;"",AA489,"")))</f>
        <v/>
      </c>
      <c r="AQ489" s="84" t="str">
        <f aca="false">IF(E489="","",IF(U489="","À SOUDER",IF(X489="","VT EN ATTENTE",IF(X489="R","VT REJETÉ – À REPRENDRE",IF(AP489="","À RADIOGRAPHIER",IF(AP489="A","ACCEPTÉ",IF(AP489="NX","NX – RT À REFAIRE",IF(IF(AO489=1,AD489,IF(AO489=2,AI489,""))="A","RÉPARÉ – À RADIOGRAPHIER",IF(IF(AO489=1,AD489,IF(AO489=2,AI489,""))="R","VT REJETÉ – À REPRENDRE",IF(OR(AP489="CO",AP489="NT"),"COUPE – À RESOUDER","À RÉPARER"))))))))))</f>
        <v>À SOUDER</v>
      </c>
      <c r="AR489" s="82" t="str">
        <f aca="false">IF(AND(ISNUMBER(U489),OR(AQ489="À RADIOGRAPHIER",AQ489="RÉPARÉ – À RADIOGRAPHIER",AQ489="NX – RT À REFAIRE",AQ489="À RÉPARER",AQ489="COUPE – À RESOUDER",AQ489="VT REJETÉ – À REPRENDRE")),MAX(0,'PROGRAMME RT'!$C$4-U489),"")</f>
        <v/>
      </c>
      <c r="AS489" s="82" t="n">
        <f aca="false">IF(AND(OR(AQ489="À RADIOGRAPHIER",AQ489="RÉPARÉ – À RADIOGRAPHIER",AQ489="NX – RT À REFAIRE"),OR('PROGRAMME RT'!$D$5="TOUTES",B489='PROGRAMME RT'!$D$5)),1,0)</f>
        <v>0</v>
      </c>
      <c r="AT489" s="82" t="str">
        <f aca="false">IF(AS489=1,SUM(AS$7:AS489),"")</f>
        <v/>
      </c>
      <c r="AU489" s="82" t="n">
        <f aca="false">IF(AND(OR(AA489="R",AA489="NX",AA489="NT",AA489="CO"),OR('JOINTS DE RÉPARATION'!$D$5="TOUTES",B489='JOINTS DE RÉPARATION'!$D$5),OR('JOINTS DE RÉPARATION'!$L$4="TOUS",AQ489&lt;&gt;"ACCEPTÉ")),1,0)</f>
        <v>0</v>
      </c>
      <c r="AV489" s="82" t="str">
        <f aca="false">IF(AU489=1,SUM(AU$7:AU489),"")</f>
        <v/>
      </c>
      <c r="AW489" s="82" t="str">
        <f aca="false">IF(E489="","",B489&amp;"|"&amp;E489)</f>
        <v>MFD-ISW → MFD-CPF|JN°483</v>
      </c>
    </row>
    <row r="490" customFormat="false" ht="74.6" hidden="false" customHeight="false" outlineLevel="0" collapsed="false">
      <c r="A490" s="79" t="n">
        <f aca="false">IF(E490="","",ROW()-6)</f>
        <v>484</v>
      </c>
      <c r="B490" s="80" t="s">
        <v>110</v>
      </c>
      <c r="C490" s="81"/>
      <c r="D490" s="81"/>
      <c r="E490" s="81" t="s">
        <v>594</v>
      </c>
      <c r="F490" s="82" t="str">
        <f aca="false">IF(E490="","",IF(LEFT(E490,2)="DJ","DJ","JN"))</f>
        <v>JN</v>
      </c>
      <c r="G490" s="81"/>
      <c r="H490" s="81"/>
      <c r="I490" s="81"/>
      <c r="J490" s="81"/>
      <c r="K490" s="81"/>
      <c r="L490" s="81"/>
      <c r="M490" s="81"/>
      <c r="N490" s="81"/>
      <c r="O490" s="81"/>
      <c r="P490" s="81"/>
      <c r="Q490" s="81"/>
      <c r="R490" s="81"/>
      <c r="S490" s="81"/>
      <c r="T490" s="81"/>
      <c r="U490" s="83"/>
      <c r="V490" s="83"/>
      <c r="W490" s="81"/>
      <c r="X490" s="81"/>
      <c r="Y490" s="83"/>
      <c r="Z490" s="81"/>
      <c r="AA490" s="81"/>
      <c r="AB490" s="81"/>
      <c r="AC490" s="81"/>
      <c r="AD490" s="81"/>
      <c r="AE490" s="83"/>
      <c r="AF490" s="81"/>
      <c r="AG490" s="81"/>
      <c r="AH490" s="81"/>
      <c r="AI490" s="81"/>
      <c r="AJ490" s="83"/>
      <c r="AK490" s="81"/>
      <c r="AL490" s="81"/>
      <c r="AM490" s="83"/>
      <c r="AN490" s="80"/>
      <c r="AO490" s="82" t="n">
        <f aca="false">IF(E490="","",(AA490&lt;&gt;"")+(AG490&lt;&gt;"")+(AL490&lt;&gt;""))</f>
        <v>0</v>
      </c>
      <c r="AP490" s="82" t="str">
        <f aca="false">IF(AL490&lt;&gt;"",AL490,IF(AG490&lt;&gt;"",AG490,IF(AA490&lt;&gt;"",AA490,"")))</f>
        <v/>
      </c>
      <c r="AQ490" s="84" t="str">
        <f aca="false">IF(E490="","",IF(U490="","À SOUDER",IF(X490="","VT EN ATTENTE",IF(X490="R","VT REJETÉ – À REPRENDRE",IF(AP490="","À RADIOGRAPHIER",IF(AP490="A","ACCEPTÉ",IF(AP490="NX","NX – RT À REFAIRE",IF(IF(AO490=1,AD490,IF(AO490=2,AI490,""))="A","RÉPARÉ – À RADIOGRAPHIER",IF(IF(AO490=1,AD490,IF(AO490=2,AI490,""))="R","VT REJETÉ – À REPRENDRE",IF(OR(AP490="CO",AP490="NT"),"COUPE – À RESOUDER","À RÉPARER"))))))))))</f>
        <v>À SOUDER</v>
      </c>
      <c r="AR490" s="82" t="str">
        <f aca="false">IF(AND(ISNUMBER(U490),OR(AQ490="À RADIOGRAPHIER",AQ490="RÉPARÉ – À RADIOGRAPHIER",AQ490="NX – RT À REFAIRE",AQ490="À RÉPARER",AQ490="COUPE – À RESOUDER",AQ490="VT REJETÉ – À REPRENDRE")),MAX(0,'PROGRAMME RT'!$C$4-U490),"")</f>
        <v/>
      </c>
      <c r="AS490" s="82" t="n">
        <f aca="false">IF(AND(OR(AQ490="À RADIOGRAPHIER",AQ490="RÉPARÉ – À RADIOGRAPHIER",AQ490="NX – RT À REFAIRE"),OR('PROGRAMME RT'!$D$5="TOUTES",B490='PROGRAMME RT'!$D$5)),1,0)</f>
        <v>0</v>
      </c>
      <c r="AT490" s="82" t="str">
        <f aca="false">IF(AS490=1,SUM(AS$7:AS490),"")</f>
        <v/>
      </c>
      <c r="AU490" s="82" t="n">
        <f aca="false">IF(AND(OR(AA490="R",AA490="NX",AA490="NT",AA490="CO"),OR('JOINTS DE RÉPARATION'!$D$5="TOUTES",B490='JOINTS DE RÉPARATION'!$D$5),OR('JOINTS DE RÉPARATION'!$L$4="TOUS",AQ490&lt;&gt;"ACCEPTÉ")),1,0)</f>
        <v>0</v>
      </c>
      <c r="AV490" s="82" t="str">
        <f aca="false">IF(AU490=1,SUM(AU$7:AU490),"")</f>
        <v/>
      </c>
      <c r="AW490" s="82" t="str">
        <f aca="false">IF(E490="","",B490&amp;"|"&amp;E490)</f>
        <v>MFD-ISW → MFD-CPF|JN°484</v>
      </c>
    </row>
    <row r="491" customFormat="false" ht="74.6" hidden="false" customHeight="false" outlineLevel="0" collapsed="false">
      <c r="A491" s="79" t="n">
        <f aca="false">IF(E491="","",ROW()-6)</f>
        <v>485</v>
      </c>
      <c r="B491" s="80" t="s">
        <v>110</v>
      </c>
      <c r="C491" s="81"/>
      <c r="D491" s="81"/>
      <c r="E491" s="81" t="s">
        <v>595</v>
      </c>
      <c r="F491" s="82" t="str">
        <f aca="false">IF(E491="","",IF(LEFT(E491,2)="DJ","DJ","JN"))</f>
        <v>JN</v>
      </c>
      <c r="G491" s="81"/>
      <c r="H491" s="81"/>
      <c r="I491" s="81"/>
      <c r="J491" s="81"/>
      <c r="K491" s="81"/>
      <c r="L491" s="81"/>
      <c r="M491" s="81"/>
      <c r="N491" s="81"/>
      <c r="O491" s="81"/>
      <c r="P491" s="81"/>
      <c r="Q491" s="81"/>
      <c r="R491" s="81"/>
      <c r="S491" s="81"/>
      <c r="T491" s="81"/>
      <c r="U491" s="83"/>
      <c r="V491" s="83"/>
      <c r="W491" s="81"/>
      <c r="X491" s="81"/>
      <c r="Y491" s="83"/>
      <c r="Z491" s="81"/>
      <c r="AA491" s="81"/>
      <c r="AB491" s="81"/>
      <c r="AC491" s="81"/>
      <c r="AD491" s="81"/>
      <c r="AE491" s="83"/>
      <c r="AF491" s="81"/>
      <c r="AG491" s="81"/>
      <c r="AH491" s="81"/>
      <c r="AI491" s="81"/>
      <c r="AJ491" s="83"/>
      <c r="AK491" s="81"/>
      <c r="AL491" s="81"/>
      <c r="AM491" s="83"/>
      <c r="AN491" s="80"/>
      <c r="AO491" s="82" t="n">
        <f aca="false">IF(E491="","",(AA491&lt;&gt;"")+(AG491&lt;&gt;"")+(AL491&lt;&gt;""))</f>
        <v>0</v>
      </c>
      <c r="AP491" s="82" t="str">
        <f aca="false">IF(AL491&lt;&gt;"",AL491,IF(AG491&lt;&gt;"",AG491,IF(AA491&lt;&gt;"",AA491,"")))</f>
        <v/>
      </c>
      <c r="AQ491" s="84" t="str">
        <f aca="false">IF(E491="","",IF(U491="","À SOUDER",IF(X491="","VT EN ATTENTE",IF(X491="R","VT REJETÉ – À REPRENDRE",IF(AP491="","À RADIOGRAPHIER",IF(AP491="A","ACCEPTÉ",IF(AP491="NX","NX – RT À REFAIRE",IF(IF(AO491=1,AD491,IF(AO491=2,AI491,""))="A","RÉPARÉ – À RADIOGRAPHIER",IF(IF(AO491=1,AD491,IF(AO491=2,AI491,""))="R","VT REJETÉ – À REPRENDRE",IF(OR(AP491="CO",AP491="NT"),"COUPE – À RESOUDER","À RÉPARER"))))))))))</f>
        <v>À SOUDER</v>
      </c>
      <c r="AR491" s="82" t="str">
        <f aca="false">IF(AND(ISNUMBER(U491),OR(AQ491="À RADIOGRAPHIER",AQ491="RÉPARÉ – À RADIOGRAPHIER",AQ491="NX – RT À REFAIRE",AQ491="À RÉPARER",AQ491="COUPE – À RESOUDER",AQ491="VT REJETÉ – À REPRENDRE")),MAX(0,'PROGRAMME RT'!$C$4-U491),"")</f>
        <v/>
      </c>
      <c r="AS491" s="82" t="n">
        <f aca="false">IF(AND(OR(AQ491="À RADIOGRAPHIER",AQ491="RÉPARÉ – À RADIOGRAPHIER",AQ491="NX – RT À REFAIRE"),OR('PROGRAMME RT'!$D$5="TOUTES",B491='PROGRAMME RT'!$D$5)),1,0)</f>
        <v>0</v>
      </c>
      <c r="AT491" s="82" t="str">
        <f aca="false">IF(AS491=1,SUM(AS$7:AS491),"")</f>
        <v/>
      </c>
      <c r="AU491" s="82" t="n">
        <f aca="false">IF(AND(OR(AA491="R",AA491="NX",AA491="NT",AA491="CO"),OR('JOINTS DE RÉPARATION'!$D$5="TOUTES",B491='JOINTS DE RÉPARATION'!$D$5),OR('JOINTS DE RÉPARATION'!$L$4="TOUS",AQ491&lt;&gt;"ACCEPTÉ")),1,0)</f>
        <v>0</v>
      </c>
      <c r="AV491" s="82" t="str">
        <f aca="false">IF(AU491=1,SUM(AU$7:AU491),"")</f>
        <v/>
      </c>
      <c r="AW491" s="82" t="str">
        <f aca="false">IF(E491="","",B491&amp;"|"&amp;E491)</f>
        <v>MFD-ISW → MFD-CPF|JN°485</v>
      </c>
    </row>
    <row r="492" customFormat="false" ht="74.6" hidden="false" customHeight="false" outlineLevel="0" collapsed="false">
      <c r="A492" s="79" t="n">
        <f aca="false">IF(E492="","",ROW()-6)</f>
        <v>486</v>
      </c>
      <c r="B492" s="80" t="s">
        <v>110</v>
      </c>
      <c r="C492" s="81"/>
      <c r="D492" s="81"/>
      <c r="E492" s="81" t="s">
        <v>596</v>
      </c>
      <c r="F492" s="82" t="str">
        <f aca="false">IF(E492="","",IF(LEFT(E492,2)="DJ","DJ","JN"))</f>
        <v>JN</v>
      </c>
      <c r="G492" s="81"/>
      <c r="H492" s="81"/>
      <c r="I492" s="81"/>
      <c r="J492" s="81"/>
      <c r="K492" s="81"/>
      <c r="L492" s="81"/>
      <c r="M492" s="81"/>
      <c r="N492" s="81"/>
      <c r="O492" s="81"/>
      <c r="P492" s="81"/>
      <c r="Q492" s="81"/>
      <c r="R492" s="81"/>
      <c r="S492" s="81"/>
      <c r="T492" s="81"/>
      <c r="U492" s="83"/>
      <c r="V492" s="83"/>
      <c r="W492" s="81"/>
      <c r="X492" s="81"/>
      <c r="Y492" s="83"/>
      <c r="Z492" s="81"/>
      <c r="AA492" s="81"/>
      <c r="AB492" s="81"/>
      <c r="AC492" s="81"/>
      <c r="AD492" s="81"/>
      <c r="AE492" s="83"/>
      <c r="AF492" s="81"/>
      <c r="AG492" s="81"/>
      <c r="AH492" s="81"/>
      <c r="AI492" s="81"/>
      <c r="AJ492" s="83"/>
      <c r="AK492" s="81"/>
      <c r="AL492" s="81"/>
      <c r="AM492" s="83"/>
      <c r="AN492" s="80"/>
      <c r="AO492" s="82" t="n">
        <f aca="false">IF(E492="","",(AA492&lt;&gt;"")+(AG492&lt;&gt;"")+(AL492&lt;&gt;""))</f>
        <v>0</v>
      </c>
      <c r="AP492" s="82" t="str">
        <f aca="false">IF(AL492&lt;&gt;"",AL492,IF(AG492&lt;&gt;"",AG492,IF(AA492&lt;&gt;"",AA492,"")))</f>
        <v/>
      </c>
      <c r="AQ492" s="84" t="str">
        <f aca="false">IF(E492="","",IF(U492="","À SOUDER",IF(X492="","VT EN ATTENTE",IF(X492="R","VT REJETÉ – À REPRENDRE",IF(AP492="","À RADIOGRAPHIER",IF(AP492="A","ACCEPTÉ",IF(AP492="NX","NX – RT À REFAIRE",IF(IF(AO492=1,AD492,IF(AO492=2,AI492,""))="A","RÉPARÉ – À RADIOGRAPHIER",IF(IF(AO492=1,AD492,IF(AO492=2,AI492,""))="R","VT REJETÉ – À REPRENDRE",IF(OR(AP492="CO",AP492="NT"),"COUPE – À RESOUDER","À RÉPARER"))))))))))</f>
        <v>À SOUDER</v>
      </c>
      <c r="AR492" s="82" t="str">
        <f aca="false">IF(AND(ISNUMBER(U492),OR(AQ492="À RADIOGRAPHIER",AQ492="RÉPARÉ – À RADIOGRAPHIER",AQ492="NX – RT À REFAIRE",AQ492="À RÉPARER",AQ492="COUPE – À RESOUDER",AQ492="VT REJETÉ – À REPRENDRE")),MAX(0,'PROGRAMME RT'!$C$4-U492),"")</f>
        <v/>
      </c>
      <c r="AS492" s="82" t="n">
        <f aca="false">IF(AND(OR(AQ492="À RADIOGRAPHIER",AQ492="RÉPARÉ – À RADIOGRAPHIER",AQ492="NX – RT À REFAIRE"),OR('PROGRAMME RT'!$D$5="TOUTES",B492='PROGRAMME RT'!$D$5)),1,0)</f>
        <v>0</v>
      </c>
      <c r="AT492" s="82" t="str">
        <f aca="false">IF(AS492=1,SUM(AS$7:AS492),"")</f>
        <v/>
      </c>
      <c r="AU492" s="82" t="n">
        <f aca="false">IF(AND(OR(AA492="R",AA492="NX",AA492="NT",AA492="CO"),OR('JOINTS DE RÉPARATION'!$D$5="TOUTES",B492='JOINTS DE RÉPARATION'!$D$5),OR('JOINTS DE RÉPARATION'!$L$4="TOUS",AQ492&lt;&gt;"ACCEPTÉ")),1,0)</f>
        <v>0</v>
      </c>
      <c r="AV492" s="82" t="str">
        <f aca="false">IF(AU492=1,SUM(AU$7:AU492),"")</f>
        <v/>
      </c>
      <c r="AW492" s="82" t="str">
        <f aca="false">IF(E492="","",B492&amp;"|"&amp;E492)</f>
        <v>MFD-ISW → MFD-CPF|JN°486</v>
      </c>
    </row>
    <row r="493" customFormat="false" ht="74.6" hidden="false" customHeight="false" outlineLevel="0" collapsed="false">
      <c r="A493" s="79" t="n">
        <f aca="false">IF(E493="","",ROW()-6)</f>
        <v>487</v>
      </c>
      <c r="B493" s="80" t="s">
        <v>110</v>
      </c>
      <c r="C493" s="81"/>
      <c r="D493" s="81"/>
      <c r="E493" s="81" t="s">
        <v>597</v>
      </c>
      <c r="F493" s="82" t="str">
        <f aca="false">IF(E493="","",IF(LEFT(E493,2)="DJ","DJ","JN"))</f>
        <v>JN</v>
      </c>
      <c r="G493" s="81"/>
      <c r="H493" s="81"/>
      <c r="I493" s="81"/>
      <c r="J493" s="81"/>
      <c r="K493" s="81"/>
      <c r="L493" s="81"/>
      <c r="M493" s="81"/>
      <c r="N493" s="81"/>
      <c r="O493" s="81"/>
      <c r="P493" s="81"/>
      <c r="Q493" s="81"/>
      <c r="R493" s="81"/>
      <c r="S493" s="81"/>
      <c r="T493" s="81"/>
      <c r="U493" s="83"/>
      <c r="V493" s="83"/>
      <c r="W493" s="81"/>
      <c r="X493" s="81"/>
      <c r="Y493" s="83"/>
      <c r="Z493" s="81"/>
      <c r="AA493" s="81"/>
      <c r="AB493" s="81"/>
      <c r="AC493" s="81"/>
      <c r="AD493" s="81"/>
      <c r="AE493" s="83"/>
      <c r="AF493" s="81"/>
      <c r="AG493" s="81"/>
      <c r="AH493" s="81"/>
      <c r="AI493" s="81"/>
      <c r="AJ493" s="83"/>
      <c r="AK493" s="81"/>
      <c r="AL493" s="81"/>
      <c r="AM493" s="83"/>
      <c r="AN493" s="80"/>
      <c r="AO493" s="82" t="n">
        <f aca="false">IF(E493="","",(AA493&lt;&gt;"")+(AG493&lt;&gt;"")+(AL493&lt;&gt;""))</f>
        <v>0</v>
      </c>
      <c r="AP493" s="82" t="str">
        <f aca="false">IF(AL493&lt;&gt;"",AL493,IF(AG493&lt;&gt;"",AG493,IF(AA493&lt;&gt;"",AA493,"")))</f>
        <v/>
      </c>
      <c r="AQ493" s="84" t="str">
        <f aca="false">IF(E493="","",IF(U493="","À SOUDER",IF(X493="","VT EN ATTENTE",IF(X493="R","VT REJETÉ – À REPRENDRE",IF(AP493="","À RADIOGRAPHIER",IF(AP493="A","ACCEPTÉ",IF(AP493="NX","NX – RT À REFAIRE",IF(IF(AO493=1,AD493,IF(AO493=2,AI493,""))="A","RÉPARÉ – À RADIOGRAPHIER",IF(IF(AO493=1,AD493,IF(AO493=2,AI493,""))="R","VT REJETÉ – À REPRENDRE",IF(OR(AP493="CO",AP493="NT"),"COUPE – À RESOUDER","À RÉPARER"))))))))))</f>
        <v>À SOUDER</v>
      </c>
      <c r="AR493" s="82" t="str">
        <f aca="false">IF(AND(ISNUMBER(U493),OR(AQ493="À RADIOGRAPHIER",AQ493="RÉPARÉ – À RADIOGRAPHIER",AQ493="NX – RT À REFAIRE",AQ493="À RÉPARER",AQ493="COUPE – À RESOUDER",AQ493="VT REJETÉ – À REPRENDRE")),MAX(0,'PROGRAMME RT'!$C$4-U493),"")</f>
        <v/>
      </c>
      <c r="AS493" s="82" t="n">
        <f aca="false">IF(AND(OR(AQ493="À RADIOGRAPHIER",AQ493="RÉPARÉ – À RADIOGRAPHIER",AQ493="NX – RT À REFAIRE"),OR('PROGRAMME RT'!$D$5="TOUTES",B493='PROGRAMME RT'!$D$5)),1,0)</f>
        <v>0</v>
      </c>
      <c r="AT493" s="82" t="str">
        <f aca="false">IF(AS493=1,SUM(AS$7:AS493),"")</f>
        <v/>
      </c>
      <c r="AU493" s="82" t="n">
        <f aca="false">IF(AND(OR(AA493="R",AA493="NX",AA493="NT",AA493="CO"),OR('JOINTS DE RÉPARATION'!$D$5="TOUTES",B493='JOINTS DE RÉPARATION'!$D$5),OR('JOINTS DE RÉPARATION'!$L$4="TOUS",AQ493&lt;&gt;"ACCEPTÉ")),1,0)</f>
        <v>0</v>
      </c>
      <c r="AV493" s="82" t="str">
        <f aca="false">IF(AU493=1,SUM(AU$7:AU493),"")</f>
        <v/>
      </c>
      <c r="AW493" s="82" t="str">
        <f aca="false">IF(E493="","",B493&amp;"|"&amp;E493)</f>
        <v>MFD-ISW → MFD-CPF|JN°487</v>
      </c>
    </row>
    <row r="494" customFormat="false" ht="74.6" hidden="false" customHeight="false" outlineLevel="0" collapsed="false">
      <c r="A494" s="79" t="n">
        <f aca="false">IF(E494="","",ROW()-6)</f>
        <v>488</v>
      </c>
      <c r="B494" s="80" t="s">
        <v>110</v>
      </c>
      <c r="C494" s="81"/>
      <c r="D494" s="81"/>
      <c r="E494" s="81" t="s">
        <v>598</v>
      </c>
      <c r="F494" s="82" t="str">
        <f aca="false">IF(E494="","",IF(LEFT(E494,2)="DJ","DJ","JN"))</f>
        <v>JN</v>
      </c>
      <c r="G494" s="81"/>
      <c r="H494" s="81"/>
      <c r="I494" s="81"/>
      <c r="J494" s="81"/>
      <c r="K494" s="81"/>
      <c r="L494" s="81"/>
      <c r="M494" s="81"/>
      <c r="N494" s="81"/>
      <c r="O494" s="81"/>
      <c r="P494" s="81"/>
      <c r="Q494" s="81"/>
      <c r="R494" s="81"/>
      <c r="S494" s="81"/>
      <c r="T494" s="81"/>
      <c r="U494" s="83"/>
      <c r="V494" s="83"/>
      <c r="W494" s="81"/>
      <c r="X494" s="81"/>
      <c r="Y494" s="83"/>
      <c r="Z494" s="81"/>
      <c r="AA494" s="81"/>
      <c r="AB494" s="81"/>
      <c r="AC494" s="81"/>
      <c r="AD494" s="81"/>
      <c r="AE494" s="83"/>
      <c r="AF494" s="81"/>
      <c r="AG494" s="81"/>
      <c r="AH494" s="81"/>
      <c r="AI494" s="81"/>
      <c r="AJ494" s="83"/>
      <c r="AK494" s="81"/>
      <c r="AL494" s="81"/>
      <c r="AM494" s="83"/>
      <c r="AN494" s="80"/>
      <c r="AO494" s="82" t="n">
        <f aca="false">IF(E494="","",(AA494&lt;&gt;"")+(AG494&lt;&gt;"")+(AL494&lt;&gt;""))</f>
        <v>0</v>
      </c>
      <c r="AP494" s="82" t="str">
        <f aca="false">IF(AL494&lt;&gt;"",AL494,IF(AG494&lt;&gt;"",AG494,IF(AA494&lt;&gt;"",AA494,"")))</f>
        <v/>
      </c>
      <c r="AQ494" s="84" t="str">
        <f aca="false">IF(E494="","",IF(U494="","À SOUDER",IF(X494="","VT EN ATTENTE",IF(X494="R","VT REJETÉ – À REPRENDRE",IF(AP494="","À RADIOGRAPHIER",IF(AP494="A","ACCEPTÉ",IF(AP494="NX","NX – RT À REFAIRE",IF(IF(AO494=1,AD494,IF(AO494=2,AI494,""))="A","RÉPARÉ – À RADIOGRAPHIER",IF(IF(AO494=1,AD494,IF(AO494=2,AI494,""))="R","VT REJETÉ – À REPRENDRE",IF(OR(AP494="CO",AP494="NT"),"COUPE – À RESOUDER","À RÉPARER"))))))))))</f>
        <v>À SOUDER</v>
      </c>
      <c r="AR494" s="82" t="str">
        <f aca="false">IF(AND(ISNUMBER(U494),OR(AQ494="À RADIOGRAPHIER",AQ494="RÉPARÉ – À RADIOGRAPHIER",AQ494="NX – RT À REFAIRE",AQ494="À RÉPARER",AQ494="COUPE – À RESOUDER",AQ494="VT REJETÉ – À REPRENDRE")),MAX(0,'PROGRAMME RT'!$C$4-U494),"")</f>
        <v/>
      </c>
      <c r="AS494" s="82" t="n">
        <f aca="false">IF(AND(OR(AQ494="À RADIOGRAPHIER",AQ494="RÉPARÉ – À RADIOGRAPHIER",AQ494="NX – RT À REFAIRE"),OR('PROGRAMME RT'!$D$5="TOUTES",B494='PROGRAMME RT'!$D$5)),1,0)</f>
        <v>0</v>
      </c>
      <c r="AT494" s="82" t="str">
        <f aca="false">IF(AS494=1,SUM(AS$7:AS494),"")</f>
        <v/>
      </c>
      <c r="AU494" s="82" t="n">
        <f aca="false">IF(AND(OR(AA494="R",AA494="NX",AA494="NT",AA494="CO"),OR('JOINTS DE RÉPARATION'!$D$5="TOUTES",B494='JOINTS DE RÉPARATION'!$D$5),OR('JOINTS DE RÉPARATION'!$L$4="TOUS",AQ494&lt;&gt;"ACCEPTÉ")),1,0)</f>
        <v>0</v>
      </c>
      <c r="AV494" s="82" t="str">
        <f aca="false">IF(AU494=1,SUM(AU$7:AU494),"")</f>
        <v/>
      </c>
      <c r="AW494" s="82" t="str">
        <f aca="false">IF(E494="","",B494&amp;"|"&amp;E494)</f>
        <v>MFD-ISW → MFD-CPF|JN°488</v>
      </c>
    </row>
    <row r="495" customFormat="false" ht="74.6" hidden="false" customHeight="false" outlineLevel="0" collapsed="false">
      <c r="A495" s="79" t="n">
        <f aca="false">IF(E495="","",ROW()-6)</f>
        <v>489</v>
      </c>
      <c r="B495" s="80" t="s">
        <v>110</v>
      </c>
      <c r="C495" s="81"/>
      <c r="D495" s="81"/>
      <c r="E495" s="81" t="s">
        <v>599</v>
      </c>
      <c r="F495" s="82" t="str">
        <f aca="false">IF(E495="","",IF(LEFT(E495,2)="DJ","DJ","JN"))</f>
        <v>JN</v>
      </c>
      <c r="G495" s="81"/>
      <c r="H495" s="81"/>
      <c r="I495" s="81"/>
      <c r="J495" s="81"/>
      <c r="K495" s="81"/>
      <c r="L495" s="81"/>
      <c r="M495" s="81"/>
      <c r="N495" s="81"/>
      <c r="O495" s="81"/>
      <c r="P495" s="81"/>
      <c r="Q495" s="81"/>
      <c r="R495" s="81"/>
      <c r="S495" s="81"/>
      <c r="T495" s="81"/>
      <c r="U495" s="83"/>
      <c r="V495" s="83"/>
      <c r="W495" s="81"/>
      <c r="X495" s="81"/>
      <c r="Y495" s="83"/>
      <c r="Z495" s="81"/>
      <c r="AA495" s="81"/>
      <c r="AB495" s="81"/>
      <c r="AC495" s="81"/>
      <c r="AD495" s="81"/>
      <c r="AE495" s="83"/>
      <c r="AF495" s="81"/>
      <c r="AG495" s="81"/>
      <c r="AH495" s="81"/>
      <c r="AI495" s="81"/>
      <c r="AJ495" s="83"/>
      <c r="AK495" s="81"/>
      <c r="AL495" s="81"/>
      <c r="AM495" s="83"/>
      <c r="AN495" s="80"/>
      <c r="AO495" s="82" t="n">
        <f aca="false">IF(E495="","",(AA495&lt;&gt;"")+(AG495&lt;&gt;"")+(AL495&lt;&gt;""))</f>
        <v>0</v>
      </c>
      <c r="AP495" s="82" t="str">
        <f aca="false">IF(AL495&lt;&gt;"",AL495,IF(AG495&lt;&gt;"",AG495,IF(AA495&lt;&gt;"",AA495,"")))</f>
        <v/>
      </c>
      <c r="AQ495" s="84" t="str">
        <f aca="false">IF(E495="","",IF(U495="","À SOUDER",IF(X495="","VT EN ATTENTE",IF(X495="R","VT REJETÉ – À REPRENDRE",IF(AP495="","À RADIOGRAPHIER",IF(AP495="A","ACCEPTÉ",IF(AP495="NX","NX – RT À REFAIRE",IF(IF(AO495=1,AD495,IF(AO495=2,AI495,""))="A","RÉPARÉ – À RADIOGRAPHIER",IF(IF(AO495=1,AD495,IF(AO495=2,AI495,""))="R","VT REJETÉ – À REPRENDRE",IF(OR(AP495="CO",AP495="NT"),"COUPE – À RESOUDER","À RÉPARER"))))))))))</f>
        <v>À SOUDER</v>
      </c>
      <c r="AR495" s="82" t="str">
        <f aca="false">IF(AND(ISNUMBER(U495),OR(AQ495="À RADIOGRAPHIER",AQ495="RÉPARÉ – À RADIOGRAPHIER",AQ495="NX – RT À REFAIRE",AQ495="À RÉPARER",AQ495="COUPE – À RESOUDER",AQ495="VT REJETÉ – À REPRENDRE")),MAX(0,'PROGRAMME RT'!$C$4-U495),"")</f>
        <v/>
      </c>
      <c r="AS495" s="82" t="n">
        <f aca="false">IF(AND(OR(AQ495="À RADIOGRAPHIER",AQ495="RÉPARÉ – À RADIOGRAPHIER",AQ495="NX – RT À REFAIRE"),OR('PROGRAMME RT'!$D$5="TOUTES",B495='PROGRAMME RT'!$D$5)),1,0)</f>
        <v>0</v>
      </c>
      <c r="AT495" s="82" t="str">
        <f aca="false">IF(AS495=1,SUM(AS$7:AS495),"")</f>
        <v/>
      </c>
      <c r="AU495" s="82" t="n">
        <f aca="false">IF(AND(OR(AA495="R",AA495="NX",AA495="NT",AA495="CO"),OR('JOINTS DE RÉPARATION'!$D$5="TOUTES",B495='JOINTS DE RÉPARATION'!$D$5),OR('JOINTS DE RÉPARATION'!$L$4="TOUS",AQ495&lt;&gt;"ACCEPTÉ")),1,0)</f>
        <v>0</v>
      </c>
      <c r="AV495" s="82" t="str">
        <f aca="false">IF(AU495=1,SUM(AU$7:AU495),"")</f>
        <v/>
      </c>
      <c r="AW495" s="82" t="str">
        <f aca="false">IF(E495="","",B495&amp;"|"&amp;E495)</f>
        <v>MFD-ISW → MFD-CPF|JN°489</v>
      </c>
    </row>
    <row r="496" customFormat="false" ht="74.6" hidden="false" customHeight="false" outlineLevel="0" collapsed="false">
      <c r="A496" s="79" t="n">
        <f aca="false">IF(E496="","",ROW()-6)</f>
        <v>490</v>
      </c>
      <c r="B496" s="80" t="s">
        <v>110</v>
      </c>
      <c r="C496" s="81"/>
      <c r="D496" s="81"/>
      <c r="E496" s="81" t="s">
        <v>600</v>
      </c>
      <c r="F496" s="82" t="str">
        <f aca="false">IF(E496="","",IF(LEFT(E496,2)="DJ","DJ","JN"))</f>
        <v>JN</v>
      </c>
      <c r="G496" s="81"/>
      <c r="H496" s="81"/>
      <c r="I496" s="81"/>
      <c r="J496" s="81"/>
      <c r="K496" s="81"/>
      <c r="L496" s="81"/>
      <c r="M496" s="81"/>
      <c r="N496" s="81"/>
      <c r="O496" s="81"/>
      <c r="P496" s="81"/>
      <c r="Q496" s="81"/>
      <c r="R496" s="81"/>
      <c r="S496" s="81"/>
      <c r="T496" s="81"/>
      <c r="U496" s="83"/>
      <c r="V496" s="83"/>
      <c r="W496" s="81"/>
      <c r="X496" s="81"/>
      <c r="Y496" s="83"/>
      <c r="Z496" s="81"/>
      <c r="AA496" s="81"/>
      <c r="AB496" s="81"/>
      <c r="AC496" s="81"/>
      <c r="AD496" s="81"/>
      <c r="AE496" s="83"/>
      <c r="AF496" s="81"/>
      <c r="AG496" s="81"/>
      <c r="AH496" s="81"/>
      <c r="AI496" s="81"/>
      <c r="AJ496" s="83"/>
      <c r="AK496" s="81"/>
      <c r="AL496" s="81"/>
      <c r="AM496" s="83"/>
      <c r="AN496" s="80"/>
      <c r="AO496" s="82" t="n">
        <f aca="false">IF(E496="","",(AA496&lt;&gt;"")+(AG496&lt;&gt;"")+(AL496&lt;&gt;""))</f>
        <v>0</v>
      </c>
      <c r="AP496" s="82" t="str">
        <f aca="false">IF(AL496&lt;&gt;"",AL496,IF(AG496&lt;&gt;"",AG496,IF(AA496&lt;&gt;"",AA496,"")))</f>
        <v/>
      </c>
      <c r="AQ496" s="84" t="str">
        <f aca="false">IF(E496="","",IF(U496="","À SOUDER",IF(X496="","VT EN ATTENTE",IF(X496="R","VT REJETÉ – À REPRENDRE",IF(AP496="","À RADIOGRAPHIER",IF(AP496="A","ACCEPTÉ",IF(AP496="NX","NX – RT À REFAIRE",IF(IF(AO496=1,AD496,IF(AO496=2,AI496,""))="A","RÉPARÉ – À RADIOGRAPHIER",IF(IF(AO496=1,AD496,IF(AO496=2,AI496,""))="R","VT REJETÉ – À REPRENDRE",IF(OR(AP496="CO",AP496="NT"),"COUPE – À RESOUDER","À RÉPARER"))))))))))</f>
        <v>À SOUDER</v>
      </c>
      <c r="AR496" s="82" t="str">
        <f aca="false">IF(AND(ISNUMBER(U496),OR(AQ496="À RADIOGRAPHIER",AQ496="RÉPARÉ – À RADIOGRAPHIER",AQ496="NX – RT À REFAIRE",AQ496="À RÉPARER",AQ496="COUPE – À RESOUDER",AQ496="VT REJETÉ – À REPRENDRE")),MAX(0,'PROGRAMME RT'!$C$4-U496),"")</f>
        <v/>
      </c>
      <c r="AS496" s="82" t="n">
        <f aca="false">IF(AND(OR(AQ496="À RADIOGRAPHIER",AQ496="RÉPARÉ – À RADIOGRAPHIER",AQ496="NX – RT À REFAIRE"),OR('PROGRAMME RT'!$D$5="TOUTES",B496='PROGRAMME RT'!$D$5)),1,0)</f>
        <v>0</v>
      </c>
      <c r="AT496" s="82" t="str">
        <f aca="false">IF(AS496=1,SUM(AS$7:AS496),"")</f>
        <v/>
      </c>
      <c r="AU496" s="82" t="n">
        <f aca="false">IF(AND(OR(AA496="R",AA496="NX",AA496="NT",AA496="CO"),OR('JOINTS DE RÉPARATION'!$D$5="TOUTES",B496='JOINTS DE RÉPARATION'!$D$5),OR('JOINTS DE RÉPARATION'!$L$4="TOUS",AQ496&lt;&gt;"ACCEPTÉ")),1,0)</f>
        <v>0</v>
      </c>
      <c r="AV496" s="82" t="str">
        <f aca="false">IF(AU496=1,SUM(AU$7:AU496),"")</f>
        <v/>
      </c>
      <c r="AW496" s="82" t="str">
        <f aca="false">IF(E496="","",B496&amp;"|"&amp;E496)</f>
        <v>MFD-ISW → MFD-CPF|JN°490</v>
      </c>
    </row>
    <row r="497" customFormat="false" ht="74.6" hidden="false" customHeight="false" outlineLevel="0" collapsed="false">
      <c r="A497" s="79" t="n">
        <f aca="false">IF(E497="","",ROW()-6)</f>
        <v>491</v>
      </c>
      <c r="B497" s="80" t="s">
        <v>110</v>
      </c>
      <c r="C497" s="81"/>
      <c r="D497" s="81"/>
      <c r="E497" s="81" t="s">
        <v>601</v>
      </c>
      <c r="F497" s="82" t="str">
        <f aca="false">IF(E497="","",IF(LEFT(E497,2)="DJ","DJ","JN"))</f>
        <v>JN</v>
      </c>
      <c r="G497" s="81"/>
      <c r="H497" s="81"/>
      <c r="I497" s="81"/>
      <c r="J497" s="81"/>
      <c r="K497" s="81"/>
      <c r="L497" s="81"/>
      <c r="M497" s="81"/>
      <c r="N497" s="81"/>
      <c r="O497" s="81"/>
      <c r="P497" s="81"/>
      <c r="Q497" s="81"/>
      <c r="R497" s="81"/>
      <c r="S497" s="81"/>
      <c r="T497" s="81"/>
      <c r="U497" s="83"/>
      <c r="V497" s="83"/>
      <c r="W497" s="81"/>
      <c r="X497" s="81"/>
      <c r="Y497" s="83"/>
      <c r="Z497" s="81"/>
      <c r="AA497" s="81"/>
      <c r="AB497" s="81"/>
      <c r="AC497" s="81"/>
      <c r="AD497" s="81"/>
      <c r="AE497" s="83"/>
      <c r="AF497" s="81"/>
      <c r="AG497" s="81"/>
      <c r="AH497" s="81"/>
      <c r="AI497" s="81"/>
      <c r="AJ497" s="83"/>
      <c r="AK497" s="81"/>
      <c r="AL497" s="81"/>
      <c r="AM497" s="83"/>
      <c r="AN497" s="80"/>
      <c r="AO497" s="82" t="n">
        <f aca="false">IF(E497="","",(AA497&lt;&gt;"")+(AG497&lt;&gt;"")+(AL497&lt;&gt;""))</f>
        <v>0</v>
      </c>
      <c r="AP497" s="82" t="str">
        <f aca="false">IF(AL497&lt;&gt;"",AL497,IF(AG497&lt;&gt;"",AG497,IF(AA497&lt;&gt;"",AA497,"")))</f>
        <v/>
      </c>
      <c r="AQ497" s="84" t="str">
        <f aca="false">IF(E497="","",IF(U497="","À SOUDER",IF(X497="","VT EN ATTENTE",IF(X497="R","VT REJETÉ – À REPRENDRE",IF(AP497="","À RADIOGRAPHIER",IF(AP497="A","ACCEPTÉ",IF(AP497="NX","NX – RT À REFAIRE",IF(IF(AO497=1,AD497,IF(AO497=2,AI497,""))="A","RÉPARÉ – À RADIOGRAPHIER",IF(IF(AO497=1,AD497,IF(AO497=2,AI497,""))="R","VT REJETÉ – À REPRENDRE",IF(OR(AP497="CO",AP497="NT"),"COUPE – À RESOUDER","À RÉPARER"))))))))))</f>
        <v>À SOUDER</v>
      </c>
      <c r="AR497" s="82" t="str">
        <f aca="false">IF(AND(ISNUMBER(U497),OR(AQ497="À RADIOGRAPHIER",AQ497="RÉPARÉ – À RADIOGRAPHIER",AQ497="NX – RT À REFAIRE",AQ497="À RÉPARER",AQ497="COUPE – À RESOUDER",AQ497="VT REJETÉ – À REPRENDRE")),MAX(0,'PROGRAMME RT'!$C$4-U497),"")</f>
        <v/>
      </c>
      <c r="AS497" s="82" t="n">
        <f aca="false">IF(AND(OR(AQ497="À RADIOGRAPHIER",AQ497="RÉPARÉ – À RADIOGRAPHIER",AQ497="NX – RT À REFAIRE"),OR('PROGRAMME RT'!$D$5="TOUTES",B497='PROGRAMME RT'!$D$5)),1,0)</f>
        <v>0</v>
      </c>
      <c r="AT497" s="82" t="str">
        <f aca="false">IF(AS497=1,SUM(AS$7:AS497),"")</f>
        <v/>
      </c>
      <c r="AU497" s="82" t="n">
        <f aca="false">IF(AND(OR(AA497="R",AA497="NX",AA497="NT",AA497="CO"),OR('JOINTS DE RÉPARATION'!$D$5="TOUTES",B497='JOINTS DE RÉPARATION'!$D$5),OR('JOINTS DE RÉPARATION'!$L$4="TOUS",AQ497&lt;&gt;"ACCEPTÉ")),1,0)</f>
        <v>0</v>
      </c>
      <c r="AV497" s="82" t="str">
        <f aca="false">IF(AU497=1,SUM(AU$7:AU497),"")</f>
        <v/>
      </c>
      <c r="AW497" s="82" t="str">
        <f aca="false">IF(E497="","",B497&amp;"|"&amp;E497)</f>
        <v>MFD-ISW → MFD-CPF|JN°491</v>
      </c>
    </row>
    <row r="498" customFormat="false" ht="74.6" hidden="false" customHeight="false" outlineLevel="0" collapsed="false">
      <c r="A498" s="79" t="n">
        <f aca="false">IF(E498="","",ROW()-6)</f>
        <v>492</v>
      </c>
      <c r="B498" s="80" t="s">
        <v>110</v>
      </c>
      <c r="C498" s="81"/>
      <c r="D498" s="81"/>
      <c r="E498" s="81" t="s">
        <v>602</v>
      </c>
      <c r="F498" s="82" t="str">
        <f aca="false">IF(E498="","",IF(LEFT(E498,2)="DJ","DJ","JN"))</f>
        <v>JN</v>
      </c>
      <c r="G498" s="81"/>
      <c r="H498" s="81"/>
      <c r="I498" s="81"/>
      <c r="J498" s="81"/>
      <c r="K498" s="81"/>
      <c r="L498" s="81"/>
      <c r="M498" s="81"/>
      <c r="N498" s="81"/>
      <c r="O498" s="81"/>
      <c r="P498" s="81"/>
      <c r="Q498" s="81"/>
      <c r="R498" s="81"/>
      <c r="S498" s="81"/>
      <c r="T498" s="81"/>
      <c r="U498" s="83"/>
      <c r="V498" s="83"/>
      <c r="W498" s="81"/>
      <c r="X498" s="81"/>
      <c r="Y498" s="83"/>
      <c r="Z498" s="81"/>
      <c r="AA498" s="81"/>
      <c r="AB498" s="81"/>
      <c r="AC498" s="81"/>
      <c r="AD498" s="81"/>
      <c r="AE498" s="83"/>
      <c r="AF498" s="81"/>
      <c r="AG498" s="81"/>
      <c r="AH498" s="81"/>
      <c r="AI498" s="81"/>
      <c r="AJ498" s="83"/>
      <c r="AK498" s="81"/>
      <c r="AL498" s="81"/>
      <c r="AM498" s="83"/>
      <c r="AN498" s="80"/>
      <c r="AO498" s="82" t="n">
        <f aca="false">IF(E498="","",(AA498&lt;&gt;"")+(AG498&lt;&gt;"")+(AL498&lt;&gt;""))</f>
        <v>0</v>
      </c>
      <c r="AP498" s="82" t="str">
        <f aca="false">IF(AL498&lt;&gt;"",AL498,IF(AG498&lt;&gt;"",AG498,IF(AA498&lt;&gt;"",AA498,"")))</f>
        <v/>
      </c>
      <c r="AQ498" s="84" t="str">
        <f aca="false">IF(E498="","",IF(U498="","À SOUDER",IF(X498="","VT EN ATTENTE",IF(X498="R","VT REJETÉ – À REPRENDRE",IF(AP498="","À RADIOGRAPHIER",IF(AP498="A","ACCEPTÉ",IF(AP498="NX","NX – RT À REFAIRE",IF(IF(AO498=1,AD498,IF(AO498=2,AI498,""))="A","RÉPARÉ – À RADIOGRAPHIER",IF(IF(AO498=1,AD498,IF(AO498=2,AI498,""))="R","VT REJETÉ – À REPRENDRE",IF(OR(AP498="CO",AP498="NT"),"COUPE – À RESOUDER","À RÉPARER"))))))))))</f>
        <v>À SOUDER</v>
      </c>
      <c r="AR498" s="82" t="str">
        <f aca="false">IF(AND(ISNUMBER(U498),OR(AQ498="À RADIOGRAPHIER",AQ498="RÉPARÉ – À RADIOGRAPHIER",AQ498="NX – RT À REFAIRE",AQ498="À RÉPARER",AQ498="COUPE – À RESOUDER",AQ498="VT REJETÉ – À REPRENDRE")),MAX(0,'PROGRAMME RT'!$C$4-U498),"")</f>
        <v/>
      </c>
      <c r="AS498" s="82" t="n">
        <f aca="false">IF(AND(OR(AQ498="À RADIOGRAPHIER",AQ498="RÉPARÉ – À RADIOGRAPHIER",AQ498="NX – RT À REFAIRE"),OR('PROGRAMME RT'!$D$5="TOUTES",B498='PROGRAMME RT'!$D$5)),1,0)</f>
        <v>0</v>
      </c>
      <c r="AT498" s="82" t="str">
        <f aca="false">IF(AS498=1,SUM(AS$7:AS498),"")</f>
        <v/>
      </c>
      <c r="AU498" s="82" t="n">
        <f aca="false">IF(AND(OR(AA498="R",AA498="NX",AA498="NT",AA498="CO"),OR('JOINTS DE RÉPARATION'!$D$5="TOUTES",B498='JOINTS DE RÉPARATION'!$D$5),OR('JOINTS DE RÉPARATION'!$L$4="TOUS",AQ498&lt;&gt;"ACCEPTÉ")),1,0)</f>
        <v>0</v>
      </c>
      <c r="AV498" s="82" t="str">
        <f aca="false">IF(AU498=1,SUM(AU$7:AU498),"")</f>
        <v/>
      </c>
      <c r="AW498" s="82" t="str">
        <f aca="false">IF(E498="","",B498&amp;"|"&amp;E498)</f>
        <v>MFD-ISW → MFD-CPF|JN°492</v>
      </c>
    </row>
    <row r="499" customFormat="false" ht="74.6" hidden="false" customHeight="false" outlineLevel="0" collapsed="false">
      <c r="A499" s="79" t="n">
        <f aca="false">IF(E499="","",ROW()-6)</f>
        <v>493</v>
      </c>
      <c r="B499" s="80" t="s">
        <v>110</v>
      </c>
      <c r="C499" s="81"/>
      <c r="D499" s="81"/>
      <c r="E499" s="81" t="s">
        <v>603</v>
      </c>
      <c r="F499" s="82" t="str">
        <f aca="false">IF(E499="","",IF(LEFT(E499,2)="DJ","DJ","JN"))</f>
        <v>JN</v>
      </c>
      <c r="G499" s="81"/>
      <c r="H499" s="81"/>
      <c r="I499" s="81"/>
      <c r="J499" s="81"/>
      <c r="K499" s="81"/>
      <c r="L499" s="81"/>
      <c r="M499" s="81"/>
      <c r="N499" s="81"/>
      <c r="O499" s="81"/>
      <c r="P499" s="81"/>
      <c r="Q499" s="81"/>
      <c r="R499" s="81"/>
      <c r="S499" s="81"/>
      <c r="T499" s="81"/>
      <c r="U499" s="83"/>
      <c r="V499" s="83"/>
      <c r="W499" s="81"/>
      <c r="X499" s="81"/>
      <c r="Y499" s="83"/>
      <c r="Z499" s="81"/>
      <c r="AA499" s="81"/>
      <c r="AB499" s="81"/>
      <c r="AC499" s="81"/>
      <c r="AD499" s="81"/>
      <c r="AE499" s="83"/>
      <c r="AF499" s="81"/>
      <c r="AG499" s="81"/>
      <c r="AH499" s="81"/>
      <c r="AI499" s="81"/>
      <c r="AJ499" s="83"/>
      <c r="AK499" s="81"/>
      <c r="AL499" s="81"/>
      <c r="AM499" s="83"/>
      <c r="AN499" s="80"/>
      <c r="AO499" s="82" t="n">
        <f aca="false">IF(E499="","",(AA499&lt;&gt;"")+(AG499&lt;&gt;"")+(AL499&lt;&gt;""))</f>
        <v>0</v>
      </c>
      <c r="AP499" s="82" t="str">
        <f aca="false">IF(AL499&lt;&gt;"",AL499,IF(AG499&lt;&gt;"",AG499,IF(AA499&lt;&gt;"",AA499,"")))</f>
        <v/>
      </c>
      <c r="AQ499" s="84" t="str">
        <f aca="false">IF(E499="","",IF(U499="","À SOUDER",IF(X499="","VT EN ATTENTE",IF(X499="R","VT REJETÉ – À REPRENDRE",IF(AP499="","À RADIOGRAPHIER",IF(AP499="A","ACCEPTÉ",IF(AP499="NX","NX – RT À REFAIRE",IF(IF(AO499=1,AD499,IF(AO499=2,AI499,""))="A","RÉPARÉ – À RADIOGRAPHIER",IF(IF(AO499=1,AD499,IF(AO499=2,AI499,""))="R","VT REJETÉ – À REPRENDRE",IF(OR(AP499="CO",AP499="NT"),"COUPE – À RESOUDER","À RÉPARER"))))))))))</f>
        <v>À SOUDER</v>
      </c>
      <c r="AR499" s="82" t="str">
        <f aca="false">IF(AND(ISNUMBER(U499),OR(AQ499="À RADIOGRAPHIER",AQ499="RÉPARÉ – À RADIOGRAPHIER",AQ499="NX – RT À REFAIRE",AQ499="À RÉPARER",AQ499="COUPE – À RESOUDER",AQ499="VT REJETÉ – À REPRENDRE")),MAX(0,'PROGRAMME RT'!$C$4-U499),"")</f>
        <v/>
      </c>
      <c r="AS499" s="82" t="n">
        <f aca="false">IF(AND(OR(AQ499="À RADIOGRAPHIER",AQ499="RÉPARÉ – À RADIOGRAPHIER",AQ499="NX – RT À REFAIRE"),OR('PROGRAMME RT'!$D$5="TOUTES",B499='PROGRAMME RT'!$D$5)),1,0)</f>
        <v>0</v>
      </c>
      <c r="AT499" s="82" t="str">
        <f aca="false">IF(AS499=1,SUM(AS$7:AS499),"")</f>
        <v/>
      </c>
      <c r="AU499" s="82" t="n">
        <f aca="false">IF(AND(OR(AA499="R",AA499="NX",AA499="NT",AA499="CO"),OR('JOINTS DE RÉPARATION'!$D$5="TOUTES",B499='JOINTS DE RÉPARATION'!$D$5),OR('JOINTS DE RÉPARATION'!$L$4="TOUS",AQ499&lt;&gt;"ACCEPTÉ")),1,0)</f>
        <v>0</v>
      </c>
      <c r="AV499" s="82" t="str">
        <f aca="false">IF(AU499=1,SUM(AU$7:AU499),"")</f>
        <v/>
      </c>
      <c r="AW499" s="82" t="str">
        <f aca="false">IF(E499="","",B499&amp;"|"&amp;E499)</f>
        <v>MFD-ISW → MFD-CPF|JN°493</v>
      </c>
    </row>
    <row r="500" customFormat="false" ht="74.6" hidden="false" customHeight="false" outlineLevel="0" collapsed="false">
      <c r="A500" s="79" t="n">
        <f aca="false">IF(E500="","",ROW()-6)</f>
        <v>494</v>
      </c>
      <c r="B500" s="80" t="s">
        <v>110</v>
      </c>
      <c r="C500" s="81"/>
      <c r="D500" s="81"/>
      <c r="E500" s="81" t="s">
        <v>604</v>
      </c>
      <c r="F500" s="82" t="str">
        <f aca="false">IF(E500="","",IF(LEFT(E500,2)="DJ","DJ","JN"))</f>
        <v>JN</v>
      </c>
      <c r="G500" s="81"/>
      <c r="H500" s="81"/>
      <c r="I500" s="81"/>
      <c r="J500" s="81"/>
      <c r="K500" s="81"/>
      <c r="L500" s="81"/>
      <c r="M500" s="81"/>
      <c r="N500" s="81"/>
      <c r="O500" s="81"/>
      <c r="P500" s="81"/>
      <c r="Q500" s="81"/>
      <c r="R500" s="81"/>
      <c r="S500" s="81"/>
      <c r="T500" s="81"/>
      <c r="U500" s="83"/>
      <c r="V500" s="83"/>
      <c r="W500" s="81"/>
      <c r="X500" s="81"/>
      <c r="Y500" s="83"/>
      <c r="Z500" s="81"/>
      <c r="AA500" s="81"/>
      <c r="AB500" s="81"/>
      <c r="AC500" s="81"/>
      <c r="AD500" s="81"/>
      <c r="AE500" s="83"/>
      <c r="AF500" s="81"/>
      <c r="AG500" s="81"/>
      <c r="AH500" s="81"/>
      <c r="AI500" s="81"/>
      <c r="AJ500" s="83"/>
      <c r="AK500" s="81"/>
      <c r="AL500" s="81"/>
      <c r="AM500" s="83"/>
      <c r="AN500" s="80"/>
      <c r="AO500" s="82" t="n">
        <f aca="false">IF(E500="","",(AA500&lt;&gt;"")+(AG500&lt;&gt;"")+(AL500&lt;&gt;""))</f>
        <v>0</v>
      </c>
      <c r="AP500" s="82" t="str">
        <f aca="false">IF(AL500&lt;&gt;"",AL500,IF(AG500&lt;&gt;"",AG500,IF(AA500&lt;&gt;"",AA500,"")))</f>
        <v/>
      </c>
      <c r="AQ500" s="84" t="str">
        <f aca="false">IF(E500="","",IF(U500="","À SOUDER",IF(X500="","VT EN ATTENTE",IF(X500="R","VT REJETÉ – À REPRENDRE",IF(AP500="","À RADIOGRAPHIER",IF(AP500="A","ACCEPTÉ",IF(AP500="NX","NX – RT À REFAIRE",IF(IF(AO500=1,AD500,IF(AO500=2,AI500,""))="A","RÉPARÉ – À RADIOGRAPHIER",IF(IF(AO500=1,AD500,IF(AO500=2,AI500,""))="R","VT REJETÉ – À REPRENDRE",IF(OR(AP500="CO",AP500="NT"),"COUPE – À RESOUDER","À RÉPARER"))))))))))</f>
        <v>À SOUDER</v>
      </c>
      <c r="AR500" s="82" t="str">
        <f aca="false">IF(AND(ISNUMBER(U500),OR(AQ500="À RADIOGRAPHIER",AQ500="RÉPARÉ – À RADIOGRAPHIER",AQ500="NX – RT À REFAIRE",AQ500="À RÉPARER",AQ500="COUPE – À RESOUDER",AQ500="VT REJETÉ – À REPRENDRE")),MAX(0,'PROGRAMME RT'!$C$4-U500),"")</f>
        <v/>
      </c>
      <c r="AS500" s="82" t="n">
        <f aca="false">IF(AND(OR(AQ500="À RADIOGRAPHIER",AQ500="RÉPARÉ – À RADIOGRAPHIER",AQ500="NX – RT À REFAIRE"),OR('PROGRAMME RT'!$D$5="TOUTES",B500='PROGRAMME RT'!$D$5)),1,0)</f>
        <v>0</v>
      </c>
      <c r="AT500" s="82" t="str">
        <f aca="false">IF(AS500=1,SUM(AS$7:AS500),"")</f>
        <v/>
      </c>
      <c r="AU500" s="82" t="n">
        <f aca="false">IF(AND(OR(AA500="R",AA500="NX",AA500="NT",AA500="CO"),OR('JOINTS DE RÉPARATION'!$D$5="TOUTES",B500='JOINTS DE RÉPARATION'!$D$5),OR('JOINTS DE RÉPARATION'!$L$4="TOUS",AQ500&lt;&gt;"ACCEPTÉ")),1,0)</f>
        <v>0</v>
      </c>
      <c r="AV500" s="82" t="str">
        <f aca="false">IF(AU500=1,SUM(AU$7:AU500),"")</f>
        <v/>
      </c>
      <c r="AW500" s="82" t="str">
        <f aca="false">IF(E500="","",B500&amp;"|"&amp;E500)</f>
        <v>MFD-ISW → MFD-CPF|JN°494</v>
      </c>
    </row>
    <row r="501" customFormat="false" ht="74.6" hidden="false" customHeight="false" outlineLevel="0" collapsed="false">
      <c r="A501" s="79" t="n">
        <f aca="false">IF(E501="","",ROW()-6)</f>
        <v>495</v>
      </c>
      <c r="B501" s="80" t="s">
        <v>110</v>
      </c>
      <c r="C501" s="81"/>
      <c r="D501" s="81"/>
      <c r="E501" s="81" t="s">
        <v>605</v>
      </c>
      <c r="F501" s="82" t="str">
        <f aca="false">IF(E501="","",IF(LEFT(E501,2)="DJ","DJ","JN"))</f>
        <v>JN</v>
      </c>
      <c r="G501" s="81"/>
      <c r="H501" s="81"/>
      <c r="I501" s="81"/>
      <c r="J501" s="81"/>
      <c r="K501" s="81"/>
      <c r="L501" s="81"/>
      <c r="M501" s="81"/>
      <c r="N501" s="81"/>
      <c r="O501" s="81"/>
      <c r="P501" s="81"/>
      <c r="Q501" s="81"/>
      <c r="R501" s="81"/>
      <c r="S501" s="81"/>
      <c r="T501" s="81"/>
      <c r="U501" s="83"/>
      <c r="V501" s="83"/>
      <c r="W501" s="81"/>
      <c r="X501" s="81"/>
      <c r="Y501" s="83"/>
      <c r="Z501" s="81"/>
      <c r="AA501" s="81"/>
      <c r="AB501" s="81"/>
      <c r="AC501" s="81"/>
      <c r="AD501" s="81"/>
      <c r="AE501" s="83"/>
      <c r="AF501" s="81"/>
      <c r="AG501" s="81"/>
      <c r="AH501" s="81"/>
      <c r="AI501" s="81"/>
      <c r="AJ501" s="83"/>
      <c r="AK501" s="81"/>
      <c r="AL501" s="81"/>
      <c r="AM501" s="83"/>
      <c r="AN501" s="80"/>
      <c r="AO501" s="82" t="n">
        <f aca="false">IF(E501="","",(AA501&lt;&gt;"")+(AG501&lt;&gt;"")+(AL501&lt;&gt;""))</f>
        <v>0</v>
      </c>
      <c r="AP501" s="82" t="str">
        <f aca="false">IF(AL501&lt;&gt;"",AL501,IF(AG501&lt;&gt;"",AG501,IF(AA501&lt;&gt;"",AA501,"")))</f>
        <v/>
      </c>
      <c r="AQ501" s="84" t="str">
        <f aca="false">IF(E501="","",IF(U501="","À SOUDER",IF(X501="","VT EN ATTENTE",IF(X501="R","VT REJETÉ – À REPRENDRE",IF(AP501="","À RADIOGRAPHIER",IF(AP501="A","ACCEPTÉ",IF(AP501="NX","NX – RT À REFAIRE",IF(IF(AO501=1,AD501,IF(AO501=2,AI501,""))="A","RÉPARÉ – À RADIOGRAPHIER",IF(IF(AO501=1,AD501,IF(AO501=2,AI501,""))="R","VT REJETÉ – À REPRENDRE",IF(OR(AP501="CO",AP501="NT"),"COUPE – À RESOUDER","À RÉPARER"))))))))))</f>
        <v>À SOUDER</v>
      </c>
      <c r="AR501" s="82" t="str">
        <f aca="false">IF(AND(ISNUMBER(U501),OR(AQ501="À RADIOGRAPHIER",AQ501="RÉPARÉ – À RADIOGRAPHIER",AQ501="NX – RT À REFAIRE",AQ501="À RÉPARER",AQ501="COUPE – À RESOUDER",AQ501="VT REJETÉ – À REPRENDRE")),MAX(0,'PROGRAMME RT'!$C$4-U501),"")</f>
        <v/>
      </c>
      <c r="AS501" s="82" t="n">
        <f aca="false">IF(AND(OR(AQ501="À RADIOGRAPHIER",AQ501="RÉPARÉ – À RADIOGRAPHIER",AQ501="NX – RT À REFAIRE"),OR('PROGRAMME RT'!$D$5="TOUTES",B501='PROGRAMME RT'!$D$5)),1,0)</f>
        <v>0</v>
      </c>
      <c r="AT501" s="82" t="str">
        <f aca="false">IF(AS501=1,SUM(AS$7:AS501),"")</f>
        <v/>
      </c>
      <c r="AU501" s="82" t="n">
        <f aca="false">IF(AND(OR(AA501="R",AA501="NX",AA501="NT",AA501="CO"),OR('JOINTS DE RÉPARATION'!$D$5="TOUTES",B501='JOINTS DE RÉPARATION'!$D$5),OR('JOINTS DE RÉPARATION'!$L$4="TOUS",AQ501&lt;&gt;"ACCEPTÉ")),1,0)</f>
        <v>0</v>
      </c>
      <c r="AV501" s="82" t="str">
        <f aca="false">IF(AU501=1,SUM(AU$7:AU501),"")</f>
        <v/>
      </c>
      <c r="AW501" s="82" t="str">
        <f aca="false">IF(E501="","",B501&amp;"|"&amp;E501)</f>
        <v>MFD-ISW → MFD-CPF|JN°495</v>
      </c>
    </row>
    <row r="502" customFormat="false" ht="74.6" hidden="false" customHeight="false" outlineLevel="0" collapsed="false">
      <c r="A502" s="79" t="n">
        <f aca="false">IF(E502="","",ROW()-6)</f>
        <v>496</v>
      </c>
      <c r="B502" s="80" t="s">
        <v>110</v>
      </c>
      <c r="C502" s="81"/>
      <c r="D502" s="81"/>
      <c r="E502" s="81" t="s">
        <v>606</v>
      </c>
      <c r="F502" s="82" t="str">
        <f aca="false">IF(E502="","",IF(LEFT(E502,2)="DJ","DJ","JN"))</f>
        <v>JN</v>
      </c>
      <c r="G502" s="81"/>
      <c r="H502" s="81"/>
      <c r="I502" s="81"/>
      <c r="J502" s="81"/>
      <c r="K502" s="81"/>
      <c r="L502" s="81"/>
      <c r="M502" s="81"/>
      <c r="N502" s="81"/>
      <c r="O502" s="81"/>
      <c r="P502" s="81"/>
      <c r="Q502" s="81"/>
      <c r="R502" s="81"/>
      <c r="S502" s="81"/>
      <c r="T502" s="81"/>
      <c r="U502" s="83"/>
      <c r="V502" s="83"/>
      <c r="W502" s="81"/>
      <c r="X502" s="81"/>
      <c r="Y502" s="83"/>
      <c r="Z502" s="81"/>
      <c r="AA502" s="81"/>
      <c r="AB502" s="81"/>
      <c r="AC502" s="81"/>
      <c r="AD502" s="81"/>
      <c r="AE502" s="83"/>
      <c r="AF502" s="81"/>
      <c r="AG502" s="81"/>
      <c r="AH502" s="81"/>
      <c r="AI502" s="81"/>
      <c r="AJ502" s="83"/>
      <c r="AK502" s="81"/>
      <c r="AL502" s="81"/>
      <c r="AM502" s="83"/>
      <c r="AN502" s="80"/>
      <c r="AO502" s="82" t="n">
        <f aca="false">IF(E502="","",(AA502&lt;&gt;"")+(AG502&lt;&gt;"")+(AL502&lt;&gt;""))</f>
        <v>0</v>
      </c>
      <c r="AP502" s="82" t="str">
        <f aca="false">IF(AL502&lt;&gt;"",AL502,IF(AG502&lt;&gt;"",AG502,IF(AA502&lt;&gt;"",AA502,"")))</f>
        <v/>
      </c>
      <c r="AQ502" s="84" t="str">
        <f aca="false">IF(E502="","",IF(U502="","À SOUDER",IF(X502="","VT EN ATTENTE",IF(X502="R","VT REJETÉ – À REPRENDRE",IF(AP502="","À RADIOGRAPHIER",IF(AP502="A","ACCEPTÉ",IF(AP502="NX","NX – RT À REFAIRE",IF(IF(AO502=1,AD502,IF(AO502=2,AI502,""))="A","RÉPARÉ – À RADIOGRAPHIER",IF(IF(AO502=1,AD502,IF(AO502=2,AI502,""))="R","VT REJETÉ – À REPRENDRE",IF(OR(AP502="CO",AP502="NT"),"COUPE – À RESOUDER","À RÉPARER"))))))))))</f>
        <v>À SOUDER</v>
      </c>
      <c r="AR502" s="82" t="str">
        <f aca="false">IF(AND(ISNUMBER(U502),OR(AQ502="À RADIOGRAPHIER",AQ502="RÉPARÉ – À RADIOGRAPHIER",AQ502="NX – RT À REFAIRE",AQ502="À RÉPARER",AQ502="COUPE – À RESOUDER",AQ502="VT REJETÉ – À REPRENDRE")),MAX(0,'PROGRAMME RT'!$C$4-U502),"")</f>
        <v/>
      </c>
      <c r="AS502" s="82" t="n">
        <f aca="false">IF(AND(OR(AQ502="À RADIOGRAPHIER",AQ502="RÉPARÉ – À RADIOGRAPHIER",AQ502="NX – RT À REFAIRE"),OR('PROGRAMME RT'!$D$5="TOUTES",B502='PROGRAMME RT'!$D$5)),1,0)</f>
        <v>0</v>
      </c>
      <c r="AT502" s="82" t="str">
        <f aca="false">IF(AS502=1,SUM(AS$7:AS502),"")</f>
        <v/>
      </c>
      <c r="AU502" s="82" t="n">
        <f aca="false">IF(AND(OR(AA502="R",AA502="NX",AA502="NT",AA502="CO"),OR('JOINTS DE RÉPARATION'!$D$5="TOUTES",B502='JOINTS DE RÉPARATION'!$D$5),OR('JOINTS DE RÉPARATION'!$L$4="TOUS",AQ502&lt;&gt;"ACCEPTÉ")),1,0)</f>
        <v>0</v>
      </c>
      <c r="AV502" s="82" t="str">
        <f aca="false">IF(AU502=1,SUM(AU$7:AU502),"")</f>
        <v/>
      </c>
      <c r="AW502" s="82" t="str">
        <f aca="false">IF(E502="","",B502&amp;"|"&amp;E502)</f>
        <v>MFD-ISW → MFD-CPF|JN°496</v>
      </c>
    </row>
    <row r="503" customFormat="false" ht="74.6" hidden="false" customHeight="false" outlineLevel="0" collapsed="false">
      <c r="A503" s="79" t="n">
        <f aca="false">IF(E503="","",ROW()-6)</f>
        <v>497</v>
      </c>
      <c r="B503" s="80" t="s">
        <v>110</v>
      </c>
      <c r="C503" s="81"/>
      <c r="D503" s="81"/>
      <c r="E503" s="81" t="s">
        <v>607</v>
      </c>
      <c r="F503" s="82" t="str">
        <f aca="false">IF(E503="","",IF(LEFT(E503,2)="DJ","DJ","JN"))</f>
        <v>JN</v>
      </c>
      <c r="G503" s="81"/>
      <c r="H503" s="81"/>
      <c r="I503" s="81"/>
      <c r="J503" s="81"/>
      <c r="K503" s="81"/>
      <c r="L503" s="81"/>
      <c r="M503" s="81"/>
      <c r="N503" s="81"/>
      <c r="O503" s="81"/>
      <c r="P503" s="81"/>
      <c r="Q503" s="81"/>
      <c r="R503" s="81"/>
      <c r="S503" s="81"/>
      <c r="T503" s="81"/>
      <c r="U503" s="83"/>
      <c r="V503" s="83"/>
      <c r="W503" s="81"/>
      <c r="X503" s="81"/>
      <c r="Y503" s="83"/>
      <c r="Z503" s="81"/>
      <c r="AA503" s="81"/>
      <c r="AB503" s="81"/>
      <c r="AC503" s="81"/>
      <c r="AD503" s="81"/>
      <c r="AE503" s="83"/>
      <c r="AF503" s="81"/>
      <c r="AG503" s="81"/>
      <c r="AH503" s="81"/>
      <c r="AI503" s="81"/>
      <c r="AJ503" s="83"/>
      <c r="AK503" s="81"/>
      <c r="AL503" s="81"/>
      <c r="AM503" s="83"/>
      <c r="AN503" s="80"/>
      <c r="AO503" s="82" t="n">
        <f aca="false">IF(E503="","",(AA503&lt;&gt;"")+(AG503&lt;&gt;"")+(AL503&lt;&gt;""))</f>
        <v>0</v>
      </c>
      <c r="AP503" s="82" t="str">
        <f aca="false">IF(AL503&lt;&gt;"",AL503,IF(AG503&lt;&gt;"",AG503,IF(AA503&lt;&gt;"",AA503,"")))</f>
        <v/>
      </c>
      <c r="AQ503" s="84" t="str">
        <f aca="false">IF(E503="","",IF(U503="","À SOUDER",IF(X503="","VT EN ATTENTE",IF(X503="R","VT REJETÉ – À REPRENDRE",IF(AP503="","À RADIOGRAPHIER",IF(AP503="A","ACCEPTÉ",IF(AP503="NX","NX – RT À REFAIRE",IF(IF(AO503=1,AD503,IF(AO503=2,AI503,""))="A","RÉPARÉ – À RADIOGRAPHIER",IF(IF(AO503=1,AD503,IF(AO503=2,AI503,""))="R","VT REJETÉ – À REPRENDRE",IF(OR(AP503="CO",AP503="NT"),"COUPE – À RESOUDER","À RÉPARER"))))))))))</f>
        <v>À SOUDER</v>
      </c>
      <c r="AR503" s="82" t="str">
        <f aca="false">IF(AND(ISNUMBER(U503),OR(AQ503="À RADIOGRAPHIER",AQ503="RÉPARÉ – À RADIOGRAPHIER",AQ503="NX – RT À REFAIRE",AQ503="À RÉPARER",AQ503="COUPE – À RESOUDER",AQ503="VT REJETÉ – À REPRENDRE")),MAX(0,'PROGRAMME RT'!$C$4-U503),"")</f>
        <v/>
      </c>
      <c r="AS503" s="82" t="n">
        <f aca="false">IF(AND(OR(AQ503="À RADIOGRAPHIER",AQ503="RÉPARÉ – À RADIOGRAPHIER",AQ503="NX – RT À REFAIRE"),OR('PROGRAMME RT'!$D$5="TOUTES",B503='PROGRAMME RT'!$D$5)),1,0)</f>
        <v>0</v>
      </c>
      <c r="AT503" s="82" t="str">
        <f aca="false">IF(AS503=1,SUM(AS$7:AS503),"")</f>
        <v/>
      </c>
      <c r="AU503" s="82" t="n">
        <f aca="false">IF(AND(OR(AA503="R",AA503="NX",AA503="NT",AA503="CO"),OR('JOINTS DE RÉPARATION'!$D$5="TOUTES",B503='JOINTS DE RÉPARATION'!$D$5),OR('JOINTS DE RÉPARATION'!$L$4="TOUS",AQ503&lt;&gt;"ACCEPTÉ")),1,0)</f>
        <v>0</v>
      </c>
      <c r="AV503" s="82" t="str">
        <f aca="false">IF(AU503=1,SUM(AU$7:AU503),"")</f>
        <v/>
      </c>
      <c r="AW503" s="82" t="str">
        <f aca="false">IF(E503="","",B503&amp;"|"&amp;E503)</f>
        <v>MFD-ISW → MFD-CPF|JN°497</v>
      </c>
    </row>
    <row r="504" customFormat="false" ht="74.6" hidden="false" customHeight="false" outlineLevel="0" collapsed="false">
      <c r="A504" s="79" t="n">
        <f aca="false">IF(E504="","",ROW()-6)</f>
        <v>498</v>
      </c>
      <c r="B504" s="80" t="s">
        <v>110</v>
      </c>
      <c r="C504" s="81"/>
      <c r="D504" s="81"/>
      <c r="E504" s="81" t="s">
        <v>608</v>
      </c>
      <c r="F504" s="82" t="str">
        <f aca="false">IF(E504="","",IF(LEFT(E504,2)="DJ","DJ","JN"))</f>
        <v>JN</v>
      </c>
      <c r="G504" s="81"/>
      <c r="H504" s="81"/>
      <c r="I504" s="81"/>
      <c r="J504" s="81"/>
      <c r="K504" s="81"/>
      <c r="L504" s="81"/>
      <c r="M504" s="81"/>
      <c r="N504" s="81"/>
      <c r="O504" s="81"/>
      <c r="P504" s="81"/>
      <c r="Q504" s="81"/>
      <c r="R504" s="81"/>
      <c r="S504" s="81"/>
      <c r="T504" s="81"/>
      <c r="U504" s="83"/>
      <c r="V504" s="83"/>
      <c r="W504" s="81"/>
      <c r="X504" s="81"/>
      <c r="Y504" s="83"/>
      <c r="Z504" s="81"/>
      <c r="AA504" s="81"/>
      <c r="AB504" s="81"/>
      <c r="AC504" s="81"/>
      <c r="AD504" s="81"/>
      <c r="AE504" s="83"/>
      <c r="AF504" s="81"/>
      <c r="AG504" s="81"/>
      <c r="AH504" s="81"/>
      <c r="AI504" s="81"/>
      <c r="AJ504" s="83"/>
      <c r="AK504" s="81"/>
      <c r="AL504" s="81"/>
      <c r="AM504" s="83"/>
      <c r="AN504" s="80"/>
      <c r="AO504" s="82" t="n">
        <f aca="false">IF(E504="","",(AA504&lt;&gt;"")+(AG504&lt;&gt;"")+(AL504&lt;&gt;""))</f>
        <v>0</v>
      </c>
      <c r="AP504" s="82" t="str">
        <f aca="false">IF(AL504&lt;&gt;"",AL504,IF(AG504&lt;&gt;"",AG504,IF(AA504&lt;&gt;"",AA504,"")))</f>
        <v/>
      </c>
      <c r="AQ504" s="84" t="str">
        <f aca="false">IF(E504="","",IF(U504="","À SOUDER",IF(X504="","VT EN ATTENTE",IF(X504="R","VT REJETÉ – À REPRENDRE",IF(AP504="","À RADIOGRAPHIER",IF(AP504="A","ACCEPTÉ",IF(AP504="NX","NX – RT À REFAIRE",IF(IF(AO504=1,AD504,IF(AO504=2,AI504,""))="A","RÉPARÉ – À RADIOGRAPHIER",IF(IF(AO504=1,AD504,IF(AO504=2,AI504,""))="R","VT REJETÉ – À REPRENDRE",IF(OR(AP504="CO",AP504="NT"),"COUPE – À RESOUDER","À RÉPARER"))))))))))</f>
        <v>À SOUDER</v>
      </c>
      <c r="AR504" s="82" t="str">
        <f aca="false">IF(AND(ISNUMBER(U504),OR(AQ504="À RADIOGRAPHIER",AQ504="RÉPARÉ – À RADIOGRAPHIER",AQ504="NX – RT À REFAIRE",AQ504="À RÉPARER",AQ504="COUPE – À RESOUDER",AQ504="VT REJETÉ – À REPRENDRE")),MAX(0,'PROGRAMME RT'!$C$4-U504),"")</f>
        <v/>
      </c>
      <c r="AS504" s="82" t="n">
        <f aca="false">IF(AND(OR(AQ504="À RADIOGRAPHIER",AQ504="RÉPARÉ – À RADIOGRAPHIER",AQ504="NX – RT À REFAIRE"),OR('PROGRAMME RT'!$D$5="TOUTES",B504='PROGRAMME RT'!$D$5)),1,0)</f>
        <v>0</v>
      </c>
      <c r="AT504" s="82" t="str">
        <f aca="false">IF(AS504=1,SUM(AS$7:AS504),"")</f>
        <v/>
      </c>
      <c r="AU504" s="82" t="n">
        <f aca="false">IF(AND(OR(AA504="R",AA504="NX",AA504="NT",AA504="CO"),OR('JOINTS DE RÉPARATION'!$D$5="TOUTES",B504='JOINTS DE RÉPARATION'!$D$5),OR('JOINTS DE RÉPARATION'!$L$4="TOUS",AQ504&lt;&gt;"ACCEPTÉ")),1,0)</f>
        <v>0</v>
      </c>
      <c r="AV504" s="82" t="str">
        <f aca="false">IF(AU504=1,SUM(AU$7:AU504),"")</f>
        <v/>
      </c>
      <c r="AW504" s="82" t="str">
        <f aca="false">IF(E504="","",B504&amp;"|"&amp;E504)</f>
        <v>MFD-ISW → MFD-CPF|JN°498</v>
      </c>
    </row>
    <row r="505" customFormat="false" ht="74.6" hidden="false" customHeight="false" outlineLevel="0" collapsed="false">
      <c r="A505" s="79" t="n">
        <f aca="false">IF(E505="","",ROW()-6)</f>
        <v>499</v>
      </c>
      <c r="B505" s="80" t="s">
        <v>110</v>
      </c>
      <c r="C505" s="81"/>
      <c r="D505" s="81"/>
      <c r="E505" s="81" t="s">
        <v>609</v>
      </c>
      <c r="F505" s="82" t="str">
        <f aca="false">IF(E505="","",IF(LEFT(E505,2)="DJ","DJ","JN"))</f>
        <v>JN</v>
      </c>
      <c r="G505" s="81"/>
      <c r="H505" s="81"/>
      <c r="I505" s="81"/>
      <c r="J505" s="81"/>
      <c r="K505" s="81"/>
      <c r="L505" s="81"/>
      <c r="M505" s="81"/>
      <c r="N505" s="81"/>
      <c r="O505" s="81"/>
      <c r="P505" s="81"/>
      <c r="Q505" s="81"/>
      <c r="R505" s="81"/>
      <c r="S505" s="81"/>
      <c r="T505" s="81"/>
      <c r="U505" s="83"/>
      <c r="V505" s="83"/>
      <c r="W505" s="81"/>
      <c r="X505" s="81"/>
      <c r="Y505" s="83"/>
      <c r="Z505" s="81"/>
      <c r="AA505" s="81"/>
      <c r="AB505" s="81"/>
      <c r="AC505" s="81"/>
      <c r="AD505" s="81"/>
      <c r="AE505" s="83"/>
      <c r="AF505" s="81"/>
      <c r="AG505" s="81"/>
      <c r="AH505" s="81"/>
      <c r="AI505" s="81"/>
      <c r="AJ505" s="83"/>
      <c r="AK505" s="81"/>
      <c r="AL505" s="81"/>
      <c r="AM505" s="83"/>
      <c r="AN505" s="80"/>
      <c r="AO505" s="82" t="n">
        <f aca="false">IF(E505="","",(AA505&lt;&gt;"")+(AG505&lt;&gt;"")+(AL505&lt;&gt;""))</f>
        <v>0</v>
      </c>
      <c r="AP505" s="82" t="str">
        <f aca="false">IF(AL505&lt;&gt;"",AL505,IF(AG505&lt;&gt;"",AG505,IF(AA505&lt;&gt;"",AA505,"")))</f>
        <v/>
      </c>
      <c r="AQ505" s="84" t="str">
        <f aca="false">IF(E505="","",IF(U505="","À SOUDER",IF(X505="","VT EN ATTENTE",IF(X505="R","VT REJETÉ – À REPRENDRE",IF(AP505="","À RADIOGRAPHIER",IF(AP505="A","ACCEPTÉ",IF(AP505="NX","NX – RT À REFAIRE",IF(IF(AO505=1,AD505,IF(AO505=2,AI505,""))="A","RÉPARÉ – À RADIOGRAPHIER",IF(IF(AO505=1,AD505,IF(AO505=2,AI505,""))="R","VT REJETÉ – À REPRENDRE",IF(OR(AP505="CO",AP505="NT"),"COUPE – À RESOUDER","À RÉPARER"))))))))))</f>
        <v>À SOUDER</v>
      </c>
      <c r="AR505" s="82" t="str">
        <f aca="false">IF(AND(ISNUMBER(U505),OR(AQ505="À RADIOGRAPHIER",AQ505="RÉPARÉ – À RADIOGRAPHIER",AQ505="NX – RT À REFAIRE",AQ505="À RÉPARER",AQ505="COUPE – À RESOUDER",AQ505="VT REJETÉ – À REPRENDRE")),MAX(0,'PROGRAMME RT'!$C$4-U505),"")</f>
        <v/>
      </c>
      <c r="AS505" s="82" t="n">
        <f aca="false">IF(AND(OR(AQ505="À RADIOGRAPHIER",AQ505="RÉPARÉ – À RADIOGRAPHIER",AQ505="NX – RT À REFAIRE"),OR('PROGRAMME RT'!$D$5="TOUTES",B505='PROGRAMME RT'!$D$5)),1,0)</f>
        <v>0</v>
      </c>
      <c r="AT505" s="82" t="str">
        <f aca="false">IF(AS505=1,SUM(AS$7:AS505),"")</f>
        <v/>
      </c>
      <c r="AU505" s="82" t="n">
        <f aca="false">IF(AND(OR(AA505="R",AA505="NX",AA505="NT",AA505="CO"),OR('JOINTS DE RÉPARATION'!$D$5="TOUTES",B505='JOINTS DE RÉPARATION'!$D$5),OR('JOINTS DE RÉPARATION'!$L$4="TOUS",AQ505&lt;&gt;"ACCEPTÉ")),1,0)</f>
        <v>0</v>
      </c>
      <c r="AV505" s="82" t="str">
        <f aca="false">IF(AU505=1,SUM(AU$7:AU505),"")</f>
        <v/>
      </c>
      <c r="AW505" s="82" t="str">
        <f aca="false">IF(E505="","",B505&amp;"|"&amp;E505)</f>
        <v>MFD-ISW → MFD-CPF|JN°499</v>
      </c>
    </row>
    <row r="506" customFormat="false" ht="74.6" hidden="false" customHeight="false" outlineLevel="0" collapsed="false">
      <c r="A506" s="79" t="n">
        <f aca="false">IF(E506="","",ROW()-6)</f>
        <v>500</v>
      </c>
      <c r="B506" s="80" t="s">
        <v>110</v>
      </c>
      <c r="C506" s="81"/>
      <c r="D506" s="81"/>
      <c r="E506" s="81" t="s">
        <v>610</v>
      </c>
      <c r="F506" s="82" t="str">
        <f aca="false">IF(E506="","",IF(LEFT(E506,2)="DJ","DJ","JN"))</f>
        <v>JN</v>
      </c>
      <c r="G506" s="81"/>
      <c r="H506" s="81"/>
      <c r="I506" s="81"/>
      <c r="J506" s="81"/>
      <c r="K506" s="81"/>
      <c r="L506" s="81"/>
      <c r="M506" s="81"/>
      <c r="N506" s="81"/>
      <c r="O506" s="81"/>
      <c r="P506" s="81"/>
      <c r="Q506" s="81"/>
      <c r="R506" s="81"/>
      <c r="S506" s="81"/>
      <c r="T506" s="81"/>
      <c r="U506" s="83"/>
      <c r="V506" s="83"/>
      <c r="W506" s="81"/>
      <c r="X506" s="81"/>
      <c r="Y506" s="83"/>
      <c r="Z506" s="81"/>
      <c r="AA506" s="81"/>
      <c r="AB506" s="81"/>
      <c r="AC506" s="81"/>
      <c r="AD506" s="81"/>
      <c r="AE506" s="83"/>
      <c r="AF506" s="81"/>
      <c r="AG506" s="81"/>
      <c r="AH506" s="81"/>
      <c r="AI506" s="81"/>
      <c r="AJ506" s="83"/>
      <c r="AK506" s="81"/>
      <c r="AL506" s="81"/>
      <c r="AM506" s="83"/>
      <c r="AN506" s="80"/>
      <c r="AO506" s="82" t="n">
        <f aca="false">IF(E506="","",(AA506&lt;&gt;"")+(AG506&lt;&gt;"")+(AL506&lt;&gt;""))</f>
        <v>0</v>
      </c>
      <c r="AP506" s="82" t="str">
        <f aca="false">IF(AL506&lt;&gt;"",AL506,IF(AG506&lt;&gt;"",AG506,IF(AA506&lt;&gt;"",AA506,"")))</f>
        <v/>
      </c>
      <c r="AQ506" s="84" t="str">
        <f aca="false">IF(E506="","",IF(U506="","À SOUDER",IF(X506="","VT EN ATTENTE",IF(X506="R","VT REJETÉ – À REPRENDRE",IF(AP506="","À RADIOGRAPHIER",IF(AP506="A","ACCEPTÉ",IF(AP506="NX","NX – RT À REFAIRE",IF(IF(AO506=1,AD506,IF(AO506=2,AI506,""))="A","RÉPARÉ – À RADIOGRAPHIER",IF(IF(AO506=1,AD506,IF(AO506=2,AI506,""))="R","VT REJETÉ – À REPRENDRE",IF(OR(AP506="CO",AP506="NT"),"COUPE – À RESOUDER","À RÉPARER"))))))))))</f>
        <v>À SOUDER</v>
      </c>
      <c r="AR506" s="82" t="str">
        <f aca="false">IF(AND(ISNUMBER(U506),OR(AQ506="À RADIOGRAPHIER",AQ506="RÉPARÉ – À RADIOGRAPHIER",AQ506="NX – RT À REFAIRE",AQ506="À RÉPARER",AQ506="COUPE – À RESOUDER",AQ506="VT REJETÉ – À REPRENDRE")),MAX(0,'PROGRAMME RT'!$C$4-U506),"")</f>
        <v/>
      </c>
      <c r="AS506" s="82" t="n">
        <f aca="false">IF(AND(OR(AQ506="À RADIOGRAPHIER",AQ506="RÉPARÉ – À RADIOGRAPHIER",AQ506="NX – RT À REFAIRE"),OR('PROGRAMME RT'!$D$5="TOUTES",B506='PROGRAMME RT'!$D$5)),1,0)</f>
        <v>0</v>
      </c>
      <c r="AT506" s="82" t="str">
        <f aca="false">IF(AS506=1,SUM(AS$7:AS506),"")</f>
        <v/>
      </c>
      <c r="AU506" s="82" t="n">
        <f aca="false">IF(AND(OR(AA506="R",AA506="NX",AA506="NT",AA506="CO"),OR('JOINTS DE RÉPARATION'!$D$5="TOUTES",B506='JOINTS DE RÉPARATION'!$D$5),OR('JOINTS DE RÉPARATION'!$L$4="TOUS",AQ506&lt;&gt;"ACCEPTÉ")),1,0)</f>
        <v>0</v>
      </c>
      <c r="AV506" s="82" t="str">
        <f aca="false">IF(AU506=1,SUM(AU$7:AU506),"")</f>
        <v/>
      </c>
      <c r="AW506" s="82" t="str">
        <f aca="false">IF(E506="","",B506&amp;"|"&amp;E506)</f>
        <v>MFD-ISW → MFD-CPF|JN°500</v>
      </c>
    </row>
    <row r="507" customFormat="false" ht="74.6" hidden="false" customHeight="false" outlineLevel="0" collapsed="false">
      <c r="A507" s="79" t="n">
        <f aca="false">IF(E507="","",ROW()-6)</f>
        <v>501</v>
      </c>
      <c r="B507" s="80" t="s">
        <v>110</v>
      </c>
      <c r="C507" s="81"/>
      <c r="D507" s="81"/>
      <c r="E507" s="81" t="s">
        <v>611</v>
      </c>
      <c r="F507" s="82" t="str">
        <f aca="false">IF(E507="","",IF(LEFT(E507,2)="DJ","DJ","JN"))</f>
        <v>JN</v>
      </c>
      <c r="G507" s="81"/>
      <c r="H507" s="81"/>
      <c r="I507" s="81"/>
      <c r="J507" s="81"/>
      <c r="K507" s="81"/>
      <c r="L507" s="81"/>
      <c r="M507" s="81"/>
      <c r="N507" s="81"/>
      <c r="O507" s="81"/>
      <c r="P507" s="81"/>
      <c r="Q507" s="81"/>
      <c r="R507" s="81"/>
      <c r="S507" s="81"/>
      <c r="T507" s="81"/>
      <c r="U507" s="83"/>
      <c r="V507" s="83"/>
      <c r="W507" s="81"/>
      <c r="X507" s="81"/>
      <c r="Y507" s="83"/>
      <c r="Z507" s="81"/>
      <c r="AA507" s="81"/>
      <c r="AB507" s="81"/>
      <c r="AC507" s="81"/>
      <c r="AD507" s="81"/>
      <c r="AE507" s="83"/>
      <c r="AF507" s="81"/>
      <c r="AG507" s="81"/>
      <c r="AH507" s="81"/>
      <c r="AI507" s="81"/>
      <c r="AJ507" s="83"/>
      <c r="AK507" s="81"/>
      <c r="AL507" s="81"/>
      <c r="AM507" s="83"/>
      <c r="AN507" s="80"/>
      <c r="AO507" s="82" t="n">
        <f aca="false">IF(E507="","",(AA507&lt;&gt;"")+(AG507&lt;&gt;"")+(AL507&lt;&gt;""))</f>
        <v>0</v>
      </c>
      <c r="AP507" s="82" t="str">
        <f aca="false">IF(AL507&lt;&gt;"",AL507,IF(AG507&lt;&gt;"",AG507,IF(AA507&lt;&gt;"",AA507,"")))</f>
        <v/>
      </c>
      <c r="AQ507" s="84" t="str">
        <f aca="false">IF(E507="","",IF(U507="","À SOUDER",IF(X507="","VT EN ATTENTE",IF(X507="R","VT REJETÉ – À REPRENDRE",IF(AP507="","À RADIOGRAPHIER",IF(AP507="A","ACCEPTÉ",IF(AP507="NX","NX – RT À REFAIRE",IF(IF(AO507=1,AD507,IF(AO507=2,AI507,""))="A","RÉPARÉ – À RADIOGRAPHIER",IF(IF(AO507=1,AD507,IF(AO507=2,AI507,""))="R","VT REJETÉ – À REPRENDRE",IF(OR(AP507="CO",AP507="NT"),"COUPE – À RESOUDER","À RÉPARER"))))))))))</f>
        <v>À SOUDER</v>
      </c>
      <c r="AR507" s="82" t="str">
        <f aca="false">IF(AND(ISNUMBER(U507),OR(AQ507="À RADIOGRAPHIER",AQ507="RÉPARÉ – À RADIOGRAPHIER",AQ507="NX – RT À REFAIRE",AQ507="À RÉPARER",AQ507="COUPE – À RESOUDER",AQ507="VT REJETÉ – À REPRENDRE")),MAX(0,'PROGRAMME RT'!$C$4-U507),"")</f>
        <v/>
      </c>
      <c r="AS507" s="82" t="n">
        <f aca="false">IF(AND(OR(AQ507="À RADIOGRAPHIER",AQ507="RÉPARÉ – À RADIOGRAPHIER",AQ507="NX – RT À REFAIRE"),OR('PROGRAMME RT'!$D$5="TOUTES",B507='PROGRAMME RT'!$D$5)),1,0)</f>
        <v>0</v>
      </c>
      <c r="AT507" s="82" t="str">
        <f aca="false">IF(AS507=1,SUM(AS$7:AS507),"")</f>
        <v/>
      </c>
      <c r="AU507" s="82" t="n">
        <f aca="false">IF(AND(OR(AA507="R",AA507="NX",AA507="NT",AA507="CO"),OR('JOINTS DE RÉPARATION'!$D$5="TOUTES",B507='JOINTS DE RÉPARATION'!$D$5),OR('JOINTS DE RÉPARATION'!$L$4="TOUS",AQ507&lt;&gt;"ACCEPTÉ")),1,0)</f>
        <v>0</v>
      </c>
      <c r="AV507" s="82" t="str">
        <f aca="false">IF(AU507=1,SUM(AU$7:AU507),"")</f>
        <v/>
      </c>
      <c r="AW507" s="82" t="str">
        <f aca="false">IF(E507="","",B507&amp;"|"&amp;E507)</f>
        <v>MFD-ISW → MFD-CPF|JN°501</v>
      </c>
    </row>
    <row r="508" customFormat="false" ht="74.6" hidden="false" customHeight="false" outlineLevel="0" collapsed="false">
      <c r="A508" s="79" t="n">
        <f aca="false">IF(E508="","",ROW()-6)</f>
        <v>502</v>
      </c>
      <c r="B508" s="80" t="s">
        <v>110</v>
      </c>
      <c r="C508" s="81"/>
      <c r="D508" s="81"/>
      <c r="E508" s="81" t="s">
        <v>612</v>
      </c>
      <c r="F508" s="82" t="str">
        <f aca="false">IF(E508="","",IF(LEFT(E508,2)="DJ","DJ","JN"))</f>
        <v>JN</v>
      </c>
      <c r="G508" s="81"/>
      <c r="H508" s="81"/>
      <c r="I508" s="81"/>
      <c r="J508" s="81"/>
      <c r="K508" s="81"/>
      <c r="L508" s="81"/>
      <c r="M508" s="81"/>
      <c r="N508" s="81"/>
      <c r="O508" s="81"/>
      <c r="P508" s="81"/>
      <c r="Q508" s="81"/>
      <c r="R508" s="81"/>
      <c r="S508" s="81"/>
      <c r="T508" s="81"/>
      <c r="U508" s="83"/>
      <c r="V508" s="83"/>
      <c r="W508" s="81"/>
      <c r="X508" s="81"/>
      <c r="Y508" s="83"/>
      <c r="Z508" s="81"/>
      <c r="AA508" s="81"/>
      <c r="AB508" s="81"/>
      <c r="AC508" s="81"/>
      <c r="AD508" s="81"/>
      <c r="AE508" s="83"/>
      <c r="AF508" s="81"/>
      <c r="AG508" s="81"/>
      <c r="AH508" s="81"/>
      <c r="AI508" s="81"/>
      <c r="AJ508" s="83"/>
      <c r="AK508" s="81"/>
      <c r="AL508" s="81"/>
      <c r="AM508" s="83"/>
      <c r="AN508" s="80"/>
      <c r="AO508" s="82" t="n">
        <f aca="false">IF(E508="","",(AA508&lt;&gt;"")+(AG508&lt;&gt;"")+(AL508&lt;&gt;""))</f>
        <v>0</v>
      </c>
      <c r="AP508" s="82" t="str">
        <f aca="false">IF(AL508&lt;&gt;"",AL508,IF(AG508&lt;&gt;"",AG508,IF(AA508&lt;&gt;"",AA508,"")))</f>
        <v/>
      </c>
      <c r="AQ508" s="84" t="str">
        <f aca="false">IF(E508="","",IF(U508="","À SOUDER",IF(X508="","VT EN ATTENTE",IF(X508="R","VT REJETÉ – À REPRENDRE",IF(AP508="","À RADIOGRAPHIER",IF(AP508="A","ACCEPTÉ",IF(AP508="NX","NX – RT À REFAIRE",IF(IF(AO508=1,AD508,IF(AO508=2,AI508,""))="A","RÉPARÉ – À RADIOGRAPHIER",IF(IF(AO508=1,AD508,IF(AO508=2,AI508,""))="R","VT REJETÉ – À REPRENDRE",IF(OR(AP508="CO",AP508="NT"),"COUPE – À RESOUDER","À RÉPARER"))))))))))</f>
        <v>À SOUDER</v>
      </c>
      <c r="AR508" s="82" t="str">
        <f aca="false">IF(AND(ISNUMBER(U508),OR(AQ508="À RADIOGRAPHIER",AQ508="RÉPARÉ – À RADIOGRAPHIER",AQ508="NX – RT À REFAIRE",AQ508="À RÉPARER",AQ508="COUPE – À RESOUDER",AQ508="VT REJETÉ – À REPRENDRE")),MAX(0,'PROGRAMME RT'!$C$4-U508),"")</f>
        <v/>
      </c>
      <c r="AS508" s="82" t="n">
        <f aca="false">IF(AND(OR(AQ508="À RADIOGRAPHIER",AQ508="RÉPARÉ – À RADIOGRAPHIER",AQ508="NX – RT À REFAIRE"),OR('PROGRAMME RT'!$D$5="TOUTES",B508='PROGRAMME RT'!$D$5)),1,0)</f>
        <v>0</v>
      </c>
      <c r="AT508" s="82" t="str">
        <f aca="false">IF(AS508=1,SUM(AS$7:AS508),"")</f>
        <v/>
      </c>
      <c r="AU508" s="82" t="n">
        <f aca="false">IF(AND(OR(AA508="R",AA508="NX",AA508="NT",AA508="CO"),OR('JOINTS DE RÉPARATION'!$D$5="TOUTES",B508='JOINTS DE RÉPARATION'!$D$5),OR('JOINTS DE RÉPARATION'!$L$4="TOUS",AQ508&lt;&gt;"ACCEPTÉ")),1,0)</f>
        <v>0</v>
      </c>
      <c r="AV508" s="82" t="str">
        <f aca="false">IF(AU508=1,SUM(AU$7:AU508),"")</f>
        <v/>
      </c>
      <c r="AW508" s="82" t="str">
        <f aca="false">IF(E508="","",B508&amp;"|"&amp;E508)</f>
        <v>MFD-ISW → MFD-CPF|JN°502</v>
      </c>
    </row>
    <row r="509" customFormat="false" ht="74.6" hidden="false" customHeight="false" outlineLevel="0" collapsed="false">
      <c r="A509" s="79" t="n">
        <f aca="false">IF(E509="","",ROW()-6)</f>
        <v>503</v>
      </c>
      <c r="B509" s="80" t="s">
        <v>110</v>
      </c>
      <c r="C509" s="81"/>
      <c r="D509" s="81"/>
      <c r="E509" s="81" t="s">
        <v>613</v>
      </c>
      <c r="F509" s="82" t="str">
        <f aca="false">IF(E509="","",IF(LEFT(E509,2)="DJ","DJ","JN"))</f>
        <v>JN</v>
      </c>
      <c r="G509" s="81"/>
      <c r="H509" s="81"/>
      <c r="I509" s="81"/>
      <c r="J509" s="81"/>
      <c r="K509" s="81"/>
      <c r="L509" s="81"/>
      <c r="M509" s="81"/>
      <c r="N509" s="81"/>
      <c r="O509" s="81"/>
      <c r="P509" s="81"/>
      <c r="Q509" s="81"/>
      <c r="R509" s="81"/>
      <c r="S509" s="81"/>
      <c r="T509" s="81"/>
      <c r="U509" s="83"/>
      <c r="V509" s="83"/>
      <c r="W509" s="81"/>
      <c r="X509" s="81"/>
      <c r="Y509" s="83"/>
      <c r="Z509" s="81"/>
      <c r="AA509" s="81"/>
      <c r="AB509" s="81"/>
      <c r="AC509" s="81"/>
      <c r="AD509" s="81"/>
      <c r="AE509" s="83"/>
      <c r="AF509" s="81"/>
      <c r="AG509" s="81"/>
      <c r="AH509" s="81"/>
      <c r="AI509" s="81"/>
      <c r="AJ509" s="83"/>
      <c r="AK509" s="81"/>
      <c r="AL509" s="81"/>
      <c r="AM509" s="83"/>
      <c r="AN509" s="80"/>
      <c r="AO509" s="82" t="n">
        <f aca="false">IF(E509="","",(AA509&lt;&gt;"")+(AG509&lt;&gt;"")+(AL509&lt;&gt;""))</f>
        <v>0</v>
      </c>
      <c r="AP509" s="82" t="str">
        <f aca="false">IF(AL509&lt;&gt;"",AL509,IF(AG509&lt;&gt;"",AG509,IF(AA509&lt;&gt;"",AA509,"")))</f>
        <v/>
      </c>
      <c r="AQ509" s="84" t="str">
        <f aca="false">IF(E509="","",IF(U509="","À SOUDER",IF(X509="","VT EN ATTENTE",IF(X509="R","VT REJETÉ – À REPRENDRE",IF(AP509="","À RADIOGRAPHIER",IF(AP509="A","ACCEPTÉ",IF(AP509="NX","NX – RT À REFAIRE",IF(IF(AO509=1,AD509,IF(AO509=2,AI509,""))="A","RÉPARÉ – À RADIOGRAPHIER",IF(IF(AO509=1,AD509,IF(AO509=2,AI509,""))="R","VT REJETÉ – À REPRENDRE",IF(OR(AP509="CO",AP509="NT"),"COUPE – À RESOUDER","À RÉPARER"))))))))))</f>
        <v>À SOUDER</v>
      </c>
      <c r="AR509" s="82" t="str">
        <f aca="false">IF(AND(ISNUMBER(U509),OR(AQ509="À RADIOGRAPHIER",AQ509="RÉPARÉ – À RADIOGRAPHIER",AQ509="NX – RT À REFAIRE",AQ509="À RÉPARER",AQ509="COUPE – À RESOUDER",AQ509="VT REJETÉ – À REPRENDRE")),MAX(0,'PROGRAMME RT'!$C$4-U509),"")</f>
        <v/>
      </c>
      <c r="AS509" s="82" t="n">
        <f aca="false">IF(AND(OR(AQ509="À RADIOGRAPHIER",AQ509="RÉPARÉ – À RADIOGRAPHIER",AQ509="NX – RT À REFAIRE"),OR('PROGRAMME RT'!$D$5="TOUTES",B509='PROGRAMME RT'!$D$5)),1,0)</f>
        <v>0</v>
      </c>
      <c r="AT509" s="82" t="str">
        <f aca="false">IF(AS509=1,SUM(AS$7:AS509),"")</f>
        <v/>
      </c>
      <c r="AU509" s="82" t="n">
        <f aca="false">IF(AND(OR(AA509="R",AA509="NX",AA509="NT",AA509="CO"),OR('JOINTS DE RÉPARATION'!$D$5="TOUTES",B509='JOINTS DE RÉPARATION'!$D$5),OR('JOINTS DE RÉPARATION'!$L$4="TOUS",AQ509&lt;&gt;"ACCEPTÉ")),1,0)</f>
        <v>0</v>
      </c>
      <c r="AV509" s="82" t="str">
        <f aca="false">IF(AU509=1,SUM(AU$7:AU509),"")</f>
        <v/>
      </c>
      <c r="AW509" s="82" t="str">
        <f aca="false">IF(E509="","",B509&amp;"|"&amp;E509)</f>
        <v>MFD-ISW → MFD-CPF|JN°503</v>
      </c>
    </row>
    <row r="510" customFormat="false" ht="74.6" hidden="false" customHeight="false" outlineLevel="0" collapsed="false">
      <c r="A510" s="79" t="n">
        <f aca="false">IF(E510="","",ROW()-6)</f>
        <v>504</v>
      </c>
      <c r="B510" s="80" t="s">
        <v>110</v>
      </c>
      <c r="C510" s="81"/>
      <c r="D510" s="81"/>
      <c r="E510" s="81" t="s">
        <v>614</v>
      </c>
      <c r="F510" s="82" t="str">
        <f aca="false">IF(E510="","",IF(LEFT(E510,2)="DJ","DJ","JN"))</f>
        <v>JN</v>
      </c>
      <c r="G510" s="81"/>
      <c r="H510" s="81"/>
      <c r="I510" s="81"/>
      <c r="J510" s="81"/>
      <c r="K510" s="81"/>
      <c r="L510" s="81"/>
      <c r="M510" s="81"/>
      <c r="N510" s="81"/>
      <c r="O510" s="81"/>
      <c r="P510" s="81"/>
      <c r="Q510" s="81"/>
      <c r="R510" s="81"/>
      <c r="S510" s="81"/>
      <c r="T510" s="81"/>
      <c r="U510" s="83"/>
      <c r="V510" s="83"/>
      <c r="W510" s="81"/>
      <c r="X510" s="81"/>
      <c r="Y510" s="83"/>
      <c r="Z510" s="81"/>
      <c r="AA510" s="81"/>
      <c r="AB510" s="81"/>
      <c r="AC510" s="81"/>
      <c r="AD510" s="81"/>
      <c r="AE510" s="83"/>
      <c r="AF510" s="81"/>
      <c r="AG510" s="81"/>
      <c r="AH510" s="81"/>
      <c r="AI510" s="81"/>
      <c r="AJ510" s="83"/>
      <c r="AK510" s="81"/>
      <c r="AL510" s="81"/>
      <c r="AM510" s="83"/>
      <c r="AN510" s="80"/>
      <c r="AO510" s="82" t="n">
        <f aca="false">IF(E510="","",(AA510&lt;&gt;"")+(AG510&lt;&gt;"")+(AL510&lt;&gt;""))</f>
        <v>0</v>
      </c>
      <c r="AP510" s="82" t="str">
        <f aca="false">IF(AL510&lt;&gt;"",AL510,IF(AG510&lt;&gt;"",AG510,IF(AA510&lt;&gt;"",AA510,"")))</f>
        <v/>
      </c>
      <c r="AQ510" s="84" t="str">
        <f aca="false">IF(E510="","",IF(U510="","À SOUDER",IF(X510="","VT EN ATTENTE",IF(X510="R","VT REJETÉ – À REPRENDRE",IF(AP510="","À RADIOGRAPHIER",IF(AP510="A","ACCEPTÉ",IF(AP510="NX","NX – RT À REFAIRE",IF(IF(AO510=1,AD510,IF(AO510=2,AI510,""))="A","RÉPARÉ – À RADIOGRAPHIER",IF(IF(AO510=1,AD510,IF(AO510=2,AI510,""))="R","VT REJETÉ – À REPRENDRE",IF(OR(AP510="CO",AP510="NT"),"COUPE – À RESOUDER","À RÉPARER"))))))))))</f>
        <v>À SOUDER</v>
      </c>
      <c r="AR510" s="82" t="str">
        <f aca="false">IF(AND(ISNUMBER(U510),OR(AQ510="À RADIOGRAPHIER",AQ510="RÉPARÉ – À RADIOGRAPHIER",AQ510="NX – RT À REFAIRE",AQ510="À RÉPARER",AQ510="COUPE – À RESOUDER",AQ510="VT REJETÉ – À REPRENDRE")),MAX(0,'PROGRAMME RT'!$C$4-U510),"")</f>
        <v/>
      </c>
      <c r="AS510" s="82" t="n">
        <f aca="false">IF(AND(OR(AQ510="À RADIOGRAPHIER",AQ510="RÉPARÉ – À RADIOGRAPHIER",AQ510="NX – RT À REFAIRE"),OR('PROGRAMME RT'!$D$5="TOUTES",B510='PROGRAMME RT'!$D$5)),1,0)</f>
        <v>0</v>
      </c>
      <c r="AT510" s="82" t="str">
        <f aca="false">IF(AS510=1,SUM(AS$7:AS510),"")</f>
        <v/>
      </c>
      <c r="AU510" s="82" t="n">
        <f aca="false">IF(AND(OR(AA510="R",AA510="NX",AA510="NT",AA510="CO"),OR('JOINTS DE RÉPARATION'!$D$5="TOUTES",B510='JOINTS DE RÉPARATION'!$D$5),OR('JOINTS DE RÉPARATION'!$L$4="TOUS",AQ510&lt;&gt;"ACCEPTÉ")),1,0)</f>
        <v>0</v>
      </c>
      <c r="AV510" s="82" t="str">
        <f aca="false">IF(AU510=1,SUM(AU$7:AU510),"")</f>
        <v/>
      </c>
      <c r="AW510" s="82" t="str">
        <f aca="false">IF(E510="","",B510&amp;"|"&amp;E510)</f>
        <v>MFD-ISW → MFD-CPF|JN°504</v>
      </c>
    </row>
    <row r="511" customFormat="false" ht="74.6" hidden="false" customHeight="false" outlineLevel="0" collapsed="false">
      <c r="A511" s="79" t="n">
        <f aca="false">IF(E511="","",ROW()-6)</f>
        <v>505</v>
      </c>
      <c r="B511" s="80" t="s">
        <v>110</v>
      </c>
      <c r="C511" s="81"/>
      <c r="D511" s="81"/>
      <c r="E511" s="81" t="s">
        <v>615</v>
      </c>
      <c r="F511" s="82" t="str">
        <f aca="false">IF(E511="","",IF(LEFT(E511,2)="DJ","DJ","JN"))</f>
        <v>JN</v>
      </c>
      <c r="G511" s="81"/>
      <c r="H511" s="81"/>
      <c r="I511" s="81"/>
      <c r="J511" s="81"/>
      <c r="K511" s="81"/>
      <c r="L511" s="81"/>
      <c r="M511" s="81"/>
      <c r="N511" s="81"/>
      <c r="O511" s="81"/>
      <c r="P511" s="81"/>
      <c r="Q511" s="81"/>
      <c r="R511" s="81"/>
      <c r="S511" s="81"/>
      <c r="T511" s="81"/>
      <c r="U511" s="83"/>
      <c r="V511" s="83"/>
      <c r="W511" s="81"/>
      <c r="X511" s="81"/>
      <c r="Y511" s="83"/>
      <c r="Z511" s="81"/>
      <c r="AA511" s="81"/>
      <c r="AB511" s="81"/>
      <c r="AC511" s="81"/>
      <c r="AD511" s="81"/>
      <c r="AE511" s="83"/>
      <c r="AF511" s="81"/>
      <c r="AG511" s="81"/>
      <c r="AH511" s="81"/>
      <c r="AI511" s="81"/>
      <c r="AJ511" s="83"/>
      <c r="AK511" s="81"/>
      <c r="AL511" s="81"/>
      <c r="AM511" s="83"/>
      <c r="AN511" s="80"/>
      <c r="AO511" s="82" t="n">
        <f aca="false">IF(E511="","",(AA511&lt;&gt;"")+(AG511&lt;&gt;"")+(AL511&lt;&gt;""))</f>
        <v>0</v>
      </c>
      <c r="AP511" s="82" t="str">
        <f aca="false">IF(AL511&lt;&gt;"",AL511,IF(AG511&lt;&gt;"",AG511,IF(AA511&lt;&gt;"",AA511,"")))</f>
        <v/>
      </c>
      <c r="AQ511" s="84" t="str">
        <f aca="false">IF(E511="","",IF(U511="","À SOUDER",IF(X511="","VT EN ATTENTE",IF(X511="R","VT REJETÉ – À REPRENDRE",IF(AP511="","À RADIOGRAPHIER",IF(AP511="A","ACCEPTÉ",IF(AP511="NX","NX – RT À REFAIRE",IF(IF(AO511=1,AD511,IF(AO511=2,AI511,""))="A","RÉPARÉ – À RADIOGRAPHIER",IF(IF(AO511=1,AD511,IF(AO511=2,AI511,""))="R","VT REJETÉ – À REPRENDRE",IF(OR(AP511="CO",AP511="NT"),"COUPE – À RESOUDER","À RÉPARER"))))))))))</f>
        <v>À SOUDER</v>
      </c>
      <c r="AR511" s="82" t="str">
        <f aca="false">IF(AND(ISNUMBER(U511),OR(AQ511="À RADIOGRAPHIER",AQ511="RÉPARÉ – À RADIOGRAPHIER",AQ511="NX – RT À REFAIRE",AQ511="À RÉPARER",AQ511="COUPE – À RESOUDER",AQ511="VT REJETÉ – À REPRENDRE")),MAX(0,'PROGRAMME RT'!$C$4-U511),"")</f>
        <v/>
      </c>
      <c r="AS511" s="82" t="n">
        <f aca="false">IF(AND(OR(AQ511="À RADIOGRAPHIER",AQ511="RÉPARÉ – À RADIOGRAPHIER",AQ511="NX – RT À REFAIRE"),OR('PROGRAMME RT'!$D$5="TOUTES",B511='PROGRAMME RT'!$D$5)),1,0)</f>
        <v>0</v>
      </c>
      <c r="AT511" s="82" t="str">
        <f aca="false">IF(AS511=1,SUM(AS$7:AS511),"")</f>
        <v/>
      </c>
      <c r="AU511" s="82" t="n">
        <f aca="false">IF(AND(OR(AA511="R",AA511="NX",AA511="NT",AA511="CO"),OR('JOINTS DE RÉPARATION'!$D$5="TOUTES",B511='JOINTS DE RÉPARATION'!$D$5),OR('JOINTS DE RÉPARATION'!$L$4="TOUS",AQ511&lt;&gt;"ACCEPTÉ")),1,0)</f>
        <v>0</v>
      </c>
      <c r="AV511" s="82" t="str">
        <f aca="false">IF(AU511=1,SUM(AU$7:AU511),"")</f>
        <v/>
      </c>
      <c r="AW511" s="82" t="str">
        <f aca="false">IF(E511="","",B511&amp;"|"&amp;E511)</f>
        <v>MFD-ISW → MFD-CPF|JN°505</v>
      </c>
    </row>
    <row r="512" customFormat="false" ht="74.6" hidden="false" customHeight="false" outlineLevel="0" collapsed="false">
      <c r="A512" s="79" t="n">
        <f aca="false">IF(E512="","",ROW()-6)</f>
        <v>506</v>
      </c>
      <c r="B512" s="80" t="s">
        <v>110</v>
      </c>
      <c r="C512" s="81"/>
      <c r="D512" s="81"/>
      <c r="E512" s="81" t="s">
        <v>616</v>
      </c>
      <c r="F512" s="82" t="str">
        <f aca="false">IF(E512="","",IF(LEFT(E512,2)="DJ","DJ","JN"))</f>
        <v>JN</v>
      </c>
      <c r="G512" s="81"/>
      <c r="H512" s="81"/>
      <c r="I512" s="81"/>
      <c r="J512" s="81"/>
      <c r="K512" s="81"/>
      <c r="L512" s="81"/>
      <c r="M512" s="81"/>
      <c r="N512" s="81"/>
      <c r="O512" s="81"/>
      <c r="P512" s="81"/>
      <c r="Q512" s="81"/>
      <c r="R512" s="81"/>
      <c r="S512" s="81"/>
      <c r="T512" s="81"/>
      <c r="U512" s="83"/>
      <c r="V512" s="83"/>
      <c r="W512" s="81"/>
      <c r="X512" s="81"/>
      <c r="Y512" s="83"/>
      <c r="Z512" s="81"/>
      <c r="AA512" s="81"/>
      <c r="AB512" s="81"/>
      <c r="AC512" s="81"/>
      <c r="AD512" s="81"/>
      <c r="AE512" s="83"/>
      <c r="AF512" s="81"/>
      <c r="AG512" s="81"/>
      <c r="AH512" s="81"/>
      <c r="AI512" s="81"/>
      <c r="AJ512" s="83"/>
      <c r="AK512" s="81"/>
      <c r="AL512" s="81"/>
      <c r="AM512" s="83"/>
      <c r="AN512" s="80"/>
      <c r="AO512" s="82" t="n">
        <f aca="false">IF(E512="","",(AA512&lt;&gt;"")+(AG512&lt;&gt;"")+(AL512&lt;&gt;""))</f>
        <v>0</v>
      </c>
      <c r="AP512" s="82" t="str">
        <f aca="false">IF(AL512&lt;&gt;"",AL512,IF(AG512&lt;&gt;"",AG512,IF(AA512&lt;&gt;"",AA512,"")))</f>
        <v/>
      </c>
      <c r="AQ512" s="84" t="str">
        <f aca="false">IF(E512="","",IF(U512="","À SOUDER",IF(X512="","VT EN ATTENTE",IF(X512="R","VT REJETÉ – À REPRENDRE",IF(AP512="","À RADIOGRAPHIER",IF(AP512="A","ACCEPTÉ",IF(AP512="NX","NX – RT À REFAIRE",IF(IF(AO512=1,AD512,IF(AO512=2,AI512,""))="A","RÉPARÉ – À RADIOGRAPHIER",IF(IF(AO512=1,AD512,IF(AO512=2,AI512,""))="R","VT REJETÉ – À REPRENDRE",IF(OR(AP512="CO",AP512="NT"),"COUPE – À RESOUDER","À RÉPARER"))))))))))</f>
        <v>À SOUDER</v>
      </c>
      <c r="AR512" s="82" t="str">
        <f aca="false">IF(AND(ISNUMBER(U512),OR(AQ512="À RADIOGRAPHIER",AQ512="RÉPARÉ – À RADIOGRAPHIER",AQ512="NX – RT À REFAIRE",AQ512="À RÉPARER",AQ512="COUPE – À RESOUDER",AQ512="VT REJETÉ – À REPRENDRE")),MAX(0,'PROGRAMME RT'!$C$4-U512),"")</f>
        <v/>
      </c>
      <c r="AS512" s="82" t="n">
        <f aca="false">IF(AND(OR(AQ512="À RADIOGRAPHIER",AQ512="RÉPARÉ – À RADIOGRAPHIER",AQ512="NX – RT À REFAIRE"),OR('PROGRAMME RT'!$D$5="TOUTES",B512='PROGRAMME RT'!$D$5)),1,0)</f>
        <v>0</v>
      </c>
      <c r="AT512" s="82" t="str">
        <f aca="false">IF(AS512=1,SUM(AS$7:AS512),"")</f>
        <v/>
      </c>
      <c r="AU512" s="82" t="n">
        <f aca="false">IF(AND(OR(AA512="R",AA512="NX",AA512="NT",AA512="CO"),OR('JOINTS DE RÉPARATION'!$D$5="TOUTES",B512='JOINTS DE RÉPARATION'!$D$5),OR('JOINTS DE RÉPARATION'!$L$4="TOUS",AQ512&lt;&gt;"ACCEPTÉ")),1,0)</f>
        <v>0</v>
      </c>
      <c r="AV512" s="82" t="str">
        <f aca="false">IF(AU512=1,SUM(AU$7:AU512),"")</f>
        <v/>
      </c>
      <c r="AW512" s="82" t="str">
        <f aca="false">IF(E512="","",B512&amp;"|"&amp;E512)</f>
        <v>MFD-ISW → MFD-CPF|JN°506</v>
      </c>
    </row>
    <row r="513" customFormat="false" ht="74.6" hidden="false" customHeight="false" outlineLevel="0" collapsed="false">
      <c r="A513" s="79" t="n">
        <f aca="false">IF(E513="","",ROW()-6)</f>
        <v>507</v>
      </c>
      <c r="B513" s="80" t="s">
        <v>110</v>
      </c>
      <c r="C513" s="81"/>
      <c r="D513" s="81"/>
      <c r="E513" s="81" t="s">
        <v>617</v>
      </c>
      <c r="F513" s="82" t="str">
        <f aca="false">IF(E513="","",IF(LEFT(E513,2)="DJ","DJ","JN"))</f>
        <v>JN</v>
      </c>
      <c r="G513" s="81"/>
      <c r="H513" s="81"/>
      <c r="I513" s="81"/>
      <c r="J513" s="81"/>
      <c r="K513" s="81"/>
      <c r="L513" s="81"/>
      <c r="M513" s="81"/>
      <c r="N513" s="81"/>
      <c r="O513" s="81"/>
      <c r="P513" s="81"/>
      <c r="Q513" s="81"/>
      <c r="R513" s="81"/>
      <c r="S513" s="81"/>
      <c r="T513" s="81"/>
      <c r="U513" s="83"/>
      <c r="V513" s="83"/>
      <c r="W513" s="81"/>
      <c r="X513" s="81"/>
      <c r="Y513" s="83"/>
      <c r="Z513" s="81"/>
      <c r="AA513" s="81"/>
      <c r="AB513" s="81"/>
      <c r="AC513" s="81"/>
      <c r="AD513" s="81"/>
      <c r="AE513" s="83"/>
      <c r="AF513" s="81"/>
      <c r="AG513" s="81"/>
      <c r="AH513" s="81"/>
      <c r="AI513" s="81"/>
      <c r="AJ513" s="83"/>
      <c r="AK513" s="81"/>
      <c r="AL513" s="81"/>
      <c r="AM513" s="83"/>
      <c r="AN513" s="80"/>
      <c r="AO513" s="82" t="n">
        <f aca="false">IF(E513="","",(AA513&lt;&gt;"")+(AG513&lt;&gt;"")+(AL513&lt;&gt;""))</f>
        <v>0</v>
      </c>
      <c r="AP513" s="82" t="str">
        <f aca="false">IF(AL513&lt;&gt;"",AL513,IF(AG513&lt;&gt;"",AG513,IF(AA513&lt;&gt;"",AA513,"")))</f>
        <v/>
      </c>
      <c r="AQ513" s="84" t="str">
        <f aca="false">IF(E513="","",IF(U513="","À SOUDER",IF(X513="","VT EN ATTENTE",IF(X513="R","VT REJETÉ – À REPRENDRE",IF(AP513="","À RADIOGRAPHIER",IF(AP513="A","ACCEPTÉ",IF(AP513="NX","NX – RT À REFAIRE",IF(IF(AO513=1,AD513,IF(AO513=2,AI513,""))="A","RÉPARÉ – À RADIOGRAPHIER",IF(IF(AO513=1,AD513,IF(AO513=2,AI513,""))="R","VT REJETÉ – À REPRENDRE",IF(OR(AP513="CO",AP513="NT"),"COUPE – À RESOUDER","À RÉPARER"))))))))))</f>
        <v>À SOUDER</v>
      </c>
      <c r="AR513" s="82" t="str">
        <f aca="false">IF(AND(ISNUMBER(U513),OR(AQ513="À RADIOGRAPHIER",AQ513="RÉPARÉ – À RADIOGRAPHIER",AQ513="NX – RT À REFAIRE",AQ513="À RÉPARER",AQ513="COUPE – À RESOUDER",AQ513="VT REJETÉ – À REPRENDRE")),MAX(0,'PROGRAMME RT'!$C$4-U513),"")</f>
        <v/>
      </c>
      <c r="AS513" s="82" t="n">
        <f aca="false">IF(AND(OR(AQ513="À RADIOGRAPHIER",AQ513="RÉPARÉ – À RADIOGRAPHIER",AQ513="NX – RT À REFAIRE"),OR('PROGRAMME RT'!$D$5="TOUTES",B513='PROGRAMME RT'!$D$5)),1,0)</f>
        <v>0</v>
      </c>
      <c r="AT513" s="82" t="str">
        <f aca="false">IF(AS513=1,SUM(AS$7:AS513),"")</f>
        <v/>
      </c>
      <c r="AU513" s="82" t="n">
        <f aca="false">IF(AND(OR(AA513="R",AA513="NX",AA513="NT",AA513="CO"),OR('JOINTS DE RÉPARATION'!$D$5="TOUTES",B513='JOINTS DE RÉPARATION'!$D$5),OR('JOINTS DE RÉPARATION'!$L$4="TOUS",AQ513&lt;&gt;"ACCEPTÉ")),1,0)</f>
        <v>0</v>
      </c>
      <c r="AV513" s="82" t="str">
        <f aca="false">IF(AU513=1,SUM(AU$7:AU513),"")</f>
        <v/>
      </c>
      <c r="AW513" s="82" t="str">
        <f aca="false">IF(E513="","",B513&amp;"|"&amp;E513)</f>
        <v>MFD-ISW → MFD-CPF|JN°507</v>
      </c>
    </row>
    <row r="514" customFormat="false" ht="74.6" hidden="false" customHeight="false" outlineLevel="0" collapsed="false">
      <c r="A514" s="79" t="n">
        <f aca="false">IF(E514="","",ROW()-6)</f>
        <v>508</v>
      </c>
      <c r="B514" s="80" t="s">
        <v>110</v>
      </c>
      <c r="C514" s="81"/>
      <c r="D514" s="81"/>
      <c r="E514" s="81" t="s">
        <v>618</v>
      </c>
      <c r="F514" s="82" t="str">
        <f aca="false">IF(E514="","",IF(LEFT(E514,2)="DJ","DJ","JN"))</f>
        <v>JN</v>
      </c>
      <c r="G514" s="81"/>
      <c r="H514" s="81"/>
      <c r="I514" s="81"/>
      <c r="J514" s="81"/>
      <c r="K514" s="81"/>
      <c r="L514" s="81"/>
      <c r="M514" s="81"/>
      <c r="N514" s="81"/>
      <c r="O514" s="81"/>
      <c r="P514" s="81"/>
      <c r="Q514" s="81"/>
      <c r="R514" s="81"/>
      <c r="S514" s="81"/>
      <c r="T514" s="81"/>
      <c r="U514" s="83"/>
      <c r="V514" s="83"/>
      <c r="W514" s="81"/>
      <c r="X514" s="81"/>
      <c r="Y514" s="83"/>
      <c r="Z514" s="81"/>
      <c r="AA514" s="81"/>
      <c r="AB514" s="81"/>
      <c r="AC514" s="81"/>
      <c r="AD514" s="81"/>
      <c r="AE514" s="83"/>
      <c r="AF514" s="81"/>
      <c r="AG514" s="81"/>
      <c r="AH514" s="81"/>
      <c r="AI514" s="81"/>
      <c r="AJ514" s="83"/>
      <c r="AK514" s="81"/>
      <c r="AL514" s="81"/>
      <c r="AM514" s="83"/>
      <c r="AN514" s="80"/>
      <c r="AO514" s="82" t="n">
        <f aca="false">IF(E514="","",(AA514&lt;&gt;"")+(AG514&lt;&gt;"")+(AL514&lt;&gt;""))</f>
        <v>0</v>
      </c>
      <c r="AP514" s="82" t="str">
        <f aca="false">IF(AL514&lt;&gt;"",AL514,IF(AG514&lt;&gt;"",AG514,IF(AA514&lt;&gt;"",AA514,"")))</f>
        <v/>
      </c>
      <c r="AQ514" s="84" t="str">
        <f aca="false">IF(E514="","",IF(U514="","À SOUDER",IF(X514="","VT EN ATTENTE",IF(X514="R","VT REJETÉ – À REPRENDRE",IF(AP514="","À RADIOGRAPHIER",IF(AP514="A","ACCEPTÉ",IF(AP514="NX","NX – RT À REFAIRE",IF(IF(AO514=1,AD514,IF(AO514=2,AI514,""))="A","RÉPARÉ – À RADIOGRAPHIER",IF(IF(AO514=1,AD514,IF(AO514=2,AI514,""))="R","VT REJETÉ – À REPRENDRE",IF(OR(AP514="CO",AP514="NT"),"COUPE – À RESOUDER","À RÉPARER"))))))))))</f>
        <v>À SOUDER</v>
      </c>
      <c r="AR514" s="82" t="str">
        <f aca="false">IF(AND(ISNUMBER(U514),OR(AQ514="À RADIOGRAPHIER",AQ514="RÉPARÉ – À RADIOGRAPHIER",AQ514="NX – RT À REFAIRE",AQ514="À RÉPARER",AQ514="COUPE – À RESOUDER",AQ514="VT REJETÉ – À REPRENDRE")),MAX(0,'PROGRAMME RT'!$C$4-U514),"")</f>
        <v/>
      </c>
      <c r="AS514" s="82" t="n">
        <f aca="false">IF(AND(OR(AQ514="À RADIOGRAPHIER",AQ514="RÉPARÉ – À RADIOGRAPHIER",AQ514="NX – RT À REFAIRE"),OR('PROGRAMME RT'!$D$5="TOUTES",B514='PROGRAMME RT'!$D$5)),1,0)</f>
        <v>0</v>
      </c>
      <c r="AT514" s="82" t="str">
        <f aca="false">IF(AS514=1,SUM(AS$7:AS514),"")</f>
        <v/>
      </c>
      <c r="AU514" s="82" t="n">
        <f aca="false">IF(AND(OR(AA514="R",AA514="NX",AA514="NT",AA514="CO"),OR('JOINTS DE RÉPARATION'!$D$5="TOUTES",B514='JOINTS DE RÉPARATION'!$D$5),OR('JOINTS DE RÉPARATION'!$L$4="TOUS",AQ514&lt;&gt;"ACCEPTÉ")),1,0)</f>
        <v>0</v>
      </c>
      <c r="AV514" s="82" t="str">
        <f aca="false">IF(AU514=1,SUM(AU$7:AU514),"")</f>
        <v/>
      </c>
      <c r="AW514" s="82" t="str">
        <f aca="false">IF(E514="","",B514&amp;"|"&amp;E514)</f>
        <v>MFD-ISW → MFD-CPF|JN°508</v>
      </c>
    </row>
    <row r="515" customFormat="false" ht="74.6" hidden="false" customHeight="false" outlineLevel="0" collapsed="false">
      <c r="A515" s="79" t="n">
        <f aca="false">IF(E515="","",ROW()-6)</f>
        <v>509</v>
      </c>
      <c r="B515" s="80" t="s">
        <v>110</v>
      </c>
      <c r="C515" s="81"/>
      <c r="D515" s="81"/>
      <c r="E515" s="81" t="s">
        <v>619</v>
      </c>
      <c r="F515" s="82" t="str">
        <f aca="false">IF(E515="","",IF(LEFT(E515,2)="DJ","DJ","JN"))</f>
        <v>JN</v>
      </c>
      <c r="G515" s="81"/>
      <c r="H515" s="81"/>
      <c r="I515" s="81"/>
      <c r="J515" s="81"/>
      <c r="K515" s="81"/>
      <c r="L515" s="81"/>
      <c r="M515" s="81"/>
      <c r="N515" s="81"/>
      <c r="O515" s="81"/>
      <c r="P515" s="81"/>
      <c r="Q515" s="81"/>
      <c r="R515" s="81"/>
      <c r="S515" s="81"/>
      <c r="T515" s="81"/>
      <c r="U515" s="83"/>
      <c r="V515" s="83"/>
      <c r="W515" s="81"/>
      <c r="X515" s="81"/>
      <c r="Y515" s="83"/>
      <c r="Z515" s="81"/>
      <c r="AA515" s="81"/>
      <c r="AB515" s="81"/>
      <c r="AC515" s="81"/>
      <c r="AD515" s="81"/>
      <c r="AE515" s="83"/>
      <c r="AF515" s="81"/>
      <c r="AG515" s="81"/>
      <c r="AH515" s="81"/>
      <c r="AI515" s="81"/>
      <c r="AJ515" s="83"/>
      <c r="AK515" s="81"/>
      <c r="AL515" s="81"/>
      <c r="AM515" s="83"/>
      <c r="AN515" s="80"/>
      <c r="AO515" s="82" t="n">
        <f aca="false">IF(E515="","",(AA515&lt;&gt;"")+(AG515&lt;&gt;"")+(AL515&lt;&gt;""))</f>
        <v>0</v>
      </c>
      <c r="AP515" s="82" t="str">
        <f aca="false">IF(AL515&lt;&gt;"",AL515,IF(AG515&lt;&gt;"",AG515,IF(AA515&lt;&gt;"",AA515,"")))</f>
        <v/>
      </c>
      <c r="AQ515" s="84" t="str">
        <f aca="false">IF(E515="","",IF(U515="","À SOUDER",IF(X515="","VT EN ATTENTE",IF(X515="R","VT REJETÉ – À REPRENDRE",IF(AP515="","À RADIOGRAPHIER",IF(AP515="A","ACCEPTÉ",IF(AP515="NX","NX – RT À REFAIRE",IF(IF(AO515=1,AD515,IF(AO515=2,AI515,""))="A","RÉPARÉ – À RADIOGRAPHIER",IF(IF(AO515=1,AD515,IF(AO515=2,AI515,""))="R","VT REJETÉ – À REPRENDRE",IF(OR(AP515="CO",AP515="NT"),"COUPE – À RESOUDER","À RÉPARER"))))))))))</f>
        <v>À SOUDER</v>
      </c>
      <c r="AR515" s="82" t="str">
        <f aca="false">IF(AND(ISNUMBER(U515),OR(AQ515="À RADIOGRAPHIER",AQ515="RÉPARÉ – À RADIOGRAPHIER",AQ515="NX – RT À REFAIRE",AQ515="À RÉPARER",AQ515="COUPE – À RESOUDER",AQ515="VT REJETÉ – À REPRENDRE")),MAX(0,'PROGRAMME RT'!$C$4-U515),"")</f>
        <v/>
      </c>
      <c r="AS515" s="82" t="n">
        <f aca="false">IF(AND(OR(AQ515="À RADIOGRAPHIER",AQ515="RÉPARÉ – À RADIOGRAPHIER",AQ515="NX – RT À REFAIRE"),OR('PROGRAMME RT'!$D$5="TOUTES",B515='PROGRAMME RT'!$D$5)),1,0)</f>
        <v>0</v>
      </c>
      <c r="AT515" s="82" t="str">
        <f aca="false">IF(AS515=1,SUM(AS$7:AS515),"")</f>
        <v/>
      </c>
      <c r="AU515" s="82" t="n">
        <f aca="false">IF(AND(OR(AA515="R",AA515="NX",AA515="NT",AA515="CO"),OR('JOINTS DE RÉPARATION'!$D$5="TOUTES",B515='JOINTS DE RÉPARATION'!$D$5),OR('JOINTS DE RÉPARATION'!$L$4="TOUS",AQ515&lt;&gt;"ACCEPTÉ")),1,0)</f>
        <v>0</v>
      </c>
      <c r="AV515" s="82" t="str">
        <f aca="false">IF(AU515=1,SUM(AU$7:AU515),"")</f>
        <v/>
      </c>
      <c r="AW515" s="82" t="str">
        <f aca="false">IF(E515="","",B515&amp;"|"&amp;E515)</f>
        <v>MFD-ISW → MFD-CPF|JN°509</v>
      </c>
    </row>
    <row r="516" customFormat="false" ht="74.6" hidden="false" customHeight="false" outlineLevel="0" collapsed="false">
      <c r="A516" s="79" t="n">
        <f aca="false">IF(E516="","",ROW()-6)</f>
        <v>510</v>
      </c>
      <c r="B516" s="80" t="s">
        <v>110</v>
      </c>
      <c r="C516" s="81"/>
      <c r="D516" s="81"/>
      <c r="E516" s="81" t="s">
        <v>620</v>
      </c>
      <c r="F516" s="82" t="str">
        <f aca="false">IF(E516="","",IF(LEFT(E516,2)="DJ","DJ","JN"))</f>
        <v>JN</v>
      </c>
      <c r="G516" s="81"/>
      <c r="H516" s="81"/>
      <c r="I516" s="81"/>
      <c r="J516" s="81"/>
      <c r="K516" s="81"/>
      <c r="L516" s="81"/>
      <c r="M516" s="81"/>
      <c r="N516" s="81"/>
      <c r="O516" s="81"/>
      <c r="P516" s="81"/>
      <c r="Q516" s="81"/>
      <c r="R516" s="81"/>
      <c r="S516" s="81"/>
      <c r="T516" s="81"/>
      <c r="U516" s="83"/>
      <c r="V516" s="83"/>
      <c r="W516" s="81"/>
      <c r="X516" s="81"/>
      <c r="Y516" s="83"/>
      <c r="Z516" s="81"/>
      <c r="AA516" s="81"/>
      <c r="AB516" s="81"/>
      <c r="AC516" s="81"/>
      <c r="AD516" s="81"/>
      <c r="AE516" s="83"/>
      <c r="AF516" s="81"/>
      <c r="AG516" s="81"/>
      <c r="AH516" s="81"/>
      <c r="AI516" s="81"/>
      <c r="AJ516" s="83"/>
      <c r="AK516" s="81"/>
      <c r="AL516" s="81"/>
      <c r="AM516" s="83"/>
      <c r="AN516" s="80"/>
      <c r="AO516" s="82" t="n">
        <f aca="false">IF(E516="","",(AA516&lt;&gt;"")+(AG516&lt;&gt;"")+(AL516&lt;&gt;""))</f>
        <v>0</v>
      </c>
      <c r="AP516" s="82" t="str">
        <f aca="false">IF(AL516&lt;&gt;"",AL516,IF(AG516&lt;&gt;"",AG516,IF(AA516&lt;&gt;"",AA516,"")))</f>
        <v/>
      </c>
      <c r="AQ516" s="84" t="str">
        <f aca="false">IF(E516="","",IF(U516="","À SOUDER",IF(X516="","VT EN ATTENTE",IF(X516="R","VT REJETÉ – À REPRENDRE",IF(AP516="","À RADIOGRAPHIER",IF(AP516="A","ACCEPTÉ",IF(AP516="NX","NX – RT À REFAIRE",IF(IF(AO516=1,AD516,IF(AO516=2,AI516,""))="A","RÉPARÉ – À RADIOGRAPHIER",IF(IF(AO516=1,AD516,IF(AO516=2,AI516,""))="R","VT REJETÉ – À REPRENDRE",IF(OR(AP516="CO",AP516="NT"),"COUPE – À RESOUDER","À RÉPARER"))))))))))</f>
        <v>À SOUDER</v>
      </c>
      <c r="AR516" s="82" t="str">
        <f aca="false">IF(AND(ISNUMBER(U516),OR(AQ516="À RADIOGRAPHIER",AQ516="RÉPARÉ – À RADIOGRAPHIER",AQ516="NX – RT À REFAIRE",AQ516="À RÉPARER",AQ516="COUPE – À RESOUDER",AQ516="VT REJETÉ – À REPRENDRE")),MAX(0,'PROGRAMME RT'!$C$4-U516),"")</f>
        <v/>
      </c>
      <c r="AS516" s="82" t="n">
        <f aca="false">IF(AND(OR(AQ516="À RADIOGRAPHIER",AQ516="RÉPARÉ – À RADIOGRAPHIER",AQ516="NX – RT À REFAIRE"),OR('PROGRAMME RT'!$D$5="TOUTES",B516='PROGRAMME RT'!$D$5)),1,0)</f>
        <v>0</v>
      </c>
      <c r="AT516" s="82" t="str">
        <f aca="false">IF(AS516=1,SUM(AS$7:AS516),"")</f>
        <v/>
      </c>
      <c r="AU516" s="82" t="n">
        <f aca="false">IF(AND(OR(AA516="R",AA516="NX",AA516="NT",AA516="CO"),OR('JOINTS DE RÉPARATION'!$D$5="TOUTES",B516='JOINTS DE RÉPARATION'!$D$5),OR('JOINTS DE RÉPARATION'!$L$4="TOUS",AQ516&lt;&gt;"ACCEPTÉ")),1,0)</f>
        <v>0</v>
      </c>
      <c r="AV516" s="82" t="str">
        <f aca="false">IF(AU516=1,SUM(AU$7:AU516),"")</f>
        <v/>
      </c>
      <c r="AW516" s="82" t="str">
        <f aca="false">IF(E516="","",B516&amp;"|"&amp;E516)</f>
        <v>MFD-ISW → MFD-CPF|JN°510</v>
      </c>
    </row>
    <row r="517" customFormat="false" ht="74.6" hidden="false" customHeight="false" outlineLevel="0" collapsed="false">
      <c r="A517" s="79" t="n">
        <f aca="false">IF(E517="","",ROW()-6)</f>
        <v>511</v>
      </c>
      <c r="B517" s="80" t="s">
        <v>110</v>
      </c>
      <c r="C517" s="81"/>
      <c r="D517" s="81"/>
      <c r="E517" s="81" t="s">
        <v>621</v>
      </c>
      <c r="F517" s="82" t="str">
        <f aca="false">IF(E517="","",IF(LEFT(E517,2)="DJ","DJ","JN"))</f>
        <v>JN</v>
      </c>
      <c r="G517" s="81"/>
      <c r="H517" s="81"/>
      <c r="I517" s="81"/>
      <c r="J517" s="81"/>
      <c r="K517" s="81"/>
      <c r="L517" s="81"/>
      <c r="M517" s="81"/>
      <c r="N517" s="81"/>
      <c r="O517" s="81"/>
      <c r="P517" s="81"/>
      <c r="Q517" s="81"/>
      <c r="R517" s="81"/>
      <c r="S517" s="81"/>
      <c r="T517" s="81"/>
      <c r="U517" s="83"/>
      <c r="V517" s="83"/>
      <c r="W517" s="81"/>
      <c r="X517" s="81"/>
      <c r="Y517" s="83"/>
      <c r="Z517" s="81"/>
      <c r="AA517" s="81"/>
      <c r="AB517" s="81"/>
      <c r="AC517" s="81"/>
      <c r="AD517" s="81"/>
      <c r="AE517" s="83"/>
      <c r="AF517" s="81"/>
      <c r="AG517" s="81"/>
      <c r="AH517" s="81"/>
      <c r="AI517" s="81"/>
      <c r="AJ517" s="83"/>
      <c r="AK517" s="81"/>
      <c r="AL517" s="81"/>
      <c r="AM517" s="83"/>
      <c r="AN517" s="80"/>
      <c r="AO517" s="82" t="n">
        <f aca="false">IF(E517="","",(AA517&lt;&gt;"")+(AG517&lt;&gt;"")+(AL517&lt;&gt;""))</f>
        <v>0</v>
      </c>
      <c r="AP517" s="82" t="str">
        <f aca="false">IF(AL517&lt;&gt;"",AL517,IF(AG517&lt;&gt;"",AG517,IF(AA517&lt;&gt;"",AA517,"")))</f>
        <v/>
      </c>
      <c r="AQ517" s="84" t="str">
        <f aca="false">IF(E517="","",IF(U517="","À SOUDER",IF(X517="","VT EN ATTENTE",IF(X517="R","VT REJETÉ – À REPRENDRE",IF(AP517="","À RADIOGRAPHIER",IF(AP517="A","ACCEPTÉ",IF(AP517="NX","NX – RT À REFAIRE",IF(IF(AO517=1,AD517,IF(AO517=2,AI517,""))="A","RÉPARÉ – À RADIOGRAPHIER",IF(IF(AO517=1,AD517,IF(AO517=2,AI517,""))="R","VT REJETÉ – À REPRENDRE",IF(OR(AP517="CO",AP517="NT"),"COUPE – À RESOUDER","À RÉPARER"))))))))))</f>
        <v>À SOUDER</v>
      </c>
      <c r="AR517" s="82" t="str">
        <f aca="false">IF(AND(ISNUMBER(U517),OR(AQ517="À RADIOGRAPHIER",AQ517="RÉPARÉ – À RADIOGRAPHIER",AQ517="NX – RT À REFAIRE",AQ517="À RÉPARER",AQ517="COUPE – À RESOUDER",AQ517="VT REJETÉ – À REPRENDRE")),MAX(0,'PROGRAMME RT'!$C$4-U517),"")</f>
        <v/>
      </c>
      <c r="AS517" s="82" t="n">
        <f aca="false">IF(AND(OR(AQ517="À RADIOGRAPHIER",AQ517="RÉPARÉ – À RADIOGRAPHIER",AQ517="NX – RT À REFAIRE"),OR('PROGRAMME RT'!$D$5="TOUTES",B517='PROGRAMME RT'!$D$5)),1,0)</f>
        <v>0</v>
      </c>
      <c r="AT517" s="82" t="str">
        <f aca="false">IF(AS517=1,SUM(AS$7:AS517),"")</f>
        <v/>
      </c>
      <c r="AU517" s="82" t="n">
        <f aca="false">IF(AND(OR(AA517="R",AA517="NX",AA517="NT",AA517="CO"),OR('JOINTS DE RÉPARATION'!$D$5="TOUTES",B517='JOINTS DE RÉPARATION'!$D$5),OR('JOINTS DE RÉPARATION'!$L$4="TOUS",AQ517&lt;&gt;"ACCEPTÉ")),1,0)</f>
        <v>0</v>
      </c>
      <c r="AV517" s="82" t="str">
        <f aca="false">IF(AU517=1,SUM(AU$7:AU517),"")</f>
        <v/>
      </c>
      <c r="AW517" s="82" t="str">
        <f aca="false">IF(E517="","",B517&amp;"|"&amp;E517)</f>
        <v>MFD-ISW → MFD-CPF|JN°511</v>
      </c>
    </row>
    <row r="518" customFormat="false" ht="74.6" hidden="false" customHeight="false" outlineLevel="0" collapsed="false">
      <c r="A518" s="79" t="n">
        <f aca="false">IF(E518="","",ROW()-6)</f>
        <v>512</v>
      </c>
      <c r="B518" s="80" t="s">
        <v>110</v>
      </c>
      <c r="C518" s="81"/>
      <c r="D518" s="81"/>
      <c r="E518" s="81" t="s">
        <v>622</v>
      </c>
      <c r="F518" s="82" t="str">
        <f aca="false">IF(E518="","",IF(LEFT(E518,2)="DJ","DJ","JN"))</f>
        <v>JN</v>
      </c>
      <c r="G518" s="81"/>
      <c r="H518" s="81"/>
      <c r="I518" s="81"/>
      <c r="J518" s="81"/>
      <c r="K518" s="81"/>
      <c r="L518" s="81"/>
      <c r="M518" s="81"/>
      <c r="N518" s="81"/>
      <c r="O518" s="81"/>
      <c r="P518" s="81"/>
      <c r="Q518" s="81"/>
      <c r="R518" s="81"/>
      <c r="S518" s="81"/>
      <c r="T518" s="81"/>
      <c r="U518" s="83"/>
      <c r="V518" s="83"/>
      <c r="W518" s="81"/>
      <c r="X518" s="81"/>
      <c r="Y518" s="83"/>
      <c r="Z518" s="81"/>
      <c r="AA518" s="81"/>
      <c r="AB518" s="81"/>
      <c r="AC518" s="81"/>
      <c r="AD518" s="81"/>
      <c r="AE518" s="83"/>
      <c r="AF518" s="81"/>
      <c r="AG518" s="81"/>
      <c r="AH518" s="81"/>
      <c r="AI518" s="81"/>
      <c r="AJ518" s="83"/>
      <c r="AK518" s="81"/>
      <c r="AL518" s="81"/>
      <c r="AM518" s="83"/>
      <c r="AN518" s="80"/>
      <c r="AO518" s="82" t="n">
        <f aca="false">IF(E518="","",(AA518&lt;&gt;"")+(AG518&lt;&gt;"")+(AL518&lt;&gt;""))</f>
        <v>0</v>
      </c>
      <c r="AP518" s="82" t="str">
        <f aca="false">IF(AL518&lt;&gt;"",AL518,IF(AG518&lt;&gt;"",AG518,IF(AA518&lt;&gt;"",AA518,"")))</f>
        <v/>
      </c>
      <c r="AQ518" s="84" t="str">
        <f aca="false">IF(E518="","",IF(U518="","À SOUDER",IF(X518="","VT EN ATTENTE",IF(X518="R","VT REJETÉ – À REPRENDRE",IF(AP518="","À RADIOGRAPHIER",IF(AP518="A","ACCEPTÉ",IF(AP518="NX","NX – RT À REFAIRE",IF(IF(AO518=1,AD518,IF(AO518=2,AI518,""))="A","RÉPARÉ – À RADIOGRAPHIER",IF(IF(AO518=1,AD518,IF(AO518=2,AI518,""))="R","VT REJETÉ – À REPRENDRE",IF(OR(AP518="CO",AP518="NT"),"COUPE – À RESOUDER","À RÉPARER"))))))))))</f>
        <v>À SOUDER</v>
      </c>
      <c r="AR518" s="82" t="str">
        <f aca="false">IF(AND(ISNUMBER(U518),OR(AQ518="À RADIOGRAPHIER",AQ518="RÉPARÉ – À RADIOGRAPHIER",AQ518="NX – RT À REFAIRE",AQ518="À RÉPARER",AQ518="COUPE – À RESOUDER",AQ518="VT REJETÉ – À REPRENDRE")),MAX(0,'PROGRAMME RT'!$C$4-U518),"")</f>
        <v/>
      </c>
      <c r="AS518" s="82" t="n">
        <f aca="false">IF(AND(OR(AQ518="À RADIOGRAPHIER",AQ518="RÉPARÉ – À RADIOGRAPHIER",AQ518="NX – RT À REFAIRE"),OR('PROGRAMME RT'!$D$5="TOUTES",B518='PROGRAMME RT'!$D$5)),1,0)</f>
        <v>0</v>
      </c>
      <c r="AT518" s="82" t="str">
        <f aca="false">IF(AS518=1,SUM(AS$7:AS518),"")</f>
        <v/>
      </c>
      <c r="AU518" s="82" t="n">
        <f aca="false">IF(AND(OR(AA518="R",AA518="NX",AA518="NT",AA518="CO"),OR('JOINTS DE RÉPARATION'!$D$5="TOUTES",B518='JOINTS DE RÉPARATION'!$D$5),OR('JOINTS DE RÉPARATION'!$L$4="TOUS",AQ518&lt;&gt;"ACCEPTÉ")),1,0)</f>
        <v>0</v>
      </c>
      <c r="AV518" s="82" t="str">
        <f aca="false">IF(AU518=1,SUM(AU$7:AU518),"")</f>
        <v/>
      </c>
      <c r="AW518" s="82" t="str">
        <f aca="false">IF(E518="","",B518&amp;"|"&amp;E518)</f>
        <v>MFD-ISW → MFD-CPF|JN°512</v>
      </c>
    </row>
    <row r="519" customFormat="false" ht="74.6" hidden="false" customHeight="false" outlineLevel="0" collapsed="false">
      <c r="A519" s="79" t="n">
        <f aca="false">IF(E519="","",ROW()-6)</f>
        <v>513</v>
      </c>
      <c r="B519" s="80" t="s">
        <v>110</v>
      </c>
      <c r="C519" s="81"/>
      <c r="D519" s="81"/>
      <c r="E519" s="81" t="s">
        <v>623</v>
      </c>
      <c r="F519" s="82" t="str">
        <f aca="false">IF(E519="","",IF(LEFT(E519,2)="DJ","DJ","JN"))</f>
        <v>JN</v>
      </c>
      <c r="G519" s="81"/>
      <c r="H519" s="81"/>
      <c r="I519" s="81"/>
      <c r="J519" s="81"/>
      <c r="K519" s="81"/>
      <c r="L519" s="81"/>
      <c r="M519" s="81"/>
      <c r="N519" s="81"/>
      <c r="O519" s="81"/>
      <c r="P519" s="81"/>
      <c r="Q519" s="81"/>
      <c r="R519" s="81"/>
      <c r="S519" s="81"/>
      <c r="T519" s="81"/>
      <c r="U519" s="83"/>
      <c r="V519" s="83"/>
      <c r="W519" s="81"/>
      <c r="X519" s="81"/>
      <c r="Y519" s="83"/>
      <c r="Z519" s="81"/>
      <c r="AA519" s="81"/>
      <c r="AB519" s="81"/>
      <c r="AC519" s="81"/>
      <c r="AD519" s="81"/>
      <c r="AE519" s="83"/>
      <c r="AF519" s="81"/>
      <c r="AG519" s="81"/>
      <c r="AH519" s="81"/>
      <c r="AI519" s="81"/>
      <c r="AJ519" s="83"/>
      <c r="AK519" s="81"/>
      <c r="AL519" s="81"/>
      <c r="AM519" s="83"/>
      <c r="AN519" s="80"/>
      <c r="AO519" s="82" t="n">
        <f aca="false">IF(E519="","",(AA519&lt;&gt;"")+(AG519&lt;&gt;"")+(AL519&lt;&gt;""))</f>
        <v>0</v>
      </c>
      <c r="AP519" s="82" t="str">
        <f aca="false">IF(AL519&lt;&gt;"",AL519,IF(AG519&lt;&gt;"",AG519,IF(AA519&lt;&gt;"",AA519,"")))</f>
        <v/>
      </c>
      <c r="AQ519" s="84" t="str">
        <f aca="false">IF(E519="","",IF(U519="","À SOUDER",IF(X519="","VT EN ATTENTE",IF(X519="R","VT REJETÉ – À REPRENDRE",IF(AP519="","À RADIOGRAPHIER",IF(AP519="A","ACCEPTÉ",IF(AP519="NX","NX – RT À REFAIRE",IF(IF(AO519=1,AD519,IF(AO519=2,AI519,""))="A","RÉPARÉ – À RADIOGRAPHIER",IF(IF(AO519=1,AD519,IF(AO519=2,AI519,""))="R","VT REJETÉ – À REPRENDRE",IF(OR(AP519="CO",AP519="NT"),"COUPE – À RESOUDER","À RÉPARER"))))))))))</f>
        <v>À SOUDER</v>
      </c>
      <c r="AR519" s="82" t="str">
        <f aca="false">IF(AND(ISNUMBER(U519),OR(AQ519="À RADIOGRAPHIER",AQ519="RÉPARÉ – À RADIOGRAPHIER",AQ519="NX – RT À REFAIRE",AQ519="À RÉPARER",AQ519="COUPE – À RESOUDER",AQ519="VT REJETÉ – À REPRENDRE")),MAX(0,'PROGRAMME RT'!$C$4-U519),"")</f>
        <v/>
      </c>
      <c r="AS519" s="82" t="n">
        <f aca="false">IF(AND(OR(AQ519="À RADIOGRAPHIER",AQ519="RÉPARÉ – À RADIOGRAPHIER",AQ519="NX – RT À REFAIRE"),OR('PROGRAMME RT'!$D$5="TOUTES",B519='PROGRAMME RT'!$D$5)),1,0)</f>
        <v>0</v>
      </c>
      <c r="AT519" s="82" t="str">
        <f aca="false">IF(AS519=1,SUM(AS$7:AS519),"")</f>
        <v/>
      </c>
      <c r="AU519" s="82" t="n">
        <f aca="false">IF(AND(OR(AA519="R",AA519="NX",AA519="NT",AA519="CO"),OR('JOINTS DE RÉPARATION'!$D$5="TOUTES",B519='JOINTS DE RÉPARATION'!$D$5),OR('JOINTS DE RÉPARATION'!$L$4="TOUS",AQ519&lt;&gt;"ACCEPTÉ")),1,0)</f>
        <v>0</v>
      </c>
      <c r="AV519" s="82" t="str">
        <f aca="false">IF(AU519=1,SUM(AU$7:AU519),"")</f>
        <v/>
      </c>
      <c r="AW519" s="82" t="str">
        <f aca="false">IF(E519="","",B519&amp;"|"&amp;E519)</f>
        <v>MFD-ISW → MFD-CPF|JN°513</v>
      </c>
    </row>
    <row r="520" customFormat="false" ht="74.6" hidden="false" customHeight="false" outlineLevel="0" collapsed="false">
      <c r="A520" s="79" t="n">
        <f aca="false">IF(E520="","",ROW()-6)</f>
        <v>514</v>
      </c>
      <c r="B520" s="80" t="s">
        <v>110</v>
      </c>
      <c r="C520" s="81"/>
      <c r="D520" s="81"/>
      <c r="E520" s="81" t="s">
        <v>624</v>
      </c>
      <c r="F520" s="82" t="str">
        <f aca="false">IF(E520="","",IF(LEFT(E520,2)="DJ","DJ","JN"))</f>
        <v>JN</v>
      </c>
      <c r="G520" s="81"/>
      <c r="H520" s="81"/>
      <c r="I520" s="81"/>
      <c r="J520" s="81"/>
      <c r="K520" s="81"/>
      <c r="L520" s="81"/>
      <c r="M520" s="81"/>
      <c r="N520" s="81"/>
      <c r="O520" s="81"/>
      <c r="P520" s="81"/>
      <c r="Q520" s="81"/>
      <c r="R520" s="81"/>
      <c r="S520" s="81"/>
      <c r="T520" s="81"/>
      <c r="U520" s="83"/>
      <c r="V520" s="83"/>
      <c r="W520" s="81"/>
      <c r="X520" s="81"/>
      <c r="Y520" s="83"/>
      <c r="Z520" s="81"/>
      <c r="AA520" s="81"/>
      <c r="AB520" s="81"/>
      <c r="AC520" s="81"/>
      <c r="AD520" s="81"/>
      <c r="AE520" s="83"/>
      <c r="AF520" s="81"/>
      <c r="AG520" s="81"/>
      <c r="AH520" s="81"/>
      <c r="AI520" s="81"/>
      <c r="AJ520" s="83"/>
      <c r="AK520" s="81"/>
      <c r="AL520" s="81"/>
      <c r="AM520" s="83"/>
      <c r="AN520" s="80"/>
      <c r="AO520" s="82" t="n">
        <f aca="false">IF(E520="","",(AA520&lt;&gt;"")+(AG520&lt;&gt;"")+(AL520&lt;&gt;""))</f>
        <v>0</v>
      </c>
      <c r="AP520" s="82" t="str">
        <f aca="false">IF(AL520&lt;&gt;"",AL520,IF(AG520&lt;&gt;"",AG520,IF(AA520&lt;&gt;"",AA520,"")))</f>
        <v/>
      </c>
      <c r="AQ520" s="84" t="str">
        <f aca="false">IF(E520="","",IF(U520="","À SOUDER",IF(X520="","VT EN ATTENTE",IF(X520="R","VT REJETÉ – À REPRENDRE",IF(AP520="","À RADIOGRAPHIER",IF(AP520="A","ACCEPTÉ",IF(AP520="NX","NX – RT À REFAIRE",IF(IF(AO520=1,AD520,IF(AO520=2,AI520,""))="A","RÉPARÉ – À RADIOGRAPHIER",IF(IF(AO520=1,AD520,IF(AO520=2,AI520,""))="R","VT REJETÉ – À REPRENDRE",IF(OR(AP520="CO",AP520="NT"),"COUPE – À RESOUDER","À RÉPARER"))))))))))</f>
        <v>À SOUDER</v>
      </c>
      <c r="AR520" s="82" t="str">
        <f aca="false">IF(AND(ISNUMBER(U520),OR(AQ520="À RADIOGRAPHIER",AQ520="RÉPARÉ – À RADIOGRAPHIER",AQ520="NX – RT À REFAIRE",AQ520="À RÉPARER",AQ520="COUPE – À RESOUDER",AQ520="VT REJETÉ – À REPRENDRE")),MAX(0,'PROGRAMME RT'!$C$4-U520),"")</f>
        <v/>
      </c>
      <c r="AS520" s="82" t="n">
        <f aca="false">IF(AND(OR(AQ520="À RADIOGRAPHIER",AQ520="RÉPARÉ – À RADIOGRAPHIER",AQ520="NX – RT À REFAIRE"),OR('PROGRAMME RT'!$D$5="TOUTES",B520='PROGRAMME RT'!$D$5)),1,0)</f>
        <v>0</v>
      </c>
      <c r="AT520" s="82" t="str">
        <f aca="false">IF(AS520=1,SUM(AS$7:AS520),"")</f>
        <v/>
      </c>
      <c r="AU520" s="82" t="n">
        <f aca="false">IF(AND(OR(AA520="R",AA520="NX",AA520="NT",AA520="CO"),OR('JOINTS DE RÉPARATION'!$D$5="TOUTES",B520='JOINTS DE RÉPARATION'!$D$5),OR('JOINTS DE RÉPARATION'!$L$4="TOUS",AQ520&lt;&gt;"ACCEPTÉ")),1,0)</f>
        <v>0</v>
      </c>
      <c r="AV520" s="82" t="str">
        <f aca="false">IF(AU520=1,SUM(AU$7:AU520),"")</f>
        <v/>
      </c>
      <c r="AW520" s="82" t="str">
        <f aca="false">IF(E520="","",B520&amp;"|"&amp;E520)</f>
        <v>MFD-ISW → MFD-CPF|JN°514</v>
      </c>
    </row>
    <row r="521" customFormat="false" ht="74.6" hidden="false" customHeight="false" outlineLevel="0" collapsed="false">
      <c r="A521" s="79" t="n">
        <f aca="false">IF(E521="","",ROW()-6)</f>
        <v>515</v>
      </c>
      <c r="B521" s="80" t="s">
        <v>110</v>
      </c>
      <c r="C521" s="81"/>
      <c r="D521" s="81"/>
      <c r="E521" s="81" t="s">
        <v>625</v>
      </c>
      <c r="F521" s="82" t="str">
        <f aca="false">IF(E521="","",IF(LEFT(E521,2)="DJ","DJ","JN"))</f>
        <v>JN</v>
      </c>
      <c r="G521" s="81"/>
      <c r="H521" s="81"/>
      <c r="I521" s="81"/>
      <c r="J521" s="81"/>
      <c r="K521" s="81"/>
      <c r="L521" s="81"/>
      <c r="M521" s="81"/>
      <c r="N521" s="81"/>
      <c r="O521" s="81"/>
      <c r="P521" s="81"/>
      <c r="Q521" s="81"/>
      <c r="R521" s="81"/>
      <c r="S521" s="81"/>
      <c r="T521" s="81"/>
      <c r="U521" s="83"/>
      <c r="V521" s="83"/>
      <c r="W521" s="81"/>
      <c r="X521" s="81"/>
      <c r="Y521" s="83"/>
      <c r="Z521" s="81"/>
      <c r="AA521" s="81"/>
      <c r="AB521" s="81"/>
      <c r="AC521" s="81"/>
      <c r="AD521" s="81"/>
      <c r="AE521" s="83"/>
      <c r="AF521" s="81"/>
      <c r="AG521" s="81"/>
      <c r="AH521" s="81"/>
      <c r="AI521" s="81"/>
      <c r="AJ521" s="83"/>
      <c r="AK521" s="81"/>
      <c r="AL521" s="81"/>
      <c r="AM521" s="83"/>
      <c r="AN521" s="80"/>
      <c r="AO521" s="82" t="n">
        <f aca="false">IF(E521="","",(AA521&lt;&gt;"")+(AG521&lt;&gt;"")+(AL521&lt;&gt;""))</f>
        <v>0</v>
      </c>
      <c r="AP521" s="82" t="str">
        <f aca="false">IF(AL521&lt;&gt;"",AL521,IF(AG521&lt;&gt;"",AG521,IF(AA521&lt;&gt;"",AA521,"")))</f>
        <v/>
      </c>
      <c r="AQ521" s="84" t="str">
        <f aca="false">IF(E521="","",IF(U521="","À SOUDER",IF(X521="","VT EN ATTENTE",IF(X521="R","VT REJETÉ – À REPRENDRE",IF(AP521="","À RADIOGRAPHIER",IF(AP521="A","ACCEPTÉ",IF(AP521="NX","NX – RT À REFAIRE",IF(IF(AO521=1,AD521,IF(AO521=2,AI521,""))="A","RÉPARÉ – À RADIOGRAPHIER",IF(IF(AO521=1,AD521,IF(AO521=2,AI521,""))="R","VT REJETÉ – À REPRENDRE",IF(OR(AP521="CO",AP521="NT"),"COUPE – À RESOUDER","À RÉPARER"))))))))))</f>
        <v>À SOUDER</v>
      </c>
      <c r="AR521" s="82" t="str">
        <f aca="false">IF(AND(ISNUMBER(U521),OR(AQ521="À RADIOGRAPHIER",AQ521="RÉPARÉ – À RADIOGRAPHIER",AQ521="NX – RT À REFAIRE",AQ521="À RÉPARER",AQ521="COUPE – À RESOUDER",AQ521="VT REJETÉ – À REPRENDRE")),MAX(0,'PROGRAMME RT'!$C$4-U521),"")</f>
        <v/>
      </c>
      <c r="AS521" s="82" t="n">
        <f aca="false">IF(AND(OR(AQ521="À RADIOGRAPHIER",AQ521="RÉPARÉ – À RADIOGRAPHIER",AQ521="NX – RT À REFAIRE"),OR('PROGRAMME RT'!$D$5="TOUTES",B521='PROGRAMME RT'!$D$5)),1,0)</f>
        <v>0</v>
      </c>
      <c r="AT521" s="82" t="str">
        <f aca="false">IF(AS521=1,SUM(AS$7:AS521),"")</f>
        <v/>
      </c>
      <c r="AU521" s="82" t="n">
        <f aca="false">IF(AND(OR(AA521="R",AA521="NX",AA521="NT",AA521="CO"),OR('JOINTS DE RÉPARATION'!$D$5="TOUTES",B521='JOINTS DE RÉPARATION'!$D$5),OR('JOINTS DE RÉPARATION'!$L$4="TOUS",AQ521&lt;&gt;"ACCEPTÉ")),1,0)</f>
        <v>0</v>
      </c>
      <c r="AV521" s="82" t="str">
        <f aca="false">IF(AU521=1,SUM(AU$7:AU521),"")</f>
        <v/>
      </c>
      <c r="AW521" s="82" t="str">
        <f aca="false">IF(E521="","",B521&amp;"|"&amp;E521)</f>
        <v>MFD-ISW → MFD-CPF|JN°515</v>
      </c>
    </row>
    <row r="522" customFormat="false" ht="74.6" hidden="false" customHeight="false" outlineLevel="0" collapsed="false">
      <c r="A522" s="79" t="n">
        <f aca="false">IF(E522="","",ROW()-6)</f>
        <v>516</v>
      </c>
      <c r="B522" s="80" t="s">
        <v>110</v>
      </c>
      <c r="C522" s="81"/>
      <c r="D522" s="81"/>
      <c r="E522" s="81" t="s">
        <v>626</v>
      </c>
      <c r="F522" s="82" t="str">
        <f aca="false">IF(E522="","",IF(LEFT(E522,2)="DJ","DJ","JN"))</f>
        <v>JN</v>
      </c>
      <c r="G522" s="81"/>
      <c r="H522" s="81"/>
      <c r="I522" s="81"/>
      <c r="J522" s="81"/>
      <c r="K522" s="81"/>
      <c r="L522" s="81"/>
      <c r="M522" s="81"/>
      <c r="N522" s="81"/>
      <c r="O522" s="81"/>
      <c r="P522" s="81"/>
      <c r="Q522" s="81"/>
      <c r="R522" s="81"/>
      <c r="S522" s="81"/>
      <c r="T522" s="81"/>
      <c r="U522" s="83"/>
      <c r="V522" s="83"/>
      <c r="W522" s="81"/>
      <c r="X522" s="81"/>
      <c r="Y522" s="83"/>
      <c r="Z522" s="81"/>
      <c r="AA522" s="81"/>
      <c r="AB522" s="81"/>
      <c r="AC522" s="81"/>
      <c r="AD522" s="81"/>
      <c r="AE522" s="83"/>
      <c r="AF522" s="81"/>
      <c r="AG522" s="81"/>
      <c r="AH522" s="81"/>
      <c r="AI522" s="81"/>
      <c r="AJ522" s="83"/>
      <c r="AK522" s="81"/>
      <c r="AL522" s="81"/>
      <c r="AM522" s="83"/>
      <c r="AN522" s="80"/>
      <c r="AO522" s="82" t="n">
        <f aca="false">IF(E522="","",(AA522&lt;&gt;"")+(AG522&lt;&gt;"")+(AL522&lt;&gt;""))</f>
        <v>0</v>
      </c>
      <c r="AP522" s="82" t="str">
        <f aca="false">IF(AL522&lt;&gt;"",AL522,IF(AG522&lt;&gt;"",AG522,IF(AA522&lt;&gt;"",AA522,"")))</f>
        <v/>
      </c>
      <c r="AQ522" s="84" t="str">
        <f aca="false">IF(E522="","",IF(U522="","À SOUDER",IF(X522="","VT EN ATTENTE",IF(X522="R","VT REJETÉ – À REPRENDRE",IF(AP522="","À RADIOGRAPHIER",IF(AP522="A","ACCEPTÉ",IF(AP522="NX","NX – RT À REFAIRE",IF(IF(AO522=1,AD522,IF(AO522=2,AI522,""))="A","RÉPARÉ – À RADIOGRAPHIER",IF(IF(AO522=1,AD522,IF(AO522=2,AI522,""))="R","VT REJETÉ – À REPRENDRE",IF(OR(AP522="CO",AP522="NT"),"COUPE – À RESOUDER","À RÉPARER"))))))))))</f>
        <v>À SOUDER</v>
      </c>
      <c r="AR522" s="82" t="str">
        <f aca="false">IF(AND(ISNUMBER(U522),OR(AQ522="À RADIOGRAPHIER",AQ522="RÉPARÉ – À RADIOGRAPHIER",AQ522="NX – RT À REFAIRE",AQ522="À RÉPARER",AQ522="COUPE – À RESOUDER",AQ522="VT REJETÉ – À REPRENDRE")),MAX(0,'PROGRAMME RT'!$C$4-U522),"")</f>
        <v/>
      </c>
      <c r="AS522" s="82" t="n">
        <f aca="false">IF(AND(OR(AQ522="À RADIOGRAPHIER",AQ522="RÉPARÉ – À RADIOGRAPHIER",AQ522="NX – RT À REFAIRE"),OR('PROGRAMME RT'!$D$5="TOUTES",B522='PROGRAMME RT'!$D$5)),1,0)</f>
        <v>0</v>
      </c>
      <c r="AT522" s="82" t="str">
        <f aca="false">IF(AS522=1,SUM(AS$7:AS522),"")</f>
        <v/>
      </c>
      <c r="AU522" s="82" t="n">
        <f aca="false">IF(AND(OR(AA522="R",AA522="NX",AA522="NT",AA522="CO"),OR('JOINTS DE RÉPARATION'!$D$5="TOUTES",B522='JOINTS DE RÉPARATION'!$D$5),OR('JOINTS DE RÉPARATION'!$L$4="TOUS",AQ522&lt;&gt;"ACCEPTÉ")),1,0)</f>
        <v>0</v>
      </c>
      <c r="AV522" s="82" t="str">
        <f aca="false">IF(AU522=1,SUM(AU$7:AU522),"")</f>
        <v/>
      </c>
      <c r="AW522" s="82" t="str">
        <f aca="false">IF(E522="","",B522&amp;"|"&amp;E522)</f>
        <v>MFD-ISW → MFD-CPF|JN°516</v>
      </c>
    </row>
    <row r="523" customFormat="false" ht="74.6" hidden="false" customHeight="false" outlineLevel="0" collapsed="false">
      <c r="A523" s="79" t="n">
        <f aca="false">IF(E523="","",ROW()-6)</f>
        <v>517</v>
      </c>
      <c r="B523" s="80" t="s">
        <v>110</v>
      </c>
      <c r="C523" s="81"/>
      <c r="D523" s="81"/>
      <c r="E523" s="81" t="s">
        <v>627</v>
      </c>
      <c r="F523" s="82" t="str">
        <f aca="false">IF(E523="","",IF(LEFT(E523,2)="DJ","DJ","JN"))</f>
        <v>JN</v>
      </c>
      <c r="G523" s="81"/>
      <c r="H523" s="81"/>
      <c r="I523" s="81"/>
      <c r="J523" s="81"/>
      <c r="K523" s="81"/>
      <c r="L523" s="81"/>
      <c r="M523" s="81"/>
      <c r="N523" s="81"/>
      <c r="O523" s="81"/>
      <c r="P523" s="81"/>
      <c r="Q523" s="81"/>
      <c r="R523" s="81"/>
      <c r="S523" s="81"/>
      <c r="T523" s="81"/>
      <c r="U523" s="83"/>
      <c r="V523" s="83"/>
      <c r="W523" s="81"/>
      <c r="X523" s="81"/>
      <c r="Y523" s="83"/>
      <c r="Z523" s="81"/>
      <c r="AA523" s="81"/>
      <c r="AB523" s="81"/>
      <c r="AC523" s="81"/>
      <c r="AD523" s="81"/>
      <c r="AE523" s="83"/>
      <c r="AF523" s="81"/>
      <c r="AG523" s="81"/>
      <c r="AH523" s="81"/>
      <c r="AI523" s="81"/>
      <c r="AJ523" s="83"/>
      <c r="AK523" s="81"/>
      <c r="AL523" s="81"/>
      <c r="AM523" s="83"/>
      <c r="AN523" s="80"/>
      <c r="AO523" s="82" t="n">
        <f aca="false">IF(E523="","",(AA523&lt;&gt;"")+(AG523&lt;&gt;"")+(AL523&lt;&gt;""))</f>
        <v>0</v>
      </c>
      <c r="AP523" s="82" t="str">
        <f aca="false">IF(AL523&lt;&gt;"",AL523,IF(AG523&lt;&gt;"",AG523,IF(AA523&lt;&gt;"",AA523,"")))</f>
        <v/>
      </c>
      <c r="AQ523" s="84" t="str">
        <f aca="false">IF(E523="","",IF(U523="","À SOUDER",IF(X523="","VT EN ATTENTE",IF(X523="R","VT REJETÉ – À REPRENDRE",IF(AP523="","À RADIOGRAPHIER",IF(AP523="A","ACCEPTÉ",IF(AP523="NX","NX – RT À REFAIRE",IF(IF(AO523=1,AD523,IF(AO523=2,AI523,""))="A","RÉPARÉ – À RADIOGRAPHIER",IF(IF(AO523=1,AD523,IF(AO523=2,AI523,""))="R","VT REJETÉ – À REPRENDRE",IF(OR(AP523="CO",AP523="NT"),"COUPE – À RESOUDER","À RÉPARER"))))))))))</f>
        <v>À SOUDER</v>
      </c>
      <c r="AR523" s="82" t="str">
        <f aca="false">IF(AND(ISNUMBER(U523),OR(AQ523="À RADIOGRAPHIER",AQ523="RÉPARÉ – À RADIOGRAPHIER",AQ523="NX – RT À REFAIRE",AQ523="À RÉPARER",AQ523="COUPE – À RESOUDER",AQ523="VT REJETÉ – À REPRENDRE")),MAX(0,'PROGRAMME RT'!$C$4-U523),"")</f>
        <v/>
      </c>
      <c r="AS523" s="82" t="n">
        <f aca="false">IF(AND(OR(AQ523="À RADIOGRAPHIER",AQ523="RÉPARÉ – À RADIOGRAPHIER",AQ523="NX – RT À REFAIRE"),OR('PROGRAMME RT'!$D$5="TOUTES",B523='PROGRAMME RT'!$D$5)),1,0)</f>
        <v>0</v>
      </c>
      <c r="AT523" s="82" t="str">
        <f aca="false">IF(AS523=1,SUM(AS$7:AS523),"")</f>
        <v/>
      </c>
      <c r="AU523" s="82" t="n">
        <f aca="false">IF(AND(OR(AA523="R",AA523="NX",AA523="NT",AA523="CO"),OR('JOINTS DE RÉPARATION'!$D$5="TOUTES",B523='JOINTS DE RÉPARATION'!$D$5),OR('JOINTS DE RÉPARATION'!$L$4="TOUS",AQ523&lt;&gt;"ACCEPTÉ")),1,0)</f>
        <v>0</v>
      </c>
      <c r="AV523" s="82" t="str">
        <f aca="false">IF(AU523=1,SUM(AU$7:AU523),"")</f>
        <v/>
      </c>
      <c r="AW523" s="82" t="str">
        <f aca="false">IF(E523="","",B523&amp;"|"&amp;E523)</f>
        <v>MFD-ISW → MFD-CPF|JN°517</v>
      </c>
    </row>
    <row r="524" customFormat="false" ht="74.6" hidden="false" customHeight="false" outlineLevel="0" collapsed="false">
      <c r="A524" s="79" t="n">
        <f aca="false">IF(E524="","",ROW()-6)</f>
        <v>518</v>
      </c>
      <c r="B524" s="80" t="s">
        <v>110</v>
      </c>
      <c r="C524" s="81"/>
      <c r="D524" s="81"/>
      <c r="E524" s="81" t="s">
        <v>628</v>
      </c>
      <c r="F524" s="82" t="str">
        <f aca="false">IF(E524="","",IF(LEFT(E524,2)="DJ","DJ","JN"))</f>
        <v>JN</v>
      </c>
      <c r="G524" s="81"/>
      <c r="H524" s="81"/>
      <c r="I524" s="81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U524" s="83"/>
      <c r="V524" s="83"/>
      <c r="W524" s="81"/>
      <c r="X524" s="81"/>
      <c r="Y524" s="83"/>
      <c r="Z524" s="81"/>
      <c r="AA524" s="81"/>
      <c r="AB524" s="81"/>
      <c r="AC524" s="81"/>
      <c r="AD524" s="81"/>
      <c r="AE524" s="83"/>
      <c r="AF524" s="81"/>
      <c r="AG524" s="81"/>
      <c r="AH524" s="81"/>
      <c r="AI524" s="81"/>
      <c r="AJ524" s="83"/>
      <c r="AK524" s="81"/>
      <c r="AL524" s="81"/>
      <c r="AM524" s="83"/>
      <c r="AN524" s="80"/>
      <c r="AO524" s="82" t="n">
        <f aca="false">IF(E524="","",(AA524&lt;&gt;"")+(AG524&lt;&gt;"")+(AL524&lt;&gt;""))</f>
        <v>0</v>
      </c>
      <c r="AP524" s="82" t="str">
        <f aca="false">IF(AL524&lt;&gt;"",AL524,IF(AG524&lt;&gt;"",AG524,IF(AA524&lt;&gt;"",AA524,"")))</f>
        <v/>
      </c>
      <c r="AQ524" s="84" t="str">
        <f aca="false">IF(E524="","",IF(U524="","À SOUDER",IF(X524="","VT EN ATTENTE",IF(X524="R","VT REJETÉ – À REPRENDRE",IF(AP524="","À RADIOGRAPHIER",IF(AP524="A","ACCEPTÉ",IF(AP524="NX","NX – RT À REFAIRE",IF(IF(AO524=1,AD524,IF(AO524=2,AI524,""))="A","RÉPARÉ – À RADIOGRAPHIER",IF(IF(AO524=1,AD524,IF(AO524=2,AI524,""))="R","VT REJETÉ – À REPRENDRE",IF(OR(AP524="CO",AP524="NT"),"COUPE – À RESOUDER","À RÉPARER"))))))))))</f>
        <v>À SOUDER</v>
      </c>
      <c r="AR524" s="82" t="str">
        <f aca="false">IF(AND(ISNUMBER(U524),OR(AQ524="À RADIOGRAPHIER",AQ524="RÉPARÉ – À RADIOGRAPHIER",AQ524="NX – RT À REFAIRE",AQ524="À RÉPARER",AQ524="COUPE – À RESOUDER",AQ524="VT REJETÉ – À REPRENDRE")),MAX(0,'PROGRAMME RT'!$C$4-U524),"")</f>
        <v/>
      </c>
      <c r="AS524" s="82" t="n">
        <f aca="false">IF(AND(OR(AQ524="À RADIOGRAPHIER",AQ524="RÉPARÉ – À RADIOGRAPHIER",AQ524="NX – RT À REFAIRE"),OR('PROGRAMME RT'!$D$5="TOUTES",B524='PROGRAMME RT'!$D$5)),1,0)</f>
        <v>0</v>
      </c>
      <c r="AT524" s="82" t="str">
        <f aca="false">IF(AS524=1,SUM(AS$7:AS524),"")</f>
        <v/>
      </c>
      <c r="AU524" s="82" t="n">
        <f aca="false">IF(AND(OR(AA524="R",AA524="NX",AA524="NT",AA524="CO"),OR('JOINTS DE RÉPARATION'!$D$5="TOUTES",B524='JOINTS DE RÉPARATION'!$D$5),OR('JOINTS DE RÉPARATION'!$L$4="TOUS",AQ524&lt;&gt;"ACCEPTÉ")),1,0)</f>
        <v>0</v>
      </c>
      <c r="AV524" s="82" t="str">
        <f aca="false">IF(AU524=1,SUM(AU$7:AU524),"")</f>
        <v/>
      </c>
      <c r="AW524" s="82" t="str">
        <f aca="false">IF(E524="","",B524&amp;"|"&amp;E524)</f>
        <v>MFD-ISW → MFD-CPF|JN°518</v>
      </c>
    </row>
    <row r="525" customFormat="false" ht="74.6" hidden="false" customHeight="false" outlineLevel="0" collapsed="false">
      <c r="A525" s="79" t="n">
        <f aca="false">IF(E525="","",ROW()-6)</f>
        <v>519</v>
      </c>
      <c r="B525" s="80" t="s">
        <v>110</v>
      </c>
      <c r="C525" s="81"/>
      <c r="D525" s="81"/>
      <c r="E525" s="81" t="s">
        <v>629</v>
      </c>
      <c r="F525" s="82" t="str">
        <f aca="false">IF(E525="","",IF(LEFT(E525,2)="DJ","DJ","JN"))</f>
        <v>JN</v>
      </c>
      <c r="G525" s="81"/>
      <c r="H525" s="81"/>
      <c r="I525" s="81"/>
      <c r="J525" s="81"/>
      <c r="K525" s="81"/>
      <c r="L525" s="81"/>
      <c r="M525" s="81"/>
      <c r="N525" s="81"/>
      <c r="O525" s="81"/>
      <c r="P525" s="81"/>
      <c r="Q525" s="81"/>
      <c r="R525" s="81"/>
      <c r="S525" s="81"/>
      <c r="T525" s="81"/>
      <c r="U525" s="83"/>
      <c r="V525" s="83"/>
      <c r="W525" s="81"/>
      <c r="X525" s="81"/>
      <c r="Y525" s="83"/>
      <c r="Z525" s="81"/>
      <c r="AA525" s="81"/>
      <c r="AB525" s="81"/>
      <c r="AC525" s="81"/>
      <c r="AD525" s="81"/>
      <c r="AE525" s="83"/>
      <c r="AF525" s="81"/>
      <c r="AG525" s="81"/>
      <c r="AH525" s="81"/>
      <c r="AI525" s="81"/>
      <c r="AJ525" s="83"/>
      <c r="AK525" s="81"/>
      <c r="AL525" s="81"/>
      <c r="AM525" s="83"/>
      <c r="AN525" s="80"/>
      <c r="AO525" s="82" t="n">
        <f aca="false">IF(E525="","",(AA525&lt;&gt;"")+(AG525&lt;&gt;"")+(AL525&lt;&gt;""))</f>
        <v>0</v>
      </c>
      <c r="AP525" s="82" t="str">
        <f aca="false">IF(AL525&lt;&gt;"",AL525,IF(AG525&lt;&gt;"",AG525,IF(AA525&lt;&gt;"",AA525,"")))</f>
        <v/>
      </c>
      <c r="AQ525" s="84" t="str">
        <f aca="false">IF(E525="","",IF(U525="","À SOUDER",IF(X525="","VT EN ATTENTE",IF(X525="R","VT REJETÉ – À REPRENDRE",IF(AP525="","À RADIOGRAPHIER",IF(AP525="A","ACCEPTÉ",IF(AP525="NX","NX – RT À REFAIRE",IF(IF(AO525=1,AD525,IF(AO525=2,AI525,""))="A","RÉPARÉ – À RADIOGRAPHIER",IF(IF(AO525=1,AD525,IF(AO525=2,AI525,""))="R","VT REJETÉ – À REPRENDRE",IF(OR(AP525="CO",AP525="NT"),"COUPE – À RESOUDER","À RÉPARER"))))))))))</f>
        <v>À SOUDER</v>
      </c>
      <c r="AR525" s="82" t="str">
        <f aca="false">IF(AND(ISNUMBER(U525),OR(AQ525="À RADIOGRAPHIER",AQ525="RÉPARÉ – À RADIOGRAPHIER",AQ525="NX – RT À REFAIRE",AQ525="À RÉPARER",AQ525="COUPE – À RESOUDER",AQ525="VT REJETÉ – À REPRENDRE")),MAX(0,'PROGRAMME RT'!$C$4-U525),"")</f>
        <v/>
      </c>
      <c r="AS525" s="82" t="n">
        <f aca="false">IF(AND(OR(AQ525="À RADIOGRAPHIER",AQ525="RÉPARÉ – À RADIOGRAPHIER",AQ525="NX – RT À REFAIRE"),OR('PROGRAMME RT'!$D$5="TOUTES",B525='PROGRAMME RT'!$D$5)),1,0)</f>
        <v>0</v>
      </c>
      <c r="AT525" s="82" t="str">
        <f aca="false">IF(AS525=1,SUM(AS$7:AS525),"")</f>
        <v/>
      </c>
      <c r="AU525" s="82" t="n">
        <f aca="false">IF(AND(OR(AA525="R",AA525="NX",AA525="NT",AA525="CO"),OR('JOINTS DE RÉPARATION'!$D$5="TOUTES",B525='JOINTS DE RÉPARATION'!$D$5),OR('JOINTS DE RÉPARATION'!$L$4="TOUS",AQ525&lt;&gt;"ACCEPTÉ")),1,0)</f>
        <v>0</v>
      </c>
      <c r="AV525" s="82" t="str">
        <f aca="false">IF(AU525=1,SUM(AU$7:AU525),"")</f>
        <v/>
      </c>
      <c r="AW525" s="82" t="str">
        <f aca="false">IF(E525="","",B525&amp;"|"&amp;E525)</f>
        <v>MFD-ISW → MFD-CPF|JN°519</v>
      </c>
    </row>
    <row r="526" customFormat="false" ht="74.6" hidden="false" customHeight="false" outlineLevel="0" collapsed="false">
      <c r="A526" s="79" t="n">
        <f aca="false">IF(E526="","",ROW()-6)</f>
        <v>520</v>
      </c>
      <c r="B526" s="80" t="s">
        <v>110</v>
      </c>
      <c r="C526" s="81"/>
      <c r="D526" s="81"/>
      <c r="E526" s="81" t="s">
        <v>630</v>
      </c>
      <c r="F526" s="82" t="str">
        <f aca="false">IF(E526="","",IF(LEFT(E526,2)="DJ","DJ","JN"))</f>
        <v>JN</v>
      </c>
      <c r="G526" s="81"/>
      <c r="H526" s="81"/>
      <c r="I526" s="81"/>
      <c r="J526" s="81"/>
      <c r="K526" s="81"/>
      <c r="L526" s="81"/>
      <c r="M526" s="81"/>
      <c r="N526" s="81"/>
      <c r="O526" s="81"/>
      <c r="P526" s="81"/>
      <c r="Q526" s="81"/>
      <c r="R526" s="81"/>
      <c r="S526" s="81"/>
      <c r="T526" s="81"/>
      <c r="U526" s="83"/>
      <c r="V526" s="83"/>
      <c r="W526" s="81"/>
      <c r="X526" s="81"/>
      <c r="Y526" s="83"/>
      <c r="Z526" s="81"/>
      <c r="AA526" s="81"/>
      <c r="AB526" s="81"/>
      <c r="AC526" s="81"/>
      <c r="AD526" s="81"/>
      <c r="AE526" s="83"/>
      <c r="AF526" s="81"/>
      <c r="AG526" s="81"/>
      <c r="AH526" s="81"/>
      <c r="AI526" s="81"/>
      <c r="AJ526" s="83"/>
      <c r="AK526" s="81"/>
      <c r="AL526" s="81"/>
      <c r="AM526" s="83"/>
      <c r="AN526" s="80"/>
      <c r="AO526" s="82" t="n">
        <f aca="false">IF(E526="","",(AA526&lt;&gt;"")+(AG526&lt;&gt;"")+(AL526&lt;&gt;""))</f>
        <v>0</v>
      </c>
      <c r="AP526" s="82" t="str">
        <f aca="false">IF(AL526&lt;&gt;"",AL526,IF(AG526&lt;&gt;"",AG526,IF(AA526&lt;&gt;"",AA526,"")))</f>
        <v/>
      </c>
      <c r="AQ526" s="84" t="str">
        <f aca="false">IF(E526="","",IF(U526="","À SOUDER",IF(X526="","VT EN ATTENTE",IF(X526="R","VT REJETÉ – À REPRENDRE",IF(AP526="","À RADIOGRAPHIER",IF(AP526="A","ACCEPTÉ",IF(AP526="NX","NX – RT À REFAIRE",IF(IF(AO526=1,AD526,IF(AO526=2,AI526,""))="A","RÉPARÉ – À RADIOGRAPHIER",IF(IF(AO526=1,AD526,IF(AO526=2,AI526,""))="R","VT REJETÉ – À REPRENDRE",IF(OR(AP526="CO",AP526="NT"),"COUPE – À RESOUDER","À RÉPARER"))))))))))</f>
        <v>À SOUDER</v>
      </c>
      <c r="AR526" s="82" t="str">
        <f aca="false">IF(AND(ISNUMBER(U526),OR(AQ526="À RADIOGRAPHIER",AQ526="RÉPARÉ – À RADIOGRAPHIER",AQ526="NX – RT À REFAIRE",AQ526="À RÉPARER",AQ526="COUPE – À RESOUDER",AQ526="VT REJETÉ – À REPRENDRE")),MAX(0,'PROGRAMME RT'!$C$4-U526),"")</f>
        <v/>
      </c>
      <c r="AS526" s="82" t="n">
        <f aca="false">IF(AND(OR(AQ526="À RADIOGRAPHIER",AQ526="RÉPARÉ – À RADIOGRAPHIER",AQ526="NX – RT À REFAIRE"),OR('PROGRAMME RT'!$D$5="TOUTES",B526='PROGRAMME RT'!$D$5)),1,0)</f>
        <v>0</v>
      </c>
      <c r="AT526" s="82" t="str">
        <f aca="false">IF(AS526=1,SUM(AS$7:AS526),"")</f>
        <v/>
      </c>
      <c r="AU526" s="82" t="n">
        <f aca="false">IF(AND(OR(AA526="R",AA526="NX",AA526="NT",AA526="CO"),OR('JOINTS DE RÉPARATION'!$D$5="TOUTES",B526='JOINTS DE RÉPARATION'!$D$5),OR('JOINTS DE RÉPARATION'!$L$4="TOUS",AQ526&lt;&gt;"ACCEPTÉ")),1,0)</f>
        <v>0</v>
      </c>
      <c r="AV526" s="82" t="str">
        <f aca="false">IF(AU526=1,SUM(AU$7:AU526),"")</f>
        <v/>
      </c>
      <c r="AW526" s="82" t="str">
        <f aca="false">IF(E526="","",B526&amp;"|"&amp;E526)</f>
        <v>MFD-ISW → MFD-CPF|JN°520</v>
      </c>
    </row>
    <row r="527" customFormat="false" ht="74.6" hidden="false" customHeight="false" outlineLevel="0" collapsed="false">
      <c r="A527" s="79" t="n">
        <f aca="false">IF(E527="","",ROW()-6)</f>
        <v>521</v>
      </c>
      <c r="B527" s="80" t="s">
        <v>110</v>
      </c>
      <c r="C527" s="81"/>
      <c r="D527" s="81"/>
      <c r="E527" s="81" t="s">
        <v>631</v>
      </c>
      <c r="F527" s="82" t="str">
        <f aca="false">IF(E527="","",IF(LEFT(E527,2)="DJ","DJ","JN"))</f>
        <v>JN</v>
      </c>
      <c r="G527" s="81"/>
      <c r="H527" s="81"/>
      <c r="I527" s="81"/>
      <c r="J527" s="81"/>
      <c r="K527" s="81"/>
      <c r="L527" s="81"/>
      <c r="M527" s="81"/>
      <c r="N527" s="81"/>
      <c r="O527" s="81"/>
      <c r="P527" s="81"/>
      <c r="Q527" s="81"/>
      <c r="R527" s="81"/>
      <c r="S527" s="81"/>
      <c r="T527" s="81"/>
      <c r="U527" s="83"/>
      <c r="V527" s="83"/>
      <c r="W527" s="81"/>
      <c r="X527" s="81"/>
      <c r="Y527" s="83"/>
      <c r="Z527" s="81"/>
      <c r="AA527" s="81"/>
      <c r="AB527" s="81"/>
      <c r="AC527" s="81"/>
      <c r="AD527" s="81"/>
      <c r="AE527" s="83"/>
      <c r="AF527" s="81"/>
      <c r="AG527" s="81"/>
      <c r="AH527" s="81"/>
      <c r="AI527" s="81"/>
      <c r="AJ527" s="83"/>
      <c r="AK527" s="81"/>
      <c r="AL527" s="81"/>
      <c r="AM527" s="83"/>
      <c r="AN527" s="80"/>
      <c r="AO527" s="82" t="n">
        <f aca="false">IF(E527="","",(AA527&lt;&gt;"")+(AG527&lt;&gt;"")+(AL527&lt;&gt;""))</f>
        <v>0</v>
      </c>
      <c r="AP527" s="82" t="str">
        <f aca="false">IF(AL527&lt;&gt;"",AL527,IF(AG527&lt;&gt;"",AG527,IF(AA527&lt;&gt;"",AA527,"")))</f>
        <v/>
      </c>
      <c r="AQ527" s="84" t="str">
        <f aca="false">IF(E527="","",IF(U527="","À SOUDER",IF(X527="","VT EN ATTENTE",IF(X527="R","VT REJETÉ – À REPRENDRE",IF(AP527="","À RADIOGRAPHIER",IF(AP527="A","ACCEPTÉ",IF(AP527="NX","NX – RT À REFAIRE",IF(IF(AO527=1,AD527,IF(AO527=2,AI527,""))="A","RÉPARÉ – À RADIOGRAPHIER",IF(IF(AO527=1,AD527,IF(AO527=2,AI527,""))="R","VT REJETÉ – À REPRENDRE",IF(OR(AP527="CO",AP527="NT"),"COUPE – À RESOUDER","À RÉPARER"))))))))))</f>
        <v>À SOUDER</v>
      </c>
      <c r="AR527" s="82" t="str">
        <f aca="false">IF(AND(ISNUMBER(U527),OR(AQ527="À RADIOGRAPHIER",AQ527="RÉPARÉ – À RADIOGRAPHIER",AQ527="NX – RT À REFAIRE",AQ527="À RÉPARER",AQ527="COUPE – À RESOUDER",AQ527="VT REJETÉ – À REPRENDRE")),MAX(0,'PROGRAMME RT'!$C$4-U527),"")</f>
        <v/>
      </c>
      <c r="AS527" s="82" t="n">
        <f aca="false">IF(AND(OR(AQ527="À RADIOGRAPHIER",AQ527="RÉPARÉ – À RADIOGRAPHIER",AQ527="NX – RT À REFAIRE"),OR('PROGRAMME RT'!$D$5="TOUTES",B527='PROGRAMME RT'!$D$5)),1,0)</f>
        <v>0</v>
      </c>
      <c r="AT527" s="82" t="str">
        <f aca="false">IF(AS527=1,SUM(AS$7:AS527),"")</f>
        <v/>
      </c>
      <c r="AU527" s="82" t="n">
        <f aca="false">IF(AND(OR(AA527="R",AA527="NX",AA527="NT",AA527="CO"),OR('JOINTS DE RÉPARATION'!$D$5="TOUTES",B527='JOINTS DE RÉPARATION'!$D$5),OR('JOINTS DE RÉPARATION'!$L$4="TOUS",AQ527&lt;&gt;"ACCEPTÉ")),1,0)</f>
        <v>0</v>
      </c>
      <c r="AV527" s="82" t="str">
        <f aca="false">IF(AU527=1,SUM(AU$7:AU527),"")</f>
        <v/>
      </c>
      <c r="AW527" s="82" t="str">
        <f aca="false">IF(E527="","",B527&amp;"|"&amp;E527)</f>
        <v>MFD-ISW → MFD-CPF|JN°521</v>
      </c>
    </row>
    <row r="528" customFormat="false" ht="74.6" hidden="false" customHeight="false" outlineLevel="0" collapsed="false">
      <c r="A528" s="79" t="n">
        <f aca="false">IF(E528="","",ROW()-6)</f>
        <v>522</v>
      </c>
      <c r="B528" s="80" t="s">
        <v>110</v>
      </c>
      <c r="C528" s="81"/>
      <c r="D528" s="81"/>
      <c r="E528" s="81" t="s">
        <v>632</v>
      </c>
      <c r="F528" s="82" t="str">
        <f aca="false">IF(E528="","",IF(LEFT(E528,2)="DJ","DJ","JN"))</f>
        <v>JN</v>
      </c>
      <c r="G528" s="81"/>
      <c r="H528" s="81"/>
      <c r="I528" s="81"/>
      <c r="J528" s="81"/>
      <c r="K528" s="81"/>
      <c r="L528" s="81"/>
      <c r="M528" s="81"/>
      <c r="N528" s="81"/>
      <c r="O528" s="81"/>
      <c r="P528" s="81"/>
      <c r="Q528" s="81"/>
      <c r="R528" s="81"/>
      <c r="S528" s="81"/>
      <c r="T528" s="81"/>
      <c r="U528" s="83"/>
      <c r="V528" s="83"/>
      <c r="W528" s="81"/>
      <c r="X528" s="81"/>
      <c r="Y528" s="83"/>
      <c r="Z528" s="81"/>
      <c r="AA528" s="81"/>
      <c r="AB528" s="81"/>
      <c r="AC528" s="81"/>
      <c r="AD528" s="81"/>
      <c r="AE528" s="83"/>
      <c r="AF528" s="81"/>
      <c r="AG528" s="81"/>
      <c r="AH528" s="81"/>
      <c r="AI528" s="81"/>
      <c r="AJ528" s="83"/>
      <c r="AK528" s="81"/>
      <c r="AL528" s="81"/>
      <c r="AM528" s="83"/>
      <c r="AN528" s="80"/>
      <c r="AO528" s="82" t="n">
        <f aca="false">IF(E528="","",(AA528&lt;&gt;"")+(AG528&lt;&gt;"")+(AL528&lt;&gt;""))</f>
        <v>0</v>
      </c>
      <c r="AP528" s="82" t="str">
        <f aca="false">IF(AL528&lt;&gt;"",AL528,IF(AG528&lt;&gt;"",AG528,IF(AA528&lt;&gt;"",AA528,"")))</f>
        <v/>
      </c>
      <c r="AQ528" s="84" t="str">
        <f aca="false">IF(E528="","",IF(U528="","À SOUDER",IF(X528="","VT EN ATTENTE",IF(X528="R","VT REJETÉ – À REPRENDRE",IF(AP528="","À RADIOGRAPHIER",IF(AP528="A","ACCEPTÉ",IF(AP528="NX","NX – RT À REFAIRE",IF(IF(AO528=1,AD528,IF(AO528=2,AI528,""))="A","RÉPARÉ – À RADIOGRAPHIER",IF(IF(AO528=1,AD528,IF(AO528=2,AI528,""))="R","VT REJETÉ – À REPRENDRE",IF(OR(AP528="CO",AP528="NT"),"COUPE – À RESOUDER","À RÉPARER"))))))))))</f>
        <v>À SOUDER</v>
      </c>
      <c r="AR528" s="82" t="str">
        <f aca="false">IF(AND(ISNUMBER(U528),OR(AQ528="À RADIOGRAPHIER",AQ528="RÉPARÉ – À RADIOGRAPHIER",AQ528="NX – RT À REFAIRE",AQ528="À RÉPARER",AQ528="COUPE – À RESOUDER",AQ528="VT REJETÉ – À REPRENDRE")),MAX(0,'PROGRAMME RT'!$C$4-U528),"")</f>
        <v/>
      </c>
      <c r="AS528" s="82" t="n">
        <f aca="false">IF(AND(OR(AQ528="À RADIOGRAPHIER",AQ528="RÉPARÉ – À RADIOGRAPHIER",AQ528="NX – RT À REFAIRE"),OR('PROGRAMME RT'!$D$5="TOUTES",B528='PROGRAMME RT'!$D$5)),1,0)</f>
        <v>0</v>
      </c>
      <c r="AT528" s="82" t="str">
        <f aca="false">IF(AS528=1,SUM(AS$7:AS528),"")</f>
        <v/>
      </c>
      <c r="AU528" s="82" t="n">
        <f aca="false">IF(AND(OR(AA528="R",AA528="NX",AA528="NT",AA528="CO"),OR('JOINTS DE RÉPARATION'!$D$5="TOUTES",B528='JOINTS DE RÉPARATION'!$D$5),OR('JOINTS DE RÉPARATION'!$L$4="TOUS",AQ528&lt;&gt;"ACCEPTÉ")),1,0)</f>
        <v>0</v>
      </c>
      <c r="AV528" s="82" t="str">
        <f aca="false">IF(AU528=1,SUM(AU$7:AU528),"")</f>
        <v/>
      </c>
      <c r="AW528" s="82" t="str">
        <f aca="false">IF(E528="","",B528&amp;"|"&amp;E528)</f>
        <v>MFD-ISW → MFD-CPF|JN°522</v>
      </c>
    </row>
    <row r="529" customFormat="false" ht="74.6" hidden="false" customHeight="false" outlineLevel="0" collapsed="false">
      <c r="A529" s="79" t="n">
        <f aca="false">IF(E529="","",ROW()-6)</f>
        <v>523</v>
      </c>
      <c r="B529" s="80" t="s">
        <v>110</v>
      </c>
      <c r="C529" s="81"/>
      <c r="D529" s="81"/>
      <c r="E529" s="81" t="s">
        <v>633</v>
      </c>
      <c r="F529" s="82" t="str">
        <f aca="false">IF(E529="","",IF(LEFT(E529,2)="DJ","DJ","JN"))</f>
        <v>JN</v>
      </c>
      <c r="G529" s="81"/>
      <c r="H529" s="81"/>
      <c r="I529" s="81"/>
      <c r="J529" s="81"/>
      <c r="K529" s="81"/>
      <c r="L529" s="81"/>
      <c r="M529" s="81"/>
      <c r="N529" s="81"/>
      <c r="O529" s="81"/>
      <c r="P529" s="81"/>
      <c r="Q529" s="81"/>
      <c r="R529" s="81"/>
      <c r="S529" s="81"/>
      <c r="T529" s="81"/>
      <c r="U529" s="83"/>
      <c r="V529" s="83"/>
      <c r="W529" s="81"/>
      <c r="X529" s="81"/>
      <c r="Y529" s="83"/>
      <c r="Z529" s="81"/>
      <c r="AA529" s="81"/>
      <c r="AB529" s="81"/>
      <c r="AC529" s="81"/>
      <c r="AD529" s="81"/>
      <c r="AE529" s="83"/>
      <c r="AF529" s="81"/>
      <c r="AG529" s="81"/>
      <c r="AH529" s="81"/>
      <c r="AI529" s="81"/>
      <c r="AJ529" s="83"/>
      <c r="AK529" s="81"/>
      <c r="AL529" s="81"/>
      <c r="AM529" s="83"/>
      <c r="AN529" s="80"/>
      <c r="AO529" s="82" t="n">
        <f aca="false">IF(E529="","",(AA529&lt;&gt;"")+(AG529&lt;&gt;"")+(AL529&lt;&gt;""))</f>
        <v>0</v>
      </c>
      <c r="AP529" s="82" t="str">
        <f aca="false">IF(AL529&lt;&gt;"",AL529,IF(AG529&lt;&gt;"",AG529,IF(AA529&lt;&gt;"",AA529,"")))</f>
        <v/>
      </c>
      <c r="AQ529" s="84" t="str">
        <f aca="false">IF(E529="","",IF(U529="","À SOUDER",IF(X529="","VT EN ATTENTE",IF(X529="R","VT REJETÉ – À REPRENDRE",IF(AP529="","À RADIOGRAPHIER",IF(AP529="A","ACCEPTÉ",IF(AP529="NX","NX – RT À REFAIRE",IF(IF(AO529=1,AD529,IF(AO529=2,AI529,""))="A","RÉPARÉ – À RADIOGRAPHIER",IF(IF(AO529=1,AD529,IF(AO529=2,AI529,""))="R","VT REJETÉ – À REPRENDRE",IF(OR(AP529="CO",AP529="NT"),"COUPE – À RESOUDER","À RÉPARER"))))))))))</f>
        <v>À SOUDER</v>
      </c>
      <c r="AR529" s="82" t="str">
        <f aca="false">IF(AND(ISNUMBER(U529),OR(AQ529="À RADIOGRAPHIER",AQ529="RÉPARÉ – À RADIOGRAPHIER",AQ529="NX – RT À REFAIRE",AQ529="À RÉPARER",AQ529="COUPE – À RESOUDER",AQ529="VT REJETÉ – À REPRENDRE")),MAX(0,'PROGRAMME RT'!$C$4-U529),"")</f>
        <v/>
      </c>
      <c r="AS529" s="82" t="n">
        <f aca="false">IF(AND(OR(AQ529="À RADIOGRAPHIER",AQ529="RÉPARÉ – À RADIOGRAPHIER",AQ529="NX – RT À REFAIRE"),OR('PROGRAMME RT'!$D$5="TOUTES",B529='PROGRAMME RT'!$D$5)),1,0)</f>
        <v>0</v>
      </c>
      <c r="AT529" s="82" t="str">
        <f aca="false">IF(AS529=1,SUM(AS$7:AS529),"")</f>
        <v/>
      </c>
      <c r="AU529" s="82" t="n">
        <f aca="false">IF(AND(OR(AA529="R",AA529="NX",AA529="NT",AA529="CO"),OR('JOINTS DE RÉPARATION'!$D$5="TOUTES",B529='JOINTS DE RÉPARATION'!$D$5),OR('JOINTS DE RÉPARATION'!$L$4="TOUS",AQ529&lt;&gt;"ACCEPTÉ")),1,0)</f>
        <v>0</v>
      </c>
      <c r="AV529" s="82" t="str">
        <f aca="false">IF(AU529=1,SUM(AU$7:AU529),"")</f>
        <v/>
      </c>
      <c r="AW529" s="82" t="str">
        <f aca="false">IF(E529="","",B529&amp;"|"&amp;E529)</f>
        <v>MFD-ISW → MFD-CPF|JN°523</v>
      </c>
    </row>
    <row r="530" customFormat="false" ht="74.6" hidden="false" customHeight="false" outlineLevel="0" collapsed="false">
      <c r="A530" s="79" t="n">
        <f aca="false">IF(E530="","",ROW()-6)</f>
        <v>524</v>
      </c>
      <c r="B530" s="80" t="s">
        <v>110</v>
      </c>
      <c r="C530" s="81"/>
      <c r="D530" s="81"/>
      <c r="E530" s="81" t="s">
        <v>634</v>
      </c>
      <c r="F530" s="82" t="str">
        <f aca="false">IF(E530="","",IF(LEFT(E530,2)="DJ","DJ","JN"))</f>
        <v>JN</v>
      </c>
      <c r="G530" s="81"/>
      <c r="H530" s="81"/>
      <c r="I530" s="81"/>
      <c r="J530" s="81"/>
      <c r="K530" s="81"/>
      <c r="L530" s="81"/>
      <c r="M530" s="81"/>
      <c r="N530" s="81"/>
      <c r="O530" s="81"/>
      <c r="P530" s="81"/>
      <c r="Q530" s="81"/>
      <c r="R530" s="81"/>
      <c r="S530" s="81"/>
      <c r="T530" s="81"/>
      <c r="U530" s="83"/>
      <c r="V530" s="83"/>
      <c r="W530" s="81"/>
      <c r="X530" s="81"/>
      <c r="Y530" s="83"/>
      <c r="Z530" s="81"/>
      <c r="AA530" s="81"/>
      <c r="AB530" s="81"/>
      <c r="AC530" s="81"/>
      <c r="AD530" s="81"/>
      <c r="AE530" s="83"/>
      <c r="AF530" s="81"/>
      <c r="AG530" s="81"/>
      <c r="AH530" s="81"/>
      <c r="AI530" s="81"/>
      <c r="AJ530" s="83"/>
      <c r="AK530" s="81"/>
      <c r="AL530" s="81"/>
      <c r="AM530" s="83"/>
      <c r="AN530" s="80"/>
      <c r="AO530" s="82" t="n">
        <f aca="false">IF(E530="","",(AA530&lt;&gt;"")+(AG530&lt;&gt;"")+(AL530&lt;&gt;""))</f>
        <v>0</v>
      </c>
      <c r="AP530" s="82" t="str">
        <f aca="false">IF(AL530&lt;&gt;"",AL530,IF(AG530&lt;&gt;"",AG530,IF(AA530&lt;&gt;"",AA530,"")))</f>
        <v/>
      </c>
      <c r="AQ530" s="84" t="str">
        <f aca="false">IF(E530="","",IF(U530="","À SOUDER",IF(X530="","VT EN ATTENTE",IF(X530="R","VT REJETÉ – À REPRENDRE",IF(AP530="","À RADIOGRAPHIER",IF(AP530="A","ACCEPTÉ",IF(AP530="NX","NX – RT À REFAIRE",IF(IF(AO530=1,AD530,IF(AO530=2,AI530,""))="A","RÉPARÉ – À RADIOGRAPHIER",IF(IF(AO530=1,AD530,IF(AO530=2,AI530,""))="R","VT REJETÉ – À REPRENDRE",IF(OR(AP530="CO",AP530="NT"),"COUPE – À RESOUDER","À RÉPARER"))))))))))</f>
        <v>À SOUDER</v>
      </c>
      <c r="AR530" s="82" t="str">
        <f aca="false">IF(AND(ISNUMBER(U530),OR(AQ530="À RADIOGRAPHIER",AQ530="RÉPARÉ – À RADIOGRAPHIER",AQ530="NX – RT À REFAIRE",AQ530="À RÉPARER",AQ530="COUPE – À RESOUDER",AQ530="VT REJETÉ – À REPRENDRE")),MAX(0,'PROGRAMME RT'!$C$4-U530),"")</f>
        <v/>
      </c>
      <c r="AS530" s="82" t="n">
        <f aca="false">IF(AND(OR(AQ530="À RADIOGRAPHIER",AQ530="RÉPARÉ – À RADIOGRAPHIER",AQ530="NX – RT À REFAIRE"),OR('PROGRAMME RT'!$D$5="TOUTES",B530='PROGRAMME RT'!$D$5)),1,0)</f>
        <v>0</v>
      </c>
      <c r="AT530" s="82" t="str">
        <f aca="false">IF(AS530=1,SUM(AS$7:AS530),"")</f>
        <v/>
      </c>
      <c r="AU530" s="82" t="n">
        <f aca="false">IF(AND(OR(AA530="R",AA530="NX",AA530="NT",AA530="CO"),OR('JOINTS DE RÉPARATION'!$D$5="TOUTES",B530='JOINTS DE RÉPARATION'!$D$5),OR('JOINTS DE RÉPARATION'!$L$4="TOUS",AQ530&lt;&gt;"ACCEPTÉ")),1,0)</f>
        <v>0</v>
      </c>
      <c r="AV530" s="82" t="str">
        <f aca="false">IF(AU530=1,SUM(AU$7:AU530),"")</f>
        <v/>
      </c>
      <c r="AW530" s="82" t="str">
        <f aca="false">IF(E530="","",B530&amp;"|"&amp;E530)</f>
        <v>MFD-ISW → MFD-CPF|JN°524</v>
      </c>
    </row>
    <row r="531" customFormat="false" ht="74.6" hidden="false" customHeight="false" outlineLevel="0" collapsed="false">
      <c r="A531" s="79" t="n">
        <f aca="false">IF(E531="","",ROW()-6)</f>
        <v>525</v>
      </c>
      <c r="B531" s="80" t="s">
        <v>110</v>
      </c>
      <c r="C531" s="81"/>
      <c r="D531" s="81"/>
      <c r="E531" s="81" t="s">
        <v>635</v>
      </c>
      <c r="F531" s="82" t="str">
        <f aca="false">IF(E531="","",IF(LEFT(E531,2)="DJ","DJ","JN"))</f>
        <v>JN</v>
      </c>
      <c r="G531" s="81"/>
      <c r="H531" s="81"/>
      <c r="I531" s="81"/>
      <c r="J531" s="81"/>
      <c r="K531" s="81"/>
      <c r="L531" s="81"/>
      <c r="M531" s="81"/>
      <c r="N531" s="81"/>
      <c r="O531" s="81"/>
      <c r="P531" s="81"/>
      <c r="Q531" s="81"/>
      <c r="R531" s="81"/>
      <c r="S531" s="81"/>
      <c r="T531" s="81"/>
      <c r="U531" s="83"/>
      <c r="V531" s="83"/>
      <c r="W531" s="81"/>
      <c r="X531" s="81"/>
      <c r="Y531" s="83"/>
      <c r="Z531" s="81"/>
      <c r="AA531" s="81"/>
      <c r="AB531" s="81"/>
      <c r="AC531" s="81"/>
      <c r="AD531" s="81"/>
      <c r="AE531" s="83"/>
      <c r="AF531" s="81"/>
      <c r="AG531" s="81"/>
      <c r="AH531" s="81"/>
      <c r="AI531" s="81"/>
      <c r="AJ531" s="83"/>
      <c r="AK531" s="81"/>
      <c r="AL531" s="81"/>
      <c r="AM531" s="83"/>
      <c r="AN531" s="80"/>
      <c r="AO531" s="82" t="n">
        <f aca="false">IF(E531="","",(AA531&lt;&gt;"")+(AG531&lt;&gt;"")+(AL531&lt;&gt;""))</f>
        <v>0</v>
      </c>
      <c r="AP531" s="82" t="str">
        <f aca="false">IF(AL531&lt;&gt;"",AL531,IF(AG531&lt;&gt;"",AG531,IF(AA531&lt;&gt;"",AA531,"")))</f>
        <v/>
      </c>
      <c r="AQ531" s="84" t="str">
        <f aca="false">IF(E531="","",IF(U531="","À SOUDER",IF(X531="","VT EN ATTENTE",IF(X531="R","VT REJETÉ – À REPRENDRE",IF(AP531="","À RADIOGRAPHIER",IF(AP531="A","ACCEPTÉ",IF(AP531="NX","NX – RT À REFAIRE",IF(IF(AO531=1,AD531,IF(AO531=2,AI531,""))="A","RÉPARÉ – À RADIOGRAPHIER",IF(IF(AO531=1,AD531,IF(AO531=2,AI531,""))="R","VT REJETÉ – À REPRENDRE",IF(OR(AP531="CO",AP531="NT"),"COUPE – À RESOUDER","À RÉPARER"))))))))))</f>
        <v>À SOUDER</v>
      </c>
      <c r="AR531" s="82" t="str">
        <f aca="false">IF(AND(ISNUMBER(U531),OR(AQ531="À RADIOGRAPHIER",AQ531="RÉPARÉ – À RADIOGRAPHIER",AQ531="NX – RT À REFAIRE",AQ531="À RÉPARER",AQ531="COUPE – À RESOUDER",AQ531="VT REJETÉ – À REPRENDRE")),MAX(0,'PROGRAMME RT'!$C$4-U531),"")</f>
        <v/>
      </c>
      <c r="AS531" s="82" t="n">
        <f aca="false">IF(AND(OR(AQ531="À RADIOGRAPHIER",AQ531="RÉPARÉ – À RADIOGRAPHIER",AQ531="NX – RT À REFAIRE"),OR('PROGRAMME RT'!$D$5="TOUTES",B531='PROGRAMME RT'!$D$5)),1,0)</f>
        <v>0</v>
      </c>
      <c r="AT531" s="82" t="str">
        <f aca="false">IF(AS531=1,SUM(AS$7:AS531),"")</f>
        <v/>
      </c>
      <c r="AU531" s="82" t="n">
        <f aca="false">IF(AND(OR(AA531="R",AA531="NX",AA531="NT",AA531="CO"),OR('JOINTS DE RÉPARATION'!$D$5="TOUTES",B531='JOINTS DE RÉPARATION'!$D$5),OR('JOINTS DE RÉPARATION'!$L$4="TOUS",AQ531&lt;&gt;"ACCEPTÉ")),1,0)</f>
        <v>0</v>
      </c>
      <c r="AV531" s="82" t="str">
        <f aca="false">IF(AU531=1,SUM(AU$7:AU531),"")</f>
        <v/>
      </c>
      <c r="AW531" s="82" t="str">
        <f aca="false">IF(E531="","",B531&amp;"|"&amp;E531)</f>
        <v>MFD-ISW → MFD-CPF|JN°525</v>
      </c>
    </row>
    <row r="532" customFormat="false" ht="74.6" hidden="false" customHeight="false" outlineLevel="0" collapsed="false">
      <c r="A532" s="79" t="n">
        <f aca="false">IF(E532="","",ROW()-6)</f>
        <v>526</v>
      </c>
      <c r="B532" s="80" t="s">
        <v>110</v>
      </c>
      <c r="C532" s="81"/>
      <c r="D532" s="81"/>
      <c r="E532" s="81" t="s">
        <v>636</v>
      </c>
      <c r="F532" s="82" t="str">
        <f aca="false">IF(E532="","",IF(LEFT(E532,2)="DJ","DJ","JN"))</f>
        <v>JN</v>
      </c>
      <c r="G532" s="81"/>
      <c r="H532" s="81"/>
      <c r="I532" s="81"/>
      <c r="J532" s="81"/>
      <c r="K532" s="81"/>
      <c r="L532" s="81"/>
      <c r="M532" s="81"/>
      <c r="N532" s="81"/>
      <c r="O532" s="81"/>
      <c r="P532" s="81"/>
      <c r="Q532" s="81"/>
      <c r="R532" s="81"/>
      <c r="S532" s="81"/>
      <c r="T532" s="81"/>
      <c r="U532" s="83"/>
      <c r="V532" s="83"/>
      <c r="W532" s="81"/>
      <c r="X532" s="81"/>
      <c r="Y532" s="83"/>
      <c r="Z532" s="81"/>
      <c r="AA532" s="81"/>
      <c r="AB532" s="81"/>
      <c r="AC532" s="81"/>
      <c r="AD532" s="81"/>
      <c r="AE532" s="83"/>
      <c r="AF532" s="81"/>
      <c r="AG532" s="81"/>
      <c r="AH532" s="81"/>
      <c r="AI532" s="81"/>
      <c r="AJ532" s="83"/>
      <c r="AK532" s="81"/>
      <c r="AL532" s="81"/>
      <c r="AM532" s="83"/>
      <c r="AN532" s="80"/>
      <c r="AO532" s="82" t="n">
        <f aca="false">IF(E532="","",(AA532&lt;&gt;"")+(AG532&lt;&gt;"")+(AL532&lt;&gt;""))</f>
        <v>0</v>
      </c>
      <c r="AP532" s="82" t="str">
        <f aca="false">IF(AL532&lt;&gt;"",AL532,IF(AG532&lt;&gt;"",AG532,IF(AA532&lt;&gt;"",AA532,"")))</f>
        <v/>
      </c>
      <c r="AQ532" s="84" t="str">
        <f aca="false">IF(E532="","",IF(U532="","À SOUDER",IF(X532="","VT EN ATTENTE",IF(X532="R","VT REJETÉ – À REPRENDRE",IF(AP532="","À RADIOGRAPHIER",IF(AP532="A","ACCEPTÉ",IF(AP532="NX","NX – RT À REFAIRE",IF(IF(AO532=1,AD532,IF(AO532=2,AI532,""))="A","RÉPARÉ – À RADIOGRAPHIER",IF(IF(AO532=1,AD532,IF(AO532=2,AI532,""))="R","VT REJETÉ – À REPRENDRE",IF(OR(AP532="CO",AP532="NT"),"COUPE – À RESOUDER","À RÉPARER"))))))))))</f>
        <v>À SOUDER</v>
      </c>
      <c r="AR532" s="82" t="str">
        <f aca="false">IF(AND(ISNUMBER(U532),OR(AQ532="À RADIOGRAPHIER",AQ532="RÉPARÉ – À RADIOGRAPHIER",AQ532="NX – RT À REFAIRE",AQ532="À RÉPARER",AQ532="COUPE – À RESOUDER",AQ532="VT REJETÉ – À REPRENDRE")),MAX(0,'PROGRAMME RT'!$C$4-U532),"")</f>
        <v/>
      </c>
      <c r="AS532" s="82" t="n">
        <f aca="false">IF(AND(OR(AQ532="À RADIOGRAPHIER",AQ532="RÉPARÉ – À RADIOGRAPHIER",AQ532="NX – RT À REFAIRE"),OR('PROGRAMME RT'!$D$5="TOUTES",B532='PROGRAMME RT'!$D$5)),1,0)</f>
        <v>0</v>
      </c>
      <c r="AT532" s="82" t="str">
        <f aca="false">IF(AS532=1,SUM(AS$7:AS532),"")</f>
        <v/>
      </c>
      <c r="AU532" s="82" t="n">
        <f aca="false">IF(AND(OR(AA532="R",AA532="NX",AA532="NT",AA532="CO"),OR('JOINTS DE RÉPARATION'!$D$5="TOUTES",B532='JOINTS DE RÉPARATION'!$D$5),OR('JOINTS DE RÉPARATION'!$L$4="TOUS",AQ532&lt;&gt;"ACCEPTÉ")),1,0)</f>
        <v>0</v>
      </c>
      <c r="AV532" s="82" t="str">
        <f aca="false">IF(AU532=1,SUM(AU$7:AU532),"")</f>
        <v/>
      </c>
      <c r="AW532" s="82" t="str">
        <f aca="false">IF(E532="","",B532&amp;"|"&amp;E532)</f>
        <v>MFD-ISW → MFD-CPF|JN°526</v>
      </c>
    </row>
    <row r="533" customFormat="false" ht="74.6" hidden="false" customHeight="false" outlineLevel="0" collapsed="false">
      <c r="A533" s="79" t="n">
        <f aca="false">IF(E533="","",ROW()-6)</f>
        <v>527</v>
      </c>
      <c r="B533" s="80" t="s">
        <v>110</v>
      </c>
      <c r="C533" s="81"/>
      <c r="D533" s="81"/>
      <c r="E533" s="81" t="s">
        <v>637</v>
      </c>
      <c r="F533" s="82" t="str">
        <f aca="false">IF(E533="","",IF(LEFT(E533,2)="DJ","DJ","JN"))</f>
        <v>JN</v>
      </c>
      <c r="G533" s="81"/>
      <c r="H533" s="81"/>
      <c r="I533" s="81"/>
      <c r="J533" s="81"/>
      <c r="K533" s="81"/>
      <c r="L533" s="81"/>
      <c r="M533" s="81"/>
      <c r="N533" s="81"/>
      <c r="O533" s="81"/>
      <c r="P533" s="81"/>
      <c r="Q533" s="81"/>
      <c r="R533" s="81"/>
      <c r="S533" s="81"/>
      <c r="T533" s="81"/>
      <c r="U533" s="83"/>
      <c r="V533" s="83"/>
      <c r="W533" s="81"/>
      <c r="X533" s="81"/>
      <c r="Y533" s="83"/>
      <c r="Z533" s="81"/>
      <c r="AA533" s="81"/>
      <c r="AB533" s="81"/>
      <c r="AC533" s="81"/>
      <c r="AD533" s="81"/>
      <c r="AE533" s="83"/>
      <c r="AF533" s="81"/>
      <c r="AG533" s="81"/>
      <c r="AH533" s="81"/>
      <c r="AI533" s="81"/>
      <c r="AJ533" s="83"/>
      <c r="AK533" s="81"/>
      <c r="AL533" s="81"/>
      <c r="AM533" s="83"/>
      <c r="AN533" s="80"/>
      <c r="AO533" s="82" t="n">
        <f aca="false">IF(E533="","",(AA533&lt;&gt;"")+(AG533&lt;&gt;"")+(AL533&lt;&gt;""))</f>
        <v>0</v>
      </c>
      <c r="AP533" s="82" t="str">
        <f aca="false">IF(AL533&lt;&gt;"",AL533,IF(AG533&lt;&gt;"",AG533,IF(AA533&lt;&gt;"",AA533,"")))</f>
        <v/>
      </c>
      <c r="AQ533" s="84" t="str">
        <f aca="false">IF(E533="","",IF(U533="","À SOUDER",IF(X533="","VT EN ATTENTE",IF(X533="R","VT REJETÉ – À REPRENDRE",IF(AP533="","À RADIOGRAPHIER",IF(AP533="A","ACCEPTÉ",IF(AP533="NX","NX – RT À REFAIRE",IF(IF(AO533=1,AD533,IF(AO533=2,AI533,""))="A","RÉPARÉ – À RADIOGRAPHIER",IF(IF(AO533=1,AD533,IF(AO533=2,AI533,""))="R","VT REJETÉ – À REPRENDRE",IF(OR(AP533="CO",AP533="NT"),"COUPE – À RESOUDER","À RÉPARER"))))))))))</f>
        <v>À SOUDER</v>
      </c>
      <c r="AR533" s="82" t="str">
        <f aca="false">IF(AND(ISNUMBER(U533),OR(AQ533="À RADIOGRAPHIER",AQ533="RÉPARÉ – À RADIOGRAPHIER",AQ533="NX – RT À REFAIRE",AQ533="À RÉPARER",AQ533="COUPE – À RESOUDER",AQ533="VT REJETÉ – À REPRENDRE")),MAX(0,'PROGRAMME RT'!$C$4-U533),"")</f>
        <v/>
      </c>
      <c r="AS533" s="82" t="n">
        <f aca="false">IF(AND(OR(AQ533="À RADIOGRAPHIER",AQ533="RÉPARÉ – À RADIOGRAPHIER",AQ533="NX – RT À REFAIRE"),OR('PROGRAMME RT'!$D$5="TOUTES",B533='PROGRAMME RT'!$D$5)),1,0)</f>
        <v>0</v>
      </c>
      <c r="AT533" s="82" t="str">
        <f aca="false">IF(AS533=1,SUM(AS$7:AS533),"")</f>
        <v/>
      </c>
      <c r="AU533" s="82" t="n">
        <f aca="false">IF(AND(OR(AA533="R",AA533="NX",AA533="NT",AA533="CO"),OR('JOINTS DE RÉPARATION'!$D$5="TOUTES",B533='JOINTS DE RÉPARATION'!$D$5),OR('JOINTS DE RÉPARATION'!$L$4="TOUS",AQ533&lt;&gt;"ACCEPTÉ")),1,0)</f>
        <v>0</v>
      </c>
      <c r="AV533" s="82" t="str">
        <f aca="false">IF(AU533=1,SUM(AU$7:AU533),"")</f>
        <v/>
      </c>
      <c r="AW533" s="82" t="str">
        <f aca="false">IF(E533="","",B533&amp;"|"&amp;E533)</f>
        <v>MFD-ISW → MFD-CPF|JN°527</v>
      </c>
    </row>
    <row r="534" customFormat="false" ht="74.6" hidden="false" customHeight="false" outlineLevel="0" collapsed="false">
      <c r="A534" s="79" t="n">
        <f aca="false">IF(E534="","",ROW()-6)</f>
        <v>528</v>
      </c>
      <c r="B534" s="80" t="s">
        <v>110</v>
      </c>
      <c r="C534" s="81"/>
      <c r="D534" s="81"/>
      <c r="E534" s="81" t="s">
        <v>638</v>
      </c>
      <c r="F534" s="82" t="str">
        <f aca="false">IF(E534="","",IF(LEFT(E534,2)="DJ","DJ","JN"))</f>
        <v>JN</v>
      </c>
      <c r="G534" s="81"/>
      <c r="H534" s="81"/>
      <c r="I534" s="81"/>
      <c r="J534" s="81"/>
      <c r="K534" s="81"/>
      <c r="L534" s="81"/>
      <c r="M534" s="81"/>
      <c r="N534" s="81"/>
      <c r="O534" s="81"/>
      <c r="P534" s="81"/>
      <c r="Q534" s="81"/>
      <c r="R534" s="81"/>
      <c r="S534" s="81"/>
      <c r="T534" s="81"/>
      <c r="U534" s="83"/>
      <c r="V534" s="83"/>
      <c r="W534" s="81"/>
      <c r="X534" s="81"/>
      <c r="Y534" s="83"/>
      <c r="Z534" s="81"/>
      <c r="AA534" s="81"/>
      <c r="AB534" s="81"/>
      <c r="AC534" s="81"/>
      <c r="AD534" s="81"/>
      <c r="AE534" s="83"/>
      <c r="AF534" s="81"/>
      <c r="AG534" s="81"/>
      <c r="AH534" s="81"/>
      <c r="AI534" s="81"/>
      <c r="AJ534" s="83"/>
      <c r="AK534" s="81"/>
      <c r="AL534" s="81"/>
      <c r="AM534" s="83"/>
      <c r="AN534" s="80"/>
      <c r="AO534" s="82" t="n">
        <f aca="false">IF(E534="","",(AA534&lt;&gt;"")+(AG534&lt;&gt;"")+(AL534&lt;&gt;""))</f>
        <v>0</v>
      </c>
      <c r="AP534" s="82" t="str">
        <f aca="false">IF(AL534&lt;&gt;"",AL534,IF(AG534&lt;&gt;"",AG534,IF(AA534&lt;&gt;"",AA534,"")))</f>
        <v/>
      </c>
      <c r="AQ534" s="84" t="str">
        <f aca="false">IF(E534="","",IF(U534="","À SOUDER",IF(X534="","VT EN ATTENTE",IF(X534="R","VT REJETÉ – À REPRENDRE",IF(AP534="","À RADIOGRAPHIER",IF(AP534="A","ACCEPTÉ",IF(AP534="NX","NX – RT À REFAIRE",IF(IF(AO534=1,AD534,IF(AO534=2,AI534,""))="A","RÉPARÉ – À RADIOGRAPHIER",IF(IF(AO534=1,AD534,IF(AO534=2,AI534,""))="R","VT REJETÉ – À REPRENDRE",IF(OR(AP534="CO",AP534="NT"),"COUPE – À RESOUDER","À RÉPARER"))))))))))</f>
        <v>À SOUDER</v>
      </c>
      <c r="AR534" s="82" t="str">
        <f aca="false">IF(AND(ISNUMBER(U534),OR(AQ534="À RADIOGRAPHIER",AQ534="RÉPARÉ – À RADIOGRAPHIER",AQ534="NX – RT À REFAIRE",AQ534="À RÉPARER",AQ534="COUPE – À RESOUDER",AQ534="VT REJETÉ – À REPRENDRE")),MAX(0,'PROGRAMME RT'!$C$4-U534),"")</f>
        <v/>
      </c>
      <c r="AS534" s="82" t="n">
        <f aca="false">IF(AND(OR(AQ534="À RADIOGRAPHIER",AQ534="RÉPARÉ – À RADIOGRAPHIER",AQ534="NX – RT À REFAIRE"),OR('PROGRAMME RT'!$D$5="TOUTES",B534='PROGRAMME RT'!$D$5)),1,0)</f>
        <v>0</v>
      </c>
      <c r="AT534" s="82" t="str">
        <f aca="false">IF(AS534=1,SUM(AS$7:AS534),"")</f>
        <v/>
      </c>
      <c r="AU534" s="82" t="n">
        <f aca="false">IF(AND(OR(AA534="R",AA534="NX",AA534="NT",AA534="CO"),OR('JOINTS DE RÉPARATION'!$D$5="TOUTES",B534='JOINTS DE RÉPARATION'!$D$5),OR('JOINTS DE RÉPARATION'!$L$4="TOUS",AQ534&lt;&gt;"ACCEPTÉ")),1,0)</f>
        <v>0</v>
      </c>
      <c r="AV534" s="82" t="str">
        <f aca="false">IF(AU534=1,SUM(AU$7:AU534),"")</f>
        <v/>
      </c>
      <c r="AW534" s="82" t="str">
        <f aca="false">IF(E534="","",B534&amp;"|"&amp;E534)</f>
        <v>MFD-ISW → MFD-CPF|JN°528</v>
      </c>
    </row>
    <row r="535" customFormat="false" ht="74.6" hidden="false" customHeight="false" outlineLevel="0" collapsed="false">
      <c r="A535" s="79" t="n">
        <f aca="false">IF(E535="","",ROW()-6)</f>
        <v>529</v>
      </c>
      <c r="B535" s="80" t="s">
        <v>110</v>
      </c>
      <c r="C535" s="81"/>
      <c r="D535" s="81"/>
      <c r="E535" s="81" t="s">
        <v>639</v>
      </c>
      <c r="F535" s="82" t="str">
        <f aca="false">IF(E535="","",IF(LEFT(E535,2)="DJ","DJ","JN"))</f>
        <v>JN</v>
      </c>
      <c r="G535" s="81"/>
      <c r="H535" s="81"/>
      <c r="I535" s="81"/>
      <c r="J535" s="81"/>
      <c r="K535" s="81"/>
      <c r="L535" s="81"/>
      <c r="M535" s="81"/>
      <c r="N535" s="81"/>
      <c r="O535" s="81"/>
      <c r="P535" s="81"/>
      <c r="Q535" s="81"/>
      <c r="R535" s="81"/>
      <c r="S535" s="81"/>
      <c r="T535" s="81"/>
      <c r="U535" s="83"/>
      <c r="V535" s="83"/>
      <c r="W535" s="81"/>
      <c r="X535" s="81"/>
      <c r="Y535" s="83"/>
      <c r="Z535" s="81"/>
      <c r="AA535" s="81"/>
      <c r="AB535" s="81"/>
      <c r="AC535" s="81"/>
      <c r="AD535" s="81"/>
      <c r="AE535" s="83"/>
      <c r="AF535" s="81"/>
      <c r="AG535" s="81"/>
      <c r="AH535" s="81"/>
      <c r="AI535" s="81"/>
      <c r="AJ535" s="83"/>
      <c r="AK535" s="81"/>
      <c r="AL535" s="81"/>
      <c r="AM535" s="83"/>
      <c r="AN535" s="80"/>
      <c r="AO535" s="82" t="n">
        <f aca="false">IF(E535="","",(AA535&lt;&gt;"")+(AG535&lt;&gt;"")+(AL535&lt;&gt;""))</f>
        <v>0</v>
      </c>
      <c r="AP535" s="82" t="str">
        <f aca="false">IF(AL535&lt;&gt;"",AL535,IF(AG535&lt;&gt;"",AG535,IF(AA535&lt;&gt;"",AA535,"")))</f>
        <v/>
      </c>
      <c r="AQ535" s="84" t="str">
        <f aca="false">IF(E535="","",IF(U535="","À SOUDER",IF(X535="","VT EN ATTENTE",IF(X535="R","VT REJETÉ – À REPRENDRE",IF(AP535="","À RADIOGRAPHIER",IF(AP535="A","ACCEPTÉ",IF(AP535="NX","NX – RT À REFAIRE",IF(IF(AO535=1,AD535,IF(AO535=2,AI535,""))="A","RÉPARÉ – À RADIOGRAPHIER",IF(IF(AO535=1,AD535,IF(AO535=2,AI535,""))="R","VT REJETÉ – À REPRENDRE",IF(OR(AP535="CO",AP535="NT"),"COUPE – À RESOUDER","À RÉPARER"))))))))))</f>
        <v>À SOUDER</v>
      </c>
      <c r="AR535" s="82" t="str">
        <f aca="false">IF(AND(ISNUMBER(U535),OR(AQ535="À RADIOGRAPHIER",AQ535="RÉPARÉ – À RADIOGRAPHIER",AQ535="NX – RT À REFAIRE",AQ535="À RÉPARER",AQ535="COUPE – À RESOUDER",AQ535="VT REJETÉ – À REPRENDRE")),MAX(0,'PROGRAMME RT'!$C$4-U535),"")</f>
        <v/>
      </c>
      <c r="AS535" s="82" t="n">
        <f aca="false">IF(AND(OR(AQ535="À RADIOGRAPHIER",AQ535="RÉPARÉ – À RADIOGRAPHIER",AQ535="NX – RT À REFAIRE"),OR('PROGRAMME RT'!$D$5="TOUTES",B535='PROGRAMME RT'!$D$5)),1,0)</f>
        <v>0</v>
      </c>
      <c r="AT535" s="82" t="str">
        <f aca="false">IF(AS535=1,SUM(AS$7:AS535),"")</f>
        <v/>
      </c>
      <c r="AU535" s="82" t="n">
        <f aca="false">IF(AND(OR(AA535="R",AA535="NX",AA535="NT",AA535="CO"),OR('JOINTS DE RÉPARATION'!$D$5="TOUTES",B535='JOINTS DE RÉPARATION'!$D$5),OR('JOINTS DE RÉPARATION'!$L$4="TOUS",AQ535&lt;&gt;"ACCEPTÉ")),1,0)</f>
        <v>0</v>
      </c>
      <c r="AV535" s="82" t="str">
        <f aca="false">IF(AU535=1,SUM(AU$7:AU535),"")</f>
        <v/>
      </c>
      <c r="AW535" s="82" t="str">
        <f aca="false">IF(E535="","",B535&amp;"|"&amp;E535)</f>
        <v>MFD-ISW → MFD-CPF|JN°529</v>
      </c>
    </row>
    <row r="536" customFormat="false" ht="74.6" hidden="false" customHeight="false" outlineLevel="0" collapsed="false">
      <c r="A536" s="79" t="n">
        <f aca="false">IF(E536="","",ROW()-6)</f>
        <v>530</v>
      </c>
      <c r="B536" s="80" t="s">
        <v>110</v>
      </c>
      <c r="C536" s="81"/>
      <c r="D536" s="81"/>
      <c r="E536" s="81" t="s">
        <v>640</v>
      </c>
      <c r="F536" s="82" t="str">
        <f aca="false">IF(E536="","",IF(LEFT(E536,2)="DJ","DJ","JN"))</f>
        <v>JN</v>
      </c>
      <c r="G536" s="81"/>
      <c r="H536" s="81"/>
      <c r="I536" s="81"/>
      <c r="J536" s="81"/>
      <c r="K536" s="81"/>
      <c r="L536" s="81"/>
      <c r="M536" s="81"/>
      <c r="N536" s="81"/>
      <c r="O536" s="81"/>
      <c r="P536" s="81"/>
      <c r="Q536" s="81"/>
      <c r="R536" s="81"/>
      <c r="S536" s="81"/>
      <c r="T536" s="81"/>
      <c r="U536" s="83"/>
      <c r="V536" s="83"/>
      <c r="W536" s="81"/>
      <c r="X536" s="81"/>
      <c r="Y536" s="83"/>
      <c r="Z536" s="81"/>
      <c r="AA536" s="81"/>
      <c r="AB536" s="81"/>
      <c r="AC536" s="81"/>
      <c r="AD536" s="81"/>
      <c r="AE536" s="83"/>
      <c r="AF536" s="81"/>
      <c r="AG536" s="81"/>
      <c r="AH536" s="81"/>
      <c r="AI536" s="81"/>
      <c r="AJ536" s="83"/>
      <c r="AK536" s="81"/>
      <c r="AL536" s="81"/>
      <c r="AM536" s="83"/>
      <c r="AN536" s="80"/>
      <c r="AO536" s="82" t="n">
        <f aca="false">IF(E536="","",(AA536&lt;&gt;"")+(AG536&lt;&gt;"")+(AL536&lt;&gt;""))</f>
        <v>0</v>
      </c>
      <c r="AP536" s="82" t="str">
        <f aca="false">IF(AL536&lt;&gt;"",AL536,IF(AG536&lt;&gt;"",AG536,IF(AA536&lt;&gt;"",AA536,"")))</f>
        <v/>
      </c>
      <c r="AQ536" s="84" t="str">
        <f aca="false">IF(E536="","",IF(U536="","À SOUDER",IF(X536="","VT EN ATTENTE",IF(X536="R","VT REJETÉ – À REPRENDRE",IF(AP536="","À RADIOGRAPHIER",IF(AP536="A","ACCEPTÉ",IF(AP536="NX","NX – RT À REFAIRE",IF(IF(AO536=1,AD536,IF(AO536=2,AI536,""))="A","RÉPARÉ – À RADIOGRAPHIER",IF(IF(AO536=1,AD536,IF(AO536=2,AI536,""))="R","VT REJETÉ – À REPRENDRE",IF(OR(AP536="CO",AP536="NT"),"COUPE – À RESOUDER","À RÉPARER"))))))))))</f>
        <v>À SOUDER</v>
      </c>
      <c r="AR536" s="82" t="str">
        <f aca="false">IF(AND(ISNUMBER(U536),OR(AQ536="À RADIOGRAPHIER",AQ536="RÉPARÉ – À RADIOGRAPHIER",AQ536="NX – RT À REFAIRE",AQ536="À RÉPARER",AQ536="COUPE – À RESOUDER",AQ536="VT REJETÉ – À REPRENDRE")),MAX(0,'PROGRAMME RT'!$C$4-U536),"")</f>
        <v/>
      </c>
      <c r="AS536" s="82" t="n">
        <f aca="false">IF(AND(OR(AQ536="À RADIOGRAPHIER",AQ536="RÉPARÉ – À RADIOGRAPHIER",AQ536="NX – RT À REFAIRE"),OR('PROGRAMME RT'!$D$5="TOUTES",B536='PROGRAMME RT'!$D$5)),1,0)</f>
        <v>0</v>
      </c>
      <c r="AT536" s="82" t="str">
        <f aca="false">IF(AS536=1,SUM(AS$7:AS536),"")</f>
        <v/>
      </c>
      <c r="AU536" s="82" t="n">
        <f aca="false">IF(AND(OR(AA536="R",AA536="NX",AA536="NT",AA536="CO"),OR('JOINTS DE RÉPARATION'!$D$5="TOUTES",B536='JOINTS DE RÉPARATION'!$D$5),OR('JOINTS DE RÉPARATION'!$L$4="TOUS",AQ536&lt;&gt;"ACCEPTÉ")),1,0)</f>
        <v>0</v>
      </c>
      <c r="AV536" s="82" t="str">
        <f aca="false">IF(AU536=1,SUM(AU$7:AU536),"")</f>
        <v/>
      </c>
      <c r="AW536" s="82" t="str">
        <f aca="false">IF(E536="","",B536&amp;"|"&amp;E536)</f>
        <v>MFD-ISW → MFD-CPF|JN°530</v>
      </c>
    </row>
    <row r="537" customFormat="false" ht="74.6" hidden="false" customHeight="false" outlineLevel="0" collapsed="false">
      <c r="A537" s="79" t="n">
        <f aca="false">IF(E537="","",ROW()-6)</f>
        <v>531</v>
      </c>
      <c r="B537" s="80" t="s">
        <v>110</v>
      </c>
      <c r="C537" s="81"/>
      <c r="D537" s="81"/>
      <c r="E537" s="81" t="s">
        <v>641</v>
      </c>
      <c r="F537" s="82" t="str">
        <f aca="false">IF(E537="","",IF(LEFT(E537,2)="DJ","DJ","JN"))</f>
        <v>JN</v>
      </c>
      <c r="G537" s="81"/>
      <c r="H537" s="81"/>
      <c r="I537" s="81"/>
      <c r="J537" s="81"/>
      <c r="K537" s="81"/>
      <c r="L537" s="81"/>
      <c r="M537" s="81"/>
      <c r="N537" s="81"/>
      <c r="O537" s="81"/>
      <c r="P537" s="81"/>
      <c r="Q537" s="81"/>
      <c r="R537" s="81"/>
      <c r="S537" s="81"/>
      <c r="T537" s="81"/>
      <c r="U537" s="83"/>
      <c r="V537" s="83"/>
      <c r="W537" s="81"/>
      <c r="X537" s="81"/>
      <c r="Y537" s="83"/>
      <c r="Z537" s="81"/>
      <c r="AA537" s="81"/>
      <c r="AB537" s="81"/>
      <c r="AC537" s="81"/>
      <c r="AD537" s="81"/>
      <c r="AE537" s="83"/>
      <c r="AF537" s="81"/>
      <c r="AG537" s="81"/>
      <c r="AH537" s="81"/>
      <c r="AI537" s="81"/>
      <c r="AJ537" s="83"/>
      <c r="AK537" s="81"/>
      <c r="AL537" s="81"/>
      <c r="AM537" s="83"/>
      <c r="AN537" s="80"/>
      <c r="AO537" s="82" t="n">
        <f aca="false">IF(E537="","",(AA537&lt;&gt;"")+(AG537&lt;&gt;"")+(AL537&lt;&gt;""))</f>
        <v>0</v>
      </c>
      <c r="AP537" s="82" t="str">
        <f aca="false">IF(AL537&lt;&gt;"",AL537,IF(AG537&lt;&gt;"",AG537,IF(AA537&lt;&gt;"",AA537,"")))</f>
        <v/>
      </c>
      <c r="AQ537" s="84" t="str">
        <f aca="false">IF(E537="","",IF(U537="","À SOUDER",IF(X537="","VT EN ATTENTE",IF(X537="R","VT REJETÉ – À REPRENDRE",IF(AP537="","À RADIOGRAPHIER",IF(AP537="A","ACCEPTÉ",IF(AP537="NX","NX – RT À REFAIRE",IF(IF(AO537=1,AD537,IF(AO537=2,AI537,""))="A","RÉPARÉ – À RADIOGRAPHIER",IF(IF(AO537=1,AD537,IF(AO537=2,AI537,""))="R","VT REJETÉ – À REPRENDRE",IF(OR(AP537="CO",AP537="NT"),"COUPE – À RESOUDER","À RÉPARER"))))))))))</f>
        <v>À SOUDER</v>
      </c>
      <c r="AR537" s="82" t="str">
        <f aca="false">IF(AND(ISNUMBER(U537),OR(AQ537="À RADIOGRAPHIER",AQ537="RÉPARÉ – À RADIOGRAPHIER",AQ537="NX – RT À REFAIRE",AQ537="À RÉPARER",AQ537="COUPE – À RESOUDER",AQ537="VT REJETÉ – À REPRENDRE")),MAX(0,'PROGRAMME RT'!$C$4-U537),"")</f>
        <v/>
      </c>
      <c r="AS537" s="82" t="n">
        <f aca="false">IF(AND(OR(AQ537="À RADIOGRAPHIER",AQ537="RÉPARÉ – À RADIOGRAPHIER",AQ537="NX – RT À REFAIRE"),OR('PROGRAMME RT'!$D$5="TOUTES",B537='PROGRAMME RT'!$D$5)),1,0)</f>
        <v>0</v>
      </c>
      <c r="AT537" s="82" t="str">
        <f aca="false">IF(AS537=1,SUM(AS$7:AS537),"")</f>
        <v/>
      </c>
      <c r="AU537" s="82" t="n">
        <f aca="false">IF(AND(OR(AA537="R",AA537="NX",AA537="NT",AA537="CO"),OR('JOINTS DE RÉPARATION'!$D$5="TOUTES",B537='JOINTS DE RÉPARATION'!$D$5),OR('JOINTS DE RÉPARATION'!$L$4="TOUS",AQ537&lt;&gt;"ACCEPTÉ")),1,0)</f>
        <v>0</v>
      </c>
      <c r="AV537" s="82" t="str">
        <f aca="false">IF(AU537=1,SUM(AU$7:AU537),"")</f>
        <v/>
      </c>
      <c r="AW537" s="82" t="str">
        <f aca="false">IF(E537="","",B537&amp;"|"&amp;E537)</f>
        <v>MFD-ISW → MFD-CPF|JN°531</v>
      </c>
    </row>
    <row r="538" customFormat="false" ht="74.6" hidden="false" customHeight="false" outlineLevel="0" collapsed="false">
      <c r="A538" s="79" t="n">
        <f aca="false">IF(E538="","",ROW()-6)</f>
        <v>532</v>
      </c>
      <c r="B538" s="80" t="s">
        <v>110</v>
      </c>
      <c r="C538" s="81"/>
      <c r="D538" s="81"/>
      <c r="E538" s="81" t="s">
        <v>642</v>
      </c>
      <c r="F538" s="82" t="str">
        <f aca="false">IF(E538="","",IF(LEFT(E538,2)="DJ","DJ","JN"))</f>
        <v>JN</v>
      </c>
      <c r="G538" s="81"/>
      <c r="H538" s="81"/>
      <c r="I538" s="81"/>
      <c r="J538" s="81"/>
      <c r="K538" s="81"/>
      <c r="L538" s="81"/>
      <c r="M538" s="81"/>
      <c r="N538" s="81"/>
      <c r="O538" s="81"/>
      <c r="P538" s="81"/>
      <c r="Q538" s="81"/>
      <c r="R538" s="81"/>
      <c r="S538" s="81"/>
      <c r="T538" s="81"/>
      <c r="U538" s="83"/>
      <c r="V538" s="83"/>
      <c r="W538" s="81"/>
      <c r="X538" s="81"/>
      <c r="Y538" s="83"/>
      <c r="Z538" s="81"/>
      <c r="AA538" s="81"/>
      <c r="AB538" s="81"/>
      <c r="AC538" s="81"/>
      <c r="AD538" s="81"/>
      <c r="AE538" s="83"/>
      <c r="AF538" s="81"/>
      <c r="AG538" s="81"/>
      <c r="AH538" s="81"/>
      <c r="AI538" s="81"/>
      <c r="AJ538" s="83"/>
      <c r="AK538" s="81"/>
      <c r="AL538" s="81"/>
      <c r="AM538" s="83"/>
      <c r="AN538" s="80"/>
      <c r="AO538" s="82" t="n">
        <f aca="false">IF(E538="","",(AA538&lt;&gt;"")+(AG538&lt;&gt;"")+(AL538&lt;&gt;""))</f>
        <v>0</v>
      </c>
      <c r="AP538" s="82" t="str">
        <f aca="false">IF(AL538&lt;&gt;"",AL538,IF(AG538&lt;&gt;"",AG538,IF(AA538&lt;&gt;"",AA538,"")))</f>
        <v/>
      </c>
      <c r="AQ538" s="84" t="str">
        <f aca="false">IF(E538="","",IF(U538="","À SOUDER",IF(X538="","VT EN ATTENTE",IF(X538="R","VT REJETÉ – À REPRENDRE",IF(AP538="","À RADIOGRAPHIER",IF(AP538="A","ACCEPTÉ",IF(AP538="NX","NX – RT À REFAIRE",IF(IF(AO538=1,AD538,IF(AO538=2,AI538,""))="A","RÉPARÉ – À RADIOGRAPHIER",IF(IF(AO538=1,AD538,IF(AO538=2,AI538,""))="R","VT REJETÉ – À REPRENDRE",IF(OR(AP538="CO",AP538="NT"),"COUPE – À RESOUDER","À RÉPARER"))))))))))</f>
        <v>À SOUDER</v>
      </c>
      <c r="AR538" s="82" t="str">
        <f aca="false">IF(AND(ISNUMBER(U538),OR(AQ538="À RADIOGRAPHIER",AQ538="RÉPARÉ – À RADIOGRAPHIER",AQ538="NX – RT À REFAIRE",AQ538="À RÉPARER",AQ538="COUPE – À RESOUDER",AQ538="VT REJETÉ – À REPRENDRE")),MAX(0,'PROGRAMME RT'!$C$4-U538),"")</f>
        <v/>
      </c>
      <c r="AS538" s="82" t="n">
        <f aca="false">IF(AND(OR(AQ538="À RADIOGRAPHIER",AQ538="RÉPARÉ – À RADIOGRAPHIER",AQ538="NX – RT À REFAIRE"),OR('PROGRAMME RT'!$D$5="TOUTES",B538='PROGRAMME RT'!$D$5)),1,0)</f>
        <v>0</v>
      </c>
      <c r="AT538" s="82" t="str">
        <f aca="false">IF(AS538=1,SUM(AS$7:AS538),"")</f>
        <v/>
      </c>
      <c r="AU538" s="82" t="n">
        <f aca="false">IF(AND(OR(AA538="R",AA538="NX",AA538="NT",AA538="CO"),OR('JOINTS DE RÉPARATION'!$D$5="TOUTES",B538='JOINTS DE RÉPARATION'!$D$5),OR('JOINTS DE RÉPARATION'!$L$4="TOUS",AQ538&lt;&gt;"ACCEPTÉ")),1,0)</f>
        <v>0</v>
      </c>
      <c r="AV538" s="82" t="str">
        <f aca="false">IF(AU538=1,SUM(AU$7:AU538),"")</f>
        <v/>
      </c>
      <c r="AW538" s="82" t="str">
        <f aca="false">IF(E538="","",B538&amp;"|"&amp;E538)</f>
        <v>MFD-ISW → MFD-CPF|JN°532</v>
      </c>
    </row>
    <row r="539" customFormat="false" ht="74.6" hidden="false" customHeight="false" outlineLevel="0" collapsed="false">
      <c r="A539" s="79" t="n">
        <f aca="false">IF(E539="","",ROW()-6)</f>
        <v>533</v>
      </c>
      <c r="B539" s="80" t="s">
        <v>110</v>
      </c>
      <c r="C539" s="81"/>
      <c r="D539" s="81"/>
      <c r="E539" s="81" t="s">
        <v>643</v>
      </c>
      <c r="F539" s="82" t="str">
        <f aca="false">IF(E539="","",IF(LEFT(E539,2)="DJ","DJ","JN"))</f>
        <v>JN</v>
      </c>
      <c r="G539" s="81"/>
      <c r="H539" s="81"/>
      <c r="I539" s="81"/>
      <c r="J539" s="81"/>
      <c r="K539" s="81"/>
      <c r="L539" s="81"/>
      <c r="M539" s="81"/>
      <c r="N539" s="81"/>
      <c r="O539" s="81"/>
      <c r="P539" s="81"/>
      <c r="Q539" s="81"/>
      <c r="R539" s="81"/>
      <c r="S539" s="81"/>
      <c r="T539" s="81"/>
      <c r="U539" s="83"/>
      <c r="V539" s="83"/>
      <c r="W539" s="81"/>
      <c r="X539" s="81"/>
      <c r="Y539" s="83"/>
      <c r="Z539" s="81"/>
      <c r="AA539" s="81"/>
      <c r="AB539" s="81"/>
      <c r="AC539" s="81"/>
      <c r="AD539" s="81"/>
      <c r="AE539" s="83"/>
      <c r="AF539" s="81"/>
      <c r="AG539" s="81"/>
      <c r="AH539" s="81"/>
      <c r="AI539" s="81"/>
      <c r="AJ539" s="83"/>
      <c r="AK539" s="81"/>
      <c r="AL539" s="81"/>
      <c r="AM539" s="83"/>
      <c r="AN539" s="80"/>
      <c r="AO539" s="82" t="n">
        <f aca="false">IF(E539="","",(AA539&lt;&gt;"")+(AG539&lt;&gt;"")+(AL539&lt;&gt;""))</f>
        <v>0</v>
      </c>
      <c r="AP539" s="82" t="str">
        <f aca="false">IF(AL539&lt;&gt;"",AL539,IF(AG539&lt;&gt;"",AG539,IF(AA539&lt;&gt;"",AA539,"")))</f>
        <v/>
      </c>
      <c r="AQ539" s="84" t="str">
        <f aca="false">IF(E539="","",IF(U539="","À SOUDER",IF(X539="","VT EN ATTENTE",IF(X539="R","VT REJETÉ – À REPRENDRE",IF(AP539="","À RADIOGRAPHIER",IF(AP539="A","ACCEPTÉ",IF(AP539="NX","NX – RT À REFAIRE",IF(IF(AO539=1,AD539,IF(AO539=2,AI539,""))="A","RÉPARÉ – À RADIOGRAPHIER",IF(IF(AO539=1,AD539,IF(AO539=2,AI539,""))="R","VT REJETÉ – À REPRENDRE",IF(OR(AP539="CO",AP539="NT"),"COUPE – À RESOUDER","À RÉPARER"))))))))))</f>
        <v>À SOUDER</v>
      </c>
      <c r="AR539" s="82" t="str">
        <f aca="false">IF(AND(ISNUMBER(U539),OR(AQ539="À RADIOGRAPHIER",AQ539="RÉPARÉ – À RADIOGRAPHIER",AQ539="NX – RT À REFAIRE",AQ539="À RÉPARER",AQ539="COUPE – À RESOUDER",AQ539="VT REJETÉ – À REPRENDRE")),MAX(0,'PROGRAMME RT'!$C$4-U539),"")</f>
        <v/>
      </c>
      <c r="AS539" s="82" t="n">
        <f aca="false">IF(AND(OR(AQ539="À RADIOGRAPHIER",AQ539="RÉPARÉ – À RADIOGRAPHIER",AQ539="NX – RT À REFAIRE"),OR('PROGRAMME RT'!$D$5="TOUTES",B539='PROGRAMME RT'!$D$5)),1,0)</f>
        <v>0</v>
      </c>
      <c r="AT539" s="82" t="str">
        <f aca="false">IF(AS539=1,SUM(AS$7:AS539),"")</f>
        <v/>
      </c>
      <c r="AU539" s="82" t="n">
        <f aca="false">IF(AND(OR(AA539="R",AA539="NX",AA539="NT",AA539="CO"),OR('JOINTS DE RÉPARATION'!$D$5="TOUTES",B539='JOINTS DE RÉPARATION'!$D$5),OR('JOINTS DE RÉPARATION'!$L$4="TOUS",AQ539&lt;&gt;"ACCEPTÉ")),1,0)</f>
        <v>0</v>
      </c>
      <c r="AV539" s="82" t="str">
        <f aca="false">IF(AU539=1,SUM(AU$7:AU539),"")</f>
        <v/>
      </c>
      <c r="AW539" s="82" t="str">
        <f aca="false">IF(E539="","",B539&amp;"|"&amp;E539)</f>
        <v>MFD-ISW → MFD-CPF|JN°533</v>
      </c>
    </row>
    <row r="540" customFormat="false" ht="74.6" hidden="false" customHeight="false" outlineLevel="0" collapsed="false">
      <c r="A540" s="79" t="n">
        <f aca="false">IF(E540="","",ROW()-6)</f>
        <v>534</v>
      </c>
      <c r="B540" s="80" t="s">
        <v>110</v>
      </c>
      <c r="C540" s="81"/>
      <c r="D540" s="81"/>
      <c r="E540" s="81" t="s">
        <v>644</v>
      </c>
      <c r="F540" s="82" t="str">
        <f aca="false">IF(E540="","",IF(LEFT(E540,2)="DJ","DJ","JN"))</f>
        <v>JN</v>
      </c>
      <c r="G540" s="81"/>
      <c r="H540" s="81"/>
      <c r="I540" s="81"/>
      <c r="J540" s="81"/>
      <c r="K540" s="81"/>
      <c r="L540" s="81"/>
      <c r="M540" s="81"/>
      <c r="N540" s="81"/>
      <c r="O540" s="81"/>
      <c r="P540" s="81"/>
      <c r="Q540" s="81"/>
      <c r="R540" s="81"/>
      <c r="S540" s="81"/>
      <c r="T540" s="81"/>
      <c r="U540" s="83"/>
      <c r="V540" s="83"/>
      <c r="W540" s="81"/>
      <c r="X540" s="81"/>
      <c r="Y540" s="83"/>
      <c r="Z540" s="81"/>
      <c r="AA540" s="81"/>
      <c r="AB540" s="81"/>
      <c r="AC540" s="81"/>
      <c r="AD540" s="81"/>
      <c r="AE540" s="83"/>
      <c r="AF540" s="81"/>
      <c r="AG540" s="81"/>
      <c r="AH540" s="81"/>
      <c r="AI540" s="81"/>
      <c r="AJ540" s="83"/>
      <c r="AK540" s="81"/>
      <c r="AL540" s="81"/>
      <c r="AM540" s="83"/>
      <c r="AN540" s="80"/>
      <c r="AO540" s="82" t="n">
        <f aca="false">IF(E540="","",(AA540&lt;&gt;"")+(AG540&lt;&gt;"")+(AL540&lt;&gt;""))</f>
        <v>0</v>
      </c>
      <c r="AP540" s="82" t="str">
        <f aca="false">IF(AL540&lt;&gt;"",AL540,IF(AG540&lt;&gt;"",AG540,IF(AA540&lt;&gt;"",AA540,"")))</f>
        <v/>
      </c>
      <c r="AQ540" s="84" t="str">
        <f aca="false">IF(E540="","",IF(U540="","À SOUDER",IF(X540="","VT EN ATTENTE",IF(X540="R","VT REJETÉ – À REPRENDRE",IF(AP540="","À RADIOGRAPHIER",IF(AP540="A","ACCEPTÉ",IF(AP540="NX","NX – RT À REFAIRE",IF(IF(AO540=1,AD540,IF(AO540=2,AI540,""))="A","RÉPARÉ – À RADIOGRAPHIER",IF(IF(AO540=1,AD540,IF(AO540=2,AI540,""))="R","VT REJETÉ – À REPRENDRE",IF(OR(AP540="CO",AP540="NT"),"COUPE – À RESOUDER","À RÉPARER"))))))))))</f>
        <v>À SOUDER</v>
      </c>
      <c r="AR540" s="82" t="str">
        <f aca="false">IF(AND(ISNUMBER(U540),OR(AQ540="À RADIOGRAPHIER",AQ540="RÉPARÉ – À RADIOGRAPHIER",AQ540="NX – RT À REFAIRE",AQ540="À RÉPARER",AQ540="COUPE – À RESOUDER",AQ540="VT REJETÉ – À REPRENDRE")),MAX(0,'PROGRAMME RT'!$C$4-U540),"")</f>
        <v/>
      </c>
      <c r="AS540" s="82" t="n">
        <f aca="false">IF(AND(OR(AQ540="À RADIOGRAPHIER",AQ540="RÉPARÉ – À RADIOGRAPHIER",AQ540="NX – RT À REFAIRE"),OR('PROGRAMME RT'!$D$5="TOUTES",B540='PROGRAMME RT'!$D$5)),1,0)</f>
        <v>0</v>
      </c>
      <c r="AT540" s="82" t="str">
        <f aca="false">IF(AS540=1,SUM(AS$7:AS540),"")</f>
        <v/>
      </c>
      <c r="AU540" s="82" t="n">
        <f aca="false">IF(AND(OR(AA540="R",AA540="NX",AA540="NT",AA540="CO"),OR('JOINTS DE RÉPARATION'!$D$5="TOUTES",B540='JOINTS DE RÉPARATION'!$D$5),OR('JOINTS DE RÉPARATION'!$L$4="TOUS",AQ540&lt;&gt;"ACCEPTÉ")),1,0)</f>
        <v>0</v>
      </c>
      <c r="AV540" s="82" t="str">
        <f aca="false">IF(AU540=1,SUM(AU$7:AU540),"")</f>
        <v/>
      </c>
      <c r="AW540" s="82" t="str">
        <f aca="false">IF(E540="","",B540&amp;"|"&amp;E540)</f>
        <v>MFD-ISW → MFD-CPF|JN°534</v>
      </c>
    </row>
    <row r="541" customFormat="false" ht="74.6" hidden="false" customHeight="false" outlineLevel="0" collapsed="false">
      <c r="A541" s="79" t="n">
        <f aca="false">IF(E541="","",ROW()-6)</f>
        <v>535</v>
      </c>
      <c r="B541" s="80" t="s">
        <v>110</v>
      </c>
      <c r="C541" s="81"/>
      <c r="D541" s="81"/>
      <c r="E541" s="81" t="s">
        <v>645</v>
      </c>
      <c r="F541" s="82" t="str">
        <f aca="false">IF(E541="","",IF(LEFT(E541,2)="DJ","DJ","JN"))</f>
        <v>JN</v>
      </c>
      <c r="G541" s="81"/>
      <c r="H541" s="81"/>
      <c r="I541" s="81"/>
      <c r="J541" s="81"/>
      <c r="K541" s="81"/>
      <c r="L541" s="81"/>
      <c r="M541" s="81"/>
      <c r="N541" s="81"/>
      <c r="O541" s="81"/>
      <c r="P541" s="81"/>
      <c r="Q541" s="81"/>
      <c r="R541" s="81"/>
      <c r="S541" s="81"/>
      <c r="T541" s="81"/>
      <c r="U541" s="83"/>
      <c r="V541" s="83"/>
      <c r="W541" s="81"/>
      <c r="X541" s="81"/>
      <c r="Y541" s="83"/>
      <c r="Z541" s="81"/>
      <c r="AA541" s="81"/>
      <c r="AB541" s="81"/>
      <c r="AC541" s="81"/>
      <c r="AD541" s="81"/>
      <c r="AE541" s="83"/>
      <c r="AF541" s="81"/>
      <c r="AG541" s="81"/>
      <c r="AH541" s="81"/>
      <c r="AI541" s="81"/>
      <c r="AJ541" s="83"/>
      <c r="AK541" s="81"/>
      <c r="AL541" s="81"/>
      <c r="AM541" s="83"/>
      <c r="AN541" s="80"/>
      <c r="AO541" s="82" t="n">
        <f aca="false">IF(E541="","",(AA541&lt;&gt;"")+(AG541&lt;&gt;"")+(AL541&lt;&gt;""))</f>
        <v>0</v>
      </c>
      <c r="AP541" s="82" t="str">
        <f aca="false">IF(AL541&lt;&gt;"",AL541,IF(AG541&lt;&gt;"",AG541,IF(AA541&lt;&gt;"",AA541,"")))</f>
        <v/>
      </c>
      <c r="AQ541" s="84" t="str">
        <f aca="false">IF(E541="","",IF(U541="","À SOUDER",IF(X541="","VT EN ATTENTE",IF(X541="R","VT REJETÉ – À REPRENDRE",IF(AP541="","À RADIOGRAPHIER",IF(AP541="A","ACCEPTÉ",IF(AP541="NX","NX – RT À REFAIRE",IF(IF(AO541=1,AD541,IF(AO541=2,AI541,""))="A","RÉPARÉ – À RADIOGRAPHIER",IF(IF(AO541=1,AD541,IF(AO541=2,AI541,""))="R","VT REJETÉ – À REPRENDRE",IF(OR(AP541="CO",AP541="NT"),"COUPE – À RESOUDER","À RÉPARER"))))))))))</f>
        <v>À SOUDER</v>
      </c>
      <c r="AR541" s="82" t="str">
        <f aca="false">IF(AND(ISNUMBER(U541),OR(AQ541="À RADIOGRAPHIER",AQ541="RÉPARÉ – À RADIOGRAPHIER",AQ541="NX – RT À REFAIRE",AQ541="À RÉPARER",AQ541="COUPE – À RESOUDER",AQ541="VT REJETÉ – À REPRENDRE")),MAX(0,'PROGRAMME RT'!$C$4-U541),"")</f>
        <v/>
      </c>
      <c r="AS541" s="82" t="n">
        <f aca="false">IF(AND(OR(AQ541="À RADIOGRAPHIER",AQ541="RÉPARÉ – À RADIOGRAPHIER",AQ541="NX – RT À REFAIRE"),OR('PROGRAMME RT'!$D$5="TOUTES",B541='PROGRAMME RT'!$D$5)),1,0)</f>
        <v>0</v>
      </c>
      <c r="AT541" s="82" t="str">
        <f aca="false">IF(AS541=1,SUM(AS$7:AS541),"")</f>
        <v/>
      </c>
      <c r="AU541" s="82" t="n">
        <f aca="false">IF(AND(OR(AA541="R",AA541="NX",AA541="NT",AA541="CO"),OR('JOINTS DE RÉPARATION'!$D$5="TOUTES",B541='JOINTS DE RÉPARATION'!$D$5),OR('JOINTS DE RÉPARATION'!$L$4="TOUS",AQ541&lt;&gt;"ACCEPTÉ")),1,0)</f>
        <v>0</v>
      </c>
      <c r="AV541" s="82" t="str">
        <f aca="false">IF(AU541=1,SUM(AU$7:AU541),"")</f>
        <v/>
      </c>
      <c r="AW541" s="82" t="str">
        <f aca="false">IF(E541="","",B541&amp;"|"&amp;E541)</f>
        <v>MFD-ISW → MFD-CPF|JN°535</v>
      </c>
    </row>
    <row r="542" customFormat="false" ht="74.6" hidden="false" customHeight="false" outlineLevel="0" collapsed="false">
      <c r="A542" s="79" t="n">
        <f aca="false">IF(E542="","",ROW()-6)</f>
        <v>536</v>
      </c>
      <c r="B542" s="80" t="s">
        <v>110</v>
      </c>
      <c r="C542" s="81"/>
      <c r="D542" s="81"/>
      <c r="E542" s="81" t="s">
        <v>646</v>
      </c>
      <c r="F542" s="82" t="str">
        <f aca="false">IF(E542="","",IF(LEFT(E542,2)="DJ","DJ","JN"))</f>
        <v>JN</v>
      </c>
      <c r="G542" s="81"/>
      <c r="H542" s="81"/>
      <c r="I542" s="81"/>
      <c r="J542" s="81"/>
      <c r="K542" s="81"/>
      <c r="L542" s="81"/>
      <c r="M542" s="81"/>
      <c r="N542" s="81"/>
      <c r="O542" s="81"/>
      <c r="P542" s="81"/>
      <c r="Q542" s="81"/>
      <c r="R542" s="81"/>
      <c r="S542" s="81"/>
      <c r="T542" s="81"/>
      <c r="U542" s="83"/>
      <c r="V542" s="83"/>
      <c r="W542" s="81"/>
      <c r="X542" s="81"/>
      <c r="Y542" s="83"/>
      <c r="Z542" s="81"/>
      <c r="AA542" s="81"/>
      <c r="AB542" s="81"/>
      <c r="AC542" s="81"/>
      <c r="AD542" s="81"/>
      <c r="AE542" s="83"/>
      <c r="AF542" s="81"/>
      <c r="AG542" s="81"/>
      <c r="AH542" s="81"/>
      <c r="AI542" s="81"/>
      <c r="AJ542" s="83"/>
      <c r="AK542" s="81"/>
      <c r="AL542" s="81"/>
      <c r="AM542" s="83"/>
      <c r="AN542" s="80"/>
      <c r="AO542" s="82" t="n">
        <f aca="false">IF(E542="","",(AA542&lt;&gt;"")+(AG542&lt;&gt;"")+(AL542&lt;&gt;""))</f>
        <v>0</v>
      </c>
      <c r="AP542" s="82" t="str">
        <f aca="false">IF(AL542&lt;&gt;"",AL542,IF(AG542&lt;&gt;"",AG542,IF(AA542&lt;&gt;"",AA542,"")))</f>
        <v/>
      </c>
      <c r="AQ542" s="84" t="str">
        <f aca="false">IF(E542="","",IF(U542="","À SOUDER",IF(X542="","VT EN ATTENTE",IF(X542="R","VT REJETÉ – À REPRENDRE",IF(AP542="","À RADIOGRAPHIER",IF(AP542="A","ACCEPTÉ",IF(AP542="NX","NX – RT À REFAIRE",IF(IF(AO542=1,AD542,IF(AO542=2,AI542,""))="A","RÉPARÉ – À RADIOGRAPHIER",IF(IF(AO542=1,AD542,IF(AO542=2,AI542,""))="R","VT REJETÉ – À REPRENDRE",IF(OR(AP542="CO",AP542="NT"),"COUPE – À RESOUDER","À RÉPARER"))))))))))</f>
        <v>À SOUDER</v>
      </c>
      <c r="AR542" s="82" t="str">
        <f aca="false">IF(AND(ISNUMBER(U542),OR(AQ542="À RADIOGRAPHIER",AQ542="RÉPARÉ – À RADIOGRAPHIER",AQ542="NX – RT À REFAIRE",AQ542="À RÉPARER",AQ542="COUPE – À RESOUDER",AQ542="VT REJETÉ – À REPRENDRE")),MAX(0,'PROGRAMME RT'!$C$4-U542),"")</f>
        <v/>
      </c>
      <c r="AS542" s="82" t="n">
        <f aca="false">IF(AND(OR(AQ542="À RADIOGRAPHIER",AQ542="RÉPARÉ – À RADIOGRAPHIER",AQ542="NX – RT À REFAIRE"),OR('PROGRAMME RT'!$D$5="TOUTES",B542='PROGRAMME RT'!$D$5)),1,0)</f>
        <v>0</v>
      </c>
      <c r="AT542" s="82" t="str">
        <f aca="false">IF(AS542=1,SUM(AS$7:AS542),"")</f>
        <v/>
      </c>
      <c r="AU542" s="82" t="n">
        <f aca="false">IF(AND(OR(AA542="R",AA542="NX",AA542="NT",AA542="CO"),OR('JOINTS DE RÉPARATION'!$D$5="TOUTES",B542='JOINTS DE RÉPARATION'!$D$5),OR('JOINTS DE RÉPARATION'!$L$4="TOUS",AQ542&lt;&gt;"ACCEPTÉ")),1,0)</f>
        <v>0</v>
      </c>
      <c r="AV542" s="82" t="str">
        <f aca="false">IF(AU542=1,SUM(AU$7:AU542),"")</f>
        <v/>
      </c>
      <c r="AW542" s="82" t="str">
        <f aca="false">IF(E542="","",B542&amp;"|"&amp;E542)</f>
        <v>MFD-ISW → MFD-CPF|JN°536</v>
      </c>
    </row>
    <row r="543" customFormat="false" ht="74.6" hidden="false" customHeight="false" outlineLevel="0" collapsed="false">
      <c r="A543" s="79" t="n">
        <f aca="false">IF(E543="","",ROW()-6)</f>
        <v>537</v>
      </c>
      <c r="B543" s="80" t="s">
        <v>110</v>
      </c>
      <c r="C543" s="81"/>
      <c r="D543" s="81"/>
      <c r="E543" s="81" t="s">
        <v>647</v>
      </c>
      <c r="F543" s="82" t="str">
        <f aca="false">IF(E543="","",IF(LEFT(E543,2)="DJ","DJ","JN"))</f>
        <v>JN</v>
      </c>
      <c r="G543" s="81"/>
      <c r="H543" s="81"/>
      <c r="I543" s="81"/>
      <c r="J543" s="81"/>
      <c r="K543" s="81"/>
      <c r="L543" s="81"/>
      <c r="M543" s="81"/>
      <c r="N543" s="81"/>
      <c r="O543" s="81"/>
      <c r="P543" s="81"/>
      <c r="Q543" s="81"/>
      <c r="R543" s="81"/>
      <c r="S543" s="81"/>
      <c r="T543" s="81"/>
      <c r="U543" s="83"/>
      <c r="V543" s="83"/>
      <c r="W543" s="81"/>
      <c r="X543" s="81"/>
      <c r="Y543" s="83"/>
      <c r="Z543" s="81"/>
      <c r="AA543" s="81"/>
      <c r="AB543" s="81"/>
      <c r="AC543" s="81"/>
      <c r="AD543" s="81"/>
      <c r="AE543" s="83"/>
      <c r="AF543" s="81"/>
      <c r="AG543" s="81"/>
      <c r="AH543" s="81"/>
      <c r="AI543" s="81"/>
      <c r="AJ543" s="83"/>
      <c r="AK543" s="81"/>
      <c r="AL543" s="81"/>
      <c r="AM543" s="83"/>
      <c r="AN543" s="80"/>
      <c r="AO543" s="82" t="n">
        <f aca="false">IF(E543="","",(AA543&lt;&gt;"")+(AG543&lt;&gt;"")+(AL543&lt;&gt;""))</f>
        <v>0</v>
      </c>
      <c r="AP543" s="82" t="str">
        <f aca="false">IF(AL543&lt;&gt;"",AL543,IF(AG543&lt;&gt;"",AG543,IF(AA543&lt;&gt;"",AA543,"")))</f>
        <v/>
      </c>
      <c r="AQ543" s="84" t="str">
        <f aca="false">IF(E543="","",IF(U543="","À SOUDER",IF(X543="","VT EN ATTENTE",IF(X543="R","VT REJETÉ – À REPRENDRE",IF(AP543="","À RADIOGRAPHIER",IF(AP543="A","ACCEPTÉ",IF(AP543="NX","NX – RT À REFAIRE",IF(IF(AO543=1,AD543,IF(AO543=2,AI543,""))="A","RÉPARÉ – À RADIOGRAPHIER",IF(IF(AO543=1,AD543,IF(AO543=2,AI543,""))="R","VT REJETÉ – À REPRENDRE",IF(OR(AP543="CO",AP543="NT"),"COUPE – À RESOUDER","À RÉPARER"))))))))))</f>
        <v>À SOUDER</v>
      </c>
      <c r="AR543" s="82" t="str">
        <f aca="false">IF(AND(ISNUMBER(U543),OR(AQ543="À RADIOGRAPHIER",AQ543="RÉPARÉ – À RADIOGRAPHIER",AQ543="NX – RT À REFAIRE",AQ543="À RÉPARER",AQ543="COUPE – À RESOUDER",AQ543="VT REJETÉ – À REPRENDRE")),MAX(0,'PROGRAMME RT'!$C$4-U543),"")</f>
        <v/>
      </c>
      <c r="AS543" s="82" t="n">
        <f aca="false">IF(AND(OR(AQ543="À RADIOGRAPHIER",AQ543="RÉPARÉ – À RADIOGRAPHIER",AQ543="NX – RT À REFAIRE"),OR('PROGRAMME RT'!$D$5="TOUTES",B543='PROGRAMME RT'!$D$5)),1,0)</f>
        <v>0</v>
      </c>
      <c r="AT543" s="82" t="str">
        <f aca="false">IF(AS543=1,SUM(AS$7:AS543),"")</f>
        <v/>
      </c>
      <c r="AU543" s="82" t="n">
        <f aca="false">IF(AND(OR(AA543="R",AA543="NX",AA543="NT",AA543="CO"),OR('JOINTS DE RÉPARATION'!$D$5="TOUTES",B543='JOINTS DE RÉPARATION'!$D$5),OR('JOINTS DE RÉPARATION'!$L$4="TOUS",AQ543&lt;&gt;"ACCEPTÉ")),1,0)</f>
        <v>0</v>
      </c>
      <c r="AV543" s="82" t="str">
        <f aca="false">IF(AU543=1,SUM(AU$7:AU543),"")</f>
        <v/>
      </c>
      <c r="AW543" s="82" t="str">
        <f aca="false">IF(E543="","",B543&amp;"|"&amp;E543)</f>
        <v>MFD-ISW → MFD-CPF|JN°537</v>
      </c>
    </row>
    <row r="544" customFormat="false" ht="74.6" hidden="false" customHeight="false" outlineLevel="0" collapsed="false">
      <c r="A544" s="79" t="n">
        <f aca="false">IF(E544="","",ROW()-6)</f>
        <v>538</v>
      </c>
      <c r="B544" s="80" t="s">
        <v>110</v>
      </c>
      <c r="C544" s="81"/>
      <c r="D544" s="81"/>
      <c r="E544" s="81" t="s">
        <v>648</v>
      </c>
      <c r="F544" s="82" t="str">
        <f aca="false">IF(E544="","",IF(LEFT(E544,2)="DJ","DJ","JN"))</f>
        <v>JN</v>
      </c>
      <c r="G544" s="81"/>
      <c r="H544" s="81"/>
      <c r="I544" s="81"/>
      <c r="J544" s="81"/>
      <c r="K544" s="81"/>
      <c r="L544" s="81"/>
      <c r="M544" s="81"/>
      <c r="N544" s="81"/>
      <c r="O544" s="81"/>
      <c r="P544" s="81"/>
      <c r="Q544" s="81"/>
      <c r="R544" s="81"/>
      <c r="S544" s="81"/>
      <c r="T544" s="81"/>
      <c r="U544" s="83"/>
      <c r="V544" s="83"/>
      <c r="W544" s="81"/>
      <c r="X544" s="81"/>
      <c r="Y544" s="83"/>
      <c r="Z544" s="81"/>
      <c r="AA544" s="81"/>
      <c r="AB544" s="81"/>
      <c r="AC544" s="81"/>
      <c r="AD544" s="81"/>
      <c r="AE544" s="83"/>
      <c r="AF544" s="81"/>
      <c r="AG544" s="81"/>
      <c r="AH544" s="81"/>
      <c r="AI544" s="81"/>
      <c r="AJ544" s="83"/>
      <c r="AK544" s="81"/>
      <c r="AL544" s="81"/>
      <c r="AM544" s="83"/>
      <c r="AN544" s="80"/>
      <c r="AO544" s="82" t="n">
        <f aca="false">IF(E544="","",(AA544&lt;&gt;"")+(AG544&lt;&gt;"")+(AL544&lt;&gt;""))</f>
        <v>0</v>
      </c>
      <c r="AP544" s="82" t="str">
        <f aca="false">IF(AL544&lt;&gt;"",AL544,IF(AG544&lt;&gt;"",AG544,IF(AA544&lt;&gt;"",AA544,"")))</f>
        <v/>
      </c>
      <c r="AQ544" s="84" t="str">
        <f aca="false">IF(E544="","",IF(U544="","À SOUDER",IF(X544="","VT EN ATTENTE",IF(X544="R","VT REJETÉ – À REPRENDRE",IF(AP544="","À RADIOGRAPHIER",IF(AP544="A","ACCEPTÉ",IF(AP544="NX","NX – RT À REFAIRE",IF(IF(AO544=1,AD544,IF(AO544=2,AI544,""))="A","RÉPARÉ – À RADIOGRAPHIER",IF(IF(AO544=1,AD544,IF(AO544=2,AI544,""))="R","VT REJETÉ – À REPRENDRE",IF(OR(AP544="CO",AP544="NT"),"COUPE – À RESOUDER","À RÉPARER"))))))))))</f>
        <v>À SOUDER</v>
      </c>
      <c r="AR544" s="82" t="str">
        <f aca="false">IF(AND(ISNUMBER(U544),OR(AQ544="À RADIOGRAPHIER",AQ544="RÉPARÉ – À RADIOGRAPHIER",AQ544="NX – RT À REFAIRE",AQ544="À RÉPARER",AQ544="COUPE – À RESOUDER",AQ544="VT REJETÉ – À REPRENDRE")),MAX(0,'PROGRAMME RT'!$C$4-U544),"")</f>
        <v/>
      </c>
      <c r="AS544" s="82" t="n">
        <f aca="false">IF(AND(OR(AQ544="À RADIOGRAPHIER",AQ544="RÉPARÉ – À RADIOGRAPHIER",AQ544="NX – RT À REFAIRE"),OR('PROGRAMME RT'!$D$5="TOUTES",B544='PROGRAMME RT'!$D$5)),1,0)</f>
        <v>0</v>
      </c>
      <c r="AT544" s="82" t="str">
        <f aca="false">IF(AS544=1,SUM(AS$7:AS544),"")</f>
        <v/>
      </c>
      <c r="AU544" s="82" t="n">
        <f aca="false">IF(AND(OR(AA544="R",AA544="NX",AA544="NT",AA544="CO"),OR('JOINTS DE RÉPARATION'!$D$5="TOUTES",B544='JOINTS DE RÉPARATION'!$D$5),OR('JOINTS DE RÉPARATION'!$L$4="TOUS",AQ544&lt;&gt;"ACCEPTÉ")),1,0)</f>
        <v>0</v>
      </c>
      <c r="AV544" s="82" t="str">
        <f aca="false">IF(AU544=1,SUM(AU$7:AU544),"")</f>
        <v/>
      </c>
      <c r="AW544" s="82" t="str">
        <f aca="false">IF(E544="","",B544&amp;"|"&amp;E544)</f>
        <v>MFD-ISW → MFD-CPF|JN°538</v>
      </c>
    </row>
    <row r="545" customFormat="false" ht="74.6" hidden="false" customHeight="false" outlineLevel="0" collapsed="false">
      <c r="A545" s="79" t="n">
        <f aca="false">IF(E545="","",ROW()-6)</f>
        <v>539</v>
      </c>
      <c r="B545" s="80" t="s">
        <v>110</v>
      </c>
      <c r="C545" s="81"/>
      <c r="D545" s="81"/>
      <c r="E545" s="81" t="s">
        <v>649</v>
      </c>
      <c r="F545" s="82" t="str">
        <f aca="false">IF(E545="","",IF(LEFT(E545,2)="DJ","DJ","JN"))</f>
        <v>JN</v>
      </c>
      <c r="G545" s="81"/>
      <c r="H545" s="81"/>
      <c r="I545" s="81"/>
      <c r="J545" s="81"/>
      <c r="K545" s="81"/>
      <c r="L545" s="81"/>
      <c r="M545" s="81"/>
      <c r="N545" s="81"/>
      <c r="O545" s="81"/>
      <c r="P545" s="81"/>
      <c r="Q545" s="81"/>
      <c r="R545" s="81"/>
      <c r="S545" s="81"/>
      <c r="T545" s="81"/>
      <c r="U545" s="83"/>
      <c r="V545" s="83"/>
      <c r="W545" s="81"/>
      <c r="X545" s="81"/>
      <c r="Y545" s="83"/>
      <c r="Z545" s="81"/>
      <c r="AA545" s="81"/>
      <c r="AB545" s="81"/>
      <c r="AC545" s="81"/>
      <c r="AD545" s="81"/>
      <c r="AE545" s="83"/>
      <c r="AF545" s="81"/>
      <c r="AG545" s="81"/>
      <c r="AH545" s="81"/>
      <c r="AI545" s="81"/>
      <c r="AJ545" s="83"/>
      <c r="AK545" s="81"/>
      <c r="AL545" s="81"/>
      <c r="AM545" s="83"/>
      <c r="AN545" s="80"/>
      <c r="AO545" s="82" t="n">
        <f aca="false">IF(E545="","",(AA545&lt;&gt;"")+(AG545&lt;&gt;"")+(AL545&lt;&gt;""))</f>
        <v>0</v>
      </c>
      <c r="AP545" s="82" t="str">
        <f aca="false">IF(AL545&lt;&gt;"",AL545,IF(AG545&lt;&gt;"",AG545,IF(AA545&lt;&gt;"",AA545,"")))</f>
        <v/>
      </c>
      <c r="AQ545" s="84" t="str">
        <f aca="false">IF(E545="","",IF(U545="","À SOUDER",IF(X545="","VT EN ATTENTE",IF(X545="R","VT REJETÉ – À REPRENDRE",IF(AP545="","À RADIOGRAPHIER",IF(AP545="A","ACCEPTÉ",IF(AP545="NX","NX – RT À REFAIRE",IF(IF(AO545=1,AD545,IF(AO545=2,AI545,""))="A","RÉPARÉ – À RADIOGRAPHIER",IF(IF(AO545=1,AD545,IF(AO545=2,AI545,""))="R","VT REJETÉ – À REPRENDRE",IF(OR(AP545="CO",AP545="NT"),"COUPE – À RESOUDER","À RÉPARER"))))))))))</f>
        <v>À SOUDER</v>
      </c>
      <c r="AR545" s="82" t="str">
        <f aca="false">IF(AND(ISNUMBER(U545),OR(AQ545="À RADIOGRAPHIER",AQ545="RÉPARÉ – À RADIOGRAPHIER",AQ545="NX – RT À REFAIRE",AQ545="À RÉPARER",AQ545="COUPE – À RESOUDER",AQ545="VT REJETÉ – À REPRENDRE")),MAX(0,'PROGRAMME RT'!$C$4-U545),"")</f>
        <v/>
      </c>
      <c r="AS545" s="82" t="n">
        <f aca="false">IF(AND(OR(AQ545="À RADIOGRAPHIER",AQ545="RÉPARÉ – À RADIOGRAPHIER",AQ545="NX – RT À REFAIRE"),OR('PROGRAMME RT'!$D$5="TOUTES",B545='PROGRAMME RT'!$D$5)),1,0)</f>
        <v>0</v>
      </c>
      <c r="AT545" s="82" t="str">
        <f aca="false">IF(AS545=1,SUM(AS$7:AS545),"")</f>
        <v/>
      </c>
      <c r="AU545" s="82" t="n">
        <f aca="false">IF(AND(OR(AA545="R",AA545="NX",AA545="NT",AA545="CO"),OR('JOINTS DE RÉPARATION'!$D$5="TOUTES",B545='JOINTS DE RÉPARATION'!$D$5),OR('JOINTS DE RÉPARATION'!$L$4="TOUS",AQ545&lt;&gt;"ACCEPTÉ")),1,0)</f>
        <v>0</v>
      </c>
      <c r="AV545" s="82" t="str">
        <f aca="false">IF(AU545=1,SUM(AU$7:AU545),"")</f>
        <v/>
      </c>
      <c r="AW545" s="82" t="str">
        <f aca="false">IF(E545="","",B545&amp;"|"&amp;E545)</f>
        <v>MFD-ISW → MFD-CPF|JN°539</v>
      </c>
    </row>
    <row r="546" customFormat="false" ht="74.6" hidden="false" customHeight="false" outlineLevel="0" collapsed="false">
      <c r="A546" s="79" t="n">
        <f aca="false">IF(E546="","",ROW()-6)</f>
        <v>540</v>
      </c>
      <c r="B546" s="80" t="s">
        <v>110</v>
      </c>
      <c r="C546" s="81"/>
      <c r="D546" s="81"/>
      <c r="E546" s="81" t="s">
        <v>650</v>
      </c>
      <c r="F546" s="82" t="str">
        <f aca="false">IF(E546="","",IF(LEFT(E546,2)="DJ","DJ","JN"))</f>
        <v>JN</v>
      </c>
      <c r="G546" s="81"/>
      <c r="H546" s="81"/>
      <c r="I546" s="81"/>
      <c r="J546" s="81"/>
      <c r="K546" s="81"/>
      <c r="L546" s="81"/>
      <c r="M546" s="81"/>
      <c r="N546" s="81"/>
      <c r="O546" s="81"/>
      <c r="P546" s="81"/>
      <c r="Q546" s="81"/>
      <c r="R546" s="81"/>
      <c r="S546" s="81"/>
      <c r="T546" s="81"/>
      <c r="U546" s="83"/>
      <c r="V546" s="83"/>
      <c r="W546" s="81"/>
      <c r="X546" s="81"/>
      <c r="Y546" s="83"/>
      <c r="Z546" s="81"/>
      <c r="AA546" s="81"/>
      <c r="AB546" s="81"/>
      <c r="AC546" s="81"/>
      <c r="AD546" s="81"/>
      <c r="AE546" s="83"/>
      <c r="AF546" s="81"/>
      <c r="AG546" s="81"/>
      <c r="AH546" s="81"/>
      <c r="AI546" s="81"/>
      <c r="AJ546" s="83"/>
      <c r="AK546" s="81"/>
      <c r="AL546" s="81"/>
      <c r="AM546" s="83"/>
      <c r="AN546" s="80"/>
      <c r="AO546" s="82" t="n">
        <f aca="false">IF(E546="","",(AA546&lt;&gt;"")+(AG546&lt;&gt;"")+(AL546&lt;&gt;""))</f>
        <v>0</v>
      </c>
      <c r="AP546" s="82" t="str">
        <f aca="false">IF(AL546&lt;&gt;"",AL546,IF(AG546&lt;&gt;"",AG546,IF(AA546&lt;&gt;"",AA546,"")))</f>
        <v/>
      </c>
      <c r="AQ546" s="84" t="str">
        <f aca="false">IF(E546="","",IF(U546="","À SOUDER",IF(X546="","VT EN ATTENTE",IF(X546="R","VT REJETÉ – À REPRENDRE",IF(AP546="","À RADIOGRAPHIER",IF(AP546="A","ACCEPTÉ",IF(AP546="NX","NX – RT À REFAIRE",IF(IF(AO546=1,AD546,IF(AO546=2,AI546,""))="A","RÉPARÉ – À RADIOGRAPHIER",IF(IF(AO546=1,AD546,IF(AO546=2,AI546,""))="R","VT REJETÉ – À REPRENDRE",IF(OR(AP546="CO",AP546="NT"),"COUPE – À RESOUDER","À RÉPARER"))))))))))</f>
        <v>À SOUDER</v>
      </c>
      <c r="AR546" s="82" t="str">
        <f aca="false">IF(AND(ISNUMBER(U546),OR(AQ546="À RADIOGRAPHIER",AQ546="RÉPARÉ – À RADIOGRAPHIER",AQ546="NX – RT À REFAIRE",AQ546="À RÉPARER",AQ546="COUPE – À RESOUDER",AQ546="VT REJETÉ – À REPRENDRE")),MAX(0,'PROGRAMME RT'!$C$4-U546),"")</f>
        <v/>
      </c>
      <c r="AS546" s="82" t="n">
        <f aca="false">IF(AND(OR(AQ546="À RADIOGRAPHIER",AQ546="RÉPARÉ – À RADIOGRAPHIER",AQ546="NX – RT À REFAIRE"),OR('PROGRAMME RT'!$D$5="TOUTES",B546='PROGRAMME RT'!$D$5)),1,0)</f>
        <v>0</v>
      </c>
      <c r="AT546" s="82" t="str">
        <f aca="false">IF(AS546=1,SUM(AS$7:AS546),"")</f>
        <v/>
      </c>
      <c r="AU546" s="82" t="n">
        <f aca="false">IF(AND(OR(AA546="R",AA546="NX",AA546="NT",AA546="CO"),OR('JOINTS DE RÉPARATION'!$D$5="TOUTES",B546='JOINTS DE RÉPARATION'!$D$5),OR('JOINTS DE RÉPARATION'!$L$4="TOUS",AQ546&lt;&gt;"ACCEPTÉ")),1,0)</f>
        <v>0</v>
      </c>
      <c r="AV546" s="82" t="str">
        <f aca="false">IF(AU546=1,SUM(AU$7:AU546),"")</f>
        <v/>
      </c>
      <c r="AW546" s="82" t="str">
        <f aca="false">IF(E546="","",B546&amp;"|"&amp;E546)</f>
        <v>MFD-ISW → MFD-CPF|JN°540</v>
      </c>
    </row>
    <row r="547" customFormat="false" ht="74.6" hidden="false" customHeight="false" outlineLevel="0" collapsed="false">
      <c r="A547" s="79" t="n">
        <f aca="false">IF(E547="","",ROW()-6)</f>
        <v>541</v>
      </c>
      <c r="B547" s="80" t="s">
        <v>110</v>
      </c>
      <c r="C547" s="81"/>
      <c r="D547" s="81"/>
      <c r="E547" s="81" t="s">
        <v>651</v>
      </c>
      <c r="F547" s="82" t="str">
        <f aca="false">IF(E547="","",IF(LEFT(E547,2)="DJ","DJ","JN"))</f>
        <v>JN</v>
      </c>
      <c r="G547" s="81"/>
      <c r="H547" s="81"/>
      <c r="I547" s="81"/>
      <c r="J547" s="81"/>
      <c r="K547" s="81"/>
      <c r="L547" s="81"/>
      <c r="M547" s="81"/>
      <c r="N547" s="81"/>
      <c r="O547" s="81"/>
      <c r="P547" s="81"/>
      <c r="Q547" s="81"/>
      <c r="R547" s="81"/>
      <c r="S547" s="81"/>
      <c r="T547" s="81"/>
      <c r="U547" s="83"/>
      <c r="V547" s="83"/>
      <c r="W547" s="81"/>
      <c r="X547" s="81"/>
      <c r="Y547" s="83"/>
      <c r="Z547" s="81"/>
      <c r="AA547" s="81"/>
      <c r="AB547" s="81"/>
      <c r="AC547" s="81"/>
      <c r="AD547" s="81"/>
      <c r="AE547" s="83"/>
      <c r="AF547" s="81"/>
      <c r="AG547" s="81"/>
      <c r="AH547" s="81"/>
      <c r="AI547" s="81"/>
      <c r="AJ547" s="83"/>
      <c r="AK547" s="81"/>
      <c r="AL547" s="81"/>
      <c r="AM547" s="83"/>
      <c r="AN547" s="80"/>
      <c r="AO547" s="82" t="n">
        <f aca="false">IF(E547="","",(AA547&lt;&gt;"")+(AG547&lt;&gt;"")+(AL547&lt;&gt;""))</f>
        <v>0</v>
      </c>
      <c r="AP547" s="82" t="str">
        <f aca="false">IF(AL547&lt;&gt;"",AL547,IF(AG547&lt;&gt;"",AG547,IF(AA547&lt;&gt;"",AA547,"")))</f>
        <v/>
      </c>
      <c r="AQ547" s="84" t="str">
        <f aca="false">IF(E547="","",IF(U547="","À SOUDER",IF(X547="","VT EN ATTENTE",IF(X547="R","VT REJETÉ – À REPRENDRE",IF(AP547="","À RADIOGRAPHIER",IF(AP547="A","ACCEPTÉ",IF(AP547="NX","NX – RT À REFAIRE",IF(IF(AO547=1,AD547,IF(AO547=2,AI547,""))="A","RÉPARÉ – À RADIOGRAPHIER",IF(IF(AO547=1,AD547,IF(AO547=2,AI547,""))="R","VT REJETÉ – À REPRENDRE",IF(OR(AP547="CO",AP547="NT"),"COUPE – À RESOUDER","À RÉPARER"))))))))))</f>
        <v>À SOUDER</v>
      </c>
      <c r="AR547" s="82" t="str">
        <f aca="false">IF(AND(ISNUMBER(U547),OR(AQ547="À RADIOGRAPHIER",AQ547="RÉPARÉ – À RADIOGRAPHIER",AQ547="NX – RT À REFAIRE",AQ547="À RÉPARER",AQ547="COUPE – À RESOUDER",AQ547="VT REJETÉ – À REPRENDRE")),MAX(0,'PROGRAMME RT'!$C$4-U547),"")</f>
        <v/>
      </c>
      <c r="AS547" s="82" t="n">
        <f aca="false">IF(AND(OR(AQ547="À RADIOGRAPHIER",AQ547="RÉPARÉ – À RADIOGRAPHIER",AQ547="NX – RT À REFAIRE"),OR('PROGRAMME RT'!$D$5="TOUTES",B547='PROGRAMME RT'!$D$5)),1,0)</f>
        <v>0</v>
      </c>
      <c r="AT547" s="82" t="str">
        <f aca="false">IF(AS547=1,SUM(AS$7:AS547),"")</f>
        <v/>
      </c>
      <c r="AU547" s="82" t="n">
        <f aca="false">IF(AND(OR(AA547="R",AA547="NX",AA547="NT",AA547="CO"),OR('JOINTS DE RÉPARATION'!$D$5="TOUTES",B547='JOINTS DE RÉPARATION'!$D$5),OR('JOINTS DE RÉPARATION'!$L$4="TOUS",AQ547&lt;&gt;"ACCEPTÉ")),1,0)</f>
        <v>0</v>
      </c>
      <c r="AV547" s="82" t="str">
        <f aca="false">IF(AU547=1,SUM(AU$7:AU547),"")</f>
        <v/>
      </c>
      <c r="AW547" s="82" t="str">
        <f aca="false">IF(E547="","",B547&amp;"|"&amp;E547)</f>
        <v>MFD-ISW → MFD-CPF|JN°541</v>
      </c>
    </row>
    <row r="548" customFormat="false" ht="74.6" hidden="false" customHeight="false" outlineLevel="0" collapsed="false">
      <c r="A548" s="79" t="n">
        <f aca="false">IF(E548="","",ROW()-6)</f>
        <v>542</v>
      </c>
      <c r="B548" s="80" t="s">
        <v>110</v>
      </c>
      <c r="C548" s="81"/>
      <c r="D548" s="81"/>
      <c r="E548" s="81" t="s">
        <v>652</v>
      </c>
      <c r="F548" s="82" t="str">
        <f aca="false">IF(E548="","",IF(LEFT(E548,2)="DJ","DJ","JN"))</f>
        <v>JN</v>
      </c>
      <c r="G548" s="81"/>
      <c r="H548" s="81"/>
      <c r="I548" s="81"/>
      <c r="J548" s="81"/>
      <c r="K548" s="81"/>
      <c r="L548" s="81"/>
      <c r="M548" s="81"/>
      <c r="N548" s="81"/>
      <c r="O548" s="81"/>
      <c r="P548" s="81"/>
      <c r="Q548" s="81"/>
      <c r="R548" s="81"/>
      <c r="S548" s="81"/>
      <c r="T548" s="81"/>
      <c r="U548" s="83"/>
      <c r="V548" s="83"/>
      <c r="W548" s="81"/>
      <c r="X548" s="81"/>
      <c r="Y548" s="83"/>
      <c r="Z548" s="81"/>
      <c r="AA548" s="81"/>
      <c r="AB548" s="81"/>
      <c r="AC548" s="81"/>
      <c r="AD548" s="81"/>
      <c r="AE548" s="83"/>
      <c r="AF548" s="81"/>
      <c r="AG548" s="81"/>
      <c r="AH548" s="81"/>
      <c r="AI548" s="81"/>
      <c r="AJ548" s="83"/>
      <c r="AK548" s="81"/>
      <c r="AL548" s="81"/>
      <c r="AM548" s="83"/>
      <c r="AN548" s="80"/>
      <c r="AO548" s="82" t="n">
        <f aca="false">IF(E548="","",(AA548&lt;&gt;"")+(AG548&lt;&gt;"")+(AL548&lt;&gt;""))</f>
        <v>0</v>
      </c>
      <c r="AP548" s="82" t="str">
        <f aca="false">IF(AL548&lt;&gt;"",AL548,IF(AG548&lt;&gt;"",AG548,IF(AA548&lt;&gt;"",AA548,"")))</f>
        <v/>
      </c>
      <c r="AQ548" s="84" t="str">
        <f aca="false">IF(E548="","",IF(U548="","À SOUDER",IF(X548="","VT EN ATTENTE",IF(X548="R","VT REJETÉ – À REPRENDRE",IF(AP548="","À RADIOGRAPHIER",IF(AP548="A","ACCEPTÉ",IF(AP548="NX","NX – RT À REFAIRE",IF(IF(AO548=1,AD548,IF(AO548=2,AI548,""))="A","RÉPARÉ – À RADIOGRAPHIER",IF(IF(AO548=1,AD548,IF(AO548=2,AI548,""))="R","VT REJETÉ – À REPRENDRE",IF(OR(AP548="CO",AP548="NT"),"COUPE – À RESOUDER","À RÉPARER"))))))))))</f>
        <v>À SOUDER</v>
      </c>
      <c r="AR548" s="82" t="str">
        <f aca="false">IF(AND(ISNUMBER(U548),OR(AQ548="À RADIOGRAPHIER",AQ548="RÉPARÉ – À RADIOGRAPHIER",AQ548="NX – RT À REFAIRE",AQ548="À RÉPARER",AQ548="COUPE – À RESOUDER",AQ548="VT REJETÉ – À REPRENDRE")),MAX(0,'PROGRAMME RT'!$C$4-U548),"")</f>
        <v/>
      </c>
      <c r="AS548" s="82" t="n">
        <f aca="false">IF(AND(OR(AQ548="À RADIOGRAPHIER",AQ548="RÉPARÉ – À RADIOGRAPHIER",AQ548="NX – RT À REFAIRE"),OR('PROGRAMME RT'!$D$5="TOUTES",B548='PROGRAMME RT'!$D$5)),1,0)</f>
        <v>0</v>
      </c>
      <c r="AT548" s="82" t="str">
        <f aca="false">IF(AS548=1,SUM(AS$7:AS548),"")</f>
        <v/>
      </c>
      <c r="AU548" s="82" t="n">
        <f aca="false">IF(AND(OR(AA548="R",AA548="NX",AA548="NT",AA548="CO"),OR('JOINTS DE RÉPARATION'!$D$5="TOUTES",B548='JOINTS DE RÉPARATION'!$D$5),OR('JOINTS DE RÉPARATION'!$L$4="TOUS",AQ548&lt;&gt;"ACCEPTÉ")),1,0)</f>
        <v>0</v>
      </c>
      <c r="AV548" s="82" t="str">
        <f aca="false">IF(AU548=1,SUM(AU$7:AU548),"")</f>
        <v/>
      </c>
      <c r="AW548" s="82" t="str">
        <f aca="false">IF(E548="","",B548&amp;"|"&amp;E548)</f>
        <v>MFD-ISW → MFD-CPF|JN°542</v>
      </c>
    </row>
    <row r="549" customFormat="false" ht="74.6" hidden="false" customHeight="false" outlineLevel="0" collapsed="false">
      <c r="A549" s="79" t="n">
        <f aca="false">IF(E549="","",ROW()-6)</f>
        <v>543</v>
      </c>
      <c r="B549" s="80" t="s">
        <v>110</v>
      </c>
      <c r="C549" s="81"/>
      <c r="D549" s="81"/>
      <c r="E549" s="81" t="s">
        <v>653</v>
      </c>
      <c r="F549" s="82" t="str">
        <f aca="false">IF(E549="","",IF(LEFT(E549,2)="DJ","DJ","JN"))</f>
        <v>JN</v>
      </c>
      <c r="G549" s="81"/>
      <c r="H549" s="81"/>
      <c r="I549" s="81"/>
      <c r="J549" s="81"/>
      <c r="K549" s="81"/>
      <c r="L549" s="81"/>
      <c r="M549" s="81"/>
      <c r="N549" s="81"/>
      <c r="O549" s="81"/>
      <c r="P549" s="81"/>
      <c r="Q549" s="81"/>
      <c r="R549" s="81"/>
      <c r="S549" s="81"/>
      <c r="T549" s="81"/>
      <c r="U549" s="83"/>
      <c r="V549" s="83"/>
      <c r="W549" s="81"/>
      <c r="X549" s="81"/>
      <c r="Y549" s="83"/>
      <c r="Z549" s="81"/>
      <c r="AA549" s="81"/>
      <c r="AB549" s="81"/>
      <c r="AC549" s="81"/>
      <c r="AD549" s="81"/>
      <c r="AE549" s="83"/>
      <c r="AF549" s="81"/>
      <c r="AG549" s="81"/>
      <c r="AH549" s="81"/>
      <c r="AI549" s="81"/>
      <c r="AJ549" s="83"/>
      <c r="AK549" s="81"/>
      <c r="AL549" s="81"/>
      <c r="AM549" s="83"/>
      <c r="AN549" s="80"/>
      <c r="AO549" s="82" t="n">
        <f aca="false">IF(E549="","",(AA549&lt;&gt;"")+(AG549&lt;&gt;"")+(AL549&lt;&gt;""))</f>
        <v>0</v>
      </c>
      <c r="AP549" s="82" t="str">
        <f aca="false">IF(AL549&lt;&gt;"",AL549,IF(AG549&lt;&gt;"",AG549,IF(AA549&lt;&gt;"",AA549,"")))</f>
        <v/>
      </c>
      <c r="AQ549" s="84" t="str">
        <f aca="false">IF(E549="","",IF(U549="","À SOUDER",IF(X549="","VT EN ATTENTE",IF(X549="R","VT REJETÉ – À REPRENDRE",IF(AP549="","À RADIOGRAPHIER",IF(AP549="A","ACCEPTÉ",IF(AP549="NX","NX – RT À REFAIRE",IF(IF(AO549=1,AD549,IF(AO549=2,AI549,""))="A","RÉPARÉ – À RADIOGRAPHIER",IF(IF(AO549=1,AD549,IF(AO549=2,AI549,""))="R","VT REJETÉ – À REPRENDRE",IF(OR(AP549="CO",AP549="NT"),"COUPE – À RESOUDER","À RÉPARER"))))))))))</f>
        <v>À SOUDER</v>
      </c>
      <c r="AR549" s="82" t="str">
        <f aca="false">IF(AND(ISNUMBER(U549),OR(AQ549="À RADIOGRAPHIER",AQ549="RÉPARÉ – À RADIOGRAPHIER",AQ549="NX – RT À REFAIRE",AQ549="À RÉPARER",AQ549="COUPE – À RESOUDER",AQ549="VT REJETÉ – À REPRENDRE")),MAX(0,'PROGRAMME RT'!$C$4-U549),"")</f>
        <v/>
      </c>
      <c r="AS549" s="82" t="n">
        <f aca="false">IF(AND(OR(AQ549="À RADIOGRAPHIER",AQ549="RÉPARÉ – À RADIOGRAPHIER",AQ549="NX – RT À REFAIRE"),OR('PROGRAMME RT'!$D$5="TOUTES",B549='PROGRAMME RT'!$D$5)),1,0)</f>
        <v>0</v>
      </c>
      <c r="AT549" s="82" t="str">
        <f aca="false">IF(AS549=1,SUM(AS$7:AS549),"")</f>
        <v/>
      </c>
      <c r="AU549" s="82" t="n">
        <f aca="false">IF(AND(OR(AA549="R",AA549="NX",AA549="NT",AA549="CO"),OR('JOINTS DE RÉPARATION'!$D$5="TOUTES",B549='JOINTS DE RÉPARATION'!$D$5),OR('JOINTS DE RÉPARATION'!$L$4="TOUS",AQ549&lt;&gt;"ACCEPTÉ")),1,0)</f>
        <v>0</v>
      </c>
      <c r="AV549" s="82" t="str">
        <f aca="false">IF(AU549=1,SUM(AU$7:AU549),"")</f>
        <v/>
      </c>
      <c r="AW549" s="82" t="str">
        <f aca="false">IF(E549="","",B549&amp;"|"&amp;E549)</f>
        <v>MFD-ISW → MFD-CPF|JN°543</v>
      </c>
    </row>
    <row r="550" customFormat="false" ht="74.6" hidden="false" customHeight="false" outlineLevel="0" collapsed="false">
      <c r="A550" s="79" t="n">
        <f aca="false">IF(E550="","",ROW()-6)</f>
        <v>544</v>
      </c>
      <c r="B550" s="80" t="s">
        <v>110</v>
      </c>
      <c r="C550" s="81"/>
      <c r="D550" s="81"/>
      <c r="E550" s="81" t="s">
        <v>654</v>
      </c>
      <c r="F550" s="82" t="str">
        <f aca="false">IF(E550="","",IF(LEFT(E550,2)="DJ","DJ","JN"))</f>
        <v>JN</v>
      </c>
      <c r="G550" s="81"/>
      <c r="H550" s="81"/>
      <c r="I550" s="81"/>
      <c r="J550" s="81"/>
      <c r="K550" s="81"/>
      <c r="L550" s="81"/>
      <c r="M550" s="81"/>
      <c r="N550" s="81"/>
      <c r="O550" s="81"/>
      <c r="P550" s="81"/>
      <c r="Q550" s="81"/>
      <c r="R550" s="81"/>
      <c r="S550" s="81"/>
      <c r="T550" s="81"/>
      <c r="U550" s="83"/>
      <c r="V550" s="83"/>
      <c r="W550" s="81"/>
      <c r="X550" s="81"/>
      <c r="Y550" s="83"/>
      <c r="Z550" s="81"/>
      <c r="AA550" s="81"/>
      <c r="AB550" s="81"/>
      <c r="AC550" s="81"/>
      <c r="AD550" s="81"/>
      <c r="AE550" s="83"/>
      <c r="AF550" s="81"/>
      <c r="AG550" s="81"/>
      <c r="AH550" s="81"/>
      <c r="AI550" s="81"/>
      <c r="AJ550" s="83"/>
      <c r="AK550" s="81"/>
      <c r="AL550" s="81"/>
      <c r="AM550" s="83"/>
      <c r="AN550" s="80"/>
      <c r="AO550" s="82" t="n">
        <f aca="false">IF(E550="","",(AA550&lt;&gt;"")+(AG550&lt;&gt;"")+(AL550&lt;&gt;""))</f>
        <v>0</v>
      </c>
      <c r="AP550" s="82" t="str">
        <f aca="false">IF(AL550&lt;&gt;"",AL550,IF(AG550&lt;&gt;"",AG550,IF(AA550&lt;&gt;"",AA550,"")))</f>
        <v/>
      </c>
      <c r="AQ550" s="84" t="str">
        <f aca="false">IF(E550="","",IF(U550="","À SOUDER",IF(X550="","VT EN ATTENTE",IF(X550="R","VT REJETÉ – À REPRENDRE",IF(AP550="","À RADIOGRAPHIER",IF(AP550="A","ACCEPTÉ",IF(AP550="NX","NX – RT À REFAIRE",IF(IF(AO550=1,AD550,IF(AO550=2,AI550,""))="A","RÉPARÉ – À RADIOGRAPHIER",IF(IF(AO550=1,AD550,IF(AO550=2,AI550,""))="R","VT REJETÉ – À REPRENDRE",IF(OR(AP550="CO",AP550="NT"),"COUPE – À RESOUDER","À RÉPARER"))))))))))</f>
        <v>À SOUDER</v>
      </c>
      <c r="AR550" s="82" t="str">
        <f aca="false">IF(AND(ISNUMBER(U550),OR(AQ550="À RADIOGRAPHIER",AQ550="RÉPARÉ – À RADIOGRAPHIER",AQ550="NX – RT À REFAIRE",AQ550="À RÉPARER",AQ550="COUPE – À RESOUDER",AQ550="VT REJETÉ – À REPRENDRE")),MAX(0,'PROGRAMME RT'!$C$4-U550),"")</f>
        <v/>
      </c>
      <c r="AS550" s="82" t="n">
        <f aca="false">IF(AND(OR(AQ550="À RADIOGRAPHIER",AQ550="RÉPARÉ – À RADIOGRAPHIER",AQ550="NX – RT À REFAIRE"),OR('PROGRAMME RT'!$D$5="TOUTES",B550='PROGRAMME RT'!$D$5)),1,0)</f>
        <v>0</v>
      </c>
      <c r="AT550" s="82" t="str">
        <f aca="false">IF(AS550=1,SUM(AS$7:AS550),"")</f>
        <v/>
      </c>
      <c r="AU550" s="82" t="n">
        <f aca="false">IF(AND(OR(AA550="R",AA550="NX",AA550="NT",AA550="CO"),OR('JOINTS DE RÉPARATION'!$D$5="TOUTES",B550='JOINTS DE RÉPARATION'!$D$5),OR('JOINTS DE RÉPARATION'!$L$4="TOUS",AQ550&lt;&gt;"ACCEPTÉ")),1,0)</f>
        <v>0</v>
      </c>
      <c r="AV550" s="82" t="str">
        <f aca="false">IF(AU550=1,SUM(AU$7:AU550),"")</f>
        <v/>
      </c>
      <c r="AW550" s="82" t="str">
        <f aca="false">IF(E550="","",B550&amp;"|"&amp;E550)</f>
        <v>MFD-ISW → MFD-CPF|JN°544</v>
      </c>
    </row>
    <row r="551" customFormat="false" ht="74.6" hidden="false" customHeight="false" outlineLevel="0" collapsed="false">
      <c r="A551" s="79" t="n">
        <f aca="false">IF(E551="","",ROW()-6)</f>
        <v>545</v>
      </c>
      <c r="B551" s="80" t="s">
        <v>110</v>
      </c>
      <c r="C551" s="81"/>
      <c r="D551" s="81"/>
      <c r="E551" s="81" t="s">
        <v>655</v>
      </c>
      <c r="F551" s="82" t="str">
        <f aca="false">IF(E551="","",IF(LEFT(E551,2)="DJ","DJ","JN"))</f>
        <v>JN</v>
      </c>
      <c r="G551" s="81"/>
      <c r="H551" s="81"/>
      <c r="I551" s="81"/>
      <c r="J551" s="81"/>
      <c r="K551" s="81"/>
      <c r="L551" s="81"/>
      <c r="M551" s="81"/>
      <c r="N551" s="81"/>
      <c r="O551" s="81"/>
      <c r="P551" s="81"/>
      <c r="Q551" s="81"/>
      <c r="R551" s="81"/>
      <c r="S551" s="81"/>
      <c r="T551" s="81"/>
      <c r="U551" s="83"/>
      <c r="V551" s="83"/>
      <c r="W551" s="81"/>
      <c r="X551" s="81"/>
      <c r="Y551" s="83"/>
      <c r="Z551" s="81"/>
      <c r="AA551" s="81"/>
      <c r="AB551" s="81"/>
      <c r="AC551" s="81"/>
      <c r="AD551" s="81"/>
      <c r="AE551" s="83"/>
      <c r="AF551" s="81"/>
      <c r="AG551" s="81"/>
      <c r="AH551" s="81"/>
      <c r="AI551" s="81"/>
      <c r="AJ551" s="83"/>
      <c r="AK551" s="81"/>
      <c r="AL551" s="81"/>
      <c r="AM551" s="83"/>
      <c r="AN551" s="80"/>
      <c r="AO551" s="82" t="n">
        <f aca="false">IF(E551="","",(AA551&lt;&gt;"")+(AG551&lt;&gt;"")+(AL551&lt;&gt;""))</f>
        <v>0</v>
      </c>
      <c r="AP551" s="82" t="str">
        <f aca="false">IF(AL551&lt;&gt;"",AL551,IF(AG551&lt;&gt;"",AG551,IF(AA551&lt;&gt;"",AA551,"")))</f>
        <v/>
      </c>
      <c r="AQ551" s="84" t="str">
        <f aca="false">IF(E551="","",IF(U551="","À SOUDER",IF(X551="","VT EN ATTENTE",IF(X551="R","VT REJETÉ – À REPRENDRE",IF(AP551="","À RADIOGRAPHIER",IF(AP551="A","ACCEPTÉ",IF(AP551="NX","NX – RT À REFAIRE",IF(IF(AO551=1,AD551,IF(AO551=2,AI551,""))="A","RÉPARÉ – À RADIOGRAPHIER",IF(IF(AO551=1,AD551,IF(AO551=2,AI551,""))="R","VT REJETÉ – À REPRENDRE",IF(OR(AP551="CO",AP551="NT"),"COUPE – À RESOUDER","À RÉPARER"))))))))))</f>
        <v>À SOUDER</v>
      </c>
      <c r="AR551" s="82" t="str">
        <f aca="false">IF(AND(ISNUMBER(U551),OR(AQ551="À RADIOGRAPHIER",AQ551="RÉPARÉ – À RADIOGRAPHIER",AQ551="NX – RT À REFAIRE",AQ551="À RÉPARER",AQ551="COUPE – À RESOUDER",AQ551="VT REJETÉ – À REPRENDRE")),MAX(0,'PROGRAMME RT'!$C$4-U551),"")</f>
        <v/>
      </c>
      <c r="AS551" s="82" t="n">
        <f aca="false">IF(AND(OR(AQ551="À RADIOGRAPHIER",AQ551="RÉPARÉ – À RADIOGRAPHIER",AQ551="NX – RT À REFAIRE"),OR('PROGRAMME RT'!$D$5="TOUTES",B551='PROGRAMME RT'!$D$5)),1,0)</f>
        <v>0</v>
      </c>
      <c r="AT551" s="82" t="str">
        <f aca="false">IF(AS551=1,SUM(AS$7:AS551),"")</f>
        <v/>
      </c>
      <c r="AU551" s="82" t="n">
        <f aca="false">IF(AND(OR(AA551="R",AA551="NX",AA551="NT",AA551="CO"),OR('JOINTS DE RÉPARATION'!$D$5="TOUTES",B551='JOINTS DE RÉPARATION'!$D$5),OR('JOINTS DE RÉPARATION'!$L$4="TOUS",AQ551&lt;&gt;"ACCEPTÉ")),1,0)</f>
        <v>0</v>
      </c>
      <c r="AV551" s="82" t="str">
        <f aca="false">IF(AU551=1,SUM(AU$7:AU551),"")</f>
        <v/>
      </c>
      <c r="AW551" s="82" t="str">
        <f aca="false">IF(E551="","",B551&amp;"|"&amp;E551)</f>
        <v>MFD-ISW → MFD-CPF|JN°545</v>
      </c>
    </row>
    <row r="552" customFormat="false" ht="74.6" hidden="false" customHeight="false" outlineLevel="0" collapsed="false">
      <c r="A552" s="79" t="n">
        <f aca="false">IF(E552="","",ROW()-6)</f>
        <v>546</v>
      </c>
      <c r="B552" s="80" t="s">
        <v>110</v>
      </c>
      <c r="C552" s="81"/>
      <c r="D552" s="81"/>
      <c r="E552" s="81" t="s">
        <v>656</v>
      </c>
      <c r="F552" s="82" t="str">
        <f aca="false">IF(E552="","",IF(LEFT(E552,2)="DJ","DJ","JN"))</f>
        <v>JN</v>
      </c>
      <c r="G552" s="81"/>
      <c r="H552" s="81"/>
      <c r="I552" s="81"/>
      <c r="J552" s="81"/>
      <c r="K552" s="81"/>
      <c r="L552" s="81"/>
      <c r="M552" s="81"/>
      <c r="N552" s="81"/>
      <c r="O552" s="81"/>
      <c r="P552" s="81"/>
      <c r="Q552" s="81"/>
      <c r="R552" s="81"/>
      <c r="S552" s="81"/>
      <c r="T552" s="81"/>
      <c r="U552" s="83"/>
      <c r="V552" s="83"/>
      <c r="W552" s="81"/>
      <c r="X552" s="81"/>
      <c r="Y552" s="83"/>
      <c r="Z552" s="81"/>
      <c r="AA552" s="81"/>
      <c r="AB552" s="81"/>
      <c r="AC552" s="81"/>
      <c r="AD552" s="81"/>
      <c r="AE552" s="83"/>
      <c r="AF552" s="81"/>
      <c r="AG552" s="81"/>
      <c r="AH552" s="81"/>
      <c r="AI552" s="81"/>
      <c r="AJ552" s="83"/>
      <c r="AK552" s="81"/>
      <c r="AL552" s="81"/>
      <c r="AM552" s="83"/>
      <c r="AN552" s="80"/>
      <c r="AO552" s="82" t="n">
        <f aca="false">IF(E552="","",(AA552&lt;&gt;"")+(AG552&lt;&gt;"")+(AL552&lt;&gt;""))</f>
        <v>0</v>
      </c>
      <c r="AP552" s="82" t="str">
        <f aca="false">IF(AL552&lt;&gt;"",AL552,IF(AG552&lt;&gt;"",AG552,IF(AA552&lt;&gt;"",AA552,"")))</f>
        <v/>
      </c>
      <c r="AQ552" s="84" t="str">
        <f aca="false">IF(E552="","",IF(U552="","À SOUDER",IF(X552="","VT EN ATTENTE",IF(X552="R","VT REJETÉ – À REPRENDRE",IF(AP552="","À RADIOGRAPHIER",IF(AP552="A","ACCEPTÉ",IF(AP552="NX","NX – RT À REFAIRE",IF(IF(AO552=1,AD552,IF(AO552=2,AI552,""))="A","RÉPARÉ – À RADIOGRAPHIER",IF(IF(AO552=1,AD552,IF(AO552=2,AI552,""))="R","VT REJETÉ – À REPRENDRE",IF(OR(AP552="CO",AP552="NT"),"COUPE – À RESOUDER","À RÉPARER"))))))))))</f>
        <v>À SOUDER</v>
      </c>
      <c r="AR552" s="82" t="str">
        <f aca="false">IF(AND(ISNUMBER(U552),OR(AQ552="À RADIOGRAPHIER",AQ552="RÉPARÉ – À RADIOGRAPHIER",AQ552="NX – RT À REFAIRE",AQ552="À RÉPARER",AQ552="COUPE – À RESOUDER",AQ552="VT REJETÉ – À REPRENDRE")),MAX(0,'PROGRAMME RT'!$C$4-U552),"")</f>
        <v/>
      </c>
      <c r="AS552" s="82" t="n">
        <f aca="false">IF(AND(OR(AQ552="À RADIOGRAPHIER",AQ552="RÉPARÉ – À RADIOGRAPHIER",AQ552="NX – RT À REFAIRE"),OR('PROGRAMME RT'!$D$5="TOUTES",B552='PROGRAMME RT'!$D$5)),1,0)</f>
        <v>0</v>
      </c>
      <c r="AT552" s="82" t="str">
        <f aca="false">IF(AS552=1,SUM(AS$7:AS552),"")</f>
        <v/>
      </c>
      <c r="AU552" s="82" t="n">
        <f aca="false">IF(AND(OR(AA552="R",AA552="NX",AA552="NT",AA552="CO"),OR('JOINTS DE RÉPARATION'!$D$5="TOUTES",B552='JOINTS DE RÉPARATION'!$D$5),OR('JOINTS DE RÉPARATION'!$L$4="TOUS",AQ552&lt;&gt;"ACCEPTÉ")),1,0)</f>
        <v>0</v>
      </c>
      <c r="AV552" s="82" t="str">
        <f aca="false">IF(AU552=1,SUM(AU$7:AU552),"")</f>
        <v/>
      </c>
      <c r="AW552" s="82" t="str">
        <f aca="false">IF(E552="","",B552&amp;"|"&amp;E552)</f>
        <v>MFD-ISW → MFD-CPF|JN°546</v>
      </c>
    </row>
    <row r="553" customFormat="false" ht="74.6" hidden="false" customHeight="false" outlineLevel="0" collapsed="false">
      <c r="A553" s="79" t="n">
        <f aca="false">IF(E553="","",ROW()-6)</f>
        <v>547</v>
      </c>
      <c r="B553" s="80" t="s">
        <v>110</v>
      </c>
      <c r="C553" s="81"/>
      <c r="D553" s="81"/>
      <c r="E553" s="81" t="s">
        <v>657</v>
      </c>
      <c r="F553" s="82" t="str">
        <f aca="false">IF(E553="","",IF(LEFT(E553,2)="DJ","DJ","JN"))</f>
        <v>JN</v>
      </c>
      <c r="G553" s="81"/>
      <c r="H553" s="81"/>
      <c r="I553" s="81"/>
      <c r="J553" s="81"/>
      <c r="K553" s="81"/>
      <c r="L553" s="81"/>
      <c r="M553" s="81"/>
      <c r="N553" s="81"/>
      <c r="O553" s="81"/>
      <c r="P553" s="81"/>
      <c r="Q553" s="81"/>
      <c r="R553" s="81"/>
      <c r="S553" s="81"/>
      <c r="T553" s="81"/>
      <c r="U553" s="83"/>
      <c r="V553" s="83"/>
      <c r="W553" s="81"/>
      <c r="X553" s="81"/>
      <c r="Y553" s="83"/>
      <c r="Z553" s="81"/>
      <c r="AA553" s="81"/>
      <c r="AB553" s="81"/>
      <c r="AC553" s="81"/>
      <c r="AD553" s="81"/>
      <c r="AE553" s="83"/>
      <c r="AF553" s="81"/>
      <c r="AG553" s="81"/>
      <c r="AH553" s="81"/>
      <c r="AI553" s="81"/>
      <c r="AJ553" s="83"/>
      <c r="AK553" s="81"/>
      <c r="AL553" s="81"/>
      <c r="AM553" s="83"/>
      <c r="AN553" s="80"/>
      <c r="AO553" s="82" t="n">
        <f aca="false">IF(E553="","",(AA553&lt;&gt;"")+(AG553&lt;&gt;"")+(AL553&lt;&gt;""))</f>
        <v>0</v>
      </c>
      <c r="AP553" s="82" t="str">
        <f aca="false">IF(AL553&lt;&gt;"",AL553,IF(AG553&lt;&gt;"",AG553,IF(AA553&lt;&gt;"",AA553,"")))</f>
        <v/>
      </c>
      <c r="AQ553" s="84" t="str">
        <f aca="false">IF(E553="","",IF(U553="","À SOUDER",IF(X553="","VT EN ATTENTE",IF(X553="R","VT REJETÉ – À REPRENDRE",IF(AP553="","À RADIOGRAPHIER",IF(AP553="A","ACCEPTÉ",IF(AP553="NX","NX – RT À REFAIRE",IF(IF(AO553=1,AD553,IF(AO553=2,AI553,""))="A","RÉPARÉ – À RADIOGRAPHIER",IF(IF(AO553=1,AD553,IF(AO553=2,AI553,""))="R","VT REJETÉ – À REPRENDRE",IF(OR(AP553="CO",AP553="NT"),"COUPE – À RESOUDER","À RÉPARER"))))))))))</f>
        <v>À SOUDER</v>
      </c>
      <c r="AR553" s="82" t="str">
        <f aca="false">IF(AND(ISNUMBER(U553),OR(AQ553="À RADIOGRAPHIER",AQ553="RÉPARÉ – À RADIOGRAPHIER",AQ553="NX – RT À REFAIRE",AQ553="À RÉPARER",AQ553="COUPE – À RESOUDER",AQ553="VT REJETÉ – À REPRENDRE")),MAX(0,'PROGRAMME RT'!$C$4-U553),"")</f>
        <v/>
      </c>
      <c r="AS553" s="82" t="n">
        <f aca="false">IF(AND(OR(AQ553="À RADIOGRAPHIER",AQ553="RÉPARÉ – À RADIOGRAPHIER",AQ553="NX – RT À REFAIRE"),OR('PROGRAMME RT'!$D$5="TOUTES",B553='PROGRAMME RT'!$D$5)),1,0)</f>
        <v>0</v>
      </c>
      <c r="AT553" s="82" t="str">
        <f aca="false">IF(AS553=1,SUM(AS$7:AS553),"")</f>
        <v/>
      </c>
      <c r="AU553" s="82" t="n">
        <f aca="false">IF(AND(OR(AA553="R",AA553="NX",AA553="NT",AA553="CO"),OR('JOINTS DE RÉPARATION'!$D$5="TOUTES",B553='JOINTS DE RÉPARATION'!$D$5),OR('JOINTS DE RÉPARATION'!$L$4="TOUS",AQ553&lt;&gt;"ACCEPTÉ")),1,0)</f>
        <v>0</v>
      </c>
      <c r="AV553" s="82" t="str">
        <f aca="false">IF(AU553=1,SUM(AU$7:AU553),"")</f>
        <v/>
      </c>
      <c r="AW553" s="82" t="str">
        <f aca="false">IF(E553="","",B553&amp;"|"&amp;E553)</f>
        <v>MFD-ISW → MFD-CPF|JN°547</v>
      </c>
    </row>
    <row r="554" customFormat="false" ht="74.6" hidden="false" customHeight="false" outlineLevel="0" collapsed="false">
      <c r="A554" s="79" t="n">
        <f aca="false">IF(E554="","",ROW()-6)</f>
        <v>548</v>
      </c>
      <c r="B554" s="80" t="s">
        <v>110</v>
      </c>
      <c r="C554" s="81"/>
      <c r="D554" s="81"/>
      <c r="E554" s="81" t="s">
        <v>658</v>
      </c>
      <c r="F554" s="82" t="str">
        <f aca="false">IF(E554="","",IF(LEFT(E554,2)="DJ","DJ","JN"))</f>
        <v>JN</v>
      </c>
      <c r="G554" s="81"/>
      <c r="H554" s="81"/>
      <c r="I554" s="81"/>
      <c r="J554" s="81"/>
      <c r="K554" s="81"/>
      <c r="L554" s="81"/>
      <c r="M554" s="81"/>
      <c r="N554" s="81"/>
      <c r="O554" s="81"/>
      <c r="P554" s="81"/>
      <c r="Q554" s="81"/>
      <c r="R554" s="81"/>
      <c r="S554" s="81"/>
      <c r="T554" s="81"/>
      <c r="U554" s="83"/>
      <c r="V554" s="83"/>
      <c r="W554" s="81"/>
      <c r="X554" s="81"/>
      <c r="Y554" s="83"/>
      <c r="Z554" s="81"/>
      <c r="AA554" s="81"/>
      <c r="AB554" s="81"/>
      <c r="AC554" s="81"/>
      <c r="AD554" s="81"/>
      <c r="AE554" s="83"/>
      <c r="AF554" s="81"/>
      <c r="AG554" s="81"/>
      <c r="AH554" s="81"/>
      <c r="AI554" s="81"/>
      <c r="AJ554" s="83"/>
      <c r="AK554" s="81"/>
      <c r="AL554" s="81"/>
      <c r="AM554" s="83"/>
      <c r="AN554" s="80"/>
      <c r="AO554" s="82" t="n">
        <f aca="false">IF(E554="","",(AA554&lt;&gt;"")+(AG554&lt;&gt;"")+(AL554&lt;&gt;""))</f>
        <v>0</v>
      </c>
      <c r="AP554" s="82" t="str">
        <f aca="false">IF(AL554&lt;&gt;"",AL554,IF(AG554&lt;&gt;"",AG554,IF(AA554&lt;&gt;"",AA554,"")))</f>
        <v/>
      </c>
      <c r="AQ554" s="84" t="str">
        <f aca="false">IF(E554="","",IF(U554="","À SOUDER",IF(X554="","VT EN ATTENTE",IF(X554="R","VT REJETÉ – À REPRENDRE",IF(AP554="","À RADIOGRAPHIER",IF(AP554="A","ACCEPTÉ",IF(AP554="NX","NX – RT À REFAIRE",IF(IF(AO554=1,AD554,IF(AO554=2,AI554,""))="A","RÉPARÉ – À RADIOGRAPHIER",IF(IF(AO554=1,AD554,IF(AO554=2,AI554,""))="R","VT REJETÉ – À REPRENDRE",IF(OR(AP554="CO",AP554="NT"),"COUPE – À RESOUDER","À RÉPARER"))))))))))</f>
        <v>À SOUDER</v>
      </c>
      <c r="AR554" s="82" t="str">
        <f aca="false">IF(AND(ISNUMBER(U554),OR(AQ554="À RADIOGRAPHIER",AQ554="RÉPARÉ – À RADIOGRAPHIER",AQ554="NX – RT À REFAIRE",AQ554="À RÉPARER",AQ554="COUPE – À RESOUDER",AQ554="VT REJETÉ – À REPRENDRE")),MAX(0,'PROGRAMME RT'!$C$4-U554),"")</f>
        <v/>
      </c>
      <c r="AS554" s="82" t="n">
        <f aca="false">IF(AND(OR(AQ554="À RADIOGRAPHIER",AQ554="RÉPARÉ – À RADIOGRAPHIER",AQ554="NX – RT À REFAIRE"),OR('PROGRAMME RT'!$D$5="TOUTES",B554='PROGRAMME RT'!$D$5)),1,0)</f>
        <v>0</v>
      </c>
      <c r="AT554" s="82" t="str">
        <f aca="false">IF(AS554=1,SUM(AS$7:AS554),"")</f>
        <v/>
      </c>
      <c r="AU554" s="82" t="n">
        <f aca="false">IF(AND(OR(AA554="R",AA554="NX",AA554="NT",AA554="CO"),OR('JOINTS DE RÉPARATION'!$D$5="TOUTES",B554='JOINTS DE RÉPARATION'!$D$5),OR('JOINTS DE RÉPARATION'!$L$4="TOUS",AQ554&lt;&gt;"ACCEPTÉ")),1,0)</f>
        <v>0</v>
      </c>
      <c r="AV554" s="82" t="str">
        <f aca="false">IF(AU554=1,SUM(AU$7:AU554),"")</f>
        <v/>
      </c>
      <c r="AW554" s="82" t="str">
        <f aca="false">IF(E554="","",B554&amp;"|"&amp;E554)</f>
        <v>MFD-ISW → MFD-CPF|JN°548</v>
      </c>
    </row>
    <row r="555" customFormat="false" ht="74.6" hidden="false" customHeight="false" outlineLevel="0" collapsed="false">
      <c r="A555" s="79" t="n">
        <f aca="false">IF(E555="","",ROW()-6)</f>
        <v>549</v>
      </c>
      <c r="B555" s="80" t="s">
        <v>110</v>
      </c>
      <c r="C555" s="81"/>
      <c r="D555" s="81"/>
      <c r="E555" s="81" t="s">
        <v>659</v>
      </c>
      <c r="F555" s="82" t="str">
        <f aca="false">IF(E555="","",IF(LEFT(E555,2)="DJ","DJ","JN"))</f>
        <v>JN</v>
      </c>
      <c r="G555" s="81"/>
      <c r="H555" s="81"/>
      <c r="I555" s="81"/>
      <c r="J555" s="81"/>
      <c r="K555" s="81"/>
      <c r="L555" s="81"/>
      <c r="M555" s="81"/>
      <c r="N555" s="81"/>
      <c r="O555" s="81"/>
      <c r="P555" s="81"/>
      <c r="Q555" s="81"/>
      <c r="R555" s="81"/>
      <c r="S555" s="81"/>
      <c r="T555" s="81"/>
      <c r="U555" s="83"/>
      <c r="V555" s="83"/>
      <c r="W555" s="81"/>
      <c r="X555" s="81"/>
      <c r="Y555" s="83"/>
      <c r="Z555" s="81"/>
      <c r="AA555" s="81"/>
      <c r="AB555" s="81"/>
      <c r="AC555" s="81"/>
      <c r="AD555" s="81"/>
      <c r="AE555" s="83"/>
      <c r="AF555" s="81"/>
      <c r="AG555" s="81"/>
      <c r="AH555" s="81"/>
      <c r="AI555" s="81"/>
      <c r="AJ555" s="83"/>
      <c r="AK555" s="81"/>
      <c r="AL555" s="81"/>
      <c r="AM555" s="83"/>
      <c r="AN555" s="80"/>
      <c r="AO555" s="82" t="n">
        <f aca="false">IF(E555="","",(AA555&lt;&gt;"")+(AG555&lt;&gt;"")+(AL555&lt;&gt;""))</f>
        <v>0</v>
      </c>
      <c r="AP555" s="82" t="str">
        <f aca="false">IF(AL555&lt;&gt;"",AL555,IF(AG555&lt;&gt;"",AG555,IF(AA555&lt;&gt;"",AA555,"")))</f>
        <v/>
      </c>
      <c r="AQ555" s="84" t="str">
        <f aca="false">IF(E555="","",IF(U555="","À SOUDER",IF(X555="","VT EN ATTENTE",IF(X555="R","VT REJETÉ – À REPRENDRE",IF(AP555="","À RADIOGRAPHIER",IF(AP555="A","ACCEPTÉ",IF(AP555="NX","NX – RT À REFAIRE",IF(IF(AO555=1,AD555,IF(AO555=2,AI555,""))="A","RÉPARÉ – À RADIOGRAPHIER",IF(IF(AO555=1,AD555,IF(AO555=2,AI555,""))="R","VT REJETÉ – À REPRENDRE",IF(OR(AP555="CO",AP555="NT"),"COUPE – À RESOUDER","À RÉPARER"))))))))))</f>
        <v>À SOUDER</v>
      </c>
      <c r="AR555" s="82" t="str">
        <f aca="false">IF(AND(ISNUMBER(U555),OR(AQ555="À RADIOGRAPHIER",AQ555="RÉPARÉ – À RADIOGRAPHIER",AQ555="NX – RT À REFAIRE",AQ555="À RÉPARER",AQ555="COUPE – À RESOUDER",AQ555="VT REJETÉ – À REPRENDRE")),MAX(0,'PROGRAMME RT'!$C$4-U555),"")</f>
        <v/>
      </c>
      <c r="AS555" s="82" t="n">
        <f aca="false">IF(AND(OR(AQ555="À RADIOGRAPHIER",AQ555="RÉPARÉ – À RADIOGRAPHIER",AQ555="NX – RT À REFAIRE"),OR('PROGRAMME RT'!$D$5="TOUTES",B555='PROGRAMME RT'!$D$5)),1,0)</f>
        <v>0</v>
      </c>
      <c r="AT555" s="82" t="str">
        <f aca="false">IF(AS555=1,SUM(AS$7:AS555),"")</f>
        <v/>
      </c>
      <c r="AU555" s="82" t="n">
        <f aca="false">IF(AND(OR(AA555="R",AA555="NX",AA555="NT",AA555="CO"),OR('JOINTS DE RÉPARATION'!$D$5="TOUTES",B555='JOINTS DE RÉPARATION'!$D$5),OR('JOINTS DE RÉPARATION'!$L$4="TOUS",AQ555&lt;&gt;"ACCEPTÉ")),1,0)</f>
        <v>0</v>
      </c>
      <c r="AV555" s="82" t="str">
        <f aca="false">IF(AU555=1,SUM(AU$7:AU555),"")</f>
        <v/>
      </c>
      <c r="AW555" s="82" t="str">
        <f aca="false">IF(E555="","",B555&amp;"|"&amp;E555)</f>
        <v>MFD-ISW → MFD-CPF|JN°549</v>
      </c>
    </row>
    <row r="556" customFormat="false" ht="74.6" hidden="false" customHeight="false" outlineLevel="0" collapsed="false">
      <c r="A556" s="79" t="n">
        <f aca="false">IF(E556="","",ROW()-6)</f>
        <v>550</v>
      </c>
      <c r="B556" s="80" t="s">
        <v>110</v>
      </c>
      <c r="C556" s="81"/>
      <c r="D556" s="81"/>
      <c r="E556" s="81" t="s">
        <v>660</v>
      </c>
      <c r="F556" s="82" t="str">
        <f aca="false">IF(E556="","",IF(LEFT(E556,2)="DJ","DJ","JN"))</f>
        <v>JN</v>
      </c>
      <c r="G556" s="81"/>
      <c r="H556" s="81"/>
      <c r="I556" s="81"/>
      <c r="J556" s="81"/>
      <c r="K556" s="81"/>
      <c r="L556" s="81"/>
      <c r="M556" s="81"/>
      <c r="N556" s="81"/>
      <c r="O556" s="81"/>
      <c r="P556" s="81"/>
      <c r="Q556" s="81"/>
      <c r="R556" s="81"/>
      <c r="S556" s="81"/>
      <c r="T556" s="81"/>
      <c r="U556" s="83"/>
      <c r="V556" s="83"/>
      <c r="W556" s="81"/>
      <c r="X556" s="81"/>
      <c r="Y556" s="83"/>
      <c r="Z556" s="81"/>
      <c r="AA556" s="81"/>
      <c r="AB556" s="81"/>
      <c r="AC556" s="81"/>
      <c r="AD556" s="81"/>
      <c r="AE556" s="83"/>
      <c r="AF556" s="81"/>
      <c r="AG556" s="81"/>
      <c r="AH556" s="81"/>
      <c r="AI556" s="81"/>
      <c r="AJ556" s="83"/>
      <c r="AK556" s="81"/>
      <c r="AL556" s="81"/>
      <c r="AM556" s="83"/>
      <c r="AN556" s="80"/>
      <c r="AO556" s="82" t="n">
        <f aca="false">IF(E556="","",(AA556&lt;&gt;"")+(AG556&lt;&gt;"")+(AL556&lt;&gt;""))</f>
        <v>0</v>
      </c>
      <c r="AP556" s="82" t="str">
        <f aca="false">IF(AL556&lt;&gt;"",AL556,IF(AG556&lt;&gt;"",AG556,IF(AA556&lt;&gt;"",AA556,"")))</f>
        <v/>
      </c>
      <c r="AQ556" s="84" t="str">
        <f aca="false">IF(E556="","",IF(U556="","À SOUDER",IF(X556="","VT EN ATTENTE",IF(X556="R","VT REJETÉ – À REPRENDRE",IF(AP556="","À RADIOGRAPHIER",IF(AP556="A","ACCEPTÉ",IF(AP556="NX","NX – RT À REFAIRE",IF(IF(AO556=1,AD556,IF(AO556=2,AI556,""))="A","RÉPARÉ – À RADIOGRAPHIER",IF(IF(AO556=1,AD556,IF(AO556=2,AI556,""))="R","VT REJETÉ – À REPRENDRE",IF(OR(AP556="CO",AP556="NT"),"COUPE – À RESOUDER","À RÉPARER"))))))))))</f>
        <v>À SOUDER</v>
      </c>
      <c r="AR556" s="82" t="str">
        <f aca="false">IF(AND(ISNUMBER(U556),OR(AQ556="À RADIOGRAPHIER",AQ556="RÉPARÉ – À RADIOGRAPHIER",AQ556="NX – RT À REFAIRE",AQ556="À RÉPARER",AQ556="COUPE – À RESOUDER",AQ556="VT REJETÉ – À REPRENDRE")),MAX(0,'PROGRAMME RT'!$C$4-U556),"")</f>
        <v/>
      </c>
      <c r="AS556" s="82" t="n">
        <f aca="false">IF(AND(OR(AQ556="À RADIOGRAPHIER",AQ556="RÉPARÉ – À RADIOGRAPHIER",AQ556="NX – RT À REFAIRE"),OR('PROGRAMME RT'!$D$5="TOUTES",B556='PROGRAMME RT'!$D$5)),1,0)</f>
        <v>0</v>
      </c>
      <c r="AT556" s="82" t="str">
        <f aca="false">IF(AS556=1,SUM(AS$7:AS556),"")</f>
        <v/>
      </c>
      <c r="AU556" s="82" t="n">
        <f aca="false">IF(AND(OR(AA556="R",AA556="NX",AA556="NT",AA556="CO"),OR('JOINTS DE RÉPARATION'!$D$5="TOUTES",B556='JOINTS DE RÉPARATION'!$D$5),OR('JOINTS DE RÉPARATION'!$L$4="TOUS",AQ556&lt;&gt;"ACCEPTÉ")),1,0)</f>
        <v>0</v>
      </c>
      <c r="AV556" s="82" t="str">
        <f aca="false">IF(AU556=1,SUM(AU$7:AU556),"")</f>
        <v/>
      </c>
      <c r="AW556" s="82" t="str">
        <f aca="false">IF(E556="","",B556&amp;"|"&amp;E556)</f>
        <v>MFD-ISW → MFD-CPF|JN°550</v>
      </c>
    </row>
    <row r="557" customFormat="false" ht="74.6" hidden="false" customHeight="false" outlineLevel="0" collapsed="false">
      <c r="A557" s="79" t="n">
        <f aca="false">IF(E557="","",ROW()-6)</f>
        <v>551</v>
      </c>
      <c r="B557" s="80" t="s">
        <v>110</v>
      </c>
      <c r="C557" s="81"/>
      <c r="D557" s="81"/>
      <c r="E557" s="81" t="s">
        <v>661</v>
      </c>
      <c r="F557" s="82" t="str">
        <f aca="false">IF(E557="","",IF(LEFT(E557,2)="DJ","DJ","JN"))</f>
        <v>JN</v>
      </c>
      <c r="G557" s="81"/>
      <c r="H557" s="81"/>
      <c r="I557" s="81"/>
      <c r="J557" s="81"/>
      <c r="K557" s="81"/>
      <c r="L557" s="81"/>
      <c r="M557" s="81"/>
      <c r="N557" s="81"/>
      <c r="O557" s="81"/>
      <c r="P557" s="81"/>
      <c r="Q557" s="81"/>
      <c r="R557" s="81"/>
      <c r="S557" s="81"/>
      <c r="T557" s="81"/>
      <c r="U557" s="83"/>
      <c r="V557" s="83"/>
      <c r="W557" s="81"/>
      <c r="X557" s="81"/>
      <c r="Y557" s="83"/>
      <c r="Z557" s="81"/>
      <c r="AA557" s="81"/>
      <c r="AB557" s="81"/>
      <c r="AC557" s="81"/>
      <c r="AD557" s="81"/>
      <c r="AE557" s="83"/>
      <c r="AF557" s="81"/>
      <c r="AG557" s="81"/>
      <c r="AH557" s="81"/>
      <c r="AI557" s="81"/>
      <c r="AJ557" s="83"/>
      <c r="AK557" s="81"/>
      <c r="AL557" s="81"/>
      <c r="AM557" s="83"/>
      <c r="AN557" s="80"/>
      <c r="AO557" s="82" t="n">
        <f aca="false">IF(E557="","",(AA557&lt;&gt;"")+(AG557&lt;&gt;"")+(AL557&lt;&gt;""))</f>
        <v>0</v>
      </c>
      <c r="AP557" s="82" t="str">
        <f aca="false">IF(AL557&lt;&gt;"",AL557,IF(AG557&lt;&gt;"",AG557,IF(AA557&lt;&gt;"",AA557,"")))</f>
        <v/>
      </c>
      <c r="AQ557" s="84" t="str">
        <f aca="false">IF(E557="","",IF(U557="","À SOUDER",IF(X557="","VT EN ATTENTE",IF(X557="R","VT REJETÉ – À REPRENDRE",IF(AP557="","À RADIOGRAPHIER",IF(AP557="A","ACCEPTÉ",IF(AP557="NX","NX – RT À REFAIRE",IF(IF(AO557=1,AD557,IF(AO557=2,AI557,""))="A","RÉPARÉ – À RADIOGRAPHIER",IF(IF(AO557=1,AD557,IF(AO557=2,AI557,""))="R","VT REJETÉ – À REPRENDRE",IF(OR(AP557="CO",AP557="NT"),"COUPE – À RESOUDER","À RÉPARER"))))))))))</f>
        <v>À SOUDER</v>
      </c>
      <c r="AR557" s="82" t="str">
        <f aca="false">IF(AND(ISNUMBER(U557),OR(AQ557="À RADIOGRAPHIER",AQ557="RÉPARÉ – À RADIOGRAPHIER",AQ557="NX – RT À REFAIRE",AQ557="À RÉPARER",AQ557="COUPE – À RESOUDER",AQ557="VT REJETÉ – À REPRENDRE")),MAX(0,'PROGRAMME RT'!$C$4-U557),"")</f>
        <v/>
      </c>
      <c r="AS557" s="82" t="n">
        <f aca="false">IF(AND(OR(AQ557="À RADIOGRAPHIER",AQ557="RÉPARÉ – À RADIOGRAPHIER",AQ557="NX – RT À REFAIRE"),OR('PROGRAMME RT'!$D$5="TOUTES",B557='PROGRAMME RT'!$D$5)),1,0)</f>
        <v>0</v>
      </c>
      <c r="AT557" s="82" t="str">
        <f aca="false">IF(AS557=1,SUM(AS$7:AS557),"")</f>
        <v/>
      </c>
      <c r="AU557" s="82" t="n">
        <f aca="false">IF(AND(OR(AA557="R",AA557="NX",AA557="NT",AA557="CO"),OR('JOINTS DE RÉPARATION'!$D$5="TOUTES",B557='JOINTS DE RÉPARATION'!$D$5),OR('JOINTS DE RÉPARATION'!$L$4="TOUS",AQ557&lt;&gt;"ACCEPTÉ")),1,0)</f>
        <v>0</v>
      </c>
      <c r="AV557" s="82" t="str">
        <f aca="false">IF(AU557=1,SUM(AU$7:AU557),"")</f>
        <v/>
      </c>
      <c r="AW557" s="82" t="str">
        <f aca="false">IF(E557="","",B557&amp;"|"&amp;E557)</f>
        <v>MFD-ISW → MFD-CPF|JN°551</v>
      </c>
    </row>
    <row r="558" customFormat="false" ht="74.6" hidden="false" customHeight="false" outlineLevel="0" collapsed="false">
      <c r="A558" s="79" t="n">
        <f aca="false">IF(E558="","",ROW()-6)</f>
        <v>552</v>
      </c>
      <c r="B558" s="80" t="s">
        <v>110</v>
      </c>
      <c r="C558" s="81"/>
      <c r="D558" s="81"/>
      <c r="E558" s="81" t="s">
        <v>662</v>
      </c>
      <c r="F558" s="82" t="str">
        <f aca="false">IF(E558="","",IF(LEFT(E558,2)="DJ","DJ","JN"))</f>
        <v>JN</v>
      </c>
      <c r="G558" s="81"/>
      <c r="H558" s="81"/>
      <c r="I558" s="81"/>
      <c r="J558" s="81"/>
      <c r="K558" s="81"/>
      <c r="L558" s="81"/>
      <c r="M558" s="81"/>
      <c r="N558" s="81"/>
      <c r="O558" s="81"/>
      <c r="P558" s="81"/>
      <c r="Q558" s="81"/>
      <c r="R558" s="81"/>
      <c r="S558" s="81"/>
      <c r="T558" s="81"/>
      <c r="U558" s="83"/>
      <c r="V558" s="83"/>
      <c r="W558" s="81"/>
      <c r="X558" s="81"/>
      <c r="Y558" s="83"/>
      <c r="Z558" s="81"/>
      <c r="AA558" s="81"/>
      <c r="AB558" s="81"/>
      <c r="AC558" s="81"/>
      <c r="AD558" s="81"/>
      <c r="AE558" s="83"/>
      <c r="AF558" s="81"/>
      <c r="AG558" s="81"/>
      <c r="AH558" s="81"/>
      <c r="AI558" s="81"/>
      <c r="AJ558" s="83"/>
      <c r="AK558" s="81"/>
      <c r="AL558" s="81"/>
      <c r="AM558" s="83"/>
      <c r="AN558" s="80"/>
      <c r="AO558" s="82" t="n">
        <f aca="false">IF(E558="","",(AA558&lt;&gt;"")+(AG558&lt;&gt;"")+(AL558&lt;&gt;""))</f>
        <v>0</v>
      </c>
      <c r="AP558" s="82" t="str">
        <f aca="false">IF(AL558&lt;&gt;"",AL558,IF(AG558&lt;&gt;"",AG558,IF(AA558&lt;&gt;"",AA558,"")))</f>
        <v/>
      </c>
      <c r="AQ558" s="84" t="str">
        <f aca="false">IF(E558="","",IF(U558="","À SOUDER",IF(X558="","VT EN ATTENTE",IF(X558="R","VT REJETÉ – À REPRENDRE",IF(AP558="","À RADIOGRAPHIER",IF(AP558="A","ACCEPTÉ",IF(AP558="NX","NX – RT À REFAIRE",IF(IF(AO558=1,AD558,IF(AO558=2,AI558,""))="A","RÉPARÉ – À RADIOGRAPHIER",IF(IF(AO558=1,AD558,IF(AO558=2,AI558,""))="R","VT REJETÉ – À REPRENDRE",IF(OR(AP558="CO",AP558="NT"),"COUPE – À RESOUDER","À RÉPARER"))))))))))</f>
        <v>À SOUDER</v>
      </c>
      <c r="AR558" s="82" t="str">
        <f aca="false">IF(AND(ISNUMBER(U558),OR(AQ558="À RADIOGRAPHIER",AQ558="RÉPARÉ – À RADIOGRAPHIER",AQ558="NX – RT À REFAIRE",AQ558="À RÉPARER",AQ558="COUPE – À RESOUDER",AQ558="VT REJETÉ – À REPRENDRE")),MAX(0,'PROGRAMME RT'!$C$4-U558),"")</f>
        <v/>
      </c>
      <c r="AS558" s="82" t="n">
        <f aca="false">IF(AND(OR(AQ558="À RADIOGRAPHIER",AQ558="RÉPARÉ – À RADIOGRAPHIER",AQ558="NX – RT À REFAIRE"),OR('PROGRAMME RT'!$D$5="TOUTES",B558='PROGRAMME RT'!$D$5)),1,0)</f>
        <v>0</v>
      </c>
      <c r="AT558" s="82" t="str">
        <f aca="false">IF(AS558=1,SUM(AS$7:AS558),"")</f>
        <v/>
      </c>
      <c r="AU558" s="82" t="n">
        <f aca="false">IF(AND(OR(AA558="R",AA558="NX",AA558="NT",AA558="CO"),OR('JOINTS DE RÉPARATION'!$D$5="TOUTES",B558='JOINTS DE RÉPARATION'!$D$5),OR('JOINTS DE RÉPARATION'!$L$4="TOUS",AQ558&lt;&gt;"ACCEPTÉ")),1,0)</f>
        <v>0</v>
      </c>
      <c r="AV558" s="82" t="str">
        <f aca="false">IF(AU558=1,SUM(AU$7:AU558),"")</f>
        <v/>
      </c>
      <c r="AW558" s="82" t="str">
        <f aca="false">IF(E558="","",B558&amp;"|"&amp;E558)</f>
        <v>MFD-ISW → MFD-CPF|JN°552</v>
      </c>
    </row>
    <row r="559" customFormat="false" ht="74.6" hidden="false" customHeight="false" outlineLevel="0" collapsed="false">
      <c r="A559" s="79" t="n">
        <f aca="false">IF(E559="","",ROW()-6)</f>
        <v>553</v>
      </c>
      <c r="B559" s="80" t="s">
        <v>110</v>
      </c>
      <c r="C559" s="81"/>
      <c r="D559" s="81"/>
      <c r="E559" s="81" t="s">
        <v>663</v>
      </c>
      <c r="F559" s="82" t="str">
        <f aca="false">IF(E559="","",IF(LEFT(E559,2)="DJ","DJ","JN"))</f>
        <v>JN</v>
      </c>
      <c r="G559" s="81"/>
      <c r="H559" s="81"/>
      <c r="I559" s="81"/>
      <c r="J559" s="81"/>
      <c r="K559" s="81"/>
      <c r="L559" s="81"/>
      <c r="M559" s="81"/>
      <c r="N559" s="81"/>
      <c r="O559" s="81"/>
      <c r="P559" s="81"/>
      <c r="Q559" s="81"/>
      <c r="R559" s="81"/>
      <c r="S559" s="81"/>
      <c r="T559" s="81"/>
      <c r="U559" s="83"/>
      <c r="V559" s="83"/>
      <c r="W559" s="81"/>
      <c r="X559" s="81"/>
      <c r="Y559" s="83"/>
      <c r="Z559" s="81"/>
      <c r="AA559" s="81"/>
      <c r="AB559" s="81"/>
      <c r="AC559" s="81"/>
      <c r="AD559" s="81"/>
      <c r="AE559" s="83"/>
      <c r="AF559" s="81"/>
      <c r="AG559" s="81"/>
      <c r="AH559" s="81"/>
      <c r="AI559" s="81"/>
      <c r="AJ559" s="83"/>
      <c r="AK559" s="81"/>
      <c r="AL559" s="81"/>
      <c r="AM559" s="83"/>
      <c r="AN559" s="80"/>
      <c r="AO559" s="82" t="n">
        <f aca="false">IF(E559="","",(AA559&lt;&gt;"")+(AG559&lt;&gt;"")+(AL559&lt;&gt;""))</f>
        <v>0</v>
      </c>
      <c r="AP559" s="82" t="str">
        <f aca="false">IF(AL559&lt;&gt;"",AL559,IF(AG559&lt;&gt;"",AG559,IF(AA559&lt;&gt;"",AA559,"")))</f>
        <v/>
      </c>
      <c r="AQ559" s="84" t="str">
        <f aca="false">IF(E559="","",IF(U559="","À SOUDER",IF(X559="","VT EN ATTENTE",IF(X559="R","VT REJETÉ – À REPRENDRE",IF(AP559="","À RADIOGRAPHIER",IF(AP559="A","ACCEPTÉ",IF(AP559="NX","NX – RT À REFAIRE",IF(IF(AO559=1,AD559,IF(AO559=2,AI559,""))="A","RÉPARÉ – À RADIOGRAPHIER",IF(IF(AO559=1,AD559,IF(AO559=2,AI559,""))="R","VT REJETÉ – À REPRENDRE",IF(OR(AP559="CO",AP559="NT"),"COUPE – À RESOUDER","À RÉPARER"))))))))))</f>
        <v>À SOUDER</v>
      </c>
      <c r="AR559" s="82" t="str">
        <f aca="false">IF(AND(ISNUMBER(U559),OR(AQ559="À RADIOGRAPHIER",AQ559="RÉPARÉ – À RADIOGRAPHIER",AQ559="NX – RT À REFAIRE",AQ559="À RÉPARER",AQ559="COUPE – À RESOUDER",AQ559="VT REJETÉ – À REPRENDRE")),MAX(0,'PROGRAMME RT'!$C$4-U559),"")</f>
        <v/>
      </c>
      <c r="AS559" s="82" t="n">
        <f aca="false">IF(AND(OR(AQ559="À RADIOGRAPHIER",AQ559="RÉPARÉ – À RADIOGRAPHIER",AQ559="NX – RT À REFAIRE"),OR('PROGRAMME RT'!$D$5="TOUTES",B559='PROGRAMME RT'!$D$5)),1,0)</f>
        <v>0</v>
      </c>
      <c r="AT559" s="82" t="str">
        <f aca="false">IF(AS559=1,SUM(AS$7:AS559),"")</f>
        <v/>
      </c>
      <c r="AU559" s="82" t="n">
        <f aca="false">IF(AND(OR(AA559="R",AA559="NX",AA559="NT",AA559="CO"),OR('JOINTS DE RÉPARATION'!$D$5="TOUTES",B559='JOINTS DE RÉPARATION'!$D$5),OR('JOINTS DE RÉPARATION'!$L$4="TOUS",AQ559&lt;&gt;"ACCEPTÉ")),1,0)</f>
        <v>0</v>
      </c>
      <c r="AV559" s="82" t="str">
        <f aca="false">IF(AU559=1,SUM(AU$7:AU559),"")</f>
        <v/>
      </c>
      <c r="AW559" s="82" t="str">
        <f aca="false">IF(E559="","",B559&amp;"|"&amp;E559)</f>
        <v>MFD-ISW → MFD-CPF|JN°553</v>
      </c>
    </row>
    <row r="560" customFormat="false" ht="74.6" hidden="false" customHeight="false" outlineLevel="0" collapsed="false">
      <c r="A560" s="79" t="n">
        <f aca="false">IF(E560="","",ROW()-6)</f>
        <v>554</v>
      </c>
      <c r="B560" s="80" t="s">
        <v>110</v>
      </c>
      <c r="C560" s="81"/>
      <c r="D560" s="81"/>
      <c r="E560" s="81" t="s">
        <v>664</v>
      </c>
      <c r="F560" s="82" t="str">
        <f aca="false">IF(E560="","",IF(LEFT(E560,2)="DJ","DJ","JN"))</f>
        <v>JN</v>
      </c>
      <c r="G560" s="81"/>
      <c r="H560" s="81"/>
      <c r="I560" s="81"/>
      <c r="J560" s="81"/>
      <c r="K560" s="81"/>
      <c r="L560" s="81"/>
      <c r="M560" s="81"/>
      <c r="N560" s="81"/>
      <c r="O560" s="81"/>
      <c r="P560" s="81"/>
      <c r="Q560" s="81"/>
      <c r="R560" s="81"/>
      <c r="S560" s="81"/>
      <c r="T560" s="81"/>
      <c r="U560" s="83"/>
      <c r="V560" s="83"/>
      <c r="W560" s="81"/>
      <c r="X560" s="81"/>
      <c r="Y560" s="83"/>
      <c r="Z560" s="81"/>
      <c r="AA560" s="81"/>
      <c r="AB560" s="81"/>
      <c r="AC560" s="81"/>
      <c r="AD560" s="81"/>
      <c r="AE560" s="83"/>
      <c r="AF560" s="81"/>
      <c r="AG560" s="81"/>
      <c r="AH560" s="81"/>
      <c r="AI560" s="81"/>
      <c r="AJ560" s="83"/>
      <c r="AK560" s="81"/>
      <c r="AL560" s="81"/>
      <c r="AM560" s="83"/>
      <c r="AN560" s="80"/>
      <c r="AO560" s="82" t="n">
        <f aca="false">IF(E560="","",(AA560&lt;&gt;"")+(AG560&lt;&gt;"")+(AL560&lt;&gt;""))</f>
        <v>0</v>
      </c>
      <c r="AP560" s="82" t="str">
        <f aca="false">IF(AL560&lt;&gt;"",AL560,IF(AG560&lt;&gt;"",AG560,IF(AA560&lt;&gt;"",AA560,"")))</f>
        <v/>
      </c>
      <c r="AQ560" s="84" t="str">
        <f aca="false">IF(E560="","",IF(U560="","À SOUDER",IF(X560="","VT EN ATTENTE",IF(X560="R","VT REJETÉ – À REPRENDRE",IF(AP560="","À RADIOGRAPHIER",IF(AP560="A","ACCEPTÉ",IF(AP560="NX","NX – RT À REFAIRE",IF(IF(AO560=1,AD560,IF(AO560=2,AI560,""))="A","RÉPARÉ – À RADIOGRAPHIER",IF(IF(AO560=1,AD560,IF(AO560=2,AI560,""))="R","VT REJETÉ – À REPRENDRE",IF(OR(AP560="CO",AP560="NT"),"COUPE – À RESOUDER","À RÉPARER"))))))))))</f>
        <v>À SOUDER</v>
      </c>
      <c r="AR560" s="82" t="str">
        <f aca="false">IF(AND(ISNUMBER(U560),OR(AQ560="À RADIOGRAPHIER",AQ560="RÉPARÉ – À RADIOGRAPHIER",AQ560="NX – RT À REFAIRE",AQ560="À RÉPARER",AQ560="COUPE – À RESOUDER",AQ560="VT REJETÉ – À REPRENDRE")),MAX(0,'PROGRAMME RT'!$C$4-U560),"")</f>
        <v/>
      </c>
      <c r="AS560" s="82" t="n">
        <f aca="false">IF(AND(OR(AQ560="À RADIOGRAPHIER",AQ560="RÉPARÉ – À RADIOGRAPHIER",AQ560="NX – RT À REFAIRE"),OR('PROGRAMME RT'!$D$5="TOUTES",B560='PROGRAMME RT'!$D$5)),1,0)</f>
        <v>0</v>
      </c>
      <c r="AT560" s="82" t="str">
        <f aca="false">IF(AS560=1,SUM(AS$7:AS560),"")</f>
        <v/>
      </c>
      <c r="AU560" s="82" t="n">
        <f aca="false">IF(AND(OR(AA560="R",AA560="NX",AA560="NT",AA560="CO"),OR('JOINTS DE RÉPARATION'!$D$5="TOUTES",B560='JOINTS DE RÉPARATION'!$D$5),OR('JOINTS DE RÉPARATION'!$L$4="TOUS",AQ560&lt;&gt;"ACCEPTÉ")),1,0)</f>
        <v>0</v>
      </c>
      <c r="AV560" s="82" t="str">
        <f aca="false">IF(AU560=1,SUM(AU$7:AU560),"")</f>
        <v/>
      </c>
      <c r="AW560" s="82" t="str">
        <f aca="false">IF(E560="","",B560&amp;"|"&amp;E560)</f>
        <v>MFD-ISW → MFD-CPF|JN°554</v>
      </c>
    </row>
    <row r="561" customFormat="false" ht="74.6" hidden="false" customHeight="false" outlineLevel="0" collapsed="false">
      <c r="A561" s="79" t="n">
        <f aca="false">IF(E561="","",ROW()-6)</f>
        <v>555</v>
      </c>
      <c r="B561" s="80" t="s">
        <v>110</v>
      </c>
      <c r="C561" s="81"/>
      <c r="D561" s="81"/>
      <c r="E561" s="81" t="s">
        <v>665</v>
      </c>
      <c r="F561" s="82" t="str">
        <f aca="false">IF(E561="","",IF(LEFT(E561,2)="DJ","DJ","JN"))</f>
        <v>JN</v>
      </c>
      <c r="G561" s="81"/>
      <c r="H561" s="81"/>
      <c r="I561" s="81"/>
      <c r="J561" s="81"/>
      <c r="K561" s="81"/>
      <c r="L561" s="81"/>
      <c r="M561" s="81"/>
      <c r="N561" s="81"/>
      <c r="O561" s="81"/>
      <c r="P561" s="81"/>
      <c r="Q561" s="81"/>
      <c r="R561" s="81"/>
      <c r="S561" s="81"/>
      <c r="T561" s="81"/>
      <c r="U561" s="83"/>
      <c r="V561" s="83"/>
      <c r="W561" s="81"/>
      <c r="X561" s="81"/>
      <c r="Y561" s="83"/>
      <c r="Z561" s="81"/>
      <c r="AA561" s="81"/>
      <c r="AB561" s="81"/>
      <c r="AC561" s="81"/>
      <c r="AD561" s="81"/>
      <c r="AE561" s="83"/>
      <c r="AF561" s="81"/>
      <c r="AG561" s="81"/>
      <c r="AH561" s="81"/>
      <c r="AI561" s="81"/>
      <c r="AJ561" s="83"/>
      <c r="AK561" s="81"/>
      <c r="AL561" s="81"/>
      <c r="AM561" s="83"/>
      <c r="AN561" s="80"/>
      <c r="AO561" s="82" t="n">
        <f aca="false">IF(E561="","",(AA561&lt;&gt;"")+(AG561&lt;&gt;"")+(AL561&lt;&gt;""))</f>
        <v>0</v>
      </c>
      <c r="AP561" s="82" t="str">
        <f aca="false">IF(AL561&lt;&gt;"",AL561,IF(AG561&lt;&gt;"",AG561,IF(AA561&lt;&gt;"",AA561,"")))</f>
        <v/>
      </c>
      <c r="AQ561" s="84" t="str">
        <f aca="false">IF(E561="","",IF(U561="","À SOUDER",IF(X561="","VT EN ATTENTE",IF(X561="R","VT REJETÉ – À REPRENDRE",IF(AP561="","À RADIOGRAPHIER",IF(AP561="A","ACCEPTÉ",IF(AP561="NX","NX – RT À REFAIRE",IF(IF(AO561=1,AD561,IF(AO561=2,AI561,""))="A","RÉPARÉ – À RADIOGRAPHIER",IF(IF(AO561=1,AD561,IF(AO561=2,AI561,""))="R","VT REJETÉ – À REPRENDRE",IF(OR(AP561="CO",AP561="NT"),"COUPE – À RESOUDER","À RÉPARER"))))))))))</f>
        <v>À SOUDER</v>
      </c>
      <c r="AR561" s="82" t="str">
        <f aca="false">IF(AND(ISNUMBER(U561),OR(AQ561="À RADIOGRAPHIER",AQ561="RÉPARÉ – À RADIOGRAPHIER",AQ561="NX – RT À REFAIRE",AQ561="À RÉPARER",AQ561="COUPE – À RESOUDER",AQ561="VT REJETÉ – À REPRENDRE")),MAX(0,'PROGRAMME RT'!$C$4-U561),"")</f>
        <v/>
      </c>
      <c r="AS561" s="82" t="n">
        <f aca="false">IF(AND(OR(AQ561="À RADIOGRAPHIER",AQ561="RÉPARÉ – À RADIOGRAPHIER",AQ561="NX – RT À REFAIRE"),OR('PROGRAMME RT'!$D$5="TOUTES",B561='PROGRAMME RT'!$D$5)),1,0)</f>
        <v>0</v>
      </c>
      <c r="AT561" s="82" t="str">
        <f aca="false">IF(AS561=1,SUM(AS$7:AS561),"")</f>
        <v/>
      </c>
      <c r="AU561" s="82" t="n">
        <f aca="false">IF(AND(OR(AA561="R",AA561="NX",AA561="NT",AA561="CO"),OR('JOINTS DE RÉPARATION'!$D$5="TOUTES",B561='JOINTS DE RÉPARATION'!$D$5),OR('JOINTS DE RÉPARATION'!$L$4="TOUS",AQ561&lt;&gt;"ACCEPTÉ")),1,0)</f>
        <v>0</v>
      </c>
      <c r="AV561" s="82" t="str">
        <f aca="false">IF(AU561=1,SUM(AU$7:AU561),"")</f>
        <v/>
      </c>
      <c r="AW561" s="82" t="str">
        <f aca="false">IF(E561="","",B561&amp;"|"&amp;E561)</f>
        <v>MFD-ISW → MFD-CPF|JN°555</v>
      </c>
    </row>
    <row r="562" customFormat="false" ht="74.6" hidden="false" customHeight="false" outlineLevel="0" collapsed="false">
      <c r="A562" s="79" t="n">
        <f aca="false">IF(E562="","",ROW()-6)</f>
        <v>556</v>
      </c>
      <c r="B562" s="80" t="s">
        <v>110</v>
      </c>
      <c r="C562" s="81"/>
      <c r="D562" s="81"/>
      <c r="E562" s="81" t="s">
        <v>666</v>
      </c>
      <c r="F562" s="82" t="str">
        <f aca="false">IF(E562="","",IF(LEFT(E562,2)="DJ","DJ","JN"))</f>
        <v>JN</v>
      </c>
      <c r="G562" s="81"/>
      <c r="H562" s="81"/>
      <c r="I562" s="81"/>
      <c r="J562" s="81"/>
      <c r="K562" s="81"/>
      <c r="L562" s="81"/>
      <c r="M562" s="81"/>
      <c r="N562" s="81"/>
      <c r="O562" s="81"/>
      <c r="P562" s="81"/>
      <c r="Q562" s="81"/>
      <c r="R562" s="81"/>
      <c r="S562" s="81"/>
      <c r="T562" s="81"/>
      <c r="U562" s="83"/>
      <c r="V562" s="83"/>
      <c r="W562" s="81"/>
      <c r="X562" s="81"/>
      <c r="Y562" s="83"/>
      <c r="Z562" s="81"/>
      <c r="AA562" s="81"/>
      <c r="AB562" s="81"/>
      <c r="AC562" s="81"/>
      <c r="AD562" s="81"/>
      <c r="AE562" s="83"/>
      <c r="AF562" s="81"/>
      <c r="AG562" s="81"/>
      <c r="AH562" s="81"/>
      <c r="AI562" s="81"/>
      <c r="AJ562" s="83"/>
      <c r="AK562" s="81"/>
      <c r="AL562" s="81"/>
      <c r="AM562" s="83"/>
      <c r="AN562" s="80"/>
      <c r="AO562" s="82" t="n">
        <f aca="false">IF(E562="","",(AA562&lt;&gt;"")+(AG562&lt;&gt;"")+(AL562&lt;&gt;""))</f>
        <v>0</v>
      </c>
      <c r="AP562" s="82" t="str">
        <f aca="false">IF(AL562&lt;&gt;"",AL562,IF(AG562&lt;&gt;"",AG562,IF(AA562&lt;&gt;"",AA562,"")))</f>
        <v/>
      </c>
      <c r="AQ562" s="84" t="str">
        <f aca="false">IF(E562="","",IF(U562="","À SOUDER",IF(X562="","VT EN ATTENTE",IF(X562="R","VT REJETÉ – À REPRENDRE",IF(AP562="","À RADIOGRAPHIER",IF(AP562="A","ACCEPTÉ",IF(AP562="NX","NX – RT À REFAIRE",IF(IF(AO562=1,AD562,IF(AO562=2,AI562,""))="A","RÉPARÉ – À RADIOGRAPHIER",IF(IF(AO562=1,AD562,IF(AO562=2,AI562,""))="R","VT REJETÉ – À REPRENDRE",IF(OR(AP562="CO",AP562="NT"),"COUPE – À RESOUDER","À RÉPARER"))))))))))</f>
        <v>À SOUDER</v>
      </c>
      <c r="AR562" s="82" t="str">
        <f aca="false">IF(AND(ISNUMBER(U562),OR(AQ562="À RADIOGRAPHIER",AQ562="RÉPARÉ – À RADIOGRAPHIER",AQ562="NX – RT À REFAIRE",AQ562="À RÉPARER",AQ562="COUPE – À RESOUDER",AQ562="VT REJETÉ – À REPRENDRE")),MAX(0,'PROGRAMME RT'!$C$4-U562),"")</f>
        <v/>
      </c>
      <c r="AS562" s="82" t="n">
        <f aca="false">IF(AND(OR(AQ562="À RADIOGRAPHIER",AQ562="RÉPARÉ – À RADIOGRAPHIER",AQ562="NX – RT À REFAIRE"),OR('PROGRAMME RT'!$D$5="TOUTES",B562='PROGRAMME RT'!$D$5)),1,0)</f>
        <v>0</v>
      </c>
      <c r="AT562" s="82" t="str">
        <f aca="false">IF(AS562=1,SUM(AS$7:AS562),"")</f>
        <v/>
      </c>
      <c r="AU562" s="82" t="n">
        <f aca="false">IF(AND(OR(AA562="R",AA562="NX",AA562="NT",AA562="CO"),OR('JOINTS DE RÉPARATION'!$D$5="TOUTES",B562='JOINTS DE RÉPARATION'!$D$5),OR('JOINTS DE RÉPARATION'!$L$4="TOUS",AQ562&lt;&gt;"ACCEPTÉ")),1,0)</f>
        <v>0</v>
      </c>
      <c r="AV562" s="82" t="str">
        <f aca="false">IF(AU562=1,SUM(AU$7:AU562),"")</f>
        <v/>
      </c>
      <c r="AW562" s="82" t="str">
        <f aca="false">IF(E562="","",B562&amp;"|"&amp;E562)</f>
        <v>MFD-ISW → MFD-CPF|JN°556</v>
      </c>
    </row>
    <row r="563" customFormat="false" ht="74.6" hidden="false" customHeight="false" outlineLevel="0" collapsed="false">
      <c r="A563" s="79" t="n">
        <f aca="false">IF(E563="","",ROW()-6)</f>
        <v>557</v>
      </c>
      <c r="B563" s="80" t="s">
        <v>110</v>
      </c>
      <c r="C563" s="81"/>
      <c r="D563" s="81"/>
      <c r="E563" s="81" t="s">
        <v>667</v>
      </c>
      <c r="F563" s="82" t="str">
        <f aca="false">IF(E563="","",IF(LEFT(E563,2)="DJ","DJ","JN"))</f>
        <v>JN</v>
      </c>
      <c r="G563" s="81"/>
      <c r="H563" s="81"/>
      <c r="I563" s="81"/>
      <c r="J563" s="81"/>
      <c r="K563" s="81"/>
      <c r="L563" s="81"/>
      <c r="M563" s="81"/>
      <c r="N563" s="81"/>
      <c r="O563" s="81"/>
      <c r="P563" s="81"/>
      <c r="Q563" s="81"/>
      <c r="R563" s="81"/>
      <c r="S563" s="81"/>
      <c r="T563" s="81"/>
      <c r="U563" s="83"/>
      <c r="V563" s="83"/>
      <c r="W563" s="81"/>
      <c r="X563" s="81"/>
      <c r="Y563" s="83"/>
      <c r="Z563" s="81"/>
      <c r="AA563" s="81"/>
      <c r="AB563" s="81"/>
      <c r="AC563" s="81"/>
      <c r="AD563" s="81"/>
      <c r="AE563" s="83"/>
      <c r="AF563" s="81"/>
      <c r="AG563" s="81"/>
      <c r="AH563" s="81"/>
      <c r="AI563" s="81"/>
      <c r="AJ563" s="83"/>
      <c r="AK563" s="81"/>
      <c r="AL563" s="81"/>
      <c r="AM563" s="83"/>
      <c r="AN563" s="80"/>
      <c r="AO563" s="82" t="n">
        <f aca="false">IF(E563="","",(AA563&lt;&gt;"")+(AG563&lt;&gt;"")+(AL563&lt;&gt;""))</f>
        <v>0</v>
      </c>
      <c r="AP563" s="82" t="str">
        <f aca="false">IF(AL563&lt;&gt;"",AL563,IF(AG563&lt;&gt;"",AG563,IF(AA563&lt;&gt;"",AA563,"")))</f>
        <v/>
      </c>
      <c r="AQ563" s="84" t="str">
        <f aca="false">IF(E563="","",IF(U563="","À SOUDER",IF(X563="","VT EN ATTENTE",IF(X563="R","VT REJETÉ – À REPRENDRE",IF(AP563="","À RADIOGRAPHIER",IF(AP563="A","ACCEPTÉ",IF(AP563="NX","NX – RT À REFAIRE",IF(IF(AO563=1,AD563,IF(AO563=2,AI563,""))="A","RÉPARÉ – À RADIOGRAPHIER",IF(IF(AO563=1,AD563,IF(AO563=2,AI563,""))="R","VT REJETÉ – À REPRENDRE",IF(OR(AP563="CO",AP563="NT"),"COUPE – À RESOUDER","À RÉPARER"))))))))))</f>
        <v>À SOUDER</v>
      </c>
      <c r="AR563" s="82" t="str">
        <f aca="false">IF(AND(ISNUMBER(U563),OR(AQ563="À RADIOGRAPHIER",AQ563="RÉPARÉ – À RADIOGRAPHIER",AQ563="NX – RT À REFAIRE",AQ563="À RÉPARER",AQ563="COUPE – À RESOUDER",AQ563="VT REJETÉ – À REPRENDRE")),MAX(0,'PROGRAMME RT'!$C$4-U563),"")</f>
        <v/>
      </c>
      <c r="AS563" s="82" t="n">
        <f aca="false">IF(AND(OR(AQ563="À RADIOGRAPHIER",AQ563="RÉPARÉ – À RADIOGRAPHIER",AQ563="NX – RT À REFAIRE"),OR('PROGRAMME RT'!$D$5="TOUTES",B563='PROGRAMME RT'!$D$5)),1,0)</f>
        <v>0</v>
      </c>
      <c r="AT563" s="82" t="str">
        <f aca="false">IF(AS563=1,SUM(AS$7:AS563),"")</f>
        <v/>
      </c>
      <c r="AU563" s="82" t="n">
        <f aca="false">IF(AND(OR(AA563="R",AA563="NX",AA563="NT",AA563="CO"),OR('JOINTS DE RÉPARATION'!$D$5="TOUTES",B563='JOINTS DE RÉPARATION'!$D$5),OR('JOINTS DE RÉPARATION'!$L$4="TOUS",AQ563&lt;&gt;"ACCEPTÉ")),1,0)</f>
        <v>0</v>
      </c>
      <c r="AV563" s="82" t="str">
        <f aca="false">IF(AU563=1,SUM(AU$7:AU563),"")</f>
        <v/>
      </c>
      <c r="AW563" s="82" t="str">
        <f aca="false">IF(E563="","",B563&amp;"|"&amp;E563)</f>
        <v>MFD-ISW → MFD-CPF|JN°557</v>
      </c>
    </row>
    <row r="564" customFormat="false" ht="74.6" hidden="false" customHeight="false" outlineLevel="0" collapsed="false">
      <c r="A564" s="79" t="n">
        <f aca="false">IF(E564="","",ROW()-6)</f>
        <v>558</v>
      </c>
      <c r="B564" s="80" t="s">
        <v>110</v>
      </c>
      <c r="C564" s="81"/>
      <c r="D564" s="81"/>
      <c r="E564" s="81" t="s">
        <v>668</v>
      </c>
      <c r="F564" s="82" t="str">
        <f aca="false">IF(E564="","",IF(LEFT(E564,2)="DJ","DJ","JN"))</f>
        <v>JN</v>
      </c>
      <c r="G564" s="81"/>
      <c r="H564" s="81"/>
      <c r="I564" s="81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U564" s="83"/>
      <c r="V564" s="83"/>
      <c r="W564" s="81"/>
      <c r="X564" s="81"/>
      <c r="Y564" s="83"/>
      <c r="Z564" s="81"/>
      <c r="AA564" s="81"/>
      <c r="AB564" s="81"/>
      <c r="AC564" s="81"/>
      <c r="AD564" s="81"/>
      <c r="AE564" s="83"/>
      <c r="AF564" s="81"/>
      <c r="AG564" s="81"/>
      <c r="AH564" s="81"/>
      <c r="AI564" s="81"/>
      <c r="AJ564" s="83"/>
      <c r="AK564" s="81"/>
      <c r="AL564" s="81"/>
      <c r="AM564" s="83"/>
      <c r="AN564" s="80"/>
      <c r="AO564" s="82" t="n">
        <f aca="false">IF(E564="","",(AA564&lt;&gt;"")+(AG564&lt;&gt;"")+(AL564&lt;&gt;""))</f>
        <v>0</v>
      </c>
      <c r="AP564" s="82" t="str">
        <f aca="false">IF(AL564&lt;&gt;"",AL564,IF(AG564&lt;&gt;"",AG564,IF(AA564&lt;&gt;"",AA564,"")))</f>
        <v/>
      </c>
      <c r="AQ564" s="84" t="str">
        <f aca="false">IF(E564="","",IF(U564="","À SOUDER",IF(X564="","VT EN ATTENTE",IF(X564="R","VT REJETÉ – À REPRENDRE",IF(AP564="","À RADIOGRAPHIER",IF(AP564="A","ACCEPTÉ",IF(AP564="NX","NX – RT À REFAIRE",IF(IF(AO564=1,AD564,IF(AO564=2,AI564,""))="A","RÉPARÉ – À RADIOGRAPHIER",IF(IF(AO564=1,AD564,IF(AO564=2,AI564,""))="R","VT REJETÉ – À REPRENDRE",IF(OR(AP564="CO",AP564="NT"),"COUPE – À RESOUDER","À RÉPARER"))))))))))</f>
        <v>À SOUDER</v>
      </c>
      <c r="AR564" s="82" t="str">
        <f aca="false">IF(AND(ISNUMBER(U564),OR(AQ564="À RADIOGRAPHIER",AQ564="RÉPARÉ – À RADIOGRAPHIER",AQ564="NX – RT À REFAIRE",AQ564="À RÉPARER",AQ564="COUPE – À RESOUDER",AQ564="VT REJETÉ – À REPRENDRE")),MAX(0,'PROGRAMME RT'!$C$4-U564),"")</f>
        <v/>
      </c>
      <c r="AS564" s="82" t="n">
        <f aca="false">IF(AND(OR(AQ564="À RADIOGRAPHIER",AQ564="RÉPARÉ – À RADIOGRAPHIER",AQ564="NX – RT À REFAIRE"),OR('PROGRAMME RT'!$D$5="TOUTES",B564='PROGRAMME RT'!$D$5)),1,0)</f>
        <v>0</v>
      </c>
      <c r="AT564" s="82" t="str">
        <f aca="false">IF(AS564=1,SUM(AS$7:AS564),"")</f>
        <v/>
      </c>
      <c r="AU564" s="82" t="n">
        <f aca="false">IF(AND(OR(AA564="R",AA564="NX",AA564="NT",AA564="CO"),OR('JOINTS DE RÉPARATION'!$D$5="TOUTES",B564='JOINTS DE RÉPARATION'!$D$5),OR('JOINTS DE RÉPARATION'!$L$4="TOUS",AQ564&lt;&gt;"ACCEPTÉ")),1,0)</f>
        <v>0</v>
      </c>
      <c r="AV564" s="82" t="str">
        <f aca="false">IF(AU564=1,SUM(AU$7:AU564),"")</f>
        <v/>
      </c>
      <c r="AW564" s="82" t="str">
        <f aca="false">IF(E564="","",B564&amp;"|"&amp;E564)</f>
        <v>MFD-ISW → MFD-CPF|JN°558</v>
      </c>
    </row>
    <row r="565" customFormat="false" ht="74.6" hidden="false" customHeight="false" outlineLevel="0" collapsed="false">
      <c r="A565" s="79" t="n">
        <f aca="false">IF(E565="","",ROW()-6)</f>
        <v>559</v>
      </c>
      <c r="B565" s="80" t="s">
        <v>110</v>
      </c>
      <c r="C565" s="81"/>
      <c r="D565" s="81"/>
      <c r="E565" s="81" t="s">
        <v>669</v>
      </c>
      <c r="F565" s="82" t="str">
        <f aca="false">IF(E565="","",IF(LEFT(E565,2)="DJ","DJ","JN"))</f>
        <v>JN</v>
      </c>
      <c r="G565" s="81"/>
      <c r="H565" s="81"/>
      <c r="I565" s="81"/>
      <c r="J565" s="81"/>
      <c r="K565" s="81"/>
      <c r="L565" s="81"/>
      <c r="M565" s="81"/>
      <c r="N565" s="81"/>
      <c r="O565" s="81"/>
      <c r="P565" s="81"/>
      <c r="Q565" s="81"/>
      <c r="R565" s="81"/>
      <c r="S565" s="81"/>
      <c r="T565" s="81"/>
      <c r="U565" s="83"/>
      <c r="V565" s="83"/>
      <c r="W565" s="81"/>
      <c r="X565" s="81"/>
      <c r="Y565" s="83"/>
      <c r="Z565" s="81"/>
      <c r="AA565" s="81"/>
      <c r="AB565" s="81"/>
      <c r="AC565" s="81"/>
      <c r="AD565" s="81"/>
      <c r="AE565" s="83"/>
      <c r="AF565" s="81"/>
      <c r="AG565" s="81"/>
      <c r="AH565" s="81"/>
      <c r="AI565" s="81"/>
      <c r="AJ565" s="83"/>
      <c r="AK565" s="81"/>
      <c r="AL565" s="81"/>
      <c r="AM565" s="83"/>
      <c r="AN565" s="80"/>
      <c r="AO565" s="82" t="n">
        <f aca="false">IF(E565="","",(AA565&lt;&gt;"")+(AG565&lt;&gt;"")+(AL565&lt;&gt;""))</f>
        <v>0</v>
      </c>
      <c r="AP565" s="82" t="str">
        <f aca="false">IF(AL565&lt;&gt;"",AL565,IF(AG565&lt;&gt;"",AG565,IF(AA565&lt;&gt;"",AA565,"")))</f>
        <v/>
      </c>
      <c r="AQ565" s="84" t="str">
        <f aca="false">IF(E565="","",IF(U565="","À SOUDER",IF(X565="","VT EN ATTENTE",IF(X565="R","VT REJETÉ – À REPRENDRE",IF(AP565="","À RADIOGRAPHIER",IF(AP565="A","ACCEPTÉ",IF(AP565="NX","NX – RT À REFAIRE",IF(IF(AO565=1,AD565,IF(AO565=2,AI565,""))="A","RÉPARÉ – À RADIOGRAPHIER",IF(IF(AO565=1,AD565,IF(AO565=2,AI565,""))="R","VT REJETÉ – À REPRENDRE",IF(OR(AP565="CO",AP565="NT"),"COUPE – À RESOUDER","À RÉPARER"))))))))))</f>
        <v>À SOUDER</v>
      </c>
      <c r="AR565" s="82" t="str">
        <f aca="false">IF(AND(ISNUMBER(U565),OR(AQ565="À RADIOGRAPHIER",AQ565="RÉPARÉ – À RADIOGRAPHIER",AQ565="NX – RT À REFAIRE",AQ565="À RÉPARER",AQ565="COUPE – À RESOUDER",AQ565="VT REJETÉ – À REPRENDRE")),MAX(0,'PROGRAMME RT'!$C$4-U565),"")</f>
        <v/>
      </c>
      <c r="AS565" s="82" t="n">
        <f aca="false">IF(AND(OR(AQ565="À RADIOGRAPHIER",AQ565="RÉPARÉ – À RADIOGRAPHIER",AQ565="NX – RT À REFAIRE"),OR('PROGRAMME RT'!$D$5="TOUTES",B565='PROGRAMME RT'!$D$5)),1,0)</f>
        <v>0</v>
      </c>
      <c r="AT565" s="82" t="str">
        <f aca="false">IF(AS565=1,SUM(AS$7:AS565),"")</f>
        <v/>
      </c>
      <c r="AU565" s="82" t="n">
        <f aca="false">IF(AND(OR(AA565="R",AA565="NX",AA565="NT",AA565="CO"),OR('JOINTS DE RÉPARATION'!$D$5="TOUTES",B565='JOINTS DE RÉPARATION'!$D$5),OR('JOINTS DE RÉPARATION'!$L$4="TOUS",AQ565&lt;&gt;"ACCEPTÉ")),1,0)</f>
        <v>0</v>
      </c>
      <c r="AV565" s="82" t="str">
        <f aca="false">IF(AU565=1,SUM(AU$7:AU565),"")</f>
        <v/>
      </c>
      <c r="AW565" s="82" t="str">
        <f aca="false">IF(E565="","",B565&amp;"|"&amp;E565)</f>
        <v>MFD-ISW → MFD-CPF|JN°559</v>
      </c>
    </row>
    <row r="566" customFormat="false" ht="74.6" hidden="false" customHeight="false" outlineLevel="0" collapsed="false">
      <c r="A566" s="79" t="n">
        <f aca="false">IF(E566="","",ROW()-6)</f>
        <v>560</v>
      </c>
      <c r="B566" s="80" t="s">
        <v>110</v>
      </c>
      <c r="C566" s="81"/>
      <c r="D566" s="81"/>
      <c r="E566" s="81" t="s">
        <v>670</v>
      </c>
      <c r="F566" s="82" t="str">
        <f aca="false">IF(E566="","",IF(LEFT(E566,2)="DJ","DJ","JN"))</f>
        <v>JN</v>
      </c>
      <c r="G566" s="81"/>
      <c r="H566" s="81"/>
      <c r="I566" s="81"/>
      <c r="J566" s="81"/>
      <c r="K566" s="81"/>
      <c r="L566" s="81"/>
      <c r="M566" s="81"/>
      <c r="N566" s="81"/>
      <c r="O566" s="81"/>
      <c r="P566" s="81"/>
      <c r="Q566" s="81"/>
      <c r="R566" s="81"/>
      <c r="S566" s="81"/>
      <c r="T566" s="81"/>
      <c r="U566" s="83"/>
      <c r="V566" s="83"/>
      <c r="W566" s="81"/>
      <c r="X566" s="81"/>
      <c r="Y566" s="83"/>
      <c r="Z566" s="81"/>
      <c r="AA566" s="81"/>
      <c r="AB566" s="81"/>
      <c r="AC566" s="81"/>
      <c r="AD566" s="81"/>
      <c r="AE566" s="83"/>
      <c r="AF566" s="81"/>
      <c r="AG566" s="81"/>
      <c r="AH566" s="81"/>
      <c r="AI566" s="81"/>
      <c r="AJ566" s="83"/>
      <c r="AK566" s="81"/>
      <c r="AL566" s="81"/>
      <c r="AM566" s="83"/>
      <c r="AN566" s="80"/>
      <c r="AO566" s="82" t="n">
        <f aca="false">IF(E566="","",(AA566&lt;&gt;"")+(AG566&lt;&gt;"")+(AL566&lt;&gt;""))</f>
        <v>0</v>
      </c>
      <c r="AP566" s="82" t="str">
        <f aca="false">IF(AL566&lt;&gt;"",AL566,IF(AG566&lt;&gt;"",AG566,IF(AA566&lt;&gt;"",AA566,"")))</f>
        <v/>
      </c>
      <c r="AQ566" s="84" t="str">
        <f aca="false">IF(E566="","",IF(U566="","À SOUDER",IF(X566="","VT EN ATTENTE",IF(X566="R","VT REJETÉ – À REPRENDRE",IF(AP566="","À RADIOGRAPHIER",IF(AP566="A","ACCEPTÉ",IF(AP566="NX","NX – RT À REFAIRE",IF(IF(AO566=1,AD566,IF(AO566=2,AI566,""))="A","RÉPARÉ – À RADIOGRAPHIER",IF(IF(AO566=1,AD566,IF(AO566=2,AI566,""))="R","VT REJETÉ – À REPRENDRE",IF(OR(AP566="CO",AP566="NT"),"COUPE – À RESOUDER","À RÉPARER"))))))))))</f>
        <v>À SOUDER</v>
      </c>
      <c r="AR566" s="82" t="str">
        <f aca="false">IF(AND(ISNUMBER(U566),OR(AQ566="À RADIOGRAPHIER",AQ566="RÉPARÉ – À RADIOGRAPHIER",AQ566="NX – RT À REFAIRE",AQ566="À RÉPARER",AQ566="COUPE – À RESOUDER",AQ566="VT REJETÉ – À REPRENDRE")),MAX(0,'PROGRAMME RT'!$C$4-U566),"")</f>
        <v/>
      </c>
      <c r="AS566" s="82" t="n">
        <f aca="false">IF(AND(OR(AQ566="À RADIOGRAPHIER",AQ566="RÉPARÉ – À RADIOGRAPHIER",AQ566="NX – RT À REFAIRE"),OR('PROGRAMME RT'!$D$5="TOUTES",B566='PROGRAMME RT'!$D$5)),1,0)</f>
        <v>0</v>
      </c>
      <c r="AT566" s="82" t="str">
        <f aca="false">IF(AS566=1,SUM(AS$7:AS566),"")</f>
        <v/>
      </c>
      <c r="AU566" s="82" t="n">
        <f aca="false">IF(AND(OR(AA566="R",AA566="NX",AA566="NT",AA566="CO"),OR('JOINTS DE RÉPARATION'!$D$5="TOUTES",B566='JOINTS DE RÉPARATION'!$D$5),OR('JOINTS DE RÉPARATION'!$L$4="TOUS",AQ566&lt;&gt;"ACCEPTÉ")),1,0)</f>
        <v>0</v>
      </c>
      <c r="AV566" s="82" t="str">
        <f aca="false">IF(AU566=1,SUM(AU$7:AU566),"")</f>
        <v/>
      </c>
      <c r="AW566" s="82" t="str">
        <f aca="false">IF(E566="","",B566&amp;"|"&amp;E566)</f>
        <v>MFD-ISW → MFD-CPF|JN°560</v>
      </c>
    </row>
    <row r="567" customFormat="false" ht="74.6" hidden="false" customHeight="false" outlineLevel="0" collapsed="false">
      <c r="A567" s="79" t="n">
        <f aca="false">IF(E567="","",ROW()-6)</f>
        <v>561</v>
      </c>
      <c r="B567" s="80" t="s">
        <v>110</v>
      </c>
      <c r="C567" s="81"/>
      <c r="D567" s="81"/>
      <c r="E567" s="81" t="s">
        <v>671</v>
      </c>
      <c r="F567" s="82" t="str">
        <f aca="false">IF(E567="","",IF(LEFT(E567,2)="DJ","DJ","JN"))</f>
        <v>JN</v>
      </c>
      <c r="G567" s="81"/>
      <c r="H567" s="81"/>
      <c r="I567" s="81"/>
      <c r="J567" s="81"/>
      <c r="K567" s="81"/>
      <c r="L567" s="81"/>
      <c r="M567" s="81"/>
      <c r="N567" s="81"/>
      <c r="O567" s="81"/>
      <c r="P567" s="81"/>
      <c r="Q567" s="81"/>
      <c r="R567" s="81"/>
      <c r="S567" s="81"/>
      <c r="T567" s="81"/>
      <c r="U567" s="83"/>
      <c r="V567" s="83"/>
      <c r="W567" s="81"/>
      <c r="X567" s="81"/>
      <c r="Y567" s="83"/>
      <c r="Z567" s="81"/>
      <c r="AA567" s="81"/>
      <c r="AB567" s="81"/>
      <c r="AC567" s="81"/>
      <c r="AD567" s="81"/>
      <c r="AE567" s="83"/>
      <c r="AF567" s="81"/>
      <c r="AG567" s="81"/>
      <c r="AH567" s="81"/>
      <c r="AI567" s="81"/>
      <c r="AJ567" s="83"/>
      <c r="AK567" s="81"/>
      <c r="AL567" s="81"/>
      <c r="AM567" s="83"/>
      <c r="AN567" s="80"/>
      <c r="AO567" s="82" t="n">
        <f aca="false">IF(E567="","",(AA567&lt;&gt;"")+(AG567&lt;&gt;"")+(AL567&lt;&gt;""))</f>
        <v>0</v>
      </c>
      <c r="AP567" s="82" t="str">
        <f aca="false">IF(AL567&lt;&gt;"",AL567,IF(AG567&lt;&gt;"",AG567,IF(AA567&lt;&gt;"",AA567,"")))</f>
        <v/>
      </c>
      <c r="AQ567" s="84" t="str">
        <f aca="false">IF(E567="","",IF(U567="","À SOUDER",IF(X567="","VT EN ATTENTE",IF(X567="R","VT REJETÉ – À REPRENDRE",IF(AP567="","À RADIOGRAPHIER",IF(AP567="A","ACCEPTÉ",IF(AP567="NX","NX – RT À REFAIRE",IF(IF(AO567=1,AD567,IF(AO567=2,AI567,""))="A","RÉPARÉ – À RADIOGRAPHIER",IF(IF(AO567=1,AD567,IF(AO567=2,AI567,""))="R","VT REJETÉ – À REPRENDRE",IF(OR(AP567="CO",AP567="NT"),"COUPE – À RESOUDER","À RÉPARER"))))))))))</f>
        <v>À SOUDER</v>
      </c>
      <c r="AR567" s="82" t="str">
        <f aca="false">IF(AND(ISNUMBER(U567),OR(AQ567="À RADIOGRAPHIER",AQ567="RÉPARÉ – À RADIOGRAPHIER",AQ567="NX – RT À REFAIRE",AQ567="À RÉPARER",AQ567="COUPE – À RESOUDER",AQ567="VT REJETÉ – À REPRENDRE")),MAX(0,'PROGRAMME RT'!$C$4-U567),"")</f>
        <v/>
      </c>
      <c r="AS567" s="82" t="n">
        <f aca="false">IF(AND(OR(AQ567="À RADIOGRAPHIER",AQ567="RÉPARÉ – À RADIOGRAPHIER",AQ567="NX – RT À REFAIRE"),OR('PROGRAMME RT'!$D$5="TOUTES",B567='PROGRAMME RT'!$D$5)),1,0)</f>
        <v>0</v>
      </c>
      <c r="AT567" s="82" t="str">
        <f aca="false">IF(AS567=1,SUM(AS$7:AS567),"")</f>
        <v/>
      </c>
      <c r="AU567" s="82" t="n">
        <f aca="false">IF(AND(OR(AA567="R",AA567="NX",AA567="NT",AA567="CO"),OR('JOINTS DE RÉPARATION'!$D$5="TOUTES",B567='JOINTS DE RÉPARATION'!$D$5),OR('JOINTS DE RÉPARATION'!$L$4="TOUS",AQ567&lt;&gt;"ACCEPTÉ")),1,0)</f>
        <v>0</v>
      </c>
      <c r="AV567" s="82" t="str">
        <f aca="false">IF(AU567=1,SUM(AU$7:AU567),"")</f>
        <v/>
      </c>
      <c r="AW567" s="82" t="str">
        <f aca="false">IF(E567="","",B567&amp;"|"&amp;E567)</f>
        <v>MFD-ISW → MFD-CPF|JN°561</v>
      </c>
    </row>
    <row r="568" customFormat="false" ht="74.6" hidden="false" customHeight="false" outlineLevel="0" collapsed="false">
      <c r="A568" s="79" t="n">
        <f aca="false">IF(E568="","",ROW()-6)</f>
        <v>562</v>
      </c>
      <c r="B568" s="80" t="s">
        <v>110</v>
      </c>
      <c r="C568" s="81"/>
      <c r="D568" s="81"/>
      <c r="E568" s="81" t="s">
        <v>672</v>
      </c>
      <c r="F568" s="82" t="str">
        <f aca="false">IF(E568="","",IF(LEFT(E568,2)="DJ","DJ","JN"))</f>
        <v>JN</v>
      </c>
      <c r="G568" s="81"/>
      <c r="H568" s="81"/>
      <c r="I568" s="81"/>
      <c r="J568" s="81"/>
      <c r="K568" s="81"/>
      <c r="L568" s="81"/>
      <c r="M568" s="81"/>
      <c r="N568" s="81"/>
      <c r="O568" s="81"/>
      <c r="P568" s="81"/>
      <c r="Q568" s="81"/>
      <c r="R568" s="81"/>
      <c r="S568" s="81"/>
      <c r="T568" s="81"/>
      <c r="U568" s="83"/>
      <c r="V568" s="83"/>
      <c r="W568" s="81"/>
      <c r="X568" s="81"/>
      <c r="Y568" s="83"/>
      <c r="Z568" s="81"/>
      <c r="AA568" s="81"/>
      <c r="AB568" s="81"/>
      <c r="AC568" s="81"/>
      <c r="AD568" s="81"/>
      <c r="AE568" s="83"/>
      <c r="AF568" s="81"/>
      <c r="AG568" s="81"/>
      <c r="AH568" s="81"/>
      <c r="AI568" s="81"/>
      <c r="AJ568" s="83"/>
      <c r="AK568" s="81"/>
      <c r="AL568" s="81"/>
      <c r="AM568" s="83"/>
      <c r="AN568" s="80"/>
      <c r="AO568" s="82" t="n">
        <f aca="false">IF(E568="","",(AA568&lt;&gt;"")+(AG568&lt;&gt;"")+(AL568&lt;&gt;""))</f>
        <v>0</v>
      </c>
      <c r="AP568" s="82" t="str">
        <f aca="false">IF(AL568&lt;&gt;"",AL568,IF(AG568&lt;&gt;"",AG568,IF(AA568&lt;&gt;"",AA568,"")))</f>
        <v/>
      </c>
      <c r="AQ568" s="84" t="str">
        <f aca="false">IF(E568="","",IF(U568="","À SOUDER",IF(X568="","VT EN ATTENTE",IF(X568="R","VT REJETÉ – À REPRENDRE",IF(AP568="","À RADIOGRAPHIER",IF(AP568="A","ACCEPTÉ",IF(AP568="NX","NX – RT À REFAIRE",IF(IF(AO568=1,AD568,IF(AO568=2,AI568,""))="A","RÉPARÉ – À RADIOGRAPHIER",IF(IF(AO568=1,AD568,IF(AO568=2,AI568,""))="R","VT REJETÉ – À REPRENDRE",IF(OR(AP568="CO",AP568="NT"),"COUPE – À RESOUDER","À RÉPARER"))))))))))</f>
        <v>À SOUDER</v>
      </c>
      <c r="AR568" s="82" t="str">
        <f aca="false">IF(AND(ISNUMBER(U568),OR(AQ568="À RADIOGRAPHIER",AQ568="RÉPARÉ – À RADIOGRAPHIER",AQ568="NX – RT À REFAIRE",AQ568="À RÉPARER",AQ568="COUPE – À RESOUDER",AQ568="VT REJETÉ – À REPRENDRE")),MAX(0,'PROGRAMME RT'!$C$4-U568),"")</f>
        <v/>
      </c>
      <c r="AS568" s="82" t="n">
        <f aca="false">IF(AND(OR(AQ568="À RADIOGRAPHIER",AQ568="RÉPARÉ – À RADIOGRAPHIER",AQ568="NX – RT À REFAIRE"),OR('PROGRAMME RT'!$D$5="TOUTES",B568='PROGRAMME RT'!$D$5)),1,0)</f>
        <v>0</v>
      </c>
      <c r="AT568" s="82" t="str">
        <f aca="false">IF(AS568=1,SUM(AS$7:AS568),"")</f>
        <v/>
      </c>
      <c r="AU568" s="82" t="n">
        <f aca="false">IF(AND(OR(AA568="R",AA568="NX",AA568="NT",AA568="CO"),OR('JOINTS DE RÉPARATION'!$D$5="TOUTES",B568='JOINTS DE RÉPARATION'!$D$5),OR('JOINTS DE RÉPARATION'!$L$4="TOUS",AQ568&lt;&gt;"ACCEPTÉ")),1,0)</f>
        <v>0</v>
      </c>
      <c r="AV568" s="82" t="str">
        <f aca="false">IF(AU568=1,SUM(AU$7:AU568),"")</f>
        <v/>
      </c>
      <c r="AW568" s="82" t="str">
        <f aca="false">IF(E568="","",B568&amp;"|"&amp;E568)</f>
        <v>MFD-ISW → MFD-CPF|JN°562</v>
      </c>
    </row>
    <row r="569" customFormat="false" ht="74.6" hidden="false" customHeight="false" outlineLevel="0" collapsed="false">
      <c r="A569" s="79" t="n">
        <f aca="false">IF(E569="","",ROW()-6)</f>
        <v>563</v>
      </c>
      <c r="B569" s="80" t="s">
        <v>110</v>
      </c>
      <c r="C569" s="81"/>
      <c r="D569" s="81"/>
      <c r="E569" s="81" t="s">
        <v>673</v>
      </c>
      <c r="F569" s="82" t="str">
        <f aca="false">IF(E569="","",IF(LEFT(E569,2)="DJ","DJ","JN"))</f>
        <v>JN</v>
      </c>
      <c r="G569" s="81"/>
      <c r="H569" s="81"/>
      <c r="I569" s="81"/>
      <c r="J569" s="81"/>
      <c r="K569" s="81"/>
      <c r="L569" s="81"/>
      <c r="M569" s="81"/>
      <c r="N569" s="81"/>
      <c r="O569" s="81"/>
      <c r="P569" s="81"/>
      <c r="Q569" s="81"/>
      <c r="R569" s="81"/>
      <c r="S569" s="81"/>
      <c r="T569" s="81"/>
      <c r="U569" s="83"/>
      <c r="V569" s="83"/>
      <c r="W569" s="81"/>
      <c r="X569" s="81"/>
      <c r="Y569" s="83"/>
      <c r="Z569" s="81"/>
      <c r="AA569" s="81"/>
      <c r="AB569" s="81"/>
      <c r="AC569" s="81"/>
      <c r="AD569" s="81"/>
      <c r="AE569" s="83"/>
      <c r="AF569" s="81"/>
      <c r="AG569" s="81"/>
      <c r="AH569" s="81"/>
      <c r="AI569" s="81"/>
      <c r="AJ569" s="83"/>
      <c r="AK569" s="81"/>
      <c r="AL569" s="81"/>
      <c r="AM569" s="83"/>
      <c r="AN569" s="80"/>
      <c r="AO569" s="82" t="n">
        <f aca="false">IF(E569="","",(AA569&lt;&gt;"")+(AG569&lt;&gt;"")+(AL569&lt;&gt;""))</f>
        <v>0</v>
      </c>
      <c r="AP569" s="82" t="str">
        <f aca="false">IF(AL569&lt;&gt;"",AL569,IF(AG569&lt;&gt;"",AG569,IF(AA569&lt;&gt;"",AA569,"")))</f>
        <v/>
      </c>
      <c r="AQ569" s="84" t="str">
        <f aca="false">IF(E569="","",IF(U569="","À SOUDER",IF(X569="","VT EN ATTENTE",IF(X569="R","VT REJETÉ – À REPRENDRE",IF(AP569="","À RADIOGRAPHIER",IF(AP569="A","ACCEPTÉ",IF(AP569="NX","NX – RT À REFAIRE",IF(IF(AO569=1,AD569,IF(AO569=2,AI569,""))="A","RÉPARÉ – À RADIOGRAPHIER",IF(IF(AO569=1,AD569,IF(AO569=2,AI569,""))="R","VT REJETÉ – À REPRENDRE",IF(OR(AP569="CO",AP569="NT"),"COUPE – À RESOUDER","À RÉPARER"))))))))))</f>
        <v>À SOUDER</v>
      </c>
      <c r="AR569" s="82" t="str">
        <f aca="false">IF(AND(ISNUMBER(U569),OR(AQ569="À RADIOGRAPHIER",AQ569="RÉPARÉ – À RADIOGRAPHIER",AQ569="NX – RT À REFAIRE",AQ569="À RÉPARER",AQ569="COUPE – À RESOUDER",AQ569="VT REJETÉ – À REPRENDRE")),MAX(0,'PROGRAMME RT'!$C$4-U569),"")</f>
        <v/>
      </c>
      <c r="AS569" s="82" t="n">
        <f aca="false">IF(AND(OR(AQ569="À RADIOGRAPHIER",AQ569="RÉPARÉ – À RADIOGRAPHIER",AQ569="NX – RT À REFAIRE"),OR('PROGRAMME RT'!$D$5="TOUTES",B569='PROGRAMME RT'!$D$5)),1,0)</f>
        <v>0</v>
      </c>
      <c r="AT569" s="82" t="str">
        <f aca="false">IF(AS569=1,SUM(AS$7:AS569),"")</f>
        <v/>
      </c>
      <c r="AU569" s="82" t="n">
        <f aca="false">IF(AND(OR(AA569="R",AA569="NX",AA569="NT",AA569="CO"),OR('JOINTS DE RÉPARATION'!$D$5="TOUTES",B569='JOINTS DE RÉPARATION'!$D$5),OR('JOINTS DE RÉPARATION'!$L$4="TOUS",AQ569&lt;&gt;"ACCEPTÉ")),1,0)</f>
        <v>0</v>
      </c>
      <c r="AV569" s="82" t="str">
        <f aca="false">IF(AU569=1,SUM(AU$7:AU569),"")</f>
        <v/>
      </c>
      <c r="AW569" s="82" t="str">
        <f aca="false">IF(E569="","",B569&amp;"|"&amp;E569)</f>
        <v>MFD-ISW → MFD-CPF|JN°563</v>
      </c>
    </row>
    <row r="570" customFormat="false" ht="74.6" hidden="false" customHeight="false" outlineLevel="0" collapsed="false">
      <c r="A570" s="79" t="n">
        <f aca="false">IF(E570="","",ROW()-6)</f>
        <v>564</v>
      </c>
      <c r="B570" s="80" t="s">
        <v>110</v>
      </c>
      <c r="C570" s="81"/>
      <c r="D570" s="81"/>
      <c r="E570" s="81" t="s">
        <v>674</v>
      </c>
      <c r="F570" s="82" t="str">
        <f aca="false">IF(E570="","",IF(LEFT(E570,2)="DJ","DJ","JN"))</f>
        <v>JN</v>
      </c>
      <c r="G570" s="81"/>
      <c r="H570" s="81"/>
      <c r="I570" s="81"/>
      <c r="J570" s="81"/>
      <c r="K570" s="81"/>
      <c r="L570" s="81"/>
      <c r="M570" s="81"/>
      <c r="N570" s="81"/>
      <c r="O570" s="81"/>
      <c r="P570" s="81"/>
      <c r="Q570" s="81"/>
      <c r="R570" s="81"/>
      <c r="S570" s="81"/>
      <c r="T570" s="81"/>
      <c r="U570" s="83"/>
      <c r="V570" s="83"/>
      <c r="W570" s="81"/>
      <c r="X570" s="81"/>
      <c r="Y570" s="83"/>
      <c r="Z570" s="81"/>
      <c r="AA570" s="81"/>
      <c r="AB570" s="81"/>
      <c r="AC570" s="81"/>
      <c r="AD570" s="81"/>
      <c r="AE570" s="83"/>
      <c r="AF570" s="81"/>
      <c r="AG570" s="81"/>
      <c r="AH570" s="81"/>
      <c r="AI570" s="81"/>
      <c r="AJ570" s="83"/>
      <c r="AK570" s="81"/>
      <c r="AL570" s="81"/>
      <c r="AM570" s="83"/>
      <c r="AN570" s="80"/>
      <c r="AO570" s="82" t="n">
        <f aca="false">IF(E570="","",(AA570&lt;&gt;"")+(AG570&lt;&gt;"")+(AL570&lt;&gt;""))</f>
        <v>0</v>
      </c>
      <c r="AP570" s="82" t="str">
        <f aca="false">IF(AL570&lt;&gt;"",AL570,IF(AG570&lt;&gt;"",AG570,IF(AA570&lt;&gt;"",AA570,"")))</f>
        <v/>
      </c>
      <c r="AQ570" s="84" t="str">
        <f aca="false">IF(E570="","",IF(U570="","À SOUDER",IF(X570="","VT EN ATTENTE",IF(X570="R","VT REJETÉ – À REPRENDRE",IF(AP570="","À RADIOGRAPHIER",IF(AP570="A","ACCEPTÉ",IF(AP570="NX","NX – RT À REFAIRE",IF(IF(AO570=1,AD570,IF(AO570=2,AI570,""))="A","RÉPARÉ – À RADIOGRAPHIER",IF(IF(AO570=1,AD570,IF(AO570=2,AI570,""))="R","VT REJETÉ – À REPRENDRE",IF(OR(AP570="CO",AP570="NT"),"COUPE – À RESOUDER","À RÉPARER"))))))))))</f>
        <v>À SOUDER</v>
      </c>
      <c r="AR570" s="82" t="str">
        <f aca="false">IF(AND(ISNUMBER(U570),OR(AQ570="À RADIOGRAPHIER",AQ570="RÉPARÉ – À RADIOGRAPHIER",AQ570="NX – RT À REFAIRE",AQ570="À RÉPARER",AQ570="COUPE – À RESOUDER",AQ570="VT REJETÉ – À REPRENDRE")),MAX(0,'PROGRAMME RT'!$C$4-U570),"")</f>
        <v/>
      </c>
      <c r="AS570" s="82" t="n">
        <f aca="false">IF(AND(OR(AQ570="À RADIOGRAPHIER",AQ570="RÉPARÉ – À RADIOGRAPHIER",AQ570="NX – RT À REFAIRE"),OR('PROGRAMME RT'!$D$5="TOUTES",B570='PROGRAMME RT'!$D$5)),1,0)</f>
        <v>0</v>
      </c>
      <c r="AT570" s="82" t="str">
        <f aca="false">IF(AS570=1,SUM(AS$7:AS570),"")</f>
        <v/>
      </c>
      <c r="AU570" s="82" t="n">
        <f aca="false">IF(AND(OR(AA570="R",AA570="NX",AA570="NT",AA570="CO"),OR('JOINTS DE RÉPARATION'!$D$5="TOUTES",B570='JOINTS DE RÉPARATION'!$D$5),OR('JOINTS DE RÉPARATION'!$L$4="TOUS",AQ570&lt;&gt;"ACCEPTÉ")),1,0)</f>
        <v>0</v>
      </c>
      <c r="AV570" s="82" t="str">
        <f aca="false">IF(AU570=1,SUM(AU$7:AU570),"")</f>
        <v/>
      </c>
      <c r="AW570" s="82" t="str">
        <f aca="false">IF(E570="","",B570&amp;"|"&amp;E570)</f>
        <v>MFD-ISW → MFD-CPF|JN°564</v>
      </c>
    </row>
    <row r="571" customFormat="false" ht="74.6" hidden="false" customHeight="false" outlineLevel="0" collapsed="false">
      <c r="A571" s="79" t="n">
        <f aca="false">IF(E571="","",ROW()-6)</f>
        <v>565</v>
      </c>
      <c r="B571" s="80" t="s">
        <v>110</v>
      </c>
      <c r="C571" s="81"/>
      <c r="D571" s="81"/>
      <c r="E571" s="81" t="s">
        <v>675</v>
      </c>
      <c r="F571" s="82" t="str">
        <f aca="false">IF(E571="","",IF(LEFT(E571,2)="DJ","DJ","JN"))</f>
        <v>JN</v>
      </c>
      <c r="G571" s="81"/>
      <c r="H571" s="81"/>
      <c r="I571" s="81"/>
      <c r="J571" s="81"/>
      <c r="K571" s="81"/>
      <c r="L571" s="81"/>
      <c r="M571" s="81"/>
      <c r="N571" s="81"/>
      <c r="O571" s="81"/>
      <c r="P571" s="81"/>
      <c r="Q571" s="81"/>
      <c r="R571" s="81"/>
      <c r="S571" s="81"/>
      <c r="T571" s="81"/>
      <c r="U571" s="83"/>
      <c r="V571" s="83"/>
      <c r="W571" s="81"/>
      <c r="X571" s="81"/>
      <c r="Y571" s="83"/>
      <c r="Z571" s="81"/>
      <c r="AA571" s="81"/>
      <c r="AB571" s="81"/>
      <c r="AC571" s="81"/>
      <c r="AD571" s="81"/>
      <c r="AE571" s="83"/>
      <c r="AF571" s="81"/>
      <c r="AG571" s="81"/>
      <c r="AH571" s="81"/>
      <c r="AI571" s="81"/>
      <c r="AJ571" s="83"/>
      <c r="AK571" s="81"/>
      <c r="AL571" s="81"/>
      <c r="AM571" s="83"/>
      <c r="AN571" s="80"/>
      <c r="AO571" s="82" t="n">
        <f aca="false">IF(E571="","",(AA571&lt;&gt;"")+(AG571&lt;&gt;"")+(AL571&lt;&gt;""))</f>
        <v>0</v>
      </c>
      <c r="AP571" s="82" t="str">
        <f aca="false">IF(AL571&lt;&gt;"",AL571,IF(AG571&lt;&gt;"",AG571,IF(AA571&lt;&gt;"",AA571,"")))</f>
        <v/>
      </c>
      <c r="AQ571" s="84" t="str">
        <f aca="false">IF(E571="","",IF(U571="","À SOUDER",IF(X571="","VT EN ATTENTE",IF(X571="R","VT REJETÉ – À REPRENDRE",IF(AP571="","À RADIOGRAPHIER",IF(AP571="A","ACCEPTÉ",IF(AP571="NX","NX – RT À REFAIRE",IF(IF(AO571=1,AD571,IF(AO571=2,AI571,""))="A","RÉPARÉ – À RADIOGRAPHIER",IF(IF(AO571=1,AD571,IF(AO571=2,AI571,""))="R","VT REJETÉ – À REPRENDRE",IF(OR(AP571="CO",AP571="NT"),"COUPE – À RESOUDER","À RÉPARER"))))))))))</f>
        <v>À SOUDER</v>
      </c>
      <c r="AR571" s="82" t="str">
        <f aca="false">IF(AND(ISNUMBER(U571),OR(AQ571="À RADIOGRAPHIER",AQ571="RÉPARÉ – À RADIOGRAPHIER",AQ571="NX – RT À REFAIRE",AQ571="À RÉPARER",AQ571="COUPE – À RESOUDER",AQ571="VT REJETÉ – À REPRENDRE")),MAX(0,'PROGRAMME RT'!$C$4-U571),"")</f>
        <v/>
      </c>
      <c r="AS571" s="82" t="n">
        <f aca="false">IF(AND(OR(AQ571="À RADIOGRAPHIER",AQ571="RÉPARÉ – À RADIOGRAPHIER",AQ571="NX – RT À REFAIRE"),OR('PROGRAMME RT'!$D$5="TOUTES",B571='PROGRAMME RT'!$D$5)),1,0)</f>
        <v>0</v>
      </c>
      <c r="AT571" s="82" t="str">
        <f aca="false">IF(AS571=1,SUM(AS$7:AS571),"")</f>
        <v/>
      </c>
      <c r="AU571" s="82" t="n">
        <f aca="false">IF(AND(OR(AA571="R",AA571="NX",AA571="NT",AA571="CO"),OR('JOINTS DE RÉPARATION'!$D$5="TOUTES",B571='JOINTS DE RÉPARATION'!$D$5),OR('JOINTS DE RÉPARATION'!$L$4="TOUS",AQ571&lt;&gt;"ACCEPTÉ")),1,0)</f>
        <v>0</v>
      </c>
      <c r="AV571" s="82" t="str">
        <f aca="false">IF(AU571=1,SUM(AU$7:AU571),"")</f>
        <v/>
      </c>
      <c r="AW571" s="82" t="str">
        <f aca="false">IF(E571="","",B571&amp;"|"&amp;E571)</f>
        <v>MFD-ISW → MFD-CPF|JN°565</v>
      </c>
    </row>
    <row r="572" customFormat="false" ht="74.6" hidden="false" customHeight="false" outlineLevel="0" collapsed="false">
      <c r="A572" s="79" t="n">
        <f aca="false">IF(E572="","",ROW()-6)</f>
        <v>566</v>
      </c>
      <c r="B572" s="80" t="s">
        <v>110</v>
      </c>
      <c r="C572" s="81"/>
      <c r="D572" s="81"/>
      <c r="E572" s="81" t="s">
        <v>676</v>
      </c>
      <c r="F572" s="82" t="str">
        <f aca="false">IF(E572="","",IF(LEFT(E572,2)="DJ","DJ","JN"))</f>
        <v>JN</v>
      </c>
      <c r="G572" s="81"/>
      <c r="H572" s="81"/>
      <c r="I572" s="81"/>
      <c r="J572" s="81"/>
      <c r="K572" s="81"/>
      <c r="L572" s="81"/>
      <c r="M572" s="81"/>
      <c r="N572" s="81"/>
      <c r="O572" s="81"/>
      <c r="P572" s="81"/>
      <c r="Q572" s="81"/>
      <c r="R572" s="81"/>
      <c r="S572" s="81"/>
      <c r="T572" s="81"/>
      <c r="U572" s="83"/>
      <c r="V572" s="83"/>
      <c r="W572" s="81"/>
      <c r="X572" s="81"/>
      <c r="Y572" s="83"/>
      <c r="Z572" s="81"/>
      <c r="AA572" s="81"/>
      <c r="AB572" s="81"/>
      <c r="AC572" s="81"/>
      <c r="AD572" s="81"/>
      <c r="AE572" s="83"/>
      <c r="AF572" s="81"/>
      <c r="AG572" s="81"/>
      <c r="AH572" s="81"/>
      <c r="AI572" s="81"/>
      <c r="AJ572" s="83"/>
      <c r="AK572" s="81"/>
      <c r="AL572" s="81"/>
      <c r="AM572" s="83"/>
      <c r="AN572" s="80"/>
      <c r="AO572" s="82" t="n">
        <f aca="false">IF(E572="","",(AA572&lt;&gt;"")+(AG572&lt;&gt;"")+(AL572&lt;&gt;""))</f>
        <v>0</v>
      </c>
      <c r="AP572" s="82" t="str">
        <f aca="false">IF(AL572&lt;&gt;"",AL572,IF(AG572&lt;&gt;"",AG572,IF(AA572&lt;&gt;"",AA572,"")))</f>
        <v/>
      </c>
      <c r="AQ572" s="84" t="str">
        <f aca="false">IF(E572="","",IF(U572="","À SOUDER",IF(X572="","VT EN ATTENTE",IF(X572="R","VT REJETÉ – À REPRENDRE",IF(AP572="","À RADIOGRAPHIER",IF(AP572="A","ACCEPTÉ",IF(AP572="NX","NX – RT À REFAIRE",IF(IF(AO572=1,AD572,IF(AO572=2,AI572,""))="A","RÉPARÉ – À RADIOGRAPHIER",IF(IF(AO572=1,AD572,IF(AO572=2,AI572,""))="R","VT REJETÉ – À REPRENDRE",IF(OR(AP572="CO",AP572="NT"),"COUPE – À RESOUDER","À RÉPARER"))))))))))</f>
        <v>À SOUDER</v>
      </c>
      <c r="AR572" s="82" t="str">
        <f aca="false">IF(AND(ISNUMBER(U572),OR(AQ572="À RADIOGRAPHIER",AQ572="RÉPARÉ – À RADIOGRAPHIER",AQ572="NX – RT À REFAIRE",AQ572="À RÉPARER",AQ572="COUPE – À RESOUDER",AQ572="VT REJETÉ – À REPRENDRE")),MAX(0,'PROGRAMME RT'!$C$4-U572),"")</f>
        <v/>
      </c>
      <c r="AS572" s="82" t="n">
        <f aca="false">IF(AND(OR(AQ572="À RADIOGRAPHIER",AQ572="RÉPARÉ – À RADIOGRAPHIER",AQ572="NX – RT À REFAIRE"),OR('PROGRAMME RT'!$D$5="TOUTES",B572='PROGRAMME RT'!$D$5)),1,0)</f>
        <v>0</v>
      </c>
      <c r="AT572" s="82" t="str">
        <f aca="false">IF(AS572=1,SUM(AS$7:AS572),"")</f>
        <v/>
      </c>
      <c r="AU572" s="82" t="n">
        <f aca="false">IF(AND(OR(AA572="R",AA572="NX",AA572="NT",AA572="CO"),OR('JOINTS DE RÉPARATION'!$D$5="TOUTES",B572='JOINTS DE RÉPARATION'!$D$5),OR('JOINTS DE RÉPARATION'!$L$4="TOUS",AQ572&lt;&gt;"ACCEPTÉ")),1,0)</f>
        <v>0</v>
      </c>
      <c r="AV572" s="82" t="str">
        <f aca="false">IF(AU572=1,SUM(AU$7:AU572),"")</f>
        <v/>
      </c>
      <c r="AW572" s="82" t="str">
        <f aca="false">IF(E572="","",B572&amp;"|"&amp;E572)</f>
        <v>MFD-ISW → MFD-CPF|JN°566</v>
      </c>
    </row>
    <row r="573" customFormat="false" ht="74.6" hidden="false" customHeight="false" outlineLevel="0" collapsed="false">
      <c r="A573" s="79" t="n">
        <f aca="false">IF(E573="","",ROW()-6)</f>
        <v>567</v>
      </c>
      <c r="B573" s="80" t="s">
        <v>110</v>
      </c>
      <c r="C573" s="81"/>
      <c r="D573" s="81"/>
      <c r="E573" s="81" t="s">
        <v>677</v>
      </c>
      <c r="F573" s="82" t="str">
        <f aca="false">IF(E573="","",IF(LEFT(E573,2)="DJ","DJ","JN"))</f>
        <v>JN</v>
      </c>
      <c r="G573" s="81"/>
      <c r="H573" s="81"/>
      <c r="I573" s="81"/>
      <c r="J573" s="81"/>
      <c r="K573" s="81"/>
      <c r="L573" s="81"/>
      <c r="M573" s="81"/>
      <c r="N573" s="81"/>
      <c r="O573" s="81"/>
      <c r="P573" s="81"/>
      <c r="Q573" s="81"/>
      <c r="R573" s="81"/>
      <c r="S573" s="81"/>
      <c r="T573" s="81"/>
      <c r="U573" s="83"/>
      <c r="V573" s="83"/>
      <c r="W573" s="81"/>
      <c r="X573" s="81"/>
      <c r="Y573" s="83"/>
      <c r="Z573" s="81"/>
      <c r="AA573" s="81"/>
      <c r="AB573" s="81"/>
      <c r="AC573" s="81"/>
      <c r="AD573" s="81"/>
      <c r="AE573" s="83"/>
      <c r="AF573" s="81"/>
      <c r="AG573" s="81"/>
      <c r="AH573" s="81"/>
      <c r="AI573" s="81"/>
      <c r="AJ573" s="83"/>
      <c r="AK573" s="81"/>
      <c r="AL573" s="81"/>
      <c r="AM573" s="83"/>
      <c r="AN573" s="80"/>
      <c r="AO573" s="82" t="n">
        <f aca="false">IF(E573="","",(AA573&lt;&gt;"")+(AG573&lt;&gt;"")+(AL573&lt;&gt;""))</f>
        <v>0</v>
      </c>
      <c r="AP573" s="82" t="str">
        <f aca="false">IF(AL573&lt;&gt;"",AL573,IF(AG573&lt;&gt;"",AG573,IF(AA573&lt;&gt;"",AA573,"")))</f>
        <v/>
      </c>
      <c r="AQ573" s="84" t="str">
        <f aca="false">IF(E573="","",IF(U573="","À SOUDER",IF(X573="","VT EN ATTENTE",IF(X573="R","VT REJETÉ – À REPRENDRE",IF(AP573="","À RADIOGRAPHIER",IF(AP573="A","ACCEPTÉ",IF(AP573="NX","NX – RT À REFAIRE",IF(IF(AO573=1,AD573,IF(AO573=2,AI573,""))="A","RÉPARÉ – À RADIOGRAPHIER",IF(IF(AO573=1,AD573,IF(AO573=2,AI573,""))="R","VT REJETÉ – À REPRENDRE",IF(OR(AP573="CO",AP573="NT"),"COUPE – À RESOUDER","À RÉPARER"))))))))))</f>
        <v>À SOUDER</v>
      </c>
      <c r="AR573" s="82" t="str">
        <f aca="false">IF(AND(ISNUMBER(U573),OR(AQ573="À RADIOGRAPHIER",AQ573="RÉPARÉ – À RADIOGRAPHIER",AQ573="NX – RT À REFAIRE",AQ573="À RÉPARER",AQ573="COUPE – À RESOUDER",AQ573="VT REJETÉ – À REPRENDRE")),MAX(0,'PROGRAMME RT'!$C$4-U573),"")</f>
        <v/>
      </c>
      <c r="AS573" s="82" t="n">
        <f aca="false">IF(AND(OR(AQ573="À RADIOGRAPHIER",AQ573="RÉPARÉ – À RADIOGRAPHIER",AQ573="NX – RT À REFAIRE"),OR('PROGRAMME RT'!$D$5="TOUTES",B573='PROGRAMME RT'!$D$5)),1,0)</f>
        <v>0</v>
      </c>
      <c r="AT573" s="82" t="str">
        <f aca="false">IF(AS573=1,SUM(AS$7:AS573),"")</f>
        <v/>
      </c>
      <c r="AU573" s="82" t="n">
        <f aca="false">IF(AND(OR(AA573="R",AA573="NX",AA573="NT",AA573="CO"),OR('JOINTS DE RÉPARATION'!$D$5="TOUTES",B573='JOINTS DE RÉPARATION'!$D$5),OR('JOINTS DE RÉPARATION'!$L$4="TOUS",AQ573&lt;&gt;"ACCEPTÉ")),1,0)</f>
        <v>0</v>
      </c>
      <c r="AV573" s="82" t="str">
        <f aca="false">IF(AU573=1,SUM(AU$7:AU573),"")</f>
        <v/>
      </c>
      <c r="AW573" s="82" t="str">
        <f aca="false">IF(E573="","",B573&amp;"|"&amp;E573)</f>
        <v>MFD-ISW → MFD-CPF|JN°567</v>
      </c>
    </row>
    <row r="574" customFormat="false" ht="74.6" hidden="false" customHeight="false" outlineLevel="0" collapsed="false">
      <c r="A574" s="79" t="n">
        <f aca="false">IF(E574="","",ROW()-6)</f>
        <v>568</v>
      </c>
      <c r="B574" s="80" t="s">
        <v>110</v>
      </c>
      <c r="C574" s="81"/>
      <c r="D574" s="81"/>
      <c r="E574" s="81" t="s">
        <v>678</v>
      </c>
      <c r="F574" s="82" t="str">
        <f aca="false">IF(E574="","",IF(LEFT(E574,2)="DJ","DJ","JN"))</f>
        <v>JN</v>
      </c>
      <c r="G574" s="81"/>
      <c r="H574" s="81"/>
      <c r="I574" s="81"/>
      <c r="J574" s="81"/>
      <c r="K574" s="81"/>
      <c r="L574" s="81"/>
      <c r="M574" s="81"/>
      <c r="N574" s="81"/>
      <c r="O574" s="81"/>
      <c r="P574" s="81"/>
      <c r="Q574" s="81"/>
      <c r="R574" s="81"/>
      <c r="S574" s="81"/>
      <c r="T574" s="81"/>
      <c r="U574" s="83"/>
      <c r="V574" s="83"/>
      <c r="W574" s="81"/>
      <c r="X574" s="81"/>
      <c r="Y574" s="83"/>
      <c r="Z574" s="81"/>
      <c r="AA574" s="81"/>
      <c r="AB574" s="81"/>
      <c r="AC574" s="81"/>
      <c r="AD574" s="81"/>
      <c r="AE574" s="83"/>
      <c r="AF574" s="81"/>
      <c r="AG574" s="81"/>
      <c r="AH574" s="81"/>
      <c r="AI574" s="81"/>
      <c r="AJ574" s="83"/>
      <c r="AK574" s="81"/>
      <c r="AL574" s="81"/>
      <c r="AM574" s="83"/>
      <c r="AN574" s="80"/>
      <c r="AO574" s="82" t="n">
        <f aca="false">IF(E574="","",(AA574&lt;&gt;"")+(AG574&lt;&gt;"")+(AL574&lt;&gt;""))</f>
        <v>0</v>
      </c>
      <c r="AP574" s="82" t="str">
        <f aca="false">IF(AL574&lt;&gt;"",AL574,IF(AG574&lt;&gt;"",AG574,IF(AA574&lt;&gt;"",AA574,"")))</f>
        <v/>
      </c>
      <c r="AQ574" s="84" t="str">
        <f aca="false">IF(E574="","",IF(U574="","À SOUDER",IF(X574="","VT EN ATTENTE",IF(X574="R","VT REJETÉ – À REPRENDRE",IF(AP574="","À RADIOGRAPHIER",IF(AP574="A","ACCEPTÉ",IF(AP574="NX","NX – RT À REFAIRE",IF(IF(AO574=1,AD574,IF(AO574=2,AI574,""))="A","RÉPARÉ – À RADIOGRAPHIER",IF(IF(AO574=1,AD574,IF(AO574=2,AI574,""))="R","VT REJETÉ – À REPRENDRE",IF(OR(AP574="CO",AP574="NT"),"COUPE – À RESOUDER","À RÉPARER"))))))))))</f>
        <v>À SOUDER</v>
      </c>
      <c r="AR574" s="82" t="str">
        <f aca="false">IF(AND(ISNUMBER(U574),OR(AQ574="À RADIOGRAPHIER",AQ574="RÉPARÉ – À RADIOGRAPHIER",AQ574="NX – RT À REFAIRE",AQ574="À RÉPARER",AQ574="COUPE – À RESOUDER",AQ574="VT REJETÉ – À REPRENDRE")),MAX(0,'PROGRAMME RT'!$C$4-U574),"")</f>
        <v/>
      </c>
      <c r="AS574" s="82" t="n">
        <f aca="false">IF(AND(OR(AQ574="À RADIOGRAPHIER",AQ574="RÉPARÉ – À RADIOGRAPHIER",AQ574="NX – RT À REFAIRE"),OR('PROGRAMME RT'!$D$5="TOUTES",B574='PROGRAMME RT'!$D$5)),1,0)</f>
        <v>0</v>
      </c>
      <c r="AT574" s="82" t="str">
        <f aca="false">IF(AS574=1,SUM(AS$7:AS574),"")</f>
        <v/>
      </c>
      <c r="AU574" s="82" t="n">
        <f aca="false">IF(AND(OR(AA574="R",AA574="NX",AA574="NT",AA574="CO"),OR('JOINTS DE RÉPARATION'!$D$5="TOUTES",B574='JOINTS DE RÉPARATION'!$D$5),OR('JOINTS DE RÉPARATION'!$L$4="TOUS",AQ574&lt;&gt;"ACCEPTÉ")),1,0)</f>
        <v>0</v>
      </c>
      <c r="AV574" s="82" t="str">
        <f aca="false">IF(AU574=1,SUM(AU$7:AU574),"")</f>
        <v/>
      </c>
      <c r="AW574" s="82" t="str">
        <f aca="false">IF(E574="","",B574&amp;"|"&amp;E574)</f>
        <v>MFD-ISW → MFD-CPF|JN°568</v>
      </c>
    </row>
    <row r="575" customFormat="false" ht="74.6" hidden="false" customHeight="false" outlineLevel="0" collapsed="false">
      <c r="A575" s="79" t="n">
        <f aca="false">IF(E575="","",ROW()-6)</f>
        <v>569</v>
      </c>
      <c r="B575" s="80" t="s">
        <v>110</v>
      </c>
      <c r="C575" s="81"/>
      <c r="D575" s="81"/>
      <c r="E575" s="81" t="s">
        <v>679</v>
      </c>
      <c r="F575" s="82" t="str">
        <f aca="false">IF(E575="","",IF(LEFT(E575,2)="DJ","DJ","JN"))</f>
        <v>JN</v>
      </c>
      <c r="G575" s="81"/>
      <c r="H575" s="81"/>
      <c r="I575" s="81"/>
      <c r="J575" s="81"/>
      <c r="K575" s="81"/>
      <c r="L575" s="81"/>
      <c r="M575" s="81"/>
      <c r="N575" s="81"/>
      <c r="O575" s="81"/>
      <c r="P575" s="81"/>
      <c r="Q575" s="81"/>
      <c r="R575" s="81"/>
      <c r="S575" s="81"/>
      <c r="T575" s="81"/>
      <c r="U575" s="83"/>
      <c r="V575" s="83"/>
      <c r="W575" s="81"/>
      <c r="X575" s="81"/>
      <c r="Y575" s="83"/>
      <c r="Z575" s="81"/>
      <c r="AA575" s="81"/>
      <c r="AB575" s="81"/>
      <c r="AC575" s="81"/>
      <c r="AD575" s="81"/>
      <c r="AE575" s="83"/>
      <c r="AF575" s="81"/>
      <c r="AG575" s="81"/>
      <c r="AH575" s="81"/>
      <c r="AI575" s="81"/>
      <c r="AJ575" s="83"/>
      <c r="AK575" s="81"/>
      <c r="AL575" s="81"/>
      <c r="AM575" s="83"/>
      <c r="AN575" s="80"/>
      <c r="AO575" s="82" t="n">
        <f aca="false">IF(E575="","",(AA575&lt;&gt;"")+(AG575&lt;&gt;"")+(AL575&lt;&gt;""))</f>
        <v>0</v>
      </c>
      <c r="AP575" s="82" t="str">
        <f aca="false">IF(AL575&lt;&gt;"",AL575,IF(AG575&lt;&gt;"",AG575,IF(AA575&lt;&gt;"",AA575,"")))</f>
        <v/>
      </c>
      <c r="AQ575" s="84" t="str">
        <f aca="false">IF(E575="","",IF(U575="","À SOUDER",IF(X575="","VT EN ATTENTE",IF(X575="R","VT REJETÉ – À REPRENDRE",IF(AP575="","À RADIOGRAPHIER",IF(AP575="A","ACCEPTÉ",IF(AP575="NX","NX – RT À REFAIRE",IF(IF(AO575=1,AD575,IF(AO575=2,AI575,""))="A","RÉPARÉ – À RADIOGRAPHIER",IF(IF(AO575=1,AD575,IF(AO575=2,AI575,""))="R","VT REJETÉ – À REPRENDRE",IF(OR(AP575="CO",AP575="NT"),"COUPE – À RESOUDER","À RÉPARER"))))))))))</f>
        <v>À SOUDER</v>
      </c>
      <c r="AR575" s="82" t="str">
        <f aca="false">IF(AND(ISNUMBER(U575),OR(AQ575="À RADIOGRAPHIER",AQ575="RÉPARÉ – À RADIOGRAPHIER",AQ575="NX – RT À REFAIRE",AQ575="À RÉPARER",AQ575="COUPE – À RESOUDER",AQ575="VT REJETÉ – À REPRENDRE")),MAX(0,'PROGRAMME RT'!$C$4-U575),"")</f>
        <v/>
      </c>
      <c r="AS575" s="82" t="n">
        <f aca="false">IF(AND(OR(AQ575="À RADIOGRAPHIER",AQ575="RÉPARÉ – À RADIOGRAPHIER",AQ575="NX – RT À REFAIRE"),OR('PROGRAMME RT'!$D$5="TOUTES",B575='PROGRAMME RT'!$D$5)),1,0)</f>
        <v>0</v>
      </c>
      <c r="AT575" s="82" t="str">
        <f aca="false">IF(AS575=1,SUM(AS$7:AS575),"")</f>
        <v/>
      </c>
      <c r="AU575" s="82" t="n">
        <f aca="false">IF(AND(OR(AA575="R",AA575="NX",AA575="NT",AA575="CO"),OR('JOINTS DE RÉPARATION'!$D$5="TOUTES",B575='JOINTS DE RÉPARATION'!$D$5),OR('JOINTS DE RÉPARATION'!$L$4="TOUS",AQ575&lt;&gt;"ACCEPTÉ")),1,0)</f>
        <v>0</v>
      </c>
      <c r="AV575" s="82" t="str">
        <f aca="false">IF(AU575=1,SUM(AU$7:AU575),"")</f>
        <v/>
      </c>
      <c r="AW575" s="82" t="str">
        <f aca="false">IF(E575="","",B575&amp;"|"&amp;E575)</f>
        <v>MFD-ISW → MFD-CPF|JN°569</v>
      </c>
    </row>
    <row r="576" customFormat="false" ht="74.6" hidden="false" customHeight="false" outlineLevel="0" collapsed="false">
      <c r="A576" s="79" t="n">
        <f aca="false">IF(E576="","",ROW()-6)</f>
        <v>570</v>
      </c>
      <c r="B576" s="80" t="s">
        <v>110</v>
      </c>
      <c r="C576" s="81"/>
      <c r="D576" s="81"/>
      <c r="E576" s="81" t="s">
        <v>680</v>
      </c>
      <c r="F576" s="82" t="str">
        <f aca="false">IF(E576="","",IF(LEFT(E576,2)="DJ","DJ","JN"))</f>
        <v>JN</v>
      </c>
      <c r="G576" s="81"/>
      <c r="H576" s="81"/>
      <c r="I576" s="81"/>
      <c r="J576" s="81"/>
      <c r="K576" s="81"/>
      <c r="L576" s="81"/>
      <c r="M576" s="81"/>
      <c r="N576" s="81"/>
      <c r="O576" s="81"/>
      <c r="P576" s="81"/>
      <c r="Q576" s="81"/>
      <c r="R576" s="81"/>
      <c r="S576" s="81"/>
      <c r="T576" s="81"/>
      <c r="U576" s="83"/>
      <c r="V576" s="83"/>
      <c r="W576" s="81"/>
      <c r="X576" s="81"/>
      <c r="Y576" s="83"/>
      <c r="Z576" s="81"/>
      <c r="AA576" s="81"/>
      <c r="AB576" s="81"/>
      <c r="AC576" s="81"/>
      <c r="AD576" s="81"/>
      <c r="AE576" s="83"/>
      <c r="AF576" s="81"/>
      <c r="AG576" s="81"/>
      <c r="AH576" s="81"/>
      <c r="AI576" s="81"/>
      <c r="AJ576" s="83"/>
      <c r="AK576" s="81"/>
      <c r="AL576" s="81"/>
      <c r="AM576" s="83"/>
      <c r="AN576" s="80"/>
      <c r="AO576" s="82" t="n">
        <f aca="false">IF(E576="","",(AA576&lt;&gt;"")+(AG576&lt;&gt;"")+(AL576&lt;&gt;""))</f>
        <v>0</v>
      </c>
      <c r="AP576" s="82" t="str">
        <f aca="false">IF(AL576&lt;&gt;"",AL576,IF(AG576&lt;&gt;"",AG576,IF(AA576&lt;&gt;"",AA576,"")))</f>
        <v/>
      </c>
      <c r="AQ576" s="84" t="str">
        <f aca="false">IF(E576="","",IF(U576="","À SOUDER",IF(X576="","VT EN ATTENTE",IF(X576="R","VT REJETÉ – À REPRENDRE",IF(AP576="","À RADIOGRAPHIER",IF(AP576="A","ACCEPTÉ",IF(AP576="NX","NX – RT À REFAIRE",IF(IF(AO576=1,AD576,IF(AO576=2,AI576,""))="A","RÉPARÉ – À RADIOGRAPHIER",IF(IF(AO576=1,AD576,IF(AO576=2,AI576,""))="R","VT REJETÉ – À REPRENDRE",IF(OR(AP576="CO",AP576="NT"),"COUPE – À RESOUDER","À RÉPARER"))))))))))</f>
        <v>À SOUDER</v>
      </c>
      <c r="AR576" s="82" t="str">
        <f aca="false">IF(AND(ISNUMBER(U576),OR(AQ576="À RADIOGRAPHIER",AQ576="RÉPARÉ – À RADIOGRAPHIER",AQ576="NX – RT À REFAIRE",AQ576="À RÉPARER",AQ576="COUPE – À RESOUDER",AQ576="VT REJETÉ – À REPRENDRE")),MAX(0,'PROGRAMME RT'!$C$4-U576),"")</f>
        <v/>
      </c>
      <c r="AS576" s="82" t="n">
        <f aca="false">IF(AND(OR(AQ576="À RADIOGRAPHIER",AQ576="RÉPARÉ – À RADIOGRAPHIER",AQ576="NX – RT À REFAIRE"),OR('PROGRAMME RT'!$D$5="TOUTES",B576='PROGRAMME RT'!$D$5)),1,0)</f>
        <v>0</v>
      </c>
      <c r="AT576" s="82" t="str">
        <f aca="false">IF(AS576=1,SUM(AS$7:AS576),"")</f>
        <v/>
      </c>
      <c r="AU576" s="82" t="n">
        <f aca="false">IF(AND(OR(AA576="R",AA576="NX",AA576="NT",AA576="CO"),OR('JOINTS DE RÉPARATION'!$D$5="TOUTES",B576='JOINTS DE RÉPARATION'!$D$5),OR('JOINTS DE RÉPARATION'!$L$4="TOUS",AQ576&lt;&gt;"ACCEPTÉ")),1,0)</f>
        <v>0</v>
      </c>
      <c r="AV576" s="82" t="str">
        <f aca="false">IF(AU576=1,SUM(AU$7:AU576),"")</f>
        <v/>
      </c>
      <c r="AW576" s="82" t="str">
        <f aca="false">IF(E576="","",B576&amp;"|"&amp;E576)</f>
        <v>MFD-ISW → MFD-CPF|JN°570</v>
      </c>
    </row>
    <row r="577" customFormat="false" ht="74.6" hidden="false" customHeight="false" outlineLevel="0" collapsed="false">
      <c r="A577" s="79" t="n">
        <f aca="false">IF(E577="","",ROW()-6)</f>
        <v>571</v>
      </c>
      <c r="B577" s="80" t="s">
        <v>110</v>
      </c>
      <c r="C577" s="81"/>
      <c r="D577" s="81"/>
      <c r="E577" s="81" t="s">
        <v>681</v>
      </c>
      <c r="F577" s="82" t="str">
        <f aca="false">IF(E577="","",IF(LEFT(E577,2)="DJ","DJ","JN"))</f>
        <v>JN</v>
      </c>
      <c r="G577" s="81"/>
      <c r="H577" s="81"/>
      <c r="I577" s="81"/>
      <c r="J577" s="81"/>
      <c r="K577" s="81"/>
      <c r="L577" s="81"/>
      <c r="M577" s="81"/>
      <c r="N577" s="81"/>
      <c r="O577" s="81"/>
      <c r="P577" s="81"/>
      <c r="Q577" s="81"/>
      <c r="R577" s="81"/>
      <c r="S577" s="81"/>
      <c r="T577" s="81"/>
      <c r="U577" s="83"/>
      <c r="V577" s="83"/>
      <c r="W577" s="81"/>
      <c r="X577" s="81"/>
      <c r="Y577" s="83"/>
      <c r="Z577" s="81"/>
      <c r="AA577" s="81"/>
      <c r="AB577" s="81"/>
      <c r="AC577" s="81"/>
      <c r="AD577" s="81"/>
      <c r="AE577" s="83"/>
      <c r="AF577" s="81"/>
      <c r="AG577" s="81"/>
      <c r="AH577" s="81"/>
      <c r="AI577" s="81"/>
      <c r="AJ577" s="83"/>
      <c r="AK577" s="81"/>
      <c r="AL577" s="81"/>
      <c r="AM577" s="83"/>
      <c r="AN577" s="80"/>
      <c r="AO577" s="82" t="n">
        <f aca="false">IF(E577="","",(AA577&lt;&gt;"")+(AG577&lt;&gt;"")+(AL577&lt;&gt;""))</f>
        <v>0</v>
      </c>
      <c r="AP577" s="82" t="str">
        <f aca="false">IF(AL577&lt;&gt;"",AL577,IF(AG577&lt;&gt;"",AG577,IF(AA577&lt;&gt;"",AA577,"")))</f>
        <v/>
      </c>
      <c r="AQ577" s="84" t="str">
        <f aca="false">IF(E577="","",IF(U577="","À SOUDER",IF(X577="","VT EN ATTENTE",IF(X577="R","VT REJETÉ – À REPRENDRE",IF(AP577="","À RADIOGRAPHIER",IF(AP577="A","ACCEPTÉ",IF(AP577="NX","NX – RT À REFAIRE",IF(IF(AO577=1,AD577,IF(AO577=2,AI577,""))="A","RÉPARÉ – À RADIOGRAPHIER",IF(IF(AO577=1,AD577,IF(AO577=2,AI577,""))="R","VT REJETÉ – À REPRENDRE",IF(OR(AP577="CO",AP577="NT"),"COUPE – À RESOUDER","À RÉPARER"))))))))))</f>
        <v>À SOUDER</v>
      </c>
      <c r="AR577" s="82" t="str">
        <f aca="false">IF(AND(ISNUMBER(U577),OR(AQ577="À RADIOGRAPHIER",AQ577="RÉPARÉ – À RADIOGRAPHIER",AQ577="NX – RT À REFAIRE",AQ577="À RÉPARER",AQ577="COUPE – À RESOUDER",AQ577="VT REJETÉ – À REPRENDRE")),MAX(0,'PROGRAMME RT'!$C$4-U577),"")</f>
        <v/>
      </c>
      <c r="AS577" s="82" t="n">
        <f aca="false">IF(AND(OR(AQ577="À RADIOGRAPHIER",AQ577="RÉPARÉ – À RADIOGRAPHIER",AQ577="NX – RT À REFAIRE"),OR('PROGRAMME RT'!$D$5="TOUTES",B577='PROGRAMME RT'!$D$5)),1,0)</f>
        <v>0</v>
      </c>
      <c r="AT577" s="82" t="str">
        <f aca="false">IF(AS577=1,SUM(AS$7:AS577),"")</f>
        <v/>
      </c>
      <c r="AU577" s="82" t="n">
        <f aca="false">IF(AND(OR(AA577="R",AA577="NX",AA577="NT",AA577="CO"),OR('JOINTS DE RÉPARATION'!$D$5="TOUTES",B577='JOINTS DE RÉPARATION'!$D$5),OR('JOINTS DE RÉPARATION'!$L$4="TOUS",AQ577&lt;&gt;"ACCEPTÉ")),1,0)</f>
        <v>0</v>
      </c>
      <c r="AV577" s="82" t="str">
        <f aca="false">IF(AU577=1,SUM(AU$7:AU577),"")</f>
        <v/>
      </c>
      <c r="AW577" s="82" t="str">
        <f aca="false">IF(E577="","",B577&amp;"|"&amp;E577)</f>
        <v>MFD-ISW → MFD-CPF|JN°571</v>
      </c>
    </row>
    <row r="578" customFormat="false" ht="74.6" hidden="false" customHeight="false" outlineLevel="0" collapsed="false">
      <c r="A578" s="79" t="n">
        <f aca="false">IF(E578="","",ROW()-6)</f>
        <v>572</v>
      </c>
      <c r="B578" s="80" t="s">
        <v>110</v>
      </c>
      <c r="C578" s="81"/>
      <c r="D578" s="81"/>
      <c r="E578" s="81" t="s">
        <v>682</v>
      </c>
      <c r="F578" s="82" t="str">
        <f aca="false">IF(E578="","",IF(LEFT(E578,2)="DJ","DJ","JN"))</f>
        <v>JN</v>
      </c>
      <c r="G578" s="81"/>
      <c r="H578" s="81"/>
      <c r="I578" s="81"/>
      <c r="J578" s="81"/>
      <c r="K578" s="81"/>
      <c r="L578" s="81"/>
      <c r="M578" s="81"/>
      <c r="N578" s="81"/>
      <c r="O578" s="81"/>
      <c r="P578" s="81"/>
      <c r="Q578" s="81"/>
      <c r="R578" s="81"/>
      <c r="S578" s="81"/>
      <c r="T578" s="81"/>
      <c r="U578" s="83"/>
      <c r="V578" s="83"/>
      <c r="W578" s="81"/>
      <c r="X578" s="81"/>
      <c r="Y578" s="83"/>
      <c r="Z578" s="81"/>
      <c r="AA578" s="81"/>
      <c r="AB578" s="81"/>
      <c r="AC578" s="81"/>
      <c r="AD578" s="81"/>
      <c r="AE578" s="83"/>
      <c r="AF578" s="81"/>
      <c r="AG578" s="81"/>
      <c r="AH578" s="81"/>
      <c r="AI578" s="81"/>
      <c r="AJ578" s="83"/>
      <c r="AK578" s="81"/>
      <c r="AL578" s="81"/>
      <c r="AM578" s="83"/>
      <c r="AN578" s="80"/>
      <c r="AO578" s="82" t="n">
        <f aca="false">IF(E578="","",(AA578&lt;&gt;"")+(AG578&lt;&gt;"")+(AL578&lt;&gt;""))</f>
        <v>0</v>
      </c>
      <c r="AP578" s="82" t="str">
        <f aca="false">IF(AL578&lt;&gt;"",AL578,IF(AG578&lt;&gt;"",AG578,IF(AA578&lt;&gt;"",AA578,"")))</f>
        <v/>
      </c>
      <c r="AQ578" s="84" t="str">
        <f aca="false">IF(E578="","",IF(U578="","À SOUDER",IF(X578="","VT EN ATTENTE",IF(X578="R","VT REJETÉ – À REPRENDRE",IF(AP578="","À RADIOGRAPHIER",IF(AP578="A","ACCEPTÉ",IF(AP578="NX","NX – RT À REFAIRE",IF(IF(AO578=1,AD578,IF(AO578=2,AI578,""))="A","RÉPARÉ – À RADIOGRAPHIER",IF(IF(AO578=1,AD578,IF(AO578=2,AI578,""))="R","VT REJETÉ – À REPRENDRE",IF(OR(AP578="CO",AP578="NT"),"COUPE – À RESOUDER","À RÉPARER"))))))))))</f>
        <v>À SOUDER</v>
      </c>
      <c r="AR578" s="82" t="str">
        <f aca="false">IF(AND(ISNUMBER(U578),OR(AQ578="À RADIOGRAPHIER",AQ578="RÉPARÉ – À RADIOGRAPHIER",AQ578="NX – RT À REFAIRE",AQ578="À RÉPARER",AQ578="COUPE – À RESOUDER",AQ578="VT REJETÉ – À REPRENDRE")),MAX(0,'PROGRAMME RT'!$C$4-U578),"")</f>
        <v/>
      </c>
      <c r="AS578" s="82" t="n">
        <f aca="false">IF(AND(OR(AQ578="À RADIOGRAPHIER",AQ578="RÉPARÉ – À RADIOGRAPHIER",AQ578="NX – RT À REFAIRE"),OR('PROGRAMME RT'!$D$5="TOUTES",B578='PROGRAMME RT'!$D$5)),1,0)</f>
        <v>0</v>
      </c>
      <c r="AT578" s="82" t="str">
        <f aca="false">IF(AS578=1,SUM(AS$7:AS578),"")</f>
        <v/>
      </c>
      <c r="AU578" s="82" t="n">
        <f aca="false">IF(AND(OR(AA578="R",AA578="NX",AA578="NT",AA578="CO"),OR('JOINTS DE RÉPARATION'!$D$5="TOUTES",B578='JOINTS DE RÉPARATION'!$D$5),OR('JOINTS DE RÉPARATION'!$L$4="TOUS",AQ578&lt;&gt;"ACCEPTÉ")),1,0)</f>
        <v>0</v>
      </c>
      <c r="AV578" s="82" t="str">
        <f aca="false">IF(AU578=1,SUM(AU$7:AU578),"")</f>
        <v/>
      </c>
      <c r="AW578" s="82" t="str">
        <f aca="false">IF(E578="","",B578&amp;"|"&amp;E578)</f>
        <v>MFD-ISW → MFD-CPF|JN°572</v>
      </c>
    </row>
    <row r="579" customFormat="false" ht="74.6" hidden="false" customHeight="false" outlineLevel="0" collapsed="false">
      <c r="A579" s="79" t="n">
        <f aca="false">IF(E579="","",ROW()-6)</f>
        <v>573</v>
      </c>
      <c r="B579" s="80" t="s">
        <v>110</v>
      </c>
      <c r="C579" s="81"/>
      <c r="D579" s="81"/>
      <c r="E579" s="81" t="s">
        <v>683</v>
      </c>
      <c r="F579" s="82" t="str">
        <f aca="false">IF(E579="","",IF(LEFT(E579,2)="DJ","DJ","JN"))</f>
        <v>JN</v>
      </c>
      <c r="G579" s="81"/>
      <c r="H579" s="81"/>
      <c r="I579" s="81"/>
      <c r="J579" s="81"/>
      <c r="K579" s="81"/>
      <c r="L579" s="81"/>
      <c r="M579" s="81"/>
      <c r="N579" s="81"/>
      <c r="O579" s="81"/>
      <c r="P579" s="81"/>
      <c r="Q579" s="81"/>
      <c r="R579" s="81"/>
      <c r="S579" s="81"/>
      <c r="T579" s="81"/>
      <c r="U579" s="83"/>
      <c r="V579" s="83"/>
      <c r="W579" s="81"/>
      <c r="X579" s="81"/>
      <c r="Y579" s="83"/>
      <c r="Z579" s="81"/>
      <c r="AA579" s="81"/>
      <c r="AB579" s="81"/>
      <c r="AC579" s="81"/>
      <c r="AD579" s="81"/>
      <c r="AE579" s="83"/>
      <c r="AF579" s="81"/>
      <c r="AG579" s="81"/>
      <c r="AH579" s="81"/>
      <c r="AI579" s="81"/>
      <c r="AJ579" s="83"/>
      <c r="AK579" s="81"/>
      <c r="AL579" s="81"/>
      <c r="AM579" s="83"/>
      <c r="AN579" s="80"/>
      <c r="AO579" s="82" t="n">
        <f aca="false">IF(E579="","",(AA579&lt;&gt;"")+(AG579&lt;&gt;"")+(AL579&lt;&gt;""))</f>
        <v>0</v>
      </c>
      <c r="AP579" s="82" t="str">
        <f aca="false">IF(AL579&lt;&gt;"",AL579,IF(AG579&lt;&gt;"",AG579,IF(AA579&lt;&gt;"",AA579,"")))</f>
        <v/>
      </c>
      <c r="AQ579" s="84" t="str">
        <f aca="false">IF(E579="","",IF(U579="","À SOUDER",IF(X579="","VT EN ATTENTE",IF(X579="R","VT REJETÉ – À REPRENDRE",IF(AP579="","À RADIOGRAPHIER",IF(AP579="A","ACCEPTÉ",IF(AP579="NX","NX – RT À REFAIRE",IF(IF(AO579=1,AD579,IF(AO579=2,AI579,""))="A","RÉPARÉ – À RADIOGRAPHIER",IF(IF(AO579=1,AD579,IF(AO579=2,AI579,""))="R","VT REJETÉ – À REPRENDRE",IF(OR(AP579="CO",AP579="NT"),"COUPE – À RESOUDER","À RÉPARER"))))))))))</f>
        <v>À SOUDER</v>
      </c>
      <c r="AR579" s="82" t="str">
        <f aca="false">IF(AND(ISNUMBER(U579),OR(AQ579="À RADIOGRAPHIER",AQ579="RÉPARÉ – À RADIOGRAPHIER",AQ579="NX – RT À REFAIRE",AQ579="À RÉPARER",AQ579="COUPE – À RESOUDER",AQ579="VT REJETÉ – À REPRENDRE")),MAX(0,'PROGRAMME RT'!$C$4-U579),"")</f>
        <v/>
      </c>
      <c r="AS579" s="82" t="n">
        <f aca="false">IF(AND(OR(AQ579="À RADIOGRAPHIER",AQ579="RÉPARÉ – À RADIOGRAPHIER",AQ579="NX – RT À REFAIRE"),OR('PROGRAMME RT'!$D$5="TOUTES",B579='PROGRAMME RT'!$D$5)),1,0)</f>
        <v>0</v>
      </c>
      <c r="AT579" s="82" t="str">
        <f aca="false">IF(AS579=1,SUM(AS$7:AS579),"")</f>
        <v/>
      </c>
      <c r="AU579" s="82" t="n">
        <f aca="false">IF(AND(OR(AA579="R",AA579="NX",AA579="NT",AA579="CO"),OR('JOINTS DE RÉPARATION'!$D$5="TOUTES",B579='JOINTS DE RÉPARATION'!$D$5),OR('JOINTS DE RÉPARATION'!$L$4="TOUS",AQ579&lt;&gt;"ACCEPTÉ")),1,0)</f>
        <v>0</v>
      </c>
      <c r="AV579" s="82" t="str">
        <f aca="false">IF(AU579=1,SUM(AU$7:AU579),"")</f>
        <v/>
      </c>
      <c r="AW579" s="82" t="str">
        <f aca="false">IF(E579="","",B579&amp;"|"&amp;E579)</f>
        <v>MFD-ISW → MFD-CPF|JN°573</v>
      </c>
    </row>
    <row r="580" customFormat="false" ht="74.6" hidden="false" customHeight="false" outlineLevel="0" collapsed="false">
      <c r="A580" s="79" t="n">
        <f aca="false">IF(E580="","",ROW()-6)</f>
        <v>574</v>
      </c>
      <c r="B580" s="80" t="s">
        <v>110</v>
      </c>
      <c r="C580" s="81"/>
      <c r="D580" s="81"/>
      <c r="E580" s="81" t="s">
        <v>684</v>
      </c>
      <c r="F580" s="82" t="str">
        <f aca="false">IF(E580="","",IF(LEFT(E580,2)="DJ","DJ","JN"))</f>
        <v>JN</v>
      </c>
      <c r="G580" s="81"/>
      <c r="H580" s="81"/>
      <c r="I580" s="81"/>
      <c r="J580" s="81"/>
      <c r="K580" s="81"/>
      <c r="L580" s="81"/>
      <c r="M580" s="81"/>
      <c r="N580" s="81"/>
      <c r="O580" s="81"/>
      <c r="P580" s="81"/>
      <c r="Q580" s="81"/>
      <c r="R580" s="81"/>
      <c r="S580" s="81"/>
      <c r="T580" s="81"/>
      <c r="U580" s="83"/>
      <c r="V580" s="83"/>
      <c r="W580" s="81"/>
      <c r="X580" s="81"/>
      <c r="Y580" s="83"/>
      <c r="Z580" s="81"/>
      <c r="AA580" s="81"/>
      <c r="AB580" s="81"/>
      <c r="AC580" s="81"/>
      <c r="AD580" s="81"/>
      <c r="AE580" s="83"/>
      <c r="AF580" s="81"/>
      <c r="AG580" s="81"/>
      <c r="AH580" s="81"/>
      <c r="AI580" s="81"/>
      <c r="AJ580" s="83"/>
      <c r="AK580" s="81"/>
      <c r="AL580" s="81"/>
      <c r="AM580" s="83"/>
      <c r="AN580" s="80"/>
      <c r="AO580" s="82" t="n">
        <f aca="false">IF(E580="","",(AA580&lt;&gt;"")+(AG580&lt;&gt;"")+(AL580&lt;&gt;""))</f>
        <v>0</v>
      </c>
      <c r="AP580" s="82" t="str">
        <f aca="false">IF(AL580&lt;&gt;"",AL580,IF(AG580&lt;&gt;"",AG580,IF(AA580&lt;&gt;"",AA580,"")))</f>
        <v/>
      </c>
      <c r="AQ580" s="84" t="str">
        <f aca="false">IF(E580="","",IF(U580="","À SOUDER",IF(X580="","VT EN ATTENTE",IF(X580="R","VT REJETÉ – À REPRENDRE",IF(AP580="","À RADIOGRAPHIER",IF(AP580="A","ACCEPTÉ",IF(AP580="NX","NX – RT À REFAIRE",IF(IF(AO580=1,AD580,IF(AO580=2,AI580,""))="A","RÉPARÉ – À RADIOGRAPHIER",IF(IF(AO580=1,AD580,IF(AO580=2,AI580,""))="R","VT REJETÉ – À REPRENDRE",IF(OR(AP580="CO",AP580="NT"),"COUPE – À RESOUDER","À RÉPARER"))))))))))</f>
        <v>À SOUDER</v>
      </c>
      <c r="AR580" s="82" t="str">
        <f aca="false">IF(AND(ISNUMBER(U580),OR(AQ580="À RADIOGRAPHIER",AQ580="RÉPARÉ – À RADIOGRAPHIER",AQ580="NX – RT À REFAIRE",AQ580="À RÉPARER",AQ580="COUPE – À RESOUDER",AQ580="VT REJETÉ – À REPRENDRE")),MAX(0,'PROGRAMME RT'!$C$4-U580),"")</f>
        <v/>
      </c>
      <c r="AS580" s="82" t="n">
        <f aca="false">IF(AND(OR(AQ580="À RADIOGRAPHIER",AQ580="RÉPARÉ – À RADIOGRAPHIER",AQ580="NX – RT À REFAIRE"),OR('PROGRAMME RT'!$D$5="TOUTES",B580='PROGRAMME RT'!$D$5)),1,0)</f>
        <v>0</v>
      </c>
      <c r="AT580" s="82" t="str">
        <f aca="false">IF(AS580=1,SUM(AS$7:AS580),"")</f>
        <v/>
      </c>
      <c r="AU580" s="82" t="n">
        <f aca="false">IF(AND(OR(AA580="R",AA580="NX",AA580="NT",AA580="CO"),OR('JOINTS DE RÉPARATION'!$D$5="TOUTES",B580='JOINTS DE RÉPARATION'!$D$5),OR('JOINTS DE RÉPARATION'!$L$4="TOUS",AQ580&lt;&gt;"ACCEPTÉ")),1,0)</f>
        <v>0</v>
      </c>
      <c r="AV580" s="82" t="str">
        <f aca="false">IF(AU580=1,SUM(AU$7:AU580),"")</f>
        <v/>
      </c>
      <c r="AW580" s="82" t="str">
        <f aca="false">IF(E580="","",B580&amp;"|"&amp;E580)</f>
        <v>MFD-ISW → MFD-CPF|JN°574</v>
      </c>
    </row>
    <row r="581" customFormat="false" ht="74.6" hidden="false" customHeight="false" outlineLevel="0" collapsed="false">
      <c r="A581" s="79" t="n">
        <f aca="false">IF(E581="","",ROW()-6)</f>
        <v>575</v>
      </c>
      <c r="B581" s="80" t="s">
        <v>110</v>
      </c>
      <c r="C581" s="81"/>
      <c r="D581" s="81"/>
      <c r="E581" s="81" t="s">
        <v>685</v>
      </c>
      <c r="F581" s="82" t="str">
        <f aca="false">IF(E581="","",IF(LEFT(E581,2)="DJ","DJ","JN"))</f>
        <v>JN</v>
      </c>
      <c r="G581" s="81"/>
      <c r="H581" s="81"/>
      <c r="I581" s="81"/>
      <c r="J581" s="81"/>
      <c r="K581" s="81"/>
      <c r="L581" s="81"/>
      <c r="M581" s="81"/>
      <c r="N581" s="81"/>
      <c r="O581" s="81"/>
      <c r="P581" s="81"/>
      <c r="Q581" s="81"/>
      <c r="R581" s="81"/>
      <c r="S581" s="81"/>
      <c r="T581" s="81"/>
      <c r="U581" s="83"/>
      <c r="V581" s="83"/>
      <c r="W581" s="81"/>
      <c r="X581" s="81"/>
      <c r="Y581" s="83"/>
      <c r="Z581" s="81"/>
      <c r="AA581" s="81"/>
      <c r="AB581" s="81"/>
      <c r="AC581" s="81"/>
      <c r="AD581" s="81"/>
      <c r="AE581" s="83"/>
      <c r="AF581" s="81"/>
      <c r="AG581" s="81"/>
      <c r="AH581" s="81"/>
      <c r="AI581" s="81"/>
      <c r="AJ581" s="83"/>
      <c r="AK581" s="81"/>
      <c r="AL581" s="81"/>
      <c r="AM581" s="83"/>
      <c r="AN581" s="80"/>
      <c r="AO581" s="82" t="n">
        <f aca="false">IF(E581="","",(AA581&lt;&gt;"")+(AG581&lt;&gt;"")+(AL581&lt;&gt;""))</f>
        <v>0</v>
      </c>
      <c r="AP581" s="82" t="str">
        <f aca="false">IF(AL581&lt;&gt;"",AL581,IF(AG581&lt;&gt;"",AG581,IF(AA581&lt;&gt;"",AA581,"")))</f>
        <v/>
      </c>
      <c r="AQ581" s="84" t="str">
        <f aca="false">IF(E581="","",IF(U581="","À SOUDER",IF(X581="","VT EN ATTENTE",IF(X581="R","VT REJETÉ – À REPRENDRE",IF(AP581="","À RADIOGRAPHIER",IF(AP581="A","ACCEPTÉ",IF(AP581="NX","NX – RT À REFAIRE",IF(IF(AO581=1,AD581,IF(AO581=2,AI581,""))="A","RÉPARÉ – À RADIOGRAPHIER",IF(IF(AO581=1,AD581,IF(AO581=2,AI581,""))="R","VT REJETÉ – À REPRENDRE",IF(OR(AP581="CO",AP581="NT"),"COUPE – À RESOUDER","À RÉPARER"))))))))))</f>
        <v>À SOUDER</v>
      </c>
      <c r="AR581" s="82" t="str">
        <f aca="false">IF(AND(ISNUMBER(U581),OR(AQ581="À RADIOGRAPHIER",AQ581="RÉPARÉ – À RADIOGRAPHIER",AQ581="NX – RT À REFAIRE",AQ581="À RÉPARER",AQ581="COUPE – À RESOUDER",AQ581="VT REJETÉ – À REPRENDRE")),MAX(0,'PROGRAMME RT'!$C$4-U581),"")</f>
        <v/>
      </c>
      <c r="AS581" s="82" t="n">
        <f aca="false">IF(AND(OR(AQ581="À RADIOGRAPHIER",AQ581="RÉPARÉ – À RADIOGRAPHIER",AQ581="NX – RT À REFAIRE"),OR('PROGRAMME RT'!$D$5="TOUTES",B581='PROGRAMME RT'!$D$5)),1,0)</f>
        <v>0</v>
      </c>
      <c r="AT581" s="82" t="str">
        <f aca="false">IF(AS581=1,SUM(AS$7:AS581),"")</f>
        <v/>
      </c>
      <c r="AU581" s="82" t="n">
        <f aca="false">IF(AND(OR(AA581="R",AA581="NX",AA581="NT",AA581="CO"),OR('JOINTS DE RÉPARATION'!$D$5="TOUTES",B581='JOINTS DE RÉPARATION'!$D$5),OR('JOINTS DE RÉPARATION'!$L$4="TOUS",AQ581&lt;&gt;"ACCEPTÉ")),1,0)</f>
        <v>0</v>
      </c>
      <c r="AV581" s="82" t="str">
        <f aca="false">IF(AU581=1,SUM(AU$7:AU581),"")</f>
        <v/>
      </c>
      <c r="AW581" s="82" t="str">
        <f aca="false">IF(E581="","",B581&amp;"|"&amp;E581)</f>
        <v>MFD-ISW → MFD-CPF|JN°575</v>
      </c>
    </row>
    <row r="582" customFormat="false" ht="74.6" hidden="false" customHeight="false" outlineLevel="0" collapsed="false">
      <c r="A582" s="79" t="n">
        <f aca="false">IF(E582="","",ROW()-6)</f>
        <v>576</v>
      </c>
      <c r="B582" s="80" t="s">
        <v>110</v>
      </c>
      <c r="C582" s="81"/>
      <c r="D582" s="81"/>
      <c r="E582" s="81" t="s">
        <v>686</v>
      </c>
      <c r="F582" s="82" t="str">
        <f aca="false">IF(E582="","",IF(LEFT(E582,2)="DJ","DJ","JN"))</f>
        <v>JN</v>
      </c>
      <c r="G582" s="81"/>
      <c r="H582" s="81"/>
      <c r="I582" s="81"/>
      <c r="J582" s="81"/>
      <c r="K582" s="81"/>
      <c r="L582" s="81"/>
      <c r="M582" s="81"/>
      <c r="N582" s="81"/>
      <c r="O582" s="81"/>
      <c r="P582" s="81"/>
      <c r="Q582" s="81"/>
      <c r="R582" s="81"/>
      <c r="S582" s="81"/>
      <c r="T582" s="81"/>
      <c r="U582" s="83"/>
      <c r="V582" s="83"/>
      <c r="W582" s="81"/>
      <c r="X582" s="81"/>
      <c r="Y582" s="83"/>
      <c r="Z582" s="81"/>
      <c r="AA582" s="81"/>
      <c r="AB582" s="81"/>
      <c r="AC582" s="81"/>
      <c r="AD582" s="81"/>
      <c r="AE582" s="83"/>
      <c r="AF582" s="81"/>
      <c r="AG582" s="81"/>
      <c r="AH582" s="81"/>
      <c r="AI582" s="81"/>
      <c r="AJ582" s="83"/>
      <c r="AK582" s="81"/>
      <c r="AL582" s="81"/>
      <c r="AM582" s="83"/>
      <c r="AN582" s="80"/>
      <c r="AO582" s="82" t="n">
        <f aca="false">IF(E582="","",(AA582&lt;&gt;"")+(AG582&lt;&gt;"")+(AL582&lt;&gt;""))</f>
        <v>0</v>
      </c>
      <c r="AP582" s="82" t="str">
        <f aca="false">IF(AL582&lt;&gt;"",AL582,IF(AG582&lt;&gt;"",AG582,IF(AA582&lt;&gt;"",AA582,"")))</f>
        <v/>
      </c>
      <c r="AQ582" s="84" t="str">
        <f aca="false">IF(E582="","",IF(U582="","À SOUDER",IF(X582="","VT EN ATTENTE",IF(X582="R","VT REJETÉ – À REPRENDRE",IF(AP582="","À RADIOGRAPHIER",IF(AP582="A","ACCEPTÉ",IF(AP582="NX","NX – RT À REFAIRE",IF(IF(AO582=1,AD582,IF(AO582=2,AI582,""))="A","RÉPARÉ – À RADIOGRAPHIER",IF(IF(AO582=1,AD582,IF(AO582=2,AI582,""))="R","VT REJETÉ – À REPRENDRE",IF(OR(AP582="CO",AP582="NT"),"COUPE – À RESOUDER","À RÉPARER"))))))))))</f>
        <v>À SOUDER</v>
      </c>
      <c r="AR582" s="82" t="str">
        <f aca="false">IF(AND(ISNUMBER(U582),OR(AQ582="À RADIOGRAPHIER",AQ582="RÉPARÉ – À RADIOGRAPHIER",AQ582="NX – RT À REFAIRE",AQ582="À RÉPARER",AQ582="COUPE – À RESOUDER",AQ582="VT REJETÉ – À REPRENDRE")),MAX(0,'PROGRAMME RT'!$C$4-U582),"")</f>
        <v/>
      </c>
      <c r="AS582" s="82" t="n">
        <f aca="false">IF(AND(OR(AQ582="À RADIOGRAPHIER",AQ582="RÉPARÉ – À RADIOGRAPHIER",AQ582="NX – RT À REFAIRE"),OR('PROGRAMME RT'!$D$5="TOUTES",B582='PROGRAMME RT'!$D$5)),1,0)</f>
        <v>0</v>
      </c>
      <c r="AT582" s="82" t="str">
        <f aca="false">IF(AS582=1,SUM(AS$7:AS582),"")</f>
        <v/>
      </c>
      <c r="AU582" s="82" t="n">
        <f aca="false">IF(AND(OR(AA582="R",AA582="NX",AA582="NT",AA582="CO"),OR('JOINTS DE RÉPARATION'!$D$5="TOUTES",B582='JOINTS DE RÉPARATION'!$D$5),OR('JOINTS DE RÉPARATION'!$L$4="TOUS",AQ582&lt;&gt;"ACCEPTÉ")),1,0)</f>
        <v>0</v>
      </c>
      <c r="AV582" s="82" t="str">
        <f aca="false">IF(AU582=1,SUM(AU$7:AU582),"")</f>
        <v/>
      </c>
      <c r="AW582" s="82" t="str">
        <f aca="false">IF(E582="","",B582&amp;"|"&amp;E582)</f>
        <v>MFD-ISW → MFD-CPF|JN°576</v>
      </c>
    </row>
    <row r="583" customFormat="false" ht="74.6" hidden="false" customHeight="false" outlineLevel="0" collapsed="false">
      <c r="A583" s="79" t="n">
        <f aca="false">IF(E583="","",ROW()-6)</f>
        <v>577</v>
      </c>
      <c r="B583" s="80" t="s">
        <v>110</v>
      </c>
      <c r="C583" s="81"/>
      <c r="D583" s="81"/>
      <c r="E583" s="81" t="s">
        <v>687</v>
      </c>
      <c r="F583" s="82" t="str">
        <f aca="false">IF(E583="","",IF(LEFT(E583,2)="DJ","DJ","JN"))</f>
        <v>JN</v>
      </c>
      <c r="G583" s="81"/>
      <c r="H583" s="81"/>
      <c r="I583" s="81"/>
      <c r="J583" s="81"/>
      <c r="K583" s="81"/>
      <c r="L583" s="81"/>
      <c r="M583" s="81"/>
      <c r="N583" s="81"/>
      <c r="O583" s="81"/>
      <c r="P583" s="81"/>
      <c r="Q583" s="81"/>
      <c r="R583" s="81"/>
      <c r="S583" s="81"/>
      <c r="T583" s="81"/>
      <c r="U583" s="83"/>
      <c r="V583" s="83"/>
      <c r="W583" s="81"/>
      <c r="X583" s="81"/>
      <c r="Y583" s="83"/>
      <c r="Z583" s="81"/>
      <c r="AA583" s="81"/>
      <c r="AB583" s="81"/>
      <c r="AC583" s="81"/>
      <c r="AD583" s="81"/>
      <c r="AE583" s="83"/>
      <c r="AF583" s="81"/>
      <c r="AG583" s="81"/>
      <c r="AH583" s="81"/>
      <c r="AI583" s="81"/>
      <c r="AJ583" s="83"/>
      <c r="AK583" s="81"/>
      <c r="AL583" s="81"/>
      <c r="AM583" s="83"/>
      <c r="AN583" s="80"/>
      <c r="AO583" s="82" t="n">
        <f aca="false">IF(E583="","",(AA583&lt;&gt;"")+(AG583&lt;&gt;"")+(AL583&lt;&gt;""))</f>
        <v>0</v>
      </c>
      <c r="AP583" s="82" t="str">
        <f aca="false">IF(AL583&lt;&gt;"",AL583,IF(AG583&lt;&gt;"",AG583,IF(AA583&lt;&gt;"",AA583,"")))</f>
        <v/>
      </c>
      <c r="AQ583" s="84" t="str">
        <f aca="false">IF(E583="","",IF(U583="","À SOUDER",IF(X583="","VT EN ATTENTE",IF(X583="R","VT REJETÉ – À REPRENDRE",IF(AP583="","À RADIOGRAPHIER",IF(AP583="A","ACCEPTÉ",IF(AP583="NX","NX – RT À REFAIRE",IF(IF(AO583=1,AD583,IF(AO583=2,AI583,""))="A","RÉPARÉ – À RADIOGRAPHIER",IF(IF(AO583=1,AD583,IF(AO583=2,AI583,""))="R","VT REJETÉ – À REPRENDRE",IF(OR(AP583="CO",AP583="NT"),"COUPE – À RESOUDER","À RÉPARER"))))))))))</f>
        <v>À SOUDER</v>
      </c>
      <c r="AR583" s="82" t="str">
        <f aca="false">IF(AND(ISNUMBER(U583),OR(AQ583="À RADIOGRAPHIER",AQ583="RÉPARÉ – À RADIOGRAPHIER",AQ583="NX – RT À REFAIRE",AQ583="À RÉPARER",AQ583="COUPE – À RESOUDER",AQ583="VT REJETÉ – À REPRENDRE")),MAX(0,'PROGRAMME RT'!$C$4-U583),"")</f>
        <v/>
      </c>
      <c r="AS583" s="82" t="n">
        <f aca="false">IF(AND(OR(AQ583="À RADIOGRAPHIER",AQ583="RÉPARÉ – À RADIOGRAPHIER",AQ583="NX – RT À REFAIRE"),OR('PROGRAMME RT'!$D$5="TOUTES",B583='PROGRAMME RT'!$D$5)),1,0)</f>
        <v>0</v>
      </c>
      <c r="AT583" s="82" t="str">
        <f aca="false">IF(AS583=1,SUM(AS$7:AS583),"")</f>
        <v/>
      </c>
      <c r="AU583" s="82" t="n">
        <f aca="false">IF(AND(OR(AA583="R",AA583="NX",AA583="NT",AA583="CO"),OR('JOINTS DE RÉPARATION'!$D$5="TOUTES",B583='JOINTS DE RÉPARATION'!$D$5),OR('JOINTS DE RÉPARATION'!$L$4="TOUS",AQ583&lt;&gt;"ACCEPTÉ")),1,0)</f>
        <v>0</v>
      </c>
      <c r="AV583" s="82" t="str">
        <f aca="false">IF(AU583=1,SUM(AU$7:AU583),"")</f>
        <v/>
      </c>
      <c r="AW583" s="82" t="str">
        <f aca="false">IF(E583="","",B583&amp;"|"&amp;E583)</f>
        <v>MFD-ISW → MFD-CPF|JN°577</v>
      </c>
    </row>
    <row r="584" customFormat="false" ht="74.6" hidden="false" customHeight="false" outlineLevel="0" collapsed="false">
      <c r="A584" s="79" t="n">
        <f aca="false">IF(E584="","",ROW()-6)</f>
        <v>578</v>
      </c>
      <c r="B584" s="80" t="s">
        <v>110</v>
      </c>
      <c r="C584" s="81"/>
      <c r="D584" s="81"/>
      <c r="E584" s="81" t="s">
        <v>688</v>
      </c>
      <c r="F584" s="82" t="str">
        <f aca="false">IF(E584="","",IF(LEFT(E584,2)="DJ","DJ","JN"))</f>
        <v>JN</v>
      </c>
      <c r="G584" s="81"/>
      <c r="H584" s="81"/>
      <c r="I584" s="81"/>
      <c r="J584" s="81"/>
      <c r="K584" s="81"/>
      <c r="L584" s="81"/>
      <c r="M584" s="81"/>
      <c r="N584" s="81"/>
      <c r="O584" s="81"/>
      <c r="P584" s="81"/>
      <c r="Q584" s="81"/>
      <c r="R584" s="81"/>
      <c r="S584" s="81"/>
      <c r="T584" s="81"/>
      <c r="U584" s="83"/>
      <c r="V584" s="83"/>
      <c r="W584" s="81"/>
      <c r="X584" s="81"/>
      <c r="Y584" s="83"/>
      <c r="Z584" s="81"/>
      <c r="AA584" s="81"/>
      <c r="AB584" s="81"/>
      <c r="AC584" s="81"/>
      <c r="AD584" s="81"/>
      <c r="AE584" s="83"/>
      <c r="AF584" s="81"/>
      <c r="AG584" s="81"/>
      <c r="AH584" s="81"/>
      <c r="AI584" s="81"/>
      <c r="AJ584" s="83"/>
      <c r="AK584" s="81"/>
      <c r="AL584" s="81"/>
      <c r="AM584" s="83"/>
      <c r="AN584" s="80"/>
      <c r="AO584" s="82" t="n">
        <f aca="false">IF(E584="","",(AA584&lt;&gt;"")+(AG584&lt;&gt;"")+(AL584&lt;&gt;""))</f>
        <v>0</v>
      </c>
      <c r="AP584" s="82" t="str">
        <f aca="false">IF(AL584&lt;&gt;"",AL584,IF(AG584&lt;&gt;"",AG584,IF(AA584&lt;&gt;"",AA584,"")))</f>
        <v/>
      </c>
      <c r="AQ584" s="84" t="str">
        <f aca="false">IF(E584="","",IF(U584="","À SOUDER",IF(X584="","VT EN ATTENTE",IF(X584="R","VT REJETÉ – À REPRENDRE",IF(AP584="","À RADIOGRAPHIER",IF(AP584="A","ACCEPTÉ",IF(AP584="NX","NX – RT À REFAIRE",IF(IF(AO584=1,AD584,IF(AO584=2,AI584,""))="A","RÉPARÉ – À RADIOGRAPHIER",IF(IF(AO584=1,AD584,IF(AO584=2,AI584,""))="R","VT REJETÉ – À REPRENDRE",IF(OR(AP584="CO",AP584="NT"),"COUPE – À RESOUDER","À RÉPARER"))))))))))</f>
        <v>À SOUDER</v>
      </c>
      <c r="AR584" s="82" t="str">
        <f aca="false">IF(AND(ISNUMBER(U584),OR(AQ584="À RADIOGRAPHIER",AQ584="RÉPARÉ – À RADIOGRAPHIER",AQ584="NX – RT À REFAIRE",AQ584="À RÉPARER",AQ584="COUPE – À RESOUDER",AQ584="VT REJETÉ – À REPRENDRE")),MAX(0,'PROGRAMME RT'!$C$4-U584),"")</f>
        <v/>
      </c>
      <c r="AS584" s="82" t="n">
        <f aca="false">IF(AND(OR(AQ584="À RADIOGRAPHIER",AQ584="RÉPARÉ – À RADIOGRAPHIER",AQ584="NX – RT À REFAIRE"),OR('PROGRAMME RT'!$D$5="TOUTES",B584='PROGRAMME RT'!$D$5)),1,0)</f>
        <v>0</v>
      </c>
      <c r="AT584" s="82" t="str">
        <f aca="false">IF(AS584=1,SUM(AS$7:AS584),"")</f>
        <v/>
      </c>
      <c r="AU584" s="82" t="n">
        <f aca="false">IF(AND(OR(AA584="R",AA584="NX",AA584="NT",AA584="CO"),OR('JOINTS DE RÉPARATION'!$D$5="TOUTES",B584='JOINTS DE RÉPARATION'!$D$5),OR('JOINTS DE RÉPARATION'!$L$4="TOUS",AQ584&lt;&gt;"ACCEPTÉ")),1,0)</f>
        <v>0</v>
      </c>
      <c r="AV584" s="82" t="str">
        <f aca="false">IF(AU584=1,SUM(AU$7:AU584),"")</f>
        <v/>
      </c>
      <c r="AW584" s="82" t="str">
        <f aca="false">IF(E584="","",B584&amp;"|"&amp;E584)</f>
        <v>MFD-ISW → MFD-CPF|JN°578</v>
      </c>
    </row>
    <row r="585" customFormat="false" ht="74.6" hidden="false" customHeight="false" outlineLevel="0" collapsed="false">
      <c r="A585" s="79" t="n">
        <f aca="false">IF(E585="","",ROW()-6)</f>
        <v>579</v>
      </c>
      <c r="B585" s="80" t="s">
        <v>110</v>
      </c>
      <c r="C585" s="81"/>
      <c r="D585" s="81"/>
      <c r="E585" s="81" t="s">
        <v>689</v>
      </c>
      <c r="F585" s="82" t="str">
        <f aca="false">IF(E585="","",IF(LEFT(E585,2)="DJ","DJ","JN"))</f>
        <v>JN</v>
      </c>
      <c r="G585" s="81"/>
      <c r="H585" s="81"/>
      <c r="I585" s="81"/>
      <c r="J585" s="81"/>
      <c r="K585" s="81"/>
      <c r="L585" s="81"/>
      <c r="M585" s="81"/>
      <c r="N585" s="81"/>
      <c r="O585" s="81"/>
      <c r="P585" s="81"/>
      <c r="Q585" s="81"/>
      <c r="R585" s="81"/>
      <c r="S585" s="81"/>
      <c r="T585" s="81"/>
      <c r="U585" s="83"/>
      <c r="V585" s="83"/>
      <c r="W585" s="81"/>
      <c r="X585" s="81"/>
      <c r="Y585" s="83"/>
      <c r="Z585" s="81"/>
      <c r="AA585" s="81"/>
      <c r="AB585" s="81"/>
      <c r="AC585" s="81"/>
      <c r="AD585" s="81"/>
      <c r="AE585" s="83"/>
      <c r="AF585" s="81"/>
      <c r="AG585" s="81"/>
      <c r="AH585" s="81"/>
      <c r="AI585" s="81"/>
      <c r="AJ585" s="83"/>
      <c r="AK585" s="81"/>
      <c r="AL585" s="81"/>
      <c r="AM585" s="83"/>
      <c r="AN585" s="80"/>
      <c r="AO585" s="82" t="n">
        <f aca="false">IF(E585="","",(AA585&lt;&gt;"")+(AG585&lt;&gt;"")+(AL585&lt;&gt;""))</f>
        <v>0</v>
      </c>
      <c r="AP585" s="82" t="str">
        <f aca="false">IF(AL585&lt;&gt;"",AL585,IF(AG585&lt;&gt;"",AG585,IF(AA585&lt;&gt;"",AA585,"")))</f>
        <v/>
      </c>
      <c r="AQ585" s="84" t="str">
        <f aca="false">IF(E585="","",IF(U585="","À SOUDER",IF(X585="","VT EN ATTENTE",IF(X585="R","VT REJETÉ – À REPRENDRE",IF(AP585="","À RADIOGRAPHIER",IF(AP585="A","ACCEPTÉ",IF(AP585="NX","NX – RT À REFAIRE",IF(IF(AO585=1,AD585,IF(AO585=2,AI585,""))="A","RÉPARÉ – À RADIOGRAPHIER",IF(IF(AO585=1,AD585,IF(AO585=2,AI585,""))="R","VT REJETÉ – À REPRENDRE",IF(OR(AP585="CO",AP585="NT"),"COUPE – À RESOUDER","À RÉPARER"))))))))))</f>
        <v>À SOUDER</v>
      </c>
      <c r="AR585" s="82" t="str">
        <f aca="false">IF(AND(ISNUMBER(U585),OR(AQ585="À RADIOGRAPHIER",AQ585="RÉPARÉ – À RADIOGRAPHIER",AQ585="NX – RT À REFAIRE",AQ585="À RÉPARER",AQ585="COUPE – À RESOUDER",AQ585="VT REJETÉ – À REPRENDRE")),MAX(0,'PROGRAMME RT'!$C$4-U585),"")</f>
        <v/>
      </c>
      <c r="AS585" s="82" t="n">
        <f aca="false">IF(AND(OR(AQ585="À RADIOGRAPHIER",AQ585="RÉPARÉ – À RADIOGRAPHIER",AQ585="NX – RT À REFAIRE"),OR('PROGRAMME RT'!$D$5="TOUTES",B585='PROGRAMME RT'!$D$5)),1,0)</f>
        <v>0</v>
      </c>
      <c r="AT585" s="82" t="str">
        <f aca="false">IF(AS585=1,SUM(AS$7:AS585),"")</f>
        <v/>
      </c>
      <c r="AU585" s="82" t="n">
        <f aca="false">IF(AND(OR(AA585="R",AA585="NX",AA585="NT",AA585="CO"),OR('JOINTS DE RÉPARATION'!$D$5="TOUTES",B585='JOINTS DE RÉPARATION'!$D$5),OR('JOINTS DE RÉPARATION'!$L$4="TOUS",AQ585&lt;&gt;"ACCEPTÉ")),1,0)</f>
        <v>0</v>
      </c>
      <c r="AV585" s="82" t="str">
        <f aca="false">IF(AU585=1,SUM(AU$7:AU585),"")</f>
        <v/>
      </c>
      <c r="AW585" s="82" t="str">
        <f aca="false">IF(E585="","",B585&amp;"|"&amp;E585)</f>
        <v>MFD-ISW → MFD-CPF|JN°579</v>
      </c>
    </row>
    <row r="586" customFormat="false" ht="74.6" hidden="false" customHeight="false" outlineLevel="0" collapsed="false">
      <c r="A586" s="79" t="n">
        <f aca="false">IF(E586="","",ROW()-6)</f>
        <v>580</v>
      </c>
      <c r="B586" s="80" t="s">
        <v>110</v>
      </c>
      <c r="C586" s="81"/>
      <c r="D586" s="81"/>
      <c r="E586" s="81" t="s">
        <v>690</v>
      </c>
      <c r="F586" s="82" t="str">
        <f aca="false">IF(E586="","",IF(LEFT(E586,2)="DJ","DJ","JN"))</f>
        <v>JN</v>
      </c>
      <c r="G586" s="81"/>
      <c r="H586" s="81"/>
      <c r="I586" s="81"/>
      <c r="J586" s="81"/>
      <c r="K586" s="81"/>
      <c r="L586" s="81"/>
      <c r="M586" s="81"/>
      <c r="N586" s="81"/>
      <c r="O586" s="81"/>
      <c r="P586" s="81"/>
      <c r="Q586" s="81"/>
      <c r="R586" s="81"/>
      <c r="S586" s="81"/>
      <c r="T586" s="81"/>
      <c r="U586" s="83"/>
      <c r="V586" s="83"/>
      <c r="W586" s="81"/>
      <c r="X586" s="81"/>
      <c r="Y586" s="83"/>
      <c r="Z586" s="81"/>
      <c r="AA586" s="81"/>
      <c r="AB586" s="81"/>
      <c r="AC586" s="81"/>
      <c r="AD586" s="81"/>
      <c r="AE586" s="83"/>
      <c r="AF586" s="81"/>
      <c r="AG586" s="81"/>
      <c r="AH586" s="81"/>
      <c r="AI586" s="81"/>
      <c r="AJ586" s="83"/>
      <c r="AK586" s="81"/>
      <c r="AL586" s="81"/>
      <c r="AM586" s="83"/>
      <c r="AN586" s="80"/>
      <c r="AO586" s="82" t="n">
        <f aca="false">IF(E586="","",(AA586&lt;&gt;"")+(AG586&lt;&gt;"")+(AL586&lt;&gt;""))</f>
        <v>0</v>
      </c>
      <c r="AP586" s="82" t="str">
        <f aca="false">IF(AL586&lt;&gt;"",AL586,IF(AG586&lt;&gt;"",AG586,IF(AA586&lt;&gt;"",AA586,"")))</f>
        <v/>
      </c>
      <c r="AQ586" s="84" t="str">
        <f aca="false">IF(E586="","",IF(U586="","À SOUDER",IF(X586="","VT EN ATTENTE",IF(X586="R","VT REJETÉ – À REPRENDRE",IF(AP586="","À RADIOGRAPHIER",IF(AP586="A","ACCEPTÉ",IF(AP586="NX","NX – RT À REFAIRE",IF(IF(AO586=1,AD586,IF(AO586=2,AI586,""))="A","RÉPARÉ – À RADIOGRAPHIER",IF(IF(AO586=1,AD586,IF(AO586=2,AI586,""))="R","VT REJETÉ – À REPRENDRE",IF(OR(AP586="CO",AP586="NT"),"COUPE – À RESOUDER","À RÉPARER"))))))))))</f>
        <v>À SOUDER</v>
      </c>
      <c r="AR586" s="82" t="str">
        <f aca="false">IF(AND(ISNUMBER(U586),OR(AQ586="À RADIOGRAPHIER",AQ586="RÉPARÉ – À RADIOGRAPHIER",AQ586="NX – RT À REFAIRE",AQ586="À RÉPARER",AQ586="COUPE – À RESOUDER",AQ586="VT REJETÉ – À REPRENDRE")),MAX(0,'PROGRAMME RT'!$C$4-U586),"")</f>
        <v/>
      </c>
      <c r="AS586" s="82" t="n">
        <f aca="false">IF(AND(OR(AQ586="À RADIOGRAPHIER",AQ586="RÉPARÉ – À RADIOGRAPHIER",AQ586="NX – RT À REFAIRE"),OR('PROGRAMME RT'!$D$5="TOUTES",B586='PROGRAMME RT'!$D$5)),1,0)</f>
        <v>0</v>
      </c>
      <c r="AT586" s="82" t="str">
        <f aca="false">IF(AS586=1,SUM(AS$7:AS586),"")</f>
        <v/>
      </c>
      <c r="AU586" s="82" t="n">
        <f aca="false">IF(AND(OR(AA586="R",AA586="NX",AA586="NT",AA586="CO"),OR('JOINTS DE RÉPARATION'!$D$5="TOUTES",B586='JOINTS DE RÉPARATION'!$D$5),OR('JOINTS DE RÉPARATION'!$L$4="TOUS",AQ586&lt;&gt;"ACCEPTÉ")),1,0)</f>
        <v>0</v>
      </c>
      <c r="AV586" s="82" t="str">
        <f aca="false">IF(AU586=1,SUM(AU$7:AU586),"")</f>
        <v/>
      </c>
      <c r="AW586" s="82" t="str">
        <f aca="false">IF(E586="","",B586&amp;"|"&amp;E586)</f>
        <v>MFD-ISW → MFD-CPF|JN°580</v>
      </c>
    </row>
    <row r="587" customFormat="false" ht="74.6" hidden="false" customHeight="false" outlineLevel="0" collapsed="false">
      <c r="A587" s="79" t="n">
        <f aca="false">IF(E587="","",ROW()-6)</f>
        <v>581</v>
      </c>
      <c r="B587" s="80" t="s">
        <v>110</v>
      </c>
      <c r="C587" s="81"/>
      <c r="D587" s="81"/>
      <c r="E587" s="81" t="s">
        <v>691</v>
      </c>
      <c r="F587" s="82" t="str">
        <f aca="false">IF(E587="","",IF(LEFT(E587,2)="DJ","DJ","JN"))</f>
        <v>JN</v>
      </c>
      <c r="G587" s="81"/>
      <c r="H587" s="81"/>
      <c r="I587" s="81"/>
      <c r="J587" s="81"/>
      <c r="K587" s="81"/>
      <c r="L587" s="81"/>
      <c r="M587" s="81"/>
      <c r="N587" s="81"/>
      <c r="O587" s="81"/>
      <c r="P587" s="81"/>
      <c r="Q587" s="81"/>
      <c r="R587" s="81"/>
      <c r="S587" s="81"/>
      <c r="T587" s="81"/>
      <c r="U587" s="83"/>
      <c r="V587" s="83"/>
      <c r="W587" s="81"/>
      <c r="X587" s="81"/>
      <c r="Y587" s="83"/>
      <c r="Z587" s="81"/>
      <c r="AA587" s="81"/>
      <c r="AB587" s="81"/>
      <c r="AC587" s="81"/>
      <c r="AD587" s="81"/>
      <c r="AE587" s="83"/>
      <c r="AF587" s="81"/>
      <c r="AG587" s="81"/>
      <c r="AH587" s="81"/>
      <c r="AI587" s="81"/>
      <c r="AJ587" s="83"/>
      <c r="AK587" s="81"/>
      <c r="AL587" s="81"/>
      <c r="AM587" s="83"/>
      <c r="AN587" s="80"/>
      <c r="AO587" s="82" t="n">
        <f aca="false">IF(E587="","",(AA587&lt;&gt;"")+(AG587&lt;&gt;"")+(AL587&lt;&gt;""))</f>
        <v>0</v>
      </c>
      <c r="AP587" s="82" t="str">
        <f aca="false">IF(AL587&lt;&gt;"",AL587,IF(AG587&lt;&gt;"",AG587,IF(AA587&lt;&gt;"",AA587,"")))</f>
        <v/>
      </c>
      <c r="AQ587" s="84" t="str">
        <f aca="false">IF(E587="","",IF(U587="","À SOUDER",IF(X587="","VT EN ATTENTE",IF(X587="R","VT REJETÉ – À REPRENDRE",IF(AP587="","À RADIOGRAPHIER",IF(AP587="A","ACCEPTÉ",IF(AP587="NX","NX – RT À REFAIRE",IF(IF(AO587=1,AD587,IF(AO587=2,AI587,""))="A","RÉPARÉ – À RADIOGRAPHIER",IF(IF(AO587=1,AD587,IF(AO587=2,AI587,""))="R","VT REJETÉ – À REPRENDRE",IF(OR(AP587="CO",AP587="NT"),"COUPE – À RESOUDER","À RÉPARER"))))))))))</f>
        <v>À SOUDER</v>
      </c>
      <c r="AR587" s="82" t="str">
        <f aca="false">IF(AND(ISNUMBER(U587),OR(AQ587="À RADIOGRAPHIER",AQ587="RÉPARÉ – À RADIOGRAPHIER",AQ587="NX – RT À REFAIRE",AQ587="À RÉPARER",AQ587="COUPE – À RESOUDER",AQ587="VT REJETÉ – À REPRENDRE")),MAX(0,'PROGRAMME RT'!$C$4-U587),"")</f>
        <v/>
      </c>
      <c r="AS587" s="82" t="n">
        <f aca="false">IF(AND(OR(AQ587="À RADIOGRAPHIER",AQ587="RÉPARÉ – À RADIOGRAPHIER",AQ587="NX – RT À REFAIRE"),OR('PROGRAMME RT'!$D$5="TOUTES",B587='PROGRAMME RT'!$D$5)),1,0)</f>
        <v>0</v>
      </c>
      <c r="AT587" s="82" t="str">
        <f aca="false">IF(AS587=1,SUM(AS$7:AS587),"")</f>
        <v/>
      </c>
      <c r="AU587" s="82" t="n">
        <f aca="false">IF(AND(OR(AA587="R",AA587="NX",AA587="NT",AA587="CO"),OR('JOINTS DE RÉPARATION'!$D$5="TOUTES",B587='JOINTS DE RÉPARATION'!$D$5),OR('JOINTS DE RÉPARATION'!$L$4="TOUS",AQ587&lt;&gt;"ACCEPTÉ")),1,0)</f>
        <v>0</v>
      </c>
      <c r="AV587" s="82" t="str">
        <f aca="false">IF(AU587=1,SUM(AU$7:AU587),"")</f>
        <v/>
      </c>
      <c r="AW587" s="82" t="str">
        <f aca="false">IF(E587="","",B587&amp;"|"&amp;E587)</f>
        <v>MFD-ISW → MFD-CPF|JN°581</v>
      </c>
    </row>
    <row r="588" customFormat="false" ht="74.6" hidden="false" customHeight="false" outlineLevel="0" collapsed="false">
      <c r="A588" s="79" t="n">
        <f aca="false">IF(E588="","",ROW()-6)</f>
        <v>582</v>
      </c>
      <c r="B588" s="80" t="s">
        <v>110</v>
      </c>
      <c r="C588" s="81"/>
      <c r="D588" s="81"/>
      <c r="E588" s="81" t="s">
        <v>692</v>
      </c>
      <c r="F588" s="82" t="str">
        <f aca="false">IF(E588="","",IF(LEFT(E588,2)="DJ","DJ","JN"))</f>
        <v>JN</v>
      </c>
      <c r="G588" s="81"/>
      <c r="H588" s="81"/>
      <c r="I588" s="81"/>
      <c r="J588" s="81"/>
      <c r="K588" s="81"/>
      <c r="L588" s="81"/>
      <c r="M588" s="81"/>
      <c r="N588" s="81"/>
      <c r="O588" s="81"/>
      <c r="P588" s="81"/>
      <c r="Q588" s="81"/>
      <c r="R588" s="81"/>
      <c r="S588" s="81"/>
      <c r="T588" s="81"/>
      <c r="U588" s="83"/>
      <c r="V588" s="83"/>
      <c r="W588" s="81"/>
      <c r="X588" s="81"/>
      <c r="Y588" s="83"/>
      <c r="Z588" s="81"/>
      <c r="AA588" s="81"/>
      <c r="AB588" s="81"/>
      <c r="AC588" s="81"/>
      <c r="AD588" s="81"/>
      <c r="AE588" s="83"/>
      <c r="AF588" s="81"/>
      <c r="AG588" s="81"/>
      <c r="AH588" s="81"/>
      <c r="AI588" s="81"/>
      <c r="AJ588" s="83"/>
      <c r="AK588" s="81"/>
      <c r="AL588" s="81"/>
      <c r="AM588" s="83"/>
      <c r="AN588" s="80"/>
      <c r="AO588" s="82" t="n">
        <f aca="false">IF(E588="","",(AA588&lt;&gt;"")+(AG588&lt;&gt;"")+(AL588&lt;&gt;""))</f>
        <v>0</v>
      </c>
      <c r="AP588" s="82" t="str">
        <f aca="false">IF(AL588&lt;&gt;"",AL588,IF(AG588&lt;&gt;"",AG588,IF(AA588&lt;&gt;"",AA588,"")))</f>
        <v/>
      </c>
      <c r="AQ588" s="84" t="str">
        <f aca="false">IF(E588="","",IF(U588="","À SOUDER",IF(X588="","VT EN ATTENTE",IF(X588="R","VT REJETÉ – À REPRENDRE",IF(AP588="","À RADIOGRAPHIER",IF(AP588="A","ACCEPTÉ",IF(AP588="NX","NX – RT À REFAIRE",IF(IF(AO588=1,AD588,IF(AO588=2,AI588,""))="A","RÉPARÉ – À RADIOGRAPHIER",IF(IF(AO588=1,AD588,IF(AO588=2,AI588,""))="R","VT REJETÉ – À REPRENDRE",IF(OR(AP588="CO",AP588="NT"),"COUPE – À RESOUDER","À RÉPARER"))))))))))</f>
        <v>À SOUDER</v>
      </c>
      <c r="AR588" s="82" t="str">
        <f aca="false">IF(AND(ISNUMBER(U588),OR(AQ588="À RADIOGRAPHIER",AQ588="RÉPARÉ – À RADIOGRAPHIER",AQ588="NX – RT À REFAIRE",AQ588="À RÉPARER",AQ588="COUPE – À RESOUDER",AQ588="VT REJETÉ – À REPRENDRE")),MAX(0,'PROGRAMME RT'!$C$4-U588),"")</f>
        <v/>
      </c>
      <c r="AS588" s="82" t="n">
        <f aca="false">IF(AND(OR(AQ588="À RADIOGRAPHIER",AQ588="RÉPARÉ – À RADIOGRAPHIER",AQ588="NX – RT À REFAIRE"),OR('PROGRAMME RT'!$D$5="TOUTES",B588='PROGRAMME RT'!$D$5)),1,0)</f>
        <v>0</v>
      </c>
      <c r="AT588" s="82" t="str">
        <f aca="false">IF(AS588=1,SUM(AS$7:AS588),"")</f>
        <v/>
      </c>
      <c r="AU588" s="82" t="n">
        <f aca="false">IF(AND(OR(AA588="R",AA588="NX",AA588="NT",AA588="CO"),OR('JOINTS DE RÉPARATION'!$D$5="TOUTES",B588='JOINTS DE RÉPARATION'!$D$5),OR('JOINTS DE RÉPARATION'!$L$4="TOUS",AQ588&lt;&gt;"ACCEPTÉ")),1,0)</f>
        <v>0</v>
      </c>
      <c r="AV588" s="82" t="str">
        <f aca="false">IF(AU588=1,SUM(AU$7:AU588),"")</f>
        <v/>
      </c>
      <c r="AW588" s="82" t="str">
        <f aca="false">IF(E588="","",B588&amp;"|"&amp;E588)</f>
        <v>MFD-ISW → MFD-CPF|JN°582</v>
      </c>
    </row>
    <row r="589" customFormat="false" ht="74.6" hidden="false" customHeight="false" outlineLevel="0" collapsed="false">
      <c r="A589" s="79" t="n">
        <f aca="false">IF(E589="","",ROW()-6)</f>
        <v>583</v>
      </c>
      <c r="B589" s="80" t="s">
        <v>110</v>
      </c>
      <c r="C589" s="81"/>
      <c r="D589" s="81"/>
      <c r="E589" s="81" t="s">
        <v>693</v>
      </c>
      <c r="F589" s="82" t="str">
        <f aca="false">IF(E589="","",IF(LEFT(E589,2)="DJ","DJ","JN"))</f>
        <v>JN</v>
      </c>
      <c r="G589" s="81"/>
      <c r="H589" s="81"/>
      <c r="I589" s="81"/>
      <c r="J589" s="81"/>
      <c r="K589" s="81"/>
      <c r="L589" s="81"/>
      <c r="M589" s="81"/>
      <c r="N589" s="81"/>
      <c r="O589" s="81"/>
      <c r="P589" s="81"/>
      <c r="Q589" s="81"/>
      <c r="R589" s="81"/>
      <c r="S589" s="81"/>
      <c r="T589" s="81"/>
      <c r="U589" s="83"/>
      <c r="V589" s="83"/>
      <c r="W589" s="81"/>
      <c r="X589" s="81"/>
      <c r="Y589" s="83"/>
      <c r="Z589" s="81"/>
      <c r="AA589" s="81"/>
      <c r="AB589" s="81"/>
      <c r="AC589" s="81"/>
      <c r="AD589" s="81"/>
      <c r="AE589" s="83"/>
      <c r="AF589" s="81"/>
      <c r="AG589" s="81"/>
      <c r="AH589" s="81"/>
      <c r="AI589" s="81"/>
      <c r="AJ589" s="83"/>
      <c r="AK589" s="81"/>
      <c r="AL589" s="81"/>
      <c r="AM589" s="83"/>
      <c r="AN589" s="80"/>
      <c r="AO589" s="82" t="n">
        <f aca="false">IF(E589="","",(AA589&lt;&gt;"")+(AG589&lt;&gt;"")+(AL589&lt;&gt;""))</f>
        <v>0</v>
      </c>
      <c r="AP589" s="82" t="str">
        <f aca="false">IF(AL589&lt;&gt;"",AL589,IF(AG589&lt;&gt;"",AG589,IF(AA589&lt;&gt;"",AA589,"")))</f>
        <v/>
      </c>
      <c r="AQ589" s="84" t="str">
        <f aca="false">IF(E589="","",IF(U589="","À SOUDER",IF(X589="","VT EN ATTENTE",IF(X589="R","VT REJETÉ – À REPRENDRE",IF(AP589="","À RADIOGRAPHIER",IF(AP589="A","ACCEPTÉ",IF(AP589="NX","NX – RT À REFAIRE",IF(IF(AO589=1,AD589,IF(AO589=2,AI589,""))="A","RÉPARÉ – À RADIOGRAPHIER",IF(IF(AO589=1,AD589,IF(AO589=2,AI589,""))="R","VT REJETÉ – À REPRENDRE",IF(OR(AP589="CO",AP589="NT"),"COUPE – À RESOUDER","À RÉPARER"))))))))))</f>
        <v>À SOUDER</v>
      </c>
      <c r="AR589" s="82" t="str">
        <f aca="false">IF(AND(ISNUMBER(U589),OR(AQ589="À RADIOGRAPHIER",AQ589="RÉPARÉ – À RADIOGRAPHIER",AQ589="NX – RT À REFAIRE",AQ589="À RÉPARER",AQ589="COUPE – À RESOUDER",AQ589="VT REJETÉ – À REPRENDRE")),MAX(0,'PROGRAMME RT'!$C$4-U589),"")</f>
        <v/>
      </c>
      <c r="AS589" s="82" t="n">
        <f aca="false">IF(AND(OR(AQ589="À RADIOGRAPHIER",AQ589="RÉPARÉ – À RADIOGRAPHIER",AQ589="NX – RT À REFAIRE"),OR('PROGRAMME RT'!$D$5="TOUTES",B589='PROGRAMME RT'!$D$5)),1,0)</f>
        <v>0</v>
      </c>
      <c r="AT589" s="82" t="str">
        <f aca="false">IF(AS589=1,SUM(AS$7:AS589),"")</f>
        <v/>
      </c>
      <c r="AU589" s="82" t="n">
        <f aca="false">IF(AND(OR(AA589="R",AA589="NX",AA589="NT",AA589="CO"),OR('JOINTS DE RÉPARATION'!$D$5="TOUTES",B589='JOINTS DE RÉPARATION'!$D$5),OR('JOINTS DE RÉPARATION'!$L$4="TOUS",AQ589&lt;&gt;"ACCEPTÉ")),1,0)</f>
        <v>0</v>
      </c>
      <c r="AV589" s="82" t="str">
        <f aca="false">IF(AU589=1,SUM(AU$7:AU589),"")</f>
        <v/>
      </c>
      <c r="AW589" s="82" t="str">
        <f aca="false">IF(E589="","",B589&amp;"|"&amp;E589)</f>
        <v>MFD-ISW → MFD-CPF|JN°583</v>
      </c>
    </row>
    <row r="590" customFormat="false" ht="74.6" hidden="false" customHeight="false" outlineLevel="0" collapsed="false">
      <c r="A590" s="79" t="n">
        <f aca="false">IF(E590="","",ROW()-6)</f>
        <v>584</v>
      </c>
      <c r="B590" s="80" t="s">
        <v>110</v>
      </c>
      <c r="C590" s="81"/>
      <c r="D590" s="81"/>
      <c r="E590" s="81" t="s">
        <v>694</v>
      </c>
      <c r="F590" s="82" t="str">
        <f aca="false">IF(E590="","",IF(LEFT(E590,2)="DJ","DJ","JN"))</f>
        <v>JN</v>
      </c>
      <c r="G590" s="81"/>
      <c r="H590" s="81"/>
      <c r="I590" s="81"/>
      <c r="J590" s="81"/>
      <c r="K590" s="81"/>
      <c r="L590" s="81"/>
      <c r="M590" s="81"/>
      <c r="N590" s="81"/>
      <c r="O590" s="81"/>
      <c r="P590" s="81"/>
      <c r="Q590" s="81"/>
      <c r="R590" s="81"/>
      <c r="S590" s="81"/>
      <c r="T590" s="81"/>
      <c r="U590" s="83"/>
      <c r="V590" s="83"/>
      <c r="W590" s="81"/>
      <c r="X590" s="81"/>
      <c r="Y590" s="83"/>
      <c r="Z590" s="81"/>
      <c r="AA590" s="81"/>
      <c r="AB590" s="81"/>
      <c r="AC590" s="81"/>
      <c r="AD590" s="81"/>
      <c r="AE590" s="83"/>
      <c r="AF590" s="81"/>
      <c r="AG590" s="81"/>
      <c r="AH590" s="81"/>
      <c r="AI590" s="81"/>
      <c r="AJ590" s="83"/>
      <c r="AK590" s="81"/>
      <c r="AL590" s="81"/>
      <c r="AM590" s="83"/>
      <c r="AN590" s="80"/>
      <c r="AO590" s="82" t="n">
        <f aca="false">IF(E590="","",(AA590&lt;&gt;"")+(AG590&lt;&gt;"")+(AL590&lt;&gt;""))</f>
        <v>0</v>
      </c>
      <c r="AP590" s="82" t="str">
        <f aca="false">IF(AL590&lt;&gt;"",AL590,IF(AG590&lt;&gt;"",AG590,IF(AA590&lt;&gt;"",AA590,"")))</f>
        <v/>
      </c>
      <c r="AQ590" s="84" t="str">
        <f aca="false">IF(E590="","",IF(U590="","À SOUDER",IF(X590="","VT EN ATTENTE",IF(X590="R","VT REJETÉ – À REPRENDRE",IF(AP590="","À RADIOGRAPHIER",IF(AP590="A","ACCEPTÉ",IF(AP590="NX","NX – RT À REFAIRE",IF(IF(AO590=1,AD590,IF(AO590=2,AI590,""))="A","RÉPARÉ – À RADIOGRAPHIER",IF(IF(AO590=1,AD590,IF(AO590=2,AI590,""))="R","VT REJETÉ – À REPRENDRE",IF(OR(AP590="CO",AP590="NT"),"COUPE – À RESOUDER","À RÉPARER"))))))))))</f>
        <v>À SOUDER</v>
      </c>
      <c r="AR590" s="82" t="str">
        <f aca="false">IF(AND(ISNUMBER(U590),OR(AQ590="À RADIOGRAPHIER",AQ590="RÉPARÉ – À RADIOGRAPHIER",AQ590="NX – RT À REFAIRE",AQ590="À RÉPARER",AQ590="COUPE – À RESOUDER",AQ590="VT REJETÉ – À REPRENDRE")),MAX(0,'PROGRAMME RT'!$C$4-U590),"")</f>
        <v/>
      </c>
      <c r="AS590" s="82" t="n">
        <f aca="false">IF(AND(OR(AQ590="À RADIOGRAPHIER",AQ590="RÉPARÉ – À RADIOGRAPHIER",AQ590="NX – RT À REFAIRE"),OR('PROGRAMME RT'!$D$5="TOUTES",B590='PROGRAMME RT'!$D$5)),1,0)</f>
        <v>0</v>
      </c>
      <c r="AT590" s="82" t="str">
        <f aca="false">IF(AS590=1,SUM(AS$7:AS590),"")</f>
        <v/>
      </c>
      <c r="AU590" s="82" t="n">
        <f aca="false">IF(AND(OR(AA590="R",AA590="NX",AA590="NT",AA590="CO"),OR('JOINTS DE RÉPARATION'!$D$5="TOUTES",B590='JOINTS DE RÉPARATION'!$D$5),OR('JOINTS DE RÉPARATION'!$L$4="TOUS",AQ590&lt;&gt;"ACCEPTÉ")),1,0)</f>
        <v>0</v>
      </c>
      <c r="AV590" s="82" t="str">
        <f aca="false">IF(AU590=1,SUM(AU$7:AU590),"")</f>
        <v/>
      </c>
      <c r="AW590" s="82" t="str">
        <f aca="false">IF(E590="","",B590&amp;"|"&amp;E590)</f>
        <v>MFD-ISW → MFD-CPF|JN°584</v>
      </c>
    </row>
    <row r="591" customFormat="false" ht="74.6" hidden="false" customHeight="false" outlineLevel="0" collapsed="false">
      <c r="A591" s="79" t="n">
        <f aca="false">IF(E591="","",ROW()-6)</f>
        <v>585</v>
      </c>
      <c r="B591" s="80" t="s">
        <v>110</v>
      </c>
      <c r="C591" s="81"/>
      <c r="D591" s="81"/>
      <c r="E591" s="81" t="s">
        <v>695</v>
      </c>
      <c r="F591" s="82" t="str">
        <f aca="false">IF(E591="","",IF(LEFT(E591,2)="DJ","DJ","JN"))</f>
        <v>JN</v>
      </c>
      <c r="G591" s="81"/>
      <c r="H591" s="81"/>
      <c r="I591" s="81"/>
      <c r="J591" s="81"/>
      <c r="K591" s="81"/>
      <c r="L591" s="81"/>
      <c r="M591" s="81"/>
      <c r="N591" s="81"/>
      <c r="O591" s="81"/>
      <c r="P591" s="81"/>
      <c r="Q591" s="81"/>
      <c r="R591" s="81"/>
      <c r="S591" s="81"/>
      <c r="T591" s="81"/>
      <c r="U591" s="83"/>
      <c r="V591" s="83"/>
      <c r="W591" s="81"/>
      <c r="X591" s="81"/>
      <c r="Y591" s="83"/>
      <c r="Z591" s="81"/>
      <c r="AA591" s="81"/>
      <c r="AB591" s="81"/>
      <c r="AC591" s="81"/>
      <c r="AD591" s="81"/>
      <c r="AE591" s="83"/>
      <c r="AF591" s="81"/>
      <c r="AG591" s="81"/>
      <c r="AH591" s="81"/>
      <c r="AI591" s="81"/>
      <c r="AJ591" s="83"/>
      <c r="AK591" s="81"/>
      <c r="AL591" s="81"/>
      <c r="AM591" s="83"/>
      <c r="AN591" s="80"/>
      <c r="AO591" s="82" t="n">
        <f aca="false">IF(E591="","",(AA591&lt;&gt;"")+(AG591&lt;&gt;"")+(AL591&lt;&gt;""))</f>
        <v>0</v>
      </c>
      <c r="AP591" s="82" t="str">
        <f aca="false">IF(AL591&lt;&gt;"",AL591,IF(AG591&lt;&gt;"",AG591,IF(AA591&lt;&gt;"",AA591,"")))</f>
        <v/>
      </c>
      <c r="AQ591" s="84" t="str">
        <f aca="false">IF(E591="","",IF(U591="","À SOUDER",IF(X591="","VT EN ATTENTE",IF(X591="R","VT REJETÉ – À REPRENDRE",IF(AP591="","À RADIOGRAPHIER",IF(AP591="A","ACCEPTÉ",IF(AP591="NX","NX – RT À REFAIRE",IF(IF(AO591=1,AD591,IF(AO591=2,AI591,""))="A","RÉPARÉ – À RADIOGRAPHIER",IF(IF(AO591=1,AD591,IF(AO591=2,AI591,""))="R","VT REJETÉ – À REPRENDRE",IF(OR(AP591="CO",AP591="NT"),"COUPE – À RESOUDER","À RÉPARER"))))))))))</f>
        <v>À SOUDER</v>
      </c>
      <c r="AR591" s="82" t="str">
        <f aca="false">IF(AND(ISNUMBER(U591),OR(AQ591="À RADIOGRAPHIER",AQ591="RÉPARÉ – À RADIOGRAPHIER",AQ591="NX – RT À REFAIRE",AQ591="À RÉPARER",AQ591="COUPE – À RESOUDER",AQ591="VT REJETÉ – À REPRENDRE")),MAX(0,'PROGRAMME RT'!$C$4-U591),"")</f>
        <v/>
      </c>
      <c r="AS591" s="82" t="n">
        <f aca="false">IF(AND(OR(AQ591="À RADIOGRAPHIER",AQ591="RÉPARÉ – À RADIOGRAPHIER",AQ591="NX – RT À REFAIRE"),OR('PROGRAMME RT'!$D$5="TOUTES",B591='PROGRAMME RT'!$D$5)),1,0)</f>
        <v>0</v>
      </c>
      <c r="AT591" s="82" t="str">
        <f aca="false">IF(AS591=1,SUM(AS$7:AS591),"")</f>
        <v/>
      </c>
      <c r="AU591" s="82" t="n">
        <f aca="false">IF(AND(OR(AA591="R",AA591="NX",AA591="NT",AA591="CO"),OR('JOINTS DE RÉPARATION'!$D$5="TOUTES",B591='JOINTS DE RÉPARATION'!$D$5),OR('JOINTS DE RÉPARATION'!$L$4="TOUS",AQ591&lt;&gt;"ACCEPTÉ")),1,0)</f>
        <v>0</v>
      </c>
      <c r="AV591" s="82" t="str">
        <f aca="false">IF(AU591=1,SUM(AU$7:AU591),"")</f>
        <v/>
      </c>
      <c r="AW591" s="82" t="str">
        <f aca="false">IF(E591="","",B591&amp;"|"&amp;E591)</f>
        <v>MFD-ISW → MFD-CPF|JN°585</v>
      </c>
    </row>
    <row r="592" customFormat="false" ht="74.6" hidden="false" customHeight="false" outlineLevel="0" collapsed="false">
      <c r="A592" s="79" t="n">
        <f aca="false">IF(E592="","",ROW()-6)</f>
        <v>586</v>
      </c>
      <c r="B592" s="80" t="s">
        <v>110</v>
      </c>
      <c r="C592" s="81"/>
      <c r="D592" s="81"/>
      <c r="E592" s="81" t="s">
        <v>696</v>
      </c>
      <c r="F592" s="82" t="str">
        <f aca="false">IF(E592="","",IF(LEFT(E592,2)="DJ","DJ","JN"))</f>
        <v>JN</v>
      </c>
      <c r="G592" s="81"/>
      <c r="H592" s="81"/>
      <c r="I592" s="81"/>
      <c r="J592" s="81"/>
      <c r="K592" s="81"/>
      <c r="L592" s="81"/>
      <c r="M592" s="81"/>
      <c r="N592" s="81"/>
      <c r="O592" s="81"/>
      <c r="P592" s="81"/>
      <c r="Q592" s="81"/>
      <c r="R592" s="81"/>
      <c r="S592" s="81"/>
      <c r="T592" s="81"/>
      <c r="U592" s="83"/>
      <c r="V592" s="83"/>
      <c r="W592" s="81"/>
      <c r="X592" s="81"/>
      <c r="Y592" s="83"/>
      <c r="Z592" s="81"/>
      <c r="AA592" s="81"/>
      <c r="AB592" s="81"/>
      <c r="AC592" s="81"/>
      <c r="AD592" s="81"/>
      <c r="AE592" s="83"/>
      <c r="AF592" s="81"/>
      <c r="AG592" s="81"/>
      <c r="AH592" s="81"/>
      <c r="AI592" s="81"/>
      <c r="AJ592" s="83"/>
      <c r="AK592" s="81"/>
      <c r="AL592" s="81"/>
      <c r="AM592" s="83"/>
      <c r="AN592" s="80"/>
      <c r="AO592" s="82" t="n">
        <f aca="false">IF(E592="","",(AA592&lt;&gt;"")+(AG592&lt;&gt;"")+(AL592&lt;&gt;""))</f>
        <v>0</v>
      </c>
      <c r="AP592" s="82" t="str">
        <f aca="false">IF(AL592&lt;&gt;"",AL592,IF(AG592&lt;&gt;"",AG592,IF(AA592&lt;&gt;"",AA592,"")))</f>
        <v/>
      </c>
      <c r="AQ592" s="84" t="str">
        <f aca="false">IF(E592="","",IF(U592="","À SOUDER",IF(X592="","VT EN ATTENTE",IF(X592="R","VT REJETÉ – À REPRENDRE",IF(AP592="","À RADIOGRAPHIER",IF(AP592="A","ACCEPTÉ",IF(AP592="NX","NX – RT À REFAIRE",IF(IF(AO592=1,AD592,IF(AO592=2,AI592,""))="A","RÉPARÉ – À RADIOGRAPHIER",IF(IF(AO592=1,AD592,IF(AO592=2,AI592,""))="R","VT REJETÉ – À REPRENDRE",IF(OR(AP592="CO",AP592="NT"),"COUPE – À RESOUDER","À RÉPARER"))))))))))</f>
        <v>À SOUDER</v>
      </c>
      <c r="AR592" s="82" t="str">
        <f aca="false">IF(AND(ISNUMBER(U592),OR(AQ592="À RADIOGRAPHIER",AQ592="RÉPARÉ – À RADIOGRAPHIER",AQ592="NX – RT À REFAIRE",AQ592="À RÉPARER",AQ592="COUPE – À RESOUDER",AQ592="VT REJETÉ – À REPRENDRE")),MAX(0,'PROGRAMME RT'!$C$4-U592),"")</f>
        <v/>
      </c>
      <c r="AS592" s="82" t="n">
        <f aca="false">IF(AND(OR(AQ592="À RADIOGRAPHIER",AQ592="RÉPARÉ – À RADIOGRAPHIER",AQ592="NX – RT À REFAIRE"),OR('PROGRAMME RT'!$D$5="TOUTES",B592='PROGRAMME RT'!$D$5)),1,0)</f>
        <v>0</v>
      </c>
      <c r="AT592" s="82" t="str">
        <f aca="false">IF(AS592=1,SUM(AS$7:AS592),"")</f>
        <v/>
      </c>
      <c r="AU592" s="82" t="n">
        <f aca="false">IF(AND(OR(AA592="R",AA592="NX",AA592="NT",AA592="CO"),OR('JOINTS DE RÉPARATION'!$D$5="TOUTES",B592='JOINTS DE RÉPARATION'!$D$5),OR('JOINTS DE RÉPARATION'!$L$4="TOUS",AQ592&lt;&gt;"ACCEPTÉ")),1,0)</f>
        <v>0</v>
      </c>
      <c r="AV592" s="82" t="str">
        <f aca="false">IF(AU592=1,SUM(AU$7:AU592),"")</f>
        <v/>
      </c>
      <c r="AW592" s="82" t="str">
        <f aca="false">IF(E592="","",B592&amp;"|"&amp;E592)</f>
        <v>MFD-ISW → MFD-CPF|JN°586</v>
      </c>
    </row>
    <row r="593" customFormat="false" ht="74.6" hidden="false" customHeight="false" outlineLevel="0" collapsed="false">
      <c r="A593" s="79" t="n">
        <f aca="false">IF(E593="","",ROW()-6)</f>
        <v>587</v>
      </c>
      <c r="B593" s="80" t="s">
        <v>110</v>
      </c>
      <c r="C593" s="81"/>
      <c r="D593" s="81"/>
      <c r="E593" s="81" t="s">
        <v>697</v>
      </c>
      <c r="F593" s="82" t="str">
        <f aca="false">IF(E593="","",IF(LEFT(E593,2)="DJ","DJ","JN"))</f>
        <v>JN</v>
      </c>
      <c r="G593" s="81"/>
      <c r="H593" s="81"/>
      <c r="I593" s="81"/>
      <c r="J593" s="81"/>
      <c r="K593" s="81"/>
      <c r="L593" s="81"/>
      <c r="M593" s="81"/>
      <c r="N593" s="81"/>
      <c r="O593" s="81"/>
      <c r="P593" s="81"/>
      <c r="Q593" s="81"/>
      <c r="R593" s="81"/>
      <c r="S593" s="81"/>
      <c r="T593" s="81"/>
      <c r="U593" s="83"/>
      <c r="V593" s="83"/>
      <c r="W593" s="81"/>
      <c r="X593" s="81"/>
      <c r="Y593" s="83"/>
      <c r="Z593" s="81"/>
      <c r="AA593" s="81"/>
      <c r="AB593" s="81"/>
      <c r="AC593" s="81"/>
      <c r="AD593" s="81"/>
      <c r="AE593" s="83"/>
      <c r="AF593" s="81"/>
      <c r="AG593" s="81"/>
      <c r="AH593" s="81"/>
      <c r="AI593" s="81"/>
      <c r="AJ593" s="83"/>
      <c r="AK593" s="81"/>
      <c r="AL593" s="81"/>
      <c r="AM593" s="83"/>
      <c r="AN593" s="80"/>
      <c r="AO593" s="82" t="n">
        <f aca="false">IF(E593="","",(AA593&lt;&gt;"")+(AG593&lt;&gt;"")+(AL593&lt;&gt;""))</f>
        <v>0</v>
      </c>
      <c r="AP593" s="82" t="str">
        <f aca="false">IF(AL593&lt;&gt;"",AL593,IF(AG593&lt;&gt;"",AG593,IF(AA593&lt;&gt;"",AA593,"")))</f>
        <v/>
      </c>
      <c r="AQ593" s="84" t="str">
        <f aca="false">IF(E593="","",IF(U593="","À SOUDER",IF(X593="","VT EN ATTENTE",IF(X593="R","VT REJETÉ – À REPRENDRE",IF(AP593="","À RADIOGRAPHIER",IF(AP593="A","ACCEPTÉ",IF(AP593="NX","NX – RT À REFAIRE",IF(IF(AO593=1,AD593,IF(AO593=2,AI593,""))="A","RÉPARÉ – À RADIOGRAPHIER",IF(IF(AO593=1,AD593,IF(AO593=2,AI593,""))="R","VT REJETÉ – À REPRENDRE",IF(OR(AP593="CO",AP593="NT"),"COUPE – À RESOUDER","À RÉPARER"))))))))))</f>
        <v>À SOUDER</v>
      </c>
      <c r="AR593" s="82" t="str">
        <f aca="false">IF(AND(ISNUMBER(U593),OR(AQ593="À RADIOGRAPHIER",AQ593="RÉPARÉ – À RADIOGRAPHIER",AQ593="NX – RT À REFAIRE",AQ593="À RÉPARER",AQ593="COUPE – À RESOUDER",AQ593="VT REJETÉ – À REPRENDRE")),MAX(0,'PROGRAMME RT'!$C$4-U593),"")</f>
        <v/>
      </c>
      <c r="AS593" s="82" t="n">
        <f aca="false">IF(AND(OR(AQ593="À RADIOGRAPHIER",AQ593="RÉPARÉ – À RADIOGRAPHIER",AQ593="NX – RT À REFAIRE"),OR('PROGRAMME RT'!$D$5="TOUTES",B593='PROGRAMME RT'!$D$5)),1,0)</f>
        <v>0</v>
      </c>
      <c r="AT593" s="82" t="str">
        <f aca="false">IF(AS593=1,SUM(AS$7:AS593),"")</f>
        <v/>
      </c>
      <c r="AU593" s="82" t="n">
        <f aca="false">IF(AND(OR(AA593="R",AA593="NX",AA593="NT",AA593="CO"),OR('JOINTS DE RÉPARATION'!$D$5="TOUTES",B593='JOINTS DE RÉPARATION'!$D$5),OR('JOINTS DE RÉPARATION'!$L$4="TOUS",AQ593&lt;&gt;"ACCEPTÉ")),1,0)</f>
        <v>0</v>
      </c>
      <c r="AV593" s="82" t="str">
        <f aca="false">IF(AU593=1,SUM(AU$7:AU593),"")</f>
        <v/>
      </c>
      <c r="AW593" s="82" t="str">
        <f aca="false">IF(E593="","",B593&amp;"|"&amp;E593)</f>
        <v>MFD-ISW → MFD-CPF|JN°587</v>
      </c>
    </row>
    <row r="594" customFormat="false" ht="74.6" hidden="false" customHeight="false" outlineLevel="0" collapsed="false">
      <c r="A594" s="79" t="n">
        <f aca="false">IF(E594="","",ROW()-6)</f>
        <v>588</v>
      </c>
      <c r="B594" s="80" t="s">
        <v>110</v>
      </c>
      <c r="C594" s="81"/>
      <c r="D594" s="81"/>
      <c r="E594" s="81" t="s">
        <v>698</v>
      </c>
      <c r="F594" s="82" t="str">
        <f aca="false">IF(E594="","",IF(LEFT(E594,2)="DJ","DJ","JN"))</f>
        <v>JN</v>
      </c>
      <c r="G594" s="81"/>
      <c r="H594" s="81"/>
      <c r="I594" s="81"/>
      <c r="J594" s="81"/>
      <c r="K594" s="81"/>
      <c r="L594" s="81"/>
      <c r="M594" s="81"/>
      <c r="N594" s="81"/>
      <c r="O594" s="81"/>
      <c r="P594" s="81"/>
      <c r="Q594" s="81"/>
      <c r="R594" s="81"/>
      <c r="S594" s="81"/>
      <c r="T594" s="81"/>
      <c r="U594" s="83"/>
      <c r="V594" s="83"/>
      <c r="W594" s="81"/>
      <c r="X594" s="81"/>
      <c r="Y594" s="83"/>
      <c r="Z594" s="81"/>
      <c r="AA594" s="81"/>
      <c r="AB594" s="81"/>
      <c r="AC594" s="81"/>
      <c r="AD594" s="81"/>
      <c r="AE594" s="83"/>
      <c r="AF594" s="81"/>
      <c r="AG594" s="81"/>
      <c r="AH594" s="81"/>
      <c r="AI594" s="81"/>
      <c r="AJ594" s="83"/>
      <c r="AK594" s="81"/>
      <c r="AL594" s="81"/>
      <c r="AM594" s="83"/>
      <c r="AN594" s="80"/>
      <c r="AO594" s="82" t="n">
        <f aca="false">IF(E594="","",(AA594&lt;&gt;"")+(AG594&lt;&gt;"")+(AL594&lt;&gt;""))</f>
        <v>0</v>
      </c>
      <c r="AP594" s="82" t="str">
        <f aca="false">IF(AL594&lt;&gt;"",AL594,IF(AG594&lt;&gt;"",AG594,IF(AA594&lt;&gt;"",AA594,"")))</f>
        <v/>
      </c>
      <c r="AQ594" s="84" t="str">
        <f aca="false">IF(E594="","",IF(U594="","À SOUDER",IF(X594="","VT EN ATTENTE",IF(X594="R","VT REJETÉ – À REPRENDRE",IF(AP594="","À RADIOGRAPHIER",IF(AP594="A","ACCEPTÉ",IF(AP594="NX","NX – RT À REFAIRE",IF(IF(AO594=1,AD594,IF(AO594=2,AI594,""))="A","RÉPARÉ – À RADIOGRAPHIER",IF(IF(AO594=1,AD594,IF(AO594=2,AI594,""))="R","VT REJETÉ – À REPRENDRE",IF(OR(AP594="CO",AP594="NT"),"COUPE – À RESOUDER","À RÉPARER"))))))))))</f>
        <v>À SOUDER</v>
      </c>
      <c r="AR594" s="82" t="str">
        <f aca="false">IF(AND(ISNUMBER(U594),OR(AQ594="À RADIOGRAPHIER",AQ594="RÉPARÉ – À RADIOGRAPHIER",AQ594="NX – RT À REFAIRE",AQ594="À RÉPARER",AQ594="COUPE – À RESOUDER",AQ594="VT REJETÉ – À REPRENDRE")),MAX(0,'PROGRAMME RT'!$C$4-U594),"")</f>
        <v/>
      </c>
      <c r="AS594" s="82" t="n">
        <f aca="false">IF(AND(OR(AQ594="À RADIOGRAPHIER",AQ594="RÉPARÉ – À RADIOGRAPHIER",AQ594="NX – RT À REFAIRE"),OR('PROGRAMME RT'!$D$5="TOUTES",B594='PROGRAMME RT'!$D$5)),1,0)</f>
        <v>0</v>
      </c>
      <c r="AT594" s="82" t="str">
        <f aca="false">IF(AS594=1,SUM(AS$7:AS594),"")</f>
        <v/>
      </c>
      <c r="AU594" s="82" t="n">
        <f aca="false">IF(AND(OR(AA594="R",AA594="NX",AA594="NT",AA594="CO"),OR('JOINTS DE RÉPARATION'!$D$5="TOUTES",B594='JOINTS DE RÉPARATION'!$D$5),OR('JOINTS DE RÉPARATION'!$L$4="TOUS",AQ594&lt;&gt;"ACCEPTÉ")),1,0)</f>
        <v>0</v>
      </c>
      <c r="AV594" s="82" t="str">
        <f aca="false">IF(AU594=1,SUM(AU$7:AU594),"")</f>
        <v/>
      </c>
      <c r="AW594" s="82" t="str">
        <f aca="false">IF(E594="","",B594&amp;"|"&amp;E594)</f>
        <v>MFD-ISW → MFD-CPF|JN°588</v>
      </c>
    </row>
    <row r="595" customFormat="false" ht="74.6" hidden="false" customHeight="false" outlineLevel="0" collapsed="false">
      <c r="A595" s="79" t="n">
        <f aca="false">IF(E595="","",ROW()-6)</f>
        <v>589</v>
      </c>
      <c r="B595" s="80" t="s">
        <v>110</v>
      </c>
      <c r="C595" s="81"/>
      <c r="D595" s="81"/>
      <c r="E595" s="81" t="s">
        <v>699</v>
      </c>
      <c r="F595" s="82" t="str">
        <f aca="false">IF(E595="","",IF(LEFT(E595,2)="DJ","DJ","JN"))</f>
        <v>JN</v>
      </c>
      <c r="G595" s="81"/>
      <c r="H595" s="81"/>
      <c r="I595" s="81"/>
      <c r="J595" s="81"/>
      <c r="K595" s="81"/>
      <c r="L595" s="81"/>
      <c r="M595" s="81"/>
      <c r="N595" s="81"/>
      <c r="O595" s="81"/>
      <c r="P595" s="81"/>
      <c r="Q595" s="81"/>
      <c r="R595" s="81"/>
      <c r="S595" s="81"/>
      <c r="T595" s="81"/>
      <c r="U595" s="83"/>
      <c r="V595" s="83"/>
      <c r="W595" s="81"/>
      <c r="X595" s="81"/>
      <c r="Y595" s="83"/>
      <c r="Z595" s="81"/>
      <c r="AA595" s="81"/>
      <c r="AB595" s="81"/>
      <c r="AC595" s="81"/>
      <c r="AD595" s="81"/>
      <c r="AE595" s="83"/>
      <c r="AF595" s="81"/>
      <c r="AG595" s="81"/>
      <c r="AH595" s="81"/>
      <c r="AI595" s="81"/>
      <c r="AJ595" s="83"/>
      <c r="AK595" s="81"/>
      <c r="AL595" s="81"/>
      <c r="AM595" s="83"/>
      <c r="AN595" s="80"/>
      <c r="AO595" s="82" t="n">
        <f aca="false">IF(E595="","",(AA595&lt;&gt;"")+(AG595&lt;&gt;"")+(AL595&lt;&gt;""))</f>
        <v>0</v>
      </c>
      <c r="AP595" s="82" t="str">
        <f aca="false">IF(AL595&lt;&gt;"",AL595,IF(AG595&lt;&gt;"",AG595,IF(AA595&lt;&gt;"",AA595,"")))</f>
        <v/>
      </c>
      <c r="AQ595" s="84" t="str">
        <f aca="false">IF(E595="","",IF(U595="","À SOUDER",IF(X595="","VT EN ATTENTE",IF(X595="R","VT REJETÉ – À REPRENDRE",IF(AP595="","À RADIOGRAPHIER",IF(AP595="A","ACCEPTÉ",IF(AP595="NX","NX – RT À REFAIRE",IF(IF(AO595=1,AD595,IF(AO595=2,AI595,""))="A","RÉPARÉ – À RADIOGRAPHIER",IF(IF(AO595=1,AD595,IF(AO595=2,AI595,""))="R","VT REJETÉ – À REPRENDRE",IF(OR(AP595="CO",AP595="NT"),"COUPE – À RESOUDER","À RÉPARER"))))))))))</f>
        <v>À SOUDER</v>
      </c>
      <c r="AR595" s="82" t="str">
        <f aca="false">IF(AND(ISNUMBER(U595),OR(AQ595="À RADIOGRAPHIER",AQ595="RÉPARÉ – À RADIOGRAPHIER",AQ595="NX – RT À REFAIRE",AQ595="À RÉPARER",AQ595="COUPE – À RESOUDER",AQ595="VT REJETÉ – À REPRENDRE")),MAX(0,'PROGRAMME RT'!$C$4-U595),"")</f>
        <v/>
      </c>
      <c r="AS595" s="82" t="n">
        <f aca="false">IF(AND(OR(AQ595="À RADIOGRAPHIER",AQ595="RÉPARÉ – À RADIOGRAPHIER",AQ595="NX – RT À REFAIRE"),OR('PROGRAMME RT'!$D$5="TOUTES",B595='PROGRAMME RT'!$D$5)),1,0)</f>
        <v>0</v>
      </c>
      <c r="AT595" s="82" t="str">
        <f aca="false">IF(AS595=1,SUM(AS$7:AS595),"")</f>
        <v/>
      </c>
      <c r="AU595" s="82" t="n">
        <f aca="false">IF(AND(OR(AA595="R",AA595="NX",AA595="NT",AA595="CO"),OR('JOINTS DE RÉPARATION'!$D$5="TOUTES",B595='JOINTS DE RÉPARATION'!$D$5),OR('JOINTS DE RÉPARATION'!$L$4="TOUS",AQ595&lt;&gt;"ACCEPTÉ")),1,0)</f>
        <v>0</v>
      </c>
      <c r="AV595" s="82" t="str">
        <f aca="false">IF(AU595=1,SUM(AU$7:AU595),"")</f>
        <v/>
      </c>
      <c r="AW595" s="82" t="str">
        <f aca="false">IF(E595="","",B595&amp;"|"&amp;E595)</f>
        <v>MFD-ISW → MFD-CPF|JN°589</v>
      </c>
    </row>
    <row r="596" customFormat="false" ht="74.6" hidden="false" customHeight="false" outlineLevel="0" collapsed="false">
      <c r="A596" s="79" t="n">
        <f aca="false">IF(E596="","",ROW()-6)</f>
        <v>590</v>
      </c>
      <c r="B596" s="80" t="s">
        <v>110</v>
      </c>
      <c r="C596" s="81"/>
      <c r="D596" s="81"/>
      <c r="E596" s="81" t="s">
        <v>700</v>
      </c>
      <c r="F596" s="82" t="str">
        <f aca="false">IF(E596="","",IF(LEFT(E596,2)="DJ","DJ","JN"))</f>
        <v>JN</v>
      </c>
      <c r="G596" s="81"/>
      <c r="H596" s="81"/>
      <c r="I596" s="81"/>
      <c r="J596" s="81"/>
      <c r="K596" s="81"/>
      <c r="L596" s="81"/>
      <c r="M596" s="81"/>
      <c r="N596" s="81"/>
      <c r="O596" s="81"/>
      <c r="P596" s="81"/>
      <c r="Q596" s="81"/>
      <c r="R596" s="81"/>
      <c r="S596" s="81"/>
      <c r="T596" s="81"/>
      <c r="U596" s="83"/>
      <c r="V596" s="83"/>
      <c r="W596" s="81"/>
      <c r="X596" s="81"/>
      <c r="Y596" s="83"/>
      <c r="Z596" s="81"/>
      <c r="AA596" s="81"/>
      <c r="AB596" s="81"/>
      <c r="AC596" s="81"/>
      <c r="AD596" s="81"/>
      <c r="AE596" s="83"/>
      <c r="AF596" s="81"/>
      <c r="AG596" s="81"/>
      <c r="AH596" s="81"/>
      <c r="AI596" s="81"/>
      <c r="AJ596" s="83"/>
      <c r="AK596" s="81"/>
      <c r="AL596" s="81"/>
      <c r="AM596" s="83"/>
      <c r="AN596" s="80"/>
      <c r="AO596" s="82" t="n">
        <f aca="false">IF(E596="","",(AA596&lt;&gt;"")+(AG596&lt;&gt;"")+(AL596&lt;&gt;""))</f>
        <v>0</v>
      </c>
      <c r="AP596" s="82" t="str">
        <f aca="false">IF(AL596&lt;&gt;"",AL596,IF(AG596&lt;&gt;"",AG596,IF(AA596&lt;&gt;"",AA596,"")))</f>
        <v/>
      </c>
      <c r="AQ596" s="84" t="str">
        <f aca="false">IF(E596="","",IF(U596="","À SOUDER",IF(X596="","VT EN ATTENTE",IF(X596="R","VT REJETÉ – À REPRENDRE",IF(AP596="","À RADIOGRAPHIER",IF(AP596="A","ACCEPTÉ",IF(AP596="NX","NX – RT À REFAIRE",IF(IF(AO596=1,AD596,IF(AO596=2,AI596,""))="A","RÉPARÉ – À RADIOGRAPHIER",IF(IF(AO596=1,AD596,IF(AO596=2,AI596,""))="R","VT REJETÉ – À REPRENDRE",IF(OR(AP596="CO",AP596="NT"),"COUPE – À RESOUDER","À RÉPARER"))))))))))</f>
        <v>À SOUDER</v>
      </c>
      <c r="AR596" s="82" t="str">
        <f aca="false">IF(AND(ISNUMBER(U596),OR(AQ596="À RADIOGRAPHIER",AQ596="RÉPARÉ – À RADIOGRAPHIER",AQ596="NX – RT À REFAIRE",AQ596="À RÉPARER",AQ596="COUPE – À RESOUDER",AQ596="VT REJETÉ – À REPRENDRE")),MAX(0,'PROGRAMME RT'!$C$4-U596),"")</f>
        <v/>
      </c>
      <c r="AS596" s="82" t="n">
        <f aca="false">IF(AND(OR(AQ596="À RADIOGRAPHIER",AQ596="RÉPARÉ – À RADIOGRAPHIER",AQ596="NX – RT À REFAIRE"),OR('PROGRAMME RT'!$D$5="TOUTES",B596='PROGRAMME RT'!$D$5)),1,0)</f>
        <v>0</v>
      </c>
      <c r="AT596" s="82" t="str">
        <f aca="false">IF(AS596=1,SUM(AS$7:AS596),"")</f>
        <v/>
      </c>
      <c r="AU596" s="82" t="n">
        <f aca="false">IF(AND(OR(AA596="R",AA596="NX",AA596="NT",AA596="CO"),OR('JOINTS DE RÉPARATION'!$D$5="TOUTES",B596='JOINTS DE RÉPARATION'!$D$5),OR('JOINTS DE RÉPARATION'!$L$4="TOUS",AQ596&lt;&gt;"ACCEPTÉ")),1,0)</f>
        <v>0</v>
      </c>
      <c r="AV596" s="82" t="str">
        <f aca="false">IF(AU596=1,SUM(AU$7:AU596),"")</f>
        <v/>
      </c>
      <c r="AW596" s="82" t="str">
        <f aca="false">IF(E596="","",B596&amp;"|"&amp;E596)</f>
        <v>MFD-ISW → MFD-CPF|JN°590</v>
      </c>
    </row>
    <row r="597" customFormat="false" ht="74.6" hidden="false" customHeight="false" outlineLevel="0" collapsed="false">
      <c r="A597" s="79" t="n">
        <f aca="false">IF(E597="","",ROW()-6)</f>
        <v>591</v>
      </c>
      <c r="B597" s="80" t="s">
        <v>110</v>
      </c>
      <c r="C597" s="81"/>
      <c r="D597" s="81"/>
      <c r="E597" s="81" t="s">
        <v>701</v>
      </c>
      <c r="F597" s="82" t="str">
        <f aca="false">IF(E597="","",IF(LEFT(E597,2)="DJ","DJ","JN"))</f>
        <v>JN</v>
      </c>
      <c r="G597" s="81"/>
      <c r="H597" s="81"/>
      <c r="I597" s="81"/>
      <c r="J597" s="81"/>
      <c r="K597" s="81"/>
      <c r="L597" s="81"/>
      <c r="M597" s="81"/>
      <c r="N597" s="81"/>
      <c r="O597" s="81"/>
      <c r="P597" s="81"/>
      <c r="Q597" s="81"/>
      <c r="R597" s="81"/>
      <c r="S597" s="81"/>
      <c r="T597" s="81"/>
      <c r="U597" s="83"/>
      <c r="V597" s="83"/>
      <c r="W597" s="81"/>
      <c r="X597" s="81"/>
      <c r="Y597" s="83"/>
      <c r="Z597" s="81"/>
      <c r="AA597" s="81"/>
      <c r="AB597" s="81"/>
      <c r="AC597" s="81"/>
      <c r="AD597" s="81"/>
      <c r="AE597" s="83"/>
      <c r="AF597" s="81"/>
      <c r="AG597" s="81"/>
      <c r="AH597" s="81"/>
      <c r="AI597" s="81"/>
      <c r="AJ597" s="83"/>
      <c r="AK597" s="81"/>
      <c r="AL597" s="81"/>
      <c r="AM597" s="83"/>
      <c r="AN597" s="80"/>
      <c r="AO597" s="82" t="n">
        <f aca="false">IF(E597="","",(AA597&lt;&gt;"")+(AG597&lt;&gt;"")+(AL597&lt;&gt;""))</f>
        <v>0</v>
      </c>
      <c r="AP597" s="82" t="str">
        <f aca="false">IF(AL597&lt;&gt;"",AL597,IF(AG597&lt;&gt;"",AG597,IF(AA597&lt;&gt;"",AA597,"")))</f>
        <v/>
      </c>
      <c r="AQ597" s="84" t="str">
        <f aca="false">IF(E597="","",IF(U597="","À SOUDER",IF(X597="","VT EN ATTENTE",IF(X597="R","VT REJETÉ – À REPRENDRE",IF(AP597="","À RADIOGRAPHIER",IF(AP597="A","ACCEPTÉ",IF(AP597="NX","NX – RT À REFAIRE",IF(IF(AO597=1,AD597,IF(AO597=2,AI597,""))="A","RÉPARÉ – À RADIOGRAPHIER",IF(IF(AO597=1,AD597,IF(AO597=2,AI597,""))="R","VT REJETÉ – À REPRENDRE",IF(OR(AP597="CO",AP597="NT"),"COUPE – À RESOUDER","À RÉPARER"))))))))))</f>
        <v>À SOUDER</v>
      </c>
      <c r="AR597" s="82" t="str">
        <f aca="false">IF(AND(ISNUMBER(U597),OR(AQ597="À RADIOGRAPHIER",AQ597="RÉPARÉ – À RADIOGRAPHIER",AQ597="NX – RT À REFAIRE",AQ597="À RÉPARER",AQ597="COUPE – À RESOUDER",AQ597="VT REJETÉ – À REPRENDRE")),MAX(0,'PROGRAMME RT'!$C$4-U597),"")</f>
        <v/>
      </c>
      <c r="AS597" s="82" t="n">
        <f aca="false">IF(AND(OR(AQ597="À RADIOGRAPHIER",AQ597="RÉPARÉ – À RADIOGRAPHIER",AQ597="NX – RT À REFAIRE"),OR('PROGRAMME RT'!$D$5="TOUTES",B597='PROGRAMME RT'!$D$5)),1,0)</f>
        <v>0</v>
      </c>
      <c r="AT597" s="82" t="str">
        <f aca="false">IF(AS597=1,SUM(AS$7:AS597),"")</f>
        <v/>
      </c>
      <c r="AU597" s="82" t="n">
        <f aca="false">IF(AND(OR(AA597="R",AA597="NX",AA597="NT",AA597="CO"),OR('JOINTS DE RÉPARATION'!$D$5="TOUTES",B597='JOINTS DE RÉPARATION'!$D$5),OR('JOINTS DE RÉPARATION'!$L$4="TOUS",AQ597&lt;&gt;"ACCEPTÉ")),1,0)</f>
        <v>0</v>
      </c>
      <c r="AV597" s="82" t="str">
        <f aca="false">IF(AU597=1,SUM(AU$7:AU597),"")</f>
        <v/>
      </c>
      <c r="AW597" s="82" t="str">
        <f aca="false">IF(E597="","",B597&amp;"|"&amp;E597)</f>
        <v>MFD-ISW → MFD-CPF|JN°591</v>
      </c>
    </row>
    <row r="598" customFormat="false" ht="74.6" hidden="false" customHeight="false" outlineLevel="0" collapsed="false">
      <c r="A598" s="79" t="n">
        <f aca="false">IF(E598="","",ROW()-6)</f>
        <v>592</v>
      </c>
      <c r="B598" s="80" t="s">
        <v>110</v>
      </c>
      <c r="C598" s="81"/>
      <c r="D598" s="81"/>
      <c r="E598" s="81" t="s">
        <v>702</v>
      </c>
      <c r="F598" s="82" t="str">
        <f aca="false">IF(E598="","",IF(LEFT(E598,2)="DJ","DJ","JN"))</f>
        <v>JN</v>
      </c>
      <c r="G598" s="81"/>
      <c r="H598" s="81"/>
      <c r="I598" s="81"/>
      <c r="J598" s="81"/>
      <c r="K598" s="81"/>
      <c r="L598" s="81"/>
      <c r="M598" s="81"/>
      <c r="N598" s="81"/>
      <c r="O598" s="81"/>
      <c r="P598" s="81"/>
      <c r="Q598" s="81"/>
      <c r="R598" s="81"/>
      <c r="S598" s="81"/>
      <c r="T598" s="81"/>
      <c r="U598" s="83"/>
      <c r="V598" s="83"/>
      <c r="W598" s="81"/>
      <c r="X598" s="81"/>
      <c r="Y598" s="83"/>
      <c r="Z598" s="81"/>
      <c r="AA598" s="81"/>
      <c r="AB598" s="81"/>
      <c r="AC598" s="81"/>
      <c r="AD598" s="81"/>
      <c r="AE598" s="83"/>
      <c r="AF598" s="81"/>
      <c r="AG598" s="81"/>
      <c r="AH598" s="81"/>
      <c r="AI598" s="81"/>
      <c r="AJ598" s="83"/>
      <c r="AK598" s="81"/>
      <c r="AL598" s="81"/>
      <c r="AM598" s="83"/>
      <c r="AN598" s="80"/>
      <c r="AO598" s="82" t="n">
        <f aca="false">IF(E598="","",(AA598&lt;&gt;"")+(AG598&lt;&gt;"")+(AL598&lt;&gt;""))</f>
        <v>0</v>
      </c>
      <c r="AP598" s="82" t="str">
        <f aca="false">IF(AL598&lt;&gt;"",AL598,IF(AG598&lt;&gt;"",AG598,IF(AA598&lt;&gt;"",AA598,"")))</f>
        <v/>
      </c>
      <c r="AQ598" s="84" t="str">
        <f aca="false">IF(E598="","",IF(U598="","À SOUDER",IF(X598="","VT EN ATTENTE",IF(X598="R","VT REJETÉ – À REPRENDRE",IF(AP598="","À RADIOGRAPHIER",IF(AP598="A","ACCEPTÉ",IF(AP598="NX","NX – RT À REFAIRE",IF(IF(AO598=1,AD598,IF(AO598=2,AI598,""))="A","RÉPARÉ – À RADIOGRAPHIER",IF(IF(AO598=1,AD598,IF(AO598=2,AI598,""))="R","VT REJETÉ – À REPRENDRE",IF(OR(AP598="CO",AP598="NT"),"COUPE – À RESOUDER","À RÉPARER"))))))))))</f>
        <v>À SOUDER</v>
      </c>
      <c r="AR598" s="82" t="str">
        <f aca="false">IF(AND(ISNUMBER(U598),OR(AQ598="À RADIOGRAPHIER",AQ598="RÉPARÉ – À RADIOGRAPHIER",AQ598="NX – RT À REFAIRE",AQ598="À RÉPARER",AQ598="COUPE – À RESOUDER",AQ598="VT REJETÉ – À REPRENDRE")),MAX(0,'PROGRAMME RT'!$C$4-U598),"")</f>
        <v/>
      </c>
      <c r="AS598" s="82" t="n">
        <f aca="false">IF(AND(OR(AQ598="À RADIOGRAPHIER",AQ598="RÉPARÉ – À RADIOGRAPHIER",AQ598="NX – RT À REFAIRE"),OR('PROGRAMME RT'!$D$5="TOUTES",B598='PROGRAMME RT'!$D$5)),1,0)</f>
        <v>0</v>
      </c>
      <c r="AT598" s="82" t="str">
        <f aca="false">IF(AS598=1,SUM(AS$7:AS598),"")</f>
        <v/>
      </c>
      <c r="AU598" s="82" t="n">
        <f aca="false">IF(AND(OR(AA598="R",AA598="NX",AA598="NT",AA598="CO"),OR('JOINTS DE RÉPARATION'!$D$5="TOUTES",B598='JOINTS DE RÉPARATION'!$D$5),OR('JOINTS DE RÉPARATION'!$L$4="TOUS",AQ598&lt;&gt;"ACCEPTÉ")),1,0)</f>
        <v>0</v>
      </c>
      <c r="AV598" s="82" t="str">
        <f aca="false">IF(AU598=1,SUM(AU$7:AU598),"")</f>
        <v/>
      </c>
      <c r="AW598" s="82" t="str">
        <f aca="false">IF(E598="","",B598&amp;"|"&amp;E598)</f>
        <v>MFD-ISW → MFD-CPF|JN°592</v>
      </c>
    </row>
    <row r="599" customFormat="false" ht="74.6" hidden="false" customHeight="false" outlineLevel="0" collapsed="false">
      <c r="A599" s="79" t="n">
        <f aca="false">IF(E599="","",ROW()-6)</f>
        <v>593</v>
      </c>
      <c r="B599" s="80" t="s">
        <v>110</v>
      </c>
      <c r="C599" s="81"/>
      <c r="D599" s="81"/>
      <c r="E599" s="81" t="s">
        <v>703</v>
      </c>
      <c r="F599" s="82" t="str">
        <f aca="false">IF(E599="","",IF(LEFT(E599,2)="DJ","DJ","JN"))</f>
        <v>JN</v>
      </c>
      <c r="G599" s="81"/>
      <c r="H599" s="81"/>
      <c r="I599" s="81"/>
      <c r="J599" s="81"/>
      <c r="K599" s="81"/>
      <c r="L599" s="81"/>
      <c r="M599" s="81"/>
      <c r="N599" s="81"/>
      <c r="O599" s="81"/>
      <c r="P599" s="81"/>
      <c r="Q599" s="81"/>
      <c r="R599" s="81"/>
      <c r="S599" s="81"/>
      <c r="T599" s="81"/>
      <c r="U599" s="83"/>
      <c r="V599" s="83"/>
      <c r="W599" s="81"/>
      <c r="X599" s="81"/>
      <c r="Y599" s="83"/>
      <c r="Z599" s="81"/>
      <c r="AA599" s="81"/>
      <c r="AB599" s="81"/>
      <c r="AC599" s="81"/>
      <c r="AD599" s="81"/>
      <c r="AE599" s="83"/>
      <c r="AF599" s="81"/>
      <c r="AG599" s="81"/>
      <c r="AH599" s="81"/>
      <c r="AI599" s="81"/>
      <c r="AJ599" s="83"/>
      <c r="AK599" s="81"/>
      <c r="AL599" s="81"/>
      <c r="AM599" s="83"/>
      <c r="AN599" s="80"/>
      <c r="AO599" s="82" t="n">
        <f aca="false">IF(E599="","",(AA599&lt;&gt;"")+(AG599&lt;&gt;"")+(AL599&lt;&gt;""))</f>
        <v>0</v>
      </c>
      <c r="AP599" s="82" t="str">
        <f aca="false">IF(AL599&lt;&gt;"",AL599,IF(AG599&lt;&gt;"",AG599,IF(AA599&lt;&gt;"",AA599,"")))</f>
        <v/>
      </c>
      <c r="AQ599" s="84" t="str">
        <f aca="false">IF(E599="","",IF(U599="","À SOUDER",IF(X599="","VT EN ATTENTE",IF(X599="R","VT REJETÉ – À REPRENDRE",IF(AP599="","À RADIOGRAPHIER",IF(AP599="A","ACCEPTÉ",IF(AP599="NX","NX – RT À REFAIRE",IF(IF(AO599=1,AD599,IF(AO599=2,AI599,""))="A","RÉPARÉ – À RADIOGRAPHIER",IF(IF(AO599=1,AD599,IF(AO599=2,AI599,""))="R","VT REJETÉ – À REPRENDRE",IF(OR(AP599="CO",AP599="NT"),"COUPE – À RESOUDER","À RÉPARER"))))))))))</f>
        <v>À SOUDER</v>
      </c>
      <c r="AR599" s="82" t="str">
        <f aca="false">IF(AND(ISNUMBER(U599),OR(AQ599="À RADIOGRAPHIER",AQ599="RÉPARÉ – À RADIOGRAPHIER",AQ599="NX – RT À REFAIRE",AQ599="À RÉPARER",AQ599="COUPE – À RESOUDER",AQ599="VT REJETÉ – À REPRENDRE")),MAX(0,'PROGRAMME RT'!$C$4-U599),"")</f>
        <v/>
      </c>
      <c r="AS599" s="82" t="n">
        <f aca="false">IF(AND(OR(AQ599="À RADIOGRAPHIER",AQ599="RÉPARÉ – À RADIOGRAPHIER",AQ599="NX – RT À REFAIRE"),OR('PROGRAMME RT'!$D$5="TOUTES",B599='PROGRAMME RT'!$D$5)),1,0)</f>
        <v>0</v>
      </c>
      <c r="AT599" s="82" t="str">
        <f aca="false">IF(AS599=1,SUM(AS$7:AS599),"")</f>
        <v/>
      </c>
      <c r="AU599" s="82" t="n">
        <f aca="false">IF(AND(OR(AA599="R",AA599="NX",AA599="NT",AA599="CO"),OR('JOINTS DE RÉPARATION'!$D$5="TOUTES",B599='JOINTS DE RÉPARATION'!$D$5),OR('JOINTS DE RÉPARATION'!$L$4="TOUS",AQ599&lt;&gt;"ACCEPTÉ")),1,0)</f>
        <v>0</v>
      </c>
      <c r="AV599" s="82" t="str">
        <f aca="false">IF(AU599=1,SUM(AU$7:AU599),"")</f>
        <v/>
      </c>
      <c r="AW599" s="82" t="str">
        <f aca="false">IF(E599="","",B599&amp;"|"&amp;E599)</f>
        <v>MFD-ISW → MFD-CPF|JN°593</v>
      </c>
    </row>
    <row r="600" customFormat="false" ht="74.6" hidden="false" customHeight="false" outlineLevel="0" collapsed="false">
      <c r="A600" s="79" t="n">
        <f aca="false">IF(E600="","",ROW()-6)</f>
        <v>594</v>
      </c>
      <c r="B600" s="80" t="s">
        <v>110</v>
      </c>
      <c r="C600" s="81"/>
      <c r="D600" s="81"/>
      <c r="E600" s="81" t="s">
        <v>704</v>
      </c>
      <c r="F600" s="82" t="str">
        <f aca="false">IF(E600="","",IF(LEFT(E600,2)="DJ","DJ","JN"))</f>
        <v>JN</v>
      </c>
      <c r="G600" s="81"/>
      <c r="H600" s="81"/>
      <c r="I600" s="81"/>
      <c r="J600" s="81"/>
      <c r="K600" s="81"/>
      <c r="L600" s="81"/>
      <c r="M600" s="81"/>
      <c r="N600" s="81"/>
      <c r="O600" s="81"/>
      <c r="P600" s="81"/>
      <c r="Q600" s="81"/>
      <c r="R600" s="81"/>
      <c r="S600" s="81"/>
      <c r="T600" s="81"/>
      <c r="U600" s="83"/>
      <c r="V600" s="83"/>
      <c r="W600" s="81"/>
      <c r="X600" s="81"/>
      <c r="Y600" s="83"/>
      <c r="Z600" s="81"/>
      <c r="AA600" s="81"/>
      <c r="AB600" s="81"/>
      <c r="AC600" s="81"/>
      <c r="AD600" s="81"/>
      <c r="AE600" s="83"/>
      <c r="AF600" s="81"/>
      <c r="AG600" s="81"/>
      <c r="AH600" s="81"/>
      <c r="AI600" s="81"/>
      <c r="AJ600" s="83"/>
      <c r="AK600" s="81"/>
      <c r="AL600" s="81"/>
      <c r="AM600" s="83"/>
      <c r="AN600" s="80"/>
      <c r="AO600" s="82" t="n">
        <f aca="false">IF(E600="","",(AA600&lt;&gt;"")+(AG600&lt;&gt;"")+(AL600&lt;&gt;""))</f>
        <v>0</v>
      </c>
      <c r="AP600" s="82" t="str">
        <f aca="false">IF(AL600&lt;&gt;"",AL600,IF(AG600&lt;&gt;"",AG600,IF(AA600&lt;&gt;"",AA600,"")))</f>
        <v/>
      </c>
      <c r="AQ600" s="84" t="str">
        <f aca="false">IF(E600="","",IF(U600="","À SOUDER",IF(X600="","VT EN ATTENTE",IF(X600="R","VT REJETÉ – À REPRENDRE",IF(AP600="","À RADIOGRAPHIER",IF(AP600="A","ACCEPTÉ",IF(AP600="NX","NX – RT À REFAIRE",IF(IF(AO600=1,AD600,IF(AO600=2,AI600,""))="A","RÉPARÉ – À RADIOGRAPHIER",IF(IF(AO600=1,AD600,IF(AO600=2,AI600,""))="R","VT REJETÉ – À REPRENDRE",IF(OR(AP600="CO",AP600="NT"),"COUPE – À RESOUDER","À RÉPARER"))))))))))</f>
        <v>À SOUDER</v>
      </c>
      <c r="AR600" s="82" t="str">
        <f aca="false">IF(AND(ISNUMBER(U600),OR(AQ600="À RADIOGRAPHIER",AQ600="RÉPARÉ – À RADIOGRAPHIER",AQ600="NX – RT À REFAIRE",AQ600="À RÉPARER",AQ600="COUPE – À RESOUDER",AQ600="VT REJETÉ – À REPRENDRE")),MAX(0,'PROGRAMME RT'!$C$4-U600),"")</f>
        <v/>
      </c>
      <c r="AS600" s="82" t="n">
        <f aca="false">IF(AND(OR(AQ600="À RADIOGRAPHIER",AQ600="RÉPARÉ – À RADIOGRAPHIER",AQ600="NX – RT À REFAIRE"),OR('PROGRAMME RT'!$D$5="TOUTES",B600='PROGRAMME RT'!$D$5)),1,0)</f>
        <v>0</v>
      </c>
      <c r="AT600" s="82" t="str">
        <f aca="false">IF(AS600=1,SUM(AS$7:AS600),"")</f>
        <v/>
      </c>
      <c r="AU600" s="82" t="n">
        <f aca="false">IF(AND(OR(AA600="R",AA600="NX",AA600="NT",AA600="CO"),OR('JOINTS DE RÉPARATION'!$D$5="TOUTES",B600='JOINTS DE RÉPARATION'!$D$5),OR('JOINTS DE RÉPARATION'!$L$4="TOUS",AQ600&lt;&gt;"ACCEPTÉ")),1,0)</f>
        <v>0</v>
      </c>
      <c r="AV600" s="82" t="str">
        <f aca="false">IF(AU600=1,SUM(AU$7:AU600),"")</f>
        <v/>
      </c>
      <c r="AW600" s="82" t="str">
        <f aca="false">IF(E600="","",B600&amp;"|"&amp;E600)</f>
        <v>MFD-ISW → MFD-CPF|JN°594</v>
      </c>
    </row>
    <row r="601" customFormat="false" ht="74.6" hidden="false" customHeight="false" outlineLevel="0" collapsed="false">
      <c r="A601" s="79" t="n">
        <f aca="false">IF(E601="","",ROW()-6)</f>
        <v>595</v>
      </c>
      <c r="B601" s="80" t="s">
        <v>110</v>
      </c>
      <c r="C601" s="81"/>
      <c r="D601" s="81"/>
      <c r="E601" s="81" t="s">
        <v>705</v>
      </c>
      <c r="F601" s="82" t="str">
        <f aca="false">IF(E601="","",IF(LEFT(E601,2)="DJ","DJ","JN"))</f>
        <v>JN</v>
      </c>
      <c r="G601" s="81"/>
      <c r="H601" s="81"/>
      <c r="I601" s="81"/>
      <c r="J601" s="81"/>
      <c r="K601" s="81"/>
      <c r="L601" s="81"/>
      <c r="M601" s="81"/>
      <c r="N601" s="81"/>
      <c r="O601" s="81"/>
      <c r="P601" s="81"/>
      <c r="Q601" s="81"/>
      <c r="R601" s="81"/>
      <c r="S601" s="81"/>
      <c r="T601" s="81"/>
      <c r="U601" s="83"/>
      <c r="V601" s="83"/>
      <c r="W601" s="81"/>
      <c r="X601" s="81"/>
      <c r="Y601" s="83"/>
      <c r="Z601" s="81"/>
      <c r="AA601" s="81"/>
      <c r="AB601" s="81"/>
      <c r="AC601" s="81"/>
      <c r="AD601" s="81"/>
      <c r="AE601" s="83"/>
      <c r="AF601" s="81"/>
      <c r="AG601" s="81"/>
      <c r="AH601" s="81"/>
      <c r="AI601" s="81"/>
      <c r="AJ601" s="83"/>
      <c r="AK601" s="81"/>
      <c r="AL601" s="81"/>
      <c r="AM601" s="83"/>
      <c r="AN601" s="80"/>
      <c r="AO601" s="82" t="n">
        <f aca="false">IF(E601="","",(AA601&lt;&gt;"")+(AG601&lt;&gt;"")+(AL601&lt;&gt;""))</f>
        <v>0</v>
      </c>
      <c r="AP601" s="82" t="str">
        <f aca="false">IF(AL601&lt;&gt;"",AL601,IF(AG601&lt;&gt;"",AG601,IF(AA601&lt;&gt;"",AA601,"")))</f>
        <v/>
      </c>
      <c r="AQ601" s="84" t="str">
        <f aca="false">IF(E601="","",IF(U601="","À SOUDER",IF(X601="","VT EN ATTENTE",IF(X601="R","VT REJETÉ – À REPRENDRE",IF(AP601="","À RADIOGRAPHIER",IF(AP601="A","ACCEPTÉ",IF(AP601="NX","NX – RT À REFAIRE",IF(IF(AO601=1,AD601,IF(AO601=2,AI601,""))="A","RÉPARÉ – À RADIOGRAPHIER",IF(IF(AO601=1,AD601,IF(AO601=2,AI601,""))="R","VT REJETÉ – À REPRENDRE",IF(OR(AP601="CO",AP601="NT"),"COUPE – À RESOUDER","À RÉPARER"))))))))))</f>
        <v>À SOUDER</v>
      </c>
      <c r="AR601" s="82" t="str">
        <f aca="false">IF(AND(ISNUMBER(U601),OR(AQ601="À RADIOGRAPHIER",AQ601="RÉPARÉ – À RADIOGRAPHIER",AQ601="NX – RT À REFAIRE",AQ601="À RÉPARER",AQ601="COUPE – À RESOUDER",AQ601="VT REJETÉ – À REPRENDRE")),MAX(0,'PROGRAMME RT'!$C$4-U601),"")</f>
        <v/>
      </c>
      <c r="AS601" s="82" t="n">
        <f aca="false">IF(AND(OR(AQ601="À RADIOGRAPHIER",AQ601="RÉPARÉ – À RADIOGRAPHIER",AQ601="NX – RT À REFAIRE"),OR('PROGRAMME RT'!$D$5="TOUTES",B601='PROGRAMME RT'!$D$5)),1,0)</f>
        <v>0</v>
      </c>
      <c r="AT601" s="82" t="str">
        <f aca="false">IF(AS601=1,SUM(AS$7:AS601),"")</f>
        <v/>
      </c>
      <c r="AU601" s="82" t="n">
        <f aca="false">IF(AND(OR(AA601="R",AA601="NX",AA601="NT",AA601="CO"),OR('JOINTS DE RÉPARATION'!$D$5="TOUTES",B601='JOINTS DE RÉPARATION'!$D$5),OR('JOINTS DE RÉPARATION'!$L$4="TOUS",AQ601&lt;&gt;"ACCEPTÉ")),1,0)</f>
        <v>0</v>
      </c>
      <c r="AV601" s="82" t="str">
        <f aca="false">IF(AU601=1,SUM(AU$7:AU601),"")</f>
        <v/>
      </c>
      <c r="AW601" s="82" t="str">
        <f aca="false">IF(E601="","",B601&amp;"|"&amp;E601)</f>
        <v>MFD-ISW → MFD-CPF|JN°595</v>
      </c>
    </row>
    <row r="602" customFormat="false" ht="74.6" hidden="false" customHeight="false" outlineLevel="0" collapsed="false">
      <c r="A602" s="79" t="n">
        <f aca="false">IF(E602="","",ROW()-6)</f>
        <v>596</v>
      </c>
      <c r="B602" s="80" t="s">
        <v>110</v>
      </c>
      <c r="C602" s="81"/>
      <c r="D602" s="81"/>
      <c r="E602" s="81" t="s">
        <v>706</v>
      </c>
      <c r="F602" s="82" t="str">
        <f aca="false">IF(E602="","",IF(LEFT(E602,2)="DJ","DJ","JN"))</f>
        <v>JN</v>
      </c>
      <c r="G602" s="81"/>
      <c r="H602" s="81"/>
      <c r="I602" s="81"/>
      <c r="J602" s="81"/>
      <c r="K602" s="81"/>
      <c r="L602" s="81"/>
      <c r="M602" s="81"/>
      <c r="N602" s="81"/>
      <c r="O602" s="81"/>
      <c r="P602" s="81"/>
      <c r="Q602" s="81"/>
      <c r="R602" s="81"/>
      <c r="S602" s="81"/>
      <c r="T602" s="81"/>
      <c r="U602" s="83"/>
      <c r="V602" s="83"/>
      <c r="W602" s="81"/>
      <c r="X602" s="81"/>
      <c r="Y602" s="83"/>
      <c r="Z602" s="81"/>
      <c r="AA602" s="81"/>
      <c r="AB602" s="81"/>
      <c r="AC602" s="81"/>
      <c r="AD602" s="81"/>
      <c r="AE602" s="83"/>
      <c r="AF602" s="81"/>
      <c r="AG602" s="81"/>
      <c r="AH602" s="81"/>
      <c r="AI602" s="81"/>
      <c r="AJ602" s="83"/>
      <c r="AK602" s="81"/>
      <c r="AL602" s="81"/>
      <c r="AM602" s="83"/>
      <c r="AN602" s="80"/>
      <c r="AO602" s="82" t="n">
        <f aca="false">IF(E602="","",(AA602&lt;&gt;"")+(AG602&lt;&gt;"")+(AL602&lt;&gt;""))</f>
        <v>0</v>
      </c>
      <c r="AP602" s="82" t="str">
        <f aca="false">IF(AL602&lt;&gt;"",AL602,IF(AG602&lt;&gt;"",AG602,IF(AA602&lt;&gt;"",AA602,"")))</f>
        <v/>
      </c>
      <c r="AQ602" s="84" t="str">
        <f aca="false">IF(E602="","",IF(U602="","À SOUDER",IF(X602="","VT EN ATTENTE",IF(X602="R","VT REJETÉ – À REPRENDRE",IF(AP602="","À RADIOGRAPHIER",IF(AP602="A","ACCEPTÉ",IF(AP602="NX","NX – RT À REFAIRE",IF(IF(AO602=1,AD602,IF(AO602=2,AI602,""))="A","RÉPARÉ – À RADIOGRAPHIER",IF(IF(AO602=1,AD602,IF(AO602=2,AI602,""))="R","VT REJETÉ – À REPRENDRE",IF(OR(AP602="CO",AP602="NT"),"COUPE – À RESOUDER","À RÉPARER"))))))))))</f>
        <v>À SOUDER</v>
      </c>
      <c r="AR602" s="82" t="str">
        <f aca="false">IF(AND(ISNUMBER(U602),OR(AQ602="À RADIOGRAPHIER",AQ602="RÉPARÉ – À RADIOGRAPHIER",AQ602="NX – RT À REFAIRE",AQ602="À RÉPARER",AQ602="COUPE – À RESOUDER",AQ602="VT REJETÉ – À REPRENDRE")),MAX(0,'PROGRAMME RT'!$C$4-U602),"")</f>
        <v/>
      </c>
      <c r="AS602" s="82" t="n">
        <f aca="false">IF(AND(OR(AQ602="À RADIOGRAPHIER",AQ602="RÉPARÉ – À RADIOGRAPHIER",AQ602="NX – RT À REFAIRE"),OR('PROGRAMME RT'!$D$5="TOUTES",B602='PROGRAMME RT'!$D$5)),1,0)</f>
        <v>0</v>
      </c>
      <c r="AT602" s="82" t="str">
        <f aca="false">IF(AS602=1,SUM(AS$7:AS602),"")</f>
        <v/>
      </c>
      <c r="AU602" s="82" t="n">
        <f aca="false">IF(AND(OR(AA602="R",AA602="NX",AA602="NT",AA602="CO"),OR('JOINTS DE RÉPARATION'!$D$5="TOUTES",B602='JOINTS DE RÉPARATION'!$D$5),OR('JOINTS DE RÉPARATION'!$L$4="TOUS",AQ602&lt;&gt;"ACCEPTÉ")),1,0)</f>
        <v>0</v>
      </c>
      <c r="AV602" s="82" t="str">
        <f aca="false">IF(AU602=1,SUM(AU$7:AU602),"")</f>
        <v/>
      </c>
      <c r="AW602" s="82" t="str">
        <f aca="false">IF(E602="","",B602&amp;"|"&amp;E602)</f>
        <v>MFD-ISW → MFD-CPF|JN°596</v>
      </c>
    </row>
    <row r="603" customFormat="false" ht="74.6" hidden="false" customHeight="false" outlineLevel="0" collapsed="false">
      <c r="A603" s="79" t="n">
        <f aca="false">IF(E603="","",ROW()-6)</f>
        <v>597</v>
      </c>
      <c r="B603" s="80" t="s">
        <v>110</v>
      </c>
      <c r="C603" s="81"/>
      <c r="D603" s="81"/>
      <c r="E603" s="81" t="s">
        <v>707</v>
      </c>
      <c r="F603" s="82" t="str">
        <f aca="false">IF(E603="","",IF(LEFT(E603,2)="DJ","DJ","JN"))</f>
        <v>JN</v>
      </c>
      <c r="G603" s="81"/>
      <c r="H603" s="81"/>
      <c r="I603" s="81"/>
      <c r="J603" s="81"/>
      <c r="K603" s="81"/>
      <c r="L603" s="81"/>
      <c r="M603" s="81"/>
      <c r="N603" s="81"/>
      <c r="O603" s="81"/>
      <c r="P603" s="81"/>
      <c r="Q603" s="81"/>
      <c r="R603" s="81"/>
      <c r="S603" s="81"/>
      <c r="T603" s="81"/>
      <c r="U603" s="83"/>
      <c r="V603" s="83"/>
      <c r="W603" s="81"/>
      <c r="X603" s="81"/>
      <c r="Y603" s="83"/>
      <c r="Z603" s="81"/>
      <c r="AA603" s="81"/>
      <c r="AB603" s="81"/>
      <c r="AC603" s="81"/>
      <c r="AD603" s="81"/>
      <c r="AE603" s="83"/>
      <c r="AF603" s="81"/>
      <c r="AG603" s="81"/>
      <c r="AH603" s="81"/>
      <c r="AI603" s="81"/>
      <c r="AJ603" s="83"/>
      <c r="AK603" s="81"/>
      <c r="AL603" s="81"/>
      <c r="AM603" s="83"/>
      <c r="AN603" s="80"/>
      <c r="AO603" s="82" t="n">
        <f aca="false">IF(E603="","",(AA603&lt;&gt;"")+(AG603&lt;&gt;"")+(AL603&lt;&gt;""))</f>
        <v>0</v>
      </c>
      <c r="AP603" s="82" t="str">
        <f aca="false">IF(AL603&lt;&gt;"",AL603,IF(AG603&lt;&gt;"",AG603,IF(AA603&lt;&gt;"",AA603,"")))</f>
        <v/>
      </c>
      <c r="AQ603" s="84" t="str">
        <f aca="false">IF(E603="","",IF(U603="","À SOUDER",IF(X603="","VT EN ATTENTE",IF(X603="R","VT REJETÉ – À REPRENDRE",IF(AP603="","À RADIOGRAPHIER",IF(AP603="A","ACCEPTÉ",IF(AP603="NX","NX – RT À REFAIRE",IF(IF(AO603=1,AD603,IF(AO603=2,AI603,""))="A","RÉPARÉ – À RADIOGRAPHIER",IF(IF(AO603=1,AD603,IF(AO603=2,AI603,""))="R","VT REJETÉ – À REPRENDRE",IF(OR(AP603="CO",AP603="NT"),"COUPE – À RESOUDER","À RÉPARER"))))))))))</f>
        <v>À SOUDER</v>
      </c>
      <c r="AR603" s="82" t="str">
        <f aca="false">IF(AND(ISNUMBER(U603),OR(AQ603="À RADIOGRAPHIER",AQ603="RÉPARÉ – À RADIOGRAPHIER",AQ603="NX – RT À REFAIRE",AQ603="À RÉPARER",AQ603="COUPE – À RESOUDER",AQ603="VT REJETÉ – À REPRENDRE")),MAX(0,'PROGRAMME RT'!$C$4-U603),"")</f>
        <v/>
      </c>
      <c r="AS603" s="82" t="n">
        <f aca="false">IF(AND(OR(AQ603="À RADIOGRAPHIER",AQ603="RÉPARÉ – À RADIOGRAPHIER",AQ603="NX – RT À REFAIRE"),OR('PROGRAMME RT'!$D$5="TOUTES",B603='PROGRAMME RT'!$D$5)),1,0)</f>
        <v>0</v>
      </c>
      <c r="AT603" s="82" t="str">
        <f aca="false">IF(AS603=1,SUM(AS$7:AS603),"")</f>
        <v/>
      </c>
      <c r="AU603" s="82" t="n">
        <f aca="false">IF(AND(OR(AA603="R",AA603="NX",AA603="NT",AA603="CO"),OR('JOINTS DE RÉPARATION'!$D$5="TOUTES",B603='JOINTS DE RÉPARATION'!$D$5),OR('JOINTS DE RÉPARATION'!$L$4="TOUS",AQ603&lt;&gt;"ACCEPTÉ")),1,0)</f>
        <v>0</v>
      </c>
      <c r="AV603" s="82" t="str">
        <f aca="false">IF(AU603=1,SUM(AU$7:AU603),"")</f>
        <v/>
      </c>
      <c r="AW603" s="82" t="str">
        <f aca="false">IF(E603="","",B603&amp;"|"&amp;E603)</f>
        <v>MFD-ISW → MFD-CPF|JN°597</v>
      </c>
    </row>
    <row r="604" customFormat="false" ht="74.6" hidden="false" customHeight="false" outlineLevel="0" collapsed="false">
      <c r="A604" s="79" t="n">
        <f aca="false">IF(E604="","",ROW()-6)</f>
        <v>598</v>
      </c>
      <c r="B604" s="80" t="s">
        <v>110</v>
      </c>
      <c r="C604" s="81"/>
      <c r="D604" s="81"/>
      <c r="E604" s="81" t="s">
        <v>708</v>
      </c>
      <c r="F604" s="82" t="str">
        <f aca="false">IF(E604="","",IF(LEFT(E604,2)="DJ","DJ","JN"))</f>
        <v>JN</v>
      </c>
      <c r="G604" s="81"/>
      <c r="H604" s="81"/>
      <c r="I604" s="81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U604" s="83"/>
      <c r="V604" s="83"/>
      <c r="W604" s="81"/>
      <c r="X604" s="81"/>
      <c r="Y604" s="83"/>
      <c r="Z604" s="81"/>
      <c r="AA604" s="81"/>
      <c r="AB604" s="81"/>
      <c r="AC604" s="81"/>
      <c r="AD604" s="81"/>
      <c r="AE604" s="83"/>
      <c r="AF604" s="81"/>
      <c r="AG604" s="81"/>
      <c r="AH604" s="81"/>
      <c r="AI604" s="81"/>
      <c r="AJ604" s="83"/>
      <c r="AK604" s="81"/>
      <c r="AL604" s="81"/>
      <c r="AM604" s="83"/>
      <c r="AN604" s="80"/>
      <c r="AO604" s="82" t="n">
        <f aca="false">IF(E604="","",(AA604&lt;&gt;"")+(AG604&lt;&gt;"")+(AL604&lt;&gt;""))</f>
        <v>0</v>
      </c>
      <c r="AP604" s="82" t="str">
        <f aca="false">IF(AL604&lt;&gt;"",AL604,IF(AG604&lt;&gt;"",AG604,IF(AA604&lt;&gt;"",AA604,"")))</f>
        <v/>
      </c>
      <c r="AQ604" s="84" t="str">
        <f aca="false">IF(E604="","",IF(U604="","À SOUDER",IF(X604="","VT EN ATTENTE",IF(X604="R","VT REJETÉ – À REPRENDRE",IF(AP604="","À RADIOGRAPHIER",IF(AP604="A","ACCEPTÉ",IF(AP604="NX","NX – RT À REFAIRE",IF(IF(AO604=1,AD604,IF(AO604=2,AI604,""))="A","RÉPARÉ – À RADIOGRAPHIER",IF(IF(AO604=1,AD604,IF(AO604=2,AI604,""))="R","VT REJETÉ – À REPRENDRE",IF(OR(AP604="CO",AP604="NT"),"COUPE – À RESOUDER","À RÉPARER"))))))))))</f>
        <v>À SOUDER</v>
      </c>
      <c r="AR604" s="82" t="str">
        <f aca="false">IF(AND(ISNUMBER(U604),OR(AQ604="À RADIOGRAPHIER",AQ604="RÉPARÉ – À RADIOGRAPHIER",AQ604="NX – RT À REFAIRE",AQ604="À RÉPARER",AQ604="COUPE – À RESOUDER",AQ604="VT REJETÉ – À REPRENDRE")),MAX(0,'PROGRAMME RT'!$C$4-U604),"")</f>
        <v/>
      </c>
      <c r="AS604" s="82" t="n">
        <f aca="false">IF(AND(OR(AQ604="À RADIOGRAPHIER",AQ604="RÉPARÉ – À RADIOGRAPHIER",AQ604="NX – RT À REFAIRE"),OR('PROGRAMME RT'!$D$5="TOUTES",B604='PROGRAMME RT'!$D$5)),1,0)</f>
        <v>0</v>
      </c>
      <c r="AT604" s="82" t="str">
        <f aca="false">IF(AS604=1,SUM(AS$7:AS604),"")</f>
        <v/>
      </c>
      <c r="AU604" s="82" t="n">
        <f aca="false">IF(AND(OR(AA604="R",AA604="NX",AA604="NT",AA604="CO"),OR('JOINTS DE RÉPARATION'!$D$5="TOUTES",B604='JOINTS DE RÉPARATION'!$D$5),OR('JOINTS DE RÉPARATION'!$L$4="TOUS",AQ604&lt;&gt;"ACCEPTÉ")),1,0)</f>
        <v>0</v>
      </c>
      <c r="AV604" s="82" t="str">
        <f aca="false">IF(AU604=1,SUM(AU$7:AU604),"")</f>
        <v/>
      </c>
      <c r="AW604" s="82" t="str">
        <f aca="false">IF(E604="","",B604&amp;"|"&amp;E604)</f>
        <v>MFD-ISW → MFD-CPF|JN°598</v>
      </c>
    </row>
    <row r="605" customFormat="false" ht="74.6" hidden="false" customHeight="false" outlineLevel="0" collapsed="false">
      <c r="A605" s="79" t="n">
        <f aca="false">IF(E605="","",ROW()-6)</f>
        <v>599</v>
      </c>
      <c r="B605" s="80" t="s">
        <v>110</v>
      </c>
      <c r="C605" s="81"/>
      <c r="D605" s="81"/>
      <c r="E605" s="81" t="s">
        <v>709</v>
      </c>
      <c r="F605" s="82" t="str">
        <f aca="false">IF(E605="","",IF(LEFT(E605,2)="DJ","DJ","JN"))</f>
        <v>JN</v>
      </c>
      <c r="G605" s="81"/>
      <c r="H605" s="81"/>
      <c r="I605" s="81"/>
      <c r="J605" s="81"/>
      <c r="K605" s="81"/>
      <c r="L605" s="81"/>
      <c r="M605" s="81"/>
      <c r="N605" s="81"/>
      <c r="O605" s="81"/>
      <c r="P605" s="81"/>
      <c r="Q605" s="81"/>
      <c r="R605" s="81"/>
      <c r="S605" s="81"/>
      <c r="T605" s="81"/>
      <c r="U605" s="83"/>
      <c r="V605" s="83"/>
      <c r="W605" s="81"/>
      <c r="X605" s="81"/>
      <c r="Y605" s="83"/>
      <c r="Z605" s="81"/>
      <c r="AA605" s="81"/>
      <c r="AB605" s="81"/>
      <c r="AC605" s="81"/>
      <c r="AD605" s="81"/>
      <c r="AE605" s="83"/>
      <c r="AF605" s="81"/>
      <c r="AG605" s="81"/>
      <c r="AH605" s="81"/>
      <c r="AI605" s="81"/>
      <c r="AJ605" s="83"/>
      <c r="AK605" s="81"/>
      <c r="AL605" s="81"/>
      <c r="AM605" s="83"/>
      <c r="AN605" s="80"/>
      <c r="AO605" s="82" t="n">
        <f aca="false">IF(E605="","",(AA605&lt;&gt;"")+(AG605&lt;&gt;"")+(AL605&lt;&gt;""))</f>
        <v>0</v>
      </c>
      <c r="AP605" s="82" t="str">
        <f aca="false">IF(AL605&lt;&gt;"",AL605,IF(AG605&lt;&gt;"",AG605,IF(AA605&lt;&gt;"",AA605,"")))</f>
        <v/>
      </c>
      <c r="AQ605" s="84" t="str">
        <f aca="false">IF(E605="","",IF(U605="","À SOUDER",IF(X605="","VT EN ATTENTE",IF(X605="R","VT REJETÉ – À REPRENDRE",IF(AP605="","À RADIOGRAPHIER",IF(AP605="A","ACCEPTÉ",IF(AP605="NX","NX – RT À REFAIRE",IF(IF(AO605=1,AD605,IF(AO605=2,AI605,""))="A","RÉPARÉ – À RADIOGRAPHIER",IF(IF(AO605=1,AD605,IF(AO605=2,AI605,""))="R","VT REJETÉ – À REPRENDRE",IF(OR(AP605="CO",AP605="NT"),"COUPE – À RESOUDER","À RÉPARER"))))))))))</f>
        <v>À SOUDER</v>
      </c>
      <c r="AR605" s="82" t="str">
        <f aca="false">IF(AND(ISNUMBER(U605),OR(AQ605="À RADIOGRAPHIER",AQ605="RÉPARÉ – À RADIOGRAPHIER",AQ605="NX – RT À REFAIRE",AQ605="À RÉPARER",AQ605="COUPE – À RESOUDER",AQ605="VT REJETÉ – À REPRENDRE")),MAX(0,'PROGRAMME RT'!$C$4-U605),"")</f>
        <v/>
      </c>
      <c r="AS605" s="82" t="n">
        <f aca="false">IF(AND(OR(AQ605="À RADIOGRAPHIER",AQ605="RÉPARÉ – À RADIOGRAPHIER",AQ605="NX – RT À REFAIRE"),OR('PROGRAMME RT'!$D$5="TOUTES",B605='PROGRAMME RT'!$D$5)),1,0)</f>
        <v>0</v>
      </c>
      <c r="AT605" s="82" t="str">
        <f aca="false">IF(AS605=1,SUM(AS$7:AS605),"")</f>
        <v/>
      </c>
      <c r="AU605" s="82" t="n">
        <f aca="false">IF(AND(OR(AA605="R",AA605="NX",AA605="NT",AA605="CO"),OR('JOINTS DE RÉPARATION'!$D$5="TOUTES",B605='JOINTS DE RÉPARATION'!$D$5),OR('JOINTS DE RÉPARATION'!$L$4="TOUS",AQ605&lt;&gt;"ACCEPTÉ")),1,0)</f>
        <v>0</v>
      </c>
      <c r="AV605" s="82" t="str">
        <f aca="false">IF(AU605=1,SUM(AU$7:AU605),"")</f>
        <v/>
      </c>
      <c r="AW605" s="82" t="str">
        <f aca="false">IF(E605="","",B605&amp;"|"&amp;E605)</f>
        <v>MFD-ISW → MFD-CPF|JN°599</v>
      </c>
    </row>
    <row r="606" customFormat="false" ht="74.6" hidden="false" customHeight="false" outlineLevel="0" collapsed="false">
      <c r="A606" s="79" t="n">
        <f aca="false">IF(E606="","",ROW()-6)</f>
        <v>600</v>
      </c>
      <c r="B606" s="80" t="s">
        <v>110</v>
      </c>
      <c r="C606" s="81"/>
      <c r="D606" s="81"/>
      <c r="E606" s="81" t="s">
        <v>710</v>
      </c>
      <c r="F606" s="82" t="str">
        <f aca="false">IF(E606="","",IF(LEFT(E606,2)="DJ","DJ","JN"))</f>
        <v>JN</v>
      </c>
      <c r="G606" s="81"/>
      <c r="H606" s="81"/>
      <c r="I606" s="81"/>
      <c r="J606" s="81"/>
      <c r="K606" s="81"/>
      <c r="L606" s="81"/>
      <c r="M606" s="81"/>
      <c r="N606" s="81"/>
      <c r="O606" s="81"/>
      <c r="P606" s="81"/>
      <c r="Q606" s="81"/>
      <c r="R606" s="81"/>
      <c r="S606" s="81"/>
      <c r="T606" s="81"/>
      <c r="U606" s="83"/>
      <c r="V606" s="83"/>
      <c r="W606" s="81"/>
      <c r="X606" s="81"/>
      <c r="Y606" s="83"/>
      <c r="Z606" s="81"/>
      <c r="AA606" s="81"/>
      <c r="AB606" s="81"/>
      <c r="AC606" s="81"/>
      <c r="AD606" s="81"/>
      <c r="AE606" s="83"/>
      <c r="AF606" s="81"/>
      <c r="AG606" s="81"/>
      <c r="AH606" s="81"/>
      <c r="AI606" s="81"/>
      <c r="AJ606" s="83"/>
      <c r="AK606" s="81"/>
      <c r="AL606" s="81"/>
      <c r="AM606" s="83"/>
      <c r="AN606" s="80"/>
      <c r="AO606" s="82" t="n">
        <f aca="false">IF(E606="","",(AA606&lt;&gt;"")+(AG606&lt;&gt;"")+(AL606&lt;&gt;""))</f>
        <v>0</v>
      </c>
      <c r="AP606" s="82" t="str">
        <f aca="false">IF(AL606&lt;&gt;"",AL606,IF(AG606&lt;&gt;"",AG606,IF(AA606&lt;&gt;"",AA606,"")))</f>
        <v/>
      </c>
      <c r="AQ606" s="84" t="str">
        <f aca="false">IF(E606="","",IF(U606="","À SOUDER",IF(X606="","VT EN ATTENTE",IF(X606="R","VT REJETÉ – À REPRENDRE",IF(AP606="","À RADIOGRAPHIER",IF(AP606="A","ACCEPTÉ",IF(AP606="NX","NX – RT À REFAIRE",IF(IF(AO606=1,AD606,IF(AO606=2,AI606,""))="A","RÉPARÉ – À RADIOGRAPHIER",IF(IF(AO606=1,AD606,IF(AO606=2,AI606,""))="R","VT REJETÉ – À REPRENDRE",IF(OR(AP606="CO",AP606="NT"),"COUPE – À RESOUDER","À RÉPARER"))))))))))</f>
        <v>À SOUDER</v>
      </c>
      <c r="AR606" s="82" t="str">
        <f aca="false">IF(AND(ISNUMBER(U606),OR(AQ606="À RADIOGRAPHIER",AQ606="RÉPARÉ – À RADIOGRAPHIER",AQ606="NX – RT À REFAIRE",AQ606="À RÉPARER",AQ606="COUPE – À RESOUDER",AQ606="VT REJETÉ – À REPRENDRE")),MAX(0,'PROGRAMME RT'!$C$4-U606),"")</f>
        <v/>
      </c>
      <c r="AS606" s="82" t="n">
        <f aca="false">IF(AND(OR(AQ606="À RADIOGRAPHIER",AQ606="RÉPARÉ – À RADIOGRAPHIER",AQ606="NX – RT À REFAIRE"),OR('PROGRAMME RT'!$D$5="TOUTES",B606='PROGRAMME RT'!$D$5)),1,0)</f>
        <v>0</v>
      </c>
      <c r="AT606" s="82" t="str">
        <f aca="false">IF(AS606=1,SUM(AS$7:AS606),"")</f>
        <v/>
      </c>
      <c r="AU606" s="82" t="n">
        <f aca="false">IF(AND(OR(AA606="R",AA606="NX",AA606="NT",AA606="CO"),OR('JOINTS DE RÉPARATION'!$D$5="TOUTES",B606='JOINTS DE RÉPARATION'!$D$5),OR('JOINTS DE RÉPARATION'!$L$4="TOUS",AQ606&lt;&gt;"ACCEPTÉ")),1,0)</f>
        <v>0</v>
      </c>
      <c r="AV606" s="82" t="str">
        <f aca="false">IF(AU606=1,SUM(AU$7:AU606),"")</f>
        <v/>
      </c>
      <c r="AW606" s="82" t="str">
        <f aca="false">IF(E606="","",B606&amp;"|"&amp;E606)</f>
        <v>MFD-ISW → MFD-CPF|JN°600</v>
      </c>
    </row>
    <row r="607" customFormat="false" ht="74.6" hidden="false" customHeight="false" outlineLevel="0" collapsed="false">
      <c r="A607" s="79" t="n">
        <f aca="false">IF(E607="","",ROW()-6)</f>
        <v>601</v>
      </c>
      <c r="B607" s="80" t="s">
        <v>110</v>
      </c>
      <c r="C607" s="81"/>
      <c r="D607" s="81"/>
      <c r="E607" s="81" t="s">
        <v>711</v>
      </c>
      <c r="F607" s="82" t="str">
        <f aca="false">IF(E607="","",IF(LEFT(E607,2)="DJ","DJ","JN"))</f>
        <v>JN</v>
      </c>
      <c r="G607" s="81"/>
      <c r="H607" s="81"/>
      <c r="I607" s="81"/>
      <c r="J607" s="81"/>
      <c r="K607" s="81"/>
      <c r="L607" s="81"/>
      <c r="M607" s="81"/>
      <c r="N607" s="81"/>
      <c r="O607" s="81"/>
      <c r="P607" s="81"/>
      <c r="Q607" s="81"/>
      <c r="R607" s="81"/>
      <c r="S607" s="81"/>
      <c r="T607" s="81"/>
      <c r="U607" s="83"/>
      <c r="V607" s="83"/>
      <c r="W607" s="81"/>
      <c r="X607" s="81"/>
      <c r="Y607" s="83"/>
      <c r="Z607" s="81"/>
      <c r="AA607" s="81"/>
      <c r="AB607" s="81"/>
      <c r="AC607" s="81"/>
      <c r="AD607" s="81"/>
      <c r="AE607" s="83"/>
      <c r="AF607" s="81"/>
      <c r="AG607" s="81"/>
      <c r="AH607" s="81"/>
      <c r="AI607" s="81"/>
      <c r="AJ607" s="83"/>
      <c r="AK607" s="81"/>
      <c r="AL607" s="81"/>
      <c r="AM607" s="83"/>
      <c r="AN607" s="80"/>
      <c r="AO607" s="82" t="n">
        <f aca="false">IF(E607="","",(AA607&lt;&gt;"")+(AG607&lt;&gt;"")+(AL607&lt;&gt;""))</f>
        <v>0</v>
      </c>
      <c r="AP607" s="82" t="str">
        <f aca="false">IF(AL607&lt;&gt;"",AL607,IF(AG607&lt;&gt;"",AG607,IF(AA607&lt;&gt;"",AA607,"")))</f>
        <v/>
      </c>
      <c r="AQ607" s="84" t="str">
        <f aca="false">IF(E607="","",IF(U607="","À SOUDER",IF(X607="","VT EN ATTENTE",IF(X607="R","VT REJETÉ – À REPRENDRE",IF(AP607="","À RADIOGRAPHIER",IF(AP607="A","ACCEPTÉ",IF(AP607="NX","NX – RT À REFAIRE",IF(IF(AO607=1,AD607,IF(AO607=2,AI607,""))="A","RÉPARÉ – À RADIOGRAPHIER",IF(IF(AO607=1,AD607,IF(AO607=2,AI607,""))="R","VT REJETÉ – À REPRENDRE",IF(OR(AP607="CO",AP607="NT"),"COUPE – À RESOUDER","À RÉPARER"))))))))))</f>
        <v>À SOUDER</v>
      </c>
      <c r="AR607" s="82" t="str">
        <f aca="false">IF(AND(ISNUMBER(U607),OR(AQ607="À RADIOGRAPHIER",AQ607="RÉPARÉ – À RADIOGRAPHIER",AQ607="NX – RT À REFAIRE",AQ607="À RÉPARER",AQ607="COUPE – À RESOUDER",AQ607="VT REJETÉ – À REPRENDRE")),MAX(0,'PROGRAMME RT'!$C$4-U607),"")</f>
        <v/>
      </c>
      <c r="AS607" s="82" t="n">
        <f aca="false">IF(AND(OR(AQ607="À RADIOGRAPHIER",AQ607="RÉPARÉ – À RADIOGRAPHIER",AQ607="NX – RT À REFAIRE"),OR('PROGRAMME RT'!$D$5="TOUTES",B607='PROGRAMME RT'!$D$5)),1,0)</f>
        <v>0</v>
      </c>
      <c r="AT607" s="82" t="str">
        <f aca="false">IF(AS607=1,SUM(AS$7:AS607),"")</f>
        <v/>
      </c>
      <c r="AU607" s="82" t="n">
        <f aca="false">IF(AND(OR(AA607="R",AA607="NX",AA607="NT",AA607="CO"),OR('JOINTS DE RÉPARATION'!$D$5="TOUTES",B607='JOINTS DE RÉPARATION'!$D$5),OR('JOINTS DE RÉPARATION'!$L$4="TOUS",AQ607&lt;&gt;"ACCEPTÉ")),1,0)</f>
        <v>0</v>
      </c>
      <c r="AV607" s="82" t="str">
        <f aca="false">IF(AU607=1,SUM(AU$7:AU607),"")</f>
        <v/>
      </c>
      <c r="AW607" s="82" t="str">
        <f aca="false">IF(E607="","",B607&amp;"|"&amp;E607)</f>
        <v>MFD-ISW → MFD-CPF|JN°601</v>
      </c>
    </row>
    <row r="608" customFormat="false" ht="74.6" hidden="false" customHeight="false" outlineLevel="0" collapsed="false">
      <c r="A608" s="79" t="n">
        <f aca="false">IF(E608="","",ROW()-6)</f>
        <v>602</v>
      </c>
      <c r="B608" s="80" t="s">
        <v>110</v>
      </c>
      <c r="C608" s="81"/>
      <c r="D608" s="81"/>
      <c r="E608" s="81" t="s">
        <v>712</v>
      </c>
      <c r="F608" s="82" t="str">
        <f aca="false">IF(E608="","",IF(LEFT(E608,2)="DJ","DJ","JN"))</f>
        <v>JN</v>
      </c>
      <c r="G608" s="81"/>
      <c r="H608" s="81"/>
      <c r="I608" s="81"/>
      <c r="J608" s="81"/>
      <c r="K608" s="81"/>
      <c r="L608" s="81"/>
      <c r="M608" s="81"/>
      <c r="N608" s="81"/>
      <c r="O608" s="81"/>
      <c r="P608" s="81"/>
      <c r="Q608" s="81"/>
      <c r="R608" s="81"/>
      <c r="S608" s="81"/>
      <c r="T608" s="81"/>
      <c r="U608" s="83"/>
      <c r="V608" s="83"/>
      <c r="W608" s="81"/>
      <c r="X608" s="81"/>
      <c r="Y608" s="83"/>
      <c r="Z608" s="81"/>
      <c r="AA608" s="81"/>
      <c r="AB608" s="81"/>
      <c r="AC608" s="81"/>
      <c r="AD608" s="81"/>
      <c r="AE608" s="83"/>
      <c r="AF608" s="81"/>
      <c r="AG608" s="81"/>
      <c r="AH608" s="81"/>
      <c r="AI608" s="81"/>
      <c r="AJ608" s="83"/>
      <c r="AK608" s="81"/>
      <c r="AL608" s="81"/>
      <c r="AM608" s="83"/>
      <c r="AN608" s="80"/>
      <c r="AO608" s="82" t="n">
        <f aca="false">IF(E608="","",(AA608&lt;&gt;"")+(AG608&lt;&gt;"")+(AL608&lt;&gt;""))</f>
        <v>0</v>
      </c>
      <c r="AP608" s="82" t="str">
        <f aca="false">IF(AL608&lt;&gt;"",AL608,IF(AG608&lt;&gt;"",AG608,IF(AA608&lt;&gt;"",AA608,"")))</f>
        <v/>
      </c>
      <c r="AQ608" s="84" t="str">
        <f aca="false">IF(E608="","",IF(U608="","À SOUDER",IF(X608="","VT EN ATTENTE",IF(X608="R","VT REJETÉ – À REPRENDRE",IF(AP608="","À RADIOGRAPHIER",IF(AP608="A","ACCEPTÉ",IF(AP608="NX","NX – RT À REFAIRE",IF(IF(AO608=1,AD608,IF(AO608=2,AI608,""))="A","RÉPARÉ – À RADIOGRAPHIER",IF(IF(AO608=1,AD608,IF(AO608=2,AI608,""))="R","VT REJETÉ – À REPRENDRE",IF(OR(AP608="CO",AP608="NT"),"COUPE – À RESOUDER","À RÉPARER"))))))))))</f>
        <v>À SOUDER</v>
      </c>
      <c r="AR608" s="82" t="str">
        <f aca="false">IF(AND(ISNUMBER(U608),OR(AQ608="À RADIOGRAPHIER",AQ608="RÉPARÉ – À RADIOGRAPHIER",AQ608="NX – RT À REFAIRE",AQ608="À RÉPARER",AQ608="COUPE – À RESOUDER",AQ608="VT REJETÉ – À REPRENDRE")),MAX(0,'PROGRAMME RT'!$C$4-U608),"")</f>
        <v/>
      </c>
      <c r="AS608" s="82" t="n">
        <f aca="false">IF(AND(OR(AQ608="À RADIOGRAPHIER",AQ608="RÉPARÉ – À RADIOGRAPHIER",AQ608="NX – RT À REFAIRE"),OR('PROGRAMME RT'!$D$5="TOUTES",B608='PROGRAMME RT'!$D$5)),1,0)</f>
        <v>0</v>
      </c>
      <c r="AT608" s="82" t="str">
        <f aca="false">IF(AS608=1,SUM(AS$7:AS608),"")</f>
        <v/>
      </c>
      <c r="AU608" s="82" t="n">
        <f aca="false">IF(AND(OR(AA608="R",AA608="NX",AA608="NT",AA608="CO"),OR('JOINTS DE RÉPARATION'!$D$5="TOUTES",B608='JOINTS DE RÉPARATION'!$D$5),OR('JOINTS DE RÉPARATION'!$L$4="TOUS",AQ608&lt;&gt;"ACCEPTÉ")),1,0)</f>
        <v>0</v>
      </c>
      <c r="AV608" s="82" t="str">
        <f aca="false">IF(AU608=1,SUM(AU$7:AU608),"")</f>
        <v/>
      </c>
      <c r="AW608" s="82" t="str">
        <f aca="false">IF(E608="","",B608&amp;"|"&amp;E608)</f>
        <v>MFD-ISW → MFD-CPF|JN°602</v>
      </c>
    </row>
    <row r="609" customFormat="false" ht="74.6" hidden="false" customHeight="false" outlineLevel="0" collapsed="false">
      <c r="A609" s="79" t="n">
        <f aca="false">IF(E609="","",ROW()-6)</f>
        <v>603</v>
      </c>
      <c r="B609" s="80" t="s">
        <v>110</v>
      </c>
      <c r="C609" s="81"/>
      <c r="D609" s="81"/>
      <c r="E609" s="81" t="s">
        <v>713</v>
      </c>
      <c r="F609" s="82" t="str">
        <f aca="false">IF(E609="","",IF(LEFT(E609,2)="DJ","DJ","JN"))</f>
        <v>JN</v>
      </c>
      <c r="G609" s="81"/>
      <c r="H609" s="81"/>
      <c r="I609" s="81"/>
      <c r="J609" s="81"/>
      <c r="K609" s="81"/>
      <c r="L609" s="81"/>
      <c r="M609" s="81"/>
      <c r="N609" s="81"/>
      <c r="O609" s="81"/>
      <c r="P609" s="81"/>
      <c r="Q609" s="81"/>
      <c r="R609" s="81"/>
      <c r="S609" s="81"/>
      <c r="T609" s="81"/>
      <c r="U609" s="83"/>
      <c r="V609" s="83"/>
      <c r="W609" s="81"/>
      <c r="X609" s="81"/>
      <c r="Y609" s="83"/>
      <c r="Z609" s="81"/>
      <c r="AA609" s="81"/>
      <c r="AB609" s="81"/>
      <c r="AC609" s="81"/>
      <c r="AD609" s="81"/>
      <c r="AE609" s="83"/>
      <c r="AF609" s="81"/>
      <c r="AG609" s="81"/>
      <c r="AH609" s="81"/>
      <c r="AI609" s="81"/>
      <c r="AJ609" s="83"/>
      <c r="AK609" s="81"/>
      <c r="AL609" s="81"/>
      <c r="AM609" s="83"/>
      <c r="AN609" s="80"/>
      <c r="AO609" s="82" t="n">
        <f aca="false">IF(E609="","",(AA609&lt;&gt;"")+(AG609&lt;&gt;"")+(AL609&lt;&gt;""))</f>
        <v>0</v>
      </c>
      <c r="AP609" s="82" t="str">
        <f aca="false">IF(AL609&lt;&gt;"",AL609,IF(AG609&lt;&gt;"",AG609,IF(AA609&lt;&gt;"",AA609,"")))</f>
        <v/>
      </c>
      <c r="AQ609" s="84" t="str">
        <f aca="false">IF(E609="","",IF(U609="","À SOUDER",IF(X609="","VT EN ATTENTE",IF(X609="R","VT REJETÉ – À REPRENDRE",IF(AP609="","À RADIOGRAPHIER",IF(AP609="A","ACCEPTÉ",IF(AP609="NX","NX – RT À REFAIRE",IF(IF(AO609=1,AD609,IF(AO609=2,AI609,""))="A","RÉPARÉ – À RADIOGRAPHIER",IF(IF(AO609=1,AD609,IF(AO609=2,AI609,""))="R","VT REJETÉ – À REPRENDRE",IF(OR(AP609="CO",AP609="NT"),"COUPE – À RESOUDER","À RÉPARER"))))))))))</f>
        <v>À SOUDER</v>
      </c>
      <c r="AR609" s="82" t="str">
        <f aca="false">IF(AND(ISNUMBER(U609),OR(AQ609="À RADIOGRAPHIER",AQ609="RÉPARÉ – À RADIOGRAPHIER",AQ609="NX – RT À REFAIRE",AQ609="À RÉPARER",AQ609="COUPE – À RESOUDER",AQ609="VT REJETÉ – À REPRENDRE")),MAX(0,'PROGRAMME RT'!$C$4-U609),"")</f>
        <v/>
      </c>
      <c r="AS609" s="82" t="n">
        <f aca="false">IF(AND(OR(AQ609="À RADIOGRAPHIER",AQ609="RÉPARÉ – À RADIOGRAPHIER",AQ609="NX – RT À REFAIRE"),OR('PROGRAMME RT'!$D$5="TOUTES",B609='PROGRAMME RT'!$D$5)),1,0)</f>
        <v>0</v>
      </c>
      <c r="AT609" s="82" t="str">
        <f aca="false">IF(AS609=1,SUM(AS$7:AS609),"")</f>
        <v/>
      </c>
      <c r="AU609" s="82" t="n">
        <f aca="false">IF(AND(OR(AA609="R",AA609="NX",AA609="NT",AA609="CO"),OR('JOINTS DE RÉPARATION'!$D$5="TOUTES",B609='JOINTS DE RÉPARATION'!$D$5),OR('JOINTS DE RÉPARATION'!$L$4="TOUS",AQ609&lt;&gt;"ACCEPTÉ")),1,0)</f>
        <v>0</v>
      </c>
      <c r="AV609" s="82" t="str">
        <f aca="false">IF(AU609=1,SUM(AU$7:AU609),"")</f>
        <v/>
      </c>
      <c r="AW609" s="82" t="str">
        <f aca="false">IF(E609="","",B609&amp;"|"&amp;E609)</f>
        <v>MFD-ISW → MFD-CPF|JN°603</v>
      </c>
    </row>
    <row r="610" customFormat="false" ht="74.6" hidden="false" customHeight="false" outlineLevel="0" collapsed="false">
      <c r="A610" s="79" t="n">
        <f aca="false">IF(E610="","",ROW()-6)</f>
        <v>604</v>
      </c>
      <c r="B610" s="80" t="s">
        <v>110</v>
      </c>
      <c r="C610" s="81"/>
      <c r="D610" s="81"/>
      <c r="E610" s="81" t="s">
        <v>714</v>
      </c>
      <c r="F610" s="82" t="str">
        <f aca="false">IF(E610="","",IF(LEFT(E610,2)="DJ","DJ","JN"))</f>
        <v>JN</v>
      </c>
      <c r="G610" s="81"/>
      <c r="H610" s="81"/>
      <c r="I610" s="81"/>
      <c r="J610" s="81"/>
      <c r="K610" s="81"/>
      <c r="L610" s="81"/>
      <c r="M610" s="81"/>
      <c r="N610" s="81"/>
      <c r="O610" s="81"/>
      <c r="P610" s="81"/>
      <c r="Q610" s="81"/>
      <c r="R610" s="81"/>
      <c r="S610" s="81"/>
      <c r="T610" s="81"/>
      <c r="U610" s="83"/>
      <c r="V610" s="83"/>
      <c r="W610" s="81"/>
      <c r="X610" s="81"/>
      <c r="Y610" s="83"/>
      <c r="Z610" s="81"/>
      <c r="AA610" s="81"/>
      <c r="AB610" s="81"/>
      <c r="AC610" s="81"/>
      <c r="AD610" s="81"/>
      <c r="AE610" s="83"/>
      <c r="AF610" s="81"/>
      <c r="AG610" s="81"/>
      <c r="AH610" s="81"/>
      <c r="AI610" s="81"/>
      <c r="AJ610" s="83"/>
      <c r="AK610" s="81"/>
      <c r="AL610" s="81"/>
      <c r="AM610" s="83"/>
      <c r="AN610" s="80"/>
      <c r="AO610" s="82" t="n">
        <f aca="false">IF(E610="","",(AA610&lt;&gt;"")+(AG610&lt;&gt;"")+(AL610&lt;&gt;""))</f>
        <v>0</v>
      </c>
      <c r="AP610" s="82" t="str">
        <f aca="false">IF(AL610&lt;&gt;"",AL610,IF(AG610&lt;&gt;"",AG610,IF(AA610&lt;&gt;"",AA610,"")))</f>
        <v/>
      </c>
      <c r="AQ610" s="84" t="str">
        <f aca="false">IF(E610="","",IF(U610="","À SOUDER",IF(X610="","VT EN ATTENTE",IF(X610="R","VT REJETÉ – À REPRENDRE",IF(AP610="","À RADIOGRAPHIER",IF(AP610="A","ACCEPTÉ",IF(AP610="NX","NX – RT À REFAIRE",IF(IF(AO610=1,AD610,IF(AO610=2,AI610,""))="A","RÉPARÉ – À RADIOGRAPHIER",IF(IF(AO610=1,AD610,IF(AO610=2,AI610,""))="R","VT REJETÉ – À REPRENDRE",IF(OR(AP610="CO",AP610="NT"),"COUPE – À RESOUDER","À RÉPARER"))))))))))</f>
        <v>À SOUDER</v>
      </c>
      <c r="AR610" s="82" t="str">
        <f aca="false">IF(AND(ISNUMBER(U610),OR(AQ610="À RADIOGRAPHIER",AQ610="RÉPARÉ – À RADIOGRAPHIER",AQ610="NX – RT À REFAIRE",AQ610="À RÉPARER",AQ610="COUPE – À RESOUDER",AQ610="VT REJETÉ – À REPRENDRE")),MAX(0,'PROGRAMME RT'!$C$4-U610),"")</f>
        <v/>
      </c>
      <c r="AS610" s="82" t="n">
        <f aca="false">IF(AND(OR(AQ610="À RADIOGRAPHIER",AQ610="RÉPARÉ – À RADIOGRAPHIER",AQ610="NX – RT À REFAIRE"),OR('PROGRAMME RT'!$D$5="TOUTES",B610='PROGRAMME RT'!$D$5)),1,0)</f>
        <v>0</v>
      </c>
      <c r="AT610" s="82" t="str">
        <f aca="false">IF(AS610=1,SUM(AS$7:AS610),"")</f>
        <v/>
      </c>
      <c r="AU610" s="82" t="n">
        <f aca="false">IF(AND(OR(AA610="R",AA610="NX",AA610="NT",AA610="CO"),OR('JOINTS DE RÉPARATION'!$D$5="TOUTES",B610='JOINTS DE RÉPARATION'!$D$5),OR('JOINTS DE RÉPARATION'!$L$4="TOUS",AQ610&lt;&gt;"ACCEPTÉ")),1,0)</f>
        <v>0</v>
      </c>
      <c r="AV610" s="82" t="str">
        <f aca="false">IF(AU610=1,SUM(AU$7:AU610),"")</f>
        <v/>
      </c>
      <c r="AW610" s="82" t="str">
        <f aca="false">IF(E610="","",B610&amp;"|"&amp;E610)</f>
        <v>MFD-ISW → MFD-CPF|JN°604</v>
      </c>
    </row>
    <row r="611" customFormat="false" ht="74.6" hidden="false" customHeight="false" outlineLevel="0" collapsed="false">
      <c r="A611" s="79" t="n">
        <f aca="false">IF(E611="","",ROW()-6)</f>
        <v>605</v>
      </c>
      <c r="B611" s="80" t="s">
        <v>110</v>
      </c>
      <c r="C611" s="81"/>
      <c r="D611" s="81"/>
      <c r="E611" s="81" t="s">
        <v>715</v>
      </c>
      <c r="F611" s="82" t="str">
        <f aca="false">IF(E611="","",IF(LEFT(E611,2)="DJ","DJ","JN"))</f>
        <v>JN</v>
      </c>
      <c r="G611" s="81"/>
      <c r="H611" s="81"/>
      <c r="I611" s="81"/>
      <c r="J611" s="81"/>
      <c r="K611" s="81"/>
      <c r="L611" s="81"/>
      <c r="M611" s="81"/>
      <c r="N611" s="81"/>
      <c r="O611" s="81"/>
      <c r="P611" s="81"/>
      <c r="Q611" s="81"/>
      <c r="R611" s="81"/>
      <c r="S611" s="81"/>
      <c r="T611" s="81"/>
      <c r="U611" s="83"/>
      <c r="V611" s="83"/>
      <c r="W611" s="81"/>
      <c r="X611" s="81"/>
      <c r="Y611" s="83"/>
      <c r="Z611" s="81"/>
      <c r="AA611" s="81"/>
      <c r="AB611" s="81"/>
      <c r="AC611" s="81"/>
      <c r="AD611" s="81"/>
      <c r="AE611" s="83"/>
      <c r="AF611" s="81"/>
      <c r="AG611" s="81"/>
      <c r="AH611" s="81"/>
      <c r="AI611" s="81"/>
      <c r="AJ611" s="83"/>
      <c r="AK611" s="81"/>
      <c r="AL611" s="81"/>
      <c r="AM611" s="83"/>
      <c r="AN611" s="80"/>
      <c r="AO611" s="82" t="n">
        <f aca="false">IF(E611="","",(AA611&lt;&gt;"")+(AG611&lt;&gt;"")+(AL611&lt;&gt;""))</f>
        <v>0</v>
      </c>
      <c r="AP611" s="82" t="str">
        <f aca="false">IF(AL611&lt;&gt;"",AL611,IF(AG611&lt;&gt;"",AG611,IF(AA611&lt;&gt;"",AA611,"")))</f>
        <v/>
      </c>
      <c r="AQ611" s="84" t="str">
        <f aca="false">IF(E611="","",IF(U611="","À SOUDER",IF(X611="","VT EN ATTENTE",IF(X611="R","VT REJETÉ – À REPRENDRE",IF(AP611="","À RADIOGRAPHIER",IF(AP611="A","ACCEPTÉ",IF(AP611="NX","NX – RT À REFAIRE",IF(IF(AO611=1,AD611,IF(AO611=2,AI611,""))="A","RÉPARÉ – À RADIOGRAPHIER",IF(IF(AO611=1,AD611,IF(AO611=2,AI611,""))="R","VT REJETÉ – À REPRENDRE",IF(OR(AP611="CO",AP611="NT"),"COUPE – À RESOUDER","À RÉPARER"))))))))))</f>
        <v>À SOUDER</v>
      </c>
      <c r="AR611" s="82" t="str">
        <f aca="false">IF(AND(ISNUMBER(U611),OR(AQ611="À RADIOGRAPHIER",AQ611="RÉPARÉ – À RADIOGRAPHIER",AQ611="NX – RT À REFAIRE",AQ611="À RÉPARER",AQ611="COUPE – À RESOUDER",AQ611="VT REJETÉ – À REPRENDRE")),MAX(0,'PROGRAMME RT'!$C$4-U611),"")</f>
        <v/>
      </c>
      <c r="AS611" s="82" t="n">
        <f aca="false">IF(AND(OR(AQ611="À RADIOGRAPHIER",AQ611="RÉPARÉ – À RADIOGRAPHIER",AQ611="NX – RT À REFAIRE"),OR('PROGRAMME RT'!$D$5="TOUTES",B611='PROGRAMME RT'!$D$5)),1,0)</f>
        <v>0</v>
      </c>
      <c r="AT611" s="82" t="str">
        <f aca="false">IF(AS611=1,SUM(AS$7:AS611),"")</f>
        <v/>
      </c>
      <c r="AU611" s="82" t="n">
        <f aca="false">IF(AND(OR(AA611="R",AA611="NX",AA611="NT",AA611="CO"),OR('JOINTS DE RÉPARATION'!$D$5="TOUTES",B611='JOINTS DE RÉPARATION'!$D$5),OR('JOINTS DE RÉPARATION'!$L$4="TOUS",AQ611&lt;&gt;"ACCEPTÉ")),1,0)</f>
        <v>0</v>
      </c>
      <c r="AV611" s="82" t="str">
        <f aca="false">IF(AU611=1,SUM(AU$7:AU611),"")</f>
        <v/>
      </c>
      <c r="AW611" s="82" t="str">
        <f aca="false">IF(E611="","",B611&amp;"|"&amp;E611)</f>
        <v>MFD-ISW → MFD-CPF|JN°605</v>
      </c>
    </row>
    <row r="612" customFormat="false" ht="74.6" hidden="false" customHeight="false" outlineLevel="0" collapsed="false">
      <c r="A612" s="79" t="n">
        <f aca="false">IF(E612="","",ROW()-6)</f>
        <v>606</v>
      </c>
      <c r="B612" s="80" t="s">
        <v>110</v>
      </c>
      <c r="C612" s="81"/>
      <c r="D612" s="81"/>
      <c r="E612" s="81" t="s">
        <v>716</v>
      </c>
      <c r="F612" s="82" t="str">
        <f aca="false">IF(E612="","",IF(LEFT(E612,2)="DJ","DJ","JN"))</f>
        <v>JN</v>
      </c>
      <c r="G612" s="81"/>
      <c r="H612" s="81"/>
      <c r="I612" s="81"/>
      <c r="J612" s="81"/>
      <c r="K612" s="81"/>
      <c r="L612" s="81"/>
      <c r="M612" s="81"/>
      <c r="N612" s="81"/>
      <c r="O612" s="81"/>
      <c r="P612" s="81"/>
      <c r="Q612" s="81"/>
      <c r="R612" s="81"/>
      <c r="S612" s="81"/>
      <c r="T612" s="81"/>
      <c r="U612" s="83"/>
      <c r="V612" s="83"/>
      <c r="W612" s="81"/>
      <c r="X612" s="81"/>
      <c r="Y612" s="83"/>
      <c r="Z612" s="81"/>
      <c r="AA612" s="81"/>
      <c r="AB612" s="81"/>
      <c r="AC612" s="81"/>
      <c r="AD612" s="81"/>
      <c r="AE612" s="83"/>
      <c r="AF612" s="81"/>
      <c r="AG612" s="81"/>
      <c r="AH612" s="81"/>
      <c r="AI612" s="81"/>
      <c r="AJ612" s="83"/>
      <c r="AK612" s="81"/>
      <c r="AL612" s="81"/>
      <c r="AM612" s="83"/>
      <c r="AN612" s="80"/>
      <c r="AO612" s="82" t="n">
        <f aca="false">IF(E612="","",(AA612&lt;&gt;"")+(AG612&lt;&gt;"")+(AL612&lt;&gt;""))</f>
        <v>0</v>
      </c>
      <c r="AP612" s="82" t="str">
        <f aca="false">IF(AL612&lt;&gt;"",AL612,IF(AG612&lt;&gt;"",AG612,IF(AA612&lt;&gt;"",AA612,"")))</f>
        <v/>
      </c>
      <c r="AQ612" s="84" t="str">
        <f aca="false">IF(E612="","",IF(U612="","À SOUDER",IF(X612="","VT EN ATTENTE",IF(X612="R","VT REJETÉ – À REPRENDRE",IF(AP612="","À RADIOGRAPHIER",IF(AP612="A","ACCEPTÉ",IF(AP612="NX","NX – RT À REFAIRE",IF(IF(AO612=1,AD612,IF(AO612=2,AI612,""))="A","RÉPARÉ – À RADIOGRAPHIER",IF(IF(AO612=1,AD612,IF(AO612=2,AI612,""))="R","VT REJETÉ – À REPRENDRE",IF(OR(AP612="CO",AP612="NT"),"COUPE – À RESOUDER","À RÉPARER"))))))))))</f>
        <v>À SOUDER</v>
      </c>
      <c r="AR612" s="82" t="str">
        <f aca="false">IF(AND(ISNUMBER(U612),OR(AQ612="À RADIOGRAPHIER",AQ612="RÉPARÉ – À RADIOGRAPHIER",AQ612="NX – RT À REFAIRE",AQ612="À RÉPARER",AQ612="COUPE – À RESOUDER",AQ612="VT REJETÉ – À REPRENDRE")),MAX(0,'PROGRAMME RT'!$C$4-U612),"")</f>
        <v/>
      </c>
      <c r="AS612" s="82" t="n">
        <f aca="false">IF(AND(OR(AQ612="À RADIOGRAPHIER",AQ612="RÉPARÉ – À RADIOGRAPHIER",AQ612="NX – RT À REFAIRE"),OR('PROGRAMME RT'!$D$5="TOUTES",B612='PROGRAMME RT'!$D$5)),1,0)</f>
        <v>0</v>
      </c>
      <c r="AT612" s="82" t="str">
        <f aca="false">IF(AS612=1,SUM(AS$7:AS612),"")</f>
        <v/>
      </c>
      <c r="AU612" s="82" t="n">
        <f aca="false">IF(AND(OR(AA612="R",AA612="NX",AA612="NT",AA612="CO"),OR('JOINTS DE RÉPARATION'!$D$5="TOUTES",B612='JOINTS DE RÉPARATION'!$D$5),OR('JOINTS DE RÉPARATION'!$L$4="TOUS",AQ612&lt;&gt;"ACCEPTÉ")),1,0)</f>
        <v>0</v>
      </c>
      <c r="AV612" s="82" t="str">
        <f aca="false">IF(AU612=1,SUM(AU$7:AU612),"")</f>
        <v/>
      </c>
      <c r="AW612" s="82" t="str">
        <f aca="false">IF(E612="","",B612&amp;"|"&amp;E612)</f>
        <v>MFD-ISW → MFD-CPF|JN°606</v>
      </c>
    </row>
    <row r="613" customFormat="false" ht="74.6" hidden="false" customHeight="false" outlineLevel="0" collapsed="false">
      <c r="A613" s="79" t="n">
        <f aca="false">IF(E613="","",ROW()-6)</f>
        <v>607</v>
      </c>
      <c r="B613" s="80" t="s">
        <v>110</v>
      </c>
      <c r="C613" s="81"/>
      <c r="D613" s="81"/>
      <c r="E613" s="81" t="s">
        <v>717</v>
      </c>
      <c r="F613" s="82" t="str">
        <f aca="false">IF(E613="","",IF(LEFT(E613,2)="DJ","DJ","JN"))</f>
        <v>JN</v>
      </c>
      <c r="G613" s="81"/>
      <c r="H613" s="81"/>
      <c r="I613" s="81"/>
      <c r="J613" s="81"/>
      <c r="K613" s="81"/>
      <c r="L613" s="81"/>
      <c r="M613" s="81"/>
      <c r="N613" s="81"/>
      <c r="O613" s="81"/>
      <c r="P613" s="81"/>
      <c r="Q613" s="81"/>
      <c r="R613" s="81"/>
      <c r="S613" s="81"/>
      <c r="T613" s="81"/>
      <c r="U613" s="83"/>
      <c r="V613" s="83"/>
      <c r="W613" s="81"/>
      <c r="X613" s="81"/>
      <c r="Y613" s="83"/>
      <c r="Z613" s="81"/>
      <c r="AA613" s="81"/>
      <c r="AB613" s="81"/>
      <c r="AC613" s="81"/>
      <c r="AD613" s="81"/>
      <c r="AE613" s="83"/>
      <c r="AF613" s="81"/>
      <c r="AG613" s="81"/>
      <c r="AH613" s="81"/>
      <c r="AI613" s="81"/>
      <c r="AJ613" s="83"/>
      <c r="AK613" s="81"/>
      <c r="AL613" s="81"/>
      <c r="AM613" s="83"/>
      <c r="AN613" s="80"/>
      <c r="AO613" s="82" t="n">
        <f aca="false">IF(E613="","",(AA613&lt;&gt;"")+(AG613&lt;&gt;"")+(AL613&lt;&gt;""))</f>
        <v>0</v>
      </c>
      <c r="AP613" s="82" t="str">
        <f aca="false">IF(AL613&lt;&gt;"",AL613,IF(AG613&lt;&gt;"",AG613,IF(AA613&lt;&gt;"",AA613,"")))</f>
        <v/>
      </c>
      <c r="AQ613" s="84" t="str">
        <f aca="false">IF(E613="","",IF(U613="","À SOUDER",IF(X613="","VT EN ATTENTE",IF(X613="R","VT REJETÉ – À REPRENDRE",IF(AP613="","À RADIOGRAPHIER",IF(AP613="A","ACCEPTÉ",IF(AP613="NX","NX – RT À REFAIRE",IF(IF(AO613=1,AD613,IF(AO613=2,AI613,""))="A","RÉPARÉ – À RADIOGRAPHIER",IF(IF(AO613=1,AD613,IF(AO613=2,AI613,""))="R","VT REJETÉ – À REPRENDRE",IF(OR(AP613="CO",AP613="NT"),"COUPE – À RESOUDER","À RÉPARER"))))))))))</f>
        <v>À SOUDER</v>
      </c>
      <c r="AR613" s="82" t="str">
        <f aca="false">IF(AND(ISNUMBER(U613),OR(AQ613="À RADIOGRAPHIER",AQ613="RÉPARÉ – À RADIOGRAPHIER",AQ613="NX – RT À REFAIRE",AQ613="À RÉPARER",AQ613="COUPE – À RESOUDER",AQ613="VT REJETÉ – À REPRENDRE")),MAX(0,'PROGRAMME RT'!$C$4-U613),"")</f>
        <v/>
      </c>
      <c r="AS613" s="82" t="n">
        <f aca="false">IF(AND(OR(AQ613="À RADIOGRAPHIER",AQ613="RÉPARÉ – À RADIOGRAPHIER",AQ613="NX – RT À REFAIRE"),OR('PROGRAMME RT'!$D$5="TOUTES",B613='PROGRAMME RT'!$D$5)),1,0)</f>
        <v>0</v>
      </c>
      <c r="AT613" s="82" t="str">
        <f aca="false">IF(AS613=1,SUM(AS$7:AS613),"")</f>
        <v/>
      </c>
      <c r="AU613" s="82" t="n">
        <f aca="false">IF(AND(OR(AA613="R",AA613="NX",AA613="NT",AA613="CO"),OR('JOINTS DE RÉPARATION'!$D$5="TOUTES",B613='JOINTS DE RÉPARATION'!$D$5),OR('JOINTS DE RÉPARATION'!$L$4="TOUS",AQ613&lt;&gt;"ACCEPTÉ")),1,0)</f>
        <v>0</v>
      </c>
      <c r="AV613" s="82" t="str">
        <f aca="false">IF(AU613=1,SUM(AU$7:AU613),"")</f>
        <v/>
      </c>
      <c r="AW613" s="82" t="str">
        <f aca="false">IF(E613="","",B613&amp;"|"&amp;E613)</f>
        <v>MFD-ISW → MFD-CPF|JN°607</v>
      </c>
    </row>
    <row r="614" customFormat="false" ht="74.6" hidden="false" customHeight="false" outlineLevel="0" collapsed="false">
      <c r="A614" s="79" t="n">
        <f aca="false">IF(E614="","",ROW()-6)</f>
        <v>608</v>
      </c>
      <c r="B614" s="80" t="s">
        <v>110</v>
      </c>
      <c r="C614" s="81"/>
      <c r="D614" s="81"/>
      <c r="E614" s="81" t="s">
        <v>718</v>
      </c>
      <c r="F614" s="82" t="str">
        <f aca="false">IF(E614="","",IF(LEFT(E614,2)="DJ","DJ","JN"))</f>
        <v>JN</v>
      </c>
      <c r="G614" s="81"/>
      <c r="H614" s="81"/>
      <c r="I614" s="81"/>
      <c r="J614" s="81"/>
      <c r="K614" s="81"/>
      <c r="L614" s="81"/>
      <c r="M614" s="81"/>
      <c r="N614" s="81"/>
      <c r="O614" s="81"/>
      <c r="P614" s="81"/>
      <c r="Q614" s="81"/>
      <c r="R614" s="81"/>
      <c r="S614" s="81"/>
      <c r="T614" s="81"/>
      <c r="U614" s="83"/>
      <c r="V614" s="83"/>
      <c r="W614" s="81"/>
      <c r="X614" s="81"/>
      <c r="Y614" s="83"/>
      <c r="Z614" s="81"/>
      <c r="AA614" s="81"/>
      <c r="AB614" s="81"/>
      <c r="AC614" s="81"/>
      <c r="AD614" s="81"/>
      <c r="AE614" s="83"/>
      <c r="AF614" s="81"/>
      <c r="AG614" s="81"/>
      <c r="AH614" s="81"/>
      <c r="AI614" s="81"/>
      <c r="AJ614" s="83"/>
      <c r="AK614" s="81"/>
      <c r="AL614" s="81"/>
      <c r="AM614" s="83"/>
      <c r="AN614" s="80"/>
      <c r="AO614" s="82" t="n">
        <f aca="false">IF(E614="","",(AA614&lt;&gt;"")+(AG614&lt;&gt;"")+(AL614&lt;&gt;""))</f>
        <v>0</v>
      </c>
      <c r="AP614" s="82" t="str">
        <f aca="false">IF(AL614&lt;&gt;"",AL614,IF(AG614&lt;&gt;"",AG614,IF(AA614&lt;&gt;"",AA614,"")))</f>
        <v/>
      </c>
      <c r="AQ614" s="84" t="str">
        <f aca="false">IF(E614="","",IF(U614="","À SOUDER",IF(X614="","VT EN ATTENTE",IF(X614="R","VT REJETÉ – À REPRENDRE",IF(AP614="","À RADIOGRAPHIER",IF(AP614="A","ACCEPTÉ",IF(AP614="NX","NX – RT À REFAIRE",IF(IF(AO614=1,AD614,IF(AO614=2,AI614,""))="A","RÉPARÉ – À RADIOGRAPHIER",IF(IF(AO614=1,AD614,IF(AO614=2,AI614,""))="R","VT REJETÉ – À REPRENDRE",IF(OR(AP614="CO",AP614="NT"),"COUPE – À RESOUDER","À RÉPARER"))))))))))</f>
        <v>À SOUDER</v>
      </c>
      <c r="AR614" s="82" t="str">
        <f aca="false">IF(AND(ISNUMBER(U614),OR(AQ614="À RADIOGRAPHIER",AQ614="RÉPARÉ – À RADIOGRAPHIER",AQ614="NX – RT À REFAIRE",AQ614="À RÉPARER",AQ614="COUPE – À RESOUDER",AQ614="VT REJETÉ – À REPRENDRE")),MAX(0,'PROGRAMME RT'!$C$4-U614),"")</f>
        <v/>
      </c>
      <c r="AS614" s="82" t="n">
        <f aca="false">IF(AND(OR(AQ614="À RADIOGRAPHIER",AQ614="RÉPARÉ – À RADIOGRAPHIER",AQ614="NX – RT À REFAIRE"),OR('PROGRAMME RT'!$D$5="TOUTES",B614='PROGRAMME RT'!$D$5)),1,0)</f>
        <v>0</v>
      </c>
      <c r="AT614" s="82" t="str">
        <f aca="false">IF(AS614=1,SUM(AS$7:AS614),"")</f>
        <v/>
      </c>
      <c r="AU614" s="82" t="n">
        <f aca="false">IF(AND(OR(AA614="R",AA614="NX",AA614="NT",AA614="CO"),OR('JOINTS DE RÉPARATION'!$D$5="TOUTES",B614='JOINTS DE RÉPARATION'!$D$5),OR('JOINTS DE RÉPARATION'!$L$4="TOUS",AQ614&lt;&gt;"ACCEPTÉ")),1,0)</f>
        <v>0</v>
      </c>
      <c r="AV614" s="82" t="str">
        <f aca="false">IF(AU614=1,SUM(AU$7:AU614),"")</f>
        <v/>
      </c>
      <c r="AW614" s="82" t="str">
        <f aca="false">IF(E614="","",B614&amp;"|"&amp;E614)</f>
        <v>MFD-ISW → MFD-CPF|JN°608</v>
      </c>
    </row>
    <row r="615" customFormat="false" ht="74.6" hidden="false" customHeight="false" outlineLevel="0" collapsed="false">
      <c r="A615" s="79" t="n">
        <f aca="false">IF(E615="","",ROW()-6)</f>
        <v>609</v>
      </c>
      <c r="B615" s="80" t="s">
        <v>110</v>
      </c>
      <c r="C615" s="81"/>
      <c r="D615" s="81"/>
      <c r="E615" s="81" t="s">
        <v>719</v>
      </c>
      <c r="F615" s="82" t="str">
        <f aca="false">IF(E615="","",IF(LEFT(E615,2)="DJ","DJ","JN"))</f>
        <v>JN</v>
      </c>
      <c r="G615" s="81"/>
      <c r="H615" s="81"/>
      <c r="I615" s="81"/>
      <c r="J615" s="81"/>
      <c r="K615" s="81"/>
      <c r="L615" s="81"/>
      <c r="M615" s="81"/>
      <c r="N615" s="81"/>
      <c r="O615" s="81"/>
      <c r="P615" s="81"/>
      <c r="Q615" s="81"/>
      <c r="R615" s="81"/>
      <c r="S615" s="81"/>
      <c r="T615" s="81"/>
      <c r="U615" s="83"/>
      <c r="V615" s="83"/>
      <c r="W615" s="81"/>
      <c r="X615" s="81"/>
      <c r="Y615" s="83"/>
      <c r="Z615" s="81"/>
      <c r="AA615" s="81"/>
      <c r="AB615" s="81"/>
      <c r="AC615" s="81"/>
      <c r="AD615" s="81"/>
      <c r="AE615" s="83"/>
      <c r="AF615" s="81"/>
      <c r="AG615" s="81"/>
      <c r="AH615" s="81"/>
      <c r="AI615" s="81"/>
      <c r="AJ615" s="83"/>
      <c r="AK615" s="81"/>
      <c r="AL615" s="81"/>
      <c r="AM615" s="83"/>
      <c r="AN615" s="80"/>
      <c r="AO615" s="82" t="n">
        <f aca="false">IF(E615="","",(AA615&lt;&gt;"")+(AG615&lt;&gt;"")+(AL615&lt;&gt;""))</f>
        <v>0</v>
      </c>
      <c r="AP615" s="82" t="str">
        <f aca="false">IF(AL615&lt;&gt;"",AL615,IF(AG615&lt;&gt;"",AG615,IF(AA615&lt;&gt;"",AA615,"")))</f>
        <v/>
      </c>
      <c r="AQ615" s="84" t="str">
        <f aca="false">IF(E615="","",IF(U615="","À SOUDER",IF(X615="","VT EN ATTENTE",IF(X615="R","VT REJETÉ – À REPRENDRE",IF(AP615="","À RADIOGRAPHIER",IF(AP615="A","ACCEPTÉ",IF(AP615="NX","NX – RT À REFAIRE",IF(IF(AO615=1,AD615,IF(AO615=2,AI615,""))="A","RÉPARÉ – À RADIOGRAPHIER",IF(IF(AO615=1,AD615,IF(AO615=2,AI615,""))="R","VT REJETÉ – À REPRENDRE",IF(OR(AP615="CO",AP615="NT"),"COUPE – À RESOUDER","À RÉPARER"))))))))))</f>
        <v>À SOUDER</v>
      </c>
      <c r="AR615" s="82" t="str">
        <f aca="false">IF(AND(ISNUMBER(U615),OR(AQ615="À RADIOGRAPHIER",AQ615="RÉPARÉ – À RADIOGRAPHIER",AQ615="NX – RT À REFAIRE",AQ615="À RÉPARER",AQ615="COUPE – À RESOUDER",AQ615="VT REJETÉ – À REPRENDRE")),MAX(0,'PROGRAMME RT'!$C$4-U615),"")</f>
        <v/>
      </c>
      <c r="AS615" s="82" t="n">
        <f aca="false">IF(AND(OR(AQ615="À RADIOGRAPHIER",AQ615="RÉPARÉ – À RADIOGRAPHIER",AQ615="NX – RT À REFAIRE"),OR('PROGRAMME RT'!$D$5="TOUTES",B615='PROGRAMME RT'!$D$5)),1,0)</f>
        <v>0</v>
      </c>
      <c r="AT615" s="82" t="str">
        <f aca="false">IF(AS615=1,SUM(AS$7:AS615),"")</f>
        <v/>
      </c>
      <c r="AU615" s="82" t="n">
        <f aca="false">IF(AND(OR(AA615="R",AA615="NX",AA615="NT",AA615="CO"),OR('JOINTS DE RÉPARATION'!$D$5="TOUTES",B615='JOINTS DE RÉPARATION'!$D$5),OR('JOINTS DE RÉPARATION'!$L$4="TOUS",AQ615&lt;&gt;"ACCEPTÉ")),1,0)</f>
        <v>0</v>
      </c>
      <c r="AV615" s="82" t="str">
        <f aca="false">IF(AU615=1,SUM(AU$7:AU615),"")</f>
        <v/>
      </c>
      <c r="AW615" s="82" t="str">
        <f aca="false">IF(E615="","",B615&amp;"|"&amp;E615)</f>
        <v>MFD-ISW → MFD-CPF|JN°609</v>
      </c>
    </row>
    <row r="616" customFormat="false" ht="74.6" hidden="false" customHeight="false" outlineLevel="0" collapsed="false">
      <c r="A616" s="79" t="n">
        <f aca="false">IF(E616="","",ROW()-6)</f>
        <v>610</v>
      </c>
      <c r="B616" s="80" t="s">
        <v>110</v>
      </c>
      <c r="C616" s="81"/>
      <c r="D616" s="81"/>
      <c r="E616" s="81" t="s">
        <v>720</v>
      </c>
      <c r="F616" s="82" t="str">
        <f aca="false">IF(E616="","",IF(LEFT(E616,2)="DJ","DJ","JN"))</f>
        <v>JN</v>
      </c>
      <c r="G616" s="81"/>
      <c r="H616" s="81"/>
      <c r="I616" s="81"/>
      <c r="J616" s="81"/>
      <c r="K616" s="81"/>
      <c r="L616" s="81"/>
      <c r="M616" s="81"/>
      <c r="N616" s="81"/>
      <c r="O616" s="81"/>
      <c r="P616" s="81"/>
      <c r="Q616" s="81"/>
      <c r="R616" s="81"/>
      <c r="S616" s="81"/>
      <c r="T616" s="81"/>
      <c r="U616" s="83"/>
      <c r="V616" s="83"/>
      <c r="W616" s="81"/>
      <c r="X616" s="81"/>
      <c r="Y616" s="83"/>
      <c r="Z616" s="81"/>
      <c r="AA616" s="81"/>
      <c r="AB616" s="81"/>
      <c r="AC616" s="81"/>
      <c r="AD616" s="81"/>
      <c r="AE616" s="83"/>
      <c r="AF616" s="81"/>
      <c r="AG616" s="81"/>
      <c r="AH616" s="81"/>
      <c r="AI616" s="81"/>
      <c r="AJ616" s="83"/>
      <c r="AK616" s="81"/>
      <c r="AL616" s="81"/>
      <c r="AM616" s="83"/>
      <c r="AN616" s="80"/>
      <c r="AO616" s="82" t="n">
        <f aca="false">IF(E616="","",(AA616&lt;&gt;"")+(AG616&lt;&gt;"")+(AL616&lt;&gt;""))</f>
        <v>0</v>
      </c>
      <c r="AP616" s="82" t="str">
        <f aca="false">IF(AL616&lt;&gt;"",AL616,IF(AG616&lt;&gt;"",AG616,IF(AA616&lt;&gt;"",AA616,"")))</f>
        <v/>
      </c>
      <c r="AQ616" s="84" t="str">
        <f aca="false">IF(E616="","",IF(U616="","À SOUDER",IF(X616="","VT EN ATTENTE",IF(X616="R","VT REJETÉ – À REPRENDRE",IF(AP616="","À RADIOGRAPHIER",IF(AP616="A","ACCEPTÉ",IF(AP616="NX","NX – RT À REFAIRE",IF(IF(AO616=1,AD616,IF(AO616=2,AI616,""))="A","RÉPARÉ – À RADIOGRAPHIER",IF(IF(AO616=1,AD616,IF(AO616=2,AI616,""))="R","VT REJETÉ – À REPRENDRE",IF(OR(AP616="CO",AP616="NT"),"COUPE – À RESOUDER","À RÉPARER"))))))))))</f>
        <v>À SOUDER</v>
      </c>
      <c r="AR616" s="82" t="str">
        <f aca="false">IF(AND(ISNUMBER(U616),OR(AQ616="À RADIOGRAPHIER",AQ616="RÉPARÉ – À RADIOGRAPHIER",AQ616="NX – RT À REFAIRE",AQ616="À RÉPARER",AQ616="COUPE – À RESOUDER",AQ616="VT REJETÉ – À REPRENDRE")),MAX(0,'PROGRAMME RT'!$C$4-U616),"")</f>
        <v/>
      </c>
      <c r="AS616" s="82" t="n">
        <f aca="false">IF(AND(OR(AQ616="À RADIOGRAPHIER",AQ616="RÉPARÉ – À RADIOGRAPHIER",AQ616="NX – RT À REFAIRE"),OR('PROGRAMME RT'!$D$5="TOUTES",B616='PROGRAMME RT'!$D$5)),1,0)</f>
        <v>0</v>
      </c>
      <c r="AT616" s="82" t="str">
        <f aca="false">IF(AS616=1,SUM(AS$7:AS616),"")</f>
        <v/>
      </c>
      <c r="AU616" s="82" t="n">
        <f aca="false">IF(AND(OR(AA616="R",AA616="NX",AA616="NT",AA616="CO"),OR('JOINTS DE RÉPARATION'!$D$5="TOUTES",B616='JOINTS DE RÉPARATION'!$D$5),OR('JOINTS DE RÉPARATION'!$L$4="TOUS",AQ616&lt;&gt;"ACCEPTÉ")),1,0)</f>
        <v>0</v>
      </c>
      <c r="AV616" s="82" t="str">
        <f aca="false">IF(AU616=1,SUM(AU$7:AU616),"")</f>
        <v/>
      </c>
      <c r="AW616" s="82" t="str">
        <f aca="false">IF(E616="","",B616&amp;"|"&amp;E616)</f>
        <v>MFD-ISW → MFD-CPF|JN°610</v>
      </c>
    </row>
    <row r="617" customFormat="false" ht="74.6" hidden="false" customHeight="false" outlineLevel="0" collapsed="false">
      <c r="A617" s="79" t="n">
        <f aca="false">IF(E617="","",ROW()-6)</f>
        <v>611</v>
      </c>
      <c r="B617" s="80" t="s">
        <v>110</v>
      </c>
      <c r="C617" s="81"/>
      <c r="D617" s="81"/>
      <c r="E617" s="81" t="s">
        <v>721</v>
      </c>
      <c r="F617" s="82" t="str">
        <f aca="false">IF(E617="","",IF(LEFT(E617,2)="DJ","DJ","JN"))</f>
        <v>JN</v>
      </c>
      <c r="G617" s="81"/>
      <c r="H617" s="81"/>
      <c r="I617" s="81"/>
      <c r="J617" s="81"/>
      <c r="K617" s="81"/>
      <c r="L617" s="81"/>
      <c r="M617" s="81"/>
      <c r="N617" s="81"/>
      <c r="O617" s="81"/>
      <c r="P617" s="81"/>
      <c r="Q617" s="81"/>
      <c r="R617" s="81"/>
      <c r="S617" s="81"/>
      <c r="T617" s="81"/>
      <c r="U617" s="83"/>
      <c r="V617" s="83"/>
      <c r="W617" s="81"/>
      <c r="X617" s="81"/>
      <c r="Y617" s="83"/>
      <c r="Z617" s="81"/>
      <c r="AA617" s="81"/>
      <c r="AB617" s="81"/>
      <c r="AC617" s="81"/>
      <c r="AD617" s="81"/>
      <c r="AE617" s="83"/>
      <c r="AF617" s="81"/>
      <c r="AG617" s="81"/>
      <c r="AH617" s="81"/>
      <c r="AI617" s="81"/>
      <c r="AJ617" s="83"/>
      <c r="AK617" s="81"/>
      <c r="AL617" s="81"/>
      <c r="AM617" s="83"/>
      <c r="AN617" s="80"/>
      <c r="AO617" s="82" t="n">
        <f aca="false">IF(E617="","",(AA617&lt;&gt;"")+(AG617&lt;&gt;"")+(AL617&lt;&gt;""))</f>
        <v>0</v>
      </c>
      <c r="AP617" s="82" t="str">
        <f aca="false">IF(AL617&lt;&gt;"",AL617,IF(AG617&lt;&gt;"",AG617,IF(AA617&lt;&gt;"",AA617,"")))</f>
        <v/>
      </c>
      <c r="AQ617" s="84" t="str">
        <f aca="false">IF(E617="","",IF(U617="","À SOUDER",IF(X617="","VT EN ATTENTE",IF(X617="R","VT REJETÉ – À REPRENDRE",IF(AP617="","À RADIOGRAPHIER",IF(AP617="A","ACCEPTÉ",IF(AP617="NX","NX – RT À REFAIRE",IF(IF(AO617=1,AD617,IF(AO617=2,AI617,""))="A","RÉPARÉ – À RADIOGRAPHIER",IF(IF(AO617=1,AD617,IF(AO617=2,AI617,""))="R","VT REJETÉ – À REPRENDRE",IF(OR(AP617="CO",AP617="NT"),"COUPE – À RESOUDER","À RÉPARER"))))))))))</f>
        <v>À SOUDER</v>
      </c>
      <c r="AR617" s="82" t="str">
        <f aca="false">IF(AND(ISNUMBER(U617),OR(AQ617="À RADIOGRAPHIER",AQ617="RÉPARÉ – À RADIOGRAPHIER",AQ617="NX – RT À REFAIRE",AQ617="À RÉPARER",AQ617="COUPE – À RESOUDER",AQ617="VT REJETÉ – À REPRENDRE")),MAX(0,'PROGRAMME RT'!$C$4-U617),"")</f>
        <v/>
      </c>
      <c r="AS617" s="82" t="n">
        <f aca="false">IF(AND(OR(AQ617="À RADIOGRAPHIER",AQ617="RÉPARÉ – À RADIOGRAPHIER",AQ617="NX – RT À REFAIRE"),OR('PROGRAMME RT'!$D$5="TOUTES",B617='PROGRAMME RT'!$D$5)),1,0)</f>
        <v>0</v>
      </c>
      <c r="AT617" s="82" t="str">
        <f aca="false">IF(AS617=1,SUM(AS$7:AS617),"")</f>
        <v/>
      </c>
      <c r="AU617" s="82" t="n">
        <f aca="false">IF(AND(OR(AA617="R",AA617="NX",AA617="NT",AA617="CO"),OR('JOINTS DE RÉPARATION'!$D$5="TOUTES",B617='JOINTS DE RÉPARATION'!$D$5),OR('JOINTS DE RÉPARATION'!$L$4="TOUS",AQ617&lt;&gt;"ACCEPTÉ")),1,0)</f>
        <v>0</v>
      </c>
      <c r="AV617" s="82" t="str">
        <f aca="false">IF(AU617=1,SUM(AU$7:AU617),"")</f>
        <v/>
      </c>
      <c r="AW617" s="82" t="str">
        <f aca="false">IF(E617="","",B617&amp;"|"&amp;E617)</f>
        <v>MFD-ISW → MFD-CPF|JN°611</v>
      </c>
    </row>
    <row r="618" customFormat="false" ht="74.6" hidden="false" customHeight="false" outlineLevel="0" collapsed="false">
      <c r="A618" s="79" t="n">
        <f aca="false">IF(E618="","",ROW()-6)</f>
        <v>612</v>
      </c>
      <c r="B618" s="80" t="s">
        <v>110</v>
      </c>
      <c r="C618" s="81"/>
      <c r="D618" s="81"/>
      <c r="E618" s="81" t="s">
        <v>722</v>
      </c>
      <c r="F618" s="82" t="str">
        <f aca="false">IF(E618="","",IF(LEFT(E618,2)="DJ","DJ","JN"))</f>
        <v>JN</v>
      </c>
      <c r="G618" s="81"/>
      <c r="H618" s="81"/>
      <c r="I618" s="81"/>
      <c r="J618" s="81"/>
      <c r="K618" s="81"/>
      <c r="L618" s="81"/>
      <c r="M618" s="81"/>
      <c r="N618" s="81"/>
      <c r="O618" s="81"/>
      <c r="P618" s="81"/>
      <c r="Q618" s="81"/>
      <c r="R618" s="81"/>
      <c r="S618" s="81"/>
      <c r="T618" s="81"/>
      <c r="U618" s="83"/>
      <c r="V618" s="83"/>
      <c r="W618" s="81"/>
      <c r="X618" s="81"/>
      <c r="Y618" s="83"/>
      <c r="Z618" s="81"/>
      <c r="AA618" s="81"/>
      <c r="AB618" s="81"/>
      <c r="AC618" s="81"/>
      <c r="AD618" s="81"/>
      <c r="AE618" s="83"/>
      <c r="AF618" s="81"/>
      <c r="AG618" s="81"/>
      <c r="AH618" s="81"/>
      <c r="AI618" s="81"/>
      <c r="AJ618" s="83"/>
      <c r="AK618" s="81"/>
      <c r="AL618" s="81"/>
      <c r="AM618" s="83"/>
      <c r="AN618" s="80"/>
      <c r="AO618" s="82" t="n">
        <f aca="false">IF(E618="","",(AA618&lt;&gt;"")+(AG618&lt;&gt;"")+(AL618&lt;&gt;""))</f>
        <v>0</v>
      </c>
      <c r="AP618" s="82" t="str">
        <f aca="false">IF(AL618&lt;&gt;"",AL618,IF(AG618&lt;&gt;"",AG618,IF(AA618&lt;&gt;"",AA618,"")))</f>
        <v/>
      </c>
      <c r="AQ618" s="84" t="str">
        <f aca="false">IF(E618="","",IF(U618="","À SOUDER",IF(X618="","VT EN ATTENTE",IF(X618="R","VT REJETÉ – À REPRENDRE",IF(AP618="","À RADIOGRAPHIER",IF(AP618="A","ACCEPTÉ",IF(AP618="NX","NX – RT À REFAIRE",IF(IF(AO618=1,AD618,IF(AO618=2,AI618,""))="A","RÉPARÉ – À RADIOGRAPHIER",IF(IF(AO618=1,AD618,IF(AO618=2,AI618,""))="R","VT REJETÉ – À REPRENDRE",IF(OR(AP618="CO",AP618="NT"),"COUPE – À RESOUDER","À RÉPARER"))))))))))</f>
        <v>À SOUDER</v>
      </c>
      <c r="AR618" s="82" t="str">
        <f aca="false">IF(AND(ISNUMBER(U618),OR(AQ618="À RADIOGRAPHIER",AQ618="RÉPARÉ – À RADIOGRAPHIER",AQ618="NX – RT À REFAIRE",AQ618="À RÉPARER",AQ618="COUPE – À RESOUDER",AQ618="VT REJETÉ – À REPRENDRE")),MAX(0,'PROGRAMME RT'!$C$4-U618),"")</f>
        <v/>
      </c>
      <c r="AS618" s="82" t="n">
        <f aca="false">IF(AND(OR(AQ618="À RADIOGRAPHIER",AQ618="RÉPARÉ – À RADIOGRAPHIER",AQ618="NX – RT À REFAIRE"),OR('PROGRAMME RT'!$D$5="TOUTES",B618='PROGRAMME RT'!$D$5)),1,0)</f>
        <v>0</v>
      </c>
      <c r="AT618" s="82" t="str">
        <f aca="false">IF(AS618=1,SUM(AS$7:AS618),"")</f>
        <v/>
      </c>
      <c r="AU618" s="82" t="n">
        <f aca="false">IF(AND(OR(AA618="R",AA618="NX",AA618="NT",AA618="CO"),OR('JOINTS DE RÉPARATION'!$D$5="TOUTES",B618='JOINTS DE RÉPARATION'!$D$5),OR('JOINTS DE RÉPARATION'!$L$4="TOUS",AQ618&lt;&gt;"ACCEPTÉ")),1,0)</f>
        <v>0</v>
      </c>
      <c r="AV618" s="82" t="str">
        <f aca="false">IF(AU618=1,SUM(AU$7:AU618),"")</f>
        <v/>
      </c>
      <c r="AW618" s="82" t="str">
        <f aca="false">IF(E618="","",B618&amp;"|"&amp;E618)</f>
        <v>MFD-ISW → MFD-CPF|JN°612</v>
      </c>
    </row>
    <row r="619" customFormat="false" ht="74.6" hidden="false" customHeight="false" outlineLevel="0" collapsed="false">
      <c r="A619" s="79" t="n">
        <f aca="false">IF(E619="","",ROW()-6)</f>
        <v>613</v>
      </c>
      <c r="B619" s="80" t="s">
        <v>110</v>
      </c>
      <c r="C619" s="81"/>
      <c r="D619" s="81"/>
      <c r="E619" s="81" t="s">
        <v>723</v>
      </c>
      <c r="F619" s="82" t="str">
        <f aca="false">IF(E619="","",IF(LEFT(E619,2)="DJ","DJ","JN"))</f>
        <v>JN</v>
      </c>
      <c r="G619" s="81"/>
      <c r="H619" s="81"/>
      <c r="I619" s="81"/>
      <c r="J619" s="81"/>
      <c r="K619" s="81"/>
      <c r="L619" s="81"/>
      <c r="M619" s="81"/>
      <c r="N619" s="81"/>
      <c r="O619" s="81"/>
      <c r="P619" s="81"/>
      <c r="Q619" s="81"/>
      <c r="R619" s="81"/>
      <c r="S619" s="81"/>
      <c r="T619" s="81"/>
      <c r="U619" s="83"/>
      <c r="V619" s="83"/>
      <c r="W619" s="81"/>
      <c r="X619" s="81"/>
      <c r="Y619" s="83"/>
      <c r="Z619" s="81"/>
      <c r="AA619" s="81"/>
      <c r="AB619" s="81"/>
      <c r="AC619" s="81"/>
      <c r="AD619" s="81"/>
      <c r="AE619" s="83"/>
      <c r="AF619" s="81"/>
      <c r="AG619" s="81"/>
      <c r="AH619" s="81"/>
      <c r="AI619" s="81"/>
      <c r="AJ619" s="83"/>
      <c r="AK619" s="81"/>
      <c r="AL619" s="81"/>
      <c r="AM619" s="83"/>
      <c r="AN619" s="80"/>
      <c r="AO619" s="82" t="n">
        <f aca="false">IF(E619="","",(AA619&lt;&gt;"")+(AG619&lt;&gt;"")+(AL619&lt;&gt;""))</f>
        <v>0</v>
      </c>
      <c r="AP619" s="82" t="str">
        <f aca="false">IF(AL619&lt;&gt;"",AL619,IF(AG619&lt;&gt;"",AG619,IF(AA619&lt;&gt;"",AA619,"")))</f>
        <v/>
      </c>
      <c r="AQ619" s="84" t="str">
        <f aca="false">IF(E619="","",IF(U619="","À SOUDER",IF(X619="","VT EN ATTENTE",IF(X619="R","VT REJETÉ – À REPRENDRE",IF(AP619="","À RADIOGRAPHIER",IF(AP619="A","ACCEPTÉ",IF(AP619="NX","NX – RT À REFAIRE",IF(IF(AO619=1,AD619,IF(AO619=2,AI619,""))="A","RÉPARÉ – À RADIOGRAPHIER",IF(IF(AO619=1,AD619,IF(AO619=2,AI619,""))="R","VT REJETÉ – À REPRENDRE",IF(OR(AP619="CO",AP619="NT"),"COUPE – À RESOUDER","À RÉPARER"))))))))))</f>
        <v>À SOUDER</v>
      </c>
      <c r="AR619" s="82" t="str">
        <f aca="false">IF(AND(ISNUMBER(U619),OR(AQ619="À RADIOGRAPHIER",AQ619="RÉPARÉ – À RADIOGRAPHIER",AQ619="NX – RT À REFAIRE",AQ619="À RÉPARER",AQ619="COUPE – À RESOUDER",AQ619="VT REJETÉ – À REPRENDRE")),MAX(0,'PROGRAMME RT'!$C$4-U619),"")</f>
        <v/>
      </c>
      <c r="AS619" s="82" t="n">
        <f aca="false">IF(AND(OR(AQ619="À RADIOGRAPHIER",AQ619="RÉPARÉ – À RADIOGRAPHIER",AQ619="NX – RT À REFAIRE"),OR('PROGRAMME RT'!$D$5="TOUTES",B619='PROGRAMME RT'!$D$5)),1,0)</f>
        <v>0</v>
      </c>
      <c r="AT619" s="82" t="str">
        <f aca="false">IF(AS619=1,SUM(AS$7:AS619),"")</f>
        <v/>
      </c>
      <c r="AU619" s="82" t="n">
        <f aca="false">IF(AND(OR(AA619="R",AA619="NX",AA619="NT",AA619="CO"),OR('JOINTS DE RÉPARATION'!$D$5="TOUTES",B619='JOINTS DE RÉPARATION'!$D$5),OR('JOINTS DE RÉPARATION'!$L$4="TOUS",AQ619&lt;&gt;"ACCEPTÉ")),1,0)</f>
        <v>0</v>
      </c>
      <c r="AV619" s="82" t="str">
        <f aca="false">IF(AU619=1,SUM(AU$7:AU619),"")</f>
        <v/>
      </c>
      <c r="AW619" s="82" t="str">
        <f aca="false">IF(E619="","",B619&amp;"|"&amp;E619)</f>
        <v>MFD-ISW → MFD-CPF|JN°613</v>
      </c>
    </row>
    <row r="620" customFormat="false" ht="74.6" hidden="false" customHeight="false" outlineLevel="0" collapsed="false">
      <c r="A620" s="79" t="n">
        <f aca="false">IF(E620="","",ROW()-6)</f>
        <v>614</v>
      </c>
      <c r="B620" s="80" t="s">
        <v>110</v>
      </c>
      <c r="C620" s="81"/>
      <c r="D620" s="81"/>
      <c r="E620" s="81" t="s">
        <v>724</v>
      </c>
      <c r="F620" s="82" t="str">
        <f aca="false">IF(E620="","",IF(LEFT(E620,2)="DJ","DJ","JN"))</f>
        <v>JN</v>
      </c>
      <c r="G620" s="81"/>
      <c r="H620" s="81"/>
      <c r="I620" s="81"/>
      <c r="J620" s="81"/>
      <c r="K620" s="81"/>
      <c r="L620" s="81"/>
      <c r="M620" s="81"/>
      <c r="N620" s="81"/>
      <c r="O620" s="81"/>
      <c r="P620" s="81"/>
      <c r="Q620" s="81"/>
      <c r="R620" s="81"/>
      <c r="S620" s="81"/>
      <c r="T620" s="81"/>
      <c r="U620" s="83"/>
      <c r="V620" s="83"/>
      <c r="W620" s="81"/>
      <c r="X620" s="81"/>
      <c r="Y620" s="83"/>
      <c r="Z620" s="81"/>
      <c r="AA620" s="81"/>
      <c r="AB620" s="81"/>
      <c r="AC620" s="81"/>
      <c r="AD620" s="81"/>
      <c r="AE620" s="83"/>
      <c r="AF620" s="81"/>
      <c r="AG620" s="81"/>
      <c r="AH620" s="81"/>
      <c r="AI620" s="81"/>
      <c r="AJ620" s="83"/>
      <c r="AK620" s="81"/>
      <c r="AL620" s="81"/>
      <c r="AM620" s="83"/>
      <c r="AN620" s="80"/>
      <c r="AO620" s="82" t="n">
        <f aca="false">IF(E620="","",(AA620&lt;&gt;"")+(AG620&lt;&gt;"")+(AL620&lt;&gt;""))</f>
        <v>0</v>
      </c>
      <c r="AP620" s="82" t="str">
        <f aca="false">IF(AL620&lt;&gt;"",AL620,IF(AG620&lt;&gt;"",AG620,IF(AA620&lt;&gt;"",AA620,"")))</f>
        <v/>
      </c>
      <c r="AQ620" s="84" t="str">
        <f aca="false">IF(E620="","",IF(U620="","À SOUDER",IF(X620="","VT EN ATTENTE",IF(X620="R","VT REJETÉ – À REPRENDRE",IF(AP620="","À RADIOGRAPHIER",IF(AP620="A","ACCEPTÉ",IF(AP620="NX","NX – RT À REFAIRE",IF(IF(AO620=1,AD620,IF(AO620=2,AI620,""))="A","RÉPARÉ – À RADIOGRAPHIER",IF(IF(AO620=1,AD620,IF(AO620=2,AI620,""))="R","VT REJETÉ – À REPRENDRE",IF(OR(AP620="CO",AP620="NT"),"COUPE – À RESOUDER","À RÉPARER"))))))))))</f>
        <v>À SOUDER</v>
      </c>
      <c r="AR620" s="82" t="str">
        <f aca="false">IF(AND(ISNUMBER(U620),OR(AQ620="À RADIOGRAPHIER",AQ620="RÉPARÉ – À RADIOGRAPHIER",AQ620="NX – RT À REFAIRE",AQ620="À RÉPARER",AQ620="COUPE – À RESOUDER",AQ620="VT REJETÉ – À REPRENDRE")),MAX(0,'PROGRAMME RT'!$C$4-U620),"")</f>
        <v/>
      </c>
      <c r="AS620" s="82" t="n">
        <f aca="false">IF(AND(OR(AQ620="À RADIOGRAPHIER",AQ620="RÉPARÉ – À RADIOGRAPHIER",AQ620="NX – RT À REFAIRE"),OR('PROGRAMME RT'!$D$5="TOUTES",B620='PROGRAMME RT'!$D$5)),1,0)</f>
        <v>0</v>
      </c>
      <c r="AT620" s="82" t="str">
        <f aca="false">IF(AS620=1,SUM(AS$7:AS620),"")</f>
        <v/>
      </c>
      <c r="AU620" s="82" t="n">
        <f aca="false">IF(AND(OR(AA620="R",AA620="NX",AA620="NT",AA620="CO"),OR('JOINTS DE RÉPARATION'!$D$5="TOUTES",B620='JOINTS DE RÉPARATION'!$D$5),OR('JOINTS DE RÉPARATION'!$L$4="TOUS",AQ620&lt;&gt;"ACCEPTÉ")),1,0)</f>
        <v>0</v>
      </c>
      <c r="AV620" s="82" t="str">
        <f aca="false">IF(AU620=1,SUM(AU$7:AU620),"")</f>
        <v/>
      </c>
      <c r="AW620" s="82" t="str">
        <f aca="false">IF(E620="","",B620&amp;"|"&amp;E620)</f>
        <v>MFD-ISW → MFD-CPF|JN°614</v>
      </c>
    </row>
    <row r="621" customFormat="false" ht="74.6" hidden="false" customHeight="false" outlineLevel="0" collapsed="false">
      <c r="A621" s="79" t="n">
        <f aca="false">IF(E621="","",ROW()-6)</f>
        <v>615</v>
      </c>
      <c r="B621" s="80" t="s">
        <v>110</v>
      </c>
      <c r="C621" s="81"/>
      <c r="D621" s="81"/>
      <c r="E621" s="81" t="s">
        <v>725</v>
      </c>
      <c r="F621" s="82" t="str">
        <f aca="false">IF(E621="","",IF(LEFT(E621,2)="DJ","DJ","JN"))</f>
        <v>JN</v>
      </c>
      <c r="G621" s="81"/>
      <c r="H621" s="81"/>
      <c r="I621" s="81"/>
      <c r="J621" s="81"/>
      <c r="K621" s="81"/>
      <c r="L621" s="81"/>
      <c r="M621" s="81"/>
      <c r="N621" s="81"/>
      <c r="O621" s="81"/>
      <c r="P621" s="81"/>
      <c r="Q621" s="81"/>
      <c r="R621" s="81"/>
      <c r="S621" s="81"/>
      <c r="T621" s="81"/>
      <c r="U621" s="83"/>
      <c r="V621" s="83"/>
      <c r="W621" s="81"/>
      <c r="X621" s="81"/>
      <c r="Y621" s="83"/>
      <c r="Z621" s="81"/>
      <c r="AA621" s="81"/>
      <c r="AB621" s="81"/>
      <c r="AC621" s="81"/>
      <c r="AD621" s="81"/>
      <c r="AE621" s="83"/>
      <c r="AF621" s="81"/>
      <c r="AG621" s="81"/>
      <c r="AH621" s="81"/>
      <c r="AI621" s="81"/>
      <c r="AJ621" s="83"/>
      <c r="AK621" s="81"/>
      <c r="AL621" s="81"/>
      <c r="AM621" s="83"/>
      <c r="AN621" s="80"/>
      <c r="AO621" s="82" t="n">
        <f aca="false">IF(E621="","",(AA621&lt;&gt;"")+(AG621&lt;&gt;"")+(AL621&lt;&gt;""))</f>
        <v>0</v>
      </c>
      <c r="AP621" s="82" t="str">
        <f aca="false">IF(AL621&lt;&gt;"",AL621,IF(AG621&lt;&gt;"",AG621,IF(AA621&lt;&gt;"",AA621,"")))</f>
        <v/>
      </c>
      <c r="AQ621" s="84" t="str">
        <f aca="false">IF(E621="","",IF(U621="","À SOUDER",IF(X621="","VT EN ATTENTE",IF(X621="R","VT REJETÉ – À REPRENDRE",IF(AP621="","À RADIOGRAPHIER",IF(AP621="A","ACCEPTÉ",IF(AP621="NX","NX – RT À REFAIRE",IF(IF(AO621=1,AD621,IF(AO621=2,AI621,""))="A","RÉPARÉ – À RADIOGRAPHIER",IF(IF(AO621=1,AD621,IF(AO621=2,AI621,""))="R","VT REJETÉ – À REPRENDRE",IF(OR(AP621="CO",AP621="NT"),"COUPE – À RESOUDER","À RÉPARER"))))))))))</f>
        <v>À SOUDER</v>
      </c>
      <c r="AR621" s="82" t="str">
        <f aca="false">IF(AND(ISNUMBER(U621),OR(AQ621="À RADIOGRAPHIER",AQ621="RÉPARÉ – À RADIOGRAPHIER",AQ621="NX – RT À REFAIRE",AQ621="À RÉPARER",AQ621="COUPE – À RESOUDER",AQ621="VT REJETÉ – À REPRENDRE")),MAX(0,'PROGRAMME RT'!$C$4-U621),"")</f>
        <v/>
      </c>
      <c r="AS621" s="82" t="n">
        <f aca="false">IF(AND(OR(AQ621="À RADIOGRAPHIER",AQ621="RÉPARÉ – À RADIOGRAPHIER",AQ621="NX – RT À REFAIRE"),OR('PROGRAMME RT'!$D$5="TOUTES",B621='PROGRAMME RT'!$D$5)),1,0)</f>
        <v>0</v>
      </c>
      <c r="AT621" s="82" t="str">
        <f aca="false">IF(AS621=1,SUM(AS$7:AS621),"")</f>
        <v/>
      </c>
      <c r="AU621" s="82" t="n">
        <f aca="false">IF(AND(OR(AA621="R",AA621="NX",AA621="NT",AA621="CO"),OR('JOINTS DE RÉPARATION'!$D$5="TOUTES",B621='JOINTS DE RÉPARATION'!$D$5),OR('JOINTS DE RÉPARATION'!$L$4="TOUS",AQ621&lt;&gt;"ACCEPTÉ")),1,0)</f>
        <v>0</v>
      </c>
      <c r="AV621" s="82" t="str">
        <f aca="false">IF(AU621=1,SUM(AU$7:AU621),"")</f>
        <v/>
      </c>
      <c r="AW621" s="82" t="str">
        <f aca="false">IF(E621="","",B621&amp;"|"&amp;E621)</f>
        <v>MFD-ISW → MFD-CPF|JN°615</v>
      </c>
    </row>
    <row r="622" customFormat="false" ht="74.6" hidden="false" customHeight="false" outlineLevel="0" collapsed="false">
      <c r="A622" s="79" t="n">
        <f aca="false">IF(E622="","",ROW()-6)</f>
        <v>616</v>
      </c>
      <c r="B622" s="80" t="s">
        <v>110</v>
      </c>
      <c r="C622" s="81"/>
      <c r="D622" s="81"/>
      <c r="E622" s="81" t="s">
        <v>726</v>
      </c>
      <c r="F622" s="82" t="str">
        <f aca="false">IF(E622="","",IF(LEFT(E622,2)="DJ","DJ","JN"))</f>
        <v>JN</v>
      </c>
      <c r="G622" s="81"/>
      <c r="H622" s="81"/>
      <c r="I622" s="81"/>
      <c r="J622" s="81"/>
      <c r="K622" s="81"/>
      <c r="L622" s="81"/>
      <c r="M622" s="81"/>
      <c r="N622" s="81"/>
      <c r="O622" s="81"/>
      <c r="P622" s="81"/>
      <c r="Q622" s="81"/>
      <c r="R622" s="81"/>
      <c r="S622" s="81"/>
      <c r="T622" s="81"/>
      <c r="U622" s="83"/>
      <c r="V622" s="83"/>
      <c r="W622" s="81"/>
      <c r="X622" s="81"/>
      <c r="Y622" s="83"/>
      <c r="Z622" s="81"/>
      <c r="AA622" s="81"/>
      <c r="AB622" s="81"/>
      <c r="AC622" s="81"/>
      <c r="AD622" s="81"/>
      <c r="AE622" s="83"/>
      <c r="AF622" s="81"/>
      <c r="AG622" s="81"/>
      <c r="AH622" s="81"/>
      <c r="AI622" s="81"/>
      <c r="AJ622" s="83"/>
      <c r="AK622" s="81"/>
      <c r="AL622" s="81"/>
      <c r="AM622" s="83"/>
      <c r="AN622" s="80"/>
      <c r="AO622" s="82" t="n">
        <f aca="false">IF(E622="","",(AA622&lt;&gt;"")+(AG622&lt;&gt;"")+(AL622&lt;&gt;""))</f>
        <v>0</v>
      </c>
      <c r="AP622" s="82" t="str">
        <f aca="false">IF(AL622&lt;&gt;"",AL622,IF(AG622&lt;&gt;"",AG622,IF(AA622&lt;&gt;"",AA622,"")))</f>
        <v/>
      </c>
      <c r="AQ622" s="84" t="str">
        <f aca="false">IF(E622="","",IF(U622="","À SOUDER",IF(X622="","VT EN ATTENTE",IF(X622="R","VT REJETÉ – À REPRENDRE",IF(AP622="","À RADIOGRAPHIER",IF(AP622="A","ACCEPTÉ",IF(AP622="NX","NX – RT À REFAIRE",IF(IF(AO622=1,AD622,IF(AO622=2,AI622,""))="A","RÉPARÉ – À RADIOGRAPHIER",IF(IF(AO622=1,AD622,IF(AO622=2,AI622,""))="R","VT REJETÉ – À REPRENDRE",IF(OR(AP622="CO",AP622="NT"),"COUPE – À RESOUDER","À RÉPARER"))))))))))</f>
        <v>À SOUDER</v>
      </c>
      <c r="AR622" s="82" t="str">
        <f aca="false">IF(AND(ISNUMBER(U622),OR(AQ622="À RADIOGRAPHIER",AQ622="RÉPARÉ – À RADIOGRAPHIER",AQ622="NX – RT À REFAIRE",AQ622="À RÉPARER",AQ622="COUPE – À RESOUDER",AQ622="VT REJETÉ – À REPRENDRE")),MAX(0,'PROGRAMME RT'!$C$4-U622),"")</f>
        <v/>
      </c>
      <c r="AS622" s="82" t="n">
        <f aca="false">IF(AND(OR(AQ622="À RADIOGRAPHIER",AQ622="RÉPARÉ – À RADIOGRAPHIER",AQ622="NX – RT À REFAIRE"),OR('PROGRAMME RT'!$D$5="TOUTES",B622='PROGRAMME RT'!$D$5)),1,0)</f>
        <v>0</v>
      </c>
      <c r="AT622" s="82" t="str">
        <f aca="false">IF(AS622=1,SUM(AS$7:AS622),"")</f>
        <v/>
      </c>
      <c r="AU622" s="82" t="n">
        <f aca="false">IF(AND(OR(AA622="R",AA622="NX",AA622="NT",AA622="CO"),OR('JOINTS DE RÉPARATION'!$D$5="TOUTES",B622='JOINTS DE RÉPARATION'!$D$5),OR('JOINTS DE RÉPARATION'!$L$4="TOUS",AQ622&lt;&gt;"ACCEPTÉ")),1,0)</f>
        <v>0</v>
      </c>
      <c r="AV622" s="82" t="str">
        <f aca="false">IF(AU622=1,SUM(AU$7:AU622),"")</f>
        <v/>
      </c>
      <c r="AW622" s="82" t="str">
        <f aca="false">IF(E622="","",B622&amp;"|"&amp;E622)</f>
        <v>MFD-ISW → MFD-CPF|JN°616</v>
      </c>
    </row>
    <row r="623" customFormat="false" ht="74.6" hidden="false" customHeight="false" outlineLevel="0" collapsed="false">
      <c r="A623" s="79" t="n">
        <f aca="false">IF(E623="","",ROW()-6)</f>
        <v>617</v>
      </c>
      <c r="B623" s="80" t="s">
        <v>110</v>
      </c>
      <c r="C623" s="81"/>
      <c r="D623" s="81"/>
      <c r="E623" s="81" t="s">
        <v>727</v>
      </c>
      <c r="F623" s="82" t="str">
        <f aca="false">IF(E623="","",IF(LEFT(E623,2)="DJ","DJ","JN"))</f>
        <v>JN</v>
      </c>
      <c r="G623" s="81"/>
      <c r="H623" s="81"/>
      <c r="I623" s="81"/>
      <c r="J623" s="81"/>
      <c r="K623" s="81"/>
      <c r="L623" s="81"/>
      <c r="M623" s="81"/>
      <c r="N623" s="81"/>
      <c r="O623" s="81"/>
      <c r="P623" s="81"/>
      <c r="Q623" s="81"/>
      <c r="R623" s="81"/>
      <c r="S623" s="81"/>
      <c r="T623" s="81"/>
      <c r="U623" s="83"/>
      <c r="V623" s="83"/>
      <c r="W623" s="81"/>
      <c r="X623" s="81"/>
      <c r="Y623" s="83"/>
      <c r="Z623" s="81"/>
      <c r="AA623" s="81"/>
      <c r="AB623" s="81"/>
      <c r="AC623" s="81"/>
      <c r="AD623" s="81"/>
      <c r="AE623" s="83"/>
      <c r="AF623" s="81"/>
      <c r="AG623" s="81"/>
      <c r="AH623" s="81"/>
      <c r="AI623" s="81"/>
      <c r="AJ623" s="83"/>
      <c r="AK623" s="81"/>
      <c r="AL623" s="81"/>
      <c r="AM623" s="83"/>
      <c r="AN623" s="80"/>
      <c r="AO623" s="82" t="n">
        <f aca="false">IF(E623="","",(AA623&lt;&gt;"")+(AG623&lt;&gt;"")+(AL623&lt;&gt;""))</f>
        <v>0</v>
      </c>
      <c r="AP623" s="82" t="str">
        <f aca="false">IF(AL623&lt;&gt;"",AL623,IF(AG623&lt;&gt;"",AG623,IF(AA623&lt;&gt;"",AA623,"")))</f>
        <v/>
      </c>
      <c r="AQ623" s="84" t="str">
        <f aca="false">IF(E623="","",IF(U623="","À SOUDER",IF(X623="","VT EN ATTENTE",IF(X623="R","VT REJETÉ – À REPRENDRE",IF(AP623="","À RADIOGRAPHIER",IF(AP623="A","ACCEPTÉ",IF(AP623="NX","NX – RT À REFAIRE",IF(IF(AO623=1,AD623,IF(AO623=2,AI623,""))="A","RÉPARÉ – À RADIOGRAPHIER",IF(IF(AO623=1,AD623,IF(AO623=2,AI623,""))="R","VT REJETÉ – À REPRENDRE",IF(OR(AP623="CO",AP623="NT"),"COUPE – À RESOUDER","À RÉPARER"))))))))))</f>
        <v>À SOUDER</v>
      </c>
      <c r="AR623" s="82" t="str">
        <f aca="false">IF(AND(ISNUMBER(U623),OR(AQ623="À RADIOGRAPHIER",AQ623="RÉPARÉ – À RADIOGRAPHIER",AQ623="NX – RT À REFAIRE",AQ623="À RÉPARER",AQ623="COUPE – À RESOUDER",AQ623="VT REJETÉ – À REPRENDRE")),MAX(0,'PROGRAMME RT'!$C$4-U623),"")</f>
        <v/>
      </c>
      <c r="AS623" s="82" t="n">
        <f aca="false">IF(AND(OR(AQ623="À RADIOGRAPHIER",AQ623="RÉPARÉ – À RADIOGRAPHIER",AQ623="NX – RT À REFAIRE"),OR('PROGRAMME RT'!$D$5="TOUTES",B623='PROGRAMME RT'!$D$5)),1,0)</f>
        <v>0</v>
      </c>
      <c r="AT623" s="82" t="str">
        <f aca="false">IF(AS623=1,SUM(AS$7:AS623),"")</f>
        <v/>
      </c>
      <c r="AU623" s="82" t="n">
        <f aca="false">IF(AND(OR(AA623="R",AA623="NX",AA623="NT",AA623="CO"),OR('JOINTS DE RÉPARATION'!$D$5="TOUTES",B623='JOINTS DE RÉPARATION'!$D$5),OR('JOINTS DE RÉPARATION'!$L$4="TOUS",AQ623&lt;&gt;"ACCEPTÉ")),1,0)</f>
        <v>0</v>
      </c>
      <c r="AV623" s="82" t="str">
        <f aca="false">IF(AU623=1,SUM(AU$7:AU623),"")</f>
        <v/>
      </c>
      <c r="AW623" s="82" t="str">
        <f aca="false">IF(E623="","",B623&amp;"|"&amp;E623)</f>
        <v>MFD-ISW → MFD-CPF|JN°617</v>
      </c>
    </row>
    <row r="624" customFormat="false" ht="74.6" hidden="false" customHeight="false" outlineLevel="0" collapsed="false">
      <c r="A624" s="79" t="n">
        <f aca="false">IF(E624="","",ROW()-6)</f>
        <v>618</v>
      </c>
      <c r="B624" s="80" t="s">
        <v>110</v>
      </c>
      <c r="C624" s="81"/>
      <c r="D624" s="81"/>
      <c r="E624" s="81" t="s">
        <v>728</v>
      </c>
      <c r="F624" s="82" t="str">
        <f aca="false">IF(E624="","",IF(LEFT(E624,2)="DJ","DJ","JN"))</f>
        <v>JN</v>
      </c>
      <c r="G624" s="81"/>
      <c r="H624" s="81"/>
      <c r="I624" s="81"/>
      <c r="J624" s="81"/>
      <c r="K624" s="81"/>
      <c r="L624" s="81"/>
      <c r="M624" s="81"/>
      <c r="N624" s="81"/>
      <c r="O624" s="81"/>
      <c r="P624" s="81"/>
      <c r="Q624" s="81"/>
      <c r="R624" s="81"/>
      <c r="S624" s="81"/>
      <c r="T624" s="81"/>
      <c r="U624" s="83"/>
      <c r="V624" s="83"/>
      <c r="W624" s="81"/>
      <c r="X624" s="81"/>
      <c r="Y624" s="83"/>
      <c r="Z624" s="81"/>
      <c r="AA624" s="81"/>
      <c r="AB624" s="81"/>
      <c r="AC624" s="81"/>
      <c r="AD624" s="81"/>
      <c r="AE624" s="83"/>
      <c r="AF624" s="81"/>
      <c r="AG624" s="81"/>
      <c r="AH624" s="81"/>
      <c r="AI624" s="81"/>
      <c r="AJ624" s="83"/>
      <c r="AK624" s="81"/>
      <c r="AL624" s="81"/>
      <c r="AM624" s="83"/>
      <c r="AN624" s="80"/>
      <c r="AO624" s="82" t="n">
        <f aca="false">IF(E624="","",(AA624&lt;&gt;"")+(AG624&lt;&gt;"")+(AL624&lt;&gt;""))</f>
        <v>0</v>
      </c>
      <c r="AP624" s="82" t="str">
        <f aca="false">IF(AL624&lt;&gt;"",AL624,IF(AG624&lt;&gt;"",AG624,IF(AA624&lt;&gt;"",AA624,"")))</f>
        <v/>
      </c>
      <c r="AQ624" s="84" t="str">
        <f aca="false">IF(E624="","",IF(U624="","À SOUDER",IF(X624="","VT EN ATTENTE",IF(X624="R","VT REJETÉ – À REPRENDRE",IF(AP624="","À RADIOGRAPHIER",IF(AP624="A","ACCEPTÉ",IF(AP624="NX","NX – RT À REFAIRE",IF(IF(AO624=1,AD624,IF(AO624=2,AI624,""))="A","RÉPARÉ – À RADIOGRAPHIER",IF(IF(AO624=1,AD624,IF(AO624=2,AI624,""))="R","VT REJETÉ – À REPRENDRE",IF(OR(AP624="CO",AP624="NT"),"COUPE – À RESOUDER","À RÉPARER"))))))))))</f>
        <v>À SOUDER</v>
      </c>
      <c r="AR624" s="82" t="str">
        <f aca="false">IF(AND(ISNUMBER(U624),OR(AQ624="À RADIOGRAPHIER",AQ624="RÉPARÉ – À RADIOGRAPHIER",AQ624="NX – RT À REFAIRE",AQ624="À RÉPARER",AQ624="COUPE – À RESOUDER",AQ624="VT REJETÉ – À REPRENDRE")),MAX(0,'PROGRAMME RT'!$C$4-U624),"")</f>
        <v/>
      </c>
      <c r="AS624" s="82" t="n">
        <f aca="false">IF(AND(OR(AQ624="À RADIOGRAPHIER",AQ624="RÉPARÉ – À RADIOGRAPHIER",AQ624="NX – RT À REFAIRE"),OR('PROGRAMME RT'!$D$5="TOUTES",B624='PROGRAMME RT'!$D$5)),1,0)</f>
        <v>0</v>
      </c>
      <c r="AT624" s="82" t="str">
        <f aca="false">IF(AS624=1,SUM(AS$7:AS624),"")</f>
        <v/>
      </c>
      <c r="AU624" s="82" t="n">
        <f aca="false">IF(AND(OR(AA624="R",AA624="NX",AA624="NT",AA624="CO"),OR('JOINTS DE RÉPARATION'!$D$5="TOUTES",B624='JOINTS DE RÉPARATION'!$D$5),OR('JOINTS DE RÉPARATION'!$L$4="TOUS",AQ624&lt;&gt;"ACCEPTÉ")),1,0)</f>
        <v>0</v>
      </c>
      <c r="AV624" s="82" t="str">
        <f aca="false">IF(AU624=1,SUM(AU$7:AU624),"")</f>
        <v/>
      </c>
      <c r="AW624" s="82" t="str">
        <f aca="false">IF(E624="","",B624&amp;"|"&amp;E624)</f>
        <v>MFD-ISW → MFD-CPF|JN°618</v>
      </c>
    </row>
    <row r="625" customFormat="false" ht="74.6" hidden="false" customHeight="false" outlineLevel="0" collapsed="false">
      <c r="A625" s="79" t="n">
        <f aca="false">IF(E625="","",ROW()-6)</f>
        <v>619</v>
      </c>
      <c r="B625" s="80" t="s">
        <v>110</v>
      </c>
      <c r="C625" s="81"/>
      <c r="D625" s="81"/>
      <c r="E625" s="81" t="s">
        <v>729</v>
      </c>
      <c r="F625" s="82" t="str">
        <f aca="false">IF(E625="","",IF(LEFT(E625,2)="DJ","DJ","JN"))</f>
        <v>JN</v>
      </c>
      <c r="G625" s="81"/>
      <c r="H625" s="81"/>
      <c r="I625" s="81"/>
      <c r="J625" s="81"/>
      <c r="K625" s="81"/>
      <c r="L625" s="81"/>
      <c r="M625" s="81"/>
      <c r="N625" s="81"/>
      <c r="O625" s="81"/>
      <c r="P625" s="81"/>
      <c r="Q625" s="81"/>
      <c r="R625" s="81"/>
      <c r="S625" s="81"/>
      <c r="T625" s="81"/>
      <c r="U625" s="83"/>
      <c r="V625" s="83"/>
      <c r="W625" s="81"/>
      <c r="X625" s="81"/>
      <c r="Y625" s="83"/>
      <c r="Z625" s="81"/>
      <c r="AA625" s="81"/>
      <c r="AB625" s="81"/>
      <c r="AC625" s="81"/>
      <c r="AD625" s="81"/>
      <c r="AE625" s="83"/>
      <c r="AF625" s="81"/>
      <c r="AG625" s="81"/>
      <c r="AH625" s="81"/>
      <c r="AI625" s="81"/>
      <c r="AJ625" s="83"/>
      <c r="AK625" s="81"/>
      <c r="AL625" s="81"/>
      <c r="AM625" s="83"/>
      <c r="AN625" s="80"/>
      <c r="AO625" s="82" t="n">
        <f aca="false">IF(E625="","",(AA625&lt;&gt;"")+(AG625&lt;&gt;"")+(AL625&lt;&gt;""))</f>
        <v>0</v>
      </c>
      <c r="AP625" s="82" t="str">
        <f aca="false">IF(AL625&lt;&gt;"",AL625,IF(AG625&lt;&gt;"",AG625,IF(AA625&lt;&gt;"",AA625,"")))</f>
        <v/>
      </c>
      <c r="AQ625" s="84" t="str">
        <f aca="false">IF(E625="","",IF(U625="","À SOUDER",IF(X625="","VT EN ATTENTE",IF(X625="R","VT REJETÉ – À REPRENDRE",IF(AP625="","À RADIOGRAPHIER",IF(AP625="A","ACCEPTÉ",IF(AP625="NX","NX – RT À REFAIRE",IF(IF(AO625=1,AD625,IF(AO625=2,AI625,""))="A","RÉPARÉ – À RADIOGRAPHIER",IF(IF(AO625=1,AD625,IF(AO625=2,AI625,""))="R","VT REJETÉ – À REPRENDRE",IF(OR(AP625="CO",AP625="NT"),"COUPE – À RESOUDER","À RÉPARER"))))))))))</f>
        <v>À SOUDER</v>
      </c>
      <c r="AR625" s="82" t="str">
        <f aca="false">IF(AND(ISNUMBER(U625),OR(AQ625="À RADIOGRAPHIER",AQ625="RÉPARÉ – À RADIOGRAPHIER",AQ625="NX – RT À REFAIRE",AQ625="À RÉPARER",AQ625="COUPE – À RESOUDER",AQ625="VT REJETÉ – À REPRENDRE")),MAX(0,'PROGRAMME RT'!$C$4-U625),"")</f>
        <v/>
      </c>
      <c r="AS625" s="82" t="n">
        <f aca="false">IF(AND(OR(AQ625="À RADIOGRAPHIER",AQ625="RÉPARÉ – À RADIOGRAPHIER",AQ625="NX – RT À REFAIRE"),OR('PROGRAMME RT'!$D$5="TOUTES",B625='PROGRAMME RT'!$D$5)),1,0)</f>
        <v>0</v>
      </c>
      <c r="AT625" s="82" t="str">
        <f aca="false">IF(AS625=1,SUM(AS$7:AS625),"")</f>
        <v/>
      </c>
      <c r="AU625" s="82" t="n">
        <f aca="false">IF(AND(OR(AA625="R",AA625="NX",AA625="NT",AA625="CO"),OR('JOINTS DE RÉPARATION'!$D$5="TOUTES",B625='JOINTS DE RÉPARATION'!$D$5),OR('JOINTS DE RÉPARATION'!$L$4="TOUS",AQ625&lt;&gt;"ACCEPTÉ")),1,0)</f>
        <v>0</v>
      </c>
      <c r="AV625" s="82" t="str">
        <f aca="false">IF(AU625=1,SUM(AU$7:AU625),"")</f>
        <v/>
      </c>
      <c r="AW625" s="82" t="str">
        <f aca="false">IF(E625="","",B625&amp;"|"&amp;E625)</f>
        <v>MFD-ISW → MFD-CPF|JN°619</v>
      </c>
    </row>
    <row r="626" customFormat="false" ht="74.6" hidden="false" customHeight="false" outlineLevel="0" collapsed="false">
      <c r="A626" s="79" t="n">
        <f aca="false">IF(E626="","",ROW()-6)</f>
        <v>620</v>
      </c>
      <c r="B626" s="80" t="s">
        <v>110</v>
      </c>
      <c r="C626" s="81"/>
      <c r="D626" s="81"/>
      <c r="E626" s="81" t="s">
        <v>730</v>
      </c>
      <c r="F626" s="82" t="str">
        <f aca="false">IF(E626="","",IF(LEFT(E626,2)="DJ","DJ","JN"))</f>
        <v>JN</v>
      </c>
      <c r="G626" s="81"/>
      <c r="H626" s="81"/>
      <c r="I626" s="81"/>
      <c r="J626" s="81"/>
      <c r="K626" s="81"/>
      <c r="L626" s="81"/>
      <c r="M626" s="81"/>
      <c r="N626" s="81"/>
      <c r="O626" s="81"/>
      <c r="P626" s="81"/>
      <c r="Q626" s="81"/>
      <c r="R626" s="81"/>
      <c r="S626" s="81"/>
      <c r="T626" s="81"/>
      <c r="U626" s="83"/>
      <c r="V626" s="83"/>
      <c r="W626" s="81"/>
      <c r="X626" s="81"/>
      <c r="Y626" s="83"/>
      <c r="Z626" s="81"/>
      <c r="AA626" s="81"/>
      <c r="AB626" s="81"/>
      <c r="AC626" s="81"/>
      <c r="AD626" s="81"/>
      <c r="AE626" s="83"/>
      <c r="AF626" s="81"/>
      <c r="AG626" s="81"/>
      <c r="AH626" s="81"/>
      <c r="AI626" s="81"/>
      <c r="AJ626" s="83"/>
      <c r="AK626" s="81"/>
      <c r="AL626" s="81"/>
      <c r="AM626" s="83"/>
      <c r="AN626" s="80"/>
      <c r="AO626" s="82" t="n">
        <f aca="false">IF(E626="","",(AA626&lt;&gt;"")+(AG626&lt;&gt;"")+(AL626&lt;&gt;""))</f>
        <v>0</v>
      </c>
      <c r="AP626" s="82" t="str">
        <f aca="false">IF(AL626&lt;&gt;"",AL626,IF(AG626&lt;&gt;"",AG626,IF(AA626&lt;&gt;"",AA626,"")))</f>
        <v/>
      </c>
      <c r="AQ626" s="84" t="str">
        <f aca="false">IF(E626="","",IF(U626="","À SOUDER",IF(X626="","VT EN ATTENTE",IF(X626="R","VT REJETÉ – À REPRENDRE",IF(AP626="","À RADIOGRAPHIER",IF(AP626="A","ACCEPTÉ",IF(AP626="NX","NX – RT À REFAIRE",IF(IF(AO626=1,AD626,IF(AO626=2,AI626,""))="A","RÉPARÉ – À RADIOGRAPHIER",IF(IF(AO626=1,AD626,IF(AO626=2,AI626,""))="R","VT REJETÉ – À REPRENDRE",IF(OR(AP626="CO",AP626="NT"),"COUPE – À RESOUDER","À RÉPARER"))))))))))</f>
        <v>À SOUDER</v>
      </c>
      <c r="AR626" s="82" t="str">
        <f aca="false">IF(AND(ISNUMBER(U626),OR(AQ626="À RADIOGRAPHIER",AQ626="RÉPARÉ – À RADIOGRAPHIER",AQ626="NX – RT À REFAIRE",AQ626="À RÉPARER",AQ626="COUPE – À RESOUDER",AQ626="VT REJETÉ – À REPRENDRE")),MAX(0,'PROGRAMME RT'!$C$4-U626),"")</f>
        <v/>
      </c>
      <c r="AS626" s="82" t="n">
        <f aca="false">IF(AND(OR(AQ626="À RADIOGRAPHIER",AQ626="RÉPARÉ – À RADIOGRAPHIER",AQ626="NX – RT À REFAIRE"),OR('PROGRAMME RT'!$D$5="TOUTES",B626='PROGRAMME RT'!$D$5)),1,0)</f>
        <v>0</v>
      </c>
      <c r="AT626" s="82" t="str">
        <f aca="false">IF(AS626=1,SUM(AS$7:AS626),"")</f>
        <v/>
      </c>
      <c r="AU626" s="82" t="n">
        <f aca="false">IF(AND(OR(AA626="R",AA626="NX",AA626="NT",AA626="CO"),OR('JOINTS DE RÉPARATION'!$D$5="TOUTES",B626='JOINTS DE RÉPARATION'!$D$5),OR('JOINTS DE RÉPARATION'!$L$4="TOUS",AQ626&lt;&gt;"ACCEPTÉ")),1,0)</f>
        <v>0</v>
      </c>
      <c r="AV626" s="82" t="str">
        <f aca="false">IF(AU626=1,SUM(AU$7:AU626),"")</f>
        <v/>
      </c>
      <c r="AW626" s="82" t="str">
        <f aca="false">IF(E626="","",B626&amp;"|"&amp;E626)</f>
        <v>MFD-ISW → MFD-CPF|JN°620</v>
      </c>
    </row>
    <row r="627" customFormat="false" ht="74.6" hidden="false" customHeight="false" outlineLevel="0" collapsed="false">
      <c r="A627" s="79" t="n">
        <f aca="false">IF(E627="","",ROW()-6)</f>
        <v>621</v>
      </c>
      <c r="B627" s="80" t="s">
        <v>110</v>
      </c>
      <c r="C627" s="81"/>
      <c r="D627" s="81"/>
      <c r="E627" s="81" t="s">
        <v>731</v>
      </c>
      <c r="F627" s="82" t="str">
        <f aca="false">IF(E627="","",IF(LEFT(E627,2)="DJ","DJ","JN"))</f>
        <v>JN</v>
      </c>
      <c r="G627" s="81"/>
      <c r="H627" s="81"/>
      <c r="I627" s="81"/>
      <c r="J627" s="81"/>
      <c r="K627" s="81"/>
      <c r="L627" s="81"/>
      <c r="M627" s="81"/>
      <c r="N627" s="81"/>
      <c r="O627" s="81"/>
      <c r="P627" s="81"/>
      <c r="Q627" s="81"/>
      <c r="R627" s="81"/>
      <c r="S627" s="81"/>
      <c r="T627" s="81"/>
      <c r="U627" s="83"/>
      <c r="V627" s="83"/>
      <c r="W627" s="81"/>
      <c r="X627" s="81"/>
      <c r="Y627" s="83"/>
      <c r="Z627" s="81"/>
      <c r="AA627" s="81"/>
      <c r="AB627" s="81"/>
      <c r="AC627" s="81"/>
      <c r="AD627" s="81"/>
      <c r="AE627" s="83"/>
      <c r="AF627" s="81"/>
      <c r="AG627" s="81"/>
      <c r="AH627" s="81"/>
      <c r="AI627" s="81"/>
      <c r="AJ627" s="83"/>
      <c r="AK627" s="81"/>
      <c r="AL627" s="81"/>
      <c r="AM627" s="83"/>
      <c r="AN627" s="80"/>
      <c r="AO627" s="82" t="n">
        <f aca="false">IF(E627="","",(AA627&lt;&gt;"")+(AG627&lt;&gt;"")+(AL627&lt;&gt;""))</f>
        <v>0</v>
      </c>
      <c r="AP627" s="82" t="str">
        <f aca="false">IF(AL627&lt;&gt;"",AL627,IF(AG627&lt;&gt;"",AG627,IF(AA627&lt;&gt;"",AA627,"")))</f>
        <v/>
      </c>
      <c r="AQ627" s="84" t="str">
        <f aca="false">IF(E627="","",IF(U627="","À SOUDER",IF(X627="","VT EN ATTENTE",IF(X627="R","VT REJETÉ – À REPRENDRE",IF(AP627="","À RADIOGRAPHIER",IF(AP627="A","ACCEPTÉ",IF(AP627="NX","NX – RT À REFAIRE",IF(IF(AO627=1,AD627,IF(AO627=2,AI627,""))="A","RÉPARÉ – À RADIOGRAPHIER",IF(IF(AO627=1,AD627,IF(AO627=2,AI627,""))="R","VT REJETÉ – À REPRENDRE",IF(OR(AP627="CO",AP627="NT"),"COUPE – À RESOUDER","À RÉPARER"))))))))))</f>
        <v>À SOUDER</v>
      </c>
      <c r="AR627" s="82" t="str">
        <f aca="false">IF(AND(ISNUMBER(U627),OR(AQ627="À RADIOGRAPHIER",AQ627="RÉPARÉ – À RADIOGRAPHIER",AQ627="NX – RT À REFAIRE",AQ627="À RÉPARER",AQ627="COUPE – À RESOUDER",AQ627="VT REJETÉ – À REPRENDRE")),MAX(0,'PROGRAMME RT'!$C$4-U627),"")</f>
        <v/>
      </c>
      <c r="AS627" s="82" t="n">
        <f aca="false">IF(AND(OR(AQ627="À RADIOGRAPHIER",AQ627="RÉPARÉ – À RADIOGRAPHIER",AQ627="NX – RT À REFAIRE"),OR('PROGRAMME RT'!$D$5="TOUTES",B627='PROGRAMME RT'!$D$5)),1,0)</f>
        <v>0</v>
      </c>
      <c r="AT627" s="82" t="str">
        <f aca="false">IF(AS627=1,SUM(AS$7:AS627),"")</f>
        <v/>
      </c>
      <c r="AU627" s="82" t="n">
        <f aca="false">IF(AND(OR(AA627="R",AA627="NX",AA627="NT",AA627="CO"),OR('JOINTS DE RÉPARATION'!$D$5="TOUTES",B627='JOINTS DE RÉPARATION'!$D$5),OR('JOINTS DE RÉPARATION'!$L$4="TOUS",AQ627&lt;&gt;"ACCEPTÉ")),1,0)</f>
        <v>0</v>
      </c>
      <c r="AV627" s="82" t="str">
        <f aca="false">IF(AU627=1,SUM(AU$7:AU627),"")</f>
        <v/>
      </c>
      <c r="AW627" s="82" t="str">
        <f aca="false">IF(E627="","",B627&amp;"|"&amp;E627)</f>
        <v>MFD-ISW → MFD-CPF|JN°621</v>
      </c>
    </row>
    <row r="628" customFormat="false" ht="74.6" hidden="false" customHeight="false" outlineLevel="0" collapsed="false">
      <c r="A628" s="79" t="n">
        <f aca="false">IF(E628="","",ROW()-6)</f>
        <v>622</v>
      </c>
      <c r="B628" s="80" t="s">
        <v>110</v>
      </c>
      <c r="C628" s="81"/>
      <c r="D628" s="81"/>
      <c r="E628" s="81" t="s">
        <v>732</v>
      </c>
      <c r="F628" s="82" t="str">
        <f aca="false">IF(E628="","",IF(LEFT(E628,2)="DJ","DJ","JN"))</f>
        <v>JN</v>
      </c>
      <c r="G628" s="81"/>
      <c r="H628" s="81"/>
      <c r="I628" s="81"/>
      <c r="J628" s="81"/>
      <c r="K628" s="81"/>
      <c r="L628" s="81"/>
      <c r="M628" s="81"/>
      <c r="N628" s="81"/>
      <c r="O628" s="81"/>
      <c r="P628" s="81"/>
      <c r="Q628" s="81"/>
      <c r="R628" s="81"/>
      <c r="S628" s="81"/>
      <c r="T628" s="81"/>
      <c r="U628" s="83"/>
      <c r="V628" s="83"/>
      <c r="W628" s="81"/>
      <c r="X628" s="81"/>
      <c r="Y628" s="83"/>
      <c r="Z628" s="81"/>
      <c r="AA628" s="81"/>
      <c r="AB628" s="81"/>
      <c r="AC628" s="81"/>
      <c r="AD628" s="81"/>
      <c r="AE628" s="83"/>
      <c r="AF628" s="81"/>
      <c r="AG628" s="81"/>
      <c r="AH628" s="81"/>
      <c r="AI628" s="81"/>
      <c r="AJ628" s="83"/>
      <c r="AK628" s="81"/>
      <c r="AL628" s="81"/>
      <c r="AM628" s="83"/>
      <c r="AN628" s="80"/>
      <c r="AO628" s="82" t="n">
        <f aca="false">IF(E628="","",(AA628&lt;&gt;"")+(AG628&lt;&gt;"")+(AL628&lt;&gt;""))</f>
        <v>0</v>
      </c>
      <c r="AP628" s="82" t="str">
        <f aca="false">IF(AL628&lt;&gt;"",AL628,IF(AG628&lt;&gt;"",AG628,IF(AA628&lt;&gt;"",AA628,"")))</f>
        <v/>
      </c>
      <c r="AQ628" s="84" t="str">
        <f aca="false">IF(E628="","",IF(U628="","À SOUDER",IF(X628="","VT EN ATTENTE",IF(X628="R","VT REJETÉ – À REPRENDRE",IF(AP628="","À RADIOGRAPHIER",IF(AP628="A","ACCEPTÉ",IF(AP628="NX","NX – RT À REFAIRE",IF(IF(AO628=1,AD628,IF(AO628=2,AI628,""))="A","RÉPARÉ – À RADIOGRAPHIER",IF(IF(AO628=1,AD628,IF(AO628=2,AI628,""))="R","VT REJETÉ – À REPRENDRE",IF(OR(AP628="CO",AP628="NT"),"COUPE – À RESOUDER","À RÉPARER"))))))))))</f>
        <v>À SOUDER</v>
      </c>
      <c r="AR628" s="82" t="str">
        <f aca="false">IF(AND(ISNUMBER(U628),OR(AQ628="À RADIOGRAPHIER",AQ628="RÉPARÉ – À RADIOGRAPHIER",AQ628="NX – RT À REFAIRE",AQ628="À RÉPARER",AQ628="COUPE – À RESOUDER",AQ628="VT REJETÉ – À REPRENDRE")),MAX(0,'PROGRAMME RT'!$C$4-U628),"")</f>
        <v/>
      </c>
      <c r="AS628" s="82" t="n">
        <f aca="false">IF(AND(OR(AQ628="À RADIOGRAPHIER",AQ628="RÉPARÉ – À RADIOGRAPHIER",AQ628="NX – RT À REFAIRE"),OR('PROGRAMME RT'!$D$5="TOUTES",B628='PROGRAMME RT'!$D$5)),1,0)</f>
        <v>0</v>
      </c>
      <c r="AT628" s="82" t="str">
        <f aca="false">IF(AS628=1,SUM(AS$7:AS628),"")</f>
        <v/>
      </c>
      <c r="AU628" s="82" t="n">
        <f aca="false">IF(AND(OR(AA628="R",AA628="NX",AA628="NT",AA628="CO"),OR('JOINTS DE RÉPARATION'!$D$5="TOUTES",B628='JOINTS DE RÉPARATION'!$D$5),OR('JOINTS DE RÉPARATION'!$L$4="TOUS",AQ628&lt;&gt;"ACCEPTÉ")),1,0)</f>
        <v>0</v>
      </c>
      <c r="AV628" s="82" t="str">
        <f aca="false">IF(AU628=1,SUM(AU$7:AU628),"")</f>
        <v/>
      </c>
      <c r="AW628" s="82" t="str">
        <f aca="false">IF(E628="","",B628&amp;"|"&amp;E628)</f>
        <v>MFD-ISW → MFD-CPF|JN°622</v>
      </c>
    </row>
    <row r="629" customFormat="false" ht="74.6" hidden="false" customHeight="false" outlineLevel="0" collapsed="false">
      <c r="A629" s="79" t="n">
        <f aca="false">IF(E629="","",ROW()-6)</f>
        <v>623</v>
      </c>
      <c r="B629" s="80" t="s">
        <v>110</v>
      </c>
      <c r="C629" s="81"/>
      <c r="D629" s="81"/>
      <c r="E629" s="81" t="s">
        <v>733</v>
      </c>
      <c r="F629" s="82" t="str">
        <f aca="false">IF(E629="","",IF(LEFT(E629,2)="DJ","DJ","JN"))</f>
        <v>JN</v>
      </c>
      <c r="G629" s="81"/>
      <c r="H629" s="81"/>
      <c r="I629" s="81"/>
      <c r="J629" s="81"/>
      <c r="K629" s="81"/>
      <c r="L629" s="81"/>
      <c r="M629" s="81"/>
      <c r="N629" s="81"/>
      <c r="O629" s="81"/>
      <c r="P629" s="81"/>
      <c r="Q629" s="81"/>
      <c r="R629" s="81"/>
      <c r="S629" s="81"/>
      <c r="T629" s="81"/>
      <c r="U629" s="83"/>
      <c r="V629" s="83"/>
      <c r="W629" s="81"/>
      <c r="X629" s="81"/>
      <c r="Y629" s="83"/>
      <c r="Z629" s="81"/>
      <c r="AA629" s="81"/>
      <c r="AB629" s="81"/>
      <c r="AC629" s="81"/>
      <c r="AD629" s="81"/>
      <c r="AE629" s="83"/>
      <c r="AF629" s="81"/>
      <c r="AG629" s="81"/>
      <c r="AH629" s="81"/>
      <c r="AI629" s="81"/>
      <c r="AJ629" s="83"/>
      <c r="AK629" s="81"/>
      <c r="AL629" s="81"/>
      <c r="AM629" s="83"/>
      <c r="AN629" s="80"/>
      <c r="AO629" s="82" t="n">
        <f aca="false">IF(E629="","",(AA629&lt;&gt;"")+(AG629&lt;&gt;"")+(AL629&lt;&gt;""))</f>
        <v>0</v>
      </c>
      <c r="AP629" s="82" t="str">
        <f aca="false">IF(AL629&lt;&gt;"",AL629,IF(AG629&lt;&gt;"",AG629,IF(AA629&lt;&gt;"",AA629,"")))</f>
        <v/>
      </c>
      <c r="AQ629" s="84" t="str">
        <f aca="false">IF(E629="","",IF(U629="","À SOUDER",IF(X629="","VT EN ATTENTE",IF(X629="R","VT REJETÉ – À REPRENDRE",IF(AP629="","À RADIOGRAPHIER",IF(AP629="A","ACCEPTÉ",IF(AP629="NX","NX – RT À REFAIRE",IF(IF(AO629=1,AD629,IF(AO629=2,AI629,""))="A","RÉPARÉ – À RADIOGRAPHIER",IF(IF(AO629=1,AD629,IF(AO629=2,AI629,""))="R","VT REJETÉ – À REPRENDRE",IF(OR(AP629="CO",AP629="NT"),"COUPE – À RESOUDER","À RÉPARER"))))))))))</f>
        <v>À SOUDER</v>
      </c>
      <c r="AR629" s="82" t="str">
        <f aca="false">IF(AND(ISNUMBER(U629),OR(AQ629="À RADIOGRAPHIER",AQ629="RÉPARÉ – À RADIOGRAPHIER",AQ629="NX – RT À REFAIRE",AQ629="À RÉPARER",AQ629="COUPE – À RESOUDER",AQ629="VT REJETÉ – À REPRENDRE")),MAX(0,'PROGRAMME RT'!$C$4-U629),"")</f>
        <v/>
      </c>
      <c r="AS629" s="82" t="n">
        <f aca="false">IF(AND(OR(AQ629="À RADIOGRAPHIER",AQ629="RÉPARÉ – À RADIOGRAPHIER",AQ629="NX – RT À REFAIRE"),OR('PROGRAMME RT'!$D$5="TOUTES",B629='PROGRAMME RT'!$D$5)),1,0)</f>
        <v>0</v>
      </c>
      <c r="AT629" s="82" t="str">
        <f aca="false">IF(AS629=1,SUM(AS$7:AS629),"")</f>
        <v/>
      </c>
      <c r="AU629" s="82" t="n">
        <f aca="false">IF(AND(OR(AA629="R",AA629="NX",AA629="NT",AA629="CO"),OR('JOINTS DE RÉPARATION'!$D$5="TOUTES",B629='JOINTS DE RÉPARATION'!$D$5),OR('JOINTS DE RÉPARATION'!$L$4="TOUS",AQ629&lt;&gt;"ACCEPTÉ")),1,0)</f>
        <v>0</v>
      </c>
      <c r="AV629" s="82" t="str">
        <f aca="false">IF(AU629=1,SUM(AU$7:AU629),"")</f>
        <v/>
      </c>
      <c r="AW629" s="82" t="str">
        <f aca="false">IF(E629="","",B629&amp;"|"&amp;E629)</f>
        <v>MFD-ISW → MFD-CPF|JN°623</v>
      </c>
    </row>
    <row r="630" customFormat="false" ht="74.6" hidden="false" customHeight="false" outlineLevel="0" collapsed="false">
      <c r="A630" s="79" t="n">
        <f aca="false">IF(E630="","",ROW()-6)</f>
        <v>624</v>
      </c>
      <c r="B630" s="80" t="s">
        <v>110</v>
      </c>
      <c r="C630" s="81"/>
      <c r="D630" s="81"/>
      <c r="E630" s="81" t="s">
        <v>734</v>
      </c>
      <c r="F630" s="82" t="str">
        <f aca="false">IF(E630="","",IF(LEFT(E630,2)="DJ","DJ","JN"))</f>
        <v>JN</v>
      </c>
      <c r="G630" s="81"/>
      <c r="H630" s="81"/>
      <c r="I630" s="81"/>
      <c r="J630" s="81"/>
      <c r="K630" s="81"/>
      <c r="L630" s="81"/>
      <c r="M630" s="81"/>
      <c r="N630" s="81"/>
      <c r="O630" s="81"/>
      <c r="P630" s="81"/>
      <c r="Q630" s="81"/>
      <c r="R630" s="81"/>
      <c r="S630" s="81"/>
      <c r="T630" s="81"/>
      <c r="U630" s="83"/>
      <c r="V630" s="83"/>
      <c r="W630" s="81"/>
      <c r="X630" s="81"/>
      <c r="Y630" s="83"/>
      <c r="Z630" s="81"/>
      <c r="AA630" s="81"/>
      <c r="AB630" s="81"/>
      <c r="AC630" s="81"/>
      <c r="AD630" s="81"/>
      <c r="AE630" s="83"/>
      <c r="AF630" s="81"/>
      <c r="AG630" s="81"/>
      <c r="AH630" s="81"/>
      <c r="AI630" s="81"/>
      <c r="AJ630" s="83"/>
      <c r="AK630" s="81"/>
      <c r="AL630" s="81"/>
      <c r="AM630" s="83"/>
      <c r="AN630" s="80"/>
      <c r="AO630" s="82" t="n">
        <f aca="false">IF(E630="","",(AA630&lt;&gt;"")+(AG630&lt;&gt;"")+(AL630&lt;&gt;""))</f>
        <v>0</v>
      </c>
      <c r="AP630" s="82" t="str">
        <f aca="false">IF(AL630&lt;&gt;"",AL630,IF(AG630&lt;&gt;"",AG630,IF(AA630&lt;&gt;"",AA630,"")))</f>
        <v/>
      </c>
      <c r="AQ630" s="84" t="str">
        <f aca="false">IF(E630="","",IF(U630="","À SOUDER",IF(X630="","VT EN ATTENTE",IF(X630="R","VT REJETÉ – À REPRENDRE",IF(AP630="","À RADIOGRAPHIER",IF(AP630="A","ACCEPTÉ",IF(AP630="NX","NX – RT À REFAIRE",IF(IF(AO630=1,AD630,IF(AO630=2,AI630,""))="A","RÉPARÉ – À RADIOGRAPHIER",IF(IF(AO630=1,AD630,IF(AO630=2,AI630,""))="R","VT REJETÉ – À REPRENDRE",IF(OR(AP630="CO",AP630="NT"),"COUPE – À RESOUDER","À RÉPARER"))))))))))</f>
        <v>À SOUDER</v>
      </c>
      <c r="AR630" s="82" t="str">
        <f aca="false">IF(AND(ISNUMBER(U630),OR(AQ630="À RADIOGRAPHIER",AQ630="RÉPARÉ – À RADIOGRAPHIER",AQ630="NX – RT À REFAIRE",AQ630="À RÉPARER",AQ630="COUPE – À RESOUDER",AQ630="VT REJETÉ – À REPRENDRE")),MAX(0,'PROGRAMME RT'!$C$4-U630),"")</f>
        <v/>
      </c>
      <c r="AS630" s="82" t="n">
        <f aca="false">IF(AND(OR(AQ630="À RADIOGRAPHIER",AQ630="RÉPARÉ – À RADIOGRAPHIER",AQ630="NX – RT À REFAIRE"),OR('PROGRAMME RT'!$D$5="TOUTES",B630='PROGRAMME RT'!$D$5)),1,0)</f>
        <v>0</v>
      </c>
      <c r="AT630" s="82" t="str">
        <f aca="false">IF(AS630=1,SUM(AS$7:AS630),"")</f>
        <v/>
      </c>
      <c r="AU630" s="82" t="n">
        <f aca="false">IF(AND(OR(AA630="R",AA630="NX",AA630="NT",AA630="CO"),OR('JOINTS DE RÉPARATION'!$D$5="TOUTES",B630='JOINTS DE RÉPARATION'!$D$5),OR('JOINTS DE RÉPARATION'!$L$4="TOUS",AQ630&lt;&gt;"ACCEPTÉ")),1,0)</f>
        <v>0</v>
      </c>
      <c r="AV630" s="82" t="str">
        <f aca="false">IF(AU630=1,SUM(AU$7:AU630),"")</f>
        <v/>
      </c>
      <c r="AW630" s="82" t="str">
        <f aca="false">IF(E630="","",B630&amp;"|"&amp;E630)</f>
        <v>MFD-ISW → MFD-CPF|JN°624</v>
      </c>
    </row>
    <row r="631" customFormat="false" ht="74.6" hidden="false" customHeight="false" outlineLevel="0" collapsed="false">
      <c r="A631" s="79" t="n">
        <f aca="false">IF(E631="","",ROW()-6)</f>
        <v>625</v>
      </c>
      <c r="B631" s="80" t="s">
        <v>110</v>
      </c>
      <c r="C631" s="81"/>
      <c r="D631" s="81"/>
      <c r="E631" s="81" t="s">
        <v>735</v>
      </c>
      <c r="F631" s="82" t="str">
        <f aca="false">IF(E631="","",IF(LEFT(E631,2)="DJ","DJ","JN"))</f>
        <v>JN</v>
      </c>
      <c r="G631" s="81"/>
      <c r="H631" s="81"/>
      <c r="I631" s="81"/>
      <c r="J631" s="81"/>
      <c r="K631" s="81"/>
      <c r="L631" s="81"/>
      <c r="M631" s="81"/>
      <c r="N631" s="81"/>
      <c r="O631" s="81"/>
      <c r="P631" s="81"/>
      <c r="Q631" s="81"/>
      <c r="R631" s="81"/>
      <c r="S631" s="81"/>
      <c r="T631" s="81"/>
      <c r="U631" s="83"/>
      <c r="V631" s="83"/>
      <c r="W631" s="81"/>
      <c r="X631" s="81"/>
      <c r="Y631" s="83"/>
      <c r="Z631" s="81"/>
      <c r="AA631" s="81"/>
      <c r="AB631" s="81"/>
      <c r="AC631" s="81"/>
      <c r="AD631" s="81"/>
      <c r="AE631" s="83"/>
      <c r="AF631" s="81"/>
      <c r="AG631" s="81"/>
      <c r="AH631" s="81"/>
      <c r="AI631" s="81"/>
      <c r="AJ631" s="83"/>
      <c r="AK631" s="81"/>
      <c r="AL631" s="81"/>
      <c r="AM631" s="83"/>
      <c r="AN631" s="80"/>
      <c r="AO631" s="82" t="n">
        <f aca="false">IF(E631="","",(AA631&lt;&gt;"")+(AG631&lt;&gt;"")+(AL631&lt;&gt;""))</f>
        <v>0</v>
      </c>
      <c r="AP631" s="82" t="str">
        <f aca="false">IF(AL631&lt;&gt;"",AL631,IF(AG631&lt;&gt;"",AG631,IF(AA631&lt;&gt;"",AA631,"")))</f>
        <v/>
      </c>
      <c r="AQ631" s="84" t="str">
        <f aca="false">IF(E631="","",IF(U631="","À SOUDER",IF(X631="","VT EN ATTENTE",IF(X631="R","VT REJETÉ – À REPRENDRE",IF(AP631="","À RADIOGRAPHIER",IF(AP631="A","ACCEPTÉ",IF(AP631="NX","NX – RT À REFAIRE",IF(IF(AO631=1,AD631,IF(AO631=2,AI631,""))="A","RÉPARÉ – À RADIOGRAPHIER",IF(IF(AO631=1,AD631,IF(AO631=2,AI631,""))="R","VT REJETÉ – À REPRENDRE",IF(OR(AP631="CO",AP631="NT"),"COUPE – À RESOUDER","À RÉPARER"))))))))))</f>
        <v>À SOUDER</v>
      </c>
      <c r="AR631" s="82" t="str">
        <f aca="false">IF(AND(ISNUMBER(U631),OR(AQ631="À RADIOGRAPHIER",AQ631="RÉPARÉ – À RADIOGRAPHIER",AQ631="NX – RT À REFAIRE",AQ631="À RÉPARER",AQ631="COUPE – À RESOUDER",AQ631="VT REJETÉ – À REPRENDRE")),MAX(0,'PROGRAMME RT'!$C$4-U631),"")</f>
        <v/>
      </c>
      <c r="AS631" s="82" t="n">
        <f aca="false">IF(AND(OR(AQ631="À RADIOGRAPHIER",AQ631="RÉPARÉ – À RADIOGRAPHIER",AQ631="NX – RT À REFAIRE"),OR('PROGRAMME RT'!$D$5="TOUTES",B631='PROGRAMME RT'!$D$5)),1,0)</f>
        <v>0</v>
      </c>
      <c r="AT631" s="82" t="str">
        <f aca="false">IF(AS631=1,SUM(AS$7:AS631),"")</f>
        <v/>
      </c>
      <c r="AU631" s="82" t="n">
        <f aca="false">IF(AND(OR(AA631="R",AA631="NX",AA631="NT",AA631="CO"),OR('JOINTS DE RÉPARATION'!$D$5="TOUTES",B631='JOINTS DE RÉPARATION'!$D$5),OR('JOINTS DE RÉPARATION'!$L$4="TOUS",AQ631&lt;&gt;"ACCEPTÉ")),1,0)</f>
        <v>0</v>
      </c>
      <c r="AV631" s="82" t="str">
        <f aca="false">IF(AU631=1,SUM(AU$7:AU631),"")</f>
        <v/>
      </c>
      <c r="AW631" s="82" t="str">
        <f aca="false">IF(E631="","",B631&amp;"|"&amp;E631)</f>
        <v>MFD-ISW → MFD-CPF|JN°625</v>
      </c>
    </row>
    <row r="632" customFormat="false" ht="74.6" hidden="false" customHeight="false" outlineLevel="0" collapsed="false">
      <c r="A632" s="79" t="n">
        <f aca="false">IF(E632="","",ROW()-6)</f>
        <v>626</v>
      </c>
      <c r="B632" s="80" t="s">
        <v>110</v>
      </c>
      <c r="C632" s="81"/>
      <c r="D632" s="81"/>
      <c r="E632" s="81" t="s">
        <v>736</v>
      </c>
      <c r="F632" s="82" t="str">
        <f aca="false">IF(E632="","",IF(LEFT(E632,2)="DJ","DJ","JN"))</f>
        <v>JN</v>
      </c>
      <c r="G632" s="81"/>
      <c r="H632" s="81"/>
      <c r="I632" s="81"/>
      <c r="J632" s="81"/>
      <c r="K632" s="81"/>
      <c r="L632" s="81"/>
      <c r="M632" s="81"/>
      <c r="N632" s="81"/>
      <c r="O632" s="81"/>
      <c r="P632" s="81"/>
      <c r="Q632" s="81"/>
      <c r="R632" s="81"/>
      <c r="S632" s="81"/>
      <c r="T632" s="81"/>
      <c r="U632" s="83"/>
      <c r="V632" s="83"/>
      <c r="W632" s="81"/>
      <c r="X632" s="81"/>
      <c r="Y632" s="83"/>
      <c r="Z632" s="81"/>
      <c r="AA632" s="81"/>
      <c r="AB632" s="81"/>
      <c r="AC632" s="81"/>
      <c r="AD632" s="81"/>
      <c r="AE632" s="83"/>
      <c r="AF632" s="81"/>
      <c r="AG632" s="81"/>
      <c r="AH632" s="81"/>
      <c r="AI632" s="81"/>
      <c r="AJ632" s="83"/>
      <c r="AK632" s="81"/>
      <c r="AL632" s="81"/>
      <c r="AM632" s="83"/>
      <c r="AN632" s="80"/>
      <c r="AO632" s="82" t="n">
        <f aca="false">IF(E632="","",(AA632&lt;&gt;"")+(AG632&lt;&gt;"")+(AL632&lt;&gt;""))</f>
        <v>0</v>
      </c>
      <c r="AP632" s="82" t="str">
        <f aca="false">IF(AL632&lt;&gt;"",AL632,IF(AG632&lt;&gt;"",AG632,IF(AA632&lt;&gt;"",AA632,"")))</f>
        <v/>
      </c>
      <c r="AQ632" s="84" t="str">
        <f aca="false">IF(E632="","",IF(U632="","À SOUDER",IF(X632="","VT EN ATTENTE",IF(X632="R","VT REJETÉ – À REPRENDRE",IF(AP632="","À RADIOGRAPHIER",IF(AP632="A","ACCEPTÉ",IF(AP632="NX","NX – RT À REFAIRE",IF(IF(AO632=1,AD632,IF(AO632=2,AI632,""))="A","RÉPARÉ – À RADIOGRAPHIER",IF(IF(AO632=1,AD632,IF(AO632=2,AI632,""))="R","VT REJETÉ – À REPRENDRE",IF(OR(AP632="CO",AP632="NT"),"COUPE – À RESOUDER","À RÉPARER"))))))))))</f>
        <v>À SOUDER</v>
      </c>
      <c r="AR632" s="82" t="str">
        <f aca="false">IF(AND(ISNUMBER(U632),OR(AQ632="À RADIOGRAPHIER",AQ632="RÉPARÉ – À RADIOGRAPHIER",AQ632="NX – RT À REFAIRE",AQ632="À RÉPARER",AQ632="COUPE – À RESOUDER",AQ632="VT REJETÉ – À REPRENDRE")),MAX(0,'PROGRAMME RT'!$C$4-U632),"")</f>
        <v/>
      </c>
      <c r="AS632" s="82" t="n">
        <f aca="false">IF(AND(OR(AQ632="À RADIOGRAPHIER",AQ632="RÉPARÉ – À RADIOGRAPHIER",AQ632="NX – RT À REFAIRE"),OR('PROGRAMME RT'!$D$5="TOUTES",B632='PROGRAMME RT'!$D$5)),1,0)</f>
        <v>0</v>
      </c>
      <c r="AT632" s="82" t="str">
        <f aca="false">IF(AS632=1,SUM(AS$7:AS632),"")</f>
        <v/>
      </c>
      <c r="AU632" s="82" t="n">
        <f aca="false">IF(AND(OR(AA632="R",AA632="NX",AA632="NT",AA632="CO"),OR('JOINTS DE RÉPARATION'!$D$5="TOUTES",B632='JOINTS DE RÉPARATION'!$D$5),OR('JOINTS DE RÉPARATION'!$L$4="TOUS",AQ632&lt;&gt;"ACCEPTÉ")),1,0)</f>
        <v>0</v>
      </c>
      <c r="AV632" s="82" t="str">
        <f aca="false">IF(AU632=1,SUM(AU$7:AU632),"")</f>
        <v/>
      </c>
      <c r="AW632" s="82" t="str">
        <f aca="false">IF(E632="","",B632&amp;"|"&amp;E632)</f>
        <v>MFD-ISW → MFD-CPF|JN°626</v>
      </c>
    </row>
    <row r="633" customFormat="false" ht="74.6" hidden="false" customHeight="false" outlineLevel="0" collapsed="false">
      <c r="A633" s="79" t="n">
        <f aca="false">IF(E633="","",ROW()-6)</f>
        <v>627</v>
      </c>
      <c r="B633" s="80" t="s">
        <v>110</v>
      </c>
      <c r="C633" s="81"/>
      <c r="D633" s="81"/>
      <c r="E633" s="81" t="s">
        <v>737</v>
      </c>
      <c r="F633" s="82" t="str">
        <f aca="false">IF(E633="","",IF(LEFT(E633,2)="DJ","DJ","JN"))</f>
        <v>JN</v>
      </c>
      <c r="G633" s="81"/>
      <c r="H633" s="81"/>
      <c r="I633" s="81"/>
      <c r="J633" s="81"/>
      <c r="K633" s="81"/>
      <c r="L633" s="81"/>
      <c r="M633" s="81"/>
      <c r="N633" s="81"/>
      <c r="O633" s="81"/>
      <c r="P633" s="81"/>
      <c r="Q633" s="81"/>
      <c r="R633" s="81"/>
      <c r="S633" s="81"/>
      <c r="T633" s="81"/>
      <c r="U633" s="83"/>
      <c r="V633" s="83"/>
      <c r="W633" s="81"/>
      <c r="X633" s="81"/>
      <c r="Y633" s="83"/>
      <c r="Z633" s="81"/>
      <c r="AA633" s="81"/>
      <c r="AB633" s="81"/>
      <c r="AC633" s="81"/>
      <c r="AD633" s="81"/>
      <c r="AE633" s="83"/>
      <c r="AF633" s="81"/>
      <c r="AG633" s="81"/>
      <c r="AH633" s="81"/>
      <c r="AI633" s="81"/>
      <c r="AJ633" s="83"/>
      <c r="AK633" s="81"/>
      <c r="AL633" s="81"/>
      <c r="AM633" s="83"/>
      <c r="AN633" s="80"/>
      <c r="AO633" s="82" t="n">
        <f aca="false">IF(E633="","",(AA633&lt;&gt;"")+(AG633&lt;&gt;"")+(AL633&lt;&gt;""))</f>
        <v>0</v>
      </c>
      <c r="AP633" s="82" t="str">
        <f aca="false">IF(AL633&lt;&gt;"",AL633,IF(AG633&lt;&gt;"",AG633,IF(AA633&lt;&gt;"",AA633,"")))</f>
        <v/>
      </c>
      <c r="AQ633" s="84" t="str">
        <f aca="false">IF(E633="","",IF(U633="","À SOUDER",IF(X633="","VT EN ATTENTE",IF(X633="R","VT REJETÉ – À REPRENDRE",IF(AP633="","À RADIOGRAPHIER",IF(AP633="A","ACCEPTÉ",IF(AP633="NX","NX – RT À REFAIRE",IF(IF(AO633=1,AD633,IF(AO633=2,AI633,""))="A","RÉPARÉ – À RADIOGRAPHIER",IF(IF(AO633=1,AD633,IF(AO633=2,AI633,""))="R","VT REJETÉ – À REPRENDRE",IF(OR(AP633="CO",AP633="NT"),"COUPE – À RESOUDER","À RÉPARER"))))))))))</f>
        <v>À SOUDER</v>
      </c>
      <c r="AR633" s="82" t="str">
        <f aca="false">IF(AND(ISNUMBER(U633),OR(AQ633="À RADIOGRAPHIER",AQ633="RÉPARÉ – À RADIOGRAPHIER",AQ633="NX – RT À REFAIRE",AQ633="À RÉPARER",AQ633="COUPE – À RESOUDER",AQ633="VT REJETÉ – À REPRENDRE")),MAX(0,'PROGRAMME RT'!$C$4-U633),"")</f>
        <v/>
      </c>
      <c r="AS633" s="82" t="n">
        <f aca="false">IF(AND(OR(AQ633="À RADIOGRAPHIER",AQ633="RÉPARÉ – À RADIOGRAPHIER",AQ633="NX – RT À REFAIRE"),OR('PROGRAMME RT'!$D$5="TOUTES",B633='PROGRAMME RT'!$D$5)),1,0)</f>
        <v>0</v>
      </c>
      <c r="AT633" s="82" t="str">
        <f aca="false">IF(AS633=1,SUM(AS$7:AS633),"")</f>
        <v/>
      </c>
      <c r="AU633" s="82" t="n">
        <f aca="false">IF(AND(OR(AA633="R",AA633="NX",AA633="NT",AA633="CO"),OR('JOINTS DE RÉPARATION'!$D$5="TOUTES",B633='JOINTS DE RÉPARATION'!$D$5),OR('JOINTS DE RÉPARATION'!$L$4="TOUS",AQ633&lt;&gt;"ACCEPTÉ")),1,0)</f>
        <v>0</v>
      </c>
      <c r="AV633" s="82" t="str">
        <f aca="false">IF(AU633=1,SUM(AU$7:AU633),"")</f>
        <v/>
      </c>
      <c r="AW633" s="82" t="str">
        <f aca="false">IF(E633="","",B633&amp;"|"&amp;E633)</f>
        <v>MFD-ISW → MFD-CPF|JN°627</v>
      </c>
    </row>
    <row r="634" customFormat="false" ht="74.6" hidden="false" customHeight="false" outlineLevel="0" collapsed="false">
      <c r="A634" s="79" t="n">
        <f aca="false">IF(E634="","",ROW()-6)</f>
        <v>628</v>
      </c>
      <c r="B634" s="80" t="s">
        <v>110</v>
      </c>
      <c r="C634" s="81"/>
      <c r="D634" s="81"/>
      <c r="E634" s="81" t="s">
        <v>738</v>
      </c>
      <c r="F634" s="82" t="str">
        <f aca="false">IF(E634="","",IF(LEFT(E634,2)="DJ","DJ","JN"))</f>
        <v>JN</v>
      </c>
      <c r="G634" s="81"/>
      <c r="H634" s="81"/>
      <c r="I634" s="81"/>
      <c r="J634" s="81"/>
      <c r="K634" s="81"/>
      <c r="L634" s="81"/>
      <c r="M634" s="81"/>
      <c r="N634" s="81"/>
      <c r="O634" s="81"/>
      <c r="P634" s="81"/>
      <c r="Q634" s="81"/>
      <c r="R634" s="81"/>
      <c r="S634" s="81"/>
      <c r="T634" s="81"/>
      <c r="U634" s="83"/>
      <c r="V634" s="83"/>
      <c r="W634" s="81"/>
      <c r="X634" s="81"/>
      <c r="Y634" s="83"/>
      <c r="Z634" s="81"/>
      <c r="AA634" s="81"/>
      <c r="AB634" s="81"/>
      <c r="AC634" s="81"/>
      <c r="AD634" s="81"/>
      <c r="AE634" s="83"/>
      <c r="AF634" s="81"/>
      <c r="AG634" s="81"/>
      <c r="AH634" s="81"/>
      <c r="AI634" s="81"/>
      <c r="AJ634" s="83"/>
      <c r="AK634" s="81"/>
      <c r="AL634" s="81"/>
      <c r="AM634" s="83"/>
      <c r="AN634" s="80"/>
      <c r="AO634" s="82" t="n">
        <f aca="false">IF(E634="","",(AA634&lt;&gt;"")+(AG634&lt;&gt;"")+(AL634&lt;&gt;""))</f>
        <v>0</v>
      </c>
      <c r="AP634" s="82" t="str">
        <f aca="false">IF(AL634&lt;&gt;"",AL634,IF(AG634&lt;&gt;"",AG634,IF(AA634&lt;&gt;"",AA634,"")))</f>
        <v/>
      </c>
      <c r="AQ634" s="84" t="str">
        <f aca="false">IF(E634="","",IF(U634="","À SOUDER",IF(X634="","VT EN ATTENTE",IF(X634="R","VT REJETÉ – À REPRENDRE",IF(AP634="","À RADIOGRAPHIER",IF(AP634="A","ACCEPTÉ",IF(AP634="NX","NX – RT À REFAIRE",IF(IF(AO634=1,AD634,IF(AO634=2,AI634,""))="A","RÉPARÉ – À RADIOGRAPHIER",IF(IF(AO634=1,AD634,IF(AO634=2,AI634,""))="R","VT REJETÉ – À REPRENDRE",IF(OR(AP634="CO",AP634="NT"),"COUPE – À RESOUDER","À RÉPARER"))))))))))</f>
        <v>À SOUDER</v>
      </c>
      <c r="AR634" s="82" t="str">
        <f aca="false">IF(AND(ISNUMBER(U634),OR(AQ634="À RADIOGRAPHIER",AQ634="RÉPARÉ – À RADIOGRAPHIER",AQ634="NX – RT À REFAIRE",AQ634="À RÉPARER",AQ634="COUPE – À RESOUDER",AQ634="VT REJETÉ – À REPRENDRE")),MAX(0,'PROGRAMME RT'!$C$4-U634),"")</f>
        <v/>
      </c>
      <c r="AS634" s="82" t="n">
        <f aca="false">IF(AND(OR(AQ634="À RADIOGRAPHIER",AQ634="RÉPARÉ – À RADIOGRAPHIER",AQ634="NX – RT À REFAIRE"),OR('PROGRAMME RT'!$D$5="TOUTES",B634='PROGRAMME RT'!$D$5)),1,0)</f>
        <v>0</v>
      </c>
      <c r="AT634" s="82" t="str">
        <f aca="false">IF(AS634=1,SUM(AS$7:AS634),"")</f>
        <v/>
      </c>
      <c r="AU634" s="82" t="n">
        <f aca="false">IF(AND(OR(AA634="R",AA634="NX",AA634="NT",AA634="CO"),OR('JOINTS DE RÉPARATION'!$D$5="TOUTES",B634='JOINTS DE RÉPARATION'!$D$5),OR('JOINTS DE RÉPARATION'!$L$4="TOUS",AQ634&lt;&gt;"ACCEPTÉ")),1,0)</f>
        <v>0</v>
      </c>
      <c r="AV634" s="82" t="str">
        <f aca="false">IF(AU634=1,SUM(AU$7:AU634),"")</f>
        <v/>
      </c>
      <c r="AW634" s="82" t="str">
        <f aca="false">IF(E634="","",B634&amp;"|"&amp;E634)</f>
        <v>MFD-ISW → MFD-CPF|JN°628</v>
      </c>
    </row>
    <row r="635" customFormat="false" ht="74.6" hidden="false" customHeight="false" outlineLevel="0" collapsed="false">
      <c r="A635" s="79" t="n">
        <f aca="false">IF(E635="","",ROW()-6)</f>
        <v>629</v>
      </c>
      <c r="B635" s="80" t="s">
        <v>110</v>
      </c>
      <c r="C635" s="81"/>
      <c r="D635" s="81"/>
      <c r="E635" s="81" t="s">
        <v>739</v>
      </c>
      <c r="F635" s="82" t="str">
        <f aca="false">IF(E635="","",IF(LEFT(E635,2)="DJ","DJ","JN"))</f>
        <v>JN</v>
      </c>
      <c r="G635" s="81"/>
      <c r="H635" s="81"/>
      <c r="I635" s="81"/>
      <c r="J635" s="81"/>
      <c r="K635" s="81"/>
      <c r="L635" s="81"/>
      <c r="M635" s="81"/>
      <c r="N635" s="81"/>
      <c r="O635" s="81"/>
      <c r="P635" s="81"/>
      <c r="Q635" s="81"/>
      <c r="R635" s="81"/>
      <c r="S635" s="81"/>
      <c r="T635" s="81"/>
      <c r="U635" s="83"/>
      <c r="V635" s="83"/>
      <c r="W635" s="81"/>
      <c r="X635" s="81"/>
      <c r="Y635" s="83"/>
      <c r="Z635" s="81"/>
      <c r="AA635" s="81"/>
      <c r="AB635" s="81"/>
      <c r="AC635" s="81"/>
      <c r="AD635" s="81"/>
      <c r="AE635" s="83"/>
      <c r="AF635" s="81"/>
      <c r="AG635" s="81"/>
      <c r="AH635" s="81"/>
      <c r="AI635" s="81"/>
      <c r="AJ635" s="83"/>
      <c r="AK635" s="81"/>
      <c r="AL635" s="81"/>
      <c r="AM635" s="83"/>
      <c r="AN635" s="80"/>
      <c r="AO635" s="82" t="n">
        <f aca="false">IF(E635="","",(AA635&lt;&gt;"")+(AG635&lt;&gt;"")+(AL635&lt;&gt;""))</f>
        <v>0</v>
      </c>
      <c r="AP635" s="82" t="str">
        <f aca="false">IF(AL635&lt;&gt;"",AL635,IF(AG635&lt;&gt;"",AG635,IF(AA635&lt;&gt;"",AA635,"")))</f>
        <v/>
      </c>
      <c r="AQ635" s="84" t="str">
        <f aca="false">IF(E635="","",IF(U635="","À SOUDER",IF(X635="","VT EN ATTENTE",IF(X635="R","VT REJETÉ – À REPRENDRE",IF(AP635="","À RADIOGRAPHIER",IF(AP635="A","ACCEPTÉ",IF(AP635="NX","NX – RT À REFAIRE",IF(IF(AO635=1,AD635,IF(AO635=2,AI635,""))="A","RÉPARÉ – À RADIOGRAPHIER",IF(IF(AO635=1,AD635,IF(AO635=2,AI635,""))="R","VT REJETÉ – À REPRENDRE",IF(OR(AP635="CO",AP635="NT"),"COUPE – À RESOUDER","À RÉPARER"))))))))))</f>
        <v>À SOUDER</v>
      </c>
      <c r="AR635" s="82" t="str">
        <f aca="false">IF(AND(ISNUMBER(U635),OR(AQ635="À RADIOGRAPHIER",AQ635="RÉPARÉ – À RADIOGRAPHIER",AQ635="NX – RT À REFAIRE",AQ635="À RÉPARER",AQ635="COUPE – À RESOUDER",AQ635="VT REJETÉ – À REPRENDRE")),MAX(0,'PROGRAMME RT'!$C$4-U635),"")</f>
        <v/>
      </c>
      <c r="AS635" s="82" t="n">
        <f aca="false">IF(AND(OR(AQ635="À RADIOGRAPHIER",AQ635="RÉPARÉ – À RADIOGRAPHIER",AQ635="NX – RT À REFAIRE"),OR('PROGRAMME RT'!$D$5="TOUTES",B635='PROGRAMME RT'!$D$5)),1,0)</f>
        <v>0</v>
      </c>
      <c r="AT635" s="82" t="str">
        <f aca="false">IF(AS635=1,SUM(AS$7:AS635),"")</f>
        <v/>
      </c>
      <c r="AU635" s="82" t="n">
        <f aca="false">IF(AND(OR(AA635="R",AA635="NX",AA635="NT",AA635="CO"),OR('JOINTS DE RÉPARATION'!$D$5="TOUTES",B635='JOINTS DE RÉPARATION'!$D$5),OR('JOINTS DE RÉPARATION'!$L$4="TOUS",AQ635&lt;&gt;"ACCEPTÉ")),1,0)</f>
        <v>0</v>
      </c>
      <c r="AV635" s="82" t="str">
        <f aca="false">IF(AU635=1,SUM(AU$7:AU635),"")</f>
        <v/>
      </c>
      <c r="AW635" s="82" t="str">
        <f aca="false">IF(E635="","",B635&amp;"|"&amp;E635)</f>
        <v>MFD-ISW → MFD-CPF|JN°629</v>
      </c>
    </row>
    <row r="636" customFormat="false" ht="74.6" hidden="false" customHeight="false" outlineLevel="0" collapsed="false">
      <c r="A636" s="79" t="n">
        <f aca="false">IF(E636="","",ROW()-6)</f>
        <v>630</v>
      </c>
      <c r="B636" s="80" t="s">
        <v>110</v>
      </c>
      <c r="C636" s="81"/>
      <c r="D636" s="81"/>
      <c r="E636" s="81" t="s">
        <v>740</v>
      </c>
      <c r="F636" s="82" t="str">
        <f aca="false">IF(E636="","",IF(LEFT(E636,2)="DJ","DJ","JN"))</f>
        <v>JN</v>
      </c>
      <c r="G636" s="81"/>
      <c r="H636" s="81"/>
      <c r="I636" s="81"/>
      <c r="J636" s="81"/>
      <c r="K636" s="81"/>
      <c r="L636" s="81"/>
      <c r="M636" s="81"/>
      <c r="N636" s="81"/>
      <c r="O636" s="81"/>
      <c r="P636" s="81"/>
      <c r="Q636" s="81"/>
      <c r="R636" s="81"/>
      <c r="S636" s="81"/>
      <c r="T636" s="81"/>
      <c r="U636" s="83"/>
      <c r="V636" s="83"/>
      <c r="W636" s="81"/>
      <c r="X636" s="81"/>
      <c r="Y636" s="83"/>
      <c r="Z636" s="81"/>
      <c r="AA636" s="81"/>
      <c r="AB636" s="81"/>
      <c r="AC636" s="81"/>
      <c r="AD636" s="81"/>
      <c r="AE636" s="83"/>
      <c r="AF636" s="81"/>
      <c r="AG636" s="81"/>
      <c r="AH636" s="81"/>
      <c r="AI636" s="81"/>
      <c r="AJ636" s="83"/>
      <c r="AK636" s="81"/>
      <c r="AL636" s="81"/>
      <c r="AM636" s="83"/>
      <c r="AN636" s="80"/>
      <c r="AO636" s="82" t="n">
        <f aca="false">IF(E636="","",(AA636&lt;&gt;"")+(AG636&lt;&gt;"")+(AL636&lt;&gt;""))</f>
        <v>0</v>
      </c>
      <c r="AP636" s="82" t="str">
        <f aca="false">IF(AL636&lt;&gt;"",AL636,IF(AG636&lt;&gt;"",AG636,IF(AA636&lt;&gt;"",AA636,"")))</f>
        <v/>
      </c>
      <c r="AQ636" s="84" t="str">
        <f aca="false">IF(E636="","",IF(U636="","À SOUDER",IF(X636="","VT EN ATTENTE",IF(X636="R","VT REJETÉ – À REPRENDRE",IF(AP636="","À RADIOGRAPHIER",IF(AP636="A","ACCEPTÉ",IF(AP636="NX","NX – RT À REFAIRE",IF(IF(AO636=1,AD636,IF(AO636=2,AI636,""))="A","RÉPARÉ – À RADIOGRAPHIER",IF(IF(AO636=1,AD636,IF(AO636=2,AI636,""))="R","VT REJETÉ – À REPRENDRE",IF(OR(AP636="CO",AP636="NT"),"COUPE – À RESOUDER","À RÉPARER"))))))))))</f>
        <v>À SOUDER</v>
      </c>
      <c r="AR636" s="82" t="str">
        <f aca="false">IF(AND(ISNUMBER(U636),OR(AQ636="À RADIOGRAPHIER",AQ636="RÉPARÉ – À RADIOGRAPHIER",AQ636="NX – RT À REFAIRE",AQ636="À RÉPARER",AQ636="COUPE – À RESOUDER",AQ636="VT REJETÉ – À REPRENDRE")),MAX(0,'PROGRAMME RT'!$C$4-U636),"")</f>
        <v/>
      </c>
      <c r="AS636" s="82" t="n">
        <f aca="false">IF(AND(OR(AQ636="À RADIOGRAPHIER",AQ636="RÉPARÉ – À RADIOGRAPHIER",AQ636="NX – RT À REFAIRE"),OR('PROGRAMME RT'!$D$5="TOUTES",B636='PROGRAMME RT'!$D$5)),1,0)</f>
        <v>0</v>
      </c>
      <c r="AT636" s="82" t="str">
        <f aca="false">IF(AS636=1,SUM(AS$7:AS636),"")</f>
        <v/>
      </c>
      <c r="AU636" s="82" t="n">
        <f aca="false">IF(AND(OR(AA636="R",AA636="NX",AA636="NT",AA636="CO"),OR('JOINTS DE RÉPARATION'!$D$5="TOUTES",B636='JOINTS DE RÉPARATION'!$D$5),OR('JOINTS DE RÉPARATION'!$L$4="TOUS",AQ636&lt;&gt;"ACCEPTÉ")),1,0)</f>
        <v>0</v>
      </c>
      <c r="AV636" s="82" t="str">
        <f aca="false">IF(AU636=1,SUM(AU$7:AU636),"")</f>
        <v/>
      </c>
      <c r="AW636" s="82" t="str">
        <f aca="false">IF(E636="","",B636&amp;"|"&amp;E636)</f>
        <v>MFD-ISW → MFD-CPF|JN°630</v>
      </c>
    </row>
    <row r="637" customFormat="false" ht="74.6" hidden="false" customHeight="false" outlineLevel="0" collapsed="false">
      <c r="A637" s="79" t="n">
        <f aca="false">IF(E637="","",ROW()-6)</f>
        <v>631</v>
      </c>
      <c r="B637" s="80" t="s">
        <v>110</v>
      </c>
      <c r="C637" s="81"/>
      <c r="D637" s="81"/>
      <c r="E637" s="81" t="s">
        <v>741</v>
      </c>
      <c r="F637" s="82" t="str">
        <f aca="false">IF(E637="","",IF(LEFT(E637,2)="DJ","DJ","JN"))</f>
        <v>JN</v>
      </c>
      <c r="G637" s="81"/>
      <c r="H637" s="81"/>
      <c r="I637" s="81"/>
      <c r="J637" s="81"/>
      <c r="K637" s="81"/>
      <c r="L637" s="81"/>
      <c r="M637" s="81"/>
      <c r="N637" s="81"/>
      <c r="O637" s="81"/>
      <c r="P637" s="81"/>
      <c r="Q637" s="81"/>
      <c r="R637" s="81"/>
      <c r="S637" s="81"/>
      <c r="T637" s="81"/>
      <c r="U637" s="83"/>
      <c r="V637" s="83"/>
      <c r="W637" s="81"/>
      <c r="X637" s="81"/>
      <c r="Y637" s="83"/>
      <c r="Z637" s="81"/>
      <c r="AA637" s="81"/>
      <c r="AB637" s="81"/>
      <c r="AC637" s="81"/>
      <c r="AD637" s="81"/>
      <c r="AE637" s="83"/>
      <c r="AF637" s="81"/>
      <c r="AG637" s="81"/>
      <c r="AH637" s="81"/>
      <c r="AI637" s="81"/>
      <c r="AJ637" s="83"/>
      <c r="AK637" s="81"/>
      <c r="AL637" s="81"/>
      <c r="AM637" s="83"/>
      <c r="AN637" s="80"/>
      <c r="AO637" s="82" t="n">
        <f aca="false">IF(E637="","",(AA637&lt;&gt;"")+(AG637&lt;&gt;"")+(AL637&lt;&gt;""))</f>
        <v>0</v>
      </c>
      <c r="AP637" s="82" t="str">
        <f aca="false">IF(AL637&lt;&gt;"",AL637,IF(AG637&lt;&gt;"",AG637,IF(AA637&lt;&gt;"",AA637,"")))</f>
        <v/>
      </c>
      <c r="AQ637" s="84" t="str">
        <f aca="false">IF(E637="","",IF(U637="","À SOUDER",IF(X637="","VT EN ATTENTE",IF(X637="R","VT REJETÉ – À REPRENDRE",IF(AP637="","À RADIOGRAPHIER",IF(AP637="A","ACCEPTÉ",IF(AP637="NX","NX – RT À REFAIRE",IF(IF(AO637=1,AD637,IF(AO637=2,AI637,""))="A","RÉPARÉ – À RADIOGRAPHIER",IF(IF(AO637=1,AD637,IF(AO637=2,AI637,""))="R","VT REJETÉ – À REPRENDRE",IF(OR(AP637="CO",AP637="NT"),"COUPE – À RESOUDER","À RÉPARER"))))))))))</f>
        <v>À SOUDER</v>
      </c>
      <c r="AR637" s="82" t="str">
        <f aca="false">IF(AND(ISNUMBER(U637),OR(AQ637="À RADIOGRAPHIER",AQ637="RÉPARÉ – À RADIOGRAPHIER",AQ637="NX – RT À REFAIRE",AQ637="À RÉPARER",AQ637="COUPE – À RESOUDER",AQ637="VT REJETÉ – À REPRENDRE")),MAX(0,'PROGRAMME RT'!$C$4-U637),"")</f>
        <v/>
      </c>
      <c r="AS637" s="82" t="n">
        <f aca="false">IF(AND(OR(AQ637="À RADIOGRAPHIER",AQ637="RÉPARÉ – À RADIOGRAPHIER",AQ637="NX – RT À REFAIRE"),OR('PROGRAMME RT'!$D$5="TOUTES",B637='PROGRAMME RT'!$D$5)),1,0)</f>
        <v>0</v>
      </c>
      <c r="AT637" s="82" t="str">
        <f aca="false">IF(AS637=1,SUM(AS$7:AS637),"")</f>
        <v/>
      </c>
      <c r="AU637" s="82" t="n">
        <f aca="false">IF(AND(OR(AA637="R",AA637="NX",AA637="NT",AA637="CO"),OR('JOINTS DE RÉPARATION'!$D$5="TOUTES",B637='JOINTS DE RÉPARATION'!$D$5),OR('JOINTS DE RÉPARATION'!$L$4="TOUS",AQ637&lt;&gt;"ACCEPTÉ")),1,0)</f>
        <v>0</v>
      </c>
      <c r="AV637" s="82" t="str">
        <f aca="false">IF(AU637=1,SUM(AU$7:AU637),"")</f>
        <v/>
      </c>
      <c r="AW637" s="82" t="str">
        <f aca="false">IF(E637="","",B637&amp;"|"&amp;E637)</f>
        <v>MFD-ISW → MFD-CPF|JN°631</v>
      </c>
    </row>
    <row r="638" customFormat="false" ht="74.6" hidden="false" customHeight="false" outlineLevel="0" collapsed="false">
      <c r="A638" s="79" t="n">
        <f aca="false">IF(E638="","",ROW()-6)</f>
        <v>632</v>
      </c>
      <c r="B638" s="80" t="s">
        <v>110</v>
      </c>
      <c r="C638" s="81"/>
      <c r="D638" s="81"/>
      <c r="E638" s="81" t="s">
        <v>742</v>
      </c>
      <c r="F638" s="82" t="str">
        <f aca="false">IF(E638="","",IF(LEFT(E638,2)="DJ","DJ","JN"))</f>
        <v>JN</v>
      </c>
      <c r="G638" s="81"/>
      <c r="H638" s="81"/>
      <c r="I638" s="81"/>
      <c r="J638" s="81"/>
      <c r="K638" s="81"/>
      <c r="L638" s="81"/>
      <c r="M638" s="81"/>
      <c r="N638" s="81"/>
      <c r="O638" s="81"/>
      <c r="P638" s="81"/>
      <c r="Q638" s="81"/>
      <c r="R638" s="81"/>
      <c r="S638" s="81"/>
      <c r="T638" s="81"/>
      <c r="U638" s="83"/>
      <c r="V638" s="83"/>
      <c r="W638" s="81"/>
      <c r="X638" s="81"/>
      <c r="Y638" s="83"/>
      <c r="Z638" s="81"/>
      <c r="AA638" s="81"/>
      <c r="AB638" s="81"/>
      <c r="AC638" s="81"/>
      <c r="AD638" s="81"/>
      <c r="AE638" s="83"/>
      <c r="AF638" s="81"/>
      <c r="AG638" s="81"/>
      <c r="AH638" s="81"/>
      <c r="AI638" s="81"/>
      <c r="AJ638" s="83"/>
      <c r="AK638" s="81"/>
      <c r="AL638" s="81"/>
      <c r="AM638" s="83"/>
      <c r="AN638" s="80"/>
      <c r="AO638" s="82" t="n">
        <f aca="false">IF(E638="","",(AA638&lt;&gt;"")+(AG638&lt;&gt;"")+(AL638&lt;&gt;""))</f>
        <v>0</v>
      </c>
      <c r="AP638" s="82" t="str">
        <f aca="false">IF(AL638&lt;&gt;"",AL638,IF(AG638&lt;&gt;"",AG638,IF(AA638&lt;&gt;"",AA638,"")))</f>
        <v/>
      </c>
      <c r="AQ638" s="84" t="str">
        <f aca="false">IF(E638="","",IF(U638="","À SOUDER",IF(X638="","VT EN ATTENTE",IF(X638="R","VT REJETÉ – À REPRENDRE",IF(AP638="","À RADIOGRAPHIER",IF(AP638="A","ACCEPTÉ",IF(AP638="NX","NX – RT À REFAIRE",IF(IF(AO638=1,AD638,IF(AO638=2,AI638,""))="A","RÉPARÉ – À RADIOGRAPHIER",IF(IF(AO638=1,AD638,IF(AO638=2,AI638,""))="R","VT REJETÉ – À REPRENDRE",IF(OR(AP638="CO",AP638="NT"),"COUPE – À RESOUDER","À RÉPARER"))))))))))</f>
        <v>À SOUDER</v>
      </c>
      <c r="AR638" s="82" t="str">
        <f aca="false">IF(AND(ISNUMBER(U638),OR(AQ638="À RADIOGRAPHIER",AQ638="RÉPARÉ – À RADIOGRAPHIER",AQ638="NX – RT À REFAIRE",AQ638="À RÉPARER",AQ638="COUPE – À RESOUDER",AQ638="VT REJETÉ – À REPRENDRE")),MAX(0,'PROGRAMME RT'!$C$4-U638),"")</f>
        <v/>
      </c>
      <c r="AS638" s="82" t="n">
        <f aca="false">IF(AND(OR(AQ638="À RADIOGRAPHIER",AQ638="RÉPARÉ – À RADIOGRAPHIER",AQ638="NX – RT À REFAIRE"),OR('PROGRAMME RT'!$D$5="TOUTES",B638='PROGRAMME RT'!$D$5)),1,0)</f>
        <v>0</v>
      </c>
      <c r="AT638" s="82" t="str">
        <f aca="false">IF(AS638=1,SUM(AS$7:AS638),"")</f>
        <v/>
      </c>
      <c r="AU638" s="82" t="n">
        <f aca="false">IF(AND(OR(AA638="R",AA638="NX",AA638="NT",AA638="CO"),OR('JOINTS DE RÉPARATION'!$D$5="TOUTES",B638='JOINTS DE RÉPARATION'!$D$5),OR('JOINTS DE RÉPARATION'!$L$4="TOUS",AQ638&lt;&gt;"ACCEPTÉ")),1,0)</f>
        <v>0</v>
      </c>
      <c r="AV638" s="82" t="str">
        <f aca="false">IF(AU638=1,SUM(AU$7:AU638),"")</f>
        <v/>
      </c>
      <c r="AW638" s="82" t="str">
        <f aca="false">IF(E638="","",B638&amp;"|"&amp;E638)</f>
        <v>MFD-ISW → MFD-CPF|JN°632</v>
      </c>
    </row>
    <row r="639" customFormat="false" ht="74.6" hidden="false" customHeight="false" outlineLevel="0" collapsed="false">
      <c r="A639" s="79" t="n">
        <f aca="false">IF(E639="","",ROW()-6)</f>
        <v>633</v>
      </c>
      <c r="B639" s="80" t="s">
        <v>110</v>
      </c>
      <c r="C639" s="81"/>
      <c r="D639" s="81"/>
      <c r="E639" s="81" t="s">
        <v>743</v>
      </c>
      <c r="F639" s="82" t="str">
        <f aca="false">IF(E639="","",IF(LEFT(E639,2)="DJ","DJ","JN"))</f>
        <v>JN</v>
      </c>
      <c r="G639" s="81"/>
      <c r="H639" s="81"/>
      <c r="I639" s="81"/>
      <c r="J639" s="81"/>
      <c r="K639" s="81"/>
      <c r="L639" s="81"/>
      <c r="M639" s="81"/>
      <c r="N639" s="81"/>
      <c r="O639" s="81"/>
      <c r="P639" s="81"/>
      <c r="Q639" s="81"/>
      <c r="R639" s="81"/>
      <c r="S639" s="81"/>
      <c r="T639" s="81"/>
      <c r="U639" s="83"/>
      <c r="V639" s="83"/>
      <c r="W639" s="81"/>
      <c r="X639" s="81"/>
      <c r="Y639" s="83"/>
      <c r="Z639" s="81"/>
      <c r="AA639" s="81"/>
      <c r="AB639" s="81"/>
      <c r="AC639" s="81"/>
      <c r="AD639" s="81"/>
      <c r="AE639" s="83"/>
      <c r="AF639" s="81"/>
      <c r="AG639" s="81"/>
      <c r="AH639" s="81"/>
      <c r="AI639" s="81"/>
      <c r="AJ639" s="83"/>
      <c r="AK639" s="81"/>
      <c r="AL639" s="81"/>
      <c r="AM639" s="83"/>
      <c r="AN639" s="80"/>
      <c r="AO639" s="82" t="n">
        <f aca="false">IF(E639="","",(AA639&lt;&gt;"")+(AG639&lt;&gt;"")+(AL639&lt;&gt;""))</f>
        <v>0</v>
      </c>
      <c r="AP639" s="82" t="str">
        <f aca="false">IF(AL639&lt;&gt;"",AL639,IF(AG639&lt;&gt;"",AG639,IF(AA639&lt;&gt;"",AA639,"")))</f>
        <v/>
      </c>
      <c r="AQ639" s="84" t="str">
        <f aca="false">IF(E639="","",IF(U639="","À SOUDER",IF(X639="","VT EN ATTENTE",IF(X639="R","VT REJETÉ – À REPRENDRE",IF(AP639="","À RADIOGRAPHIER",IF(AP639="A","ACCEPTÉ",IF(AP639="NX","NX – RT À REFAIRE",IF(IF(AO639=1,AD639,IF(AO639=2,AI639,""))="A","RÉPARÉ – À RADIOGRAPHIER",IF(IF(AO639=1,AD639,IF(AO639=2,AI639,""))="R","VT REJETÉ – À REPRENDRE",IF(OR(AP639="CO",AP639="NT"),"COUPE – À RESOUDER","À RÉPARER"))))))))))</f>
        <v>À SOUDER</v>
      </c>
      <c r="AR639" s="82" t="str">
        <f aca="false">IF(AND(ISNUMBER(U639),OR(AQ639="À RADIOGRAPHIER",AQ639="RÉPARÉ – À RADIOGRAPHIER",AQ639="NX – RT À REFAIRE",AQ639="À RÉPARER",AQ639="COUPE – À RESOUDER",AQ639="VT REJETÉ – À REPRENDRE")),MAX(0,'PROGRAMME RT'!$C$4-U639),"")</f>
        <v/>
      </c>
      <c r="AS639" s="82" t="n">
        <f aca="false">IF(AND(OR(AQ639="À RADIOGRAPHIER",AQ639="RÉPARÉ – À RADIOGRAPHIER",AQ639="NX – RT À REFAIRE"),OR('PROGRAMME RT'!$D$5="TOUTES",B639='PROGRAMME RT'!$D$5)),1,0)</f>
        <v>0</v>
      </c>
      <c r="AT639" s="82" t="str">
        <f aca="false">IF(AS639=1,SUM(AS$7:AS639),"")</f>
        <v/>
      </c>
      <c r="AU639" s="82" t="n">
        <f aca="false">IF(AND(OR(AA639="R",AA639="NX",AA639="NT",AA639="CO"),OR('JOINTS DE RÉPARATION'!$D$5="TOUTES",B639='JOINTS DE RÉPARATION'!$D$5),OR('JOINTS DE RÉPARATION'!$L$4="TOUS",AQ639&lt;&gt;"ACCEPTÉ")),1,0)</f>
        <v>0</v>
      </c>
      <c r="AV639" s="82" t="str">
        <f aca="false">IF(AU639=1,SUM(AU$7:AU639),"")</f>
        <v/>
      </c>
      <c r="AW639" s="82" t="str">
        <f aca="false">IF(E639="","",B639&amp;"|"&amp;E639)</f>
        <v>MFD-ISW → MFD-CPF|JN°633</v>
      </c>
    </row>
    <row r="640" customFormat="false" ht="74.6" hidden="false" customHeight="false" outlineLevel="0" collapsed="false">
      <c r="A640" s="79" t="n">
        <f aca="false">IF(E640="","",ROW()-6)</f>
        <v>634</v>
      </c>
      <c r="B640" s="80" t="s">
        <v>110</v>
      </c>
      <c r="C640" s="81"/>
      <c r="D640" s="81"/>
      <c r="E640" s="81" t="s">
        <v>744</v>
      </c>
      <c r="F640" s="82" t="str">
        <f aca="false">IF(E640="","",IF(LEFT(E640,2)="DJ","DJ","JN"))</f>
        <v>JN</v>
      </c>
      <c r="G640" s="81"/>
      <c r="H640" s="81"/>
      <c r="I640" s="81"/>
      <c r="J640" s="81"/>
      <c r="K640" s="81"/>
      <c r="L640" s="81"/>
      <c r="M640" s="81"/>
      <c r="N640" s="81"/>
      <c r="O640" s="81"/>
      <c r="P640" s="81"/>
      <c r="Q640" s="81"/>
      <c r="R640" s="81"/>
      <c r="S640" s="81"/>
      <c r="T640" s="81"/>
      <c r="U640" s="83"/>
      <c r="V640" s="83"/>
      <c r="W640" s="81"/>
      <c r="X640" s="81"/>
      <c r="Y640" s="83"/>
      <c r="Z640" s="81"/>
      <c r="AA640" s="81"/>
      <c r="AB640" s="81"/>
      <c r="AC640" s="81"/>
      <c r="AD640" s="81"/>
      <c r="AE640" s="83"/>
      <c r="AF640" s="81"/>
      <c r="AG640" s="81"/>
      <c r="AH640" s="81"/>
      <c r="AI640" s="81"/>
      <c r="AJ640" s="83"/>
      <c r="AK640" s="81"/>
      <c r="AL640" s="81"/>
      <c r="AM640" s="83"/>
      <c r="AN640" s="80"/>
      <c r="AO640" s="82" t="n">
        <f aca="false">IF(E640="","",(AA640&lt;&gt;"")+(AG640&lt;&gt;"")+(AL640&lt;&gt;""))</f>
        <v>0</v>
      </c>
      <c r="AP640" s="82" t="str">
        <f aca="false">IF(AL640&lt;&gt;"",AL640,IF(AG640&lt;&gt;"",AG640,IF(AA640&lt;&gt;"",AA640,"")))</f>
        <v/>
      </c>
      <c r="AQ640" s="84" t="str">
        <f aca="false">IF(E640="","",IF(U640="","À SOUDER",IF(X640="","VT EN ATTENTE",IF(X640="R","VT REJETÉ – À REPRENDRE",IF(AP640="","À RADIOGRAPHIER",IF(AP640="A","ACCEPTÉ",IF(AP640="NX","NX – RT À REFAIRE",IF(IF(AO640=1,AD640,IF(AO640=2,AI640,""))="A","RÉPARÉ – À RADIOGRAPHIER",IF(IF(AO640=1,AD640,IF(AO640=2,AI640,""))="R","VT REJETÉ – À REPRENDRE",IF(OR(AP640="CO",AP640="NT"),"COUPE – À RESOUDER","À RÉPARER"))))))))))</f>
        <v>À SOUDER</v>
      </c>
      <c r="AR640" s="82" t="str">
        <f aca="false">IF(AND(ISNUMBER(U640),OR(AQ640="À RADIOGRAPHIER",AQ640="RÉPARÉ – À RADIOGRAPHIER",AQ640="NX – RT À REFAIRE",AQ640="À RÉPARER",AQ640="COUPE – À RESOUDER",AQ640="VT REJETÉ – À REPRENDRE")),MAX(0,'PROGRAMME RT'!$C$4-U640),"")</f>
        <v/>
      </c>
      <c r="AS640" s="82" t="n">
        <f aca="false">IF(AND(OR(AQ640="À RADIOGRAPHIER",AQ640="RÉPARÉ – À RADIOGRAPHIER",AQ640="NX – RT À REFAIRE"),OR('PROGRAMME RT'!$D$5="TOUTES",B640='PROGRAMME RT'!$D$5)),1,0)</f>
        <v>0</v>
      </c>
      <c r="AT640" s="82" t="str">
        <f aca="false">IF(AS640=1,SUM(AS$7:AS640),"")</f>
        <v/>
      </c>
      <c r="AU640" s="82" t="n">
        <f aca="false">IF(AND(OR(AA640="R",AA640="NX",AA640="NT",AA640="CO"),OR('JOINTS DE RÉPARATION'!$D$5="TOUTES",B640='JOINTS DE RÉPARATION'!$D$5),OR('JOINTS DE RÉPARATION'!$L$4="TOUS",AQ640&lt;&gt;"ACCEPTÉ")),1,0)</f>
        <v>0</v>
      </c>
      <c r="AV640" s="82" t="str">
        <f aca="false">IF(AU640=1,SUM(AU$7:AU640),"")</f>
        <v/>
      </c>
      <c r="AW640" s="82" t="str">
        <f aca="false">IF(E640="","",B640&amp;"|"&amp;E640)</f>
        <v>MFD-ISW → MFD-CPF|JN°634</v>
      </c>
    </row>
    <row r="641" customFormat="false" ht="74.6" hidden="false" customHeight="false" outlineLevel="0" collapsed="false">
      <c r="A641" s="79" t="n">
        <f aca="false">IF(E641="","",ROW()-6)</f>
        <v>635</v>
      </c>
      <c r="B641" s="80" t="s">
        <v>110</v>
      </c>
      <c r="C641" s="81"/>
      <c r="D641" s="81"/>
      <c r="E641" s="81" t="s">
        <v>745</v>
      </c>
      <c r="F641" s="82" t="str">
        <f aca="false">IF(E641="","",IF(LEFT(E641,2)="DJ","DJ","JN"))</f>
        <v>JN</v>
      </c>
      <c r="G641" s="81"/>
      <c r="H641" s="81"/>
      <c r="I641" s="81"/>
      <c r="J641" s="81"/>
      <c r="K641" s="81"/>
      <c r="L641" s="81"/>
      <c r="M641" s="81"/>
      <c r="N641" s="81"/>
      <c r="O641" s="81"/>
      <c r="P641" s="81"/>
      <c r="Q641" s="81"/>
      <c r="R641" s="81"/>
      <c r="S641" s="81"/>
      <c r="T641" s="81"/>
      <c r="U641" s="83"/>
      <c r="V641" s="83"/>
      <c r="W641" s="81"/>
      <c r="X641" s="81"/>
      <c r="Y641" s="83"/>
      <c r="Z641" s="81"/>
      <c r="AA641" s="81"/>
      <c r="AB641" s="81"/>
      <c r="AC641" s="81"/>
      <c r="AD641" s="81"/>
      <c r="AE641" s="83"/>
      <c r="AF641" s="81"/>
      <c r="AG641" s="81"/>
      <c r="AH641" s="81"/>
      <c r="AI641" s="81"/>
      <c r="AJ641" s="83"/>
      <c r="AK641" s="81"/>
      <c r="AL641" s="81"/>
      <c r="AM641" s="83"/>
      <c r="AN641" s="80"/>
      <c r="AO641" s="82" t="n">
        <f aca="false">IF(E641="","",(AA641&lt;&gt;"")+(AG641&lt;&gt;"")+(AL641&lt;&gt;""))</f>
        <v>0</v>
      </c>
      <c r="AP641" s="82" t="str">
        <f aca="false">IF(AL641&lt;&gt;"",AL641,IF(AG641&lt;&gt;"",AG641,IF(AA641&lt;&gt;"",AA641,"")))</f>
        <v/>
      </c>
      <c r="AQ641" s="84" t="str">
        <f aca="false">IF(E641="","",IF(U641="","À SOUDER",IF(X641="","VT EN ATTENTE",IF(X641="R","VT REJETÉ – À REPRENDRE",IF(AP641="","À RADIOGRAPHIER",IF(AP641="A","ACCEPTÉ",IF(AP641="NX","NX – RT À REFAIRE",IF(IF(AO641=1,AD641,IF(AO641=2,AI641,""))="A","RÉPARÉ – À RADIOGRAPHIER",IF(IF(AO641=1,AD641,IF(AO641=2,AI641,""))="R","VT REJETÉ – À REPRENDRE",IF(OR(AP641="CO",AP641="NT"),"COUPE – À RESOUDER","À RÉPARER"))))))))))</f>
        <v>À SOUDER</v>
      </c>
      <c r="AR641" s="82" t="str">
        <f aca="false">IF(AND(ISNUMBER(U641),OR(AQ641="À RADIOGRAPHIER",AQ641="RÉPARÉ – À RADIOGRAPHIER",AQ641="NX – RT À REFAIRE",AQ641="À RÉPARER",AQ641="COUPE – À RESOUDER",AQ641="VT REJETÉ – À REPRENDRE")),MAX(0,'PROGRAMME RT'!$C$4-U641),"")</f>
        <v/>
      </c>
      <c r="AS641" s="82" t="n">
        <f aca="false">IF(AND(OR(AQ641="À RADIOGRAPHIER",AQ641="RÉPARÉ – À RADIOGRAPHIER",AQ641="NX – RT À REFAIRE"),OR('PROGRAMME RT'!$D$5="TOUTES",B641='PROGRAMME RT'!$D$5)),1,0)</f>
        <v>0</v>
      </c>
      <c r="AT641" s="82" t="str">
        <f aca="false">IF(AS641=1,SUM(AS$7:AS641),"")</f>
        <v/>
      </c>
      <c r="AU641" s="82" t="n">
        <f aca="false">IF(AND(OR(AA641="R",AA641="NX",AA641="NT",AA641="CO"),OR('JOINTS DE RÉPARATION'!$D$5="TOUTES",B641='JOINTS DE RÉPARATION'!$D$5),OR('JOINTS DE RÉPARATION'!$L$4="TOUS",AQ641&lt;&gt;"ACCEPTÉ")),1,0)</f>
        <v>0</v>
      </c>
      <c r="AV641" s="82" t="str">
        <f aca="false">IF(AU641=1,SUM(AU$7:AU641),"")</f>
        <v/>
      </c>
      <c r="AW641" s="82" t="str">
        <f aca="false">IF(E641="","",B641&amp;"|"&amp;E641)</f>
        <v>MFD-ISW → MFD-CPF|JN°635</v>
      </c>
    </row>
    <row r="642" customFormat="false" ht="74.6" hidden="false" customHeight="false" outlineLevel="0" collapsed="false">
      <c r="A642" s="79" t="n">
        <f aca="false">IF(E642="","",ROW()-6)</f>
        <v>636</v>
      </c>
      <c r="B642" s="80" t="s">
        <v>110</v>
      </c>
      <c r="C642" s="81"/>
      <c r="D642" s="81"/>
      <c r="E642" s="81" t="s">
        <v>746</v>
      </c>
      <c r="F642" s="82" t="str">
        <f aca="false">IF(E642="","",IF(LEFT(E642,2)="DJ","DJ","JN"))</f>
        <v>JN</v>
      </c>
      <c r="G642" s="81"/>
      <c r="H642" s="81"/>
      <c r="I642" s="81"/>
      <c r="J642" s="81"/>
      <c r="K642" s="81"/>
      <c r="L642" s="81"/>
      <c r="M642" s="81"/>
      <c r="N642" s="81"/>
      <c r="O642" s="81"/>
      <c r="P642" s="81"/>
      <c r="Q642" s="81"/>
      <c r="R642" s="81"/>
      <c r="S642" s="81"/>
      <c r="T642" s="81"/>
      <c r="U642" s="83"/>
      <c r="V642" s="83"/>
      <c r="W642" s="81"/>
      <c r="X642" s="81"/>
      <c r="Y642" s="83"/>
      <c r="Z642" s="81"/>
      <c r="AA642" s="81"/>
      <c r="AB642" s="81"/>
      <c r="AC642" s="81"/>
      <c r="AD642" s="81"/>
      <c r="AE642" s="83"/>
      <c r="AF642" s="81"/>
      <c r="AG642" s="81"/>
      <c r="AH642" s="81"/>
      <c r="AI642" s="81"/>
      <c r="AJ642" s="83"/>
      <c r="AK642" s="81"/>
      <c r="AL642" s="81"/>
      <c r="AM642" s="83"/>
      <c r="AN642" s="80"/>
      <c r="AO642" s="82" t="n">
        <f aca="false">IF(E642="","",(AA642&lt;&gt;"")+(AG642&lt;&gt;"")+(AL642&lt;&gt;""))</f>
        <v>0</v>
      </c>
      <c r="AP642" s="82" t="str">
        <f aca="false">IF(AL642&lt;&gt;"",AL642,IF(AG642&lt;&gt;"",AG642,IF(AA642&lt;&gt;"",AA642,"")))</f>
        <v/>
      </c>
      <c r="AQ642" s="84" t="str">
        <f aca="false">IF(E642="","",IF(U642="","À SOUDER",IF(X642="","VT EN ATTENTE",IF(X642="R","VT REJETÉ – À REPRENDRE",IF(AP642="","À RADIOGRAPHIER",IF(AP642="A","ACCEPTÉ",IF(AP642="NX","NX – RT À REFAIRE",IF(IF(AO642=1,AD642,IF(AO642=2,AI642,""))="A","RÉPARÉ – À RADIOGRAPHIER",IF(IF(AO642=1,AD642,IF(AO642=2,AI642,""))="R","VT REJETÉ – À REPRENDRE",IF(OR(AP642="CO",AP642="NT"),"COUPE – À RESOUDER","À RÉPARER"))))))))))</f>
        <v>À SOUDER</v>
      </c>
      <c r="AR642" s="82" t="str">
        <f aca="false">IF(AND(ISNUMBER(U642),OR(AQ642="À RADIOGRAPHIER",AQ642="RÉPARÉ – À RADIOGRAPHIER",AQ642="NX – RT À REFAIRE",AQ642="À RÉPARER",AQ642="COUPE – À RESOUDER",AQ642="VT REJETÉ – À REPRENDRE")),MAX(0,'PROGRAMME RT'!$C$4-U642),"")</f>
        <v/>
      </c>
      <c r="AS642" s="82" t="n">
        <f aca="false">IF(AND(OR(AQ642="À RADIOGRAPHIER",AQ642="RÉPARÉ – À RADIOGRAPHIER",AQ642="NX – RT À REFAIRE"),OR('PROGRAMME RT'!$D$5="TOUTES",B642='PROGRAMME RT'!$D$5)),1,0)</f>
        <v>0</v>
      </c>
      <c r="AT642" s="82" t="str">
        <f aca="false">IF(AS642=1,SUM(AS$7:AS642),"")</f>
        <v/>
      </c>
      <c r="AU642" s="82" t="n">
        <f aca="false">IF(AND(OR(AA642="R",AA642="NX",AA642="NT",AA642="CO"),OR('JOINTS DE RÉPARATION'!$D$5="TOUTES",B642='JOINTS DE RÉPARATION'!$D$5),OR('JOINTS DE RÉPARATION'!$L$4="TOUS",AQ642&lt;&gt;"ACCEPTÉ")),1,0)</f>
        <v>0</v>
      </c>
      <c r="AV642" s="82" t="str">
        <f aca="false">IF(AU642=1,SUM(AU$7:AU642),"")</f>
        <v/>
      </c>
      <c r="AW642" s="82" t="str">
        <f aca="false">IF(E642="","",B642&amp;"|"&amp;E642)</f>
        <v>MFD-ISW → MFD-CPF|JN°636</v>
      </c>
    </row>
    <row r="643" customFormat="false" ht="74.6" hidden="false" customHeight="false" outlineLevel="0" collapsed="false">
      <c r="A643" s="79" t="n">
        <f aca="false">IF(E643="","",ROW()-6)</f>
        <v>637</v>
      </c>
      <c r="B643" s="80" t="s">
        <v>110</v>
      </c>
      <c r="C643" s="81"/>
      <c r="D643" s="81"/>
      <c r="E643" s="81" t="s">
        <v>747</v>
      </c>
      <c r="F643" s="82" t="str">
        <f aca="false">IF(E643="","",IF(LEFT(E643,2)="DJ","DJ","JN"))</f>
        <v>JN</v>
      </c>
      <c r="G643" s="81"/>
      <c r="H643" s="81"/>
      <c r="I643" s="81"/>
      <c r="J643" s="81"/>
      <c r="K643" s="81"/>
      <c r="L643" s="81"/>
      <c r="M643" s="81"/>
      <c r="N643" s="81"/>
      <c r="O643" s="81"/>
      <c r="P643" s="81"/>
      <c r="Q643" s="81"/>
      <c r="R643" s="81"/>
      <c r="S643" s="81"/>
      <c r="T643" s="81"/>
      <c r="U643" s="83"/>
      <c r="V643" s="83"/>
      <c r="W643" s="81"/>
      <c r="X643" s="81"/>
      <c r="Y643" s="83"/>
      <c r="Z643" s="81"/>
      <c r="AA643" s="81"/>
      <c r="AB643" s="81"/>
      <c r="AC643" s="81"/>
      <c r="AD643" s="81"/>
      <c r="AE643" s="83"/>
      <c r="AF643" s="81"/>
      <c r="AG643" s="81"/>
      <c r="AH643" s="81"/>
      <c r="AI643" s="81"/>
      <c r="AJ643" s="83"/>
      <c r="AK643" s="81"/>
      <c r="AL643" s="81"/>
      <c r="AM643" s="83"/>
      <c r="AN643" s="80"/>
      <c r="AO643" s="82" t="n">
        <f aca="false">IF(E643="","",(AA643&lt;&gt;"")+(AG643&lt;&gt;"")+(AL643&lt;&gt;""))</f>
        <v>0</v>
      </c>
      <c r="AP643" s="82" t="str">
        <f aca="false">IF(AL643&lt;&gt;"",AL643,IF(AG643&lt;&gt;"",AG643,IF(AA643&lt;&gt;"",AA643,"")))</f>
        <v/>
      </c>
      <c r="AQ643" s="84" t="str">
        <f aca="false">IF(E643="","",IF(U643="","À SOUDER",IF(X643="","VT EN ATTENTE",IF(X643="R","VT REJETÉ – À REPRENDRE",IF(AP643="","À RADIOGRAPHIER",IF(AP643="A","ACCEPTÉ",IF(AP643="NX","NX – RT À REFAIRE",IF(IF(AO643=1,AD643,IF(AO643=2,AI643,""))="A","RÉPARÉ – À RADIOGRAPHIER",IF(IF(AO643=1,AD643,IF(AO643=2,AI643,""))="R","VT REJETÉ – À REPRENDRE",IF(OR(AP643="CO",AP643="NT"),"COUPE – À RESOUDER","À RÉPARER"))))))))))</f>
        <v>À SOUDER</v>
      </c>
      <c r="AR643" s="82" t="str">
        <f aca="false">IF(AND(ISNUMBER(U643),OR(AQ643="À RADIOGRAPHIER",AQ643="RÉPARÉ – À RADIOGRAPHIER",AQ643="NX – RT À REFAIRE",AQ643="À RÉPARER",AQ643="COUPE – À RESOUDER",AQ643="VT REJETÉ – À REPRENDRE")),MAX(0,'PROGRAMME RT'!$C$4-U643),"")</f>
        <v/>
      </c>
      <c r="AS643" s="82" t="n">
        <f aca="false">IF(AND(OR(AQ643="À RADIOGRAPHIER",AQ643="RÉPARÉ – À RADIOGRAPHIER",AQ643="NX – RT À REFAIRE"),OR('PROGRAMME RT'!$D$5="TOUTES",B643='PROGRAMME RT'!$D$5)),1,0)</f>
        <v>0</v>
      </c>
      <c r="AT643" s="82" t="str">
        <f aca="false">IF(AS643=1,SUM(AS$7:AS643),"")</f>
        <v/>
      </c>
      <c r="AU643" s="82" t="n">
        <f aca="false">IF(AND(OR(AA643="R",AA643="NX",AA643="NT",AA643="CO"),OR('JOINTS DE RÉPARATION'!$D$5="TOUTES",B643='JOINTS DE RÉPARATION'!$D$5),OR('JOINTS DE RÉPARATION'!$L$4="TOUS",AQ643&lt;&gt;"ACCEPTÉ")),1,0)</f>
        <v>0</v>
      </c>
      <c r="AV643" s="82" t="str">
        <f aca="false">IF(AU643=1,SUM(AU$7:AU643),"")</f>
        <v/>
      </c>
      <c r="AW643" s="82" t="str">
        <f aca="false">IF(E643="","",B643&amp;"|"&amp;E643)</f>
        <v>MFD-ISW → MFD-CPF|JN°637</v>
      </c>
    </row>
    <row r="644" customFormat="false" ht="74.6" hidden="false" customHeight="false" outlineLevel="0" collapsed="false">
      <c r="A644" s="79" t="n">
        <f aca="false">IF(E644="","",ROW()-6)</f>
        <v>638</v>
      </c>
      <c r="B644" s="80" t="s">
        <v>110</v>
      </c>
      <c r="C644" s="81"/>
      <c r="D644" s="81"/>
      <c r="E644" s="81" t="s">
        <v>748</v>
      </c>
      <c r="F644" s="82" t="str">
        <f aca="false">IF(E644="","",IF(LEFT(E644,2)="DJ","DJ","JN"))</f>
        <v>JN</v>
      </c>
      <c r="G644" s="81"/>
      <c r="H644" s="81"/>
      <c r="I644" s="81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U644" s="83"/>
      <c r="V644" s="83"/>
      <c r="W644" s="81"/>
      <c r="X644" s="81"/>
      <c r="Y644" s="83"/>
      <c r="Z644" s="81"/>
      <c r="AA644" s="81"/>
      <c r="AB644" s="81"/>
      <c r="AC644" s="81"/>
      <c r="AD644" s="81"/>
      <c r="AE644" s="83"/>
      <c r="AF644" s="81"/>
      <c r="AG644" s="81"/>
      <c r="AH644" s="81"/>
      <c r="AI644" s="81"/>
      <c r="AJ644" s="83"/>
      <c r="AK644" s="81"/>
      <c r="AL644" s="81"/>
      <c r="AM644" s="83"/>
      <c r="AN644" s="80"/>
      <c r="AO644" s="82" t="n">
        <f aca="false">IF(E644="","",(AA644&lt;&gt;"")+(AG644&lt;&gt;"")+(AL644&lt;&gt;""))</f>
        <v>0</v>
      </c>
      <c r="AP644" s="82" t="str">
        <f aca="false">IF(AL644&lt;&gt;"",AL644,IF(AG644&lt;&gt;"",AG644,IF(AA644&lt;&gt;"",AA644,"")))</f>
        <v/>
      </c>
      <c r="AQ644" s="84" t="str">
        <f aca="false">IF(E644="","",IF(U644="","À SOUDER",IF(X644="","VT EN ATTENTE",IF(X644="R","VT REJETÉ – À REPRENDRE",IF(AP644="","À RADIOGRAPHIER",IF(AP644="A","ACCEPTÉ",IF(AP644="NX","NX – RT À REFAIRE",IF(IF(AO644=1,AD644,IF(AO644=2,AI644,""))="A","RÉPARÉ – À RADIOGRAPHIER",IF(IF(AO644=1,AD644,IF(AO644=2,AI644,""))="R","VT REJETÉ – À REPRENDRE",IF(OR(AP644="CO",AP644="NT"),"COUPE – À RESOUDER","À RÉPARER"))))))))))</f>
        <v>À SOUDER</v>
      </c>
      <c r="AR644" s="82" t="str">
        <f aca="false">IF(AND(ISNUMBER(U644),OR(AQ644="À RADIOGRAPHIER",AQ644="RÉPARÉ – À RADIOGRAPHIER",AQ644="NX – RT À REFAIRE",AQ644="À RÉPARER",AQ644="COUPE – À RESOUDER",AQ644="VT REJETÉ – À REPRENDRE")),MAX(0,'PROGRAMME RT'!$C$4-U644),"")</f>
        <v/>
      </c>
      <c r="AS644" s="82" t="n">
        <f aca="false">IF(AND(OR(AQ644="À RADIOGRAPHIER",AQ644="RÉPARÉ – À RADIOGRAPHIER",AQ644="NX – RT À REFAIRE"),OR('PROGRAMME RT'!$D$5="TOUTES",B644='PROGRAMME RT'!$D$5)),1,0)</f>
        <v>0</v>
      </c>
      <c r="AT644" s="82" t="str">
        <f aca="false">IF(AS644=1,SUM(AS$7:AS644),"")</f>
        <v/>
      </c>
      <c r="AU644" s="82" t="n">
        <f aca="false">IF(AND(OR(AA644="R",AA644="NX",AA644="NT",AA644="CO"),OR('JOINTS DE RÉPARATION'!$D$5="TOUTES",B644='JOINTS DE RÉPARATION'!$D$5),OR('JOINTS DE RÉPARATION'!$L$4="TOUS",AQ644&lt;&gt;"ACCEPTÉ")),1,0)</f>
        <v>0</v>
      </c>
      <c r="AV644" s="82" t="str">
        <f aca="false">IF(AU644=1,SUM(AU$7:AU644),"")</f>
        <v/>
      </c>
      <c r="AW644" s="82" t="str">
        <f aca="false">IF(E644="","",B644&amp;"|"&amp;E644)</f>
        <v>MFD-ISW → MFD-CPF|JN°638</v>
      </c>
    </row>
    <row r="645" customFormat="false" ht="74.6" hidden="false" customHeight="false" outlineLevel="0" collapsed="false">
      <c r="A645" s="79" t="n">
        <f aca="false">IF(E645="","",ROW()-6)</f>
        <v>639</v>
      </c>
      <c r="B645" s="80" t="s">
        <v>110</v>
      </c>
      <c r="C645" s="81"/>
      <c r="D645" s="81"/>
      <c r="E645" s="81" t="s">
        <v>749</v>
      </c>
      <c r="F645" s="82" t="str">
        <f aca="false">IF(E645="","",IF(LEFT(E645,2)="DJ","DJ","JN"))</f>
        <v>JN</v>
      </c>
      <c r="G645" s="81"/>
      <c r="H645" s="81"/>
      <c r="I645" s="81"/>
      <c r="J645" s="81"/>
      <c r="K645" s="81"/>
      <c r="L645" s="81"/>
      <c r="M645" s="81"/>
      <c r="N645" s="81"/>
      <c r="O645" s="81"/>
      <c r="P645" s="81"/>
      <c r="Q645" s="81"/>
      <c r="R645" s="81"/>
      <c r="S645" s="81"/>
      <c r="T645" s="81"/>
      <c r="U645" s="83"/>
      <c r="V645" s="83"/>
      <c r="W645" s="81"/>
      <c r="X645" s="81"/>
      <c r="Y645" s="83"/>
      <c r="Z645" s="81"/>
      <c r="AA645" s="81"/>
      <c r="AB645" s="81"/>
      <c r="AC645" s="81"/>
      <c r="AD645" s="81"/>
      <c r="AE645" s="83"/>
      <c r="AF645" s="81"/>
      <c r="AG645" s="81"/>
      <c r="AH645" s="81"/>
      <c r="AI645" s="81"/>
      <c r="AJ645" s="83"/>
      <c r="AK645" s="81"/>
      <c r="AL645" s="81"/>
      <c r="AM645" s="83"/>
      <c r="AN645" s="80"/>
      <c r="AO645" s="82" t="n">
        <f aca="false">IF(E645="","",(AA645&lt;&gt;"")+(AG645&lt;&gt;"")+(AL645&lt;&gt;""))</f>
        <v>0</v>
      </c>
      <c r="AP645" s="82" t="str">
        <f aca="false">IF(AL645&lt;&gt;"",AL645,IF(AG645&lt;&gt;"",AG645,IF(AA645&lt;&gt;"",AA645,"")))</f>
        <v/>
      </c>
      <c r="AQ645" s="84" t="str">
        <f aca="false">IF(E645="","",IF(U645="","À SOUDER",IF(X645="","VT EN ATTENTE",IF(X645="R","VT REJETÉ – À REPRENDRE",IF(AP645="","À RADIOGRAPHIER",IF(AP645="A","ACCEPTÉ",IF(AP645="NX","NX – RT À REFAIRE",IF(IF(AO645=1,AD645,IF(AO645=2,AI645,""))="A","RÉPARÉ – À RADIOGRAPHIER",IF(IF(AO645=1,AD645,IF(AO645=2,AI645,""))="R","VT REJETÉ – À REPRENDRE",IF(OR(AP645="CO",AP645="NT"),"COUPE – À RESOUDER","À RÉPARER"))))))))))</f>
        <v>À SOUDER</v>
      </c>
      <c r="AR645" s="82" t="str">
        <f aca="false">IF(AND(ISNUMBER(U645),OR(AQ645="À RADIOGRAPHIER",AQ645="RÉPARÉ – À RADIOGRAPHIER",AQ645="NX – RT À REFAIRE",AQ645="À RÉPARER",AQ645="COUPE – À RESOUDER",AQ645="VT REJETÉ – À REPRENDRE")),MAX(0,'PROGRAMME RT'!$C$4-U645),"")</f>
        <v/>
      </c>
      <c r="AS645" s="82" t="n">
        <f aca="false">IF(AND(OR(AQ645="À RADIOGRAPHIER",AQ645="RÉPARÉ – À RADIOGRAPHIER",AQ645="NX – RT À REFAIRE"),OR('PROGRAMME RT'!$D$5="TOUTES",B645='PROGRAMME RT'!$D$5)),1,0)</f>
        <v>0</v>
      </c>
      <c r="AT645" s="82" t="str">
        <f aca="false">IF(AS645=1,SUM(AS$7:AS645),"")</f>
        <v/>
      </c>
      <c r="AU645" s="82" t="n">
        <f aca="false">IF(AND(OR(AA645="R",AA645="NX",AA645="NT",AA645="CO"),OR('JOINTS DE RÉPARATION'!$D$5="TOUTES",B645='JOINTS DE RÉPARATION'!$D$5),OR('JOINTS DE RÉPARATION'!$L$4="TOUS",AQ645&lt;&gt;"ACCEPTÉ")),1,0)</f>
        <v>0</v>
      </c>
      <c r="AV645" s="82" t="str">
        <f aca="false">IF(AU645=1,SUM(AU$7:AU645),"")</f>
        <v/>
      </c>
      <c r="AW645" s="82" t="str">
        <f aca="false">IF(E645="","",B645&amp;"|"&amp;E645)</f>
        <v>MFD-ISW → MFD-CPF|JN°639</v>
      </c>
    </row>
    <row r="646" customFormat="false" ht="74.6" hidden="false" customHeight="false" outlineLevel="0" collapsed="false">
      <c r="A646" s="79" t="n">
        <f aca="false">IF(E646="","",ROW()-6)</f>
        <v>640</v>
      </c>
      <c r="B646" s="80" t="s">
        <v>110</v>
      </c>
      <c r="C646" s="81"/>
      <c r="D646" s="81"/>
      <c r="E646" s="81" t="s">
        <v>750</v>
      </c>
      <c r="F646" s="82" t="str">
        <f aca="false">IF(E646="","",IF(LEFT(E646,2)="DJ","DJ","JN"))</f>
        <v>JN</v>
      </c>
      <c r="G646" s="81"/>
      <c r="H646" s="81"/>
      <c r="I646" s="81"/>
      <c r="J646" s="81"/>
      <c r="K646" s="81"/>
      <c r="L646" s="81"/>
      <c r="M646" s="81"/>
      <c r="N646" s="81"/>
      <c r="O646" s="81"/>
      <c r="P646" s="81"/>
      <c r="Q646" s="81"/>
      <c r="R646" s="81"/>
      <c r="S646" s="81"/>
      <c r="T646" s="81"/>
      <c r="U646" s="83"/>
      <c r="V646" s="83"/>
      <c r="W646" s="81"/>
      <c r="X646" s="81"/>
      <c r="Y646" s="83"/>
      <c r="Z646" s="81"/>
      <c r="AA646" s="81"/>
      <c r="AB646" s="81"/>
      <c r="AC646" s="81"/>
      <c r="AD646" s="81"/>
      <c r="AE646" s="83"/>
      <c r="AF646" s="81"/>
      <c r="AG646" s="81"/>
      <c r="AH646" s="81"/>
      <c r="AI646" s="81"/>
      <c r="AJ646" s="83"/>
      <c r="AK646" s="81"/>
      <c r="AL646" s="81"/>
      <c r="AM646" s="83"/>
      <c r="AN646" s="80"/>
      <c r="AO646" s="82" t="n">
        <f aca="false">IF(E646="","",(AA646&lt;&gt;"")+(AG646&lt;&gt;"")+(AL646&lt;&gt;""))</f>
        <v>0</v>
      </c>
      <c r="AP646" s="82" t="str">
        <f aca="false">IF(AL646&lt;&gt;"",AL646,IF(AG646&lt;&gt;"",AG646,IF(AA646&lt;&gt;"",AA646,"")))</f>
        <v/>
      </c>
      <c r="AQ646" s="84" t="str">
        <f aca="false">IF(E646="","",IF(U646="","À SOUDER",IF(X646="","VT EN ATTENTE",IF(X646="R","VT REJETÉ – À REPRENDRE",IF(AP646="","À RADIOGRAPHIER",IF(AP646="A","ACCEPTÉ",IF(AP646="NX","NX – RT À REFAIRE",IF(IF(AO646=1,AD646,IF(AO646=2,AI646,""))="A","RÉPARÉ – À RADIOGRAPHIER",IF(IF(AO646=1,AD646,IF(AO646=2,AI646,""))="R","VT REJETÉ – À REPRENDRE",IF(OR(AP646="CO",AP646="NT"),"COUPE – À RESOUDER","À RÉPARER"))))))))))</f>
        <v>À SOUDER</v>
      </c>
      <c r="AR646" s="82" t="str">
        <f aca="false">IF(AND(ISNUMBER(U646),OR(AQ646="À RADIOGRAPHIER",AQ646="RÉPARÉ – À RADIOGRAPHIER",AQ646="NX – RT À REFAIRE",AQ646="À RÉPARER",AQ646="COUPE – À RESOUDER",AQ646="VT REJETÉ – À REPRENDRE")),MAX(0,'PROGRAMME RT'!$C$4-U646),"")</f>
        <v/>
      </c>
      <c r="AS646" s="82" t="n">
        <f aca="false">IF(AND(OR(AQ646="À RADIOGRAPHIER",AQ646="RÉPARÉ – À RADIOGRAPHIER",AQ646="NX – RT À REFAIRE"),OR('PROGRAMME RT'!$D$5="TOUTES",B646='PROGRAMME RT'!$D$5)),1,0)</f>
        <v>0</v>
      </c>
      <c r="AT646" s="82" t="str">
        <f aca="false">IF(AS646=1,SUM(AS$7:AS646),"")</f>
        <v/>
      </c>
      <c r="AU646" s="82" t="n">
        <f aca="false">IF(AND(OR(AA646="R",AA646="NX",AA646="NT",AA646="CO"),OR('JOINTS DE RÉPARATION'!$D$5="TOUTES",B646='JOINTS DE RÉPARATION'!$D$5),OR('JOINTS DE RÉPARATION'!$L$4="TOUS",AQ646&lt;&gt;"ACCEPTÉ")),1,0)</f>
        <v>0</v>
      </c>
      <c r="AV646" s="82" t="str">
        <f aca="false">IF(AU646=1,SUM(AU$7:AU646),"")</f>
        <v/>
      </c>
      <c r="AW646" s="82" t="str">
        <f aca="false">IF(E646="","",B646&amp;"|"&amp;E646)</f>
        <v>MFD-ISW → MFD-CPF|JN°640</v>
      </c>
    </row>
    <row r="647" customFormat="false" ht="74.6" hidden="false" customHeight="false" outlineLevel="0" collapsed="false">
      <c r="A647" s="79" t="n">
        <f aca="false">IF(E647="","",ROW()-6)</f>
        <v>641</v>
      </c>
      <c r="B647" s="80" t="s">
        <v>110</v>
      </c>
      <c r="C647" s="81"/>
      <c r="D647" s="81"/>
      <c r="E647" s="81" t="s">
        <v>751</v>
      </c>
      <c r="F647" s="82" t="str">
        <f aca="false">IF(E647="","",IF(LEFT(E647,2)="DJ","DJ","JN"))</f>
        <v>JN</v>
      </c>
      <c r="G647" s="81"/>
      <c r="H647" s="81"/>
      <c r="I647" s="81"/>
      <c r="J647" s="81"/>
      <c r="K647" s="81"/>
      <c r="L647" s="81"/>
      <c r="M647" s="81"/>
      <c r="N647" s="81"/>
      <c r="O647" s="81"/>
      <c r="P647" s="81"/>
      <c r="Q647" s="81"/>
      <c r="R647" s="81"/>
      <c r="S647" s="81"/>
      <c r="T647" s="81"/>
      <c r="U647" s="83"/>
      <c r="V647" s="83"/>
      <c r="W647" s="81"/>
      <c r="X647" s="81"/>
      <c r="Y647" s="83"/>
      <c r="Z647" s="81"/>
      <c r="AA647" s="81"/>
      <c r="AB647" s="81"/>
      <c r="AC647" s="81"/>
      <c r="AD647" s="81"/>
      <c r="AE647" s="83"/>
      <c r="AF647" s="81"/>
      <c r="AG647" s="81"/>
      <c r="AH647" s="81"/>
      <c r="AI647" s="81"/>
      <c r="AJ647" s="83"/>
      <c r="AK647" s="81"/>
      <c r="AL647" s="81"/>
      <c r="AM647" s="83"/>
      <c r="AN647" s="80"/>
      <c r="AO647" s="82" t="n">
        <f aca="false">IF(E647="","",(AA647&lt;&gt;"")+(AG647&lt;&gt;"")+(AL647&lt;&gt;""))</f>
        <v>0</v>
      </c>
      <c r="AP647" s="82" t="str">
        <f aca="false">IF(AL647&lt;&gt;"",AL647,IF(AG647&lt;&gt;"",AG647,IF(AA647&lt;&gt;"",AA647,"")))</f>
        <v/>
      </c>
      <c r="AQ647" s="84" t="str">
        <f aca="false">IF(E647="","",IF(U647="","À SOUDER",IF(X647="","VT EN ATTENTE",IF(X647="R","VT REJETÉ – À REPRENDRE",IF(AP647="","À RADIOGRAPHIER",IF(AP647="A","ACCEPTÉ",IF(AP647="NX","NX – RT À REFAIRE",IF(IF(AO647=1,AD647,IF(AO647=2,AI647,""))="A","RÉPARÉ – À RADIOGRAPHIER",IF(IF(AO647=1,AD647,IF(AO647=2,AI647,""))="R","VT REJETÉ – À REPRENDRE",IF(OR(AP647="CO",AP647="NT"),"COUPE – À RESOUDER","À RÉPARER"))))))))))</f>
        <v>À SOUDER</v>
      </c>
      <c r="AR647" s="82" t="str">
        <f aca="false">IF(AND(ISNUMBER(U647),OR(AQ647="À RADIOGRAPHIER",AQ647="RÉPARÉ – À RADIOGRAPHIER",AQ647="NX – RT À REFAIRE",AQ647="À RÉPARER",AQ647="COUPE – À RESOUDER",AQ647="VT REJETÉ – À REPRENDRE")),MAX(0,'PROGRAMME RT'!$C$4-U647),"")</f>
        <v/>
      </c>
      <c r="AS647" s="82" t="n">
        <f aca="false">IF(AND(OR(AQ647="À RADIOGRAPHIER",AQ647="RÉPARÉ – À RADIOGRAPHIER",AQ647="NX – RT À REFAIRE"),OR('PROGRAMME RT'!$D$5="TOUTES",B647='PROGRAMME RT'!$D$5)),1,0)</f>
        <v>0</v>
      </c>
      <c r="AT647" s="82" t="str">
        <f aca="false">IF(AS647=1,SUM(AS$7:AS647),"")</f>
        <v/>
      </c>
      <c r="AU647" s="82" t="n">
        <f aca="false">IF(AND(OR(AA647="R",AA647="NX",AA647="NT",AA647="CO"),OR('JOINTS DE RÉPARATION'!$D$5="TOUTES",B647='JOINTS DE RÉPARATION'!$D$5),OR('JOINTS DE RÉPARATION'!$L$4="TOUS",AQ647&lt;&gt;"ACCEPTÉ")),1,0)</f>
        <v>0</v>
      </c>
      <c r="AV647" s="82" t="str">
        <f aca="false">IF(AU647=1,SUM(AU$7:AU647),"")</f>
        <v/>
      </c>
      <c r="AW647" s="82" t="str">
        <f aca="false">IF(E647="","",B647&amp;"|"&amp;E647)</f>
        <v>MFD-ISW → MFD-CPF|JN°641</v>
      </c>
    </row>
    <row r="648" customFormat="false" ht="74.6" hidden="false" customHeight="false" outlineLevel="0" collapsed="false">
      <c r="A648" s="79" t="n">
        <f aca="false">IF(E648="","",ROW()-6)</f>
        <v>642</v>
      </c>
      <c r="B648" s="80" t="s">
        <v>110</v>
      </c>
      <c r="C648" s="81"/>
      <c r="D648" s="81"/>
      <c r="E648" s="81" t="s">
        <v>752</v>
      </c>
      <c r="F648" s="82" t="str">
        <f aca="false">IF(E648="","",IF(LEFT(E648,2)="DJ","DJ","JN"))</f>
        <v>JN</v>
      </c>
      <c r="G648" s="81"/>
      <c r="H648" s="81"/>
      <c r="I648" s="81"/>
      <c r="J648" s="81"/>
      <c r="K648" s="81"/>
      <c r="L648" s="81"/>
      <c r="M648" s="81"/>
      <c r="N648" s="81"/>
      <c r="O648" s="81"/>
      <c r="P648" s="81"/>
      <c r="Q648" s="81"/>
      <c r="R648" s="81"/>
      <c r="S648" s="81"/>
      <c r="T648" s="81"/>
      <c r="U648" s="83"/>
      <c r="V648" s="83"/>
      <c r="W648" s="81"/>
      <c r="X648" s="81"/>
      <c r="Y648" s="83"/>
      <c r="Z648" s="81"/>
      <c r="AA648" s="81"/>
      <c r="AB648" s="81"/>
      <c r="AC648" s="81"/>
      <c r="AD648" s="81"/>
      <c r="AE648" s="83"/>
      <c r="AF648" s="81"/>
      <c r="AG648" s="81"/>
      <c r="AH648" s="81"/>
      <c r="AI648" s="81"/>
      <c r="AJ648" s="83"/>
      <c r="AK648" s="81"/>
      <c r="AL648" s="81"/>
      <c r="AM648" s="83"/>
      <c r="AN648" s="80"/>
      <c r="AO648" s="82" t="n">
        <f aca="false">IF(E648="","",(AA648&lt;&gt;"")+(AG648&lt;&gt;"")+(AL648&lt;&gt;""))</f>
        <v>0</v>
      </c>
      <c r="AP648" s="82" t="str">
        <f aca="false">IF(AL648&lt;&gt;"",AL648,IF(AG648&lt;&gt;"",AG648,IF(AA648&lt;&gt;"",AA648,"")))</f>
        <v/>
      </c>
      <c r="AQ648" s="84" t="str">
        <f aca="false">IF(E648="","",IF(U648="","À SOUDER",IF(X648="","VT EN ATTENTE",IF(X648="R","VT REJETÉ – À REPRENDRE",IF(AP648="","À RADIOGRAPHIER",IF(AP648="A","ACCEPTÉ",IF(AP648="NX","NX – RT À REFAIRE",IF(IF(AO648=1,AD648,IF(AO648=2,AI648,""))="A","RÉPARÉ – À RADIOGRAPHIER",IF(IF(AO648=1,AD648,IF(AO648=2,AI648,""))="R","VT REJETÉ – À REPRENDRE",IF(OR(AP648="CO",AP648="NT"),"COUPE – À RESOUDER","À RÉPARER"))))))))))</f>
        <v>À SOUDER</v>
      </c>
      <c r="AR648" s="82" t="str">
        <f aca="false">IF(AND(ISNUMBER(U648),OR(AQ648="À RADIOGRAPHIER",AQ648="RÉPARÉ – À RADIOGRAPHIER",AQ648="NX – RT À REFAIRE",AQ648="À RÉPARER",AQ648="COUPE – À RESOUDER",AQ648="VT REJETÉ – À REPRENDRE")),MAX(0,'PROGRAMME RT'!$C$4-U648),"")</f>
        <v/>
      </c>
      <c r="AS648" s="82" t="n">
        <f aca="false">IF(AND(OR(AQ648="À RADIOGRAPHIER",AQ648="RÉPARÉ – À RADIOGRAPHIER",AQ648="NX – RT À REFAIRE"),OR('PROGRAMME RT'!$D$5="TOUTES",B648='PROGRAMME RT'!$D$5)),1,0)</f>
        <v>0</v>
      </c>
      <c r="AT648" s="82" t="str">
        <f aca="false">IF(AS648=1,SUM(AS$7:AS648),"")</f>
        <v/>
      </c>
      <c r="AU648" s="82" t="n">
        <f aca="false">IF(AND(OR(AA648="R",AA648="NX",AA648="NT",AA648="CO"),OR('JOINTS DE RÉPARATION'!$D$5="TOUTES",B648='JOINTS DE RÉPARATION'!$D$5),OR('JOINTS DE RÉPARATION'!$L$4="TOUS",AQ648&lt;&gt;"ACCEPTÉ")),1,0)</f>
        <v>0</v>
      </c>
      <c r="AV648" s="82" t="str">
        <f aca="false">IF(AU648=1,SUM(AU$7:AU648),"")</f>
        <v/>
      </c>
      <c r="AW648" s="82" t="str">
        <f aca="false">IF(E648="","",B648&amp;"|"&amp;E648)</f>
        <v>MFD-ISW → MFD-CPF|JN°642</v>
      </c>
    </row>
    <row r="649" customFormat="false" ht="74.6" hidden="false" customHeight="false" outlineLevel="0" collapsed="false">
      <c r="A649" s="79" t="n">
        <f aca="false">IF(E649="","",ROW()-6)</f>
        <v>643</v>
      </c>
      <c r="B649" s="80" t="s">
        <v>110</v>
      </c>
      <c r="C649" s="81"/>
      <c r="D649" s="81"/>
      <c r="E649" s="81" t="s">
        <v>753</v>
      </c>
      <c r="F649" s="82" t="str">
        <f aca="false">IF(E649="","",IF(LEFT(E649,2)="DJ","DJ","JN"))</f>
        <v>JN</v>
      </c>
      <c r="G649" s="81"/>
      <c r="H649" s="81"/>
      <c r="I649" s="81"/>
      <c r="J649" s="81"/>
      <c r="K649" s="81"/>
      <c r="L649" s="81"/>
      <c r="M649" s="81"/>
      <c r="N649" s="81"/>
      <c r="O649" s="81"/>
      <c r="P649" s="81"/>
      <c r="Q649" s="81"/>
      <c r="R649" s="81"/>
      <c r="S649" s="81"/>
      <c r="T649" s="81"/>
      <c r="U649" s="83"/>
      <c r="V649" s="83"/>
      <c r="W649" s="81"/>
      <c r="X649" s="81"/>
      <c r="Y649" s="83"/>
      <c r="Z649" s="81"/>
      <c r="AA649" s="81"/>
      <c r="AB649" s="81"/>
      <c r="AC649" s="81"/>
      <c r="AD649" s="81"/>
      <c r="AE649" s="83"/>
      <c r="AF649" s="81"/>
      <c r="AG649" s="81"/>
      <c r="AH649" s="81"/>
      <c r="AI649" s="81"/>
      <c r="AJ649" s="83"/>
      <c r="AK649" s="81"/>
      <c r="AL649" s="81"/>
      <c r="AM649" s="83"/>
      <c r="AN649" s="80"/>
      <c r="AO649" s="82" t="n">
        <f aca="false">IF(E649="","",(AA649&lt;&gt;"")+(AG649&lt;&gt;"")+(AL649&lt;&gt;""))</f>
        <v>0</v>
      </c>
      <c r="AP649" s="82" t="str">
        <f aca="false">IF(AL649&lt;&gt;"",AL649,IF(AG649&lt;&gt;"",AG649,IF(AA649&lt;&gt;"",AA649,"")))</f>
        <v/>
      </c>
      <c r="AQ649" s="84" t="str">
        <f aca="false">IF(E649="","",IF(U649="","À SOUDER",IF(X649="","VT EN ATTENTE",IF(X649="R","VT REJETÉ – À REPRENDRE",IF(AP649="","À RADIOGRAPHIER",IF(AP649="A","ACCEPTÉ",IF(AP649="NX","NX – RT À REFAIRE",IF(IF(AO649=1,AD649,IF(AO649=2,AI649,""))="A","RÉPARÉ – À RADIOGRAPHIER",IF(IF(AO649=1,AD649,IF(AO649=2,AI649,""))="R","VT REJETÉ – À REPRENDRE",IF(OR(AP649="CO",AP649="NT"),"COUPE – À RESOUDER","À RÉPARER"))))))))))</f>
        <v>À SOUDER</v>
      </c>
      <c r="AR649" s="82" t="str">
        <f aca="false">IF(AND(ISNUMBER(U649),OR(AQ649="À RADIOGRAPHIER",AQ649="RÉPARÉ – À RADIOGRAPHIER",AQ649="NX – RT À REFAIRE",AQ649="À RÉPARER",AQ649="COUPE – À RESOUDER",AQ649="VT REJETÉ – À REPRENDRE")),MAX(0,'PROGRAMME RT'!$C$4-U649),"")</f>
        <v/>
      </c>
      <c r="AS649" s="82" t="n">
        <f aca="false">IF(AND(OR(AQ649="À RADIOGRAPHIER",AQ649="RÉPARÉ – À RADIOGRAPHIER",AQ649="NX – RT À REFAIRE"),OR('PROGRAMME RT'!$D$5="TOUTES",B649='PROGRAMME RT'!$D$5)),1,0)</f>
        <v>0</v>
      </c>
      <c r="AT649" s="82" t="str">
        <f aca="false">IF(AS649=1,SUM(AS$7:AS649),"")</f>
        <v/>
      </c>
      <c r="AU649" s="82" t="n">
        <f aca="false">IF(AND(OR(AA649="R",AA649="NX",AA649="NT",AA649="CO"),OR('JOINTS DE RÉPARATION'!$D$5="TOUTES",B649='JOINTS DE RÉPARATION'!$D$5),OR('JOINTS DE RÉPARATION'!$L$4="TOUS",AQ649&lt;&gt;"ACCEPTÉ")),1,0)</f>
        <v>0</v>
      </c>
      <c r="AV649" s="82" t="str">
        <f aca="false">IF(AU649=1,SUM(AU$7:AU649),"")</f>
        <v/>
      </c>
      <c r="AW649" s="82" t="str">
        <f aca="false">IF(E649="","",B649&amp;"|"&amp;E649)</f>
        <v>MFD-ISW → MFD-CPF|JN°643</v>
      </c>
    </row>
    <row r="650" customFormat="false" ht="74.6" hidden="false" customHeight="false" outlineLevel="0" collapsed="false">
      <c r="A650" s="79" t="n">
        <f aca="false">IF(E650="","",ROW()-6)</f>
        <v>644</v>
      </c>
      <c r="B650" s="80" t="s">
        <v>110</v>
      </c>
      <c r="C650" s="81"/>
      <c r="D650" s="81"/>
      <c r="E650" s="81" t="s">
        <v>754</v>
      </c>
      <c r="F650" s="82" t="str">
        <f aca="false">IF(E650="","",IF(LEFT(E650,2)="DJ","DJ","JN"))</f>
        <v>JN</v>
      </c>
      <c r="G650" s="81"/>
      <c r="H650" s="81"/>
      <c r="I650" s="81"/>
      <c r="J650" s="81"/>
      <c r="K650" s="81"/>
      <c r="L650" s="81"/>
      <c r="M650" s="81"/>
      <c r="N650" s="81"/>
      <c r="O650" s="81"/>
      <c r="P650" s="81"/>
      <c r="Q650" s="81"/>
      <c r="R650" s="81"/>
      <c r="S650" s="81"/>
      <c r="T650" s="81"/>
      <c r="U650" s="83"/>
      <c r="V650" s="83"/>
      <c r="W650" s="81"/>
      <c r="X650" s="81"/>
      <c r="Y650" s="83"/>
      <c r="Z650" s="81"/>
      <c r="AA650" s="81"/>
      <c r="AB650" s="81"/>
      <c r="AC650" s="81"/>
      <c r="AD650" s="81"/>
      <c r="AE650" s="83"/>
      <c r="AF650" s="81"/>
      <c r="AG650" s="81"/>
      <c r="AH650" s="81"/>
      <c r="AI650" s="81"/>
      <c r="AJ650" s="83"/>
      <c r="AK650" s="81"/>
      <c r="AL650" s="81"/>
      <c r="AM650" s="83"/>
      <c r="AN650" s="80"/>
      <c r="AO650" s="82" t="n">
        <f aca="false">IF(E650="","",(AA650&lt;&gt;"")+(AG650&lt;&gt;"")+(AL650&lt;&gt;""))</f>
        <v>0</v>
      </c>
      <c r="AP650" s="82" t="str">
        <f aca="false">IF(AL650&lt;&gt;"",AL650,IF(AG650&lt;&gt;"",AG650,IF(AA650&lt;&gt;"",AA650,"")))</f>
        <v/>
      </c>
      <c r="AQ650" s="84" t="str">
        <f aca="false">IF(E650="","",IF(U650="","À SOUDER",IF(X650="","VT EN ATTENTE",IF(X650="R","VT REJETÉ – À REPRENDRE",IF(AP650="","À RADIOGRAPHIER",IF(AP650="A","ACCEPTÉ",IF(AP650="NX","NX – RT À REFAIRE",IF(IF(AO650=1,AD650,IF(AO650=2,AI650,""))="A","RÉPARÉ – À RADIOGRAPHIER",IF(IF(AO650=1,AD650,IF(AO650=2,AI650,""))="R","VT REJETÉ – À REPRENDRE",IF(OR(AP650="CO",AP650="NT"),"COUPE – À RESOUDER","À RÉPARER"))))))))))</f>
        <v>À SOUDER</v>
      </c>
      <c r="AR650" s="82" t="str">
        <f aca="false">IF(AND(ISNUMBER(U650),OR(AQ650="À RADIOGRAPHIER",AQ650="RÉPARÉ – À RADIOGRAPHIER",AQ650="NX – RT À REFAIRE",AQ650="À RÉPARER",AQ650="COUPE – À RESOUDER",AQ650="VT REJETÉ – À REPRENDRE")),MAX(0,'PROGRAMME RT'!$C$4-U650),"")</f>
        <v/>
      </c>
      <c r="AS650" s="82" t="n">
        <f aca="false">IF(AND(OR(AQ650="À RADIOGRAPHIER",AQ650="RÉPARÉ – À RADIOGRAPHIER",AQ650="NX – RT À REFAIRE"),OR('PROGRAMME RT'!$D$5="TOUTES",B650='PROGRAMME RT'!$D$5)),1,0)</f>
        <v>0</v>
      </c>
      <c r="AT650" s="82" t="str">
        <f aca="false">IF(AS650=1,SUM(AS$7:AS650),"")</f>
        <v/>
      </c>
      <c r="AU650" s="82" t="n">
        <f aca="false">IF(AND(OR(AA650="R",AA650="NX",AA650="NT",AA650="CO"),OR('JOINTS DE RÉPARATION'!$D$5="TOUTES",B650='JOINTS DE RÉPARATION'!$D$5),OR('JOINTS DE RÉPARATION'!$L$4="TOUS",AQ650&lt;&gt;"ACCEPTÉ")),1,0)</f>
        <v>0</v>
      </c>
      <c r="AV650" s="82" t="str">
        <f aca="false">IF(AU650=1,SUM(AU$7:AU650),"")</f>
        <v/>
      </c>
      <c r="AW650" s="82" t="str">
        <f aca="false">IF(E650="","",B650&amp;"|"&amp;E650)</f>
        <v>MFD-ISW → MFD-CPF|JN°644</v>
      </c>
    </row>
    <row r="651" customFormat="false" ht="74.6" hidden="false" customHeight="false" outlineLevel="0" collapsed="false">
      <c r="A651" s="79" t="n">
        <f aca="false">IF(E651="","",ROW()-6)</f>
        <v>645</v>
      </c>
      <c r="B651" s="80" t="s">
        <v>110</v>
      </c>
      <c r="C651" s="81"/>
      <c r="D651" s="81"/>
      <c r="E651" s="81" t="s">
        <v>755</v>
      </c>
      <c r="F651" s="82" t="str">
        <f aca="false">IF(E651="","",IF(LEFT(E651,2)="DJ","DJ","JN"))</f>
        <v>JN</v>
      </c>
      <c r="G651" s="81"/>
      <c r="H651" s="81"/>
      <c r="I651" s="81"/>
      <c r="J651" s="81"/>
      <c r="K651" s="81"/>
      <c r="L651" s="81"/>
      <c r="M651" s="81"/>
      <c r="N651" s="81"/>
      <c r="O651" s="81"/>
      <c r="P651" s="81"/>
      <c r="Q651" s="81"/>
      <c r="R651" s="81"/>
      <c r="S651" s="81"/>
      <c r="T651" s="81"/>
      <c r="U651" s="83"/>
      <c r="V651" s="83"/>
      <c r="W651" s="81"/>
      <c r="X651" s="81"/>
      <c r="Y651" s="83"/>
      <c r="Z651" s="81"/>
      <c r="AA651" s="81"/>
      <c r="AB651" s="81"/>
      <c r="AC651" s="81"/>
      <c r="AD651" s="81"/>
      <c r="AE651" s="83"/>
      <c r="AF651" s="81"/>
      <c r="AG651" s="81"/>
      <c r="AH651" s="81"/>
      <c r="AI651" s="81"/>
      <c r="AJ651" s="83"/>
      <c r="AK651" s="81"/>
      <c r="AL651" s="81"/>
      <c r="AM651" s="83"/>
      <c r="AN651" s="80"/>
      <c r="AO651" s="82" t="n">
        <f aca="false">IF(E651="","",(AA651&lt;&gt;"")+(AG651&lt;&gt;"")+(AL651&lt;&gt;""))</f>
        <v>0</v>
      </c>
      <c r="AP651" s="82" t="str">
        <f aca="false">IF(AL651&lt;&gt;"",AL651,IF(AG651&lt;&gt;"",AG651,IF(AA651&lt;&gt;"",AA651,"")))</f>
        <v/>
      </c>
      <c r="AQ651" s="84" t="str">
        <f aca="false">IF(E651="","",IF(U651="","À SOUDER",IF(X651="","VT EN ATTENTE",IF(X651="R","VT REJETÉ – À REPRENDRE",IF(AP651="","À RADIOGRAPHIER",IF(AP651="A","ACCEPTÉ",IF(AP651="NX","NX – RT À REFAIRE",IF(IF(AO651=1,AD651,IF(AO651=2,AI651,""))="A","RÉPARÉ – À RADIOGRAPHIER",IF(IF(AO651=1,AD651,IF(AO651=2,AI651,""))="R","VT REJETÉ – À REPRENDRE",IF(OR(AP651="CO",AP651="NT"),"COUPE – À RESOUDER","À RÉPARER"))))))))))</f>
        <v>À SOUDER</v>
      </c>
      <c r="AR651" s="82" t="str">
        <f aca="false">IF(AND(ISNUMBER(U651),OR(AQ651="À RADIOGRAPHIER",AQ651="RÉPARÉ – À RADIOGRAPHIER",AQ651="NX – RT À REFAIRE",AQ651="À RÉPARER",AQ651="COUPE – À RESOUDER",AQ651="VT REJETÉ – À REPRENDRE")),MAX(0,'PROGRAMME RT'!$C$4-U651),"")</f>
        <v/>
      </c>
      <c r="AS651" s="82" t="n">
        <f aca="false">IF(AND(OR(AQ651="À RADIOGRAPHIER",AQ651="RÉPARÉ – À RADIOGRAPHIER",AQ651="NX – RT À REFAIRE"),OR('PROGRAMME RT'!$D$5="TOUTES",B651='PROGRAMME RT'!$D$5)),1,0)</f>
        <v>0</v>
      </c>
      <c r="AT651" s="82" t="str">
        <f aca="false">IF(AS651=1,SUM(AS$7:AS651),"")</f>
        <v/>
      </c>
      <c r="AU651" s="82" t="n">
        <f aca="false">IF(AND(OR(AA651="R",AA651="NX",AA651="NT",AA651="CO"),OR('JOINTS DE RÉPARATION'!$D$5="TOUTES",B651='JOINTS DE RÉPARATION'!$D$5),OR('JOINTS DE RÉPARATION'!$L$4="TOUS",AQ651&lt;&gt;"ACCEPTÉ")),1,0)</f>
        <v>0</v>
      </c>
      <c r="AV651" s="82" t="str">
        <f aca="false">IF(AU651=1,SUM(AU$7:AU651),"")</f>
        <v/>
      </c>
      <c r="AW651" s="82" t="str">
        <f aca="false">IF(E651="","",B651&amp;"|"&amp;E651)</f>
        <v>MFD-ISW → MFD-CPF|JN°645</v>
      </c>
    </row>
    <row r="652" customFormat="false" ht="74.6" hidden="false" customHeight="false" outlineLevel="0" collapsed="false">
      <c r="A652" s="79" t="n">
        <f aca="false">IF(E652="","",ROW()-6)</f>
        <v>646</v>
      </c>
      <c r="B652" s="80" t="s">
        <v>110</v>
      </c>
      <c r="C652" s="81"/>
      <c r="D652" s="81"/>
      <c r="E652" s="81" t="s">
        <v>756</v>
      </c>
      <c r="F652" s="82" t="str">
        <f aca="false">IF(E652="","",IF(LEFT(E652,2)="DJ","DJ","JN"))</f>
        <v>JN</v>
      </c>
      <c r="G652" s="81"/>
      <c r="H652" s="81"/>
      <c r="I652" s="81"/>
      <c r="J652" s="81"/>
      <c r="K652" s="81"/>
      <c r="L652" s="81"/>
      <c r="M652" s="81"/>
      <c r="N652" s="81"/>
      <c r="O652" s="81"/>
      <c r="P652" s="81"/>
      <c r="Q652" s="81"/>
      <c r="R652" s="81"/>
      <c r="S652" s="81"/>
      <c r="T652" s="81"/>
      <c r="U652" s="83"/>
      <c r="V652" s="83"/>
      <c r="W652" s="81"/>
      <c r="X652" s="81"/>
      <c r="Y652" s="83"/>
      <c r="Z652" s="81"/>
      <c r="AA652" s="81"/>
      <c r="AB652" s="81"/>
      <c r="AC652" s="81"/>
      <c r="AD652" s="81"/>
      <c r="AE652" s="83"/>
      <c r="AF652" s="81"/>
      <c r="AG652" s="81"/>
      <c r="AH652" s="81"/>
      <c r="AI652" s="81"/>
      <c r="AJ652" s="83"/>
      <c r="AK652" s="81"/>
      <c r="AL652" s="81"/>
      <c r="AM652" s="83"/>
      <c r="AN652" s="80"/>
      <c r="AO652" s="82" t="n">
        <f aca="false">IF(E652="","",(AA652&lt;&gt;"")+(AG652&lt;&gt;"")+(AL652&lt;&gt;""))</f>
        <v>0</v>
      </c>
      <c r="AP652" s="82" t="str">
        <f aca="false">IF(AL652&lt;&gt;"",AL652,IF(AG652&lt;&gt;"",AG652,IF(AA652&lt;&gt;"",AA652,"")))</f>
        <v/>
      </c>
      <c r="AQ652" s="84" t="str">
        <f aca="false">IF(E652="","",IF(U652="","À SOUDER",IF(X652="","VT EN ATTENTE",IF(X652="R","VT REJETÉ – À REPRENDRE",IF(AP652="","À RADIOGRAPHIER",IF(AP652="A","ACCEPTÉ",IF(AP652="NX","NX – RT À REFAIRE",IF(IF(AO652=1,AD652,IF(AO652=2,AI652,""))="A","RÉPARÉ – À RADIOGRAPHIER",IF(IF(AO652=1,AD652,IF(AO652=2,AI652,""))="R","VT REJETÉ – À REPRENDRE",IF(OR(AP652="CO",AP652="NT"),"COUPE – À RESOUDER","À RÉPARER"))))))))))</f>
        <v>À SOUDER</v>
      </c>
      <c r="AR652" s="82" t="str">
        <f aca="false">IF(AND(ISNUMBER(U652),OR(AQ652="À RADIOGRAPHIER",AQ652="RÉPARÉ – À RADIOGRAPHIER",AQ652="NX – RT À REFAIRE",AQ652="À RÉPARER",AQ652="COUPE – À RESOUDER",AQ652="VT REJETÉ – À REPRENDRE")),MAX(0,'PROGRAMME RT'!$C$4-U652),"")</f>
        <v/>
      </c>
      <c r="AS652" s="82" t="n">
        <f aca="false">IF(AND(OR(AQ652="À RADIOGRAPHIER",AQ652="RÉPARÉ – À RADIOGRAPHIER",AQ652="NX – RT À REFAIRE"),OR('PROGRAMME RT'!$D$5="TOUTES",B652='PROGRAMME RT'!$D$5)),1,0)</f>
        <v>0</v>
      </c>
      <c r="AT652" s="82" t="str">
        <f aca="false">IF(AS652=1,SUM(AS$7:AS652),"")</f>
        <v/>
      </c>
      <c r="AU652" s="82" t="n">
        <f aca="false">IF(AND(OR(AA652="R",AA652="NX",AA652="NT",AA652="CO"),OR('JOINTS DE RÉPARATION'!$D$5="TOUTES",B652='JOINTS DE RÉPARATION'!$D$5),OR('JOINTS DE RÉPARATION'!$L$4="TOUS",AQ652&lt;&gt;"ACCEPTÉ")),1,0)</f>
        <v>0</v>
      </c>
      <c r="AV652" s="82" t="str">
        <f aca="false">IF(AU652=1,SUM(AU$7:AU652),"")</f>
        <v/>
      </c>
      <c r="AW652" s="82" t="str">
        <f aca="false">IF(E652="","",B652&amp;"|"&amp;E652)</f>
        <v>MFD-ISW → MFD-CPF|JN°646</v>
      </c>
    </row>
    <row r="653" customFormat="false" ht="74.6" hidden="false" customHeight="false" outlineLevel="0" collapsed="false">
      <c r="A653" s="79" t="n">
        <f aca="false">IF(E653="","",ROW()-6)</f>
        <v>647</v>
      </c>
      <c r="B653" s="80" t="s">
        <v>110</v>
      </c>
      <c r="C653" s="81"/>
      <c r="D653" s="81"/>
      <c r="E653" s="81" t="s">
        <v>757</v>
      </c>
      <c r="F653" s="82" t="str">
        <f aca="false">IF(E653="","",IF(LEFT(E653,2)="DJ","DJ","JN"))</f>
        <v>JN</v>
      </c>
      <c r="G653" s="81"/>
      <c r="H653" s="81"/>
      <c r="I653" s="81"/>
      <c r="J653" s="81"/>
      <c r="K653" s="81"/>
      <c r="L653" s="81"/>
      <c r="M653" s="81"/>
      <c r="N653" s="81"/>
      <c r="O653" s="81"/>
      <c r="P653" s="81"/>
      <c r="Q653" s="81"/>
      <c r="R653" s="81"/>
      <c r="S653" s="81"/>
      <c r="T653" s="81"/>
      <c r="U653" s="83"/>
      <c r="V653" s="83"/>
      <c r="W653" s="81"/>
      <c r="X653" s="81"/>
      <c r="Y653" s="83"/>
      <c r="Z653" s="81"/>
      <c r="AA653" s="81"/>
      <c r="AB653" s="81"/>
      <c r="AC653" s="81"/>
      <c r="AD653" s="81"/>
      <c r="AE653" s="83"/>
      <c r="AF653" s="81"/>
      <c r="AG653" s="81"/>
      <c r="AH653" s="81"/>
      <c r="AI653" s="81"/>
      <c r="AJ653" s="83"/>
      <c r="AK653" s="81"/>
      <c r="AL653" s="81"/>
      <c r="AM653" s="83"/>
      <c r="AN653" s="80"/>
      <c r="AO653" s="82" t="n">
        <f aca="false">IF(E653="","",(AA653&lt;&gt;"")+(AG653&lt;&gt;"")+(AL653&lt;&gt;""))</f>
        <v>0</v>
      </c>
      <c r="AP653" s="82" t="str">
        <f aca="false">IF(AL653&lt;&gt;"",AL653,IF(AG653&lt;&gt;"",AG653,IF(AA653&lt;&gt;"",AA653,"")))</f>
        <v/>
      </c>
      <c r="AQ653" s="84" t="str">
        <f aca="false">IF(E653="","",IF(U653="","À SOUDER",IF(X653="","VT EN ATTENTE",IF(X653="R","VT REJETÉ – À REPRENDRE",IF(AP653="","À RADIOGRAPHIER",IF(AP653="A","ACCEPTÉ",IF(AP653="NX","NX – RT À REFAIRE",IF(IF(AO653=1,AD653,IF(AO653=2,AI653,""))="A","RÉPARÉ – À RADIOGRAPHIER",IF(IF(AO653=1,AD653,IF(AO653=2,AI653,""))="R","VT REJETÉ – À REPRENDRE",IF(OR(AP653="CO",AP653="NT"),"COUPE – À RESOUDER","À RÉPARER"))))))))))</f>
        <v>À SOUDER</v>
      </c>
      <c r="AR653" s="82" t="str">
        <f aca="false">IF(AND(ISNUMBER(U653),OR(AQ653="À RADIOGRAPHIER",AQ653="RÉPARÉ – À RADIOGRAPHIER",AQ653="NX – RT À REFAIRE",AQ653="À RÉPARER",AQ653="COUPE – À RESOUDER",AQ653="VT REJETÉ – À REPRENDRE")),MAX(0,'PROGRAMME RT'!$C$4-U653),"")</f>
        <v/>
      </c>
      <c r="AS653" s="82" t="n">
        <f aca="false">IF(AND(OR(AQ653="À RADIOGRAPHIER",AQ653="RÉPARÉ – À RADIOGRAPHIER",AQ653="NX – RT À REFAIRE"),OR('PROGRAMME RT'!$D$5="TOUTES",B653='PROGRAMME RT'!$D$5)),1,0)</f>
        <v>0</v>
      </c>
      <c r="AT653" s="82" t="str">
        <f aca="false">IF(AS653=1,SUM(AS$7:AS653),"")</f>
        <v/>
      </c>
      <c r="AU653" s="82" t="n">
        <f aca="false">IF(AND(OR(AA653="R",AA653="NX",AA653="NT",AA653="CO"),OR('JOINTS DE RÉPARATION'!$D$5="TOUTES",B653='JOINTS DE RÉPARATION'!$D$5),OR('JOINTS DE RÉPARATION'!$L$4="TOUS",AQ653&lt;&gt;"ACCEPTÉ")),1,0)</f>
        <v>0</v>
      </c>
      <c r="AV653" s="82" t="str">
        <f aca="false">IF(AU653=1,SUM(AU$7:AU653),"")</f>
        <v/>
      </c>
      <c r="AW653" s="82" t="str">
        <f aca="false">IF(E653="","",B653&amp;"|"&amp;E653)</f>
        <v>MFD-ISW → MFD-CPF|JN°647</v>
      </c>
    </row>
    <row r="654" customFormat="false" ht="74.6" hidden="false" customHeight="false" outlineLevel="0" collapsed="false">
      <c r="A654" s="79" t="n">
        <f aca="false">IF(E654="","",ROW()-6)</f>
        <v>648</v>
      </c>
      <c r="B654" s="80" t="s">
        <v>110</v>
      </c>
      <c r="C654" s="81"/>
      <c r="D654" s="81"/>
      <c r="E654" s="81" t="s">
        <v>758</v>
      </c>
      <c r="F654" s="82" t="str">
        <f aca="false">IF(E654="","",IF(LEFT(E654,2)="DJ","DJ","JN"))</f>
        <v>JN</v>
      </c>
      <c r="G654" s="81"/>
      <c r="H654" s="81"/>
      <c r="I654" s="81"/>
      <c r="J654" s="81"/>
      <c r="K654" s="81"/>
      <c r="L654" s="81"/>
      <c r="M654" s="81"/>
      <c r="N654" s="81"/>
      <c r="O654" s="81"/>
      <c r="P654" s="81"/>
      <c r="Q654" s="81"/>
      <c r="R654" s="81"/>
      <c r="S654" s="81"/>
      <c r="T654" s="81"/>
      <c r="U654" s="83"/>
      <c r="V654" s="83"/>
      <c r="W654" s="81"/>
      <c r="X654" s="81"/>
      <c r="Y654" s="83"/>
      <c r="Z654" s="81"/>
      <c r="AA654" s="81"/>
      <c r="AB654" s="81"/>
      <c r="AC654" s="81"/>
      <c r="AD654" s="81"/>
      <c r="AE654" s="83"/>
      <c r="AF654" s="81"/>
      <c r="AG654" s="81"/>
      <c r="AH654" s="81"/>
      <c r="AI654" s="81"/>
      <c r="AJ654" s="83"/>
      <c r="AK654" s="81"/>
      <c r="AL654" s="81"/>
      <c r="AM654" s="83"/>
      <c r="AN654" s="80"/>
      <c r="AO654" s="82" t="n">
        <f aca="false">IF(E654="","",(AA654&lt;&gt;"")+(AG654&lt;&gt;"")+(AL654&lt;&gt;""))</f>
        <v>0</v>
      </c>
      <c r="AP654" s="82" t="str">
        <f aca="false">IF(AL654&lt;&gt;"",AL654,IF(AG654&lt;&gt;"",AG654,IF(AA654&lt;&gt;"",AA654,"")))</f>
        <v/>
      </c>
      <c r="AQ654" s="84" t="str">
        <f aca="false">IF(E654="","",IF(U654="","À SOUDER",IF(X654="","VT EN ATTENTE",IF(X654="R","VT REJETÉ – À REPRENDRE",IF(AP654="","À RADIOGRAPHIER",IF(AP654="A","ACCEPTÉ",IF(AP654="NX","NX – RT À REFAIRE",IF(IF(AO654=1,AD654,IF(AO654=2,AI654,""))="A","RÉPARÉ – À RADIOGRAPHIER",IF(IF(AO654=1,AD654,IF(AO654=2,AI654,""))="R","VT REJETÉ – À REPRENDRE",IF(OR(AP654="CO",AP654="NT"),"COUPE – À RESOUDER","À RÉPARER"))))))))))</f>
        <v>À SOUDER</v>
      </c>
      <c r="AR654" s="82" t="str">
        <f aca="false">IF(AND(ISNUMBER(U654),OR(AQ654="À RADIOGRAPHIER",AQ654="RÉPARÉ – À RADIOGRAPHIER",AQ654="NX – RT À REFAIRE",AQ654="À RÉPARER",AQ654="COUPE – À RESOUDER",AQ654="VT REJETÉ – À REPRENDRE")),MAX(0,'PROGRAMME RT'!$C$4-U654),"")</f>
        <v/>
      </c>
      <c r="AS654" s="82" t="n">
        <f aca="false">IF(AND(OR(AQ654="À RADIOGRAPHIER",AQ654="RÉPARÉ – À RADIOGRAPHIER",AQ654="NX – RT À REFAIRE"),OR('PROGRAMME RT'!$D$5="TOUTES",B654='PROGRAMME RT'!$D$5)),1,0)</f>
        <v>0</v>
      </c>
      <c r="AT654" s="82" t="str">
        <f aca="false">IF(AS654=1,SUM(AS$7:AS654),"")</f>
        <v/>
      </c>
      <c r="AU654" s="82" t="n">
        <f aca="false">IF(AND(OR(AA654="R",AA654="NX",AA654="NT",AA654="CO"),OR('JOINTS DE RÉPARATION'!$D$5="TOUTES",B654='JOINTS DE RÉPARATION'!$D$5),OR('JOINTS DE RÉPARATION'!$L$4="TOUS",AQ654&lt;&gt;"ACCEPTÉ")),1,0)</f>
        <v>0</v>
      </c>
      <c r="AV654" s="82" t="str">
        <f aca="false">IF(AU654=1,SUM(AU$7:AU654),"")</f>
        <v/>
      </c>
      <c r="AW654" s="82" t="str">
        <f aca="false">IF(E654="","",B654&amp;"|"&amp;E654)</f>
        <v>MFD-ISW → MFD-CPF|JN°648</v>
      </c>
    </row>
    <row r="655" customFormat="false" ht="74.6" hidden="false" customHeight="false" outlineLevel="0" collapsed="false">
      <c r="A655" s="79" t="n">
        <f aca="false">IF(E655="","",ROW()-6)</f>
        <v>649</v>
      </c>
      <c r="B655" s="80" t="s">
        <v>110</v>
      </c>
      <c r="C655" s="81"/>
      <c r="D655" s="81"/>
      <c r="E655" s="81" t="s">
        <v>759</v>
      </c>
      <c r="F655" s="82" t="str">
        <f aca="false">IF(E655="","",IF(LEFT(E655,2)="DJ","DJ","JN"))</f>
        <v>JN</v>
      </c>
      <c r="G655" s="81"/>
      <c r="H655" s="81"/>
      <c r="I655" s="81"/>
      <c r="J655" s="81"/>
      <c r="K655" s="81"/>
      <c r="L655" s="81"/>
      <c r="M655" s="81"/>
      <c r="N655" s="81"/>
      <c r="O655" s="81"/>
      <c r="P655" s="81"/>
      <c r="Q655" s="81"/>
      <c r="R655" s="81"/>
      <c r="S655" s="81"/>
      <c r="T655" s="81"/>
      <c r="U655" s="83"/>
      <c r="V655" s="83"/>
      <c r="W655" s="81"/>
      <c r="X655" s="81"/>
      <c r="Y655" s="83"/>
      <c r="Z655" s="81"/>
      <c r="AA655" s="81"/>
      <c r="AB655" s="81"/>
      <c r="AC655" s="81"/>
      <c r="AD655" s="81"/>
      <c r="AE655" s="83"/>
      <c r="AF655" s="81"/>
      <c r="AG655" s="81"/>
      <c r="AH655" s="81"/>
      <c r="AI655" s="81"/>
      <c r="AJ655" s="83"/>
      <c r="AK655" s="81"/>
      <c r="AL655" s="81"/>
      <c r="AM655" s="83"/>
      <c r="AN655" s="80"/>
      <c r="AO655" s="82" t="n">
        <f aca="false">IF(E655="","",(AA655&lt;&gt;"")+(AG655&lt;&gt;"")+(AL655&lt;&gt;""))</f>
        <v>0</v>
      </c>
      <c r="AP655" s="82" t="str">
        <f aca="false">IF(AL655&lt;&gt;"",AL655,IF(AG655&lt;&gt;"",AG655,IF(AA655&lt;&gt;"",AA655,"")))</f>
        <v/>
      </c>
      <c r="AQ655" s="84" t="str">
        <f aca="false">IF(E655="","",IF(U655="","À SOUDER",IF(X655="","VT EN ATTENTE",IF(X655="R","VT REJETÉ – À REPRENDRE",IF(AP655="","À RADIOGRAPHIER",IF(AP655="A","ACCEPTÉ",IF(AP655="NX","NX – RT À REFAIRE",IF(IF(AO655=1,AD655,IF(AO655=2,AI655,""))="A","RÉPARÉ – À RADIOGRAPHIER",IF(IF(AO655=1,AD655,IF(AO655=2,AI655,""))="R","VT REJETÉ – À REPRENDRE",IF(OR(AP655="CO",AP655="NT"),"COUPE – À RESOUDER","À RÉPARER"))))))))))</f>
        <v>À SOUDER</v>
      </c>
      <c r="AR655" s="82" t="str">
        <f aca="false">IF(AND(ISNUMBER(U655),OR(AQ655="À RADIOGRAPHIER",AQ655="RÉPARÉ – À RADIOGRAPHIER",AQ655="NX – RT À REFAIRE",AQ655="À RÉPARER",AQ655="COUPE – À RESOUDER",AQ655="VT REJETÉ – À REPRENDRE")),MAX(0,'PROGRAMME RT'!$C$4-U655),"")</f>
        <v/>
      </c>
      <c r="AS655" s="82" t="n">
        <f aca="false">IF(AND(OR(AQ655="À RADIOGRAPHIER",AQ655="RÉPARÉ – À RADIOGRAPHIER",AQ655="NX – RT À REFAIRE"),OR('PROGRAMME RT'!$D$5="TOUTES",B655='PROGRAMME RT'!$D$5)),1,0)</f>
        <v>0</v>
      </c>
      <c r="AT655" s="82" t="str">
        <f aca="false">IF(AS655=1,SUM(AS$7:AS655),"")</f>
        <v/>
      </c>
      <c r="AU655" s="82" t="n">
        <f aca="false">IF(AND(OR(AA655="R",AA655="NX",AA655="NT",AA655="CO"),OR('JOINTS DE RÉPARATION'!$D$5="TOUTES",B655='JOINTS DE RÉPARATION'!$D$5),OR('JOINTS DE RÉPARATION'!$L$4="TOUS",AQ655&lt;&gt;"ACCEPTÉ")),1,0)</f>
        <v>0</v>
      </c>
      <c r="AV655" s="82" t="str">
        <f aca="false">IF(AU655=1,SUM(AU$7:AU655),"")</f>
        <v/>
      </c>
      <c r="AW655" s="82" t="str">
        <f aca="false">IF(E655="","",B655&amp;"|"&amp;E655)</f>
        <v>MFD-ISW → MFD-CPF|JN°649</v>
      </c>
    </row>
    <row r="656" customFormat="false" ht="74.6" hidden="false" customHeight="false" outlineLevel="0" collapsed="false">
      <c r="A656" s="79" t="n">
        <f aca="false">IF(E656="","",ROW()-6)</f>
        <v>650</v>
      </c>
      <c r="B656" s="80" t="s">
        <v>110</v>
      </c>
      <c r="C656" s="81"/>
      <c r="D656" s="81"/>
      <c r="E656" s="81" t="s">
        <v>760</v>
      </c>
      <c r="F656" s="82" t="str">
        <f aca="false">IF(E656="","",IF(LEFT(E656,2)="DJ","DJ","JN"))</f>
        <v>JN</v>
      </c>
      <c r="G656" s="81"/>
      <c r="H656" s="81"/>
      <c r="I656" s="81"/>
      <c r="J656" s="81"/>
      <c r="K656" s="81"/>
      <c r="L656" s="81"/>
      <c r="M656" s="81"/>
      <c r="N656" s="81"/>
      <c r="O656" s="81"/>
      <c r="P656" s="81"/>
      <c r="Q656" s="81"/>
      <c r="R656" s="81"/>
      <c r="S656" s="81"/>
      <c r="T656" s="81"/>
      <c r="U656" s="83"/>
      <c r="V656" s="83"/>
      <c r="W656" s="81"/>
      <c r="X656" s="81"/>
      <c r="Y656" s="83"/>
      <c r="Z656" s="81"/>
      <c r="AA656" s="81"/>
      <c r="AB656" s="81"/>
      <c r="AC656" s="81"/>
      <c r="AD656" s="81"/>
      <c r="AE656" s="83"/>
      <c r="AF656" s="81"/>
      <c r="AG656" s="81"/>
      <c r="AH656" s="81"/>
      <c r="AI656" s="81"/>
      <c r="AJ656" s="83"/>
      <c r="AK656" s="81"/>
      <c r="AL656" s="81"/>
      <c r="AM656" s="83"/>
      <c r="AN656" s="80"/>
      <c r="AO656" s="82" t="n">
        <f aca="false">IF(E656="","",(AA656&lt;&gt;"")+(AG656&lt;&gt;"")+(AL656&lt;&gt;""))</f>
        <v>0</v>
      </c>
      <c r="AP656" s="82" t="str">
        <f aca="false">IF(AL656&lt;&gt;"",AL656,IF(AG656&lt;&gt;"",AG656,IF(AA656&lt;&gt;"",AA656,"")))</f>
        <v/>
      </c>
      <c r="AQ656" s="84" t="str">
        <f aca="false">IF(E656="","",IF(U656="","À SOUDER",IF(X656="","VT EN ATTENTE",IF(X656="R","VT REJETÉ – À REPRENDRE",IF(AP656="","À RADIOGRAPHIER",IF(AP656="A","ACCEPTÉ",IF(AP656="NX","NX – RT À REFAIRE",IF(IF(AO656=1,AD656,IF(AO656=2,AI656,""))="A","RÉPARÉ – À RADIOGRAPHIER",IF(IF(AO656=1,AD656,IF(AO656=2,AI656,""))="R","VT REJETÉ – À REPRENDRE",IF(OR(AP656="CO",AP656="NT"),"COUPE – À RESOUDER","À RÉPARER"))))))))))</f>
        <v>À SOUDER</v>
      </c>
      <c r="AR656" s="82" t="str">
        <f aca="false">IF(AND(ISNUMBER(U656),OR(AQ656="À RADIOGRAPHIER",AQ656="RÉPARÉ – À RADIOGRAPHIER",AQ656="NX – RT À REFAIRE",AQ656="À RÉPARER",AQ656="COUPE – À RESOUDER",AQ656="VT REJETÉ – À REPRENDRE")),MAX(0,'PROGRAMME RT'!$C$4-U656),"")</f>
        <v/>
      </c>
      <c r="AS656" s="82" t="n">
        <f aca="false">IF(AND(OR(AQ656="À RADIOGRAPHIER",AQ656="RÉPARÉ – À RADIOGRAPHIER",AQ656="NX – RT À REFAIRE"),OR('PROGRAMME RT'!$D$5="TOUTES",B656='PROGRAMME RT'!$D$5)),1,0)</f>
        <v>0</v>
      </c>
      <c r="AT656" s="82" t="str">
        <f aca="false">IF(AS656=1,SUM(AS$7:AS656),"")</f>
        <v/>
      </c>
      <c r="AU656" s="82" t="n">
        <f aca="false">IF(AND(OR(AA656="R",AA656="NX",AA656="NT",AA656="CO"),OR('JOINTS DE RÉPARATION'!$D$5="TOUTES",B656='JOINTS DE RÉPARATION'!$D$5),OR('JOINTS DE RÉPARATION'!$L$4="TOUS",AQ656&lt;&gt;"ACCEPTÉ")),1,0)</f>
        <v>0</v>
      </c>
      <c r="AV656" s="82" t="str">
        <f aca="false">IF(AU656=1,SUM(AU$7:AU656),"")</f>
        <v/>
      </c>
      <c r="AW656" s="82" t="str">
        <f aca="false">IF(E656="","",B656&amp;"|"&amp;E656)</f>
        <v>MFD-ISW → MFD-CPF|JN°650</v>
      </c>
    </row>
    <row r="657" customFormat="false" ht="74.6" hidden="false" customHeight="false" outlineLevel="0" collapsed="false">
      <c r="A657" s="79" t="n">
        <f aca="false">IF(E657="","",ROW()-6)</f>
        <v>651</v>
      </c>
      <c r="B657" s="80" t="s">
        <v>110</v>
      </c>
      <c r="C657" s="81"/>
      <c r="D657" s="81"/>
      <c r="E657" s="81" t="s">
        <v>761</v>
      </c>
      <c r="F657" s="82" t="str">
        <f aca="false">IF(E657="","",IF(LEFT(E657,2)="DJ","DJ","JN"))</f>
        <v>JN</v>
      </c>
      <c r="G657" s="81"/>
      <c r="H657" s="81"/>
      <c r="I657" s="81"/>
      <c r="J657" s="81"/>
      <c r="K657" s="81"/>
      <c r="L657" s="81"/>
      <c r="M657" s="81"/>
      <c r="N657" s="81"/>
      <c r="O657" s="81"/>
      <c r="P657" s="81"/>
      <c r="Q657" s="81"/>
      <c r="R657" s="81"/>
      <c r="S657" s="81"/>
      <c r="T657" s="81"/>
      <c r="U657" s="83"/>
      <c r="V657" s="83"/>
      <c r="W657" s="81"/>
      <c r="X657" s="81"/>
      <c r="Y657" s="83"/>
      <c r="Z657" s="81"/>
      <c r="AA657" s="81"/>
      <c r="AB657" s="81"/>
      <c r="AC657" s="81"/>
      <c r="AD657" s="81"/>
      <c r="AE657" s="83"/>
      <c r="AF657" s="81"/>
      <c r="AG657" s="81"/>
      <c r="AH657" s="81"/>
      <c r="AI657" s="81"/>
      <c r="AJ657" s="83"/>
      <c r="AK657" s="81"/>
      <c r="AL657" s="81"/>
      <c r="AM657" s="83"/>
      <c r="AN657" s="80"/>
      <c r="AO657" s="82" t="n">
        <f aca="false">IF(E657="","",(AA657&lt;&gt;"")+(AG657&lt;&gt;"")+(AL657&lt;&gt;""))</f>
        <v>0</v>
      </c>
      <c r="AP657" s="82" t="str">
        <f aca="false">IF(AL657&lt;&gt;"",AL657,IF(AG657&lt;&gt;"",AG657,IF(AA657&lt;&gt;"",AA657,"")))</f>
        <v/>
      </c>
      <c r="AQ657" s="84" t="str">
        <f aca="false">IF(E657="","",IF(U657="","À SOUDER",IF(X657="","VT EN ATTENTE",IF(X657="R","VT REJETÉ – À REPRENDRE",IF(AP657="","À RADIOGRAPHIER",IF(AP657="A","ACCEPTÉ",IF(AP657="NX","NX – RT À REFAIRE",IF(IF(AO657=1,AD657,IF(AO657=2,AI657,""))="A","RÉPARÉ – À RADIOGRAPHIER",IF(IF(AO657=1,AD657,IF(AO657=2,AI657,""))="R","VT REJETÉ – À REPRENDRE",IF(OR(AP657="CO",AP657="NT"),"COUPE – À RESOUDER","À RÉPARER"))))))))))</f>
        <v>À SOUDER</v>
      </c>
      <c r="AR657" s="82" t="str">
        <f aca="false">IF(AND(ISNUMBER(U657),OR(AQ657="À RADIOGRAPHIER",AQ657="RÉPARÉ – À RADIOGRAPHIER",AQ657="NX – RT À REFAIRE",AQ657="À RÉPARER",AQ657="COUPE – À RESOUDER",AQ657="VT REJETÉ – À REPRENDRE")),MAX(0,'PROGRAMME RT'!$C$4-U657),"")</f>
        <v/>
      </c>
      <c r="AS657" s="82" t="n">
        <f aca="false">IF(AND(OR(AQ657="À RADIOGRAPHIER",AQ657="RÉPARÉ – À RADIOGRAPHIER",AQ657="NX – RT À REFAIRE"),OR('PROGRAMME RT'!$D$5="TOUTES",B657='PROGRAMME RT'!$D$5)),1,0)</f>
        <v>0</v>
      </c>
      <c r="AT657" s="82" t="str">
        <f aca="false">IF(AS657=1,SUM(AS$7:AS657),"")</f>
        <v/>
      </c>
      <c r="AU657" s="82" t="n">
        <f aca="false">IF(AND(OR(AA657="R",AA657="NX",AA657="NT",AA657="CO"),OR('JOINTS DE RÉPARATION'!$D$5="TOUTES",B657='JOINTS DE RÉPARATION'!$D$5),OR('JOINTS DE RÉPARATION'!$L$4="TOUS",AQ657&lt;&gt;"ACCEPTÉ")),1,0)</f>
        <v>0</v>
      </c>
      <c r="AV657" s="82" t="str">
        <f aca="false">IF(AU657=1,SUM(AU$7:AU657),"")</f>
        <v/>
      </c>
      <c r="AW657" s="82" t="str">
        <f aca="false">IF(E657="","",B657&amp;"|"&amp;E657)</f>
        <v>MFD-ISW → MFD-CPF|JN°651</v>
      </c>
    </row>
    <row r="658" customFormat="false" ht="74.6" hidden="false" customHeight="false" outlineLevel="0" collapsed="false">
      <c r="A658" s="79" t="n">
        <f aca="false">IF(E658="","",ROW()-6)</f>
        <v>652</v>
      </c>
      <c r="B658" s="80" t="s">
        <v>110</v>
      </c>
      <c r="C658" s="81"/>
      <c r="D658" s="81"/>
      <c r="E658" s="81" t="s">
        <v>762</v>
      </c>
      <c r="F658" s="82" t="str">
        <f aca="false">IF(E658="","",IF(LEFT(E658,2)="DJ","DJ","JN"))</f>
        <v>JN</v>
      </c>
      <c r="G658" s="81"/>
      <c r="H658" s="81"/>
      <c r="I658" s="81"/>
      <c r="J658" s="81"/>
      <c r="K658" s="81"/>
      <c r="L658" s="81"/>
      <c r="M658" s="81"/>
      <c r="N658" s="81"/>
      <c r="O658" s="81"/>
      <c r="P658" s="81"/>
      <c r="Q658" s="81"/>
      <c r="R658" s="81"/>
      <c r="S658" s="81"/>
      <c r="T658" s="81"/>
      <c r="U658" s="83"/>
      <c r="V658" s="83"/>
      <c r="W658" s="81"/>
      <c r="X658" s="81"/>
      <c r="Y658" s="83"/>
      <c r="Z658" s="81"/>
      <c r="AA658" s="81"/>
      <c r="AB658" s="81"/>
      <c r="AC658" s="81"/>
      <c r="AD658" s="81"/>
      <c r="AE658" s="83"/>
      <c r="AF658" s="81"/>
      <c r="AG658" s="81"/>
      <c r="AH658" s="81"/>
      <c r="AI658" s="81"/>
      <c r="AJ658" s="83"/>
      <c r="AK658" s="81"/>
      <c r="AL658" s="81"/>
      <c r="AM658" s="83"/>
      <c r="AN658" s="80"/>
      <c r="AO658" s="82" t="n">
        <f aca="false">IF(E658="","",(AA658&lt;&gt;"")+(AG658&lt;&gt;"")+(AL658&lt;&gt;""))</f>
        <v>0</v>
      </c>
      <c r="AP658" s="82" t="str">
        <f aca="false">IF(AL658&lt;&gt;"",AL658,IF(AG658&lt;&gt;"",AG658,IF(AA658&lt;&gt;"",AA658,"")))</f>
        <v/>
      </c>
      <c r="AQ658" s="84" t="str">
        <f aca="false">IF(E658="","",IF(U658="","À SOUDER",IF(X658="","VT EN ATTENTE",IF(X658="R","VT REJETÉ – À REPRENDRE",IF(AP658="","À RADIOGRAPHIER",IF(AP658="A","ACCEPTÉ",IF(AP658="NX","NX – RT À REFAIRE",IF(IF(AO658=1,AD658,IF(AO658=2,AI658,""))="A","RÉPARÉ – À RADIOGRAPHIER",IF(IF(AO658=1,AD658,IF(AO658=2,AI658,""))="R","VT REJETÉ – À REPRENDRE",IF(OR(AP658="CO",AP658="NT"),"COUPE – À RESOUDER","À RÉPARER"))))))))))</f>
        <v>À SOUDER</v>
      </c>
      <c r="AR658" s="82" t="str">
        <f aca="false">IF(AND(ISNUMBER(U658),OR(AQ658="À RADIOGRAPHIER",AQ658="RÉPARÉ – À RADIOGRAPHIER",AQ658="NX – RT À REFAIRE",AQ658="À RÉPARER",AQ658="COUPE – À RESOUDER",AQ658="VT REJETÉ – À REPRENDRE")),MAX(0,'PROGRAMME RT'!$C$4-U658),"")</f>
        <v/>
      </c>
      <c r="AS658" s="82" t="n">
        <f aca="false">IF(AND(OR(AQ658="À RADIOGRAPHIER",AQ658="RÉPARÉ – À RADIOGRAPHIER",AQ658="NX – RT À REFAIRE"),OR('PROGRAMME RT'!$D$5="TOUTES",B658='PROGRAMME RT'!$D$5)),1,0)</f>
        <v>0</v>
      </c>
      <c r="AT658" s="82" t="str">
        <f aca="false">IF(AS658=1,SUM(AS$7:AS658),"")</f>
        <v/>
      </c>
      <c r="AU658" s="82" t="n">
        <f aca="false">IF(AND(OR(AA658="R",AA658="NX",AA658="NT",AA658="CO"),OR('JOINTS DE RÉPARATION'!$D$5="TOUTES",B658='JOINTS DE RÉPARATION'!$D$5),OR('JOINTS DE RÉPARATION'!$L$4="TOUS",AQ658&lt;&gt;"ACCEPTÉ")),1,0)</f>
        <v>0</v>
      </c>
      <c r="AV658" s="82" t="str">
        <f aca="false">IF(AU658=1,SUM(AU$7:AU658),"")</f>
        <v/>
      </c>
      <c r="AW658" s="82" t="str">
        <f aca="false">IF(E658="","",B658&amp;"|"&amp;E658)</f>
        <v>MFD-ISW → MFD-CPF|JN°652</v>
      </c>
    </row>
    <row r="659" customFormat="false" ht="74.6" hidden="false" customHeight="false" outlineLevel="0" collapsed="false">
      <c r="A659" s="79" t="n">
        <f aca="false">IF(E659="","",ROW()-6)</f>
        <v>653</v>
      </c>
      <c r="B659" s="80" t="s">
        <v>110</v>
      </c>
      <c r="C659" s="81"/>
      <c r="D659" s="81"/>
      <c r="E659" s="81" t="s">
        <v>763</v>
      </c>
      <c r="F659" s="82" t="str">
        <f aca="false">IF(E659="","",IF(LEFT(E659,2)="DJ","DJ","JN"))</f>
        <v>JN</v>
      </c>
      <c r="G659" s="81"/>
      <c r="H659" s="81"/>
      <c r="I659" s="81"/>
      <c r="J659" s="81"/>
      <c r="K659" s="81"/>
      <c r="L659" s="81"/>
      <c r="M659" s="81"/>
      <c r="N659" s="81"/>
      <c r="O659" s="81"/>
      <c r="P659" s="81"/>
      <c r="Q659" s="81"/>
      <c r="R659" s="81"/>
      <c r="S659" s="81"/>
      <c r="T659" s="81"/>
      <c r="U659" s="83"/>
      <c r="V659" s="83"/>
      <c r="W659" s="81"/>
      <c r="X659" s="81"/>
      <c r="Y659" s="83"/>
      <c r="Z659" s="81"/>
      <c r="AA659" s="81"/>
      <c r="AB659" s="81"/>
      <c r="AC659" s="81"/>
      <c r="AD659" s="81"/>
      <c r="AE659" s="83"/>
      <c r="AF659" s="81"/>
      <c r="AG659" s="81"/>
      <c r="AH659" s="81"/>
      <c r="AI659" s="81"/>
      <c r="AJ659" s="83"/>
      <c r="AK659" s="81"/>
      <c r="AL659" s="81"/>
      <c r="AM659" s="83"/>
      <c r="AN659" s="80"/>
      <c r="AO659" s="82" t="n">
        <f aca="false">IF(E659="","",(AA659&lt;&gt;"")+(AG659&lt;&gt;"")+(AL659&lt;&gt;""))</f>
        <v>0</v>
      </c>
      <c r="AP659" s="82" t="str">
        <f aca="false">IF(AL659&lt;&gt;"",AL659,IF(AG659&lt;&gt;"",AG659,IF(AA659&lt;&gt;"",AA659,"")))</f>
        <v/>
      </c>
      <c r="AQ659" s="84" t="str">
        <f aca="false">IF(E659="","",IF(U659="","À SOUDER",IF(X659="","VT EN ATTENTE",IF(X659="R","VT REJETÉ – À REPRENDRE",IF(AP659="","À RADIOGRAPHIER",IF(AP659="A","ACCEPTÉ",IF(AP659="NX","NX – RT À REFAIRE",IF(IF(AO659=1,AD659,IF(AO659=2,AI659,""))="A","RÉPARÉ – À RADIOGRAPHIER",IF(IF(AO659=1,AD659,IF(AO659=2,AI659,""))="R","VT REJETÉ – À REPRENDRE",IF(OR(AP659="CO",AP659="NT"),"COUPE – À RESOUDER","À RÉPARER"))))))))))</f>
        <v>À SOUDER</v>
      </c>
      <c r="AR659" s="82" t="str">
        <f aca="false">IF(AND(ISNUMBER(U659),OR(AQ659="À RADIOGRAPHIER",AQ659="RÉPARÉ – À RADIOGRAPHIER",AQ659="NX – RT À REFAIRE",AQ659="À RÉPARER",AQ659="COUPE – À RESOUDER",AQ659="VT REJETÉ – À REPRENDRE")),MAX(0,'PROGRAMME RT'!$C$4-U659),"")</f>
        <v/>
      </c>
      <c r="AS659" s="82" t="n">
        <f aca="false">IF(AND(OR(AQ659="À RADIOGRAPHIER",AQ659="RÉPARÉ – À RADIOGRAPHIER",AQ659="NX – RT À REFAIRE"),OR('PROGRAMME RT'!$D$5="TOUTES",B659='PROGRAMME RT'!$D$5)),1,0)</f>
        <v>0</v>
      </c>
      <c r="AT659" s="82" t="str">
        <f aca="false">IF(AS659=1,SUM(AS$7:AS659),"")</f>
        <v/>
      </c>
      <c r="AU659" s="82" t="n">
        <f aca="false">IF(AND(OR(AA659="R",AA659="NX",AA659="NT",AA659="CO"),OR('JOINTS DE RÉPARATION'!$D$5="TOUTES",B659='JOINTS DE RÉPARATION'!$D$5),OR('JOINTS DE RÉPARATION'!$L$4="TOUS",AQ659&lt;&gt;"ACCEPTÉ")),1,0)</f>
        <v>0</v>
      </c>
      <c r="AV659" s="82" t="str">
        <f aca="false">IF(AU659=1,SUM(AU$7:AU659),"")</f>
        <v/>
      </c>
      <c r="AW659" s="82" t="str">
        <f aca="false">IF(E659="","",B659&amp;"|"&amp;E659)</f>
        <v>MFD-ISW → MFD-CPF|JN°653</v>
      </c>
    </row>
    <row r="660" customFormat="false" ht="74.6" hidden="false" customHeight="false" outlineLevel="0" collapsed="false">
      <c r="A660" s="79" t="n">
        <f aca="false">IF(E660="","",ROW()-6)</f>
        <v>654</v>
      </c>
      <c r="B660" s="80" t="s">
        <v>110</v>
      </c>
      <c r="C660" s="81"/>
      <c r="D660" s="81"/>
      <c r="E660" s="81" t="s">
        <v>764</v>
      </c>
      <c r="F660" s="82" t="str">
        <f aca="false">IF(E660="","",IF(LEFT(E660,2)="DJ","DJ","JN"))</f>
        <v>JN</v>
      </c>
      <c r="G660" s="81"/>
      <c r="H660" s="81"/>
      <c r="I660" s="81"/>
      <c r="J660" s="81"/>
      <c r="K660" s="81"/>
      <c r="L660" s="81"/>
      <c r="M660" s="81"/>
      <c r="N660" s="81"/>
      <c r="O660" s="81"/>
      <c r="P660" s="81"/>
      <c r="Q660" s="81"/>
      <c r="R660" s="81"/>
      <c r="S660" s="81"/>
      <c r="T660" s="81"/>
      <c r="U660" s="83"/>
      <c r="V660" s="83"/>
      <c r="W660" s="81"/>
      <c r="X660" s="81"/>
      <c r="Y660" s="83"/>
      <c r="Z660" s="81"/>
      <c r="AA660" s="81"/>
      <c r="AB660" s="81"/>
      <c r="AC660" s="81"/>
      <c r="AD660" s="81"/>
      <c r="AE660" s="83"/>
      <c r="AF660" s="81"/>
      <c r="AG660" s="81"/>
      <c r="AH660" s="81"/>
      <c r="AI660" s="81"/>
      <c r="AJ660" s="83"/>
      <c r="AK660" s="81"/>
      <c r="AL660" s="81"/>
      <c r="AM660" s="83"/>
      <c r="AN660" s="80"/>
      <c r="AO660" s="82" t="n">
        <f aca="false">IF(E660="","",(AA660&lt;&gt;"")+(AG660&lt;&gt;"")+(AL660&lt;&gt;""))</f>
        <v>0</v>
      </c>
      <c r="AP660" s="82" t="str">
        <f aca="false">IF(AL660&lt;&gt;"",AL660,IF(AG660&lt;&gt;"",AG660,IF(AA660&lt;&gt;"",AA660,"")))</f>
        <v/>
      </c>
      <c r="AQ660" s="84" t="str">
        <f aca="false">IF(E660="","",IF(U660="","À SOUDER",IF(X660="","VT EN ATTENTE",IF(X660="R","VT REJETÉ – À REPRENDRE",IF(AP660="","À RADIOGRAPHIER",IF(AP660="A","ACCEPTÉ",IF(AP660="NX","NX – RT À REFAIRE",IF(IF(AO660=1,AD660,IF(AO660=2,AI660,""))="A","RÉPARÉ – À RADIOGRAPHIER",IF(IF(AO660=1,AD660,IF(AO660=2,AI660,""))="R","VT REJETÉ – À REPRENDRE",IF(OR(AP660="CO",AP660="NT"),"COUPE – À RESOUDER","À RÉPARER"))))))))))</f>
        <v>À SOUDER</v>
      </c>
      <c r="AR660" s="82" t="str">
        <f aca="false">IF(AND(ISNUMBER(U660),OR(AQ660="À RADIOGRAPHIER",AQ660="RÉPARÉ – À RADIOGRAPHIER",AQ660="NX – RT À REFAIRE",AQ660="À RÉPARER",AQ660="COUPE – À RESOUDER",AQ660="VT REJETÉ – À REPRENDRE")),MAX(0,'PROGRAMME RT'!$C$4-U660),"")</f>
        <v/>
      </c>
      <c r="AS660" s="82" t="n">
        <f aca="false">IF(AND(OR(AQ660="À RADIOGRAPHIER",AQ660="RÉPARÉ – À RADIOGRAPHIER",AQ660="NX – RT À REFAIRE"),OR('PROGRAMME RT'!$D$5="TOUTES",B660='PROGRAMME RT'!$D$5)),1,0)</f>
        <v>0</v>
      </c>
      <c r="AT660" s="82" t="str">
        <f aca="false">IF(AS660=1,SUM(AS$7:AS660),"")</f>
        <v/>
      </c>
      <c r="AU660" s="82" t="n">
        <f aca="false">IF(AND(OR(AA660="R",AA660="NX",AA660="NT",AA660="CO"),OR('JOINTS DE RÉPARATION'!$D$5="TOUTES",B660='JOINTS DE RÉPARATION'!$D$5),OR('JOINTS DE RÉPARATION'!$L$4="TOUS",AQ660&lt;&gt;"ACCEPTÉ")),1,0)</f>
        <v>0</v>
      </c>
      <c r="AV660" s="82" t="str">
        <f aca="false">IF(AU660=1,SUM(AU$7:AU660),"")</f>
        <v/>
      </c>
      <c r="AW660" s="82" t="str">
        <f aca="false">IF(E660="","",B660&amp;"|"&amp;E660)</f>
        <v>MFD-ISW → MFD-CPF|JN°654</v>
      </c>
    </row>
    <row r="661" customFormat="false" ht="74.6" hidden="false" customHeight="false" outlineLevel="0" collapsed="false">
      <c r="A661" s="79" t="n">
        <f aca="false">IF(E661="","",ROW()-6)</f>
        <v>655</v>
      </c>
      <c r="B661" s="80" t="s">
        <v>110</v>
      </c>
      <c r="C661" s="81"/>
      <c r="D661" s="81"/>
      <c r="E661" s="81" t="s">
        <v>765</v>
      </c>
      <c r="F661" s="82" t="str">
        <f aca="false">IF(E661="","",IF(LEFT(E661,2)="DJ","DJ","JN"))</f>
        <v>JN</v>
      </c>
      <c r="G661" s="81"/>
      <c r="H661" s="81"/>
      <c r="I661" s="81"/>
      <c r="J661" s="81"/>
      <c r="K661" s="81"/>
      <c r="L661" s="81"/>
      <c r="M661" s="81"/>
      <c r="N661" s="81"/>
      <c r="O661" s="81"/>
      <c r="P661" s="81"/>
      <c r="Q661" s="81"/>
      <c r="R661" s="81"/>
      <c r="S661" s="81"/>
      <c r="T661" s="81"/>
      <c r="U661" s="83"/>
      <c r="V661" s="83"/>
      <c r="W661" s="81"/>
      <c r="X661" s="81"/>
      <c r="Y661" s="83"/>
      <c r="Z661" s="81"/>
      <c r="AA661" s="81"/>
      <c r="AB661" s="81"/>
      <c r="AC661" s="81"/>
      <c r="AD661" s="81"/>
      <c r="AE661" s="83"/>
      <c r="AF661" s="81"/>
      <c r="AG661" s="81"/>
      <c r="AH661" s="81"/>
      <c r="AI661" s="81"/>
      <c r="AJ661" s="83"/>
      <c r="AK661" s="81"/>
      <c r="AL661" s="81"/>
      <c r="AM661" s="83"/>
      <c r="AN661" s="80"/>
      <c r="AO661" s="82" t="n">
        <f aca="false">IF(E661="","",(AA661&lt;&gt;"")+(AG661&lt;&gt;"")+(AL661&lt;&gt;""))</f>
        <v>0</v>
      </c>
      <c r="AP661" s="82" t="str">
        <f aca="false">IF(AL661&lt;&gt;"",AL661,IF(AG661&lt;&gt;"",AG661,IF(AA661&lt;&gt;"",AA661,"")))</f>
        <v/>
      </c>
      <c r="AQ661" s="84" t="str">
        <f aca="false">IF(E661="","",IF(U661="","À SOUDER",IF(X661="","VT EN ATTENTE",IF(X661="R","VT REJETÉ – À REPRENDRE",IF(AP661="","À RADIOGRAPHIER",IF(AP661="A","ACCEPTÉ",IF(AP661="NX","NX – RT À REFAIRE",IF(IF(AO661=1,AD661,IF(AO661=2,AI661,""))="A","RÉPARÉ – À RADIOGRAPHIER",IF(IF(AO661=1,AD661,IF(AO661=2,AI661,""))="R","VT REJETÉ – À REPRENDRE",IF(OR(AP661="CO",AP661="NT"),"COUPE – À RESOUDER","À RÉPARER"))))))))))</f>
        <v>À SOUDER</v>
      </c>
      <c r="AR661" s="82" t="str">
        <f aca="false">IF(AND(ISNUMBER(U661),OR(AQ661="À RADIOGRAPHIER",AQ661="RÉPARÉ – À RADIOGRAPHIER",AQ661="NX – RT À REFAIRE",AQ661="À RÉPARER",AQ661="COUPE – À RESOUDER",AQ661="VT REJETÉ – À REPRENDRE")),MAX(0,'PROGRAMME RT'!$C$4-U661),"")</f>
        <v/>
      </c>
      <c r="AS661" s="82" t="n">
        <f aca="false">IF(AND(OR(AQ661="À RADIOGRAPHIER",AQ661="RÉPARÉ – À RADIOGRAPHIER",AQ661="NX – RT À REFAIRE"),OR('PROGRAMME RT'!$D$5="TOUTES",B661='PROGRAMME RT'!$D$5)),1,0)</f>
        <v>0</v>
      </c>
      <c r="AT661" s="82" t="str">
        <f aca="false">IF(AS661=1,SUM(AS$7:AS661),"")</f>
        <v/>
      </c>
      <c r="AU661" s="82" t="n">
        <f aca="false">IF(AND(OR(AA661="R",AA661="NX",AA661="NT",AA661="CO"),OR('JOINTS DE RÉPARATION'!$D$5="TOUTES",B661='JOINTS DE RÉPARATION'!$D$5),OR('JOINTS DE RÉPARATION'!$L$4="TOUS",AQ661&lt;&gt;"ACCEPTÉ")),1,0)</f>
        <v>0</v>
      </c>
      <c r="AV661" s="82" t="str">
        <f aca="false">IF(AU661=1,SUM(AU$7:AU661),"")</f>
        <v/>
      </c>
      <c r="AW661" s="82" t="str">
        <f aca="false">IF(E661="","",B661&amp;"|"&amp;E661)</f>
        <v>MFD-ISW → MFD-CPF|JN°655</v>
      </c>
    </row>
    <row r="662" customFormat="false" ht="74.6" hidden="false" customHeight="false" outlineLevel="0" collapsed="false">
      <c r="A662" s="79" t="n">
        <f aca="false">IF(E662="","",ROW()-6)</f>
        <v>656</v>
      </c>
      <c r="B662" s="80" t="s">
        <v>110</v>
      </c>
      <c r="C662" s="81"/>
      <c r="D662" s="81"/>
      <c r="E662" s="81" t="s">
        <v>766</v>
      </c>
      <c r="F662" s="82" t="str">
        <f aca="false">IF(E662="","",IF(LEFT(E662,2)="DJ","DJ","JN"))</f>
        <v>JN</v>
      </c>
      <c r="G662" s="81"/>
      <c r="H662" s="81"/>
      <c r="I662" s="81"/>
      <c r="J662" s="81"/>
      <c r="K662" s="81"/>
      <c r="L662" s="81"/>
      <c r="M662" s="81"/>
      <c r="N662" s="81"/>
      <c r="O662" s="81"/>
      <c r="P662" s="81"/>
      <c r="Q662" s="81"/>
      <c r="R662" s="81"/>
      <c r="S662" s="81"/>
      <c r="T662" s="81"/>
      <c r="U662" s="83"/>
      <c r="V662" s="83"/>
      <c r="W662" s="81"/>
      <c r="X662" s="81"/>
      <c r="Y662" s="83"/>
      <c r="Z662" s="81"/>
      <c r="AA662" s="81"/>
      <c r="AB662" s="81"/>
      <c r="AC662" s="81"/>
      <c r="AD662" s="81"/>
      <c r="AE662" s="83"/>
      <c r="AF662" s="81"/>
      <c r="AG662" s="81"/>
      <c r="AH662" s="81"/>
      <c r="AI662" s="81"/>
      <c r="AJ662" s="83"/>
      <c r="AK662" s="81"/>
      <c r="AL662" s="81"/>
      <c r="AM662" s="83"/>
      <c r="AN662" s="80"/>
      <c r="AO662" s="82" t="n">
        <f aca="false">IF(E662="","",(AA662&lt;&gt;"")+(AG662&lt;&gt;"")+(AL662&lt;&gt;""))</f>
        <v>0</v>
      </c>
      <c r="AP662" s="82" t="str">
        <f aca="false">IF(AL662&lt;&gt;"",AL662,IF(AG662&lt;&gt;"",AG662,IF(AA662&lt;&gt;"",AA662,"")))</f>
        <v/>
      </c>
      <c r="AQ662" s="84" t="str">
        <f aca="false">IF(E662="","",IF(U662="","À SOUDER",IF(X662="","VT EN ATTENTE",IF(X662="R","VT REJETÉ – À REPRENDRE",IF(AP662="","À RADIOGRAPHIER",IF(AP662="A","ACCEPTÉ",IF(AP662="NX","NX – RT À REFAIRE",IF(IF(AO662=1,AD662,IF(AO662=2,AI662,""))="A","RÉPARÉ – À RADIOGRAPHIER",IF(IF(AO662=1,AD662,IF(AO662=2,AI662,""))="R","VT REJETÉ – À REPRENDRE",IF(OR(AP662="CO",AP662="NT"),"COUPE – À RESOUDER","À RÉPARER"))))))))))</f>
        <v>À SOUDER</v>
      </c>
      <c r="AR662" s="82" t="str">
        <f aca="false">IF(AND(ISNUMBER(U662),OR(AQ662="À RADIOGRAPHIER",AQ662="RÉPARÉ – À RADIOGRAPHIER",AQ662="NX – RT À REFAIRE",AQ662="À RÉPARER",AQ662="COUPE – À RESOUDER",AQ662="VT REJETÉ – À REPRENDRE")),MAX(0,'PROGRAMME RT'!$C$4-U662),"")</f>
        <v/>
      </c>
      <c r="AS662" s="82" t="n">
        <f aca="false">IF(AND(OR(AQ662="À RADIOGRAPHIER",AQ662="RÉPARÉ – À RADIOGRAPHIER",AQ662="NX – RT À REFAIRE"),OR('PROGRAMME RT'!$D$5="TOUTES",B662='PROGRAMME RT'!$D$5)),1,0)</f>
        <v>0</v>
      </c>
      <c r="AT662" s="82" t="str">
        <f aca="false">IF(AS662=1,SUM(AS$7:AS662),"")</f>
        <v/>
      </c>
      <c r="AU662" s="82" t="n">
        <f aca="false">IF(AND(OR(AA662="R",AA662="NX",AA662="NT",AA662="CO"),OR('JOINTS DE RÉPARATION'!$D$5="TOUTES",B662='JOINTS DE RÉPARATION'!$D$5),OR('JOINTS DE RÉPARATION'!$L$4="TOUS",AQ662&lt;&gt;"ACCEPTÉ")),1,0)</f>
        <v>0</v>
      </c>
      <c r="AV662" s="82" t="str">
        <f aca="false">IF(AU662=1,SUM(AU$7:AU662),"")</f>
        <v/>
      </c>
      <c r="AW662" s="82" t="str">
        <f aca="false">IF(E662="","",B662&amp;"|"&amp;E662)</f>
        <v>MFD-ISW → MFD-CPF|JN°656</v>
      </c>
    </row>
    <row r="663" customFormat="false" ht="74.6" hidden="false" customHeight="false" outlineLevel="0" collapsed="false">
      <c r="A663" s="79" t="n">
        <f aca="false">IF(E663="","",ROW()-6)</f>
        <v>657</v>
      </c>
      <c r="B663" s="80" t="s">
        <v>110</v>
      </c>
      <c r="C663" s="81"/>
      <c r="D663" s="81"/>
      <c r="E663" s="81" t="s">
        <v>767</v>
      </c>
      <c r="F663" s="82" t="str">
        <f aca="false">IF(E663="","",IF(LEFT(E663,2)="DJ","DJ","JN"))</f>
        <v>JN</v>
      </c>
      <c r="G663" s="81"/>
      <c r="H663" s="81"/>
      <c r="I663" s="81"/>
      <c r="J663" s="81"/>
      <c r="K663" s="81"/>
      <c r="L663" s="81"/>
      <c r="M663" s="81"/>
      <c r="N663" s="81"/>
      <c r="O663" s="81"/>
      <c r="P663" s="81"/>
      <c r="Q663" s="81"/>
      <c r="R663" s="81"/>
      <c r="S663" s="81"/>
      <c r="T663" s="81"/>
      <c r="U663" s="83"/>
      <c r="V663" s="83"/>
      <c r="W663" s="81"/>
      <c r="X663" s="81"/>
      <c r="Y663" s="83"/>
      <c r="Z663" s="81"/>
      <c r="AA663" s="81"/>
      <c r="AB663" s="81"/>
      <c r="AC663" s="81"/>
      <c r="AD663" s="81"/>
      <c r="AE663" s="83"/>
      <c r="AF663" s="81"/>
      <c r="AG663" s="81"/>
      <c r="AH663" s="81"/>
      <c r="AI663" s="81"/>
      <c r="AJ663" s="83"/>
      <c r="AK663" s="81"/>
      <c r="AL663" s="81"/>
      <c r="AM663" s="83"/>
      <c r="AN663" s="80"/>
      <c r="AO663" s="82" t="n">
        <f aca="false">IF(E663="","",(AA663&lt;&gt;"")+(AG663&lt;&gt;"")+(AL663&lt;&gt;""))</f>
        <v>0</v>
      </c>
      <c r="AP663" s="82" t="str">
        <f aca="false">IF(AL663&lt;&gt;"",AL663,IF(AG663&lt;&gt;"",AG663,IF(AA663&lt;&gt;"",AA663,"")))</f>
        <v/>
      </c>
      <c r="AQ663" s="84" t="str">
        <f aca="false">IF(E663="","",IF(U663="","À SOUDER",IF(X663="","VT EN ATTENTE",IF(X663="R","VT REJETÉ – À REPRENDRE",IF(AP663="","À RADIOGRAPHIER",IF(AP663="A","ACCEPTÉ",IF(AP663="NX","NX – RT À REFAIRE",IF(IF(AO663=1,AD663,IF(AO663=2,AI663,""))="A","RÉPARÉ – À RADIOGRAPHIER",IF(IF(AO663=1,AD663,IF(AO663=2,AI663,""))="R","VT REJETÉ – À REPRENDRE",IF(OR(AP663="CO",AP663="NT"),"COUPE – À RESOUDER","À RÉPARER"))))))))))</f>
        <v>À SOUDER</v>
      </c>
      <c r="AR663" s="82" t="str">
        <f aca="false">IF(AND(ISNUMBER(U663),OR(AQ663="À RADIOGRAPHIER",AQ663="RÉPARÉ – À RADIOGRAPHIER",AQ663="NX – RT À REFAIRE",AQ663="À RÉPARER",AQ663="COUPE – À RESOUDER",AQ663="VT REJETÉ – À REPRENDRE")),MAX(0,'PROGRAMME RT'!$C$4-U663),"")</f>
        <v/>
      </c>
      <c r="AS663" s="82" t="n">
        <f aca="false">IF(AND(OR(AQ663="À RADIOGRAPHIER",AQ663="RÉPARÉ – À RADIOGRAPHIER",AQ663="NX – RT À REFAIRE"),OR('PROGRAMME RT'!$D$5="TOUTES",B663='PROGRAMME RT'!$D$5)),1,0)</f>
        <v>0</v>
      </c>
      <c r="AT663" s="82" t="str">
        <f aca="false">IF(AS663=1,SUM(AS$7:AS663),"")</f>
        <v/>
      </c>
      <c r="AU663" s="82" t="n">
        <f aca="false">IF(AND(OR(AA663="R",AA663="NX",AA663="NT",AA663="CO"),OR('JOINTS DE RÉPARATION'!$D$5="TOUTES",B663='JOINTS DE RÉPARATION'!$D$5),OR('JOINTS DE RÉPARATION'!$L$4="TOUS",AQ663&lt;&gt;"ACCEPTÉ")),1,0)</f>
        <v>0</v>
      </c>
      <c r="AV663" s="82" t="str">
        <f aca="false">IF(AU663=1,SUM(AU$7:AU663),"")</f>
        <v/>
      </c>
      <c r="AW663" s="82" t="str">
        <f aca="false">IF(E663="","",B663&amp;"|"&amp;E663)</f>
        <v>MFD-ISW → MFD-CPF|JN°657</v>
      </c>
    </row>
    <row r="664" customFormat="false" ht="74.6" hidden="false" customHeight="false" outlineLevel="0" collapsed="false">
      <c r="A664" s="79" t="n">
        <f aca="false">IF(E664="","",ROW()-6)</f>
        <v>658</v>
      </c>
      <c r="B664" s="80" t="s">
        <v>110</v>
      </c>
      <c r="C664" s="81"/>
      <c r="D664" s="81"/>
      <c r="E664" s="81" t="s">
        <v>768</v>
      </c>
      <c r="F664" s="82" t="str">
        <f aca="false">IF(E664="","",IF(LEFT(E664,2)="DJ","DJ","JN"))</f>
        <v>JN</v>
      </c>
      <c r="G664" s="81"/>
      <c r="H664" s="81"/>
      <c r="I664" s="81"/>
      <c r="J664" s="81"/>
      <c r="K664" s="81"/>
      <c r="L664" s="81"/>
      <c r="M664" s="81"/>
      <c r="N664" s="81"/>
      <c r="O664" s="81"/>
      <c r="P664" s="81"/>
      <c r="Q664" s="81"/>
      <c r="R664" s="81"/>
      <c r="S664" s="81"/>
      <c r="T664" s="81"/>
      <c r="U664" s="83"/>
      <c r="V664" s="83"/>
      <c r="W664" s="81"/>
      <c r="X664" s="81"/>
      <c r="Y664" s="83"/>
      <c r="Z664" s="81"/>
      <c r="AA664" s="81"/>
      <c r="AB664" s="81"/>
      <c r="AC664" s="81"/>
      <c r="AD664" s="81"/>
      <c r="AE664" s="83"/>
      <c r="AF664" s="81"/>
      <c r="AG664" s="81"/>
      <c r="AH664" s="81"/>
      <c r="AI664" s="81"/>
      <c r="AJ664" s="83"/>
      <c r="AK664" s="81"/>
      <c r="AL664" s="81"/>
      <c r="AM664" s="83"/>
      <c r="AN664" s="80"/>
      <c r="AO664" s="82" t="n">
        <f aca="false">IF(E664="","",(AA664&lt;&gt;"")+(AG664&lt;&gt;"")+(AL664&lt;&gt;""))</f>
        <v>0</v>
      </c>
      <c r="AP664" s="82" t="str">
        <f aca="false">IF(AL664&lt;&gt;"",AL664,IF(AG664&lt;&gt;"",AG664,IF(AA664&lt;&gt;"",AA664,"")))</f>
        <v/>
      </c>
      <c r="AQ664" s="84" t="str">
        <f aca="false">IF(E664="","",IF(U664="","À SOUDER",IF(X664="","VT EN ATTENTE",IF(X664="R","VT REJETÉ – À REPRENDRE",IF(AP664="","À RADIOGRAPHIER",IF(AP664="A","ACCEPTÉ",IF(AP664="NX","NX – RT À REFAIRE",IF(IF(AO664=1,AD664,IF(AO664=2,AI664,""))="A","RÉPARÉ – À RADIOGRAPHIER",IF(IF(AO664=1,AD664,IF(AO664=2,AI664,""))="R","VT REJETÉ – À REPRENDRE",IF(OR(AP664="CO",AP664="NT"),"COUPE – À RESOUDER","À RÉPARER"))))))))))</f>
        <v>À SOUDER</v>
      </c>
      <c r="AR664" s="82" t="str">
        <f aca="false">IF(AND(ISNUMBER(U664),OR(AQ664="À RADIOGRAPHIER",AQ664="RÉPARÉ – À RADIOGRAPHIER",AQ664="NX – RT À REFAIRE",AQ664="À RÉPARER",AQ664="COUPE – À RESOUDER",AQ664="VT REJETÉ – À REPRENDRE")),MAX(0,'PROGRAMME RT'!$C$4-U664),"")</f>
        <v/>
      </c>
      <c r="AS664" s="82" t="n">
        <f aca="false">IF(AND(OR(AQ664="À RADIOGRAPHIER",AQ664="RÉPARÉ – À RADIOGRAPHIER",AQ664="NX – RT À REFAIRE"),OR('PROGRAMME RT'!$D$5="TOUTES",B664='PROGRAMME RT'!$D$5)),1,0)</f>
        <v>0</v>
      </c>
      <c r="AT664" s="82" t="str">
        <f aca="false">IF(AS664=1,SUM(AS$7:AS664),"")</f>
        <v/>
      </c>
      <c r="AU664" s="82" t="n">
        <f aca="false">IF(AND(OR(AA664="R",AA664="NX",AA664="NT",AA664="CO"),OR('JOINTS DE RÉPARATION'!$D$5="TOUTES",B664='JOINTS DE RÉPARATION'!$D$5),OR('JOINTS DE RÉPARATION'!$L$4="TOUS",AQ664&lt;&gt;"ACCEPTÉ")),1,0)</f>
        <v>0</v>
      </c>
      <c r="AV664" s="82" t="str">
        <f aca="false">IF(AU664=1,SUM(AU$7:AU664),"")</f>
        <v/>
      </c>
      <c r="AW664" s="82" t="str">
        <f aca="false">IF(E664="","",B664&amp;"|"&amp;E664)</f>
        <v>MFD-ISW → MFD-CPF|JN°658</v>
      </c>
    </row>
    <row r="665" customFormat="false" ht="74.6" hidden="false" customHeight="false" outlineLevel="0" collapsed="false">
      <c r="A665" s="79" t="n">
        <f aca="false">IF(E665="","",ROW()-6)</f>
        <v>659</v>
      </c>
      <c r="B665" s="80" t="s">
        <v>110</v>
      </c>
      <c r="C665" s="81"/>
      <c r="D665" s="81"/>
      <c r="E665" s="81" t="s">
        <v>769</v>
      </c>
      <c r="F665" s="82" t="str">
        <f aca="false">IF(E665="","",IF(LEFT(E665,2)="DJ","DJ","JN"))</f>
        <v>JN</v>
      </c>
      <c r="G665" s="81"/>
      <c r="H665" s="81"/>
      <c r="I665" s="81"/>
      <c r="J665" s="81"/>
      <c r="K665" s="81"/>
      <c r="L665" s="81"/>
      <c r="M665" s="81"/>
      <c r="N665" s="81"/>
      <c r="O665" s="81"/>
      <c r="P665" s="81"/>
      <c r="Q665" s="81"/>
      <c r="R665" s="81"/>
      <c r="S665" s="81"/>
      <c r="T665" s="81"/>
      <c r="U665" s="83"/>
      <c r="V665" s="83"/>
      <c r="W665" s="81"/>
      <c r="X665" s="81"/>
      <c r="Y665" s="83"/>
      <c r="Z665" s="81"/>
      <c r="AA665" s="81"/>
      <c r="AB665" s="81"/>
      <c r="AC665" s="81"/>
      <c r="AD665" s="81"/>
      <c r="AE665" s="83"/>
      <c r="AF665" s="81"/>
      <c r="AG665" s="81"/>
      <c r="AH665" s="81"/>
      <c r="AI665" s="81"/>
      <c r="AJ665" s="83"/>
      <c r="AK665" s="81"/>
      <c r="AL665" s="81"/>
      <c r="AM665" s="83"/>
      <c r="AN665" s="80"/>
      <c r="AO665" s="82" t="n">
        <f aca="false">IF(E665="","",(AA665&lt;&gt;"")+(AG665&lt;&gt;"")+(AL665&lt;&gt;""))</f>
        <v>0</v>
      </c>
      <c r="AP665" s="82" t="str">
        <f aca="false">IF(AL665&lt;&gt;"",AL665,IF(AG665&lt;&gt;"",AG665,IF(AA665&lt;&gt;"",AA665,"")))</f>
        <v/>
      </c>
      <c r="AQ665" s="84" t="str">
        <f aca="false">IF(E665="","",IF(U665="","À SOUDER",IF(X665="","VT EN ATTENTE",IF(X665="R","VT REJETÉ – À REPRENDRE",IF(AP665="","À RADIOGRAPHIER",IF(AP665="A","ACCEPTÉ",IF(AP665="NX","NX – RT À REFAIRE",IF(IF(AO665=1,AD665,IF(AO665=2,AI665,""))="A","RÉPARÉ – À RADIOGRAPHIER",IF(IF(AO665=1,AD665,IF(AO665=2,AI665,""))="R","VT REJETÉ – À REPRENDRE",IF(OR(AP665="CO",AP665="NT"),"COUPE – À RESOUDER","À RÉPARER"))))))))))</f>
        <v>À SOUDER</v>
      </c>
      <c r="AR665" s="82" t="str">
        <f aca="false">IF(AND(ISNUMBER(U665),OR(AQ665="À RADIOGRAPHIER",AQ665="RÉPARÉ – À RADIOGRAPHIER",AQ665="NX – RT À REFAIRE",AQ665="À RÉPARER",AQ665="COUPE – À RESOUDER",AQ665="VT REJETÉ – À REPRENDRE")),MAX(0,'PROGRAMME RT'!$C$4-U665),"")</f>
        <v/>
      </c>
      <c r="AS665" s="82" t="n">
        <f aca="false">IF(AND(OR(AQ665="À RADIOGRAPHIER",AQ665="RÉPARÉ – À RADIOGRAPHIER",AQ665="NX – RT À REFAIRE"),OR('PROGRAMME RT'!$D$5="TOUTES",B665='PROGRAMME RT'!$D$5)),1,0)</f>
        <v>0</v>
      </c>
      <c r="AT665" s="82" t="str">
        <f aca="false">IF(AS665=1,SUM(AS$7:AS665),"")</f>
        <v/>
      </c>
      <c r="AU665" s="82" t="n">
        <f aca="false">IF(AND(OR(AA665="R",AA665="NX",AA665="NT",AA665="CO"),OR('JOINTS DE RÉPARATION'!$D$5="TOUTES",B665='JOINTS DE RÉPARATION'!$D$5),OR('JOINTS DE RÉPARATION'!$L$4="TOUS",AQ665&lt;&gt;"ACCEPTÉ")),1,0)</f>
        <v>0</v>
      </c>
      <c r="AV665" s="82" t="str">
        <f aca="false">IF(AU665=1,SUM(AU$7:AU665),"")</f>
        <v/>
      </c>
      <c r="AW665" s="82" t="str">
        <f aca="false">IF(E665="","",B665&amp;"|"&amp;E665)</f>
        <v>MFD-ISW → MFD-CPF|JN°659</v>
      </c>
    </row>
    <row r="666" customFormat="false" ht="74.6" hidden="false" customHeight="false" outlineLevel="0" collapsed="false">
      <c r="A666" s="79" t="n">
        <f aca="false">IF(E666="","",ROW()-6)</f>
        <v>660</v>
      </c>
      <c r="B666" s="80" t="s">
        <v>110</v>
      </c>
      <c r="C666" s="81"/>
      <c r="D666" s="81"/>
      <c r="E666" s="81" t="s">
        <v>770</v>
      </c>
      <c r="F666" s="82" t="str">
        <f aca="false">IF(E666="","",IF(LEFT(E666,2)="DJ","DJ","JN"))</f>
        <v>JN</v>
      </c>
      <c r="G666" s="81"/>
      <c r="H666" s="81"/>
      <c r="I666" s="81"/>
      <c r="J666" s="81"/>
      <c r="K666" s="81"/>
      <c r="L666" s="81"/>
      <c r="M666" s="81"/>
      <c r="N666" s="81"/>
      <c r="O666" s="81"/>
      <c r="P666" s="81"/>
      <c r="Q666" s="81"/>
      <c r="R666" s="81"/>
      <c r="S666" s="81"/>
      <c r="T666" s="81"/>
      <c r="U666" s="83"/>
      <c r="V666" s="83"/>
      <c r="W666" s="81"/>
      <c r="X666" s="81"/>
      <c r="Y666" s="83"/>
      <c r="Z666" s="81"/>
      <c r="AA666" s="81"/>
      <c r="AB666" s="81"/>
      <c r="AC666" s="81"/>
      <c r="AD666" s="81"/>
      <c r="AE666" s="83"/>
      <c r="AF666" s="81"/>
      <c r="AG666" s="81"/>
      <c r="AH666" s="81"/>
      <c r="AI666" s="81"/>
      <c r="AJ666" s="83"/>
      <c r="AK666" s="81"/>
      <c r="AL666" s="81"/>
      <c r="AM666" s="83"/>
      <c r="AN666" s="80"/>
      <c r="AO666" s="82" t="n">
        <f aca="false">IF(E666="","",(AA666&lt;&gt;"")+(AG666&lt;&gt;"")+(AL666&lt;&gt;""))</f>
        <v>0</v>
      </c>
      <c r="AP666" s="82" t="str">
        <f aca="false">IF(AL666&lt;&gt;"",AL666,IF(AG666&lt;&gt;"",AG666,IF(AA666&lt;&gt;"",AA666,"")))</f>
        <v/>
      </c>
      <c r="AQ666" s="84" t="str">
        <f aca="false">IF(E666="","",IF(U666="","À SOUDER",IF(X666="","VT EN ATTENTE",IF(X666="R","VT REJETÉ – À REPRENDRE",IF(AP666="","À RADIOGRAPHIER",IF(AP666="A","ACCEPTÉ",IF(AP666="NX","NX – RT À REFAIRE",IF(IF(AO666=1,AD666,IF(AO666=2,AI666,""))="A","RÉPARÉ – À RADIOGRAPHIER",IF(IF(AO666=1,AD666,IF(AO666=2,AI666,""))="R","VT REJETÉ – À REPRENDRE",IF(OR(AP666="CO",AP666="NT"),"COUPE – À RESOUDER","À RÉPARER"))))))))))</f>
        <v>À SOUDER</v>
      </c>
      <c r="AR666" s="82" t="str">
        <f aca="false">IF(AND(ISNUMBER(U666),OR(AQ666="À RADIOGRAPHIER",AQ666="RÉPARÉ – À RADIOGRAPHIER",AQ666="NX – RT À REFAIRE",AQ666="À RÉPARER",AQ666="COUPE – À RESOUDER",AQ666="VT REJETÉ – À REPRENDRE")),MAX(0,'PROGRAMME RT'!$C$4-U666),"")</f>
        <v/>
      </c>
      <c r="AS666" s="82" t="n">
        <f aca="false">IF(AND(OR(AQ666="À RADIOGRAPHIER",AQ666="RÉPARÉ – À RADIOGRAPHIER",AQ666="NX – RT À REFAIRE"),OR('PROGRAMME RT'!$D$5="TOUTES",B666='PROGRAMME RT'!$D$5)),1,0)</f>
        <v>0</v>
      </c>
      <c r="AT666" s="82" t="str">
        <f aca="false">IF(AS666=1,SUM(AS$7:AS666),"")</f>
        <v/>
      </c>
      <c r="AU666" s="82" t="n">
        <f aca="false">IF(AND(OR(AA666="R",AA666="NX",AA666="NT",AA666="CO"),OR('JOINTS DE RÉPARATION'!$D$5="TOUTES",B666='JOINTS DE RÉPARATION'!$D$5),OR('JOINTS DE RÉPARATION'!$L$4="TOUS",AQ666&lt;&gt;"ACCEPTÉ")),1,0)</f>
        <v>0</v>
      </c>
      <c r="AV666" s="82" t="str">
        <f aca="false">IF(AU666=1,SUM(AU$7:AU666),"")</f>
        <v/>
      </c>
      <c r="AW666" s="82" t="str">
        <f aca="false">IF(E666="","",B666&amp;"|"&amp;E666)</f>
        <v>MFD-ISW → MFD-CPF|JN°660</v>
      </c>
    </row>
    <row r="667" customFormat="false" ht="74.6" hidden="false" customHeight="false" outlineLevel="0" collapsed="false">
      <c r="A667" s="79" t="n">
        <f aca="false">IF(E667="","",ROW()-6)</f>
        <v>661</v>
      </c>
      <c r="B667" s="80" t="s">
        <v>110</v>
      </c>
      <c r="C667" s="81"/>
      <c r="D667" s="81"/>
      <c r="E667" s="81" t="s">
        <v>771</v>
      </c>
      <c r="F667" s="82" t="str">
        <f aca="false">IF(E667="","",IF(LEFT(E667,2)="DJ","DJ","JN"))</f>
        <v>JN</v>
      </c>
      <c r="G667" s="81"/>
      <c r="H667" s="81"/>
      <c r="I667" s="81"/>
      <c r="J667" s="81"/>
      <c r="K667" s="81"/>
      <c r="L667" s="81"/>
      <c r="M667" s="81"/>
      <c r="N667" s="81"/>
      <c r="O667" s="81"/>
      <c r="P667" s="81"/>
      <c r="Q667" s="81"/>
      <c r="R667" s="81"/>
      <c r="S667" s="81"/>
      <c r="T667" s="81"/>
      <c r="U667" s="83"/>
      <c r="V667" s="83"/>
      <c r="W667" s="81"/>
      <c r="X667" s="81"/>
      <c r="Y667" s="83"/>
      <c r="Z667" s="81"/>
      <c r="AA667" s="81"/>
      <c r="AB667" s="81"/>
      <c r="AC667" s="81"/>
      <c r="AD667" s="81"/>
      <c r="AE667" s="83"/>
      <c r="AF667" s="81"/>
      <c r="AG667" s="81"/>
      <c r="AH667" s="81"/>
      <c r="AI667" s="81"/>
      <c r="AJ667" s="83"/>
      <c r="AK667" s="81"/>
      <c r="AL667" s="81"/>
      <c r="AM667" s="83"/>
      <c r="AN667" s="80"/>
      <c r="AO667" s="82" t="n">
        <f aca="false">IF(E667="","",(AA667&lt;&gt;"")+(AG667&lt;&gt;"")+(AL667&lt;&gt;""))</f>
        <v>0</v>
      </c>
      <c r="AP667" s="82" t="str">
        <f aca="false">IF(AL667&lt;&gt;"",AL667,IF(AG667&lt;&gt;"",AG667,IF(AA667&lt;&gt;"",AA667,"")))</f>
        <v/>
      </c>
      <c r="AQ667" s="84" t="str">
        <f aca="false">IF(E667="","",IF(U667="","À SOUDER",IF(X667="","VT EN ATTENTE",IF(X667="R","VT REJETÉ – À REPRENDRE",IF(AP667="","À RADIOGRAPHIER",IF(AP667="A","ACCEPTÉ",IF(AP667="NX","NX – RT À REFAIRE",IF(IF(AO667=1,AD667,IF(AO667=2,AI667,""))="A","RÉPARÉ – À RADIOGRAPHIER",IF(IF(AO667=1,AD667,IF(AO667=2,AI667,""))="R","VT REJETÉ – À REPRENDRE",IF(OR(AP667="CO",AP667="NT"),"COUPE – À RESOUDER","À RÉPARER"))))))))))</f>
        <v>À SOUDER</v>
      </c>
      <c r="AR667" s="82" t="str">
        <f aca="false">IF(AND(ISNUMBER(U667),OR(AQ667="À RADIOGRAPHIER",AQ667="RÉPARÉ – À RADIOGRAPHIER",AQ667="NX – RT À REFAIRE",AQ667="À RÉPARER",AQ667="COUPE – À RESOUDER",AQ667="VT REJETÉ – À REPRENDRE")),MAX(0,'PROGRAMME RT'!$C$4-U667),"")</f>
        <v/>
      </c>
      <c r="AS667" s="82" t="n">
        <f aca="false">IF(AND(OR(AQ667="À RADIOGRAPHIER",AQ667="RÉPARÉ – À RADIOGRAPHIER",AQ667="NX – RT À REFAIRE"),OR('PROGRAMME RT'!$D$5="TOUTES",B667='PROGRAMME RT'!$D$5)),1,0)</f>
        <v>0</v>
      </c>
      <c r="AT667" s="82" t="str">
        <f aca="false">IF(AS667=1,SUM(AS$7:AS667),"")</f>
        <v/>
      </c>
      <c r="AU667" s="82" t="n">
        <f aca="false">IF(AND(OR(AA667="R",AA667="NX",AA667="NT",AA667="CO"),OR('JOINTS DE RÉPARATION'!$D$5="TOUTES",B667='JOINTS DE RÉPARATION'!$D$5),OR('JOINTS DE RÉPARATION'!$L$4="TOUS",AQ667&lt;&gt;"ACCEPTÉ")),1,0)</f>
        <v>0</v>
      </c>
      <c r="AV667" s="82" t="str">
        <f aca="false">IF(AU667=1,SUM(AU$7:AU667),"")</f>
        <v/>
      </c>
      <c r="AW667" s="82" t="str">
        <f aca="false">IF(E667="","",B667&amp;"|"&amp;E667)</f>
        <v>MFD-ISW → MFD-CPF|JN°661</v>
      </c>
    </row>
    <row r="668" customFormat="false" ht="74.6" hidden="false" customHeight="false" outlineLevel="0" collapsed="false">
      <c r="A668" s="79" t="n">
        <f aca="false">IF(E668="","",ROW()-6)</f>
        <v>662</v>
      </c>
      <c r="B668" s="80" t="s">
        <v>110</v>
      </c>
      <c r="C668" s="81"/>
      <c r="D668" s="81"/>
      <c r="E668" s="81" t="s">
        <v>772</v>
      </c>
      <c r="F668" s="82" t="str">
        <f aca="false">IF(E668="","",IF(LEFT(E668,2)="DJ","DJ","JN"))</f>
        <v>JN</v>
      </c>
      <c r="G668" s="81"/>
      <c r="H668" s="81"/>
      <c r="I668" s="81"/>
      <c r="J668" s="81"/>
      <c r="K668" s="81"/>
      <c r="L668" s="81"/>
      <c r="M668" s="81"/>
      <c r="N668" s="81"/>
      <c r="O668" s="81"/>
      <c r="P668" s="81"/>
      <c r="Q668" s="81"/>
      <c r="R668" s="81"/>
      <c r="S668" s="81"/>
      <c r="T668" s="81"/>
      <c r="U668" s="83"/>
      <c r="V668" s="83"/>
      <c r="W668" s="81"/>
      <c r="X668" s="81"/>
      <c r="Y668" s="83"/>
      <c r="Z668" s="81"/>
      <c r="AA668" s="81"/>
      <c r="AB668" s="81"/>
      <c r="AC668" s="81"/>
      <c r="AD668" s="81"/>
      <c r="AE668" s="83"/>
      <c r="AF668" s="81"/>
      <c r="AG668" s="81"/>
      <c r="AH668" s="81"/>
      <c r="AI668" s="81"/>
      <c r="AJ668" s="83"/>
      <c r="AK668" s="81"/>
      <c r="AL668" s="81"/>
      <c r="AM668" s="83"/>
      <c r="AN668" s="80"/>
      <c r="AO668" s="82" t="n">
        <f aca="false">IF(E668="","",(AA668&lt;&gt;"")+(AG668&lt;&gt;"")+(AL668&lt;&gt;""))</f>
        <v>0</v>
      </c>
      <c r="AP668" s="82" t="str">
        <f aca="false">IF(AL668&lt;&gt;"",AL668,IF(AG668&lt;&gt;"",AG668,IF(AA668&lt;&gt;"",AA668,"")))</f>
        <v/>
      </c>
      <c r="AQ668" s="84" t="str">
        <f aca="false">IF(E668="","",IF(U668="","À SOUDER",IF(X668="","VT EN ATTENTE",IF(X668="R","VT REJETÉ – À REPRENDRE",IF(AP668="","À RADIOGRAPHIER",IF(AP668="A","ACCEPTÉ",IF(AP668="NX","NX – RT À REFAIRE",IF(IF(AO668=1,AD668,IF(AO668=2,AI668,""))="A","RÉPARÉ – À RADIOGRAPHIER",IF(IF(AO668=1,AD668,IF(AO668=2,AI668,""))="R","VT REJETÉ – À REPRENDRE",IF(OR(AP668="CO",AP668="NT"),"COUPE – À RESOUDER","À RÉPARER"))))))))))</f>
        <v>À SOUDER</v>
      </c>
      <c r="AR668" s="82" t="str">
        <f aca="false">IF(AND(ISNUMBER(U668),OR(AQ668="À RADIOGRAPHIER",AQ668="RÉPARÉ – À RADIOGRAPHIER",AQ668="NX – RT À REFAIRE",AQ668="À RÉPARER",AQ668="COUPE – À RESOUDER",AQ668="VT REJETÉ – À REPRENDRE")),MAX(0,'PROGRAMME RT'!$C$4-U668),"")</f>
        <v/>
      </c>
      <c r="AS668" s="82" t="n">
        <f aca="false">IF(AND(OR(AQ668="À RADIOGRAPHIER",AQ668="RÉPARÉ – À RADIOGRAPHIER",AQ668="NX – RT À REFAIRE"),OR('PROGRAMME RT'!$D$5="TOUTES",B668='PROGRAMME RT'!$D$5)),1,0)</f>
        <v>0</v>
      </c>
      <c r="AT668" s="82" t="str">
        <f aca="false">IF(AS668=1,SUM(AS$7:AS668),"")</f>
        <v/>
      </c>
      <c r="AU668" s="82" t="n">
        <f aca="false">IF(AND(OR(AA668="R",AA668="NX",AA668="NT",AA668="CO"),OR('JOINTS DE RÉPARATION'!$D$5="TOUTES",B668='JOINTS DE RÉPARATION'!$D$5),OR('JOINTS DE RÉPARATION'!$L$4="TOUS",AQ668&lt;&gt;"ACCEPTÉ")),1,0)</f>
        <v>0</v>
      </c>
      <c r="AV668" s="82" t="str">
        <f aca="false">IF(AU668=1,SUM(AU$7:AU668),"")</f>
        <v/>
      </c>
      <c r="AW668" s="82" t="str">
        <f aca="false">IF(E668="","",B668&amp;"|"&amp;E668)</f>
        <v>MFD-ISW → MFD-CPF|JN°662</v>
      </c>
    </row>
    <row r="669" customFormat="false" ht="74.6" hidden="false" customHeight="false" outlineLevel="0" collapsed="false">
      <c r="A669" s="79" t="n">
        <f aca="false">IF(E669="","",ROW()-6)</f>
        <v>663</v>
      </c>
      <c r="B669" s="80" t="s">
        <v>110</v>
      </c>
      <c r="C669" s="81"/>
      <c r="D669" s="81"/>
      <c r="E669" s="81" t="s">
        <v>773</v>
      </c>
      <c r="F669" s="82" t="str">
        <f aca="false">IF(E669="","",IF(LEFT(E669,2)="DJ","DJ","JN"))</f>
        <v>JN</v>
      </c>
      <c r="G669" s="81"/>
      <c r="H669" s="81"/>
      <c r="I669" s="81"/>
      <c r="J669" s="81"/>
      <c r="K669" s="81"/>
      <c r="L669" s="81"/>
      <c r="M669" s="81"/>
      <c r="N669" s="81"/>
      <c r="O669" s="81"/>
      <c r="P669" s="81"/>
      <c r="Q669" s="81"/>
      <c r="R669" s="81"/>
      <c r="S669" s="81"/>
      <c r="T669" s="81"/>
      <c r="U669" s="83"/>
      <c r="V669" s="83"/>
      <c r="W669" s="81"/>
      <c r="X669" s="81"/>
      <c r="Y669" s="83"/>
      <c r="Z669" s="81"/>
      <c r="AA669" s="81"/>
      <c r="AB669" s="81"/>
      <c r="AC669" s="81"/>
      <c r="AD669" s="81"/>
      <c r="AE669" s="83"/>
      <c r="AF669" s="81"/>
      <c r="AG669" s="81"/>
      <c r="AH669" s="81"/>
      <c r="AI669" s="81"/>
      <c r="AJ669" s="83"/>
      <c r="AK669" s="81"/>
      <c r="AL669" s="81"/>
      <c r="AM669" s="83"/>
      <c r="AN669" s="80"/>
      <c r="AO669" s="82" t="n">
        <f aca="false">IF(E669="","",(AA669&lt;&gt;"")+(AG669&lt;&gt;"")+(AL669&lt;&gt;""))</f>
        <v>0</v>
      </c>
      <c r="AP669" s="82" t="str">
        <f aca="false">IF(AL669&lt;&gt;"",AL669,IF(AG669&lt;&gt;"",AG669,IF(AA669&lt;&gt;"",AA669,"")))</f>
        <v/>
      </c>
      <c r="AQ669" s="84" t="str">
        <f aca="false">IF(E669="","",IF(U669="","À SOUDER",IF(X669="","VT EN ATTENTE",IF(X669="R","VT REJETÉ – À REPRENDRE",IF(AP669="","À RADIOGRAPHIER",IF(AP669="A","ACCEPTÉ",IF(AP669="NX","NX – RT À REFAIRE",IF(IF(AO669=1,AD669,IF(AO669=2,AI669,""))="A","RÉPARÉ – À RADIOGRAPHIER",IF(IF(AO669=1,AD669,IF(AO669=2,AI669,""))="R","VT REJETÉ – À REPRENDRE",IF(OR(AP669="CO",AP669="NT"),"COUPE – À RESOUDER","À RÉPARER"))))))))))</f>
        <v>À SOUDER</v>
      </c>
      <c r="AR669" s="82" t="str">
        <f aca="false">IF(AND(ISNUMBER(U669),OR(AQ669="À RADIOGRAPHIER",AQ669="RÉPARÉ – À RADIOGRAPHIER",AQ669="NX – RT À REFAIRE",AQ669="À RÉPARER",AQ669="COUPE – À RESOUDER",AQ669="VT REJETÉ – À REPRENDRE")),MAX(0,'PROGRAMME RT'!$C$4-U669),"")</f>
        <v/>
      </c>
      <c r="AS669" s="82" t="n">
        <f aca="false">IF(AND(OR(AQ669="À RADIOGRAPHIER",AQ669="RÉPARÉ – À RADIOGRAPHIER",AQ669="NX – RT À REFAIRE"),OR('PROGRAMME RT'!$D$5="TOUTES",B669='PROGRAMME RT'!$D$5)),1,0)</f>
        <v>0</v>
      </c>
      <c r="AT669" s="82" t="str">
        <f aca="false">IF(AS669=1,SUM(AS$7:AS669),"")</f>
        <v/>
      </c>
      <c r="AU669" s="82" t="n">
        <f aca="false">IF(AND(OR(AA669="R",AA669="NX",AA669="NT",AA669="CO"),OR('JOINTS DE RÉPARATION'!$D$5="TOUTES",B669='JOINTS DE RÉPARATION'!$D$5),OR('JOINTS DE RÉPARATION'!$L$4="TOUS",AQ669&lt;&gt;"ACCEPTÉ")),1,0)</f>
        <v>0</v>
      </c>
      <c r="AV669" s="82" t="str">
        <f aca="false">IF(AU669=1,SUM(AU$7:AU669),"")</f>
        <v/>
      </c>
      <c r="AW669" s="82" t="str">
        <f aca="false">IF(E669="","",B669&amp;"|"&amp;E669)</f>
        <v>MFD-ISW → MFD-CPF|JN°663</v>
      </c>
    </row>
    <row r="670" customFormat="false" ht="74.6" hidden="false" customHeight="false" outlineLevel="0" collapsed="false">
      <c r="A670" s="79" t="n">
        <f aca="false">IF(E670="","",ROW()-6)</f>
        <v>664</v>
      </c>
      <c r="B670" s="80" t="s">
        <v>110</v>
      </c>
      <c r="C670" s="81"/>
      <c r="D670" s="81"/>
      <c r="E670" s="81" t="s">
        <v>774</v>
      </c>
      <c r="F670" s="82" t="str">
        <f aca="false">IF(E670="","",IF(LEFT(E670,2)="DJ","DJ","JN"))</f>
        <v>JN</v>
      </c>
      <c r="G670" s="81"/>
      <c r="H670" s="81"/>
      <c r="I670" s="81"/>
      <c r="J670" s="81"/>
      <c r="K670" s="81"/>
      <c r="L670" s="81"/>
      <c r="M670" s="81"/>
      <c r="N670" s="81"/>
      <c r="O670" s="81"/>
      <c r="P670" s="81"/>
      <c r="Q670" s="81"/>
      <c r="R670" s="81"/>
      <c r="S670" s="81"/>
      <c r="T670" s="81"/>
      <c r="U670" s="83"/>
      <c r="V670" s="83"/>
      <c r="W670" s="81"/>
      <c r="X670" s="81"/>
      <c r="Y670" s="83"/>
      <c r="Z670" s="81"/>
      <c r="AA670" s="81"/>
      <c r="AB670" s="81"/>
      <c r="AC670" s="81"/>
      <c r="AD670" s="81"/>
      <c r="AE670" s="83"/>
      <c r="AF670" s="81"/>
      <c r="AG670" s="81"/>
      <c r="AH670" s="81"/>
      <c r="AI670" s="81"/>
      <c r="AJ670" s="83"/>
      <c r="AK670" s="81"/>
      <c r="AL670" s="81"/>
      <c r="AM670" s="83"/>
      <c r="AN670" s="80"/>
      <c r="AO670" s="82" t="n">
        <f aca="false">IF(E670="","",(AA670&lt;&gt;"")+(AG670&lt;&gt;"")+(AL670&lt;&gt;""))</f>
        <v>0</v>
      </c>
      <c r="AP670" s="82" t="str">
        <f aca="false">IF(AL670&lt;&gt;"",AL670,IF(AG670&lt;&gt;"",AG670,IF(AA670&lt;&gt;"",AA670,"")))</f>
        <v/>
      </c>
      <c r="AQ670" s="84" t="str">
        <f aca="false">IF(E670="","",IF(U670="","À SOUDER",IF(X670="","VT EN ATTENTE",IF(X670="R","VT REJETÉ – À REPRENDRE",IF(AP670="","À RADIOGRAPHIER",IF(AP670="A","ACCEPTÉ",IF(AP670="NX","NX – RT À REFAIRE",IF(IF(AO670=1,AD670,IF(AO670=2,AI670,""))="A","RÉPARÉ – À RADIOGRAPHIER",IF(IF(AO670=1,AD670,IF(AO670=2,AI670,""))="R","VT REJETÉ – À REPRENDRE",IF(OR(AP670="CO",AP670="NT"),"COUPE – À RESOUDER","À RÉPARER"))))))))))</f>
        <v>À SOUDER</v>
      </c>
      <c r="AR670" s="82" t="str">
        <f aca="false">IF(AND(ISNUMBER(U670),OR(AQ670="À RADIOGRAPHIER",AQ670="RÉPARÉ – À RADIOGRAPHIER",AQ670="NX – RT À REFAIRE",AQ670="À RÉPARER",AQ670="COUPE – À RESOUDER",AQ670="VT REJETÉ – À REPRENDRE")),MAX(0,'PROGRAMME RT'!$C$4-U670),"")</f>
        <v/>
      </c>
      <c r="AS670" s="82" t="n">
        <f aca="false">IF(AND(OR(AQ670="À RADIOGRAPHIER",AQ670="RÉPARÉ – À RADIOGRAPHIER",AQ670="NX – RT À REFAIRE"),OR('PROGRAMME RT'!$D$5="TOUTES",B670='PROGRAMME RT'!$D$5)),1,0)</f>
        <v>0</v>
      </c>
      <c r="AT670" s="82" t="str">
        <f aca="false">IF(AS670=1,SUM(AS$7:AS670),"")</f>
        <v/>
      </c>
      <c r="AU670" s="82" t="n">
        <f aca="false">IF(AND(OR(AA670="R",AA670="NX",AA670="NT",AA670="CO"),OR('JOINTS DE RÉPARATION'!$D$5="TOUTES",B670='JOINTS DE RÉPARATION'!$D$5),OR('JOINTS DE RÉPARATION'!$L$4="TOUS",AQ670&lt;&gt;"ACCEPTÉ")),1,0)</f>
        <v>0</v>
      </c>
      <c r="AV670" s="82" t="str">
        <f aca="false">IF(AU670=1,SUM(AU$7:AU670),"")</f>
        <v/>
      </c>
      <c r="AW670" s="82" t="str">
        <f aca="false">IF(E670="","",B670&amp;"|"&amp;E670)</f>
        <v>MFD-ISW → MFD-CPF|JN°664</v>
      </c>
    </row>
    <row r="671" customFormat="false" ht="74.6" hidden="false" customHeight="false" outlineLevel="0" collapsed="false">
      <c r="A671" s="79" t="n">
        <f aca="false">IF(E671="","",ROW()-6)</f>
        <v>665</v>
      </c>
      <c r="B671" s="80" t="s">
        <v>110</v>
      </c>
      <c r="C671" s="81"/>
      <c r="D671" s="81"/>
      <c r="E671" s="81" t="s">
        <v>775</v>
      </c>
      <c r="F671" s="82" t="str">
        <f aca="false">IF(E671="","",IF(LEFT(E671,2)="DJ","DJ","JN"))</f>
        <v>JN</v>
      </c>
      <c r="G671" s="81"/>
      <c r="H671" s="81"/>
      <c r="I671" s="81"/>
      <c r="J671" s="81"/>
      <c r="K671" s="81"/>
      <c r="L671" s="81"/>
      <c r="M671" s="81"/>
      <c r="N671" s="81"/>
      <c r="O671" s="81"/>
      <c r="P671" s="81"/>
      <c r="Q671" s="81"/>
      <c r="R671" s="81"/>
      <c r="S671" s="81"/>
      <c r="T671" s="81"/>
      <c r="U671" s="83"/>
      <c r="V671" s="83"/>
      <c r="W671" s="81"/>
      <c r="X671" s="81"/>
      <c r="Y671" s="83"/>
      <c r="Z671" s="81"/>
      <c r="AA671" s="81"/>
      <c r="AB671" s="81"/>
      <c r="AC671" s="81"/>
      <c r="AD671" s="81"/>
      <c r="AE671" s="83"/>
      <c r="AF671" s="81"/>
      <c r="AG671" s="81"/>
      <c r="AH671" s="81"/>
      <c r="AI671" s="81"/>
      <c r="AJ671" s="83"/>
      <c r="AK671" s="81"/>
      <c r="AL671" s="81"/>
      <c r="AM671" s="83"/>
      <c r="AN671" s="80"/>
      <c r="AO671" s="82" t="n">
        <f aca="false">IF(E671="","",(AA671&lt;&gt;"")+(AG671&lt;&gt;"")+(AL671&lt;&gt;""))</f>
        <v>0</v>
      </c>
      <c r="AP671" s="82" t="str">
        <f aca="false">IF(AL671&lt;&gt;"",AL671,IF(AG671&lt;&gt;"",AG671,IF(AA671&lt;&gt;"",AA671,"")))</f>
        <v/>
      </c>
      <c r="AQ671" s="84" t="str">
        <f aca="false">IF(E671="","",IF(U671="","À SOUDER",IF(X671="","VT EN ATTENTE",IF(X671="R","VT REJETÉ – À REPRENDRE",IF(AP671="","À RADIOGRAPHIER",IF(AP671="A","ACCEPTÉ",IF(AP671="NX","NX – RT À REFAIRE",IF(IF(AO671=1,AD671,IF(AO671=2,AI671,""))="A","RÉPARÉ – À RADIOGRAPHIER",IF(IF(AO671=1,AD671,IF(AO671=2,AI671,""))="R","VT REJETÉ – À REPRENDRE",IF(OR(AP671="CO",AP671="NT"),"COUPE – À RESOUDER","À RÉPARER"))))))))))</f>
        <v>À SOUDER</v>
      </c>
      <c r="AR671" s="82" t="str">
        <f aca="false">IF(AND(ISNUMBER(U671),OR(AQ671="À RADIOGRAPHIER",AQ671="RÉPARÉ – À RADIOGRAPHIER",AQ671="NX – RT À REFAIRE",AQ671="À RÉPARER",AQ671="COUPE – À RESOUDER",AQ671="VT REJETÉ – À REPRENDRE")),MAX(0,'PROGRAMME RT'!$C$4-U671),"")</f>
        <v/>
      </c>
      <c r="AS671" s="82" t="n">
        <f aca="false">IF(AND(OR(AQ671="À RADIOGRAPHIER",AQ671="RÉPARÉ – À RADIOGRAPHIER",AQ671="NX – RT À REFAIRE"),OR('PROGRAMME RT'!$D$5="TOUTES",B671='PROGRAMME RT'!$D$5)),1,0)</f>
        <v>0</v>
      </c>
      <c r="AT671" s="82" t="str">
        <f aca="false">IF(AS671=1,SUM(AS$7:AS671),"")</f>
        <v/>
      </c>
      <c r="AU671" s="82" t="n">
        <f aca="false">IF(AND(OR(AA671="R",AA671="NX",AA671="NT",AA671="CO"),OR('JOINTS DE RÉPARATION'!$D$5="TOUTES",B671='JOINTS DE RÉPARATION'!$D$5),OR('JOINTS DE RÉPARATION'!$L$4="TOUS",AQ671&lt;&gt;"ACCEPTÉ")),1,0)</f>
        <v>0</v>
      </c>
      <c r="AV671" s="82" t="str">
        <f aca="false">IF(AU671=1,SUM(AU$7:AU671),"")</f>
        <v/>
      </c>
      <c r="AW671" s="82" t="str">
        <f aca="false">IF(E671="","",B671&amp;"|"&amp;E671)</f>
        <v>MFD-ISW → MFD-CPF|JN°665</v>
      </c>
    </row>
    <row r="672" customFormat="false" ht="74.6" hidden="false" customHeight="false" outlineLevel="0" collapsed="false">
      <c r="A672" s="79" t="n">
        <f aca="false">IF(E672="","",ROW()-6)</f>
        <v>666</v>
      </c>
      <c r="B672" s="80" t="s">
        <v>110</v>
      </c>
      <c r="C672" s="81"/>
      <c r="D672" s="81"/>
      <c r="E672" s="81" t="s">
        <v>776</v>
      </c>
      <c r="F672" s="82" t="str">
        <f aca="false">IF(E672="","",IF(LEFT(E672,2)="DJ","DJ","JN"))</f>
        <v>JN</v>
      </c>
      <c r="G672" s="81"/>
      <c r="H672" s="81"/>
      <c r="I672" s="81"/>
      <c r="J672" s="81"/>
      <c r="K672" s="81"/>
      <c r="L672" s="81"/>
      <c r="M672" s="81"/>
      <c r="N672" s="81"/>
      <c r="O672" s="81"/>
      <c r="P672" s="81"/>
      <c r="Q672" s="81"/>
      <c r="R672" s="81"/>
      <c r="S672" s="81"/>
      <c r="T672" s="81"/>
      <c r="U672" s="83"/>
      <c r="V672" s="83"/>
      <c r="W672" s="81"/>
      <c r="X672" s="81"/>
      <c r="Y672" s="83"/>
      <c r="Z672" s="81"/>
      <c r="AA672" s="81"/>
      <c r="AB672" s="81"/>
      <c r="AC672" s="81"/>
      <c r="AD672" s="81"/>
      <c r="AE672" s="83"/>
      <c r="AF672" s="81"/>
      <c r="AG672" s="81"/>
      <c r="AH672" s="81"/>
      <c r="AI672" s="81"/>
      <c r="AJ672" s="83"/>
      <c r="AK672" s="81"/>
      <c r="AL672" s="81"/>
      <c r="AM672" s="83"/>
      <c r="AN672" s="80"/>
      <c r="AO672" s="82" t="n">
        <f aca="false">IF(E672="","",(AA672&lt;&gt;"")+(AG672&lt;&gt;"")+(AL672&lt;&gt;""))</f>
        <v>0</v>
      </c>
      <c r="AP672" s="82" t="str">
        <f aca="false">IF(AL672&lt;&gt;"",AL672,IF(AG672&lt;&gt;"",AG672,IF(AA672&lt;&gt;"",AA672,"")))</f>
        <v/>
      </c>
      <c r="AQ672" s="84" t="str">
        <f aca="false">IF(E672="","",IF(U672="","À SOUDER",IF(X672="","VT EN ATTENTE",IF(X672="R","VT REJETÉ – À REPRENDRE",IF(AP672="","À RADIOGRAPHIER",IF(AP672="A","ACCEPTÉ",IF(AP672="NX","NX – RT À REFAIRE",IF(IF(AO672=1,AD672,IF(AO672=2,AI672,""))="A","RÉPARÉ – À RADIOGRAPHIER",IF(IF(AO672=1,AD672,IF(AO672=2,AI672,""))="R","VT REJETÉ – À REPRENDRE",IF(OR(AP672="CO",AP672="NT"),"COUPE – À RESOUDER","À RÉPARER"))))))))))</f>
        <v>À SOUDER</v>
      </c>
      <c r="AR672" s="82" t="str">
        <f aca="false">IF(AND(ISNUMBER(U672),OR(AQ672="À RADIOGRAPHIER",AQ672="RÉPARÉ – À RADIOGRAPHIER",AQ672="NX – RT À REFAIRE",AQ672="À RÉPARER",AQ672="COUPE – À RESOUDER",AQ672="VT REJETÉ – À REPRENDRE")),MAX(0,'PROGRAMME RT'!$C$4-U672),"")</f>
        <v/>
      </c>
      <c r="AS672" s="82" t="n">
        <f aca="false">IF(AND(OR(AQ672="À RADIOGRAPHIER",AQ672="RÉPARÉ – À RADIOGRAPHIER",AQ672="NX – RT À REFAIRE"),OR('PROGRAMME RT'!$D$5="TOUTES",B672='PROGRAMME RT'!$D$5)),1,0)</f>
        <v>0</v>
      </c>
      <c r="AT672" s="82" t="str">
        <f aca="false">IF(AS672=1,SUM(AS$7:AS672),"")</f>
        <v/>
      </c>
      <c r="AU672" s="82" t="n">
        <f aca="false">IF(AND(OR(AA672="R",AA672="NX",AA672="NT",AA672="CO"),OR('JOINTS DE RÉPARATION'!$D$5="TOUTES",B672='JOINTS DE RÉPARATION'!$D$5),OR('JOINTS DE RÉPARATION'!$L$4="TOUS",AQ672&lt;&gt;"ACCEPTÉ")),1,0)</f>
        <v>0</v>
      </c>
      <c r="AV672" s="82" t="str">
        <f aca="false">IF(AU672=1,SUM(AU$7:AU672),"")</f>
        <v/>
      </c>
      <c r="AW672" s="82" t="str">
        <f aca="false">IF(E672="","",B672&amp;"|"&amp;E672)</f>
        <v>MFD-ISW → MFD-CPF|JN°666</v>
      </c>
    </row>
    <row r="673" customFormat="false" ht="74.6" hidden="false" customHeight="false" outlineLevel="0" collapsed="false">
      <c r="A673" s="79" t="n">
        <f aca="false">IF(E673="","",ROW()-6)</f>
        <v>667</v>
      </c>
      <c r="B673" s="80" t="s">
        <v>110</v>
      </c>
      <c r="C673" s="81"/>
      <c r="D673" s="81"/>
      <c r="E673" s="81" t="s">
        <v>777</v>
      </c>
      <c r="F673" s="82" t="str">
        <f aca="false">IF(E673="","",IF(LEFT(E673,2)="DJ","DJ","JN"))</f>
        <v>JN</v>
      </c>
      <c r="G673" s="81"/>
      <c r="H673" s="81"/>
      <c r="I673" s="81"/>
      <c r="J673" s="81"/>
      <c r="K673" s="81"/>
      <c r="L673" s="81"/>
      <c r="M673" s="81"/>
      <c r="N673" s="81"/>
      <c r="O673" s="81"/>
      <c r="P673" s="81"/>
      <c r="Q673" s="81"/>
      <c r="R673" s="81"/>
      <c r="S673" s="81"/>
      <c r="T673" s="81"/>
      <c r="U673" s="83"/>
      <c r="V673" s="83"/>
      <c r="W673" s="81"/>
      <c r="X673" s="81"/>
      <c r="Y673" s="83"/>
      <c r="Z673" s="81"/>
      <c r="AA673" s="81"/>
      <c r="AB673" s="81"/>
      <c r="AC673" s="81"/>
      <c r="AD673" s="81"/>
      <c r="AE673" s="83"/>
      <c r="AF673" s="81"/>
      <c r="AG673" s="81"/>
      <c r="AH673" s="81"/>
      <c r="AI673" s="81"/>
      <c r="AJ673" s="83"/>
      <c r="AK673" s="81"/>
      <c r="AL673" s="81"/>
      <c r="AM673" s="83"/>
      <c r="AN673" s="80"/>
      <c r="AO673" s="82" t="n">
        <f aca="false">IF(E673="","",(AA673&lt;&gt;"")+(AG673&lt;&gt;"")+(AL673&lt;&gt;""))</f>
        <v>0</v>
      </c>
      <c r="AP673" s="82" t="str">
        <f aca="false">IF(AL673&lt;&gt;"",AL673,IF(AG673&lt;&gt;"",AG673,IF(AA673&lt;&gt;"",AA673,"")))</f>
        <v/>
      </c>
      <c r="AQ673" s="84" t="str">
        <f aca="false">IF(E673="","",IF(U673="","À SOUDER",IF(X673="","VT EN ATTENTE",IF(X673="R","VT REJETÉ – À REPRENDRE",IF(AP673="","À RADIOGRAPHIER",IF(AP673="A","ACCEPTÉ",IF(AP673="NX","NX – RT À REFAIRE",IF(IF(AO673=1,AD673,IF(AO673=2,AI673,""))="A","RÉPARÉ – À RADIOGRAPHIER",IF(IF(AO673=1,AD673,IF(AO673=2,AI673,""))="R","VT REJETÉ – À REPRENDRE",IF(OR(AP673="CO",AP673="NT"),"COUPE – À RESOUDER","À RÉPARER"))))))))))</f>
        <v>À SOUDER</v>
      </c>
      <c r="AR673" s="82" t="str">
        <f aca="false">IF(AND(ISNUMBER(U673),OR(AQ673="À RADIOGRAPHIER",AQ673="RÉPARÉ – À RADIOGRAPHIER",AQ673="NX – RT À REFAIRE",AQ673="À RÉPARER",AQ673="COUPE – À RESOUDER",AQ673="VT REJETÉ – À REPRENDRE")),MAX(0,'PROGRAMME RT'!$C$4-U673),"")</f>
        <v/>
      </c>
      <c r="AS673" s="82" t="n">
        <f aca="false">IF(AND(OR(AQ673="À RADIOGRAPHIER",AQ673="RÉPARÉ – À RADIOGRAPHIER",AQ673="NX – RT À REFAIRE"),OR('PROGRAMME RT'!$D$5="TOUTES",B673='PROGRAMME RT'!$D$5)),1,0)</f>
        <v>0</v>
      </c>
      <c r="AT673" s="82" t="str">
        <f aca="false">IF(AS673=1,SUM(AS$7:AS673),"")</f>
        <v/>
      </c>
      <c r="AU673" s="82" t="n">
        <f aca="false">IF(AND(OR(AA673="R",AA673="NX",AA673="NT",AA673="CO"),OR('JOINTS DE RÉPARATION'!$D$5="TOUTES",B673='JOINTS DE RÉPARATION'!$D$5),OR('JOINTS DE RÉPARATION'!$L$4="TOUS",AQ673&lt;&gt;"ACCEPTÉ")),1,0)</f>
        <v>0</v>
      </c>
      <c r="AV673" s="82" t="str">
        <f aca="false">IF(AU673=1,SUM(AU$7:AU673),"")</f>
        <v/>
      </c>
      <c r="AW673" s="82" t="str">
        <f aca="false">IF(E673="","",B673&amp;"|"&amp;E673)</f>
        <v>MFD-ISW → MFD-CPF|JN°667</v>
      </c>
    </row>
    <row r="674" customFormat="false" ht="74.6" hidden="false" customHeight="false" outlineLevel="0" collapsed="false">
      <c r="A674" s="79" t="n">
        <f aca="false">IF(E674="","",ROW()-6)</f>
        <v>668</v>
      </c>
      <c r="B674" s="80" t="s">
        <v>110</v>
      </c>
      <c r="C674" s="81"/>
      <c r="D674" s="81"/>
      <c r="E674" s="81" t="s">
        <v>778</v>
      </c>
      <c r="F674" s="82" t="str">
        <f aca="false">IF(E674="","",IF(LEFT(E674,2)="DJ","DJ","JN"))</f>
        <v>JN</v>
      </c>
      <c r="G674" s="81"/>
      <c r="H674" s="81"/>
      <c r="I674" s="81"/>
      <c r="J674" s="81"/>
      <c r="K674" s="81"/>
      <c r="L674" s="81"/>
      <c r="M674" s="81"/>
      <c r="N674" s="81"/>
      <c r="O674" s="81"/>
      <c r="P674" s="81"/>
      <c r="Q674" s="81"/>
      <c r="R674" s="81"/>
      <c r="S674" s="81"/>
      <c r="T674" s="81"/>
      <c r="U674" s="83"/>
      <c r="V674" s="83"/>
      <c r="W674" s="81"/>
      <c r="X674" s="81"/>
      <c r="Y674" s="83"/>
      <c r="Z674" s="81"/>
      <c r="AA674" s="81"/>
      <c r="AB674" s="81"/>
      <c r="AC674" s="81"/>
      <c r="AD674" s="81"/>
      <c r="AE674" s="83"/>
      <c r="AF674" s="81"/>
      <c r="AG674" s="81"/>
      <c r="AH674" s="81"/>
      <c r="AI674" s="81"/>
      <c r="AJ674" s="83"/>
      <c r="AK674" s="81"/>
      <c r="AL674" s="81"/>
      <c r="AM674" s="83"/>
      <c r="AN674" s="80"/>
      <c r="AO674" s="82" t="n">
        <f aca="false">IF(E674="","",(AA674&lt;&gt;"")+(AG674&lt;&gt;"")+(AL674&lt;&gt;""))</f>
        <v>0</v>
      </c>
      <c r="AP674" s="82" t="str">
        <f aca="false">IF(AL674&lt;&gt;"",AL674,IF(AG674&lt;&gt;"",AG674,IF(AA674&lt;&gt;"",AA674,"")))</f>
        <v/>
      </c>
      <c r="AQ674" s="84" t="str">
        <f aca="false">IF(E674="","",IF(U674="","À SOUDER",IF(X674="","VT EN ATTENTE",IF(X674="R","VT REJETÉ – À REPRENDRE",IF(AP674="","À RADIOGRAPHIER",IF(AP674="A","ACCEPTÉ",IF(AP674="NX","NX – RT À REFAIRE",IF(IF(AO674=1,AD674,IF(AO674=2,AI674,""))="A","RÉPARÉ – À RADIOGRAPHIER",IF(IF(AO674=1,AD674,IF(AO674=2,AI674,""))="R","VT REJETÉ – À REPRENDRE",IF(OR(AP674="CO",AP674="NT"),"COUPE – À RESOUDER","À RÉPARER"))))))))))</f>
        <v>À SOUDER</v>
      </c>
      <c r="AR674" s="82" t="str">
        <f aca="false">IF(AND(ISNUMBER(U674),OR(AQ674="À RADIOGRAPHIER",AQ674="RÉPARÉ – À RADIOGRAPHIER",AQ674="NX – RT À REFAIRE",AQ674="À RÉPARER",AQ674="COUPE – À RESOUDER",AQ674="VT REJETÉ – À REPRENDRE")),MAX(0,'PROGRAMME RT'!$C$4-U674),"")</f>
        <v/>
      </c>
      <c r="AS674" s="82" t="n">
        <f aca="false">IF(AND(OR(AQ674="À RADIOGRAPHIER",AQ674="RÉPARÉ – À RADIOGRAPHIER",AQ674="NX – RT À REFAIRE"),OR('PROGRAMME RT'!$D$5="TOUTES",B674='PROGRAMME RT'!$D$5)),1,0)</f>
        <v>0</v>
      </c>
      <c r="AT674" s="82" t="str">
        <f aca="false">IF(AS674=1,SUM(AS$7:AS674),"")</f>
        <v/>
      </c>
      <c r="AU674" s="82" t="n">
        <f aca="false">IF(AND(OR(AA674="R",AA674="NX",AA674="NT",AA674="CO"),OR('JOINTS DE RÉPARATION'!$D$5="TOUTES",B674='JOINTS DE RÉPARATION'!$D$5),OR('JOINTS DE RÉPARATION'!$L$4="TOUS",AQ674&lt;&gt;"ACCEPTÉ")),1,0)</f>
        <v>0</v>
      </c>
      <c r="AV674" s="82" t="str">
        <f aca="false">IF(AU674=1,SUM(AU$7:AU674),"")</f>
        <v/>
      </c>
      <c r="AW674" s="82" t="str">
        <f aca="false">IF(E674="","",B674&amp;"|"&amp;E674)</f>
        <v>MFD-ISW → MFD-CPF|JN°668</v>
      </c>
    </row>
    <row r="675" customFormat="false" ht="74.6" hidden="false" customHeight="false" outlineLevel="0" collapsed="false">
      <c r="A675" s="79" t="n">
        <f aca="false">IF(E675="","",ROW()-6)</f>
        <v>669</v>
      </c>
      <c r="B675" s="80" t="s">
        <v>110</v>
      </c>
      <c r="C675" s="81"/>
      <c r="D675" s="81"/>
      <c r="E675" s="81" t="s">
        <v>779</v>
      </c>
      <c r="F675" s="82" t="str">
        <f aca="false">IF(E675="","",IF(LEFT(E675,2)="DJ","DJ","JN"))</f>
        <v>JN</v>
      </c>
      <c r="G675" s="81"/>
      <c r="H675" s="81"/>
      <c r="I675" s="81"/>
      <c r="J675" s="81"/>
      <c r="K675" s="81"/>
      <c r="L675" s="81"/>
      <c r="M675" s="81"/>
      <c r="N675" s="81"/>
      <c r="O675" s="81"/>
      <c r="P675" s="81"/>
      <c r="Q675" s="81"/>
      <c r="R675" s="81"/>
      <c r="S675" s="81"/>
      <c r="T675" s="81"/>
      <c r="U675" s="83"/>
      <c r="V675" s="83"/>
      <c r="W675" s="81"/>
      <c r="X675" s="81"/>
      <c r="Y675" s="83"/>
      <c r="Z675" s="81"/>
      <c r="AA675" s="81"/>
      <c r="AB675" s="81"/>
      <c r="AC675" s="81"/>
      <c r="AD675" s="81"/>
      <c r="AE675" s="83"/>
      <c r="AF675" s="81"/>
      <c r="AG675" s="81"/>
      <c r="AH675" s="81"/>
      <c r="AI675" s="81"/>
      <c r="AJ675" s="83"/>
      <c r="AK675" s="81"/>
      <c r="AL675" s="81"/>
      <c r="AM675" s="83"/>
      <c r="AN675" s="80"/>
      <c r="AO675" s="82" t="n">
        <f aca="false">IF(E675="","",(AA675&lt;&gt;"")+(AG675&lt;&gt;"")+(AL675&lt;&gt;""))</f>
        <v>0</v>
      </c>
      <c r="AP675" s="82" t="str">
        <f aca="false">IF(AL675&lt;&gt;"",AL675,IF(AG675&lt;&gt;"",AG675,IF(AA675&lt;&gt;"",AA675,"")))</f>
        <v/>
      </c>
      <c r="AQ675" s="84" t="str">
        <f aca="false">IF(E675="","",IF(U675="","À SOUDER",IF(X675="","VT EN ATTENTE",IF(X675="R","VT REJETÉ – À REPRENDRE",IF(AP675="","À RADIOGRAPHIER",IF(AP675="A","ACCEPTÉ",IF(AP675="NX","NX – RT À REFAIRE",IF(IF(AO675=1,AD675,IF(AO675=2,AI675,""))="A","RÉPARÉ – À RADIOGRAPHIER",IF(IF(AO675=1,AD675,IF(AO675=2,AI675,""))="R","VT REJETÉ – À REPRENDRE",IF(OR(AP675="CO",AP675="NT"),"COUPE – À RESOUDER","À RÉPARER"))))))))))</f>
        <v>À SOUDER</v>
      </c>
      <c r="AR675" s="82" t="str">
        <f aca="false">IF(AND(ISNUMBER(U675),OR(AQ675="À RADIOGRAPHIER",AQ675="RÉPARÉ – À RADIOGRAPHIER",AQ675="NX – RT À REFAIRE",AQ675="À RÉPARER",AQ675="COUPE – À RESOUDER",AQ675="VT REJETÉ – À REPRENDRE")),MAX(0,'PROGRAMME RT'!$C$4-U675),"")</f>
        <v/>
      </c>
      <c r="AS675" s="82" t="n">
        <f aca="false">IF(AND(OR(AQ675="À RADIOGRAPHIER",AQ675="RÉPARÉ – À RADIOGRAPHIER",AQ675="NX – RT À REFAIRE"),OR('PROGRAMME RT'!$D$5="TOUTES",B675='PROGRAMME RT'!$D$5)),1,0)</f>
        <v>0</v>
      </c>
      <c r="AT675" s="82" t="str">
        <f aca="false">IF(AS675=1,SUM(AS$7:AS675),"")</f>
        <v/>
      </c>
      <c r="AU675" s="82" t="n">
        <f aca="false">IF(AND(OR(AA675="R",AA675="NX",AA675="NT",AA675="CO"),OR('JOINTS DE RÉPARATION'!$D$5="TOUTES",B675='JOINTS DE RÉPARATION'!$D$5),OR('JOINTS DE RÉPARATION'!$L$4="TOUS",AQ675&lt;&gt;"ACCEPTÉ")),1,0)</f>
        <v>0</v>
      </c>
      <c r="AV675" s="82" t="str">
        <f aca="false">IF(AU675=1,SUM(AU$7:AU675),"")</f>
        <v/>
      </c>
      <c r="AW675" s="82" t="str">
        <f aca="false">IF(E675="","",B675&amp;"|"&amp;E675)</f>
        <v>MFD-ISW → MFD-CPF|JN°669</v>
      </c>
    </row>
    <row r="676" customFormat="false" ht="74.6" hidden="false" customHeight="false" outlineLevel="0" collapsed="false">
      <c r="A676" s="79" t="n">
        <f aca="false">IF(E676="","",ROW()-6)</f>
        <v>670</v>
      </c>
      <c r="B676" s="80" t="s">
        <v>110</v>
      </c>
      <c r="C676" s="81"/>
      <c r="D676" s="81"/>
      <c r="E676" s="81" t="s">
        <v>780</v>
      </c>
      <c r="F676" s="82" t="str">
        <f aca="false">IF(E676="","",IF(LEFT(E676,2)="DJ","DJ","JN"))</f>
        <v>JN</v>
      </c>
      <c r="G676" s="81"/>
      <c r="H676" s="81"/>
      <c r="I676" s="81"/>
      <c r="J676" s="81"/>
      <c r="K676" s="81"/>
      <c r="L676" s="81"/>
      <c r="M676" s="81"/>
      <c r="N676" s="81"/>
      <c r="O676" s="81"/>
      <c r="P676" s="81"/>
      <c r="Q676" s="81"/>
      <c r="R676" s="81"/>
      <c r="S676" s="81"/>
      <c r="T676" s="81"/>
      <c r="U676" s="83"/>
      <c r="V676" s="83"/>
      <c r="W676" s="81"/>
      <c r="X676" s="81"/>
      <c r="Y676" s="83"/>
      <c r="Z676" s="81"/>
      <c r="AA676" s="81"/>
      <c r="AB676" s="81"/>
      <c r="AC676" s="81"/>
      <c r="AD676" s="81"/>
      <c r="AE676" s="83"/>
      <c r="AF676" s="81"/>
      <c r="AG676" s="81"/>
      <c r="AH676" s="81"/>
      <c r="AI676" s="81"/>
      <c r="AJ676" s="83"/>
      <c r="AK676" s="81"/>
      <c r="AL676" s="81"/>
      <c r="AM676" s="83"/>
      <c r="AN676" s="80"/>
      <c r="AO676" s="82" t="n">
        <f aca="false">IF(E676="","",(AA676&lt;&gt;"")+(AG676&lt;&gt;"")+(AL676&lt;&gt;""))</f>
        <v>0</v>
      </c>
      <c r="AP676" s="82" t="str">
        <f aca="false">IF(AL676&lt;&gt;"",AL676,IF(AG676&lt;&gt;"",AG676,IF(AA676&lt;&gt;"",AA676,"")))</f>
        <v/>
      </c>
      <c r="AQ676" s="84" t="str">
        <f aca="false">IF(E676="","",IF(U676="","À SOUDER",IF(X676="","VT EN ATTENTE",IF(X676="R","VT REJETÉ – À REPRENDRE",IF(AP676="","À RADIOGRAPHIER",IF(AP676="A","ACCEPTÉ",IF(AP676="NX","NX – RT À REFAIRE",IF(IF(AO676=1,AD676,IF(AO676=2,AI676,""))="A","RÉPARÉ – À RADIOGRAPHIER",IF(IF(AO676=1,AD676,IF(AO676=2,AI676,""))="R","VT REJETÉ – À REPRENDRE",IF(OR(AP676="CO",AP676="NT"),"COUPE – À RESOUDER","À RÉPARER"))))))))))</f>
        <v>À SOUDER</v>
      </c>
      <c r="AR676" s="82" t="str">
        <f aca="false">IF(AND(ISNUMBER(U676),OR(AQ676="À RADIOGRAPHIER",AQ676="RÉPARÉ – À RADIOGRAPHIER",AQ676="NX – RT À REFAIRE",AQ676="À RÉPARER",AQ676="COUPE – À RESOUDER",AQ676="VT REJETÉ – À REPRENDRE")),MAX(0,'PROGRAMME RT'!$C$4-U676),"")</f>
        <v/>
      </c>
      <c r="AS676" s="82" t="n">
        <f aca="false">IF(AND(OR(AQ676="À RADIOGRAPHIER",AQ676="RÉPARÉ – À RADIOGRAPHIER",AQ676="NX – RT À REFAIRE"),OR('PROGRAMME RT'!$D$5="TOUTES",B676='PROGRAMME RT'!$D$5)),1,0)</f>
        <v>0</v>
      </c>
      <c r="AT676" s="82" t="str">
        <f aca="false">IF(AS676=1,SUM(AS$7:AS676),"")</f>
        <v/>
      </c>
      <c r="AU676" s="82" t="n">
        <f aca="false">IF(AND(OR(AA676="R",AA676="NX",AA676="NT",AA676="CO"),OR('JOINTS DE RÉPARATION'!$D$5="TOUTES",B676='JOINTS DE RÉPARATION'!$D$5),OR('JOINTS DE RÉPARATION'!$L$4="TOUS",AQ676&lt;&gt;"ACCEPTÉ")),1,0)</f>
        <v>0</v>
      </c>
      <c r="AV676" s="82" t="str">
        <f aca="false">IF(AU676=1,SUM(AU$7:AU676),"")</f>
        <v/>
      </c>
      <c r="AW676" s="82" t="str">
        <f aca="false">IF(E676="","",B676&amp;"|"&amp;E676)</f>
        <v>MFD-ISW → MFD-CPF|JN°670</v>
      </c>
    </row>
    <row r="677" customFormat="false" ht="74.6" hidden="false" customHeight="false" outlineLevel="0" collapsed="false">
      <c r="A677" s="79" t="n">
        <f aca="false">IF(E677="","",ROW()-6)</f>
        <v>671</v>
      </c>
      <c r="B677" s="80" t="s">
        <v>110</v>
      </c>
      <c r="C677" s="81"/>
      <c r="D677" s="81"/>
      <c r="E677" s="81" t="s">
        <v>781</v>
      </c>
      <c r="F677" s="82" t="str">
        <f aca="false">IF(E677="","",IF(LEFT(E677,2)="DJ","DJ","JN"))</f>
        <v>JN</v>
      </c>
      <c r="G677" s="81"/>
      <c r="H677" s="81"/>
      <c r="I677" s="81"/>
      <c r="J677" s="81"/>
      <c r="K677" s="81"/>
      <c r="L677" s="81"/>
      <c r="M677" s="81"/>
      <c r="N677" s="81"/>
      <c r="O677" s="81"/>
      <c r="P677" s="81"/>
      <c r="Q677" s="81"/>
      <c r="R677" s="81"/>
      <c r="S677" s="81"/>
      <c r="T677" s="81"/>
      <c r="U677" s="83"/>
      <c r="V677" s="83"/>
      <c r="W677" s="81"/>
      <c r="X677" s="81"/>
      <c r="Y677" s="83"/>
      <c r="Z677" s="81"/>
      <c r="AA677" s="81"/>
      <c r="AB677" s="81"/>
      <c r="AC677" s="81"/>
      <c r="AD677" s="81"/>
      <c r="AE677" s="83"/>
      <c r="AF677" s="81"/>
      <c r="AG677" s="81"/>
      <c r="AH677" s="81"/>
      <c r="AI677" s="81"/>
      <c r="AJ677" s="83"/>
      <c r="AK677" s="81"/>
      <c r="AL677" s="81"/>
      <c r="AM677" s="83"/>
      <c r="AN677" s="80"/>
      <c r="AO677" s="82" t="n">
        <f aca="false">IF(E677="","",(AA677&lt;&gt;"")+(AG677&lt;&gt;"")+(AL677&lt;&gt;""))</f>
        <v>0</v>
      </c>
      <c r="AP677" s="82" t="str">
        <f aca="false">IF(AL677&lt;&gt;"",AL677,IF(AG677&lt;&gt;"",AG677,IF(AA677&lt;&gt;"",AA677,"")))</f>
        <v/>
      </c>
      <c r="AQ677" s="84" t="str">
        <f aca="false">IF(E677="","",IF(U677="","À SOUDER",IF(X677="","VT EN ATTENTE",IF(X677="R","VT REJETÉ – À REPRENDRE",IF(AP677="","À RADIOGRAPHIER",IF(AP677="A","ACCEPTÉ",IF(AP677="NX","NX – RT À REFAIRE",IF(IF(AO677=1,AD677,IF(AO677=2,AI677,""))="A","RÉPARÉ – À RADIOGRAPHIER",IF(IF(AO677=1,AD677,IF(AO677=2,AI677,""))="R","VT REJETÉ – À REPRENDRE",IF(OR(AP677="CO",AP677="NT"),"COUPE – À RESOUDER","À RÉPARER"))))))))))</f>
        <v>À SOUDER</v>
      </c>
      <c r="AR677" s="82" t="str">
        <f aca="false">IF(AND(ISNUMBER(U677),OR(AQ677="À RADIOGRAPHIER",AQ677="RÉPARÉ – À RADIOGRAPHIER",AQ677="NX – RT À REFAIRE",AQ677="À RÉPARER",AQ677="COUPE – À RESOUDER",AQ677="VT REJETÉ – À REPRENDRE")),MAX(0,'PROGRAMME RT'!$C$4-U677),"")</f>
        <v/>
      </c>
      <c r="AS677" s="82" t="n">
        <f aca="false">IF(AND(OR(AQ677="À RADIOGRAPHIER",AQ677="RÉPARÉ – À RADIOGRAPHIER",AQ677="NX – RT À REFAIRE"),OR('PROGRAMME RT'!$D$5="TOUTES",B677='PROGRAMME RT'!$D$5)),1,0)</f>
        <v>0</v>
      </c>
      <c r="AT677" s="82" t="str">
        <f aca="false">IF(AS677=1,SUM(AS$7:AS677),"")</f>
        <v/>
      </c>
      <c r="AU677" s="82" t="n">
        <f aca="false">IF(AND(OR(AA677="R",AA677="NX",AA677="NT",AA677="CO"),OR('JOINTS DE RÉPARATION'!$D$5="TOUTES",B677='JOINTS DE RÉPARATION'!$D$5),OR('JOINTS DE RÉPARATION'!$L$4="TOUS",AQ677&lt;&gt;"ACCEPTÉ")),1,0)</f>
        <v>0</v>
      </c>
      <c r="AV677" s="82" t="str">
        <f aca="false">IF(AU677=1,SUM(AU$7:AU677),"")</f>
        <v/>
      </c>
      <c r="AW677" s="82" t="str">
        <f aca="false">IF(E677="","",B677&amp;"|"&amp;E677)</f>
        <v>MFD-ISW → MFD-CPF|JN°671</v>
      </c>
    </row>
    <row r="678" customFormat="false" ht="74.6" hidden="false" customHeight="false" outlineLevel="0" collapsed="false">
      <c r="A678" s="79" t="n">
        <f aca="false">IF(E678="","",ROW()-6)</f>
        <v>672</v>
      </c>
      <c r="B678" s="80" t="s">
        <v>110</v>
      </c>
      <c r="C678" s="81"/>
      <c r="D678" s="81"/>
      <c r="E678" s="81" t="s">
        <v>782</v>
      </c>
      <c r="F678" s="82" t="str">
        <f aca="false">IF(E678="","",IF(LEFT(E678,2)="DJ","DJ","JN"))</f>
        <v>JN</v>
      </c>
      <c r="G678" s="81"/>
      <c r="H678" s="81"/>
      <c r="I678" s="81"/>
      <c r="J678" s="81"/>
      <c r="K678" s="81"/>
      <c r="L678" s="81"/>
      <c r="M678" s="81"/>
      <c r="N678" s="81"/>
      <c r="O678" s="81"/>
      <c r="P678" s="81"/>
      <c r="Q678" s="81"/>
      <c r="R678" s="81"/>
      <c r="S678" s="81"/>
      <c r="T678" s="81"/>
      <c r="U678" s="83"/>
      <c r="V678" s="83"/>
      <c r="W678" s="81"/>
      <c r="X678" s="81"/>
      <c r="Y678" s="83"/>
      <c r="Z678" s="81"/>
      <c r="AA678" s="81"/>
      <c r="AB678" s="81"/>
      <c r="AC678" s="81"/>
      <c r="AD678" s="81"/>
      <c r="AE678" s="83"/>
      <c r="AF678" s="81"/>
      <c r="AG678" s="81"/>
      <c r="AH678" s="81"/>
      <c r="AI678" s="81"/>
      <c r="AJ678" s="83"/>
      <c r="AK678" s="81"/>
      <c r="AL678" s="81"/>
      <c r="AM678" s="83"/>
      <c r="AN678" s="80"/>
      <c r="AO678" s="82" t="n">
        <f aca="false">IF(E678="","",(AA678&lt;&gt;"")+(AG678&lt;&gt;"")+(AL678&lt;&gt;""))</f>
        <v>0</v>
      </c>
      <c r="AP678" s="82" t="str">
        <f aca="false">IF(AL678&lt;&gt;"",AL678,IF(AG678&lt;&gt;"",AG678,IF(AA678&lt;&gt;"",AA678,"")))</f>
        <v/>
      </c>
      <c r="AQ678" s="84" t="str">
        <f aca="false">IF(E678="","",IF(U678="","À SOUDER",IF(X678="","VT EN ATTENTE",IF(X678="R","VT REJETÉ – À REPRENDRE",IF(AP678="","À RADIOGRAPHIER",IF(AP678="A","ACCEPTÉ",IF(AP678="NX","NX – RT À REFAIRE",IF(IF(AO678=1,AD678,IF(AO678=2,AI678,""))="A","RÉPARÉ – À RADIOGRAPHIER",IF(IF(AO678=1,AD678,IF(AO678=2,AI678,""))="R","VT REJETÉ – À REPRENDRE",IF(OR(AP678="CO",AP678="NT"),"COUPE – À RESOUDER","À RÉPARER"))))))))))</f>
        <v>À SOUDER</v>
      </c>
      <c r="AR678" s="82" t="str">
        <f aca="false">IF(AND(ISNUMBER(U678),OR(AQ678="À RADIOGRAPHIER",AQ678="RÉPARÉ – À RADIOGRAPHIER",AQ678="NX – RT À REFAIRE",AQ678="À RÉPARER",AQ678="COUPE – À RESOUDER",AQ678="VT REJETÉ – À REPRENDRE")),MAX(0,'PROGRAMME RT'!$C$4-U678),"")</f>
        <v/>
      </c>
      <c r="AS678" s="82" t="n">
        <f aca="false">IF(AND(OR(AQ678="À RADIOGRAPHIER",AQ678="RÉPARÉ – À RADIOGRAPHIER",AQ678="NX – RT À REFAIRE"),OR('PROGRAMME RT'!$D$5="TOUTES",B678='PROGRAMME RT'!$D$5)),1,0)</f>
        <v>0</v>
      </c>
      <c r="AT678" s="82" t="str">
        <f aca="false">IF(AS678=1,SUM(AS$7:AS678),"")</f>
        <v/>
      </c>
      <c r="AU678" s="82" t="n">
        <f aca="false">IF(AND(OR(AA678="R",AA678="NX",AA678="NT",AA678="CO"),OR('JOINTS DE RÉPARATION'!$D$5="TOUTES",B678='JOINTS DE RÉPARATION'!$D$5),OR('JOINTS DE RÉPARATION'!$L$4="TOUS",AQ678&lt;&gt;"ACCEPTÉ")),1,0)</f>
        <v>0</v>
      </c>
      <c r="AV678" s="82" t="str">
        <f aca="false">IF(AU678=1,SUM(AU$7:AU678),"")</f>
        <v/>
      </c>
      <c r="AW678" s="82" t="str">
        <f aca="false">IF(E678="","",B678&amp;"|"&amp;E678)</f>
        <v>MFD-ISW → MFD-CPF|JN°672</v>
      </c>
    </row>
    <row r="679" customFormat="false" ht="74.6" hidden="false" customHeight="false" outlineLevel="0" collapsed="false">
      <c r="A679" s="79" t="n">
        <f aca="false">IF(E679="","",ROW()-6)</f>
        <v>673</v>
      </c>
      <c r="B679" s="80" t="s">
        <v>110</v>
      </c>
      <c r="C679" s="81"/>
      <c r="D679" s="81"/>
      <c r="E679" s="81" t="s">
        <v>783</v>
      </c>
      <c r="F679" s="82" t="str">
        <f aca="false">IF(E679="","",IF(LEFT(E679,2)="DJ","DJ","JN"))</f>
        <v>JN</v>
      </c>
      <c r="G679" s="81"/>
      <c r="H679" s="81"/>
      <c r="I679" s="81"/>
      <c r="J679" s="81"/>
      <c r="K679" s="81"/>
      <c r="L679" s="81"/>
      <c r="M679" s="81"/>
      <c r="N679" s="81"/>
      <c r="O679" s="81"/>
      <c r="P679" s="81"/>
      <c r="Q679" s="81"/>
      <c r="R679" s="81"/>
      <c r="S679" s="81"/>
      <c r="T679" s="81"/>
      <c r="U679" s="83"/>
      <c r="V679" s="83"/>
      <c r="W679" s="81"/>
      <c r="X679" s="81"/>
      <c r="Y679" s="83"/>
      <c r="Z679" s="81"/>
      <c r="AA679" s="81"/>
      <c r="AB679" s="81"/>
      <c r="AC679" s="81"/>
      <c r="AD679" s="81"/>
      <c r="AE679" s="83"/>
      <c r="AF679" s="81"/>
      <c r="AG679" s="81"/>
      <c r="AH679" s="81"/>
      <c r="AI679" s="81"/>
      <c r="AJ679" s="83"/>
      <c r="AK679" s="81"/>
      <c r="AL679" s="81"/>
      <c r="AM679" s="83"/>
      <c r="AN679" s="80"/>
      <c r="AO679" s="82" t="n">
        <f aca="false">IF(E679="","",(AA679&lt;&gt;"")+(AG679&lt;&gt;"")+(AL679&lt;&gt;""))</f>
        <v>0</v>
      </c>
      <c r="AP679" s="82" t="str">
        <f aca="false">IF(AL679&lt;&gt;"",AL679,IF(AG679&lt;&gt;"",AG679,IF(AA679&lt;&gt;"",AA679,"")))</f>
        <v/>
      </c>
      <c r="AQ679" s="84" t="str">
        <f aca="false">IF(E679="","",IF(U679="","À SOUDER",IF(X679="","VT EN ATTENTE",IF(X679="R","VT REJETÉ – À REPRENDRE",IF(AP679="","À RADIOGRAPHIER",IF(AP679="A","ACCEPTÉ",IF(AP679="NX","NX – RT À REFAIRE",IF(IF(AO679=1,AD679,IF(AO679=2,AI679,""))="A","RÉPARÉ – À RADIOGRAPHIER",IF(IF(AO679=1,AD679,IF(AO679=2,AI679,""))="R","VT REJETÉ – À REPRENDRE",IF(OR(AP679="CO",AP679="NT"),"COUPE – À RESOUDER","À RÉPARER"))))))))))</f>
        <v>À SOUDER</v>
      </c>
      <c r="AR679" s="82" t="str">
        <f aca="false">IF(AND(ISNUMBER(U679),OR(AQ679="À RADIOGRAPHIER",AQ679="RÉPARÉ – À RADIOGRAPHIER",AQ679="NX – RT À REFAIRE",AQ679="À RÉPARER",AQ679="COUPE – À RESOUDER",AQ679="VT REJETÉ – À REPRENDRE")),MAX(0,'PROGRAMME RT'!$C$4-U679),"")</f>
        <v/>
      </c>
      <c r="AS679" s="82" t="n">
        <f aca="false">IF(AND(OR(AQ679="À RADIOGRAPHIER",AQ679="RÉPARÉ – À RADIOGRAPHIER",AQ679="NX – RT À REFAIRE"),OR('PROGRAMME RT'!$D$5="TOUTES",B679='PROGRAMME RT'!$D$5)),1,0)</f>
        <v>0</v>
      </c>
      <c r="AT679" s="82" t="str">
        <f aca="false">IF(AS679=1,SUM(AS$7:AS679),"")</f>
        <v/>
      </c>
      <c r="AU679" s="82" t="n">
        <f aca="false">IF(AND(OR(AA679="R",AA679="NX",AA679="NT",AA679="CO"),OR('JOINTS DE RÉPARATION'!$D$5="TOUTES",B679='JOINTS DE RÉPARATION'!$D$5),OR('JOINTS DE RÉPARATION'!$L$4="TOUS",AQ679&lt;&gt;"ACCEPTÉ")),1,0)</f>
        <v>0</v>
      </c>
      <c r="AV679" s="82" t="str">
        <f aca="false">IF(AU679=1,SUM(AU$7:AU679),"")</f>
        <v/>
      </c>
      <c r="AW679" s="82" t="str">
        <f aca="false">IF(E679="","",B679&amp;"|"&amp;E679)</f>
        <v>MFD-ISW → MFD-CPF|JN°673</v>
      </c>
    </row>
    <row r="680" customFormat="false" ht="74.6" hidden="false" customHeight="false" outlineLevel="0" collapsed="false">
      <c r="A680" s="79" t="n">
        <f aca="false">IF(E680="","",ROW()-6)</f>
        <v>674</v>
      </c>
      <c r="B680" s="80" t="s">
        <v>110</v>
      </c>
      <c r="C680" s="81"/>
      <c r="D680" s="81"/>
      <c r="E680" s="81" t="s">
        <v>784</v>
      </c>
      <c r="F680" s="82" t="str">
        <f aca="false">IF(E680="","",IF(LEFT(E680,2)="DJ","DJ","JN"))</f>
        <v>JN</v>
      </c>
      <c r="G680" s="81"/>
      <c r="H680" s="81"/>
      <c r="I680" s="81"/>
      <c r="J680" s="81"/>
      <c r="K680" s="81"/>
      <c r="L680" s="81"/>
      <c r="M680" s="81"/>
      <c r="N680" s="81"/>
      <c r="O680" s="81"/>
      <c r="P680" s="81"/>
      <c r="Q680" s="81"/>
      <c r="R680" s="81"/>
      <c r="S680" s="81"/>
      <c r="T680" s="81"/>
      <c r="U680" s="83"/>
      <c r="V680" s="83"/>
      <c r="W680" s="81"/>
      <c r="X680" s="81"/>
      <c r="Y680" s="83"/>
      <c r="Z680" s="81"/>
      <c r="AA680" s="81"/>
      <c r="AB680" s="81"/>
      <c r="AC680" s="81"/>
      <c r="AD680" s="81"/>
      <c r="AE680" s="83"/>
      <c r="AF680" s="81"/>
      <c r="AG680" s="81"/>
      <c r="AH680" s="81"/>
      <c r="AI680" s="81"/>
      <c r="AJ680" s="83"/>
      <c r="AK680" s="81"/>
      <c r="AL680" s="81"/>
      <c r="AM680" s="83"/>
      <c r="AN680" s="80"/>
      <c r="AO680" s="82" t="n">
        <f aca="false">IF(E680="","",(AA680&lt;&gt;"")+(AG680&lt;&gt;"")+(AL680&lt;&gt;""))</f>
        <v>0</v>
      </c>
      <c r="AP680" s="82" t="str">
        <f aca="false">IF(AL680&lt;&gt;"",AL680,IF(AG680&lt;&gt;"",AG680,IF(AA680&lt;&gt;"",AA680,"")))</f>
        <v/>
      </c>
      <c r="AQ680" s="84" t="str">
        <f aca="false">IF(E680="","",IF(U680="","À SOUDER",IF(X680="","VT EN ATTENTE",IF(X680="R","VT REJETÉ – À REPRENDRE",IF(AP680="","À RADIOGRAPHIER",IF(AP680="A","ACCEPTÉ",IF(AP680="NX","NX – RT À REFAIRE",IF(IF(AO680=1,AD680,IF(AO680=2,AI680,""))="A","RÉPARÉ – À RADIOGRAPHIER",IF(IF(AO680=1,AD680,IF(AO680=2,AI680,""))="R","VT REJETÉ – À REPRENDRE",IF(OR(AP680="CO",AP680="NT"),"COUPE – À RESOUDER","À RÉPARER"))))))))))</f>
        <v>À SOUDER</v>
      </c>
      <c r="AR680" s="82" t="str">
        <f aca="false">IF(AND(ISNUMBER(U680),OR(AQ680="À RADIOGRAPHIER",AQ680="RÉPARÉ – À RADIOGRAPHIER",AQ680="NX – RT À REFAIRE",AQ680="À RÉPARER",AQ680="COUPE – À RESOUDER",AQ680="VT REJETÉ – À REPRENDRE")),MAX(0,'PROGRAMME RT'!$C$4-U680),"")</f>
        <v/>
      </c>
      <c r="AS680" s="82" t="n">
        <f aca="false">IF(AND(OR(AQ680="À RADIOGRAPHIER",AQ680="RÉPARÉ – À RADIOGRAPHIER",AQ680="NX – RT À REFAIRE"),OR('PROGRAMME RT'!$D$5="TOUTES",B680='PROGRAMME RT'!$D$5)),1,0)</f>
        <v>0</v>
      </c>
      <c r="AT680" s="82" t="str">
        <f aca="false">IF(AS680=1,SUM(AS$7:AS680),"")</f>
        <v/>
      </c>
      <c r="AU680" s="82" t="n">
        <f aca="false">IF(AND(OR(AA680="R",AA680="NX",AA680="NT",AA680="CO"),OR('JOINTS DE RÉPARATION'!$D$5="TOUTES",B680='JOINTS DE RÉPARATION'!$D$5),OR('JOINTS DE RÉPARATION'!$L$4="TOUS",AQ680&lt;&gt;"ACCEPTÉ")),1,0)</f>
        <v>0</v>
      </c>
      <c r="AV680" s="82" t="str">
        <f aca="false">IF(AU680=1,SUM(AU$7:AU680),"")</f>
        <v/>
      </c>
      <c r="AW680" s="82" t="str">
        <f aca="false">IF(E680="","",B680&amp;"|"&amp;E680)</f>
        <v>MFD-ISW → MFD-CPF|JN°674</v>
      </c>
    </row>
    <row r="681" customFormat="false" ht="74.6" hidden="false" customHeight="false" outlineLevel="0" collapsed="false">
      <c r="A681" s="79" t="n">
        <f aca="false">IF(E681="","",ROW()-6)</f>
        <v>675</v>
      </c>
      <c r="B681" s="80" t="s">
        <v>110</v>
      </c>
      <c r="C681" s="81"/>
      <c r="D681" s="81"/>
      <c r="E681" s="81" t="s">
        <v>785</v>
      </c>
      <c r="F681" s="82" t="str">
        <f aca="false">IF(E681="","",IF(LEFT(E681,2)="DJ","DJ","JN"))</f>
        <v>JN</v>
      </c>
      <c r="G681" s="81"/>
      <c r="H681" s="81"/>
      <c r="I681" s="81"/>
      <c r="J681" s="81"/>
      <c r="K681" s="81"/>
      <c r="L681" s="81"/>
      <c r="M681" s="81"/>
      <c r="N681" s="81"/>
      <c r="O681" s="81"/>
      <c r="P681" s="81"/>
      <c r="Q681" s="81"/>
      <c r="R681" s="81"/>
      <c r="S681" s="81"/>
      <c r="T681" s="81"/>
      <c r="U681" s="83"/>
      <c r="V681" s="83"/>
      <c r="W681" s="81"/>
      <c r="X681" s="81"/>
      <c r="Y681" s="83"/>
      <c r="Z681" s="81"/>
      <c r="AA681" s="81"/>
      <c r="AB681" s="81"/>
      <c r="AC681" s="81"/>
      <c r="AD681" s="81"/>
      <c r="AE681" s="83"/>
      <c r="AF681" s="81"/>
      <c r="AG681" s="81"/>
      <c r="AH681" s="81"/>
      <c r="AI681" s="81"/>
      <c r="AJ681" s="83"/>
      <c r="AK681" s="81"/>
      <c r="AL681" s="81"/>
      <c r="AM681" s="83"/>
      <c r="AN681" s="80"/>
      <c r="AO681" s="82" t="n">
        <f aca="false">IF(E681="","",(AA681&lt;&gt;"")+(AG681&lt;&gt;"")+(AL681&lt;&gt;""))</f>
        <v>0</v>
      </c>
      <c r="AP681" s="82" t="str">
        <f aca="false">IF(AL681&lt;&gt;"",AL681,IF(AG681&lt;&gt;"",AG681,IF(AA681&lt;&gt;"",AA681,"")))</f>
        <v/>
      </c>
      <c r="AQ681" s="84" t="str">
        <f aca="false">IF(E681="","",IF(U681="","À SOUDER",IF(X681="","VT EN ATTENTE",IF(X681="R","VT REJETÉ – À REPRENDRE",IF(AP681="","À RADIOGRAPHIER",IF(AP681="A","ACCEPTÉ",IF(AP681="NX","NX – RT À REFAIRE",IF(IF(AO681=1,AD681,IF(AO681=2,AI681,""))="A","RÉPARÉ – À RADIOGRAPHIER",IF(IF(AO681=1,AD681,IF(AO681=2,AI681,""))="R","VT REJETÉ – À REPRENDRE",IF(OR(AP681="CO",AP681="NT"),"COUPE – À RESOUDER","À RÉPARER"))))))))))</f>
        <v>À SOUDER</v>
      </c>
      <c r="AR681" s="82" t="str">
        <f aca="false">IF(AND(ISNUMBER(U681),OR(AQ681="À RADIOGRAPHIER",AQ681="RÉPARÉ – À RADIOGRAPHIER",AQ681="NX – RT À REFAIRE",AQ681="À RÉPARER",AQ681="COUPE – À RESOUDER",AQ681="VT REJETÉ – À REPRENDRE")),MAX(0,'PROGRAMME RT'!$C$4-U681),"")</f>
        <v/>
      </c>
      <c r="AS681" s="82" t="n">
        <f aca="false">IF(AND(OR(AQ681="À RADIOGRAPHIER",AQ681="RÉPARÉ – À RADIOGRAPHIER",AQ681="NX – RT À REFAIRE"),OR('PROGRAMME RT'!$D$5="TOUTES",B681='PROGRAMME RT'!$D$5)),1,0)</f>
        <v>0</v>
      </c>
      <c r="AT681" s="82" t="str">
        <f aca="false">IF(AS681=1,SUM(AS$7:AS681),"")</f>
        <v/>
      </c>
      <c r="AU681" s="82" t="n">
        <f aca="false">IF(AND(OR(AA681="R",AA681="NX",AA681="NT",AA681="CO"),OR('JOINTS DE RÉPARATION'!$D$5="TOUTES",B681='JOINTS DE RÉPARATION'!$D$5),OR('JOINTS DE RÉPARATION'!$L$4="TOUS",AQ681&lt;&gt;"ACCEPTÉ")),1,0)</f>
        <v>0</v>
      </c>
      <c r="AV681" s="82" t="str">
        <f aca="false">IF(AU681=1,SUM(AU$7:AU681),"")</f>
        <v/>
      </c>
      <c r="AW681" s="82" t="str">
        <f aca="false">IF(E681="","",B681&amp;"|"&amp;E681)</f>
        <v>MFD-ISW → MFD-CPF|JN°675</v>
      </c>
    </row>
    <row r="682" customFormat="false" ht="74.6" hidden="false" customHeight="false" outlineLevel="0" collapsed="false">
      <c r="A682" s="79" t="n">
        <f aca="false">IF(E682="","",ROW()-6)</f>
        <v>676</v>
      </c>
      <c r="B682" s="80" t="s">
        <v>110</v>
      </c>
      <c r="C682" s="81"/>
      <c r="D682" s="81"/>
      <c r="E682" s="81" t="s">
        <v>786</v>
      </c>
      <c r="F682" s="82" t="str">
        <f aca="false">IF(E682="","",IF(LEFT(E682,2)="DJ","DJ","JN"))</f>
        <v>JN</v>
      </c>
      <c r="G682" s="81"/>
      <c r="H682" s="81"/>
      <c r="I682" s="81"/>
      <c r="J682" s="81"/>
      <c r="K682" s="81"/>
      <c r="L682" s="81"/>
      <c r="M682" s="81"/>
      <c r="N682" s="81"/>
      <c r="O682" s="81"/>
      <c r="P682" s="81"/>
      <c r="Q682" s="81"/>
      <c r="R682" s="81"/>
      <c r="S682" s="81"/>
      <c r="T682" s="81"/>
      <c r="U682" s="83"/>
      <c r="V682" s="83"/>
      <c r="W682" s="81"/>
      <c r="X682" s="81"/>
      <c r="Y682" s="83"/>
      <c r="Z682" s="81"/>
      <c r="AA682" s="81"/>
      <c r="AB682" s="81"/>
      <c r="AC682" s="81"/>
      <c r="AD682" s="81"/>
      <c r="AE682" s="83"/>
      <c r="AF682" s="81"/>
      <c r="AG682" s="81"/>
      <c r="AH682" s="81"/>
      <c r="AI682" s="81"/>
      <c r="AJ682" s="83"/>
      <c r="AK682" s="81"/>
      <c r="AL682" s="81"/>
      <c r="AM682" s="83"/>
      <c r="AN682" s="80"/>
      <c r="AO682" s="82" t="n">
        <f aca="false">IF(E682="","",(AA682&lt;&gt;"")+(AG682&lt;&gt;"")+(AL682&lt;&gt;""))</f>
        <v>0</v>
      </c>
      <c r="AP682" s="82" t="str">
        <f aca="false">IF(AL682&lt;&gt;"",AL682,IF(AG682&lt;&gt;"",AG682,IF(AA682&lt;&gt;"",AA682,"")))</f>
        <v/>
      </c>
      <c r="AQ682" s="84" t="str">
        <f aca="false">IF(E682="","",IF(U682="","À SOUDER",IF(X682="","VT EN ATTENTE",IF(X682="R","VT REJETÉ – À REPRENDRE",IF(AP682="","À RADIOGRAPHIER",IF(AP682="A","ACCEPTÉ",IF(AP682="NX","NX – RT À REFAIRE",IF(IF(AO682=1,AD682,IF(AO682=2,AI682,""))="A","RÉPARÉ – À RADIOGRAPHIER",IF(IF(AO682=1,AD682,IF(AO682=2,AI682,""))="R","VT REJETÉ – À REPRENDRE",IF(OR(AP682="CO",AP682="NT"),"COUPE – À RESOUDER","À RÉPARER"))))))))))</f>
        <v>À SOUDER</v>
      </c>
      <c r="AR682" s="82" t="str">
        <f aca="false">IF(AND(ISNUMBER(U682),OR(AQ682="À RADIOGRAPHIER",AQ682="RÉPARÉ – À RADIOGRAPHIER",AQ682="NX – RT À REFAIRE",AQ682="À RÉPARER",AQ682="COUPE – À RESOUDER",AQ682="VT REJETÉ – À REPRENDRE")),MAX(0,'PROGRAMME RT'!$C$4-U682),"")</f>
        <v/>
      </c>
      <c r="AS682" s="82" t="n">
        <f aca="false">IF(AND(OR(AQ682="À RADIOGRAPHIER",AQ682="RÉPARÉ – À RADIOGRAPHIER",AQ682="NX – RT À REFAIRE"),OR('PROGRAMME RT'!$D$5="TOUTES",B682='PROGRAMME RT'!$D$5)),1,0)</f>
        <v>0</v>
      </c>
      <c r="AT682" s="82" t="str">
        <f aca="false">IF(AS682=1,SUM(AS$7:AS682),"")</f>
        <v/>
      </c>
      <c r="AU682" s="82" t="n">
        <f aca="false">IF(AND(OR(AA682="R",AA682="NX",AA682="NT",AA682="CO"),OR('JOINTS DE RÉPARATION'!$D$5="TOUTES",B682='JOINTS DE RÉPARATION'!$D$5),OR('JOINTS DE RÉPARATION'!$L$4="TOUS",AQ682&lt;&gt;"ACCEPTÉ")),1,0)</f>
        <v>0</v>
      </c>
      <c r="AV682" s="82" t="str">
        <f aca="false">IF(AU682=1,SUM(AU$7:AU682),"")</f>
        <v/>
      </c>
      <c r="AW682" s="82" t="str">
        <f aca="false">IF(E682="","",B682&amp;"|"&amp;E682)</f>
        <v>MFD-ISW → MFD-CPF|JN°676</v>
      </c>
    </row>
    <row r="683" customFormat="false" ht="74.6" hidden="false" customHeight="false" outlineLevel="0" collapsed="false">
      <c r="A683" s="79" t="n">
        <f aca="false">IF(E683="","",ROW()-6)</f>
        <v>677</v>
      </c>
      <c r="B683" s="80" t="s">
        <v>110</v>
      </c>
      <c r="C683" s="81"/>
      <c r="D683" s="81"/>
      <c r="E683" s="81" t="s">
        <v>787</v>
      </c>
      <c r="F683" s="82" t="str">
        <f aca="false">IF(E683="","",IF(LEFT(E683,2)="DJ","DJ","JN"))</f>
        <v>JN</v>
      </c>
      <c r="G683" s="81"/>
      <c r="H683" s="81"/>
      <c r="I683" s="81"/>
      <c r="J683" s="81"/>
      <c r="K683" s="81"/>
      <c r="L683" s="81"/>
      <c r="M683" s="81"/>
      <c r="N683" s="81"/>
      <c r="O683" s="81"/>
      <c r="P683" s="81"/>
      <c r="Q683" s="81"/>
      <c r="R683" s="81"/>
      <c r="S683" s="81"/>
      <c r="T683" s="81"/>
      <c r="U683" s="83"/>
      <c r="V683" s="83"/>
      <c r="W683" s="81"/>
      <c r="X683" s="81"/>
      <c r="Y683" s="83"/>
      <c r="Z683" s="81"/>
      <c r="AA683" s="81"/>
      <c r="AB683" s="81"/>
      <c r="AC683" s="81"/>
      <c r="AD683" s="81"/>
      <c r="AE683" s="83"/>
      <c r="AF683" s="81"/>
      <c r="AG683" s="81"/>
      <c r="AH683" s="81"/>
      <c r="AI683" s="81"/>
      <c r="AJ683" s="83"/>
      <c r="AK683" s="81"/>
      <c r="AL683" s="81"/>
      <c r="AM683" s="83"/>
      <c r="AN683" s="80"/>
      <c r="AO683" s="82" t="n">
        <f aca="false">IF(E683="","",(AA683&lt;&gt;"")+(AG683&lt;&gt;"")+(AL683&lt;&gt;""))</f>
        <v>0</v>
      </c>
      <c r="AP683" s="82" t="str">
        <f aca="false">IF(AL683&lt;&gt;"",AL683,IF(AG683&lt;&gt;"",AG683,IF(AA683&lt;&gt;"",AA683,"")))</f>
        <v/>
      </c>
      <c r="AQ683" s="84" t="str">
        <f aca="false">IF(E683="","",IF(U683="","À SOUDER",IF(X683="","VT EN ATTENTE",IF(X683="R","VT REJETÉ – À REPRENDRE",IF(AP683="","À RADIOGRAPHIER",IF(AP683="A","ACCEPTÉ",IF(AP683="NX","NX – RT À REFAIRE",IF(IF(AO683=1,AD683,IF(AO683=2,AI683,""))="A","RÉPARÉ – À RADIOGRAPHIER",IF(IF(AO683=1,AD683,IF(AO683=2,AI683,""))="R","VT REJETÉ – À REPRENDRE",IF(OR(AP683="CO",AP683="NT"),"COUPE – À RESOUDER","À RÉPARER"))))))))))</f>
        <v>À SOUDER</v>
      </c>
      <c r="AR683" s="82" t="str">
        <f aca="false">IF(AND(ISNUMBER(U683),OR(AQ683="À RADIOGRAPHIER",AQ683="RÉPARÉ – À RADIOGRAPHIER",AQ683="NX – RT À REFAIRE",AQ683="À RÉPARER",AQ683="COUPE – À RESOUDER",AQ683="VT REJETÉ – À REPRENDRE")),MAX(0,'PROGRAMME RT'!$C$4-U683),"")</f>
        <v/>
      </c>
      <c r="AS683" s="82" t="n">
        <f aca="false">IF(AND(OR(AQ683="À RADIOGRAPHIER",AQ683="RÉPARÉ – À RADIOGRAPHIER",AQ683="NX – RT À REFAIRE"),OR('PROGRAMME RT'!$D$5="TOUTES",B683='PROGRAMME RT'!$D$5)),1,0)</f>
        <v>0</v>
      </c>
      <c r="AT683" s="82" t="str">
        <f aca="false">IF(AS683=1,SUM(AS$7:AS683),"")</f>
        <v/>
      </c>
      <c r="AU683" s="82" t="n">
        <f aca="false">IF(AND(OR(AA683="R",AA683="NX",AA683="NT",AA683="CO"),OR('JOINTS DE RÉPARATION'!$D$5="TOUTES",B683='JOINTS DE RÉPARATION'!$D$5),OR('JOINTS DE RÉPARATION'!$L$4="TOUS",AQ683&lt;&gt;"ACCEPTÉ")),1,0)</f>
        <v>0</v>
      </c>
      <c r="AV683" s="82" t="str">
        <f aca="false">IF(AU683=1,SUM(AU$7:AU683),"")</f>
        <v/>
      </c>
      <c r="AW683" s="82" t="str">
        <f aca="false">IF(E683="","",B683&amp;"|"&amp;E683)</f>
        <v>MFD-ISW → MFD-CPF|JN°677</v>
      </c>
    </row>
    <row r="684" customFormat="false" ht="74.6" hidden="false" customHeight="false" outlineLevel="0" collapsed="false">
      <c r="A684" s="79" t="n">
        <f aca="false">IF(E684="","",ROW()-6)</f>
        <v>678</v>
      </c>
      <c r="B684" s="80" t="s">
        <v>110</v>
      </c>
      <c r="C684" s="81"/>
      <c r="D684" s="81"/>
      <c r="E684" s="81" t="s">
        <v>788</v>
      </c>
      <c r="F684" s="82" t="str">
        <f aca="false">IF(E684="","",IF(LEFT(E684,2)="DJ","DJ","JN"))</f>
        <v>JN</v>
      </c>
      <c r="G684" s="81"/>
      <c r="H684" s="81"/>
      <c r="I684" s="81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U684" s="83"/>
      <c r="V684" s="83"/>
      <c r="W684" s="81"/>
      <c r="X684" s="81"/>
      <c r="Y684" s="83"/>
      <c r="Z684" s="81"/>
      <c r="AA684" s="81"/>
      <c r="AB684" s="81"/>
      <c r="AC684" s="81"/>
      <c r="AD684" s="81"/>
      <c r="AE684" s="83"/>
      <c r="AF684" s="81"/>
      <c r="AG684" s="81"/>
      <c r="AH684" s="81"/>
      <c r="AI684" s="81"/>
      <c r="AJ684" s="83"/>
      <c r="AK684" s="81"/>
      <c r="AL684" s="81"/>
      <c r="AM684" s="83"/>
      <c r="AN684" s="80"/>
      <c r="AO684" s="82" t="n">
        <f aca="false">IF(E684="","",(AA684&lt;&gt;"")+(AG684&lt;&gt;"")+(AL684&lt;&gt;""))</f>
        <v>0</v>
      </c>
      <c r="AP684" s="82" t="str">
        <f aca="false">IF(AL684&lt;&gt;"",AL684,IF(AG684&lt;&gt;"",AG684,IF(AA684&lt;&gt;"",AA684,"")))</f>
        <v/>
      </c>
      <c r="AQ684" s="84" t="str">
        <f aca="false">IF(E684="","",IF(U684="","À SOUDER",IF(X684="","VT EN ATTENTE",IF(X684="R","VT REJETÉ – À REPRENDRE",IF(AP684="","À RADIOGRAPHIER",IF(AP684="A","ACCEPTÉ",IF(AP684="NX","NX – RT À REFAIRE",IF(IF(AO684=1,AD684,IF(AO684=2,AI684,""))="A","RÉPARÉ – À RADIOGRAPHIER",IF(IF(AO684=1,AD684,IF(AO684=2,AI684,""))="R","VT REJETÉ – À REPRENDRE",IF(OR(AP684="CO",AP684="NT"),"COUPE – À RESOUDER","À RÉPARER"))))))))))</f>
        <v>À SOUDER</v>
      </c>
      <c r="AR684" s="82" t="str">
        <f aca="false">IF(AND(ISNUMBER(U684),OR(AQ684="À RADIOGRAPHIER",AQ684="RÉPARÉ – À RADIOGRAPHIER",AQ684="NX – RT À REFAIRE",AQ684="À RÉPARER",AQ684="COUPE – À RESOUDER",AQ684="VT REJETÉ – À REPRENDRE")),MAX(0,'PROGRAMME RT'!$C$4-U684),"")</f>
        <v/>
      </c>
      <c r="AS684" s="82" t="n">
        <f aca="false">IF(AND(OR(AQ684="À RADIOGRAPHIER",AQ684="RÉPARÉ – À RADIOGRAPHIER",AQ684="NX – RT À REFAIRE"),OR('PROGRAMME RT'!$D$5="TOUTES",B684='PROGRAMME RT'!$D$5)),1,0)</f>
        <v>0</v>
      </c>
      <c r="AT684" s="82" t="str">
        <f aca="false">IF(AS684=1,SUM(AS$7:AS684),"")</f>
        <v/>
      </c>
      <c r="AU684" s="82" t="n">
        <f aca="false">IF(AND(OR(AA684="R",AA684="NX",AA684="NT",AA684="CO"),OR('JOINTS DE RÉPARATION'!$D$5="TOUTES",B684='JOINTS DE RÉPARATION'!$D$5),OR('JOINTS DE RÉPARATION'!$L$4="TOUS",AQ684&lt;&gt;"ACCEPTÉ")),1,0)</f>
        <v>0</v>
      </c>
      <c r="AV684" s="82" t="str">
        <f aca="false">IF(AU684=1,SUM(AU$7:AU684),"")</f>
        <v/>
      </c>
      <c r="AW684" s="82" t="str">
        <f aca="false">IF(E684="","",B684&amp;"|"&amp;E684)</f>
        <v>MFD-ISW → MFD-CPF|JN°678</v>
      </c>
    </row>
    <row r="685" customFormat="false" ht="74.6" hidden="false" customHeight="false" outlineLevel="0" collapsed="false">
      <c r="A685" s="79" t="n">
        <f aca="false">IF(E685="","",ROW()-6)</f>
        <v>679</v>
      </c>
      <c r="B685" s="80" t="s">
        <v>110</v>
      </c>
      <c r="C685" s="81"/>
      <c r="D685" s="81"/>
      <c r="E685" s="81" t="s">
        <v>789</v>
      </c>
      <c r="F685" s="82" t="str">
        <f aca="false">IF(E685="","",IF(LEFT(E685,2)="DJ","DJ","JN"))</f>
        <v>JN</v>
      </c>
      <c r="G685" s="81"/>
      <c r="H685" s="81"/>
      <c r="I685" s="81"/>
      <c r="J685" s="81"/>
      <c r="K685" s="81"/>
      <c r="L685" s="81"/>
      <c r="M685" s="81"/>
      <c r="N685" s="81"/>
      <c r="O685" s="81"/>
      <c r="P685" s="81"/>
      <c r="Q685" s="81"/>
      <c r="R685" s="81"/>
      <c r="S685" s="81"/>
      <c r="T685" s="81"/>
      <c r="U685" s="83"/>
      <c r="V685" s="83"/>
      <c r="W685" s="81"/>
      <c r="X685" s="81"/>
      <c r="Y685" s="83"/>
      <c r="Z685" s="81"/>
      <c r="AA685" s="81"/>
      <c r="AB685" s="81"/>
      <c r="AC685" s="81"/>
      <c r="AD685" s="81"/>
      <c r="AE685" s="83"/>
      <c r="AF685" s="81"/>
      <c r="AG685" s="81"/>
      <c r="AH685" s="81"/>
      <c r="AI685" s="81"/>
      <c r="AJ685" s="83"/>
      <c r="AK685" s="81"/>
      <c r="AL685" s="81"/>
      <c r="AM685" s="83"/>
      <c r="AN685" s="80"/>
      <c r="AO685" s="82" t="n">
        <f aca="false">IF(E685="","",(AA685&lt;&gt;"")+(AG685&lt;&gt;"")+(AL685&lt;&gt;""))</f>
        <v>0</v>
      </c>
      <c r="AP685" s="82" t="str">
        <f aca="false">IF(AL685&lt;&gt;"",AL685,IF(AG685&lt;&gt;"",AG685,IF(AA685&lt;&gt;"",AA685,"")))</f>
        <v/>
      </c>
      <c r="AQ685" s="84" t="str">
        <f aca="false">IF(E685="","",IF(U685="","À SOUDER",IF(X685="","VT EN ATTENTE",IF(X685="R","VT REJETÉ – À REPRENDRE",IF(AP685="","À RADIOGRAPHIER",IF(AP685="A","ACCEPTÉ",IF(AP685="NX","NX – RT À REFAIRE",IF(IF(AO685=1,AD685,IF(AO685=2,AI685,""))="A","RÉPARÉ – À RADIOGRAPHIER",IF(IF(AO685=1,AD685,IF(AO685=2,AI685,""))="R","VT REJETÉ – À REPRENDRE",IF(OR(AP685="CO",AP685="NT"),"COUPE – À RESOUDER","À RÉPARER"))))))))))</f>
        <v>À SOUDER</v>
      </c>
      <c r="AR685" s="82" t="str">
        <f aca="false">IF(AND(ISNUMBER(U685),OR(AQ685="À RADIOGRAPHIER",AQ685="RÉPARÉ – À RADIOGRAPHIER",AQ685="NX – RT À REFAIRE",AQ685="À RÉPARER",AQ685="COUPE – À RESOUDER",AQ685="VT REJETÉ – À REPRENDRE")),MAX(0,'PROGRAMME RT'!$C$4-U685),"")</f>
        <v/>
      </c>
      <c r="AS685" s="82" t="n">
        <f aca="false">IF(AND(OR(AQ685="À RADIOGRAPHIER",AQ685="RÉPARÉ – À RADIOGRAPHIER",AQ685="NX – RT À REFAIRE"),OR('PROGRAMME RT'!$D$5="TOUTES",B685='PROGRAMME RT'!$D$5)),1,0)</f>
        <v>0</v>
      </c>
      <c r="AT685" s="82" t="str">
        <f aca="false">IF(AS685=1,SUM(AS$7:AS685),"")</f>
        <v/>
      </c>
      <c r="AU685" s="82" t="n">
        <f aca="false">IF(AND(OR(AA685="R",AA685="NX",AA685="NT",AA685="CO"),OR('JOINTS DE RÉPARATION'!$D$5="TOUTES",B685='JOINTS DE RÉPARATION'!$D$5),OR('JOINTS DE RÉPARATION'!$L$4="TOUS",AQ685&lt;&gt;"ACCEPTÉ")),1,0)</f>
        <v>0</v>
      </c>
      <c r="AV685" s="82" t="str">
        <f aca="false">IF(AU685=1,SUM(AU$7:AU685),"")</f>
        <v/>
      </c>
      <c r="AW685" s="82" t="str">
        <f aca="false">IF(E685="","",B685&amp;"|"&amp;E685)</f>
        <v>MFD-ISW → MFD-CPF|JN°679</v>
      </c>
    </row>
    <row r="686" customFormat="false" ht="74.6" hidden="false" customHeight="false" outlineLevel="0" collapsed="false">
      <c r="A686" s="79" t="n">
        <f aca="false">IF(E686="","",ROW()-6)</f>
        <v>680</v>
      </c>
      <c r="B686" s="80" t="s">
        <v>110</v>
      </c>
      <c r="C686" s="81"/>
      <c r="D686" s="81"/>
      <c r="E686" s="81" t="s">
        <v>790</v>
      </c>
      <c r="F686" s="82" t="str">
        <f aca="false">IF(E686="","",IF(LEFT(E686,2)="DJ","DJ","JN"))</f>
        <v>JN</v>
      </c>
      <c r="G686" s="81"/>
      <c r="H686" s="81"/>
      <c r="I686" s="81"/>
      <c r="J686" s="81"/>
      <c r="K686" s="81"/>
      <c r="L686" s="81"/>
      <c r="M686" s="81"/>
      <c r="N686" s="81"/>
      <c r="O686" s="81"/>
      <c r="P686" s="81"/>
      <c r="Q686" s="81"/>
      <c r="R686" s="81"/>
      <c r="S686" s="81"/>
      <c r="T686" s="81"/>
      <c r="U686" s="83"/>
      <c r="V686" s="83"/>
      <c r="W686" s="81"/>
      <c r="X686" s="81"/>
      <c r="Y686" s="83"/>
      <c r="Z686" s="81"/>
      <c r="AA686" s="81"/>
      <c r="AB686" s="81"/>
      <c r="AC686" s="81"/>
      <c r="AD686" s="81"/>
      <c r="AE686" s="83"/>
      <c r="AF686" s="81"/>
      <c r="AG686" s="81"/>
      <c r="AH686" s="81"/>
      <c r="AI686" s="81"/>
      <c r="AJ686" s="83"/>
      <c r="AK686" s="81"/>
      <c r="AL686" s="81"/>
      <c r="AM686" s="83"/>
      <c r="AN686" s="80"/>
      <c r="AO686" s="82" t="n">
        <f aca="false">IF(E686="","",(AA686&lt;&gt;"")+(AG686&lt;&gt;"")+(AL686&lt;&gt;""))</f>
        <v>0</v>
      </c>
      <c r="AP686" s="82" t="str">
        <f aca="false">IF(AL686&lt;&gt;"",AL686,IF(AG686&lt;&gt;"",AG686,IF(AA686&lt;&gt;"",AA686,"")))</f>
        <v/>
      </c>
      <c r="AQ686" s="84" t="str">
        <f aca="false">IF(E686="","",IF(U686="","À SOUDER",IF(X686="","VT EN ATTENTE",IF(X686="R","VT REJETÉ – À REPRENDRE",IF(AP686="","À RADIOGRAPHIER",IF(AP686="A","ACCEPTÉ",IF(AP686="NX","NX – RT À REFAIRE",IF(IF(AO686=1,AD686,IF(AO686=2,AI686,""))="A","RÉPARÉ – À RADIOGRAPHIER",IF(IF(AO686=1,AD686,IF(AO686=2,AI686,""))="R","VT REJETÉ – À REPRENDRE",IF(OR(AP686="CO",AP686="NT"),"COUPE – À RESOUDER","À RÉPARER"))))))))))</f>
        <v>À SOUDER</v>
      </c>
      <c r="AR686" s="82" t="str">
        <f aca="false">IF(AND(ISNUMBER(U686),OR(AQ686="À RADIOGRAPHIER",AQ686="RÉPARÉ – À RADIOGRAPHIER",AQ686="NX – RT À REFAIRE",AQ686="À RÉPARER",AQ686="COUPE – À RESOUDER",AQ686="VT REJETÉ – À REPRENDRE")),MAX(0,'PROGRAMME RT'!$C$4-U686),"")</f>
        <v/>
      </c>
      <c r="AS686" s="82" t="n">
        <f aca="false">IF(AND(OR(AQ686="À RADIOGRAPHIER",AQ686="RÉPARÉ – À RADIOGRAPHIER",AQ686="NX – RT À REFAIRE"),OR('PROGRAMME RT'!$D$5="TOUTES",B686='PROGRAMME RT'!$D$5)),1,0)</f>
        <v>0</v>
      </c>
      <c r="AT686" s="82" t="str">
        <f aca="false">IF(AS686=1,SUM(AS$7:AS686),"")</f>
        <v/>
      </c>
      <c r="AU686" s="82" t="n">
        <f aca="false">IF(AND(OR(AA686="R",AA686="NX",AA686="NT",AA686="CO"),OR('JOINTS DE RÉPARATION'!$D$5="TOUTES",B686='JOINTS DE RÉPARATION'!$D$5),OR('JOINTS DE RÉPARATION'!$L$4="TOUS",AQ686&lt;&gt;"ACCEPTÉ")),1,0)</f>
        <v>0</v>
      </c>
      <c r="AV686" s="82" t="str">
        <f aca="false">IF(AU686=1,SUM(AU$7:AU686),"")</f>
        <v/>
      </c>
      <c r="AW686" s="82" t="str">
        <f aca="false">IF(E686="","",B686&amp;"|"&amp;E686)</f>
        <v>MFD-ISW → MFD-CPF|JN°680</v>
      </c>
    </row>
    <row r="687" customFormat="false" ht="74.6" hidden="false" customHeight="false" outlineLevel="0" collapsed="false">
      <c r="A687" s="79" t="n">
        <f aca="false">IF(E687="","",ROW()-6)</f>
        <v>681</v>
      </c>
      <c r="B687" s="80" t="s">
        <v>110</v>
      </c>
      <c r="C687" s="81"/>
      <c r="D687" s="81"/>
      <c r="E687" s="81" t="s">
        <v>791</v>
      </c>
      <c r="F687" s="82" t="str">
        <f aca="false">IF(E687="","",IF(LEFT(E687,2)="DJ","DJ","JN"))</f>
        <v>JN</v>
      </c>
      <c r="G687" s="81"/>
      <c r="H687" s="81"/>
      <c r="I687" s="81"/>
      <c r="J687" s="81"/>
      <c r="K687" s="81"/>
      <c r="L687" s="81"/>
      <c r="M687" s="81"/>
      <c r="N687" s="81"/>
      <c r="O687" s="81"/>
      <c r="P687" s="81"/>
      <c r="Q687" s="81"/>
      <c r="R687" s="81"/>
      <c r="S687" s="81"/>
      <c r="T687" s="81"/>
      <c r="U687" s="83"/>
      <c r="V687" s="83"/>
      <c r="W687" s="81"/>
      <c r="X687" s="81"/>
      <c r="Y687" s="83"/>
      <c r="Z687" s="81"/>
      <c r="AA687" s="81"/>
      <c r="AB687" s="81"/>
      <c r="AC687" s="81"/>
      <c r="AD687" s="81"/>
      <c r="AE687" s="83"/>
      <c r="AF687" s="81"/>
      <c r="AG687" s="81"/>
      <c r="AH687" s="81"/>
      <c r="AI687" s="81"/>
      <c r="AJ687" s="83"/>
      <c r="AK687" s="81"/>
      <c r="AL687" s="81"/>
      <c r="AM687" s="83"/>
      <c r="AN687" s="80"/>
      <c r="AO687" s="82" t="n">
        <f aca="false">IF(E687="","",(AA687&lt;&gt;"")+(AG687&lt;&gt;"")+(AL687&lt;&gt;""))</f>
        <v>0</v>
      </c>
      <c r="AP687" s="82" t="str">
        <f aca="false">IF(AL687&lt;&gt;"",AL687,IF(AG687&lt;&gt;"",AG687,IF(AA687&lt;&gt;"",AA687,"")))</f>
        <v/>
      </c>
      <c r="AQ687" s="84" t="str">
        <f aca="false">IF(E687="","",IF(U687="","À SOUDER",IF(X687="","VT EN ATTENTE",IF(X687="R","VT REJETÉ – À REPRENDRE",IF(AP687="","À RADIOGRAPHIER",IF(AP687="A","ACCEPTÉ",IF(AP687="NX","NX – RT À REFAIRE",IF(IF(AO687=1,AD687,IF(AO687=2,AI687,""))="A","RÉPARÉ – À RADIOGRAPHIER",IF(IF(AO687=1,AD687,IF(AO687=2,AI687,""))="R","VT REJETÉ – À REPRENDRE",IF(OR(AP687="CO",AP687="NT"),"COUPE – À RESOUDER","À RÉPARER"))))))))))</f>
        <v>À SOUDER</v>
      </c>
      <c r="AR687" s="82" t="str">
        <f aca="false">IF(AND(ISNUMBER(U687),OR(AQ687="À RADIOGRAPHIER",AQ687="RÉPARÉ – À RADIOGRAPHIER",AQ687="NX – RT À REFAIRE",AQ687="À RÉPARER",AQ687="COUPE – À RESOUDER",AQ687="VT REJETÉ – À REPRENDRE")),MAX(0,'PROGRAMME RT'!$C$4-U687),"")</f>
        <v/>
      </c>
      <c r="AS687" s="82" t="n">
        <f aca="false">IF(AND(OR(AQ687="À RADIOGRAPHIER",AQ687="RÉPARÉ – À RADIOGRAPHIER",AQ687="NX – RT À REFAIRE"),OR('PROGRAMME RT'!$D$5="TOUTES",B687='PROGRAMME RT'!$D$5)),1,0)</f>
        <v>0</v>
      </c>
      <c r="AT687" s="82" t="str">
        <f aca="false">IF(AS687=1,SUM(AS$7:AS687),"")</f>
        <v/>
      </c>
      <c r="AU687" s="82" t="n">
        <f aca="false">IF(AND(OR(AA687="R",AA687="NX",AA687="NT",AA687="CO"),OR('JOINTS DE RÉPARATION'!$D$5="TOUTES",B687='JOINTS DE RÉPARATION'!$D$5),OR('JOINTS DE RÉPARATION'!$L$4="TOUS",AQ687&lt;&gt;"ACCEPTÉ")),1,0)</f>
        <v>0</v>
      </c>
      <c r="AV687" s="82" t="str">
        <f aca="false">IF(AU687=1,SUM(AU$7:AU687),"")</f>
        <v/>
      </c>
      <c r="AW687" s="82" t="str">
        <f aca="false">IF(E687="","",B687&amp;"|"&amp;E687)</f>
        <v>MFD-ISW → MFD-CPF|JN°681</v>
      </c>
    </row>
    <row r="688" customFormat="false" ht="74.6" hidden="false" customHeight="false" outlineLevel="0" collapsed="false">
      <c r="A688" s="79" t="n">
        <f aca="false">IF(E688="","",ROW()-6)</f>
        <v>682</v>
      </c>
      <c r="B688" s="80" t="s">
        <v>110</v>
      </c>
      <c r="C688" s="81"/>
      <c r="D688" s="81"/>
      <c r="E688" s="81" t="s">
        <v>792</v>
      </c>
      <c r="F688" s="82" t="str">
        <f aca="false">IF(E688="","",IF(LEFT(E688,2)="DJ","DJ","JN"))</f>
        <v>JN</v>
      </c>
      <c r="G688" s="81"/>
      <c r="H688" s="81"/>
      <c r="I688" s="81"/>
      <c r="J688" s="81"/>
      <c r="K688" s="81"/>
      <c r="L688" s="81"/>
      <c r="M688" s="81"/>
      <c r="N688" s="81"/>
      <c r="O688" s="81"/>
      <c r="P688" s="81"/>
      <c r="Q688" s="81"/>
      <c r="R688" s="81"/>
      <c r="S688" s="81"/>
      <c r="T688" s="81"/>
      <c r="U688" s="83"/>
      <c r="V688" s="83"/>
      <c r="W688" s="81"/>
      <c r="X688" s="81"/>
      <c r="Y688" s="83"/>
      <c r="Z688" s="81"/>
      <c r="AA688" s="81"/>
      <c r="AB688" s="81"/>
      <c r="AC688" s="81"/>
      <c r="AD688" s="81"/>
      <c r="AE688" s="83"/>
      <c r="AF688" s="81"/>
      <c r="AG688" s="81"/>
      <c r="AH688" s="81"/>
      <c r="AI688" s="81"/>
      <c r="AJ688" s="83"/>
      <c r="AK688" s="81"/>
      <c r="AL688" s="81"/>
      <c r="AM688" s="83"/>
      <c r="AN688" s="80"/>
      <c r="AO688" s="82" t="n">
        <f aca="false">IF(E688="","",(AA688&lt;&gt;"")+(AG688&lt;&gt;"")+(AL688&lt;&gt;""))</f>
        <v>0</v>
      </c>
      <c r="AP688" s="82" t="str">
        <f aca="false">IF(AL688&lt;&gt;"",AL688,IF(AG688&lt;&gt;"",AG688,IF(AA688&lt;&gt;"",AA688,"")))</f>
        <v/>
      </c>
      <c r="AQ688" s="84" t="str">
        <f aca="false">IF(E688="","",IF(U688="","À SOUDER",IF(X688="","VT EN ATTENTE",IF(X688="R","VT REJETÉ – À REPRENDRE",IF(AP688="","À RADIOGRAPHIER",IF(AP688="A","ACCEPTÉ",IF(AP688="NX","NX – RT À REFAIRE",IF(IF(AO688=1,AD688,IF(AO688=2,AI688,""))="A","RÉPARÉ – À RADIOGRAPHIER",IF(IF(AO688=1,AD688,IF(AO688=2,AI688,""))="R","VT REJETÉ – À REPRENDRE",IF(OR(AP688="CO",AP688="NT"),"COUPE – À RESOUDER","À RÉPARER"))))))))))</f>
        <v>À SOUDER</v>
      </c>
      <c r="AR688" s="82" t="str">
        <f aca="false">IF(AND(ISNUMBER(U688),OR(AQ688="À RADIOGRAPHIER",AQ688="RÉPARÉ – À RADIOGRAPHIER",AQ688="NX – RT À REFAIRE",AQ688="À RÉPARER",AQ688="COUPE – À RESOUDER",AQ688="VT REJETÉ – À REPRENDRE")),MAX(0,'PROGRAMME RT'!$C$4-U688),"")</f>
        <v/>
      </c>
      <c r="AS688" s="82" t="n">
        <f aca="false">IF(AND(OR(AQ688="À RADIOGRAPHIER",AQ688="RÉPARÉ – À RADIOGRAPHIER",AQ688="NX – RT À REFAIRE"),OR('PROGRAMME RT'!$D$5="TOUTES",B688='PROGRAMME RT'!$D$5)),1,0)</f>
        <v>0</v>
      </c>
      <c r="AT688" s="82" t="str">
        <f aca="false">IF(AS688=1,SUM(AS$7:AS688),"")</f>
        <v/>
      </c>
      <c r="AU688" s="82" t="n">
        <f aca="false">IF(AND(OR(AA688="R",AA688="NX",AA688="NT",AA688="CO"),OR('JOINTS DE RÉPARATION'!$D$5="TOUTES",B688='JOINTS DE RÉPARATION'!$D$5),OR('JOINTS DE RÉPARATION'!$L$4="TOUS",AQ688&lt;&gt;"ACCEPTÉ")),1,0)</f>
        <v>0</v>
      </c>
      <c r="AV688" s="82" t="str">
        <f aca="false">IF(AU688=1,SUM(AU$7:AU688),"")</f>
        <v/>
      </c>
      <c r="AW688" s="82" t="str">
        <f aca="false">IF(E688="","",B688&amp;"|"&amp;E688)</f>
        <v>MFD-ISW → MFD-CPF|JN°682</v>
      </c>
    </row>
    <row r="689" customFormat="false" ht="74.6" hidden="false" customHeight="false" outlineLevel="0" collapsed="false">
      <c r="A689" s="79" t="n">
        <f aca="false">IF(E689="","",ROW()-6)</f>
        <v>683</v>
      </c>
      <c r="B689" s="80" t="s">
        <v>110</v>
      </c>
      <c r="C689" s="81"/>
      <c r="D689" s="81"/>
      <c r="E689" s="81" t="s">
        <v>793</v>
      </c>
      <c r="F689" s="82" t="str">
        <f aca="false">IF(E689="","",IF(LEFT(E689,2)="DJ","DJ","JN"))</f>
        <v>JN</v>
      </c>
      <c r="G689" s="81"/>
      <c r="H689" s="81"/>
      <c r="I689" s="81"/>
      <c r="J689" s="81"/>
      <c r="K689" s="81"/>
      <c r="L689" s="81"/>
      <c r="M689" s="81"/>
      <c r="N689" s="81"/>
      <c r="O689" s="81"/>
      <c r="P689" s="81"/>
      <c r="Q689" s="81"/>
      <c r="R689" s="81"/>
      <c r="S689" s="81"/>
      <c r="T689" s="81"/>
      <c r="U689" s="83"/>
      <c r="V689" s="83"/>
      <c r="W689" s="81"/>
      <c r="X689" s="81"/>
      <c r="Y689" s="83"/>
      <c r="Z689" s="81"/>
      <c r="AA689" s="81"/>
      <c r="AB689" s="81"/>
      <c r="AC689" s="81"/>
      <c r="AD689" s="81"/>
      <c r="AE689" s="83"/>
      <c r="AF689" s="81"/>
      <c r="AG689" s="81"/>
      <c r="AH689" s="81"/>
      <c r="AI689" s="81"/>
      <c r="AJ689" s="83"/>
      <c r="AK689" s="81"/>
      <c r="AL689" s="81"/>
      <c r="AM689" s="83"/>
      <c r="AN689" s="80"/>
      <c r="AO689" s="82" t="n">
        <f aca="false">IF(E689="","",(AA689&lt;&gt;"")+(AG689&lt;&gt;"")+(AL689&lt;&gt;""))</f>
        <v>0</v>
      </c>
      <c r="AP689" s="82" t="str">
        <f aca="false">IF(AL689&lt;&gt;"",AL689,IF(AG689&lt;&gt;"",AG689,IF(AA689&lt;&gt;"",AA689,"")))</f>
        <v/>
      </c>
      <c r="AQ689" s="84" t="str">
        <f aca="false">IF(E689="","",IF(U689="","À SOUDER",IF(X689="","VT EN ATTENTE",IF(X689="R","VT REJETÉ – À REPRENDRE",IF(AP689="","À RADIOGRAPHIER",IF(AP689="A","ACCEPTÉ",IF(AP689="NX","NX – RT À REFAIRE",IF(IF(AO689=1,AD689,IF(AO689=2,AI689,""))="A","RÉPARÉ – À RADIOGRAPHIER",IF(IF(AO689=1,AD689,IF(AO689=2,AI689,""))="R","VT REJETÉ – À REPRENDRE",IF(OR(AP689="CO",AP689="NT"),"COUPE – À RESOUDER","À RÉPARER"))))))))))</f>
        <v>À SOUDER</v>
      </c>
      <c r="AR689" s="82" t="str">
        <f aca="false">IF(AND(ISNUMBER(U689),OR(AQ689="À RADIOGRAPHIER",AQ689="RÉPARÉ – À RADIOGRAPHIER",AQ689="NX – RT À REFAIRE",AQ689="À RÉPARER",AQ689="COUPE – À RESOUDER",AQ689="VT REJETÉ – À REPRENDRE")),MAX(0,'PROGRAMME RT'!$C$4-U689),"")</f>
        <v/>
      </c>
      <c r="AS689" s="82" t="n">
        <f aca="false">IF(AND(OR(AQ689="À RADIOGRAPHIER",AQ689="RÉPARÉ – À RADIOGRAPHIER",AQ689="NX – RT À REFAIRE"),OR('PROGRAMME RT'!$D$5="TOUTES",B689='PROGRAMME RT'!$D$5)),1,0)</f>
        <v>0</v>
      </c>
      <c r="AT689" s="82" t="str">
        <f aca="false">IF(AS689=1,SUM(AS$7:AS689),"")</f>
        <v/>
      </c>
      <c r="AU689" s="82" t="n">
        <f aca="false">IF(AND(OR(AA689="R",AA689="NX",AA689="NT",AA689="CO"),OR('JOINTS DE RÉPARATION'!$D$5="TOUTES",B689='JOINTS DE RÉPARATION'!$D$5),OR('JOINTS DE RÉPARATION'!$L$4="TOUS",AQ689&lt;&gt;"ACCEPTÉ")),1,0)</f>
        <v>0</v>
      </c>
      <c r="AV689" s="82" t="str">
        <f aca="false">IF(AU689=1,SUM(AU$7:AU689),"")</f>
        <v/>
      </c>
      <c r="AW689" s="82" t="str">
        <f aca="false">IF(E689="","",B689&amp;"|"&amp;E689)</f>
        <v>MFD-ISW → MFD-CPF|JN°683</v>
      </c>
    </row>
    <row r="690" customFormat="false" ht="74.6" hidden="false" customHeight="false" outlineLevel="0" collapsed="false">
      <c r="A690" s="79" t="n">
        <f aca="false">IF(E690="","",ROW()-6)</f>
        <v>684</v>
      </c>
      <c r="B690" s="80" t="s">
        <v>110</v>
      </c>
      <c r="C690" s="81"/>
      <c r="D690" s="81"/>
      <c r="E690" s="81" t="s">
        <v>794</v>
      </c>
      <c r="F690" s="82" t="str">
        <f aca="false">IF(E690="","",IF(LEFT(E690,2)="DJ","DJ","JN"))</f>
        <v>JN</v>
      </c>
      <c r="G690" s="81"/>
      <c r="H690" s="81"/>
      <c r="I690" s="81"/>
      <c r="J690" s="81"/>
      <c r="K690" s="81"/>
      <c r="L690" s="81"/>
      <c r="M690" s="81"/>
      <c r="N690" s="81"/>
      <c r="O690" s="81"/>
      <c r="P690" s="81"/>
      <c r="Q690" s="81"/>
      <c r="R690" s="81"/>
      <c r="S690" s="81"/>
      <c r="T690" s="81"/>
      <c r="U690" s="83"/>
      <c r="V690" s="83"/>
      <c r="W690" s="81"/>
      <c r="X690" s="81"/>
      <c r="Y690" s="83"/>
      <c r="Z690" s="81"/>
      <c r="AA690" s="81"/>
      <c r="AB690" s="81"/>
      <c r="AC690" s="81"/>
      <c r="AD690" s="81"/>
      <c r="AE690" s="83"/>
      <c r="AF690" s="81"/>
      <c r="AG690" s="81"/>
      <c r="AH690" s="81"/>
      <c r="AI690" s="81"/>
      <c r="AJ690" s="83"/>
      <c r="AK690" s="81"/>
      <c r="AL690" s="81"/>
      <c r="AM690" s="83"/>
      <c r="AN690" s="80"/>
      <c r="AO690" s="82" t="n">
        <f aca="false">IF(E690="","",(AA690&lt;&gt;"")+(AG690&lt;&gt;"")+(AL690&lt;&gt;""))</f>
        <v>0</v>
      </c>
      <c r="AP690" s="82" t="str">
        <f aca="false">IF(AL690&lt;&gt;"",AL690,IF(AG690&lt;&gt;"",AG690,IF(AA690&lt;&gt;"",AA690,"")))</f>
        <v/>
      </c>
      <c r="AQ690" s="84" t="str">
        <f aca="false">IF(E690="","",IF(U690="","À SOUDER",IF(X690="","VT EN ATTENTE",IF(X690="R","VT REJETÉ – À REPRENDRE",IF(AP690="","À RADIOGRAPHIER",IF(AP690="A","ACCEPTÉ",IF(AP690="NX","NX – RT À REFAIRE",IF(IF(AO690=1,AD690,IF(AO690=2,AI690,""))="A","RÉPARÉ – À RADIOGRAPHIER",IF(IF(AO690=1,AD690,IF(AO690=2,AI690,""))="R","VT REJETÉ – À REPRENDRE",IF(OR(AP690="CO",AP690="NT"),"COUPE – À RESOUDER","À RÉPARER"))))))))))</f>
        <v>À SOUDER</v>
      </c>
      <c r="AR690" s="82" t="str">
        <f aca="false">IF(AND(ISNUMBER(U690),OR(AQ690="À RADIOGRAPHIER",AQ690="RÉPARÉ – À RADIOGRAPHIER",AQ690="NX – RT À REFAIRE",AQ690="À RÉPARER",AQ690="COUPE – À RESOUDER",AQ690="VT REJETÉ – À REPRENDRE")),MAX(0,'PROGRAMME RT'!$C$4-U690),"")</f>
        <v/>
      </c>
      <c r="AS690" s="82" t="n">
        <f aca="false">IF(AND(OR(AQ690="À RADIOGRAPHIER",AQ690="RÉPARÉ – À RADIOGRAPHIER",AQ690="NX – RT À REFAIRE"),OR('PROGRAMME RT'!$D$5="TOUTES",B690='PROGRAMME RT'!$D$5)),1,0)</f>
        <v>0</v>
      </c>
      <c r="AT690" s="82" t="str">
        <f aca="false">IF(AS690=1,SUM(AS$7:AS690),"")</f>
        <v/>
      </c>
      <c r="AU690" s="82" t="n">
        <f aca="false">IF(AND(OR(AA690="R",AA690="NX",AA690="NT",AA690="CO"),OR('JOINTS DE RÉPARATION'!$D$5="TOUTES",B690='JOINTS DE RÉPARATION'!$D$5),OR('JOINTS DE RÉPARATION'!$L$4="TOUS",AQ690&lt;&gt;"ACCEPTÉ")),1,0)</f>
        <v>0</v>
      </c>
      <c r="AV690" s="82" t="str">
        <f aca="false">IF(AU690=1,SUM(AU$7:AU690),"")</f>
        <v/>
      </c>
      <c r="AW690" s="82" t="str">
        <f aca="false">IF(E690="","",B690&amp;"|"&amp;E690)</f>
        <v>MFD-ISW → MFD-CPF|JN°684</v>
      </c>
    </row>
    <row r="691" customFormat="false" ht="74.6" hidden="false" customHeight="false" outlineLevel="0" collapsed="false">
      <c r="A691" s="79" t="n">
        <f aca="false">IF(E691="","",ROW()-6)</f>
        <v>685</v>
      </c>
      <c r="B691" s="80" t="s">
        <v>110</v>
      </c>
      <c r="C691" s="81"/>
      <c r="D691" s="81"/>
      <c r="E691" s="81" t="s">
        <v>795</v>
      </c>
      <c r="F691" s="82" t="str">
        <f aca="false">IF(E691="","",IF(LEFT(E691,2)="DJ","DJ","JN"))</f>
        <v>JN</v>
      </c>
      <c r="G691" s="81"/>
      <c r="H691" s="81"/>
      <c r="I691" s="81"/>
      <c r="J691" s="81"/>
      <c r="K691" s="81"/>
      <c r="L691" s="81"/>
      <c r="M691" s="81"/>
      <c r="N691" s="81"/>
      <c r="O691" s="81"/>
      <c r="P691" s="81"/>
      <c r="Q691" s="81"/>
      <c r="R691" s="81"/>
      <c r="S691" s="81"/>
      <c r="T691" s="81"/>
      <c r="U691" s="83"/>
      <c r="V691" s="83"/>
      <c r="W691" s="81"/>
      <c r="X691" s="81"/>
      <c r="Y691" s="83"/>
      <c r="Z691" s="81"/>
      <c r="AA691" s="81"/>
      <c r="AB691" s="81"/>
      <c r="AC691" s="81"/>
      <c r="AD691" s="81"/>
      <c r="AE691" s="83"/>
      <c r="AF691" s="81"/>
      <c r="AG691" s="81"/>
      <c r="AH691" s="81"/>
      <c r="AI691" s="81"/>
      <c r="AJ691" s="83"/>
      <c r="AK691" s="81"/>
      <c r="AL691" s="81"/>
      <c r="AM691" s="83"/>
      <c r="AN691" s="80"/>
      <c r="AO691" s="82" t="n">
        <f aca="false">IF(E691="","",(AA691&lt;&gt;"")+(AG691&lt;&gt;"")+(AL691&lt;&gt;""))</f>
        <v>0</v>
      </c>
      <c r="AP691" s="82" t="str">
        <f aca="false">IF(AL691&lt;&gt;"",AL691,IF(AG691&lt;&gt;"",AG691,IF(AA691&lt;&gt;"",AA691,"")))</f>
        <v/>
      </c>
      <c r="AQ691" s="84" t="str">
        <f aca="false">IF(E691="","",IF(U691="","À SOUDER",IF(X691="","VT EN ATTENTE",IF(X691="R","VT REJETÉ – À REPRENDRE",IF(AP691="","À RADIOGRAPHIER",IF(AP691="A","ACCEPTÉ",IF(AP691="NX","NX – RT À REFAIRE",IF(IF(AO691=1,AD691,IF(AO691=2,AI691,""))="A","RÉPARÉ – À RADIOGRAPHIER",IF(IF(AO691=1,AD691,IF(AO691=2,AI691,""))="R","VT REJETÉ – À REPRENDRE",IF(OR(AP691="CO",AP691="NT"),"COUPE – À RESOUDER","À RÉPARER"))))))))))</f>
        <v>À SOUDER</v>
      </c>
      <c r="AR691" s="82" t="str">
        <f aca="false">IF(AND(ISNUMBER(U691),OR(AQ691="À RADIOGRAPHIER",AQ691="RÉPARÉ – À RADIOGRAPHIER",AQ691="NX – RT À REFAIRE",AQ691="À RÉPARER",AQ691="COUPE – À RESOUDER",AQ691="VT REJETÉ – À REPRENDRE")),MAX(0,'PROGRAMME RT'!$C$4-U691),"")</f>
        <v/>
      </c>
      <c r="AS691" s="82" t="n">
        <f aca="false">IF(AND(OR(AQ691="À RADIOGRAPHIER",AQ691="RÉPARÉ – À RADIOGRAPHIER",AQ691="NX – RT À REFAIRE"),OR('PROGRAMME RT'!$D$5="TOUTES",B691='PROGRAMME RT'!$D$5)),1,0)</f>
        <v>0</v>
      </c>
      <c r="AT691" s="82" t="str">
        <f aca="false">IF(AS691=1,SUM(AS$7:AS691),"")</f>
        <v/>
      </c>
      <c r="AU691" s="82" t="n">
        <f aca="false">IF(AND(OR(AA691="R",AA691="NX",AA691="NT",AA691="CO"),OR('JOINTS DE RÉPARATION'!$D$5="TOUTES",B691='JOINTS DE RÉPARATION'!$D$5),OR('JOINTS DE RÉPARATION'!$L$4="TOUS",AQ691&lt;&gt;"ACCEPTÉ")),1,0)</f>
        <v>0</v>
      </c>
      <c r="AV691" s="82" t="str">
        <f aca="false">IF(AU691=1,SUM(AU$7:AU691),"")</f>
        <v/>
      </c>
      <c r="AW691" s="82" t="str">
        <f aca="false">IF(E691="","",B691&amp;"|"&amp;E691)</f>
        <v>MFD-ISW → MFD-CPF|JN°685</v>
      </c>
    </row>
    <row r="692" customFormat="false" ht="74.6" hidden="false" customHeight="false" outlineLevel="0" collapsed="false">
      <c r="A692" s="79" t="n">
        <f aca="false">IF(E692="","",ROW()-6)</f>
        <v>686</v>
      </c>
      <c r="B692" s="80" t="s">
        <v>110</v>
      </c>
      <c r="C692" s="81"/>
      <c r="D692" s="81"/>
      <c r="E692" s="81" t="s">
        <v>796</v>
      </c>
      <c r="F692" s="82" t="str">
        <f aca="false">IF(E692="","",IF(LEFT(E692,2)="DJ","DJ","JN"))</f>
        <v>JN</v>
      </c>
      <c r="G692" s="81"/>
      <c r="H692" s="81"/>
      <c r="I692" s="81"/>
      <c r="J692" s="81"/>
      <c r="K692" s="81"/>
      <c r="L692" s="81"/>
      <c r="M692" s="81"/>
      <c r="N692" s="81"/>
      <c r="O692" s="81"/>
      <c r="P692" s="81"/>
      <c r="Q692" s="81"/>
      <c r="R692" s="81"/>
      <c r="S692" s="81"/>
      <c r="T692" s="81"/>
      <c r="U692" s="83"/>
      <c r="V692" s="83"/>
      <c r="W692" s="81"/>
      <c r="X692" s="81"/>
      <c r="Y692" s="83"/>
      <c r="Z692" s="81"/>
      <c r="AA692" s="81"/>
      <c r="AB692" s="81"/>
      <c r="AC692" s="81"/>
      <c r="AD692" s="81"/>
      <c r="AE692" s="83"/>
      <c r="AF692" s="81"/>
      <c r="AG692" s="81"/>
      <c r="AH692" s="81"/>
      <c r="AI692" s="81"/>
      <c r="AJ692" s="83"/>
      <c r="AK692" s="81"/>
      <c r="AL692" s="81"/>
      <c r="AM692" s="83"/>
      <c r="AN692" s="80"/>
      <c r="AO692" s="82" t="n">
        <f aca="false">IF(E692="","",(AA692&lt;&gt;"")+(AG692&lt;&gt;"")+(AL692&lt;&gt;""))</f>
        <v>0</v>
      </c>
      <c r="AP692" s="82" t="str">
        <f aca="false">IF(AL692&lt;&gt;"",AL692,IF(AG692&lt;&gt;"",AG692,IF(AA692&lt;&gt;"",AA692,"")))</f>
        <v/>
      </c>
      <c r="AQ692" s="84" t="str">
        <f aca="false">IF(E692="","",IF(U692="","À SOUDER",IF(X692="","VT EN ATTENTE",IF(X692="R","VT REJETÉ – À REPRENDRE",IF(AP692="","À RADIOGRAPHIER",IF(AP692="A","ACCEPTÉ",IF(AP692="NX","NX – RT À REFAIRE",IF(IF(AO692=1,AD692,IF(AO692=2,AI692,""))="A","RÉPARÉ – À RADIOGRAPHIER",IF(IF(AO692=1,AD692,IF(AO692=2,AI692,""))="R","VT REJETÉ – À REPRENDRE",IF(OR(AP692="CO",AP692="NT"),"COUPE – À RESOUDER","À RÉPARER"))))))))))</f>
        <v>À SOUDER</v>
      </c>
      <c r="AR692" s="82" t="str">
        <f aca="false">IF(AND(ISNUMBER(U692),OR(AQ692="À RADIOGRAPHIER",AQ692="RÉPARÉ – À RADIOGRAPHIER",AQ692="NX – RT À REFAIRE",AQ692="À RÉPARER",AQ692="COUPE – À RESOUDER",AQ692="VT REJETÉ – À REPRENDRE")),MAX(0,'PROGRAMME RT'!$C$4-U692),"")</f>
        <v/>
      </c>
      <c r="AS692" s="82" t="n">
        <f aca="false">IF(AND(OR(AQ692="À RADIOGRAPHIER",AQ692="RÉPARÉ – À RADIOGRAPHIER",AQ692="NX – RT À REFAIRE"),OR('PROGRAMME RT'!$D$5="TOUTES",B692='PROGRAMME RT'!$D$5)),1,0)</f>
        <v>0</v>
      </c>
      <c r="AT692" s="82" t="str">
        <f aca="false">IF(AS692=1,SUM(AS$7:AS692),"")</f>
        <v/>
      </c>
      <c r="AU692" s="82" t="n">
        <f aca="false">IF(AND(OR(AA692="R",AA692="NX",AA692="NT",AA692="CO"),OR('JOINTS DE RÉPARATION'!$D$5="TOUTES",B692='JOINTS DE RÉPARATION'!$D$5),OR('JOINTS DE RÉPARATION'!$L$4="TOUS",AQ692&lt;&gt;"ACCEPTÉ")),1,0)</f>
        <v>0</v>
      </c>
      <c r="AV692" s="82" t="str">
        <f aca="false">IF(AU692=1,SUM(AU$7:AU692),"")</f>
        <v/>
      </c>
      <c r="AW692" s="82" t="str">
        <f aca="false">IF(E692="","",B692&amp;"|"&amp;E692)</f>
        <v>MFD-ISW → MFD-CPF|JN°686</v>
      </c>
    </row>
    <row r="693" customFormat="false" ht="74.6" hidden="false" customHeight="false" outlineLevel="0" collapsed="false">
      <c r="A693" s="79" t="n">
        <f aca="false">IF(E693="","",ROW()-6)</f>
        <v>687</v>
      </c>
      <c r="B693" s="80" t="s">
        <v>110</v>
      </c>
      <c r="C693" s="81"/>
      <c r="D693" s="81"/>
      <c r="E693" s="81" t="s">
        <v>797</v>
      </c>
      <c r="F693" s="82" t="str">
        <f aca="false">IF(E693="","",IF(LEFT(E693,2)="DJ","DJ","JN"))</f>
        <v>JN</v>
      </c>
      <c r="G693" s="81"/>
      <c r="H693" s="81"/>
      <c r="I693" s="81"/>
      <c r="J693" s="81"/>
      <c r="K693" s="81"/>
      <c r="L693" s="81"/>
      <c r="M693" s="81"/>
      <c r="N693" s="81"/>
      <c r="O693" s="81"/>
      <c r="P693" s="81"/>
      <c r="Q693" s="81"/>
      <c r="R693" s="81"/>
      <c r="S693" s="81"/>
      <c r="T693" s="81"/>
      <c r="U693" s="83"/>
      <c r="V693" s="83"/>
      <c r="W693" s="81"/>
      <c r="X693" s="81"/>
      <c r="Y693" s="83"/>
      <c r="Z693" s="81"/>
      <c r="AA693" s="81"/>
      <c r="AB693" s="81"/>
      <c r="AC693" s="81"/>
      <c r="AD693" s="81"/>
      <c r="AE693" s="83"/>
      <c r="AF693" s="81"/>
      <c r="AG693" s="81"/>
      <c r="AH693" s="81"/>
      <c r="AI693" s="81"/>
      <c r="AJ693" s="83"/>
      <c r="AK693" s="81"/>
      <c r="AL693" s="81"/>
      <c r="AM693" s="83"/>
      <c r="AN693" s="80"/>
      <c r="AO693" s="82" t="n">
        <f aca="false">IF(E693="","",(AA693&lt;&gt;"")+(AG693&lt;&gt;"")+(AL693&lt;&gt;""))</f>
        <v>0</v>
      </c>
      <c r="AP693" s="82" t="str">
        <f aca="false">IF(AL693&lt;&gt;"",AL693,IF(AG693&lt;&gt;"",AG693,IF(AA693&lt;&gt;"",AA693,"")))</f>
        <v/>
      </c>
      <c r="AQ693" s="84" t="str">
        <f aca="false">IF(E693="","",IF(U693="","À SOUDER",IF(X693="","VT EN ATTENTE",IF(X693="R","VT REJETÉ – À REPRENDRE",IF(AP693="","À RADIOGRAPHIER",IF(AP693="A","ACCEPTÉ",IF(AP693="NX","NX – RT À REFAIRE",IF(IF(AO693=1,AD693,IF(AO693=2,AI693,""))="A","RÉPARÉ – À RADIOGRAPHIER",IF(IF(AO693=1,AD693,IF(AO693=2,AI693,""))="R","VT REJETÉ – À REPRENDRE",IF(OR(AP693="CO",AP693="NT"),"COUPE – À RESOUDER","À RÉPARER"))))))))))</f>
        <v>À SOUDER</v>
      </c>
      <c r="AR693" s="82" t="str">
        <f aca="false">IF(AND(ISNUMBER(U693),OR(AQ693="À RADIOGRAPHIER",AQ693="RÉPARÉ – À RADIOGRAPHIER",AQ693="NX – RT À REFAIRE",AQ693="À RÉPARER",AQ693="COUPE – À RESOUDER",AQ693="VT REJETÉ – À REPRENDRE")),MAX(0,'PROGRAMME RT'!$C$4-U693),"")</f>
        <v/>
      </c>
      <c r="AS693" s="82" t="n">
        <f aca="false">IF(AND(OR(AQ693="À RADIOGRAPHIER",AQ693="RÉPARÉ – À RADIOGRAPHIER",AQ693="NX – RT À REFAIRE"),OR('PROGRAMME RT'!$D$5="TOUTES",B693='PROGRAMME RT'!$D$5)),1,0)</f>
        <v>0</v>
      </c>
      <c r="AT693" s="82" t="str">
        <f aca="false">IF(AS693=1,SUM(AS$7:AS693),"")</f>
        <v/>
      </c>
      <c r="AU693" s="82" t="n">
        <f aca="false">IF(AND(OR(AA693="R",AA693="NX",AA693="NT",AA693="CO"),OR('JOINTS DE RÉPARATION'!$D$5="TOUTES",B693='JOINTS DE RÉPARATION'!$D$5),OR('JOINTS DE RÉPARATION'!$L$4="TOUS",AQ693&lt;&gt;"ACCEPTÉ")),1,0)</f>
        <v>0</v>
      </c>
      <c r="AV693" s="82" t="str">
        <f aca="false">IF(AU693=1,SUM(AU$7:AU693),"")</f>
        <v/>
      </c>
      <c r="AW693" s="82" t="str">
        <f aca="false">IF(E693="","",B693&amp;"|"&amp;E693)</f>
        <v>MFD-ISW → MFD-CPF|JN°687</v>
      </c>
    </row>
    <row r="694" customFormat="false" ht="74.6" hidden="false" customHeight="false" outlineLevel="0" collapsed="false">
      <c r="A694" s="79" t="n">
        <f aca="false">IF(E694="","",ROW()-6)</f>
        <v>688</v>
      </c>
      <c r="B694" s="80" t="s">
        <v>110</v>
      </c>
      <c r="C694" s="81"/>
      <c r="D694" s="81"/>
      <c r="E694" s="81" t="s">
        <v>798</v>
      </c>
      <c r="F694" s="82" t="str">
        <f aca="false">IF(E694="","",IF(LEFT(E694,2)="DJ","DJ","JN"))</f>
        <v>JN</v>
      </c>
      <c r="G694" s="81"/>
      <c r="H694" s="81"/>
      <c r="I694" s="81"/>
      <c r="J694" s="81"/>
      <c r="K694" s="81"/>
      <c r="L694" s="81"/>
      <c r="M694" s="81"/>
      <c r="N694" s="81"/>
      <c r="O694" s="81"/>
      <c r="P694" s="81"/>
      <c r="Q694" s="81"/>
      <c r="R694" s="81"/>
      <c r="S694" s="81"/>
      <c r="T694" s="81"/>
      <c r="U694" s="83"/>
      <c r="V694" s="83"/>
      <c r="W694" s="81"/>
      <c r="X694" s="81"/>
      <c r="Y694" s="83"/>
      <c r="Z694" s="81"/>
      <c r="AA694" s="81"/>
      <c r="AB694" s="81"/>
      <c r="AC694" s="81"/>
      <c r="AD694" s="81"/>
      <c r="AE694" s="83"/>
      <c r="AF694" s="81"/>
      <c r="AG694" s="81"/>
      <c r="AH694" s="81"/>
      <c r="AI694" s="81"/>
      <c r="AJ694" s="83"/>
      <c r="AK694" s="81"/>
      <c r="AL694" s="81"/>
      <c r="AM694" s="83"/>
      <c r="AN694" s="80"/>
      <c r="AO694" s="82" t="n">
        <f aca="false">IF(E694="","",(AA694&lt;&gt;"")+(AG694&lt;&gt;"")+(AL694&lt;&gt;""))</f>
        <v>0</v>
      </c>
      <c r="AP694" s="82" t="str">
        <f aca="false">IF(AL694&lt;&gt;"",AL694,IF(AG694&lt;&gt;"",AG694,IF(AA694&lt;&gt;"",AA694,"")))</f>
        <v/>
      </c>
      <c r="AQ694" s="84" t="str">
        <f aca="false">IF(E694="","",IF(U694="","À SOUDER",IF(X694="","VT EN ATTENTE",IF(X694="R","VT REJETÉ – À REPRENDRE",IF(AP694="","À RADIOGRAPHIER",IF(AP694="A","ACCEPTÉ",IF(AP694="NX","NX – RT À REFAIRE",IF(IF(AO694=1,AD694,IF(AO694=2,AI694,""))="A","RÉPARÉ – À RADIOGRAPHIER",IF(IF(AO694=1,AD694,IF(AO694=2,AI694,""))="R","VT REJETÉ – À REPRENDRE",IF(OR(AP694="CO",AP694="NT"),"COUPE – À RESOUDER","À RÉPARER"))))))))))</f>
        <v>À SOUDER</v>
      </c>
      <c r="AR694" s="82" t="str">
        <f aca="false">IF(AND(ISNUMBER(U694),OR(AQ694="À RADIOGRAPHIER",AQ694="RÉPARÉ – À RADIOGRAPHIER",AQ694="NX – RT À REFAIRE",AQ694="À RÉPARER",AQ694="COUPE – À RESOUDER",AQ694="VT REJETÉ – À REPRENDRE")),MAX(0,'PROGRAMME RT'!$C$4-U694),"")</f>
        <v/>
      </c>
      <c r="AS694" s="82" t="n">
        <f aca="false">IF(AND(OR(AQ694="À RADIOGRAPHIER",AQ694="RÉPARÉ – À RADIOGRAPHIER",AQ694="NX – RT À REFAIRE"),OR('PROGRAMME RT'!$D$5="TOUTES",B694='PROGRAMME RT'!$D$5)),1,0)</f>
        <v>0</v>
      </c>
      <c r="AT694" s="82" t="str">
        <f aca="false">IF(AS694=1,SUM(AS$7:AS694),"")</f>
        <v/>
      </c>
      <c r="AU694" s="82" t="n">
        <f aca="false">IF(AND(OR(AA694="R",AA694="NX",AA694="NT",AA694="CO"),OR('JOINTS DE RÉPARATION'!$D$5="TOUTES",B694='JOINTS DE RÉPARATION'!$D$5),OR('JOINTS DE RÉPARATION'!$L$4="TOUS",AQ694&lt;&gt;"ACCEPTÉ")),1,0)</f>
        <v>0</v>
      </c>
      <c r="AV694" s="82" t="str">
        <f aca="false">IF(AU694=1,SUM(AU$7:AU694),"")</f>
        <v/>
      </c>
      <c r="AW694" s="82" t="str">
        <f aca="false">IF(E694="","",B694&amp;"|"&amp;E694)</f>
        <v>MFD-ISW → MFD-CPF|JN°688</v>
      </c>
    </row>
    <row r="695" customFormat="false" ht="74.6" hidden="false" customHeight="false" outlineLevel="0" collapsed="false">
      <c r="A695" s="79" t="n">
        <f aca="false">IF(E695="","",ROW()-6)</f>
        <v>689</v>
      </c>
      <c r="B695" s="80" t="s">
        <v>110</v>
      </c>
      <c r="C695" s="81"/>
      <c r="D695" s="81"/>
      <c r="E695" s="81" t="s">
        <v>799</v>
      </c>
      <c r="F695" s="82" t="str">
        <f aca="false">IF(E695="","",IF(LEFT(E695,2)="DJ","DJ","JN"))</f>
        <v>JN</v>
      </c>
      <c r="G695" s="81"/>
      <c r="H695" s="81"/>
      <c r="I695" s="81"/>
      <c r="J695" s="81"/>
      <c r="K695" s="81"/>
      <c r="L695" s="81"/>
      <c r="M695" s="81"/>
      <c r="N695" s="81"/>
      <c r="O695" s="81"/>
      <c r="P695" s="81"/>
      <c r="Q695" s="81"/>
      <c r="R695" s="81"/>
      <c r="S695" s="81"/>
      <c r="T695" s="81"/>
      <c r="U695" s="83"/>
      <c r="V695" s="83"/>
      <c r="W695" s="81"/>
      <c r="X695" s="81"/>
      <c r="Y695" s="83"/>
      <c r="Z695" s="81"/>
      <c r="AA695" s="81"/>
      <c r="AB695" s="81"/>
      <c r="AC695" s="81"/>
      <c r="AD695" s="81"/>
      <c r="AE695" s="83"/>
      <c r="AF695" s="81"/>
      <c r="AG695" s="81"/>
      <c r="AH695" s="81"/>
      <c r="AI695" s="81"/>
      <c r="AJ695" s="83"/>
      <c r="AK695" s="81"/>
      <c r="AL695" s="81"/>
      <c r="AM695" s="83"/>
      <c r="AN695" s="80"/>
      <c r="AO695" s="82" t="n">
        <f aca="false">IF(E695="","",(AA695&lt;&gt;"")+(AG695&lt;&gt;"")+(AL695&lt;&gt;""))</f>
        <v>0</v>
      </c>
      <c r="AP695" s="82" t="str">
        <f aca="false">IF(AL695&lt;&gt;"",AL695,IF(AG695&lt;&gt;"",AG695,IF(AA695&lt;&gt;"",AA695,"")))</f>
        <v/>
      </c>
      <c r="AQ695" s="84" t="str">
        <f aca="false">IF(E695="","",IF(U695="","À SOUDER",IF(X695="","VT EN ATTENTE",IF(X695="R","VT REJETÉ – À REPRENDRE",IF(AP695="","À RADIOGRAPHIER",IF(AP695="A","ACCEPTÉ",IF(AP695="NX","NX – RT À REFAIRE",IF(IF(AO695=1,AD695,IF(AO695=2,AI695,""))="A","RÉPARÉ – À RADIOGRAPHIER",IF(IF(AO695=1,AD695,IF(AO695=2,AI695,""))="R","VT REJETÉ – À REPRENDRE",IF(OR(AP695="CO",AP695="NT"),"COUPE – À RESOUDER","À RÉPARER"))))))))))</f>
        <v>À SOUDER</v>
      </c>
      <c r="AR695" s="82" t="str">
        <f aca="false">IF(AND(ISNUMBER(U695),OR(AQ695="À RADIOGRAPHIER",AQ695="RÉPARÉ – À RADIOGRAPHIER",AQ695="NX – RT À REFAIRE",AQ695="À RÉPARER",AQ695="COUPE – À RESOUDER",AQ695="VT REJETÉ – À REPRENDRE")),MAX(0,'PROGRAMME RT'!$C$4-U695),"")</f>
        <v/>
      </c>
      <c r="AS695" s="82" t="n">
        <f aca="false">IF(AND(OR(AQ695="À RADIOGRAPHIER",AQ695="RÉPARÉ – À RADIOGRAPHIER",AQ695="NX – RT À REFAIRE"),OR('PROGRAMME RT'!$D$5="TOUTES",B695='PROGRAMME RT'!$D$5)),1,0)</f>
        <v>0</v>
      </c>
      <c r="AT695" s="82" t="str">
        <f aca="false">IF(AS695=1,SUM(AS$7:AS695),"")</f>
        <v/>
      </c>
      <c r="AU695" s="82" t="n">
        <f aca="false">IF(AND(OR(AA695="R",AA695="NX",AA695="NT",AA695="CO"),OR('JOINTS DE RÉPARATION'!$D$5="TOUTES",B695='JOINTS DE RÉPARATION'!$D$5),OR('JOINTS DE RÉPARATION'!$L$4="TOUS",AQ695&lt;&gt;"ACCEPTÉ")),1,0)</f>
        <v>0</v>
      </c>
      <c r="AV695" s="82" t="str">
        <f aca="false">IF(AU695=1,SUM(AU$7:AU695),"")</f>
        <v/>
      </c>
      <c r="AW695" s="82" t="str">
        <f aca="false">IF(E695="","",B695&amp;"|"&amp;E695)</f>
        <v>MFD-ISW → MFD-CPF|JN°689</v>
      </c>
    </row>
    <row r="696" customFormat="false" ht="74.6" hidden="false" customHeight="false" outlineLevel="0" collapsed="false">
      <c r="A696" s="79" t="n">
        <f aca="false">IF(E696="","",ROW()-6)</f>
        <v>690</v>
      </c>
      <c r="B696" s="80" t="s">
        <v>110</v>
      </c>
      <c r="C696" s="81"/>
      <c r="D696" s="81"/>
      <c r="E696" s="81" t="s">
        <v>800</v>
      </c>
      <c r="F696" s="82" t="str">
        <f aca="false">IF(E696="","",IF(LEFT(E696,2)="DJ","DJ","JN"))</f>
        <v>JN</v>
      </c>
      <c r="G696" s="81"/>
      <c r="H696" s="81"/>
      <c r="I696" s="81"/>
      <c r="J696" s="81"/>
      <c r="K696" s="81"/>
      <c r="L696" s="81"/>
      <c r="M696" s="81"/>
      <c r="N696" s="81"/>
      <c r="O696" s="81"/>
      <c r="P696" s="81"/>
      <c r="Q696" s="81"/>
      <c r="R696" s="81"/>
      <c r="S696" s="81"/>
      <c r="T696" s="81"/>
      <c r="U696" s="83"/>
      <c r="V696" s="83"/>
      <c r="W696" s="81"/>
      <c r="X696" s="81"/>
      <c r="Y696" s="83"/>
      <c r="Z696" s="81"/>
      <c r="AA696" s="81"/>
      <c r="AB696" s="81"/>
      <c r="AC696" s="81"/>
      <c r="AD696" s="81"/>
      <c r="AE696" s="83"/>
      <c r="AF696" s="81"/>
      <c r="AG696" s="81"/>
      <c r="AH696" s="81"/>
      <c r="AI696" s="81"/>
      <c r="AJ696" s="83"/>
      <c r="AK696" s="81"/>
      <c r="AL696" s="81"/>
      <c r="AM696" s="83"/>
      <c r="AN696" s="80"/>
      <c r="AO696" s="82" t="n">
        <f aca="false">IF(E696="","",(AA696&lt;&gt;"")+(AG696&lt;&gt;"")+(AL696&lt;&gt;""))</f>
        <v>0</v>
      </c>
      <c r="AP696" s="82" t="str">
        <f aca="false">IF(AL696&lt;&gt;"",AL696,IF(AG696&lt;&gt;"",AG696,IF(AA696&lt;&gt;"",AA696,"")))</f>
        <v/>
      </c>
      <c r="AQ696" s="84" t="str">
        <f aca="false">IF(E696="","",IF(U696="","À SOUDER",IF(X696="","VT EN ATTENTE",IF(X696="R","VT REJETÉ – À REPRENDRE",IF(AP696="","À RADIOGRAPHIER",IF(AP696="A","ACCEPTÉ",IF(AP696="NX","NX – RT À REFAIRE",IF(IF(AO696=1,AD696,IF(AO696=2,AI696,""))="A","RÉPARÉ – À RADIOGRAPHIER",IF(IF(AO696=1,AD696,IF(AO696=2,AI696,""))="R","VT REJETÉ – À REPRENDRE",IF(OR(AP696="CO",AP696="NT"),"COUPE – À RESOUDER","À RÉPARER"))))))))))</f>
        <v>À SOUDER</v>
      </c>
      <c r="AR696" s="82" t="str">
        <f aca="false">IF(AND(ISNUMBER(U696),OR(AQ696="À RADIOGRAPHIER",AQ696="RÉPARÉ – À RADIOGRAPHIER",AQ696="NX – RT À REFAIRE",AQ696="À RÉPARER",AQ696="COUPE – À RESOUDER",AQ696="VT REJETÉ – À REPRENDRE")),MAX(0,'PROGRAMME RT'!$C$4-U696),"")</f>
        <v/>
      </c>
      <c r="AS696" s="82" t="n">
        <f aca="false">IF(AND(OR(AQ696="À RADIOGRAPHIER",AQ696="RÉPARÉ – À RADIOGRAPHIER",AQ696="NX – RT À REFAIRE"),OR('PROGRAMME RT'!$D$5="TOUTES",B696='PROGRAMME RT'!$D$5)),1,0)</f>
        <v>0</v>
      </c>
      <c r="AT696" s="82" t="str">
        <f aca="false">IF(AS696=1,SUM(AS$7:AS696),"")</f>
        <v/>
      </c>
      <c r="AU696" s="82" t="n">
        <f aca="false">IF(AND(OR(AA696="R",AA696="NX",AA696="NT",AA696="CO"),OR('JOINTS DE RÉPARATION'!$D$5="TOUTES",B696='JOINTS DE RÉPARATION'!$D$5),OR('JOINTS DE RÉPARATION'!$L$4="TOUS",AQ696&lt;&gt;"ACCEPTÉ")),1,0)</f>
        <v>0</v>
      </c>
      <c r="AV696" s="82" t="str">
        <f aca="false">IF(AU696=1,SUM(AU$7:AU696),"")</f>
        <v/>
      </c>
      <c r="AW696" s="82" t="str">
        <f aca="false">IF(E696="","",B696&amp;"|"&amp;E696)</f>
        <v>MFD-ISW → MFD-CPF|JN°690</v>
      </c>
    </row>
    <row r="697" customFormat="false" ht="74.6" hidden="false" customHeight="false" outlineLevel="0" collapsed="false">
      <c r="A697" s="79" t="n">
        <f aca="false">IF(E697="","",ROW()-6)</f>
        <v>691</v>
      </c>
      <c r="B697" s="80" t="s">
        <v>110</v>
      </c>
      <c r="C697" s="81"/>
      <c r="D697" s="81"/>
      <c r="E697" s="81" t="s">
        <v>801</v>
      </c>
      <c r="F697" s="82" t="str">
        <f aca="false">IF(E697="","",IF(LEFT(E697,2)="DJ","DJ","JN"))</f>
        <v>JN</v>
      </c>
      <c r="G697" s="81"/>
      <c r="H697" s="81"/>
      <c r="I697" s="81"/>
      <c r="J697" s="81"/>
      <c r="K697" s="81"/>
      <c r="L697" s="81"/>
      <c r="M697" s="81"/>
      <c r="N697" s="81"/>
      <c r="O697" s="81"/>
      <c r="P697" s="81"/>
      <c r="Q697" s="81"/>
      <c r="R697" s="81"/>
      <c r="S697" s="81"/>
      <c r="T697" s="81"/>
      <c r="U697" s="83"/>
      <c r="V697" s="83"/>
      <c r="W697" s="81"/>
      <c r="X697" s="81"/>
      <c r="Y697" s="83"/>
      <c r="Z697" s="81"/>
      <c r="AA697" s="81"/>
      <c r="AB697" s="81"/>
      <c r="AC697" s="81"/>
      <c r="AD697" s="81"/>
      <c r="AE697" s="83"/>
      <c r="AF697" s="81"/>
      <c r="AG697" s="81"/>
      <c r="AH697" s="81"/>
      <c r="AI697" s="81"/>
      <c r="AJ697" s="83"/>
      <c r="AK697" s="81"/>
      <c r="AL697" s="81"/>
      <c r="AM697" s="83"/>
      <c r="AN697" s="80"/>
      <c r="AO697" s="82" t="n">
        <f aca="false">IF(E697="","",(AA697&lt;&gt;"")+(AG697&lt;&gt;"")+(AL697&lt;&gt;""))</f>
        <v>0</v>
      </c>
      <c r="AP697" s="82" t="str">
        <f aca="false">IF(AL697&lt;&gt;"",AL697,IF(AG697&lt;&gt;"",AG697,IF(AA697&lt;&gt;"",AA697,"")))</f>
        <v/>
      </c>
      <c r="AQ697" s="84" t="str">
        <f aca="false">IF(E697="","",IF(U697="","À SOUDER",IF(X697="","VT EN ATTENTE",IF(X697="R","VT REJETÉ – À REPRENDRE",IF(AP697="","À RADIOGRAPHIER",IF(AP697="A","ACCEPTÉ",IF(AP697="NX","NX – RT À REFAIRE",IF(IF(AO697=1,AD697,IF(AO697=2,AI697,""))="A","RÉPARÉ – À RADIOGRAPHIER",IF(IF(AO697=1,AD697,IF(AO697=2,AI697,""))="R","VT REJETÉ – À REPRENDRE",IF(OR(AP697="CO",AP697="NT"),"COUPE – À RESOUDER","À RÉPARER"))))))))))</f>
        <v>À SOUDER</v>
      </c>
      <c r="AR697" s="82" t="str">
        <f aca="false">IF(AND(ISNUMBER(U697),OR(AQ697="À RADIOGRAPHIER",AQ697="RÉPARÉ – À RADIOGRAPHIER",AQ697="NX – RT À REFAIRE",AQ697="À RÉPARER",AQ697="COUPE – À RESOUDER",AQ697="VT REJETÉ – À REPRENDRE")),MAX(0,'PROGRAMME RT'!$C$4-U697),"")</f>
        <v/>
      </c>
      <c r="AS697" s="82" t="n">
        <f aca="false">IF(AND(OR(AQ697="À RADIOGRAPHIER",AQ697="RÉPARÉ – À RADIOGRAPHIER",AQ697="NX – RT À REFAIRE"),OR('PROGRAMME RT'!$D$5="TOUTES",B697='PROGRAMME RT'!$D$5)),1,0)</f>
        <v>0</v>
      </c>
      <c r="AT697" s="82" t="str">
        <f aca="false">IF(AS697=1,SUM(AS$7:AS697),"")</f>
        <v/>
      </c>
      <c r="AU697" s="82" t="n">
        <f aca="false">IF(AND(OR(AA697="R",AA697="NX",AA697="NT",AA697="CO"),OR('JOINTS DE RÉPARATION'!$D$5="TOUTES",B697='JOINTS DE RÉPARATION'!$D$5),OR('JOINTS DE RÉPARATION'!$L$4="TOUS",AQ697&lt;&gt;"ACCEPTÉ")),1,0)</f>
        <v>0</v>
      </c>
      <c r="AV697" s="82" t="str">
        <f aca="false">IF(AU697=1,SUM(AU$7:AU697),"")</f>
        <v/>
      </c>
      <c r="AW697" s="82" t="str">
        <f aca="false">IF(E697="","",B697&amp;"|"&amp;E697)</f>
        <v>MFD-ISW → MFD-CPF|JN°691</v>
      </c>
    </row>
    <row r="698" customFormat="false" ht="74.6" hidden="false" customHeight="false" outlineLevel="0" collapsed="false">
      <c r="A698" s="79" t="n">
        <f aca="false">IF(E698="","",ROW()-6)</f>
        <v>692</v>
      </c>
      <c r="B698" s="80" t="s">
        <v>110</v>
      </c>
      <c r="C698" s="81"/>
      <c r="D698" s="81"/>
      <c r="E698" s="81" t="s">
        <v>802</v>
      </c>
      <c r="F698" s="82" t="str">
        <f aca="false">IF(E698="","",IF(LEFT(E698,2)="DJ","DJ","JN"))</f>
        <v>JN</v>
      </c>
      <c r="G698" s="81"/>
      <c r="H698" s="81"/>
      <c r="I698" s="81"/>
      <c r="J698" s="81"/>
      <c r="K698" s="81"/>
      <c r="L698" s="81"/>
      <c r="M698" s="81"/>
      <c r="N698" s="81"/>
      <c r="O698" s="81"/>
      <c r="P698" s="81"/>
      <c r="Q698" s="81"/>
      <c r="R698" s="81"/>
      <c r="S698" s="81"/>
      <c r="T698" s="81"/>
      <c r="U698" s="83"/>
      <c r="V698" s="83"/>
      <c r="W698" s="81"/>
      <c r="X698" s="81"/>
      <c r="Y698" s="83"/>
      <c r="Z698" s="81"/>
      <c r="AA698" s="81"/>
      <c r="AB698" s="81"/>
      <c r="AC698" s="81"/>
      <c r="AD698" s="81"/>
      <c r="AE698" s="83"/>
      <c r="AF698" s="81"/>
      <c r="AG698" s="81"/>
      <c r="AH698" s="81"/>
      <c r="AI698" s="81"/>
      <c r="AJ698" s="83"/>
      <c r="AK698" s="81"/>
      <c r="AL698" s="81"/>
      <c r="AM698" s="83"/>
      <c r="AN698" s="80"/>
      <c r="AO698" s="82" t="n">
        <f aca="false">IF(E698="","",(AA698&lt;&gt;"")+(AG698&lt;&gt;"")+(AL698&lt;&gt;""))</f>
        <v>0</v>
      </c>
      <c r="AP698" s="82" t="str">
        <f aca="false">IF(AL698&lt;&gt;"",AL698,IF(AG698&lt;&gt;"",AG698,IF(AA698&lt;&gt;"",AA698,"")))</f>
        <v/>
      </c>
      <c r="AQ698" s="84" t="str">
        <f aca="false">IF(E698="","",IF(U698="","À SOUDER",IF(X698="","VT EN ATTENTE",IF(X698="R","VT REJETÉ – À REPRENDRE",IF(AP698="","À RADIOGRAPHIER",IF(AP698="A","ACCEPTÉ",IF(AP698="NX","NX – RT À REFAIRE",IF(IF(AO698=1,AD698,IF(AO698=2,AI698,""))="A","RÉPARÉ – À RADIOGRAPHIER",IF(IF(AO698=1,AD698,IF(AO698=2,AI698,""))="R","VT REJETÉ – À REPRENDRE",IF(OR(AP698="CO",AP698="NT"),"COUPE – À RESOUDER","À RÉPARER"))))))))))</f>
        <v>À SOUDER</v>
      </c>
      <c r="AR698" s="82" t="str">
        <f aca="false">IF(AND(ISNUMBER(U698),OR(AQ698="À RADIOGRAPHIER",AQ698="RÉPARÉ – À RADIOGRAPHIER",AQ698="NX – RT À REFAIRE",AQ698="À RÉPARER",AQ698="COUPE – À RESOUDER",AQ698="VT REJETÉ – À REPRENDRE")),MAX(0,'PROGRAMME RT'!$C$4-U698),"")</f>
        <v/>
      </c>
      <c r="AS698" s="82" t="n">
        <f aca="false">IF(AND(OR(AQ698="À RADIOGRAPHIER",AQ698="RÉPARÉ – À RADIOGRAPHIER",AQ698="NX – RT À REFAIRE"),OR('PROGRAMME RT'!$D$5="TOUTES",B698='PROGRAMME RT'!$D$5)),1,0)</f>
        <v>0</v>
      </c>
      <c r="AT698" s="82" t="str">
        <f aca="false">IF(AS698=1,SUM(AS$7:AS698),"")</f>
        <v/>
      </c>
      <c r="AU698" s="82" t="n">
        <f aca="false">IF(AND(OR(AA698="R",AA698="NX",AA698="NT",AA698="CO"),OR('JOINTS DE RÉPARATION'!$D$5="TOUTES",B698='JOINTS DE RÉPARATION'!$D$5),OR('JOINTS DE RÉPARATION'!$L$4="TOUS",AQ698&lt;&gt;"ACCEPTÉ")),1,0)</f>
        <v>0</v>
      </c>
      <c r="AV698" s="82" t="str">
        <f aca="false">IF(AU698=1,SUM(AU$7:AU698),"")</f>
        <v/>
      </c>
      <c r="AW698" s="82" t="str">
        <f aca="false">IF(E698="","",B698&amp;"|"&amp;E698)</f>
        <v>MFD-ISW → MFD-CPF|JN°692</v>
      </c>
    </row>
    <row r="699" customFormat="false" ht="74.6" hidden="false" customHeight="false" outlineLevel="0" collapsed="false">
      <c r="A699" s="79" t="n">
        <f aca="false">IF(E699="","",ROW()-6)</f>
        <v>693</v>
      </c>
      <c r="B699" s="80" t="s">
        <v>110</v>
      </c>
      <c r="C699" s="81"/>
      <c r="D699" s="81"/>
      <c r="E699" s="81" t="s">
        <v>803</v>
      </c>
      <c r="F699" s="82" t="str">
        <f aca="false">IF(E699="","",IF(LEFT(E699,2)="DJ","DJ","JN"))</f>
        <v>JN</v>
      </c>
      <c r="G699" s="81"/>
      <c r="H699" s="81"/>
      <c r="I699" s="81"/>
      <c r="J699" s="81"/>
      <c r="K699" s="81"/>
      <c r="L699" s="81"/>
      <c r="M699" s="81"/>
      <c r="N699" s="81"/>
      <c r="O699" s="81"/>
      <c r="P699" s="81"/>
      <c r="Q699" s="81"/>
      <c r="R699" s="81"/>
      <c r="S699" s="81"/>
      <c r="T699" s="81"/>
      <c r="U699" s="83"/>
      <c r="V699" s="83"/>
      <c r="W699" s="81"/>
      <c r="X699" s="81"/>
      <c r="Y699" s="83"/>
      <c r="Z699" s="81"/>
      <c r="AA699" s="81"/>
      <c r="AB699" s="81"/>
      <c r="AC699" s="81"/>
      <c r="AD699" s="81"/>
      <c r="AE699" s="83"/>
      <c r="AF699" s="81"/>
      <c r="AG699" s="81"/>
      <c r="AH699" s="81"/>
      <c r="AI699" s="81"/>
      <c r="AJ699" s="83"/>
      <c r="AK699" s="81"/>
      <c r="AL699" s="81"/>
      <c r="AM699" s="83"/>
      <c r="AN699" s="80"/>
      <c r="AO699" s="82" t="n">
        <f aca="false">IF(E699="","",(AA699&lt;&gt;"")+(AG699&lt;&gt;"")+(AL699&lt;&gt;""))</f>
        <v>0</v>
      </c>
      <c r="AP699" s="82" t="str">
        <f aca="false">IF(AL699&lt;&gt;"",AL699,IF(AG699&lt;&gt;"",AG699,IF(AA699&lt;&gt;"",AA699,"")))</f>
        <v/>
      </c>
      <c r="AQ699" s="84" t="str">
        <f aca="false">IF(E699="","",IF(U699="","À SOUDER",IF(X699="","VT EN ATTENTE",IF(X699="R","VT REJETÉ – À REPRENDRE",IF(AP699="","À RADIOGRAPHIER",IF(AP699="A","ACCEPTÉ",IF(AP699="NX","NX – RT À REFAIRE",IF(IF(AO699=1,AD699,IF(AO699=2,AI699,""))="A","RÉPARÉ – À RADIOGRAPHIER",IF(IF(AO699=1,AD699,IF(AO699=2,AI699,""))="R","VT REJETÉ – À REPRENDRE",IF(OR(AP699="CO",AP699="NT"),"COUPE – À RESOUDER","À RÉPARER"))))))))))</f>
        <v>À SOUDER</v>
      </c>
      <c r="AR699" s="82" t="str">
        <f aca="false">IF(AND(ISNUMBER(U699),OR(AQ699="À RADIOGRAPHIER",AQ699="RÉPARÉ – À RADIOGRAPHIER",AQ699="NX – RT À REFAIRE",AQ699="À RÉPARER",AQ699="COUPE – À RESOUDER",AQ699="VT REJETÉ – À REPRENDRE")),MAX(0,'PROGRAMME RT'!$C$4-U699),"")</f>
        <v/>
      </c>
      <c r="AS699" s="82" t="n">
        <f aca="false">IF(AND(OR(AQ699="À RADIOGRAPHIER",AQ699="RÉPARÉ – À RADIOGRAPHIER",AQ699="NX – RT À REFAIRE"),OR('PROGRAMME RT'!$D$5="TOUTES",B699='PROGRAMME RT'!$D$5)),1,0)</f>
        <v>0</v>
      </c>
      <c r="AT699" s="82" t="str">
        <f aca="false">IF(AS699=1,SUM(AS$7:AS699),"")</f>
        <v/>
      </c>
      <c r="AU699" s="82" t="n">
        <f aca="false">IF(AND(OR(AA699="R",AA699="NX",AA699="NT",AA699="CO"),OR('JOINTS DE RÉPARATION'!$D$5="TOUTES",B699='JOINTS DE RÉPARATION'!$D$5),OR('JOINTS DE RÉPARATION'!$L$4="TOUS",AQ699&lt;&gt;"ACCEPTÉ")),1,0)</f>
        <v>0</v>
      </c>
      <c r="AV699" s="82" t="str">
        <f aca="false">IF(AU699=1,SUM(AU$7:AU699),"")</f>
        <v/>
      </c>
      <c r="AW699" s="82" t="str">
        <f aca="false">IF(E699="","",B699&amp;"|"&amp;E699)</f>
        <v>MFD-ISW → MFD-CPF|JN°693</v>
      </c>
    </row>
    <row r="700" customFormat="false" ht="74.6" hidden="false" customHeight="false" outlineLevel="0" collapsed="false">
      <c r="A700" s="79" t="n">
        <f aca="false">IF(E700="","",ROW()-6)</f>
        <v>694</v>
      </c>
      <c r="B700" s="80" t="s">
        <v>110</v>
      </c>
      <c r="C700" s="81"/>
      <c r="D700" s="81"/>
      <c r="E700" s="81" t="s">
        <v>804</v>
      </c>
      <c r="F700" s="82" t="str">
        <f aca="false">IF(E700="","",IF(LEFT(E700,2)="DJ","DJ","JN"))</f>
        <v>JN</v>
      </c>
      <c r="G700" s="81"/>
      <c r="H700" s="81"/>
      <c r="I700" s="81"/>
      <c r="J700" s="81"/>
      <c r="K700" s="81"/>
      <c r="L700" s="81"/>
      <c r="M700" s="81"/>
      <c r="N700" s="81"/>
      <c r="O700" s="81"/>
      <c r="P700" s="81"/>
      <c r="Q700" s="81"/>
      <c r="R700" s="81"/>
      <c r="S700" s="81"/>
      <c r="T700" s="81"/>
      <c r="U700" s="83"/>
      <c r="V700" s="83"/>
      <c r="W700" s="81"/>
      <c r="X700" s="81"/>
      <c r="Y700" s="83"/>
      <c r="Z700" s="81"/>
      <c r="AA700" s="81"/>
      <c r="AB700" s="81"/>
      <c r="AC700" s="81"/>
      <c r="AD700" s="81"/>
      <c r="AE700" s="83"/>
      <c r="AF700" s="81"/>
      <c r="AG700" s="81"/>
      <c r="AH700" s="81"/>
      <c r="AI700" s="81"/>
      <c r="AJ700" s="83"/>
      <c r="AK700" s="81"/>
      <c r="AL700" s="81"/>
      <c r="AM700" s="83"/>
      <c r="AN700" s="80"/>
      <c r="AO700" s="82" t="n">
        <f aca="false">IF(E700="","",(AA700&lt;&gt;"")+(AG700&lt;&gt;"")+(AL700&lt;&gt;""))</f>
        <v>0</v>
      </c>
      <c r="AP700" s="82" t="str">
        <f aca="false">IF(AL700&lt;&gt;"",AL700,IF(AG700&lt;&gt;"",AG700,IF(AA700&lt;&gt;"",AA700,"")))</f>
        <v/>
      </c>
      <c r="AQ700" s="84" t="str">
        <f aca="false">IF(E700="","",IF(U700="","À SOUDER",IF(X700="","VT EN ATTENTE",IF(X700="R","VT REJETÉ – À REPRENDRE",IF(AP700="","À RADIOGRAPHIER",IF(AP700="A","ACCEPTÉ",IF(AP700="NX","NX – RT À REFAIRE",IF(IF(AO700=1,AD700,IF(AO700=2,AI700,""))="A","RÉPARÉ – À RADIOGRAPHIER",IF(IF(AO700=1,AD700,IF(AO700=2,AI700,""))="R","VT REJETÉ – À REPRENDRE",IF(OR(AP700="CO",AP700="NT"),"COUPE – À RESOUDER","À RÉPARER"))))))))))</f>
        <v>À SOUDER</v>
      </c>
      <c r="AR700" s="82" t="str">
        <f aca="false">IF(AND(ISNUMBER(U700),OR(AQ700="À RADIOGRAPHIER",AQ700="RÉPARÉ – À RADIOGRAPHIER",AQ700="NX – RT À REFAIRE",AQ700="À RÉPARER",AQ700="COUPE – À RESOUDER",AQ700="VT REJETÉ – À REPRENDRE")),MAX(0,'PROGRAMME RT'!$C$4-U700),"")</f>
        <v/>
      </c>
      <c r="AS700" s="82" t="n">
        <f aca="false">IF(AND(OR(AQ700="À RADIOGRAPHIER",AQ700="RÉPARÉ – À RADIOGRAPHIER",AQ700="NX – RT À REFAIRE"),OR('PROGRAMME RT'!$D$5="TOUTES",B700='PROGRAMME RT'!$D$5)),1,0)</f>
        <v>0</v>
      </c>
      <c r="AT700" s="82" t="str">
        <f aca="false">IF(AS700=1,SUM(AS$7:AS700),"")</f>
        <v/>
      </c>
      <c r="AU700" s="82" t="n">
        <f aca="false">IF(AND(OR(AA700="R",AA700="NX",AA700="NT",AA700="CO"),OR('JOINTS DE RÉPARATION'!$D$5="TOUTES",B700='JOINTS DE RÉPARATION'!$D$5),OR('JOINTS DE RÉPARATION'!$L$4="TOUS",AQ700&lt;&gt;"ACCEPTÉ")),1,0)</f>
        <v>0</v>
      </c>
      <c r="AV700" s="82" t="str">
        <f aca="false">IF(AU700=1,SUM(AU$7:AU700),"")</f>
        <v/>
      </c>
      <c r="AW700" s="82" t="str">
        <f aca="false">IF(E700="","",B700&amp;"|"&amp;E700)</f>
        <v>MFD-ISW → MFD-CPF|JN°694</v>
      </c>
    </row>
    <row r="701" customFormat="false" ht="74.6" hidden="false" customHeight="false" outlineLevel="0" collapsed="false">
      <c r="A701" s="79" t="n">
        <f aca="false">IF(E701="","",ROW()-6)</f>
        <v>695</v>
      </c>
      <c r="B701" s="80" t="s">
        <v>110</v>
      </c>
      <c r="C701" s="81"/>
      <c r="D701" s="81"/>
      <c r="E701" s="81" t="s">
        <v>805</v>
      </c>
      <c r="F701" s="82" t="str">
        <f aca="false">IF(E701="","",IF(LEFT(E701,2)="DJ","DJ","JN"))</f>
        <v>JN</v>
      </c>
      <c r="G701" s="81"/>
      <c r="H701" s="81"/>
      <c r="I701" s="81"/>
      <c r="J701" s="81"/>
      <c r="K701" s="81"/>
      <c r="L701" s="81"/>
      <c r="M701" s="81"/>
      <c r="N701" s="81"/>
      <c r="O701" s="81"/>
      <c r="P701" s="81"/>
      <c r="Q701" s="81"/>
      <c r="R701" s="81"/>
      <c r="S701" s="81"/>
      <c r="T701" s="81"/>
      <c r="U701" s="83"/>
      <c r="V701" s="83"/>
      <c r="W701" s="81"/>
      <c r="X701" s="81"/>
      <c r="Y701" s="83"/>
      <c r="Z701" s="81"/>
      <c r="AA701" s="81"/>
      <c r="AB701" s="81"/>
      <c r="AC701" s="81"/>
      <c r="AD701" s="81"/>
      <c r="AE701" s="83"/>
      <c r="AF701" s="81"/>
      <c r="AG701" s="81"/>
      <c r="AH701" s="81"/>
      <c r="AI701" s="81"/>
      <c r="AJ701" s="83"/>
      <c r="AK701" s="81"/>
      <c r="AL701" s="81"/>
      <c r="AM701" s="83"/>
      <c r="AN701" s="80"/>
      <c r="AO701" s="82" t="n">
        <f aca="false">IF(E701="","",(AA701&lt;&gt;"")+(AG701&lt;&gt;"")+(AL701&lt;&gt;""))</f>
        <v>0</v>
      </c>
      <c r="AP701" s="82" t="str">
        <f aca="false">IF(AL701&lt;&gt;"",AL701,IF(AG701&lt;&gt;"",AG701,IF(AA701&lt;&gt;"",AA701,"")))</f>
        <v/>
      </c>
      <c r="AQ701" s="84" t="str">
        <f aca="false">IF(E701="","",IF(U701="","À SOUDER",IF(X701="","VT EN ATTENTE",IF(X701="R","VT REJETÉ – À REPRENDRE",IF(AP701="","À RADIOGRAPHIER",IF(AP701="A","ACCEPTÉ",IF(AP701="NX","NX – RT À REFAIRE",IF(IF(AO701=1,AD701,IF(AO701=2,AI701,""))="A","RÉPARÉ – À RADIOGRAPHIER",IF(IF(AO701=1,AD701,IF(AO701=2,AI701,""))="R","VT REJETÉ – À REPRENDRE",IF(OR(AP701="CO",AP701="NT"),"COUPE – À RESOUDER","À RÉPARER"))))))))))</f>
        <v>À SOUDER</v>
      </c>
      <c r="AR701" s="82" t="str">
        <f aca="false">IF(AND(ISNUMBER(U701),OR(AQ701="À RADIOGRAPHIER",AQ701="RÉPARÉ – À RADIOGRAPHIER",AQ701="NX – RT À REFAIRE",AQ701="À RÉPARER",AQ701="COUPE – À RESOUDER",AQ701="VT REJETÉ – À REPRENDRE")),MAX(0,'PROGRAMME RT'!$C$4-U701),"")</f>
        <v/>
      </c>
      <c r="AS701" s="82" t="n">
        <f aca="false">IF(AND(OR(AQ701="À RADIOGRAPHIER",AQ701="RÉPARÉ – À RADIOGRAPHIER",AQ701="NX – RT À REFAIRE"),OR('PROGRAMME RT'!$D$5="TOUTES",B701='PROGRAMME RT'!$D$5)),1,0)</f>
        <v>0</v>
      </c>
      <c r="AT701" s="82" t="str">
        <f aca="false">IF(AS701=1,SUM(AS$7:AS701),"")</f>
        <v/>
      </c>
      <c r="AU701" s="82" t="n">
        <f aca="false">IF(AND(OR(AA701="R",AA701="NX",AA701="NT",AA701="CO"),OR('JOINTS DE RÉPARATION'!$D$5="TOUTES",B701='JOINTS DE RÉPARATION'!$D$5),OR('JOINTS DE RÉPARATION'!$L$4="TOUS",AQ701&lt;&gt;"ACCEPTÉ")),1,0)</f>
        <v>0</v>
      </c>
      <c r="AV701" s="82" t="str">
        <f aca="false">IF(AU701=1,SUM(AU$7:AU701),"")</f>
        <v/>
      </c>
      <c r="AW701" s="82" t="str">
        <f aca="false">IF(E701="","",B701&amp;"|"&amp;E701)</f>
        <v>MFD-ISW → MFD-CPF|JN°695</v>
      </c>
    </row>
    <row r="702" customFormat="false" ht="74.6" hidden="false" customHeight="false" outlineLevel="0" collapsed="false">
      <c r="A702" s="79" t="n">
        <f aca="false">IF(E702="","",ROW()-6)</f>
        <v>696</v>
      </c>
      <c r="B702" s="80" t="s">
        <v>110</v>
      </c>
      <c r="C702" s="81"/>
      <c r="D702" s="81"/>
      <c r="E702" s="81" t="s">
        <v>806</v>
      </c>
      <c r="F702" s="82" t="str">
        <f aca="false">IF(E702="","",IF(LEFT(E702,2)="DJ","DJ","JN"))</f>
        <v>JN</v>
      </c>
      <c r="G702" s="81"/>
      <c r="H702" s="81"/>
      <c r="I702" s="81"/>
      <c r="J702" s="81"/>
      <c r="K702" s="81"/>
      <c r="L702" s="81"/>
      <c r="M702" s="81"/>
      <c r="N702" s="81"/>
      <c r="O702" s="81"/>
      <c r="P702" s="81"/>
      <c r="Q702" s="81"/>
      <c r="R702" s="81"/>
      <c r="S702" s="81"/>
      <c r="T702" s="81"/>
      <c r="U702" s="83"/>
      <c r="V702" s="83"/>
      <c r="W702" s="81"/>
      <c r="X702" s="81"/>
      <c r="Y702" s="83"/>
      <c r="Z702" s="81"/>
      <c r="AA702" s="81"/>
      <c r="AB702" s="81"/>
      <c r="AC702" s="81"/>
      <c r="AD702" s="81"/>
      <c r="AE702" s="83"/>
      <c r="AF702" s="81"/>
      <c r="AG702" s="81"/>
      <c r="AH702" s="81"/>
      <c r="AI702" s="81"/>
      <c r="AJ702" s="83"/>
      <c r="AK702" s="81"/>
      <c r="AL702" s="81"/>
      <c r="AM702" s="83"/>
      <c r="AN702" s="80"/>
      <c r="AO702" s="82" t="n">
        <f aca="false">IF(E702="","",(AA702&lt;&gt;"")+(AG702&lt;&gt;"")+(AL702&lt;&gt;""))</f>
        <v>0</v>
      </c>
      <c r="AP702" s="82" t="str">
        <f aca="false">IF(AL702&lt;&gt;"",AL702,IF(AG702&lt;&gt;"",AG702,IF(AA702&lt;&gt;"",AA702,"")))</f>
        <v/>
      </c>
      <c r="AQ702" s="84" t="str">
        <f aca="false">IF(E702="","",IF(U702="","À SOUDER",IF(X702="","VT EN ATTENTE",IF(X702="R","VT REJETÉ – À REPRENDRE",IF(AP702="","À RADIOGRAPHIER",IF(AP702="A","ACCEPTÉ",IF(AP702="NX","NX – RT À REFAIRE",IF(IF(AO702=1,AD702,IF(AO702=2,AI702,""))="A","RÉPARÉ – À RADIOGRAPHIER",IF(IF(AO702=1,AD702,IF(AO702=2,AI702,""))="R","VT REJETÉ – À REPRENDRE",IF(OR(AP702="CO",AP702="NT"),"COUPE – À RESOUDER","À RÉPARER"))))))))))</f>
        <v>À SOUDER</v>
      </c>
      <c r="AR702" s="82" t="str">
        <f aca="false">IF(AND(ISNUMBER(U702),OR(AQ702="À RADIOGRAPHIER",AQ702="RÉPARÉ – À RADIOGRAPHIER",AQ702="NX – RT À REFAIRE",AQ702="À RÉPARER",AQ702="COUPE – À RESOUDER",AQ702="VT REJETÉ – À REPRENDRE")),MAX(0,'PROGRAMME RT'!$C$4-U702),"")</f>
        <v/>
      </c>
      <c r="AS702" s="82" t="n">
        <f aca="false">IF(AND(OR(AQ702="À RADIOGRAPHIER",AQ702="RÉPARÉ – À RADIOGRAPHIER",AQ702="NX – RT À REFAIRE"),OR('PROGRAMME RT'!$D$5="TOUTES",B702='PROGRAMME RT'!$D$5)),1,0)</f>
        <v>0</v>
      </c>
      <c r="AT702" s="82" t="str">
        <f aca="false">IF(AS702=1,SUM(AS$7:AS702),"")</f>
        <v/>
      </c>
      <c r="AU702" s="82" t="n">
        <f aca="false">IF(AND(OR(AA702="R",AA702="NX",AA702="NT",AA702="CO"),OR('JOINTS DE RÉPARATION'!$D$5="TOUTES",B702='JOINTS DE RÉPARATION'!$D$5),OR('JOINTS DE RÉPARATION'!$L$4="TOUS",AQ702&lt;&gt;"ACCEPTÉ")),1,0)</f>
        <v>0</v>
      </c>
      <c r="AV702" s="82" t="str">
        <f aca="false">IF(AU702=1,SUM(AU$7:AU702),"")</f>
        <v/>
      </c>
      <c r="AW702" s="82" t="str">
        <f aca="false">IF(E702="","",B702&amp;"|"&amp;E702)</f>
        <v>MFD-ISW → MFD-CPF|JN°696</v>
      </c>
    </row>
    <row r="703" customFormat="false" ht="74.6" hidden="false" customHeight="false" outlineLevel="0" collapsed="false">
      <c r="A703" s="79" t="n">
        <f aca="false">IF(E703="","",ROW()-6)</f>
        <v>697</v>
      </c>
      <c r="B703" s="80" t="s">
        <v>110</v>
      </c>
      <c r="C703" s="81"/>
      <c r="D703" s="81"/>
      <c r="E703" s="81" t="s">
        <v>807</v>
      </c>
      <c r="F703" s="82" t="str">
        <f aca="false">IF(E703="","",IF(LEFT(E703,2)="DJ","DJ","JN"))</f>
        <v>JN</v>
      </c>
      <c r="G703" s="81"/>
      <c r="H703" s="81"/>
      <c r="I703" s="81"/>
      <c r="J703" s="81"/>
      <c r="K703" s="81"/>
      <c r="L703" s="81"/>
      <c r="M703" s="81"/>
      <c r="N703" s="81"/>
      <c r="O703" s="81"/>
      <c r="P703" s="81"/>
      <c r="Q703" s="81"/>
      <c r="R703" s="81"/>
      <c r="S703" s="81"/>
      <c r="T703" s="81"/>
      <c r="U703" s="83"/>
      <c r="V703" s="83"/>
      <c r="W703" s="81"/>
      <c r="X703" s="81"/>
      <c r="Y703" s="83"/>
      <c r="Z703" s="81"/>
      <c r="AA703" s="81"/>
      <c r="AB703" s="81"/>
      <c r="AC703" s="81"/>
      <c r="AD703" s="81"/>
      <c r="AE703" s="83"/>
      <c r="AF703" s="81"/>
      <c r="AG703" s="81"/>
      <c r="AH703" s="81"/>
      <c r="AI703" s="81"/>
      <c r="AJ703" s="83"/>
      <c r="AK703" s="81"/>
      <c r="AL703" s="81"/>
      <c r="AM703" s="83"/>
      <c r="AN703" s="80"/>
      <c r="AO703" s="82" t="n">
        <f aca="false">IF(E703="","",(AA703&lt;&gt;"")+(AG703&lt;&gt;"")+(AL703&lt;&gt;""))</f>
        <v>0</v>
      </c>
      <c r="AP703" s="82" t="str">
        <f aca="false">IF(AL703&lt;&gt;"",AL703,IF(AG703&lt;&gt;"",AG703,IF(AA703&lt;&gt;"",AA703,"")))</f>
        <v/>
      </c>
      <c r="AQ703" s="84" t="str">
        <f aca="false">IF(E703="","",IF(U703="","À SOUDER",IF(X703="","VT EN ATTENTE",IF(X703="R","VT REJETÉ – À REPRENDRE",IF(AP703="","À RADIOGRAPHIER",IF(AP703="A","ACCEPTÉ",IF(AP703="NX","NX – RT À REFAIRE",IF(IF(AO703=1,AD703,IF(AO703=2,AI703,""))="A","RÉPARÉ – À RADIOGRAPHIER",IF(IF(AO703=1,AD703,IF(AO703=2,AI703,""))="R","VT REJETÉ – À REPRENDRE",IF(OR(AP703="CO",AP703="NT"),"COUPE – À RESOUDER","À RÉPARER"))))))))))</f>
        <v>À SOUDER</v>
      </c>
      <c r="AR703" s="82" t="str">
        <f aca="false">IF(AND(ISNUMBER(U703),OR(AQ703="À RADIOGRAPHIER",AQ703="RÉPARÉ – À RADIOGRAPHIER",AQ703="NX – RT À REFAIRE",AQ703="À RÉPARER",AQ703="COUPE – À RESOUDER",AQ703="VT REJETÉ – À REPRENDRE")),MAX(0,'PROGRAMME RT'!$C$4-U703),"")</f>
        <v/>
      </c>
      <c r="AS703" s="82" t="n">
        <f aca="false">IF(AND(OR(AQ703="À RADIOGRAPHIER",AQ703="RÉPARÉ – À RADIOGRAPHIER",AQ703="NX – RT À REFAIRE"),OR('PROGRAMME RT'!$D$5="TOUTES",B703='PROGRAMME RT'!$D$5)),1,0)</f>
        <v>0</v>
      </c>
      <c r="AT703" s="82" t="str">
        <f aca="false">IF(AS703=1,SUM(AS$7:AS703),"")</f>
        <v/>
      </c>
      <c r="AU703" s="82" t="n">
        <f aca="false">IF(AND(OR(AA703="R",AA703="NX",AA703="NT",AA703="CO"),OR('JOINTS DE RÉPARATION'!$D$5="TOUTES",B703='JOINTS DE RÉPARATION'!$D$5),OR('JOINTS DE RÉPARATION'!$L$4="TOUS",AQ703&lt;&gt;"ACCEPTÉ")),1,0)</f>
        <v>0</v>
      </c>
      <c r="AV703" s="82" t="str">
        <f aca="false">IF(AU703=1,SUM(AU$7:AU703),"")</f>
        <v/>
      </c>
      <c r="AW703" s="82" t="str">
        <f aca="false">IF(E703="","",B703&amp;"|"&amp;E703)</f>
        <v>MFD-ISW → MFD-CPF|JN°697</v>
      </c>
    </row>
    <row r="704" customFormat="false" ht="74.6" hidden="false" customHeight="false" outlineLevel="0" collapsed="false">
      <c r="A704" s="79" t="n">
        <f aca="false">IF(E704="","",ROW()-6)</f>
        <v>698</v>
      </c>
      <c r="B704" s="80" t="s">
        <v>110</v>
      </c>
      <c r="C704" s="81"/>
      <c r="D704" s="81"/>
      <c r="E704" s="81" t="s">
        <v>808</v>
      </c>
      <c r="F704" s="82" t="str">
        <f aca="false">IF(E704="","",IF(LEFT(E704,2)="DJ","DJ","JN"))</f>
        <v>JN</v>
      </c>
      <c r="G704" s="81"/>
      <c r="H704" s="81"/>
      <c r="I704" s="81"/>
      <c r="J704" s="81"/>
      <c r="K704" s="81"/>
      <c r="L704" s="81"/>
      <c r="M704" s="81"/>
      <c r="N704" s="81"/>
      <c r="O704" s="81"/>
      <c r="P704" s="81"/>
      <c r="Q704" s="81"/>
      <c r="R704" s="81"/>
      <c r="S704" s="81"/>
      <c r="T704" s="81"/>
      <c r="U704" s="83"/>
      <c r="V704" s="83"/>
      <c r="W704" s="81"/>
      <c r="X704" s="81"/>
      <c r="Y704" s="83"/>
      <c r="Z704" s="81"/>
      <c r="AA704" s="81"/>
      <c r="AB704" s="81"/>
      <c r="AC704" s="81"/>
      <c r="AD704" s="81"/>
      <c r="AE704" s="83"/>
      <c r="AF704" s="81"/>
      <c r="AG704" s="81"/>
      <c r="AH704" s="81"/>
      <c r="AI704" s="81"/>
      <c r="AJ704" s="83"/>
      <c r="AK704" s="81"/>
      <c r="AL704" s="81"/>
      <c r="AM704" s="83"/>
      <c r="AN704" s="80"/>
      <c r="AO704" s="82" t="n">
        <f aca="false">IF(E704="","",(AA704&lt;&gt;"")+(AG704&lt;&gt;"")+(AL704&lt;&gt;""))</f>
        <v>0</v>
      </c>
      <c r="AP704" s="82" t="str">
        <f aca="false">IF(AL704&lt;&gt;"",AL704,IF(AG704&lt;&gt;"",AG704,IF(AA704&lt;&gt;"",AA704,"")))</f>
        <v/>
      </c>
      <c r="AQ704" s="84" t="str">
        <f aca="false">IF(E704="","",IF(U704="","À SOUDER",IF(X704="","VT EN ATTENTE",IF(X704="R","VT REJETÉ – À REPRENDRE",IF(AP704="","À RADIOGRAPHIER",IF(AP704="A","ACCEPTÉ",IF(AP704="NX","NX – RT À REFAIRE",IF(IF(AO704=1,AD704,IF(AO704=2,AI704,""))="A","RÉPARÉ – À RADIOGRAPHIER",IF(IF(AO704=1,AD704,IF(AO704=2,AI704,""))="R","VT REJETÉ – À REPRENDRE",IF(OR(AP704="CO",AP704="NT"),"COUPE – À RESOUDER","À RÉPARER"))))))))))</f>
        <v>À SOUDER</v>
      </c>
      <c r="AR704" s="82" t="str">
        <f aca="false">IF(AND(ISNUMBER(U704),OR(AQ704="À RADIOGRAPHIER",AQ704="RÉPARÉ – À RADIOGRAPHIER",AQ704="NX – RT À REFAIRE",AQ704="À RÉPARER",AQ704="COUPE – À RESOUDER",AQ704="VT REJETÉ – À REPRENDRE")),MAX(0,'PROGRAMME RT'!$C$4-U704),"")</f>
        <v/>
      </c>
      <c r="AS704" s="82" t="n">
        <f aca="false">IF(AND(OR(AQ704="À RADIOGRAPHIER",AQ704="RÉPARÉ – À RADIOGRAPHIER",AQ704="NX – RT À REFAIRE"),OR('PROGRAMME RT'!$D$5="TOUTES",B704='PROGRAMME RT'!$D$5)),1,0)</f>
        <v>0</v>
      </c>
      <c r="AT704" s="82" t="str">
        <f aca="false">IF(AS704=1,SUM(AS$7:AS704),"")</f>
        <v/>
      </c>
      <c r="AU704" s="82" t="n">
        <f aca="false">IF(AND(OR(AA704="R",AA704="NX",AA704="NT",AA704="CO"),OR('JOINTS DE RÉPARATION'!$D$5="TOUTES",B704='JOINTS DE RÉPARATION'!$D$5),OR('JOINTS DE RÉPARATION'!$L$4="TOUS",AQ704&lt;&gt;"ACCEPTÉ")),1,0)</f>
        <v>0</v>
      </c>
      <c r="AV704" s="82" t="str">
        <f aca="false">IF(AU704=1,SUM(AU$7:AU704),"")</f>
        <v/>
      </c>
      <c r="AW704" s="82" t="str">
        <f aca="false">IF(E704="","",B704&amp;"|"&amp;E704)</f>
        <v>MFD-ISW → MFD-CPF|JN°698</v>
      </c>
    </row>
    <row r="705" customFormat="false" ht="74.6" hidden="false" customHeight="false" outlineLevel="0" collapsed="false">
      <c r="A705" s="79" t="n">
        <f aca="false">IF(E705="","",ROW()-6)</f>
        <v>699</v>
      </c>
      <c r="B705" s="80" t="s">
        <v>110</v>
      </c>
      <c r="C705" s="81"/>
      <c r="D705" s="81"/>
      <c r="E705" s="81" t="s">
        <v>809</v>
      </c>
      <c r="F705" s="82" t="str">
        <f aca="false">IF(E705="","",IF(LEFT(E705,2)="DJ","DJ","JN"))</f>
        <v>JN</v>
      </c>
      <c r="G705" s="81"/>
      <c r="H705" s="81"/>
      <c r="I705" s="81"/>
      <c r="J705" s="81"/>
      <c r="K705" s="81"/>
      <c r="L705" s="81"/>
      <c r="M705" s="81"/>
      <c r="N705" s="81"/>
      <c r="O705" s="81"/>
      <c r="P705" s="81"/>
      <c r="Q705" s="81"/>
      <c r="R705" s="81"/>
      <c r="S705" s="81"/>
      <c r="T705" s="81"/>
      <c r="U705" s="83"/>
      <c r="V705" s="83"/>
      <c r="W705" s="81"/>
      <c r="X705" s="81"/>
      <c r="Y705" s="83"/>
      <c r="Z705" s="81"/>
      <c r="AA705" s="81"/>
      <c r="AB705" s="81"/>
      <c r="AC705" s="81"/>
      <c r="AD705" s="81"/>
      <c r="AE705" s="83"/>
      <c r="AF705" s="81"/>
      <c r="AG705" s="81"/>
      <c r="AH705" s="81"/>
      <c r="AI705" s="81"/>
      <c r="AJ705" s="83"/>
      <c r="AK705" s="81"/>
      <c r="AL705" s="81"/>
      <c r="AM705" s="83"/>
      <c r="AN705" s="80"/>
      <c r="AO705" s="82" t="n">
        <f aca="false">IF(E705="","",(AA705&lt;&gt;"")+(AG705&lt;&gt;"")+(AL705&lt;&gt;""))</f>
        <v>0</v>
      </c>
      <c r="AP705" s="82" t="str">
        <f aca="false">IF(AL705&lt;&gt;"",AL705,IF(AG705&lt;&gt;"",AG705,IF(AA705&lt;&gt;"",AA705,"")))</f>
        <v/>
      </c>
      <c r="AQ705" s="84" t="str">
        <f aca="false">IF(E705="","",IF(U705="","À SOUDER",IF(X705="","VT EN ATTENTE",IF(X705="R","VT REJETÉ – À REPRENDRE",IF(AP705="","À RADIOGRAPHIER",IF(AP705="A","ACCEPTÉ",IF(AP705="NX","NX – RT À REFAIRE",IF(IF(AO705=1,AD705,IF(AO705=2,AI705,""))="A","RÉPARÉ – À RADIOGRAPHIER",IF(IF(AO705=1,AD705,IF(AO705=2,AI705,""))="R","VT REJETÉ – À REPRENDRE",IF(OR(AP705="CO",AP705="NT"),"COUPE – À RESOUDER","À RÉPARER"))))))))))</f>
        <v>À SOUDER</v>
      </c>
      <c r="AR705" s="82" t="str">
        <f aca="false">IF(AND(ISNUMBER(U705),OR(AQ705="À RADIOGRAPHIER",AQ705="RÉPARÉ – À RADIOGRAPHIER",AQ705="NX – RT À REFAIRE",AQ705="À RÉPARER",AQ705="COUPE – À RESOUDER",AQ705="VT REJETÉ – À REPRENDRE")),MAX(0,'PROGRAMME RT'!$C$4-U705),"")</f>
        <v/>
      </c>
      <c r="AS705" s="82" t="n">
        <f aca="false">IF(AND(OR(AQ705="À RADIOGRAPHIER",AQ705="RÉPARÉ – À RADIOGRAPHIER",AQ705="NX – RT À REFAIRE"),OR('PROGRAMME RT'!$D$5="TOUTES",B705='PROGRAMME RT'!$D$5)),1,0)</f>
        <v>0</v>
      </c>
      <c r="AT705" s="82" t="str">
        <f aca="false">IF(AS705=1,SUM(AS$7:AS705),"")</f>
        <v/>
      </c>
      <c r="AU705" s="82" t="n">
        <f aca="false">IF(AND(OR(AA705="R",AA705="NX",AA705="NT",AA705="CO"),OR('JOINTS DE RÉPARATION'!$D$5="TOUTES",B705='JOINTS DE RÉPARATION'!$D$5),OR('JOINTS DE RÉPARATION'!$L$4="TOUS",AQ705&lt;&gt;"ACCEPTÉ")),1,0)</f>
        <v>0</v>
      </c>
      <c r="AV705" s="82" t="str">
        <f aca="false">IF(AU705=1,SUM(AU$7:AU705),"")</f>
        <v/>
      </c>
      <c r="AW705" s="82" t="str">
        <f aca="false">IF(E705="","",B705&amp;"|"&amp;E705)</f>
        <v>MFD-ISW → MFD-CPF|JN°699</v>
      </c>
    </row>
    <row r="706" customFormat="false" ht="74.6" hidden="false" customHeight="false" outlineLevel="0" collapsed="false">
      <c r="A706" s="79" t="n">
        <f aca="false">IF(E706="","",ROW()-6)</f>
        <v>700</v>
      </c>
      <c r="B706" s="80" t="s">
        <v>110</v>
      </c>
      <c r="C706" s="81"/>
      <c r="D706" s="81"/>
      <c r="E706" s="81" t="s">
        <v>810</v>
      </c>
      <c r="F706" s="82" t="str">
        <f aca="false">IF(E706="","",IF(LEFT(E706,2)="DJ","DJ","JN"))</f>
        <v>JN</v>
      </c>
      <c r="G706" s="81"/>
      <c r="H706" s="81"/>
      <c r="I706" s="81"/>
      <c r="J706" s="81"/>
      <c r="K706" s="81"/>
      <c r="L706" s="81"/>
      <c r="M706" s="81"/>
      <c r="N706" s="81"/>
      <c r="O706" s="81"/>
      <c r="P706" s="81"/>
      <c r="Q706" s="81"/>
      <c r="R706" s="81"/>
      <c r="S706" s="81"/>
      <c r="T706" s="81"/>
      <c r="U706" s="83"/>
      <c r="V706" s="83"/>
      <c r="W706" s="81"/>
      <c r="X706" s="81"/>
      <c r="Y706" s="83"/>
      <c r="Z706" s="81"/>
      <c r="AA706" s="81"/>
      <c r="AB706" s="81"/>
      <c r="AC706" s="81"/>
      <c r="AD706" s="81"/>
      <c r="AE706" s="83"/>
      <c r="AF706" s="81"/>
      <c r="AG706" s="81"/>
      <c r="AH706" s="81"/>
      <c r="AI706" s="81"/>
      <c r="AJ706" s="83"/>
      <c r="AK706" s="81"/>
      <c r="AL706" s="81"/>
      <c r="AM706" s="83"/>
      <c r="AN706" s="80"/>
      <c r="AO706" s="82" t="n">
        <f aca="false">IF(E706="","",(AA706&lt;&gt;"")+(AG706&lt;&gt;"")+(AL706&lt;&gt;""))</f>
        <v>0</v>
      </c>
      <c r="AP706" s="82" t="str">
        <f aca="false">IF(AL706&lt;&gt;"",AL706,IF(AG706&lt;&gt;"",AG706,IF(AA706&lt;&gt;"",AA706,"")))</f>
        <v/>
      </c>
      <c r="AQ706" s="84" t="str">
        <f aca="false">IF(E706="","",IF(U706="","À SOUDER",IF(X706="","VT EN ATTENTE",IF(X706="R","VT REJETÉ – À REPRENDRE",IF(AP706="","À RADIOGRAPHIER",IF(AP706="A","ACCEPTÉ",IF(AP706="NX","NX – RT À REFAIRE",IF(IF(AO706=1,AD706,IF(AO706=2,AI706,""))="A","RÉPARÉ – À RADIOGRAPHIER",IF(IF(AO706=1,AD706,IF(AO706=2,AI706,""))="R","VT REJETÉ – À REPRENDRE",IF(OR(AP706="CO",AP706="NT"),"COUPE – À RESOUDER","À RÉPARER"))))))))))</f>
        <v>À SOUDER</v>
      </c>
      <c r="AR706" s="82" t="str">
        <f aca="false">IF(AND(ISNUMBER(U706),OR(AQ706="À RADIOGRAPHIER",AQ706="RÉPARÉ – À RADIOGRAPHIER",AQ706="NX – RT À REFAIRE",AQ706="À RÉPARER",AQ706="COUPE – À RESOUDER",AQ706="VT REJETÉ – À REPRENDRE")),MAX(0,'PROGRAMME RT'!$C$4-U706),"")</f>
        <v/>
      </c>
      <c r="AS706" s="82" t="n">
        <f aca="false">IF(AND(OR(AQ706="À RADIOGRAPHIER",AQ706="RÉPARÉ – À RADIOGRAPHIER",AQ706="NX – RT À REFAIRE"),OR('PROGRAMME RT'!$D$5="TOUTES",B706='PROGRAMME RT'!$D$5)),1,0)</f>
        <v>0</v>
      </c>
      <c r="AT706" s="82" t="str">
        <f aca="false">IF(AS706=1,SUM(AS$7:AS706),"")</f>
        <v/>
      </c>
      <c r="AU706" s="82" t="n">
        <f aca="false">IF(AND(OR(AA706="R",AA706="NX",AA706="NT",AA706="CO"),OR('JOINTS DE RÉPARATION'!$D$5="TOUTES",B706='JOINTS DE RÉPARATION'!$D$5),OR('JOINTS DE RÉPARATION'!$L$4="TOUS",AQ706&lt;&gt;"ACCEPTÉ")),1,0)</f>
        <v>0</v>
      </c>
      <c r="AV706" s="82" t="str">
        <f aca="false">IF(AU706=1,SUM(AU$7:AU706),"")</f>
        <v/>
      </c>
      <c r="AW706" s="82" t="str">
        <f aca="false">IF(E706="","",B706&amp;"|"&amp;E706)</f>
        <v>MFD-ISW → MFD-CPF|JN°700</v>
      </c>
    </row>
    <row r="707" customFormat="false" ht="74.6" hidden="false" customHeight="false" outlineLevel="0" collapsed="false">
      <c r="A707" s="79" t="n">
        <f aca="false">IF(E707="","",ROW()-6)</f>
        <v>701</v>
      </c>
      <c r="B707" s="80" t="s">
        <v>110</v>
      </c>
      <c r="C707" s="81"/>
      <c r="D707" s="81"/>
      <c r="E707" s="81" t="s">
        <v>811</v>
      </c>
      <c r="F707" s="82" t="str">
        <f aca="false">IF(E707="","",IF(LEFT(E707,2)="DJ","DJ","JN"))</f>
        <v>JN</v>
      </c>
      <c r="G707" s="81"/>
      <c r="H707" s="81"/>
      <c r="I707" s="81"/>
      <c r="J707" s="81"/>
      <c r="K707" s="81"/>
      <c r="L707" s="81"/>
      <c r="M707" s="81"/>
      <c r="N707" s="81"/>
      <c r="O707" s="81"/>
      <c r="P707" s="81"/>
      <c r="Q707" s="81"/>
      <c r="R707" s="81"/>
      <c r="S707" s="81"/>
      <c r="T707" s="81"/>
      <c r="U707" s="83"/>
      <c r="V707" s="83"/>
      <c r="W707" s="81"/>
      <c r="X707" s="81"/>
      <c r="Y707" s="83"/>
      <c r="Z707" s="81"/>
      <c r="AA707" s="81"/>
      <c r="AB707" s="81"/>
      <c r="AC707" s="81"/>
      <c r="AD707" s="81"/>
      <c r="AE707" s="83"/>
      <c r="AF707" s="81"/>
      <c r="AG707" s="81"/>
      <c r="AH707" s="81"/>
      <c r="AI707" s="81"/>
      <c r="AJ707" s="83"/>
      <c r="AK707" s="81"/>
      <c r="AL707" s="81"/>
      <c r="AM707" s="83"/>
      <c r="AN707" s="80"/>
      <c r="AO707" s="82" t="n">
        <f aca="false">IF(E707="","",(AA707&lt;&gt;"")+(AG707&lt;&gt;"")+(AL707&lt;&gt;""))</f>
        <v>0</v>
      </c>
      <c r="AP707" s="82" t="str">
        <f aca="false">IF(AL707&lt;&gt;"",AL707,IF(AG707&lt;&gt;"",AG707,IF(AA707&lt;&gt;"",AA707,"")))</f>
        <v/>
      </c>
      <c r="AQ707" s="84" t="str">
        <f aca="false">IF(E707="","",IF(U707="","À SOUDER",IF(X707="","VT EN ATTENTE",IF(X707="R","VT REJETÉ – À REPRENDRE",IF(AP707="","À RADIOGRAPHIER",IF(AP707="A","ACCEPTÉ",IF(AP707="NX","NX – RT À REFAIRE",IF(IF(AO707=1,AD707,IF(AO707=2,AI707,""))="A","RÉPARÉ – À RADIOGRAPHIER",IF(IF(AO707=1,AD707,IF(AO707=2,AI707,""))="R","VT REJETÉ – À REPRENDRE",IF(OR(AP707="CO",AP707="NT"),"COUPE – À RESOUDER","À RÉPARER"))))))))))</f>
        <v>À SOUDER</v>
      </c>
      <c r="AR707" s="82" t="str">
        <f aca="false">IF(AND(ISNUMBER(U707),OR(AQ707="À RADIOGRAPHIER",AQ707="RÉPARÉ – À RADIOGRAPHIER",AQ707="NX – RT À REFAIRE",AQ707="À RÉPARER",AQ707="COUPE – À RESOUDER",AQ707="VT REJETÉ – À REPRENDRE")),MAX(0,'PROGRAMME RT'!$C$4-U707),"")</f>
        <v/>
      </c>
      <c r="AS707" s="82" t="n">
        <f aca="false">IF(AND(OR(AQ707="À RADIOGRAPHIER",AQ707="RÉPARÉ – À RADIOGRAPHIER",AQ707="NX – RT À REFAIRE"),OR('PROGRAMME RT'!$D$5="TOUTES",B707='PROGRAMME RT'!$D$5)),1,0)</f>
        <v>0</v>
      </c>
      <c r="AT707" s="82" t="str">
        <f aca="false">IF(AS707=1,SUM(AS$7:AS707),"")</f>
        <v/>
      </c>
      <c r="AU707" s="82" t="n">
        <f aca="false">IF(AND(OR(AA707="R",AA707="NX",AA707="NT",AA707="CO"),OR('JOINTS DE RÉPARATION'!$D$5="TOUTES",B707='JOINTS DE RÉPARATION'!$D$5),OR('JOINTS DE RÉPARATION'!$L$4="TOUS",AQ707&lt;&gt;"ACCEPTÉ")),1,0)</f>
        <v>0</v>
      </c>
      <c r="AV707" s="82" t="str">
        <f aca="false">IF(AU707=1,SUM(AU$7:AU707),"")</f>
        <v/>
      </c>
      <c r="AW707" s="82" t="str">
        <f aca="false">IF(E707="","",B707&amp;"|"&amp;E707)</f>
        <v>MFD-ISW → MFD-CPF|JN°701</v>
      </c>
    </row>
    <row r="708" customFormat="false" ht="74.6" hidden="false" customHeight="false" outlineLevel="0" collapsed="false">
      <c r="A708" s="79" t="n">
        <f aca="false">IF(E708="","",ROW()-6)</f>
        <v>702</v>
      </c>
      <c r="B708" s="80" t="s">
        <v>110</v>
      </c>
      <c r="C708" s="81"/>
      <c r="D708" s="81"/>
      <c r="E708" s="81" t="s">
        <v>812</v>
      </c>
      <c r="F708" s="82" t="str">
        <f aca="false">IF(E708="","",IF(LEFT(E708,2)="DJ","DJ","JN"))</f>
        <v>JN</v>
      </c>
      <c r="G708" s="81"/>
      <c r="H708" s="81"/>
      <c r="I708" s="81"/>
      <c r="J708" s="81"/>
      <c r="K708" s="81"/>
      <c r="L708" s="81"/>
      <c r="M708" s="81"/>
      <c r="N708" s="81"/>
      <c r="O708" s="81"/>
      <c r="P708" s="81"/>
      <c r="Q708" s="81"/>
      <c r="R708" s="81"/>
      <c r="S708" s="81"/>
      <c r="T708" s="81"/>
      <c r="U708" s="83"/>
      <c r="V708" s="83"/>
      <c r="W708" s="81"/>
      <c r="X708" s="81"/>
      <c r="Y708" s="83"/>
      <c r="Z708" s="81"/>
      <c r="AA708" s="81"/>
      <c r="AB708" s="81"/>
      <c r="AC708" s="81"/>
      <c r="AD708" s="81"/>
      <c r="AE708" s="83"/>
      <c r="AF708" s="81"/>
      <c r="AG708" s="81"/>
      <c r="AH708" s="81"/>
      <c r="AI708" s="81"/>
      <c r="AJ708" s="83"/>
      <c r="AK708" s="81"/>
      <c r="AL708" s="81"/>
      <c r="AM708" s="83"/>
      <c r="AN708" s="80"/>
      <c r="AO708" s="82" t="n">
        <f aca="false">IF(E708="","",(AA708&lt;&gt;"")+(AG708&lt;&gt;"")+(AL708&lt;&gt;""))</f>
        <v>0</v>
      </c>
      <c r="AP708" s="82" t="str">
        <f aca="false">IF(AL708&lt;&gt;"",AL708,IF(AG708&lt;&gt;"",AG708,IF(AA708&lt;&gt;"",AA708,"")))</f>
        <v/>
      </c>
      <c r="AQ708" s="84" t="str">
        <f aca="false">IF(E708="","",IF(U708="","À SOUDER",IF(X708="","VT EN ATTENTE",IF(X708="R","VT REJETÉ – À REPRENDRE",IF(AP708="","À RADIOGRAPHIER",IF(AP708="A","ACCEPTÉ",IF(AP708="NX","NX – RT À REFAIRE",IF(IF(AO708=1,AD708,IF(AO708=2,AI708,""))="A","RÉPARÉ – À RADIOGRAPHIER",IF(IF(AO708=1,AD708,IF(AO708=2,AI708,""))="R","VT REJETÉ – À REPRENDRE",IF(OR(AP708="CO",AP708="NT"),"COUPE – À RESOUDER","À RÉPARER"))))))))))</f>
        <v>À SOUDER</v>
      </c>
      <c r="AR708" s="82" t="str">
        <f aca="false">IF(AND(ISNUMBER(U708),OR(AQ708="À RADIOGRAPHIER",AQ708="RÉPARÉ – À RADIOGRAPHIER",AQ708="NX – RT À REFAIRE",AQ708="À RÉPARER",AQ708="COUPE – À RESOUDER",AQ708="VT REJETÉ – À REPRENDRE")),MAX(0,'PROGRAMME RT'!$C$4-U708),"")</f>
        <v/>
      </c>
      <c r="AS708" s="82" t="n">
        <f aca="false">IF(AND(OR(AQ708="À RADIOGRAPHIER",AQ708="RÉPARÉ – À RADIOGRAPHIER",AQ708="NX – RT À REFAIRE"),OR('PROGRAMME RT'!$D$5="TOUTES",B708='PROGRAMME RT'!$D$5)),1,0)</f>
        <v>0</v>
      </c>
      <c r="AT708" s="82" t="str">
        <f aca="false">IF(AS708=1,SUM(AS$7:AS708),"")</f>
        <v/>
      </c>
      <c r="AU708" s="82" t="n">
        <f aca="false">IF(AND(OR(AA708="R",AA708="NX",AA708="NT",AA708="CO"),OR('JOINTS DE RÉPARATION'!$D$5="TOUTES",B708='JOINTS DE RÉPARATION'!$D$5),OR('JOINTS DE RÉPARATION'!$L$4="TOUS",AQ708&lt;&gt;"ACCEPTÉ")),1,0)</f>
        <v>0</v>
      </c>
      <c r="AV708" s="82" t="str">
        <f aca="false">IF(AU708=1,SUM(AU$7:AU708),"")</f>
        <v/>
      </c>
      <c r="AW708" s="82" t="str">
        <f aca="false">IF(E708="","",B708&amp;"|"&amp;E708)</f>
        <v>MFD-ISW → MFD-CPF|JN°702</v>
      </c>
    </row>
    <row r="709" customFormat="false" ht="74.6" hidden="false" customHeight="false" outlineLevel="0" collapsed="false">
      <c r="A709" s="79" t="n">
        <f aca="false">IF(E709="","",ROW()-6)</f>
        <v>703</v>
      </c>
      <c r="B709" s="80" t="s">
        <v>110</v>
      </c>
      <c r="C709" s="81"/>
      <c r="D709" s="81"/>
      <c r="E709" s="81" t="s">
        <v>813</v>
      </c>
      <c r="F709" s="82" t="str">
        <f aca="false">IF(E709="","",IF(LEFT(E709,2)="DJ","DJ","JN"))</f>
        <v>JN</v>
      </c>
      <c r="G709" s="81"/>
      <c r="H709" s="81"/>
      <c r="I709" s="81"/>
      <c r="J709" s="81"/>
      <c r="K709" s="81"/>
      <c r="L709" s="81"/>
      <c r="M709" s="81"/>
      <c r="N709" s="81"/>
      <c r="O709" s="81"/>
      <c r="P709" s="81"/>
      <c r="Q709" s="81"/>
      <c r="R709" s="81"/>
      <c r="S709" s="81"/>
      <c r="T709" s="81"/>
      <c r="U709" s="83"/>
      <c r="V709" s="83"/>
      <c r="W709" s="81"/>
      <c r="X709" s="81"/>
      <c r="Y709" s="83"/>
      <c r="Z709" s="81"/>
      <c r="AA709" s="81"/>
      <c r="AB709" s="81"/>
      <c r="AC709" s="81"/>
      <c r="AD709" s="81"/>
      <c r="AE709" s="83"/>
      <c r="AF709" s="81"/>
      <c r="AG709" s="81"/>
      <c r="AH709" s="81"/>
      <c r="AI709" s="81"/>
      <c r="AJ709" s="83"/>
      <c r="AK709" s="81"/>
      <c r="AL709" s="81"/>
      <c r="AM709" s="83"/>
      <c r="AN709" s="80"/>
      <c r="AO709" s="82" t="n">
        <f aca="false">IF(E709="","",(AA709&lt;&gt;"")+(AG709&lt;&gt;"")+(AL709&lt;&gt;""))</f>
        <v>0</v>
      </c>
      <c r="AP709" s="82" t="str">
        <f aca="false">IF(AL709&lt;&gt;"",AL709,IF(AG709&lt;&gt;"",AG709,IF(AA709&lt;&gt;"",AA709,"")))</f>
        <v/>
      </c>
      <c r="AQ709" s="84" t="str">
        <f aca="false">IF(E709="","",IF(U709="","À SOUDER",IF(X709="","VT EN ATTENTE",IF(X709="R","VT REJETÉ – À REPRENDRE",IF(AP709="","À RADIOGRAPHIER",IF(AP709="A","ACCEPTÉ",IF(AP709="NX","NX – RT À REFAIRE",IF(IF(AO709=1,AD709,IF(AO709=2,AI709,""))="A","RÉPARÉ – À RADIOGRAPHIER",IF(IF(AO709=1,AD709,IF(AO709=2,AI709,""))="R","VT REJETÉ – À REPRENDRE",IF(OR(AP709="CO",AP709="NT"),"COUPE – À RESOUDER","À RÉPARER"))))))))))</f>
        <v>À SOUDER</v>
      </c>
      <c r="AR709" s="82" t="str">
        <f aca="false">IF(AND(ISNUMBER(U709),OR(AQ709="À RADIOGRAPHIER",AQ709="RÉPARÉ – À RADIOGRAPHIER",AQ709="NX – RT À REFAIRE",AQ709="À RÉPARER",AQ709="COUPE – À RESOUDER",AQ709="VT REJETÉ – À REPRENDRE")),MAX(0,'PROGRAMME RT'!$C$4-U709),"")</f>
        <v/>
      </c>
      <c r="AS709" s="82" t="n">
        <f aca="false">IF(AND(OR(AQ709="À RADIOGRAPHIER",AQ709="RÉPARÉ – À RADIOGRAPHIER",AQ709="NX – RT À REFAIRE"),OR('PROGRAMME RT'!$D$5="TOUTES",B709='PROGRAMME RT'!$D$5)),1,0)</f>
        <v>0</v>
      </c>
      <c r="AT709" s="82" t="str">
        <f aca="false">IF(AS709=1,SUM(AS$7:AS709),"")</f>
        <v/>
      </c>
      <c r="AU709" s="82" t="n">
        <f aca="false">IF(AND(OR(AA709="R",AA709="NX",AA709="NT",AA709="CO"),OR('JOINTS DE RÉPARATION'!$D$5="TOUTES",B709='JOINTS DE RÉPARATION'!$D$5),OR('JOINTS DE RÉPARATION'!$L$4="TOUS",AQ709&lt;&gt;"ACCEPTÉ")),1,0)</f>
        <v>0</v>
      </c>
      <c r="AV709" s="82" t="str">
        <f aca="false">IF(AU709=1,SUM(AU$7:AU709),"")</f>
        <v/>
      </c>
      <c r="AW709" s="82" t="str">
        <f aca="false">IF(E709="","",B709&amp;"|"&amp;E709)</f>
        <v>MFD-ISW → MFD-CPF|JN°703</v>
      </c>
    </row>
    <row r="710" customFormat="false" ht="74.6" hidden="false" customHeight="false" outlineLevel="0" collapsed="false">
      <c r="A710" s="79" t="n">
        <f aca="false">IF(E710="","",ROW()-6)</f>
        <v>704</v>
      </c>
      <c r="B710" s="80" t="s">
        <v>110</v>
      </c>
      <c r="C710" s="81"/>
      <c r="D710" s="81"/>
      <c r="E710" s="81" t="s">
        <v>814</v>
      </c>
      <c r="F710" s="82" t="str">
        <f aca="false">IF(E710="","",IF(LEFT(E710,2)="DJ","DJ","JN"))</f>
        <v>JN</v>
      </c>
      <c r="G710" s="81"/>
      <c r="H710" s="81"/>
      <c r="I710" s="81"/>
      <c r="J710" s="81"/>
      <c r="K710" s="81"/>
      <c r="L710" s="81"/>
      <c r="M710" s="81"/>
      <c r="N710" s="81"/>
      <c r="O710" s="81"/>
      <c r="P710" s="81"/>
      <c r="Q710" s="81"/>
      <c r="R710" s="81"/>
      <c r="S710" s="81"/>
      <c r="T710" s="81"/>
      <c r="U710" s="83"/>
      <c r="V710" s="83"/>
      <c r="W710" s="81"/>
      <c r="X710" s="81"/>
      <c r="Y710" s="83"/>
      <c r="Z710" s="81"/>
      <c r="AA710" s="81"/>
      <c r="AB710" s="81"/>
      <c r="AC710" s="81"/>
      <c r="AD710" s="81"/>
      <c r="AE710" s="83"/>
      <c r="AF710" s="81"/>
      <c r="AG710" s="81"/>
      <c r="AH710" s="81"/>
      <c r="AI710" s="81"/>
      <c r="AJ710" s="83"/>
      <c r="AK710" s="81"/>
      <c r="AL710" s="81"/>
      <c r="AM710" s="83"/>
      <c r="AN710" s="80"/>
      <c r="AO710" s="82" t="n">
        <f aca="false">IF(E710="","",(AA710&lt;&gt;"")+(AG710&lt;&gt;"")+(AL710&lt;&gt;""))</f>
        <v>0</v>
      </c>
      <c r="AP710" s="82" t="str">
        <f aca="false">IF(AL710&lt;&gt;"",AL710,IF(AG710&lt;&gt;"",AG710,IF(AA710&lt;&gt;"",AA710,"")))</f>
        <v/>
      </c>
      <c r="AQ710" s="84" t="str">
        <f aca="false">IF(E710="","",IF(U710="","À SOUDER",IF(X710="","VT EN ATTENTE",IF(X710="R","VT REJETÉ – À REPRENDRE",IF(AP710="","À RADIOGRAPHIER",IF(AP710="A","ACCEPTÉ",IF(AP710="NX","NX – RT À REFAIRE",IF(IF(AO710=1,AD710,IF(AO710=2,AI710,""))="A","RÉPARÉ – À RADIOGRAPHIER",IF(IF(AO710=1,AD710,IF(AO710=2,AI710,""))="R","VT REJETÉ – À REPRENDRE",IF(OR(AP710="CO",AP710="NT"),"COUPE – À RESOUDER","À RÉPARER"))))))))))</f>
        <v>À SOUDER</v>
      </c>
      <c r="AR710" s="82" t="str">
        <f aca="false">IF(AND(ISNUMBER(U710),OR(AQ710="À RADIOGRAPHIER",AQ710="RÉPARÉ – À RADIOGRAPHIER",AQ710="NX – RT À REFAIRE",AQ710="À RÉPARER",AQ710="COUPE – À RESOUDER",AQ710="VT REJETÉ – À REPRENDRE")),MAX(0,'PROGRAMME RT'!$C$4-U710),"")</f>
        <v/>
      </c>
      <c r="AS710" s="82" t="n">
        <f aca="false">IF(AND(OR(AQ710="À RADIOGRAPHIER",AQ710="RÉPARÉ – À RADIOGRAPHIER",AQ710="NX – RT À REFAIRE"),OR('PROGRAMME RT'!$D$5="TOUTES",B710='PROGRAMME RT'!$D$5)),1,0)</f>
        <v>0</v>
      </c>
      <c r="AT710" s="82" t="str">
        <f aca="false">IF(AS710=1,SUM(AS$7:AS710),"")</f>
        <v/>
      </c>
      <c r="AU710" s="82" t="n">
        <f aca="false">IF(AND(OR(AA710="R",AA710="NX",AA710="NT",AA710="CO"),OR('JOINTS DE RÉPARATION'!$D$5="TOUTES",B710='JOINTS DE RÉPARATION'!$D$5),OR('JOINTS DE RÉPARATION'!$L$4="TOUS",AQ710&lt;&gt;"ACCEPTÉ")),1,0)</f>
        <v>0</v>
      </c>
      <c r="AV710" s="82" t="str">
        <f aca="false">IF(AU710=1,SUM(AU$7:AU710),"")</f>
        <v/>
      </c>
      <c r="AW710" s="82" t="str">
        <f aca="false">IF(E710="","",B710&amp;"|"&amp;E710)</f>
        <v>MFD-ISW → MFD-CPF|JN°704</v>
      </c>
    </row>
    <row r="711" customFormat="false" ht="74.6" hidden="false" customHeight="false" outlineLevel="0" collapsed="false">
      <c r="A711" s="79" t="n">
        <f aca="false">IF(E711="","",ROW()-6)</f>
        <v>705</v>
      </c>
      <c r="B711" s="80" t="s">
        <v>110</v>
      </c>
      <c r="C711" s="81"/>
      <c r="D711" s="81"/>
      <c r="E711" s="81" t="s">
        <v>815</v>
      </c>
      <c r="F711" s="82" t="str">
        <f aca="false">IF(E711="","",IF(LEFT(E711,2)="DJ","DJ","JN"))</f>
        <v>JN</v>
      </c>
      <c r="G711" s="81"/>
      <c r="H711" s="81"/>
      <c r="I711" s="81"/>
      <c r="J711" s="81"/>
      <c r="K711" s="81"/>
      <c r="L711" s="81"/>
      <c r="M711" s="81"/>
      <c r="N711" s="81"/>
      <c r="O711" s="81"/>
      <c r="P711" s="81"/>
      <c r="Q711" s="81"/>
      <c r="R711" s="81"/>
      <c r="S711" s="81"/>
      <c r="T711" s="81"/>
      <c r="U711" s="83"/>
      <c r="V711" s="83"/>
      <c r="W711" s="81"/>
      <c r="X711" s="81"/>
      <c r="Y711" s="83"/>
      <c r="Z711" s="81"/>
      <c r="AA711" s="81"/>
      <c r="AB711" s="81"/>
      <c r="AC711" s="81"/>
      <c r="AD711" s="81"/>
      <c r="AE711" s="83"/>
      <c r="AF711" s="81"/>
      <c r="AG711" s="81"/>
      <c r="AH711" s="81"/>
      <c r="AI711" s="81"/>
      <c r="AJ711" s="83"/>
      <c r="AK711" s="81"/>
      <c r="AL711" s="81"/>
      <c r="AM711" s="83"/>
      <c r="AN711" s="80"/>
      <c r="AO711" s="82" t="n">
        <f aca="false">IF(E711="","",(AA711&lt;&gt;"")+(AG711&lt;&gt;"")+(AL711&lt;&gt;""))</f>
        <v>0</v>
      </c>
      <c r="AP711" s="82" t="str">
        <f aca="false">IF(AL711&lt;&gt;"",AL711,IF(AG711&lt;&gt;"",AG711,IF(AA711&lt;&gt;"",AA711,"")))</f>
        <v/>
      </c>
      <c r="AQ711" s="84" t="str">
        <f aca="false">IF(E711="","",IF(U711="","À SOUDER",IF(X711="","VT EN ATTENTE",IF(X711="R","VT REJETÉ – À REPRENDRE",IF(AP711="","À RADIOGRAPHIER",IF(AP711="A","ACCEPTÉ",IF(AP711="NX","NX – RT À REFAIRE",IF(IF(AO711=1,AD711,IF(AO711=2,AI711,""))="A","RÉPARÉ – À RADIOGRAPHIER",IF(IF(AO711=1,AD711,IF(AO711=2,AI711,""))="R","VT REJETÉ – À REPRENDRE",IF(OR(AP711="CO",AP711="NT"),"COUPE – À RESOUDER","À RÉPARER"))))))))))</f>
        <v>À SOUDER</v>
      </c>
      <c r="AR711" s="82" t="str">
        <f aca="false">IF(AND(ISNUMBER(U711),OR(AQ711="À RADIOGRAPHIER",AQ711="RÉPARÉ – À RADIOGRAPHIER",AQ711="NX – RT À REFAIRE",AQ711="À RÉPARER",AQ711="COUPE – À RESOUDER",AQ711="VT REJETÉ – À REPRENDRE")),MAX(0,'PROGRAMME RT'!$C$4-U711),"")</f>
        <v/>
      </c>
      <c r="AS711" s="82" t="n">
        <f aca="false">IF(AND(OR(AQ711="À RADIOGRAPHIER",AQ711="RÉPARÉ – À RADIOGRAPHIER",AQ711="NX – RT À REFAIRE"),OR('PROGRAMME RT'!$D$5="TOUTES",B711='PROGRAMME RT'!$D$5)),1,0)</f>
        <v>0</v>
      </c>
      <c r="AT711" s="82" t="str">
        <f aca="false">IF(AS711=1,SUM(AS$7:AS711),"")</f>
        <v/>
      </c>
      <c r="AU711" s="82" t="n">
        <f aca="false">IF(AND(OR(AA711="R",AA711="NX",AA711="NT",AA711="CO"),OR('JOINTS DE RÉPARATION'!$D$5="TOUTES",B711='JOINTS DE RÉPARATION'!$D$5),OR('JOINTS DE RÉPARATION'!$L$4="TOUS",AQ711&lt;&gt;"ACCEPTÉ")),1,0)</f>
        <v>0</v>
      </c>
      <c r="AV711" s="82" t="str">
        <f aca="false">IF(AU711=1,SUM(AU$7:AU711),"")</f>
        <v/>
      </c>
      <c r="AW711" s="82" t="str">
        <f aca="false">IF(E711="","",B711&amp;"|"&amp;E711)</f>
        <v>MFD-ISW → MFD-CPF|JN°705</v>
      </c>
    </row>
    <row r="712" customFormat="false" ht="74.6" hidden="false" customHeight="false" outlineLevel="0" collapsed="false">
      <c r="A712" s="79" t="n">
        <f aca="false">IF(E712="","",ROW()-6)</f>
        <v>706</v>
      </c>
      <c r="B712" s="80" t="s">
        <v>110</v>
      </c>
      <c r="C712" s="81"/>
      <c r="D712" s="81"/>
      <c r="E712" s="81" t="s">
        <v>816</v>
      </c>
      <c r="F712" s="82" t="str">
        <f aca="false">IF(E712="","",IF(LEFT(E712,2)="DJ","DJ","JN"))</f>
        <v>JN</v>
      </c>
      <c r="G712" s="81"/>
      <c r="H712" s="81"/>
      <c r="I712" s="81"/>
      <c r="J712" s="81"/>
      <c r="K712" s="81"/>
      <c r="L712" s="81"/>
      <c r="M712" s="81"/>
      <c r="N712" s="81"/>
      <c r="O712" s="81"/>
      <c r="P712" s="81"/>
      <c r="Q712" s="81"/>
      <c r="R712" s="81"/>
      <c r="S712" s="81"/>
      <c r="T712" s="81"/>
      <c r="U712" s="83"/>
      <c r="V712" s="83"/>
      <c r="W712" s="81"/>
      <c r="X712" s="81"/>
      <c r="Y712" s="83"/>
      <c r="Z712" s="81"/>
      <c r="AA712" s="81"/>
      <c r="AB712" s="81"/>
      <c r="AC712" s="81"/>
      <c r="AD712" s="81"/>
      <c r="AE712" s="83"/>
      <c r="AF712" s="81"/>
      <c r="AG712" s="81"/>
      <c r="AH712" s="81"/>
      <c r="AI712" s="81"/>
      <c r="AJ712" s="83"/>
      <c r="AK712" s="81"/>
      <c r="AL712" s="81"/>
      <c r="AM712" s="83"/>
      <c r="AN712" s="80"/>
      <c r="AO712" s="82" t="n">
        <f aca="false">IF(E712="","",(AA712&lt;&gt;"")+(AG712&lt;&gt;"")+(AL712&lt;&gt;""))</f>
        <v>0</v>
      </c>
      <c r="AP712" s="82" t="str">
        <f aca="false">IF(AL712&lt;&gt;"",AL712,IF(AG712&lt;&gt;"",AG712,IF(AA712&lt;&gt;"",AA712,"")))</f>
        <v/>
      </c>
      <c r="AQ712" s="84" t="str">
        <f aca="false">IF(E712="","",IF(U712="","À SOUDER",IF(X712="","VT EN ATTENTE",IF(X712="R","VT REJETÉ – À REPRENDRE",IF(AP712="","À RADIOGRAPHIER",IF(AP712="A","ACCEPTÉ",IF(AP712="NX","NX – RT À REFAIRE",IF(IF(AO712=1,AD712,IF(AO712=2,AI712,""))="A","RÉPARÉ – À RADIOGRAPHIER",IF(IF(AO712=1,AD712,IF(AO712=2,AI712,""))="R","VT REJETÉ – À REPRENDRE",IF(OR(AP712="CO",AP712="NT"),"COUPE – À RESOUDER","À RÉPARER"))))))))))</f>
        <v>À SOUDER</v>
      </c>
      <c r="AR712" s="82" t="str">
        <f aca="false">IF(AND(ISNUMBER(U712),OR(AQ712="À RADIOGRAPHIER",AQ712="RÉPARÉ – À RADIOGRAPHIER",AQ712="NX – RT À REFAIRE",AQ712="À RÉPARER",AQ712="COUPE – À RESOUDER",AQ712="VT REJETÉ – À REPRENDRE")),MAX(0,'PROGRAMME RT'!$C$4-U712),"")</f>
        <v/>
      </c>
      <c r="AS712" s="82" t="n">
        <f aca="false">IF(AND(OR(AQ712="À RADIOGRAPHIER",AQ712="RÉPARÉ – À RADIOGRAPHIER",AQ712="NX – RT À REFAIRE"),OR('PROGRAMME RT'!$D$5="TOUTES",B712='PROGRAMME RT'!$D$5)),1,0)</f>
        <v>0</v>
      </c>
      <c r="AT712" s="82" t="str">
        <f aca="false">IF(AS712=1,SUM(AS$7:AS712),"")</f>
        <v/>
      </c>
      <c r="AU712" s="82" t="n">
        <f aca="false">IF(AND(OR(AA712="R",AA712="NX",AA712="NT",AA712="CO"),OR('JOINTS DE RÉPARATION'!$D$5="TOUTES",B712='JOINTS DE RÉPARATION'!$D$5),OR('JOINTS DE RÉPARATION'!$L$4="TOUS",AQ712&lt;&gt;"ACCEPTÉ")),1,0)</f>
        <v>0</v>
      </c>
      <c r="AV712" s="82" t="str">
        <f aca="false">IF(AU712=1,SUM(AU$7:AU712),"")</f>
        <v/>
      </c>
      <c r="AW712" s="82" t="str">
        <f aca="false">IF(E712="","",B712&amp;"|"&amp;E712)</f>
        <v>MFD-ISW → MFD-CPF|JN°706</v>
      </c>
    </row>
    <row r="713" customFormat="false" ht="74.6" hidden="false" customHeight="false" outlineLevel="0" collapsed="false">
      <c r="A713" s="79" t="n">
        <f aca="false">IF(E713="","",ROW()-6)</f>
        <v>707</v>
      </c>
      <c r="B713" s="80" t="s">
        <v>110</v>
      </c>
      <c r="C713" s="81"/>
      <c r="D713" s="81"/>
      <c r="E713" s="81" t="s">
        <v>817</v>
      </c>
      <c r="F713" s="82" t="str">
        <f aca="false">IF(E713="","",IF(LEFT(E713,2)="DJ","DJ","JN"))</f>
        <v>JN</v>
      </c>
      <c r="G713" s="81"/>
      <c r="H713" s="81"/>
      <c r="I713" s="81"/>
      <c r="J713" s="81"/>
      <c r="K713" s="81"/>
      <c r="L713" s="81"/>
      <c r="M713" s="81"/>
      <c r="N713" s="81"/>
      <c r="O713" s="81"/>
      <c r="P713" s="81"/>
      <c r="Q713" s="81"/>
      <c r="R713" s="81"/>
      <c r="S713" s="81"/>
      <c r="T713" s="81"/>
      <c r="U713" s="83"/>
      <c r="V713" s="83"/>
      <c r="W713" s="81"/>
      <c r="X713" s="81"/>
      <c r="Y713" s="83"/>
      <c r="Z713" s="81"/>
      <c r="AA713" s="81"/>
      <c r="AB713" s="81"/>
      <c r="AC713" s="81"/>
      <c r="AD713" s="81"/>
      <c r="AE713" s="83"/>
      <c r="AF713" s="81"/>
      <c r="AG713" s="81"/>
      <c r="AH713" s="81"/>
      <c r="AI713" s="81"/>
      <c r="AJ713" s="83"/>
      <c r="AK713" s="81"/>
      <c r="AL713" s="81"/>
      <c r="AM713" s="83"/>
      <c r="AN713" s="80"/>
      <c r="AO713" s="82" t="n">
        <f aca="false">IF(E713="","",(AA713&lt;&gt;"")+(AG713&lt;&gt;"")+(AL713&lt;&gt;""))</f>
        <v>0</v>
      </c>
      <c r="AP713" s="82" t="str">
        <f aca="false">IF(AL713&lt;&gt;"",AL713,IF(AG713&lt;&gt;"",AG713,IF(AA713&lt;&gt;"",AA713,"")))</f>
        <v/>
      </c>
      <c r="AQ713" s="84" t="str">
        <f aca="false">IF(E713="","",IF(U713="","À SOUDER",IF(X713="","VT EN ATTENTE",IF(X713="R","VT REJETÉ – À REPRENDRE",IF(AP713="","À RADIOGRAPHIER",IF(AP713="A","ACCEPTÉ",IF(AP713="NX","NX – RT À REFAIRE",IF(IF(AO713=1,AD713,IF(AO713=2,AI713,""))="A","RÉPARÉ – À RADIOGRAPHIER",IF(IF(AO713=1,AD713,IF(AO713=2,AI713,""))="R","VT REJETÉ – À REPRENDRE",IF(OR(AP713="CO",AP713="NT"),"COUPE – À RESOUDER","À RÉPARER"))))))))))</f>
        <v>À SOUDER</v>
      </c>
      <c r="AR713" s="82" t="str">
        <f aca="false">IF(AND(ISNUMBER(U713),OR(AQ713="À RADIOGRAPHIER",AQ713="RÉPARÉ – À RADIOGRAPHIER",AQ713="NX – RT À REFAIRE",AQ713="À RÉPARER",AQ713="COUPE – À RESOUDER",AQ713="VT REJETÉ – À REPRENDRE")),MAX(0,'PROGRAMME RT'!$C$4-U713),"")</f>
        <v/>
      </c>
      <c r="AS713" s="82" t="n">
        <f aca="false">IF(AND(OR(AQ713="À RADIOGRAPHIER",AQ713="RÉPARÉ – À RADIOGRAPHIER",AQ713="NX – RT À REFAIRE"),OR('PROGRAMME RT'!$D$5="TOUTES",B713='PROGRAMME RT'!$D$5)),1,0)</f>
        <v>0</v>
      </c>
      <c r="AT713" s="82" t="str">
        <f aca="false">IF(AS713=1,SUM(AS$7:AS713),"")</f>
        <v/>
      </c>
      <c r="AU713" s="82" t="n">
        <f aca="false">IF(AND(OR(AA713="R",AA713="NX",AA713="NT",AA713="CO"),OR('JOINTS DE RÉPARATION'!$D$5="TOUTES",B713='JOINTS DE RÉPARATION'!$D$5),OR('JOINTS DE RÉPARATION'!$L$4="TOUS",AQ713&lt;&gt;"ACCEPTÉ")),1,0)</f>
        <v>0</v>
      </c>
      <c r="AV713" s="82" t="str">
        <f aca="false">IF(AU713=1,SUM(AU$7:AU713),"")</f>
        <v/>
      </c>
      <c r="AW713" s="82" t="str">
        <f aca="false">IF(E713="","",B713&amp;"|"&amp;E713)</f>
        <v>MFD-ISW → MFD-CPF|JN°707</v>
      </c>
    </row>
    <row r="714" customFormat="false" ht="74.6" hidden="false" customHeight="false" outlineLevel="0" collapsed="false">
      <c r="A714" s="79" t="n">
        <f aca="false">IF(E714="","",ROW()-6)</f>
        <v>708</v>
      </c>
      <c r="B714" s="80" t="s">
        <v>110</v>
      </c>
      <c r="C714" s="81"/>
      <c r="D714" s="81"/>
      <c r="E714" s="81" t="s">
        <v>818</v>
      </c>
      <c r="F714" s="82" t="str">
        <f aca="false">IF(E714="","",IF(LEFT(E714,2)="DJ","DJ","JN"))</f>
        <v>JN</v>
      </c>
      <c r="G714" s="81"/>
      <c r="H714" s="81"/>
      <c r="I714" s="81"/>
      <c r="J714" s="81"/>
      <c r="K714" s="81"/>
      <c r="L714" s="81"/>
      <c r="M714" s="81"/>
      <c r="N714" s="81"/>
      <c r="O714" s="81"/>
      <c r="P714" s="81"/>
      <c r="Q714" s="81"/>
      <c r="R714" s="81"/>
      <c r="S714" s="81"/>
      <c r="T714" s="81"/>
      <c r="U714" s="83"/>
      <c r="V714" s="83"/>
      <c r="W714" s="81"/>
      <c r="X714" s="81"/>
      <c r="Y714" s="83"/>
      <c r="Z714" s="81"/>
      <c r="AA714" s="81"/>
      <c r="AB714" s="81"/>
      <c r="AC714" s="81"/>
      <c r="AD714" s="81"/>
      <c r="AE714" s="83"/>
      <c r="AF714" s="81"/>
      <c r="AG714" s="81"/>
      <c r="AH714" s="81"/>
      <c r="AI714" s="81"/>
      <c r="AJ714" s="83"/>
      <c r="AK714" s="81"/>
      <c r="AL714" s="81"/>
      <c r="AM714" s="83"/>
      <c r="AN714" s="80"/>
      <c r="AO714" s="82" t="n">
        <f aca="false">IF(E714="","",(AA714&lt;&gt;"")+(AG714&lt;&gt;"")+(AL714&lt;&gt;""))</f>
        <v>0</v>
      </c>
      <c r="AP714" s="82" t="str">
        <f aca="false">IF(AL714&lt;&gt;"",AL714,IF(AG714&lt;&gt;"",AG714,IF(AA714&lt;&gt;"",AA714,"")))</f>
        <v/>
      </c>
      <c r="AQ714" s="84" t="str">
        <f aca="false">IF(E714="","",IF(U714="","À SOUDER",IF(X714="","VT EN ATTENTE",IF(X714="R","VT REJETÉ – À REPRENDRE",IF(AP714="","À RADIOGRAPHIER",IF(AP714="A","ACCEPTÉ",IF(AP714="NX","NX – RT À REFAIRE",IF(IF(AO714=1,AD714,IF(AO714=2,AI714,""))="A","RÉPARÉ – À RADIOGRAPHIER",IF(IF(AO714=1,AD714,IF(AO714=2,AI714,""))="R","VT REJETÉ – À REPRENDRE",IF(OR(AP714="CO",AP714="NT"),"COUPE – À RESOUDER","À RÉPARER"))))))))))</f>
        <v>À SOUDER</v>
      </c>
      <c r="AR714" s="82" t="str">
        <f aca="false">IF(AND(ISNUMBER(U714),OR(AQ714="À RADIOGRAPHIER",AQ714="RÉPARÉ – À RADIOGRAPHIER",AQ714="NX – RT À REFAIRE",AQ714="À RÉPARER",AQ714="COUPE – À RESOUDER",AQ714="VT REJETÉ – À REPRENDRE")),MAX(0,'PROGRAMME RT'!$C$4-U714),"")</f>
        <v/>
      </c>
      <c r="AS714" s="82" t="n">
        <f aca="false">IF(AND(OR(AQ714="À RADIOGRAPHIER",AQ714="RÉPARÉ – À RADIOGRAPHIER",AQ714="NX – RT À REFAIRE"),OR('PROGRAMME RT'!$D$5="TOUTES",B714='PROGRAMME RT'!$D$5)),1,0)</f>
        <v>0</v>
      </c>
      <c r="AT714" s="82" t="str">
        <f aca="false">IF(AS714=1,SUM(AS$7:AS714),"")</f>
        <v/>
      </c>
      <c r="AU714" s="82" t="n">
        <f aca="false">IF(AND(OR(AA714="R",AA714="NX",AA714="NT",AA714="CO"),OR('JOINTS DE RÉPARATION'!$D$5="TOUTES",B714='JOINTS DE RÉPARATION'!$D$5),OR('JOINTS DE RÉPARATION'!$L$4="TOUS",AQ714&lt;&gt;"ACCEPTÉ")),1,0)</f>
        <v>0</v>
      </c>
      <c r="AV714" s="82" t="str">
        <f aca="false">IF(AU714=1,SUM(AU$7:AU714),"")</f>
        <v/>
      </c>
      <c r="AW714" s="82" t="str">
        <f aca="false">IF(E714="","",B714&amp;"|"&amp;E714)</f>
        <v>MFD-ISW → MFD-CPF|JN°708</v>
      </c>
    </row>
    <row r="715" customFormat="false" ht="74.6" hidden="false" customHeight="false" outlineLevel="0" collapsed="false">
      <c r="A715" s="79" t="n">
        <f aca="false">IF(E715="","",ROW()-6)</f>
        <v>709</v>
      </c>
      <c r="B715" s="80" t="s">
        <v>110</v>
      </c>
      <c r="C715" s="81"/>
      <c r="D715" s="81"/>
      <c r="E715" s="81" t="s">
        <v>819</v>
      </c>
      <c r="F715" s="82" t="str">
        <f aca="false">IF(E715="","",IF(LEFT(E715,2)="DJ","DJ","JN"))</f>
        <v>JN</v>
      </c>
      <c r="G715" s="81"/>
      <c r="H715" s="81"/>
      <c r="I715" s="81"/>
      <c r="J715" s="81"/>
      <c r="K715" s="81"/>
      <c r="L715" s="81"/>
      <c r="M715" s="81"/>
      <c r="N715" s="81"/>
      <c r="O715" s="81"/>
      <c r="P715" s="81"/>
      <c r="Q715" s="81"/>
      <c r="R715" s="81"/>
      <c r="S715" s="81"/>
      <c r="T715" s="81"/>
      <c r="U715" s="83"/>
      <c r="V715" s="83"/>
      <c r="W715" s="81"/>
      <c r="X715" s="81"/>
      <c r="Y715" s="83"/>
      <c r="Z715" s="81"/>
      <c r="AA715" s="81"/>
      <c r="AB715" s="81"/>
      <c r="AC715" s="81"/>
      <c r="AD715" s="81"/>
      <c r="AE715" s="83"/>
      <c r="AF715" s="81"/>
      <c r="AG715" s="81"/>
      <c r="AH715" s="81"/>
      <c r="AI715" s="81"/>
      <c r="AJ715" s="83"/>
      <c r="AK715" s="81"/>
      <c r="AL715" s="81"/>
      <c r="AM715" s="83"/>
      <c r="AN715" s="80"/>
      <c r="AO715" s="82" t="n">
        <f aca="false">IF(E715="","",(AA715&lt;&gt;"")+(AG715&lt;&gt;"")+(AL715&lt;&gt;""))</f>
        <v>0</v>
      </c>
      <c r="AP715" s="82" t="str">
        <f aca="false">IF(AL715&lt;&gt;"",AL715,IF(AG715&lt;&gt;"",AG715,IF(AA715&lt;&gt;"",AA715,"")))</f>
        <v/>
      </c>
      <c r="AQ715" s="84" t="str">
        <f aca="false">IF(E715="","",IF(U715="","À SOUDER",IF(X715="","VT EN ATTENTE",IF(X715="R","VT REJETÉ – À REPRENDRE",IF(AP715="","À RADIOGRAPHIER",IF(AP715="A","ACCEPTÉ",IF(AP715="NX","NX – RT À REFAIRE",IF(IF(AO715=1,AD715,IF(AO715=2,AI715,""))="A","RÉPARÉ – À RADIOGRAPHIER",IF(IF(AO715=1,AD715,IF(AO715=2,AI715,""))="R","VT REJETÉ – À REPRENDRE",IF(OR(AP715="CO",AP715="NT"),"COUPE – À RESOUDER","À RÉPARER"))))))))))</f>
        <v>À SOUDER</v>
      </c>
      <c r="AR715" s="82" t="str">
        <f aca="false">IF(AND(ISNUMBER(U715),OR(AQ715="À RADIOGRAPHIER",AQ715="RÉPARÉ – À RADIOGRAPHIER",AQ715="NX – RT À REFAIRE",AQ715="À RÉPARER",AQ715="COUPE – À RESOUDER",AQ715="VT REJETÉ – À REPRENDRE")),MAX(0,'PROGRAMME RT'!$C$4-U715),"")</f>
        <v/>
      </c>
      <c r="AS715" s="82" t="n">
        <f aca="false">IF(AND(OR(AQ715="À RADIOGRAPHIER",AQ715="RÉPARÉ – À RADIOGRAPHIER",AQ715="NX – RT À REFAIRE"),OR('PROGRAMME RT'!$D$5="TOUTES",B715='PROGRAMME RT'!$D$5)),1,0)</f>
        <v>0</v>
      </c>
      <c r="AT715" s="82" t="str">
        <f aca="false">IF(AS715=1,SUM(AS$7:AS715),"")</f>
        <v/>
      </c>
      <c r="AU715" s="82" t="n">
        <f aca="false">IF(AND(OR(AA715="R",AA715="NX",AA715="NT",AA715="CO"),OR('JOINTS DE RÉPARATION'!$D$5="TOUTES",B715='JOINTS DE RÉPARATION'!$D$5),OR('JOINTS DE RÉPARATION'!$L$4="TOUS",AQ715&lt;&gt;"ACCEPTÉ")),1,0)</f>
        <v>0</v>
      </c>
      <c r="AV715" s="82" t="str">
        <f aca="false">IF(AU715=1,SUM(AU$7:AU715),"")</f>
        <v/>
      </c>
      <c r="AW715" s="82" t="str">
        <f aca="false">IF(E715="","",B715&amp;"|"&amp;E715)</f>
        <v>MFD-ISW → MFD-CPF|JN°709</v>
      </c>
    </row>
    <row r="716" customFormat="false" ht="74.6" hidden="false" customHeight="false" outlineLevel="0" collapsed="false">
      <c r="A716" s="79" t="n">
        <f aca="false">IF(E716="","",ROW()-6)</f>
        <v>710</v>
      </c>
      <c r="B716" s="80" t="s">
        <v>110</v>
      </c>
      <c r="C716" s="81"/>
      <c r="D716" s="81"/>
      <c r="E716" s="81" t="s">
        <v>820</v>
      </c>
      <c r="F716" s="82" t="str">
        <f aca="false">IF(E716="","",IF(LEFT(E716,2)="DJ","DJ","JN"))</f>
        <v>JN</v>
      </c>
      <c r="G716" s="81"/>
      <c r="H716" s="81"/>
      <c r="I716" s="81"/>
      <c r="J716" s="81"/>
      <c r="K716" s="81"/>
      <c r="L716" s="81"/>
      <c r="M716" s="81"/>
      <c r="N716" s="81"/>
      <c r="O716" s="81"/>
      <c r="P716" s="81"/>
      <c r="Q716" s="81"/>
      <c r="R716" s="81"/>
      <c r="S716" s="81"/>
      <c r="T716" s="81"/>
      <c r="U716" s="83"/>
      <c r="V716" s="83"/>
      <c r="W716" s="81"/>
      <c r="X716" s="81"/>
      <c r="Y716" s="83"/>
      <c r="Z716" s="81"/>
      <c r="AA716" s="81"/>
      <c r="AB716" s="81"/>
      <c r="AC716" s="81"/>
      <c r="AD716" s="81"/>
      <c r="AE716" s="83"/>
      <c r="AF716" s="81"/>
      <c r="AG716" s="81"/>
      <c r="AH716" s="81"/>
      <c r="AI716" s="81"/>
      <c r="AJ716" s="83"/>
      <c r="AK716" s="81"/>
      <c r="AL716" s="81"/>
      <c r="AM716" s="83"/>
      <c r="AN716" s="80"/>
      <c r="AO716" s="82" t="n">
        <f aca="false">IF(E716="","",(AA716&lt;&gt;"")+(AG716&lt;&gt;"")+(AL716&lt;&gt;""))</f>
        <v>0</v>
      </c>
      <c r="AP716" s="82" t="str">
        <f aca="false">IF(AL716&lt;&gt;"",AL716,IF(AG716&lt;&gt;"",AG716,IF(AA716&lt;&gt;"",AA716,"")))</f>
        <v/>
      </c>
      <c r="AQ716" s="84" t="str">
        <f aca="false">IF(E716="","",IF(U716="","À SOUDER",IF(X716="","VT EN ATTENTE",IF(X716="R","VT REJETÉ – À REPRENDRE",IF(AP716="","À RADIOGRAPHIER",IF(AP716="A","ACCEPTÉ",IF(AP716="NX","NX – RT À REFAIRE",IF(IF(AO716=1,AD716,IF(AO716=2,AI716,""))="A","RÉPARÉ – À RADIOGRAPHIER",IF(IF(AO716=1,AD716,IF(AO716=2,AI716,""))="R","VT REJETÉ – À REPRENDRE",IF(OR(AP716="CO",AP716="NT"),"COUPE – À RESOUDER","À RÉPARER"))))))))))</f>
        <v>À SOUDER</v>
      </c>
      <c r="AR716" s="82" t="str">
        <f aca="false">IF(AND(ISNUMBER(U716),OR(AQ716="À RADIOGRAPHIER",AQ716="RÉPARÉ – À RADIOGRAPHIER",AQ716="NX – RT À REFAIRE",AQ716="À RÉPARER",AQ716="COUPE – À RESOUDER",AQ716="VT REJETÉ – À REPRENDRE")),MAX(0,'PROGRAMME RT'!$C$4-U716),"")</f>
        <v/>
      </c>
      <c r="AS716" s="82" t="n">
        <f aca="false">IF(AND(OR(AQ716="À RADIOGRAPHIER",AQ716="RÉPARÉ – À RADIOGRAPHIER",AQ716="NX – RT À REFAIRE"),OR('PROGRAMME RT'!$D$5="TOUTES",B716='PROGRAMME RT'!$D$5)),1,0)</f>
        <v>0</v>
      </c>
      <c r="AT716" s="82" t="str">
        <f aca="false">IF(AS716=1,SUM(AS$7:AS716),"")</f>
        <v/>
      </c>
      <c r="AU716" s="82" t="n">
        <f aca="false">IF(AND(OR(AA716="R",AA716="NX",AA716="NT",AA716="CO"),OR('JOINTS DE RÉPARATION'!$D$5="TOUTES",B716='JOINTS DE RÉPARATION'!$D$5),OR('JOINTS DE RÉPARATION'!$L$4="TOUS",AQ716&lt;&gt;"ACCEPTÉ")),1,0)</f>
        <v>0</v>
      </c>
      <c r="AV716" s="82" t="str">
        <f aca="false">IF(AU716=1,SUM(AU$7:AU716),"")</f>
        <v/>
      </c>
      <c r="AW716" s="82" t="str">
        <f aca="false">IF(E716="","",B716&amp;"|"&amp;E716)</f>
        <v>MFD-ISW → MFD-CPF|JN°710</v>
      </c>
    </row>
    <row r="717" customFormat="false" ht="74.6" hidden="false" customHeight="false" outlineLevel="0" collapsed="false">
      <c r="A717" s="79" t="n">
        <f aca="false">IF(E717="","",ROW()-6)</f>
        <v>711</v>
      </c>
      <c r="B717" s="80" t="s">
        <v>110</v>
      </c>
      <c r="C717" s="81"/>
      <c r="D717" s="81"/>
      <c r="E717" s="81" t="s">
        <v>821</v>
      </c>
      <c r="F717" s="82" t="str">
        <f aca="false">IF(E717="","",IF(LEFT(E717,2)="DJ","DJ","JN"))</f>
        <v>JN</v>
      </c>
      <c r="G717" s="81"/>
      <c r="H717" s="81"/>
      <c r="I717" s="81"/>
      <c r="J717" s="81"/>
      <c r="K717" s="81"/>
      <c r="L717" s="81"/>
      <c r="M717" s="81"/>
      <c r="N717" s="81"/>
      <c r="O717" s="81"/>
      <c r="P717" s="81"/>
      <c r="Q717" s="81"/>
      <c r="R717" s="81"/>
      <c r="S717" s="81"/>
      <c r="T717" s="81"/>
      <c r="U717" s="83"/>
      <c r="V717" s="83"/>
      <c r="W717" s="81"/>
      <c r="X717" s="81"/>
      <c r="Y717" s="83"/>
      <c r="Z717" s="81"/>
      <c r="AA717" s="81"/>
      <c r="AB717" s="81"/>
      <c r="AC717" s="81"/>
      <c r="AD717" s="81"/>
      <c r="AE717" s="83"/>
      <c r="AF717" s="81"/>
      <c r="AG717" s="81"/>
      <c r="AH717" s="81"/>
      <c r="AI717" s="81"/>
      <c r="AJ717" s="83"/>
      <c r="AK717" s="81"/>
      <c r="AL717" s="81"/>
      <c r="AM717" s="83"/>
      <c r="AN717" s="80"/>
      <c r="AO717" s="82" t="n">
        <f aca="false">IF(E717="","",(AA717&lt;&gt;"")+(AG717&lt;&gt;"")+(AL717&lt;&gt;""))</f>
        <v>0</v>
      </c>
      <c r="AP717" s="82" t="str">
        <f aca="false">IF(AL717&lt;&gt;"",AL717,IF(AG717&lt;&gt;"",AG717,IF(AA717&lt;&gt;"",AA717,"")))</f>
        <v/>
      </c>
      <c r="AQ717" s="84" t="str">
        <f aca="false">IF(E717="","",IF(U717="","À SOUDER",IF(X717="","VT EN ATTENTE",IF(X717="R","VT REJETÉ – À REPRENDRE",IF(AP717="","À RADIOGRAPHIER",IF(AP717="A","ACCEPTÉ",IF(AP717="NX","NX – RT À REFAIRE",IF(IF(AO717=1,AD717,IF(AO717=2,AI717,""))="A","RÉPARÉ – À RADIOGRAPHIER",IF(IF(AO717=1,AD717,IF(AO717=2,AI717,""))="R","VT REJETÉ – À REPRENDRE",IF(OR(AP717="CO",AP717="NT"),"COUPE – À RESOUDER","À RÉPARER"))))))))))</f>
        <v>À SOUDER</v>
      </c>
      <c r="AR717" s="82" t="str">
        <f aca="false">IF(AND(ISNUMBER(U717),OR(AQ717="À RADIOGRAPHIER",AQ717="RÉPARÉ – À RADIOGRAPHIER",AQ717="NX – RT À REFAIRE",AQ717="À RÉPARER",AQ717="COUPE – À RESOUDER",AQ717="VT REJETÉ – À REPRENDRE")),MAX(0,'PROGRAMME RT'!$C$4-U717),"")</f>
        <v/>
      </c>
      <c r="AS717" s="82" t="n">
        <f aca="false">IF(AND(OR(AQ717="À RADIOGRAPHIER",AQ717="RÉPARÉ – À RADIOGRAPHIER",AQ717="NX – RT À REFAIRE"),OR('PROGRAMME RT'!$D$5="TOUTES",B717='PROGRAMME RT'!$D$5)),1,0)</f>
        <v>0</v>
      </c>
      <c r="AT717" s="82" t="str">
        <f aca="false">IF(AS717=1,SUM(AS$7:AS717),"")</f>
        <v/>
      </c>
      <c r="AU717" s="82" t="n">
        <f aca="false">IF(AND(OR(AA717="R",AA717="NX",AA717="NT",AA717="CO"),OR('JOINTS DE RÉPARATION'!$D$5="TOUTES",B717='JOINTS DE RÉPARATION'!$D$5),OR('JOINTS DE RÉPARATION'!$L$4="TOUS",AQ717&lt;&gt;"ACCEPTÉ")),1,0)</f>
        <v>0</v>
      </c>
      <c r="AV717" s="82" t="str">
        <f aca="false">IF(AU717=1,SUM(AU$7:AU717),"")</f>
        <v/>
      </c>
      <c r="AW717" s="82" t="str">
        <f aca="false">IF(E717="","",B717&amp;"|"&amp;E717)</f>
        <v>MFD-ISW → MFD-CPF|JN°711</v>
      </c>
    </row>
    <row r="718" customFormat="false" ht="74.6" hidden="false" customHeight="false" outlineLevel="0" collapsed="false">
      <c r="A718" s="79" t="n">
        <f aca="false">IF(E718="","",ROW()-6)</f>
        <v>712</v>
      </c>
      <c r="B718" s="80" t="s">
        <v>110</v>
      </c>
      <c r="C718" s="81"/>
      <c r="D718" s="81"/>
      <c r="E718" s="81" t="s">
        <v>822</v>
      </c>
      <c r="F718" s="82" t="str">
        <f aca="false">IF(E718="","",IF(LEFT(E718,2)="DJ","DJ","JN"))</f>
        <v>JN</v>
      </c>
      <c r="G718" s="81"/>
      <c r="H718" s="81"/>
      <c r="I718" s="81"/>
      <c r="J718" s="81"/>
      <c r="K718" s="81"/>
      <c r="L718" s="81"/>
      <c r="M718" s="81"/>
      <c r="N718" s="81"/>
      <c r="O718" s="81"/>
      <c r="P718" s="81"/>
      <c r="Q718" s="81"/>
      <c r="R718" s="81"/>
      <c r="S718" s="81"/>
      <c r="T718" s="81"/>
      <c r="U718" s="83"/>
      <c r="V718" s="83"/>
      <c r="W718" s="81"/>
      <c r="X718" s="81"/>
      <c r="Y718" s="83"/>
      <c r="Z718" s="81"/>
      <c r="AA718" s="81"/>
      <c r="AB718" s="81"/>
      <c r="AC718" s="81"/>
      <c r="AD718" s="81"/>
      <c r="AE718" s="83"/>
      <c r="AF718" s="81"/>
      <c r="AG718" s="81"/>
      <c r="AH718" s="81"/>
      <c r="AI718" s="81"/>
      <c r="AJ718" s="83"/>
      <c r="AK718" s="81"/>
      <c r="AL718" s="81"/>
      <c r="AM718" s="83"/>
      <c r="AN718" s="80"/>
      <c r="AO718" s="82" t="n">
        <f aca="false">IF(E718="","",(AA718&lt;&gt;"")+(AG718&lt;&gt;"")+(AL718&lt;&gt;""))</f>
        <v>0</v>
      </c>
      <c r="AP718" s="82" t="str">
        <f aca="false">IF(AL718&lt;&gt;"",AL718,IF(AG718&lt;&gt;"",AG718,IF(AA718&lt;&gt;"",AA718,"")))</f>
        <v/>
      </c>
      <c r="AQ718" s="84" t="str">
        <f aca="false">IF(E718="","",IF(U718="","À SOUDER",IF(X718="","VT EN ATTENTE",IF(X718="R","VT REJETÉ – À REPRENDRE",IF(AP718="","À RADIOGRAPHIER",IF(AP718="A","ACCEPTÉ",IF(AP718="NX","NX – RT À REFAIRE",IF(IF(AO718=1,AD718,IF(AO718=2,AI718,""))="A","RÉPARÉ – À RADIOGRAPHIER",IF(IF(AO718=1,AD718,IF(AO718=2,AI718,""))="R","VT REJETÉ – À REPRENDRE",IF(OR(AP718="CO",AP718="NT"),"COUPE – À RESOUDER","À RÉPARER"))))))))))</f>
        <v>À SOUDER</v>
      </c>
      <c r="AR718" s="82" t="str">
        <f aca="false">IF(AND(ISNUMBER(U718),OR(AQ718="À RADIOGRAPHIER",AQ718="RÉPARÉ – À RADIOGRAPHIER",AQ718="NX – RT À REFAIRE",AQ718="À RÉPARER",AQ718="COUPE – À RESOUDER",AQ718="VT REJETÉ – À REPRENDRE")),MAX(0,'PROGRAMME RT'!$C$4-U718),"")</f>
        <v/>
      </c>
      <c r="AS718" s="82" t="n">
        <f aca="false">IF(AND(OR(AQ718="À RADIOGRAPHIER",AQ718="RÉPARÉ – À RADIOGRAPHIER",AQ718="NX – RT À REFAIRE"),OR('PROGRAMME RT'!$D$5="TOUTES",B718='PROGRAMME RT'!$D$5)),1,0)</f>
        <v>0</v>
      </c>
      <c r="AT718" s="82" t="str">
        <f aca="false">IF(AS718=1,SUM(AS$7:AS718),"")</f>
        <v/>
      </c>
      <c r="AU718" s="82" t="n">
        <f aca="false">IF(AND(OR(AA718="R",AA718="NX",AA718="NT",AA718="CO"),OR('JOINTS DE RÉPARATION'!$D$5="TOUTES",B718='JOINTS DE RÉPARATION'!$D$5),OR('JOINTS DE RÉPARATION'!$L$4="TOUS",AQ718&lt;&gt;"ACCEPTÉ")),1,0)</f>
        <v>0</v>
      </c>
      <c r="AV718" s="82" t="str">
        <f aca="false">IF(AU718=1,SUM(AU$7:AU718),"")</f>
        <v/>
      </c>
      <c r="AW718" s="82" t="str">
        <f aca="false">IF(E718="","",B718&amp;"|"&amp;E718)</f>
        <v>MFD-ISW → MFD-CPF|JN°712</v>
      </c>
    </row>
    <row r="719" customFormat="false" ht="74.6" hidden="false" customHeight="false" outlineLevel="0" collapsed="false">
      <c r="A719" s="79" t="n">
        <f aca="false">IF(E719="","",ROW()-6)</f>
        <v>713</v>
      </c>
      <c r="B719" s="80" t="s">
        <v>110</v>
      </c>
      <c r="C719" s="81"/>
      <c r="D719" s="81"/>
      <c r="E719" s="81" t="s">
        <v>823</v>
      </c>
      <c r="F719" s="82" t="str">
        <f aca="false">IF(E719="","",IF(LEFT(E719,2)="DJ","DJ","JN"))</f>
        <v>JN</v>
      </c>
      <c r="G719" s="81"/>
      <c r="H719" s="81"/>
      <c r="I719" s="81"/>
      <c r="J719" s="81"/>
      <c r="K719" s="81"/>
      <c r="L719" s="81"/>
      <c r="M719" s="81"/>
      <c r="N719" s="81"/>
      <c r="O719" s="81"/>
      <c r="P719" s="81"/>
      <c r="Q719" s="81"/>
      <c r="R719" s="81"/>
      <c r="S719" s="81"/>
      <c r="T719" s="81"/>
      <c r="U719" s="83"/>
      <c r="V719" s="83"/>
      <c r="W719" s="81"/>
      <c r="X719" s="81"/>
      <c r="Y719" s="83"/>
      <c r="Z719" s="81"/>
      <c r="AA719" s="81"/>
      <c r="AB719" s="81"/>
      <c r="AC719" s="81"/>
      <c r="AD719" s="81"/>
      <c r="AE719" s="83"/>
      <c r="AF719" s="81"/>
      <c r="AG719" s="81"/>
      <c r="AH719" s="81"/>
      <c r="AI719" s="81"/>
      <c r="AJ719" s="83"/>
      <c r="AK719" s="81"/>
      <c r="AL719" s="81"/>
      <c r="AM719" s="83"/>
      <c r="AN719" s="80"/>
      <c r="AO719" s="82" t="n">
        <f aca="false">IF(E719="","",(AA719&lt;&gt;"")+(AG719&lt;&gt;"")+(AL719&lt;&gt;""))</f>
        <v>0</v>
      </c>
      <c r="AP719" s="82" t="str">
        <f aca="false">IF(AL719&lt;&gt;"",AL719,IF(AG719&lt;&gt;"",AG719,IF(AA719&lt;&gt;"",AA719,"")))</f>
        <v/>
      </c>
      <c r="AQ719" s="84" t="str">
        <f aca="false">IF(E719="","",IF(U719="","À SOUDER",IF(X719="","VT EN ATTENTE",IF(X719="R","VT REJETÉ – À REPRENDRE",IF(AP719="","À RADIOGRAPHIER",IF(AP719="A","ACCEPTÉ",IF(AP719="NX","NX – RT À REFAIRE",IF(IF(AO719=1,AD719,IF(AO719=2,AI719,""))="A","RÉPARÉ – À RADIOGRAPHIER",IF(IF(AO719=1,AD719,IF(AO719=2,AI719,""))="R","VT REJETÉ – À REPRENDRE",IF(OR(AP719="CO",AP719="NT"),"COUPE – À RESOUDER","À RÉPARER"))))))))))</f>
        <v>À SOUDER</v>
      </c>
      <c r="AR719" s="82" t="str">
        <f aca="false">IF(AND(ISNUMBER(U719),OR(AQ719="À RADIOGRAPHIER",AQ719="RÉPARÉ – À RADIOGRAPHIER",AQ719="NX – RT À REFAIRE",AQ719="À RÉPARER",AQ719="COUPE – À RESOUDER",AQ719="VT REJETÉ – À REPRENDRE")),MAX(0,'PROGRAMME RT'!$C$4-U719),"")</f>
        <v/>
      </c>
      <c r="AS719" s="82" t="n">
        <f aca="false">IF(AND(OR(AQ719="À RADIOGRAPHIER",AQ719="RÉPARÉ – À RADIOGRAPHIER",AQ719="NX – RT À REFAIRE"),OR('PROGRAMME RT'!$D$5="TOUTES",B719='PROGRAMME RT'!$D$5)),1,0)</f>
        <v>0</v>
      </c>
      <c r="AT719" s="82" t="str">
        <f aca="false">IF(AS719=1,SUM(AS$7:AS719),"")</f>
        <v/>
      </c>
      <c r="AU719" s="82" t="n">
        <f aca="false">IF(AND(OR(AA719="R",AA719="NX",AA719="NT",AA719="CO"),OR('JOINTS DE RÉPARATION'!$D$5="TOUTES",B719='JOINTS DE RÉPARATION'!$D$5),OR('JOINTS DE RÉPARATION'!$L$4="TOUS",AQ719&lt;&gt;"ACCEPTÉ")),1,0)</f>
        <v>0</v>
      </c>
      <c r="AV719" s="82" t="str">
        <f aca="false">IF(AU719=1,SUM(AU$7:AU719),"")</f>
        <v/>
      </c>
      <c r="AW719" s="82" t="str">
        <f aca="false">IF(E719="","",B719&amp;"|"&amp;E719)</f>
        <v>MFD-ISW → MFD-CPF|JN°713</v>
      </c>
    </row>
    <row r="720" customFormat="false" ht="74.6" hidden="false" customHeight="false" outlineLevel="0" collapsed="false">
      <c r="A720" s="79" t="n">
        <f aca="false">IF(E720="","",ROW()-6)</f>
        <v>714</v>
      </c>
      <c r="B720" s="80" t="s">
        <v>110</v>
      </c>
      <c r="C720" s="81"/>
      <c r="D720" s="81"/>
      <c r="E720" s="81" t="s">
        <v>824</v>
      </c>
      <c r="F720" s="82" t="str">
        <f aca="false">IF(E720="","",IF(LEFT(E720,2)="DJ","DJ","JN"))</f>
        <v>JN</v>
      </c>
      <c r="G720" s="81"/>
      <c r="H720" s="81"/>
      <c r="I720" s="81"/>
      <c r="J720" s="81"/>
      <c r="K720" s="81"/>
      <c r="L720" s="81"/>
      <c r="M720" s="81"/>
      <c r="N720" s="81"/>
      <c r="O720" s="81"/>
      <c r="P720" s="81"/>
      <c r="Q720" s="81"/>
      <c r="R720" s="81"/>
      <c r="S720" s="81"/>
      <c r="T720" s="81"/>
      <c r="U720" s="83"/>
      <c r="V720" s="83"/>
      <c r="W720" s="81"/>
      <c r="X720" s="81"/>
      <c r="Y720" s="83"/>
      <c r="Z720" s="81"/>
      <c r="AA720" s="81"/>
      <c r="AB720" s="81"/>
      <c r="AC720" s="81"/>
      <c r="AD720" s="81"/>
      <c r="AE720" s="83"/>
      <c r="AF720" s="81"/>
      <c r="AG720" s="81"/>
      <c r="AH720" s="81"/>
      <c r="AI720" s="81"/>
      <c r="AJ720" s="83"/>
      <c r="AK720" s="81"/>
      <c r="AL720" s="81"/>
      <c r="AM720" s="83"/>
      <c r="AN720" s="80"/>
      <c r="AO720" s="82" t="n">
        <f aca="false">IF(E720="","",(AA720&lt;&gt;"")+(AG720&lt;&gt;"")+(AL720&lt;&gt;""))</f>
        <v>0</v>
      </c>
      <c r="AP720" s="82" t="str">
        <f aca="false">IF(AL720&lt;&gt;"",AL720,IF(AG720&lt;&gt;"",AG720,IF(AA720&lt;&gt;"",AA720,"")))</f>
        <v/>
      </c>
      <c r="AQ720" s="84" t="str">
        <f aca="false">IF(E720="","",IF(U720="","À SOUDER",IF(X720="","VT EN ATTENTE",IF(X720="R","VT REJETÉ – À REPRENDRE",IF(AP720="","À RADIOGRAPHIER",IF(AP720="A","ACCEPTÉ",IF(AP720="NX","NX – RT À REFAIRE",IF(IF(AO720=1,AD720,IF(AO720=2,AI720,""))="A","RÉPARÉ – À RADIOGRAPHIER",IF(IF(AO720=1,AD720,IF(AO720=2,AI720,""))="R","VT REJETÉ – À REPRENDRE",IF(OR(AP720="CO",AP720="NT"),"COUPE – À RESOUDER","À RÉPARER"))))))))))</f>
        <v>À SOUDER</v>
      </c>
      <c r="AR720" s="82" t="str">
        <f aca="false">IF(AND(ISNUMBER(U720),OR(AQ720="À RADIOGRAPHIER",AQ720="RÉPARÉ – À RADIOGRAPHIER",AQ720="NX – RT À REFAIRE",AQ720="À RÉPARER",AQ720="COUPE – À RESOUDER",AQ720="VT REJETÉ – À REPRENDRE")),MAX(0,'PROGRAMME RT'!$C$4-U720),"")</f>
        <v/>
      </c>
      <c r="AS720" s="82" t="n">
        <f aca="false">IF(AND(OR(AQ720="À RADIOGRAPHIER",AQ720="RÉPARÉ – À RADIOGRAPHIER",AQ720="NX – RT À REFAIRE"),OR('PROGRAMME RT'!$D$5="TOUTES",B720='PROGRAMME RT'!$D$5)),1,0)</f>
        <v>0</v>
      </c>
      <c r="AT720" s="82" t="str">
        <f aca="false">IF(AS720=1,SUM(AS$7:AS720),"")</f>
        <v/>
      </c>
      <c r="AU720" s="82" t="n">
        <f aca="false">IF(AND(OR(AA720="R",AA720="NX",AA720="NT",AA720="CO"),OR('JOINTS DE RÉPARATION'!$D$5="TOUTES",B720='JOINTS DE RÉPARATION'!$D$5),OR('JOINTS DE RÉPARATION'!$L$4="TOUS",AQ720&lt;&gt;"ACCEPTÉ")),1,0)</f>
        <v>0</v>
      </c>
      <c r="AV720" s="82" t="str">
        <f aca="false">IF(AU720=1,SUM(AU$7:AU720),"")</f>
        <v/>
      </c>
      <c r="AW720" s="82" t="str">
        <f aca="false">IF(E720="","",B720&amp;"|"&amp;E720)</f>
        <v>MFD-ISW → MFD-CPF|JN°714</v>
      </c>
    </row>
    <row r="721" customFormat="false" ht="74.6" hidden="false" customHeight="false" outlineLevel="0" collapsed="false">
      <c r="A721" s="79" t="n">
        <f aca="false">IF(E721="","",ROW()-6)</f>
        <v>715</v>
      </c>
      <c r="B721" s="80" t="s">
        <v>110</v>
      </c>
      <c r="C721" s="81"/>
      <c r="D721" s="81"/>
      <c r="E721" s="81" t="s">
        <v>825</v>
      </c>
      <c r="F721" s="82" t="str">
        <f aca="false">IF(E721="","",IF(LEFT(E721,2)="DJ","DJ","JN"))</f>
        <v>JN</v>
      </c>
      <c r="G721" s="81"/>
      <c r="H721" s="81"/>
      <c r="I721" s="81"/>
      <c r="J721" s="81"/>
      <c r="K721" s="81"/>
      <c r="L721" s="81"/>
      <c r="M721" s="81"/>
      <c r="N721" s="81"/>
      <c r="O721" s="81"/>
      <c r="P721" s="81"/>
      <c r="Q721" s="81"/>
      <c r="R721" s="81"/>
      <c r="S721" s="81"/>
      <c r="T721" s="81"/>
      <c r="U721" s="83"/>
      <c r="V721" s="83"/>
      <c r="W721" s="81"/>
      <c r="X721" s="81"/>
      <c r="Y721" s="83"/>
      <c r="Z721" s="81"/>
      <c r="AA721" s="81"/>
      <c r="AB721" s="81"/>
      <c r="AC721" s="81"/>
      <c r="AD721" s="81"/>
      <c r="AE721" s="83"/>
      <c r="AF721" s="81"/>
      <c r="AG721" s="81"/>
      <c r="AH721" s="81"/>
      <c r="AI721" s="81"/>
      <c r="AJ721" s="83"/>
      <c r="AK721" s="81"/>
      <c r="AL721" s="81"/>
      <c r="AM721" s="83"/>
      <c r="AN721" s="80"/>
      <c r="AO721" s="82" t="n">
        <f aca="false">IF(E721="","",(AA721&lt;&gt;"")+(AG721&lt;&gt;"")+(AL721&lt;&gt;""))</f>
        <v>0</v>
      </c>
      <c r="AP721" s="82" t="str">
        <f aca="false">IF(AL721&lt;&gt;"",AL721,IF(AG721&lt;&gt;"",AG721,IF(AA721&lt;&gt;"",AA721,"")))</f>
        <v/>
      </c>
      <c r="AQ721" s="84" t="str">
        <f aca="false">IF(E721="","",IF(U721="","À SOUDER",IF(X721="","VT EN ATTENTE",IF(X721="R","VT REJETÉ – À REPRENDRE",IF(AP721="","À RADIOGRAPHIER",IF(AP721="A","ACCEPTÉ",IF(AP721="NX","NX – RT À REFAIRE",IF(IF(AO721=1,AD721,IF(AO721=2,AI721,""))="A","RÉPARÉ – À RADIOGRAPHIER",IF(IF(AO721=1,AD721,IF(AO721=2,AI721,""))="R","VT REJETÉ – À REPRENDRE",IF(OR(AP721="CO",AP721="NT"),"COUPE – À RESOUDER","À RÉPARER"))))))))))</f>
        <v>À SOUDER</v>
      </c>
      <c r="AR721" s="82" t="str">
        <f aca="false">IF(AND(ISNUMBER(U721),OR(AQ721="À RADIOGRAPHIER",AQ721="RÉPARÉ – À RADIOGRAPHIER",AQ721="NX – RT À REFAIRE",AQ721="À RÉPARER",AQ721="COUPE – À RESOUDER",AQ721="VT REJETÉ – À REPRENDRE")),MAX(0,'PROGRAMME RT'!$C$4-U721),"")</f>
        <v/>
      </c>
      <c r="AS721" s="82" t="n">
        <f aca="false">IF(AND(OR(AQ721="À RADIOGRAPHIER",AQ721="RÉPARÉ – À RADIOGRAPHIER",AQ721="NX – RT À REFAIRE"),OR('PROGRAMME RT'!$D$5="TOUTES",B721='PROGRAMME RT'!$D$5)),1,0)</f>
        <v>0</v>
      </c>
      <c r="AT721" s="82" t="str">
        <f aca="false">IF(AS721=1,SUM(AS$7:AS721),"")</f>
        <v/>
      </c>
      <c r="AU721" s="82" t="n">
        <f aca="false">IF(AND(OR(AA721="R",AA721="NX",AA721="NT",AA721="CO"),OR('JOINTS DE RÉPARATION'!$D$5="TOUTES",B721='JOINTS DE RÉPARATION'!$D$5),OR('JOINTS DE RÉPARATION'!$L$4="TOUS",AQ721&lt;&gt;"ACCEPTÉ")),1,0)</f>
        <v>0</v>
      </c>
      <c r="AV721" s="82" t="str">
        <f aca="false">IF(AU721=1,SUM(AU$7:AU721),"")</f>
        <v/>
      </c>
      <c r="AW721" s="82" t="str">
        <f aca="false">IF(E721="","",B721&amp;"|"&amp;E721)</f>
        <v>MFD-ISW → MFD-CPF|JN°715</v>
      </c>
    </row>
    <row r="722" customFormat="false" ht="74.6" hidden="false" customHeight="false" outlineLevel="0" collapsed="false">
      <c r="A722" s="79" t="n">
        <f aca="false">IF(E722="","",ROW()-6)</f>
        <v>716</v>
      </c>
      <c r="B722" s="80" t="s">
        <v>110</v>
      </c>
      <c r="C722" s="81"/>
      <c r="D722" s="81"/>
      <c r="E722" s="81" t="s">
        <v>826</v>
      </c>
      <c r="F722" s="82" t="str">
        <f aca="false">IF(E722="","",IF(LEFT(E722,2)="DJ","DJ","JN"))</f>
        <v>JN</v>
      </c>
      <c r="G722" s="81"/>
      <c r="H722" s="81"/>
      <c r="I722" s="81"/>
      <c r="J722" s="81"/>
      <c r="K722" s="81"/>
      <c r="L722" s="81"/>
      <c r="M722" s="81"/>
      <c r="N722" s="81"/>
      <c r="O722" s="81"/>
      <c r="P722" s="81"/>
      <c r="Q722" s="81"/>
      <c r="R722" s="81"/>
      <c r="S722" s="81"/>
      <c r="T722" s="81"/>
      <c r="U722" s="83"/>
      <c r="V722" s="83"/>
      <c r="W722" s="81"/>
      <c r="X722" s="81"/>
      <c r="Y722" s="83"/>
      <c r="Z722" s="81"/>
      <c r="AA722" s="81"/>
      <c r="AB722" s="81"/>
      <c r="AC722" s="81"/>
      <c r="AD722" s="81"/>
      <c r="AE722" s="83"/>
      <c r="AF722" s="81"/>
      <c r="AG722" s="81"/>
      <c r="AH722" s="81"/>
      <c r="AI722" s="81"/>
      <c r="AJ722" s="83"/>
      <c r="AK722" s="81"/>
      <c r="AL722" s="81"/>
      <c r="AM722" s="83"/>
      <c r="AN722" s="80"/>
      <c r="AO722" s="82" t="n">
        <f aca="false">IF(E722="","",(AA722&lt;&gt;"")+(AG722&lt;&gt;"")+(AL722&lt;&gt;""))</f>
        <v>0</v>
      </c>
      <c r="AP722" s="82" t="str">
        <f aca="false">IF(AL722&lt;&gt;"",AL722,IF(AG722&lt;&gt;"",AG722,IF(AA722&lt;&gt;"",AA722,"")))</f>
        <v/>
      </c>
      <c r="AQ722" s="84" t="str">
        <f aca="false">IF(E722="","",IF(U722="","À SOUDER",IF(X722="","VT EN ATTENTE",IF(X722="R","VT REJETÉ – À REPRENDRE",IF(AP722="","À RADIOGRAPHIER",IF(AP722="A","ACCEPTÉ",IF(AP722="NX","NX – RT À REFAIRE",IF(IF(AO722=1,AD722,IF(AO722=2,AI722,""))="A","RÉPARÉ – À RADIOGRAPHIER",IF(IF(AO722=1,AD722,IF(AO722=2,AI722,""))="R","VT REJETÉ – À REPRENDRE",IF(OR(AP722="CO",AP722="NT"),"COUPE – À RESOUDER","À RÉPARER"))))))))))</f>
        <v>À SOUDER</v>
      </c>
      <c r="AR722" s="82" t="str">
        <f aca="false">IF(AND(ISNUMBER(U722),OR(AQ722="À RADIOGRAPHIER",AQ722="RÉPARÉ – À RADIOGRAPHIER",AQ722="NX – RT À REFAIRE",AQ722="À RÉPARER",AQ722="COUPE – À RESOUDER",AQ722="VT REJETÉ – À REPRENDRE")),MAX(0,'PROGRAMME RT'!$C$4-U722),"")</f>
        <v/>
      </c>
      <c r="AS722" s="82" t="n">
        <f aca="false">IF(AND(OR(AQ722="À RADIOGRAPHIER",AQ722="RÉPARÉ – À RADIOGRAPHIER",AQ722="NX – RT À REFAIRE"),OR('PROGRAMME RT'!$D$5="TOUTES",B722='PROGRAMME RT'!$D$5)),1,0)</f>
        <v>0</v>
      </c>
      <c r="AT722" s="82" t="str">
        <f aca="false">IF(AS722=1,SUM(AS$7:AS722),"")</f>
        <v/>
      </c>
      <c r="AU722" s="82" t="n">
        <f aca="false">IF(AND(OR(AA722="R",AA722="NX",AA722="NT",AA722="CO"),OR('JOINTS DE RÉPARATION'!$D$5="TOUTES",B722='JOINTS DE RÉPARATION'!$D$5),OR('JOINTS DE RÉPARATION'!$L$4="TOUS",AQ722&lt;&gt;"ACCEPTÉ")),1,0)</f>
        <v>0</v>
      </c>
      <c r="AV722" s="82" t="str">
        <f aca="false">IF(AU722=1,SUM(AU$7:AU722),"")</f>
        <v/>
      </c>
      <c r="AW722" s="82" t="str">
        <f aca="false">IF(E722="","",B722&amp;"|"&amp;E722)</f>
        <v>MFD-ISW → MFD-CPF|JN°716</v>
      </c>
    </row>
    <row r="723" customFormat="false" ht="74.6" hidden="false" customHeight="false" outlineLevel="0" collapsed="false">
      <c r="A723" s="79" t="n">
        <f aca="false">IF(E723="","",ROW()-6)</f>
        <v>717</v>
      </c>
      <c r="B723" s="80" t="s">
        <v>110</v>
      </c>
      <c r="C723" s="81"/>
      <c r="D723" s="81"/>
      <c r="E723" s="81" t="s">
        <v>827</v>
      </c>
      <c r="F723" s="82" t="str">
        <f aca="false">IF(E723="","",IF(LEFT(E723,2)="DJ","DJ","JN"))</f>
        <v>JN</v>
      </c>
      <c r="G723" s="81"/>
      <c r="H723" s="81"/>
      <c r="I723" s="81"/>
      <c r="J723" s="81"/>
      <c r="K723" s="81"/>
      <c r="L723" s="81"/>
      <c r="M723" s="81"/>
      <c r="N723" s="81"/>
      <c r="O723" s="81"/>
      <c r="P723" s="81"/>
      <c r="Q723" s="81"/>
      <c r="R723" s="81"/>
      <c r="S723" s="81"/>
      <c r="T723" s="81"/>
      <c r="U723" s="83"/>
      <c r="V723" s="83"/>
      <c r="W723" s="81"/>
      <c r="X723" s="81"/>
      <c r="Y723" s="83"/>
      <c r="Z723" s="81"/>
      <c r="AA723" s="81"/>
      <c r="AB723" s="81"/>
      <c r="AC723" s="81"/>
      <c r="AD723" s="81"/>
      <c r="AE723" s="83"/>
      <c r="AF723" s="81"/>
      <c r="AG723" s="81"/>
      <c r="AH723" s="81"/>
      <c r="AI723" s="81"/>
      <c r="AJ723" s="83"/>
      <c r="AK723" s="81"/>
      <c r="AL723" s="81"/>
      <c r="AM723" s="83"/>
      <c r="AN723" s="80"/>
      <c r="AO723" s="82" t="n">
        <f aca="false">IF(E723="","",(AA723&lt;&gt;"")+(AG723&lt;&gt;"")+(AL723&lt;&gt;""))</f>
        <v>0</v>
      </c>
      <c r="AP723" s="82" t="str">
        <f aca="false">IF(AL723&lt;&gt;"",AL723,IF(AG723&lt;&gt;"",AG723,IF(AA723&lt;&gt;"",AA723,"")))</f>
        <v/>
      </c>
      <c r="AQ723" s="84" t="str">
        <f aca="false">IF(E723="","",IF(U723="","À SOUDER",IF(X723="","VT EN ATTENTE",IF(X723="R","VT REJETÉ – À REPRENDRE",IF(AP723="","À RADIOGRAPHIER",IF(AP723="A","ACCEPTÉ",IF(AP723="NX","NX – RT À REFAIRE",IF(IF(AO723=1,AD723,IF(AO723=2,AI723,""))="A","RÉPARÉ – À RADIOGRAPHIER",IF(IF(AO723=1,AD723,IF(AO723=2,AI723,""))="R","VT REJETÉ – À REPRENDRE",IF(OR(AP723="CO",AP723="NT"),"COUPE – À RESOUDER","À RÉPARER"))))))))))</f>
        <v>À SOUDER</v>
      </c>
      <c r="AR723" s="82" t="str">
        <f aca="false">IF(AND(ISNUMBER(U723),OR(AQ723="À RADIOGRAPHIER",AQ723="RÉPARÉ – À RADIOGRAPHIER",AQ723="NX – RT À REFAIRE",AQ723="À RÉPARER",AQ723="COUPE – À RESOUDER",AQ723="VT REJETÉ – À REPRENDRE")),MAX(0,'PROGRAMME RT'!$C$4-U723),"")</f>
        <v/>
      </c>
      <c r="AS723" s="82" t="n">
        <f aca="false">IF(AND(OR(AQ723="À RADIOGRAPHIER",AQ723="RÉPARÉ – À RADIOGRAPHIER",AQ723="NX – RT À REFAIRE"),OR('PROGRAMME RT'!$D$5="TOUTES",B723='PROGRAMME RT'!$D$5)),1,0)</f>
        <v>0</v>
      </c>
      <c r="AT723" s="82" t="str">
        <f aca="false">IF(AS723=1,SUM(AS$7:AS723),"")</f>
        <v/>
      </c>
      <c r="AU723" s="82" t="n">
        <f aca="false">IF(AND(OR(AA723="R",AA723="NX",AA723="NT",AA723="CO"),OR('JOINTS DE RÉPARATION'!$D$5="TOUTES",B723='JOINTS DE RÉPARATION'!$D$5),OR('JOINTS DE RÉPARATION'!$L$4="TOUS",AQ723&lt;&gt;"ACCEPTÉ")),1,0)</f>
        <v>0</v>
      </c>
      <c r="AV723" s="82" t="str">
        <f aca="false">IF(AU723=1,SUM(AU$7:AU723),"")</f>
        <v/>
      </c>
      <c r="AW723" s="82" t="str">
        <f aca="false">IF(E723="","",B723&amp;"|"&amp;E723)</f>
        <v>MFD-ISW → MFD-CPF|JN°717</v>
      </c>
    </row>
    <row r="724" customFormat="false" ht="74.6" hidden="false" customHeight="false" outlineLevel="0" collapsed="false">
      <c r="A724" s="79" t="n">
        <f aca="false">IF(E724="","",ROW()-6)</f>
        <v>718</v>
      </c>
      <c r="B724" s="80" t="s">
        <v>110</v>
      </c>
      <c r="C724" s="81"/>
      <c r="D724" s="81"/>
      <c r="E724" s="81" t="s">
        <v>828</v>
      </c>
      <c r="F724" s="82" t="str">
        <f aca="false">IF(E724="","",IF(LEFT(E724,2)="DJ","DJ","JN"))</f>
        <v>JN</v>
      </c>
      <c r="G724" s="81"/>
      <c r="H724" s="81"/>
      <c r="I724" s="81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U724" s="83"/>
      <c r="V724" s="83"/>
      <c r="W724" s="81"/>
      <c r="X724" s="81"/>
      <c r="Y724" s="83"/>
      <c r="Z724" s="81"/>
      <c r="AA724" s="81"/>
      <c r="AB724" s="81"/>
      <c r="AC724" s="81"/>
      <c r="AD724" s="81"/>
      <c r="AE724" s="83"/>
      <c r="AF724" s="81"/>
      <c r="AG724" s="81"/>
      <c r="AH724" s="81"/>
      <c r="AI724" s="81"/>
      <c r="AJ724" s="83"/>
      <c r="AK724" s="81"/>
      <c r="AL724" s="81"/>
      <c r="AM724" s="83"/>
      <c r="AN724" s="80"/>
      <c r="AO724" s="82" t="n">
        <f aca="false">IF(E724="","",(AA724&lt;&gt;"")+(AG724&lt;&gt;"")+(AL724&lt;&gt;""))</f>
        <v>0</v>
      </c>
      <c r="AP724" s="82" t="str">
        <f aca="false">IF(AL724&lt;&gt;"",AL724,IF(AG724&lt;&gt;"",AG724,IF(AA724&lt;&gt;"",AA724,"")))</f>
        <v/>
      </c>
      <c r="AQ724" s="84" t="str">
        <f aca="false">IF(E724="","",IF(U724="","À SOUDER",IF(X724="","VT EN ATTENTE",IF(X724="R","VT REJETÉ – À REPRENDRE",IF(AP724="","À RADIOGRAPHIER",IF(AP724="A","ACCEPTÉ",IF(AP724="NX","NX – RT À REFAIRE",IF(IF(AO724=1,AD724,IF(AO724=2,AI724,""))="A","RÉPARÉ – À RADIOGRAPHIER",IF(IF(AO724=1,AD724,IF(AO724=2,AI724,""))="R","VT REJETÉ – À REPRENDRE",IF(OR(AP724="CO",AP724="NT"),"COUPE – À RESOUDER","À RÉPARER"))))))))))</f>
        <v>À SOUDER</v>
      </c>
      <c r="AR724" s="82" t="str">
        <f aca="false">IF(AND(ISNUMBER(U724),OR(AQ724="À RADIOGRAPHIER",AQ724="RÉPARÉ – À RADIOGRAPHIER",AQ724="NX – RT À REFAIRE",AQ724="À RÉPARER",AQ724="COUPE – À RESOUDER",AQ724="VT REJETÉ – À REPRENDRE")),MAX(0,'PROGRAMME RT'!$C$4-U724),"")</f>
        <v/>
      </c>
      <c r="AS724" s="82" t="n">
        <f aca="false">IF(AND(OR(AQ724="À RADIOGRAPHIER",AQ724="RÉPARÉ – À RADIOGRAPHIER",AQ724="NX – RT À REFAIRE"),OR('PROGRAMME RT'!$D$5="TOUTES",B724='PROGRAMME RT'!$D$5)),1,0)</f>
        <v>0</v>
      </c>
      <c r="AT724" s="82" t="str">
        <f aca="false">IF(AS724=1,SUM(AS$7:AS724),"")</f>
        <v/>
      </c>
      <c r="AU724" s="82" t="n">
        <f aca="false">IF(AND(OR(AA724="R",AA724="NX",AA724="NT",AA724="CO"),OR('JOINTS DE RÉPARATION'!$D$5="TOUTES",B724='JOINTS DE RÉPARATION'!$D$5),OR('JOINTS DE RÉPARATION'!$L$4="TOUS",AQ724&lt;&gt;"ACCEPTÉ")),1,0)</f>
        <v>0</v>
      </c>
      <c r="AV724" s="82" t="str">
        <f aca="false">IF(AU724=1,SUM(AU$7:AU724),"")</f>
        <v/>
      </c>
      <c r="AW724" s="82" t="str">
        <f aca="false">IF(E724="","",B724&amp;"|"&amp;E724)</f>
        <v>MFD-ISW → MFD-CPF|JN°718</v>
      </c>
    </row>
    <row r="725" customFormat="false" ht="74.6" hidden="false" customHeight="false" outlineLevel="0" collapsed="false">
      <c r="A725" s="79" t="n">
        <f aca="false">IF(E725="","",ROW()-6)</f>
        <v>719</v>
      </c>
      <c r="B725" s="80" t="s">
        <v>110</v>
      </c>
      <c r="C725" s="81"/>
      <c r="D725" s="81"/>
      <c r="E725" s="81" t="s">
        <v>829</v>
      </c>
      <c r="F725" s="82" t="str">
        <f aca="false">IF(E725="","",IF(LEFT(E725,2)="DJ","DJ","JN"))</f>
        <v>JN</v>
      </c>
      <c r="G725" s="81"/>
      <c r="H725" s="81"/>
      <c r="I725" s="81"/>
      <c r="J725" s="81"/>
      <c r="K725" s="81"/>
      <c r="L725" s="81"/>
      <c r="M725" s="81"/>
      <c r="N725" s="81"/>
      <c r="O725" s="81"/>
      <c r="P725" s="81"/>
      <c r="Q725" s="81"/>
      <c r="R725" s="81"/>
      <c r="S725" s="81"/>
      <c r="T725" s="81"/>
      <c r="U725" s="83"/>
      <c r="V725" s="83"/>
      <c r="W725" s="81"/>
      <c r="X725" s="81"/>
      <c r="Y725" s="83"/>
      <c r="Z725" s="81"/>
      <c r="AA725" s="81"/>
      <c r="AB725" s="81"/>
      <c r="AC725" s="81"/>
      <c r="AD725" s="81"/>
      <c r="AE725" s="83"/>
      <c r="AF725" s="81"/>
      <c r="AG725" s="81"/>
      <c r="AH725" s="81"/>
      <c r="AI725" s="81"/>
      <c r="AJ725" s="83"/>
      <c r="AK725" s="81"/>
      <c r="AL725" s="81"/>
      <c r="AM725" s="83"/>
      <c r="AN725" s="80"/>
      <c r="AO725" s="82" t="n">
        <f aca="false">IF(E725="","",(AA725&lt;&gt;"")+(AG725&lt;&gt;"")+(AL725&lt;&gt;""))</f>
        <v>0</v>
      </c>
      <c r="AP725" s="82" t="str">
        <f aca="false">IF(AL725&lt;&gt;"",AL725,IF(AG725&lt;&gt;"",AG725,IF(AA725&lt;&gt;"",AA725,"")))</f>
        <v/>
      </c>
      <c r="AQ725" s="84" t="str">
        <f aca="false">IF(E725="","",IF(U725="","À SOUDER",IF(X725="","VT EN ATTENTE",IF(X725="R","VT REJETÉ – À REPRENDRE",IF(AP725="","À RADIOGRAPHIER",IF(AP725="A","ACCEPTÉ",IF(AP725="NX","NX – RT À REFAIRE",IF(IF(AO725=1,AD725,IF(AO725=2,AI725,""))="A","RÉPARÉ – À RADIOGRAPHIER",IF(IF(AO725=1,AD725,IF(AO725=2,AI725,""))="R","VT REJETÉ – À REPRENDRE",IF(OR(AP725="CO",AP725="NT"),"COUPE – À RESOUDER","À RÉPARER"))))))))))</f>
        <v>À SOUDER</v>
      </c>
      <c r="AR725" s="82" t="str">
        <f aca="false">IF(AND(ISNUMBER(U725),OR(AQ725="À RADIOGRAPHIER",AQ725="RÉPARÉ – À RADIOGRAPHIER",AQ725="NX – RT À REFAIRE",AQ725="À RÉPARER",AQ725="COUPE – À RESOUDER",AQ725="VT REJETÉ – À REPRENDRE")),MAX(0,'PROGRAMME RT'!$C$4-U725),"")</f>
        <v/>
      </c>
      <c r="AS725" s="82" t="n">
        <f aca="false">IF(AND(OR(AQ725="À RADIOGRAPHIER",AQ725="RÉPARÉ – À RADIOGRAPHIER",AQ725="NX – RT À REFAIRE"),OR('PROGRAMME RT'!$D$5="TOUTES",B725='PROGRAMME RT'!$D$5)),1,0)</f>
        <v>0</v>
      </c>
      <c r="AT725" s="82" t="str">
        <f aca="false">IF(AS725=1,SUM(AS$7:AS725),"")</f>
        <v/>
      </c>
      <c r="AU725" s="82" t="n">
        <f aca="false">IF(AND(OR(AA725="R",AA725="NX",AA725="NT",AA725="CO"),OR('JOINTS DE RÉPARATION'!$D$5="TOUTES",B725='JOINTS DE RÉPARATION'!$D$5),OR('JOINTS DE RÉPARATION'!$L$4="TOUS",AQ725&lt;&gt;"ACCEPTÉ")),1,0)</f>
        <v>0</v>
      </c>
      <c r="AV725" s="82" t="str">
        <f aca="false">IF(AU725=1,SUM(AU$7:AU725),"")</f>
        <v/>
      </c>
      <c r="AW725" s="82" t="str">
        <f aca="false">IF(E725="","",B725&amp;"|"&amp;E725)</f>
        <v>MFD-ISW → MFD-CPF|JN°719</v>
      </c>
    </row>
    <row r="726" customFormat="false" ht="74.6" hidden="false" customHeight="false" outlineLevel="0" collapsed="false">
      <c r="A726" s="79" t="n">
        <f aca="false">IF(E726="","",ROW()-6)</f>
        <v>720</v>
      </c>
      <c r="B726" s="80" t="s">
        <v>110</v>
      </c>
      <c r="C726" s="81"/>
      <c r="D726" s="81"/>
      <c r="E726" s="81" t="s">
        <v>830</v>
      </c>
      <c r="F726" s="82" t="str">
        <f aca="false">IF(E726="","",IF(LEFT(E726,2)="DJ","DJ","JN"))</f>
        <v>JN</v>
      </c>
      <c r="G726" s="81"/>
      <c r="H726" s="81"/>
      <c r="I726" s="81"/>
      <c r="J726" s="81"/>
      <c r="K726" s="81"/>
      <c r="L726" s="81"/>
      <c r="M726" s="81"/>
      <c r="N726" s="81"/>
      <c r="O726" s="81"/>
      <c r="P726" s="81"/>
      <c r="Q726" s="81"/>
      <c r="R726" s="81"/>
      <c r="S726" s="81"/>
      <c r="T726" s="81"/>
      <c r="U726" s="83"/>
      <c r="V726" s="83"/>
      <c r="W726" s="81"/>
      <c r="X726" s="81"/>
      <c r="Y726" s="83"/>
      <c r="Z726" s="81"/>
      <c r="AA726" s="81"/>
      <c r="AB726" s="81"/>
      <c r="AC726" s="81"/>
      <c r="AD726" s="81"/>
      <c r="AE726" s="83"/>
      <c r="AF726" s="81"/>
      <c r="AG726" s="81"/>
      <c r="AH726" s="81"/>
      <c r="AI726" s="81"/>
      <c r="AJ726" s="83"/>
      <c r="AK726" s="81"/>
      <c r="AL726" s="81"/>
      <c r="AM726" s="83"/>
      <c r="AN726" s="80"/>
      <c r="AO726" s="82" t="n">
        <f aca="false">IF(E726="","",(AA726&lt;&gt;"")+(AG726&lt;&gt;"")+(AL726&lt;&gt;""))</f>
        <v>0</v>
      </c>
      <c r="AP726" s="82" t="str">
        <f aca="false">IF(AL726&lt;&gt;"",AL726,IF(AG726&lt;&gt;"",AG726,IF(AA726&lt;&gt;"",AA726,"")))</f>
        <v/>
      </c>
      <c r="AQ726" s="84" t="str">
        <f aca="false">IF(E726="","",IF(U726="","À SOUDER",IF(X726="","VT EN ATTENTE",IF(X726="R","VT REJETÉ – À REPRENDRE",IF(AP726="","À RADIOGRAPHIER",IF(AP726="A","ACCEPTÉ",IF(AP726="NX","NX – RT À REFAIRE",IF(IF(AO726=1,AD726,IF(AO726=2,AI726,""))="A","RÉPARÉ – À RADIOGRAPHIER",IF(IF(AO726=1,AD726,IF(AO726=2,AI726,""))="R","VT REJETÉ – À REPRENDRE",IF(OR(AP726="CO",AP726="NT"),"COUPE – À RESOUDER","À RÉPARER"))))))))))</f>
        <v>À SOUDER</v>
      </c>
      <c r="AR726" s="82" t="str">
        <f aca="false">IF(AND(ISNUMBER(U726),OR(AQ726="À RADIOGRAPHIER",AQ726="RÉPARÉ – À RADIOGRAPHIER",AQ726="NX – RT À REFAIRE",AQ726="À RÉPARER",AQ726="COUPE – À RESOUDER",AQ726="VT REJETÉ – À REPRENDRE")),MAX(0,'PROGRAMME RT'!$C$4-U726),"")</f>
        <v/>
      </c>
      <c r="AS726" s="82" t="n">
        <f aca="false">IF(AND(OR(AQ726="À RADIOGRAPHIER",AQ726="RÉPARÉ – À RADIOGRAPHIER",AQ726="NX – RT À REFAIRE"),OR('PROGRAMME RT'!$D$5="TOUTES",B726='PROGRAMME RT'!$D$5)),1,0)</f>
        <v>0</v>
      </c>
      <c r="AT726" s="82" t="str">
        <f aca="false">IF(AS726=1,SUM(AS$7:AS726),"")</f>
        <v/>
      </c>
      <c r="AU726" s="82" t="n">
        <f aca="false">IF(AND(OR(AA726="R",AA726="NX",AA726="NT",AA726="CO"),OR('JOINTS DE RÉPARATION'!$D$5="TOUTES",B726='JOINTS DE RÉPARATION'!$D$5),OR('JOINTS DE RÉPARATION'!$L$4="TOUS",AQ726&lt;&gt;"ACCEPTÉ")),1,0)</f>
        <v>0</v>
      </c>
      <c r="AV726" s="82" t="str">
        <f aca="false">IF(AU726=1,SUM(AU$7:AU726),"")</f>
        <v/>
      </c>
      <c r="AW726" s="82" t="str">
        <f aca="false">IF(E726="","",B726&amp;"|"&amp;E726)</f>
        <v>MFD-ISW → MFD-CPF|JN°720</v>
      </c>
    </row>
    <row r="727" customFormat="false" ht="74.6" hidden="false" customHeight="false" outlineLevel="0" collapsed="false">
      <c r="A727" s="79" t="n">
        <f aca="false">IF(E727="","",ROW()-6)</f>
        <v>721</v>
      </c>
      <c r="B727" s="80" t="s">
        <v>110</v>
      </c>
      <c r="C727" s="81"/>
      <c r="D727" s="81"/>
      <c r="E727" s="81" t="s">
        <v>831</v>
      </c>
      <c r="F727" s="82" t="str">
        <f aca="false">IF(E727="","",IF(LEFT(E727,2)="DJ","DJ","JN"))</f>
        <v>JN</v>
      </c>
      <c r="G727" s="81"/>
      <c r="H727" s="81"/>
      <c r="I727" s="81"/>
      <c r="J727" s="81"/>
      <c r="K727" s="81"/>
      <c r="L727" s="81"/>
      <c r="M727" s="81"/>
      <c r="N727" s="81"/>
      <c r="O727" s="81"/>
      <c r="P727" s="81"/>
      <c r="Q727" s="81"/>
      <c r="R727" s="81"/>
      <c r="S727" s="81"/>
      <c r="T727" s="81"/>
      <c r="U727" s="83"/>
      <c r="V727" s="83"/>
      <c r="W727" s="81"/>
      <c r="X727" s="81"/>
      <c r="Y727" s="83"/>
      <c r="Z727" s="81"/>
      <c r="AA727" s="81"/>
      <c r="AB727" s="81"/>
      <c r="AC727" s="81"/>
      <c r="AD727" s="81"/>
      <c r="AE727" s="83"/>
      <c r="AF727" s="81"/>
      <c r="AG727" s="81"/>
      <c r="AH727" s="81"/>
      <c r="AI727" s="81"/>
      <c r="AJ727" s="83"/>
      <c r="AK727" s="81"/>
      <c r="AL727" s="81"/>
      <c r="AM727" s="83"/>
      <c r="AN727" s="80"/>
      <c r="AO727" s="82" t="n">
        <f aca="false">IF(E727="","",(AA727&lt;&gt;"")+(AG727&lt;&gt;"")+(AL727&lt;&gt;""))</f>
        <v>0</v>
      </c>
      <c r="AP727" s="82" t="str">
        <f aca="false">IF(AL727&lt;&gt;"",AL727,IF(AG727&lt;&gt;"",AG727,IF(AA727&lt;&gt;"",AA727,"")))</f>
        <v/>
      </c>
      <c r="AQ727" s="84" t="str">
        <f aca="false">IF(E727="","",IF(U727="","À SOUDER",IF(X727="","VT EN ATTENTE",IF(X727="R","VT REJETÉ – À REPRENDRE",IF(AP727="","À RADIOGRAPHIER",IF(AP727="A","ACCEPTÉ",IF(AP727="NX","NX – RT À REFAIRE",IF(IF(AO727=1,AD727,IF(AO727=2,AI727,""))="A","RÉPARÉ – À RADIOGRAPHIER",IF(IF(AO727=1,AD727,IF(AO727=2,AI727,""))="R","VT REJETÉ – À REPRENDRE",IF(OR(AP727="CO",AP727="NT"),"COUPE – À RESOUDER","À RÉPARER"))))))))))</f>
        <v>À SOUDER</v>
      </c>
      <c r="AR727" s="82" t="str">
        <f aca="false">IF(AND(ISNUMBER(U727),OR(AQ727="À RADIOGRAPHIER",AQ727="RÉPARÉ – À RADIOGRAPHIER",AQ727="NX – RT À REFAIRE",AQ727="À RÉPARER",AQ727="COUPE – À RESOUDER",AQ727="VT REJETÉ – À REPRENDRE")),MAX(0,'PROGRAMME RT'!$C$4-U727),"")</f>
        <v/>
      </c>
      <c r="AS727" s="82" t="n">
        <f aca="false">IF(AND(OR(AQ727="À RADIOGRAPHIER",AQ727="RÉPARÉ – À RADIOGRAPHIER",AQ727="NX – RT À REFAIRE"),OR('PROGRAMME RT'!$D$5="TOUTES",B727='PROGRAMME RT'!$D$5)),1,0)</f>
        <v>0</v>
      </c>
      <c r="AT727" s="82" t="str">
        <f aca="false">IF(AS727=1,SUM(AS$7:AS727),"")</f>
        <v/>
      </c>
      <c r="AU727" s="82" t="n">
        <f aca="false">IF(AND(OR(AA727="R",AA727="NX",AA727="NT",AA727="CO"),OR('JOINTS DE RÉPARATION'!$D$5="TOUTES",B727='JOINTS DE RÉPARATION'!$D$5),OR('JOINTS DE RÉPARATION'!$L$4="TOUS",AQ727&lt;&gt;"ACCEPTÉ")),1,0)</f>
        <v>0</v>
      </c>
      <c r="AV727" s="82" t="str">
        <f aca="false">IF(AU727=1,SUM(AU$7:AU727),"")</f>
        <v/>
      </c>
      <c r="AW727" s="82" t="str">
        <f aca="false">IF(E727="","",B727&amp;"|"&amp;E727)</f>
        <v>MFD-ISW → MFD-CPF|JN°721</v>
      </c>
    </row>
    <row r="728" customFormat="false" ht="74.6" hidden="false" customHeight="false" outlineLevel="0" collapsed="false">
      <c r="A728" s="79" t="n">
        <f aca="false">IF(E728="","",ROW()-6)</f>
        <v>722</v>
      </c>
      <c r="B728" s="80" t="s">
        <v>110</v>
      </c>
      <c r="C728" s="81"/>
      <c r="D728" s="81"/>
      <c r="E728" s="81" t="s">
        <v>832</v>
      </c>
      <c r="F728" s="82" t="str">
        <f aca="false">IF(E728="","",IF(LEFT(E728,2)="DJ","DJ","JN"))</f>
        <v>JN</v>
      </c>
      <c r="G728" s="81"/>
      <c r="H728" s="81"/>
      <c r="I728" s="81"/>
      <c r="J728" s="81"/>
      <c r="K728" s="81"/>
      <c r="L728" s="81"/>
      <c r="M728" s="81"/>
      <c r="N728" s="81"/>
      <c r="O728" s="81"/>
      <c r="P728" s="81"/>
      <c r="Q728" s="81"/>
      <c r="R728" s="81"/>
      <c r="S728" s="81"/>
      <c r="T728" s="81"/>
      <c r="U728" s="83"/>
      <c r="V728" s="83"/>
      <c r="W728" s="81"/>
      <c r="X728" s="81"/>
      <c r="Y728" s="83"/>
      <c r="Z728" s="81"/>
      <c r="AA728" s="81"/>
      <c r="AB728" s="81"/>
      <c r="AC728" s="81"/>
      <c r="AD728" s="81"/>
      <c r="AE728" s="83"/>
      <c r="AF728" s="81"/>
      <c r="AG728" s="81"/>
      <c r="AH728" s="81"/>
      <c r="AI728" s="81"/>
      <c r="AJ728" s="83"/>
      <c r="AK728" s="81"/>
      <c r="AL728" s="81"/>
      <c r="AM728" s="83"/>
      <c r="AN728" s="80"/>
      <c r="AO728" s="82" t="n">
        <f aca="false">IF(E728="","",(AA728&lt;&gt;"")+(AG728&lt;&gt;"")+(AL728&lt;&gt;""))</f>
        <v>0</v>
      </c>
      <c r="AP728" s="82" t="str">
        <f aca="false">IF(AL728&lt;&gt;"",AL728,IF(AG728&lt;&gt;"",AG728,IF(AA728&lt;&gt;"",AA728,"")))</f>
        <v/>
      </c>
      <c r="AQ728" s="84" t="str">
        <f aca="false">IF(E728="","",IF(U728="","À SOUDER",IF(X728="","VT EN ATTENTE",IF(X728="R","VT REJETÉ – À REPRENDRE",IF(AP728="","À RADIOGRAPHIER",IF(AP728="A","ACCEPTÉ",IF(AP728="NX","NX – RT À REFAIRE",IF(IF(AO728=1,AD728,IF(AO728=2,AI728,""))="A","RÉPARÉ – À RADIOGRAPHIER",IF(IF(AO728=1,AD728,IF(AO728=2,AI728,""))="R","VT REJETÉ – À REPRENDRE",IF(OR(AP728="CO",AP728="NT"),"COUPE – À RESOUDER","À RÉPARER"))))))))))</f>
        <v>À SOUDER</v>
      </c>
      <c r="AR728" s="82" t="str">
        <f aca="false">IF(AND(ISNUMBER(U728),OR(AQ728="À RADIOGRAPHIER",AQ728="RÉPARÉ – À RADIOGRAPHIER",AQ728="NX – RT À REFAIRE",AQ728="À RÉPARER",AQ728="COUPE – À RESOUDER",AQ728="VT REJETÉ – À REPRENDRE")),MAX(0,'PROGRAMME RT'!$C$4-U728),"")</f>
        <v/>
      </c>
      <c r="AS728" s="82" t="n">
        <f aca="false">IF(AND(OR(AQ728="À RADIOGRAPHIER",AQ728="RÉPARÉ – À RADIOGRAPHIER",AQ728="NX – RT À REFAIRE"),OR('PROGRAMME RT'!$D$5="TOUTES",B728='PROGRAMME RT'!$D$5)),1,0)</f>
        <v>0</v>
      </c>
      <c r="AT728" s="82" t="str">
        <f aca="false">IF(AS728=1,SUM(AS$7:AS728),"")</f>
        <v/>
      </c>
      <c r="AU728" s="82" t="n">
        <f aca="false">IF(AND(OR(AA728="R",AA728="NX",AA728="NT",AA728="CO"),OR('JOINTS DE RÉPARATION'!$D$5="TOUTES",B728='JOINTS DE RÉPARATION'!$D$5),OR('JOINTS DE RÉPARATION'!$L$4="TOUS",AQ728&lt;&gt;"ACCEPTÉ")),1,0)</f>
        <v>0</v>
      </c>
      <c r="AV728" s="82" t="str">
        <f aca="false">IF(AU728=1,SUM(AU$7:AU728),"")</f>
        <v/>
      </c>
      <c r="AW728" s="82" t="str">
        <f aca="false">IF(E728="","",B728&amp;"|"&amp;E728)</f>
        <v>MFD-ISW → MFD-CPF|JN°722</v>
      </c>
    </row>
    <row r="729" customFormat="false" ht="74.6" hidden="false" customHeight="false" outlineLevel="0" collapsed="false">
      <c r="A729" s="79" t="n">
        <f aca="false">IF(E729="","",ROW()-6)</f>
        <v>723</v>
      </c>
      <c r="B729" s="80" t="s">
        <v>110</v>
      </c>
      <c r="C729" s="81"/>
      <c r="D729" s="81"/>
      <c r="E729" s="81" t="s">
        <v>833</v>
      </c>
      <c r="F729" s="82" t="str">
        <f aca="false">IF(E729="","",IF(LEFT(E729,2)="DJ","DJ","JN"))</f>
        <v>JN</v>
      </c>
      <c r="G729" s="81"/>
      <c r="H729" s="81"/>
      <c r="I729" s="81"/>
      <c r="J729" s="81"/>
      <c r="K729" s="81"/>
      <c r="L729" s="81"/>
      <c r="M729" s="81"/>
      <c r="N729" s="81"/>
      <c r="O729" s="81"/>
      <c r="P729" s="81"/>
      <c r="Q729" s="81"/>
      <c r="R729" s="81"/>
      <c r="S729" s="81"/>
      <c r="T729" s="81"/>
      <c r="U729" s="83"/>
      <c r="V729" s="83"/>
      <c r="W729" s="81"/>
      <c r="X729" s="81"/>
      <c r="Y729" s="83"/>
      <c r="Z729" s="81"/>
      <c r="AA729" s="81"/>
      <c r="AB729" s="81"/>
      <c r="AC729" s="81"/>
      <c r="AD729" s="81"/>
      <c r="AE729" s="83"/>
      <c r="AF729" s="81"/>
      <c r="AG729" s="81"/>
      <c r="AH729" s="81"/>
      <c r="AI729" s="81"/>
      <c r="AJ729" s="83"/>
      <c r="AK729" s="81"/>
      <c r="AL729" s="81"/>
      <c r="AM729" s="83"/>
      <c r="AN729" s="80"/>
      <c r="AO729" s="82" t="n">
        <f aca="false">IF(E729="","",(AA729&lt;&gt;"")+(AG729&lt;&gt;"")+(AL729&lt;&gt;""))</f>
        <v>0</v>
      </c>
      <c r="AP729" s="82" t="str">
        <f aca="false">IF(AL729&lt;&gt;"",AL729,IF(AG729&lt;&gt;"",AG729,IF(AA729&lt;&gt;"",AA729,"")))</f>
        <v/>
      </c>
      <c r="AQ729" s="84" t="str">
        <f aca="false">IF(E729="","",IF(U729="","À SOUDER",IF(X729="","VT EN ATTENTE",IF(X729="R","VT REJETÉ – À REPRENDRE",IF(AP729="","À RADIOGRAPHIER",IF(AP729="A","ACCEPTÉ",IF(AP729="NX","NX – RT À REFAIRE",IF(IF(AO729=1,AD729,IF(AO729=2,AI729,""))="A","RÉPARÉ – À RADIOGRAPHIER",IF(IF(AO729=1,AD729,IF(AO729=2,AI729,""))="R","VT REJETÉ – À REPRENDRE",IF(OR(AP729="CO",AP729="NT"),"COUPE – À RESOUDER","À RÉPARER"))))))))))</f>
        <v>À SOUDER</v>
      </c>
      <c r="AR729" s="82" t="str">
        <f aca="false">IF(AND(ISNUMBER(U729),OR(AQ729="À RADIOGRAPHIER",AQ729="RÉPARÉ – À RADIOGRAPHIER",AQ729="NX – RT À REFAIRE",AQ729="À RÉPARER",AQ729="COUPE – À RESOUDER",AQ729="VT REJETÉ – À REPRENDRE")),MAX(0,'PROGRAMME RT'!$C$4-U729),"")</f>
        <v/>
      </c>
      <c r="AS729" s="82" t="n">
        <f aca="false">IF(AND(OR(AQ729="À RADIOGRAPHIER",AQ729="RÉPARÉ – À RADIOGRAPHIER",AQ729="NX – RT À REFAIRE"),OR('PROGRAMME RT'!$D$5="TOUTES",B729='PROGRAMME RT'!$D$5)),1,0)</f>
        <v>0</v>
      </c>
      <c r="AT729" s="82" t="str">
        <f aca="false">IF(AS729=1,SUM(AS$7:AS729),"")</f>
        <v/>
      </c>
      <c r="AU729" s="82" t="n">
        <f aca="false">IF(AND(OR(AA729="R",AA729="NX",AA729="NT",AA729="CO"),OR('JOINTS DE RÉPARATION'!$D$5="TOUTES",B729='JOINTS DE RÉPARATION'!$D$5),OR('JOINTS DE RÉPARATION'!$L$4="TOUS",AQ729&lt;&gt;"ACCEPTÉ")),1,0)</f>
        <v>0</v>
      </c>
      <c r="AV729" s="82" t="str">
        <f aca="false">IF(AU729=1,SUM(AU$7:AU729),"")</f>
        <v/>
      </c>
      <c r="AW729" s="82" t="str">
        <f aca="false">IF(E729="","",B729&amp;"|"&amp;E729)</f>
        <v>MFD-ISW → MFD-CPF|JN°723</v>
      </c>
    </row>
    <row r="730" customFormat="false" ht="74.6" hidden="false" customHeight="false" outlineLevel="0" collapsed="false">
      <c r="A730" s="79" t="n">
        <f aca="false">IF(E730="","",ROW()-6)</f>
        <v>724</v>
      </c>
      <c r="B730" s="80" t="s">
        <v>110</v>
      </c>
      <c r="C730" s="81"/>
      <c r="D730" s="81"/>
      <c r="E730" s="81" t="s">
        <v>834</v>
      </c>
      <c r="F730" s="82" t="str">
        <f aca="false">IF(E730="","",IF(LEFT(E730,2)="DJ","DJ","JN"))</f>
        <v>JN</v>
      </c>
      <c r="G730" s="81"/>
      <c r="H730" s="81"/>
      <c r="I730" s="81"/>
      <c r="J730" s="81"/>
      <c r="K730" s="81"/>
      <c r="L730" s="81"/>
      <c r="M730" s="81"/>
      <c r="N730" s="81"/>
      <c r="O730" s="81"/>
      <c r="P730" s="81"/>
      <c r="Q730" s="81"/>
      <c r="R730" s="81"/>
      <c r="S730" s="81"/>
      <c r="T730" s="81"/>
      <c r="U730" s="83"/>
      <c r="V730" s="83"/>
      <c r="W730" s="81"/>
      <c r="X730" s="81"/>
      <c r="Y730" s="83"/>
      <c r="Z730" s="81"/>
      <c r="AA730" s="81"/>
      <c r="AB730" s="81"/>
      <c r="AC730" s="81"/>
      <c r="AD730" s="81"/>
      <c r="AE730" s="83"/>
      <c r="AF730" s="81"/>
      <c r="AG730" s="81"/>
      <c r="AH730" s="81"/>
      <c r="AI730" s="81"/>
      <c r="AJ730" s="83"/>
      <c r="AK730" s="81"/>
      <c r="AL730" s="81"/>
      <c r="AM730" s="83"/>
      <c r="AN730" s="80"/>
      <c r="AO730" s="82" t="n">
        <f aca="false">IF(E730="","",(AA730&lt;&gt;"")+(AG730&lt;&gt;"")+(AL730&lt;&gt;""))</f>
        <v>0</v>
      </c>
      <c r="AP730" s="82" t="str">
        <f aca="false">IF(AL730&lt;&gt;"",AL730,IF(AG730&lt;&gt;"",AG730,IF(AA730&lt;&gt;"",AA730,"")))</f>
        <v/>
      </c>
      <c r="AQ730" s="84" t="str">
        <f aca="false">IF(E730="","",IF(U730="","À SOUDER",IF(X730="","VT EN ATTENTE",IF(X730="R","VT REJETÉ – À REPRENDRE",IF(AP730="","À RADIOGRAPHIER",IF(AP730="A","ACCEPTÉ",IF(AP730="NX","NX – RT À REFAIRE",IF(IF(AO730=1,AD730,IF(AO730=2,AI730,""))="A","RÉPARÉ – À RADIOGRAPHIER",IF(IF(AO730=1,AD730,IF(AO730=2,AI730,""))="R","VT REJETÉ – À REPRENDRE",IF(OR(AP730="CO",AP730="NT"),"COUPE – À RESOUDER","À RÉPARER"))))))))))</f>
        <v>À SOUDER</v>
      </c>
      <c r="AR730" s="82" t="str">
        <f aca="false">IF(AND(ISNUMBER(U730),OR(AQ730="À RADIOGRAPHIER",AQ730="RÉPARÉ – À RADIOGRAPHIER",AQ730="NX – RT À REFAIRE",AQ730="À RÉPARER",AQ730="COUPE – À RESOUDER",AQ730="VT REJETÉ – À REPRENDRE")),MAX(0,'PROGRAMME RT'!$C$4-U730),"")</f>
        <v/>
      </c>
      <c r="AS730" s="82" t="n">
        <f aca="false">IF(AND(OR(AQ730="À RADIOGRAPHIER",AQ730="RÉPARÉ – À RADIOGRAPHIER",AQ730="NX – RT À REFAIRE"),OR('PROGRAMME RT'!$D$5="TOUTES",B730='PROGRAMME RT'!$D$5)),1,0)</f>
        <v>0</v>
      </c>
      <c r="AT730" s="82" t="str">
        <f aca="false">IF(AS730=1,SUM(AS$7:AS730),"")</f>
        <v/>
      </c>
      <c r="AU730" s="82" t="n">
        <f aca="false">IF(AND(OR(AA730="R",AA730="NX",AA730="NT",AA730="CO"),OR('JOINTS DE RÉPARATION'!$D$5="TOUTES",B730='JOINTS DE RÉPARATION'!$D$5),OR('JOINTS DE RÉPARATION'!$L$4="TOUS",AQ730&lt;&gt;"ACCEPTÉ")),1,0)</f>
        <v>0</v>
      </c>
      <c r="AV730" s="82" t="str">
        <f aca="false">IF(AU730=1,SUM(AU$7:AU730),"")</f>
        <v/>
      </c>
      <c r="AW730" s="82" t="str">
        <f aca="false">IF(E730="","",B730&amp;"|"&amp;E730)</f>
        <v>MFD-ISW → MFD-CPF|JN°724</v>
      </c>
    </row>
    <row r="731" customFormat="false" ht="74.6" hidden="false" customHeight="false" outlineLevel="0" collapsed="false">
      <c r="A731" s="79" t="n">
        <f aca="false">IF(E731="","",ROW()-6)</f>
        <v>725</v>
      </c>
      <c r="B731" s="80" t="s">
        <v>110</v>
      </c>
      <c r="C731" s="81"/>
      <c r="D731" s="81"/>
      <c r="E731" s="81" t="s">
        <v>835</v>
      </c>
      <c r="F731" s="82" t="str">
        <f aca="false">IF(E731="","",IF(LEFT(E731,2)="DJ","DJ","JN"))</f>
        <v>JN</v>
      </c>
      <c r="G731" s="81"/>
      <c r="H731" s="81"/>
      <c r="I731" s="81"/>
      <c r="J731" s="81"/>
      <c r="K731" s="81"/>
      <c r="L731" s="81"/>
      <c r="M731" s="81"/>
      <c r="N731" s="81"/>
      <c r="O731" s="81"/>
      <c r="P731" s="81"/>
      <c r="Q731" s="81"/>
      <c r="R731" s="81"/>
      <c r="S731" s="81"/>
      <c r="T731" s="81"/>
      <c r="U731" s="83"/>
      <c r="V731" s="83"/>
      <c r="W731" s="81"/>
      <c r="X731" s="81"/>
      <c r="Y731" s="83"/>
      <c r="Z731" s="81"/>
      <c r="AA731" s="81"/>
      <c r="AB731" s="81"/>
      <c r="AC731" s="81"/>
      <c r="AD731" s="81"/>
      <c r="AE731" s="83"/>
      <c r="AF731" s="81"/>
      <c r="AG731" s="81"/>
      <c r="AH731" s="81"/>
      <c r="AI731" s="81"/>
      <c r="AJ731" s="83"/>
      <c r="AK731" s="81"/>
      <c r="AL731" s="81"/>
      <c r="AM731" s="83"/>
      <c r="AN731" s="80"/>
      <c r="AO731" s="82" t="n">
        <f aca="false">IF(E731="","",(AA731&lt;&gt;"")+(AG731&lt;&gt;"")+(AL731&lt;&gt;""))</f>
        <v>0</v>
      </c>
      <c r="AP731" s="82" t="str">
        <f aca="false">IF(AL731&lt;&gt;"",AL731,IF(AG731&lt;&gt;"",AG731,IF(AA731&lt;&gt;"",AA731,"")))</f>
        <v/>
      </c>
      <c r="AQ731" s="84" t="str">
        <f aca="false">IF(E731="","",IF(U731="","À SOUDER",IF(X731="","VT EN ATTENTE",IF(X731="R","VT REJETÉ – À REPRENDRE",IF(AP731="","À RADIOGRAPHIER",IF(AP731="A","ACCEPTÉ",IF(AP731="NX","NX – RT À REFAIRE",IF(IF(AO731=1,AD731,IF(AO731=2,AI731,""))="A","RÉPARÉ – À RADIOGRAPHIER",IF(IF(AO731=1,AD731,IF(AO731=2,AI731,""))="R","VT REJETÉ – À REPRENDRE",IF(OR(AP731="CO",AP731="NT"),"COUPE – À RESOUDER","À RÉPARER"))))))))))</f>
        <v>À SOUDER</v>
      </c>
      <c r="AR731" s="82" t="str">
        <f aca="false">IF(AND(ISNUMBER(U731),OR(AQ731="À RADIOGRAPHIER",AQ731="RÉPARÉ – À RADIOGRAPHIER",AQ731="NX – RT À REFAIRE",AQ731="À RÉPARER",AQ731="COUPE – À RESOUDER",AQ731="VT REJETÉ – À REPRENDRE")),MAX(0,'PROGRAMME RT'!$C$4-U731),"")</f>
        <v/>
      </c>
      <c r="AS731" s="82" t="n">
        <f aca="false">IF(AND(OR(AQ731="À RADIOGRAPHIER",AQ731="RÉPARÉ – À RADIOGRAPHIER",AQ731="NX – RT À REFAIRE"),OR('PROGRAMME RT'!$D$5="TOUTES",B731='PROGRAMME RT'!$D$5)),1,0)</f>
        <v>0</v>
      </c>
      <c r="AT731" s="82" t="str">
        <f aca="false">IF(AS731=1,SUM(AS$7:AS731),"")</f>
        <v/>
      </c>
      <c r="AU731" s="82" t="n">
        <f aca="false">IF(AND(OR(AA731="R",AA731="NX",AA731="NT",AA731="CO"),OR('JOINTS DE RÉPARATION'!$D$5="TOUTES",B731='JOINTS DE RÉPARATION'!$D$5),OR('JOINTS DE RÉPARATION'!$L$4="TOUS",AQ731&lt;&gt;"ACCEPTÉ")),1,0)</f>
        <v>0</v>
      </c>
      <c r="AV731" s="82" t="str">
        <f aca="false">IF(AU731=1,SUM(AU$7:AU731),"")</f>
        <v/>
      </c>
      <c r="AW731" s="82" t="str">
        <f aca="false">IF(E731="","",B731&amp;"|"&amp;E731)</f>
        <v>MFD-ISW → MFD-CPF|JN°725</v>
      </c>
    </row>
    <row r="732" customFormat="false" ht="74.6" hidden="false" customHeight="false" outlineLevel="0" collapsed="false">
      <c r="A732" s="79" t="n">
        <f aca="false">IF(E732="","",ROW()-6)</f>
        <v>726</v>
      </c>
      <c r="B732" s="80" t="s">
        <v>110</v>
      </c>
      <c r="C732" s="81"/>
      <c r="D732" s="81"/>
      <c r="E732" s="81" t="s">
        <v>836</v>
      </c>
      <c r="F732" s="82" t="str">
        <f aca="false">IF(E732="","",IF(LEFT(E732,2)="DJ","DJ","JN"))</f>
        <v>JN</v>
      </c>
      <c r="G732" s="81"/>
      <c r="H732" s="81"/>
      <c r="I732" s="81"/>
      <c r="J732" s="81"/>
      <c r="K732" s="81"/>
      <c r="L732" s="81"/>
      <c r="M732" s="81"/>
      <c r="N732" s="81"/>
      <c r="O732" s="81"/>
      <c r="P732" s="81"/>
      <c r="Q732" s="81"/>
      <c r="R732" s="81"/>
      <c r="S732" s="81"/>
      <c r="T732" s="81"/>
      <c r="U732" s="83"/>
      <c r="V732" s="83"/>
      <c r="W732" s="81"/>
      <c r="X732" s="81"/>
      <c r="Y732" s="83"/>
      <c r="Z732" s="81"/>
      <c r="AA732" s="81"/>
      <c r="AB732" s="81"/>
      <c r="AC732" s="81"/>
      <c r="AD732" s="81"/>
      <c r="AE732" s="83"/>
      <c r="AF732" s="81"/>
      <c r="AG732" s="81"/>
      <c r="AH732" s="81"/>
      <c r="AI732" s="81"/>
      <c r="AJ732" s="83"/>
      <c r="AK732" s="81"/>
      <c r="AL732" s="81"/>
      <c r="AM732" s="83"/>
      <c r="AN732" s="80"/>
      <c r="AO732" s="82" t="n">
        <f aca="false">IF(E732="","",(AA732&lt;&gt;"")+(AG732&lt;&gt;"")+(AL732&lt;&gt;""))</f>
        <v>0</v>
      </c>
      <c r="AP732" s="82" t="str">
        <f aca="false">IF(AL732&lt;&gt;"",AL732,IF(AG732&lt;&gt;"",AG732,IF(AA732&lt;&gt;"",AA732,"")))</f>
        <v/>
      </c>
      <c r="AQ732" s="84" t="str">
        <f aca="false">IF(E732="","",IF(U732="","À SOUDER",IF(X732="","VT EN ATTENTE",IF(X732="R","VT REJETÉ – À REPRENDRE",IF(AP732="","À RADIOGRAPHIER",IF(AP732="A","ACCEPTÉ",IF(AP732="NX","NX – RT À REFAIRE",IF(IF(AO732=1,AD732,IF(AO732=2,AI732,""))="A","RÉPARÉ – À RADIOGRAPHIER",IF(IF(AO732=1,AD732,IF(AO732=2,AI732,""))="R","VT REJETÉ – À REPRENDRE",IF(OR(AP732="CO",AP732="NT"),"COUPE – À RESOUDER","À RÉPARER"))))))))))</f>
        <v>À SOUDER</v>
      </c>
      <c r="AR732" s="82" t="str">
        <f aca="false">IF(AND(ISNUMBER(U732),OR(AQ732="À RADIOGRAPHIER",AQ732="RÉPARÉ – À RADIOGRAPHIER",AQ732="NX – RT À REFAIRE",AQ732="À RÉPARER",AQ732="COUPE – À RESOUDER",AQ732="VT REJETÉ – À REPRENDRE")),MAX(0,'PROGRAMME RT'!$C$4-U732),"")</f>
        <v/>
      </c>
      <c r="AS732" s="82" t="n">
        <f aca="false">IF(AND(OR(AQ732="À RADIOGRAPHIER",AQ732="RÉPARÉ – À RADIOGRAPHIER",AQ732="NX – RT À REFAIRE"),OR('PROGRAMME RT'!$D$5="TOUTES",B732='PROGRAMME RT'!$D$5)),1,0)</f>
        <v>0</v>
      </c>
      <c r="AT732" s="82" t="str">
        <f aca="false">IF(AS732=1,SUM(AS$7:AS732),"")</f>
        <v/>
      </c>
      <c r="AU732" s="82" t="n">
        <f aca="false">IF(AND(OR(AA732="R",AA732="NX",AA732="NT",AA732="CO"),OR('JOINTS DE RÉPARATION'!$D$5="TOUTES",B732='JOINTS DE RÉPARATION'!$D$5),OR('JOINTS DE RÉPARATION'!$L$4="TOUS",AQ732&lt;&gt;"ACCEPTÉ")),1,0)</f>
        <v>0</v>
      </c>
      <c r="AV732" s="82" t="str">
        <f aca="false">IF(AU732=1,SUM(AU$7:AU732),"")</f>
        <v/>
      </c>
      <c r="AW732" s="82" t="str">
        <f aca="false">IF(E732="","",B732&amp;"|"&amp;E732)</f>
        <v>MFD-ISW → MFD-CPF|JN°726</v>
      </c>
    </row>
    <row r="733" customFormat="false" ht="74.6" hidden="false" customHeight="false" outlineLevel="0" collapsed="false">
      <c r="A733" s="79" t="n">
        <f aca="false">IF(E733="","",ROW()-6)</f>
        <v>727</v>
      </c>
      <c r="B733" s="80" t="s">
        <v>110</v>
      </c>
      <c r="C733" s="81"/>
      <c r="D733" s="81"/>
      <c r="E733" s="81" t="s">
        <v>837</v>
      </c>
      <c r="F733" s="82" t="str">
        <f aca="false">IF(E733="","",IF(LEFT(E733,2)="DJ","DJ","JN"))</f>
        <v>JN</v>
      </c>
      <c r="G733" s="81"/>
      <c r="H733" s="81"/>
      <c r="I733" s="81"/>
      <c r="J733" s="81"/>
      <c r="K733" s="81"/>
      <c r="L733" s="81"/>
      <c r="M733" s="81"/>
      <c r="N733" s="81"/>
      <c r="O733" s="81"/>
      <c r="P733" s="81"/>
      <c r="Q733" s="81"/>
      <c r="R733" s="81"/>
      <c r="S733" s="81"/>
      <c r="T733" s="81"/>
      <c r="U733" s="83"/>
      <c r="V733" s="83"/>
      <c r="W733" s="81"/>
      <c r="X733" s="81"/>
      <c r="Y733" s="83"/>
      <c r="Z733" s="81"/>
      <c r="AA733" s="81"/>
      <c r="AB733" s="81"/>
      <c r="AC733" s="81"/>
      <c r="AD733" s="81"/>
      <c r="AE733" s="83"/>
      <c r="AF733" s="81"/>
      <c r="AG733" s="81"/>
      <c r="AH733" s="81"/>
      <c r="AI733" s="81"/>
      <c r="AJ733" s="83"/>
      <c r="AK733" s="81"/>
      <c r="AL733" s="81"/>
      <c r="AM733" s="83"/>
      <c r="AN733" s="80"/>
      <c r="AO733" s="82" t="n">
        <f aca="false">IF(E733="","",(AA733&lt;&gt;"")+(AG733&lt;&gt;"")+(AL733&lt;&gt;""))</f>
        <v>0</v>
      </c>
      <c r="AP733" s="82" t="str">
        <f aca="false">IF(AL733&lt;&gt;"",AL733,IF(AG733&lt;&gt;"",AG733,IF(AA733&lt;&gt;"",AA733,"")))</f>
        <v/>
      </c>
      <c r="AQ733" s="84" t="str">
        <f aca="false">IF(E733="","",IF(U733="","À SOUDER",IF(X733="","VT EN ATTENTE",IF(X733="R","VT REJETÉ – À REPRENDRE",IF(AP733="","À RADIOGRAPHIER",IF(AP733="A","ACCEPTÉ",IF(AP733="NX","NX – RT À REFAIRE",IF(IF(AO733=1,AD733,IF(AO733=2,AI733,""))="A","RÉPARÉ – À RADIOGRAPHIER",IF(IF(AO733=1,AD733,IF(AO733=2,AI733,""))="R","VT REJETÉ – À REPRENDRE",IF(OR(AP733="CO",AP733="NT"),"COUPE – À RESOUDER","À RÉPARER"))))))))))</f>
        <v>À SOUDER</v>
      </c>
      <c r="AR733" s="82" t="str">
        <f aca="false">IF(AND(ISNUMBER(U733),OR(AQ733="À RADIOGRAPHIER",AQ733="RÉPARÉ – À RADIOGRAPHIER",AQ733="NX – RT À REFAIRE",AQ733="À RÉPARER",AQ733="COUPE – À RESOUDER",AQ733="VT REJETÉ – À REPRENDRE")),MAX(0,'PROGRAMME RT'!$C$4-U733),"")</f>
        <v/>
      </c>
      <c r="AS733" s="82" t="n">
        <f aca="false">IF(AND(OR(AQ733="À RADIOGRAPHIER",AQ733="RÉPARÉ – À RADIOGRAPHIER",AQ733="NX – RT À REFAIRE"),OR('PROGRAMME RT'!$D$5="TOUTES",B733='PROGRAMME RT'!$D$5)),1,0)</f>
        <v>0</v>
      </c>
      <c r="AT733" s="82" t="str">
        <f aca="false">IF(AS733=1,SUM(AS$7:AS733),"")</f>
        <v/>
      </c>
      <c r="AU733" s="82" t="n">
        <f aca="false">IF(AND(OR(AA733="R",AA733="NX",AA733="NT",AA733="CO"),OR('JOINTS DE RÉPARATION'!$D$5="TOUTES",B733='JOINTS DE RÉPARATION'!$D$5),OR('JOINTS DE RÉPARATION'!$L$4="TOUS",AQ733&lt;&gt;"ACCEPTÉ")),1,0)</f>
        <v>0</v>
      </c>
      <c r="AV733" s="82" t="str">
        <f aca="false">IF(AU733=1,SUM(AU$7:AU733),"")</f>
        <v/>
      </c>
      <c r="AW733" s="82" t="str">
        <f aca="false">IF(E733="","",B733&amp;"|"&amp;E733)</f>
        <v>MFD-ISW → MFD-CPF|JN°727</v>
      </c>
    </row>
    <row r="734" customFormat="false" ht="74.6" hidden="false" customHeight="false" outlineLevel="0" collapsed="false">
      <c r="A734" s="79" t="n">
        <f aca="false">IF(E734="","",ROW()-6)</f>
        <v>728</v>
      </c>
      <c r="B734" s="80" t="s">
        <v>110</v>
      </c>
      <c r="C734" s="81"/>
      <c r="D734" s="81"/>
      <c r="E734" s="81" t="s">
        <v>838</v>
      </c>
      <c r="F734" s="82" t="str">
        <f aca="false">IF(E734="","",IF(LEFT(E734,2)="DJ","DJ","JN"))</f>
        <v>JN</v>
      </c>
      <c r="G734" s="81"/>
      <c r="H734" s="81"/>
      <c r="I734" s="81"/>
      <c r="J734" s="81"/>
      <c r="K734" s="81"/>
      <c r="L734" s="81"/>
      <c r="M734" s="81"/>
      <c r="N734" s="81"/>
      <c r="O734" s="81"/>
      <c r="P734" s="81"/>
      <c r="Q734" s="81"/>
      <c r="R734" s="81"/>
      <c r="S734" s="81"/>
      <c r="T734" s="81"/>
      <c r="U734" s="83"/>
      <c r="V734" s="83"/>
      <c r="W734" s="81"/>
      <c r="X734" s="81"/>
      <c r="Y734" s="83"/>
      <c r="Z734" s="81"/>
      <c r="AA734" s="81"/>
      <c r="AB734" s="81"/>
      <c r="AC734" s="81"/>
      <c r="AD734" s="81"/>
      <c r="AE734" s="83"/>
      <c r="AF734" s="81"/>
      <c r="AG734" s="81"/>
      <c r="AH734" s="81"/>
      <c r="AI734" s="81"/>
      <c r="AJ734" s="83"/>
      <c r="AK734" s="81"/>
      <c r="AL734" s="81"/>
      <c r="AM734" s="83"/>
      <c r="AN734" s="80"/>
      <c r="AO734" s="82" t="n">
        <f aca="false">IF(E734="","",(AA734&lt;&gt;"")+(AG734&lt;&gt;"")+(AL734&lt;&gt;""))</f>
        <v>0</v>
      </c>
      <c r="AP734" s="82" t="str">
        <f aca="false">IF(AL734&lt;&gt;"",AL734,IF(AG734&lt;&gt;"",AG734,IF(AA734&lt;&gt;"",AA734,"")))</f>
        <v/>
      </c>
      <c r="AQ734" s="84" t="str">
        <f aca="false">IF(E734="","",IF(U734="","À SOUDER",IF(X734="","VT EN ATTENTE",IF(X734="R","VT REJETÉ – À REPRENDRE",IF(AP734="","À RADIOGRAPHIER",IF(AP734="A","ACCEPTÉ",IF(AP734="NX","NX – RT À REFAIRE",IF(IF(AO734=1,AD734,IF(AO734=2,AI734,""))="A","RÉPARÉ – À RADIOGRAPHIER",IF(IF(AO734=1,AD734,IF(AO734=2,AI734,""))="R","VT REJETÉ – À REPRENDRE",IF(OR(AP734="CO",AP734="NT"),"COUPE – À RESOUDER","À RÉPARER"))))))))))</f>
        <v>À SOUDER</v>
      </c>
      <c r="AR734" s="82" t="str">
        <f aca="false">IF(AND(ISNUMBER(U734),OR(AQ734="À RADIOGRAPHIER",AQ734="RÉPARÉ – À RADIOGRAPHIER",AQ734="NX – RT À REFAIRE",AQ734="À RÉPARER",AQ734="COUPE – À RESOUDER",AQ734="VT REJETÉ – À REPRENDRE")),MAX(0,'PROGRAMME RT'!$C$4-U734),"")</f>
        <v/>
      </c>
      <c r="AS734" s="82" t="n">
        <f aca="false">IF(AND(OR(AQ734="À RADIOGRAPHIER",AQ734="RÉPARÉ – À RADIOGRAPHIER",AQ734="NX – RT À REFAIRE"),OR('PROGRAMME RT'!$D$5="TOUTES",B734='PROGRAMME RT'!$D$5)),1,0)</f>
        <v>0</v>
      </c>
      <c r="AT734" s="82" t="str">
        <f aca="false">IF(AS734=1,SUM(AS$7:AS734),"")</f>
        <v/>
      </c>
      <c r="AU734" s="82" t="n">
        <f aca="false">IF(AND(OR(AA734="R",AA734="NX",AA734="NT",AA734="CO"),OR('JOINTS DE RÉPARATION'!$D$5="TOUTES",B734='JOINTS DE RÉPARATION'!$D$5),OR('JOINTS DE RÉPARATION'!$L$4="TOUS",AQ734&lt;&gt;"ACCEPTÉ")),1,0)</f>
        <v>0</v>
      </c>
      <c r="AV734" s="82" t="str">
        <f aca="false">IF(AU734=1,SUM(AU$7:AU734),"")</f>
        <v/>
      </c>
      <c r="AW734" s="82" t="str">
        <f aca="false">IF(E734="","",B734&amp;"|"&amp;E734)</f>
        <v>MFD-ISW → MFD-CPF|JN°728</v>
      </c>
    </row>
    <row r="735" customFormat="false" ht="74.6" hidden="false" customHeight="false" outlineLevel="0" collapsed="false">
      <c r="A735" s="79" t="n">
        <f aca="false">IF(E735="","",ROW()-6)</f>
        <v>729</v>
      </c>
      <c r="B735" s="80" t="s">
        <v>110</v>
      </c>
      <c r="C735" s="81"/>
      <c r="D735" s="81"/>
      <c r="E735" s="81" t="s">
        <v>839</v>
      </c>
      <c r="F735" s="82" t="str">
        <f aca="false">IF(E735="","",IF(LEFT(E735,2)="DJ","DJ","JN"))</f>
        <v>JN</v>
      </c>
      <c r="G735" s="81"/>
      <c r="H735" s="81"/>
      <c r="I735" s="81"/>
      <c r="J735" s="81"/>
      <c r="K735" s="81"/>
      <c r="L735" s="81"/>
      <c r="M735" s="81"/>
      <c r="N735" s="81"/>
      <c r="O735" s="81"/>
      <c r="P735" s="81"/>
      <c r="Q735" s="81"/>
      <c r="R735" s="81"/>
      <c r="S735" s="81"/>
      <c r="T735" s="81"/>
      <c r="U735" s="83"/>
      <c r="V735" s="83"/>
      <c r="W735" s="81"/>
      <c r="X735" s="81"/>
      <c r="Y735" s="83"/>
      <c r="Z735" s="81"/>
      <c r="AA735" s="81"/>
      <c r="AB735" s="81"/>
      <c r="AC735" s="81"/>
      <c r="AD735" s="81"/>
      <c r="AE735" s="83"/>
      <c r="AF735" s="81"/>
      <c r="AG735" s="81"/>
      <c r="AH735" s="81"/>
      <c r="AI735" s="81"/>
      <c r="AJ735" s="83"/>
      <c r="AK735" s="81"/>
      <c r="AL735" s="81"/>
      <c r="AM735" s="83"/>
      <c r="AN735" s="80"/>
      <c r="AO735" s="82" t="n">
        <f aca="false">IF(E735="","",(AA735&lt;&gt;"")+(AG735&lt;&gt;"")+(AL735&lt;&gt;""))</f>
        <v>0</v>
      </c>
      <c r="AP735" s="82" t="str">
        <f aca="false">IF(AL735&lt;&gt;"",AL735,IF(AG735&lt;&gt;"",AG735,IF(AA735&lt;&gt;"",AA735,"")))</f>
        <v/>
      </c>
      <c r="AQ735" s="84" t="str">
        <f aca="false">IF(E735="","",IF(U735="","À SOUDER",IF(X735="","VT EN ATTENTE",IF(X735="R","VT REJETÉ – À REPRENDRE",IF(AP735="","À RADIOGRAPHIER",IF(AP735="A","ACCEPTÉ",IF(AP735="NX","NX – RT À REFAIRE",IF(IF(AO735=1,AD735,IF(AO735=2,AI735,""))="A","RÉPARÉ – À RADIOGRAPHIER",IF(IF(AO735=1,AD735,IF(AO735=2,AI735,""))="R","VT REJETÉ – À REPRENDRE",IF(OR(AP735="CO",AP735="NT"),"COUPE – À RESOUDER","À RÉPARER"))))))))))</f>
        <v>À SOUDER</v>
      </c>
      <c r="AR735" s="82" t="str">
        <f aca="false">IF(AND(ISNUMBER(U735),OR(AQ735="À RADIOGRAPHIER",AQ735="RÉPARÉ – À RADIOGRAPHIER",AQ735="NX – RT À REFAIRE",AQ735="À RÉPARER",AQ735="COUPE – À RESOUDER",AQ735="VT REJETÉ – À REPRENDRE")),MAX(0,'PROGRAMME RT'!$C$4-U735),"")</f>
        <v/>
      </c>
      <c r="AS735" s="82" t="n">
        <f aca="false">IF(AND(OR(AQ735="À RADIOGRAPHIER",AQ735="RÉPARÉ – À RADIOGRAPHIER",AQ735="NX – RT À REFAIRE"),OR('PROGRAMME RT'!$D$5="TOUTES",B735='PROGRAMME RT'!$D$5)),1,0)</f>
        <v>0</v>
      </c>
      <c r="AT735" s="82" t="str">
        <f aca="false">IF(AS735=1,SUM(AS$7:AS735),"")</f>
        <v/>
      </c>
      <c r="AU735" s="82" t="n">
        <f aca="false">IF(AND(OR(AA735="R",AA735="NX",AA735="NT",AA735="CO"),OR('JOINTS DE RÉPARATION'!$D$5="TOUTES",B735='JOINTS DE RÉPARATION'!$D$5),OR('JOINTS DE RÉPARATION'!$L$4="TOUS",AQ735&lt;&gt;"ACCEPTÉ")),1,0)</f>
        <v>0</v>
      </c>
      <c r="AV735" s="82" t="str">
        <f aca="false">IF(AU735=1,SUM(AU$7:AU735),"")</f>
        <v/>
      </c>
      <c r="AW735" s="82" t="str">
        <f aca="false">IF(E735="","",B735&amp;"|"&amp;E735)</f>
        <v>MFD-ISW → MFD-CPF|JN°729</v>
      </c>
    </row>
    <row r="736" customFormat="false" ht="74.6" hidden="false" customHeight="false" outlineLevel="0" collapsed="false">
      <c r="A736" s="79" t="n">
        <f aca="false">IF(E736="","",ROW()-6)</f>
        <v>730</v>
      </c>
      <c r="B736" s="80" t="s">
        <v>110</v>
      </c>
      <c r="C736" s="81"/>
      <c r="D736" s="81"/>
      <c r="E736" s="81" t="s">
        <v>840</v>
      </c>
      <c r="F736" s="82" t="str">
        <f aca="false">IF(E736="","",IF(LEFT(E736,2)="DJ","DJ","JN"))</f>
        <v>JN</v>
      </c>
      <c r="G736" s="81"/>
      <c r="H736" s="81"/>
      <c r="I736" s="81"/>
      <c r="J736" s="81"/>
      <c r="K736" s="81"/>
      <c r="L736" s="81"/>
      <c r="M736" s="81"/>
      <c r="N736" s="81"/>
      <c r="O736" s="81"/>
      <c r="P736" s="81"/>
      <c r="Q736" s="81"/>
      <c r="R736" s="81"/>
      <c r="S736" s="81"/>
      <c r="T736" s="81"/>
      <c r="U736" s="83"/>
      <c r="V736" s="83"/>
      <c r="W736" s="81"/>
      <c r="X736" s="81"/>
      <c r="Y736" s="83"/>
      <c r="Z736" s="81"/>
      <c r="AA736" s="81"/>
      <c r="AB736" s="81"/>
      <c r="AC736" s="81"/>
      <c r="AD736" s="81"/>
      <c r="AE736" s="83"/>
      <c r="AF736" s="81"/>
      <c r="AG736" s="81"/>
      <c r="AH736" s="81"/>
      <c r="AI736" s="81"/>
      <c r="AJ736" s="83"/>
      <c r="AK736" s="81"/>
      <c r="AL736" s="81"/>
      <c r="AM736" s="83"/>
      <c r="AN736" s="80"/>
      <c r="AO736" s="82" t="n">
        <f aca="false">IF(E736="","",(AA736&lt;&gt;"")+(AG736&lt;&gt;"")+(AL736&lt;&gt;""))</f>
        <v>0</v>
      </c>
      <c r="AP736" s="82" t="str">
        <f aca="false">IF(AL736&lt;&gt;"",AL736,IF(AG736&lt;&gt;"",AG736,IF(AA736&lt;&gt;"",AA736,"")))</f>
        <v/>
      </c>
      <c r="AQ736" s="84" t="str">
        <f aca="false">IF(E736="","",IF(U736="","À SOUDER",IF(X736="","VT EN ATTENTE",IF(X736="R","VT REJETÉ – À REPRENDRE",IF(AP736="","À RADIOGRAPHIER",IF(AP736="A","ACCEPTÉ",IF(AP736="NX","NX – RT À REFAIRE",IF(IF(AO736=1,AD736,IF(AO736=2,AI736,""))="A","RÉPARÉ – À RADIOGRAPHIER",IF(IF(AO736=1,AD736,IF(AO736=2,AI736,""))="R","VT REJETÉ – À REPRENDRE",IF(OR(AP736="CO",AP736="NT"),"COUPE – À RESOUDER","À RÉPARER"))))))))))</f>
        <v>À SOUDER</v>
      </c>
      <c r="AR736" s="82" t="str">
        <f aca="false">IF(AND(ISNUMBER(U736),OR(AQ736="À RADIOGRAPHIER",AQ736="RÉPARÉ – À RADIOGRAPHIER",AQ736="NX – RT À REFAIRE",AQ736="À RÉPARER",AQ736="COUPE – À RESOUDER",AQ736="VT REJETÉ – À REPRENDRE")),MAX(0,'PROGRAMME RT'!$C$4-U736),"")</f>
        <v/>
      </c>
      <c r="AS736" s="82" t="n">
        <f aca="false">IF(AND(OR(AQ736="À RADIOGRAPHIER",AQ736="RÉPARÉ – À RADIOGRAPHIER",AQ736="NX – RT À REFAIRE"),OR('PROGRAMME RT'!$D$5="TOUTES",B736='PROGRAMME RT'!$D$5)),1,0)</f>
        <v>0</v>
      </c>
      <c r="AT736" s="82" t="str">
        <f aca="false">IF(AS736=1,SUM(AS$7:AS736),"")</f>
        <v/>
      </c>
      <c r="AU736" s="82" t="n">
        <f aca="false">IF(AND(OR(AA736="R",AA736="NX",AA736="NT",AA736="CO"),OR('JOINTS DE RÉPARATION'!$D$5="TOUTES",B736='JOINTS DE RÉPARATION'!$D$5),OR('JOINTS DE RÉPARATION'!$L$4="TOUS",AQ736&lt;&gt;"ACCEPTÉ")),1,0)</f>
        <v>0</v>
      </c>
      <c r="AV736" s="82" t="str">
        <f aca="false">IF(AU736=1,SUM(AU$7:AU736),"")</f>
        <v/>
      </c>
      <c r="AW736" s="82" t="str">
        <f aca="false">IF(E736="","",B736&amp;"|"&amp;E736)</f>
        <v>MFD-ISW → MFD-CPF|JN°730</v>
      </c>
    </row>
    <row r="737" customFormat="false" ht="74.6" hidden="false" customHeight="false" outlineLevel="0" collapsed="false">
      <c r="A737" s="79" t="n">
        <f aca="false">IF(E737="","",ROW()-6)</f>
        <v>731</v>
      </c>
      <c r="B737" s="80" t="s">
        <v>110</v>
      </c>
      <c r="C737" s="81"/>
      <c r="D737" s="81"/>
      <c r="E737" s="81" t="s">
        <v>841</v>
      </c>
      <c r="F737" s="82" t="str">
        <f aca="false">IF(E737="","",IF(LEFT(E737,2)="DJ","DJ","JN"))</f>
        <v>JN</v>
      </c>
      <c r="G737" s="81"/>
      <c r="H737" s="81"/>
      <c r="I737" s="81"/>
      <c r="J737" s="81"/>
      <c r="K737" s="81"/>
      <c r="L737" s="81"/>
      <c r="M737" s="81"/>
      <c r="N737" s="81"/>
      <c r="O737" s="81"/>
      <c r="P737" s="81"/>
      <c r="Q737" s="81"/>
      <c r="R737" s="81"/>
      <c r="S737" s="81"/>
      <c r="T737" s="81"/>
      <c r="U737" s="83"/>
      <c r="V737" s="83"/>
      <c r="W737" s="81"/>
      <c r="X737" s="81"/>
      <c r="Y737" s="83"/>
      <c r="Z737" s="81"/>
      <c r="AA737" s="81"/>
      <c r="AB737" s="81"/>
      <c r="AC737" s="81"/>
      <c r="AD737" s="81"/>
      <c r="AE737" s="83"/>
      <c r="AF737" s="81"/>
      <c r="AG737" s="81"/>
      <c r="AH737" s="81"/>
      <c r="AI737" s="81"/>
      <c r="AJ737" s="83"/>
      <c r="AK737" s="81"/>
      <c r="AL737" s="81"/>
      <c r="AM737" s="83"/>
      <c r="AN737" s="80"/>
      <c r="AO737" s="82" t="n">
        <f aca="false">IF(E737="","",(AA737&lt;&gt;"")+(AG737&lt;&gt;"")+(AL737&lt;&gt;""))</f>
        <v>0</v>
      </c>
      <c r="AP737" s="82" t="str">
        <f aca="false">IF(AL737&lt;&gt;"",AL737,IF(AG737&lt;&gt;"",AG737,IF(AA737&lt;&gt;"",AA737,"")))</f>
        <v/>
      </c>
      <c r="AQ737" s="84" t="str">
        <f aca="false">IF(E737="","",IF(U737="","À SOUDER",IF(X737="","VT EN ATTENTE",IF(X737="R","VT REJETÉ – À REPRENDRE",IF(AP737="","À RADIOGRAPHIER",IF(AP737="A","ACCEPTÉ",IF(AP737="NX","NX – RT À REFAIRE",IF(IF(AO737=1,AD737,IF(AO737=2,AI737,""))="A","RÉPARÉ – À RADIOGRAPHIER",IF(IF(AO737=1,AD737,IF(AO737=2,AI737,""))="R","VT REJETÉ – À REPRENDRE",IF(OR(AP737="CO",AP737="NT"),"COUPE – À RESOUDER","À RÉPARER"))))))))))</f>
        <v>À SOUDER</v>
      </c>
      <c r="AR737" s="82" t="str">
        <f aca="false">IF(AND(ISNUMBER(U737),OR(AQ737="À RADIOGRAPHIER",AQ737="RÉPARÉ – À RADIOGRAPHIER",AQ737="NX – RT À REFAIRE",AQ737="À RÉPARER",AQ737="COUPE – À RESOUDER",AQ737="VT REJETÉ – À REPRENDRE")),MAX(0,'PROGRAMME RT'!$C$4-U737),"")</f>
        <v/>
      </c>
      <c r="AS737" s="82" t="n">
        <f aca="false">IF(AND(OR(AQ737="À RADIOGRAPHIER",AQ737="RÉPARÉ – À RADIOGRAPHIER",AQ737="NX – RT À REFAIRE"),OR('PROGRAMME RT'!$D$5="TOUTES",B737='PROGRAMME RT'!$D$5)),1,0)</f>
        <v>0</v>
      </c>
      <c r="AT737" s="82" t="str">
        <f aca="false">IF(AS737=1,SUM(AS$7:AS737),"")</f>
        <v/>
      </c>
      <c r="AU737" s="82" t="n">
        <f aca="false">IF(AND(OR(AA737="R",AA737="NX",AA737="NT",AA737="CO"),OR('JOINTS DE RÉPARATION'!$D$5="TOUTES",B737='JOINTS DE RÉPARATION'!$D$5),OR('JOINTS DE RÉPARATION'!$L$4="TOUS",AQ737&lt;&gt;"ACCEPTÉ")),1,0)</f>
        <v>0</v>
      </c>
      <c r="AV737" s="82" t="str">
        <f aca="false">IF(AU737=1,SUM(AU$7:AU737),"")</f>
        <v/>
      </c>
      <c r="AW737" s="82" t="str">
        <f aca="false">IF(E737="","",B737&amp;"|"&amp;E737)</f>
        <v>MFD-ISW → MFD-CPF|JN°731</v>
      </c>
    </row>
    <row r="738" customFormat="false" ht="74.6" hidden="false" customHeight="false" outlineLevel="0" collapsed="false">
      <c r="A738" s="79" t="n">
        <f aca="false">IF(E738="","",ROW()-6)</f>
        <v>732</v>
      </c>
      <c r="B738" s="80" t="s">
        <v>110</v>
      </c>
      <c r="C738" s="81"/>
      <c r="D738" s="81"/>
      <c r="E738" s="81" t="s">
        <v>842</v>
      </c>
      <c r="F738" s="82" t="str">
        <f aca="false">IF(E738="","",IF(LEFT(E738,2)="DJ","DJ","JN"))</f>
        <v>JN</v>
      </c>
      <c r="G738" s="81"/>
      <c r="H738" s="81"/>
      <c r="I738" s="81"/>
      <c r="J738" s="81"/>
      <c r="K738" s="81"/>
      <c r="L738" s="81"/>
      <c r="M738" s="81"/>
      <c r="N738" s="81"/>
      <c r="O738" s="81"/>
      <c r="P738" s="81"/>
      <c r="Q738" s="81"/>
      <c r="R738" s="81"/>
      <c r="S738" s="81"/>
      <c r="T738" s="81"/>
      <c r="U738" s="83"/>
      <c r="V738" s="83"/>
      <c r="W738" s="81"/>
      <c r="X738" s="81"/>
      <c r="Y738" s="83"/>
      <c r="Z738" s="81"/>
      <c r="AA738" s="81"/>
      <c r="AB738" s="81"/>
      <c r="AC738" s="81"/>
      <c r="AD738" s="81"/>
      <c r="AE738" s="83"/>
      <c r="AF738" s="81"/>
      <c r="AG738" s="81"/>
      <c r="AH738" s="81"/>
      <c r="AI738" s="81"/>
      <c r="AJ738" s="83"/>
      <c r="AK738" s="81"/>
      <c r="AL738" s="81"/>
      <c r="AM738" s="83"/>
      <c r="AN738" s="80"/>
      <c r="AO738" s="82" t="n">
        <f aca="false">IF(E738="","",(AA738&lt;&gt;"")+(AG738&lt;&gt;"")+(AL738&lt;&gt;""))</f>
        <v>0</v>
      </c>
      <c r="AP738" s="82" t="str">
        <f aca="false">IF(AL738&lt;&gt;"",AL738,IF(AG738&lt;&gt;"",AG738,IF(AA738&lt;&gt;"",AA738,"")))</f>
        <v/>
      </c>
      <c r="AQ738" s="84" t="str">
        <f aca="false">IF(E738="","",IF(U738="","À SOUDER",IF(X738="","VT EN ATTENTE",IF(X738="R","VT REJETÉ – À REPRENDRE",IF(AP738="","À RADIOGRAPHIER",IF(AP738="A","ACCEPTÉ",IF(AP738="NX","NX – RT À REFAIRE",IF(IF(AO738=1,AD738,IF(AO738=2,AI738,""))="A","RÉPARÉ – À RADIOGRAPHIER",IF(IF(AO738=1,AD738,IF(AO738=2,AI738,""))="R","VT REJETÉ – À REPRENDRE",IF(OR(AP738="CO",AP738="NT"),"COUPE – À RESOUDER","À RÉPARER"))))))))))</f>
        <v>À SOUDER</v>
      </c>
      <c r="AR738" s="82" t="str">
        <f aca="false">IF(AND(ISNUMBER(U738),OR(AQ738="À RADIOGRAPHIER",AQ738="RÉPARÉ – À RADIOGRAPHIER",AQ738="NX – RT À REFAIRE",AQ738="À RÉPARER",AQ738="COUPE – À RESOUDER",AQ738="VT REJETÉ – À REPRENDRE")),MAX(0,'PROGRAMME RT'!$C$4-U738),"")</f>
        <v/>
      </c>
      <c r="AS738" s="82" t="n">
        <f aca="false">IF(AND(OR(AQ738="À RADIOGRAPHIER",AQ738="RÉPARÉ – À RADIOGRAPHIER",AQ738="NX – RT À REFAIRE"),OR('PROGRAMME RT'!$D$5="TOUTES",B738='PROGRAMME RT'!$D$5)),1,0)</f>
        <v>0</v>
      </c>
      <c r="AT738" s="82" t="str">
        <f aca="false">IF(AS738=1,SUM(AS$7:AS738),"")</f>
        <v/>
      </c>
      <c r="AU738" s="82" t="n">
        <f aca="false">IF(AND(OR(AA738="R",AA738="NX",AA738="NT",AA738="CO"),OR('JOINTS DE RÉPARATION'!$D$5="TOUTES",B738='JOINTS DE RÉPARATION'!$D$5),OR('JOINTS DE RÉPARATION'!$L$4="TOUS",AQ738&lt;&gt;"ACCEPTÉ")),1,0)</f>
        <v>0</v>
      </c>
      <c r="AV738" s="82" t="str">
        <f aca="false">IF(AU738=1,SUM(AU$7:AU738),"")</f>
        <v/>
      </c>
      <c r="AW738" s="82" t="str">
        <f aca="false">IF(E738="","",B738&amp;"|"&amp;E738)</f>
        <v>MFD-ISW → MFD-CPF|JN°732</v>
      </c>
    </row>
    <row r="739" customFormat="false" ht="74.6" hidden="false" customHeight="false" outlineLevel="0" collapsed="false">
      <c r="A739" s="79" t="n">
        <f aca="false">IF(E739="","",ROW()-6)</f>
        <v>733</v>
      </c>
      <c r="B739" s="80" t="s">
        <v>110</v>
      </c>
      <c r="C739" s="81"/>
      <c r="D739" s="81"/>
      <c r="E739" s="81" t="s">
        <v>843</v>
      </c>
      <c r="F739" s="82" t="str">
        <f aca="false">IF(E739="","",IF(LEFT(E739,2)="DJ","DJ","JN"))</f>
        <v>JN</v>
      </c>
      <c r="G739" s="81"/>
      <c r="H739" s="81"/>
      <c r="I739" s="81"/>
      <c r="J739" s="81"/>
      <c r="K739" s="81"/>
      <c r="L739" s="81"/>
      <c r="M739" s="81"/>
      <c r="N739" s="81"/>
      <c r="O739" s="81"/>
      <c r="P739" s="81"/>
      <c r="Q739" s="81"/>
      <c r="R739" s="81"/>
      <c r="S739" s="81"/>
      <c r="T739" s="81"/>
      <c r="U739" s="83"/>
      <c r="V739" s="83"/>
      <c r="W739" s="81"/>
      <c r="X739" s="81"/>
      <c r="Y739" s="83"/>
      <c r="Z739" s="81"/>
      <c r="AA739" s="81"/>
      <c r="AB739" s="81"/>
      <c r="AC739" s="81"/>
      <c r="AD739" s="81"/>
      <c r="AE739" s="83"/>
      <c r="AF739" s="81"/>
      <c r="AG739" s="81"/>
      <c r="AH739" s="81"/>
      <c r="AI739" s="81"/>
      <c r="AJ739" s="83"/>
      <c r="AK739" s="81"/>
      <c r="AL739" s="81"/>
      <c r="AM739" s="83"/>
      <c r="AN739" s="80"/>
      <c r="AO739" s="82" t="n">
        <f aca="false">IF(E739="","",(AA739&lt;&gt;"")+(AG739&lt;&gt;"")+(AL739&lt;&gt;""))</f>
        <v>0</v>
      </c>
      <c r="AP739" s="82" t="str">
        <f aca="false">IF(AL739&lt;&gt;"",AL739,IF(AG739&lt;&gt;"",AG739,IF(AA739&lt;&gt;"",AA739,"")))</f>
        <v/>
      </c>
      <c r="AQ739" s="84" t="str">
        <f aca="false">IF(E739="","",IF(U739="","À SOUDER",IF(X739="","VT EN ATTENTE",IF(X739="R","VT REJETÉ – À REPRENDRE",IF(AP739="","À RADIOGRAPHIER",IF(AP739="A","ACCEPTÉ",IF(AP739="NX","NX – RT À REFAIRE",IF(IF(AO739=1,AD739,IF(AO739=2,AI739,""))="A","RÉPARÉ – À RADIOGRAPHIER",IF(IF(AO739=1,AD739,IF(AO739=2,AI739,""))="R","VT REJETÉ – À REPRENDRE",IF(OR(AP739="CO",AP739="NT"),"COUPE – À RESOUDER","À RÉPARER"))))))))))</f>
        <v>À SOUDER</v>
      </c>
      <c r="AR739" s="82" t="str">
        <f aca="false">IF(AND(ISNUMBER(U739),OR(AQ739="À RADIOGRAPHIER",AQ739="RÉPARÉ – À RADIOGRAPHIER",AQ739="NX – RT À REFAIRE",AQ739="À RÉPARER",AQ739="COUPE – À RESOUDER",AQ739="VT REJETÉ – À REPRENDRE")),MAX(0,'PROGRAMME RT'!$C$4-U739),"")</f>
        <v/>
      </c>
      <c r="AS739" s="82" t="n">
        <f aca="false">IF(AND(OR(AQ739="À RADIOGRAPHIER",AQ739="RÉPARÉ – À RADIOGRAPHIER",AQ739="NX – RT À REFAIRE"),OR('PROGRAMME RT'!$D$5="TOUTES",B739='PROGRAMME RT'!$D$5)),1,0)</f>
        <v>0</v>
      </c>
      <c r="AT739" s="82" t="str">
        <f aca="false">IF(AS739=1,SUM(AS$7:AS739),"")</f>
        <v/>
      </c>
      <c r="AU739" s="82" t="n">
        <f aca="false">IF(AND(OR(AA739="R",AA739="NX",AA739="NT",AA739="CO"),OR('JOINTS DE RÉPARATION'!$D$5="TOUTES",B739='JOINTS DE RÉPARATION'!$D$5),OR('JOINTS DE RÉPARATION'!$L$4="TOUS",AQ739&lt;&gt;"ACCEPTÉ")),1,0)</f>
        <v>0</v>
      </c>
      <c r="AV739" s="82" t="str">
        <f aca="false">IF(AU739=1,SUM(AU$7:AU739),"")</f>
        <v/>
      </c>
      <c r="AW739" s="82" t="str">
        <f aca="false">IF(E739="","",B739&amp;"|"&amp;E739)</f>
        <v>MFD-ISW → MFD-CPF|JN°733</v>
      </c>
    </row>
    <row r="740" customFormat="false" ht="74.6" hidden="false" customHeight="false" outlineLevel="0" collapsed="false">
      <c r="A740" s="79" t="n">
        <f aca="false">IF(E740="","",ROW()-6)</f>
        <v>734</v>
      </c>
      <c r="B740" s="80" t="s">
        <v>110</v>
      </c>
      <c r="C740" s="81"/>
      <c r="D740" s="81"/>
      <c r="E740" s="81" t="s">
        <v>844</v>
      </c>
      <c r="F740" s="82" t="str">
        <f aca="false">IF(E740="","",IF(LEFT(E740,2)="DJ","DJ","JN"))</f>
        <v>JN</v>
      </c>
      <c r="G740" s="81"/>
      <c r="H740" s="81"/>
      <c r="I740" s="81"/>
      <c r="J740" s="81"/>
      <c r="K740" s="81"/>
      <c r="L740" s="81"/>
      <c r="M740" s="81"/>
      <c r="N740" s="81"/>
      <c r="O740" s="81"/>
      <c r="P740" s="81"/>
      <c r="Q740" s="81"/>
      <c r="R740" s="81"/>
      <c r="S740" s="81"/>
      <c r="T740" s="81"/>
      <c r="U740" s="83"/>
      <c r="V740" s="83"/>
      <c r="W740" s="81"/>
      <c r="X740" s="81"/>
      <c r="Y740" s="83"/>
      <c r="Z740" s="81"/>
      <c r="AA740" s="81"/>
      <c r="AB740" s="81"/>
      <c r="AC740" s="81"/>
      <c r="AD740" s="81"/>
      <c r="AE740" s="83"/>
      <c r="AF740" s="81"/>
      <c r="AG740" s="81"/>
      <c r="AH740" s="81"/>
      <c r="AI740" s="81"/>
      <c r="AJ740" s="83"/>
      <c r="AK740" s="81"/>
      <c r="AL740" s="81"/>
      <c r="AM740" s="83"/>
      <c r="AN740" s="80"/>
      <c r="AO740" s="82" t="n">
        <f aca="false">IF(E740="","",(AA740&lt;&gt;"")+(AG740&lt;&gt;"")+(AL740&lt;&gt;""))</f>
        <v>0</v>
      </c>
      <c r="AP740" s="82" t="str">
        <f aca="false">IF(AL740&lt;&gt;"",AL740,IF(AG740&lt;&gt;"",AG740,IF(AA740&lt;&gt;"",AA740,"")))</f>
        <v/>
      </c>
      <c r="AQ740" s="84" t="str">
        <f aca="false">IF(E740="","",IF(U740="","À SOUDER",IF(X740="","VT EN ATTENTE",IF(X740="R","VT REJETÉ – À REPRENDRE",IF(AP740="","À RADIOGRAPHIER",IF(AP740="A","ACCEPTÉ",IF(AP740="NX","NX – RT À REFAIRE",IF(IF(AO740=1,AD740,IF(AO740=2,AI740,""))="A","RÉPARÉ – À RADIOGRAPHIER",IF(IF(AO740=1,AD740,IF(AO740=2,AI740,""))="R","VT REJETÉ – À REPRENDRE",IF(OR(AP740="CO",AP740="NT"),"COUPE – À RESOUDER","À RÉPARER"))))))))))</f>
        <v>À SOUDER</v>
      </c>
      <c r="AR740" s="82" t="str">
        <f aca="false">IF(AND(ISNUMBER(U740),OR(AQ740="À RADIOGRAPHIER",AQ740="RÉPARÉ – À RADIOGRAPHIER",AQ740="NX – RT À REFAIRE",AQ740="À RÉPARER",AQ740="COUPE – À RESOUDER",AQ740="VT REJETÉ – À REPRENDRE")),MAX(0,'PROGRAMME RT'!$C$4-U740),"")</f>
        <v/>
      </c>
      <c r="AS740" s="82" t="n">
        <f aca="false">IF(AND(OR(AQ740="À RADIOGRAPHIER",AQ740="RÉPARÉ – À RADIOGRAPHIER",AQ740="NX – RT À REFAIRE"),OR('PROGRAMME RT'!$D$5="TOUTES",B740='PROGRAMME RT'!$D$5)),1,0)</f>
        <v>0</v>
      </c>
      <c r="AT740" s="82" t="str">
        <f aca="false">IF(AS740=1,SUM(AS$7:AS740),"")</f>
        <v/>
      </c>
      <c r="AU740" s="82" t="n">
        <f aca="false">IF(AND(OR(AA740="R",AA740="NX",AA740="NT",AA740="CO"),OR('JOINTS DE RÉPARATION'!$D$5="TOUTES",B740='JOINTS DE RÉPARATION'!$D$5),OR('JOINTS DE RÉPARATION'!$L$4="TOUS",AQ740&lt;&gt;"ACCEPTÉ")),1,0)</f>
        <v>0</v>
      </c>
      <c r="AV740" s="82" t="str">
        <f aca="false">IF(AU740=1,SUM(AU$7:AU740),"")</f>
        <v/>
      </c>
      <c r="AW740" s="82" t="str">
        <f aca="false">IF(E740="","",B740&amp;"|"&amp;E740)</f>
        <v>MFD-ISW → MFD-CPF|JN°734</v>
      </c>
    </row>
    <row r="741" customFormat="false" ht="74.6" hidden="false" customHeight="false" outlineLevel="0" collapsed="false">
      <c r="A741" s="79" t="n">
        <f aca="false">IF(E741="","",ROW()-6)</f>
        <v>735</v>
      </c>
      <c r="B741" s="80" t="s">
        <v>110</v>
      </c>
      <c r="C741" s="81"/>
      <c r="D741" s="81"/>
      <c r="E741" s="81" t="s">
        <v>845</v>
      </c>
      <c r="F741" s="82" t="str">
        <f aca="false">IF(E741="","",IF(LEFT(E741,2)="DJ","DJ","JN"))</f>
        <v>JN</v>
      </c>
      <c r="G741" s="81"/>
      <c r="H741" s="81"/>
      <c r="I741" s="81"/>
      <c r="J741" s="81"/>
      <c r="K741" s="81"/>
      <c r="L741" s="81"/>
      <c r="M741" s="81"/>
      <c r="N741" s="81"/>
      <c r="O741" s="81"/>
      <c r="P741" s="81"/>
      <c r="Q741" s="81"/>
      <c r="R741" s="81"/>
      <c r="S741" s="81"/>
      <c r="T741" s="81"/>
      <c r="U741" s="83"/>
      <c r="V741" s="83"/>
      <c r="W741" s="81"/>
      <c r="X741" s="81"/>
      <c r="Y741" s="83"/>
      <c r="Z741" s="81"/>
      <c r="AA741" s="81"/>
      <c r="AB741" s="81"/>
      <c r="AC741" s="81"/>
      <c r="AD741" s="81"/>
      <c r="AE741" s="83"/>
      <c r="AF741" s="81"/>
      <c r="AG741" s="81"/>
      <c r="AH741" s="81"/>
      <c r="AI741" s="81"/>
      <c r="AJ741" s="83"/>
      <c r="AK741" s="81"/>
      <c r="AL741" s="81"/>
      <c r="AM741" s="83"/>
      <c r="AN741" s="80"/>
      <c r="AO741" s="82" t="n">
        <f aca="false">IF(E741="","",(AA741&lt;&gt;"")+(AG741&lt;&gt;"")+(AL741&lt;&gt;""))</f>
        <v>0</v>
      </c>
      <c r="AP741" s="82" t="str">
        <f aca="false">IF(AL741&lt;&gt;"",AL741,IF(AG741&lt;&gt;"",AG741,IF(AA741&lt;&gt;"",AA741,"")))</f>
        <v/>
      </c>
      <c r="AQ741" s="84" t="str">
        <f aca="false">IF(E741="","",IF(U741="","À SOUDER",IF(X741="","VT EN ATTENTE",IF(X741="R","VT REJETÉ – À REPRENDRE",IF(AP741="","À RADIOGRAPHIER",IF(AP741="A","ACCEPTÉ",IF(AP741="NX","NX – RT À REFAIRE",IF(IF(AO741=1,AD741,IF(AO741=2,AI741,""))="A","RÉPARÉ – À RADIOGRAPHIER",IF(IF(AO741=1,AD741,IF(AO741=2,AI741,""))="R","VT REJETÉ – À REPRENDRE",IF(OR(AP741="CO",AP741="NT"),"COUPE – À RESOUDER","À RÉPARER"))))))))))</f>
        <v>À SOUDER</v>
      </c>
      <c r="AR741" s="82" t="str">
        <f aca="false">IF(AND(ISNUMBER(U741),OR(AQ741="À RADIOGRAPHIER",AQ741="RÉPARÉ – À RADIOGRAPHIER",AQ741="NX – RT À REFAIRE",AQ741="À RÉPARER",AQ741="COUPE – À RESOUDER",AQ741="VT REJETÉ – À REPRENDRE")),MAX(0,'PROGRAMME RT'!$C$4-U741),"")</f>
        <v/>
      </c>
      <c r="AS741" s="82" t="n">
        <f aca="false">IF(AND(OR(AQ741="À RADIOGRAPHIER",AQ741="RÉPARÉ – À RADIOGRAPHIER",AQ741="NX – RT À REFAIRE"),OR('PROGRAMME RT'!$D$5="TOUTES",B741='PROGRAMME RT'!$D$5)),1,0)</f>
        <v>0</v>
      </c>
      <c r="AT741" s="82" t="str">
        <f aca="false">IF(AS741=1,SUM(AS$7:AS741),"")</f>
        <v/>
      </c>
      <c r="AU741" s="82" t="n">
        <f aca="false">IF(AND(OR(AA741="R",AA741="NX",AA741="NT",AA741="CO"),OR('JOINTS DE RÉPARATION'!$D$5="TOUTES",B741='JOINTS DE RÉPARATION'!$D$5),OR('JOINTS DE RÉPARATION'!$L$4="TOUS",AQ741&lt;&gt;"ACCEPTÉ")),1,0)</f>
        <v>0</v>
      </c>
      <c r="AV741" s="82" t="str">
        <f aca="false">IF(AU741=1,SUM(AU$7:AU741),"")</f>
        <v/>
      </c>
      <c r="AW741" s="82" t="str">
        <f aca="false">IF(E741="","",B741&amp;"|"&amp;E741)</f>
        <v>MFD-ISW → MFD-CPF|JN°735</v>
      </c>
    </row>
    <row r="742" customFormat="false" ht="74.6" hidden="false" customHeight="false" outlineLevel="0" collapsed="false">
      <c r="A742" s="79" t="n">
        <f aca="false">IF(E742="","",ROW()-6)</f>
        <v>736</v>
      </c>
      <c r="B742" s="80" t="s">
        <v>110</v>
      </c>
      <c r="C742" s="81"/>
      <c r="D742" s="81"/>
      <c r="E742" s="81" t="s">
        <v>846</v>
      </c>
      <c r="F742" s="82" t="str">
        <f aca="false">IF(E742="","",IF(LEFT(E742,2)="DJ","DJ","JN"))</f>
        <v>JN</v>
      </c>
      <c r="G742" s="81"/>
      <c r="H742" s="81"/>
      <c r="I742" s="81"/>
      <c r="J742" s="81"/>
      <c r="K742" s="81"/>
      <c r="L742" s="81"/>
      <c r="M742" s="81"/>
      <c r="N742" s="81"/>
      <c r="O742" s="81"/>
      <c r="P742" s="81"/>
      <c r="Q742" s="81"/>
      <c r="R742" s="81"/>
      <c r="S742" s="81"/>
      <c r="T742" s="81"/>
      <c r="U742" s="83"/>
      <c r="V742" s="83"/>
      <c r="W742" s="81"/>
      <c r="X742" s="81"/>
      <c r="Y742" s="83"/>
      <c r="Z742" s="81"/>
      <c r="AA742" s="81"/>
      <c r="AB742" s="81"/>
      <c r="AC742" s="81"/>
      <c r="AD742" s="81"/>
      <c r="AE742" s="83"/>
      <c r="AF742" s="81"/>
      <c r="AG742" s="81"/>
      <c r="AH742" s="81"/>
      <c r="AI742" s="81"/>
      <c r="AJ742" s="83"/>
      <c r="AK742" s="81"/>
      <c r="AL742" s="81"/>
      <c r="AM742" s="83"/>
      <c r="AN742" s="80"/>
      <c r="AO742" s="82" t="n">
        <f aca="false">IF(E742="","",(AA742&lt;&gt;"")+(AG742&lt;&gt;"")+(AL742&lt;&gt;""))</f>
        <v>0</v>
      </c>
      <c r="AP742" s="82" t="str">
        <f aca="false">IF(AL742&lt;&gt;"",AL742,IF(AG742&lt;&gt;"",AG742,IF(AA742&lt;&gt;"",AA742,"")))</f>
        <v/>
      </c>
      <c r="AQ742" s="84" t="str">
        <f aca="false">IF(E742="","",IF(U742="","À SOUDER",IF(X742="","VT EN ATTENTE",IF(X742="R","VT REJETÉ – À REPRENDRE",IF(AP742="","À RADIOGRAPHIER",IF(AP742="A","ACCEPTÉ",IF(AP742="NX","NX – RT À REFAIRE",IF(IF(AO742=1,AD742,IF(AO742=2,AI742,""))="A","RÉPARÉ – À RADIOGRAPHIER",IF(IF(AO742=1,AD742,IF(AO742=2,AI742,""))="R","VT REJETÉ – À REPRENDRE",IF(OR(AP742="CO",AP742="NT"),"COUPE – À RESOUDER","À RÉPARER"))))))))))</f>
        <v>À SOUDER</v>
      </c>
      <c r="AR742" s="82" t="str">
        <f aca="false">IF(AND(ISNUMBER(U742),OR(AQ742="À RADIOGRAPHIER",AQ742="RÉPARÉ – À RADIOGRAPHIER",AQ742="NX – RT À REFAIRE",AQ742="À RÉPARER",AQ742="COUPE – À RESOUDER",AQ742="VT REJETÉ – À REPRENDRE")),MAX(0,'PROGRAMME RT'!$C$4-U742),"")</f>
        <v/>
      </c>
      <c r="AS742" s="82" t="n">
        <f aca="false">IF(AND(OR(AQ742="À RADIOGRAPHIER",AQ742="RÉPARÉ – À RADIOGRAPHIER",AQ742="NX – RT À REFAIRE"),OR('PROGRAMME RT'!$D$5="TOUTES",B742='PROGRAMME RT'!$D$5)),1,0)</f>
        <v>0</v>
      </c>
      <c r="AT742" s="82" t="str">
        <f aca="false">IF(AS742=1,SUM(AS$7:AS742),"")</f>
        <v/>
      </c>
      <c r="AU742" s="82" t="n">
        <f aca="false">IF(AND(OR(AA742="R",AA742="NX",AA742="NT",AA742="CO"),OR('JOINTS DE RÉPARATION'!$D$5="TOUTES",B742='JOINTS DE RÉPARATION'!$D$5),OR('JOINTS DE RÉPARATION'!$L$4="TOUS",AQ742&lt;&gt;"ACCEPTÉ")),1,0)</f>
        <v>0</v>
      </c>
      <c r="AV742" s="82" t="str">
        <f aca="false">IF(AU742=1,SUM(AU$7:AU742),"")</f>
        <v/>
      </c>
      <c r="AW742" s="82" t="str">
        <f aca="false">IF(E742="","",B742&amp;"|"&amp;E742)</f>
        <v>MFD-ISW → MFD-CPF|JN°736</v>
      </c>
    </row>
    <row r="743" customFormat="false" ht="74.6" hidden="false" customHeight="false" outlineLevel="0" collapsed="false">
      <c r="A743" s="79" t="n">
        <f aca="false">IF(E743="","",ROW()-6)</f>
        <v>737</v>
      </c>
      <c r="B743" s="80" t="s">
        <v>110</v>
      </c>
      <c r="C743" s="81"/>
      <c r="D743" s="81"/>
      <c r="E743" s="81" t="s">
        <v>847</v>
      </c>
      <c r="F743" s="82" t="str">
        <f aca="false">IF(E743="","",IF(LEFT(E743,2)="DJ","DJ","JN"))</f>
        <v>JN</v>
      </c>
      <c r="G743" s="81"/>
      <c r="H743" s="81"/>
      <c r="I743" s="81"/>
      <c r="J743" s="81"/>
      <c r="K743" s="81"/>
      <c r="L743" s="81"/>
      <c r="M743" s="81"/>
      <c r="N743" s="81"/>
      <c r="O743" s="81"/>
      <c r="P743" s="81"/>
      <c r="Q743" s="81"/>
      <c r="R743" s="81"/>
      <c r="S743" s="81"/>
      <c r="T743" s="81"/>
      <c r="U743" s="83"/>
      <c r="V743" s="83"/>
      <c r="W743" s="81"/>
      <c r="X743" s="81"/>
      <c r="Y743" s="83"/>
      <c r="Z743" s="81"/>
      <c r="AA743" s="81"/>
      <c r="AB743" s="81"/>
      <c r="AC743" s="81"/>
      <c r="AD743" s="81"/>
      <c r="AE743" s="83"/>
      <c r="AF743" s="81"/>
      <c r="AG743" s="81"/>
      <c r="AH743" s="81"/>
      <c r="AI743" s="81"/>
      <c r="AJ743" s="83"/>
      <c r="AK743" s="81"/>
      <c r="AL743" s="81"/>
      <c r="AM743" s="83"/>
      <c r="AN743" s="80"/>
      <c r="AO743" s="82" t="n">
        <f aca="false">IF(E743="","",(AA743&lt;&gt;"")+(AG743&lt;&gt;"")+(AL743&lt;&gt;""))</f>
        <v>0</v>
      </c>
      <c r="AP743" s="82" t="str">
        <f aca="false">IF(AL743&lt;&gt;"",AL743,IF(AG743&lt;&gt;"",AG743,IF(AA743&lt;&gt;"",AA743,"")))</f>
        <v/>
      </c>
      <c r="AQ743" s="84" t="str">
        <f aca="false">IF(E743="","",IF(U743="","À SOUDER",IF(X743="","VT EN ATTENTE",IF(X743="R","VT REJETÉ – À REPRENDRE",IF(AP743="","À RADIOGRAPHIER",IF(AP743="A","ACCEPTÉ",IF(AP743="NX","NX – RT À REFAIRE",IF(IF(AO743=1,AD743,IF(AO743=2,AI743,""))="A","RÉPARÉ – À RADIOGRAPHIER",IF(IF(AO743=1,AD743,IF(AO743=2,AI743,""))="R","VT REJETÉ – À REPRENDRE",IF(OR(AP743="CO",AP743="NT"),"COUPE – À RESOUDER","À RÉPARER"))))))))))</f>
        <v>À SOUDER</v>
      </c>
      <c r="AR743" s="82" t="str">
        <f aca="false">IF(AND(ISNUMBER(U743),OR(AQ743="À RADIOGRAPHIER",AQ743="RÉPARÉ – À RADIOGRAPHIER",AQ743="NX – RT À REFAIRE",AQ743="À RÉPARER",AQ743="COUPE – À RESOUDER",AQ743="VT REJETÉ – À REPRENDRE")),MAX(0,'PROGRAMME RT'!$C$4-U743),"")</f>
        <v/>
      </c>
      <c r="AS743" s="82" t="n">
        <f aca="false">IF(AND(OR(AQ743="À RADIOGRAPHIER",AQ743="RÉPARÉ – À RADIOGRAPHIER",AQ743="NX – RT À REFAIRE"),OR('PROGRAMME RT'!$D$5="TOUTES",B743='PROGRAMME RT'!$D$5)),1,0)</f>
        <v>0</v>
      </c>
      <c r="AT743" s="82" t="str">
        <f aca="false">IF(AS743=1,SUM(AS$7:AS743),"")</f>
        <v/>
      </c>
      <c r="AU743" s="82" t="n">
        <f aca="false">IF(AND(OR(AA743="R",AA743="NX",AA743="NT",AA743="CO"),OR('JOINTS DE RÉPARATION'!$D$5="TOUTES",B743='JOINTS DE RÉPARATION'!$D$5),OR('JOINTS DE RÉPARATION'!$L$4="TOUS",AQ743&lt;&gt;"ACCEPTÉ")),1,0)</f>
        <v>0</v>
      </c>
      <c r="AV743" s="82" t="str">
        <f aca="false">IF(AU743=1,SUM(AU$7:AU743),"")</f>
        <v/>
      </c>
      <c r="AW743" s="82" t="str">
        <f aca="false">IF(E743="","",B743&amp;"|"&amp;E743)</f>
        <v>MFD-ISW → MFD-CPF|JN°737</v>
      </c>
    </row>
    <row r="744" customFormat="false" ht="74.6" hidden="false" customHeight="false" outlineLevel="0" collapsed="false">
      <c r="A744" s="79" t="n">
        <f aca="false">IF(E744="","",ROW()-6)</f>
        <v>738</v>
      </c>
      <c r="B744" s="80" t="s">
        <v>110</v>
      </c>
      <c r="C744" s="81"/>
      <c r="D744" s="81"/>
      <c r="E744" s="81" t="s">
        <v>848</v>
      </c>
      <c r="F744" s="82" t="str">
        <f aca="false">IF(E744="","",IF(LEFT(E744,2)="DJ","DJ","JN"))</f>
        <v>JN</v>
      </c>
      <c r="G744" s="81"/>
      <c r="H744" s="81"/>
      <c r="I744" s="81"/>
      <c r="J744" s="81"/>
      <c r="K744" s="81"/>
      <c r="L744" s="81"/>
      <c r="M744" s="81"/>
      <c r="N744" s="81"/>
      <c r="O744" s="81"/>
      <c r="P744" s="81"/>
      <c r="Q744" s="81"/>
      <c r="R744" s="81"/>
      <c r="S744" s="81"/>
      <c r="T744" s="81"/>
      <c r="U744" s="83"/>
      <c r="V744" s="83"/>
      <c r="W744" s="81"/>
      <c r="X744" s="81"/>
      <c r="Y744" s="83"/>
      <c r="Z744" s="81"/>
      <c r="AA744" s="81"/>
      <c r="AB744" s="81"/>
      <c r="AC744" s="81"/>
      <c r="AD744" s="81"/>
      <c r="AE744" s="83"/>
      <c r="AF744" s="81"/>
      <c r="AG744" s="81"/>
      <c r="AH744" s="81"/>
      <c r="AI744" s="81"/>
      <c r="AJ744" s="83"/>
      <c r="AK744" s="81"/>
      <c r="AL744" s="81"/>
      <c r="AM744" s="83"/>
      <c r="AN744" s="80"/>
      <c r="AO744" s="82" t="n">
        <f aca="false">IF(E744="","",(AA744&lt;&gt;"")+(AG744&lt;&gt;"")+(AL744&lt;&gt;""))</f>
        <v>0</v>
      </c>
      <c r="AP744" s="82" t="str">
        <f aca="false">IF(AL744&lt;&gt;"",AL744,IF(AG744&lt;&gt;"",AG744,IF(AA744&lt;&gt;"",AA744,"")))</f>
        <v/>
      </c>
      <c r="AQ744" s="84" t="str">
        <f aca="false">IF(E744="","",IF(U744="","À SOUDER",IF(X744="","VT EN ATTENTE",IF(X744="R","VT REJETÉ – À REPRENDRE",IF(AP744="","À RADIOGRAPHIER",IF(AP744="A","ACCEPTÉ",IF(AP744="NX","NX – RT À REFAIRE",IF(IF(AO744=1,AD744,IF(AO744=2,AI744,""))="A","RÉPARÉ – À RADIOGRAPHIER",IF(IF(AO744=1,AD744,IF(AO744=2,AI744,""))="R","VT REJETÉ – À REPRENDRE",IF(OR(AP744="CO",AP744="NT"),"COUPE – À RESOUDER","À RÉPARER"))))))))))</f>
        <v>À SOUDER</v>
      </c>
      <c r="AR744" s="82" t="str">
        <f aca="false">IF(AND(ISNUMBER(U744),OR(AQ744="À RADIOGRAPHIER",AQ744="RÉPARÉ – À RADIOGRAPHIER",AQ744="NX – RT À REFAIRE",AQ744="À RÉPARER",AQ744="COUPE – À RESOUDER",AQ744="VT REJETÉ – À REPRENDRE")),MAX(0,'PROGRAMME RT'!$C$4-U744),"")</f>
        <v/>
      </c>
      <c r="AS744" s="82" t="n">
        <f aca="false">IF(AND(OR(AQ744="À RADIOGRAPHIER",AQ744="RÉPARÉ – À RADIOGRAPHIER",AQ744="NX – RT À REFAIRE"),OR('PROGRAMME RT'!$D$5="TOUTES",B744='PROGRAMME RT'!$D$5)),1,0)</f>
        <v>0</v>
      </c>
      <c r="AT744" s="82" t="str">
        <f aca="false">IF(AS744=1,SUM(AS$7:AS744),"")</f>
        <v/>
      </c>
      <c r="AU744" s="82" t="n">
        <f aca="false">IF(AND(OR(AA744="R",AA744="NX",AA744="NT",AA744="CO"),OR('JOINTS DE RÉPARATION'!$D$5="TOUTES",B744='JOINTS DE RÉPARATION'!$D$5),OR('JOINTS DE RÉPARATION'!$L$4="TOUS",AQ744&lt;&gt;"ACCEPTÉ")),1,0)</f>
        <v>0</v>
      </c>
      <c r="AV744" s="82" t="str">
        <f aca="false">IF(AU744=1,SUM(AU$7:AU744),"")</f>
        <v/>
      </c>
      <c r="AW744" s="82" t="str">
        <f aca="false">IF(E744="","",B744&amp;"|"&amp;E744)</f>
        <v>MFD-ISW → MFD-CPF|JN°738</v>
      </c>
    </row>
    <row r="745" customFormat="false" ht="74.6" hidden="false" customHeight="false" outlineLevel="0" collapsed="false">
      <c r="A745" s="79" t="n">
        <f aca="false">IF(E745="","",ROW()-6)</f>
        <v>739</v>
      </c>
      <c r="B745" s="80" t="s">
        <v>110</v>
      </c>
      <c r="C745" s="81"/>
      <c r="D745" s="81"/>
      <c r="E745" s="81" t="s">
        <v>849</v>
      </c>
      <c r="F745" s="82" t="str">
        <f aca="false">IF(E745="","",IF(LEFT(E745,2)="DJ","DJ","JN"))</f>
        <v>JN</v>
      </c>
      <c r="G745" s="81"/>
      <c r="H745" s="81"/>
      <c r="I745" s="81"/>
      <c r="J745" s="81"/>
      <c r="K745" s="81"/>
      <c r="L745" s="81"/>
      <c r="M745" s="81"/>
      <c r="N745" s="81"/>
      <c r="O745" s="81"/>
      <c r="P745" s="81"/>
      <c r="Q745" s="81"/>
      <c r="R745" s="81"/>
      <c r="S745" s="81"/>
      <c r="T745" s="81"/>
      <c r="U745" s="83"/>
      <c r="V745" s="83"/>
      <c r="W745" s="81"/>
      <c r="X745" s="81"/>
      <c r="Y745" s="83"/>
      <c r="Z745" s="81"/>
      <c r="AA745" s="81"/>
      <c r="AB745" s="81"/>
      <c r="AC745" s="81"/>
      <c r="AD745" s="81"/>
      <c r="AE745" s="83"/>
      <c r="AF745" s="81"/>
      <c r="AG745" s="81"/>
      <c r="AH745" s="81"/>
      <c r="AI745" s="81"/>
      <c r="AJ745" s="83"/>
      <c r="AK745" s="81"/>
      <c r="AL745" s="81"/>
      <c r="AM745" s="83"/>
      <c r="AN745" s="80"/>
      <c r="AO745" s="82" t="n">
        <f aca="false">IF(E745="","",(AA745&lt;&gt;"")+(AG745&lt;&gt;"")+(AL745&lt;&gt;""))</f>
        <v>0</v>
      </c>
      <c r="AP745" s="82" t="str">
        <f aca="false">IF(AL745&lt;&gt;"",AL745,IF(AG745&lt;&gt;"",AG745,IF(AA745&lt;&gt;"",AA745,"")))</f>
        <v/>
      </c>
      <c r="AQ745" s="84" t="str">
        <f aca="false">IF(E745="","",IF(U745="","À SOUDER",IF(X745="","VT EN ATTENTE",IF(X745="R","VT REJETÉ – À REPRENDRE",IF(AP745="","À RADIOGRAPHIER",IF(AP745="A","ACCEPTÉ",IF(AP745="NX","NX – RT À REFAIRE",IF(IF(AO745=1,AD745,IF(AO745=2,AI745,""))="A","RÉPARÉ – À RADIOGRAPHIER",IF(IF(AO745=1,AD745,IF(AO745=2,AI745,""))="R","VT REJETÉ – À REPRENDRE",IF(OR(AP745="CO",AP745="NT"),"COUPE – À RESOUDER","À RÉPARER"))))))))))</f>
        <v>À SOUDER</v>
      </c>
      <c r="AR745" s="82" t="str">
        <f aca="false">IF(AND(ISNUMBER(U745),OR(AQ745="À RADIOGRAPHIER",AQ745="RÉPARÉ – À RADIOGRAPHIER",AQ745="NX – RT À REFAIRE",AQ745="À RÉPARER",AQ745="COUPE – À RESOUDER",AQ745="VT REJETÉ – À REPRENDRE")),MAX(0,'PROGRAMME RT'!$C$4-U745),"")</f>
        <v/>
      </c>
      <c r="AS745" s="82" t="n">
        <f aca="false">IF(AND(OR(AQ745="À RADIOGRAPHIER",AQ745="RÉPARÉ – À RADIOGRAPHIER",AQ745="NX – RT À REFAIRE"),OR('PROGRAMME RT'!$D$5="TOUTES",B745='PROGRAMME RT'!$D$5)),1,0)</f>
        <v>0</v>
      </c>
      <c r="AT745" s="82" t="str">
        <f aca="false">IF(AS745=1,SUM(AS$7:AS745),"")</f>
        <v/>
      </c>
      <c r="AU745" s="82" t="n">
        <f aca="false">IF(AND(OR(AA745="R",AA745="NX",AA745="NT",AA745="CO"),OR('JOINTS DE RÉPARATION'!$D$5="TOUTES",B745='JOINTS DE RÉPARATION'!$D$5),OR('JOINTS DE RÉPARATION'!$L$4="TOUS",AQ745&lt;&gt;"ACCEPTÉ")),1,0)</f>
        <v>0</v>
      </c>
      <c r="AV745" s="82" t="str">
        <f aca="false">IF(AU745=1,SUM(AU$7:AU745),"")</f>
        <v/>
      </c>
      <c r="AW745" s="82" t="str">
        <f aca="false">IF(E745="","",B745&amp;"|"&amp;E745)</f>
        <v>MFD-ISW → MFD-CPF|JN°739</v>
      </c>
    </row>
    <row r="746" customFormat="false" ht="74.6" hidden="false" customHeight="false" outlineLevel="0" collapsed="false">
      <c r="A746" s="79" t="n">
        <f aca="false">IF(E746="","",ROW()-6)</f>
        <v>740</v>
      </c>
      <c r="B746" s="80" t="s">
        <v>110</v>
      </c>
      <c r="C746" s="81"/>
      <c r="D746" s="81"/>
      <c r="E746" s="81" t="s">
        <v>850</v>
      </c>
      <c r="F746" s="82" t="str">
        <f aca="false">IF(E746="","",IF(LEFT(E746,2)="DJ","DJ","JN"))</f>
        <v>JN</v>
      </c>
      <c r="G746" s="81"/>
      <c r="H746" s="81"/>
      <c r="I746" s="81"/>
      <c r="J746" s="81"/>
      <c r="K746" s="81"/>
      <c r="L746" s="81"/>
      <c r="M746" s="81"/>
      <c r="N746" s="81"/>
      <c r="O746" s="81"/>
      <c r="P746" s="81"/>
      <c r="Q746" s="81"/>
      <c r="R746" s="81"/>
      <c r="S746" s="81"/>
      <c r="T746" s="81"/>
      <c r="U746" s="83"/>
      <c r="V746" s="83"/>
      <c r="W746" s="81"/>
      <c r="X746" s="81"/>
      <c r="Y746" s="83"/>
      <c r="Z746" s="81"/>
      <c r="AA746" s="81"/>
      <c r="AB746" s="81"/>
      <c r="AC746" s="81"/>
      <c r="AD746" s="81"/>
      <c r="AE746" s="83"/>
      <c r="AF746" s="81"/>
      <c r="AG746" s="81"/>
      <c r="AH746" s="81"/>
      <c r="AI746" s="81"/>
      <c r="AJ746" s="83"/>
      <c r="AK746" s="81"/>
      <c r="AL746" s="81"/>
      <c r="AM746" s="83"/>
      <c r="AN746" s="80"/>
      <c r="AO746" s="82" t="n">
        <f aca="false">IF(E746="","",(AA746&lt;&gt;"")+(AG746&lt;&gt;"")+(AL746&lt;&gt;""))</f>
        <v>0</v>
      </c>
      <c r="AP746" s="82" t="str">
        <f aca="false">IF(AL746&lt;&gt;"",AL746,IF(AG746&lt;&gt;"",AG746,IF(AA746&lt;&gt;"",AA746,"")))</f>
        <v/>
      </c>
      <c r="AQ746" s="84" t="str">
        <f aca="false">IF(E746="","",IF(U746="","À SOUDER",IF(X746="","VT EN ATTENTE",IF(X746="R","VT REJETÉ – À REPRENDRE",IF(AP746="","À RADIOGRAPHIER",IF(AP746="A","ACCEPTÉ",IF(AP746="NX","NX – RT À REFAIRE",IF(IF(AO746=1,AD746,IF(AO746=2,AI746,""))="A","RÉPARÉ – À RADIOGRAPHIER",IF(IF(AO746=1,AD746,IF(AO746=2,AI746,""))="R","VT REJETÉ – À REPRENDRE",IF(OR(AP746="CO",AP746="NT"),"COUPE – À RESOUDER","À RÉPARER"))))))))))</f>
        <v>À SOUDER</v>
      </c>
      <c r="AR746" s="82" t="str">
        <f aca="false">IF(AND(ISNUMBER(U746),OR(AQ746="À RADIOGRAPHIER",AQ746="RÉPARÉ – À RADIOGRAPHIER",AQ746="NX – RT À REFAIRE",AQ746="À RÉPARER",AQ746="COUPE – À RESOUDER",AQ746="VT REJETÉ – À REPRENDRE")),MAX(0,'PROGRAMME RT'!$C$4-U746),"")</f>
        <v/>
      </c>
      <c r="AS746" s="82" t="n">
        <f aca="false">IF(AND(OR(AQ746="À RADIOGRAPHIER",AQ746="RÉPARÉ – À RADIOGRAPHIER",AQ746="NX – RT À REFAIRE"),OR('PROGRAMME RT'!$D$5="TOUTES",B746='PROGRAMME RT'!$D$5)),1,0)</f>
        <v>0</v>
      </c>
      <c r="AT746" s="82" t="str">
        <f aca="false">IF(AS746=1,SUM(AS$7:AS746),"")</f>
        <v/>
      </c>
      <c r="AU746" s="82" t="n">
        <f aca="false">IF(AND(OR(AA746="R",AA746="NX",AA746="NT",AA746="CO"),OR('JOINTS DE RÉPARATION'!$D$5="TOUTES",B746='JOINTS DE RÉPARATION'!$D$5),OR('JOINTS DE RÉPARATION'!$L$4="TOUS",AQ746&lt;&gt;"ACCEPTÉ")),1,0)</f>
        <v>0</v>
      </c>
      <c r="AV746" s="82" t="str">
        <f aca="false">IF(AU746=1,SUM(AU$7:AU746),"")</f>
        <v/>
      </c>
      <c r="AW746" s="82" t="str">
        <f aca="false">IF(E746="","",B746&amp;"|"&amp;E746)</f>
        <v>MFD-ISW → MFD-CPF|JN°740</v>
      </c>
    </row>
    <row r="747" customFormat="false" ht="74.6" hidden="false" customHeight="false" outlineLevel="0" collapsed="false">
      <c r="A747" s="79" t="n">
        <f aca="false">IF(E747="","",ROW()-6)</f>
        <v>741</v>
      </c>
      <c r="B747" s="80" t="s">
        <v>110</v>
      </c>
      <c r="C747" s="81"/>
      <c r="D747" s="81"/>
      <c r="E747" s="81" t="s">
        <v>851</v>
      </c>
      <c r="F747" s="82" t="str">
        <f aca="false">IF(E747="","",IF(LEFT(E747,2)="DJ","DJ","JN"))</f>
        <v>JN</v>
      </c>
      <c r="G747" s="81"/>
      <c r="H747" s="81"/>
      <c r="I747" s="81"/>
      <c r="J747" s="81"/>
      <c r="K747" s="81"/>
      <c r="L747" s="81"/>
      <c r="M747" s="81"/>
      <c r="N747" s="81"/>
      <c r="O747" s="81"/>
      <c r="P747" s="81"/>
      <c r="Q747" s="81"/>
      <c r="R747" s="81"/>
      <c r="S747" s="81"/>
      <c r="T747" s="81"/>
      <c r="U747" s="83"/>
      <c r="V747" s="83"/>
      <c r="W747" s="81"/>
      <c r="X747" s="81"/>
      <c r="Y747" s="83"/>
      <c r="Z747" s="81"/>
      <c r="AA747" s="81"/>
      <c r="AB747" s="81"/>
      <c r="AC747" s="81"/>
      <c r="AD747" s="81"/>
      <c r="AE747" s="83"/>
      <c r="AF747" s="81"/>
      <c r="AG747" s="81"/>
      <c r="AH747" s="81"/>
      <c r="AI747" s="81"/>
      <c r="AJ747" s="83"/>
      <c r="AK747" s="81"/>
      <c r="AL747" s="81"/>
      <c r="AM747" s="83"/>
      <c r="AN747" s="80"/>
      <c r="AO747" s="82" t="n">
        <f aca="false">IF(E747="","",(AA747&lt;&gt;"")+(AG747&lt;&gt;"")+(AL747&lt;&gt;""))</f>
        <v>0</v>
      </c>
      <c r="AP747" s="82" t="str">
        <f aca="false">IF(AL747&lt;&gt;"",AL747,IF(AG747&lt;&gt;"",AG747,IF(AA747&lt;&gt;"",AA747,"")))</f>
        <v/>
      </c>
      <c r="AQ747" s="84" t="str">
        <f aca="false">IF(E747="","",IF(U747="","À SOUDER",IF(X747="","VT EN ATTENTE",IF(X747="R","VT REJETÉ – À REPRENDRE",IF(AP747="","À RADIOGRAPHIER",IF(AP747="A","ACCEPTÉ",IF(AP747="NX","NX – RT À REFAIRE",IF(IF(AO747=1,AD747,IF(AO747=2,AI747,""))="A","RÉPARÉ – À RADIOGRAPHIER",IF(IF(AO747=1,AD747,IF(AO747=2,AI747,""))="R","VT REJETÉ – À REPRENDRE",IF(OR(AP747="CO",AP747="NT"),"COUPE – À RESOUDER","À RÉPARER"))))))))))</f>
        <v>À SOUDER</v>
      </c>
      <c r="AR747" s="82" t="str">
        <f aca="false">IF(AND(ISNUMBER(U747),OR(AQ747="À RADIOGRAPHIER",AQ747="RÉPARÉ – À RADIOGRAPHIER",AQ747="NX – RT À REFAIRE",AQ747="À RÉPARER",AQ747="COUPE – À RESOUDER",AQ747="VT REJETÉ – À REPRENDRE")),MAX(0,'PROGRAMME RT'!$C$4-U747),"")</f>
        <v/>
      </c>
      <c r="AS747" s="82" t="n">
        <f aca="false">IF(AND(OR(AQ747="À RADIOGRAPHIER",AQ747="RÉPARÉ – À RADIOGRAPHIER",AQ747="NX – RT À REFAIRE"),OR('PROGRAMME RT'!$D$5="TOUTES",B747='PROGRAMME RT'!$D$5)),1,0)</f>
        <v>0</v>
      </c>
      <c r="AT747" s="82" t="str">
        <f aca="false">IF(AS747=1,SUM(AS$7:AS747),"")</f>
        <v/>
      </c>
      <c r="AU747" s="82" t="n">
        <f aca="false">IF(AND(OR(AA747="R",AA747="NX",AA747="NT",AA747="CO"),OR('JOINTS DE RÉPARATION'!$D$5="TOUTES",B747='JOINTS DE RÉPARATION'!$D$5),OR('JOINTS DE RÉPARATION'!$L$4="TOUS",AQ747&lt;&gt;"ACCEPTÉ")),1,0)</f>
        <v>0</v>
      </c>
      <c r="AV747" s="82" t="str">
        <f aca="false">IF(AU747=1,SUM(AU$7:AU747),"")</f>
        <v/>
      </c>
      <c r="AW747" s="82" t="str">
        <f aca="false">IF(E747="","",B747&amp;"|"&amp;E747)</f>
        <v>MFD-ISW → MFD-CPF|JN°741</v>
      </c>
    </row>
    <row r="748" customFormat="false" ht="74.6" hidden="false" customHeight="false" outlineLevel="0" collapsed="false">
      <c r="A748" s="79" t="n">
        <f aca="false">IF(E748="","",ROW()-6)</f>
        <v>742</v>
      </c>
      <c r="B748" s="80" t="s">
        <v>110</v>
      </c>
      <c r="C748" s="81"/>
      <c r="D748" s="81"/>
      <c r="E748" s="81" t="s">
        <v>852</v>
      </c>
      <c r="F748" s="82" t="str">
        <f aca="false">IF(E748="","",IF(LEFT(E748,2)="DJ","DJ","JN"))</f>
        <v>JN</v>
      </c>
      <c r="G748" s="81"/>
      <c r="H748" s="81"/>
      <c r="I748" s="81"/>
      <c r="J748" s="81"/>
      <c r="K748" s="81"/>
      <c r="L748" s="81"/>
      <c r="M748" s="81"/>
      <c r="N748" s="81"/>
      <c r="O748" s="81"/>
      <c r="P748" s="81"/>
      <c r="Q748" s="81"/>
      <c r="R748" s="81"/>
      <c r="S748" s="81"/>
      <c r="T748" s="81"/>
      <c r="U748" s="83"/>
      <c r="V748" s="83"/>
      <c r="W748" s="81"/>
      <c r="X748" s="81"/>
      <c r="Y748" s="83"/>
      <c r="Z748" s="81"/>
      <c r="AA748" s="81"/>
      <c r="AB748" s="81"/>
      <c r="AC748" s="81"/>
      <c r="AD748" s="81"/>
      <c r="AE748" s="83"/>
      <c r="AF748" s="81"/>
      <c r="AG748" s="81"/>
      <c r="AH748" s="81"/>
      <c r="AI748" s="81"/>
      <c r="AJ748" s="83"/>
      <c r="AK748" s="81"/>
      <c r="AL748" s="81"/>
      <c r="AM748" s="83"/>
      <c r="AN748" s="80"/>
      <c r="AO748" s="82" t="n">
        <f aca="false">IF(E748="","",(AA748&lt;&gt;"")+(AG748&lt;&gt;"")+(AL748&lt;&gt;""))</f>
        <v>0</v>
      </c>
      <c r="AP748" s="82" t="str">
        <f aca="false">IF(AL748&lt;&gt;"",AL748,IF(AG748&lt;&gt;"",AG748,IF(AA748&lt;&gt;"",AA748,"")))</f>
        <v/>
      </c>
      <c r="AQ748" s="84" t="str">
        <f aca="false">IF(E748="","",IF(U748="","À SOUDER",IF(X748="","VT EN ATTENTE",IF(X748="R","VT REJETÉ – À REPRENDRE",IF(AP748="","À RADIOGRAPHIER",IF(AP748="A","ACCEPTÉ",IF(AP748="NX","NX – RT À REFAIRE",IF(IF(AO748=1,AD748,IF(AO748=2,AI748,""))="A","RÉPARÉ – À RADIOGRAPHIER",IF(IF(AO748=1,AD748,IF(AO748=2,AI748,""))="R","VT REJETÉ – À REPRENDRE",IF(OR(AP748="CO",AP748="NT"),"COUPE – À RESOUDER","À RÉPARER"))))))))))</f>
        <v>À SOUDER</v>
      </c>
      <c r="AR748" s="82" t="str">
        <f aca="false">IF(AND(ISNUMBER(U748),OR(AQ748="À RADIOGRAPHIER",AQ748="RÉPARÉ – À RADIOGRAPHIER",AQ748="NX – RT À REFAIRE",AQ748="À RÉPARER",AQ748="COUPE – À RESOUDER",AQ748="VT REJETÉ – À REPRENDRE")),MAX(0,'PROGRAMME RT'!$C$4-U748),"")</f>
        <v/>
      </c>
      <c r="AS748" s="82" t="n">
        <f aca="false">IF(AND(OR(AQ748="À RADIOGRAPHIER",AQ748="RÉPARÉ – À RADIOGRAPHIER",AQ748="NX – RT À REFAIRE"),OR('PROGRAMME RT'!$D$5="TOUTES",B748='PROGRAMME RT'!$D$5)),1,0)</f>
        <v>0</v>
      </c>
      <c r="AT748" s="82" t="str">
        <f aca="false">IF(AS748=1,SUM(AS$7:AS748),"")</f>
        <v/>
      </c>
      <c r="AU748" s="82" t="n">
        <f aca="false">IF(AND(OR(AA748="R",AA748="NX",AA748="NT",AA748="CO"),OR('JOINTS DE RÉPARATION'!$D$5="TOUTES",B748='JOINTS DE RÉPARATION'!$D$5),OR('JOINTS DE RÉPARATION'!$L$4="TOUS",AQ748&lt;&gt;"ACCEPTÉ")),1,0)</f>
        <v>0</v>
      </c>
      <c r="AV748" s="82" t="str">
        <f aca="false">IF(AU748=1,SUM(AU$7:AU748),"")</f>
        <v/>
      </c>
      <c r="AW748" s="82" t="str">
        <f aca="false">IF(E748="","",B748&amp;"|"&amp;E748)</f>
        <v>MFD-ISW → MFD-CPF|JN°742</v>
      </c>
    </row>
    <row r="749" customFormat="false" ht="74.6" hidden="false" customHeight="false" outlineLevel="0" collapsed="false">
      <c r="A749" s="79" t="n">
        <f aca="false">IF(E749="","",ROW()-6)</f>
        <v>743</v>
      </c>
      <c r="B749" s="80" t="s">
        <v>110</v>
      </c>
      <c r="C749" s="81"/>
      <c r="D749" s="81"/>
      <c r="E749" s="81" t="s">
        <v>853</v>
      </c>
      <c r="F749" s="82" t="str">
        <f aca="false">IF(E749="","",IF(LEFT(E749,2)="DJ","DJ","JN"))</f>
        <v>JN</v>
      </c>
      <c r="G749" s="81"/>
      <c r="H749" s="81"/>
      <c r="I749" s="81"/>
      <c r="J749" s="81"/>
      <c r="K749" s="81"/>
      <c r="L749" s="81"/>
      <c r="M749" s="81"/>
      <c r="N749" s="81"/>
      <c r="O749" s="81"/>
      <c r="P749" s="81"/>
      <c r="Q749" s="81"/>
      <c r="R749" s="81"/>
      <c r="S749" s="81"/>
      <c r="T749" s="81"/>
      <c r="U749" s="83"/>
      <c r="V749" s="83"/>
      <c r="W749" s="81"/>
      <c r="X749" s="81"/>
      <c r="Y749" s="83"/>
      <c r="Z749" s="81"/>
      <c r="AA749" s="81"/>
      <c r="AB749" s="81"/>
      <c r="AC749" s="81"/>
      <c r="AD749" s="81"/>
      <c r="AE749" s="83"/>
      <c r="AF749" s="81"/>
      <c r="AG749" s="81"/>
      <c r="AH749" s="81"/>
      <c r="AI749" s="81"/>
      <c r="AJ749" s="83"/>
      <c r="AK749" s="81"/>
      <c r="AL749" s="81"/>
      <c r="AM749" s="83"/>
      <c r="AN749" s="80"/>
      <c r="AO749" s="82" t="n">
        <f aca="false">IF(E749="","",(AA749&lt;&gt;"")+(AG749&lt;&gt;"")+(AL749&lt;&gt;""))</f>
        <v>0</v>
      </c>
      <c r="AP749" s="82" t="str">
        <f aca="false">IF(AL749&lt;&gt;"",AL749,IF(AG749&lt;&gt;"",AG749,IF(AA749&lt;&gt;"",AA749,"")))</f>
        <v/>
      </c>
      <c r="AQ749" s="84" t="str">
        <f aca="false">IF(E749="","",IF(U749="","À SOUDER",IF(X749="","VT EN ATTENTE",IF(X749="R","VT REJETÉ – À REPRENDRE",IF(AP749="","À RADIOGRAPHIER",IF(AP749="A","ACCEPTÉ",IF(AP749="NX","NX – RT À REFAIRE",IF(IF(AO749=1,AD749,IF(AO749=2,AI749,""))="A","RÉPARÉ – À RADIOGRAPHIER",IF(IF(AO749=1,AD749,IF(AO749=2,AI749,""))="R","VT REJETÉ – À REPRENDRE",IF(OR(AP749="CO",AP749="NT"),"COUPE – À RESOUDER","À RÉPARER"))))))))))</f>
        <v>À SOUDER</v>
      </c>
      <c r="AR749" s="82" t="str">
        <f aca="false">IF(AND(ISNUMBER(U749),OR(AQ749="À RADIOGRAPHIER",AQ749="RÉPARÉ – À RADIOGRAPHIER",AQ749="NX – RT À REFAIRE",AQ749="À RÉPARER",AQ749="COUPE – À RESOUDER",AQ749="VT REJETÉ – À REPRENDRE")),MAX(0,'PROGRAMME RT'!$C$4-U749),"")</f>
        <v/>
      </c>
      <c r="AS749" s="82" t="n">
        <f aca="false">IF(AND(OR(AQ749="À RADIOGRAPHIER",AQ749="RÉPARÉ – À RADIOGRAPHIER",AQ749="NX – RT À REFAIRE"),OR('PROGRAMME RT'!$D$5="TOUTES",B749='PROGRAMME RT'!$D$5)),1,0)</f>
        <v>0</v>
      </c>
      <c r="AT749" s="82" t="str">
        <f aca="false">IF(AS749=1,SUM(AS$7:AS749),"")</f>
        <v/>
      </c>
      <c r="AU749" s="82" t="n">
        <f aca="false">IF(AND(OR(AA749="R",AA749="NX",AA749="NT",AA749="CO"),OR('JOINTS DE RÉPARATION'!$D$5="TOUTES",B749='JOINTS DE RÉPARATION'!$D$5),OR('JOINTS DE RÉPARATION'!$L$4="TOUS",AQ749&lt;&gt;"ACCEPTÉ")),1,0)</f>
        <v>0</v>
      </c>
      <c r="AV749" s="82" t="str">
        <f aca="false">IF(AU749=1,SUM(AU$7:AU749),"")</f>
        <v/>
      </c>
      <c r="AW749" s="82" t="str">
        <f aca="false">IF(E749="","",B749&amp;"|"&amp;E749)</f>
        <v>MFD-ISW → MFD-CPF|JN°743</v>
      </c>
    </row>
    <row r="750" customFormat="false" ht="74.6" hidden="false" customHeight="false" outlineLevel="0" collapsed="false">
      <c r="A750" s="79" t="n">
        <f aca="false">IF(E750="","",ROW()-6)</f>
        <v>744</v>
      </c>
      <c r="B750" s="80" t="s">
        <v>110</v>
      </c>
      <c r="C750" s="81"/>
      <c r="D750" s="81"/>
      <c r="E750" s="81" t="s">
        <v>854</v>
      </c>
      <c r="F750" s="82" t="str">
        <f aca="false">IF(E750="","",IF(LEFT(E750,2)="DJ","DJ","JN"))</f>
        <v>JN</v>
      </c>
      <c r="G750" s="81"/>
      <c r="H750" s="81"/>
      <c r="I750" s="81"/>
      <c r="J750" s="81"/>
      <c r="K750" s="81"/>
      <c r="L750" s="81"/>
      <c r="M750" s="81"/>
      <c r="N750" s="81"/>
      <c r="O750" s="81"/>
      <c r="P750" s="81"/>
      <c r="Q750" s="81"/>
      <c r="R750" s="81"/>
      <c r="S750" s="81"/>
      <c r="T750" s="81"/>
      <c r="U750" s="83"/>
      <c r="V750" s="83"/>
      <c r="W750" s="81"/>
      <c r="X750" s="81"/>
      <c r="Y750" s="83"/>
      <c r="Z750" s="81"/>
      <c r="AA750" s="81"/>
      <c r="AB750" s="81"/>
      <c r="AC750" s="81"/>
      <c r="AD750" s="81"/>
      <c r="AE750" s="83"/>
      <c r="AF750" s="81"/>
      <c r="AG750" s="81"/>
      <c r="AH750" s="81"/>
      <c r="AI750" s="81"/>
      <c r="AJ750" s="83"/>
      <c r="AK750" s="81"/>
      <c r="AL750" s="81"/>
      <c r="AM750" s="83"/>
      <c r="AN750" s="80"/>
      <c r="AO750" s="82" t="n">
        <f aca="false">IF(E750="","",(AA750&lt;&gt;"")+(AG750&lt;&gt;"")+(AL750&lt;&gt;""))</f>
        <v>0</v>
      </c>
      <c r="AP750" s="82" t="str">
        <f aca="false">IF(AL750&lt;&gt;"",AL750,IF(AG750&lt;&gt;"",AG750,IF(AA750&lt;&gt;"",AA750,"")))</f>
        <v/>
      </c>
      <c r="AQ750" s="84" t="str">
        <f aca="false">IF(E750="","",IF(U750="","À SOUDER",IF(X750="","VT EN ATTENTE",IF(X750="R","VT REJETÉ – À REPRENDRE",IF(AP750="","À RADIOGRAPHIER",IF(AP750="A","ACCEPTÉ",IF(AP750="NX","NX – RT À REFAIRE",IF(IF(AO750=1,AD750,IF(AO750=2,AI750,""))="A","RÉPARÉ – À RADIOGRAPHIER",IF(IF(AO750=1,AD750,IF(AO750=2,AI750,""))="R","VT REJETÉ – À REPRENDRE",IF(OR(AP750="CO",AP750="NT"),"COUPE – À RESOUDER","À RÉPARER"))))))))))</f>
        <v>À SOUDER</v>
      </c>
      <c r="AR750" s="82" t="str">
        <f aca="false">IF(AND(ISNUMBER(U750),OR(AQ750="À RADIOGRAPHIER",AQ750="RÉPARÉ – À RADIOGRAPHIER",AQ750="NX – RT À REFAIRE",AQ750="À RÉPARER",AQ750="COUPE – À RESOUDER",AQ750="VT REJETÉ – À REPRENDRE")),MAX(0,'PROGRAMME RT'!$C$4-U750),"")</f>
        <v/>
      </c>
      <c r="AS750" s="82" t="n">
        <f aca="false">IF(AND(OR(AQ750="À RADIOGRAPHIER",AQ750="RÉPARÉ – À RADIOGRAPHIER",AQ750="NX – RT À REFAIRE"),OR('PROGRAMME RT'!$D$5="TOUTES",B750='PROGRAMME RT'!$D$5)),1,0)</f>
        <v>0</v>
      </c>
      <c r="AT750" s="82" t="str">
        <f aca="false">IF(AS750=1,SUM(AS$7:AS750),"")</f>
        <v/>
      </c>
      <c r="AU750" s="82" t="n">
        <f aca="false">IF(AND(OR(AA750="R",AA750="NX",AA750="NT",AA750="CO"),OR('JOINTS DE RÉPARATION'!$D$5="TOUTES",B750='JOINTS DE RÉPARATION'!$D$5),OR('JOINTS DE RÉPARATION'!$L$4="TOUS",AQ750&lt;&gt;"ACCEPTÉ")),1,0)</f>
        <v>0</v>
      </c>
      <c r="AV750" s="82" t="str">
        <f aca="false">IF(AU750=1,SUM(AU$7:AU750),"")</f>
        <v/>
      </c>
      <c r="AW750" s="82" t="str">
        <f aca="false">IF(E750="","",B750&amp;"|"&amp;E750)</f>
        <v>MFD-ISW → MFD-CPF|JN°744</v>
      </c>
    </row>
    <row r="751" customFormat="false" ht="74.6" hidden="false" customHeight="false" outlineLevel="0" collapsed="false">
      <c r="A751" s="79" t="n">
        <f aca="false">IF(E751="","",ROW()-6)</f>
        <v>745</v>
      </c>
      <c r="B751" s="80" t="s">
        <v>110</v>
      </c>
      <c r="C751" s="81"/>
      <c r="D751" s="81"/>
      <c r="E751" s="81" t="s">
        <v>855</v>
      </c>
      <c r="F751" s="82" t="str">
        <f aca="false">IF(E751="","",IF(LEFT(E751,2)="DJ","DJ","JN"))</f>
        <v>JN</v>
      </c>
      <c r="G751" s="81"/>
      <c r="H751" s="81"/>
      <c r="I751" s="81"/>
      <c r="J751" s="81"/>
      <c r="K751" s="81"/>
      <c r="L751" s="81"/>
      <c r="M751" s="81"/>
      <c r="N751" s="81"/>
      <c r="O751" s="81"/>
      <c r="P751" s="81"/>
      <c r="Q751" s="81"/>
      <c r="R751" s="81"/>
      <c r="S751" s="81"/>
      <c r="T751" s="81"/>
      <c r="U751" s="83"/>
      <c r="V751" s="83"/>
      <c r="W751" s="81"/>
      <c r="X751" s="81"/>
      <c r="Y751" s="83"/>
      <c r="Z751" s="81"/>
      <c r="AA751" s="81"/>
      <c r="AB751" s="81"/>
      <c r="AC751" s="81"/>
      <c r="AD751" s="81"/>
      <c r="AE751" s="83"/>
      <c r="AF751" s="81"/>
      <c r="AG751" s="81"/>
      <c r="AH751" s="81"/>
      <c r="AI751" s="81"/>
      <c r="AJ751" s="83"/>
      <c r="AK751" s="81"/>
      <c r="AL751" s="81"/>
      <c r="AM751" s="83"/>
      <c r="AN751" s="80"/>
      <c r="AO751" s="82" t="n">
        <f aca="false">IF(E751="","",(AA751&lt;&gt;"")+(AG751&lt;&gt;"")+(AL751&lt;&gt;""))</f>
        <v>0</v>
      </c>
      <c r="AP751" s="82" t="str">
        <f aca="false">IF(AL751&lt;&gt;"",AL751,IF(AG751&lt;&gt;"",AG751,IF(AA751&lt;&gt;"",AA751,"")))</f>
        <v/>
      </c>
      <c r="AQ751" s="84" t="str">
        <f aca="false">IF(E751="","",IF(U751="","À SOUDER",IF(X751="","VT EN ATTENTE",IF(X751="R","VT REJETÉ – À REPRENDRE",IF(AP751="","À RADIOGRAPHIER",IF(AP751="A","ACCEPTÉ",IF(AP751="NX","NX – RT À REFAIRE",IF(IF(AO751=1,AD751,IF(AO751=2,AI751,""))="A","RÉPARÉ – À RADIOGRAPHIER",IF(IF(AO751=1,AD751,IF(AO751=2,AI751,""))="R","VT REJETÉ – À REPRENDRE",IF(OR(AP751="CO",AP751="NT"),"COUPE – À RESOUDER","À RÉPARER"))))))))))</f>
        <v>À SOUDER</v>
      </c>
      <c r="AR751" s="82" t="str">
        <f aca="false">IF(AND(ISNUMBER(U751),OR(AQ751="À RADIOGRAPHIER",AQ751="RÉPARÉ – À RADIOGRAPHIER",AQ751="NX – RT À REFAIRE",AQ751="À RÉPARER",AQ751="COUPE – À RESOUDER",AQ751="VT REJETÉ – À REPRENDRE")),MAX(0,'PROGRAMME RT'!$C$4-U751),"")</f>
        <v/>
      </c>
      <c r="AS751" s="82" t="n">
        <f aca="false">IF(AND(OR(AQ751="À RADIOGRAPHIER",AQ751="RÉPARÉ – À RADIOGRAPHIER",AQ751="NX – RT À REFAIRE"),OR('PROGRAMME RT'!$D$5="TOUTES",B751='PROGRAMME RT'!$D$5)),1,0)</f>
        <v>0</v>
      </c>
      <c r="AT751" s="82" t="str">
        <f aca="false">IF(AS751=1,SUM(AS$7:AS751),"")</f>
        <v/>
      </c>
      <c r="AU751" s="82" t="n">
        <f aca="false">IF(AND(OR(AA751="R",AA751="NX",AA751="NT",AA751="CO"),OR('JOINTS DE RÉPARATION'!$D$5="TOUTES",B751='JOINTS DE RÉPARATION'!$D$5),OR('JOINTS DE RÉPARATION'!$L$4="TOUS",AQ751&lt;&gt;"ACCEPTÉ")),1,0)</f>
        <v>0</v>
      </c>
      <c r="AV751" s="82" t="str">
        <f aca="false">IF(AU751=1,SUM(AU$7:AU751),"")</f>
        <v/>
      </c>
      <c r="AW751" s="82" t="str">
        <f aca="false">IF(E751="","",B751&amp;"|"&amp;E751)</f>
        <v>MFD-ISW → MFD-CPF|JN°745</v>
      </c>
    </row>
    <row r="752" customFormat="false" ht="74.6" hidden="false" customHeight="false" outlineLevel="0" collapsed="false">
      <c r="A752" s="79" t="n">
        <f aca="false">IF(E752="","",ROW()-6)</f>
        <v>746</v>
      </c>
      <c r="B752" s="80" t="s">
        <v>110</v>
      </c>
      <c r="C752" s="81"/>
      <c r="D752" s="81"/>
      <c r="E752" s="81" t="s">
        <v>856</v>
      </c>
      <c r="F752" s="82" t="str">
        <f aca="false">IF(E752="","",IF(LEFT(E752,2)="DJ","DJ","JN"))</f>
        <v>JN</v>
      </c>
      <c r="G752" s="81"/>
      <c r="H752" s="81"/>
      <c r="I752" s="81"/>
      <c r="J752" s="81"/>
      <c r="K752" s="81"/>
      <c r="L752" s="81"/>
      <c r="M752" s="81"/>
      <c r="N752" s="81"/>
      <c r="O752" s="81"/>
      <c r="P752" s="81"/>
      <c r="Q752" s="81"/>
      <c r="R752" s="81"/>
      <c r="S752" s="81"/>
      <c r="T752" s="81"/>
      <c r="U752" s="83"/>
      <c r="V752" s="83"/>
      <c r="W752" s="81"/>
      <c r="X752" s="81"/>
      <c r="Y752" s="83"/>
      <c r="Z752" s="81"/>
      <c r="AA752" s="81"/>
      <c r="AB752" s="81"/>
      <c r="AC752" s="81"/>
      <c r="AD752" s="81"/>
      <c r="AE752" s="83"/>
      <c r="AF752" s="81"/>
      <c r="AG752" s="81"/>
      <c r="AH752" s="81"/>
      <c r="AI752" s="81"/>
      <c r="AJ752" s="83"/>
      <c r="AK752" s="81"/>
      <c r="AL752" s="81"/>
      <c r="AM752" s="83"/>
      <c r="AN752" s="80"/>
      <c r="AO752" s="82" t="n">
        <f aca="false">IF(E752="","",(AA752&lt;&gt;"")+(AG752&lt;&gt;"")+(AL752&lt;&gt;""))</f>
        <v>0</v>
      </c>
      <c r="AP752" s="82" t="str">
        <f aca="false">IF(AL752&lt;&gt;"",AL752,IF(AG752&lt;&gt;"",AG752,IF(AA752&lt;&gt;"",AA752,"")))</f>
        <v/>
      </c>
      <c r="AQ752" s="84" t="str">
        <f aca="false">IF(E752="","",IF(U752="","À SOUDER",IF(X752="","VT EN ATTENTE",IF(X752="R","VT REJETÉ – À REPRENDRE",IF(AP752="","À RADIOGRAPHIER",IF(AP752="A","ACCEPTÉ",IF(AP752="NX","NX – RT À REFAIRE",IF(IF(AO752=1,AD752,IF(AO752=2,AI752,""))="A","RÉPARÉ – À RADIOGRAPHIER",IF(IF(AO752=1,AD752,IF(AO752=2,AI752,""))="R","VT REJETÉ – À REPRENDRE",IF(OR(AP752="CO",AP752="NT"),"COUPE – À RESOUDER","À RÉPARER"))))))))))</f>
        <v>À SOUDER</v>
      </c>
      <c r="AR752" s="82" t="str">
        <f aca="false">IF(AND(ISNUMBER(U752),OR(AQ752="À RADIOGRAPHIER",AQ752="RÉPARÉ – À RADIOGRAPHIER",AQ752="NX – RT À REFAIRE",AQ752="À RÉPARER",AQ752="COUPE – À RESOUDER",AQ752="VT REJETÉ – À REPRENDRE")),MAX(0,'PROGRAMME RT'!$C$4-U752),"")</f>
        <v/>
      </c>
      <c r="AS752" s="82" t="n">
        <f aca="false">IF(AND(OR(AQ752="À RADIOGRAPHIER",AQ752="RÉPARÉ – À RADIOGRAPHIER",AQ752="NX – RT À REFAIRE"),OR('PROGRAMME RT'!$D$5="TOUTES",B752='PROGRAMME RT'!$D$5)),1,0)</f>
        <v>0</v>
      </c>
      <c r="AT752" s="82" t="str">
        <f aca="false">IF(AS752=1,SUM(AS$7:AS752),"")</f>
        <v/>
      </c>
      <c r="AU752" s="82" t="n">
        <f aca="false">IF(AND(OR(AA752="R",AA752="NX",AA752="NT",AA752="CO"),OR('JOINTS DE RÉPARATION'!$D$5="TOUTES",B752='JOINTS DE RÉPARATION'!$D$5),OR('JOINTS DE RÉPARATION'!$L$4="TOUS",AQ752&lt;&gt;"ACCEPTÉ")),1,0)</f>
        <v>0</v>
      </c>
      <c r="AV752" s="82" t="str">
        <f aca="false">IF(AU752=1,SUM(AU$7:AU752),"")</f>
        <v/>
      </c>
      <c r="AW752" s="82" t="str">
        <f aca="false">IF(E752="","",B752&amp;"|"&amp;E752)</f>
        <v>MFD-ISW → MFD-CPF|JN°746</v>
      </c>
    </row>
    <row r="753" customFormat="false" ht="74.6" hidden="false" customHeight="false" outlineLevel="0" collapsed="false">
      <c r="A753" s="79" t="n">
        <f aca="false">IF(E753="","",ROW()-6)</f>
        <v>747</v>
      </c>
      <c r="B753" s="80" t="s">
        <v>110</v>
      </c>
      <c r="C753" s="81"/>
      <c r="D753" s="81"/>
      <c r="E753" s="81" t="s">
        <v>857</v>
      </c>
      <c r="F753" s="82" t="str">
        <f aca="false">IF(E753="","",IF(LEFT(E753,2)="DJ","DJ","JN"))</f>
        <v>JN</v>
      </c>
      <c r="G753" s="81"/>
      <c r="H753" s="81"/>
      <c r="I753" s="81"/>
      <c r="J753" s="81"/>
      <c r="K753" s="81"/>
      <c r="L753" s="81"/>
      <c r="M753" s="81"/>
      <c r="N753" s="81"/>
      <c r="O753" s="81"/>
      <c r="P753" s="81"/>
      <c r="Q753" s="81"/>
      <c r="R753" s="81"/>
      <c r="S753" s="81"/>
      <c r="T753" s="81"/>
      <c r="U753" s="83"/>
      <c r="V753" s="83"/>
      <c r="W753" s="81"/>
      <c r="X753" s="81"/>
      <c r="Y753" s="83"/>
      <c r="Z753" s="81"/>
      <c r="AA753" s="81"/>
      <c r="AB753" s="81"/>
      <c r="AC753" s="81"/>
      <c r="AD753" s="81"/>
      <c r="AE753" s="83"/>
      <c r="AF753" s="81"/>
      <c r="AG753" s="81"/>
      <c r="AH753" s="81"/>
      <c r="AI753" s="81"/>
      <c r="AJ753" s="83"/>
      <c r="AK753" s="81"/>
      <c r="AL753" s="81"/>
      <c r="AM753" s="83"/>
      <c r="AN753" s="80"/>
      <c r="AO753" s="82" t="n">
        <f aca="false">IF(E753="","",(AA753&lt;&gt;"")+(AG753&lt;&gt;"")+(AL753&lt;&gt;""))</f>
        <v>0</v>
      </c>
      <c r="AP753" s="82" t="str">
        <f aca="false">IF(AL753&lt;&gt;"",AL753,IF(AG753&lt;&gt;"",AG753,IF(AA753&lt;&gt;"",AA753,"")))</f>
        <v/>
      </c>
      <c r="AQ753" s="84" t="str">
        <f aca="false">IF(E753="","",IF(U753="","À SOUDER",IF(X753="","VT EN ATTENTE",IF(X753="R","VT REJETÉ – À REPRENDRE",IF(AP753="","À RADIOGRAPHIER",IF(AP753="A","ACCEPTÉ",IF(AP753="NX","NX – RT À REFAIRE",IF(IF(AO753=1,AD753,IF(AO753=2,AI753,""))="A","RÉPARÉ – À RADIOGRAPHIER",IF(IF(AO753=1,AD753,IF(AO753=2,AI753,""))="R","VT REJETÉ – À REPRENDRE",IF(OR(AP753="CO",AP753="NT"),"COUPE – À RESOUDER","À RÉPARER"))))))))))</f>
        <v>À SOUDER</v>
      </c>
      <c r="AR753" s="82" t="str">
        <f aca="false">IF(AND(ISNUMBER(U753),OR(AQ753="À RADIOGRAPHIER",AQ753="RÉPARÉ – À RADIOGRAPHIER",AQ753="NX – RT À REFAIRE",AQ753="À RÉPARER",AQ753="COUPE – À RESOUDER",AQ753="VT REJETÉ – À REPRENDRE")),MAX(0,'PROGRAMME RT'!$C$4-U753),"")</f>
        <v/>
      </c>
      <c r="AS753" s="82" t="n">
        <f aca="false">IF(AND(OR(AQ753="À RADIOGRAPHIER",AQ753="RÉPARÉ – À RADIOGRAPHIER",AQ753="NX – RT À REFAIRE"),OR('PROGRAMME RT'!$D$5="TOUTES",B753='PROGRAMME RT'!$D$5)),1,0)</f>
        <v>0</v>
      </c>
      <c r="AT753" s="82" t="str">
        <f aca="false">IF(AS753=1,SUM(AS$7:AS753),"")</f>
        <v/>
      </c>
      <c r="AU753" s="82" t="n">
        <f aca="false">IF(AND(OR(AA753="R",AA753="NX",AA753="NT",AA753="CO"),OR('JOINTS DE RÉPARATION'!$D$5="TOUTES",B753='JOINTS DE RÉPARATION'!$D$5),OR('JOINTS DE RÉPARATION'!$L$4="TOUS",AQ753&lt;&gt;"ACCEPTÉ")),1,0)</f>
        <v>0</v>
      </c>
      <c r="AV753" s="82" t="str">
        <f aca="false">IF(AU753=1,SUM(AU$7:AU753),"")</f>
        <v/>
      </c>
      <c r="AW753" s="82" t="str">
        <f aca="false">IF(E753="","",B753&amp;"|"&amp;E753)</f>
        <v>MFD-ISW → MFD-CPF|JN°747</v>
      </c>
    </row>
    <row r="754" customFormat="false" ht="74.6" hidden="false" customHeight="false" outlineLevel="0" collapsed="false">
      <c r="A754" s="79" t="n">
        <f aca="false">IF(E754="","",ROW()-6)</f>
        <v>748</v>
      </c>
      <c r="B754" s="80" t="s">
        <v>110</v>
      </c>
      <c r="C754" s="81"/>
      <c r="D754" s="81"/>
      <c r="E754" s="81" t="s">
        <v>858</v>
      </c>
      <c r="F754" s="82" t="str">
        <f aca="false">IF(E754="","",IF(LEFT(E754,2)="DJ","DJ","JN"))</f>
        <v>JN</v>
      </c>
      <c r="G754" s="81"/>
      <c r="H754" s="81"/>
      <c r="I754" s="81"/>
      <c r="J754" s="81"/>
      <c r="K754" s="81"/>
      <c r="L754" s="81"/>
      <c r="M754" s="81"/>
      <c r="N754" s="81"/>
      <c r="O754" s="81"/>
      <c r="P754" s="81"/>
      <c r="Q754" s="81"/>
      <c r="R754" s="81"/>
      <c r="S754" s="81"/>
      <c r="T754" s="81"/>
      <c r="U754" s="83"/>
      <c r="V754" s="83"/>
      <c r="W754" s="81"/>
      <c r="X754" s="81"/>
      <c r="Y754" s="83"/>
      <c r="Z754" s="81"/>
      <c r="AA754" s="81"/>
      <c r="AB754" s="81"/>
      <c r="AC754" s="81"/>
      <c r="AD754" s="81"/>
      <c r="AE754" s="83"/>
      <c r="AF754" s="81"/>
      <c r="AG754" s="81"/>
      <c r="AH754" s="81"/>
      <c r="AI754" s="81"/>
      <c r="AJ754" s="83"/>
      <c r="AK754" s="81"/>
      <c r="AL754" s="81"/>
      <c r="AM754" s="83"/>
      <c r="AN754" s="80"/>
      <c r="AO754" s="82" t="n">
        <f aca="false">IF(E754="","",(AA754&lt;&gt;"")+(AG754&lt;&gt;"")+(AL754&lt;&gt;""))</f>
        <v>0</v>
      </c>
      <c r="AP754" s="82" t="str">
        <f aca="false">IF(AL754&lt;&gt;"",AL754,IF(AG754&lt;&gt;"",AG754,IF(AA754&lt;&gt;"",AA754,"")))</f>
        <v/>
      </c>
      <c r="AQ754" s="84" t="str">
        <f aca="false">IF(E754="","",IF(U754="","À SOUDER",IF(X754="","VT EN ATTENTE",IF(X754="R","VT REJETÉ – À REPRENDRE",IF(AP754="","À RADIOGRAPHIER",IF(AP754="A","ACCEPTÉ",IF(AP754="NX","NX – RT À REFAIRE",IF(IF(AO754=1,AD754,IF(AO754=2,AI754,""))="A","RÉPARÉ – À RADIOGRAPHIER",IF(IF(AO754=1,AD754,IF(AO754=2,AI754,""))="R","VT REJETÉ – À REPRENDRE",IF(OR(AP754="CO",AP754="NT"),"COUPE – À RESOUDER","À RÉPARER"))))))))))</f>
        <v>À SOUDER</v>
      </c>
      <c r="AR754" s="82" t="str">
        <f aca="false">IF(AND(ISNUMBER(U754),OR(AQ754="À RADIOGRAPHIER",AQ754="RÉPARÉ – À RADIOGRAPHIER",AQ754="NX – RT À REFAIRE",AQ754="À RÉPARER",AQ754="COUPE – À RESOUDER",AQ754="VT REJETÉ – À REPRENDRE")),MAX(0,'PROGRAMME RT'!$C$4-U754),"")</f>
        <v/>
      </c>
      <c r="AS754" s="82" t="n">
        <f aca="false">IF(AND(OR(AQ754="À RADIOGRAPHIER",AQ754="RÉPARÉ – À RADIOGRAPHIER",AQ754="NX – RT À REFAIRE"),OR('PROGRAMME RT'!$D$5="TOUTES",B754='PROGRAMME RT'!$D$5)),1,0)</f>
        <v>0</v>
      </c>
      <c r="AT754" s="82" t="str">
        <f aca="false">IF(AS754=1,SUM(AS$7:AS754),"")</f>
        <v/>
      </c>
      <c r="AU754" s="82" t="n">
        <f aca="false">IF(AND(OR(AA754="R",AA754="NX",AA754="NT",AA754="CO"),OR('JOINTS DE RÉPARATION'!$D$5="TOUTES",B754='JOINTS DE RÉPARATION'!$D$5),OR('JOINTS DE RÉPARATION'!$L$4="TOUS",AQ754&lt;&gt;"ACCEPTÉ")),1,0)</f>
        <v>0</v>
      </c>
      <c r="AV754" s="82" t="str">
        <f aca="false">IF(AU754=1,SUM(AU$7:AU754),"")</f>
        <v/>
      </c>
      <c r="AW754" s="82" t="str">
        <f aca="false">IF(E754="","",B754&amp;"|"&amp;E754)</f>
        <v>MFD-ISW → MFD-CPF|JN°748</v>
      </c>
    </row>
    <row r="755" customFormat="false" ht="74.6" hidden="false" customHeight="false" outlineLevel="0" collapsed="false">
      <c r="A755" s="79" t="n">
        <f aca="false">IF(E755="","",ROW()-6)</f>
        <v>749</v>
      </c>
      <c r="B755" s="80" t="s">
        <v>110</v>
      </c>
      <c r="C755" s="81"/>
      <c r="D755" s="81"/>
      <c r="E755" s="81" t="s">
        <v>859</v>
      </c>
      <c r="F755" s="82" t="str">
        <f aca="false">IF(E755="","",IF(LEFT(E755,2)="DJ","DJ","JN"))</f>
        <v>JN</v>
      </c>
      <c r="G755" s="81"/>
      <c r="H755" s="81"/>
      <c r="I755" s="81"/>
      <c r="J755" s="81"/>
      <c r="K755" s="81"/>
      <c r="L755" s="81"/>
      <c r="M755" s="81"/>
      <c r="N755" s="81"/>
      <c r="O755" s="81"/>
      <c r="P755" s="81"/>
      <c r="Q755" s="81"/>
      <c r="R755" s="81"/>
      <c r="S755" s="81"/>
      <c r="T755" s="81"/>
      <c r="U755" s="83"/>
      <c r="V755" s="83"/>
      <c r="W755" s="81"/>
      <c r="X755" s="81"/>
      <c r="Y755" s="83"/>
      <c r="Z755" s="81"/>
      <c r="AA755" s="81"/>
      <c r="AB755" s="81"/>
      <c r="AC755" s="81"/>
      <c r="AD755" s="81"/>
      <c r="AE755" s="83"/>
      <c r="AF755" s="81"/>
      <c r="AG755" s="81"/>
      <c r="AH755" s="81"/>
      <c r="AI755" s="81"/>
      <c r="AJ755" s="83"/>
      <c r="AK755" s="81"/>
      <c r="AL755" s="81"/>
      <c r="AM755" s="83"/>
      <c r="AN755" s="80"/>
      <c r="AO755" s="82" t="n">
        <f aca="false">IF(E755="","",(AA755&lt;&gt;"")+(AG755&lt;&gt;"")+(AL755&lt;&gt;""))</f>
        <v>0</v>
      </c>
      <c r="AP755" s="82" t="str">
        <f aca="false">IF(AL755&lt;&gt;"",AL755,IF(AG755&lt;&gt;"",AG755,IF(AA755&lt;&gt;"",AA755,"")))</f>
        <v/>
      </c>
      <c r="AQ755" s="84" t="str">
        <f aca="false">IF(E755="","",IF(U755="","À SOUDER",IF(X755="","VT EN ATTENTE",IF(X755="R","VT REJETÉ – À REPRENDRE",IF(AP755="","À RADIOGRAPHIER",IF(AP755="A","ACCEPTÉ",IF(AP755="NX","NX – RT À REFAIRE",IF(IF(AO755=1,AD755,IF(AO755=2,AI755,""))="A","RÉPARÉ – À RADIOGRAPHIER",IF(IF(AO755=1,AD755,IF(AO755=2,AI755,""))="R","VT REJETÉ – À REPRENDRE",IF(OR(AP755="CO",AP755="NT"),"COUPE – À RESOUDER","À RÉPARER"))))))))))</f>
        <v>À SOUDER</v>
      </c>
      <c r="AR755" s="82" t="str">
        <f aca="false">IF(AND(ISNUMBER(U755),OR(AQ755="À RADIOGRAPHIER",AQ755="RÉPARÉ – À RADIOGRAPHIER",AQ755="NX – RT À REFAIRE",AQ755="À RÉPARER",AQ755="COUPE – À RESOUDER",AQ755="VT REJETÉ – À REPRENDRE")),MAX(0,'PROGRAMME RT'!$C$4-U755),"")</f>
        <v/>
      </c>
      <c r="AS755" s="82" t="n">
        <f aca="false">IF(AND(OR(AQ755="À RADIOGRAPHIER",AQ755="RÉPARÉ – À RADIOGRAPHIER",AQ755="NX – RT À REFAIRE"),OR('PROGRAMME RT'!$D$5="TOUTES",B755='PROGRAMME RT'!$D$5)),1,0)</f>
        <v>0</v>
      </c>
      <c r="AT755" s="82" t="str">
        <f aca="false">IF(AS755=1,SUM(AS$7:AS755),"")</f>
        <v/>
      </c>
      <c r="AU755" s="82" t="n">
        <f aca="false">IF(AND(OR(AA755="R",AA755="NX",AA755="NT",AA755="CO"),OR('JOINTS DE RÉPARATION'!$D$5="TOUTES",B755='JOINTS DE RÉPARATION'!$D$5),OR('JOINTS DE RÉPARATION'!$L$4="TOUS",AQ755&lt;&gt;"ACCEPTÉ")),1,0)</f>
        <v>0</v>
      </c>
      <c r="AV755" s="82" t="str">
        <f aca="false">IF(AU755=1,SUM(AU$7:AU755),"")</f>
        <v/>
      </c>
      <c r="AW755" s="82" t="str">
        <f aca="false">IF(E755="","",B755&amp;"|"&amp;E755)</f>
        <v>MFD-ISW → MFD-CPF|JN°749</v>
      </c>
    </row>
    <row r="756" customFormat="false" ht="74.6" hidden="false" customHeight="false" outlineLevel="0" collapsed="false">
      <c r="A756" s="79" t="n">
        <f aca="false">IF(E756="","",ROW()-6)</f>
        <v>750</v>
      </c>
      <c r="B756" s="80" t="s">
        <v>110</v>
      </c>
      <c r="C756" s="81"/>
      <c r="D756" s="81"/>
      <c r="E756" s="81" t="s">
        <v>860</v>
      </c>
      <c r="F756" s="82" t="str">
        <f aca="false">IF(E756="","",IF(LEFT(E756,2)="DJ","DJ","JN"))</f>
        <v>JN</v>
      </c>
      <c r="G756" s="81"/>
      <c r="H756" s="81"/>
      <c r="I756" s="81"/>
      <c r="J756" s="81"/>
      <c r="K756" s="81"/>
      <c r="L756" s="81"/>
      <c r="M756" s="81"/>
      <c r="N756" s="81"/>
      <c r="O756" s="81"/>
      <c r="P756" s="81"/>
      <c r="Q756" s="81"/>
      <c r="R756" s="81"/>
      <c r="S756" s="81"/>
      <c r="T756" s="81"/>
      <c r="U756" s="83"/>
      <c r="V756" s="83"/>
      <c r="W756" s="81"/>
      <c r="X756" s="81"/>
      <c r="Y756" s="83"/>
      <c r="Z756" s="81"/>
      <c r="AA756" s="81"/>
      <c r="AB756" s="81"/>
      <c r="AC756" s="81"/>
      <c r="AD756" s="81"/>
      <c r="AE756" s="83"/>
      <c r="AF756" s="81"/>
      <c r="AG756" s="81"/>
      <c r="AH756" s="81"/>
      <c r="AI756" s="81"/>
      <c r="AJ756" s="83"/>
      <c r="AK756" s="81"/>
      <c r="AL756" s="81"/>
      <c r="AM756" s="83"/>
      <c r="AN756" s="80"/>
      <c r="AO756" s="82" t="n">
        <f aca="false">IF(E756="","",(AA756&lt;&gt;"")+(AG756&lt;&gt;"")+(AL756&lt;&gt;""))</f>
        <v>0</v>
      </c>
      <c r="AP756" s="82" t="str">
        <f aca="false">IF(AL756&lt;&gt;"",AL756,IF(AG756&lt;&gt;"",AG756,IF(AA756&lt;&gt;"",AA756,"")))</f>
        <v/>
      </c>
      <c r="AQ756" s="84" t="str">
        <f aca="false">IF(E756="","",IF(U756="","À SOUDER",IF(X756="","VT EN ATTENTE",IF(X756="R","VT REJETÉ – À REPRENDRE",IF(AP756="","À RADIOGRAPHIER",IF(AP756="A","ACCEPTÉ",IF(AP756="NX","NX – RT À REFAIRE",IF(IF(AO756=1,AD756,IF(AO756=2,AI756,""))="A","RÉPARÉ – À RADIOGRAPHIER",IF(IF(AO756=1,AD756,IF(AO756=2,AI756,""))="R","VT REJETÉ – À REPRENDRE",IF(OR(AP756="CO",AP756="NT"),"COUPE – À RESOUDER","À RÉPARER"))))))))))</f>
        <v>À SOUDER</v>
      </c>
      <c r="AR756" s="82" t="str">
        <f aca="false">IF(AND(ISNUMBER(U756),OR(AQ756="À RADIOGRAPHIER",AQ756="RÉPARÉ – À RADIOGRAPHIER",AQ756="NX – RT À REFAIRE",AQ756="À RÉPARER",AQ756="COUPE – À RESOUDER",AQ756="VT REJETÉ – À REPRENDRE")),MAX(0,'PROGRAMME RT'!$C$4-U756),"")</f>
        <v/>
      </c>
      <c r="AS756" s="82" t="n">
        <f aca="false">IF(AND(OR(AQ756="À RADIOGRAPHIER",AQ756="RÉPARÉ – À RADIOGRAPHIER",AQ756="NX – RT À REFAIRE"),OR('PROGRAMME RT'!$D$5="TOUTES",B756='PROGRAMME RT'!$D$5)),1,0)</f>
        <v>0</v>
      </c>
      <c r="AT756" s="82" t="str">
        <f aca="false">IF(AS756=1,SUM(AS$7:AS756),"")</f>
        <v/>
      </c>
      <c r="AU756" s="82" t="n">
        <f aca="false">IF(AND(OR(AA756="R",AA756="NX",AA756="NT",AA756="CO"),OR('JOINTS DE RÉPARATION'!$D$5="TOUTES",B756='JOINTS DE RÉPARATION'!$D$5),OR('JOINTS DE RÉPARATION'!$L$4="TOUS",AQ756&lt;&gt;"ACCEPTÉ")),1,0)</f>
        <v>0</v>
      </c>
      <c r="AV756" s="82" t="str">
        <f aca="false">IF(AU756=1,SUM(AU$7:AU756),"")</f>
        <v/>
      </c>
      <c r="AW756" s="82" t="str">
        <f aca="false">IF(E756="","",B756&amp;"|"&amp;E756)</f>
        <v>MFD-ISW → MFD-CPF|JN°750</v>
      </c>
    </row>
    <row r="757" customFormat="false" ht="74.6" hidden="false" customHeight="false" outlineLevel="0" collapsed="false">
      <c r="A757" s="79" t="n">
        <f aca="false">IF(E757="","",ROW()-6)</f>
        <v>751</v>
      </c>
      <c r="B757" s="80" t="s">
        <v>110</v>
      </c>
      <c r="C757" s="81"/>
      <c r="D757" s="81"/>
      <c r="E757" s="81" t="s">
        <v>861</v>
      </c>
      <c r="F757" s="82" t="str">
        <f aca="false">IF(E757="","",IF(LEFT(E757,2)="DJ","DJ","JN"))</f>
        <v>JN</v>
      </c>
      <c r="G757" s="81"/>
      <c r="H757" s="81"/>
      <c r="I757" s="81"/>
      <c r="J757" s="81"/>
      <c r="K757" s="81"/>
      <c r="L757" s="81"/>
      <c r="M757" s="81"/>
      <c r="N757" s="81"/>
      <c r="O757" s="81"/>
      <c r="P757" s="81"/>
      <c r="Q757" s="81"/>
      <c r="R757" s="81"/>
      <c r="S757" s="81"/>
      <c r="T757" s="81"/>
      <c r="U757" s="83"/>
      <c r="V757" s="83"/>
      <c r="W757" s="81"/>
      <c r="X757" s="81"/>
      <c r="Y757" s="83"/>
      <c r="Z757" s="81"/>
      <c r="AA757" s="81"/>
      <c r="AB757" s="81"/>
      <c r="AC757" s="81"/>
      <c r="AD757" s="81"/>
      <c r="AE757" s="83"/>
      <c r="AF757" s="81"/>
      <c r="AG757" s="81"/>
      <c r="AH757" s="81"/>
      <c r="AI757" s="81"/>
      <c r="AJ757" s="83"/>
      <c r="AK757" s="81"/>
      <c r="AL757" s="81"/>
      <c r="AM757" s="83"/>
      <c r="AN757" s="80"/>
      <c r="AO757" s="82" t="n">
        <f aca="false">IF(E757="","",(AA757&lt;&gt;"")+(AG757&lt;&gt;"")+(AL757&lt;&gt;""))</f>
        <v>0</v>
      </c>
      <c r="AP757" s="82" t="str">
        <f aca="false">IF(AL757&lt;&gt;"",AL757,IF(AG757&lt;&gt;"",AG757,IF(AA757&lt;&gt;"",AA757,"")))</f>
        <v/>
      </c>
      <c r="AQ757" s="84" t="str">
        <f aca="false">IF(E757="","",IF(U757="","À SOUDER",IF(X757="","VT EN ATTENTE",IF(X757="R","VT REJETÉ – À REPRENDRE",IF(AP757="","À RADIOGRAPHIER",IF(AP757="A","ACCEPTÉ",IF(AP757="NX","NX – RT À REFAIRE",IF(IF(AO757=1,AD757,IF(AO757=2,AI757,""))="A","RÉPARÉ – À RADIOGRAPHIER",IF(IF(AO757=1,AD757,IF(AO757=2,AI757,""))="R","VT REJETÉ – À REPRENDRE",IF(OR(AP757="CO",AP757="NT"),"COUPE – À RESOUDER","À RÉPARER"))))))))))</f>
        <v>À SOUDER</v>
      </c>
      <c r="AR757" s="82" t="str">
        <f aca="false">IF(AND(ISNUMBER(U757),OR(AQ757="À RADIOGRAPHIER",AQ757="RÉPARÉ – À RADIOGRAPHIER",AQ757="NX – RT À REFAIRE",AQ757="À RÉPARER",AQ757="COUPE – À RESOUDER",AQ757="VT REJETÉ – À REPRENDRE")),MAX(0,'PROGRAMME RT'!$C$4-U757),"")</f>
        <v/>
      </c>
      <c r="AS757" s="82" t="n">
        <f aca="false">IF(AND(OR(AQ757="À RADIOGRAPHIER",AQ757="RÉPARÉ – À RADIOGRAPHIER",AQ757="NX – RT À REFAIRE"),OR('PROGRAMME RT'!$D$5="TOUTES",B757='PROGRAMME RT'!$D$5)),1,0)</f>
        <v>0</v>
      </c>
      <c r="AT757" s="82" t="str">
        <f aca="false">IF(AS757=1,SUM(AS$7:AS757),"")</f>
        <v/>
      </c>
      <c r="AU757" s="82" t="n">
        <f aca="false">IF(AND(OR(AA757="R",AA757="NX",AA757="NT",AA757="CO"),OR('JOINTS DE RÉPARATION'!$D$5="TOUTES",B757='JOINTS DE RÉPARATION'!$D$5),OR('JOINTS DE RÉPARATION'!$L$4="TOUS",AQ757&lt;&gt;"ACCEPTÉ")),1,0)</f>
        <v>0</v>
      </c>
      <c r="AV757" s="82" t="str">
        <f aca="false">IF(AU757=1,SUM(AU$7:AU757),"")</f>
        <v/>
      </c>
      <c r="AW757" s="82" t="str">
        <f aca="false">IF(E757="","",B757&amp;"|"&amp;E757)</f>
        <v>MFD-ISW → MFD-CPF|JN°751</v>
      </c>
    </row>
    <row r="758" customFormat="false" ht="74.6" hidden="false" customHeight="false" outlineLevel="0" collapsed="false">
      <c r="A758" s="79" t="n">
        <f aca="false">IF(E758="","",ROW()-6)</f>
        <v>752</v>
      </c>
      <c r="B758" s="80" t="s">
        <v>110</v>
      </c>
      <c r="C758" s="81"/>
      <c r="D758" s="81"/>
      <c r="E758" s="81" t="s">
        <v>862</v>
      </c>
      <c r="F758" s="82" t="str">
        <f aca="false">IF(E758="","",IF(LEFT(E758,2)="DJ","DJ","JN"))</f>
        <v>JN</v>
      </c>
      <c r="G758" s="81"/>
      <c r="H758" s="81"/>
      <c r="I758" s="81"/>
      <c r="J758" s="81"/>
      <c r="K758" s="81"/>
      <c r="L758" s="81"/>
      <c r="M758" s="81"/>
      <c r="N758" s="81"/>
      <c r="O758" s="81"/>
      <c r="P758" s="81"/>
      <c r="Q758" s="81"/>
      <c r="R758" s="81"/>
      <c r="S758" s="81"/>
      <c r="T758" s="81"/>
      <c r="U758" s="83"/>
      <c r="V758" s="83"/>
      <c r="W758" s="81"/>
      <c r="X758" s="81"/>
      <c r="Y758" s="83"/>
      <c r="Z758" s="81"/>
      <c r="AA758" s="81"/>
      <c r="AB758" s="81"/>
      <c r="AC758" s="81"/>
      <c r="AD758" s="81"/>
      <c r="AE758" s="83"/>
      <c r="AF758" s="81"/>
      <c r="AG758" s="81"/>
      <c r="AH758" s="81"/>
      <c r="AI758" s="81"/>
      <c r="AJ758" s="83"/>
      <c r="AK758" s="81"/>
      <c r="AL758" s="81"/>
      <c r="AM758" s="83"/>
      <c r="AN758" s="80"/>
      <c r="AO758" s="82" t="n">
        <f aca="false">IF(E758="","",(AA758&lt;&gt;"")+(AG758&lt;&gt;"")+(AL758&lt;&gt;""))</f>
        <v>0</v>
      </c>
      <c r="AP758" s="82" t="str">
        <f aca="false">IF(AL758&lt;&gt;"",AL758,IF(AG758&lt;&gt;"",AG758,IF(AA758&lt;&gt;"",AA758,"")))</f>
        <v/>
      </c>
      <c r="AQ758" s="84" t="str">
        <f aca="false">IF(E758="","",IF(U758="","À SOUDER",IF(X758="","VT EN ATTENTE",IF(X758="R","VT REJETÉ – À REPRENDRE",IF(AP758="","À RADIOGRAPHIER",IF(AP758="A","ACCEPTÉ",IF(AP758="NX","NX – RT À REFAIRE",IF(IF(AO758=1,AD758,IF(AO758=2,AI758,""))="A","RÉPARÉ – À RADIOGRAPHIER",IF(IF(AO758=1,AD758,IF(AO758=2,AI758,""))="R","VT REJETÉ – À REPRENDRE",IF(OR(AP758="CO",AP758="NT"),"COUPE – À RESOUDER","À RÉPARER"))))))))))</f>
        <v>À SOUDER</v>
      </c>
      <c r="AR758" s="82" t="str">
        <f aca="false">IF(AND(ISNUMBER(U758),OR(AQ758="À RADIOGRAPHIER",AQ758="RÉPARÉ – À RADIOGRAPHIER",AQ758="NX – RT À REFAIRE",AQ758="À RÉPARER",AQ758="COUPE – À RESOUDER",AQ758="VT REJETÉ – À REPRENDRE")),MAX(0,'PROGRAMME RT'!$C$4-U758),"")</f>
        <v/>
      </c>
      <c r="AS758" s="82" t="n">
        <f aca="false">IF(AND(OR(AQ758="À RADIOGRAPHIER",AQ758="RÉPARÉ – À RADIOGRAPHIER",AQ758="NX – RT À REFAIRE"),OR('PROGRAMME RT'!$D$5="TOUTES",B758='PROGRAMME RT'!$D$5)),1,0)</f>
        <v>0</v>
      </c>
      <c r="AT758" s="82" t="str">
        <f aca="false">IF(AS758=1,SUM(AS$7:AS758),"")</f>
        <v/>
      </c>
      <c r="AU758" s="82" t="n">
        <f aca="false">IF(AND(OR(AA758="R",AA758="NX",AA758="NT",AA758="CO"),OR('JOINTS DE RÉPARATION'!$D$5="TOUTES",B758='JOINTS DE RÉPARATION'!$D$5),OR('JOINTS DE RÉPARATION'!$L$4="TOUS",AQ758&lt;&gt;"ACCEPTÉ")),1,0)</f>
        <v>0</v>
      </c>
      <c r="AV758" s="82" t="str">
        <f aca="false">IF(AU758=1,SUM(AU$7:AU758),"")</f>
        <v/>
      </c>
      <c r="AW758" s="82" t="str">
        <f aca="false">IF(E758="","",B758&amp;"|"&amp;E758)</f>
        <v>MFD-ISW → MFD-CPF|JN°752</v>
      </c>
    </row>
    <row r="759" customFormat="false" ht="74.6" hidden="false" customHeight="false" outlineLevel="0" collapsed="false">
      <c r="A759" s="79" t="n">
        <f aca="false">IF(E759="","",ROW()-6)</f>
        <v>753</v>
      </c>
      <c r="B759" s="80" t="s">
        <v>110</v>
      </c>
      <c r="C759" s="81"/>
      <c r="D759" s="81"/>
      <c r="E759" s="81" t="s">
        <v>863</v>
      </c>
      <c r="F759" s="82" t="str">
        <f aca="false">IF(E759="","",IF(LEFT(E759,2)="DJ","DJ","JN"))</f>
        <v>JN</v>
      </c>
      <c r="G759" s="81"/>
      <c r="H759" s="81"/>
      <c r="I759" s="81"/>
      <c r="J759" s="81"/>
      <c r="K759" s="81"/>
      <c r="L759" s="81"/>
      <c r="M759" s="81"/>
      <c r="N759" s="81"/>
      <c r="O759" s="81"/>
      <c r="P759" s="81"/>
      <c r="Q759" s="81"/>
      <c r="R759" s="81"/>
      <c r="S759" s="81"/>
      <c r="T759" s="81"/>
      <c r="U759" s="83"/>
      <c r="V759" s="83"/>
      <c r="W759" s="81"/>
      <c r="X759" s="81"/>
      <c r="Y759" s="83"/>
      <c r="Z759" s="81"/>
      <c r="AA759" s="81"/>
      <c r="AB759" s="81"/>
      <c r="AC759" s="81"/>
      <c r="AD759" s="81"/>
      <c r="AE759" s="83"/>
      <c r="AF759" s="81"/>
      <c r="AG759" s="81"/>
      <c r="AH759" s="81"/>
      <c r="AI759" s="81"/>
      <c r="AJ759" s="83"/>
      <c r="AK759" s="81"/>
      <c r="AL759" s="81"/>
      <c r="AM759" s="83"/>
      <c r="AN759" s="80"/>
      <c r="AO759" s="82" t="n">
        <f aca="false">IF(E759="","",(AA759&lt;&gt;"")+(AG759&lt;&gt;"")+(AL759&lt;&gt;""))</f>
        <v>0</v>
      </c>
      <c r="AP759" s="82" t="str">
        <f aca="false">IF(AL759&lt;&gt;"",AL759,IF(AG759&lt;&gt;"",AG759,IF(AA759&lt;&gt;"",AA759,"")))</f>
        <v/>
      </c>
      <c r="AQ759" s="84" t="str">
        <f aca="false">IF(E759="","",IF(U759="","À SOUDER",IF(X759="","VT EN ATTENTE",IF(X759="R","VT REJETÉ – À REPRENDRE",IF(AP759="","À RADIOGRAPHIER",IF(AP759="A","ACCEPTÉ",IF(AP759="NX","NX – RT À REFAIRE",IF(IF(AO759=1,AD759,IF(AO759=2,AI759,""))="A","RÉPARÉ – À RADIOGRAPHIER",IF(IF(AO759=1,AD759,IF(AO759=2,AI759,""))="R","VT REJETÉ – À REPRENDRE",IF(OR(AP759="CO",AP759="NT"),"COUPE – À RESOUDER","À RÉPARER"))))))))))</f>
        <v>À SOUDER</v>
      </c>
      <c r="AR759" s="82" t="str">
        <f aca="false">IF(AND(ISNUMBER(U759),OR(AQ759="À RADIOGRAPHIER",AQ759="RÉPARÉ – À RADIOGRAPHIER",AQ759="NX – RT À REFAIRE",AQ759="À RÉPARER",AQ759="COUPE – À RESOUDER",AQ759="VT REJETÉ – À REPRENDRE")),MAX(0,'PROGRAMME RT'!$C$4-U759),"")</f>
        <v/>
      </c>
      <c r="AS759" s="82" t="n">
        <f aca="false">IF(AND(OR(AQ759="À RADIOGRAPHIER",AQ759="RÉPARÉ – À RADIOGRAPHIER",AQ759="NX – RT À REFAIRE"),OR('PROGRAMME RT'!$D$5="TOUTES",B759='PROGRAMME RT'!$D$5)),1,0)</f>
        <v>0</v>
      </c>
      <c r="AT759" s="82" t="str">
        <f aca="false">IF(AS759=1,SUM(AS$7:AS759),"")</f>
        <v/>
      </c>
      <c r="AU759" s="82" t="n">
        <f aca="false">IF(AND(OR(AA759="R",AA759="NX",AA759="NT",AA759="CO"),OR('JOINTS DE RÉPARATION'!$D$5="TOUTES",B759='JOINTS DE RÉPARATION'!$D$5),OR('JOINTS DE RÉPARATION'!$L$4="TOUS",AQ759&lt;&gt;"ACCEPTÉ")),1,0)</f>
        <v>0</v>
      </c>
      <c r="AV759" s="82" t="str">
        <f aca="false">IF(AU759=1,SUM(AU$7:AU759),"")</f>
        <v/>
      </c>
      <c r="AW759" s="82" t="str">
        <f aca="false">IF(E759="","",B759&amp;"|"&amp;E759)</f>
        <v>MFD-ISW → MFD-CPF|JN°753</v>
      </c>
    </row>
    <row r="760" customFormat="false" ht="74.6" hidden="false" customHeight="false" outlineLevel="0" collapsed="false">
      <c r="A760" s="79" t="n">
        <f aca="false">IF(E760="","",ROW()-6)</f>
        <v>754</v>
      </c>
      <c r="B760" s="80" t="s">
        <v>110</v>
      </c>
      <c r="C760" s="81"/>
      <c r="D760" s="81"/>
      <c r="E760" s="81" t="s">
        <v>864</v>
      </c>
      <c r="F760" s="82" t="str">
        <f aca="false">IF(E760="","",IF(LEFT(E760,2)="DJ","DJ","JN"))</f>
        <v>JN</v>
      </c>
      <c r="G760" s="81"/>
      <c r="H760" s="81"/>
      <c r="I760" s="81"/>
      <c r="J760" s="81"/>
      <c r="K760" s="81"/>
      <c r="L760" s="81"/>
      <c r="M760" s="81"/>
      <c r="N760" s="81"/>
      <c r="O760" s="81"/>
      <c r="P760" s="81"/>
      <c r="Q760" s="81"/>
      <c r="R760" s="81"/>
      <c r="S760" s="81"/>
      <c r="T760" s="81"/>
      <c r="U760" s="83"/>
      <c r="V760" s="83"/>
      <c r="W760" s="81"/>
      <c r="X760" s="81"/>
      <c r="Y760" s="83"/>
      <c r="Z760" s="81"/>
      <c r="AA760" s="81"/>
      <c r="AB760" s="81"/>
      <c r="AC760" s="81"/>
      <c r="AD760" s="81"/>
      <c r="AE760" s="83"/>
      <c r="AF760" s="81"/>
      <c r="AG760" s="81"/>
      <c r="AH760" s="81"/>
      <c r="AI760" s="81"/>
      <c r="AJ760" s="83"/>
      <c r="AK760" s="81"/>
      <c r="AL760" s="81"/>
      <c r="AM760" s="83"/>
      <c r="AN760" s="80"/>
      <c r="AO760" s="82" t="n">
        <f aca="false">IF(E760="","",(AA760&lt;&gt;"")+(AG760&lt;&gt;"")+(AL760&lt;&gt;""))</f>
        <v>0</v>
      </c>
      <c r="AP760" s="82" t="str">
        <f aca="false">IF(AL760&lt;&gt;"",AL760,IF(AG760&lt;&gt;"",AG760,IF(AA760&lt;&gt;"",AA760,"")))</f>
        <v/>
      </c>
      <c r="AQ760" s="84" t="str">
        <f aca="false">IF(E760="","",IF(U760="","À SOUDER",IF(X760="","VT EN ATTENTE",IF(X760="R","VT REJETÉ – À REPRENDRE",IF(AP760="","À RADIOGRAPHIER",IF(AP760="A","ACCEPTÉ",IF(AP760="NX","NX – RT À REFAIRE",IF(IF(AO760=1,AD760,IF(AO760=2,AI760,""))="A","RÉPARÉ – À RADIOGRAPHIER",IF(IF(AO760=1,AD760,IF(AO760=2,AI760,""))="R","VT REJETÉ – À REPRENDRE",IF(OR(AP760="CO",AP760="NT"),"COUPE – À RESOUDER","À RÉPARER"))))))))))</f>
        <v>À SOUDER</v>
      </c>
      <c r="AR760" s="82" t="str">
        <f aca="false">IF(AND(ISNUMBER(U760),OR(AQ760="À RADIOGRAPHIER",AQ760="RÉPARÉ – À RADIOGRAPHIER",AQ760="NX – RT À REFAIRE",AQ760="À RÉPARER",AQ760="COUPE – À RESOUDER",AQ760="VT REJETÉ – À REPRENDRE")),MAX(0,'PROGRAMME RT'!$C$4-U760),"")</f>
        <v/>
      </c>
      <c r="AS760" s="82" t="n">
        <f aca="false">IF(AND(OR(AQ760="À RADIOGRAPHIER",AQ760="RÉPARÉ – À RADIOGRAPHIER",AQ760="NX – RT À REFAIRE"),OR('PROGRAMME RT'!$D$5="TOUTES",B760='PROGRAMME RT'!$D$5)),1,0)</f>
        <v>0</v>
      </c>
      <c r="AT760" s="82" t="str">
        <f aca="false">IF(AS760=1,SUM(AS$7:AS760),"")</f>
        <v/>
      </c>
      <c r="AU760" s="82" t="n">
        <f aca="false">IF(AND(OR(AA760="R",AA760="NX",AA760="NT",AA760="CO"),OR('JOINTS DE RÉPARATION'!$D$5="TOUTES",B760='JOINTS DE RÉPARATION'!$D$5),OR('JOINTS DE RÉPARATION'!$L$4="TOUS",AQ760&lt;&gt;"ACCEPTÉ")),1,0)</f>
        <v>0</v>
      </c>
      <c r="AV760" s="82" t="str">
        <f aca="false">IF(AU760=1,SUM(AU$7:AU760),"")</f>
        <v/>
      </c>
      <c r="AW760" s="82" t="str">
        <f aca="false">IF(E760="","",B760&amp;"|"&amp;E760)</f>
        <v>MFD-ISW → MFD-CPF|JN°754</v>
      </c>
    </row>
    <row r="761" customFormat="false" ht="74.6" hidden="false" customHeight="false" outlineLevel="0" collapsed="false">
      <c r="A761" s="79" t="n">
        <f aca="false">IF(E761="","",ROW()-6)</f>
        <v>755</v>
      </c>
      <c r="B761" s="80" t="s">
        <v>110</v>
      </c>
      <c r="C761" s="81"/>
      <c r="D761" s="81"/>
      <c r="E761" s="81" t="s">
        <v>865</v>
      </c>
      <c r="F761" s="82" t="str">
        <f aca="false">IF(E761="","",IF(LEFT(E761,2)="DJ","DJ","JN"))</f>
        <v>JN</v>
      </c>
      <c r="G761" s="81"/>
      <c r="H761" s="81"/>
      <c r="I761" s="81"/>
      <c r="J761" s="81"/>
      <c r="K761" s="81"/>
      <c r="L761" s="81"/>
      <c r="M761" s="81"/>
      <c r="N761" s="81"/>
      <c r="O761" s="81"/>
      <c r="P761" s="81"/>
      <c r="Q761" s="81"/>
      <c r="R761" s="81"/>
      <c r="S761" s="81"/>
      <c r="T761" s="81"/>
      <c r="U761" s="83"/>
      <c r="V761" s="83"/>
      <c r="W761" s="81"/>
      <c r="X761" s="81"/>
      <c r="Y761" s="83"/>
      <c r="Z761" s="81"/>
      <c r="AA761" s="81"/>
      <c r="AB761" s="81"/>
      <c r="AC761" s="81"/>
      <c r="AD761" s="81"/>
      <c r="AE761" s="83"/>
      <c r="AF761" s="81"/>
      <c r="AG761" s="81"/>
      <c r="AH761" s="81"/>
      <c r="AI761" s="81"/>
      <c r="AJ761" s="83"/>
      <c r="AK761" s="81"/>
      <c r="AL761" s="81"/>
      <c r="AM761" s="83"/>
      <c r="AN761" s="80"/>
      <c r="AO761" s="82" t="n">
        <f aca="false">IF(E761="","",(AA761&lt;&gt;"")+(AG761&lt;&gt;"")+(AL761&lt;&gt;""))</f>
        <v>0</v>
      </c>
      <c r="AP761" s="82" t="str">
        <f aca="false">IF(AL761&lt;&gt;"",AL761,IF(AG761&lt;&gt;"",AG761,IF(AA761&lt;&gt;"",AA761,"")))</f>
        <v/>
      </c>
      <c r="AQ761" s="84" t="str">
        <f aca="false">IF(E761="","",IF(U761="","À SOUDER",IF(X761="","VT EN ATTENTE",IF(X761="R","VT REJETÉ – À REPRENDRE",IF(AP761="","À RADIOGRAPHIER",IF(AP761="A","ACCEPTÉ",IF(AP761="NX","NX – RT À REFAIRE",IF(IF(AO761=1,AD761,IF(AO761=2,AI761,""))="A","RÉPARÉ – À RADIOGRAPHIER",IF(IF(AO761=1,AD761,IF(AO761=2,AI761,""))="R","VT REJETÉ – À REPRENDRE",IF(OR(AP761="CO",AP761="NT"),"COUPE – À RESOUDER","À RÉPARER"))))))))))</f>
        <v>À SOUDER</v>
      </c>
      <c r="AR761" s="82" t="str">
        <f aca="false">IF(AND(ISNUMBER(U761),OR(AQ761="À RADIOGRAPHIER",AQ761="RÉPARÉ – À RADIOGRAPHIER",AQ761="NX – RT À REFAIRE",AQ761="À RÉPARER",AQ761="COUPE – À RESOUDER",AQ761="VT REJETÉ – À REPRENDRE")),MAX(0,'PROGRAMME RT'!$C$4-U761),"")</f>
        <v/>
      </c>
      <c r="AS761" s="82" t="n">
        <f aca="false">IF(AND(OR(AQ761="À RADIOGRAPHIER",AQ761="RÉPARÉ – À RADIOGRAPHIER",AQ761="NX – RT À REFAIRE"),OR('PROGRAMME RT'!$D$5="TOUTES",B761='PROGRAMME RT'!$D$5)),1,0)</f>
        <v>0</v>
      </c>
      <c r="AT761" s="82" t="str">
        <f aca="false">IF(AS761=1,SUM(AS$7:AS761),"")</f>
        <v/>
      </c>
      <c r="AU761" s="82" t="n">
        <f aca="false">IF(AND(OR(AA761="R",AA761="NX",AA761="NT",AA761="CO"),OR('JOINTS DE RÉPARATION'!$D$5="TOUTES",B761='JOINTS DE RÉPARATION'!$D$5),OR('JOINTS DE RÉPARATION'!$L$4="TOUS",AQ761&lt;&gt;"ACCEPTÉ")),1,0)</f>
        <v>0</v>
      </c>
      <c r="AV761" s="82" t="str">
        <f aca="false">IF(AU761=1,SUM(AU$7:AU761),"")</f>
        <v/>
      </c>
      <c r="AW761" s="82" t="str">
        <f aca="false">IF(E761="","",B761&amp;"|"&amp;E761)</f>
        <v>MFD-ISW → MFD-CPF|JN°755</v>
      </c>
    </row>
    <row r="762" customFormat="false" ht="74.6" hidden="false" customHeight="false" outlineLevel="0" collapsed="false">
      <c r="A762" s="79" t="n">
        <f aca="false">IF(E762="","",ROW()-6)</f>
        <v>756</v>
      </c>
      <c r="B762" s="80" t="s">
        <v>110</v>
      </c>
      <c r="C762" s="81"/>
      <c r="D762" s="81"/>
      <c r="E762" s="81" t="s">
        <v>866</v>
      </c>
      <c r="F762" s="82" t="str">
        <f aca="false">IF(E762="","",IF(LEFT(E762,2)="DJ","DJ","JN"))</f>
        <v>JN</v>
      </c>
      <c r="G762" s="81"/>
      <c r="H762" s="81"/>
      <c r="I762" s="81"/>
      <c r="J762" s="81"/>
      <c r="K762" s="81"/>
      <c r="L762" s="81"/>
      <c r="M762" s="81"/>
      <c r="N762" s="81"/>
      <c r="O762" s="81"/>
      <c r="P762" s="81"/>
      <c r="Q762" s="81"/>
      <c r="R762" s="81"/>
      <c r="S762" s="81"/>
      <c r="T762" s="81"/>
      <c r="U762" s="83"/>
      <c r="V762" s="83"/>
      <c r="W762" s="81"/>
      <c r="X762" s="81"/>
      <c r="Y762" s="83"/>
      <c r="Z762" s="81"/>
      <c r="AA762" s="81"/>
      <c r="AB762" s="81"/>
      <c r="AC762" s="81"/>
      <c r="AD762" s="81"/>
      <c r="AE762" s="83"/>
      <c r="AF762" s="81"/>
      <c r="AG762" s="81"/>
      <c r="AH762" s="81"/>
      <c r="AI762" s="81"/>
      <c r="AJ762" s="83"/>
      <c r="AK762" s="81"/>
      <c r="AL762" s="81"/>
      <c r="AM762" s="83"/>
      <c r="AN762" s="80"/>
      <c r="AO762" s="82" t="n">
        <f aca="false">IF(E762="","",(AA762&lt;&gt;"")+(AG762&lt;&gt;"")+(AL762&lt;&gt;""))</f>
        <v>0</v>
      </c>
      <c r="AP762" s="82" t="str">
        <f aca="false">IF(AL762&lt;&gt;"",AL762,IF(AG762&lt;&gt;"",AG762,IF(AA762&lt;&gt;"",AA762,"")))</f>
        <v/>
      </c>
      <c r="AQ762" s="84" t="str">
        <f aca="false">IF(E762="","",IF(U762="","À SOUDER",IF(X762="","VT EN ATTENTE",IF(X762="R","VT REJETÉ – À REPRENDRE",IF(AP762="","À RADIOGRAPHIER",IF(AP762="A","ACCEPTÉ",IF(AP762="NX","NX – RT À REFAIRE",IF(IF(AO762=1,AD762,IF(AO762=2,AI762,""))="A","RÉPARÉ – À RADIOGRAPHIER",IF(IF(AO762=1,AD762,IF(AO762=2,AI762,""))="R","VT REJETÉ – À REPRENDRE",IF(OR(AP762="CO",AP762="NT"),"COUPE – À RESOUDER","À RÉPARER"))))))))))</f>
        <v>À SOUDER</v>
      </c>
      <c r="AR762" s="82" t="str">
        <f aca="false">IF(AND(ISNUMBER(U762),OR(AQ762="À RADIOGRAPHIER",AQ762="RÉPARÉ – À RADIOGRAPHIER",AQ762="NX – RT À REFAIRE",AQ762="À RÉPARER",AQ762="COUPE – À RESOUDER",AQ762="VT REJETÉ – À REPRENDRE")),MAX(0,'PROGRAMME RT'!$C$4-U762),"")</f>
        <v/>
      </c>
      <c r="AS762" s="82" t="n">
        <f aca="false">IF(AND(OR(AQ762="À RADIOGRAPHIER",AQ762="RÉPARÉ – À RADIOGRAPHIER",AQ762="NX – RT À REFAIRE"),OR('PROGRAMME RT'!$D$5="TOUTES",B762='PROGRAMME RT'!$D$5)),1,0)</f>
        <v>0</v>
      </c>
      <c r="AT762" s="82" t="str">
        <f aca="false">IF(AS762=1,SUM(AS$7:AS762),"")</f>
        <v/>
      </c>
      <c r="AU762" s="82" t="n">
        <f aca="false">IF(AND(OR(AA762="R",AA762="NX",AA762="NT",AA762="CO"),OR('JOINTS DE RÉPARATION'!$D$5="TOUTES",B762='JOINTS DE RÉPARATION'!$D$5),OR('JOINTS DE RÉPARATION'!$L$4="TOUS",AQ762&lt;&gt;"ACCEPTÉ")),1,0)</f>
        <v>0</v>
      </c>
      <c r="AV762" s="82" t="str">
        <f aca="false">IF(AU762=1,SUM(AU$7:AU762),"")</f>
        <v/>
      </c>
      <c r="AW762" s="82" t="str">
        <f aca="false">IF(E762="","",B762&amp;"|"&amp;E762)</f>
        <v>MFD-ISW → MFD-CPF|JN°756</v>
      </c>
    </row>
    <row r="763" customFormat="false" ht="74.6" hidden="false" customHeight="false" outlineLevel="0" collapsed="false">
      <c r="A763" s="79" t="n">
        <f aca="false">IF(E763="","",ROW()-6)</f>
        <v>757</v>
      </c>
      <c r="B763" s="80" t="s">
        <v>110</v>
      </c>
      <c r="C763" s="81"/>
      <c r="D763" s="81"/>
      <c r="E763" s="81" t="s">
        <v>867</v>
      </c>
      <c r="F763" s="82" t="str">
        <f aca="false">IF(E763="","",IF(LEFT(E763,2)="DJ","DJ","JN"))</f>
        <v>JN</v>
      </c>
      <c r="G763" s="81"/>
      <c r="H763" s="81"/>
      <c r="I763" s="81"/>
      <c r="J763" s="81"/>
      <c r="K763" s="81"/>
      <c r="L763" s="81"/>
      <c r="M763" s="81"/>
      <c r="N763" s="81"/>
      <c r="O763" s="81"/>
      <c r="P763" s="81"/>
      <c r="Q763" s="81"/>
      <c r="R763" s="81"/>
      <c r="S763" s="81"/>
      <c r="T763" s="81"/>
      <c r="U763" s="83"/>
      <c r="V763" s="83"/>
      <c r="W763" s="81"/>
      <c r="X763" s="81"/>
      <c r="Y763" s="83"/>
      <c r="Z763" s="81"/>
      <c r="AA763" s="81"/>
      <c r="AB763" s="81"/>
      <c r="AC763" s="81"/>
      <c r="AD763" s="81"/>
      <c r="AE763" s="83"/>
      <c r="AF763" s="81"/>
      <c r="AG763" s="81"/>
      <c r="AH763" s="81"/>
      <c r="AI763" s="81"/>
      <c r="AJ763" s="83"/>
      <c r="AK763" s="81"/>
      <c r="AL763" s="81"/>
      <c r="AM763" s="83"/>
      <c r="AN763" s="80"/>
      <c r="AO763" s="82" t="n">
        <f aca="false">IF(E763="","",(AA763&lt;&gt;"")+(AG763&lt;&gt;"")+(AL763&lt;&gt;""))</f>
        <v>0</v>
      </c>
      <c r="AP763" s="82" t="str">
        <f aca="false">IF(AL763&lt;&gt;"",AL763,IF(AG763&lt;&gt;"",AG763,IF(AA763&lt;&gt;"",AA763,"")))</f>
        <v/>
      </c>
      <c r="AQ763" s="84" t="str">
        <f aca="false">IF(E763="","",IF(U763="","À SOUDER",IF(X763="","VT EN ATTENTE",IF(X763="R","VT REJETÉ – À REPRENDRE",IF(AP763="","À RADIOGRAPHIER",IF(AP763="A","ACCEPTÉ",IF(AP763="NX","NX – RT À REFAIRE",IF(IF(AO763=1,AD763,IF(AO763=2,AI763,""))="A","RÉPARÉ – À RADIOGRAPHIER",IF(IF(AO763=1,AD763,IF(AO763=2,AI763,""))="R","VT REJETÉ – À REPRENDRE",IF(OR(AP763="CO",AP763="NT"),"COUPE – À RESOUDER","À RÉPARER"))))))))))</f>
        <v>À SOUDER</v>
      </c>
      <c r="AR763" s="82" t="str">
        <f aca="false">IF(AND(ISNUMBER(U763),OR(AQ763="À RADIOGRAPHIER",AQ763="RÉPARÉ – À RADIOGRAPHIER",AQ763="NX – RT À REFAIRE",AQ763="À RÉPARER",AQ763="COUPE – À RESOUDER",AQ763="VT REJETÉ – À REPRENDRE")),MAX(0,'PROGRAMME RT'!$C$4-U763),"")</f>
        <v/>
      </c>
      <c r="AS763" s="82" t="n">
        <f aca="false">IF(AND(OR(AQ763="À RADIOGRAPHIER",AQ763="RÉPARÉ – À RADIOGRAPHIER",AQ763="NX – RT À REFAIRE"),OR('PROGRAMME RT'!$D$5="TOUTES",B763='PROGRAMME RT'!$D$5)),1,0)</f>
        <v>0</v>
      </c>
      <c r="AT763" s="82" t="str">
        <f aca="false">IF(AS763=1,SUM(AS$7:AS763),"")</f>
        <v/>
      </c>
      <c r="AU763" s="82" t="n">
        <f aca="false">IF(AND(OR(AA763="R",AA763="NX",AA763="NT",AA763="CO"),OR('JOINTS DE RÉPARATION'!$D$5="TOUTES",B763='JOINTS DE RÉPARATION'!$D$5),OR('JOINTS DE RÉPARATION'!$L$4="TOUS",AQ763&lt;&gt;"ACCEPTÉ")),1,0)</f>
        <v>0</v>
      </c>
      <c r="AV763" s="82" t="str">
        <f aca="false">IF(AU763=1,SUM(AU$7:AU763),"")</f>
        <v/>
      </c>
      <c r="AW763" s="82" t="str">
        <f aca="false">IF(E763="","",B763&amp;"|"&amp;E763)</f>
        <v>MFD-ISW → MFD-CPF|JN°757</v>
      </c>
    </row>
    <row r="764" customFormat="false" ht="74.6" hidden="false" customHeight="false" outlineLevel="0" collapsed="false">
      <c r="A764" s="79" t="n">
        <f aca="false">IF(E764="","",ROW()-6)</f>
        <v>758</v>
      </c>
      <c r="B764" s="80" t="s">
        <v>110</v>
      </c>
      <c r="C764" s="81" t="s">
        <v>868</v>
      </c>
      <c r="D764" s="81" t="s">
        <v>869</v>
      </c>
      <c r="E764" s="81" t="s">
        <v>870</v>
      </c>
      <c r="F764" s="82" t="str">
        <f aca="false">IF(E764="","",IF(LEFT(E764,2)="DJ","DJ","JN"))</f>
        <v>DJ</v>
      </c>
      <c r="G764" s="81"/>
      <c r="H764" s="81" t="s">
        <v>871</v>
      </c>
      <c r="I764" s="81" t="n">
        <v>9.53</v>
      </c>
      <c r="J764" s="81" t="s">
        <v>872</v>
      </c>
      <c r="K764" s="81" t="s">
        <v>873</v>
      </c>
      <c r="L764" s="81" t="n">
        <v>2091210</v>
      </c>
      <c r="M764" s="81" t="n">
        <v>15421109</v>
      </c>
      <c r="N764" s="81" t="n">
        <v>11.94</v>
      </c>
      <c r="O764" s="81" t="n">
        <v>2095480</v>
      </c>
      <c r="P764" s="81" t="n">
        <v>15421107</v>
      </c>
      <c r="Q764" s="81" t="n">
        <v>11.94</v>
      </c>
      <c r="R764" s="81" t="s">
        <v>874</v>
      </c>
      <c r="S764" s="81"/>
      <c r="T764" s="81"/>
      <c r="U764" s="83" t="n">
        <v>46290</v>
      </c>
      <c r="V764" s="83" t="n">
        <v>46290</v>
      </c>
      <c r="W764" s="81" t="s">
        <v>875</v>
      </c>
      <c r="X764" s="81" t="s">
        <v>876</v>
      </c>
      <c r="Y764" s="83" t="n">
        <v>46291</v>
      </c>
      <c r="Z764" s="81" t="s">
        <v>877</v>
      </c>
      <c r="AA764" s="81" t="s">
        <v>876</v>
      </c>
      <c r="AB764" s="81"/>
      <c r="AC764" s="81"/>
      <c r="AD764" s="81"/>
      <c r="AE764" s="83"/>
      <c r="AF764" s="81"/>
      <c r="AG764" s="81"/>
      <c r="AH764" s="81"/>
      <c r="AI764" s="81"/>
      <c r="AJ764" s="83"/>
      <c r="AK764" s="81"/>
      <c r="AL764" s="81"/>
      <c r="AM764" s="83"/>
      <c r="AN764" s="80"/>
      <c r="AO764" s="82" t="n">
        <f aca="false">IF(E764="","",(AA764&lt;&gt;"")+(AG764&lt;&gt;"")+(AL764&lt;&gt;""))</f>
        <v>1</v>
      </c>
      <c r="AP764" s="82" t="str">
        <f aca="false">IF(AL764&lt;&gt;"",AL764,IF(AG764&lt;&gt;"",AG764,IF(AA764&lt;&gt;"",AA764,"")))</f>
        <v>A</v>
      </c>
      <c r="AQ764" s="84" t="str">
        <f aca="false">IF(E764="","",IF(U764="","À SOUDER",IF(X764="","VT EN ATTENTE",IF(X764="R","VT REJETÉ – À REPRENDRE",IF(AP764="","À RADIOGRAPHIER",IF(AP764="A","ACCEPTÉ",IF(AP764="NX","NX – RT À REFAIRE",IF(IF(AO764=1,AD764,IF(AO764=2,AI764,""))="A","RÉPARÉ – À RADIOGRAPHIER",IF(IF(AO764=1,AD764,IF(AO764=2,AI764,""))="R","VT REJETÉ – À REPRENDRE",IF(OR(AP764="CO",AP764="NT"),"COUPE – À RESOUDER","À RÉPARER"))))))))))</f>
        <v>ACCEPTÉ</v>
      </c>
      <c r="AR764" s="82" t="str">
        <f aca="false">IF(AND(ISNUMBER(U764),OR(AQ764="À RADIOGRAPHIER",AQ764="RÉPARÉ – À RADIOGRAPHIER",AQ764="NX – RT À REFAIRE",AQ764="À RÉPARER",AQ764="COUPE – À RESOUDER",AQ764="VT REJETÉ – À REPRENDRE")),MAX(0,'PROGRAMME RT'!$C$4-U764),"")</f>
        <v/>
      </c>
      <c r="AS764" s="82" t="n">
        <f aca="false">IF(AND(OR(AQ764="À RADIOGRAPHIER",AQ764="RÉPARÉ – À RADIOGRAPHIER",AQ764="NX – RT À REFAIRE"),OR('PROGRAMME RT'!$D$5="TOUTES",B764='PROGRAMME RT'!$D$5)),1,0)</f>
        <v>0</v>
      </c>
      <c r="AT764" s="82" t="str">
        <f aca="false">IF(AS764=1,SUM(AS$7:AS764),"")</f>
        <v/>
      </c>
      <c r="AU764" s="82" t="n">
        <f aca="false">IF(AND(OR(AA764="R",AA764="NX",AA764="NT",AA764="CO"),OR('JOINTS DE RÉPARATION'!$D$5="TOUTES",B764='JOINTS DE RÉPARATION'!$D$5),OR('JOINTS DE RÉPARATION'!$L$4="TOUS",AQ764&lt;&gt;"ACCEPTÉ")),1,0)</f>
        <v>0</v>
      </c>
      <c r="AV764" s="82" t="str">
        <f aca="false">IF(AU764=1,SUM(AU$7:AU764),"")</f>
        <v/>
      </c>
      <c r="AW764" s="82" t="str">
        <f aca="false">IF(E764="","",B764&amp;"|"&amp;E764)</f>
        <v>MFD-ISW → MFD-CPF|DJ°522</v>
      </c>
    </row>
    <row r="765" customFormat="false" ht="74.6" hidden="false" customHeight="false" outlineLevel="0" collapsed="false">
      <c r="A765" s="79" t="n">
        <f aca="false">IF(E765="","",ROW()-6)</f>
        <v>759</v>
      </c>
      <c r="B765" s="80" t="s">
        <v>110</v>
      </c>
      <c r="C765" s="81"/>
      <c r="D765" s="81" t="n">
        <v>4</v>
      </c>
      <c r="E765" s="81" t="s">
        <v>878</v>
      </c>
      <c r="F765" s="82" t="str">
        <f aca="false">IF(E765="","",IF(LEFT(E765,2)="DJ","DJ","JN"))</f>
        <v>JN</v>
      </c>
      <c r="G765" s="81"/>
      <c r="H765" s="81" t="s">
        <v>871</v>
      </c>
      <c r="I765" s="81" t="n">
        <v>9.53</v>
      </c>
      <c r="J765" s="81" t="s">
        <v>872</v>
      </c>
      <c r="K765" s="81" t="s">
        <v>879</v>
      </c>
      <c r="L765" s="81" t="n">
        <v>2095480</v>
      </c>
      <c r="M765" s="81" t="n">
        <v>15421107</v>
      </c>
      <c r="N765" s="81" t="n">
        <v>11.94</v>
      </c>
      <c r="O765" s="81" t="n">
        <v>2084910</v>
      </c>
      <c r="P765" s="81" t="n">
        <v>15421106</v>
      </c>
      <c r="Q765" s="81" t="n">
        <v>11.94</v>
      </c>
      <c r="R765" s="81" t="s">
        <v>880</v>
      </c>
      <c r="S765" s="81"/>
      <c r="T765" s="81"/>
      <c r="U765" s="83" t="n">
        <v>46291</v>
      </c>
      <c r="V765" s="83" t="n">
        <v>46291</v>
      </c>
      <c r="W765" s="81"/>
      <c r="X765" s="81" t="s">
        <v>876</v>
      </c>
      <c r="Y765" s="83"/>
      <c r="Z765" s="81"/>
      <c r="AA765" s="81"/>
      <c r="AB765" s="81"/>
      <c r="AC765" s="81"/>
      <c r="AD765" s="81"/>
      <c r="AE765" s="83"/>
      <c r="AF765" s="81"/>
      <c r="AG765" s="81"/>
      <c r="AH765" s="81"/>
      <c r="AI765" s="81"/>
      <c r="AJ765" s="83"/>
      <c r="AK765" s="81"/>
      <c r="AL765" s="81"/>
      <c r="AM765" s="83"/>
      <c r="AN765" s="80"/>
      <c r="AO765" s="82" t="n">
        <f aca="false">IF(E765="","",(AA765&lt;&gt;"")+(AG765&lt;&gt;"")+(AL765&lt;&gt;""))</f>
        <v>0</v>
      </c>
      <c r="AP765" s="82" t="str">
        <f aca="false">IF(AL765&lt;&gt;"",AL765,IF(AG765&lt;&gt;"",AG765,IF(AA765&lt;&gt;"",AA765,"")))</f>
        <v/>
      </c>
      <c r="AQ765" s="84" t="str">
        <f aca="false">IF(E765="","",IF(U765="","À SOUDER",IF(X765="","VT EN ATTENTE",IF(X765="R","VT REJETÉ – À REPRENDRE",IF(AP765="","À RADIOGRAPHIER",IF(AP765="A","ACCEPTÉ",IF(AP765="NX","NX – RT À REFAIRE",IF(IF(AO765=1,AD765,IF(AO765=2,AI765,""))="A","RÉPARÉ – À RADIOGRAPHIER",IF(IF(AO765=1,AD765,IF(AO765=2,AI765,""))="R","VT REJETÉ – À REPRENDRE",IF(OR(AP765="CO",AP765="NT"),"COUPE – À RESOUDER","À RÉPARER"))))))))))</f>
        <v>À RADIOGRAPHIER</v>
      </c>
      <c r="AR765" s="82" t="n">
        <f aca="false">IF(AND(ISNUMBER(U765),OR(AQ765="À RADIOGRAPHIER",AQ765="RÉPARÉ – À RADIOGRAPHIER",AQ765="NX – RT À REFAIRE",AQ765="À RÉPARER",AQ765="COUPE – À RESOUDER",AQ765="VT REJETÉ – À REPRENDRE")),MAX(0,'PROGRAMME RT'!$C$4-U765),"")</f>
        <v>2</v>
      </c>
      <c r="AS765" s="82" t="n">
        <f aca="false">IF(AND(OR(AQ765="À RADIOGRAPHIER",AQ765="RÉPARÉ – À RADIOGRAPHIER",AQ765="NX – RT À REFAIRE"),OR('PROGRAMME RT'!$D$5="TOUTES",B765='PROGRAMME RT'!$D$5)),1,0)</f>
        <v>1</v>
      </c>
      <c r="AT765" s="82" t="n">
        <f aca="false">IF(AS765=1,SUM(AS$7:AS765),"")</f>
        <v>1</v>
      </c>
      <c r="AU765" s="82" t="n">
        <f aca="false">IF(AND(OR(AA765="R",AA765="NX",AA765="NT",AA765="CO"),OR('JOINTS DE RÉPARATION'!$D$5="TOUTES",B765='JOINTS DE RÉPARATION'!$D$5),OR('JOINTS DE RÉPARATION'!$L$4="TOUS",AQ765&lt;&gt;"ACCEPTÉ")),1,0)</f>
        <v>0</v>
      </c>
      <c r="AV765" s="82" t="str">
        <f aca="false">IF(AU765=1,SUM(AU$7:AU765),"")</f>
        <v/>
      </c>
      <c r="AW765" s="82" t="str">
        <f aca="false">IF(E765="","",B765&amp;"|"&amp;E765)</f>
        <v>MFD-ISW → MFD-CPF|JN°758</v>
      </c>
    </row>
    <row r="766" customFormat="false" ht="74.6" hidden="false" customHeight="false" outlineLevel="0" collapsed="false">
      <c r="A766" s="79" t="n">
        <f aca="false">IF(E766="","",ROW()-6)</f>
        <v>760</v>
      </c>
      <c r="B766" s="80" t="s">
        <v>110</v>
      </c>
      <c r="C766" s="81" t="s">
        <v>868</v>
      </c>
      <c r="D766" s="81" t="n">
        <v>4</v>
      </c>
      <c r="E766" s="81" t="s">
        <v>881</v>
      </c>
      <c r="F766" s="82" t="str">
        <f aca="false">IF(E766="","",IF(LEFT(E766,2)="DJ","DJ","JN"))</f>
        <v>DJ</v>
      </c>
      <c r="G766" s="81"/>
      <c r="H766" s="81" t="s">
        <v>871</v>
      </c>
      <c r="I766" s="81" t="n">
        <v>9.53</v>
      </c>
      <c r="J766" s="81" t="s">
        <v>872</v>
      </c>
      <c r="K766" s="81" t="s">
        <v>873</v>
      </c>
      <c r="L766" s="81" t="n">
        <v>2084910</v>
      </c>
      <c r="M766" s="81" t="n">
        <v>15421106</v>
      </c>
      <c r="N766" s="81" t="n">
        <v>11.94</v>
      </c>
      <c r="O766" s="81" t="n">
        <v>2085870</v>
      </c>
      <c r="P766" s="81" t="n">
        <v>15421106</v>
      </c>
      <c r="Q766" s="81" t="n">
        <v>11.94</v>
      </c>
      <c r="R766" s="81" t="s">
        <v>882</v>
      </c>
      <c r="S766" s="81"/>
      <c r="T766" s="81"/>
      <c r="U766" s="83" t="n">
        <v>46289</v>
      </c>
      <c r="V766" s="83" t="n">
        <v>46289</v>
      </c>
      <c r="W766" s="81" t="s">
        <v>883</v>
      </c>
      <c r="X766" s="81" t="s">
        <v>876</v>
      </c>
      <c r="Y766" s="83" t="n">
        <v>46290</v>
      </c>
      <c r="Z766" s="81" t="s">
        <v>884</v>
      </c>
      <c r="AA766" s="81" t="s">
        <v>876</v>
      </c>
      <c r="AB766" s="81"/>
      <c r="AC766" s="81"/>
      <c r="AD766" s="81"/>
      <c r="AE766" s="83"/>
      <c r="AF766" s="81"/>
      <c r="AG766" s="81"/>
      <c r="AH766" s="81"/>
      <c r="AI766" s="81"/>
      <c r="AJ766" s="83"/>
      <c r="AK766" s="81"/>
      <c r="AL766" s="81"/>
      <c r="AM766" s="83"/>
      <c r="AN766" s="80"/>
      <c r="AO766" s="82" t="n">
        <f aca="false">IF(E766="","",(AA766&lt;&gt;"")+(AG766&lt;&gt;"")+(AL766&lt;&gt;""))</f>
        <v>1</v>
      </c>
      <c r="AP766" s="82" t="str">
        <f aca="false">IF(AL766&lt;&gt;"",AL766,IF(AG766&lt;&gt;"",AG766,IF(AA766&lt;&gt;"",AA766,"")))</f>
        <v>A</v>
      </c>
      <c r="AQ766" s="84" t="str">
        <f aca="false">IF(E766="","",IF(U766="","À SOUDER",IF(X766="","VT EN ATTENTE",IF(X766="R","VT REJETÉ – À REPRENDRE",IF(AP766="","À RADIOGRAPHIER",IF(AP766="A","ACCEPTÉ",IF(AP766="NX","NX – RT À REFAIRE",IF(IF(AO766=1,AD766,IF(AO766=2,AI766,""))="A","RÉPARÉ – À RADIOGRAPHIER",IF(IF(AO766=1,AD766,IF(AO766=2,AI766,""))="R","VT REJETÉ – À REPRENDRE",IF(OR(AP766="CO",AP766="NT"),"COUPE – À RESOUDER","À RÉPARER"))))))))))</f>
        <v>ACCEPTÉ</v>
      </c>
      <c r="AR766" s="82" t="str">
        <f aca="false">IF(AND(ISNUMBER(U766),OR(AQ766="À RADIOGRAPHIER",AQ766="RÉPARÉ – À RADIOGRAPHIER",AQ766="NX – RT À REFAIRE",AQ766="À RÉPARER",AQ766="COUPE – À RESOUDER",AQ766="VT REJETÉ – À REPRENDRE")),MAX(0,'PROGRAMME RT'!$C$4-U766),"")</f>
        <v/>
      </c>
      <c r="AS766" s="82" t="n">
        <f aca="false">IF(AND(OR(AQ766="À RADIOGRAPHIER",AQ766="RÉPARÉ – À RADIOGRAPHIER",AQ766="NX – RT À REFAIRE"),OR('PROGRAMME RT'!$D$5="TOUTES",B766='PROGRAMME RT'!$D$5)),1,0)</f>
        <v>0</v>
      </c>
      <c r="AT766" s="82" t="str">
        <f aca="false">IF(AS766=1,SUM(AS$7:AS766),"")</f>
        <v/>
      </c>
      <c r="AU766" s="82" t="n">
        <f aca="false">IF(AND(OR(AA766="R",AA766="NX",AA766="NT",AA766="CO"),OR('JOINTS DE RÉPARATION'!$D$5="TOUTES",B766='JOINTS DE RÉPARATION'!$D$5),OR('JOINTS DE RÉPARATION'!$L$4="TOUS",AQ766&lt;&gt;"ACCEPTÉ")),1,0)</f>
        <v>0</v>
      </c>
      <c r="AV766" s="82" t="str">
        <f aca="false">IF(AU766=1,SUM(AU$7:AU766),"")</f>
        <v/>
      </c>
      <c r="AW766" s="82" t="str">
        <f aca="false">IF(E766="","",B766&amp;"|"&amp;E766)</f>
        <v>MFD-ISW → MFD-CPF|DJ°507</v>
      </c>
    </row>
    <row r="767" customFormat="false" ht="74.6" hidden="false" customHeight="false" outlineLevel="0" collapsed="false">
      <c r="A767" s="79" t="n">
        <f aca="false">IF(E767="","",ROW()-6)</f>
        <v>761</v>
      </c>
      <c r="B767" s="80" t="s">
        <v>110</v>
      </c>
      <c r="C767" s="81"/>
      <c r="D767" s="81" t="n">
        <v>4</v>
      </c>
      <c r="E767" s="81" t="s">
        <v>885</v>
      </c>
      <c r="F767" s="82" t="str">
        <f aca="false">IF(E767="","",IF(LEFT(E767,2)="DJ","DJ","JN"))</f>
        <v>JN</v>
      </c>
      <c r="G767" s="81"/>
      <c r="H767" s="81" t="s">
        <v>871</v>
      </c>
      <c r="I767" s="81" t="n">
        <v>9.53</v>
      </c>
      <c r="J767" s="81" t="s">
        <v>872</v>
      </c>
      <c r="K767" s="81" t="s">
        <v>879</v>
      </c>
      <c r="L767" s="81" t="n">
        <v>2085870</v>
      </c>
      <c r="M767" s="81" t="n">
        <v>15421106</v>
      </c>
      <c r="N767" s="81" t="n">
        <v>11.94</v>
      </c>
      <c r="O767" s="81" t="n">
        <v>2089470</v>
      </c>
      <c r="P767" s="81" t="n">
        <v>15421109</v>
      </c>
      <c r="Q767" s="81" t="n">
        <v>11.94</v>
      </c>
      <c r="R767" s="81" t="s">
        <v>880</v>
      </c>
      <c r="S767" s="81"/>
      <c r="T767" s="81"/>
      <c r="U767" s="83" t="n">
        <v>46291</v>
      </c>
      <c r="V767" s="83" t="n">
        <v>46291</v>
      </c>
      <c r="W767" s="81" t="s">
        <v>886</v>
      </c>
      <c r="X767" s="81" t="s">
        <v>876</v>
      </c>
      <c r="Y767" s="83"/>
      <c r="Z767" s="81"/>
      <c r="AA767" s="81"/>
      <c r="AB767" s="81"/>
      <c r="AC767" s="81"/>
      <c r="AD767" s="81"/>
      <c r="AE767" s="83"/>
      <c r="AF767" s="81"/>
      <c r="AG767" s="81"/>
      <c r="AH767" s="81"/>
      <c r="AI767" s="81"/>
      <c r="AJ767" s="83"/>
      <c r="AK767" s="81"/>
      <c r="AL767" s="81"/>
      <c r="AM767" s="83"/>
      <c r="AN767" s="80"/>
      <c r="AO767" s="82" t="n">
        <f aca="false">IF(E767="","",(AA767&lt;&gt;"")+(AG767&lt;&gt;"")+(AL767&lt;&gt;""))</f>
        <v>0</v>
      </c>
      <c r="AP767" s="82" t="str">
        <f aca="false">IF(AL767&lt;&gt;"",AL767,IF(AG767&lt;&gt;"",AG767,IF(AA767&lt;&gt;"",AA767,"")))</f>
        <v/>
      </c>
      <c r="AQ767" s="84" t="str">
        <f aca="false">IF(E767="","",IF(U767="","À SOUDER",IF(X767="","VT EN ATTENTE",IF(X767="R","VT REJETÉ – À REPRENDRE",IF(AP767="","À RADIOGRAPHIER",IF(AP767="A","ACCEPTÉ",IF(AP767="NX","NX – RT À REFAIRE",IF(IF(AO767=1,AD767,IF(AO767=2,AI767,""))="A","RÉPARÉ – À RADIOGRAPHIER",IF(IF(AO767=1,AD767,IF(AO767=2,AI767,""))="R","VT REJETÉ – À REPRENDRE",IF(OR(AP767="CO",AP767="NT"),"COUPE – À RESOUDER","À RÉPARER"))))))))))</f>
        <v>À RADIOGRAPHIER</v>
      </c>
      <c r="AR767" s="82" t="n">
        <f aca="false">IF(AND(ISNUMBER(U767),OR(AQ767="À RADIOGRAPHIER",AQ767="RÉPARÉ – À RADIOGRAPHIER",AQ767="NX – RT À REFAIRE",AQ767="À RÉPARER",AQ767="COUPE – À RESOUDER",AQ767="VT REJETÉ – À REPRENDRE")),MAX(0,'PROGRAMME RT'!$C$4-U767),"")</f>
        <v>2</v>
      </c>
      <c r="AS767" s="82" t="n">
        <f aca="false">IF(AND(OR(AQ767="À RADIOGRAPHIER",AQ767="RÉPARÉ – À RADIOGRAPHIER",AQ767="NX – RT À REFAIRE"),OR('PROGRAMME RT'!$D$5="TOUTES",B767='PROGRAMME RT'!$D$5)),1,0)</f>
        <v>1</v>
      </c>
      <c r="AT767" s="82" t="n">
        <f aca="false">IF(AS767=1,SUM(AS$7:AS767),"")</f>
        <v>2</v>
      </c>
      <c r="AU767" s="82" t="n">
        <f aca="false">IF(AND(OR(AA767="R",AA767="NX",AA767="NT",AA767="CO"),OR('JOINTS DE RÉPARATION'!$D$5="TOUTES",B767='JOINTS DE RÉPARATION'!$D$5),OR('JOINTS DE RÉPARATION'!$L$4="TOUS",AQ767&lt;&gt;"ACCEPTÉ")),1,0)</f>
        <v>0</v>
      </c>
      <c r="AV767" s="82" t="str">
        <f aca="false">IF(AU767=1,SUM(AU$7:AU767),"")</f>
        <v/>
      </c>
      <c r="AW767" s="82" t="str">
        <f aca="false">IF(E767="","",B767&amp;"|"&amp;E767)</f>
        <v>MFD-ISW → MFD-CPF|JN°759</v>
      </c>
    </row>
    <row r="768" customFormat="false" ht="74.6" hidden="false" customHeight="false" outlineLevel="0" collapsed="false">
      <c r="A768" s="79" t="n">
        <f aca="false">IF(E768="","",ROW()-6)</f>
        <v>762</v>
      </c>
      <c r="B768" s="80" t="s">
        <v>110</v>
      </c>
      <c r="C768" s="81" t="s">
        <v>868</v>
      </c>
      <c r="D768" s="81" t="n">
        <v>4</v>
      </c>
      <c r="E768" s="81" t="s">
        <v>887</v>
      </c>
      <c r="F768" s="82" t="str">
        <f aca="false">IF(E768="","",IF(LEFT(E768,2)="DJ","DJ","JN"))</f>
        <v>DJ</v>
      </c>
      <c r="G768" s="81"/>
      <c r="H768" s="81" t="s">
        <v>871</v>
      </c>
      <c r="I768" s="81" t="n">
        <v>9.53</v>
      </c>
      <c r="J768" s="81" t="s">
        <v>872</v>
      </c>
      <c r="K768" s="81" t="s">
        <v>873</v>
      </c>
      <c r="L768" s="81" t="n">
        <v>2089470</v>
      </c>
      <c r="M768" s="81" t="n">
        <v>15421109</v>
      </c>
      <c r="N768" s="81" t="n">
        <v>11.94</v>
      </c>
      <c r="O768" s="81" t="n">
        <v>2091760</v>
      </c>
      <c r="P768" s="81" t="n">
        <v>15421109</v>
      </c>
      <c r="Q768" s="81" t="n">
        <v>11.94</v>
      </c>
      <c r="R768" s="81" t="s">
        <v>882</v>
      </c>
      <c r="S768" s="81"/>
      <c r="T768" s="81"/>
      <c r="U768" s="83" t="n">
        <v>46290</v>
      </c>
      <c r="V768" s="83" t="n">
        <v>46290</v>
      </c>
      <c r="W768" s="81" t="s">
        <v>875</v>
      </c>
      <c r="X768" s="81" t="s">
        <v>876</v>
      </c>
      <c r="Y768" s="83" t="n">
        <v>46291</v>
      </c>
      <c r="Z768" s="81" t="s">
        <v>877</v>
      </c>
      <c r="AA768" s="81" t="s">
        <v>876</v>
      </c>
      <c r="AB768" s="81"/>
      <c r="AC768" s="81"/>
      <c r="AD768" s="81"/>
      <c r="AE768" s="83"/>
      <c r="AF768" s="81"/>
      <c r="AG768" s="81"/>
      <c r="AH768" s="81"/>
      <c r="AI768" s="81"/>
      <c r="AJ768" s="83"/>
      <c r="AK768" s="81"/>
      <c r="AL768" s="81"/>
      <c r="AM768" s="83"/>
      <c r="AN768" s="80"/>
      <c r="AO768" s="82" t="n">
        <f aca="false">IF(E768="","",(AA768&lt;&gt;"")+(AG768&lt;&gt;"")+(AL768&lt;&gt;""))</f>
        <v>1</v>
      </c>
      <c r="AP768" s="82" t="str">
        <f aca="false">IF(AL768&lt;&gt;"",AL768,IF(AG768&lt;&gt;"",AG768,IF(AA768&lt;&gt;"",AA768,"")))</f>
        <v>A</v>
      </c>
      <c r="AQ768" s="84" t="str">
        <f aca="false">IF(E768="","",IF(U768="","À SOUDER",IF(X768="","VT EN ATTENTE",IF(X768="R","VT REJETÉ – À REPRENDRE",IF(AP768="","À RADIOGRAPHIER",IF(AP768="A","ACCEPTÉ",IF(AP768="NX","NX – RT À REFAIRE",IF(IF(AO768=1,AD768,IF(AO768=2,AI768,""))="A","RÉPARÉ – À RADIOGRAPHIER",IF(IF(AO768=1,AD768,IF(AO768=2,AI768,""))="R","VT REJETÉ – À REPRENDRE",IF(OR(AP768="CO",AP768="NT"),"COUPE – À RESOUDER","À RÉPARER"))))))))))</f>
        <v>ACCEPTÉ</v>
      </c>
      <c r="AR768" s="82" t="str">
        <f aca="false">IF(AND(ISNUMBER(U768),OR(AQ768="À RADIOGRAPHIER",AQ768="RÉPARÉ – À RADIOGRAPHIER",AQ768="NX – RT À REFAIRE",AQ768="À RÉPARER",AQ768="COUPE – À RESOUDER",AQ768="VT REJETÉ – À REPRENDRE")),MAX(0,'PROGRAMME RT'!$C$4-U768),"")</f>
        <v/>
      </c>
      <c r="AS768" s="82" t="n">
        <f aca="false">IF(AND(OR(AQ768="À RADIOGRAPHIER",AQ768="RÉPARÉ – À RADIOGRAPHIER",AQ768="NX – RT À REFAIRE"),OR('PROGRAMME RT'!$D$5="TOUTES",B768='PROGRAMME RT'!$D$5)),1,0)</f>
        <v>0</v>
      </c>
      <c r="AT768" s="82" t="str">
        <f aca="false">IF(AS768=1,SUM(AS$7:AS768),"")</f>
        <v/>
      </c>
      <c r="AU768" s="82" t="n">
        <f aca="false">IF(AND(OR(AA768="R",AA768="NX",AA768="NT",AA768="CO"),OR('JOINTS DE RÉPARATION'!$D$5="TOUTES",B768='JOINTS DE RÉPARATION'!$D$5),OR('JOINTS DE RÉPARATION'!$L$4="TOUS",AQ768&lt;&gt;"ACCEPTÉ")),1,0)</f>
        <v>0</v>
      </c>
      <c r="AV768" s="82" t="str">
        <f aca="false">IF(AU768=1,SUM(AU$7:AU768),"")</f>
        <v/>
      </c>
      <c r="AW768" s="82" t="str">
        <f aca="false">IF(E768="","",B768&amp;"|"&amp;E768)</f>
        <v>MFD-ISW → MFD-CPF|DJ°520</v>
      </c>
    </row>
    <row r="769" customFormat="false" ht="74.6" hidden="false" customHeight="false" outlineLevel="0" collapsed="false">
      <c r="A769" s="79" t="n">
        <f aca="false">IF(E769="","",ROW()-6)</f>
        <v>763</v>
      </c>
      <c r="B769" s="80" t="s">
        <v>110</v>
      </c>
      <c r="C769" s="81"/>
      <c r="D769" s="81" t="n">
        <v>4</v>
      </c>
      <c r="E769" s="81" t="s">
        <v>888</v>
      </c>
      <c r="F769" s="82" t="str">
        <f aca="false">IF(E769="","",IF(LEFT(E769,2)="DJ","DJ","JN"))</f>
        <v>JN</v>
      </c>
      <c r="G769" s="81"/>
      <c r="H769" s="81" t="s">
        <v>871</v>
      </c>
      <c r="I769" s="81" t="n">
        <v>9.53</v>
      </c>
      <c r="J769" s="81" t="s">
        <v>872</v>
      </c>
      <c r="K769" s="81" t="s">
        <v>879</v>
      </c>
      <c r="L769" s="81" t="n">
        <v>2091760</v>
      </c>
      <c r="M769" s="81" t="n">
        <v>15421109</v>
      </c>
      <c r="N769" s="81" t="n">
        <v>11.94</v>
      </c>
      <c r="O769" s="81" t="n">
        <v>2085850</v>
      </c>
      <c r="P769" s="81" t="n">
        <v>15421107</v>
      </c>
      <c r="Q769" s="81" t="n">
        <v>11.94</v>
      </c>
      <c r="R769" s="81" t="s">
        <v>880</v>
      </c>
      <c r="S769" s="81"/>
      <c r="T769" s="81"/>
      <c r="U769" s="83" t="n">
        <v>46291</v>
      </c>
      <c r="V769" s="83" t="n">
        <v>46291</v>
      </c>
      <c r="W769" s="81" t="s">
        <v>886</v>
      </c>
      <c r="X769" s="81" t="s">
        <v>876</v>
      </c>
      <c r="Y769" s="83"/>
      <c r="Z769" s="81"/>
      <c r="AA769" s="81"/>
      <c r="AB769" s="81"/>
      <c r="AC769" s="81"/>
      <c r="AD769" s="81"/>
      <c r="AE769" s="83"/>
      <c r="AF769" s="81"/>
      <c r="AG769" s="81"/>
      <c r="AH769" s="81"/>
      <c r="AI769" s="81"/>
      <c r="AJ769" s="83"/>
      <c r="AK769" s="81"/>
      <c r="AL769" s="81"/>
      <c r="AM769" s="83"/>
      <c r="AN769" s="80"/>
      <c r="AO769" s="82" t="n">
        <f aca="false">IF(E769="","",(AA769&lt;&gt;"")+(AG769&lt;&gt;"")+(AL769&lt;&gt;""))</f>
        <v>0</v>
      </c>
      <c r="AP769" s="82" t="str">
        <f aca="false">IF(AL769&lt;&gt;"",AL769,IF(AG769&lt;&gt;"",AG769,IF(AA769&lt;&gt;"",AA769,"")))</f>
        <v/>
      </c>
      <c r="AQ769" s="84" t="str">
        <f aca="false">IF(E769="","",IF(U769="","À SOUDER",IF(X769="","VT EN ATTENTE",IF(X769="R","VT REJETÉ – À REPRENDRE",IF(AP769="","À RADIOGRAPHIER",IF(AP769="A","ACCEPTÉ",IF(AP769="NX","NX – RT À REFAIRE",IF(IF(AO769=1,AD769,IF(AO769=2,AI769,""))="A","RÉPARÉ – À RADIOGRAPHIER",IF(IF(AO769=1,AD769,IF(AO769=2,AI769,""))="R","VT REJETÉ – À REPRENDRE",IF(OR(AP769="CO",AP769="NT"),"COUPE – À RESOUDER","À RÉPARER"))))))))))</f>
        <v>À RADIOGRAPHIER</v>
      </c>
      <c r="AR769" s="82" t="n">
        <f aca="false">IF(AND(ISNUMBER(U769),OR(AQ769="À RADIOGRAPHIER",AQ769="RÉPARÉ – À RADIOGRAPHIER",AQ769="NX – RT À REFAIRE",AQ769="À RÉPARER",AQ769="COUPE – À RESOUDER",AQ769="VT REJETÉ – À REPRENDRE")),MAX(0,'PROGRAMME RT'!$C$4-U769),"")</f>
        <v>2</v>
      </c>
      <c r="AS769" s="82" t="n">
        <f aca="false">IF(AND(OR(AQ769="À RADIOGRAPHIER",AQ769="RÉPARÉ – À RADIOGRAPHIER",AQ769="NX – RT À REFAIRE"),OR('PROGRAMME RT'!$D$5="TOUTES",B769='PROGRAMME RT'!$D$5)),1,0)</f>
        <v>1</v>
      </c>
      <c r="AT769" s="82" t="n">
        <f aca="false">IF(AS769=1,SUM(AS$7:AS769),"")</f>
        <v>3</v>
      </c>
      <c r="AU769" s="82" t="n">
        <f aca="false">IF(AND(OR(AA769="R",AA769="NX",AA769="NT",AA769="CO"),OR('JOINTS DE RÉPARATION'!$D$5="TOUTES",B769='JOINTS DE RÉPARATION'!$D$5),OR('JOINTS DE RÉPARATION'!$L$4="TOUS",AQ769&lt;&gt;"ACCEPTÉ")),1,0)</f>
        <v>0</v>
      </c>
      <c r="AV769" s="82" t="str">
        <f aca="false">IF(AU769=1,SUM(AU$7:AU769),"")</f>
        <v/>
      </c>
      <c r="AW769" s="82" t="str">
        <f aca="false">IF(E769="","",B769&amp;"|"&amp;E769)</f>
        <v>MFD-ISW → MFD-CPF|JN°760</v>
      </c>
    </row>
    <row r="770" customFormat="false" ht="74.6" hidden="false" customHeight="false" outlineLevel="0" collapsed="false">
      <c r="A770" s="79" t="n">
        <f aca="false">IF(E770="","",ROW()-6)</f>
        <v>764</v>
      </c>
      <c r="B770" s="80" t="s">
        <v>110</v>
      </c>
      <c r="C770" s="81" t="s">
        <v>868</v>
      </c>
      <c r="D770" s="81" t="n">
        <v>4</v>
      </c>
      <c r="E770" s="81" t="s">
        <v>889</v>
      </c>
      <c r="F770" s="82" t="str">
        <f aca="false">IF(E770="","",IF(LEFT(E770,2)="DJ","DJ","JN"))</f>
        <v>DJ</v>
      </c>
      <c r="G770" s="81"/>
      <c r="H770" s="81" t="s">
        <v>871</v>
      </c>
      <c r="I770" s="81" t="n">
        <v>9.53</v>
      </c>
      <c r="J770" s="81" t="s">
        <v>872</v>
      </c>
      <c r="K770" s="81" t="s">
        <v>873</v>
      </c>
      <c r="L770" s="81" t="n">
        <v>2085850</v>
      </c>
      <c r="M770" s="81" t="n">
        <v>15421107</v>
      </c>
      <c r="N770" s="81" t="n">
        <v>11.94</v>
      </c>
      <c r="O770" s="81" t="n">
        <v>2096300</v>
      </c>
      <c r="P770" s="81" t="n">
        <v>15421111</v>
      </c>
      <c r="Q770" s="81" t="n">
        <v>11.94</v>
      </c>
      <c r="R770" s="81" t="s">
        <v>882</v>
      </c>
      <c r="S770" s="81"/>
      <c r="T770" s="81"/>
      <c r="U770" s="83" t="n">
        <v>46289</v>
      </c>
      <c r="V770" s="83" t="n">
        <v>46289</v>
      </c>
      <c r="W770" s="81" t="s">
        <v>883</v>
      </c>
      <c r="X770" s="81" t="s">
        <v>876</v>
      </c>
      <c r="Y770" s="83" t="n">
        <v>46290</v>
      </c>
      <c r="Z770" s="81" t="s">
        <v>884</v>
      </c>
      <c r="AA770" s="81" t="s">
        <v>876</v>
      </c>
      <c r="AB770" s="81"/>
      <c r="AC770" s="81"/>
      <c r="AD770" s="81"/>
      <c r="AE770" s="83"/>
      <c r="AF770" s="81"/>
      <c r="AG770" s="81"/>
      <c r="AH770" s="81"/>
      <c r="AI770" s="81"/>
      <c r="AJ770" s="83"/>
      <c r="AK770" s="81"/>
      <c r="AL770" s="81"/>
      <c r="AM770" s="83"/>
      <c r="AN770" s="80"/>
      <c r="AO770" s="82" t="n">
        <f aca="false">IF(E770="","",(AA770&lt;&gt;"")+(AG770&lt;&gt;"")+(AL770&lt;&gt;""))</f>
        <v>1</v>
      </c>
      <c r="AP770" s="82" t="str">
        <f aca="false">IF(AL770&lt;&gt;"",AL770,IF(AG770&lt;&gt;"",AG770,IF(AA770&lt;&gt;"",AA770,"")))</f>
        <v>A</v>
      </c>
      <c r="AQ770" s="84" t="str">
        <f aca="false">IF(E770="","",IF(U770="","À SOUDER",IF(X770="","VT EN ATTENTE",IF(X770="R","VT REJETÉ – À REPRENDRE",IF(AP770="","À RADIOGRAPHIER",IF(AP770="A","ACCEPTÉ",IF(AP770="NX","NX – RT À REFAIRE",IF(IF(AO770=1,AD770,IF(AO770=2,AI770,""))="A","RÉPARÉ – À RADIOGRAPHIER",IF(IF(AO770=1,AD770,IF(AO770=2,AI770,""))="R","VT REJETÉ – À REPRENDRE",IF(OR(AP770="CO",AP770="NT"),"COUPE – À RESOUDER","À RÉPARER"))))))))))</f>
        <v>ACCEPTÉ</v>
      </c>
      <c r="AR770" s="82" t="str">
        <f aca="false">IF(AND(ISNUMBER(U770),OR(AQ770="À RADIOGRAPHIER",AQ770="RÉPARÉ – À RADIOGRAPHIER",AQ770="NX – RT À REFAIRE",AQ770="À RÉPARER",AQ770="COUPE – À RESOUDER",AQ770="VT REJETÉ – À REPRENDRE")),MAX(0,'PROGRAMME RT'!$C$4-U770),"")</f>
        <v/>
      </c>
      <c r="AS770" s="82" t="n">
        <f aca="false">IF(AND(OR(AQ770="À RADIOGRAPHIER",AQ770="RÉPARÉ – À RADIOGRAPHIER",AQ770="NX – RT À REFAIRE"),OR('PROGRAMME RT'!$D$5="TOUTES",B770='PROGRAMME RT'!$D$5)),1,0)</f>
        <v>0</v>
      </c>
      <c r="AT770" s="82" t="str">
        <f aca="false">IF(AS770=1,SUM(AS$7:AS770),"")</f>
        <v/>
      </c>
      <c r="AU770" s="82" t="n">
        <f aca="false">IF(AND(OR(AA770="R",AA770="NX",AA770="NT",AA770="CO"),OR('JOINTS DE RÉPARATION'!$D$5="TOUTES",B770='JOINTS DE RÉPARATION'!$D$5),OR('JOINTS DE RÉPARATION'!$L$4="TOUS",AQ770&lt;&gt;"ACCEPTÉ")),1,0)</f>
        <v>0</v>
      </c>
      <c r="AV770" s="82" t="str">
        <f aca="false">IF(AU770=1,SUM(AU$7:AU770),"")</f>
        <v/>
      </c>
      <c r="AW770" s="82" t="str">
        <f aca="false">IF(E770="","",B770&amp;"|"&amp;E770)</f>
        <v>MFD-ISW → MFD-CPF|DJ°505</v>
      </c>
    </row>
    <row r="771" customFormat="false" ht="74.6" hidden="false" customHeight="false" outlineLevel="0" collapsed="false">
      <c r="A771" s="79" t="n">
        <f aca="false">IF(E771="","",ROW()-6)</f>
        <v>765</v>
      </c>
      <c r="B771" s="80" t="s">
        <v>110</v>
      </c>
      <c r="C771" s="81"/>
      <c r="D771" s="81" t="n">
        <v>4</v>
      </c>
      <c r="E771" s="81" t="s">
        <v>890</v>
      </c>
      <c r="F771" s="82" t="str">
        <f aca="false">IF(E771="","",IF(LEFT(E771,2)="DJ","DJ","JN"))</f>
        <v>JN</v>
      </c>
      <c r="G771" s="81"/>
      <c r="H771" s="81" t="s">
        <v>871</v>
      </c>
      <c r="I771" s="81" t="n">
        <v>9.53</v>
      </c>
      <c r="J771" s="81" t="s">
        <v>872</v>
      </c>
      <c r="K771" s="81" t="s">
        <v>879</v>
      </c>
      <c r="L771" s="81" t="n">
        <v>2096300</v>
      </c>
      <c r="M771" s="81" t="n">
        <v>15421111</v>
      </c>
      <c r="N771" s="81" t="n">
        <v>11.94</v>
      </c>
      <c r="O771" s="81" t="n">
        <v>2092850</v>
      </c>
      <c r="P771" s="81" t="n">
        <v>15421110</v>
      </c>
      <c r="Q771" s="81" t="n">
        <v>11.94</v>
      </c>
      <c r="R771" s="81" t="s">
        <v>880</v>
      </c>
      <c r="S771" s="81"/>
      <c r="T771" s="81"/>
      <c r="U771" s="83" t="n">
        <v>46291</v>
      </c>
      <c r="V771" s="83" t="n">
        <v>46291</v>
      </c>
      <c r="W771" s="81" t="s">
        <v>886</v>
      </c>
      <c r="X771" s="81" t="s">
        <v>876</v>
      </c>
      <c r="Y771" s="83"/>
      <c r="Z771" s="81"/>
      <c r="AA771" s="81"/>
      <c r="AB771" s="81"/>
      <c r="AC771" s="81"/>
      <c r="AD771" s="81"/>
      <c r="AE771" s="83"/>
      <c r="AF771" s="81"/>
      <c r="AG771" s="81"/>
      <c r="AH771" s="81"/>
      <c r="AI771" s="81"/>
      <c r="AJ771" s="83"/>
      <c r="AK771" s="81"/>
      <c r="AL771" s="81"/>
      <c r="AM771" s="83"/>
      <c r="AN771" s="80"/>
      <c r="AO771" s="82" t="n">
        <f aca="false">IF(E771="","",(AA771&lt;&gt;"")+(AG771&lt;&gt;"")+(AL771&lt;&gt;""))</f>
        <v>0</v>
      </c>
      <c r="AP771" s="82" t="str">
        <f aca="false">IF(AL771&lt;&gt;"",AL771,IF(AG771&lt;&gt;"",AG771,IF(AA771&lt;&gt;"",AA771,"")))</f>
        <v/>
      </c>
      <c r="AQ771" s="84" t="str">
        <f aca="false">IF(E771="","",IF(U771="","À SOUDER",IF(X771="","VT EN ATTENTE",IF(X771="R","VT REJETÉ – À REPRENDRE",IF(AP771="","À RADIOGRAPHIER",IF(AP771="A","ACCEPTÉ",IF(AP771="NX","NX – RT À REFAIRE",IF(IF(AO771=1,AD771,IF(AO771=2,AI771,""))="A","RÉPARÉ – À RADIOGRAPHIER",IF(IF(AO771=1,AD771,IF(AO771=2,AI771,""))="R","VT REJETÉ – À REPRENDRE",IF(OR(AP771="CO",AP771="NT"),"COUPE – À RESOUDER","À RÉPARER"))))))))))</f>
        <v>À RADIOGRAPHIER</v>
      </c>
      <c r="AR771" s="82" t="n">
        <f aca="false">IF(AND(ISNUMBER(U771),OR(AQ771="À RADIOGRAPHIER",AQ771="RÉPARÉ – À RADIOGRAPHIER",AQ771="NX – RT À REFAIRE",AQ771="À RÉPARER",AQ771="COUPE – À RESOUDER",AQ771="VT REJETÉ – À REPRENDRE")),MAX(0,'PROGRAMME RT'!$C$4-U771),"")</f>
        <v>2</v>
      </c>
      <c r="AS771" s="82" t="n">
        <f aca="false">IF(AND(OR(AQ771="À RADIOGRAPHIER",AQ771="RÉPARÉ – À RADIOGRAPHIER",AQ771="NX – RT À REFAIRE"),OR('PROGRAMME RT'!$D$5="TOUTES",B771='PROGRAMME RT'!$D$5)),1,0)</f>
        <v>1</v>
      </c>
      <c r="AT771" s="82" t="n">
        <f aca="false">IF(AS771=1,SUM(AS$7:AS771),"")</f>
        <v>4</v>
      </c>
      <c r="AU771" s="82" t="n">
        <f aca="false">IF(AND(OR(AA771="R",AA771="NX",AA771="NT",AA771="CO"),OR('JOINTS DE RÉPARATION'!$D$5="TOUTES",B771='JOINTS DE RÉPARATION'!$D$5),OR('JOINTS DE RÉPARATION'!$L$4="TOUS",AQ771&lt;&gt;"ACCEPTÉ")),1,0)</f>
        <v>0</v>
      </c>
      <c r="AV771" s="82" t="str">
        <f aca="false">IF(AU771=1,SUM(AU$7:AU771),"")</f>
        <v/>
      </c>
      <c r="AW771" s="82" t="str">
        <f aca="false">IF(E771="","",B771&amp;"|"&amp;E771)</f>
        <v>MFD-ISW → MFD-CPF|JN°761</v>
      </c>
    </row>
    <row r="772" customFormat="false" ht="74.6" hidden="false" customHeight="false" outlineLevel="0" collapsed="false">
      <c r="A772" s="79" t="n">
        <f aca="false">IF(E772="","",ROW()-6)</f>
        <v>766</v>
      </c>
      <c r="B772" s="80" t="s">
        <v>110</v>
      </c>
      <c r="C772" s="81" t="s">
        <v>868</v>
      </c>
      <c r="D772" s="81" t="n">
        <v>4</v>
      </c>
      <c r="E772" s="81" t="s">
        <v>891</v>
      </c>
      <c r="F772" s="82" t="str">
        <f aca="false">IF(E772="","",IF(LEFT(E772,2)="DJ","DJ","JN"))</f>
        <v>DJ</v>
      </c>
      <c r="G772" s="81"/>
      <c r="H772" s="81" t="s">
        <v>871</v>
      </c>
      <c r="I772" s="81" t="n">
        <v>9.53</v>
      </c>
      <c r="J772" s="81" t="s">
        <v>872</v>
      </c>
      <c r="K772" s="81" t="s">
        <v>873</v>
      </c>
      <c r="L772" s="81" t="n">
        <v>2092850</v>
      </c>
      <c r="M772" s="81" t="n">
        <v>15421110</v>
      </c>
      <c r="N772" s="81" t="n">
        <v>11.94</v>
      </c>
      <c r="O772" s="81" t="n">
        <v>2083450</v>
      </c>
      <c r="P772" s="81" t="n">
        <v>15421103</v>
      </c>
      <c r="Q772" s="81" t="n">
        <v>11.94</v>
      </c>
      <c r="R772" s="81" t="s">
        <v>874</v>
      </c>
      <c r="S772" s="81"/>
      <c r="T772" s="81"/>
      <c r="U772" s="83" t="n">
        <v>46286</v>
      </c>
      <c r="V772" s="83" t="n">
        <v>46286</v>
      </c>
      <c r="W772" s="81" t="s">
        <v>892</v>
      </c>
      <c r="X772" s="81" t="s">
        <v>876</v>
      </c>
      <c r="Y772" s="83" t="n">
        <v>46291</v>
      </c>
      <c r="Z772" s="81" t="s">
        <v>877</v>
      </c>
      <c r="AA772" s="81" t="s">
        <v>876</v>
      </c>
      <c r="AB772" s="81"/>
      <c r="AC772" s="81"/>
      <c r="AD772" s="81"/>
      <c r="AE772" s="83"/>
      <c r="AF772" s="81"/>
      <c r="AG772" s="81"/>
      <c r="AH772" s="81"/>
      <c r="AI772" s="81"/>
      <c r="AJ772" s="83"/>
      <c r="AK772" s="81"/>
      <c r="AL772" s="81"/>
      <c r="AM772" s="83"/>
      <c r="AN772" s="80"/>
      <c r="AO772" s="82" t="n">
        <f aca="false">IF(E772="","",(AA772&lt;&gt;"")+(AG772&lt;&gt;"")+(AL772&lt;&gt;""))</f>
        <v>1</v>
      </c>
      <c r="AP772" s="82" t="str">
        <f aca="false">IF(AL772&lt;&gt;"",AL772,IF(AG772&lt;&gt;"",AG772,IF(AA772&lt;&gt;"",AA772,"")))</f>
        <v>A</v>
      </c>
      <c r="AQ772" s="84" t="str">
        <f aca="false">IF(E772="","",IF(U772="","À SOUDER",IF(X772="","VT EN ATTENTE",IF(X772="R","VT REJETÉ – À REPRENDRE",IF(AP772="","À RADIOGRAPHIER",IF(AP772="A","ACCEPTÉ",IF(AP772="NX","NX – RT À REFAIRE",IF(IF(AO772=1,AD772,IF(AO772=2,AI772,""))="A","RÉPARÉ – À RADIOGRAPHIER",IF(IF(AO772=1,AD772,IF(AO772=2,AI772,""))="R","VT REJETÉ – À REPRENDRE",IF(OR(AP772="CO",AP772="NT"),"COUPE – À RESOUDER","À RÉPARER"))))))))))</f>
        <v>ACCEPTÉ</v>
      </c>
      <c r="AR772" s="82" t="str">
        <f aca="false">IF(AND(ISNUMBER(U772),OR(AQ772="À RADIOGRAPHIER",AQ772="RÉPARÉ – À RADIOGRAPHIER",AQ772="NX – RT À REFAIRE",AQ772="À RÉPARER",AQ772="COUPE – À RESOUDER",AQ772="VT REJETÉ – À REPRENDRE")),MAX(0,'PROGRAMME RT'!$C$4-U772),"")</f>
        <v/>
      </c>
      <c r="AS772" s="82" t="n">
        <f aca="false">IF(AND(OR(AQ772="À RADIOGRAPHIER",AQ772="RÉPARÉ – À RADIOGRAPHIER",AQ772="NX – RT À REFAIRE"),OR('PROGRAMME RT'!$D$5="TOUTES",B772='PROGRAMME RT'!$D$5)),1,0)</f>
        <v>0</v>
      </c>
      <c r="AT772" s="82" t="str">
        <f aca="false">IF(AS772=1,SUM(AS$7:AS772),"")</f>
        <v/>
      </c>
      <c r="AU772" s="82" t="n">
        <f aca="false">IF(AND(OR(AA772="R",AA772="NX",AA772="NT",AA772="CO"),OR('JOINTS DE RÉPARATION'!$D$5="TOUTES",B772='JOINTS DE RÉPARATION'!$D$5),OR('JOINTS DE RÉPARATION'!$L$4="TOUS",AQ772&lt;&gt;"ACCEPTÉ")),1,0)</f>
        <v>0</v>
      </c>
      <c r="AV772" s="82" t="str">
        <f aca="false">IF(AU772=1,SUM(AU$7:AU772),"")</f>
        <v/>
      </c>
      <c r="AW772" s="82" t="str">
        <f aca="false">IF(E772="","",B772&amp;"|"&amp;E772)</f>
        <v>MFD-ISW → MFD-CPF|DJ°466</v>
      </c>
    </row>
    <row r="773" customFormat="false" ht="74.6" hidden="false" customHeight="false" outlineLevel="0" collapsed="false">
      <c r="A773" s="79" t="n">
        <f aca="false">IF(E773="","",ROW()-6)</f>
        <v>767</v>
      </c>
      <c r="B773" s="80" t="s">
        <v>110</v>
      </c>
      <c r="C773" s="81"/>
      <c r="D773" s="81" t="n">
        <v>4</v>
      </c>
      <c r="E773" s="81" t="s">
        <v>893</v>
      </c>
      <c r="F773" s="82" t="str">
        <f aca="false">IF(E773="","",IF(LEFT(E773,2)="DJ","DJ","JN"))</f>
        <v>JN</v>
      </c>
      <c r="G773" s="81"/>
      <c r="H773" s="81" t="s">
        <v>871</v>
      </c>
      <c r="I773" s="81" t="n">
        <v>9.53</v>
      </c>
      <c r="J773" s="81" t="s">
        <v>872</v>
      </c>
      <c r="K773" s="81" t="s">
        <v>879</v>
      </c>
      <c r="L773" s="81" t="n">
        <v>2083450</v>
      </c>
      <c r="M773" s="81" t="n">
        <v>15421103</v>
      </c>
      <c r="N773" s="81" t="n">
        <v>11.94</v>
      </c>
      <c r="O773" s="81" t="n">
        <v>2093110</v>
      </c>
      <c r="P773" s="81" t="n">
        <v>15421110</v>
      </c>
      <c r="Q773" s="81" t="n">
        <v>11.94</v>
      </c>
      <c r="R773" s="81" t="s">
        <v>880</v>
      </c>
      <c r="S773" s="81"/>
      <c r="T773" s="81"/>
      <c r="U773" s="83" t="n">
        <v>46291</v>
      </c>
      <c r="V773" s="83" t="n">
        <v>46291</v>
      </c>
      <c r="W773" s="81" t="s">
        <v>886</v>
      </c>
      <c r="X773" s="81" t="s">
        <v>876</v>
      </c>
      <c r="Y773" s="83"/>
      <c r="Z773" s="81"/>
      <c r="AA773" s="81"/>
      <c r="AB773" s="81"/>
      <c r="AC773" s="81"/>
      <c r="AD773" s="81"/>
      <c r="AE773" s="83"/>
      <c r="AF773" s="81"/>
      <c r="AG773" s="81"/>
      <c r="AH773" s="81"/>
      <c r="AI773" s="81"/>
      <c r="AJ773" s="83"/>
      <c r="AK773" s="81"/>
      <c r="AL773" s="81"/>
      <c r="AM773" s="83"/>
      <c r="AN773" s="80"/>
      <c r="AO773" s="82" t="n">
        <f aca="false">IF(E773="","",(AA773&lt;&gt;"")+(AG773&lt;&gt;"")+(AL773&lt;&gt;""))</f>
        <v>0</v>
      </c>
      <c r="AP773" s="82" t="str">
        <f aca="false">IF(AL773&lt;&gt;"",AL773,IF(AG773&lt;&gt;"",AG773,IF(AA773&lt;&gt;"",AA773,"")))</f>
        <v/>
      </c>
      <c r="AQ773" s="84" t="str">
        <f aca="false">IF(E773="","",IF(U773="","À SOUDER",IF(X773="","VT EN ATTENTE",IF(X773="R","VT REJETÉ – À REPRENDRE",IF(AP773="","À RADIOGRAPHIER",IF(AP773="A","ACCEPTÉ",IF(AP773="NX","NX – RT À REFAIRE",IF(IF(AO773=1,AD773,IF(AO773=2,AI773,""))="A","RÉPARÉ – À RADIOGRAPHIER",IF(IF(AO773=1,AD773,IF(AO773=2,AI773,""))="R","VT REJETÉ – À REPRENDRE",IF(OR(AP773="CO",AP773="NT"),"COUPE – À RESOUDER","À RÉPARER"))))))))))</f>
        <v>À RADIOGRAPHIER</v>
      </c>
      <c r="AR773" s="82" t="n">
        <f aca="false">IF(AND(ISNUMBER(U773),OR(AQ773="À RADIOGRAPHIER",AQ773="RÉPARÉ – À RADIOGRAPHIER",AQ773="NX – RT À REFAIRE",AQ773="À RÉPARER",AQ773="COUPE – À RESOUDER",AQ773="VT REJETÉ – À REPRENDRE")),MAX(0,'PROGRAMME RT'!$C$4-U773),"")</f>
        <v>2</v>
      </c>
      <c r="AS773" s="82" t="n">
        <f aca="false">IF(AND(OR(AQ773="À RADIOGRAPHIER",AQ773="RÉPARÉ – À RADIOGRAPHIER",AQ773="NX – RT À REFAIRE"),OR('PROGRAMME RT'!$D$5="TOUTES",B773='PROGRAMME RT'!$D$5)),1,0)</f>
        <v>1</v>
      </c>
      <c r="AT773" s="82" t="n">
        <f aca="false">IF(AS773=1,SUM(AS$7:AS773),"")</f>
        <v>5</v>
      </c>
      <c r="AU773" s="82" t="n">
        <f aca="false">IF(AND(OR(AA773="R",AA773="NX",AA773="NT",AA773="CO"),OR('JOINTS DE RÉPARATION'!$D$5="TOUTES",B773='JOINTS DE RÉPARATION'!$D$5),OR('JOINTS DE RÉPARATION'!$L$4="TOUS",AQ773&lt;&gt;"ACCEPTÉ")),1,0)</f>
        <v>0</v>
      </c>
      <c r="AV773" s="82" t="str">
        <f aca="false">IF(AU773=1,SUM(AU$7:AU773),"")</f>
        <v/>
      </c>
      <c r="AW773" s="82" t="str">
        <f aca="false">IF(E773="","",B773&amp;"|"&amp;E773)</f>
        <v>MFD-ISW → MFD-CPF|JN°762</v>
      </c>
    </row>
    <row r="774" customFormat="false" ht="74.6" hidden="false" customHeight="false" outlineLevel="0" collapsed="false">
      <c r="A774" s="79" t="n">
        <f aca="false">IF(E774="","",ROW()-6)</f>
        <v>768</v>
      </c>
      <c r="B774" s="80" t="s">
        <v>110</v>
      </c>
      <c r="C774" s="81" t="s">
        <v>868</v>
      </c>
      <c r="D774" s="81" t="n">
        <v>4</v>
      </c>
      <c r="E774" s="81" t="s">
        <v>894</v>
      </c>
      <c r="F774" s="82" t="str">
        <f aca="false">IF(E774="","",IF(LEFT(E774,2)="DJ","DJ","JN"))</f>
        <v>DJ</v>
      </c>
      <c r="G774" s="81"/>
      <c r="H774" s="81" t="s">
        <v>871</v>
      </c>
      <c r="I774" s="81" t="n">
        <v>9.53</v>
      </c>
      <c r="J774" s="81" t="s">
        <v>872</v>
      </c>
      <c r="K774" s="81" t="s">
        <v>873</v>
      </c>
      <c r="L774" s="81" t="n">
        <v>2093110</v>
      </c>
      <c r="M774" s="81" t="n">
        <v>15421110</v>
      </c>
      <c r="N774" s="81" t="n">
        <v>11.94</v>
      </c>
      <c r="O774" s="81" t="n">
        <v>2094210</v>
      </c>
      <c r="P774" s="81" t="n">
        <v>15421110</v>
      </c>
      <c r="Q774" s="81" t="n">
        <v>11.94</v>
      </c>
      <c r="R774" s="81" t="s">
        <v>874</v>
      </c>
      <c r="S774" s="81"/>
      <c r="T774" s="81"/>
      <c r="U774" s="83" t="n">
        <v>46286</v>
      </c>
      <c r="V774" s="83" t="n">
        <v>46286</v>
      </c>
      <c r="W774" s="81" t="s">
        <v>892</v>
      </c>
      <c r="X774" s="81" t="s">
        <v>876</v>
      </c>
      <c r="Y774" s="83" t="n">
        <v>46291</v>
      </c>
      <c r="Z774" s="81" t="s">
        <v>877</v>
      </c>
      <c r="AA774" s="81" t="s">
        <v>876</v>
      </c>
      <c r="AB774" s="81"/>
      <c r="AC774" s="81"/>
      <c r="AD774" s="81"/>
      <c r="AE774" s="83"/>
      <c r="AF774" s="81"/>
      <c r="AG774" s="81"/>
      <c r="AH774" s="81"/>
      <c r="AI774" s="81"/>
      <c r="AJ774" s="83"/>
      <c r="AK774" s="81"/>
      <c r="AL774" s="81"/>
      <c r="AM774" s="83"/>
      <c r="AN774" s="80"/>
      <c r="AO774" s="82" t="n">
        <f aca="false">IF(E774="","",(AA774&lt;&gt;"")+(AG774&lt;&gt;"")+(AL774&lt;&gt;""))</f>
        <v>1</v>
      </c>
      <c r="AP774" s="82" t="str">
        <f aca="false">IF(AL774&lt;&gt;"",AL774,IF(AG774&lt;&gt;"",AG774,IF(AA774&lt;&gt;"",AA774,"")))</f>
        <v>A</v>
      </c>
      <c r="AQ774" s="84" t="str">
        <f aca="false">IF(E774="","",IF(U774="","À SOUDER",IF(X774="","VT EN ATTENTE",IF(X774="R","VT REJETÉ – À REPRENDRE",IF(AP774="","À RADIOGRAPHIER",IF(AP774="A","ACCEPTÉ",IF(AP774="NX","NX – RT À REFAIRE",IF(IF(AO774=1,AD774,IF(AO774=2,AI774,""))="A","RÉPARÉ – À RADIOGRAPHIER",IF(IF(AO774=1,AD774,IF(AO774=2,AI774,""))="R","VT REJETÉ – À REPRENDRE",IF(OR(AP774="CO",AP774="NT"),"COUPE – À RESOUDER","À RÉPARER"))))))))))</f>
        <v>ACCEPTÉ</v>
      </c>
      <c r="AR774" s="82" t="str">
        <f aca="false">IF(AND(ISNUMBER(U774),OR(AQ774="À RADIOGRAPHIER",AQ774="RÉPARÉ – À RADIOGRAPHIER",AQ774="NX – RT À REFAIRE",AQ774="À RÉPARER",AQ774="COUPE – À RESOUDER",AQ774="VT REJETÉ – À REPRENDRE")),MAX(0,'PROGRAMME RT'!$C$4-U774),"")</f>
        <v/>
      </c>
      <c r="AS774" s="82" t="n">
        <f aca="false">IF(AND(OR(AQ774="À RADIOGRAPHIER",AQ774="RÉPARÉ – À RADIOGRAPHIER",AQ774="NX – RT À REFAIRE"),OR('PROGRAMME RT'!$D$5="TOUTES",B774='PROGRAMME RT'!$D$5)),1,0)</f>
        <v>0</v>
      </c>
      <c r="AT774" s="82" t="str">
        <f aca="false">IF(AS774=1,SUM(AS$7:AS774),"")</f>
        <v/>
      </c>
      <c r="AU774" s="82" t="n">
        <f aca="false">IF(AND(OR(AA774="R",AA774="NX",AA774="NT",AA774="CO"),OR('JOINTS DE RÉPARATION'!$D$5="TOUTES",B774='JOINTS DE RÉPARATION'!$D$5),OR('JOINTS DE RÉPARATION'!$L$4="TOUS",AQ774&lt;&gt;"ACCEPTÉ")),1,0)</f>
        <v>0</v>
      </c>
      <c r="AV774" s="82" t="str">
        <f aca="false">IF(AU774=1,SUM(AU$7:AU774),"")</f>
        <v/>
      </c>
      <c r="AW774" s="82" t="str">
        <f aca="false">IF(E774="","",B774&amp;"|"&amp;E774)</f>
        <v>MFD-ISW → MFD-CPF|DJ°477</v>
      </c>
    </row>
    <row r="775" customFormat="false" ht="74.6" hidden="false" customHeight="false" outlineLevel="0" collapsed="false">
      <c r="A775" s="79" t="n">
        <f aca="false">IF(E775="","",ROW()-6)</f>
        <v>769</v>
      </c>
      <c r="B775" s="80" t="s">
        <v>110</v>
      </c>
      <c r="C775" s="81"/>
      <c r="D775" s="81" t="s">
        <v>895</v>
      </c>
      <c r="E775" s="81" t="s">
        <v>896</v>
      </c>
      <c r="F775" s="82" t="str">
        <f aca="false">IF(E775="","",IF(LEFT(E775,2)="DJ","DJ","JN"))</f>
        <v>JN</v>
      </c>
      <c r="G775" s="81"/>
      <c r="H775" s="81" t="s">
        <v>871</v>
      </c>
      <c r="I775" s="81" t="n">
        <v>9.53</v>
      </c>
      <c r="J775" s="81" t="s">
        <v>872</v>
      </c>
      <c r="K775" s="81"/>
      <c r="L775" s="81"/>
      <c r="M775" s="81"/>
      <c r="N775" s="81"/>
      <c r="O775" s="81"/>
      <c r="P775" s="81"/>
      <c r="Q775" s="81"/>
      <c r="R775" s="81"/>
      <c r="S775" s="81"/>
      <c r="T775" s="81"/>
      <c r="U775" s="83"/>
      <c r="V775" s="83"/>
      <c r="W775" s="81"/>
      <c r="X775" s="81"/>
      <c r="Y775" s="83"/>
      <c r="Z775" s="81"/>
      <c r="AA775" s="81"/>
      <c r="AB775" s="81"/>
      <c r="AC775" s="81"/>
      <c r="AD775" s="81"/>
      <c r="AE775" s="83"/>
      <c r="AF775" s="81"/>
      <c r="AG775" s="81"/>
      <c r="AH775" s="81"/>
      <c r="AI775" s="81"/>
      <c r="AJ775" s="83"/>
      <c r="AK775" s="81"/>
      <c r="AL775" s="81"/>
      <c r="AM775" s="83"/>
      <c r="AN775" s="80"/>
      <c r="AO775" s="82" t="n">
        <f aca="false">IF(E775="","",(AA775&lt;&gt;"")+(AG775&lt;&gt;"")+(AL775&lt;&gt;""))</f>
        <v>0</v>
      </c>
      <c r="AP775" s="82" t="str">
        <f aca="false">IF(AL775&lt;&gt;"",AL775,IF(AG775&lt;&gt;"",AG775,IF(AA775&lt;&gt;"",AA775,"")))</f>
        <v/>
      </c>
      <c r="AQ775" s="84" t="str">
        <f aca="false">IF(E775="","",IF(U775="","À SOUDER",IF(X775="","VT EN ATTENTE",IF(X775="R","VT REJETÉ – À REPRENDRE",IF(AP775="","À RADIOGRAPHIER",IF(AP775="A","ACCEPTÉ",IF(AP775="NX","NX – RT À REFAIRE",IF(IF(AO775=1,AD775,IF(AO775=2,AI775,""))="A","RÉPARÉ – À RADIOGRAPHIER",IF(IF(AO775=1,AD775,IF(AO775=2,AI775,""))="R","VT REJETÉ – À REPRENDRE",IF(OR(AP775="CO",AP775="NT"),"COUPE – À RESOUDER","À RÉPARER"))))))))))</f>
        <v>À SOUDER</v>
      </c>
      <c r="AR775" s="82" t="str">
        <f aca="false">IF(AND(ISNUMBER(U775),OR(AQ775="À RADIOGRAPHIER",AQ775="RÉPARÉ – À RADIOGRAPHIER",AQ775="NX – RT À REFAIRE",AQ775="À RÉPARER",AQ775="COUPE – À RESOUDER",AQ775="VT REJETÉ – À REPRENDRE")),MAX(0,'PROGRAMME RT'!$C$4-U775),"")</f>
        <v/>
      </c>
      <c r="AS775" s="82" t="n">
        <f aca="false">IF(AND(OR(AQ775="À RADIOGRAPHIER",AQ775="RÉPARÉ – À RADIOGRAPHIER",AQ775="NX – RT À REFAIRE"),OR('PROGRAMME RT'!$D$5="TOUTES",B775='PROGRAMME RT'!$D$5)),1,0)</f>
        <v>0</v>
      </c>
      <c r="AT775" s="82" t="str">
        <f aca="false">IF(AS775=1,SUM(AS$7:AS775),"")</f>
        <v/>
      </c>
      <c r="AU775" s="82" t="n">
        <f aca="false">IF(AND(OR(AA775="R",AA775="NX",AA775="NT",AA775="CO"),OR('JOINTS DE RÉPARATION'!$D$5="TOUTES",B775='JOINTS DE RÉPARATION'!$D$5),OR('JOINTS DE RÉPARATION'!$L$4="TOUS",AQ775&lt;&gt;"ACCEPTÉ")),1,0)</f>
        <v>0</v>
      </c>
      <c r="AV775" s="82" t="str">
        <f aca="false">IF(AU775=1,SUM(AU$7:AU775),"")</f>
        <v/>
      </c>
      <c r="AW775" s="82" t="str">
        <f aca="false">IF(E775="","",B775&amp;"|"&amp;E775)</f>
        <v>MFD-ISW → MFD-CPF|JN°763</v>
      </c>
    </row>
    <row r="776" customFormat="false" ht="74.6" hidden="false" customHeight="false" outlineLevel="0" collapsed="false">
      <c r="A776" s="79" t="n">
        <f aca="false">IF(E776="","",ROW()-6)</f>
        <v>770</v>
      </c>
      <c r="B776" s="80" t="s">
        <v>110</v>
      </c>
      <c r="C776" s="81"/>
      <c r="D776" s="81" t="s">
        <v>895</v>
      </c>
      <c r="E776" s="81" t="s">
        <v>897</v>
      </c>
      <c r="F776" s="82" t="str">
        <f aca="false">IF(E776="","",IF(LEFT(E776,2)="DJ","DJ","JN"))</f>
        <v>JN</v>
      </c>
      <c r="G776" s="81"/>
      <c r="H776" s="81" t="s">
        <v>871</v>
      </c>
      <c r="I776" s="81" t="n">
        <v>9.53</v>
      </c>
      <c r="J776" s="81" t="s">
        <v>872</v>
      </c>
      <c r="K776" s="81"/>
      <c r="L776" s="81"/>
      <c r="M776" s="81"/>
      <c r="N776" s="81"/>
      <c r="O776" s="81"/>
      <c r="P776" s="81"/>
      <c r="Q776" s="81"/>
      <c r="R776" s="81"/>
      <c r="S776" s="81"/>
      <c r="T776" s="81"/>
      <c r="U776" s="83"/>
      <c r="V776" s="83"/>
      <c r="W776" s="81"/>
      <c r="X776" s="81"/>
      <c r="Y776" s="83"/>
      <c r="Z776" s="81"/>
      <c r="AA776" s="81"/>
      <c r="AB776" s="81"/>
      <c r="AC776" s="81"/>
      <c r="AD776" s="81"/>
      <c r="AE776" s="83"/>
      <c r="AF776" s="81"/>
      <c r="AG776" s="81"/>
      <c r="AH776" s="81"/>
      <c r="AI776" s="81"/>
      <c r="AJ776" s="83"/>
      <c r="AK776" s="81"/>
      <c r="AL776" s="81"/>
      <c r="AM776" s="83"/>
      <c r="AN776" s="80"/>
      <c r="AO776" s="82" t="n">
        <f aca="false">IF(E776="","",(AA776&lt;&gt;"")+(AG776&lt;&gt;"")+(AL776&lt;&gt;""))</f>
        <v>0</v>
      </c>
      <c r="AP776" s="82" t="str">
        <f aca="false">IF(AL776&lt;&gt;"",AL776,IF(AG776&lt;&gt;"",AG776,IF(AA776&lt;&gt;"",AA776,"")))</f>
        <v/>
      </c>
      <c r="AQ776" s="84" t="str">
        <f aca="false">IF(E776="","",IF(U776="","À SOUDER",IF(X776="","VT EN ATTENTE",IF(X776="R","VT REJETÉ – À REPRENDRE",IF(AP776="","À RADIOGRAPHIER",IF(AP776="A","ACCEPTÉ",IF(AP776="NX","NX – RT À REFAIRE",IF(IF(AO776=1,AD776,IF(AO776=2,AI776,""))="A","RÉPARÉ – À RADIOGRAPHIER",IF(IF(AO776=1,AD776,IF(AO776=2,AI776,""))="R","VT REJETÉ – À REPRENDRE",IF(OR(AP776="CO",AP776="NT"),"COUPE – À RESOUDER","À RÉPARER"))))))))))</f>
        <v>À SOUDER</v>
      </c>
      <c r="AR776" s="82" t="str">
        <f aca="false">IF(AND(ISNUMBER(U776),OR(AQ776="À RADIOGRAPHIER",AQ776="RÉPARÉ – À RADIOGRAPHIER",AQ776="NX – RT À REFAIRE",AQ776="À RÉPARER",AQ776="COUPE – À RESOUDER",AQ776="VT REJETÉ – À REPRENDRE")),MAX(0,'PROGRAMME RT'!$C$4-U776),"")</f>
        <v/>
      </c>
      <c r="AS776" s="82" t="n">
        <f aca="false">IF(AND(OR(AQ776="À RADIOGRAPHIER",AQ776="RÉPARÉ – À RADIOGRAPHIER",AQ776="NX – RT À REFAIRE"),OR('PROGRAMME RT'!$D$5="TOUTES",B776='PROGRAMME RT'!$D$5)),1,0)</f>
        <v>0</v>
      </c>
      <c r="AT776" s="82" t="str">
        <f aca="false">IF(AS776=1,SUM(AS$7:AS776),"")</f>
        <v/>
      </c>
      <c r="AU776" s="82" t="n">
        <f aca="false">IF(AND(OR(AA776="R",AA776="NX",AA776="NT",AA776="CO"),OR('JOINTS DE RÉPARATION'!$D$5="TOUTES",B776='JOINTS DE RÉPARATION'!$D$5),OR('JOINTS DE RÉPARATION'!$L$4="TOUS",AQ776&lt;&gt;"ACCEPTÉ")),1,0)</f>
        <v>0</v>
      </c>
      <c r="AV776" s="82" t="str">
        <f aca="false">IF(AU776=1,SUM(AU$7:AU776),"")</f>
        <v/>
      </c>
      <c r="AW776" s="82" t="str">
        <f aca="false">IF(E776="","",B776&amp;"|"&amp;E776)</f>
        <v>MFD-ISW → MFD-CPF|JN°764</v>
      </c>
    </row>
    <row r="777" customFormat="false" ht="74.6" hidden="false" customHeight="false" outlineLevel="0" collapsed="false">
      <c r="A777" s="79" t="n">
        <f aca="false">IF(E777="","",ROW()-6)</f>
        <v>771</v>
      </c>
      <c r="B777" s="80" t="s">
        <v>110</v>
      </c>
      <c r="C777" s="81" t="s">
        <v>868</v>
      </c>
      <c r="D777" s="81" t="n">
        <v>4</v>
      </c>
      <c r="E777" s="81" t="s">
        <v>898</v>
      </c>
      <c r="F777" s="82" t="str">
        <f aca="false">IF(E777="","",IF(LEFT(E777,2)="DJ","DJ","JN"))</f>
        <v>DJ</v>
      </c>
      <c r="G777" s="81"/>
      <c r="H777" s="81" t="s">
        <v>871</v>
      </c>
      <c r="I777" s="81" t="n">
        <v>9.53</v>
      </c>
      <c r="J777" s="81" t="s">
        <v>872</v>
      </c>
      <c r="K777" s="81" t="s">
        <v>873</v>
      </c>
      <c r="L777" s="81" t="n">
        <v>2078980</v>
      </c>
      <c r="M777" s="81" t="n">
        <v>15421102</v>
      </c>
      <c r="N777" s="81" t="n">
        <v>11.94</v>
      </c>
      <c r="O777" s="81" t="n">
        <v>2095190</v>
      </c>
      <c r="P777" s="81" t="n">
        <v>15421111</v>
      </c>
      <c r="Q777" s="81" t="n">
        <v>11.94</v>
      </c>
      <c r="R777" s="81" t="s">
        <v>899</v>
      </c>
      <c r="S777" s="81"/>
      <c r="T777" s="81"/>
      <c r="U777" s="83" t="n">
        <v>46289</v>
      </c>
      <c r="V777" s="83" t="n">
        <v>46289</v>
      </c>
      <c r="W777" s="81" t="s">
        <v>883</v>
      </c>
      <c r="X777" s="81" t="s">
        <v>876</v>
      </c>
      <c r="Y777" s="83" t="n">
        <v>46290</v>
      </c>
      <c r="Z777" s="81" t="s">
        <v>884</v>
      </c>
      <c r="AA777" s="81" t="s">
        <v>876</v>
      </c>
      <c r="AB777" s="81"/>
      <c r="AC777" s="81"/>
      <c r="AD777" s="81"/>
      <c r="AE777" s="83"/>
      <c r="AF777" s="81"/>
      <c r="AG777" s="81"/>
      <c r="AH777" s="81"/>
      <c r="AI777" s="81"/>
      <c r="AJ777" s="83"/>
      <c r="AK777" s="81"/>
      <c r="AL777" s="81"/>
      <c r="AM777" s="83"/>
      <c r="AN777" s="80"/>
      <c r="AO777" s="82" t="n">
        <f aca="false">IF(E777="","",(AA777&lt;&gt;"")+(AG777&lt;&gt;"")+(AL777&lt;&gt;""))</f>
        <v>1</v>
      </c>
      <c r="AP777" s="82" t="str">
        <f aca="false">IF(AL777&lt;&gt;"",AL777,IF(AG777&lt;&gt;"",AG777,IF(AA777&lt;&gt;"",AA777,"")))</f>
        <v>A</v>
      </c>
      <c r="AQ777" s="84" t="str">
        <f aca="false">IF(E777="","",IF(U777="","À SOUDER",IF(X777="","VT EN ATTENTE",IF(X777="R","VT REJETÉ – À REPRENDRE",IF(AP777="","À RADIOGRAPHIER",IF(AP777="A","ACCEPTÉ",IF(AP777="NX","NX – RT À REFAIRE",IF(IF(AO777=1,AD777,IF(AO777=2,AI777,""))="A","RÉPARÉ – À RADIOGRAPHIER",IF(IF(AO777=1,AD777,IF(AO777=2,AI777,""))="R","VT REJETÉ – À REPRENDRE",IF(OR(AP777="CO",AP777="NT"),"COUPE – À RESOUDER","À RÉPARER"))))))))))</f>
        <v>ACCEPTÉ</v>
      </c>
      <c r="AR777" s="82" t="str">
        <f aca="false">IF(AND(ISNUMBER(U777),OR(AQ777="À RADIOGRAPHIER",AQ777="RÉPARÉ – À RADIOGRAPHIER",AQ777="NX – RT À REFAIRE",AQ777="À RÉPARER",AQ777="COUPE – À RESOUDER",AQ777="VT REJETÉ – À REPRENDRE")),MAX(0,'PROGRAMME RT'!$C$4-U777),"")</f>
        <v/>
      </c>
      <c r="AS777" s="82" t="n">
        <f aca="false">IF(AND(OR(AQ777="À RADIOGRAPHIER",AQ777="RÉPARÉ – À RADIOGRAPHIER",AQ777="NX – RT À REFAIRE"),OR('PROGRAMME RT'!$D$5="TOUTES",B777='PROGRAMME RT'!$D$5)),1,0)</f>
        <v>0</v>
      </c>
      <c r="AT777" s="82" t="str">
        <f aca="false">IF(AS777=1,SUM(AS$7:AS777),"")</f>
        <v/>
      </c>
      <c r="AU777" s="82" t="n">
        <f aca="false">IF(AND(OR(AA777="R",AA777="NX",AA777="NT",AA777="CO"),OR('JOINTS DE RÉPARATION'!$D$5="TOUTES",B777='JOINTS DE RÉPARATION'!$D$5),OR('JOINTS DE RÉPARATION'!$L$4="TOUS",AQ777&lt;&gt;"ACCEPTÉ")),1,0)</f>
        <v>0</v>
      </c>
      <c r="AV777" s="82" t="str">
        <f aca="false">IF(AU777=1,SUM(AU$7:AU777),"")</f>
        <v/>
      </c>
      <c r="AW777" s="82" t="str">
        <f aca="false">IF(E777="","",B777&amp;"|"&amp;E777)</f>
        <v>MFD-ISW → MFD-CPF|DJ°506</v>
      </c>
    </row>
    <row r="778" customFormat="false" ht="74.6" hidden="false" customHeight="false" outlineLevel="0" collapsed="false">
      <c r="A778" s="79" t="n">
        <f aca="false">IF(E778="","",ROW()-6)</f>
        <v>772</v>
      </c>
      <c r="B778" s="80" t="s">
        <v>110</v>
      </c>
      <c r="C778" s="81"/>
      <c r="D778" s="81" t="n">
        <v>4</v>
      </c>
      <c r="E778" s="81" t="s">
        <v>900</v>
      </c>
      <c r="F778" s="82" t="str">
        <f aca="false">IF(E778="","",IF(LEFT(E778,2)="DJ","DJ","JN"))</f>
        <v>JN</v>
      </c>
      <c r="G778" s="81"/>
      <c r="H778" s="81" t="s">
        <v>871</v>
      </c>
      <c r="I778" s="81" t="n">
        <v>9.53</v>
      </c>
      <c r="J778" s="81" t="s">
        <v>872</v>
      </c>
      <c r="K778" s="81" t="s">
        <v>879</v>
      </c>
      <c r="L778" s="81" t="n">
        <v>2095190</v>
      </c>
      <c r="M778" s="81" t="n">
        <v>15421111</v>
      </c>
      <c r="N778" s="81" t="n">
        <v>11.94</v>
      </c>
      <c r="O778" s="81" t="n">
        <v>2092040</v>
      </c>
      <c r="P778" s="81" t="n">
        <v>15421109</v>
      </c>
      <c r="Q778" s="81" t="n">
        <v>11.94</v>
      </c>
      <c r="R778" s="81" t="s">
        <v>880</v>
      </c>
      <c r="S778" s="81"/>
      <c r="T778" s="81"/>
      <c r="U778" s="83" t="n">
        <v>46291</v>
      </c>
      <c r="V778" s="83" t="n">
        <v>46291</v>
      </c>
      <c r="W778" s="81" t="s">
        <v>886</v>
      </c>
      <c r="X778" s="81" t="s">
        <v>876</v>
      </c>
      <c r="Y778" s="83"/>
      <c r="Z778" s="81"/>
      <c r="AA778" s="81"/>
      <c r="AB778" s="81"/>
      <c r="AC778" s="81"/>
      <c r="AD778" s="81"/>
      <c r="AE778" s="83"/>
      <c r="AF778" s="81"/>
      <c r="AG778" s="81"/>
      <c r="AH778" s="81"/>
      <c r="AI778" s="81"/>
      <c r="AJ778" s="83"/>
      <c r="AK778" s="81"/>
      <c r="AL778" s="81"/>
      <c r="AM778" s="83"/>
      <c r="AN778" s="80"/>
      <c r="AO778" s="82" t="n">
        <f aca="false">IF(E778="","",(AA778&lt;&gt;"")+(AG778&lt;&gt;"")+(AL778&lt;&gt;""))</f>
        <v>0</v>
      </c>
      <c r="AP778" s="82" t="str">
        <f aca="false">IF(AL778&lt;&gt;"",AL778,IF(AG778&lt;&gt;"",AG778,IF(AA778&lt;&gt;"",AA778,"")))</f>
        <v/>
      </c>
      <c r="AQ778" s="84" t="str">
        <f aca="false">IF(E778="","",IF(U778="","À SOUDER",IF(X778="","VT EN ATTENTE",IF(X778="R","VT REJETÉ – À REPRENDRE",IF(AP778="","À RADIOGRAPHIER",IF(AP778="A","ACCEPTÉ",IF(AP778="NX","NX – RT À REFAIRE",IF(IF(AO778=1,AD778,IF(AO778=2,AI778,""))="A","RÉPARÉ – À RADIOGRAPHIER",IF(IF(AO778=1,AD778,IF(AO778=2,AI778,""))="R","VT REJETÉ – À REPRENDRE",IF(OR(AP778="CO",AP778="NT"),"COUPE – À RESOUDER","À RÉPARER"))))))))))</f>
        <v>À RADIOGRAPHIER</v>
      </c>
      <c r="AR778" s="82" t="n">
        <f aca="false">IF(AND(ISNUMBER(U778),OR(AQ778="À RADIOGRAPHIER",AQ778="RÉPARÉ – À RADIOGRAPHIER",AQ778="NX – RT À REFAIRE",AQ778="À RÉPARER",AQ778="COUPE – À RESOUDER",AQ778="VT REJETÉ – À REPRENDRE")),MAX(0,'PROGRAMME RT'!$C$4-U778),"")</f>
        <v>2</v>
      </c>
      <c r="AS778" s="82" t="n">
        <f aca="false">IF(AND(OR(AQ778="À RADIOGRAPHIER",AQ778="RÉPARÉ – À RADIOGRAPHIER",AQ778="NX – RT À REFAIRE"),OR('PROGRAMME RT'!$D$5="TOUTES",B778='PROGRAMME RT'!$D$5)),1,0)</f>
        <v>1</v>
      </c>
      <c r="AT778" s="82" t="n">
        <f aca="false">IF(AS778=1,SUM(AS$7:AS778),"")</f>
        <v>6</v>
      </c>
      <c r="AU778" s="82" t="n">
        <f aca="false">IF(AND(OR(AA778="R",AA778="NX",AA778="NT",AA778="CO"),OR('JOINTS DE RÉPARATION'!$D$5="TOUTES",B778='JOINTS DE RÉPARATION'!$D$5),OR('JOINTS DE RÉPARATION'!$L$4="TOUS",AQ778&lt;&gt;"ACCEPTÉ")),1,0)</f>
        <v>0</v>
      </c>
      <c r="AV778" s="82" t="str">
        <f aca="false">IF(AU778=1,SUM(AU$7:AU778),"")</f>
        <v/>
      </c>
      <c r="AW778" s="82" t="str">
        <f aca="false">IF(E778="","",B778&amp;"|"&amp;E778)</f>
        <v>MFD-ISW → MFD-CPF|JN°765</v>
      </c>
    </row>
    <row r="779" customFormat="false" ht="74.6" hidden="false" customHeight="false" outlineLevel="0" collapsed="false">
      <c r="A779" s="79" t="n">
        <f aca="false">IF(E779="","",ROW()-6)</f>
        <v>773</v>
      </c>
      <c r="B779" s="80" t="s">
        <v>110</v>
      </c>
      <c r="C779" s="81" t="s">
        <v>868</v>
      </c>
      <c r="D779" s="81" t="n">
        <v>4</v>
      </c>
      <c r="E779" s="81" t="s">
        <v>901</v>
      </c>
      <c r="F779" s="82" t="str">
        <f aca="false">IF(E779="","",IF(LEFT(E779,2)="DJ","DJ","JN"))</f>
        <v>DJ</v>
      </c>
      <c r="G779" s="81"/>
      <c r="H779" s="81" t="s">
        <v>871</v>
      </c>
      <c r="I779" s="81" t="n">
        <v>9.53</v>
      </c>
      <c r="J779" s="81" t="s">
        <v>872</v>
      </c>
      <c r="K779" s="81" t="s">
        <v>873</v>
      </c>
      <c r="L779" s="81" t="n">
        <v>2092040</v>
      </c>
      <c r="M779" s="81" t="n">
        <v>15421109</v>
      </c>
      <c r="N779" s="81" t="n">
        <v>11.94</v>
      </c>
      <c r="O779" s="81" t="n">
        <v>2091970</v>
      </c>
      <c r="P779" s="81" t="n">
        <v>15421109</v>
      </c>
      <c r="Q779" s="81" t="n">
        <v>11.94</v>
      </c>
      <c r="R779" s="81" t="s">
        <v>882</v>
      </c>
      <c r="S779" s="81"/>
      <c r="T779" s="81"/>
      <c r="U779" s="83" t="n">
        <v>46289</v>
      </c>
      <c r="V779" s="83" t="n">
        <v>46289</v>
      </c>
      <c r="W779" s="81" t="s">
        <v>883</v>
      </c>
      <c r="X779" s="81" t="s">
        <v>876</v>
      </c>
      <c r="Y779" s="83" t="n">
        <v>46290</v>
      </c>
      <c r="Z779" s="81" t="s">
        <v>884</v>
      </c>
      <c r="AA779" s="81" t="s">
        <v>876</v>
      </c>
      <c r="AB779" s="81"/>
      <c r="AC779" s="81"/>
      <c r="AD779" s="81"/>
      <c r="AE779" s="83"/>
      <c r="AF779" s="81"/>
      <c r="AG779" s="81"/>
      <c r="AH779" s="81"/>
      <c r="AI779" s="81"/>
      <c r="AJ779" s="83"/>
      <c r="AK779" s="81"/>
      <c r="AL779" s="81"/>
      <c r="AM779" s="83"/>
      <c r="AN779" s="80"/>
      <c r="AO779" s="82" t="n">
        <f aca="false">IF(E779="","",(AA779&lt;&gt;"")+(AG779&lt;&gt;"")+(AL779&lt;&gt;""))</f>
        <v>1</v>
      </c>
      <c r="AP779" s="82" t="str">
        <f aca="false">IF(AL779&lt;&gt;"",AL779,IF(AG779&lt;&gt;"",AG779,IF(AA779&lt;&gt;"",AA779,"")))</f>
        <v>A</v>
      </c>
      <c r="AQ779" s="84" t="str">
        <f aca="false">IF(E779="","",IF(U779="","À SOUDER",IF(X779="","VT EN ATTENTE",IF(X779="R","VT REJETÉ – À REPRENDRE",IF(AP779="","À RADIOGRAPHIER",IF(AP779="A","ACCEPTÉ",IF(AP779="NX","NX – RT À REFAIRE",IF(IF(AO779=1,AD779,IF(AO779=2,AI779,""))="A","RÉPARÉ – À RADIOGRAPHIER",IF(IF(AO779=1,AD779,IF(AO779=2,AI779,""))="R","VT REJETÉ – À REPRENDRE",IF(OR(AP779="CO",AP779="NT"),"COUPE – À RESOUDER","À RÉPARER"))))))))))</f>
        <v>ACCEPTÉ</v>
      </c>
      <c r="AR779" s="82" t="str">
        <f aca="false">IF(AND(ISNUMBER(U779),OR(AQ779="À RADIOGRAPHIER",AQ779="RÉPARÉ – À RADIOGRAPHIER",AQ779="NX – RT À REFAIRE",AQ779="À RÉPARER",AQ779="COUPE – À RESOUDER",AQ779="VT REJETÉ – À REPRENDRE")),MAX(0,'PROGRAMME RT'!$C$4-U779),"")</f>
        <v/>
      </c>
      <c r="AS779" s="82" t="n">
        <f aca="false">IF(AND(OR(AQ779="À RADIOGRAPHIER",AQ779="RÉPARÉ – À RADIOGRAPHIER",AQ779="NX – RT À REFAIRE"),OR('PROGRAMME RT'!$D$5="TOUTES",B779='PROGRAMME RT'!$D$5)),1,0)</f>
        <v>0</v>
      </c>
      <c r="AT779" s="82" t="str">
        <f aca="false">IF(AS779=1,SUM(AS$7:AS779),"")</f>
        <v/>
      </c>
      <c r="AU779" s="82" t="n">
        <f aca="false">IF(AND(OR(AA779="R",AA779="NX",AA779="NT",AA779="CO"),OR('JOINTS DE RÉPARATION'!$D$5="TOUTES",B779='JOINTS DE RÉPARATION'!$D$5),OR('JOINTS DE RÉPARATION'!$L$4="TOUS",AQ779&lt;&gt;"ACCEPTÉ")),1,0)</f>
        <v>0</v>
      </c>
      <c r="AV779" s="82" t="str">
        <f aca="false">IF(AU779=1,SUM(AU$7:AU779),"")</f>
        <v/>
      </c>
      <c r="AW779" s="82" t="str">
        <f aca="false">IF(E779="","",B779&amp;"|"&amp;E779)</f>
        <v>MFD-ISW → MFD-CPF|DJ°502</v>
      </c>
    </row>
    <row r="780" customFormat="false" ht="74.6" hidden="false" customHeight="false" outlineLevel="0" collapsed="false">
      <c r="A780" s="79" t="n">
        <f aca="false">IF(E780="","",ROW()-6)</f>
        <v>774</v>
      </c>
      <c r="B780" s="80" t="s">
        <v>110</v>
      </c>
      <c r="C780" s="81"/>
      <c r="D780" s="81" t="n">
        <v>4</v>
      </c>
      <c r="E780" s="81" t="s">
        <v>902</v>
      </c>
      <c r="F780" s="82" t="str">
        <f aca="false">IF(E780="","",IF(LEFT(E780,2)="DJ","DJ","JN"))</f>
        <v>JN</v>
      </c>
      <c r="G780" s="81"/>
      <c r="H780" s="81" t="s">
        <v>871</v>
      </c>
      <c r="I780" s="81" t="n">
        <v>9.53</v>
      </c>
      <c r="J780" s="81" t="s">
        <v>872</v>
      </c>
      <c r="K780" s="81" t="s">
        <v>879</v>
      </c>
      <c r="L780" s="81" t="n">
        <v>2091970</v>
      </c>
      <c r="M780" s="81" t="n">
        <v>15421109</v>
      </c>
      <c r="N780" s="81" t="n">
        <v>11.94</v>
      </c>
      <c r="O780" s="81" t="n">
        <v>2082570</v>
      </c>
      <c r="P780" s="81" t="n">
        <v>15421104</v>
      </c>
      <c r="Q780" s="81" t="n">
        <v>11.94</v>
      </c>
      <c r="R780" s="81" t="s">
        <v>880</v>
      </c>
      <c r="S780" s="81"/>
      <c r="T780" s="81"/>
      <c r="U780" s="83" t="n">
        <v>46291</v>
      </c>
      <c r="V780" s="83" t="n">
        <v>46291</v>
      </c>
      <c r="W780" s="81" t="s">
        <v>886</v>
      </c>
      <c r="X780" s="81" t="s">
        <v>876</v>
      </c>
      <c r="Y780" s="83"/>
      <c r="Z780" s="81"/>
      <c r="AA780" s="81"/>
      <c r="AB780" s="81"/>
      <c r="AC780" s="81"/>
      <c r="AD780" s="81"/>
      <c r="AE780" s="83"/>
      <c r="AF780" s="81"/>
      <c r="AG780" s="81"/>
      <c r="AH780" s="81"/>
      <c r="AI780" s="81"/>
      <c r="AJ780" s="83"/>
      <c r="AK780" s="81"/>
      <c r="AL780" s="81"/>
      <c r="AM780" s="83"/>
      <c r="AN780" s="80"/>
      <c r="AO780" s="82" t="n">
        <f aca="false">IF(E780="","",(AA780&lt;&gt;"")+(AG780&lt;&gt;"")+(AL780&lt;&gt;""))</f>
        <v>0</v>
      </c>
      <c r="AP780" s="82" t="str">
        <f aca="false">IF(AL780&lt;&gt;"",AL780,IF(AG780&lt;&gt;"",AG780,IF(AA780&lt;&gt;"",AA780,"")))</f>
        <v/>
      </c>
      <c r="AQ780" s="84" t="str">
        <f aca="false">IF(E780="","",IF(U780="","À SOUDER",IF(X780="","VT EN ATTENTE",IF(X780="R","VT REJETÉ – À REPRENDRE",IF(AP780="","À RADIOGRAPHIER",IF(AP780="A","ACCEPTÉ",IF(AP780="NX","NX – RT À REFAIRE",IF(IF(AO780=1,AD780,IF(AO780=2,AI780,""))="A","RÉPARÉ – À RADIOGRAPHIER",IF(IF(AO780=1,AD780,IF(AO780=2,AI780,""))="R","VT REJETÉ – À REPRENDRE",IF(OR(AP780="CO",AP780="NT"),"COUPE – À RESOUDER","À RÉPARER"))))))))))</f>
        <v>À RADIOGRAPHIER</v>
      </c>
      <c r="AR780" s="82" t="n">
        <f aca="false">IF(AND(ISNUMBER(U780),OR(AQ780="À RADIOGRAPHIER",AQ780="RÉPARÉ – À RADIOGRAPHIER",AQ780="NX – RT À REFAIRE",AQ780="À RÉPARER",AQ780="COUPE – À RESOUDER",AQ780="VT REJETÉ – À REPRENDRE")),MAX(0,'PROGRAMME RT'!$C$4-U780),"")</f>
        <v>2</v>
      </c>
      <c r="AS780" s="82" t="n">
        <f aca="false">IF(AND(OR(AQ780="À RADIOGRAPHIER",AQ780="RÉPARÉ – À RADIOGRAPHIER",AQ780="NX – RT À REFAIRE"),OR('PROGRAMME RT'!$D$5="TOUTES",B780='PROGRAMME RT'!$D$5)),1,0)</f>
        <v>1</v>
      </c>
      <c r="AT780" s="82" t="n">
        <f aca="false">IF(AS780=1,SUM(AS$7:AS780),"")</f>
        <v>7</v>
      </c>
      <c r="AU780" s="82" t="n">
        <f aca="false">IF(AND(OR(AA780="R",AA780="NX",AA780="NT",AA780="CO"),OR('JOINTS DE RÉPARATION'!$D$5="TOUTES",B780='JOINTS DE RÉPARATION'!$D$5),OR('JOINTS DE RÉPARATION'!$L$4="TOUS",AQ780&lt;&gt;"ACCEPTÉ")),1,0)</f>
        <v>0</v>
      </c>
      <c r="AV780" s="82" t="str">
        <f aca="false">IF(AU780=1,SUM(AU$7:AU780),"")</f>
        <v/>
      </c>
      <c r="AW780" s="82" t="str">
        <f aca="false">IF(E780="","",B780&amp;"|"&amp;E780)</f>
        <v>MFD-ISW → MFD-CPF|JN°766</v>
      </c>
    </row>
    <row r="781" customFormat="false" ht="74.6" hidden="false" customHeight="false" outlineLevel="0" collapsed="false">
      <c r="A781" s="79" t="n">
        <f aca="false">IF(E781="","",ROW()-6)</f>
        <v>775</v>
      </c>
      <c r="B781" s="80" t="s">
        <v>110</v>
      </c>
      <c r="C781" s="81" t="s">
        <v>868</v>
      </c>
      <c r="D781" s="81" t="n">
        <v>4</v>
      </c>
      <c r="E781" s="81" t="s">
        <v>903</v>
      </c>
      <c r="F781" s="82" t="str">
        <f aca="false">IF(E781="","",IF(LEFT(E781,2)="DJ","DJ","JN"))</f>
        <v>DJ</v>
      </c>
      <c r="G781" s="81"/>
      <c r="H781" s="81" t="s">
        <v>871</v>
      </c>
      <c r="I781" s="81" t="n">
        <v>9.53</v>
      </c>
      <c r="J781" s="81" t="s">
        <v>872</v>
      </c>
      <c r="K781" s="81" t="s">
        <v>873</v>
      </c>
      <c r="L781" s="81" t="n">
        <v>2082570</v>
      </c>
      <c r="M781" s="81" t="n">
        <v>15421104</v>
      </c>
      <c r="N781" s="81" t="n">
        <v>11.94</v>
      </c>
      <c r="O781" s="81" t="n">
        <v>2094190</v>
      </c>
      <c r="P781" s="81" t="n">
        <v>15421110</v>
      </c>
      <c r="Q781" s="81" t="n">
        <v>11.94</v>
      </c>
      <c r="R781" s="81" t="s">
        <v>874</v>
      </c>
      <c r="S781" s="81"/>
      <c r="T781" s="81"/>
      <c r="U781" s="83" t="n">
        <v>46289</v>
      </c>
      <c r="V781" s="83" t="n">
        <v>46289</v>
      </c>
      <c r="W781" s="81" t="s">
        <v>883</v>
      </c>
      <c r="X781" s="81" t="s">
        <v>876</v>
      </c>
      <c r="Y781" s="83" t="n">
        <v>46290</v>
      </c>
      <c r="Z781" s="81" t="s">
        <v>884</v>
      </c>
      <c r="AA781" s="81" t="s">
        <v>876</v>
      </c>
      <c r="AB781" s="81"/>
      <c r="AC781" s="81"/>
      <c r="AD781" s="81"/>
      <c r="AE781" s="83"/>
      <c r="AF781" s="81"/>
      <c r="AG781" s="81"/>
      <c r="AH781" s="81"/>
      <c r="AI781" s="81"/>
      <c r="AJ781" s="83"/>
      <c r="AK781" s="81"/>
      <c r="AL781" s="81"/>
      <c r="AM781" s="83"/>
      <c r="AN781" s="80"/>
      <c r="AO781" s="82" t="n">
        <f aca="false">IF(E781="","",(AA781&lt;&gt;"")+(AG781&lt;&gt;"")+(AL781&lt;&gt;""))</f>
        <v>1</v>
      </c>
      <c r="AP781" s="82" t="str">
        <f aca="false">IF(AL781&lt;&gt;"",AL781,IF(AG781&lt;&gt;"",AG781,IF(AA781&lt;&gt;"",AA781,"")))</f>
        <v>A</v>
      </c>
      <c r="AQ781" s="84" t="str">
        <f aca="false">IF(E781="","",IF(U781="","À SOUDER",IF(X781="","VT EN ATTENTE",IF(X781="R","VT REJETÉ – À REPRENDRE",IF(AP781="","À RADIOGRAPHIER",IF(AP781="A","ACCEPTÉ",IF(AP781="NX","NX – RT À REFAIRE",IF(IF(AO781=1,AD781,IF(AO781=2,AI781,""))="A","RÉPARÉ – À RADIOGRAPHIER",IF(IF(AO781=1,AD781,IF(AO781=2,AI781,""))="R","VT REJETÉ – À REPRENDRE",IF(OR(AP781="CO",AP781="NT"),"COUPE – À RESOUDER","À RÉPARER"))))))))))</f>
        <v>ACCEPTÉ</v>
      </c>
      <c r="AR781" s="82" t="str">
        <f aca="false">IF(AND(ISNUMBER(U781),OR(AQ781="À RADIOGRAPHIER",AQ781="RÉPARÉ – À RADIOGRAPHIER",AQ781="NX – RT À REFAIRE",AQ781="À RÉPARER",AQ781="COUPE – À RESOUDER",AQ781="VT REJETÉ – À REPRENDRE")),MAX(0,'PROGRAMME RT'!$C$4-U781),"")</f>
        <v/>
      </c>
      <c r="AS781" s="82" t="n">
        <f aca="false">IF(AND(OR(AQ781="À RADIOGRAPHIER",AQ781="RÉPARÉ – À RADIOGRAPHIER",AQ781="NX – RT À REFAIRE"),OR('PROGRAMME RT'!$D$5="TOUTES",B781='PROGRAMME RT'!$D$5)),1,0)</f>
        <v>0</v>
      </c>
      <c r="AT781" s="82" t="str">
        <f aca="false">IF(AS781=1,SUM(AS$7:AS781),"")</f>
        <v/>
      </c>
      <c r="AU781" s="82" t="n">
        <f aca="false">IF(AND(OR(AA781="R",AA781="NX",AA781="NT",AA781="CO"),OR('JOINTS DE RÉPARATION'!$D$5="TOUTES",B781='JOINTS DE RÉPARATION'!$D$5),OR('JOINTS DE RÉPARATION'!$L$4="TOUS",AQ781&lt;&gt;"ACCEPTÉ")),1,0)</f>
        <v>0</v>
      </c>
      <c r="AV781" s="82" t="str">
        <f aca="false">IF(AU781=1,SUM(AU$7:AU781),"")</f>
        <v/>
      </c>
      <c r="AW781" s="82" t="str">
        <f aca="false">IF(E781="","",B781&amp;"|"&amp;E781)</f>
        <v>MFD-ISW → MFD-CPF|DJ°508</v>
      </c>
    </row>
    <row r="782" customFormat="false" ht="74.6" hidden="false" customHeight="false" outlineLevel="0" collapsed="false">
      <c r="A782" s="79" t="n">
        <f aca="false">IF(E782="","",ROW()-6)</f>
        <v>776</v>
      </c>
      <c r="B782" s="80" t="s">
        <v>110</v>
      </c>
      <c r="C782" s="81"/>
      <c r="D782" s="81" t="n">
        <v>4</v>
      </c>
      <c r="E782" s="81" t="s">
        <v>904</v>
      </c>
      <c r="F782" s="82" t="str">
        <f aca="false">IF(E782="","",IF(LEFT(E782,2)="DJ","DJ","JN"))</f>
        <v>JN</v>
      </c>
      <c r="G782" s="81"/>
      <c r="H782" s="81" t="s">
        <v>871</v>
      </c>
      <c r="I782" s="81" t="n">
        <v>9.53</v>
      </c>
      <c r="J782" s="81" t="s">
        <v>872</v>
      </c>
      <c r="K782" s="81" t="s">
        <v>879</v>
      </c>
      <c r="L782" s="81" t="n">
        <v>2094190</v>
      </c>
      <c r="M782" s="81" t="n">
        <v>15421110</v>
      </c>
      <c r="N782" s="81" t="n">
        <v>11.94</v>
      </c>
      <c r="O782" s="81" t="n">
        <v>2081000</v>
      </c>
      <c r="P782" s="81" t="n">
        <v>15421109</v>
      </c>
      <c r="Q782" s="81" t="n">
        <v>11.94</v>
      </c>
      <c r="R782" s="81" t="s">
        <v>880</v>
      </c>
      <c r="S782" s="81"/>
      <c r="T782" s="81"/>
      <c r="U782" s="83" t="n">
        <v>46291</v>
      </c>
      <c r="V782" s="83" t="n">
        <v>46291</v>
      </c>
      <c r="W782" s="81" t="s">
        <v>886</v>
      </c>
      <c r="X782" s="81" t="s">
        <v>876</v>
      </c>
      <c r="Y782" s="83"/>
      <c r="Z782" s="81"/>
      <c r="AA782" s="81"/>
      <c r="AB782" s="81"/>
      <c r="AC782" s="81"/>
      <c r="AD782" s="81"/>
      <c r="AE782" s="83"/>
      <c r="AF782" s="81"/>
      <c r="AG782" s="81"/>
      <c r="AH782" s="81"/>
      <c r="AI782" s="81"/>
      <c r="AJ782" s="83"/>
      <c r="AK782" s="81"/>
      <c r="AL782" s="81"/>
      <c r="AM782" s="83"/>
      <c r="AN782" s="80"/>
      <c r="AO782" s="82" t="n">
        <f aca="false">IF(E782="","",(AA782&lt;&gt;"")+(AG782&lt;&gt;"")+(AL782&lt;&gt;""))</f>
        <v>0</v>
      </c>
      <c r="AP782" s="82" t="str">
        <f aca="false">IF(AL782&lt;&gt;"",AL782,IF(AG782&lt;&gt;"",AG782,IF(AA782&lt;&gt;"",AA782,"")))</f>
        <v/>
      </c>
      <c r="AQ782" s="84" t="str">
        <f aca="false">IF(E782="","",IF(U782="","À SOUDER",IF(X782="","VT EN ATTENTE",IF(X782="R","VT REJETÉ – À REPRENDRE",IF(AP782="","À RADIOGRAPHIER",IF(AP782="A","ACCEPTÉ",IF(AP782="NX","NX – RT À REFAIRE",IF(IF(AO782=1,AD782,IF(AO782=2,AI782,""))="A","RÉPARÉ – À RADIOGRAPHIER",IF(IF(AO782=1,AD782,IF(AO782=2,AI782,""))="R","VT REJETÉ – À REPRENDRE",IF(OR(AP782="CO",AP782="NT"),"COUPE – À RESOUDER","À RÉPARER"))))))))))</f>
        <v>À RADIOGRAPHIER</v>
      </c>
      <c r="AR782" s="82" t="n">
        <f aca="false">IF(AND(ISNUMBER(U782),OR(AQ782="À RADIOGRAPHIER",AQ782="RÉPARÉ – À RADIOGRAPHIER",AQ782="NX – RT À REFAIRE",AQ782="À RÉPARER",AQ782="COUPE – À RESOUDER",AQ782="VT REJETÉ – À REPRENDRE")),MAX(0,'PROGRAMME RT'!$C$4-U782),"")</f>
        <v>2</v>
      </c>
      <c r="AS782" s="82" t="n">
        <f aca="false">IF(AND(OR(AQ782="À RADIOGRAPHIER",AQ782="RÉPARÉ – À RADIOGRAPHIER",AQ782="NX – RT À REFAIRE"),OR('PROGRAMME RT'!$D$5="TOUTES",B782='PROGRAMME RT'!$D$5)),1,0)</f>
        <v>1</v>
      </c>
      <c r="AT782" s="82" t="n">
        <f aca="false">IF(AS782=1,SUM(AS$7:AS782),"")</f>
        <v>8</v>
      </c>
      <c r="AU782" s="82" t="n">
        <f aca="false">IF(AND(OR(AA782="R",AA782="NX",AA782="NT",AA782="CO"),OR('JOINTS DE RÉPARATION'!$D$5="TOUTES",B782='JOINTS DE RÉPARATION'!$D$5),OR('JOINTS DE RÉPARATION'!$L$4="TOUS",AQ782&lt;&gt;"ACCEPTÉ")),1,0)</f>
        <v>0</v>
      </c>
      <c r="AV782" s="82" t="str">
        <f aca="false">IF(AU782=1,SUM(AU$7:AU782),"")</f>
        <v/>
      </c>
      <c r="AW782" s="82" t="str">
        <f aca="false">IF(E782="","",B782&amp;"|"&amp;E782)</f>
        <v>MFD-ISW → MFD-CPF|JN°767</v>
      </c>
    </row>
    <row r="783" customFormat="false" ht="74.6" hidden="false" customHeight="false" outlineLevel="0" collapsed="false">
      <c r="A783" s="79" t="n">
        <f aca="false">IF(E783="","",ROW()-6)</f>
        <v>777</v>
      </c>
      <c r="B783" s="80" t="s">
        <v>110</v>
      </c>
      <c r="C783" s="81" t="s">
        <v>868</v>
      </c>
      <c r="D783" s="81" t="n">
        <v>4</v>
      </c>
      <c r="E783" s="81" t="s">
        <v>905</v>
      </c>
      <c r="F783" s="82" t="str">
        <f aca="false">IF(E783="","",IF(LEFT(E783,2)="DJ","DJ","JN"))</f>
        <v>DJ</v>
      </c>
      <c r="G783" s="81"/>
      <c r="H783" s="81" t="s">
        <v>871</v>
      </c>
      <c r="I783" s="81" t="n">
        <v>9.53</v>
      </c>
      <c r="J783" s="81" t="s">
        <v>872</v>
      </c>
      <c r="K783" s="81" t="s">
        <v>873</v>
      </c>
      <c r="L783" s="81" t="n">
        <v>2081000</v>
      </c>
      <c r="M783" s="81" t="n">
        <v>15421109</v>
      </c>
      <c r="N783" s="81" t="n">
        <v>11.94</v>
      </c>
      <c r="O783" s="81" t="n">
        <v>2097230</v>
      </c>
      <c r="P783" s="81" t="n">
        <v>15421109</v>
      </c>
      <c r="Q783" s="81" t="n">
        <v>11.94</v>
      </c>
      <c r="R783" s="81" t="s">
        <v>874</v>
      </c>
      <c r="S783" s="81"/>
      <c r="T783" s="81"/>
      <c r="U783" s="83" t="n">
        <v>46289</v>
      </c>
      <c r="V783" s="83" t="n">
        <v>46289</v>
      </c>
      <c r="W783" s="81" t="s">
        <v>883</v>
      </c>
      <c r="X783" s="81" t="s">
        <v>876</v>
      </c>
      <c r="Y783" s="83" t="n">
        <v>46291</v>
      </c>
      <c r="Z783" s="81" t="s">
        <v>877</v>
      </c>
      <c r="AA783" s="81" t="s">
        <v>876</v>
      </c>
      <c r="AB783" s="81"/>
      <c r="AC783" s="81"/>
      <c r="AD783" s="81"/>
      <c r="AE783" s="83"/>
      <c r="AF783" s="81"/>
      <c r="AG783" s="81"/>
      <c r="AH783" s="81"/>
      <c r="AI783" s="81"/>
      <c r="AJ783" s="83"/>
      <c r="AK783" s="81"/>
      <c r="AL783" s="81"/>
      <c r="AM783" s="83"/>
      <c r="AN783" s="80"/>
      <c r="AO783" s="82" t="n">
        <f aca="false">IF(E783="","",(AA783&lt;&gt;"")+(AG783&lt;&gt;"")+(AL783&lt;&gt;""))</f>
        <v>1</v>
      </c>
      <c r="AP783" s="82" t="str">
        <f aca="false">IF(AL783&lt;&gt;"",AL783,IF(AG783&lt;&gt;"",AG783,IF(AA783&lt;&gt;"",AA783,"")))</f>
        <v>A</v>
      </c>
      <c r="AQ783" s="84" t="str">
        <f aca="false">IF(E783="","",IF(U783="","À SOUDER",IF(X783="","VT EN ATTENTE",IF(X783="R","VT REJETÉ – À REPRENDRE",IF(AP783="","À RADIOGRAPHIER",IF(AP783="A","ACCEPTÉ",IF(AP783="NX","NX – RT À REFAIRE",IF(IF(AO783=1,AD783,IF(AO783=2,AI783,""))="A","RÉPARÉ – À RADIOGRAPHIER",IF(IF(AO783=1,AD783,IF(AO783=2,AI783,""))="R","VT REJETÉ – À REPRENDRE",IF(OR(AP783="CO",AP783="NT"),"COUPE – À RESOUDER","À RÉPARER"))))))))))</f>
        <v>ACCEPTÉ</v>
      </c>
      <c r="AR783" s="82" t="str">
        <f aca="false">IF(AND(ISNUMBER(U783),OR(AQ783="À RADIOGRAPHIER",AQ783="RÉPARÉ – À RADIOGRAPHIER",AQ783="NX – RT À REFAIRE",AQ783="À RÉPARER",AQ783="COUPE – À RESOUDER",AQ783="VT REJETÉ – À REPRENDRE")),MAX(0,'PROGRAMME RT'!$C$4-U783),"")</f>
        <v/>
      </c>
      <c r="AS783" s="82" t="n">
        <f aca="false">IF(AND(OR(AQ783="À RADIOGRAPHIER",AQ783="RÉPARÉ – À RADIOGRAPHIER",AQ783="NX – RT À REFAIRE"),OR('PROGRAMME RT'!$D$5="TOUTES",B783='PROGRAMME RT'!$D$5)),1,0)</f>
        <v>0</v>
      </c>
      <c r="AT783" s="82" t="str">
        <f aca="false">IF(AS783=1,SUM(AS$7:AS783),"")</f>
        <v/>
      </c>
      <c r="AU783" s="82" t="n">
        <f aca="false">IF(AND(OR(AA783="R",AA783="NX",AA783="NT",AA783="CO"),OR('JOINTS DE RÉPARATION'!$D$5="TOUTES",B783='JOINTS DE RÉPARATION'!$D$5),OR('JOINTS DE RÉPARATION'!$L$4="TOUS",AQ783&lt;&gt;"ACCEPTÉ")),1,0)</f>
        <v>0</v>
      </c>
      <c r="AV783" s="82" t="str">
        <f aca="false">IF(AU783=1,SUM(AU$7:AU783),"")</f>
        <v/>
      </c>
      <c r="AW783" s="82" t="str">
        <f aca="false">IF(E783="","",B783&amp;"|"&amp;E783)</f>
        <v>MFD-ISW → MFD-CPF|DJ°504</v>
      </c>
    </row>
    <row r="784" customFormat="false" ht="74.6" hidden="false" customHeight="false" outlineLevel="0" collapsed="false">
      <c r="A784" s="79" t="n">
        <f aca="false">IF(E784="","",ROW()-6)</f>
        <v>778</v>
      </c>
      <c r="B784" s="80" t="s">
        <v>110</v>
      </c>
      <c r="C784" s="81"/>
      <c r="D784" s="81" t="n">
        <v>4</v>
      </c>
      <c r="E784" s="81" t="s">
        <v>906</v>
      </c>
      <c r="F784" s="82" t="str">
        <f aca="false">IF(E784="","",IF(LEFT(E784,2)="DJ","DJ","JN"))</f>
        <v>JN</v>
      </c>
      <c r="G784" s="81"/>
      <c r="H784" s="81" t="s">
        <v>871</v>
      </c>
      <c r="I784" s="81" t="n">
        <v>9.53</v>
      </c>
      <c r="J784" s="81" t="s">
        <v>872</v>
      </c>
      <c r="K784" s="81" t="s">
        <v>879</v>
      </c>
      <c r="L784" s="81" t="n">
        <v>2097230</v>
      </c>
      <c r="M784" s="81" t="n">
        <v>15421109</v>
      </c>
      <c r="N784" s="81" t="n">
        <v>11.94</v>
      </c>
      <c r="O784" s="81" t="n">
        <v>2085050</v>
      </c>
      <c r="P784" s="81" t="n">
        <v>15421106</v>
      </c>
      <c r="Q784" s="81" t="n">
        <v>11.94</v>
      </c>
      <c r="R784" s="81" t="s">
        <v>880</v>
      </c>
      <c r="S784" s="81"/>
      <c r="T784" s="81"/>
      <c r="U784" s="83" t="n">
        <v>46291</v>
      </c>
      <c r="V784" s="83" t="n">
        <v>46291</v>
      </c>
      <c r="W784" s="81" t="s">
        <v>886</v>
      </c>
      <c r="X784" s="81" t="s">
        <v>876</v>
      </c>
      <c r="Y784" s="83"/>
      <c r="Z784" s="81"/>
      <c r="AA784" s="81"/>
      <c r="AB784" s="81"/>
      <c r="AC784" s="81"/>
      <c r="AD784" s="81"/>
      <c r="AE784" s="83"/>
      <c r="AF784" s="81"/>
      <c r="AG784" s="81"/>
      <c r="AH784" s="81"/>
      <c r="AI784" s="81"/>
      <c r="AJ784" s="83"/>
      <c r="AK784" s="81"/>
      <c r="AL784" s="81"/>
      <c r="AM784" s="83"/>
      <c r="AN784" s="80"/>
      <c r="AO784" s="82" t="n">
        <f aca="false">IF(E784="","",(AA784&lt;&gt;"")+(AG784&lt;&gt;"")+(AL784&lt;&gt;""))</f>
        <v>0</v>
      </c>
      <c r="AP784" s="82" t="str">
        <f aca="false">IF(AL784&lt;&gt;"",AL784,IF(AG784&lt;&gt;"",AG784,IF(AA784&lt;&gt;"",AA784,"")))</f>
        <v/>
      </c>
      <c r="AQ784" s="84" t="str">
        <f aca="false">IF(E784="","",IF(U784="","À SOUDER",IF(X784="","VT EN ATTENTE",IF(X784="R","VT REJETÉ – À REPRENDRE",IF(AP784="","À RADIOGRAPHIER",IF(AP784="A","ACCEPTÉ",IF(AP784="NX","NX – RT À REFAIRE",IF(IF(AO784=1,AD784,IF(AO784=2,AI784,""))="A","RÉPARÉ – À RADIOGRAPHIER",IF(IF(AO784=1,AD784,IF(AO784=2,AI784,""))="R","VT REJETÉ – À REPRENDRE",IF(OR(AP784="CO",AP784="NT"),"COUPE – À RESOUDER","À RÉPARER"))))))))))</f>
        <v>À RADIOGRAPHIER</v>
      </c>
      <c r="AR784" s="82" t="n">
        <f aca="false">IF(AND(ISNUMBER(U784),OR(AQ784="À RADIOGRAPHIER",AQ784="RÉPARÉ – À RADIOGRAPHIER",AQ784="NX – RT À REFAIRE",AQ784="À RÉPARER",AQ784="COUPE – À RESOUDER",AQ784="VT REJETÉ – À REPRENDRE")),MAX(0,'PROGRAMME RT'!$C$4-U784),"")</f>
        <v>2</v>
      </c>
      <c r="AS784" s="82" t="n">
        <f aca="false">IF(AND(OR(AQ784="À RADIOGRAPHIER",AQ784="RÉPARÉ – À RADIOGRAPHIER",AQ784="NX – RT À REFAIRE"),OR('PROGRAMME RT'!$D$5="TOUTES",B784='PROGRAMME RT'!$D$5)),1,0)</f>
        <v>1</v>
      </c>
      <c r="AT784" s="82" t="n">
        <f aca="false">IF(AS784=1,SUM(AS$7:AS784),"")</f>
        <v>9</v>
      </c>
      <c r="AU784" s="82" t="n">
        <f aca="false">IF(AND(OR(AA784="R",AA784="NX",AA784="NT",AA784="CO"),OR('JOINTS DE RÉPARATION'!$D$5="TOUTES",B784='JOINTS DE RÉPARATION'!$D$5),OR('JOINTS DE RÉPARATION'!$L$4="TOUS",AQ784&lt;&gt;"ACCEPTÉ")),1,0)</f>
        <v>0</v>
      </c>
      <c r="AV784" s="82" t="str">
        <f aca="false">IF(AU784=1,SUM(AU$7:AU784),"")</f>
        <v/>
      </c>
      <c r="AW784" s="82" t="str">
        <f aca="false">IF(E784="","",B784&amp;"|"&amp;E784)</f>
        <v>MFD-ISW → MFD-CPF|JN°768</v>
      </c>
    </row>
    <row r="785" customFormat="false" ht="74.6" hidden="false" customHeight="false" outlineLevel="0" collapsed="false">
      <c r="A785" s="79" t="n">
        <f aca="false">IF(E785="","",ROW()-6)</f>
        <v>779</v>
      </c>
      <c r="B785" s="80" t="s">
        <v>110</v>
      </c>
      <c r="C785" s="81" t="s">
        <v>868</v>
      </c>
      <c r="D785" s="81" t="n">
        <v>4</v>
      </c>
      <c r="E785" s="81" t="s">
        <v>907</v>
      </c>
      <c r="F785" s="82" t="str">
        <f aca="false">IF(E785="","",IF(LEFT(E785,2)="DJ","DJ","JN"))</f>
        <v>DJ</v>
      </c>
      <c r="G785" s="81"/>
      <c r="H785" s="81" t="s">
        <v>871</v>
      </c>
      <c r="I785" s="81" t="n">
        <v>9.53</v>
      </c>
      <c r="J785" s="81" t="s">
        <v>872</v>
      </c>
      <c r="K785" s="81" t="s">
        <v>873</v>
      </c>
      <c r="L785" s="81" t="n">
        <v>2085050</v>
      </c>
      <c r="M785" s="81" t="n">
        <v>15421106</v>
      </c>
      <c r="N785" s="81" t="n">
        <v>11.94</v>
      </c>
      <c r="O785" s="81" t="n">
        <v>2079150</v>
      </c>
      <c r="P785" s="81" t="n">
        <v>15421102</v>
      </c>
      <c r="Q785" s="81" t="n">
        <v>11.94</v>
      </c>
      <c r="R785" s="81" t="s">
        <v>882</v>
      </c>
      <c r="S785" s="81"/>
      <c r="T785" s="81"/>
      <c r="U785" s="83" t="n">
        <v>46289</v>
      </c>
      <c r="V785" s="83" t="n">
        <v>46289</v>
      </c>
      <c r="W785" s="81" t="s">
        <v>883</v>
      </c>
      <c r="X785" s="81" t="s">
        <v>876</v>
      </c>
      <c r="Y785" s="83" t="n">
        <v>46291</v>
      </c>
      <c r="Z785" s="81" t="s">
        <v>877</v>
      </c>
      <c r="AA785" s="81" t="s">
        <v>876</v>
      </c>
      <c r="AB785" s="81"/>
      <c r="AC785" s="81"/>
      <c r="AD785" s="81"/>
      <c r="AE785" s="83"/>
      <c r="AF785" s="81"/>
      <c r="AG785" s="81"/>
      <c r="AH785" s="81"/>
      <c r="AI785" s="81"/>
      <c r="AJ785" s="83"/>
      <c r="AK785" s="81"/>
      <c r="AL785" s="81"/>
      <c r="AM785" s="83"/>
      <c r="AN785" s="80"/>
      <c r="AO785" s="82" t="n">
        <f aca="false">IF(E785="","",(AA785&lt;&gt;"")+(AG785&lt;&gt;"")+(AL785&lt;&gt;""))</f>
        <v>1</v>
      </c>
      <c r="AP785" s="82" t="str">
        <f aca="false">IF(AL785&lt;&gt;"",AL785,IF(AG785&lt;&gt;"",AG785,IF(AA785&lt;&gt;"",AA785,"")))</f>
        <v>A</v>
      </c>
      <c r="AQ785" s="84" t="str">
        <f aca="false">IF(E785="","",IF(U785="","À SOUDER",IF(X785="","VT EN ATTENTE",IF(X785="R","VT REJETÉ – À REPRENDRE",IF(AP785="","À RADIOGRAPHIER",IF(AP785="A","ACCEPTÉ",IF(AP785="NX","NX – RT À REFAIRE",IF(IF(AO785=1,AD785,IF(AO785=2,AI785,""))="A","RÉPARÉ – À RADIOGRAPHIER",IF(IF(AO785=1,AD785,IF(AO785=2,AI785,""))="R","VT REJETÉ – À REPRENDRE",IF(OR(AP785="CO",AP785="NT"),"COUPE – À RESOUDER","À RÉPARER"))))))))))</f>
        <v>ACCEPTÉ</v>
      </c>
      <c r="AR785" s="82" t="str">
        <f aca="false">IF(AND(ISNUMBER(U785),OR(AQ785="À RADIOGRAPHIER",AQ785="RÉPARÉ – À RADIOGRAPHIER",AQ785="NX – RT À REFAIRE",AQ785="À RÉPARER",AQ785="COUPE – À RESOUDER",AQ785="VT REJETÉ – À REPRENDRE")),MAX(0,'PROGRAMME RT'!$C$4-U785),"")</f>
        <v/>
      </c>
      <c r="AS785" s="82" t="n">
        <f aca="false">IF(AND(OR(AQ785="À RADIOGRAPHIER",AQ785="RÉPARÉ – À RADIOGRAPHIER",AQ785="NX – RT À REFAIRE"),OR('PROGRAMME RT'!$D$5="TOUTES",B785='PROGRAMME RT'!$D$5)),1,0)</f>
        <v>0</v>
      </c>
      <c r="AT785" s="82" t="str">
        <f aca="false">IF(AS785=1,SUM(AS$7:AS785),"")</f>
        <v/>
      </c>
      <c r="AU785" s="82" t="n">
        <f aca="false">IF(AND(OR(AA785="R",AA785="NX",AA785="NT",AA785="CO"),OR('JOINTS DE RÉPARATION'!$D$5="TOUTES",B785='JOINTS DE RÉPARATION'!$D$5),OR('JOINTS DE RÉPARATION'!$L$4="TOUS",AQ785&lt;&gt;"ACCEPTÉ")),1,0)</f>
        <v>0</v>
      </c>
      <c r="AV785" s="82" t="str">
        <f aca="false">IF(AU785=1,SUM(AU$7:AU785),"")</f>
        <v/>
      </c>
      <c r="AW785" s="82" t="str">
        <f aca="false">IF(E785="","",B785&amp;"|"&amp;E785)</f>
        <v>MFD-ISW → MFD-CPF|DJ°510</v>
      </c>
    </row>
    <row r="786" customFormat="false" ht="74.6" hidden="false" customHeight="false" outlineLevel="0" collapsed="false">
      <c r="A786" s="79" t="n">
        <f aca="false">IF(E786="","",ROW()-6)</f>
        <v>780</v>
      </c>
      <c r="B786" s="80" t="s">
        <v>110</v>
      </c>
      <c r="C786" s="81"/>
      <c r="D786" s="81" t="n">
        <v>4</v>
      </c>
      <c r="E786" s="81" t="s">
        <v>908</v>
      </c>
      <c r="F786" s="82" t="str">
        <f aca="false">IF(E786="","",IF(LEFT(E786,2)="DJ","DJ","JN"))</f>
        <v>JN</v>
      </c>
      <c r="G786" s="81"/>
      <c r="H786" s="81" t="s">
        <v>871</v>
      </c>
      <c r="I786" s="81" t="n">
        <v>9.53</v>
      </c>
      <c r="J786" s="81" t="s">
        <v>872</v>
      </c>
      <c r="K786" s="81" t="s">
        <v>879</v>
      </c>
      <c r="L786" s="81" t="n">
        <v>2079150</v>
      </c>
      <c r="M786" s="81" t="n">
        <v>15421102</v>
      </c>
      <c r="N786" s="81" t="n">
        <v>11.94</v>
      </c>
      <c r="O786" s="81" t="n">
        <v>2089800</v>
      </c>
      <c r="P786" s="81" t="n">
        <v>15421108</v>
      </c>
      <c r="Q786" s="81" t="n">
        <v>11.94</v>
      </c>
      <c r="R786" s="81" t="s">
        <v>880</v>
      </c>
      <c r="S786" s="81"/>
      <c r="T786" s="81"/>
      <c r="U786" s="83" t="n">
        <v>46291</v>
      </c>
      <c r="V786" s="83" t="n">
        <v>46291</v>
      </c>
      <c r="W786" s="81" t="s">
        <v>886</v>
      </c>
      <c r="X786" s="81" t="s">
        <v>876</v>
      </c>
      <c r="Y786" s="83"/>
      <c r="Z786" s="81"/>
      <c r="AA786" s="81"/>
      <c r="AB786" s="81"/>
      <c r="AC786" s="81"/>
      <c r="AD786" s="81"/>
      <c r="AE786" s="83"/>
      <c r="AF786" s="81"/>
      <c r="AG786" s="81"/>
      <c r="AH786" s="81"/>
      <c r="AI786" s="81"/>
      <c r="AJ786" s="83"/>
      <c r="AK786" s="81"/>
      <c r="AL786" s="81"/>
      <c r="AM786" s="83"/>
      <c r="AN786" s="80"/>
      <c r="AO786" s="82" t="n">
        <f aca="false">IF(E786="","",(AA786&lt;&gt;"")+(AG786&lt;&gt;"")+(AL786&lt;&gt;""))</f>
        <v>0</v>
      </c>
      <c r="AP786" s="82" t="str">
        <f aca="false">IF(AL786&lt;&gt;"",AL786,IF(AG786&lt;&gt;"",AG786,IF(AA786&lt;&gt;"",AA786,"")))</f>
        <v/>
      </c>
      <c r="AQ786" s="84" t="str">
        <f aca="false">IF(E786="","",IF(U786="","À SOUDER",IF(X786="","VT EN ATTENTE",IF(X786="R","VT REJETÉ – À REPRENDRE",IF(AP786="","À RADIOGRAPHIER",IF(AP786="A","ACCEPTÉ",IF(AP786="NX","NX – RT À REFAIRE",IF(IF(AO786=1,AD786,IF(AO786=2,AI786,""))="A","RÉPARÉ – À RADIOGRAPHIER",IF(IF(AO786=1,AD786,IF(AO786=2,AI786,""))="R","VT REJETÉ – À REPRENDRE",IF(OR(AP786="CO",AP786="NT"),"COUPE – À RESOUDER","À RÉPARER"))))))))))</f>
        <v>À RADIOGRAPHIER</v>
      </c>
      <c r="AR786" s="82" t="n">
        <f aca="false">IF(AND(ISNUMBER(U786),OR(AQ786="À RADIOGRAPHIER",AQ786="RÉPARÉ – À RADIOGRAPHIER",AQ786="NX – RT À REFAIRE",AQ786="À RÉPARER",AQ786="COUPE – À RESOUDER",AQ786="VT REJETÉ – À REPRENDRE")),MAX(0,'PROGRAMME RT'!$C$4-U786),"")</f>
        <v>2</v>
      </c>
      <c r="AS786" s="82" t="n">
        <f aca="false">IF(AND(OR(AQ786="À RADIOGRAPHIER",AQ786="RÉPARÉ – À RADIOGRAPHIER",AQ786="NX – RT À REFAIRE"),OR('PROGRAMME RT'!$D$5="TOUTES",B786='PROGRAMME RT'!$D$5)),1,0)</f>
        <v>1</v>
      </c>
      <c r="AT786" s="82" t="n">
        <f aca="false">IF(AS786=1,SUM(AS$7:AS786),"")</f>
        <v>10</v>
      </c>
      <c r="AU786" s="82" t="n">
        <f aca="false">IF(AND(OR(AA786="R",AA786="NX",AA786="NT",AA786="CO"),OR('JOINTS DE RÉPARATION'!$D$5="TOUTES",B786='JOINTS DE RÉPARATION'!$D$5),OR('JOINTS DE RÉPARATION'!$L$4="TOUS",AQ786&lt;&gt;"ACCEPTÉ")),1,0)</f>
        <v>0</v>
      </c>
      <c r="AV786" s="82" t="str">
        <f aca="false">IF(AU786=1,SUM(AU$7:AU786),"")</f>
        <v/>
      </c>
      <c r="AW786" s="82" t="str">
        <f aca="false">IF(E786="","",B786&amp;"|"&amp;E786)</f>
        <v>MFD-ISW → MFD-CPF|JN°769</v>
      </c>
    </row>
    <row r="787" customFormat="false" ht="74.6" hidden="false" customHeight="false" outlineLevel="0" collapsed="false">
      <c r="A787" s="79" t="n">
        <f aca="false">IF(E787="","",ROW()-6)</f>
        <v>781</v>
      </c>
      <c r="B787" s="80" t="s">
        <v>110</v>
      </c>
      <c r="C787" s="81" t="s">
        <v>868</v>
      </c>
      <c r="D787" s="81" t="n">
        <v>4</v>
      </c>
      <c r="E787" s="81" t="s">
        <v>909</v>
      </c>
      <c r="F787" s="82" t="str">
        <f aca="false">IF(E787="","",IF(LEFT(E787,2)="DJ","DJ","JN"))</f>
        <v>DJ</v>
      </c>
      <c r="G787" s="81"/>
      <c r="H787" s="81" t="s">
        <v>871</v>
      </c>
      <c r="I787" s="81" t="n">
        <v>9.53</v>
      </c>
      <c r="J787" s="81" t="s">
        <v>872</v>
      </c>
      <c r="K787" s="81" t="s">
        <v>873</v>
      </c>
      <c r="L787" s="81" t="n">
        <v>2089800</v>
      </c>
      <c r="M787" s="81" t="n">
        <v>15421108</v>
      </c>
      <c r="N787" s="81" t="n">
        <v>11.94</v>
      </c>
      <c r="O787" s="81" t="n">
        <v>2081110</v>
      </c>
      <c r="P787" s="81" t="n">
        <v>15421103</v>
      </c>
      <c r="Q787" s="81" t="n">
        <v>11.94</v>
      </c>
      <c r="R787" s="81" t="s">
        <v>899</v>
      </c>
      <c r="S787" s="81"/>
      <c r="T787" s="81"/>
      <c r="U787" s="83" t="n">
        <v>46289</v>
      </c>
      <c r="V787" s="83" t="n">
        <v>46289</v>
      </c>
      <c r="W787" s="81" t="s">
        <v>883</v>
      </c>
      <c r="X787" s="81" t="s">
        <v>876</v>
      </c>
      <c r="Y787" s="83" t="n">
        <v>46291</v>
      </c>
      <c r="Z787" s="81" t="s">
        <v>877</v>
      </c>
      <c r="AA787" s="81" t="s">
        <v>876</v>
      </c>
      <c r="AB787" s="81"/>
      <c r="AC787" s="81"/>
      <c r="AD787" s="81"/>
      <c r="AE787" s="83"/>
      <c r="AF787" s="81"/>
      <c r="AG787" s="81"/>
      <c r="AH787" s="81"/>
      <c r="AI787" s="81"/>
      <c r="AJ787" s="83"/>
      <c r="AK787" s="81"/>
      <c r="AL787" s="81"/>
      <c r="AM787" s="83"/>
      <c r="AN787" s="80"/>
      <c r="AO787" s="82" t="n">
        <f aca="false">IF(E787="","",(AA787&lt;&gt;"")+(AG787&lt;&gt;"")+(AL787&lt;&gt;""))</f>
        <v>1</v>
      </c>
      <c r="AP787" s="82" t="str">
        <f aca="false">IF(AL787&lt;&gt;"",AL787,IF(AG787&lt;&gt;"",AG787,IF(AA787&lt;&gt;"",AA787,"")))</f>
        <v>A</v>
      </c>
      <c r="AQ787" s="84" t="str">
        <f aca="false">IF(E787="","",IF(U787="","À SOUDER",IF(X787="","VT EN ATTENTE",IF(X787="R","VT REJETÉ – À REPRENDRE",IF(AP787="","À RADIOGRAPHIER",IF(AP787="A","ACCEPTÉ",IF(AP787="NX","NX – RT À REFAIRE",IF(IF(AO787=1,AD787,IF(AO787=2,AI787,""))="A","RÉPARÉ – À RADIOGRAPHIER",IF(IF(AO787=1,AD787,IF(AO787=2,AI787,""))="R","VT REJETÉ – À REPRENDRE",IF(OR(AP787="CO",AP787="NT"),"COUPE – À RESOUDER","À RÉPARER"))))))))))</f>
        <v>ACCEPTÉ</v>
      </c>
      <c r="AR787" s="82" t="str">
        <f aca="false">IF(AND(ISNUMBER(U787),OR(AQ787="À RADIOGRAPHIER",AQ787="RÉPARÉ – À RADIOGRAPHIER",AQ787="NX – RT À REFAIRE",AQ787="À RÉPARER",AQ787="COUPE – À RESOUDER",AQ787="VT REJETÉ – À REPRENDRE")),MAX(0,'PROGRAMME RT'!$C$4-U787),"")</f>
        <v/>
      </c>
      <c r="AS787" s="82" t="n">
        <f aca="false">IF(AND(OR(AQ787="À RADIOGRAPHIER",AQ787="RÉPARÉ – À RADIOGRAPHIER",AQ787="NX – RT À REFAIRE"),OR('PROGRAMME RT'!$D$5="TOUTES",B787='PROGRAMME RT'!$D$5)),1,0)</f>
        <v>0</v>
      </c>
      <c r="AT787" s="82" t="str">
        <f aca="false">IF(AS787=1,SUM(AS$7:AS787),"")</f>
        <v/>
      </c>
      <c r="AU787" s="82" t="n">
        <f aca="false">IF(AND(OR(AA787="R",AA787="NX",AA787="NT",AA787="CO"),OR('JOINTS DE RÉPARATION'!$D$5="TOUTES",B787='JOINTS DE RÉPARATION'!$D$5),OR('JOINTS DE RÉPARATION'!$L$4="TOUS",AQ787&lt;&gt;"ACCEPTÉ")),1,0)</f>
        <v>0</v>
      </c>
      <c r="AV787" s="82" t="str">
        <f aca="false">IF(AU787=1,SUM(AU$7:AU787),"")</f>
        <v/>
      </c>
      <c r="AW787" s="82" t="str">
        <f aca="false">IF(E787="","",B787&amp;"|"&amp;E787)</f>
        <v>MFD-ISW → MFD-CPF|DJ°511</v>
      </c>
    </row>
    <row r="788" customFormat="false" ht="74.6" hidden="false" customHeight="false" outlineLevel="0" collapsed="false">
      <c r="A788" s="79" t="n">
        <f aca="false">IF(E788="","",ROW()-6)</f>
        <v>782</v>
      </c>
      <c r="B788" s="80" t="s">
        <v>110</v>
      </c>
      <c r="C788" s="81"/>
      <c r="D788" s="81" t="n">
        <v>4</v>
      </c>
      <c r="E788" s="81" t="s">
        <v>910</v>
      </c>
      <c r="F788" s="82" t="str">
        <f aca="false">IF(E788="","",IF(LEFT(E788,2)="DJ","DJ","JN"))</f>
        <v>JN</v>
      </c>
      <c r="G788" s="81"/>
      <c r="H788" s="81" t="s">
        <v>871</v>
      </c>
      <c r="I788" s="81" t="n">
        <v>9.53</v>
      </c>
      <c r="J788" s="81" t="s">
        <v>872</v>
      </c>
      <c r="K788" s="81" t="s">
        <v>879</v>
      </c>
      <c r="L788" s="81" t="n">
        <v>2081110</v>
      </c>
      <c r="M788" s="81" t="n">
        <v>15421103</v>
      </c>
      <c r="N788" s="81" t="n">
        <v>11.94</v>
      </c>
      <c r="O788" s="81" t="n">
        <v>2085700</v>
      </c>
      <c r="P788" s="81" t="n">
        <v>15421107</v>
      </c>
      <c r="Q788" s="81" t="n">
        <v>11.94</v>
      </c>
      <c r="R788" s="81" t="s">
        <v>880</v>
      </c>
      <c r="S788" s="81"/>
      <c r="T788" s="81"/>
      <c r="U788" s="83" t="n">
        <v>46291</v>
      </c>
      <c r="V788" s="83" t="n">
        <v>46291</v>
      </c>
      <c r="W788" s="81" t="s">
        <v>886</v>
      </c>
      <c r="X788" s="81" t="s">
        <v>876</v>
      </c>
      <c r="Y788" s="83"/>
      <c r="Z788" s="81"/>
      <c r="AA788" s="81"/>
      <c r="AB788" s="81"/>
      <c r="AC788" s="81"/>
      <c r="AD788" s="81"/>
      <c r="AE788" s="83"/>
      <c r="AF788" s="81"/>
      <c r="AG788" s="81"/>
      <c r="AH788" s="81"/>
      <c r="AI788" s="81"/>
      <c r="AJ788" s="83"/>
      <c r="AK788" s="81"/>
      <c r="AL788" s="81"/>
      <c r="AM788" s="83"/>
      <c r="AN788" s="80"/>
      <c r="AO788" s="82" t="n">
        <f aca="false">IF(E788="","",(AA788&lt;&gt;"")+(AG788&lt;&gt;"")+(AL788&lt;&gt;""))</f>
        <v>0</v>
      </c>
      <c r="AP788" s="82" t="str">
        <f aca="false">IF(AL788&lt;&gt;"",AL788,IF(AG788&lt;&gt;"",AG788,IF(AA788&lt;&gt;"",AA788,"")))</f>
        <v/>
      </c>
      <c r="AQ788" s="84" t="str">
        <f aca="false">IF(E788="","",IF(U788="","À SOUDER",IF(X788="","VT EN ATTENTE",IF(X788="R","VT REJETÉ – À REPRENDRE",IF(AP788="","À RADIOGRAPHIER",IF(AP788="A","ACCEPTÉ",IF(AP788="NX","NX – RT À REFAIRE",IF(IF(AO788=1,AD788,IF(AO788=2,AI788,""))="A","RÉPARÉ – À RADIOGRAPHIER",IF(IF(AO788=1,AD788,IF(AO788=2,AI788,""))="R","VT REJETÉ – À REPRENDRE",IF(OR(AP788="CO",AP788="NT"),"COUPE – À RESOUDER","À RÉPARER"))))))))))</f>
        <v>À RADIOGRAPHIER</v>
      </c>
      <c r="AR788" s="82" t="n">
        <f aca="false">IF(AND(ISNUMBER(U788),OR(AQ788="À RADIOGRAPHIER",AQ788="RÉPARÉ – À RADIOGRAPHIER",AQ788="NX – RT À REFAIRE",AQ788="À RÉPARER",AQ788="COUPE – À RESOUDER",AQ788="VT REJETÉ – À REPRENDRE")),MAX(0,'PROGRAMME RT'!$C$4-U788),"")</f>
        <v>2</v>
      </c>
      <c r="AS788" s="82" t="n">
        <f aca="false">IF(AND(OR(AQ788="À RADIOGRAPHIER",AQ788="RÉPARÉ – À RADIOGRAPHIER",AQ788="NX – RT À REFAIRE"),OR('PROGRAMME RT'!$D$5="TOUTES",B788='PROGRAMME RT'!$D$5)),1,0)</f>
        <v>1</v>
      </c>
      <c r="AT788" s="82" t="n">
        <f aca="false">IF(AS788=1,SUM(AS$7:AS788),"")</f>
        <v>11</v>
      </c>
      <c r="AU788" s="82" t="n">
        <f aca="false">IF(AND(OR(AA788="R",AA788="NX",AA788="NT",AA788="CO"),OR('JOINTS DE RÉPARATION'!$D$5="TOUTES",B788='JOINTS DE RÉPARATION'!$D$5),OR('JOINTS DE RÉPARATION'!$L$4="TOUS",AQ788&lt;&gt;"ACCEPTÉ")),1,0)</f>
        <v>0</v>
      </c>
      <c r="AV788" s="82" t="str">
        <f aca="false">IF(AU788=1,SUM(AU$7:AU788),"")</f>
        <v/>
      </c>
      <c r="AW788" s="82" t="str">
        <f aca="false">IF(E788="","",B788&amp;"|"&amp;E788)</f>
        <v>MFD-ISW → MFD-CPF|JN°770</v>
      </c>
    </row>
    <row r="789" customFormat="false" ht="74.6" hidden="false" customHeight="false" outlineLevel="0" collapsed="false">
      <c r="A789" s="79" t="n">
        <f aca="false">IF(E789="","",ROW()-6)</f>
        <v>783</v>
      </c>
      <c r="B789" s="80" t="s">
        <v>110</v>
      </c>
      <c r="C789" s="81" t="s">
        <v>868</v>
      </c>
      <c r="D789" s="81" t="n">
        <v>4</v>
      </c>
      <c r="E789" s="81" t="s">
        <v>911</v>
      </c>
      <c r="F789" s="82" t="str">
        <f aca="false">IF(E789="","",IF(LEFT(E789,2)="DJ","DJ","JN"))</f>
        <v>DJ</v>
      </c>
      <c r="G789" s="81"/>
      <c r="H789" s="81" t="s">
        <v>871</v>
      </c>
      <c r="I789" s="81" t="n">
        <v>9.53</v>
      </c>
      <c r="J789" s="81" t="s">
        <v>872</v>
      </c>
      <c r="K789" s="81" t="s">
        <v>873</v>
      </c>
      <c r="L789" s="81" t="n">
        <v>2085700</v>
      </c>
      <c r="M789" s="81" t="n">
        <v>15421107</v>
      </c>
      <c r="N789" s="81" t="n">
        <v>11.94</v>
      </c>
      <c r="O789" s="81" t="n">
        <v>2078860</v>
      </c>
      <c r="P789" s="81" t="n">
        <v>15421101</v>
      </c>
      <c r="Q789" s="81" t="n">
        <v>11.94</v>
      </c>
      <c r="R789" s="81" t="s">
        <v>874</v>
      </c>
      <c r="S789" s="81"/>
      <c r="T789" s="81"/>
      <c r="U789" s="83" t="n">
        <v>46290</v>
      </c>
      <c r="V789" s="83" t="n">
        <v>46290</v>
      </c>
      <c r="W789" s="81" t="s">
        <v>875</v>
      </c>
      <c r="X789" s="81" t="s">
        <v>876</v>
      </c>
      <c r="Y789" s="83" t="n">
        <v>46291</v>
      </c>
      <c r="Z789" s="81" t="s">
        <v>877</v>
      </c>
      <c r="AA789" s="81" t="s">
        <v>876</v>
      </c>
      <c r="AB789" s="81"/>
      <c r="AC789" s="81"/>
      <c r="AD789" s="81"/>
      <c r="AE789" s="83"/>
      <c r="AF789" s="81"/>
      <c r="AG789" s="81"/>
      <c r="AH789" s="81"/>
      <c r="AI789" s="81"/>
      <c r="AJ789" s="83"/>
      <c r="AK789" s="81"/>
      <c r="AL789" s="81"/>
      <c r="AM789" s="83"/>
      <c r="AN789" s="80"/>
      <c r="AO789" s="82" t="n">
        <f aca="false">IF(E789="","",(AA789&lt;&gt;"")+(AG789&lt;&gt;"")+(AL789&lt;&gt;""))</f>
        <v>1</v>
      </c>
      <c r="AP789" s="82" t="str">
        <f aca="false">IF(AL789&lt;&gt;"",AL789,IF(AG789&lt;&gt;"",AG789,IF(AA789&lt;&gt;"",AA789,"")))</f>
        <v>A</v>
      </c>
      <c r="AQ789" s="84" t="str">
        <f aca="false">IF(E789="","",IF(U789="","À SOUDER",IF(X789="","VT EN ATTENTE",IF(X789="R","VT REJETÉ – À REPRENDRE",IF(AP789="","À RADIOGRAPHIER",IF(AP789="A","ACCEPTÉ",IF(AP789="NX","NX – RT À REFAIRE",IF(IF(AO789=1,AD789,IF(AO789=2,AI789,""))="A","RÉPARÉ – À RADIOGRAPHIER",IF(IF(AO789=1,AD789,IF(AO789=2,AI789,""))="R","VT REJETÉ – À REPRENDRE",IF(OR(AP789="CO",AP789="NT"),"COUPE – À RESOUDER","À RÉPARER"))))))))))</f>
        <v>ACCEPTÉ</v>
      </c>
      <c r="AR789" s="82" t="str">
        <f aca="false">IF(AND(ISNUMBER(U789),OR(AQ789="À RADIOGRAPHIER",AQ789="RÉPARÉ – À RADIOGRAPHIER",AQ789="NX – RT À REFAIRE",AQ789="À RÉPARER",AQ789="COUPE – À RESOUDER",AQ789="VT REJETÉ – À REPRENDRE")),MAX(0,'PROGRAMME RT'!$C$4-U789),"")</f>
        <v/>
      </c>
      <c r="AS789" s="82" t="n">
        <f aca="false">IF(AND(OR(AQ789="À RADIOGRAPHIER",AQ789="RÉPARÉ – À RADIOGRAPHIER",AQ789="NX – RT À REFAIRE"),OR('PROGRAMME RT'!$D$5="TOUTES",B789='PROGRAMME RT'!$D$5)),1,0)</f>
        <v>0</v>
      </c>
      <c r="AT789" s="82" t="str">
        <f aca="false">IF(AS789=1,SUM(AS$7:AS789),"")</f>
        <v/>
      </c>
      <c r="AU789" s="82" t="n">
        <f aca="false">IF(AND(OR(AA789="R",AA789="NX",AA789="NT",AA789="CO"),OR('JOINTS DE RÉPARATION'!$D$5="TOUTES",B789='JOINTS DE RÉPARATION'!$D$5),OR('JOINTS DE RÉPARATION'!$L$4="TOUS",AQ789&lt;&gt;"ACCEPTÉ")),1,0)</f>
        <v>0</v>
      </c>
      <c r="AV789" s="82" t="str">
        <f aca="false">IF(AU789=1,SUM(AU$7:AU789),"")</f>
        <v/>
      </c>
      <c r="AW789" s="82" t="str">
        <f aca="false">IF(E789="","",B789&amp;"|"&amp;E789)</f>
        <v>MFD-ISW → MFD-CPF|DJ°519</v>
      </c>
    </row>
    <row r="790" customFormat="false" ht="74.6" hidden="false" customHeight="false" outlineLevel="0" collapsed="false">
      <c r="A790" s="79" t="n">
        <f aca="false">IF(E790="","",ROW()-6)</f>
        <v>784</v>
      </c>
      <c r="B790" s="80" t="s">
        <v>110</v>
      </c>
      <c r="C790" s="81"/>
      <c r="D790" s="81" t="n">
        <v>4</v>
      </c>
      <c r="E790" s="81" t="s">
        <v>912</v>
      </c>
      <c r="F790" s="82" t="str">
        <f aca="false">IF(E790="","",IF(LEFT(E790,2)="DJ","DJ","JN"))</f>
        <v>JN</v>
      </c>
      <c r="G790" s="81"/>
      <c r="H790" s="81" t="s">
        <v>871</v>
      </c>
      <c r="I790" s="81" t="n">
        <v>9.53</v>
      </c>
      <c r="J790" s="81" t="s">
        <v>872</v>
      </c>
      <c r="K790" s="81" t="s">
        <v>879</v>
      </c>
      <c r="L790" s="81" t="n">
        <v>2078860</v>
      </c>
      <c r="M790" s="81" t="n">
        <v>15421101</v>
      </c>
      <c r="N790" s="81" t="n">
        <v>11.94</v>
      </c>
      <c r="O790" s="81" t="n">
        <v>2093120</v>
      </c>
      <c r="P790" s="81" t="n">
        <v>15421104</v>
      </c>
      <c r="Q790" s="81" t="n">
        <v>11.94</v>
      </c>
      <c r="R790" s="81" t="s">
        <v>880</v>
      </c>
      <c r="S790" s="81"/>
      <c r="T790" s="81"/>
      <c r="U790" s="83" t="n">
        <v>46291</v>
      </c>
      <c r="V790" s="83" t="n">
        <v>46291</v>
      </c>
      <c r="W790" s="81" t="s">
        <v>886</v>
      </c>
      <c r="X790" s="81" t="s">
        <v>876</v>
      </c>
      <c r="Y790" s="83"/>
      <c r="Z790" s="81"/>
      <c r="AA790" s="81"/>
      <c r="AB790" s="81"/>
      <c r="AC790" s="81"/>
      <c r="AD790" s="81"/>
      <c r="AE790" s="83"/>
      <c r="AF790" s="81"/>
      <c r="AG790" s="81"/>
      <c r="AH790" s="81"/>
      <c r="AI790" s="81"/>
      <c r="AJ790" s="83"/>
      <c r="AK790" s="81"/>
      <c r="AL790" s="81"/>
      <c r="AM790" s="83"/>
      <c r="AN790" s="80"/>
      <c r="AO790" s="82" t="n">
        <f aca="false">IF(E790="","",(AA790&lt;&gt;"")+(AG790&lt;&gt;"")+(AL790&lt;&gt;""))</f>
        <v>0</v>
      </c>
      <c r="AP790" s="82" t="str">
        <f aca="false">IF(AL790&lt;&gt;"",AL790,IF(AG790&lt;&gt;"",AG790,IF(AA790&lt;&gt;"",AA790,"")))</f>
        <v/>
      </c>
      <c r="AQ790" s="84" t="str">
        <f aca="false">IF(E790="","",IF(U790="","À SOUDER",IF(X790="","VT EN ATTENTE",IF(X790="R","VT REJETÉ – À REPRENDRE",IF(AP790="","À RADIOGRAPHIER",IF(AP790="A","ACCEPTÉ",IF(AP790="NX","NX – RT À REFAIRE",IF(IF(AO790=1,AD790,IF(AO790=2,AI790,""))="A","RÉPARÉ – À RADIOGRAPHIER",IF(IF(AO790=1,AD790,IF(AO790=2,AI790,""))="R","VT REJETÉ – À REPRENDRE",IF(OR(AP790="CO",AP790="NT"),"COUPE – À RESOUDER","À RÉPARER"))))))))))</f>
        <v>À RADIOGRAPHIER</v>
      </c>
      <c r="AR790" s="82" t="n">
        <f aca="false">IF(AND(ISNUMBER(U790),OR(AQ790="À RADIOGRAPHIER",AQ790="RÉPARÉ – À RADIOGRAPHIER",AQ790="NX – RT À REFAIRE",AQ790="À RÉPARER",AQ790="COUPE – À RESOUDER",AQ790="VT REJETÉ – À REPRENDRE")),MAX(0,'PROGRAMME RT'!$C$4-U790),"")</f>
        <v>2</v>
      </c>
      <c r="AS790" s="82" t="n">
        <f aca="false">IF(AND(OR(AQ790="À RADIOGRAPHIER",AQ790="RÉPARÉ – À RADIOGRAPHIER",AQ790="NX – RT À REFAIRE"),OR('PROGRAMME RT'!$D$5="TOUTES",B790='PROGRAMME RT'!$D$5)),1,0)</f>
        <v>1</v>
      </c>
      <c r="AT790" s="82" t="n">
        <f aca="false">IF(AS790=1,SUM(AS$7:AS790),"")</f>
        <v>12</v>
      </c>
      <c r="AU790" s="82" t="n">
        <f aca="false">IF(AND(OR(AA790="R",AA790="NX",AA790="NT",AA790="CO"),OR('JOINTS DE RÉPARATION'!$D$5="TOUTES",B790='JOINTS DE RÉPARATION'!$D$5),OR('JOINTS DE RÉPARATION'!$L$4="TOUS",AQ790&lt;&gt;"ACCEPTÉ")),1,0)</f>
        <v>0</v>
      </c>
      <c r="AV790" s="82" t="str">
        <f aca="false">IF(AU790=1,SUM(AU$7:AU790),"")</f>
        <v/>
      </c>
      <c r="AW790" s="82" t="str">
        <f aca="false">IF(E790="","",B790&amp;"|"&amp;E790)</f>
        <v>MFD-ISW → MFD-CPF|JN°771</v>
      </c>
    </row>
    <row r="791" customFormat="false" ht="74.6" hidden="false" customHeight="false" outlineLevel="0" collapsed="false">
      <c r="A791" s="79" t="n">
        <f aca="false">IF(E791="","",ROW()-6)</f>
        <v>785</v>
      </c>
      <c r="B791" s="80" t="s">
        <v>110</v>
      </c>
      <c r="C791" s="81" t="s">
        <v>868</v>
      </c>
      <c r="D791" s="81" t="n">
        <v>4</v>
      </c>
      <c r="E791" s="81" t="s">
        <v>913</v>
      </c>
      <c r="F791" s="82" t="str">
        <f aca="false">IF(E791="","",IF(LEFT(E791,2)="DJ","DJ","JN"))</f>
        <v>DJ</v>
      </c>
      <c r="G791" s="81"/>
      <c r="H791" s="81" t="s">
        <v>871</v>
      </c>
      <c r="I791" s="81" t="n">
        <v>9.53</v>
      </c>
      <c r="J791" s="81" t="s">
        <v>872</v>
      </c>
      <c r="K791" s="81" t="s">
        <v>873</v>
      </c>
      <c r="L791" s="81" t="n">
        <v>2093120</v>
      </c>
      <c r="M791" s="81" t="n">
        <v>15421104</v>
      </c>
      <c r="N791" s="81" t="n">
        <v>11.94</v>
      </c>
      <c r="O791" s="81" t="n">
        <v>2079630</v>
      </c>
      <c r="P791" s="81" t="n">
        <v>15421110</v>
      </c>
      <c r="Q791" s="81" t="n">
        <v>11.94</v>
      </c>
      <c r="R791" s="81" t="s">
        <v>899</v>
      </c>
      <c r="S791" s="81"/>
      <c r="T791" s="81"/>
      <c r="U791" s="83" t="n">
        <v>46289</v>
      </c>
      <c r="V791" s="83" t="n">
        <v>46289</v>
      </c>
      <c r="W791" s="81" t="s">
        <v>883</v>
      </c>
      <c r="X791" s="81" t="s">
        <v>876</v>
      </c>
      <c r="Y791" s="83" t="n">
        <v>46291</v>
      </c>
      <c r="Z791" s="81" t="s">
        <v>877</v>
      </c>
      <c r="AA791" s="81" t="s">
        <v>876</v>
      </c>
      <c r="AB791" s="81"/>
      <c r="AC791" s="81"/>
      <c r="AD791" s="81"/>
      <c r="AE791" s="83"/>
      <c r="AF791" s="81"/>
      <c r="AG791" s="81"/>
      <c r="AH791" s="81"/>
      <c r="AI791" s="81"/>
      <c r="AJ791" s="83"/>
      <c r="AK791" s="81"/>
      <c r="AL791" s="81"/>
      <c r="AM791" s="83"/>
      <c r="AN791" s="80"/>
      <c r="AO791" s="82" t="n">
        <f aca="false">IF(E791="","",(AA791&lt;&gt;"")+(AG791&lt;&gt;"")+(AL791&lt;&gt;""))</f>
        <v>1</v>
      </c>
      <c r="AP791" s="82" t="str">
        <f aca="false">IF(AL791&lt;&gt;"",AL791,IF(AG791&lt;&gt;"",AG791,IF(AA791&lt;&gt;"",AA791,"")))</f>
        <v>A</v>
      </c>
      <c r="AQ791" s="84" t="str">
        <f aca="false">IF(E791="","",IF(U791="","À SOUDER",IF(X791="","VT EN ATTENTE",IF(X791="R","VT REJETÉ – À REPRENDRE",IF(AP791="","À RADIOGRAPHIER",IF(AP791="A","ACCEPTÉ",IF(AP791="NX","NX – RT À REFAIRE",IF(IF(AO791=1,AD791,IF(AO791=2,AI791,""))="A","RÉPARÉ – À RADIOGRAPHIER",IF(IF(AO791=1,AD791,IF(AO791=2,AI791,""))="R","VT REJETÉ – À REPRENDRE",IF(OR(AP791="CO",AP791="NT"),"COUPE – À RESOUDER","À RÉPARER"))))))))))</f>
        <v>ACCEPTÉ</v>
      </c>
      <c r="AR791" s="82" t="str">
        <f aca="false">IF(AND(ISNUMBER(U791),OR(AQ791="À RADIOGRAPHIER",AQ791="RÉPARÉ – À RADIOGRAPHIER",AQ791="NX – RT À REFAIRE",AQ791="À RÉPARER",AQ791="COUPE – À RESOUDER",AQ791="VT REJETÉ – À REPRENDRE")),MAX(0,'PROGRAMME RT'!$C$4-U791),"")</f>
        <v/>
      </c>
      <c r="AS791" s="82" t="n">
        <f aca="false">IF(AND(OR(AQ791="À RADIOGRAPHIER",AQ791="RÉPARÉ – À RADIOGRAPHIER",AQ791="NX – RT À REFAIRE"),OR('PROGRAMME RT'!$D$5="TOUTES",B791='PROGRAMME RT'!$D$5)),1,0)</f>
        <v>0</v>
      </c>
      <c r="AT791" s="82" t="str">
        <f aca="false">IF(AS791=1,SUM(AS$7:AS791),"")</f>
        <v/>
      </c>
      <c r="AU791" s="82" t="n">
        <f aca="false">IF(AND(OR(AA791="R",AA791="NX",AA791="NT",AA791="CO"),OR('JOINTS DE RÉPARATION'!$D$5="TOUTES",B791='JOINTS DE RÉPARATION'!$D$5),OR('JOINTS DE RÉPARATION'!$L$4="TOUS",AQ791&lt;&gt;"ACCEPTÉ")),1,0)</f>
        <v>0</v>
      </c>
      <c r="AV791" s="82" t="str">
        <f aca="false">IF(AU791=1,SUM(AU$7:AU791),"")</f>
        <v/>
      </c>
      <c r="AW791" s="82" t="str">
        <f aca="false">IF(E791="","",B791&amp;"|"&amp;E791)</f>
        <v>MFD-ISW → MFD-CPF|DJ°509</v>
      </c>
    </row>
    <row r="792" customFormat="false" ht="74.6" hidden="false" customHeight="false" outlineLevel="0" collapsed="false">
      <c r="A792" s="79" t="n">
        <f aca="false">IF(E792="","",ROW()-6)</f>
        <v>786</v>
      </c>
      <c r="B792" s="80" t="s">
        <v>110</v>
      </c>
      <c r="C792" s="81"/>
      <c r="D792" s="81" t="n">
        <v>4</v>
      </c>
      <c r="E792" s="81" t="s">
        <v>914</v>
      </c>
      <c r="F792" s="82" t="str">
        <f aca="false">IF(E792="","",IF(LEFT(E792,2)="DJ","DJ","JN"))</f>
        <v>JN</v>
      </c>
      <c r="G792" s="81"/>
      <c r="H792" s="81" t="s">
        <v>871</v>
      </c>
      <c r="I792" s="81" t="n">
        <v>9.53</v>
      </c>
      <c r="J792" s="81" t="s">
        <v>872</v>
      </c>
      <c r="K792" s="81" t="s">
        <v>879</v>
      </c>
      <c r="L792" s="81" t="n">
        <v>2079630</v>
      </c>
      <c r="M792" s="81" t="n">
        <v>15421110</v>
      </c>
      <c r="N792" s="81" t="n">
        <v>11.94</v>
      </c>
      <c r="O792" s="81" t="n">
        <v>2081080</v>
      </c>
      <c r="P792" s="81" t="n">
        <v>15421103</v>
      </c>
      <c r="Q792" s="81" t="n">
        <v>11.94</v>
      </c>
      <c r="R792" s="81" t="s">
        <v>880</v>
      </c>
      <c r="S792" s="81"/>
      <c r="T792" s="81"/>
      <c r="U792" s="83" t="n">
        <v>46291</v>
      </c>
      <c r="V792" s="83" t="n">
        <v>46291</v>
      </c>
      <c r="W792" s="81" t="s">
        <v>886</v>
      </c>
      <c r="X792" s="81" t="s">
        <v>876</v>
      </c>
      <c r="Y792" s="83"/>
      <c r="Z792" s="81"/>
      <c r="AA792" s="81"/>
      <c r="AB792" s="81"/>
      <c r="AC792" s="81"/>
      <c r="AD792" s="81"/>
      <c r="AE792" s="83"/>
      <c r="AF792" s="81"/>
      <c r="AG792" s="81"/>
      <c r="AH792" s="81"/>
      <c r="AI792" s="81"/>
      <c r="AJ792" s="83"/>
      <c r="AK792" s="81"/>
      <c r="AL792" s="81"/>
      <c r="AM792" s="83"/>
      <c r="AN792" s="80"/>
      <c r="AO792" s="82" t="n">
        <f aca="false">IF(E792="","",(AA792&lt;&gt;"")+(AG792&lt;&gt;"")+(AL792&lt;&gt;""))</f>
        <v>0</v>
      </c>
      <c r="AP792" s="82" t="str">
        <f aca="false">IF(AL792&lt;&gt;"",AL792,IF(AG792&lt;&gt;"",AG792,IF(AA792&lt;&gt;"",AA792,"")))</f>
        <v/>
      </c>
      <c r="AQ792" s="84" t="str">
        <f aca="false">IF(E792="","",IF(U792="","À SOUDER",IF(X792="","VT EN ATTENTE",IF(X792="R","VT REJETÉ – À REPRENDRE",IF(AP792="","À RADIOGRAPHIER",IF(AP792="A","ACCEPTÉ",IF(AP792="NX","NX – RT À REFAIRE",IF(IF(AO792=1,AD792,IF(AO792=2,AI792,""))="A","RÉPARÉ – À RADIOGRAPHIER",IF(IF(AO792=1,AD792,IF(AO792=2,AI792,""))="R","VT REJETÉ – À REPRENDRE",IF(OR(AP792="CO",AP792="NT"),"COUPE – À RESOUDER","À RÉPARER"))))))))))</f>
        <v>À RADIOGRAPHIER</v>
      </c>
      <c r="AR792" s="82" t="n">
        <f aca="false">IF(AND(ISNUMBER(U792),OR(AQ792="À RADIOGRAPHIER",AQ792="RÉPARÉ – À RADIOGRAPHIER",AQ792="NX – RT À REFAIRE",AQ792="À RÉPARER",AQ792="COUPE – À RESOUDER",AQ792="VT REJETÉ – À REPRENDRE")),MAX(0,'PROGRAMME RT'!$C$4-U792),"")</f>
        <v>2</v>
      </c>
      <c r="AS792" s="82" t="n">
        <f aca="false">IF(AND(OR(AQ792="À RADIOGRAPHIER",AQ792="RÉPARÉ – À RADIOGRAPHIER",AQ792="NX – RT À REFAIRE"),OR('PROGRAMME RT'!$D$5="TOUTES",B792='PROGRAMME RT'!$D$5)),1,0)</f>
        <v>1</v>
      </c>
      <c r="AT792" s="82" t="n">
        <f aca="false">IF(AS792=1,SUM(AS$7:AS792),"")</f>
        <v>13</v>
      </c>
      <c r="AU792" s="82" t="n">
        <f aca="false">IF(AND(OR(AA792="R",AA792="NX",AA792="NT",AA792="CO"),OR('JOINTS DE RÉPARATION'!$D$5="TOUTES",B792='JOINTS DE RÉPARATION'!$D$5),OR('JOINTS DE RÉPARATION'!$L$4="TOUS",AQ792&lt;&gt;"ACCEPTÉ")),1,0)</f>
        <v>0</v>
      </c>
      <c r="AV792" s="82" t="str">
        <f aca="false">IF(AU792=1,SUM(AU$7:AU792),"")</f>
        <v/>
      </c>
      <c r="AW792" s="82" t="str">
        <f aca="false">IF(E792="","",B792&amp;"|"&amp;E792)</f>
        <v>MFD-ISW → MFD-CPF|JN°772</v>
      </c>
    </row>
    <row r="793" customFormat="false" ht="74.6" hidden="false" customHeight="false" outlineLevel="0" collapsed="false">
      <c r="A793" s="79" t="n">
        <f aca="false">IF(E793="","",ROW()-6)</f>
        <v>787</v>
      </c>
      <c r="B793" s="80" t="s">
        <v>110</v>
      </c>
      <c r="C793" s="81" t="s">
        <v>868</v>
      </c>
      <c r="D793" s="81" t="n">
        <v>4</v>
      </c>
      <c r="E793" s="81" t="s">
        <v>915</v>
      </c>
      <c r="F793" s="82" t="str">
        <f aca="false">IF(E793="","",IF(LEFT(E793,2)="DJ","DJ","JN"))</f>
        <v>DJ</v>
      </c>
      <c r="G793" s="81"/>
      <c r="H793" s="81" t="s">
        <v>871</v>
      </c>
      <c r="I793" s="81" t="n">
        <v>9.53</v>
      </c>
      <c r="J793" s="81" t="s">
        <v>872</v>
      </c>
      <c r="K793" s="81" t="s">
        <v>873</v>
      </c>
      <c r="L793" s="81" t="n">
        <v>2081080</v>
      </c>
      <c r="M793" s="81" t="n">
        <v>15421103</v>
      </c>
      <c r="N793" s="81" t="n">
        <v>11.94</v>
      </c>
      <c r="O793" s="81" t="n">
        <v>2082730</v>
      </c>
      <c r="P793" s="81" t="n">
        <v>15421104</v>
      </c>
      <c r="Q793" s="81" t="n">
        <v>11.94</v>
      </c>
      <c r="R793" s="81" t="s">
        <v>882</v>
      </c>
      <c r="S793" s="81"/>
      <c r="T793" s="81"/>
      <c r="U793" s="83" t="n">
        <v>46290</v>
      </c>
      <c r="V793" s="83" t="n">
        <v>46290</v>
      </c>
      <c r="W793" s="81" t="s">
        <v>875</v>
      </c>
      <c r="X793" s="81" t="s">
        <v>876</v>
      </c>
      <c r="Y793" s="83" t="n">
        <v>46291</v>
      </c>
      <c r="Z793" s="81" t="s">
        <v>877</v>
      </c>
      <c r="AA793" s="81" t="s">
        <v>876</v>
      </c>
      <c r="AB793" s="81"/>
      <c r="AC793" s="81"/>
      <c r="AD793" s="81"/>
      <c r="AE793" s="83"/>
      <c r="AF793" s="81"/>
      <c r="AG793" s="81"/>
      <c r="AH793" s="81"/>
      <c r="AI793" s="81"/>
      <c r="AJ793" s="83"/>
      <c r="AK793" s="81"/>
      <c r="AL793" s="81"/>
      <c r="AM793" s="83"/>
      <c r="AN793" s="80"/>
      <c r="AO793" s="82" t="n">
        <f aca="false">IF(E793="","",(AA793&lt;&gt;"")+(AG793&lt;&gt;"")+(AL793&lt;&gt;""))</f>
        <v>1</v>
      </c>
      <c r="AP793" s="82" t="str">
        <f aca="false">IF(AL793&lt;&gt;"",AL793,IF(AG793&lt;&gt;"",AG793,IF(AA793&lt;&gt;"",AA793,"")))</f>
        <v>A</v>
      </c>
      <c r="AQ793" s="84" t="str">
        <f aca="false">IF(E793="","",IF(U793="","À SOUDER",IF(X793="","VT EN ATTENTE",IF(X793="R","VT REJETÉ – À REPRENDRE",IF(AP793="","À RADIOGRAPHIER",IF(AP793="A","ACCEPTÉ",IF(AP793="NX","NX – RT À REFAIRE",IF(IF(AO793=1,AD793,IF(AO793=2,AI793,""))="A","RÉPARÉ – À RADIOGRAPHIER",IF(IF(AO793=1,AD793,IF(AO793=2,AI793,""))="R","VT REJETÉ – À REPRENDRE",IF(OR(AP793="CO",AP793="NT"),"COUPE – À RESOUDER","À RÉPARER"))))))))))</f>
        <v>ACCEPTÉ</v>
      </c>
      <c r="AR793" s="82" t="str">
        <f aca="false">IF(AND(ISNUMBER(U793),OR(AQ793="À RADIOGRAPHIER",AQ793="RÉPARÉ – À RADIOGRAPHIER",AQ793="NX – RT À REFAIRE",AQ793="À RÉPARER",AQ793="COUPE – À RESOUDER",AQ793="VT REJETÉ – À REPRENDRE")),MAX(0,'PROGRAMME RT'!$C$4-U793),"")</f>
        <v/>
      </c>
      <c r="AS793" s="82" t="n">
        <f aca="false">IF(AND(OR(AQ793="À RADIOGRAPHIER",AQ793="RÉPARÉ – À RADIOGRAPHIER",AQ793="NX – RT À REFAIRE"),OR('PROGRAMME RT'!$D$5="TOUTES",B793='PROGRAMME RT'!$D$5)),1,0)</f>
        <v>0</v>
      </c>
      <c r="AT793" s="82" t="str">
        <f aca="false">IF(AS793=1,SUM(AS$7:AS793),"")</f>
        <v/>
      </c>
      <c r="AU793" s="82" t="n">
        <f aca="false">IF(AND(OR(AA793="R",AA793="NX",AA793="NT",AA793="CO"),OR('JOINTS DE RÉPARATION'!$D$5="TOUTES",B793='JOINTS DE RÉPARATION'!$D$5),OR('JOINTS DE RÉPARATION'!$L$4="TOUS",AQ793&lt;&gt;"ACCEPTÉ")),1,0)</f>
        <v>0</v>
      </c>
      <c r="AV793" s="82" t="str">
        <f aca="false">IF(AU793=1,SUM(AU$7:AU793),"")</f>
        <v/>
      </c>
      <c r="AW793" s="82" t="str">
        <f aca="false">IF(E793="","",B793&amp;"|"&amp;E793)</f>
        <v>MFD-ISW → MFD-CPF|DJ°517</v>
      </c>
    </row>
    <row r="794" customFormat="false" ht="74.6" hidden="false" customHeight="false" outlineLevel="0" collapsed="false">
      <c r="A794" s="79" t="n">
        <f aca="false">IF(E794="","",ROW()-6)</f>
        <v>788</v>
      </c>
      <c r="B794" s="80" t="s">
        <v>110</v>
      </c>
      <c r="C794" s="81"/>
      <c r="D794" s="81" t="n">
        <v>4</v>
      </c>
      <c r="E794" s="81" t="s">
        <v>916</v>
      </c>
      <c r="F794" s="82" t="str">
        <f aca="false">IF(E794="","",IF(LEFT(E794,2)="DJ","DJ","JN"))</f>
        <v>JN</v>
      </c>
      <c r="G794" s="81"/>
      <c r="H794" s="81" t="s">
        <v>871</v>
      </c>
      <c r="I794" s="81" t="n">
        <v>9.53</v>
      </c>
      <c r="J794" s="81" t="s">
        <v>872</v>
      </c>
      <c r="K794" s="81" t="s">
        <v>879</v>
      </c>
      <c r="L794" s="81" t="n">
        <v>2082730</v>
      </c>
      <c r="M794" s="81" t="n">
        <v>15421104</v>
      </c>
      <c r="N794" s="81" t="n">
        <v>11.94</v>
      </c>
      <c r="O794" s="81" t="n">
        <v>2089150</v>
      </c>
      <c r="P794" s="81" t="n">
        <v>15421108</v>
      </c>
      <c r="Q794" s="81" t="n">
        <v>11.94</v>
      </c>
      <c r="R794" s="81" t="s">
        <v>880</v>
      </c>
      <c r="S794" s="81"/>
      <c r="T794" s="81"/>
      <c r="U794" s="83" t="n">
        <v>46291</v>
      </c>
      <c r="V794" s="83" t="n">
        <v>46291</v>
      </c>
      <c r="W794" s="81" t="s">
        <v>886</v>
      </c>
      <c r="X794" s="81" t="s">
        <v>876</v>
      </c>
      <c r="Y794" s="83"/>
      <c r="Z794" s="81"/>
      <c r="AA794" s="81"/>
      <c r="AB794" s="81"/>
      <c r="AC794" s="81"/>
      <c r="AD794" s="81"/>
      <c r="AE794" s="83"/>
      <c r="AF794" s="81"/>
      <c r="AG794" s="81"/>
      <c r="AH794" s="81"/>
      <c r="AI794" s="81"/>
      <c r="AJ794" s="83"/>
      <c r="AK794" s="81"/>
      <c r="AL794" s="81"/>
      <c r="AM794" s="83"/>
      <c r="AN794" s="80"/>
      <c r="AO794" s="82" t="n">
        <f aca="false">IF(E794="","",(AA794&lt;&gt;"")+(AG794&lt;&gt;"")+(AL794&lt;&gt;""))</f>
        <v>0</v>
      </c>
      <c r="AP794" s="82" t="str">
        <f aca="false">IF(AL794&lt;&gt;"",AL794,IF(AG794&lt;&gt;"",AG794,IF(AA794&lt;&gt;"",AA794,"")))</f>
        <v/>
      </c>
      <c r="AQ794" s="84" t="str">
        <f aca="false">IF(E794="","",IF(U794="","À SOUDER",IF(X794="","VT EN ATTENTE",IF(X794="R","VT REJETÉ – À REPRENDRE",IF(AP794="","À RADIOGRAPHIER",IF(AP794="A","ACCEPTÉ",IF(AP794="NX","NX – RT À REFAIRE",IF(IF(AO794=1,AD794,IF(AO794=2,AI794,""))="A","RÉPARÉ – À RADIOGRAPHIER",IF(IF(AO794=1,AD794,IF(AO794=2,AI794,""))="R","VT REJETÉ – À REPRENDRE",IF(OR(AP794="CO",AP794="NT"),"COUPE – À RESOUDER","À RÉPARER"))))))))))</f>
        <v>À RADIOGRAPHIER</v>
      </c>
      <c r="AR794" s="82" t="n">
        <f aca="false">IF(AND(ISNUMBER(U794),OR(AQ794="À RADIOGRAPHIER",AQ794="RÉPARÉ – À RADIOGRAPHIER",AQ794="NX – RT À REFAIRE",AQ794="À RÉPARER",AQ794="COUPE – À RESOUDER",AQ794="VT REJETÉ – À REPRENDRE")),MAX(0,'PROGRAMME RT'!$C$4-U794),"")</f>
        <v>2</v>
      </c>
      <c r="AS794" s="82" t="n">
        <f aca="false">IF(AND(OR(AQ794="À RADIOGRAPHIER",AQ794="RÉPARÉ – À RADIOGRAPHIER",AQ794="NX – RT À REFAIRE"),OR('PROGRAMME RT'!$D$5="TOUTES",B794='PROGRAMME RT'!$D$5)),1,0)</f>
        <v>1</v>
      </c>
      <c r="AT794" s="82" t="n">
        <f aca="false">IF(AS794=1,SUM(AS$7:AS794),"")</f>
        <v>14</v>
      </c>
      <c r="AU794" s="82" t="n">
        <f aca="false">IF(AND(OR(AA794="R",AA794="NX",AA794="NT",AA794="CO"),OR('JOINTS DE RÉPARATION'!$D$5="TOUTES",B794='JOINTS DE RÉPARATION'!$D$5),OR('JOINTS DE RÉPARATION'!$L$4="TOUS",AQ794&lt;&gt;"ACCEPTÉ")),1,0)</f>
        <v>0</v>
      </c>
      <c r="AV794" s="82" t="str">
        <f aca="false">IF(AU794=1,SUM(AU$7:AU794),"")</f>
        <v/>
      </c>
      <c r="AW794" s="82" t="str">
        <f aca="false">IF(E794="","",B794&amp;"|"&amp;E794)</f>
        <v>MFD-ISW → MFD-CPF|JN°773</v>
      </c>
    </row>
    <row r="795" customFormat="false" ht="74.6" hidden="false" customHeight="false" outlineLevel="0" collapsed="false">
      <c r="A795" s="79" t="n">
        <f aca="false">IF(E795="","",ROW()-6)</f>
        <v>789</v>
      </c>
      <c r="B795" s="80" t="s">
        <v>110</v>
      </c>
      <c r="C795" s="81" t="s">
        <v>868</v>
      </c>
      <c r="D795" s="81" t="n">
        <v>4</v>
      </c>
      <c r="E795" s="81" t="s">
        <v>917</v>
      </c>
      <c r="F795" s="82" t="str">
        <f aca="false">IF(E795="","",IF(LEFT(E795,2)="DJ","DJ","JN"))</f>
        <v>DJ</v>
      </c>
      <c r="G795" s="81"/>
      <c r="H795" s="81" t="s">
        <v>871</v>
      </c>
      <c r="I795" s="81" t="n">
        <v>9.53</v>
      </c>
      <c r="J795" s="81" t="s">
        <v>872</v>
      </c>
      <c r="K795" s="81" t="s">
        <v>873</v>
      </c>
      <c r="L795" s="81" t="n">
        <v>2089150</v>
      </c>
      <c r="M795" s="81" t="n">
        <v>15421108</v>
      </c>
      <c r="N795" s="81" t="n">
        <v>11.94</v>
      </c>
      <c r="O795" s="81" t="n">
        <v>2087120</v>
      </c>
      <c r="P795" s="81" t="n">
        <v>15421107</v>
      </c>
      <c r="Q795" s="81" t="n">
        <v>11.94</v>
      </c>
      <c r="R795" s="81" t="s">
        <v>899</v>
      </c>
      <c r="S795" s="81"/>
      <c r="T795" s="81"/>
      <c r="U795" s="83" t="n">
        <v>46290</v>
      </c>
      <c r="V795" s="83" t="n">
        <v>46290</v>
      </c>
      <c r="W795" s="81" t="s">
        <v>875</v>
      </c>
      <c r="X795" s="81" t="s">
        <v>876</v>
      </c>
      <c r="Y795" s="83" t="n">
        <v>46291</v>
      </c>
      <c r="Z795" s="81" t="s">
        <v>877</v>
      </c>
      <c r="AA795" s="81" t="s">
        <v>876</v>
      </c>
      <c r="AB795" s="81"/>
      <c r="AC795" s="81"/>
      <c r="AD795" s="81"/>
      <c r="AE795" s="83"/>
      <c r="AF795" s="81"/>
      <c r="AG795" s="81"/>
      <c r="AH795" s="81"/>
      <c r="AI795" s="81"/>
      <c r="AJ795" s="83"/>
      <c r="AK795" s="81"/>
      <c r="AL795" s="81"/>
      <c r="AM795" s="83"/>
      <c r="AN795" s="80"/>
      <c r="AO795" s="82" t="n">
        <f aca="false">IF(E795="","",(AA795&lt;&gt;"")+(AG795&lt;&gt;"")+(AL795&lt;&gt;""))</f>
        <v>1</v>
      </c>
      <c r="AP795" s="82" t="str">
        <f aca="false">IF(AL795&lt;&gt;"",AL795,IF(AG795&lt;&gt;"",AG795,IF(AA795&lt;&gt;"",AA795,"")))</f>
        <v>A</v>
      </c>
      <c r="AQ795" s="84" t="str">
        <f aca="false">IF(E795="","",IF(U795="","À SOUDER",IF(X795="","VT EN ATTENTE",IF(X795="R","VT REJETÉ – À REPRENDRE",IF(AP795="","À RADIOGRAPHIER",IF(AP795="A","ACCEPTÉ",IF(AP795="NX","NX – RT À REFAIRE",IF(IF(AO795=1,AD795,IF(AO795=2,AI795,""))="A","RÉPARÉ – À RADIOGRAPHIER",IF(IF(AO795=1,AD795,IF(AO795=2,AI795,""))="R","VT REJETÉ – À REPRENDRE",IF(OR(AP795="CO",AP795="NT"),"COUPE – À RESOUDER","À RÉPARER"))))))))))</f>
        <v>ACCEPTÉ</v>
      </c>
      <c r="AR795" s="82" t="str">
        <f aca="false">IF(AND(ISNUMBER(U795),OR(AQ795="À RADIOGRAPHIER",AQ795="RÉPARÉ – À RADIOGRAPHIER",AQ795="NX – RT À REFAIRE",AQ795="À RÉPARER",AQ795="COUPE – À RESOUDER",AQ795="VT REJETÉ – À REPRENDRE")),MAX(0,'PROGRAMME RT'!$C$4-U795),"")</f>
        <v/>
      </c>
      <c r="AS795" s="82" t="n">
        <f aca="false">IF(AND(OR(AQ795="À RADIOGRAPHIER",AQ795="RÉPARÉ – À RADIOGRAPHIER",AQ795="NX – RT À REFAIRE"),OR('PROGRAMME RT'!$D$5="TOUTES",B795='PROGRAMME RT'!$D$5)),1,0)</f>
        <v>0</v>
      </c>
      <c r="AT795" s="82" t="str">
        <f aca="false">IF(AS795=1,SUM(AS$7:AS795),"")</f>
        <v/>
      </c>
      <c r="AU795" s="82" t="n">
        <f aca="false">IF(AND(OR(AA795="R",AA795="NX",AA795="NT",AA795="CO"),OR('JOINTS DE RÉPARATION'!$D$5="TOUTES",B795='JOINTS DE RÉPARATION'!$D$5),OR('JOINTS DE RÉPARATION'!$L$4="TOUS",AQ795&lt;&gt;"ACCEPTÉ")),1,0)</f>
        <v>0</v>
      </c>
      <c r="AV795" s="82" t="str">
        <f aca="false">IF(AU795=1,SUM(AU$7:AU795),"")</f>
        <v/>
      </c>
      <c r="AW795" s="82" t="str">
        <f aca="false">IF(E795="","",B795&amp;"|"&amp;E795)</f>
        <v>MFD-ISW → MFD-CPF|DJ°521</v>
      </c>
    </row>
    <row r="796" customFormat="false" ht="74.6" hidden="false" customHeight="false" outlineLevel="0" collapsed="false">
      <c r="A796" s="79" t="n">
        <f aca="false">IF(E796="","",ROW()-6)</f>
        <v>790</v>
      </c>
      <c r="B796" s="80" t="s">
        <v>110</v>
      </c>
      <c r="C796" s="81"/>
      <c r="D796" s="81" t="n">
        <v>4</v>
      </c>
      <c r="E796" s="81" t="s">
        <v>918</v>
      </c>
      <c r="F796" s="82" t="str">
        <f aca="false">IF(E796="","",IF(LEFT(E796,2)="DJ","DJ","JN"))</f>
        <v>JN</v>
      </c>
      <c r="G796" s="81"/>
      <c r="H796" s="81" t="s">
        <v>871</v>
      </c>
      <c r="I796" s="81" t="n">
        <v>9.53</v>
      </c>
      <c r="J796" s="81" t="s">
        <v>872</v>
      </c>
      <c r="K796" s="81" t="s">
        <v>879</v>
      </c>
      <c r="L796" s="81" t="n">
        <v>2087120</v>
      </c>
      <c r="M796" s="81" t="n">
        <v>15421107</v>
      </c>
      <c r="N796" s="81" t="n">
        <v>11.94</v>
      </c>
      <c r="O796" s="81" t="n">
        <v>2089310</v>
      </c>
      <c r="P796" s="81" t="n">
        <v>15421108</v>
      </c>
      <c r="Q796" s="81" t="n">
        <v>11.94</v>
      </c>
      <c r="R796" s="81" t="s">
        <v>880</v>
      </c>
      <c r="S796" s="81"/>
      <c r="T796" s="81"/>
      <c r="U796" s="83" t="n">
        <v>46291</v>
      </c>
      <c r="V796" s="83" t="n">
        <v>46291</v>
      </c>
      <c r="W796" s="81" t="s">
        <v>886</v>
      </c>
      <c r="X796" s="81" t="s">
        <v>876</v>
      </c>
      <c r="Y796" s="83"/>
      <c r="Z796" s="81"/>
      <c r="AA796" s="81"/>
      <c r="AB796" s="81"/>
      <c r="AC796" s="81"/>
      <c r="AD796" s="81"/>
      <c r="AE796" s="83"/>
      <c r="AF796" s="81"/>
      <c r="AG796" s="81"/>
      <c r="AH796" s="81"/>
      <c r="AI796" s="81"/>
      <c r="AJ796" s="83"/>
      <c r="AK796" s="81"/>
      <c r="AL796" s="81"/>
      <c r="AM796" s="83"/>
      <c r="AN796" s="80"/>
      <c r="AO796" s="82" t="n">
        <f aca="false">IF(E796="","",(AA796&lt;&gt;"")+(AG796&lt;&gt;"")+(AL796&lt;&gt;""))</f>
        <v>0</v>
      </c>
      <c r="AP796" s="82" t="str">
        <f aca="false">IF(AL796&lt;&gt;"",AL796,IF(AG796&lt;&gt;"",AG796,IF(AA796&lt;&gt;"",AA796,"")))</f>
        <v/>
      </c>
      <c r="AQ796" s="84" t="str">
        <f aca="false">IF(E796="","",IF(U796="","À SOUDER",IF(X796="","VT EN ATTENTE",IF(X796="R","VT REJETÉ – À REPRENDRE",IF(AP796="","À RADIOGRAPHIER",IF(AP796="A","ACCEPTÉ",IF(AP796="NX","NX – RT À REFAIRE",IF(IF(AO796=1,AD796,IF(AO796=2,AI796,""))="A","RÉPARÉ – À RADIOGRAPHIER",IF(IF(AO796=1,AD796,IF(AO796=2,AI796,""))="R","VT REJETÉ – À REPRENDRE",IF(OR(AP796="CO",AP796="NT"),"COUPE – À RESOUDER","À RÉPARER"))))))))))</f>
        <v>À RADIOGRAPHIER</v>
      </c>
      <c r="AR796" s="82" t="n">
        <f aca="false">IF(AND(ISNUMBER(U796),OR(AQ796="À RADIOGRAPHIER",AQ796="RÉPARÉ – À RADIOGRAPHIER",AQ796="NX – RT À REFAIRE",AQ796="À RÉPARER",AQ796="COUPE – À RESOUDER",AQ796="VT REJETÉ – À REPRENDRE")),MAX(0,'PROGRAMME RT'!$C$4-U796),"")</f>
        <v>2</v>
      </c>
      <c r="AS796" s="82" t="n">
        <f aca="false">IF(AND(OR(AQ796="À RADIOGRAPHIER",AQ796="RÉPARÉ – À RADIOGRAPHIER",AQ796="NX – RT À REFAIRE"),OR('PROGRAMME RT'!$D$5="TOUTES",B796='PROGRAMME RT'!$D$5)),1,0)</f>
        <v>1</v>
      </c>
      <c r="AT796" s="82" t="n">
        <f aca="false">IF(AS796=1,SUM(AS$7:AS796),"")</f>
        <v>15</v>
      </c>
      <c r="AU796" s="82" t="n">
        <f aca="false">IF(AND(OR(AA796="R",AA796="NX",AA796="NT",AA796="CO"),OR('JOINTS DE RÉPARATION'!$D$5="TOUTES",B796='JOINTS DE RÉPARATION'!$D$5),OR('JOINTS DE RÉPARATION'!$L$4="TOUS",AQ796&lt;&gt;"ACCEPTÉ")),1,0)</f>
        <v>0</v>
      </c>
      <c r="AV796" s="82" t="str">
        <f aca="false">IF(AU796=1,SUM(AU$7:AU796),"")</f>
        <v/>
      </c>
      <c r="AW796" s="82" t="str">
        <f aca="false">IF(E796="","",B796&amp;"|"&amp;E796)</f>
        <v>MFD-ISW → MFD-CPF|JN°774</v>
      </c>
    </row>
    <row r="797" customFormat="false" ht="74.6" hidden="false" customHeight="false" outlineLevel="0" collapsed="false">
      <c r="A797" s="79" t="n">
        <f aca="false">IF(E797="","",ROW()-6)</f>
        <v>791</v>
      </c>
      <c r="B797" s="80" t="s">
        <v>110</v>
      </c>
      <c r="C797" s="81" t="s">
        <v>868</v>
      </c>
      <c r="D797" s="81" t="n">
        <v>4</v>
      </c>
      <c r="E797" s="81" t="s">
        <v>919</v>
      </c>
      <c r="F797" s="82" t="str">
        <f aca="false">IF(E797="","",IF(LEFT(E797,2)="DJ","DJ","JN"))</f>
        <v>DJ</v>
      </c>
      <c r="G797" s="81"/>
      <c r="H797" s="81" t="s">
        <v>871</v>
      </c>
      <c r="I797" s="81" t="n">
        <v>9.53</v>
      </c>
      <c r="J797" s="81" t="s">
        <v>872</v>
      </c>
      <c r="K797" s="81" t="s">
        <v>873</v>
      </c>
      <c r="L797" s="81" t="n">
        <v>2089310</v>
      </c>
      <c r="M797" s="81" t="n">
        <v>15421108</v>
      </c>
      <c r="N797" s="81" t="n">
        <v>11.94</v>
      </c>
      <c r="O797" s="81" t="n">
        <v>2097900</v>
      </c>
      <c r="P797" s="81" t="n">
        <v>15421112</v>
      </c>
      <c r="Q797" s="81" t="n">
        <v>11.94</v>
      </c>
      <c r="R797" s="81" t="s">
        <v>920</v>
      </c>
      <c r="S797" s="81"/>
      <c r="T797" s="81"/>
      <c r="U797" s="83" t="n">
        <v>46286</v>
      </c>
      <c r="V797" s="83" t="n">
        <v>46286</v>
      </c>
      <c r="W797" s="81" t="s">
        <v>892</v>
      </c>
      <c r="X797" s="81" t="s">
        <v>876</v>
      </c>
      <c r="Y797" s="83" t="n">
        <v>46287</v>
      </c>
      <c r="Z797" s="81" t="s">
        <v>921</v>
      </c>
      <c r="AA797" s="81" t="s">
        <v>876</v>
      </c>
      <c r="AB797" s="81"/>
      <c r="AC797" s="81"/>
      <c r="AD797" s="81"/>
      <c r="AE797" s="83"/>
      <c r="AF797" s="81"/>
      <c r="AG797" s="81"/>
      <c r="AH797" s="81"/>
      <c r="AI797" s="81"/>
      <c r="AJ797" s="83"/>
      <c r="AK797" s="81"/>
      <c r="AL797" s="81"/>
      <c r="AM797" s="83"/>
      <c r="AN797" s="80"/>
      <c r="AO797" s="82" t="n">
        <f aca="false">IF(E797="","",(AA797&lt;&gt;"")+(AG797&lt;&gt;"")+(AL797&lt;&gt;""))</f>
        <v>1</v>
      </c>
      <c r="AP797" s="82" t="str">
        <f aca="false">IF(AL797&lt;&gt;"",AL797,IF(AG797&lt;&gt;"",AG797,IF(AA797&lt;&gt;"",AA797,"")))</f>
        <v>A</v>
      </c>
      <c r="AQ797" s="84" t="str">
        <f aca="false">IF(E797="","",IF(U797="","À SOUDER",IF(X797="","VT EN ATTENTE",IF(X797="R","VT REJETÉ – À REPRENDRE",IF(AP797="","À RADIOGRAPHIER",IF(AP797="A","ACCEPTÉ",IF(AP797="NX","NX – RT À REFAIRE",IF(IF(AO797=1,AD797,IF(AO797=2,AI797,""))="A","RÉPARÉ – À RADIOGRAPHIER",IF(IF(AO797=1,AD797,IF(AO797=2,AI797,""))="R","VT REJETÉ – À REPRENDRE",IF(OR(AP797="CO",AP797="NT"),"COUPE – À RESOUDER","À RÉPARER"))))))))))</f>
        <v>ACCEPTÉ</v>
      </c>
      <c r="AR797" s="82" t="str">
        <f aca="false">IF(AND(ISNUMBER(U797),OR(AQ797="À RADIOGRAPHIER",AQ797="RÉPARÉ – À RADIOGRAPHIER",AQ797="NX – RT À REFAIRE",AQ797="À RÉPARER",AQ797="COUPE – À RESOUDER",AQ797="VT REJETÉ – À REPRENDRE")),MAX(0,'PROGRAMME RT'!$C$4-U797),"")</f>
        <v/>
      </c>
      <c r="AS797" s="82" t="n">
        <f aca="false">IF(AND(OR(AQ797="À RADIOGRAPHIER",AQ797="RÉPARÉ – À RADIOGRAPHIER",AQ797="NX – RT À REFAIRE"),OR('PROGRAMME RT'!$D$5="TOUTES",B797='PROGRAMME RT'!$D$5)),1,0)</f>
        <v>0</v>
      </c>
      <c r="AT797" s="82" t="str">
        <f aca="false">IF(AS797=1,SUM(AS$7:AS797),"")</f>
        <v/>
      </c>
      <c r="AU797" s="82" t="n">
        <f aca="false">IF(AND(OR(AA797="R",AA797="NX",AA797="NT",AA797="CO"),OR('JOINTS DE RÉPARATION'!$D$5="TOUTES",B797='JOINTS DE RÉPARATION'!$D$5),OR('JOINTS DE RÉPARATION'!$L$4="TOUS",AQ797&lt;&gt;"ACCEPTÉ")),1,0)</f>
        <v>0</v>
      </c>
      <c r="AV797" s="82" t="str">
        <f aca="false">IF(AU797=1,SUM(AU$7:AU797),"")</f>
        <v/>
      </c>
      <c r="AW797" s="82" t="str">
        <f aca="false">IF(E797="","",B797&amp;"|"&amp;E797)</f>
        <v>MFD-ISW → MFD-CPF|DJ°476</v>
      </c>
    </row>
    <row r="798" customFormat="false" ht="74.6" hidden="false" customHeight="false" outlineLevel="0" collapsed="false">
      <c r="A798" s="79" t="n">
        <f aca="false">IF(E798="","",ROW()-6)</f>
        <v>792</v>
      </c>
      <c r="B798" s="80" t="s">
        <v>110</v>
      </c>
      <c r="C798" s="81"/>
      <c r="D798" s="81" t="n">
        <v>4</v>
      </c>
      <c r="E798" s="81" t="s">
        <v>922</v>
      </c>
      <c r="F798" s="82" t="str">
        <f aca="false">IF(E798="","",IF(LEFT(E798,2)="DJ","DJ","JN"))</f>
        <v>JN</v>
      </c>
      <c r="G798" s="81"/>
      <c r="H798" s="81" t="s">
        <v>871</v>
      </c>
      <c r="I798" s="81" t="n">
        <v>9.53</v>
      </c>
      <c r="J798" s="81" t="s">
        <v>872</v>
      </c>
      <c r="K798" s="81" t="s">
        <v>879</v>
      </c>
      <c r="L798" s="81" t="n">
        <v>2097900</v>
      </c>
      <c r="M798" s="81" t="n">
        <v>15421112</v>
      </c>
      <c r="N798" s="81" t="n">
        <v>11.94</v>
      </c>
      <c r="O798" s="81" t="n">
        <v>2088790</v>
      </c>
      <c r="P798" s="81" t="n">
        <v>15421108</v>
      </c>
      <c r="Q798" s="81" t="n">
        <v>11.94</v>
      </c>
      <c r="R798" s="81" t="s">
        <v>880</v>
      </c>
      <c r="S798" s="81"/>
      <c r="T798" s="81"/>
      <c r="U798" s="83" t="n">
        <v>46291</v>
      </c>
      <c r="V798" s="83" t="n">
        <v>46291</v>
      </c>
      <c r="W798" s="81" t="s">
        <v>886</v>
      </c>
      <c r="X798" s="81" t="s">
        <v>876</v>
      </c>
      <c r="Y798" s="83"/>
      <c r="Z798" s="81"/>
      <c r="AA798" s="81"/>
      <c r="AB798" s="81"/>
      <c r="AC798" s="81"/>
      <c r="AD798" s="81"/>
      <c r="AE798" s="83"/>
      <c r="AF798" s="81"/>
      <c r="AG798" s="81"/>
      <c r="AH798" s="81"/>
      <c r="AI798" s="81"/>
      <c r="AJ798" s="83"/>
      <c r="AK798" s="81"/>
      <c r="AL798" s="81"/>
      <c r="AM798" s="83"/>
      <c r="AN798" s="80"/>
      <c r="AO798" s="82" t="n">
        <f aca="false">IF(E798="","",(AA798&lt;&gt;"")+(AG798&lt;&gt;"")+(AL798&lt;&gt;""))</f>
        <v>0</v>
      </c>
      <c r="AP798" s="82" t="str">
        <f aca="false">IF(AL798&lt;&gt;"",AL798,IF(AG798&lt;&gt;"",AG798,IF(AA798&lt;&gt;"",AA798,"")))</f>
        <v/>
      </c>
      <c r="AQ798" s="84" t="str">
        <f aca="false">IF(E798="","",IF(U798="","À SOUDER",IF(X798="","VT EN ATTENTE",IF(X798="R","VT REJETÉ – À REPRENDRE",IF(AP798="","À RADIOGRAPHIER",IF(AP798="A","ACCEPTÉ",IF(AP798="NX","NX – RT À REFAIRE",IF(IF(AO798=1,AD798,IF(AO798=2,AI798,""))="A","RÉPARÉ – À RADIOGRAPHIER",IF(IF(AO798=1,AD798,IF(AO798=2,AI798,""))="R","VT REJETÉ – À REPRENDRE",IF(OR(AP798="CO",AP798="NT"),"COUPE – À RESOUDER","À RÉPARER"))))))))))</f>
        <v>À RADIOGRAPHIER</v>
      </c>
      <c r="AR798" s="82" t="n">
        <f aca="false">IF(AND(ISNUMBER(U798),OR(AQ798="À RADIOGRAPHIER",AQ798="RÉPARÉ – À RADIOGRAPHIER",AQ798="NX – RT À REFAIRE",AQ798="À RÉPARER",AQ798="COUPE – À RESOUDER",AQ798="VT REJETÉ – À REPRENDRE")),MAX(0,'PROGRAMME RT'!$C$4-U798),"")</f>
        <v>2</v>
      </c>
      <c r="AS798" s="82" t="n">
        <f aca="false">IF(AND(OR(AQ798="À RADIOGRAPHIER",AQ798="RÉPARÉ – À RADIOGRAPHIER",AQ798="NX – RT À REFAIRE"),OR('PROGRAMME RT'!$D$5="TOUTES",B798='PROGRAMME RT'!$D$5)),1,0)</f>
        <v>1</v>
      </c>
      <c r="AT798" s="82" t="n">
        <f aca="false">IF(AS798=1,SUM(AS$7:AS798),"")</f>
        <v>16</v>
      </c>
      <c r="AU798" s="82" t="n">
        <f aca="false">IF(AND(OR(AA798="R",AA798="NX",AA798="NT",AA798="CO"),OR('JOINTS DE RÉPARATION'!$D$5="TOUTES",B798='JOINTS DE RÉPARATION'!$D$5),OR('JOINTS DE RÉPARATION'!$L$4="TOUS",AQ798&lt;&gt;"ACCEPTÉ")),1,0)</f>
        <v>0</v>
      </c>
      <c r="AV798" s="82" t="str">
        <f aca="false">IF(AU798=1,SUM(AU$7:AU798),"")</f>
        <v/>
      </c>
      <c r="AW798" s="82" t="str">
        <f aca="false">IF(E798="","",B798&amp;"|"&amp;E798)</f>
        <v>MFD-ISW → MFD-CPF|JN°775</v>
      </c>
    </row>
    <row r="799" customFormat="false" ht="74.6" hidden="false" customHeight="false" outlineLevel="0" collapsed="false">
      <c r="A799" s="79" t="n">
        <f aca="false">IF(E799="","",ROW()-6)</f>
        <v>793</v>
      </c>
      <c r="B799" s="80" t="s">
        <v>110</v>
      </c>
      <c r="C799" s="81" t="s">
        <v>868</v>
      </c>
      <c r="D799" s="81" t="n">
        <v>4</v>
      </c>
      <c r="E799" s="81" t="s">
        <v>923</v>
      </c>
      <c r="F799" s="82" t="str">
        <f aca="false">IF(E799="","",IF(LEFT(E799,2)="DJ","DJ","JN"))</f>
        <v>DJ</v>
      </c>
      <c r="G799" s="81"/>
      <c r="H799" s="81" t="s">
        <v>871</v>
      </c>
      <c r="I799" s="81" t="n">
        <v>9.53</v>
      </c>
      <c r="J799" s="81" t="s">
        <v>872</v>
      </c>
      <c r="K799" s="81" t="s">
        <v>873</v>
      </c>
      <c r="L799" s="81" t="n">
        <v>2088790</v>
      </c>
      <c r="M799" s="81" t="n">
        <v>15421108</v>
      </c>
      <c r="N799" s="81" t="n">
        <v>11.94</v>
      </c>
      <c r="O799" s="81" t="n">
        <v>2093150</v>
      </c>
      <c r="P799" s="81" t="n">
        <v>15421110</v>
      </c>
      <c r="Q799" s="81" t="n">
        <v>11.94</v>
      </c>
      <c r="R799" s="81" t="s">
        <v>899</v>
      </c>
      <c r="S799" s="81"/>
      <c r="T799" s="81"/>
      <c r="U799" s="83" t="n">
        <v>46288</v>
      </c>
      <c r="V799" s="83" t="n">
        <v>46288</v>
      </c>
      <c r="W799" s="81" t="s">
        <v>924</v>
      </c>
      <c r="X799" s="81" t="s">
        <v>876</v>
      </c>
      <c r="Y799" s="83" t="n">
        <v>46289</v>
      </c>
      <c r="Z799" s="81" t="s">
        <v>925</v>
      </c>
      <c r="AA799" s="81" t="s">
        <v>876</v>
      </c>
      <c r="AB799" s="81"/>
      <c r="AC799" s="81"/>
      <c r="AD799" s="81"/>
      <c r="AE799" s="83"/>
      <c r="AF799" s="81"/>
      <c r="AG799" s="81"/>
      <c r="AH799" s="81"/>
      <c r="AI799" s="81"/>
      <c r="AJ799" s="83"/>
      <c r="AK799" s="81"/>
      <c r="AL799" s="81"/>
      <c r="AM799" s="83"/>
      <c r="AN799" s="80"/>
      <c r="AO799" s="82" t="n">
        <f aca="false">IF(E799="","",(AA799&lt;&gt;"")+(AG799&lt;&gt;"")+(AL799&lt;&gt;""))</f>
        <v>1</v>
      </c>
      <c r="AP799" s="82" t="str">
        <f aca="false">IF(AL799&lt;&gt;"",AL799,IF(AG799&lt;&gt;"",AG799,IF(AA799&lt;&gt;"",AA799,"")))</f>
        <v>A</v>
      </c>
      <c r="AQ799" s="84" t="str">
        <f aca="false">IF(E799="","",IF(U799="","À SOUDER",IF(X799="","VT EN ATTENTE",IF(X799="R","VT REJETÉ – À REPRENDRE",IF(AP799="","À RADIOGRAPHIER",IF(AP799="A","ACCEPTÉ",IF(AP799="NX","NX – RT À REFAIRE",IF(IF(AO799=1,AD799,IF(AO799=2,AI799,""))="A","RÉPARÉ – À RADIOGRAPHIER",IF(IF(AO799=1,AD799,IF(AO799=2,AI799,""))="R","VT REJETÉ – À REPRENDRE",IF(OR(AP799="CO",AP799="NT"),"COUPE – À RESOUDER","À RÉPARER"))))))))))</f>
        <v>ACCEPTÉ</v>
      </c>
      <c r="AR799" s="82" t="str">
        <f aca="false">IF(AND(ISNUMBER(U799),OR(AQ799="À RADIOGRAPHIER",AQ799="RÉPARÉ – À RADIOGRAPHIER",AQ799="NX – RT À REFAIRE",AQ799="À RÉPARER",AQ799="COUPE – À RESOUDER",AQ799="VT REJETÉ – À REPRENDRE")),MAX(0,'PROGRAMME RT'!$C$4-U799),"")</f>
        <v/>
      </c>
      <c r="AS799" s="82" t="n">
        <f aca="false">IF(AND(OR(AQ799="À RADIOGRAPHIER",AQ799="RÉPARÉ – À RADIOGRAPHIER",AQ799="NX – RT À REFAIRE"),OR('PROGRAMME RT'!$D$5="TOUTES",B799='PROGRAMME RT'!$D$5)),1,0)</f>
        <v>0</v>
      </c>
      <c r="AT799" s="82" t="str">
        <f aca="false">IF(AS799=1,SUM(AS$7:AS799),"")</f>
        <v/>
      </c>
      <c r="AU799" s="82" t="n">
        <f aca="false">IF(AND(OR(AA799="R",AA799="NX",AA799="NT",AA799="CO"),OR('JOINTS DE RÉPARATION'!$D$5="TOUTES",B799='JOINTS DE RÉPARATION'!$D$5),OR('JOINTS DE RÉPARATION'!$L$4="TOUS",AQ799&lt;&gt;"ACCEPTÉ")),1,0)</f>
        <v>0</v>
      </c>
      <c r="AV799" s="82" t="str">
        <f aca="false">IF(AU799=1,SUM(AU$7:AU799),"")</f>
        <v/>
      </c>
      <c r="AW799" s="82" t="str">
        <f aca="false">IF(E799="","",B799&amp;"|"&amp;E799)</f>
        <v>MFD-ISW → MFD-CPF|DJ°500</v>
      </c>
    </row>
    <row r="800" customFormat="false" ht="74.6" hidden="false" customHeight="false" outlineLevel="0" collapsed="false">
      <c r="A800" s="79" t="n">
        <f aca="false">IF(E800="","",ROW()-6)</f>
        <v>794</v>
      </c>
      <c r="B800" s="80" t="s">
        <v>110</v>
      </c>
      <c r="C800" s="81" t="s">
        <v>926</v>
      </c>
      <c r="D800" s="81" t="n">
        <v>4</v>
      </c>
      <c r="E800" s="81" t="s">
        <v>927</v>
      </c>
      <c r="F800" s="82" t="str">
        <f aca="false">IF(E800="","",IF(LEFT(E800,2)="DJ","DJ","JN"))</f>
        <v>JN</v>
      </c>
      <c r="G800" s="81"/>
      <c r="H800" s="81" t="s">
        <v>871</v>
      </c>
      <c r="I800" s="81" t="n">
        <v>9.53</v>
      </c>
      <c r="J800" s="81" t="s">
        <v>872</v>
      </c>
      <c r="K800" s="81"/>
      <c r="L800" s="81"/>
      <c r="M800" s="81"/>
      <c r="N800" s="81"/>
      <c r="O800" s="81"/>
      <c r="P800" s="81"/>
      <c r="Q800" s="81"/>
      <c r="R800" s="81"/>
      <c r="S800" s="81"/>
      <c r="T800" s="81"/>
      <c r="U800" s="83"/>
      <c r="V800" s="83"/>
      <c r="W800" s="81"/>
      <c r="X800" s="81"/>
      <c r="Y800" s="83"/>
      <c r="Z800" s="81"/>
      <c r="AA800" s="81"/>
      <c r="AB800" s="81"/>
      <c r="AC800" s="81"/>
      <c r="AD800" s="81"/>
      <c r="AE800" s="83"/>
      <c r="AF800" s="81"/>
      <c r="AG800" s="81"/>
      <c r="AH800" s="81"/>
      <c r="AI800" s="81"/>
      <c r="AJ800" s="83"/>
      <c r="AK800" s="81"/>
      <c r="AL800" s="81"/>
      <c r="AM800" s="83"/>
      <c r="AN800" s="80"/>
      <c r="AO800" s="82" t="n">
        <f aca="false">IF(E800="","",(AA800&lt;&gt;"")+(AG800&lt;&gt;"")+(AL800&lt;&gt;""))</f>
        <v>0</v>
      </c>
      <c r="AP800" s="82" t="str">
        <f aca="false">IF(AL800&lt;&gt;"",AL800,IF(AG800&lt;&gt;"",AG800,IF(AA800&lt;&gt;"",AA800,"")))</f>
        <v/>
      </c>
      <c r="AQ800" s="84" t="str">
        <f aca="false">IF(E800="","",IF(U800="","À SOUDER",IF(X800="","VT EN ATTENTE",IF(X800="R","VT REJETÉ – À REPRENDRE",IF(AP800="","À RADIOGRAPHIER",IF(AP800="A","ACCEPTÉ",IF(AP800="NX","NX – RT À REFAIRE",IF(IF(AO800=1,AD800,IF(AO800=2,AI800,""))="A","RÉPARÉ – À RADIOGRAPHIER",IF(IF(AO800=1,AD800,IF(AO800=2,AI800,""))="R","VT REJETÉ – À REPRENDRE",IF(OR(AP800="CO",AP800="NT"),"COUPE – À RESOUDER","À RÉPARER"))))))))))</f>
        <v>À SOUDER</v>
      </c>
      <c r="AR800" s="82" t="str">
        <f aca="false">IF(AND(ISNUMBER(U800),OR(AQ800="À RADIOGRAPHIER",AQ800="RÉPARÉ – À RADIOGRAPHIER",AQ800="NX – RT À REFAIRE",AQ800="À RÉPARER",AQ800="COUPE – À RESOUDER",AQ800="VT REJETÉ – À REPRENDRE")),MAX(0,'PROGRAMME RT'!$C$4-U800),"")</f>
        <v/>
      </c>
      <c r="AS800" s="82" t="n">
        <f aca="false">IF(AND(OR(AQ800="À RADIOGRAPHIER",AQ800="RÉPARÉ – À RADIOGRAPHIER",AQ800="NX – RT À REFAIRE"),OR('PROGRAMME RT'!$D$5="TOUTES",B800='PROGRAMME RT'!$D$5)),1,0)</f>
        <v>0</v>
      </c>
      <c r="AT800" s="82" t="str">
        <f aca="false">IF(AS800=1,SUM(AS$7:AS800),"")</f>
        <v/>
      </c>
      <c r="AU800" s="82" t="n">
        <f aca="false">IF(AND(OR(AA800="R",AA800="NX",AA800="NT",AA800="CO"),OR('JOINTS DE RÉPARATION'!$D$5="TOUTES",B800='JOINTS DE RÉPARATION'!$D$5),OR('JOINTS DE RÉPARATION'!$L$4="TOUS",AQ800&lt;&gt;"ACCEPTÉ")),1,0)</f>
        <v>0</v>
      </c>
      <c r="AV800" s="82" t="str">
        <f aca="false">IF(AU800=1,SUM(AU$7:AU800),"")</f>
        <v/>
      </c>
      <c r="AW800" s="82" t="str">
        <f aca="false">IF(E800="","",B800&amp;"|"&amp;E800)</f>
        <v>MFD-ISW → MFD-CPF|JN°776</v>
      </c>
    </row>
    <row r="801" customFormat="false" ht="74.6" hidden="false" customHeight="false" outlineLevel="0" collapsed="false">
      <c r="A801" s="79" t="n">
        <f aca="false">IF(E801="","",ROW()-6)</f>
        <v>795</v>
      </c>
      <c r="B801" s="80" t="s">
        <v>110</v>
      </c>
      <c r="C801" s="81" t="s">
        <v>926</v>
      </c>
      <c r="D801" s="81" t="n">
        <v>4</v>
      </c>
      <c r="E801" s="81" t="s">
        <v>928</v>
      </c>
      <c r="F801" s="82" t="str">
        <f aca="false">IF(E801="","",IF(LEFT(E801,2)="DJ","DJ","JN"))</f>
        <v>JN</v>
      </c>
      <c r="G801" s="81"/>
      <c r="H801" s="81" t="s">
        <v>871</v>
      </c>
      <c r="I801" s="81" t="n">
        <v>9.53</v>
      </c>
      <c r="J801" s="81" t="s">
        <v>872</v>
      </c>
      <c r="K801" s="81"/>
      <c r="L801" s="81"/>
      <c r="M801" s="81"/>
      <c r="N801" s="81"/>
      <c r="O801" s="81"/>
      <c r="P801" s="81"/>
      <c r="Q801" s="81"/>
      <c r="R801" s="81"/>
      <c r="S801" s="81"/>
      <c r="T801" s="81"/>
      <c r="U801" s="83"/>
      <c r="V801" s="83"/>
      <c r="W801" s="81"/>
      <c r="X801" s="81"/>
      <c r="Y801" s="83"/>
      <c r="Z801" s="81"/>
      <c r="AA801" s="81"/>
      <c r="AB801" s="81"/>
      <c r="AC801" s="81"/>
      <c r="AD801" s="81"/>
      <c r="AE801" s="83"/>
      <c r="AF801" s="81"/>
      <c r="AG801" s="81"/>
      <c r="AH801" s="81"/>
      <c r="AI801" s="81"/>
      <c r="AJ801" s="83"/>
      <c r="AK801" s="81"/>
      <c r="AL801" s="81"/>
      <c r="AM801" s="83"/>
      <c r="AN801" s="80"/>
      <c r="AO801" s="82" t="n">
        <f aca="false">IF(E801="","",(AA801&lt;&gt;"")+(AG801&lt;&gt;"")+(AL801&lt;&gt;""))</f>
        <v>0</v>
      </c>
      <c r="AP801" s="82" t="str">
        <f aca="false">IF(AL801&lt;&gt;"",AL801,IF(AG801&lt;&gt;"",AG801,IF(AA801&lt;&gt;"",AA801,"")))</f>
        <v/>
      </c>
      <c r="AQ801" s="84" t="str">
        <f aca="false">IF(E801="","",IF(U801="","À SOUDER",IF(X801="","VT EN ATTENTE",IF(X801="R","VT REJETÉ – À REPRENDRE",IF(AP801="","À RADIOGRAPHIER",IF(AP801="A","ACCEPTÉ",IF(AP801="NX","NX – RT À REFAIRE",IF(IF(AO801=1,AD801,IF(AO801=2,AI801,""))="A","RÉPARÉ – À RADIOGRAPHIER",IF(IF(AO801=1,AD801,IF(AO801=2,AI801,""))="R","VT REJETÉ – À REPRENDRE",IF(OR(AP801="CO",AP801="NT"),"COUPE – À RESOUDER","À RÉPARER"))))))))))</f>
        <v>À SOUDER</v>
      </c>
      <c r="AR801" s="82" t="str">
        <f aca="false">IF(AND(ISNUMBER(U801),OR(AQ801="À RADIOGRAPHIER",AQ801="RÉPARÉ – À RADIOGRAPHIER",AQ801="NX – RT À REFAIRE",AQ801="À RÉPARER",AQ801="COUPE – À RESOUDER",AQ801="VT REJETÉ – À REPRENDRE")),MAX(0,'PROGRAMME RT'!$C$4-U801),"")</f>
        <v/>
      </c>
      <c r="AS801" s="82" t="n">
        <f aca="false">IF(AND(OR(AQ801="À RADIOGRAPHIER",AQ801="RÉPARÉ – À RADIOGRAPHIER",AQ801="NX – RT À REFAIRE"),OR('PROGRAMME RT'!$D$5="TOUTES",B801='PROGRAMME RT'!$D$5)),1,0)</f>
        <v>0</v>
      </c>
      <c r="AT801" s="82" t="str">
        <f aca="false">IF(AS801=1,SUM(AS$7:AS801),"")</f>
        <v/>
      </c>
      <c r="AU801" s="82" t="n">
        <f aca="false">IF(AND(OR(AA801="R",AA801="NX",AA801="NT",AA801="CO"),OR('JOINTS DE RÉPARATION'!$D$5="TOUTES",B801='JOINTS DE RÉPARATION'!$D$5),OR('JOINTS DE RÉPARATION'!$L$4="TOUS",AQ801&lt;&gt;"ACCEPTÉ")),1,0)</f>
        <v>0</v>
      </c>
      <c r="AV801" s="82" t="str">
        <f aca="false">IF(AU801=1,SUM(AU$7:AU801),"")</f>
        <v/>
      </c>
      <c r="AW801" s="82" t="str">
        <f aca="false">IF(E801="","",B801&amp;"|"&amp;E801)</f>
        <v>MFD-ISW → MFD-CPF|JN°777</v>
      </c>
    </row>
    <row r="802" customFormat="false" ht="74.6" hidden="false" customHeight="false" outlineLevel="0" collapsed="false">
      <c r="A802" s="79" t="n">
        <f aca="false">IF(E802="","",ROW()-6)</f>
        <v>796</v>
      </c>
      <c r="B802" s="80" t="s">
        <v>110</v>
      </c>
      <c r="C802" s="81" t="s">
        <v>868</v>
      </c>
      <c r="D802" s="81" t="n">
        <v>4</v>
      </c>
      <c r="E802" s="81" t="s">
        <v>929</v>
      </c>
      <c r="F802" s="82" t="str">
        <f aca="false">IF(E802="","",IF(LEFT(E802,2)="DJ","DJ","JN"))</f>
        <v>DJ</v>
      </c>
      <c r="G802" s="81"/>
      <c r="H802" s="81" t="s">
        <v>871</v>
      </c>
      <c r="I802" s="81" t="n">
        <v>9.53</v>
      </c>
      <c r="J802" s="81" t="s">
        <v>872</v>
      </c>
      <c r="K802" s="81" t="s">
        <v>873</v>
      </c>
      <c r="L802" s="81" t="n">
        <v>2093220</v>
      </c>
      <c r="M802" s="81" t="n">
        <v>15421110</v>
      </c>
      <c r="N802" s="81" t="n">
        <v>11.94</v>
      </c>
      <c r="O802" s="81" t="n">
        <v>2092840</v>
      </c>
      <c r="P802" s="81" t="n">
        <v>15421110</v>
      </c>
      <c r="Q802" s="81" t="n">
        <v>11.94</v>
      </c>
      <c r="R802" s="81" t="s">
        <v>882</v>
      </c>
      <c r="S802" s="81"/>
      <c r="T802" s="81"/>
      <c r="U802" s="83" t="n">
        <v>46289</v>
      </c>
      <c r="V802" s="83" t="n">
        <v>46289</v>
      </c>
      <c r="W802" s="81" t="s">
        <v>883</v>
      </c>
      <c r="X802" s="81" t="s">
        <v>876</v>
      </c>
      <c r="Y802" s="83" t="n">
        <v>46290</v>
      </c>
      <c r="Z802" s="81" t="s">
        <v>884</v>
      </c>
      <c r="AA802" s="81" t="s">
        <v>876</v>
      </c>
      <c r="AB802" s="81"/>
      <c r="AC802" s="81"/>
      <c r="AD802" s="81"/>
      <c r="AE802" s="83"/>
      <c r="AF802" s="81"/>
      <c r="AG802" s="81"/>
      <c r="AH802" s="81"/>
      <c r="AI802" s="81"/>
      <c r="AJ802" s="83"/>
      <c r="AK802" s="81"/>
      <c r="AL802" s="81"/>
      <c r="AM802" s="83"/>
      <c r="AN802" s="80"/>
      <c r="AO802" s="82" t="n">
        <f aca="false">IF(E802="","",(AA802&lt;&gt;"")+(AG802&lt;&gt;"")+(AL802&lt;&gt;""))</f>
        <v>1</v>
      </c>
      <c r="AP802" s="82" t="str">
        <f aca="false">IF(AL802&lt;&gt;"",AL802,IF(AG802&lt;&gt;"",AG802,IF(AA802&lt;&gt;"",AA802,"")))</f>
        <v>A</v>
      </c>
      <c r="AQ802" s="84" t="str">
        <f aca="false">IF(E802="","",IF(U802="","À SOUDER",IF(X802="","VT EN ATTENTE",IF(X802="R","VT REJETÉ – À REPRENDRE",IF(AP802="","À RADIOGRAPHIER",IF(AP802="A","ACCEPTÉ",IF(AP802="NX","NX – RT À REFAIRE",IF(IF(AO802=1,AD802,IF(AO802=2,AI802,""))="A","RÉPARÉ – À RADIOGRAPHIER",IF(IF(AO802=1,AD802,IF(AO802=2,AI802,""))="R","VT REJETÉ – À REPRENDRE",IF(OR(AP802="CO",AP802="NT"),"COUPE – À RESOUDER","À RÉPARER"))))))))))</f>
        <v>ACCEPTÉ</v>
      </c>
      <c r="AR802" s="82" t="str">
        <f aca="false">IF(AND(ISNUMBER(U802),OR(AQ802="À RADIOGRAPHIER",AQ802="RÉPARÉ – À RADIOGRAPHIER",AQ802="NX – RT À REFAIRE",AQ802="À RÉPARER",AQ802="COUPE – À RESOUDER",AQ802="VT REJETÉ – À REPRENDRE")),MAX(0,'PROGRAMME RT'!$C$4-U802),"")</f>
        <v/>
      </c>
      <c r="AS802" s="82" t="n">
        <f aca="false">IF(AND(OR(AQ802="À RADIOGRAPHIER",AQ802="RÉPARÉ – À RADIOGRAPHIER",AQ802="NX – RT À REFAIRE"),OR('PROGRAMME RT'!$D$5="TOUTES",B802='PROGRAMME RT'!$D$5)),1,0)</f>
        <v>0</v>
      </c>
      <c r="AT802" s="82" t="str">
        <f aca="false">IF(AS802=1,SUM(AS$7:AS802),"")</f>
        <v/>
      </c>
      <c r="AU802" s="82" t="n">
        <f aca="false">IF(AND(OR(AA802="R",AA802="NX",AA802="NT",AA802="CO"),OR('JOINTS DE RÉPARATION'!$D$5="TOUTES",B802='JOINTS DE RÉPARATION'!$D$5),OR('JOINTS DE RÉPARATION'!$L$4="TOUS",AQ802&lt;&gt;"ACCEPTÉ")),1,0)</f>
        <v>0</v>
      </c>
      <c r="AV802" s="82" t="str">
        <f aca="false">IF(AU802=1,SUM(AU$7:AU802),"")</f>
        <v/>
      </c>
      <c r="AW802" s="82" t="str">
        <f aca="false">IF(E802="","",B802&amp;"|"&amp;E802)</f>
        <v>MFD-ISW → MFD-CPF|DJ°513</v>
      </c>
    </row>
    <row r="803" customFormat="false" ht="74.6" hidden="false" customHeight="false" outlineLevel="0" collapsed="false">
      <c r="A803" s="79" t="n">
        <f aca="false">IF(E803="","",ROW()-6)</f>
        <v>797</v>
      </c>
      <c r="B803" s="80" t="s">
        <v>110</v>
      </c>
      <c r="C803" s="81"/>
      <c r="D803" s="81" t="n">
        <v>4</v>
      </c>
      <c r="E803" s="81" t="s">
        <v>930</v>
      </c>
      <c r="F803" s="82" t="str">
        <f aca="false">IF(E803="","",IF(LEFT(E803,2)="DJ","DJ","JN"))</f>
        <v>JN</v>
      </c>
      <c r="G803" s="81"/>
      <c r="H803" s="81" t="s">
        <v>871</v>
      </c>
      <c r="I803" s="81" t="n">
        <v>9.53</v>
      </c>
      <c r="J803" s="81" t="s">
        <v>872</v>
      </c>
      <c r="K803" s="81" t="s">
        <v>879</v>
      </c>
      <c r="L803" s="81" t="n">
        <v>2092840</v>
      </c>
      <c r="M803" s="81" t="n">
        <v>15421110</v>
      </c>
      <c r="N803" s="81" t="n">
        <v>11.94</v>
      </c>
      <c r="O803" s="81" t="n">
        <v>2079260</v>
      </c>
      <c r="P803" s="81" t="n">
        <v>15421102</v>
      </c>
      <c r="Q803" s="81" t="n">
        <v>11.94</v>
      </c>
      <c r="R803" s="81" t="s">
        <v>880</v>
      </c>
      <c r="S803" s="81"/>
      <c r="T803" s="81"/>
      <c r="U803" s="83" t="n">
        <v>46291</v>
      </c>
      <c r="V803" s="83" t="n">
        <v>46291</v>
      </c>
      <c r="W803" s="81" t="s">
        <v>886</v>
      </c>
      <c r="X803" s="81" t="s">
        <v>876</v>
      </c>
      <c r="Y803" s="83"/>
      <c r="Z803" s="81"/>
      <c r="AA803" s="81"/>
      <c r="AB803" s="81"/>
      <c r="AC803" s="81"/>
      <c r="AD803" s="81"/>
      <c r="AE803" s="83"/>
      <c r="AF803" s="81"/>
      <c r="AG803" s="81"/>
      <c r="AH803" s="81"/>
      <c r="AI803" s="81"/>
      <c r="AJ803" s="83"/>
      <c r="AK803" s="81"/>
      <c r="AL803" s="81"/>
      <c r="AM803" s="83"/>
      <c r="AN803" s="80"/>
      <c r="AO803" s="82" t="n">
        <f aca="false">IF(E803="","",(AA803&lt;&gt;"")+(AG803&lt;&gt;"")+(AL803&lt;&gt;""))</f>
        <v>0</v>
      </c>
      <c r="AP803" s="82" t="str">
        <f aca="false">IF(AL803&lt;&gt;"",AL803,IF(AG803&lt;&gt;"",AG803,IF(AA803&lt;&gt;"",AA803,"")))</f>
        <v/>
      </c>
      <c r="AQ803" s="84" t="str">
        <f aca="false">IF(E803="","",IF(U803="","À SOUDER",IF(X803="","VT EN ATTENTE",IF(X803="R","VT REJETÉ – À REPRENDRE",IF(AP803="","À RADIOGRAPHIER",IF(AP803="A","ACCEPTÉ",IF(AP803="NX","NX – RT À REFAIRE",IF(IF(AO803=1,AD803,IF(AO803=2,AI803,""))="A","RÉPARÉ – À RADIOGRAPHIER",IF(IF(AO803=1,AD803,IF(AO803=2,AI803,""))="R","VT REJETÉ – À REPRENDRE",IF(OR(AP803="CO",AP803="NT"),"COUPE – À RESOUDER","À RÉPARER"))))))))))</f>
        <v>À RADIOGRAPHIER</v>
      </c>
      <c r="AR803" s="82" t="n">
        <f aca="false">IF(AND(ISNUMBER(U803),OR(AQ803="À RADIOGRAPHIER",AQ803="RÉPARÉ – À RADIOGRAPHIER",AQ803="NX – RT À REFAIRE",AQ803="À RÉPARER",AQ803="COUPE – À RESOUDER",AQ803="VT REJETÉ – À REPRENDRE")),MAX(0,'PROGRAMME RT'!$C$4-U803),"")</f>
        <v>2</v>
      </c>
      <c r="AS803" s="82" t="n">
        <f aca="false">IF(AND(OR(AQ803="À RADIOGRAPHIER",AQ803="RÉPARÉ – À RADIOGRAPHIER",AQ803="NX – RT À REFAIRE"),OR('PROGRAMME RT'!$D$5="TOUTES",B803='PROGRAMME RT'!$D$5)),1,0)</f>
        <v>1</v>
      </c>
      <c r="AT803" s="82" t="n">
        <f aca="false">IF(AS803=1,SUM(AS$7:AS803),"")</f>
        <v>17</v>
      </c>
      <c r="AU803" s="82" t="n">
        <f aca="false">IF(AND(OR(AA803="R",AA803="NX",AA803="NT",AA803="CO"),OR('JOINTS DE RÉPARATION'!$D$5="TOUTES",B803='JOINTS DE RÉPARATION'!$D$5),OR('JOINTS DE RÉPARATION'!$L$4="TOUS",AQ803&lt;&gt;"ACCEPTÉ")),1,0)</f>
        <v>0</v>
      </c>
      <c r="AV803" s="82" t="str">
        <f aca="false">IF(AU803=1,SUM(AU$7:AU803),"")</f>
        <v/>
      </c>
      <c r="AW803" s="82" t="str">
        <f aca="false">IF(E803="","",B803&amp;"|"&amp;E803)</f>
        <v>MFD-ISW → MFD-CPF|JN°778</v>
      </c>
    </row>
    <row r="804" customFormat="false" ht="74.6" hidden="false" customHeight="false" outlineLevel="0" collapsed="false">
      <c r="A804" s="79" t="n">
        <f aca="false">IF(E804="","",ROW()-6)</f>
        <v>798</v>
      </c>
      <c r="B804" s="80" t="s">
        <v>110</v>
      </c>
      <c r="C804" s="81" t="s">
        <v>868</v>
      </c>
      <c r="D804" s="81" t="n">
        <v>4</v>
      </c>
      <c r="E804" s="81" t="s">
        <v>931</v>
      </c>
      <c r="F804" s="82" t="str">
        <f aca="false">IF(E804="","",IF(LEFT(E804,2)="DJ","DJ","JN"))</f>
        <v>DJ</v>
      </c>
      <c r="G804" s="81"/>
      <c r="H804" s="81" t="s">
        <v>871</v>
      </c>
      <c r="I804" s="81" t="n">
        <v>9.53</v>
      </c>
      <c r="J804" s="81" t="s">
        <v>872</v>
      </c>
      <c r="K804" s="81" t="s">
        <v>873</v>
      </c>
      <c r="L804" s="81" t="n">
        <v>2079260</v>
      </c>
      <c r="M804" s="81" t="n">
        <v>15421102</v>
      </c>
      <c r="N804" s="81" t="n">
        <v>11.94</v>
      </c>
      <c r="O804" s="81" t="n">
        <v>2094120</v>
      </c>
      <c r="P804" s="81" t="n">
        <v>15421110</v>
      </c>
      <c r="Q804" s="81" t="n">
        <v>11.94</v>
      </c>
      <c r="R804" s="81" t="s">
        <v>874</v>
      </c>
      <c r="S804" s="81"/>
      <c r="T804" s="81"/>
      <c r="U804" s="83" t="n">
        <v>46289</v>
      </c>
      <c r="V804" s="83" t="n">
        <v>46289</v>
      </c>
      <c r="W804" s="81" t="s">
        <v>883</v>
      </c>
      <c r="X804" s="81" t="s">
        <v>876</v>
      </c>
      <c r="Y804" s="83" t="n">
        <v>46290</v>
      </c>
      <c r="Z804" s="81" t="s">
        <v>884</v>
      </c>
      <c r="AA804" s="81" t="s">
        <v>876</v>
      </c>
      <c r="AB804" s="81"/>
      <c r="AC804" s="81"/>
      <c r="AD804" s="81"/>
      <c r="AE804" s="83"/>
      <c r="AF804" s="81"/>
      <c r="AG804" s="81"/>
      <c r="AH804" s="81"/>
      <c r="AI804" s="81"/>
      <c r="AJ804" s="83"/>
      <c r="AK804" s="81"/>
      <c r="AL804" s="81"/>
      <c r="AM804" s="83"/>
      <c r="AN804" s="80"/>
      <c r="AO804" s="82" t="n">
        <f aca="false">IF(E804="","",(AA804&lt;&gt;"")+(AG804&lt;&gt;"")+(AL804&lt;&gt;""))</f>
        <v>1</v>
      </c>
      <c r="AP804" s="82" t="str">
        <f aca="false">IF(AL804&lt;&gt;"",AL804,IF(AG804&lt;&gt;"",AG804,IF(AA804&lt;&gt;"",AA804,"")))</f>
        <v>A</v>
      </c>
      <c r="AQ804" s="84" t="str">
        <f aca="false">IF(E804="","",IF(U804="","À SOUDER",IF(X804="","VT EN ATTENTE",IF(X804="R","VT REJETÉ – À REPRENDRE",IF(AP804="","À RADIOGRAPHIER",IF(AP804="A","ACCEPTÉ",IF(AP804="NX","NX – RT À REFAIRE",IF(IF(AO804=1,AD804,IF(AO804=2,AI804,""))="A","RÉPARÉ – À RADIOGRAPHIER",IF(IF(AO804=1,AD804,IF(AO804=2,AI804,""))="R","VT REJETÉ – À REPRENDRE",IF(OR(AP804="CO",AP804="NT"),"COUPE – À RESOUDER","À RÉPARER"))))))))))</f>
        <v>ACCEPTÉ</v>
      </c>
      <c r="AR804" s="82" t="str">
        <f aca="false">IF(AND(ISNUMBER(U804),OR(AQ804="À RADIOGRAPHIER",AQ804="RÉPARÉ – À RADIOGRAPHIER",AQ804="NX – RT À REFAIRE",AQ804="À RÉPARER",AQ804="COUPE – À RESOUDER",AQ804="VT REJETÉ – À REPRENDRE")),MAX(0,'PROGRAMME RT'!$C$4-U804),"")</f>
        <v/>
      </c>
      <c r="AS804" s="82" t="n">
        <f aca="false">IF(AND(OR(AQ804="À RADIOGRAPHIER",AQ804="RÉPARÉ – À RADIOGRAPHIER",AQ804="NX – RT À REFAIRE"),OR('PROGRAMME RT'!$D$5="TOUTES",B804='PROGRAMME RT'!$D$5)),1,0)</f>
        <v>0</v>
      </c>
      <c r="AT804" s="82" t="str">
        <f aca="false">IF(AS804=1,SUM(AS$7:AS804),"")</f>
        <v/>
      </c>
      <c r="AU804" s="82" t="n">
        <f aca="false">IF(AND(OR(AA804="R",AA804="NX",AA804="NT",AA804="CO"),OR('JOINTS DE RÉPARATION'!$D$5="TOUTES",B804='JOINTS DE RÉPARATION'!$D$5),OR('JOINTS DE RÉPARATION'!$L$4="TOUS",AQ804&lt;&gt;"ACCEPTÉ")),1,0)</f>
        <v>0</v>
      </c>
      <c r="AV804" s="82" t="str">
        <f aca="false">IF(AU804=1,SUM(AU$7:AU804),"")</f>
        <v/>
      </c>
      <c r="AW804" s="82" t="str">
        <f aca="false">IF(E804="","",B804&amp;"|"&amp;E804)</f>
        <v>MFD-ISW → MFD-CPF|DJ°515</v>
      </c>
    </row>
    <row r="805" customFormat="false" ht="74.6" hidden="false" customHeight="false" outlineLevel="0" collapsed="false">
      <c r="A805" s="79" t="n">
        <f aca="false">IF(E805="","",ROW()-6)</f>
        <v>799</v>
      </c>
      <c r="B805" s="80" t="s">
        <v>110</v>
      </c>
      <c r="C805" s="81"/>
      <c r="D805" s="81" t="n">
        <v>4</v>
      </c>
      <c r="E805" s="81" t="s">
        <v>932</v>
      </c>
      <c r="F805" s="82" t="str">
        <f aca="false">IF(E805="","",IF(LEFT(E805,2)="DJ","DJ","JN"))</f>
        <v>JN</v>
      </c>
      <c r="G805" s="81"/>
      <c r="H805" s="81" t="s">
        <v>871</v>
      </c>
      <c r="I805" s="81" t="n">
        <v>9.53</v>
      </c>
      <c r="J805" s="81" t="s">
        <v>872</v>
      </c>
      <c r="K805" s="81" t="s">
        <v>879</v>
      </c>
      <c r="L805" s="81" t="n">
        <v>2094120</v>
      </c>
      <c r="M805" s="81" t="n">
        <v>15421110</v>
      </c>
      <c r="N805" s="81" t="n">
        <v>11.94</v>
      </c>
      <c r="O805" s="81" t="n">
        <v>2091950</v>
      </c>
      <c r="P805" s="81" t="n">
        <v>15421109</v>
      </c>
      <c r="Q805" s="81" t="n">
        <v>11.94</v>
      </c>
      <c r="R805" s="81" t="s">
        <v>880</v>
      </c>
      <c r="S805" s="81"/>
      <c r="T805" s="81"/>
      <c r="U805" s="83" t="n">
        <v>46291</v>
      </c>
      <c r="V805" s="83" t="n">
        <v>46291</v>
      </c>
      <c r="W805" s="81" t="s">
        <v>886</v>
      </c>
      <c r="X805" s="81" t="s">
        <v>876</v>
      </c>
      <c r="Y805" s="83"/>
      <c r="Z805" s="81"/>
      <c r="AA805" s="81"/>
      <c r="AB805" s="81"/>
      <c r="AC805" s="81"/>
      <c r="AD805" s="81"/>
      <c r="AE805" s="83"/>
      <c r="AF805" s="81"/>
      <c r="AG805" s="81"/>
      <c r="AH805" s="81"/>
      <c r="AI805" s="81"/>
      <c r="AJ805" s="83"/>
      <c r="AK805" s="81"/>
      <c r="AL805" s="81"/>
      <c r="AM805" s="83"/>
      <c r="AN805" s="80"/>
      <c r="AO805" s="82" t="n">
        <f aca="false">IF(E805="","",(AA805&lt;&gt;"")+(AG805&lt;&gt;"")+(AL805&lt;&gt;""))</f>
        <v>0</v>
      </c>
      <c r="AP805" s="82" t="str">
        <f aca="false">IF(AL805&lt;&gt;"",AL805,IF(AG805&lt;&gt;"",AG805,IF(AA805&lt;&gt;"",AA805,"")))</f>
        <v/>
      </c>
      <c r="AQ805" s="84" t="str">
        <f aca="false">IF(E805="","",IF(U805="","À SOUDER",IF(X805="","VT EN ATTENTE",IF(X805="R","VT REJETÉ – À REPRENDRE",IF(AP805="","À RADIOGRAPHIER",IF(AP805="A","ACCEPTÉ",IF(AP805="NX","NX – RT À REFAIRE",IF(IF(AO805=1,AD805,IF(AO805=2,AI805,""))="A","RÉPARÉ – À RADIOGRAPHIER",IF(IF(AO805=1,AD805,IF(AO805=2,AI805,""))="R","VT REJETÉ – À REPRENDRE",IF(OR(AP805="CO",AP805="NT"),"COUPE – À RESOUDER","À RÉPARER"))))))))))</f>
        <v>À RADIOGRAPHIER</v>
      </c>
      <c r="AR805" s="82" t="n">
        <f aca="false">IF(AND(ISNUMBER(U805),OR(AQ805="À RADIOGRAPHIER",AQ805="RÉPARÉ – À RADIOGRAPHIER",AQ805="NX – RT À REFAIRE",AQ805="À RÉPARER",AQ805="COUPE – À RESOUDER",AQ805="VT REJETÉ – À REPRENDRE")),MAX(0,'PROGRAMME RT'!$C$4-U805),"")</f>
        <v>2</v>
      </c>
      <c r="AS805" s="82" t="n">
        <f aca="false">IF(AND(OR(AQ805="À RADIOGRAPHIER",AQ805="RÉPARÉ – À RADIOGRAPHIER",AQ805="NX – RT À REFAIRE"),OR('PROGRAMME RT'!$D$5="TOUTES",B805='PROGRAMME RT'!$D$5)),1,0)</f>
        <v>1</v>
      </c>
      <c r="AT805" s="82" t="n">
        <f aca="false">IF(AS805=1,SUM(AS$7:AS805),"")</f>
        <v>18</v>
      </c>
      <c r="AU805" s="82" t="n">
        <f aca="false">IF(AND(OR(AA805="R",AA805="NX",AA805="NT",AA805="CO"),OR('JOINTS DE RÉPARATION'!$D$5="TOUTES",B805='JOINTS DE RÉPARATION'!$D$5),OR('JOINTS DE RÉPARATION'!$L$4="TOUS",AQ805&lt;&gt;"ACCEPTÉ")),1,0)</f>
        <v>0</v>
      </c>
      <c r="AV805" s="82" t="str">
        <f aca="false">IF(AU805=1,SUM(AU$7:AU805),"")</f>
        <v/>
      </c>
      <c r="AW805" s="82" t="str">
        <f aca="false">IF(E805="","",B805&amp;"|"&amp;E805)</f>
        <v>MFD-ISW → MFD-CPF|JN°779</v>
      </c>
    </row>
    <row r="806" customFormat="false" ht="74.6" hidden="false" customHeight="false" outlineLevel="0" collapsed="false">
      <c r="A806" s="79" t="n">
        <f aca="false">IF(E806="","",ROW()-6)</f>
        <v>800</v>
      </c>
      <c r="B806" s="80" t="s">
        <v>110</v>
      </c>
      <c r="C806" s="81" t="s">
        <v>868</v>
      </c>
      <c r="D806" s="81" t="n">
        <v>4</v>
      </c>
      <c r="E806" s="81" t="s">
        <v>933</v>
      </c>
      <c r="F806" s="82" t="str">
        <f aca="false">IF(E806="","",IF(LEFT(E806,2)="DJ","DJ","JN"))</f>
        <v>DJ</v>
      </c>
      <c r="G806" s="81"/>
      <c r="H806" s="81" t="s">
        <v>871</v>
      </c>
      <c r="I806" s="81" t="n">
        <v>9.53</v>
      </c>
      <c r="J806" s="81" t="s">
        <v>872</v>
      </c>
      <c r="K806" s="81" t="s">
        <v>873</v>
      </c>
      <c r="L806" s="81" t="n">
        <v>2091950</v>
      </c>
      <c r="M806" s="81" t="n">
        <v>15421109</v>
      </c>
      <c r="N806" s="81" t="n">
        <v>11.94</v>
      </c>
      <c r="O806" s="81" t="n">
        <v>2093350</v>
      </c>
      <c r="P806" s="81" t="n">
        <v>15421110</v>
      </c>
      <c r="Q806" s="81" t="n">
        <v>11.94</v>
      </c>
      <c r="R806" s="81" t="s">
        <v>899</v>
      </c>
      <c r="S806" s="81"/>
      <c r="T806" s="81"/>
      <c r="U806" s="83" t="n">
        <v>46289</v>
      </c>
      <c r="V806" s="83" t="n">
        <v>46289</v>
      </c>
      <c r="W806" s="81" t="s">
        <v>883</v>
      </c>
      <c r="X806" s="81" t="s">
        <v>876</v>
      </c>
      <c r="Y806" s="83" t="n">
        <v>46290</v>
      </c>
      <c r="Z806" s="81" t="s">
        <v>884</v>
      </c>
      <c r="AA806" s="81" t="s">
        <v>876</v>
      </c>
      <c r="AB806" s="81"/>
      <c r="AC806" s="81"/>
      <c r="AD806" s="81"/>
      <c r="AE806" s="83"/>
      <c r="AF806" s="81"/>
      <c r="AG806" s="81"/>
      <c r="AH806" s="81"/>
      <c r="AI806" s="81"/>
      <c r="AJ806" s="83"/>
      <c r="AK806" s="81"/>
      <c r="AL806" s="81"/>
      <c r="AM806" s="83"/>
      <c r="AN806" s="80"/>
      <c r="AO806" s="82" t="n">
        <f aca="false">IF(E806="","",(AA806&lt;&gt;"")+(AG806&lt;&gt;"")+(AL806&lt;&gt;""))</f>
        <v>1</v>
      </c>
      <c r="AP806" s="82" t="str">
        <f aca="false">IF(AL806&lt;&gt;"",AL806,IF(AG806&lt;&gt;"",AG806,IF(AA806&lt;&gt;"",AA806,"")))</f>
        <v>A</v>
      </c>
      <c r="AQ806" s="84" t="str">
        <f aca="false">IF(E806="","",IF(U806="","À SOUDER",IF(X806="","VT EN ATTENTE",IF(X806="R","VT REJETÉ – À REPRENDRE",IF(AP806="","À RADIOGRAPHIER",IF(AP806="A","ACCEPTÉ",IF(AP806="NX","NX – RT À REFAIRE",IF(IF(AO806=1,AD806,IF(AO806=2,AI806,""))="A","RÉPARÉ – À RADIOGRAPHIER",IF(IF(AO806=1,AD806,IF(AO806=2,AI806,""))="R","VT REJETÉ – À REPRENDRE",IF(OR(AP806="CO",AP806="NT"),"COUPE – À RESOUDER","À RÉPARER"))))))))))</f>
        <v>ACCEPTÉ</v>
      </c>
      <c r="AR806" s="82" t="str">
        <f aca="false">IF(AND(ISNUMBER(U806),OR(AQ806="À RADIOGRAPHIER",AQ806="RÉPARÉ – À RADIOGRAPHIER",AQ806="NX – RT À REFAIRE",AQ806="À RÉPARER",AQ806="COUPE – À RESOUDER",AQ806="VT REJETÉ – À REPRENDRE")),MAX(0,'PROGRAMME RT'!$C$4-U806),"")</f>
        <v/>
      </c>
      <c r="AS806" s="82" t="n">
        <f aca="false">IF(AND(OR(AQ806="À RADIOGRAPHIER",AQ806="RÉPARÉ – À RADIOGRAPHIER",AQ806="NX – RT À REFAIRE"),OR('PROGRAMME RT'!$D$5="TOUTES",B806='PROGRAMME RT'!$D$5)),1,0)</f>
        <v>0</v>
      </c>
      <c r="AT806" s="82" t="str">
        <f aca="false">IF(AS806=1,SUM(AS$7:AS806),"")</f>
        <v/>
      </c>
      <c r="AU806" s="82" t="n">
        <f aca="false">IF(AND(OR(AA806="R",AA806="NX",AA806="NT",AA806="CO"),OR('JOINTS DE RÉPARATION'!$D$5="TOUTES",B806='JOINTS DE RÉPARATION'!$D$5),OR('JOINTS DE RÉPARATION'!$L$4="TOUS",AQ806&lt;&gt;"ACCEPTÉ")),1,0)</f>
        <v>0</v>
      </c>
      <c r="AV806" s="82" t="str">
        <f aca="false">IF(AU806=1,SUM(AU$7:AU806),"")</f>
        <v/>
      </c>
      <c r="AW806" s="82" t="str">
        <f aca="false">IF(E806="","",B806&amp;"|"&amp;E806)</f>
        <v>MFD-ISW → MFD-CPF|DJ°514</v>
      </c>
    </row>
    <row r="807" customFormat="false" ht="74.6" hidden="false" customHeight="false" outlineLevel="0" collapsed="false">
      <c r="A807" s="79" t="n">
        <f aca="false">IF(E807="","",ROW()-6)</f>
        <v>801</v>
      </c>
      <c r="B807" s="80" t="s">
        <v>110</v>
      </c>
      <c r="C807" s="81"/>
      <c r="D807" s="81" t="n">
        <v>4</v>
      </c>
      <c r="E807" s="81" t="s">
        <v>934</v>
      </c>
      <c r="F807" s="82" t="str">
        <f aca="false">IF(E807="","",IF(LEFT(E807,2)="DJ","DJ","JN"))</f>
        <v>JN</v>
      </c>
      <c r="G807" s="81"/>
      <c r="H807" s="81" t="s">
        <v>871</v>
      </c>
      <c r="I807" s="81" t="n">
        <v>9.53</v>
      </c>
      <c r="J807" s="81" t="s">
        <v>872</v>
      </c>
      <c r="K807" s="81" t="s">
        <v>879</v>
      </c>
      <c r="L807" s="81" t="n">
        <v>2093350</v>
      </c>
      <c r="M807" s="81" t="n">
        <v>15421110</v>
      </c>
      <c r="N807" s="81" t="n">
        <v>11.94</v>
      </c>
      <c r="O807" s="81" t="n">
        <v>2087560</v>
      </c>
      <c r="P807" s="81" t="n">
        <v>15421107</v>
      </c>
      <c r="Q807" s="81" t="n">
        <v>11.94</v>
      </c>
      <c r="R807" s="81" t="s">
        <v>935</v>
      </c>
      <c r="S807" s="81"/>
      <c r="T807" s="81"/>
      <c r="U807" s="83" t="n">
        <v>46290</v>
      </c>
      <c r="V807" s="83" t="n">
        <v>46290</v>
      </c>
      <c r="W807" s="81" t="s">
        <v>936</v>
      </c>
      <c r="X807" s="81" t="s">
        <v>876</v>
      </c>
      <c r="Y807" s="83"/>
      <c r="Z807" s="81"/>
      <c r="AA807" s="81"/>
      <c r="AB807" s="81"/>
      <c r="AC807" s="81"/>
      <c r="AD807" s="81"/>
      <c r="AE807" s="83"/>
      <c r="AF807" s="81"/>
      <c r="AG807" s="81"/>
      <c r="AH807" s="81"/>
      <c r="AI807" s="81"/>
      <c r="AJ807" s="83"/>
      <c r="AK807" s="81"/>
      <c r="AL807" s="81"/>
      <c r="AM807" s="83"/>
      <c r="AN807" s="80"/>
      <c r="AO807" s="82" t="n">
        <f aca="false">IF(E807="","",(AA807&lt;&gt;"")+(AG807&lt;&gt;"")+(AL807&lt;&gt;""))</f>
        <v>0</v>
      </c>
      <c r="AP807" s="82" t="str">
        <f aca="false">IF(AL807&lt;&gt;"",AL807,IF(AG807&lt;&gt;"",AG807,IF(AA807&lt;&gt;"",AA807,"")))</f>
        <v/>
      </c>
      <c r="AQ807" s="84" t="str">
        <f aca="false">IF(E807="","",IF(U807="","À SOUDER",IF(X807="","VT EN ATTENTE",IF(X807="R","VT REJETÉ – À REPRENDRE",IF(AP807="","À RADIOGRAPHIER",IF(AP807="A","ACCEPTÉ",IF(AP807="NX","NX – RT À REFAIRE",IF(IF(AO807=1,AD807,IF(AO807=2,AI807,""))="A","RÉPARÉ – À RADIOGRAPHIER",IF(IF(AO807=1,AD807,IF(AO807=2,AI807,""))="R","VT REJETÉ – À REPRENDRE",IF(OR(AP807="CO",AP807="NT"),"COUPE – À RESOUDER","À RÉPARER"))))))))))</f>
        <v>À RADIOGRAPHIER</v>
      </c>
      <c r="AR807" s="82" t="n">
        <f aca="false">IF(AND(ISNUMBER(U807),OR(AQ807="À RADIOGRAPHIER",AQ807="RÉPARÉ – À RADIOGRAPHIER",AQ807="NX – RT À REFAIRE",AQ807="À RÉPARER",AQ807="COUPE – À RESOUDER",AQ807="VT REJETÉ – À REPRENDRE")),MAX(0,'PROGRAMME RT'!$C$4-U807),"")</f>
        <v>3</v>
      </c>
      <c r="AS807" s="82" t="n">
        <f aca="false">IF(AND(OR(AQ807="À RADIOGRAPHIER",AQ807="RÉPARÉ – À RADIOGRAPHIER",AQ807="NX – RT À REFAIRE"),OR('PROGRAMME RT'!$D$5="TOUTES",B807='PROGRAMME RT'!$D$5)),1,0)</f>
        <v>1</v>
      </c>
      <c r="AT807" s="82" t="n">
        <f aca="false">IF(AS807=1,SUM(AS$7:AS807),"")</f>
        <v>19</v>
      </c>
      <c r="AU807" s="82" t="n">
        <f aca="false">IF(AND(OR(AA807="R",AA807="NX",AA807="NT",AA807="CO"),OR('JOINTS DE RÉPARATION'!$D$5="TOUTES",B807='JOINTS DE RÉPARATION'!$D$5),OR('JOINTS DE RÉPARATION'!$L$4="TOUS",AQ807&lt;&gt;"ACCEPTÉ")),1,0)</f>
        <v>0</v>
      </c>
      <c r="AV807" s="82" t="str">
        <f aca="false">IF(AU807=1,SUM(AU$7:AU807),"")</f>
        <v/>
      </c>
      <c r="AW807" s="82" t="str">
        <f aca="false">IF(E807="","",B807&amp;"|"&amp;E807)</f>
        <v>MFD-ISW → MFD-CPF|JN°780</v>
      </c>
    </row>
    <row r="808" customFormat="false" ht="74.6" hidden="false" customHeight="false" outlineLevel="0" collapsed="false">
      <c r="A808" s="79" t="n">
        <f aca="false">IF(E808="","",ROW()-6)</f>
        <v>802</v>
      </c>
      <c r="B808" s="80" t="s">
        <v>110</v>
      </c>
      <c r="C808" s="81" t="s">
        <v>868</v>
      </c>
      <c r="D808" s="81" t="n">
        <v>4</v>
      </c>
      <c r="E808" s="81" t="s">
        <v>937</v>
      </c>
      <c r="F808" s="82" t="str">
        <f aca="false">IF(E808="","",IF(LEFT(E808,2)="DJ","DJ","JN"))</f>
        <v>DJ</v>
      </c>
      <c r="G808" s="81"/>
      <c r="H808" s="81" t="s">
        <v>871</v>
      </c>
      <c r="I808" s="81" t="n">
        <v>9.53</v>
      </c>
      <c r="J808" s="81" t="s">
        <v>872</v>
      </c>
      <c r="K808" s="81" t="s">
        <v>873</v>
      </c>
      <c r="L808" s="81" t="n">
        <v>2087560</v>
      </c>
      <c r="M808" s="81" t="n">
        <v>15421107</v>
      </c>
      <c r="N808" s="81" t="n">
        <v>11.94</v>
      </c>
      <c r="O808" s="81" t="n">
        <v>2094130</v>
      </c>
      <c r="P808" s="81" t="n">
        <v>15421110</v>
      </c>
      <c r="Q808" s="81" t="n">
        <v>11.94</v>
      </c>
      <c r="R808" s="81" t="s">
        <v>882</v>
      </c>
      <c r="S808" s="81"/>
      <c r="T808" s="81"/>
      <c r="U808" s="83" t="n">
        <v>46287</v>
      </c>
      <c r="V808" s="83" t="n">
        <v>46287</v>
      </c>
      <c r="W808" s="81" t="s">
        <v>938</v>
      </c>
      <c r="X808" s="81" t="s">
        <v>876</v>
      </c>
      <c r="Y808" s="83" t="n">
        <v>46288</v>
      </c>
      <c r="Z808" s="81" t="s">
        <v>939</v>
      </c>
      <c r="AA808" s="81" t="s">
        <v>876</v>
      </c>
      <c r="AB808" s="81"/>
      <c r="AC808" s="81"/>
      <c r="AD808" s="81"/>
      <c r="AE808" s="83"/>
      <c r="AF808" s="81"/>
      <c r="AG808" s="81"/>
      <c r="AH808" s="81"/>
      <c r="AI808" s="81"/>
      <c r="AJ808" s="83"/>
      <c r="AK808" s="81"/>
      <c r="AL808" s="81"/>
      <c r="AM808" s="83"/>
      <c r="AN808" s="80"/>
      <c r="AO808" s="82" t="n">
        <f aca="false">IF(E808="","",(AA808&lt;&gt;"")+(AG808&lt;&gt;"")+(AL808&lt;&gt;""))</f>
        <v>1</v>
      </c>
      <c r="AP808" s="82" t="str">
        <f aca="false">IF(AL808&lt;&gt;"",AL808,IF(AG808&lt;&gt;"",AG808,IF(AA808&lt;&gt;"",AA808,"")))</f>
        <v>A</v>
      </c>
      <c r="AQ808" s="84" t="str">
        <f aca="false">IF(E808="","",IF(U808="","À SOUDER",IF(X808="","VT EN ATTENTE",IF(X808="R","VT REJETÉ – À REPRENDRE",IF(AP808="","À RADIOGRAPHIER",IF(AP808="A","ACCEPTÉ",IF(AP808="NX","NX – RT À REFAIRE",IF(IF(AO808=1,AD808,IF(AO808=2,AI808,""))="A","RÉPARÉ – À RADIOGRAPHIER",IF(IF(AO808=1,AD808,IF(AO808=2,AI808,""))="R","VT REJETÉ – À REPRENDRE",IF(OR(AP808="CO",AP808="NT"),"COUPE – À RESOUDER","À RÉPARER"))))))))))</f>
        <v>ACCEPTÉ</v>
      </c>
      <c r="AR808" s="82" t="str">
        <f aca="false">IF(AND(ISNUMBER(U808),OR(AQ808="À RADIOGRAPHIER",AQ808="RÉPARÉ – À RADIOGRAPHIER",AQ808="NX – RT À REFAIRE",AQ808="À RÉPARER",AQ808="COUPE – À RESOUDER",AQ808="VT REJETÉ – À REPRENDRE")),MAX(0,'PROGRAMME RT'!$C$4-U808),"")</f>
        <v/>
      </c>
      <c r="AS808" s="82" t="n">
        <f aca="false">IF(AND(OR(AQ808="À RADIOGRAPHIER",AQ808="RÉPARÉ – À RADIOGRAPHIER",AQ808="NX – RT À REFAIRE"),OR('PROGRAMME RT'!$D$5="TOUTES",B808='PROGRAMME RT'!$D$5)),1,0)</f>
        <v>0</v>
      </c>
      <c r="AT808" s="82" t="str">
        <f aca="false">IF(AS808=1,SUM(AS$7:AS808),"")</f>
        <v/>
      </c>
      <c r="AU808" s="82" t="n">
        <f aca="false">IF(AND(OR(AA808="R",AA808="NX",AA808="NT",AA808="CO"),OR('JOINTS DE RÉPARATION'!$D$5="TOUTES",B808='JOINTS DE RÉPARATION'!$D$5),OR('JOINTS DE RÉPARATION'!$L$4="TOUS",AQ808&lt;&gt;"ACCEPTÉ")),1,0)</f>
        <v>0</v>
      </c>
      <c r="AV808" s="82" t="str">
        <f aca="false">IF(AU808=1,SUM(AU$7:AU808),"")</f>
        <v/>
      </c>
      <c r="AW808" s="82" t="str">
        <f aca="false">IF(E808="","",B808&amp;"|"&amp;E808)</f>
        <v>MFD-ISW → MFD-CPF|DJ°479</v>
      </c>
    </row>
    <row r="809" customFormat="false" ht="74.6" hidden="false" customHeight="false" outlineLevel="0" collapsed="false">
      <c r="A809" s="79" t="n">
        <f aca="false">IF(E809="","",ROW()-6)</f>
        <v>803</v>
      </c>
      <c r="B809" s="80" t="s">
        <v>110</v>
      </c>
      <c r="C809" s="81"/>
      <c r="D809" s="81" t="n">
        <v>4</v>
      </c>
      <c r="E809" s="81" t="s">
        <v>940</v>
      </c>
      <c r="F809" s="82" t="str">
        <f aca="false">IF(E809="","",IF(LEFT(E809,2)="DJ","DJ","JN"))</f>
        <v>JN</v>
      </c>
      <c r="G809" s="81"/>
      <c r="H809" s="81" t="s">
        <v>871</v>
      </c>
      <c r="I809" s="81" t="n">
        <v>9.53</v>
      </c>
      <c r="J809" s="81" t="s">
        <v>872</v>
      </c>
      <c r="K809" s="81" t="s">
        <v>879</v>
      </c>
      <c r="L809" s="81" t="n">
        <v>2094130</v>
      </c>
      <c r="M809" s="81" t="n">
        <v>15421110</v>
      </c>
      <c r="N809" s="81" t="n">
        <v>11.94</v>
      </c>
      <c r="O809" s="81" t="n">
        <v>2095100</v>
      </c>
      <c r="P809" s="81" t="n">
        <v>15421102</v>
      </c>
      <c r="Q809" s="81" t="n">
        <v>11.94</v>
      </c>
      <c r="R809" s="81" t="s">
        <v>935</v>
      </c>
      <c r="S809" s="81"/>
      <c r="T809" s="81"/>
      <c r="U809" s="83" t="n">
        <v>46290</v>
      </c>
      <c r="V809" s="83" t="n">
        <v>46290</v>
      </c>
      <c r="W809" s="81" t="s">
        <v>936</v>
      </c>
      <c r="X809" s="81" t="s">
        <v>876</v>
      </c>
      <c r="Y809" s="83"/>
      <c r="Z809" s="81"/>
      <c r="AA809" s="81"/>
      <c r="AB809" s="81"/>
      <c r="AC809" s="81"/>
      <c r="AD809" s="81"/>
      <c r="AE809" s="83"/>
      <c r="AF809" s="81"/>
      <c r="AG809" s="81"/>
      <c r="AH809" s="81"/>
      <c r="AI809" s="81"/>
      <c r="AJ809" s="83"/>
      <c r="AK809" s="81"/>
      <c r="AL809" s="81"/>
      <c r="AM809" s="83"/>
      <c r="AN809" s="80"/>
      <c r="AO809" s="82" t="n">
        <f aca="false">IF(E809="","",(AA809&lt;&gt;"")+(AG809&lt;&gt;"")+(AL809&lt;&gt;""))</f>
        <v>0</v>
      </c>
      <c r="AP809" s="82" t="str">
        <f aca="false">IF(AL809&lt;&gt;"",AL809,IF(AG809&lt;&gt;"",AG809,IF(AA809&lt;&gt;"",AA809,"")))</f>
        <v/>
      </c>
      <c r="AQ809" s="84" t="str">
        <f aca="false">IF(E809="","",IF(U809="","À SOUDER",IF(X809="","VT EN ATTENTE",IF(X809="R","VT REJETÉ – À REPRENDRE",IF(AP809="","À RADIOGRAPHIER",IF(AP809="A","ACCEPTÉ",IF(AP809="NX","NX – RT À REFAIRE",IF(IF(AO809=1,AD809,IF(AO809=2,AI809,""))="A","RÉPARÉ – À RADIOGRAPHIER",IF(IF(AO809=1,AD809,IF(AO809=2,AI809,""))="R","VT REJETÉ – À REPRENDRE",IF(OR(AP809="CO",AP809="NT"),"COUPE – À RESOUDER","À RÉPARER"))))))))))</f>
        <v>À RADIOGRAPHIER</v>
      </c>
      <c r="AR809" s="82" t="n">
        <f aca="false">IF(AND(ISNUMBER(U809),OR(AQ809="À RADIOGRAPHIER",AQ809="RÉPARÉ – À RADIOGRAPHIER",AQ809="NX – RT À REFAIRE",AQ809="À RÉPARER",AQ809="COUPE – À RESOUDER",AQ809="VT REJETÉ – À REPRENDRE")),MAX(0,'PROGRAMME RT'!$C$4-U809),"")</f>
        <v>3</v>
      </c>
      <c r="AS809" s="82" t="n">
        <f aca="false">IF(AND(OR(AQ809="À RADIOGRAPHIER",AQ809="RÉPARÉ – À RADIOGRAPHIER",AQ809="NX – RT À REFAIRE"),OR('PROGRAMME RT'!$D$5="TOUTES",B809='PROGRAMME RT'!$D$5)),1,0)</f>
        <v>1</v>
      </c>
      <c r="AT809" s="82" t="n">
        <f aca="false">IF(AS809=1,SUM(AS$7:AS809),"")</f>
        <v>20</v>
      </c>
      <c r="AU809" s="82" t="n">
        <f aca="false">IF(AND(OR(AA809="R",AA809="NX",AA809="NT",AA809="CO"),OR('JOINTS DE RÉPARATION'!$D$5="TOUTES",B809='JOINTS DE RÉPARATION'!$D$5),OR('JOINTS DE RÉPARATION'!$L$4="TOUS",AQ809&lt;&gt;"ACCEPTÉ")),1,0)</f>
        <v>0</v>
      </c>
      <c r="AV809" s="82" t="str">
        <f aca="false">IF(AU809=1,SUM(AU$7:AU809),"")</f>
        <v/>
      </c>
      <c r="AW809" s="82" t="str">
        <f aca="false">IF(E809="","",B809&amp;"|"&amp;E809)</f>
        <v>MFD-ISW → MFD-CPF|JN°781</v>
      </c>
    </row>
    <row r="810" customFormat="false" ht="74.6" hidden="false" customHeight="false" outlineLevel="0" collapsed="false">
      <c r="A810" s="79" t="n">
        <f aca="false">IF(E810="","",ROW()-6)</f>
        <v>804</v>
      </c>
      <c r="B810" s="80" t="s">
        <v>110</v>
      </c>
      <c r="C810" s="81" t="s">
        <v>868</v>
      </c>
      <c r="D810" s="81" t="n">
        <v>4</v>
      </c>
      <c r="E810" s="81" t="s">
        <v>941</v>
      </c>
      <c r="F810" s="82" t="str">
        <f aca="false">IF(E810="","",IF(LEFT(E810,2)="DJ","DJ","JN"))</f>
        <v>DJ</v>
      </c>
      <c r="G810" s="81"/>
      <c r="H810" s="81" t="s">
        <v>871</v>
      </c>
      <c r="I810" s="81" t="n">
        <v>9.53</v>
      </c>
      <c r="J810" s="81" t="s">
        <v>872</v>
      </c>
      <c r="K810" s="81" t="s">
        <v>873</v>
      </c>
      <c r="L810" s="81" t="n">
        <v>2095100</v>
      </c>
      <c r="M810" s="81" t="n">
        <v>15421102</v>
      </c>
      <c r="N810" s="81" t="n">
        <v>11.94</v>
      </c>
      <c r="O810" s="81" t="n">
        <v>2083750</v>
      </c>
      <c r="P810" s="81" t="n">
        <v>15421105</v>
      </c>
      <c r="Q810" s="81" t="n">
        <v>11.94</v>
      </c>
      <c r="R810" s="81" t="s">
        <v>874</v>
      </c>
      <c r="S810" s="81"/>
      <c r="T810" s="81"/>
      <c r="U810" s="83" t="n">
        <v>46289</v>
      </c>
      <c r="V810" s="83" t="n">
        <v>46289</v>
      </c>
      <c r="W810" s="81" t="s">
        <v>883</v>
      </c>
      <c r="X810" s="81" t="s">
        <v>876</v>
      </c>
      <c r="Y810" s="83" t="n">
        <v>46290</v>
      </c>
      <c r="Z810" s="81" t="s">
        <v>884</v>
      </c>
      <c r="AA810" s="81" t="s">
        <v>876</v>
      </c>
      <c r="AB810" s="81"/>
      <c r="AC810" s="81"/>
      <c r="AD810" s="81"/>
      <c r="AE810" s="83"/>
      <c r="AF810" s="81"/>
      <c r="AG810" s="81"/>
      <c r="AH810" s="81"/>
      <c r="AI810" s="81"/>
      <c r="AJ810" s="83"/>
      <c r="AK810" s="81"/>
      <c r="AL810" s="81"/>
      <c r="AM810" s="83"/>
      <c r="AN810" s="80"/>
      <c r="AO810" s="82" t="n">
        <f aca="false">IF(E810="","",(AA810&lt;&gt;"")+(AG810&lt;&gt;"")+(AL810&lt;&gt;""))</f>
        <v>1</v>
      </c>
      <c r="AP810" s="82" t="str">
        <f aca="false">IF(AL810&lt;&gt;"",AL810,IF(AG810&lt;&gt;"",AG810,IF(AA810&lt;&gt;"",AA810,"")))</f>
        <v>A</v>
      </c>
      <c r="AQ810" s="84" t="str">
        <f aca="false">IF(E810="","",IF(U810="","À SOUDER",IF(X810="","VT EN ATTENTE",IF(X810="R","VT REJETÉ – À REPRENDRE",IF(AP810="","À RADIOGRAPHIER",IF(AP810="A","ACCEPTÉ",IF(AP810="NX","NX – RT À REFAIRE",IF(IF(AO810=1,AD810,IF(AO810=2,AI810,""))="A","RÉPARÉ – À RADIOGRAPHIER",IF(IF(AO810=1,AD810,IF(AO810=2,AI810,""))="R","VT REJETÉ – À REPRENDRE",IF(OR(AP810="CO",AP810="NT"),"COUPE – À RESOUDER","À RÉPARER"))))))))))</f>
        <v>ACCEPTÉ</v>
      </c>
      <c r="AR810" s="82" t="str">
        <f aca="false">IF(AND(ISNUMBER(U810),OR(AQ810="À RADIOGRAPHIER",AQ810="RÉPARÉ – À RADIOGRAPHIER",AQ810="NX – RT À REFAIRE",AQ810="À RÉPARER",AQ810="COUPE – À RESOUDER",AQ810="VT REJETÉ – À REPRENDRE")),MAX(0,'PROGRAMME RT'!$C$4-U810),"")</f>
        <v/>
      </c>
      <c r="AS810" s="82" t="n">
        <f aca="false">IF(AND(OR(AQ810="À RADIOGRAPHIER",AQ810="RÉPARÉ – À RADIOGRAPHIER",AQ810="NX – RT À REFAIRE"),OR('PROGRAMME RT'!$D$5="TOUTES",B810='PROGRAMME RT'!$D$5)),1,0)</f>
        <v>0</v>
      </c>
      <c r="AT810" s="82" t="str">
        <f aca="false">IF(AS810=1,SUM(AS$7:AS810),"")</f>
        <v/>
      </c>
      <c r="AU810" s="82" t="n">
        <f aca="false">IF(AND(OR(AA810="R",AA810="NX",AA810="NT",AA810="CO"),OR('JOINTS DE RÉPARATION'!$D$5="TOUTES",B810='JOINTS DE RÉPARATION'!$D$5),OR('JOINTS DE RÉPARATION'!$L$4="TOUS",AQ810&lt;&gt;"ACCEPTÉ")),1,0)</f>
        <v>0</v>
      </c>
      <c r="AV810" s="82" t="str">
        <f aca="false">IF(AU810=1,SUM(AU$7:AU810),"")</f>
        <v/>
      </c>
      <c r="AW810" s="82" t="str">
        <f aca="false">IF(E810="","",B810&amp;"|"&amp;E810)</f>
        <v>MFD-ISW → MFD-CPF|DJ°516</v>
      </c>
    </row>
    <row r="811" customFormat="false" ht="74.6" hidden="false" customHeight="false" outlineLevel="0" collapsed="false">
      <c r="A811" s="79" t="n">
        <f aca="false">IF(E811="","",ROW()-6)</f>
        <v>805</v>
      </c>
      <c r="B811" s="80" t="s">
        <v>110</v>
      </c>
      <c r="C811" s="81"/>
      <c r="D811" s="81" t="n">
        <v>4</v>
      </c>
      <c r="E811" s="81" t="s">
        <v>942</v>
      </c>
      <c r="F811" s="82" t="str">
        <f aca="false">IF(E811="","",IF(LEFT(E811,2)="DJ","DJ","JN"))</f>
        <v>JN</v>
      </c>
      <c r="G811" s="81"/>
      <c r="H811" s="81" t="s">
        <v>871</v>
      </c>
      <c r="I811" s="81" t="n">
        <v>9.53</v>
      </c>
      <c r="J811" s="81" t="s">
        <v>872</v>
      </c>
      <c r="K811" s="81" t="s">
        <v>879</v>
      </c>
      <c r="L811" s="81" t="n">
        <v>2083750</v>
      </c>
      <c r="M811" s="81" t="n">
        <v>15421105</v>
      </c>
      <c r="N811" s="81" t="n">
        <v>11.94</v>
      </c>
      <c r="O811" s="81" t="n">
        <v>2097330</v>
      </c>
      <c r="P811" s="81" t="n">
        <v>15421112</v>
      </c>
      <c r="Q811" s="81" t="n">
        <v>11.94</v>
      </c>
      <c r="R811" s="81" t="s">
        <v>935</v>
      </c>
      <c r="S811" s="81"/>
      <c r="T811" s="81"/>
      <c r="U811" s="83" t="n">
        <v>46290</v>
      </c>
      <c r="V811" s="83" t="n">
        <v>46290</v>
      </c>
      <c r="W811" s="81" t="s">
        <v>936</v>
      </c>
      <c r="X811" s="81" t="s">
        <v>876</v>
      </c>
      <c r="Y811" s="83"/>
      <c r="Z811" s="81"/>
      <c r="AA811" s="81"/>
      <c r="AB811" s="81"/>
      <c r="AC811" s="81"/>
      <c r="AD811" s="81"/>
      <c r="AE811" s="83"/>
      <c r="AF811" s="81"/>
      <c r="AG811" s="81"/>
      <c r="AH811" s="81"/>
      <c r="AI811" s="81"/>
      <c r="AJ811" s="83"/>
      <c r="AK811" s="81"/>
      <c r="AL811" s="81"/>
      <c r="AM811" s="83"/>
      <c r="AN811" s="80"/>
      <c r="AO811" s="82" t="n">
        <f aca="false">IF(E811="","",(AA811&lt;&gt;"")+(AG811&lt;&gt;"")+(AL811&lt;&gt;""))</f>
        <v>0</v>
      </c>
      <c r="AP811" s="82" t="str">
        <f aca="false">IF(AL811&lt;&gt;"",AL811,IF(AG811&lt;&gt;"",AG811,IF(AA811&lt;&gt;"",AA811,"")))</f>
        <v/>
      </c>
      <c r="AQ811" s="84" t="str">
        <f aca="false">IF(E811="","",IF(U811="","À SOUDER",IF(X811="","VT EN ATTENTE",IF(X811="R","VT REJETÉ – À REPRENDRE",IF(AP811="","À RADIOGRAPHIER",IF(AP811="A","ACCEPTÉ",IF(AP811="NX","NX – RT À REFAIRE",IF(IF(AO811=1,AD811,IF(AO811=2,AI811,""))="A","RÉPARÉ – À RADIOGRAPHIER",IF(IF(AO811=1,AD811,IF(AO811=2,AI811,""))="R","VT REJETÉ – À REPRENDRE",IF(OR(AP811="CO",AP811="NT"),"COUPE – À RESOUDER","À RÉPARER"))))))))))</f>
        <v>À RADIOGRAPHIER</v>
      </c>
      <c r="AR811" s="82" t="n">
        <f aca="false">IF(AND(ISNUMBER(U811),OR(AQ811="À RADIOGRAPHIER",AQ811="RÉPARÉ – À RADIOGRAPHIER",AQ811="NX – RT À REFAIRE",AQ811="À RÉPARER",AQ811="COUPE – À RESOUDER",AQ811="VT REJETÉ – À REPRENDRE")),MAX(0,'PROGRAMME RT'!$C$4-U811),"")</f>
        <v>3</v>
      </c>
      <c r="AS811" s="82" t="n">
        <f aca="false">IF(AND(OR(AQ811="À RADIOGRAPHIER",AQ811="RÉPARÉ – À RADIOGRAPHIER",AQ811="NX – RT À REFAIRE"),OR('PROGRAMME RT'!$D$5="TOUTES",B811='PROGRAMME RT'!$D$5)),1,0)</f>
        <v>1</v>
      </c>
      <c r="AT811" s="82" t="n">
        <f aca="false">IF(AS811=1,SUM(AS$7:AS811),"")</f>
        <v>21</v>
      </c>
      <c r="AU811" s="82" t="n">
        <f aca="false">IF(AND(OR(AA811="R",AA811="NX",AA811="NT",AA811="CO"),OR('JOINTS DE RÉPARATION'!$D$5="TOUTES",B811='JOINTS DE RÉPARATION'!$D$5),OR('JOINTS DE RÉPARATION'!$L$4="TOUS",AQ811&lt;&gt;"ACCEPTÉ")),1,0)</f>
        <v>0</v>
      </c>
      <c r="AV811" s="82" t="str">
        <f aca="false">IF(AU811=1,SUM(AU$7:AU811),"")</f>
        <v/>
      </c>
      <c r="AW811" s="82" t="str">
        <f aca="false">IF(E811="","",B811&amp;"|"&amp;E811)</f>
        <v>MFD-ISW → MFD-CPF|JN°782</v>
      </c>
    </row>
    <row r="812" customFormat="false" ht="74.6" hidden="false" customHeight="false" outlineLevel="0" collapsed="false">
      <c r="A812" s="79" t="n">
        <f aca="false">IF(E812="","",ROW()-6)</f>
        <v>806</v>
      </c>
      <c r="B812" s="80" t="s">
        <v>110</v>
      </c>
      <c r="C812" s="81" t="s">
        <v>868</v>
      </c>
      <c r="D812" s="81" t="n">
        <v>4</v>
      </c>
      <c r="E812" s="81" t="s">
        <v>943</v>
      </c>
      <c r="F812" s="82" t="str">
        <f aca="false">IF(E812="","",IF(LEFT(E812,2)="DJ","DJ","JN"))</f>
        <v>DJ</v>
      </c>
      <c r="G812" s="81"/>
      <c r="H812" s="81" t="s">
        <v>871</v>
      </c>
      <c r="I812" s="81" t="n">
        <v>9.53</v>
      </c>
      <c r="J812" s="81" t="s">
        <v>872</v>
      </c>
      <c r="K812" s="81" t="s">
        <v>873</v>
      </c>
      <c r="L812" s="81" t="n">
        <v>2097330</v>
      </c>
      <c r="M812" s="81" t="n">
        <v>15421112</v>
      </c>
      <c r="N812" s="81" t="n">
        <v>11.94</v>
      </c>
      <c r="O812" s="81" t="n">
        <v>2094260</v>
      </c>
      <c r="P812" s="81" t="n">
        <v>15421111</v>
      </c>
      <c r="Q812" s="81" t="n">
        <v>11.94</v>
      </c>
      <c r="R812" s="81" t="s">
        <v>874</v>
      </c>
      <c r="S812" s="81"/>
      <c r="T812" s="81"/>
      <c r="U812" s="83" t="n">
        <v>46288</v>
      </c>
      <c r="V812" s="83" t="n">
        <v>46288</v>
      </c>
      <c r="W812" s="81" t="s">
        <v>924</v>
      </c>
      <c r="X812" s="81" t="s">
        <v>876</v>
      </c>
      <c r="Y812" s="83" t="n">
        <v>46289</v>
      </c>
      <c r="Z812" s="81" t="s">
        <v>925</v>
      </c>
      <c r="AA812" s="81" t="s">
        <v>876</v>
      </c>
      <c r="AB812" s="81"/>
      <c r="AC812" s="81"/>
      <c r="AD812" s="81"/>
      <c r="AE812" s="83"/>
      <c r="AF812" s="81"/>
      <c r="AG812" s="81"/>
      <c r="AH812" s="81"/>
      <c r="AI812" s="81"/>
      <c r="AJ812" s="83"/>
      <c r="AK812" s="81"/>
      <c r="AL812" s="81"/>
      <c r="AM812" s="83"/>
      <c r="AN812" s="80"/>
      <c r="AO812" s="82" t="n">
        <f aca="false">IF(E812="","",(AA812&lt;&gt;"")+(AG812&lt;&gt;"")+(AL812&lt;&gt;""))</f>
        <v>1</v>
      </c>
      <c r="AP812" s="82" t="str">
        <f aca="false">IF(AL812&lt;&gt;"",AL812,IF(AG812&lt;&gt;"",AG812,IF(AA812&lt;&gt;"",AA812,"")))</f>
        <v>A</v>
      </c>
      <c r="AQ812" s="84" t="str">
        <f aca="false">IF(E812="","",IF(U812="","À SOUDER",IF(X812="","VT EN ATTENTE",IF(X812="R","VT REJETÉ – À REPRENDRE",IF(AP812="","À RADIOGRAPHIER",IF(AP812="A","ACCEPTÉ",IF(AP812="NX","NX – RT À REFAIRE",IF(IF(AO812=1,AD812,IF(AO812=2,AI812,""))="A","RÉPARÉ – À RADIOGRAPHIER",IF(IF(AO812=1,AD812,IF(AO812=2,AI812,""))="R","VT REJETÉ – À REPRENDRE",IF(OR(AP812="CO",AP812="NT"),"COUPE – À RESOUDER","À RÉPARER"))))))))))</f>
        <v>ACCEPTÉ</v>
      </c>
      <c r="AR812" s="82" t="str">
        <f aca="false">IF(AND(ISNUMBER(U812),OR(AQ812="À RADIOGRAPHIER",AQ812="RÉPARÉ – À RADIOGRAPHIER",AQ812="NX – RT À REFAIRE",AQ812="À RÉPARER",AQ812="COUPE – À RESOUDER",AQ812="VT REJETÉ – À REPRENDRE")),MAX(0,'PROGRAMME RT'!$C$4-U812),"")</f>
        <v/>
      </c>
      <c r="AS812" s="82" t="n">
        <f aca="false">IF(AND(OR(AQ812="À RADIOGRAPHIER",AQ812="RÉPARÉ – À RADIOGRAPHIER",AQ812="NX – RT À REFAIRE"),OR('PROGRAMME RT'!$D$5="TOUTES",B812='PROGRAMME RT'!$D$5)),1,0)</f>
        <v>0</v>
      </c>
      <c r="AT812" s="82" t="str">
        <f aca="false">IF(AS812=1,SUM(AS$7:AS812),"")</f>
        <v/>
      </c>
      <c r="AU812" s="82" t="n">
        <f aca="false">IF(AND(OR(AA812="R",AA812="NX",AA812="NT",AA812="CO"),OR('JOINTS DE RÉPARATION'!$D$5="TOUTES",B812='JOINTS DE RÉPARATION'!$D$5),OR('JOINTS DE RÉPARATION'!$L$4="TOUS",AQ812&lt;&gt;"ACCEPTÉ")),1,0)</f>
        <v>0</v>
      </c>
      <c r="AV812" s="82" t="str">
        <f aca="false">IF(AU812=1,SUM(AU$7:AU812),"")</f>
        <v/>
      </c>
      <c r="AW812" s="82" t="str">
        <f aca="false">IF(E812="","",B812&amp;"|"&amp;E812)</f>
        <v>MFD-ISW → MFD-CPF|DJ°501</v>
      </c>
    </row>
    <row r="813" customFormat="false" ht="74.6" hidden="false" customHeight="false" outlineLevel="0" collapsed="false">
      <c r="A813" s="79" t="n">
        <f aca="false">IF(E813="","",ROW()-6)</f>
        <v>807</v>
      </c>
      <c r="B813" s="80" t="s">
        <v>110</v>
      </c>
      <c r="C813" s="81"/>
      <c r="D813" s="81" t="n">
        <v>4</v>
      </c>
      <c r="E813" s="81" t="s">
        <v>944</v>
      </c>
      <c r="F813" s="82" t="str">
        <f aca="false">IF(E813="","",IF(LEFT(E813,2)="DJ","DJ","JN"))</f>
        <v>JN</v>
      </c>
      <c r="G813" s="81"/>
      <c r="H813" s="81" t="s">
        <v>871</v>
      </c>
      <c r="I813" s="81" t="n">
        <v>9.53</v>
      </c>
      <c r="J813" s="81" t="s">
        <v>872</v>
      </c>
      <c r="K813" s="81" t="s">
        <v>879</v>
      </c>
      <c r="L813" s="81" t="n">
        <v>2094260</v>
      </c>
      <c r="M813" s="81" t="n">
        <v>15421111</v>
      </c>
      <c r="N813" s="81" t="n">
        <v>11.94</v>
      </c>
      <c r="O813" s="81" t="n">
        <v>2087450</v>
      </c>
      <c r="P813" s="81" t="n">
        <v>15421110</v>
      </c>
      <c r="Q813" s="81" t="n">
        <v>11.94</v>
      </c>
      <c r="R813" s="81" t="s">
        <v>935</v>
      </c>
      <c r="S813" s="81"/>
      <c r="T813" s="81"/>
      <c r="U813" s="83" t="n">
        <v>46290</v>
      </c>
      <c r="V813" s="83" t="n">
        <v>46290</v>
      </c>
      <c r="W813" s="81" t="s">
        <v>936</v>
      </c>
      <c r="X813" s="81" t="s">
        <v>876</v>
      </c>
      <c r="Y813" s="83"/>
      <c r="Z813" s="81"/>
      <c r="AA813" s="81"/>
      <c r="AB813" s="81"/>
      <c r="AC813" s="81"/>
      <c r="AD813" s="81"/>
      <c r="AE813" s="83"/>
      <c r="AF813" s="81"/>
      <c r="AG813" s="81"/>
      <c r="AH813" s="81"/>
      <c r="AI813" s="81"/>
      <c r="AJ813" s="83"/>
      <c r="AK813" s="81"/>
      <c r="AL813" s="81"/>
      <c r="AM813" s="83"/>
      <c r="AN813" s="80"/>
      <c r="AO813" s="82" t="n">
        <f aca="false">IF(E813="","",(AA813&lt;&gt;"")+(AG813&lt;&gt;"")+(AL813&lt;&gt;""))</f>
        <v>0</v>
      </c>
      <c r="AP813" s="82" t="str">
        <f aca="false">IF(AL813&lt;&gt;"",AL813,IF(AG813&lt;&gt;"",AG813,IF(AA813&lt;&gt;"",AA813,"")))</f>
        <v/>
      </c>
      <c r="AQ813" s="84" t="str">
        <f aca="false">IF(E813="","",IF(U813="","À SOUDER",IF(X813="","VT EN ATTENTE",IF(X813="R","VT REJETÉ – À REPRENDRE",IF(AP813="","À RADIOGRAPHIER",IF(AP813="A","ACCEPTÉ",IF(AP813="NX","NX – RT À REFAIRE",IF(IF(AO813=1,AD813,IF(AO813=2,AI813,""))="A","RÉPARÉ – À RADIOGRAPHIER",IF(IF(AO813=1,AD813,IF(AO813=2,AI813,""))="R","VT REJETÉ – À REPRENDRE",IF(OR(AP813="CO",AP813="NT"),"COUPE – À RESOUDER","À RÉPARER"))))))))))</f>
        <v>À RADIOGRAPHIER</v>
      </c>
      <c r="AR813" s="82" t="n">
        <f aca="false">IF(AND(ISNUMBER(U813),OR(AQ813="À RADIOGRAPHIER",AQ813="RÉPARÉ – À RADIOGRAPHIER",AQ813="NX – RT À REFAIRE",AQ813="À RÉPARER",AQ813="COUPE – À RESOUDER",AQ813="VT REJETÉ – À REPRENDRE")),MAX(0,'PROGRAMME RT'!$C$4-U813),"")</f>
        <v>3</v>
      </c>
      <c r="AS813" s="82" t="n">
        <f aca="false">IF(AND(OR(AQ813="À RADIOGRAPHIER",AQ813="RÉPARÉ – À RADIOGRAPHIER",AQ813="NX – RT À REFAIRE"),OR('PROGRAMME RT'!$D$5="TOUTES",B813='PROGRAMME RT'!$D$5)),1,0)</f>
        <v>1</v>
      </c>
      <c r="AT813" s="82" t="n">
        <f aca="false">IF(AS813=1,SUM(AS$7:AS813),"")</f>
        <v>22</v>
      </c>
      <c r="AU813" s="82" t="n">
        <f aca="false">IF(AND(OR(AA813="R",AA813="NX",AA813="NT",AA813="CO"),OR('JOINTS DE RÉPARATION'!$D$5="TOUTES",B813='JOINTS DE RÉPARATION'!$D$5),OR('JOINTS DE RÉPARATION'!$L$4="TOUS",AQ813&lt;&gt;"ACCEPTÉ")),1,0)</f>
        <v>0</v>
      </c>
      <c r="AV813" s="82" t="str">
        <f aca="false">IF(AU813=1,SUM(AU$7:AU813),"")</f>
        <v/>
      </c>
      <c r="AW813" s="82" t="str">
        <f aca="false">IF(E813="","",B813&amp;"|"&amp;E813)</f>
        <v>MFD-ISW → MFD-CPF|JN°783</v>
      </c>
    </row>
    <row r="814" customFormat="false" ht="74.6" hidden="false" customHeight="false" outlineLevel="0" collapsed="false">
      <c r="A814" s="79" t="n">
        <f aca="false">IF(E814="","",ROW()-6)</f>
        <v>808</v>
      </c>
      <c r="B814" s="80" t="s">
        <v>110</v>
      </c>
      <c r="C814" s="81" t="s">
        <v>868</v>
      </c>
      <c r="D814" s="81" t="n">
        <v>4</v>
      </c>
      <c r="E814" s="81" t="s">
        <v>945</v>
      </c>
      <c r="F814" s="82" t="str">
        <f aca="false">IF(E814="","",IF(LEFT(E814,2)="DJ","DJ","JN"))</f>
        <v>DJ</v>
      </c>
      <c r="G814" s="81"/>
      <c r="H814" s="81" t="s">
        <v>871</v>
      </c>
      <c r="I814" s="81" t="n">
        <v>9.53</v>
      </c>
      <c r="J814" s="81" t="s">
        <v>872</v>
      </c>
      <c r="K814" s="81" t="s">
        <v>873</v>
      </c>
      <c r="L814" s="81" t="n">
        <v>2087450</v>
      </c>
      <c r="M814" s="81" t="n">
        <v>15421110</v>
      </c>
      <c r="N814" s="81" t="n">
        <v>11.94</v>
      </c>
      <c r="O814" s="81" t="n">
        <v>2080970</v>
      </c>
      <c r="P814" s="81" t="n">
        <v>15421109</v>
      </c>
      <c r="Q814" s="81" t="n">
        <v>11.94</v>
      </c>
      <c r="R814" s="81" t="s">
        <v>882</v>
      </c>
      <c r="S814" s="81"/>
      <c r="T814" s="81"/>
      <c r="U814" s="83" t="n">
        <v>46288</v>
      </c>
      <c r="V814" s="83" t="n">
        <v>46288</v>
      </c>
      <c r="W814" s="81" t="s">
        <v>924</v>
      </c>
      <c r="X814" s="81" t="s">
        <v>876</v>
      </c>
      <c r="Y814" s="83" t="n">
        <v>46289</v>
      </c>
      <c r="Z814" s="81" t="s">
        <v>925</v>
      </c>
      <c r="AA814" s="81" t="s">
        <v>876</v>
      </c>
      <c r="AB814" s="81"/>
      <c r="AC814" s="81"/>
      <c r="AD814" s="81"/>
      <c r="AE814" s="83"/>
      <c r="AF814" s="81"/>
      <c r="AG814" s="81"/>
      <c r="AH814" s="81"/>
      <c r="AI814" s="81"/>
      <c r="AJ814" s="83"/>
      <c r="AK814" s="81"/>
      <c r="AL814" s="81"/>
      <c r="AM814" s="83"/>
      <c r="AN814" s="80"/>
      <c r="AO814" s="82" t="n">
        <f aca="false">IF(E814="","",(AA814&lt;&gt;"")+(AG814&lt;&gt;"")+(AL814&lt;&gt;""))</f>
        <v>1</v>
      </c>
      <c r="AP814" s="82" t="str">
        <f aca="false">IF(AL814&lt;&gt;"",AL814,IF(AG814&lt;&gt;"",AG814,IF(AA814&lt;&gt;"",AA814,"")))</f>
        <v>A</v>
      </c>
      <c r="AQ814" s="84" t="str">
        <f aca="false">IF(E814="","",IF(U814="","À SOUDER",IF(X814="","VT EN ATTENTE",IF(X814="R","VT REJETÉ – À REPRENDRE",IF(AP814="","À RADIOGRAPHIER",IF(AP814="A","ACCEPTÉ",IF(AP814="NX","NX – RT À REFAIRE",IF(IF(AO814=1,AD814,IF(AO814=2,AI814,""))="A","RÉPARÉ – À RADIOGRAPHIER",IF(IF(AO814=1,AD814,IF(AO814=2,AI814,""))="R","VT REJETÉ – À REPRENDRE",IF(OR(AP814="CO",AP814="NT"),"COUPE – À RESOUDER","À RÉPARER"))))))))))</f>
        <v>ACCEPTÉ</v>
      </c>
      <c r="AR814" s="82" t="str">
        <f aca="false">IF(AND(ISNUMBER(U814),OR(AQ814="À RADIOGRAPHIER",AQ814="RÉPARÉ – À RADIOGRAPHIER",AQ814="NX – RT À REFAIRE",AQ814="À RÉPARER",AQ814="COUPE – À RESOUDER",AQ814="VT REJETÉ – À REPRENDRE")),MAX(0,'PROGRAMME RT'!$C$4-U814),"")</f>
        <v/>
      </c>
      <c r="AS814" s="82" t="n">
        <f aca="false">IF(AND(OR(AQ814="À RADIOGRAPHIER",AQ814="RÉPARÉ – À RADIOGRAPHIER",AQ814="NX – RT À REFAIRE"),OR('PROGRAMME RT'!$D$5="TOUTES",B814='PROGRAMME RT'!$D$5)),1,0)</f>
        <v>0</v>
      </c>
      <c r="AT814" s="82" t="str">
        <f aca="false">IF(AS814=1,SUM(AS$7:AS814),"")</f>
        <v/>
      </c>
      <c r="AU814" s="82" t="n">
        <f aca="false">IF(AND(OR(AA814="R",AA814="NX",AA814="NT",AA814="CO"),OR('JOINTS DE RÉPARATION'!$D$5="TOUTES",B814='JOINTS DE RÉPARATION'!$D$5),OR('JOINTS DE RÉPARATION'!$L$4="TOUS",AQ814&lt;&gt;"ACCEPTÉ")),1,0)</f>
        <v>0</v>
      </c>
      <c r="AV814" s="82" t="str">
        <f aca="false">IF(AU814=1,SUM(AU$7:AU814),"")</f>
        <v/>
      </c>
      <c r="AW814" s="82" t="str">
        <f aca="false">IF(E814="","",B814&amp;"|"&amp;E814)</f>
        <v>MFD-ISW → MFD-CPF|DJ°494</v>
      </c>
    </row>
    <row r="815" customFormat="false" ht="74.6" hidden="false" customHeight="false" outlineLevel="0" collapsed="false">
      <c r="A815" s="79" t="n">
        <f aca="false">IF(E815="","",ROW()-6)</f>
        <v>809</v>
      </c>
      <c r="B815" s="80" t="s">
        <v>110</v>
      </c>
      <c r="C815" s="81"/>
      <c r="D815" s="81" t="n">
        <v>4</v>
      </c>
      <c r="E815" s="81" t="s">
        <v>946</v>
      </c>
      <c r="F815" s="82" t="str">
        <f aca="false">IF(E815="","",IF(LEFT(E815,2)="DJ","DJ","JN"))</f>
        <v>JN</v>
      </c>
      <c r="G815" s="81"/>
      <c r="H815" s="81" t="s">
        <v>871</v>
      </c>
      <c r="I815" s="81" t="n">
        <v>9.53</v>
      </c>
      <c r="J815" s="81" t="s">
        <v>872</v>
      </c>
      <c r="K815" s="81" t="s">
        <v>879</v>
      </c>
      <c r="L815" s="81" t="n">
        <v>2080970</v>
      </c>
      <c r="M815" s="81" t="n">
        <v>15421109</v>
      </c>
      <c r="N815" s="81" t="n">
        <v>11.94</v>
      </c>
      <c r="O815" s="81" t="n">
        <v>2080960</v>
      </c>
      <c r="P815" s="81" t="n">
        <v>15421103</v>
      </c>
      <c r="Q815" s="81" t="n">
        <v>11.94</v>
      </c>
      <c r="R815" s="81" t="s">
        <v>935</v>
      </c>
      <c r="S815" s="81"/>
      <c r="T815" s="81"/>
      <c r="U815" s="83" t="n">
        <v>46290</v>
      </c>
      <c r="V815" s="83" t="n">
        <v>46290</v>
      </c>
      <c r="W815" s="81" t="s">
        <v>936</v>
      </c>
      <c r="X815" s="81" t="s">
        <v>876</v>
      </c>
      <c r="Y815" s="83"/>
      <c r="Z815" s="81"/>
      <c r="AA815" s="81"/>
      <c r="AB815" s="81"/>
      <c r="AC815" s="81"/>
      <c r="AD815" s="81"/>
      <c r="AE815" s="83"/>
      <c r="AF815" s="81"/>
      <c r="AG815" s="81"/>
      <c r="AH815" s="81"/>
      <c r="AI815" s="81"/>
      <c r="AJ815" s="83"/>
      <c r="AK815" s="81"/>
      <c r="AL815" s="81"/>
      <c r="AM815" s="83"/>
      <c r="AN815" s="80"/>
      <c r="AO815" s="82" t="n">
        <f aca="false">IF(E815="","",(AA815&lt;&gt;"")+(AG815&lt;&gt;"")+(AL815&lt;&gt;""))</f>
        <v>0</v>
      </c>
      <c r="AP815" s="82" t="str">
        <f aca="false">IF(AL815&lt;&gt;"",AL815,IF(AG815&lt;&gt;"",AG815,IF(AA815&lt;&gt;"",AA815,"")))</f>
        <v/>
      </c>
      <c r="AQ815" s="84" t="str">
        <f aca="false">IF(E815="","",IF(U815="","À SOUDER",IF(X815="","VT EN ATTENTE",IF(X815="R","VT REJETÉ – À REPRENDRE",IF(AP815="","À RADIOGRAPHIER",IF(AP815="A","ACCEPTÉ",IF(AP815="NX","NX – RT À REFAIRE",IF(IF(AO815=1,AD815,IF(AO815=2,AI815,""))="A","RÉPARÉ – À RADIOGRAPHIER",IF(IF(AO815=1,AD815,IF(AO815=2,AI815,""))="R","VT REJETÉ – À REPRENDRE",IF(OR(AP815="CO",AP815="NT"),"COUPE – À RESOUDER","À RÉPARER"))))))))))</f>
        <v>À RADIOGRAPHIER</v>
      </c>
      <c r="AR815" s="82" t="n">
        <f aca="false">IF(AND(ISNUMBER(U815),OR(AQ815="À RADIOGRAPHIER",AQ815="RÉPARÉ – À RADIOGRAPHIER",AQ815="NX – RT À REFAIRE",AQ815="À RÉPARER",AQ815="COUPE – À RESOUDER",AQ815="VT REJETÉ – À REPRENDRE")),MAX(0,'PROGRAMME RT'!$C$4-U815),"")</f>
        <v>3</v>
      </c>
      <c r="AS815" s="82" t="n">
        <f aca="false">IF(AND(OR(AQ815="À RADIOGRAPHIER",AQ815="RÉPARÉ – À RADIOGRAPHIER",AQ815="NX – RT À REFAIRE"),OR('PROGRAMME RT'!$D$5="TOUTES",B815='PROGRAMME RT'!$D$5)),1,0)</f>
        <v>1</v>
      </c>
      <c r="AT815" s="82" t="n">
        <f aca="false">IF(AS815=1,SUM(AS$7:AS815),"")</f>
        <v>23</v>
      </c>
      <c r="AU815" s="82" t="n">
        <f aca="false">IF(AND(OR(AA815="R",AA815="NX",AA815="NT",AA815="CO"),OR('JOINTS DE RÉPARATION'!$D$5="TOUTES",B815='JOINTS DE RÉPARATION'!$D$5),OR('JOINTS DE RÉPARATION'!$L$4="TOUS",AQ815&lt;&gt;"ACCEPTÉ")),1,0)</f>
        <v>0</v>
      </c>
      <c r="AV815" s="82" t="str">
        <f aca="false">IF(AU815=1,SUM(AU$7:AU815),"")</f>
        <v/>
      </c>
      <c r="AW815" s="82" t="str">
        <f aca="false">IF(E815="","",B815&amp;"|"&amp;E815)</f>
        <v>MFD-ISW → MFD-CPF|JN°784</v>
      </c>
    </row>
    <row r="816" customFormat="false" ht="74.6" hidden="false" customHeight="false" outlineLevel="0" collapsed="false">
      <c r="A816" s="79" t="n">
        <f aca="false">IF(E816="","",ROW()-6)</f>
        <v>810</v>
      </c>
      <c r="B816" s="80" t="s">
        <v>110</v>
      </c>
      <c r="C816" s="81" t="s">
        <v>868</v>
      </c>
      <c r="D816" s="81" t="n">
        <v>4</v>
      </c>
      <c r="E816" s="81" t="s">
        <v>947</v>
      </c>
      <c r="F816" s="82" t="str">
        <f aca="false">IF(E816="","",IF(LEFT(E816,2)="DJ","DJ","JN"))</f>
        <v>DJ</v>
      </c>
      <c r="G816" s="81"/>
      <c r="H816" s="81" t="s">
        <v>871</v>
      </c>
      <c r="I816" s="81" t="n">
        <v>9.53</v>
      </c>
      <c r="J816" s="81" t="s">
        <v>872</v>
      </c>
      <c r="K816" s="81" t="s">
        <v>873</v>
      </c>
      <c r="L816" s="81" t="n">
        <v>2080960</v>
      </c>
      <c r="M816" s="81" t="n">
        <v>15421103</v>
      </c>
      <c r="N816" s="81" t="n">
        <v>11.94</v>
      </c>
      <c r="O816" s="81" t="n">
        <v>2094270</v>
      </c>
      <c r="P816" s="81" t="n">
        <v>15421110</v>
      </c>
      <c r="Q816" s="81" t="n">
        <v>11.94</v>
      </c>
      <c r="R816" s="81" t="s">
        <v>882</v>
      </c>
      <c r="S816" s="81"/>
      <c r="T816" s="81"/>
      <c r="U816" s="83" t="n">
        <v>46288</v>
      </c>
      <c r="V816" s="83" t="n">
        <v>46288</v>
      </c>
      <c r="W816" s="81" t="s">
        <v>924</v>
      </c>
      <c r="X816" s="81" t="s">
        <v>876</v>
      </c>
      <c r="Y816" s="83" t="n">
        <v>46289</v>
      </c>
      <c r="Z816" s="81" t="s">
        <v>925</v>
      </c>
      <c r="AA816" s="81" t="s">
        <v>876</v>
      </c>
      <c r="AB816" s="81"/>
      <c r="AC816" s="81"/>
      <c r="AD816" s="81"/>
      <c r="AE816" s="83"/>
      <c r="AF816" s="81"/>
      <c r="AG816" s="81"/>
      <c r="AH816" s="81"/>
      <c r="AI816" s="81"/>
      <c r="AJ816" s="83"/>
      <c r="AK816" s="81"/>
      <c r="AL816" s="81"/>
      <c r="AM816" s="83"/>
      <c r="AN816" s="80"/>
      <c r="AO816" s="82" t="n">
        <f aca="false">IF(E816="","",(AA816&lt;&gt;"")+(AG816&lt;&gt;"")+(AL816&lt;&gt;""))</f>
        <v>1</v>
      </c>
      <c r="AP816" s="82" t="str">
        <f aca="false">IF(AL816&lt;&gt;"",AL816,IF(AG816&lt;&gt;"",AG816,IF(AA816&lt;&gt;"",AA816,"")))</f>
        <v>A</v>
      </c>
      <c r="AQ816" s="84" t="str">
        <f aca="false">IF(E816="","",IF(U816="","À SOUDER",IF(X816="","VT EN ATTENTE",IF(X816="R","VT REJETÉ – À REPRENDRE",IF(AP816="","À RADIOGRAPHIER",IF(AP816="A","ACCEPTÉ",IF(AP816="NX","NX – RT À REFAIRE",IF(IF(AO816=1,AD816,IF(AO816=2,AI816,""))="A","RÉPARÉ – À RADIOGRAPHIER",IF(IF(AO816=1,AD816,IF(AO816=2,AI816,""))="R","VT REJETÉ – À REPRENDRE",IF(OR(AP816="CO",AP816="NT"),"COUPE – À RESOUDER","À RÉPARER"))))))))))</f>
        <v>ACCEPTÉ</v>
      </c>
      <c r="AR816" s="82" t="str">
        <f aca="false">IF(AND(ISNUMBER(U816),OR(AQ816="À RADIOGRAPHIER",AQ816="RÉPARÉ – À RADIOGRAPHIER",AQ816="NX – RT À REFAIRE",AQ816="À RÉPARER",AQ816="COUPE – À RESOUDER",AQ816="VT REJETÉ – À REPRENDRE")),MAX(0,'PROGRAMME RT'!$C$4-U816),"")</f>
        <v/>
      </c>
      <c r="AS816" s="82" t="n">
        <f aca="false">IF(AND(OR(AQ816="À RADIOGRAPHIER",AQ816="RÉPARÉ – À RADIOGRAPHIER",AQ816="NX – RT À REFAIRE"),OR('PROGRAMME RT'!$D$5="TOUTES",B816='PROGRAMME RT'!$D$5)),1,0)</f>
        <v>0</v>
      </c>
      <c r="AT816" s="82" t="str">
        <f aca="false">IF(AS816=1,SUM(AS$7:AS816),"")</f>
        <v/>
      </c>
      <c r="AU816" s="82" t="n">
        <f aca="false">IF(AND(OR(AA816="R",AA816="NX",AA816="NT",AA816="CO"),OR('JOINTS DE RÉPARATION'!$D$5="TOUTES",B816='JOINTS DE RÉPARATION'!$D$5),OR('JOINTS DE RÉPARATION'!$L$4="TOUS",AQ816&lt;&gt;"ACCEPTÉ")),1,0)</f>
        <v>0</v>
      </c>
      <c r="AV816" s="82" t="str">
        <f aca="false">IF(AU816=1,SUM(AU$7:AU816),"")</f>
        <v/>
      </c>
      <c r="AW816" s="82" t="str">
        <f aca="false">IF(E816="","",B816&amp;"|"&amp;E816)</f>
        <v>MFD-ISW → MFD-CPF|DJ°499</v>
      </c>
    </row>
    <row r="817" customFormat="false" ht="74.6" hidden="false" customHeight="false" outlineLevel="0" collapsed="false">
      <c r="A817" s="79" t="n">
        <f aca="false">IF(E817="","",ROW()-6)</f>
        <v>811</v>
      </c>
      <c r="B817" s="80" t="s">
        <v>110</v>
      </c>
      <c r="C817" s="81"/>
      <c r="D817" s="81" t="n">
        <v>4</v>
      </c>
      <c r="E817" s="81" t="s">
        <v>948</v>
      </c>
      <c r="F817" s="82" t="str">
        <f aca="false">IF(E817="","",IF(LEFT(E817,2)="DJ","DJ","JN"))</f>
        <v>JN</v>
      </c>
      <c r="G817" s="81"/>
      <c r="H817" s="81" t="s">
        <v>871</v>
      </c>
      <c r="I817" s="81" t="n">
        <v>9.53</v>
      </c>
      <c r="J817" s="81" t="s">
        <v>872</v>
      </c>
      <c r="K817" s="81" t="s">
        <v>879</v>
      </c>
      <c r="L817" s="81" t="n">
        <v>2094270</v>
      </c>
      <c r="M817" s="81" t="n">
        <v>15421110</v>
      </c>
      <c r="N817" s="81" t="n">
        <v>11.94</v>
      </c>
      <c r="O817" s="81" t="n">
        <v>2090350</v>
      </c>
      <c r="P817" s="81" t="n">
        <v>15421109</v>
      </c>
      <c r="Q817" s="81" t="n">
        <v>11.94</v>
      </c>
      <c r="R817" s="81" t="s">
        <v>935</v>
      </c>
      <c r="S817" s="81"/>
      <c r="T817" s="81"/>
      <c r="U817" s="83" t="n">
        <v>46290</v>
      </c>
      <c r="V817" s="83" t="n">
        <v>46290</v>
      </c>
      <c r="W817" s="81" t="s">
        <v>936</v>
      </c>
      <c r="X817" s="81" t="s">
        <v>876</v>
      </c>
      <c r="Y817" s="83"/>
      <c r="Z817" s="81"/>
      <c r="AA817" s="81"/>
      <c r="AB817" s="81"/>
      <c r="AC817" s="81"/>
      <c r="AD817" s="81"/>
      <c r="AE817" s="83"/>
      <c r="AF817" s="81"/>
      <c r="AG817" s="81"/>
      <c r="AH817" s="81"/>
      <c r="AI817" s="81"/>
      <c r="AJ817" s="83"/>
      <c r="AK817" s="81"/>
      <c r="AL817" s="81"/>
      <c r="AM817" s="83"/>
      <c r="AN817" s="80"/>
      <c r="AO817" s="82" t="n">
        <f aca="false">IF(E817="","",(AA817&lt;&gt;"")+(AG817&lt;&gt;"")+(AL817&lt;&gt;""))</f>
        <v>0</v>
      </c>
      <c r="AP817" s="82" t="str">
        <f aca="false">IF(AL817&lt;&gt;"",AL817,IF(AG817&lt;&gt;"",AG817,IF(AA817&lt;&gt;"",AA817,"")))</f>
        <v/>
      </c>
      <c r="AQ817" s="84" t="str">
        <f aca="false">IF(E817="","",IF(U817="","À SOUDER",IF(X817="","VT EN ATTENTE",IF(X817="R","VT REJETÉ – À REPRENDRE",IF(AP817="","À RADIOGRAPHIER",IF(AP817="A","ACCEPTÉ",IF(AP817="NX","NX – RT À REFAIRE",IF(IF(AO817=1,AD817,IF(AO817=2,AI817,""))="A","RÉPARÉ – À RADIOGRAPHIER",IF(IF(AO817=1,AD817,IF(AO817=2,AI817,""))="R","VT REJETÉ – À REPRENDRE",IF(OR(AP817="CO",AP817="NT"),"COUPE – À RESOUDER","À RÉPARER"))))))))))</f>
        <v>À RADIOGRAPHIER</v>
      </c>
      <c r="AR817" s="82" t="n">
        <f aca="false">IF(AND(ISNUMBER(U817),OR(AQ817="À RADIOGRAPHIER",AQ817="RÉPARÉ – À RADIOGRAPHIER",AQ817="NX – RT À REFAIRE",AQ817="À RÉPARER",AQ817="COUPE – À RESOUDER",AQ817="VT REJETÉ – À REPRENDRE")),MAX(0,'PROGRAMME RT'!$C$4-U817),"")</f>
        <v>3</v>
      </c>
      <c r="AS817" s="82" t="n">
        <f aca="false">IF(AND(OR(AQ817="À RADIOGRAPHIER",AQ817="RÉPARÉ – À RADIOGRAPHIER",AQ817="NX – RT À REFAIRE"),OR('PROGRAMME RT'!$D$5="TOUTES",B817='PROGRAMME RT'!$D$5)),1,0)</f>
        <v>1</v>
      </c>
      <c r="AT817" s="82" t="n">
        <f aca="false">IF(AS817=1,SUM(AS$7:AS817),"")</f>
        <v>24</v>
      </c>
      <c r="AU817" s="82" t="n">
        <f aca="false">IF(AND(OR(AA817="R",AA817="NX",AA817="NT",AA817="CO"),OR('JOINTS DE RÉPARATION'!$D$5="TOUTES",B817='JOINTS DE RÉPARATION'!$D$5),OR('JOINTS DE RÉPARATION'!$L$4="TOUS",AQ817&lt;&gt;"ACCEPTÉ")),1,0)</f>
        <v>0</v>
      </c>
      <c r="AV817" s="82" t="str">
        <f aca="false">IF(AU817=1,SUM(AU$7:AU817),"")</f>
        <v/>
      </c>
      <c r="AW817" s="82" t="str">
        <f aca="false">IF(E817="","",B817&amp;"|"&amp;E817)</f>
        <v>MFD-ISW → MFD-CPF|JN°785</v>
      </c>
    </row>
    <row r="818" customFormat="false" ht="74.6" hidden="false" customHeight="false" outlineLevel="0" collapsed="false">
      <c r="A818" s="79" t="n">
        <f aca="false">IF(E818="","",ROW()-6)</f>
        <v>812</v>
      </c>
      <c r="B818" s="80" t="s">
        <v>110</v>
      </c>
      <c r="C818" s="81" t="s">
        <v>868</v>
      </c>
      <c r="D818" s="81" t="n">
        <v>4</v>
      </c>
      <c r="E818" s="81" t="s">
        <v>949</v>
      </c>
      <c r="F818" s="82" t="str">
        <f aca="false">IF(E818="","",IF(LEFT(E818,2)="DJ","DJ","JN"))</f>
        <v>DJ</v>
      </c>
      <c r="G818" s="81"/>
      <c r="H818" s="81" t="s">
        <v>871</v>
      </c>
      <c r="I818" s="81" t="n">
        <v>9.53</v>
      </c>
      <c r="J818" s="81" t="s">
        <v>872</v>
      </c>
      <c r="K818" s="81" t="s">
        <v>873</v>
      </c>
      <c r="L818" s="81" t="n">
        <v>2090350</v>
      </c>
      <c r="M818" s="81" t="n">
        <v>15421109</v>
      </c>
      <c r="N818" s="81" t="n">
        <v>11.94</v>
      </c>
      <c r="O818" s="81" t="n">
        <v>2090250</v>
      </c>
      <c r="P818" s="81" t="n">
        <v>15421109</v>
      </c>
      <c r="Q818" s="81" t="n">
        <v>11.94</v>
      </c>
      <c r="R818" s="81" t="s">
        <v>882</v>
      </c>
      <c r="S818" s="81"/>
      <c r="T818" s="81"/>
      <c r="U818" s="83" t="n">
        <v>46288</v>
      </c>
      <c r="V818" s="83" t="n">
        <v>46288</v>
      </c>
      <c r="W818" s="81" t="s">
        <v>924</v>
      </c>
      <c r="X818" s="81" t="s">
        <v>876</v>
      </c>
      <c r="Y818" s="83" t="n">
        <v>46289</v>
      </c>
      <c r="Z818" s="81" t="s">
        <v>925</v>
      </c>
      <c r="AA818" s="81" t="s">
        <v>876</v>
      </c>
      <c r="AB818" s="81"/>
      <c r="AC818" s="81"/>
      <c r="AD818" s="81"/>
      <c r="AE818" s="83"/>
      <c r="AF818" s="81"/>
      <c r="AG818" s="81"/>
      <c r="AH818" s="81"/>
      <c r="AI818" s="81"/>
      <c r="AJ818" s="83"/>
      <c r="AK818" s="81"/>
      <c r="AL818" s="81"/>
      <c r="AM818" s="83"/>
      <c r="AN818" s="80"/>
      <c r="AO818" s="82" t="n">
        <f aca="false">IF(E818="","",(AA818&lt;&gt;"")+(AG818&lt;&gt;"")+(AL818&lt;&gt;""))</f>
        <v>1</v>
      </c>
      <c r="AP818" s="82" t="str">
        <f aca="false">IF(AL818&lt;&gt;"",AL818,IF(AG818&lt;&gt;"",AG818,IF(AA818&lt;&gt;"",AA818,"")))</f>
        <v>A</v>
      </c>
      <c r="AQ818" s="84" t="str">
        <f aca="false">IF(E818="","",IF(U818="","À SOUDER",IF(X818="","VT EN ATTENTE",IF(X818="R","VT REJETÉ – À REPRENDRE",IF(AP818="","À RADIOGRAPHIER",IF(AP818="A","ACCEPTÉ",IF(AP818="NX","NX – RT À REFAIRE",IF(IF(AO818=1,AD818,IF(AO818=2,AI818,""))="A","RÉPARÉ – À RADIOGRAPHIER",IF(IF(AO818=1,AD818,IF(AO818=2,AI818,""))="R","VT REJETÉ – À REPRENDRE",IF(OR(AP818="CO",AP818="NT"),"COUPE – À RESOUDER","À RÉPARER"))))))))))</f>
        <v>ACCEPTÉ</v>
      </c>
      <c r="AR818" s="82" t="str">
        <f aca="false">IF(AND(ISNUMBER(U818),OR(AQ818="À RADIOGRAPHIER",AQ818="RÉPARÉ – À RADIOGRAPHIER",AQ818="NX – RT À REFAIRE",AQ818="À RÉPARER",AQ818="COUPE – À RESOUDER",AQ818="VT REJETÉ – À REPRENDRE")),MAX(0,'PROGRAMME RT'!$C$4-U818),"")</f>
        <v/>
      </c>
      <c r="AS818" s="82" t="n">
        <f aca="false">IF(AND(OR(AQ818="À RADIOGRAPHIER",AQ818="RÉPARÉ – À RADIOGRAPHIER",AQ818="NX – RT À REFAIRE"),OR('PROGRAMME RT'!$D$5="TOUTES",B818='PROGRAMME RT'!$D$5)),1,0)</f>
        <v>0</v>
      </c>
      <c r="AT818" s="82" t="str">
        <f aca="false">IF(AS818=1,SUM(AS$7:AS818),"")</f>
        <v/>
      </c>
      <c r="AU818" s="82" t="n">
        <f aca="false">IF(AND(OR(AA818="R",AA818="NX",AA818="NT",AA818="CO"),OR('JOINTS DE RÉPARATION'!$D$5="TOUTES",B818='JOINTS DE RÉPARATION'!$D$5),OR('JOINTS DE RÉPARATION'!$L$4="TOUS",AQ818&lt;&gt;"ACCEPTÉ")),1,0)</f>
        <v>0</v>
      </c>
      <c r="AV818" s="82" t="str">
        <f aca="false">IF(AU818=1,SUM(AU$7:AU818),"")</f>
        <v/>
      </c>
      <c r="AW818" s="82" t="str">
        <f aca="false">IF(E818="","",B818&amp;"|"&amp;E818)</f>
        <v>MFD-ISW → MFD-CPF|DJ°496</v>
      </c>
    </row>
    <row r="819" customFormat="false" ht="74.6" hidden="false" customHeight="false" outlineLevel="0" collapsed="false">
      <c r="A819" s="79" t="n">
        <f aca="false">IF(E819="","",ROW()-6)</f>
        <v>813</v>
      </c>
      <c r="B819" s="80" t="s">
        <v>110</v>
      </c>
      <c r="C819" s="81"/>
      <c r="D819" s="81" t="n">
        <v>4</v>
      </c>
      <c r="E819" s="81" t="s">
        <v>950</v>
      </c>
      <c r="F819" s="82" t="str">
        <f aca="false">IF(E819="","",IF(LEFT(E819,2)="DJ","DJ","JN"))</f>
        <v>JN</v>
      </c>
      <c r="G819" s="81"/>
      <c r="H819" s="81" t="s">
        <v>871</v>
      </c>
      <c r="I819" s="81" t="n">
        <v>9.53</v>
      </c>
      <c r="J819" s="81" t="s">
        <v>872</v>
      </c>
      <c r="K819" s="81" t="s">
        <v>879</v>
      </c>
      <c r="L819" s="81" t="n">
        <v>2090250</v>
      </c>
      <c r="M819" s="81" t="n">
        <v>15421109</v>
      </c>
      <c r="N819" s="81" t="n">
        <v>11.94</v>
      </c>
      <c r="O819" s="81" t="n">
        <v>2094000</v>
      </c>
      <c r="P819" s="81" t="n">
        <v>15421110</v>
      </c>
      <c r="Q819" s="81" t="n">
        <v>11.95</v>
      </c>
      <c r="R819" s="81" t="s">
        <v>935</v>
      </c>
      <c r="S819" s="81"/>
      <c r="T819" s="81"/>
      <c r="U819" s="83" t="n">
        <v>46290</v>
      </c>
      <c r="V819" s="83" t="n">
        <v>46290</v>
      </c>
      <c r="W819" s="81" t="s">
        <v>936</v>
      </c>
      <c r="X819" s="81" t="s">
        <v>876</v>
      </c>
      <c r="Y819" s="83"/>
      <c r="Z819" s="81"/>
      <c r="AA819" s="81"/>
      <c r="AB819" s="81"/>
      <c r="AC819" s="81"/>
      <c r="AD819" s="81"/>
      <c r="AE819" s="83"/>
      <c r="AF819" s="81"/>
      <c r="AG819" s="81"/>
      <c r="AH819" s="81"/>
      <c r="AI819" s="81"/>
      <c r="AJ819" s="83"/>
      <c r="AK819" s="81"/>
      <c r="AL819" s="81"/>
      <c r="AM819" s="83"/>
      <c r="AN819" s="80"/>
      <c r="AO819" s="82" t="n">
        <f aca="false">IF(E819="","",(AA819&lt;&gt;"")+(AG819&lt;&gt;"")+(AL819&lt;&gt;""))</f>
        <v>0</v>
      </c>
      <c r="AP819" s="82" t="str">
        <f aca="false">IF(AL819&lt;&gt;"",AL819,IF(AG819&lt;&gt;"",AG819,IF(AA819&lt;&gt;"",AA819,"")))</f>
        <v/>
      </c>
      <c r="AQ819" s="84" t="str">
        <f aca="false">IF(E819="","",IF(U819="","À SOUDER",IF(X819="","VT EN ATTENTE",IF(X819="R","VT REJETÉ – À REPRENDRE",IF(AP819="","À RADIOGRAPHIER",IF(AP819="A","ACCEPTÉ",IF(AP819="NX","NX – RT À REFAIRE",IF(IF(AO819=1,AD819,IF(AO819=2,AI819,""))="A","RÉPARÉ – À RADIOGRAPHIER",IF(IF(AO819=1,AD819,IF(AO819=2,AI819,""))="R","VT REJETÉ – À REPRENDRE",IF(OR(AP819="CO",AP819="NT"),"COUPE – À RESOUDER","À RÉPARER"))))))))))</f>
        <v>À RADIOGRAPHIER</v>
      </c>
      <c r="AR819" s="82" t="n">
        <f aca="false">IF(AND(ISNUMBER(U819),OR(AQ819="À RADIOGRAPHIER",AQ819="RÉPARÉ – À RADIOGRAPHIER",AQ819="NX – RT À REFAIRE",AQ819="À RÉPARER",AQ819="COUPE – À RESOUDER",AQ819="VT REJETÉ – À REPRENDRE")),MAX(0,'PROGRAMME RT'!$C$4-U819),"")</f>
        <v>3</v>
      </c>
      <c r="AS819" s="82" t="n">
        <f aca="false">IF(AND(OR(AQ819="À RADIOGRAPHIER",AQ819="RÉPARÉ – À RADIOGRAPHIER",AQ819="NX – RT À REFAIRE"),OR('PROGRAMME RT'!$D$5="TOUTES",B819='PROGRAMME RT'!$D$5)),1,0)</f>
        <v>1</v>
      </c>
      <c r="AT819" s="82" t="n">
        <f aca="false">IF(AS819=1,SUM(AS$7:AS819),"")</f>
        <v>25</v>
      </c>
      <c r="AU819" s="82" t="n">
        <f aca="false">IF(AND(OR(AA819="R",AA819="NX",AA819="NT",AA819="CO"),OR('JOINTS DE RÉPARATION'!$D$5="TOUTES",B819='JOINTS DE RÉPARATION'!$D$5),OR('JOINTS DE RÉPARATION'!$L$4="TOUS",AQ819&lt;&gt;"ACCEPTÉ")),1,0)</f>
        <v>0</v>
      </c>
      <c r="AV819" s="82" t="str">
        <f aca="false">IF(AU819=1,SUM(AU$7:AU819),"")</f>
        <v/>
      </c>
      <c r="AW819" s="82" t="str">
        <f aca="false">IF(E819="","",B819&amp;"|"&amp;E819)</f>
        <v>MFD-ISW → MFD-CPF|JN°786</v>
      </c>
    </row>
    <row r="820" customFormat="false" ht="74.6" hidden="false" customHeight="false" outlineLevel="0" collapsed="false">
      <c r="A820" s="79" t="n">
        <f aca="false">IF(E820="","",ROW()-6)</f>
        <v>814</v>
      </c>
      <c r="B820" s="80" t="s">
        <v>110</v>
      </c>
      <c r="C820" s="81" t="s">
        <v>868</v>
      </c>
      <c r="D820" s="81" t="n">
        <v>4</v>
      </c>
      <c r="E820" s="81" t="s">
        <v>951</v>
      </c>
      <c r="F820" s="82" t="str">
        <f aca="false">IF(E820="","",IF(LEFT(E820,2)="DJ","DJ","JN"))</f>
        <v>DJ</v>
      </c>
      <c r="G820" s="81"/>
      <c r="H820" s="81" t="s">
        <v>871</v>
      </c>
      <c r="I820" s="81" t="n">
        <v>9.53</v>
      </c>
      <c r="J820" s="81" t="s">
        <v>872</v>
      </c>
      <c r="K820" s="81" t="s">
        <v>873</v>
      </c>
      <c r="L820" s="81" t="n">
        <v>2094000</v>
      </c>
      <c r="M820" s="81" t="n">
        <v>15421110</v>
      </c>
      <c r="N820" s="81" t="n">
        <v>11.95</v>
      </c>
      <c r="O820" s="81" t="n">
        <v>2095740</v>
      </c>
      <c r="P820" s="81" t="n">
        <v>15421111</v>
      </c>
      <c r="Q820" s="81" t="n">
        <v>11.95</v>
      </c>
      <c r="R820" s="81" t="s">
        <v>874</v>
      </c>
      <c r="S820" s="81"/>
      <c r="T820" s="81"/>
      <c r="U820" s="83" t="n">
        <v>46288</v>
      </c>
      <c r="V820" s="83" t="n">
        <v>46288</v>
      </c>
      <c r="W820" s="81" t="s">
        <v>924</v>
      </c>
      <c r="X820" s="81" t="s">
        <v>876</v>
      </c>
      <c r="Y820" s="83" t="n">
        <v>46289</v>
      </c>
      <c r="Z820" s="81" t="s">
        <v>925</v>
      </c>
      <c r="AA820" s="81" t="s">
        <v>876</v>
      </c>
      <c r="AB820" s="81"/>
      <c r="AC820" s="81"/>
      <c r="AD820" s="81"/>
      <c r="AE820" s="83"/>
      <c r="AF820" s="81"/>
      <c r="AG820" s="81"/>
      <c r="AH820" s="81"/>
      <c r="AI820" s="81"/>
      <c r="AJ820" s="83"/>
      <c r="AK820" s="81"/>
      <c r="AL820" s="81"/>
      <c r="AM820" s="83"/>
      <c r="AN820" s="80"/>
      <c r="AO820" s="82" t="n">
        <f aca="false">IF(E820="","",(AA820&lt;&gt;"")+(AG820&lt;&gt;"")+(AL820&lt;&gt;""))</f>
        <v>1</v>
      </c>
      <c r="AP820" s="82" t="str">
        <f aca="false">IF(AL820&lt;&gt;"",AL820,IF(AG820&lt;&gt;"",AG820,IF(AA820&lt;&gt;"",AA820,"")))</f>
        <v>A</v>
      </c>
      <c r="AQ820" s="84" t="str">
        <f aca="false">IF(E820="","",IF(U820="","À SOUDER",IF(X820="","VT EN ATTENTE",IF(X820="R","VT REJETÉ – À REPRENDRE",IF(AP820="","À RADIOGRAPHIER",IF(AP820="A","ACCEPTÉ",IF(AP820="NX","NX – RT À REFAIRE",IF(IF(AO820=1,AD820,IF(AO820=2,AI820,""))="A","RÉPARÉ – À RADIOGRAPHIER",IF(IF(AO820=1,AD820,IF(AO820=2,AI820,""))="R","VT REJETÉ – À REPRENDRE",IF(OR(AP820="CO",AP820="NT"),"COUPE – À RESOUDER","À RÉPARER"))))))))))</f>
        <v>ACCEPTÉ</v>
      </c>
      <c r="AR820" s="82" t="str">
        <f aca="false">IF(AND(ISNUMBER(U820),OR(AQ820="À RADIOGRAPHIER",AQ820="RÉPARÉ – À RADIOGRAPHIER",AQ820="NX – RT À REFAIRE",AQ820="À RÉPARER",AQ820="COUPE – À RESOUDER",AQ820="VT REJETÉ – À REPRENDRE")),MAX(0,'PROGRAMME RT'!$C$4-U820),"")</f>
        <v/>
      </c>
      <c r="AS820" s="82" t="n">
        <f aca="false">IF(AND(OR(AQ820="À RADIOGRAPHIER",AQ820="RÉPARÉ – À RADIOGRAPHIER",AQ820="NX – RT À REFAIRE"),OR('PROGRAMME RT'!$D$5="TOUTES",B820='PROGRAMME RT'!$D$5)),1,0)</f>
        <v>0</v>
      </c>
      <c r="AT820" s="82" t="str">
        <f aca="false">IF(AS820=1,SUM(AS$7:AS820),"")</f>
        <v/>
      </c>
      <c r="AU820" s="82" t="n">
        <f aca="false">IF(AND(OR(AA820="R",AA820="NX",AA820="NT",AA820="CO"),OR('JOINTS DE RÉPARATION'!$D$5="TOUTES",B820='JOINTS DE RÉPARATION'!$D$5),OR('JOINTS DE RÉPARATION'!$L$4="TOUS",AQ820&lt;&gt;"ACCEPTÉ")),1,0)</f>
        <v>0</v>
      </c>
      <c r="AV820" s="82" t="str">
        <f aca="false">IF(AU820=1,SUM(AU$7:AU820),"")</f>
        <v/>
      </c>
      <c r="AW820" s="82" t="str">
        <f aca="false">IF(E820="","",B820&amp;"|"&amp;E820)</f>
        <v>MFD-ISW → MFD-CPF|DJ°493</v>
      </c>
    </row>
    <row r="821" customFormat="false" ht="74.6" hidden="false" customHeight="false" outlineLevel="0" collapsed="false">
      <c r="A821" s="79" t="n">
        <f aca="false">IF(E821="","",ROW()-6)</f>
        <v>815</v>
      </c>
      <c r="B821" s="80" t="s">
        <v>110</v>
      </c>
      <c r="C821" s="81"/>
      <c r="D821" s="81" t="s">
        <v>895</v>
      </c>
      <c r="E821" s="81" t="s">
        <v>952</v>
      </c>
      <c r="F821" s="82" t="str">
        <f aca="false">IF(E821="","",IF(LEFT(E821,2)="DJ","DJ","JN"))</f>
        <v>JN</v>
      </c>
      <c r="G821" s="81"/>
      <c r="H821" s="81"/>
      <c r="I821" s="81"/>
      <c r="J821" s="81"/>
      <c r="K821" s="81"/>
      <c r="L821" s="81"/>
      <c r="M821" s="81"/>
      <c r="N821" s="81"/>
      <c r="O821" s="81"/>
      <c r="P821" s="81"/>
      <c r="Q821" s="81"/>
      <c r="R821" s="81"/>
      <c r="S821" s="81"/>
      <c r="T821" s="81"/>
      <c r="U821" s="83"/>
      <c r="V821" s="83"/>
      <c r="W821" s="81"/>
      <c r="X821" s="81"/>
      <c r="Y821" s="83"/>
      <c r="Z821" s="81"/>
      <c r="AA821" s="81"/>
      <c r="AB821" s="81"/>
      <c r="AC821" s="81"/>
      <c r="AD821" s="81"/>
      <c r="AE821" s="83"/>
      <c r="AF821" s="81"/>
      <c r="AG821" s="81"/>
      <c r="AH821" s="81"/>
      <c r="AI821" s="81"/>
      <c r="AJ821" s="83"/>
      <c r="AK821" s="81"/>
      <c r="AL821" s="81"/>
      <c r="AM821" s="83"/>
      <c r="AN821" s="80"/>
      <c r="AO821" s="82" t="n">
        <f aca="false">IF(E821="","",(AA821&lt;&gt;"")+(AG821&lt;&gt;"")+(AL821&lt;&gt;""))</f>
        <v>0</v>
      </c>
      <c r="AP821" s="82" t="str">
        <f aca="false">IF(AL821&lt;&gt;"",AL821,IF(AG821&lt;&gt;"",AG821,IF(AA821&lt;&gt;"",AA821,"")))</f>
        <v/>
      </c>
      <c r="AQ821" s="84" t="str">
        <f aca="false">IF(E821="","",IF(U821="","À SOUDER",IF(X821="","VT EN ATTENTE",IF(X821="R","VT REJETÉ – À REPRENDRE",IF(AP821="","À RADIOGRAPHIER",IF(AP821="A","ACCEPTÉ",IF(AP821="NX","NX – RT À REFAIRE",IF(IF(AO821=1,AD821,IF(AO821=2,AI821,""))="A","RÉPARÉ – À RADIOGRAPHIER",IF(IF(AO821=1,AD821,IF(AO821=2,AI821,""))="R","VT REJETÉ – À REPRENDRE",IF(OR(AP821="CO",AP821="NT"),"COUPE – À RESOUDER","À RÉPARER"))))))))))</f>
        <v>À SOUDER</v>
      </c>
      <c r="AR821" s="82" t="str">
        <f aca="false">IF(AND(ISNUMBER(U821),OR(AQ821="À RADIOGRAPHIER",AQ821="RÉPARÉ – À RADIOGRAPHIER",AQ821="NX – RT À REFAIRE",AQ821="À RÉPARER",AQ821="COUPE – À RESOUDER",AQ821="VT REJETÉ – À REPRENDRE")),MAX(0,'PROGRAMME RT'!$C$4-U821),"")</f>
        <v/>
      </c>
      <c r="AS821" s="82" t="n">
        <f aca="false">IF(AND(OR(AQ821="À RADIOGRAPHIER",AQ821="RÉPARÉ – À RADIOGRAPHIER",AQ821="NX – RT À REFAIRE"),OR('PROGRAMME RT'!$D$5="TOUTES",B821='PROGRAMME RT'!$D$5)),1,0)</f>
        <v>0</v>
      </c>
      <c r="AT821" s="82" t="str">
        <f aca="false">IF(AS821=1,SUM(AS$7:AS821),"")</f>
        <v/>
      </c>
      <c r="AU821" s="82" t="n">
        <f aca="false">IF(AND(OR(AA821="R",AA821="NX",AA821="NT",AA821="CO"),OR('JOINTS DE RÉPARATION'!$D$5="TOUTES",B821='JOINTS DE RÉPARATION'!$D$5),OR('JOINTS DE RÉPARATION'!$L$4="TOUS",AQ821&lt;&gt;"ACCEPTÉ")),1,0)</f>
        <v>0</v>
      </c>
      <c r="AV821" s="82" t="str">
        <f aca="false">IF(AU821=1,SUM(AU$7:AU821),"")</f>
        <v/>
      </c>
      <c r="AW821" s="82" t="str">
        <f aca="false">IF(E821="","",B821&amp;"|"&amp;E821)</f>
        <v>MFD-ISW → MFD-CPF|JN°787</v>
      </c>
    </row>
    <row r="822" customFormat="false" ht="74.6" hidden="false" customHeight="false" outlineLevel="0" collapsed="false">
      <c r="A822" s="79" t="n">
        <f aca="false">IF(E822="","",ROW()-6)</f>
        <v>816</v>
      </c>
      <c r="B822" s="80" t="s">
        <v>110</v>
      </c>
      <c r="C822" s="81"/>
      <c r="D822" s="81" t="s">
        <v>895</v>
      </c>
      <c r="E822" s="81" t="s">
        <v>953</v>
      </c>
      <c r="F822" s="82" t="str">
        <f aca="false">IF(E822="","",IF(LEFT(E822,2)="DJ","DJ","JN"))</f>
        <v>JN</v>
      </c>
      <c r="G822" s="81"/>
      <c r="H822" s="81"/>
      <c r="I822" s="81"/>
      <c r="J822" s="81"/>
      <c r="K822" s="81"/>
      <c r="L822" s="81"/>
      <c r="M822" s="81"/>
      <c r="N822" s="81"/>
      <c r="O822" s="81"/>
      <c r="P822" s="81"/>
      <c r="Q822" s="81"/>
      <c r="R822" s="81"/>
      <c r="S822" s="81"/>
      <c r="T822" s="81"/>
      <c r="U822" s="83"/>
      <c r="V822" s="83"/>
      <c r="W822" s="81"/>
      <c r="X822" s="81"/>
      <c r="Y822" s="83"/>
      <c r="Z822" s="81"/>
      <c r="AA822" s="81"/>
      <c r="AB822" s="81"/>
      <c r="AC822" s="81"/>
      <c r="AD822" s="81"/>
      <c r="AE822" s="83"/>
      <c r="AF822" s="81"/>
      <c r="AG822" s="81"/>
      <c r="AH822" s="81"/>
      <c r="AI822" s="81"/>
      <c r="AJ822" s="83"/>
      <c r="AK822" s="81"/>
      <c r="AL822" s="81"/>
      <c r="AM822" s="83"/>
      <c r="AN822" s="80"/>
      <c r="AO822" s="82" t="n">
        <f aca="false">IF(E822="","",(AA822&lt;&gt;"")+(AG822&lt;&gt;"")+(AL822&lt;&gt;""))</f>
        <v>0</v>
      </c>
      <c r="AP822" s="82" t="str">
        <f aca="false">IF(AL822&lt;&gt;"",AL822,IF(AG822&lt;&gt;"",AG822,IF(AA822&lt;&gt;"",AA822,"")))</f>
        <v/>
      </c>
      <c r="AQ822" s="84" t="str">
        <f aca="false">IF(E822="","",IF(U822="","À SOUDER",IF(X822="","VT EN ATTENTE",IF(X822="R","VT REJETÉ – À REPRENDRE",IF(AP822="","À RADIOGRAPHIER",IF(AP822="A","ACCEPTÉ",IF(AP822="NX","NX – RT À REFAIRE",IF(IF(AO822=1,AD822,IF(AO822=2,AI822,""))="A","RÉPARÉ – À RADIOGRAPHIER",IF(IF(AO822=1,AD822,IF(AO822=2,AI822,""))="R","VT REJETÉ – À REPRENDRE",IF(OR(AP822="CO",AP822="NT"),"COUPE – À RESOUDER","À RÉPARER"))))))))))</f>
        <v>À SOUDER</v>
      </c>
      <c r="AR822" s="82" t="str">
        <f aca="false">IF(AND(ISNUMBER(U822),OR(AQ822="À RADIOGRAPHIER",AQ822="RÉPARÉ – À RADIOGRAPHIER",AQ822="NX – RT À REFAIRE",AQ822="À RÉPARER",AQ822="COUPE – À RESOUDER",AQ822="VT REJETÉ – À REPRENDRE")),MAX(0,'PROGRAMME RT'!$C$4-U822),"")</f>
        <v/>
      </c>
      <c r="AS822" s="82" t="n">
        <f aca="false">IF(AND(OR(AQ822="À RADIOGRAPHIER",AQ822="RÉPARÉ – À RADIOGRAPHIER",AQ822="NX – RT À REFAIRE"),OR('PROGRAMME RT'!$D$5="TOUTES",B822='PROGRAMME RT'!$D$5)),1,0)</f>
        <v>0</v>
      </c>
      <c r="AT822" s="82" t="str">
        <f aca="false">IF(AS822=1,SUM(AS$7:AS822),"")</f>
        <v/>
      </c>
      <c r="AU822" s="82" t="n">
        <f aca="false">IF(AND(OR(AA822="R",AA822="NX",AA822="NT",AA822="CO"),OR('JOINTS DE RÉPARATION'!$D$5="TOUTES",B822='JOINTS DE RÉPARATION'!$D$5),OR('JOINTS DE RÉPARATION'!$L$4="TOUS",AQ822&lt;&gt;"ACCEPTÉ")),1,0)</f>
        <v>0</v>
      </c>
      <c r="AV822" s="82" t="str">
        <f aca="false">IF(AU822=1,SUM(AU$7:AU822),"")</f>
        <v/>
      </c>
      <c r="AW822" s="82" t="str">
        <f aca="false">IF(E822="","",B822&amp;"|"&amp;E822)</f>
        <v>MFD-ISW → MFD-CPF|JN°788</v>
      </c>
    </row>
    <row r="823" customFormat="false" ht="74.6" hidden="false" customHeight="false" outlineLevel="0" collapsed="false">
      <c r="A823" s="79" t="n">
        <f aca="false">IF(E823="","",ROW()-6)</f>
        <v>817</v>
      </c>
      <c r="B823" s="80" t="s">
        <v>110</v>
      </c>
      <c r="C823" s="81"/>
      <c r="D823" s="81" t="s">
        <v>895</v>
      </c>
      <c r="E823" s="81" t="s">
        <v>954</v>
      </c>
      <c r="F823" s="82" t="str">
        <f aca="false">IF(E823="","",IF(LEFT(E823,2)="DJ","DJ","JN"))</f>
        <v>JN</v>
      </c>
      <c r="G823" s="81"/>
      <c r="H823" s="81"/>
      <c r="I823" s="81"/>
      <c r="J823" s="81"/>
      <c r="K823" s="81"/>
      <c r="L823" s="81"/>
      <c r="M823" s="81"/>
      <c r="N823" s="81"/>
      <c r="O823" s="81"/>
      <c r="P823" s="81"/>
      <c r="Q823" s="81"/>
      <c r="R823" s="81"/>
      <c r="S823" s="81"/>
      <c r="T823" s="81"/>
      <c r="U823" s="83"/>
      <c r="V823" s="83"/>
      <c r="W823" s="81"/>
      <c r="X823" s="81"/>
      <c r="Y823" s="83"/>
      <c r="Z823" s="81"/>
      <c r="AA823" s="81"/>
      <c r="AB823" s="81"/>
      <c r="AC823" s="81"/>
      <c r="AD823" s="81"/>
      <c r="AE823" s="83"/>
      <c r="AF823" s="81"/>
      <c r="AG823" s="81"/>
      <c r="AH823" s="81"/>
      <c r="AI823" s="81"/>
      <c r="AJ823" s="83"/>
      <c r="AK823" s="81"/>
      <c r="AL823" s="81"/>
      <c r="AM823" s="83"/>
      <c r="AN823" s="80"/>
      <c r="AO823" s="82" t="n">
        <f aca="false">IF(E823="","",(AA823&lt;&gt;"")+(AG823&lt;&gt;"")+(AL823&lt;&gt;""))</f>
        <v>0</v>
      </c>
      <c r="AP823" s="82" t="str">
        <f aca="false">IF(AL823&lt;&gt;"",AL823,IF(AG823&lt;&gt;"",AG823,IF(AA823&lt;&gt;"",AA823,"")))</f>
        <v/>
      </c>
      <c r="AQ823" s="84" t="str">
        <f aca="false">IF(E823="","",IF(U823="","À SOUDER",IF(X823="","VT EN ATTENTE",IF(X823="R","VT REJETÉ – À REPRENDRE",IF(AP823="","À RADIOGRAPHIER",IF(AP823="A","ACCEPTÉ",IF(AP823="NX","NX – RT À REFAIRE",IF(IF(AO823=1,AD823,IF(AO823=2,AI823,""))="A","RÉPARÉ – À RADIOGRAPHIER",IF(IF(AO823=1,AD823,IF(AO823=2,AI823,""))="R","VT REJETÉ – À REPRENDRE",IF(OR(AP823="CO",AP823="NT"),"COUPE – À RESOUDER","À RÉPARER"))))))))))</f>
        <v>À SOUDER</v>
      </c>
      <c r="AR823" s="82" t="str">
        <f aca="false">IF(AND(ISNUMBER(U823),OR(AQ823="À RADIOGRAPHIER",AQ823="RÉPARÉ – À RADIOGRAPHIER",AQ823="NX – RT À REFAIRE",AQ823="À RÉPARER",AQ823="COUPE – À RESOUDER",AQ823="VT REJETÉ – À REPRENDRE")),MAX(0,'PROGRAMME RT'!$C$4-U823),"")</f>
        <v/>
      </c>
      <c r="AS823" s="82" t="n">
        <f aca="false">IF(AND(OR(AQ823="À RADIOGRAPHIER",AQ823="RÉPARÉ – À RADIOGRAPHIER",AQ823="NX – RT À REFAIRE"),OR('PROGRAMME RT'!$D$5="TOUTES",B823='PROGRAMME RT'!$D$5)),1,0)</f>
        <v>0</v>
      </c>
      <c r="AT823" s="82" t="str">
        <f aca="false">IF(AS823=1,SUM(AS$7:AS823),"")</f>
        <v/>
      </c>
      <c r="AU823" s="82" t="n">
        <f aca="false">IF(AND(OR(AA823="R",AA823="NX",AA823="NT",AA823="CO"),OR('JOINTS DE RÉPARATION'!$D$5="TOUTES",B823='JOINTS DE RÉPARATION'!$D$5),OR('JOINTS DE RÉPARATION'!$L$4="TOUS",AQ823&lt;&gt;"ACCEPTÉ")),1,0)</f>
        <v>0</v>
      </c>
      <c r="AV823" s="82" t="str">
        <f aca="false">IF(AU823=1,SUM(AU$7:AU823),"")</f>
        <v/>
      </c>
      <c r="AW823" s="82" t="str">
        <f aca="false">IF(E823="","",B823&amp;"|"&amp;E823)</f>
        <v>MFD-ISW → MFD-CPF|JN°789</v>
      </c>
    </row>
    <row r="824" customFormat="false" ht="74.6" hidden="false" customHeight="false" outlineLevel="0" collapsed="false">
      <c r="A824" s="79" t="n">
        <f aca="false">IF(E824="","",ROW()-6)</f>
        <v>818</v>
      </c>
      <c r="B824" s="80" t="s">
        <v>110</v>
      </c>
      <c r="C824" s="81" t="s">
        <v>868</v>
      </c>
      <c r="D824" s="81" t="n">
        <v>4</v>
      </c>
      <c r="E824" s="81" t="s">
        <v>955</v>
      </c>
      <c r="F824" s="82" t="str">
        <f aca="false">IF(E824="","",IF(LEFT(E824,2)="DJ","DJ","JN"))</f>
        <v>DJ</v>
      </c>
      <c r="G824" s="81"/>
      <c r="H824" s="81" t="s">
        <v>871</v>
      </c>
      <c r="I824" s="81" t="n">
        <v>9.53</v>
      </c>
      <c r="J824" s="81" t="s">
        <v>872</v>
      </c>
      <c r="K824" s="81" t="s">
        <v>873</v>
      </c>
      <c r="L824" s="81" t="n">
        <v>2082890</v>
      </c>
      <c r="M824" s="81" t="n">
        <v>15421105</v>
      </c>
      <c r="N824" s="81" t="n">
        <v>11.94</v>
      </c>
      <c r="O824" s="81" t="n">
        <v>2084800</v>
      </c>
      <c r="P824" s="81" t="n">
        <v>15421106</v>
      </c>
      <c r="Q824" s="81" t="n">
        <v>11.94</v>
      </c>
      <c r="R824" s="81" t="s">
        <v>882</v>
      </c>
      <c r="S824" s="81"/>
      <c r="T824" s="81"/>
      <c r="U824" s="83" t="n">
        <v>46284</v>
      </c>
      <c r="V824" s="83" t="n">
        <v>46284</v>
      </c>
      <c r="W824" s="81" t="s">
        <v>956</v>
      </c>
      <c r="X824" s="81" t="s">
        <v>876</v>
      </c>
      <c r="Y824" s="83" t="n">
        <v>46285</v>
      </c>
      <c r="Z824" s="81" t="s">
        <v>957</v>
      </c>
      <c r="AA824" s="81" t="s">
        <v>876</v>
      </c>
      <c r="AB824" s="81"/>
      <c r="AC824" s="81"/>
      <c r="AD824" s="81"/>
      <c r="AE824" s="83"/>
      <c r="AF824" s="81"/>
      <c r="AG824" s="81"/>
      <c r="AH824" s="81"/>
      <c r="AI824" s="81"/>
      <c r="AJ824" s="83"/>
      <c r="AK824" s="81"/>
      <c r="AL824" s="81"/>
      <c r="AM824" s="83"/>
      <c r="AN824" s="80"/>
      <c r="AO824" s="82" t="n">
        <f aca="false">IF(E824="","",(AA824&lt;&gt;"")+(AG824&lt;&gt;"")+(AL824&lt;&gt;""))</f>
        <v>1</v>
      </c>
      <c r="AP824" s="82" t="str">
        <f aca="false">IF(AL824&lt;&gt;"",AL824,IF(AG824&lt;&gt;"",AG824,IF(AA824&lt;&gt;"",AA824,"")))</f>
        <v>A</v>
      </c>
      <c r="AQ824" s="84" t="str">
        <f aca="false">IF(E824="","",IF(U824="","À SOUDER",IF(X824="","VT EN ATTENTE",IF(X824="R","VT REJETÉ – À REPRENDRE",IF(AP824="","À RADIOGRAPHIER",IF(AP824="A","ACCEPTÉ",IF(AP824="NX","NX – RT À REFAIRE",IF(IF(AO824=1,AD824,IF(AO824=2,AI824,""))="A","RÉPARÉ – À RADIOGRAPHIER",IF(IF(AO824=1,AD824,IF(AO824=2,AI824,""))="R","VT REJETÉ – À REPRENDRE",IF(OR(AP824="CO",AP824="NT"),"COUPE – À RESOUDER","À RÉPARER"))))))))))</f>
        <v>ACCEPTÉ</v>
      </c>
      <c r="AR824" s="82" t="str">
        <f aca="false">IF(AND(ISNUMBER(U824),OR(AQ824="À RADIOGRAPHIER",AQ824="RÉPARÉ – À RADIOGRAPHIER",AQ824="NX – RT À REFAIRE",AQ824="À RÉPARER",AQ824="COUPE – À RESOUDER",AQ824="VT REJETÉ – À REPRENDRE")),MAX(0,'PROGRAMME RT'!$C$4-U824),"")</f>
        <v/>
      </c>
      <c r="AS824" s="82" t="n">
        <f aca="false">IF(AND(OR(AQ824="À RADIOGRAPHIER",AQ824="RÉPARÉ – À RADIOGRAPHIER",AQ824="NX – RT À REFAIRE"),OR('PROGRAMME RT'!$D$5="TOUTES",B824='PROGRAMME RT'!$D$5)),1,0)</f>
        <v>0</v>
      </c>
      <c r="AT824" s="82" t="str">
        <f aca="false">IF(AS824=1,SUM(AS$7:AS824),"")</f>
        <v/>
      </c>
      <c r="AU824" s="82" t="n">
        <f aca="false">IF(AND(OR(AA824="R",AA824="NX",AA824="NT",AA824="CO"),OR('JOINTS DE RÉPARATION'!$D$5="TOUTES",B824='JOINTS DE RÉPARATION'!$D$5),OR('JOINTS DE RÉPARATION'!$L$4="TOUS",AQ824&lt;&gt;"ACCEPTÉ")),1,0)</f>
        <v>0</v>
      </c>
      <c r="AV824" s="82" t="str">
        <f aca="false">IF(AU824=1,SUM(AU$7:AU824),"")</f>
        <v/>
      </c>
      <c r="AW824" s="82" t="str">
        <f aca="false">IF(E824="","",B824&amp;"|"&amp;E824)</f>
        <v>MFD-ISW → MFD-CPF|DJ°438</v>
      </c>
    </row>
    <row r="825" customFormat="false" ht="74.6" hidden="false" customHeight="false" outlineLevel="0" collapsed="false">
      <c r="A825" s="79" t="n">
        <f aca="false">IF(E825="","",ROW()-6)</f>
        <v>819</v>
      </c>
      <c r="B825" s="80" t="s">
        <v>110</v>
      </c>
      <c r="C825" s="81"/>
      <c r="D825" s="81" t="n">
        <v>4</v>
      </c>
      <c r="E825" s="81" t="s">
        <v>958</v>
      </c>
      <c r="F825" s="82" t="str">
        <f aca="false">IF(E825="","",IF(LEFT(E825,2)="DJ","DJ","JN"))</f>
        <v>JN</v>
      </c>
      <c r="G825" s="81"/>
      <c r="H825" s="81" t="s">
        <v>871</v>
      </c>
      <c r="I825" s="81" t="n">
        <v>9.53</v>
      </c>
      <c r="J825" s="81" t="s">
        <v>872</v>
      </c>
      <c r="K825" s="81" t="s">
        <v>879</v>
      </c>
      <c r="L825" s="81" t="n">
        <v>2084800</v>
      </c>
      <c r="M825" s="81" t="n">
        <v>15421106</v>
      </c>
      <c r="N825" s="81" t="n">
        <v>11.94</v>
      </c>
      <c r="O825" s="81" t="n">
        <v>2088770</v>
      </c>
      <c r="P825" s="81" t="n">
        <v>15421105</v>
      </c>
      <c r="Q825" s="81" t="n">
        <v>11.94</v>
      </c>
      <c r="R825" s="81" t="s">
        <v>959</v>
      </c>
      <c r="S825" s="81"/>
      <c r="T825" s="81"/>
      <c r="U825" s="83" t="n">
        <v>46289</v>
      </c>
      <c r="V825" s="83" t="n">
        <v>46289</v>
      </c>
      <c r="W825" s="81" t="s">
        <v>936</v>
      </c>
      <c r="X825" s="81" t="s">
        <v>876</v>
      </c>
      <c r="Y825" s="83"/>
      <c r="Z825" s="81"/>
      <c r="AA825" s="81"/>
      <c r="AB825" s="81"/>
      <c r="AC825" s="81"/>
      <c r="AD825" s="81"/>
      <c r="AE825" s="83"/>
      <c r="AF825" s="81"/>
      <c r="AG825" s="81"/>
      <c r="AH825" s="81"/>
      <c r="AI825" s="81"/>
      <c r="AJ825" s="83"/>
      <c r="AK825" s="81"/>
      <c r="AL825" s="81"/>
      <c r="AM825" s="83"/>
      <c r="AN825" s="80"/>
      <c r="AO825" s="82" t="n">
        <f aca="false">IF(E825="","",(AA825&lt;&gt;"")+(AG825&lt;&gt;"")+(AL825&lt;&gt;""))</f>
        <v>0</v>
      </c>
      <c r="AP825" s="82" t="str">
        <f aca="false">IF(AL825&lt;&gt;"",AL825,IF(AG825&lt;&gt;"",AG825,IF(AA825&lt;&gt;"",AA825,"")))</f>
        <v/>
      </c>
      <c r="AQ825" s="84" t="str">
        <f aca="false">IF(E825="","",IF(U825="","À SOUDER",IF(X825="","VT EN ATTENTE",IF(X825="R","VT REJETÉ – À REPRENDRE",IF(AP825="","À RADIOGRAPHIER",IF(AP825="A","ACCEPTÉ",IF(AP825="NX","NX – RT À REFAIRE",IF(IF(AO825=1,AD825,IF(AO825=2,AI825,""))="A","RÉPARÉ – À RADIOGRAPHIER",IF(IF(AO825=1,AD825,IF(AO825=2,AI825,""))="R","VT REJETÉ – À REPRENDRE",IF(OR(AP825="CO",AP825="NT"),"COUPE – À RESOUDER","À RÉPARER"))))))))))</f>
        <v>À RADIOGRAPHIER</v>
      </c>
      <c r="AR825" s="82" t="n">
        <f aca="false">IF(AND(ISNUMBER(U825),OR(AQ825="À RADIOGRAPHIER",AQ825="RÉPARÉ – À RADIOGRAPHIER",AQ825="NX – RT À REFAIRE",AQ825="À RÉPARER",AQ825="COUPE – À RESOUDER",AQ825="VT REJETÉ – À REPRENDRE")),MAX(0,'PROGRAMME RT'!$C$4-U825),"")</f>
        <v>4</v>
      </c>
      <c r="AS825" s="82" t="n">
        <f aca="false">IF(AND(OR(AQ825="À RADIOGRAPHIER",AQ825="RÉPARÉ – À RADIOGRAPHIER",AQ825="NX – RT À REFAIRE"),OR('PROGRAMME RT'!$D$5="TOUTES",B825='PROGRAMME RT'!$D$5)),1,0)</f>
        <v>1</v>
      </c>
      <c r="AT825" s="82" t="n">
        <f aca="false">IF(AS825=1,SUM(AS$7:AS825),"")</f>
        <v>26</v>
      </c>
      <c r="AU825" s="82" t="n">
        <f aca="false">IF(AND(OR(AA825="R",AA825="NX",AA825="NT",AA825="CO"),OR('JOINTS DE RÉPARATION'!$D$5="TOUTES",B825='JOINTS DE RÉPARATION'!$D$5),OR('JOINTS DE RÉPARATION'!$L$4="TOUS",AQ825&lt;&gt;"ACCEPTÉ")),1,0)</f>
        <v>0</v>
      </c>
      <c r="AV825" s="82" t="str">
        <f aca="false">IF(AU825=1,SUM(AU$7:AU825),"")</f>
        <v/>
      </c>
      <c r="AW825" s="82" t="str">
        <f aca="false">IF(E825="","",B825&amp;"|"&amp;E825)</f>
        <v>MFD-ISW → MFD-CPF|JN°790</v>
      </c>
    </row>
    <row r="826" customFormat="false" ht="74.6" hidden="false" customHeight="false" outlineLevel="0" collapsed="false">
      <c r="A826" s="79" t="n">
        <f aca="false">IF(E826="","",ROW()-6)</f>
        <v>820</v>
      </c>
      <c r="B826" s="80" t="s">
        <v>110</v>
      </c>
      <c r="C826" s="81" t="s">
        <v>868</v>
      </c>
      <c r="D826" s="81" t="n">
        <v>5</v>
      </c>
      <c r="E826" s="81" t="s">
        <v>960</v>
      </c>
      <c r="F826" s="82" t="str">
        <f aca="false">IF(E826="","",IF(LEFT(E826,2)="DJ","DJ","JN"))</f>
        <v>DJ</v>
      </c>
      <c r="G826" s="81"/>
      <c r="H826" s="81" t="s">
        <v>871</v>
      </c>
      <c r="I826" s="81" t="n">
        <v>9.53</v>
      </c>
      <c r="J826" s="81" t="s">
        <v>872</v>
      </c>
      <c r="K826" s="81" t="s">
        <v>873</v>
      </c>
      <c r="L826" s="81" t="n">
        <v>2088770</v>
      </c>
      <c r="M826" s="81" t="n">
        <v>15421105</v>
      </c>
      <c r="N826" s="81" t="n">
        <v>11.94</v>
      </c>
      <c r="O826" s="81" t="n">
        <v>2094150</v>
      </c>
      <c r="P826" s="81" t="n">
        <v>15421109</v>
      </c>
      <c r="Q826" s="81" t="n">
        <v>11.94</v>
      </c>
      <c r="R826" s="81" t="s">
        <v>874</v>
      </c>
      <c r="S826" s="81"/>
      <c r="T826" s="81"/>
      <c r="U826" s="83" t="n">
        <v>46288</v>
      </c>
      <c r="V826" s="83" t="n">
        <v>46288</v>
      </c>
      <c r="W826" s="81" t="s">
        <v>924</v>
      </c>
      <c r="X826" s="81" t="s">
        <v>876</v>
      </c>
      <c r="Y826" s="83" t="n">
        <v>46289</v>
      </c>
      <c r="Z826" s="81" t="s">
        <v>925</v>
      </c>
      <c r="AA826" s="81" t="s">
        <v>876</v>
      </c>
      <c r="AB826" s="81"/>
      <c r="AC826" s="81"/>
      <c r="AD826" s="81"/>
      <c r="AE826" s="83"/>
      <c r="AF826" s="81"/>
      <c r="AG826" s="81"/>
      <c r="AH826" s="81"/>
      <c r="AI826" s="81"/>
      <c r="AJ826" s="83"/>
      <c r="AK826" s="81"/>
      <c r="AL826" s="81"/>
      <c r="AM826" s="83"/>
      <c r="AN826" s="80"/>
      <c r="AO826" s="82" t="n">
        <f aca="false">IF(E826="","",(AA826&lt;&gt;"")+(AG826&lt;&gt;"")+(AL826&lt;&gt;""))</f>
        <v>1</v>
      </c>
      <c r="AP826" s="82" t="str">
        <f aca="false">IF(AL826&lt;&gt;"",AL826,IF(AG826&lt;&gt;"",AG826,IF(AA826&lt;&gt;"",AA826,"")))</f>
        <v>A</v>
      </c>
      <c r="AQ826" s="84" t="str">
        <f aca="false">IF(E826="","",IF(U826="","À SOUDER",IF(X826="","VT EN ATTENTE",IF(X826="R","VT REJETÉ – À REPRENDRE",IF(AP826="","À RADIOGRAPHIER",IF(AP826="A","ACCEPTÉ",IF(AP826="NX","NX – RT À REFAIRE",IF(IF(AO826=1,AD826,IF(AO826=2,AI826,""))="A","RÉPARÉ – À RADIOGRAPHIER",IF(IF(AO826=1,AD826,IF(AO826=2,AI826,""))="R","VT REJETÉ – À REPRENDRE",IF(OR(AP826="CO",AP826="NT"),"COUPE – À RESOUDER","À RÉPARER"))))))))))</f>
        <v>ACCEPTÉ</v>
      </c>
      <c r="AR826" s="82" t="str">
        <f aca="false">IF(AND(ISNUMBER(U826),OR(AQ826="À RADIOGRAPHIER",AQ826="RÉPARÉ – À RADIOGRAPHIER",AQ826="NX – RT À REFAIRE",AQ826="À RÉPARER",AQ826="COUPE – À RESOUDER",AQ826="VT REJETÉ – À REPRENDRE")),MAX(0,'PROGRAMME RT'!$C$4-U826),"")</f>
        <v/>
      </c>
      <c r="AS826" s="82" t="n">
        <f aca="false">IF(AND(OR(AQ826="À RADIOGRAPHIER",AQ826="RÉPARÉ – À RADIOGRAPHIER",AQ826="NX – RT À REFAIRE"),OR('PROGRAMME RT'!$D$5="TOUTES",B826='PROGRAMME RT'!$D$5)),1,0)</f>
        <v>0</v>
      </c>
      <c r="AT826" s="82" t="str">
        <f aca="false">IF(AS826=1,SUM(AS$7:AS826),"")</f>
        <v/>
      </c>
      <c r="AU826" s="82" t="n">
        <f aca="false">IF(AND(OR(AA826="R",AA826="NX",AA826="NT",AA826="CO"),OR('JOINTS DE RÉPARATION'!$D$5="TOUTES",B826='JOINTS DE RÉPARATION'!$D$5),OR('JOINTS DE RÉPARATION'!$L$4="TOUS",AQ826&lt;&gt;"ACCEPTÉ")),1,0)</f>
        <v>0</v>
      </c>
      <c r="AV826" s="82" t="str">
        <f aca="false">IF(AU826=1,SUM(AU$7:AU826),"")</f>
        <v/>
      </c>
      <c r="AW826" s="82" t="str">
        <f aca="false">IF(E826="","",B826&amp;"|"&amp;E826)</f>
        <v>MFD-ISW → MFD-CPF|DJ°497</v>
      </c>
    </row>
    <row r="827" customFormat="false" ht="74.6" hidden="false" customHeight="false" outlineLevel="0" collapsed="false">
      <c r="A827" s="79" t="n">
        <f aca="false">IF(E827="","",ROW()-6)</f>
        <v>821</v>
      </c>
      <c r="B827" s="80" t="s">
        <v>110</v>
      </c>
      <c r="C827" s="81"/>
      <c r="D827" s="81" t="n">
        <v>5</v>
      </c>
      <c r="E827" s="81" t="s">
        <v>961</v>
      </c>
      <c r="F827" s="82" t="str">
        <f aca="false">IF(E827="","",IF(LEFT(E827,2)="DJ","DJ","JN"))</f>
        <v>JN</v>
      </c>
      <c r="G827" s="81"/>
      <c r="H827" s="81" t="s">
        <v>871</v>
      </c>
      <c r="I827" s="81" t="n">
        <v>9.53</v>
      </c>
      <c r="J827" s="81" t="s">
        <v>872</v>
      </c>
      <c r="K827" s="81" t="s">
        <v>879</v>
      </c>
      <c r="L827" s="81" t="n">
        <v>2094150</v>
      </c>
      <c r="M827" s="81" t="n">
        <v>15421109</v>
      </c>
      <c r="N827" s="81" t="n">
        <v>11.94</v>
      </c>
      <c r="O827" s="81" t="n">
        <v>2095360</v>
      </c>
      <c r="P827" s="81" t="n">
        <v>15421111</v>
      </c>
      <c r="Q827" s="81" t="n">
        <v>11.94</v>
      </c>
      <c r="R827" s="81" t="s">
        <v>959</v>
      </c>
      <c r="S827" s="81"/>
      <c r="T827" s="81"/>
      <c r="U827" s="83" t="n">
        <v>46289</v>
      </c>
      <c r="V827" s="83" t="n">
        <v>46289</v>
      </c>
      <c r="W827" s="81" t="s">
        <v>936</v>
      </c>
      <c r="X827" s="81" t="s">
        <v>876</v>
      </c>
      <c r="Y827" s="83"/>
      <c r="Z827" s="81"/>
      <c r="AA827" s="81"/>
      <c r="AB827" s="81"/>
      <c r="AC827" s="81"/>
      <c r="AD827" s="81"/>
      <c r="AE827" s="83"/>
      <c r="AF827" s="81"/>
      <c r="AG827" s="81"/>
      <c r="AH827" s="81"/>
      <c r="AI827" s="81"/>
      <c r="AJ827" s="83"/>
      <c r="AK827" s="81"/>
      <c r="AL827" s="81"/>
      <c r="AM827" s="83"/>
      <c r="AN827" s="80"/>
      <c r="AO827" s="82" t="n">
        <f aca="false">IF(E827="","",(AA827&lt;&gt;"")+(AG827&lt;&gt;"")+(AL827&lt;&gt;""))</f>
        <v>0</v>
      </c>
      <c r="AP827" s="82" t="str">
        <f aca="false">IF(AL827&lt;&gt;"",AL827,IF(AG827&lt;&gt;"",AG827,IF(AA827&lt;&gt;"",AA827,"")))</f>
        <v/>
      </c>
      <c r="AQ827" s="84" t="str">
        <f aca="false">IF(E827="","",IF(U827="","À SOUDER",IF(X827="","VT EN ATTENTE",IF(X827="R","VT REJETÉ – À REPRENDRE",IF(AP827="","À RADIOGRAPHIER",IF(AP827="A","ACCEPTÉ",IF(AP827="NX","NX – RT À REFAIRE",IF(IF(AO827=1,AD827,IF(AO827=2,AI827,""))="A","RÉPARÉ – À RADIOGRAPHIER",IF(IF(AO827=1,AD827,IF(AO827=2,AI827,""))="R","VT REJETÉ – À REPRENDRE",IF(OR(AP827="CO",AP827="NT"),"COUPE – À RESOUDER","À RÉPARER"))))))))))</f>
        <v>À RADIOGRAPHIER</v>
      </c>
      <c r="AR827" s="82" t="n">
        <f aca="false">IF(AND(ISNUMBER(U827),OR(AQ827="À RADIOGRAPHIER",AQ827="RÉPARÉ – À RADIOGRAPHIER",AQ827="NX – RT À REFAIRE",AQ827="À RÉPARER",AQ827="COUPE – À RESOUDER",AQ827="VT REJETÉ – À REPRENDRE")),MAX(0,'PROGRAMME RT'!$C$4-U827),"")</f>
        <v>4</v>
      </c>
      <c r="AS827" s="82" t="n">
        <f aca="false">IF(AND(OR(AQ827="À RADIOGRAPHIER",AQ827="RÉPARÉ – À RADIOGRAPHIER",AQ827="NX – RT À REFAIRE"),OR('PROGRAMME RT'!$D$5="TOUTES",B827='PROGRAMME RT'!$D$5)),1,0)</f>
        <v>1</v>
      </c>
      <c r="AT827" s="82" t="n">
        <f aca="false">IF(AS827=1,SUM(AS$7:AS827),"")</f>
        <v>27</v>
      </c>
      <c r="AU827" s="82" t="n">
        <f aca="false">IF(AND(OR(AA827="R",AA827="NX",AA827="NT",AA827="CO"),OR('JOINTS DE RÉPARATION'!$D$5="TOUTES",B827='JOINTS DE RÉPARATION'!$D$5),OR('JOINTS DE RÉPARATION'!$L$4="TOUS",AQ827&lt;&gt;"ACCEPTÉ")),1,0)</f>
        <v>0</v>
      </c>
      <c r="AV827" s="82" t="str">
        <f aca="false">IF(AU827=1,SUM(AU$7:AU827),"")</f>
        <v/>
      </c>
      <c r="AW827" s="82" t="str">
        <f aca="false">IF(E827="","",B827&amp;"|"&amp;E827)</f>
        <v>MFD-ISW → MFD-CPF|JN°791</v>
      </c>
    </row>
    <row r="828" customFormat="false" ht="74.6" hidden="false" customHeight="false" outlineLevel="0" collapsed="false">
      <c r="A828" s="79" t="n">
        <f aca="false">IF(E828="","",ROW()-6)</f>
        <v>822</v>
      </c>
      <c r="B828" s="80" t="s">
        <v>110</v>
      </c>
      <c r="C828" s="81" t="s">
        <v>868</v>
      </c>
      <c r="D828" s="81" t="n">
        <v>5</v>
      </c>
      <c r="E828" s="81" t="s">
        <v>962</v>
      </c>
      <c r="F828" s="82" t="str">
        <f aca="false">IF(E828="","",IF(LEFT(E828,2)="DJ","DJ","JN"))</f>
        <v>DJ</v>
      </c>
      <c r="G828" s="81"/>
      <c r="H828" s="81" t="s">
        <v>871</v>
      </c>
      <c r="I828" s="81" t="n">
        <v>9.53</v>
      </c>
      <c r="J828" s="81" t="s">
        <v>872</v>
      </c>
      <c r="K828" s="81" t="s">
        <v>873</v>
      </c>
      <c r="L828" s="81" t="n">
        <v>2095360</v>
      </c>
      <c r="M828" s="81" t="n">
        <v>15421111</v>
      </c>
      <c r="N828" s="81" t="n">
        <v>11.94</v>
      </c>
      <c r="O828" s="81" t="n">
        <v>2095330</v>
      </c>
      <c r="P828" s="81" t="n">
        <v>15421111</v>
      </c>
      <c r="Q828" s="81" t="n">
        <v>11.94</v>
      </c>
      <c r="R828" s="81" t="s">
        <v>963</v>
      </c>
      <c r="S828" s="81"/>
      <c r="T828" s="81"/>
      <c r="U828" s="83" t="n">
        <v>46287</v>
      </c>
      <c r="V828" s="83" t="n">
        <v>46287</v>
      </c>
      <c r="W828" s="81" t="s">
        <v>938</v>
      </c>
      <c r="X828" s="81" t="s">
        <v>876</v>
      </c>
      <c r="Y828" s="83" t="n">
        <v>46288</v>
      </c>
      <c r="Z828" s="81" t="s">
        <v>939</v>
      </c>
      <c r="AA828" s="81" t="s">
        <v>876</v>
      </c>
      <c r="AB828" s="81"/>
      <c r="AC828" s="81"/>
      <c r="AD828" s="81"/>
      <c r="AE828" s="83"/>
      <c r="AF828" s="81"/>
      <c r="AG828" s="81"/>
      <c r="AH828" s="81"/>
      <c r="AI828" s="81"/>
      <c r="AJ828" s="83"/>
      <c r="AK828" s="81"/>
      <c r="AL828" s="81"/>
      <c r="AM828" s="83"/>
      <c r="AN828" s="80"/>
      <c r="AO828" s="82" t="n">
        <f aca="false">IF(E828="","",(AA828&lt;&gt;"")+(AG828&lt;&gt;"")+(AL828&lt;&gt;""))</f>
        <v>1</v>
      </c>
      <c r="AP828" s="82" t="str">
        <f aca="false">IF(AL828&lt;&gt;"",AL828,IF(AG828&lt;&gt;"",AG828,IF(AA828&lt;&gt;"",AA828,"")))</f>
        <v>A</v>
      </c>
      <c r="AQ828" s="84" t="str">
        <f aca="false">IF(E828="","",IF(U828="","À SOUDER",IF(X828="","VT EN ATTENTE",IF(X828="R","VT REJETÉ – À REPRENDRE",IF(AP828="","À RADIOGRAPHIER",IF(AP828="A","ACCEPTÉ",IF(AP828="NX","NX – RT À REFAIRE",IF(IF(AO828=1,AD828,IF(AO828=2,AI828,""))="A","RÉPARÉ – À RADIOGRAPHIER",IF(IF(AO828=1,AD828,IF(AO828=2,AI828,""))="R","VT REJETÉ – À REPRENDRE",IF(OR(AP828="CO",AP828="NT"),"COUPE – À RESOUDER","À RÉPARER"))))))))))</f>
        <v>ACCEPTÉ</v>
      </c>
      <c r="AR828" s="82" t="str">
        <f aca="false">IF(AND(ISNUMBER(U828),OR(AQ828="À RADIOGRAPHIER",AQ828="RÉPARÉ – À RADIOGRAPHIER",AQ828="NX – RT À REFAIRE",AQ828="À RÉPARER",AQ828="COUPE – À RESOUDER",AQ828="VT REJETÉ – À REPRENDRE")),MAX(0,'PROGRAMME RT'!$C$4-U828),"")</f>
        <v/>
      </c>
      <c r="AS828" s="82" t="n">
        <f aca="false">IF(AND(OR(AQ828="À RADIOGRAPHIER",AQ828="RÉPARÉ – À RADIOGRAPHIER",AQ828="NX – RT À REFAIRE"),OR('PROGRAMME RT'!$D$5="TOUTES",B828='PROGRAMME RT'!$D$5)),1,0)</f>
        <v>0</v>
      </c>
      <c r="AT828" s="82" t="str">
        <f aca="false">IF(AS828=1,SUM(AS$7:AS828),"")</f>
        <v/>
      </c>
      <c r="AU828" s="82" t="n">
        <f aca="false">IF(AND(OR(AA828="R",AA828="NX",AA828="NT",AA828="CO"),OR('JOINTS DE RÉPARATION'!$D$5="TOUTES",B828='JOINTS DE RÉPARATION'!$D$5),OR('JOINTS DE RÉPARATION'!$L$4="TOUS",AQ828&lt;&gt;"ACCEPTÉ")),1,0)</f>
        <v>0</v>
      </c>
      <c r="AV828" s="82" t="str">
        <f aca="false">IF(AU828=1,SUM(AU$7:AU828),"")</f>
        <v/>
      </c>
      <c r="AW828" s="82" t="str">
        <f aca="false">IF(E828="","",B828&amp;"|"&amp;E828)</f>
        <v>MFD-ISW → MFD-CPF|DJ°480</v>
      </c>
    </row>
    <row r="829" customFormat="false" ht="74.6" hidden="false" customHeight="false" outlineLevel="0" collapsed="false">
      <c r="A829" s="79" t="n">
        <f aca="false">IF(E829="","",ROW()-6)</f>
        <v>823</v>
      </c>
      <c r="B829" s="80" t="s">
        <v>110</v>
      </c>
      <c r="C829" s="81"/>
      <c r="D829" s="81" t="n">
        <v>5</v>
      </c>
      <c r="E829" s="81" t="s">
        <v>964</v>
      </c>
      <c r="F829" s="82" t="str">
        <f aca="false">IF(E829="","",IF(LEFT(E829,2)="DJ","DJ","JN"))</f>
        <v>JN</v>
      </c>
      <c r="G829" s="81"/>
      <c r="H829" s="81" t="s">
        <v>871</v>
      </c>
      <c r="I829" s="81" t="n">
        <v>9.53</v>
      </c>
      <c r="J829" s="81" t="s">
        <v>872</v>
      </c>
      <c r="K829" s="81" t="s">
        <v>879</v>
      </c>
      <c r="L829" s="81" t="n">
        <v>2095330</v>
      </c>
      <c r="M829" s="81" t="n">
        <v>15421111</v>
      </c>
      <c r="N829" s="81" t="n">
        <v>11.94</v>
      </c>
      <c r="O829" s="81" t="n">
        <v>2096130</v>
      </c>
      <c r="P829" s="81" t="n">
        <v>15421110</v>
      </c>
      <c r="Q829" s="81" t="n">
        <v>11.94</v>
      </c>
      <c r="R829" s="81" t="s">
        <v>959</v>
      </c>
      <c r="S829" s="81"/>
      <c r="T829" s="81"/>
      <c r="U829" s="83" t="n">
        <v>46289</v>
      </c>
      <c r="V829" s="83" t="n">
        <v>46289</v>
      </c>
      <c r="W829" s="81" t="s">
        <v>936</v>
      </c>
      <c r="X829" s="81" t="s">
        <v>876</v>
      </c>
      <c r="Y829" s="83"/>
      <c r="Z829" s="81"/>
      <c r="AA829" s="81"/>
      <c r="AB829" s="81"/>
      <c r="AC829" s="81"/>
      <c r="AD829" s="81"/>
      <c r="AE829" s="83"/>
      <c r="AF829" s="81"/>
      <c r="AG829" s="81"/>
      <c r="AH829" s="81"/>
      <c r="AI829" s="81"/>
      <c r="AJ829" s="83"/>
      <c r="AK829" s="81"/>
      <c r="AL829" s="81"/>
      <c r="AM829" s="83"/>
      <c r="AN829" s="80"/>
      <c r="AO829" s="82" t="n">
        <f aca="false">IF(E829="","",(AA829&lt;&gt;"")+(AG829&lt;&gt;"")+(AL829&lt;&gt;""))</f>
        <v>0</v>
      </c>
      <c r="AP829" s="82" t="str">
        <f aca="false">IF(AL829&lt;&gt;"",AL829,IF(AG829&lt;&gt;"",AG829,IF(AA829&lt;&gt;"",AA829,"")))</f>
        <v/>
      </c>
      <c r="AQ829" s="84" t="str">
        <f aca="false">IF(E829="","",IF(U829="","À SOUDER",IF(X829="","VT EN ATTENTE",IF(X829="R","VT REJETÉ – À REPRENDRE",IF(AP829="","À RADIOGRAPHIER",IF(AP829="A","ACCEPTÉ",IF(AP829="NX","NX – RT À REFAIRE",IF(IF(AO829=1,AD829,IF(AO829=2,AI829,""))="A","RÉPARÉ – À RADIOGRAPHIER",IF(IF(AO829=1,AD829,IF(AO829=2,AI829,""))="R","VT REJETÉ – À REPRENDRE",IF(OR(AP829="CO",AP829="NT"),"COUPE – À RESOUDER","À RÉPARER"))))))))))</f>
        <v>À RADIOGRAPHIER</v>
      </c>
      <c r="AR829" s="82" t="n">
        <f aca="false">IF(AND(ISNUMBER(U829),OR(AQ829="À RADIOGRAPHIER",AQ829="RÉPARÉ – À RADIOGRAPHIER",AQ829="NX – RT À REFAIRE",AQ829="À RÉPARER",AQ829="COUPE – À RESOUDER",AQ829="VT REJETÉ – À REPRENDRE")),MAX(0,'PROGRAMME RT'!$C$4-U829),"")</f>
        <v>4</v>
      </c>
      <c r="AS829" s="82" t="n">
        <f aca="false">IF(AND(OR(AQ829="À RADIOGRAPHIER",AQ829="RÉPARÉ – À RADIOGRAPHIER",AQ829="NX – RT À REFAIRE"),OR('PROGRAMME RT'!$D$5="TOUTES",B829='PROGRAMME RT'!$D$5)),1,0)</f>
        <v>1</v>
      </c>
      <c r="AT829" s="82" t="n">
        <f aca="false">IF(AS829=1,SUM(AS$7:AS829),"")</f>
        <v>28</v>
      </c>
      <c r="AU829" s="82" t="n">
        <f aca="false">IF(AND(OR(AA829="R",AA829="NX",AA829="NT",AA829="CO"),OR('JOINTS DE RÉPARATION'!$D$5="TOUTES",B829='JOINTS DE RÉPARATION'!$D$5),OR('JOINTS DE RÉPARATION'!$L$4="TOUS",AQ829&lt;&gt;"ACCEPTÉ")),1,0)</f>
        <v>0</v>
      </c>
      <c r="AV829" s="82" t="str">
        <f aca="false">IF(AU829=1,SUM(AU$7:AU829),"")</f>
        <v/>
      </c>
      <c r="AW829" s="82" t="str">
        <f aca="false">IF(E829="","",B829&amp;"|"&amp;E829)</f>
        <v>MFD-ISW → MFD-CPF|JN°792</v>
      </c>
    </row>
    <row r="830" customFormat="false" ht="74.6" hidden="false" customHeight="false" outlineLevel="0" collapsed="false">
      <c r="A830" s="79" t="n">
        <f aca="false">IF(E830="","",ROW()-6)</f>
        <v>824</v>
      </c>
      <c r="B830" s="80" t="s">
        <v>110</v>
      </c>
      <c r="C830" s="81" t="s">
        <v>868</v>
      </c>
      <c r="D830" s="81" t="n">
        <v>5</v>
      </c>
      <c r="E830" s="81" t="s">
        <v>965</v>
      </c>
      <c r="F830" s="82" t="str">
        <f aca="false">IF(E830="","",IF(LEFT(E830,2)="DJ","DJ","JN"))</f>
        <v>DJ</v>
      </c>
      <c r="G830" s="81"/>
      <c r="H830" s="81" t="s">
        <v>871</v>
      </c>
      <c r="I830" s="81" t="n">
        <v>9.53</v>
      </c>
      <c r="J830" s="81" t="s">
        <v>872</v>
      </c>
      <c r="K830" s="81" t="s">
        <v>873</v>
      </c>
      <c r="L830" s="81" t="n">
        <v>2096130</v>
      </c>
      <c r="M830" s="81" t="n">
        <v>15421110</v>
      </c>
      <c r="N830" s="81" t="n">
        <v>11.94</v>
      </c>
      <c r="O830" s="81" t="n">
        <v>2082340</v>
      </c>
      <c r="P830" s="81" t="n">
        <v>15421104</v>
      </c>
      <c r="Q830" s="81" t="n">
        <v>11.94</v>
      </c>
      <c r="R830" s="81" t="s">
        <v>899</v>
      </c>
      <c r="S830" s="81"/>
      <c r="T830" s="81"/>
      <c r="U830" s="83" t="n">
        <v>46288</v>
      </c>
      <c r="V830" s="83" t="n">
        <v>46288</v>
      </c>
      <c r="W830" s="81" t="s">
        <v>924</v>
      </c>
      <c r="X830" s="81" t="s">
        <v>876</v>
      </c>
      <c r="Y830" s="83" t="n">
        <v>46289</v>
      </c>
      <c r="Z830" s="81" t="s">
        <v>925</v>
      </c>
      <c r="AA830" s="81" t="s">
        <v>876</v>
      </c>
      <c r="AB830" s="81"/>
      <c r="AC830" s="81"/>
      <c r="AD830" s="81"/>
      <c r="AE830" s="83"/>
      <c r="AF830" s="81"/>
      <c r="AG830" s="81"/>
      <c r="AH830" s="81"/>
      <c r="AI830" s="81"/>
      <c r="AJ830" s="83"/>
      <c r="AK830" s="81"/>
      <c r="AL830" s="81"/>
      <c r="AM830" s="83"/>
      <c r="AN830" s="80"/>
      <c r="AO830" s="82" t="n">
        <f aca="false">IF(E830="","",(AA830&lt;&gt;"")+(AG830&lt;&gt;"")+(AL830&lt;&gt;""))</f>
        <v>1</v>
      </c>
      <c r="AP830" s="82" t="str">
        <f aca="false">IF(AL830&lt;&gt;"",AL830,IF(AG830&lt;&gt;"",AG830,IF(AA830&lt;&gt;"",AA830,"")))</f>
        <v>A</v>
      </c>
      <c r="AQ830" s="84" t="str">
        <f aca="false">IF(E830="","",IF(U830="","À SOUDER",IF(X830="","VT EN ATTENTE",IF(X830="R","VT REJETÉ – À REPRENDRE",IF(AP830="","À RADIOGRAPHIER",IF(AP830="A","ACCEPTÉ",IF(AP830="NX","NX – RT À REFAIRE",IF(IF(AO830=1,AD830,IF(AO830=2,AI830,""))="A","RÉPARÉ – À RADIOGRAPHIER",IF(IF(AO830=1,AD830,IF(AO830=2,AI830,""))="R","VT REJETÉ – À REPRENDRE",IF(OR(AP830="CO",AP830="NT"),"COUPE – À RESOUDER","À RÉPARER"))))))))))</f>
        <v>ACCEPTÉ</v>
      </c>
      <c r="AR830" s="82" t="str">
        <f aca="false">IF(AND(ISNUMBER(U830),OR(AQ830="À RADIOGRAPHIER",AQ830="RÉPARÉ – À RADIOGRAPHIER",AQ830="NX – RT À REFAIRE",AQ830="À RÉPARER",AQ830="COUPE – À RESOUDER",AQ830="VT REJETÉ – À REPRENDRE")),MAX(0,'PROGRAMME RT'!$C$4-U830),"")</f>
        <v/>
      </c>
      <c r="AS830" s="82" t="n">
        <f aca="false">IF(AND(OR(AQ830="À RADIOGRAPHIER",AQ830="RÉPARÉ – À RADIOGRAPHIER",AQ830="NX – RT À REFAIRE"),OR('PROGRAMME RT'!$D$5="TOUTES",B830='PROGRAMME RT'!$D$5)),1,0)</f>
        <v>0</v>
      </c>
      <c r="AT830" s="82" t="str">
        <f aca="false">IF(AS830=1,SUM(AS$7:AS830),"")</f>
        <v/>
      </c>
      <c r="AU830" s="82" t="n">
        <f aca="false">IF(AND(OR(AA830="R",AA830="NX",AA830="NT",AA830="CO"),OR('JOINTS DE RÉPARATION'!$D$5="TOUTES",B830='JOINTS DE RÉPARATION'!$D$5),OR('JOINTS DE RÉPARATION'!$L$4="TOUS",AQ830&lt;&gt;"ACCEPTÉ")),1,0)</f>
        <v>0</v>
      </c>
      <c r="AV830" s="82" t="str">
        <f aca="false">IF(AU830=1,SUM(AU$7:AU830),"")</f>
        <v/>
      </c>
      <c r="AW830" s="82" t="str">
        <f aca="false">IF(E830="","",B830&amp;"|"&amp;E830)</f>
        <v>MFD-ISW → MFD-CPF|DJ°495</v>
      </c>
    </row>
    <row r="831" customFormat="false" ht="74.6" hidden="false" customHeight="false" outlineLevel="0" collapsed="false">
      <c r="A831" s="79" t="n">
        <f aca="false">IF(E831="","",ROW()-6)</f>
        <v>825</v>
      </c>
      <c r="B831" s="80" t="s">
        <v>110</v>
      </c>
      <c r="C831" s="81"/>
      <c r="D831" s="81" t="n">
        <v>5</v>
      </c>
      <c r="E831" s="81" t="s">
        <v>966</v>
      </c>
      <c r="F831" s="82" t="str">
        <f aca="false">IF(E831="","",IF(LEFT(E831,2)="DJ","DJ","JN"))</f>
        <v>JN</v>
      </c>
      <c r="G831" s="81"/>
      <c r="H831" s="81" t="s">
        <v>871</v>
      </c>
      <c r="I831" s="81" t="n">
        <v>9.53</v>
      </c>
      <c r="J831" s="81" t="s">
        <v>872</v>
      </c>
      <c r="K831" s="81" t="s">
        <v>879</v>
      </c>
      <c r="L831" s="81" t="n">
        <v>2082340</v>
      </c>
      <c r="M831" s="81" t="n">
        <v>15421104</v>
      </c>
      <c r="N831" s="81" t="n">
        <v>11.94</v>
      </c>
      <c r="O831" s="81" t="n">
        <v>2084860</v>
      </c>
      <c r="P831" s="81" t="n">
        <v>15421106</v>
      </c>
      <c r="Q831" s="81" t="n">
        <v>11.94</v>
      </c>
      <c r="R831" s="81" t="s">
        <v>959</v>
      </c>
      <c r="S831" s="81"/>
      <c r="T831" s="81"/>
      <c r="U831" s="83" t="n">
        <v>46289</v>
      </c>
      <c r="V831" s="83" t="n">
        <v>46289</v>
      </c>
      <c r="W831" s="81" t="s">
        <v>936</v>
      </c>
      <c r="X831" s="81" t="s">
        <v>876</v>
      </c>
      <c r="Y831" s="83"/>
      <c r="Z831" s="81"/>
      <c r="AA831" s="81"/>
      <c r="AB831" s="81"/>
      <c r="AC831" s="81"/>
      <c r="AD831" s="81"/>
      <c r="AE831" s="83"/>
      <c r="AF831" s="81"/>
      <c r="AG831" s="81"/>
      <c r="AH831" s="81"/>
      <c r="AI831" s="81"/>
      <c r="AJ831" s="83"/>
      <c r="AK831" s="81"/>
      <c r="AL831" s="81"/>
      <c r="AM831" s="83"/>
      <c r="AN831" s="80"/>
      <c r="AO831" s="82" t="n">
        <f aca="false">IF(E831="","",(AA831&lt;&gt;"")+(AG831&lt;&gt;"")+(AL831&lt;&gt;""))</f>
        <v>0</v>
      </c>
      <c r="AP831" s="82" t="str">
        <f aca="false">IF(AL831&lt;&gt;"",AL831,IF(AG831&lt;&gt;"",AG831,IF(AA831&lt;&gt;"",AA831,"")))</f>
        <v/>
      </c>
      <c r="AQ831" s="84" t="str">
        <f aca="false">IF(E831="","",IF(U831="","À SOUDER",IF(X831="","VT EN ATTENTE",IF(X831="R","VT REJETÉ – À REPRENDRE",IF(AP831="","À RADIOGRAPHIER",IF(AP831="A","ACCEPTÉ",IF(AP831="NX","NX – RT À REFAIRE",IF(IF(AO831=1,AD831,IF(AO831=2,AI831,""))="A","RÉPARÉ – À RADIOGRAPHIER",IF(IF(AO831=1,AD831,IF(AO831=2,AI831,""))="R","VT REJETÉ – À REPRENDRE",IF(OR(AP831="CO",AP831="NT"),"COUPE – À RESOUDER","À RÉPARER"))))))))))</f>
        <v>À RADIOGRAPHIER</v>
      </c>
      <c r="AR831" s="82" t="n">
        <f aca="false">IF(AND(ISNUMBER(U831),OR(AQ831="À RADIOGRAPHIER",AQ831="RÉPARÉ – À RADIOGRAPHIER",AQ831="NX – RT À REFAIRE",AQ831="À RÉPARER",AQ831="COUPE – À RESOUDER",AQ831="VT REJETÉ – À REPRENDRE")),MAX(0,'PROGRAMME RT'!$C$4-U831),"")</f>
        <v>4</v>
      </c>
      <c r="AS831" s="82" t="n">
        <f aca="false">IF(AND(OR(AQ831="À RADIOGRAPHIER",AQ831="RÉPARÉ – À RADIOGRAPHIER",AQ831="NX – RT À REFAIRE"),OR('PROGRAMME RT'!$D$5="TOUTES",B831='PROGRAMME RT'!$D$5)),1,0)</f>
        <v>1</v>
      </c>
      <c r="AT831" s="82" t="n">
        <f aca="false">IF(AS831=1,SUM(AS$7:AS831),"")</f>
        <v>29</v>
      </c>
      <c r="AU831" s="82" t="n">
        <f aca="false">IF(AND(OR(AA831="R",AA831="NX",AA831="NT",AA831="CO"),OR('JOINTS DE RÉPARATION'!$D$5="TOUTES",B831='JOINTS DE RÉPARATION'!$D$5),OR('JOINTS DE RÉPARATION'!$L$4="TOUS",AQ831&lt;&gt;"ACCEPTÉ")),1,0)</f>
        <v>0</v>
      </c>
      <c r="AV831" s="82" t="str">
        <f aca="false">IF(AU831=1,SUM(AU$7:AU831),"")</f>
        <v/>
      </c>
      <c r="AW831" s="82" t="str">
        <f aca="false">IF(E831="","",B831&amp;"|"&amp;E831)</f>
        <v>MFD-ISW → MFD-CPF|JN°793</v>
      </c>
    </row>
    <row r="832" customFormat="false" ht="74.6" hidden="false" customHeight="false" outlineLevel="0" collapsed="false">
      <c r="A832" s="79" t="n">
        <f aca="false">IF(E832="","",ROW()-6)</f>
        <v>826</v>
      </c>
      <c r="B832" s="80" t="s">
        <v>110</v>
      </c>
      <c r="C832" s="81" t="s">
        <v>868</v>
      </c>
      <c r="D832" s="81" t="n">
        <v>5</v>
      </c>
      <c r="E832" s="81" t="s">
        <v>967</v>
      </c>
      <c r="F832" s="82" t="str">
        <f aca="false">IF(E832="","",IF(LEFT(E832,2)="DJ","DJ","JN"))</f>
        <v>DJ</v>
      </c>
      <c r="G832" s="81"/>
      <c r="H832" s="81" t="s">
        <v>871</v>
      </c>
      <c r="I832" s="81" t="n">
        <v>9.53</v>
      </c>
      <c r="J832" s="81" t="s">
        <v>872</v>
      </c>
      <c r="K832" s="81" t="s">
        <v>873</v>
      </c>
      <c r="L832" s="81" t="n">
        <v>2084860</v>
      </c>
      <c r="M832" s="81" t="n">
        <v>15421106</v>
      </c>
      <c r="N832" s="81" t="n">
        <v>11.94</v>
      </c>
      <c r="O832" s="81" t="n">
        <v>2088960</v>
      </c>
      <c r="P832" s="81" t="n">
        <v>15421108</v>
      </c>
      <c r="Q832" s="81" t="n">
        <v>11.94</v>
      </c>
      <c r="R832" s="81" t="s">
        <v>963</v>
      </c>
      <c r="S832" s="81"/>
      <c r="T832" s="81"/>
      <c r="U832" s="83" t="n">
        <v>46287</v>
      </c>
      <c r="V832" s="83" t="n">
        <v>46287</v>
      </c>
      <c r="W832" s="81" t="s">
        <v>938</v>
      </c>
      <c r="X832" s="81" t="s">
        <v>876</v>
      </c>
      <c r="Y832" s="83" t="n">
        <v>46288</v>
      </c>
      <c r="Z832" s="81" t="s">
        <v>939</v>
      </c>
      <c r="AA832" s="81" t="s">
        <v>876</v>
      </c>
      <c r="AB832" s="81"/>
      <c r="AC832" s="81"/>
      <c r="AD832" s="81"/>
      <c r="AE832" s="83"/>
      <c r="AF832" s="81"/>
      <c r="AG832" s="81"/>
      <c r="AH832" s="81"/>
      <c r="AI832" s="81"/>
      <c r="AJ832" s="83"/>
      <c r="AK832" s="81"/>
      <c r="AL832" s="81"/>
      <c r="AM832" s="83"/>
      <c r="AN832" s="80"/>
      <c r="AO832" s="82" t="n">
        <f aca="false">IF(E832="","",(AA832&lt;&gt;"")+(AG832&lt;&gt;"")+(AL832&lt;&gt;""))</f>
        <v>1</v>
      </c>
      <c r="AP832" s="82" t="str">
        <f aca="false">IF(AL832&lt;&gt;"",AL832,IF(AG832&lt;&gt;"",AG832,IF(AA832&lt;&gt;"",AA832,"")))</f>
        <v>A</v>
      </c>
      <c r="AQ832" s="84" t="str">
        <f aca="false">IF(E832="","",IF(U832="","À SOUDER",IF(X832="","VT EN ATTENTE",IF(X832="R","VT REJETÉ – À REPRENDRE",IF(AP832="","À RADIOGRAPHIER",IF(AP832="A","ACCEPTÉ",IF(AP832="NX","NX – RT À REFAIRE",IF(IF(AO832=1,AD832,IF(AO832=2,AI832,""))="A","RÉPARÉ – À RADIOGRAPHIER",IF(IF(AO832=1,AD832,IF(AO832=2,AI832,""))="R","VT REJETÉ – À REPRENDRE",IF(OR(AP832="CO",AP832="NT"),"COUPE – À RESOUDER","À RÉPARER"))))))))))</f>
        <v>ACCEPTÉ</v>
      </c>
      <c r="AR832" s="82" t="str">
        <f aca="false">IF(AND(ISNUMBER(U832),OR(AQ832="À RADIOGRAPHIER",AQ832="RÉPARÉ – À RADIOGRAPHIER",AQ832="NX – RT À REFAIRE",AQ832="À RÉPARER",AQ832="COUPE – À RESOUDER",AQ832="VT REJETÉ – À REPRENDRE")),MAX(0,'PROGRAMME RT'!$C$4-U832),"")</f>
        <v/>
      </c>
      <c r="AS832" s="82" t="n">
        <f aca="false">IF(AND(OR(AQ832="À RADIOGRAPHIER",AQ832="RÉPARÉ – À RADIOGRAPHIER",AQ832="NX – RT À REFAIRE"),OR('PROGRAMME RT'!$D$5="TOUTES",B832='PROGRAMME RT'!$D$5)),1,0)</f>
        <v>0</v>
      </c>
      <c r="AT832" s="82" t="str">
        <f aca="false">IF(AS832=1,SUM(AS$7:AS832),"")</f>
        <v/>
      </c>
      <c r="AU832" s="82" t="n">
        <f aca="false">IF(AND(OR(AA832="R",AA832="NX",AA832="NT",AA832="CO"),OR('JOINTS DE RÉPARATION'!$D$5="TOUTES",B832='JOINTS DE RÉPARATION'!$D$5),OR('JOINTS DE RÉPARATION'!$L$4="TOUS",AQ832&lt;&gt;"ACCEPTÉ")),1,0)</f>
        <v>0</v>
      </c>
      <c r="AV832" s="82" t="str">
        <f aca="false">IF(AU832=1,SUM(AU$7:AU832),"")</f>
        <v/>
      </c>
      <c r="AW832" s="82" t="str">
        <f aca="false">IF(E832="","",B832&amp;"|"&amp;E832)</f>
        <v>MFD-ISW → MFD-CPF|DJ°482</v>
      </c>
    </row>
    <row r="833" customFormat="false" ht="74.6" hidden="false" customHeight="false" outlineLevel="0" collapsed="false">
      <c r="A833" s="79" t="n">
        <f aca="false">IF(E833="","",ROW()-6)</f>
        <v>827</v>
      </c>
      <c r="B833" s="80" t="s">
        <v>110</v>
      </c>
      <c r="C833" s="81"/>
      <c r="D833" s="81" t="n">
        <v>5</v>
      </c>
      <c r="E833" s="81" t="s">
        <v>968</v>
      </c>
      <c r="F833" s="82" t="str">
        <f aca="false">IF(E833="","",IF(LEFT(E833,2)="DJ","DJ","JN"))</f>
        <v>JN</v>
      </c>
      <c r="G833" s="81"/>
      <c r="H833" s="81" t="s">
        <v>871</v>
      </c>
      <c r="I833" s="81" t="n">
        <v>9.53</v>
      </c>
      <c r="J833" s="81" t="s">
        <v>872</v>
      </c>
      <c r="K833" s="81" t="s">
        <v>879</v>
      </c>
      <c r="L833" s="81" t="n">
        <v>2088960</v>
      </c>
      <c r="M833" s="81" t="n">
        <v>15421108</v>
      </c>
      <c r="N833" s="81" t="n">
        <v>11.94</v>
      </c>
      <c r="O833" s="81" t="n">
        <v>2090090</v>
      </c>
      <c r="P833" s="81" t="n">
        <v>15421109</v>
      </c>
      <c r="Q833" s="81" t="n">
        <v>11.94</v>
      </c>
      <c r="R833" s="81" t="s">
        <v>959</v>
      </c>
      <c r="S833" s="81"/>
      <c r="T833" s="81"/>
      <c r="U833" s="83" t="n">
        <v>46289</v>
      </c>
      <c r="V833" s="83" t="n">
        <v>46289</v>
      </c>
      <c r="W833" s="81" t="s">
        <v>936</v>
      </c>
      <c r="X833" s="81" t="s">
        <v>876</v>
      </c>
      <c r="Y833" s="83"/>
      <c r="Z833" s="81"/>
      <c r="AA833" s="81"/>
      <c r="AB833" s="81"/>
      <c r="AC833" s="81"/>
      <c r="AD833" s="81"/>
      <c r="AE833" s="83"/>
      <c r="AF833" s="81"/>
      <c r="AG833" s="81"/>
      <c r="AH833" s="81"/>
      <c r="AI833" s="81"/>
      <c r="AJ833" s="83"/>
      <c r="AK833" s="81"/>
      <c r="AL833" s="81"/>
      <c r="AM833" s="83"/>
      <c r="AN833" s="80"/>
      <c r="AO833" s="82" t="n">
        <f aca="false">IF(E833="","",(AA833&lt;&gt;"")+(AG833&lt;&gt;"")+(AL833&lt;&gt;""))</f>
        <v>0</v>
      </c>
      <c r="AP833" s="82" t="str">
        <f aca="false">IF(AL833&lt;&gt;"",AL833,IF(AG833&lt;&gt;"",AG833,IF(AA833&lt;&gt;"",AA833,"")))</f>
        <v/>
      </c>
      <c r="AQ833" s="84" t="str">
        <f aca="false">IF(E833="","",IF(U833="","À SOUDER",IF(X833="","VT EN ATTENTE",IF(X833="R","VT REJETÉ – À REPRENDRE",IF(AP833="","À RADIOGRAPHIER",IF(AP833="A","ACCEPTÉ",IF(AP833="NX","NX – RT À REFAIRE",IF(IF(AO833=1,AD833,IF(AO833=2,AI833,""))="A","RÉPARÉ – À RADIOGRAPHIER",IF(IF(AO833=1,AD833,IF(AO833=2,AI833,""))="R","VT REJETÉ – À REPRENDRE",IF(OR(AP833="CO",AP833="NT"),"COUPE – À RESOUDER","À RÉPARER"))))))))))</f>
        <v>À RADIOGRAPHIER</v>
      </c>
      <c r="AR833" s="82" t="n">
        <f aca="false">IF(AND(ISNUMBER(U833),OR(AQ833="À RADIOGRAPHIER",AQ833="RÉPARÉ – À RADIOGRAPHIER",AQ833="NX – RT À REFAIRE",AQ833="À RÉPARER",AQ833="COUPE – À RESOUDER",AQ833="VT REJETÉ – À REPRENDRE")),MAX(0,'PROGRAMME RT'!$C$4-U833),"")</f>
        <v>4</v>
      </c>
      <c r="AS833" s="82" t="n">
        <f aca="false">IF(AND(OR(AQ833="À RADIOGRAPHIER",AQ833="RÉPARÉ – À RADIOGRAPHIER",AQ833="NX – RT À REFAIRE"),OR('PROGRAMME RT'!$D$5="TOUTES",B833='PROGRAMME RT'!$D$5)),1,0)</f>
        <v>1</v>
      </c>
      <c r="AT833" s="82" t="n">
        <f aca="false">IF(AS833=1,SUM(AS$7:AS833),"")</f>
        <v>30</v>
      </c>
      <c r="AU833" s="82" t="n">
        <f aca="false">IF(AND(OR(AA833="R",AA833="NX",AA833="NT",AA833="CO"),OR('JOINTS DE RÉPARATION'!$D$5="TOUTES",B833='JOINTS DE RÉPARATION'!$D$5),OR('JOINTS DE RÉPARATION'!$L$4="TOUS",AQ833&lt;&gt;"ACCEPTÉ")),1,0)</f>
        <v>0</v>
      </c>
      <c r="AV833" s="82" t="str">
        <f aca="false">IF(AU833=1,SUM(AU$7:AU833),"")</f>
        <v/>
      </c>
      <c r="AW833" s="82" t="str">
        <f aca="false">IF(E833="","",B833&amp;"|"&amp;E833)</f>
        <v>MFD-ISW → MFD-CPF|JN°794</v>
      </c>
    </row>
    <row r="834" customFormat="false" ht="74.6" hidden="false" customHeight="false" outlineLevel="0" collapsed="false">
      <c r="A834" s="79" t="n">
        <f aca="false">IF(E834="","",ROW()-6)</f>
        <v>828</v>
      </c>
      <c r="B834" s="80" t="s">
        <v>110</v>
      </c>
      <c r="C834" s="81" t="s">
        <v>868</v>
      </c>
      <c r="D834" s="81" t="n">
        <v>5</v>
      </c>
      <c r="E834" s="81" t="s">
        <v>969</v>
      </c>
      <c r="F834" s="82" t="str">
        <f aca="false">IF(E834="","",IF(LEFT(E834,2)="DJ","DJ","JN"))</f>
        <v>DJ</v>
      </c>
      <c r="G834" s="81"/>
      <c r="H834" s="81" t="s">
        <v>871</v>
      </c>
      <c r="I834" s="81" t="n">
        <v>9.53</v>
      </c>
      <c r="J834" s="81" t="s">
        <v>872</v>
      </c>
      <c r="K834" s="81" t="s">
        <v>873</v>
      </c>
      <c r="L834" s="81" t="n">
        <v>2090090</v>
      </c>
      <c r="M834" s="81" t="n">
        <v>15421109</v>
      </c>
      <c r="N834" s="81" t="n">
        <v>11.94</v>
      </c>
      <c r="O834" s="81" t="n">
        <v>2090740</v>
      </c>
      <c r="P834" s="81" t="n">
        <v>15421109</v>
      </c>
      <c r="Q834" s="81" t="n">
        <v>11.94</v>
      </c>
      <c r="R834" s="81" t="s">
        <v>882</v>
      </c>
      <c r="S834" s="81"/>
      <c r="T834" s="81"/>
      <c r="U834" s="83" t="n">
        <v>46287</v>
      </c>
      <c r="V834" s="83" t="n">
        <v>46287</v>
      </c>
      <c r="W834" s="81" t="s">
        <v>938</v>
      </c>
      <c r="X834" s="81" t="s">
        <v>876</v>
      </c>
      <c r="Y834" s="83" t="n">
        <v>46288</v>
      </c>
      <c r="Z834" s="81" t="s">
        <v>939</v>
      </c>
      <c r="AA834" s="81" t="s">
        <v>876</v>
      </c>
      <c r="AB834" s="81"/>
      <c r="AC834" s="81"/>
      <c r="AD834" s="81"/>
      <c r="AE834" s="83"/>
      <c r="AF834" s="81"/>
      <c r="AG834" s="81"/>
      <c r="AH834" s="81"/>
      <c r="AI834" s="81"/>
      <c r="AJ834" s="83"/>
      <c r="AK834" s="81"/>
      <c r="AL834" s="81"/>
      <c r="AM834" s="83"/>
      <c r="AN834" s="80"/>
      <c r="AO834" s="82" t="n">
        <f aca="false">IF(E834="","",(AA834&lt;&gt;"")+(AG834&lt;&gt;"")+(AL834&lt;&gt;""))</f>
        <v>1</v>
      </c>
      <c r="AP834" s="82" t="str">
        <f aca="false">IF(AL834&lt;&gt;"",AL834,IF(AG834&lt;&gt;"",AG834,IF(AA834&lt;&gt;"",AA834,"")))</f>
        <v>A</v>
      </c>
      <c r="AQ834" s="84" t="str">
        <f aca="false">IF(E834="","",IF(U834="","À SOUDER",IF(X834="","VT EN ATTENTE",IF(X834="R","VT REJETÉ – À REPRENDRE",IF(AP834="","À RADIOGRAPHIER",IF(AP834="A","ACCEPTÉ",IF(AP834="NX","NX – RT À REFAIRE",IF(IF(AO834=1,AD834,IF(AO834=2,AI834,""))="A","RÉPARÉ – À RADIOGRAPHIER",IF(IF(AO834=1,AD834,IF(AO834=2,AI834,""))="R","VT REJETÉ – À REPRENDRE",IF(OR(AP834="CO",AP834="NT"),"COUPE – À RESOUDER","À RÉPARER"))))))))))</f>
        <v>ACCEPTÉ</v>
      </c>
      <c r="AR834" s="82" t="str">
        <f aca="false">IF(AND(ISNUMBER(U834),OR(AQ834="À RADIOGRAPHIER",AQ834="RÉPARÉ – À RADIOGRAPHIER",AQ834="NX – RT À REFAIRE",AQ834="À RÉPARER",AQ834="COUPE – À RESOUDER",AQ834="VT REJETÉ – À REPRENDRE")),MAX(0,'PROGRAMME RT'!$C$4-U834),"")</f>
        <v/>
      </c>
      <c r="AS834" s="82" t="n">
        <f aca="false">IF(AND(OR(AQ834="À RADIOGRAPHIER",AQ834="RÉPARÉ – À RADIOGRAPHIER",AQ834="NX – RT À REFAIRE"),OR('PROGRAMME RT'!$D$5="TOUTES",B834='PROGRAMME RT'!$D$5)),1,0)</f>
        <v>0</v>
      </c>
      <c r="AT834" s="82" t="str">
        <f aca="false">IF(AS834=1,SUM(AS$7:AS834),"")</f>
        <v/>
      </c>
      <c r="AU834" s="82" t="n">
        <f aca="false">IF(AND(OR(AA834="R",AA834="NX",AA834="NT",AA834="CO"),OR('JOINTS DE RÉPARATION'!$D$5="TOUTES",B834='JOINTS DE RÉPARATION'!$D$5),OR('JOINTS DE RÉPARATION'!$L$4="TOUS",AQ834&lt;&gt;"ACCEPTÉ")),1,0)</f>
        <v>0</v>
      </c>
      <c r="AV834" s="82" t="str">
        <f aca="false">IF(AU834=1,SUM(AU$7:AU834),"")</f>
        <v/>
      </c>
      <c r="AW834" s="82" t="str">
        <f aca="false">IF(E834="","",B834&amp;"|"&amp;E834)</f>
        <v>MFD-ISW → MFD-CPF|DJ°481</v>
      </c>
    </row>
    <row r="835" customFormat="false" ht="74.6" hidden="false" customHeight="false" outlineLevel="0" collapsed="false">
      <c r="A835" s="79" t="n">
        <f aca="false">IF(E835="","",ROW()-6)</f>
        <v>829</v>
      </c>
      <c r="B835" s="80" t="s">
        <v>110</v>
      </c>
      <c r="C835" s="81"/>
      <c r="D835" s="81" t="n">
        <v>5</v>
      </c>
      <c r="E835" s="81" t="s">
        <v>970</v>
      </c>
      <c r="F835" s="82" t="str">
        <f aca="false">IF(E835="","",IF(LEFT(E835,2)="DJ","DJ","JN"))</f>
        <v>JN</v>
      </c>
      <c r="G835" s="81"/>
      <c r="H835" s="81" t="s">
        <v>871</v>
      </c>
      <c r="I835" s="81" t="n">
        <v>9.53</v>
      </c>
      <c r="J835" s="81" t="s">
        <v>872</v>
      </c>
      <c r="K835" s="81" t="s">
        <v>879</v>
      </c>
      <c r="L835" s="81" t="n">
        <v>2090740</v>
      </c>
      <c r="M835" s="81" t="n">
        <v>15421109</v>
      </c>
      <c r="N835" s="81" t="n">
        <v>11.94</v>
      </c>
      <c r="O835" s="81" t="n">
        <v>2096590</v>
      </c>
      <c r="P835" s="81" t="n">
        <v>15421108</v>
      </c>
      <c r="Q835" s="81" t="n">
        <v>11.94</v>
      </c>
      <c r="R835" s="81" t="s">
        <v>971</v>
      </c>
      <c r="S835" s="81"/>
      <c r="T835" s="81"/>
      <c r="U835" s="83" t="n">
        <v>46289</v>
      </c>
      <c r="V835" s="83" t="n">
        <v>46289</v>
      </c>
      <c r="W835" s="81" t="s">
        <v>936</v>
      </c>
      <c r="X835" s="81" t="s">
        <v>876</v>
      </c>
      <c r="Y835" s="83"/>
      <c r="Z835" s="81"/>
      <c r="AA835" s="81"/>
      <c r="AB835" s="81"/>
      <c r="AC835" s="81"/>
      <c r="AD835" s="81"/>
      <c r="AE835" s="83"/>
      <c r="AF835" s="81"/>
      <c r="AG835" s="81"/>
      <c r="AH835" s="81"/>
      <c r="AI835" s="81"/>
      <c r="AJ835" s="83"/>
      <c r="AK835" s="81"/>
      <c r="AL835" s="81"/>
      <c r="AM835" s="83"/>
      <c r="AN835" s="80"/>
      <c r="AO835" s="82" t="n">
        <f aca="false">IF(E835="","",(AA835&lt;&gt;"")+(AG835&lt;&gt;"")+(AL835&lt;&gt;""))</f>
        <v>0</v>
      </c>
      <c r="AP835" s="82" t="str">
        <f aca="false">IF(AL835&lt;&gt;"",AL835,IF(AG835&lt;&gt;"",AG835,IF(AA835&lt;&gt;"",AA835,"")))</f>
        <v/>
      </c>
      <c r="AQ835" s="84" t="str">
        <f aca="false">IF(E835="","",IF(U835="","À SOUDER",IF(X835="","VT EN ATTENTE",IF(X835="R","VT REJETÉ – À REPRENDRE",IF(AP835="","À RADIOGRAPHIER",IF(AP835="A","ACCEPTÉ",IF(AP835="NX","NX – RT À REFAIRE",IF(IF(AO835=1,AD835,IF(AO835=2,AI835,""))="A","RÉPARÉ – À RADIOGRAPHIER",IF(IF(AO835=1,AD835,IF(AO835=2,AI835,""))="R","VT REJETÉ – À REPRENDRE",IF(OR(AP835="CO",AP835="NT"),"COUPE – À RESOUDER","À RÉPARER"))))))))))</f>
        <v>À RADIOGRAPHIER</v>
      </c>
      <c r="AR835" s="82" t="n">
        <f aca="false">IF(AND(ISNUMBER(U835),OR(AQ835="À RADIOGRAPHIER",AQ835="RÉPARÉ – À RADIOGRAPHIER",AQ835="NX – RT À REFAIRE",AQ835="À RÉPARER",AQ835="COUPE – À RESOUDER",AQ835="VT REJETÉ – À REPRENDRE")),MAX(0,'PROGRAMME RT'!$C$4-U835),"")</f>
        <v>4</v>
      </c>
      <c r="AS835" s="82" t="n">
        <f aca="false">IF(AND(OR(AQ835="À RADIOGRAPHIER",AQ835="RÉPARÉ – À RADIOGRAPHIER",AQ835="NX – RT À REFAIRE"),OR('PROGRAMME RT'!$D$5="TOUTES",B835='PROGRAMME RT'!$D$5)),1,0)</f>
        <v>1</v>
      </c>
      <c r="AT835" s="82" t="n">
        <f aca="false">IF(AS835=1,SUM(AS$7:AS835),"")</f>
        <v>31</v>
      </c>
      <c r="AU835" s="82" t="n">
        <f aca="false">IF(AND(OR(AA835="R",AA835="NX",AA835="NT",AA835="CO"),OR('JOINTS DE RÉPARATION'!$D$5="TOUTES",B835='JOINTS DE RÉPARATION'!$D$5),OR('JOINTS DE RÉPARATION'!$L$4="TOUS",AQ835&lt;&gt;"ACCEPTÉ")),1,0)</f>
        <v>0</v>
      </c>
      <c r="AV835" s="82" t="str">
        <f aca="false">IF(AU835=1,SUM(AU$7:AU835),"")</f>
        <v/>
      </c>
      <c r="AW835" s="82" t="str">
        <f aca="false">IF(E835="","",B835&amp;"|"&amp;E835)</f>
        <v>MFD-ISW → MFD-CPF|JN°795</v>
      </c>
    </row>
    <row r="836" customFormat="false" ht="74.6" hidden="false" customHeight="false" outlineLevel="0" collapsed="false">
      <c r="A836" s="79" t="n">
        <f aca="false">IF(E836="","",ROW()-6)</f>
        <v>830</v>
      </c>
      <c r="B836" s="80" t="s">
        <v>110</v>
      </c>
      <c r="C836" s="81" t="s">
        <v>868</v>
      </c>
      <c r="D836" s="81" t="n">
        <v>5</v>
      </c>
      <c r="E836" s="81" t="s">
        <v>972</v>
      </c>
      <c r="F836" s="82" t="str">
        <f aca="false">IF(E836="","",IF(LEFT(E836,2)="DJ","DJ","JN"))</f>
        <v>DJ</v>
      </c>
      <c r="G836" s="81"/>
      <c r="H836" s="81" t="s">
        <v>871</v>
      </c>
      <c r="I836" s="81" t="n">
        <v>9.53</v>
      </c>
      <c r="J836" s="81" t="s">
        <v>872</v>
      </c>
      <c r="K836" s="81" t="s">
        <v>873</v>
      </c>
      <c r="L836" s="81" t="n">
        <v>2096590</v>
      </c>
      <c r="M836" s="81" t="n">
        <v>15421108</v>
      </c>
      <c r="N836" s="81" t="n">
        <v>11.94</v>
      </c>
      <c r="O836" s="81" t="n">
        <v>2097840</v>
      </c>
      <c r="P836" s="81" t="n">
        <v>15421109</v>
      </c>
      <c r="Q836" s="81" t="n">
        <v>11.94</v>
      </c>
      <c r="R836" s="81" t="s">
        <v>963</v>
      </c>
      <c r="S836" s="81"/>
      <c r="T836" s="81"/>
      <c r="U836" s="83" t="n">
        <v>46287</v>
      </c>
      <c r="V836" s="83" t="n">
        <v>46287</v>
      </c>
      <c r="W836" s="81" t="s">
        <v>938</v>
      </c>
      <c r="X836" s="81" t="s">
        <v>876</v>
      </c>
      <c r="Y836" s="83" t="n">
        <v>46288</v>
      </c>
      <c r="Z836" s="81" t="s">
        <v>939</v>
      </c>
      <c r="AA836" s="81" t="s">
        <v>876</v>
      </c>
      <c r="AB836" s="81"/>
      <c r="AC836" s="81"/>
      <c r="AD836" s="81"/>
      <c r="AE836" s="83"/>
      <c r="AF836" s="81"/>
      <c r="AG836" s="81"/>
      <c r="AH836" s="81"/>
      <c r="AI836" s="81"/>
      <c r="AJ836" s="83"/>
      <c r="AK836" s="81"/>
      <c r="AL836" s="81"/>
      <c r="AM836" s="83"/>
      <c r="AN836" s="80"/>
      <c r="AO836" s="82" t="n">
        <f aca="false">IF(E836="","",(AA836&lt;&gt;"")+(AG836&lt;&gt;"")+(AL836&lt;&gt;""))</f>
        <v>1</v>
      </c>
      <c r="AP836" s="82" t="str">
        <f aca="false">IF(AL836&lt;&gt;"",AL836,IF(AG836&lt;&gt;"",AG836,IF(AA836&lt;&gt;"",AA836,"")))</f>
        <v>A</v>
      </c>
      <c r="AQ836" s="84" t="str">
        <f aca="false">IF(E836="","",IF(U836="","À SOUDER",IF(X836="","VT EN ATTENTE",IF(X836="R","VT REJETÉ – À REPRENDRE",IF(AP836="","À RADIOGRAPHIER",IF(AP836="A","ACCEPTÉ",IF(AP836="NX","NX – RT À REFAIRE",IF(IF(AO836=1,AD836,IF(AO836=2,AI836,""))="A","RÉPARÉ – À RADIOGRAPHIER",IF(IF(AO836=1,AD836,IF(AO836=2,AI836,""))="R","VT REJETÉ – À REPRENDRE",IF(OR(AP836="CO",AP836="NT"),"COUPE – À RESOUDER","À RÉPARER"))))))))))</f>
        <v>ACCEPTÉ</v>
      </c>
      <c r="AR836" s="82" t="str">
        <f aca="false">IF(AND(ISNUMBER(U836),OR(AQ836="À RADIOGRAPHIER",AQ836="RÉPARÉ – À RADIOGRAPHIER",AQ836="NX – RT À REFAIRE",AQ836="À RÉPARER",AQ836="COUPE – À RESOUDER",AQ836="VT REJETÉ – À REPRENDRE")),MAX(0,'PROGRAMME RT'!$C$4-U836),"")</f>
        <v/>
      </c>
      <c r="AS836" s="82" t="n">
        <f aca="false">IF(AND(OR(AQ836="À RADIOGRAPHIER",AQ836="RÉPARÉ – À RADIOGRAPHIER",AQ836="NX – RT À REFAIRE"),OR('PROGRAMME RT'!$D$5="TOUTES",B836='PROGRAMME RT'!$D$5)),1,0)</f>
        <v>0</v>
      </c>
      <c r="AT836" s="82" t="str">
        <f aca="false">IF(AS836=1,SUM(AS$7:AS836),"")</f>
        <v/>
      </c>
      <c r="AU836" s="82" t="n">
        <f aca="false">IF(AND(OR(AA836="R",AA836="NX",AA836="NT",AA836="CO"),OR('JOINTS DE RÉPARATION'!$D$5="TOUTES",B836='JOINTS DE RÉPARATION'!$D$5),OR('JOINTS DE RÉPARATION'!$L$4="TOUS",AQ836&lt;&gt;"ACCEPTÉ")),1,0)</f>
        <v>0</v>
      </c>
      <c r="AV836" s="82" t="str">
        <f aca="false">IF(AU836=1,SUM(AU$7:AU836),"")</f>
        <v/>
      </c>
      <c r="AW836" s="82" t="str">
        <f aca="false">IF(E836="","",B836&amp;"|"&amp;E836)</f>
        <v>MFD-ISW → MFD-CPF|DJ°484</v>
      </c>
    </row>
    <row r="837" customFormat="false" ht="74.6" hidden="false" customHeight="false" outlineLevel="0" collapsed="false">
      <c r="A837" s="79" t="n">
        <f aca="false">IF(E837="","",ROW()-6)</f>
        <v>831</v>
      </c>
      <c r="B837" s="80" t="s">
        <v>110</v>
      </c>
      <c r="C837" s="81"/>
      <c r="D837" s="81" t="n">
        <v>5</v>
      </c>
      <c r="E837" s="81" t="s">
        <v>973</v>
      </c>
      <c r="F837" s="82" t="str">
        <f aca="false">IF(E837="","",IF(LEFT(E837,2)="DJ","DJ","JN"))</f>
        <v>JN</v>
      </c>
      <c r="G837" s="81"/>
      <c r="H837" s="81" t="s">
        <v>871</v>
      </c>
      <c r="I837" s="81" t="n">
        <v>9.53</v>
      </c>
      <c r="J837" s="81" t="s">
        <v>872</v>
      </c>
      <c r="K837" s="81" t="s">
        <v>879</v>
      </c>
      <c r="L837" s="81" t="n">
        <v>2097840</v>
      </c>
      <c r="M837" s="81" t="n">
        <v>15421109</v>
      </c>
      <c r="N837" s="81" t="n">
        <v>11.94</v>
      </c>
      <c r="O837" s="81" t="n">
        <v>2087970</v>
      </c>
      <c r="P837" s="81" t="n">
        <v>15421108</v>
      </c>
      <c r="Q837" s="81" t="n">
        <v>11.94</v>
      </c>
      <c r="R837" s="81" t="s">
        <v>971</v>
      </c>
      <c r="S837" s="81"/>
      <c r="T837" s="81"/>
      <c r="U837" s="83" t="n">
        <v>46289</v>
      </c>
      <c r="V837" s="83" t="n">
        <v>46289</v>
      </c>
      <c r="W837" s="81" t="s">
        <v>936</v>
      </c>
      <c r="X837" s="81" t="s">
        <v>876</v>
      </c>
      <c r="Y837" s="83"/>
      <c r="Z837" s="81"/>
      <c r="AA837" s="81"/>
      <c r="AB837" s="81"/>
      <c r="AC837" s="81"/>
      <c r="AD837" s="81"/>
      <c r="AE837" s="83"/>
      <c r="AF837" s="81"/>
      <c r="AG837" s="81"/>
      <c r="AH837" s="81"/>
      <c r="AI837" s="81"/>
      <c r="AJ837" s="83"/>
      <c r="AK837" s="81"/>
      <c r="AL837" s="81"/>
      <c r="AM837" s="83"/>
      <c r="AN837" s="80"/>
      <c r="AO837" s="82" t="n">
        <f aca="false">IF(E837="","",(AA837&lt;&gt;"")+(AG837&lt;&gt;"")+(AL837&lt;&gt;""))</f>
        <v>0</v>
      </c>
      <c r="AP837" s="82" t="str">
        <f aca="false">IF(AL837&lt;&gt;"",AL837,IF(AG837&lt;&gt;"",AG837,IF(AA837&lt;&gt;"",AA837,"")))</f>
        <v/>
      </c>
      <c r="AQ837" s="84" t="str">
        <f aca="false">IF(E837="","",IF(U837="","À SOUDER",IF(X837="","VT EN ATTENTE",IF(X837="R","VT REJETÉ – À REPRENDRE",IF(AP837="","À RADIOGRAPHIER",IF(AP837="A","ACCEPTÉ",IF(AP837="NX","NX – RT À REFAIRE",IF(IF(AO837=1,AD837,IF(AO837=2,AI837,""))="A","RÉPARÉ – À RADIOGRAPHIER",IF(IF(AO837=1,AD837,IF(AO837=2,AI837,""))="R","VT REJETÉ – À REPRENDRE",IF(OR(AP837="CO",AP837="NT"),"COUPE – À RESOUDER","À RÉPARER"))))))))))</f>
        <v>À RADIOGRAPHIER</v>
      </c>
      <c r="AR837" s="82" t="n">
        <f aca="false">IF(AND(ISNUMBER(U837),OR(AQ837="À RADIOGRAPHIER",AQ837="RÉPARÉ – À RADIOGRAPHIER",AQ837="NX – RT À REFAIRE",AQ837="À RÉPARER",AQ837="COUPE – À RESOUDER",AQ837="VT REJETÉ – À REPRENDRE")),MAX(0,'PROGRAMME RT'!$C$4-U837),"")</f>
        <v>4</v>
      </c>
      <c r="AS837" s="82" t="n">
        <f aca="false">IF(AND(OR(AQ837="À RADIOGRAPHIER",AQ837="RÉPARÉ – À RADIOGRAPHIER",AQ837="NX – RT À REFAIRE"),OR('PROGRAMME RT'!$D$5="TOUTES",B837='PROGRAMME RT'!$D$5)),1,0)</f>
        <v>1</v>
      </c>
      <c r="AT837" s="82" t="n">
        <f aca="false">IF(AS837=1,SUM(AS$7:AS837),"")</f>
        <v>32</v>
      </c>
      <c r="AU837" s="82" t="n">
        <f aca="false">IF(AND(OR(AA837="R",AA837="NX",AA837="NT",AA837="CO"),OR('JOINTS DE RÉPARATION'!$D$5="TOUTES",B837='JOINTS DE RÉPARATION'!$D$5),OR('JOINTS DE RÉPARATION'!$L$4="TOUS",AQ837&lt;&gt;"ACCEPTÉ")),1,0)</f>
        <v>0</v>
      </c>
      <c r="AV837" s="82" t="str">
        <f aca="false">IF(AU837=1,SUM(AU$7:AU837),"")</f>
        <v/>
      </c>
      <c r="AW837" s="82" t="str">
        <f aca="false">IF(E837="","",B837&amp;"|"&amp;E837)</f>
        <v>MFD-ISW → MFD-CPF|JN°796</v>
      </c>
    </row>
    <row r="838" customFormat="false" ht="74.6" hidden="false" customHeight="false" outlineLevel="0" collapsed="false">
      <c r="A838" s="79" t="n">
        <f aca="false">IF(E838="","",ROW()-6)</f>
        <v>832</v>
      </c>
      <c r="B838" s="80" t="s">
        <v>110</v>
      </c>
      <c r="C838" s="81" t="s">
        <v>868</v>
      </c>
      <c r="D838" s="81" t="n">
        <v>5</v>
      </c>
      <c r="E838" s="81" t="s">
        <v>974</v>
      </c>
      <c r="F838" s="82" t="str">
        <f aca="false">IF(E838="","",IF(LEFT(E838,2)="DJ","DJ","JN"))</f>
        <v>DJ</v>
      </c>
      <c r="G838" s="81"/>
      <c r="H838" s="81" t="s">
        <v>871</v>
      </c>
      <c r="I838" s="81" t="n">
        <v>9.53</v>
      </c>
      <c r="J838" s="81" t="s">
        <v>872</v>
      </c>
      <c r="K838" s="81" t="s">
        <v>873</v>
      </c>
      <c r="L838" s="81" t="n">
        <v>2087970</v>
      </c>
      <c r="M838" s="81" t="n">
        <v>15421108</v>
      </c>
      <c r="N838" s="81" t="n">
        <v>11.94</v>
      </c>
      <c r="O838" s="81" t="n">
        <v>2096150</v>
      </c>
      <c r="P838" s="81" t="n">
        <v>15421108</v>
      </c>
      <c r="Q838" s="81" t="n">
        <v>11.94</v>
      </c>
      <c r="R838" s="81" t="s">
        <v>882</v>
      </c>
      <c r="S838" s="81"/>
      <c r="T838" s="81"/>
      <c r="U838" s="83" t="n">
        <v>46287</v>
      </c>
      <c r="V838" s="83" t="n">
        <v>46287</v>
      </c>
      <c r="W838" s="81" t="s">
        <v>938</v>
      </c>
      <c r="X838" s="81" t="s">
        <v>876</v>
      </c>
      <c r="Y838" s="83" t="n">
        <v>46288</v>
      </c>
      <c r="Z838" s="81" t="s">
        <v>939</v>
      </c>
      <c r="AA838" s="81" t="s">
        <v>876</v>
      </c>
      <c r="AB838" s="81"/>
      <c r="AC838" s="81"/>
      <c r="AD838" s="81"/>
      <c r="AE838" s="83"/>
      <c r="AF838" s="81"/>
      <c r="AG838" s="81"/>
      <c r="AH838" s="81"/>
      <c r="AI838" s="81"/>
      <c r="AJ838" s="83"/>
      <c r="AK838" s="81"/>
      <c r="AL838" s="81"/>
      <c r="AM838" s="83"/>
      <c r="AN838" s="80"/>
      <c r="AO838" s="82" t="n">
        <f aca="false">IF(E838="","",(AA838&lt;&gt;"")+(AG838&lt;&gt;"")+(AL838&lt;&gt;""))</f>
        <v>1</v>
      </c>
      <c r="AP838" s="82" t="str">
        <f aca="false">IF(AL838&lt;&gt;"",AL838,IF(AG838&lt;&gt;"",AG838,IF(AA838&lt;&gt;"",AA838,"")))</f>
        <v>A</v>
      </c>
      <c r="AQ838" s="84" t="str">
        <f aca="false">IF(E838="","",IF(U838="","À SOUDER",IF(X838="","VT EN ATTENTE",IF(X838="R","VT REJETÉ – À REPRENDRE",IF(AP838="","À RADIOGRAPHIER",IF(AP838="A","ACCEPTÉ",IF(AP838="NX","NX – RT À REFAIRE",IF(IF(AO838=1,AD838,IF(AO838=2,AI838,""))="A","RÉPARÉ – À RADIOGRAPHIER",IF(IF(AO838=1,AD838,IF(AO838=2,AI838,""))="R","VT REJETÉ – À REPRENDRE",IF(OR(AP838="CO",AP838="NT"),"COUPE – À RESOUDER","À RÉPARER"))))))))))</f>
        <v>ACCEPTÉ</v>
      </c>
      <c r="AR838" s="82" t="str">
        <f aca="false">IF(AND(ISNUMBER(U838),OR(AQ838="À RADIOGRAPHIER",AQ838="RÉPARÉ – À RADIOGRAPHIER",AQ838="NX – RT À REFAIRE",AQ838="À RÉPARER",AQ838="COUPE – À RESOUDER",AQ838="VT REJETÉ – À REPRENDRE")),MAX(0,'PROGRAMME RT'!$C$4-U838),"")</f>
        <v/>
      </c>
      <c r="AS838" s="82" t="n">
        <f aca="false">IF(AND(OR(AQ838="À RADIOGRAPHIER",AQ838="RÉPARÉ – À RADIOGRAPHIER",AQ838="NX – RT À REFAIRE"),OR('PROGRAMME RT'!$D$5="TOUTES",B838='PROGRAMME RT'!$D$5)),1,0)</f>
        <v>0</v>
      </c>
      <c r="AT838" s="82" t="str">
        <f aca="false">IF(AS838=1,SUM(AS$7:AS838),"")</f>
        <v/>
      </c>
      <c r="AU838" s="82" t="n">
        <f aca="false">IF(AND(OR(AA838="R",AA838="NX",AA838="NT",AA838="CO"),OR('JOINTS DE RÉPARATION'!$D$5="TOUTES",B838='JOINTS DE RÉPARATION'!$D$5),OR('JOINTS DE RÉPARATION'!$L$4="TOUS",AQ838&lt;&gt;"ACCEPTÉ")),1,0)</f>
        <v>0</v>
      </c>
      <c r="AV838" s="82" t="str">
        <f aca="false">IF(AU838=1,SUM(AU$7:AU838),"")</f>
        <v/>
      </c>
      <c r="AW838" s="82" t="str">
        <f aca="false">IF(E838="","",B838&amp;"|"&amp;E838)</f>
        <v>MFD-ISW → MFD-CPF|DJ°483</v>
      </c>
    </row>
    <row r="839" customFormat="false" ht="74.6" hidden="false" customHeight="false" outlineLevel="0" collapsed="false">
      <c r="A839" s="79" t="n">
        <f aca="false">IF(E839="","",ROW()-6)</f>
        <v>833</v>
      </c>
      <c r="B839" s="80" t="s">
        <v>110</v>
      </c>
      <c r="C839" s="81"/>
      <c r="D839" s="81" t="n">
        <v>5</v>
      </c>
      <c r="E839" s="81" t="s">
        <v>975</v>
      </c>
      <c r="F839" s="82" t="str">
        <f aca="false">IF(E839="","",IF(LEFT(E839,2)="DJ","DJ","JN"))</f>
        <v>JN</v>
      </c>
      <c r="G839" s="81"/>
      <c r="H839" s="81" t="s">
        <v>871</v>
      </c>
      <c r="I839" s="81" t="n">
        <v>9.53</v>
      </c>
      <c r="J839" s="81" t="s">
        <v>872</v>
      </c>
      <c r="K839" s="81" t="s">
        <v>879</v>
      </c>
      <c r="L839" s="81" t="n">
        <v>2096150</v>
      </c>
      <c r="M839" s="81" t="n">
        <v>15421108</v>
      </c>
      <c r="N839" s="81" t="n">
        <v>11.94</v>
      </c>
      <c r="O839" s="81" t="n">
        <v>2096040</v>
      </c>
      <c r="P839" s="81" t="n">
        <v>15421109</v>
      </c>
      <c r="Q839" s="81" t="n">
        <v>11.94</v>
      </c>
      <c r="R839" s="81" t="s">
        <v>971</v>
      </c>
      <c r="S839" s="81"/>
      <c r="T839" s="81"/>
      <c r="U839" s="83" t="n">
        <v>46289</v>
      </c>
      <c r="V839" s="83" t="n">
        <v>46289</v>
      </c>
      <c r="W839" s="81" t="s">
        <v>936</v>
      </c>
      <c r="X839" s="81" t="s">
        <v>876</v>
      </c>
      <c r="Y839" s="83"/>
      <c r="Z839" s="81"/>
      <c r="AA839" s="81"/>
      <c r="AB839" s="81"/>
      <c r="AC839" s="81"/>
      <c r="AD839" s="81"/>
      <c r="AE839" s="83"/>
      <c r="AF839" s="81"/>
      <c r="AG839" s="81"/>
      <c r="AH839" s="81"/>
      <c r="AI839" s="81"/>
      <c r="AJ839" s="83"/>
      <c r="AK839" s="81"/>
      <c r="AL839" s="81"/>
      <c r="AM839" s="83"/>
      <c r="AN839" s="80"/>
      <c r="AO839" s="82" t="n">
        <f aca="false">IF(E839="","",(AA839&lt;&gt;"")+(AG839&lt;&gt;"")+(AL839&lt;&gt;""))</f>
        <v>0</v>
      </c>
      <c r="AP839" s="82" t="str">
        <f aca="false">IF(AL839&lt;&gt;"",AL839,IF(AG839&lt;&gt;"",AG839,IF(AA839&lt;&gt;"",AA839,"")))</f>
        <v/>
      </c>
      <c r="AQ839" s="84" t="str">
        <f aca="false">IF(E839="","",IF(U839="","À SOUDER",IF(X839="","VT EN ATTENTE",IF(X839="R","VT REJETÉ – À REPRENDRE",IF(AP839="","À RADIOGRAPHIER",IF(AP839="A","ACCEPTÉ",IF(AP839="NX","NX – RT À REFAIRE",IF(IF(AO839=1,AD839,IF(AO839=2,AI839,""))="A","RÉPARÉ – À RADIOGRAPHIER",IF(IF(AO839=1,AD839,IF(AO839=2,AI839,""))="R","VT REJETÉ – À REPRENDRE",IF(OR(AP839="CO",AP839="NT"),"COUPE – À RESOUDER","À RÉPARER"))))))))))</f>
        <v>À RADIOGRAPHIER</v>
      </c>
      <c r="AR839" s="82" t="n">
        <f aca="false">IF(AND(ISNUMBER(U839),OR(AQ839="À RADIOGRAPHIER",AQ839="RÉPARÉ – À RADIOGRAPHIER",AQ839="NX – RT À REFAIRE",AQ839="À RÉPARER",AQ839="COUPE – À RESOUDER",AQ839="VT REJETÉ – À REPRENDRE")),MAX(0,'PROGRAMME RT'!$C$4-U839),"")</f>
        <v>4</v>
      </c>
      <c r="AS839" s="82" t="n">
        <f aca="false">IF(AND(OR(AQ839="À RADIOGRAPHIER",AQ839="RÉPARÉ – À RADIOGRAPHIER",AQ839="NX – RT À REFAIRE"),OR('PROGRAMME RT'!$D$5="TOUTES",B839='PROGRAMME RT'!$D$5)),1,0)</f>
        <v>1</v>
      </c>
      <c r="AT839" s="82" t="n">
        <f aca="false">IF(AS839=1,SUM(AS$7:AS839),"")</f>
        <v>33</v>
      </c>
      <c r="AU839" s="82" t="n">
        <f aca="false">IF(AND(OR(AA839="R",AA839="NX",AA839="NT",AA839="CO"),OR('JOINTS DE RÉPARATION'!$D$5="TOUTES",B839='JOINTS DE RÉPARATION'!$D$5),OR('JOINTS DE RÉPARATION'!$L$4="TOUS",AQ839&lt;&gt;"ACCEPTÉ")),1,0)</f>
        <v>0</v>
      </c>
      <c r="AV839" s="82" t="str">
        <f aca="false">IF(AU839=1,SUM(AU$7:AU839),"")</f>
        <v/>
      </c>
      <c r="AW839" s="82" t="str">
        <f aca="false">IF(E839="","",B839&amp;"|"&amp;E839)</f>
        <v>MFD-ISW → MFD-CPF|JN°797</v>
      </c>
    </row>
    <row r="840" customFormat="false" ht="74.6" hidden="false" customHeight="false" outlineLevel="0" collapsed="false">
      <c r="A840" s="79" t="n">
        <f aca="false">IF(E840="","",ROW()-6)</f>
        <v>834</v>
      </c>
      <c r="B840" s="80" t="s">
        <v>110</v>
      </c>
      <c r="C840" s="81" t="s">
        <v>868</v>
      </c>
      <c r="D840" s="81" t="n">
        <v>5</v>
      </c>
      <c r="E840" s="81" t="s">
        <v>976</v>
      </c>
      <c r="F840" s="82" t="str">
        <f aca="false">IF(E840="","",IF(LEFT(E840,2)="DJ","DJ","JN"))</f>
        <v>DJ</v>
      </c>
      <c r="G840" s="81"/>
      <c r="H840" s="81" t="s">
        <v>871</v>
      </c>
      <c r="I840" s="81" t="n">
        <v>9.53</v>
      </c>
      <c r="J840" s="81" t="s">
        <v>872</v>
      </c>
      <c r="K840" s="81" t="s">
        <v>873</v>
      </c>
      <c r="L840" s="81" t="n">
        <v>2096040</v>
      </c>
      <c r="M840" s="81" t="n">
        <v>15421109</v>
      </c>
      <c r="N840" s="81" t="n">
        <v>11.94</v>
      </c>
      <c r="O840" s="81" t="n">
        <v>2097200</v>
      </c>
      <c r="P840" s="81" t="n">
        <v>15421102</v>
      </c>
      <c r="Q840" s="81" t="n">
        <v>11.94</v>
      </c>
      <c r="R840" s="81" t="s">
        <v>882</v>
      </c>
      <c r="S840" s="81"/>
      <c r="T840" s="81"/>
      <c r="U840" s="83" t="n">
        <v>46287</v>
      </c>
      <c r="V840" s="83" t="n">
        <v>46287</v>
      </c>
      <c r="W840" s="81" t="s">
        <v>938</v>
      </c>
      <c r="X840" s="81" t="s">
        <v>876</v>
      </c>
      <c r="Y840" s="83" t="n">
        <v>46288</v>
      </c>
      <c r="Z840" s="81" t="s">
        <v>939</v>
      </c>
      <c r="AA840" s="81" t="s">
        <v>876</v>
      </c>
      <c r="AB840" s="81"/>
      <c r="AC840" s="81"/>
      <c r="AD840" s="81"/>
      <c r="AE840" s="83"/>
      <c r="AF840" s="81"/>
      <c r="AG840" s="81"/>
      <c r="AH840" s="81"/>
      <c r="AI840" s="81"/>
      <c r="AJ840" s="83"/>
      <c r="AK840" s="81"/>
      <c r="AL840" s="81"/>
      <c r="AM840" s="83"/>
      <c r="AN840" s="80"/>
      <c r="AO840" s="82" t="n">
        <f aca="false">IF(E840="","",(AA840&lt;&gt;"")+(AG840&lt;&gt;"")+(AL840&lt;&gt;""))</f>
        <v>1</v>
      </c>
      <c r="AP840" s="82" t="str">
        <f aca="false">IF(AL840&lt;&gt;"",AL840,IF(AG840&lt;&gt;"",AG840,IF(AA840&lt;&gt;"",AA840,"")))</f>
        <v>A</v>
      </c>
      <c r="AQ840" s="84" t="str">
        <f aca="false">IF(E840="","",IF(U840="","À SOUDER",IF(X840="","VT EN ATTENTE",IF(X840="R","VT REJETÉ – À REPRENDRE",IF(AP840="","À RADIOGRAPHIER",IF(AP840="A","ACCEPTÉ",IF(AP840="NX","NX – RT À REFAIRE",IF(IF(AO840=1,AD840,IF(AO840=2,AI840,""))="A","RÉPARÉ – À RADIOGRAPHIER",IF(IF(AO840=1,AD840,IF(AO840=2,AI840,""))="R","VT REJETÉ – À REPRENDRE",IF(OR(AP840="CO",AP840="NT"),"COUPE – À RESOUDER","À RÉPARER"))))))))))</f>
        <v>ACCEPTÉ</v>
      </c>
      <c r="AR840" s="82" t="str">
        <f aca="false">IF(AND(ISNUMBER(U840),OR(AQ840="À RADIOGRAPHIER",AQ840="RÉPARÉ – À RADIOGRAPHIER",AQ840="NX – RT À REFAIRE",AQ840="À RÉPARER",AQ840="COUPE – À RESOUDER",AQ840="VT REJETÉ – À REPRENDRE")),MAX(0,'PROGRAMME RT'!$C$4-U840),"")</f>
        <v/>
      </c>
      <c r="AS840" s="82" t="n">
        <f aca="false">IF(AND(OR(AQ840="À RADIOGRAPHIER",AQ840="RÉPARÉ – À RADIOGRAPHIER",AQ840="NX – RT À REFAIRE"),OR('PROGRAMME RT'!$D$5="TOUTES",B840='PROGRAMME RT'!$D$5)),1,0)</f>
        <v>0</v>
      </c>
      <c r="AT840" s="82" t="str">
        <f aca="false">IF(AS840=1,SUM(AS$7:AS840),"")</f>
        <v/>
      </c>
      <c r="AU840" s="82" t="n">
        <f aca="false">IF(AND(OR(AA840="R",AA840="NX",AA840="NT",AA840="CO"),OR('JOINTS DE RÉPARATION'!$D$5="TOUTES",B840='JOINTS DE RÉPARATION'!$D$5),OR('JOINTS DE RÉPARATION'!$L$4="TOUS",AQ840&lt;&gt;"ACCEPTÉ")),1,0)</f>
        <v>0</v>
      </c>
      <c r="AV840" s="82" t="str">
        <f aca="false">IF(AU840=1,SUM(AU$7:AU840),"")</f>
        <v/>
      </c>
      <c r="AW840" s="82" t="str">
        <f aca="false">IF(E840="","",B840&amp;"|"&amp;E840)</f>
        <v>MFD-ISW → MFD-CPF|DJ°486</v>
      </c>
    </row>
    <row r="841" customFormat="false" ht="74.6" hidden="false" customHeight="false" outlineLevel="0" collapsed="false">
      <c r="A841" s="79" t="n">
        <f aca="false">IF(E841="","",ROW()-6)</f>
        <v>835</v>
      </c>
      <c r="B841" s="80" t="s">
        <v>110</v>
      </c>
      <c r="C841" s="81"/>
      <c r="D841" s="81" t="n">
        <v>5</v>
      </c>
      <c r="E841" s="81" t="s">
        <v>977</v>
      </c>
      <c r="F841" s="82" t="str">
        <f aca="false">IF(E841="","",IF(LEFT(E841,2)="DJ","DJ","JN"))</f>
        <v>JN</v>
      </c>
      <c r="G841" s="81"/>
      <c r="H841" s="81" t="s">
        <v>871</v>
      </c>
      <c r="I841" s="81" t="n">
        <v>9.53</v>
      </c>
      <c r="J841" s="81" t="s">
        <v>872</v>
      </c>
      <c r="K841" s="81" t="s">
        <v>879</v>
      </c>
      <c r="L841" s="81" t="n">
        <v>2097200</v>
      </c>
      <c r="M841" s="81" t="n">
        <v>15421102</v>
      </c>
      <c r="N841" s="81" t="n">
        <v>11.94</v>
      </c>
      <c r="O841" s="81" t="n">
        <v>2084880</v>
      </c>
      <c r="P841" s="81" t="n">
        <v>15421106</v>
      </c>
      <c r="Q841" s="81" t="n">
        <v>11.94</v>
      </c>
      <c r="R841" s="81" t="s">
        <v>971</v>
      </c>
      <c r="S841" s="81"/>
      <c r="T841" s="81"/>
      <c r="U841" s="83" t="n">
        <v>46289</v>
      </c>
      <c r="V841" s="83" t="n">
        <v>46289</v>
      </c>
      <c r="W841" s="81" t="s">
        <v>936</v>
      </c>
      <c r="X841" s="81" t="s">
        <v>876</v>
      </c>
      <c r="Y841" s="83"/>
      <c r="Z841" s="81"/>
      <c r="AA841" s="81"/>
      <c r="AB841" s="81"/>
      <c r="AC841" s="81"/>
      <c r="AD841" s="81"/>
      <c r="AE841" s="83"/>
      <c r="AF841" s="81"/>
      <c r="AG841" s="81"/>
      <c r="AH841" s="81"/>
      <c r="AI841" s="81"/>
      <c r="AJ841" s="83"/>
      <c r="AK841" s="81"/>
      <c r="AL841" s="81"/>
      <c r="AM841" s="83"/>
      <c r="AN841" s="80"/>
      <c r="AO841" s="82" t="n">
        <f aca="false">IF(E841="","",(AA841&lt;&gt;"")+(AG841&lt;&gt;"")+(AL841&lt;&gt;""))</f>
        <v>0</v>
      </c>
      <c r="AP841" s="82" t="str">
        <f aca="false">IF(AL841&lt;&gt;"",AL841,IF(AG841&lt;&gt;"",AG841,IF(AA841&lt;&gt;"",AA841,"")))</f>
        <v/>
      </c>
      <c r="AQ841" s="84" t="str">
        <f aca="false">IF(E841="","",IF(U841="","À SOUDER",IF(X841="","VT EN ATTENTE",IF(X841="R","VT REJETÉ – À REPRENDRE",IF(AP841="","À RADIOGRAPHIER",IF(AP841="A","ACCEPTÉ",IF(AP841="NX","NX – RT À REFAIRE",IF(IF(AO841=1,AD841,IF(AO841=2,AI841,""))="A","RÉPARÉ – À RADIOGRAPHIER",IF(IF(AO841=1,AD841,IF(AO841=2,AI841,""))="R","VT REJETÉ – À REPRENDRE",IF(OR(AP841="CO",AP841="NT"),"COUPE – À RESOUDER","À RÉPARER"))))))))))</f>
        <v>À RADIOGRAPHIER</v>
      </c>
      <c r="AR841" s="82" t="n">
        <f aca="false">IF(AND(ISNUMBER(U841),OR(AQ841="À RADIOGRAPHIER",AQ841="RÉPARÉ – À RADIOGRAPHIER",AQ841="NX – RT À REFAIRE",AQ841="À RÉPARER",AQ841="COUPE – À RESOUDER",AQ841="VT REJETÉ – À REPRENDRE")),MAX(0,'PROGRAMME RT'!$C$4-U841),"")</f>
        <v>4</v>
      </c>
      <c r="AS841" s="82" t="n">
        <f aca="false">IF(AND(OR(AQ841="À RADIOGRAPHIER",AQ841="RÉPARÉ – À RADIOGRAPHIER",AQ841="NX – RT À REFAIRE"),OR('PROGRAMME RT'!$D$5="TOUTES",B841='PROGRAMME RT'!$D$5)),1,0)</f>
        <v>1</v>
      </c>
      <c r="AT841" s="82" t="n">
        <f aca="false">IF(AS841=1,SUM(AS$7:AS841),"")</f>
        <v>34</v>
      </c>
      <c r="AU841" s="82" t="n">
        <f aca="false">IF(AND(OR(AA841="R",AA841="NX",AA841="NT",AA841="CO"),OR('JOINTS DE RÉPARATION'!$D$5="TOUTES",B841='JOINTS DE RÉPARATION'!$D$5),OR('JOINTS DE RÉPARATION'!$L$4="TOUS",AQ841&lt;&gt;"ACCEPTÉ")),1,0)</f>
        <v>0</v>
      </c>
      <c r="AV841" s="82" t="str">
        <f aca="false">IF(AU841=1,SUM(AU$7:AU841),"")</f>
        <v/>
      </c>
      <c r="AW841" s="82" t="str">
        <f aca="false">IF(E841="","",B841&amp;"|"&amp;E841)</f>
        <v>MFD-ISW → MFD-CPF|JN°798</v>
      </c>
    </row>
    <row r="842" customFormat="false" ht="74.6" hidden="false" customHeight="false" outlineLevel="0" collapsed="false">
      <c r="A842" s="79" t="n">
        <f aca="false">IF(E842="","",ROW()-6)</f>
        <v>836</v>
      </c>
      <c r="B842" s="80" t="s">
        <v>110</v>
      </c>
      <c r="C842" s="81" t="s">
        <v>868</v>
      </c>
      <c r="D842" s="81" t="n">
        <v>5</v>
      </c>
      <c r="E842" s="81" t="s">
        <v>978</v>
      </c>
      <c r="F842" s="82" t="str">
        <f aca="false">IF(E842="","",IF(LEFT(E842,2)="DJ","DJ","JN"))</f>
        <v>DJ</v>
      </c>
      <c r="G842" s="81"/>
      <c r="H842" s="81" t="s">
        <v>871</v>
      </c>
      <c r="I842" s="81" t="n">
        <v>9.53</v>
      </c>
      <c r="J842" s="81" t="s">
        <v>872</v>
      </c>
      <c r="K842" s="81" t="s">
        <v>873</v>
      </c>
      <c r="L842" s="81" t="n">
        <v>2084880</v>
      </c>
      <c r="M842" s="81" t="n">
        <v>15421106</v>
      </c>
      <c r="N842" s="81" t="n">
        <v>11.94</v>
      </c>
      <c r="O842" s="81" t="n">
        <v>2092950</v>
      </c>
      <c r="P842" s="81" t="n">
        <v>15421110</v>
      </c>
      <c r="Q842" s="81" t="n">
        <v>11.94</v>
      </c>
      <c r="R842" s="81" t="s">
        <v>874</v>
      </c>
      <c r="S842" s="81"/>
      <c r="T842" s="81"/>
      <c r="U842" s="83" t="n">
        <v>46287</v>
      </c>
      <c r="V842" s="83" t="n">
        <v>46287</v>
      </c>
      <c r="W842" s="81" t="s">
        <v>938</v>
      </c>
      <c r="X842" s="81" t="s">
        <v>876</v>
      </c>
      <c r="Y842" s="83" t="n">
        <v>46288</v>
      </c>
      <c r="Z842" s="81" t="s">
        <v>939</v>
      </c>
      <c r="AA842" s="81" t="s">
        <v>876</v>
      </c>
      <c r="AB842" s="81"/>
      <c r="AC842" s="81"/>
      <c r="AD842" s="81"/>
      <c r="AE842" s="83"/>
      <c r="AF842" s="81"/>
      <c r="AG842" s="81"/>
      <c r="AH842" s="81"/>
      <c r="AI842" s="81"/>
      <c r="AJ842" s="83"/>
      <c r="AK842" s="81"/>
      <c r="AL842" s="81"/>
      <c r="AM842" s="83"/>
      <c r="AN842" s="80"/>
      <c r="AO842" s="82" t="n">
        <f aca="false">IF(E842="","",(AA842&lt;&gt;"")+(AG842&lt;&gt;"")+(AL842&lt;&gt;""))</f>
        <v>1</v>
      </c>
      <c r="AP842" s="82" t="str">
        <f aca="false">IF(AL842&lt;&gt;"",AL842,IF(AG842&lt;&gt;"",AG842,IF(AA842&lt;&gt;"",AA842,"")))</f>
        <v>A</v>
      </c>
      <c r="AQ842" s="84" t="str">
        <f aca="false">IF(E842="","",IF(U842="","À SOUDER",IF(X842="","VT EN ATTENTE",IF(X842="R","VT REJETÉ – À REPRENDRE",IF(AP842="","À RADIOGRAPHIER",IF(AP842="A","ACCEPTÉ",IF(AP842="NX","NX – RT À REFAIRE",IF(IF(AO842=1,AD842,IF(AO842=2,AI842,""))="A","RÉPARÉ – À RADIOGRAPHIER",IF(IF(AO842=1,AD842,IF(AO842=2,AI842,""))="R","VT REJETÉ – À REPRENDRE",IF(OR(AP842="CO",AP842="NT"),"COUPE – À RESOUDER","À RÉPARER"))))))))))</f>
        <v>ACCEPTÉ</v>
      </c>
      <c r="AR842" s="82" t="str">
        <f aca="false">IF(AND(ISNUMBER(U842),OR(AQ842="À RADIOGRAPHIER",AQ842="RÉPARÉ – À RADIOGRAPHIER",AQ842="NX – RT À REFAIRE",AQ842="À RÉPARER",AQ842="COUPE – À RESOUDER",AQ842="VT REJETÉ – À REPRENDRE")),MAX(0,'PROGRAMME RT'!$C$4-U842),"")</f>
        <v/>
      </c>
      <c r="AS842" s="82" t="n">
        <f aca="false">IF(AND(OR(AQ842="À RADIOGRAPHIER",AQ842="RÉPARÉ – À RADIOGRAPHIER",AQ842="NX – RT À REFAIRE"),OR('PROGRAMME RT'!$D$5="TOUTES",B842='PROGRAMME RT'!$D$5)),1,0)</f>
        <v>0</v>
      </c>
      <c r="AT842" s="82" t="str">
        <f aca="false">IF(AS842=1,SUM(AS$7:AS842),"")</f>
        <v/>
      </c>
      <c r="AU842" s="82" t="n">
        <f aca="false">IF(AND(OR(AA842="R",AA842="NX",AA842="NT",AA842="CO"),OR('JOINTS DE RÉPARATION'!$D$5="TOUTES",B842='JOINTS DE RÉPARATION'!$D$5),OR('JOINTS DE RÉPARATION'!$L$4="TOUS",AQ842&lt;&gt;"ACCEPTÉ")),1,0)</f>
        <v>0</v>
      </c>
      <c r="AV842" s="82" t="str">
        <f aca="false">IF(AU842=1,SUM(AU$7:AU842),"")</f>
        <v/>
      </c>
      <c r="AW842" s="82" t="str">
        <f aca="false">IF(E842="","",B842&amp;"|"&amp;E842)</f>
        <v>MFD-ISW → MFD-CPF|DJ°488</v>
      </c>
    </row>
    <row r="843" customFormat="false" ht="74.6" hidden="false" customHeight="false" outlineLevel="0" collapsed="false">
      <c r="A843" s="79" t="n">
        <f aca="false">IF(E843="","",ROW()-6)</f>
        <v>837</v>
      </c>
      <c r="B843" s="80" t="s">
        <v>110</v>
      </c>
      <c r="C843" s="81"/>
      <c r="D843" s="81" t="n">
        <v>5</v>
      </c>
      <c r="E843" s="81" t="s">
        <v>979</v>
      </c>
      <c r="F843" s="82" t="str">
        <f aca="false">IF(E843="","",IF(LEFT(E843,2)="DJ","DJ","JN"))</f>
        <v>JN</v>
      </c>
      <c r="G843" s="81"/>
      <c r="H843" s="81" t="s">
        <v>871</v>
      </c>
      <c r="I843" s="81" t="n">
        <v>9.53</v>
      </c>
      <c r="J843" s="81" t="s">
        <v>872</v>
      </c>
      <c r="K843" s="81" t="s">
        <v>879</v>
      </c>
      <c r="L843" s="81" t="n">
        <v>2092950</v>
      </c>
      <c r="M843" s="81" t="n">
        <v>15421110</v>
      </c>
      <c r="N843" s="81" t="n">
        <v>11.94</v>
      </c>
      <c r="O843" s="81" t="n">
        <v>2094220</v>
      </c>
      <c r="P843" s="81" t="n">
        <v>15421110</v>
      </c>
      <c r="Q843" s="81" t="n">
        <v>11.94</v>
      </c>
      <c r="R843" s="81" t="s">
        <v>971</v>
      </c>
      <c r="S843" s="81"/>
      <c r="T843" s="81"/>
      <c r="U843" s="83" t="n">
        <v>46289</v>
      </c>
      <c r="V843" s="83" t="n">
        <v>46289</v>
      </c>
      <c r="W843" s="81" t="s">
        <v>936</v>
      </c>
      <c r="X843" s="81" t="s">
        <v>876</v>
      </c>
      <c r="Y843" s="83"/>
      <c r="Z843" s="81"/>
      <c r="AA843" s="81"/>
      <c r="AB843" s="81"/>
      <c r="AC843" s="81"/>
      <c r="AD843" s="81"/>
      <c r="AE843" s="83"/>
      <c r="AF843" s="81"/>
      <c r="AG843" s="81"/>
      <c r="AH843" s="81"/>
      <c r="AI843" s="81"/>
      <c r="AJ843" s="83"/>
      <c r="AK843" s="81"/>
      <c r="AL843" s="81"/>
      <c r="AM843" s="83"/>
      <c r="AN843" s="80"/>
      <c r="AO843" s="82" t="n">
        <f aca="false">IF(E843="","",(AA843&lt;&gt;"")+(AG843&lt;&gt;"")+(AL843&lt;&gt;""))</f>
        <v>0</v>
      </c>
      <c r="AP843" s="82" t="str">
        <f aca="false">IF(AL843&lt;&gt;"",AL843,IF(AG843&lt;&gt;"",AG843,IF(AA843&lt;&gt;"",AA843,"")))</f>
        <v/>
      </c>
      <c r="AQ843" s="84" t="str">
        <f aca="false">IF(E843="","",IF(U843="","À SOUDER",IF(X843="","VT EN ATTENTE",IF(X843="R","VT REJETÉ – À REPRENDRE",IF(AP843="","À RADIOGRAPHIER",IF(AP843="A","ACCEPTÉ",IF(AP843="NX","NX – RT À REFAIRE",IF(IF(AO843=1,AD843,IF(AO843=2,AI843,""))="A","RÉPARÉ – À RADIOGRAPHIER",IF(IF(AO843=1,AD843,IF(AO843=2,AI843,""))="R","VT REJETÉ – À REPRENDRE",IF(OR(AP843="CO",AP843="NT"),"COUPE – À RESOUDER","À RÉPARER"))))))))))</f>
        <v>À RADIOGRAPHIER</v>
      </c>
      <c r="AR843" s="82" t="n">
        <f aca="false">IF(AND(ISNUMBER(U843),OR(AQ843="À RADIOGRAPHIER",AQ843="RÉPARÉ – À RADIOGRAPHIER",AQ843="NX – RT À REFAIRE",AQ843="À RÉPARER",AQ843="COUPE – À RESOUDER",AQ843="VT REJETÉ – À REPRENDRE")),MAX(0,'PROGRAMME RT'!$C$4-U843),"")</f>
        <v>4</v>
      </c>
      <c r="AS843" s="82" t="n">
        <f aca="false">IF(AND(OR(AQ843="À RADIOGRAPHIER",AQ843="RÉPARÉ – À RADIOGRAPHIER",AQ843="NX – RT À REFAIRE"),OR('PROGRAMME RT'!$D$5="TOUTES",B843='PROGRAMME RT'!$D$5)),1,0)</f>
        <v>1</v>
      </c>
      <c r="AT843" s="82" t="n">
        <f aca="false">IF(AS843=1,SUM(AS$7:AS843),"")</f>
        <v>35</v>
      </c>
      <c r="AU843" s="82" t="n">
        <f aca="false">IF(AND(OR(AA843="R",AA843="NX",AA843="NT",AA843="CO"),OR('JOINTS DE RÉPARATION'!$D$5="TOUTES",B843='JOINTS DE RÉPARATION'!$D$5),OR('JOINTS DE RÉPARATION'!$L$4="TOUS",AQ843&lt;&gt;"ACCEPTÉ")),1,0)</f>
        <v>0</v>
      </c>
      <c r="AV843" s="82" t="str">
        <f aca="false">IF(AU843=1,SUM(AU$7:AU843),"")</f>
        <v/>
      </c>
      <c r="AW843" s="82" t="str">
        <f aca="false">IF(E843="","",B843&amp;"|"&amp;E843)</f>
        <v>MFD-ISW → MFD-CPF|JN°799</v>
      </c>
    </row>
    <row r="844" customFormat="false" ht="74.6" hidden="false" customHeight="false" outlineLevel="0" collapsed="false">
      <c r="A844" s="79" t="n">
        <f aca="false">IF(E844="","",ROW()-6)</f>
        <v>838</v>
      </c>
      <c r="B844" s="80" t="s">
        <v>110</v>
      </c>
      <c r="C844" s="81" t="s">
        <v>868</v>
      </c>
      <c r="D844" s="81" t="n">
        <v>5</v>
      </c>
      <c r="E844" s="81" t="s">
        <v>980</v>
      </c>
      <c r="F844" s="82" t="str">
        <f aca="false">IF(E844="","",IF(LEFT(E844,2)="DJ","DJ","JN"))</f>
        <v>DJ</v>
      </c>
      <c r="G844" s="81"/>
      <c r="H844" s="81" t="s">
        <v>871</v>
      </c>
      <c r="I844" s="81" t="n">
        <v>9.53</v>
      </c>
      <c r="J844" s="81" t="s">
        <v>872</v>
      </c>
      <c r="K844" s="81" t="s">
        <v>873</v>
      </c>
      <c r="L844" s="81" t="n">
        <v>2094220</v>
      </c>
      <c r="M844" s="81" t="n">
        <v>15421110</v>
      </c>
      <c r="N844" s="81" t="n">
        <v>11.94</v>
      </c>
      <c r="O844" s="81" t="n">
        <v>2094200</v>
      </c>
      <c r="P844" s="81" t="n">
        <v>15421110</v>
      </c>
      <c r="Q844" s="81" t="n">
        <v>11.94</v>
      </c>
      <c r="R844" s="81" t="s">
        <v>874</v>
      </c>
      <c r="S844" s="81"/>
      <c r="T844" s="81"/>
      <c r="U844" s="83" t="n">
        <v>46287</v>
      </c>
      <c r="V844" s="83" t="n">
        <v>46287</v>
      </c>
      <c r="W844" s="81" t="s">
        <v>938</v>
      </c>
      <c r="X844" s="81" t="s">
        <v>876</v>
      </c>
      <c r="Y844" s="83" t="n">
        <v>46288</v>
      </c>
      <c r="Z844" s="81" t="s">
        <v>939</v>
      </c>
      <c r="AA844" s="81" t="s">
        <v>876</v>
      </c>
      <c r="AB844" s="81"/>
      <c r="AC844" s="81"/>
      <c r="AD844" s="81"/>
      <c r="AE844" s="83"/>
      <c r="AF844" s="81"/>
      <c r="AG844" s="81"/>
      <c r="AH844" s="81"/>
      <c r="AI844" s="81"/>
      <c r="AJ844" s="83"/>
      <c r="AK844" s="81"/>
      <c r="AL844" s="81"/>
      <c r="AM844" s="83"/>
      <c r="AN844" s="80"/>
      <c r="AO844" s="82" t="n">
        <f aca="false">IF(E844="","",(AA844&lt;&gt;"")+(AG844&lt;&gt;"")+(AL844&lt;&gt;""))</f>
        <v>1</v>
      </c>
      <c r="AP844" s="82" t="str">
        <f aca="false">IF(AL844&lt;&gt;"",AL844,IF(AG844&lt;&gt;"",AG844,IF(AA844&lt;&gt;"",AA844,"")))</f>
        <v>A</v>
      </c>
      <c r="AQ844" s="84" t="str">
        <f aca="false">IF(E844="","",IF(U844="","À SOUDER",IF(X844="","VT EN ATTENTE",IF(X844="R","VT REJETÉ – À REPRENDRE",IF(AP844="","À RADIOGRAPHIER",IF(AP844="A","ACCEPTÉ",IF(AP844="NX","NX – RT À REFAIRE",IF(IF(AO844=1,AD844,IF(AO844=2,AI844,""))="A","RÉPARÉ – À RADIOGRAPHIER",IF(IF(AO844=1,AD844,IF(AO844=2,AI844,""))="R","VT REJETÉ – À REPRENDRE",IF(OR(AP844="CO",AP844="NT"),"COUPE – À RESOUDER","À RÉPARER"))))))))))</f>
        <v>ACCEPTÉ</v>
      </c>
      <c r="AR844" s="82" t="str">
        <f aca="false">IF(AND(ISNUMBER(U844),OR(AQ844="À RADIOGRAPHIER",AQ844="RÉPARÉ – À RADIOGRAPHIER",AQ844="NX – RT À REFAIRE",AQ844="À RÉPARER",AQ844="COUPE – À RESOUDER",AQ844="VT REJETÉ – À REPRENDRE")),MAX(0,'PROGRAMME RT'!$C$4-U844),"")</f>
        <v/>
      </c>
      <c r="AS844" s="82" t="n">
        <f aca="false">IF(AND(OR(AQ844="À RADIOGRAPHIER",AQ844="RÉPARÉ – À RADIOGRAPHIER",AQ844="NX – RT À REFAIRE"),OR('PROGRAMME RT'!$D$5="TOUTES",B844='PROGRAMME RT'!$D$5)),1,0)</f>
        <v>0</v>
      </c>
      <c r="AT844" s="82" t="str">
        <f aca="false">IF(AS844=1,SUM(AS$7:AS844),"")</f>
        <v/>
      </c>
      <c r="AU844" s="82" t="n">
        <f aca="false">IF(AND(OR(AA844="R",AA844="NX",AA844="NT",AA844="CO"),OR('JOINTS DE RÉPARATION'!$D$5="TOUTES",B844='JOINTS DE RÉPARATION'!$D$5),OR('JOINTS DE RÉPARATION'!$L$4="TOUS",AQ844&lt;&gt;"ACCEPTÉ")),1,0)</f>
        <v>0</v>
      </c>
      <c r="AV844" s="82" t="str">
        <f aca="false">IF(AU844=1,SUM(AU$7:AU844),"")</f>
        <v/>
      </c>
      <c r="AW844" s="82" t="str">
        <f aca="false">IF(E844="","",B844&amp;"|"&amp;E844)</f>
        <v>MFD-ISW → MFD-CPF|DJ°478</v>
      </c>
    </row>
    <row r="845" customFormat="false" ht="74.6" hidden="false" customHeight="false" outlineLevel="0" collapsed="false">
      <c r="A845" s="79" t="n">
        <f aca="false">IF(E845="","",ROW()-6)</f>
        <v>839</v>
      </c>
      <c r="B845" s="80" t="s">
        <v>110</v>
      </c>
      <c r="C845" s="81"/>
      <c r="D845" s="81" t="n">
        <v>5</v>
      </c>
      <c r="E845" s="81" t="s">
        <v>981</v>
      </c>
      <c r="F845" s="82" t="str">
        <f aca="false">IF(E845="","",IF(LEFT(E845,2)="DJ","DJ","JN"))</f>
        <v>JN</v>
      </c>
      <c r="G845" s="81"/>
      <c r="H845" s="81" t="s">
        <v>871</v>
      </c>
      <c r="I845" s="81" t="n">
        <v>9.53</v>
      </c>
      <c r="J845" s="81" t="s">
        <v>872</v>
      </c>
      <c r="K845" s="81" t="s">
        <v>879</v>
      </c>
      <c r="L845" s="81" t="n">
        <v>2094200</v>
      </c>
      <c r="M845" s="81" t="n">
        <v>15421110</v>
      </c>
      <c r="N845" s="81" t="n">
        <v>11.94</v>
      </c>
      <c r="O845" s="81" t="n">
        <v>2092010</v>
      </c>
      <c r="P845" s="81" t="n">
        <v>15421109</v>
      </c>
      <c r="Q845" s="81" t="n">
        <v>11.94</v>
      </c>
      <c r="R845" s="81" t="s">
        <v>971</v>
      </c>
      <c r="S845" s="81"/>
      <c r="T845" s="81"/>
      <c r="U845" s="83" t="n">
        <v>46289</v>
      </c>
      <c r="V845" s="83" t="n">
        <v>46289</v>
      </c>
      <c r="W845" s="81" t="s">
        <v>982</v>
      </c>
      <c r="X845" s="81" t="s">
        <v>876</v>
      </c>
      <c r="Y845" s="83"/>
      <c r="Z845" s="81"/>
      <c r="AA845" s="81"/>
      <c r="AB845" s="81"/>
      <c r="AC845" s="81"/>
      <c r="AD845" s="81"/>
      <c r="AE845" s="83"/>
      <c r="AF845" s="81"/>
      <c r="AG845" s="81"/>
      <c r="AH845" s="81"/>
      <c r="AI845" s="81"/>
      <c r="AJ845" s="83"/>
      <c r="AK845" s="81"/>
      <c r="AL845" s="81"/>
      <c r="AM845" s="83"/>
      <c r="AN845" s="80"/>
      <c r="AO845" s="82" t="n">
        <f aca="false">IF(E845="","",(AA845&lt;&gt;"")+(AG845&lt;&gt;"")+(AL845&lt;&gt;""))</f>
        <v>0</v>
      </c>
      <c r="AP845" s="82" t="str">
        <f aca="false">IF(AL845&lt;&gt;"",AL845,IF(AG845&lt;&gt;"",AG845,IF(AA845&lt;&gt;"",AA845,"")))</f>
        <v/>
      </c>
      <c r="AQ845" s="84" t="str">
        <f aca="false">IF(E845="","",IF(U845="","À SOUDER",IF(X845="","VT EN ATTENTE",IF(X845="R","VT REJETÉ – À REPRENDRE",IF(AP845="","À RADIOGRAPHIER",IF(AP845="A","ACCEPTÉ",IF(AP845="NX","NX – RT À REFAIRE",IF(IF(AO845=1,AD845,IF(AO845=2,AI845,""))="A","RÉPARÉ – À RADIOGRAPHIER",IF(IF(AO845=1,AD845,IF(AO845=2,AI845,""))="R","VT REJETÉ – À REPRENDRE",IF(OR(AP845="CO",AP845="NT"),"COUPE – À RESOUDER","À RÉPARER"))))))))))</f>
        <v>À RADIOGRAPHIER</v>
      </c>
      <c r="AR845" s="82" t="n">
        <f aca="false">IF(AND(ISNUMBER(U845),OR(AQ845="À RADIOGRAPHIER",AQ845="RÉPARÉ – À RADIOGRAPHIER",AQ845="NX – RT À REFAIRE",AQ845="À RÉPARER",AQ845="COUPE – À RESOUDER",AQ845="VT REJETÉ – À REPRENDRE")),MAX(0,'PROGRAMME RT'!$C$4-U845),"")</f>
        <v>4</v>
      </c>
      <c r="AS845" s="82" t="n">
        <f aca="false">IF(AND(OR(AQ845="À RADIOGRAPHIER",AQ845="RÉPARÉ – À RADIOGRAPHIER",AQ845="NX – RT À REFAIRE"),OR('PROGRAMME RT'!$D$5="TOUTES",B845='PROGRAMME RT'!$D$5)),1,0)</f>
        <v>1</v>
      </c>
      <c r="AT845" s="82" t="n">
        <f aca="false">IF(AS845=1,SUM(AS$7:AS845),"")</f>
        <v>36</v>
      </c>
      <c r="AU845" s="82" t="n">
        <f aca="false">IF(AND(OR(AA845="R",AA845="NX",AA845="NT",AA845="CO"),OR('JOINTS DE RÉPARATION'!$D$5="TOUTES",B845='JOINTS DE RÉPARATION'!$D$5),OR('JOINTS DE RÉPARATION'!$L$4="TOUS",AQ845&lt;&gt;"ACCEPTÉ")),1,0)</f>
        <v>0</v>
      </c>
      <c r="AV845" s="82" t="str">
        <f aca="false">IF(AU845=1,SUM(AU$7:AU845),"")</f>
        <v/>
      </c>
      <c r="AW845" s="82" t="str">
        <f aca="false">IF(E845="","",B845&amp;"|"&amp;E845)</f>
        <v>MFD-ISW → MFD-CPF|JN°800</v>
      </c>
    </row>
    <row r="846" customFormat="false" ht="74.6" hidden="false" customHeight="false" outlineLevel="0" collapsed="false">
      <c r="A846" s="79" t="n">
        <f aca="false">IF(E846="","",ROW()-6)</f>
        <v>840</v>
      </c>
      <c r="B846" s="80" t="s">
        <v>110</v>
      </c>
      <c r="C846" s="81" t="s">
        <v>868</v>
      </c>
      <c r="D846" s="81" t="n">
        <v>5</v>
      </c>
      <c r="E846" s="81" t="s">
        <v>983</v>
      </c>
      <c r="F846" s="82" t="str">
        <f aca="false">IF(E846="","",IF(LEFT(E846,2)="DJ","DJ","JN"))</f>
        <v>DJ</v>
      </c>
      <c r="G846" s="81"/>
      <c r="H846" s="81" t="s">
        <v>871</v>
      </c>
      <c r="I846" s="81" t="n">
        <v>9.53</v>
      </c>
      <c r="J846" s="81" t="s">
        <v>872</v>
      </c>
      <c r="K846" s="81" t="s">
        <v>873</v>
      </c>
      <c r="L846" s="81" t="n">
        <v>2092010</v>
      </c>
      <c r="M846" s="81" t="n">
        <v>15421109</v>
      </c>
      <c r="N846" s="81" t="n">
        <v>11.94</v>
      </c>
      <c r="O846" s="81" t="n">
        <v>2083410</v>
      </c>
      <c r="P846" s="81" t="n">
        <v>15421105</v>
      </c>
      <c r="Q846" s="81" t="n">
        <v>11.94</v>
      </c>
      <c r="R846" s="81" t="s">
        <v>874</v>
      </c>
      <c r="S846" s="81"/>
      <c r="T846" s="81"/>
      <c r="U846" s="83" t="n">
        <v>46287</v>
      </c>
      <c r="V846" s="83" t="n">
        <v>46287</v>
      </c>
      <c r="W846" s="81" t="s">
        <v>938</v>
      </c>
      <c r="X846" s="81" t="s">
        <v>876</v>
      </c>
      <c r="Y846" s="83" t="n">
        <v>46288</v>
      </c>
      <c r="Z846" s="81" t="s">
        <v>939</v>
      </c>
      <c r="AA846" s="81" t="s">
        <v>876</v>
      </c>
      <c r="AB846" s="81"/>
      <c r="AC846" s="81"/>
      <c r="AD846" s="81"/>
      <c r="AE846" s="83"/>
      <c r="AF846" s="81"/>
      <c r="AG846" s="81"/>
      <c r="AH846" s="81"/>
      <c r="AI846" s="81"/>
      <c r="AJ846" s="83"/>
      <c r="AK846" s="81"/>
      <c r="AL846" s="81"/>
      <c r="AM846" s="83"/>
      <c r="AN846" s="80"/>
      <c r="AO846" s="82" t="n">
        <f aca="false">IF(E846="","",(AA846&lt;&gt;"")+(AG846&lt;&gt;"")+(AL846&lt;&gt;""))</f>
        <v>1</v>
      </c>
      <c r="AP846" s="82" t="str">
        <f aca="false">IF(AL846&lt;&gt;"",AL846,IF(AG846&lt;&gt;"",AG846,IF(AA846&lt;&gt;"",AA846,"")))</f>
        <v>A</v>
      </c>
      <c r="AQ846" s="84" t="str">
        <f aca="false">IF(E846="","",IF(U846="","À SOUDER",IF(X846="","VT EN ATTENTE",IF(X846="R","VT REJETÉ – À REPRENDRE",IF(AP846="","À RADIOGRAPHIER",IF(AP846="A","ACCEPTÉ",IF(AP846="NX","NX – RT À REFAIRE",IF(IF(AO846=1,AD846,IF(AO846=2,AI846,""))="A","RÉPARÉ – À RADIOGRAPHIER",IF(IF(AO846=1,AD846,IF(AO846=2,AI846,""))="R","VT REJETÉ – À REPRENDRE",IF(OR(AP846="CO",AP846="NT"),"COUPE – À RESOUDER","À RÉPARER"))))))))))</f>
        <v>ACCEPTÉ</v>
      </c>
      <c r="AR846" s="82" t="str">
        <f aca="false">IF(AND(ISNUMBER(U846),OR(AQ846="À RADIOGRAPHIER",AQ846="RÉPARÉ – À RADIOGRAPHIER",AQ846="NX – RT À REFAIRE",AQ846="À RÉPARER",AQ846="COUPE – À RESOUDER",AQ846="VT REJETÉ – À REPRENDRE")),MAX(0,'PROGRAMME RT'!$C$4-U846),"")</f>
        <v/>
      </c>
      <c r="AS846" s="82" t="n">
        <f aca="false">IF(AND(OR(AQ846="À RADIOGRAPHIER",AQ846="RÉPARÉ – À RADIOGRAPHIER",AQ846="NX – RT À REFAIRE"),OR('PROGRAMME RT'!$D$5="TOUTES",B846='PROGRAMME RT'!$D$5)),1,0)</f>
        <v>0</v>
      </c>
      <c r="AT846" s="82" t="str">
        <f aca="false">IF(AS846=1,SUM(AS$7:AS846),"")</f>
        <v/>
      </c>
      <c r="AU846" s="82" t="n">
        <f aca="false">IF(AND(OR(AA846="R",AA846="NX",AA846="NT",AA846="CO"),OR('JOINTS DE RÉPARATION'!$D$5="TOUTES",B846='JOINTS DE RÉPARATION'!$D$5),OR('JOINTS DE RÉPARATION'!$L$4="TOUS",AQ846&lt;&gt;"ACCEPTÉ")),1,0)</f>
        <v>0</v>
      </c>
      <c r="AV846" s="82" t="str">
        <f aca="false">IF(AU846=1,SUM(AU$7:AU846),"")</f>
        <v/>
      </c>
      <c r="AW846" s="82" t="str">
        <f aca="false">IF(E846="","",B846&amp;"|"&amp;E846)</f>
        <v>MFD-ISW → MFD-CPF|DJ°485</v>
      </c>
    </row>
    <row r="847" customFormat="false" ht="74.6" hidden="false" customHeight="false" outlineLevel="0" collapsed="false">
      <c r="A847" s="79" t="n">
        <f aca="false">IF(E847="","",ROW()-6)</f>
        <v>841</v>
      </c>
      <c r="B847" s="80" t="s">
        <v>110</v>
      </c>
      <c r="C847" s="81"/>
      <c r="D847" s="81" t="n">
        <v>5</v>
      </c>
      <c r="E847" s="81" t="s">
        <v>984</v>
      </c>
      <c r="F847" s="82" t="str">
        <f aca="false">IF(E847="","",IF(LEFT(E847,2)="DJ","DJ","JN"))</f>
        <v>JN</v>
      </c>
      <c r="G847" s="81"/>
      <c r="H847" s="81" t="s">
        <v>871</v>
      </c>
      <c r="I847" s="81" t="n">
        <v>9.53</v>
      </c>
      <c r="J847" s="81" t="s">
        <v>872</v>
      </c>
      <c r="K847" s="81" t="s">
        <v>879</v>
      </c>
      <c r="L847" s="81" t="n">
        <v>2083410</v>
      </c>
      <c r="M847" s="81" t="n">
        <v>15421105</v>
      </c>
      <c r="N847" s="81" t="n">
        <v>11.94</v>
      </c>
      <c r="O847" s="81" t="n">
        <v>2088140</v>
      </c>
      <c r="P847" s="81" t="n">
        <v>15421108</v>
      </c>
      <c r="Q847" s="81" t="n">
        <v>11.94</v>
      </c>
      <c r="R847" s="81" t="s">
        <v>935</v>
      </c>
      <c r="S847" s="81"/>
      <c r="T847" s="81"/>
      <c r="U847" s="83" t="n">
        <v>46289</v>
      </c>
      <c r="V847" s="83" t="n">
        <v>46289</v>
      </c>
      <c r="W847" s="81" t="s">
        <v>985</v>
      </c>
      <c r="X847" s="81" t="s">
        <v>876</v>
      </c>
      <c r="Y847" s="83"/>
      <c r="Z847" s="81"/>
      <c r="AA847" s="81"/>
      <c r="AB847" s="81"/>
      <c r="AC847" s="81"/>
      <c r="AD847" s="81"/>
      <c r="AE847" s="83"/>
      <c r="AF847" s="81"/>
      <c r="AG847" s="81"/>
      <c r="AH847" s="81"/>
      <c r="AI847" s="81"/>
      <c r="AJ847" s="83"/>
      <c r="AK847" s="81"/>
      <c r="AL847" s="81"/>
      <c r="AM847" s="83"/>
      <c r="AN847" s="80"/>
      <c r="AO847" s="82" t="n">
        <f aca="false">IF(E847="","",(AA847&lt;&gt;"")+(AG847&lt;&gt;"")+(AL847&lt;&gt;""))</f>
        <v>0</v>
      </c>
      <c r="AP847" s="82" t="str">
        <f aca="false">IF(AL847&lt;&gt;"",AL847,IF(AG847&lt;&gt;"",AG847,IF(AA847&lt;&gt;"",AA847,"")))</f>
        <v/>
      </c>
      <c r="AQ847" s="84" t="str">
        <f aca="false">IF(E847="","",IF(U847="","À SOUDER",IF(X847="","VT EN ATTENTE",IF(X847="R","VT REJETÉ – À REPRENDRE",IF(AP847="","À RADIOGRAPHIER",IF(AP847="A","ACCEPTÉ",IF(AP847="NX","NX – RT À REFAIRE",IF(IF(AO847=1,AD847,IF(AO847=2,AI847,""))="A","RÉPARÉ – À RADIOGRAPHIER",IF(IF(AO847=1,AD847,IF(AO847=2,AI847,""))="R","VT REJETÉ – À REPRENDRE",IF(OR(AP847="CO",AP847="NT"),"COUPE – À RESOUDER","À RÉPARER"))))))))))</f>
        <v>À RADIOGRAPHIER</v>
      </c>
      <c r="AR847" s="82" t="n">
        <f aca="false">IF(AND(ISNUMBER(U847),OR(AQ847="À RADIOGRAPHIER",AQ847="RÉPARÉ – À RADIOGRAPHIER",AQ847="NX – RT À REFAIRE",AQ847="À RÉPARER",AQ847="COUPE – À RESOUDER",AQ847="VT REJETÉ – À REPRENDRE")),MAX(0,'PROGRAMME RT'!$C$4-U847),"")</f>
        <v>4</v>
      </c>
      <c r="AS847" s="82" t="n">
        <f aca="false">IF(AND(OR(AQ847="À RADIOGRAPHIER",AQ847="RÉPARÉ – À RADIOGRAPHIER",AQ847="NX – RT À REFAIRE"),OR('PROGRAMME RT'!$D$5="TOUTES",B847='PROGRAMME RT'!$D$5)),1,0)</f>
        <v>1</v>
      </c>
      <c r="AT847" s="82" t="n">
        <f aca="false">IF(AS847=1,SUM(AS$7:AS847),"")</f>
        <v>37</v>
      </c>
      <c r="AU847" s="82" t="n">
        <f aca="false">IF(AND(OR(AA847="R",AA847="NX",AA847="NT",AA847="CO"),OR('JOINTS DE RÉPARATION'!$D$5="TOUTES",B847='JOINTS DE RÉPARATION'!$D$5),OR('JOINTS DE RÉPARATION'!$L$4="TOUS",AQ847&lt;&gt;"ACCEPTÉ")),1,0)</f>
        <v>0</v>
      </c>
      <c r="AV847" s="82" t="str">
        <f aca="false">IF(AU847=1,SUM(AU$7:AU847),"")</f>
        <v/>
      </c>
      <c r="AW847" s="82" t="str">
        <f aca="false">IF(E847="","",B847&amp;"|"&amp;E847)</f>
        <v>MFD-ISW → MFD-CPF|JN°801</v>
      </c>
    </row>
    <row r="848" customFormat="false" ht="74.6" hidden="false" customHeight="false" outlineLevel="0" collapsed="false">
      <c r="A848" s="79" t="n">
        <f aca="false">IF(E848="","",ROW()-6)</f>
        <v>842</v>
      </c>
      <c r="B848" s="80" t="s">
        <v>110</v>
      </c>
      <c r="C848" s="81" t="s">
        <v>868</v>
      </c>
      <c r="D848" s="81" t="s">
        <v>869</v>
      </c>
      <c r="E848" s="81" t="s">
        <v>986</v>
      </c>
      <c r="F848" s="82" t="str">
        <f aca="false">IF(E848="","",IF(LEFT(E848,2)="DJ","DJ","JN"))</f>
        <v>DJ</v>
      </c>
      <c r="G848" s="81"/>
      <c r="H848" s="81" t="s">
        <v>871</v>
      </c>
      <c r="I848" s="81" t="n">
        <v>9.53</v>
      </c>
      <c r="J848" s="81" t="s">
        <v>872</v>
      </c>
      <c r="K848" s="81" t="s">
        <v>873</v>
      </c>
      <c r="L848" s="81" t="n">
        <v>2088140</v>
      </c>
      <c r="M848" s="81" t="n">
        <v>15421108</v>
      </c>
      <c r="N848" s="81" t="n">
        <v>11.94</v>
      </c>
      <c r="O848" s="81" t="n">
        <v>2094590</v>
      </c>
      <c r="P848" s="81" t="n">
        <v>15421108</v>
      </c>
      <c r="Q848" s="81" t="n">
        <v>11.94</v>
      </c>
      <c r="R848" s="81" t="s">
        <v>963</v>
      </c>
      <c r="S848" s="81" t="s">
        <v>963</v>
      </c>
      <c r="T848" s="81" t="s">
        <v>963</v>
      </c>
      <c r="U848" s="83" t="n">
        <v>46287</v>
      </c>
      <c r="V848" s="83" t="n">
        <v>46287</v>
      </c>
      <c r="W848" s="81" t="s">
        <v>938</v>
      </c>
      <c r="X848" s="81" t="s">
        <v>876</v>
      </c>
      <c r="Y848" s="83" t="n">
        <v>46288</v>
      </c>
      <c r="Z848" s="81" t="s">
        <v>939</v>
      </c>
      <c r="AA848" s="81" t="s">
        <v>876</v>
      </c>
      <c r="AB848" s="81"/>
      <c r="AC848" s="81"/>
      <c r="AD848" s="81"/>
      <c r="AE848" s="83"/>
      <c r="AF848" s="81"/>
      <c r="AG848" s="81"/>
      <c r="AH848" s="81"/>
      <c r="AI848" s="81"/>
      <c r="AJ848" s="83"/>
      <c r="AK848" s="81"/>
      <c r="AL848" s="81"/>
      <c r="AM848" s="83"/>
      <c r="AN848" s="80"/>
      <c r="AO848" s="82" t="n">
        <f aca="false">IF(E848="","",(AA848&lt;&gt;"")+(AG848&lt;&gt;"")+(AL848&lt;&gt;""))</f>
        <v>1</v>
      </c>
      <c r="AP848" s="82" t="str">
        <f aca="false">IF(AL848&lt;&gt;"",AL848,IF(AG848&lt;&gt;"",AG848,IF(AA848&lt;&gt;"",AA848,"")))</f>
        <v>A</v>
      </c>
      <c r="AQ848" s="84" t="str">
        <f aca="false">IF(E848="","",IF(U848="","À SOUDER",IF(X848="","VT EN ATTENTE",IF(X848="R","VT REJETÉ – À REPRENDRE",IF(AP848="","À RADIOGRAPHIER",IF(AP848="A","ACCEPTÉ",IF(AP848="NX","NX – RT À REFAIRE",IF(IF(AO848=1,AD848,IF(AO848=2,AI848,""))="A","RÉPARÉ – À RADIOGRAPHIER",IF(IF(AO848=1,AD848,IF(AO848=2,AI848,""))="R","VT REJETÉ – À REPRENDRE",IF(OR(AP848="CO",AP848="NT"),"COUPE – À RESOUDER","À RÉPARER"))))))))))</f>
        <v>ACCEPTÉ</v>
      </c>
      <c r="AR848" s="82" t="str">
        <f aca="false">IF(AND(ISNUMBER(U848),OR(AQ848="À RADIOGRAPHIER",AQ848="RÉPARÉ – À RADIOGRAPHIER",AQ848="NX – RT À REFAIRE",AQ848="À RÉPARER",AQ848="COUPE – À RESOUDER",AQ848="VT REJETÉ – À REPRENDRE")),MAX(0,'PROGRAMME RT'!$C$4-U848),"")</f>
        <v/>
      </c>
      <c r="AS848" s="82" t="n">
        <f aca="false">IF(AND(OR(AQ848="À RADIOGRAPHIER",AQ848="RÉPARÉ – À RADIOGRAPHIER",AQ848="NX – RT À REFAIRE"),OR('PROGRAMME RT'!$D$5="TOUTES",B848='PROGRAMME RT'!$D$5)),1,0)</f>
        <v>0</v>
      </c>
      <c r="AT848" s="82" t="str">
        <f aca="false">IF(AS848=1,SUM(AS$7:AS848),"")</f>
        <v/>
      </c>
      <c r="AU848" s="82" t="n">
        <f aca="false">IF(AND(OR(AA848="R",AA848="NX",AA848="NT",AA848="CO"),OR('JOINTS DE RÉPARATION'!$D$5="TOUTES",B848='JOINTS DE RÉPARATION'!$D$5),OR('JOINTS DE RÉPARATION'!$L$4="TOUS",AQ848&lt;&gt;"ACCEPTÉ")),1,0)</f>
        <v>0</v>
      </c>
      <c r="AV848" s="82" t="str">
        <f aca="false">IF(AU848=1,SUM(AU$7:AU848),"")</f>
        <v/>
      </c>
      <c r="AW848" s="82" t="str">
        <f aca="false">IF(E848="","",B848&amp;"|"&amp;E848)</f>
        <v>MFD-ISW → MFD-CPF|DJ°490</v>
      </c>
    </row>
    <row r="849" customFormat="false" ht="74.6" hidden="false" customHeight="false" outlineLevel="0" collapsed="false">
      <c r="A849" s="79" t="n">
        <f aca="false">IF(E849="","",ROW()-6)</f>
        <v>843</v>
      </c>
      <c r="B849" s="80" t="s">
        <v>110</v>
      </c>
      <c r="C849" s="81"/>
      <c r="D849" s="81" t="n">
        <v>5</v>
      </c>
      <c r="E849" s="81" t="s">
        <v>987</v>
      </c>
      <c r="F849" s="82" t="str">
        <f aca="false">IF(E849="","",IF(LEFT(E849,2)="DJ","DJ","JN"))</f>
        <v>JN</v>
      </c>
      <c r="G849" s="81"/>
      <c r="H849" s="81" t="s">
        <v>871</v>
      </c>
      <c r="I849" s="81" t="n">
        <v>9.53</v>
      </c>
      <c r="J849" s="81" t="s">
        <v>872</v>
      </c>
      <c r="K849" s="81" t="s">
        <v>879</v>
      </c>
      <c r="L849" s="81" t="n">
        <v>2094590</v>
      </c>
      <c r="M849" s="81" t="n">
        <v>15421108</v>
      </c>
      <c r="N849" s="81" t="n">
        <v>11.94</v>
      </c>
      <c r="O849" s="81" t="n">
        <v>2081240</v>
      </c>
      <c r="P849" s="81" t="n">
        <v>15421109</v>
      </c>
      <c r="Q849" s="81" t="n">
        <v>11.94</v>
      </c>
      <c r="R849" s="81" t="s">
        <v>935</v>
      </c>
      <c r="S849" s="81"/>
      <c r="T849" s="81"/>
      <c r="U849" s="83" t="n">
        <v>46289</v>
      </c>
      <c r="V849" s="83" t="n">
        <v>46289</v>
      </c>
      <c r="W849" s="81" t="s">
        <v>985</v>
      </c>
      <c r="X849" s="81" t="s">
        <v>876</v>
      </c>
      <c r="Y849" s="83"/>
      <c r="Z849" s="81"/>
      <c r="AA849" s="81"/>
      <c r="AB849" s="81"/>
      <c r="AC849" s="81"/>
      <c r="AD849" s="81"/>
      <c r="AE849" s="83"/>
      <c r="AF849" s="81"/>
      <c r="AG849" s="81"/>
      <c r="AH849" s="81"/>
      <c r="AI849" s="81"/>
      <c r="AJ849" s="83"/>
      <c r="AK849" s="81"/>
      <c r="AL849" s="81"/>
      <c r="AM849" s="83"/>
      <c r="AN849" s="80"/>
      <c r="AO849" s="82" t="n">
        <f aca="false">IF(E849="","",(AA849&lt;&gt;"")+(AG849&lt;&gt;"")+(AL849&lt;&gt;""))</f>
        <v>0</v>
      </c>
      <c r="AP849" s="82" t="str">
        <f aca="false">IF(AL849&lt;&gt;"",AL849,IF(AG849&lt;&gt;"",AG849,IF(AA849&lt;&gt;"",AA849,"")))</f>
        <v/>
      </c>
      <c r="AQ849" s="84" t="str">
        <f aca="false">IF(E849="","",IF(U849="","À SOUDER",IF(X849="","VT EN ATTENTE",IF(X849="R","VT REJETÉ – À REPRENDRE",IF(AP849="","À RADIOGRAPHIER",IF(AP849="A","ACCEPTÉ",IF(AP849="NX","NX – RT À REFAIRE",IF(IF(AO849=1,AD849,IF(AO849=2,AI849,""))="A","RÉPARÉ – À RADIOGRAPHIER",IF(IF(AO849=1,AD849,IF(AO849=2,AI849,""))="R","VT REJETÉ – À REPRENDRE",IF(OR(AP849="CO",AP849="NT"),"COUPE – À RESOUDER","À RÉPARER"))))))))))</f>
        <v>À RADIOGRAPHIER</v>
      </c>
      <c r="AR849" s="82" t="n">
        <f aca="false">IF(AND(ISNUMBER(U849),OR(AQ849="À RADIOGRAPHIER",AQ849="RÉPARÉ – À RADIOGRAPHIER",AQ849="NX – RT À REFAIRE",AQ849="À RÉPARER",AQ849="COUPE – À RESOUDER",AQ849="VT REJETÉ – À REPRENDRE")),MAX(0,'PROGRAMME RT'!$C$4-U849),"")</f>
        <v>4</v>
      </c>
      <c r="AS849" s="82" t="n">
        <f aca="false">IF(AND(OR(AQ849="À RADIOGRAPHIER",AQ849="RÉPARÉ – À RADIOGRAPHIER",AQ849="NX – RT À REFAIRE"),OR('PROGRAMME RT'!$D$5="TOUTES",B849='PROGRAMME RT'!$D$5)),1,0)</f>
        <v>1</v>
      </c>
      <c r="AT849" s="82" t="n">
        <f aca="false">IF(AS849=1,SUM(AS$7:AS849),"")</f>
        <v>38</v>
      </c>
      <c r="AU849" s="82" t="n">
        <f aca="false">IF(AND(OR(AA849="R",AA849="NX",AA849="NT",AA849="CO"),OR('JOINTS DE RÉPARATION'!$D$5="TOUTES",B849='JOINTS DE RÉPARATION'!$D$5),OR('JOINTS DE RÉPARATION'!$L$4="TOUS",AQ849&lt;&gt;"ACCEPTÉ")),1,0)</f>
        <v>0</v>
      </c>
      <c r="AV849" s="82" t="str">
        <f aca="false">IF(AU849=1,SUM(AU$7:AU849),"")</f>
        <v/>
      </c>
      <c r="AW849" s="82" t="str">
        <f aca="false">IF(E849="","",B849&amp;"|"&amp;E849)</f>
        <v>MFD-ISW → MFD-CPF|JN°802</v>
      </c>
    </row>
    <row r="850" customFormat="false" ht="74.6" hidden="false" customHeight="false" outlineLevel="0" collapsed="false">
      <c r="A850" s="79" t="n">
        <f aca="false">IF(E850="","",ROW()-6)</f>
        <v>844</v>
      </c>
      <c r="B850" s="80" t="s">
        <v>110</v>
      </c>
      <c r="C850" s="81"/>
      <c r="D850" s="81" t="n">
        <v>5</v>
      </c>
      <c r="E850" s="81" t="s">
        <v>988</v>
      </c>
      <c r="F850" s="82" t="str">
        <f aca="false">IF(E850="","",IF(LEFT(E850,2)="DJ","DJ","JN"))</f>
        <v>DJ</v>
      </c>
      <c r="G850" s="81"/>
      <c r="H850" s="81" t="s">
        <v>871</v>
      </c>
      <c r="I850" s="81" t="n">
        <v>9.53</v>
      </c>
      <c r="J850" s="81" t="s">
        <v>872</v>
      </c>
      <c r="K850" s="81" t="s">
        <v>873</v>
      </c>
      <c r="L850" s="81" t="n">
        <v>2081240</v>
      </c>
      <c r="M850" s="81" t="n">
        <v>15421109</v>
      </c>
      <c r="N850" s="81" t="n">
        <v>11.94</v>
      </c>
      <c r="O850" s="81" t="n">
        <v>2082550</v>
      </c>
      <c r="P850" s="81" t="n">
        <v>15421104</v>
      </c>
      <c r="Q850" s="81" t="n">
        <v>11.94</v>
      </c>
      <c r="R850" s="81" t="s">
        <v>874</v>
      </c>
      <c r="S850" s="81"/>
      <c r="T850" s="81"/>
      <c r="U850" s="83" t="n">
        <v>46286</v>
      </c>
      <c r="V850" s="83" t="n">
        <v>46286</v>
      </c>
      <c r="W850" s="81" t="s">
        <v>892</v>
      </c>
      <c r="X850" s="81" t="s">
        <v>876</v>
      </c>
      <c r="Y850" s="83" t="n">
        <v>46287</v>
      </c>
      <c r="Z850" s="81" t="s">
        <v>921</v>
      </c>
      <c r="AA850" s="81" t="s">
        <v>876</v>
      </c>
      <c r="AB850" s="81"/>
      <c r="AC850" s="81"/>
      <c r="AD850" s="81"/>
      <c r="AE850" s="83"/>
      <c r="AF850" s="81"/>
      <c r="AG850" s="81"/>
      <c r="AH850" s="81"/>
      <c r="AI850" s="81"/>
      <c r="AJ850" s="83"/>
      <c r="AK850" s="81"/>
      <c r="AL850" s="81"/>
      <c r="AM850" s="83"/>
      <c r="AN850" s="80"/>
      <c r="AO850" s="82" t="n">
        <f aca="false">IF(E850="","",(AA850&lt;&gt;"")+(AG850&lt;&gt;"")+(AL850&lt;&gt;""))</f>
        <v>1</v>
      </c>
      <c r="AP850" s="82" t="str">
        <f aca="false">IF(AL850&lt;&gt;"",AL850,IF(AG850&lt;&gt;"",AG850,IF(AA850&lt;&gt;"",AA850,"")))</f>
        <v>A</v>
      </c>
      <c r="AQ850" s="84" t="str">
        <f aca="false">IF(E850="","",IF(U850="","À SOUDER",IF(X850="","VT EN ATTENTE",IF(X850="R","VT REJETÉ – À REPRENDRE",IF(AP850="","À RADIOGRAPHIER",IF(AP850="A","ACCEPTÉ",IF(AP850="NX","NX – RT À REFAIRE",IF(IF(AO850=1,AD850,IF(AO850=2,AI850,""))="A","RÉPARÉ – À RADIOGRAPHIER",IF(IF(AO850=1,AD850,IF(AO850=2,AI850,""))="R","VT REJETÉ – À REPRENDRE",IF(OR(AP850="CO",AP850="NT"),"COUPE – À RESOUDER","À RÉPARER"))))))))))</f>
        <v>ACCEPTÉ</v>
      </c>
      <c r="AR850" s="82" t="str">
        <f aca="false">IF(AND(ISNUMBER(U850),OR(AQ850="À RADIOGRAPHIER",AQ850="RÉPARÉ – À RADIOGRAPHIER",AQ850="NX – RT À REFAIRE",AQ850="À RÉPARER",AQ850="COUPE – À RESOUDER",AQ850="VT REJETÉ – À REPRENDRE")),MAX(0,'PROGRAMME RT'!$C$4-U850),"")</f>
        <v/>
      </c>
      <c r="AS850" s="82" t="n">
        <f aca="false">IF(AND(OR(AQ850="À RADIOGRAPHIER",AQ850="RÉPARÉ – À RADIOGRAPHIER",AQ850="NX – RT À REFAIRE"),OR('PROGRAMME RT'!$D$5="TOUTES",B850='PROGRAMME RT'!$D$5)),1,0)</f>
        <v>0</v>
      </c>
      <c r="AT850" s="82" t="str">
        <f aca="false">IF(AS850=1,SUM(AS$7:AS850),"")</f>
        <v/>
      </c>
      <c r="AU850" s="82" t="n">
        <f aca="false">IF(AND(OR(AA850="R",AA850="NX",AA850="NT",AA850="CO"),OR('JOINTS DE RÉPARATION'!$D$5="TOUTES",B850='JOINTS DE RÉPARATION'!$D$5),OR('JOINTS DE RÉPARATION'!$L$4="TOUS",AQ850&lt;&gt;"ACCEPTÉ")),1,0)</f>
        <v>0</v>
      </c>
      <c r="AV850" s="82" t="str">
        <f aca="false">IF(AU850=1,SUM(AU$7:AU850),"")</f>
        <v/>
      </c>
      <c r="AW850" s="82" t="str">
        <f aca="false">IF(E850="","",B850&amp;"|"&amp;E850)</f>
        <v>MFD-ISW → MFD-CPF|DJ°463</v>
      </c>
    </row>
    <row r="851" customFormat="false" ht="74.6" hidden="false" customHeight="false" outlineLevel="0" collapsed="false">
      <c r="A851" s="79" t="n">
        <f aca="false">IF(E851="","",ROW()-6)</f>
        <v>845</v>
      </c>
      <c r="B851" s="80" t="s">
        <v>110</v>
      </c>
      <c r="C851" s="81"/>
      <c r="D851" s="81" t="n">
        <v>5</v>
      </c>
      <c r="E851" s="81" t="s">
        <v>989</v>
      </c>
      <c r="F851" s="82" t="str">
        <f aca="false">IF(E851="","",IF(LEFT(E851,2)="DJ","DJ","JN"))</f>
        <v>JN</v>
      </c>
      <c r="G851" s="81"/>
      <c r="H851" s="81" t="s">
        <v>871</v>
      </c>
      <c r="I851" s="81" t="n">
        <v>9.53</v>
      </c>
      <c r="J851" s="81" t="s">
        <v>872</v>
      </c>
      <c r="K851" s="81" t="s">
        <v>879</v>
      </c>
      <c r="L851" s="81" t="n">
        <v>2082550</v>
      </c>
      <c r="M851" s="81" t="n">
        <v>15421104</v>
      </c>
      <c r="N851" s="81" t="n">
        <v>11.94</v>
      </c>
      <c r="O851" s="81" t="n">
        <v>2089770</v>
      </c>
      <c r="P851" s="81" t="n">
        <v>15421109</v>
      </c>
      <c r="Q851" s="81" t="n">
        <v>11.94</v>
      </c>
      <c r="R851" s="81" t="s">
        <v>935</v>
      </c>
      <c r="S851" s="81"/>
      <c r="T851" s="81"/>
      <c r="U851" s="83" t="n">
        <v>46289</v>
      </c>
      <c r="V851" s="83" t="n">
        <v>46289</v>
      </c>
      <c r="W851" s="81" t="s">
        <v>982</v>
      </c>
      <c r="X851" s="81" t="s">
        <v>876</v>
      </c>
      <c r="Y851" s="83"/>
      <c r="Z851" s="81"/>
      <c r="AA851" s="81"/>
      <c r="AB851" s="81"/>
      <c r="AC851" s="81"/>
      <c r="AD851" s="81"/>
      <c r="AE851" s="83"/>
      <c r="AF851" s="81"/>
      <c r="AG851" s="81"/>
      <c r="AH851" s="81"/>
      <c r="AI851" s="81"/>
      <c r="AJ851" s="83"/>
      <c r="AK851" s="81"/>
      <c r="AL851" s="81"/>
      <c r="AM851" s="83"/>
      <c r="AN851" s="80"/>
      <c r="AO851" s="82" t="n">
        <f aca="false">IF(E851="","",(AA851&lt;&gt;"")+(AG851&lt;&gt;"")+(AL851&lt;&gt;""))</f>
        <v>0</v>
      </c>
      <c r="AP851" s="82" t="str">
        <f aca="false">IF(AL851&lt;&gt;"",AL851,IF(AG851&lt;&gt;"",AG851,IF(AA851&lt;&gt;"",AA851,"")))</f>
        <v/>
      </c>
      <c r="AQ851" s="84" t="str">
        <f aca="false">IF(E851="","",IF(U851="","À SOUDER",IF(X851="","VT EN ATTENTE",IF(X851="R","VT REJETÉ – À REPRENDRE",IF(AP851="","À RADIOGRAPHIER",IF(AP851="A","ACCEPTÉ",IF(AP851="NX","NX – RT À REFAIRE",IF(IF(AO851=1,AD851,IF(AO851=2,AI851,""))="A","RÉPARÉ – À RADIOGRAPHIER",IF(IF(AO851=1,AD851,IF(AO851=2,AI851,""))="R","VT REJETÉ – À REPRENDRE",IF(OR(AP851="CO",AP851="NT"),"COUPE – À RESOUDER","À RÉPARER"))))))))))</f>
        <v>À RADIOGRAPHIER</v>
      </c>
      <c r="AR851" s="82" t="n">
        <f aca="false">IF(AND(ISNUMBER(U851),OR(AQ851="À RADIOGRAPHIER",AQ851="RÉPARÉ – À RADIOGRAPHIER",AQ851="NX – RT À REFAIRE",AQ851="À RÉPARER",AQ851="COUPE – À RESOUDER",AQ851="VT REJETÉ – À REPRENDRE")),MAX(0,'PROGRAMME RT'!$C$4-U851),"")</f>
        <v>4</v>
      </c>
      <c r="AS851" s="82" t="n">
        <f aca="false">IF(AND(OR(AQ851="À RADIOGRAPHIER",AQ851="RÉPARÉ – À RADIOGRAPHIER",AQ851="NX – RT À REFAIRE"),OR('PROGRAMME RT'!$D$5="TOUTES",B851='PROGRAMME RT'!$D$5)),1,0)</f>
        <v>1</v>
      </c>
      <c r="AT851" s="82" t="n">
        <f aca="false">IF(AS851=1,SUM(AS$7:AS851),"")</f>
        <v>39</v>
      </c>
      <c r="AU851" s="82" t="n">
        <f aca="false">IF(AND(OR(AA851="R",AA851="NX",AA851="NT",AA851="CO"),OR('JOINTS DE RÉPARATION'!$D$5="TOUTES",B851='JOINTS DE RÉPARATION'!$D$5),OR('JOINTS DE RÉPARATION'!$L$4="TOUS",AQ851&lt;&gt;"ACCEPTÉ")),1,0)</f>
        <v>0</v>
      </c>
      <c r="AV851" s="82" t="str">
        <f aca="false">IF(AU851=1,SUM(AU$7:AU851),"")</f>
        <v/>
      </c>
      <c r="AW851" s="82" t="str">
        <f aca="false">IF(E851="","",B851&amp;"|"&amp;E851)</f>
        <v>MFD-ISW → MFD-CPF|JN°803</v>
      </c>
    </row>
    <row r="852" customFormat="false" ht="74.6" hidden="false" customHeight="false" outlineLevel="0" collapsed="false">
      <c r="A852" s="79" t="n">
        <f aca="false">IF(E852="","",ROW()-6)</f>
        <v>846</v>
      </c>
      <c r="B852" s="80" t="s">
        <v>110</v>
      </c>
      <c r="C852" s="81" t="s">
        <v>868</v>
      </c>
      <c r="D852" s="81" t="s">
        <v>869</v>
      </c>
      <c r="E852" s="81" t="s">
        <v>990</v>
      </c>
      <c r="F852" s="82" t="str">
        <f aca="false">IF(E852="","",IF(LEFT(E852,2)="DJ","DJ","JN"))</f>
        <v>DJ</v>
      </c>
      <c r="G852" s="81"/>
      <c r="H852" s="81" t="s">
        <v>871</v>
      </c>
      <c r="I852" s="81" t="n">
        <v>9.53</v>
      </c>
      <c r="J852" s="81" t="s">
        <v>872</v>
      </c>
      <c r="K852" s="81" t="s">
        <v>873</v>
      </c>
      <c r="L852" s="81" t="n">
        <v>2089770</v>
      </c>
      <c r="M852" s="81" t="n">
        <v>15421109</v>
      </c>
      <c r="N852" s="81" t="n">
        <v>11.94</v>
      </c>
      <c r="O852" s="81" t="n">
        <v>2081340</v>
      </c>
      <c r="P852" s="81" t="n">
        <v>15421103</v>
      </c>
      <c r="Q852" s="81" t="n">
        <v>11.94</v>
      </c>
      <c r="R852" s="81" t="s">
        <v>874</v>
      </c>
      <c r="S852" s="81"/>
      <c r="T852" s="81"/>
      <c r="U852" s="83" t="n">
        <v>46287</v>
      </c>
      <c r="V852" s="83" t="n">
        <v>46287</v>
      </c>
      <c r="W852" s="81" t="s">
        <v>938</v>
      </c>
      <c r="X852" s="81" t="s">
        <v>876</v>
      </c>
      <c r="Y852" s="83" t="n">
        <v>46288</v>
      </c>
      <c r="Z852" s="81" t="s">
        <v>939</v>
      </c>
      <c r="AA852" s="81" t="s">
        <v>876</v>
      </c>
      <c r="AB852" s="81"/>
      <c r="AC852" s="81"/>
      <c r="AD852" s="81"/>
      <c r="AE852" s="83"/>
      <c r="AF852" s="81"/>
      <c r="AG852" s="81"/>
      <c r="AH852" s="81"/>
      <c r="AI852" s="81"/>
      <c r="AJ852" s="83"/>
      <c r="AK852" s="81"/>
      <c r="AL852" s="81"/>
      <c r="AM852" s="83"/>
      <c r="AN852" s="80"/>
      <c r="AO852" s="82" t="n">
        <f aca="false">IF(E852="","",(AA852&lt;&gt;"")+(AG852&lt;&gt;"")+(AL852&lt;&gt;""))</f>
        <v>1</v>
      </c>
      <c r="AP852" s="82" t="str">
        <f aca="false">IF(AL852&lt;&gt;"",AL852,IF(AG852&lt;&gt;"",AG852,IF(AA852&lt;&gt;"",AA852,"")))</f>
        <v>A</v>
      </c>
      <c r="AQ852" s="84" t="str">
        <f aca="false">IF(E852="","",IF(U852="","À SOUDER",IF(X852="","VT EN ATTENTE",IF(X852="R","VT REJETÉ – À REPRENDRE",IF(AP852="","À RADIOGRAPHIER",IF(AP852="A","ACCEPTÉ",IF(AP852="NX","NX – RT À REFAIRE",IF(IF(AO852=1,AD852,IF(AO852=2,AI852,""))="A","RÉPARÉ – À RADIOGRAPHIER",IF(IF(AO852=1,AD852,IF(AO852=2,AI852,""))="R","VT REJETÉ – À REPRENDRE",IF(OR(AP852="CO",AP852="NT"),"COUPE – À RESOUDER","À RÉPARER"))))))))))</f>
        <v>ACCEPTÉ</v>
      </c>
      <c r="AR852" s="82" t="str">
        <f aca="false">IF(AND(ISNUMBER(U852),OR(AQ852="À RADIOGRAPHIER",AQ852="RÉPARÉ – À RADIOGRAPHIER",AQ852="NX – RT À REFAIRE",AQ852="À RÉPARER",AQ852="COUPE – À RESOUDER",AQ852="VT REJETÉ – À REPRENDRE")),MAX(0,'PROGRAMME RT'!$C$4-U852),"")</f>
        <v/>
      </c>
      <c r="AS852" s="82" t="n">
        <f aca="false">IF(AND(OR(AQ852="À RADIOGRAPHIER",AQ852="RÉPARÉ – À RADIOGRAPHIER",AQ852="NX – RT À REFAIRE"),OR('PROGRAMME RT'!$D$5="TOUTES",B852='PROGRAMME RT'!$D$5)),1,0)</f>
        <v>0</v>
      </c>
      <c r="AT852" s="82" t="str">
        <f aca="false">IF(AS852=1,SUM(AS$7:AS852),"")</f>
        <v/>
      </c>
      <c r="AU852" s="82" t="n">
        <f aca="false">IF(AND(OR(AA852="R",AA852="NX",AA852="NT",AA852="CO"),OR('JOINTS DE RÉPARATION'!$D$5="TOUTES",B852='JOINTS DE RÉPARATION'!$D$5),OR('JOINTS DE RÉPARATION'!$L$4="TOUS",AQ852&lt;&gt;"ACCEPTÉ")),1,0)</f>
        <v>0</v>
      </c>
      <c r="AV852" s="82" t="str">
        <f aca="false">IF(AU852=1,SUM(AU$7:AU852),"")</f>
        <v/>
      </c>
      <c r="AW852" s="82" t="str">
        <f aca="false">IF(E852="","",B852&amp;"|"&amp;E852)</f>
        <v>MFD-ISW → MFD-CPF|DJ°491</v>
      </c>
    </row>
    <row r="853" customFormat="false" ht="74.6" hidden="false" customHeight="false" outlineLevel="0" collapsed="false">
      <c r="A853" s="79" t="n">
        <f aca="false">IF(E853="","",ROW()-6)</f>
        <v>847</v>
      </c>
      <c r="B853" s="80" t="s">
        <v>110</v>
      </c>
      <c r="C853" s="81"/>
      <c r="D853" s="81" t="n">
        <v>5</v>
      </c>
      <c r="E853" s="81" t="s">
        <v>991</v>
      </c>
      <c r="F853" s="82" t="str">
        <f aca="false">IF(E853="","",IF(LEFT(E853,2)="DJ","DJ","JN"))</f>
        <v>JN</v>
      </c>
      <c r="G853" s="81"/>
      <c r="H853" s="81" t="s">
        <v>871</v>
      </c>
      <c r="I853" s="81" t="n">
        <v>9.53</v>
      </c>
      <c r="J853" s="81" t="s">
        <v>872</v>
      </c>
      <c r="K853" s="81" t="s">
        <v>879</v>
      </c>
      <c r="L853" s="81" t="n">
        <v>2081340</v>
      </c>
      <c r="M853" s="81" t="n">
        <v>15421103</v>
      </c>
      <c r="N853" s="81" t="n">
        <v>11.94</v>
      </c>
      <c r="O853" s="81" t="n">
        <v>2096720</v>
      </c>
      <c r="P853" s="81" t="n">
        <v>2096850</v>
      </c>
      <c r="Q853" s="81" t="n">
        <v>11.94</v>
      </c>
      <c r="R853" s="81" t="s">
        <v>935</v>
      </c>
      <c r="S853" s="81"/>
      <c r="T853" s="81"/>
      <c r="U853" s="83" t="n">
        <v>46289</v>
      </c>
      <c r="V853" s="83" t="n">
        <v>46289</v>
      </c>
      <c r="W853" s="81" t="s">
        <v>982</v>
      </c>
      <c r="X853" s="81" t="s">
        <v>876</v>
      </c>
      <c r="Y853" s="83"/>
      <c r="Z853" s="81"/>
      <c r="AA853" s="81"/>
      <c r="AB853" s="81"/>
      <c r="AC853" s="81"/>
      <c r="AD853" s="81"/>
      <c r="AE853" s="83"/>
      <c r="AF853" s="81"/>
      <c r="AG853" s="81"/>
      <c r="AH853" s="81"/>
      <c r="AI853" s="81"/>
      <c r="AJ853" s="83"/>
      <c r="AK853" s="81"/>
      <c r="AL853" s="81"/>
      <c r="AM853" s="83"/>
      <c r="AN853" s="80"/>
      <c r="AO853" s="82" t="n">
        <f aca="false">IF(E853="","",(AA853&lt;&gt;"")+(AG853&lt;&gt;"")+(AL853&lt;&gt;""))</f>
        <v>0</v>
      </c>
      <c r="AP853" s="82" t="str">
        <f aca="false">IF(AL853&lt;&gt;"",AL853,IF(AG853&lt;&gt;"",AG853,IF(AA853&lt;&gt;"",AA853,"")))</f>
        <v/>
      </c>
      <c r="AQ853" s="84" t="str">
        <f aca="false">IF(E853="","",IF(U853="","À SOUDER",IF(X853="","VT EN ATTENTE",IF(X853="R","VT REJETÉ – À REPRENDRE",IF(AP853="","À RADIOGRAPHIER",IF(AP853="A","ACCEPTÉ",IF(AP853="NX","NX – RT À REFAIRE",IF(IF(AO853=1,AD853,IF(AO853=2,AI853,""))="A","RÉPARÉ – À RADIOGRAPHIER",IF(IF(AO853=1,AD853,IF(AO853=2,AI853,""))="R","VT REJETÉ – À REPRENDRE",IF(OR(AP853="CO",AP853="NT"),"COUPE – À RESOUDER","À RÉPARER"))))))))))</f>
        <v>À RADIOGRAPHIER</v>
      </c>
      <c r="AR853" s="82" t="n">
        <f aca="false">IF(AND(ISNUMBER(U853),OR(AQ853="À RADIOGRAPHIER",AQ853="RÉPARÉ – À RADIOGRAPHIER",AQ853="NX – RT À REFAIRE",AQ853="À RÉPARER",AQ853="COUPE – À RESOUDER",AQ853="VT REJETÉ – À REPRENDRE")),MAX(0,'PROGRAMME RT'!$C$4-U853),"")</f>
        <v>4</v>
      </c>
      <c r="AS853" s="82" t="n">
        <f aca="false">IF(AND(OR(AQ853="À RADIOGRAPHIER",AQ853="RÉPARÉ – À RADIOGRAPHIER",AQ853="NX – RT À REFAIRE"),OR('PROGRAMME RT'!$D$5="TOUTES",B853='PROGRAMME RT'!$D$5)),1,0)</f>
        <v>1</v>
      </c>
      <c r="AT853" s="82" t="n">
        <f aca="false">IF(AS853=1,SUM(AS$7:AS853),"")</f>
        <v>40</v>
      </c>
      <c r="AU853" s="82" t="n">
        <f aca="false">IF(AND(OR(AA853="R",AA853="NX",AA853="NT",AA853="CO"),OR('JOINTS DE RÉPARATION'!$D$5="TOUTES",B853='JOINTS DE RÉPARATION'!$D$5),OR('JOINTS DE RÉPARATION'!$L$4="TOUS",AQ853&lt;&gt;"ACCEPTÉ")),1,0)</f>
        <v>0</v>
      </c>
      <c r="AV853" s="82" t="str">
        <f aca="false">IF(AU853=1,SUM(AU$7:AU853),"")</f>
        <v/>
      </c>
      <c r="AW853" s="82" t="str">
        <f aca="false">IF(E853="","",B853&amp;"|"&amp;E853)</f>
        <v>MFD-ISW → MFD-CPF|JN°804</v>
      </c>
    </row>
    <row r="854" customFormat="false" ht="74.6" hidden="false" customHeight="false" outlineLevel="0" collapsed="false">
      <c r="A854" s="79" t="n">
        <f aca="false">IF(E854="","",ROW()-6)</f>
        <v>848</v>
      </c>
      <c r="B854" s="80" t="s">
        <v>110</v>
      </c>
      <c r="C854" s="81"/>
      <c r="D854" s="81" t="n">
        <v>5</v>
      </c>
      <c r="E854" s="81" t="s">
        <v>992</v>
      </c>
      <c r="F854" s="82" t="str">
        <f aca="false">IF(E854="","",IF(LEFT(E854,2)="DJ","DJ","JN"))</f>
        <v>DJ</v>
      </c>
      <c r="G854" s="81"/>
      <c r="H854" s="81" t="s">
        <v>871</v>
      </c>
      <c r="I854" s="81" t="n">
        <v>9.53</v>
      </c>
      <c r="J854" s="81" t="s">
        <v>872</v>
      </c>
      <c r="K854" s="81" t="s">
        <v>873</v>
      </c>
      <c r="L854" s="81" t="n">
        <v>2096720</v>
      </c>
      <c r="M854" s="81" t="n">
        <v>2096850</v>
      </c>
      <c r="N854" s="81" t="n">
        <v>11.94</v>
      </c>
      <c r="O854" s="81" t="n">
        <v>2096850</v>
      </c>
      <c r="P854" s="81" t="n">
        <v>15421111</v>
      </c>
      <c r="Q854" s="81" t="n">
        <v>11.94</v>
      </c>
      <c r="R854" s="81" t="s">
        <v>882</v>
      </c>
      <c r="S854" s="81"/>
      <c r="T854" s="81"/>
      <c r="U854" s="83" t="n">
        <v>46286</v>
      </c>
      <c r="V854" s="83" t="n">
        <v>46286</v>
      </c>
      <c r="W854" s="81" t="s">
        <v>892</v>
      </c>
      <c r="X854" s="81" t="s">
        <v>876</v>
      </c>
      <c r="Y854" s="83" t="n">
        <v>46287</v>
      </c>
      <c r="Z854" s="81" t="s">
        <v>921</v>
      </c>
      <c r="AA854" s="81" t="s">
        <v>876</v>
      </c>
      <c r="AB854" s="81"/>
      <c r="AC854" s="81"/>
      <c r="AD854" s="81"/>
      <c r="AE854" s="83"/>
      <c r="AF854" s="81"/>
      <c r="AG854" s="81"/>
      <c r="AH854" s="81"/>
      <c r="AI854" s="81"/>
      <c r="AJ854" s="83"/>
      <c r="AK854" s="81"/>
      <c r="AL854" s="81"/>
      <c r="AM854" s="83"/>
      <c r="AN854" s="80"/>
      <c r="AO854" s="82" t="n">
        <f aca="false">IF(E854="","",(AA854&lt;&gt;"")+(AG854&lt;&gt;"")+(AL854&lt;&gt;""))</f>
        <v>1</v>
      </c>
      <c r="AP854" s="82" t="str">
        <f aca="false">IF(AL854&lt;&gt;"",AL854,IF(AG854&lt;&gt;"",AG854,IF(AA854&lt;&gt;"",AA854,"")))</f>
        <v>A</v>
      </c>
      <c r="AQ854" s="84" t="str">
        <f aca="false">IF(E854="","",IF(U854="","À SOUDER",IF(X854="","VT EN ATTENTE",IF(X854="R","VT REJETÉ – À REPRENDRE",IF(AP854="","À RADIOGRAPHIER",IF(AP854="A","ACCEPTÉ",IF(AP854="NX","NX – RT À REFAIRE",IF(IF(AO854=1,AD854,IF(AO854=2,AI854,""))="A","RÉPARÉ – À RADIOGRAPHIER",IF(IF(AO854=1,AD854,IF(AO854=2,AI854,""))="R","VT REJETÉ – À REPRENDRE",IF(OR(AP854="CO",AP854="NT"),"COUPE – À RESOUDER","À RÉPARER"))))))))))</f>
        <v>ACCEPTÉ</v>
      </c>
      <c r="AR854" s="82" t="str">
        <f aca="false">IF(AND(ISNUMBER(U854),OR(AQ854="À RADIOGRAPHIER",AQ854="RÉPARÉ – À RADIOGRAPHIER",AQ854="NX – RT À REFAIRE",AQ854="À RÉPARER",AQ854="COUPE – À RESOUDER",AQ854="VT REJETÉ – À REPRENDRE")),MAX(0,'PROGRAMME RT'!$C$4-U854),"")</f>
        <v/>
      </c>
      <c r="AS854" s="82" t="n">
        <f aca="false">IF(AND(OR(AQ854="À RADIOGRAPHIER",AQ854="RÉPARÉ – À RADIOGRAPHIER",AQ854="NX – RT À REFAIRE"),OR('PROGRAMME RT'!$D$5="TOUTES",B854='PROGRAMME RT'!$D$5)),1,0)</f>
        <v>0</v>
      </c>
      <c r="AT854" s="82" t="str">
        <f aca="false">IF(AS854=1,SUM(AS$7:AS854),"")</f>
        <v/>
      </c>
      <c r="AU854" s="82" t="n">
        <f aca="false">IF(AND(OR(AA854="R",AA854="NX",AA854="NT",AA854="CO"),OR('JOINTS DE RÉPARATION'!$D$5="TOUTES",B854='JOINTS DE RÉPARATION'!$D$5),OR('JOINTS DE RÉPARATION'!$L$4="TOUS",AQ854&lt;&gt;"ACCEPTÉ")),1,0)</f>
        <v>0</v>
      </c>
      <c r="AV854" s="82" t="str">
        <f aca="false">IF(AU854=1,SUM(AU$7:AU854),"")</f>
        <v/>
      </c>
      <c r="AW854" s="82" t="str">
        <f aca="false">IF(E854="","",B854&amp;"|"&amp;E854)</f>
        <v>MFD-ISW → MFD-CPF|DJ°462</v>
      </c>
    </row>
    <row r="855" customFormat="false" ht="74.6" hidden="false" customHeight="false" outlineLevel="0" collapsed="false">
      <c r="A855" s="79" t="n">
        <f aca="false">IF(E855="","",ROW()-6)</f>
        <v>849</v>
      </c>
      <c r="B855" s="80" t="s">
        <v>110</v>
      </c>
      <c r="C855" s="81"/>
      <c r="D855" s="81" t="n">
        <v>5</v>
      </c>
      <c r="E855" s="81" t="s">
        <v>993</v>
      </c>
      <c r="F855" s="82" t="str">
        <f aca="false">IF(E855="","",IF(LEFT(E855,2)="DJ","DJ","JN"))</f>
        <v>JN</v>
      </c>
      <c r="G855" s="81"/>
      <c r="H855" s="81" t="s">
        <v>871</v>
      </c>
      <c r="I855" s="81" t="n">
        <v>9.53</v>
      </c>
      <c r="J855" s="81" t="s">
        <v>872</v>
      </c>
      <c r="K855" s="81" t="s">
        <v>879</v>
      </c>
      <c r="L855" s="81" t="n">
        <v>2096850</v>
      </c>
      <c r="M855" s="81" t="n">
        <v>15421111</v>
      </c>
      <c r="N855" s="81" t="n">
        <v>11.94</v>
      </c>
      <c r="O855" s="81" t="n">
        <v>2094170</v>
      </c>
      <c r="P855" s="81" t="n">
        <v>15421106</v>
      </c>
      <c r="Q855" s="81" t="n">
        <v>11.94</v>
      </c>
      <c r="R855" s="81" t="s">
        <v>935</v>
      </c>
      <c r="S855" s="81"/>
      <c r="T855" s="81"/>
      <c r="U855" s="83" t="n">
        <v>46289</v>
      </c>
      <c r="V855" s="83" t="n">
        <v>46289</v>
      </c>
      <c r="W855" s="81" t="s">
        <v>982</v>
      </c>
      <c r="X855" s="81" t="s">
        <v>876</v>
      </c>
      <c r="Y855" s="83"/>
      <c r="Z855" s="81"/>
      <c r="AA855" s="81"/>
      <c r="AB855" s="81"/>
      <c r="AC855" s="81"/>
      <c r="AD855" s="81"/>
      <c r="AE855" s="83"/>
      <c r="AF855" s="81"/>
      <c r="AG855" s="81"/>
      <c r="AH855" s="81"/>
      <c r="AI855" s="81"/>
      <c r="AJ855" s="83"/>
      <c r="AK855" s="81"/>
      <c r="AL855" s="81"/>
      <c r="AM855" s="83"/>
      <c r="AN855" s="80"/>
      <c r="AO855" s="82" t="n">
        <f aca="false">IF(E855="","",(AA855&lt;&gt;"")+(AG855&lt;&gt;"")+(AL855&lt;&gt;""))</f>
        <v>0</v>
      </c>
      <c r="AP855" s="82" t="str">
        <f aca="false">IF(AL855&lt;&gt;"",AL855,IF(AG855&lt;&gt;"",AG855,IF(AA855&lt;&gt;"",AA855,"")))</f>
        <v/>
      </c>
      <c r="AQ855" s="84" t="str">
        <f aca="false">IF(E855="","",IF(U855="","À SOUDER",IF(X855="","VT EN ATTENTE",IF(X855="R","VT REJETÉ – À REPRENDRE",IF(AP855="","À RADIOGRAPHIER",IF(AP855="A","ACCEPTÉ",IF(AP855="NX","NX – RT À REFAIRE",IF(IF(AO855=1,AD855,IF(AO855=2,AI855,""))="A","RÉPARÉ – À RADIOGRAPHIER",IF(IF(AO855=1,AD855,IF(AO855=2,AI855,""))="R","VT REJETÉ – À REPRENDRE",IF(OR(AP855="CO",AP855="NT"),"COUPE – À RESOUDER","À RÉPARER"))))))))))</f>
        <v>À RADIOGRAPHIER</v>
      </c>
      <c r="AR855" s="82" t="n">
        <f aca="false">IF(AND(ISNUMBER(U855),OR(AQ855="À RADIOGRAPHIER",AQ855="RÉPARÉ – À RADIOGRAPHIER",AQ855="NX – RT À REFAIRE",AQ855="À RÉPARER",AQ855="COUPE – À RESOUDER",AQ855="VT REJETÉ – À REPRENDRE")),MAX(0,'PROGRAMME RT'!$C$4-U855),"")</f>
        <v>4</v>
      </c>
      <c r="AS855" s="82" t="n">
        <f aca="false">IF(AND(OR(AQ855="À RADIOGRAPHIER",AQ855="RÉPARÉ – À RADIOGRAPHIER",AQ855="NX – RT À REFAIRE"),OR('PROGRAMME RT'!$D$5="TOUTES",B855='PROGRAMME RT'!$D$5)),1,0)</f>
        <v>1</v>
      </c>
      <c r="AT855" s="82" t="n">
        <f aca="false">IF(AS855=1,SUM(AS$7:AS855),"")</f>
        <v>41</v>
      </c>
      <c r="AU855" s="82" t="n">
        <f aca="false">IF(AND(OR(AA855="R",AA855="NX",AA855="NT",AA855="CO"),OR('JOINTS DE RÉPARATION'!$D$5="TOUTES",B855='JOINTS DE RÉPARATION'!$D$5),OR('JOINTS DE RÉPARATION'!$L$4="TOUS",AQ855&lt;&gt;"ACCEPTÉ")),1,0)</f>
        <v>0</v>
      </c>
      <c r="AV855" s="82" t="str">
        <f aca="false">IF(AU855=1,SUM(AU$7:AU855),"")</f>
        <v/>
      </c>
      <c r="AW855" s="82" t="str">
        <f aca="false">IF(E855="","",B855&amp;"|"&amp;E855)</f>
        <v>MFD-ISW → MFD-CPF|JN°805</v>
      </c>
    </row>
    <row r="856" customFormat="false" ht="74.6" hidden="false" customHeight="false" outlineLevel="0" collapsed="false">
      <c r="A856" s="79" t="n">
        <f aca="false">IF(E856="","",ROW()-6)</f>
        <v>850</v>
      </c>
      <c r="B856" s="80" t="s">
        <v>110</v>
      </c>
      <c r="C856" s="81"/>
      <c r="D856" s="81" t="n">
        <v>5</v>
      </c>
      <c r="E856" s="81" t="s">
        <v>994</v>
      </c>
      <c r="F856" s="82" t="str">
        <f aca="false">IF(E856="","",IF(LEFT(E856,2)="DJ","DJ","JN"))</f>
        <v>DJ</v>
      </c>
      <c r="G856" s="81"/>
      <c r="H856" s="81" t="s">
        <v>871</v>
      </c>
      <c r="I856" s="81" t="n">
        <v>9.53</v>
      </c>
      <c r="J856" s="81" t="s">
        <v>872</v>
      </c>
      <c r="K856" s="81" t="s">
        <v>873</v>
      </c>
      <c r="L856" s="81" t="n">
        <v>2094170</v>
      </c>
      <c r="M856" s="81" t="n">
        <v>15421106</v>
      </c>
      <c r="N856" s="81" t="n">
        <v>11.94</v>
      </c>
      <c r="O856" s="81" t="n">
        <v>2089030</v>
      </c>
      <c r="P856" s="81" t="n">
        <v>15421108</v>
      </c>
      <c r="Q856" s="81" t="n">
        <v>11.94</v>
      </c>
      <c r="R856" s="81" t="s">
        <v>882</v>
      </c>
      <c r="S856" s="81"/>
      <c r="T856" s="81"/>
      <c r="U856" s="83" t="n">
        <v>46287</v>
      </c>
      <c r="V856" s="83" t="n">
        <v>46287</v>
      </c>
      <c r="W856" s="81" t="s">
        <v>938</v>
      </c>
      <c r="X856" s="81" t="s">
        <v>876</v>
      </c>
      <c r="Y856" s="83" t="n">
        <v>46288</v>
      </c>
      <c r="Z856" s="81" t="s">
        <v>939</v>
      </c>
      <c r="AA856" s="81" t="s">
        <v>876</v>
      </c>
      <c r="AB856" s="81"/>
      <c r="AC856" s="81"/>
      <c r="AD856" s="81"/>
      <c r="AE856" s="83"/>
      <c r="AF856" s="81"/>
      <c r="AG856" s="81"/>
      <c r="AH856" s="81"/>
      <c r="AI856" s="81"/>
      <c r="AJ856" s="83"/>
      <c r="AK856" s="81"/>
      <c r="AL856" s="81"/>
      <c r="AM856" s="83"/>
      <c r="AN856" s="80"/>
      <c r="AO856" s="82" t="n">
        <f aca="false">IF(E856="","",(AA856&lt;&gt;"")+(AG856&lt;&gt;"")+(AL856&lt;&gt;""))</f>
        <v>1</v>
      </c>
      <c r="AP856" s="82" t="str">
        <f aca="false">IF(AL856&lt;&gt;"",AL856,IF(AG856&lt;&gt;"",AG856,IF(AA856&lt;&gt;"",AA856,"")))</f>
        <v>A</v>
      </c>
      <c r="AQ856" s="84" t="str">
        <f aca="false">IF(E856="","",IF(U856="","À SOUDER",IF(X856="","VT EN ATTENTE",IF(X856="R","VT REJETÉ – À REPRENDRE",IF(AP856="","À RADIOGRAPHIER",IF(AP856="A","ACCEPTÉ",IF(AP856="NX","NX – RT À REFAIRE",IF(IF(AO856=1,AD856,IF(AO856=2,AI856,""))="A","RÉPARÉ – À RADIOGRAPHIER",IF(IF(AO856=1,AD856,IF(AO856=2,AI856,""))="R","VT REJETÉ – À REPRENDRE",IF(OR(AP856="CO",AP856="NT"),"COUPE – À RESOUDER","À RÉPARER"))))))))))</f>
        <v>ACCEPTÉ</v>
      </c>
      <c r="AR856" s="82" t="str">
        <f aca="false">IF(AND(ISNUMBER(U856),OR(AQ856="À RADIOGRAPHIER",AQ856="RÉPARÉ – À RADIOGRAPHIER",AQ856="NX – RT À REFAIRE",AQ856="À RÉPARER",AQ856="COUPE – À RESOUDER",AQ856="VT REJETÉ – À REPRENDRE")),MAX(0,'PROGRAMME RT'!$C$4-U856),"")</f>
        <v/>
      </c>
      <c r="AS856" s="82" t="n">
        <f aca="false">IF(AND(OR(AQ856="À RADIOGRAPHIER",AQ856="RÉPARÉ – À RADIOGRAPHIER",AQ856="NX – RT À REFAIRE"),OR('PROGRAMME RT'!$D$5="TOUTES",B856='PROGRAMME RT'!$D$5)),1,0)</f>
        <v>0</v>
      </c>
      <c r="AT856" s="82" t="str">
        <f aca="false">IF(AS856=1,SUM(AS$7:AS856),"")</f>
        <v/>
      </c>
      <c r="AU856" s="82" t="n">
        <f aca="false">IF(AND(OR(AA856="R",AA856="NX",AA856="NT",AA856="CO"),OR('JOINTS DE RÉPARATION'!$D$5="TOUTES",B856='JOINTS DE RÉPARATION'!$D$5),OR('JOINTS DE RÉPARATION'!$L$4="TOUS",AQ856&lt;&gt;"ACCEPTÉ")),1,0)</f>
        <v>0</v>
      </c>
      <c r="AV856" s="82" t="str">
        <f aca="false">IF(AU856=1,SUM(AU$7:AU856),"")</f>
        <v/>
      </c>
      <c r="AW856" s="82" t="str">
        <f aca="false">IF(E856="","",B856&amp;"|"&amp;E856)</f>
        <v>MFD-ISW → MFD-CPF|DJ°489</v>
      </c>
    </row>
    <row r="857" customFormat="false" ht="74.6" hidden="false" customHeight="false" outlineLevel="0" collapsed="false">
      <c r="A857" s="79" t="n">
        <f aca="false">IF(E857="","",ROW()-6)</f>
        <v>851</v>
      </c>
      <c r="B857" s="80" t="s">
        <v>110</v>
      </c>
      <c r="C857" s="81"/>
      <c r="D857" s="81" t="n">
        <v>5</v>
      </c>
      <c r="E857" s="81" t="s">
        <v>995</v>
      </c>
      <c r="F857" s="82" t="str">
        <f aca="false">IF(E857="","",IF(LEFT(E857,2)="DJ","DJ","JN"))</f>
        <v>JN</v>
      </c>
      <c r="G857" s="81"/>
      <c r="H857" s="81" t="s">
        <v>871</v>
      </c>
      <c r="I857" s="81" t="n">
        <v>9.53</v>
      </c>
      <c r="J857" s="81" t="s">
        <v>872</v>
      </c>
      <c r="K857" s="81" t="s">
        <v>879</v>
      </c>
      <c r="L857" s="81" t="n">
        <v>2089030</v>
      </c>
      <c r="M857" s="81" t="n">
        <v>15421108</v>
      </c>
      <c r="N857" s="81" t="n">
        <v>11.94</v>
      </c>
      <c r="O857" s="81" t="n">
        <v>2085340</v>
      </c>
      <c r="P857" s="81" t="n">
        <v>15421106</v>
      </c>
      <c r="Q857" s="81" t="n">
        <v>11.94</v>
      </c>
      <c r="R857" s="81" t="s">
        <v>935</v>
      </c>
      <c r="S857" s="81"/>
      <c r="T857" s="81"/>
      <c r="U857" s="83" t="n">
        <v>46289</v>
      </c>
      <c r="V857" s="83" t="n">
        <v>46289</v>
      </c>
      <c r="W857" s="81" t="s">
        <v>982</v>
      </c>
      <c r="X857" s="81" t="s">
        <v>876</v>
      </c>
      <c r="Y857" s="83"/>
      <c r="Z857" s="81"/>
      <c r="AA857" s="81"/>
      <c r="AB857" s="81"/>
      <c r="AC857" s="81"/>
      <c r="AD857" s="81"/>
      <c r="AE857" s="83"/>
      <c r="AF857" s="81"/>
      <c r="AG857" s="81"/>
      <c r="AH857" s="81"/>
      <c r="AI857" s="81"/>
      <c r="AJ857" s="83"/>
      <c r="AK857" s="81"/>
      <c r="AL857" s="81"/>
      <c r="AM857" s="83"/>
      <c r="AN857" s="80"/>
      <c r="AO857" s="82" t="n">
        <f aca="false">IF(E857="","",(AA857&lt;&gt;"")+(AG857&lt;&gt;"")+(AL857&lt;&gt;""))</f>
        <v>0</v>
      </c>
      <c r="AP857" s="82" t="str">
        <f aca="false">IF(AL857&lt;&gt;"",AL857,IF(AG857&lt;&gt;"",AG857,IF(AA857&lt;&gt;"",AA857,"")))</f>
        <v/>
      </c>
      <c r="AQ857" s="84" t="str">
        <f aca="false">IF(E857="","",IF(U857="","À SOUDER",IF(X857="","VT EN ATTENTE",IF(X857="R","VT REJETÉ – À REPRENDRE",IF(AP857="","À RADIOGRAPHIER",IF(AP857="A","ACCEPTÉ",IF(AP857="NX","NX – RT À REFAIRE",IF(IF(AO857=1,AD857,IF(AO857=2,AI857,""))="A","RÉPARÉ – À RADIOGRAPHIER",IF(IF(AO857=1,AD857,IF(AO857=2,AI857,""))="R","VT REJETÉ – À REPRENDRE",IF(OR(AP857="CO",AP857="NT"),"COUPE – À RESOUDER","À RÉPARER"))))))))))</f>
        <v>À RADIOGRAPHIER</v>
      </c>
      <c r="AR857" s="82" t="n">
        <f aca="false">IF(AND(ISNUMBER(U857),OR(AQ857="À RADIOGRAPHIER",AQ857="RÉPARÉ – À RADIOGRAPHIER",AQ857="NX – RT À REFAIRE",AQ857="À RÉPARER",AQ857="COUPE – À RESOUDER",AQ857="VT REJETÉ – À REPRENDRE")),MAX(0,'PROGRAMME RT'!$C$4-U857),"")</f>
        <v>4</v>
      </c>
      <c r="AS857" s="82" t="n">
        <f aca="false">IF(AND(OR(AQ857="À RADIOGRAPHIER",AQ857="RÉPARÉ – À RADIOGRAPHIER",AQ857="NX – RT À REFAIRE"),OR('PROGRAMME RT'!$D$5="TOUTES",B857='PROGRAMME RT'!$D$5)),1,0)</f>
        <v>1</v>
      </c>
      <c r="AT857" s="82" t="n">
        <f aca="false">IF(AS857=1,SUM(AS$7:AS857),"")</f>
        <v>42</v>
      </c>
      <c r="AU857" s="82" t="n">
        <f aca="false">IF(AND(OR(AA857="R",AA857="NX",AA857="NT",AA857="CO"),OR('JOINTS DE RÉPARATION'!$D$5="TOUTES",B857='JOINTS DE RÉPARATION'!$D$5),OR('JOINTS DE RÉPARATION'!$L$4="TOUS",AQ857&lt;&gt;"ACCEPTÉ")),1,0)</f>
        <v>0</v>
      </c>
      <c r="AV857" s="82" t="str">
        <f aca="false">IF(AU857=1,SUM(AU$7:AU857),"")</f>
        <v/>
      </c>
      <c r="AW857" s="82" t="str">
        <f aca="false">IF(E857="","",B857&amp;"|"&amp;E857)</f>
        <v>MFD-ISW → MFD-CPF|JN°806</v>
      </c>
    </row>
    <row r="858" customFormat="false" ht="74.6" hidden="false" customHeight="false" outlineLevel="0" collapsed="false">
      <c r="A858" s="79" t="n">
        <f aca="false">IF(E858="","",ROW()-6)</f>
        <v>852</v>
      </c>
      <c r="B858" s="80" t="s">
        <v>110</v>
      </c>
      <c r="C858" s="81" t="s">
        <v>868</v>
      </c>
      <c r="D858" s="81" t="n">
        <v>5</v>
      </c>
      <c r="E858" s="81" t="s">
        <v>996</v>
      </c>
      <c r="F858" s="82" t="str">
        <f aca="false">IF(E858="","",IF(LEFT(E858,2)="DJ","DJ","JN"))</f>
        <v>DJ</v>
      </c>
      <c r="G858" s="81"/>
      <c r="H858" s="81" t="s">
        <v>871</v>
      </c>
      <c r="I858" s="81" t="n">
        <v>9.53</v>
      </c>
      <c r="J858" s="81" t="s">
        <v>872</v>
      </c>
      <c r="K858" s="81" t="s">
        <v>873</v>
      </c>
      <c r="L858" s="81" t="n">
        <v>2085340</v>
      </c>
      <c r="M858" s="81" t="n">
        <v>15421106</v>
      </c>
      <c r="N858" s="81" t="n">
        <v>11.94</v>
      </c>
      <c r="O858" s="81" t="n">
        <v>2080270</v>
      </c>
      <c r="P858" s="81" t="n">
        <v>15421108</v>
      </c>
      <c r="Q858" s="81" t="n">
        <v>11.94</v>
      </c>
      <c r="R858" s="81" t="s">
        <v>963</v>
      </c>
      <c r="S858" s="81"/>
      <c r="T858" s="81"/>
      <c r="U858" s="83" t="n">
        <v>46286</v>
      </c>
      <c r="V858" s="83" t="n">
        <v>46286</v>
      </c>
      <c r="W858" s="81" t="s">
        <v>892</v>
      </c>
      <c r="X858" s="81" t="s">
        <v>876</v>
      </c>
      <c r="Y858" s="83" t="n">
        <v>46287</v>
      </c>
      <c r="Z858" s="81" t="s">
        <v>921</v>
      </c>
      <c r="AA858" s="81" t="s">
        <v>876</v>
      </c>
      <c r="AB858" s="81"/>
      <c r="AC858" s="81"/>
      <c r="AD858" s="81"/>
      <c r="AE858" s="83"/>
      <c r="AF858" s="81"/>
      <c r="AG858" s="81"/>
      <c r="AH858" s="81"/>
      <c r="AI858" s="81"/>
      <c r="AJ858" s="83"/>
      <c r="AK858" s="81"/>
      <c r="AL858" s="81"/>
      <c r="AM858" s="83"/>
      <c r="AN858" s="80"/>
      <c r="AO858" s="82" t="n">
        <f aca="false">IF(E858="","",(AA858&lt;&gt;"")+(AG858&lt;&gt;"")+(AL858&lt;&gt;""))</f>
        <v>1</v>
      </c>
      <c r="AP858" s="82" t="str">
        <f aca="false">IF(AL858&lt;&gt;"",AL858,IF(AG858&lt;&gt;"",AG858,IF(AA858&lt;&gt;"",AA858,"")))</f>
        <v>A</v>
      </c>
      <c r="AQ858" s="84" t="str">
        <f aca="false">IF(E858="","",IF(U858="","À SOUDER",IF(X858="","VT EN ATTENTE",IF(X858="R","VT REJETÉ – À REPRENDRE",IF(AP858="","À RADIOGRAPHIER",IF(AP858="A","ACCEPTÉ",IF(AP858="NX","NX – RT À REFAIRE",IF(IF(AO858=1,AD858,IF(AO858=2,AI858,""))="A","RÉPARÉ – À RADIOGRAPHIER",IF(IF(AO858=1,AD858,IF(AO858=2,AI858,""))="R","VT REJETÉ – À REPRENDRE",IF(OR(AP858="CO",AP858="NT"),"COUPE – À RESOUDER","À RÉPARER"))))))))))</f>
        <v>ACCEPTÉ</v>
      </c>
      <c r="AR858" s="82" t="str">
        <f aca="false">IF(AND(ISNUMBER(U858),OR(AQ858="À RADIOGRAPHIER",AQ858="RÉPARÉ – À RADIOGRAPHIER",AQ858="NX – RT À REFAIRE",AQ858="À RÉPARER",AQ858="COUPE – À RESOUDER",AQ858="VT REJETÉ – À REPRENDRE")),MAX(0,'PROGRAMME RT'!$C$4-U858),"")</f>
        <v/>
      </c>
      <c r="AS858" s="82" t="n">
        <f aca="false">IF(AND(OR(AQ858="À RADIOGRAPHIER",AQ858="RÉPARÉ – À RADIOGRAPHIER",AQ858="NX – RT À REFAIRE"),OR('PROGRAMME RT'!$D$5="TOUTES",B858='PROGRAMME RT'!$D$5)),1,0)</f>
        <v>0</v>
      </c>
      <c r="AT858" s="82" t="str">
        <f aca="false">IF(AS858=1,SUM(AS$7:AS858),"")</f>
        <v/>
      </c>
      <c r="AU858" s="82" t="n">
        <f aca="false">IF(AND(OR(AA858="R",AA858="NX",AA858="NT",AA858="CO"),OR('JOINTS DE RÉPARATION'!$D$5="TOUTES",B858='JOINTS DE RÉPARATION'!$D$5),OR('JOINTS DE RÉPARATION'!$L$4="TOUS",AQ858&lt;&gt;"ACCEPTÉ")),1,0)</f>
        <v>0</v>
      </c>
      <c r="AV858" s="82" t="str">
        <f aca="false">IF(AU858=1,SUM(AU$7:AU858),"")</f>
        <v/>
      </c>
      <c r="AW858" s="82" t="str">
        <f aca="false">IF(E858="","",B858&amp;"|"&amp;E858)</f>
        <v>MFD-ISW → MFD-CPF|DJ°464</v>
      </c>
    </row>
    <row r="859" customFormat="false" ht="74.6" hidden="false" customHeight="false" outlineLevel="0" collapsed="false">
      <c r="A859" s="79" t="n">
        <f aca="false">IF(E859="","",ROW()-6)</f>
        <v>853</v>
      </c>
      <c r="B859" s="80" t="s">
        <v>110</v>
      </c>
      <c r="C859" s="81"/>
      <c r="D859" s="81" t="n">
        <v>5</v>
      </c>
      <c r="E859" s="81" t="s">
        <v>997</v>
      </c>
      <c r="F859" s="82" t="str">
        <f aca="false">IF(E859="","",IF(LEFT(E859,2)="DJ","DJ","JN"))</f>
        <v>JN</v>
      </c>
      <c r="G859" s="81"/>
      <c r="H859" s="81" t="s">
        <v>871</v>
      </c>
      <c r="I859" s="81" t="n">
        <v>9.53</v>
      </c>
      <c r="J859" s="81" t="s">
        <v>872</v>
      </c>
      <c r="K859" s="81" t="s">
        <v>879</v>
      </c>
      <c r="L859" s="81" t="n">
        <v>2080270</v>
      </c>
      <c r="M859" s="81" t="n">
        <v>15421108</v>
      </c>
      <c r="N859" s="81" t="n">
        <v>11.94</v>
      </c>
      <c r="O859" s="81" t="n">
        <v>2080650</v>
      </c>
      <c r="P859" s="81" t="n">
        <v>15421103</v>
      </c>
      <c r="Q859" s="81" t="n">
        <v>11.94</v>
      </c>
      <c r="R859" s="81" t="s">
        <v>935</v>
      </c>
      <c r="S859" s="81"/>
      <c r="T859" s="81"/>
      <c r="U859" s="83" t="n">
        <v>46289</v>
      </c>
      <c r="V859" s="83" t="n">
        <v>46289</v>
      </c>
      <c r="W859" s="81" t="s">
        <v>982</v>
      </c>
      <c r="X859" s="81" t="s">
        <v>876</v>
      </c>
      <c r="Y859" s="83"/>
      <c r="Z859" s="81"/>
      <c r="AA859" s="81"/>
      <c r="AB859" s="81"/>
      <c r="AC859" s="81"/>
      <c r="AD859" s="81"/>
      <c r="AE859" s="83"/>
      <c r="AF859" s="81"/>
      <c r="AG859" s="81"/>
      <c r="AH859" s="81"/>
      <c r="AI859" s="81"/>
      <c r="AJ859" s="83"/>
      <c r="AK859" s="81"/>
      <c r="AL859" s="81"/>
      <c r="AM859" s="83"/>
      <c r="AN859" s="80"/>
      <c r="AO859" s="82" t="n">
        <f aca="false">IF(E859="","",(AA859&lt;&gt;"")+(AG859&lt;&gt;"")+(AL859&lt;&gt;""))</f>
        <v>0</v>
      </c>
      <c r="AP859" s="82" t="str">
        <f aca="false">IF(AL859&lt;&gt;"",AL859,IF(AG859&lt;&gt;"",AG859,IF(AA859&lt;&gt;"",AA859,"")))</f>
        <v/>
      </c>
      <c r="AQ859" s="84" t="str">
        <f aca="false">IF(E859="","",IF(U859="","À SOUDER",IF(X859="","VT EN ATTENTE",IF(X859="R","VT REJETÉ – À REPRENDRE",IF(AP859="","À RADIOGRAPHIER",IF(AP859="A","ACCEPTÉ",IF(AP859="NX","NX – RT À REFAIRE",IF(IF(AO859=1,AD859,IF(AO859=2,AI859,""))="A","RÉPARÉ – À RADIOGRAPHIER",IF(IF(AO859=1,AD859,IF(AO859=2,AI859,""))="R","VT REJETÉ – À REPRENDRE",IF(OR(AP859="CO",AP859="NT"),"COUPE – À RESOUDER","À RÉPARER"))))))))))</f>
        <v>À RADIOGRAPHIER</v>
      </c>
      <c r="AR859" s="82" t="n">
        <f aca="false">IF(AND(ISNUMBER(U859),OR(AQ859="À RADIOGRAPHIER",AQ859="RÉPARÉ – À RADIOGRAPHIER",AQ859="NX – RT À REFAIRE",AQ859="À RÉPARER",AQ859="COUPE – À RESOUDER",AQ859="VT REJETÉ – À REPRENDRE")),MAX(0,'PROGRAMME RT'!$C$4-U859),"")</f>
        <v>4</v>
      </c>
      <c r="AS859" s="82" t="n">
        <f aca="false">IF(AND(OR(AQ859="À RADIOGRAPHIER",AQ859="RÉPARÉ – À RADIOGRAPHIER",AQ859="NX – RT À REFAIRE"),OR('PROGRAMME RT'!$D$5="TOUTES",B859='PROGRAMME RT'!$D$5)),1,0)</f>
        <v>1</v>
      </c>
      <c r="AT859" s="82" t="n">
        <f aca="false">IF(AS859=1,SUM(AS$7:AS859),"")</f>
        <v>43</v>
      </c>
      <c r="AU859" s="82" t="n">
        <f aca="false">IF(AND(OR(AA859="R",AA859="NX",AA859="NT",AA859="CO"),OR('JOINTS DE RÉPARATION'!$D$5="TOUTES",B859='JOINTS DE RÉPARATION'!$D$5),OR('JOINTS DE RÉPARATION'!$L$4="TOUS",AQ859&lt;&gt;"ACCEPTÉ")),1,0)</f>
        <v>0</v>
      </c>
      <c r="AV859" s="82" t="str">
        <f aca="false">IF(AU859=1,SUM(AU$7:AU859),"")</f>
        <v/>
      </c>
      <c r="AW859" s="82" t="str">
        <f aca="false">IF(E859="","",B859&amp;"|"&amp;E859)</f>
        <v>MFD-ISW → MFD-CPF|JN°807</v>
      </c>
    </row>
    <row r="860" customFormat="false" ht="74.6" hidden="false" customHeight="false" outlineLevel="0" collapsed="false">
      <c r="A860" s="79" t="n">
        <f aca="false">IF(E860="","",ROW()-6)</f>
        <v>854</v>
      </c>
      <c r="B860" s="80" t="s">
        <v>110</v>
      </c>
      <c r="C860" s="81"/>
      <c r="D860" s="81" t="n">
        <v>5</v>
      </c>
      <c r="E860" s="81" t="s">
        <v>998</v>
      </c>
      <c r="F860" s="82" t="str">
        <f aca="false">IF(E860="","",IF(LEFT(E860,2)="DJ","DJ","JN"))</f>
        <v>DJ</v>
      </c>
      <c r="G860" s="81"/>
      <c r="H860" s="81" t="s">
        <v>871</v>
      </c>
      <c r="I860" s="81" t="n">
        <v>9.53</v>
      </c>
      <c r="J860" s="81" t="s">
        <v>872</v>
      </c>
      <c r="K860" s="81" t="s">
        <v>873</v>
      </c>
      <c r="L860" s="81" t="n">
        <v>2080650</v>
      </c>
      <c r="M860" s="81" t="n">
        <v>15421103</v>
      </c>
      <c r="N860" s="81" t="n">
        <v>11.94</v>
      </c>
      <c r="O860" s="81" t="n">
        <v>2082030</v>
      </c>
      <c r="P860" s="81" t="n">
        <v>15421104</v>
      </c>
      <c r="Q860" s="81" t="n">
        <v>11.94</v>
      </c>
      <c r="R860" s="81" t="s">
        <v>963</v>
      </c>
      <c r="S860" s="81"/>
      <c r="T860" s="81"/>
      <c r="U860" s="83" t="n">
        <v>46286</v>
      </c>
      <c r="V860" s="83" t="n">
        <v>46286</v>
      </c>
      <c r="W860" s="81" t="s">
        <v>892</v>
      </c>
      <c r="X860" s="81" t="s">
        <v>876</v>
      </c>
      <c r="Y860" s="83" t="n">
        <v>46287</v>
      </c>
      <c r="Z860" s="81" t="s">
        <v>921</v>
      </c>
      <c r="AA860" s="81" t="s">
        <v>876</v>
      </c>
      <c r="AB860" s="81"/>
      <c r="AC860" s="81"/>
      <c r="AD860" s="81"/>
      <c r="AE860" s="83"/>
      <c r="AF860" s="81"/>
      <c r="AG860" s="81"/>
      <c r="AH860" s="81"/>
      <c r="AI860" s="81"/>
      <c r="AJ860" s="83"/>
      <c r="AK860" s="81"/>
      <c r="AL860" s="81"/>
      <c r="AM860" s="83"/>
      <c r="AN860" s="80"/>
      <c r="AO860" s="82" t="n">
        <f aca="false">IF(E860="","",(AA860&lt;&gt;"")+(AG860&lt;&gt;"")+(AL860&lt;&gt;""))</f>
        <v>1</v>
      </c>
      <c r="AP860" s="82" t="str">
        <f aca="false">IF(AL860&lt;&gt;"",AL860,IF(AG860&lt;&gt;"",AG860,IF(AA860&lt;&gt;"",AA860,"")))</f>
        <v>A</v>
      </c>
      <c r="AQ860" s="84" t="str">
        <f aca="false">IF(E860="","",IF(U860="","À SOUDER",IF(X860="","VT EN ATTENTE",IF(X860="R","VT REJETÉ – À REPRENDRE",IF(AP860="","À RADIOGRAPHIER",IF(AP860="A","ACCEPTÉ",IF(AP860="NX","NX – RT À REFAIRE",IF(IF(AO860=1,AD860,IF(AO860=2,AI860,""))="A","RÉPARÉ – À RADIOGRAPHIER",IF(IF(AO860=1,AD860,IF(AO860=2,AI860,""))="R","VT REJETÉ – À REPRENDRE",IF(OR(AP860="CO",AP860="NT"),"COUPE – À RESOUDER","À RÉPARER"))))))))))</f>
        <v>ACCEPTÉ</v>
      </c>
      <c r="AR860" s="82" t="str">
        <f aca="false">IF(AND(ISNUMBER(U860),OR(AQ860="À RADIOGRAPHIER",AQ860="RÉPARÉ – À RADIOGRAPHIER",AQ860="NX – RT À REFAIRE",AQ860="À RÉPARER",AQ860="COUPE – À RESOUDER",AQ860="VT REJETÉ – À REPRENDRE")),MAX(0,'PROGRAMME RT'!$C$4-U860),"")</f>
        <v/>
      </c>
      <c r="AS860" s="82" t="n">
        <f aca="false">IF(AND(OR(AQ860="À RADIOGRAPHIER",AQ860="RÉPARÉ – À RADIOGRAPHIER",AQ860="NX – RT À REFAIRE"),OR('PROGRAMME RT'!$D$5="TOUTES",B860='PROGRAMME RT'!$D$5)),1,0)</f>
        <v>0</v>
      </c>
      <c r="AT860" s="82" t="str">
        <f aca="false">IF(AS860=1,SUM(AS$7:AS860),"")</f>
        <v/>
      </c>
      <c r="AU860" s="82" t="n">
        <f aca="false">IF(AND(OR(AA860="R",AA860="NX",AA860="NT",AA860="CO"),OR('JOINTS DE RÉPARATION'!$D$5="TOUTES",B860='JOINTS DE RÉPARATION'!$D$5),OR('JOINTS DE RÉPARATION'!$L$4="TOUS",AQ860&lt;&gt;"ACCEPTÉ")),1,0)</f>
        <v>0</v>
      </c>
      <c r="AV860" s="82" t="str">
        <f aca="false">IF(AU860=1,SUM(AU$7:AU860),"")</f>
        <v/>
      </c>
      <c r="AW860" s="82" t="str">
        <f aca="false">IF(E860="","",B860&amp;"|"&amp;E860)</f>
        <v>MFD-ISW → MFD-CPF|DJ°465</v>
      </c>
    </row>
    <row r="861" customFormat="false" ht="74.6" hidden="false" customHeight="false" outlineLevel="0" collapsed="false">
      <c r="A861" s="79" t="n">
        <f aca="false">IF(E861="","",ROW()-6)</f>
        <v>855</v>
      </c>
      <c r="B861" s="80" t="s">
        <v>110</v>
      </c>
      <c r="C861" s="81"/>
      <c r="D861" s="81" t="n">
        <v>5</v>
      </c>
      <c r="E861" s="81" t="s">
        <v>999</v>
      </c>
      <c r="F861" s="82" t="str">
        <f aca="false">IF(E861="","",IF(LEFT(E861,2)="DJ","DJ","JN"))</f>
        <v>JN</v>
      </c>
      <c r="G861" s="81"/>
      <c r="H861" s="81" t="s">
        <v>871</v>
      </c>
      <c r="I861" s="81" t="n">
        <v>9.53</v>
      </c>
      <c r="J861" s="81" t="s">
        <v>872</v>
      </c>
      <c r="K861" s="81" t="s">
        <v>879</v>
      </c>
      <c r="L861" s="81" t="n">
        <v>2082030</v>
      </c>
      <c r="M861" s="81" t="n">
        <v>15421104</v>
      </c>
      <c r="N861" s="81" t="n">
        <v>11.94</v>
      </c>
      <c r="O861" s="81" t="n">
        <v>2093090</v>
      </c>
      <c r="P861" s="81" t="n">
        <v>15421110</v>
      </c>
      <c r="Q861" s="81" t="n">
        <v>11.94</v>
      </c>
      <c r="R861" s="81" t="s">
        <v>935</v>
      </c>
      <c r="S861" s="81"/>
      <c r="T861" s="81"/>
      <c r="U861" s="83" t="n">
        <v>46289</v>
      </c>
      <c r="V861" s="83" t="n">
        <v>46289</v>
      </c>
      <c r="W861" s="81" t="s">
        <v>982</v>
      </c>
      <c r="X861" s="81" t="s">
        <v>876</v>
      </c>
      <c r="Y861" s="83"/>
      <c r="Z861" s="81"/>
      <c r="AA861" s="81"/>
      <c r="AB861" s="81"/>
      <c r="AC861" s="81"/>
      <c r="AD861" s="81"/>
      <c r="AE861" s="83"/>
      <c r="AF861" s="81"/>
      <c r="AG861" s="81"/>
      <c r="AH861" s="81"/>
      <c r="AI861" s="81"/>
      <c r="AJ861" s="83"/>
      <c r="AK861" s="81"/>
      <c r="AL861" s="81"/>
      <c r="AM861" s="83"/>
      <c r="AN861" s="80"/>
      <c r="AO861" s="82" t="n">
        <f aca="false">IF(E861="","",(AA861&lt;&gt;"")+(AG861&lt;&gt;"")+(AL861&lt;&gt;""))</f>
        <v>0</v>
      </c>
      <c r="AP861" s="82" t="str">
        <f aca="false">IF(AL861&lt;&gt;"",AL861,IF(AG861&lt;&gt;"",AG861,IF(AA861&lt;&gt;"",AA861,"")))</f>
        <v/>
      </c>
      <c r="AQ861" s="84" t="str">
        <f aca="false">IF(E861="","",IF(U861="","À SOUDER",IF(X861="","VT EN ATTENTE",IF(X861="R","VT REJETÉ – À REPRENDRE",IF(AP861="","À RADIOGRAPHIER",IF(AP861="A","ACCEPTÉ",IF(AP861="NX","NX – RT À REFAIRE",IF(IF(AO861=1,AD861,IF(AO861=2,AI861,""))="A","RÉPARÉ – À RADIOGRAPHIER",IF(IF(AO861=1,AD861,IF(AO861=2,AI861,""))="R","VT REJETÉ – À REPRENDRE",IF(OR(AP861="CO",AP861="NT"),"COUPE – À RESOUDER","À RÉPARER"))))))))))</f>
        <v>À RADIOGRAPHIER</v>
      </c>
      <c r="AR861" s="82" t="n">
        <f aca="false">IF(AND(ISNUMBER(U861),OR(AQ861="À RADIOGRAPHIER",AQ861="RÉPARÉ – À RADIOGRAPHIER",AQ861="NX – RT À REFAIRE",AQ861="À RÉPARER",AQ861="COUPE – À RESOUDER",AQ861="VT REJETÉ – À REPRENDRE")),MAX(0,'PROGRAMME RT'!$C$4-U861),"")</f>
        <v>4</v>
      </c>
      <c r="AS861" s="82" t="n">
        <f aca="false">IF(AND(OR(AQ861="À RADIOGRAPHIER",AQ861="RÉPARÉ – À RADIOGRAPHIER",AQ861="NX – RT À REFAIRE"),OR('PROGRAMME RT'!$D$5="TOUTES",B861='PROGRAMME RT'!$D$5)),1,0)</f>
        <v>1</v>
      </c>
      <c r="AT861" s="82" t="n">
        <f aca="false">IF(AS861=1,SUM(AS$7:AS861),"")</f>
        <v>44</v>
      </c>
      <c r="AU861" s="82" t="n">
        <f aca="false">IF(AND(OR(AA861="R",AA861="NX",AA861="NT",AA861="CO"),OR('JOINTS DE RÉPARATION'!$D$5="TOUTES",B861='JOINTS DE RÉPARATION'!$D$5),OR('JOINTS DE RÉPARATION'!$L$4="TOUS",AQ861&lt;&gt;"ACCEPTÉ")),1,0)</f>
        <v>0</v>
      </c>
      <c r="AV861" s="82" t="str">
        <f aca="false">IF(AU861=1,SUM(AU$7:AU861),"")</f>
        <v/>
      </c>
      <c r="AW861" s="82" t="str">
        <f aca="false">IF(E861="","",B861&amp;"|"&amp;E861)</f>
        <v>MFD-ISW → MFD-CPF|JN°808</v>
      </c>
    </row>
    <row r="862" customFormat="false" ht="74.6" hidden="false" customHeight="false" outlineLevel="0" collapsed="false">
      <c r="A862" s="79" t="n">
        <f aca="false">IF(E862="","",ROW()-6)</f>
        <v>856</v>
      </c>
      <c r="B862" s="80" t="s">
        <v>110</v>
      </c>
      <c r="C862" s="81"/>
      <c r="D862" s="81" t="n">
        <v>5</v>
      </c>
      <c r="E862" s="81" t="s">
        <v>1000</v>
      </c>
      <c r="F862" s="82" t="str">
        <f aca="false">IF(E862="","",IF(LEFT(E862,2)="DJ","DJ","JN"))</f>
        <v>DJ</v>
      </c>
      <c r="G862" s="81"/>
      <c r="H862" s="81" t="s">
        <v>871</v>
      </c>
      <c r="I862" s="81" t="n">
        <v>9.53</v>
      </c>
      <c r="J862" s="81" t="s">
        <v>872</v>
      </c>
      <c r="K862" s="81" t="s">
        <v>873</v>
      </c>
      <c r="L862" s="81" t="n">
        <v>2093090</v>
      </c>
      <c r="M862" s="81" t="n">
        <v>15421110</v>
      </c>
      <c r="N862" s="81" t="n">
        <v>11.94</v>
      </c>
      <c r="O862" s="81" t="n">
        <v>2092910</v>
      </c>
      <c r="P862" s="81" t="n">
        <v>15421103</v>
      </c>
      <c r="Q862" s="81" t="n">
        <v>11.94</v>
      </c>
      <c r="R862" s="81" t="s">
        <v>874</v>
      </c>
      <c r="S862" s="81"/>
      <c r="T862" s="81"/>
      <c r="U862" s="83" t="n">
        <v>46287</v>
      </c>
      <c r="V862" s="83" t="n">
        <v>46287</v>
      </c>
      <c r="W862" s="81" t="s">
        <v>938</v>
      </c>
      <c r="X862" s="81" t="s">
        <v>876</v>
      </c>
      <c r="Y862" s="83" t="n">
        <v>46288</v>
      </c>
      <c r="Z862" s="81" t="s">
        <v>939</v>
      </c>
      <c r="AA862" s="81" t="s">
        <v>876</v>
      </c>
      <c r="AB862" s="81"/>
      <c r="AC862" s="81"/>
      <c r="AD862" s="81"/>
      <c r="AE862" s="83"/>
      <c r="AF862" s="81"/>
      <c r="AG862" s="81"/>
      <c r="AH862" s="81"/>
      <c r="AI862" s="81"/>
      <c r="AJ862" s="83"/>
      <c r="AK862" s="81"/>
      <c r="AL862" s="81"/>
      <c r="AM862" s="83"/>
      <c r="AN862" s="80"/>
      <c r="AO862" s="82" t="n">
        <f aca="false">IF(E862="","",(AA862&lt;&gt;"")+(AG862&lt;&gt;"")+(AL862&lt;&gt;""))</f>
        <v>1</v>
      </c>
      <c r="AP862" s="82" t="str">
        <f aca="false">IF(AL862&lt;&gt;"",AL862,IF(AG862&lt;&gt;"",AG862,IF(AA862&lt;&gt;"",AA862,"")))</f>
        <v>A</v>
      </c>
      <c r="AQ862" s="84" t="str">
        <f aca="false">IF(E862="","",IF(U862="","À SOUDER",IF(X862="","VT EN ATTENTE",IF(X862="R","VT REJETÉ – À REPRENDRE",IF(AP862="","À RADIOGRAPHIER",IF(AP862="A","ACCEPTÉ",IF(AP862="NX","NX – RT À REFAIRE",IF(IF(AO862=1,AD862,IF(AO862=2,AI862,""))="A","RÉPARÉ – À RADIOGRAPHIER",IF(IF(AO862=1,AD862,IF(AO862=2,AI862,""))="R","VT REJETÉ – À REPRENDRE",IF(OR(AP862="CO",AP862="NT"),"COUPE – À RESOUDER","À RÉPARER"))))))))))</f>
        <v>ACCEPTÉ</v>
      </c>
      <c r="AR862" s="82" t="str">
        <f aca="false">IF(AND(ISNUMBER(U862),OR(AQ862="À RADIOGRAPHIER",AQ862="RÉPARÉ – À RADIOGRAPHIER",AQ862="NX – RT À REFAIRE",AQ862="À RÉPARER",AQ862="COUPE – À RESOUDER",AQ862="VT REJETÉ – À REPRENDRE")),MAX(0,'PROGRAMME RT'!$C$4-U862),"")</f>
        <v/>
      </c>
      <c r="AS862" s="82" t="n">
        <f aca="false">IF(AND(OR(AQ862="À RADIOGRAPHIER",AQ862="RÉPARÉ – À RADIOGRAPHIER",AQ862="NX – RT À REFAIRE"),OR('PROGRAMME RT'!$D$5="TOUTES",B862='PROGRAMME RT'!$D$5)),1,0)</f>
        <v>0</v>
      </c>
      <c r="AT862" s="82" t="str">
        <f aca="false">IF(AS862=1,SUM(AS$7:AS862),"")</f>
        <v/>
      </c>
      <c r="AU862" s="82" t="n">
        <f aca="false">IF(AND(OR(AA862="R",AA862="NX",AA862="NT",AA862="CO"),OR('JOINTS DE RÉPARATION'!$D$5="TOUTES",B862='JOINTS DE RÉPARATION'!$D$5),OR('JOINTS DE RÉPARATION'!$L$4="TOUS",AQ862&lt;&gt;"ACCEPTÉ")),1,0)</f>
        <v>0</v>
      </c>
      <c r="AV862" s="82" t="str">
        <f aca="false">IF(AU862=1,SUM(AU$7:AU862),"")</f>
        <v/>
      </c>
      <c r="AW862" s="82" t="str">
        <f aca="false">IF(E862="","",B862&amp;"|"&amp;E862)</f>
        <v>MFD-ISW → MFD-CPF|DJ°492</v>
      </c>
    </row>
    <row r="863" customFormat="false" ht="74.6" hidden="false" customHeight="false" outlineLevel="0" collapsed="false">
      <c r="A863" s="79" t="n">
        <f aca="false">IF(E863="","",ROW()-6)</f>
        <v>857</v>
      </c>
      <c r="B863" s="80" t="s">
        <v>110</v>
      </c>
      <c r="C863" s="81"/>
      <c r="D863" s="81" t="n">
        <v>5</v>
      </c>
      <c r="E863" s="81" t="s">
        <v>1001</v>
      </c>
      <c r="F863" s="82" t="str">
        <f aca="false">IF(E863="","",IF(LEFT(E863,2)="DJ","DJ","JN"))</f>
        <v>JN</v>
      </c>
      <c r="G863" s="81"/>
      <c r="H863" s="81" t="s">
        <v>871</v>
      </c>
      <c r="I863" s="81" t="n">
        <v>9.53</v>
      </c>
      <c r="J863" s="81" t="s">
        <v>872</v>
      </c>
      <c r="K863" s="81" t="s">
        <v>879</v>
      </c>
      <c r="L863" s="81" t="n">
        <v>2092910</v>
      </c>
      <c r="M863" s="81" t="n">
        <v>15421103</v>
      </c>
      <c r="N863" s="81" t="n">
        <v>11.94</v>
      </c>
      <c r="O863" s="81" t="n">
        <v>2081470</v>
      </c>
      <c r="P863" s="81" t="n">
        <v>15421103</v>
      </c>
      <c r="Q863" s="81" t="n">
        <v>11.94</v>
      </c>
      <c r="R863" s="81" t="s">
        <v>935</v>
      </c>
      <c r="S863" s="81"/>
      <c r="T863" s="81"/>
      <c r="U863" s="83" t="n">
        <v>46289</v>
      </c>
      <c r="V863" s="83" t="n">
        <v>46289</v>
      </c>
      <c r="W863" s="81" t="s">
        <v>982</v>
      </c>
      <c r="X863" s="81" t="s">
        <v>876</v>
      </c>
      <c r="Y863" s="83"/>
      <c r="Z863" s="81"/>
      <c r="AA863" s="81"/>
      <c r="AB863" s="81"/>
      <c r="AC863" s="81"/>
      <c r="AD863" s="81"/>
      <c r="AE863" s="83"/>
      <c r="AF863" s="81"/>
      <c r="AG863" s="81"/>
      <c r="AH863" s="81"/>
      <c r="AI863" s="81"/>
      <c r="AJ863" s="83"/>
      <c r="AK863" s="81"/>
      <c r="AL863" s="81"/>
      <c r="AM863" s="83"/>
      <c r="AN863" s="80"/>
      <c r="AO863" s="82" t="n">
        <f aca="false">IF(E863="","",(AA863&lt;&gt;"")+(AG863&lt;&gt;"")+(AL863&lt;&gt;""))</f>
        <v>0</v>
      </c>
      <c r="AP863" s="82" t="str">
        <f aca="false">IF(AL863&lt;&gt;"",AL863,IF(AG863&lt;&gt;"",AG863,IF(AA863&lt;&gt;"",AA863,"")))</f>
        <v/>
      </c>
      <c r="AQ863" s="84" t="str">
        <f aca="false">IF(E863="","",IF(U863="","À SOUDER",IF(X863="","VT EN ATTENTE",IF(X863="R","VT REJETÉ – À REPRENDRE",IF(AP863="","À RADIOGRAPHIER",IF(AP863="A","ACCEPTÉ",IF(AP863="NX","NX – RT À REFAIRE",IF(IF(AO863=1,AD863,IF(AO863=2,AI863,""))="A","RÉPARÉ – À RADIOGRAPHIER",IF(IF(AO863=1,AD863,IF(AO863=2,AI863,""))="R","VT REJETÉ – À REPRENDRE",IF(OR(AP863="CO",AP863="NT"),"COUPE – À RESOUDER","À RÉPARER"))))))))))</f>
        <v>À RADIOGRAPHIER</v>
      </c>
      <c r="AR863" s="82" t="n">
        <f aca="false">IF(AND(ISNUMBER(U863),OR(AQ863="À RADIOGRAPHIER",AQ863="RÉPARÉ – À RADIOGRAPHIER",AQ863="NX – RT À REFAIRE",AQ863="À RÉPARER",AQ863="COUPE – À RESOUDER",AQ863="VT REJETÉ – À REPRENDRE")),MAX(0,'PROGRAMME RT'!$C$4-U863),"")</f>
        <v>4</v>
      </c>
      <c r="AS863" s="82" t="n">
        <f aca="false">IF(AND(OR(AQ863="À RADIOGRAPHIER",AQ863="RÉPARÉ – À RADIOGRAPHIER",AQ863="NX – RT À REFAIRE"),OR('PROGRAMME RT'!$D$5="TOUTES",B863='PROGRAMME RT'!$D$5)),1,0)</f>
        <v>1</v>
      </c>
      <c r="AT863" s="82" t="n">
        <f aca="false">IF(AS863=1,SUM(AS$7:AS863),"")</f>
        <v>45</v>
      </c>
      <c r="AU863" s="82" t="n">
        <f aca="false">IF(AND(OR(AA863="R",AA863="NX",AA863="NT",AA863="CO"),OR('JOINTS DE RÉPARATION'!$D$5="TOUTES",B863='JOINTS DE RÉPARATION'!$D$5),OR('JOINTS DE RÉPARATION'!$L$4="TOUS",AQ863&lt;&gt;"ACCEPTÉ")),1,0)</f>
        <v>0</v>
      </c>
      <c r="AV863" s="82" t="str">
        <f aca="false">IF(AU863=1,SUM(AU$7:AU863),"")</f>
        <v/>
      </c>
      <c r="AW863" s="82" t="str">
        <f aca="false">IF(E863="","",B863&amp;"|"&amp;E863)</f>
        <v>MFD-ISW → MFD-CPF|JN°809</v>
      </c>
    </row>
    <row r="864" customFormat="false" ht="74.6" hidden="false" customHeight="false" outlineLevel="0" collapsed="false">
      <c r="A864" s="79" t="n">
        <f aca="false">IF(E864="","",ROW()-6)</f>
        <v>858</v>
      </c>
      <c r="B864" s="80" t="s">
        <v>110</v>
      </c>
      <c r="C864" s="81"/>
      <c r="D864" s="81" t="n">
        <v>5</v>
      </c>
      <c r="E864" s="81" t="s">
        <v>1002</v>
      </c>
      <c r="F864" s="82" t="str">
        <f aca="false">IF(E864="","",IF(LEFT(E864,2)="DJ","DJ","JN"))</f>
        <v>DJ</v>
      </c>
      <c r="G864" s="81"/>
      <c r="H864" s="81" t="s">
        <v>871</v>
      </c>
      <c r="I864" s="81" t="n">
        <v>9.53</v>
      </c>
      <c r="J864" s="81" t="s">
        <v>872</v>
      </c>
      <c r="K864" s="81" t="s">
        <v>873</v>
      </c>
      <c r="L864" s="81" t="n">
        <v>2081470</v>
      </c>
      <c r="M864" s="81" t="n">
        <v>15421103</v>
      </c>
      <c r="N864" s="81" t="n">
        <v>11.94</v>
      </c>
      <c r="O864" s="81" t="n">
        <v>2082040</v>
      </c>
      <c r="P864" s="81" t="n">
        <v>15421104</v>
      </c>
      <c r="Q864" s="81" t="n">
        <v>11.94</v>
      </c>
      <c r="R864" s="81" t="s">
        <v>882</v>
      </c>
      <c r="S864" s="81"/>
      <c r="T864" s="81"/>
      <c r="U864" s="83" t="n">
        <v>46286</v>
      </c>
      <c r="V864" s="83" t="n">
        <v>46286</v>
      </c>
      <c r="W864" s="81" t="s">
        <v>892</v>
      </c>
      <c r="X864" s="81" t="s">
        <v>876</v>
      </c>
      <c r="Y864" s="83" t="n">
        <v>46287</v>
      </c>
      <c r="Z864" s="81" t="s">
        <v>921</v>
      </c>
      <c r="AA864" s="81" t="s">
        <v>876</v>
      </c>
      <c r="AB864" s="81"/>
      <c r="AC864" s="81"/>
      <c r="AD864" s="81"/>
      <c r="AE864" s="83"/>
      <c r="AF864" s="81"/>
      <c r="AG864" s="81"/>
      <c r="AH864" s="81"/>
      <c r="AI864" s="81"/>
      <c r="AJ864" s="83"/>
      <c r="AK864" s="81"/>
      <c r="AL864" s="81"/>
      <c r="AM864" s="83"/>
      <c r="AN864" s="80"/>
      <c r="AO864" s="82" t="n">
        <f aca="false">IF(E864="","",(AA864&lt;&gt;"")+(AG864&lt;&gt;"")+(AL864&lt;&gt;""))</f>
        <v>1</v>
      </c>
      <c r="AP864" s="82" t="str">
        <f aca="false">IF(AL864&lt;&gt;"",AL864,IF(AG864&lt;&gt;"",AG864,IF(AA864&lt;&gt;"",AA864,"")))</f>
        <v>A</v>
      </c>
      <c r="AQ864" s="84" t="str">
        <f aca="false">IF(E864="","",IF(U864="","À SOUDER",IF(X864="","VT EN ATTENTE",IF(X864="R","VT REJETÉ – À REPRENDRE",IF(AP864="","À RADIOGRAPHIER",IF(AP864="A","ACCEPTÉ",IF(AP864="NX","NX – RT À REFAIRE",IF(IF(AO864=1,AD864,IF(AO864=2,AI864,""))="A","RÉPARÉ – À RADIOGRAPHIER",IF(IF(AO864=1,AD864,IF(AO864=2,AI864,""))="R","VT REJETÉ – À REPRENDRE",IF(OR(AP864="CO",AP864="NT"),"COUPE – À RESOUDER","À RÉPARER"))))))))))</f>
        <v>ACCEPTÉ</v>
      </c>
      <c r="AR864" s="82" t="str">
        <f aca="false">IF(AND(ISNUMBER(U864),OR(AQ864="À RADIOGRAPHIER",AQ864="RÉPARÉ – À RADIOGRAPHIER",AQ864="NX – RT À REFAIRE",AQ864="À RÉPARER",AQ864="COUPE – À RESOUDER",AQ864="VT REJETÉ – À REPRENDRE")),MAX(0,'PROGRAMME RT'!$C$4-U864),"")</f>
        <v/>
      </c>
      <c r="AS864" s="82" t="n">
        <f aca="false">IF(AND(OR(AQ864="À RADIOGRAPHIER",AQ864="RÉPARÉ – À RADIOGRAPHIER",AQ864="NX – RT À REFAIRE"),OR('PROGRAMME RT'!$D$5="TOUTES",B864='PROGRAMME RT'!$D$5)),1,0)</f>
        <v>0</v>
      </c>
      <c r="AT864" s="82" t="str">
        <f aca="false">IF(AS864=1,SUM(AS$7:AS864),"")</f>
        <v/>
      </c>
      <c r="AU864" s="82" t="n">
        <f aca="false">IF(AND(OR(AA864="R",AA864="NX",AA864="NT",AA864="CO"),OR('JOINTS DE RÉPARATION'!$D$5="TOUTES",B864='JOINTS DE RÉPARATION'!$D$5),OR('JOINTS DE RÉPARATION'!$L$4="TOUS",AQ864&lt;&gt;"ACCEPTÉ")),1,0)</f>
        <v>0</v>
      </c>
      <c r="AV864" s="82" t="str">
        <f aca="false">IF(AU864=1,SUM(AU$7:AU864),"")</f>
        <v/>
      </c>
      <c r="AW864" s="82" t="str">
        <f aca="false">IF(E864="","",B864&amp;"|"&amp;E864)</f>
        <v>MFD-ISW → MFD-CPF|DJ°474</v>
      </c>
    </row>
    <row r="865" customFormat="false" ht="74.6" hidden="false" customHeight="false" outlineLevel="0" collapsed="false">
      <c r="A865" s="79" t="n">
        <f aca="false">IF(E865="","",ROW()-6)</f>
        <v>859</v>
      </c>
      <c r="B865" s="80" t="s">
        <v>110</v>
      </c>
      <c r="C865" s="81"/>
      <c r="D865" s="81" t="n">
        <v>5</v>
      </c>
      <c r="E865" s="81" t="s">
        <v>1003</v>
      </c>
      <c r="F865" s="82" t="str">
        <f aca="false">IF(E865="","",IF(LEFT(E865,2)="DJ","DJ","JN"))</f>
        <v>JN</v>
      </c>
      <c r="G865" s="81"/>
      <c r="H865" s="81" t="s">
        <v>871</v>
      </c>
      <c r="I865" s="81" t="n">
        <v>9.53</v>
      </c>
      <c r="J865" s="81" t="s">
        <v>872</v>
      </c>
      <c r="K865" s="81" t="s">
        <v>879</v>
      </c>
      <c r="L865" s="81" t="n">
        <v>2082040</v>
      </c>
      <c r="M865" s="81" t="n">
        <v>15421104</v>
      </c>
      <c r="N865" s="81" t="n">
        <v>11.94</v>
      </c>
      <c r="O865" s="81" t="n">
        <v>2090570</v>
      </c>
      <c r="P865" s="81" t="n">
        <v>15421109</v>
      </c>
      <c r="Q865" s="81" t="n">
        <v>11.94</v>
      </c>
      <c r="R865" s="81" t="s">
        <v>935</v>
      </c>
      <c r="S865" s="81"/>
      <c r="T865" s="81"/>
      <c r="U865" s="83" t="n">
        <v>46289</v>
      </c>
      <c r="V865" s="83" t="n">
        <v>46289</v>
      </c>
      <c r="W865" s="81" t="s">
        <v>982</v>
      </c>
      <c r="X865" s="81" t="s">
        <v>876</v>
      </c>
      <c r="Y865" s="83"/>
      <c r="Z865" s="81"/>
      <c r="AA865" s="81"/>
      <c r="AB865" s="81"/>
      <c r="AC865" s="81"/>
      <c r="AD865" s="81"/>
      <c r="AE865" s="83"/>
      <c r="AF865" s="81"/>
      <c r="AG865" s="81"/>
      <c r="AH865" s="81"/>
      <c r="AI865" s="81"/>
      <c r="AJ865" s="83"/>
      <c r="AK865" s="81"/>
      <c r="AL865" s="81"/>
      <c r="AM865" s="83"/>
      <c r="AN865" s="80"/>
      <c r="AO865" s="82" t="n">
        <f aca="false">IF(E865="","",(AA865&lt;&gt;"")+(AG865&lt;&gt;"")+(AL865&lt;&gt;""))</f>
        <v>0</v>
      </c>
      <c r="AP865" s="82" t="str">
        <f aca="false">IF(AL865&lt;&gt;"",AL865,IF(AG865&lt;&gt;"",AG865,IF(AA865&lt;&gt;"",AA865,"")))</f>
        <v/>
      </c>
      <c r="AQ865" s="84" t="str">
        <f aca="false">IF(E865="","",IF(U865="","À SOUDER",IF(X865="","VT EN ATTENTE",IF(X865="R","VT REJETÉ – À REPRENDRE",IF(AP865="","À RADIOGRAPHIER",IF(AP865="A","ACCEPTÉ",IF(AP865="NX","NX – RT À REFAIRE",IF(IF(AO865=1,AD865,IF(AO865=2,AI865,""))="A","RÉPARÉ – À RADIOGRAPHIER",IF(IF(AO865=1,AD865,IF(AO865=2,AI865,""))="R","VT REJETÉ – À REPRENDRE",IF(OR(AP865="CO",AP865="NT"),"COUPE – À RESOUDER","À RÉPARER"))))))))))</f>
        <v>À RADIOGRAPHIER</v>
      </c>
      <c r="AR865" s="82" t="n">
        <f aca="false">IF(AND(ISNUMBER(U865),OR(AQ865="À RADIOGRAPHIER",AQ865="RÉPARÉ – À RADIOGRAPHIER",AQ865="NX – RT À REFAIRE",AQ865="À RÉPARER",AQ865="COUPE – À RESOUDER",AQ865="VT REJETÉ – À REPRENDRE")),MAX(0,'PROGRAMME RT'!$C$4-U865),"")</f>
        <v>4</v>
      </c>
      <c r="AS865" s="82" t="n">
        <f aca="false">IF(AND(OR(AQ865="À RADIOGRAPHIER",AQ865="RÉPARÉ – À RADIOGRAPHIER",AQ865="NX – RT À REFAIRE"),OR('PROGRAMME RT'!$D$5="TOUTES",B865='PROGRAMME RT'!$D$5)),1,0)</f>
        <v>1</v>
      </c>
      <c r="AT865" s="82" t="n">
        <f aca="false">IF(AS865=1,SUM(AS$7:AS865),"")</f>
        <v>46</v>
      </c>
      <c r="AU865" s="82" t="n">
        <f aca="false">IF(AND(OR(AA865="R",AA865="NX",AA865="NT",AA865="CO"),OR('JOINTS DE RÉPARATION'!$D$5="TOUTES",B865='JOINTS DE RÉPARATION'!$D$5),OR('JOINTS DE RÉPARATION'!$L$4="TOUS",AQ865&lt;&gt;"ACCEPTÉ")),1,0)</f>
        <v>0</v>
      </c>
      <c r="AV865" s="82" t="str">
        <f aca="false">IF(AU865=1,SUM(AU$7:AU865),"")</f>
        <v/>
      </c>
      <c r="AW865" s="82" t="str">
        <f aca="false">IF(E865="","",B865&amp;"|"&amp;E865)</f>
        <v>MFD-ISW → MFD-CPF|JN°810</v>
      </c>
    </row>
    <row r="866" customFormat="false" ht="74.6" hidden="false" customHeight="false" outlineLevel="0" collapsed="false">
      <c r="A866" s="79" t="n">
        <f aca="false">IF(E866="","",ROW()-6)</f>
        <v>860</v>
      </c>
      <c r="B866" s="80" t="s">
        <v>110</v>
      </c>
      <c r="C866" s="81" t="s">
        <v>1004</v>
      </c>
      <c r="D866" s="81" t="n">
        <v>5</v>
      </c>
      <c r="E866" s="81" t="s">
        <v>1005</v>
      </c>
      <c r="F866" s="82" t="str">
        <f aca="false">IF(E866="","",IF(LEFT(E866,2)="DJ","DJ","JN"))</f>
        <v>DJ</v>
      </c>
      <c r="G866" s="81"/>
      <c r="H866" s="81" t="s">
        <v>871</v>
      </c>
      <c r="I866" s="81" t="n">
        <v>9.53</v>
      </c>
      <c r="J866" s="81" t="s">
        <v>872</v>
      </c>
      <c r="K866" s="81" t="s">
        <v>873</v>
      </c>
      <c r="L866" s="81" t="n">
        <v>2090570</v>
      </c>
      <c r="M866" s="81" t="n">
        <v>15421109</v>
      </c>
      <c r="N866" s="81" t="n">
        <v>11.94</v>
      </c>
      <c r="O866" s="81" t="n">
        <v>2079320</v>
      </c>
      <c r="P866" s="81" t="n">
        <v>15421102</v>
      </c>
      <c r="Q866" s="81" t="n">
        <v>11.94</v>
      </c>
      <c r="R866" s="81" t="s">
        <v>882</v>
      </c>
      <c r="S866" s="81"/>
      <c r="T866" s="81"/>
      <c r="U866" s="83" t="n">
        <v>46286</v>
      </c>
      <c r="V866" s="83" t="n">
        <v>46286</v>
      </c>
      <c r="W866" s="81" t="s">
        <v>892</v>
      </c>
      <c r="X866" s="81" t="s">
        <v>876</v>
      </c>
      <c r="Y866" s="83" t="n">
        <v>46287</v>
      </c>
      <c r="Z866" s="81" t="s">
        <v>921</v>
      </c>
      <c r="AA866" s="81" t="s">
        <v>876</v>
      </c>
      <c r="AB866" s="81"/>
      <c r="AC866" s="81"/>
      <c r="AD866" s="81"/>
      <c r="AE866" s="83"/>
      <c r="AF866" s="81"/>
      <c r="AG866" s="81"/>
      <c r="AH866" s="81"/>
      <c r="AI866" s="81"/>
      <c r="AJ866" s="83"/>
      <c r="AK866" s="81"/>
      <c r="AL866" s="81"/>
      <c r="AM866" s="83"/>
      <c r="AN866" s="80"/>
      <c r="AO866" s="82" t="n">
        <f aca="false">IF(E866="","",(AA866&lt;&gt;"")+(AG866&lt;&gt;"")+(AL866&lt;&gt;""))</f>
        <v>1</v>
      </c>
      <c r="AP866" s="82" t="str">
        <f aca="false">IF(AL866&lt;&gt;"",AL866,IF(AG866&lt;&gt;"",AG866,IF(AA866&lt;&gt;"",AA866,"")))</f>
        <v>A</v>
      </c>
      <c r="AQ866" s="84" t="str">
        <f aca="false">IF(E866="","",IF(U866="","À SOUDER",IF(X866="","VT EN ATTENTE",IF(X866="R","VT REJETÉ – À REPRENDRE",IF(AP866="","À RADIOGRAPHIER",IF(AP866="A","ACCEPTÉ",IF(AP866="NX","NX – RT À REFAIRE",IF(IF(AO866=1,AD866,IF(AO866=2,AI866,""))="A","RÉPARÉ – À RADIOGRAPHIER",IF(IF(AO866=1,AD866,IF(AO866=2,AI866,""))="R","VT REJETÉ – À REPRENDRE",IF(OR(AP866="CO",AP866="NT"),"COUPE – À RESOUDER","À RÉPARER"))))))))))</f>
        <v>ACCEPTÉ</v>
      </c>
      <c r="AR866" s="82" t="str">
        <f aca="false">IF(AND(ISNUMBER(U866),OR(AQ866="À RADIOGRAPHIER",AQ866="RÉPARÉ – À RADIOGRAPHIER",AQ866="NX – RT À REFAIRE",AQ866="À RÉPARER",AQ866="COUPE – À RESOUDER",AQ866="VT REJETÉ – À REPRENDRE")),MAX(0,'PROGRAMME RT'!$C$4-U866),"")</f>
        <v/>
      </c>
      <c r="AS866" s="82" t="n">
        <f aca="false">IF(AND(OR(AQ866="À RADIOGRAPHIER",AQ866="RÉPARÉ – À RADIOGRAPHIER",AQ866="NX – RT À REFAIRE"),OR('PROGRAMME RT'!$D$5="TOUTES",B866='PROGRAMME RT'!$D$5)),1,0)</f>
        <v>0</v>
      </c>
      <c r="AT866" s="82" t="str">
        <f aca="false">IF(AS866=1,SUM(AS$7:AS866),"")</f>
        <v/>
      </c>
      <c r="AU866" s="82" t="n">
        <f aca="false">IF(AND(OR(AA866="R",AA866="NX",AA866="NT",AA866="CO"),OR('JOINTS DE RÉPARATION'!$D$5="TOUTES",B866='JOINTS DE RÉPARATION'!$D$5),OR('JOINTS DE RÉPARATION'!$L$4="TOUS",AQ866&lt;&gt;"ACCEPTÉ")),1,0)</f>
        <v>0</v>
      </c>
      <c r="AV866" s="82" t="str">
        <f aca="false">IF(AU866=1,SUM(AU$7:AU866),"")</f>
        <v/>
      </c>
      <c r="AW866" s="82" t="str">
        <f aca="false">IF(E866="","",B866&amp;"|"&amp;E866)</f>
        <v>MFD-ISW → MFD-CPF|DJ°469</v>
      </c>
    </row>
    <row r="867" customFormat="false" ht="74.6" hidden="false" customHeight="false" outlineLevel="0" collapsed="false">
      <c r="A867" s="79" t="n">
        <f aca="false">IF(E867="","",ROW()-6)</f>
        <v>861</v>
      </c>
      <c r="B867" s="80" t="s">
        <v>110</v>
      </c>
      <c r="C867" s="81" t="s">
        <v>1004</v>
      </c>
      <c r="D867" s="81" t="n">
        <v>5</v>
      </c>
      <c r="E867" s="81" t="s">
        <v>1006</v>
      </c>
      <c r="F867" s="82" t="str">
        <f aca="false">IF(E867="","",IF(LEFT(E867,2)="DJ","DJ","JN"))</f>
        <v>JN</v>
      </c>
      <c r="G867" s="81"/>
      <c r="H867" s="81" t="s">
        <v>871</v>
      </c>
      <c r="I867" s="81" t="n">
        <v>9.53</v>
      </c>
      <c r="J867" s="81" t="s">
        <v>872</v>
      </c>
      <c r="K867" s="81" t="s">
        <v>879</v>
      </c>
      <c r="L867" s="81" t="n">
        <v>2079320</v>
      </c>
      <c r="M867" s="81" t="n">
        <v>15421102</v>
      </c>
      <c r="N867" s="81" t="n">
        <v>11.94</v>
      </c>
      <c r="O867" s="81" t="n">
        <v>2098380</v>
      </c>
      <c r="P867" s="81" t="n">
        <v>15421112</v>
      </c>
      <c r="Q867" s="81" t="n">
        <v>11.94</v>
      </c>
      <c r="R867" s="81" t="s">
        <v>935</v>
      </c>
      <c r="S867" s="81"/>
      <c r="T867" s="81"/>
      <c r="U867" s="83" t="n">
        <v>46288</v>
      </c>
      <c r="V867" s="83" t="n">
        <v>46288</v>
      </c>
      <c r="W867" s="81" t="s">
        <v>1007</v>
      </c>
      <c r="X867" s="81" t="s">
        <v>876</v>
      </c>
      <c r="Y867" s="83"/>
      <c r="Z867" s="81"/>
      <c r="AA867" s="81"/>
      <c r="AB867" s="81"/>
      <c r="AC867" s="81"/>
      <c r="AD867" s="81"/>
      <c r="AE867" s="83"/>
      <c r="AF867" s="81"/>
      <c r="AG867" s="81"/>
      <c r="AH867" s="81"/>
      <c r="AI867" s="81"/>
      <c r="AJ867" s="83"/>
      <c r="AK867" s="81"/>
      <c r="AL867" s="81"/>
      <c r="AM867" s="83"/>
      <c r="AN867" s="80"/>
      <c r="AO867" s="82" t="n">
        <f aca="false">IF(E867="","",(AA867&lt;&gt;"")+(AG867&lt;&gt;"")+(AL867&lt;&gt;""))</f>
        <v>0</v>
      </c>
      <c r="AP867" s="82" t="str">
        <f aca="false">IF(AL867&lt;&gt;"",AL867,IF(AG867&lt;&gt;"",AG867,IF(AA867&lt;&gt;"",AA867,"")))</f>
        <v/>
      </c>
      <c r="AQ867" s="84" t="str">
        <f aca="false">IF(E867="","",IF(U867="","À SOUDER",IF(X867="","VT EN ATTENTE",IF(X867="R","VT REJETÉ – À REPRENDRE",IF(AP867="","À RADIOGRAPHIER",IF(AP867="A","ACCEPTÉ",IF(AP867="NX","NX – RT À REFAIRE",IF(IF(AO867=1,AD867,IF(AO867=2,AI867,""))="A","RÉPARÉ – À RADIOGRAPHIER",IF(IF(AO867=1,AD867,IF(AO867=2,AI867,""))="R","VT REJETÉ – À REPRENDRE",IF(OR(AP867="CO",AP867="NT"),"COUPE – À RESOUDER","À RÉPARER"))))))))))</f>
        <v>À RADIOGRAPHIER</v>
      </c>
      <c r="AR867" s="82" t="n">
        <f aca="false">IF(AND(ISNUMBER(U867),OR(AQ867="À RADIOGRAPHIER",AQ867="RÉPARÉ – À RADIOGRAPHIER",AQ867="NX – RT À REFAIRE",AQ867="À RÉPARER",AQ867="COUPE – À RESOUDER",AQ867="VT REJETÉ – À REPRENDRE")),MAX(0,'PROGRAMME RT'!$C$4-U867),"")</f>
        <v>5</v>
      </c>
      <c r="AS867" s="82" t="n">
        <f aca="false">IF(AND(OR(AQ867="À RADIOGRAPHIER",AQ867="RÉPARÉ – À RADIOGRAPHIER",AQ867="NX – RT À REFAIRE"),OR('PROGRAMME RT'!$D$5="TOUTES",B867='PROGRAMME RT'!$D$5)),1,0)</f>
        <v>1</v>
      </c>
      <c r="AT867" s="82" t="n">
        <f aca="false">IF(AS867=1,SUM(AS$7:AS867),"")</f>
        <v>47</v>
      </c>
      <c r="AU867" s="82" t="n">
        <f aca="false">IF(AND(OR(AA867="R",AA867="NX",AA867="NT",AA867="CO"),OR('JOINTS DE RÉPARATION'!$D$5="TOUTES",B867='JOINTS DE RÉPARATION'!$D$5),OR('JOINTS DE RÉPARATION'!$L$4="TOUS",AQ867&lt;&gt;"ACCEPTÉ")),1,0)</f>
        <v>0</v>
      </c>
      <c r="AV867" s="82" t="str">
        <f aca="false">IF(AU867=1,SUM(AU$7:AU867),"")</f>
        <v/>
      </c>
      <c r="AW867" s="82" t="str">
        <f aca="false">IF(E867="","",B867&amp;"|"&amp;E867)</f>
        <v>MFD-ISW → MFD-CPF|JN°811</v>
      </c>
    </row>
    <row r="868" customFormat="false" ht="74.6" hidden="false" customHeight="false" outlineLevel="0" collapsed="false">
      <c r="A868" s="79" t="n">
        <f aca="false">IF(E868="","",ROW()-6)</f>
        <v>862</v>
      </c>
      <c r="B868" s="80" t="s">
        <v>110</v>
      </c>
      <c r="C868" s="81" t="s">
        <v>1004</v>
      </c>
      <c r="D868" s="81" t="n">
        <v>5</v>
      </c>
      <c r="E868" s="81" t="s">
        <v>1008</v>
      </c>
      <c r="F868" s="82" t="str">
        <f aca="false">IF(E868="","",IF(LEFT(E868,2)="DJ","DJ","JN"))</f>
        <v>DJ</v>
      </c>
      <c r="G868" s="81"/>
      <c r="H868" s="81" t="s">
        <v>871</v>
      </c>
      <c r="I868" s="81" t="n">
        <v>9.53</v>
      </c>
      <c r="J868" s="81" t="s">
        <v>872</v>
      </c>
      <c r="K868" s="81" t="s">
        <v>873</v>
      </c>
      <c r="L868" s="81" t="n">
        <v>2098380</v>
      </c>
      <c r="M868" s="81" t="n">
        <v>15421112</v>
      </c>
      <c r="N868" s="81" t="n">
        <v>11.94</v>
      </c>
      <c r="O868" s="81" t="n">
        <v>2089890</v>
      </c>
      <c r="P868" s="81" t="n">
        <v>15421109</v>
      </c>
      <c r="Q868" s="81" t="n">
        <v>11.94</v>
      </c>
      <c r="R868" s="81" t="s">
        <v>882</v>
      </c>
      <c r="S868" s="81"/>
      <c r="T868" s="81"/>
      <c r="U868" s="83" t="n">
        <v>46286</v>
      </c>
      <c r="V868" s="83" t="n">
        <v>46286</v>
      </c>
      <c r="W868" s="81" t="s">
        <v>892</v>
      </c>
      <c r="X868" s="81" t="s">
        <v>876</v>
      </c>
      <c r="Y868" s="83" t="n">
        <v>46287</v>
      </c>
      <c r="Z868" s="81" t="s">
        <v>921</v>
      </c>
      <c r="AA868" s="81" t="s">
        <v>876</v>
      </c>
      <c r="AB868" s="81"/>
      <c r="AC868" s="81"/>
      <c r="AD868" s="81"/>
      <c r="AE868" s="83"/>
      <c r="AF868" s="81"/>
      <c r="AG868" s="81"/>
      <c r="AH868" s="81"/>
      <c r="AI868" s="81"/>
      <c r="AJ868" s="83"/>
      <c r="AK868" s="81"/>
      <c r="AL868" s="81"/>
      <c r="AM868" s="83"/>
      <c r="AN868" s="80"/>
      <c r="AO868" s="82" t="n">
        <f aca="false">IF(E868="","",(AA868&lt;&gt;"")+(AG868&lt;&gt;"")+(AL868&lt;&gt;""))</f>
        <v>1</v>
      </c>
      <c r="AP868" s="82" t="str">
        <f aca="false">IF(AL868&lt;&gt;"",AL868,IF(AG868&lt;&gt;"",AG868,IF(AA868&lt;&gt;"",AA868,"")))</f>
        <v>A</v>
      </c>
      <c r="AQ868" s="84" t="str">
        <f aca="false">IF(E868="","",IF(U868="","À SOUDER",IF(X868="","VT EN ATTENTE",IF(X868="R","VT REJETÉ – À REPRENDRE",IF(AP868="","À RADIOGRAPHIER",IF(AP868="A","ACCEPTÉ",IF(AP868="NX","NX – RT À REFAIRE",IF(IF(AO868=1,AD868,IF(AO868=2,AI868,""))="A","RÉPARÉ – À RADIOGRAPHIER",IF(IF(AO868=1,AD868,IF(AO868=2,AI868,""))="R","VT REJETÉ – À REPRENDRE",IF(OR(AP868="CO",AP868="NT"),"COUPE – À RESOUDER","À RÉPARER"))))))))))</f>
        <v>ACCEPTÉ</v>
      </c>
      <c r="AR868" s="82" t="str">
        <f aca="false">IF(AND(ISNUMBER(U868),OR(AQ868="À RADIOGRAPHIER",AQ868="RÉPARÉ – À RADIOGRAPHIER",AQ868="NX – RT À REFAIRE",AQ868="À RÉPARER",AQ868="COUPE – À RESOUDER",AQ868="VT REJETÉ – À REPRENDRE")),MAX(0,'PROGRAMME RT'!$C$4-U868),"")</f>
        <v/>
      </c>
      <c r="AS868" s="82" t="n">
        <f aca="false">IF(AND(OR(AQ868="À RADIOGRAPHIER",AQ868="RÉPARÉ – À RADIOGRAPHIER",AQ868="NX – RT À REFAIRE"),OR('PROGRAMME RT'!$D$5="TOUTES",B868='PROGRAMME RT'!$D$5)),1,0)</f>
        <v>0</v>
      </c>
      <c r="AT868" s="82" t="str">
        <f aca="false">IF(AS868=1,SUM(AS$7:AS868),"")</f>
        <v/>
      </c>
      <c r="AU868" s="82" t="n">
        <f aca="false">IF(AND(OR(AA868="R",AA868="NX",AA868="NT",AA868="CO"),OR('JOINTS DE RÉPARATION'!$D$5="TOUTES",B868='JOINTS DE RÉPARATION'!$D$5),OR('JOINTS DE RÉPARATION'!$L$4="TOUS",AQ868&lt;&gt;"ACCEPTÉ")),1,0)</f>
        <v>0</v>
      </c>
      <c r="AV868" s="82" t="str">
        <f aca="false">IF(AU868=1,SUM(AU$7:AU868),"")</f>
        <v/>
      </c>
      <c r="AW868" s="82" t="str">
        <f aca="false">IF(E868="","",B868&amp;"|"&amp;E868)</f>
        <v>MFD-ISW → MFD-CPF|DJ°472</v>
      </c>
    </row>
    <row r="869" customFormat="false" ht="74.6" hidden="false" customHeight="false" outlineLevel="0" collapsed="false">
      <c r="A869" s="79" t="n">
        <f aca="false">IF(E869="","",ROW()-6)</f>
        <v>863</v>
      </c>
      <c r="B869" s="80" t="s">
        <v>110</v>
      </c>
      <c r="C869" s="81" t="s">
        <v>1004</v>
      </c>
      <c r="D869" s="81" t="n">
        <v>5</v>
      </c>
      <c r="E869" s="81" t="s">
        <v>1009</v>
      </c>
      <c r="F869" s="82" t="str">
        <f aca="false">IF(E869="","",IF(LEFT(E869,2)="DJ","DJ","JN"))</f>
        <v>JN</v>
      </c>
      <c r="G869" s="81"/>
      <c r="H869" s="81" t="s">
        <v>871</v>
      </c>
      <c r="I869" s="81" t="n">
        <v>9.53</v>
      </c>
      <c r="J869" s="81" t="s">
        <v>872</v>
      </c>
      <c r="K869" s="81" t="s">
        <v>879</v>
      </c>
      <c r="L869" s="81" t="n">
        <v>2089890</v>
      </c>
      <c r="M869" s="81" t="n">
        <v>15421109</v>
      </c>
      <c r="N869" s="81" t="n">
        <v>11.94</v>
      </c>
      <c r="O869" s="81" t="n">
        <v>2082390</v>
      </c>
      <c r="P869" s="81" t="n">
        <v>15421110</v>
      </c>
      <c r="Q869" s="81" t="n">
        <v>11.94</v>
      </c>
      <c r="R869" s="81" t="s">
        <v>935</v>
      </c>
      <c r="S869" s="81"/>
      <c r="T869" s="81"/>
      <c r="U869" s="83" t="n">
        <v>46288</v>
      </c>
      <c r="V869" s="83" t="n">
        <v>46288</v>
      </c>
      <c r="W869" s="81" t="s">
        <v>1007</v>
      </c>
      <c r="X869" s="81" t="s">
        <v>876</v>
      </c>
      <c r="Y869" s="83"/>
      <c r="Z869" s="81"/>
      <c r="AA869" s="81"/>
      <c r="AB869" s="81"/>
      <c r="AC869" s="81"/>
      <c r="AD869" s="81"/>
      <c r="AE869" s="83"/>
      <c r="AF869" s="81"/>
      <c r="AG869" s="81"/>
      <c r="AH869" s="81"/>
      <c r="AI869" s="81"/>
      <c r="AJ869" s="83"/>
      <c r="AK869" s="81"/>
      <c r="AL869" s="81"/>
      <c r="AM869" s="83"/>
      <c r="AN869" s="80"/>
      <c r="AO869" s="82" t="n">
        <f aca="false">IF(E869="","",(AA869&lt;&gt;"")+(AG869&lt;&gt;"")+(AL869&lt;&gt;""))</f>
        <v>0</v>
      </c>
      <c r="AP869" s="82" t="str">
        <f aca="false">IF(AL869&lt;&gt;"",AL869,IF(AG869&lt;&gt;"",AG869,IF(AA869&lt;&gt;"",AA869,"")))</f>
        <v/>
      </c>
      <c r="AQ869" s="84" t="str">
        <f aca="false">IF(E869="","",IF(U869="","À SOUDER",IF(X869="","VT EN ATTENTE",IF(X869="R","VT REJETÉ – À REPRENDRE",IF(AP869="","À RADIOGRAPHIER",IF(AP869="A","ACCEPTÉ",IF(AP869="NX","NX – RT À REFAIRE",IF(IF(AO869=1,AD869,IF(AO869=2,AI869,""))="A","RÉPARÉ – À RADIOGRAPHIER",IF(IF(AO869=1,AD869,IF(AO869=2,AI869,""))="R","VT REJETÉ – À REPRENDRE",IF(OR(AP869="CO",AP869="NT"),"COUPE – À RESOUDER","À RÉPARER"))))))))))</f>
        <v>À RADIOGRAPHIER</v>
      </c>
      <c r="AR869" s="82" t="n">
        <f aca="false">IF(AND(ISNUMBER(U869),OR(AQ869="À RADIOGRAPHIER",AQ869="RÉPARÉ – À RADIOGRAPHIER",AQ869="NX – RT À REFAIRE",AQ869="À RÉPARER",AQ869="COUPE – À RESOUDER",AQ869="VT REJETÉ – À REPRENDRE")),MAX(0,'PROGRAMME RT'!$C$4-U869),"")</f>
        <v>5</v>
      </c>
      <c r="AS869" s="82" t="n">
        <f aca="false">IF(AND(OR(AQ869="À RADIOGRAPHIER",AQ869="RÉPARÉ – À RADIOGRAPHIER",AQ869="NX – RT À REFAIRE"),OR('PROGRAMME RT'!$D$5="TOUTES",B869='PROGRAMME RT'!$D$5)),1,0)</f>
        <v>1</v>
      </c>
      <c r="AT869" s="82" t="n">
        <f aca="false">IF(AS869=1,SUM(AS$7:AS869),"")</f>
        <v>48</v>
      </c>
      <c r="AU869" s="82" t="n">
        <f aca="false">IF(AND(OR(AA869="R",AA869="NX",AA869="NT",AA869="CO"),OR('JOINTS DE RÉPARATION'!$D$5="TOUTES",B869='JOINTS DE RÉPARATION'!$D$5),OR('JOINTS DE RÉPARATION'!$L$4="TOUS",AQ869&lt;&gt;"ACCEPTÉ")),1,0)</f>
        <v>0</v>
      </c>
      <c r="AV869" s="82" t="str">
        <f aca="false">IF(AU869=1,SUM(AU$7:AU869),"")</f>
        <v/>
      </c>
      <c r="AW869" s="82" t="str">
        <f aca="false">IF(E869="","",B869&amp;"|"&amp;E869)</f>
        <v>MFD-ISW → MFD-CPF|JN°812</v>
      </c>
    </row>
    <row r="870" customFormat="false" ht="74.6" hidden="false" customHeight="false" outlineLevel="0" collapsed="false">
      <c r="A870" s="79" t="n">
        <f aca="false">IF(E870="","",ROW()-6)</f>
        <v>864</v>
      </c>
      <c r="B870" s="80" t="s">
        <v>110</v>
      </c>
      <c r="C870" s="81" t="s">
        <v>1004</v>
      </c>
      <c r="D870" s="81" t="n">
        <v>5</v>
      </c>
      <c r="E870" s="81" t="s">
        <v>1010</v>
      </c>
      <c r="F870" s="82" t="str">
        <f aca="false">IF(E870="","",IF(LEFT(E870,2)="DJ","DJ","JN"))</f>
        <v>DJ</v>
      </c>
      <c r="G870" s="81"/>
      <c r="H870" s="81" t="s">
        <v>871</v>
      </c>
      <c r="I870" s="81" t="n">
        <v>9.53</v>
      </c>
      <c r="J870" s="81" t="s">
        <v>872</v>
      </c>
      <c r="K870" s="81" t="s">
        <v>873</v>
      </c>
      <c r="L870" s="81" t="n">
        <v>2082390</v>
      </c>
      <c r="M870" s="81" t="n">
        <v>15421110</v>
      </c>
      <c r="N870" s="81" t="n">
        <v>11.94</v>
      </c>
      <c r="O870" s="81" t="n">
        <v>2078870</v>
      </c>
      <c r="P870" s="81" t="n">
        <v>15421101</v>
      </c>
      <c r="Q870" s="81" t="n">
        <v>11.94</v>
      </c>
      <c r="R870" s="81" t="s">
        <v>882</v>
      </c>
      <c r="S870" s="81"/>
      <c r="T870" s="81"/>
      <c r="U870" s="83" t="n">
        <v>46286</v>
      </c>
      <c r="V870" s="83" t="n">
        <v>46286</v>
      </c>
      <c r="W870" s="81" t="s">
        <v>892</v>
      </c>
      <c r="X870" s="81" t="s">
        <v>876</v>
      </c>
      <c r="Y870" s="83" t="n">
        <v>46287</v>
      </c>
      <c r="Z870" s="81" t="s">
        <v>921</v>
      </c>
      <c r="AA870" s="81" t="s">
        <v>876</v>
      </c>
      <c r="AB870" s="81"/>
      <c r="AC870" s="81"/>
      <c r="AD870" s="81"/>
      <c r="AE870" s="83"/>
      <c r="AF870" s="81"/>
      <c r="AG870" s="81"/>
      <c r="AH870" s="81"/>
      <c r="AI870" s="81"/>
      <c r="AJ870" s="83"/>
      <c r="AK870" s="81"/>
      <c r="AL870" s="81"/>
      <c r="AM870" s="83"/>
      <c r="AN870" s="80"/>
      <c r="AO870" s="82" t="n">
        <f aca="false">IF(E870="","",(AA870&lt;&gt;"")+(AG870&lt;&gt;"")+(AL870&lt;&gt;""))</f>
        <v>1</v>
      </c>
      <c r="AP870" s="82" t="str">
        <f aca="false">IF(AL870&lt;&gt;"",AL870,IF(AG870&lt;&gt;"",AG870,IF(AA870&lt;&gt;"",AA870,"")))</f>
        <v>A</v>
      </c>
      <c r="AQ870" s="84" t="str">
        <f aca="false">IF(E870="","",IF(U870="","À SOUDER",IF(X870="","VT EN ATTENTE",IF(X870="R","VT REJETÉ – À REPRENDRE",IF(AP870="","À RADIOGRAPHIER",IF(AP870="A","ACCEPTÉ",IF(AP870="NX","NX – RT À REFAIRE",IF(IF(AO870=1,AD870,IF(AO870=2,AI870,""))="A","RÉPARÉ – À RADIOGRAPHIER",IF(IF(AO870=1,AD870,IF(AO870=2,AI870,""))="R","VT REJETÉ – À REPRENDRE",IF(OR(AP870="CO",AP870="NT"),"COUPE – À RESOUDER","À RÉPARER"))))))))))</f>
        <v>ACCEPTÉ</v>
      </c>
      <c r="AR870" s="82" t="str">
        <f aca="false">IF(AND(ISNUMBER(U870),OR(AQ870="À RADIOGRAPHIER",AQ870="RÉPARÉ – À RADIOGRAPHIER",AQ870="NX – RT À REFAIRE",AQ870="À RÉPARER",AQ870="COUPE – À RESOUDER",AQ870="VT REJETÉ – À REPRENDRE")),MAX(0,'PROGRAMME RT'!$C$4-U870),"")</f>
        <v/>
      </c>
      <c r="AS870" s="82" t="n">
        <f aca="false">IF(AND(OR(AQ870="À RADIOGRAPHIER",AQ870="RÉPARÉ – À RADIOGRAPHIER",AQ870="NX – RT À REFAIRE"),OR('PROGRAMME RT'!$D$5="TOUTES",B870='PROGRAMME RT'!$D$5)),1,0)</f>
        <v>0</v>
      </c>
      <c r="AT870" s="82" t="str">
        <f aca="false">IF(AS870=1,SUM(AS$7:AS870),"")</f>
        <v/>
      </c>
      <c r="AU870" s="82" t="n">
        <f aca="false">IF(AND(OR(AA870="R",AA870="NX",AA870="NT",AA870="CO"),OR('JOINTS DE RÉPARATION'!$D$5="TOUTES",B870='JOINTS DE RÉPARATION'!$D$5),OR('JOINTS DE RÉPARATION'!$L$4="TOUS",AQ870&lt;&gt;"ACCEPTÉ")),1,0)</f>
        <v>0</v>
      </c>
      <c r="AV870" s="82" t="str">
        <f aca="false">IF(AU870=1,SUM(AU$7:AU870),"")</f>
        <v/>
      </c>
      <c r="AW870" s="82" t="str">
        <f aca="false">IF(E870="","",B870&amp;"|"&amp;E870)</f>
        <v>MFD-ISW → MFD-CPF|DJ°467</v>
      </c>
    </row>
    <row r="871" customFormat="false" ht="74.6" hidden="false" customHeight="false" outlineLevel="0" collapsed="false">
      <c r="A871" s="79" t="n">
        <f aca="false">IF(E871="","",ROW()-6)</f>
        <v>865</v>
      </c>
      <c r="B871" s="80" t="s">
        <v>110</v>
      </c>
      <c r="C871" s="81" t="s">
        <v>1004</v>
      </c>
      <c r="D871" s="81" t="n">
        <v>5</v>
      </c>
      <c r="E871" s="81" t="s">
        <v>1011</v>
      </c>
      <c r="F871" s="82" t="str">
        <f aca="false">IF(E871="","",IF(LEFT(E871,2)="DJ","DJ","JN"))</f>
        <v>JN</v>
      </c>
      <c r="G871" s="81"/>
      <c r="H871" s="81" t="s">
        <v>871</v>
      </c>
      <c r="I871" s="81" t="n">
        <v>9.53</v>
      </c>
      <c r="J871" s="81" t="s">
        <v>872</v>
      </c>
      <c r="K871" s="81" t="s">
        <v>879</v>
      </c>
      <c r="L871" s="81" t="n">
        <v>2078870</v>
      </c>
      <c r="M871" s="81" t="n">
        <v>15421101</v>
      </c>
      <c r="N871" s="81" t="n">
        <v>11.94</v>
      </c>
      <c r="O871" s="81" t="n">
        <v>2083670</v>
      </c>
      <c r="P871" s="81" t="n">
        <v>15421105</v>
      </c>
      <c r="Q871" s="81" t="n">
        <v>11.94</v>
      </c>
      <c r="R871" s="81" t="s">
        <v>935</v>
      </c>
      <c r="S871" s="81"/>
      <c r="T871" s="81"/>
      <c r="U871" s="83" t="n">
        <v>46288</v>
      </c>
      <c r="V871" s="83" t="n">
        <v>46288</v>
      </c>
      <c r="W871" s="81" t="s">
        <v>1007</v>
      </c>
      <c r="X871" s="81" t="s">
        <v>876</v>
      </c>
      <c r="Y871" s="83"/>
      <c r="Z871" s="81"/>
      <c r="AA871" s="81"/>
      <c r="AB871" s="81"/>
      <c r="AC871" s="81"/>
      <c r="AD871" s="81"/>
      <c r="AE871" s="83"/>
      <c r="AF871" s="81"/>
      <c r="AG871" s="81"/>
      <c r="AH871" s="81"/>
      <c r="AI871" s="81"/>
      <c r="AJ871" s="83"/>
      <c r="AK871" s="81"/>
      <c r="AL871" s="81"/>
      <c r="AM871" s="83"/>
      <c r="AN871" s="80"/>
      <c r="AO871" s="82" t="n">
        <f aca="false">IF(E871="","",(AA871&lt;&gt;"")+(AG871&lt;&gt;"")+(AL871&lt;&gt;""))</f>
        <v>0</v>
      </c>
      <c r="AP871" s="82" t="str">
        <f aca="false">IF(AL871&lt;&gt;"",AL871,IF(AG871&lt;&gt;"",AG871,IF(AA871&lt;&gt;"",AA871,"")))</f>
        <v/>
      </c>
      <c r="AQ871" s="84" t="str">
        <f aca="false">IF(E871="","",IF(U871="","À SOUDER",IF(X871="","VT EN ATTENTE",IF(X871="R","VT REJETÉ – À REPRENDRE",IF(AP871="","À RADIOGRAPHIER",IF(AP871="A","ACCEPTÉ",IF(AP871="NX","NX – RT À REFAIRE",IF(IF(AO871=1,AD871,IF(AO871=2,AI871,""))="A","RÉPARÉ – À RADIOGRAPHIER",IF(IF(AO871=1,AD871,IF(AO871=2,AI871,""))="R","VT REJETÉ – À REPRENDRE",IF(OR(AP871="CO",AP871="NT"),"COUPE – À RESOUDER","À RÉPARER"))))))))))</f>
        <v>À RADIOGRAPHIER</v>
      </c>
      <c r="AR871" s="82" t="n">
        <f aca="false">IF(AND(ISNUMBER(U871),OR(AQ871="À RADIOGRAPHIER",AQ871="RÉPARÉ – À RADIOGRAPHIER",AQ871="NX – RT À REFAIRE",AQ871="À RÉPARER",AQ871="COUPE – À RESOUDER",AQ871="VT REJETÉ – À REPRENDRE")),MAX(0,'PROGRAMME RT'!$C$4-U871),"")</f>
        <v>5</v>
      </c>
      <c r="AS871" s="82" t="n">
        <f aca="false">IF(AND(OR(AQ871="À RADIOGRAPHIER",AQ871="RÉPARÉ – À RADIOGRAPHIER",AQ871="NX – RT À REFAIRE"),OR('PROGRAMME RT'!$D$5="TOUTES",B871='PROGRAMME RT'!$D$5)),1,0)</f>
        <v>1</v>
      </c>
      <c r="AT871" s="82" t="n">
        <f aca="false">IF(AS871=1,SUM(AS$7:AS871),"")</f>
        <v>49</v>
      </c>
      <c r="AU871" s="82" t="n">
        <f aca="false">IF(AND(OR(AA871="R",AA871="NX",AA871="NT",AA871="CO"),OR('JOINTS DE RÉPARATION'!$D$5="TOUTES",B871='JOINTS DE RÉPARATION'!$D$5),OR('JOINTS DE RÉPARATION'!$L$4="TOUS",AQ871&lt;&gt;"ACCEPTÉ")),1,0)</f>
        <v>0</v>
      </c>
      <c r="AV871" s="82" t="str">
        <f aca="false">IF(AU871=1,SUM(AU$7:AU871),"")</f>
        <v/>
      </c>
      <c r="AW871" s="82" t="str">
        <f aca="false">IF(E871="","",B871&amp;"|"&amp;E871)</f>
        <v>MFD-ISW → MFD-CPF|JN°813</v>
      </c>
    </row>
    <row r="872" customFormat="false" ht="74.6" hidden="false" customHeight="false" outlineLevel="0" collapsed="false">
      <c r="A872" s="79" t="n">
        <f aca="false">IF(E872="","",ROW()-6)</f>
        <v>866</v>
      </c>
      <c r="B872" s="80" t="s">
        <v>110</v>
      </c>
      <c r="C872" s="81" t="s">
        <v>1004</v>
      </c>
      <c r="D872" s="81" t="n">
        <v>5</v>
      </c>
      <c r="E872" s="81" t="s">
        <v>1012</v>
      </c>
      <c r="F872" s="82" t="str">
        <f aca="false">IF(E872="","",IF(LEFT(E872,2)="DJ","DJ","JN"))</f>
        <v>DJ</v>
      </c>
      <c r="G872" s="81"/>
      <c r="H872" s="81" t="s">
        <v>871</v>
      </c>
      <c r="I872" s="81" t="n">
        <v>9.53</v>
      </c>
      <c r="J872" s="81" t="s">
        <v>872</v>
      </c>
      <c r="K872" s="81" t="s">
        <v>873</v>
      </c>
      <c r="L872" s="81" t="n">
        <v>2083670</v>
      </c>
      <c r="M872" s="81" t="n">
        <v>15421105</v>
      </c>
      <c r="N872" s="81" t="n">
        <v>11.94</v>
      </c>
      <c r="O872" s="81" t="n">
        <v>2085440</v>
      </c>
      <c r="P872" s="81" t="n">
        <v>15421106</v>
      </c>
      <c r="Q872" s="81" t="n">
        <v>11.94</v>
      </c>
      <c r="R872" s="81" t="s">
        <v>963</v>
      </c>
      <c r="S872" s="81"/>
      <c r="T872" s="81"/>
      <c r="U872" s="83" t="n">
        <v>46286</v>
      </c>
      <c r="V872" s="83" t="n">
        <v>46286</v>
      </c>
      <c r="W872" s="81" t="s">
        <v>892</v>
      </c>
      <c r="X872" s="81" t="s">
        <v>876</v>
      </c>
      <c r="Y872" s="83" t="n">
        <v>46287</v>
      </c>
      <c r="Z872" s="81" t="s">
        <v>921</v>
      </c>
      <c r="AA872" s="81" t="s">
        <v>876</v>
      </c>
      <c r="AB872" s="81"/>
      <c r="AC872" s="81"/>
      <c r="AD872" s="81"/>
      <c r="AE872" s="83"/>
      <c r="AF872" s="81"/>
      <c r="AG872" s="81"/>
      <c r="AH872" s="81"/>
      <c r="AI872" s="81"/>
      <c r="AJ872" s="83"/>
      <c r="AK872" s="81"/>
      <c r="AL872" s="81"/>
      <c r="AM872" s="83"/>
      <c r="AN872" s="80"/>
      <c r="AO872" s="82" t="n">
        <f aca="false">IF(E872="","",(AA872&lt;&gt;"")+(AG872&lt;&gt;"")+(AL872&lt;&gt;""))</f>
        <v>1</v>
      </c>
      <c r="AP872" s="82" t="str">
        <f aca="false">IF(AL872&lt;&gt;"",AL872,IF(AG872&lt;&gt;"",AG872,IF(AA872&lt;&gt;"",AA872,"")))</f>
        <v>A</v>
      </c>
      <c r="AQ872" s="84" t="str">
        <f aca="false">IF(E872="","",IF(U872="","À SOUDER",IF(X872="","VT EN ATTENTE",IF(X872="R","VT REJETÉ – À REPRENDRE",IF(AP872="","À RADIOGRAPHIER",IF(AP872="A","ACCEPTÉ",IF(AP872="NX","NX – RT À REFAIRE",IF(IF(AO872=1,AD872,IF(AO872=2,AI872,""))="A","RÉPARÉ – À RADIOGRAPHIER",IF(IF(AO872=1,AD872,IF(AO872=2,AI872,""))="R","VT REJETÉ – À REPRENDRE",IF(OR(AP872="CO",AP872="NT"),"COUPE – À RESOUDER","À RÉPARER"))))))))))</f>
        <v>ACCEPTÉ</v>
      </c>
      <c r="AR872" s="82" t="str">
        <f aca="false">IF(AND(ISNUMBER(U872),OR(AQ872="À RADIOGRAPHIER",AQ872="RÉPARÉ – À RADIOGRAPHIER",AQ872="NX – RT À REFAIRE",AQ872="À RÉPARER",AQ872="COUPE – À RESOUDER",AQ872="VT REJETÉ – À REPRENDRE")),MAX(0,'PROGRAMME RT'!$C$4-U872),"")</f>
        <v/>
      </c>
      <c r="AS872" s="82" t="n">
        <f aca="false">IF(AND(OR(AQ872="À RADIOGRAPHIER",AQ872="RÉPARÉ – À RADIOGRAPHIER",AQ872="NX – RT À REFAIRE"),OR('PROGRAMME RT'!$D$5="TOUTES",B872='PROGRAMME RT'!$D$5)),1,0)</f>
        <v>0</v>
      </c>
      <c r="AT872" s="82" t="str">
        <f aca="false">IF(AS872=1,SUM(AS$7:AS872),"")</f>
        <v/>
      </c>
      <c r="AU872" s="82" t="n">
        <f aca="false">IF(AND(OR(AA872="R",AA872="NX",AA872="NT",AA872="CO"),OR('JOINTS DE RÉPARATION'!$D$5="TOUTES",B872='JOINTS DE RÉPARATION'!$D$5),OR('JOINTS DE RÉPARATION'!$L$4="TOUS",AQ872&lt;&gt;"ACCEPTÉ")),1,0)</f>
        <v>0</v>
      </c>
      <c r="AV872" s="82" t="str">
        <f aca="false">IF(AU872=1,SUM(AU$7:AU872),"")</f>
        <v/>
      </c>
      <c r="AW872" s="82" t="str">
        <f aca="false">IF(E872="","",B872&amp;"|"&amp;E872)</f>
        <v>MFD-ISW → MFD-CPF|DJ°468</v>
      </c>
    </row>
    <row r="873" customFormat="false" ht="74.6" hidden="false" customHeight="false" outlineLevel="0" collapsed="false">
      <c r="A873" s="79" t="n">
        <f aca="false">IF(E873="","",ROW()-6)</f>
        <v>867</v>
      </c>
      <c r="B873" s="80" t="s">
        <v>110</v>
      </c>
      <c r="C873" s="81" t="s">
        <v>1004</v>
      </c>
      <c r="D873" s="81" t="n">
        <v>5</v>
      </c>
      <c r="E873" s="81" t="s">
        <v>1013</v>
      </c>
      <c r="F873" s="82" t="str">
        <f aca="false">IF(E873="","",IF(LEFT(E873,2)="DJ","DJ","JN"))</f>
        <v>JN</v>
      </c>
      <c r="G873" s="81"/>
      <c r="H873" s="81" t="s">
        <v>871</v>
      </c>
      <c r="I873" s="81" t="n">
        <v>9.53</v>
      </c>
      <c r="J873" s="81" t="s">
        <v>872</v>
      </c>
      <c r="K873" s="81" t="s">
        <v>879</v>
      </c>
      <c r="L873" s="81" t="n">
        <v>2085440</v>
      </c>
      <c r="M873" s="81" t="n">
        <v>15421106</v>
      </c>
      <c r="N873" s="81" t="n">
        <v>11.94</v>
      </c>
      <c r="O873" s="81" t="n">
        <v>2081310</v>
      </c>
      <c r="P873" s="81" t="n">
        <v>15421103</v>
      </c>
      <c r="Q873" s="81" t="n">
        <v>11.94</v>
      </c>
      <c r="R873" s="81" t="s">
        <v>935</v>
      </c>
      <c r="S873" s="81"/>
      <c r="T873" s="81"/>
      <c r="U873" s="83" t="n">
        <v>46287</v>
      </c>
      <c r="V873" s="83" t="n">
        <v>46288</v>
      </c>
      <c r="W873" s="81" t="s">
        <v>1007</v>
      </c>
      <c r="X873" s="81" t="s">
        <v>876</v>
      </c>
      <c r="Y873" s="83"/>
      <c r="Z873" s="81"/>
      <c r="AA873" s="81"/>
      <c r="AB873" s="81"/>
      <c r="AC873" s="81"/>
      <c r="AD873" s="81"/>
      <c r="AE873" s="83"/>
      <c r="AF873" s="81"/>
      <c r="AG873" s="81"/>
      <c r="AH873" s="81"/>
      <c r="AI873" s="81"/>
      <c r="AJ873" s="83"/>
      <c r="AK873" s="81"/>
      <c r="AL873" s="81"/>
      <c r="AM873" s="83"/>
      <c r="AN873" s="80"/>
      <c r="AO873" s="82" t="n">
        <f aca="false">IF(E873="","",(AA873&lt;&gt;"")+(AG873&lt;&gt;"")+(AL873&lt;&gt;""))</f>
        <v>0</v>
      </c>
      <c r="AP873" s="82" t="str">
        <f aca="false">IF(AL873&lt;&gt;"",AL873,IF(AG873&lt;&gt;"",AG873,IF(AA873&lt;&gt;"",AA873,"")))</f>
        <v/>
      </c>
      <c r="AQ873" s="84" t="str">
        <f aca="false">IF(E873="","",IF(U873="","À SOUDER",IF(X873="","VT EN ATTENTE",IF(X873="R","VT REJETÉ – À REPRENDRE",IF(AP873="","À RADIOGRAPHIER",IF(AP873="A","ACCEPTÉ",IF(AP873="NX","NX – RT À REFAIRE",IF(IF(AO873=1,AD873,IF(AO873=2,AI873,""))="A","RÉPARÉ – À RADIOGRAPHIER",IF(IF(AO873=1,AD873,IF(AO873=2,AI873,""))="R","VT REJETÉ – À REPRENDRE",IF(OR(AP873="CO",AP873="NT"),"COUPE – À RESOUDER","À RÉPARER"))))))))))</f>
        <v>À RADIOGRAPHIER</v>
      </c>
      <c r="AR873" s="82" t="n">
        <f aca="false">IF(AND(ISNUMBER(U873),OR(AQ873="À RADIOGRAPHIER",AQ873="RÉPARÉ – À RADIOGRAPHIER",AQ873="NX – RT À REFAIRE",AQ873="À RÉPARER",AQ873="COUPE – À RESOUDER",AQ873="VT REJETÉ – À REPRENDRE")),MAX(0,'PROGRAMME RT'!$C$4-U873),"")</f>
        <v>6</v>
      </c>
      <c r="AS873" s="82" t="n">
        <f aca="false">IF(AND(OR(AQ873="À RADIOGRAPHIER",AQ873="RÉPARÉ – À RADIOGRAPHIER",AQ873="NX – RT À REFAIRE"),OR('PROGRAMME RT'!$D$5="TOUTES",B873='PROGRAMME RT'!$D$5)),1,0)</f>
        <v>1</v>
      </c>
      <c r="AT873" s="82" t="n">
        <f aca="false">IF(AS873=1,SUM(AS$7:AS873),"")</f>
        <v>50</v>
      </c>
      <c r="AU873" s="82" t="n">
        <f aca="false">IF(AND(OR(AA873="R",AA873="NX",AA873="NT",AA873="CO"),OR('JOINTS DE RÉPARATION'!$D$5="TOUTES",B873='JOINTS DE RÉPARATION'!$D$5),OR('JOINTS DE RÉPARATION'!$L$4="TOUS",AQ873&lt;&gt;"ACCEPTÉ")),1,0)</f>
        <v>0</v>
      </c>
      <c r="AV873" s="82" t="str">
        <f aca="false">IF(AU873=1,SUM(AU$7:AU873),"")</f>
        <v/>
      </c>
      <c r="AW873" s="82" t="str">
        <f aca="false">IF(E873="","",B873&amp;"|"&amp;E873)</f>
        <v>MFD-ISW → MFD-CPF|JN°814</v>
      </c>
    </row>
    <row r="874" customFormat="false" ht="74.6" hidden="false" customHeight="false" outlineLevel="0" collapsed="false">
      <c r="A874" s="79" t="n">
        <f aca="false">IF(E874="","",ROW()-6)</f>
        <v>868</v>
      </c>
      <c r="B874" s="80" t="s">
        <v>110</v>
      </c>
      <c r="C874" s="81" t="s">
        <v>1004</v>
      </c>
      <c r="D874" s="81" t="n">
        <v>5</v>
      </c>
      <c r="E874" s="81" t="s">
        <v>1014</v>
      </c>
      <c r="F874" s="82" t="str">
        <f aca="false">IF(E874="","",IF(LEFT(E874,2)="DJ","DJ","JN"))</f>
        <v>DJ</v>
      </c>
      <c r="G874" s="81"/>
      <c r="H874" s="81" t="s">
        <v>871</v>
      </c>
      <c r="I874" s="81" t="n">
        <v>9.53</v>
      </c>
      <c r="J874" s="81" t="s">
        <v>872</v>
      </c>
      <c r="K874" s="81" t="s">
        <v>873</v>
      </c>
      <c r="L874" s="81" t="n">
        <v>2081310</v>
      </c>
      <c r="M874" s="81" t="n">
        <v>15421103</v>
      </c>
      <c r="N874" s="81" t="n">
        <v>11.94</v>
      </c>
      <c r="O874" s="81" t="n">
        <v>2087430</v>
      </c>
      <c r="P874" s="81" t="n">
        <v>15421107</v>
      </c>
      <c r="Q874" s="81" t="n">
        <v>11.94</v>
      </c>
      <c r="R874" s="81" t="s">
        <v>874</v>
      </c>
      <c r="S874" s="81"/>
      <c r="T874" s="81"/>
      <c r="U874" s="83" t="n">
        <v>46286</v>
      </c>
      <c r="V874" s="83" t="n">
        <v>46286</v>
      </c>
      <c r="W874" s="81" t="s">
        <v>892</v>
      </c>
      <c r="X874" s="81" t="s">
        <v>876</v>
      </c>
      <c r="Y874" s="83" t="n">
        <v>46287</v>
      </c>
      <c r="Z874" s="81" t="s">
        <v>921</v>
      </c>
      <c r="AA874" s="81" t="s">
        <v>876</v>
      </c>
      <c r="AB874" s="81"/>
      <c r="AC874" s="81"/>
      <c r="AD874" s="81"/>
      <c r="AE874" s="83"/>
      <c r="AF874" s="81"/>
      <c r="AG874" s="81"/>
      <c r="AH874" s="81"/>
      <c r="AI874" s="81"/>
      <c r="AJ874" s="83"/>
      <c r="AK874" s="81"/>
      <c r="AL874" s="81"/>
      <c r="AM874" s="83"/>
      <c r="AN874" s="80"/>
      <c r="AO874" s="82" t="n">
        <f aca="false">IF(E874="","",(AA874&lt;&gt;"")+(AG874&lt;&gt;"")+(AL874&lt;&gt;""))</f>
        <v>1</v>
      </c>
      <c r="AP874" s="82" t="str">
        <f aca="false">IF(AL874&lt;&gt;"",AL874,IF(AG874&lt;&gt;"",AG874,IF(AA874&lt;&gt;"",AA874,"")))</f>
        <v>A</v>
      </c>
      <c r="AQ874" s="84" t="str">
        <f aca="false">IF(E874="","",IF(U874="","À SOUDER",IF(X874="","VT EN ATTENTE",IF(X874="R","VT REJETÉ – À REPRENDRE",IF(AP874="","À RADIOGRAPHIER",IF(AP874="A","ACCEPTÉ",IF(AP874="NX","NX – RT À REFAIRE",IF(IF(AO874=1,AD874,IF(AO874=2,AI874,""))="A","RÉPARÉ – À RADIOGRAPHIER",IF(IF(AO874=1,AD874,IF(AO874=2,AI874,""))="R","VT REJETÉ – À REPRENDRE",IF(OR(AP874="CO",AP874="NT"),"COUPE – À RESOUDER","À RÉPARER"))))))))))</f>
        <v>ACCEPTÉ</v>
      </c>
      <c r="AR874" s="82" t="str">
        <f aca="false">IF(AND(ISNUMBER(U874),OR(AQ874="À RADIOGRAPHIER",AQ874="RÉPARÉ – À RADIOGRAPHIER",AQ874="NX – RT À REFAIRE",AQ874="À RÉPARER",AQ874="COUPE – À RESOUDER",AQ874="VT REJETÉ – À REPRENDRE")),MAX(0,'PROGRAMME RT'!$C$4-U874),"")</f>
        <v/>
      </c>
      <c r="AS874" s="82" t="n">
        <f aca="false">IF(AND(OR(AQ874="À RADIOGRAPHIER",AQ874="RÉPARÉ – À RADIOGRAPHIER",AQ874="NX – RT À REFAIRE"),OR('PROGRAMME RT'!$D$5="TOUTES",B874='PROGRAMME RT'!$D$5)),1,0)</f>
        <v>0</v>
      </c>
      <c r="AT874" s="82" t="str">
        <f aca="false">IF(AS874=1,SUM(AS$7:AS874),"")</f>
        <v/>
      </c>
      <c r="AU874" s="82" t="n">
        <f aca="false">IF(AND(OR(AA874="R",AA874="NX",AA874="NT",AA874="CO"),OR('JOINTS DE RÉPARATION'!$D$5="TOUTES",B874='JOINTS DE RÉPARATION'!$D$5),OR('JOINTS DE RÉPARATION'!$L$4="TOUS",AQ874&lt;&gt;"ACCEPTÉ")),1,0)</f>
        <v>0</v>
      </c>
      <c r="AV874" s="82" t="str">
        <f aca="false">IF(AU874=1,SUM(AU$7:AU874),"")</f>
        <v/>
      </c>
      <c r="AW874" s="82" t="str">
        <f aca="false">IF(E874="","",B874&amp;"|"&amp;E874)</f>
        <v>MFD-ISW → MFD-CPF|DJ°475</v>
      </c>
    </row>
    <row r="875" customFormat="false" ht="74.6" hidden="false" customHeight="false" outlineLevel="0" collapsed="false">
      <c r="A875" s="79" t="n">
        <f aca="false">IF(E875="","",ROW()-6)</f>
        <v>869</v>
      </c>
      <c r="B875" s="80" t="s">
        <v>110</v>
      </c>
      <c r="C875" s="81" t="s">
        <v>1004</v>
      </c>
      <c r="D875" s="81" t="n">
        <v>5</v>
      </c>
      <c r="E875" s="81" t="s">
        <v>1015</v>
      </c>
      <c r="F875" s="82" t="str">
        <f aca="false">IF(E875="","",IF(LEFT(E875,2)="DJ","DJ","JN"))</f>
        <v>JN</v>
      </c>
      <c r="G875" s="81"/>
      <c r="H875" s="81" t="s">
        <v>871</v>
      </c>
      <c r="I875" s="81" t="n">
        <v>9.53</v>
      </c>
      <c r="J875" s="81" t="s">
        <v>872</v>
      </c>
      <c r="K875" s="81" t="s">
        <v>879</v>
      </c>
      <c r="L875" s="81" t="n">
        <v>2087430</v>
      </c>
      <c r="M875" s="81" t="n">
        <v>15421107</v>
      </c>
      <c r="N875" s="81" t="n">
        <v>11.94</v>
      </c>
      <c r="O875" s="81" t="n">
        <v>2087280</v>
      </c>
      <c r="P875" s="81" t="n">
        <v>15421107</v>
      </c>
      <c r="Q875" s="81" t="n">
        <v>11.94</v>
      </c>
      <c r="R875" s="81" t="s">
        <v>935</v>
      </c>
      <c r="S875" s="81"/>
      <c r="T875" s="81"/>
      <c r="U875" s="83" t="n">
        <v>46287</v>
      </c>
      <c r="V875" s="83" t="n">
        <v>46287</v>
      </c>
      <c r="W875" s="81" t="s">
        <v>1016</v>
      </c>
      <c r="X875" s="81" t="s">
        <v>876</v>
      </c>
      <c r="Y875" s="83"/>
      <c r="Z875" s="81"/>
      <c r="AA875" s="81"/>
      <c r="AB875" s="81"/>
      <c r="AC875" s="81"/>
      <c r="AD875" s="81"/>
      <c r="AE875" s="83"/>
      <c r="AF875" s="81"/>
      <c r="AG875" s="81"/>
      <c r="AH875" s="81"/>
      <c r="AI875" s="81"/>
      <c r="AJ875" s="83"/>
      <c r="AK875" s="81"/>
      <c r="AL875" s="81"/>
      <c r="AM875" s="83"/>
      <c r="AN875" s="80"/>
      <c r="AO875" s="82" t="n">
        <f aca="false">IF(E875="","",(AA875&lt;&gt;"")+(AG875&lt;&gt;"")+(AL875&lt;&gt;""))</f>
        <v>0</v>
      </c>
      <c r="AP875" s="82" t="str">
        <f aca="false">IF(AL875&lt;&gt;"",AL875,IF(AG875&lt;&gt;"",AG875,IF(AA875&lt;&gt;"",AA875,"")))</f>
        <v/>
      </c>
      <c r="AQ875" s="84" t="str">
        <f aca="false">IF(E875="","",IF(U875="","À SOUDER",IF(X875="","VT EN ATTENTE",IF(X875="R","VT REJETÉ – À REPRENDRE",IF(AP875="","À RADIOGRAPHIER",IF(AP875="A","ACCEPTÉ",IF(AP875="NX","NX – RT À REFAIRE",IF(IF(AO875=1,AD875,IF(AO875=2,AI875,""))="A","RÉPARÉ – À RADIOGRAPHIER",IF(IF(AO875=1,AD875,IF(AO875=2,AI875,""))="R","VT REJETÉ – À REPRENDRE",IF(OR(AP875="CO",AP875="NT"),"COUPE – À RESOUDER","À RÉPARER"))))))))))</f>
        <v>À RADIOGRAPHIER</v>
      </c>
      <c r="AR875" s="82" t="n">
        <f aca="false">IF(AND(ISNUMBER(U875),OR(AQ875="À RADIOGRAPHIER",AQ875="RÉPARÉ – À RADIOGRAPHIER",AQ875="NX – RT À REFAIRE",AQ875="À RÉPARER",AQ875="COUPE – À RESOUDER",AQ875="VT REJETÉ – À REPRENDRE")),MAX(0,'PROGRAMME RT'!$C$4-U875),"")</f>
        <v>6</v>
      </c>
      <c r="AS875" s="82" t="n">
        <f aca="false">IF(AND(OR(AQ875="À RADIOGRAPHIER",AQ875="RÉPARÉ – À RADIOGRAPHIER",AQ875="NX – RT À REFAIRE"),OR('PROGRAMME RT'!$D$5="TOUTES",B875='PROGRAMME RT'!$D$5)),1,0)</f>
        <v>1</v>
      </c>
      <c r="AT875" s="82" t="n">
        <f aca="false">IF(AS875=1,SUM(AS$7:AS875),"")</f>
        <v>51</v>
      </c>
      <c r="AU875" s="82" t="n">
        <f aca="false">IF(AND(OR(AA875="R",AA875="NX",AA875="NT",AA875="CO"),OR('JOINTS DE RÉPARATION'!$D$5="TOUTES",B875='JOINTS DE RÉPARATION'!$D$5),OR('JOINTS DE RÉPARATION'!$L$4="TOUS",AQ875&lt;&gt;"ACCEPTÉ")),1,0)</f>
        <v>0</v>
      </c>
      <c r="AV875" s="82" t="str">
        <f aca="false">IF(AU875=1,SUM(AU$7:AU875),"")</f>
        <v/>
      </c>
      <c r="AW875" s="82" t="str">
        <f aca="false">IF(E875="","",B875&amp;"|"&amp;E875)</f>
        <v>MFD-ISW → MFD-CPF|JN°815</v>
      </c>
    </row>
    <row r="876" customFormat="false" ht="74.6" hidden="false" customHeight="false" outlineLevel="0" collapsed="false">
      <c r="A876" s="79" t="n">
        <f aca="false">IF(E876="","",ROW()-6)</f>
        <v>870</v>
      </c>
      <c r="B876" s="80" t="s">
        <v>110</v>
      </c>
      <c r="C876" s="81" t="s">
        <v>1004</v>
      </c>
      <c r="D876" s="81" t="n">
        <v>5</v>
      </c>
      <c r="E876" s="81" t="s">
        <v>1017</v>
      </c>
      <c r="F876" s="82" t="str">
        <f aca="false">IF(E876="","",IF(LEFT(E876,2)="DJ","DJ","JN"))</f>
        <v>DJ</v>
      </c>
      <c r="G876" s="81"/>
      <c r="H876" s="81" t="s">
        <v>871</v>
      </c>
      <c r="I876" s="81" t="n">
        <v>9.53</v>
      </c>
      <c r="J876" s="81" t="s">
        <v>872</v>
      </c>
      <c r="K876" s="81" t="s">
        <v>873</v>
      </c>
      <c r="L876" s="81" t="n">
        <v>2087280</v>
      </c>
      <c r="M876" s="81" t="n">
        <v>15421107</v>
      </c>
      <c r="N876" s="81" t="n">
        <v>11.94</v>
      </c>
      <c r="O876" s="81" t="n">
        <v>2089170</v>
      </c>
      <c r="P876" s="81" t="n">
        <v>15421108</v>
      </c>
      <c r="Q876" s="81" t="n">
        <v>11.94</v>
      </c>
      <c r="R876" s="81" t="s">
        <v>963</v>
      </c>
      <c r="S876" s="81"/>
      <c r="T876" s="81"/>
      <c r="U876" s="83" t="n">
        <v>46286</v>
      </c>
      <c r="V876" s="83" t="n">
        <v>46286</v>
      </c>
      <c r="W876" s="81" t="s">
        <v>892</v>
      </c>
      <c r="X876" s="81" t="s">
        <v>876</v>
      </c>
      <c r="Y876" s="83" t="n">
        <v>46287</v>
      </c>
      <c r="Z876" s="81" t="s">
        <v>921</v>
      </c>
      <c r="AA876" s="81" t="s">
        <v>876</v>
      </c>
      <c r="AB876" s="81"/>
      <c r="AC876" s="81"/>
      <c r="AD876" s="81"/>
      <c r="AE876" s="83"/>
      <c r="AF876" s="81"/>
      <c r="AG876" s="81"/>
      <c r="AH876" s="81"/>
      <c r="AI876" s="81"/>
      <c r="AJ876" s="83"/>
      <c r="AK876" s="81"/>
      <c r="AL876" s="81"/>
      <c r="AM876" s="83"/>
      <c r="AN876" s="80"/>
      <c r="AO876" s="82" t="n">
        <f aca="false">IF(E876="","",(AA876&lt;&gt;"")+(AG876&lt;&gt;"")+(AL876&lt;&gt;""))</f>
        <v>1</v>
      </c>
      <c r="AP876" s="82" t="str">
        <f aca="false">IF(AL876&lt;&gt;"",AL876,IF(AG876&lt;&gt;"",AG876,IF(AA876&lt;&gt;"",AA876,"")))</f>
        <v>A</v>
      </c>
      <c r="AQ876" s="84" t="str">
        <f aca="false">IF(E876="","",IF(U876="","À SOUDER",IF(X876="","VT EN ATTENTE",IF(X876="R","VT REJETÉ – À REPRENDRE",IF(AP876="","À RADIOGRAPHIER",IF(AP876="A","ACCEPTÉ",IF(AP876="NX","NX – RT À REFAIRE",IF(IF(AO876=1,AD876,IF(AO876=2,AI876,""))="A","RÉPARÉ – À RADIOGRAPHIER",IF(IF(AO876=1,AD876,IF(AO876=2,AI876,""))="R","VT REJETÉ – À REPRENDRE",IF(OR(AP876="CO",AP876="NT"),"COUPE – À RESOUDER","À RÉPARER"))))))))))</f>
        <v>ACCEPTÉ</v>
      </c>
      <c r="AR876" s="82" t="str">
        <f aca="false">IF(AND(ISNUMBER(U876),OR(AQ876="À RADIOGRAPHIER",AQ876="RÉPARÉ – À RADIOGRAPHIER",AQ876="NX – RT À REFAIRE",AQ876="À RÉPARER",AQ876="COUPE – À RESOUDER",AQ876="VT REJETÉ – À REPRENDRE")),MAX(0,'PROGRAMME RT'!$C$4-U876),"")</f>
        <v/>
      </c>
      <c r="AS876" s="82" t="n">
        <f aca="false">IF(AND(OR(AQ876="À RADIOGRAPHIER",AQ876="RÉPARÉ – À RADIOGRAPHIER",AQ876="NX – RT À REFAIRE"),OR('PROGRAMME RT'!$D$5="TOUTES",B876='PROGRAMME RT'!$D$5)),1,0)</f>
        <v>0</v>
      </c>
      <c r="AT876" s="82" t="str">
        <f aca="false">IF(AS876=1,SUM(AS$7:AS876),"")</f>
        <v/>
      </c>
      <c r="AU876" s="82" t="n">
        <f aca="false">IF(AND(OR(AA876="R",AA876="NX",AA876="NT",AA876="CO"),OR('JOINTS DE RÉPARATION'!$D$5="TOUTES",B876='JOINTS DE RÉPARATION'!$D$5),OR('JOINTS DE RÉPARATION'!$L$4="TOUS",AQ876&lt;&gt;"ACCEPTÉ")),1,0)</f>
        <v>0</v>
      </c>
      <c r="AV876" s="82" t="str">
        <f aca="false">IF(AU876=1,SUM(AU$7:AU876),"")</f>
        <v/>
      </c>
      <c r="AW876" s="82" t="str">
        <f aca="false">IF(E876="","",B876&amp;"|"&amp;E876)</f>
        <v>MFD-ISW → MFD-CPF|DJ°470</v>
      </c>
    </row>
    <row r="877" customFormat="false" ht="74.6" hidden="false" customHeight="false" outlineLevel="0" collapsed="false">
      <c r="A877" s="79" t="n">
        <f aca="false">IF(E877="","",ROW()-6)</f>
        <v>871</v>
      </c>
      <c r="B877" s="80" t="s">
        <v>110</v>
      </c>
      <c r="C877" s="81" t="s">
        <v>1004</v>
      </c>
      <c r="D877" s="81" t="n">
        <v>5</v>
      </c>
      <c r="E877" s="81" t="s">
        <v>1018</v>
      </c>
      <c r="F877" s="82" t="str">
        <f aca="false">IF(E877="","",IF(LEFT(E877,2)="DJ","DJ","JN"))</f>
        <v>JN</v>
      </c>
      <c r="G877" s="81"/>
      <c r="H877" s="81" t="s">
        <v>871</v>
      </c>
      <c r="I877" s="81" t="n">
        <v>9.53</v>
      </c>
      <c r="J877" s="81" t="s">
        <v>872</v>
      </c>
      <c r="K877" s="81" t="s">
        <v>879</v>
      </c>
      <c r="L877" s="81" t="n">
        <v>2089170</v>
      </c>
      <c r="M877" s="81" t="n">
        <v>15421108</v>
      </c>
      <c r="N877" s="81" t="n">
        <v>11.94</v>
      </c>
      <c r="O877" s="81" t="n">
        <v>2079050</v>
      </c>
      <c r="P877" s="81" t="n">
        <v>15421102</v>
      </c>
      <c r="Q877" s="81" t="n">
        <v>11.94</v>
      </c>
      <c r="R877" s="81" t="s">
        <v>935</v>
      </c>
      <c r="S877" s="81"/>
      <c r="T877" s="81"/>
      <c r="U877" s="83" t="n">
        <v>46287</v>
      </c>
      <c r="V877" s="83" t="n">
        <v>46287</v>
      </c>
      <c r="W877" s="81" t="s">
        <v>1016</v>
      </c>
      <c r="X877" s="81" t="s">
        <v>876</v>
      </c>
      <c r="Y877" s="83"/>
      <c r="Z877" s="81"/>
      <c r="AA877" s="81"/>
      <c r="AB877" s="81"/>
      <c r="AC877" s="81"/>
      <c r="AD877" s="81"/>
      <c r="AE877" s="83"/>
      <c r="AF877" s="81"/>
      <c r="AG877" s="81"/>
      <c r="AH877" s="81"/>
      <c r="AI877" s="81"/>
      <c r="AJ877" s="83"/>
      <c r="AK877" s="81"/>
      <c r="AL877" s="81"/>
      <c r="AM877" s="83"/>
      <c r="AN877" s="80"/>
      <c r="AO877" s="82" t="n">
        <f aca="false">IF(E877="","",(AA877&lt;&gt;"")+(AG877&lt;&gt;"")+(AL877&lt;&gt;""))</f>
        <v>0</v>
      </c>
      <c r="AP877" s="82" t="str">
        <f aca="false">IF(AL877&lt;&gt;"",AL877,IF(AG877&lt;&gt;"",AG877,IF(AA877&lt;&gt;"",AA877,"")))</f>
        <v/>
      </c>
      <c r="AQ877" s="84" t="str">
        <f aca="false">IF(E877="","",IF(U877="","À SOUDER",IF(X877="","VT EN ATTENTE",IF(X877="R","VT REJETÉ – À REPRENDRE",IF(AP877="","À RADIOGRAPHIER",IF(AP877="A","ACCEPTÉ",IF(AP877="NX","NX – RT À REFAIRE",IF(IF(AO877=1,AD877,IF(AO877=2,AI877,""))="A","RÉPARÉ – À RADIOGRAPHIER",IF(IF(AO877=1,AD877,IF(AO877=2,AI877,""))="R","VT REJETÉ – À REPRENDRE",IF(OR(AP877="CO",AP877="NT"),"COUPE – À RESOUDER","À RÉPARER"))))))))))</f>
        <v>À RADIOGRAPHIER</v>
      </c>
      <c r="AR877" s="82" t="n">
        <f aca="false">IF(AND(ISNUMBER(U877),OR(AQ877="À RADIOGRAPHIER",AQ877="RÉPARÉ – À RADIOGRAPHIER",AQ877="NX – RT À REFAIRE",AQ877="À RÉPARER",AQ877="COUPE – À RESOUDER",AQ877="VT REJETÉ – À REPRENDRE")),MAX(0,'PROGRAMME RT'!$C$4-U877),"")</f>
        <v>6</v>
      </c>
      <c r="AS877" s="82" t="n">
        <f aca="false">IF(AND(OR(AQ877="À RADIOGRAPHIER",AQ877="RÉPARÉ – À RADIOGRAPHIER",AQ877="NX – RT À REFAIRE"),OR('PROGRAMME RT'!$D$5="TOUTES",B877='PROGRAMME RT'!$D$5)),1,0)</f>
        <v>1</v>
      </c>
      <c r="AT877" s="82" t="n">
        <f aca="false">IF(AS877=1,SUM(AS$7:AS877),"")</f>
        <v>52</v>
      </c>
      <c r="AU877" s="82" t="n">
        <f aca="false">IF(AND(OR(AA877="R",AA877="NX",AA877="NT",AA877="CO"),OR('JOINTS DE RÉPARATION'!$D$5="TOUTES",B877='JOINTS DE RÉPARATION'!$D$5),OR('JOINTS DE RÉPARATION'!$L$4="TOUS",AQ877&lt;&gt;"ACCEPTÉ")),1,0)</f>
        <v>0</v>
      </c>
      <c r="AV877" s="82" t="str">
        <f aca="false">IF(AU877=1,SUM(AU$7:AU877),"")</f>
        <v/>
      </c>
      <c r="AW877" s="82" t="str">
        <f aca="false">IF(E877="","",B877&amp;"|"&amp;E877)</f>
        <v>MFD-ISW → MFD-CPF|JN°816</v>
      </c>
    </row>
    <row r="878" customFormat="false" ht="74.6" hidden="false" customHeight="false" outlineLevel="0" collapsed="false">
      <c r="A878" s="79" t="n">
        <f aca="false">IF(E878="","",ROW()-6)</f>
        <v>872</v>
      </c>
      <c r="B878" s="80" t="s">
        <v>110</v>
      </c>
      <c r="C878" s="81" t="s">
        <v>1004</v>
      </c>
      <c r="D878" s="81" t="n">
        <v>5</v>
      </c>
      <c r="E878" s="81" t="s">
        <v>1019</v>
      </c>
      <c r="F878" s="82" t="str">
        <f aca="false">IF(E878="","",IF(LEFT(E878,2)="DJ","DJ","JN"))</f>
        <v>DJ</v>
      </c>
      <c r="G878" s="81"/>
      <c r="H878" s="81" t="s">
        <v>871</v>
      </c>
      <c r="I878" s="81" t="n">
        <v>9.53</v>
      </c>
      <c r="J878" s="81" t="s">
        <v>872</v>
      </c>
      <c r="K878" s="81" t="s">
        <v>873</v>
      </c>
      <c r="L878" s="81" t="n">
        <v>2079050</v>
      </c>
      <c r="M878" s="81" t="n">
        <v>15421102</v>
      </c>
      <c r="N878" s="81" t="n">
        <v>11.94</v>
      </c>
      <c r="O878" s="81" t="n">
        <v>2095460</v>
      </c>
      <c r="P878" s="81" t="n">
        <v>15421109</v>
      </c>
      <c r="Q878" s="81" t="n">
        <v>11.94</v>
      </c>
      <c r="R878" s="81" t="s">
        <v>963</v>
      </c>
      <c r="S878" s="81"/>
      <c r="T878" s="81"/>
      <c r="U878" s="83" t="n">
        <v>46286</v>
      </c>
      <c r="V878" s="83" t="n">
        <v>46286</v>
      </c>
      <c r="W878" s="81" t="s">
        <v>892</v>
      </c>
      <c r="X878" s="81" t="s">
        <v>876</v>
      </c>
      <c r="Y878" s="83" t="n">
        <v>46287</v>
      </c>
      <c r="Z878" s="81" t="s">
        <v>921</v>
      </c>
      <c r="AA878" s="81" t="s">
        <v>876</v>
      </c>
      <c r="AB878" s="81"/>
      <c r="AC878" s="81"/>
      <c r="AD878" s="81"/>
      <c r="AE878" s="83"/>
      <c r="AF878" s="81"/>
      <c r="AG878" s="81"/>
      <c r="AH878" s="81"/>
      <c r="AI878" s="81"/>
      <c r="AJ878" s="83"/>
      <c r="AK878" s="81"/>
      <c r="AL878" s="81"/>
      <c r="AM878" s="83"/>
      <c r="AN878" s="80"/>
      <c r="AO878" s="82" t="n">
        <f aca="false">IF(E878="","",(AA878&lt;&gt;"")+(AG878&lt;&gt;"")+(AL878&lt;&gt;""))</f>
        <v>1</v>
      </c>
      <c r="AP878" s="82" t="str">
        <f aca="false">IF(AL878&lt;&gt;"",AL878,IF(AG878&lt;&gt;"",AG878,IF(AA878&lt;&gt;"",AA878,"")))</f>
        <v>A</v>
      </c>
      <c r="AQ878" s="84" t="str">
        <f aca="false">IF(E878="","",IF(U878="","À SOUDER",IF(X878="","VT EN ATTENTE",IF(X878="R","VT REJETÉ – À REPRENDRE",IF(AP878="","À RADIOGRAPHIER",IF(AP878="A","ACCEPTÉ",IF(AP878="NX","NX – RT À REFAIRE",IF(IF(AO878=1,AD878,IF(AO878=2,AI878,""))="A","RÉPARÉ – À RADIOGRAPHIER",IF(IF(AO878=1,AD878,IF(AO878=2,AI878,""))="R","VT REJETÉ – À REPRENDRE",IF(OR(AP878="CO",AP878="NT"),"COUPE – À RESOUDER","À RÉPARER"))))))))))</f>
        <v>ACCEPTÉ</v>
      </c>
      <c r="AR878" s="82" t="str">
        <f aca="false">IF(AND(ISNUMBER(U878),OR(AQ878="À RADIOGRAPHIER",AQ878="RÉPARÉ – À RADIOGRAPHIER",AQ878="NX – RT À REFAIRE",AQ878="À RÉPARER",AQ878="COUPE – À RESOUDER",AQ878="VT REJETÉ – À REPRENDRE")),MAX(0,'PROGRAMME RT'!$C$4-U878),"")</f>
        <v/>
      </c>
      <c r="AS878" s="82" t="n">
        <f aca="false">IF(AND(OR(AQ878="À RADIOGRAPHIER",AQ878="RÉPARÉ – À RADIOGRAPHIER",AQ878="NX – RT À REFAIRE"),OR('PROGRAMME RT'!$D$5="TOUTES",B878='PROGRAMME RT'!$D$5)),1,0)</f>
        <v>0</v>
      </c>
      <c r="AT878" s="82" t="str">
        <f aca="false">IF(AS878=1,SUM(AS$7:AS878),"")</f>
        <v/>
      </c>
      <c r="AU878" s="82" t="n">
        <f aca="false">IF(AND(OR(AA878="R",AA878="NX",AA878="NT",AA878="CO"),OR('JOINTS DE RÉPARATION'!$D$5="TOUTES",B878='JOINTS DE RÉPARATION'!$D$5),OR('JOINTS DE RÉPARATION'!$L$4="TOUS",AQ878&lt;&gt;"ACCEPTÉ")),1,0)</f>
        <v>0</v>
      </c>
      <c r="AV878" s="82" t="str">
        <f aca="false">IF(AU878=1,SUM(AU$7:AU878),"")</f>
        <v/>
      </c>
      <c r="AW878" s="82" t="str">
        <f aca="false">IF(E878="","",B878&amp;"|"&amp;E878)</f>
        <v>MFD-ISW → MFD-CPF|DJ°473</v>
      </c>
    </row>
    <row r="879" customFormat="false" ht="74.6" hidden="false" customHeight="false" outlineLevel="0" collapsed="false">
      <c r="A879" s="79" t="n">
        <f aca="false">IF(E879="","",ROW()-6)</f>
        <v>873</v>
      </c>
      <c r="B879" s="80" t="s">
        <v>110</v>
      </c>
      <c r="C879" s="81"/>
      <c r="D879" s="81" t="s">
        <v>926</v>
      </c>
      <c r="E879" s="81" t="s">
        <v>1020</v>
      </c>
      <c r="F879" s="82" t="str">
        <f aca="false">IF(E879="","",IF(LEFT(E879,2)="DJ","DJ","JN"))</f>
        <v>JN</v>
      </c>
      <c r="G879" s="81"/>
      <c r="H879" s="81"/>
      <c r="I879" s="81"/>
      <c r="J879" s="81"/>
      <c r="K879" s="81"/>
      <c r="L879" s="81"/>
      <c r="M879" s="81"/>
      <c r="N879" s="81"/>
      <c r="O879" s="81"/>
      <c r="P879" s="81"/>
      <c r="Q879" s="81"/>
      <c r="R879" s="81"/>
      <c r="S879" s="81"/>
      <c r="T879" s="81"/>
      <c r="U879" s="83"/>
      <c r="V879" s="83"/>
      <c r="W879" s="81"/>
      <c r="X879" s="81"/>
      <c r="Y879" s="83"/>
      <c r="Z879" s="81"/>
      <c r="AA879" s="81"/>
      <c r="AB879" s="81"/>
      <c r="AC879" s="81"/>
      <c r="AD879" s="81"/>
      <c r="AE879" s="83"/>
      <c r="AF879" s="81"/>
      <c r="AG879" s="81"/>
      <c r="AH879" s="81"/>
      <c r="AI879" s="81"/>
      <c r="AJ879" s="83"/>
      <c r="AK879" s="81"/>
      <c r="AL879" s="81"/>
      <c r="AM879" s="83"/>
      <c r="AN879" s="80"/>
      <c r="AO879" s="82" t="n">
        <f aca="false">IF(E879="","",(AA879&lt;&gt;"")+(AG879&lt;&gt;"")+(AL879&lt;&gt;""))</f>
        <v>0</v>
      </c>
      <c r="AP879" s="82" t="str">
        <f aca="false">IF(AL879&lt;&gt;"",AL879,IF(AG879&lt;&gt;"",AG879,IF(AA879&lt;&gt;"",AA879,"")))</f>
        <v/>
      </c>
      <c r="AQ879" s="84" t="str">
        <f aca="false">IF(E879="","",IF(U879="","À SOUDER",IF(X879="","VT EN ATTENTE",IF(X879="R","VT REJETÉ – À REPRENDRE",IF(AP879="","À RADIOGRAPHIER",IF(AP879="A","ACCEPTÉ",IF(AP879="NX","NX – RT À REFAIRE",IF(IF(AO879=1,AD879,IF(AO879=2,AI879,""))="A","RÉPARÉ – À RADIOGRAPHIER",IF(IF(AO879=1,AD879,IF(AO879=2,AI879,""))="R","VT REJETÉ – À REPRENDRE",IF(OR(AP879="CO",AP879="NT"),"COUPE – À RESOUDER","À RÉPARER"))))))))))</f>
        <v>À SOUDER</v>
      </c>
      <c r="AR879" s="82" t="str">
        <f aca="false">IF(AND(ISNUMBER(U879),OR(AQ879="À RADIOGRAPHIER",AQ879="RÉPARÉ – À RADIOGRAPHIER",AQ879="NX – RT À REFAIRE",AQ879="À RÉPARER",AQ879="COUPE – À RESOUDER",AQ879="VT REJETÉ – À REPRENDRE")),MAX(0,'PROGRAMME RT'!$C$4-U879),"")</f>
        <v/>
      </c>
      <c r="AS879" s="82" t="n">
        <f aca="false">IF(AND(OR(AQ879="À RADIOGRAPHIER",AQ879="RÉPARÉ – À RADIOGRAPHIER",AQ879="NX – RT À REFAIRE"),OR('PROGRAMME RT'!$D$5="TOUTES",B879='PROGRAMME RT'!$D$5)),1,0)</f>
        <v>0</v>
      </c>
      <c r="AT879" s="82" t="str">
        <f aca="false">IF(AS879=1,SUM(AS$7:AS879),"")</f>
        <v/>
      </c>
      <c r="AU879" s="82" t="n">
        <f aca="false">IF(AND(OR(AA879="R",AA879="NX",AA879="NT",AA879="CO"),OR('JOINTS DE RÉPARATION'!$D$5="TOUTES",B879='JOINTS DE RÉPARATION'!$D$5),OR('JOINTS DE RÉPARATION'!$L$4="TOUS",AQ879&lt;&gt;"ACCEPTÉ")),1,0)</f>
        <v>0</v>
      </c>
      <c r="AV879" s="82" t="str">
        <f aca="false">IF(AU879=1,SUM(AU$7:AU879),"")</f>
        <v/>
      </c>
      <c r="AW879" s="82" t="str">
        <f aca="false">IF(E879="","",B879&amp;"|"&amp;E879)</f>
        <v>MFD-ISW → MFD-CPF|JN°817</v>
      </c>
    </row>
    <row r="880" customFormat="false" ht="74.6" hidden="false" customHeight="false" outlineLevel="0" collapsed="false">
      <c r="A880" s="79" t="n">
        <f aca="false">IF(E880="","",ROW()-6)</f>
        <v>874</v>
      </c>
      <c r="B880" s="80" t="s">
        <v>110</v>
      </c>
      <c r="C880" s="81"/>
      <c r="D880" s="81" t="s">
        <v>926</v>
      </c>
      <c r="E880" s="81" t="s">
        <v>1021</v>
      </c>
      <c r="F880" s="82" t="str">
        <f aca="false">IF(E880="","",IF(LEFT(E880,2)="DJ","DJ","JN"))</f>
        <v>JN</v>
      </c>
      <c r="G880" s="81"/>
      <c r="H880" s="81"/>
      <c r="I880" s="81"/>
      <c r="J880" s="81"/>
      <c r="K880" s="81"/>
      <c r="L880" s="81"/>
      <c r="M880" s="81"/>
      <c r="N880" s="81"/>
      <c r="O880" s="81"/>
      <c r="P880" s="81"/>
      <c r="Q880" s="81"/>
      <c r="R880" s="81"/>
      <c r="S880" s="81"/>
      <c r="T880" s="81"/>
      <c r="U880" s="83"/>
      <c r="V880" s="83"/>
      <c r="W880" s="81"/>
      <c r="X880" s="81"/>
      <c r="Y880" s="83"/>
      <c r="Z880" s="81"/>
      <c r="AA880" s="81"/>
      <c r="AB880" s="81"/>
      <c r="AC880" s="81"/>
      <c r="AD880" s="81"/>
      <c r="AE880" s="83"/>
      <c r="AF880" s="81"/>
      <c r="AG880" s="81"/>
      <c r="AH880" s="81"/>
      <c r="AI880" s="81"/>
      <c r="AJ880" s="83"/>
      <c r="AK880" s="81"/>
      <c r="AL880" s="81"/>
      <c r="AM880" s="83"/>
      <c r="AN880" s="80"/>
      <c r="AO880" s="82" t="n">
        <f aca="false">IF(E880="","",(AA880&lt;&gt;"")+(AG880&lt;&gt;"")+(AL880&lt;&gt;""))</f>
        <v>0</v>
      </c>
      <c r="AP880" s="82" t="str">
        <f aca="false">IF(AL880&lt;&gt;"",AL880,IF(AG880&lt;&gt;"",AG880,IF(AA880&lt;&gt;"",AA880,"")))</f>
        <v/>
      </c>
      <c r="AQ880" s="84" t="str">
        <f aca="false">IF(E880="","",IF(U880="","À SOUDER",IF(X880="","VT EN ATTENTE",IF(X880="R","VT REJETÉ – À REPRENDRE",IF(AP880="","À RADIOGRAPHIER",IF(AP880="A","ACCEPTÉ",IF(AP880="NX","NX – RT À REFAIRE",IF(IF(AO880=1,AD880,IF(AO880=2,AI880,""))="A","RÉPARÉ – À RADIOGRAPHIER",IF(IF(AO880=1,AD880,IF(AO880=2,AI880,""))="R","VT REJETÉ – À REPRENDRE",IF(OR(AP880="CO",AP880="NT"),"COUPE – À RESOUDER","À RÉPARER"))))))))))</f>
        <v>À SOUDER</v>
      </c>
      <c r="AR880" s="82" t="str">
        <f aca="false">IF(AND(ISNUMBER(U880),OR(AQ880="À RADIOGRAPHIER",AQ880="RÉPARÉ – À RADIOGRAPHIER",AQ880="NX – RT À REFAIRE",AQ880="À RÉPARER",AQ880="COUPE – À RESOUDER",AQ880="VT REJETÉ – À REPRENDRE")),MAX(0,'PROGRAMME RT'!$C$4-U880),"")</f>
        <v/>
      </c>
      <c r="AS880" s="82" t="n">
        <f aca="false">IF(AND(OR(AQ880="À RADIOGRAPHIER",AQ880="RÉPARÉ – À RADIOGRAPHIER",AQ880="NX – RT À REFAIRE"),OR('PROGRAMME RT'!$D$5="TOUTES",B880='PROGRAMME RT'!$D$5)),1,0)</f>
        <v>0</v>
      </c>
      <c r="AT880" s="82" t="str">
        <f aca="false">IF(AS880=1,SUM(AS$7:AS880),"")</f>
        <v/>
      </c>
      <c r="AU880" s="82" t="n">
        <f aca="false">IF(AND(OR(AA880="R",AA880="NX",AA880="NT",AA880="CO"),OR('JOINTS DE RÉPARATION'!$D$5="TOUTES",B880='JOINTS DE RÉPARATION'!$D$5),OR('JOINTS DE RÉPARATION'!$L$4="TOUS",AQ880&lt;&gt;"ACCEPTÉ")),1,0)</f>
        <v>0</v>
      </c>
      <c r="AV880" s="82" t="str">
        <f aca="false">IF(AU880=1,SUM(AU$7:AU880),"")</f>
        <v/>
      </c>
      <c r="AW880" s="82" t="str">
        <f aca="false">IF(E880="","",B880&amp;"|"&amp;E880)</f>
        <v>MFD-ISW → MFD-CPF|JN°818</v>
      </c>
    </row>
    <row r="881" customFormat="false" ht="74.6" hidden="false" customHeight="false" outlineLevel="0" collapsed="false">
      <c r="A881" s="79" t="n">
        <f aca="false">IF(E881="","",ROW()-6)</f>
        <v>875</v>
      </c>
      <c r="B881" s="80" t="s">
        <v>110</v>
      </c>
      <c r="C881" s="81" t="s">
        <v>1022</v>
      </c>
      <c r="D881" s="81" t="n">
        <v>5</v>
      </c>
      <c r="E881" s="81" t="s">
        <v>1023</v>
      </c>
      <c r="F881" s="82" t="str">
        <f aca="false">IF(E881="","",IF(LEFT(E881,2)="DJ","DJ","JN"))</f>
        <v>DJ</v>
      </c>
      <c r="G881" s="81"/>
      <c r="H881" s="81" t="s">
        <v>871</v>
      </c>
      <c r="I881" s="81" t="n">
        <v>9.53</v>
      </c>
      <c r="J881" s="81" t="s">
        <v>872</v>
      </c>
      <c r="K881" s="81" t="s">
        <v>873</v>
      </c>
      <c r="L881" s="81" t="n">
        <v>2091440</v>
      </c>
      <c r="M881" s="81" t="n">
        <v>15421110</v>
      </c>
      <c r="N881" s="81" t="n">
        <v>11.94</v>
      </c>
      <c r="O881" s="81" t="n">
        <v>2094010</v>
      </c>
      <c r="P881" s="81" t="n">
        <v>15421110</v>
      </c>
      <c r="Q881" s="81" t="n">
        <v>11.94</v>
      </c>
      <c r="R881" s="81" t="s">
        <v>874</v>
      </c>
      <c r="S881" s="81"/>
      <c r="T881" s="81"/>
      <c r="U881" s="83" t="n">
        <v>46285</v>
      </c>
      <c r="V881" s="83" t="n">
        <v>46285</v>
      </c>
      <c r="W881" s="81" t="s">
        <v>1024</v>
      </c>
      <c r="X881" s="81" t="s">
        <v>876</v>
      </c>
      <c r="Y881" s="83" t="n">
        <v>46286</v>
      </c>
      <c r="Z881" s="81" t="s">
        <v>1025</v>
      </c>
      <c r="AA881" s="81" t="s">
        <v>876</v>
      </c>
      <c r="AB881" s="81"/>
      <c r="AC881" s="81"/>
      <c r="AD881" s="81"/>
      <c r="AE881" s="83"/>
      <c r="AF881" s="81"/>
      <c r="AG881" s="81"/>
      <c r="AH881" s="81"/>
      <c r="AI881" s="81"/>
      <c r="AJ881" s="83"/>
      <c r="AK881" s="81"/>
      <c r="AL881" s="81"/>
      <c r="AM881" s="83"/>
      <c r="AN881" s="80"/>
      <c r="AO881" s="82" t="n">
        <f aca="false">IF(E881="","",(AA881&lt;&gt;"")+(AG881&lt;&gt;"")+(AL881&lt;&gt;""))</f>
        <v>1</v>
      </c>
      <c r="AP881" s="82" t="str">
        <f aca="false">IF(AL881&lt;&gt;"",AL881,IF(AG881&lt;&gt;"",AG881,IF(AA881&lt;&gt;"",AA881,"")))</f>
        <v>A</v>
      </c>
      <c r="AQ881" s="84" t="str">
        <f aca="false">IF(E881="","",IF(U881="","À SOUDER",IF(X881="","VT EN ATTENTE",IF(X881="R","VT REJETÉ – À REPRENDRE",IF(AP881="","À RADIOGRAPHIER",IF(AP881="A","ACCEPTÉ",IF(AP881="NX","NX – RT À REFAIRE",IF(IF(AO881=1,AD881,IF(AO881=2,AI881,""))="A","RÉPARÉ – À RADIOGRAPHIER",IF(IF(AO881=1,AD881,IF(AO881=2,AI881,""))="R","VT REJETÉ – À REPRENDRE",IF(OR(AP881="CO",AP881="NT"),"COUPE – À RESOUDER","À RÉPARER"))))))))))</f>
        <v>ACCEPTÉ</v>
      </c>
      <c r="AR881" s="82" t="str">
        <f aca="false">IF(AND(ISNUMBER(U881),OR(AQ881="À RADIOGRAPHIER",AQ881="RÉPARÉ – À RADIOGRAPHIER",AQ881="NX – RT À REFAIRE",AQ881="À RÉPARER",AQ881="COUPE – À RESOUDER",AQ881="VT REJETÉ – À REPRENDRE")),MAX(0,'PROGRAMME RT'!$C$4-U881),"")</f>
        <v/>
      </c>
      <c r="AS881" s="82" t="n">
        <f aca="false">IF(AND(OR(AQ881="À RADIOGRAPHIER",AQ881="RÉPARÉ – À RADIOGRAPHIER",AQ881="NX – RT À REFAIRE"),OR('PROGRAMME RT'!$D$5="TOUTES",B881='PROGRAMME RT'!$D$5)),1,0)</f>
        <v>0</v>
      </c>
      <c r="AT881" s="82" t="str">
        <f aca="false">IF(AS881=1,SUM(AS$7:AS881),"")</f>
        <v/>
      </c>
      <c r="AU881" s="82" t="n">
        <f aca="false">IF(AND(OR(AA881="R",AA881="NX",AA881="NT",AA881="CO"),OR('JOINTS DE RÉPARATION'!$D$5="TOUTES",B881='JOINTS DE RÉPARATION'!$D$5),OR('JOINTS DE RÉPARATION'!$L$4="TOUS",AQ881&lt;&gt;"ACCEPTÉ")),1,0)</f>
        <v>0</v>
      </c>
      <c r="AV881" s="82" t="str">
        <f aca="false">IF(AU881=1,SUM(AU$7:AU881),"")</f>
        <v/>
      </c>
      <c r="AW881" s="82" t="str">
        <f aca="false">IF(E881="","",B881&amp;"|"&amp;E881)</f>
        <v>MFD-ISW → MFD-CPF|DJ°453</v>
      </c>
    </row>
    <row r="882" customFormat="false" ht="74.6" hidden="false" customHeight="false" outlineLevel="0" collapsed="false">
      <c r="A882" s="79" t="n">
        <f aca="false">IF(E882="","",ROW()-6)</f>
        <v>876</v>
      </c>
      <c r="B882" s="80" t="s">
        <v>110</v>
      </c>
      <c r="C882" s="81" t="s">
        <v>1022</v>
      </c>
      <c r="D882" s="81" t="n">
        <v>5</v>
      </c>
      <c r="E882" s="81" t="s">
        <v>1026</v>
      </c>
      <c r="F882" s="82" t="str">
        <f aca="false">IF(E882="","",IF(LEFT(E882,2)="DJ","DJ","JN"))</f>
        <v>JN</v>
      </c>
      <c r="G882" s="81"/>
      <c r="H882" s="81" t="s">
        <v>871</v>
      </c>
      <c r="I882" s="81" t="n">
        <v>9.53</v>
      </c>
      <c r="J882" s="81" t="s">
        <v>872</v>
      </c>
      <c r="K882" s="81" t="s">
        <v>879</v>
      </c>
      <c r="L882" s="81" t="n">
        <v>2094010</v>
      </c>
      <c r="M882" s="81" t="n">
        <v>15421110</v>
      </c>
      <c r="N882" s="81" t="n">
        <v>11.94</v>
      </c>
      <c r="O882" s="81" t="n">
        <v>2094560</v>
      </c>
      <c r="P882" s="81" t="n">
        <v>15421111</v>
      </c>
      <c r="Q882" s="81" t="n">
        <v>11.94</v>
      </c>
      <c r="R882" s="81" t="s">
        <v>935</v>
      </c>
      <c r="S882" s="81"/>
      <c r="T882" s="81"/>
      <c r="U882" s="83" t="n">
        <v>46287</v>
      </c>
      <c r="V882" s="83" t="n">
        <v>46287</v>
      </c>
      <c r="W882" s="81" t="s">
        <v>1016</v>
      </c>
      <c r="X882" s="81" t="s">
        <v>876</v>
      </c>
      <c r="Y882" s="83"/>
      <c r="Z882" s="81"/>
      <c r="AA882" s="81"/>
      <c r="AB882" s="81"/>
      <c r="AC882" s="81"/>
      <c r="AD882" s="81"/>
      <c r="AE882" s="83"/>
      <c r="AF882" s="81"/>
      <c r="AG882" s="81"/>
      <c r="AH882" s="81"/>
      <c r="AI882" s="81"/>
      <c r="AJ882" s="83"/>
      <c r="AK882" s="81"/>
      <c r="AL882" s="81"/>
      <c r="AM882" s="83"/>
      <c r="AN882" s="80"/>
      <c r="AO882" s="82" t="n">
        <f aca="false">IF(E882="","",(AA882&lt;&gt;"")+(AG882&lt;&gt;"")+(AL882&lt;&gt;""))</f>
        <v>0</v>
      </c>
      <c r="AP882" s="82" t="str">
        <f aca="false">IF(AL882&lt;&gt;"",AL882,IF(AG882&lt;&gt;"",AG882,IF(AA882&lt;&gt;"",AA882,"")))</f>
        <v/>
      </c>
      <c r="AQ882" s="84" t="str">
        <f aca="false">IF(E882="","",IF(U882="","À SOUDER",IF(X882="","VT EN ATTENTE",IF(X882="R","VT REJETÉ – À REPRENDRE",IF(AP882="","À RADIOGRAPHIER",IF(AP882="A","ACCEPTÉ",IF(AP882="NX","NX – RT À REFAIRE",IF(IF(AO882=1,AD882,IF(AO882=2,AI882,""))="A","RÉPARÉ – À RADIOGRAPHIER",IF(IF(AO882=1,AD882,IF(AO882=2,AI882,""))="R","VT REJETÉ – À REPRENDRE",IF(OR(AP882="CO",AP882="NT"),"COUPE – À RESOUDER","À RÉPARER"))))))))))</f>
        <v>À RADIOGRAPHIER</v>
      </c>
      <c r="AR882" s="82" t="n">
        <f aca="false">IF(AND(ISNUMBER(U882),OR(AQ882="À RADIOGRAPHIER",AQ882="RÉPARÉ – À RADIOGRAPHIER",AQ882="NX – RT À REFAIRE",AQ882="À RÉPARER",AQ882="COUPE – À RESOUDER",AQ882="VT REJETÉ – À REPRENDRE")),MAX(0,'PROGRAMME RT'!$C$4-U882),"")</f>
        <v>6</v>
      </c>
      <c r="AS882" s="82" t="n">
        <f aca="false">IF(AND(OR(AQ882="À RADIOGRAPHIER",AQ882="RÉPARÉ – À RADIOGRAPHIER",AQ882="NX – RT À REFAIRE"),OR('PROGRAMME RT'!$D$5="TOUTES",B882='PROGRAMME RT'!$D$5)),1,0)</f>
        <v>1</v>
      </c>
      <c r="AT882" s="82" t="n">
        <f aca="false">IF(AS882=1,SUM(AS$7:AS882),"")</f>
        <v>53</v>
      </c>
      <c r="AU882" s="82" t="n">
        <f aca="false">IF(AND(OR(AA882="R",AA882="NX",AA882="NT",AA882="CO"),OR('JOINTS DE RÉPARATION'!$D$5="TOUTES",B882='JOINTS DE RÉPARATION'!$D$5),OR('JOINTS DE RÉPARATION'!$L$4="TOUS",AQ882&lt;&gt;"ACCEPTÉ")),1,0)</f>
        <v>0</v>
      </c>
      <c r="AV882" s="82" t="str">
        <f aca="false">IF(AU882=1,SUM(AU$7:AU882),"")</f>
        <v/>
      </c>
      <c r="AW882" s="82" t="str">
        <f aca="false">IF(E882="","",B882&amp;"|"&amp;E882)</f>
        <v>MFD-ISW → MFD-CPF|JN°819</v>
      </c>
    </row>
    <row r="883" customFormat="false" ht="74.6" hidden="false" customHeight="false" outlineLevel="0" collapsed="false">
      <c r="A883" s="79" t="n">
        <f aca="false">IF(E883="","",ROW()-6)</f>
        <v>877</v>
      </c>
      <c r="B883" s="80" t="s">
        <v>110</v>
      </c>
      <c r="C883" s="81" t="s">
        <v>1022</v>
      </c>
      <c r="D883" s="81" t="n">
        <v>5</v>
      </c>
      <c r="E883" s="81" t="s">
        <v>1027</v>
      </c>
      <c r="F883" s="82" t="str">
        <f aca="false">IF(E883="","",IF(LEFT(E883,2)="DJ","DJ","JN"))</f>
        <v>DJ</v>
      </c>
      <c r="G883" s="81"/>
      <c r="H883" s="81" t="s">
        <v>871</v>
      </c>
      <c r="I883" s="81" t="n">
        <v>9.53</v>
      </c>
      <c r="J883" s="81" t="s">
        <v>872</v>
      </c>
      <c r="K883" s="81" t="s">
        <v>873</v>
      </c>
      <c r="L883" s="81" t="n">
        <v>2094560</v>
      </c>
      <c r="M883" s="81" t="n">
        <v>15421111</v>
      </c>
      <c r="N883" s="81" t="n">
        <v>11.94</v>
      </c>
      <c r="O883" s="81" t="n">
        <v>2084980</v>
      </c>
      <c r="P883" s="81" t="n">
        <v>15421106</v>
      </c>
      <c r="Q883" s="81" t="n">
        <v>11.94</v>
      </c>
      <c r="R883" s="81" t="s">
        <v>963</v>
      </c>
      <c r="S883" s="81"/>
      <c r="T883" s="81"/>
      <c r="U883" s="83" t="n">
        <v>46285</v>
      </c>
      <c r="V883" s="83" t="n">
        <v>46285</v>
      </c>
      <c r="W883" s="81" t="s">
        <v>1028</v>
      </c>
      <c r="X883" s="81" t="s">
        <v>876</v>
      </c>
      <c r="Y883" s="83" t="n">
        <v>46286</v>
      </c>
      <c r="Z883" s="81" t="s">
        <v>1025</v>
      </c>
      <c r="AA883" s="81" t="s">
        <v>876</v>
      </c>
      <c r="AB883" s="81"/>
      <c r="AC883" s="81"/>
      <c r="AD883" s="81"/>
      <c r="AE883" s="83"/>
      <c r="AF883" s="81"/>
      <c r="AG883" s="81"/>
      <c r="AH883" s="81"/>
      <c r="AI883" s="81"/>
      <c r="AJ883" s="83"/>
      <c r="AK883" s="81"/>
      <c r="AL883" s="81"/>
      <c r="AM883" s="83"/>
      <c r="AN883" s="80"/>
      <c r="AO883" s="82" t="n">
        <f aca="false">IF(E883="","",(AA883&lt;&gt;"")+(AG883&lt;&gt;"")+(AL883&lt;&gt;""))</f>
        <v>1</v>
      </c>
      <c r="AP883" s="82" t="str">
        <f aca="false">IF(AL883&lt;&gt;"",AL883,IF(AG883&lt;&gt;"",AG883,IF(AA883&lt;&gt;"",AA883,"")))</f>
        <v>A</v>
      </c>
      <c r="AQ883" s="84" t="str">
        <f aca="false">IF(E883="","",IF(U883="","À SOUDER",IF(X883="","VT EN ATTENTE",IF(X883="R","VT REJETÉ – À REPRENDRE",IF(AP883="","À RADIOGRAPHIER",IF(AP883="A","ACCEPTÉ",IF(AP883="NX","NX – RT À REFAIRE",IF(IF(AO883=1,AD883,IF(AO883=2,AI883,""))="A","RÉPARÉ – À RADIOGRAPHIER",IF(IF(AO883=1,AD883,IF(AO883=2,AI883,""))="R","VT REJETÉ – À REPRENDRE",IF(OR(AP883="CO",AP883="NT"),"COUPE – À RESOUDER","À RÉPARER"))))))))))</f>
        <v>ACCEPTÉ</v>
      </c>
      <c r="AR883" s="82" t="str">
        <f aca="false">IF(AND(ISNUMBER(U883),OR(AQ883="À RADIOGRAPHIER",AQ883="RÉPARÉ – À RADIOGRAPHIER",AQ883="NX – RT À REFAIRE",AQ883="À RÉPARER",AQ883="COUPE – À RESOUDER",AQ883="VT REJETÉ – À REPRENDRE")),MAX(0,'PROGRAMME RT'!$C$4-U883),"")</f>
        <v/>
      </c>
      <c r="AS883" s="82" t="n">
        <f aca="false">IF(AND(OR(AQ883="À RADIOGRAPHIER",AQ883="RÉPARÉ – À RADIOGRAPHIER",AQ883="NX – RT À REFAIRE"),OR('PROGRAMME RT'!$D$5="TOUTES",B883='PROGRAMME RT'!$D$5)),1,0)</f>
        <v>0</v>
      </c>
      <c r="AT883" s="82" t="str">
        <f aca="false">IF(AS883=1,SUM(AS$7:AS883),"")</f>
        <v/>
      </c>
      <c r="AU883" s="82" t="n">
        <f aca="false">IF(AND(OR(AA883="R",AA883="NX",AA883="NT",AA883="CO"),OR('JOINTS DE RÉPARATION'!$D$5="TOUTES",B883='JOINTS DE RÉPARATION'!$D$5),OR('JOINTS DE RÉPARATION'!$L$4="TOUS",AQ883&lt;&gt;"ACCEPTÉ")),1,0)</f>
        <v>0</v>
      </c>
      <c r="AV883" s="82" t="str">
        <f aca="false">IF(AU883=1,SUM(AU$7:AU883),"")</f>
        <v/>
      </c>
      <c r="AW883" s="82" t="str">
        <f aca="false">IF(E883="","",B883&amp;"|"&amp;E883)</f>
        <v>MFD-ISW → MFD-CPF|DJ°455</v>
      </c>
    </row>
    <row r="884" customFormat="false" ht="74.6" hidden="false" customHeight="false" outlineLevel="0" collapsed="false">
      <c r="A884" s="79" t="n">
        <f aca="false">IF(E884="","",ROW()-6)</f>
        <v>878</v>
      </c>
      <c r="B884" s="80" t="s">
        <v>110</v>
      </c>
      <c r="C884" s="81" t="s">
        <v>1022</v>
      </c>
      <c r="D884" s="81" t="n">
        <v>5</v>
      </c>
      <c r="E884" s="81" t="s">
        <v>1029</v>
      </c>
      <c r="F884" s="82" t="str">
        <f aca="false">IF(E884="","",IF(LEFT(E884,2)="DJ","DJ","JN"))</f>
        <v>JN</v>
      </c>
      <c r="G884" s="81"/>
      <c r="H884" s="81" t="s">
        <v>871</v>
      </c>
      <c r="I884" s="81" t="n">
        <v>9.53</v>
      </c>
      <c r="J884" s="81" t="s">
        <v>872</v>
      </c>
      <c r="K884" s="81" t="s">
        <v>879</v>
      </c>
      <c r="L884" s="81" t="n">
        <v>2084980</v>
      </c>
      <c r="M884" s="81" t="n">
        <v>15421106</v>
      </c>
      <c r="N884" s="81" t="n">
        <v>11.94</v>
      </c>
      <c r="O884" s="81" t="n">
        <v>2086230</v>
      </c>
      <c r="P884" s="81" t="n">
        <v>15421107</v>
      </c>
      <c r="Q884" s="81" t="n">
        <v>11.94</v>
      </c>
      <c r="R884" s="81" t="s">
        <v>935</v>
      </c>
      <c r="S884" s="81"/>
      <c r="T884" s="81"/>
      <c r="U884" s="83" t="n">
        <v>46287</v>
      </c>
      <c r="V884" s="83" t="n">
        <v>46287</v>
      </c>
      <c r="W884" s="81" t="s">
        <v>1016</v>
      </c>
      <c r="X884" s="81" t="s">
        <v>876</v>
      </c>
      <c r="Y884" s="83"/>
      <c r="Z884" s="81"/>
      <c r="AA884" s="81"/>
      <c r="AB884" s="81"/>
      <c r="AC884" s="81"/>
      <c r="AD884" s="81"/>
      <c r="AE884" s="83"/>
      <c r="AF884" s="81"/>
      <c r="AG884" s="81"/>
      <c r="AH884" s="81"/>
      <c r="AI884" s="81"/>
      <c r="AJ884" s="83"/>
      <c r="AK884" s="81"/>
      <c r="AL884" s="81"/>
      <c r="AM884" s="83"/>
      <c r="AN884" s="80"/>
      <c r="AO884" s="82" t="n">
        <f aca="false">IF(E884="","",(AA884&lt;&gt;"")+(AG884&lt;&gt;"")+(AL884&lt;&gt;""))</f>
        <v>0</v>
      </c>
      <c r="AP884" s="82" t="str">
        <f aca="false">IF(AL884&lt;&gt;"",AL884,IF(AG884&lt;&gt;"",AG884,IF(AA884&lt;&gt;"",AA884,"")))</f>
        <v/>
      </c>
      <c r="AQ884" s="84" t="str">
        <f aca="false">IF(E884="","",IF(U884="","À SOUDER",IF(X884="","VT EN ATTENTE",IF(X884="R","VT REJETÉ – À REPRENDRE",IF(AP884="","À RADIOGRAPHIER",IF(AP884="A","ACCEPTÉ",IF(AP884="NX","NX – RT À REFAIRE",IF(IF(AO884=1,AD884,IF(AO884=2,AI884,""))="A","RÉPARÉ – À RADIOGRAPHIER",IF(IF(AO884=1,AD884,IF(AO884=2,AI884,""))="R","VT REJETÉ – À REPRENDRE",IF(OR(AP884="CO",AP884="NT"),"COUPE – À RESOUDER","À RÉPARER"))))))))))</f>
        <v>À RADIOGRAPHIER</v>
      </c>
      <c r="AR884" s="82" t="n">
        <f aca="false">IF(AND(ISNUMBER(U884),OR(AQ884="À RADIOGRAPHIER",AQ884="RÉPARÉ – À RADIOGRAPHIER",AQ884="NX – RT À REFAIRE",AQ884="À RÉPARER",AQ884="COUPE – À RESOUDER",AQ884="VT REJETÉ – À REPRENDRE")),MAX(0,'PROGRAMME RT'!$C$4-U884),"")</f>
        <v>6</v>
      </c>
      <c r="AS884" s="82" t="n">
        <f aca="false">IF(AND(OR(AQ884="À RADIOGRAPHIER",AQ884="RÉPARÉ – À RADIOGRAPHIER",AQ884="NX – RT À REFAIRE"),OR('PROGRAMME RT'!$D$5="TOUTES",B884='PROGRAMME RT'!$D$5)),1,0)</f>
        <v>1</v>
      </c>
      <c r="AT884" s="82" t="n">
        <f aca="false">IF(AS884=1,SUM(AS$7:AS884),"")</f>
        <v>54</v>
      </c>
      <c r="AU884" s="82" t="n">
        <f aca="false">IF(AND(OR(AA884="R",AA884="NX",AA884="NT",AA884="CO"),OR('JOINTS DE RÉPARATION'!$D$5="TOUTES",B884='JOINTS DE RÉPARATION'!$D$5),OR('JOINTS DE RÉPARATION'!$L$4="TOUS",AQ884&lt;&gt;"ACCEPTÉ")),1,0)</f>
        <v>0</v>
      </c>
      <c r="AV884" s="82" t="str">
        <f aca="false">IF(AU884=1,SUM(AU$7:AU884),"")</f>
        <v/>
      </c>
      <c r="AW884" s="82" t="str">
        <f aca="false">IF(E884="","",B884&amp;"|"&amp;E884)</f>
        <v>MFD-ISW → MFD-CPF|JN°820</v>
      </c>
    </row>
    <row r="885" customFormat="false" ht="74.6" hidden="false" customHeight="false" outlineLevel="0" collapsed="false">
      <c r="A885" s="79" t="n">
        <f aca="false">IF(E885="","",ROW()-6)</f>
        <v>879</v>
      </c>
      <c r="B885" s="80" t="s">
        <v>110</v>
      </c>
      <c r="C885" s="81" t="s">
        <v>1022</v>
      </c>
      <c r="D885" s="81" t="n">
        <v>5</v>
      </c>
      <c r="E885" s="81" t="s">
        <v>1030</v>
      </c>
      <c r="F885" s="82" t="str">
        <f aca="false">IF(E885="","",IF(LEFT(E885,2)="DJ","DJ","JN"))</f>
        <v>DJ</v>
      </c>
      <c r="G885" s="81"/>
      <c r="H885" s="81" t="s">
        <v>871</v>
      </c>
      <c r="I885" s="81" t="n">
        <v>9.53</v>
      </c>
      <c r="J885" s="81" t="s">
        <v>872</v>
      </c>
      <c r="K885" s="81" t="s">
        <v>873</v>
      </c>
      <c r="L885" s="81" t="n">
        <v>2086230</v>
      </c>
      <c r="M885" s="81" t="n">
        <v>15421107</v>
      </c>
      <c r="N885" s="81" t="n">
        <v>11.94</v>
      </c>
      <c r="O885" s="81" t="n">
        <v>2078620</v>
      </c>
      <c r="P885" s="81" t="n">
        <v>15421101</v>
      </c>
      <c r="Q885" s="81" t="n">
        <v>11.94</v>
      </c>
      <c r="R885" s="81" t="s">
        <v>963</v>
      </c>
      <c r="S885" s="81"/>
      <c r="T885" s="81"/>
      <c r="U885" s="83" t="n">
        <v>46285</v>
      </c>
      <c r="V885" s="83" t="n">
        <v>46285</v>
      </c>
      <c r="W885" s="81" t="s">
        <v>1024</v>
      </c>
      <c r="X885" s="81" t="s">
        <v>876</v>
      </c>
      <c r="Y885" s="83" t="n">
        <v>46286</v>
      </c>
      <c r="Z885" s="81" t="s">
        <v>1025</v>
      </c>
      <c r="AA885" s="81" t="s">
        <v>876</v>
      </c>
      <c r="AB885" s="81"/>
      <c r="AC885" s="81"/>
      <c r="AD885" s="81"/>
      <c r="AE885" s="83"/>
      <c r="AF885" s="81"/>
      <c r="AG885" s="81"/>
      <c r="AH885" s="81"/>
      <c r="AI885" s="81"/>
      <c r="AJ885" s="83"/>
      <c r="AK885" s="81"/>
      <c r="AL885" s="81"/>
      <c r="AM885" s="83"/>
      <c r="AN885" s="80"/>
      <c r="AO885" s="82" t="n">
        <f aca="false">IF(E885="","",(AA885&lt;&gt;"")+(AG885&lt;&gt;"")+(AL885&lt;&gt;""))</f>
        <v>1</v>
      </c>
      <c r="AP885" s="82" t="str">
        <f aca="false">IF(AL885&lt;&gt;"",AL885,IF(AG885&lt;&gt;"",AG885,IF(AA885&lt;&gt;"",AA885,"")))</f>
        <v>A</v>
      </c>
      <c r="AQ885" s="84" t="str">
        <f aca="false">IF(E885="","",IF(U885="","À SOUDER",IF(X885="","VT EN ATTENTE",IF(X885="R","VT REJETÉ – À REPRENDRE",IF(AP885="","À RADIOGRAPHIER",IF(AP885="A","ACCEPTÉ",IF(AP885="NX","NX – RT À REFAIRE",IF(IF(AO885=1,AD885,IF(AO885=2,AI885,""))="A","RÉPARÉ – À RADIOGRAPHIER",IF(IF(AO885=1,AD885,IF(AO885=2,AI885,""))="R","VT REJETÉ – À REPRENDRE",IF(OR(AP885="CO",AP885="NT"),"COUPE – À RESOUDER","À RÉPARER"))))))))))</f>
        <v>ACCEPTÉ</v>
      </c>
      <c r="AR885" s="82" t="str">
        <f aca="false">IF(AND(ISNUMBER(U885),OR(AQ885="À RADIOGRAPHIER",AQ885="RÉPARÉ – À RADIOGRAPHIER",AQ885="NX – RT À REFAIRE",AQ885="À RÉPARER",AQ885="COUPE – À RESOUDER",AQ885="VT REJETÉ – À REPRENDRE")),MAX(0,'PROGRAMME RT'!$C$4-U885),"")</f>
        <v/>
      </c>
      <c r="AS885" s="82" t="n">
        <f aca="false">IF(AND(OR(AQ885="À RADIOGRAPHIER",AQ885="RÉPARÉ – À RADIOGRAPHIER",AQ885="NX – RT À REFAIRE"),OR('PROGRAMME RT'!$D$5="TOUTES",B885='PROGRAMME RT'!$D$5)),1,0)</f>
        <v>0</v>
      </c>
      <c r="AT885" s="82" t="str">
        <f aca="false">IF(AS885=1,SUM(AS$7:AS885),"")</f>
        <v/>
      </c>
      <c r="AU885" s="82" t="n">
        <f aca="false">IF(AND(OR(AA885="R",AA885="NX",AA885="NT",AA885="CO"),OR('JOINTS DE RÉPARATION'!$D$5="TOUTES",B885='JOINTS DE RÉPARATION'!$D$5),OR('JOINTS DE RÉPARATION'!$L$4="TOUS",AQ885&lt;&gt;"ACCEPTÉ")),1,0)</f>
        <v>0</v>
      </c>
      <c r="AV885" s="82" t="str">
        <f aca="false">IF(AU885=1,SUM(AU$7:AU885),"")</f>
        <v/>
      </c>
      <c r="AW885" s="82" t="str">
        <f aca="false">IF(E885="","",B885&amp;"|"&amp;E885)</f>
        <v>MFD-ISW → MFD-CPF|DJ°447</v>
      </c>
    </row>
    <row r="886" customFormat="false" ht="74.6" hidden="false" customHeight="false" outlineLevel="0" collapsed="false">
      <c r="A886" s="79" t="n">
        <f aca="false">IF(E886="","",ROW()-6)</f>
        <v>880</v>
      </c>
      <c r="B886" s="80" t="s">
        <v>110</v>
      </c>
      <c r="C886" s="81" t="s">
        <v>1022</v>
      </c>
      <c r="D886" s="81" t="n">
        <v>5</v>
      </c>
      <c r="E886" s="81" t="s">
        <v>1031</v>
      </c>
      <c r="F886" s="82" t="str">
        <f aca="false">IF(E886="","",IF(LEFT(E886,2)="DJ","DJ","JN"))</f>
        <v>JN</v>
      </c>
      <c r="G886" s="81"/>
      <c r="H886" s="81" t="s">
        <v>871</v>
      </c>
      <c r="I886" s="81" t="n">
        <v>9.53</v>
      </c>
      <c r="J886" s="81" t="s">
        <v>872</v>
      </c>
      <c r="K886" s="81" t="s">
        <v>879</v>
      </c>
      <c r="L886" s="81" t="n">
        <v>2078620</v>
      </c>
      <c r="M886" s="81" t="n">
        <v>15421101</v>
      </c>
      <c r="N886" s="81" t="n">
        <v>11.94</v>
      </c>
      <c r="O886" s="81" t="n">
        <v>2085020</v>
      </c>
      <c r="P886" s="81" t="n">
        <v>15421106</v>
      </c>
      <c r="Q886" s="81" t="n">
        <v>11.94</v>
      </c>
      <c r="R886" s="81" t="s">
        <v>935</v>
      </c>
      <c r="S886" s="81"/>
      <c r="T886" s="81"/>
      <c r="U886" s="83" t="n">
        <v>46287</v>
      </c>
      <c r="V886" s="83" t="n">
        <v>46287</v>
      </c>
      <c r="W886" s="81" t="s">
        <v>1016</v>
      </c>
      <c r="X886" s="81" t="s">
        <v>876</v>
      </c>
      <c r="Y886" s="83"/>
      <c r="Z886" s="81"/>
      <c r="AA886" s="81"/>
      <c r="AB886" s="81"/>
      <c r="AC886" s="81"/>
      <c r="AD886" s="81"/>
      <c r="AE886" s="83"/>
      <c r="AF886" s="81"/>
      <c r="AG886" s="81"/>
      <c r="AH886" s="81"/>
      <c r="AI886" s="81"/>
      <c r="AJ886" s="83"/>
      <c r="AK886" s="81"/>
      <c r="AL886" s="81"/>
      <c r="AM886" s="83"/>
      <c r="AN886" s="80"/>
      <c r="AO886" s="82" t="n">
        <f aca="false">IF(E886="","",(AA886&lt;&gt;"")+(AG886&lt;&gt;"")+(AL886&lt;&gt;""))</f>
        <v>0</v>
      </c>
      <c r="AP886" s="82" t="str">
        <f aca="false">IF(AL886&lt;&gt;"",AL886,IF(AG886&lt;&gt;"",AG886,IF(AA886&lt;&gt;"",AA886,"")))</f>
        <v/>
      </c>
      <c r="AQ886" s="84" t="str">
        <f aca="false">IF(E886="","",IF(U886="","À SOUDER",IF(X886="","VT EN ATTENTE",IF(X886="R","VT REJETÉ – À REPRENDRE",IF(AP886="","À RADIOGRAPHIER",IF(AP886="A","ACCEPTÉ",IF(AP886="NX","NX – RT À REFAIRE",IF(IF(AO886=1,AD886,IF(AO886=2,AI886,""))="A","RÉPARÉ – À RADIOGRAPHIER",IF(IF(AO886=1,AD886,IF(AO886=2,AI886,""))="R","VT REJETÉ – À REPRENDRE",IF(OR(AP886="CO",AP886="NT"),"COUPE – À RESOUDER","À RÉPARER"))))))))))</f>
        <v>À RADIOGRAPHIER</v>
      </c>
      <c r="AR886" s="82" t="n">
        <f aca="false">IF(AND(ISNUMBER(U886),OR(AQ886="À RADIOGRAPHIER",AQ886="RÉPARÉ – À RADIOGRAPHIER",AQ886="NX – RT À REFAIRE",AQ886="À RÉPARER",AQ886="COUPE – À RESOUDER",AQ886="VT REJETÉ – À REPRENDRE")),MAX(0,'PROGRAMME RT'!$C$4-U886),"")</f>
        <v>6</v>
      </c>
      <c r="AS886" s="82" t="n">
        <f aca="false">IF(AND(OR(AQ886="À RADIOGRAPHIER",AQ886="RÉPARÉ – À RADIOGRAPHIER",AQ886="NX – RT À REFAIRE"),OR('PROGRAMME RT'!$D$5="TOUTES",B886='PROGRAMME RT'!$D$5)),1,0)</f>
        <v>1</v>
      </c>
      <c r="AT886" s="82" t="n">
        <f aca="false">IF(AS886=1,SUM(AS$7:AS886),"")</f>
        <v>55</v>
      </c>
      <c r="AU886" s="82" t="n">
        <f aca="false">IF(AND(OR(AA886="R",AA886="NX",AA886="NT",AA886="CO"),OR('JOINTS DE RÉPARATION'!$D$5="TOUTES",B886='JOINTS DE RÉPARATION'!$D$5),OR('JOINTS DE RÉPARATION'!$L$4="TOUS",AQ886&lt;&gt;"ACCEPTÉ")),1,0)</f>
        <v>0</v>
      </c>
      <c r="AV886" s="82" t="str">
        <f aca="false">IF(AU886=1,SUM(AU$7:AU886),"")</f>
        <v/>
      </c>
      <c r="AW886" s="82" t="str">
        <f aca="false">IF(E886="","",B886&amp;"|"&amp;E886)</f>
        <v>MFD-ISW → MFD-CPF|JN°821</v>
      </c>
    </row>
    <row r="887" customFormat="false" ht="74.6" hidden="false" customHeight="false" outlineLevel="0" collapsed="false">
      <c r="A887" s="79" t="n">
        <f aca="false">IF(E887="","",ROW()-6)</f>
        <v>881</v>
      </c>
      <c r="B887" s="80" t="s">
        <v>110</v>
      </c>
      <c r="C887" s="81" t="s">
        <v>1022</v>
      </c>
      <c r="D887" s="81" t="n">
        <v>5</v>
      </c>
      <c r="E887" s="81" t="s">
        <v>1032</v>
      </c>
      <c r="F887" s="82" t="str">
        <f aca="false">IF(E887="","",IF(LEFT(E887,2)="DJ","DJ","JN"))</f>
        <v>DJ</v>
      </c>
      <c r="G887" s="81"/>
      <c r="H887" s="81" t="s">
        <v>871</v>
      </c>
      <c r="I887" s="81" t="n">
        <v>9.53</v>
      </c>
      <c r="J887" s="81" t="s">
        <v>872</v>
      </c>
      <c r="K887" s="81" t="s">
        <v>873</v>
      </c>
      <c r="L887" s="81" t="n">
        <v>2085020</v>
      </c>
      <c r="M887" s="81" t="n">
        <v>15421106</v>
      </c>
      <c r="N887" s="81" t="n">
        <v>11.94</v>
      </c>
      <c r="O887" s="81" t="n">
        <v>2054520</v>
      </c>
      <c r="P887" s="81" t="n">
        <v>15421111</v>
      </c>
      <c r="Q887" s="81" t="n">
        <v>11.94</v>
      </c>
      <c r="R887" s="81" t="s">
        <v>874</v>
      </c>
      <c r="S887" s="81"/>
      <c r="T887" s="81"/>
      <c r="U887" s="83" t="n">
        <v>46285</v>
      </c>
      <c r="V887" s="83" t="n">
        <v>46285</v>
      </c>
      <c r="W887" s="81" t="s">
        <v>1024</v>
      </c>
      <c r="X887" s="81" t="s">
        <v>876</v>
      </c>
      <c r="Y887" s="83" t="n">
        <v>46286</v>
      </c>
      <c r="Z887" s="81" t="s">
        <v>1025</v>
      </c>
      <c r="AA887" s="81" t="s">
        <v>876</v>
      </c>
      <c r="AB887" s="81"/>
      <c r="AC887" s="81"/>
      <c r="AD887" s="81"/>
      <c r="AE887" s="83"/>
      <c r="AF887" s="81"/>
      <c r="AG887" s="81"/>
      <c r="AH887" s="81"/>
      <c r="AI887" s="81"/>
      <c r="AJ887" s="83"/>
      <c r="AK887" s="81"/>
      <c r="AL887" s="81"/>
      <c r="AM887" s="83"/>
      <c r="AN887" s="80"/>
      <c r="AO887" s="82" t="n">
        <f aca="false">IF(E887="","",(AA887&lt;&gt;"")+(AG887&lt;&gt;"")+(AL887&lt;&gt;""))</f>
        <v>1</v>
      </c>
      <c r="AP887" s="82" t="str">
        <f aca="false">IF(AL887&lt;&gt;"",AL887,IF(AG887&lt;&gt;"",AG887,IF(AA887&lt;&gt;"",AA887,"")))</f>
        <v>A</v>
      </c>
      <c r="AQ887" s="84" t="str">
        <f aca="false">IF(E887="","",IF(U887="","À SOUDER",IF(X887="","VT EN ATTENTE",IF(X887="R","VT REJETÉ – À REPRENDRE",IF(AP887="","À RADIOGRAPHIER",IF(AP887="A","ACCEPTÉ",IF(AP887="NX","NX – RT À REFAIRE",IF(IF(AO887=1,AD887,IF(AO887=2,AI887,""))="A","RÉPARÉ – À RADIOGRAPHIER",IF(IF(AO887=1,AD887,IF(AO887=2,AI887,""))="R","VT REJETÉ – À REPRENDRE",IF(OR(AP887="CO",AP887="NT"),"COUPE – À RESOUDER","À RÉPARER"))))))))))</f>
        <v>ACCEPTÉ</v>
      </c>
      <c r="AR887" s="82" t="str">
        <f aca="false">IF(AND(ISNUMBER(U887),OR(AQ887="À RADIOGRAPHIER",AQ887="RÉPARÉ – À RADIOGRAPHIER",AQ887="NX – RT À REFAIRE",AQ887="À RÉPARER",AQ887="COUPE – À RESOUDER",AQ887="VT REJETÉ – À REPRENDRE")),MAX(0,'PROGRAMME RT'!$C$4-U887),"")</f>
        <v/>
      </c>
      <c r="AS887" s="82" t="n">
        <f aca="false">IF(AND(OR(AQ887="À RADIOGRAPHIER",AQ887="RÉPARÉ – À RADIOGRAPHIER",AQ887="NX – RT À REFAIRE"),OR('PROGRAMME RT'!$D$5="TOUTES",B887='PROGRAMME RT'!$D$5)),1,0)</f>
        <v>0</v>
      </c>
      <c r="AT887" s="82" t="str">
        <f aca="false">IF(AS887=1,SUM(AS$7:AS887),"")</f>
        <v/>
      </c>
      <c r="AU887" s="82" t="n">
        <f aca="false">IF(AND(OR(AA887="R",AA887="NX",AA887="NT",AA887="CO"),OR('JOINTS DE RÉPARATION'!$D$5="TOUTES",B887='JOINTS DE RÉPARATION'!$D$5),OR('JOINTS DE RÉPARATION'!$L$4="TOUS",AQ887&lt;&gt;"ACCEPTÉ")),1,0)</f>
        <v>0</v>
      </c>
      <c r="AV887" s="82" t="str">
        <f aca="false">IF(AU887=1,SUM(AU$7:AU887),"")</f>
        <v/>
      </c>
      <c r="AW887" s="82" t="str">
        <f aca="false">IF(E887="","",B887&amp;"|"&amp;E887)</f>
        <v>MFD-ISW → MFD-CPF|DJ°445</v>
      </c>
    </row>
    <row r="888" customFormat="false" ht="74.6" hidden="false" customHeight="false" outlineLevel="0" collapsed="false">
      <c r="A888" s="79" t="n">
        <f aca="false">IF(E888="","",ROW()-6)</f>
        <v>882</v>
      </c>
      <c r="B888" s="80" t="s">
        <v>110</v>
      </c>
      <c r="C888" s="81" t="s">
        <v>1022</v>
      </c>
      <c r="D888" s="81" t="n">
        <v>5</v>
      </c>
      <c r="E888" s="81" t="s">
        <v>1033</v>
      </c>
      <c r="F888" s="82" t="str">
        <f aca="false">IF(E888="","",IF(LEFT(E888,2)="DJ","DJ","JN"))</f>
        <v>JN</v>
      </c>
      <c r="G888" s="81"/>
      <c r="H888" s="81" t="s">
        <v>871</v>
      </c>
      <c r="I888" s="81" t="n">
        <v>9.53</v>
      </c>
      <c r="J888" s="81" t="s">
        <v>872</v>
      </c>
      <c r="K888" s="81" t="s">
        <v>879</v>
      </c>
      <c r="L888" s="81" t="n">
        <v>2054520</v>
      </c>
      <c r="M888" s="81" t="n">
        <v>15421111</v>
      </c>
      <c r="N888" s="81" t="n">
        <v>11.94</v>
      </c>
      <c r="O888" s="81" t="n">
        <v>2086030</v>
      </c>
      <c r="P888" s="81" t="n">
        <v>15421107</v>
      </c>
      <c r="Q888" s="81" t="n">
        <v>11.95</v>
      </c>
      <c r="R888" s="81" t="s">
        <v>935</v>
      </c>
      <c r="S888" s="81"/>
      <c r="T888" s="81"/>
      <c r="U888" s="83" t="n">
        <v>46287</v>
      </c>
      <c r="V888" s="83" t="n">
        <v>46287</v>
      </c>
      <c r="W888" s="81" t="s">
        <v>1016</v>
      </c>
      <c r="X888" s="81" t="s">
        <v>876</v>
      </c>
      <c r="Y888" s="83"/>
      <c r="Z888" s="81"/>
      <c r="AA888" s="81"/>
      <c r="AB888" s="81"/>
      <c r="AC888" s="81"/>
      <c r="AD888" s="81"/>
      <c r="AE888" s="83"/>
      <c r="AF888" s="81"/>
      <c r="AG888" s="81"/>
      <c r="AH888" s="81"/>
      <c r="AI888" s="81"/>
      <c r="AJ888" s="83"/>
      <c r="AK888" s="81"/>
      <c r="AL888" s="81"/>
      <c r="AM888" s="83"/>
      <c r="AN888" s="80"/>
      <c r="AO888" s="82" t="n">
        <f aca="false">IF(E888="","",(AA888&lt;&gt;"")+(AG888&lt;&gt;"")+(AL888&lt;&gt;""))</f>
        <v>0</v>
      </c>
      <c r="AP888" s="82" t="str">
        <f aca="false">IF(AL888&lt;&gt;"",AL888,IF(AG888&lt;&gt;"",AG888,IF(AA888&lt;&gt;"",AA888,"")))</f>
        <v/>
      </c>
      <c r="AQ888" s="84" t="str">
        <f aca="false">IF(E888="","",IF(U888="","À SOUDER",IF(X888="","VT EN ATTENTE",IF(X888="R","VT REJETÉ – À REPRENDRE",IF(AP888="","À RADIOGRAPHIER",IF(AP888="A","ACCEPTÉ",IF(AP888="NX","NX – RT À REFAIRE",IF(IF(AO888=1,AD888,IF(AO888=2,AI888,""))="A","RÉPARÉ – À RADIOGRAPHIER",IF(IF(AO888=1,AD888,IF(AO888=2,AI888,""))="R","VT REJETÉ – À REPRENDRE",IF(OR(AP888="CO",AP888="NT"),"COUPE – À RESOUDER","À RÉPARER"))))))))))</f>
        <v>À RADIOGRAPHIER</v>
      </c>
      <c r="AR888" s="82" t="n">
        <f aca="false">IF(AND(ISNUMBER(U888),OR(AQ888="À RADIOGRAPHIER",AQ888="RÉPARÉ – À RADIOGRAPHIER",AQ888="NX – RT À REFAIRE",AQ888="À RÉPARER",AQ888="COUPE – À RESOUDER",AQ888="VT REJETÉ – À REPRENDRE")),MAX(0,'PROGRAMME RT'!$C$4-U888),"")</f>
        <v>6</v>
      </c>
      <c r="AS888" s="82" t="n">
        <f aca="false">IF(AND(OR(AQ888="À RADIOGRAPHIER",AQ888="RÉPARÉ – À RADIOGRAPHIER",AQ888="NX – RT À REFAIRE"),OR('PROGRAMME RT'!$D$5="TOUTES",B888='PROGRAMME RT'!$D$5)),1,0)</f>
        <v>1</v>
      </c>
      <c r="AT888" s="82" t="n">
        <f aca="false">IF(AS888=1,SUM(AS$7:AS888),"")</f>
        <v>56</v>
      </c>
      <c r="AU888" s="82" t="n">
        <f aca="false">IF(AND(OR(AA888="R",AA888="NX",AA888="NT",AA888="CO"),OR('JOINTS DE RÉPARATION'!$D$5="TOUTES",B888='JOINTS DE RÉPARATION'!$D$5),OR('JOINTS DE RÉPARATION'!$L$4="TOUS",AQ888&lt;&gt;"ACCEPTÉ")),1,0)</f>
        <v>0</v>
      </c>
      <c r="AV888" s="82" t="str">
        <f aca="false">IF(AU888=1,SUM(AU$7:AU888),"")</f>
        <v/>
      </c>
      <c r="AW888" s="82" t="str">
        <f aca="false">IF(E888="","",B888&amp;"|"&amp;E888)</f>
        <v>MFD-ISW → MFD-CPF|JN°822</v>
      </c>
    </row>
    <row r="889" customFormat="false" ht="74.6" hidden="false" customHeight="false" outlineLevel="0" collapsed="false">
      <c r="A889" s="79" t="n">
        <f aca="false">IF(E889="","",ROW()-6)</f>
        <v>883</v>
      </c>
      <c r="B889" s="80" t="s">
        <v>110</v>
      </c>
      <c r="C889" s="81" t="s">
        <v>1022</v>
      </c>
      <c r="D889" s="81" t="n">
        <v>5</v>
      </c>
      <c r="E889" s="81" t="s">
        <v>1034</v>
      </c>
      <c r="F889" s="82" t="str">
        <f aca="false">IF(E889="","",IF(LEFT(E889,2)="DJ","DJ","JN"))</f>
        <v>DJ</v>
      </c>
      <c r="G889" s="81"/>
      <c r="H889" s="81" t="s">
        <v>871</v>
      </c>
      <c r="I889" s="81" t="n">
        <v>9.53</v>
      </c>
      <c r="J889" s="81" t="s">
        <v>872</v>
      </c>
      <c r="K889" s="81" t="s">
        <v>873</v>
      </c>
      <c r="L889" s="81" t="n">
        <v>2086030</v>
      </c>
      <c r="M889" s="81" t="n">
        <v>15421107</v>
      </c>
      <c r="N889" s="81" t="n">
        <v>11.95</v>
      </c>
      <c r="O889" s="81" t="n">
        <v>2083090</v>
      </c>
      <c r="P889" s="81" t="n">
        <v>15421106</v>
      </c>
      <c r="Q889" s="81" t="n">
        <v>11.94</v>
      </c>
      <c r="R889" s="81" t="s">
        <v>963</v>
      </c>
      <c r="S889" s="81"/>
      <c r="T889" s="81"/>
      <c r="U889" s="83" t="n">
        <v>46284</v>
      </c>
      <c r="V889" s="83" t="n">
        <v>46284</v>
      </c>
      <c r="W889" s="81" t="s">
        <v>956</v>
      </c>
      <c r="X889" s="81" t="s">
        <v>876</v>
      </c>
      <c r="Y889" s="83" t="n">
        <v>46285</v>
      </c>
      <c r="Z889" s="81" t="s">
        <v>957</v>
      </c>
      <c r="AA889" s="81" t="s">
        <v>876</v>
      </c>
      <c r="AB889" s="81"/>
      <c r="AC889" s="81"/>
      <c r="AD889" s="81"/>
      <c r="AE889" s="83"/>
      <c r="AF889" s="81"/>
      <c r="AG889" s="81"/>
      <c r="AH889" s="81"/>
      <c r="AI889" s="81"/>
      <c r="AJ889" s="83"/>
      <c r="AK889" s="81"/>
      <c r="AL889" s="81"/>
      <c r="AM889" s="83"/>
      <c r="AN889" s="80"/>
      <c r="AO889" s="82" t="n">
        <f aca="false">IF(E889="","",(AA889&lt;&gt;"")+(AG889&lt;&gt;"")+(AL889&lt;&gt;""))</f>
        <v>1</v>
      </c>
      <c r="AP889" s="82" t="str">
        <f aca="false">IF(AL889&lt;&gt;"",AL889,IF(AG889&lt;&gt;"",AG889,IF(AA889&lt;&gt;"",AA889,"")))</f>
        <v>A</v>
      </c>
      <c r="AQ889" s="84" t="str">
        <f aca="false">IF(E889="","",IF(U889="","À SOUDER",IF(X889="","VT EN ATTENTE",IF(X889="R","VT REJETÉ – À REPRENDRE",IF(AP889="","À RADIOGRAPHIER",IF(AP889="A","ACCEPTÉ",IF(AP889="NX","NX – RT À REFAIRE",IF(IF(AO889=1,AD889,IF(AO889=2,AI889,""))="A","RÉPARÉ – À RADIOGRAPHIER",IF(IF(AO889=1,AD889,IF(AO889=2,AI889,""))="R","VT REJETÉ – À REPRENDRE",IF(OR(AP889="CO",AP889="NT"),"COUPE – À RESOUDER","À RÉPARER"))))))))))</f>
        <v>ACCEPTÉ</v>
      </c>
      <c r="AR889" s="82" t="str">
        <f aca="false">IF(AND(ISNUMBER(U889),OR(AQ889="À RADIOGRAPHIER",AQ889="RÉPARÉ – À RADIOGRAPHIER",AQ889="NX – RT À REFAIRE",AQ889="À RÉPARER",AQ889="COUPE – À RESOUDER",AQ889="VT REJETÉ – À REPRENDRE")),MAX(0,'PROGRAMME RT'!$C$4-U889),"")</f>
        <v/>
      </c>
      <c r="AS889" s="82" t="n">
        <f aca="false">IF(AND(OR(AQ889="À RADIOGRAPHIER",AQ889="RÉPARÉ – À RADIOGRAPHIER",AQ889="NX – RT À REFAIRE"),OR('PROGRAMME RT'!$D$5="TOUTES",B889='PROGRAMME RT'!$D$5)),1,0)</f>
        <v>0</v>
      </c>
      <c r="AT889" s="82" t="str">
        <f aca="false">IF(AS889=1,SUM(AS$7:AS889),"")</f>
        <v/>
      </c>
      <c r="AU889" s="82" t="n">
        <f aca="false">IF(AND(OR(AA889="R",AA889="NX",AA889="NT",AA889="CO"),OR('JOINTS DE RÉPARATION'!$D$5="TOUTES",B889='JOINTS DE RÉPARATION'!$D$5),OR('JOINTS DE RÉPARATION'!$L$4="TOUS",AQ889&lt;&gt;"ACCEPTÉ")),1,0)</f>
        <v>0</v>
      </c>
      <c r="AV889" s="82" t="str">
        <f aca="false">IF(AU889=1,SUM(AU$7:AU889),"")</f>
        <v/>
      </c>
      <c r="AW889" s="82" t="str">
        <f aca="false">IF(E889="","",B889&amp;"|"&amp;E889)</f>
        <v>MFD-ISW → MFD-CPF|DJ°427</v>
      </c>
    </row>
    <row r="890" customFormat="false" ht="74.6" hidden="false" customHeight="false" outlineLevel="0" collapsed="false">
      <c r="A890" s="79" t="n">
        <f aca="false">IF(E890="","",ROW()-6)</f>
        <v>884</v>
      </c>
      <c r="B890" s="80" t="s">
        <v>110</v>
      </c>
      <c r="C890" s="81" t="s">
        <v>1022</v>
      </c>
      <c r="D890" s="81" t="n">
        <v>5</v>
      </c>
      <c r="E890" s="81" t="s">
        <v>1035</v>
      </c>
      <c r="F890" s="82" t="str">
        <f aca="false">IF(E890="","",IF(LEFT(E890,2)="DJ","DJ","JN"))</f>
        <v>JN</v>
      </c>
      <c r="G890" s="81"/>
      <c r="H890" s="81" t="s">
        <v>871</v>
      </c>
      <c r="I890" s="81" t="n">
        <v>9.53</v>
      </c>
      <c r="J890" s="81" t="s">
        <v>872</v>
      </c>
      <c r="K890" s="81" t="s">
        <v>879</v>
      </c>
      <c r="L890" s="81" t="n">
        <v>2083090</v>
      </c>
      <c r="M890" s="81" t="n">
        <v>15421106</v>
      </c>
      <c r="N890" s="81" t="n">
        <v>11.94</v>
      </c>
      <c r="O890" s="81" t="n">
        <v>2078840</v>
      </c>
      <c r="P890" s="81" t="n">
        <v>15421101</v>
      </c>
      <c r="Q890" s="81" t="n">
        <v>11.94</v>
      </c>
      <c r="R890" s="81" t="s">
        <v>935</v>
      </c>
      <c r="S890" s="81"/>
      <c r="T890" s="81"/>
      <c r="U890" s="83" t="n">
        <v>46287</v>
      </c>
      <c r="V890" s="83" t="n">
        <v>46287</v>
      </c>
      <c r="W890" s="81" t="s">
        <v>1016</v>
      </c>
      <c r="X890" s="81" t="s">
        <v>876</v>
      </c>
      <c r="Y890" s="83"/>
      <c r="Z890" s="81"/>
      <c r="AA890" s="81"/>
      <c r="AB890" s="81"/>
      <c r="AC890" s="81"/>
      <c r="AD890" s="81"/>
      <c r="AE890" s="83"/>
      <c r="AF890" s="81"/>
      <c r="AG890" s="81"/>
      <c r="AH890" s="81"/>
      <c r="AI890" s="81"/>
      <c r="AJ890" s="83"/>
      <c r="AK890" s="81"/>
      <c r="AL890" s="81"/>
      <c r="AM890" s="83"/>
      <c r="AN890" s="80"/>
      <c r="AO890" s="82" t="n">
        <f aca="false">IF(E890="","",(AA890&lt;&gt;"")+(AG890&lt;&gt;"")+(AL890&lt;&gt;""))</f>
        <v>0</v>
      </c>
      <c r="AP890" s="82" t="str">
        <f aca="false">IF(AL890&lt;&gt;"",AL890,IF(AG890&lt;&gt;"",AG890,IF(AA890&lt;&gt;"",AA890,"")))</f>
        <v/>
      </c>
      <c r="AQ890" s="84" t="str">
        <f aca="false">IF(E890="","",IF(U890="","À SOUDER",IF(X890="","VT EN ATTENTE",IF(X890="R","VT REJETÉ – À REPRENDRE",IF(AP890="","À RADIOGRAPHIER",IF(AP890="A","ACCEPTÉ",IF(AP890="NX","NX – RT À REFAIRE",IF(IF(AO890=1,AD890,IF(AO890=2,AI890,""))="A","RÉPARÉ – À RADIOGRAPHIER",IF(IF(AO890=1,AD890,IF(AO890=2,AI890,""))="R","VT REJETÉ – À REPRENDRE",IF(OR(AP890="CO",AP890="NT"),"COUPE – À RESOUDER","À RÉPARER"))))))))))</f>
        <v>À RADIOGRAPHIER</v>
      </c>
      <c r="AR890" s="82" t="n">
        <f aca="false">IF(AND(ISNUMBER(U890),OR(AQ890="À RADIOGRAPHIER",AQ890="RÉPARÉ – À RADIOGRAPHIER",AQ890="NX – RT À REFAIRE",AQ890="À RÉPARER",AQ890="COUPE – À RESOUDER",AQ890="VT REJETÉ – À REPRENDRE")),MAX(0,'PROGRAMME RT'!$C$4-U890),"")</f>
        <v>6</v>
      </c>
      <c r="AS890" s="82" t="n">
        <f aca="false">IF(AND(OR(AQ890="À RADIOGRAPHIER",AQ890="RÉPARÉ – À RADIOGRAPHIER",AQ890="NX – RT À REFAIRE"),OR('PROGRAMME RT'!$D$5="TOUTES",B890='PROGRAMME RT'!$D$5)),1,0)</f>
        <v>1</v>
      </c>
      <c r="AT890" s="82" t="n">
        <f aca="false">IF(AS890=1,SUM(AS$7:AS890),"")</f>
        <v>57</v>
      </c>
      <c r="AU890" s="82" t="n">
        <f aca="false">IF(AND(OR(AA890="R",AA890="NX",AA890="NT",AA890="CO"),OR('JOINTS DE RÉPARATION'!$D$5="TOUTES",B890='JOINTS DE RÉPARATION'!$D$5),OR('JOINTS DE RÉPARATION'!$L$4="TOUS",AQ890&lt;&gt;"ACCEPTÉ")),1,0)</f>
        <v>0</v>
      </c>
      <c r="AV890" s="82" t="str">
        <f aca="false">IF(AU890=1,SUM(AU$7:AU890),"")</f>
        <v/>
      </c>
      <c r="AW890" s="82" t="str">
        <f aca="false">IF(E890="","",B890&amp;"|"&amp;E890)</f>
        <v>MFD-ISW → MFD-CPF|JN°823</v>
      </c>
    </row>
    <row r="891" customFormat="false" ht="74.6" hidden="false" customHeight="false" outlineLevel="0" collapsed="false">
      <c r="A891" s="79" t="n">
        <f aca="false">IF(E891="","",ROW()-6)</f>
        <v>885</v>
      </c>
      <c r="B891" s="80" t="s">
        <v>110</v>
      </c>
      <c r="C891" s="81" t="s">
        <v>1022</v>
      </c>
      <c r="D891" s="81" t="n">
        <v>5</v>
      </c>
      <c r="E891" s="81" t="s">
        <v>1036</v>
      </c>
      <c r="F891" s="82" t="str">
        <f aca="false">IF(E891="","",IF(LEFT(E891,2)="DJ","DJ","JN"))</f>
        <v>DJ</v>
      </c>
      <c r="G891" s="81"/>
      <c r="H891" s="81" t="s">
        <v>871</v>
      </c>
      <c r="I891" s="81" t="n">
        <v>9.53</v>
      </c>
      <c r="J891" s="81" t="s">
        <v>872</v>
      </c>
      <c r="K891" s="81" t="s">
        <v>873</v>
      </c>
      <c r="L891" s="81" t="n">
        <v>2078840</v>
      </c>
      <c r="M891" s="81" t="n">
        <v>15421101</v>
      </c>
      <c r="N891" s="81" t="n">
        <v>11.94</v>
      </c>
      <c r="O891" s="81" t="n">
        <v>2092570</v>
      </c>
      <c r="P891" s="81" t="n">
        <v>15421110</v>
      </c>
      <c r="Q891" s="81" t="n">
        <v>11.94</v>
      </c>
      <c r="R891" s="81" t="s">
        <v>882</v>
      </c>
      <c r="S891" s="81"/>
      <c r="T891" s="81"/>
      <c r="U891" s="83" t="n">
        <v>46285</v>
      </c>
      <c r="V891" s="83" t="n">
        <v>46285</v>
      </c>
      <c r="W891" s="81" t="s">
        <v>1024</v>
      </c>
      <c r="X891" s="81" t="s">
        <v>876</v>
      </c>
      <c r="Y891" s="83" t="n">
        <v>46286</v>
      </c>
      <c r="Z891" s="81" t="s">
        <v>1025</v>
      </c>
      <c r="AA891" s="81" t="s">
        <v>876</v>
      </c>
      <c r="AB891" s="81"/>
      <c r="AC891" s="81"/>
      <c r="AD891" s="81"/>
      <c r="AE891" s="83"/>
      <c r="AF891" s="81"/>
      <c r="AG891" s="81"/>
      <c r="AH891" s="81"/>
      <c r="AI891" s="81"/>
      <c r="AJ891" s="83"/>
      <c r="AK891" s="81"/>
      <c r="AL891" s="81"/>
      <c r="AM891" s="83"/>
      <c r="AN891" s="80"/>
      <c r="AO891" s="82" t="n">
        <f aca="false">IF(E891="","",(AA891&lt;&gt;"")+(AG891&lt;&gt;"")+(AL891&lt;&gt;""))</f>
        <v>1</v>
      </c>
      <c r="AP891" s="82" t="str">
        <f aca="false">IF(AL891&lt;&gt;"",AL891,IF(AG891&lt;&gt;"",AG891,IF(AA891&lt;&gt;"",AA891,"")))</f>
        <v>A</v>
      </c>
      <c r="AQ891" s="84" t="str">
        <f aca="false">IF(E891="","",IF(U891="","À SOUDER",IF(X891="","VT EN ATTENTE",IF(X891="R","VT REJETÉ – À REPRENDRE",IF(AP891="","À RADIOGRAPHIER",IF(AP891="A","ACCEPTÉ",IF(AP891="NX","NX – RT À REFAIRE",IF(IF(AO891=1,AD891,IF(AO891=2,AI891,""))="A","RÉPARÉ – À RADIOGRAPHIER",IF(IF(AO891=1,AD891,IF(AO891=2,AI891,""))="R","VT REJETÉ – À REPRENDRE",IF(OR(AP891="CO",AP891="NT"),"COUPE – À RESOUDER","À RÉPARER"))))))))))</f>
        <v>ACCEPTÉ</v>
      </c>
      <c r="AR891" s="82" t="str">
        <f aca="false">IF(AND(ISNUMBER(U891),OR(AQ891="À RADIOGRAPHIER",AQ891="RÉPARÉ – À RADIOGRAPHIER",AQ891="NX – RT À REFAIRE",AQ891="À RÉPARER",AQ891="COUPE – À RESOUDER",AQ891="VT REJETÉ – À REPRENDRE")),MAX(0,'PROGRAMME RT'!$C$4-U891),"")</f>
        <v/>
      </c>
      <c r="AS891" s="82" t="n">
        <f aca="false">IF(AND(OR(AQ891="À RADIOGRAPHIER",AQ891="RÉPARÉ – À RADIOGRAPHIER",AQ891="NX – RT À REFAIRE"),OR('PROGRAMME RT'!$D$5="TOUTES",B891='PROGRAMME RT'!$D$5)),1,0)</f>
        <v>0</v>
      </c>
      <c r="AT891" s="82" t="str">
        <f aca="false">IF(AS891=1,SUM(AS$7:AS891),"")</f>
        <v/>
      </c>
      <c r="AU891" s="82" t="n">
        <f aca="false">IF(AND(OR(AA891="R",AA891="NX",AA891="NT",AA891="CO"),OR('JOINTS DE RÉPARATION'!$D$5="TOUTES",B891='JOINTS DE RÉPARATION'!$D$5),OR('JOINTS DE RÉPARATION'!$L$4="TOUS",AQ891&lt;&gt;"ACCEPTÉ")),1,0)</f>
        <v>0</v>
      </c>
      <c r="AV891" s="82" t="str">
        <f aca="false">IF(AU891=1,SUM(AU$7:AU891),"")</f>
        <v/>
      </c>
      <c r="AW891" s="82" t="str">
        <f aca="false">IF(E891="","",B891&amp;"|"&amp;E891)</f>
        <v>MFD-ISW → MFD-CPF|DJ°448</v>
      </c>
    </row>
    <row r="892" customFormat="false" ht="74.6" hidden="false" customHeight="false" outlineLevel="0" collapsed="false">
      <c r="A892" s="79" t="n">
        <f aca="false">IF(E892="","",ROW()-6)</f>
        <v>886</v>
      </c>
      <c r="B892" s="80" t="s">
        <v>110</v>
      </c>
      <c r="C892" s="81" t="s">
        <v>1022</v>
      </c>
      <c r="D892" s="81" t="n">
        <v>5</v>
      </c>
      <c r="E892" s="81" t="s">
        <v>1037</v>
      </c>
      <c r="F892" s="82" t="str">
        <f aca="false">IF(E892="","",IF(LEFT(E892,2)="DJ","DJ","JN"))</f>
        <v>JN</v>
      </c>
      <c r="G892" s="81"/>
      <c r="H892" s="81" t="s">
        <v>871</v>
      </c>
      <c r="I892" s="81" t="n">
        <v>9.53</v>
      </c>
      <c r="J892" s="81" t="s">
        <v>872</v>
      </c>
      <c r="K892" s="81" t="s">
        <v>879</v>
      </c>
      <c r="L892" s="81" t="n">
        <v>2092570</v>
      </c>
      <c r="M892" s="81" t="n">
        <v>15421110</v>
      </c>
      <c r="N892" s="81" t="n">
        <v>11.94</v>
      </c>
      <c r="O892" s="81" t="n">
        <v>2086220</v>
      </c>
      <c r="P892" s="81" t="n">
        <v>15421107</v>
      </c>
      <c r="Q892" s="81" t="n">
        <v>11.94</v>
      </c>
      <c r="R892" s="81" t="s">
        <v>935</v>
      </c>
      <c r="S892" s="81"/>
      <c r="T892" s="81"/>
      <c r="U892" s="83" t="n">
        <v>46287</v>
      </c>
      <c r="V892" s="83" t="n">
        <v>46287</v>
      </c>
      <c r="W892" s="81" t="s">
        <v>1016</v>
      </c>
      <c r="X892" s="81" t="s">
        <v>876</v>
      </c>
      <c r="Y892" s="83"/>
      <c r="Z892" s="81"/>
      <c r="AA892" s="81"/>
      <c r="AB892" s="81"/>
      <c r="AC892" s="81"/>
      <c r="AD892" s="81"/>
      <c r="AE892" s="83"/>
      <c r="AF892" s="81"/>
      <c r="AG892" s="81"/>
      <c r="AH892" s="81"/>
      <c r="AI892" s="81"/>
      <c r="AJ892" s="83"/>
      <c r="AK892" s="81"/>
      <c r="AL892" s="81"/>
      <c r="AM892" s="83"/>
      <c r="AN892" s="80"/>
      <c r="AO892" s="82" t="n">
        <f aca="false">IF(E892="","",(AA892&lt;&gt;"")+(AG892&lt;&gt;"")+(AL892&lt;&gt;""))</f>
        <v>0</v>
      </c>
      <c r="AP892" s="82" t="str">
        <f aca="false">IF(AL892&lt;&gt;"",AL892,IF(AG892&lt;&gt;"",AG892,IF(AA892&lt;&gt;"",AA892,"")))</f>
        <v/>
      </c>
      <c r="AQ892" s="84" t="str">
        <f aca="false">IF(E892="","",IF(U892="","À SOUDER",IF(X892="","VT EN ATTENTE",IF(X892="R","VT REJETÉ – À REPRENDRE",IF(AP892="","À RADIOGRAPHIER",IF(AP892="A","ACCEPTÉ",IF(AP892="NX","NX – RT À REFAIRE",IF(IF(AO892=1,AD892,IF(AO892=2,AI892,""))="A","RÉPARÉ – À RADIOGRAPHIER",IF(IF(AO892=1,AD892,IF(AO892=2,AI892,""))="R","VT REJETÉ – À REPRENDRE",IF(OR(AP892="CO",AP892="NT"),"COUPE – À RESOUDER","À RÉPARER"))))))))))</f>
        <v>À RADIOGRAPHIER</v>
      </c>
      <c r="AR892" s="82" t="n">
        <f aca="false">IF(AND(ISNUMBER(U892),OR(AQ892="À RADIOGRAPHIER",AQ892="RÉPARÉ – À RADIOGRAPHIER",AQ892="NX – RT À REFAIRE",AQ892="À RÉPARER",AQ892="COUPE – À RESOUDER",AQ892="VT REJETÉ – À REPRENDRE")),MAX(0,'PROGRAMME RT'!$C$4-U892),"")</f>
        <v>6</v>
      </c>
      <c r="AS892" s="82" t="n">
        <f aca="false">IF(AND(OR(AQ892="À RADIOGRAPHIER",AQ892="RÉPARÉ – À RADIOGRAPHIER",AQ892="NX – RT À REFAIRE"),OR('PROGRAMME RT'!$D$5="TOUTES",B892='PROGRAMME RT'!$D$5)),1,0)</f>
        <v>1</v>
      </c>
      <c r="AT892" s="82" t="n">
        <f aca="false">IF(AS892=1,SUM(AS$7:AS892),"")</f>
        <v>58</v>
      </c>
      <c r="AU892" s="82" t="n">
        <f aca="false">IF(AND(OR(AA892="R",AA892="NX",AA892="NT",AA892="CO"),OR('JOINTS DE RÉPARATION'!$D$5="TOUTES",B892='JOINTS DE RÉPARATION'!$D$5),OR('JOINTS DE RÉPARATION'!$L$4="TOUS",AQ892&lt;&gt;"ACCEPTÉ")),1,0)</f>
        <v>0</v>
      </c>
      <c r="AV892" s="82" t="str">
        <f aca="false">IF(AU892=1,SUM(AU$7:AU892),"")</f>
        <v/>
      </c>
      <c r="AW892" s="82" t="str">
        <f aca="false">IF(E892="","",B892&amp;"|"&amp;E892)</f>
        <v>MFD-ISW → MFD-CPF|JN°824</v>
      </c>
    </row>
    <row r="893" customFormat="false" ht="74.6" hidden="false" customHeight="false" outlineLevel="0" collapsed="false">
      <c r="A893" s="79" t="n">
        <f aca="false">IF(E893="","",ROW()-6)</f>
        <v>887</v>
      </c>
      <c r="B893" s="80" t="s">
        <v>110</v>
      </c>
      <c r="C893" s="81" t="s">
        <v>1022</v>
      </c>
      <c r="D893" s="81" t="n">
        <v>5</v>
      </c>
      <c r="E893" s="81" t="s">
        <v>1038</v>
      </c>
      <c r="F893" s="82" t="str">
        <f aca="false">IF(E893="","",IF(LEFT(E893,2)="DJ","DJ","JN"))</f>
        <v>DJ</v>
      </c>
      <c r="G893" s="81"/>
      <c r="H893" s="81" t="s">
        <v>871</v>
      </c>
      <c r="I893" s="81" t="n">
        <v>9.53</v>
      </c>
      <c r="J893" s="81" t="s">
        <v>872</v>
      </c>
      <c r="K893" s="81" t="s">
        <v>873</v>
      </c>
      <c r="L893" s="81" t="n">
        <v>2086220</v>
      </c>
      <c r="M893" s="81" t="n">
        <v>15421107</v>
      </c>
      <c r="N893" s="81" t="n">
        <v>11.94</v>
      </c>
      <c r="O893" s="81" t="n">
        <v>2092020</v>
      </c>
      <c r="P893" s="81" t="n">
        <v>15421109</v>
      </c>
      <c r="Q893" s="81" t="n">
        <v>11.94</v>
      </c>
      <c r="R893" s="81" t="s">
        <v>882</v>
      </c>
      <c r="S893" s="81"/>
      <c r="T893" s="81"/>
      <c r="U893" s="83" t="n">
        <v>46285</v>
      </c>
      <c r="V893" s="83" t="n">
        <v>46285</v>
      </c>
      <c r="W893" s="81" t="s">
        <v>1024</v>
      </c>
      <c r="X893" s="81" t="s">
        <v>876</v>
      </c>
      <c r="Y893" s="83" t="n">
        <v>46286</v>
      </c>
      <c r="Z893" s="81" t="s">
        <v>1025</v>
      </c>
      <c r="AA893" s="81" t="s">
        <v>876</v>
      </c>
      <c r="AB893" s="81"/>
      <c r="AC893" s="81"/>
      <c r="AD893" s="81"/>
      <c r="AE893" s="83"/>
      <c r="AF893" s="81"/>
      <c r="AG893" s="81"/>
      <c r="AH893" s="81"/>
      <c r="AI893" s="81"/>
      <c r="AJ893" s="83"/>
      <c r="AK893" s="81"/>
      <c r="AL893" s="81"/>
      <c r="AM893" s="83"/>
      <c r="AN893" s="80"/>
      <c r="AO893" s="82" t="n">
        <f aca="false">IF(E893="","",(AA893&lt;&gt;"")+(AG893&lt;&gt;"")+(AL893&lt;&gt;""))</f>
        <v>1</v>
      </c>
      <c r="AP893" s="82" t="str">
        <f aca="false">IF(AL893&lt;&gt;"",AL893,IF(AG893&lt;&gt;"",AG893,IF(AA893&lt;&gt;"",AA893,"")))</f>
        <v>A</v>
      </c>
      <c r="AQ893" s="84" t="str">
        <f aca="false">IF(E893="","",IF(U893="","À SOUDER",IF(X893="","VT EN ATTENTE",IF(X893="R","VT REJETÉ – À REPRENDRE",IF(AP893="","À RADIOGRAPHIER",IF(AP893="A","ACCEPTÉ",IF(AP893="NX","NX – RT À REFAIRE",IF(IF(AO893=1,AD893,IF(AO893=2,AI893,""))="A","RÉPARÉ – À RADIOGRAPHIER",IF(IF(AO893=1,AD893,IF(AO893=2,AI893,""))="R","VT REJETÉ – À REPRENDRE",IF(OR(AP893="CO",AP893="NT"),"COUPE – À RESOUDER","À RÉPARER"))))))))))</f>
        <v>ACCEPTÉ</v>
      </c>
      <c r="AR893" s="82" t="str">
        <f aca="false">IF(AND(ISNUMBER(U893),OR(AQ893="À RADIOGRAPHIER",AQ893="RÉPARÉ – À RADIOGRAPHIER",AQ893="NX – RT À REFAIRE",AQ893="À RÉPARER",AQ893="COUPE – À RESOUDER",AQ893="VT REJETÉ – À REPRENDRE")),MAX(0,'PROGRAMME RT'!$C$4-U893),"")</f>
        <v/>
      </c>
      <c r="AS893" s="82" t="n">
        <f aca="false">IF(AND(OR(AQ893="À RADIOGRAPHIER",AQ893="RÉPARÉ – À RADIOGRAPHIER",AQ893="NX – RT À REFAIRE"),OR('PROGRAMME RT'!$D$5="TOUTES",B893='PROGRAMME RT'!$D$5)),1,0)</f>
        <v>0</v>
      </c>
      <c r="AT893" s="82" t="str">
        <f aca="false">IF(AS893=1,SUM(AS$7:AS893),"")</f>
        <v/>
      </c>
      <c r="AU893" s="82" t="n">
        <f aca="false">IF(AND(OR(AA893="R",AA893="NX",AA893="NT",AA893="CO"),OR('JOINTS DE RÉPARATION'!$D$5="TOUTES",B893='JOINTS DE RÉPARATION'!$D$5),OR('JOINTS DE RÉPARATION'!$L$4="TOUS",AQ893&lt;&gt;"ACCEPTÉ")),1,0)</f>
        <v>0</v>
      </c>
      <c r="AV893" s="82" t="str">
        <f aca="false">IF(AU893=1,SUM(AU$7:AU893),"")</f>
        <v/>
      </c>
      <c r="AW893" s="82" t="str">
        <f aca="false">IF(E893="","",B893&amp;"|"&amp;E893)</f>
        <v>MFD-ISW → MFD-CPF|DJ°446</v>
      </c>
    </row>
    <row r="894" customFormat="false" ht="74.6" hidden="false" customHeight="false" outlineLevel="0" collapsed="false">
      <c r="A894" s="79" t="n">
        <f aca="false">IF(E894="","",ROW()-6)</f>
        <v>888</v>
      </c>
      <c r="B894" s="80" t="s">
        <v>110</v>
      </c>
      <c r="C894" s="81" t="s">
        <v>1022</v>
      </c>
      <c r="D894" s="81" t="n">
        <v>5</v>
      </c>
      <c r="E894" s="81" t="s">
        <v>1039</v>
      </c>
      <c r="F894" s="82" t="str">
        <f aca="false">IF(E894="","",IF(LEFT(E894,2)="DJ","DJ","JN"))</f>
        <v>JN</v>
      </c>
      <c r="G894" s="81"/>
      <c r="H894" s="81" t="s">
        <v>871</v>
      </c>
      <c r="I894" s="81" t="n">
        <v>9.53</v>
      </c>
      <c r="J894" s="81" t="s">
        <v>872</v>
      </c>
      <c r="K894" s="81" t="s">
        <v>879</v>
      </c>
      <c r="L894" s="81" t="n">
        <v>2092020</v>
      </c>
      <c r="M894" s="81" t="n">
        <v>15421109</v>
      </c>
      <c r="N894" s="81" t="n">
        <v>11.94</v>
      </c>
      <c r="O894" s="81" t="n">
        <v>2086150</v>
      </c>
      <c r="P894" s="81" t="n">
        <v>15421107</v>
      </c>
      <c r="Q894" s="81" t="n">
        <v>11.94</v>
      </c>
      <c r="R894" s="81" t="s">
        <v>935</v>
      </c>
      <c r="S894" s="81"/>
      <c r="T894" s="81"/>
      <c r="U894" s="83" t="n">
        <v>46287</v>
      </c>
      <c r="V894" s="83" t="n">
        <v>46287</v>
      </c>
      <c r="W894" s="81" t="s">
        <v>1016</v>
      </c>
      <c r="X894" s="81" t="s">
        <v>876</v>
      </c>
      <c r="Y894" s="83"/>
      <c r="Z894" s="81"/>
      <c r="AA894" s="81"/>
      <c r="AB894" s="81"/>
      <c r="AC894" s="81"/>
      <c r="AD894" s="81"/>
      <c r="AE894" s="83"/>
      <c r="AF894" s="81"/>
      <c r="AG894" s="81"/>
      <c r="AH894" s="81"/>
      <c r="AI894" s="81"/>
      <c r="AJ894" s="83"/>
      <c r="AK894" s="81"/>
      <c r="AL894" s="81"/>
      <c r="AM894" s="83"/>
      <c r="AN894" s="80"/>
      <c r="AO894" s="82" t="n">
        <f aca="false">IF(E894="","",(AA894&lt;&gt;"")+(AG894&lt;&gt;"")+(AL894&lt;&gt;""))</f>
        <v>0</v>
      </c>
      <c r="AP894" s="82" t="str">
        <f aca="false">IF(AL894&lt;&gt;"",AL894,IF(AG894&lt;&gt;"",AG894,IF(AA894&lt;&gt;"",AA894,"")))</f>
        <v/>
      </c>
      <c r="AQ894" s="84" t="str">
        <f aca="false">IF(E894="","",IF(U894="","À SOUDER",IF(X894="","VT EN ATTENTE",IF(X894="R","VT REJETÉ – À REPRENDRE",IF(AP894="","À RADIOGRAPHIER",IF(AP894="A","ACCEPTÉ",IF(AP894="NX","NX – RT À REFAIRE",IF(IF(AO894=1,AD894,IF(AO894=2,AI894,""))="A","RÉPARÉ – À RADIOGRAPHIER",IF(IF(AO894=1,AD894,IF(AO894=2,AI894,""))="R","VT REJETÉ – À REPRENDRE",IF(OR(AP894="CO",AP894="NT"),"COUPE – À RESOUDER","À RÉPARER"))))))))))</f>
        <v>À RADIOGRAPHIER</v>
      </c>
      <c r="AR894" s="82" t="n">
        <f aca="false">IF(AND(ISNUMBER(U894),OR(AQ894="À RADIOGRAPHIER",AQ894="RÉPARÉ – À RADIOGRAPHIER",AQ894="NX – RT À REFAIRE",AQ894="À RÉPARER",AQ894="COUPE – À RESOUDER",AQ894="VT REJETÉ – À REPRENDRE")),MAX(0,'PROGRAMME RT'!$C$4-U894),"")</f>
        <v>6</v>
      </c>
      <c r="AS894" s="82" t="n">
        <f aca="false">IF(AND(OR(AQ894="À RADIOGRAPHIER",AQ894="RÉPARÉ – À RADIOGRAPHIER",AQ894="NX – RT À REFAIRE"),OR('PROGRAMME RT'!$D$5="TOUTES",B894='PROGRAMME RT'!$D$5)),1,0)</f>
        <v>1</v>
      </c>
      <c r="AT894" s="82" t="n">
        <f aca="false">IF(AS894=1,SUM(AS$7:AS894),"")</f>
        <v>59</v>
      </c>
      <c r="AU894" s="82" t="n">
        <f aca="false">IF(AND(OR(AA894="R",AA894="NX",AA894="NT",AA894="CO"),OR('JOINTS DE RÉPARATION'!$D$5="TOUTES",B894='JOINTS DE RÉPARATION'!$D$5),OR('JOINTS DE RÉPARATION'!$L$4="TOUS",AQ894&lt;&gt;"ACCEPTÉ")),1,0)</f>
        <v>0</v>
      </c>
      <c r="AV894" s="82" t="str">
        <f aca="false">IF(AU894=1,SUM(AU$7:AU894),"")</f>
        <v/>
      </c>
      <c r="AW894" s="82" t="str">
        <f aca="false">IF(E894="","",B894&amp;"|"&amp;E894)</f>
        <v>MFD-ISW → MFD-CPF|JN°825</v>
      </c>
    </row>
    <row r="895" customFormat="false" ht="74.6" hidden="false" customHeight="false" outlineLevel="0" collapsed="false">
      <c r="A895" s="79" t="n">
        <f aca="false">IF(E895="","",ROW()-6)</f>
        <v>889</v>
      </c>
      <c r="B895" s="80" t="s">
        <v>110</v>
      </c>
      <c r="C895" s="81" t="s">
        <v>1022</v>
      </c>
      <c r="D895" s="81" t="n">
        <v>5</v>
      </c>
      <c r="E895" s="81" t="s">
        <v>1040</v>
      </c>
      <c r="F895" s="82" t="str">
        <f aca="false">IF(E895="","",IF(LEFT(E895,2)="DJ","DJ","JN"))</f>
        <v>DJ</v>
      </c>
      <c r="G895" s="81"/>
      <c r="H895" s="81" t="s">
        <v>871</v>
      </c>
      <c r="I895" s="81" t="n">
        <v>9.53</v>
      </c>
      <c r="J895" s="81" t="s">
        <v>872</v>
      </c>
      <c r="K895" s="81" t="s">
        <v>873</v>
      </c>
      <c r="L895" s="81" t="n">
        <v>2086150</v>
      </c>
      <c r="M895" s="81" t="n">
        <v>15421107</v>
      </c>
      <c r="N895" s="81" t="n">
        <v>11.94</v>
      </c>
      <c r="O895" s="81" t="n">
        <v>2092170</v>
      </c>
      <c r="P895" s="81" t="n">
        <v>15421110</v>
      </c>
      <c r="Q895" s="81" t="n">
        <v>11.94</v>
      </c>
      <c r="R895" s="81" t="s">
        <v>963</v>
      </c>
      <c r="S895" s="81"/>
      <c r="T895" s="81"/>
      <c r="U895" s="83" t="n">
        <v>46285</v>
      </c>
      <c r="V895" s="83" t="n">
        <v>46285</v>
      </c>
      <c r="W895" s="81" t="s">
        <v>1024</v>
      </c>
      <c r="X895" s="81" t="s">
        <v>876</v>
      </c>
      <c r="Y895" s="83" t="n">
        <v>46286</v>
      </c>
      <c r="Z895" s="81" t="s">
        <v>1025</v>
      </c>
      <c r="AA895" s="81" t="s">
        <v>876</v>
      </c>
      <c r="AB895" s="81"/>
      <c r="AC895" s="81"/>
      <c r="AD895" s="81"/>
      <c r="AE895" s="83"/>
      <c r="AF895" s="81"/>
      <c r="AG895" s="81"/>
      <c r="AH895" s="81"/>
      <c r="AI895" s="81"/>
      <c r="AJ895" s="83"/>
      <c r="AK895" s="81"/>
      <c r="AL895" s="81"/>
      <c r="AM895" s="83"/>
      <c r="AN895" s="80"/>
      <c r="AO895" s="82" t="n">
        <f aca="false">IF(E895="","",(AA895&lt;&gt;"")+(AG895&lt;&gt;"")+(AL895&lt;&gt;""))</f>
        <v>1</v>
      </c>
      <c r="AP895" s="82" t="str">
        <f aca="false">IF(AL895&lt;&gt;"",AL895,IF(AG895&lt;&gt;"",AG895,IF(AA895&lt;&gt;"",AA895,"")))</f>
        <v>A</v>
      </c>
      <c r="AQ895" s="84" t="str">
        <f aca="false">IF(E895="","",IF(U895="","À SOUDER",IF(X895="","VT EN ATTENTE",IF(X895="R","VT REJETÉ – À REPRENDRE",IF(AP895="","À RADIOGRAPHIER",IF(AP895="A","ACCEPTÉ",IF(AP895="NX","NX – RT À REFAIRE",IF(IF(AO895=1,AD895,IF(AO895=2,AI895,""))="A","RÉPARÉ – À RADIOGRAPHIER",IF(IF(AO895=1,AD895,IF(AO895=2,AI895,""))="R","VT REJETÉ – À REPRENDRE",IF(OR(AP895="CO",AP895="NT"),"COUPE – À RESOUDER","À RÉPARER"))))))))))</f>
        <v>ACCEPTÉ</v>
      </c>
      <c r="AR895" s="82" t="str">
        <f aca="false">IF(AND(ISNUMBER(U895),OR(AQ895="À RADIOGRAPHIER",AQ895="RÉPARÉ – À RADIOGRAPHIER",AQ895="NX – RT À REFAIRE",AQ895="À RÉPARER",AQ895="COUPE – À RESOUDER",AQ895="VT REJETÉ – À REPRENDRE")),MAX(0,'PROGRAMME RT'!$C$4-U895),"")</f>
        <v/>
      </c>
      <c r="AS895" s="82" t="n">
        <f aca="false">IF(AND(OR(AQ895="À RADIOGRAPHIER",AQ895="RÉPARÉ – À RADIOGRAPHIER",AQ895="NX – RT À REFAIRE"),OR('PROGRAMME RT'!$D$5="TOUTES",B895='PROGRAMME RT'!$D$5)),1,0)</f>
        <v>0</v>
      </c>
      <c r="AT895" s="82" t="str">
        <f aca="false">IF(AS895=1,SUM(AS$7:AS895),"")</f>
        <v/>
      </c>
      <c r="AU895" s="82" t="n">
        <f aca="false">IF(AND(OR(AA895="R",AA895="NX",AA895="NT",AA895="CO"),OR('JOINTS DE RÉPARATION'!$D$5="TOUTES",B895='JOINTS DE RÉPARATION'!$D$5),OR('JOINTS DE RÉPARATION'!$L$4="TOUS",AQ895&lt;&gt;"ACCEPTÉ")),1,0)</f>
        <v>0</v>
      </c>
      <c r="AV895" s="82" t="str">
        <f aca="false">IF(AU895=1,SUM(AU$7:AU895),"")</f>
        <v/>
      </c>
      <c r="AW895" s="82" t="str">
        <f aca="false">IF(E895="","",B895&amp;"|"&amp;E895)</f>
        <v>MFD-ISW → MFD-CPF|DJ°450</v>
      </c>
    </row>
    <row r="896" customFormat="false" ht="74.6" hidden="false" customHeight="false" outlineLevel="0" collapsed="false">
      <c r="A896" s="79" t="n">
        <f aca="false">IF(E896="","",ROW()-6)</f>
        <v>890</v>
      </c>
      <c r="B896" s="80" t="s">
        <v>110</v>
      </c>
      <c r="C896" s="81" t="s">
        <v>1022</v>
      </c>
      <c r="D896" s="81" t="n">
        <v>5</v>
      </c>
      <c r="E896" s="81" t="s">
        <v>1041</v>
      </c>
      <c r="F896" s="82" t="str">
        <f aca="false">IF(E896="","",IF(LEFT(E896,2)="DJ","DJ","JN"))</f>
        <v>JN</v>
      </c>
      <c r="G896" s="81"/>
      <c r="H896" s="81" t="s">
        <v>871</v>
      </c>
      <c r="I896" s="81" t="n">
        <v>9.53</v>
      </c>
      <c r="J896" s="81" t="s">
        <v>872</v>
      </c>
      <c r="K896" s="81" t="s">
        <v>879</v>
      </c>
      <c r="L896" s="81" t="n">
        <v>2092170</v>
      </c>
      <c r="M896" s="81" t="n">
        <v>15421110</v>
      </c>
      <c r="N896" s="81" t="n">
        <v>11.94</v>
      </c>
      <c r="O896" s="81" t="n">
        <v>2092550</v>
      </c>
      <c r="P896" s="81" t="n">
        <v>15421110</v>
      </c>
      <c r="Q896" s="81" t="n">
        <v>11.94</v>
      </c>
      <c r="R896" s="81" t="s">
        <v>935</v>
      </c>
      <c r="S896" s="81"/>
      <c r="T896" s="81"/>
      <c r="U896" s="83" t="n">
        <v>46287</v>
      </c>
      <c r="V896" s="83" t="n">
        <v>46287</v>
      </c>
      <c r="W896" s="81" t="s">
        <v>1016</v>
      </c>
      <c r="X896" s="81" t="s">
        <v>876</v>
      </c>
      <c r="Y896" s="83"/>
      <c r="Z896" s="81"/>
      <c r="AA896" s="81"/>
      <c r="AB896" s="81"/>
      <c r="AC896" s="81"/>
      <c r="AD896" s="81"/>
      <c r="AE896" s="83"/>
      <c r="AF896" s="81"/>
      <c r="AG896" s="81"/>
      <c r="AH896" s="81"/>
      <c r="AI896" s="81"/>
      <c r="AJ896" s="83"/>
      <c r="AK896" s="81"/>
      <c r="AL896" s="81"/>
      <c r="AM896" s="83"/>
      <c r="AN896" s="80"/>
      <c r="AO896" s="82" t="n">
        <f aca="false">IF(E896="","",(AA896&lt;&gt;"")+(AG896&lt;&gt;"")+(AL896&lt;&gt;""))</f>
        <v>0</v>
      </c>
      <c r="AP896" s="82" t="str">
        <f aca="false">IF(AL896&lt;&gt;"",AL896,IF(AG896&lt;&gt;"",AG896,IF(AA896&lt;&gt;"",AA896,"")))</f>
        <v/>
      </c>
      <c r="AQ896" s="84" t="str">
        <f aca="false">IF(E896="","",IF(U896="","À SOUDER",IF(X896="","VT EN ATTENTE",IF(X896="R","VT REJETÉ – À REPRENDRE",IF(AP896="","À RADIOGRAPHIER",IF(AP896="A","ACCEPTÉ",IF(AP896="NX","NX – RT À REFAIRE",IF(IF(AO896=1,AD896,IF(AO896=2,AI896,""))="A","RÉPARÉ – À RADIOGRAPHIER",IF(IF(AO896=1,AD896,IF(AO896=2,AI896,""))="R","VT REJETÉ – À REPRENDRE",IF(OR(AP896="CO",AP896="NT"),"COUPE – À RESOUDER","À RÉPARER"))))))))))</f>
        <v>À RADIOGRAPHIER</v>
      </c>
      <c r="AR896" s="82" t="n">
        <f aca="false">IF(AND(ISNUMBER(U896),OR(AQ896="À RADIOGRAPHIER",AQ896="RÉPARÉ – À RADIOGRAPHIER",AQ896="NX – RT À REFAIRE",AQ896="À RÉPARER",AQ896="COUPE – À RESOUDER",AQ896="VT REJETÉ – À REPRENDRE")),MAX(0,'PROGRAMME RT'!$C$4-U896),"")</f>
        <v>6</v>
      </c>
      <c r="AS896" s="82" t="n">
        <f aca="false">IF(AND(OR(AQ896="À RADIOGRAPHIER",AQ896="RÉPARÉ – À RADIOGRAPHIER",AQ896="NX – RT À REFAIRE"),OR('PROGRAMME RT'!$D$5="TOUTES",B896='PROGRAMME RT'!$D$5)),1,0)</f>
        <v>1</v>
      </c>
      <c r="AT896" s="82" t="n">
        <f aca="false">IF(AS896=1,SUM(AS$7:AS896),"")</f>
        <v>60</v>
      </c>
      <c r="AU896" s="82" t="n">
        <f aca="false">IF(AND(OR(AA896="R",AA896="NX",AA896="NT",AA896="CO"),OR('JOINTS DE RÉPARATION'!$D$5="TOUTES",B896='JOINTS DE RÉPARATION'!$D$5),OR('JOINTS DE RÉPARATION'!$L$4="TOUS",AQ896&lt;&gt;"ACCEPTÉ")),1,0)</f>
        <v>0</v>
      </c>
      <c r="AV896" s="82" t="str">
        <f aca="false">IF(AU896=1,SUM(AU$7:AU896),"")</f>
        <v/>
      </c>
      <c r="AW896" s="82" t="str">
        <f aca="false">IF(E896="","",B896&amp;"|"&amp;E896)</f>
        <v>MFD-ISW → MFD-CPF|JN°826</v>
      </c>
    </row>
    <row r="897" customFormat="false" ht="74.6" hidden="false" customHeight="false" outlineLevel="0" collapsed="false">
      <c r="A897" s="79" t="n">
        <f aca="false">IF(E897="","",ROW()-6)</f>
        <v>891</v>
      </c>
      <c r="B897" s="80" t="s">
        <v>110</v>
      </c>
      <c r="C897" s="81" t="s">
        <v>1022</v>
      </c>
      <c r="D897" s="81" t="n">
        <v>5</v>
      </c>
      <c r="E897" s="81" t="s">
        <v>1042</v>
      </c>
      <c r="F897" s="82" t="str">
        <f aca="false">IF(E897="","",IF(LEFT(E897,2)="DJ","DJ","JN"))</f>
        <v>DJ</v>
      </c>
      <c r="G897" s="81"/>
      <c r="H897" s="81" t="s">
        <v>871</v>
      </c>
      <c r="I897" s="81" t="n">
        <v>9.53</v>
      </c>
      <c r="J897" s="81" t="s">
        <v>872</v>
      </c>
      <c r="K897" s="81" t="s">
        <v>873</v>
      </c>
      <c r="L897" s="81" t="n">
        <v>2092550</v>
      </c>
      <c r="M897" s="81" t="n">
        <v>15421110</v>
      </c>
      <c r="N897" s="81" t="n">
        <v>11.94</v>
      </c>
      <c r="O897" s="81" t="n">
        <v>2090370</v>
      </c>
      <c r="P897" s="81" t="n">
        <v>15421109</v>
      </c>
      <c r="Q897" s="81" t="n">
        <v>11.94</v>
      </c>
      <c r="R897" s="81" t="s">
        <v>882</v>
      </c>
      <c r="S897" s="81"/>
      <c r="T897" s="81"/>
      <c r="U897" s="83" t="n">
        <v>46285</v>
      </c>
      <c r="V897" s="83" t="n">
        <v>46285</v>
      </c>
      <c r="W897" s="81" t="s">
        <v>1024</v>
      </c>
      <c r="X897" s="81" t="s">
        <v>876</v>
      </c>
      <c r="Y897" s="83" t="n">
        <v>46286</v>
      </c>
      <c r="Z897" s="81" t="s">
        <v>1025</v>
      </c>
      <c r="AA897" s="81" t="s">
        <v>876</v>
      </c>
      <c r="AB897" s="81"/>
      <c r="AC897" s="81"/>
      <c r="AD897" s="81"/>
      <c r="AE897" s="83"/>
      <c r="AF897" s="81"/>
      <c r="AG897" s="81"/>
      <c r="AH897" s="81"/>
      <c r="AI897" s="81"/>
      <c r="AJ897" s="83"/>
      <c r="AK897" s="81"/>
      <c r="AL897" s="81"/>
      <c r="AM897" s="83"/>
      <c r="AN897" s="80"/>
      <c r="AO897" s="82" t="n">
        <f aca="false">IF(E897="","",(AA897&lt;&gt;"")+(AG897&lt;&gt;"")+(AL897&lt;&gt;""))</f>
        <v>1</v>
      </c>
      <c r="AP897" s="82" t="str">
        <f aca="false">IF(AL897&lt;&gt;"",AL897,IF(AG897&lt;&gt;"",AG897,IF(AA897&lt;&gt;"",AA897,"")))</f>
        <v>A</v>
      </c>
      <c r="AQ897" s="84" t="str">
        <f aca="false">IF(E897="","",IF(U897="","À SOUDER",IF(X897="","VT EN ATTENTE",IF(X897="R","VT REJETÉ – À REPRENDRE",IF(AP897="","À RADIOGRAPHIER",IF(AP897="A","ACCEPTÉ",IF(AP897="NX","NX – RT À REFAIRE",IF(IF(AO897=1,AD897,IF(AO897=2,AI897,""))="A","RÉPARÉ – À RADIOGRAPHIER",IF(IF(AO897=1,AD897,IF(AO897=2,AI897,""))="R","VT REJETÉ – À REPRENDRE",IF(OR(AP897="CO",AP897="NT"),"COUPE – À RESOUDER","À RÉPARER"))))))))))</f>
        <v>ACCEPTÉ</v>
      </c>
      <c r="AR897" s="82" t="str">
        <f aca="false">IF(AND(ISNUMBER(U897),OR(AQ897="À RADIOGRAPHIER",AQ897="RÉPARÉ – À RADIOGRAPHIER",AQ897="NX – RT À REFAIRE",AQ897="À RÉPARER",AQ897="COUPE – À RESOUDER",AQ897="VT REJETÉ – À REPRENDRE")),MAX(0,'PROGRAMME RT'!$C$4-U897),"")</f>
        <v/>
      </c>
      <c r="AS897" s="82" t="n">
        <f aca="false">IF(AND(OR(AQ897="À RADIOGRAPHIER",AQ897="RÉPARÉ – À RADIOGRAPHIER",AQ897="NX – RT À REFAIRE"),OR('PROGRAMME RT'!$D$5="TOUTES",B897='PROGRAMME RT'!$D$5)),1,0)</f>
        <v>0</v>
      </c>
      <c r="AT897" s="82" t="str">
        <f aca="false">IF(AS897=1,SUM(AS$7:AS897),"")</f>
        <v/>
      </c>
      <c r="AU897" s="82" t="n">
        <f aca="false">IF(AND(OR(AA897="R",AA897="NX",AA897="NT",AA897="CO"),OR('JOINTS DE RÉPARATION'!$D$5="TOUTES",B897='JOINTS DE RÉPARATION'!$D$5),OR('JOINTS DE RÉPARATION'!$L$4="TOUS",AQ897&lt;&gt;"ACCEPTÉ")),1,0)</f>
        <v>0</v>
      </c>
      <c r="AV897" s="82" t="str">
        <f aca="false">IF(AU897=1,SUM(AU$7:AU897),"")</f>
        <v/>
      </c>
      <c r="AW897" s="82" t="str">
        <f aca="false">IF(E897="","",B897&amp;"|"&amp;E897)</f>
        <v>MFD-ISW → MFD-CPF|DJ°451</v>
      </c>
    </row>
    <row r="898" customFormat="false" ht="74.6" hidden="false" customHeight="false" outlineLevel="0" collapsed="false">
      <c r="A898" s="79" t="n">
        <f aca="false">IF(E898="","",ROW()-6)</f>
        <v>892</v>
      </c>
      <c r="B898" s="80" t="s">
        <v>110</v>
      </c>
      <c r="C898" s="81" t="s">
        <v>1022</v>
      </c>
      <c r="D898" s="81" t="n">
        <v>5</v>
      </c>
      <c r="E898" s="81" t="s">
        <v>1043</v>
      </c>
      <c r="F898" s="82" t="str">
        <f aca="false">IF(E898="","",IF(LEFT(E898,2)="DJ","DJ","JN"))</f>
        <v>JN</v>
      </c>
      <c r="G898" s="81"/>
      <c r="H898" s="81" t="s">
        <v>871</v>
      </c>
      <c r="I898" s="81" t="n">
        <v>9.53</v>
      </c>
      <c r="J898" s="81" t="s">
        <v>872</v>
      </c>
      <c r="K898" s="81" t="s">
        <v>879</v>
      </c>
      <c r="L898" s="81" t="n">
        <v>2090370</v>
      </c>
      <c r="M898" s="81" t="n">
        <v>15421109</v>
      </c>
      <c r="N898" s="81" t="n">
        <v>11.94</v>
      </c>
      <c r="O898" s="81" t="n">
        <v>2085670</v>
      </c>
      <c r="P898" s="81" t="n">
        <v>15421107</v>
      </c>
      <c r="Q898" s="81" t="n">
        <v>11.94</v>
      </c>
      <c r="R898" s="81" t="s">
        <v>935</v>
      </c>
      <c r="S898" s="81"/>
      <c r="T898" s="81"/>
      <c r="U898" s="83" t="n">
        <v>46287</v>
      </c>
      <c r="V898" s="83" t="n">
        <v>46287</v>
      </c>
      <c r="W898" s="81" t="s">
        <v>1016</v>
      </c>
      <c r="X898" s="81" t="s">
        <v>876</v>
      </c>
      <c r="Y898" s="83"/>
      <c r="Z898" s="81"/>
      <c r="AA898" s="81"/>
      <c r="AB898" s="81"/>
      <c r="AC898" s="81"/>
      <c r="AD898" s="81"/>
      <c r="AE898" s="83"/>
      <c r="AF898" s="81"/>
      <c r="AG898" s="81"/>
      <c r="AH898" s="81"/>
      <c r="AI898" s="81"/>
      <c r="AJ898" s="83"/>
      <c r="AK898" s="81"/>
      <c r="AL898" s="81"/>
      <c r="AM898" s="83"/>
      <c r="AN898" s="80"/>
      <c r="AO898" s="82" t="n">
        <f aca="false">IF(E898="","",(AA898&lt;&gt;"")+(AG898&lt;&gt;"")+(AL898&lt;&gt;""))</f>
        <v>0</v>
      </c>
      <c r="AP898" s="82" t="str">
        <f aca="false">IF(AL898&lt;&gt;"",AL898,IF(AG898&lt;&gt;"",AG898,IF(AA898&lt;&gt;"",AA898,"")))</f>
        <v/>
      </c>
      <c r="AQ898" s="84" t="str">
        <f aca="false">IF(E898="","",IF(U898="","À SOUDER",IF(X898="","VT EN ATTENTE",IF(X898="R","VT REJETÉ – À REPRENDRE",IF(AP898="","À RADIOGRAPHIER",IF(AP898="A","ACCEPTÉ",IF(AP898="NX","NX – RT À REFAIRE",IF(IF(AO898=1,AD898,IF(AO898=2,AI898,""))="A","RÉPARÉ – À RADIOGRAPHIER",IF(IF(AO898=1,AD898,IF(AO898=2,AI898,""))="R","VT REJETÉ – À REPRENDRE",IF(OR(AP898="CO",AP898="NT"),"COUPE – À RESOUDER","À RÉPARER"))))))))))</f>
        <v>À RADIOGRAPHIER</v>
      </c>
      <c r="AR898" s="82" t="n">
        <f aca="false">IF(AND(ISNUMBER(U898),OR(AQ898="À RADIOGRAPHIER",AQ898="RÉPARÉ – À RADIOGRAPHIER",AQ898="NX – RT À REFAIRE",AQ898="À RÉPARER",AQ898="COUPE – À RESOUDER",AQ898="VT REJETÉ – À REPRENDRE")),MAX(0,'PROGRAMME RT'!$C$4-U898),"")</f>
        <v>6</v>
      </c>
      <c r="AS898" s="82" t="n">
        <f aca="false">IF(AND(OR(AQ898="À RADIOGRAPHIER",AQ898="RÉPARÉ – À RADIOGRAPHIER",AQ898="NX – RT À REFAIRE"),OR('PROGRAMME RT'!$D$5="TOUTES",B898='PROGRAMME RT'!$D$5)),1,0)</f>
        <v>1</v>
      </c>
      <c r="AT898" s="82" t="n">
        <f aca="false">IF(AS898=1,SUM(AS$7:AS898),"")</f>
        <v>61</v>
      </c>
      <c r="AU898" s="82" t="n">
        <f aca="false">IF(AND(OR(AA898="R",AA898="NX",AA898="NT",AA898="CO"),OR('JOINTS DE RÉPARATION'!$D$5="TOUTES",B898='JOINTS DE RÉPARATION'!$D$5),OR('JOINTS DE RÉPARATION'!$L$4="TOUS",AQ898&lt;&gt;"ACCEPTÉ")),1,0)</f>
        <v>0</v>
      </c>
      <c r="AV898" s="82" t="str">
        <f aca="false">IF(AU898=1,SUM(AU$7:AU898),"")</f>
        <v/>
      </c>
      <c r="AW898" s="82" t="str">
        <f aca="false">IF(E898="","",B898&amp;"|"&amp;E898)</f>
        <v>MFD-ISW → MFD-CPF|JN°827</v>
      </c>
    </row>
    <row r="899" customFormat="false" ht="74.6" hidden="false" customHeight="false" outlineLevel="0" collapsed="false">
      <c r="A899" s="79" t="n">
        <f aca="false">IF(E899="","",ROW()-6)</f>
        <v>893</v>
      </c>
      <c r="B899" s="80" t="s">
        <v>110</v>
      </c>
      <c r="C899" s="81" t="s">
        <v>1022</v>
      </c>
      <c r="D899" s="81" t="n">
        <v>5</v>
      </c>
      <c r="E899" s="81" t="s">
        <v>1044</v>
      </c>
      <c r="F899" s="82" t="str">
        <f aca="false">IF(E899="","",IF(LEFT(E899,2)="DJ","DJ","JN"))</f>
        <v>DJ</v>
      </c>
      <c r="G899" s="81"/>
      <c r="H899" s="81" t="s">
        <v>871</v>
      </c>
      <c r="I899" s="81" t="n">
        <v>9.53</v>
      </c>
      <c r="J899" s="81" t="s">
        <v>872</v>
      </c>
      <c r="K899" s="81" t="s">
        <v>873</v>
      </c>
      <c r="L899" s="81" t="n">
        <v>2085670</v>
      </c>
      <c r="M899" s="81" t="n">
        <v>15421107</v>
      </c>
      <c r="N899" s="81" t="n">
        <v>11.94</v>
      </c>
      <c r="O899" s="81" t="n">
        <v>2091530</v>
      </c>
      <c r="P899" s="81" t="n">
        <v>15421111</v>
      </c>
      <c r="Q899" s="81" t="n">
        <v>11.94</v>
      </c>
      <c r="R899" s="81" t="s">
        <v>963</v>
      </c>
      <c r="S899" s="81"/>
      <c r="T899" s="81"/>
      <c r="U899" s="83" t="n">
        <v>46285</v>
      </c>
      <c r="V899" s="83" t="n">
        <v>46285</v>
      </c>
      <c r="W899" s="81" t="s">
        <v>1024</v>
      </c>
      <c r="X899" s="81" t="s">
        <v>876</v>
      </c>
      <c r="Y899" s="83" t="n">
        <v>46286</v>
      </c>
      <c r="Z899" s="81" t="s">
        <v>1025</v>
      </c>
      <c r="AA899" s="81" t="s">
        <v>876</v>
      </c>
      <c r="AB899" s="81"/>
      <c r="AC899" s="81"/>
      <c r="AD899" s="81"/>
      <c r="AE899" s="83"/>
      <c r="AF899" s="81"/>
      <c r="AG899" s="81"/>
      <c r="AH899" s="81"/>
      <c r="AI899" s="81"/>
      <c r="AJ899" s="83"/>
      <c r="AK899" s="81"/>
      <c r="AL899" s="81"/>
      <c r="AM899" s="83"/>
      <c r="AN899" s="80"/>
      <c r="AO899" s="82" t="n">
        <f aca="false">IF(E899="","",(AA899&lt;&gt;"")+(AG899&lt;&gt;"")+(AL899&lt;&gt;""))</f>
        <v>1</v>
      </c>
      <c r="AP899" s="82" t="str">
        <f aca="false">IF(AL899&lt;&gt;"",AL899,IF(AG899&lt;&gt;"",AG899,IF(AA899&lt;&gt;"",AA899,"")))</f>
        <v>A</v>
      </c>
      <c r="AQ899" s="84" t="str">
        <f aca="false">IF(E899="","",IF(U899="","À SOUDER",IF(X899="","VT EN ATTENTE",IF(X899="R","VT REJETÉ – À REPRENDRE",IF(AP899="","À RADIOGRAPHIER",IF(AP899="A","ACCEPTÉ",IF(AP899="NX","NX – RT À REFAIRE",IF(IF(AO899=1,AD899,IF(AO899=2,AI899,""))="A","RÉPARÉ – À RADIOGRAPHIER",IF(IF(AO899=1,AD899,IF(AO899=2,AI899,""))="R","VT REJETÉ – À REPRENDRE",IF(OR(AP899="CO",AP899="NT"),"COUPE – À RESOUDER","À RÉPARER"))))))))))</f>
        <v>ACCEPTÉ</v>
      </c>
      <c r="AR899" s="82" t="str">
        <f aca="false">IF(AND(ISNUMBER(U899),OR(AQ899="À RADIOGRAPHIER",AQ899="RÉPARÉ – À RADIOGRAPHIER",AQ899="NX – RT À REFAIRE",AQ899="À RÉPARER",AQ899="COUPE – À RESOUDER",AQ899="VT REJETÉ – À REPRENDRE")),MAX(0,'PROGRAMME RT'!$C$4-U899),"")</f>
        <v/>
      </c>
      <c r="AS899" s="82" t="n">
        <f aca="false">IF(AND(OR(AQ899="À RADIOGRAPHIER",AQ899="RÉPARÉ – À RADIOGRAPHIER",AQ899="NX – RT À REFAIRE"),OR('PROGRAMME RT'!$D$5="TOUTES",B899='PROGRAMME RT'!$D$5)),1,0)</f>
        <v>0</v>
      </c>
      <c r="AT899" s="82" t="str">
        <f aca="false">IF(AS899=1,SUM(AS$7:AS899),"")</f>
        <v/>
      </c>
      <c r="AU899" s="82" t="n">
        <f aca="false">IF(AND(OR(AA899="R",AA899="NX",AA899="NT",AA899="CO"),OR('JOINTS DE RÉPARATION'!$D$5="TOUTES",B899='JOINTS DE RÉPARATION'!$D$5),OR('JOINTS DE RÉPARATION'!$L$4="TOUS",AQ899&lt;&gt;"ACCEPTÉ")),1,0)</f>
        <v>0</v>
      </c>
      <c r="AV899" s="82" t="str">
        <f aca="false">IF(AU899=1,SUM(AU$7:AU899),"")</f>
        <v/>
      </c>
      <c r="AW899" s="82" t="str">
        <f aca="false">IF(E899="","",B899&amp;"|"&amp;E899)</f>
        <v>MFD-ISW → MFD-CPF|DJ°452</v>
      </c>
    </row>
    <row r="900" customFormat="false" ht="74.6" hidden="false" customHeight="false" outlineLevel="0" collapsed="false">
      <c r="A900" s="79" t="n">
        <f aca="false">IF(E900="","",ROW()-6)</f>
        <v>894</v>
      </c>
      <c r="B900" s="80" t="s">
        <v>110</v>
      </c>
      <c r="C900" s="81" t="s">
        <v>1022</v>
      </c>
      <c r="D900" s="81" t="n">
        <v>5</v>
      </c>
      <c r="E900" s="81" t="s">
        <v>1045</v>
      </c>
      <c r="F900" s="82" t="str">
        <f aca="false">IF(E900="","",IF(LEFT(E900,2)="DJ","DJ","JN"))</f>
        <v>JN</v>
      </c>
      <c r="G900" s="81"/>
      <c r="H900" s="81" t="s">
        <v>871</v>
      </c>
      <c r="I900" s="81" t="n">
        <v>9.53</v>
      </c>
      <c r="J900" s="81" t="s">
        <v>872</v>
      </c>
      <c r="K900" s="81" t="s">
        <v>879</v>
      </c>
      <c r="L900" s="81" t="n">
        <v>2091530</v>
      </c>
      <c r="M900" s="81" t="n">
        <v>15421111</v>
      </c>
      <c r="N900" s="81" t="n">
        <v>11.94</v>
      </c>
      <c r="O900" s="81" t="n">
        <v>2087620</v>
      </c>
      <c r="P900" s="81" t="n">
        <v>15421110</v>
      </c>
      <c r="Q900" s="81" t="n">
        <v>11.94</v>
      </c>
      <c r="R900" s="81" t="s">
        <v>935</v>
      </c>
      <c r="S900" s="81"/>
      <c r="T900" s="81"/>
      <c r="U900" s="83" t="n">
        <v>46287</v>
      </c>
      <c r="V900" s="83" t="n">
        <v>46287</v>
      </c>
      <c r="W900" s="81" t="s">
        <v>1016</v>
      </c>
      <c r="X900" s="81" t="s">
        <v>876</v>
      </c>
      <c r="Y900" s="83"/>
      <c r="Z900" s="81"/>
      <c r="AA900" s="81"/>
      <c r="AB900" s="81"/>
      <c r="AC900" s="81"/>
      <c r="AD900" s="81"/>
      <c r="AE900" s="83"/>
      <c r="AF900" s="81"/>
      <c r="AG900" s="81"/>
      <c r="AH900" s="81"/>
      <c r="AI900" s="81"/>
      <c r="AJ900" s="83"/>
      <c r="AK900" s="81"/>
      <c r="AL900" s="81"/>
      <c r="AM900" s="83"/>
      <c r="AN900" s="80"/>
      <c r="AO900" s="82" t="n">
        <f aca="false">IF(E900="","",(AA900&lt;&gt;"")+(AG900&lt;&gt;"")+(AL900&lt;&gt;""))</f>
        <v>0</v>
      </c>
      <c r="AP900" s="82" t="str">
        <f aca="false">IF(AL900&lt;&gt;"",AL900,IF(AG900&lt;&gt;"",AG900,IF(AA900&lt;&gt;"",AA900,"")))</f>
        <v/>
      </c>
      <c r="AQ900" s="84" t="str">
        <f aca="false">IF(E900="","",IF(U900="","À SOUDER",IF(X900="","VT EN ATTENTE",IF(X900="R","VT REJETÉ – À REPRENDRE",IF(AP900="","À RADIOGRAPHIER",IF(AP900="A","ACCEPTÉ",IF(AP900="NX","NX – RT À REFAIRE",IF(IF(AO900=1,AD900,IF(AO900=2,AI900,""))="A","RÉPARÉ – À RADIOGRAPHIER",IF(IF(AO900=1,AD900,IF(AO900=2,AI900,""))="R","VT REJETÉ – À REPRENDRE",IF(OR(AP900="CO",AP900="NT"),"COUPE – À RESOUDER","À RÉPARER"))))))))))</f>
        <v>À RADIOGRAPHIER</v>
      </c>
      <c r="AR900" s="82" t="n">
        <f aca="false">IF(AND(ISNUMBER(U900),OR(AQ900="À RADIOGRAPHIER",AQ900="RÉPARÉ – À RADIOGRAPHIER",AQ900="NX – RT À REFAIRE",AQ900="À RÉPARER",AQ900="COUPE – À RESOUDER",AQ900="VT REJETÉ – À REPRENDRE")),MAX(0,'PROGRAMME RT'!$C$4-U900),"")</f>
        <v>6</v>
      </c>
      <c r="AS900" s="82" t="n">
        <f aca="false">IF(AND(OR(AQ900="À RADIOGRAPHIER",AQ900="RÉPARÉ – À RADIOGRAPHIER",AQ900="NX – RT À REFAIRE"),OR('PROGRAMME RT'!$D$5="TOUTES",B900='PROGRAMME RT'!$D$5)),1,0)</f>
        <v>1</v>
      </c>
      <c r="AT900" s="82" t="n">
        <f aca="false">IF(AS900=1,SUM(AS$7:AS900),"")</f>
        <v>62</v>
      </c>
      <c r="AU900" s="82" t="n">
        <f aca="false">IF(AND(OR(AA900="R",AA900="NX",AA900="NT",AA900="CO"),OR('JOINTS DE RÉPARATION'!$D$5="TOUTES",B900='JOINTS DE RÉPARATION'!$D$5),OR('JOINTS DE RÉPARATION'!$L$4="TOUS",AQ900&lt;&gt;"ACCEPTÉ")),1,0)</f>
        <v>0</v>
      </c>
      <c r="AV900" s="82" t="str">
        <f aca="false">IF(AU900=1,SUM(AU$7:AU900),"")</f>
        <v/>
      </c>
      <c r="AW900" s="82" t="str">
        <f aca="false">IF(E900="","",B900&amp;"|"&amp;E900)</f>
        <v>MFD-ISW → MFD-CPF|JN°828</v>
      </c>
    </row>
    <row r="901" customFormat="false" ht="74.6" hidden="false" customHeight="false" outlineLevel="0" collapsed="false">
      <c r="A901" s="79" t="n">
        <f aca="false">IF(E901="","",ROW()-6)</f>
        <v>895</v>
      </c>
      <c r="B901" s="80" t="s">
        <v>110</v>
      </c>
      <c r="C901" s="81" t="s">
        <v>1022</v>
      </c>
      <c r="D901" s="81" t="n">
        <v>5</v>
      </c>
      <c r="E901" s="81" t="s">
        <v>1046</v>
      </c>
      <c r="F901" s="82" t="str">
        <f aca="false">IF(E901="","",IF(LEFT(E901,2)="DJ","DJ","JN"))</f>
        <v>DJ</v>
      </c>
      <c r="G901" s="81"/>
      <c r="H901" s="81" t="s">
        <v>871</v>
      </c>
      <c r="I901" s="81" t="n">
        <v>9.53</v>
      </c>
      <c r="J901" s="81" t="s">
        <v>872</v>
      </c>
      <c r="K901" s="81" t="s">
        <v>873</v>
      </c>
      <c r="L901" s="81" t="n">
        <v>2087620</v>
      </c>
      <c r="M901" s="81" t="n">
        <v>15421110</v>
      </c>
      <c r="N901" s="81" t="n">
        <v>11.94</v>
      </c>
      <c r="O901" s="81" t="n">
        <v>2095320</v>
      </c>
      <c r="P901" s="81" t="n">
        <v>15421111</v>
      </c>
      <c r="Q901" s="81" t="n">
        <v>11.94</v>
      </c>
      <c r="R901" s="81" t="s">
        <v>874</v>
      </c>
      <c r="S901" s="81"/>
      <c r="T901" s="81"/>
      <c r="U901" s="83" t="n">
        <v>46285</v>
      </c>
      <c r="V901" s="83" t="n">
        <v>46285</v>
      </c>
      <c r="W901" s="81" t="s">
        <v>1024</v>
      </c>
      <c r="X901" s="81" t="s">
        <v>876</v>
      </c>
      <c r="Y901" s="83" t="n">
        <v>46286</v>
      </c>
      <c r="Z901" s="81" t="s">
        <v>1025</v>
      </c>
      <c r="AA901" s="81" t="s">
        <v>876</v>
      </c>
      <c r="AB901" s="81"/>
      <c r="AC901" s="81"/>
      <c r="AD901" s="81"/>
      <c r="AE901" s="83"/>
      <c r="AF901" s="81"/>
      <c r="AG901" s="81"/>
      <c r="AH901" s="81"/>
      <c r="AI901" s="81"/>
      <c r="AJ901" s="83"/>
      <c r="AK901" s="81"/>
      <c r="AL901" s="81"/>
      <c r="AM901" s="83"/>
      <c r="AN901" s="80"/>
      <c r="AO901" s="82" t="n">
        <f aca="false">IF(E901="","",(AA901&lt;&gt;"")+(AG901&lt;&gt;"")+(AL901&lt;&gt;""))</f>
        <v>1</v>
      </c>
      <c r="AP901" s="82" t="str">
        <f aca="false">IF(AL901&lt;&gt;"",AL901,IF(AG901&lt;&gt;"",AG901,IF(AA901&lt;&gt;"",AA901,"")))</f>
        <v>A</v>
      </c>
      <c r="AQ901" s="84" t="str">
        <f aca="false">IF(E901="","",IF(U901="","À SOUDER",IF(X901="","VT EN ATTENTE",IF(X901="R","VT REJETÉ – À REPRENDRE",IF(AP901="","À RADIOGRAPHIER",IF(AP901="A","ACCEPTÉ",IF(AP901="NX","NX – RT À REFAIRE",IF(IF(AO901=1,AD901,IF(AO901=2,AI901,""))="A","RÉPARÉ – À RADIOGRAPHIER",IF(IF(AO901=1,AD901,IF(AO901=2,AI901,""))="R","VT REJETÉ – À REPRENDRE",IF(OR(AP901="CO",AP901="NT"),"COUPE – À RESOUDER","À RÉPARER"))))))))))</f>
        <v>ACCEPTÉ</v>
      </c>
      <c r="AR901" s="82" t="str">
        <f aca="false">IF(AND(ISNUMBER(U901),OR(AQ901="À RADIOGRAPHIER",AQ901="RÉPARÉ – À RADIOGRAPHIER",AQ901="NX – RT À REFAIRE",AQ901="À RÉPARER",AQ901="COUPE – À RESOUDER",AQ901="VT REJETÉ – À REPRENDRE")),MAX(0,'PROGRAMME RT'!$C$4-U901),"")</f>
        <v/>
      </c>
      <c r="AS901" s="82" t="n">
        <f aca="false">IF(AND(OR(AQ901="À RADIOGRAPHIER",AQ901="RÉPARÉ – À RADIOGRAPHIER",AQ901="NX – RT À REFAIRE"),OR('PROGRAMME RT'!$D$5="TOUTES",B901='PROGRAMME RT'!$D$5)),1,0)</f>
        <v>0</v>
      </c>
      <c r="AT901" s="82" t="str">
        <f aca="false">IF(AS901=1,SUM(AS$7:AS901),"")</f>
        <v/>
      </c>
      <c r="AU901" s="82" t="n">
        <f aca="false">IF(AND(OR(AA901="R",AA901="NX",AA901="NT",AA901="CO"),OR('JOINTS DE RÉPARATION'!$D$5="TOUTES",B901='JOINTS DE RÉPARATION'!$D$5),OR('JOINTS DE RÉPARATION'!$L$4="TOUS",AQ901&lt;&gt;"ACCEPTÉ")),1,0)</f>
        <v>0</v>
      </c>
      <c r="AV901" s="82" t="str">
        <f aca="false">IF(AU901=1,SUM(AU$7:AU901),"")</f>
        <v/>
      </c>
      <c r="AW901" s="82" t="str">
        <f aca="false">IF(E901="","",B901&amp;"|"&amp;E901)</f>
        <v>MFD-ISW → MFD-CPF|DJ°449</v>
      </c>
    </row>
    <row r="902" customFormat="false" ht="74.6" hidden="false" customHeight="false" outlineLevel="0" collapsed="false">
      <c r="A902" s="79" t="n">
        <f aca="false">IF(E902="","",ROW()-6)</f>
        <v>896</v>
      </c>
      <c r="B902" s="80" t="s">
        <v>110</v>
      </c>
      <c r="C902" s="81" t="s">
        <v>1022</v>
      </c>
      <c r="D902" s="81" t="n">
        <v>5</v>
      </c>
      <c r="E902" s="81" t="s">
        <v>1047</v>
      </c>
      <c r="F902" s="82" t="str">
        <f aca="false">IF(E902="","",IF(LEFT(E902,2)="DJ","DJ","JN"))</f>
        <v>JN</v>
      </c>
      <c r="G902" s="81"/>
      <c r="H902" s="81" t="s">
        <v>871</v>
      </c>
      <c r="I902" s="81" t="n">
        <v>9.53</v>
      </c>
      <c r="J902" s="81" t="s">
        <v>872</v>
      </c>
      <c r="K902" s="81" t="s">
        <v>879</v>
      </c>
      <c r="L902" s="81" t="n">
        <v>2095320</v>
      </c>
      <c r="M902" s="81" t="n">
        <v>15421111</v>
      </c>
      <c r="N902" s="81" t="n">
        <v>11.94</v>
      </c>
      <c r="O902" s="81" t="n">
        <v>2086330</v>
      </c>
      <c r="P902" s="81" t="n">
        <v>15421107</v>
      </c>
      <c r="Q902" s="81" t="n">
        <v>11.94</v>
      </c>
      <c r="R902" s="81" t="s">
        <v>935</v>
      </c>
      <c r="S902" s="81"/>
      <c r="T902" s="81"/>
      <c r="U902" s="83" t="n">
        <v>46287</v>
      </c>
      <c r="V902" s="83" t="n">
        <v>46287</v>
      </c>
      <c r="W902" s="81" t="s">
        <v>1016</v>
      </c>
      <c r="X902" s="81" t="s">
        <v>876</v>
      </c>
      <c r="Y902" s="83"/>
      <c r="Z902" s="81"/>
      <c r="AA902" s="81"/>
      <c r="AB902" s="81"/>
      <c r="AC902" s="81"/>
      <c r="AD902" s="81"/>
      <c r="AE902" s="83"/>
      <c r="AF902" s="81"/>
      <c r="AG902" s="81"/>
      <c r="AH902" s="81"/>
      <c r="AI902" s="81"/>
      <c r="AJ902" s="83"/>
      <c r="AK902" s="81"/>
      <c r="AL902" s="81"/>
      <c r="AM902" s="83"/>
      <c r="AN902" s="80"/>
      <c r="AO902" s="82" t="n">
        <f aca="false">IF(E902="","",(AA902&lt;&gt;"")+(AG902&lt;&gt;"")+(AL902&lt;&gt;""))</f>
        <v>0</v>
      </c>
      <c r="AP902" s="82" t="str">
        <f aca="false">IF(AL902&lt;&gt;"",AL902,IF(AG902&lt;&gt;"",AG902,IF(AA902&lt;&gt;"",AA902,"")))</f>
        <v/>
      </c>
      <c r="AQ902" s="84" t="str">
        <f aca="false">IF(E902="","",IF(U902="","À SOUDER",IF(X902="","VT EN ATTENTE",IF(X902="R","VT REJETÉ – À REPRENDRE",IF(AP902="","À RADIOGRAPHIER",IF(AP902="A","ACCEPTÉ",IF(AP902="NX","NX – RT À REFAIRE",IF(IF(AO902=1,AD902,IF(AO902=2,AI902,""))="A","RÉPARÉ – À RADIOGRAPHIER",IF(IF(AO902=1,AD902,IF(AO902=2,AI902,""))="R","VT REJETÉ – À REPRENDRE",IF(OR(AP902="CO",AP902="NT"),"COUPE – À RESOUDER","À RÉPARER"))))))))))</f>
        <v>À RADIOGRAPHIER</v>
      </c>
      <c r="AR902" s="82" t="n">
        <f aca="false">IF(AND(ISNUMBER(U902),OR(AQ902="À RADIOGRAPHIER",AQ902="RÉPARÉ – À RADIOGRAPHIER",AQ902="NX – RT À REFAIRE",AQ902="À RÉPARER",AQ902="COUPE – À RESOUDER",AQ902="VT REJETÉ – À REPRENDRE")),MAX(0,'PROGRAMME RT'!$C$4-U902),"")</f>
        <v>6</v>
      </c>
      <c r="AS902" s="82" t="n">
        <f aca="false">IF(AND(OR(AQ902="À RADIOGRAPHIER",AQ902="RÉPARÉ – À RADIOGRAPHIER",AQ902="NX – RT À REFAIRE"),OR('PROGRAMME RT'!$D$5="TOUTES",B902='PROGRAMME RT'!$D$5)),1,0)</f>
        <v>1</v>
      </c>
      <c r="AT902" s="82" t="n">
        <f aca="false">IF(AS902=1,SUM(AS$7:AS902),"")</f>
        <v>63</v>
      </c>
      <c r="AU902" s="82" t="n">
        <f aca="false">IF(AND(OR(AA902="R",AA902="NX",AA902="NT",AA902="CO"),OR('JOINTS DE RÉPARATION'!$D$5="TOUTES",B902='JOINTS DE RÉPARATION'!$D$5),OR('JOINTS DE RÉPARATION'!$L$4="TOUS",AQ902&lt;&gt;"ACCEPTÉ")),1,0)</f>
        <v>0</v>
      </c>
      <c r="AV902" s="82" t="str">
        <f aca="false">IF(AU902=1,SUM(AU$7:AU902),"")</f>
        <v/>
      </c>
      <c r="AW902" s="82" t="str">
        <f aca="false">IF(E902="","",B902&amp;"|"&amp;E902)</f>
        <v>MFD-ISW → MFD-CPF|JN°829</v>
      </c>
    </row>
    <row r="903" customFormat="false" ht="74.6" hidden="false" customHeight="false" outlineLevel="0" collapsed="false">
      <c r="A903" s="79" t="n">
        <f aca="false">IF(E903="","",ROW()-6)</f>
        <v>897</v>
      </c>
      <c r="B903" s="80" t="s">
        <v>110</v>
      </c>
      <c r="C903" s="81" t="s">
        <v>1022</v>
      </c>
      <c r="D903" s="81" t="n">
        <v>5</v>
      </c>
      <c r="E903" s="81" t="s">
        <v>1048</v>
      </c>
      <c r="F903" s="82" t="str">
        <f aca="false">IF(E903="","",IF(LEFT(E903,2)="DJ","DJ","JN"))</f>
        <v>DJ</v>
      </c>
      <c r="G903" s="81"/>
      <c r="H903" s="81" t="s">
        <v>871</v>
      </c>
      <c r="I903" s="81" t="n">
        <v>9.53</v>
      </c>
      <c r="J903" s="81" t="s">
        <v>872</v>
      </c>
      <c r="K903" s="81" t="s">
        <v>873</v>
      </c>
      <c r="L903" s="81" t="n">
        <v>2086330</v>
      </c>
      <c r="M903" s="81" t="n">
        <v>15421107</v>
      </c>
      <c r="N903" s="81" t="n">
        <v>11.94</v>
      </c>
      <c r="O903" s="81" t="n">
        <v>2082300</v>
      </c>
      <c r="P903" s="81" t="n">
        <v>15421105</v>
      </c>
      <c r="Q903" s="81" t="n">
        <v>11.94</v>
      </c>
      <c r="R903" s="81" t="s">
        <v>963</v>
      </c>
      <c r="S903" s="81"/>
      <c r="T903" s="81"/>
      <c r="U903" s="83" t="n">
        <v>46284</v>
      </c>
      <c r="V903" s="83" t="n">
        <v>46284</v>
      </c>
      <c r="W903" s="81" t="s">
        <v>956</v>
      </c>
      <c r="X903" s="81" t="s">
        <v>876</v>
      </c>
      <c r="Y903" s="83" t="n">
        <v>46285</v>
      </c>
      <c r="Z903" s="81" t="s">
        <v>957</v>
      </c>
      <c r="AA903" s="81" t="s">
        <v>876</v>
      </c>
      <c r="AB903" s="81"/>
      <c r="AC903" s="81"/>
      <c r="AD903" s="81"/>
      <c r="AE903" s="83"/>
      <c r="AF903" s="81"/>
      <c r="AG903" s="81"/>
      <c r="AH903" s="81"/>
      <c r="AI903" s="81"/>
      <c r="AJ903" s="83"/>
      <c r="AK903" s="81"/>
      <c r="AL903" s="81"/>
      <c r="AM903" s="83"/>
      <c r="AN903" s="80"/>
      <c r="AO903" s="82" t="n">
        <f aca="false">IF(E903="","",(AA903&lt;&gt;"")+(AG903&lt;&gt;"")+(AL903&lt;&gt;""))</f>
        <v>1</v>
      </c>
      <c r="AP903" s="82" t="str">
        <f aca="false">IF(AL903&lt;&gt;"",AL903,IF(AG903&lt;&gt;"",AG903,IF(AA903&lt;&gt;"",AA903,"")))</f>
        <v>A</v>
      </c>
      <c r="AQ903" s="84" t="str">
        <f aca="false">IF(E903="","",IF(U903="","À SOUDER",IF(X903="","VT EN ATTENTE",IF(X903="R","VT REJETÉ – À REPRENDRE",IF(AP903="","À RADIOGRAPHIER",IF(AP903="A","ACCEPTÉ",IF(AP903="NX","NX – RT À REFAIRE",IF(IF(AO903=1,AD903,IF(AO903=2,AI903,""))="A","RÉPARÉ – À RADIOGRAPHIER",IF(IF(AO903=1,AD903,IF(AO903=2,AI903,""))="R","VT REJETÉ – À REPRENDRE",IF(OR(AP903="CO",AP903="NT"),"COUPE – À RESOUDER","À RÉPARER"))))))))))</f>
        <v>ACCEPTÉ</v>
      </c>
      <c r="AR903" s="82" t="str">
        <f aca="false">IF(AND(ISNUMBER(U903),OR(AQ903="À RADIOGRAPHIER",AQ903="RÉPARÉ – À RADIOGRAPHIER",AQ903="NX – RT À REFAIRE",AQ903="À RÉPARER",AQ903="COUPE – À RESOUDER",AQ903="VT REJETÉ – À REPRENDRE")),MAX(0,'PROGRAMME RT'!$C$4-U903),"")</f>
        <v/>
      </c>
      <c r="AS903" s="82" t="n">
        <f aca="false">IF(AND(OR(AQ903="À RADIOGRAPHIER",AQ903="RÉPARÉ – À RADIOGRAPHIER",AQ903="NX – RT À REFAIRE"),OR('PROGRAMME RT'!$D$5="TOUTES",B903='PROGRAMME RT'!$D$5)),1,0)</f>
        <v>0</v>
      </c>
      <c r="AT903" s="82" t="str">
        <f aca="false">IF(AS903=1,SUM(AS$7:AS903),"")</f>
        <v/>
      </c>
      <c r="AU903" s="82" t="n">
        <f aca="false">IF(AND(OR(AA903="R",AA903="NX",AA903="NT",AA903="CO"),OR('JOINTS DE RÉPARATION'!$D$5="TOUTES",B903='JOINTS DE RÉPARATION'!$D$5),OR('JOINTS DE RÉPARATION'!$L$4="TOUS",AQ903&lt;&gt;"ACCEPTÉ")),1,0)</f>
        <v>0</v>
      </c>
      <c r="AV903" s="82" t="str">
        <f aca="false">IF(AU903=1,SUM(AU$7:AU903),"")</f>
        <v/>
      </c>
      <c r="AW903" s="82" t="str">
        <f aca="false">IF(E903="","",B903&amp;"|"&amp;E903)</f>
        <v>MFD-ISW → MFD-CPF|DJ°430</v>
      </c>
    </row>
    <row r="904" customFormat="false" ht="74.6" hidden="false" customHeight="false" outlineLevel="0" collapsed="false">
      <c r="A904" s="79" t="n">
        <f aca="false">IF(E904="","",ROW()-6)</f>
        <v>898</v>
      </c>
      <c r="B904" s="80" t="s">
        <v>110</v>
      </c>
      <c r="C904" s="81" t="s">
        <v>1022</v>
      </c>
      <c r="D904" s="81" t="n">
        <v>5</v>
      </c>
      <c r="E904" s="81" t="s">
        <v>1049</v>
      </c>
      <c r="F904" s="82" t="str">
        <f aca="false">IF(E904="","",IF(LEFT(E904,2)="DJ","DJ","JN"))</f>
        <v>JN</v>
      </c>
      <c r="G904" s="81"/>
      <c r="H904" s="81" t="s">
        <v>871</v>
      </c>
      <c r="I904" s="81" t="n">
        <v>9.53</v>
      </c>
      <c r="J904" s="81" t="s">
        <v>872</v>
      </c>
      <c r="K904" s="81" t="s">
        <v>879</v>
      </c>
      <c r="L904" s="81" t="n">
        <v>2082300</v>
      </c>
      <c r="M904" s="81" t="n">
        <v>15421105</v>
      </c>
      <c r="N904" s="81" t="n">
        <v>11.94</v>
      </c>
      <c r="O904" s="81" t="n">
        <v>2097970</v>
      </c>
      <c r="P904" s="81" t="n">
        <v>15421112</v>
      </c>
      <c r="Q904" s="81" t="n">
        <v>11.94</v>
      </c>
      <c r="R904" s="81" t="s">
        <v>935</v>
      </c>
      <c r="S904" s="81"/>
      <c r="T904" s="81"/>
      <c r="U904" s="83" t="n">
        <v>46287</v>
      </c>
      <c r="V904" s="83" t="n">
        <v>46287</v>
      </c>
      <c r="W904" s="81" t="s">
        <v>1016</v>
      </c>
      <c r="X904" s="81" t="s">
        <v>876</v>
      </c>
      <c r="Y904" s="83"/>
      <c r="Z904" s="81"/>
      <c r="AA904" s="81"/>
      <c r="AB904" s="81"/>
      <c r="AC904" s="81"/>
      <c r="AD904" s="81"/>
      <c r="AE904" s="83"/>
      <c r="AF904" s="81"/>
      <c r="AG904" s="81"/>
      <c r="AH904" s="81"/>
      <c r="AI904" s="81"/>
      <c r="AJ904" s="83"/>
      <c r="AK904" s="81"/>
      <c r="AL904" s="81"/>
      <c r="AM904" s="83"/>
      <c r="AN904" s="80"/>
      <c r="AO904" s="82" t="n">
        <f aca="false">IF(E904="","",(AA904&lt;&gt;"")+(AG904&lt;&gt;"")+(AL904&lt;&gt;""))</f>
        <v>0</v>
      </c>
      <c r="AP904" s="82" t="str">
        <f aca="false">IF(AL904&lt;&gt;"",AL904,IF(AG904&lt;&gt;"",AG904,IF(AA904&lt;&gt;"",AA904,"")))</f>
        <v/>
      </c>
      <c r="AQ904" s="84" t="str">
        <f aca="false">IF(E904="","",IF(U904="","À SOUDER",IF(X904="","VT EN ATTENTE",IF(X904="R","VT REJETÉ – À REPRENDRE",IF(AP904="","À RADIOGRAPHIER",IF(AP904="A","ACCEPTÉ",IF(AP904="NX","NX – RT À REFAIRE",IF(IF(AO904=1,AD904,IF(AO904=2,AI904,""))="A","RÉPARÉ – À RADIOGRAPHIER",IF(IF(AO904=1,AD904,IF(AO904=2,AI904,""))="R","VT REJETÉ – À REPRENDRE",IF(OR(AP904="CO",AP904="NT"),"COUPE – À RESOUDER","À RÉPARER"))))))))))</f>
        <v>À RADIOGRAPHIER</v>
      </c>
      <c r="AR904" s="82" t="n">
        <f aca="false">IF(AND(ISNUMBER(U904),OR(AQ904="À RADIOGRAPHIER",AQ904="RÉPARÉ – À RADIOGRAPHIER",AQ904="NX – RT À REFAIRE",AQ904="À RÉPARER",AQ904="COUPE – À RESOUDER",AQ904="VT REJETÉ – À REPRENDRE")),MAX(0,'PROGRAMME RT'!$C$4-U904),"")</f>
        <v>6</v>
      </c>
      <c r="AS904" s="82" t="n">
        <f aca="false">IF(AND(OR(AQ904="À RADIOGRAPHIER",AQ904="RÉPARÉ – À RADIOGRAPHIER",AQ904="NX – RT À REFAIRE"),OR('PROGRAMME RT'!$D$5="TOUTES",B904='PROGRAMME RT'!$D$5)),1,0)</f>
        <v>1</v>
      </c>
      <c r="AT904" s="82" t="n">
        <f aca="false">IF(AS904=1,SUM(AS$7:AS904),"")</f>
        <v>64</v>
      </c>
      <c r="AU904" s="82" t="n">
        <f aca="false">IF(AND(OR(AA904="R",AA904="NX",AA904="NT",AA904="CO"),OR('JOINTS DE RÉPARATION'!$D$5="TOUTES",B904='JOINTS DE RÉPARATION'!$D$5),OR('JOINTS DE RÉPARATION'!$L$4="TOUS",AQ904&lt;&gt;"ACCEPTÉ")),1,0)</f>
        <v>0</v>
      </c>
      <c r="AV904" s="82" t="str">
        <f aca="false">IF(AU904=1,SUM(AU$7:AU904),"")</f>
        <v/>
      </c>
      <c r="AW904" s="82" t="str">
        <f aca="false">IF(E904="","",B904&amp;"|"&amp;E904)</f>
        <v>MFD-ISW → MFD-CPF|JN°830</v>
      </c>
    </row>
    <row r="905" customFormat="false" ht="74.6" hidden="false" customHeight="false" outlineLevel="0" collapsed="false">
      <c r="A905" s="79" t="n">
        <f aca="false">IF(E905="","",ROW()-6)</f>
        <v>899</v>
      </c>
      <c r="B905" s="80" t="s">
        <v>110</v>
      </c>
      <c r="C905" s="81" t="s">
        <v>1022</v>
      </c>
      <c r="D905" s="81" t="n">
        <v>5</v>
      </c>
      <c r="E905" s="81" t="s">
        <v>1050</v>
      </c>
      <c r="F905" s="82" t="str">
        <f aca="false">IF(E905="","",IF(LEFT(E905,2)="DJ","DJ","JN"))</f>
        <v>DJ</v>
      </c>
      <c r="G905" s="81"/>
      <c r="H905" s="81" t="s">
        <v>871</v>
      </c>
      <c r="I905" s="81" t="n">
        <v>9.53</v>
      </c>
      <c r="J905" s="81" t="s">
        <v>872</v>
      </c>
      <c r="K905" s="81" t="s">
        <v>873</v>
      </c>
      <c r="L905" s="81" t="n">
        <v>2097970</v>
      </c>
      <c r="M905" s="81" t="n">
        <v>15421112</v>
      </c>
      <c r="N905" s="81" t="n">
        <v>11.94</v>
      </c>
      <c r="O905" s="81" t="n">
        <v>2085950</v>
      </c>
      <c r="P905" s="81" t="n">
        <v>15421107</v>
      </c>
      <c r="Q905" s="81" t="n">
        <v>11.94</v>
      </c>
      <c r="R905" s="81" t="s">
        <v>874</v>
      </c>
      <c r="S905" s="81"/>
      <c r="T905" s="81"/>
      <c r="U905" s="83" t="n">
        <v>46285</v>
      </c>
      <c r="V905" s="83" t="n">
        <v>46285</v>
      </c>
      <c r="W905" s="81" t="s">
        <v>1028</v>
      </c>
      <c r="X905" s="81" t="s">
        <v>876</v>
      </c>
      <c r="Y905" s="83" t="n">
        <v>46286</v>
      </c>
      <c r="Z905" s="81" t="s">
        <v>1025</v>
      </c>
      <c r="AA905" s="81" t="s">
        <v>876</v>
      </c>
      <c r="AB905" s="81"/>
      <c r="AC905" s="81"/>
      <c r="AD905" s="81"/>
      <c r="AE905" s="83"/>
      <c r="AF905" s="81"/>
      <c r="AG905" s="81"/>
      <c r="AH905" s="81"/>
      <c r="AI905" s="81"/>
      <c r="AJ905" s="83"/>
      <c r="AK905" s="81"/>
      <c r="AL905" s="81"/>
      <c r="AM905" s="83"/>
      <c r="AN905" s="80"/>
      <c r="AO905" s="82" t="n">
        <f aca="false">IF(E905="","",(AA905&lt;&gt;"")+(AG905&lt;&gt;"")+(AL905&lt;&gt;""))</f>
        <v>1</v>
      </c>
      <c r="AP905" s="82" t="str">
        <f aca="false">IF(AL905&lt;&gt;"",AL905,IF(AG905&lt;&gt;"",AG905,IF(AA905&lt;&gt;"",AA905,"")))</f>
        <v>A</v>
      </c>
      <c r="AQ905" s="84" t="str">
        <f aca="false">IF(E905="","",IF(U905="","À SOUDER",IF(X905="","VT EN ATTENTE",IF(X905="R","VT REJETÉ – À REPRENDRE",IF(AP905="","À RADIOGRAPHIER",IF(AP905="A","ACCEPTÉ",IF(AP905="NX","NX – RT À REFAIRE",IF(IF(AO905=1,AD905,IF(AO905=2,AI905,""))="A","RÉPARÉ – À RADIOGRAPHIER",IF(IF(AO905=1,AD905,IF(AO905=2,AI905,""))="R","VT REJETÉ – À REPRENDRE",IF(OR(AP905="CO",AP905="NT"),"COUPE – À RESOUDER","À RÉPARER"))))))))))</f>
        <v>ACCEPTÉ</v>
      </c>
      <c r="AR905" s="82" t="str">
        <f aca="false">IF(AND(ISNUMBER(U905),OR(AQ905="À RADIOGRAPHIER",AQ905="RÉPARÉ – À RADIOGRAPHIER",AQ905="NX – RT À REFAIRE",AQ905="À RÉPARER",AQ905="COUPE – À RESOUDER",AQ905="VT REJETÉ – À REPRENDRE")),MAX(0,'PROGRAMME RT'!$C$4-U905),"")</f>
        <v/>
      </c>
      <c r="AS905" s="82" t="n">
        <f aca="false">IF(AND(OR(AQ905="À RADIOGRAPHIER",AQ905="RÉPARÉ – À RADIOGRAPHIER",AQ905="NX – RT À REFAIRE"),OR('PROGRAMME RT'!$D$5="TOUTES",B905='PROGRAMME RT'!$D$5)),1,0)</f>
        <v>0</v>
      </c>
      <c r="AT905" s="82" t="str">
        <f aca="false">IF(AS905=1,SUM(AS$7:AS905),"")</f>
        <v/>
      </c>
      <c r="AU905" s="82" t="n">
        <f aca="false">IF(AND(OR(AA905="R",AA905="NX",AA905="NT",AA905="CO"),OR('JOINTS DE RÉPARATION'!$D$5="TOUTES",B905='JOINTS DE RÉPARATION'!$D$5),OR('JOINTS DE RÉPARATION'!$L$4="TOUS",AQ905&lt;&gt;"ACCEPTÉ")),1,0)</f>
        <v>0</v>
      </c>
      <c r="AV905" s="82" t="str">
        <f aca="false">IF(AU905=1,SUM(AU$7:AU905),"")</f>
        <v/>
      </c>
      <c r="AW905" s="82" t="str">
        <f aca="false">IF(E905="","",B905&amp;"|"&amp;E905)</f>
        <v>MFD-ISW → MFD-CPF|DJ°456</v>
      </c>
    </row>
    <row r="906" customFormat="false" ht="74.6" hidden="false" customHeight="false" outlineLevel="0" collapsed="false">
      <c r="A906" s="79" t="n">
        <f aca="false">IF(E906="","",ROW()-6)</f>
        <v>900</v>
      </c>
      <c r="B906" s="80" t="s">
        <v>110</v>
      </c>
      <c r="C906" s="81" t="s">
        <v>1022</v>
      </c>
      <c r="D906" s="81" t="n">
        <v>5</v>
      </c>
      <c r="E906" s="81" t="s">
        <v>1051</v>
      </c>
      <c r="F906" s="82" t="str">
        <f aca="false">IF(E906="","",IF(LEFT(E906,2)="DJ","DJ","JN"))</f>
        <v>JN</v>
      </c>
      <c r="G906" s="81"/>
      <c r="H906" s="81" t="s">
        <v>871</v>
      </c>
      <c r="I906" s="81" t="n">
        <v>9.53</v>
      </c>
      <c r="J906" s="81" t="s">
        <v>872</v>
      </c>
      <c r="K906" s="81" t="s">
        <v>879</v>
      </c>
      <c r="L906" s="81" t="n">
        <v>2085950</v>
      </c>
      <c r="M906" s="81" t="n">
        <v>15421107</v>
      </c>
      <c r="N906" s="81" t="n">
        <v>11.94</v>
      </c>
      <c r="O906" s="81" t="n">
        <v>2085330</v>
      </c>
      <c r="P906" s="81" t="n">
        <v>15421106</v>
      </c>
      <c r="Q906" s="81" t="n">
        <v>11.94</v>
      </c>
      <c r="R906" s="81" t="s">
        <v>935</v>
      </c>
      <c r="S906" s="81"/>
      <c r="T906" s="81"/>
      <c r="U906" s="83" t="n">
        <v>46287</v>
      </c>
      <c r="V906" s="83" t="n">
        <v>46287</v>
      </c>
      <c r="W906" s="81" t="s">
        <v>1016</v>
      </c>
      <c r="X906" s="81" t="s">
        <v>876</v>
      </c>
      <c r="Y906" s="83"/>
      <c r="Z906" s="81"/>
      <c r="AA906" s="81"/>
      <c r="AB906" s="81"/>
      <c r="AC906" s="81"/>
      <c r="AD906" s="81"/>
      <c r="AE906" s="83"/>
      <c r="AF906" s="81"/>
      <c r="AG906" s="81"/>
      <c r="AH906" s="81"/>
      <c r="AI906" s="81"/>
      <c r="AJ906" s="83"/>
      <c r="AK906" s="81"/>
      <c r="AL906" s="81"/>
      <c r="AM906" s="83"/>
      <c r="AN906" s="80"/>
      <c r="AO906" s="82" t="n">
        <f aca="false">IF(E906="","",(AA906&lt;&gt;"")+(AG906&lt;&gt;"")+(AL906&lt;&gt;""))</f>
        <v>0</v>
      </c>
      <c r="AP906" s="82" t="str">
        <f aca="false">IF(AL906&lt;&gt;"",AL906,IF(AG906&lt;&gt;"",AG906,IF(AA906&lt;&gt;"",AA906,"")))</f>
        <v/>
      </c>
      <c r="AQ906" s="84" t="str">
        <f aca="false">IF(E906="","",IF(U906="","À SOUDER",IF(X906="","VT EN ATTENTE",IF(X906="R","VT REJETÉ – À REPRENDRE",IF(AP906="","À RADIOGRAPHIER",IF(AP906="A","ACCEPTÉ",IF(AP906="NX","NX – RT À REFAIRE",IF(IF(AO906=1,AD906,IF(AO906=2,AI906,""))="A","RÉPARÉ – À RADIOGRAPHIER",IF(IF(AO906=1,AD906,IF(AO906=2,AI906,""))="R","VT REJETÉ – À REPRENDRE",IF(OR(AP906="CO",AP906="NT"),"COUPE – À RESOUDER","À RÉPARER"))))))))))</f>
        <v>À RADIOGRAPHIER</v>
      </c>
      <c r="AR906" s="82" t="n">
        <f aca="false">IF(AND(ISNUMBER(U906),OR(AQ906="À RADIOGRAPHIER",AQ906="RÉPARÉ – À RADIOGRAPHIER",AQ906="NX – RT À REFAIRE",AQ906="À RÉPARER",AQ906="COUPE – À RESOUDER",AQ906="VT REJETÉ – À REPRENDRE")),MAX(0,'PROGRAMME RT'!$C$4-U906),"")</f>
        <v>6</v>
      </c>
      <c r="AS906" s="82" t="n">
        <f aca="false">IF(AND(OR(AQ906="À RADIOGRAPHIER",AQ906="RÉPARÉ – À RADIOGRAPHIER",AQ906="NX – RT À REFAIRE"),OR('PROGRAMME RT'!$D$5="TOUTES",B906='PROGRAMME RT'!$D$5)),1,0)</f>
        <v>1</v>
      </c>
      <c r="AT906" s="82" t="n">
        <f aca="false">IF(AS906=1,SUM(AS$7:AS906),"")</f>
        <v>65</v>
      </c>
      <c r="AU906" s="82" t="n">
        <f aca="false">IF(AND(OR(AA906="R",AA906="NX",AA906="NT",AA906="CO"),OR('JOINTS DE RÉPARATION'!$D$5="TOUTES",B906='JOINTS DE RÉPARATION'!$D$5),OR('JOINTS DE RÉPARATION'!$L$4="TOUS",AQ906&lt;&gt;"ACCEPTÉ")),1,0)</f>
        <v>0</v>
      </c>
      <c r="AV906" s="82" t="str">
        <f aca="false">IF(AU906=1,SUM(AU$7:AU906),"")</f>
        <v/>
      </c>
      <c r="AW906" s="82" t="str">
        <f aca="false">IF(E906="","",B906&amp;"|"&amp;E906)</f>
        <v>MFD-ISW → MFD-CPF|JN°831</v>
      </c>
    </row>
    <row r="907" customFormat="false" ht="74.6" hidden="false" customHeight="false" outlineLevel="0" collapsed="false">
      <c r="A907" s="79" t="n">
        <f aca="false">IF(E907="","",ROW()-6)</f>
        <v>901</v>
      </c>
      <c r="B907" s="80" t="s">
        <v>110</v>
      </c>
      <c r="C907" s="81" t="s">
        <v>1022</v>
      </c>
      <c r="D907" s="81" t="n">
        <v>5</v>
      </c>
      <c r="E907" s="81" t="s">
        <v>1052</v>
      </c>
      <c r="F907" s="82" t="str">
        <f aca="false">IF(E907="","",IF(LEFT(E907,2)="DJ","DJ","JN"))</f>
        <v>DJ</v>
      </c>
      <c r="G907" s="81"/>
      <c r="H907" s="81" t="s">
        <v>871</v>
      </c>
      <c r="I907" s="81" t="n">
        <v>9.53</v>
      </c>
      <c r="J907" s="81" t="s">
        <v>872</v>
      </c>
      <c r="K907" s="81" t="s">
        <v>873</v>
      </c>
      <c r="L907" s="81" t="n">
        <v>2085330</v>
      </c>
      <c r="M907" s="81" t="n">
        <v>15421106</v>
      </c>
      <c r="N907" s="81" t="n">
        <v>11.94</v>
      </c>
      <c r="O907" s="81" t="n">
        <v>2090030</v>
      </c>
      <c r="P907" s="81" t="n">
        <v>15421109</v>
      </c>
      <c r="Q907" s="81" t="n">
        <v>11.94</v>
      </c>
      <c r="R907" s="81" t="s">
        <v>874</v>
      </c>
      <c r="S907" s="81"/>
      <c r="T907" s="81"/>
      <c r="U907" s="83" t="n">
        <v>46285</v>
      </c>
      <c r="V907" s="83" t="n">
        <v>46285</v>
      </c>
      <c r="W907" s="81" t="s">
        <v>1028</v>
      </c>
      <c r="X907" s="81" t="s">
        <v>876</v>
      </c>
      <c r="Y907" s="83" t="n">
        <v>46286</v>
      </c>
      <c r="Z907" s="81" t="s">
        <v>1025</v>
      </c>
      <c r="AA907" s="81" t="s">
        <v>876</v>
      </c>
      <c r="AB907" s="81"/>
      <c r="AC907" s="81"/>
      <c r="AD907" s="81"/>
      <c r="AE907" s="83"/>
      <c r="AF907" s="81"/>
      <c r="AG907" s="81"/>
      <c r="AH907" s="81"/>
      <c r="AI907" s="81"/>
      <c r="AJ907" s="83"/>
      <c r="AK907" s="81"/>
      <c r="AL907" s="81"/>
      <c r="AM907" s="83"/>
      <c r="AN907" s="80"/>
      <c r="AO907" s="82" t="n">
        <f aca="false">IF(E907="","",(AA907&lt;&gt;"")+(AG907&lt;&gt;"")+(AL907&lt;&gt;""))</f>
        <v>1</v>
      </c>
      <c r="AP907" s="82" t="str">
        <f aca="false">IF(AL907&lt;&gt;"",AL907,IF(AG907&lt;&gt;"",AG907,IF(AA907&lt;&gt;"",AA907,"")))</f>
        <v>A</v>
      </c>
      <c r="AQ907" s="84" t="str">
        <f aca="false">IF(E907="","",IF(U907="","À SOUDER",IF(X907="","VT EN ATTENTE",IF(X907="R","VT REJETÉ – À REPRENDRE",IF(AP907="","À RADIOGRAPHIER",IF(AP907="A","ACCEPTÉ",IF(AP907="NX","NX – RT À REFAIRE",IF(IF(AO907=1,AD907,IF(AO907=2,AI907,""))="A","RÉPARÉ – À RADIOGRAPHIER",IF(IF(AO907=1,AD907,IF(AO907=2,AI907,""))="R","VT REJETÉ – À REPRENDRE",IF(OR(AP907="CO",AP907="NT"),"COUPE – À RESOUDER","À RÉPARER"))))))))))</f>
        <v>ACCEPTÉ</v>
      </c>
      <c r="AR907" s="82" t="str">
        <f aca="false">IF(AND(ISNUMBER(U907),OR(AQ907="À RADIOGRAPHIER",AQ907="RÉPARÉ – À RADIOGRAPHIER",AQ907="NX – RT À REFAIRE",AQ907="À RÉPARER",AQ907="COUPE – À RESOUDER",AQ907="VT REJETÉ – À REPRENDRE")),MAX(0,'PROGRAMME RT'!$C$4-U907),"")</f>
        <v/>
      </c>
      <c r="AS907" s="82" t="n">
        <f aca="false">IF(AND(OR(AQ907="À RADIOGRAPHIER",AQ907="RÉPARÉ – À RADIOGRAPHIER",AQ907="NX – RT À REFAIRE"),OR('PROGRAMME RT'!$D$5="TOUTES",B907='PROGRAMME RT'!$D$5)),1,0)</f>
        <v>0</v>
      </c>
      <c r="AT907" s="82" t="str">
        <f aca="false">IF(AS907=1,SUM(AS$7:AS907),"")</f>
        <v/>
      </c>
      <c r="AU907" s="82" t="n">
        <f aca="false">IF(AND(OR(AA907="R",AA907="NX",AA907="NT",AA907="CO"),OR('JOINTS DE RÉPARATION'!$D$5="TOUTES",B907='JOINTS DE RÉPARATION'!$D$5),OR('JOINTS DE RÉPARATION'!$L$4="TOUS",AQ907&lt;&gt;"ACCEPTÉ")),1,0)</f>
        <v>0</v>
      </c>
      <c r="AV907" s="82" t="str">
        <f aca="false">IF(AU907=1,SUM(AU$7:AU907),"")</f>
        <v/>
      </c>
      <c r="AW907" s="82" t="str">
        <f aca="false">IF(E907="","",B907&amp;"|"&amp;E907)</f>
        <v>MFD-ISW → MFD-CPF|DJ°459</v>
      </c>
    </row>
    <row r="908" customFormat="false" ht="74.6" hidden="false" customHeight="false" outlineLevel="0" collapsed="false">
      <c r="A908" s="79" t="n">
        <f aca="false">IF(E908="","",ROW()-6)</f>
        <v>902</v>
      </c>
      <c r="B908" s="80" t="s">
        <v>110</v>
      </c>
      <c r="C908" s="81" t="s">
        <v>926</v>
      </c>
      <c r="D908" s="81"/>
      <c r="E908" s="81" t="s">
        <v>1053</v>
      </c>
      <c r="F908" s="82" t="str">
        <f aca="false">IF(E908="","",IF(LEFT(E908,2)="DJ","DJ","JN"))</f>
        <v>JN</v>
      </c>
      <c r="G908" s="81"/>
      <c r="H908" s="81"/>
      <c r="I908" s="81"/>
      <c r="J908" s="81"/>
      <c r="K908" s="81"/>
      <c r="L908" s="81"/>
      <c r="M908" s="81"/>
      <c r="N908" s="81"/>
      <c r="O908" s="81"/>
      <c r="P908" s="81"/>
      <c r="Q908" s="81"/>
      <c r="R908" s="81"/>
      <c r="S908" s="81"/>
      <c r="T908" s="81"/>
      <c r="U908" s="83"/>
      <c r="V908" s="83"/>
      <c r="W908" s="81"/>
      <c r="X908" s="81"/>
      <c r="Y908" s="83"/>
      <c r="Z908" s="81"/>
      <c r="AA908" s="81"/>
      <c r="AB908" s="81"/>
      <c r="AC908" s="81"/>
      <c r="AD908" s="81"/>
      <c r="AE908" s="83"/>
      <c r="AF908" s="81"/>
      <c r="AG908" s="81"/>
      <c r="AH908" s="81"/>
      <c r="AI908" s="81"/>
      <c r="AJ908" s="83"/>
      <c r="AK908" s="81"/>
      <c r="AL908" s="81"/>
      <c r="AM908" s="83"/>
      <c r="AN908" s="80"/>
      <c r="AO908" s="82" t="n">
        <f aca="false">IF(E908="","",(AA908&lt;&gt;"")+(AG908&lt;&gt;"")+(AL908&lt;&gt;""))</f>
        <v>0</v>
      </c>
      <c r="AP908" s="82" t="str">
        <f aca="false">IF(AL908&lt;&gt;"",AL908,IF(AG908&lt;&gt;"",AG908,IF(AA908&lt;&gt;"",AA908,"")))</f>
        <v/>
      </c>
      <c r="AQ908" s="84" t="str">
        <f aca="false">IF(E908="","",IF(U908="","À SOUDER",IF(X908="","VT EN ATTENTE",IF(X908="R","VT REJETÉ – À REPRENDRE",IF(AP908="","À RADIOGRAPHIER",IF(AP908="A","ACCEPTÉ",IF(AP908="NX","NX – RT À REFAIRE",IF(IF(AO908=1,AD908,IF(AO908=2,AI908,""))="A","RÉPARÉ – À RADIOGRAPHIER",IF(IF(AO908=1,AD908,IF(AO908=2,AI908,""))="R","VT REJETÉ – À REPRENDRE",IF(OR(AP908="CO",AP908="NT"),"COUPE – À RESOUDER","À RÉPARER"))))))))))</f>
        <v>À SOUDER</v>
      </c>
      <c r="AR908" s="82" t="str">
        <f aca="false">IF(AND(ISNUMBER(U908),OR(AQ908="À RADIOGRAPHIER",AQ908="RÉPARÉ – À RADIOGRAPHIER",AQ908="NX – RT À REFAIRE",AQ908="À RÉPARER",AQ908="COUPE – À RESOUDER",AQ908="VT REJETÉ – À REPRENDRE")),MAX(0,'PROGRAMME RT'!$C$4-U908),"")</f>
        <v/>
      </c>
      <c r="AS908" s="82" t="n">
        <f aca="false">IF(AND(OR(AQ908="À RADIOGRAPHIER",AQ908="RÉPARÉ – À RADIOGRAPHIER",AQ908="NX – RT À REFAIRE"),OR('PROGRAMME RT'!$D$5="TOUTES",B908='PROGRAMME RT'!$D$5)),1,0)</f>
        <v>0</v>
      </c>
      <c r="AT908" s="82" t="str">
        <f aca="false">IF(AS908=1,SUM(AS$7:AS908),"")</f>
        <v/>
      </c>
      <c r="AU908" s="82" t="n">
        <f aca="false">IF(AND(OR(AA908="R",AA908="NX",AA908="NT",AA908="CO"),OR('JOINTS DE RÉPARATION'!$D$5="TOUTES",B908='JOINTS DE RÉPARATION'!$D$5),OR('JOINTS DE RÉPARATION'!$L$4="TOUS",AQ908&lt;&gt;"ACCEPTÉ")),1,0)</f>
        <v>0</v>
      </c>
      <c r="AV908" s="82" t="str">
        <f aca="false">IF(AU908=1,SUM(AU$7:AU908),"")</f>
        <v/>
      </c>
      <c r="AW908" s="82" t="str">
        <f aca="false">IF(E908="","",B908&amp;"|"&amp;E908)</f>
        <v>MFD-ISW → MFD-CPF|JN°832</v>
      </c>
    </row>
    <row r="909" customFormat="false" ht="74.6" hidden="false" customHeight="false" outlineLevel="0" collapsed="false">
      <c r="A909" s="79" t="n">
        <f aca="false">IF(E909="","",ROW()-6)</f>
        <v>903</v>
      </c>
      <c r="B909" s="80" t="s">
        <v>110</v>
      </c>
      <c r="C909" s="81" t="s">
        <v>1054</v>
      </c>
      <c r="D909" s="81" t="n">
        <v>6</v>
      </c>
      <c r="E909" s="81" t="s">
        <v>1055</v>
      </c>
      <c r="F909" s="82" t="str">
        <f aca="false">IF(E909="","",IF(LEFT(E909,2)="DJ","DJ","JN"))</f>
        <v>DJ</v>
      </c>
      <c r="G909" s="81"/>
      <c r="H909" s="81" t="s">
        <v>871</v>
      </c>
      <c r="I909" s="81" t="n">
        <v>9.53</v>
      </c>
      <c r="J909" s="81" t="s">
        <v>872</v>
      </c>
      <c r="K909" s="81" t="s">
        <v>873</v>
      </c>
      <c r="L909" s="81" t="n">
        <v>2085260</v>
      </c>
      <c r="M909" s="81" t="n">
        <v>15421106</v>
      </c>
      <c r="N909" s="81" t="n">
        <v>11.94</v>
      </c>
      <c r="O909" s="81" t="n">
        <v>2095810</v>
      </c>
      <c r="P909" s="81" t="n">
        <v>15421111</v>
      </c>
      <c r="Q909" s="81" t="n">
        <v>11.94</v>
      </c>
      <c r="R909" s="81" t="s">
        <v>963</v>
      </c>
      <c r="S909" s="81"/>
      <c r="T909" s="81"/>
      <c r="U909" s="83" t="n">
        <v>46285</v>
      </c>
      <c r="V909" s="83" t="n">
        <v>46285</v>
      </c>
      <c r="W909" s="81" t="s">
        <v>1028</v>
      </c>
      <c r="X909" s="81" t="s">
        <v>876</v>
      </c>
      <c r="Y909" s="83" t="n">
        <v>46286</v>
      </c>
      <c r="Z909" s="81" t="s">
        <v>1025</v>
      </c>
      <c r="AA909" s="81" t="s">
        <v>876</v>
      </c>
      <c r="AB909" s="81"/>
      <c r="AC909" s="81"/>
      <c r="AD909" s="81"/>
      <c r="AE909" s="83"/>
      <c r="AF909" s="81"/>
      <c r="AG909" s="81"/>
      <c r="AH909" s="81"/>
      <c r="AI909" s="81"/>
      <c r="AJ909" s="83"/>
      <c r="AK909" s="81"/>
      <c r="AL909" s="81"/>
      <c r="AM909" s="83"/>
      <c r="AN909" s="80"/>
      <c r="AO909" s="82" t="n">
        <f aca="false">IF(E909="","",(AA909&lt;&gt;"")+(AG909&lt;&gt;"")+(AL909&lt;&gt;""))</f>
        <v>1</v>
      </c>
      <c r="AP909" s="82" t="str">
        <f aca="false">IF(AL909&lt;&gt;"",AL909,IF(AG909&lt;&gt;"",AG909,IF(AA909&lt;&gt;"",AA909,"")))</f>
        <v>A</v>
      </c>
      <c r="AQ909" s="84" t="str">
        <f aca="false">IF(E909="","",IF(U909="","À SOUDER",IF(X909="","VT EN ATTENTE",IF(X909="R","VT REJETÉ – À REPRENDRE",IF(AP909="","À RADIOGRAPHIER",IF(AP909="A","ACCEPTÉ",IF(AP909="NX","NX – RT À REFAIRE",IF(IF(AO909=1,AD909,IF(AO909=2,AI909,""))="A","RÉPARÉ – À RADIOGRAPHIER",IF(IF(AO909=1,AD909,IF(AO909=2,AI909,""))="R","VT REJETÉ – À REPRENDRE",IF(OR(AP909="CO",AP909="NT"),"COUPE – À RESOUDER","À RÉPARER"))))))))))</f>
        <v>ACCEPTÉ</v>
      </c>
      <c r="AR909" s="82" t="str">
        <f aca="false">IF(AND(ISNUMBER(U909),OR(AQ909="À RADIOGRAPHIER",AQ909="RÉPARÉ – À RADIOGRAPHIER",AQ909="NX – RT À REFAIRE",AQ909="À RÉPARER",AQ909="COUPE – À RESOUDER",AQ909="VT REJETÉ – À REPRENDRE")),MAX(0,'PROGRAMME RT'!$C$4-U909),"")</f>
        <v/>
      </c>
      <c r="AS909" s="82" t="n">
        <f aca="false">IF(AND(OR(AQ909="À RADIOGRAPHIER",AQ909="RÉPARÉ – À RADIOGRAPHIER",AQ909="NX – RT À REFAIRE"),OR('PROGRAMME RT'!$D$5="TOUTES",B909='PROGRAMME RT'!$D$5)),1,0)</f>
        <v>0</v>
      </c>
      <c r="AT909" s="82" t="str">
        <f aca="false">IF(AS909=1,SUM(AS$7:AS909),"")</f>
        <v/>
      </c>
      <c r="AU909" s="82" t="n">
        <f aca="false">IF(AND(OR(AA909="R",AA909="NX",AA909="NT",AA909="CO"),OR('JOINTS DE RÉPARATION'!$D$5="TOUTES",B909='JOINTS DE RÉPARATION'!$D$5),OR('JOINTS DE RÉPARATION'!$L$4="TOUS",AQ909&lt;&gt;"ACCEPTÉ")),1,0)</f>
        <v>0</v>
      </c>
      <c r="AV909" s="82" t="str">
        <f aca="false">IF(AU909=1,SUM(AU$7:AU909),"")</f>
        <v/>
      </c>
      <c r="AW909" s="82" t="str">
        <f aca="false">IF(E909="","",B909&amp;"|"&amp;E909)</f>
        <v>MFD-ISW → MFD-CPF|DJ°458</v>
      </c>
    </row>
    <row r="910" customFormat="false" ht="74.6" hidden="false" customHeight="false" outlineLevel="0" collapsed="false">
      <c r="A910" s="79" t="n">
        <f aca="false">IF(E910="","",ROW()-6)</f>
        <v>904</v>
      </c>
      <c r="B910" s="80" t="s">
        <v>110</v>
      </c>
      <c r="C910" s="81" t="s">
        <v>1054</v>
      </c>
      <c r="D910" s="81" t="n">
        <v>6</v>
      </c>
      <c r="E910" s="81" t="s">
        <v>1056</v>
      </c>
      <c r="F910" s="82" t="str">
        <f aca="false">IF(E910="","",IF(LEFT(E910,2)="DJ","DJ","JN"))</f>
        <v>JN</v>
      </c>
      <c r="G910" s="81"/>
      <c r="H910" s="81" t="s">
        <v>871</v>
      </c>
      <c r="I910" s="81" t="n">
        <v>9.53</v>
      </c>
      <c r="J910" s="81" t="s">
        <v>872</v>
      </c>
      <c r="K910" s="81" t="s">
        <v>879</v>
      </c>
      <c r="L910" s="81" t="n">
        <v>2095810</v>
      </c>
      <c r="M910" s="81" t="n">
        <v>15421111</v>
      </c>
      <c r="N910" s="81" t="n">
        <v>11.94</v>
      </c>
      <c r="O910" s="81" t="n">
        <v>2083220</v>
      </c>
      <c r="P910" s="81" t="n">
        <v>15421105</v>
      </c>
      <c r="Q910" s="81" t="n">
        <v>11.94</v>
      </c>
      <c r="R910" s="81" t="s">
        <v>935</v>
      </c>
      <c r="S910" s="81"/>
      <c r="T910" s="81"/>
      <c r="U910" s="83" t="n">
        <v>46287</v>
      </c>
      <c r="V910" s="83" t="n">
        <v>46287</v>
      </c>
      <c r="W910" s="81" t="s">
        <v>1016</v>
      </c>
      <c r="X910" s="81" t="s">
        <v>876</v>
      </c>
      <c r="Y910" s="83" t="n">
        <v>46292</v>
      </c>
      <c r="Z910" s="81" t="s">
        <v>1057</v>
      </c>
      <c r="AA910" s="81" t="s">
        <v>876</v>
      </c>
      <c r="AB910" s="81"/>
      <c r="AC910" s="81"/>
      <c r="AD910" s="81"/>
      <c r="AE910" s="83"/>
      <c r="AF910" s="81"/>
      <c r="AG910" s="81"/>
      <c r="AH910" s="81"/>
      <c r="AI910" s="81"/>
      <c r="AJ910" s="83"/>
      <c r="AK910" s="81"/>
      <c r="AL910" s="81"/>
      <c r="AM910" s="83"/>
      <c r="AN910" s="80"/>
      <c r="AO910" s="82" t="n">
        <f aca="false">IF(E910="","",(AA910&lt;&gt;"")+(AG910&lt;&gt;"")+(AL910&lt;&gt;""))</f>
        <v>1</v>
      </c>
      <c r="AP910" s="82" t="str">
        <f aca="false">IF(AL910&lt;&gt;"",AL910,IF(AG910&lt;&gt;"",AG910,IF(AA910&lt;&gt;"",AA910,"")))</f>
        <v>A</v>
      </c>
      <c r="AQ910" s="84" t="str">
        <f aca="false">IF(E910="","",IF(U910="","À SOUDER",IF(X910="","VT EN ATTENTE",IF(X910="R","VT REJETÉ – À REPRENDRE",IF(AP910="","À RADIOGRAPHIER",IF(AP910="A","ACCEPTÉ",IF(AP910="NX","NX – RT À REFAIRE",IF(IF(AO910=1,AD910,IF(AO910=2,AI910,""))="A","RÉPARÉ – À RADIOGRAPHIER",IF(IF(AO910=1,AD910,IF(AO910=2,AI910,""))="R","VT REJETÉ – À REPRENDRE",IF(OR(AP910="CO",AP910="NT"),"COUPE – À RESOUDER","À RÉPARER"))))))))))</f>
        <v>ACCEPTÉ</v>
      </c>
      <c r="AR910" s="82" t="str">
        <f aca="false">IF(AND(ISNUMBER(U910),OR(AQ910="À RADIOGRAPHIER",AQ910="RÉPARÉ – À RADIOGRAPHIER",AQ910="NX – RT À REFAIRE",AQ910="À RÉPARER",AQ910="COUPE – À RESOUDER",AQ910="VT REJETÉ – À REPRENDRE")),MAX(0,'PROGRAMME RT'!$C$4-U910),"")</f>
        <v/>
      </c>
      <c r="AS910" s="82" t="n">
        <f aca="false">IF(AND(OR(AQ910="À RADIOGRAPHIER",AQ910="RÉPARÉ – À RADIOGRAPHIER",AQ910="NX – RT À REFAIRE"),OR('PROGRAMME RT'!$D$5="TOUTES",B910='PROGRAMME RT'!$D$5)),1,0)</f>
        <v>0</v>
      </c>
      <c r="AT910" s="82" t="str">
        <f aca="false">IF(AS910=1,SUM(AS$7:AS910),"")</f>
        <v/>
      </c>
      <c r="AU910" s="82" t="n">
        <f aca="false">IF(AND(OR(AA910="R",AA910="NX",AA910="NT",AA910="CO"),OR('JOINTS DE RÉPARATION'!$D$5="TOUTES",B910='JOINTS DE RÉPARATION'!$D$5),OR('JOINTS DE RÉPARATION'!$L$4="TOUS",AQ910&lt;&gt;"ACCEPTÉ")),1,0)</f>
        <v>0</v>
      </c>
      <c r="AV910" s="82" t="str">
        <f aca="false">IF(AU910=1,SUM(AU$7:AU910),"")</f>
        <v/>
      </c>
      <c r="AW910" s="82" t="str">
        <f aca="false">IF(E910="","",B910&amp;"|"&amp;E910)</f>
        <v>MFD-ISW → MFD-CPF|JN°833</v>
      </c>
    </row>
    <row r="911" customFormat="false" ht="74.6" hidden="false" customHeight="false" outlineLevel="0" collapsed="false">
      <c r="A911" s="79" t="n">
        <f aca="false">IF(E911="","",ROW()-6)</f>
        <v>905</v>
      </c>
      <c r="B911" s="80" t="s">
        <v>110</v>
      </c>
      <c r="C911" s="81" t="s">
        <v>1054</v>
      </c>
      <c r="D911" s="81" t="n">
        <v>6</v>
      </c>
      <c r="E911" s="81" t="s">
        <v>1058</v>
      </c>
      <c r="F911" s="82" t="str">
        <f aca="false">IF(E911="","",IF(LEFT(E911,2)="DJ","DJ","JN"))</f>
        <v>DJ</v>
      </c>
      <c r="G911" s="81"/>
      <c r="H911" s="81" t="s">
        <v>871</v>
      </c>
      <c r="I911" s="81" t="n">
        <v>9.53</v>
      </c>
      <c r="J911" s="81" t="s">
        <v>872</v>
      </c>
      <c r="K911" s="81" t="s">
        <v>873</v>
      </c>
      <c r="L911" s="81" t="n">
        <v>2083220</v>
      </c>
      <c r="M911" s="81" t="n">
        <v>15421105</v>
      </c>
      <c r="N911" s="81" t="n">
        <v>11.94</v>
      </c>
      <c r="O911" s="81" t="n">
        <v>2087520</v>
      </c>
      <c r="P911" s="81" t="n">
        <v>15421107</v>
      </c>
      <c r="Q911" s="81" t="n">
        <v>11.94</v>
      </c>
      <c r="R911" s="81" t="s">
        <v>882</v>
      </c>
      <c r="S911" s="81"/>
      <c r="T911" s="81"/>
      <c r="U911" s="83" t="n">
        <v>46285</v>
      </c>
      <c r="V911" s="83" t="n">
        <v>46285</v>
      </c>
      <c r="W911" s="81" t="s">
        <v>1028</v>
      </c>
      <c r="X911" s="81" t="s">
        <v>876</v>
      </c>
      <c r="Y911" s="83" t="n">
        <v>46286</v>
      </c>
      <c r="Z911" s="81" t="s">
        <v>1025</v>
      </c>
      <c r="AA911" s="81" t="s">
        <v>876</v>
      </c>
      <c r="AB911" s="81"/>
      <c r="AC911" s="81"/>
      <c r="AD911" s="81"/>
      <c r="AE911" s="83"/>
      <c r="AF911" s="81"/>
      <c r="AG911" s="81"/>
      <c r="AH911" s="81"/>
      <c r="AI911" s="81"/>
      <c r="AJ911" s="83"/>
      <c r="AK911" s="81"/>
      <c r="AL911" s="81"/>
      <c r="AM911" s="83"/>
      <c r="AN911" s="80"/>
      <c r="AO911" s="82" t="n">
        <f aca="false">IF(E911="","",(AA911&lt;&gt;"")+(AG911&lt;&gt;"")+(AL911&lt;&gt;""))</f>
        <v>1</v>
      </c>
      <c r="AP911" s="82" t="str">
        <f aca="false">IF(AL911&lt;&gt;"",AL911,IF(AG911&lt;&gt;"",AG911,IF(AA911&lt;&gt;"",AA911,"")))</f>
        <v>A</v>
      </c>
      <c r="AQ911" s="84" t="str">
        <f aca="false">IF(E911="","",IF(U911="","À SOUDER",IF(X911="","VT EN ATTENTE",IF(X911="R","VT REJETÉ – À REPRENDRE",IF(AP911="","À RADIOGRAPHIER",IF(AP911="A","ACCEPTÉ",IF(AP911="NX","NX – RT À REFAIRE",IF(IF(AO911=1,AD911,IF(AO911=2,AI911,""))="A","RÉPARÉ – À RADIOGRAPHIER",IF(IF(AO911=1,AD911,IF(AO911=2,AI911,""))="R","VT REJETÉ – À REPRENDRE",IF(OR(AP911="CO",AP911="NT"),"COUPE – À RESOUDER","À RÉPARER"))))))))))</f>
        <v>ACCEPTÉ</v>
      </c>
      <c r="AR911" s="82" t="str">
        <f aca="false">IF(AND(ISNUMBER(U911),OR(AQ911="À RADIOGRAPHIER",AQ911="RÉPARÉ – À RADIOGRAPHIER",AQ911="NX – RT À REFAIRE",AQ911="À RÉPARER",AQ911="COUPE – À RESOUDER",AQ911="VT REJETÉ – À REPRENDRE")),MAX(0,'PROGRAMME RT'!$C$4-U911),"")</f>
        <v/>
      </c>
      <c r="AS911" s="82" t="n">
        <f aca="false">IF(AND(OR(AQ911="À RADIOGRAPHIER",AQ911="RÉPARÉ – À RADIOGRAPHIER",AQ911="NX – RT À REFAIRE"),OR('PROGRAMME RT'!$D$5="TOUTES",B911='PROGRAMME RT'!$D$5)),1,0)</f>
        <v>0</v>
      </c>
      <c r="AT911" s="82" t="str">
        <f aca="false">IF(AS911=1,SUM(AS$7:AS911),"")</f>
        <v/>
      </c>
      <c r="AU911" s="82" t="n">
        <f aca="false">IF(AND(OR(AA911="R",AA911="NX",AA911="NT",AA911="CO"),OR('JOINTS DE RÉPARATION'!$D$5="TOUTES",B911='JOINTS DE RÉPARATION'!$D$5),OR('JOINTS DE RÉPARATION'!$L$4="TOUS",AQ911&lt;&gt;"ACCEPTÉ")),1,0)</f>
        <v>0</v>
      </c>
      <c r="AV911" s="82" t="str">
        <f aca="false">IF(AU911=1,SUM(AU$7:AU911),"")</f>
        <v/>
      </c>
      <c r="AW911" s="82" t="str">
        <f aca="false">IF(E911="","",B911&amp;"|"&amp;E911)</f>
        <v>MFD-ISW → MFD-CPF|DJ°457</v>
      </c>
    </row>
    <row r="912" customFormat="false" ht="74.6" hidden="false" customHeight="false" outlineLevel="0" collapsed="false">
      <c r="A912" s="79" t="n">
        <f aca="false">IF(E912="","",ROW()-6)</f>
        <v>906</v>
      </c>
      <c r="B912" s="80" t="s">
        <v>110</v>
      </c>
      <c r="C912" s="81" t="s">
        <v>1054</v>
      </c>
      <c r="D912" s="81" t="n">
        <v>6</v>
      </c>
      <c r="E912" s="81" t="s">
        <v>1059</v>
      </c>
      <c r="F912" s="82" t="str">
        <f aca="false">IF(E912="","",IF(LEFT(E912,2)="DJ","DJ","JN"))</f>
        <v>JN</v>
      </c>
      <c r="G912" s="81"/>
      <c r="H912" s="81" t="s">
        <v>871</v>
      </c>
      <c r="I912" s="81" t="n">
        <v>9.53</v>
      </c>
      <c r="J912" s="81" t="s">
        <v>872</v>
      </c>
      <c r="K912" s="81" t="s">
        <v>879</v>
      </c>
      <c r="L912" s="81" t="n">
        <v>2087520</v>
      </c>
      <c r="M912" s="81" t="n">
        <v>15421107</v>
      </c>
      <c r="N912" s="81" t="n">
        <v>11.94</v>
      </c>
      <c r="O912" s="81" t="n">
        <v>2096940</v>
      </c>
      <c r="P912" s="81" t="n">
        <v>15421111</v>
      </c>
      <c r="Q912" s="81" t="n">
        <v>11.94</v>
      </c>
      <c r="R912" s="81" t="s">
        <v>935</v>
      </c>
      <c r="S912" s="81"/>
      <c r="T912" s="81"/>
      <c r="U912" s="83" t="n">
        <v>46287</v>
      </c>
      <c r="V912" s="83" t="n">
        <v>46287</v>
      </c>
      <c r="W912" s="81" t="s">
        <v>1016</v>
      </c>
      <c r="X912" s="81" t="s">
        <v>876</v>
      </c>
      <c r="Y912" s="83" t="n">
        <v>46292</v>
      </c>
      <c r="Z912" s="81" t="s">
        <v>1057</v>
      </c>
      <c r="AA912" s="81" t="s">
        <v>876</v>
      </c>
      <c r="AB912" s="81"/>
      <c r="AC912" s="81"/>
      <c r="AD912" s="81"/>
      <c r="AE912" s="83"/>
      <c r="AF912" s="81"/>
      <c r="AG912" s="81"/>
      <c r="AH912" s="81"/>
      <c r="AI912" s="81"/>
      <c r="AJ912" s="83"/>
      <c r="AK912" s="81"/>
      <c r="AL912" s="81"/>
      <c r="AM912" s="83"/>
      <c r="AN912" s="80"/>
      <c r="AO912" s="82" t="n">
        <f aca="false">IF(E912="","",(AA912&lt;&gt;"")+(AG912&lt;&gt;"")+(AL912&lt;&gt;""))</f>
        <v>1</v>
      </c>
      <c r="AP912" s="82" t="str">
        <f aca="false">IF(AL912&lt;&gt;"",AL912,IF(AG912&lt;&gt;"",AG912,IF(AA912&lt;&gt;"",AA912,"")))</f>
        <v>A</v>
      </c>
      <c r="AQ912" s="84" t="str">
        <f aca="false">IF(E912="","",IF(U912="","À SOUDER",IF(X912="","VT EN ATTENTE",IF(X912="R","VT REJETÉ – À REPRENDRE",IF(AP912="","À RADIOGRAPHIER",IF(AP912="A","ACCEPTÉ",IF(AP912="NX","NX – RT À REFAIRE",IF(IF(AO912=1,AD912,IF(AO912=2,AI912,""))="A","RÉPARÉ – À RADIOGRAPHIER",IF(IF(AO912=1,AD912,IF(AO912=2,AI912,""))="R","VT REJETÉ – À REPRENDRE",IF(OR(AP912="CO",AP912="NT"),"COUPE – À RESOUDER","À RÉPARER"))))))))))</f>
        <v>ACCEPTÉ</v>
      </c>
      <c r="AR912" s="82" t="str">
        <f aca="false">IF(AND(ISNUMBER(U912),OR(AQ912="À RADIOGRAPHIER",AQ912="RÉPARÉ – À RADIOGRAPHIER",AQ912="NX – RT À REFAIRE",AQ912="À RÉPARER",AQ912="COUPE – À RESOUDER",AQ912="VT REJETÉ – À REPRENDRE")),MAX(0,'PROGRAMME RT'!$C$4-U912),"")</f>
        <v/>
      </c>
      <c r="AS912" s="82" t="n">
        <f aca="false">IF(AND(OR(AQ912="À RADIOGRAPHIER",AQ912="RÉPARÉ – À RADIOGRAPHIER",AQ912="NX – RT À REFAIRE"),OR('PROGRAMME RT'!$D$5="TOUTES",B912='PROGRAMME RT'!$D$5)),1,0)</f>
        <v>0</v>
      </c>
      <c r="AT912" s="82" t="str">
        <f aca="false">IF(AS912=1,SUM(AS$7:AS912),"")</f>
        <v/>
      </c>
      <c r="AU912" s="82" t="n">
        <f aca="false">IF(AND(OR(AA912="R",AA912="NX",AA912="NT",AA912="CO"),OR('JOINTS DE RÉPARATION'!$D$5="TOUTES",B912='JOINTS DE RÉPARATION'!$D$5),OR('JOINTS DE RÉPARATION'!$L$4="TOUS",AQ912&lt;&gt;"ACCEPTÉ")),1,0)</f>
        <v>0</v>
      </c>
      <c r="AV912" s="82" t="str">
        <f aca="false">IF(AU912=1,SUM(AU$7:AU912),"")</f>
        <v/>
      </c>
      <c r="AW912" s="82" t="str">
        <f aca="false">IF(E912="","",B912&amp;"|"&amp;E912)</f>
        <v>MFD-ISW → MFD-CPF|JN°834</v>
      </c>
    </row>
    <row r="913" customFormat="false" ht="74.6" hidden="false" customHeight="false" outlineLevel="0" collapsed="false">
      <c r="A913" s="79" t="n">
        <f aca="false">IF(E913="","",ROW()-6)</f>
        <v>907</v>
      </c>
      <c r="B913" s="80" t="s">
        <v>110</v>
      </c>
      <c r="C913" s="81" t="s">
        <v>1054</v>
      </c>
      <c r="D913" s="81" t="n">
        <v>6</v>
      </c>
      <c r="E913" s="81" t="s">
        <v>1060</v>
      </c>
      <c r="F913" s="82" t="str">
        <f aca="false">IF(E913="","",IF(LEFT(E913,2)="DJ","DJ","JN"))</f>
        <v>DJ</v>
      </c>
      <c r="G913" s="81"/>
      <c r="H913" s="81" t="s">
        <v>871</v>
      </c>
      <c r="I913" s="81" t="n">
        <v>9.53</v>
      </c>
      <c r="J913" s="81" t="s">
        <v>872</v>
      </c>
      <c r="K913" s="81" t="s">
        <v>873</v>
      </c>
      <c r="L913" s="81" t="n">
        <v>2096940</v>
      </c>
      <c r="M913" s="81" t="n">
        <v>15421111</v>
      </c>
      <c r="N913" s="81" t="n">
        <v>11.94</v>
      </c>
      <c r="O913" s="81" t="n">
        <v>2084770</v>
      </c>
      <c r="P913" s="81" t="n">
        <v>15421106</v>
      </c>
      <c r="Q913" s="81" t="n">
        <v>11.94</v>
      </c>
      <c r="R913" s="81" t="s">
        <v>882</v>
      </c>
      <c r="S913" s="81"/>
      <c r="T913" s="81"/>
      <c r="U913" s="83" t="n">
        <v>46285</v>
      </c>
      <c r="V913" s="83" t="n">
        <v>46285</v>
      </c>
      <c r="W913" s="81" t="s">
        <v>1028</v>
      </c>
      <c r="X913" s="81" t="s">
        <v>876</v>
      </c>
      <c r="Y913" s="83" t="n">
        <v>46286</v>
      </c>
      <c r="Z913" s="81" t="s">
        <v>1025</v>
      </c>
      <c r="AA913" s="81" t="s">
        <v>876</v>
      </c>
      <c r="AB913" s="81"/>
      <c r="AC913" s="81"/>
      <c r="AD913" s="81"/>
      <c r="AE913" s="83"/>
      <c r="AF913" s="81"/>
      <c r="AG913" s="81"/>
      <c r="AH913" s="81"/>
      <c r="AI913" s="81"/>
      <c r="AJ913" s="83"/>
      <c r="AK913" s="81"/>
      <c r="AL913" s="81"/>
      <c r="AM913" s="83"/>
      <c r="AN913" s="80"/>
      <c r="AO913" s="82" t="n">
        <f aca="false">IF(E913="","",(AA913&lt;&gt;"")+(AG913&lt;&gt;"")+(AL913&lt;&gt;""))</f>
        <v>1</v>
      </c>
      <c r="AP913" s="82" t="str">
        <f aca="false">IF(AL913&lt;&gt;"",AL913,IF(AG913&lt;&gt;"",AG913,IF(AA913&lt;&gt;"",AA913,"")))</f>
        <v>A</v>
      </c>
      <c r="AQ913" s="84" t="str">
        <f aca="false">IF(E913="","",IF(U913="","À SOUDER",IF(X913="","VT EN ATTENTE",IF(X913="R","VT REJETÉ – À REPRENDRE",IF(AP913="","À RADIOGRAPHIER",IF(AP913="A","ACCEPTÉ",IF(AP913="NX","NX – RT À REFAIRE",IF(IF(AO913=1,AD913,IF(AO913=2,AI913,""))="A","RÉPARÉ – À RADIOGRAPHIER",IF(IF(AO913=1,AD913,IF(AO913=2,AI913,""))="R","VT REJETÉ – À REPRENDRE",IF(OR(AP913="CO",AP913="NT"),"COUPE – À RESOUDER","À RÉPARER"))))))))))</f>
        <v>ACCEPTÉ</v>
      </c>
      <c r="AR913" s="82" t="str">
        <f aca="false">IF(AND(ISNUMBER(U913),OR(AQ913="À RADIOGRAPHIER",AQ913="RÉPARÉ – À RADIOGRAPHIER",AQ913="NX – RT À REFAIRE",AQ913="À RÉPARER",AQ913="COUPE – À RESOUDER",AQ913="VT REJETÉ – À REPRENDRE")),MAX(0,'PROGRAMME RT'!$C$4-U913),"")</f>
        <v/>
      </c>
      <c r="AS913" s="82" t="n">
        <f aca="false">IF(AND(OR(AQ913="À RADIOGRAPHIER",AQ913="RÉPARÉ – À RADIOGRAPHIER",AQ913="NX – RT À REFAIRE"),OR('PROGRAMME RT'!$D$5="TOUTES",B913='PROGRAMME RT'!$D$5)),1,0)</f>
        <v>0</v>
      </c>
      <c r="AT913" s="82" t="str">
        <f aca="false">IF(AS913=1,SUM(AS$7:AS913),"")</f>
        <v/>
      </c>
      <c r="AU913" s="82" t="n">
        <f aca="false">IF(AND(OR(AA913="R",AA913="NX",AA913="NT",AA913="CO"),OR('JOINTS DE RÉPARATION'!$D$5="TOUTES",B913='JOINTS DE RÉPARATION'!$D$5),OR('JOINTS DE RÉPARATION'!$L$4="TOUS",AQ913&lt;&gt;"ACCEPTÉ")),1,0)</f>
        <v>0</v>
      </c>
      <c r="AV913" s="82" t="str">
        <f aca="false">IF(AU913=1,SUM(AU$7:AU913),"")</f>
        <v/>
      </c>
      <c r="AW913" s="82" t="str">
        <f aca="false">IF(E913="","",B913&amp;"|"&amp;E913)</f>
        <v>MFD-ISW → MFD-CPF|DJ°454</v>
      </c>
    </row>
    <row r="914" customFormat="false" ht="74.6" hidden="false" customHeight="false" outlineLevel="0" collapsed="false">
      <c r="A914" s="79" t="n">
        <f aca="false">IF(E914="","",ROW()-6)</f>
        <v>908</v>
      </c>
      <c r="B914" s="80" t="s">
        <v>110</v>
      </c>
      <c r="C914" s="81" t="s">
        <v>1054</v>
      </c>
      <c r="D914" s="81" t="n">
        <v>6</v>
      </c>
      <c r="E914" s="81" t="s">
        <v>1061</v>
      </c>
      <c r="F914" s="82" t="str">
        <f aca="false">IF(E914="","",IF(LEFT(E914,2)="DJ","DJ","JN"))</f>
        <v>JN</v>
      </c>
      <c r="G914" s="81"/>
      <c r="H914" s="81" t="s">
        <v>871</v>
      </c>
      <c r="I914" s="81" t="n">
        <v>9.53</v>
      </c>
      <c r="J914" s="81" t="s">
        <v>872</v>
      </c>
      <c r="K914" s="81" t="s">
        <v>879</v>
      </c>
      <c r="L914" s="81" t="n">
        <v>2084770</v>
      </c>
      <c r="M914" s="81" t="n">
        <v>15421106</v>
      </c>
      <c r="N914" s="81" t="n">
        <v>11.94</v>
      </c>
      <c r="O914" s="81" t="n">
        <v>2084780</v>
      </c>
      <c r="P914" s="81" t="n">
        <v>15421106</v>
      </c>
      <c r="Q914" s="81" t="n">
        <v>11.94</v>
      </c>
      <c r="R914" s="81" t="s">
        <v>1062</v>
      </c>
      <c r="S914" s="81"/>
      <c r="T914" s="81"/>
      <c r="U914" s="83" t="n">
        <v>46286</v>
      </c>
      <c r="V914" s="83" t="n">
        <v>46286</v>
      </c>
      <c r="W914" s="81" t="s">
        <v>1063</v>
      </c>
      <c r="X914" s="81" t="s">
        <v>876</v>
      </c>
      <c r="Y914" s="83" t="n">
        <v>46292</v>
      </c>
      <c r="Z914" s="81" t="s">
        <v>1057</v>
      </c>
      <c r="AA914" s="81" t="s">
        <v>876</v>
      </c>
      <c r="AB914" s="81"/>
      <c r="AC914" s="81"/>
      <c r="AD914" s="81"/>
      <c r="AE914" s="83"/>
      <c r="AF914" s="81"/>
      <c r="AG914" s="81"/>
      <c r="AH914" s="81"/>
      <c r="AI914" s="81"/>
      <c r="AJ914" s="83"/>
      <c r="AK914" s="81"/>
      <c r="AL914" s="81"/>
      <c r="AM914" s="83"/>
      <c r="AN914" s="80"/>
      <c r="AO914" s="82" t="n">
        <f aca="false">IF(E914="","",(AA914&lt;&gt;"")+(AG914&lt;&gt;"")+(AL914&lt;&gt;""))</f>
        <v>1</v>
      </c>
      <c r="AP914" s="82" t="str">
        <f aca="false">IF(AL914&lt;&gt;"",AL914,IF(AG914&lt;&gt;"",AG914,IF(AA914&lt;&gt;"",AA914,"")))</f>
        <v>A</v>
      </c>
      <c r="AQ914" s="84" t="str">
        <f aca="false">IF(E914="","",IF(U914="","À SOUDER",IF(X914="","VT EN ATTENTE",IF(X914="R","VT REJETÉ – À REPRENDRE",IF(AP914="","À RADIOGRAPHIER",IF(AP914="A","ACCEPTÉ",IF(AP914="NX","NX – RT À REFAIRE",IF(IF(AO914=1,AD914,IF(AO914=2,AI914,""))="A","RÉPARÉ – À RADIOGRAPHIER",IF(IF(AO914=1,AD914,IF(AO914=2,AI914,""))="R","VT REJETÉ – À REPRENDRE",IF(OR(AP914="CO",AP914="NT"),"COUPE – À RESOUDER","À RÉPARER"))))))))))</f>
        <v>ACCEPTÉ</v>
      </c>
      <c r="AR914" s="82" t="str">
        <f aca="false">IF(AND(ISNUMBER(U914),OR(AQ914="À RADIOGRAPHIER",AQ914="RÉPARÉ – À RADIOGRAPHIER",AQ914="NX – RT À REFAIRE",AQ914="À RÉPARER",AQ914="COUPE – À RESOUDER",AQ914="VT REJETÉ – À REPRENDRE")),MAX(0,'PROGRAMME RT'!$C$4-U914),"")</f>
        <v/>
      </c>
      <c r="AS914" s="82" t="n">
        <f aca="false">IF(AND(OR(AQ914="À RADIOGRAPHIER",AQ914="RÉPARÉ – À RADIOGRAPHIER",AQ914="NX – RT À REFAIRE"),OR('PROGRAMME RT'!$D$5="TOUTES",B914='PROGRAMME RT'!$D$5)),1,0)</f>
        <v>0</v>
      </c>
      <c r="AT914" s="82" t="str">
        <f aca="false">IF(AS914=1,SUM(AS$7:AS914),"")</f>
        <v/>
      </c>
      <c r="AU914" s="82" t="n">
        <f aca="false">IF(AND(OR(AA914="R",AA914="NX",AA914="NT",AA914="CO"),OR('JOINTS DE RÉPARATION'!$D$5="TOUTES",B914='JOINTS DE RÉPARATION'!$D$5),OR('JOINTS DE RÉPARATION'!$L$4="TOUS",AQ914&lt;&gt;"ACCEPTÉ")),1,0)</f>
        <v>0</v>
      </c>
      <c r="AV914" s="82" t="str">
        <f aca="false">IF(AU914=1,SUM(AU$7:AU914),"")</f>
        <v/>
      </c>
      <c r="AW914" s="82" t="str">
        <f aca="false">IF(E914="","",B914&amp;"|"&amp;E914)</f>
        <v>MFD-ISW → MFD-CPF|JN°835</v>
      </c>
    </row>
    <row r="915" customFormat="false" ht="74.6" hidden="false" customHeight="false" outlineLevel="0" collapsed="false">
      <c r="A915" s="79" t="n">
        <f aca="false">IF(E915="","",ROW()-6)</f>
        <v>909</v>
      </c>
      <c r="B915" s="80" t="s">
        <v>110</v>
      </c>
      <c r="C915" s="81" t="s">
        <v>1054</v>
      </c>
      <c r="D915" s="81" t="n">
        <v>6</v>
      </c>
      <c r="E915" s="81" t="s">
        <v>1064</v>
      </c>
      <c r="F915" s="82" t="str">
        <f aca="false">IF(E915="","",IF(LEFT(E915,2)="DJ","DJ","JN"))</f>
        <v>DJ</v>
      </c>
      <c r="G915" s="81"/>
      <c r="H915" s="81" t="s">
        <v>871</v>
      </c>
      <c r="I915" s="81" t="n">
        <v>9.53</v>
      </c>
      <c r="J915" s="81" t="s">
        <v>872</v>
      </c>
      <c r="K915" s="81" t="s">
        <v>873</v>
      </c>
      <c r="L915" s="81" t="n">
        <v>2084780</v>
      </c>
      <c r="M915" s="81" t="n">
        <v>15421106</v>
      </c>
      <c r="N915" s="81" t="n">
        <v>11.94</v>
      </c>
      <c r="O915" s="81" t="n">
        <v>2085760</v>
      </c>
      <c r="P915" s="81" t="n">
        <v>15421107</v>
      </c>
      <c r="Q915" s="81" t="n">
        <v>11.94</v>
      </c>
      <c r="R915" s="81" t="s">
        <v>882</v>
      </c>
      <c r="S915" s="81"/>
      <c r="T915" s="81"/>
      <c r="U915" s="83" t="n">
        <v>46284</v>
      </c>
      <c r="V915" s="83" t="n">
        <v>46284</v>
      </c>
      <c r="W915" s="81" t="s">
        <v>956</v>
      </c>
      <c r="X915" s="81" t="s">
        <v>876</v>
      </c>
      <c r="Y915" s="83" t="n">
        <v>46285</v>
      </c>
      <c r="Z915" s="81" t="s">
        <v>957</v>
      </c>
      <c r="AA915" s="81" t="s">
        <v>876</v>
      </c>
      <c r="AB915" s="81"/>
      <c r="AC915" s="81"/>
      <c r="AD915" s="81"/>
      <c r="AE915" s="83"/>
      <c r="AF915" s="81"/>
      <c r="AG915" s="81"/>
      <c r="AH915" s="81"/>
      <c r="AI915" s="81"/>
      <c r="AJ915" s="83"/>
      <c r="AK915" s="81"/>
      <c r="AL915" s="81"/>
      <c r="AM915" s="83"/>
      <c r="AN915" s="80"/>
      <c r="AO915" s="82" t="n">
        <f aca="false">IF(E915="","",(AA915&lt;&gt;"")+(AG915&lt;&gt;"")+(AL915&lt;&gt;""))</f>
        <v>1</v>
      </c>
      <c r="AP915" s="82" t="str">
        <f aca="false">IF(AL915&lt;&gt;"",AL915,IF(AG915&lt;&gt;"",AG915,IF(AA915&lt;&gt;"",AA915,"")))</f>
        <v>A</v>
      </c>
      <c r="AQ915" s="84" t="str">
        <f aca="false">IF(E915="","",IF(U915="","À SOUDER",IF(X915="","VT EN ATTENTE",IF(X915="R","VT REJETÉ – À REPRENDRE",IF(AP915="","À RADIOGRAPHIER",IF(AP915="A","ACCEPTÉ",IF(AP915="NX","NX – RT À REFAIRE",IF(IF(AO915=1,AD915,IF(AO915=2,AI915,""))="A","RÉPARÉ – À RADIOGRAPHIER",IF(IF(AO915=1,AD915,IF(AO915=2,AI915,""))="R","VT REJETÉ – À REPRENDRE",IF(OR(AP915="CO",AP915="NT"),"COUPE – À RESOUDER","À RÉPARER"))))))))))</f>
        <v>ACCEPTÉ</v>
      </c>
      <c r="AR915" s="82" t="str">
        <f aca="false">IF(AND(ISNUMBER(U915),OR(AQ915="À RADIOGRAPHIER",AQ915="RÉPARÉ – À RADIOGRAPHIER",AQ915="NX – RT À REFAIRE",AQ915="À RÉPARER",AQ915="COUPE – À RESOUDER",AQ915="VT REJETÉ – À REPRENDRE")),MAX(0,'PROGRAMME RT'!$C$4-U915),"")</f>
        <v/>
      </c>
      <c r="AS915" s="82" t="n">
        <f aca="false">IF(AND(OR(AQ915="À RADIOGRAPHIER",AQ915="RÉPARÉ – À RADIOGRAPHIER",AQ915="NX – RT À REFAIRE"),OR('PROGRAMME RT'!$D$5="TOUTES",B915='PROGRAMME RT'!$D$5)),1,0)</f>
        <v>0</v>
      </c>
      <c r="AT915" s="82" t="str">
        <f aca="false">IF(AS915=1,SUM(AS$7:AS915),"")</f>
        <v/>
      </c>
      <c r="AU915" s="82" t="n">
        <f aca="false">IF(AND(OR(AA915="R",AA915="NX",AA915="NT",AA915="CO"),OR('JOINTS DE RÉPARATION'!$D$5="TOUTES",B915='JOINTS DE RÉPARATION'!$D$5),OR('JOINTS DE RÉPARATION'!$L$4="TOUS",AQ915&lt;&gt;"ACCEPTÉ")),1,0)</f>
        <v>0</v>
      </c>
      <c r="AV915" s="82" t="str">
        <f aca="false">IF(AU915=1,SUM(AU$7:AU915),"")</f>
        <v/>
      </c>
      <c r="AW915" s="82" t="str">
        <f aca="false">IF(E915="","",B915&amp;"|"&amp;E915)</f>
        <v>MFD-ISW → MFD-CPF|DJ°432</v>
      </c>
    </row>
    <row r="916" customFormat="false" ht="74.6" hidden="false" customHeight="false" outlineLevel="0" collapsed="false">
      <c r="A916" s="79" t="n">
        <f aca="false">IF(E916="","",ROW()-6)</f>
        <v>910</v>
      </c>
      <c r="B916" s="80" t="s">
        <v>110</v>
      </c>
      <c r="C916" s="81" t="s">
        <v>1054</v>
      </c>
      <c r="D916" s="81" t="n">
        <v>6</v>
      </c>
      <c r="E916" s="81" t="s">
        <v>1065</v>
      </c>
      <c r="F916" s="82" t="str">
        <f aca="false">IF(E916="","",IF(LEFT(E916,2)="DJ","DJ","JN"))</f>
        <v>JN</v>
      </c>
      <c r="G916" s="81"/>
      <c r="H916" s="81" t="s">
        <v>871</v>
      </c>
      <c r="I916" s="81" t="n">
        <v>9.53</v>
      </c>
      <c r="J916" s="81" t="s">
        <v>872</v>
      </c>
      <c r="K916" s="81" t="s">
        <v>879</v>
      </c>
      <c r="L916" s="81" t="n">
        <v>2085760</v>
      </c>
      <c r="M916" s="81" t="n">
        <v>15421107</v>
      </c>
      <c r="N916" s="81" t="n">
        <v>11.94</v>
      </c>
      <c r="O916" s="81" t="n">
        <v>2085740</v>
      </c>
      <c r="P916" s="81" t="n">
        <v>15421107</v>
      </c>
      <c r="Q916" s="81" t="n">
        <v>11.94</v>
      </c>
      <c r="R916" s="81" t="s">
        <v>1062</v>
      </c>
      <c r="S916" s="81"/>
      <c r="T916" s="81"/>
      <c r="U916" s="83" t="n">
        <v>46286</v>
      </c>
      <c r="V916" s="83" t="n">
        <v>46286</v>
      </c>
      <c r="W916" s="81" t="s">
        <v>1063</v>
      </c>
      <c r="X916" s="81" t="s">
        <v>876</v>
      </c>
      <c r="Y916" s="83" t="n">
        <v>46292</v>
      </c>
      <c r="Z916" s="81" t="s">
        <v>1057</v>
      </c>
      <c r="AA916" s="81" t="s">
        <v>876</v>
      </c>
      <c r="AB916" s="81"/>
      <c r="AC916" s="81"/>
      <c r="AD916" s="81"/>
      <c r="AE916" s="83"/>
      <c r="AF916" s="81"/>
      <c r="AG916" s="81"/>
      <c r="AH916" s="81"/>
      <c r="AI916" s="81"/>
      <c r="AJ916" s="83"/>
      <c r="AK916" s="81"/>
      <c r="AL916" s="81"/>
      <c r="AM916" s="83"/>
      <c r="AN916" s="80"/>
      <c r="AO916" s="82" t="n">
        <f aca="false">IF(E916="","",(AA916&lt;&gt;"")+(AG916&lt;&gt;"")+(AL916&lt;&gt;""))</f>
        <v>1</v>
      </c>
      <c r="AP916" s="82" t="str">
        <f aca="false">IF(AL916&lt;&gt;"",AL916,IF(AG916&lt;&gt;"",AG916,IF(AA916&lt;&gt;"",AA916,"")))</f>
        <v>A</v>
      </c>
      <c r="AQ916" s="84" t="str">
        <f aca="false">IF(E916="","",IF(U916="","À SOUDER",IF(X916="","VT EN ATTENTE",IF(X916="R","VT REJETÉ – À REPRENDRE",IF(AP916="","À RADIOGRAPHIER",IF(AP916="A","ACCEPTÉ",IF(AP916="NX","NX – RT À REFAIRE",IF(IF(AO916=1,AD916,IF(AO916=2,AI916,""))="A","RÉPARÉ – À RADIOGRAPHIER",IF(IF(AO916=1,AD916,IF(AO916=2,AI916,""))="R","VT REJETÉ – À REPRENDRE",IF(OR(AP916="CO",AP916="NT"),"COUPE – À RESOUDER","À RÉPARER"))))))))))</f>
        <v>ACCEPTÉ</v>
      </c>
      <c r="AR916" s="82" t="str">
        <f aca="false">IF(AND(ISNUMBER(U916),OR(AQ916="À RADIOGRAPHIER",AQ916="RÉPARÉ – À RADIOGRAPHIER",AQ916="NX – RT À REFAIRE",AQ916="À RÉPARER",AQ916="COUPE – À RESOUDER",AQ916="VT REJETÉ – À REPRENDRE")),MAX(0,'PROGRAMME RT'!$C$4-U916),"")</f>
        <v/>
      </c>
      <c r="AS916" s="82" t="n">
        <f aca="false">IF(AND(OR(AQ916="À RADIOGRAPHIER",AQ916="RÉPARÉ – À RADIOGRAPHIER",AQ916="NX – RT À REFAIRE"),OR('PROGRAMME RT'!$D$5="TOUTES",B916='PROGRAMME RT'!$D$5)),1,0)</f>
        <v>0</v>
      </c>
      <c r="AT916" s="82" t="str">
        <f aca="false">IF(AS916=1,SUM(AS$7:AS916),"")</f>
        <v/>
      </c>
      <c r="AU916" s="82" t="n">
        <f aca="false">IF(AND(OR(AA916="R",AA916="NX",AA916="NT",AA916="CO"),OR('JOINTS DE RÉPARATION'!$D$5="TOUTES",B916='JOINTS DE RÉPARATION'!$D$5),OR('JOINTS DE RÉPARATION'!$L$4="TOUS",AQ916&lt;&gt;"ACCEPTÉ")),1,0)</f>
        <v>0</v>
      </c>
      <c r="AV916" s="82" t="str">
        <f aca="false">IF(AU916=1,SUM(AU$7:AU916),"")</f>
        <v/>
      </c>
      <c r="AW916" s="82" t="str">
        <f aca="false">IF(E916="","",B916&amp;"|"&amp;E916)</f>
        <v>MFD-ISW → MFD-CPF|JN°836</v>
      </c>
    </row>
    <row r="917" customFormat="false" ht="74.6" hidden="false" customHeight="false" outlineLevel="0" collapsed="false">
      <c r="A917" s="79" t="n">
        <f aca="false">IF(E917="","",ROW()-6)</f>
        <v>911</v>
      </c>
      <c r="B917" s="80" t="s">
        <v>110</v>
      </c>
      <c r="C917" s="81" t="s">
        <v>1054</v>
      </c>
      <c r="D917" s="81" t="n">
        <v>6</v>
      </c>
      <c r="E917" s="81" t="s">
        <v>1066</v>
      </c>
      <c r="F917" s="82" t="str">
        <f aca="false">IF(E917="","",IF(LEFT(E917,2)="DJ","DJ","JN"))</f>
        <v>DJ</v>
      </c>
      <c r="G917" s="81"/>
      <c r="H917" s="81" t="s">
        <v>871</v>
      </c>
      <c r="I917" s="81" t="n">
        <v>9.53</v>
      </c>
      <c r="J917" s="81" t="s">
        <v>872</v>
      </c>
      <c r="K917" s="81" t="s">
        <v>873</v>
      </c>
      <c r="L917" s="81" t="n">
        <v>2085740</v>
      </c>
      <c r="M917" s="81" t="n">
        <v>15421107</v>
      </c>
      <c r="N917" s="81" t="n">
        <v>11.94</v>
      </c>
      <c r="O917" s="81" t="n">
        <v>2083780</v>
      </c>
      <c r="P917" s="81" t="n">
        <v>15421105</v>
      </c>
      <c r="Q917" s="81" t="n">
        <v>11.94</v>
      </c>
      <c r="R917" s="81" t="s">
        <v>882</v>
      </c>
      <c r="S917" s="81"/>
      <c r="T917" s="81"/>
      <c r="U917" s="83" t="n">
        <v>46284</v>
      </c>
      <c r="V917" s="83" t="n">
        <v>46284</v>
      </c>
      <c r="W917" s="81" t="s">
        <v>956</v>
      </c>
      <c r="X917" s="81" t="s">
        <v>876</v>
      </c>
      <c r="Y917" s="83" t="n">
        <v>46285</v>
      </c>
      <c r="Z917" s="81" t="s">
        <v>957</v>
      </c>
      <c r="AA917" s="81" t="s">
        <v>876</v>
      </c>
      <c r="AB917" s="81"/>
      <c r="AC917" s="81"/>
      <c r="AD917" s="81"/>
      <c r="AE917" s="83"/>
      <c r="AF917" s="81"/>
      <c r="AG917" s="81"/>
      <c r="AH917" s="81"/>
      <c r="AI917" s="81"/>
      <c r="AJ917" s="83"/>
      <c r="AK917" s="81"/>
      <c r="AL917" s="81"/>
      <c r="AM917" s="83"/>
      <c r="AN917" s="80"/>
      <c r="AO917" s="82" t="n">
        <f aca="false">IF(E917="","",(AA917&lt;&gt;"")+(AG917&lt;&gt;"")+(AL917&lt;&gt;""))</f>
        <v>1</v>
      </c>
      <c r="AP917" s="82" t="str">
        <f aca="false">IF(AL917&lt;&gt;"",AL917,IF(AG917&lt;&gt;"",AG917,IF(AA917&lt;&gt;"",AA917,"")))</f>
        <v>A</v>
      </c>
      <c r="AQ917" s="84" t="str">
        <f aca="false">IF(E917="","",IF(U917="","À SOUDER",IF(X917="","VT EN ATTENTE",IF(X917="R","VT REJETÉ – À REPRENDRE",IF(AP917="","À RADIOGRAPHIER",IF(AP917="A","ACCEPTÉ",IF(AP917="NX","NX – RT À REFAIRE",IF(IF(AO917=1,AD917,IF(AO917=2,AI917,""))="A","RÉPARÉ – À RADIOGRAPHIER",IF(IF(AO917=1,AD917,IF(AO917=2,AI917,""))="R","VT REJETÉ – À REPRENDRE",IF(OR(AP917="CO",AP917="NT"),"COUPE – À RESOUDER","À RÉPARER"))))))))))</f>
        <v>ACCEPTÉ</v>
      </c>
      <c r="AR917" s="82" t="str">
        <f aca="false">IF(AND(ISNUMBER(U917),OR(AQ917="À RADIOGRAPHIER",AQ917="RÉPARÉ – À RADIOGRAPHIER",AQ917="NX – RT À REFAIRE",AQ917="À RÉPARER",AQ917="COUPE – À RESOUDER",AQ917="VT REJETÉ – À REPRENDRE")),MAX(0,'PROGRAMME RT'!$C$4-U917),"")</f>
        <v/>
      </c>
      <c r="AS917" s="82" t="n">
        <f aca="false">IF(AND(OR(AQ917="À RADIOGRAPHIER",AQ917="RÉPARÉ – À RADIOGRAPHIER",AQ917="NX – RT À REFAIRE"),OR('PROGRAMME RT'!$D$5="TOUTES",B917='PROGRAMME RT'!$D$5)),1,0)</f>
        <v>0</v>
      </c>
      <c r="AT917" s="82" t="str">
        <f aca="false">IF(AS917=1,SUM(AS$7:AS917),"")</f>
        <v/>
      </c>
      <c r="AU917" s="82" t="n">
        <f aca="false">IF(AND(OR(AA917="R",AA917="NX",AA917="NT",AA917="CO"),OR('JOINTS DE RÉPARATION'!$D$5="TOUTES",B917='JOINTS DE RÉPARATION'!$D$5),OR('JOINTS DE RÉPARATION'!$L$4="TOUS",AQ917&lt;&gt;"ACCEPTÉ")),1,0)</f>
        <v>0</v>
      </c>
      <c r="AV917" s="82" t="str">
        <f aca="false">IF(AU917=1,SUM(AU$7:AU917),"")</f>
        <v/>
      </c>
      <c r="AW917" s="82" t="str">
        <f aca="false">IF(E917="","",B917&amp;"|"&amp;E917)</f>
        <v>MFD-ISW → MFD-CPF|DJ°429</v>
      </c>
    </row>
    <row r="918" customFormat="false" ht="74.6" hidden="false" customHeight="false" outlineLevel="0" collapsed="false">
      <c r="A918" s="79" t="n">
        <f aca="false">IF(E918="","",ROW()-6)</f>
        <v>912</v>
      </c>
      <c r="B918" s="80" t="s">
        <v>110</v>
      </c>
      <c r="C918" s="81" t="s">
        <v>1054</v>
      </c>
      <c r="D918" s="81" t="n">
        <v>6</v>
      </c>
      <c r="E918" s="81" t="s">
        <v>1067</v>
      </c>
      <c r="F918" s="82" t="str">
        <f aca="false">IF(E918="","",IF(LEFT(E918,2)="DJ","DJ","JN"))</f>
        <v>JN</v>
      </c>
      <c r="G918" s="81"/>
      <c r="H918" s="81" t="s">
        <v>871</v>
      </c>
      <c r="I918" s="81" t="n">
        <v>9.53</v>
      </c>
      <c r="J918" s="81" t="s">
        <v>872</v>
      </c>
      <c r="K918" s="81" t="s">
        <v>879</v>
      </c>
      <c r="L918" s="81" t="n">
        <v>2083780</v>
      </c>
      <c r="M918" s="81" t="n">
        <v>15421105</v>
      </c>
      <c r="N918" s="81" t="n">
        <v>11.94</v>
      </c>
      <c r="O918" s="81" t="n">
        <v>2095180</v>
      </c>
      <c r="P918" s="81" t="n">
        <v>15421111</v>
      </c>
      <c r="Q918" s="81" t="n">
        <v>11.94</v>
      </c>
      <c r="R918" s="81" t="s">
        <v>1068</v>
      </c>
      <c r="S918" s="81"/>
      <c r="T918" s="81"/>
      <c r="U918" s="83" t="n">
        <v>46286</v>
      </c>
      <c r="V918" s="83" t="n">
        <v>46286</v>
      </c>
      <c r="W918" s="81" t="s">
        <v>1063</v>
      </c>
      <c r="X918" s="81" t="s">
        <v>876</v>
      </c>
      <c r="Y918" s="83" t="n">
        <v>46292</v>
      </c>
      <c r="Z918" s="81" t="s">
        <v>1057</v>
      </c>
      <c r="AA918" s="81" t="s">
        <v>876</v>
      </c>
      <c r="AB918" s="81"/>
      <c r="AC918" s="81"/>
      <c r="AD918" s="81"/>
      <c r="AE918" s="83"/>
      <c r="AF918" s="81"/>
      <c r="AG918" s="81"/>
      <c r="AH918" s="81"/>
      <c r="AI918" s="81"/>
      <c r="AJ918" s="83"/>
      <c r="AK918" s="81"/>
      <c r="AL918" s="81"/>
      <c r="AM918" s="83"/>
      <c r="AN918" s="80"/>
      <c r="AO918" s="82" t="n">
        <f aca="false">IF(E918="","",(AA918&lt;&gt;"")+(AG918&lt;&gt;"")+(AL918&lt;&gt;""))</f>
        <v>1</v>
      </c>
      <c r="AP918" s="82" t="str">
        <f aca="false">IF(AL918&lt;&gt;"",AL918,IF(AG918&lt;&gt;"",AG918,IF(AA918&lt;&gt;"",AA918,"")))</f>
        <v>A</v>
      </c>
      <c r="AQ918" s="84" t="str">
        <f aca="false">IF(E918="","",IF(U918="","À SOUDER",IF(X918="","VT EN ATTENTE",IF(X918="R","VT REJETÉ – À REPRENDRE",IF(AP918="","À RADIOGRAPHIER",IF(AP918="A","ACCEPTÉ",IF(AP918="NX","NX – RT À REFAIRE",IF(IF(AO918=1,AD918,IF(AO918=2,AI918,""))="A","RÉPARÉ – À RADIOGRAPHIER",IF(IF(AO918=1,AD918,IF(AO918=2,AI918,""))="R","VT REJETÉ – À REPRENDRE",IF(OR(AP918="CO",AP918="NT"),"COUPE – À RESOUDER","À RÉPARER"))))))))))</f>
        <v>ACCEPTÉ</v>
      </c>
      <c r="AR918" s="82" t="str">
        <f aca="false">IF(AND(ISNUMBER(U918),OR(AQ918="À RADIOGRAPHIER",AQ918="RÉPARÉ – À RADIOGRAPHIER",AQ918="NX – RT À REFAIRE",AQ918="À RÉPARER",AQ918="COUPE – À RESOUDER",AQ918="VT REJETÉ – À REPRENDRE")),MAX(0,'PROGRAMME RT'!$C$4-U918),"")</f>
        <v/>
      </c>
      <c r="AS918" s="82" t="n">
        <f aca="false">IF(AND(OR(AQ918="À RADIOGRAPHIER",AQ918="RÉPARÉ – À RADIOGRAPHIER",AQ918="NX – RT À REFAIRE"),OR('PROGRAMME RT'!$D$5="TOUTES",B918='PROGRAMME RT'!$D$5)),1,0)</f>
        <v>0</v>
      </c>
      <c r="AT918" s="82" t="str">
        <f aca="false">IF(AS918=1,SUM(AS$7:AS918),"")</f>
        <v/>
      </c>
      <c r="AU918" s="82" t="n">
        <f aca="false">IF(AND(OR(AA918="R",AA918="NX",AA918="NT",AA918="CO"),OR('JOINTS DE RÉPARATION'!$D$5="TOUTES",B918='JOINTS DE RÉPARATION'!$D$5),OR('JOINTS DE RÉPARATION'!$L$4="TOUS",AQ918&lt;&gt;"ACCEPTÉ")),1,0)</f>
        <v>0</v>
      </c>
      <c r="AV918" s="82" t="str">
        <f aca="false">IF(AU918=1,SUM(AU$7:AU918),"")</f>
        <v/>
      </c>
      <c r="AW918" s="82" t="str">
        <f aca="false">IF(E918="","",B918&amp;"|"&amp;E918)</f>
        <v>MFD-ISW → MFD-CPF|JN°837</v>
      </c>
    </row>
    <row r="919" customFormat="false" ht="74.6" hidden="false" customHeight="false" outlineLevel="0" collapsed="false">
      <c r="A919" s="79" t="n">
        <f aca="false">IF(E919="","",ROW()-6)</f>
        <v>913</v>
      </c>
      <c r="B919" s="80" t="s">
        <v>110</v>
      </c>
      <c r="C919" s="81" t="s">
        <v>1054</v>
      </c>
      <c r="D919" s="81" t="n">
        <v>6</v>
      </c>
      <c r="E919" s="81" t="s">
        <v>1069</v>
      </c>
      <c r="F919" s="82" t="str">
        <f aca="false">IF(E919="","",IF(LEFT(E919,2)="DJ","DJ","JN"))</f>
        <v>DJ</v>
      </c>
      <c r="G919" s="81"/>
      <c r="H919" s="81" t="s">
        <v>871</v>
      </c>
      <c r="I919" s="81" t="n">
        <v>9.53</v>
      </c>
      <c r="J919" s="81" t="s">
        <v>872</v>
      </c>
      <c r="K919" s="81" t="s">
        <v>873</v>
      </c>
      <c r="L919" s="81" t="n">
        <v>2095180</v>
      </c>
      <c r="M919" s="81" t="n">
        <v>15421111</v>
      </c>
      <c r="N919" s="81" t="n">
        <v>11.94</v>
      </c>
      <c r="O919" s="81" t="n">
        <v>2092430</v>
      </c>
      <c r="P919" s="81" t="n">
        <v>15421110</v>
      </c>
      <c r="Q919" s="81" t="n">
        <v>11.94</v>
      </c>
      <c r="R919" s="81" t="s">
        <v>874</v>
      </c>
      <c r="S919" s="81"/>
      <c r="T919" s="81"/>
      <c r="U919" s="83" t="n">
        <v>46284</v>
      </c>
      <c r="V919" s="83" t="n">
        <v>46284</v>
      </c>
      <c r="W919" s="81" t="s">
        <v>956</v>
      </c>
      <c r="X919" s="81" t="s">
        <v>876</v>
      </c>
      <c r="Y919" s="83" t="n">
        <v>46285</v>
      </c>
      <c r="Z919" s="81" t="s">
        <v>957</v>
      </c>
      <c r="AA919" s="81" t="s">
        <v>876</v>
      </c>
      <c r="AB919" s="81"/>
      <c r="AC919" s="81"/>
      <c r="AD919" s="81"/>
      <c r="AE919" s="83"/>
      <c r="AF919" s="81"/>
      <c r="AG919" s="81"/>
      <c r="AH919" s="81"/>
      <c r="AI919" s="81"/>
      <c r="AJ919" s="83"/>
      <c r="AK919" s="81"/>
      <c r="AL919" s="81"/>
      <c r="AM919" s="83"/>
      <c r="AN919" s="80"/>
      <c r="AO919" s="82" t="n">
        <f aca="false">IF(E919="","",(AA919&lt;&gt;"")+(AG919&lt;&gt;"")+(AL919&lt;&gt;""))</f>
        <v>1</v>
      </c>
      <c r="AP919" s="82" t="str">
        <f aca="false">IF(AL919&lt;&gt;"",AL919,IF(AG919&lt;&gt;"",AG919,IF(AA919&lt;&gt;"",AA919,"")))</f>
        <v>A</v>
      </c>
      <c r="AQ919" s="84" t="str">
        <f aca="false">IF(E919="","",IF(U919="","À SOUDER",IF(X919="","VT EN ATTENTE",IF(X919="R","VT REJETÉ – À REPRENDRE",IF(AP919="","À RADIOGRAPHIER",IF(AP919="A","ACCEPTÉ",IF(AP919="NX","NX – RT À REFAIRE",IF(IF(AO919=1,AD919,IF(AO919=2,AI919,""))="A","RÉPARÉ – À RADIOGRAPHIER",IF(IF(AO919=1,AD919,IF(AO919=2,AI919,""))="R","VT REJETÉ – À REPRENDRE",IF(OR(AP919="CO",AP919="NT"),"COUPE – À RESOUDER","À RÉPARER"))))))))))</f>
        <v>ACCEPTÉ</v>
      </c>
      <c r="AR919" s="82" t="str">
        <f aca="false">IF(AND(ISNUMBER(U919),OR(AQ919="À RADIOGRAPHIER",AQ919="RÉPARÉ – À RADIOGRAPHIER",AQ919="NX – RT À REFAIRE",AQ919="À RÉPARER",AQ919="COUPE – À RESOUDER",AQ919="VT REJETÉ – À REPRENDRE")),MAX(0,'PROGRAMME RT'!$C$4-U919),"")</f>
        <v/>
      </c>
      <c r="AS919" s="82" t="n">
        <f aca="false">IF(AND(OR(AQ919="À RADIOGRAPHIER",AQ919="RÉPARÉ – À RADIOGRAPHIER",AQ919="NX – RT À REFAIRE"),OR('PROGRAMME RT'!$D$5="TOUTES",B919='PROGRAMME RT'!$D$5)),1,0)</f>
        <v>0</v>
      </c>
      <c r="AT919" s="82" t="str">
        <f aca="false">IF(AS919=1,SUM(AS$7:AS919),"")</f>
        <v/>
      </c>
      <c r="AU919" s="82" t="n">
        <f aca="false">IF(AND(OR(AA919="R",AA919="NX",AA919="NT",AA919="CO"),OR('JOINTS DE RÉPARATION'!$D$5="TOUTES",B919='JOINTS DE RÉPARATION'!$D$5),OR('JOINTS DE RÉPARATION'!$L$4="TOUS",AQ919&lt;&gt;"ACCEPTÉ")),1,0)</f>
        <v>0</v>
      </c>
      <c r="AV919" s="82" t="str">
        <f aca="false">IF(AU919=1,SUM(AU$7:AU919),"")</f>
        <v/>
      </c>
      <c r="AW919" s="82" t="str">
        <f aca="false">IF(E919="","",B919&amp;"|"&amp;E919)</f>
        <v>MFD-ISW → MFD-CPF|DJ°431</v>
      </c>
    </row>
    <row r="920" customFormat="false" ht="74.6" hidden="false" customHeight="false" outlineLevel="0" collapsed="false">
      <c r="A920" s="79" t="n">
        <f aca="false">IF(E920="","",ROW()-6)</f>
        <v>914</v>
      </c>
      <c r="B920" s="80" t="s">
        <v>110</v>
      </c>
      <c r="C920" s="81" t="s">
        <v>1054</v>
      </c>
      <c r="D920" s="81" t="n">
        <v>6</v>
      </c>
      <c r="E920" s="81" t="s">
        <v>1070</v>
      </c>
      <c r="F920" s="82" t="str">
        <f aca="false">IF(E920="","",IF(LEFT(E920,2)="DJ","DJ","JN"))</f>
        <v>JN</v>
      </c>
      <c r="G920" s="81"/>
      <c r="H920" s="81" t="s">
        <v>871</v>
      </c>
      <c r="I920" s="81" t="n">
        <v>9.53</v>
      </c>
      <c r="J920" s="81" t="s">
        <v>872</v>
      </c>
      <c r="K920" s="81" t="s">
        <v>879</v>
      </c>
      <c r="L920" s="81" t="n">
        <v>2092430</v>
      </c>
      <c r="M920" s="81" t="n">
        <v>15421110</v>
      </c>
      <c r="N920" s="81" t="n">
        <v>11.94</v>
      </c>
      <c r="O920" s="81" t="n">
        <v>2095710</v>
      </c>
      <c r="P920" s="81" t="n">
        <v>15421111</v>
      </c>
      <c r="Q920" s="81" t="n">
        <v>11.94</v>
      </c>
      <c r="R920" s="81" t="s">
        <v>1068</v>
      </c>
      <c r="S920" s="81"/>
      <c r="T920" s="81"/>
      <c r="U920" s="83" t="n">
        <v>46286</v>
      </c>
      <c r="V920" s="83" t="n">
        <v>46286</v>
      </c>
      <c r="W920" s="81" t="s">
        <v>1063</v>
      </c>
      <c r="X920" s="81" t="s">
        <v>876</v>
      </c>
      <c r="Y920" s="83" t="n">
        <v>46292</v>
      </c>
      <c r="Z920" s="81" t="s">
        <v>1057</v>
      </c>
      <c r="AA920" s="81" t="s">
        <v>876</v>
      </c>
      <c r="AB920" s="81"/>
      <c r="AC920" s="81"/>
      <c r="AD920" s="81"/>
      <c r="AE920" s="83"/>
      <c r="AF920" s="81"/>
      <c r="AG920" s="81"/>
      <c r="AH920" s="81"/>
      <c r="AI920" s="81"/>
      <c r="AJ920" s="83"/>
      <c r="AK920" s="81"/>
      <c r="AL920" s="81"/>
      <c r="AM920" s="83"/>
      <c r="AN920" s="80"/>
      <c r="AO920" s="82" t="n">
        <f aca="false">IF(E920="","",(AA920&lt;&gt;"")+(AG920&lt;&gt;"")+(AL920&lt;&gt;""))</f>
        <v>1</v>
      </c>
      <c r="AP920" s="82" t="str">
        <f aca="false">IF(AL920&lt;&gt;"",AL920,IF(AG920&lt;&gt;"",AG920,IF(AA920&lt;&gt;"",AA920,"")))</f>
        <v>A</v>
      </c>
      <c r="AQ920" s="84" t="str">
        <f aca="false">IF(E920="","",IF(U920="","À SOUDER",IF(X920="","VT EN ATTENTE",IF(X920="R","VT REJETÉ – À REPRENDRE",IF(AP920="","À RADIOGRAPHIER",IF(AP920="A","ACCEPTÉ",IF(AP920="NX","NX – RT À REFAIRE",IF(IF(AO920=1,AD920,IF(AO920=2,AI920,""))="A","RÉPARÉ – À RADIOGRAPHIER",IF(IF(AO920=1,AD920,IF(AO920=2,AI920,""))="R","VT REJETÉ – À REPRENDRE",IF(OR(AP920="CO",AP920="NT"),"COUPE – À RESOUDER","À RÉPARER"))))))))))</f>
        <v>ACCEPTÉ</v>
      </c>
      <c r="AR920" s="82" t="str">
        <f aca="false">IF(AND(ISNUMBER(U920),OR(AQ920="À RADIOGRAPHIER",AQ920="RÉPARÉ – À RADIOGRAPHIER",AQ920="NX – RT À REFAIRE",AQ920="À RÉPARER",AQ920="COUPE – À RESOUDER",AQ920="VT REJETÉ – À REPRENDRE")),MAX(0,'PROGRAMME RT'!$C$4-U920),"")</f>
        <v/>
      </c>
      <c r="AS920" s="82" t="n">
        <f aca="false">IF(AND(OR(AQ920="À RADIOGRAPHIER",AQ920="RÉPARÉ – À RADIOGRAPHIER",AQ920="NX – RT À REFAIRE"),OR('PROGRAMME RT'!$D$5="TOUTES",B920='PROGRAMME RT'!$D$5)),1,0)</f>
        <v>0</v>
      </c>
      <c r="AT920" s="82" t="str">
        <f aca="false">IF(AS920=1,SUM(AS$7:AS920),"")</f>
        <v/>
      </c>
      <c r="AU920" s="82" t="n">
        <f aca="false">IF(AND(OR(AA920="R",AA920="NX",AA920="NT",AA920="CO"),OR('JOINTS DE RÉPARATION'!$D$5="TOUTES",B920='JOINTS DE RÉPARATION'!$D$5),OR('JOINTS DE RÉPARATION'!$L$4="TOUS",AQ920&lt;&gt;"ACCEPTÉ")),1,0)</f>
        <v>0</v>
      </c>
      <c r="AV920" s="82" t="str">
        <f aca="false">IF(AU920=1,SUM(AU$7:AU920),"")</f>
        <v/>
      </c>
      <c r="AW920" s="82" t="str">
        <f aca="false">IF(E920="","",B920&amp;"|"&amp;E920)</f>
        <v>MFD-ISW → MFD-CPF|JN°838</v>
      </c>
    </row>
    <row r="921" customFormat="false" ht="74.6" hidden="false" customHeight="false" outlineLevel="0" collapsed="false">
      <c r="A921" s="79" t="n">
        <f aca="false">IF(E921="","",ROW()-6)</f>
        <v>915</v>
      </c>
      <c r="B921" s="80" t="s">
        <v>110</v>
      </c>
      <c r="C921" s="81" t="s">
        <v>1054</v>
      </c>
      <c r="D921" s="81" t="n">
        <v>6</v>
      </c>
      <c r="E921" s="81" t="s">
        <v>1071</v>
      </c>
      <c r="F921" s="82" t="str">
        <f aca="false">IF(E921="","",IF(LEFT(E921,2)="DJ","DJ","JN"))</f>
        <v>DJ</v>
      </c>
      <c r="G921" s="81"/>
      <c r="H921" s="81" t="s">
        <v>871</v>
      </c>
      <c r="I921" s="81" t="n">
        <v>9.53</v>
      </c>
      <c r="J921" s="81" t="s">
        <v>872</v>
      </c>
      <c r="K921" s="81" t="s">
        <v>873</v>
      </c>
      <c r="L921" s="81" t="n">
        <v>2095710</v>
      </c>
      <c r="M921" s="81" t="n">
        <v>15421111</v>
      </c>
      <c r="N921" s="81" t="n">
        <v>11.94</v>
      </c>
      <c r="O921" s="81" t="n">
        <v>2084850</v>
      </c>
      <c r="P921" s="81" t="n">
        <v>15421106</v>
      </c>
      <c r="Q921" s="81" t="n">
        <v>11.94</v>
      </c>
      <c r="R921" s="81" t="s">
        <v>920</v>
      </c>
      <c r="S921" s="81"/>
      <c r="T921" s="81"/>
      <c r="U921" s="83" t="n">
        <v>46284</v>
      </c>
      <c r="V921" s="83" t="n">
        <v>46284</v>
      </c>
      <c r="W921" s="81" t="s">
        <v>956</v>
      </c>
      <c r="X921" s="81" t="s">
        <v>876</v>
      </c>
      <c r="Y921" s="83" t="n">
        <v>46285</v>
      </c>
      <c r="Z921" s="81" t="s">
        <v>1072</v>
      </c>
      <c r="AA921" s="81" t="s">
        <v>1073</v>
      </c>
      <c r="AB921" s="81" t="s">
        <v>1074</v>
      </c>
      <c r="AC921" s="81"/>
      <c r="AD921" s="81"/>
      <c r="AE921" s="83"/>
      <c r="AF921" s="81"/>
      <c r="AG921" s="81"/>
      <c r="AH921" s="81"/>
      <c r="AI921" s="81"/>
      <c r="AJ921" s="83"/>
      <c r="AK921" s="81"/>
      <c r="AL921" s="81"/>
      <c r="AM921" s="83"/>
      <c r="AN921" s="80"/>
      <c r="AO921" s="82" t="n">
        <f aca="false">IF(E921="","",(AA921&lt;&gt;"")+(AG921&lt;&gt;"")+(AL921&lt;&gt;""))</f>
        <v>1</v>
      </c>
      <c r="AP921" s="82" t="str">
        <f aca="false">IF(AL921&lt;&gt;"",AL921,IF(AG921&lt;&gt;"",AG921,IF(AA921&lt;&gt;"",AA921,"")))</f>
        <v>R</v>
      </c>
      <c r="AQ921" s="84" t="str">
        <f aca="false">IF(E921="","",IF(U921="","À SOUDER",IF(X921="","VT EN ATTENTE",IF(X921="R","VT REJETÉ – À REPRENDRE",IF(AP921="","À RADIOGRAPHIER",IF(AP921="A","ACCEPTÉ",IF(AP921="NX","NX – RT À REFAIRE",IF(IF(AO921=1,AD921,IF(AO921=2,AI921,""))="A","RÉPARÉ – À RADIOGRAPHIER",IF(IF(AO921=1,AD921,IF(AO921=2,AI921,""))="R","VT REJETÉ – À REPRENDRE",IF(OR(AP921="CO",AP921="NT"),"COUPE – À RESOUDER","À RÉPARER"))))))))))</f>
        <v>À RÉPARER</v>
      </c>
      <c r="AR921" s="82" t="n">
        <f aca="false">IF(AND(ISNUMBER(U921),OR(AQ921="À RADIOGRAPHIER",AQ921="RÉPARÉ – À RADIOGRAPHIER",AQ921="NX – RT À REFAIRE",AQ921="À RÉPARER",AQ921="COUPE – À RESOUDER",AQ921="VT REJETÉ – À REPRENDRE")),MAX(0,'PROGRAMME RT'!$C$4-U921),"")</f>
        <v>9</v>
      </c>
      <c r="AS921" s="82" t="n">
        <f aca="false">IF(AND(OR(AQ921="À RADIOGRAPHIER",AQ921="RÉPARÉ – À RADIOGRAPHIER",AQ921="NX – RT À REFAIRE"),OR('PROGRAMME RT'!$D$5="TOUTES",B921='PROGRAMME RT'!$D$5)),1,0)</f>
        <v>0</v>
      </c>
      <c r="AT921" s="82" t="str">
        <f aca="false">IF(AS921=1,SUM(AS$7:AS921),"")</f>
        <v/>
      </c>
      <c r="AU921" s="82" t="n">
        <f aca="false">IF(AND(OR(AA921="R",AA921="NX",AA921="NT",AA921="CO"),OR('JOINTS DE RÉPARATION'!$D$5="TOUTES",B921='JOINTS DE RÉPARATION'!$D$5),OR('JOINTS DE RÉPARATION'!$L$4="TOUS",AQ921&lt;&gt;"ACCEPTÉ")),1,0)</f>
        <v>1</v>
      </c>
      <c r="AV921" s="82" t="n">
        <f aca="false">IF(AU921=1,SUM(AU$7:AU921),"")</f>
        <v>1</v>
      </c>
      <c r="AW921" s="82" t="str">
        <f aca="false">IF(E921="","",B921&amp;"|"&amp;E921)</f>
        <v>MFD-ISW → MFD-CPF|DJ°443</v>
      </c>
    </row>
    <row r="922" customFormat="false" ht="74.6" hidden="false" customHeight="false" outlineLevel="0" collapsed="false">
      <c r="A922" s="79" t="n">
        <f aca="false">IF(E922="","",ROW()-6)</f>
        <v>916</v>
      </c>
      <c r="B922" s="80" t="s">
        <v>110</v>
      </c>
      <c r="C922" s="81" t="s">
        <v>1054</v>
      </c>
      <c r="D922" s="81" t="n">
        <v>6</v>
      </c>
      <c r="E922" s="81" t="s">
        <v>1075</v>
      </c>
      <c r="F922" s="82" t="str">
        <f aca="false">IF(E922="","",IF(LEFT(E922,2)="DJ","DJ","JN"))</f>
        <v>JN</v>
      </c>
      <c r="G922" s="81"/>
      <c r="H922" s="81" t="s">
        <v>871</v>
      </c>
      <c r="I922" s="81" t="n">
        <v>9.53</v>
      </c>
      <c r="J922" s="81" t="s">
        <v>872</v>
      </c>
      <c r="K922" s="81" t="s">
        <v>879</v>
      </c>
      <c r="L922" s="81" t="n">
        <v>2084850</v>
      </c>
      <c r="M922" s="81" t="n">
        <v>15421106</v>
      </c>
      <c r="N922" s="81" t="n">
        <v>11.94</v>
      </c>
      <c r="O922" s="81" t="n">
        <v>2082020</v>
      </c>
      <c r="P922" s="81" t="n">
        <v>15421104</v>
      </c>
      <c r="Q922" s="81" t="n">
        <v>11.94</v>
      </c>
      <c r="R922" s="81" t="s">
        <v>1068</v>
      </c>
      <c r="S922" s="81"/>
      <c r="T922" s="81"/>
      <c r="U922" s="83" t="n">
        <v>46286</v>
      </c>
      <c r="V922" s="83" t="n">
        <v>46286</v>
      </c>
      <c r="W922" s="81" t="s">
        <v>1063</v>
      </c>
      <c r="X922" s="81" t="s">
        <v>876</v>
      </c>
      <c r="Y922" s="83" t="n">
        <v>46292</v>
      </c>
      <c r="Z922" s="81" t="s">
        <v>1057</v>
      </c>
      <c r="AA922" s="81" t="s">
        <v>876</v>
      </c>
      <c r="AB922" s="81"/>
      <c r="AC922" s="81"/>
      <c r="AD922" s="81"/>
      <c r="AE922" s="83"/>
      <c r="AF922" s="81"/>
      <c r="AG922" s="81"/>
      <c r="AH922" s="81"/>
      <c r="AI922" s="81"/>
      <c r="AJ922" s="83"/>
      <c r="AK922" s="81"/>
      <c r="AL922" s="81"/>
      <c r="AM922" s="83"/>
      <c r="AN922" s="80"/>
      <c r="AO922" s="82" t="n">
        <f aca="false">IF(E922="","",(AA922&lt;&gt;"")+(AG922&lt;&gt;"")+(AL922&lt;&gt;""))</f>
        <v>1</v>
      </c>
      <c r="AP922" s="82" t="str">
        <f aca="false">IF(AL922&lt;&gt;"",AL922,IF(AG922&lt;&gt;"",AG922,IF(AA922&lt;&gt;"",AA922,"")))</f>
        <v>A</v>
      </c>
      <c r="AQ922" s="84" t="str">
        <f aca="false">IF(E922="","",IF(U922="","À SOUDER",IF(X922="","VT EN ATTENTE",IF(X922="R","VT REJETÉ – À REPRENDRE",IF(AP922="","À RADIOGRAPHIER",IF(AP922="A","ACCEPTÉ",IF(AP922="NX","NX – RT À REFAIRE",IF(IF(AO922=1,AD922,IF(AO922=2,AI922,""))="A","RÉPARÉ – À RADIOGRAPHIER",IF(IF(AO922=1,AD922,IF(AO922=2,AI922,""))="R","VT REJETÉ – À REPRENDRE",IF(OR(AP922="CO",AP922="NT"),"COUPE – À RESOUDER","À RÉPARER"))))))))))</f>
        <v>ACCEPTÉ</v>
      </c>
      <c r="AR922" s="82" t="str">
        <f aca="false">IF(AND(ISNUMBER(U922),OR(AQ922="À RADIOGRAPHIER",AQ922="RÉPARÉ – À RADIOGRAPHIER",AQ922="NX – RT À REFAIRE",AQ922="À RÉPARER",AQ922="COUPE – À RESOUDER",AQ922="VT REJETÉ – À REPRENDRE")),MAX(0,'PROGRAMME RT'!$C$4-U922),"")</f>
        <v/>
      </c>
      <c r="AS922" s="82" t="n">
        <f aca="false">IF(AND(OR(AQ922="À RADIOGRAPHIER",AQ922="RÉPARÉ – À RADIOGRAPHIER",AQ922="NX – RT À REFAIRE"),OR('PROGRAMME RT'!$D$5="TOUTES",B922='PROGRAMME RT'!$D$5)),1,0)</f>
        <v>0</v>
      </c>
      <c r="AT922" s="82" t="str">
        <f aca="false">IF(AS922=1,SUM(AS$7:AS922),"")</f>
        <v/>
      </c>
      <c r="AU922" s="82" t="n">
        <f aca="false">IF(AND(OR(AA922="R",AA922="NX",AA922="NT",AA922="CO"),OR('JOINTS DE RÉPARATION'!$D$5="TOUTES",B922='JOINTS DE RÉPARATION'!$D$5),OR('JOINTS DE RÉPARATION'!$L$4="TOUS",AQ922&lt;&gt;"ACCEPTÉ")),1,0)</f>
        <v>0</v>
      </c>
      <c r="AV922" s="82" t="str">
        <f aca="false">IF(AU922=1,SUM(AU$7:AU922),"")</f>
        <v/>
      </c>
      <c r="AW922" s="82" t="str">
        <f aca="false">IF(E922="","",B922&amp;"|"&amp;E922)</f>
        <v>MFD-ISW → MFD-CPF|JN°839</v>
      </c>
    </row>
    <row r="923" customFormat="false" ht="74.6" hidden="false" customHeight="false" outlineLevel="0" collapsed="false">
      <c r="A923" s="79" t="n">
        <f aca="false">IF(E923="","",ROW()-6)</f>
        <v>917</v>
      </c>
      <c r="B923" s="80" t="s">
        <v>110</v>
      </c>
      <c r="C923" s="81" t="s">
        <v>1054</v>
      </c>
      <c r="D923" s="81" t="n">
        <v>6</v>
      </c>
      <c r="E923" s="81" t="s">
        <v>1076</v>
      </c>
      <c r="F923" s="82" t="str">
        <f aca="false">IF(E923="","",IF(LEFT(E923,2)="DJ","DJ","JN"))</f>
        <v>DJ</v>
      </c>
      <c r="G923" s="81"/>
      <c r="H923" s="81" t="s">
        <v>871</v>
      </c>
      <c r="I923" s="81" t="n">
        <v>9.53</v>
      </c>
      <c r="J923" s="81" t="s">
        <v>872</v>
      </c>
      <c r="K923" s="81" t="s">
        <v>873</v>
      </c>
      <c r="L923" s="81" t="n">
        <v>2082020</v>
      </c>
      <c r="M923" s="81" t="n">
        <v>15421104</v>
      </c>
      <c r="N923" s="81" t="n">
        <v>11.94</v>
      </c>
      <c r="O923" s="81" t="n">
        <v>2098570</v>
      </c>
      <c r="P923" s="81" t="n">
        <v>15421112</v>
      </c>
      <c r="Q923" s="81" t="n">
        <v>11.94</v>
      </c>
      <c r="R923" s="81" t="s">
        <v>874</v>
      </c>
      <c r="S923" s="81"/>
      <c r="T923" s="81"/>
      <c r="U923" s="83" t="n">
        <v>46283</v>
      </c>
      <c r="V923" s="83" t="n">
        <v>46283</v>
      </c>
      <c r="W923" s="81" t="s">
        <v>1077</v>
      </c>
      <c r="X923" s="81" t="s">
        <v>876</v>
      </c>
      <c r="Y923" s="83" t="n">
        <v>46284</v>
      </c>
      <c r="Z923" s="81" t="s">
        <v>1078</v>
      </c>
      <c r="AA923" s="81" t="s">
        <v>876</v>
      </c>
      <c r="AB923" s="81"/>
      <c r="AC923" s="81"/>
      <c r="AD923" s="81"/>
      <c r="AE923" s="83"/>
      <c r="AF923" s="81"/>
      <c r="AG923" s="81"/>
      <c r="AH923" s="81"/>
      <c r="AI923" s="81"/>
      <c r="AJ923" s="83"/>
      <c r="AK923" s="81"/>
      <c r="AL923" s="81"/>
      <c r="AM923" s="83"/>
      <c r="AN923" s="80"/>
      <c r="AO923" s="82" t="n">
        <f aca="false">IF(E923="","",(AA923&lt;&gt;"")+(AG923&lt;&gt;"")+(AL923&lt;&gt;""))</f>
        <v>1</v>
      </c>
      <c r="AP923" s="82" t="str">
        <f aca="false">IF(AL923&lt;&gt;"",AL923,IF(AG923&lt;&gt;"",AG923,IF(AA923&lt;&gt;"",AA923,"")))</f>
        <v>A</v>
      </c>
      <c r="AQ923" s="84" t="str">
        <f aca="false">IF(E923="","",IF(U923="","À SOUDER",IF(X923="","VT EN ATTENTE",IF(X923="R","VT REJETÉ – À REPRENDRE",IF(AP923="","À RADIOGRAPHIER",IF(AP923="A","ACCEPTÉ",IF(AP923="NX","NX – RT À REFAIRE",IF(IF(AO923=1,AD923,IF(AO923=2,AI923,""))="A","RÉPARÉ – À RADIOGRAPHIER",IF(IF(AO923=1,AD923,IF(AO923=2,AI923,""))="R","VT REJETÉ – À REPRENDRE",IF(OR(AP923="CO",AP923="NT"),"COUPE – À RESOUDER","À RÉPARER"))))))))))</f>
        <v>ACCEPTÉ</v>
      </c>
      <c r="AR923" s="82" t="str">
        <f aca="false">IF(AND(ISNUMBER(U923),OR(AQ923="À RADIOGRAPHIER",AQ923="RÉPARÉ – À RADIOGRAPHIER",AQ923="NX – RT À REFAIRE",AQ923="À RÉPARER",AQ923="COUPE – À RESOUDER",AQ923="VT REJETÉ – À REPRENDRE")),MAX(0,'PROGRAMME RT'!$C$4-U923),"")</f>
        <v/>
      </c>
      <c r="AS923" s="82" t="n">
        <f aca="false">IF(AND(OR(AQ923="À RADIOGRAPHIER",AQ923="RÉPARÉ – À RADIOGRAPHIER",AQ923="NX – RT À REFAIRE"),OR('PROGRAMME RT'!$D$5="TOUTES",B923='PROGRAMME RT'!$D$5)),1,0)</f>
        <v>0</v>
      </c>
      <c r="AT923" s="82" t="str">
        <f aca="false">IF(AS923=1,SUM(AS$7:AS923),"")</f>
        <v/>
      </c>
      <c r="AU923" s="82" t="n">
        <f aca="false">IF(AND(OR(AA923="R",AA923="NX",AA923="NT",AA923="CO"),OR('JOINTS DE RÉPARATION'!$D$5="TOUTES",B923='JOINTS DE RÉPARATION'!$D$5),OR('JOINTS DE RÉPARATION'!$L$4="TOUS",AQ923&lt;&gt;"ACCEPTÉ")),1,0)</f>
        <v>0</v>
      </c>
      <c r="AV923" s="82" t="str">
        <f aca="false">IF(AU923=1,SUM(AU$7:AU923),"")</f>
        <v/>
      </c>
      <c r="AW923" s="82" t="str">
        <f aca="false">IF(E923="","",B923&amp;"|"&amp;E923)</f>
        <v>MFD-ISW → MFD-CPF|DJ°420</v>
      </c>
    </row>
    <row r="924" customFormat="false" ht="74.6" hidden="false" customHeight="false" outlineLevel="0" collapsed="false">
      <c r="A924" s="79" t="n">
        <f aca="false">IF(E924="","",ROW()-6)</f>
        <v>918</v>
      </c>
      <c r="B924" s="80" t="s">
        <v>110</v>
      </c>
      <c r="C924" s="81" t="s">
        <v>1054</v>
      </c>
      <c r="D924" s="81" t="n">
        <v>6</v>
      </c>
      <c r="E924" s="81" t="s">
        <v>1079</v>
      </c>
      <c r="F924" s="82" t="str">
        <f aca="false">IF(E924="","",IF(LEFT(E924,2)="DJ","DJ","JN"))</f>
        <v>JN</v>
      </c>
      <c r="G924" s="81"/>
      <c r="H924" s="81" t="s">
        <v>871</v>
      </c>
      <c r="I924" s="81" t="n">
        <v>9.53</v>
      </c>
      <c r="J924" s="81" t="s">
        <v>872</v>
      </c>
      <c r="K924" s="81" t="s">
        <v>879</v>
      </c>
      <c r="L924" s="81" t="n">
        <v>2098570</v>
      </c>
      <c r="M924" s="81" t="n">
        <v>15421112</v>
      </c>
      <c r="N924" s="81" t="n">
        <v>11.94</v>
      </c>
      <c r="O924" s="81" t="n">
        <v>2084460</v>
      </c>
      <c r="P924" s="81" t="n">
        <v>15421106</v>
      </c>
      <c r="Q924" s="81" t="n">
        <v>11.94</v>
      </c>
      <c r="R924" s="81" t="s">
        <v>1068</v>
      </c>
      <c r="S924" s="81"/>
      <c r="T924" s="81"/>
      <c r="U924" s="83" t="n">
        <v>46286</v>
      </c>
      <c r="V924" s="83" t="n">
        <v>46286</v>
      </c>
      <c r="W924" s="81" t="s">
        <v>1063</v>
      </c>
      <c r="X924" s="81" t="s">
        <v>876</v>
      </c>
      <c r="Y924" s="83" t="n">
        <v>46292</v>
      </c>
      <c r="Z924" s="81" t="s">
        <v>1057</v>
      </c>
      <c r="AA924" s="81" t="s">
        <v>876</v>
      </c>
      <c r="AB924" s="81"/>
      <c r="AC924" s="81"/>
      <c r="AD924" s="81"/>
      <c r="AE924" s="83"/>
      <c r="AF924" s="81"/>
      <c r="AG924" s="81"/>
      <c r="AH924" s="81"/>
      <c r="AI924" s="81"/>
      <c r="AJ924" s="83"/>
      <c r="AK924" s="81"/>
      <c r="AL924" s="81"/>
      <c r="AM924" s="83"/>
      <c r="AN924" s="80"/>
      <c r="AO924" s="82" t="n">
        <f aca="false">IF(E924="","",(AA924&lt;&gt;"")+(AG924&lt;&gt;"")+(AL924&lt;&gt;""))</f>
        <v>1</v>
      </c>
      <c r="AP924" s="82" t="str">
        <f aca="false">IF(AL924&lt;&gt;"",AL924,IF(AG924&lt;&gt;"",AG924,IF(AA924&lt;&gt;"",AA924,"")))</f>
        <v>A</v>
      </c>
      <c r="AQ924" s="84" t="str">
        <f aca="false">IF(E924="","",IF(U924="","À SOUDER",IF(X924="","VT EN ATTENTE",IF(X924="R","VT REJETÉ – À REPRENDRE",IF(AP924="","À RADIOGRAPHIER",IF(AP924="A","ACCEPTÉ",IF(AP924="NX","NX – RT À REFAIRE",IF(IF(AO924=1,AD924,IF(AO924=2,AI924,""))="A","RÉPARÉ – À RADIOGRAPHIER",IF(IF(AO924=1,AD924,IF(AO924=2,AI924,""))="R","VT REJETÉ – À REPRENDRE",IF(OR(AP924="CO",AP924="NT"),"COUPE – À RESOUDER","À RÉPARER"))))))))))</f>
        <v>ACCEPTÉ</v>
      </c>
      <c r="AR924" s="82" t="str">
        <f aca="false">IF(AND(ISNUMBER(U924),OR(AQ924="À RADIOGRAPHIER",AQ924="RÉPARÉ – À RADIOGRAPHIER",AQ924="NX – RT À REFAIRE",AQ924="À RÉPARER",AQ924="COUPE – À RESOUDER",AQ924="VT REJETÉ – À REPRENDRE")),MAX(0,'PROGRAMME RT'!$C$4-U924),"")</f>
        <v/>
      </c>
      <c r="AS924" s="82" t="n">
        <f aca="false">IF(AND(OR(AQ924="À RADIOGRAPHIER",AQ924="RÉPARÉ – À RADIOGRAPHIER",AQ924="NX – RT À REFAIRE"),OR('PROGRAMME RT'!$D$5="TOUTES",B924='PROGRAMME RT'!$D$5)),1,0)</f>
        <v>0</v>
      </c>
      <c r="AT924" s="82" t="str">
        <f aca="false">IF(AS924=1,SUM(AS$7:AS924),"")</f>
        <v/>
      </c>
      <c r="AU924" s="82" t="n">
        <f aca="false">IF(AND(OR(AA924="R",AA924="NX",AA924="NT",AA924="CO"),OR('JOINTS DE RÉPARATION'!$D$5="TOUTES",B924='JOINTS DE RÉPARATION'!$D$5),OR('JOINTS DE RÉPARATION'!$L$4="TOUS",AQ924&lt;&gt;"ACCEPTÉ")),1,0)</f>
        <v>0</v>
      </c>
      <c r="AV924" s="82" t="str">
        <f aca="false">IF(AU924=1,SUM(AU$7:AU924),"")</f>
        <v/>
      </c>
      <c r="AW924" s="82" t="str">
        <f aca="false">IF(E924="","",B924&amp;"|"&amp;E924)</f>
        <v>MFD-ISW → MFD-CPF|JN°840</v>
      </c>
    </row>
    <row r="925" customFormat="false" ht="74.6" hidden="false" customHeight="false" outlineLevel="0" collapsed="false">
      <c r="A925" s="79" t="n">
        <f aca="false">IF(E925="","",ROW()-6)</f>
        <v>919</v>
      </c>
      <c r="B925" s="80" t="s">
        <v>110</v>
      </c>
      <c r="C925" s="81" t="s">
        <v>1054</v>
      </c>
      <c r="D925" s="81" t="n">
        <v>6</v>
      </c>
      <c r="E925" s="81" t="s">
        <v>1080</v>
      </c>
      <c r="F925" s="82" t="str">
        <f aca="false">IF(E925="","",IF(LEFT(E925,2)="DJ","DJ","JN"))</f>
        <v>DJ</v>
      </c>
      <c r="G925" s="81"/>
      <c r="H925" s="81" t="s">
        <v>871</v>
      </c>
      <c r="I925" s="81" t="n">
        <v>9.53</v>
      </c>
      <c r="J925" s="81" t="s">
        <v>872</v>
      </c>
      <c r="K925" s="81" t="s">
        <v>873</v>
      </c>
      <c r="L925" s="81" t="n">
        <v>2084460</v>
      </c>
      <c r="M925" s="81" t="n">
        <v>15421106</v>
      </c>
      <c r="N925" s="81" t="n">
        <v>11.94</v>
      </c>
      <c r="O925" s="81" t="n">
        <v>2080300</v>
      </c>
      <c r="P925" s="81" t="n">
        <v>15421107</v>
      </c>
      <c r="Q925" s="81" t="n">
        <v>11.94</v>
      </c>
      <c r="R925" s="81" t="s">
        <v>963</v>
      </c>
      <c r="S925" s="81"/>
      <c r="T925" s="81"/>
      <c r="U925" s="83" t="n">
        <v>46284</v>
      </c>
      <c r="V925" s="83" t="n">
        <v>46284</v>
      </c>
      <c r="W925" s="81" t="s">
        <v>956</v>
      </c>
      <c r="X925" s="81" t="s">
        <v>876</v>
      </c>
      <c r="Y925" s="83" t="n">
        <v>46285</v>
      </c>
      <c r="Z925" s="81" t="s">
        <v>957</v>
      </c>
      <c r="AA925" s="81" t="s">
        <v>876</v>
      </c>
      <c r="AB925" s="81"/>
      <c r="AC925" s="81"/>
      <c r="AD925" s="81"/>
      <c r="AE925" s="83"/>
      <c r="AF925" s="81"/>
      <c r="AG925" s="81"/>
      <c r="AH925" s="81"/>
      <c r="AI925" s="81"/>
      <c r="AJ925" s="83"/>
      <c r="AK925" s="81"/>
      <c r="AL925" s="81"/>
      <c r="AM925" s="83"/>
      <c r="AN925" s="80"/>
      <c r="AO925" s="82" t="n">
        <f aca="false">IF(E925="","",(AA925&lt;&gt;"")+(AG925&lt;&gt;"")+(AL925&lt;&gt;""))</f>
        <v>1</v>
      </c>
      <c r="AP925" s="82" t="str">
        <f aca="false">IF(AL925&lt;&gt;"",AL925,IF(AG925&lt;&gt;"",AG925,IF(AA925&lt;&gt;"",AA925,"")))</f>
        <v>A</v>
      </c>
      <c r="AQ925" s="84" t="str">
        <f aca="false">IF(E925="","",IF(U925="","À SOUDER",IF(X925="","VT EN ATTENTE",IF(X925="R","VT REJETÉ – À REPRENDRE",IF(AP925="","À RADIOGRAPHIER",IF(AP925="A","ACCEPTÉ",IF(AP925="NX","NX – RT À REFAIRE",IF(IF(AO925=1,AD925,IF(AO925=2,AI925,""))="A","RÉPARÉ – À RADIOGRAPHIER",IF(IF(AO925=1,AD925,IF(AO925=2,AI925,""))="R","VT REJETÉ – À REPRENDRE",IF(OR(AP925="CO",AP925="NT"),"COUPE – À RESOUDER","À RÉPARER"))))))))))</f>
        <v>ACCEPTÉ</v>
      </c>
      <c r="AR925" s="82" t="str">
        <f aca="false">IF(AND(ISNUMBER(U925),OR(AQ925="À RADIOGRAPHIER",AQ925="RÉPARÉ – À RADIOGRAPHIER",AQ925="NX – RT À REFAIRE",AQ925="À RÉPARER",AQ925="COUPE – À RESOUDER",AQ925="VT REJETÉ – À REPRENDRE")),MAX(0,'PROGRAMME RT'!$C$4-U925),"")</f>
        <v/>
      </c>
      <c r="AS925" s="82" t="n">
        <f aca="false">IF(AND(OR(AQ925="À RADIOGRAPHIER",AQ925="RÉPARÉ – À RADIOGRAPHIER",AQ925="NX – RT À REFAIRE"),OR('PROGRAMME RT'!$D$5="TOUTES",B925='PROGRAMME RT'!$D$5)),1,0)</f>
        <v>0</v>
      </c>
      <c r="AT925" s="82" t="str">
        <f aca="false">IF(AS925=1,SUM(AS$7:AS925),"")</f>
        <v/>
      </c>
      <c r="AU925" s="82" t="n">
        <f aca="false">IF(AND(OR(AA925="R",AA925="NX",AA925="NT",AA925="CO"),OR('JOINTS DE RÉPARATION'!$D$5="TOUTES",B925='JOINTS DE RÉPARATION'!$D$5),OR('JOINTS DE RÉPARATION'!$L$4="TOUS",AQ925&lt;&gt;"ACCEPTÉ")),1,0)</f>
        <v>0</v>
      </c>
      <c r="AV925" s="82" t="str">
        <f aca="false">IF(AU925=1,SUM(AU$7:AU925),"")</f>
        <v/>
      </c>
      <c r="AW925" s="82" t="str">
        <f aca="false">IF(E925="","",B925&amp;"|"&amp;E925)</f>
        <v>MFD-ISW → MFD-CPF|DJ°433</v>
      </c>
    </row>
    <row r="926" customFormat="false" ht="74.6" hidden="false" customHeight="false" outlineLevel="0" collapsed="false">
      <c r="A926" s="79" t="n">
        <f aca="false">IF(E926="","",ROW()-6)</f>
        <v>920</v>
      </c>
      <c r="B926" s="80" t="s">
        <v>110</v>
      </c>
      <c r="C926" s="81" t="s">
        <v>1054</v>
      </c>
      <c r="D926" s="81" t="n">
        <v>6</v>
      </c>
      <c r="E926" s="81" t="s">
        <v>1081</v>
      </c>
      <c r="F926" s="82" t="str">
        <f aca="false">IF(E926="","",IF(LEFT(E926,2)="DJ","DJ","JN"))</f>
        <v>JN</v>
      </c>
      <c r="G926" s="81"/>
      <c r="H926" s="81" t="s">
        <v>871</v>
      </c>
      <c r="I926" s="81" t="n">
        <v>9.53</v>
      </c>
      <c r="J926" s="81" t="s">
        <v>872</v>
      </c>
      <c r="K926" s="81" t="s">
        <v>879</v>
      </c>
      <c r="L926" s="81" t="n">
        <v>2080300</v>
      </c>
      <c r="M926" s="81" t="n">
        <v>15421107</v>
      </c>
      <c r="N926" s="81" t="n">
        <v>11.94</v>
      </c>
      <c r="O926" s="81" t="n">
        <v>2086320</v>
      </c>
      <c r="P926" s="81" t="n">
        <v>15421107</v>
      </c>
      <c r="Q926" s="81" t="n">
        <v>11.94</v>
      </c>
      <c r="R926" s="81" t="s">
        <v>1068</v>
      </c>
      <c r="S926" s="81"/>
      <c r="T926" s="81"/>
      <c r="U926" s="83" t="n">
        <v>46286</v>
      </c>
      <c r="V926" s="83" t="n">
        <v>46286</v>
      </c>
      <c r="W926" s="81" t="s">
        <v>1063</v>
      </c>
      <c r="X926" s="81" t="s">
        <v>876</v>
      </c>
      <c r="Y926" s="83" t="n">
        <v>46292</v>
      </c>
      <c r="Z926" s="81" t="s">
        <v>1057</v>
      </c>
      <c r="AA926" s="81" t="s">
        <v>876</v>
      </c>
      <c r="AB926" s="81"/>
      <c r="AC926" s="81"/>
      <c r="AD926" s="81"/>
      <c r="AE926" s="83"/>
      <c r="AF926" s="81"/>
      <c r="AG926" s="81"/>
      <c r="AH926" s="81"/>
      <c r="AI926" s="81"/>
      <c r="AJ926" s="83"/>
      <c r="AK926" s="81"/>
      <c r="AL926" s="81"/>
      <c r="AM926" s="83"/>
      <c r="AN926" s="80"/>
      <c r="AO926" s="82" t="n">
        <f aca="false">IF(E926="","",(AA926&lt;&gt;"")+(AG926&lt;&gt;"")+(AL926&lt;&gt;""))</f>
        <v>1</v>
      </c>
      <c r="AP926" s="82" t="str">
        <f aca="false">IF(AL926&lt;&gt;"",AL926,IF(AG926&lt;&gt;"",AG926,IF(AA926&lt;&gt;"",AA926,"")))</f>
        <v>A</v>
      </c>
      <c r="AQ926" s="84" t="str">
        <f aca="false">IF(E926="","",IF(U926="","À SOUDER",IF(X926="","VT EN ATTENTE",IF(X926="R","VT REJETÉ – À REPRENDRE",IF(AP926="","À RADIOGRAPHIER",IF(AP926="A","ACCEPTÉ",IF(AP926="NX","NX – RT À REFAIRE",IF(IF(AO926=1,AD926,IF(AO926=2,AI926,""))="A","RÉPARÉ – À RADIOGRAPHIER",IF(IF(AO926=1,AD926,IF(AO926=2,AI926,""))="R","VT REJETÉ – À REPRENDRE",IF(OR(AP926="CO",AP926="NT"),"COUPE – À RESOUDER","À RÉPARER"))))))))))</f>
        <v>ACCEPTÉ</v>
      </c>
      <c r="AR926" s="82" t="str">
        <f aca="false">IF(AND(ISNUMBER(U926),OR(AQ926="À RADIOGRAPHIER",AQ926="RÉPARÉ – À RADIOGRAPHIER",AQ926="NX – RT À REFAIRE",AQ926="À RÉPARER",AQ926="COUPE – À RESOUDER",AQ926="VT REJETÉ – À REPRENDRE")),MAX(0,'PROGRAMME RT'!$C$4-U926),"")</f>
        <v/>
      </c>
      <c r="AS926" s="82" t="n">
        <f aca="false">IF(AND(OR(AQ926="À RADIOGRAPHIER",AQ926="RÉPARÉ – À RADIOGRAPHIER",AQ926="NX – RT À REFAIRE"),OR('PROGRAMME RT'!$D$5="TOUTES",B926='PROGRAMME RT'!$D$5)),1,0)</f>
        <v>0</v>
      </c>
      <c r="AT926" s="82" t="str">
        <f aca="false">IF(AS926=1,SUM(AS$7:AS926),"")</f>
        <v/>
      </c>
      <c r="AU926" s="82" t="n">
        <f aca="false">IF(AND(OR(AA926="R",AA926="NX",AA926="NT",AA926="CO"),OR('JOINTS DE RÉPARATION'!$D$5="TOUTES",B926='JOINTS DE RÉPARATION'!$D$5),OR('JOINTS DE RÉPARATION'!$L$4="TOUS",AQ926&lt;&gt;"ACCEPTÉ")),1,0)</f>
        <v>0</v>
      </c>
      <c r="AV926" s="82" t="str">
        <f aca="false">IF(AU926=1,SUM(AU$7:AU926),"")</f>
        <v/>
      </c>
      <c r="AW926" s="82" t="str">
        <f aca="false">IF(E926="","",B926&amp;"|"&amp;E926)</f>
        <v>MFD-ISW → MFD-CPF|JN°841</v>
      </c>
    </row>
    <row r="927" customFormat="false" ht="74.6" hidden="false" customHeight="false" outlineLevel="0" collapsed="false">
      <c r="A927" s="79" t="n">
        <f aca="false">IF(E927="","",ROW()-6)</f>
        <v>921</v>
      </c>
      <c r="B927" s="80" t="s">
        <v>110</v>
      </c>
      <c r="C927" s="81" t="s">
        <v>1054</v>
      </c>
      <c r="D927" s="81" t="n">
        <v>6</v>
      </c>
      <c r="E927" s="81" t="s">
        <v>1082</v>
      </c>
      <c r="F927" s="82" t="str">
        <f aca="false">IF(E927="","",IF(LEFT(E927,2)="DJ","DJ","JN"))</f>
        <v>DJ</v>
      </c>
      <c r="G927" s="81"/>
      <c r="H927" s="81" t="s">
        <v>871</v>
      </c>
      <c r="I927" s="81" t="n">
        <v>9.53</v>
      </c>
      <c r="J927" s="81" t="s">
        <v>872</v>
      </c>
      <c r="K927" s="81" t="s">
        <v>873</v>
      </c>
      <c r="L927" s="81" t="n">
        <v>2086320</v>
      </c>
      <c r="M927" s="81" t="n">
        <v>15421107</v>
      </c>
      <c r="N927" s="81" t="n">
        <v>11.94</v>
      </c>
      <c r="O927" s="81" t="n">
        <v>2080520</v>
      </c>
      <c r="P927" s="81" t="n">
        <v>15421103</v>
      </c>
      <c r="Q927" s="81" t="n">
        <v>11.94</v>
      </c>
      <c r="R927" s="81" t="s">
        <v>899</v>
      </c>
      <c r="S927" s="81"/>
      <c r="T927" s="81"/>
      <c r="U927" s="83" t="n">
        <v>46283</v>
      </c>
      <c r="V927" s="83" t="n">
        <v>46283</v>
      </c>
      <c r="W927" s="81" t="s">
        <v>1077</v>
      </c>
      <c r="X927" s="81" t="s">
        <v>876</v>
      </c>
      <c r="Y927" s="83" t="n">
        <v>46284</v>
      </c>
      <c r="Z927" s="81" t="s">
        <v>1078</v>
      </c>
      <c r="AA927" s="81" t="s">
        <v>876</v>
      </c>
      <c r="AB927" s="81"/>
      <c r="AC927" s="81"/>
      <c r="AD927" s="81"/>
      <c r="AE927" s="83"/>
      <c r="AF927" s="81"/>
      <c r="AG927" s="81"/>
      <c r="AH927" s="81"/>
      <c r="AI927" s="81"/>
      <c r="AJ927" s="83"/>
      <c r="AK927" s="81"/>
      <c r="AL927" s="81"/>
      <c r="AM927" s="83"/>
      <c r="AN927" s="80"/>
      <c r="AO927" s="82" t="n">
        <f aca="false">IF(E927="","",(AA927&lt;&gt;"")+(AG927&lt;&gt;"")+(AL927&lt;&gt;""))</f>
        <v>1</v>
      </c>
      <c r="AP927" s="82" t="str">
        <f aca="false">IF(AL927&lt;&gt;"",AL927,IF(AG927&lt;&gt;"",AG927,IF(AA927&lt;&gt;"",AA927,"")))</f>
        <v>A</v>
      </c>
      <c r="AQ927" s="84" t="str">
        <f aca="false">IF(E927="","",IF(U927="","À SOUDER",IF(X927="","VT EN ATTENTE",IF(X927="R","VT REJETÉ – À REPRENDRE",IF(AP927="","À RADIOGRAPHIER",IF(AP927="A","ACCEPTÉ",IF(AP927="NX","NX – RT À REFAIRE",IF(IF(AO927=1,AD927,IF(AO927=2,AI927,""))="A","RÉPARÉ – À RADIOGRAPHIER",IF(IF(AO927=1,AD927,IF(AO927=2,AI927,""))="R","VT REJETÉ – À REPRENDRE",IF(OR(AP927="CO",AP927="NT"),"COUPE – À RESOUDER","À RÉPARER"))))))))))</f>
        <v>ACCEPTÉ</v>
      </c>
      <c r="AR927" s="82" t="str">
        <f aca="false">IF(AND(ISNUMBER(U927),OR(AQ927="À RADIOGRAPHIER",AQ927="RÉPARÉ – À RADIOGRAPHIER",AQ927="NX – RT À REFAIRE",AQ927="À RÉPARER",AQ927="COUPE – À RESOUDER",AQ927="VT REJETÉ – À REPRENDRE")),MAX(0,'PROGRAMME RT'!$C$4-U927),"")</f>
        <v/>
      </c>
      <c r="AS927" s="82" t="n">
        <f aca="false">IF(AND(OR(AQ927="À RADIOGRAPHIER",AQ927="RÉPARÉ – À RADIOGRAPHIER",AQ927="NX – RT À REFAIRE"),OR('PROGRAMME RT'!$D$5="TOUTES",B927='PROGRAMME RT'!$D$5)),1,0)</f>
        <v>0</v>
      </c>
      <c r="AT927" s="82" t="str">
        <f aca="false">IF(AS927=1,SUM(AS$7:AS927),"")</f>
        <v/>
      </c>
      <c r="AU927" s="82" t="n">
        <f aca="false">IF(AND(OR(AA927="R",AA927="NX",AA927="NT",AA927="CO"),OR('JOINTS DE RÉPARATION'!$D$5="TOUTES",B927='JOINTS DE RÉPARATION'!$D$5),OR('JOINTS DE RÉPARATION'!$L$4="TOUS",AQ927&lt;&gt;"ACCEPTÉ")),1,0)</f>
        <v>0</v>
      </c>
      <c r="AV927" s="82" t="str">
        <f aca="false">IF(AU927=1,SUM(AU$7:AU927),"")</f>
        <v/>
      </c>
      <c r="AW927" s="82" t="str">
        <f aca="false">IF(E927="","",B927&amp;"|"&amp;E927)</f>
        <v>MFD-ISW → MFD-CPF|DJ°422</v>
      </c>
    </row>
    <row r="928" customFormat="false" ht="74.6" hidden="false" customHeight="false" outlineLevel="0" collapsed="false">
      <c r="A928" s="79" t="n">
        <f aca="false">IF(E928="","",ROW()-6)</f>
        <v>922</v>
      </c>
      <c r="B928" s="80" t="s">
        <v>110</v>
      </c>
      <c r="C928" s="81" t="s">
        <v>1054</v>
      </c>
      <c r="D928" s="81" t="n">
        <v>6</v>
      </c>
      <c r="E928" s="81" t="s">
        <v>1083</v>
      </c>
      <c r="F928" s="82" t="str">
        <f aca="false">IF(E928="","",IF(LEFT(E928,2)="DJ","DJ","JN"))</f>
        <v>JN</v>
      </c>
      <c r="G928" s="81"/>
      <c r="H928" s="81" t="s">
        <v>871</v>
      </c>
      <c r="I928" s="81" t="n">
        <v>9.53</v>
      </c>
      <c r="J928" s="81" t="s">
        <v>872</v>
      </c>
      <c r="K928" s="81" t="s">
        <v>879</v>
      </c>
      <c r="L928" s="81" t="n">
        <v>2080520</v>
      </c>
      <c r="M928" s="81" t="n">
        <v>15421103</v>
      </c>
      <c r="N928" s="81" t="n">
        <v>11.94</v>
      </c>
      <c r="O928" s="81" t="n">
        <v>2084740</v>
      </c>
      <c r="P928" s="81" t="n">
        <v>15421106</v>
      </c>
      <c r="Q928" s="81" t="n">
        <v>11.94</v>
      </c>
      <c r="R928" s="81" t="s">
        <v>1068</v>
      </c>
      <c r="S928" s="81"/>
      <c r="T928" s="81"/>
      <c r="U928" s="83" t="n">
        <v>46286</v>
      </c>
      <c r="V928" s="83" t="n">
        <v>46286</v>
      </c>
      <c r="W928" s="81" t="s">
        <v>1063</v>
      </c>
      <c r="X928" s="81" t="s">
        <v>876</v>
      </c>
      <c r="Y928" s="83" t="n">
        <v>46292</v>
      </c>
      <c r="Z928" s="81" t="s">
        <v>1057</v>
      </c>
      <c r="AA928" s="81" t="s">
        <v>876</v>
      </c>
      <c r="AB928" s="81"/>
      <c r="AC928" s="81"/>
      <c r="AD928" s="81"/>
      <c r="AE928" s="83"/>
      <c r="AF928" s="81"/>
      <c r="AG928" s="81"/>
      <c r="AH928" s="81"/>
      <c r="AI928" s="81"/>
      <c r="AJ928" s="83"/>
      <c r="AK928" s="81"/>
      <c r="AL928" s="81"/>
      <c r="AM928" s="83"/>
      <c r="AN928" s="80"/>
      <c r="AO928" s="82" t="n">
        <f aca="false">IF(E928="","",(AA928&lt;&gt;"")+(AG928&lt;&gt;"")+(AL928&lt;&gt;""))</f>
        <v>1</v>
      </c>
      <c r="AP928" s="82" t="str">
        <f aca="false">IF(AL928&lt;&gt;"",AL928,IF(AG928&lt;&gt;"",AG928,IF(AA928&lt;&gt;"",AA928,"")))</f>
        <v>A</v>
      </c>
      <c r="AQ928" s="84" t="str">
        <f aca="false">IF(E928="","",IF(U928="","À SOUDER",IF(X928="","VT EN ATTENTE",IF(X928="R","VT REJETÉ – À REPRENDRE",IF(AP928="","À RADIOGRAPHIER",IF(AP928="A","ACCEPTÉ",IF(AP928="NX","NX – RT À REFAIRE",IF(IF(AO928=1,AD928,IF(AO928=2,AI928,""))="A","RÉPARÉ – À RADIOGRAPHIER",IF(IF(AO928=1,AD928,IF(AO928=2,AI928,""))="R","VT REJETÉ – À REPRENDRE",IF(OR(AP928="CO",AP928="NT"),"COUPE – À RESOUDER","À RÉPARER"))))))))))</f>
        <v>ACCEPTÉ</v>
      </c>
      <c r="AR928" s="82" t="str">
        <f aca="false">IF(AND(ISNUMBER(U928),OR(AQ928="À RADIOGRAPHIER",AQ928="RÉPARÉ – À RADIOGRAPHIER",AQ928="NX – RT À REFAIRE",AQ928="À RÉPARER",AQ928="COUPE – À RESOUDER",AQ928="VT REJETÉ – À REPRENDRE")),MAX(0,'PROGRAMME RT'!$C$4-U928),"")</f>
        <v/>
      </c>
      <c r="AS928" s="82" t="n">
        <f aca="false">IF(AND(OR(AQ928="À RADIOGRAPHIER",AQ928="RÉPARÉ – À RADIOGRAPHIER",AQ928="NX – RT À REFAIRE"),OR('PROGRAMME RT'!$D$5="TOUTES",B928='PROGRAMME RT'!$D$5)),1,0)</f>
        <v>0</v>
      </c>
      <c r="AT928" s="82" t="str">
        <f aca="false">IF(AS928=1,SUM(AS$7:AS928),"")</f>
        <v/>
      </c>
      <c r="AU928" s="82" t="n">
        <f aca="false">IF(AND(OR(AA928="R",AA928="NX",AA928="NT",AA928="CO"),OR('JOINTS DE RÉPARATION'!$D$5="TOUTES",B928='JOINTS DE RÉPARATION'!$D$5),OR('JOINTS DE RÉPARATION'!$L$4="TOUS",AQ928&lt;&gt;"ACCEPTÉ")),1,0)</f>
        <v>0</v>
      </c>
      <c r="AV928" s="82" t="str">
        <f aca="false">IF(AU928=1,SUM(AU$7:AU928),"")</f>
        <v/>
      </c>
      <c r="AW928" s="82" t="str">
        <f aca="false">IF(E928="","",B928&amp;"|"&amp;E928)</f>
        <v>MFD-ISW → MFD-CPF|JN°842</v>
      </c>
    </row>
    <row r="929" customFormat="false" ht="74.6" hidden="false" customHeight="false" outlineLevel="0" collapsed="false">
      <c r="A929" s="79" t="n">
        <f aca="false">IF(E929="","",ROW()-6)</f>
        <v>923</v>
      </c>
      <c r="B929" s="80" t="s">
        <v>110</v>
      </c>
      <c r="C929" s="81" t="s">
        <v>1054</v>
      </c>
      <c r="D929" s="81" t="n">
        <v>6</v>
      </c>
      <c r="E929" s="81" t="s">
        <v>1084</v>
      </c>
      <c r="F929" s="82" t="str">
        <f aca="false">IF(E929="","",IF(LEFT(E929,2)="DJ","DJ","JN"))</f>
        <v>DJ</v>
      </c>
      <c r="G929" s="81"/>
      <c r="H929" s="81" t="s">
        <v>871</v>
      </c>
      <c r="I929" s="81" t="n">
        <v>9.53</v>
      </c>
      <c r="J929" s="81" t="s">
        <v>872</v>
      </c>
      <c r="K929" s="81" t="s">
        <v>873</v>
      </c>
      <c r="L929" s="81" t="n">
        <v>2084740</v>
      </c>
      <c r="M929" s="81" t="n">
        <v>15421106</v>
      </c>
      <c r="N929" s="81" t="n">
        <v>11.94</v>
      </c>
      <c r="O929" s="81" t="n">
        <v>2078640</v>
      </c>
      <c r="P929" s="81" t="n">
        <v>15421101</v>
      </c>
      <c r="Q929" s="81" t="n">
        <v>11.94</v>
      </c>
      <c r="R929" s="81" t="s">
        <v>920</v>
      </c>
      <c r="S929" s="81"/>
      <c r="T929" s="81"/>
      <c r="U929" s="83" t="n">
        <v>46284</v>
      </c>
      <c r="V929" s="83" t="n">
        <v>46284</v>
      </c>
      <c r="W929" s="81" t="s">
        <v>956</v>
      </c>
      <c r="X929" s="81" t="s">
        <v>876</v>
      </c>
      <c r="Y929" s="83" t="n">
        <v>46285</v>
      </c>
      <c r="Z929" s="81" t="s">
        <v>1072</v>
      </c>
      <c r="AA929" s="81" t="s">
        <v>876</v>
      </c>
      <c r="AB929" s="81"/>
      <c r="AC929" s="81"/>
      <c r="AD929" s="81"/>
      <c r="AE929" s="83"/>
      <c r="AF929" s="81"/>
      <c r="AG929" s="81"/>
      <c r="AH929" s="81"/>
      <c r="AI929" s="81"/>
      <c r="AJ929" s="83"/>
      <c r="AK929" s="81"/>
      <c r="AL929" s="81"/>
      <c r="AM929" s="83"/>
      <c r="AN929" s="80"/>
      <c r="AO929" s="82" t="n">
        <f aca="false">IF(E929="","",(AA929&lt;&gt;"")+(AG929&lt;&gt;"")+(AL929&lt;&gt;""))</f>
        <v>1</v>
      </c>
      <c r="AP929" s="82" t="str">
        <f aca="false">IF(AL929&lt;&gt;"",AL929,IF(AG929&lt;&gt;"",AG929,IF(AA929&lt;&gt;"",AA929,"")))</f>
        <v>A</v>
      </c>
      <c r="AQ929" s="84" t="str">
        <f aca="false">IF(E929="","",IF(U929="","À SOUDER",IF(X929="","VT EN ATTENTE",IF(X929="R","VT REJETÉ – À REPRENDRE",IF(AP929="","À RADIOGRAPHIER",IF(AP929="A","ACCEPTÉ",IF(AP929="NX","NX – RT À REFAIRE",IF(IF(AO929=1,AD929,IF(AO929=2,AI929,""))="A","RÉPARÉ – À RADIOGRAPHIER",IF(IF(AO929=1,AD929,IF(AO929=2,AI929,""))="R","VT REJETÉ – À REPRENDRE",IF(OR(AP929="CO",AP929="NT"),"COUPE – À RESOUDER","À RÉPARER"))))))))))</f>
        <v>ACCEPTÉ</v>
      </c>
      <c r="AR929" s="82" t="str">
        <f aca="false">IF(AND(ISNUMBER(U929),OR(AQ929="À RADIOGRAPHIER",AQ929="RÉPARÉ – À RADIOGRAPHIER",AQ929="NX – RT À REFAIRE",AQ929="À RÉPARER",AQ929="COUPE – À RESOUDER",AQ929="VT REJETÉ – À REPRENDRE")),MAX(0,'PROGRAMME RT'!$C$4-U929),"")</f>
        <v/>
      </c>
      <c r="AS929" s="82" t="n">
        <f aca="false">IF(AND(OR(AQ929="À RADIOGRAPHIER",AQ929="RÉPARÉ – À RADIOGRAPHIER",AQ929="NX – RT À REFAIRE"),OR('PROGRAMME RT'!$D$5="TOUTES",B929='PROGRAMME RT'!$D$5)),1,0)</f>
        <v>0</v>
      </c>
      <c r="AT929" s="82" t="str">
        <f aca="false">IF(AS929=1,SUM(AS$7:AS929),"")</f>
        <v/>
      </c>
      <c r="AU929" s="82" t="n">
        <f aca="false">IF(AND(OR(AA929="R",AA929="NX",AA929="NT",AA929="CO"),OR('JOINTS DE RÉPARATION'!$D$5="TOUTES",B929='JOINTS DE RÉPARATION'!$D$5),OR('JOINTS DE RÉPARATION'!$L$4="TOUS",AQ929&lt;&gt;"ACCEPTÉ")),1,0)</f>
        <v>0</v>
      </c>
      <c r="AV929" s="82" t="str">
        <f aca="false">IF(AU929=1,SUM(AU$7:AU929),"")</f>
        <v/>
      </c>
      <c r="AW929" s="82" t="str">
        <f aca="false">IF(E929="","",B929&amp;"|"&amp;E929)</f>
        <v>MFD-ISW → MFD-CPF|DJ°442</v>
      </c>
    </row>
    <row r="930" customFormat="false" ht="74.6" hidden="false" customHeight="false" outlineLevel="0" collapsed="false">
      <c r="A930" s="79" t="n">
        <f aca="false">IF(E930="","",ROW()-6)</f>
        <v>924</v>
      </c>
      <c r="B930" s="80" t="s">
        <v>110</v>
      </c>
      <c r="C930" s="81" t="s">
        <v>1054</v>
      </c>
      <c r="D930" s="81" t="n">
        <v>6</v>
      </c>
      <c r="E930" s="81" t="s">
        <v>1085</v>
      </c>
      <c r="F930" s="82" t="str">
        <f aca="false">IF(E930="","",IF(LEFT(E930,2)="DJ","DJ","JN"))</f>
        <v>JN</v>
      </c>
      <c r="G930" s="81"/>
      <c r="H930" s="81" t="s">
        <v>871</v>
      </c>
      <c r="I930" s="81" t="n">
        <v>9.53</v>
      </c>
      <c r="J930" s="81" t="s">
        <v>872</v>
      </c>
      <c r="K930" s="81" t="s">
        <v>879</v>
      </c>
      <c r="L930" s="81" t="n">
        <v>2078640</v>
      </c>
      <c r="M930" s="81" t="n">
        <v>15421101</v>
      </c>
      <c r="N930" s="81" t="n">
        <v>11.94</v>
      </c>
      <c r="O930" s="81" t="n">
        <v>2098580</v>
      </c>
      <c r="P930" s="81" t="n">
        <v>15421112</v>
      </c>
      <c r="Q930" s="81" t="n">
        <v>11.94</v>
      </c>
      <c r="R930" s="81" t="s">
        <v>1068</v>
      </c>
      <c r="S930" s="81"/>
      <c r="T930" s="81"/>
      <c r="U930" s="83" t="n">
        <v>46286</v>
      </c>
      <c r="V930" s="83" t="n">
        <v>46286</v>
      </c>
      <c r="W930" s="81" t="s">
        <v>1063</v>
      </c>
      <c r="X930" s="81" t="s">
        <v>876</v>
      </c>
      <c r="Y930" s="83" t="n">
        <v>46292</v>
      </c>
      <c r="Z930" s="81" t="s">
        <v>1057</v>
      </c>
      <c r="AA930" s="81" t="s">
        <v>876</v>
      </c>
      <c r="AB930" s="81"/>
      <c r="AC930" s="81"/>
      <c r="AD930" s="81"/>
      <c r="AE930" s="83"/>
      <c r="AF930" s="81"/>
      <c r="AG930" s="81"/>
      <c r="AH930" s="81"/>
      <c r="AI930" s="81"/>
      <c r="AJ930" s="83"/>
      <c r="AK930" s="81"/>
      <c r="AL930" s="81"/>
      <c r="AM930" s="83"/>
      <c r="AN930" s="80"/>
      <c r="AO930" s="82" t="n">
        <f aca="false">IF(E930="","",(AA930&lt;&gt;"")+(AG930&lt;&gt;"")+(AL930&lt;&gt;""))</f>
        <v>1</v>
      </c>
      <c r="AP930" s="82" t="str">
        <f aca="false">IF(AL930&lt;&gt;"",AL930,IF(AG930&lt;&gt;"",AG930,IF(AA930&lt;&gt;"",AA930,"")))</f>
        <v>A</v>
      </c>
      <c r="AQ930" s="84" t="str">
        <f aca="false">IF(E930="","",IF(U930="","À SOUDER",IF(X930="","VT EN ATTENTE",IF(X930="R","VT REJETÉ – À REPRENDRE",IF(AP930="","À RADIOGRAPHIER",IF(AP930="A","ACCEPTÉ",IF(AP930="NX","NX – RT À REFAIRE",IF(IF(AO930=1,AD930,IF(AO930=2,AI930,""))="A","RÉPARÉ – À RADIOGRAPHIER",IF(IF(AO930=1,AD930,IF(AO930=2,AI930,""))="R","VT REJETÉ – À REPRENDRE",IF(OR(AP930="CO",AP930="NT"),"COUPE – À RESOUDER","À RÉPARER"))))))))))</f>
        <v>ACCEPTÉ</v>
      </c>
      <c r="AR930" s="82" t="str">
        <f aca="false">IF(AND(ISNUMBER(U930),OR(AQ930="À RADIOGRAPHIER",AQ930="RÉPARÉ – À RADIOGRAPHIER",AQ930="NX – RT À REFAIRE",AQ930="À RÉPARER",AQ930="COUPE – À RESOUDER",AQ930="VT REJETÉ – À REPRENDRE")),MAX(0,'PROGRAMME RT'!$C$4-U930),"")</f>
        <v/>
      </c>
      <c r="AS930" s="82" t="n">
        <f aca="false">IF(AND(OR(AQ930="À RADIOGRAPHIER",AQ930="RÉPARÉ – À RADIOGRAPHIER",AQ930="NX – RT À REFAIRE"),OR('PROGRAMME RT'!$D$5="TOUTES",B930='PROGRAMME RT'!$D$5)),1,0)</f>
        <v>0</v>
      </c>
      <c r="AT930" s="82" t="str">
        <f aca="false">IF(AS930=1,SUM(AS$7:AS930),"")</f>
        <v/>
      </c>
      <c r="AU930" s="82" t="n">
        <f aca="false">IF(AND(OR(AA930="R",AA930="NX",AA930="NT",AA930="CO"),OR('JOINTS DE RÉPARATION'!$D$5="TOUTES",B930='JOINTS DE RÉPARATION'!$D$5),OR('JOINTS DE RÉPARATION'!$L$4="TOUS",AQ930&lt;&gt;"ACCEPTÉ")),1,0)</f>
        <v>0</v>
      </c>
      <c r="AV930" s="82" t="str">
        <f aca="false">IF(AU930=1,SUM(AU$7:AU930),"")</f>
        <v/>
      </c>
      <c r="AW930" s="82" t="str">
        <f aca="false">IF(E930="","",B930&amp;"|"&amp;E930)</f>
        <v>MFD-ISW → MFD-CPF|JN°843</v>
      </c>
    </row>
    <row r="931" customFormat="false" ht="74.6" hidden="false" customHeight="false" outlineLevel="0" collapsed="false">
      <c r="A931" s="79" t="n">
        <f aca="false">IF(E931="","",ROW()-6)</f>
        <v>925</v>
      </c>
      <c r="B931" s="80" t="s">
        <v>110</v>
      </c>
      <c r="C931" s="81" t="s">
        <v>1054</v>
      </c>
      <c r="D931" s="81" t="n">
        <v>6</v>
      </c>
      <c r="E931" s="81" t="s">
        <v>1086</v>
      </c>
      <c r="F931" s="82" t="str">
        <f aca="false">IF(E931="","",IF(LEFT(E931,2)="DJ","DJ","JN"))</f>
        <v>DJ</v>
      </c>
      <c r="G931" s="81"/>
      <c r="H931" s="81" t="s">
        <v>871</v>
      </c>
      <c r="I931" s="81" t="n">
        <v>9.53</v>
      </c>
      <c r="J931" s="81" t="s">
        <v>872</v>
      </c>
      <c r="K931" s="81" t="s">
        <v>873</v>
      </c>
      <c r="L931" s="81" t="n">
        <v>2098580</v>
      </c>
      <c r="M931" s="81" t="n">
        <v>15421112</v>
      </c>
      <c r="N931" s="81" t="n">
        <v>11.94</v>
      </c>
      <c r="O931" s="81" t="n">
        <v>2086110</v>
      </c>
      <c r="P931" s="81" t="n">
        <v>15421107</v>
      </c>
      <c r="Q931" s="81" t="n">
        <v>11.94</v>
      </c>
      <c r="R931" s="81" t="s">
        <v>963</v>
      </c>
      <c r="S931" s="81"/>
      <c r="T931" s="81"/>
      <c r="U931" s="83" t="n">
        <v>46283</v>
      </c>
      <c r="V931" s="83" t="n">
        <v>46283</v>
      </c>
      <c r="W931" s="81" t="s">
        <v>1077</v>
      </c>
      <c r="X931" s="81" t="s">
        <v>876</v>
      </c>
      <c r="Y931" s="83" t="n">
        <v>46284</v>
      </c>
      <c r="Z931" s="81" t="s">
        <v>1078</v>
      </c>
      <c r="AA931" s="81" t="s">
        <v>876</v>
      </c>
      <c r="AB931" s="81"/>
      <c r="AC931" s="81"/>
      <c r="AD931" s="81"/>
      <c r="AE931" s="83"/>
      <c r="AF931" s="81"/>
      <c r="AG931" s="81"/>
      <c r="AH931" s="81"/>
      <c r="AI931" s="81"/>
      <c r="AJ931" s="83"/>
      <c r="AK931" s="81"/>
      <c r="AL931" s="81"/>
      <c r="AM931" s="83"/>
      <c r="AN931" s="80"/>
      <c r="AO931" s="82" t="n">
        <f aca="false">IF(E931="","",(AA931&lt;&gt;"")+(AG931&lt;&gt;"")+(AL931&lt;&gt;""))</f>
        <v>1</v>
      </c>
      <c r="AP931" s="82" t="str">
        <f aca="false">IF(AL931&lt;&gt;"",AL931,IF(AG931&lt;&gt;"",AG931,IF(AA931&lt;&gt;"",AA931,"")))</f>
        <v>A</v>
      </c>
      <c r="AQ931" s="84" t="str">
        <f aca="false">IF(E931="","",IF(U931="","À SOUDER",IF(X931="","VT EN ATTENTE",IF(X931="R","VT REJETÉ – À REPRENDRE",IF(AP931="","À RADIOGRAPHIER",IF(AP931="A","ACCEPTÉ",IF(AP931="NX","NX – RT À REFAIRE",IF(IF(AO931=1,AD931,IF(AO931=2,AI931,""))="A","RÉPARÉ – À RADIOGRAPHIER",IF(IF(AO931=1,AD931,IF(AO931=2,AI931,""))="R","VT REJETÉ – À REPRENDRE",IF(OR(AP931="CO",AP931="NT"),"COUPE – À RESOUDER","À RÉPARER"))))))))))</f>
        <v>ACCEPTÉ</v>
      </c>
      <c r="AR931" s="82" t="str">
        <f aca="false">IF(AND(ISNUMBER(U931),OR(AQ931="À RADIOGRAPHIER",AQ931="RÉPARÉ – À RADIOGRAPHIER",AQ931="NX – RT À REFAIRE",AQ931="À RÉPARER",AQ931="COUPE – À RESOUDER",AQ931="VT REJETÉ – À REPRENDRE")),MAX(0,'PROGRAMME RT'!$C$4-U931),"")</f>
        <v/>
      </c>
      <c r="AS931" s="82" t="n">
        <f aca="false">IF(AND(OR(AQ931="À RADIOGRAPHIER",AQ931="RÉPARÉ – À RADIOGRAPHIER",AQ931="NX – RT À REFAIRE"),OR('PROGRAMME RT'!$D$5="TOUTES",B931='PROGRAMME RT'!$D$5)),1,0)</f>
        <v>0</v>
      </c>
      <c r="AT931" s="82" t="str">
        <f aca="false">IF(AS931=1,SUM(AS$7:AS931),"")</f>
        <v/>
      </c>
      <c r="AU931" s="82" t="n">
        <f aca="false">IF(AND(OR(AA931="R",AA931="NX",AA931="NT",AA931="CO"),OR('JOINTS DE RÉPARATION'!$D$5="TOUTES",B931='JOINTS DE RÉPARATION'!$D$5),OR('JOINTS DE RÉPARATION'!$L$4="TOUS",AQ931&lt;&gt;"ACCEPTÉ")),1,0)</f>
        <v>0</v>
      </c>
      <c r="AV931" s="82" t="str">
        <f aca="false">IF(AU931=1,SUM(AU$7:AU931),"")</f>
        <v/>
      </c>
      <c r="AW931" s="82" t="str">
        <f aca="false">IF(E931="","",B931&amp;"|"&amp;E931)</f>
        <v>MFD-ISW → MFD-CPF|DJ°421</v>
      </c>
    </row>
    <row r="932" customFormat="false" ht="74.6" hidden="false" customHeight="false" outlineLevel="0" collapsed="false">
      <c r="A932" s="79" t="n">
        <f aca="false">IF(E932="","",ROW()-6)</f>
        <v>926</v>
      </c>
      <c r="B932" s="80" t="s">
        <v>110</v>
      </c>
      <c r="C932" s="81" t="s">
        <v>1054</v>
      </c>
      <c r="D932" s="81" t="n">
        <v>6</v>
      </c>
      <c r="E932" s="81" t="s">
        <v>1087</v>
      </c>
      <c r="F932" s="82" t="str">
        <f aca="false">IF(E932="","",IF(LEFT(E932,2)="DJ","DJ","JN"))</f>
        <v>JN</v>
      </c>
      <c r="G932" s="81"/>
      <c r="H932" s="81" t="s">
        <v>871</v>
      </c>
      <c r="I932" s="81" t="n">
        <v>9.53</v>
      </c>
      <c r="J932" s="81" t="s">
        <v>872</v>
      </c>
      <c r="K932" s="81" t="s">
        <v>879</v>
      </c>
      <c r="L932" s="81" t="n">
        <v>2086110</v>
      </c>
      <c r="M932" s="81" t="n">
        <v>15421107</v>
      </c>
      <c r="N932" s="81" t="n">
        <v>11.94</v>
      </c>
      <c r="O932" s="81" t="n">
        <v>2092440</v>
      </c>
      <c r="P932" s="81" t="n">
        <v>15421110</v>
      </c>
      <c r="Q932" s="81" t="n">
        <v>11.94</v>
      </c>
      <c r="R932" s="81" t="s">
        <v>1068</v>
      </c>
      <c r="S932" s="81"/>
      <c r="T932" s="81"/>
      <c r="U932" s="83" t="n">
        <v>46286</v>
      </c>
      <c r="V932" s="83" t="n">
        <v>46286</v>
      </c>
      <c r="W932" s="81" t="s">
        <v>1063</v>
      </c>
      <c r="X932" s="81" t="s">
        <v>876</v>
      </c>
      <c r="Y932" s="83" t="n">
        <v>46292</v>
      </c>
      <c r="Z932" s="81" t="s">
        <v>1057</v>
      </c>
      <c r="AA932" s="81" t="s">
        <v>876</v>
      </c>
      <c r="AB932" s="81"/>
      <c r="AC932" s="81"/>
      <c r="AD932" s="81"/>
      <c r="AE932" s="83"/>
      <c r="AF932" s="81"/>
      <c r="AG932" s="81"/>
      <c r="AH932" s="81"/>
      <c r="AI932" s="81"/>
      <c r="AJ932" s="83"/>
      <c r="AK932" s="81"/>
      <c r="AL932" s="81"/>
      <c r="AM932" s="83"/>
      <c r="AN932" s="80"/>
      <c r="AO932" s="82" t="n">
        <f aca="false">IF(E932="","",(AA932&lt;&gt;"")+(AG932&lt;&gt;"")+(AL932&lt;&gt;""))</f>
        <v>1</v>
      </c>
      <c r="AP932" s="82" t="str">
        <f aca="false">IF(AL932&lt;&gt;"",AL932,IF(AG932&lt;&gt;"",AG932,IF(AA932&lt;&gt;"",AA932,"")))</f>
        <v>A</v>
      </c>
      <c r="AQ932" s="84" t="str">
        <f aca="false">IF(E932="","",IF(U932="","À SOUDER",IF(X932="","VT EN ATTENTE",IF(X932="R","VT REJETÉ – À REPRENDRE",IF(AP932="","À RADIOGRAPHIER",IF(AP932="A","ACCEPTÉ",IF(AP932="NX","NX – RT À REFAIRE",IF(IF(AO932=1,AD932,IF(AO932=2,AI932,""))="A","RÉPARÉ – À RADIOGRAPHIER",IF(IF(AO932=1,AD932,IF(AO932=2,AI932,""))="R","VT REJETÉ – À REPRENDRE",IF(OR(AP932="CO",AP932="NT"),"COUPE – À RESOUDER","À RÉPARER"))))))))))</f>
        <v>ACCEPTÉ</v>
      </c>
      <c r="AR932" s="82" t="str">
        <f aca="false">IF(AND(ISNUMBER(U932),OR(AQ932="À RADIOGRAPHIER",AQ932="RÉPARÉ – À RADIOGRAPHIER",AQ932="NX – RT À REFAIRE",AQ932="À RÉPARER",AQ932="COUPE – À RESOUDER",AQ932="VT REJETÉ – À REPRENDRE")),MAX(0,'PROGRAMME RT'!$C$4-U932),"")</f>
        <v/>
      </c>
      <c r="AS932" s="82" t="n">
        <f aca="false">IF(AND(OR(AQ932="À RADIOGRAPHIER",AQ932="RÉPARÉ – À RADIOGRAPHIER",AQ932="NX – RT À REFAIRE"),OR('PROGRAMME RT'!$D$5="TOUTES",B932='PROGRAMME RT'!$D$5)),1,0)</f>
        <v>0</v>
      </c>
      <c r="AT932" s="82" t="str">
        <f aca="false">IF(AS932=1,SUM(AS$7:AS932),"")</f>
        <v/>
      </c>
      <c r="AU932" s="82" t="n">
        <f aca="false">IF(AND(OR(AA932="R",AA932="NX",AA932="NT",AA932="CO"),OR('JOINTS DE RÉPARATION'!$D$5="TOUTES",B932='JOINTS DE RÉPARATION'!$D$5),OR('JOINTS DE RÉPARATION'!$L$4="TOUS",AQ932&lt;&gt;"ACCEPTÉ")),1,0)</f>
        <v>0</v>
      </c>
      <c r="AV932" s="82" t="str">
        <f aca="false">IF(AU932=1,SUM(AU$7:AU932),"")</f>
        <v/>
      </c>
      <c r="AW932" s="82" t="str">
        <f aca="false">IF(E932="","",B932&amp;"|"&amp;E932)</f>
        <v>MFD-ISW → MFD-CPF|JN°844</v>
      </c>
    </row>
    <row r="933" customFormat="false" ht="74.6" hidden="false" customHeight="false" outlineLevel="0" collapsed="false">
      <c r="A933" s="79" t="n">
        <f aca="false">IF(E933="","",ROW()-6)</f>
        <v>927</v>
      </c>
      <c r="B933" s="80" t="s">
        <v>110</v>
      </c>
      <c r="C933" s="81" t="s">
        <v>1054</v>
      </c>
      <c r="D933" s="81" t="n">
        <v>6</v>
      </c>
      <c r="E933" s="81" t="s">
        <v>1088</v>
      </c>
      <c r="F933" s="82" t="str">
        <f aca="false">IF(E933="","",IF(LEFT(E933,2)="DJ","DJ","JN"))</f>
        <v>DJ</v>
      </c>
      <c r="G933" s="81"/>
      <c r="H933" s="81" t="s">
        <v>871</v>
      </c>
      <c r="I933" s="81" t="n">
        <v>9.53</v>
      </c>
      <c r="J933" s="81" t="s">
        <v>872</v>
      </c>
      <c r="K933" s="81" t="s">
        <v>873</v>
      </c>
      <c r="L933" s="81" t="n">
        <v>2092440</v>
      </c>
      <c r="M933" s="81" t="n">
        <v>15421110</v>
      </c>
      <c r="N933" s="81" t="n">
        <v>11.94</v>
      </c>
      <c r="O933" s="81" t="n">
        <v>2085890</v>
      </c>
      <c r="P933" s="81" t="n">
        <v>15421107</v>
      </c>
      <c r="Q933" s="81" t="n">
        <v>11.94</v>
      </c>
      <c r="R933" s="81" t="s">
        <v>874</v>
      </c>
      <c r="S933" s="81"/>
      <c r="T933" s="81"/>
      <c r="U933" s="83" t="n">
        <v>46280</v>
      </c>
      <c r="V933" s="83" t="n">
        <v>46280</v>
      </c>
      <c r="W933" s="81" t="s">
        <v>1089</v>
      </c>
      <c r="X933" s="81" t="s">
        <v>876</v>
      </c>
      <c r="Y933" s="83" t="n">
        <v>46281</v>
      </c>
      <c r="Z933" s="81" t="s">
        <v>1090</v>
      </c>
      <c r="AA933" s="81" t="s">
        <v>1073</v>
      </c>
      <c r="AB933" s="81" t="s">
        <v>1091</v>
      </c>
      <c r="AC933" s="81"/>
      <c r="AD933" s="81"/>
      <c r="AE933" s="83"/>
      <c r="AF933" s="81"/>
      <c r="AG933" s="81"/>
      <c r="AH933" s="81"/>
      <c r="AI933" s="81"/>
      <c r="AJ933" s="83"/>
      <c r="AK933" s="81"/>
      <c r="AL933" s="81"/>
      <c r="AM933" s="83"/>
      <c r="AN933" s="80"/>
      <c r="AO933" s="82" t="n">
        <f aca="false">IF(E933="","",(AA933&lt;&gt;"")+(AG933&lt;&gt;"")+(AL933&lt;&gt;""))</f>
        <v>1</v>
      </c>
      <c r="AP933" s="82" t="str">
        <f aca="false">IF(AL933&lt;&gt;"",AL933,IF(AG933&lt;&gt;"",AG933,IF(AA933&lt;&gt;"",AA933,"")))</f>
        <v>R</v>
      </c>
      <c r="AQ933" s="84" t="str">
        <f aca="false">IF(E933="","",IF(U933="","À SOUDER",IF(X933="","VT EN ATTENTE",IF(X933="R","VT REJETÉ – À REPRENDRE",IF(AP933="","À RADIOGRAPHIER",IF(AP933="A","ACCEPTÉ",IF(AP933="NX","NX – RT À REFAIRE",IF(IF(AO933=1,AD933,IF(AO933=2,AI933,""))="A","RÉPARÉ – À RADIOGRAPHIER",IF(IF(AO933=1,AD933,IF(AO933=2,AI933,""))="R","VT REJETÉ – À REPRENDRE",IF(OR(AP933="CO",AP933="NT"),"COUPE – À RESOUDER","À RÉPARER"))))))))))</f>
        <v>À RÉPARER</v>
      </c>
      <c r="AR933" s="82" t="n">
        <f aca="false">IF(AND(ISNUMBER(U933),OR(AQ933="À RADIOGRAPHIER",AQ933="RÉPARÉ – À RADIOGRAPHIER",AQ933="NX – RT À REFAIRE",AQ933="À RÉPARER",AQ933="COUPE – À RESOUDER",AQ933="VT REJETÉ – À REPRENDRE")),MAX(0,'PROGRAMME RT'!$C$4-U933),"")</f>
        <v>13</v>
      </c>
      <c r="AS933" s="82" t="n">
        <f aca="false">IF(AND(OR(AQ933="À RADIOGRAPHIER",AQ933="RÉPARÉ – À RADIOGRAPHIER",AQ933="NX – RT À REFAIRE"),OR('PROGRAMME RT'!$D$5="TOUTES",B933='PROGRAMME RT'!$D$5)),1,0)</f>
        <v>0</v>
      </c>
      <c r="AT933" s="82" t="str">
        <f aca="false">IF(AS933=1,SUM(AS$7:AS933),"")</f>
        <v/>
      </c>
      <c r="AU933" s="82" t="n">
        <f aca="false">IF(AND(OR(AA933="R",AA933="NX",AA933="NT",AA933="CO"),OR('JOINTS DE RÉPARATION'!$D$5="TOUTES",B933='JOINTS DE RÉPARATION'!$D$5),OR('JOINTS DE RÉPARATION'!$L$4="TOUS",AQ933&lt;&gt;"ACCEPTÉ")),1,0)</f>
        <v>1</v>
      </c>
      <c r="AV933" s="82" t="n">
        <f aca="false">IF(AU933=1,SUM(AU$7:AU933),"")</f>
        <v>2</v>
      </c>
      <c r="AW933" s="82" t="str">
        <f aca="false">IF(E933="","",B933&amp;"|"&amp;E933)</f>
        <v>MFD-ISW → MFD-CPF|DJ°408</v>
      </c>
    </row>
    <row r="934" customFormat="false" ht="74.6" hidden="false" customHeight="false" outlineLevel="0" collapsed="false">
      <c r="A934" s="79" t="n">
        <f aca="false">IF(E934="","",ROW()-6)</f>
        <v>928</v>
      </c>
      <c r="B934" s="80" t="s">
        <v>110</v>
      </c>
      <c r="C934" s="81" t="s">
        <v>1054</v>
      </c>
      <c r="D934" s="81" t="n">
        <v>6</v>
      </c>
      <c r="E934" s="81" t="s">
        <v>1092</v>
      </c>
      <c r="F934" s="82" t="str">
        <f aca="false">IF(E934="","",IF(LEFT(E934,2)="DJ","DJ","JN"))</f>
        <v>JN</v>
      </c>
      <c r="G934" s="81"/>
      <c r="H934" s="81" t="s">
        <v>871</v>
      </c>
      <c r="I934" s="81" t="n">
        <v>9.53</v>
      </c>
      <c r="J934" s="81" t="s">
        <v>872</v>
      </c>
      <c r="K934" s="81" t="s">
        <v>879</v>
      </c>
      <c r="L934" s="81" t="n">
        <v>2085890</v>
      </c>
      <c r="M934" s="81" t="n">
        <v>15421107</v>
      </c>
      <c r="N934" s="81" t="n">
        <v>11.94</v>
      </c>
      <c r="O934" s="81" t="n">
        <v>2089560</v>
      </c>
      <c r="P934" s="81" t="n">
        <v>15421109</v>
      </c>
      <c r="Q934" s="81" t="n">
        <v>11.94</v>
      </c>
      <c r="R934" s="81" t="s">
        <v>1068</v>
      </c>
      <c r="S934" s="81"/>
      <c r="T934" s="81"/>
      <c r="U934" s="83" t="n">
        <v>46286</v>
      </c>
      <c r="V934" s="83" t="n">
        <v>46286</v>
      </c>
      <c r="W934" s="81" t="s">
        <v>1063</v>
      </c>
      <c r="X934" s="81" t="s">
        <v>876</v>
      </c>
      <c r="Y934" s="83" t="n">
        <v>46292</v>
      </c>
      <c r="Z934" s="81" t="s">
        <v>1057</v>
      </c>
      <c r="AA934" s="81" t="s">
        <v>876</v>
      </c>
      <c r="AB934" s="81"/>
      <c r="AC934" s="81"/>
      <c r="AD934" s="81"/>
      <c r="AE934" s="83"/>
      <c r="AF934" s="81"/>
      <c r="AG934" s="81"/>
      <c r="AH934" s="81"/>
      <c r="AI934" s="81"/>
      <c r="AJ934" s="83"/>
      <c r="AK934" s="81"/>
      <c r="AL934" s="81"/>
      <c r="AM934" s="83"/>
      <c r="AN934" s="80"/>
      <c r="AO934" s="82" t="n">
        <f aca="false">IF(E934="","",(AA934&lt;&gt;"")+(AG934&lt;&gt;"")+(AL934&lt;&gt;""))</f>
        <v>1</v>
      </c>
      <c r="AP934" s="82" t="str">
        <f aca="false">IF(AL934&lt;&gt;"",AL934,IF(AG934&lt;&gt;"",AG934,IF(AA934&lt;&gt;"",AA934,"")))</f>
        <v>A</v>
      </c>
      <c r="AQ934" s="84" t="str">
        <f aca="false">IF(E934="","",IF(U934="","À SOUDER",IF(X934="","VT EN ATTENTE",IF(X934="R","VT REJETÉ – À REPRENDRE",IF(AP934="","À RADIOGRAPHIER",IF(AP934="A","ACCEPTÉ",IF(AP934="NX","NX – RT À REFAIRE",IF(IF(AO934=1,AD934,IF(AO934=2,AI934,""))="A","RÉPARÉ – À RADIOGRAPHIER",IF(IF(AO934=1,AD934,IF(AO934=2,AI934,""))="R","VT REJETÉ – À REPRENDRE",IF(OR(AP934="CO",AP934="NT"),"COUPE – À RESOUDER","À RÉPARER"))))))))))</f>
        <v>ACCEPTÉ</v>
      </c>
      <c r="AR934" s="82" t="str">
        <f aca="false">IF(AND(ISNUMBER(U934),OR(AQ934="À RADIOGRAPHIER",AQ934="RÉPARÉ – À RADIOGRAPHIER",AQ934="NX – RT À REFAIRE",AQ934="À RÉPARER",AQ934="COUPE – À RESOUDER",AQ934="VT REJETÉ – À REPRENDRE")),MAX(0,'PROGRAMME RT'!$C$4-U934),"")</f>
        <v/>
      </c>
      <c r="AS934" s="82" t="n">
        <f aca="false">IF(AND(OR(AQ934="À RADIOGRAPHIER",AQ934="RÉPARÉ – À RADIOGRAPHIER",AQ934="NX – RT À REFAIRE"),OR('PROGRAMME RT'!$D$5="TOUTES",B934='PROGRAMME RT'!$D$5)),1,0)</f>
        <v>0</v>
      </c>
      <c r="AT934" s="82" t="str">
        <f aca="false">IF(AS934=1,SUM(AS$7:AS934),"")</f>
        <v/>
      </c>
      <c r="AU934" s="82" t="n">
        <f aca="false">IF(AND(OR(AA934="R",AA934="NX",AA934="NT",AA934="CO"),OR('JOINTS DE RÉPARATION'!$D$5="TOUTES",B934='JOINTS DE RÉPARATION'!$D$5),OR('JOINTS DE RÉPARATION'!$L$4="TOUS",AQ934&lt;&gt;"ACCEPTÉ")),1,0)</f>
        <v>0</v>
      </c>
      <c r="AV934" s="82" t="str">
        <f aca="false">IF(AU934=1,SUM(AU$7:AU934),"")</f>
        <v/>
      </c>
      <c r="AW934" s="82" t="str">
        <f aca="false">IF(E934="","",B934&amp;"|"&amp;E934)</f>
        <v>MFD-ISW → MFD-CPF|JN°845</v>
      </c>
    </row>
    <row r="935" customFormat="false" ht="74.6" hidden="false" customHeight="false" outlineLevel="0" collapsed="false">
      <c r="A935" s="79" t="n">
        <f aca="false">IF(E935="","",ROW()-6)</f>
        <v>929</v>
      </c>
      <c r="B935" s="80" t="s">
        <v>110</v>
      </c>
      <c r="C935" s="81" t="s">
        <v>1054</v>
      </c>
      <c r="D935" s="81" t="n">
        <v>6</v>
      </c>
      <c r="E935" s="81" t="s">
        <v>1093</v>
      </c>
      <c r="F935" s="82" t="str">
        <f aca="false">IF(E935="","",IF(LEFT(E935,2)="DJ","DJ","JN"))</f>
        <v>DJ</v>
      </c>
      <c r="G935" s="81"/>
      <c r="H935" s="81" t="s">
        <v>871</v>
      </c>
      <c r="I935" s="81" t="n">
        <v>9.53</v>
      </c>
      <c r="J935" s="81" t="s">
        <v>872</v>
      </c>
      <c r="K935" s="81" t="s">
        <v>873</v>
      </c>
      <c r="L935" s="81" t="n">
        <v>2089560</v>
      </c>
      <c r="M935" s="81" t="n">
        <v>15421109</v>
      </c>
      <c r="N935" s="81" t="n">
        <v>11.94</v>
      </c>
      <c r="O935" s="81" t="n">
        <v>2088640</v>
      </c>
      <c r="P935" s="81" t="n">
        <v>15421108</v>
      </c>
      <c r="Q935" s="81" t="n">
        <v>11.94</v>
      </c>
      <c r="R935" s="81" t="s">
        <v>874</v>
      </c>
      <c r="S935" s="81"/>
      <c r="T935" s="81"/>
      <c r="U935" s="83" t="n">
        <v>46280</v>
      </c>
      <c r="V935" s="83" t="n">
        <v>46281</v>
      </c>
      <c r="W935" s="81" t="s">
        <v>1094</v>
      </c>
      <c r="X935" s="81" t="s">
        <v>876</v>
      </c>
      <c r="Y935" s="83" t="n">
        <v>46282</v>
      </c>
      <c r="Z935" s="81" t="s">
        <v>1095</v>
      </c>
      <c r="AA935" s="81" t="s">
        <v>876</v>
      </c>
      <c r="AB935" s="81"/>
      <c r="AC935" s="81"/>
      <c r="AD935" s="81"/>
      <c r="AE935" s="83"/>
      <c r="AF935" s="81"/>
      <c r="AG935" s="81"/>
      <c r="AH935" s="81"/>
      <c r="AI935" s="81"/>
      <c r="AJ935" s="83"/>
      <c r="AK935" s="81"/>
      <c r="AL935" s="81"/>
      <c r="AM935" s="83"/>
      <c r="AN935" s="80"/>
      <c r="AO935" s="82" t="n">
        <f aca="false">IF(E935="","",(AA935&lt;&gt;"")+(AG935&lt;&gt;"")+(AL935&lt;&gt;""))</f>
        <v>1</v>
      </c>
      <c r="AP935" s="82" t="str">
        <f aca="false">IF(AL935&lt;&gt;"",AL935,IF(AG935&lt;&gt;"",AG935,IF(AA935&lt;&gt;"",AA935,"")))</f>
        <v>A</v>
      </c>
      <c r="AQ935" s="84" t="str">
        <f aca="false">IF(E935="","",IF(U935="","À SOUDER",IF(X935="","VT EN ATTENTE",IF(X935="R","VT REJETÉ – À REPRENDRE",IF(AP935="","À RADIOGRAPHIER",IF(AP935="A","ACCEPTÉ",IF(AP935="NX","NX – RT À REFAIRE",IF(IF(AO935=1,AD935,IF(AO935=2,AI935,""))="A","RÉPARÉ – À RADIOGRAPHIER",IF(IF(AO935=1,AD935,IF(AO935=2,AI935,""))="R","VT REJETÉ – À REPRENDRE",IF(OR(AP935="CO",AP935="NT"),"COUPE – À RESOUDER","À RÉPARER"))))))))))</f>
        <v>ACCEPTÉ</v>
      </c>
      <c r="AR935" s="82" t="str">
        <f aca="false">IF(AND(ISNUMBER(U935),OR(AQ935="À RADIOGRAPHIER",AQ935="RÉPARÉ – À RADIOGRAPHIER",AQ935="NX – RT À REFAIRE",AQ935="À RÉPARER",AQ935="COUPE – À RESOUDER",AQ935="VT REJETÉ – À REPRENDRE")),MAX(0,'PROGRAMME RT'!$C$4-U935),"")</f>
        <v/>
      </c>
      <c r="AS935" s="82" t="n">
        <f aca="false">IF(AND(OR(AQ935="À RADIOGRAPHIER",AQ935="RÉPARÉ – À RADIOGRAPHIER",AQ935="NX – RT À REFAIRE"),OR('PROGRAMME RT'!$D$5="TOUTES",B935='PROGRAMME RT'!$D$5)),1,0)</f>
        <v>0</v>
      </c>
      <c r="AT935" s="82" t="str">
        <f aca="false">IF(AS935=1,SUM(AS$7:AS935),"")</f>
        <v/>
      </c>
      <c r="AU935" s="82" t="n">
        <f aca="false">IF(AND(OR(AA935="R",AA935="NX",AA935="NT",AA935="CO"),OR('JOINTS DE RÉPARATION'!$D$5="TOUTES",B935='JOINTS DE RÉPARATION'!$D$5),OR('JOINTS DE RÉPARATION'!$L$4="TOUS",AQ935&lt;&gt;"ACCEPTÉ")),1,0)</f>
        <v>0</v>
      </c>
      <c r="AV935" s="82" t="str">
        <f aca="false">IF(AU935=1,SUM(AU$7:AU935),"")</f>
        <v/>
      </c>
      <c r="AW935" s="82" t="str">
        <f aca="false">IF(E935="","",B935&amp;"|"&amp;E935)</f>
        <v>MFD-ISW → MFD-CPF|DJ°409</v>
      </c>
    </row>
    <row r="936" customFormat="false" ht="74.6" hidden="false" customHeight="false" outlineLevel="0" collapsed="false">
      <c r="A936" s="79" t="n">
        <f aca="false">IF(E936="","",ROW()-6)</f>
        <v>930</v>
      </c>
      <c r="B936" s="80" t="s">
        <v>110</v>
      </c>
      <c r="C936" s="81" t="s">
        <v>1054</v>
      </c>
      <c r="D936" s="81" t="n">
        <v>6</v>
      </c>
      <c r="E936" s="81" t="s">
        <v>1096</v>
      </c>
      <c r="F936" s="82" t="str">
        <f aca="false">IF(E936="","",IF(LEFT(E936,2)="DJ","DJ","JN"))</f>
        <v>JN</v>
      </c>
      <c r="G936" s="81"/>
      <c r="H936" s="81" t="s">
        <v>871</v>
      </c>
      <c r="I936" s="81" t="n">
        <v>9.53</v>
      </c>
      <c r="J936" s="81" t="s">
        <v>872</v>
      </c>
      <c r="K936" s="81" t="s">
        <v>879</v>
      </c>
      <c r="L936" s="81" t="n">
        <v>2088640</v>
      </c>
      <c r="M936" s="81" t="n">
        <v>15421108</v>
      </c>
      <c r="N936" s="81" t="n">
        <v>11.94</v>
      </c>
      <c r="O936" s="81" t="n">
        <v>2085720</v>
      </c>
      <c r="P936" s="81" t="n">
        <v>15421107</v>
      </c>
      <c r="Q936" s="81" t="n">
        <v>11.94</v>
      </c>
      <c r="R936" s="81" t="s">
        <v>1068</v>
      </c>
      <c r="S936" s="81"/>
      <c r="T936" s="81"/>
      <c r="U936" s="83" t="n">
        <v>46286</v>
      </c>
      <c r="V936" s="83" t="n">
        <v>46286</v>
      </c>
      <c r="W936" s="81" t="s">
        <v>1063</v>
      </c>
      <c r="X936" s="81" t="s">
        <v>876</v>
      </c>
      <c r="Y936" s="83" t="n">
        <v>46292</v>
      </c>
      <c r="Z936" s="81" t="s">
        <v>1057</v>
      </c>
      <c r="AA936" s="81" t="s">
        <v>876</v>
      </c>
      <c r="AB936" s="81"/>
      <c r="AC936" s="81"/>
      <c r="AD936" s="81"/>
      <c r="AE936" s="83"/>
      <c r="AF936" s="81"/>
      <c r="AG936" s="81"/>
      <c r="AH936" s="81"/>
      <c r="AI936" s="81"/>
      <c r="AJ936" s="83"/>
      <c r="AK936" s="81"/>
      <c r="AL936" s="81"/>
      <c r="AM936" s="83"/>
      <c r="AN936" s="80"/>
      <c r="AO936" s="82" t="n">
        <f aca="false">IF(E936="","",(AA936&lt;&gt;"")+(AG936&lt;&gt;"")+(AL936&lt;&gt;""))</f>
        <v>1</v>
      </c>
      <c r="AP936" s="82" t="str">
        <f aca="false">IF(AL936&lt;&gt;"",AL936,IF(AG936&lt;&gt;"",AG936,IF(AA936&lt;&gt;"",AA936,"")))</f>
        <v>A</v>
      </c>
      <c r="AQ936" s="84" t="str">
        <f aca="false">IF(E936="","",IF(U936="","À SOUDER",IF(X936="","VT EN ATTENTE",IF(X936="R","VT REJETÉ – À REPRENDRE",IF(AP936="","À RADIOGRAPHIER",IF(AP936="A","ACCEPTÉ",IF(AP936="NX","NX – RT À REFAIRE",IF(IF(AO936=1,AD936,IF(AO936=2,AI936,""))="A","RÉPARÉ – À RADIOGRAPHIER",IF(IF(AO936=1,AD936,IF(AO936=2,AI936,""))="R","VT REJETÉ – À REPRENDRE",IF(OR(AP936="CO",AP936="NT"),"COUPE – À RESOUDER","À RÉPARER"))))))))))</f>
        <v>ACCEPTÉ</v>
      </c>
      <c r="AR936" s="82" t="str">
        <f aca="false">IF(AND(ISNUMBER(U936),OR(AQ936="À RADIOGRAPHIER",AQ936="RÉPARÉ – À RADIOGRAPHIER",AQ936="NX – RT À REFAIRE",AQ936="À RÉPARER",AQ936="COUPE – À RESOUDER",AQ936="VT REJETÉ – À REPRENDRE")),MAX(0,'PROGRAMME RT'!$C$4-U936),"")</f>
        <v/>
      </c>
      <c r="AS936" s="82" t="n">
        <f aca="false">IF(AND(OR(AQ936="À RADIOGRAPHIER",AQ936="RÉPARÉ – À RADIOGRAPHIER",AQ936="NX – RT À REFAIRE"),OR('PROGRAMME RT'!$D$5="TOUTES",B936='PROGRAMME RT'!$D$5)),1,0)</f>
        <v>0</v>
      </c>
      <c r="AT936" s="82" t="str">
        <f aca="false">IF(AS936=1,SUM(AS$7:AS936),"")</f>
        <v/>
      </c>
      <c r="AU936" s="82" t="n">
        <f aca="false">IF(AND(OR(AA936="R",AA936="NX",AA936="NT",AA936="CO"),OR('JOINTS DE RÉPARATION'!$D$5="TOUTES",B936='JOINTS DE RÉPARATION'!$D$5),OR('JOINTS DE RÉPARATION'!$L$4="TOUS",AQ936&lt;&gt;"ACCEPTÉ")),1,0)</f>
        <v>0</v>
      </c>
      <c r="AV936" s="82" t="str">
        <f aca="false">IF(AU936=1,SUM(AU$7:AU936),"")</f>
        <v/>
      </c>
      <c r="AW936" s="82" t="str">
        <f aca="false">IF(E936="","",B936&amp;"|"&amp;E936)</f>
        <v>MFD-ISW → MFD-CPF|JN°846</v>
      </c>
    </row>
    <row r="937" customFormat="false" ht="74.6" hidden="false" customHeight="false" outlineLevel="0" collapsed="false">
      <c r="A937" s="79" t="n">
        <f aca="false">IF(E937="","",ROW()-6)</f>
        <v>931</v>
      </c>
      <c r="B937" s="80" t="s">
        <v>110</v>
      </c>
      <c r="C937" s="81" t="s">
        <v>1054</v>
      </c>
      <c r="D937" s="81" t="n">
        <v>6</v>
      </c>
      <c r="E937" s="81" t="s">
        <v>1097</v>
      </c>
      <c r="F937" s="82" t="str">
        <f aca="false">IF(E937="","",IF(LEFT(E937,2)="DJ","DJ","JN"))</f>
        <v>DJ</v>
      </c>
      <c r="G937" s="81"/>
      <c r="H937" s="81" t="s">
        <v>871</v>
      </c>
      <c r="I937" s="81" t="n">
        <v>9.53</v>
      </c>
      <c r="J937" s="81" t="s">
        <v>872</v>
      </c>
      <c r="K937" s="81" t="s">
        <v>873</v>
      </c>
      <c r="L937" s="81" t="n">
        <v>2085720</v>
      </c>
      <c r="M937" s="81" t="n">
        <v>15421107</v>
      </c>
      <c r="N937" s="81" t="n">
        <v>11.94</v>
      </c>
      <c r="O937" s="81" t="n">
        <v>2098250</v>
      </c>
      <c r="P937" s="81" t="n">
        <v>15421112</v>
      </c>
      <c r="Q937" s="81" t="n">
        <v>11.94</v>
      </c>
      <c r="R937" s="81" t="s">
        <v>963</v>
      </c>
      <c r="S937" s="81"/>
      <c r="T937" s="81"/>
      <c r="U937" s="83" t="n">
        <v>46284</v>
      </c>
      <c r="V937" s="83" t="n">
        <v>46284</v>
      </c>
      <c r="W937" s="81" t="s">
        <v>956</v>
      </c>
      <c r="X937" s="81" t="s">
        <v>876</v>
      </c>
      <c r="Y937" s="83" t="n">
        <v>46285</v>
      </c>
      <c r="Z937" s="81" t="s">
        <v>957</v>
      </c>
      <c r="AA937" s="81" t="s">
        <v>876</v>
      </c>
      <c r="AB937" s="81"/>
      <c r="AC937" s="81"/>
      <c r="AD937" s="81"/>
      <c r="AE937" s="83"/>
      <c r="AF937" s="81"/>
      <c r="AG937" s="81"/>
      <c r="AH937" s="81"/>
      <c r="AI937" s="81"/>
      <c r="AJ937" s="83"/>
      <c r="AK937" s="81"/>
      <c r="AL937" s="81"/>
      <c r="AM937" s="83"/>
      <c r="AN937" s="80"/>
      <c r="AO937" s="82" t="n">
        <f aca="false">IF(E937="","",(AA937&lt;&gt;"")+(AG937&lt;&gt;"")+(AL937&lt;&gt;""))</f>
        <v>1</v>
      </c>
      <c r="AP937" s="82" t="str">
        <f aca="false">IF(AL937&lt;&gt;"",AL937,IF(AG937&lt;&gt;"",AG937,IF(AA937&lt;&gt;"",AA937,"")))</f>
        <v>A</v>
      </c>
      <c r="AQ937" s="84" t="str">
        <f aca="false">IF(E937="","",IF(U937="","À SOUDER",IF(X937="","VT EN ATTENTE",IF(X937="R","VT REJETÉ – À REPRENDRE",IF(AP937="","À RADIOGRAPHIER",IF(AP937="A","ACCEPTÉ",IF(AP937="NX","NX – RT À REFAIRE",IF(IF(AO937=1,AD937,IF(AO937=2,AI937,""))="A","RÉPARÉ – À RADIOGRAPHIER",IF(IF(AO937=1,AD937,IF(AO937=2,AI937,""))="R","VT REJETÉ – À REPRENDRE",IF(OR(AP937="CO",AP937="NT"),"COUPE – À RESOUDER","À RÉPARER"))))))))))</f>
        <v>ACCEPTÉ</v>
      </c>
      <c r="AR937" s="82" t="str">
        <f aca="false">IF(AND(ISNUMBER(U937),OR(AQ937="À RADIOGRAPHIER",AQ937="RÉPARÉ – À RADIOGRAPHIER",AQ937="NX – RT À REFAIRE",AQ937="À RÉPARER",AQ937="COUPE – À RESOUDER",AQ937="VT REJETÉ – À REPRENDRE")),MAX(0,'PROGRAMME RT'!$C$4-U937),"")</f>
        <v/>
      </c>
      <c r="AS937" s="82" t="n">
        <f aca="false">IF(AND(OR(AQ937="À RADIOGRAPHIER",AQ937="RÉPARÉ – À RADIOGRAPHIER",AQ937="NX – RT À REFAIRE"),OR('PROGRAMME RT'!$D$5="TOUTES",B937='PROGRAMME RT'!$D$5)),1,0)</f>
        <v>0</v>
      </c>
      <c r="AT937" s="82" t="str">
        <f aca="false">IF(AS937=1,SUM(AS$7:AS937),"")</f>
        <v/>
      </c>
      <c r="AU937" s="82" t="n">
        <f aca="false">IF(AND(OR(AA937="R",AA937="NX",AA937="NT",AA937="CO"),OR('JOINTS DE RÉPARATION'!$D$5="TOUTES",B937='JOINTS DE RÉPARATION'!$D$5),OR('JOINTS DE RÉPARATION'!$L$4="TOUS",AQ937&lt;&gt;"ACCEPTÉ")),1,0)</f>
        <v>0</v>
      </c>
      <c r="AV937" s="82" t="str">
        <f aca="false">IF(AU937=1,SUM(AU$7:AU937),"")</f>
        <v/>
      </c>
      <c r="AW937" s="82" t="str">
        <f aca="false">IF(E937="","",B937&amp;"|"&amp;E937)</f>
        <v>MFD-ISW → MFD-CPF|DJ°436</v>
      </c>
    </row>
    <row r="938" customFormat="false" ht="74.6" hidden="false" customHeight="false" outlineLevel="0" collapsed="false">
      <c r="A938" s="79" t="n">
        <f aca="false">IF(E938="","",ROW()-6)</f>
        <v>932</v>
      </c>
      <c r="B938" s="80" t="s">
        <v>110</v>
      </c>
      <c r="C938" s="81" t="s">
        <v>1054</v>
      </c>
      <c r="D938" s="81" t="n">
        <v>6</v>
      </c>
      <c r="E938" s="81" t="s">
        <v>1098</v>
      </c>
      <c r="F938" s="82" t="str">
        <f aca="false">IF(E938="","",IF(LEFT(E938,2)="DJ","DJ","JN"))</f>
        <v>JN</v>
      </c>
      <c r="G938" s="81"/>
      <c r="H938" s="81" t="s">
        <v>871</v>
      </c>
      <c r="I938" s="81" t="n">
        <v>9.53</v>
      </c>
      <c r="J938" s="81" t="s">
        <v>872</v>
      </c>
      <c r="K938" s="81" t="s">
        <v>879</v>
      </c>
      <c r="L938" s="81" t="n">
        <v>2098250</v>
      </c>
      <c r="M938" s="81" t="n">
        <v>15421112</v>
      </c>
      <c r="N938" s="81" t="n">
        <v>11.94</v>
      </c>
      <c r="O938" s="81" t="n">
        <v>2085270</v>
      </c>
      <c r="P938" s="81" t="n">
        <v>15421106</v>
      </c>
      <c r="Q938" s="81" t="n">
        <v>11.94</v>
      </c>
      <c r="R938" s="81" t="s">
        <v>1099</v>
      </c>
      <c r="S938" s="81"/>
      <c r="T938" s="81"/>
      <c r="U938" s="83" t="n">
        <v>46285</v>
      </c>
      <c r="V938" s="83" t="n">
        <v>46285</v>
      </c>
      <c r="W938" s="81" t="s">
        <v>1100</v>
      </c>
      <c r="X938" s="81" t="s">
        <v>876</v>
      </c>
      <c r="Y938" s="83" t="n">
        <v>46292</v>
      </c>
      <c r="Z938" s="81" t="s">
        <v>1057</v>
      </c>
      <c r="AA938" s="81" t="s">
        <v>876</v>
      </c>
      <c r="AB938" s="81"/>
      <c r="AC938" s="81"/>
      <c r="AD938" s="81"/>
      <c r="AE938" s="83"/>
      <c r="AF938" s="81"/>
      <c r="AG938" s="81"/>
      <c r="AH938" s="81"/>
      <c r="AI938" s="81"/>
      <c r="AJ938" s="83"/>
      <c r="AK938" s="81"/>
      <c r="AL938" s="81"/>
      <c r="AM938" s="83"/>
      <c r="AN938" s="80"/>
      <c r="AO938" s="82" t="n">
        <f aca="false">IF(E938="","",(AA938&lt;&gt;"")+(AG938&lt;&gt;"")+(AL938&lt;&gt;""))</f>
        <v>1</v>
      </c>
      <c r="AP938" s="82" t="str">
        <f aca="false">IF(AL938&lt;&gt;"",AL938,IF(AG938&lt;&gt;"",AG938,IF(AA938&lt;&gt;"",AA938,"")))</f>
        <v>A</v>
      </c>
      <c r="AQ938" s="84" t="str">
        <f aca="false">IF(E938="","",IF(U938="","À SOUDER",IF(X938="","VT EN ATTENTE",IF(X938="R","VT REJETÉ – À REPRENDRE",IF(AP938="","À RADIOGRAPHIER",IF(AP938="A","ACCEPTÉ",IF(AP938="NX","NX – RT À REFAIRE",IF(IF(AO938=1,AD938,IF(AO938=2,AI938,""))="A","RÉPARÉ – À RADIOGRAPHIER",IF(IF(AO938=1,AD938,IF(AO938=2,AI938,""))="R","VT REJETÉ – À REPRENDRE",IF(OR(AP938="CO",AP938="NT"),"COUPE – À RESOUDER","À RÉPARER"))))))))))</f>
        <v>ACCEPTÉ</v>
      </c>
      <c r="AR938" s="82" t="str">
        <f aca="false">IF(AND(ISNUMBER(U938),OR(AQ938="À RADIOGRAPHIER",AQ938="RÉPARÉ – À RADIOGRAPHIER",AQ938="NX – RT À REFAIRE",AQ938="À RÉPARER",AQ938="COUPE – À RESOUDER",AQ938="VT REJETÉ – À REPRENDRE")),MAX(0,'PROGRAMME RT'!$C$4-U938),"")</f>
        <v/>
      </c>
      <c r="AS938" s="82" t="n">
        <f aca="false">IF(AND(OR(AQ938="À RADIOGRAPHIER",AQ938="RÉPARÉ – À RADIOGRAPHIER",AQ938="NX – RT À REFAIRE"),OR('PROGRAMME RT'!$D$5="TOUTES",B938='PROGRAMME RT'!$D$5)),1,0)</f>
        <v>0</v>
      </c>
      <c r="AT938" s="82" t="str">
        <f aca="false">IF(AS938=1,SUM(AS$7:AS938),"")</f>
        <v/>
      </c>
      <c r="AU938" s="82" t="n">
        <f aca="false">IF(AND(OR(AA938="R",AA938="NX",AA938="NT",AA938="CO"),OR('JOINTS DE RÉPARATION'!$D$5="TOUTES",B938='JOINTS DE RÉPARATION'!$D$5),OR('JOINTS DE RÉPARATION'!$L$4="TOUS",AQ938&lt;&gt;"ACCEPTÉ")),1,0)</f>
        <v>0</v>
      </c>
      <c r="AV938" s="82" t="str">
        <f aca="false">IF(AU938=1,SUM(AU$7:AU938),"")</f>
        <v/>
      </c>
      <c r="AW938" s="82" t="str">
        <f aca="false">IF(E938="","",B938&amp;"|"&amp;E938)</f>
        <v>MFD-ISW → MFD-CPF|JN°847</v>
      </c>
    </row>
    <row r="939" customFormat="false" ht="74.6" hidden="false" customHeight="false" outlineLevel="0" collapsed="false">
      <c r="A939" s="79" t="n">
        <f aca="false">IF(E939="","",ROW()-6)</f>
        <v>933</v>
      </c>
      <c r="B939" s="80" t="s">
        <v>110</v>
      </c>
      <c r="C939" s="81" t="s">
        <v>1054</v>
      </c>
      <c r="D939" s="81" t="n">
        <v>6</v>
      </c>
      <c r="E939" s="81" t="s">
        <v>1101</v>
      </c>
      <c r="F939" s="82" t="str">
        <f aca="false">IF(E939="","",IF(LEFT(E939,2)="DJ","DJ","JN"))</f>
        <v>DJ</v>
      </c>
      <c r="G939" s="81"/>
      <c r="H939" s="81" t="s">
        <v>871</v>
      </c>
      <c r="I939" s="81" t="n">
        <v>9.53</v>
      </c>
      <c r="J939" s="81" t="s">
        <v>872</v>
      </c>
      <c r="K939" s="81" t="s">
        <v>873</v>
      </c>
      <c r="L939" s="81" t="n">
        <v>2085270</v>
      </c>
      <c r="M939" s="81" t="n">
        <v>15421106</v>
      </c>
      <c r="N939" s="81" t="n">
        <v>11.94</v>
      </c>
      <c r="O939" s="81" t="n">
        <v>2097600</v>
      </c>
      <c r="P939" s="81" t="n">
        <v>15421106</v>
      </c>
      <c r="Q939" s="81" t="n">
        <v>11.94</v>
      </c>
      <c r="R939" s="81" t="s">
        <v>963</v>
      </c>
      <c r="S939" s="81"/>
      <c r="T939" s="81"/>
      <c r="U939" s="83" t="n">
        <v>46284</v>
      </c>
      <c r="V939" s="83" t="n">
        <v>46284</v>
      </c>
      <c r="W939" s="81" t="s">
        <v>956</v>
      </c>
      <c r="X939" s="81" t="s">
        <v>876</v>
      </c>
      <c r="Y939" s="83" t="n">
        <v>46285</v>
      </c>
      <c r="Z939" s="81" t="s">
        <v>957</v>
      </c>
      <c r="AA939" s="81" t="s">
        <v>876</v>
      </c>
      <c r="AB939" s="81"/>
      <c r="AC939" s="81"/>
      <c r="AD939" s="81"/>
      <c r="AE939" s="83"/>
      <c r="AF939" s="81"/>
      <c r="AG939" s="81"/>
      <c r="AH939" s="81"/>
      <c r="AI939" s="81"/>
      <c r="AJ939" s="83"/>
      <c r="AK939" s="81"/>
      <c r="AL939" s="81"/>
      <c r="AM939" s="83"/>
      <c r="AN939" s="80"/>
      <c r="AO939" s="82" t="n">
        <f aca="false">IF(E939="","",(AA939&lt;&gt;"")+(AG939&lt;&gt;"")+(AL939&lt;&gt;""))</f>
        <v>1</v>
      </c>
      <c r="AP939" s="82" t="str">
        <f aca="false">IF(AL939&lt;&gt;"",AL939,IF(AG939&lt;&gt;"",AG939,IF(AA939&lt;&gt;"",AA939,"")))</f>
        <v>A</v>
      </c>
      <c r="AQ939" s="84" t="str">
        <f aca="false">IF(E939="","",IF(U939="","À SOUDER",IF(X939="","VT EN ATTENTE",IF(X939="R","VT REJETÉ – À REPRENDRE",IF(AP939="","À RADIOGRAPHIER",IF(AP939="A","ACCEPTÉ",IF(AP939="NX","NX – RT À REFAIRE",IF(IF(AO939=1,AD939,IF(AO939=2,AI939,""))="A","RÉPARÉ – À RADIOGRAPHIER",IF(IF(AO939=1,AD939,IF(AO939=2,AI939,""))="R","VT REJETÉ – À REPRENDRE",IF(OR(AP939="CO",AP939="NT"),"COUPE – À RESOUDER","À RÉPARER"))))))))))</f>
        <v>ACCEPTÉ</v>
      </c>
      <c r="AR939" s="82" t="str">
        <f aca="false">IF(AND(ISNUMBER(U939),OR(AQ939="À RADIOGRAPHIER",AQ939="RÉPARÉ – À RADIOGRAPHIER",AQ939="NX – RT À REFAIRE",AQ939="À RÉPARER",AQ939="COUPE – À RESOUDER",AQ939="VT REJETÉ – À REPRENDRE")),MAX(0,'PROGRAMME RT'!$C$4-U939),"")</f>
        <v/>
      </c>
      <c r="AS939" s="82" t="n">
        <f aca="false">IF(AND(OR(AQ939="À RADIOGRAPHIER",AQ939="RÉPARÉ – À RADIOGRAPHIER",AQ939="NX – RT À REFAIRE"),OR('PROGRAMME RT'!$D$5="TOUTES",B939='PROGRAMME RT'!$D$5)),1,0)</f>
        <v>0</v>
      </c>
      <c r="AT939" s="82" t="str">
        <f aca="false">IF(AS939=1,SUM(AS$7:AS939),"")</f>
        <v/>
      </c>
      <c r="AU939" s="82" t="n">
        <f aca="false">IF(AND(OR(AA939="R",AA939="NX",AA939="NT",AA939="CO"),OR('JOINTS DE RÉPARATION'!$D$5="TOUTES",B939='JOINTS DE RÉPARATION'!$D$5),OR('JOINTS DE RÉPARATION'!$L$4="TOUS",AQ939&lt;&gt;"ACCEPTÉ")),1,0)</f>
        <v>0</v>
      </c>
      <c r="AV939" s="82" t="str">
        <f aca="false">IF(AU939=1,SUM(AU$7:AU939),"")</f>
        <v/>
      </c>
      <c r="AW939" s="82" t="str">
        <f aca="false">IF(E939="","",B939&amp;"|"&amp;E939)</f>
        <v>MFD-ISW → MFD-CPF|DJ°437</v>
      </c>
    </row>
    <row r="940" customFormat="false" ht="74.6" hidden="false" customHeight="false" outlineLevel="0" collapsed="false">
      <c r="A940" s="79" t="n">
        <f aca="false">IF(E940="","",ROW()-6)</f>
        <v>934</v>
      </c>
      <c r="B940" s="80" t="s">
        <v>110</v>
      </c>
      <c r="C940" s="81" t="s">
        <v>1054</v>
      </c>
      <c r="D940" s="81" t="n">
        <v>6</v>
      </c>
      <c r="E940" s="81" t="s">
        <v>1102</v>
      </c>
      <c r="F940" s="82" t="str">
        <f aca="false">IF(E940="","",IF(LEFT(E940,2)="DJ","DJ","JN"))</f>
        <v>JN</v>
      </c>
      <c r="G940" s="81"/>
      <c r="H940" s="81" t="s">
        <v>871</v>
      </c>
      <c r="I940" s="81" t="n">
        <v>9.53</v>
      </c>
      <c r="J940" s="81" t="s">
        <v>872</v>
      </c>
      <c r="K940" s="81" t="s">
        <v>879</v>
      </c>
      <c r="L940" s="81" t="n">
        <v>2097600</v>
      </c>
      <c r="M940" s="81" t="n">
        <v>15421106</v>
      </c>
      <c r="N940" s="81" t="n">
        <v>11.94</v>
      </c>
      <c r="O940" s="81" t="n">
        <v>2098600</v>
      </c>
      <c r="P940" s="81" t="n">
        <v>15421112</v>
      </c>
      <c r="Q940" s="81" t="n">
        <v>11.94</v>
      </c>
      <c r="R940" s="81" t="s">
        <v>1099</v>
      </c>
      <c r="S940" s="81"/>
      <c r="T940" s="81"/>
      <c r="U940" s="83" t="n">
        <v>46285</v>
      </c>
      <c r="V940" s="83" t="n">
        <v>46285</v>
      </c>
      <c r="W940" s="81" t="s">
        <v>1100</v>
      </c>
      <c r="X940" s="81" t="s">
        <v>876</v>
      </c>
      <c r="Y940" s="83" t="n">
        <v>46292</v>
      </c>
      <c r="Z940" s="81" t="s">
        <v>1103</v>
      </c>
      <c r="AA940" s="81" t="s">
        <v>876</v>
      </c>
      <c r="AB940" s="81"/>
      <c r="AC940" s="81"/>
      <c r="AD940" s="81"/>
      <c r="AE940" s="83"/>
      <c r="AF940" s="81"/>
      <c r="AG940" s="81"/>
      <c r="AH940" s="81"/>
      <c r="AI940" s="81"/>
      <c r="AJ940" s="83"/>
      <c r="AK940" s="81"/>
      <c r="AL940" s="81"/>
      <c r="AM940" s="83"/>
      <c r="AN940" s="80"/>
      <c r="AO940" s="82" t="n">
        <f aca="false">IF(E940="","",(AA940&lt;&gt;"")+(AG940&lt;&gt;"")+(AL940&lt;&gt;""))</f>
        <v>1</v>
      </c>
      <c r="AP940" s="82" t="str">
        <f aca="false">IF(AL940&lt;&gt;"",AL940,IF(AG940&lt;&gt;"",AG940,IF(AA940&lt;&gt;"",AA940,"")))</f>
        <v>A</v>
      </c>
      <c r="AQ940" s="84" t="str">
        <f aca="false">IF(E940="","",IF(U940="","À SOUDER",IF(X940="","VT EN ATTENTE",IF(X940="R","VT REJETÉ – À REPRENDRE",IF(AP940="","À RADIOGRAPHIER",IF(AP940="A","ACCEPTÉ",IF(AP940="NX","NX – RT À REFAIRE",IF(IF(AO940=1,AD940,IF(AO940=2,AI940,""))="A","RÉPARÉ – À RADIOGRAPHIER",IF(IF(AO940=1,AD940,IF(AO940=2,AI940,""))="R","VT REJETÉ – À REPRENDRE",IF(OR(AP940="CO",AP940="NT"),"COUPE – À RESOUDER","À RÉPARER"))))))))))</f>
        <v>ACCEPTÉ</v>
      </c>
      <c r="AR940" s="82" t="str">
        <f aca="false">IF(AND(ISNUMBER(U940),OR(AQ940="À RADIOGRAPHIER",AQ940="RÉPARÉ – À RADIOGRAPHIER",AQ940="NX – RT À REFAIRE",AQ940="À RÉPARER",AQ940="COUPE – À RESOUDER",AQ940="VT REJETÉ – À REPRENDRE")),MAX(0,'PROGRAMME RT'!$C$4-U940),"")</f>
        <v/>
      </c>
      <c r="AS940" s="82" t="n">
        <f aca="false">IF(AND(OR(AQ940="À RADIOGRAPHIER",AQ940="RÉPARÉ – À RADIOGRAPHIER",AQ940="NX – RT À REFAIRE"),OR('PROGRAMME RT'!$D$5="TOUTES",B940='PROGRAMME RT'!$D$5)),1,0)</f>
        <v>0</v>
      </c>
      <c r="AT940" s="82" t="str">
        <f aca="false">IF(AS940=1,SUM(AS$7:AS940),"")</f>
        <v/>
      </c>
      <c r="AU940" s="82" t="n">
        <f aca="false">IF(AND(OR(AA940="R",AA940="NX",AA940="NT",AA940="CO"),OR('JOINTS DE RÉPARATION'!$D$5="TOUTES",B940='JOINTS DE RÉPARATION'!$D$5),OR('JOINTS DE RÉPARATION'!$L$4="TOUS",AQ940&lt;&gt;"ACCEPTÉ")),1,0)</f>
        <v>0</v>
      </c>
      <c r="AV940" s="82" t="str">
        <f aca="false">IF(AU940=1,SUM(AU$7:AU940),"")</f>
        <v/>
      </c>
      <c r="AW940" s="82" t="str">
        <f aca="false">IF(E940="","",B940&amp;"|"&amp;E940)</f>
        <v>MFD-ISW → MFD-CPF|JN°848</v>
      </c>
    </row>
    <row r="941" customFormat="false" ht="74.6" hidden="false" customHeight="false" outlineLevel="0" collapsed="false">
      <c r="A941" s="79" t="n">
        <f aca="false">IF(E941="","",ROW()-6)</f>
        <v>935</v>
      </c>
      <c r="B941" s="80" t="s">
        <v>110</v>
      </c>
      <c r="C941" s="81" t="s">
        <v>1054</v>
      </c>
      <c r="D941" s="81" t="n">
        <v>6</v>
      </c>
      <c r="E941" s="81" t="s">
        <v>1104</v>
      </c>
      <c r="F941" s="82" t="str">
        <f aca="false">IF(E941="","",IF(LEFT(E941,2)="DJ","DJ","JN"))</f>
        <v>DJ</v>
      </c>
      <c r="G941" s="81"/>
      <c r="H941" s="81" t="s">
        <v>871</v>
      </c>
      <c r="I941" s="81" t="n">
        <v>9.53</v>
      </c>
      <c r="J941" s="81" t="s">
        <v>872</v>
      </c>
      <c r="K941" s="81" t="s">
        <v>873</v>
      </c>
      <c r="L941" s="81" t="n">
        <v>2098600</v>
      </c>
      <c r="M941" s="81" t="n">
        <v>15421112</v>
      </c>
      <c r="N941" s="81" t="n">
        <v>11.94</v>
      </c>
      <c r="O941" s="81" t="n">
        <v>2091830</v>
      </c>
      <c r="P941" s="81" t="n">
        <v>15421109</v>
      </c>
      <c r="Q941" s="81" t="n">
        <v>11.94</v>
      </c>
      <c r="R941" s="81" t="s">
        <v>874</v>
      </c>
      <c r="S941" s="81"/>
      <c r="T941" s="81"/>
      <c r="U941" s="83" t="n">
        <v>46284</v>
      </c>
      <c r="V941" s="83" t="n">
        <v>46284</v>
      </c>
      <c r="W941" s="81" t="s">
        <v>956</v>
      </c>
      <c r="X941" s="81" t="s">
        <v>876</v>
      </c>
      <c r="Y941" s="83" t="n">
        <v>46285</v>
      </c>
      <c r="Z941" s="81" t="s">
        <v>957</v>
      </c>
      <c r="AA941" s="81" t="s">
        <v>876</v>
      </c>
      <c r="AB941" s="81"/>
      <c r="AC941" s="81"/>
      <c r="AD941" s="81"/>
      <c r="AE941" s="83"/>
      <c r="AF941" s="81"/>
      <c r="AG941" s="81"/>
      <c r="AH941" s="81"/>
      <c r="AI941" s="81"/>
      <c r="AJ941" s="83"/>
      <c r="AK941" s="81"/>
      <c r="AL941" s="81"/>
      <c r="AM941" s="83"/>
      <c r="AN941" s="80"/>
      <c r="AO941" s="82" t="n">
        <f aca="false">IF(E941="","",(AA941&lt;&gt;"")+(AG941&lt;&gt;"")+(AL941&lt;&gt;""))</f>
        <v>1</v>
      </c>
      <c r="AP941" s="82" t="str">
        <f aca="false">IF(AL941&lt;&gt;"",AL941,IF(AG941&lt;&gt;"",AG941,IF(AA941&lt;&gt;"",AA941,"")))</f>
        <v>A</v>
      </c>
      <c r="AQ941" s="84" t="str">
        <f aca="false">IF(E941="","",IF(U941="","À SOUDER",IF(X941="","VT EN ATTENTE",IF(X941="R","VT REJETÉ – À REPRENDRE",IF(AP941="","À RADIOGRAPHIER",IF(AP941="A","ACCEPTÉ",IF(AP941="NX","NX – RT À REFAIRE",IF(IF(AO941=1,AD941,IF(AO941=2,AI941,""))="A","RÉPARÉ – À RADIOGRAPHIER",IF(IF(AO941=1,AD941,IF(AO941=2,AI941,""))="R","VT REJETÉ – À REPRENDRE",IF(OR(AP941="CO",AP941="NT"),"COUPE – À RESOUDER","À RÉPARER"))))))))))</f>
        <v>ACCEPTÉ</v>
      </c>
      <c r="AR941" s="82" t="str">
        <f aca="false">IF(AND(ISNUMBER(U941),OR(AQ941="À RADIOGRAPHIER",AQ941="RÉPARÉ – À RADIOGRAPHIER",AQ941="NX – RT À REFAIRE",AQ941="À RÉPARER",AQ941="COUPE – À RESOUDER",AQ941="VT REJETÉ – À REPRENDRE")),MAX(0,'PROGRAMME RT'!$C$4-U941),"")</f>
        <v/>
      </c>
      <c r="AS941" s="82" t="n">
        <f aca="false">IF(AND(OR(AQ941="À RADIOGRAPHIER",AQ941="RÉPARÉ – À RADIOGRAPHIER",AQ941="NX – RT À REFAIRE"),OR('PROGRAMME RT'!$D$5="TOUTES",B941='PROGRAMME RT'!$D$5)),1,0)</f>
        <v>0</v>
      </c>
      <c r="AT941" s="82" t="str">
        <f aca="false">IF(AS941=1,SUM(AS$7:AS941),"")</f>
        <v/>
      </c>
      <c r="AU941" s="82" t="n">
        <f aca="false">IF(AND(OR(AA941="R",AA941="NX",AA941="NT",AA941="CO"),OR('JOINTS DE RÉPARATION'!$D$5="TOUTES",B941='JOINTS DE RÉPARATION'!$D$5),OR('JOINTS DE RÉPARATION'!$L$4="TOUS",AQ941&lt;&gt;"ACCEPTÉ")),1,0)</f>
        <v>0</v>
      </c>
      <c r="AV941" s="82" t="str">
        <f aca="false">IF(AU941=1,SUM(AU$7:AU941),"")</f>
        <v/>
      </c>
      <c r="AW941" s="82" t="str">
        <f aca="false">IF(E941="","",B941&amp;"|"&amp;E941)</f>
        <v>MFD-ISW → MFD-CPF|DJ°435</v>
      </c>
    </row>
    <row r="942" customFormat="false" ht="74.6" hidden="false" customHeight="false" outlineLevel="0" collapsed="false">
      <c r="A942" s="79" t="n">
        <f aca="false">IF(E942="","",ROW()-6)</f>
        <v>936</v>
      </c>
      <c r="B942" s="80" t="s">
        <v>110</v>
      </c>
      <c r="C942" s="81" t="s">
        <v>1054</v>
      </c>
      <c r="D942" s="81" t="n">
        <v>6</v>
      </c>
      <c r="E942" s="81" t="s">
        <v>1105</v>
      </c>
      <c r="F942" s="82" t="str">
        <f aca="false">IF(E942="","",IF(LEFT(E942,2)="DJ","DJ","JN"))</f>
        <v>JN</v>
      </c>
      <c r="G942" s="81"/>
      <c r="H942" s="81" t="s">
        <v>871</v>
      </c>
      <c r="I942" s="81" t="n">
        <v>9.53</v>
      </c>
      <c r="J942" s="81" t="s">
        <v>872</v>
      </c>
      <c r="K942" s="81" t="s">
        <v>879</v>
      </c>
      <c r="L942" s="81" t="n">
        <v>2091830</v>
      </c>
      <c r="M942" s="81" t="n">
        <v>15421109</v>
      </c>
      <c r="N942" s="81" t="n">
        <v>11.94</v>
      </c>
      <c r="O942" s="81" t="n">
        <v>2085000</v>
      </c>
      <c r="P942" s="81" t="n">
        <v>15421106</v>
      </c>
      <c r="Q942" s="81" t="n">
        <v>11.94</v>
      </c>
      <c r="R942" s="81" t="s">
        <v>1099</v>
      </c>
      <c r="S942" s="81"/>
      <c r="T942" s="81"/>
      <c r="U942" s="83" t="n">
        <v>46285</v>
      </c>
      <c r="V942" s="83" t="n">
        <v>46285</v>
      </c>
      <c r="W942" s="81" t="s">
        <v>1100</v>
      </c>
      <c r="X942" s="81" t="s">
        <v>876</v>
      </c>
      <c r="Y942" s="83" t="n">
        <v>46292</v>
      </c>
      <c r="Z942" s="81" t="s">
        <v>1103</v>
      </c>
      <c r="AA942" s="81" t="s">
        <v>876</v>
      </c>
      <c r="AB942" s="81"/>
      <c r="AC942" s="81"/>
      <c r="AD942" s="81"/>
      <c r="AE942" s="83"/>
      <c r="AF942" s="81"/>
      <c r="AG942" s="81"/>
      <c r="AH942" s="81"/>
      <c r="AI942" s="81"/>
      <c r="AJ942" s="83"/>
      <c r="AK942" s="81"/>
      <c r="AL942" s="81"/>
      <c r="AM942" s="83"/>
      <c r="AN942" s="80"/>
      <c r="AO942" s="82" t="n">
        <f aca="false">IF(E942="","",(AA942&lt;&gt;"")+(AG942&lt;&gt;"")+(AL942&lt;&gt;""))</f>
        <v>1</v>
      </c>
      <c r="AP942" s="82" t="str">
        <f aca="false">IF(AL942&lt;&gt;"",AL942,IF(AG942&lt;&gt;"",AG942,IF(AA942&lt;&gt;"",AA942,"")))</f>
        <v>A</v>
      </c>
      <c r="AQ942" s="84" t="str">
        <f aca="false">IF(E942="","",IF(U942="","À SOUDER",IF(X942="","VT EN ATTENTE",IF(X942="R","VT REJETÉ – À REPRENDRE",IF(AP942="","À RADIOGRAPHIER",IF(AP942="A","ACCEPTÉ",IF(AP942="NX","NX – RT À REFAIRE",IF(IF(AO942=1,AD942,IF(AO942=2,AI942,""))="A","RÉPARÉ – À RADIOGRAPHIER",IF(IF(AO942=1,AD942,IF(AO942=2,AI942,""))="R","VT REJETÉ – À REPRENDRE",IF(OR(AP942="CO",AP942="NT"),"COUPE – À RESOUDER","À RÉPARER"))))))))))</f>
        <v>ACCEPTÉ</v>
      </c>
      <c r="AR942" s="82" t="str">
        <f aca="false">IF(AND(ISNUMBER(U942),OR(AQ942="À RADIOGRAPHIER",AQ942="RÉPARÉ – À RADIOGRAPHIER",AQ942="NX – RT À REFAIRE",AQ942="À RÉPARER",AQ942="COUPE – À RESOUDER",AQ942="VT REJETÉ – À REPRENDRE")),MAX(0,'PROGRAMME RT'!$C$4-U942),"")</f>
        <v/>
      </c>
      <c r="AS942" s="82" t="n">
        <f aca="false">IF(AND(OR(AQ942="À RADIOGRAPHIER",AQ942="RÉPARÉ – À RADIOGRAPHIER",AQ942="NX – RT À REFAIRE"),OR('PROGRAMME RT'!$D$5="TOUTES",B942='PROGRAMME RT'!$D$5)),1,0)</f>
        <v>0</v>
      </c>
      <c r="AT942" s="82" t="str">
        <f aca="false">IF(AS942=1,SUM(AS$7:AS942),"")</f>
        <v/>
      </c>
      <c r="AU942" s="82" t="n">
        <f aca="false">IF(AND(OR(AA942="R",AA942="NX",AA942="NT",AA942="CO"),OR('JOINTS DE RÉPARATION'!$D$5="TOUTES",B942='JOINTS DE RÉPARATION'!$D$5),OR('JOINTS DE RÉPARATION'!$L$4="TOUS",AQ942&lt;&gt;"ACCEPTÉ")),1,0)</f>
        <v>0</v>
      </c>
      <c r="AV942" s="82" t="str">
        <f aca="false">IF(AU942=1,SUM(AU$7:AU942),"")</f>
        <v/>
      </c>
      <c r="AW942" s="82" t="str">
        <f aca="false">IF(E942="","",B942&amp;"|"&amp;E942)</f>
        <v>MFD-ISW → MFD-CPF|JN°849</v>
      </c>
    </row>
    <row r="943" customFormat="false" ht="74.6" hidden="false" customHeight="false" outlineLevel="0" collapsed="false">
      <c r="A943" s="79" t="n">
        <f aca="false">IF(E943="","",ROW()-6)</f>
        <v>937</v>
      </c>
      <c r="B943" s="80" t="s">
        <v>110</v>
      </c>
      <c r="C943" s="81" t="s">
        <v>1054</v>
      </c>
      <c r="D943" s="81" t="n">
        <v>6</v>
      </c>
      <c r="E943" s="81" t="s">
        <v>1106</v>
      </c>
      <c r="F943" s="82" t="str">
        <f aca="false">IF(E943="","",IF(LEFT(E943,2)="DJ","DJ","JN"))</f>
        <v>DJ</v>
      </c>
      <c r="G943" s="81"/>
      <c r="H943" s="81" t="s">
        <v>871</v>
      </c>
      <c r="I943" s="81" t="n">
        <v>9.53</v>
      </c>
      <c r="J943" s="81" t="s">
        <v>872</v>
      </c>
      <c r="K943" s="81" t="s">
        <v>873</v>
      </c>
      <c r="L943" s="81" t="n">
        <v>2085000</v>
      </c>
      <c r="M943" s="81" t="n">
        <v>15421106</v>
      </c>
      <c r="N943" s="81" t="n">
        <v>11.94</v>
      </c>
      <c r="O943" s="81" t="n">
        <v>2080150</v>
      </c>
      <c r="P943" s="81" t="n">
        <v>15421102</v>
      </c>
      <c r="Q943" s="81" t="n">
        <v>11.94</v>
      </c>
      <c r="R943" s="81" t="s">
        <v>882</v>
      </c>
      <c r="S943" s="81"/>
      <c r="T943" s="81"/>
      <c r="U943" s="83" t="n">
        <v>46284</v>
      </c>
      <c r="V943" s="83" t="n">
        <v>46284</v>
      </c>
      <c r="W943" s="81" t="s">
        <v>956</v>
      </c>
      <c r="X943" s="81" t="s">
        <v>876</v>
      </c>
      <c r="Y943" s="83" t="n">
        <v>46285</v>
      </c>
      <c r="Z943" s="81" t="s">
        <v>957</v>
      </c>
      <c r="AA943" s="81" t="s">
        <v>876</v>
      </c>
      <c r="AB943" s="81"/>
      <c r="AC943" s="81"/>
      <c r="AD943" s="81"/>
      <c r="AE943" s="83"/>
      <c r="AF943" s="81"/>
      <c r="AG943" s="81"/>
      <c r="AH943" s="81"/>
      <c r="AI943" s="81"/>
      <c r="AJ943" s="83"/>
      <c r="AK943" s="81"/>
      <c r="AL943" s="81"/>
      <c r="AM943" s="83"/>
      <c r="AN943" s="80"/>
      <c r="AO943" s="82" t="n">
        <f aca="false">IF(E943="","",(AA943&lt;&gt;"")+(AG943&lt;&gt;"")+(AL943&lt;&gt;""))</f>
        <v>1</v>
      </c>
      <c r="AP943" s="82" t="str">
        <f aca="false">IF(AL943&lt;&gt;"",AL943,IF(AG943&lt;&gt;"",AG943,IF(AA943&lt;&gt;"",AA943,"")))</f>
        <v>A</v>
      </c>
      <c r="AQ943" s="84" t="str">
        <f aca="false">IF(E943="","",IF(U943="","À SOUDER",IF(X943="","VT EN ATTENTE",IF(X943="R","VT REJETÉ – À REPRENDRE",IF(AP943="","À RADIOGRAPHIER",IF(AP943="A","ACCEPTÉ",IF(AP943="NX","NX – RT À REFAIRE",IF(IF(AO943=1,AD943,IF(AO943=2,AI943,""))="A","RÉPARÉ – À RADIOGRAPHIER",IF(IF(AO943=1,AD943,IF(AO943=2,AI943,""))="R","VT REJETÉ – À REPRENDRE",IF(OR(AP943="CO",AP943="NT"),"COUPE – À RESOUDER","À RÉPARER"))))))))))</f>
        <v>ACCEPTÉ</v>
      </c>
      <c r="AR943" s="82" t="str">
        <f aca="false">IF(AND(ISNUMBER(U943),OR(AQ943="À RADIOGRAPHIER",AQ943="RÉPARÉ – À RADIOGRAPHIER",AQ943="NX – RT À REFAIRE",AQ943="À RÉPARER",AQ943="COUPE – À RESOUDER",AQ943="VT REJETÉ – À REPRENDRE")),MAX(0,'PROGRAMME RT'!$C$4-U943),"")</f>
        <v/>
      </c>
      <c r="AS943" s="82" t="n">
        <f aca="false">IF(AND(OR(AQ943="À RADIOGRAPHIER",AQ943="RÉPARÉ – À RADIOGRAPHIER",AQ943="NX – RT À REFAIRE"),OR('PROGRAMME RT'!$D$5="TOUTES",B943='PROGRAMME RT'!$D$5)),1,0)</f>
        <v>0</v>
      </c>
      <c r="AT943" s="82" t="str">
        <f aca="false">IF(AS943=1,SUM(AS$7:AS943),"")</f>
        <v/>
      </c>
      <c r="AU943" s="82" t="n">
        <f aca="false">IF(AND(OR(AA943="R",AA943="NX",AA943="NT",AA943="CO"),OR('JOINTS DE RÉPARATION'!$D$5="TOUTES",B943='JOINTS DE RÉPARATION'!$D$5),OR('JOINTS DE RÉPARATION'!$L$4="TOUS",AQ943&lt;&gt;"ACCEPTÉ")),1,0)</f>
        <v>0</v>
      </c>
      <c r="AV943" s="82" t="str">
        <f aca="false">IF(AU943=1,SUM(AU$7:AU943),"")</f>
        <v/>
      </c>
      <c r="AW943" s="82" t="str">
        <f aca="false">IF(E943="","",B943&amp;"|"&amp;E943)</f>
        <v>MFD-ISW → MFD-CPF|DJ°440</v>
      </c>
    </row>
    <row r="944" customFormat="false" ht="74.6" hidden="false" customHeight="false" outlineLevel="0" collapsed="false">
      <c r="A944" s="79" t="n">
        <f aca="false">IF(E944="","",ROW()-6)</f>
        <v>938</v>
      </c>
      <c r="B944" s="80" t="s">
        <v>110</v>
      </c>
      <c r="C944" s="81" t="s">
        <v>1054</v>
      </c>
      <c r="D944" s="81" t="n">
        <v>6</v>
      </c>
      <c r="E944" s="81" t="s">
        <v>1107</v>
      </c>
      <c r="F944" s="82" t="str">
        <f aca="false">IF(E944="","",IF(LEFT(E944,2)="DJ","DJ","JN"))</f>
        <v>JN</v>
      </c>
      <c r="G944" s="81"/>
      <c r="H944" s="81" t="s">
        <v>871</v>
      </c>
      <c r="I944" s="81" t="n">
        <v>9.53</v>
      </c>
      <c r="J944" s="81" t="s">
        <v>872</v>
      </c>
      <c r="K944" s="81" t="s">
        <v>879</v>
      </c>
      <c r="L944" s="81" t="n">
        <v>2080150</v>
      </c>
      <c r="M944" s="81" t="n">
        <v>15421102</v>
      </c>
      <c r="N944" s="81" t="n">
        <v>11.94</v>
      </c>
      <c r="O944" s="81" t="n">
        <v>2093550</v>
      </c>
      <c r="P944" s="81" t="n">
        <v>15421110</v>
      </c>
      <c r="Q944" s="81" t="n">
        <v>11.94</v>
      </c>
      <c r="R944" s="81" t="s">
        <v>1099</v>
      </c>
      <c r="S944" s="81"/>
      <c r="T944" s="81"/>
      <c r="U944" s="83" t="n">
        <v>46285</v>
      </c>
      <c r="V944" s="83" t="n">
        <v>46285</v>
      </c>
      <c r="W944" s="81" t="s">
        <v>1100</v>
      </c>
      <c r="X944" s="81" t="s">
        <v>876</v>
      </c>
      <c r="Y944" s="83" t="n">
        <v>46292</v>
      </c>
      <c r="Z944" s="81" t="s">
        <v>1103</v>
      </c>
      <c r="AA944" s="81" t="s">
        <v>876</v>
      </c>
      <c r="AB944" s="81"/>
      <c r="AC944" s="81"/>
      <c r="AD944" s="81"/>
      <c r="AE944" s="83"/>
      <c r="AF944" s="81"/>
      <c r="AG944" s="81"/>
      <c r="AH944" s="81"/>
      <c r="AI944" s="81"/>
      <c r="AJ944" s="83"/>
      <c r="AK944" s="81"/>
      <c r="AL944" s="81"/>
      <c r="AM944" s="83"/>
      <c r="AN944" s="80"/>
      <c r="AO944" s="82" t="n">
        <f aca="false">IF(E944="","",(AA944&lt;&gt;"")+(AG944&lt;&gt;"")+(AL944&lt;&gt;""))</f>
        <v>1</v>
      </c>
      <c r="AP944" s="82" t="str">
        <f aca="false">IF(AL944&lt;&gt;"",AL944,IF(AG944&lt;&gt;"",AG944,IF(AA944&lt;&gt;"",AA944,"")))</f>
        <v>A</v>
      </c>
      <c r="AQ944" s="84" t="str">
        <f aca="false">IF(E944="","",IF(U944="","À SOUDER",IF(X944="","VT EN ATTENTE",IF(X944="R","VT REJETÉ – À REPRENDRE",IF(AP944="","À RADIOGRAPHIER",IF(AP944="A","ACCEPTÉ",IF(AP944="NX","NX – RT À REFAIRE",IF(IF(AO944=1,AD944,IF(AO944=2,AI944,""))="A","RÉPARÉ – À RADIOGRAPHIER",IF(IF(AO944=1,AD944,IF(AO944=2,AI944,""))="R","VT REJETÉ – À REPRENDRE",IF(OR(AP944="CO",AP944="NT"),"COUPE – À RESOUDER","À RÉPARER"))))))))))</f>
        <v>ACCEPTÉ</v>
      </c>
      <c r="AR944" s="82" t="str">
        <f aca="false">IF(AND(ISNUMBER(U944),OR(AQ944="À RADIOGRAPHIER",AQ944="RÉPARÉ – À RADIOGRAPHIER",AQ944="NX – RT À REFAIRE",AQ944="À RÉPARER",AQ944="COUPE – À RESOUDER",AQ944="VT REJETÉ – À REPRENDRE")),MAX(0,'PROGRAMME RT'!$C$4-U944),"")</f>
        <v/>
      </c>
      <c r="AS944" s="82" t="n">
        <f aca="false">IF(AND(OR(AQ944="À RADIOGRAPHIER",AQ944="RÉPARÉ – À RADIOGRAPHIER",AQ944="NX – RT À REFAIRE"),OR('PROGRAMME RT'!$D$5="TOUTES",B944='PROGRAMME RT'!$D$5)),1,0)</f>
        <v>0</v>
      </c>
      <c r="AT944" s="82" t="str">
        <f aca="false">IF(AS944=1,SUM(AS$7:AS944),"")</f>
        <v/>
      </c>
      <c r="AU944" s="82" t="n">
        <f aca="false">IF(AND(OR(AA944="R",AA944="NX",AA944="NT",AA944="CO"),OR('JOINTS DE RÉPARATION'!$D$5="TOUTES",B944='JOINTS DE RÉPARATION'!$D$5),OR('JOINTS DE RÉPARATION'!$L$4="TOUS",AQ944&lt;&gt;"ACCEPTÉ")),1,0)</f>
        <v>0</v>
      </c>
      <c r="AV944" s="82" t="str">
        <f aca="false">IF(AU944=1,SUM(AU$7:AU944),"")</f>
        <v/>
      </c>
      <c r="AW944" s="82" t="str">
        <f aca="false">IF(E944="","",B944&amp;"|"&amp;E944)</f>
        <v>MFD-ISW → MFD-CPF|JN°850</v>
      </c>
    </row>
    <row r="945" customFormat="false" ht="74.6" hidden="false" customHeight="false" outlineLevel="0" collapsed="false">
      <c r="A945" s="79" t="n">
        <f aca="false">IF(E945="","",ROW()-6)</f>
        <v>939</v>
      </c>
      <c r="B945" s="80" t="s">
        <v>110</v>
      </c>
      <c r="C945" s="81" t="s">
        <v>1054</v>
      </c>
      <c r="D945" s="81" t="n">
        <v>6</v>
      </c>
      <c r="E945" s="81" t="s">
        <v>1108</v>
      </c>
      <c r="F945" s="82" t="str">
        <f aca="false">IF(E945="","",IF(LEFT(E945,2)="DJ","DJ","JN"))</f>
        <v>DJ</v>
      </c>
      <c r="G945" s="81"/>
      <c r="H945" s="81" t="s">
        <v>871</v>
      </c>
      <c r="I945" s="81" t="n">
        <v>9.53</v>
      </c>
      <c r="J945" s="81" t="s">
        <v>872</v>
      </c>
      <c r="K945" s="81" t="s">
        <v>873</v>
      </c>
      <c r="L945" s="81" t="n">
        <v>2093550</v>
      </c>
      <c r="M945" s="81" t="n">
        <v>15421110</v>
      </c>
      <c r="N945" s="81" t="n">
        <v>11.94</v>
      </c>
      <c r="O945" s="81" t="n">
        <v>2078810</v>
      </c>
      <c r="P945" s="81" t="n">
        <v>15421101</v>
      </c>
      <c r="Q945" s="81" t="n">
        <v>11.94</v>
      </c>
      <c r="R945" s="81" t="s">
        <v>874</v>
      </c>
      <c r="S945" s="81"/>
      <c r="T945" s="81"/>
      <c r="U945" s="83" t="n">
        <v>46284</v>
      </c>
      <c r="V945" s="83" t="n">
        <v>46284</v>
      </c>
      <c r="W945" s="81" t="s">
        <v>956</v>
      </c>
      <c r="X945" s="81" t="s">
        <v>876</v>
      </c>
      <c r="Y945" s="83" t="n">
        <v>46285</v>
      </c>
      <c r="Z945" s="81" t="s">
        <v>957</v>
      </c>
      <c r="AA945" s="81" t="s">
        <v>876</v>
      </c>
      <c r="AB945" s="81"/>
      <c r="AC945" s="81"/>
      <c r="AD945" s="81"/>
      <c r="AE945" s="83"/>
      <c r="AF945" s="81"/>
      <c r="AG945" s="81"/>
      <c r="AH945" s="81"/>
      <c r="AI945" s="81"/>
      <c r="AJ945" s="83"/>
      <c r="AK945" s="81"/>
      <c r="AL945" s="81"/>
      <c r="AM945" s="83"/>
      <c r="AN945" s="80"/>
      <c r="AO945" s="82" t="n">
        <f aca="false">IF(E945="","",(AA945&lt;&gt;"")+(AG945&lt;&gt;"")+(AL945&lt;&gt;""))</f>
        <v>1</v>
      </c>
      <c r="AP945" s="82" t="str">
        <f aca="false">IF(AL945&lt;&gt;"",AL945,IF(AG945&lt;&gt;"",AG945,IF(AA945&lt;&gt;"",AA945,"")))</f>
        <v>A</v>
      </c>
      <c r="AQ945" s="84" t="str">
        <f aca="false">IF(E945="","",IF(U945="","À SOUDER",IF(X945="","VT EN ATTENTE",IF(X945="R","VT REJETÉ – À REPRENDRE",IF(AP945="","À RADIOGRAPHIER",IF(AP945="A","ACCEPTÉ",IF(AP945="NX","NX – RT À REFAIRE",IF(IF(AO945=1,AD945,IF(AO945=2,AI945,""))="A","RÉPARÉ – À RADIOGRAPHIER",IF(IF(AO945=1,AD945,IF(AO945=2,AI945,""))="R","VT REJETÉ – À REPRENDRE",IF(OR(AP945="CO",AP945="NT"),"COUPE – À RESOUDER","À RÉPARER"))))))))))</f>
        <v>ACCEPTÉ</v>
      </c>
      <c r="AR945" s="82" t="str">
        <f aca="false">IF(AND(ISNUMBER(U945),OR(AQ945="À RADIOGRAPHIER",AQ945="RÉPARÉ – À RADIOGRAPHIER",AQ945="NX – RT À REFAIRE",AQ945="À RÉPARER",AQ945="COUPE – À RESOUDER",AQ945="VT REJETÉ – À REPRENDRE")),MAX(0,'PROGRAMME RT'!$C$4-U945),"")</f>
        <v/>
      </c>
      <c r="AS945" s="82" t="n">
        <f aca="false">IF(AND(OR(AQ945="À RADIOGRAPHIER",AQ945="RÉPARÉ – À RADIOGRAPHIER",AQ945="NX – RT À REFAIRE"),OR('PROGRAMME RT'!$D$5="TOUTES",B945='PROGRAMME RT'!$D$5)),1,0)</f>
        <v>0</v>
      </c>
      <c r="AT945" s="82" t="str">
        <f aca="false">IF(AS945=1,SUM(AS$7:AS945),"")</f>
        <v/>
      </c>
      <c r="AU945" s="82" t="n">
        <f aca="false">IF(AND(OR(AA945="R",AA945="NX",AA945="NT",AA945="CO"),OR('JOINTS DE RÉPARATION'!$D$5="TOUTES",B945='JOINTS DE RÉPARATION'!$D$5),OR('JOINTS DE RÉPARATION'!$L$4="TOUS",AQ945&lt;&gt;"ACCEPTÉ")),1,0)</f>
        <v>0</v>
      </c>
      <c r="AV945" s="82" t="str">
        <f aca="false">IF(AU945=1,SUM(AU$7:AU945),"")</f>
        <v/>
      </c>
      <c r="AW945" s="82" t="str">
        <f aca="false">IF(E945="","",B945&amp;"|"&amp;E945)</f>
        <v>MFD-ISW → MFD-CPF|DJ°439</v>
      </c>
    </row>
    <row r="946" customFormat="false" ht="74.6" hidden="false" customHeight="false" outlineLevel="0" collapsed="false">
      <c r="A946" s="79" t="n">
        <f aca="false">IF(E946="","",ROW()-6)</f>
        <v>940</v>
      </c>
      <c r="B946" s="80" t="s">
        <v>110</v>
      </c>
      <c r="C946" s="81" t="s">
        <v>1054</v>
      </c>
      <c r="D946" s="81" t="n">
        <v>6</v>
      </c>
      <c r="E946" s="81" t="s">
        <v>1109</v>
      </c>
      <c r="F946" s="82" t="str">
        <f aca="false">IF(E946="","",IF(LEFT(E946,2)="DJ","DJ","JN"))</f>
        <v>JN</v>
      </c>
      <c r="G946" s="81"/>
      <c r="H946" s="81" t="s">
        <v>871</v>
      </c>
      <c r="I946" s="81" t="n">
        <v>9.53</v>
      </c>
      <c r="J946" s="81" t="s">
        <v>872</v>
      </c>
      <c r="K946" s="81" t="s">
        <v>879</v>
      </c>
      <c r="L946" s="81" t="n">
        <v>2078810</v>
      </c>
      <c r="M946" s="81" t="n">
        <v>15421101</v>
      </c>
      <c r="N946" s="81" t="n">
        <v>11.94</v>
      </c>
      <c r="O946" s="81" t="n">
        <v>2083330</v>
      </c>
      <c r="P946" s="81" t="n">
        <v>15421105</v>
      </c>
      <c r="Q946" s="81" t="n">
        <v>11.94</v>
      </c>
      <c r="R946" s="81" t="s">
        <v>1099</v>
      </c>
      <c r="S946" s="81"/>
      <c r="T946" s="81"/>
      <c r="U946" s="83" t="n">
        <v>46285</v>
      </c>
      <c r="V946" s="83" t="n">
        <v>46285</v>
      </c>
      <c r="W946" s="81" t="s">
        <v>1100</v>
      </c>
      <c r="X946" s="81" t="s">
        <v>876</v>
      </c>
      <c r="Y946" s="83" t="n">
        <v>46292</v>
      </c>
      <c r="Z946" s="81" t="s">
        <v>1103</v>
      </c>
      <c r="AA946" s="81" t="s">
        <v>876</v>
      </c>
      <c r="AB946" s="81"/>
      <c r="AC946" s="81"/>
      <c r="AD946" s="81"/>
      <c r="AE946" s="83"/>
      <c r="AF946" s="81"/>
      <c r="AG946" s="81"/>
      <c r="AH946" s="81"/>
      <c r="AI946" s="81"/>
      <c r="AJ946" s="83"/>
      <c r="AK946" s="81"/>
      <c r="AL946" s="81"/>
      <c r="AM946" s="83"/>
      <c r="AN946" s="80"/>
      <c r="AO946" s="82" t="n">
        <f aca="false">IF(E946="","",(AA946&lt;&gt;"")+(AG946&lt;&gt;"")+(AL946&lt;&gt;""))</f>
        <v>1</v>
      </c>
      <c r="AP946" s="82" t="str">
        <f aca="false">IF(AL946&lt;&gt;"",AL946,IF(AG946&lt;&gt;"",AG946,IF(AA946&lt;&gt;"",AA946,"")))</f>
        <v>A</v>
      </c>
      <c r="AQ946" s="84" t="str">
        <f aca="false">IF(E946="","",IF(U946="","À SOUDER",IF(X946="","VT EN ATTENTE",IF(X946="R","VT REJETÉ – À REPRENDRE",IF(AP946="","À RADIOGRAPHIER",IF(AP946="A","ACCEPTÉ",IF(AP946="NX","NX – RT À REFAIRE",IF(IF(AO946=1,AD946,IF(AO946=2,AI946,""))="A","RÉPARÉ – À RADIOGRAPHIER",IF(IF(AO946=1,AD946,IF(AO946=2,AI946,""))="R","VT REJETÉ – À REPRENDRE",IF(OR(AP946="CO",AP946="NT"),"COUPE – À RESOUDER","À RÉPARER"))))))))))</f>
        <v>ACCEPTÉ</v>
      </c>
      <c r="AR946" s="82" t="str">
        <f aca="false">IF(AND(ISNUMBER(U946),OR(AQ946="À RADIOGRAPHIER",AQ946="RÉPARÉ – À RADIOGRAPHIER",AQ946="NX – RT À REFAIRE",AQ946="À RÉPARER",AQ946="COUPE – À RESOUDER",AQ946="VT REJETÉ – À REPRENDRE")),MAX(0,'PROGRAMME RT'!$C$4-U946),"")</f>
        <v/>
      </c>
      <c r="AS946" s="82" t="n">
        <f aca="false">IF(AND(OR(AQ946="À RADIOGRAPHIER",AQ946="RÉPARÉ – À RADIOGRAPHIER",AQ946="NX – RT À REFAIRE"),OR('PROGRAMME RT'!$D$5="TOUTES",B946='PROGRAMME RT'!$D$5)),1,0)</f>
        <v>0</v>
      </c>
      <c r="AT946" s="82" t="str">
        <f aca="false">IF(AS946=1,SUM(AS$7:AS946),"")</f>
        <v/>
      </c>
      <c r="AU946" s="82" t="n">
        <f aca="false">IF(AND(OR(AA946="R",AA946="NX",AA946="NT",AA946="CO"),OR('JOINTS DE RÉPARATION'!$D$5="TOUTES",B946='JOINTS DE RÉPARATION'!$D$5),OR('JOINTS DE RÉPARATION'!$L$4="TOUS",AQ946&lt;&gt;"ACCEPTÉ")),1,0)</f>
        <v>0</v>
      </c>
      <c r="AV946" s="82" t="str">
        <f aca="false">IF(AU946=1,SUM(AU$7:AU946),"")</f>
        <v/>
      </c>
      <c r="AW946" s="82" t="str">
        <f aca="false">IF(E946="","",B946&amp;"|"&amp;E946)</f>
        <v>MFD-ISW → MFD-CPF|JN°851</v>
      </c>
    </row>
    <row r="947" customFormat="false" ht="74.6" hidden="false" customHeight="false" outlineLevel="0" collapsed="false">
      <c r="A947" s="79" t="n">
        <f aca="false">IF(E947="","",ROW()-6)</f>
        <v>941</v>
      </c>
      <c r="B947" s="80" t="s">
        <v>110</v>
      </c>
      <c r="C947" s="81" t="s">
        <v>1054</v>
      </c>
      <c r="D947" s="81" t="n">
        <v>6</v>
      </c>
      <c r="E947" s="81" t="s">
        <v>1110</v>
      </c>
      <c r="F947" s="82" t="str">
        <f aca="false">IF(E947="","",IF(LEFT(E947,2)="DJ","DJ","JN"))</f>
        <v>DJ</v>
      </c>
      <c r="G947" s="81"/>
      <c r="H947" s="81" t="s">
        <v>871</v>
      </c>
      <c r="I947" s="81" t="n">
        <v>9.53</v>
      </c>
      <c r="J947" s="81" t="s">
        <v>872</v>
      </c>
      <c r="K947" s="81" t="s">
        <v>873</v>
      </c>
      <c r="L947" s="81" t="n">
        <v>2083330</v>
      </c>
      <c r="M947" s="81" t="n">
        <v>15421105</v>
      </c>
      <c r="N947" s="81" t="n">
        <v>11.94</v>
      </c>
      <c r="O947" s="81" t="n">
        <v>2080740</v>
      </c>
      <c r="P947" s="81" t="n">
        <v>15421103</v>
      </c>
      <c r="Q947" s="81" t="n">
        <v>11.94</v>
      </c>
      <c r="R947" s="81" t="s">
        <v>874</v>
      </c>
      <c r="S947" s="81"/>
      <c r="T947" s="81"/>
      <c r="U947" s="83" t="n">
        <v>46284</v>
      </c>
      <c r="V947" s="83" t="n">
        <v>46284</v>
      </c>
      <c r="W947" s="81" t="s">
        <v>956</v>
      </c>
      <c r="X947" s="81" t="s">
        <v>876</v>
      </c>
      <c r="Y947" s="83" t="n">
        <v>46285</v>
      </c>
      <c r="Z947" s="81" t="s">
        <v>957</v>
      </c>
      <c r="AA947" s="81" t="s">
        <v>876</v>
      </c>
      <c r="AB947" s="81"/>
      <c r="AC947" s="81"/>
      <c r="AD947" s="81"/>
      <c r="AE947" s="83"/>
      <c r="AF947" s="81"/>
      <c r="AG947" s="81"/>
      <c r="AH947" s="81"/>
      <c r="AI947" s="81"/>
      <c r="AJ947" s="83"/>
      <c r="AK947" s="81"/>
      <c r="AL947" s="81"/>
      <c r="AM947" s="83"/>
      <c r="AN947" s="80"/>
      <c r="AO947" s="82" t="n">
        <f aca="false">IF(E947="","",(AA947&lt;&gt;"")+(AG947&lt;&gt;"")+(AL947&lt;&gt;""))</f>
        <v>1</v>
      </c>
      <c r="AP947" s="82" t="str">
        <f aca="false">IF(AL947&lt;&gt;"",AL947,IF(AG947&lt;&gt;"",AG947,IF(AA947&lt;&gt;"",AA947,"")))</f>
        <v>A</v>
      </c>
      <c r="AQ947" s="84" t="str">
        <f aca="false">IF(E947="","",IF(U947="","À SOUDER",IF(X947="","VT EN ATTENTE",IF(X947="R","VT REJETÉ – À REPRENDRE",IF(AP947="","À RADIOGRAPHIER",IF(AP947="A","ACCEPTÉ",IF(AP947="NX","NX – RT À REFAIRE",IF(IF(AO947=1,AD947,IF(AO947=2,AI947,""))="A","RÉPARÉ – À RADIOGRAPHIER",IF(IF(AO947=1,AD947,IF(AO947=2,AI947,""))="R","VT REJETÉ – À REPRENDRE",IF(OR(AP947="CO",AP947="NT"),"COUPE – À RESOUDER","À RÉPARER"))))))))))</f>
        <v>ACCEPTÉ</v>
      </c>
      <c r="AR947" s="82" t="str">
        <f aca="false">IF(AND(ISNUMBER(U947),OR(AQ947="À RADIOGRAPHIER",AQ947="RÉPARÉ – À RADIOGRAPHIER",AQ947="NX – RT À REFAIRE",AQ947="À RÉPARER",AQ947="COUPE – À RESOUDER",AQ947="VT REJETÉ – À REPRENDRE")),MAX(0,'PROGRAMME RT'!$C$4-U947),"")</f>
        <v/>
      </c>
      <c r="AS947" s="82" t="n">
        <f aca="false">IF(AND(OR(AQ947="À RADIOGRAPHIER",AQ947="RÉPARÉ – À RADIOGRAPHIER",AQ947="NX – RT À REFAIRE"),OR('PROGRAMME RT'!$D$5="TOUTES",B947='PROGRAMME RT'!$D$5)),1,0)</f>
        <v>0</v>
      </c>
      <c r="AT947" s="82" t="str">
        <f aca="false">IF(AS947=1,SUM(AS$7:AS947),"")</f>
        <v/>
      </c>
      <c r="AU947" s="82" t="n">
        <f aca="false">IF(AND(OR(AA947="R",AA947="NX",AA947="NT",AA947="CO"),OR('JOINTS DE RÉPARATION'!$D$5="TOUTES",B947='JOINTS DE RÉPARATION'!$D$5),OR('JOINTS DE RÉPARATION'!$L$4="TOUS",AQ947&lt;&gt;"ACCEPTÉ")),1,0)</f>
        <v>0</v>
      </c>
      <c r="AV947" s="82" t="str">
        <f aca="false">IF(AU947=1,SUM(AU$7:AU947),"")</f>
        <v/>
      </c>
      <c r="AW947" s="82" t="str">
        <f aca="false">IF(E947="","",B947&amp;"|"&amp;E947)</f>
        <v>MFD-ISW → MFD-CPF|DJ°441</v>
      </c>
    </row>
    <row r="948" customFormat="false" ht="74.6" hidden="false" customHeight="false" outlineLevel="0" collapsed="false">
      <c r="A948" s="79" t="n">
        <f aca="false">IF(E948="","",ROW()-6)</f>
        <v>942</v>
      </c>
      <c r="B948" s="80" t="s">
        <v>110</v>
      </c>
      <c r="C948" s="81" t="s">
        <v>1054</v>
      </c>
      <c r="D948" s="81" t="n">
        <v>6</v>
      </c>
      <c r="E948" s="81" t="s">
        <v>1111</v>
      </c>
      <c r="F948" s="82" t="str">
        <f aca="false">IF(E948="","",IF(LEFT(E948,2)="DJ","DJ","JN"))</f>
        <v>JN</v>
      </c>
      <c r="G948" s="81"/>
      <c r="H948" s="81" t="s">
        <v>871</v>
      </c>
      <c r="I948" s="81" t="n">
        <v>9.53</v>
      </c>
      <c r="J948" s="81" t="s">
        <v>872</v>
      </c>
      <c r="K948" s="81" t="s">
        <v>879</v>
      </c>
      <c r="L948" s="81" t="n">
        <v>2080740</v>
      </c>
      <c r="M948" s="81" t="n">
        <v>15421103</v>
      </c>
      <c r="N948" s="81" t="n">
        <v>11.94</v>
      </c>
      <c r="O948" s="81" t="n">
        <v>2084800</v>
      </c>
      <c r="P948" s="81" t="n">
        <v>15421106</v>
      </c>
      <c r="Q948" s="81" t="n">
        <v>11.94</v>
      </c>
      <c r="R948" s="81" t="s">
        <v>1099</v>
      </c>
      <c r="S948" s="81"/>
      <c r="T948" s="81"/>
      <c r="U948" s="83" t="n">
        <v>46285</v>
      </c>
      <c r="V948" s="83" t="n">
        <v>46285</v>
      </c>
      <c r="W948" s="81" t="s">
        <v>1100</v>
      </c>
      <c r="X948" s="81" t="s">
        <v>876</v>
      </c>
      <c r="Y948" s="83" t="n">
        <v>46292</v>
      </c>
      <c r="Z948" s="81" t="s">
        <v>1103</v>
      </c>
      <c r="AA948" s="81" t="s">
        <v>876</v>
      </c>
      <c r="AB948" s="81"/>
      <c r="AC948" s="81"/>
      <c r="AD948" s="81"/>
      <c r="AE948" s="83"/>
      <c r="AF948" s="81"/>
      <c r="AG948" s="81"/>
      <c r="AH948" s="81"/>
      <c r="AI948" s="81"/>
      <c r="AJ948" s="83"/>
      <c r="AK948" s="81"/>
      <c r="AL948" s="81"/>
      <c r="AM948" s="83"/>
      <c r="AN948" s="80"/>
      <c r="AO948" s="82" t="n">
        <f aca="false">IF(E948="","",(AA948&lt;&gt;"")+(AG948&lt;&gt;"")+(AL948&lt;&gt;""))</f>
        <v>1</v>
      </c>
      <c r="AP948" s="82" t="str">
        <f aca="false">IF(AL948&lt;&gt;"",AL948,IF(AG948&lt;&gt;"",AG948,IF(AA948&lt;&gt;"",AA948,"")))</f>
        <v>A</v>
      </c>
      <c r="AQ948" s="84" t="str">
        <f aca="false">IF(E948="","",IF(U948="","À SOUDER",IF(X948="","VT EN ATTENTE",IF(X948="R","VT REJETÉ – À REPRENDRE",IF(AP948="","À RADIOGRAPHIER",IF(AP948="A","ACCEPTÉ",IF(AP948="NX","NX – RT À REFAIRE",IF(IF(AO948=1,AD948,IF(AO948=2,AI948,""))="A","RÉPARÉ – À RADIOGRAPHIER",IF(IF(AO948=1,AD948,IF(AO948=2,AI948,""))="R","VT REJETÉ – À REPRENDRE",IF(OR(AP948="CO",AP948="NT"),"COUPE – À RESOUDER","À RÉPARER"))))))))))</f>
        <v>ACCEPTÉ</v>
      </c>
      <c r="AR948" s="82" t="str">
        <f aca="false">IF(AND(ISNUMBER(U948),OR(AQ948="À RADIOGRAPHIER",AQ948="RÉPARÉ – À RADIOGRAPHIER",AQ948="NX – RT À REFAIRE",AQ948="À RÉPARER",AQ948="COUPE – À RESOUDER",AQ948="VT REJETÉ – À REPRENDRE")),MAX(0,'PROGRAMME RT'!$C$4-U948),"")</f>
        <v/>
      </c>
      <c r="AS948" s="82" t="n">
        <f aca="false">IF(AND(OR(AQ948="À RADIOGRAPHIER",AQ948="RÉPARÉ – À RADIOGRAPHIER",AQ948="NX – RT À REFAIRE"),OR('PROGRAMME RT'!$D$5="TOUTES",B948='PROGRAMME RT'!$D$5)),1,0)</f>
        <v>0</v>
      </c>
      <c r="AT948" s="82" t="str">
        <f aca="false">IF(AS948=1,SUM(AS$7:AS948),"")</f>
        <v/>
      </c>
      <c r="AU948" s="82" t="n">
        <f aca="false">IF(AND(OR(AA948="R",AA948="NX",AA948="NT",AA948="CO"),OR('JOINTS DE RÉPARATION'!$D$5="TOUTES",B948='JOINTS DE RÉPARATION'!$D$5),OR('JOINTS DE RÉPARATION'!$L$4="TOUS",AQ948&lt;&gt;"ACCEPTÉ")),1,0)</f>
        <v>0</v>
      </c>
      <c r="AV948" s="82" t="str">
        <f aca="false">IF(AU948=1,SUM(AU$7:AU948),"")</f>
        <v/>
      </c>
      <c r="AW948" s="82" t="str">
        <f aca="false">IF(E948="","",B948&amp;"|"&amp;E948)</f>
        <v>MFD-ISW → MFD-CPF|JN°852</v>
      </c>
    </row>
    <row r="949" customFormat="false" ht="74.6" hidden="false" customHeight="false" outlineLevel="0" collapsed="false">
      <c r="A949" s="79" t="n">
        <f aca="false">IF(E949="","",ROW()-6)</f>
        <v>943</v>
      </c>
      <c r="B949" s="80" t="s">
        <v>110</v>
      </c>
      <c r="C949" s="81" t="s">
        <v>1054</v>
      </c>
      <c r="D949" s="81" t="n">
        <v>6</v>
      </c>
      <c r="E949" s="81" t="s">
        <v>955</v>
      </c>
      <c r="F949" s="82" t="str">
        <f aca="false">IF(E949="","",IF(LEFT(E949,2)="DJ","DJ","JN"))</f>
        <v>DJ</v>
      </c>
      <c r="G949" s="81"/>
      <c r="H949" s="81" t="s">
        <v>871</v>
      </c>
      <c r="I949" s="81" t="n">
        <v>9.53</v>
      </c>
      <c r="J949" s="81" t="s">
        <v>872</v>
      </c>
      <c r="K949" s="81" t="s">
        <v>873</v>
      </c>
      <c r="L949" s="81" t="n">
        <v>2084800</v>
      </c>
      <c r="M949" s="81" t="n">
        <v>15421106</v>
      </c>
      <c r="N949" s="81" t="n">
        <v>11.94</v>
      </c>
      <c r="O949" s="81" t="n">
        <v>2082890</v>
      </c>
      <c r="P949" s="81" t="n">
        <v>15421105</v>
      </c>
      <c r="Q949" s="81" t="n">
        <v>11.94</v>
      </c>
      <c r="R949" s="81" t="s">
        <v>882</v>
      </c>
      <c r="S949" s="81"/>
      <c r="T949" s="81"/>
      <c r="U949" s="83" t="n">
        <v>46284</v>
      </c>
      <c r="V949" s="83" t="n">
        <v>46284</v>
      </c>
      <c r="W949" s="81" t="s">
        <v>956</v>
      </c>
      <c r="X949" s="81" t="s">
        <v>876</v>
      </c>
      <c r="Y949" s="83" t="n">
        <v>46285</v>
      </c>
      <c r="Z949" s="81" t="s">
        <v>957</v>
      </c>
      <c r="AA949" s="81" t="s">
        <v>876</v>
      </c>
      <c r="AB949" s="81"/>
      <c r="AC949" s="81"/>
      <c r="AD949" s="81"/>
      <c r="AE949" s="83"/>
      <c r="AF949" s="81"/>
      <c r="AG949" s="81"/>
      <c r="AH949" s="81"/>
      <c r="AI949" s="81"/>
      <c r="AJ949" s="83"/>
      <c r="AK949" s="81"/>
      <c r="AL949" s="81"/>
      <c r="AM949" s="83"/>
      <c r="AN949" s="80"/>
      <c r="AO949" s="82" t="n">
        <f aca="false">IF(E949="","",(AA949&lt;&gt;"")+(AG949&lt;&gt;"")+(AL949&lt;&gt;""))</f>
        <v>1</v>
      </c>
      <c r="AP949" s="82" t="str">
        <f aca="false">IF(AL949&lt;&gt;"",AL949,IF(AG949&lt;&gt;"",AG949,IF(AA949&lt;&gt;"",AA949,"")))</f>
        <v>A</v>
      </c>
      <c r="AQ949" s="84" t="str">
        <f aca="false">IF(E949="","",IF(U949="","À SOUDER",IF(X949="","VT EN ATTENTE",IF(X949="R","VT REJETÉ – À REPRENDRE",IF(AP949="","À RADIOGRAPHIER",IF(AP949="A","ACCEPTÉ",IF(AP949="NX","NX – RT À REFAIRE",IF(IF(AO949=1,AD949,IF(AO949=2,AI949,""))="A","RÉPARÉ – À RADIOGRAPHIER",IF(IF(AO949=1,AD949,IF(AO949=2,AI949,""))="R","VT REJETÉ – À REPRENDRE",IF(OR(AP949="CO",AP949="NT"),"COUPE – À RESOUDER","À RÉPARER"))))))))))</f>
        <v>ACCEPTÉ</v>
      </c>
      <c r="AR949" s="82" t="str">
        <f aca="false">IF(AND(ISNUMBER(U949),OR(AQ949="À RADIOGRAPHIER",AQ949="RÉPARÉ – À RADIOGRAPHIER",AQ949="NX – RT À REFAIRE",AQ949="À RÉPARER",AQ949="COUPE – À RESOUDER",AQ949="VT REJETÉ – À REPRENDRE")),MAX(0,'PROGRAMME RT'!$C$4-U949),"")</f>
        <v/>
      </c>
      <c r="AS949" s="82" t="n">
        <f aca="false">IF(AND(OR(AQ949="À RADIOGRAPHIER",AQ949="RÉPARÉ – À RADIOGRAPHIER",AQ949="NX – RT À REFAIRE"),OR('PROGRAMME RT'!$D$5="TOUTES",B949='PROGRAMME RT'!$D$5)),1,0)</f>
        <v>0</v>
      </c>
      <c r="AT949" s="82" t="str">
        <f aca="false">IF(AS949=1,SUM(AS$7:AS949),"")</f>
        <v/>
      </c>
      <c r="AU949" s="82" t="n">
        <f aca="false">IF(AND(OR(AA949="R",AA949="NX",AA949="NT",AA949="CO"),OR('JOINTS DE RÉPARATION'!$D$5="TOUTES",B949='JOINTS DE RÉPARATION'!$D$5),OR('JOINTS DE RÉPARATION'!$L$4="TOUS",AQ949&lt;&gt;"ACCEPTÉ")),1,0)</f>
        <v>0</v>
      </c>
      <c r="AV949" s="82" t="str">
        <f aca="false">IF(AU949=1,SUM(AU$7:AU949),"")</f>
        <v/>
      </c>
      <c r="AW949" s="82" t="str">
        <f aca="false">IF(E949="","",B949&amp;"|"&amp;E949)</f>
        <v>MFD-ISW → MFD-CPF|DJ°438</v>
      </c>
    </row>
    <row r="950" customFormat="false" ht="74.6" hidden="false" customHeight="false" outlineLevel="0" collapsed="false">
      <c r="A950" s="79" t="n">
        <f aca="false">IF(E950="","",ROW()-6)</f>
        <v>944</v>
      </c>
      <c r="B950" s="80" t="s">
        <v>110</v>
      </c>
      <c r="C950" s="81" t="s">
        <v>1054</v>
      </c>
      <c r="D950" s="81" t="n">
        <v>6</v>
      </c>
      <c r="E950" s="81" t="s">
        <v>1112</v>
      </c>
      <c r="F950" s="82" t="str">
        <f aca="false">IF(E950="","",IF(LEFT(E950,2)="DJ","DJ","JN"))</f>
        <v>JN</v>
      </c>
      <c r="G950" s="81"/>
      <c r="H950" s="81" t="s">
        <v>871</v>
      </c>
      <c r="I950" s="81" t="n">
        <v>9.53</v>
      </c>
      <c r="J950" s="81" t="s">
        <v>872</v>
      </c>
      <c r="K950" s="81" t="s">
        <v>879</v>
      </c>
      <c r="L950" s="81" t="n">
        <v>2082890</v>
      </c>
      <c r="M950" s="81" t="n">
        <v>15421105</v>
      </c>
      <c r="N950" s="81" t="n">
        <v>11.94</v>
      </c>
      <c r="O950" s="81" t="n">
        <v>2092050</v>
      </c>
      <c r="P950" s="81" t="n">
        <v>15421105</v>
      </c>
      <c r="Q950" s="81" t="n">
        <v>11.94</v>
      </c>
      <c r="R950" s="81" t="s">
        <v>1099</v>
      </c>
      <c r="S950" s="81"/>
      <c r="T950" s="81"/>
      <c r="U950" s="83" t="n">
        <v>46285</v>
      </c>
      <c r="V950" s="83" t="n">
        <v>46285</v>
      </c>
      <c r="W950" s="81" t="s">
        <v>1100</v>
      </c>
      <c r="X950" s="81" t="s">
        <v>876</v>
      </c>
      <c r="Y950" s="83" t="n">
        <v>46292</v>
      </c>
      <c r="Z950" s="81" t="s">
        <v>1103</v>
      </c>
      <c r="AA950" s="81" t="s">
        <v>876</v>
      </c>
      <c r="AB950" s="81"/>
      <c r="AC950" s="81"/>
      <c r="AD950" s="81"/>
      <c r="AE950" s="83"/>
      <c r="AF950" s="81"/>
      <c r="AG950" s="81"/>
      <c r="AH950" s="81"/>
      <c r="AI950" s="81"/>
      <c r="AJ950" s="83"/>
      <c r="AK950" s="81"/>
      <c r="AL950" s="81"/>
      <c r="AM950" s="83"/>
      <c r="AN950" s="80"/>
      <c r="AO950" s="82" t="n">
        <f aca="false">IF(E950="","",(AA950&lt;&gt;"")+(AG950&lt;&gt;"")+(AL950&lt;&gt;""))</f>
        <v>1</v>
      </c>
      <c r="AP950" s="82" t="str">
        <f aca="false">IF(AL950&lt;&gt;"",AL950,IF(AG950&lt;&gt;"",AG950,IF(AA950&lt;&gt;"",AA950,"")))</f>
        <v>A</v>
      </c>
      <c r="AQ950" s="84" t="str">
        <f aca="false">IF(E950="","",IF(U950="","À SOUDER",IF(X950="","VT EN ATTENTE",IF(X950="R","VT REJETÉ – À REPRENDRE",IF(AP950="","À RADIOGRAPHIER",IF(AP950="A","ACCEPTÉ",IF(AP950="NX","NX – RT À REFAIRE",IF(IF(AO950=1,AD950,IF(AO950=2,AI950,""))="A","RÉPARÉ – À RADIOGRAPHIER",IF(IF(AO950=1,AD950,IF(AO950=2,AI950,""))="R","VT REJETÉ – À REPRENDRE",IF(OR(AP950="CO",AP950="NT"),"COUPE – À RESOUDER","À RÉPARER"))))))))))</f>
        <v>ACCEPTÉ</v>
      </c>
      <c r="AR950" s="82" t="str">
        <f aca="false">IF(AND(ISNUMBER(U950),OR(AQ950="À RADIOGRAPHIER",AQ950="RÉPARÉ – À RADIOGRAPHIER",AQ950="NX – RT À REFAIRE",AQ950="À RÉPARER",AQ950="COUPE – À RESOUDER",AQ950="VT REJETÉ – À REPRENDRE")),MAX(0,'PROGRAMME RT'!$C$4-U950),"")</f>
        <v/>
      </c>
      <c r="AS950" s="82" t="n">
        <f aca="false">IF(AND(OR(AQ950="À RADIOGRAPHIER",AQ950="RÉPARÉ – À RADIOGRAPHIER",AQ950="NX – RT À REFAIRE"),OR('PROGRAMME RT'!$D$5="TOUTES",B950='PROGRAMME RT'!$D$5)),1,0)</f>
        <v>0</v>
      </c>
      <c r="AT950" s="82" t="str">
        <f aca="false">IF(AS950=1,SUM(AS$7:AS950),"")</f>
        <v/>
      </c>
      <c r="AU950" s="82" t="n">
        <f aca="false">IF(AND(OR(AA950="R",AA950="NX",AA950="NT",AA950="CO"),OR('JOINTS DE RÉPARATION'!$D$5="TOUTES",B950='JOINTS DE RÉPARATION'!$D$5),OR('JOINTS DE RÉPARATION'!$L$4="TOUS",AQ950&lt;&gt;"ACCEPTÉ")),1,0)</f>
        <v>0</v>
      </c>
      <c r="AV950" s="82" t="str">
        <f aca="false">IF(AU950=1,SUM(AU$7:AU950),"")</f>
        <v/>
      </c>
      <c r="AW950" s="82" t="str">
        <f aca="false">IF(E950="","",B950&amp;"|"&amp;E950)</f>
        <v>MFD-ISW → MFD-CPF|JN°853</v>
      </c>
    </row>
    <row r="951" customFormat="false" ht="74.6" hidden="false" customHeight="false" outlineLevel="0" collapsed="false">
      <c r="A951" s="79" t="n">
        <f aca="false">IF(E951="","",ROW()-6)</f>
        <v>945</v>
      </c>
      <c r="B951" s="80" t="s">
        <v>110</v>
      </c>
      <c r="C951" s="81" t="s">
        <v>1054</v>
      </c>
      <c r="D951" s="81" t="n">
        <v>6</v>
      </c>
      <c r="E951" s="81" t="s">
        <v>1113</v>
      </c>
      <c r="F951" s="82" t="str">
        <f aca="false">IF(E951="","",IF(LEFT(E951,2)="DJ","DJ","JN"))</f>
        <v>DJ</v>
      </c>
      <c r="G951" s="81"/>
      <c r="H951" s="81" t="s">
        <v>871</v>
      </c>
      <c r="I951" s="81" t="n">
        <v>9.53</v>
      </c>
      <c r="J951" s="81" t="s">
        <v>872</v>
      </c>
      <c r="K951" s="81" t="s">
        <v>873</v>
      </c>
      <c r="L951" s="81" t="n">
        <v>2092050</v>
      </c>
      <c r="M951" s="81" t="n">
        <v>15421105</v>
      </c>
      <c r="N951" s="81" t="n">
        <v>11.94</v>
      </c>
      <c r="O951" s="81" t="n">
        <v>2086340</v>
      </c>
      <c r="P951" s="81" t="n">
        <v>15421107</v>
      </c>
      <c r="Q951" s="81" t="n">
        <v>11.94</v>
      </c>
      <c r="R951" s="81" t="s">
        <v>882</v>
      </c>
      <c r="S951" s="81"/>
      <c r="T951" s="81"/>
      <c r="U951" s="83" t="n">
        <v>46284</v>
      </c>
      <c r="V951" s="83" t="n">
        <v>46284</v>
      </c>
      <c r="W951" s="81" t="s">
        <v>956</v>
      </c>
      <c r="X951" s="81" t="s">
        <v>876</v>
      </c>
      <c r="Y951" s="83" t="n">
        <v>46285</v>
      </c>
      <c r="Z951" s="81" t="s">
        <v>957</v>
      </c>
      <c r="AA951" s="81" t="s">
        <v>876</v>
      </c>
      <c r="AB951" s="81"/>
      <c r="AC951" s="81"/>
      <c r="AD951" s="81"/>
      <c r="AE951" s="83"/>
      <c r="AF951" s="81"/>
      <c r="AG951" s="81"/>
      <c r="AH951" s="81"/>
      <c r="AI951" s="81"/>
      <c r="AJ951" s="83"/>
      <c r="AK951" s="81"/>
      <c r="AL951" s="81"/>
      <c r="AM951" s="83"/>
      <c r="AN951" s="80"/>
      <c r="AO951" s="82" t="n">
        <f aca="false">IF(E951="","",(AA951&lt;&gt;"")+(AG951&lt;&gt;"")+(AL951&lt;&gt;""))</f>
        <v>1</v>
      </c>
      <c r="AP951" s="82" t="str">
        <f aca="false">IF(AL951&lt;&gt;"",AL951,IF(AG951&lt;&gt;"",AG951,IF(AA951&lt;&gt;"",AA951,"")))</f>
        <v>A</v>
      </c>
      <c r="AQ951" s="84" t="str">
        <f aca="false">IF(E951="","",IF(U951="","À SOUDER",IF(X951="","VT EN ATTENTE",IF(X951="R","VT REJETÉ – À REPRENDRE",IF(AP951="","À RADIOGRAPHIER",IF(AP951="A","ACCEPTÉ",IF(AP951="NX","NX – RT À REFAIRE",IF(IF(AO951=1,AD951,IF(AO951=2,AI951,""))="A","RÉPARÉ – À RADIOGRAPHIER",IF(IF(AO951=1,AD951,IF(AO951=2,AI951,""))="R","VT REJETÉ – À REPRENDRE",IF(OR(AP951="CO",AP951="NT"),"COUPE – À RESOUDER","À RÉPARER"))))))))))</f>
        <v>ACCEPTÉ</v>
      </c>
      <c r="AR951" s="82" t="str">
        <f aca="false">IF(AND(ISNUMBER(U951),OR(AQ951="À RADIOGRAPHIER",AQ951="RÉPARÉ – À RADIOGRAPHIER",AQ951="NX – RT À REFAIRE",AQ951="À RÉPARER",AQ951="COUPE – À RESOUDER",AQ951="VT REJETÉ – À REPRENDRE")),MAX(0,'PROGRAMME RT'!$C$4-U951),"")</f>
        <v/>
      </c>
      <c r="AS951" s="82" t="n">
        <f aca="false">IF(AND(OR(AQ951="À RADIOGRAPHIER",AQ951="RÉPARÉ – À RADIOGRAPHIER",AQ951="NX – RT À REFAIRE"),OR('PROGRAMME RT'!$D$5="TOUTES",B951='PROGRAMME RT'!$D$5)),1,0)</f>
        <v>0</v>
      </c>
      <c r="AT951" s="82" t="str">
        <f aca="false">IF(AS951=1,SUM(AS$7:AS951),"")</f>
        <v/>
      </c>
      <c r="AU951" s="82" t="n">
        <f aca="false">IF(AND(OR(AA951="R",AA951="NX",AA951="NT",AA951="CO"),OR('JOINTS DE RÉPARATION'!$D$5="TOUTES",B951='JOINTS DE RÉPARATION'!$D$5),OR('JOINTS DE RÉPARATION'!$L$4="TOUS",AQ951&lt;&gt;"ACCEPTÉ")),1,0)</f>
        <v>0</v>
      </c>
      <c r="AV951" s="82" t="str">
        <f aca="false">IF(AU951=1,SUM(AU$7:AU951),"")</f>
        <v/>
      </c>
      <c r="AW951" s="82" t="str">
        <f aca="false">IF(E951="","",B951&amp;"|"&amp;E951)</f>
        <v>MFD-ISW → MFD-CPF|DJ°434</v>
      </c>
    </row>
    <row r="952" customFormat="false" ht="74.6" hidden="false" customHeight="false" outlineLevel="0" collapsed="false">
      <c r="A952" s="79" t="n">
        <f aca="false">IF(E952="","",ROW()-6)</f>
        <v>946</v>
      </c>
      <c r="B952" s="80" t="s">
        <v>110</v>
      </c>
      <c r="C952" s="81" t="s">
        <v>1054</v>
      </c>
      <c r="D952" s="81" t="n">
        <v>6</v>
      </c>
      <c r="E952" s="81" t="s">
        <v>1114</v>
      </c>
      <c r="F952" s="82" t="str">
        <f aca="false">IF(E952="","",IF(LEFT(E952,2)="DJ","DJ","JN"))</f>
        <v>JN</v>
      </c>
      <c r="G952" s="81"/>
      <c r="H952" s="81" t="s">
        <v>871</v>
      </c>
      <c r="I952" s="81" t="n">
        <v>9.53</v>
      </c>
      <c r="J952" s="81" t="s">
        <v>872</v>
      </c>
      <c r="K952" s="81" t="s">
        <v>879</v>
      </c>
      <c r="L952" s="81" t="n">
        <v>2086340</v>
      </c>
      <c r="M952" s="81" t="n">
        <v>15421107</v>
      </c>
      <c r="N952" s="81" t="n">
        <v>11.94</v>
      </c>
      <c r="O952" s="81" t="n">
        <v>2082100</v>
      </c>
      <c r="P952" s="81" t="n">
        <v>15421104</v>
      </c>
      <c r="Q952" s="81" t="n">
        <v>11.94</v>
      </c>
      <c r="R952" s="81" t="s">
        <v>1099</v>
      </c>
      <c r="S952" s="81"/>
      <c r="T952" s="81"/>
      <c r="U952" s="83" t="n">
        <v>46285</v>
      </c>
      <c r="V952" s="83" t="n">
        <v>46285</v>
      </c>
      <c r="W952" s="81" t="s">
        <v>1100</v>
      </c>
      <c r="X952" s="81" t="s">
        <v>876</v>
      </c>
      <c r="Y952" s="83" t="n">
        <v>46292</v>
      </c>
      <c r="Z952" s="81" t="s">
        <v>1103</v>
      </c>
      <c r="AA952" s="81" t="s">
        <v>876</v>
      </c>
      <c r="AB952" s="81"/>
      <c r="AC952" s="81"/>
      <c r="AD952" s="81"/>
      <c r="AE952" s="83"/>
      <c r="AF952" s="81"/>
      <c r="AG952" s="81"/>
      <c r="AH952" s="81"/>
      <c r="AI952" s="81"/>
      <c r="AJ952" s="83"/>
      <c r="AK952" s="81"/>
      <c r="AL952" s="81"/>
      <c r="AM952" s="83"/>
      <c r="AN952" s="80"/>
      <c r="AO952" s="82" t="n">
        <f aca="false">IF(E952="","",(AA952&lt;&gt;"")+(AG952&lt;&gt;"")+(AL952&lt;&gt;""))</f>
        <v>1</v>
      </c>
      <c r="AP952" s="82" t="str">
        <f aca="false">IF(AL952&lt;&gt;"",AL952,IF(AG952&lt;&gt;"",AG952,IF(AA952&lt;&gt;"",AA952,"")))</f>
        <v>A</v>
      </c>
      <c r="AQ952" s="84" t="str">
        <f aca="false">IF(E952="","",IF(U952="","À SOUDER",IF(X952="","VT EN ATTENTE",IF(X952="R","VT REJETÉ – À REPRENDRE",IF(AP952="","À RADIOGRAPHIER",IF(AP952="A","ACCEPTÉ",IF(AP952="NX","NX – RT À REFAIRE",IF(IF(AO952=1,AD952,IF(AO952=2,AI952,""))="A","RÉPARÉ – À RADIOGRAPHIER",IF(IF(AO952=1,AD952,IF(AO952=2,AI952,""))="R","VT REJETÉ – À REPRENDRE",IF(OR(AP952="CO",AP952="NT"),"COUPE – À RESOUDER","À RÉPARER"))))))))))</f>
        <v>ACCEPTÉ</v>
      </c>
      <c r="AR952" s="82" t="str">
        <f aca="false">IF(AND(ISNUMBER(U952),OR(AQ952="À RADIOGRAPHIER",AQ952="RÉPARÉ – À RADIOGRAPHIER",AQ952="NX – RT À REFAIRE",AQ952="À RÉPARER",AQ952="COUPE – À RESOUDER",AQ952="VT REJETÉ – À REPRENDRE")),MAX(0,'PROGRAMME RT'!$C$4-U952),"")</f>
        <v/>
      </c>
      <c r="AS952" s="82" t="n">
        <f aca="false">IF(AND(OR(AQ952="À RADIOGRAPHIER",AQ952="RÉPARÉ – À RADIOGRAPHIER",AQ952="NX – RT À REFAIRE"),OR('PROGRAMME RT'!$D$5="TOUTES",B952='PROGRAMME RT'!$D$5)),1,0)</f>
        <v>0</v>
      </c>
      <c r="AT952" s="82" t="str">
        <f aca="false">IF(AS952=1,SUM(AS$7:AS952),"")</f>
        <v/>
      </c>
      <c r="AU952" s="82" t="n">
        <f aca="false">IF(AND(OR(AA952="R",AA952="NX",AA952="NT",AA952="CO"),OR('JOINTS DE RÉPARATION'!$D$5="TOUTES",B952='JOINTS DE RÉPARATION'!$D$5),OR('JOINTS DE RÉPARATION'!$L$4="TOUS",AQ952&lt;&gt;"ACCEPTÉ")),1,0)</f>
        <v>0</v>
      </c>
      <c r="AV952" s="82" t="str">
        <f aca="false">IF(AU952=1,SUM(AU$7:AU952),"")</f>
        <v/>
      </c>
      <c r="AW952" s="82" t="str">
        <f aca="false">IF(E952="","",B952&amp;"|"&amp;E952)</f>
        <v>MFD-ISW → MFD-CPF|JN°854</v>
      </c>
    </row>
    <row r="953" customFormat="false" ht="74.6" hidden="false" customHeight="false" outlineLevel="0" collapsed="false">
      <c r="A953" s="79" t="n">
        <f aca="false">IF(E953="","",ROW()-6)</f>
        <v>947</v>
      </c>
      <c r="B953" s="80" t="s">
        <v>110</v>
      </c>
      <c r="C953" s="81" t="s">
        <v>1054</v>
      </c>
      <c r="D953" s="81" t="n">
        <v>6</v>
      </c>
      <c r="E953" s="81" t="s">
        <v>1115</v>
      </c>
      <c r="F953" s="82" t="str">
        <f aca="false">IF(E953="","",IF(LEFT(E953,2)="DJ","DJ","JN"))</f>
        <v>DJ</v>
      </c>
      <c r="G953" s="81"/>
      <c r="H953" s="81" t="s">
        <v>871</v>
      </c>
      <c r="I953" s="81" t="n">
        <v>9.53</v>
      </c>
      <c r="J953" s="81" t="s">
        <v>872</v>
      </c>
      <c r="K953" s="81" t="s">
        <v>873</v>
      </c>
      <c r="L953" s="81" t="n">
        <v>2082100</v>
      </c>
      <c r="M953" s="81" t="n">
        <v>15421104</v>
      </c>
      <c r="N953" s="81" t="n">
        <v>11.94</v>
      </c>
      <c r="O953" s="81" t="n">
        <v>2082420</v>
      </c>
      <c r="P953" s="81" t="n">
        <v>15421104</v>
      </c>
      <c r="Q953" s="81" t="n">
        <v>11.94</v>
      </c>
      <c r="R953" s="81" t="s">
        <v>874</v>
      </c>
      <c r="S953" s="81"/>
      <c r="T953" s="81"/>
      <c r="U953" s="83" t="n">
        <v>46282</v>
      </c>
      <c r="V953" s="83" t="n">
        <v>46282</v>
      </c>
      <c r="W953" s="81" t="s">
        <v>1116</v>
      </c>
      <c r="X953" s="81" t="s">
        <v>876</v>
      </c>
      <c r="Y953" s="83" t="n">
        <v>46283</v>
      </c>
      <c r="Z953" s="81" t="s">
        <v>1117</v>
      </c>
      <c r="AA953" s="81" t="s">
        <v>876</v>
      </c>
      <c r="AB953" s="81"/>
      <c r="AC953" s="81"/>
      <c r="AD953" s="81"/>
      <c r="AE953" s="83"/>
      <c r="AF953" s="81"/>
      <c r="AG953" s="81"/>
      <c r="AH953" s="81"/>
      <c r="AI953" s="81"/>
      <c r="AJ953" s="83"/>
      <c r="AK953" s="81"/>
      <c r="AL953" s="81"/>
      <c r="AM953" s="83"/>
      <c r="AN953" s="80"/>
      <c r="AO953" s="82" t="n">
        <f aca="false">IF(E953="","",(AA953&lt;&gt;"")+(AG953&lt;&gt;"")+(AL953&lt;&gt;""))</f>
        <v>1</v>
      </c>
      <c r="AP953" s="82" t="str">
        <f aca="false">IF(AL953&lt;&gt;"",AL953,IF(AG953&lt;&gt;"",AG953,IF(AA953&lt;&gt;"",AA953,"")))</f>
        <v>A</v>
      </c>
      <c r="AQ953" s="84" t="str">
        <f aca="false">IF(E953="","",IF(U953="","À SOUDER",IF(X953="","VT EN ATTENTE",IF(X953="R","VT REJETÉ – À REPRENDRE",IF(AP953="","À RADIOGRAPHIER",IF(AP953="A","ACCEPTÉ",IF(AP953="NX","NX – RT À REFAIRE",IF(IF(AO953=1,AD953,IF(AO953=2,AI953,""))="A","RÉPARÉ – À RADIOGRAPHIER",IF(IF(AO953=1,AD953,IF(AO953=2,AI953,""))="R","VT REJETÉ – À REPRENDRE",IF(OR(AP953="CO",AP953="NT"),"COUPE – À RESOUDER","À RÉPARER"))))))))))</f>
        <v>ACCEPTÉ</v>
      </c>
      <c r="AR953" s="82" t="str">
        <f aca="false">IF(AND(ISNUMBER(U953),OR(AQ953="À RADIOGRAPHIER",AQ953="RÉPARÉ – À RADIOGRAPHIER",AQ953="NX – RT À REFAIRE",AQ953="À RÉPARER",AQ953="COUPE – À RESOUDER",AQ953="VT REJETÉ – À REPRENDRE")),MAX(0,'PROGRAMME RT'!$C$4-U953),"")</f>
        <v/>
      </c>
      <c r="AS953" s="82" t="n">
        <f aca="false">IF(AND(OR(AQ953="À RADIOGRAPHIER",AQ953="RÉPARÉ – À RADIOGRAPHIER",AQ953="NX – RT À REFAIRE"),OR('PROGRAMME RT'!$D$5="TOUTES",B953='PROGRAMME RT'!$D$5)),1,0)</f>
        <v>0</v>
      </c>
      <c r="AT953" s="82" t="str">
        <f aca="false">IF(AS953=1,SUM(AS$7:AS953),"")</f>
        <v/>
      </c>
      <c r="AU953" s="82" t="n">
        <f aca="false">IF(AND(OR(AA953="R",AA953="NX",AA953="NT",AA953="CO"),OR('JOINTS DE RÉPARATION'!$D$5="TOUTES",B953='JOINTS DE RÉPARATION'!$D$5),OR('JOINTS DE RÉPARATION'!$L$4="TOUS",AQ953&lt;&gt;"ACCEPTÉ")),1,0)</f>
        <v>0</v>
      </c>
      <c r="AV953" s="82" t="str">
        <f aca="false">IF(AU953=1,SUM(AU$7:AU953),"")</f>
        <v/>
      </c>
      <c r="AW953" s="82" t="str">
        <f aca="false">IF(E953="","",B953&amp;"|"&amp;E953)</f>
        <v>MFD-ISW → MFD-CPF|DJ°416</v>
      </c>
    </row>
    <row r="954" customFormat="false" ht="74.6" hidden="false" customHeight="false" outlineLevel="0" collapsed="false">
      <c r="A954" s="79" t="n">
        <f aca="false">IF(E954="","",ROW()-6)</f>
        <v>948</v>
      </c>
      <c r="B954" s="80" t="s">
        <v>110</v>
      </c>
      <c r="C954" s="81" t="s">
        <v>1054</v>
      </c>
      <c r="D954" s="81" t="n">
        <v>6</v>
      </c>
      <c r="E954" s="81" t="s">
        <v>1118</v>
      </c>
      <c r="F954" s="82" t="str">
        <f aca="false">IF(E954="","",IF(LEFT(E954,2)="DJ","DJ","JN"))</f>
        <v>JN</v>
      </c>
      <c r="G954" s="81"/>
      <c r="H954" s="81" t="s">
        <v>871</v>
      </c>
      <c r="I954" s="81" t="n">
        <v>9.53</v>
      </c>
      <c r="J954" s="81" t="s">
        <v>872</v>
      </c>
      <c r="K954" s="81" t="s">
        <v>879</v>
      </c>
      <c r="L954" s="81" t="n">
        <v>2082420</v>
      </c>
      <c r="M954" s="81" t="n">
        <v>15421104</v>
      </c>
      <c r="N954" s="81" t="n">
        <v>11.94</v>
      </c>
      <c r="O954" s="81" t="n">
        <v>2080750</v>
      </c>
      <c r="P954" s="81" t="n">
        <v>15421103</v>
      </c>
      <c r="Q954" s="81" t="n">
        <v>11.94</v>
      </c>
      <c r="R954" s="81" t="s">
        <v>1099</v>
      </c>
      <c r="S954" s="81"/>
      <c r="T954" s="81"/>
      <c r="U954" s="83" t="n">
        <v>46285</v>
      </c>
      <c r="V954" s="83" t="n">
        <v>46285</v>
      </c>
      <c r="W954" s="81" t="s">
        <v>1100</v>
      </c>
      <c r="X954" s="81" t="s">
        <v>876</v>
      </c>
      <c r="Y954" s="83" t="n">
        <v>46292</v>
      </c>
      <c r="Z954" s="81" t="s">
        <v>1103</v>
      </c>
      <c r="AA954" s="81" t="s">
        <v>876</v>
      </c>
      <c r="AB954" s="81"/>
      <c r="AC954" s="81"/>
      <c r="AD954" s="81"/>
      <c r="AE954" s="83"/>
      <c r="AF954" s="81"/>
      <c r="AG954" s="81"/>
      <c r="AH954" s="81"/>
      <c r="AI954" s="81"/>
      <c r="AJ954" s="83"/>
      <c r="AK954" s="81"/>
      <c r="AL954" s="81"/>
      <c r="AM954" s="83"/>
      <c r="AN954" s="80"/>
      <c r="AO954" s="82" t="n">
        <f aca="false">IF(E954="","",(AA954&lt;&gt;"")+(AG954&lt;&gt;"")+(AL954&lt;&gt;""))</f>
        <v>1</v>
      </c>
      <c r="AP954" s="82" t="str">
        <f aca="false">IF(AL954&lt;&gt;"",AL954,IF(AG954&lt;&gt;"",AG954,IF(AA954&lt;&gt;"",AA954,"")))</f>
        <v>A</v>
      </c>
      <c r="AQ954" s="84" t="str">
        <f aca="false">IF(E954="","",IF(U954="","À SOUDER",IF(X954="","VT EN ATTENTE",IF(X954="R","VT REJETÉ – À REPRENDRE",IF(AP954="","À RADIOGRAPHIER",IF(AP954="A","ACCEPTÉ",IF(AP954="NX","NX – RT À REFAIRE",IF(IF(AO954=1,AD954,IF(AO954=2,AI954,""))="A","RÉPARÉ – À RADIOGRAPHIER",IF(IF(AO954=1,AD954,IF(AO954=2,AI954,""))="R","VT REJETÉ – À REPRENDRE",IF(OR(AP954="CO",AP954="NT"),"COUPE – À RESOUDER","À RÉPARER"))))))))))</f>
        <v>ACCEPTÉ</v>
      </c>
      <c r="AR954" s="82" t="str">
        <f aca="false">IF(AND(ISNUMBER(U954),OR(AQ954="À RADIOGRAPHIER",AQ954="RÉPARÉ – À RADIOGRAPHIER",AQ954="NX – RT À REFAIRE",AQ954="À RÉPARER",AQ954="COUPE – À RESOUDER",AQ954="VT REJETÉ – À REPRENDRE")),MAX(0,'PROGRAMME RT'!$C$4-U954),"")</f>
        <v/>
      </c>
      <c r="AS954" s="82" t="n">
        <f aca="false">IF(AND(OR(AQ954="À RADIOGRAPHIER",AQ954="RÉPARÉ – À RADIOGRAPHIER",AQ954="NX – RT À REFAIRE"),OR('PROGRAMME RT'!$D$5="TOUTES",B954='PROGRAMME RT'!$D$5)),1,0)</f>
        <v>0</v>
      </c>
      <c r="AT954" s="82" t="str">
        <f aca="false">IF(AS954=1,SUM(AS$7:AS954),"")</f>
        <v/>
      </c>
      <c r="AU954" s="82" t="n">
        <f aca="false">IF(AND(OR(AA954="R",AA954="NX",AA954="NT",AA954="CO"),OR('JOINTS DE RÉPARATION'!$D$5="TOUTES",B954='JOINTS DE RÉPARATION'!$D$5),OR('JOINTS DE RÉPARATION'!$L$4="TOUS",AQ954&lt;&gt;"ACCEPTÉ")),1,0)</f>
        <v>0</v>
      </c>
      <c r="AV954" s="82" t="str">
        <f aca="false">IF(AU954=1,SUM(AU$7:AU954),"")</f>
        <v/>
      </c>
      <c r="AW954" s="82" t="str">
        <f aca="false">IF(E954="","",B954&amp;"|"&amp;E954)</f>
        <v>MFD-ISW → MFD-CPF|JN°855</v>
      </c>
    </row>
    <row r="955" customFormat="false" ht="74.6" hidden="false" customHeight="false" outlineLevel="0" collapsed="false">
      <c r="A955" s="79" t="n">
        <f aca="false">IF(E955="","",ROW()-6)</f>
        <v>949</v>
      </c>
      <c r="B955" s="80" t="s">
        <v>110</v>
      </c>
      <c r="C955" s="81" t="s">
        <v>1054</v>
      </c>
      <c r="D955" s="81" t="n">
        <v>6</v>
      </c>
      <c r="E955" s="81" t="s">
        <v>1119</v>
      </c>
      <c r="F955" s="82" t="str">
        <f aca="false">IF(E955="","",IF(LEFT(E955,2)="DJ","DJ","JN"))</f>
        <v>DJ</v>
      </c>
      <c r="G955" s="81"/>
      <c r="H955" s="81" t="s">
        <v>871</v>
      </c>
      <c r="I955" s="81" t="n">
        <v>9.53</v>
      </c>
      <c r="J955" s="81" t="s">
        <v>872</v>
      </c>
      <c r="K955" s="81" t="s">
        <v>873</v>
      </c>
      <c r="L955" s="81" t="n">
        <v>2080750</v>
      </c>
      <c r="M955" s="81" t="n">
        <v>15421103</v>
      </c>
      <c r="N955" s="81" t="n">
        <v>11.94</v>
      </c>
      <c r="O955" s="81" t="n">
        <v>2093230</v>
      </c>
      <c r="P955" s="81" t="n">
        <v>15421110</v>
      </c>
      <c r="Q955" s="81" t="n">
        <v>11.94</v>
      </c>
      <c r="R955" s="81" t="s">
        <v>963</v>
      </c>
      <c r="S955" s="81"/>
      <c r="T955" s="81"/>
      <c r="U955" s="83" t="n">
        <v>46283</v>
      </c>
      <c r="V955" s="83" t="n">
        <v>46283</v>
      </c>
      <c r="W955" s="81" t="s">
        <v>1077</v>
      </c>
      <c r="X955" s="81" t="s">
        <v>876</v>
      </c>
      <c r="Y955" s="83" t="n">
        <v>46284</v>
      </c>
      <c r="Z955" s="81" t="s">
        <v>1078</v>
      </c>
      <c r="AA955" s="81" t="s">
        <v>876</v>
      </c>
      <c r="AB955" s="81"/>
      <c r="AC955" s="81"/>
      <c r="AD955" s="81"/>
      <c r="AE955" s="83"/>
      <c r="AF955" s="81"/>
      <c r="AG955" s="81"/>
      <c r="AH955" s="81"/>
      <c r="AI955" s="81"/>
      <c r="AJ955" s="83"/>
      <c r="AK955" s="81"/>
      <c r="AL955" s="81"/>
      <c r="AM955" s="83"/>
      <c r="AN955" s="80"/>
      <c r="AO955" s="82" t="n">
        <f aca="false">IF(E955="","",(AA955&lt;&gt;"")+(AG955&lt;&gt;"")+(AL955&lt;&gt;""))</f>
        <v>1</v>
      </c>
      <c r="AP955" s="82" t="str">
        <f aca="false">IF(AL955&lt;&gt;"",AL955,IF(AG955&lt;&gt;"",AG955,IF(AA955&lt;&gt;"",AA955,"")))</f>
        <v>A</v>
      </c>
      <c r="AQ955" s="84" t="str">
        <f aca="false">IF(E955="","",IF(U955="","À SOUDER",IF(X955="","VT EN ATTENTE",IF(X955="R","VT REJETÉ – À REPRENDRE",IF(AP955="","À RADIOGRAPHIER",IF(AP955="A","ACCEPTÉ",IF(AP955="NX","NX – RT À REFAIRE",IF(IF(AO955=1,AD955,IF(AO955=2,AI955,""))="A","RÉPARÉ – À RADIOGRAPHIER",IF(IF(AO955=1,AD955,IF(AO955=2,AI955,""))="R","VT REJETÉ – À REPRENDRE",IF(OR(AP955="CO",AP955="NT"),"COUPE – À RESOUDER","À RÉPARER"))))))))))</f>
        <v>ACCEPTÉ</v>
      </c>
      <c r="AR955" s="82" t="str">
        <f aca="false">IF(AND(ISNUMBER(U955),OR(AQ955="À RADIOGRAPHIER",AQ955="RÉPARÉ – À RADIOGRAPHIER",AQ955="NX – RT À REFAIRE",AQ955="À RÉPARER",AQ955="COUPE – À RESOUDER",AQ955="VT REJETÉ – À REPRENDRE")),MAX(0,'PROGRAMME RT'!$C$4-U955),"")</f>
        <v/>
      </c>
      <c r="AS955" s="82" t="n">
        <f aca="false">IF(AND(OR(AQ955="À RADIOGRAPHIER",AQ955="RÉPARÉ – À RADIOGRAPHIER",AQ955="NX – RT À REFAIRE"),OR('PROGRAMME RT'!$D$5="TOUTES",B955='PROGRAMME RT'!$D$5)),1,0)</f>
        <v>0</v>
      </c>
      <c r="AT955" s="82" t="str">
        <f aca="false">IF(AS955=1,SUM(AS$7:AS955),"")</f>
        <v/>
      </c>
      <c r="AU955" s="82" t="n">
        <f aca="false">IF(AND(OR(AA955="R",AA955="NX",AA955="NT",AA955="CO"),OR('JOINTS DE RÉPARATION'!$D$5="TOUTES",B955='JOINTS DE RÉPARATION'!$D$5),OR('JOINTS DE RÉPARATION'!$L$4="TOUS",AQ955&lt;&gt;"ACCEPTÉ")),1,0)</f>
        <v>0</v>
      </c>
      <c r="AV955" s="82" t="str">
        <f aca="false">IF(AU955=1,SUM(AU$7:AU955),"")</f>
        <v/>
      </c>
      <c r="AW955" s="82" t="str">
        <f aca="false">IF(E955="","",B955&amp;"|"&amp;E955)</f>
        <v>MFD-ISW → MFD-CPF|DJ°424</v>
      </c>
    </row>
    <row r="956" customFormat="false" ht="74.6" hidden="false" customHeight="false" outlineLevel="0" collapsed="false">
      <c r="A956" s="79" t="n">
        <f aca="false">IF(E956="","",ROW()-6)</f>
        <v>950</v>
      </c>
      <c r="B956" s="80" t="s">
        <v>110</v>
      </c>
      <c r="C956" s="81" t="s">
        <v>1054</v>
      </c>
      <c r="D956" s="81" t="n">
        <v>6</v>
      </c>
      <c r="E956" s="81" t="s">
        <v>1120</v>
      </c>
      <c r="F956" s="82" t="str">
        <f aca="false">IF(E956="","",IF(LEFT(E956,2)="DJ","DJ","JN"))</f>
        <v>JN</v>
      </c>
      <c r="G956" s="81"/>
      <c r="H956" s="81" t="s">
        <v>871</v>
      </c>
      <c r="I956" s="81" t="n">
        <v>9.53</v>
      </c>
      <c r="J956" s="81" t="s">
        <v>872</v>
      </c>
      <c r="K956" s="81" t="s">
        <v>879</v>
      </c>
      <c r="L956" s="81" t="n">
        <v>2093230</v>
      </c>
      <c r="M956" s="81" t="n">
        <v>15421110</v>
      </c>
      <c r="N956" s="81" t="n">
        <v>11.94</v>
      </c>
      <c r="O956" s="81" t="n">
        <v>2079500</v>
      </c>
      <c r="P956" s="81" t="n">
        <v>15421102</v>
      </c>
      <c r="Q956" s="81" t="n">
        <v>11.94</v>
      </c>
      <c r="R956" s="81" t="s">
        <v>1099</v>
      </c>
      <c r="S956" s="81"/>
      <c r="T956" s="81"/>
      <c r="U956" s="83" t="n">
        <v>46285</v>
      </c>
      <c r="V956" s="83" t="n">
        <v>46285</v>
      </c>
      <c r="W956" s="81" t="s">
        <v>1100</v>
      </c>
      <c r="X956" s="81" t="s">
        <v>876</v>
      </c>
      <c r="Y956" s="83" t="n">
        <v>46292</v>
      </c>
      <c r="Z956" s="81" t="s">
        <v>1103</v>
      </c>
      <c r="AA956" s="81" t="s">
        <v>876</v>
      </c>
      <c r="AB956" s="81"/>
      <c r="AC956" s="81"/>
      <c r="AD956" s="81"/>
      <c r="AE956" s="83"/>
      <c r="AF956" s="81"/>
      <c r="AG956" s="81"/>
      <c r="AH956" s="81"/>
      <c r="AI956" s="81"/>
      <c r="AJ956" s="83"/>
      <c r="AK956" s="81"/>
      <c r="AL956" s="81"/>
      <c r="AM956" s="83"/>
      <c r="AN956" s="80"/>
      <c r="AO956" s="82" t="n">
        <f aca="false">IF(E956="","",(AA956&lt;&gt;"")+(AG956&lt;&gt;"")+(AL956&lt;&gt;""))</f>
        <v>1</v>
      </c>
      <c r="AP956" s="82" t="str">
        <f aca="false">IF(AL956&lt;&gt;"",AL956,IF(AG956&lt;&gt;"",AG956,IF(AA956&lt;&gt;"",AA956,"")))</f>
        <v>A</v>
      </c>
      <c r="AQ956" s="84" t="str">
        <f aca="false">IF(E956="","",IF(U956="","À SOUDER",IF(X956="","VT EN ATTENTE",IF(X956="R","VT REJETÉ – À REPRENDRE",IF(AP956="","À RADIOGRAPHIER",IF(AP956="A","ACCEPTÉ",IF(AP956="NX","NX – RT À REFAIRE",IF(IF(AO956=1,AD956,IF(AO956=2,AI956,""))="A","RÉPARÉ – À RADIOGRAPHIER",IF(IF(AO956=1,AD956,IF(AO956=2,AI956,""))="R","VT REJETÉ – À REPRENDRE",IF(OR(AP956="CO",AP956="NT"),"COUPE – À RESOUDER","À RÉPARER"))))))))))</f>
        <v>ACCEPTÉ</v>
      </c>
      <c r="AR956" s="82" t="str">
        <f aca="false">IF(AND(ISNUMBER(U956),OR(AQ956="À RADIOGRAPHIER",AQ956="RÉPARÉ – À RADIOGRAPHIER",AQ956="NX – RT À REFAIRE",AQ956="À RÉPARER",AQ956="COUPE – À RESOUDER",AQ956="VT REJETÉ – À REPRENDRE")),MAX(0,'PROGRAMME RT'!$C$4-U956),"")</f>
        <v/>
      </c>
      <c r="AS956" s="82" t="n">
        <f aca="false">IF(AND(OR(AQ956="À RADIOGRAPHIER",AQ956="RÉPARÉ – À RADIOGRAPHIER",AQ956="NX – RT À REFAIRE"),OR('PROGRAMME RT'!$D$5="TOUTES",B956='PROGRAMME RT'!$D$5)),1,0)</f>
        <v>0</v>
      </c>
      <c r="AT956" s="82" t="str">
        <f aca="false">IF(AS956=1,SUM(AS$7:AS956),"")</f>
        <v/>
      </c>
      <c r="AU956" s="82" t="n">
        <f aca="false">IF(AND(OR(AA956="R",AA956="NX",AA956="NT",AA956="CO"),OR('JOINTS DE RÉPARATION'!$D$5="TOUTES",B956='JOINTS DE RÉPARATION'!$D$5),OR('JOINTS DE RÉPARATION'!$L$4="TOUS",AQ956&lt;&gt;"ACCEPTÉ")),1,0)</f>
        <v>0</v>
      </c>
      <c r="AV956" s="82" t="str">
        <f aca="false">IF(AU956=1,SUM(AU$7:AU956),"")</f>
        <v/>
      </c>
      <c r="AW956" s="82" t="str">
        <f aca="false">IF(E956="","",B956&amp;"|"&amp;E956)</f>
        <v>MFD-ISW → MFD-CPF|JN°856</v>
      </c>
    </row>
    <row r="957" customFormat="false" ht="74.6" hidden="false" customHeight="false" outlineLevel="0" collapsed="false">
      <c r="A957" s="79" t="n">
        <f aca="false">IF(E957="","",ROW()-6)</f>
        <v>951</v>
      </c>
      <c r="B957" s="80" t="s">
        <v>110</v>
      </c>
      <c r="C957" s="81" t="s">
        <v>1054</v>
      </c>
      <c r="D957" s="81" t="n">
        <v>6</v>
      </c>
      <c r="E957" s="81" t="s">
        <v>1121</v>
      </c>
      <c r="F957" s="82" t="str">
        <f aca="false">IF(E957="","",IF(LEFT(E957,2)="DJ","DJ","JN"))</f>
        <v>DJ</v>
      </c>
      <c r="G957" s="81"/>
      <c r="H957" s="81" t="s">
        <v>871</v>
      </c>
      <c r="I957" s="81" t="n">
        <v>9.53</v>
      </c>
      <c r="J957" s="81" t="s">
        <v>872</v>
      </c>
      <c r="K957" s="81" t="s">
        <v>873</v>
      </c>
      <c r="L957" s="81" t="n">
        <v>2079500</v>
      </c>
      <c r="M957" s="81" t="n">
        <v>15421102</v>
      </c>
      <c r="N957" s="81" t="n">
        <v>11.94</v>
      </c>
      <c r="O957" s="81" t="n">
        <v>2097980</v>
      </c>
      <c r="P957" s="81" t="n">
        <v>15421112</v>
      </c>
      <c r="Q957" s="81" t="n">
        <v>11.94</v>
      </c>
      <c r="R957" s="81" t="s">
        <v>874</v>
      </c>
      <c r="S957" s="81"/>
      <c r="T957" s="81"/>
      <c r="U957" s="83" t="n">
        <v>46282</v>
      </c>
      <c r="V957" s="83" t="n">
        <v>46282</v>
      </c>
      <c r="W957" s="81" t="s">
        <v>1116</v>
      </c>
      <c r="X957" s="81" t="s">
        <v>876</v>
      </c>
      <c r="Y957" s="83" t="n">
        <v>46283</v>
      </c>
      <c r="Z957" s="81" t="s">
        <v>1117</v>
      </c>
      <c r="AA957" s="81" t="s">
        <v>876</v>
      </c>
      <c r="AB957" s="81"/>
      <c r="AC957" s="81"/>
      <c r="AD957" s="81"/>
      <c r="AE957" s="83"/>
      <c r="AF957" s="81"/>
      <c r="AG957" s="81"/>
      <c r="AH957" s="81"/>
      <c r="AI957" s="81"/>
      <c r="AJ957" s="83"/>
      <c r="AK957" s="81"/>
      <c r="AL957" s="81"/>
      <c r="AM957" s="83"/>
      <c r="AN957" s="80"/>
      <c r="AO957" s="82" t="n">
        <f aca="false">IF(E957="","",(AA957&lt;&gt;"")+(AG957&lt;&gt;"")+(AL957&lt;&gt;""))</f>
        <v>1</v>
      </c>
      <c r="AP957" s="82" t="str">
        <f aca="false">IF(AL957&lt;&gt;"",AL957,IF(AG957&lt;&gt;"",AG957,IF(AA957&lt;&gt;"",AA957,"")))</f>
        <v>A</v>
      </c>
      <c r="AQ957" s="84" t="str">
        <f aca="false">IF(E957="","",IF(U957="","À SOUDER",IF(X957="","VT EN ATTENTE",IF(X957="R","VT REJETÉ – À REPRENDRE",IF(AP957="","À RADIOGRAPHIER",IF(AP957="A","ACCEPTÉ",IF(AP957="NX","NX – RT À REFAIRE",IF(IF(AO957=1,AD957,IF(AO957=2,AI957,""))="A","RÉPARÉ – À RADIOGRAPHIER",IF(IF(AO957=1,AD957,IF(AO957=2,AI957,""))="R","VT REJETÉ – À REPRENDRE",IF(OR(AP957="CO",AP957="NT"),"COUPE – À RESOUDER","À RÉPARER"))))))))))</f>
        <v>ACCEPTÉ</v>
      </c>
      <c r="AR957" s="82" t="str">
        <f aca="false">IF(AND(ISNUMBER(U957),OR(AQ957="À RADIOGRAPHIER",AQ957="RÉPARÉ – À RADIOGRAPHIER",AQ957="NX – RT À REFAIRE",AQ957="À RÉPARER",AQ957="COUPE – À RESOUDER",AQ957="VT REJETÉ – À REPRENDRE")),MAX(0,'PROGRAMME RT'!$C$4-U957),"")</f>
        <v/>
      </c>
      <c r="AS957" s="82" t="n">
        <f aca="false">IF(AND(OR(AQ957="À RADIOGRAPHIER",AQ957="RÉPARÉ – À RADIOGRAPHIER",AQ957="NX – RT À REFAIRE"),OR('PROGRAMME RT'!$D$5="TOUTES",B957='PROGRAMME RT'!$D$5)),1,0)</f>
        <v>0</v>
      </c>
      <c r="AT957" s="82" t="str">
        <f aca="false">IF(AS957=1,SUM(AS$7:AS957),"")</f>
        <v/>
      </c>
      <c r="AU957" s="82" t="n">
        <f aca="false">IF(AND(OR(AA957="R",AA957="NX",AA957="NT",AA957="CO"),OR('JOINTS DE RÉPARATION'!$D$5="TOUTES",B957='JOINTS DE RÉPARATION'!$D$5),OR('JOINTS DE RÉPARATION'!$L$4="TOUS",AQ957&lt;&gt;"ACCEPTÉ")),1,0)</f>
        <v>0</v>
      </c>
      <c r="AV957" s="82" t="str">
        <f aca="false">IF(AU957=1,SUM(AU$7:AU957),"")</f>
        <v/>
      </c>
      <c r="AW957" s="82" t="str">
        <f aca="false">IF(E957="","",B957&amp;"|"&amp;E957)</f>
        <v>MFD-ISW → MFD-CPF|DJ°415</v>
      </c>
    </row>
    <row r="958" customFormat="false" ht="74.6" hidden="false" customHeight="false" outlineLevel="0" collapsed="false">
      <c r="A958" s="79" t="n">
        <f aca="false">IF(E958="","",ROW()-6)</f>
        <v>952</v>
      </c>
      <c r="B958" s="80" t="s">
        <v>110</v>
      </c>
      <c r="C958" s="81" t="s">
        <v>1054</v>
      </c>
      <c r="D958" s="81" t="n">
        <v>6</v>
      </c>
      <c r="E958" s="81" t="s">
        <v>1122</v>
      </c>
      <c r="F958" s="82" t="str">
        <f aca="false">IF(E958="","",IF(LEFT(E958,2)="DJ","DJ","JN"))</f>
        <v>JN</v>
      </c>
      <c r="G958" s="81"/>
      <c r="H958" s="81" t="s">
        <v>871</v>
      </c>
      <c r="I958" s="81" t="n">
        <v>9.53</v>
      </c>
      <c r="J958" s="81" t="s">
        <v>872</v>
      </c>
      <c r="K958" s="81" t="s">
        <v>879</v>
      </c>
      <c r="L958" s="81" t="n">
        <v>2097980</v>
      </c>
      <c r="M958" s="81" t="n">
        <v>15421112</v>
      </c>
      <c r="N958" s="81" t="n">
        <v>11.94</v>
      </c>
      <c r="O958" s="81" t="n">
        <v>2095850</v>
      </c>
      <c r="P958" s="81" t="n">
        <v>15421111</v>
      </c>
      <c r="Q958" s="81" t="n">
        <v>11.94</v>
      </c>
      <c r="R958" s="81" t="s">
        <v>1099</v>
      </c>
      <c r="S958" s="81"/>
      <c r="T958" s="81"/>
      <c r="U958" s="83" t="n">
        <v>46285</v>
      </c>
      <c r="V958" s="83" t="n">
        <v>46285</v>
      </c>
      <c r="W958" s="81" t="s">
        <v>1100</v>
      </c>
      <c r="X958" s="81" t="s">
        <v>876</v>
      </c>
      <c r="Y958" s="83" t="n">
        <v>46292</v>
      </c>
      <c r="Z958" s="81" t="s">
        <v>1103</v>
      </c>
      <c r="AA958" s="81" t="s">
        <v>876</v>
      </c>
      <c r="AB958" s="81"/>
      <c r="AC958" s="81"/>
      <c r="AD958" s="81"/>
      <c r="AE958" s="83"/>
      <c r="AF958" s="81"/>
      <c r="AG958" s="81"/>
      <c r="AH958" s="81"/>
      <c r="AI958" s="81"/>
      <c r="AJ958" s="83"/>
      <c r="AK958" s="81"/>
      <c r="AL958" s="81"/>
      <c r="AM958" s="83"/>
      <c r="AN958" s="80"/>
      <c r="AO958" s="82" t="n">
        <f aca="false">IF(E958="","",(AA958&lt;&gt;"")+(AG958&lt;&gt;"")+(AL958&lt;&gt;""))</f>
        <v>1</v>
      </c>
      <c r="AP958" s="82" t="str">
        <f aca="false">IF(AL958&lt;&gt;"",AL958,IF(AG958&lt;&gt;"",AG958,IF(AA958&lt;&gt;"",AA958,"")))</f>
        <v>A</v>
      </c>
      <c r="AQ958" s="84" t="str">
        <f aca="false">IF(E958="","",IF(U958="","À SOUDER",IF(X958="","VT EN ATTENTE",IF(X958="R","VT REJETÉ – À REPRENDRE",IF(AP958="","À RADIOGRAPHIER",IF(AP958="A","ACCEPTÉ",IF(AP958="NX","NX – RT À REFAIRE",IF(IF(AO958=1,AD958,IF(AO958=2,AI958,""))="A","RÉPARÉ – À RADIOGRAPHIER",IF(IF(AO958=1,AD958,IF(AO958=2,AI958,""))="R","VT REJETÉ – À REPRENDRE",IF(OR(AP958="CO",AP958="NT"),"COUPE – À RESOUDER","À RÉPARER"))))))))))</f>
        <v>ACCEPTÉ</v>
      </c>
      <c r="AR958" s="82" t="str">
        <f aca="false">IF(AND(ISNUMBER(U958),OR(AQ958="À RADIOGRAPHIER",AQ958="RÉPARÉ – À RADIOGRAPHIER",AQ958="NX – RT À REFAIRE",AQ958="À RÉPARER",AQ958="COUPE – À RESOUDER",AQ958="VT REJETÉ – À REPRENDRE")),MAX(0,'PROGRAMME RT'!$C$4-U958),"")</f>
        <v/>
      </c>
      <c r="AS958" s="82" t="n">
        <f aca="false">IF(AND(OR(AQ958="À RADIOGRAPHIER",AQ958="RÉPARÉ – À RADIOGRAPHIER",AQ958="NX – RT À REFAIRE"),OR('PROGRAMME RT'!$D$5="TOUTES",B958='PROGRAMME RT'!$D$5)),1,0)</f>
        <v>0</v>
      </c>
      <c r="AT958" s="82" t="str">
        <f aca="false">IF(AS958=1,SUM(AS$7:AS958),"")</f>
        <v/>
      </c>
      <c r="AU958" s="82" t="n">
        <f aca="false">IF(AND(OR(AA958="R",AA958="NX",AA958="NT",AA958="CO"),OR('JOINTS DE RÉPARATION'!$D$5="TOUTES",B958='JOINTS DE RÉPARATION'!$D$5),OR('JOINTS DE RÉPARATION'!$L$4="TOUS",AQ958&lt;&gt;"ACCEPTÉ")),1,0)</f>
        <v>0</v>
      </c>
      <c r="AV958" s="82" t="str">
        <f aca="false">IF(AU958=1,SUM(AU$7:AU958),"")</f>
        <v/>
      </c>
      <c r="AW958" s="82" t="str">
        <f aca="false">IF(E958="","",B958&amp;"|"&amp;E958)</f>
        <v>MFD-ISW → MFD-CPF|JN°857</v>
      </c>
    </row>
    <row r="959" customFormat="false" ht="74.6" hidden="false" customHeight="false" outlineLevel="0" collapsed="false">
      <c r="A959" s="79" t="n">
        <f aca="false">IF(E959="","",ROW()-6)</f>
        <v>953</v>
      </c>
      <c r="B959" s="80" t="s">
        <v>110</v>
      </c>
      <c r="C959" s="81" t="s">
        <v>1054</v>
      </c>
      <c r="D959" s="81" t="n">
        <v>6</v>
      </c>
      <c r="E959" s="81" t="s">
        <v>1123</v>
      </c>
      <c r="F959" s="82" t="str">
        <f aca="false">IF(E959="","",IF(LEFT(E959,2)="DJ","DJ","JN"))</f>
        <v>DJ</v>
      </c>
      <c r="G959" s="81"/>
      <c r="H959" s="81" t="s">
        <v>871</v>
      </c>
      <c r="I959" s="81" t="n">
        <v>9.53</v>
      </c>
      <c r="J959" s="81" t="s">
        <v>872</v>
      </c>
      <c r="K959" s="81" t="s">
        <v>873</v>
      </c>
      <c r="L959" s="81" t="n">
        <v>2095850</v>
      </c>
      <c r="M959" s="81" t="n">
        <v>15421111</v>
      </c>
      <c r="N959" s="81" t="n">
        <v>11.94</v>
      </c>
      <c r="O959" s="81" t="n">
        <v>2084990</v>
      </c>
      <c r="P959" s="81" t="n">
        <v>15421106</v>
      </c>
      <c r="Q959" s="81" t="n">
        <v>11.94</v>
      </c>
      <c r="R959" s="81" t="s">
        <v>874</v>
      </c>
      <c r="S959" s="81"/>
      <c r="T959" s="81"/>
      <c r="U959" s="83" t="n">
        <v>46282</v>
      </c>
      <c r="V959" s="83" t="n">
        <v>46282</v>
      </c>
      <c r="W959" s="81" t="s">
        <v>1116</v>
      </c>
      <c r="X959" s="81" t="s">
        <v>876</v>
      </c>
      <c r="Y959" s="83" t="n">
        <v>46283</v>
      </c>
      <c r="Z959" s="81" t="s">
        <v>1117</v>
      </c>
      <c r="AA959" s="81" t="s">
        <v>876</v>
      </c>
      <c r="AB959" s="81"/>
      <c r="AC959" s="81"/>
      <c r="AD959" s="81"/>
      <c r="AE959" s="83"/>
      <c r="AF959" s="81"/>
      <c r="AG959" s="81"/>
      <c r="AH959" s="81"/>
      <c r="AI959" s="81"/>
      <c r="AJ959" s="83"/>
      <c r="AK959" s="81"/>
      <c r="AL959" s="81"/>
      <c r="AM959" s="83"/>
      <c r="AN959" s="80"/>
      <c r="AO959" s="82" t="n">
        <f aca="false">IF(E959="","",(AA959&lt;&gt;"")+(AG959&lt;&gt;"")+(AL959&lt;&gt;""))</f>
        <v>1</v>
      </c>
      <c r="AP959" s="82" t="str">
        <f aca="false">IF(AL959&lt;&gt;"",AL959,IF(AG959&lt;&gt;"",AG959,IF(AA959&lt;&gt;"",AA959,"")))</f>
        <v>A</v>
      </c>
      <c r="AQ959" s="84" t="str">
        <f aca="false">IF(E959="","",IF(U959="","À SOUDER",IF(X959="","VT EN ATTENTE",IF(X959="R","VT REJETÉ – À REPRENDRE",IF(AP959="","À RADIOGRAPHIER",IF(AP959="A","ACCEPTÉ",IF(AP959="NX","NX – RT À REFAIRE",IF(IF(AO959=1,AD959,IF(AO959=2,AI959,""))="A","RÉPARÉ – À RADIOGRAPHIER",IF(IF(AO959=1,AD959,IF(AO959=2,AI959,""))="R","VT REJETÉ – À REPRENDRE",IF(OR(AP959="CO",AP959="NT"),"COUPE – À RESOUDER","À RÉPARER"))))))))))</f>
        <v>ACCEPTÉ</v>
      </c>
      <c r="AR959" s="82" t="str">
        <f aca="false">IF(AND(ISNUMBER(U959),OR(AQ959="À RADIOGRAPHIER",AQ959="RÉPARÉ – À RADIOGRAPHIER",AQ959="NX – RT À REFAIRE",AQ959="À RÉPARER",AQ959="COUPE – À RESOUDER",AQ959="VT REJETÉ – À REPRENDRE")),MAX(0,'PROGRAMME RT'!$C$4-U959),"")</f>
        <v/>
      </c>
      <c r="AS959" s="82" t="n">
        <f aca="false">IF(AND(OR(AQ959="À RADIOGRAPHIER",AQ959="RÉPARÉ – À RADIOGRAPHIER",AQ959="NX – RT À REFAIRE"),OR('PROGRAMME RT'!$D$5="TOUTES",B959='PROGRAMME RT'!$D$5)),1,0)</f>
        <v>0</v>
      </c>
      <c r="AT959" s="82" t="str">
        <f aca="false">IF(AS959=1,SUM(AS$7:AS959),"")</f>
        <v/>
      </c>
      <c r="AU959" s="82" t="n">
        <f aca="false">IF(AND(OR(AA959="R",AA959="NX",AA959="NT",AA959="CO"),OR('JOINTS DE RÉPARATION'!$D$5="TOUTES",B959='JOINTS DE RÉPARATION'!$D$5),OR('JOINTS DE RÉPARATION'!$L$4="TOUS",AQ959&lt;&gt;"ACCEPTÉ")),1,0)</f>
        <v>0</v>
      </c>
      <c r="AV959" s="82" t="str">
        <f aca="false">IF(AU959=1,SUM(AU$7:AU959),"")</f>
        <v/>
      </c>
      <c r="AW959" s="82" t="str">
        <f aca="false">IF(E959="","",B959&amp;"|"&amp;E959)</f>
        <v>MFD-ISW → MFD-CPF|DJ°419</v>
      </c>
    </row>
    <row r="960" customFormat="false" ht="74.6" hidden="false" customHeight="false" outlineLevel="0" collapsed="false">
      <c r="A960" s="79" t="n">
        <f aca="false">IF(E960="","",ROW()-6)</f>
        <v>954</v>
      </c>
      <c r="B960" s="80" t="s">
        <v>110</v>
      </c>
      <c r="C960" s="81" t="s">
        <v>1054</v>
      </c>
      <c r="D960" s="81" t="n">
        <v>6</v>
      </c>
      <c r="E960" s="81" t="s">
        <v>1124</v>
      </c>
      <c r="F960" s="82" t="str">
        <f aca="false">IF(E960="","",IF(LEFT(E960,2)="DJ","DJ","JN"))</f>
        <v>JN</v>
      </c>
      <c r="G960" s="81"/>
      <c r="H960" s="81" t="s">
        <v>871</v>
      </c>
      <c r="I960" s="81" t="n">
        <v>9.53</v>
      </c>
      <c r="J960" s="81" t="s">
        <v>872</v>
      </c>
      <c r="K960" s="81" t="s">
        <v>879</v>
      </c>
      <c r="L960" s="81" t="n">
        <v>2084990</v>
      </c>
      <c r="M960" s="81" t="n">
        <v>15421106</v>
      </c>
      <c r="N960" s="81" t="n">
        <v>11.94</v>
      </c>
      <c r="O960" s="81" t="n">
        <v>2082880</v>
      </c>
      <c r="P960" s="81" t="n">
        <v>15421105</v>
      </c>
      <c r="Q960" s="81" t="n">
        <v>11.94</v>
      </c>
      <c r="R960" s="81" t="s">
        <v>1099</v>
      </c>
      <c r="S960" s="81"/>
      <c r="T960" s="81"/>
      <c r="U960" s="83" t="n">
        <v>46285</v>
      </c>
      <c r="V960" s="83" t="n">
        <v>46285</v>
      </c>
      <c r="W960" s="81" t="s">
        <v>1100</v>
      </c>
      <c r="X960" s="81" t="s">
        <v>876</v>
      </c>
      <c r="Y960" s="83" t="n">
        <v>46292</v>
      </c>
      <c r="Z960" s="81" t="s">
        <v>1103</v>
      </c>
      <c r="AA960" s="81" t="s">
        <v>876</v>
      </c>
      <c r="AB960" s="81"/>
      <c r="AC960" s="81"/>
      <c r="AD960" s="81"/>
      <c r="AE960" s="83"/>
      <c r="AF960" s="81"/>
      <c r="AG960" s="81"/>
      <c r="AH960" s="81"/>
      <c r="AI960" s="81"/>
      <c r="AJ960" s="83"/>
      <c r="AK960" s="81"/>
      <c r="AL960" s="81"/>
      <c r="AM960" s="83"/>
      <c r="AN960" s="80"/>
      <c r="AO960" s="82" t="n">
        <f aca="false">IF(E960="","",(AA960&lt;&gt;"")+(AG960&lt;&gt;"")+(AL960&lt;&gt;""))</f>
        <v>1</v>
      </c>
      <c r="AP960" s="82" t="str">
        <f aca="false">IF(AL960&lt;&gt;"",AL960,IF(AG960&lt;&gt;"",AG960,IF(AA960&lt;&gt;"",AA960,"")))</f>
        <v>A</v>
      </c>
      <c r="AQ960" s="84" t="str">
        <f aca="false">IF(E960="","",IF(U960="","À SOUDER",IF(X960="","VT EN ATTENTE",IF(X960="R","VT REJETÉ – À REPRENDRE",IF(AP960="","À RADIOGRAPHIER",IF(AP960="A","ACCEPTÉ",IF(AP960="NX","NX – RT À REFAIRE",IF(IF(AO960=1,AD960,IF(AO960=2,AI960,""))="A","RÉPARÉ – À RADIOGRAPHIER",IF(IF(AO960=1,AD960,IF(AO960=2,AI960,""))="R","VT REJETÉ – À REPRENDRE",IF(OR(AP960="CO",AP960="NT"),"COUPE – À RESOUDER","À RÉPARER"))))))))))</f>
        <v>ACCEPTÉ</v>
      </c>
      <c r="AR960" s="82" t="str">
        <f aca="false">IF(AND(ISNUMBER(U960),OR(AQ960="À RADIOGRAPHIER",AQ960="RÉPARÉ – À RADIOGRAPHIER",AQ960="NX – RT À REFAIRE",AQ960="À RÉPARER",AQ960="COUPE – À RESOUDER",AQ960="VT REJETÉ – À REPRENDRE")),MAX(0,'PROGRAMME RT'!$C$4-U960),"")</f>
        <v/>
      </c>
      <c r="AS960" s="82" t="n">
        <f aca="false">IF(AND(OR(AQ960="À RADIOGRAPHIER",AQ960="RÉPARÉ – À RADIOGRAPHIER",AQ960="NX – RT À REFAIRE"),OR('PROGRAMME RT'!$D$5="TOUTES",B960='PROGRAMME RT'!$D$5)),1,0)</f>
        <v>0</v>
      </c>
      <c r="AT960" s="82" t="str">
        <f aca="false">IF(AS960=1,SUM(AS$7:AS960),"")</f>
        <v/>
      </c>
      <c r="AU960" s="82" t="n">
        <f aca="false">IF(AND(OR(AA960="R",AA960="NX",AA960="NT",AA960="CO"),OR('JOINTS DE RÉPARATION'!$D$5="TOUTES",B960='JOINTS DE RÉPARATION'!$D$5),OR('JOINTS DE RÉPARATION'!$L$4="TOUS",AQ960&lt;&gt;"ACCEPTÉ")),1,0)</f>
        <v>0</v>
      </c>
      <c r="AV960" s="82" t="str">
        <f aca="false">IF(AU960=1,SUM(AU$7:AU960),"")</f>
        <v/>
      </c>
      <c r="AW960" s="82" t="str">
        <f aca="false">IF(E960="","",B960&amp;"|"&amp;E960)</f>
        <v>MFD-ISW → MFD-CPF|JN°858</v>
      </c>
    </row>
    <row r="961" customFormat="false" ht="74.6" hidden="false" customHeight="false" outlineLevel="0" collapsed="false">
      <c r="A961" s="79" t="n">
        <f aca="false">IF(E961="","",ROW()-6)</f>
        <v>955</v>
      </c>
      <c r="B961" s="80" t="s">
        <v>110</v>
      </c>
      <c r="C961" s="81" t="s">
        <v>1054</v>
      </c>
      <c r="D961" s="81" t="n">
        <v>6</v>
      </c>
      <c r="E961" s="81" t="s">
        <v>1125</v>
      </c>
      <c r="F961" s="82" t="str">
        <f aca="false">IF(E961="","",IF(LEFT(E961,2)="DJ","DJ","JN"))</f>
        <v>DJ</v>
      </c>
      <c r="G961" s="81"/>
      <c r="H961" s="81" t="s">
        <v>871</v>
      </c>
      <c r="I961" s="81" t="n">
        <v>9.53</v>
      </c>
      <c r="J961" s="81" t="s">
        <v>872</v>
      </c>
      <c r="K961" s="81" t="s">
        <v>873</v>
      </c>
      <c r="L961" s="81" t="n">
        <v>2082880</v>
      </c>
      <c r="M961" s="81" t="n">
        <v>15421105</v>
      </c>
      <c r="N961" s="81" t="n">
        <v>11.94</v>
      </c>
      <c r="O961" s="81" t="n">
        <v>2083540</v>
      </c>
      <c r="P961" s="81" t="n">
        <v>15421105</v>
      </c>
      <c r="Q961" s="81" t="n">
        <v>11.94</v>
      </c>
      <c r="R961" s="81" t="s">
        <v>874</v>
      </c>
      <c r="S961" s="81"/>
      <c r="T961" s="81"/>
      <c r="U961" s="83" t="n">
        <v>46282</v>
      </c>
      <c r="V961" s="83" t="n">
        <v>46282</v>
      </c>
      <c r="W961" s="81" t="s">
        <v>1116</v>
      </c>
      <c r="X961" s="81" t="s">
        <v>876</v>
      </c>
      <c r="Y961" s="83" t="n">
        <v>46283</v>
      </c>
      <c r="Z961" s="81" t="s">
        <v>1117</v>
      </c>
      <c r="AA961" s="81" t="s">
        <v>876</v>
      </c>
      <c r="AB961" s="81"/>
      <c r="AC961" s="81"/>
      <c r="AD961" s="81"/>
      <c r="AE961" s="83"/>
      <c r="AF961" s="81"/>
      <c r="AG961" s="81"/>
      <c r="AH961" s="81"/>
      <c r="AI961" s="81"/>
      <c r="AJ961" s="83"/>
      <c r="AK961" s="81"/>
      <c r="AL961" s="81"/>
      <c r="AM961" s="83"/>
      <c r="AN961" s="80"/>
      <c r="AO961" s="82" t="n">
        <f aca="false">IF(E961="","",(AA961&lt;&gt;"")+(AG961&lt;&gt;"")+(AL961&lt;&gt;""))</f>
        <v>1</v>
      </c>
      <c r="AP961" s="82" t="str">
        <f aca="false">IF(AL961&lt;&gt;"",AL961,IF(AG961&lt;&gt;"",AG961,IF(AA961&lt;&gt;"",AA961,"")))</f>
        <v>A</v>
      </c>
      <c r="AQ961" s="84" t="str">
        <f aca="false">IF(E961="","",IF(U961="","À SOUDER",IF(X961="","VT EN ATTENTE",IF(X961="R","VT REJETÉ – À REPRENDRE",IF(AP961="","À RADIOGRAPHIER",IF(AP961="A","ACCEPTÉ",IF(AP961="NX","NX – RT À REFAIRE",IF(IF(AO961=1,AD961,IF(AO961=2,AI961,""))="A","RÉPARÉ – À RADIOGRAPHIER",IF(IF(AO961=1,AD961,IF(AO961=2,AI961,""))="R","VT REJETÉ – À REPRENDRE",IF(OR(AP961="CO",AP961="NT"),"COUPE – À RESOUDER","À RÉPARER"))))))))))</f>
        <v>ACCEPTÉ</v>
      </c>
      <c r="AR961" s="82" t="str">
        <f aca="false">IF(AND(ISNUMBER(U961),OR(AQ961="À RADIOGRAPHIER",AQ961="RÉPARÉ – À RADIOGRAPHIER",AQ961="NX – RT À REFAIRE",AQ961="À RÉPARER",AQ961="COUPE – À RESOUDER",AQ961="VT REJETÉ – À REPRENDRE")),MAX(0,'PROGRAMME RT'!$C$4-U961),"")</f>
        <v/>
      </c>
      <c r="AS961" s="82" t="n">
        <f aca="false">IF(AND(OR(AQ961="À RADIOGRAPHIER",AQ961="RÉPARÉ – À RADIOGRAPHIER",AQ961="NX – RT À REFAIRE"),OR('PROGRAMME RT'!$D$5="TOUTES",B961='PROGRAMME RT'!$D$5)),1,0)</f>
        <v>0</v>
      </c>
      <c r="AT961" s="82" t="str">
        <f aca="false">IF(AS961=1,SUM(AS$7:AS961),"")</f>
        <v/>
      </c>
      <c r="AU961" s="82" t="n">
        <f aca="false">IF(AND(OR(AA961="R",AA961="NX",AA961="NT",AA961="CO"),OR('JOINTS DE RÉPARATION'!$D$5="TOUTES",B961='JOINTS DE RÉPARATION'!$D$5),OR('JOINTS DE RÉPARATION'!$L$4="TOUS",AQ961&lt;&gt;"ACCEPTÉ")),1,0)</f>
        <v>0</v>
      </c>
      <c r="AV961" s="82" t="str">
        <f aca="false">IF(AU961=1,SUM(AU$7:AU961),"")</f>
        <v/>
      </c>
      <c r="AW961" s="82" t="str">
        <f aca="false">IF(E961="","",B961&amp;"|"&amp;E961)</f>
        <v>MFD-ISW → MFD-CPF|DJ°418</v>
      </c>
    </row>
    <row r="962" customFormat="false" ht="74.6" hidden="false" customHeight="false" outlineLevel="0" collapsed="false">
      <c r="A962" s="79" t="n">
        <f aca="false">IF(E962="","",ROW()-6)</f>
        <v>956</v>
      </c>
      <c r="B962" s="80" t="s">
        <v>110</v>
      </c>
      <c r="C962" s="81" t="s">
        <v>1054</v>
      </c>
      <c r="D962" s="81" t="n">
        <v>6</v>
      </c>
      <c r="E962" s="81" t="s">
        <v>1126</v>
      </c>
      <c r="F962" s="82" t="str">
        <f aca="false">IF(E962="","",IF(LEFT(E962,2)="DJ","DJ","JN"))</f>
        <v>JN</v>
      </c>
      <c r="G962" s="81"/>
      <c r="H962" s="81" t="s">
        <v>871</v>
      </c>
      <c r="I962" s="81" t="n">
        <v>9.53</v>
      </c>
      <c r="J962" s="81" t="s">
        <v>872</v>
      </c>
      <c r="K962" s="81" t="s">
        <v>879</v>
      </c>
      <c r="L962" s="81" t="n">
        <v>2083540</v>
      </c>
      <c r="M962" s="81" t="n">
        <v>15421105</v>
      </c>
      <c r="N962" s="81" t="n">
        <v>11.94</v>
      </c>
      <c r="O962" s="81" t="n">
        <v>2087730</v>
      </c>
      <c r="P962" s="81" t="n">
        <v>15421108</v>
      </c>
      <c r="Q962" s="81" t="n">
        <v>11.94</v>
      </c>
      <c r="R962" s="81" t="s">
        <v>1099</v>
      </c>
      <c r="S962" s="81"/>
      <c r="T962" s="81"/>
      <c r="U962" s="83" t="n">
        <v>46285</v>
      </c>
      <c r="V962" s="83" t="n">
        <v>46285</v>
      </c>
      <c r="W962" s="81" t="s">
        <v>1100</v>
      </c>
      <c r="X962" s="81" t="s">
        <v>876</v>
      </c>
      <c r="Y962" s="83" t="n">
        <v>46292</v>
      </c>
      <c r="Z962" s="81" t="s">
        <v>1103</v>
      </c>
      <c r="AA962" s="81" t="s">
        <v>876</v>
      </c>
      <c r="AB962" s="81"/>
      <c r="AC962" s="81"/>
      <c r="AD962" s="81"/>
      <c r="AE962" s="83"/>
      <c r="AF962" s="81"/>
      <c r="AG962" s="81"/>
      <c r="AH962" s="81"/>
      <c r="AI962" s="81"/>
      <c r="AJ962" s="83"/>
      <c r="AK962" s="81"/>
      <c r="AL962" s="81"/>
      <c r="AM962" s="83"/>
      <c r="AN962" s="80"/>
      <c r="AO962" s="82" t="n">
        <f aca="false">IF(E962="","",(AA962&lt;&gt;"")+(AG962&lt;&gt;"")+(AL962&lt;&gt;""))</f>
        <v>1</v>
      </c>
      <c r="AP962" s="82" t="str">
        <f aca="false">IF(AL962&lt;&gt;"",AL962,IF(AG962&lt;&gt;"",AG962,IF(AA962&lt;&gt;"",AA962,"")))</f>
        <v>A</v>
      </c>
      <c r="AQ962" s="84" t="str">
        <f aca="false">IF(E962="","",IF(U962="","À SOUDER",IF(X962="","VT EN ATTENTE",IF(X962="R","VT REJETÉ – À REPRENDRE",IF(AP962="","À RADIOGRAPHIER",IF(AP962="A","ACCEPTÉ",IF(AP962="NX","NX – RT À REFAIRE",IF(IF(AO962=1,AD962,IF(AO962=2,AI962,""))="A","RÉPARÉ – À RADIOGRAPHIER",IF(IF(AO962=1,AD962,IF(AO962=2,AI962,""))="R","VT REJETÉ – À REPRENDRE",IF(OR(AP962="CO",AP962="NT"),"COUPE – À RESOUDER","À RÉPARER"))))))))))</f>
        <v>ACCEPTÉ</v>
      </c>
      <c r="AR962" s="82" t="str">
        <f aca="false">IF(AND(ISNUMBER(U962),OR(AQ962="À RADIOGRAPHIER",AQ962="RÉPARÉ – À RADIOGRAPHIER",AQ962="NX – RT À REFAIRE",AQ962="À RÉPARER",AQ962="COUPE – À RESOUDER",AQ962="VT REJETÉ – À REPRENDRE")),MAX(0,'PROGRAMME RT'!$C$4-U962),"")</f>
        <v/>
      </c>
      <c r="AS962" s="82" t="n">
        <f aca="false">IF(AND(OR(AQ962="À RADIOGRAPHIER",AQ962="RÉPARÉ – À RADIOGRAPHIER",AQ962="NX – RT À REFAIRE"),OR('PROGRAMME RT'!$D$5="TOUTES",B962='PROGRAMME RT'!$D$5)),1,0)</f>
        <v>0</v>
      </c>
      <c r="AT962" s="82" t="str">
        <f aca="false">IF(AS962=1,SUM(AS$7:AS962),"")</f>
        <v/>
      </c>
      <c r="AU962" s="82" t="n">
        <f aca="false">IF(AND(OR(AA962="R",AA962="NX",AA962="NT",AA962="CO"),OR('JOINTS DE RÉPARATION'!$D$5="TOUTES",B962='JOINTS DE RÉPARATION'!$D$5),OR('JOINTS DE RÉPARATION'!$L$4="TOUS",AQ962&lt;&gt;"ACCEPTÉ")),1,0)</f>
        <v>0</v>
      </c>
      <c r="AV962" s="82" t="str">
        <f aca="false">IF(AU962=1,SUM(AU$7:AU962),"")</f>
        <v/>
      </c>
      <c r="AW962" s="82" t="str">
        <f aca="false">IF(E962="","",B962&amp;"|"&amp;E962)</f>
        <v>MFD-ISW → MFD-CPF|JN°859</v>
      </c>
    </row>
    <row r="963" customFormat="false" ht="74.6" hidden="false" customHeight="false" outlineLevel="0" collapsed="false">
      <c r="A963" s="79" t="n">
        <f aca="false">IF(E963="","",ROW()-6)</f>
        <v>957</v>
      </c>
      <c r="B963" s="80" t="s">
        <v>110</v>
      </c>
      <c r="C963" s="81" t="s">
        <v>1054</v>
      </c>
      <c r="D963" s="81" t="n">
        <v>6</v>
      </c>
      <c r="E963" s="81" t="s">
        <v>1127</v>
      </c>
      <c r="F963" s="82" t="str">
        <f aca="false">IF(E963="","",IF(LEFT(E963,2)="DJ","DJ","JN"))</f>
        <v>DJ</v>
      </c>
      <c r="G963" s="81"/>
      <c r="H963" s="81" t="s">
        <v>871</v>
      </c>
      <c r="I963" s="81" t="n">
        <v>9.53</v>
      </c>
      <c r="J963" s="81" t="s">
        <v>872</v>
      </c>
      <c r="K963" s="81" t="s">
        <v>873</v>
      </c>
      <c r="L963" s="81" t="n">
        <v>2087730</v>
      </c>
      <c r="M963" s="81" t="n">
        <v>15421108</v>
      </c>
      <c r="N963" s="81" t="n">
        <v>11.94</v>
      </c>
      <c r="O963" s="81" t="n">
        <v>2084920</v>
      </c>
      <c r="P963" s="81" t="n">
        <v>15421106</v>
      </c>
      <c r="Q963" s="81" t="n">
        <v>11.94</v>
      </c>
      <c r="R963" s="81" t="s">
        <v>874</v>
      </c>
      <c r="S963" s="81"/>
      <c r="T963" s="81"/>
      <c r="U963" s="83" t="n">
        <v>46283</v>
      </c>
      <c r="V963" s="83" t="n">
        <v>46283</v>
      </c>
      <c r="W963" s="81" t="s">
        <v>1077</v>
      </c>
      <c r="X963" s="81" t="s">
        <v>876</v>
      </c>
      <c r="Y963" s="83" t="n">
        <v>46284</v>
      </c>
      <c r="Z963" s="81" t="s">
        <v>1078</v>
      </c>
      <c r="AA963" s="81" t="s">
        <v>876</v>
      </c>
      <c r="AB963" s="81"/>
      <c r="AC963" s="81"/>
      <c r="AD963" s="81"/>
      <c r="AE963" s="83"/>
      <c r="AF963" s="81"/>
      <c r="AG963" s="81"/>
      <c r="AH963" s="81"/>
      <c r="AI963" s="81"/>
      <c r="AJ963" s="83"/>
      <c r="AK963" s="81"/>
      <c r="AL963" s="81"/>
      <c r="AM963" s="83"/>
      <c r="AN963" s="80"/>
      <c r="AO963" s="82" t="n">
        <f aca="false">IF(E963="","",(AA963&lt;&gt;"")+(AG963&lt;&gt;"")+(AL963&lt;&gt;""))</f>
        <v>1</v>
      </c>
      <c r="AP963" s="82" t="str">
        <f aca="false">IF(AL963&lt;&gt;"",AL963,IF(AG963&lt;&gt;"",AG963,IF(AA963&lt;&gt;"",AA963,"")))</f>
        <v>A</v>
      </c>
      <c r="AQ963" s="84" t="str">
        <f aca="false">IF(E963="","",IF(U963="","À SOUDER",IF(X963="","VT EN ATTENTE",IF(X963="R","VT REJETÉ – À REPRENDRE",IF(AP963="","À RADIOGRAPHIER",IF(AP963="A","ACCEPTÉ",IF(AP963="NX","NX – RT À REFAIRE",IF(IF(AO963=1,AD963,IF(AO963=2,AI963,""))="A","RÉPARÉ – À RADIOGRAPHIER",IF(IF(AO963=1,AD963,IF(AO963=2,AI963,""))="R","VT REJETÉ – À REPRENDRE",IF(OR(AP963="CO",AP963="NT"),"COUPE – À RESOUDER","À RÉPARER"))))))))))</f>
        <v>ACCEPTÉ</v>
      </c>
      <c r="AR963" s="82" t="str">
        <f aca="false">IF(AND(ISNUMBER(U963),OR(AQ963="À RADIOGRAPHIER",AQ963="RÉPARÉ – À RADIOGRAPHIER",AQ963="NX – RT À REFAIRE",AQ963="À RÉPARER",AQ963="COUPE – À RESOUDER",AQ963="VT REJETÉ – À REPRENDRE")),MAX(0,'PROGRAMME RT'!$C$4-U963),"")</f>
        <v/>
      </c>
      <c r="AS963" s="82" t="n">
        <f aca="false">IF(AND(OR(AQ963="À RADIOGRAPHIER",AQ963="RÉPARÉ – À RADIOGRAPHIER",AQ963="NX – RT À REFAIRE"),OR('PROGRAMME RT'!$D$5="TOUTES",B963='PROGRAMME RT'!$D$5)),1,0)</f>
        <v>0</v>
      </c>
      <c r="AT963" s="82" t="str">
        <f aca="false">IF(AS963=1,SUM(AS$7:AS963),"")</f>
        <v/>
      </c>
      <c r="AU963" s="82" t="n">
        <f aca="false">IF(AND(OR(AA963="R",AA963="NX",AA963="NT",AA963="CO"),OR('JOINTS DE RÉPARATION'!$D$5="TOUTES",B963='JOINTS DE RÉPARATION'!$D$5),OR('JOINTS DE RÉPARATION'!$L$4="TOUS",AQ963&lt;&gt;"ACCEPTÉ")),1,0)</f>
        <v>0</v>
      </c>
      <c r="AV963" s="82" t="str">
        <f aca="false">IF(AU963=1,SUM(AU$7:AU963),"")</f>
        <v/>
      </c>
      <c r="AW963" s="82" t="str">
        <f aca="false">IF(E963="","",B963&amp;"|"&amp;E963)</f>
        <v>MFD-ISW → MFD-CPF|DJ°423</v>
      </c>
    </row>
    <row r="964" customFormat="false" ht="74.6" hidden="false" customHeight="false" outlineLevel="0" collapsed="false">
      <c r="A964" s="79" t="n">
        <f aca="false">IF(E964="","",ROW()-6)</f>
        <v>958</v>
      </c>
      <c r="B964" s="80" t="s">
        <v>110</v>
      </c>
      <c r="C964" s="81" t="s">
        <v>1054</v>
      </c>
      <c r="D964" s="81" t="n">
        <v>6</v>
      </c>
      <c r="E964" s="81" t="s">
        <v>1128</v>
      </c>
      <c r="F964" s="82" t="str">
        <f aca="false">IF(E964="","",IF(LEFT(E964,2)="DJ","DJ","JN"))</f>
        <v>JN</v>
      </c>
      <c r="G964" s="81"/>
      <c r="H964" s="81" t="s">
        <v>871</v>
      </c>
      <c r="I964" s="81" t="n">
        <v>9.53</v>
      </c>
      <c r="J964" s="81" t="s">
        <v>872</v>
      </c>
      <c r="K964" s="81" t="s">
        <v>879</v>
      </c>
      <c r="L964" s="81" t="n">
        <v>2084920</v>
      </c>
      <c r="M964" s="81" t="n">
        <v>15421106</v>
      </c>
      <c r="N964" s="81" t="n">
        <v>11.94</v>
      </c>
      <c r="O964" s="81" t="n">
        <v>2093330</v>
      </c>
      <c r="P964" s="81" t="n">
        <v>15421110</v>
      </c>
      <c r="Q964" s="81" t="n">
        <v>11.94</v>
      </c>
      <c r="R964" s="81" t="s">
        <v>1099</v>
      </c>
      <c r="S964" s="81"/>
      <c r="T964" s="81"/>
      <c r="U964" s="83" t="n">
        <v>46285</v>
      </c>
      <c r="V964" s="83" t="n">
        <v>46285</v>
      </c>
      <c r="W964" s="81" t="s">
        <v>1129</v>
      </c>
      <c r="X964" s="81" t="s">
        <v>876</v>
      </c>
      <c r="Y964" s="83" t="n">
        <v>46292</v>
      </c>
      <c r="Z964" s="81" t="s">
        <v>1103</v>
      </c>
      <c r="AA964" s="81" t="s">
        <v>876</v>
      </c>
      <c r="AB964" s="81"/>
      <c r="AC964" s="81"/>
      <c r="AD964" s="81"/>
      <c r="AE964" s="83"/>
      <c r="AF964" s="81"/>
      <c r="AG964" s="81"/>
      <c r="AH964" s="81"/>
      <c r="AI964" s="81"/>
      <c r="AJ964" s="83"/>
      <c r="AK964" s="81"/>
      <c r="AL964" s="81"/>
      <c r="AM964" s="83"/>
      <c r="AN964" s="80"/>
      <c r="AO964" s="82" t="n">
        <f aca="false">IF(E964="","",(AA964&lt;&gt;"")+(AG964&lt;&gt;"")+(AL964&lt;&gt;""))</f>
        <v>1</v>
      </c>
      <c r="AP964" s="82" t="str">
        <f aca="false">IF(AL964&lt;&gt;"",AL964,IF(AG964&lt;&gt;"",AG964,IF(AA964&lt;&gt;"",AA964,"")))</f>
        <v>A</v>
      </c>
      <c r="AQ964" s="84" t="str">
        <f aca="false">IF(E964="","",IF(U964="","À SOUDER",IF(X964="","VT EN ATTENTE",IF(X964="R","VT REJETÉ – À REPRENDRE",IF(AP964="","À RADIOGRAPHIER",IF(AP964="A","ACCEPTÉ",IF(AP964="NX","NX – RT À REFAIRE",IF(IF(AO964=1,AD964,IF(AO964=2,AI964,""))="A","RÉPARÉ – À RADIOGRAPHIER",IF(IF(AO964=1,AD964,IF(AO964=2,AI964,""))="R","VT REJETÉ – À REPRENDRE",IF(OR(AP964="CO",AP964="NT"),"COUPE – À RESOUDER","À RÉPARER"))))))))))</f>
        <v>ACCEPTÉ</v>
      </c>
      <c r="AR964" s="82" t="str">
        <f aca="false">IF(AND(ISNUMBER(U964),OR(AQ964="À RADIOGRAPHIER",AQ964="RÉPARÉ – À RADIOGRAPHIER",AQ964="NX – RT À REFAIRE",AQ964="À RÉPARER",AQ964="COUPE – À RESOUDER",AQ964="VT REJETÉ – À REPRENDRE")),MAX(0,'PROGRAMME RT'!$C$4-U964),"")</f>
        <v/>
      </c>
      <c r="AS964" s="82" t="n">
        <f aca="false">IF(AND(OR(AQ964="À RADIOGRAPHIER",AQ964="RÉPARÉ – À RADIOGRAPHIER",AQ964="NX – RT À REFAIRE"),OR('PROGRAMME RT'!$D$5="TOUTES",B964='PROGRAMME RT'!$D$5)),1,0)</f>
        <v>0</v>
      </c>
      <c r="AT964" s="82" t="str">
        <f aca="false">IF(AS964=1,SUM(AS$7:AS964),"")</f>
        <v/>
      </c>
      <c r="AU964" s="82" t="n">
        <f aca="false">IF(AND(OR(AA964="R",AA964="NX",AA964="NT",AA964="CO"),OR('JOINTS DE RÉPARATION'!$D$5="TOUTES",B964='JOINTS DE RÉPARATION'!$D$5),OR('JOINTS DE RÉPARATION'!$L$4="TOUS",AQ964&lt;&gt;"ACCEPTÉ")),1,0)</f>
        <v>0</v>
      </c>
      <c r="AV964" s="82" t="str">
        <f aca="false">IF(AU964=1,SUM(AU$7:AU964),"")</f>
        <v/>
      </c>
      <c r="AW964" s="82" t="str">
        <f aca="false">IF(E964="","",B964&amp;"|"&amp;E964)</f>
        <v>MFD-ISW → MFD-CPF|JN°860</v>
      </c>
    </row>
    <row r="965" customFormat="false" ht="74.6" hidden="false" customHeight="false" outlineLevel="0" collapsed="false">
      <c r="A965" s="79" t="n">
        <f aca="false">IF(E965="","",ROW()-6)</f>
        <v>959</v>
      </c>
      <c r="B965" s="80" t="s">
        <v>110</v>
      </c>
      <c r="C965" s="81" t="s">
        <v>1054</v>
      </c>
      <c r="D965" s="81" t="n">
        <v>6</v>
      </c>
      <c r="E965" s="81" t="s">
        <v>1130</v>
      </c>
      <c r="F965" s="82" t="str">
        <f aca="false">IF(E965="","",IF(LEFT(E965,2)="DJ","DJ","JN"))</f>
        <v>DJ</v>
      </c>
      <c r="G965" s="81"/>
      <c r="H965" s="81" t="s">
        <v>871</v>
      </c>
      <c r="I965" s="81" t="n">
        <v>9.53</v>
      </c>
      <c r="J965" s="81" t="s">
        <v>872</v>
      </c>
      <c r="K965" s="81" t="s">
        <v>873</v>
      </c>
      <c r="L965" s="81" t="n">
        <v>2093330</v>
      </c>
      <c r="M965" s="81" t="n">
        <v>15421110</v>
      </c>
      <c r="N965" s="81" t="n">
        <v>11.94</v>
      </c>
      <c r="O965" s="81" t="n">
        <v>2078890</v>
      </c>
      <c r="P965" s="81" t="n">
        <v>15421110</v>
      </c>
      <c r="Q965" s="81" t="n">
        <v>11.94</v>
      </c>
      <c r="R965" s="81" t="s">
        <v>874</v>
      </c>
      <c r="S965" s="81"/>
      <c r="T965" s="81"/>
      <c r="U965" s="83" t="n">
        <v>46282</v>
      </c>
      <c r="V965" s="83" t="n">
        <v>46282</v>
      </c>
      <c r="W965" s="81" t="s">
        <v>1116</v>
      </c>
      <c r="X965" s="81" t="s">
        <v>876</v>
      </c>
      <c r="Y965" s="83" t="n">
        <v>46283</v>
      </c>
      <c r="Z965" s="81" t="s">
        <v>1117</v>
      </c>
      <c r="AA965" s="81" t="s">
        <v>876</v>
      </c>
      <c r="AB965" s="81"/>
      <c r="AC965" s="81"/>
      <c r="AD965" s="81"/>
      <c r="AE965" s="83"/>
      <c r="AF965" s="81"/>
      <c r="AG965" s="81"/>
      <c r="AH965" s="81"/>
      <c r="AI965" s="81"/>
      <c r="AJ965" s="83"/>
      <c r="AK965" s="81"/>
      <c r="AL965" s="81"/>
      <c r="AM965" s="83"/>
      <c r="AN965" s="80"/>
      <c r="AO965" s="82" t="n">
        <f aca="false">IF(E965="","",(AA965&lt;&gt;"")+(AG965&lt;&gt;"")+(AL965&lt;&gt;""))</f>
        <v>1</v>
      </c>
      <c r="AP965" s="82" t="str">
        <f aca="false">IF(AL965&lt;&gt;"",AL965,IF(AG965&lt;&gt;"",AG965,IF(AA965&lt;&gt;"",AA965,"")))</f>
        <v>A</v>
      </c>
      <c r="AQ965" s="84" t="str">
        <f aca="false">IF(E965="","",IF(U965="","À SOUDER",IF(X965="","VT EN ATTENTE",IF(X965="R","VT REJETÉ – À REPRENDRE",IF(AP965="","À RADIOGRAPHIER",IF(AP965="A","ACCEPTÉ",IF(AP965="NX","NX – RT À REFAIRE",IF(IF(AO965=1,AD965,IF(AO965=2,AI965,""))="A","RÉPARÉ – À RADIOGRAPHIER",IF(IF(AO965=1,AD965,IF(AO965=2,AI965,""))="R","VT REJETÉ – À REPRENDRE",IF(OR(AP965="CO",AP965="NT"),"COUPE – À RESOUDER","À RÉPARER"))))))))))</f>
        <v>ACCEPTÉ</v>
      </c>
      <c r="AR965" s="82" t="str">
        <f aca="false">IF(AND(ISNUMBER(U965),OR(AQ965="À RADIOGRAPHIER",AQ965="RÉPARÉ – À RADIOGRAPHIER",AQ965="NX – RT À REFAIRE",AQ965="À RÉPARER",AQ965="COUPE – À RESOUDER",AQ965="VT REJETÉ – À REPRENDRE")),MAX(0,'PROGRAMME RT'!$C$4-U965),"")</f>
        <v/>
      </c>
      <c r="AS965" s="82" t="n">
        <f aca="false">IF(AND(OR(AQ965="À RADIOGRAPHIER",AQ965="RÉPARÉ – À RADIOGRAPHIER",AQ965="NX – RT À REFAIRE"),OR('PROGRAMME RT'!$D$5="TOUTES",B965='PROGRAMME RT'!$D$5)),1,0)</f>
        <v>0</v>
      </c>
      <c r="AT965" s="82" t="str">
        <f aca="false">IF(AS965=1,SUM(AS$7:AS965),"")</f>
        <v/>
      </c>
      <c r="AU965" s="82" t="n">
        <f aca="false">IF(AND(OR(AA965="R",AA965="NX",AA965="NT",AA965="CO"),OR('JOINTS DE RÉPARATION'!$D$5="TOUTES",B965='JOINTS DE RÉPARATION'!$D$5),OR('JOINTS DE RÉPARATION'!$L$4="TOUS",AQ965&lt;&gt;"ACCEPTÉ")),1,0)</f>
        <v>0</v>
      </c>
      <c r="AV965" s="82" t="str">
        <f aca="false">IF(AU965=1,SUM(AU$7:AU965),"")</f>
        <v/>
      </c>
      <c r="AW965" s="82" t="str">
        <f aca="false">IF(E965="","",B965&amp;"|"&amp;E965)</f>
        <v>MFD-ISW → MFD-CPF|DJ°417</v>
      </c>
    </row>
    <row r="966" customFormat="false" ht="74.6" hidden="false" customHeight="false" outlineLevel="0" collapsed="false">
      <c r="A966" s="79" t="n">
        <f aca="false">IF(E966="","",ROW()-6)</f>
        <v>960</v>
      </c>
      <c r="B966" s="80" t="s">
        <v>110</v>
      </c>
      <c r="C966" s="81" t="s">
        <v>1054</v>
      </c>
      <c r="D966" s="81" t="n">
        <v>6</v>
      </c>
      <c r="E966" s="81" t="s">
        <v>1131</v>
      </c>
      <c r="F966" s="82" t="str">
        <f aca="false">IF(E966="","",IF(LEFT(E966,2)="DJ","DJ","JN"))</f>
        <v>JN</v>
      </c>
      <c r="G966" s="81"/>
      <c r="H966" s="81" t="s">
        <v>871</v>
      </c>
      <c r="I966" s="81" t="n">
        <v>9.53</v>
      </c>
      <c r="J966" s="81" t="s">
        <v>872</v>
      </c>
      <c r="K966" s="81" t="s">
        <v>879</v>
      </c>
      <c r="L966" s="81" t="n">
        <v>2078890</v>
      </c>
      <c r="M966" s="81" t="n">
        <v>15421110</v>
      </c>
      <c r="N966" s="81" t="n">
        <v>11.94</v>
      </c>
      <c r="O966" s="81" t="n">
        <v>2078910</v>
      </c>
      <c r="P966" s="81" t="n">
        <v>15421101</v>
      </c>
      <c r="Q966" s="81" t="n">
        <v>11.94</v>
      </c>
      <c r="R966" s="81" t="s">
        <v>1099</v>
      </c>
      <c r="S966" s="81"/>
      <c r="T966" s="81"/>
      <c r="U966" s="83" t="n">
        <v>46285</v>
      </c>
      <c r="V966" s="83" t="n">
        <v>46285</v>
      </c>
      <c r="W966" s="81" t="s">
        <v>1129</v>
      </c>
      <c r="X966" s="81" t="s">
        <v>876</v>
      </c>
      <c r="Y966" s="83" t="n">
        <v>46292</v>
      </c>
      <c r="Z966" s="81" t="s">
        <v>1103</v>
      </c>
      <c r="AA966" s="81" t="s">
        <v>876</v>
      </c>
      <c r="AB966" s="81"/>
      <c r="AC966" s="81"/>
      <c r="AD966" s="81"/>
      <c r="AE966" s="83"/>
      <c r="AF966" s="81"/>
      <c r="AG966" s="81"/>
      <c r="AH966" s="81"/>
      <c r="AI966" s="81"/>
      <c r="AJ966" s="83"/>
      <c r="AK966" s="81"/>
      <c r="AL966" s="81"/>
      <c r="AM966" s="83"/>
      <c r="AN966" s="80"/>
      <c r="AO966" s="82" t="n">
        <f aca="false">IF(E966="","",(AA966&lt;&gt;"")+(AG966&lt;&gt;"")+(AL966&lt;&gt;""))</f>
        <v>1</v>
      </c>
      <c r="AP966" s="82" t="str">
        <f aca="false">IF(AL966&lt;&gt;"",AL966,IF(AG966&lt;&gt;"",AG966,IF(AA966&lt;&gt;"",AA966,"")))</f>
        <v>A</v>
      </c>
      <c r="AQ966" s="84" t="str">
        <f aca="false">IF(E966="","",IF(U966="","À SOUDER",IF(X966="","VT EN ATTENTE",IF(X966="R","VT REJETÉ – À REPRENDRE",IF(AP966="","À RADIOGRAPHIER",IF(AP966="A","ACCEPTÉ",IF(AP966="NX","NX – RT À REFAIRE",IF(IF(AO966=1,AD966,IF(AO966=2,AI966,""))="A","RÉPARÉ – À RADIOGRAPHIER",IF(IF(AO966=1,AD966,IF(AO966=2,AI966,""))="R","VT REJETÉ – À REPRENDRE",IF(OR(AP966="CO",AP966="NT"),"COUPE – À RESOUDER","À RÉPARER"))))))))))</f>
        <v>ACCEPTÉ</v>
      </c>
      <c r="AR966" s="82" t="str">
        <f aca="false">IF(AND(ISNUMBER(U966),OR(AQ966="À RADIOGRAPHIER",AQ966="RÉPARÉ – À RADIOGRAPHIER",AQ966="NX – RT À REFAIRE",AQ966="À RÉPARER",AQ966="COUPE – À RESOUDER",AQ966="VT REJETÉ – À REPRENDRE")),MAX(0,'PROGRAMME RT'!$C$4-U966),"")</f>
        <v/>
      </c>
      <c r="AS966" s="82" t="n">
        <f aca="false">IF(AND(OR(AQ966="À RADIOGRAPHIER",AQ966="RÉPARÉ – À RADIOGRAPHIER",AQ966="NX – RT À REFAIRE"),OR('PROGRAMME RT'!$D$5="TOUTES",B966='PROGRAMME RT'!$D$5)),1,0)</f>
        <v>0</v>
      </c>
      <c r="AT966" s="82" t="str">
        <f aca="false">IF(AS966=1,SUM(AS$7:AS966),"")</f>
        <v/>
      </c>
      <c r="AU966" s="82" t="n">
        <f aca="false">IF(AND(OR(AA966="R",AA966="NX",AA966="NT",AA966="CO"),OR('JOINTS DE RÉPARATION'!$D$5="TOUTES",B966='JOINTS DE RÉPARATION'!$D$5),OR('JOINTS DE RÉPARATION'!$L$4="TOUS",AQ966&lt;&gt;"ACCEPTÉ")),1,0)</f>
        <v>0</v>
      </c>
      <c r="AV966" s="82" t="str">
        <f aca="false">IF(AU966=1,SUM(AU$7:AU966),"")</f>
        <v/>
      </c>
      <c r="AW966" s="82" t="str">
        <f aca="false">IF(E966="","",B966&amp;"|"&amp;E966)</f>
        <v>MFD-ISW → MFD-CPF|JN°861</v>
      </c>
    </row>
    <row r="967" customFormat="false" ht="74.6" hidden="false" customHeight="false" outlineLevel="0" collapsed="false">
      <c r="A967" s="79" t="n">
        <f aca="false">IF(E967="","",ROW()-6)</f>
        <v>961</v>
      </c>
      <c r="B967" s="80" t="s">
        <v>110</v>
      </c>
      <c r="C967" s="81" t="s">
        <v>1054</v>
      </c>
      <c r="D967" s="81" t="n">
        <v>6</v>
      </c>
      <c r="E967" s="81" t="s">
        <v>1132</v>
      </c>
      <c r="F967" s="82" t="str">
        <f aca="false">IF(E967="","",IF(LEFT(E967,2)="DJ","DJ","JN"))</f>
        <v>DJ</v>
      </c>
      <c r="G967" s="81"/>
      <c r="H967" s="81" t="s">
        <v>871</v>
      </c>
      <c r="I967" s="81" t="n">
        <v>9.53</v>
      </c>
      <c r="J967" s="81" t="s">
        <v>872</v>
      </c>
      <c r="K967" s="81" t="s">
        <v>873</v>
      </c>
      <c r="L967" s="81" t="n">
        <v>2078910</v>
      </c>
      <c r="M967" s="81" t="n">
        <v>15421101</v>
      </c>
      <c r="N967" s="81" t="n">
        <v>11.94</v>
      </c>
      <c r="O967" s="81" t="n">
        <v>2086710</v>
      </c>
      <c r="P967" s="81" t="n">
        <v>15421107</v>
      </c>
      <c r="Q967" s="81" t="n">
        <v>11.94</v>
      </c>
      <c r="R967" s="81" t="s">
        <v>874</v>
      </c>
      <c r="S967" s="81"/>
      <c r="T967" s="81"/>
      <c r="U967" s="83" t="n">
        <v>46281</v>
      </c>
      <c r="V967" s="83" t="n">
        <v>46281</v>
      </c>
      <c r="W967" s="81" t="s">
        <v>1094</v>
      </c>
      <c r="X967" s="81" t="s">
        <v>876</v>
      </c>
      <c r="Y967" s="83" t="n">
        <v>46282</v>
      </c>
      <c r="Z967" s="81" t="s">
        <v>1095</v>
      </c>
      <c r="AA967" s="81" t="s">
        <v>876</v>
      </c>
      <c r="AB967" s="81"/>
      <c r="AC967" s="81"/>
      <c r="AD967" s="81"/>
      <c r="AE967" s="83"/>
      <c r="AF967" s="81"/>
      <c r="AG967" s="81"/>
      <c r="AH967" s="81"/>
      <c r="AI967" s="81"/>
      <c r="AJ967" s="83"/>
      <c r="AK967" s="81"/>
      <c r="AL967" s="81"/>
      <c r="AM967" s="83"/>
      <c r="AN967" s="80"/>
      <c r="AO967" s="82" t="n">
        <f aca="false">IF(E967="","",(AA967&lt;&gt;"")+(AG967&lt;&gt;"")+(AL967&lt;&gt;""))</f>
        <v>1</v>
      </c>
      <c r="AP967" s="82" t="str">
        <f aca="false">IF(AL967&lt;&gt;"",AL967,IF(AG967&lt;&gt;"",AG967,IF(AA967&lt;&gt;"",AA967,"")))</f>
        <v>A</v>
      </c>
      <c r="AQ967" s="84" t="str">
        <f aca="false">IF(E967="","",IF(U967="","À SOUDER",IF(X967="","VT EN ATTENTE",IF(X967="R","VT REJETÉ – À REPRENDRE",IF(AP967="","À RADIOGRAPHIER",IF(AP967="A","ACCEPTÉ",IF(AP967="NX","NX – RT À REFAIRE",IF(IF(AO967=1,AD967,IF(AO967=2,AI967,""))="A","RÉPARÉ – À RADIOGRAPHIER",IF(IF(AO967=1,AD967,IF(AO967=2,AI967,""))="R","VT REJETÉ – À REPRENDRE",IF(OR(AP967="CO",AP967="NT"),"COUPE – À RESOUDER","À RÉPARER"))))))))))</f>
        <v>ACCEPTÉ</v>
      </c>
      <c r="AR967" s="82" t="str">
        <f aca="false">IF(AND(ISNUMBER(U967),OR(AQ967="À RADIOGRAPHIER",AQ967="RÉPARÉ – À RADIOGRAPHIER",AQ967="NX – RT À REFAIRE",AQ967="À RÉPARER",AQ967="COUPE – À RESOUDER",AQ967="VT REJETÉ – À REPRENDRE")),MAX(0,'PROGRAMME RT'!$C$4-U967),"")</f>
        <v/>
      </c>
      <c r="AS967" s="82" t="n">
        <f aca="false">IF(AND(OR(AQ967="À RADIOGRAPHIER",AQ967="RÉPARÉ – À RADIOGRAPHIER",AQ967="NX – RT À REFAIRE"),OR('PROGRAMME RT'!$D$5="TOUTES",B967='PROGRAMME RT'!$D$5)),1,0)</f>
        <v>0</v>
      </c>
      <c r="AT967" s="82" t="str">
        <f aca="false">IF(AS967=1,SUM(AS$7:AS967),"")</f>
        <v/>
      </c>
      <c r="AU967" s="82" t="n">
        <f aca="false">IF(AND(OR(AA967="R",AA967="NX",AA967="NT",AA967="CO"),OR('JOINTS DE RÉPARATION'!$D$5="TOUTES",B967='JOINTS DE RÉPARATION'!$D$5),OR('JOINTS DE RÉPARATION'!$L$4="TOUS",AQ967&lt;&gt;"ACCEPTÉ")),1,0)</f>
        <v>0</v>
      </c>
      <c r="AV967" s="82" t="str">
        <f aca="false">IF(AU967=1,SUM(AU$7:AU967),"")</f>
        <v/>
      </c>
      <c r="AW967" s="82" t="str">
        <f aca="false">IF(E967="","",B967&amp;"|"&amp;E967)</f>
        <v>MFD-ISW → MFD-CPF|DJ°411</v>
      </c>
    </row>
    <row r="968" customFormat="false" ht="74.6" hidden="false" customHeight="false" outlineLevel="0" collapsed="false">
      <c r="A968" s="79" t="n">
        <f aca="false">IF(E968="","",ROW()-6)</f>
        <v>962</v>
      </c>
      <c r="B968" s="80" t="s">
        <v>110</v>
      </c>
      <c r="C968" s="81" t="s">
        <v>1054</v>
      </c>
      <c r="D968" s="81" t="n">
        <v>6</v>
      </c>
      <c r="E968" s="81" t="s">
        <v>1133</v>
      </c>
      <c r="F968" s="82" t="str">
        <f aca="false">IF(E968="","",IF(LEFT(E968,2)="DJ","DJ","JN"))</f>
        <v>JN</v>
      </c>
      <c r="G968" s="81"/>
      <c r="H968" s="81" t="s">
        <v>871</v>
      </c>
      <c r="I968" s="81" t="n">
        <v>9.53</v>
      </c>
      <c r="J968" s="81" t="s">
        <v>872</v>
      </c>
      <c r="K968" s="81" t="s">
        <v>879</v>
      </c>
      <c r="L968" s="81" t="n">
        <v>2086710</v>
      </c>
      <c r="M968" s="81" t="n">
        <v>15421107</v>
      </c>
      <c r="N968" s="81" t="n">
        <v>11.94</v>
      </c>
      <c r="O968" s="81" t="n">
        <v>2093140</v>
      </c>
      <c r="P968" s="81" t="n">
        <v>15421110</v>
      </c>
      <c r="Q968" s="81" t="n">
        <v>11.94</v>
      </c>
      <c r="R968" s="81" t="s">
        <v>1099</v>
      </c>
      <c r="S968" s="81"/>
      <c r="T968" s="81"/>
      <c r="U968" s="83" t="n">
        <v>46285</v>
      </c>
      <c r="V968" s="83" t="n">
        <v>46285</v>
      </c>
      <c r="W968" s="81" t="s">
        <v>1129</v>
      </c>
      <c r="X968" s="81" t="s">
        <v>876</v>
      </c>
      <c r="Y968" s="83" t="n">
        <v>46292</v>
      </c>
      <c r="Z968" s="81" t="s">
        <v>1103</v>
      </c>
      <c r="AA968" s="81" t="s">
        <v>876</v>
      </c>
      <c r="AB968" s="81"/>
      <c r="AC968" s="81"/>
      <c r="AD968" s="81"/>
      <c r="AE968" s="83"/>
      <c r="AF968" s="81"/>
      <c r="AG968" s="81"/>
      <c r="AH968" s="81"/>
      <c r="AI968" s="81"/>
      <c r="AJ968" s="83"/>
      <c r="AK968" s="81"/>
      <c r="AL968" s="81"/>
      <c r="AM968" s="83"/>
      <c r="AN968" s="80"/>
      <c r="AO968" s="82" t="n">
        <f aca="false">IF(E968="","",(AA968&lt;&gt;"")+(AG968&lt;&gt;"")+(AL968&lt;&gt;""))</f>
        <v>1</v>
      </c>
      <c r="AP968" s="82" t="str">
        <f aca="false">IF(AL968&lt;&gt;"",AL968,IF(AG968&lt;&gt;"",AG968,IF(AA968&lt;&gt;"",AA968,"")))</f>
        <v>A</v>
      </c>
      <c r="AQ968" s="84" t="str">
        <f aca="false">IF(E968="","",IF(U968="","À SOUDER",IF(X968="","VT EN ATTENTE",IF(X968="R","VT REJETÉ – À REPRENDRE",IF(AP968="","À RADIOGRAPHIER",IF(AP968="A","ACCEPTÉ",IF(AP968="NX","NX – RT À REFAIRE",IF(IF(AO968=1,AD968,IF(AO968=2,AI968,""))="A","RÉPARÉ – À RADIOGRAPHIER",IF(IF(AO968=1,AD968,IF(AO968=2,AI968,""))="R","VT REJETÉ – À REPRENDRE",IF(OR(AP968="CO",AP968="NT"),"COUPE – À RESOUDER","À RÉPARER"))))))))))</f>
        <v>ACCEPTÉ</v>
      </c>
      <c r="AR968" s="82" t="str">
        <f aca="false">IF(AND(ISNUMBER(U968),OR(AQ968="À RADIOGRAPHIER",AQ968="RÉPARÉ – À RADIOGRAPHIER",AQ968="NX – RT À REFAIRE",AQ968="À RÉPARER",AQ968="COUPE – À RESOUDER",AQ968="VT REJETÉ – À REPRENDRE")),MAX(0,'PROGRAMME RT'!$C$4-U968),"")</f>
        <v/>
      </c>
      <c r="AS968" s="82" t="n">
        <f aca="false">IF(AND(OR(AQ968="À RADIOGRAPHIER",AQ968="RÉPARÉ – À RADIOGRAPHIER",AQ968="NX – RT À REFAIRE"),OR('PROGRAMME RT'!$D$5="TOUTES",B968='PROGRAMME RT'!$D$5)),1,0)</f>
        <v>0</v>
      </c>
      <c r="AT968" s="82" t="str">
        <f aca="false">IF(AS968=1,SUM(AS$7:AS968),"")</f>
        <v/>
      </c>
      <c r="AU968" s="82" t="n">
        <f aca="false">IF(AND(OR(AA968="R",AA968="NX",AA968="NT",AA968="CO"),OR('JOINTS DE RÉPARATION'!$D$5="TOUTES",B968='JOINTS DE RÉPARATION'!$D$5),OR('JOINTS DE RÉPARATION'!$L$4="TOUS",AQ968&lt;&gt;"ACCEPTÉ")),1,0)</f>
        <v>0</v>
      </c>
      <c r="AV968" s="82" t="str">
        <f aca="false">IF(AU968=1,SUM(AU$7:AU968),"")</f>
        <v/>
      </c>
      <c r="AW968" s="82" t="str">
        <f aca="false">IF(E968="","",B968&amp;"|"&amp;E968)</f>
        <v>MFD-ISW → MFD-CPF|JN°862</v>
      </c>
    </row>
    <row r="969" customFormat="false" ht="74.6" hidden="false" customHeight="false" outlineLevel="0" collapsed="false">
      <c r="A969" s="79" t="n">
        <f aca="false">IF(E969="","",ROW()-6)</f>
        <v>963</v>
      </c>
      <c r="B969" s="80" t="s">
        <v>110</v>
      </c>
      <c r="C969" s="81" t="s">
        <v>1054</v>
      </c>
      <c r="D969" s="81" t="n">
        <v>6</v>
      </c>
      <c r="E969" s="81" t="s">
        <v>1134</v>
      </c>
      <c r="F969" s="82" t="str">
        <f aca="false">IF(E969="","",IF(LEFT(E969,2)="DJ","DJ","JN"))</f>
        <v>DJ</v>
      </c>
      <c r="G969" s="81"/>
      <c r="H969" s="81" t="s">
        <v>871</v>
      </c>
      <c r="I969" s="81" t="n">
        <v>9.53</v>
      </c>
      <c r="J969" s="81" t="s">
        <v>872</v>
      </c>
      <c r="K969" s="81" t="s">
        <v>873</v>
      </c>
      <c r="L969" s="81" t="n">
        <v>2093140</v>
      </c>
      <c r="M969" s="81" t="n">
        <v>15421110</v>
      </c>
      <c r="N969" s="81" t="n">
        <v>11.94</v>
      </c>
      <c r="O969" s="81" t="n">
        <v>2094740</v>
      </c>
      <c r="P969" s="81" t="n">
        <v>15421111</v>
      </c>
      <c r="Q969" s="81" t="n">
        <v>11.94</v>
      </c>
      <c r="R969" s="81" t="s">
        <v>1135</v>
      </c>
      <c r="S969" s="81"/>
      <c r="T969" s="81"/>
      <c r="U969" s="83" t="n">
        <v>46277</v>
      </c>
      <c r="V969" s="83" t="n">
        <v>46277</v>
      </c>
      <c r="W969" s="81" t="s">
        <v>1136</v>
      </c>
      <c r="X969" s="81" t="s">
        <v>876</v>
      </c>
      <c r="Y969" s="83" t="n">
        <v>46279</v>
      </c>
      <c r="Z969" s="81" t="s">
        <v>1137</v>
      </c>
      <c r="AA969" s="81" t="s">
        <v>876</v>
      </c>
      <c r="AB969" s="81"/>
      <c r="AC969" s="81"/>
      <c r="AD969" s="81"/>
      <c r="AE969" s="83"/>
      <c r="AF969" s="81"/>
      <c r="AG969" s="81"/>
      <c r="AH969" s="81"/>
      <c r="AI969" s="81"/>
      <c r="AJ969" s="83"/>
      <c r="AK969" s="81"/>
      <c r="AL969" s="81"/>
      <c r="AM969" s="83"/>
      <c r="AN969" s="80"/>
      <c r="AO969" s="82" t="n">
        <f aca="false">IF(E969="","",(AA969&lt;&gt;"")+(AG969&lt;&gt;"")+(AL969&lt;&gt;""))</f>
        <v>1</v>
      </c>
      <c r="AP969" s="82" t="str">
        <f aca="false">IF(AL969&lt;&gt;"",AL969,IF(AG969&lt;&gt;"",AG969,IF(AA969&lt;&gt;"",AA969,"")))</f>
        <v>A</v>
      </c>
      <c r="AQ969" s="84" t="str">
        <f aca="false">IF(E969="","",IF(U969="","À SOUDER",IF(X969="","VT EN ATTENTE",IF(X969="R","VT REJETÉ – À REPRENDRE",IF(AP969="","À RADIOGRAPHIER",IF(AP969="A","ACCEPTÉ",IF(AP969="NX","NX – RT À REFAIRE",IF(IF(AO969=1,AD969,IF(AO969=2,AI969,""))="A","RÉPARÉ – À RADIOGRAPHIER",IF(IF(AO969=1,AD969,IF(AO969=2,AI969,""))="R","VT REJETÉ – À REPRENDRE",IF(OR(AP969="CO",AP969="NT"),"COUPE – À RESOUDER","À RÉPARER"))))))))))</f>
        <v>ACCEPTÉ</v>
      </c>
      <c r="AR969" s="82" t="str">
        <f aca="false">IF(AND(ISNUMBER(U969),OR(AQ969="À RADIOGRAPHIER",AQ969="RÉPARÉ – À RADIOGRAPHIER",AQ969="NX – RT À REFAIRE",AQ969="À RÉPARER",AQ969="COUPE – À RESOUDER",AQ969="VT REJETÉ – À REPRENDRE")),MAX(0,'PROGRAMME RT'!$C$4-U969),"")</f>
        <v/>
      </c>
      <c r="AS969" s="82" t="n">
        <f aca="false">IF(AND(OR(AQ969="À RADIOGRAPHIER",AQ969="RÉPARÉ – À RADIOGRAPHIER",AQ969="NX – RT À REFAIRE"),OR('PROGRAMME RT'!$D$5="TOUTES",B969='PROGRAMME RT'!$D$5)),1,0)</f>
        <v>0</v>
      </c>
      <c r="AT969" s="82" t="str">
        <f aca="false">IF(AS969=1,SUM(AS$7:AS969),"")</f>
        <v/>
      </c>
      <c r="AU969" s="82" t="n">
        <f aca="false">IF(AND(OR(AA969="R",AA969="NX",AA969="NT",AA969="CO"),OR('JOINTS DE RÉPARATION'!$D$5="TOUTES",B969='JOINTS DE RÉPARATION'!$D$5),OR('JOINTS DE RÉPARATION'!$L$4="TOUS",AQ969&lt;&gt;"ACCEPTÉ")),1,0)</f>
        <v>0</v>
      </c>
      <c r="AV969" s="82" t="str">
        <f aca="false">IF(AU969=1,SUM(AU$7:AU969),"")</f>
        <v/>
      </c>
      <c r="AW969" s="82" t="str">
        <f aca="false">IF(E969="","",B969&amp;"|"&amp;E969)</f>
        <v>MFD-ISW → MFD-CPF|DJ°360</v>
      </c>
    </row>
    <row r="970" customFormat="false" ht="74.6" hidden="false" customHeight="false" outlineLevel="0" collapsed="false">
      <c r="A970" s="79" t="n">
        <f aca="false">IF(E970="","",ROW()-6)</f>
        <v>964</v>
      </c>
      <c r="B970" s="80" t="s">
        <v>110</v>
      </c>
      <c r="C970" s="81" t="s">
        <v>1054</v>
      </c>
      <c r="D970" s="81" t="n">
        <v>6</v>
      </c>
      <c r="E970" s="81" t="s">
        <v>1138</v>
      </c>
      <c r="F970" s="82" t="str">
        <f aca="false">IF(E970="","",IF(LEFT(E970,2)="DJ","DJ","JN"))</f>
        <v>JN</v>
      </c>
      <c r="G970" s="81"/>
      <c r="H970" s="81" t="s">
        <v>871</v>
      </c>
      <c r="I970" s="81" t="n">
        <v>9.53</v>
      </c>
      <c r="J970" s="81" t="s">
        <v>872</v>
      </c>
      <c r="K970" s="81" t="s">
        <v>879</v>
      </c>
      <c r="L970" s="81" t="n">
        <v>2094740</v>
      </c>
      <c r="M970" s="81" t="n">
        <v>15421111</v>
      </c>
      <c r="N970" s="81" t="n">
        <v>11.94</v>
      </c>
      <c r="O970" s="81" t="n">
        <v>2094510</v>
      </c>
      <c r="P970" s="81" t="n">
        <v>15421111</v>
      </c>
      <c r="Q970" s="81" t="n">
        <v>11.94</v>
      </c>
      <c r="R970" s="81" t="s">
        <v>1099</v>
      </c>
      <c r="S970" s="81"/>
      <c r="T970" s="81"/>
      <c r="U970" s="83" t="n">
        <v>46285</v>
      </c>
      <c r="V970" s="83" t="n">
        <v>46285</v>
      </c>
      <c r="W970" s="81" t="s">
        <v>1129</v>
      </c>
      <c r="X970" s="81" t="s">
        <v>876</v>
      </c>
      <c r="Y970" s="83" t="n">
        <v>46292</v>
      </c>
      <c r="Z970" s="81" t="s">
        <v>1139</v>
      </c>
      <c r="AA970" s="81" t="s">
        <v>876</v>
      </c>
      <c r="AB970" s="81"/>
      <c r="AC970" s="81"/>
      <c r="AD970" s="81"/>
      <c r="AE970" s="83"/>
      <c r="AF970" s="81"/>
      <c r="AG970" s="81"/>
      <c r="AH970" s="81"/>
      <c r="AI970" s="81"/>
      <c r="AJ970" s="83"/>
      <c r="AK970" s="81"/>
      <c r="AL970" s="81"/>
      <c r="AM970" s="83"/>
      <c r="AN970" s="80"/>
      <c r="AO970" s="82" t="n">
        <f aca="false">IF(E970="","",(AA970&lt;&gt;"")+(AG970&lt;&gt;"")+(AL970&lt;&gt;""))</f>
        <v>1</v>
      </c>
      <c r="AP970" s="82" t="str">
        <f aca="false">IF(AL970&lt;&gt;"",AL970,IF(AG970&lt;&gt;"",AG970,IF(AA970&lt;&gt;"",AA970,"")))</f>
        <v>A</v>
      </c>
      <c r="AQ970" s="84" t="str">
        <f aca="false">IF(E970="","",IF(U970="","À SOUDER",IF(X970="","VT EN ATTENTE",IF(X970="R","VT REJETÉ – À REPRENDRE",IF(AP970="","À RADIOGRAPHIER",IF(AP970="A","ACCEPTÉ",IF(AP970="NX","NX – RT À REFAIRE",IF(IF(AO970=1,AD970,IF(AO970=2,AI970,""))="A","RÉPARÉ – À RADIOGRAPHIER",IF(IF(AO970=1,AD970,IF(AO970=2,AI970,""))="R","VT REJETÉ – À REPRENDRE",IF(OR(AP970="CO",AP970="NT"),"COUPE – À RESOUDER","À RÉPARER"))))))))))</f>
        <v>ACCEPTÉ</v>
      </c>
      <c r="AR970" s="82" t="str">
        <f aca="false">IF(AND(ISNUMBER(U970),OR(AQ970="À RADIOGRAPHIER",AQ970="RÉPARÉ – À RADIOGRAPHIER",AQ970="NX – RT À REFAIRE",AQ970="À RÉPARER",AQ970="COUPE – À RESOUDER",AQ970="VT REJETÉ – À REPRENDRE")),MAX(0,'PROGRAMME RT'!$C$4-U970),"")</f>
        <v/>
      </c>
      <c r="AS970" s="82" t="n">
        <f aca="false">IF(AND(OR(AQ970="À RADIOGRAPHIER",AQ970="RÉPARÉ – À RADIOGRAPHIER",AQ970="NX – RT À REFAIRE"),OR('PROGRAMME RT'!$D$5="TOUTES",B970='PROGRAMME RT'!$D$5)),1,0)</f>
        <v>0</v>
      </c>
      <c r="AT970" s="82" t="str">
        <f aca="false">IF(AS970=1,SUM(AS$7:AS970),"")</f>
        <v/>
      </c>
      <c r="AU970" s="82" t="n">
        <f aca="false">IF(AND(OR(AA970="R",AA970="NX",AA970="NT",AA970="CO"),OR('JOINTS DE RÉPARATION'!$D$5="TOUTES",B970='JOINTS DE RÉPARATION'!$D$5),OR('JOINTS DE RÉPARATION'!$L$4="TOUS",AQ970&lt;&gt;"ACCEPTÉ")),1,0)</f>
        <v>0</v>
      </c>
      <c r="AV970" s="82" t="str">
        <f aca="false">IF(AU970=1,SUM(AU$7:AU970),"")</f>
        <v/>
      </c>
      <c r="AW970" s="82" t="str">
        <f aca="false">IF(E970="","",B970&amp;"|"&amp;E970)</f>
        <v>MFD-ISW → MFD-CPF|JN°863</v>
      </c>
    </row>
    <row r="971" customFormat="false" ht="74.6" hidden="false" customHeight="false" outlineLevel="0" collapsed="false">
      <c r="A971" s="79" t="n">
        <f aca="false">IF(E971="","",ROW()-6)</f>
        <v>965</v>
      </c>
      <c r="B971" s="80" t="s">
        <v>110</v>
      </c>
      <c r="C971" s="81" t="s">
        <v>1054</v>
      </c>
      <c r="D971" s="81" t="n">
        <v>6</v>
      </c>
      <c r="E971" s="81" t="s">
        <v>1140</v>
      </c>
      <c r="F971" s="82" t="str">
        <f aca="false">IF(E971="","",IF(LEFT(E971,2)="DJ","DJ","JN"))</f>
        <v>DJ</v>
      </c>
      <c r="G971" s="81"/>
      <c r="H971" s="81" t="s">
        <v>871</v>
      </c>
      <c r="I971" s="81" t="n">
        <v>9.53</v>
      </c>
      <c r="J971" s="81" t="s">
        <v>872</v>
      </c>
      <c r="K971" s="81" t="s">
        <v>873</v>
      </c>
      <c r="L971" s="81" t="n">
        <v>2094510</v>
      </c>
      <c r="M971" s="81" t="n">
        <v>15421111</v>
      </c>
      <c r="N971" s="81" t="n">
        <v>11.94</v>
      </c>
      <c r="O971" s="81" t="n">
        <v>2089690</v>
      </c>
      <c r="P971" s="81" t="n">
        <v>15421109</v>
      </c>
      <c r="Q971" s="81" t="n">
        <v>11.94</v>
      </c>
      <c r="R971" s="81" t="s">
        <v>874</v>
      </c>
      <c r="S971" s="81"/>
      <c r="T971" s="81"/>
      <c r="U971" s="83" t="n">
        <v>46281</v>
      </c>
      <c r="V971" s="83" t="n">
        <v>46281</v>
      </c>
      <c r="W971" s="81" t="s">
        <v>1094</v>
      </c>
      <c r="X971" s="81" t="s">
        <v>876</v>
      </c>
      <c r="Y971" s="83" t="n">
        <v>46282</v>
      </c>
      <c r="Z971" s="81" t="s">
        <v>1095</v>
      </c>
      <c r="AA971" s="81" t="s">
        <v>876</v>
      </c>
      <c r="AB971" s="81"/>
      <c r="AC971" s="81"/>
      <c r="AD971" s="81"/>
      <c r="AE971" s="83"/>
      <c r="AF971" s="81"/>
      <c r="AG971" s="81"/>
      <c r="AH971" s="81"/>
      <c r="AI971" s="81"/>
      <c r="AJ971" s="83"/>
      <c r="AK971" s="81"/>
      <c r="AL971" s="81"/>
      <c r="AM971" s="83"/>
      <c r="AN971" s="80"/>
      <c r="AO971" s="82" t="n">
        <f aca="false">IF(E971="","",(AA971&lt;&gt;"")+(AG971&lt;&gt;"")+(AL971&lt;&gt;""))</f>
        <v>1</v>
      </c>
      <c r="AP971" s="82" t="str">
        <f aca="false">IF(AL971&lt;&gt;"",AL971,IF(AG971&lt;&gt;"",AG971,IF(AA971&lt;&gt;"",AA971,"")))</f>
        <v>A</v>
      </c>
      <c r="AQ971" s="84" t="str">
        <f aca="false">IF(E971="","",IF(U971="","À SOUDER",IF(X971="","VT EN ATTENTE",IF(X971="R","VT REJETÉ – À REPRENDRE",IF(AP971="","À RADIOGRAPHIER",IF(AP971="A","ACCEPTÉ",IF(AP971="NX","NX – RT À REFAIRE",IF(IF(AO971=1,AD971,IF(AO971=2,AI971,""))="A","RÉPARÉ – À RADIOGRAPHIER",IF(IF(AO971=1,AD971,IF(AO971=2,AI971,""))="R","VT REJETÉ – À REPRENDRE",IF(OR(AP971="CO",AP971="NT"),"COUPE – À RESOUDER","À RÉPARER"))))))))))</f>
        <v>ACCEPTÉ</v>
      </c>
      <c r="AR971" s="82" t="str">
        <f aca="false">IF(AND(ISNUMBER(U971),OR(AQ971="À RADIOGRAPHIER",AQ971="RÉPARÉ – À RADIOGRAPHIER",AQ971="NX – RT À REFAIRE",AQ971="À RÉPARER",AQ971="COUPE – À RESOUDER",AQ971="VT REJETÉ – À REPRENDRE")),MAX(0,'PROGRAMME RT'!$C$4-U971),"")</f>
        <v/>
      </c>
      <c r="AS971" s="82" t="n">
        <f aca="false">IF(AND(OR(AQ971="À RADIOGRAPHIER",AQ971="RÉPARÉ – À RADIOGRAPHIER",AQ971="NX – RT À REFAIRE"),OR('PROGRAMME RT'!$D$5="TOUTES",B971='PROGRAMME RT'!$D$5)),1,0)</f>
        <v>0</v>
      </c>
      <c r="AT971" s="82" t="str">
        <f aca="false">IF(AS971=1,SUM(AS$7:AS971),"")</f>
        <v/>
      </c>
      <c r="AU971" s="82" t="n">
        <f aca="false">IF(AND(OR(AA971="R",AA971="NX",AA971="NT",AA971="CO"),OR('JOINTS DE RÉPARATION'!$D$5="TOUTES",B971='JOINTS DE RÉPARATION'!$D$5),OR('JOINTS DE RÉPARATION'!$L$4="TOUS",AQ971&lt;&gt;"ACCEPTÉ")),1,0)</f>
        <v>0</v>
      </c>
      <c r="AV971" s="82" t="str">
        <f aca="false">IF(AU971=1,SUM(AU$7:AU971),"")</f>
        <v/>
      </c>
      <c r="AW971" s="82" t="str">
        <f aca="false">IF(E971="","",B971&amp;"|"&amp;E971)</f>
        <v>MFD-ISW → MFD-CPF|DJ°414</v>
      </c>
    </row>
    <row r="972" customFormat="false" ht="74.6" hidden="false" customHeight="false" outlineLevel="0" collapsed="false">
      <c r="A972" s="79" t="n">
        <f aca="false">IF(E972="","",ROW()-6)</f>
        <v>966</v>
      </c>
      <c r="B972" s="80" t="s">
        <v>110</v>
      </c>
      <c r="C972" s="81" t="s">
        <v>1054</v>
      </c>
      <c r="D972" s="81" t="n">
        <v>6</v>
      </c>
      <c r="E972" s="81" t="s">
        <v>1141</v>
      </c>
      <c r="F972" s="82" t="str">
        <f aca="false">IF(E972="","",IF(LEFT(E972,2)="DJ","DJ","JN"))</f>
        <v>JN</v>
      </c>
      <c r="G972" s="81"/>
      <c r="H972" s="81" t="s">
        <v>871</v>
      </c>
      <c r="I972" s="81" t="n">
        <v>9.53</v>
      </c>
      <c r="J972" s="81" t="s">
        <v>872</v>
      </c>
      <c r="K972" s="81" t="s">
        <v>879</v>
      </c>
      <c r="L972" s="81" t="n">
        <v>2089690</v>
      </c>
      <c r="M972" s="81" t="n">
        <v>15421109</v>
      </c>
      <c r="N972" s="81" t="n">
        <v>11.94</v>
      </c>
      <c r="O972" s="81" t="n">
        <v>2083800</v>
      </c>
      <c r="P972" s="81" t="n">
        <v>15421105</v>
      </c>
      <c r="Q972" s="81" t="n">
        <v>11.94</v>
      </c>
      <c r="R972" s="81" t="s">
        <v>935</v>
      </c>
      <c r="S972" s="81"/>
      <c r="T972" s="81"/>
      <c r="U972" s="83" t="n">
        <v>46285</v>
      </c>
      <c r="V972" s="83" t="n">
        <v>46285</v>
      </c>
      <c r="W972" s="81" t="s">
        <v>1129</v>
      </c>
      <c r="X972" s="81" t="s">
        <v>876</v>
      </c>
      <c r="Y972" s="83" t="n">
        <v>46292</v>
      </c>
      <c r="Z972" s="81" t="s">
        <v>1139</v>
      </c>
      <c r="AA972" s="81" t="s">
        <v>876</v>
      </c>
      <c r="AB972" s="81"/>
      <c r="AC972" s="81"/>
      <c r="AD972" s="81"/>
      <c r="AE972" s="83"/>
      <c r="AF972" s="81"/>
      <c r="AG972" s="81"/>
      <c r="AH972" s="81"/>
      <c r="AI972" s="81"/>
      <c r="AJ972" s="83"/>
      <c r="AK972" s="81"/>
      <c r="AL972" s="81"/>
      <c r="AM972" s="83"/>
      <c r="AN972" s="80"/>
      <c r="AO972" s="82" t="n">
        <f aca="false">IF(E972="","",(AA972&lt;&gt;"")+(AG972&lt;&gt;"")+(AL972&lt;&gt;""))</f>
        <v>1</v>
      </c>
      <c r="AP972" s="82" t="str">
        <f aca="false">IF(AL972&lt;&gt;"",AL972,IF(AG972&lt;&gt;"",AG972,IF(AA972&lt;&gt;"",AA972,"")))</f>
        <v>A</v>
      </c>
      <c r="AQ972" s="84" t="str">
        <f aca="false">IF(E972="","",IF(U972="","À SOUDER",IF(X972="","VT EN ATTENTE",IF(X972="R","VT REJETÉ – À REPRENDRE",IF(AP972="","À RADIOGRAPHIER",IF(AP972="A","ACCEPTÉ",IF(AP972="NX","NX – RT À REFAIRE",IF(IF(AO972=1,AD972,IF(AO972=2,AI972,""))="A","RÉPARÉ – À RADIOGRAPHIER",IF(IF(AO972=1,AD972,IF(AO972=2,AI972,""))="R","VT REJETÉ – À REPRENDRE",IF(OR(AP972="CO",AP972="NT"),"COUPE – À RESOUDER","À RÉPARER"))))))))))</f>
        <v>ACCEPTÉ</v>
      </c>
      <c r="AR972" s="82" t="str">
        <f aca="false">IF(AND(ISNUMBER(U972),OR(AQ972="À RADIOGRAPHIER",AQ972="RÉPARÉ – À RADIOGRAPHIER",AQ972="NX – RT À REFAIRE",AQ972="À RÉPARER",AQ972="COUPE – À RESOUDER",AQ972="VT REJETÉ – À REPRENDRE")),MAX(0,'PROGRAMME RT'!$C$4-U972),"")</f>
        <v/>
      </c>
      <c r="AS972" s="82" t="n">
        <f aca="false">IF(AND(OR(AQ972="À RADIOGRAPHIER",AQ972="RÉPARÉ – À RADIOGRAPHIER",AQ972="NX – RT À REFAIRE"),OR('PROGRAMME RT'!$D$5="TOUTES",B972='PROGRAMME RT'!$D$5)),1,0)</f>
        <v>0</v>
      </c>
      <c r="AT972" s="82" t="str">
        <f aca="false">IF(AS972=1,SUM(AS$7:AS972),"")</f>
        <v/>
      </c>
      <c r="AU972" s="82" t="n">
        <f aca="false">IF(AND(OR(AA972="R",AA972="NX",AA972="NT",AA972="CO"),OR('JOINTS DE RÉPARATION'!$D$5="TOUTES",B972='JOINTS DE RÉPARATION'!$D$5),OR('JOINTS DE RÉPARATION'!$L$4="TOUS",AQ972&lt;&gt;"ACCEPTÉ")),1,0)</f>
        <v>0</v>
      </c>
      <c r="AV972" s="82" t="str">
        <f aca="false">IF(AU972=1,SUM(AU$7:AU972),"")</f>
        <v/>
      </c>
      <c r="AW972" s="82" t="str">
        <f aca="false">IF(E972="","",B972&amp;"|"&amp;E972)</f>
        <v>MFD-ISW → MFD-CPF|JN°864</v>
      </c>
    </row>
    <row r="973" customFormat="false" ht="74.6" hidden="false" customHeight="false" outlineLevel="0" collapsed="false">
      <c r="A973" s="79" t="n">
        <f aca="false">IF(E973="","",ROW()-6)</f>
        <v>967</v>
      </c>
      <c r="B973" s="80" t="s">
        <v>110</v>
      </c>
      <c r="C973" s="81" t="s">
        <v>1054</v>
      </c>
      <c r="D973" s="81" t="n">
        <v>6</v>
      </c>
      <c r="E973" s="81" t="s">
        <v>1142</v>
      </c>
      <c r="F973" s="82" t="str">
        <f aca="false">IF(E973="","",IF(LEFT(E973,2)="DJ","DJ","JN"))</f>
        <v>DJ</v>
      </c>
      <c r="G973" s="81"/>
      <c r="H973" s="81" t="s">
        <v>871</v>
      </c>
      <c r="I973" s="81" t="n">
        <v>9.53</v>
      </c>
      <c r="J973" s="81" t="s">
        <v>872</v>
      </c>
      <c r="K973" s="81" t="s">
        <v>873</v>
      </c>
      <c r="L973" s="81" t="n">
        <v>2083800</v>
      </c>
      <c r="M973" s="81" t="n">
        <v>15421105</v>
      </c>
      <c r="N973" s="81" t="n">
        <v>11.94</v>
      </c>
      <c r="O973" s="81" t="n">
        <v>2085370</v>
      </c>
      <c r="P973" s="81" t="n">
        <v>15421106</v>
      </c>
      <c r="Q973" s="81" t="n">
        <v>11.94</v>
      </c>
      <c r="R973" s="81" t="s">
        <v>882</v>
      </c>
      <c r="S973" s="81"/>
      <c r="T973" s="81"/>
      <c r="U973" s="83" t="n">
        <v>46283</v>
      </c>
      <c r="V973" s="83" t="n">
        <v>46283</v>
      </c>
      <c r="W973" s="81" t="s">
        <v>1077</v>
      </c>
      <c r="X973" s="81" t="s">
        <v>876</v>
      </c>
      <c r="Y973" s="83" t="n">
        <v>46284</v>
      </c>
      <c r="Z973" s="81" t="s">
        <v>1078</v>
      </c>
      <c r="AA973" s="81" t="s">
        <v>876</v>
      </c>
      <c r="AB973" s="81"/>
      <c r="AC973" s="81"/>
      <c r="AD973" s="81"/>
      <c r="AE973" s="83"/>
      <c r="AF973" s="81"/>
      <c r="AG973" s="81"/>
      <c r="AH973" s="81"/>
      <c r="AI973" s="81"/>
      <c r="AJ973" s="83"/>
      <c r="AK973" s="81"/>
      <c r="AL973" s="81"/>
      <c r="AM973" s="83"/>
      <c r="AN973" s="80"/>
      <c r="AO973" s="82" t="n">
        <f aca="false">IF(E973="","",(AA973&lt;&gt;"")+(AG973&lt;&gt;"")+(AL973&lt;&gt;""))</f>
        <v>1</v>
      </c>
      <c r="AP973" s="82" t="str">
        <f aca="false">IF(AL973&lt;&gt;"",AL973,IF(AG973&lt;&gt;"",AG973,IF(AA973&lt;&gt;"",AA973,"")))</f>
        <v>A</v>
      </c>
      <c r="AQ973" s="84" t="str">
        <f aca="false">IF(E973="","",IF(U973="","À SOUDER",IF(X973="","VT EN ATTENTE",IF(X973="R","VT REJETÉ – À REPRENDRE",IF(AP973="","À RADIOGRAPHIER",IF(AP973="A","ACCEPTÉ",IF(AP973="NX","NX – RT À REFAIRE",IF(IF(AO973=1,AD973,IF(AO973=2,AI973,""))="A","RÉPARÉ – À RADIOGRAPHIER",IF(IF(AO973=1,AD973,IF(AO973=2,AI973,""))="R","VT REJETÉ – À REPRENDRE",IF(OR(AP973="CO",AP973="NT"),"COUPE – À RESOUDER","À RÉPARER"))))))))))</f>
        <v>ACCEPTÉ</v>
      </c>
      <c r="AR973" s="82" t="str">
        <f aca="false">IF(AND(ISNUMBER(U973),OR(AQ973="À RADIOGRAPHIER",AQ973="RÉPARÉ – À RADIOGRAPHIER",AQ973="NX – RT À REFAIRE",AQ973="À RÉPARER",AQ973="COUPE – À RESOUDER",AQ973="VT REJETÉ – À REPRENDRE")),MAX(0,'PROGRAMME RT'!$C$4-U973),"")</f>
        <v/>
      </c>
      <c r="AS973" s="82" t="n">
        <f aca="false">IF(AND(OR(AQ973="À RADIOGRAPHIER",AQ973="RÉPARÉ – À RADIOGRAPHIER",AQ973="NX – RT À REFAIRE"),OR('PROGRAMME RT'!$D$5="TOUTES",B973='PROGRAMME RT'!$D$5)),1,0)</f>
        <v>0</v>
      </c>
      <c r="AT973" s="82" t="str">
        <f aca="false">IF(AS973=1,SUM(AS$7:AS973),"")</f>
        <v/>
      </c>
      <c r="AU973" s="82" t="n">
        <f aca="false">IF(AND(OR(AA973="R",AA973="NX",AA973="NT",AA973="CO"),OR('JOINTS DE RÉPARATION'!$D$5="TOUTES",B973='JOINTS DE RÉPARATION'!$D$5),OR('JOINTS DE RÉPARATION'!$L$4="TOUS",AQ973&lt;&gt;"ACCEPTÉ")),1,0)</f>
        <v>0</v>
      </c>
      <c r="AV973" s="82" t="str">
        <f aca="false">IF(AU973=1,SUM(AU$7:AU973),"")</f>
        <v/>
      </c>
      <c r="AW973" s="82" t="str">
        <f aca="false">IF(E973="","",B973&amp;"|"&amp;E973)</f>
        <v>MFD-ISW → MFD-CPF|DJ°426</v>
      </c>
    </row>
    <row r="974" customFormat="false" ht="74.6" hidden="false" customHeight="false" outlineLevel="0" collapsed="false">
      <c r="A974" s="79" t="n">
        <f aca="false">IF(E974="","",ROW()-6)</f>
        <v>968</v>
      </c>
      <c r="B974" s="80" t="s">
        <v>110</v>
      </c>
      <c r="C974" s="81" t="s">
        <v>1054</v>
      </c>
      <c r="D974" s="81" t="n">
        <v>6</v>
      </c>
      <c r="E974" s="81" t="s">
        <v>1143</v>
      </c>
      <c r="F974" s="82" t="str">
        <f aca="false">IF(E974="","",IF(LEFT(E974,2)="DJ","DJ","JN"))</f>
        <v>JN</v>
      </c>
      <c r="G974" s="81"/>
      <c r="H974" s="81" t="s">
        <v>871</v>
      </c>
      <c r="I974" s="81" t="n">
        <v>9.53</v>
      </c>
      <c r="J974" s="81" t="s">
        <v>872</v>
      </c>
      <c r="K974" s="81" t="s">
        <v>879</v>
      </c>
      <c r="L974" s="81" t="n">
        <v>2085370</v>
      </c>
      <c r="M974" s="81" t="n">
        <v>15421106</v>
      </c>
      <c r="N974" s="81" t="n">
        <v>11.94</v>
      </c>
      <c r="O974" s="81" t="n">
        <v>2086720</v>
      </c>
      <c r="P974" s="81" t="n">
        <v>15421107</v>
      </c>
      <c r="Q974" s="81" t="n">
        <v>11.94</v>
      </c>
      <c r="R974" s="81" t="s">
        <v>935</v>
      </c>
      <c r="S974" s="81"/>
      <c r="T974" s="81"/>
      <c r="U974" s="83" t="n">
        <v>46285</v>
      </c>
      <c r="V974" s="83" t="n">
        <v>46285</v>
      </c>
      <c r="W974" s="81" t="s">
        <v>1129</v>
      </c>
      <c r="X974" s="81" t="s">
        <v>876</v>
      </c>
      <c r="Y974" s="83" t="n">
        <v>46292</v>
      </c>
      <c r="Z974" s="81" t="s">
        <v>1139</v>
      </c>
      <c r="AA974" s="81" t="s">
        <v>876</v>
      </c>
      <c r="AB974" s="81"/>
      <c r="AC974" s="81"/>
      <c r="AD974" s="81"/>
      <c r="AE974" s="83"/>
      <c r="AF974" s="81"/>
      <c r="AG974" s="81"/>
      <c r="AH974" s="81"/>
      <c r="AI974" s="81"/>
      <c r="AJ974" s="83"/>
      <c r="AK974" s="81"/>
      <c r="AL974" s="81"/>
      <c r="AM974" s="83"/>
      <c r="AN974" s="80"/>
      <c r="AO974" s="82" t="n">
        <f aca="false">IF(E974="","",(AA974&lt;&gt;"")+(AG974&lt;&gt;"")+(AL974&lt;&gt;""))</f>
        <v>1</v>
      </c>
      <c r="AP974" s="82" t="str">
        <f aca="false">IF(AL974&lt;&gt;"",AL974,IF(AG974&lt;&gt;"",AG974,IF(AA974&lt;&gt;"",AA974,"")))</f>
        <v>A</v>
      </c>
      <c r="AQ974" s="84" t="str">
        <f aca="false">IF(E974="","",IF(U974="","À SOUDER",IF(X974="","VT EN ATTENTE",IF(X974="R","VT REJETÉ – À REPRENDRE",IF(AP974="","À RADIOGRAPHIER",IF(AP974="A","ACCEPTÉ",IF(AP974="NX","NX – RT À REFAIRE",IF(IF(AO974=1,AD974,IF(AO974=2,AI974,""))="A","RÉPARÉ – À RADIOGRAPHIER",IF(IF(AO974=1,AD974,IF(AO974=2,AI974,""))="R","VT REJETÉ – À REPRENDRE",IF(OR(AP974="CO",AP974="NT"),"COUPE – À RESOUDER","À RÉPARER"))))))))))</f>
        <v>ACCEPTÉ</v>
      </c>
      <c r="AR974" s="82" t="str">
        <f aca="false">IF(AND(ISNUMBER(U974),OR(AQ974="À RADIOGRAPHIER",AQ974="RÉPARÉ – À RADIOGRAPHIER",AQ974="NX – RT À REFAIRE",AQ974="À RÉPARER",AQ974="COUPE – À RESOUDER",AQ974="VT REJETÉ – À REPRENDRE")),MAX(0,'PROGRAMME RT'!$C$4-U974),"")</f>
        <v/>
      </c>
      <c r="AS974" s="82" t="n">
        <f aca="false">IF(AND(OR(AQ974="À RADIOGRAPHIER",AQ974="RÉPARÉ – À RADIOGRAPHIER",AQ974="NX – RT À REFAIRE"),OR('PROGRAMME RT'!$D$5="TOUTES",B974='PROGRAMME RT'!$D$5)),1,0)</f>
        <v>0</v>
      </c>
      <c r="AT974" s="82" t="str">
        <f aca="false">IF(AS974=1,SUM(AS$7:AS974),"")</f>
        <v/>
      </c>
      <c r="AU974" s="82" t="n">
        <f aca="false">IF(AND(OR(AA974="R",AA974="NX",AA974="NT",AA974="CO"),OR('JOINTS DE RÉPARATION'!$D$5="TOUTES",B974='JOINTS DE RÉPARATION'!$D$5),OR('JOINTS DE RÉPARATION'!$L$4="TOUS",AQ974&lt;&gt;"ACCEPTÉ")),1,0)</f>
        <v>0</v>
      </c>
      <c r="AV974" s="82" t="str">
        <f aca="false">IF(AU974=1,SUM(AU$7:AU974),"")</f>
        <v/>
      </c>
      <c r="AW974" s="82" t="str">
        <f aca="false">IF(E974="","",B974&amp;"|"&amp;E974)</f>
        <v>MFD-ISW → MFD-CPF|JN°865</v>
      </c>
    </row>
    <row r="975" customFormat="false" ht="74.6" hidden="false" customHeight="false" outlineLevel="0" collapsed="false">
      <c r="A975" s="79" t="n">
        <f aca="false">IF(E975="","",ROW()-6)</f>
        <v>969</v>
      </c>
      <c r="B975" s="80" t="s">
        <v>110</v>
      </c>
      <c r="C975" s="81" t="s">
        <v>1054</v>
      </c>
      <c r="D975" s="81" t="n">
        <v>6</v>
      </c>
      <c r="E975" s="81" t="s">
        <v>1144</v>
      </c>
      <c r="F975" s="82" t="str">
        <f aca="false">IF(E975="","",IF(LEFT(E975,2)="DJ","DJ","JN"))</f>
        <v>DJ</v>
      </c>
      <c r="G975" s="81"/>
      <c r="H975" s="81" t="s">
        <v>871</v>
      </c>
      <c r="I975" s="81" t="n">
        <v>9.53</v>
      </c>
      <c r="J975" s="81" t="s">
        <v>872</v>
      </c>
      <c r="K975" s="81" t="s">
        <v>873</v>
      </c>
      <c r="L975" s="81" t="n">
        <v>2086720</v>
      </c>
      <c r="M975" s="81" t="n">
        <v>15421107</v>
      </c>
      <c r="N975" s="81" t="n">
        <v>11.94</v>
      </c>
      <c r="O975" s="81" t="n">
        <v>2090100</v>
      </c>
      <c r="P975" s="81" t="n">
        <v>15421109</v>
      </c>
      <c r="Q975" s="81" t="n">
        <v>11.94</v>
      </c>
      <c r="R975" s="81" t="s">
        <v>874</v>
      </c>
      <c r="S975" s="81"/>
      <c r="T975" s="81"/>
      <c r="U975" s="83" t="n">
        <v>46281</v>
      </c>
      <c r="V975" s="83" t="n">
        <v>46281</v>
      </c>
      <c r="W975" s="81" t="s">
        <v>1094</v>
      </c>
      <c r="X975" s="81" t="s">
        <v>876</v>
      </c>
      <c r="Y975" s="83" t="n">
        <v>46282</v>
      </c>
      <c r="Z975" s="81" t="s">
        <v>1095</v>
      </c>
      <c r="AA975" s="81" t="s">
        <v>876</v>
      </c>
      <c r="AB975" s="81"/>
      <c r="AC975" s="81"/>
      <c r="AD975" s="81"/>
      <c r="AE975" s="83"/>
      <c r="AF975" s="81"/>
      <c r="AG975" s="81"/>
      <c r="AH975" s="81"/>
      <c r="AI975" s="81"/>
      <c r="AJ975" s="83"/>
      <c r="AK975" s="81"/>
      <c r="AL975" s="81"/>
      <c r="AM975" s="83"/>
      <c r="AN975" s="80"/>
      <c r="AO975" s="82" t="n">
        <f aca="false">IF(E975="","",(AA975&lt;&gt;"")+(AG975&lt;&gt;"")+(AL975&lt;&gt;""))</f>
        <v>1</v>
      </c>
      <c r="AP975" s="82" t="str">
        <f aca="false">IF(AL975&lt;&gt;"",AL975,IF(AG975&lt;&gt;"",AG975,IF(AA975&lt;&gt;"",AA975,"")))</f>
        <v>A</v>
      </c>
      <c r="AQ975" s="84" t="str">
        <f aca="false">IF(E975="","",IF(U975="","À SOUDER",IF(X975="","VT EN ATTENTE",IF(X975="R","VT REJETÉ – À REPRENDRE",IF(AP975="","À RADIOGRAPHIER",IF(AP975="A","ACCEPTÉ",IF(AP975="NX","NX – RT À REFAIRE",IF(IF(AO975=1,AD975,IF(AO975=2,AI975,""))="A","RÉPARÉ – À RADIOGRAPHIER",IF(IF(AO975=1,AD975,IF(AO975=2,AI975,""))="R","VT REJETÉ – À REPRENDRE",IF(OR(AP975="CO",AP975="NT"),"COUPE – À RESOUDER","À RÉPARER"))))))))))</f>
        <v>ACCEPTÉ</v>
      </c>
      <c r="AR975" s="82" t="str">
        <f aca="false">IF(AND(ISNUMBER(U975),OR(AQ975="À RADIOGRAPHIER",AQ975="RÉPARÉ – À RADIOGRAPHIER",AQ975="NX – RT À REFAIRE",AQ975="À RÉPARER",AQ975="COUPE – À RESOUDER",AQ975="VT REJETÉ – À REPRENDRE")),MAX(0,'PROGRAMME RT'!$C$4-U975),"")</f>
        <v/>
      </c>
      <c r="AS975" s="82" t="n">
        <f aca="false">IF(AND(OR(AQ975="À RADIOGRAPHIER",AQ975="RÉPARÉ – À RADIOGRAPHIER",AQ975="NX – RT À REFAIRE"),OR('PROGRAMME RT'!$D$5="TOUTES",B975='PROGRAMME RT'!$D$5)),1,0)</f>
        <v>0</v>
      </c>
      <c r="AT975" s="82" t="str">
        <f aca="false">IF(AS975=1,SUM(AS$7:AS975),"")</f>
        <v/>
      </c>
      <c r="AU975" s="82" t="n">
        <f aca="false">IF(AND(OR(AA975="R",AA975="NX",AA975="NT",AA975="CO"),OR('JOINTS DE RÉPARATION'!$D$5="TOUTES",B975='JOINTS DE RÉPARATION'!$D$5),OR('JOINTS DE RÉPARATION'!$L$4="TOUS",AQ975&lt;&gt;"ACCEPTÉ")),1,0)</f>
        <v>0</v>
      </c>
      <c r="AV975" s="82" t="str">
        <f aca="false">IF(AU975=1,SUM(AU$7:AU975),"")</f>
        <v/>
      </c>
      <c r="AW975" s="82" t="str">
        <f aca="false">IF(E975="","",B975&amp;"|"&amp;E975)</f>
        <v>MFD-ISW → MFD-CPF|DJ°413</v>
      </c>
    </row>
    <row r="976" customFormat="false" ht="74.6" hidden="false" customHeight="false" outlineLevel="0" collapsed="false">
      <c r="A976" s="79" t="n">
        <f aca="false">IF(E976="","",ROW()-6)</f>
        <v>970</v>
      </c>
      <c r="B976" s="80" t="s">
        <v>110</v>
      </c>
      <c r="C976" s="81" t="s">
        <v>1054</v>
      </c>
      <c r="D976" s="81" t="n">
        <v>6</v>
      </c>
      <c r="E976" s="81" t="s">
        <v>1145</v>
      </c>
      <c r="F976" s="82" t="str">
        <f aca="false">IF(E976="","",IF(LEFT(E976,2)="DJ","DJ","JN"))</f>
        <v>JN</v>
      </c>
      <c r="G976" s="81"/>
      <c r="H976" s="81" t="s">
        <v>871</v>
      </c>
      <c r="I976" s="81" t="n">
        <v>9.53</v>
      </c>
      <c r="J976" s="81" t="s">
        <v>872</v>
      </c>
      <c r="K976" s="81" t="s">
        <v>879</v>
      </c>
      <c r="L976" s="81" t="n">
        <v>2090100</v>
      </c>
      <c r="M976" s="81" t="n">
        <v>15421109</v>
      </c>
      <c r="N976" s="81" t="n">
        <v>11.94</v>
      </c>
      <c r="O976" s="81" t="n">
        <v>2078940</v>
      </c>
      <c r="P976" s="81" t="n">
        <v>15421101</v>
      </c>
      <c r="Q976" s="81" t="n">
        <v>11.94</v>
      </c>
      <c r="R976" s="81" t="s">
        <v>935</v>
      </c>
      <c r="S976" s="81"/>
      <c r="T976" s="81"/>
      <c r="U976" s="83" t="n">
        <v>46285</v>
      </c>
      <c r="V976" s="83" t="n">
        <v>46285</v>
      </c>
      <c r="W976" s="81" t="s">
        <v>1129</v>
      </c>
      <c r="X976" s="81" t="s">
        <v>876</v>
      </c>
      <c r="Y976" s="83" t="n">
        <v>46292</v>
      </c>
      <c r="Z976" s="81" t="s">
        <v>1139</v>
      </c>
      <c r="AA976" s="81" t="s">
        <v>876</v>
      </c>
      <c r="AB976" s="81"/>
      <c r="AC976" s="81"/>
      <c r="AD976" s="81"/>
      <c r="AE976" s="83"/>
      <c r="AF976" s="81"/>
      <c r="AG976" s="81"/>
      <c r="AH976" s="81"/>
      <c r="AI976" s="81"/>
      <c r="AJ976" s="83"/>
      <c r="AK976" s="81"/>
      <c r="AL976" s="81"/>
      <c r="AM976" s="83"/>
      <c r="AN976" s="80"/>
      <c r="AO976" s="82" t="n">
        <f aca="false">IF(E976="","",(AA976&lt;&gt;"")+(AG976&lt;&gt;"")+(AL976&lt;&gt;""))</f>
        <v>1</v>
      </c>
      <c r="AP976" s="82" t="str">
        <f aca="false">IF(AL976&lt;&gt;"",AL976,IF(AG976&lt;&gt;"",AG976,IF(AA976&lt;&gt;"",AA976,"")))</f>
        <v>A</v>
      </c>
      <c r="AQ976" s="84" t="str">
        <f aca="false">IF(E976="","",IF(U976="","À SOUDER",IF(X976="","VT EN ATTENTE",IF(X976="R","VT REJETÉ – À REPRENDRE",IF(AP976="","À RADIOGRAPHIER",IF(AP976="A","ACCEPTÉ",IF(AP976="NX","NX – RT À REFAIRE",IF(IF(AO976=1,AD976,IF(AO976=2,AI976,""))="A","RÉPARÉ – À RADIOGRAPHIER",IF(IF(AO976=1,AD976,IF(AO976=2,AI976,""))="R","VT REJETÉ – À REPRENDRE",IF(OR(AP976="CO",AP976="NT"),"COUPE – À RESOUDER","À RÉPARER"))))))))))</f>
        <v>ACCEPTÉ</v>
      </c>
      <c r="AR976" s="82" t="str">
        <f aca="false">IF(AND(ISNUMBER(U976),OR(AQ976="À RADIOGRAPHIER",AQ976="RÉPARÉ – À RADIOGRAPHIER",AQ976="NX – RT À REFAIRE",AQ976="À RÉPARER",AQ976="COUPE – À RESOUDER",AQ976="VT REJETÉ – À REPRENDRE")),MAX(0,'PROGRAMME RT'!$C$4-U976),"")</f>
        <v/>
      </c>
      <c r="AS976" s="82" t="n">
        <f aca="false">IF(AND(OR(AQ976="À RADIOGRAPHIER",AQ976="RÉPARÉ – À RADIOGRAPHIER",AQ976="NX – RT À REFAIRE"),OR('PROGRAMME RT'!$D$5="TOUTES",B976='PROGRAMME RT'!$D$5)),1,0)</f>
        <v>0</v>
      </c>
      <c r="AT976" s="82" t="str">
        <f aca="false">IF(AS976=1,SUM(AS$7:AS976),"")</f>
        <v/>
      </c>
      <c r="AU976" s="82" t="n">
        <f aca="false">IF(AND(OR(AA976="R",AA976="NX",AA976="NT",AA976="CO"),OR('JOINTS DE RÉPARATION'!$D$5="TOUTES",B976='JOINTS DE RÉPARATION'!$D$5),OR('JOINTS DE RÉPARATION'!$L$4="TOUS",AQ976&lt;&gt;"ACCEPTÉ")),1,0)</f>
        <v>0</v>
      </c>
      <c r="AV976" s="82" t="str">
        <f aca="false">IF(AU976=1,SUM(AU$7:AU976),"")</f>
        <v/>
      </c>
      <c r="AW976" s="82" t="str">
        <f aca="false">IF(E976="","",B976&amp;"|"&amp;E976)</f>
        <v>MFD-ISW → MFD-CPF|JN°866</v>
      </c>
    </row>
    <row r="977" customFormat="false" ht="74.6" hidden="false" customHeight="false" outlineLevel="0" collapsed="false">
      <c r="A977" s="79" t="n">
        <f aca="false">IF(E977="","",ROW()-6)</f>
        <v>971</v>
      </c>
      <c r="B977" s="80" t="s">
        <v>110</v>
      </c>
      <c r="C977" s="81" t="s">
        <v>1054</v>
      </c>
      <c r="D977" s="81" t="n">
        <v>6</v>
      </c>
      <c r="E977" s="81" t="s">
        <v>1146</v>
      </c>
      <c r="F977" s="82" t="str">
        <f aca="false">IF(E977="","",IF(LEFT(E977,2)="DJ","DJ","JN"))</f>
        <v>DJ</v>
      </c>
      <c r="G977" s="81"/>
      <c r="H977" s="81" t="s">
        <v>871</v>
      </c>
      <c r="I977" s="81" t="n">
        <v>9.53</v>
      </c>
      <c r="J977" s="81" t="s">
        <v>872</v>
      </c>
      <c r="K977" s="81" t="s">
        <v>873</v>
      </c>
      <c r="L977" s="81" t="n">
        <v>2078940</v>
      </c>
      <c r="M977" s="81" t="n">
        <v>1542111</v>
      </c>
      <c r="N977" s="81" t="n">
        <v>11.94</v>
      </c>
      <c r="O977" s="81" t="n">
        <v>2086410</v>
      </c>
      <c r="P977" s="81" t="n">
        <v>15421107</v>
      </c>
      <c r="Q977" s="81" t="n">
        <v>11.94</v>
      </c>
      <c r="R977" s="81" t="s">
        <v>1147</v>
      </c>
      <c r="S977" s="81"/>
      <c r="T977" s="81"/>
      <c r="U977" s="83" t="n">
        <v>46276</v>
      </c>
      <c r="V977" s="83" t="n">
        <v>46276</v>
      </c>
      <c r="W977" s="81" t="s">
        <v>1148</v>
      </c>
      <c r="X977" s="81" t="s">
        <v>876</v>
      </c>
      <c r="Y977" s="83" t="n">
        <v>46280</v>
      </c>
      <c r="Z977" s="81" t="s">
        <v>1149</v>
      </c>
      <c r="AA977" s="81" t="s">
        <v>876</v>
      </c>
      <c r="AB977" s="81"/>
      <c r="AC977" s="81"/>
      <c r="AD977" s="81"/>
      <c r="AE977" s="83"/>
      <c r="AF977" s="81"/>
      <c r="AG977" s="81"/>
      <c r="AH977" s="81"/>
      <c r="AI977" s="81"/>
      <c r="AJ977" s="83"/>
      <c r="AK977" s="81"/>
      <c r="AL977" s="81"/>
      <c r="AM977" s="83"/>
      <c r="AN977" s="80"/>
      <c r="AO977" s="82" t="n">
        <f aca="false">IF(E977="","",(AA977&lt;&gt;"")+(AG977&lt;&gt;"")+(AL977&lt;&gt;""))</f>
        <v>1</v>
      </c>
      <c r="AP977" s="82" t="str">
        <f aca="false">IF(AL977&lt;&gt;"",AL977,IF(AG977&lt;&gt;"",AG977,IF(AA977&lt;&gt;"",AA977,"")))</f>
        <v>A</v>
      </c>
      <c r="AQ977" s="84" t="str">
        <f aca="false">IF(E977="","",IF(U977="","À SOUDER",IF(X977="","VT EN ATTENTE",IF(X977="R","VT REJETÉ – À REPRENDRE",IF(AP977="","À RADIOGRAPHIER",IF(AP977="A","ACCEPTÉ",IF(AP977="NX","NX – RT À REFAIRE",IF(IF(AO977=1,AD977,IF(AO977=2,AI977,""))="A","RÉPARÉ – À RADIOGRAPHIER",IF(IF(AO977=1,AD977,IF(AO977=2,AI977,""))="R","VT REJETÉ – À REPRENDRE",IF(OR(AP977="CO",AP977="NT"),"COUPE – À RESOUDER","À RÉPARER"))))))))))</f>
        <v>ACCEPTÉ</v>
      </c>
      <c r="AR977" s="82" t="str">
        <f aca="false">IF(AND(ISNUMBER(U977),OR(AQ977="À RADIOGRAPHIER",AQ977="RÉPARÉ – À RADIOGRAPHIER",AQ977="NX – RT À REFAIRE",AQ977="À RÉPARER",AQ977="COUPE – À RESOUDER",AQ977="VT REJETÉ – À REPRENDRE")),MAX(0,'PROGRAMME RT'!$C$4-U977),"")</f>
        <v/>
      </c>
      <c r="AS977" s="82" t="n">
        <f aca="false">IF(AND(OR(AQ977="À RADIOGRAPHIER",AQ977="RÉPARÉ – À RADIOGRAPHIER",AQ977="NX – RT À REFAIRE"),OR('PROGRAMME RT'!$D$5="TOUTES",B977='PROGRAMME RT'!$D$5)),1,0)</f>
        <v>0</v>
      </c>
      <c r="AT977" s="82" t="str">
        <f aca="false">IF(AS977=1,SUM(AS$7:AS977),"")</f>
        <v/>
      </c>
      <c r="AU977" s="82" t="n">
        <f aca="false">IF(AND(OR(AA977="R",AA977="NX",AA977="NT",AA977="CO"),OR('JOINTS DE RÉPARATION'!$D$5="TOUTES",B977='JOINTS DE RÉPARATION'!$D$5),OR('JOINTS DE RÉPARATION'!$L$4="TOUS",AQ977&lt;&gt;"ACCEPTÉ")),1,0)</f>
        <v>0</v>
      </c>
      <c r="AV977" s="82" t="str">
        <f aca="false">IF(AU977=1,SUM(AU$7:AU977),"")</f>
        <v/>
      </c>
      <c r="AW977" s="82" t="str">
        <f aca="false">IF(E977="","",B977&amp;"|"&amp;E977)</f>
        <v>MFD-ISW → MFD-CPF|DJ°341</v>
      </c>
    </row>
    <row r="978" customFormat="false" ht="74.6" hidden="false" customHeight="false" outlineLevel="0" collapsed="false">
      <c r="A978" s="79" t="n">
        <f aca="false">IF(E978="","",ROW()-6)</f>
        <v>972</v>
      </c>
      <c r="B978" s="80" t="s">
        <v>110</v>
      </c>
      <c r="C978" s="81" t="s">
        <v>1054</v>
      </c>
      <c r="D978" s="81" t="n">
        <v>6</v>
      </c>
      <c r="E978" s="81" t="s">
        <v>1150</v>
      </c>
      <c r="F978" s="82" t="str">
        <f aca="false">IF(E978="","",IF(LEFT(E978,2)="DJ","DJ","JN"))</f>
        <v>JN</v>
      </c>
      <c r="G978" s="81"/>
      <c r="H978" s="81" t="s">
        <v>871</v>
      </c>
      <c r="I978" s="81" t="n">
        <v>9.53</v>
      </c>
      <c r="J978" s="81" t="s">
        <v>872</v>
      </c>
      <c r="K978" s="81" t="s">
        <v>879</v>
      </c>
      <c r="L978" s="81" t="n">
        <v>2086410</v>
      </c>
      <c r="M978" s="81" t="n">
        <v>15421107</v>
      </c>
      <c r="N978" s="81" t="n">
        <v>11.94</v>
      </c>
      <c r="O978" s="81" t="n">
        <v>2081780</v>
      </c>
      <c r="P978" s="81" t="n">
        <v>15421106</v>
      </c>
      <c r="Q978" s="81" t="n">
        <v>11.94</v>
      </c>
      <c r="R978" s="81" t="s">
        <v>1151</v>
      </c>
      <c r="S978" s="81"/>
      <c r="T978" s="81"/>
      <c r="U978" s="83" t="n">
        <v>46284</v>
      </c>
      <c r="V978" s="83" t="n">
        <v>46284</v>
      </c>
      <c r="W978" s="81" t="s">
        <v>1152</v>
      </c>
      <c r="X978" s="81" t="s">
        <v>876</v>
      </c>
      <c r="Y978" s="83"/>
      <c r="Z978" s="81"/>
      <c r="AA978" s="81" t="s">
        <v>1153</v>
      </c>
      <c r="AB978" s="81"/>
      <c r="AC978" s="81"/>
      <c r="AD978" s="81"/>
      <c r="AE978" s="83"/>
      <c r="AF978" s="81"/>
      <c r="AG978" s="81"/>
      <c r="AH978" s="81"/>
      <c r="AI978" s="81"/>
      <c r="AJ978" s="83"/>
      <c r="AK978" s="81"/>
      <c r="AL978" s="81"/>
      <c r="AM978" s="83"/>
      <c r="AN978" s="80"/>
      <c r="AO978" s="82" t="n">
        <f aca="false">IF(E978="","",(AA978&lt;&gt;"")+(AG978&lt;&gt;"")+(AL978&lt;&gt;""))</f>
        <v>1</v>
      </c>
      <c r="AP978" s="82" t="str">
        <f aca="false">IF(AL978&lt;&gt;"",AL978,IF(AG978&lt;&gt;"",AG978,IF(AA978&lt;&gt;"",AA978,"")))</f>
        <v>NX</v>
      </c>
      <c r="AQ978" s="84" t="str">
        <f aca="false">IF(E978="","",IF(U978="","À SOUDER",IF(X978="","VT EN ATTENTE",IF(X978="R","VT REJETÉ – À REPRENDRE",IF(AP978="","À RADIOGRAPHIER",IF(AP978="A","ACCEPTÉ",IF(AP978="NX","NX – RT À REFAIRE",IF(IF(AO978=1,AD978,IF(AO978=2,AI978,""))="A","RÉPARÉ – À RADIOGRAPHIER",IF(IF(AO978=1,AD978,IF(AO978=2,AI978,""))="R","VT REJETÉ – À REPRENDRE",IF(OR(AP978="CO",AP978="NT"),"COUPE – À RESOUDER","À RÉPARER"))))))))))</f>
        <v>NX – RT À REFAIRE</v>
      </c>
      <c r="AR978" s="82" t="n">
        <f aca="false">IF(AND(ISNUMBER(U978),OR(AQ978="À RADIOGRAPHIER",AQ978="RÉPARÉ – À RADIOGRAPHIER",AQ978="NX – RT À REFAIRE",AQ978="À RÉPARER",AQ978="COUPE – À RESOUDER",AQ978="VT REJETÉ – À REPRENDRE")),MAX(0,'PROGRAMME RT'!$C$4-U978),"")</f>
        <v>9</v>
      </c>
      <c r="AS978" s="82" t="n">
        <f aca="false">IF(AND(OR(AQ978="À RADIOGRAPHIER",AQ978="RÉPARÉ – À RADIOGRAPHIER",AQ978="NX – RT À REFAIRE"),OR('PROGRAMME RT'!$D$5="TOUTES",B978='PROGRAMME RT'!$D$5)),1,0)</f>
        <v>1</v>
      </c>
      <c r="AT978" s="82" t="n">
        <f aca="false">IF(AS978=1,SUM(AS$7:AS978),"")</f>
        <v>66</v>
      </c>
      <c r="AU978" s="82" t="n">
        <f aca="false">IF(AND(OR(AA978="R",AA978="NX",AA978="NT",AA978="CO"),OR('JOINTS DE RÉPARATION'!$D$5="TOUTES",B978='JOINTS DE RÉPARATION'!$D$5),OR('JOINTS DE RÉPARATION'!$L$4="TOUS",AQ978&lt;&gt;"ACCEPTÉ")),1,0)</f>
        <v>1</v>
      </c>
      <c r="AV978" s="82" t="n">
        <f aca="false">IF(AU978=1,SUM(AU$7:AU978),"")</f>
        <v>3</v>
      </c>
      <c r="AW978" s="82" t="str">
        <f aca="false">IF(E978="","",B978&amp;"|"&amp;E978)</f>
        <v>MFD-ISW → MFD-CPF|JN°867</v>
      </c>
    </row>
    <row r="979" customFormat="false" ht="74.6" hidden="false" customHeight="false" outlineLevel="0" collapsed="false">
      <c r="A979" s="79" t="n">
        <f aca="false">IF(E979="","",ROW()-6)</f>
        <v>973</v>
      </c>
      <c r="B979" s="80" t="s">
        <v>110</v>
      </c>
      <c r="C979" s="81" t="s">
        <v>1054</v>
      </c>
      <c r="D979" s="81" t="n">
        <v>6</v>
      </c>
      <c r="E979" s="81" t="s">
        <v>1154</v>
      </c>
      <c r="F979" s="82" t="str">
        <f aca="false">IF(E979="","",IF(LEFT(E979,2)="DJ","DJ","JN"))</f>
        <v>DJ</v>
      </c>
      <c r="G979" s="81"/>
      <c r="H979" s="81" t="s">
        <v>871</v>
      </c>
      <c r="I979" s="81" t="n">
        <v>9.53</v>
      </c>
      <c r="J979" s="81" t="s">
        <v>872</v>
      </c>
      <c r="K979" s="81" t="s">
        <v>873</v>
      </c>
      <c r="L979" s="81" t="n">
        <v>2081780</v>
      </c>
      <c r="M979" s="81" t="n">
        <v>15421106</v>
      </c>
      <c r="N979" s="81" t="n">
        <v>11.94</v>
      </c>
      <c r="O979" s="81" t="n">
        <v>2088710</v>
      </c>
      <c r="P979" s="81" t="n">
        <v>1542408</v>
      </c>
      <c r="Q979" s="81" t="n">
        <v>11.94</v>
      </c>
      <c r="R979" s="81" t="s">
        <v>874</v>
      </c>
      <c r="S979" s="81"/>
      <c r="T979" s="81"/>
      <c r="U979" s="83" t="n">
        <v>46281</v>
      </c>
      <c r="V979" s="83" t="n">
        <v>46281</v>
      </c>
      <c r="W979" s="81" t="s">
        <v>1094</v>
      </c>
      <c r="X979" s="81" t="s">
        <v>876</v>
      </c>
      <c r="Y979" s="83" t="n">
        <v>46282</v>
      </c>
      <c r="Z979" s="81" t="s">
        <v>1095</v>
      </c>
      <c r="AA979" s="81" t="s">
        <v>876</v>
      </c>
      <c r="AB979" s="81"/>
      <c r="AC979" s="81"/>
      <c r="AD979" s="81"/>
      <c r="AE979" s="83"/>
      <c r="AF979" s="81"/>
      <c r="AG979" s="81"/>
      <c r="AH979" s="81"/>
      <c r="AI979" s="81"/>
      <c r="AJ979" s="83"/>
      <c r="AK979" s="81"/>
      <c r="AL979" s="81"/>
      <c r="AM979" s="83"/>
      <c r="AN979" s="80"/>
      <c r="AO979" s="82" t="n">
        <f aca="false">IF(E979="","",(AA979&lt;&gt;"")+(AG979&lt;&gt;"")+(AL979&lt;&gt;""))</f>
        <v>1</v>
      </c>
      <c r="AP979" s="82" t="str">
        <f aca="false">IF(AL979&lt;&gt;"",AL979,IF(AG979&lt;&gt;"",AG979,IF(AA979&lt;&gt;"",AA979,"")))</f>
        <v>A</v>
      </c>
      <c r="AQ979" s="84" t="str">
        <f aca="false">IF(E979="","",IF(U979="","À SOUDER",IF(X979="","VT EN ATTENTE",IF(X979="R","VT REJETÉ – À REPRENDRE",IF(AP979="","À RADIOGRAPHIER",IF(AP979="A","ACCEPTÉ",IF(AP979="NX","NX – RT À REFAIRE",IF(IF(AO979=1,AD979,IF(AO979=2,AI979,""))="A","RÉPARÉ – À RADIOGRAPHIER",IF(IF(AO979=1,AD979,IF(AO979=2,AI979,""))="R","VT REJETÉ – À REPRENDRE",IF(OR(AP979="CO",AP979="NT"),"COUPE – À RESOUDER","À RÉPARER"))))))))))</f>
        <v>ACCEPTÉ</v>
      </c>
      <c r="AR979" s="82" t="str">
        <f aca="false">IF(AND(ISNUMBER(U979),OR(AQ979="À RADIOGRAPHIER",AQ979="RÉPARÉ – À RADIOGRAPHIER",AQ979="NX – RT À REFAIRE",AQ979="À RÉPARER",AQ979="COUPE – À RESOUDER",AQ979="VT REJETÉ – À REPRENDRE")),MAX(0,'PROGRAMME RT'!$C$4-U979),"")</f>
        <v/>
      </c>
      <c r="AS979" s="82" t="n">
        <f aca="false">IF(AND(OR(AQ979="À RADIOGRAPHIER",AQ979="RÉPARÉ – À RADIOGRAPHIER",AQ979="NX – RT À REFAIRE"),OR('PROGRAMME RT'!$D$5="TOUTES",B979='PROGRAMME RT'!$D$5)),1,0)</f>
        <v>0</v>
      </c>
      <c r="AT979" s="82" t="str">
        <f aca="false">IF(AS979=1,SUM(AS$7:AS979),"")</f>
        <v/>
      </c>
      <c r="AU979" s="82" t="n">
        <f aca="false">IF(AND(OR(AA979="R",AA979="NX",AA979="NT",AA979="CO"),OR('JOINTS DE RÉPARATION'!$D$5="TOUTES",B979='JOINTS DE RÉPARATION'!$D$5),OR('JOINTS DE RÉPARATION'!$L$4="TOUS",AQ979&lt;&gt;"ACCEPTÉ")),1,0)</f>
        <v>0</v>
      </c>
      <c r="AV979" s="82" t="str">
        <f aca="false">IF(AU979=1,SUM(AU$7:AU979),"")</f>
        <v/>
      </c>
      <c r="AW979" s="82" t="str">
        <f aca="false">IF(E979="","",B979&amp;"|"&amp;E979)</f>
        <v>MFD-ISW → MFD-CPF|DJ°410</v>
      </c>
    </row>
    <row r="980" customFormat="false" ht="74.6" hidden="false" customHeight="false" outlineLevel="0" collapsed="false">
      <c r="A980" s="79" t="n">
        <f aca="false">IF(E980="","",ROW()-6)</f>
        <v>974</v>
      </c>
      <c r="B980" s="80" t="s">
        <v>110</v>
      </c>
      <c r="C980" s="81" t="s">
        <v>1054</v>
      </c>
      <c r="D980" s="81" t="n">
        <v>6</v>
      </c>
      <c r="E980" s="81" t="s">
        <v>1155</v>
      </c>
      <c r="F980" s="82" t="str">
        <f aca="false">IF(E980="","",IF(LEFT(E980,2)="DJ","DJ","JN"))</f>
        <v>JN</v>
      </c>
      <c r="G980" s="81"/>
      <c r="H980" s="81" t="s">
        <v>871</v>
      </c>
      <c r="I980" s="81" t="n">
        <v>9.53</v>
      </c>
      <c r="J980" s="81" t="s">
        <v>872</v>
      </c>
      <c r="K980" s="81" t="s">
        <v>879</v>
      </c>
      <c r="L980" s="81" t="n">
        <v>2088710</v>
      </c>
      <c r="M980" s="81" t="n">
        <v>1542408</v>
      </c>
      <c r="N980" s="81" t="n">
        <v>11.94</v>
      </c>
      <c r="O980" s="81" t="n">
        <v>2085070</v>
      </c>
      <c r="P980" s="81" t="n">
        <v>15421106</v>
      </c>
      <c r="Q980" s="81" t="n">
        <v>11.94</v>
      </c>
      <c r="R980" s="81" t="s">
        <v>1151</v>
      </c>
      <c r="S980" s="81"/>
      <c r="T980" s="81"/>
      <c r="U980" s="83" t="n">
        <v>46284</v>
      </c>
      <c r="V980" s="83" t="n">
        <v>46284</v>
      </c>
      <c r="W980" s="81" t="s">
        <v>1152</v>
      </c>
      <c r="X980" s="81" t="s">
        <v>876</v>
      </c>
      <c r="Y980" s="83" t="n">
        <v>46292</v>
      </c>
      <c r="Z980" s="81" t="s">
        <v>1139</v>
      </c>
      <c r="AA980" s="81" t="s">
        <v>876</v>
      </c>
      <c r="AB980" s="81"/>
      <c r="AC980" s="81"/>
      <c r="AD980" s="81"/>
      <c r="AE980" s="83"/>
      <c r="AF980" s="81"/>
      <c r="AG980" s="81"/>
      <c r="AH980" s="81"/>
      <c r="AI980" s="81"/>
      <c r="AJ980" s="83"/>
      <c r="AK980" s="81"/>
      <c r="AL980" s="81"/>
      <c r="AM980" s="83"/>
      <c r="AN980" s="80"/>
      <c r="AO980" s="82" t="n">
        <f aca="false">IF(E980="","",(AA980&lt;&gt;"")+(AG980&lt;&gt;"")+(AL980&lt;&gt;""))</f>
        <v>1</v>
      </c>
      <c r="AP980" s="82" t="str">
        <f aca="false">IF(AL980&lt;&gt;"",AL980,IF(AG980&lt;&gt;"",AG980,IF(AA980&lt;&gt;"",AA980,"")))</f>
        <v>A</v>
      </c>
      <c r="AQ980" s="84" t="str">
        <f aca="false">IF(E980="","",IF(U980="","À SOUDER",IF(X980="","VT EN ATTENTE",IF(X980="R","VT REJETÉ – À REPRENDRE",IF(AP980="","À RADIOGRAPHIER",IF(AP980="A","ACCEPTÉ",IF(AP980="NX","NX – RT À REFAIRE",IF(IF(AO980=1,AD980,IF(AO980=2,AI980,""))="A","RÉPARÉ – À RADIOGRAPHIER",IF(IF(AO980=1,AD980,IF(AO980=2,AI980,""))="R","VT REJETÉ – À REPRENDRE",IF(OR(AP980="CO",AP980="NT"),"COUPE – À RESOUDER","À RÉPARER"))))))))))</f>
        <v>ACCEPTÉ</v>
      </c>
      <c r="AR980" s="82" t="str">
        <f aca="false">IF(AND(ISNUMBER(U980),OR(AQ980="À RADIOGRAPHIER",AQ980="RÉPARÉ – À RADIOGRAPHIER",AQ980="NX – RT À REFAIRE",AQ980="À RÉPARER",AQ980="COUPE – À RESOUDER",AQ980="VT REJETÉ – À REPRENDRE")),MAX(0,'PROGRAMME RT'!$C$4-U980),"")</f>
        <v/>
      </c>
      <c r="AS980" s="82" t="n">
        <f aca="false">IF(AND(OR(AQ980="À RADIOGRAPHIER",AQ980="RÉPARÉ – À RADIOGRAPHIER",AQ980="NX – RT À REFAIRE"),OR('PROGRAMME RT'!$D$5="TOUTES",B980='PROGRAMME RT'!$D$5)),1,0)</f>
        <v>0</v>
      </c>
      <c r="AT980" s="82" t="str">
        <f aca="false">IF(AS980=1,SUM(AS$7:AS980),"")</f>
        <v/>
      </c>
      <c r="AU980" s="82" t="n">
        <f aca="false">IF(AND(OR(AA980="R",AA980="NX",AA980="NT",AA980="CO"),OR('JOINTS DE RÉPARATION'!$D$5="TOUTES",B980='JOINTS DE RÉPARATION'!$D$5),OR('JOINTS DE RÉPARATION'!$L$4="TOUS",AQ980&lt;&gt;"ACCEPTÉ")),1,0)</f>
        <v>0</v>
      </c>
      <c r="AV980" s="82" t="str">
        <f aca="false">IF(AU980=1,SUM(AU$7:AU980),"")</f>
        <v/>
      </c>
      <c r="AW980" s="82" t="str">
        <f aca="false">IF(E980="","",B980&amp;"|"&amp;E980)</f>
        <v>MFD-ISW → MFD-CPF|JN°868</v>
      </c>
    </row>
    <row r="981" customFormat="false" ht="74.6" hidden="false" customHeight="false" outlineLevel="0" collapsed="false">
      <c r="A981" s="79" t="n">
        <f aca="false">IF(E981="","",ROW()-6)</f>
        <v>975</v>
      </c>
      <c r="B981" s="80" t="s">
        <v>110</v>
      </c>
      <c r="C981" s="81" t="s">
        <v>1054</v>
      </c>
      <c r="D981" s="81" t="n">
        <v>6</v>
      </c>
      <c r="E981" s="81" t="s">
        <v>1156</v>
      </c>
      <c r="F981" s="82" t="str">
        <f aca="false">IF(E981="","",IF(LEFT(E981,2)="DJ","DJ","JN"))</f>
        <v>DJ</v>
      </c>
      <c r="G981" s="81"/>
      <c r="H981" s="81" t="s">
        <v>871</v>
      </c>
      <c r="I981" s="81" t="n">
        <v>9.53</v>
      </c>
      <c r="J981" s="81" t="s">
        <v>872</v>
      </c>
      <c r="K981" s="81" t="s">
        <v>873</v>
      </c>
      <c r="L981" s="81" t="n">
        <v>2085070</v>
      </c>
      <c r="M981" s="81" t="n">
        <v>15421106</v>
      </c>
      <c r="N981" s="81" t="n">
        <v>11.94</v>
      </c>
      <c r="O981" s="81" t="n">
        <v>2082260</v>
      </c>
      <c r="P981" s="81" t="n">
        <v>15421104</v>
      </c>
      <c r="Q981" s="81" t="n">
        <v>11.94</v>
      </c>
      <c r="R981" s="81" t="s">
        <v>874</v>
      </c>
      <c r="S981" s="81"/>
      <c r="T981" s="81"/>
      <c r="U981" s="83" t="n">
        <v>46281</v>
      </c>
      <c r="V981" s="83" t="n">
        <v>46281</v>
      </c>
      <c r="W981" s="81" t="s">
        <v>1094</v>
      </c>
      <c r="X981" s="81" t="s">
        <v>876</v>
      </c>
      <c r="Y981" s="83" t="n">
        <v>46282</v>
      </c>
      <c r="Z981" s="81" t="s">
        <v>1095</v>
      </c>
      <c r="AA981" s="81" t="s">
        <v>876</v>
      </c>
      <c r="AB981" s="81"/>
      <c r="AC981" s="81"/>
      <c r="AD981" s="81"/>
      <c r="AE981" s="83"/>
      <c r="AF981" s="81"/>
      <c r="AG981" s="81"/>
      <c r="AH981" s="81"/>
      <c r="AI981" s="81"/>
      <c r="AJ981" s="83"/>
      <c r="AK981" s="81"/>
      <c r="AL981" s="81"/>
      <c r="AM981" s="83"/>
      <c r="AN981" s="80"/>
      <c r="AO981" s="82" t="n">
        <f aca="false">IF(E981="","",(AA981&lt;&gt;"")+(AG981&lt;&gt;"")+(AL981&lt;&gt;""))</f>
        <v>1</v>
      </c>
      <c r="AP981" s="82" t="str">
        <f aca="false">IF(AL981&lt;&gt;"",AL981,IF(AG981&lt;&gt;"",AG981,IF(AA981&lt;&gt;"",AA981,"")))</f>
        <v>A</v>
      </c>
      <c r="AQ981" s="84" t="str">
        <f aca="false">IF(E981="","",IF(U981="","À SOUDER",IF(X981="","VT EN ATTENTE",IF(X981="R","VT REJETÉ – À REPRENDRE",IF(AP981="","À RADIOGRAPHIER",IF(AP981="A","ACCEPTÉ",IF(AP981="NX","NX – RT À REFAIRE",IF(IF(AO981=1,AD981,IF(AO981=2,AI981,""))="A","RÉPARÉ – À RADIOGRAPHIER",IF(IF(AO981=1,AD981,IF(AO981=2,AI981,""))="R","VT REJETÉ – À REPRENDRE",IF(OR(AP981="CO",AP981="NT"),"COUPE – À RESOUDER","À RÉPARER"))))))))))</f>
        <v>ACCEPTÉ</v>
      </c>
      <c r="AR981" s="82" t="str">
        <f aca="false">IF(AND(ISNUMBER(U981),OR(AQ981="À RADIOGRAPHIER",AQ981="RÉPARÉ – À RADIOGRAPHIER",AQ981="NX – RT À REFAIRE",AQ981="À RÉPARER",AQ981="COUPE – À RESOUDER",AQ981="VT REJETÉ – À REPRENDRE")),MAX(0,'PROGRAMME RT'!$C$4-U981),"")</f>
        <v/>
      </c>
      <c r="AS981" s="82" t="n">
        <f aca="false">IF(AND(OR(AQ981="À RADIOGRAPHIER",AQ981="RÉPARÉ – À RADIOGRAPHIER",AQ981="NX – RT À REFAIRE"),OR('PROGRAMME RT'!$D$5="TOUTES",B981='PROGRAMME RT'!$D$5)),1,0)</f>
        <v>0</v>
      </c>
      <c r="AT981" s="82" t="str">
        <f aca="false">IF(AS981=1,SUM(AS$7:AS981),"")</f>
        <v/>
      </c>
      <c r="AU981" s="82" t="n">
        <f aca="false">IF(AND(OR(AA981="R",AA981="NX",AA981="NT",AA981="CO"),OR('JOINTS DE RÉPARATION'!$D$5="TOUTES",B981='JOINTS DE RÉPARATION'!$D$5),OR('JOINTS DE RÉPARATION'!$L$4="TOUS",AQ981&lt;&gt;"ACCEPTÉ")),1,0)</f>
        <v>0</v>
      </c>
      <c r="AV981" s="82" t="str">
        <f aca="false">IF(AU981=1,SUM(AU$7:AU981),"")</f>
        <v/>
      </c>
      <c r="AW981" s="82" t="str">
        <f aca="false">IF(E981="","",B981&amp;"|"&amp;E981)</f>
        <v>MFD-ISW → MFD-CPF|DJ°412</v>
      </c>
    </row>
    <row r="982" customFormat="false" ht="74.6" hidden="false" customHeight="false" outlineLevel="0" collapsed="false">
      <c r="A982" s="79" t="n">
        <f aca="false">IF(E982="","",ROW()-6)</f>
        <v>976</v>
      </c>
      <c r="B982" s="80" t="s">
        <v>110</v>
      </c>
      <c r="C982" s="81" t="s">
        <v>1054</v>
      </c>
      <c r="D982" s="81" t="n">
        <v>6</v>
      </c>
      <c r="E982" s="81" t="s">
        <v>1157</v>
      </c>
      <c r="F982" s="82" t="str">
        <f aca="false">IF(E982="","",IF(LEFT(E982,2)="DJ","DJ","JN"))</f>
        <v>JN</v>
      </c>
      <c r="G982" s="81"/>
      <c r="H982" s="81" t="s">
        <v>871</v>
      </c>
      <c r="I982" s="81" t="n">
        <v>9.53</v>
      </c>
      <c r="J982" s="81" t="s">
        <v>872</v>
      </c>
      <c r="K982" s="81" t="s">
        <v>879</v>
      </c>
      <c r="L982" s="81" t="n">
        <v>2082260</v>
      </c>
      <c r="M982" s="81" t="n">
        <v>15421104</v>
      </c>
      <c r="N982" s="81" t="n">
        <v>11.94</v>
      </c>
      <c r="O982" s="81" t="n">
        <v>2098110</v>
      </c>
      <c r="P982" s="81" t="n">
        <v>15421109</v>
      </c>
      <c r="Q982" s="81" t="n">
        <v>11.94</v>
      </c>
      <c r="R982" s="81" t="s">
        <v>1151</v>
      </c>
      <c r="S982" s="81"/>
      <c r="T982" s="81"/>
      <c r="U982" s="83" t="n">
        <v>46284</v>
      </c>
      <c r="V982" s="83" t="n">
        <v>46284</v>
      </c>
      <c r="W982" s="81" t="s">
        <v>1152</v>
      </c>
      <c r="X982" s="81" t="s">
        <v>876</v>
      </c>
      <c r="Y982" s="83" t="n">
        <v>46292</v>
      </c>
      <c r="Z982" s="81" t="s">
        <v>1139</v>
      </c>
      <c r="AA982" s="81" t="s">
        <v>876</v>
      </c>
      <c r="AB982" s="81"/>
      <c r="AC982" s="81"/>
      <c r="AD982" s="81"/>
      <c r="AE982" s="83"/>
      <c r="AF982" s="81"/>
      <c r="AG982" s="81"/>
      <c r="AH982" s="81"/>
      <c r="AI982" s="81"/>
      <c r="AJ982" s="83"/>
      <c r="AK982" s="81"/>
      <c r="AL982" s="81"/>
      <c r="AM982" s="83"/>
      <c r="AN982" s="80"/>
      <c r="AO982" s="82" t="n">
        <f aca="false">IF(E982="","",(AA982&lt;&gt;"")+(AG982&lt;&gt;"")+(AL982&lt;&gt;""))</f>
        <v>1</v>
      </c>
      <c r="AP982" s="82" t="str">
        <f aca="false">IF(AL982&lt;&gt;"",AL982,IF(AG982&lt;&gt;"",AG982,IF(AA982&lt;&gt;"",AA982,"")))</f>
        <v>A</v>
      </c>
      <c r="AQ982" s="84" t="str">
        <f aca="false">IF(E982="","",IF(U982="","À SOUDER",IF(X982="","VT EN ATTENTE",IF(X982="R","VT REJETÉ – À REPRENDRE",IF(AP982="","À RADIOGRAPHIER",IF(AP982="A","ACCEPTÉ",IF(AP982="NX","NX – RT À REFAIRE",IF(IF(AO982=1,AD982,IF(AO982=2,AI982,""))="A","RÉPARÉ – À RADIOGRAPHIER",IF(IF(AO982=1,AD982,IF(AO982=2,AI982,""))="R","VT REJETÉ – À REPRENDRE",IF(OR(AP982="CO",AP982="NT"),"COUPE – À RESOUDER","À RÉPARER"))))))))))</f>
        <v>ACCEPTÉ</v>
      </c>
      <c r="AR982" s="82" t="str">
        <f aca="false">IF(AND(ISNUMBER(U982),OR(AQ982="À RADIOGRAPHIER",AQ982="RÉPARÉ – À RADIOGRAPHIER",AQ982="NX – RT À REFAIRE",AQ982="À RÉPARER",AQ982="COUPE – À RESOUDER",AQ982="VT REJETÉ – À REPRENDRE")),MAX(0,'PROGRAMME RT'!$C$4-U982),"")</f>
        <v/>
      </c>
      <c r="AS982" s="82" t="n">
        <f aca="false">IF(AND(OR(AQ982="À RADIOGRAPHIER",AQ982="RÉPARÉ – À RADIOGRAPHIER",AQ982="NX – RT À REFAIRE"),OR('PROGRAMME RT'!$D$5="TOUTES",B982='PROGRAMME RT'!$D$5)),1,0)</f>
        <v>0</v>
      </c>
      <c r="AT982" s="82" t="str">
        <f aca="false">IF(AS982=1,SUM(AS$7:AS982),"")</f>
        <v/>
      </c>
      <c r="AU982" s="82" t="n">
        <f aca="false">IF(AND(OR(AA982="R",AA982="NX",AA982="NT",AA982="CO"),OR('JOINTS DE RÉPARATION'!$D$5="TOUTES",B982='JOINTS DE RÉPARATION'!$D$5),OR('JOINTS DE RÉPARATION'!$L$4="TOUS",AQ982&lt;&gt;"ACCEPTÉ")),1,0)</f>
        <v>0</v>
      </c>
      <c r="AV982" s="82" t="str">
        <f aca="false">IF(AU982=1,SUM(AU$7:AU982),"")</f>
        <v/>
      </c>
      <c r="AW982" s="82" t="str">
        <f aca="false">IF(E982="","",B982&amp;"|"&amp;E982)</f>
        <v>MFD-ISW → MFD-CPF|JN°869</v>
      </c>
    </row>
    <row r="983" customFormat="false" ht="74.6" hidden="false" customHeight="false" outlineLevel="0" collapsed="false">
      <c r="A983" s="79" t="n">
        <f aca="false">IF(E983="","",ROW()-6)</f>
        <v>977</v>
      </c>
      <c r="B983" s="80" t="s">
        <v>110</v>
      </c>
      <c r="C983" s="81" t="s">
        <v>1054</v>
      </c>
      <c r="D983" s="81" t="n">
        <v>6</v>
      </c>
      <c r="E983" s="81" t="s">
        <v>1158</v>
      </c>
      <c r="F983" s="82" t="str">
        <f aca="false">IF(E983="","",IF(LEFT(E983,2)="DJ","DJ","JN"))</f>
        <v>JN</v>
      </c>
      <c r="G983" s="81"/>
      <c r="H983" s="81" t="s">
        <v>871</v>
      </c>
      <c r="I983" s="81" t="n">
        <v>9.53</v>
      </c>
      <c r="J983" s="81" t="s">
        <v>872</v>
      </c>
      <c r="K983" s="81" t="s">
        <v>879</v>
      </c>
      <c r="L983" s="81" t="n">
        <v>2098110</v>
      </c>
      <c r="M983" s="81" t="n">
        <v>15421109</v>
      </c>
      <c r="N983" s="81" t="n">
        <v>11.94</v>
      </c>
      <c r="O983" s="81" t="n">
        <v>2095860</v>
      </c>
      <c r="P983" s="81" t="n">
        <v>15421104</v>
      </c>
      <c r="Q983" s="81" t="n">
        <v>11.94</v>
      </c>
      <c r="R983" s="81" t="s">
        <v>1151</v>
      </c>
      <c r="S983" s="81"/>
      <c r="T983" s="81"/>
      <c r="U983" s="83" t="n">
        <v>46284</v>
      </c>
      <c r="V983" s="83" t="n">
        <v>46284</v>
      </c>
      <c r="W983" s="81" t="s">
        <v>1152</v>
      </c>
      <c r="X983" s="81" t="s">
        <v>876</v>
      </c>
      <c r="Y983" s="83" t="n">
        <v>46292</v>
      </c>
      <c r="Z983" s="81" t="s">
        <v>1139</v>
      </c>
      <c r="AA983" s="81" t="s">
        <v>876</v>
      </c>
      <c r="AB983" s="81"/>
      <c r="AC983" s="81"/>
      <c r="AD983" s="81"/>
      <c r="AE983" s="83"/>
      <c r="AF983" s="81"/>
      <c r="AG983" s="81"/>
      <c r="AH983" s="81"/>
      <c r="AI983" s="81"/>
      <c r="AJ983" s="83"/>
      <c r="AK983" s="81"/>
      <c r="AL983" s="81"/>
      <c r="AM983" s="83"/>
      <c r="AN983" s="80"/>
      <c r="AO983" s="82" t="n">
        <f aca="false">IF(E983="","",(AA983&lt;&gt;"")+(AG983&lt;&gt;"")+(AL983&lt;&gt;""))</f>
        <v>1</v>
      </c>
      <c r="AP983" s="82" t="str">
        <f aca="false">IF(AL983&lt;&gt;"",AL983,IF(AG983&lt;&gt;"",AG983,IF(AA983&lt;&gt;"",AA983,"")))</f>
        <v>A</v>
      </c>
      <c r="AQ983" s="84" t="str">
        <f aca="false">IF(E983="","",IF(U983="","À SOUDER",IF(X983="","VT EN ATTENTE",IF(X983="R","VT REJETÉ – À REPRENDRE",IF(AP983="","À RADIOGRAPHIER",IF(AP983="A","ACCEPTÉ",IF(AP983="NX","NX – RT À REFAIRE",IF(IF(AO983=1,AD983,IF(AO983=2,AI983,""))="A","RÉPARÉ – À RADIOGRAPHIER",IF(IF(AO983=1,AD983,IF(AO983=2,AI983,""))="R","VT REJETÉ – À REPRENDRE",IF(OR(AP983="CO",AP983="NT"),"COUPE – À RESOUDER","À RÉPARER"))))))))))</f>
        <v>ACCEPTÉ</v>
      </c>
      <c r="AR983" s="82" t="str">
        <f aca="false">IF(AND(ISNUMBER(U983),OR(AQ983="À RADIOGRAPHIER",AQ983="RÉPARÉ – À RADIOGRAPHIER",AQ983="NX – RT À REFAIRE",AQ983="À RÉPARER",AQ983="COUPE – À RESOUDER",AQ983="VT REJETÉ – À REPRENDRE")),MAX(0,'PROGRAMME RT'!$C$4-U983),"")</f>
        <v/>
      </c>
      <c r="AS983" s="82" t="n">
        <f aca="false">IF(AND(OR(AQ983="À RADIOGRAPHIER",AQ983="RÉPARÉ – À RADIOGRAPHIER",AQ983="NX – RT À REFAIRE"),OR('PROGRAMME RT'!$D$5="TOUTES",B983='PROGRAMME RT'!$D$5)),1,0)</f>
        <v>0</v>
      </c>
      <c r="AT983" s="82" t="str">
        <f aca="false">IF(AS983=1,SUM(AS$7:AS983),"")</f>
        <v/>
      </c>
      <c r="AU983" s="82" t="n">
        <f aca="false">IF(AND(OR(AA983="R",AA983="NX",AA983="NT",AA983="CO"),OR('JOINTS DE RÉPARATION'!$D$5="TOUTES",B983='JOINTS DE RÉPARATION'!$D$5),OR('JOINTS DE RÉPARATION'!$L$4="TOUS",AQ983&lt;&gt;"ACCEPTÉ")),1,0)</f>
        <v>0</v>
      </c>
      <c r="AV983" s="82" t="str">
        <f aca="false">IF(AU983=1,SUM(AU$7:AU983),"")</f>
        <v/>
      </c>
      <c r="AW983" s="82" t="str">
        <f aca="false">IF(E983="","",B983&amp;"|"&amp;E983)</f>
        <v>MFD-ISW → MFD-CPF|JN°870</v>
      </c>
    </row>
    <row r="984" customFormat="false" ht="74.6" hidden="false" customHeight="false" outlineLevel="0" collapsed="false">
      <c r="A984" s="79" t="n">
        <f aca="false">IF(E984="","",ROW()-6)</f>
        <v>978</v>
      </c>
      <c r="B984" s="80" t="s">
        <v>110</v>
      </c>
      <c r="C984" s="81" t="s">
        <v>1054</v>
      </c>
      <c r="D984" s="81" t="n">
        <v>6</v>
      </c>
      <c r="E984" s="81" t="s">
        <v>1159</v>
      </c>
      <c r="F984" s="82" t="str">
        <f aca="false">IF(E984="","",IF(LEFT(E984,2)="DJ","DJ","JN"))</f>
        <v>JN</v>
      </c>
      <c r="G984" s="81"/>
      <c r="H984" s="81" t="s">
        <v>871</v>
      </c>
      <c r="I984" s="81" t="n">
        <v>9.53</v>
      </c>
      <c r="J984" s="81" t="s">
        <v>872</v>
      </c>
      <c r="K984" s="81" t="s">
        <v>879</v>
      </c>
      <c r="L984" s="81" t="n">
        <v>2095860</v>
      </c>
      <c r="M984" s="81" t="n">
        <v>15421104</v>
      </c>
      <c r="N984" s="81" t="n">
        <v>11.94</v>
      </c>
      <c r="O984" s="81" t="n">
        <v>2097920</v>
      </c>
      <c r="P984" s="81" t="n">
        <v>15421112</v>
      </c>
      <c r="Q984" s="81" t="n">
        <v>11.94</v>
      </c>
      <c r="R984" s="81" t="s">
        <v>1151</v>
      </c>
      <c r="S984" s="81"/>
      <c r="T984" s="81"/>
      <c r="U984" s="83" t="n">
        <v>46284</v>
      </c>
      <c r="V984" s="83" t="n">
        <v>46284</v>
      </c>
      <c r="W984" s="81" t="s">
        <v>1152</v>
      </c>
      <c r="X984" s="81" t="s">
        <v>876</v>
      </c>
      <c r="Y984" s="83" t="n">
        <v>46292</v>
      </c>
      <c r="Z984" s="81" t="s">
        <v>1139</v>
      </c>
      <c r="AA984" s="81" t="s">
        <v>876</v>
      </c>
      <c r="AB984" s="81"/>
      <c r="AC984" s="81"/>
      <c r="AD984" s="81"/>
      <c r="AE984" s="83"/>
      <c r="AF984" s="81"/>
      <c r="AG984" s="81"/>
      <c r="AH984" s="81"/>
      <c r="AI984" s="81"/>
      <c r="AJ984" s="83"/>
      <c r="AK984" s="81"/>
      <c r="AL984" s="81"/>
      <c r="AM984" s="83"/>
      <c r="AN984" s="80"/>
      <c r="AO984" s="82" t="n">
        <f aca="false">IF(E984="","",(AA984&lt;&gt;"")+(AG984&lt;&gt;"")+(AL984&lt;&gt;""))</f>
        <v>1</v>
      </c>
      <c r="AP984" s="82" t="str">
        <f aca="false">IF(AL984&lt;&gt;"",AL984,IF(AG984&lt;&gt;"",AG984,IF(AA984&lt;&gt;"",AA984,"")))</f>
        <v>A</v>
      </c>
      <c r="AQ984" s="84" t="str">
        <f aca="false">IF(E984="","",IF(U984="","À SOUDER",IF(X984="","VT EN ATTENTE",IF(X984="R","VT REJETÉ – À REPRENDRE",IF(AP984="","À RADIOGRAPHIER",IF(AP984="A","ACCEPTÉ",IF(AP984="NX","NX – RT À REFAIRE",IF(IF(AO984=1,AD984,IF(AO984=2,AI984,""))="A","RÉPARÉ – À RADIOGRAPHIER",IF(IF(AO984=1,AD984,IF(AO984=2,AI984,""))="R","VT REJETÉ – À REPRENDRE",IF(OR(AP984="CO",AP984="NT"),"COUPE – À RESOUDER","À RÉPARER"))))))))))</f>
        <v>ACCEPTÉ</v>
      </c>
      <c r="AR984" s="82" t="str">
        <f aca="false">IF(AND(ISNUMBER(U984),OR(AQ984="À RADIOGRAPHIER",AQ984="RÉPARÉ – À RADIOGRAPHIER",AQ984="NX – RT À REFAIRE",AQ984="À RÉPARER",AQ984="COUPE – À RESOUDER",AQ984="VT REJETÉ – À REPRENDRE")),MAX(0,'PROGRAMME RT'!$C$4-U984),"")</f>
        <v/>
      </c>
      <c r="AS984" s="82" t="n">
        <f aca="false">IF(AND(OR(AQ984="À RADIOGRAPHIER",AQ984="RÉPARÉ – À RADIOGRAPHIER",AQ984="NX – RT À REFAIRE"),OR('PROGRAMME RT'!$D$5="TOUTES",B984='PROGRAMME RT'!$D$5)),1,0)</f>
        <v>0</v>
      </c>
      <c r="AT984" s="82" t="str">
        <f aca="false">IF(AS984=1,SUM(AS$7:AS984),"")</f>
        <v/>
      </c>
      <c r="AU984" s="82" t="n">
        <f aca="false">IF(AND(OR(AA984="R",AA984="NX",AA984="NT",AA984="CO"),OR('JOINTS DE RÉPARATION'!$D$5="TOUTES",B984='JOINTS DE RÉPARATION'!$D$5),OR('JOINTS DE RÉPARATION'!$L$4="TOUS",AQ984&lt;&gt;"ACCEPTÉ")),1,0)</f>
        <v>0</v>
      </c>
      <c r="AV984" s="82" t="str">
        <f aca="false">IF(AU984=1,SUM(AU$7:AU984),"")</f>
        <v/>
      </c>
      <c r="AW984" s="82" t="str">
        <f aca="false">IF(E984="","",B984&amp;"|"&amp;E984)</f>
        <v>MFD-ISW → MFD-CPF|JN°871</v>
      </c>
    </row>
    <row r="985" customFormat="false" ht="74.6" hidden="false" customHeight="false" outlineLevel="0" collapsed="false">
      <c r="A985" s="79" t="n">
        <f aca="false">IF(E985="","",ROW()-6)</f>
        <v>979</v>
      </c>
      <c r="B985" s="80" t="s">
        <v>110</v>
      </c>
      <c r="C985" s="81" t="s">
        <v>1054</v>
      </c>
      <c r="D985" s="81" t="n">
        <v>6</v>
      </c>
      <c r="E985" s="81" t="s">
        <v>1160</v>
      </c>
      <c r="F985" s="82" t="str">
        <f aca="false">IF(E985="","",IF(LEFT(E985,2)="DJ","DJ","JN"))</f>
        <v>JN</v>
      </c>
      <c r="G985" s="81"/>
      <c r="H985" s="81" t="s">
        <v>871</v>
      </c>
      <c r="I985" s="81" t="n">
        <v>9.53</v>
      </c>
      <c r="J985" s="81" t="s">
        <v>872</v>
      </c>
      <c r="K985" s="81" t="s">
        <v>879</v>
      </c>
      <c r="L985" s="81" t="n">
        <v>2097920</v>
      </c>
      <c r="M985" s="81" t="n">
        <v>15421112</v>
      </c>
      <c r="N985" s="81" t="n">
        <v>11.94</v>
      </c>
      <c r="O985" s="81" t="n">
        <v>2098260</v>
      </c>
      <c r="P985" s="81" t="n">
        <v>15421111</v>
      </c>
      <c r="Q985" s="81" t="n">
        <v>11.94</v>
      </c>
      <c r="R985" s="81" t="s">
        <v>1151</v>
      </c>
      <c r="S985" s="81"/>
      <c r="T985" s="81"/>
      <c r="U985" s="83" t="n">
        <v>46284</v>
      </c>
      <c r="V985" s="83" t="n">
        <v>46284</v>
      </c>
      <c r="W985" s="81" t="s">
        <v>1152</v>
      </c>
      <c r="X985" s="81" t="s">
        <v>876</v>
      </c>
      <c r="Y985" s="83" t="n">
        <v>46292</v>
      </c>
      <c r="Z985" s="81" t="s">
        <v>1139</v>
      </c>
      <c r="AA985" s="81" t="s">
        <v>876</v>
      </c>
      <c r="AB985" s="81"/>
      <c r="AC985" s="81"/>
      <c r="AD985" s="81"/>
      <c r="AE985" s="83"/>
      <c r="AF985" s="81"/>
      <c r="AG985" s="81"/>
      <c r="AH985" s="81"/>
      <c r="AI985" s="81"/>
      <c r="AJ985" s="83"/>
      <c r="AK985" s="81"/>
      <c r="AL985" s="81"/>
      <c r="AM985" s="83"/>
      <c r="AN985" s="80"/>
      <c r="AO985" s="82" t="n">
        <f aca="false">IF(E985="","",(AA985&lt;&gt;"")+(AG985&lt;&gt;"")+(AL985&lt;&gt;""))</f>
        <v>1</v>
      </c>
      <c r="AP985" s="82" t="str">
        <f aca="false">IF(AL985&lt;&gt;"",AL985,IF(AG985&lt;&gt;"",AG985,IF(AA985&lt;&gt;"",AA985,"")))</f>
        <v>A</v>
      </c>
      <c r="AQ985" s="84" t="str">
        <f aca="false">IF(E985="","",IF(U985="","À SOUDER",IF(X985="","VT EN ATTENTE",IF(X985="R","VT REJETÉ – À REPRENDRE",IF(AP985="","À RADIOGRAPHIER",IF(AP985="A","ACCEPTÉ",IF(AP985="NX","NX – RT À REFAIRE",IF(IF(AO985=1,AD985,IF(AO985=2,AI985,""))="A","RÉPARÉ – À RADIOGRAPHIER",IF(IF(AO985=1,AD985,IF(AO985=2,AI985,""))="R","VT REJETÉ – À REPRENDRE",IF(OR(AP985="CO",AP985="NT"),"COUPE – À RESOUDER","À RÉPARER"))))))))))</f>
        <v>ACCEPTÉ</v>
      </c>
      <c r="AR985" s="82" t="str">
        <f aca="false">IF(AND(ISNUMBER(U985),OR(AQ985="À RADIOGRAPHIER",AQ985="RÉPARÉ – À RADIOGRAPHIER",AQ985="NX – RT À REFAIRE",AQ985="À RÉPARER",AQ985="COUPE – À RESOUDER",AQ985="VT REJETÉ – À REPRENDRE")),MAX(0,'PROGRAMME RT'!$C$4-U985),"")</f>
        <v/>
      </c>
      <c r="AS985" s="82" t="n">
        <f aca="false">IF(AND(OR(AQ985="À RADIOGRAPHIER",AQ985="RÉPARÉ – À RADIOGRAPHIER",AQ985="NX – RT À REFAIRE"),OR('PROGRAMME RT'!$D$5="TOUTES",B985='PROGRAMME RT'!$D$5)),1,0)</f>
        <v>0</v>
      </c>
      <c r="AT985" s="82" t="str">
        <f aca="false">IF(AS985=1,SUM(AS$7:AS985),"")</f>
        <v/>
      </c>
      <c r="AU985" s="82" t="n">
        <f aca="false">IF(AND(OR(AA985="R",AA985="NX",AA985="NT",AA985="CO"),OR('JOINTS DE RÉPARATION'!$D$5="TOUTES",B985='JOINTS DE RÉPARATION'!$D$5),OR('JOINTS DE RÉPARATION'!$L$4="TOUS",AQ985&lt;&gt;"ACCEPTÉ")),1,0)</f>
        <v>0</v>
      </c>
      <c r="AV985" s="82" t="str">
        <f aca="false">IF(AU985=1,SUM(AU$7:AU985),"")</f>
        <v/>
      </c>
      <c r="AW985" s="82" t="str">
        <f aca="false">IF(E985="","",B985&amp;"|"&amp;E985)</f>
        <v>MFD-ISW → MFD-CPF|JN°872</v>
      </c>
    </row>
    <row r="986" customFormat="false" ht="74.6" hidden="false" customHeight="false" outlineLevel="0" collapsed="false">
      <c r="A986" s="79" t="n">
        <f aca="false">IF(E986="","",ROW()-6)</f>
        <v>980</v>
      </c>
      <c r="B986" s="80" t="s">
        <v>110</v>
      </c>
      <c r="C986" s="81" t="s">
        <v>1054</v>
      </c>
      <c r="D986" s="81" t="n">
        <v>6</v>
      </c>
      <c r="E986" s="81" t="s">
        <v>1161</v>
      </c>
      <c r="F986" s="82" t="str">
        <f aca="false">IF(E986="","",IF(LEFT(E986,2)="DJ","DJ","JN"))</f>
        <v>JN</v>
      </c>
      <c r="G986" s="81"/>
      <c r="H986" s="81" t="s">
        <v>871</v>
      </c>
      <c r="I986" s="81" t="n">
        <v>9.53</v>
      </c>
      <c r="J986" s="81" t="s">
        <v>872</v>
      </c>
      <c r="K986" s="81" t="s">
        <v>879</v>
      </c>
      <c r="L986" s="81" t="n">
        <v>2098260</v>
      </c>
      <c r="M986" s="81" t="n">
        <v>15421111</v>
      </c>
      <c r="N986" s="81" t="n">
        <v>11.94</v>
      </c>
      <c r="O986" s="81" t="n">
        <v>2094820</v>
      </c>
      <c r="P986" s="81" t="n">
        <v>15421111</v>
      </c>
      <c r="Q986" s="81" t="n">
        <v>11.94</v>
      </c>
      <c r="R986" s="81" t="s">
        <v>1151</v>
      </c>
      <c r="S986" s="81"/>
      <c r="T986" s="81"/>
      <c r="U986" s="83" t="n">
        <v>46284</v>
      </c>
      <c r="V986" s="83" t="n">
        <v>46284</v>
      </c>
      <c r="W986" s="81" t="s">
        <v>1152</v>
      </c>
      <c r="X986" s="81" t="s">
        <v>876</v>
      </c>
      <c r="Y986" s="83" t="n">
        <v>46292</v>
      </c>
      <c r="Z986" s="81" t="s">
        <v>1139</v>
      </c>
      <c r="AA986" s="81" t="s">
        <v>876</v>
      </c>
      <c r="AB986" s="81"/>
      <c r="AC986" s="81"/>
      <c r="AD986" s="81"/>
      <c r="AE986" s="83"/>
      <c r="AF986" s="81"/>
      <c r="AG986" s="81"/>
      <c r="AH986" s="81"/>
      <c r="AI986" s="81"/>
      <c r="AJ986" s="83"/>
      <c r="AK986" s="81"/>
      <c r="AL986" s="81"/>
      <c r="AM986" s="83"/>
      <c r="AN986" s="80"/>
      <c r="AO986" s="82" t="n">
        <f aca="false">IF(E986="","",(AA986&lt;&gt;"")+(AG986&lt;&gt;"")+(AL986&lt;&gt;""))</f>
        <v>1</v>
      </c>
      <c r="AP986" s="82" t="str">
        <f aca="false">IF(AL986&lt;&gt;"",AL986,IF(AG986&lt;&gt;"",AG986,IF(AA986&lt;&gt;"",AA986,"")))</f>
        <v>A</v>
      </c>
      <c r="AQ986" s="84" t="str">
        <f aca="false">IF(E986="","",IF(U986="","À SOUDER",IF(X986="","VT EN ATTENTE",IF(X986="R","VT REJETÉ – À REPRENDRE",IF(AP986="","À RADIOGRAPHIER",IF(AP986="A","ACCEPTÉ",IF(AP986="NX","NX – RT À REFAIRE",IF(IF(AO986=1,AD986,IF(AO986=2,AI986,""))="A","RÉPARÉ – À RADIOGRAPHIER",IF(IF(AO986=1,AD986,IF(AO986=2,AI986,""))="R","VT REJETÉ – À REPRENDRE",IF(OR(AP986="CO",AP986="NT"),"COUPE – À RESOUDER","À RÉPARER"))))))))))</f>
        <v>ACCEPTÉ</v>
      </c>
      <c r="AR986" s="82" t="str">
        <f aca="false">IF(AND(ISNUMBER(U986),OR(AQ986="À RADIOGRAPHIER",AQ986="RÉPARÉ – À RADIOGRAPHIER",AQ986="NX – RT À REFAIRE",AQ986="À RÉPARER",AQ986="COUPE – À RESOUDER",AQ986="VT REJETÉ – À REPRENDRE")),MAX(0,'PROGRAMME RT'!$C$4-U986),"")</f>
        <v/>
      </c>
      <c r="AS986" s="82" t="n">
        <f aca="false">IF(AND(OR(AQ986="À RADIOGRAPHIER",AQ986="RÉPARÉ – À RADIOGRAPHIER",AQ986="NX – RT À REFAIRE"),OR('PROGRAMME RT'!$D$5="TOUTES",B986='PROGRAMME RT'!$D$5)),1,0)</f>
        <v>0</v>
      </c>
      <c r="AT986" s="82" t="str">
        <f aca="false">IF(AS986=1,SUM(AS$7:AS986),"")</f>
        <v/>
      </c>
      <c r="AU986" s="82" t="n">
        <f aca="false">IF(AND(OR(AA986="R",AA986="NX",AA986="NT",AA986="CO"),OR('JOINTS DE RÉPARATION'!$D$5="TOUTES",B986='JOINTS DE RÉPARATION'!$D$5),OR('JOINTS DE RÉPARATION'!$L$4="TOUS",AQ986&lt;&gt;"ACCEPTÉ")),1,0)</f>
        <v>0</v>
      </c>
      <c r="AV986" s="82" t="str">
        <f aca="false">IF(AU986=1,SUM(AU$7:AU986),"")</f>
        <v/>
      </c>
      <c r="AW986" s="82" t="str">
        <f aca="false">IF(E986="","",B986&amp;"|"&amp;E986)</f>
        <v>MFD-ISW → MFD-CPF|JN°873</v>
      </c>
    </row>
    <row r="987" customFormat="false" ht="74.6" hidden="false" customHeight="false" outlineLevel="0" collapsed="false">
      <c r="A987" s="79" t="n">
        <f aca="false">IF(E987="","",ROW()-6)</f>
        <v>981</v>
      </c>
      <c r="B987" s="80" t="s">
        <v>110</v>
      </c>
      <c r="C987" s="81" t="s">
        <v>1054</v>
      </c>
      <c r="D987" s="81" t="n">
        <v>6</v>
      </c>
      <c r="E987" s="81" t="s">
        <v>1162</v>
      </c>
      <c r="F987" s="82" t="str">
        <f aca="false">IF(E987="","",IF(LEFT(E987,2)="DJ","DJ","JN"))</f>
        <v>JN</v>
      </c>
      <c r="G987" s="81"/>
      <c r="H987" s="81" t="s">
        <v>871</v>
      </c>
      <c r="I987" s="81" t="n">
        <v>9.53</v>
      </c>
      <c r="J987" s="81" t="s">
        <v>872</v>
      </c>
      <c r="K987" s="81" t="s">
        <v>879</v>
      </c>
      <c r="L987" s="81" t="n">
        <v>2094820</v>
      </c>
      <c r="M987" s="81" t="n">
        <v>15421111</v>
      </c>
      <c r="N987" s="81" t="n">
        <v>11.94</v>
      </c>
      <c r="O987" s="81" t="n">
        <v>2087610</v>
      </c>
      <c r="P987" s="81" t="n">
        <v>15421107</v>
      </c>
      <c r="Q987" s="81" t="n">
        <v>11.94</v>
      </c>
      <c r="R987" s="81" t="s">
        <v>1151</v>
      </c>
      <c r="S987" s="81"/>
      <c r="T987" s="81"/>
      <c r="U987" s="83" t="n">
        <v>46284</v>
      </c>
      <c r="V987" s="83" t="n">
        <v>46284</v>
      </c>
      <c r="W987" s="81" t="s">
        <v>1152</v>
      </c>
      <c r="X987" s="81" t="s">
        <v>876</v>
      </c>
      <c r="Y987" s="83" t="n">
        <v>46292</v>
      </c>
      <c r="Z987" s="81" t="s">
        <v>1139</v>
      </c>
      <c r="AA987" s="81" t="s">
        <v>876</v>
      </c>
      <c r="AB987" s="81"/>
      <c r="AC987" s="81"/>
      <c r="AD987" s="81"/>
      <c r="AE987" s="83"/>
      <c r="AF987" s="81"/>
      <c r="AG987" s="81"/>
      <c r="AH987" s="81"/>
      <c r="AI987" s="81"/>
      <c r="AJ987" s="83"/>
      <c r="AK987" s="81"/>
      <c r="AL987" s="81"/>
      <c r="AM987" s="83"/>
      <c r="AN987" s="80"/>
      <c r="AO987" s="82" t="n">
        <f aca="false">IF(E987="","",(AA987&lt;&gt;"")+(AG987&lt;&gt;"")+(AL987&lt;&gt;""))</f>
        <v>1</v>
      </c>
      <c r="AP987" s="82" t="str">
        <f aca="false">IF(AL987&lt;&gt;"",AL987,IF(AG987&lt;&gt;"",AG987,IF(AA987&lt;&gt;"",AA987,"")))</f>
        <v>A</v>
      </c>
      <c r="AQ987" s="84" t="str">
        <f aca="false">IF(E987="","",IF(U987="","À SOUDER",IF(X987="","VT EN ATTENTE",IF(X987="R","VT REJETÉ – À REPRENDRE",IF(AP987="","À RADIOGRAPHIER",IF(AP987="A","ACCEPTÉ",IF(AP987="NX","NX – RT À REFAIRE",IF(IF(AO987=1,AD987,IF(AO987=2,AI987,""))="A","RÉPARÉ – À RADIOGRAPHIER",IF(IF(AO987=1,AD987,IF(AO987=2,AI987,""))="R","VT REJETÉ – À REPRENDRE",IF(OR(AP987="CO",AP987="NT"),"COUPE – À RESOUDER","À RÉPARER"))))))))))</f>
        <v>ACCEPTÉ</v>
      </c>
      <c r="AR987" s="82" t="str">
        <f aca="false">IF(AND(ISNUMBER(U987),OR(AQ987="À RADIOGRAPHIER",AQ987="RÉPARÉ – À RADIOGRAPHIER",AQ987="NX – RT À REFAIRE",AQ987="À RÉPARER",AQ987="COUPE – À RESOUDER",AQ987="VT REJETÉ – À REPRENDRE")),MAX(0,'PROGRAMME RT'!$C$4-U987),"")</f>
        <v/>
      </c>
      <c r="AS987" s="82" t="n">
        <f aca="false">IF(AND(OR(AQ987="À RADIOGRAPHIER",AQ987="RÉPARÉ – À RADIOGRAPHIER",AQ987="NX – RT À REFAIRE"),OR('PROGRAMME RT'!$D$5="TOUTES",B987='PROGRAMME RT'!$D$5)),1,0)</f>
        <v>0</v>
      </c>
      <c r="AT987" s="82" t="str">
        <f aca="false">IF(AS987=1,SUM(AS$7:AS987),"")</f>
        <v/>
      </c>
      <c r="AU987" s="82" t="n">
        <f aca="false">IF(AND(OR(AA987="R",AA987="NX",AA987="NT",AA987="CO"),OR('JOINTS DE RÉPARATION'!$D$5="TOUTES",B987='JOINTS DE RÉPARATION'!$D$5),OR('JOINTS DE RÉPARATION'!$L$4="TOUS",AQ987&lt;&gt;"ACCEPTÉ")),1,0)</f>
        <v>0</v>
      </c>
      <c r="AV987" s="82" t="str">
        <f aca="false">IF(AU987=1,SUM(AU$7:AU987),"")</f>
        <v/>
      </c>
      <c r="AW987" s="82" t="str">
        <f aca="false">IF(E987="","",B987&amp;"|"&amp;E987)</f>
        <v>MFD-ISW → MFD-CPF|JN°874</v>
      </c>
    </row>
    <row r="988" customFormat="false" ht="74.6" hidden="false" customHeight="false" outlineLevel="0" collapsed="false">
      <c r="A988" s="79" t="n">
        <f aca="false">IF(E988="","",ROW()-6)</f>
        <v>982</v>
      </c>
      <c r="B988" s="80" t="s">
        <v>110</v>
      </c>
      <c r="C988" s="81" t="s">
        <v>1054</v>
      </c>
      <c r="D988" s="81" t="n">
        <v>6</v>
      </c>
      <c r="E988" s="81" t="s">
        <v>1163</v>
      </c>
      <c r="F988" s="82" t="str">
        <f aca="false">IF(E988="","",IF(LEFT(E988,2)="DJ","DJ","JN"))</f>
        <v>JN</v>
      </c>
      <c r="G988" s="81"/>
      <c r="H988" s="81" t="s">
        <v>871</v>
      </c>
      <c r="I988" s="81" t="n">
        <v>9.53</v>
      </c>
      <c r="J988" s="81" t="s">
        <v>872</v>
      </c>
      <c r="K988" s="81" t="s">
        <v>879</v>
      </c>
      <c r="L988" s="81" t="n">
        <v>2087610</v>
      </c>
      <c r="M988" s="81" t="n">
        <v>15421107</v>
      </c>
      <c r="N988" s="81" t="n">
        <v>11.94</v>
      </c>
      <c r="O988" s="81" t="n">
        <v>2084930</v>
      </c>
      <c r="P988" s="81" t="n">
        <v>15421106</v>
      </c>
      <c r="Q988" s="81" t="n">
        <v>11.94</v>
      </c>
      <c r="R988" s="81" t="s">
        <v>1151</v>
      </c>
      <c r="S988" s="81"/>
      <c r="T988" s="81"/>
      <c r="U988" s="83" t="n">
        <v>46284</v>
      </c>
      <c r="V988" s="83" t="n">
        <v>46284</v>
      </c>
      <c r="W988" s="81" t="s">
        <v>1152</v>
      </c>
      <c r="X988" s="81" t="s">
        <v>876</v>
      </c>
      <c r="Y988" s="83" t="n">
        <v>46292</v>
      </c>
      <c r="Z988" s="81" t="s">
        <v>1139</v>
      </c>
      <c r="AA988" s="81" t="s">
        <v>876</v>
      </c>
      <c r="AB988" s="81"/>
      <c r="AC988" s="81"/>
      <c r="AD988" s="81"/>
      <c r="AE988" s="83"/>
      <c r="AF988" s="81"/>
      <c r="AG988" s="81"/>
      <c r="AH988" s="81"/>
      <c r="AI988" s="81"/>
      <c r="AJ988" s="83"/>
      <c r="AK988" s="81"/>
      <c r="AL988" s="81"/>
      <c r="AM988" s="83"/>
      <c r="AN988" s="80"/>
      <c r="AO988" s="82" t="n">
        <f aca="false">IF(E988="","",(AA988&lt;&gt;"")+(AG988&lt;&gt;"")+(AL988&lt;&gt;""))</f>
        <v>1</v>
      </c>
      <c r="AP988" s="82" t="str">
        <f aca="false">IF(AL988&lt;&gt;"",AL988,IF(AG988&lt;&gt;"",AG988,IF(AA988&lt;&gt;"",AA988,"")))</f>
        <v>A</v>
      </c>
      <c r="AQ988" s="84" t="str">
        <f aca="false">IF(E988="","",IF(U988="","À SOUDER",IF(X988="","VT EN ATTENTE",IF(X988="R","VT REJETÉ – À REPRENDRE",IF(AP988="","À RADIOGRAPHIER",IF(AP988="A","ACCEPTÉ",IF(AP988="NX","NX – RT À REFAIRE",IF(IF(AO988=1,AD988,IF(AO988=2,AI988,""))="A","RÉPARÉ – À RADIOGRAPHIER",IF(IF(AO988=1,AD988,IF(AO988=2,AI988,""))="R","VT REJETÉ – À REPRENDRE",IF(OR(AP988="CO",AP988="NT"),"COUPE – À RESOUDER","À RÉPARER"))))))))))</f>
        <v>ACCEPTÉ</v>
      </c>
      <c r="AR988" s="82" t="str">
        <f aca="false">IF(AND(ISNUMBER(U988),OR(AQ988="À RADIOGRAPHIER",AQ988="RÉPARÉ – À RADIOGRAPHIER",AQ988="NX – RT À REFAIRE",AQ988="À RÉPARER",AQ988="COUPE – À RESOUDER",AQ988="VT REJETÉ – À REPRENDRE")),MAX(0,'PROGRAMME RT'!$C$4-U988),"")</f>
        <v/>
      </c>
      <c r="AS988" s="82" t="n">
        <f aca="false">IF(AND(OR(AQ988="À RADIOGRAPHIER",AQ988="RÉPARÉ – À RADIOGRAPHIER",AQ988="NX – RT À REFAIRE"),OR('PROGRAMME RT'!$D$5="TOUTES",B988='PROGRAMME RT'!$D$5)),1,0)</f>
        <v>0</v>
      </c>
      <c r="AT988" s="82" t="str">
        <f aca="false">IF(AS988=1,SUM(AS$7:AS988),"")</f>
        <v/>
      </c>
      <c r="AU988" s="82" t="n">
        <f aca="false">IF(AND(OR(AA988="R",AA988="NX",AA988="NT",AA988="CO"),OR('JOINTS DE RÉPARATION'!$D$5="TOUTES",B988='JOINTS DE RÉPARATION'!$D$5),OR('JOINTS DE RÉPARATION'!$L$4="TOUS",AQ988&lt;&gt;"ACCEPTÉ")),1,0)</f>
        <v>0</v>
      </c>
      <c r="AV988" s="82" t="str">
        <f aca="false">IF(AU988=1,SUM(AU$7:AU988),"")</f>
        <v/>
      </c>
      <c r="AW988" s="82" t="str">
        <f aca="false">IF(E988="","",B988&amp;"|"&amp;E988)</f>
        <v>MFD-ISW → MFD-CPF|JN°875</v>
      </c>
    </row>
    <row r="989" customFormat="false" ht="74.6" hidden="false" customHeight="false" outlineLevel="0" collapsed="false">
      <c r="A989" s="79" t="n">
        <f aca="false">IF(E989="","",ROW()-6)</f>
        <v>983</v>
      </c>
      <c r="B989" s="80" t="s">
        <v>110</v>
      </c>
      <c r="C989" s="81" t="s">
        <v>926</v>
      </c>
      <c r="D989" s="81" t="n">
        <v>6</v>
      </c>
      <c r="E989" s="81" t="s">
        <v>1164</v>
      </c>
      <c r="F989" s="82" t="str">
        <f aca="false">IF(E989="","",IF(LEFT(E989,2)="DJ","DJ","JN"))</f>
        <v>JN</v>
      </c>
      <c r="G989" s="81"/>
      <c r="H989" s="81"/>
      <c r="I989" s="81"/>
      <c r="J989" s="81"/>
      <c r="K989" s="81"/>
      <c r="L989" s="81"/>
      <c r="M989" s="81"/>
      <c r="N989" s="81"/>
      <c r="O989" s="81"/>
      <c r="P989" s="81"/>
      <c r="Q989" s="81"/>
      <c r="R989" s="81"/>
      <c r="S989" s="81"/>
      <c r="T989" s="81"/>
      <c r="U989" s="83"/>
      <c r="V989" s="83"/>
      <c r="W989" s="81"/>
      <c r="X989" s="81"/>
      <c r="Y989" s="83"/>
      <c r="Z989" s="81"/>
      <c r="AA989" s="81"/>
      <c r="AB989" s="81"/>
      <c r="AC989" s="81"/>
      <c r="AD989" s="81"/>
      <c r="AE989" s="83"/>
      <c r="AF989" s="81"/>
      <c r="AG989" s="81"/>
      <c r="AH989" s="81"/>
      <c r="AI989" s="81"/>
      <c r="AJ989" s="83"/>
      <c r="AK989" s="81"/>
      <c r="AL989" s="81"/>
      <c r="AM989" s="83"/>
      <c r="AN989" s="80"/>
      <c r="AO989" s="82" t="n">
        <f aca="false">IF(E989="","",(AA989&lt;&gt;"")+(AG989&lt;&gt;"")+(AL989&lt;&gt;""))</f>
        <v>0</v>
      </c>
      <c r="AP989" s="82" t="str">
        <f aca="false">IF(AL989&lt;&gt;"",AL989,IF(AG989&lt;&gt;"",AG989,IF(AA989&lt;&gt;"",AA989,"")))</f>
        <v/>
      </c>
      <c r="AQ989" s="84" t="str">
        <f aca="false">IF(E989="","",IF(U989="","À SOUDER",IF(X989="","VT EN ATTENTE",IF(X989="R","VT REJETÉ – À REPRENDRE",IF(AP989="","À RADIOGRAPHIER",IF(AP989="A","ACCEPTÉ",IF(AP989="NX","NX – RT À REFAIRE",IF(IF(AO989=1,AD989,IF(AO989=2,AI989,""))="A","RÉPARÉ – À RADIOGRAPHIER",IF(IF(AO989=1,AD989,IF(AO989=2,AI989,""))="R","VT REJETÉ – À REPRENDRE",IF(OR(AP989="CO",AP989="NT"),"COUPE – À RESOUDER","À RÉPARER"))))))))))</f>
        <v>À SOUDER</v>
      </c>
      <c r="AR989" s="82" t="str">
        <f aca="false">IF(AND(ISNUMBER(U989),OR(AQ989="À RADIOGRAPHIER",AQ989="RÉPARÉ – À RADIOGRAPHIER",AQ989="NX – RT À REFAIRE",AQ989="À RÉPARER",AQ989="COUPE – À RESOUDER",AQ989="VT REJETÉ – À REPRENDRE")),MAX(0,'PROGRAMME RT'!$C$4-U989),"")</f>
        <v/>
      </c>
      <c r="AS989" s="82" t="n">
        <f aca="false">IF(AND(OR(AQ989="À RADIOGRAPHIER",AQ989="RÉPARÉ – À RADIOGRAPHIER",AQ989="NX – RT À REFAIRE"),OR('PROGRAMME RT'!$D$5="TOUTES",B989='PROGRAMME RT'!$D$5)),1,0)</f>
        <v>0</v>
      </c>
      <c r="AT989" s="82" t="str">
        <f aca="false">IF(AS989=1,SUM(AS$7:AS989),"")</f>
        <v/>
      </c>
      <c r="AU989" s="82" t="n">
        <f aca="false">IF(AND(OR(AA989="R",AA989="NX",AA989="NT",AA989="CO"),OR('JOINTS DE RÉPARATION'!$D$5="TOUTES",B989='JOINTS DE RÉPARATION'!$D$5),OR('JOINTS DE RÉPARATION'!$L$4="TOUS",AQ989&lt;&gt;"ACCEPTÉ")),1,0)</f>
        <v>0</v>
      </c>
      <c r="AV989" s="82" t="str">
        <f aca="false">IF(AU989=1,SUM(AU$7:AU989),"")</f>
        <v/>
      </c>
      <c r="AW989" s="82" t="str">
        <f aca="false">IF(E989="","",B989&amp;"|"&amp;E989)</f>
        <v>MFD-ISW → MFD-CPF|JN°876</v>
      </c>
    </row>
    <row r="990" customFormat="false" ht="74.6" hidden="false" customHeight="false" outlineLevel="0" collapsed="false">
      <c r="A990" s="79" t="n">
        <f aca="false">IF(E990="","",ROW()-6)</f>
        <v>984</v>
      </c>
      <c r="B990" s="80" t="s">
        <v>110</v>
      </c>
      <c r="C990" s="81" t="s">
        <v>926</v>
      </c>
      <c r="D990" s="81" t="n">
        <v>6</v>
      </c>
      <c r="E990" s="81" t="s">
        <v>1165</v>
      </c>
      <c r="F990" s="82" t="str">
        <f aca="false">IF(E990="","",IF(LEFT(E990,2)="DJ","DJ","JN"))</f>
        <v>JN</v>
      </c>
      <c r="G990" s="81"/>
      <c r="H990" s="81"/>
      <c r="I990" s="81"/>
      <c r="J990" s="81"/>
      <c r="K990" s="81"/>
      <c r="L990" s="81"/>
      <c r="M990" s="81"/>
      <c r="N990" s="81"/>
      <c r="O990" s="81"/>
      <c r="P990" s="81"/>
      <c r="Q990" s="81"/>
      <c r="R990" s="81"/>
      <c r="S990" s="81"/>
      <c r="T990" s="81"/>
      <c r="U990" s="83"/>
      <c r="V990" s="83"/>
      <c r="W990" s="81"/>
      <c r="X990" s="81"/>
      <c r="Y990" s="83"/>
      <c r="Z990" s="81"/>
      <c r="AA990" s="81"/>
      <c r="AB990" s="81"/>
      <c r="AC990" s="81"/>
      <c r="AD990" s="81"/>
      <c r="AE990" s="83"/>
      <c r="AF990" s="81"/>
      <c r="AG990" s="81"/>
      <c r="AH990" s="81"/>
      <c r="AI990" s="81"/>
      <c r="AJ990" s="83"/>
      <c r="AK990" s="81"/>
      <c r="AL990" s="81"/>
      <c r="AM990" s="83"/>
      <c r="AN990" s="80"/>
      <c r="AO990" s="82" t="n">
        <f aca="false">IF(E990="","",(AA990&lt;&gt;"")+(AG990&lt;&gt;"")+(AL990&lt;&gt;""))</f>
        <v>0</v>
      </c>
      <c r="AP990" s="82" t="str">
        <f aca="false">IF(AL990&lt;&gt;"",AL990,IF(AG990&lt;&gt;"",AG990,IF(AA990&lt;&gt;"",AA990,"")))</f>
        <v/>
      </c>
      <c r="AQ990" s="84" t="str">
        <f aca="false">IF(E990="","",IF(U990="","À SOUDER",IF(X990="","VT EN ATTENTE",IF(X990="R","VT REJETÉ – À REPRENDRE",IF(AP990="","À RADIOGRAPHIER",IF(AP990="A","ACCEPTÉ",IF(AP990="NX","NX – RT À REFAIRE",IF(IF(AO990=1,AD990,IF(AO990=2,AI990,""))="A","RÉPARÉ – À RADIOGRAPHIER",IF(IF(AO990=1,AD990,IF(AO990=2,AI990,""))="R","VT REJETÉ – À REPRENDRE",IF(OR(AP990="CO",AP990="NT"),"COUPE – À RESOUDER","À RÉPARER"))))))))))</f>
        <v>À SOUDER</v>
      </c>
      <c r="AR990" s="82" t="str">
        <f aca="false">IF(AND(ISNUMBER(U990),OR(AQ990="À RADIOGRAPHIER",AQ990="RÉPARÉ – À RADIOGRAPHIER",AQ990="NX – RT À REFAIRE",AQ990="À RÉPARER",AQ990="COUPE – À RESOUDER",AQ990="VT REJETÉ – À REPRENDRE")),MAX(0,'PROGRAMME RT'!$C$4-U990),"")</f>
        <v/>
      </c>
      <c r="AS990" s="82" t="n">
        <f aca="false">IF(AND(OR(AQ990="À RADIOGRAPHIER",AQ990="RÉPARÉ – À RADIOGRAPHIER",AQ990="NX – RT À REFAIRE"),OR('PROGRAMME RT'!$D$5="TOUTES",B990='PROGRAMME RT'!$D$5)),1,0)</f>
        <v>0</v>
      </c>
      <c r="AT990" s="82" t="str">
        <f aca="false">IF(AS990=1,SUM(AS$7:AS990),"")</f>
        <v/>
      </c>
      <c r="AU990" s="82" t="n">
        <f aca="false">IF(AND(OR(AA990="R",AA990="NX",AA990="NT",AA990="CO"),OR('JOINTS DE RÉPARATION'!$D$5="TOUTES",B990='JOINTS DE RÉPARATION'!$D$5),OR('JOINTS DE RÉPARATION'!$L$4="TOUS",AQ990&lt;&gt;"ACCEPTÉ")),1,0)</f>
        <v>0</v>
      </c>
      <c r="AV990" s="82" t="str">
        <f aca="false">IF(AU990=1,SUM(AU$7:AU990),"")</f>
        <v/>
      </c>
      <c r="AW990" s="82" t="str">
        <f aca="false">IF(E990="","",B990&amp;"|"&amp;E990)</f>
        <v>MFD-ISW → MFD-CPF|JN°877</v>
      </c>
    </row>
    <row r="991" customFormat="false" ht="74.6" hidden="false" customHeight="false" outlineLevel="0" collapsed="false">
      <c r="A991" s="79" t="n">
        <f aca="false">IF(E991="","",ROW()-6)</f>
        <v>985</v>
      </c>
      <c r="B991" s="80" t="s">
        <v>110</v>
      </c>
      <c r="C991" s="81" t="s">
        <v>926</v>
      </c>
      <c r="D991" s="81" t="n">
        <v>6</v>
      </c>
      <c r="E991" s="81" t="s">
        <v>1166</v>
      </c>
      <c r="F991" s="82" t="str">
        <f aca="false">IF(E991="","",IF(LEFT(E991,2)="DJ","DJ","JN"))</f>
        <v>JN</v>
      </c>
      <c r="G991" s="81"/>
      <c r="H991" s="81"/>
      <c r="I991" s="81"/>
      <c r="J991" s="81"/>
      <c r="K991" s="81"/>
      <c r="L991" s="81"/>
      <c r="M991" s="81"/>
      <c r="N991" s="81"/>
      <c r="O991" s="81"/>
      <c r="P991" s="81"/>
      <c r="Q991" s="81"/>
      <c r="R991" s="81"/>
      <c r="S991" s="81"/>
      <c r="T991" s="81"/>
      <c r="U991" s="83"/>
      <c r="V991" s="83"/>
      <c r="W991" s="81"/>
      <c r="X991" s="81"/>
      <c r="Y991" s="83"/>
      <c r="Z991" s="81"/>
      <c r="AA991" s="81"/>
      <c r="AB991" s="81"/>
      <c r="AC991" s="81"/>
      <c r="AD991" s="81"/>
      <c r="AE991" s="83"/>
      <c r="AF991" s="81"/>
      <c r="AG991" s="81"/>
      <c r="AH991" s="81"/>
      <c r="AI991" s="81"/>
      <c r="AJ991" s="83"/>
      <c r="AK991" s="81"/>
      <c r="AL991" s="81"/>
      <c r="AM991" s="83"/>
      <c r="AN991" s="80"/>
      <c r="AO991" s="82" t="n">
        <f aca="false">IF(E991="","",(AA991&lt;&gt;"")+(AG991&lt;&gt;"")+(AL991&lt;&gt;""))</f>
        <v>0</v>
      </c>
      <c r="AP991" s="82" t="str">
        <f aca="false">IF(AL991&lt;&gt;"",AL991,IF(AG991&lt;&gt;"",AG991,IF(AA991&lt;&gt;"",AA991,"")))</f>
        <v/>
      </c>
      <c r="AQ991" s="84" t="str">
        <f aca="false">IF(E991="","",IF(U991="","À SOUDER",IF(X991="","VT EN ATTENTE",IF(X991="R","VT REJETÉ – À REPRENDRE",IF(AP991="","À RADIOGRAPHIER",IF(AP991="A","ACCEPTÉ",IF(AP991="NX","NX – RT À REFAIRE",IF(IF(AO991=1,AD991,IF(AO991=2,AI991,""))="A","RÉPARÉ – À RADIOGRAPHIER",IF(IF(AO991=1,AD991,IF(AO991=2,AI991,""))="R","VT REJETÉ – À REPRENDRE",IF(OR(AP991="CO",AP991="NT"),"COUPE – À RESOUDER","À RÉPARER"))))))))))</f>
        <v>À SOUDER</v>
      </c>
      <c r="AR991" s="82" t="str">
        <f aca="false">IF(AND(ISNUMBER(U991),OR(AQ991="À RADIOGRAPHIER",AQ991="RÉPARÉ – À RADIOGRAPHIER",AQ991="NX – RT À REFAIRE",AQ991="À RÉPARER",AQ991="COUPE – À RESOUDER",AQ991="VT REJETÉ – À REPRENDRE")),MAX(0,'PROGRAMME RT'!$C$4-U991),"")</f>
        <v/>
      </c>
      <c r="AS991" s="82" t="n">
        <f aca="false">IF(AND(OR(AQ991="À RADIOGRAPHIER",AQ991="RÉPARÉ – À RADIOGRAPHIER",AQ991="NX – RT À REFAIRE"),OR('PROGRAMME RT'!$D$5="TOUTES",B991='PROGRAMME RT'!$D$5)),1,0)</f>
        <v>0</v>
      </c>
      <c r="AT991" s="82" t="str">
        <f aca="false">IF(AS991=1,SUM(AS$7:AS991),"")</f>
        <v/>
      </c>
      <c r="AU991" s="82" t="n">
        <f aca="false">IF(AND(OR(AA991="R",AA991="NX",AA991="NT",AA991="CO"),OR('JOINTS DE RÉPARATION'!$D$5="TOUTES",B991='JOINTS DE RÉPARATION'!$D$5),OR('JOINTS DE RÉPARATION'!$L$4="TOUS",AQ991&lt;&gt;"ACCEPTÉ")),1,0)</f>
        <v>0</v>
      </c>
      <c r="AV991" s="82" t="str">
        <f aca="false">IF(AU991=1,SUM(AU$7:AU991),"")</f>
        <v/>
      </c>
      <c r="AW991" s="82" t="str">
        <f aca="false">IF(E991="","",B991&amp;"|"&amp;E991)</f>
        <v>MFD-ISW → MFD-CPF|JN°878</v>
      </c>
    </row>
    <row r="992" customFormat="false" ht="74.6" hidden="false" customHeight="false" outlineLevel="0" collapsed="false">
      <c r="A992" s="79" t="n">
        <f aca="false">IF(E992="","",ROW()-6)</f>
        <v>986</v>
      </c>
      <c r="B992" s="80" t="s">
        <v>110</v>
      </c>
      <c r="C992" s="81" t="s">
        <v>926</v>
      </c>
      <c r="D992" s="81" t="n">
        <v>6</v>
      </c>
      <c r="E992" s="81" t="s">
        <v>1167</v>
      </c>
      <c r="F992" s="82" t="str">
        <f aca="false">IF(E992="","",IF(LEFT(E992,2)="DJ","DJ","JN"))</f>
        <v>JN</v>
      </c>
      <c r="G992" s="81"/>
      <c r="H992" s="81"/>
      <c r="I992" s="81"/>
      <c r="J992" s="81"/>
      <c r="K992" s="81"/>
      <c r="L992" s="81"/>
      <c r="M992" s="81"/>
      <c r="N992" s="81"/>
      <c r="O992" s="81"/>
      <c r="P992" s="81"/>
      <c r="Q992" s="81"/>
      <c r="R992" s="81"/>
      <c r="S992" s="81"/>
      <c r="T992" s="81"/>
      <c r="U992" s="83"/>
      <c r="V992" s="83"/>
      <c r="W992" s="81"/>
      <c r="X992" s="81"/>
      <c r="Y992" s="83"/>
      <c r="Z992" s="81"/>
      <c r="AA992" s="81"/>
      <c r="AB992" s="81"/>
      <c r="AC992" s="81"/>
      <c r="AD992" s="81"/>
      <c r="AE992" s="83"/>
      <c r="AF992" s="81"/>
      <c r="AG992" s="81"/>
      <c r="AH992" s="81"/>
      <c r="AI992" s="81"/>
      <c r="AJ992" s="83"/>
      <c r="AK992" s="81"/>
      <c r="AL992" s="81"/>
      <c r="AM992" s="83"/>
      <c r="AN992" s="80"/>
      <c r="AO992" s="82" t="n">
        <f aca="false">IF(E992="","",(AA992&lt;&gt;"")+(AG992&lt;&gt;"")+(AL992&lt;&gt;""))</f>
        <v>0</v>
      </c>
      <c r="AP992" s="82" t="str">
        <f aca="false">IF(AL992&lt;&gt;"",AL992,IF(AG992&lt;&gt;"",AG992,IF(AA992&lt;&gt;"",AA992,"")))</f>
        <v/>
      </c>
      <c r="AQ992" s="84" t="str">
        <f aca="false">IF(E992="","",IF(U992="","À SOUDER",IF(X992="","VT EN ATTENTE",IF(X992="R","VT REJETÉ – À REPRENDRE",IF(AP992="","À RADIOGRAPHIER",IF(AP992="A","ACCEPTÉ",IF(AP992="NX","NX – RT À REFAIRE",IF(IF(AO992=1,AD992,IF(AO992=2,AI992,""))="A","RÉPARÉ – À RADIOGRAPHIER",IF(IF(AO992=1,AD992,IF(AO992=2,AI992,""))="R","VT REJETÉ – À REPRENDRE",IF(OR(AP992="CO",AP992="NT"),"COUPE – À RESOUDER","À RÉPARER"))))))))))</f>
        <v>À SOUDER</v>
      </c>
      <c r="AR992" s="82" t="str">
        <f aca="false">IF(AND(ISNUMBER(U992),OR(AQ992="À RADIOGRAPHIER",AQ992="RÉPARÉ – À RADIOGRAPHIER",AQ992="NX – RT À REFAIRE",AQ992="À RÉPARER",AQ992="COUPE – À RESOUDER",AQ992="VT REJETÉ – À REPRENDRE")),MAX(0,'PROGRAMME RT'!$C$4-U992),"")</f>
        <v/>
      </c>
      <c r="AS992" s="82" t="n">
        <f aca="false">IF(AND(OR(AQ992="À RADIOGRAPHIER",AQ992="RÉPARÉ – À RADIOGRAPHIER",AQ992="NX – RT À REFAIRE"),OR('PROGRAMME RT'!$D$5="TOUTES",B992='PROGRAMME RT'!$D$5)),1,0)</f>
        <v>0</v>
      </c>
      <c r="AT992" s="82" t="str">
        <f aca="false">IF(AS992=1,SUM(AS$7:AS992),"")</f>
        <v/>
      </c>
      <c r="AU992" s="82" t="n">
        <f aca="false">IF(AND(OR(AA992="R",AA992="NX",AA992="NT",AA992="CO"),OR('JOINTS DE RÉPARATION'!$D$5="TOUTES",B992='JOINTS DE RÉPARATION'!$D$5),OR('JOINTS DE RÉPARATION'!$L$4="TOUS",AQ992&lt;&gt;"ACCEPTÉ")),1,0)</f>
        <v>0</v>
      </c>
      <c r="AV992" s="82" t="str">
        <f aca="false">IF(AU992=1,SUM(AU$7:AU992),"")</f>
        <v/>
      </c>
      <c r="AW992" s="82" t="str">
        <f aca="false">IF(E992="","",B992&amp;"|"&amp;E992)</f>
        <v>MFD-ISW → MFD-CPF|JN°879</v>
      </c>
    </row>
    <row r="993" customFormat="false" ht="74.6" hidden="false" customHeight="false" outlineLevel="0" collapsed="false">
      <c r="A993" s="79" t="n">
        <f aca="false">IF(E993="","",ROW()-6)</f>
        <v>987</v>
      </c>
      <c r="B993" s="80" t="s">
        <v>110</v>
      </c>
      <c r="C993" s="81" t="s">
        <v>1168</v>
      </c>
      <c r="D993" s="81" t="n">
        <v>6</v>
      </c>
      <c r="E993" s="81" t="s">
        <v>1169</v>
      </c>
      <c r="F993" s="82" t="str">
        <f aca="false">IF(E993="","",IF(LEFT(E993,2)="DJ","DJ","JN"))</f>
        <v>JN</v>
      </c>
      <c r="G993" s="81"/>
      <c r="H993" s="81" t="s">
        <v>871</v>
      </c>
      <c r="I993" s="81" t="n">
        <v>9.53</v>
      </c>
      <c r="J993" s="81" t="s">
        <v>872</v>
      </c>
      <c r="K993" s="81" t="s">
        <v>879</v>
      </c>
      <c r="L993" s="81" t="n">
        <v>2095880</v>
      </c>
      <c r="M993" s="81" t="n">
        <v>15421111</v>
      </c>
      <c r="N993" s="81" t="n">
        <v>11.94</v>
      </c>
      <c r="O993" s="81" t="n">
        <v>2097910</v>
      </c>
      <c r="P993" s="81" t="n">
        <v>15421112</v>
      </c>
      <c r="Q993" s="81" t="n">
        <v>11.94</v>
      </c>
      <c r="R993" s="81" t="s">
        <v>1151</v>
      </c>
      <c r="S993" s="81"/>
      <c r="T993" s="81"/>
      <c r="U993" s="83" t="n">
        <v>46284</v>
      </c>
      <c r="V993" s="83" t="n">
        <v>46284</v>
      </c>
      <c r="W993" s="81" t="s">
        <v>1152</v>
      </c>
      <c r="X993" s="81" t="s">
        <v>876</v>
      </c>
      <c r="Y993" s="83" t="n">
        <v>46292</v>
      </c>
      <c r="Z993" s="81" t="s">
        <v>1139</v>
      </c>
      <c r="AA993" s="81" t="s">
        <v>876</v>
      </c>
      <c r="AB993" s="81"/>
      <c r="AC993" s="81"/>
      <c r="AD993" s="81"/>
      <c r="AE993" s="83"/>
      <c r="AF993" s="81"/>
      <c r="AG993" s="81"/>
      <c r="AH993" s="81"/>
      <c r="AI993" s="81"/>
      <c r="AJ993" s="83"/>
      <c r="AK993" s="81"/>
      <c r="AL993" s="81"/>
      <c r="AM993" s="83"/>
      <c r="AN993" s="80"/>
      <c r="AO993" s="82" t="n">
        <f aca="false">IF(E993="","",(AA993&lt;&gt;"")+(AG993&lt;&gt;"")+(AL993&lt;&gt;""))</f>
        <v>1</v>
      </c>
      <c r="AP993" s="82" t="str">
        <f aca="false">IF(AL993&lt;&gt;"",AL993,IF(AG993&lt;&gt;"",AG993,IF(AA993&lt;&gt;"",AA993,"")))</f>
        <v>A</v>
      </c>
      <c r="AQ993" s="84" t="str">
        <f aca="false">IF(E993="","",IF(U993="","À SOUDER",IF(X993="","VT EN ATTENTE",IF(X993="R","VT REJETÉ – À REPRENDRE",IF(AP993="","À RADIOGRAPHIER",IF(AP993="A","ACCEPTÉ",IF(AP993="NX","NX – RT À REFAIRE",IF(IF(AO993=1,AD993,IF(AO993=2,AI993,""))="A","RÉPARÉ – À RADIOGRAPHIER",IF(IF(AO993=1,AD993,IF(AO993=2,AI993,""))="R","VT REJETÉ – À REPRENDRE",IF(OR(AP993="CO",AP993="NT"),"COUPE – À RESOUDER","À RÉPARER"))))))))))</f>
        <v>ACCEPTÉ</v>
      </c>
      <c r="AR993" s="82" t="str">
        <f aca="false">IF(AND(ISNUMBER(U993),OR(AQ993="À RADIOGRAPHIER",AQ993="RÉPARÉ – À RADIOGRAPHIER",AQ993="NX – RT À REFAIRE",AQ993="À RÉPARER",AQ993="COUPE – À RESOUDER",AQ993="VT REJETÉ – À REPRENDRE")),MAX(0,'PROGRAMME RT'!$C$4-U993),"")</f>
        <v/>
      </c>
      <c r="AS993" s="82" t="n">
        <f aca="false">IF(AND(OR(AQ993="À RADIOGRAPHIER",AQ993="RÉPARÉ – À RADIOGRAPHIER",AQ993="NX – RT À REFAIRE"),OR('PROGRAMME RT'!$D$5="TOUTES",B993='PROGRAMME RT'!$D$5)),1,0)</f>
        <v>0</v>
      </c>
      <c r="AT993" s="82" t="str">
        <f aca="false">IF(AS993=1,SUM(AS$7:AS993),"")</f>
        <v/>
      </c>
      <c r="AU993" s="82" t="n">
        <f aca="false">IF(AND(OR(AA993="R",AA993="NX",AA993="NT",AA993="CO"),OR('JOINTS DE RÉPARATION'!$D$5="TOUTES",B993='JOINTS DE RÉPARATION'!$D$5),OR('JOINTS DE RÉPARATION'!$L$4="TOUS",AQ993&lt;&gt;"ACCEPTÉ")),1,0)</f>
        <v>0</v>
      </c>
      <c r="AV993" s="82" t="str">
        <f aca="false">IF(AU993=1,SUM(AU$7:AU993),"")</f>
        <v/>
      </c>
      <c r="AW993" s="82" t="str">
        <f aca="false">IF(E993="","",B993&amp;"|"&amp;E993)</f>
        <v>MFD-ISW → MFD-CPF|JN°880</v>
      </c>
    </row>
    <row r="994" customFormat="false" ht="74.6" hidden="false" customHeight="false" outlineLevel="0" collapsed="false">
      <c r="A994" s="79" t="n">
        <f aca="false">IF(E994="","",ROW()-6)</f>
        <v>988</v>
      </c>
      <c r="B994" s="80" t="s">
        <v>110</v>
      </c>
      <c r="C994" s="81" t="s">
        <v>1168</v>
      </c>
      <c r="D994" s="81" t="n">
        <v>6</v>
      </c>
      <c r="E994" s="81" t="s">
        <v>1170</v>
      </c>
      <c r="F994" s="82" t="str">
        <f aca="false">IF(E994="","",IF(LEFT(E994,2)="DJ","DJ","JN"))</f>
        <v>JN</v>
      </c>
      <c r="G994" s="81"/>
      <c r="H994" s="81" t="s">
        <v>871</v>
      </c>
      <c r="I994" s="81" t="n">
        <v>9.53</v>
      </c>
      <c r="J994" s="81" t="s">
        <v>872</v>
      </c>
      <c r="K994" s="81" t="s">
        <v>879</v>
      </c>
      <c r="L994" s="81" t="n">
        <v>2097910</v>
      </c>
      <c r="M994" s="81" t="n">
        <v>15421112</v>
      </c>
      <c r="N994" s="81" t="n">
        <v>11.94</v>
      </c>
      <c r="O994" s="81" t="n">
        <v>2094420</v>
      </c>
      <c r="P994" s="81" t="n">
        <v>15421111</v>
      </c>
      <c r="Q994" s="81" t="n">
        <v>11.94</v>
      </c>
      <c r="R994" s="81" t="s">
        <v>1151</v>
      </c>
      <c r="S994" s="81"/>
      <c r="T994" s="81"/>
      <c r="U994" s="83" t="n">
        <v>46284</v>
      </c>
      <c r="V994" s="83" t="n">
        <v>46284</v>
      </c>
      <c r="W994" s="81" t="s">
        <v>1152</v>
      </c>
      <c r="X994" s="81" t="s">
        <v>876</v>
      </c>
      <c r="Y994" s="83" t="n">
        <v>46292</v>
      </c>
      <c r="Z994" s="81" t="s">
        <v>1139</v>
      </c>
      <c r="AA994" s="81" t="s">
        <v>1073</v>
      </c>
      <c r="AB994" s="81" t="s">
        <v>1171</v>
      </c>
      <c r="AC994" s="81"/>
      <c r="AD994" s="81"/>
      <c r="AE994" s="83"/>
      <c r="AF994" s="81"/>
      <c r="AG994" s="81"/>
      <c r="AH994" s="81"/>
      <c r="AI994" s="81"/>
      <c r="AJ994" s="83"/>
      <c r="AK994" s="81"/>
      <c r="AL994" s="81"/>
      <c r="AM994" s="83"/>
      <c r="AN994" s="80"/>
      <c r="AO994" s="82" t="n">
        <f aca="false">IF(E994="","",(AA994&lt;&gt;"")+(AG994&lt;&gt;"")+(AL994&lt;&gt;""))</f>
        <v>1</v>
      </c>
      <c r="AP994" s="82" t="str">
        <f aca="false">IF(AL994&lt;&gt;"",AL994,IF(AG994&lt;&gt;"",AG994,IF(AA994&lt;&gt;"",AA994,"")))</f>
        <v>R</v>
      </c>
      <c r="AQ994" s="84" t="str">
        <f aca="false">IF(E994="","",IF(U994="","À SOUDER",IF(X994="","VT EN ATTENTE",IF(X994="R","VT REJETÉ – À REPRENDRE",IF(AP994="","À RADIOGRAPHIER",IF(AP994="A","ACCEPTÉ",IF(AP994="NX","NX – RT À REFAIRE",IF(IF(AO994=1,AD994,IF(AO994=2,AI994,""))="A","RÉPARÉ – À RADIOGRAPHIER",IF(IF(AO994=1,AD994,IF(AO994=2,AI994,""))="R","VT REJETÉ – À REPRENDRE",IF(OR(AP994="CO",AP994="NT"),"COUPE – À RESOUDER","À RÉPARER"))))))))))</f>
        <v>À RÉPARER</v>
      </c>
      <c r="AR994" s="82" t="n">
        <f aca="false">IF(AND(ISNUMBER(U994),OR(AQ994="À RADIOGRAPHIER",AQ994="RÉPARÉ – À RADIOGRAPHIER",AQ994="NX – RT À REFAIRE",AQ994="À RÉPARER",AQ994="COUPE – À RESOUDER",AQ994="VT REJETÉ – À REPRENDRE")),MAX(0,'PROGRAMME RT'!$C$4-U994),"")</f>
        <v>9</v>
      </c>
      <c r="AS994" s="82" t="n">
        <f aca="false">IF(AND(OR(AQ994="À RADIOGRAPHIER",AQ994="RÉPARÉ – À RADIOGRAPHIER",AQ994="NX – RT À REFAIRE"),OR('PROGRAMME RT'!$D$5="TOUTES",B994='PROGRAMME RT'!$D$5)),1,0)</f>
        <v>0</v>
      </c>
      <c r="AT994" s="82" t="str">
        <f aca="false">IF(AS994=1,SUM(AS$7:AS994),"")</f>
        <v/>
      </c>
      <c r="AU994" s="82" t="n">
        <f aca="false">IF(AND(OR(AA994="R",AA994="NX",AA994="NT",AA994="CO"),OR('JOINTS DE RÉPARATION'!$D$5="TOUTES",B994='JOINTS DE RÉPARATION'!$D$5),OR('JOINTS DE RÉPARATION'!$L$4="TOUS",AQ994&lt;&gt;"ACCEPTÉ")),1,0)</f>
        <v>1</v>
      </c>
      <c r="AV994" s="82" t="n">
        <f aca="false">IF(AU994=1,SUM(AU$7:AU994),"")</f>
        <v>4</v>
      </c>
      <c r="AW994" s="82" t="str">
        <f aca="false">IF(E994="","",B994&amp;"|"&amp;E994)</f>
        <v>MFD-ISW → MFD-CPF|JN°881</v>
      </c>
    </row>
    <row r="995" customFormat="false" ht="74.6" hidden="false" customHeight="false" outlineLevel="0" collapsed="false">
      <c r="A995" s="79" t="n">
        <f aca="false">IF(E995="","",ROW()-6)</f>
        <v>989</v>
      </c>
      <c r="B995" s="80" t="s">
        <v>110</v>
      </c>
      <c r="C995" s="81" t="s">
        <v>1168</v>
      </c>
      <c r="D995" s="81" t="n">
        <v>6</v>
      </c>
      <c r="E995" s="81" t="s">
        <v>1172</v>
      </c>
      <c r="F995" s="82" t="str">
        <f aca="false">IF(E995="","",IF(LEFT(E995,2)="DJ","DJ","JN"))</f>
        <v>JN</v>
      </c>
      <c r="G995" s="81"/>
      <c r="H995" s="81" t="s">
        <v>871</v>
      </c>
      <c r="I995" s="81" t="n">
        <v>9.53</v>
      </c>
      <c r="J995" s="81" t="s">
        <v>872</v>
      </c>
      <c r="K995" s="81" t="s">
        <v>879</v>
      </c>
      <c r="L995" s="81" t="n">
        <v>2094420</v>
      </c>
      <c r="M995" s="81" t="n">
        <v>15421111</v>
      </c>
      <c r="N995" s="81" t="n">
        <v>11.94</v>
      </c>
      <c r="O995" s="81" t="n">
        <v>2086490</v>
      </c>
      <c r="P995" s="81" t="n">
        <v>15421107</v>
      </c>
      <c r="Q995" s="81" t="n">
        <v>11.94</v>
      </c>
      <c r="R995" s="81" t="s">
        <v>1151</v>
      </c>
      <c r="S995" s="81"/>
      <c r="T995" s="81"/>
      <c r="U995" s="83" t="n">
        <v>46284</v>
      </c>
      <c r="V995" s="83" t="n">
        <v>46284</v>
      </c>
      <c r="W995" s="81" t="s">
        <v>1152</v>
      </c>
      <c r="X995" s="81" t="s">
        <v>876</v>
      </c>
      <c r="Y995" s="83" t="n">
        <v>46292</v>
      </c>
      <c r="Z995" s="81" t="s">
        <v>1139</v>
      </c>
      <c r="AA995" s="81" t="s">
        <v>876</v>
      </c>
      <c r="AB995" s="81"/>
      <c r="AC995" s="81"/>
      <c r="AD995" s="81"/>
      <c r="AE995" s="83"/>
      <c r="AF995" s="81"/>
      <c r="AG995" s="81"/>
      <c r="AH995" s="81"/>
      <c r="AI995" s="81"/>
      <c r="AJ995" s="83"/>
      <c r="AK995" s="81"/>
      <c r="AL995" s="81"/>
      <c r="AM995" s="83"/>
      <c r="AN995" s="80"/>
      <c r="AO995" s="82" t="n">
        <f aca="false">IF(E995="","",(AA995&lt;&gt;"")+(AG995&lt;&gt;"")+(AL995&lt;&gt;""))</f>
        <v>1</v>
      </c>
      <c r="AP995" s="82" t="str">
        <f aca="false">IF(AL995&lt;&gt;"",AL995,IF(AG995&lt;&gt;"",AG995,IF(AA995&lt;&gt;"",AA995,"")))</f>
        <v>A</v>
      </c>
      <c r="AQ995" s="84" t="str">
        <f aca="false">IF(E995="","",IF(U995="","À SOUDER",IF(X995="","VT EN ATTENTE",IF(X995="R","VT REJETÉ – À REPRENDRE",IF(AP995="","À RADIOGRAPHIER",IF(AP995="A","ACCEPTÉ",IF(AP995="NX","NX – RT À REFAIRE",IF(IF(AO995=1,AD995,IF(AO995=2,AI995,""))="A","RÉPARÉ – À RADIOGRAPHIER",IF(IF(AO995=1,AD995,IF(AO995=2,AI995,""))="R","VT REJETÉ – À REPRENDRE",IF(OR(AP995="CO",AP995="NT"),"COUPE – À RESOUDER","À RÉPARER"))))))))))</f>
        <v>ACCEPTÉ</v>
      </c>
      <c r="AR995" s="82" t="str">
        <f aca="false">IF(AND(ISNUMBER(U995),OR(AQ995="À RADIOGRAPHIER",AQ995="RÉPARÉ – À RADIOGRAPHIER",AQ995="NX – RT À REFAIRE",AQ995="À RÉPARER",AQ995="COUPE – À RESOUDER",AQ995="VT REJETÉ – À REPRENDRE")),MAX(0,'PROGRAMME RT'!$C$4-U995),"")</f>
        <v/>
      </c>
      <c r="AS995" s="82" t="n">
        <f aca="false">IF(AND(OR(AQ995="À RADIOGRAPHIER",AQ995="RÉPARÉ – À RADIOGRAPHIER",AQ995="NX – RT À REFAIRE"),OR('PROGRAMME RT'!$D$5="TOUTES",B995='PROGRAMME RT'!$D$5)),1,0)</f>
        <v>0</v>
      </c>
      <c r="AT995" s="82" t="str">
        <f aca="false">IF(AS995=1,SUM(AS$7:AS995),"")</f>
        <v/>
      </c>
      <c r="AU995" s="82" t="n">
        <f aca="false">IF(AND(OR(AA995="R",AA995="NX",AA995="NT",AA995="CO"),OR('JOINTS DE RÉPARATION'!$D$5="TOUTES",B995='JOINTS DE RÉPARATION'!$D$5),OR('JOINTS DE RÉPARATION'!$L$4="TOUS",AQ995&lt;&gt;"ACCEPTÉ")),1,0)</f>
        <v>0</v>
      </c>
      <c r="AV995" s="82" t="str">
        <f aca="false">IF(AU995=1,SUM(AU$7:AU995),"")</f>
        <v/>
      </c>
      <c r="AW995" s="82" t="str">
        <f aca="false">IF(E995="","",B995&amp;"|"&amp;E995)</f>
        <v>MFD-ISW → MFD-CPF|JN°882</v>
      </c>
    </row>
    <row r="996" customFormat="false" ht="74.6" hidden="false" customHeight="false" outlineLevel="0" collapsed="false">
      <c r="A996" s="79" t="n">
        <f aca="false">IF(E996="","",ROW()-6)</f>
        <v>990</v>
      </c>
      <c r="B996" s="80" t="s">
        <v>110</v>
      </c>
      <c r="C996" s="81" t="s">
        <v>926</v>
      </c>
      <c r="D996" s="81" t="n">
        <v>7</v>
      </c>
      <c r="E996" s="81" t="s">
        <v>1173</v>
      </c>
      <c r="F996" s="82" t="str">
        <f aca="false">IF(E996="","",IF(LEFT(E996,2)="DJ","DJ","JN"))</f>
        <v>JN</v>
      </c>
      <c r="G996" s="81"/>
      <c r="H996" s="81"/>
      <c r="I996" s="81"/>
      <c r="J996" s="81"/>
      <c r="K996" s="81"/>
      <c r="L996" s="81"/>
      <c r="M996" s="81"/>
      <c r="N996" s="81"/>
      <c r="O996" s="81"/>
      <c r="P996" s="81"/>
      <c r="Q996" s="81"/>
      <c r="R996" s="81"/>
      <c r="S996" s="81"/>
      <c r="T996" s="81"/>
      <c r="U996" s="83"/>
      <c r="V996" s="83"/>
      <c r="W996" s="81"/>
      <c r="X996" s="81"/>
      <c r="Y996" s="83"/>
      <c r="Z996" s="81"/>
      <c r="AA996" s="81"/>
      <c r="AB996" s="81"/>
      <c r="AC996" s="81"/>
      <c r="AD996" s="81"/>
      <c r="AE996" s="83"/>
      <c r="AF996" s="81"/>
      <c r="AG996" s="81"/>
      <c r="AH996" s="81"/>
      <c r="AI996" s="81"/>
      <c r="AJ996" s="83"/>
      <c r="AK996" s="81"/>
      <c r="AL996" s="81"/>
      <c r="AM996" s="83"/>
      <c r="AN996" s="80"/>
      <c r="AO996" s="82" t="n">
        <f aca="false">IF(E996="","",(AA996&lt;&gt;"")+(AG996&lt;&gt;"")+(AL996&lt;&gt;""))</f>
        <v>0</v>
      </c>
      <c r="AP996" s="82" t="str">
        <f aca="false">IF(AL996&lt;&gt;"",AL996,IF(AG996&lt;&gt;"",AG996,IF(AA996&lt;&gt;"",AA996,"")))</f>
        <v/>
      </c>
      <c r="AQ996" s="84" t="str">
        <f aca="false">IF(E996="","",IF(U996="","À SOUDER",IF(X996="","VT EN ATTENTE",IF(X996="R","VT REJETÉ – À REPRENDRE",IF(AP996="","À RADIOGRAPHIER",IF(AP996="A","ACCEPTÉ",IF(AP996="NX","NX – RT À REFAIRE",IF(IF(AO996=1,AD996,IF(AO996=2,AI996,""))="A","RÉPARÉ – À RADIOGRAPHIER",IF(IF(AO996=1,AD996,IF(AO996=2,AI996,""))="R","VT REJETÉ – À REPRENDRE",IF(OR(AP996="CO",AP996="NT"),"COUPE – À RESOUDER","À RÉPARER"))))))))))</f>
        <v>À SOUDER</v>
      </c>
      <c r="AR996" s="82" t="str">
        <f aca="false">IF(AND(ISNUMBER(U996),OR(AQ996="À RADIOGRAPHIER",AQ996="RÉPARÉ – À RADIOGRAPHIER",AQ996="NX – RT À REFAIRE",AQ996="À RÉPARER",AQ996="COUPE – À RESOUDER",AQ996="VT REJETÉ – À REPRENDRE")),MAX(0,'PROGRAMME RT'!$C$4-U996),"")</f>
        <v/>
      </c>
      <c r="AS996" s="82" t="n">
        <f aca="false">IF(AND(OR(AQ996="À RADIOGRAPHIER",AQ996="RÉPARÉ – À RADIOGRAPHIER",AQ996="NX – RT À REFAIRE"),OR('PROGRAMME RT'!$D$5="TOUTES",B996='PROGRAMME RT'!$D$5)),1,0)</f>
        <v>0</v>
      </c>
      <c r="AT996" s="82" t="str">
        <f aca="false">IF(AS996=1,SUM(AS$7:AS996),"")</f>
        <v/>
      </c>
      <c r="AU996" s="82" t="n">
        <f aca="false">IF(AND(OR(AA996="R",AA996="NX",AA996="NT",AA996="CO"),OR('JOINTS DE RÉPARATION'!$D$5="TOUTES",B996='JOINTS DE RÉPARATION'!$D$5),OR('JOINTS DE RÉPARATION'!$L$4="TOUS",AQ996&lt;&gt;"ACCEPTÉ")),1,0)</f>
        <v>0</v>
      </c>
      <c r="AV996" s="82" t="str">
        <f aca="false">IF(AU996=1,SUM(AU$7:AU996),"")</f>
        <v/>
      </c>
      <c r="AW996" s="82" t="str">
        <f aca="false">IF(E996="","",B996&amp;"|"&amp;E996)</f>
        <v>MFD-ISW → MFD-CPF|JN°883</v>
      </c>
    </row>
    <row r="997" customFormat="false" ht="74.6" hidden="false" customHeight="false" outlineLevel="0" collapsed="false">
      <c r="A997" s="79" t="n">
        <f aca="false">IF(E997="","",ROW()-6)</f>
        <v>991</v>
      </c>
      <c r="B997" s="80" t="s">
        <v>110</v>
      </c>
      <c r="C997" s="81" t="s">
        <v>926</v>
      </c>
      <c r="D997" s="81" t="n">
        <v>7</v>
      </c>
      <c r="E997" s="81" t="s">
        <v>1174</v>
      </c>
      <c r="F997" s="82" t="str">
        <f aca="false">IF(E997="","",IF(LEFT(E997,2)="DJ","DJ","JN"))</f>
        <v>JN</v>
      </c>
      <c r="G997" s="81"/>
      <c r="H997" s="81"/>
      <c r="I997" s="81"/>
      <c r="J997" s="81"/>
      <c r="K997" s="81"/>
      <c r="L997" s="81"/>
      <c r="M997" s="81"/>
      <c r="N997" s="81"/>
      <c r="O997" s="81"/>
      <c r="P997" s="81"/>
      <c r="Q997" s="81"/>
      <c r="R997" s="81"/>
      <c r="S997" s="81"/>
      <c r="T997" s="81"/>
      <c r="U997" s="83"/>
      <c r="V997" s="83"/>
      <c r="W997" s="81"/>
      <c r="X997" s="81"/>
      <c r="Y997" s="83"/>
      <c r="Z997" s="81"/>
      <c r="AA997" s="81"/>
      <c r="AB997" s="81"/>
      <c r="AC997" s="81"/>
      <c r="AD997" s="81"/>
      <c r="AE997" s="83"/>
      <c r="AF997" s="81"/>
      <c r="AG997" s="81"/>
      <c r="AH997" s="81"/>
      <c r="AI997" s="81"/>
      <c r="AJ997" s="83"/>
      <c r="AK997" s="81"/>
      <c r="AL997" s="81"/>
      <c r="AM997" s="83"/>
      <c r="AN997" s="80"/>
      <c r="AO997" s="82" t="n">
        <f aca="false">IF(E997="","",(AA997&lt;&gt;"")+(AG997&lt;&gt;"")+(AL997&lt;&gt;""))</f>
        <v>0</v>
      </c>
      <c r="AP997" s="82" t="str">
        <f aca="false">IF(AL997&lt;&gt;"",AL997,IF(AG997&lt;&gt;"",AG997,IF(AA997&lt;&gt;"",AA997,"")))</f>
        <v/>
      </c>
      <c r="AQ997" s="84" t="str">
        <f aca="false">IF(E997="","",IF(U997="","À SOUDER",IF(X997="","VT EN ATTENTE",IF(X997="R","VT REJETÉ – À REPRENDRE",IF(AP997="","À RADIOGRAPHIER",IF(AP997="A","ACCEPTÉ",IF(AP997="NX","NX – RT À REFAIRE",IF(IF(AO997=1,AD997,IF(AO997=2,AI997,""))="A","RÉPARÉ – À RADIOGRAPHIER",IF(IF(AO997=1,AD997,IF(AO997=2,AI997,""))="R","VT REJETÉ – À REPRENDRE",IF(OR(AP997="CO",AP997="NT"),"COUPE – À RESOUDER","À RÉPARER"))))))))))</f>
        <v>À SOUDER</v>
      </c>
      <c r="AR997" s="82" t="str">
        <f aca="false">IF(AND(ISNUMBER(U997),OR(AQ997="À RADIOGRAPHIER",AQ997="RÉPARÉ – À RADIOGRAPHIER",AQ997="NX – RT À REFAIRE",AQ997="À RÉPARER",AQ997="COUPE – À RESOUDER",AQ997="VT REJETÉ – À REPRENDRE")),MAX(0,'PROGRAMME RT'!$C$4-U997),"")</f>
        <v/>
      </c>
      <c r="AS997" s="82" t="n">
        <f aca="false">IF(AND(OR(AQ997="À RADIOGRAPHIER",AQ997="RÉPARÉ – À RADIOGRAPHIER",AQ997="NX – RT À REFAIRE"),OR('PROGRAMME RT'!$D$5="TOUTES",B997='PROGRAMME RT'!$D$5)),1,0)</f>
        <v>0</v>
      </c>
      <c r="AT997" s="82" t="str">
        <f aca="false">IF(AS997=1,SUM(AS$7:AS997),"")</f>
        <v/>
      </c>
      <c r="AU997" s="82" t="n">
        <f aca="false">IF(AND(OR(AA997="R",AA997="NX",AA997="NT",AA997="CO"),OR('JOINTS DE RÉPARATION'!$D$5="TOUTES",B997='JOINTS DE RÉPARATION'!$D$5),OR('JOINTS DE RÉPARATION'!$L$4="TOUS",AQ997&lt;&gt;"ACCEPTÉ")),1,0)</f>
        <v>0</v>
      </c>
      <c r="AV997" s="82" t="str">
        <f aca="false">IF(AU997=1,SUM(AU$7:AU997),"")</f>
        <v/>
      </c>
      <c r="AW997" s="82" t="str">
        <f aca="false">IF(E997="","",B997&amp;"|"&amp;E997)</f>
        <v>MFD-ISW → MFD-CPF|JN°884</v>
      </c>
    </row>
    <row r="998" customFormat="false" ht="74.6" hidden="false" customHeight="false" outlineLevel="0" collapsed="false">
      <c r="A998" s="79" t="n">
        <f aca="false">IF(E998="","",ROW()-6)</f>
        <v>992</v>
      </c>
      <c r="B998" s="80" t="s">
        <v>110</v>
      </c>
      <c r="C998" s="81" t="s">
        <v>926</v>
      </c>
      <c r="D998" s="81" t="n">
        <v>7</v>
      </c>
      <c r="E998" s="81" t="s">
        <v>1175</v>
      </c>
      <c r="F998" s="82" t="str">
        <f aca="false">IF(E998="","",IF(LEFT(E998,2)="DJ","DJ","JN"))</f>
        <v>JN</v>
      </c>
      <c r="G998" s="81"/>
      <c r="H998" s="81"/>
      <c r="I998" s="81"/>
      <c r="J998" s="81"/>
      <c r="K998" s="81"/>
      <c r="L998" s="81"/>
      <c r="M998" s="81"/>
      <c r="N998" s="81"/>
      <c r="O998" s="81"/>
      <c r="P998" s="81"/>
      <c r="Q998" s="81"/>
      <c r="R998" s="81"/>
      <c r="S998" s="81"/>
      <c r="T998" s="81"/>
      <c r="U998" s="83"/>
      <c r="V998" s="83"/>
      <c r="W998" s="81"/>
      <c r="X998" s="81"/>
      <c r="Y998" s="83"/>
      <c r="Z998" s="81"/>
      <c r="AA998" s="81"/>
      <c r="AB998" s="81"/>
      <c r="AC998" s="81"/>
      <c r="AD998" s="81"/>
      <c r="AE998" s="83"/>
      <c r="AF998" s="81"/>
      <c r="AG998" s="81"/>
      <c r="AH998" s="81"/>
      <c r="AI998" s="81"/>
      <c r="AJ998" s="83"/>
      <c r="AK998" s="81"/>
      <c r="AL998" s="81"/>
      <c r="AM998" s="83"/>
      <c r="AN998" s="80"/>
      <c r="AO998" s="82" t="n">
        <f aca="false">IF(E998="","",(AA998&lt;&gt;"")+(AG998&lt;&gt;"")+(AL998&lt;&gt;""))</f>
        <v>0</v>
      </c>
      <c r="AP998" s="82" t="str">
        <f aca="false">IF(AL998&lt;&gt;"",AL998,IF(AG998&lt;&gt;"",AG998,IF(AA998&lt;&gt;"",AA998,"")))</f>
        <v/>
      </c>
      <c r="AQ998" s="84" t="str">
        <f aca="false">IF(E998="","",IF(U998="","À SOUDER",IF(X998="","VT EN ATTENTE",IF(X998="R","VT REJETÉ – À REPRENDRE",IF(AP998="","À RADIOGRAPHIER",IF(AP998="A","ACCEPTÉ",IF(AP998="NX","NX – RT À REFAIRE",IF(IF(AO998=1,AD998,IF(AO998=2,AI998,""))="A","RÉPARÉ – À RADIOGRAPHIER",IF(IF(AO998=1,AD998,IF(AO998=2,AI998,""))="R","VT REJETÉ – À REPRENDRE",IF(OR(AP998="CO",AP998="NT"),"COUPE – À RESOUDER","À RÉPARER"))))))))))</f>
        <v>À SOUDER</v>
      </c>
      <c r="AR998" s="82" t="str">
        <f aca="false">IF(AND(ISNUMBER(U998),OR(AQ998="À RADIOGRAPHIER",AQ998="RÉPARÉ – À RADIOGRAPHIER",AQ998="NX – RT À REFAIRE",AQ998="À RÉPARER",AQ998="COUPE – À RESOUDER",AQ998="VT REJETÉ – À REPRENDRE")),MAX(0,'PROGRAMME RT'!$C$4-U998),"")</f>
        <v/>
      </c>
      <c r="AS998" s="82" t="n">
        <f aca="false">IF(AND(OR(AQ998="À RADIOGRAPHIER",AQ998="RÉPARÉ – À RADIOGRAPHIER",AQ998="NX – RT À REFAIRE"),OR('PROGRAMME RT'!$D$5="TOUTES",B998='PROGRAMME RT'!$D$5)),1,0)</f>
        <v>0</v>
      </c>
      <c r="AT998" s="82" t="str">
        <f aca="false">IF(AS998=1,SUM(AS$7:AS998),"")</f>
        <v/>
      </c>
      <c r="AU998" s="82" t="n">
        <f aca="false">IF(AND(OR(AA998="R",AA998="NX",AA998="NT",AA998="CO"),OR('JOINTS DE RÉPARATION'!$D$5="TOUTES",B998='JOINTS DE RÉPARATION'!$D$5),OR('JOINTS DE RÉPARATION'!$L$4="TOUS",AQ998&lt;&gt;"ACCEPTÉ")),1,0)</f>
        <v>0</v>
      </c>
      <c r="AV998" s="82" t="str">
        <f aca="false">IF(AU998=1,SUM(AU$7:AU998),"")</f>
        <v/>
      </c>
      <c r="AW998" s="82" t="str">
        <f aca="false">IF(E998="","",B998&amp;"|"&amp;E998)</f>
        <v>MFD-ISW → MFD-CPF|JN°885</v>
      </c>
    </row>
    <row r="999" customFormat="false" ht="74.6" hidden="false" customHeight="false" outlineLevel="0" collapsed="false">
      <c r="A999" s="79" t="n">
        <f aca="false">IF(E999="","",ROW()-6)</f>
        <v>993</v>
      </c>
      <c r="B999" s="80" t="s">
        <v>110</v>
      </c>
      <c r="C999" s="81" t="s">
        <v>926</v>
      </c>
      <c r="D999" s="81" t="n">
        <v>7</v>
      </c>
      <c r="E999" s="81" t="s">
        <v>1176</v>
      </c>
      <c r="F999" s="82" t="str">
        <f aca="false">IF(E999="","",IF(LEFT(E999,2)="DJ","DJ","JN"))</f>
        <v>JN</v>
      </c>
      <c r="G999" s="81"/>
      <c r="H999" s="81"/>
      <c r="I999" s="81"/>
      <c r="J999" s="81"/>
      <c r="K999" s="81"/>
      <c r="L999" s="81"/>
      <c r="M999" s="81"/>
      <c r="N999" s="81"/>
      <c r="O999" s="81"/>
      <c r="P999" s="81"/>
      <c r="Q999" s="81"/>
      <c r="R999" s="81"/>
      <c r="S999" s="81"/>
      <c r="T999" s="81"/>
      <c r="U999" s="83"/>
      <c r="V999" s="83"/>
      <c r="W999" s="81"/>
      <c r="X999" s="81"/>
      <c r="Y999" s="83"/>
      <c r="Z999" s="81"/>
      <c r="AA999" s="81"/>
      <c r="AB999" s="81"/>
      <c r="AC999" s="81"/>
      <c r="AD999" s="81"/>
      <c r="AE999" s="83"/>
      <c r="AF999" s="81"/>
      <c r="AG999" s="81"/>
      <c r="AH999" s="81"/>
      <c r="AI999" s="81"/>
      <c r="AJ999" s="83"/>
      <c r="AK999" s="81"/>
      <c r="AL999" s="81"/>
      <c r="AM999" s="83"/>
      <c r="AN999" s="80"/>
      <c r="AO999" s="82" t="n">
        <f aca="false">IF(E999="","",(AA999&lt;&gt;"")+(AG999&lt;&gt;"")+(AL999&lt;&gt;""))</f>
        <v>0</v>
      </c>
      <c r="AP999" s="82" t="str">
        <f aca="false">IF(AL999&lt;&gt;"",AL999,IF(AG999&lt;&gt;"",AG999,IF(AA999&lt;&gt;"",AA999,"")))</f>
        <v/>
      </c>
      <c r="AQ999" s="84" t="str">
        <f aca="false">IF(E999="","",IF(U999="","À SOUDER",IF(X999="","VT EN ATTENTE",IF(X999="R","VT REJETÉ – À REPRENDRE",IF(AP999="","À RADIOGRAPHIER",IF(AP999="A","ACCEPTÉ",IF(AP999="NX","NX – RT À REFAIRE",IF(IF(AO999=1,AD999,IF(AO999=2,AI999,""))="A","RÉPARÉ – À RADIOGRAPHIER",IF(IF(AO999=1,AD999,IF(AO999=2,AI999,""))="R","VT REJETÉ – À REPRENDRE",IF(OR(AP999="CO",AP999="NT"),"COUPE – À RESOUDER","À RÉPARER"))))))))))</f>
        <v>À SOUDER</v>
      </c>
      <c r="AR999" s="82" t="str">
        <f aca="false">IF(AND(ISNUMBER(U999),OR(AQ999="À RADIOGRAPHIER",AQ999="RÉPARÉ – À RADIOGRAPHIER",AQ999="NX – RT À REFAIRE",AQ999="À RÉPARER",AQ999="COUPE – À RESOUDER",AQ999="VT REJETÉ – À REPRENDRE")),MAX(0,'PROGRAMME RT'!$C$4-U999),"")</f>
        <v/>
      </c>
      <c r="AS999" s="82" t="n">
        <f aca="false">IF(AND(OR(AQ999="À RADIOGRAPHIER",AQ999="RÉPARÉ – À RADIOGRAPHIER",AQ999="NX – RT À REFAIRE"),OR('PROGRAMME RT'!$D$5="TOUTES",B999='PROGRAMME RT'!$D$5)),1,0)</f>
        <v>0</v>
      </c>
      <c r="AT999" s="82" t="str">
        <f aca="false">IF(AS999=1,SUM(AS$7:AS999),"")</f>
        <v/>
      </c>
      <c r="AU999" s="82" t="n">
        <f aca="false">IF(AND(OR(AA999="R",AA999="NX",AA999="NT",AA999="CO"),OR('JOINTS DE RÉPARATION'!$D$5="TOUTES",B999='JOINTS DE RÉPARATION'!$D$5),OR('JOINTS DE RÉPARATION'!$L$4="TOUS",AQ999&lt;&gt;"ACCEPTÉ")),1,0)</f>
        <v>0</v>
      </c>
      <c r="AV999" s="82" t="str">
        <f aca="false">IF(AU999=1,SUM(AU$7:AU999),"")</f>
        <v/>
      </c>
      <c r="AW999" s="82" t="str">
        <f aca="false">IF(E999="","",B999&amp;"|"&amp;E999)</f>
        <v>MFD-ISW → MFD-CPF|JN°886</v>
      </c>
    </row>
    <row r="1000" customFormat="false" ht="74.6" hidden="false" customHeight="false" outlineLevel="0" collapsed="false">
      <c r="A1000" s="79" t="n">
        <f aca="false">IF(E1000="","",ROW()-6)</f>
        <v>994</v>
      </c>
      <c r="B1000" s="80" t="s">
        <v>110</v>
      </c>
      <c r="C1000" s="81" t="s">
        <v>926</v>
      </c>
      <c r="D1000" s="81" t="n">
        <v>7</v>
      </c>
      <c r="E1000" s="81" t="s">
        <v>1177</v>
      </c>
      <c r="F1000" s="82" t="str">
        <f aca="false">IF(E1000="","",IF(LEFT(E1000,2)="DJ","DJ","JN"))</f>
        <v>JN</v>
      </c>
      <c r="G1000" s="81"/>
      <c r="H1000" s="81"/>
      <c r="I1000" s="81"/>
      <c r="J1000" s="81"/>
      <c r="K1000" s="81"/>
      <c r="L1000" s="81"/>
      <c r="M1000" s="81"/>
      <c r="N1000" s="81"/>
      <c r="O1000" s="81"/>
      <c r="P1000" s="81"/>
      <c r="Q1000" s="81"/>
      <c r="R1000" s="81"/>
      <c r="S1000" s="81"/>
      <c r="T1000" s="81"/>
      <c r="U1000" s="83"/>
      <c r="V1000" s="83"/>
      <c r="W1000" s="81"/>
      <c r="X1000" s="81"/>
      <c r="Y1000" s="83"/>
      <c r="Z1000" s="81"/>
      <c r="AA1000" s="81"/>
      <c r="AB1000" s="81"/>
      <c r="AC1000" s="81"/>
      <c r="AD1000" s="81"/>
      <c r="AE1000" s="83"/>
      <c r="AF1000" s="81"/>
      <c r="AG1000" s="81"/>
      <c r="AH1000" s="81"/>
      <c r="AI1000" s="81"/>
      <c r="AJ1000" s="83"/>
      <c r="AK1000" s="81"/>
      <c r="AL1000" s="81"/>
      <c r="AM1000" s="83"/>
      <c r="AN1000" s="80"/>
      <c r="AO1000" s="82" t="n">
        <f aca="false">IF(E1000="","",(AA1000&lt;&gt;"")+(AG1000&lt;&gt;"")+(AL1000&lt;&gt;""))</f>
        <v>0</v>
      </c>
      <c r="AP1000" s="82" t="str">
        <f aca="false">IF(AL1000&lt;&gt;"",AL1000,IF(AG1000&lt;&gt;"",AG1000,IF(AA1000&lt;&gt;"",AA1000,"")))</f>
        <v/>
      </c>
      <c r="AQ1000" s="84" t="str">
        <f aca="false">IF(E1000="","",IF(U1000="","À SOUDER",IF(X1000="","VT EN ATTENTE",IF(X1000="R","VT REJETÉ – À REPRENDRE",IF(AP1000="","À RADIOGRAPHIER",IF(AP1000="A","ACCEPTÉ",IF(AP1000="NX","NX – RT À REFAIRE",IF(IF(AO1000=1,AD1000,IF(AO1000=2,AI1000,""))="A","RÉPARÉ – À RADIOGRAPHIER",IF(IF(AO1000=1,AD1000,IF(AO1000=2,AI1000,""))="R","VT REJETÉ – À REPRENDRE",IF(OR(AP1000="CO",AP1000="NT"),"COUPE – À RESOUDER","À RÉPARER"))))))))))</f>
        <v>À SOUDER</v>
      </c>
      <c r="AR1000" s="82" t="str">
        <f aca="false">IF(AND(ISNUMBER(U1000),OR(AQ1000="À RADIOGRAPHIER",AQ1000="RÉPARÉ – À RADIOGRAPHIER",AQ1000="NX – RT À REFAIRE",AQ1000="À RÉPARER",AQ1000="COUPE – À RESOUDER",AQ1000="VT REJETÉ – À REPRENDRE")),MAX(0,'PROGRAMME RT'!$C$4-U1000),"")</f>
        <v/>
      </c>
      <c r="AS1000" s="82" t="n">
        <f aca="false">IF(AND(OR(AQ1000="À RADIOGRAPHIER",AQ1000="RÉPARÉ – À RADIOGRAPHIER",AQ1000="NX – RT À REFAIRE"),OR('PROGRAMME RT'!$D$5="TOUTES",B1000='PROGRAMME RT'!$D$5)),1,0)</f>
        <v>0</v>
      </c>
      <c r="AT1000" s="82" t="str">
        <f aca="false">IF(AS1000=1,SUM(AS$7:AS1000),"")</f>
        <v/>
      </c>
      <c r="AU1000" s="82" t="n">
        <f aca="false">IF(AND(OR(AA1000="R",AA1000="NX",AA1000="NT",AA1000="CO"),OR('JOINTS DE RÉPARATION'!$D$5="TOUTES",B1000='JOINTS DE RÉPARATION'!$D$5),OR('JOINTS DE RÉPARATION'!$L$4="TOUS",AQ1000&lt;&gt;"ACCEPTÉ")),1,0)</f>
        <v>0</v>
      </c>
      <c r="AV1000" s="82" t="str">
        <f aca="false">IF(AU1000=1,SUM(AU$7:AU1000),"")</f>
        <v/>
      </c>
      <c r="AW1000" s="82" t="str">
        <f aca="false">IF(E1000="","",B1000&amp;"|"&amp;E1000)</f>
        <v>MFD-ISW → MFD-CPF|JN°887</v>
      </c>
    </row>
    <row r="1001" customFormat="false" ht="74.6" hidden="false" customHeight="false" outlineLevel="0" collapsed="false">
      <c r="A1001" s="79" t="n">
        <f aca="false">IF(E1001="","",ROW()-6)</f>
        <v>995</v>
      </c>
      <c r="B1001" s="80" t="s">
        <v>110</v>
      </c>
      <c r="C1001" s="81" t="s">
        <v>926</v>
      </c>
      <c r="D1001" s="81" t="n">
        <v>7</v>
      </c>
      <c r="E1001" s="81" t="s">
        <v>1178</v>
      </c>
      <c r="F1001" s="82" t="str">
        <f aca="false">IF(E1001="","",IF(LEFT(E1001,2)="DJ","DJ","JN"))</f>
        <v>JN</v>
      </c>
      <c r="G1001" s="81"/>
      <c r="H1001" s="81"/>
      <c r="I1001" s="81"/>
      <c r="J1001" s="81"/>
      <c r="K1001" s="81"/>
      <c r="L1001" s="81"/>
      <c r="M1001" s="81"/>
      <c r="N1001" s="81"/>
      <c r="O1001" s="81"/>
      <c r="P1001" s="81"/>
      <c r="Q1001" s="81"/>
      <c r="R1001" s="81"/>
      <c r="S1001" s="81"/>
      <c r="T1001" s="81"/>
      <c r="U1001" s="83"/>
      <c r="V1001" s="83"/>
      <c r="W1001" s="81"/>
      <c r="X1001" s="81"/>
      <c r="Y1001" s="83"/>
      <c r="Z1001" s="81"/>
      <c r="AA1001" s="81"/>
      <c r="AB1001" s="81"/>
      <c r="AC1001" s="81"/>
      <c r="AD1001" s="81"/>
      <c r="AE1001" s="83"/>
      <c r="AF1001" s="81"/>
      <c r="AG1001" s="81"/>
      <c r="AH1001" s="81"/>
      <c r="AI1001" s="81"/>
      <c r="AJ1001" s="83"/>
      <c r="AK1001" s="81"/>
      <c r="AL1001" s="81"/>
      <c r="AM1001" s="83"/>
      <c r="AN1001" s="80"/>
      <c r="AO1001" s="82" t="n">
        <f aca="false">IF(E1001="","",(AA1001&lt;&gt;"")+(AG1001&lt;&gt;"")+(AL1001&lt;&gt;""))</f>
        <v>0</v>
      </c>
      <c r="AP1001" s="82" t="str">
        <f aca="false">IF(AL1001&lt;&gt;"",AL1001,IF(AG1001&lt;&gt;"",AG1001,IF(AA1001&lt;&gt;"",AA1001,"")))</f>
        <v/>
      </c>
      <c r="AQ1001" s="84" t="str">
        <f aca="false">IF(E1001="","",IF(U1001="","À SOUDER",IF(X1001="","VT EN ATTENTE",IF(X1001="R","VT REJETÉ – À REPRENDRE",IF(AP1001="","À RADIOGRAPHIER",IF(AP1001="A","ACCEPTÉ",IF(AP1001="NX","NX – RT À REFAIRE",IF(IF(AO1001=1,AD1001,IF(AO1001=2,AI1001,""))="A","RÉPARÉ – À RADIOGRAPHIER",IF(IF(AO1001=1,AD1001,IF(AO1001=2,AI1001,""))="R","VT REJETÉ – À REPRENDRE",IF(OR(AP1001="CO",AP1001="NT"),"COUPE – À RESOUDER","À RÉPARER"))))))))))</f>
        <v>À SOUDER</v>
      </c>
      <c r="AR1001" s="82" t="str">
        <f aca="false">IF(AND(ISNUMBER(U1001),OR(AQ1001="À RADIOGRAPHIER",AQ1001="RÉPARÉ – À RADIOGRAPHIER",AQ1001="NX – RT À REFAIRE",AQ1001="À RÉPARER",AQ1001="COUPE – À RESOUDER",AQ1001="VT REJETÉ – À REPRENDRE")),MAX(0,'PROGRAMME RT'!$C$4-U1001),"")</f>
        <v/>
      </c>
      <c r="AS1001" s="82" t="n">
        <f aca="false">IF(AND(OR(AQ1001="À RADIOGRAPHIER",AQ1001="RÉPARÉ – À RADIOGRAPHIER",AQ1001="NX – RT À REFAIRE"),OR('PROGRAMME RT'!$D$5="TOUTES",B1001='PROGRAMME RT'!$D$5)),1,0)</f>
        <v>0</v>
      </c>
      <c r="AT1001" s="82" t="str">
        <f aca="false">IF(AS1001=1,SUM(AS$7:AS1001),"")</f>
        <v/>
      </c>
      <c r="AU1001" s="82" t="n">
        <f aca="false">IF(AND(OR(AA1001="R",AA1001="NX",AA1001="NT",AA1001="CO"),OR('JOINTS DE RÉPARATION'!$D$5="TOUTES",B1001='JOINTS DE RÉPARATION'!$D$5),OR('JOINTS DE RÉPARATION'!$L$4="TOUS",AQ1001&lt;&gt;"ACCEPTÉ")),1,0)</f>
        <v>0</v>
      </c>
      <c r="AV1001" s="82" t="str">
        <f aca="false">IF(AU1001=1,SUM(AU$7:AU1001),"")</f>
        <v/>
      </c>
      <c r="AW1001" s="82" t="str">
        <f aca="false">IF(E1001="","",B1001&amp;"|"&amp;E1001)</f>
        <v>MFD-ISW → MFD-CPF|JN°888</v>
      </c>
    </row>
    <row r="1002" customFormat="false" ht="74.6" hidden="false" customHeight="false" outlineLevel="0" collapsed="false">
      <c r="A1002" s="79" t="n">
        <f aca="false">IF(E1002="","",ROW()-6)</f>
        <v>996</v>
      </c>
      <c r="B1002" s="80" t="s">
        <v>110</v>
      </c>
      <c r="C1002" s="81" t="s">
        <v>926</v>
      </c>
      <c r="D1002" s="81" t="n">
        <v>7</v>
      </c>
      <c r="E1002" s="81" t="s">
        <v>1179</v>
      </c>
      <c r="F1002" s="82" t="str">
        <f aca="false">IF(E1002="","",IF(LEFT(E1002,2)="DJ","DJ","JN"))</f>
        <v>JN</v>
      </c>
      <c r="G1002" s="81"/>
      <c r="H1002" s="81"/>
      <c r="I1002" s="81"/>
      <c r="J1002" s="81"/>
      <c r="K1002" s="81"/>
      <c r="L1002" s="81"/>
      <c r="M1002" s="81"/>
      <c r="N1002" s="81"/>
      <c r="O1002" s="81"/>
      <c r="P1002" s="81"/>
      <c r="Q1002" s="81"/>
      <c r="R1002" s="81"/>
      <c r="S1002" s="81"/>
      <c r="T1002" s="81"/>
      <c r="U1002" s="83"/>
      <c r="V1002" s="83"/>
      <c r="W1002" s="81"/>
      <c r="X1002" s="81"/>
      <c r="Y1002" s="83"/>
      <c r="Z1002" s="81"/>
      <c r="AA1002" s="81"/>
      <c r="AB1002" s="81"/>
      <c r="AC1002" s="81"/>
      <c r="AD1002" s="81"/>
      <c r="AE1002" s="83"/>
      <c r="AF1002" s="81"/>
      <c r="AG1002" s="81"/>
      <c r="AH1002" s="81"/>
      <c r="AI1002" s="81"/>
      <c r="AJ1002" s="83"/>
      <c r="AK1002" s="81"/>
      <c r="AL1002" s="81"/>
      <c r="AM1002" s="83"/>
      <c r="AN1002" s="80"/>
      <c r="AO1002" s="82" t="n">
        <f aca="false">IF(E1002="","",(AA1002&lt;&gt;"")+(AG1002&lt;&gt;"")+(AL1002&lt;&gt;""))</f>
        <v>0</v>
      </c>
      <c r="AP1002" s="82" t="str">
        <f aca="false">IF(AL1002&lt;&gt;"",AL1002,IF(AG1002&lt;&gt;"",AG1002,IF(AA1002&lt;&gt;"",AA1002,"")))</f>
        <v/>
      </c>
      <c r="AQ1002" s="84" t="str">
        <f aca="false">IF(E1002="","",IF(U1002="","À SOUDER",IF(X1002="","VT EN ATTENTE",IF(X1002="R","VT REJETÉ – À REPRENDRE",IF(AP1002="","À RADIOGRAPHIER",IF(AP1002="A","ACCEPTÉ",IF(AP1002="NX","NX – RT À REFAIRE",IF(IF(AO1002=1,AD1002,IF(AO1002=2,AI1002,""))="A","RÉPARÉ – À RADIOGRAPHIER",IF(IF(AO1002=1,AD1002,IF(AO1002=2,AI1002,""))="R","VT REJETÉ – À REPRENDRE",IF(OR(AP1002="CO",AP1002="NT"),"COUPE – À RESOUDER","À RÉPARER"))))))))))</f>
        <v>À SOUDER</v>
      </c>
      <c r="AR1002" s="82" t="str">
        <f aca="false">IF(AND(ISNUMBER(U1002),OR(AQ1002="À RADIOGRAPHIER",AQ1002="RÉPARÉ – À RADIOGRAPHIER",AQ1002="NX – RT À REFAIRE",AQ1002="À RÉPARER",AQ1002="COUPE – À RESOUDER",AQ1002="VT REJETÉ – À REPRENDRE")),MAX(0,'PROGRAMME RT'!$C$4-U1002),"")</f>
        <v/>
      </c>
      <c r="AS1002" s="82" t="n">
        <f aca="false">IF(AND(OR(AQ1002="À RADIOGRAPHIER",AQ1002="RÉPARÉ – À RADIOGRAPHIER",AQ1002="NX – RT À REFAIRE"),OR('PROGRAMME RT'!$D$5="TOUTES",B1002='PROGRAMME RT'!$D$5)),1,0)</f>
        <v>0</v>
      </c>
      <c r="AT1002" s="82" t="str">
        <f aca="false">IF(AS1002=1,SUM(AS$7:AS1002),"")</f>
        <v/>
      </c>
      <c r="AU1002" s="82" t="n">
        <f aca="false">IF(AND(OR(AA1002="R",AA1002="NX",AA1002="NT",AA1002="CO"),OR('JOINTS DE RÉPARATION'!$D$5="TOUTES",B1002='JOINTS DE RÉPARATION'!$D$5),OR('JOINTS DE RÉPARATION'!$L$4="TOUS",AQ1002&lt;&gt;"ACCEPTÉ")),1,0)</f>
        <v>0</v>
      </c>
      <c r="AV1002" s="82" t="str">
        <f aca="false">IF(AU1002=1,SUM(AU$7:AU1002),"")</f>
        <v/>
      </c>
      <c r="AW1002" s="82" t="str">
        <f aca="false">IF(E1002="","",B1002&amp;"|"&amp;E1002)</f>
        <v>MFD-ISW → MFD-CPF|JN°889</v>
      </c>
    </row>
    <row r="1003" customFormat="false" ht="74.6" hidden="false" customHeight="false" outlineLevel="0" collapsed="false">
      <c r="A1003" s="79" t="n">
        <f aca="false">IF(E1003="","",ROW()-6)</f>
        <v>997</v>
      </c>
      <c r="B1003" s="80" t="s">
        <v>110</v>
      </c>
      <c r="C1003" s="81" t="s">
        <v>926</v>
      </c>
      <c r="D1003" s="81" t="n">
        <v>7</v>
      </c>
      <c r="E1003" s="81" t="s">
        <v>1180</v>
      </c>
      <c r="F1003" s="82" t="str">
        <f aca="false">IF(E1003="","",IF(LEFT(E1003,2)="DJ","DJ","JN"))</f>
        <v>JN</v>
      </c>
      <c r="G1003" s="81"/>
      <c r="H1003" s="81"/>
      <c r="I1003" s="81"/>
      <c r="J1003" s="81"/>
      <c r="K1003" s="81"/>
      <c r="L1003" s="81"/>
      <c r="M1003" s="81"/>
      <c r="N1003" s="81"/>
      <c r="O1003" s="81"/>
      <c r="P1003" s="81"/>
      <c r="Q1003" s="81"/>
      <c r="R1003" s="81"/>
      <c r="S1003" s="81"/>
      <c r="T1003" s="81"/>
      <c r="U1003" s="83"/>
      <c r="V1003" s="83"/>
      <c r="W1003" s="81"/>
      <c r="X1003" s="81"/>
      <c r="Y1003" s="83"/>
      <c r="Z1003" s="81"/>
      <c r="AA1003" s="81"/>
      <c r="AB1003" s="81"/>
      <c r="AC1003" s="81"/>
      <c r="AD1003" s="81"/>
      <c r="AE1003" s="83"/>
      <c r="AF1003" s="81"/>
      <c r="AG1003" s="81"/>
      <c r="AH1003" s="81"/>
      <c r="AI1003" s="81"/>
      <c r="AJ1003" s="83"/>
      <c r="AK1003" s="81"/>
      <c r="AL1003" s="81"/>
      <c r="AM1003" s="83"/>
      <c r="AN1003" s="80"/>
      <c r="AO1003" s="82" t="n">
        <f aca="false">IF(E1003="","",(AA1003&lt;&gt;"")+(AG1003&lt;&gt;"")+(AL1003&lt;&gt;""))</f>
        <v>0</v>
      </c>
      <c r="AP1003" s="82" t="str">
        <f aca="false">IF(AL1003&lt;&gt;"",AL1003,IF(AG1003&lt;&gt;"",AG1003,IF(AA1003&lt;&gt;"",AA1003,"")))</f>
        <v/>
      </c>
      <c r="AQ1003" s="84" t="str">
        <f aca="false">IF(E1003="","",IF(U1003="","À SOUDER",IF(X1003="","VT EN ATTENTE",IF(X1003="R","VT REJETÉ – À REPRENDRE",IF(AP1003="","À RADIOGRAPHIER",IF(AP1003="A","ACCEPTÉ",IF(AP1003="NX","NX – RT À REFAIRE",IF(IF(AO1003=1,AD1003,IF(AO1003=2,AI1003,""))="A","RÉPARÉ – À RADIOGRAPHIER",IF(IF(AO1003=1,AD1003,IF(AO1003=2,AI1003,""))="R","VT REJETÉ – À REPRENDRE",IF(OR(AP1003="CO",AP1003="NT"),"COUPE – À RESOUDER","À RÉPARER"))))))))))</f>
        <v>À SOUDER</v>
      </c>
      <c r="AR1003" s="82" t="str">
        <f aca="false">IF(AND(ISNUMBER(U1003),OR(AQ1003="À RADIOGRAPHIER",AQ1003="RÉPARÉ – À RADIOGRAPHIER",AQ1003="NX – RT À REFAIRE",AQ1003="À RÉPARER",AQ1003="COUPE – À RESOUDER",AQ1003="VT REJETÉ – À REPRENDRE")),MAX(0,'PROGRAMME RT'!$C$4-U1003),"")</f>
        <v/>
      </c>
      <c r="AS1003" s="82" t="n">
        <f aca="false">IF(AND(OR(AQ1003="À RADIOGRAPHIER",AQ1003="RÉPARÉ – À RADIOGRAPHIER",AQ1003="NX – RT À REFAIRE"),OR('PROGRAMME RT'!$D$5="TOUTES",B1003='PROGRAMME RT'!$D$5)),1,0)</f>
        <v>0</v>
      </c>
      <c r="AT1003" s="82" t="str">
        <f aca="false">IF(AS1003=1,SUM(AS$7:AS1003),"")</f>
        <v/>
      </c>
      <c r="AU1003" s="82" t="n">
        <f aca="false">IF(AND(OR(AA1003="R",AA1003="NX",AA1003="NT",AA1003="CO"),OR('JOINTS DE RÉPARATION'!$D$5="TOUTES",B1003='JOINTS DE RÉPARATION'!$D$5),OR('JOINTS DE RÉPARATION'!$L$4="TOUS",AQ1003&lt;&gt;"ACCEPTÉ")),1,0)</f>
        <v>0</v>
      </c>
      <c r="AV1003" s="82" t="str">
        <f aca="false">IF(AU1003=1,SUM(AU$7:AU1003),"")</f>
        <v/>
      </c>
      <c r="AW1003" s="82" t="str">
        <f aca="false">IF(E1003="","",B1003&amp;"|"&amp;E1003)</f>
        <v>MFD-ISW → MFD-CPF|JN°890</v>
      </c>
    </row>
    <row r="1004" customFormat="false" ht="74.6" hidden="false" customHeight="false" outlineLevel="0" collapsed="false">
      <c r="A1004" s="79" t="n">
        <f aca="false">IF(E1004="","",ROW()-6)</f>
        <v>998</v>
      </c>
      <c r="B1004" s="80" t="s">
        <v>110</v>
      </c>
      <c r="C1004" s="81" t="s">
        <v>926</v>
      </c>
      <c r="D1004" s="81" t="n">
        <v>7</v>
      </c>
      <c r="E1004" s="81" t="s">
        <v>1181</v>
      </c>
      <c r="F1004" s="82" t="str">
        <f aca="false">IF(E1004="","",IF(LEFT(E1004,2)="DJ","DJ","JN"))</f>
        <v>JN</v>
      </c>
      <c r="G1004" s="81"/>
      <c r="H1004" s="81"/>
      <c r="I1004" s="81"/>
      <c r="J1004" s="81"/>
      <c r="K1004" s="81"/>
      <c r="L1004" s="81"/>
      <c r="M1004" s="81"/>
      <c r="N1004" s="81"/>
      <c r="O1004" s="81"/>
      <c r="P1004" s="81"/>
      <c r="Q1004" s="81"/>
      <c r="R1004" s="81"/>
      <c r="S1004" s="81"/>
      <c r="T1004" s="81"/>
      <c r="U1004" s="83"/>
      <c r="V1004" s="83"/>
      <c r="W1004" s="81"/>
      <c r="X1004" s="81"/>
      <c r="Y1004" s="83"/>
      <c r="Z1004" s="81"/>
      <c r="AA1004" s="81"/>
      <c r="AB1004" s="81"/>
      <c r="AC1004" s="81"/>
      <c r="AD1004" s="81"/>
      <c r="AE1004" s="83"/>
      <c r="AF1004" s="81"/>
      <c r="AG1004" s="81"/>
      <c r="AH1004" s="81"/>
      <c r="AI1004" s="81"/>
      <c r="AJ1004" s="83"/>
      <c r="AK1004" s="81"/>
      <c r="AL1004" s="81"/>
      <c r="AM1004" s="83"/>
      <c r="AN1004" s="80"/>
      <c r="AO1004" s="82" t="n">
        <f aca="false">IF(E1004="","",(AA1004&lt;&gt;"")+(AG1004&lt;&gt;"")+(AL1004&lt;&gt;""))</f>
        <v>0</v>
      </c>
      <c r="AP1004" s="82" t="str">
        <f aca="false">IF(AL1004&lt;&gt;"",AL1004,IF(AG1004&lt;&gt;"",AG1004,IF(AA1004&lt;&gt;"",AA1004,"")))</f>
        <v/>
      </c>
      <c r="AQ1004" s="84" t="str">
        <f aca="false">IF(E1004="","",IF(U1004="","À SOUDER",IF(X1004="","VT EN ATTENTE",IF(X1004="R","VT REJETÉ – À REPRENDRE",IF(AP1004="","À RADIOGRAPHIER",IF(AP1004="A","ACCEPTÉ",IF(AP1004="NX","NX – RT À REFAIRE",IF(IF(AO1004=1,AD1004,IF(AO1004=2,AI1004,""))="A","RÉPARÉ – À RADIOGRAPHIER",IF(IF(AO1004=1,AD1004,IF(AO1004=2,AI1004,""))="R","VT REJETÉ – À REPRENDRE",IF(OR(AP1004="CO",AP1004="NT"),"COUPE – À RESOUDER","À RÉPARER"))))))))))</f>
        <v>À SOUDER</v>
      </c>
      <c r="AR1004" s="82" t="str">
        <f aca="false">IF(AND(ISNUMBER(U1004),OR(AQ1004="À RADIOGRAPHIER",AQ1004="RÉPARÉ – À RADIOGRAPHIER",AQ1004="NX – RT À REFAIRE",AQ1004="À RÉPARER",AQ1004="COUPE – À RESOUDER",AQ1004="VT REJETÉ – À REPRENDRE")),MAX(0,'PROGRAMME RT'!$C$4-U1004),"")</f>
        <v/>
      </c>
      <c r="AS1004" s="82" t="n">
        <f aca="false">IF(AND(OR(AQ1004="À RADIOGRAPHIER",AQ1004="RÉPARÉ – À RADIOGRAPHIER",AQ1004="NX – RT À REFAIRE"),OR('PROGRAMME RT'!$D$5="TOUTES",B1004='PROGRAMME RT'!$D$5)),1,0)</f>
        <v>0</v>
      </c>
      <c r="AT1004" s="82" t="str">
        <f aca="false">IF(AS1004=1,SUM(AS$7:AS1004),"")</f>
        <v/>
      </c>
      <c r="AU1004" s="82" t="n">
        <f aca="false">IF(AND(OR(AA1004="R",AA1004="NX",AA1004="NT",AA1004="CO"),OR('JOINTS DE RÉPARATION'!$D$5="TOUTES",B1004='JOINTS DE RÉPARATION'!$D$5),OR('JOINTS DE RÉPARATION'!$L$4="TOUS",AQ1004&lt;&gt;"ACCEPTÉ")),1,0)</f>
        <v>0</v>
      </c>
      <c r="AV1004" s="82" t="str">
        <f aca="false">IF(AU1004=1,SUM(AU$7:AU1004),"")</f>
        <v/>
      </c>
      <c r="AW1004" s="82" t="str">
        <f aca="false">IF(E1004="","",B1004&amp;"|"&amp;E1004)</f>
        <v>MFD-ISW → MFD-CPF|JN°891</v>
      </c>
    </row>
    <row r="1005" customFormat="false" ht="74.6" hidden="false" customHeight="false" outlineLevel="0" collapsed="false">
      <c r="A1005" s="79" t="n">
        <f aca="false">IF(E1005="","",ROW()-6)</f>
        <v>999</v>
      </c>
      <c r="B1005" s="80" t="s">
        <v>110</v>
      </c>
      <c r="C1005" s="81" t="s">
        <v>926</v>
      </c>
      <c r="D1005" s="81" t="n">
        <v>7</v>
      </c>
      <c r="E1005" s="81" t="s">
        <v>1182</v>
      </c>
      <c r="F1005" s="82" t="str">
        <f aca="false">IF(E1005="","",IF(LEFT(E1005,2)="DJ","DJ","JN"))</f>
        <v>JN</v>
      </c>
      <c r="G1005" s="81"/>
      <c r="H1005" s="81"/>
      <c r="I1005" s="81"/>
      <c r="J1005" s="81"/>
      <c r="K1005" s="81"/>
      <c r="L1005" s="81"/>
      <c r="M1005" s="81"/>
      <c r="N1005" s="81"/>
      <c r="O1005" s="81"/>
      <c r="P1005" s="81"/>
      <c r="Q1005" s="81"/>
      <c r="R1005" s="81"/>
      <c r="S1005" s="81"/>
      <c r="T1005" s="81"/>
      <c r="U1005" s="83"/>
      <c r="V1005" s="83"/>
      <c r="W1005" s="81"/>
      <c r="X1005" s="81"/>
      <c r="Y1005" s="83"/>
      <c r="Z1005" s="81"/>
      <c r="AA1005" s="81"/>
      <c r="AB1005" s="81"/>
      <c r="AC1005" s="81"/>
      <c r="AD1005" s="81"/>
      <c r="AE1005" s="83"/>
      <c r="AF1005" s="81"/>
      <c r="AG1005" s="81"/>
      <c r="AH1005" s="81"/>
      <c r="AI1005" s="81"/>
      <c r="AJ1005" s="83"/>
      <c r="AK1005" s="81"/>
      <c r="AL1005" s="81"/>
      <c r="AM1005" s="83"/>
      <c r="AN1005" s="80"/>
      <c r="AO1005" s="82" t="n">
        <f aca="false">IF(E1005="","",(AA1005&lt;&gt;"")+(AG1005&lt;&gt;"")+(AL1005&lt;&gt;""))</f>
        <v>0</v>
      </c>
      <c r="AP1005" s="82" t="str">
        <f aca="false">IF(AL1005&lt;&gt;"",AL1005,IF(AG1005&lt;&gt;"",AG1005,IF(AA1005&lt;&gt;"",AA1005,"")))</f>
        <v/>
      </c>
      <c r="AQ1005" s="84" t="str">
        <f aca="false">IF(E1005="","",IF(U1005="","À SOUDER",IF(X1005="","VT EN ATTENTE",IF(X1005="R","VT REJETÉ – À REPRENDRE",IF(AP1005="","À RADIOGRAPHIER",IF(AP1005="A","ACCEPTÉ",IF(AP1005="NX","NX – RT À REFAIRE",IF(IF(AO1005=1,AD1005,IF(AO1005=2,AI1005,""))="A","RÉPARÉ – À RADIOGRAPHIER",IF(IF(AO1005=1,AD1005,IF(AO1005=2,AI1005,""))="R","VT REJETÉ – À REPRENDRE",IF(OR(AP1005="CO",AP1005="NT"),"COUPE – À RESOUDER","À RÉPARER"))))))))))</f>
        <v>À SOUDER</v>
      </c>
      <c r="AR1005" s="82" t="str">
        <f aca="false">IF(AND(ISNUMBER(U1005),OR(AQ1005="À RADIOGRAPHIER",AQ1005="RÉPARÉ – À RADIOGRAPHIER",AQ1005="NX – RT À REFAIRE",AQ1005="À RÉPARER",AQ1005="COUPE – À RESOUDER",AQ1005="VT REJETÉ – À REPRENDRE")),MAX(0,'PROGRAMME RT'!$C$4-U1005),"")</f>
        <v/>
      </c>
      <c r="AS1005" s="82" t="n">
        <f aca="false">IF(AND(OR(AQ1005="À RADIOGRAPHIER",AQ1005="RÉPARÉ – À RADIOGRAPHIER",AQ1005="NX – RT À REFAIRE"),OR('PROGRAMME RT'!$D$5="TOUTES",B1005='PROGRAMME RT'!$D$5)),1,0)</f>
        <v>0</v>
      </c>
      <c r="AT1005" s="82" t="str">
        <f aca="false">IF(AS1005=1,SUM(AS$7:AS1005),"")</f>
        <v/>
      </c>
      <c r="AU1005" s="82" t="n">
        <f aca="false">IF(AND(OR(AA1005="R",AA1005="NX",AA1005="NT",AA1005="CO"),OR('JOINTS DE RÉPARATION'!$D$5="TOUTES",B1005='JOINTS DE RÉPARATION'!$D$5),OR('JOINTS DE RÉPARATION'!$L$4="TOUS",AQ1005&lt;&gt;"ACCEPTÉ")),1,0)</f>
        <v>0</v>
      </c>
      <c r="AV1005" s="82" t="str">
        <f aca="false">IF(AU1005=1,SUM(AU$7:AU1005),"")</f>
        <v/>
      </c>
      <c r="AW1005" s="82" t="str">
        <f aca="false">IF(E1005="","",B1005&amp;"|"&amp;E1005)</f>
        <v>MFD-ISW → MFD-CPF|JN°892</v>
      </c>
    </row>
    <row r="1006" customFormat="false" ht="74.6" hidden="false" customHeight="false" outlineLevel="0" collapsed="false">
      <c r="A1006" s="79" t="n">
        <f aca="false">IF(E1006="","",ROW()-6)</f>
        <v>1000</v>
      </c>
      <c r="B1006" s="80" t="s">
        <v>110</v>
      </c>
      <c r="C1006" s="81" t="s">
        <v>926</v>
      </c>
      <c r="D1006" s="81" t="n">
        <v>7</v>
      </c>
      <c r="E1006" s="81" t="s">
        <v>1183</v>
      </c>
      <c r="F1006" s="82" t="str">
        <f aca="false">IF(E1006="","",IF(LEFT(E1006,2)="DJ","DJ","JN"))</f>
        <v>JN</v>
      </c>
      <c r="G1006" s="81"/>
      <c r="H1006" s="81"/>
      <c r="I1006" s="81"/>
      <c r="J1006" s="81"/>
      <c r="K1006" s="81"/>
      <c r="L1006" s="81"/>
      <c r="M1006" s="81"/>
      <c r="N1006" s="81"/>
      <c r="O1006" s="81"/>
      <c r="P1006" s="81"/>
      <c r="Q1006" s="81"/>
      <c r="R1006" s="81"/>
      <c r="S1006" s="81"/>
      <c r="T1006" s="81"/>
      <c r="U1006" s="83"/>
      <c r="V1006" s="83"/>
      <c r="W1006" s="81"/>
      <c r="X1006" s="81"/>
      <c r="Y1006" s="83"/>
      <c r="Z1006" s="81"/>
      <c r="AA1006" s="81"/>
      <c r="AB1006" s="81"/>
      <c r="AC1006" s="81"/>
      <c r="AD1006" s="81"/>
      <c r="AE1006" s="83"/>
      <c r="AF1006" s="81"/>
      <c r="AG1006" s="81"/>
      <c r="AH1006" s="81"/>
      <c r="AI1006" s="81"/>
      <c r="AJ1006" s="83"/>
      <c r="AK1006" s="81"/>
      <c r="AL1006" s="81"/>
      <c r="AM1006" s="83"/>
      <c r="AN1006" s="80"/>
      <c r="AO1006" s="82" t="n">
        <f aca="false">IF(E1006="","",(AA1006&lt;&gt;"")+(AG1006&lt;&gt;"")+(AL1006&lt;&gt;""))</f>
        <v>0</v>
      </c>
      <c r="AP1006" s="82" t="str">
        <f aca="false">IF(AL1006&lt;&gt;"",AL1006,IF(AG1006&lt;&gt;"",AG1006,IF(AA1006&lt;&gt;"",AA1006,"")))</f>
        <v/>
      </c>
      <c r="AQ1006" s="84" t="str">
        <f aca="false">IF(E1006="","",IF(U1006="","À SOUDER",IF(X1006="","VT EN ATTENTE",IF(X1006="R","VT REJETÉ – À REPRENDRE",IF(AP1006="","À RADIOGRAPHIER",IF(AP1006="A","ACCEPTÉ",IF(AP1006="NX","NX – RT À REFAIRE",IF(IF(AO1006=1,AD1006,IF(AO1006=2,AI1006,""))="A","RÉPARÉ – À RADIOGRAPHIER",IF(IF(AO1006=1,AD1006,IF(AO1006=2,AI1006,""))="R","VT REJETÉ – À REPRENDRE",IF(OR(AP1006="CO",AP1006="NT"),"COUPE – À RESOUDER","À RÉPARER"))))))))))</f>
        <v>À SOUDER</v>
      </c>
      <c r="AR1006" s="82" t="str">
        <f aca="false">IF(AND(ISNUMBER(U1006),OR(AQ1006="À RADIOGRAPHIER",AQ1006="RÉPARÉ – À RADIOGRAPHIER",AQ1006="NX – RT À REFAIRE",AQ1006="À RÉPARER",AQ1006="COUPE – À RESOUDER",AQ1006="VT REJETÉ – À REPRENDRE")),MAX(0,'PROGRAMME RT'!$C$4-U1006),"")</f>
        <v/>
      </c>
      <c r="AS1006" s="82" t="n">
        <f aca="false">IF(AND(OR(AQ1006="À RADIOGRAPHIER",AQ1006="RÉPARÉ – À RADIOGRAPHIER",AQ1006="NX – RT À REFAIRE"),OR('PROGRAMME RT'!$D$5="TOUTES",B1006='PROGRAMME RT'!$D$5)),1,0)</f>
        <v>0</v>
      </c>
      <c r="AT1006" s="82" t="str">
        <f aca="false">IF(AS1006=1,SUM(AS$7:AS1006),"")</f>
        <v/>
      </c>
      <c r="AU1006" s="82" t="n">
        <f aca="false">IF(AND(OR(AA1006="R",AA1006="NX",AA1006="NT",AA1006="CO"),OR('JOINTS DE RÉPARATION'!$D$5="TOUTES",B1006='JOINTS DE RÉPARATION'!$D$5),OR('JOINTS DE RÉPARATION'!$L$4="TOUS",AQ1006&lt;&gt;"ACCEPTÉ")),1,0)</f>
        <v>0</v>
      </c>
      <c r="AV1006" s="82" t="str">
        <f aca="false">IF(AU1006=1,SUM(AU$7:AU1006),"")</f>
        <v/>
      </c>
      <c r="AW1006" s="82" t="str">
        <f aca="false">IF(E1006="","",B1006&amp;"|"&amp;E1006)</f>
        <v>MFD-ISW → MFD-CPF|JN°893</v>
      </c>
    </row>
    <row r="1007" customFormat="false" ht="74.6" hidden="false" customHeight="false" outlineLevel="0" collapsed="false">
      <c r="A1007" s="79" t="n">
        <f aca="false">IF(E1007="","",ROW()-6)</f>
        <v>1001</v>
      </c>
      <c r="B1007" s="80" t="s">
        <v>110</v>
      </c>
      <c r="C1007" s="81" t="s">
        <v>926</v>
      </c>
      <c r="D1007" s="81" t="n">
        <v>7</v>
      </c>
      <c r="E1007" s="81" t="s">
        <v>1184</v>
      </c>
      <c r="F1007" s="82" t="str">
        <f aca="false">IF(E1007="","",IF(LEFT(E1007,2)="DJ","DJ","JN"))</f>
        <v>JN</v>
      </c>
      <c r="G1007" s="81"/>
      <c r="H1007" s="81"/>
      <c r="I1007" s="81"/>
      <c r="J1007" s="81"/>
      <c r="K1007" s="81"/>
      <c r="L1007" s="81"/>
      <c r="M1007" s="81"/>
      <c r="N1007" s="81"/>
      <c r="O1007" s="81"/>
      <c r="P1007" s="81"/>
      <c r="Q1007" s="81"/>
      <c r="R1007" s="81"/>
      <c r="S1007" s="81"/>
      <c r="T1007" s="81"/>
      <c r="U1007" s="83"/>
      <c r="V1007" s="83"/>
      <c r="W1007" s="81"/>
      <c r="X1007" s="81"/>
      <c r="Y1007" s="83"/>
      <c r="Z1007" s="81"/>
      <c r="AA1007" s="81"/>
      <c r="AB1007" s="81"/>
      <c r="AC1007" s="81"/>
      <c r="AD1007" s="81"/>
      <c r="AE1007" s="83"/>
      <c r="AF1007" s="81"/>
      <c r="AG1007" s="81"/>
      <c r="AH1007" s="81"/>
      <c r="AI1007" s="81"/>
      <c r="AJ1007" s="83"/>
      <c r="AK1007" s="81"/>
      <c r="AL1007" s="81"/>
      <c r="AM1007" s="83"/>
      <c r="AN1007" s="80"/>
      <c r="AO1007" s="82" t="n">
        <f aca="false">IF(E1007="","",(AA1007&lt;&gt;"")+(AG1007&lt;&gt;"")+(AL1007&lt;&gt;""))</f>
        <v>0</v>
      </c>
      <c r="AP1007" s="82" t="str">
        <f aca="false">IF(AL1007&lt;&gt;"",AL1007,IF(AG1007&lt;&gt;"",AG1007,IF(AA1007&lt;&gt;"",AA1007,"")))</f>
        <v/>
      </c>
      <c r="AQ1007" s="84" t="str">
        <f aca="false">IF(E1007="","",IF(U1007="","À SOUDER",IF(X1007="","VT EN ATTENTE",IF(X1007="R","VT REJETÉ – À REPRENDRE",IF(AP1007="","À RADIOGRAPHIER",IF(AP1007="A","ACCEPTÉ",IF(AP1007="NX","NX – RT À REFAIRE",IF(IF(AO1007=1,AD1007,IF(AO1007=2,AI1007,""))="A","RÉPARÉ – À RADIOGRAPHIER",IF(IF(AO1007=1,AD1007,IF(AO1007=2,AI1007,""))="R","VT REJETÉ – À REPRENDRE",IF(OR(AP1007="CO",AP1007="NT"),"COUPE – À RESOUDER","À RÉPARER"))))))))))</f>
        <v>À SOUDER</v>
      </c>
      <c r="AR1007" s="82" t="str">
        <f aca="false">IF(AND(ISNUMBER(U1007),OR(AQ1007="À RADIOGRAPHIER",AQ1007="RÉPARÉ – À RADIOGRAPHIER",AQ1007="NX – RT À REFAIRE",AQ1007="À RÉPARER",AQ1007="COUPE – À RESOUDER",AQ1007="VT REJETÉ – À REPRENDRE")),MAX(0,'PROGRAMME RT'!$C$4-U1007),"")</f>
        <v/>
      </c>
      <c r="AS1007" s="82" t="n">
        <f aca="false">IF(AND(OR(AQ1007="À RADIOGRAPHIER",AQ1007="RÉPARÉ – À RADIOGRAPHIER",AQ1007="NX – RT À REFAIRE"),OR('PROGRAMME RT'!$D$5="TOUTES",B1007='PROGRAMME RT'!$D$5)),1,0)</f>
        <v>0</v>
      </c>
      <c r="AT1007" s="82" t="str">
        <f aca="false">IF(AS1007=1,SUM(AS$7:AS1007),"")</f>
        <v/>
      </c>
      <c r="AU1007" s="82" t="n">
        <f aca="false">IF(AND(OR(AA1007="R",AA1007="NX",AA1007="NT",AA1007="CO"),OR('JOINTS DE RÉPARATION'!$D$5="TOUTES",B1007='JOINTS DE RÉPARATION'!$D$5),OR('JOINTS DE RÉPARATION'!$L$4="TOUS",AQ1007&lt;&gt;"ACCEPTÉ")),1,0)</f>
        <v>0</v>
      </c>
      <c r="AV1007" s="82" t="str">
        <f aca="false">IF(AU1007=1,SUM(AU$7:AU1007),"")</f>
        <v/>
      </c>
      <c r="AW1007" s="82" t="str">
        <f aca="false">IF(E1007="","",B1007&amp;"|"&amp;E1007)</f>
        <v>MFD-ISW → MFD-CPF|JN°894</v>
      </c>
    </row>
    <row r="1008" customFormat="false" ht="74.6" hidden="false" customHeight="false" outlineLevel="0" collapsed="false">
      <c r="A1008" s="79" t="n">
        <f aca="false">IF(E1008="","",ROW()-6)</f>
        <v>1002</v>
      </c>
      <c r="B1008" s="80" t="s">
        <v>110</v>
      </c>
      <c r="C1008" s="81" t="s">
        <v>926</v>
      </c>
      <c r="D1008" s="81" t="n">
        <v>7</v>
      </c>
      <c r="E1008" s="81" t="s">
        <v>1185</v>
      </c>
      <c r="F1008" s="82" t="str">
        <f aca="false">IF(E1008="","",IF(LEFT(E1008,2)="DJ","DJ","JN"))</f>
        <v>JN</v>
      </c>
      <c r="G1008" s="81"/>
      <c r="H1008" s="81"/>
      <c r="I1008" s="81"/>
      <c r="J1008" s="81"/>
      <c r="K1008" s="81"/>
      <c r="L1008" s="81"/>
      <c r="M1008" s="81"/>
      <c r="N1008" s="81"/>
      <c r="O1008" s="81"/>
      <c r="P1008" s="81"/>
      <c r="Q1008" s="81"/>
      <c r="R1008" s="81"/>
      <c r="S1008" s="81"/>
      <c r="T1008" s="81"/>
      <c r="U1008" s="83"/>
      <c r="V1008" s="83"/>
      <c r="W1008" s="81"/>
      <c r="X1008" s="81"/>
      <c r="Y1008" s="83"/>
      <c r="Z1008" s="81"/>
      <c r="AA1008" s="81"/>
      <c r="AB1008" s="81"/>
      <c r="AC1008" s="81"/>
      <c r="AD1008" s="81"/>
      <c r="AE1008" s="83"/>
      <c r="AF1008" s="81"/>
      <c r="AG1008" s="81"/>
      <c r="AH1008" s="81"/>
      <c r="AI1008" s="81"/>
      <c r="AJ1008" s="83"/>
      <c r="AK1008" s="81"/>
      <c r="AL1008" s="81"/>
      <c r="AM1008" s="83"/>
      <c r="AN1008" s="80"/>
      <c r="AO1008" s="82" t="n">
        <f aca="false">IF(E1008="","",(AA1008&lt;&gt;"")+(AG1008&lt;&gt;"")+(AL1008&lt;&gt;""))</f>
        <v>0</v>
      </c>
      <c r="AP1008" s="82" t="str">
        <f aca="false">IF(AL1008&lt;&gt;"",AL1008,IF(AG1008&lt;&gt;"",AG1008,IF(AA1008&lt;&gt;"",AA1008,"")))</f>
        <v/>
      </c>
      <c r="AQ1008" s="84" t="str">
        <f aca="false">IF(E1008="","",IF(U1008="","À SOUDER",IF(X1008="","VT EN ATTENTE",IF(X1008="R","VT REJETÉ – À REPRENDRE",IF(AP1008="","À RADIOGRAPHIER",IF(AP1008="A","ACCEPTÉ",IF(AP1008="NX","NX – RT À REFAIRE",IF(IF(AO1008=1,AD1008,IF(AO1008=2,AI1008,""))="A","RÉPARÉ – À RADIOGRAPHIER",IF(IF(AO1008=1,AD1008,IF(AO1008=2,AI1008,""))="R","VT REJETÉ – À REPRENDRE",IF(OR(AP1008="CO",AP1008="NT"),"COUPE – À RESOUDER","À RÉPARER"))))))))))</f>
        <v>À SOUDER</v>
      </c>
      <c r="AR1008" s="82" t="str">
        <f aca="false">IF(AND(ISNUMBER(U1008),OR(AQ1008="À RADIOGRAPHIER",AQ1008="RÉPARÉ – À RADIOGRAPHIER",AQ1008="NX – RT À REFAIRE",AQ1008="À RÉPARER",AQ1008="COUPE – À RESOUDER",AQ1008="VT REJETÉ – À REPRENDRE")),MAX(0,'PROGRAMME RT'!$C$4-U1008),"")</f>
        <v/>
      </c>
      <c r="AS1008" s="82" t="n">
        <f aca="false">IF(AND(OR(AQ1008="À RADIOGRAPHIER",AQ1008="RÉPARÉ – À RADIOGRAPHIER",AQ1008="NX – RT À REFAIRE"),OR('PROGRAMME RT'!$D$5="TOUTES",B1008='PROGRAMME RT'!$D$5)),1,0)</f>
        <v>0</v>
      </c>
      <c r="AT1008" s="82" t="str">
        <f aca="false">IF(AS1008=1,SUM(AS$7:AS1008),"")</f>
        <v/>
      </c>
      <c r="AU1008" s="82" t="n">
        <f aca="false">IF(AND(OR(AA1008="R",AA1008="NX",AA1008="NT",AA1008="CO"),OR('JOINTS DE RÉPARATION'!$D$5="TOUTES",B1008='JOINTS DE RÉPARATION'!$D$5),OR('JOINTS DE RÉPARATION'!$L$4="TOUS",AQ1008&lt;&gt;"ACCEPTÉ")),1,0)</f>
        <v>0</v>
      </c>
      <c r="AV1008" s="82" t="str">
        <f aca="false">IF(AU1008=1,SUM(AU$7:AU1008),"")</f>
        <v/>
      </c>
      <c r="AW1008" s="82" t="str">
        <f aca="false">IF(E1008="","",B1008&amp;"|"&amp;E1008)</f>
        <v>MFD-ISW → MFD-CPF|JN°895</v>
      </c>
    </row>
    <row r="1009" customFormat="false" ht="74.6" hidden="false" customHeight="false" outlineLevel="0" collapsed="false">
      <c r="A1009" s="79" t="n">
        <f aca="false">IF(E1009="","",ROW()-6)</f>
        <v>1003</v>
      </c>
      <c r="B1009" s="80" t="s">
        <v>110</v>
      </c>
      <c r="C1009" s="81" t="s">
        <v>926</v>
      </c>
      <c r="D1009" s="81" t="n">
        <v>7</v>
      </c>
      <c r="E1009" s="81" t="s">
        <v>1186</v>
      </c>
      <c r="F1009" s="82" t="str">
        <f aca="false">IF(E1009="","",IF(LEFT(E1009,2)="DJ","DJ","JN"))</f>
        <v>JN</v>
      </c>
      <c r="G1009" s="81"/>
      <c r="H1009" s="81"/>
      <c r="I1009" s="81"/>
      <c r="J1009" s="81"/>
      <c r="K1009" s="81"/>
      <c r="L1009" s="81"/>
      <c r="M1009" s="81"/>
      <c r="N1009" s="81"/>
      <c r="O1009" s="81"/>
      <c r="P1009" s="81"/>
      <c r="Q1009" s="81"/>
      <c r="R1009" s="81"/>
      <c r="S1009" s="81"/>
      <c r="T1009" s="81"/>
      <c r="U1009" s="83"/>
      <c r="V1009" s="83"/>
      <c r="W1009" s="81"/>
      <c r="X1009" s="81"/>
      <c r="Y1009" s="83"/>
      <c r="Z1009" s="81"/>
      <c r="AA1009" s="81"/>
      <c r="AB1009" s="81"/>
      <c r="AC1009" s="81"/>
      <c r="AD1009" s="81"/>
      <c r="AE1009" s="83"/>
      <c r="AF1009" s="81"/>
      <c r="AG1009" s="81"/>
      <c r="AH1009" s="81"/>
      <c r="AI1009" s="81"/>
      <c r="AJ1009" s="83"/>
      <c r="AK1009" s="81"/>
      <c r="AL1009" s="81"/>
      <c r="AM1009" s="83"/>
      <c r="AN1009" s="80"/>
      <c r="AO1009" s="82" t="n">
        <f aca="false">IF(E1009="","",(AA1009&lt;&gt;"")+(AG1009&lt;&gt;"")+(AL1009&lt;&gt;""))</f>
        <v>0</v>
      </c>
      <c r="AP1009" s="82" t="str">
        <f aca="false">IF(AL1009&lt;&gt;"",AL1009,IF(AG1009&lt;&gt;"",AG1009,IF(AA1009&lt;&gt;"",AA1009,"")))</f>
        <v/>
      </c>
      <c r="AQ1009" s="84" t="str">
        <f aca="false">IF(E1009="","",IF(U1009="","À SOUDER",IF(X1009="","VT EN ATTENTE",IF(X1009="R","VT REJETÉ – À REPRENDRE",IF(AP1009="","À RADIOGRAPHIER",IF(AP1009="A","ACCEPTÉ",IF(AP1009="NX","NX – RT À REFAIRE",IF(IF(AO1009=1,AD1009,IF(AO1009=2,AI1009,""))="A","RÉPARÉ – À RADIOGRAPHIER",IF(IF(AO1009=1,AD1009,IF(AO1009=2,AI1009,""))="R","VT REJETÉ – À REPRENDRE",IF(OR(AP1009="CO",AP1009="NT"),"COUPE – À RESOUDER","À RÉPARER"))))))))))</f>
        <v>À SOUDER</v>
      </c>
      <c r="AR1009" s="82" t="str">
        <f aca="false">IF(AND(ISNUMBER(U1009),OR(AQ1009="À RADIOGRAPHIER",AQ1009="RÉPARÉ – À RADIOGRAPHIER",AQ1009="NX – RT À REFAIRE",AQ1009="À RÉPARER",AQ1009="COUPE – À RESOUDER",AQ1009="VT REJETÉ – À REPRENDRE")),MAX(0,'PROGRAMME RT'!$C$4-U1009),"")</f>
        <v/>
      </c>
      <c r="AS1009" s="82" t="n">
        <f aca="false">IF(AND(OR(AQ1009="À RADIOGRAPHIER",AQ1009="RÉPARÉ – À RADIOGRAPHIER",AQ1009="NX – RT À REFAIRE"),OR('PROGRAMME RT'!$D$5="TOUTES",B1009='PROGRAMME RT'!$D$5)),1,0)</f>
        <v>0</v>
      </c>
      <c r="AT1009" s="82" t="str">
        <f aca="false">IF(AS1009=1,SUM(AS$7:AS1009),"")</f>
        <v/>
      </c>
      <c r="AU1009" s="82" t="n">
        <f aca="false">IF(AND(OR(AA1009="R",AA1009="NX",AA1009="NT",AA1009="CO"),OR('JOINTS DE RÉPARATION'!$D$5="TOUTES",B1009='JOINTS DE RÉPARATION'!$D$5),OR('JOINTS DE RÉPARATION'!$L$4="TOUS",AQ1009&lt;&gt;"ACCEPTÉ")),1,0)</f>
        <v>0</v>
      </c>
      <c r="AV1009" s="82" t="str">
        <f aca="false">IF(AU1009=1,SUM(AU$7:AU1009),"")</f>
        <v/>
      </c>
      <c r="AW1009" s="82" t="str">
        <f aca="false">IF(E1009="","",B1009&amp;"|"&amp;E1009)</f>
        <v>MFD-ISW → MFD-CPF|JN°896</v>
      </c>
    </row>
    <row r="1010" customFormat="false" ht="74.6" hidden="false" customHeight="false" outlineLevel="0" collapsed="false">
      <c r="A1010" s="79" t="n">
        <f aca="false">IF(E1010="","",ROW()-6)</f>
        <v>1004</v>
      </c>
      <c r="B1010" s="80" t="s">
        <v>110</v>
      </c>
      <c r="C1010" s="81" t="s">
        <v>926</v>
      </c>
      <c r="D1010" s="81" t="n">
        <v>7</v>
      </c>
      <c r="E1010" s="81" t="s">
        <v>1187</v>
      </c>
      <c r="F1010" s="82" t="str">
        <f aca="false">IF(E1010="","",IF(LEFT(E1010,2)="DJ","DJ","JN"))</f>
        <v>JN</v>
      </c>
      <c r="G1010" s="81"/>
      <c r="H1010" s="81"/>
      <c r="I1010" s="81"/>
      <c r="J1010" s="81"/>
      <c r="K1010" s="81"/>
      <c r="L1010" s="81"/>
      <c r="M1010" s="81"/>
      <c r="N1010" s="81"/>
      <c r="O1010" s="81"/>
      <c r="P1010" s="81"/>
      <c r="Q1010" s="81"/>
      <c r="R1010" s="81"/>
      <c r="S1010" s="81"/>
      <c r="T1010" s="81"/>
      <c r="U1010" s="83"/>
      <c r="V1010" s="83"/>
      <c r="W1010" s="81"/>
      <c r="X1010" s="81"/>
      <c r="Y1010" s="83"/>
      <c r="Z1010" s="81"/>
      <c r="AA1010" s="81"/>
      <c r="AB1010" s="81"/>
      <c r="AC1010" s="81"/>
      <c r="AD1010" s="81"/>
      <c r="AE1010" s="83"/>
      <c r="AF1010" s="81"/>
      <c r="AG1010" s="81"/>
      <c r="AH1010" s="81"/>
      <c r="AI1010" s="81"/>
      <c r="AJ1010" s="83"/>
      <c r="AK1010" s="81"/>
      <c r="AL1010" s="81"/>
      <c r="AM1010" s="83"/>
      <c r="AN1010" s="80"/>
      <c r="AO1010" s="82" t="n">
        <f aca="false">IF(E1010="","",(AA1010&lt;&gt;"")+(AG1010&lt;&gt;"")+(AL1010&lt;&gt;""))</f>
        <v>0</v>
      </c>
      <c r="AP1010" s="82" t="str">
        <f aca="false">IF(AL1010&lt;&gt;"",AL1010,IF(AG1010&lt;&gt;"",AG1010,IF(AA1010&lt;&gt;"",AA1010,"")))</f>
        <v/>
      </c>
      <c r="AQ1010" s="84" t="str">
        <f aca="false">IF(E1010="","",IF(U1010="","À SOUDER",IF(X1010="","VT EN ATTENTE",IF(X1010="R","VT REJETÉ – À REPRENDRE",IF(AP1010="","À RADIOGRAPHIER",IF(AP1010="A","ACCEPTÉ",IF(AP1010="NX","NX – RT À REFAIRE",IF(IF(AO1010=1,AD1010,IF(AO1010=2,AI1010,""))="A","RÉPARÉ – À RADIOGRAPHIER",IF(IF(AO1010=1,AD1010,IF(AO1010=2,AI1010,""))="R","VT REJETÉ – À REPRENDRE",IF(OR(AP1010="CO",AP1010="NT"),"COUPE – À RESOUDER","À RÉPARER"))))))))))</f>
        <v>À SOUDER</v>
      </c>
      <c r="AR1010" s="82" t="str">
        <f aca="false">IF(AND(ISNUMBER(U1010),OR(AQ1010="À RADIOGRAPHIER",AQ1010="RÉPARÉ – À RADIOGRAPHIER",AQ1010="NX – RT À REFAIRE",AQ1010="À RÉPARER",AQ1010="COUPE – À RESOUDER",AQ1010="VT REJETÉ – À REPRENDRE")),MAX(0,'PROGRAMME RT'!$C$4-U1010),"")</f>
        <v/>
      </c>
      <c r="AS1010" s="82" t="n">
        <f aca="false">IF(AND(OR(AQ1010="À RADIOGRAPHIER",AQ1010="RÉPARÉ – À RADIOGRAPHIER",AQ1010="NX – RT À REFAIRE"),OR('PROGRAMME RT'!$D$5="TOUTES",B1010='PROGRAMME RT'!$D$5)),1,0)</f>
        <v>0</v>
      </c>
      <c r="AT1010" s="82" t="str">
        <f aca="false">IF(AS1010=1,SUM(AS$7:AS1010),"")</f>
        <v/>
      </c>
      <c r="AU1010" s="82" t="n">
        <f aca="false">IF(AND(OR(AA1010="R",AA1010="NX",AA1010="NT",AA1010="CO"),OR('JOINTS DE RÉPARATION'!$D$5="TOUTES",B1010='JOINTS DE RÉPARATION'!$D$5),OR('JOINTS DE RÉPARATION'!$L$4="TOUS",AQ1010&lt;&gt;"ACCEPTÉ")),1,0)</f>
        <v>0</v>
      </c>
      <c r="AV1010" s="82" t="str">
        <f aca="false">IF(AU1010=1,SUM(AU$7:AU1010),"")</f>
        <v/>
      </c>
      <c r="AW1010" s="82" t="str">
        <f aca="false">IF(E1010="","",B1010&amp;"|"&amp;E1010)</f>
        <v>MFD-ISW → MFD-CPF|JN°897</v>
      </c>
    </row>
    <row r="1011" customFormat="false" ht="74.6" hidden="false" customHeight="false" outlineLevel="0" collapsed="false">
      <c r="A1011" s="79" t="n">
        <f aca="false">IF(E1011="","",ROW()-6)</f>
        <v>1005</v>
      </c>
      <c r="B1011" s="80" t="s">
        <v>110</v>
      </c>
      <c r="C1011" s="81" t="s">
        <v>926</v>
      </c>
      <c r="D1011" s="81" t="n">
        <v>7</v>
      </c>
      <c r="E1011" s="81" t="s">
        <v>1188</v>
      </c>
      <c r="F1011" s="82" t="str">
        <f aca="false">IF(E1011="","",IF(LEFT(E1011,2)="DJ","DJ","JN"))</f>
        <v>JN</v>
      </c>
      <c r="G1011" s="81"/>
      <c r="H1011" s="81"/>
      <c r="I1011" s="81"/>
      <c r="J1011" s="81"/>
      <c r="K1011" s="81"/>
      <c r="L1011" s="81"/>
      <c r="M1011" s="81"/>
      <c r="N1011" s="81"/>
      <c r="O1011" s="81"/>
      <c r="P1011" s="81"/>
      <c r="Q1011" s="81"/>
      <c r="R1011" s="81"/>
      <c r="S1011" s="81"/>
      <c r="T1011" s="81"/>
      <c r="U1011" s="83"/>
      <c r="V1011" s="83"/>
      <c r="W1011" s="81"/>
      <c r="X1011" s="81"/>
      <c r="Y1011" s="83"/>
      <c r="Z1011" s="81"/>
      <c r="AA1011" s="81"/>
      <c r="AB1011" s="81"/>
      <c r="AC1011" s="81"/>
      <c r="AD1011" s="81"/>
      <c r="AE1011" s="83"/>
      <c r="AF1011" s="81"/>
      <c r="AG1011" s="81"/>
      <c r="AH1011" s="81"/>
      <c r="AI1011" s="81"/>
      <c r="AJ1011" s="83"/>
      <c r="AK1011" s="81"/>
      <c r="AL1011" s="81"/>
      <c r="AM1011" s="83"/>
      <c r="AN1011" s="80"/>
      <c r="AO1011" s="82" t="n">
        <f aca="false">IF(E1011="","",(AA1011&lt;&gt;"")+(AG1011&lt;&gt;"")+(AL1011&lt;&gt;""))</f>
        <v>0</v>
      </c>
      <c r="AP1011" s="82" t="str">
        <f aca="false">IF(AL1011&lt;&gt;"",AL1011,IF(AG1011&lt;&gt;"",AG1011,IF(AA1011&lt;&gt;"",AA1011,"")))</f>
        <v/>
      </c>
      <c r="AQ1011" s="84" t="str">
        <f aca="false">IF(E1011="","",IF(U1011="","À SOUDER",IF(X1011="","VT EN ATTENTE",IF(X1011="R","VT REJETÉ – À REPRENDRE",IF(AP1011="","À RADIOGRAPHIER",IF(AP1011="A","ACCEPTÉ",IF(AP1011="NX","NX – RT À REFAIRE",IF(IF(AO1011=1,AD1011,IF(AO1011=2,AI1011,""))="A","RÉPARÉ – À RADIOGRAPHIER",IF(IF(AO1011=1,AD1011,IF(AO1011=2,AI1011,""))="R","VT REJETÉ – À REPRENDRE",IF(OR(AP1011="CO",AP1011="NT"),"COUPE – À RESOUDER","À RÉPARER"))))))))))</f>
        <v>À SOUDER</v>
      </c>
      <c r="AR1011" s="82" t="str">
        <f aca="false">IF(AND(ISNUMBER(U1011),OR(AQ1011="À RADIOGRAPHIER",AQ1011="RÉPARÉ – À RADIOGRAPHIER",AQ1011="NX – RT À REFAIRE",AQ1011="À RÉPARER",AQ1011="COUPE – À RESOUDER",AQ1011="VT REJETÉ – À REPRENDRE")),MAX(0,'PROGRAMME RT'!$C$4-U1011),"")</f>
        <v/>
      </c>
      <c r="AS1011" s="82" t="n">
        <f aca="false">IF(AND(OR(AQ1011="À RADIOGRAPHIER",AQ1011="RÉPARÉ – À RADIOGRAPHIER",AQ1011="NX – RT À REFAIRE"),OR('PROGRAMME RT'!$D$5="TOUTES",B1011='PROGRAMME RT'!$D$5)),1,0)</f>
        <v>0</v>
      </c>
      <c r="AT1011" s="82" t="str">
        <f aca="false">IF(AS1011=1,SUM(AS$7:AS1011),"")</f>
        <v/>
      </c>
      <c r="AU1011" s="82" t="n">
        <f aca="false">IF(AND(OR(AA1011="R",AA1011="NX",AA1011="NT",AA1011="CO"),OR('JOINTS DE RÉPARATION'!$D$5="TOUTES",B1011='JOINTS DE RÉPARATION'!$D$5),OR('JOINTS DE RÉPARATION'!$L$4="TOUS",AQ1011&lt;&gt;"ACCEPTÉ")),1,0)</f>
        <v>0</v>
      </c>
      <c r="AV1011" s="82" t="str">
        <f aca="false">IF(AU1011=1,SUM(AU$7:AU1011),"")</f>
        <v/>
      </c>
      <c r="AW1011" s="82" t="str">
        <f aca="false">IF(E1011="","",B1011&amp;"|"&amp;E1011)</f>
        <v>MFD-ISW → MFD-CPF|JN°898</v>
      </c>
    </row>
    <row r="1012" customFormat="false" ht="74.6" hidden="false" customHeight="false" outlineLevel="0" collapsed="false">
      <c r="A1012" s="79" t="n">
        <f aca="false">IF(E1012="","",ROW()-6)</f>
        <v>1006</v>
      </c>
      <c r="B1012" s="80" t="s">
        <v>110</v>
      </c>
      <c r="C1012" s="81" t="s">
        <v>926</v>
      </c>
      <c r="D1012" s="81" t="n">
        <v>7</v>
      </c>
      <c r="E1012" s="81" t="s">
        <v>1189</v>
      </c>
      <c r="F1012" s="82" t="str">
        <f aca="false">IF(E1012="","",IF(LEFT(E1012,2)="DJ","DJ","JN"))</f>
        <v>JN</v>
      </c>
      <c r="G1012" s="81"/>
      <c r="H1012" s="81"/>
      <c r="I1012" s="81"/>
      <c r="J1012" s="81"/>
      <c r="K1012" s="81"/>
      <c r="L1012" s="81"/>
      <c r="M1012" s="81"/>
      <c r="N1012" s="81"/>
      <c r="O1012" s="81"/>
      <c r="P1012" s="81"/>
      <c r="Q1012" s="81"/>
      <c r="R1012" s="81"/>
      <c r="S1012" s="81"/>
      <c r="T1012" s="81"/>
      <c r="U1012" s="83"/>
      <c r="V1012" s="83"/>
      <c r="W1012" s="81"/>
      <c r="X1012" s="81"/>
      <c r="Y1012" s="83"/>
      <c r="Z1012" s="81"/>
      <c r="AA1012" s="81"/>
      <c r="AB1012" s="81"/>
      <c r="AC1012" s="81"/>
      <c r="AD1012" s="81"/>
      <c r="AE1012" s="83"/>
      <c r="AF1012" s="81"/>
      <c r="AG1012" s="81"/>
      <c r="AH1012" s="81"/>
      <c r="AI1012" s="81"/>
      <c r="AJ1012" s="83"/>
      <c r="AK1012" s="81"/>
      <c r="AL1012" s="81"/>
      <c r="AM1012" s="83"/>
      <c r="AN1012" s="80"/>
      <c r="AO1012" s="82" t="n">
        <f aca="false">IF(E1012="","",(AA1012&lt;&gt;"")+(AG1012&lt;&gt;"")+(AL1012&lt;&gt;""))</f>
        <v>0</v>
      </c>
      <c r="AP1012" s="82" t="str">
        <f aca="false">IF(AL1012&lt;&gt;"",AL1012,IF(AG1012&lt;&gt;"",AG1012,IF(AA1012&lt;&gt;"",AA1012,"")))</f>
        <v/>
      </c>
      <c r="AQ1012" s="84" t="str">
        <f aca="false">IF(E1012="","",IF(U1012="","À SOUDER",IF(X1012="","VT EN ATTENTE",IF(X1012="R","VT REJETÉ – À REPRENDRE",IF(AP1012="","À RADIOGRAPHIER",IF(AP1012="A","ACCEPTÉ",IF(AP1012="NX","NX – RT À REFAIRE",IF(IF(AO1012=1,AD1012,IF(AO1012=2,AI1012,""))="A","RÉPARÉ – À RADIOGRAPHIER",IF(IF(AO1012=1,AD1012,IF(AO1012=2,AI1012,""))="R","VT REJETÉ – À REPRENDRE",IF(OR(AP1012="CO",AP1012="NT"),"COUPE – À RESOUDER","À RÉPARER"))))))))))</f>
        <v>À SOUDER</v>
      </c>
      <c r="AR1012" s="82" t="str">
        <f aca="false">IF(AND(ISNUMBER(U1012),OR(AQ1012="À RADIOGRAPHIER",AQ1012="RÉPARÉ – À RADIOGRAPHIER",AQ1012="NX – RT À REFAIRE",AQ1012="À RÉPARER",AQ1012="COUPE – À RESOUDER",AQ1012="VT REJETÉ – À REPRENDRE")),MAX(0,'PROGRAMME RT'!$C$4-U1012),"")</f>
        <v/>
      </c>
      <c r="AS1012" s="82" t="n">
        <f aca="false">IF(AND(OR(AQ1012="À RADIOGRAPHIER",AQ1012="RÉPARÉ – À RADIOGRAPHIER",AQ1012="NX – RT À REFAIRE"),OR('PROGRAMME RT'!$D$5="TOUTES",B1012='PROGRAMME RT'!$D$5)),1,0)</f>
        <v>0</v>
      </c>
      <c r="AT1012" s="82" t="str">
        <f aca="false">IF(AS1012=1,SUM(AS$7:AS1012),"")</f>
        <v/>
      </c>
      <c r="AU1012" s="82" t="n">
        <f aca="false">IF(AND(OR(AA1012="R",AA1012="NX",AA1012="NT",AA1012="CO"),OR('JOINTS DE RÉPARATION'!$D$5="TOUTES",B1012='JOINTS DE RÉPARATION'!$D$5),OR('JOINTS DE RÉPARATION'!$L$4="TOUS",AQ1012&lt;&gt;"ACCEPTÉ")),1,0)</f>
        <v>0</v>
      </c>
      <c r="AV1012" s="82" t="str">
        <f aca="false">IF(AU1012=1,SUM(AU$7:AU1012),"")</f>
        <v/>
      </c>
      <c r="AW1012" s="82" t="str">
        <f aca="false">IF(E1012="","",B1012&amp;"|"&amp;E1012)</f>
        <v>MFD-ISW → MFD-CPF|JN°899</v>
      </c>
    </row>
    <row r="1013" customFormat="false" ht="74.6" hidden="false" customHeight="false" outlineLevel="0" collapsed="false">
      <c r="A1013" s="79" t="n">
        <f aca="false">IF(E1013="","",ROW()-6)</f>
        <v>1007</v>
      </c>
      <c r="B1013" s="80" t="s">
        <v>110</v>
      </c>
      <c r="C1013" s="81" t="s">
        <v>926</v>
      </c>
      <c r="D1013" s="81" t="n">
        <v>7</v>
      </c>
      <c r="E1013" s="81" t="s">
        <v>1190</v>
      </c>
      <c r="F1013" s="82" t="str">
        <f aca="false">IF(E1013="","",IF(LEFT(E1013,2)="DJ","DJ","JN"))</f>
        <v>JN</v>
      </c>
      <c r="G1013" s="81"/>
      <c r="H1013" s="81"/>
      <c r="I1013" s="81"/>
      <c r="J1013" s="81"/>
      <c r="K1013" s="81"/>
      <c r="L1013" s="81"/>
      <c r="M1013" s="81"/>
      <c r="N1013" s="81"/>
      <c r="O1013" s="81"/>
      <c r="P1013" s="81"/>
      <c r="Q1013" s="81"/>
      <c r="R1013" s="81"/>
      <c r="S1013" s="81"/>
      <c r="T1013" s="81"/>
      <c r="U1013" s="83"/>
      <c r="V1013" s="83"/>
      <c r="W1013" s="81"/>
      <c r="X1013" s="81"/>
      <c r="Y1013" s="83"/>
      <c r="Z1013" s="81"/>
      <c r="AA1013" s="81"/>
      <c r="AB1013" s="81"/>
      <c r="AC1013" s="81"/>
      <c r="AD1013" s="81"/>
      <c r="AE1013" s="83"/>
      <c r="AF1013" s="81"/>
      <c r="AG1013" s="81"/>
      <c r="AH1013" s="81"/>
      <c r="AI1013" s="81"/>
      <c r="AJ1013" s="83"/>
      <c r="AK1013" s="81"/>
      <c r="AL1013" s="81"/>
      <c r="AM1013" s="83"/>
      <c r="AN1013" s="80"/>
      <c r="AO1013" s="82" t="n">
        <f aca="false">IF(E1013="","",(AA1013&lt;&gt;"")+(AG1013&lt;&gt;"")+(AL1013&lt;&gt;""))</f>
        <v>0</v>
      </c>
      <c r="AP1013" s="82" t="str">
        <f aca="false">IF(AL1013&lt;&gt;"",AL1013,IF(AG1013&lt;&gt;"",AG1013,IF(AA1013&lt;&gt;"",AA1013,"")))</f>
        <v/>
      </c>
      <c r="AQ1013" s="84" t="str">
        <f aca="false">IF(E1013="","",IF(U1013="","À SOUDER",IF(X1013="","VT EN ATTENTE",IF(X1013="R","VT REJETÉ – À REPRENDRE",IF(AP1013="","À RADIOGRAPHIER",IF(AP1013="A","ACCEPTÉ",IF(AP1013="NX","NX – RT À REFAIRE",IF(IF(AO1013=1,AD1013,IF(AO1013=2,AI1013,""))="A","RÉPARÉ – À RADIOGRAPHIER",IF(IF(AO1013=1,AD1013,IF(AO1013=2,AI1013,""))="R","VT REJETÉ – À REPRENDRE",IF(OR(AP1013="CO",AP1013="NT"),"COUPE – À RESOUDER","À RÉPARER"))))))))))</f>
        <v>À SOUDER</v>
      </c>
      <c r="AR1013" s="82" t="str">
        <f aca="false">IF(AND(ISNUMBER(U1013),OR(AQ1013="À RADIOGRAPHIER",AQ1013="RÉPARÉ – À RADIOGRAPHIER",AQ1013="NX – RT À REFAIRE",AQ1013="À RÉPARER",AQ1013="COUPE – À RESOUDER",AQ1013="VT REJETÉ – À REPRENDRE")),MAX(0,'PROGRAMME RT'!$C$4-U1013),"")</f>
        <v/>
      </c>
      <c r="AS1013" s="82" t="n">
        <f aca="false">IF(AND(OR(AQ1013="À RADIOGRAPHIER",AQ1013="RÉPARÉ – À RADIOGRAPHIER",AQ1013="NX – RT À REFAIRE"),OR('PROGRAMME RT'!$D$5="TOUTES",B1013='PROGRAMME RT'!$D$5)),1,0)</f>
        <v>0</v>
      </c>
      <c r="AT1013" s="82" t="str">
        <f aca="false">IF(AS1013=1,SUM(AS$7:AS1013),"")</f>
        <v/>
      </c>
      <c r="AU1013" s="82" t="n">
        <f aca="false">IF(AND(OR(AA1013="R",AA1013="NX",AA1013="NT",AA1013="CO"),OR('JOINTS DE RÉPARATION'!$D$5="TOUTES",B1013='JOINTS DE RÉPARATION'!$D$5),OR('JOINTS DE RÉPARATION'!$L$4="TOUS",AQ1013&lt;&gt;"ACCEPTÉ")),1,0)</f>
        <v>0</v>
      </c>
      <c r="AV1013" s="82" t="str">
        <f aca="false">IF(AU1013=1,SUM(AU$7:AU1013),"")</f>
        <v/>
      </c>
      <c r="AW1013" s="82" t="str">
        <f aca="false">IF(E1013="","",B1013&amp;"|"&amp;E1013)</f>
        <v>MFD-ISW → MFD-CPF|JN°900</v>
      </c>
    </row>
    <row r="1014" customFormat="false" ht="74.6" hidden="false" customHeight="false" outlineLevel="0" collapsed="false">
      <c r="A1014" s="79" t="n">
        <f aca="false">IF(E1014="","",ROW()-6)</f>
        <v>1008</v>
      </c>
      <c r="B1014" s="80" t="s">
        <v>110</v>
      </c>
      <c r="C1014" s="81" t="s">
        <v>926</v>
      </c>
      <c r="D1014" s="81" t="n">
        <v>7</v>
      </c>
      <c r="E1014" s="81" t="s">
        <v>1191</v>
      </c>
      <c r="F1014" s="82" t="str">
        <f aca="false">IF(E1014="","",IF(LEFT(E1014,2)="DJ","DJ","JN"))</f>
        <v>JN</v>
      </c>
      <c r="G1014" s="81"/>
      <c r="H1014" s="81"/>
      <c r="I1014" s="81"/>
      <c r="J1014" s="81"/>
      <c r="K1014" s="81"/>
      <c r="L1014" s="81"/>
      <c r="M1014" s="81"/>
      <c r="N1014" s="81"/>
      <c r="O1014" s="81"/>
      <c r="P1014" s="81"/>
      <c r="Q1014" s="81"/>
      <c r="R1014" s="81"/>
      <c r="S1014" s="81"/>
      <c r="T1014" s="81"/>
      <c r="U1014" s="83"/>
      <c r="V1014" s="83"/>
      <c r="W1014" s="81"/>
      <c r="X1014" s="81"/>
      <c r="Y1014" s="83"/>
      <c r="Z1014" s="81"/>
      <c r="AA1014" s="81"/>
      <c r="AB1014" s="81"/>
      <c r="AC1014" s="81"/>
      <c r="AD1014" s="81"/>
      <c r="AE1014" s="83"/>
      <c r="AF1014" s="81"/>
      <c r="AG1014" s="81"/>
      <c r="AH1014" s="81"/>
      <c r="AI1014" s="81"/>
      <c r="AJ1014" s="83"/>
      <c r="AK1014" s="81"/>
      <c r="AL1014" s="81"/>
      <c r="AM1014" s="83"/>
      <c r="AN1014" s="80"/>
      <c r="AO1014" s="82" t="n">
        <f aca="false">IF(E1014="","",(AA1014&lt;&gt;"")+(AG1014&lt;&gt;"")+(AL1014&lt;&gt;""))</f>
        <v>0</v>
      </c>
      <c r="AP1014" s="82" t="str">
        <f aca="false">IF(AL1014&lt;&gt;"",AL1014,IF(AG1014&lt;&gt;"",AG1014,IF(AA1014&lt;&gt;"",AA1014,"")))</f>
        <v/>
      </c>
      <c r="AQ1014" s="84" t="str">
        <f aca="false">IF(E1014="","",IF(U1014="","À SOUDER",IF(X1014="","VT EN ATTENTE",IF(X1014="R","VT REJETÉ – À REPRENDRE",IF(AP1014="","À RADIOGRAPHIER",IF(AP1014="A","ACCEPTÉ",IF(AP1014="NX","NX – RT À REFAIRE",IF(IF(AO1014=1,AD1014,IF(AO1014=2,AI1014,""))="A","RÉPARÉ – À RADIOGRAPHIER",IF(IF(AO1014=1,AD1014,IF(AO1014=2,AI1014,""))="R","VT REJETÉ – À REPRENDRE",IF(OR(AP1014="CO",AP1014="NT"),"COUPE – À RESOUDER","À RÉPARER"))))))))))</f>
        <v>À SOUDER</v>
      </c>
      <c r="AR1014" s="82" t="str">
        <f aca="false">IF(AND(ISNUMBER(U1014),OR(AQ1014="À RADIOGRAPHIER",AQ1014="RÉPARÉ – À RADIOGRAPHIER",AQ1014="NX – RT À REFAIRE",AQ1014="À RÉPARER",AQ1014="COUPE – À RESOUDER",AQ1014="VT REJETÉ – À REPRENDRE")),MAX(0,'PROGRAMME RT'!$C$4-U1014),"")</f>
        <v/>
      </c>
      <c r="AS1014" s="82" t="n">
        <f aca="false">IF(AND(OR(AQ1014="À RADIOGRAPHIER",AQ1014="RÉPARÉ – À RADIOGRAPHIER",AQ1014="NX – RT À REFAIRE"),OR('PROGRAMME RT'!$D$5="TOUTES",B1014='PROGRAMME RT'!$D$5)),1,0)</f>
        <v>0</v>
      </c>
      <c r="AT1014" s="82" t="str">
        <f aca="false">IF(AS1014=1,SUM(AS$7:AS1014),"")</f>
        <v/>
      </c>
      <c r="AU1014" s="82" t="n">
        <f aca="false">IF(AND(OR(AA1014="R",AA1014="NX",AA1014="NT",AA1014="CO"),OR('JOINTS DE RÉPARATION'!$D$5="TOUTES",B1014='JOINTS DE RÉPARATION'!$D$5),OR('JOINTS DE RÉPARATION'!$L$4="TOUS",AQ1014&lt;&gt;"ACCEPTÉ")),1,0)</f>
        <v>0</v>
      </c>
      <c r="AV1014" s="82" t="str">
        <f aca="false">IF(AU1014=1,SUM(AU$7:AU1014),"")</f>
        <v/>
      </c>
      <c r="AW1014" s="82" t="str">
        <f aca="false">IF(E1014="","",B1014&amp;"|"&amp;E1014)</f>
        <v>MFD-ISW → MFD-CPF|JN°901</v>
      </c>
    </row>
    <row r="1015" customFormat="false" ht="74.6" hidden="false" customHeight="false" outlineLevel="0" collapsed="false">
      <c r="A1015" s="79" t="n">
        <f aca="false">IF(E1015="","",ROW()-6)</f>
        <v>1009</v>
      </c>
      <c r="B1015" s="80" t="s">
        <v>110</v>
      </c>
      <c r="C1015" s="81" t="s">
        <v>926</v>
      </c>
      <c r="D1015" s="81" t="n">
        <v>7</v>
      </c>
      <c r="E1015" s="81" t="s">
        <v>1192</v>
      </c>
      <c r="F1015" s="82" t="str">
        <f aca="false">IF(E1015="","",IF(LEFT(E1015,2)="DJ","DJ","JN"))</f>
        <v>JN</v>
      </c>
      <c r="G1015" s="81"/>
      <c r="H1015" s="81"/>
      <c r="I1015" s="81"/>
      <c r="J1015" s="81"/>
      <c r="K1015" s="81"/>
      <c r="L1015" s="81"/>
      <c r="M1015" s="81"/>
      <c r="N1015" s="81"/>
      <c r="O1015" s="81"/>
      <c r="P1015" s="81"/>
      <c r="Q1015" s="81"/>
      <c r="R1015" s="81"/>
      <c r="S1015" s="81"/>
      <c r="T1015" s="81"/>
      <c r="U1015" s="83"/>
      <c r="V1015" s="83"/>
      <c r="W1015" s="81"/>
      <c r="X1015" s="81"/>
      <c r="Y1015" s="83"/>
      <c r="Z1015" s="81"/>
      <c r="AA1015" s="81"/>
      <c r="AB1015" s="81"/>
      <c r="AC1015" s="81"/>
      <c r="AD1015" s="81"/>
      <c r="AE1015" s="83"/>
      <c r="AF1015" s="81"/>
      <c r="AG1015" s="81"/>
      <c r="AH1015" s="81"/>
      <c r="AI1015" s="81"/>
      <c r="AJ1015" s="83"/>
      <c r="AK1015" s="81"/>
      <c r="AL1015" s="81"/>
      <c r="AM1015" s="83"/>
      <c r="AN1015" s="80"/>
      <c r="AO1015" s="82" t="n">
        <f aca="false">IF(E1015="","",(AA1015&lt;&gt;"")+(AG1015&lt;&gt;"")+(AL1015&lt;&gt;""))</f>
        <v>0</v>
      </c>
      <c r="AP1015" s="82" t="str">
        <f aca="false">IF(AL1015&lt;&gt;"",AL1015,IF(AG1015&lt;&gt;"",AG1015,IF(AA1015&lt;&gt;"",AA1015,"")))</f>
        <v/>
      </c>
      <c r="AQ1015" s="84" t="str">
        <f aca="false">IF(E1015="","",IF(U1015="","À SOUDER",IF(X1015="","VT EN ATTENTE",IF(X1015="R","VT REJETÉ – À REPRENDRE",IF(AP1015="","À RADIOGRAPHIER",IF(AP1015="A","ACCEPTÉ",IF(AP1015="NX","NX – RT À REFAIRE",IF(IF(AO1015=1,AD1015,IF(AO1015=2,AI1015,""))="A","RÉPARÉ – À RADIOGRAPHIER",IF(IF(AO1015=1,AD1015,IF(AO1015=2,AI1015,""))="R","VT REJETÉ – À REPRENDRE",IF(OR(AP1015="CO",AP1015="NT"),"COUPE – À RESOUDER","À RÉPARER"))))))))))</f>
        <v>À SOUDER</v>
      </c>
      <c r="AR1015" s="82" t="str">
        <f aca="false">IF(AND(ISNUMBER(U1015),OR(AQ1015="À RADIOGRAPHIER",AQ1015="RÉPARÉ – À RADIOGRAPHIER",AQ1015="NX – RT À REFAIRE",AQ1015="À RÉPARER",AQ1015="COUPE – À RESOUDER",AQ1015="VT REJETÉ – À REPRENDRE")),MAX(0,'PROGRAMME RT'!$C$4-U1015),"")</f>
        <v/>
      </c>
      <c r="AS1015" s="82" t="n">
        <f aca="false">IF(AND(OR(AQ1015="À RADIOGRAPHIER",AQ1015="RÉPARÉ – À RADIOGRAPHIER",AQ1015="NX – RT À REFAIRE"),OR('PROGRAMME RT'!$D$5="TOUTES",B1015='PROGRAMME RT'!$D$5)),1,0)</f>
        <v>0</v>
      </c>
      <c r="AT1015" s="82" t="str">
        <f aca="false">IF(AS1015=1,SUM(AS$7:AS1015),"")</f>
        <v/>
      </c>
      <c r="AU1015" s="82" t="n">
        <f aca="false">IF(AND(OR(AA1015="R",AA1015="NX",AA1015="NT",AA1015="CO"),OR('JOINTS DE RÉPARATION'!$D$5="TOUTES",B1015='JOINTS DE RÉPARATION'!$D$5),OR('JOINTS DE RÉPARATION'!$L$4="TOUS",AQ1015&lt;&gt;"ACCEPTÉ")),1,0)</f>
        <v>0</v>
      </c>
      <c r="AV1015" s="82" t="str">
        <f aca="false">IF(AU1015=1,SUM(AU$7:AU1015),"")</f>
        <v/>
      </c>
      <c r="AW1015" s="82" t="str">
        <f aca="false">IF(E1015="","",B1015&amp;"|"&amp;E1015)</f>
        <v>MFD-ISW → MFD-CPF|JN°902</v>
      </c>
    </row>
    <row r="1016" customFormat="false" ht="74.6" hidden="false" customHeight="false" outlineLevel="0" collapsed="false">
      <c r="A1016" s="79" t="n">
        <f aca="false">IF(E1016="","",ROW()-6)</f>
        <v>1010</v>
      </c>
      <c r="B1016" s="80" t="s">
        <v>110</v>
      </c>
      <c r="C1016" s="81" t="s">
        <v>926</v>
      </c>
      <c r="D1016" s="81" t="n">
        <v>7</v>
      </c>
      <c r="E1016" s="81" t="s">
        <v>1193</v>
      </c>
      <c r="F1016" s="82" t="str">
        <f aca="false">IF(E1016="","",IF(LEFT(E1016,2)="DJ","DJ","JN"))</f>
        <v>JN</v>
      </c>
      <c r="G1016" s="81"/>
      <c r="H1016" s="81"/>
      <c r="I1016" s="81"/>
      <c r="J1016" s="81"/>
      <c r="K1016" s="81"/>
      <c r="L1016" s="81"/>
      <c r="M1016" s="81"/>
      <c r="N1016" s="81"/>
      <c r="O1016" s="81"/>
      <c r="P1016" s="81"/>
      <c r="Q1016" s="81"/>
      <c r="R1016" s="81"/>
      <c r="S1016" s="81"/>
      <c r="T1016" s="81"/>
      <c r="U1016" s="83"/>
      <c r="V1016" s="83"/>
      <c r="W1016" s="81"/>
      <c r="X1016" s="81"/>
      <c r="Y1016" s="83"/>
      <c r="Z1016" s="81"/>
      <c r="AA1016" s="81"/>
      <c r="AB1016" s="81"/>
      <c r="AC1016" s="81"/>
      <c r="AD1016" s="81"/>
      <c r="AE1016" s="83"/>
      <c r="AF1016" s="81"/>
      <c r="AG1016" s="81"/>
      <c r="AH1016" s="81"/>
      <c r="AI1016" s="81"/>
      <c r="AJ1016" s="83"/>
      <c r="AK1016" s="81"/>
      <c r="AL1016" s="81"/>
      <c r="AM1016" s="83"/>
      <c r="AN1016" s="80"/>
      <c r="AO1016" s="82" t="n">
        <f aca="false">IF(E1016="","",(AA1016&lt;&gt;"")+(AG1016&lt;&gt;"")+(AL1016&lt;&gt;""))</f>
        <v>0</v>
      </c>
      <c r="AP1016" s="82" t="str">
        <f aca="false">IF(AL1016&lt;&gt;"",AL1016,IF(AG1016&lt;&gt;"",AG1016,IF(AA1016&lt;&gt;"",AA1016,"")))</f>
        <v/>
      </c>
      <c r="AQ1016" s="84" t="str">
        <f aca="false">IF(E1016="","",IF(U1016="","À SOUDER",IF(X1016="","VT EN ATTENTE",IF(X1016="R","VT REJETÉ – À REPRENDRE",IF(AP1016="","À RADIOGRAPHIER",IF(AP1016="A","ACCEPTÉ",IF(AP1016="NX","NX – RT À REFAIRE",IF(IF(AO1016=1,AD1016,IF(AO1016=2,AI1016,""))="A","RÉPARÉ – À RADIOGRAPHIER",IF(IF(AO1016=1,AD1016,IF(AO1016=2,AI1016,""))="R","VT REJETÉ – À REPRENDRE",IF(OR(AP1016="CO",AP1016="NT"),"COUPE – À RESOUDER","À RÉPARER"))))))))))</f>
        <v>À SOUDER</v>
      </c>
      <c r="AR1016" s="82" t="str">
        <f aca="false">IF(AND(ISNUMBER(U1016),OR(AQ1016="À RADIOGRAPHIER",AQ1016="RÉPARÉ – À RADIOGRAPHIER",AQ1016="NX – RT À REFAIRE",AQ1016="À RÉPARER",AQ1016="COUPE – À RESOUDER",AQ1016="VT REJETÉ – À REPRENDRE")),MAX(0,'PROGRAMME RT'!$C$4-U1016),"")</f>
        <v/>
      </c>
      <c r="AS1016" s="82" t="n">
        <f aca="false">IF(AND(OR(AQ1016="À RADIOGRAPHIER",AQ1016="RÉPARÉ – À RADIOGRAPHIER",AQ1016="NX – RT À REFAIRE"),OR('PROGRAMME RT'!$D$5="TOUTES",B1016='PROGRAMME RT'!$D$5)),1,0)</f>
        <v>0</v>
      </c>
      <c r="AT1016" s="82" t="str">
        <f aca="false">IF(AS1016=1,SUM(AS$7:AS1016),"")</f>
        <v/>
      </c>
      <c r="AU1016" s="82" t="n">
        <f aca="false">IF(AND(OR(AA1016="R",AA1016="NX",AA1016="NT",AA1016="CO"),OR('JOINTS DE RÉPARATION'!$D$5="TOUTES",B1016='JOINTS DE RÉPARATION'!$D$5),OR('JOINTS DE RÉPARATION'!$L$4="TOUS",AQ1016&lt;&gt;"ACCEPTÉ")),1,0)</f>
        <v>0</v>
      </c>
      <c r="AV1016" s="82" t="str">
        <f aca="false">IF(AU1016=1,SUM(AU$7:AU1016),"")</f>
        <v/>
      </c>
      <c r="AW1016" s="82" t="str">
        <f aca="false">IF(E1016="","",B1016&amp;"|"&amp;E1016)</f>
        <v>MFD-ISW → MFD-CPF|JN°903</v>
      </c>
    </row>
    <row r="1017" customFormat="false" ht="74.6" hidden="false" customHeight="false" outlineLevel="0" collapsed="false">
      <c r="A1017" s="79" t="n">
        <f aca="false">IF(E1017="","",ROW()-6)</f>
        <v>1011</v>
      </c>
      <c r="B1017" s="80" t="s">
        <v>110</v>
      </c>
      <c r="C1017" s="81" t="s">
        <v>926</v>
      </c>
      <c r="D1017" s="81" t="n">
        <v>7</v>
      </c>
      <c r="E1017" s="81" t="s">
        <v>1194</v>
      </c>
      <c r="F1017" s="82" t="str">
        <f aca="false">IF(E1017="","",IF(LEFT(E1017,2)="DJ","DJ","JN"))</f>
        <v>JN</v>
      </c>
      <c r="G1017" s="81"/>
      <c r="H1017" s="81"/>
      <c r="I1017" s="81"/>
      <c r="J1017" s="81"/>
      <c r="K1017" s="81"/>
      <c r="L1017" s="81"/>
      <c r="M1017" s="81"/>
      <c r="N1017" s="81"/>
      <c r="O1017" s="81"/>
      <c r="P1017" s="81"/>
      <c r="Q1017" s="81"/>
      <c r="R1017" s="81"/>
      <c r="S1017" s="81"/>
      <c r="T1017" s="81"/>
      <c r="U1017" s="83"/>
      <c r="V1017" s="83"/>
      <c r="W1017" s="81"/>
      <c r="X1017" s="81"/>
      <c r="Y1017" s="83"/>
      <c r="Z1017" s="81"/>
      <c r="AA1017" s="81"/>
      <c r="AB1017" s="81"/>
      <c r="AC1017" s="81"/>
      <c r="AD1017" s="81"/>
      <c r="AE1017" s="83"/>
      <c r="AF1017" s="81"/>
      <c r="AG1017" s="81"/>
      <c r="AH1017" s="81"/>
      <c r="AI1017" s="81"/>
      <c r="AJ1017" s="83"/>
      <c r="AK1017" s="81"/>
      <c r="AL1017" s="81"/>
      <c r="AM1017" s="83"/>
      <c r="AN1017" s="80"/>
      <c r="AO1017" s="82" t="n">
        <f aca="false">IF(E1017="","",(AA1017&lt;&gt;"")+(AG1017&lt;&gt;"")+(AL1017&lt;&gt;""))</f>
        <v>0</v>
      </c>
      <c r="AP1017" s="82" t="str">
        <f aca="false">IF(AL1017&lt;&gt;"",AL1017,IF(AG1017&lt;&gt;"",AG1017,IF(AA1017&lt;&gt;"",AA1017,"")))</f>
        <v/>
      </c>
      <c r="AQ1017" s="84" t="str">
        <f aca="false">IF(E1017="","",IF(U1017="","À SOUDER",IF(X1017="","VT EN ATTENTE",IF(X1017="R","VT REJETÉ – À REPRENDRE",IF(AP1017="","À RADIOGRAPHIER",IF(AP1017="A","ACCEPTÉ",IF(AP1017="NX","NX – RT À REFAIRE",IF(IF(AO1017=1,AD1017,IF(AO1017=2,AI1017,""))="A","RÉPARÉ – À RADIOGRAPHIER",IF(IF(AO1017=1,AD1017,IF(AO1017=2,AI1017,""))="R","VT REJETÉ – À REPRENDRE",IF(OR(AP1017="CO",AP1017="NT"),"COUPE – À RESOUDER","À RÉPARER"))))))))))</f>
        <v>À SOUDER</v>
      </c>
      <c r="AR1017" s="82" t="str">
        <f aca="false">IF(AND(ISNUMBER(U1017),OR(AQ1017="À RADIOGRAPHIER",AQ1017="RÉPARÉ – À RADIOGRAPHIER",AQ1017="NX – RT À REFAIRE",AQ1017="À RÉPARER",AQ1017="COUPE – À RESOUDER",AQ1017="VT REJETÉ – À REPRENDRE")),MAX(0,'PROGRAMME RT'!$C$4-U1017),"")</f>
        <v/>
      </c>
      <c r="AS1017" s="82" t="n">
        <f aca="false">IF(AND(OR(AQ1017="À RADIOGRAPHIER",AQ1017="RÉPARÉ – À RADIOGRAPHIER",AQ1017="NX – RT À REFAIRE"),OR('PROGRAMME RT'!$D$5="TOUTES",B1017='PROGRAMME RT'!$D$5)),1,0)</f>
        <v>0</v>
      </c>
      <c r="AT1017" s="82" t="str">
        <f aca="false">IF(AS1017=1,SUM(AS$7:AS1017),"")</f>
        <v/>
      </c>
      <c r="AU1017" s="82" t="n">
        <f aca="false">IF(AND(OR(AA1017="R",AA1017="NX",AA1017="NT",AA1017="CO"),OR('JOINTS DE RÉPARATION'!$D$5="TOUTES",B1017='JOINTS DE RÉPARATION'!$D$5),OR('JOINTS DE RÉPARATION'!$L$4="TOUS",AQ1017&lt;&gt;"ACCEPTÉ")),1,0)</f>
        <v>0</v>
      </c>
      <c r="AV1017" s="82" t="str">
        <f aca="false">IF(AU1017=1,SUM(AU$7:AU1017),"")</f>
        <v/>
      </c>
      <c r="AW1017" s="82" t="str">
        <f aca="false">IF(E1017="","",B1017&amp;"|"&amp;E1017)</f>
        <v>MFD-ISW → MFD-CPF|JN°904</v>
      </c>
    </row>
    <row r="1018" customFormat="false" ht="74.6" hidden="false" customHeight="false" outlineLevel="0" collapsed="false">
      <c r="A1018" s="79" t="n">
        <f aca="false">IF(E1018="","",ROW()-6)</f>
        <v>1012</v>
      </c>
      <c r="B1018" s="80" t="s">
        <v>110</v>
      </c>
      <c r="C1018" s="81" t="s">
        <v>926</v>
      </c>
      <c r="D1018" s="81" t="n">
        <v>7</v>
      </c>
      <c r="E1018" s="81" t="s">
        <v>1195</v>
      </c>
      <c r="F1018" s="82" t="str">
        <f aca="false">IF(E1018="","",IF(LEFT(E1018,2)="DJ","DJ","JN"))</f>
        <v>JN</v>
      </c>
      <c r="G1018" s="81"/>
      <c r="H1018" s="81"/>
      <c r="I1018" s="81"/>
      <c r="J1018" s="81"/>
      <c r="K1018" s="81"/>
      <c r="L1018" s="81"/>
      <c r="M1018" s="81"/>
      <c r="N1018" s="81"/>
      <c r="O1018" s="81"/>
      <c r="P1018" s="81"/>
      <c r="Q1018" s="81"/>
      <c r="R1018" s="81"/>
      <c r="S1018" s="81"/>
      <c r="T1018" s="81"/>
      <c r="U1018" s="83"/>
      <c r="V1018" s="83"/>
      <c r="W1018" s="81"/>
      <c r="X1018" s="81"/>
      <c r="Y1018" s="83"/>
      <c r="Z1018" s="81"/>
      <c r="AA1018" s="81"/>
      <c r="AB1018" s="81"/>
      <c r="AC1018" s="81"/>
      <c r="AD1018" s="81"/>
      <c r="AE1018" s="83"/>
      <c r="AF1018" s="81"/>
      <c r="AG1018" s="81"/>
      <c r="AH1018" s="81"/>
      <c r="AI1018" s="81"/>
      <c r="AJ1018" s="83"/>
      <c r="AK1018" s="81"/>
      <c r="AL1018" s="81"/>
      <c r="AM1018" s="83"/>
      <c r="AN1018" s="80"/>
      <c r="AO1018" s="82" t="n">
        <f aca="false">IF(E1018="","",(AA1018&lt;&gt;"")+(AG1018&lt;&gt;"")+(AL1018&lt;&gt;""))</f>
        <v>0</v>
      </c>
      <c r="AP1018" s="82" t="str">
        <f aca="false">IF(AL1018&lt;&gt;"",AL1018,IF(AG1018&lt;&gt;"",AG1018,IF(AA1018&lt;&gt;"",AA1018,"")))</f>
        <v/>
      </c>
      <c r="AQ1018" s="84" t="str">
        <f aca="false">IF(E1018="","",IF(U1018="","À SOUDER",IF(X1018="","VT EN ATTENTE",IF(X1018="R","VT REJETÉ – À REPRENDRE",IF(AP1018="","À RADIOGRAPHIER",IF(AP1018="A","ACCEPTÉ",IF(AP1018="NX","NX – RT À REFAIRE",IF(IF(AO1018=1,AD1018,IF(AO1018=2,AI1018,""))="A","RÉPARÉ – À RADIOGRAPHIER",IF(IF(AO1018=1,AD1018,IF(AO1018=2,AI1018,""))="R","VT REJETÉ – À REPRENDRE",IF(OR(AP1018="CO",AP1018="NT"),"COUPE – À RESOUDER","À RÉPARER"))))))))))</f>
        <v>À SOUDER</v>
      </c>
      <c r="AR1018" s="82" t="str">
        <f aca="false">IF(AND(ISNUMBER(U1018),OR(AQ1018="À RADIOGRAPHIER",AQ1018="RÉPARÉ – À RADIOGRAPHIER",AQ1018="NX – RT À REFAIRE",AQ1018="À RÉPARER",AQ1018="COUPE – À RESOUDER",AQ1018="VT REJETÉ – À REPRENDRE")),MAX(0,'PROGRAMME RT'!$C$4-U1018),"")</f>
        <v/>
      </c>
      <c r="AS1018" s="82" t="n">
        <f aca="false">IF(AND(OR(AQ1018="À RADIOGRAPHIER",AQ1018="RÉPARÉ – À RADIOGRAPHIER",AQ1018="NX – RT À REFAIRE"),OR('PROGRAMME RT'!$D$5="TOUTES",B1018='PROGRAMME RT'!$D$5)),1,0)</f>
        <v>0</v>
      </c>
      <c r="AT1018" s="82" t="str">
        <f aca="false">IF(AS1018=1,SUM(AS$7:AS1018),"")</f>
        <v/>
      </c>
      <c r="AU1018" s="82" t="n">
        <f aca="false">IF(AND(OR(AA1018="R",AA1018="NX",AA1018="NT",AA1018="CO"),OR('JOINTS DE RÉPARATION'!$D$5="TOUTES",B1018='JOINTS DE RÉPARATION'!$D$5),OR('JOINTS DE RÉPARATION'!$L$4="TOUS",AQ1018&lt;&gt;"ACCEPTÉ")),1,0)</f>
        <v>0</v>
      </c>
      <c r="AV1018" s="82" t="str">
        <f aca="false">IF(AU1018=1,SUM(AU$7:AU1018),"")</f>
        <v/>
      </c>
      <c r="AW1018" s="82" t="str">
        <f aca="false">IF(E1018="","",B1018&amp;"|"&amp;E1018)</f>
        <v>MFD-ISW → MFD-CPF|JN°905</v>
      </c>
    </row>
    <row r="1019" customFormat="false" ht="74.6" hidden="false" customHeight="false" outlineLevel="0" collapsed="false">
      <c r="A1019" s="79" t="n">
        <f aca="false">IF(E1019="","",ROW()-6)</f>
        <v>1013</v>
      </c>
      <c r="B1019" s="80" t="s">
        <v>110</v>
      </c>
      <c r="C1019" s="81" t="s">
        <v>926</v>
      </c>
      <c r="D1019" s="81" t="n">
        <v>7</v>
      </c>
      <c r="E1019" s="81" t="s">
        <v>1196</v>
      </c>
      <c r="F1019" s="82" t="str">
        <f aca="false">IF(E1019="","",IF(LEFT(E1019,2)="DJ","DJ","JN"))</f>
        <v>JN</v>
      </c>
      <c r="G1019" s="81"/>
      <c r="H1019" s="81"/>
      <c r="I1019" s="81"/>
      <c r="J1019" s="81"/>
      <c r="K1019" s="81"/>
      <c r="L1019" s="81"/>
      <c r="M1019" s="81"/>
      <c r="N1019" s="81"/>
      <c r="O1019" s="81"/>
      <c r="P1019" s="81"/>
      <c r="Q1019" s="81"/>
      <c r="R1019" s="81"/>
      <c r="S1019" s="81"/>
      <c r="T1019" s="81"/>
      <c r="U1019" s="83"/>
      <c r="V1019" s="83"/>
      <c r="W1019" s="81"/>
      <c r="X1019" s="81"/>
      <c r="Y1019" s="83"/>
      <c r="Z1019" s="81"/>
      <c r="AA1019" s="81"/>
      <c r="AB1019" s="81"/>
      <c r="AC1019" s="81"/>
      <c r="AD1019" s="81"/>
      <c r="AE1019" s="83"/>
      <c r="AF1019" s="81"/>
      <c r="AG1019" s="81"/>
      <c r="AH1019" s="81"/>
      <c r="AI1019" s="81"/>
      <c r="AJ1019" s="83"/>
      <c r="AK1019" s="81"/>
      <c r="AL1019" s="81"/>
      <c r="AM1019" s="83"/>
      <c r="AN1019" s="80"/>
      <c r="AO1019" s="82" t="n">
        <f aca="false">IF(E1019="","",(AA1019&lt;&gt;"")+(AG1019&lt;&gt;"")+(AL1019&lt;&gt;""))</f>
        <v>0</v>
      </c>
      <c r="AP1019" s="82" t="str">
        <f aca="false">IF(AL1019&lt;&gt;"",AL1019,IF(AG1019&lt;&gt;"",AG1019,IF(AA1019&lt;&gt;"",AA1019,"")))</f>
        <v/>
      </c>
      <c r="AQ1019" s="84" t="str">
        <f aca="false">IF(E1019="","",IF(U1019="","À SOUDER",IF(X1019="","VT EN ATTENTE",IF(X1019="R","VT REJETÉ – À REPRENDRE",IF(AP1019="","À RADIOGRAPHIER",IF(AP1019="A","ACCEPTÉ",IF(AP1019="NX","NX – RT À REFAIRE",IF(IF(AO1019=1,AD1019,IF(AO1019=2,AI1019,""))="A","RÉPARÉ – À RADIOGRAPHIER",IF(IF(AO1019=1,AD1019,IF(AO1019=2,AI1019,""))="R","VT REJETÉ – À REPRENDRE",IF(OR(AP1019="CO",AP1019="NT"),"COUPE – À RESOUDER","À RÉPARER"))))))))))</f>
        <v>À SOUDER</v>
      </c>
      <c r="AR1019" s="82" t="str">
        <f aca="false">IF(AND(ISNUMBER(U1019),OR(AQ1019="À RADIOGRAPHIER",AQ1019="RÉPARÉ – À RADIOGRAPHIER",AQ1019="NX – RT À REFAIRE",AQ1019="À RÉPARER",AQ1019="COUPE – À RESOUDER",AQ1019="VT REJETÉ – À REPRENDRE")),MAX(0,'PROGRAMME RT'!$C$4-U1019),"")</f>
        <v/>
      </c>
      <c r="AS1019" s="82" t="n">
        <f aca="false">IF(AND(OR(AQ1019="À RADIOGRAPHIER",AQ1019="RÉPARÉ – À RADIOGRAPHIER",AQ1019="NX – RT À REFAIRE"),OR('PROGRAMME RT'!$D$5="TOUTES",B1019='PROGRAMME RT'!$D$5)),1,0)</f>
        <v>0</v>
      </c>
      <c r="AT1019" s="82" t="str">
        <f aca="false">IF(AS1019=1,SUM(AS$7:AS1019),"")</f>
        <v/>
      </c>
      <c r="AU1019" s="82" t="n">
        <f aca="false">IF(AND(OR(AA1019="R",AA1019="NX",AA1019="NT",AA1019="CO"),OR('JOINTS DE RÉPARATION'!$D$5="TOUTES",B1019='JOINTS DE RÉPARATION'!$D$5),OR('JOINTS DE RÉPARATION'!$L$4="TOUS",AQ1019&lt;&gt;"ACCEPTÉ")),1,0)</f>
        <v>0</v>
      </c>
      <c r="AV1019" s="82" t="str">
        <f aca="false">IF(AU1019=1,SUM(AU$7:AU1019),"")</f>
        <v/>
      </c>
      <c r="AW1019" s="82" t="str">
        <f aca="false">IF(E1019="","",B1019&amp;"|"&amp;E1019)</f>
        <v>MFD-ISW → MFD-CPF|JN°906</v>
      </c>
    </row>
    <row r="1020" customFormat="false" ht="74.6" hidden="false" customHeight="false" outlineLevel="0" collapsed="false">
      <c r="A1020" s="79" t="n">
        <f aca="false">IF(E1020="","",ROW()-6)</f>
        <v>1014</v>
      </c>
      <c r="B1020" s="80" t="s">
        <v>110</v>
      </c>
      <c r="C1020" s="81" t="s">
        <v>926</v>
      </c>
      <c r="D1020" s="81" t="n">
        <v>7</v>
      </c>
      <c r="E1020" s="81" t="s">
        <v>1197</v>
      </c>
      <c r="F1020" s="82" t="str">
        <f aca="false">IF(E1020="","",IF(LEFT(E1020,2)="DJ","DJ","JN"))</f>
        <v>JN</v>
      </c>
      <c r="G1020" s="81"/>
      <c r="H1020" s="81"/>
      <c r="I1020" s="81"/>
      <c r="J1020" s="81"/>
      <c r="K1020" s="81"/>
      <c r="L1020" s="81"/>
      <c r="M1020" s="81"/>
      <c r="N1020" s="81"/>
      <c r="O1020" s="81"/>
      <c r="P1020" s="81"/>
      <c r="Q1020" s="81"/>
      <c r="R1020" s="81"/>
      <c r="S1020" s="81"/>
      <c r="T1020" s="81"/>
      <c r="U1020" s="83"/>
      <c r="V1020" s="83"/>
      <c r="W1020" s="81"/>
      <c r="X1020" s="81"/>
      <c r="Y1020" s="83"/>
      <c r="Z1020" s="81"/>
      <c r="AA1020" s="81"/>
      <c r="AB1020" s="81"/>
      <c r="AC1020" s="81"/>
      <c r="AD1020" s="81"/>
      <c r="AE1020" s="83"/>
      <c r="AF1020" s="81"/>
      <c r="AG1020" s="81"/>
      <c r="AH1020" s="81"/>
      <c r="AI1020" s="81"/>
      <c r="AJ1020" s="83"/>
      <c r="AK1020" s="81"/>
      <c r="AL1020" s="81"/>
      <c r="AM1020" s="83"/>
      <c r="AN1020" s="80"/>
      <c r="AO1020" s="82" t="n">
        <f aca="false">IF(E1020="","",(AA1020&lt;&gt;"")+(AG1020&lt;&gt;"")+(AL1020&lt;&gt;""))</f>
        <v>0</v>
      </c>
      <c r="AP1020" s="82" t="str">
        <f aca="false">IF(AL1020&lt;&gt;"",AL1020,IF(AG1020&lt;&gt;"",AG1020,IF(AA1020&lt;&gt;"",AA1020,"")))</f>
        <v/>
      </c>
      <c r="AQ1020" s="84" t="str">
        <f aca="false">IF(E1020="","",IF(U1020="","À SOUDER",IF(X1020="","VT EN ATTENTE",IF(X1020="R","VT REJETÉ – À REPRENDRE",IF(AP1020="","À RADIOGRAPHIER",IF(AP1020="A","ACCEPTÉ",IF(AP1020="NX","NX – RT À REFAIRE",IF(IF(AO1020=1,AD1020,IF(AO1020=2,AI1020,""))="A","RÉPARÉ – À RADIOGRAPHIER",IF(IF(AO1020=1,AD1020,IF(AO1020=2,AI1020,""))="R","VT REJETÉ – À REPRENDRE",IF(OR(AP1020="CO",AP1020="NT"),"COUPE – À RESOUDER","À RÉPARER"))))))))))</f>
        <v>À SOUDER</v>
      </c>
      <c r="AR1020" s="82" t="str">
        <f aca="false">IF(AND(ISNUMBER(U1020),OR(AQ1020="À RADIOGRAPHIER",AQ1020="RÉPARÉ – À RADIOGRAPHIER",AQ1020="NX – RT À REFAIRE",AQ1020="À RÉPARER",AQ1020="COUPE – À RESOUDER",AQ1020="VT REJETÉ – À REPRENDRE")),MAX(0,'PROGRAMME RT'!$C$4-U1020),"")</f>
        <v/>
      </c>
      <c r="AS1020" s="82" t="n">
        <f aca="false">IF(AND(OR(AQ1020="À RADIOGRAPHIER",AQ1020="RÉPARÉ – À RADIOGRAPHIER",AQ1020="NX – RT À REFAIRE"),OR('PROGRAMME RT'!$D$5="TOUTES",B1020='PROGRAMME RT'!$D$5)),1,0)</f>
        <v>0</v>
      </c>
      <c r="AT1020" s="82" t="str">
        <f aca="false">IF(AS1020=1,SUM(AS$7:AS1020),"")</f>
        <v/>
      </c>
      <c r="AU1020" s="82" t="n">
        <f aca="false">IF(AND(OR(AA1020="R",AA1020="NX",AA1020="NT",AA1020="CO"),OR('JOINTS DE RÉPARATION'!$D$5="TOUTES",B1020='JOINTS DE RÉPARATION'!$D$5),OR('JOINTS DE RÉPARATION'!$L$4="TOUS",AQ1020&lt;&gt;"ACCEPTÉ")),1,0)</f>
        <v>0</v>
      </c>
      <c r="AV1020" s="82" t="str">
        <f aca="false">IF(AU1020=1,SUM(AU$7:AU1020),"")</f>
        <v/>
      </c>
      <c r="AW1020" s="82" t="str">
        <f aca="false">IF(E1020="","",B1020&amp;"|"&amp;E1020)</f>
        <v>MFD-ISW → MFD-CPF|JN°907</v>
      </c>
    </row>
    <row r="1021" customFormat="false" ht="74.6" hidden="false" customHeight="false" outlineLevel="0" collapsed="false">
      <c r="A1021" s="79" t="n">
        <f aca="false">IF(E1021="","",ROW()-6)</f>
        <v>1015</v>
      </c>
      <c r="B1021" s="80" t="s">
        <v>110</v>
      </c>
      <c r="C1021" s="81" t="s">
        <v>926</v>
      </c>
      <c r="D1021" s="81" t="n">
        <v>7</v>
      </c>
      <c r="E1021" s="81" t="s">
        <v>1198</v>
      </c>
      <c r="F1021" s="82" t="str">
        <f aca="false">IF(E1021="","",IF(LEFT(E1021,2)="DJ","DJ","JN"))</f>
        <v>JN</v>
      </c>
      <c r="G1021" s="81"/>
      <c r="H1021" s="81"/>
      <c r="I1021" s="81"/>
      <c r="J1021" s="81"/>
      <c r="K1021" s="81"/>
      <c r="L1021" s="81"/>
      <c r="M1021" s="81"/>
      <c r="N1021" s="81"/>
      <c r="O1021" s="81"/>
      <c r="P1021" s="81"/>
      <c r="Q1021" s="81"/>
      <c r="R1021" s="81"/>
      <c r="S1021" s="81"/>
      <c r="T1021" s="81"/>
      <c r="U1021" s="83"/>
      <c r="V1021" s="83"/>
      <c r="W1021" s="81"/>
      <c r="X1021" s="81"/>
      <c r="Y1021" s="83"/>
      <c r="Z1021" s="81"/>
      <c r="AA1021" s="81"/>
      <c r="AB1021" s="81"/>
      <c r="AC1021" s="81"/>
      <c r="AD1021" s="81"/>
      <c r="AE1021" s="83"/>
      <c r="AF1021" s="81"/>
      <c r="AG1021" s="81"/>
      <c r="AH1021" s="81"/>
      <c r="AI1021" s="81"/>
      <c r="AJ1021" s="83"/>
      <c r="AK1021" s="81"/>
      <c r="AL1021" s="81"/>
      <c r="AM1021" s="83"/>
      <c r="AN1021" s="80"/>
      <c r="AO1021" s="82" t="n">
        <f aca="false">IF(E1021="","",(AA1021&lt;&gt;"")+(AG1021&lt;&gt;"")+(AL1021&lt;&gt;""))</f>
        <v>0</v>
      </c>
      <c r="AP1021" s="82" t="str">
        <f aca="false">IF(AL1021&lt;&gt;"",AL1021,IF(AG1021&lt;&gt;"",AG1021,IF(AA1021&lt;&gt;"",AA1021,"")))</f>
        <v/>
      </c>
      <c r="AQ1021" s="84" t="str">
        <f aca="false">IF(E1021="","",IF(U1021="","À SOUDER",IF(X1021="","VT EN ATTENTE",IF(X1021="R","VT REJETÉ – À REPRENDRE",IF(AP1021="","À RADIOGRAPHIER",IF(AP1021="A","ACCEPTÉ",IF(AP1021="NX","NX – RT À REFAIRE",IF(IF(AO1021=1,AD1021,IF(AO1021=2,AI1021,""))="A","RÉPARÉ – À RADIOGRAPHIER",IF(IF(AO1021=1,AD1021,IF(AO1021=2,AI1021,""))="R","VT REJETÉ – À REPRENDRE",IF(OR(AP1021="CO",AP1021="NT"),"COUPE – À RESOUDER","À RÉPARER"))))))))))</f>
        <v>À SOUDER</v>
      </c>
      <c r="AR1021" s="82" t="str">
        <f aca="false">IF(AND(ISNUMBER(U1021),OR(AQ1021="À RADIOGRAPHIER",AQ1021="RÉPARÉ – À RADIOGRAPHIER",AQ1021="NX – RT À REFAIRE",AQ1021="À RÉPARER",AQ1021="COUPE – À RESOUDER",AQ1021="VT REJETÉ – À REPRENDRE")),MAX(0,'PROGRAMME RT'!$C$4-U1021),"")</f>
        <v/>
      </c>
      <c r="AS1021" s="82" t="n">
        <f aca="false">IF(AND(OR(AQ1021="À RADIOGRAPHIER",AQ1021="RÉPARÉ – À RADIOGRAPHIER",AQ1021="NX – RT À REFAIRE"),OR('PROGRAMME RT'!$D$5="TOUTES",B1021='PROGRAMME RT'!$D$5)),1,0)</f>
        <v>0</v>
      </c>
      <c r="AT1021" s="82" t="str">
        <f aca="false">IF(AS1021=1,SUM(AS$7:AS1021),"")</f>
        <v/>
      </c>
      <c r="AU1021" s="82" t="n">
        <f aca="false">IF(AND(OR(AA1021="R",AA1021="NX",AA1021="NT",AA1021="CO"),OR('JOINTS DE RÉPARATION'!$D$5="TOUTES",B1021='JOINTS DE RÉPARATION'!$D$5),OR('JOINTS DE RÉPARATION'!$L$4="TOUS",AQ1021&lt;&gt;"ACCEPTÉ")),1,0)</f>
        <v>0</v>
      </c>
      <c r="AV1021" s="82" t="str">
        <f aca="false">IF(AU1021=1,SUM(AU$7:AU1021),"")</f>
        <v/>
      </c>
      <c r="AW1021" s="82" t="str">
        <f aca="false">IF(E1021="","",B1021&amp;"|"&amp;E1021)</f>
        <v>MFD-ISW → MFD-CPF|JN°908</v>
      </c>
    </row>
    <row r="1022" customFormat="false" ht="74.6" hidden="false" customHeight="false" outlineLevel="0" collapsed="false">
      <c r="A1022" s="79" t="n">
        <f aca="false">IF(E1022="","",ROW()-6)</f>
        <v>1016</v>
      </c>
      <c r="B1022" s="80" t="s">
        <v>110</v>
      </c>
      <c r="C1022" s="81" t="s">
        <v>1199</v>
      </c>
      <c r="D1022" s="81" t="n">
        <v>7</v>
      </c>
      <c r="E1022" s="81" t="s">
        <v>1200</v>
      </c>
      <c r="F1022" s="82" t="str">
        <f aca="false">IF(E1022="","",IF(LEFT(E1022,2)="DJ","DJ","JN"))</f>
        <v>JN</v>
      </c>
      <c r="G1022" s="81"/>
      <c r="H1022" s="81" t="s">
        <v>871</v>
      </c>
      <c r="I1022" s="81" t="n">
        <v>9.53</v>
      </c>
      <c r="J1022" s="81" t="s">
        <v>872</v>
      </c>
      <c r="K1022" s="81" t="s">
        <v>879</v>
      </c>
      <c r="L1022" s="81"/>
      <c r="M1022" s="81"/>
      <c r="N1022" s="81"/>
      <c r="O1022" s="81" t="n">
        <v>2079570</v>
      </c>
      <c r="P1022" s="81" t="n">
        <v>15421102</v>
      </c>
      <c r="Q1022" s="81" t="n">
        <v>11.94</v>
      </c>
      <c r="R1022" s="81" t="s">
        <v>1151</v>
      </c>
      <c r="S1022" s="81"/>
      <c r="T1022" s="81"/>
      <c r="U1022" s="83" t="n">
        <v>46284</v>
      </c>
      <c r="V1022" s="83" t="n">
        <v>46284</v>
      </c>
      <c r="W1022" s="81" t="s">
        <v>1152</v>
      </c>
      <c r="X1022" s="81" t="s">
        <v>876</v>
      </c>
      <c r="Y1022" s="83" t="n">
        <v>46287</v>
      </c>
      <c r="Z1022" s="81" t="s">
        <v>1201</v>
      </c>
      <c r="AA1022" s="81" t="s">
        <v>1073</v>
      </c>
      <c r="AB1022" s="81" t="s">
        <v>1202</v>
      </c>
      <c r="AC1022" s="81"/>
      <c r="AD1022" s="81"/>
      <c r="AE1022" s="83"/>
      <c r="AF1022" s="81"/>
      <c r="AG1022" s="81"/>
      <c r="AH1022" s="81"/>
      <c r="AI1022" s="81"/>
      <c r="AJ1022" s="83"/>
      <c r="AK1022" s="81"/>
      <c r="AL1022" s="81"/>
      <c r="AM1022" s="83"/>
      <c r="AN1022" s="80"/>
      <c r="AO1022" s="82" t="n">
        <f aca="false">IF(E1022="","",(AA1022&lt;&gt;"")+(AG1022&lt;&gt;"")+(AL1022&lt;&gt;""))</f>
        <v>1</v>
      </c>
      <c r="AP1022" s="82" t="str">
        <f aca="false">IF(AL1022&lt;&gt;"",AL1022,IF(AG1022&lt;&gt;"",AG1022,IF(AA1022&lt;&gt;"",AA1022,"")))</f>
        <v>R</v>
      </c>
      <c r="AQ1022" s="84" t="str">
        <f aca="false">IF(E1022="","",IF(U1022="","À SOUDER",IF(X1022="","VT EN ATTENTE",IF(X1022="R","VT REJETÉ – À REPRENDRE",IF(AP1022="","À RADIOGRAPHIER",IF(AP1022="A","ACCEPTÉ",IF(AP1022="NX","NX – RT À REFAIRE",IF(IF(AO1022=1,AD1022,IF(AO1022=2,AI1022,""))="A","RÉPARÉ – À RADIOGRAPHIER",IF(IF(AO1022=1,AD1022,IF(AO1022=2,AI1022,""))="R","VT REJETÉ – À REPRENDRE",IF(OR(AP1022="CO",AP1022="NT"),"COUPE – À RESOUDER","À RÉPARER"))))))))))</f>
        <v>À RÉPARER</v>
      </c>
      <c r="AR1022" s="82" t="n">
        <f aca="false">IF(AND(ISNUMBER(U1022),OR(AQ1022="À RADIOGRAPHIER",AQ1022="RÉPARÉ – À RADIOGRAPHIER",AQ1022="NX – RT À REFAIRE",AQ1022="À RÉPARER",AQ1022="COUPE – À RESOUDER",AQ1022="VT REJETÉ – À REPRENDRE")),MAX(0,'PROGRAMME RT'!$C$4-U1022),"")</f>
        <v>9</v>
      </c>
      <c r="AS1022" s="82" t="n">
        <f aca="false">IF(AND(OR(AQ1022="À RADIOGRAPHIER",AQ1022="RÉPARÉ – À RADIOGRAPHIER",AQ1022="NX – RT À REFAIRE"),OR('PROGRAMME RT'!$D$5="TOUTES",B1022='PROGRAMME RT'!$D$5)),1,0)</f>
        <v>0</v>
      </c>
      <c r="AT1022" s="82" t="str">
        <f aca="false">IF(AS1022=1,SUM(AS$7:AS1022),"")</f>
        <v/>
      </c>
      <c r="AU1022" s="82" t="n">
        <f aca="false">IF(AND(OR(AA1022="R",AA1022="NX",AA1022="NT",AA1022="CO"),OR('JOINTS DE RÉPARATION'!$D$5="TOUTES",B1022='JOINTS DE RÉPARATION'!$D$5),OR('JOINTS DE RÉPARATION'!$L$4="TOUS",AQ1022&lt;&gt;"ACCEPTÉ")),1,0)</f>
        <v>1</v>
      </c>
      <c r="AV1022" s="82" t="n">
        <f aca="false">IF(AU1022=1,SUM(AU$7:AU1022),"")</f>
        <v>5</v>
      </c>
      <c r="AW1022" s="82" t="str">
        <f aca="false">IF(E1022="","",B1022&amp;"|"&amp;E1022)</f>
        <v>MFD-ISW → MFD-CPF|JN°909</v>
      </c>
    </row>
    <row r="1023" customFormat="false" ht="74.6" hidden="false" customHeight="false" outlineLevel="0" collapsed="false">
      <c r="A1023" s="79" t="n">
        <f aca="false">IF(E1023="","",ROW()-6)</f>
        <v>1017</v>
      </c>
      <c r="B1023" s="80" t="s">
        <v>110</v>
      </c>
      <c r="C1023" s="81" t="s">
        <v>1199</v>
      </c>
      <c r="D1023" s="81" t="n">
        <v>7</v>
      </c>
      <c r="E1023" s="81" t="s">
        <v>1203</v>
      </c>
      <c r="F1023" s="82" t="str">
        <f aca="false">IF(E1023="","",IF(LEFT(E1023,2)="DJ","DJ","JN"))</f>
        <v>JN</v>
      </c>
      <c r="G1023" s="81"/>
      <c r="H1023" s="81" t="s">
        <v>871</v>
      </c>
      <c r="I1023" s="81" t="n">
        <v>9.53</v>
      </c>
      <c r="J1023" s="81" t="s">
        <v>872</v>
      </c>
      <c r="K1023" s="81" t="s">
        <v>879</v>
      </c>
      <c r="L1023" s="81" t="n">
        <v>2079570</v>
      </c>
      <c r="M1023" s="81" t="n">
        <v>15421102</v>
      </c>
      <c r="N1023" s="81" t="n">
        <v>11.94</v>
      </c>
      <c r="O1023" s="81" t="n">
        <v>2098240</v>
      </c>
      <c r="P1023" s="81" t="n">
        <v>15421112</v>
      </c>
      <c r="Q1023" s="81" t="n">
        <v>11.94</v>
      </c>
      <c r="R1023" s="81" t="s">
        <v>1151</v>
      </c>
      <c r="S1023" s="81"/>
      <c r="T1023" s="81"/>
      <c r="U1023" s="83" t="n">
        <v>46284</v>
      </c>
      <c r="V1023" s="83" t="n">
        <v>46284</v>
      </c>
      <c r="W1023" s="81" t="s">
        <v>1152</v>
      </c>
      <c r="X1023" s="81" t="s">
        <v>876</v>
      </c>
      <c r="Y1023" s="83" t="n">
        <v>46287</v>
      </c>
      <c r="Z1023" s="81" t="s">
        <v>1201</v>
      </c>
      <c r="AA1023" s="81" t="s">
        <v>876</v>
      </c>
      <c r="AB1023" s="81"/>
      <c r="AC1023" s="81"/>
      <c r="AD1023" s="81"/>
      <c r="AE1023" s="83"/>
      <c r="AF1023" s="81"/>
      <c r="AG1023" s="81"/>
      <c r="AH1023" s="81"/>
      <c r="AI1023" s="81"/>
      <c r="AJ1023" s="83"/>
      <c r="AK1023" s="81"/>
      <c r="AL1023" s="81"/>
      <c r="AM1023" s="83"/>
      <c r="AN1023" s="80"/>
      <c r="AO1023" s="82" t="n">
        <f aca="false">IF(E1023="","",(AA1023&lt;&gt;"")+(AG1023&lt;&gt;"")+(AL1023&lt;&gt;""))</f>
        <v>1</v>
      </c>
      <c r="AP1023" s="82" t="str">
        <f aca="false">IF(AL1023&lt;&gt;"",AL1023,IF(AG1023&lt;&gt;"",AG1023,IF(AA1023&lt;&gt;"",AA1023,"")))</f>
        <v>A</v>
      </c>
      <c r="AQ1023" s="84" t="str">
        <f aca="false">IF(E1023="","",IF(U1023="","À SOUDER",IF(X1023="","VT EN ATTENTE",IF(X1023="R","VT REJETÉ – À REPRENDRE",IF(AP1023="","À RADIOGRAPHIER",IF(AP1023="A","ACCEPTÉ",IF(AP1023="NX","NX – RT À REFAIRE",IF(IF(AO1023=1,AD1023,IF(AO1023=2,AI1023,""))="A","RÉPARÉ – À RADIOGRAPHIER",IF(IF(AO1023=1,AD1023,IF(AO1023=2,AI1023,""))="R","VT REJETÉ – À REPRENDRE",IF(OR(AP1023="CO",AP1023="NT"),"COUPE – À RESOUDER","À RÉPARER"))))))))))</f>
        <v>ACCEPTÉ</v>
      </c>
      <c r="AR1023" s="82" t="str">
        <f aca="false">IF(AND(ISNUMBER(U1023),OR(AQ1023="À RADIOGRAPHIER",AQ1023="RÉPARÉ – À RADIOGRAPHIER",AQ1023="NX – RT À REFAIRE",AQ1023="À RÉPARER",AQ1023="COUPE – À RESOUDER",AQ1023="VT REJETÉ – À REPRENDRE")),MAX(0,'PROGRAMME RT'!$C$4-U1023),"")</f>
        <v/>
      </c>
      <c r="AS1023" s="82" t="n">
        <f aca="false">IF(AND(OR(AQ1023="À RADIOGRAPHIER",AQ1023="RÉPARÉ – À RADIOGRAPHIER",AQ1023="NX – RT À REFAIRE"),OR('PROGRAMME RT'!$D$5="TOUTES",B1023='PROGRAMME RT'!$D$5)),1,0)</f>
        <v>0</v>
      </c>
      <c r="AT1023" s="82" t="str">
        <f aca="false">IF(AS1023=1,SUM(AS$7:AS1023),"")</f>
        <v/>
      </c>
      <c r="AU1023" s="82" t="n">
        <f aca="false">IF(AND(OR(AA1023="R",AA1023="NX",AA1023="NT",AA1023="CO"),OR('JOINTS DE RÉPARATION'!$D$5="TOUTES",B1023='JOINTS DE RÉPARATION'!$D$5),OR('JOINTS DE RÉPARATION'!$L$4="TOUS",AQ1023&lt;&gt;"ACCEPTÉ")),1,0)</f>
        <v>0</v>
      </c>
      <c r="AV1023" s="82" t="str">
        <f aca="false">IF(AU1023=1,SUM(AU$7:AU1023),"")</f>
        <v/>
      </c>
      <c r="AW1023" s="82" t="str">
        <f aca="false">IF(E1023="","",B1023&amp;"|"&amp;E1023)</f>
        <v>MFD-ISW → MFD-CPF|JN°910</v>
      </c>
    </row>
    <row r="1024" customFormat="false" ht="74.6" hidden="false" customHeight="false" outlineLevel="0" collapsed="false">
      <c r="A1024" s="79" t="n">
        <f aca="false">IF(E1024="","",ROW()-6)</f>
        <v>1018</v>
      </c>
      <c r="B1024" s="80" t="s">
        <v>110</v>
      </c>
      <c r="C1024" s="81" t="s">
        <v>1199</v>
      </c>
      <c r="D1024" s="81" t="n">
        <v>7</v>
      </c>
      <c r="E1024" s="81" t="s">
        <v>1204</v>
      </c>
      <c r="F1024" s="82" t="str">
        <f aca="false">IF(E1024="","",IF(LEFT(E1024,2)="DJ","DJ","JN"))</f>
        <v>JN</v>
      </c>
      <c r="G1024" s="81"/>
      <c r="H1024" s="81" t="s">
        <v>871</v>
      </c>
      <c r="I1024" s="81" t="n">
        <v>9.53</v>
      </c>
      <c r="J1024" s="81" t="s">
        <v>872</v>
      </c>
      <c r="K1024" s="81" t="s">
        <v>879</v>
      </c>
      <c r="L1024" s="81" t="n">
        <v>2098240</v>
      </c>
      <c r="M1024" s="81" t="n">
        <v>15421112</v>
      </c>
      <c r="N1024" s="81" t="n">
        <v>11.94</v>
      </c>
      <c r="O1024" s="81" t="n">
        <v>2080190</v>
      </c>
      <c r="P1024" s="81" t="n">
        <v>15421102</v>
      </c>
      <c r="Q1024" s="81" t="n">
        <v>11.94</v>
      </c>
      <c r="R1024" s="81" t="s">
        <v>1151</v>
      </c>
      <c r="S1024" s="81"/>
      <c r="T1024" s="81"/>
      <c r="U1024" s="83" t="n">
        <v>46284</v>
      </c>
      <c r="V1024" s="83" t="n">
        <v>46284</v>
      </c>
      <c r="W1024" s="81" t="s">
        <v>1152</v>
      </c>
      <c r="X1024" s="81" t="s">
        <v>876</v>
      </c>
      <c r="Y1024" s="83" t="n">
        <v>46287</v>
      </c>
      <c r="Z1024" s="81" t="s">
        <v>1201</v>
      </c>
      <c r="AA1024" s="81" t="s">
        <v>1073</v>
      </c>
      <c r="AB1024" s="81" t="s">
        <v>1205</v>
      </c>
      <c r="AC1024" s="81"/>
      <c r="AD1024" s="81"/>
      <c r="AE1024" s="83"/>
      <c r="AF1024" s="81"/>
      <c r="AG1024" s="81"/>
      <c r="AH1024" s="81"/>
      <c r="AI1024" s="81"/>
      <c r="AJ1024" s="83"/>
      <c r="AK1024" s="81"/>
      <c r="AL1024" s="81"/>
      <c r="AM1024" s="83"/>
      <c r="AN1024" s="80"/>
      <c r="AO1024" s="82" t="n">
        <f aca="false">IF(E1024="","",(AA1024&lt;&gt;"")+(AG1024&lt;&gt;"")+(AL1024&lt;&gt;""))</f>
        <v>1</v>
      </c>
      <c r="AP1024" s="82" t="str">
        <f aca="false">IF(AL1024&lt;&gt;"",AL1024,IF(AG1024&lt;&gt;"",AG1024,IF(AA1024&lt;&gt;"",AA1024,"")))</f>
        <v>R</v>
      </c>
      <c r="AQ1024" s="84" t="str">
        <f aca="false">IF(E1024="","",IF(U1024="","À SOUDER",IF(X1024="","VT EN ATTENTE",IF(X1024="R","VT REJETÉ – À REPRENDRE",IF(AP1024="","À RADIOGRAPHIER",IF(AP1024="A","ACCEPTÉ",IF(AP1024="NX","NX – RT À REFAIRE",IF(IF(AO1024=1,AD1024,IF(AO1024=2,AI1024,""))="A","RÉPARÉ – À RADIOGRAPHIER",IF(IF(AO1024=1,AD1024,IF(AO1024=2,AI1024,""))="R","VT REJETÉ – À REPRENDRE",IF(OR(AP1024="CO",AP1024="NT"),"COUPE – À RESOUDER","À RÉPARER"))))))))))</f>
        <v>À RÉPARER</v>
      </c>
      <c r="AR1024" s="82" t="n">
        <f aca="false">IF(AND(ISNUMBER(U1024),OR(AQ1024="À RADIOGRAPHIER",AQ1024="RÉPARÉ – À RADIOGRAPHIER",AQ1024="NX – RT À REFAIRE",AQ1024="À RÉPARER",AQ1024="COUPE – À RESOUDER",AQ1024="VT REJETÉ – À REPRENDRE")),MAX(0,'PROGRAMME RT'!$C$4-U1024),"")</f>
        <v>9</v>
      </c>
      <c r="AS1024" s="82" t="n">
        <f aca="false">IF(AND(OR(AQ1024="À RADIOGRAPHIER",AQ1024="RÉPARÉ – À RADIOGRAPHIER",AQ1024="NX – RT À REFAIRE"),OR('PROGRAMME RT'!$D$5="TOUTES",B1024='PROGRAMME RT'!$D$5)),1,0)</f>
        <v>0</v>
      </c>
      <c r="AT1024" s="82" t="str">
        <f aca="false">IF(AS1024=1,SUM(AS$7:AS1024),"")</f>
        <v/>
      </c>
      <c r="AU1024" s="82" t="n">
        <f aca="false">IF(AND(OR(AA1024="R",AA1024="NX",AA1024="NT",AA1024="CO"),OR('JOINTS DE RÉPARATION'!$D$5="TOUTES",B1024='JOINTS DE RÉPARATION'!$D$5),OR('JOINTS DE RÉPARATION'!$L$4="TOUS",AQ1024&lt;&gt;"ACCEPTÉ")),1,0)</f>
        <v>1</v>
      </c>
      <c r="AV1024" s="82" t="n">
        <f aca="false">IF(AU1024=1,SUM(AU$7:AU1024),"")</f>
        <v>6</v>
      </c>
      <c r="AW1024" s="82" t="str">
        <f aca="false">IF(E1024="","",B1024&amp;"|"&amp;E1024)</f>
        <v>MFD-ISW → MFD-CPF|JN°911</v>
      </c>
    </row>
    <row r="1025" customFormat="false" ht="74.6" hidden="false" customHeight="false" outlineLevel="0" collapsed="false">
      <c r="A1025" s="79" t="n">
        <f aca="false">IF(E1025="","",ROW()-6)</f>
        <v>1019</v>
      </c>
      <c r="B1025" s="80" t="s">
        <v>110</v>
      </c>
      <c r="C1025" s="81" t="s">
        <v>1199</v>
      </c>
      <c r="D1025" s="81" t="n">
        <v>7</v>
      </c>
      <c r="E1025" s="81" t="s">
        <v>1206</v>
      </c>
      <c r="F1025" s="82" t="str">
        <f aca="false">IF(E1025="","",IF(LEFT(E1025,2)="DJ","DJ","JN"))</f>
        <v>JN</v>
      </c>
      <c r="G1025" s="81"/>
      <c r="H1025" s="81" t="s">
        <v>871</v>
      </c>
      <c r="I1025" s="81" t="n">
        <v>9.53</v>
      </c>
      <c r="J1025" s="81" t="s">
        <v>872</v>
      </c>
      <c r="K1025" s="81" t="s">
        <v>879</v>
      </c>
      <c r="L1025" s="81" t="n">
        <v>2080190</v>
      </c>
      <c r="M1025" s="81" t="n">
        <v>15421102</v>
      </c>
      <c r="N1025" s="81" t="n">
        <v>11.94</v>
      </c>
      <c r="O1025" s="81" t="n">
        <v>2085230</v>
      </c>
      <c r="P1025" s="81" t="n">
        <v>15421106</v>
      </c>
      <c r="Q1025" s="81" t="n">
        <v>11.94</v>
      </c>
      <c r="R1025" s="81" t="s">
        <v>1151</v>
      </c>
      <c r="S1025" s="81"/>
      <c r="T1025" s="81"/>
      <c r="U1025" s="83" t="n">
        <v>46284</v>
      </c>
      <c r="V1025" s="83" t="n">
        <v>46284</v>
      </c>
      <c r="W1025" s="81" t="s">
        <v>1152</v>
      </c>
      <c r="X1025" s="81" t="s">
        <v>876</v>
      </c>
      <c r="Y1025" s="83" t="n">
        <v>46287</v>
      </c>
      <c r="Z1025" s="81" t="s">
        <v>1201</v>
      </c>
      <c r="AA1025" s="81" t="s">
        <v>876</v>
      </c>
      <c r="AB1025" s="81"/>
      <c r="AC1025" s="81"/>
      <c r="AD1025" s="81"/>
      <c r="AE1025" s="83"/>
      <c r="AF1025" s="81"/>
      <c r="AG1025" s="81"/>
      <c r="AH1025" s="81"/>
      <c r="AI1025" s="81"/>
      <c r="AJ1025" s="83"/>
      <c r="AK1025" s="81"/>
      <c r="AL1025" s="81"/>
      <c r="AM1025" s="83"/>
      <c r="AN1025" s="80"/>
      <c r="AO1025" s="82" t="n">
        <f aca="false">IF(E1025="","",(AA1025&lt;&gt;"")+(AG1025&lt;&gt;"")+(AL1025&lt;&gt;""))</f>
        <v>1</v>
      </c>
      <c r="AP1025" s="82" t="str">
        <f aca="false">IF(AL1025&lt;&gt;"",AL1025,IF(AG1025&lt;&gt;"",AG1025,IF(AA1025&lt;&gt;"",AA1025,"")))</f>
        <v>A</v>
      </c>
      <c r="AQ1025" s="84" t="str">
        <f aca="false">IF(E1025="","",IF(U1025="","À SOUDER",IF(X1025="","VT EN ATTENTE",IF(X1025="R","VT REJETÉ – À REPRENDRE",IF(AP1025="","À RADIOGRAPHIER",IF(AP1025="A","ACCEPTÉ",IF(AP1025="NX","NX – RT À REFAIRE",IF(IF(AO1025=1,AD1025,IF(AO1025=2,AI1025,""))="A","RÉPARÉ – À RADIOGRAPHIER",IF(IF(AO1025=1,AD1025,IF(AO1025=2,AI1025,""))="R","VT REJETÉ – À REPRENDRE",IF(OR(AP1025="CO",AP1025="NT"),"COUPE – À RESOUDER","À RÉPARER"))))))))))</f>
        <v>ACCEPTÉ</v>
      </c>
      <c r="AR1025" s="82" t="str">
        <f aca="false">IF(AND(ISNUMBER(U1025),OR(AQ1025="À RADIOGRAPHIER",AQ1025="RÉPARÉ – À RADIOGRAPHIER",AQ1025="NX – RT À REFAIRE",AQ1025="À RÉPARER",AQ1025="COUPE – À RESOUDER",AQ1025="VT REJETÉ – À REPRENDRE")),MAX(0,'PROGRAMME RT'!$C$4-U1025),"")</f>
        <v/>
      </c>
      <c r="AS1025" s="82" t="n">
        <f aca="false">IF(AND(OR(AQ1025="À RADIOGRAPHIER",AQ1025="RÉPARÉ – À RADIOGRAPHIER",AQ1025="NX – RT À REFAIRE"),OR('PROGRAMME RT'!$D$5="TOUTES",B1025='PROGRAMME RT'!$D$5)),1,0)</f>
        <v>0</v>
      </c>
      <c r="AT1025" s="82" t="str">
        <f aca="false">IF(AS1025=1,SUM(AS$7:AS1025),"")</f>
        <v/>
      </c>
      <c r="AU1025" s="82" t="n">
        <f aca="false">IF(AND(OR(AA1025="R",AA1025="NX",AA1025="NT",AA1025="CO"),OR('JOINTS DE RÉPARATION'!$D$5="TOUTES",B1025='JOINTS DE RÉPARATION'!$D$5),OR('JOINTS DE RÉPARATION'!$L$4="TOUS",AQ1025&lt;&gt;"ACCEPTÉ")),1,0)</f>
        <v>0</v>
      </c>
      <c r="AV1025" s="82" t="str">
        <f aca="false">IF(AU1025=1,SUM(AU$7:AU1025),"")</f>
        <v/>
      </c>
      <c r="AW1025" s="82" t="str">
        <f aca="false">IF(E1025="","",B1025&amp;"|"&amp;E1025)</f>
        <v>MFD-ISW → MFD-CPF|JN°912</v>
      </c>
    </row>
    <row r="1026" customFormat="false" ht="74.6" hidden="false" customHeight="false" outlineLevel="0" collapsed="false">
      <c r="A1026" s="79" t="n">
        <f aca="false">IF(E1026="","",ROW()-6)</f>
        <v>1020</v>
      </c>
      <c r="B1026" s="80" t="s">
        <v>110</v>
      </c>
      <c r="C1026" s="81" t="s">
        <v>1199</v>
      </c>
      <c r="D1026" s="81" t="n">
        <v>7</v>
      </c>
      <c r="E1026" s="81" t="s">
        <v>1207</v>
      </c>
      <c r="F1026" s="82" t="str">
        <f aca="false">IF(E1026="","",IF(LEFT(E1026,2)="DJ","DJ","JN"))</f>
        <v>JN</v>
      </c>
      <c r="G1026" s="81"/>
      <c r="H1026" s="81" t="s">
        <v>871</v>
      </c>
      <c r="I1026" s="81" t="n">
        <v>9.53</v>
      </c>
      <c r="J1026" s="81" t="s">
        <v>872</v>
      </c>
      <c r="K1026" s="81" t="s">
        <v>879</v>
      </c>
      <c r="L1026" s="81" t="n">
        <v>2085230</v>
      </c>
      <c r="M1026" s="81" t="n">
        <v>15421106</v>
      </c>
      <c r="N1026" s="81" t="n">
        <v>11.94</v>
      </c>
      <c r="O1026" s="81" t="n">
        <v>2087250</v>
      </c>
      <c r="P1026" s="81" t="n">
        <v>15421107</v>
      </c>
      <c r="Q1026" s="81" t="n">
        <v>11.94</v>
      </c>
      <c r="R1026" s="81" t="s">
        <v>1151</v>
      </c>
      <c r="S1026" s="81"/>
      <c r="T1026" s="81"/>
      <c r="U1026" s="83" t="n">
        <v>46284</v>
      </c>
      <c r="V1026" s="83" t="n">
        <v>46284</v>
      </c>
      <c r="W1026" s="81" t="s">
        <v>1152</v>
      </c>
      <c r="X1026" s="81" t="s">
        <v>876</v>
      </c>
      <c r="Y1026" s="83" t="n">
        <v>46287</v>
      </c>
      <c r="Z1026" s="81" t="s">
        <v>1201</v>
      </c>
      <c r="AA1026" s="81" t="s">
        <v>876</v>
      </c>
      <c r="AB1026" s="81"/>
      <c r="AC1026" s="81"/>
      <c r="AD1026" s="81"/>
      <c r="AE1026" s="83"/>
      <c r="AF1026" s="81"/>
      <c r="AG1026" s="81"/>
      <c r="AH1026" s="81"/>
      <c r="AI1026" s="81"/>
      <c r="AJ1026" s="83"/>
      <c r="AK1026" s="81"/>
      <c r="AL1026" s="81"/>
      <c r="AM1026" s="83"/>
      <c r="AN1026" s="80"/>
      <c r="AO1026" s="82" t="n">
        <f aca="false">IF(E1026="","",(AA1026&lt;&gt;"")+(AG1026&lt;&gt;"")+(AL1026&lt;&gt;""))</f>
        <v>1</v>
      </c>
      <c r="AP1026" s="82" t="str">
        <f aca="false">IF(AL1026&lt;&gt;"",AL1026,IF(AG1026&lt;&gt;"",AG1026,IF(AA1026&lt;&gt;"",AA1026,"")))</f>
        <v>A</v>
      </c>
      <c r="AQ1026" s="84" t="str">
        <f aca="false">IF(E1026="","",IF(U1026="","À SOUDER",IF(X1026="","VT EN ATTENTE",IF(X1026="R","VT REJETÉ – À REPRENDRE",IF(AP1026="","À RADIOGRAPHIER",IF(AP1026="A","ACCEPTÉ",IF(AP1026="NX","NX – RT À REFAIRE",IF(IF(AO1026=1,AD1026,IF(AO1026=2,AI1026,""))="A","RÉPARÉ – À RADIOGRAPHIER",IF(IF(AO1026=1,AD1026,IF(AO1026=2,AI1026,""))="R","VT REJETÉ – À REPRENDRE",IF(OR(AP1026="CO",AP1026="NT"),"COUPE – À RESOUDER","À RÉPARER"))))))))))</f>
        <v>ACCEPTÉ</v>
      </c>
      <c r="AR1026" s="82" t="str">
        <f aca="false">IF(AND(ISNUMBER(U1026),OR(AQ1026="À RADIOGRAPHIER",AQ1026="RÉPARÉ – À RADIOGRAPHIER",AQ1026="NX – RT À REFAIRE",AQ1026="À RÉPARER",AQ1026="COUPE – À RESOUDER",AQ1026="VT REJETÉ – À REPRENDRE")),MAX(0,'PROGRAMME RT'!$C$4-U1026),"")</f>
        <v/>
      </c>
      <c r="AS1026" s="82" t="n">
        <f aca="false">IF(AND(OR(AQ1026="À RADIOGRAPHIER",AQ1026="RÉPARÉ – À RADIOGRAPHIER",AQ1026="NX – RT À REFAIRE"),OR('PROGRAMME RT'!$D$5="TOUTES",B1026='PROGRAMME RT'!$D$5)),1,0)</f>
        <v>0</v>
      </c>
      <c r="AT1026" s="82" t="str">
        <f aca="false">IF(AS1026=1,SUM(AS$7:AS1026),"")</f>
        <v/>
      </c>
      <c r="AU1026" s="82" t="n">
        <f aca="false">IF(AND(OR(AA1026="R",AA1026="NX",AA1026="NT",AA1026="CO"),OR('JOINTS DE RÉPARATION'!$D$5="TOUTES",B1026='JOINTS DE RÉPARATION'!$D$5),OR('JOINTS DE RÉPARATION'!$L$4="TOUS",AQ1026&lt;&gt;"ACCEPTÉ")),1,0)</f>
        <v>0</v>
      </c>
      <c r="AV1026" s="82" t="str">
        <f aca="false">IF(AU1026=1,SUM(AU$7:AU1026),"")</f>
        <v/>
      </c>
      <c r="AW1026" s="82" t="str">
        <f aca="false">IF(E1026="","",B1026&amp;"|"&amp;E1026)</f>
        <v>MFD-ISW → MFD-CPF|JN°913</v>
      </c>
    </row>
    <row r="1027" customFormat="false" ht="74.6" hidden="false" customHeight="false" outlineLevel="0" collapsed="false">
      <c r="A1027" s="79" t="n">
        <f aca="false">IF(E1027="","",ROW()-6)</f>
        <v>1021</v>
      </c>
      <c r="B1027" s="80" t="s">
        <v>110</v>
      </c>
      <c r="C1027" s="81" t="s">
        <v>1199</v>
      </c>
      <c r="D1027" s="81" t="n">
        <v>7</v>
      </c>
      <c r="E1027" s="81" t="s">
        <v>1208</v>
      </c>
      <c r="F1027" s="82" t="str">
        <f aca="false">IF(E1027="","",IF(LEFT(E1027,2)="DJ","DJ","JN"))</f>
        <v>JN</v>
      </c>
      <c r="G1027" s="81"/>
      <c r="H1027" s="81" t="s">
        <v>871</v>
      </c>
      <c r="I1027" s="81" t="n">
        <v>9.53</v>
      </c>
      <c r="J1027" s="81" t="s">
        <v>872</v>
      </c>
      <c r="K1027" s="81" t="s">
        <v>879</v>
      </c>
      <c r="L1027" s="81" t="n">
        <v>2087250</v>
      </c>
      <c r="M1027" s="81" t="n">
        <v>15421107</v>
      </c>
      <c r="N1027" s="81" t="n">
        <v>11.94</v>
      </c>
      <c r="O1027" s="81" t="n">
        <v>2080040</v>
      </c>
      <c r="P1027" s="81" t="n">
        <v>15421102</v>
      </c>
      <c r="Q1027" s="81" t="n">
        <v>11.94</v>
      </c>
      <c r="R1027" s="81" t="s">
        <v>1151</v>
      </c>
      <c r="S1027" s="81"/>
      <c r="T1027" s="81"/>
      <c r="U1027" s="83" t="n">
        <v>46284</v>
      </c>
      <c r="V1027" s="83" t="n">
        <v>46284</v>
      </c>
      <c r="W1027" s="81" t="s">
        <v>1209</v>
      </c>
      <c r="X1027" s="81" t="s">
        <v>876</v>
      </c>
      <c r="Y1027" s="83" t="n">
        <v>46287</v>
      </c>
      <c r="Z1027" s="81" t="s">
        <v>1201</v>
      </c>
      <c r="AA1027" s="81" t="s">
        <v>1073</v>
      </c>
      <c r="AB1027" s="81" t="s">
        <v>1210</v>
      </c>
      <c r="AC1027" s="81"/>
      <c r="AD1027" s="81"/>
      <c r="AE1027" s="83"/>
      <c r="AF1027" s="81"/>
      <c r="AG1027" s="81"/>
      <c r="AH1027" s="81"/>
      <c r="AI1027" s="81"/>
      <c r="AJ1027" s="83"/>
      <c r="AK1027" s="81"/>
      <c r="AL1027" s="81"/>
      <c r="AM1027" s="83"/>
      <c r="AN1027" s="80"/>
      <c r="AO1027" s="82" t="n">
        <f aca="false">IF(E1027="","",(AA1027&lt;&gt;"")+(AG1027&lt;&gt;"")+(AL1027&lt;&gt;""))</f>
        <v>1</v>
      </c>
      <c r="AP1027" s="82" t="str">
        <f aca="false">IF(AL1027&lt;&gt;"",AL1027,IF(AG1027&lt;&gt;"",AG1027,IF(AA1027&lt;&gt;"",AA1027,"")))</f>
        <v>R</v>
      </c>
      <c r="AQ1027" s="84" t="str">
        <f aca="false">IF(E1027="","",IF(U1027="","À SOUDER",IF(X1027="","VT EN ATTENTE",IF(X1027="R","VT REJETÉ – À REPRENDRE",IF(AP1027="","À RADIOGRAPHIER",IF(AP1027="A","ACCEPTÉ",IF(AP1027="NX","NX – RT À REFAIRE",IF(IF(AO1027=1,AD1027,IF(AO1027=2,AI1027,""))="A","RÉPARÉ – À RADIOGRAPHIER",IF(IF(AO1027=1,AD1027,IF(AO1027=2,AI1027,""))="R","VT REJETÉ – À REPRENDRE",IF(OR(AP1027="CO",AP1027="NT"),"COUPE – À RESOUDER","À RÉPARER"))))))))))</f>
        <v>À RÉPARER</v>
      </c>
      <c r="AR1027" s="82" t="n">
        <f aca="false">IF(AND(ISNUMBER(U1027),OR(AQ1027="À RADIOGRAPHIER",AQ1027="RÉPARÉ – À RADIOGRAPHIER",AQ1027="NX – RT À REFAIRE",AQ1027="À RÉPARER",AQ1027="COUPE – À RESOUDER",AQ1027="VT REJETÉ – À REPRENDRE")),MAX(0,'PROGRAMME RT'!$C$4-U1027),"")</f>
        <v>9</v>
      </c>
      <c r="AS1027" s="82" t="n">
        <f aca="false">IF(AND(OR(AQ1027="À RADIOGRAPHIER",AQ1027="RÉPARÉ – À RADIOGRAPHIER",AQ1027="NX – RT À REFAIRE"),OR('PROGRAMME RT'!$D$5="TOUTES",B1027='PROGRAMME RT'!$D$5)),1,0)</f>
        <v>0</v>
      </c>
      <c r="AT1027" s="82" t="str">
        <f aca="false">IF(AS1027=1,SUM(AS$7:AS1027),"")</f>
        <v/>
      </c>
      <c r="AU1027" s="82" t="n">
        <f aca="false">IF(AND(OR(AA1027="R",AA1027="NX",AA1027="NT",AA1027="CO"),OR('JOINTS DE RÉPARATION'!$D$5="TOUTES",B1027='JOINTS DE RÉPARATION'!$D$5),OR('JOINTS DE RÉPARATION'!$L$4="TOUS",AQ1027&lt;&gt;"ACCEPTÉ")),1,0)</f>
        <v>1</v>
      </c>
      <c r="AV1027" s="82" t="n">
        <f aca="false">IF(AU1027=1,SUM(AU$7:AU1027),"")</f>
        <v>7</v>
      </c>
      <c r="AW1027" s="82" t="str">
        <f aca="false">IF(E1027="","",B1027&amp;"|"&amp;E1027)</f>
        <v>MFD-ISW → MFD-CPF|JN°914</v>
      </c>
    </row>
    <row r="1028" customFormat="false" ht="74.6" hidden="false" customHeight="false" outlineLevel="0" collapsed="false">
      <c r="A1028" s="79" t="n">
        <f aca="false">IF(E1028="","",ROW()-6)</f>
        <v>1022</v>
      </c>
      <c r="B1028" s="80" t="s">
        <v>110</v>
      </c>
      <c r="C1028" s="81" t="s">
        <v>1199</v>
      </c>
      <c r="D1028" s="81" t="n">
        <v>7</v>
      </c>
      <c r="E1028" s="81" t="s">
        <v>1211</v>
      </c>
      <c r="F1028" s="82" t="str">
        <f aca="false">IF(E1028="","",IF(LEFT(E1028,2)="DJ","DJ","JN"))</f>
        <v>JN</v>
      </c>
      <c r="G1028" s="81"/>
      <c r="H1028" s="81" t="s">
        <v>871</v>
      </c>
      <c r="I1028" s="81" t="n">
        <v>9.53</v>
      </c>
      <c r="J1028" s="81" t="s">
        <v>872</v>
      </c>
      <c r="K1028" s="81" t="s">
        <v>879</v>
      </c>
      <c r="L1028" s="81" t="n">
        <v>2080040</v>
      </c>
      <c r="M1028" s="81" t="n">
        <v>15421102</v>
      </c>
      <c r="N1028" s="81" t="n">
        <v>11.94</v>
      </c>
      <c r="O1028" s="81" t="n">
        <v>2090020</v>
      </c>
      <c r="P1028" s="81" t="n">
        <v>15421110</v>
      </c>
      <c r="Q1028" s="81" t="n">
        <v>11.94</v>
      </c>
      <c r="R1028" s="81" t="s">
        <v>1151</v>
      </c>
      <c r="S1028" s="81"/>
      <c r="T1028" s="81"/>
      <c r="U1028" s="83" t="n">
        <v>46284</v>
      </c>
      <c r="V1028" s="83" t="n">
        <v>46284</v>
      </c>
      <c r="W1028" s="81" t="s">
        <v>1209</v>
      </c>
      <c r="X1028" s="81" t="s">
        <v>876</v>
      </c>
      <c r="Y1028" s="83" t="n">
        <v>46287</v>
      </c>
      <c r="Z1028" s="81" t="s">
        <v>1201</v>
      </c>
      <c r="AA1028" s="81" t="s">
        <v>1073</v>
      </c>
      <c r="AB1028" s="81" t="s">
        <v>1212</v>
      </c>
      <c r="AC1028" s="81"/>
      <c r="AD1028" s="81"/>
      <c r="AE1028" s="83"/>
      <c r="AF1028" s="81"/>
      <c r="AG1028" s="81"/>
      <c r="AH1028" s="81"/>
      <c r="AI1028" s="81"/>
      <c r="AJ1028" s="83"/>
      <c r="AK1028" s="81"/>
      <c r="AL1028" s="81"/>
      <c r="AM1028" s="83"/>
      <c r="AN1028" s="80"/>
      <c r="AO1028" s="82" t="n">
        <f aca="false">IF(E1028="","",(AA1028&lt;&gt;"")+(AG1028&lt;&gt;"")+(AL1028&lt;&gt;""))</f>
        <v>1</v>
      </c>
      <c r="AP1028" s="82" t="str">
        <f aca="false">IF(AL1028&lt;&gt;"",AL1028,IF(AG1028&lt;&gt;"",AG1028,IF(AA1028&lt;&gt;"",AA1028,"")))</f>
        <v>R</v>
      </c>
      <c r="AQ1028" s="84" t="str">
        <f aca="false">IF(E1028="","",IF(U1028="","À SOUDER",IF(X1028="","VT EN ATTENTE",IF(X1028="R","VT REJETÉ – À REPRENDRE",IF(AP1028="","À RADIOGRAPHIER",IF(AP1028="A","ACCEPTÉ",IF(AP1028="NX","NX – RT À REFAIRE",IF(IF(AO1028=1,AD1028,IF(AO1028=2,AI1028,""))="A","RÉPARÉ – À RADIOGRAPHIER",IF(IF(AO1028=1,AD1028,IF(AO1028=2,AI1028,""))="R","VT REJETÉ – À REPRENDRE",IF(OR(AP1028="CO",AP1028="NT"),"COUPE – À RESOUDER","À RÉPARER"))))))))))</f>
        <v>À RÉPARER</v>
      </c>
      <c r="AR1028" s="82" t="n">
        <f aca="false">IF(AND(ISNUMBER(U1028),OR(AQ1028="À RADIOGRAPHIER",AQ1028="RÉPARÉ – À RADIOGRAPHIER",AQ1028="NX – RT À REFAIRE",AQ1028="À RÉPARER",AQ1028="COUPE – À RESOUDER",AQ1028="VT REJETÉ – À REPRENDRE")),MAX(0,'PROGRAMME RT'!$C$4-U1028),"")</f>
        <v>9</v>
      </c>
      <c r="AS1028" s="82" t="n">
        <f aca="false">IF(AND(OR(AQ1028="À RADIOGRAPHIER",AQ1028="RÉPARÉ – À RADIOGRAPHIER",AQ1028="NX – RT À REFAIRE"),OR('PROGRAMME RT'!$D$5="TOUTES",B1028='PROGRAMME RT'!$D$5)),1,0)</f>
        <v>0</v>
      </c>
      <c r="AT1028" s="82" t="str">
        <f aca="false">IF(AS1028=1,SUM(AS$7:AS1028),"")</f>
        <v/>
      </c>
      <c r="AU1028" s="82" t="n">
        <f aca="false">IF(AND(OR(AA1028="R",AA1028="NX",AA1028="NT",AA1028="CO"),OR('JOINTS DE RÉPARATION'!$D$5="TOUTES",B1028='JOINTS DE RÉPARATION'!$D$5),OR('JOINTS DE RÉPARATION'!$L$4="TOUS",AQ1028&lt;&gt;"ACCEPTÉ")),1,0)</f>
        <v>1</v>
      </c>
      <c r="AV1028" s="82" t="n">
        <f aca="false">IF(AU1028=1,SUM(AU$7:AU1028),"")</f>
        <v>8</v>
      </c>
      <c r="AW1028" s="82" t="str">
        <f aca="false">IF(E1028="","",B1028&amp;"|"&amp;E1028)</f>
        <v>MFD-ISW → MFD-CPF|JN°915</v>
      </c>
    </row>
    <row r="1029" customFormat="false" ht="74.6" hidden="false" customHeight="false" outlineLevel="0" collapsed="false">
      <c r="A1029" s="79" t="n">
        <f aca="false">IF(E1029="","",ROW()-6)</f>
        <v>1023</v>
      </c>
      <c r="B1029" s="80" t="s">
        <v>110</v>
      </c>
      <c r="C1029" s="81" t="s">
        <v>1199</v>
      </c>
      <c r="D1029" s="81" t="n">
        <v>7</v>
      </c>
      <c r="E1029" s="81" t="s">
        <v>1213</v>
      </c>
      <c r="F1029" s="82" t="str">
        <f aca="false">IF(E1029="","",IF(LEFT(E1029,2)="DJ","DJ","JN"))</f>
        <v>JN</v>
      </c>
      <c r="G1029" s="81"/>
      <c r="H1029" s="81" t="s">
        <v>871</v>
      </c>
      <c r="I1029" s="81" t="n">
        <v>9.53</v>
      </c>
      <c r="J1029" s="81" t="s">
        <v>872</v>
      </c>
      <c r="K1029" s="81" t="s">
        <v>879</v>
      </c>
      <c r="L1029" s="81" t="n">
        <v>2090020</v>
      </c>
      <c r="M1029" s="81" t="n">
        <v>15421110</v>
      </c>
      <c r="N1029" s="81" t="n">
        <v>11.94</v>
      </c>
      <c r="O1029" s="81" t="n">
        <v>2080180</v>
      </c>
      <c r="P1029" s="81" t="n">
        <v>15421102</v>
      </c>
      <c r="Q1029" s="81" t="n">
        <v>11.94</v>
      </c>
      <c r="R1029" s="81" t="s">
        <v>1151</v>
      </c>
      <c r="S1029" s="81"/>
      <c r="T1029" s="81"/>
      <c r="U1029" s="83" t="n">
        <v>46284</v>
      </c>
      <c r="V1029" s="83" t="n">
        <v>46284</v>
      </c>
      <c r="W1029" s="81" t="s">
        <v>1209</v>
      </c>
      <c r="X1029" s="81" t="s">
        <v>876</v>
      </c>
      <c r="Y1029" s="83" t="n">
        <v>46287</v>
      </c>
      <c r="Z1029" s="81" t="s">
        <v>1201</v>
      </c>
      <c r="AA1029" s="81" t="s">
        <v>1073</v>
      </c>
      <c r="AB1029" s="81" t="s">
        <v>1214</v>
      </c>
      <c r="AC1029" s="81"/>
      <c r="AD1029" s="81"/>
      <c r="AE1029" s="83"/>
      <c r="AF1029" s="81"/>
      <c r="AG1029" s="81"/>
      <c r="AH1029" s="81"/>
      <c r="AI1029" s="81"/>
      <c r="AJ1029" s="83"/>
      <c r="AK1029" s="81"/>
      <c r="AL1029" s="81"/>
      <c r="AM1029" s="83"/>
      <c r="AN1029" s="80"/>
      <c r="AO1029" s="82" t="n">
        <f aca="false">IF(E1029="","",(AA1029&lt;&gt;"")+(AG1029&lt;&gt;"")+(AL1029&lt;&gt;""))</f>
        <v>1</v>
      </c>
      <c r="AP1029" s="82" t="str">
        <f aca="false">IF(AL1029&lt;&gt;"",AL1029,IF(AG1029&lt;&gt;"",AG1029,IF(AA1029&lt;&gt;"",AA1029,"")))</f>
        <v>R</v>
      </c>
      <c r="AQ1029" s="84" t="str">
        <f aca="false">IF(E1029="","",IF(U1029="","À SOUDER",IF(X1029="","VT EN ATTENTE",IF(X1029="R","VT REJETÉ – À REPRENDRE",IF(AP1029="","À RADIOGRAPHIER",IF(AP1029="A","ACCEPTÉ",IF(AP1029="NX","NX – RT À REFAIRE",IF(IF(AO1029=1,AD1029,IF(AO1029=2,AI1029,""))="A","RÉPARÉ – À RADIOGRAPHIER",IF(IF(AO1029=1,AD1029,IF(AO1029=2,AI1029,""))="R","VT REJETÉ – À REPRENDRE",IF(OR(AP1029="CO",AP1029="NT"),"COUPE – À RESOUDER","À RÉPARER"))))))))))</f>
        <v>À RÉPARER</v>
      </c>
      <c r="AR1029" s="82" t="n">
        <f aca="false">IF(AND(ISNUMBER(U1029),OR(AQ1029="À RADIOGRAPHIER",AQ1029="RÉPARÉ – À RADIOGRAPHIER",AQ1029="NX – RT À REFAIRE",AQ1029="À RÉPARER",AQ1029="COUPE – À RESOUDER",AQ1029="VT REJETÉ – À REPRENDRE")),MAX(0,'PROGRAMME RT'!$C$4-U1029),"")</f>
        <v>9</v>
      </c>
      <c r="AS1029" s="82" t="n">
        <f aca="false">IF(AND(OR(AQ1029="À RADIOGRAPHIER",AQ1029="RÉPARÉ – À RADIOGRAPHIER",AQ1029="NX – RT À REFAIRE"),OR('PROGRAMME RT'!$D$5="TOUTES",B1029='PROGRAMME RT'!$D$5)),1,0)</f>
        <v>0</v>
      </c>
      <c r="AT1029" s="82" t="str">
        <f aca="false">IF(AS1029=1,SUM(AS$7:AS1029),"")</f>
        <v/>
      </c>
      <c r="AU1029" s="82" t="n">
        <f aca="false">IF(AND(OR(AA1029="R",AA1029="NX",AA1029="NT",AA1029="CO"),OR('JOINTS DE RÉPARATION'!$D$5="TOUTES",B1029='JOINTS DE RÉPARATION'!$D$5),OR('JOINTS DE RÉPARATION'!$L$4="TOUS",AQ1029&lt;&gt;"ACCEPTÉ")),1,0)</f>
        <v>1</v>
      </c>
      <c r="AV1029" s="82" t="n">
        <f aca="false">IF(AU1029=1,SUM(AU$7:AU1029),"")</f>
        <v>9</v>
      </c>
      <c r="AW1029" s="82" t="str">
        <f aca="false">IF(E1029="","",B1029&amp;"|"&amp;E1029)</f>
        <v>MFD-ISW → MFD-CPF|JN°916</v>
      </c>
    </row>
    <row r="1030" customFormat="false" ht="74.6" hidden="false" customHeight="false" outlineLevel="0" collapsed="false">
      <c r="A1030" s="79" t="n">
        <f aca="false">IF(E1030="","",ROW()-6)</f>
        <v>1024</v>
      </c>
      <c r="B1030" s="80" t="s">
        <v>110</v>
      </c>
      <c r="C1030" s="81" t="s">
        <v>1199</v>
      </c>
      <c r="D1030" s="81" t="n">
        <v>7</v>
      </c>
      <c r="E1030" s="81" t="s">
        <v>1215</v>
      </c>
      <c r="F1030" s="82" t="str">
        <f aca="false">IF(E1030="","",IF(LEFT(E1030,2)="DJ","DJ","JN"))</f>
        <v>JN</v>
      </c>
      <c r="G1030" s="81"/>
      <c r="H1030" s="81" t="s">
        <v>871</v>
      </c>
      <c r="I1030" s="81" t="n">
        <v>9.53</v>
      </c>
      <c r="J1030" s="81" t="s">
        <v>872</v>
      </c>
      <c r="K1030" s="81" t="s">
        <v>879</v>
      </c>
      <c r="L1030" s="81" t="n">
        <v>2080180</v>
      </c>
      <c r="M1030" s="81" t="n">
        <v>15421102</v>
      </c>
      <c r="N1030" s="81" t="n">
        <v>11.94</v>
      </c>
      <c r="O1030" s="81" t="n">
        <v>2091100</v>
      </c>
      <c r="P1030" s="81" t="n">
        <v>15421109</v>
      </c>
      <c r="Q1030" s="81" t="n">
        <v>11.94</v>
      </c>
      <c r="R1030" s="81" t="s">
        <v>1151</v>
      </c>
      <c r="S1030" s="81"/>
      <c r="T1030" s="81"/>
      <c r="U1030" s="83" t="n">
        <v>46284</v>
      </c>
      <c r="V1030" s="83" t="n">
        <v>46284</v>
      </c>
      <c r="W1030" s="81" t="s">
        <v>1209</v>
      </c>
      <c r="X1030" s="81" t="s">
        <v>876</v>
      </c>
      <c r="Y1030" s="83" t="n">
        <v>46287</v>
      </c>
      <c r="Z1030" s="81" t="s">
        <v>1201</v>
      </c>
      <c r="AA1030" s="81" t="s">
        <v>876</v>
      </c>
      <c r="AB1030" s="81"/>
      <c r="AC1030" s="81"/>
      <c r="AD1030" s="81"/>
      <c r="AE1030" s="83"/>
      <c r="AF1030" s="81"/>
      <c r="AG1030" s="81"/>
      <c r="AH1030" s="81"/>
      <c r="AI1030" s="81"/>
      <c r="AJ1030" s="83"/>
      <c r="AK1030" s="81"/>
      <c r="AL1030" s="81"/>
      <c r="AM1030" s="83"/>
      <c r="AN1030" s="80"/>
      <c r="AO1030" s="82" t="n">
        <f aca="false">IF(E1030="","",(AA1030&lt;&gt;"")+(AG1030&lt;&gt;"")+(AL1030&lt;&gt;""))</f>
        <v>1</v>
      </c>
      <c r="AP1030" s="82" t="str">
        <f aca="false">IF(AL1030&lt;&gt;"",AL1030,IF(AG1030&lt;&gt;"",AG1030,IF(AA1030&lt;&gt;"",AA1030,"")))</f>
        <v>A</v>
      </c>
      <c r="AQ1030" s="84" t="str">
        <f aca="false">IF(E1030="","",IF(U1030="","À SOUDER",IF(X1030="","VT EN ATTENTE",IF(X1030="R","VT REJETÉ – À REPRENDRE",IF(AP1030="","À RADIOGRAPHIER",IF(AP1030="A","ACCEPTÉ",IF(AP1030="NX","NX – RT À REFAIRE",IF(IF(AO1030=1,AD1030,IF(AO1030=2,AI1030,""))="A","RÉPARÉ – À RADIOGRAPHIER",IF(IF(AO1030=1,AD1030,IF(AO1030=2,AI1030,""))="R","VT REJETÉ – À REPRENDRE",IF(OR(AP1030="CO",AP1030="NT"),"COUPE – À RESOUDER","À RÉPARER"))))))))))</f>
        <v>ACCEPTÉ</v>
      </c>
      <c r="AR1030" s="82" t="str">
        <f aca="false">IF(AND(ISNUMBER(U1030),OR(AQ1030="À RADIOGRAPHIER",AQ1030="RÉPARÉ – À RADIOGRAPHIER",AQ1030="NX – RT À REFAIRE",AQ1030="À RÉPARER",AQ1030="COUPE – À RESOUDER",AQ1030="VT REJETÉ – À REPRENDRE")),MAX(0,'PROGRAMME RT'!$C$4-U1030),"")</f>
        <v/>
      </c>
      <c r="AS1030" s="82" t="n">
        <f aca="false">IF(AND(OR(AQ1030="À RADIOGRAPHIER",AQ1030="RÉPARÉ – À RADIOGRAPHIER",AQ1030="NX – RT À REFAIRE"),OR('PROGRAMME RT'!$D$5="TOUTES",B1030='PROGRAMME RT'!$D$5)),1,0)</f>
        <v>0</v>
      </c>
      <c r="AT1030" s="82" t="str">
        <f aca="false">IF(AS1030=1,SUM(AS$7:AS1030),"")</f>
        <v/>
      </c>
      <c r="AU1030" s="82" t="n">
        <f aca="false">IF(AND(OR(AA1030="R",AA1030="NX",AA1030="NT",AA1030="CO"),OR('JOINTS DE RÉPARATION'!$D$5="TOUTES",B1030='JOINTS DE RÉPARATION'!$D$5),OR('JOINTS DE RÉPARATION'!$L$4="TOUS",AQ1030&lt;&gt;"ACCEPTÉ")),1,0)</f>
        <v>0</v>
      </c>
      <c r="AV1030" s="82" t="str">
        <f aca="false">IF(AU1030=1,SUM(AU$7:AU1030),"")</f>
        <v/>
      </c>
      <c r="AW1030" s="82" t="str">
        <f aca="false">IF(E1030="","",B1030&amp;"|"&amp;E1030)</f>
        <v>MFD-ISW → MFD-CPF|JN°917</v>
      </c>
    </row>
    <row r="1031" customFormat="false" ht="74.6" hidden="false" customHeight="false" outlineLevel="0" collapsed="false">
      <c r="A1031" s="79" t="n">
        <f aca="false">IF(E1031="","",ROW()-6)</f>
        <v>1025</v>
      </c>
      <c r="B1031" s="80" t="s">
        <v>110</v>
      </c>
      <c r="C1031" s="81" t="s">
        <v>1199</v>
      </c>
      <c r="D1031" s="81" t="n">
        <v>7</v>
      </c>
      <c r="E1031" s="81" t="s">
        <v>1216</v>
      </c>
      <c r="F1031" s="82" t="str">
        <f aca="false">IF(E1031="","",IF(LEFT(E1031,2)="DJ","DJ","JN"))</f>
        <v>DJ</v>
      </c>
      <c r="G1031" s="81"/>
      <c r="H1031" s="81" t="s">
        <v>871</v>
      </c>
      <c r="I1031" s="81" t="n">
        <v>9.53</v>
      </c>
      <c r="J1031" s="81" t="s">
        <v>872</v>
      </c>
      <c r="K1031" s="81" t="s">
        <v>873</v>
      </c>
      <c r="L1031" s="81" t="n">
        <v>2091100</v>
      </c>
      <c r="M1031" s="81" t="n">
        <v>15421109</v>
      </c>
      <c r="N1031" s="81" t="n">
        <v>11.94</v>
      </c>
      <c r="O1031" s="81" t="n">
        <v>2088800</v>
      </c>
      <c r="P1031" s="81" t="n">
        <v>15421108</v>
      </c>
      <c r="Q1031" s="81" t="n">
        <v>11.94</v>
      </c>
      <c r="R1031" s="81" t="s">
        <v>1147</v>
      </c>
      <c r="S1031" s="81"/>
      <c r="T1031" s="81"/>
      <c r="U1031" s="83" t="n">
        <v>46280</v>
      </c>
      <c r="V1031" s="83" t="n">
        <v>46280</v>
      </c>
      <c r="W1031" s="81" t="s">
        <v>1089</v>
      </c>
      <c r="X1031" s="81" t="s">
        <v>876</v>
      </c>
      <c r="Y1031" s="83" t="n">
        <v>46281</v>
      </c>
      <c r="Z1031" s="81" t="s">
        <v>1217</v>
      </c>
      <c r="AA1031" s="81" t="s">
        <v>876</v>
      </c>
      <c r="AB1031" s="81"/>
      <c r="AC1031" s="81"/>
      <c r="AD1031" s="81"/>
      <c r="AE1031" s="83"/>
      <c r="AF1031" s="81"/>
      <c r="AG1031" s="81"/>
      <c r="AH1031" s="81"/>
      <c r="AI1031" s="81"/>
      <c r="AJ1031" s="83"/>
      <c r="AK1031" s="81"/>
      <c r="AL1031" s="81"/>
      <c r="AM1031" s="83"/>
      <c r="AN1031" s="80"/>
      <c r="AO1031" s="82" t="n">
        <f aca="false">IF(E1031="","",(AA1031&lt;&gt;"")+(AG1031&lt;&gt;"")+(AL1031&lt;&gt;""))</f>
        <v>1</v>
      </c>
      <c r="AP1031" s="82" t="str">
        <f aca="false">IF(AL1031&lt;&gt;"",AL1031,IF(AG1031&lt;&gt;"",AG1031,IF(AA1031&lt;&gt;"",AA1031,"")))</f>
        <v>A</v>
      </c>
      <c r="AQ1031" s="84" t="str">
        <f aca="false">IF(E1031="","",IF(U1031="","À SOUDER",IF(X1031="","VT EN ATTENTE",IF(X1031="R","VT REJETÉ – À REPRENDRE",IF(AP1031="","À RADIOGRAPHIER",IF(AP1031="A","ACCEPTÉ",IF(AP1031="NX","NX – RT À REFAIRE",IF(IF(AO1031=1,AD1031,IF(AO1031=2,AI1031,""))="A","RÉPARÉ – À RADIOGRAPHIER",IF(IF(AO1031=1,AD1031,IF(AO1031=2,AI1031,""))="R","VT REJETÉ – À REPRENDRE",IF(OR(AP1031="CO",AP1031="NT"),"COUPE – À RESOUDER","À RÉPARER"))))))))))</f>
        <v>ACCEPTÉ</v>
      </c>
      <c r="AR1031" s="82" t="str">
        <f aca="false">IF(AND(ISNUMBER(U1031),OR(AQ1031="À RADIOGRAPHIER",AQ1031="RÉPARÉ – À RADIOGRAPHIER",AQ1031="NX – RT À REFAIRE",AQ1031="À RÉPARER",AQ1031="COUPE – À RESOUDER",AQ1031="VT REJETÉ – À REPRENDRE")),MAX(0,'PROGRAMME RT'!$C$4-U1031),"")</f>
        <v/>
      </c>
      <c r="AS1031" s="82" t="n">
        <f aca="false">IF(AND(OR(AQ1031="À RADIOGRAPHIER",AQ1031="RÉPARÉ – À RADIOGRAPHIER",AQ1031="NX – RT À REFAIRE"),OR('PROGRAMME RT'!$D$5="TOUTES",B1031='PROGRAMME RT'!$D$5)),1,0)</f>
        <v>0</v>
      </c>
      <c r="AT1031" s="82" t="str">
        <f aca="false">IF(AS1031=1,SUM(AS$7:AS1031),"")</f>
        <v/>
      </c>
      <c r="AU1031" s="82" t="n">
        <f aca="false">IF(AND(OR(AA1031="R",AA1031="NX",AA1031="NT",AA1031="CO"),OR('JOINTS DE RÉPARATION'!$D$5="TOUTES",B1031='JOINTS DE RÉPARATION'!$D$5),OR('JOINTS DE RÉPARATION'!$L$4="TOUS",AQ1031&lt;&gt;"ACCEPTÉ")),1,0)</f>
        <v>0</v>
      </c>
      <c r="AV1031" s="82" t="str">
        <f aca="false">IF(AU1031=1,SUM(AU$7:AU1031),"")</f>
        <v/>
      </c>
      <c r="AW1031" s="82" t="str">
        <f aca="false">IF(E1031="","",B1031&amp;"|"&amp;E1031)</f>
        <v>MFD-ISW → MFD-CPF|DJ°401</v>
      </c>
    </row>
    <row r="1032" customFormat="false" ht="74.6" hidden="false" customHeight="false" outlineLevel="0" collapsed="false">
      <c r="A1032" s="79" t="n">
        <f aca="false">IF(E1032="","",ROW()-6)</f>
        <v>1026</v>
      </c>
      <c r="B1032" s="80" t="s">
        <v>110</v>
      </c>
      <c r="C1032" s="81" t="s">
        <v>1199</v>
      </c>
      <c r="D1032" s="81" t="n">
        <v>7</v>
      </c>
      <c r="E1032" s="81" t="s">
        <v>1218</v>
      </c>
      <c r="F1032" s="82" t="str">
        <f aca="false">IF(E1032="","",IF(LEFT(E1032,2)="DJ","DJ","JN"))</f>
        <v>JN</v>
      </c>
      <c r="G1032" s="81"/>
      <c r="H1032" s="81" t="s">
        <v>871</v>
      </c>
      <c r="I1032" s="81" t="n">
        <v>9.53</v>
      </c>
      <c r="J1032" s="81" t="s">
        <v>872</v>
      </c>
      <c r="K1032" s="81" t="s">
        <v>879</v>
      </c>
      <c r="L1032" s="81" t="n">
        <v>2088800</v>
      </c>
      <c r="M1032" s="81" t="n">
        <v>15421108</v>
      </c>
      <c r="N1032" s="81" t="n">
        <v>11.94</v>
      </c>
      <c r="O1032" s="81" t="n">
        <v>2081840</v>
      </c>
      <c r="P1032" s="81" t="n">
        <v>15421104</v>
      </c>
      <c r="Q1032" s="81" t="n">
        <v>11.94</v>
      </c>
      <c r="R1032" s="81" t="s">
        <v>1151</v>
      </c>
      <c r="S1032" s="81"/>
      <c r="T1032" s="81"/>
      <c r="U1032" s="83" t="n">
        <v>46284</v>
      </c>
      <c r="V1032" s="83" t="n">
        <v>46284</v>
      </c>
      <c r="W1032" s="81" t="s">
        <v>1209</v>
      </c>
      <c r="X1032" s="81" t="s">
        <v>876</v>
      </c>
      <c r="Y1032" s="83" t="n">
        <v>46287</v>
      </c>
      <c r="Z1032" s="81" t="s">
        <v>1201</v>
      </c>
      <c r="AA1032" s="81" t="s">
        <v>876</v>
      </c>
      <c r="AB1032" s="81"/>
      <c r="AC1032" s="81"/>
      <c r="AD1032" s="81"/>
      <c r="AE1032" s="83"/>
      <c r="AF1032" s="81"/>
      <c r="AG1032" s="81"/>
      <c r="AH1032" s="81"/>
      <c r="AI1032" s="81"/>
      <c r="AJ1032" s="83"/>
      <c r="AK1032" s="81"/>
      <c r="AL1032" s="81"/>
      <c r="AM1032" s="83"/>
      <c r="AN1032" s="80"/>
      <c r="AO1032" s="82" t="n">
        <f aca="false">IF(E1032="","",(AA1032&lt;&gt;"")+(AG1032&lt;&gt;"")+(AL1032&lt;&gt;""))</f>
        <v>1</v>
      </c>
      <c r="AP1032" s="82" t="str">
        <f aca="false">IF(AL1032&lt;&gt;"",AL1032,IF(AG1032&lt;&gt;"",AG1032,IF(AA1032&lt;&gt;"",AA1032,"")))</f>
        <v>A</v>
      </c>
      <c r="AQ1032" s="84" t="str">
        <f aca="false">IF(E1032="","",IF(U1032="","À SOUDER",IF(X1032="","VT EN ATTENTE",IF(X1032="R","VT REJETÉ – À REPRENDRE",IF(AP1032="","À RADIOGRAPHIER",IF(AP1032="A","ACCEPTÉ",IF(AP1032="NX","NX – RT À REFAIRE",IF(IF(AO1032=1,AD1032,IF(AO1032=2,AI1032,""))="A","RÉPARÉ – À RADIOGRAPHIER",IF(IF(AO1032=1,AD1032,IF(AO1032=2,AI1032,""))="R","VT REJETÉ – À REPRENDRE",IF(OR(AP1032="CO",AP1032="NT"),"COUPE – À RESOUDER","À RÉPARER"))))))))))</f>
        <v>ACCEPTÉ</v>
      </c>
      <c r="AR1032" s="82" t="str">
        <f aca="false">IF(AND(ISNUMBER(U1032),OR(AQ1032="À RADIOGRAPHIER",AQ1032="RÉPARÉ – À RADIOGRAPHIER",AQ1032="NX – RT À REFAIRE",AQ1032="À RÉPARER",AQ1032="COUPE – À RESOUDER",AQ1032="VT REJETÉ – À REPRENDRE")),MAX(0,'PROGRAMME RT'!$C$4-U1032),"")</f>
        <v/>
      </c>
      <c r="AS1032" s="82" t="n">
        <f aca="false">IF(AND(OR(AQ1032="À RADIOGRAPHIER",AQ1032="RÉPARÉ – À RADIOGRAPHIER",AQ1032="NX – RT À REFAIRE"),OR('PROGRAMME RT'!$D$5="TOUTES",B1032='PROGRAMME RT'!$D$5)),1,0)</f>
        <v>0</v>
      </c>
      <c r="AT1032" s="82" t="str">
        <f aca="false">IF(AS1032=1,SUM(AS$7:AS1032),"")</f>
        <v/>
      </c>
      <c r="AU1032" s="82" t="n">
        <f aca="false">IF(AND(OR(AA1032="R",AA1032="NX",AA1032="NT",AA1032="CO"),OR('JOINTS DE RÉPARATION'!$D$5="TOUTES",B1032='JOINTS DE RÉPARATION'!$D$5),OR('JOINTS DE RÉPARATION'!$L$4="TOUS",AQ1032&lt;&gt;"ACCEPTÉ")),1,0)</f>
        <v>0</v>
      </c>
      <c r="AV1032" s="82" t="str">
        <f aca="false">IF(AU1032=1,SUM(AU$7:AU1032),"")</f>
        <v/>
      </c>
      <c r="AW1032" s="82" t="str">
        <f aca="false">IF(E1032="","",B1032&amp;"|"&amp;E1032)</f>
        <v>MFD-ISW → MFD-CPF|JN°918</v>
      </c>
    </row>
    <row r="1033" customFormat="false" ht="74.6" hidden="false" customHeight="false" outlineLevel="0" collapsed="false">
      <c r="A1033" s="79" t="n">
        <f aca="false">IF(E1033="","",ROW()-6)</f>
        <v>1027</v>
      </c>
      <c r="B1033" s="80" t="s">
        <v>110</v>
      </c>
      <c r="C1033" s="81" t="s">
        <v>1199</v>
      </c>
      <c r="D1033" s="81" t="n">
        <v>7</v>
      </c>
      <c r="E1033" s="81" t="s">
        <v>1219</v>
      </c>
      <c r="F1033" s="82" t="str">
        <f aca="false">IF(E1033="","",IF(LEFT(E1033,2)="DJ","DJ","JN"))</f>
        <v>DJ</v>
      </c>
      <c r="G1033" s="81"/>
      <c r="H1033" s="81" t="s">
        <v>871</v>
      </c>
      <c r="I1033" s="81" t="n">
        <v>9.53</v>
      </c>
      <c r="J1033" s="81" t="s">
        <v>872</v>
      </c>
      <c r="K1033" s="81" t="s">
        <v>873</v>
      </c>
      <c r="L1033" s="81" t="n">
        <v>2081840</v>
      </c>
      <c r="M1033" s="81" t="n">
        <v>15421104</v>
      </c>
      <c r="N1033" s="81" t="n">
        <v>11.94</v>
      </c>
      <c r="O1033" s="81" t="n">
        <v>2084530</v>
      </c>
      <c r="P1033" s="81" t="n">
        <v>15421106</v>
      </c>
      <c r="Q1033" s="81" t="n">
        <v>11.94</v>
      </c>
      <c r="R1033" s="81" t="s">
        <v>1147</v>
      </c>
      <c r="S1033" s="81"/>
      <c r="T1033" s="81"/>
      <c r="U1033" s="83" t="n">
        <v>46280</v>
      </c>
      <c r="V1033" s="83" t="n">
        <v>46280</v>
      </c>
      <c r="W1033" s="81" t="s">
        <v>1089</v>
      </c>
      <c r="X1033" s="81" t="s">
        <v>876</v>
      </c>
      <c r="Y1033" s="83" t="n">
        <v>46281</v>
      </c>
      <c r="Z1033" s="81" t="s">
        <v>1217</v>
      </c>
      <c r="AA1033" s="81" t="s">
        <v>876</v>
      </c>
      <c r="AB1033" s="81"/>
      <c r="AC1033" s="81"/>
      <c r="AD1033" s="81"/>
      <c r="AE1033" s="83"/>
      <c r="AF1033" s="81"/>
      <c r="AG1033" s="81"/>
      <c r="AH1033" s="81"/>
      <c r="AI1033" s="81"/>
      <c r="AJ1033" s="83"/>
      <c r="AK1033" s="81"/>
      <c r="AL1033" s="81"/>
      <c r="AM1033" s="83"/>
      <c r="AN1033" s="80"/>
      <c r="AO1033" s="82" t="n">
        <f aca="false">IF(E1033="","",(AA1033&lt;&gt;"")+(AG1033&lt;&gt;"")+(AL1033&lt;&gt;""))</f>
        <v>1</v>
      </c>
      <c r="AP1033" s="82" t="str">
        <f aca="false">IF(AL1033&lt;&gt;"",AL1033,IF(AG1033&lt;&gt;"",AG1033,IF(AA1033&lt;&gt;"",AA1033,"")))</f>
        <v>A</v>
      </c>
      <c r="AQ1033" s="84" t="str">
        <f aca="false">IF(E1033="","",IF(U1033="","À SOUDER",IF(X1033="","VT EN ATTENTE",IF(X1033="R","VT REJETÉ – À REPRENDRE",IF(AP1033="","À RADIOGRAPHIER",IF(AP1033="A","ACCEPTÉ",IF(AP1033="NX","NX – RT À REFAIRE",IF(IF(AO1033=1,AD1033,IF(AO1033=2,AI1033,""))="A","RÉPARÉ – À RADIOGRAPHIER",IF(IF(AO1033=1,AD1033,IF(AO1033=2,AI1033,""))="R","VT REJETÉ – À REPRENDRE",IF(OR(AP1033="CO",AP1033="NT"),"COUPE – À RESOUDER","À RÉPARER"))))))))))</f>
        <v>ACCEPTÉ</v>
      </c>
      <c r="AR1033" s="82" t="str">
        <f aca="false">IF(AND(ISNUMBER(U1033),OR(AQ1033="À RADIOGRAPHIER",AQ1033="RÉPARÉ – À RADIOGRAPHIER",AQ1033="NX – RT À REFAIRE",AQ1033="À RÉPARER",AQ1033="COUPE – À RESOUDER",AQ1033="VT REJETÉ – À REPRENDRE")),MAX(0,'PROGRAMME RT'!$C$4-U1033),"")</f>
        <v/>
      </c>
      <c r="AS1033" s="82" t="n">
        <f aca="false">IF(AND(OR(AQ1033="À RADIOGRAPHIER",AQ1033="RÉPARÉ – À RADIOGRAPHIER",AQ1033="NX – RT À REFAIRE"),OR('PROGRAMME RT'!$D$5="TOUTES",B1033='PROGRAMME RT'!$D$5)),1,0)</f>
        <v>0</v>
      </c>
      <c r="AT1033" s="82" t="str">
        <f aca="false">IF(AS1033=1,SUM(AS$7:AS1033),"")</f>
        <v/>
      </c>
      <c r="AU1033" s="82" t="n">
        <f aca="false">IF(AND(OR(AA1033="R",AA1033="NX",AA1033="NT",AA1033="CO"),OR('JOINTS DE RÉPARATION'!$D$5="TOUTES",B1033='JOINTS DE RÉPARATION'!$D$5),OR('JOINTS DE RÉPARATION'!$L$4="TOUS",AQ1033&lt;&gt;"ACCEPTÉ")),1,0)</f>
        <v>0</v>
      </c>
      <c r="AV1033" s="82" t="str">
        <f aca="false">IF(AU1033=1,SUM(AU$7:AU1033),"")</f>
        <v/>
      </c>
      <c r="AW1033" s="82" t="str">
        <f aca="false">IF(E1033="","",B1033&amp;"|"&amp;E1033)</f>
        <v>MFD-ISW → MFD-CPF|DJ°397</v>
      </c>
    </row>
    <row r="1034" customFormat="false" ht="74.6" hidden="false" customHeight="false" outlineLevel="0" collapsed="false">
      <c r="A1034" s="79" t="n">
        <f aca="false">IF(E1034="","",ROW()-6)</f>
        <v>1028</v>
      </c>
      <c r="B1034" s="80" t="s">
        <v>110</v>
      </c>
      <c r="C1034" s="81" t="s">
        <v>1199</v>
      </c>
      <c r="D1034" s="81" t="n">
        <v>7</v>
      </c>
      <c r="E1034" s="81" t="s">
        <v>1220</v>
      </c>
      <c r="F1034" s="82" t="str">
        <f aca="false">IF(E1034="","",IF(LEFT(E1034,2)="DJ","DJ","JN"))</f>
        <v>JN</v>
      </c>
      <c r="G1034" s="81"/>
      <c r="H1034" s="81" t="s">
        <v>871</v>
      </c>
      <c r="I1034" s="81" t="n">
        <v>9.53</v>
      </c>
      <c r="J1034" s="81" t="s">
        <v>872</v>
      </c>
      <c r="K1034" s="81" t="s">
        <v>879</v>
      </c>
      <c r="L1034" s="81" t="n">
        <v>2084530</v>
      </c>
      <c r="M1034" s="81" t="n">
        <v>15421106</v>
      </c>
      <c r="N1034" s="81" t="n">
        <v>11.94</v>
      </c>
      <c r="O1034" s="81" t="n">
        <v>2089530</v>
      </c>
      <c r="P1034" s="81" t="n">
        <v>15421109</v>
      </c>
      <c r="Q1034" s="81" t="n">
        <v>11.94</v>
      </c>
      <c r="R1034" s="81" t="s">
        <v>1151</v>
      </c>
      <c r="S1034" s="81"/>
      <c r="T1034" s="81"/>
      <c r="U1034" s="83" t="n">
        <v>46284</v>
      </c>
      <c r="V1034" s="83" t="n">
        <v>46284</v>
      </c>
      <c r="W1034" s="81" t="s">
        <v>1209</v>
      </c>
      <c r="X1034" s="81" t="s">
        <v>876</v>
      </c>
      <c r="Y1034" s="83" t="n">
        <v>46287</v>
      </c>
      <c r="Z1034" s="81" t="s">
        <v>1201</v>
      </c>
      <c r="AA1034" s="81" t="s">
        <v>1073</v>
      </c>
      <c r="AB1034" s="81" t="s">
        <v>1221</v>
      </c>
      <c r="AC1034" s="81"/>
      <c r="AD1034" s="81"/>
      <c r="AE1034" s="83"/>
      <c r="AF1034" s="81"/>
      <c r="AG1034" s="81"/>
      <c r="AH1034" s="81"/>
      <c r="AI1034" s="81"/>
      <c r="AJ1034" s="83"/>
      <c r="AK1034" s="81"/>
      <c r="AL1034" s="81"/>
      <c r="AM1034" s="83"/>
      <c r="AN1034" s="80"/>
      <c r="AO1034" s="82" t="n">
        <f aca="false">IF(E1034="","",(AA1034&lt;&gt;"")+(AG1034&lt;&gt;"")+(AL1034&lt;&gt;""))</f>
        <v>1</v>
      </c>
      <c r="AP1034" s="82" t="str">
        <f aca="false">IF(AL1034&lt;&gt;"",AL1034,IF(AG1034&lt;&gt;"",AG1034,IF(AA1034&lt;&gt;"",AA1034,"")))</f>
        <v>R</v>
      </c>
      <c r="AQ1034" s="84" t="str">
        <f aca="false">IF(E1034="","",IF(U1034="","À SOUDER",IF(X1034="","VT EN ATTENTE",IF(X1034="R","VT REJETÉ – À REPRENDRE",IF(AP1034="","À RADIOGRAPHIER",IF(AP1034="A","ACCEPTÉ",IF(AP1034="NX","NX – RT À REFAIRE",IF(IF(AO1034=1,AD1034,IF(AO1034=2,AI1034,""))="A","RÉPARÉ – À RADIOGRAPHIER",IF(IF(AO1034=1,AD1034,IF(AO1034=2,AI1034,""))="R","VT REJETÉ – À REPRENDRE",IF(OR(AP1034="CO",AP1034="NT"),"COUPE – À RESOUDER","À RÉPARER"))))))))))</f>
        <v>À RÉPARER</v>
      </c>
      <c r="AR1034" s="82" t="n">
        <f aca="false">IF(AND(ISNUMBER(U1034),OR(AQ1034="À RADIOGRAPHIER",AQ1034="RÉPARÉ – À RADIOGRAPHIER",AQ1034="NX – RT À REFAIRE",AQ1034="À RÉPARER",AQ1034="COUPE – À RESOUDER",AQ1034="VT REJETÉ – À REPRENDRE")),MAX(0,'PROGRAMME RT'!$C$4-U1034),"")</f>
        <v>9</v>
      </c>
      <c r="AS1034" s="82" t="n">
        <f aca="false">IF(AND(OR(AQ1034="À RADIOGRAPHIER",AQ1034="RÉPARÉ – À RADIOGRAPHIER",AQ1034="NX – RT À REFAIRE"),OR('PROGRAMME RT'!$D$5="TOUTES",B1034='PROGRAMME RT'!$D$5)),1,0)</f>
        <v>0</v>
      </c>
      <c r="AT1034" s="82" t="str">
        <f aca="false">IF(AS1034=1,SUM(AS$7:AS1034),"")</f>
        <v/>
      </c>
      <c r="AU1034" s="82" t="n">
        <f aca="false">IF(AND(OR(AA1034="R",AA1034="NX",AA1034="NT",AA1034="CO"),OR('JOINTS DE RÉPARATION'!$D$5="TOUTES",B1034='JOINTS DE RÉPARATION'!$D$5),OR('JOINTS DE RÉPARATION'!$L$4="TOUS",AQ1034&lt;&gt;"ACCEPTÉ")),1,0)</f>
        <v>1</v>
      </c>
      <c r="AV1034" s="82" t="n">
        <f aca="false">IF(AU1034=1,SUM(AU$7:AU1034),"")</f>
        <v>10</v>
      </c>
      <c r="AW1034" s="82" t="str">
        <f aca="false">IF(E1034="","",B1034&amp;"|"&amp;E1034)</f>
        <v>MFD-ISW → MFD-CPF|JN°919</v>
      </c>
    </row>
    <row r="1035" customFormat="false" ht="74.6" hidden="false" customHeight="false" outlineLevel="0" collapsed="false">
      <c r="A1035" s="79" t="n">
        <f aca="false">IF(E1035="","",ROW()-6)</f>
        <v>1029</v>
      </c>
      <c r="B1035" s="80" t="s">
        <v>110</v>
      </c>
      <c r="C1035" s="81" t="s">
        <v>1199</v>
      </c>
      <c r="D1035" s="81" t="n">
        <v>7</v>
      </c>
      <c r="E1035" s="81" t="s">
        <v>1222</v>
      </c>
      <c r="F1035" s="82" t="str">
        <f aca="false">IF(E1035="","",IF(LEFT(E1035,2)="DJ","DJ","JN"))</f>
        <v>DJ</v>
      </c>
      <c r="G1035" s="81"/>
      <c r="H1035" s="81" t="s">
        <v>871</v>
      </c>
      <c r="I1035" s="81" t="n">
        <v>9.53</v>
      </c>
      <c r="J1035" s="81" t="s">
        <v>872</v>
      </c>
      <c r="K1035" s="81" t="s">
        <v>873</v>
      </c>
      <c r="L1035" s="81" t="n">
        <v>2089530</v>
      </c>
      <c r="M1035" s="81" t="n">
        <v>15421109</v>
      </c>
      <c r="N1035" s="81" t="n">
        <v>11.94</v>
      </c>
      <c r="O1035" s="81" t="n">
        <v>2088750</v>
      </c>
      <c r="P1035" s="81" t="n">
        <v>15421108</v>
      </c>
      <c r="Q1035" s="81" t="n">
        <v>11.94</v>
      </c>
      <c r="R1035" s="81" t="s">
        <v>1135</v>
      </c>
      <c r="S1035" s="81"/>
      <c r="T1035" s="81"/>
      <c r="U1035" s="83" t="n">
        <v>46280</v>
      </c>
      <c r="V1035" s="83" t="n">
        <v>46280</v>
      </c>
      <c r="W1035" s="81" t="s">
        <v>1089</v>
      </c>
      <c r="X1035" s="81" t="s">
        <v>876</v>
      </c>
      <c r="Y1035" s="83" t="n">
        <v>46281</v>
      </c>
      <c r="Z1035" s="81" t="s">
        <v>1217</v>
      </c>
      <c r="AA1035" s="81" t="s">
        <v>876</v>
      </c>
      <c r="AB1035" s="81"/>
      <c r="AC1035" s="81"/>
      <c r="AD1035" s="81"/>
      <c r="AE1035" s="83"/>
      <c r="AF1035" s="81"/>
      <c r="AG1035" s="81"/>
      <c r="AH1035" s="81"/>
      <c r="AI1035" s="81"/>
      <c r="AJ1035" s="83"/>
      <c r="AK1035" s="81"/>
      <c r="AL1035" s="81"/>
      <c r="AM1035" s="83"/>
      <c r="AN1035" s="80"/>
      <c r="AO1035" s="82" t="n">
        <f aca="false">IF(E1035="","",(AA1035&lt;&gt;"")+(AG1035&lt;&gt;"")+(AL1035&lt;&gt;""))</f>
        <v>1</v>
      </c>
      <c r="AP1035" s="82" t="str">
        <f aca="false">IF(AL1035&lt;&gt;"",AL1035,IF(AG1035&lt;&gt;"",AG1035,IF(AA1035&lt;&gt;"",AA1035,"")))</f>
        <v>A</v>
      </c>
      <c r="AQ1035" s="84" t="str">
        <f aca="false">IF(E1035="","",IF(U1035="","À SOUDER",IF(X1035="","VT EN ATTENTE",IF(X1035="R","VT REJETÉ – À REPRENDRE",IF(AP1035="","À RADIOGRAPHIER",IF(AP1035="A","ACCEPTÉ",IF(AP1035="NX","NX – RT À REFAIRE",IF(IF(AO1035=1,AD1035,IF(AO1035=2,AI1035,""))="A","RÉPARÉ – À RADIOGRAPHIER",IF(IF(AO1035=1,AD1035,IF(AO1035=2,AI1035,""))="R","VT REJETÉ – À REPRENDRE",IF(OR(AP1035="CO",AP1035="NT"),"COUPE – À RESOUDER","À RÉPARER"))))))))))</f>
        <v>ACCEPTÉ</v>
      </c>
      <c r="AR1035" s="82" t="str">
        <f aca="false">IF(AND(ISNUMBER(U1035),OR(AQ1035="À RADIOGRAPHIER",AQ1035="RÉPARÉ – À RADIOGRAPHIER",AQ1035="NX – RT À REFAIRE",AQ1035="À RÉPARER",AQ1035="COUPE – À RESOUDER",AQ1035="VT REJETÉ – À REPRENDRE")),MAX(0,'PROGRAMME RT'!$C$4-U1035),"")</f>
        <v/>
      </c>
      <c r="AS1035" s="82" t="n">
        <f aca="false">IF(AND(OR(AQ1035="À RADIOGRAPHIER",AQ1035="RÉPARÉ – À RADIOGRAPHIER",AQ1035="NX – RT À REFAIRE"),OR('PROGRAMME RT'!$D$5="TOUTES",B1035='PROGRAMME RT'!$D$5)),1,0)</f>
        <v>0</v>
      </c>
      <c r="AT1035" s="82" t="str">
        <f aca="false">IF(AS1035=1,SUM(AS$7:AS1035),"")</f>
        <v/>
      </c>
      <c r="AU1035" s="82" t="n">
        <f aca="false">IF(AND(OR(AA1035="R",AA1035="NX",AA1035="NT",AA1035="CO"),OR('JOINTS DE RÉPARATION'!$D$5="TOUTES",B1035='JOINTS DE RÉPARATION'!$D$5),OR('JOINTS DE RÉPARATION'!$L$4="TOUS",AQ1035&lt;&gt;"ACCEPTÉ")),1,0)</f>
        <v>0</v>
      </c>
      <c r="AV1035" s="82" t="str">
        <f aca="false">IF(AU1035=1,SUM(AU$7:AU1035),"")</f>
        <v/>
      </c>
      <c r="AW1035" s="82" t="str">
        <f aca="false">IF(E1035="","",B1035&amp;"|"&amp;E1035)</f>
        <v>MFD-ISW → MFD-CPF|DJ°392</v>
      </c>
    </row>
    <row r="1036" customFormat="false" ht="74.6" hidden="false" customHeight="false" outlineLevel="0" collapsed="false">
      <c r="A1036" s="79" t="n">
        <f aca="false">IF(E1036="","",ROW()-6)</f>
        <v>1030</v>
      </c>
      <c r="B1036" s="80" t="s">
        <v>110</v>
      </c>
      <c r="C1036" s="81" t="s">
        <v>1199</v>
      </c>
      <c r="D1036" s="81" t="n">
        <v>7</v>
      </c>
      <c r="E1036" s="81" t="s">
        <v>1223</v>
      </c>
      <c r="F1036" s="82" t="str">
        <f aca="false">IF(E1036="","",IF(LEFT(E1036,2)="DJ","DJ","JN"))</f>
        <v>JN</v>
      </c>
      <c r="G1036" s="81"/>
      <c r="H1036" s="81" t="s">
        <v>871</v>
      </c>
      <c r="I1036" s="81" t="n">
        <v>9.53</v>
      </c>
      <c r="J1036" s="81" t="s">
        <v>872</v>
      </c>
      <c r="K1036" s="81" t="s">
        <v>879</v>
      </c>
      <c r="L1036" s="81" t="n">
        <v>2088750</v>
      </c>
      <c r="M1036" s="81" t="n">
        <v>15421108</v>
      </c>
      <c r="N1036" s="81" t="n">
        <v>11.94</v>
      </c>
      <c r="O1036" s="81" t="n">
        <v>2089850</v>
      </c>
      <c r="P1036" s="81" t="n">
        <v>15421109</v>
      </c>
      <c r="Q1036" s="81" t="n">
        <v>11.94</v>
      </c>
      <c r="R1036" s="81" t="s">
        <v>1151</v>
      </c>
      <c r="S1036" s="81"/>
      <c r="T1036" s="81"/>
      <c r="U1036" s="83" t="n">
        <v>46284</v>
      </c>
      <c r="V1036" s="83" t="n">
        <v>46284</v>
      </c>
      <c r="W1036" s="81" t="s">
        <v>1209</v>
      </c>
      <c r="X1036" s="81" t="s">
        <v>876</v>
      </c>
      <c r="Y1036" s="83" t="n">
        <v>46287</v>
      </c>
      <c r="Z1036" s="81" t="s">
        <v>1201</v>
      </c>
      <c r="AA1036" s="81" t="s">
        <v>876</v>
      </c>
      <c r="AB1036" s="81"/>
      <c r="AC1036" s="81"/>
      <c r="AD1036" s="81"/>
      <c r="AE1036" s="83"/>
      <c r="AF1036" s="81"/>
      <c r="AG1036" s="81"/>
      <c r="AH1036" s="81"/>
      <c r="AI1036" s="81"/>
      <c r="AJ1036" s="83"/>
      <c r="AK1036" s="81"/>
      <c r="AL1036" s="81"/>
      <c r="AM1036" s="83"/>
      <c r="AN1036" s="80"/>
      <c r="AO1036" s="82" t="n">
        <f aca="false">IF(E1036="","",(AA1036&lt;&gt;"")+(AG1036&lt;&gt;"")+(AL1036&lt;&gt;""))</f>
        <v>1</v>
      </c>
      <c r="AP1036" s="82" t="str">
        <f aca="false">IF(AL1036&lt;&gt;"",AL1036,IF(AG1036&lt;&gt;"",AG1036,IF(AA1036&lt;&gt;"",AA1036,"")))</f>
        <v>A</v>
      </c>
      <c r="AQ1036" s="84" t="str">
        <f aca="false">IF(E1036="","",IF(U1036="","À SOUDER",IF(X1036="","VT EN ATTENTE",IF(X1036="R","VT REJETÉ – À REPRENDRE",IF(AP1036="","À RADIOGRAPHIER",IF(AP1036="A","ACCEPTÉ",IF(AP1036="NX","NX – RT À REFAIRE",IF(IF(AO1036=1,AD1036,IF(AO1036=2,AI1036,""))="A","RÉPARÉ – À RADIOGRAPHIER",IF(IF(AO1036=1,AD1036,IF(AO1036=2,AI1036,""))="R","VT REJETÉ – À REPRENDRE",IF(OR(AP1036="CO",AP1036="NT"),"COUPE – À RESOUDER","À RÉPARER"))))))))))</f>
        <v>ACCEPTÉ</v>
      </c>
      <c r="AR1036" s="82" t="str">
        <f aca="false">IF(AND(ISNUMBER(U1036),OR(AQ1036="À RADIOGRAPHIER",AQ1036="RÉPARÉ – À RADIOGRAPHIER",AQ1036="NX – RT À REFAIRE",AQ1036="À RÉPARER",AQ1036="COUPE – À RESOUDER",AQ1036="VT REJETÉ – À REPRENDRE")),MAX(0,'PROGRAMME RT'!$C$4-U1036),"")</f>
        <v/>
      </c>
      <c r="AS1036" s="82" t="n">
        <f aca="false">IF(AND(OR(AQ1036="À RADIOGRAPHIER",AQ1036="RÉPARÉ – À RADIOGRAPHIER",AQ1036="NX – RT À REFAIRE"),OR('PROGRAMME RT'!$D$5="TOUTES",B1036='PROGRAMME RT'!$D$5)),1,0)</f>
        <v>0</v>
      </c>
      <c r="AT1036" s="82" t="str">
        <f aca="false">IF(AS1036=1,SUM(AS$7:AS1036),"")</f>
        <v/>
      </c>
      <c r="AU1036" s="82" t="n">
        <f aca="false">IF(AND(OR(AA1036="R",AA1036="NX",AA1036="NT",AA1036="CO"),OR('JOINTS DE RÉPARATION'!$D$5="TOUTES",B1036='JOINTS DE RÉPARATION'!$D$5),OR('JOINTS DE RÉPARATION'!$L$4="TOUS",AQ1036&lt;&gt;"ACCEPTÉ")),1,0)</f>
        <v>0</v>
      </c>
      <c r="AV1036" s="82" t="str">
        <f aca="false">IF(AU1036=1,SUM(AU$7:AU1036),"")</f>
        <v/>
      </c>
      <c r="AW1036" s="82" t="str">
        <f aca="false">IF(E1036="","",B1036&amp;"|"&amp;E1036)</f>
        <v>MFD-ISW → MFD-CPF|JN°920</v>
      </c>
    </row>
    <row r="1037" customFormat="false" ht="74.6" hidden="false" customHeight="false" outlineLevel="0" collapsed="false">
      <c r="A1037" s="79" t="n">
        <f aca="false">IF(E1037="","",ROW()-6)</f>
        <v>1031</v>
      </c>
      <c r="B1037" s="80" t="s">
        <v>110</v>
      </c>
      <c r="C1037" s="81" t="s">
        <v>1199</v>
      </c>
      <c r="D1037" s="81" t="n">
        <v>7</v>
      </c>
      <c r="E1037" s="81" t="s">
        <v>1224</v>
      </c>
      <c r="F1037" s="82" t="str">
        <f aca="false">IF(E1037="","",IF(LEFT(E1037,2)="DJ","DJ","JN"))</f>
        <v>DJ</v>
      </c>
      <c r="G1037" s="81"/>
      <c r="H1037" s="81" t="s">
        <v>871</v>
      </c>
      <c r="I1037" s="81" t="n">
        <v>9.53</v>
      </c>
      <c r="J1037" s="81" t="s">
        <v>872</v>
      </c>
      <c r="K1037" s="81" t="s">
        <v>873</v>
      </c>
      <c r="L1037" s="81" t="n">
        <v>2089850</v>
      </c>
      <c r="M1037" s="81" t="n">
        <v>15421109</v>
      </c>
      <c r="N1037" s="81" t="n">
        <v>11.94</v>
      </c>
      <c r="O1037" s="81" t="n">
        <v>2086310</v>
      </c>
      <c r="P1037" s="81" t="n">
        <v>15421107</v>
      </c>
      <c r="Q1037" s="81" t="n">
        <v>11.94</v>
      </c>
      <c r="R1037" s="81" t="s">
        <v>920</v>
      </c>
      <c r="S1037" s="81"/>
      <c r="T1037" s="81"/>
      <c r="U1037" s="83" t="n">
        <v>46280</v>
      </c>
      <c r="V1037" s="83" t="n">
        <v>46280</v>
      </c>
      <c r="W1037" s="81" t="s">
        <v>1089</v>
      </c>
      <c r="X1037" s="81" t="s">
        <v>876</v>
      </c>
      <c r="Y1037" s="83" t="n">
        <v>46281</v>
      </c>
      <c r="Z1037" s="81" t="s">
        <v>1217</v>
      </c>
      <c r="AA1037" s="81" t="s">
        <v>876</v>
      </c>
      <c r="AB1037" s="81"/>
      <c r="AC1037" s="81"/>
      <c r="AD1037" s="81"/>
      <c r="AE1037" s="83"/>
      <c r="AF1037" s="81"/>
      <c r="AG1037" s="81"/>
      <c r="AH1037" s="81"/>
      <c r="AI1037" s="81"/>
      <c r="AJ1037" s="83"/>
      <c r="AK1037" s="81"/>
      <c r="AL1037" s="81"/>
      <c r="AM1037" s="83"/>
      <c r="AN1037" s="80"/>
      <c r="AO1037" s="82" t="n">
        <f aca="false">IF(E1037="","",(AA1037&lt;&gt;"")+(AG1037&lt;&gt;"")+(AL1037&lt;&gt;""))</f>
        <v>1</v>
      </c>
      <c r="AP1037" s="82" t="str">
        <f aca="false">IF(AL1037&lt;&gt;"",AL1037,IF(AG1037&lt;&gt;"",AG1037,IF(AA1037&lt;&gt;"",AA1037,"")))</f>
        <v>A</v>
      </c>
      <c r="AQ1037" s="84" t="str">
        <f aca="false">IF(E1037="","",IF(U1037="","À SOUDER",IF(X1037="","VT EN ATTENTE",IF(X1037="R","VT REJETÉ – À REPRENDRE",IF(AP1037="","À RADIOGRAPHIER",IF(AP1037="A","ACCEPTÉ",IF(AP1037="NX","NX – RT À REFAIRE",IF(IF(AO1037=1,AD1037,IF(AO1037=2,AI1037,""))="A","RÉPARÉ – À RADIOGRAPHIER",IF(IF(AO1037=1,AD1037,IF(AO1037=2,AI1037,""))="R","VT REJETÉ – À REPRENDRE",IF(OR(AP1037="CO",AP1037="NT"),"COUPE – À RESOUDER","À RÉPARER"))))))))))</f>
        <v>ACCEPTÉ</v>
      </c>
      <c r="AR1037" s="82" t="str">
        <f aca="false">IF(AND(ISNUMBER(U1037),OR(AQ1037="À RADIOGRAPHIER",AQ1037="RÉPARÉ – À RADIOGRAPHIER",AQ1037="NX – RT À REFAIRE",AQ1037="À RÉPARER",AQ1037="COUPE – À RESOUDER",AQ1037="VT REJETÉ – À REPRENDRE")),MAX(0,'PROGRAMME RT'!$C$4-U1037),"")</f>
        <v/>
      </c>
      <c r="AS1037" s="82" t="n">
        <f aca="false">IF(AND(OR(AQ1037="À RADIOGRAPHIER",AQ1037="RÉPARÉ – À RADIOGRAPHIER",AQ1037="NX – RT À REFAIRE"),OR('PROGRAMME RT'!$D$5="TOUTES",B1037='PROGRAMME RT'!$D$5)),1,0)</f>
        <v>0</v>
      </c>
      <c r="AT1037" s="82" t="str">
        <f aca="false">IF(AS1037=1,SUM(AS$7:AS1037),"")</f>
        <v/>
      </c>
      <c r="AU1037" s="82" t="n">
        <f aca="false">IF(AND(OR(AA1037="R",AA1037="NX",AA1037="NT",AA1037="CO"),OR('JOINTS DE RÉPARATION'!$D$5="TOUTES",B1037='JOINTS DE RÉPARATION'!$D$5),OR('JOINTS DE RÉPARATION'!$L$4="TOUS",AQ1037&lt;&gt;"ACCEPTÉ")),1,0)</f>
        <v>0</v>
      </c>
      <c r="AV1037" s="82" t="str">
        <f aca="false">IF(AU1037=1,SUM(AU$7:AU1037),"")</f>
        <v/>
      </c>
      <c r="AW1037" s="82" t="str">
        <f aca="false">IF(E1037="","",B1037&amp;"|"&amp;E1037)</f>
        <v>MFD-ISW → MFD-CPF|DJ°406</v>
      </c>
    </row>
    <row r="1038" customFormat="false" ht="74.6" hidden="false" customHeight="false" outlineLevel="0" collapsed="false">
      <c r="A1038" s="79" t="n">
        <f aca="false">IF(E1038="","",ROW()-6)</f>
        <v>1032</v>
      </c>
      <c r="B1038" s="80" t="s">
        <v>110</v>
      </c>
      <c r="C1038" s="81" t="s">
        <v>1199</v>
      </c>
      <c r="D1038" s="81" t="n">
        <v>7</v>
      </c>
      <c r="E1038" s="81" t="s">
        <v>1225</v>
      </c>
      <c r="F1038" s="82" t="str">
        <f aca="false">IF(E1038="","",IF(LEFT(E1038,2)="DJ","DJ","JN"))</f>
        <v>JN</v>
      </c>
      <c r="G1038" s="81"/>
      <c r="H1038" s="81" t="s">
        <v>871</v>
      </c>
      <c r="I1038" s="81" t="n">
        <v>9.53</v>
      </c>
      <c r="J1038" s="81" t="s">
        <v>872</v>
      </c>
      <c r="K1038" s="81" t="s">
        <v>879</v>
      </c>
      <c r="L1038" s="81" t="n">
        <v>2086310</v>
      </c>
      <c r="M1038" s="81" t="n">
        <v>15421107</v>
      </c>
      <c r="N1038" s="81" t="n">
        <v>11.94</v>
      </c>
      <c r="O1038" s="81" t="n">
        <v>2079230</v>
      </c>
      <c r="P1038" s="81" t="n">
        <v>15421102</v>
      </c>
      <c r="Q1038" s="81" t="n">
        <v>11.94</v>
      </c>
      <c r="R1038" s="81" t="s">
        <v>1151</v>
      </c>
      <c r="S1038" s="81"/>
      <c r="T1038" s="81"/>
      <c r="U1038" s="83" t="n">
        <v>46284</v>
      </c>
      <c r="V1038" s="83" t="n">
        <v>46284</v>
      </c>
      <c r="W1038" s="81" t="s">
        <v>1209</v>
      </c>
      <c r="X1038" s="81" t="s">
        <v>876</v>
      </c>
      <c r="Y1038" s="83" t="n">
        <v>46287</v>
      </c>
      <c r="Z1038" s="81" t="s">
        <v>1201</v>
      </c>
      <c r="AA1038" s="81" t="s">
        <v>876</v>
      </c>
      <c r="AB1038" s="81"/>
      <c r="AC1038" s="81"/>
      <c r="AD1038" s="81"/>
      <c r="AE1038" s="83"/>
      <c r="AF1038" s="81"/>
      <c r="AG1038" s="81"/>
      <c r="AH1038" s="81"/>
      <c r="AI1038" s="81"/>
      <c r="AJ1038" s="83"/>
      <c r="AK1038" s="81"/>
      <c r="AL1038" s="81"/>
      <c r="AM1038" s="83"/>
      <c r="AN1038" s="80"/>
      <c r="AO1038" s="82" t="n">
        <f aca="false">IF(E1038="","",(AA1038&lt;&gt;"")+(AG1038&lt;&gt;"")+(AL1038&lt;&gt;""))</f>
        <v>1</v>
      </c>
      <c r="AP1038" s="82" t="str">
        <f aca="false">IF(AL1038&lt;&gt;"",AL1038,IF(AG1038&lt;&gt;"",AG1038,IF(AA1038&lt;&gt;"",AA1038,"")))</f>
        <v>A</v>
      </c>
      <c r="AQ1038" s="84" t="str">
        <f aca="false">IF(E1038="","",IF(U1038="","À SOUDER",IF(X1038="","VT EN ATTENTE",IF(X1038="R","VT REJETÉ – À REPRENDRE",IF(AP1038="","À RADIOGRAPHIER",IF(AP1038="A","ACCEPTÉ",IF(AP1038="NX","NX – RT À REFAIRE",IF(IF(AO1038=1,AD1038,IF(AO1038=2,AI1038,""))="A","RÉPARÉ – À RADIOGRAPHIER",IF(IF(AO1038=1,AD1038,IF(AO1038=2,AI1038,""))="R","VT REJETÉ – À REPRENDRE",IF(OR(AP1038="CO",AP1038="NT"),"COUPE – À RESOUDER","À RÉPARER"))))))))))</f>
        <v>ACCEPTÉ</v>
      </c>
      <c r="AR1038" s="82" t="str">
        <f aca="false">IF(AND(ISNUMBER(U1038),OR(AQ1038="À RADIOGRAPHIER",AQ1038="RÉPARÉ – À RADIOGRAPHIER",AQ1038="NX – RT À REFAIRE",AQ1038="À RÉPARER",AQ1038="COUPE – À RESOUDER",AQ1038="VT REJETÉ – À REPRENDRE")),MAX(0,'PROGRAMME RT'!$C$4-U1038),"")</f>
        <v/>
      </c>
      <c r="AS1038" s="82" t="n">
        <f aca="false">IF(AND(OR(AQ1038="À RADIOGRAPHIER",AQ1038="RÉPARÉ – À RADIOGRAPHIER",AQ1038="NX – RT À REFAIRE"),OR('PROGRAMME RT'!$D$5="TOUTES",B1038='PROGRAMME RT'!$D$5)),1,0)</f>
        <v>0</v>
      </c>
      <c r="AT1038" s="82" t="str">
        <f aca="false">IF(AS1038=1,SUM(AS$7:AS1038),"")</f>
        <v/>
      </c>
      <c r="AU1038" s="82" t="n">
        <f aca="false">IF(AND(OR(AA1038="R",AA1038="NX",AA1038="NT",AA1038="CO"),OR('JOINTS DE RÉPARATION'!$D$5="TOUTES",B1038='JOINTS DE RÉPARATION'!$D$5),OR('JOINTS DE RÉPARATION'!$L$4="TOUS",AQ1038&lt;&gt;"ACCEPTÉ")),1,0)</f>
        <v>0</v>
      </c>
      <c r="AV1038" s="82" t="str">
        <f aca="false">IF(AU1038=1,SUM(AU$7:AU1038),"")</f>
        <v/>
      </c>
      <c r="AW1038" s="82" t="str">
        <f aca="false">IF(E1038="","",B1038&amp;"|"&amp;E1038)</f>
        <v>MFD-ISW → MFD-CPF|JN°921</v>
      </c>
    </row>
    <row r="1039" customFormat="false" ht="74.6" hidden="false" customHeight="false" outlineLevel="0" collapsed="false">
      <c r="A1039" s="79" t="n">
        <f aca="false">IF(E1039="","",ROW()-6)</f>
        <v>1033</v>
      </c>
      <c r="B1039" s="80" t="s">
        <v>110</v>
      </c>
      <c r="C1039" s="81" t="s">
        <v>1199</v>
      </c>
      <c r="D1039" s="81" t="n">
        <v>7</v>
      </c>
      <c r="E1039" s="81" t="s">
        <v>1226</v>
      </c>
      <c r="F1039" s="82" t="str">
        <f aca="false">IF(E1039="","",IF(LEFT(E1039,2)="DJ","DJ","JN"))</f>
        <v>DJ</v>
      </c>
      <c r="G1039" s="81"/>
      <c r="H1039" s="81" t="s">
        <v>871</v>
      </c>
      <c r="I1039" s="81" t="n">
        <v>9.53</v>
      </c>
      <c r="J1039" s="81" t="s">
        <v>872</v>
      </c>
      <c r="K1039" s="81" t="s">
        <v>873</v>
      </c>
      <c r="L1039" s="81" t="n">
        <v>2079230</v>
      </c>
      <c r="M1039" s="81" t="n">
        <v>15421102</v>
      </c>
      <c r="N1039" s="81" t="n">
        <v>11.94</v>
      </c>
      <c r="O1039" s="81" t="n">
        <v>2087590</v>
      </c>
      <c r="P1039" s="81" t="n">
        <v>15421107</v>
      </c>
      <c r="Q1039" s="81" t="n">
        <v>11.94</v>
      </c>
      <c r="R1039" s="81" t="s">
        <v>899</v>
      </c>
      <c r="S1039" s="81"/>
      <c r="T1039" s="81"/>
      <c r="U1039" s="83" t="n">
        <v>46279</v>
      </c>
      <c r="V1039" s="83" t="n">
        <v>46279</v>
      </c>
      <c r="W1039" s="81" t="s">
        <v>1227</v>
      </c>
      <c r="X1039" s="81" t="s">
        <v>876</v>
      </c>
      <c r="Y1039" s="83" t="n">
        <v>46280</v>
      </c>
      <c r="Z1039" s="81" t="s">
        <v>1228</v>
      </c>
      <c r="AA1039" s="81" t="s">
        <v>876</v>
      </c>
      <c r="AB1039" s="81"/>
      <c r="AC1039" s="81"/>
      <c r="AD1039" s="81"/>
      <c r="AE1039" s="83"/>
      <c r="AF1039" s="81"/>
      <c r="AG1039" s="81"/>
      <c r="AH1039" s="81"/>
      <c r="AI1039" s="81"/>
      <c r="AJ1039" s="83"/>
      <c r="AK1039" s="81"/>
      <c r="AL1039" s="81"/>
      <c r="AM1039" s="83"/>
      <c r="AN1039" s="80"/>
      <c r="AO1039" s="82" t="n">
        <f aca="false">IF(E1039="","",(AA1039&lt;&gt;"")+(AG1039&lt;&gt;"")+(AL1039&lt;&gt;""))</f>
        <v>1</v>
      </c>
      <c r="AP1039" s="82" t="str">
        <f aca="false">IF(AL1039&lt;&gt;"",AL1039,IF(AG1039&lt;&gt;"",AG1039,IF(AA1039&lt;&gt;"",AA1039,"")))</f>
        <v>A</v>
      </c>
      <c r="AQ1039" s="84" t="str">
        <f aca="false">IF(E1039="","",IF(U1039="","À SOUDER",IF(X1039="","VT EN ATTENTE",IF(X1039="R","VT REJETÉ – À REPRENDRE",IF(AP1039="","À RADIOGRAPHIER",IF(AP1039="A","ACCEPTÉ",IF(AP1039="NX","NX – RT À REFAIRE",IF(IF(AO1039=1,AD1039,IF(AO1039=2,AI1039,""))="A","RÉPARÉ – À RADIOGRAPHIER",IF(IF(AO1039=1,AD1039,IF(AO1039=2,AI1039,""))="R","VT REJETÉ – À REPRENDRE",IF(OR(AP1039="CO",AP1039="NT"),"COUPE – À RESOUDER","À RÉPARER"))))))))))</f>
        <v>ACCEPTÉ</v>
      </c>
      <c r="AR1039" s="82" t="str">
        <f aca="false">IF(AND(ISNUMBER(U1039),OR(AQ1039="À RADIOGRAPHIER",AQ1039="RÉPARÉ – À RADIOGRAPHIER",AQ1039="NX – RT À REFAIRE",AQ1039="À RÉPARER",AQ1039="COUPE – À RESOUDER",AQ1039="VT REJETÉ – À REPRENDRE")),MAX(0,'PROGRAMME RT'!$C$4-U1039),"")</f>
        <v/>
      </c>
      <c r="AS1039" s="82" t="n">
        <f aca="false">IF(AND(OR(AQ1039="À RADIOGRAPHIER",AQ1039="RÉPARÉ – À RADIOGRAPHIER",AQ1039="NX – RT À REFAIRE"),OR('PROGRAMME RT'!$D$5="TOUTES",B1039='PROGRAMME RT'!$D$5)),1,0)</f>
        <v>0</v>
      </c>
      <c r="AT1039" s="82" t="str">
        <f aca="false">IF(AS1039=1,SUM(AS$7:AS1039),"")</f>
        <v/>
      </c>
      <c r="AU1039" s="82" t="n">
        <f aca="false">IF(AND(OR(AA1039="R",AA1039="NX",AA1039="NT",AA1039="CO"),OR('JOINTS DE RÉPARATION'!$D$5="TOUTES",B1039='JOINTS DE RÉPARATION'!$D$5),OR('JOINTS DE RÉPARATION'!$L$4="TOUS",AQ1039&lt;&gt;"ACCEPTÉ")),1,0)</f>
        <v>0</v>
      </c>
      <c r="AV1039" s="82" t="str">
        <f aca="false">IF(AU1039=1,SUM(AU$7:AU1039),"")</f>
        <v/>
      </c>
      <c r="AW1039" s="82" t="str">
        <f aca="false">IF(E1039="","",B1039&amp;"|"&amp;E1039)</f>
        <v>MFD-ISW → MFD-CPF|DJ°388</v>
      </c>
    </row>
    <row r="1040" customFormat="false" ht="74.6" hidden="false" customHeight="false" outlineLevel="0" collapsed="false">
      <c r="A1040" s="79" t="n">
        <f aca="false">IF(E1040="","",ROW()-6)</f>
        <v>1034</v>
      </c>
      <c r="B1040" s="80" t="s">
        <v>110</v>
      </c>
      <c r="C1040" s="81" t="s">
        <v>1199</v>
      </c>
      <c r="D1040" s="81" t="n">
        <v>7</v>
      </c>
      <c r="E1040" s="81" t="s">
        <v>1229</v>
      </c>
      <c r="F1040" s="82" t="str">
        <f aca="false">IF(E1040="","",IF(LEFT(E1040,2)="DJ","DJ","JN"))</f>
        <v>JN</v>
      </c>
      <c r="G1040" s="81"/>
      <c r="H1040" s="81" t="s">
        <v>871</v>
      </c>
      <c r="I1040" s="81" t="n">
        <v>9.53</v>
      </c>
      <c r="J1040" s="81" t="s">
        <v>872</v>
      </c>
      <c r="K1040" s="81" t="s">
        <v>879</v>
      </c>
      <c r="L1040" s="81" t="n">
        <v>2087590</v>
      </c>
      <c r="M1040" s="81" t="n">
        <v>15421107</v>
      </c>
      <c r="N1040" s="81" t="n">
        <v>11.94</v>
      </c>
      <c r="O1040" s="81" t="n">
        <v>2086880</v>
      </c>
      <c r="P1040" s="81" t="n">
        <v>15421107</v>
      </c>
      <c r="Q1040" s="81" t="n">
        <v>11.94</v>
      </c>
      <c r="R1040" s="81" t="s">
        <v>1151</v>
      </c>
      <c r="S1040" s="81"/>
      <c r="T1040" s="81"/>
      <c r="U1040" s="83" t="n">
        <v>46284</v>
      </c>
      <c r="V1040" s="83" t="n">
        <v>46284</v>
      </c>
      <c r="W1040" s="81" t="s">
        <v>1209</v>
      </c>
      <c r="X1040" s="81" t="s">
        <v>876</v>
      </c>
      <c r="Y1040" s="83" t="n">
        <v>46287</v>
      </c>
      <c r="Z1040" s="81" t="s">
        <v>1201</v>
      </c>
      <c r="AA1040" s="81" t="s">
        <v>876</v>
      </c>
      <c r="AB1040" s="81"/>
      <c r="AC1040" s="81"/>
      <c r="AD1040" s="81"/>
      <c r="AE1040" s="83"/>
      <c r="AF1040" s="81"/>
      <c r="AG1040" s="81"/>
      <c r="AH1040" s="81"/>
      <c r="AI1040" s="81"/>
      <c r="AJ1040" s="83"/>
      <c r="AK1040" s="81"/>
      <c r="AL1040" s="81"/>
      <c r="AM1040" s="83"/>
      <c r="AN1040" s="80"/>
      <c r="AO1040" s="82" t="n">
        <f aca="false">IF(E1040="","",(AA1040&lt;&gt;"")+(AG1040&lt;&gt;"")+(AL1040&lt;&gt;""))</f>
        <v>1</v>
      </c>
      <c r="AP1040" s="82" t="str">
        <f aca="false">IF(AL1040&lt;&gt;"",AL1040,IF(AG1040&lt;&gt;"",AG1040,IF(AA1040&lt;&gt;"",AA1040,"")))</f>
        <v>A</v>
      </c>
      <c r="AQ1040" s="84" t="str">
        <f aca="false">IF(E1040="","",IF(U1040="","À SOUDER",IF(X1040="","VT EN ATTENTE",IF(X1040="R","VT REJETÉ – À REPRENDRE",IF(AP1040="","À RADIOGRAPHIER",IF(AP1040="A","ACCEPTÉ",IF(AP1040="NX","NX – RT À REFAIRE",IF(IF(AO1040=1,AD1040,IF(AO1040=2,AI1040,""))="A","RÉPARÉ – À RADIOGRAPHIER",IF(IF(AO1040=1,AD1040,IF(AO1040=2,AI1040,""))="R","VT REJETÉ – À REPRENDRE",IF(OR(AP1040="CO",AP1040="NT"),"COUPE – À RESOUDER","À RÉPARER"))))))))))</f>
        <v>ACCEPTÉ</v>
      </c>
      <c r="AR1040" s="82" t="str">
        <f aca="false">IF(AND(ISNUMBER(U1040),OR(AQ1040="À RADIOGRAPHIER",AQ1040="RÉPARÉ – À RADIOGRAPHIER",AQ1040="NX – RT À REFAIRE",AQ1040="À RÉPARER",AQ1040="COUPE – À RESOUDER",AQ1040="VT REJETÉ – À REPRENDRE")),MAX(0,'PROGRAMME RT'!$C$4-U1040),"")</f>
        <v/>
      </c>
      <c r="AS1040" s="82" t="n">
        <f aca="false">IF(AND(OR(AQ1040="À RADIOGRAPHIER",AQ1040="RÉPARÉ – À RADIOGRAPHIER",AQ1040="NX – RT À REFAIRE"),OR('PROGRAMME RT'!$D$5="TOUTES",B1040='PROGRAMME RT'!$D$5)),1,0)</f>
        <v>0</v>
      </c>
      <c r="AT1040" s="82" t="str">
        <f aca="false">IF(AS1040=1,SUM(AS$7:AS1040),"")</f>
        <v/>
      </c>
      <c r="AU1040" s="82" t="n">
        <f aca="false">IF(AND(OR(AA1040="R",AA1040="NX",AA1040="NT",AA1040="CO"),OR('JOINTS DE RÉPARATION'!$D$5="TOUTES",B1040='JOINTS DE RÉPARATION'!$D$5),OR('JOINTS DE RÉPARATION'!$L$4="TOUS",AQ1040&lt;&gt;"ACCEPTÉ")),1,0)</f>
        <v>0</v>
      </c>
      <c r="AV1040" s="82" t="str">
        <f aca="false">IF(AU1040=1,SUM(AU$7:AU1040),"")</f>
        <v/>
      </c>
      <c r="AW1040" s="82" t="str">
        <f aca="false">IF(E1040="","",B1040&amp;"|"&amp;E1040)</f>
        <v>MFD-ISW → MFD-CPF|JN°922</v>
      </c>
    </row>
    <row r="1041" customFormat="false" ht="74.6" hidden="false" customHeight="false" outlineLevel="0" collapsed="false">
      <c r="A1041" s="79" t="n">
        <f aca="false">IF(E1041="","",ROW()-6)</f>
        <v>1035</v>
      </c>
      <c r="B1041" s="80" t="s">
        <v>110</v>
      </c>
      <c r="C1041" s="81" t="s">
        <v>1199</v>
      </c>
      <c r="D1041" s="81" t="n">
        <v>7</v>
      </c>
      <c r="E1041" s="81" t="s">
        <v>1230</v>
      </c>
      <c r="F1041" s="82" t="str">
        <f aca="false">IF(E1041="","",IF(LEFT(E1041,2)="DJ","DJ","JN"))</f>
        <v>DJ</v>
      </c>
      <c r="G1041" s="81"/>
      <c r="H1041" s="81" t="s">
        <v>871</v>
      </c>
      <c r="I1041" s="81" t="n">
        <v>9.53</v>
      </c>
      <c r="J1041" s="81" t="s">
        <v>872</v>
      </c>
      <c r="K1041" s="81" t="s">
        <v>873</v>
      </c>
      <c r="L1041" s="81" t="n">
        <v>2086880</v>
      </c>
      <c r="M1041" s="81" t="n">
        <v>15421107</v>
      </c>
      <c r="N1041" s="81" t="n">
        <v>11.94</v>
      </c>
      <c r="O1041" s="81" t="n">
        <v>2086950</v>
      </c>
      <c r="P1041" s="81" t="n">
        <v>15421107</v>
      </c>
      <c r="Q1041" s="81" t="n">
        <v>11.94</v>
      </c>
      <c r="R1041" s="81" t="s">
        <v>1147</v>
      </c>
      <c r="S1041" s="81"/>
      <c r="T1041" s="81"/>
      <c r="U1041" s="83" t="n">
        <v>46279</v>
      </c>
      <c r="V1041" s="83" t="n">
        <v>46279</v>
      </c>
      <c r="W1041" s="81" t="s">
        <v>1227</v>
      </c>
      <c r="X1041" s="81" t="s">
        <v>876</v>
      </c>
      <c r="Y1041" s="83" t="n">
        <v>46280</v>
      </c>
      <c r="Z1041" s="81" t="s">
        <v>1228</v>
      </c>
      <c r="AA1041" s="81" t="s">
        <v>876</v>
      </c>
      <c r="AB1041" s="81"/>
      <c r="AC1041" s="81"/>
      <c r="AD1041" s="81"/>
      <c r="AE1041" s="83"/>
      <c r="AF1041" s="81"/>
      <c r="AG1041" s="81"/>
      <c r="AH1041" s="81"/>
      <c r="AI1041" s="81"/>
      <c r="AJ1041" s="83"/>
      <c r="AK1041" s="81"/>
      <c r="AL1041" s="81"/>
      <c r="AM1041" s="83"/>
      <c r="AN1041" s="80"/>
      <c r="AO1041" s="82" t="n">
        <f aca="false">IF(E1041="","",(AA1041&lt;&gt;"")+(AG1041&lt;&gt;"")+(AL1041&lt;&gt;""))</f>
        <v>1</v>
      </c>
      <c r="AP1041" s="82" t="str">
        <f aca="false">IF(AL1041&lt;&gt;"",AL1041,IF(AG1041&lt;&gt;"",AG1041,IF(AA1041&lt;&gt;"",AA1041,"")))</f>
        <v>A</v>
      </c>
      <c r="AQ1041" s="84" t="str">
        <f aca="false">IF(E1041="","",IF(U1041="","À SOUDER",IF(X1041="","VT EN ATTENTE",IF(X1041="R","VT REJETÉ – À REPRENDRE",IF(AP1041="","À RADIOGRAPHIER",IF(AP1041="A","ACCEPTÉ",IF(AP1041="NX","NX – RT À REFAIRE",IF(IF(AO1041=1,AD1041,IF(AO1041=2,AI1041,""))="A","RÉPARÉ – À RADIOGRAPHIER",IF(IF(AO1041=1,AD1041,IF(AO1041=2,AI1041,""))="R","VT REJETÉ – À REPRENDRE",IF(OR(AP1041="CO",AP1041="NT"),"COUPE – À RESOUDER","À RÉPARER"))))))))))</f>
        <v>ACCEPTÉ</v>
      </c>
      <c r="AR1041" s="82" t="str">
        <f aca="false">IF(AND(ISNUMBER(U1041),OR(AQ1041="À RADIOGRAPHIER",AQ1041="RÉPARÉ – À RADIOGRAPHIER",AQ1041="NX – RT À REFAIRE",AQ1041="À RÉPARER",AQ1041="COUPE – À RESOUDER",AQ1041="VT REJETÉ – À REPRENDRE")),MAX(0,'PROGRAMME RT'!$C$4-U1041),"")</f>
        <v/>
      </c>
      <c r="AS1041" s="82" t="n">
        <f aca="false">IF(AND(OR(AQ1041="À RADIOGRAPHIER",AQ1041="RÉPARÉ – À RADIOGRAPHIER",AQ1041="NX – RT À REFAIRE"),OR('PROGRAMME RT'!$D$5="TOUTES",B1041='PROGRAMME RT'!$D$5)),1,0)</f>
        <v>0</v>
      </c>
      <c r="AT1041" s="82" t="str">
        <f aca="false">IF(AS1041=1,SUM(AS$7:AS1041),"")</f>
        <v/>
      </c>
      <c r="AU1041" s="82" t="n">
        <f aca="false">IF(AND(OR(AA1041="R",AA1041="NX",AA1041="NT",AA1041="CO"),OR('JOINTS DE RÉPARATION'!$D$5="TOUTES",B1041='JOINTS DE RÉPARATION'!$D$5),OR('JOINTS DE RÉPARATION'!$L$4="TOUS",AQ1041&lt;&gt;"ACCEPTÉ")),1,0)</f>
        <v>0</v>
      </c>
      <c r="AV1041" s="82" t="str">
        <f aca="false">IF(AU1041=1,SUM(AU$7:AU1041),"")</f>
        <v/>
      </c>
      <c r="AW1041" s="82" t="str">
        <f aca="false">IF(E1041="","",B1041&amp;"|"&amp;E1041)</f>
        <v>MFD-ISW → MFD-CPF|DJ°386</v>
      </c>
    </row>
    <row r="1042" customFormat="false" ht="74.6" hidden="false" customHeight="false" outlineLevel="0" collapsed="false">
      <c r="A1042" s="79" t="n">
        <f aca="false">IF(E1042="","",ROW()-6)</f>
        <v>1036</v>
      </c>
      <c r="B1042" s="80" t="s">
        <v>110</v>
      </c>
      <c r="C1042" s="81" t="s">
        <v>1199</v>
      </c>
      <c r="D1042" s="81" t="n">
        <v>7</v>
      </c>
      <c r="E1042" s="81" t="s">
        <v>1231</v>
      </c>
      <c r="F1042" s="82" t="str">
        <f aca="false">IF(E1042="","",IF(LEFT(E1042,2)="DJ","DJ","JN"))</f>
        <v>JN</v>
      </c>
      <c r="G1042" s="81"/>
      <c r="H1042" s="81" t="s">
        <v>871</v>
      </c>
      <c r="I1042" s="81" t="n">
        <v>9.53</v>
      </c>
      <c r="J1042" s="81" t="s">
        <v>872</v>
      </c>
      <c r="K1042" s="81" t="s">
        <v>879</v>
      </c>
      <c r="L1042" s="81" t="n">
        <v>2086950</v>
      </c>
      <c r="M1042" s="81" t="n">
        <v>15421107</v>
      </c>
      <c r="N1042" s="81" t="n">
        <v>11.94</v>
      </c>
      <c r="O1042" s="81" t="n">
        <v>2084540</v>
      </c>
      <c r="P1042" s="81" t="n">
        <v>15421106</v>
      </c>
      <c r="Q1042" s="81" t="n">
        <v>11.94</v>
      </c>
      <c r="R1042" s="81" t="s">
        <v>1151</v>
      </c>
      <c r="S1042" s="81"/>
      <c r="T1042" s="81"/>
      <c r="U1042" s="83" t="n">
        <v>46284</v>
      </c>
      <c r="V1042" s="83" t="n">
        <v>46284</v>
      </c>
      <c r="W1042" s="81" t="s">
        <v>1209</v>
      </c>
      <c r="X1042" s="81" t="s">
        <v>876</v>
      </c>
      <c r="Y1042" s="83" t="n">
        <v>46287</v>
      </c>
      <c r="Z1042" s="81" t="s">
        <v>1201</v>
      </c>
      <c r="AA1042" s="81" t="s">
        <v>876</v>
      </c>
      <c r="AB1042" s="81"/>
      <c r="AC1042" s="81"/>
      <c r="AD1042" s="81"/>
      <c r="AE1042" s="83"/>
      <c r="AF1042" s="81"/>
      <c r="AG1042" s="81"/>
      <c r="AH1042" s="81"/>
      <c r="AI1042" s="81"/>
      <c r="AJ1042" s="83"/>
      <c r="AK1042" s="81"/>
      <c r="AL1042" s="81"/>
      <c r="AM1042" s="83"/>
      <c r="AN1042" s="80"/>
      <c r="AO1042" s="82" t="n">
        <f aca="false">IF(E1042="","",(AA1042&lt;&gt;"")+(AG1042&lt;&gt;"")+(AL1042&lt;&gt;""))</f>
        <v>1</v>
      </c>
      <c r="AP1042" s="82" t="str">
        <f aca="false">IF(AL1042&lt;&gt;"",AL1042,IF(AG1042&lt;&gt;"",AG1042,IF(AA1042&lt;&gt;"",AA1042,"")))</f>
        <v>A</v>
      </c>
      <c r="AQ1042" s="84" t="str">
        <f aca="false">IF(E1042="","",IF(U1042="","À SOUDER",IF(X1042="","VT EN ATTENTE",IF(X1042="R","VT REJETÉ – À REPRENDRE",IF(AP1042="","À RADIOGRAPHIER",IF(AP1042="A","ACCEPTÉ",IF(AP1042="NX","NX – RT À REFAIRE",IF(IF(AO1042=1,AD1042,IF(AO1042=2,AI1042,""))="A","RÉPARÉ – À RADIOGRAPHIER",IF(IF(AO1042=1,AD1042,IF(AO1042=2,AI1042,""))="R","VT REJETÉ – À REPRENDRE",IF(OR(AP1042="CO",AP1042="NT"),"COUPE – À RESOUDER","À RÉPARER"))))))))))</f>
        <v>ACCEPTÉ</v>
      </c>
      <c r="AR1042" s="82" t="str">
        <f aca="false">IF(AND(ISNUMBER(U1042),OR(AQ1042="À RADIOGRAPHIER",AQ1042="RÉPARÉ – À RADIOGRAPHIER",AQ1042="NX – RT À REFAIRE",AQ1042="À RÉPARER",AQ1042="COUPE – À RESOUDER",AQ1042="VT REJETÉ – À REPRENDRE")),MAX(0,'PROGRAMME RT'!$C$4-U1042),"")</f>
        <v/>
      </c>
      <c r="AS1042" s="82" t="n">
        <f aca="false">IF(AND(OR(AQ1042="À RADIOGRAPHIER",AQ1042="RÉPARÉ – À RADIOGRAPHIER",AQ1042="NX – RT À REFAIRE"),OR('PROGRAMME RT'!$D$5="TOUTES",B1042='PROGRAMME RT'!$D$5)),1,0)</f>
        <v>0</v>
      </c>
      <c r="AT1042" s="82" t="str">
        <f aca="false">IF(AS1042=1,SUM(AS$7:AS1042),"")</f>
        <v/>
      </c>
      <c r="AU1042" s="82" t="n">
        <f aca="false">IF(AND(OR(AA1042="R",AA1042="NX",AA1042="NT",AA1042="CO"),OR('JOINTS DE RÉPARATION'!$D$5="TOUTES",B1042='JOINTS DE RÉPARATION'!$D$5),OR('JOINTS DE RÉPARATION'!$L$4="TOUS",AQ1042&lt;&gt;"ACCEPTÉ")),1,0)</f>
        <v>0</v>
      </c>
      <c r="AV1042" s="82" t="str">
        <f aca="false">IF(AU1042=1,SUM(AU$7:AU1042),"")</f>
        <v/>
      </c>
      <c r="AW1042" s="82" t="str">
        <f aca="false">IF(E1042="","",B1042&amp;"|"&amp;E1042)</f>
        <v>MFD-ISW → MFD-CPF|JN°923</v>
      </c>
    </row>
    <row r="1043" customFormat="false" ht="74.6" hidden="false" customHeight="false" outlineLevel="0" collapsed="false">
      <c r="A1043" s="79" t="n">
        <f aca="false">IF(E1043="","",ROW()-6)</f>
        <v>1037</v>
      </c>
      <c r="B1043" s="80" t="s">
        <v>110</v>
      </c>
      <c r="C1043" s="81" t="s">
        <v>1199</v>
      </c>
      <c r="D1043" s="81" t="n">
        <v>7</v>
      </c>
      <c r="E1043" s="81" t="s">
        <v>1232</v>
      </c>
      <c r="F1043" s="82" t="str">
        <f aca="false">IF(E1043="","",IF(LEFT(E1043,2)="DJ","DJ","JN"))</f>
        <v>DJ</v>
      </c>
      <c r="G1043" s="81"/>
      <c r="H1043" s="81" t="s">
        <v>871</v>
      </c>
      <c r="I1043" s="81" t="n">
        <v>9.53</v>
      </c>
      <c r="J1043" s="81" t="s">
        <v>872</v>
      </c>
      <c r="K1043" s="81" t="s">
        <v>873</v>
      </c>
      <c r="L1043" s="81" t="n">
        <v>2084540</v>
      </c>
      <c r="M1043" s="81" t="n">
        <v>15421106</v>
      </c>
      <c r="N1043" s="81" t="n">
        <v>11.94</v>
      </c>
      <c r="O1043" s="81" t="n">
        <v>2086440</v>
      </c>
      <c r="P1043" s="81" t="n">
        <v>15421107</v>
      </c>
      <c r="Q1043" s="81" t="n">
        <v>11.94</v>
      </c>
      <c r="R1043" s="81" t="s">
        <v>874</v>
      </c>
      <c r="S1043" s="81"/>
      <c r="T1043" s="81"/>
      <c r="U1043" s="83" t="n">
        <v>46280</v>
      </c>
      <c r="V1043" s="83" t="n">
        <v>46280</v>
      </c>
      <c r="W1043" s="81" t="s">
        <v>1089</v>
      </c>
      <c r="X1043" s="81" t="s">
        <v>876</v>
      </c>
      <c r="Y1043" s="83" t="n">
        <v>46281</v>
      </c>
      <c r="Z1043" s="81" t="s">
        <v>1090</v>
      </c>
      <c r="AA1043" s="81" t="s">
        <v>876</v>
      </c>
      <c r="AB1043" s="81"/>
      <c r="AC1043" s="81"/>
      <c r="AD1043" s="81"/>
      <c r="AE1043" s="83"/>
      <c r="AF1043" s="81"/>
      <c r="AG1043" s="81"/>
      <c r="AH1043" s="81"/>
      <c r="AI1043" s="81"/>
      <c r="AJ1043" s="83"/>
      <c r="AK1043" s="81"/>
      <c r="AL1043" s="81"/>
      <c r="AM1043" s="83"/>
      <c r="AN1043" s="80"/>
      <c r="AO1043" s="82" t="n">
        <f aca="false">IF(E1043="","",(AA1043&lt;&gt;"")+(AG1043&lt;&gt;"")+(AL1043&lt;&gt;""))</f>
        <v>1</v>
      </c>
      <c r="AP1043" s="82" t="str">
        <f aca="false">IF(AL1043&lt;&gt;"",AL1043,IF(AG1043&lt;&gt;"",AG1043,IF(AA1043&lt;&gt;"",AA1043,"")))</f>
        <v>A</v>
      </c>
      <c r="AQ1043" s="84" t="str">
        <f aca="false">IF(E1043="","",IF(U1043="","À SOUDER",IF(X1043="","VT EN ATTENTE",IF(X1043="R","VT REJETÉ – À REPRENDRE",IF(AP1043="","À RADIOGRAPHIER",IF(AP1043="A","ACCEPTÉ",IF(AP1043="NX","NX – RT À REFAIRE",IF(IF(AO1043=1,AD1043,IF(AO1043=2,AI1043,""))="A","RÉPARÉ – À RADIOGRAPHIER",IF(IF(AO1043=1,AD1043,IF(AO1043=2,AI1043,""))="R","VT REJETÉ – À REPRENDRE",IF(OR(AP1043="CO",AP1043="NT"),"COUPE – À RESOUDER","À RÉPARER"))))))))))</f>
        <v>ACCEPTÉ</v>
      </c>
      <c r="AR1043" s="82" t="str">
        <f aca="false">IF(AND(ISNUMBER(U1043),OR(AQ1043="À RADIOGRAPHIER",AQ1043="RÉPARÉ – À RADIOGRAPHIER",AQ1043="NX – RT À REFAIRE",AQ1043="À RÉPARER",AQ1043="COUPE – À RESOUDER",AQ1043="VT REJETÉ – À REPRENDRE")),MAX(0,'PROGRAMME RT'!$C$4-U1043),"")</f>
        <v/>
      </c>
      <c r="AS1043" s="82" t="n">
        <f aca="false">IF(AND(OR(AQ1043="À RADIOGRAPHIER",AQ1043="RÉPARÉ – À RADIOGRAPHIER",AQ1043="NX – RT À REFAIRE"),OR('PROGRAMME RT'!$D$5="TOUTES",B1043='PROGRAMME RT'!$D$5)),1,0)</f>
        <v>0</v>
      </c>
      <c r="AT1043" s="82" t="str">
        <f aca="false">IF(AS1043=1,SUM(AS$7:AS1043),"")</f>
        <v/>
      </c>
      <c r="AU1043" s="82" t="n">
        <f aca="false">IF(AND(OR(AA1043="R",AA1043="NX",AA1043="NT",AA1043="CO"),OR('JOINTS DE RÉPARATION'!$D$5="TOUTES",B1043='JOINTS DE RÉPARATION'!$D$5),OR('JOINTS DE RÉPARATION'!$L$4="TOUS",AQ1043&lt;&gt;"ACCEPTÉ")),1,0)</f>
        <v>0</v>
      </c>
      <c r="AV1043" s="82" t="str">
        <f aca="false">IF(AU1043=1,SUM(AU$7:AU1043),"")</f>
        <v/>
      </c>
      <c r="AW1043" s="82" t="str">
        <f aca="false">IF(E1043="","",B1043&amp;"|"&amp;E1043)</f>
        <v>MFD-ISW → MFD-CPF|DJ°407</v>
      </c>
    </row>
    <row r="1044" customFormat="false" ht="74.6" hidden="false" customHeight="false" outlineLevel="0" collapsed="false">
      <c r="A1044" s="79" t="n">
        <f aca="false">IF(E1044="","",ROW()-6)</f>
        <v>1038</v>
      </c>
      <c r="B1044" s="80" t="s">
        <v>110</v>
      </c>
      <c r="C1044" s="81" t="s">
        <v>1199</v>
      </c>
      <c r="D1044" s="81" t="n">
        <v>7</v>
      </c>
      <c r="E1044" s="81" t="s">
        <v>1233</v>
      </c>
      <c r="F1044" s="82" t="str">
        <f aca="false">IF(E1044="","",IF(LEFT(E1044,2)="DJ","DJ","JN"))</f>
        <v>JN</v>
      </c>
      <c r="G1044" s="81"/>
      <c r="H1044" s="81" t="s">
        <v>871</v>
      </c>
      <c r="I1044" s="81" t="n">
        <v>9.53</v>
      </c>
      <c r="J1044" s="81" t="s">
        <v>872</v>
      </c>
      <c r="K1044" s="81" t="s">
        <v>879</v>
      </c>
      <c r="L1044" s="81" t="n">
        <v>2086440</v>
      </c>
      <c r="M1044" s="81" t="n">
        <v>15421107</v>
      </c>
      <c r="N1044" s="81" t="n">
        <v>11.94</v>
      </c>
      <c r="O1044" s="81" t="n">
        <v>2087470</v>
      </c>
      <c r="P1044" s="81" t="n">
        <v>15421107</v>
      </c>
      <c r="Q1044" s="81" t="n">
        <v>11.94</v>
      </c>
      <c r="R1044" s="81" t="s">
        <v>1234</v>
      </c>
      <c r="S1044" s="81"/>
      <c r="T1044" s="81"/>
      <c r="U1044" s="83" t="n">
        <v>46283</v>
      </c>
      <c r="V1044" s="83" t="n">
        <v>46283</v>
      </c>
      <c r="W1044" s="81" t="s">
        <v>1235</v>
      </c>
      <c r="X1044" s="81" t="s">
        <v>876</v>
      </c>
      <c r="Y1044" s="83" t="n">
        <v>46287</v>
      </c>
      <c r="Z1044" s="81" t="s">
        <v>1236</v>
      </c>
      <c r="AA1044" s="81" t="s">
        <v>876</v>
      </c>
      <c r="AB1044" s="81"/>
      <c r="AC1044" s="81"/>
      <c r="AD1044" s="81"/>
      <c r="AE1044" s="83"/>
      <c r="AF1044" s="81"/>
      <c r="AG1044" s="81"/>
      <c r="AH1044" s="81"/>
      <c r="AI1044" s="81"/>
      <c r="AJ1044" s="83"/>
      <c r="AK1044" s="81"/>
      <c r="AL1044" s="81"/>
      <c r="AM1044" s="83"/>
      <c r="AN1044" s="80"/>
      <c r="AO1044" s="82" t="n">
        <f aca="false">IF(E1044="","",(AA1044&lt;&gt;"")+(AG1044&lt;&gt;"")+(AL1044&lt;&gt;""))</f>
        <v>1</v>
      </c>
      <c r="AP1044" s="82" t="str">
        <f aca="false">IF(AL1044&lt;&gt;"",AL1044,IF(AG1044&lt;&gt;"",AG1044,IF(AA1044&lt;&gt;"",AA1044,"")))</f>
        <v>A</v>
      </c>
      <c r="AQ1044" s="84" t="str">
        <f aca="false">IF(E1044="","",IF(U1044="","À SOUDER",IF(X1044="","VT EN ATTENTE",IF(X1044="R","VT REJETÉ – À REPRENDRE",IF(AP1044="","À RADIOGRAPHIER",IF(AP1044="A","ACCEPTÉ",IF(AP1044="NX","NX – RT À REFAIRE",IF(IF(AO1044=1,AD1044,IF(AO1044=2,AI1044,""))="A","RÉPARÉ – À RADIOGRAPHIER",IF(IF(AO1044=1,AD1044,IF(AO1044=2,AI1044,""))="R","VT REJETÉ – À REPRENDRE",IF(OR(AP1044="CO",AP1044="NT"),"COUPE – À RESOUDER","À RÉPARER"))))))))))</f>
        <v>ACCEPTÉ</v>
      </c>
      <c r="AR1044" s="82" t="str">
        <f aca="false">IF(AND(ISNUMBER(U1044),OR(AQ1044="À RADIOGRAPHIER",AQ1044="RÉPARÉ – À RADIOGRAPHIER",AQ1044="NX – RT À REFAIRE",AQ1044="À RÉPARER",AQ1044="COUPE – À RESOUDER",AQ1044="VT REJETÉ – À REPRENDRE")),MAX(0,'PROGRAMME RT'!$C$4-U1044),"")</f>
        <v/>
      </c>
      <c r="AS1044" s="82" t="n">
        <f aca="false">IF(AND(OR(AQ1044="À RADIOGRAPHIER",AQ1044="RÉPARÉ – À RADIOGRAPHIER",AQ1044="NX – RT À REFAIRE"),OR('PROGRAMME RT'!$D$5="TOUTES",B1044='PROGRAMME RT'!$D$5)),1,0)</f>
        <v>0</v>
      </c>
      <c r="AT1044" s="82" t="str">
        <f aca="false">IF(AS1044=1,SUM(AS$7:AS1044),"")</f>
        <v/>
      </c>
      <c r="AU1044" s="82" t="n">
        <f aca="false">IF(AND(OR(AA1044="R",AA1044="NX",AA1044="NT",AA1044="CO"),OR('JOINTS DE RÉPARATION'!$D$5="TOUTES",B1044='JOINTS DE RÉPARATION'!$D$5),OR('JOINTS DE RÉPARATION'!$L$4="TOUS",AQ1044&lt;&gt;"ACCEPTÉ")),1,0)</f>
        <v>0</v>
      </c>
      <c r="AV1044" s="82" t="str">
        <f aca="false">IF(AU1044=1,SUM(AU$7:AU1044),"")</f>
        <v/>
      </c>
      <c r="AW1044" s="82" t="str">
        <f aca="false">IF(E1044="","",B1044&amp;"|"&amp;E1044)</f>
        <v>MFD-ISW → MFD-CPF|JN°924</v>
      </c>
    </row>
    <row r="1045" customFormat="false" ht="74.6" hidden="false" customHeight="false" outlineLevel="0" collapsed="false">
      <c r="A1045" s="79" t="n">
        <f aca="false">IF(E1045="","",ROW()-6)</f>
        <v>1039</v>
      </c>
      <c r="B1045" s="80" t="s">
        <v>110</v>
      </c>
      <c r="C1045" s="81" t="s">
        <v>1199</v>
      </c>
      <c r="D1045" s="81" t="n">
        <v>7</v>
      </c>
      <c r="E1045" s="81" t="s">
        <v>1237</v>
      </c>
      <c r="F1045" s="82" t="str">
        <f aca="false">IF(E1045="","",IF(LEFT(E1045,2)="DJ","DJ","JN"))</f>
        <v>DJ</v>
      </c>
      <c r="G1045" s="81"/>
      <c r="H1045" s="81" t="s">
        <v>871</v>
      </c>
      <c r="I1045" s="81" t="n">
        <v>9.53</v>
      </c>
      <c r="J1045" s="81" t="s">
        <v>872</v>
      </c>
      <c r="K1045" s="81" t="s">
        <v>873</v>
      </c>
      <c r="L1045" s="81" t="n">
        <v>2087470</v>
      </c>
      <c r="M1045" s="81" t="n">
        <v>15421107</v>
      </c>
      <c r="N1045" s="81" t="n">
        <v>11.94</v>
      </c>
      <c r="O1045" s="81" t="n">
        <v>2087790</v>
      </c>
      <c r="P1045" s="81" t="n">
        <v>15421108</v>
      </c>
      <c r="Q1045" s="81" t="n">
        <v>11.94</v>
      </c>
      <c r="R1045" s="81" t="s">
        <v>920</v>
      </c>
      <c r="S1045" s="81"/>
      <c r="T1045" s="81"/>
      <c r="U1045" s="83" t="n">
        <v>46280</v>
      </c>
      <c r="V1045" s="83" t="n">
        <v>46280</v>
      </c>
      <c r="W1045" s="81" t="s">
        <v>1089</v>
      </c>
      <c r="X1045" s="81" t="s">
        <v>876</v>
      </c>
      <c r="Y1045" s="83" t="n">
        <v>46281</v>
      </c>
      <c r="Z1045" s="81" t="s">
        <v>1217</v>
      </c>
      <c r="AA1045" s="81" t="s">
        <v>876</v>
      </c>
      <c r="AB1045" s="81"/>
      <c r="AC1045" s="81"/>
      <c r="AD1045" s="81"/>
      <c r="AE1045" s="83"/>
      <c r="AF1045" s="81"/>
      <c r="AG1045" s="81"/>
      <c r="AH1045" s="81"/>
      <c r="AI1045" s="81"/>
      <c r="AJ1045" s="83"/>
      <c r="AK1045" s="81"/>
      <c r="AL1045" s="81"/>
      <c r="AM1045" s="83"/>
      <c r="AN1045" s="80"/>
      <c r="AO1045" s="82" t="n">
        <f aca="false">IF(E1045="","",(AA1045&lt;&gt;"")+(AG1045&lt;&gt;"")+(AL1045&lt;&gt;""))</f>
        <v>1</v>
      </c>
      <c r="AP1045" s="82" t="str">
        <f aca="false">IF(AL1045&lt;&gt;"",AL1045,IF(AG1045&lt;&gt;"",AG1045,IF(AA1045&lt;&gt;"",AA1045,"")))</f>
        <v>A</v>
      </c>
      <c r="AQ1045" s="84" t="str">
        <f aca="false">IF(E1045="","",IF(U1045="","À SOUDER",IF(X1045="","VT EN ATTENTE",IF(X1045="R","VT REJETÉ – À REPRENDRE",IF(AP1045="","À RADIOGRAPHIER",IF(AP1045="A","ACCEPTÉ",IF(AP1045="NX","NX – RT À REFAIRE",IF(IF(AO1045=1,AD1045,IF(AO1045=2,AI1045,""))="A","RÉPARÉ – À RADIOGRAPHIER",IF(IF(AO1045=1,AD1045,IF(AO1045=2,AI1045,""))="R","VT REJETÉ – À REPRENDRE",IF(OR(AP1045="CO",AP1045="NT"),"COUPE – À RESOUDER","À RÉPARER"))))))))))</f>
        <v>ACCEPTÉ</v>
      </c>
      <c r="AR1045" s="82" t="str">
        <f aca="false">IF(AND(ISNUMBER(U1045),OR(AQ1045="À RADIOGRAPHIER",AQ1045="RÉPARÉ – À RADIOGRAPHIER",AQ1045="NX – RT À REFAIRE",AQ1045="À RÉPARER",AQ1045="COUPE – À RESOUDER",AQ1045="VT REJETÉ – À REPRENDRE")),MAX(0,'PROGRAMME RT'!$C$4-U1045),"")</f>
        <v/>
      </c>
      <c r="AS1045" s="82" t="n">
        <f aca="false">IF(AND(OR(AQ1045="À RADIOGRAPHIER",AQ1045="RÉPARÉ – À RADIOGRAPHIER",AQ1045="NX – RT À REFAIRE"),OR('PROGRAMME RT'!$D$5="TOUTES",B1045='PROGRAMME RT'!$D$5)),1,0)</f>
        <v>0</v>
      </c>
      <c r="AT1045" s="82" t="str">
        <f aca="false">IF(AS1045=1,SUM(AS$7:AS1045),"")</f>
        <v/>
      </c>
      <c r="AU1045" s="82" t="n">
        <f aca="false">IF(AND(OR(AA1045="R",AA1045="NX",AA1045="NT",AA1045="CO"),OR('JOINTS DE RÉPARATION'!$D$5="TOUTES",B1045='JOINTS DE RÉPARATION'!$D$5),OR('JOINTS DE RÉPARATION'!$L$4="TOUS",AQ1045&lt;&gt;"ACCEPTÉ")),1,0)</f>
        <v>0</v>
      </c>
      <c r="AV1045" s="82" t="str">
        <f aca="false">IF(AU1045=1,SUM(AU$7:AU1045),"")</f>
        <v/>
      </c>
      <c r="AW1045" s="82" t="str">
        <f aca="false">IF(E1045="","",B1045&amp;"|"&amp;E1045)</f>
        <v>MFD-ISW → MFD-CPF|DJ°403</v>
      </c>
    </row>
    <row r="1046" customFormat="false" ht="74.6" hidden="false" customHeight="false" outlineLevel="0" collapsed="false">
      <c r="A1046" s="79" t="n">
        <f aca="false">IF(E1046="","",ROW()-6)</f>
        <v>1040</v>
      </c>
      <c r="B1046" s="80" t="s">
        <v>110</v>
      </c>
      <c r="C1046" s="81" t="s">
        <v>1199</v>
      </c>
      <c r="D1046" s="81" t="n">
        <v>7</v>
      </c>
      <c r="E1046" s="81" t="s">
        <v>1238</v>
      </c>
      <c r="F1046" s="82" t="str">
        <f aca="false">IF(E1046="","",IF(LEFT(E1046,2)="DJ","DJ","JN"))</f>
        <v>JN</v>
      </c>
      <c r="G1046" s="81"/>
      <c r="H1046" s="81" t="s">
        <v>871</v>
      </c>
      <c r="I1046" s="81" t="n">
        <v>9.53</v>
      </c>
      <c r="J1046" s="81" t="s">
        <v>872</v>
      </c>
      <c r="K1046" s="81" t="s">
        <v>879</v>
      </c>
      <c r="L1046" s="81" t="n">
        <v>2087790</v>
      </c>
      <c r="M1046" s="81" t="n">
        <v>15421108</v>
      </c>
      <c r="N1046" s="81" t="n">
        <v>11.94</v>
      </c>
      <c r="O1046" s="81" t="n">
        <v>2081880</v>
      </c>
      <c r="P1046" s="81" t="n">
        <v>15421104</v>
      </c>
      <c r="Q1046" s="81" t="n">
        <v>11.94</v>
      </c>
      <c r="R1046" s="81" t="s">
        <v>1234</v>
      </c>
      <c r="S1046" s="81"/>
      <c r="T1046" s="81"/>
      <c r="U1046" s="83" t="n">
        <v>46283</v>
      </c>
      <c r="V1046" s="83" t="n">
        <v>46283</v>
      </c>
      <c r="W1046" s="81" t="s">
        <v>1235</v>
      </c>
      <c r="X1046" s="81" t="s">
        <v>876</v>
      </c>
      <c r="Y1046" s="83" t="n">
        <v>46287</v>
      </c>
      <c r="Z1046" s="81" t="s">
        <v>1236</v>
      </c>
      <c r="AA1046" s="81" t="s">
        <v>876</v>
      </c>
      <c r="AB1046" s="81"/>
      <c r="AC1046" s="81"/>
      <c r="AD1046" s="81"/>
      <c r="AE1046" s="83"/>
      <c r="AF1046" s="81"/>
      <c r="AG1046" s="81"/>
      <c r="AH1046" s="81"/>
      <c r="AI1046" s="81"/>
      <c r="AJ1046" s="83"/>
      <c r="AK1046" s="81"/>
      <c r="AL1046" s="81"/>
      <c r="AM1046" s="83"/>
      <c r="AN1046" s="80"/>
      <c r="AO1046" s="82" t="n">
        <f aca="false">IF(E1046="","",(AA1046&lt;&gt;"")+(AG1046&lt;&gt;"")+(AL1046&lt;&gt;""))</f>
        <v>1</v>
      </c>
      <c r="AP1046" s="82" t="str">
        <f aca="false">IF(AL1046&lt;&gt;"",AL1046,IF(AG1046&lt;&gt;"",AG1046,IF(AA1046&lt;&gt;"",AA1046,"")))</f>
        <v>A</v>
      </c>
      <c r="AQ1046" s="84" t="str">
        <f aca="false">IF(E1046="","",IF(U1046="","À SOUDER",IF(X1046="","VT EN ATTENTE",IF(X1046="R","VT REJETÉ – À REPRENDRE",IF(AP1046="","À RADIOGRAPHIER",IF(AP1046="A","ACCEPTÉ",IF(AP1046="NX","NX – RT À REFAIRE",IF(IF(AO1046=1,AD1046,IF(AO1046=2,AI1046,""))="A","RÉPARÉ – À RADIOGRAPHIER",IF(IF(AO1046=1,AD1046,IF(AO1046=2,AI1046,""))="R","VT REJETÉ – À REPRENDRE",IF(OR(AP1046="CO",AP1046="NT"),"COUPE – À RESOUDER","À RÉPARER"))))))))))</f>
        <v>ACCEPTÉ</v>
      </c>
      <c r="AR1046" s="82" t="str">
        <f aca="false">IF(AND(ISNUMBER(U1046),OR(AQ1046="À RADIOGRAPHIER",AQ1046="RÉPARÉ – À RADIOGRAPHIER",AQ1046="NX – RT À REFAIRE",AQ1046="À RÉPARER",AQ1046="COUPE – À RESOUDER",AQ1046="VT REJETÉ – À REPRENDRE")),MAX(0,'PROGRAMME RT'!$C$4-U1046),"")</f>
        <v/>
      </c>
      <c r="AS1046" s="82" t="n">
        <f aca="false">IF(AND(OR(AQ1046="À RADIOGRAPHIER",AQ1046="RÉPARÉ – À RADIOGRAPHIER",AQ1046="NX – RT À REFAIRE"),OR('PROGRAMME RT'!$D$5="TOUTES",B1046='PROGRAMME RT'!$D$5)),1,0)</f>
        <v>0</v>
      </c>
      <c r="AT1046" s="82" t="str">
        <f aca="false">IF(AS1046=1,SUM(AS$7:AS1046),"")</f>
        <v/>
      </c>
      <c r="AU1046" s="82" t="n">
        <f aca="false">IF(AND(OR(AA1046="R",AA1046="NX",AA1046="NT",AA1046="CO"),OR('JOINTS DE RÉPARATION'!$D$5="TOUTES",B1046='JOINTS DE RÉPARATION'!$D$5),OR('JOINTS DE RÉPARATION'!$L$4="TOUS",AQ1046&lt;&gt;"ACCEPTÉ")),1,0)</f>
        <v>0</v>
      </c>
      <c r="AV1046" s="82" t="str">
        <f aca="false">IF(AU1046=1,SUM(AU$7:AU1046),"")</f>
        <v/>
      </c>
      <c r="AW1046" s="82" t="str">
        <f aca="false">IF(E1046="","",B1046&amp;"|"&amp;E1046)</f>
        <v>MFD-ISW → MFD-CPF|JN°925</v>
      </c>
    </row>
    <row r="1047" customFormat="false" ht="74.6" hidden="false" customHeight="false" outlineLevel="0" collapsed="false">
      <c r="A1047" s="79" t="n">
        <f aca="false">IF(E1047="","",ROW()-6)</f>
        <v>1041</v>
      </c>
      <c r="B1047" s="80" t="s">
        <v>110</v>
      </c>
      <c r="C1047" s="81" t="s">
        <v>1199</v>
      </c>
      <c r="D1047" s="81" t="n">
        <v>7</v>
      </c>
      <c r="E1047" s="81" t="s">
        <v>1239</v>
      </c>
      <c r="F1047" s="82" t="str">
        <f aca="false">IF(E1047="","",IF(LEFT(E1047,2)="DJ","DJ","JN"))</f>
        <v>DJ</v>
      </c>
      <c r="G1047" s="81"/>
      <c r="H1047" s="81" t="s">
        <v>871</v>
      </c>
      <c r="I1047" s="81" t="n">
        <v>9.53</v>
      </c>
      <c r="J1047" s="81" t="s">
        <v>872</v>
      </c>
      <c r="K1047" s="81" t="s">
        <v>873</v>
      </c>
      <c r="L1047" s="81" t="n">
        <v>2081880</v>
      </c>
      <c r="M1047" s="81" t="n">
        <v>15421104</v>
      </c>
      <c r="N1047" s="81" t="n">
        <v>11.94</v>
      </c>
      <c r="O1047" s="81" t="n">
        <v>2095680</v>
      </c>
      <c r="P1047" s="81" t="n">
        <v>15421111</v>
      </c>
      <c r="Q1047" s="81" t="n">
        <v>11.94</v>
      </c>
      <c r="R1047" s="81" t="s">
        <v>874</v>
      </c>
      <c r="S1047" s="81"/>
      <c r="T1047" s="81"/>
      <c r="U1047" s="83" t="n">
        <v>46280</v>
      </c>
      <c r="V1047" s="83" t="n">
        <v>46280</v>
      </c>
      <c r="W1047" s="81" t="s">
        <v>1089</v>
      </c>
      <c r="X1047" s="81" t="s">
        <v>876</v>
      </c>
      <c r="Y1047" s="83" t="n">
        <v>46281</v>
      </c>
      <c r="Z1047" s="81" t="s">
        <v>1217</v>
      </c>
      <c r="AA1047" s="81" t="s">
        <v>876</v>
      </c>
      <c r="AB1047" s="81"/>
      <c r="AC1047" s="81"/>
      <c r="AD1047" s="81"/>
      <c r="AE1047" s="83"/>
      <c r="AF1047" s="81"/>
      <c r="AG1047" s="81"/>
      <c r="AH1047" s="81"/>
      <c r="AI1047" s="81"/>
      <c r="AJ1047" s="83"/>
      <c r="AK1047" s="81"/>
      <c r="AL1047" s="81"/>
      <c r="AM1047" s="83"/>
      <c r="AN1047" s="80"/>
      <c r="AO1047" s="82" t="n">
        <f aca="false">IF(E1047="","",(AA1047&lt;&gt;"")+(AG1047&lt;&gt;"")+(AL1047&lt;&gt;""))</f>
        <v>1</v>
      </c>
      <c r="AP1047" s="82" t="str">
        <f aca="false">IF(AL1047&lt;&gt;"",AL1047,IF(AG1047&lt;&gt;"",AG1047,IF(AA1047&lt;&gt;"",AA1047,"")))</f>
        <v>A</v>
      </c>
      <c r="AQ1047" s="84" t="str">
        <f aca="false">IF(E1047="","",IF(U1047="","À SOUDER",IF(X1047="","VT EN ATTENTE",IF(X1047="R","VT REJETÉ – À REPRENDRE",IF(AP1047="","À RADIOGRAPHIER",IF(AP1047="A","ACCEPTÉ",IF(AP1047="NX","NX – RT À REFAIRE",IF(IF(AO1047=1,AD1047,IF(AO1047=2,AI1047,""))="A","RÉPARÉ – À RADIOGRAPHIER",IF(IF(AO1047=1,AD1047,IF(AO1047=2,AI1047,""))="R","VT REJETÉ – À REPRENDRE",IF(OR(AP1047="CO",AP1047="NT"),"COUPE – À RESOUDER","À RÉPARER"))))))))))</f>
        <v>ACCEPTÉ</v>
      </c>
      <c r="AR1047" s="82" t="str">
        <f aca="false">IF(AND(ISNUMBER(U1047),OR(AQ1047="À RADIOGRAPHIER",AQ1047="RÉPARÉ – À RADIOGRAPHIER",AQ1047="NX – RT À REFAIRE",AQ1047="À RÉPARER",AQ1047="COUPE – À RESOUDER",AQ1047="VT REJETÉ – À REPRENDRE")),MAX(0,'PROGRAMME RT'!$C$4-U1047),"")</f>
        <v/>
      </c>
      <c r="AS1047" s="82" t="n">
        <f aca="false">IF(AND(OR(AQ1047="À RADIOGRAPHIER",AQ1047="RÉPARÉ – À RADIOGRAPHIER",AQ1047="NX – RT À REFAIRE"),OR('PROGRAMME RT'!$D$5="TOUTES",B1047='PROGRAMME RT'!$D$5)),1,0)</f>
        <v>0</v>
      </c>
      <c r="AT1047" s="82" t="str">
        <f aca="false">IF(AS1047=1,SUM(AS$7:AS1047),"")</f>
        <v/>
      </c>
      <c r="AU1047" s="82" t="n">
        <f aca="false">IF(AND(OR(AA1047="R",AA1047="NX",AA1047="NT",AA1047="CO"),OR('JOINTS DE RÉPARATION'!$D$5="TOUTES",B1047='JOINTS DE RÉPARATION'!$D$5),OR('JOINTS DE RÉPARATION'!$L$4="TOUS",AQ1047&lt;&gt;"ACCEPTÉ")),1,0)</f>
        <v>0</v>
      </c>
      <c r="AV1047" s="82" t="str">
        <f aca="false">IF(AU1047=1,SUM(AU$7:AU1047),"")</f>
        <v/>
      </c>
      <c r="AW1047" s="82" t="str">
        <f aca="false">IF(E1047="","",B1047&amp;"|"&amp;E1047)</f>
        <v>MFD-ISW → MFD-CPF|DJ°404</v>
      </c>
    </row>
    <row r="1048" customFormat="false" ht="74.6" hidden="false" customHeight="false" outlineLevel="0" collapsed="false">
      <c r="A1048" s="79" t="n">
        <f aca="false">IF(E1048="","",ROW()-6)</f>
        <v>1042</v>
      </c>
      <c r="B1048" s="80" t="s">
        <v>110</v>
      </c>
      <c r="C1048" s="81" t="s">
        <v>1199</v>
      </c>
      <c r="D1048" s="81" t="n">
        <v>7</v>
      </c>
      <c r="E1048" s="81" t="s">
        <v>1240</v>
      </c>
      <c r="F1048" s="82" t="str">
        <f aca="false">IF(E1048="","",IF(LEFT(E1048,2)="DJ","DJ","JN"))</f>
        <v>JN</v>
      </c>
      <c r="G1048" s="81"/>
      <c r="H1048" s="81" t="s">
        <v>871</v>
      </c>
      <c r="I1048" s="81" t="n">
        <v>9.53</v>
      </c>
      <c r="J1048" s="81" t="s">
        <v>872</v>
      </c>
      <c r="K1048" s="81" t="s">
        <v>879</v>
      </c>
      <c r="L1048" s="81" t="n">
        <v>2095680</v>
      </c>
      <c r="M1048" s="81" t="n">
        <v>15421111</v>
      </c>
      <c r="N1048" s="81" t="n">
        <v>11.94</v>
      </c>
      <c r="O1048" s="81" t="n">
        <v>2088480</v>
      </c>
      <c r="P1048" s="81" t="n">
        <v>15421108</v>
      </c>
      <c r="Q1048" s="81" t="n">
        <v>11.94</v>
      </c>
      <c r="R1048" s="81" t="s">
        <v>1234</v>
      </c>
      <c r="S1048" s="81"/>
      <c r="T1048" s="81"/>
      <c r="U1048" s="83" t="n">
        <v>46283</v>
      </c>
      <c r="V1048" s="83" t="n">
        <v>46283</v>
      </c>
      <c r="W1048" s="81" t="s">
        <v>1235</v>
      </c>
      <c r="X1048" s="81" t="s">
        <v>876</v>
      </c>
      <c r="Y1048" s="83" t="n">
        <v>46287</v>
      </c>
      <c r="Z1048" s="81" t="s">
        <v>1236</v>
      </c>
      <c r="AA1048" s="81" t="s">
        <v>1073</v>
      </c>
      <c r="AB1048" s="81" t="s">
        <v>1241</v>
      </c>
      <c r="AC1048" s="81"/>
      <c r="AD1048" s="81"/>
      <c r="AE1048" s="83"/>
      <c r="AF1048" s="81"/>
      <c r="AG1048" s="81"/>
      <c r="AH1048" s="81"/>
      <c r="AI1048" s="81"/>
      <c r="AJ1048" s="83"/>
      <c r="AK1048" s="81"/>
      <c r="AL1048" s="81"/>
      <c r="AM1048" s="83"/>
      <c r="AN1048" s="80"/>
      <c r="AO1048" s="82" t="n">
        <f aca="false">IF(E1048="","",(AA1048&lt;&gt;"")+(AG1048&lt;&gt;"")+(AL1048&lt;&gt;""))</f>
        <v>1</v>
      </c>
      <c r="AP1048" s="82" t="str">
        <f aca="false">IF(AL1048&lt;&gt;"",AL1048,IF(AG1048&lt;&gt;"",AG1048,IF(AA1048&lt;&gt;"",AA1048,"")))</f>
        <v>R</v>
      </c>
      <c r="AQ1048" s="84" t="str">
        <f aca="false">IF(E1048="","",IF(U1048="","À SOUDER",IF(X1048="","VT EN ATTENTE",IF(X1048="R","VT REJETÉ – À REPRENDRE",IF(AP1048="","À RADIOGRAPHIER",IF(AP1048="A","ACCEPTÉ",IF(AP1048="NX","NX – RT À REFAIRE",IF(IF(AO1048=1,AD1048,IF(AO1048=2,AI1048,""))="A","RÉPARÉ – À RADIOGRAPHIER",IF(IF(AO1048=1,AD1048,IF(AO1048=2,AI1048,""))="R","VT REJETÉ – À REPRENDRE",IF(OR(AP1048="CO",AP1048="NT"),"COUPE – À RESOUDER","À RÉPARER"))))))))))</f>
        <v>À RÉPARER</v>
      </c>
      <c r="AR1048" s="82" t="n">
        <f aca="false">IF(AND(ISNUMBER(U1048),OR(AQ1048="À RADIOGRAPHIER",AQ1048="RÉPARÉ – À RADIOGRAPHIER",AQ1048="NX – RT À REFAIRE",AQ1048="À RÉPARER",AQ1048="COUPE – À RESOUDER",AQ1048="VT REJETÉ – À REPRENDRE")),MAX(0,'PROGRAMME RT'!$C$4-U1048),"")</f>
        <v>10</v>
      </c>
      <c r="AS1048" s="82" t="n">
        <f aca="false">IF(AND(OR(AQ1048="À RADIOGRAPHIER",AQ1048="RÉPARÉ – À RADIOGRAPHIER",AQ1048="NX – RT À REFAIRE"),OR('PROGRAMME RT'!$D$5="TOUTES",B1048='PROGRAMME RT'!$D$5)),1,0)</f>
        <v>0</v>
      </c>
      <c r="AT1048" s="82" t="str">
        <f aca="false">IF(AS1048=1,SUM(AS$7:AS1048),"")</f>
        <v/>
      </c>
      <c r="AU1048" s="82" t="n">
        <f aca="false">IF(AND(OR(AA1048="R",AA1048="NX",AA1048="NT",AA1048="CO"),OR('JOINTS DE RÉPARATION'!$D$5="TOUTES",B1048='JOINTS DE RÉPARATION'!$D$5),OR('JOINTS DE RÉPARATION'!$L$4="TOUS",AQ1048&lt;&gt;"ACCEPTÉ")),1,0)</f>
        <v>1</v>
      </c>
      <c r="AV1048" s="82" t="n">
        <f aca="false">IF(AU1048=1,SUM(AU$7:AU1048),"")</f>
        <v>11</v>
      </c>
      <c r="AW1048" s="82" t="str">
        <f aca="false">IF(E1048="","",B1048&amp;"|"&amp;E1048)</f>
        <v>MFD-ISW → MFD-CPF|JN°926</v>
      </c>
    </row>
    <row r="1049" customFormat="false" ht="74.6" hidden="false" customHeight="false" outlineLevel="0" collapsed="false">
      <c r="A1049" s="79" t="n">
        <f aca="false">IF(E1049="","",ROW()-6)</f>
        <v>1043</v>
      </c>
      <c r="B1049" s="80" t="s">
        <v>110</v>
      </c>
      <c r="C1049" s="81" t="s">
        <v>1199</v>
      </c>
      <c r="D1049" s="81" t="n">
        <v>7</v>
      </c>
      <c r="E1049" s="81" t="s">
        <v>1242</v>
      </c>
      <c r="F1049" s="82" t="str">
        <f aca="false">IF(E1049="","",IF(LEFT(E1049,2)="DJ","DJ","JN"))</f>
        <v>DJ</v>
      </c>
      <c r="G1049" s="81"/>
      <c r="H1049" s="81" t="s">
        <v>871</v>
      </c>
      <c r="I1049" s="81" t="n">
        <v>9.53</v>
      </c>
      <c r="J1049" s="81" t="s">
        <v>872</v>
      </c>
      <c r="K1049" s="81" t="s">
        <v>873</v>
      </c>
      <c r="L1049" s="81" t="n">
        <v>2088480</v>
      </c>
      <c r="M1049" s="81" t="n">
        <v>15421108</v>
      </c>
      <c r="N1049" s="81" t="n">
        <v>11.94</v>
      </c>
      <c r="O1049" s="81" t="n">
        <v>2097010</v>
      </c>
      <c r="P1049" s="81" t="n">
        <v>15421111</v>
      </c>
      <c r="Q1049" s="81" t="n">
        <v>11.94</v>
      </c>
      <c r="R1049" s="81" t="s">
        <v>874</v>
      </c>
      <c r="S1049" s="81"/>
      <c r="T1049" s="81"/>
      <c r="U1049" s="83" t="n">
        <v>46280</v>
      </c>
      <c r="V1049" s="83" t="n">
        <v>46280</v>
      </c>
      <c r="W1049" s="81" t="s">
        <v>1089</v>
      </c>
      <c r="X1049" s="81" t="s">
        <v>876</v>
      </c>
      <c r="Y1049" s="83" t="n">
        <v>46281</v>
      </c>
      <c r="Z1049" s="81" t="s">
        <v>1217</v>
      </c>
      <c r="AA1049" s="81" t="s">
        <v>876</v>
      </c>
      <c r="AB1049" s="81"/>
      <c r="AC1049" s="81"/>
      <c r="AD1049" s="81"/>
      <c r="AE1049" s="83"/>
      <c r="AF1049" s="81"/>
      <c r="AG1049" s="81"/>
      <c r="AH1049" s="81"/>
      <c r="AI1049" s="81"/>
      <c r="AJ1049" s="83"/>
      <c r="AK1049" s="81"/>
      <c r="AL1049" s="81"/>
      <c r="AM1049" s="83"/>
      <c r="AN1049" s="80"/>
      <c r="AO1049" s="82" t="n">
        <f aca="false">IF(E1049="","",(AA1049&lt;&gt;"")+(AG1049&lt;&gt;"")+(AL1049&lt;&gt;""))</f>
        <v>1</v>
      </c>
      <c r="AP1049" s="82" t="str">
        <f aca="false">IF(AL1049&lt;&gt;"",AL1049,IF(AG1049&lt;&gt;"",AG1049,IF(AA1049&lt;&gt;"",AA1049,"")))</f>
        <v>A</v>
      </c>
      <c r="AQ1049" s="84" t="str">
        <f aca="false">IF(E1049="","",IF(U1049="","À SOUDER",IF(X1049="","VT EN ATTENTE",IF(X1049="R","VT REJETÉ – À REPRENDRE",IF(AP1049="","À RADIOGRAPHIER",IF(AP1049="A","ACCEPTÉ",IF(AP1049="NX","NX – RT À REFAIRE",IF(IF(AO1049=1,AD1049,IF(AO1049=2,AI1049,""))="A","RÉPARÉ – À RADIOGRAPHIER",IF(IF(AO1049=1,AD1049,IF(AO1049=2,AI1049,""))="R","VT REJETÉ – À REPRENDRE",IF(OR(AP1049="CO",AP1049="NT"),"COUPE – À RESOUDER","À RÉPARER"))))))))))</f>
        <v>ACCEPTÉ</v>
      </c>
      <c r="AR1049" s="82" t="str">
        <f aca="false">IF(AND(ISNUMBER(U1049),OR(AQ1049="À RADIOGRAPHIER",AQ1049="RÉPARÉ – À RADIOGRAPHIER",AQ1049="NX – RT À REFAIRE",AQ1049="À RÉPARER",AQ1049="COUPE – À RESOUDER",AQ1049="VT REJETÉ – À REPRENDRE")),MAX(0,'PROGRAMME RT'!$C$4-U1049),"")</f>
        <v/>
      </c>
      <c r="AS1049" s="82" t="n">
        <f aca="false">IF(AND(OR(AQ1049="À RADIOGRAPHIER",AQ1049="RÉPARÉ – À RADIOGRAPHIER",AQ1049="NX – RT À REFAIRE"),OR('PROGRAMME RT'!$D$5="TOUTES",B1049='PROGRAMME RT'!$D$5)),1,0)</f>
        <v>0</v>
      </c>
      <c r="AT1049" s="82" t="str">
        <f aca="false">IF(AS1049=1,SUM(AS$7:AS1049),"")</f>
        <v/>
      </c>
      <c r="AU1049" s="82" t="n">
        <f aca="false">IF(AND(OR(AA1049="R",AA1049="NX",AA1049="NT",AA1049="CO"),OR('JOINTS DE RÉPARATION'!$D$5="TOUTES",B1049='JOINTS DE RÉPARATION'!$D$5),OR('JOINTS DE RÉPARATION'!$L$4="TOUS",AQ1049&lt;&gt;"ACCEPTÉ")),1,0)</f>
        <v>0</v>
      </c>
      <c r="AV1049" s="82" t="str">
        <f aca="false">IF(AU1049=1,SUM(AU$7:AU1049),"")</f>
        <v/>
      </c>
      <c r="AW1049" s="82" t="str">
        <f aca="false">IF(E1049="","",B1049&amp;"|"&amp;E1049)</f>
        <v>MFD-ISW → MFD-CPF|DJ°405</v>
      </c>
    </row>
    <row r="1050" customFormat="false" ht="74.6" hidden="false" customHeight="false" outlineLevel="0" collapsed="false">
      <c r="A1050" s="79" t="n">
        <f aca="false">IF(E1050="","",ROW()-6)</f>
        <v>1044</v>
      </c>
      <c r="B1050" s="80" t="s">
        <v>110</v>
      </c>
      <c r="C1050" s="81" t="s">
        <v>1199</v>
      </c>
      <c r="D1050" s="81" t="n">
        <v>7</v>
      </c>
      <c r="E1050" s="81" t="s">
        <v>1243</v>
      </c>
      <c r="F1050" s="82" t="str">
        <f aca="false">IF(E1050="","",IF(LEFT(E1050,2)="DJ","DJ","JN"))</f>
        <v>JN</v>
      </c>
      <c r="G1050" s="81"/>
      <c r="H1050" s="81" t="s">
        <v>871</v>
      </c>
      <c r="I1050" s="81" t="n">
        <v>9.53</v>
      </c>
      <c r="J1050" s="81" t="s">
        <v>872</v>
      </c>
      <c r="K1050" s="81" t="s">
        <v>879</v>
      </c>
      <c r="L1050" s="81" t="n">
        <v>2097010</v>
      </c>
      <c r="M1050" s="81" t="n">
        <v>15421111</v>
      </c>
      <c r="N1050" s="81" t="n">
        <v>11.94</v>
      </c>
      <c r="O1050" s="81" t="n">
        <v>2087300</v>
      </c>
      <c r="P1050" s="81" t="n">
        <v>15421107</v>
      </c>
      <c r="Q1050" s="81" t="n">
        <v>11.94</v>
      </c>
      <c r="R1050" s="81" t="s">
        <v>1244</v>
      </c>
      <c r="S1050" s="81"/>
      <c r="T1050" s="81"/>
      <c r="U1050" s="83" t="n">
        <v>46282</v>
      </c>
      <c r="V1050" s="83" t="n">
        <v>46283</v>
      </c>
      <c r="W1050" s="81" t="s">
        <v>1245</v>
      </c>
      <c r="X1050" s="81" t="s">
        <v>876</v>
      </c>
      <c r="Y1050" s="83" t="n">
        <v>46287</v>
      </c>
      <c r="Z1050" s="81" t="s">
        <v>1236</v>
      </c>
      <c r="AA1050" s="81" t="s">
        <v>1073</v>
      </c>
      <c r="AB1050" s="81" t="s">
        <v>1246</v>
      </c>
      <c r="AC1050" s="81"/>
      <c r="AD1050" s="81"/>
      <c r="AE1050" s="83"/>
      <c r="AF1050" s="81"/>
      <c r="AG1050" s="81"/>
      <c r="AH1050" s="81"/>
      <c r="AI1050" s="81"/>
      <c r="AJ1050" s="83"/>
      <c r="AK1050" s="81"/>
      <c r="AL1050" s="81"/>
      <c r="AM1050" s="83"/>
      <c r="AN1050" s="80"/>
      <c r="AO1050" s="82" t="n">
        <f aca="false">IF(E1050="","",(AA1050&lt;&gt;"")+(AG1050&lt;&gt;"")+(AL1050&lt;&gt;""))</f>
        <v>1</v>
      </c>
      <c r="AP1050" s="82" t="str">
        <f aca="false">IF(AL1050&lt;&gt;"",AL1050,IF(AG1050&lt;&gt;"",AG1050,IF(AA1050&lt;&gt;"",AA1050,"")))</f>
        <v>R</v>
      </c>
      <c r="AQ1050" s="84" t="str">
        <f aca="false">IF(E1050="","",IF(U1050="","À SOUDER",IF(X1050="","VT EN ATTENTE",IF(X1050="R","VT REJETÉ – À REPRENDRE",IF(AP1050="","À RADIOGRAPHIER",IF(AP1050="A","ACCEPTÉ",IF(AP1050="NX","NX – RT À REFAIRE",IF(IF(AO1050=1,AD1050,IF(AO1050=2,AI1050,""))="A","RÉPARÉ – À RADIOGRAPHIER",IF(IF(AO1050=1,AD1050,IF(AO1050=2,AI1050,""))="R","VT REJETÉ – À REPRENDRE",IF(OR(AP1050="CO",AP1050="NT"),"COUPE – À RESOUDER","À RÉPARER"))))))))))</f>
        <v>À RÉPARER</v>
      </c>
      <c r="AR1050" s="82" t="n">
        <f aca="false">IF(AND(ISNUMBER(U1050),OR(AQ1050="À RADIOGRAPHIER",AQ1050="RÉPARÉ – À RADIOGRAPHIER",AQ1050="NX – RT À REFAIRE",AQ1050="À RÉPARER",AQ1050="COUPE – À RESOUDER",AQ1050="VT REJETÉ – À REPRENDRE")),MAX(0,'PROGRAMME RT'!$C$4-U1050),"")</f>
        <v>11</v>
      </c>
      <c r="AS1050" s="82" t="n">
        <f aca="false">IF(AND(OR(AQ1050="À RADIOGRAPHIER",AQ1050="RÉPARÉ – À RADIOGRAPHIER",AQ1050="NX – RT À REFAIRE"),OR('PROGRAMME RT'!$D$5="TOUTES",B1050='PROGRAMME RT'!$D$5)),1,0)</f>
        <v>0</v>
      </c>
      <c r="AT1050" s="82" t="str">
        <f aca="false">IF(AS1050=1,SUM(AS$7:AS1050),"")</f>
        <v/>
      </c>
      <c r="AU1050" s="82" t="n">
        <f aca="false">IF(AND(OR(AA1050="R",AA1050="NX",AA1050="NT",AA1050="CO"),OR('JOINTS DE RÉPARATION'!$D$5="TOUTES",B1050='JOINTS DE RÉPARATION'!$D$5),OR('JOINTS DE RÉPARATION'!$L$4="TOUS",AQ1050&lt;&gt;"ACCEPTÉ")),1,0)</f>
        <v>1</v>
      </c>
      <c r="AV1050" s="82" t="n">
        <f aca="false">IF(AU1050=1,SUM(AU$7:AU1050),"")</f>
        <v>12</v>
      </c>
      <c r="AW1050" s="82" t="str">
        <f aca="false">IF(E1050="","",B1050&amp;"|"&amp;E1050)</f>
        <v>MFD-ISW → MFD-CPF|JN°927</v>
      </c>
    </row>
    <row r="1051" customFormat="false" ht="74.6" hidden="false" customHeight="false" outlineLevel="0" collapsed="false">
      <c r="A1051" s="79" t="n">
        <f aca="false">IF(E1051="","",ROW()-6)</f>
        <v>1045</v>
      </c>
      <c r="B1051" s="80" t="s">
        <v>110</v>
      </c>
      <c r="C1051" s="81" t="s">
        <v>1199</v>
      </c>
      <c r="D1051" s="81" t="n">
        <v>7</v>
      </c>
      <c r="E1051" s="81" t="s">
        <v>1247</v>
      </c>
      <c r="F1051" s="82" t="str">
        <f aca="false">IF(E1051="","",IF(LEFT(E1051,2)="DJ","DJ","JN"))</f>
        <v>DJ</v>
      </c>
      <c r="G1051" s="81"/>
      <c r="H1051" s="81" t="s">
        <v>871</v>
      </c>
      <c r="I1051" s="81" t="n">
        <v>9.53</v>
      </c>
      <c r="J1051" s="81" t="s">
        <v>872</v>
      </c>
      <c r="K1051" s="81" t="s">
        <v>873</v>
      </c>
      <c r="L1051" s="81" t="n">
        <v>2087300</v>
      </c>
      <c r="M1051" s="81" t="n">
        <v>15421107</v>
      </c>
      <c r="N1051" s="81" t="n">
        <v>11.94</v>
      </c>
      <c r="O1051" s="81" t="n">
        <v>2091440</v>
      </c>
      <c r="P1051" s="81" t="n">
        <v>15421109</v>
      </c>
      <c r="Q1051" s="81" t="n">
        <v>11.94</v>
      </c>
      <c r="R1051" s="81" t="s">
        <v>1147</v>
      </c>
      <c r="S1051" s="81"/>
      <c r="T1051" s="81"/>
      <c r="U1051" s="83" t="n">
        <v>46280</v>
      </c>
      <c r="V1051" s="83" t="n">
        <v>46280</v>
      </c>
      <c r="W1051" s="81" t="s">
        <v>1089</v>
      </c>
      <c r="X1051" s="81" t="s">
        <v>876</v>
      </c>
      <c r="Y1051" s="83" t="n">
        <v>46281</v>
      </c>
      <c r="Z1051" s="81" t="s">
        <v>1217</v>
      </c>
      <c r="AA1051" s="81" t="s">
        <v>876</v>
      </c>
      <c r="AB1051" s="81"/>
      <c r="AC1051" s="81"/>
      <c r="AD1051" s="81"/>
      <c r="AE1051" s="83"/>
      <c r="AF1051" s="81"/>
      <c r="AG1051" s="81"/>
      <c r="AH1051" s="81"/>
      <c r="AI1051" s="81"/>
      <c r="AJ1051" s="83"/>
      <c r="AK1051" s="81"/>
      <c r="AL1051" s="81"/>
      <c r="AM1051" s="83"/>
      <c r="AN1051" s="80"/>
      <c r="AO1051" s="82" t="n">
        <f aca="false">IF(E1051="","",(AA1051&lt;&gt;"")+(AG1051&lt;&gt;"")+(AL1051&lt;&gt;""))</f>
        <v>1</v>
      </c>
      <c r="AP1051" s="82" t="str">
        <f aca="false">IF(AL1051&lt;&gt;"",AL1051,IF(AG1051&lt;&gt;"",AG1051,IF(AA1051&lt;&gt;"",AA1051,"")))</f>
        <v>A</v>
      </c>
      <c r="AQ1051" s="84" t="str">
        <f aca="false">IF(E1051="","",IF(U1051="","À SOUDER",IF(X1051="","VT EN ATTENTE",IF(X1051="R","VT REJETÉ – À REPRENDRE",IF(AP1051="","À RADIOGRAPHIER",IF(AP1051="A","ACCEPTÉ",IF(AP1051="NX","NX – RT À REFAIRE",IF(IF(AO1051=1,AD1051,IF(AO1051=2,AI1051,""))="A","RÉPARÉ – À RADIOGRAPHIER",IF(IF(AO1051=1,AD1051,IF(AO1051=2,AI1051,""))="R","VT REJETÉ – À REPRENDRE",IF(OR(AP1051="CO",AP1051="NT"),"COUPE – À RESOUDER","À RÉPARER"))))))))))</f>
        <v>ACCEPTÉ</v>
      </c>
      <c r="AR1051" s="82" t="str">
        <f aca="false">IF(AND(ISNUMBER(U1051),OR(AQ1051="À RADIOGRAPHIER",AQ1051="RÉPARÉ – À RADIOGRAPHIER",AQ1051="NX – RT À REFAIRE",AQ1051="À RÉPARER",AQ1051="COUPE – À RESOUDER",AQ1051="VT REJETÉ – À REPRENDRE")),MAX(0,'PROGRAMME RT'!$C$4-U1051),"")</f>
        <v/>
      </c>
      <c r="AS1051" s="82" t="n">
        <f aca="false">IF(AND(OR(AQ1051="À RADIOGRAPHIER",AQ1051="RÉPARÉ – À RADIOGRAPHIER",AQ1051="NX – RT À REFAIRE"),OR('PROGRAMME RT'!$D$5="TOUTES",B1051='PROGRAMME RT'!$D$5)),1,0)</f>
        <v>0</v>
      </c>
      <c r="AT1051" s="82" t="str">
        <f aca="false">IF(AS1051=1,SUM(AS$7:AS1051),"")</f>
        <v/>
      </c>
      <c r="AU1051" s="82" t="n">
        <f aca="false">IF(AND(OR(AA1051="R",AA1051="NX",AA1051="NT",AA1051="CO"),OR('JOINTS DE RÉPARATION'!$D$5="TOUTES",B1051='JOINTS DE RÉPARATION'!$D$5),OR('JOINTS DE RÉPARATION'!$L$4="TOUS",AQ1051&lt;&gt;"ACCEPTÉ")),1,0)</f>
        <v>0</v>
      </c>
      <c r="AV1051" s="82" t="str">
        <f aca="false">IF(AU1051=1,SUM(AU$7:AU1051),"")</f>
        <v/>
      </c>
      <c r="AW1051" s="82" t="str">
        <f aca="false">IF(E1051="","",B1051&amp;"|"&amp;E1051)</f>
        <v>MFD-ISW → MFD-CPF|DJ°399</v>
      </c>
    </row>
    <row r="1052" customFormat="false" ht="74.6" hidden="false" customHeight="false" outlineLevel="0" collapsed="false">
      <c r="A1052" s="79" t="n">
        <f aca="false">IF(E1052="","",ROW()-6)</f>
        <v>1046</v>
      </c>
      <c r="B1052" s="80" t="s">
        <v>110</v>
      </c>
      <c r="C1052" s="81" t="s">
        <v>1199</v>
      </c>
      <c r="D1052" s="81" t="n">
        <v>7</v>
      </c>
      <c r="E1052" s="81" t="s">
        <v>1248</v>
      </c>
      <c r="F1052" s="82" t="str">
        <f aca="false">IF(E1052="","",IF(LEFT(E1052,2)="DJ","DJ","JN"))</f>
        <v>JN</v>
      </c>
      <c r="G1052" s="81"/>
      <c r="H1052" s="81" t="s">
        <v>871</v>
      </c>
      <c r="I1052" s="81" t="n">
        <v>9.53</v>
      </c>
      <c r="J1052" s="81" t="s">
        <v>872</v>
      </c>
      <c r="K1052" s="81" t="s">
        <v>879</v>
      </c>
      <c r="L1052" s="81" t="n">
        <v>2091440</v>
      </c>
      <c r="M1052" s="81" t="n">
        <v>15421109</v>
      </c>
      <c r="N1052" s="81" t="n">
        <v>11.94</v>
      </c>
      <c r="O1052" s="81" t="n">
        <v>2097830</v>
      </c>
      <c r="P1052" s="81" t="n">
        <v>15421112</v>
      </c>
      <c r="Q1052" s="81" t="n">
        <v>11.94</v>
      </c>
      <c r="R1052" s="81" t="s">
        <v>1244</v>
      </c>
      <c r="S1052" s="81"/>
      <c r="T1052" s="81"/>
      <c r="U1052" s="83" t="n">
        <v>46282</v>
      </c>
      <c r="V1052" s="83" t="n">
        <v>46283</v>
      </c>
      <c r="W1052" s="81" t="s">
        <v>1245</v>
      </c>
      <c r="X1052" s="81" t="s">
        <v>876</v>
      </c>
      <c r="Y1052" s="83"/>
      <c r="Z1052" s="81"/>
      <c r="AA1052" s="81" t="s">
        <v>1153</v>
      </c>
      <c r="AB1052" s="81" t="s">
        <v>1249</v>
      </c>
      <c r="AC1052" s="81"/>
      <c r="AD1052" s="81"/>
      <c r="AE1052" s="83"/>
      <c r="AF1052" s="81"/>
      <c r="AG1052" s="81"/>
      <c r="AH1052" s="81"/>
      <c r="AI1052" s="81"/>
      <c r="AJ1052" s="83"/>
      <c r="AK1052" s="81"/>
      <c r="AL1052" s="81"/>
      <c r="AM1052" s="83"/>
      <c r="AN1052" s="80"/>
      <c r="AO1052" s="82" t="n">
        <f aca="false">IF(E1052="","",(AA1052&lt;&gt;"")+(AG1052&lt;&gt;"")+(AL1052&lt;&gt;""))</f>
        <v>1</v>
      </c>
      <c r="AP1052" s="82" t="str">
        <f aca="false">IF(AL1052&lt;&gt;"",AL1052,IF(AG1052&lt;&gt;"",AG1052,IF(AA1052&lt;&gt;"",AA1052,"")))</f>
        <v>NX</v>
      </c>
      <c r="AQ1052" s="84" t="str">
        <f aca="false">IF(E1052="","",IF(U1052="","À SOUDER",IF(X1052="","VT EN ATTENTE",IF(X1052="R","VT REJETÉ – À REPRENDRE",IF(AP1052="","À RADIOGRAPHIER",IF(AP1052="A","ACCEPTÉ",IF(AP1052="NX","NX – RT À REFAIRE",IF(IF(AO1052=1,AD1052,IF(AO1052=2,AI1052,""))="A","RÉPARÉ – À RADIOGRAPHIER",IF(IF(AO1052=1,AD1052,IF(AO1052=2,AI1052,""))="R","VT REJETÉ – À REPRENDRE",IF(OR(AP1052="CO",AP1052="NT"),"COUPE – À RESOUDER","À RÉPARER"))))))))))</f>
        <v>NX – RT À REFAIRE</v>
      </c>
      <c r="AR1052" s="82" t="n">
        <f aca="false">IF(AND(ISNUMBER(U1052),OR(AQ1052="À RADIOGRAPHIER",AQ1052="RÉPARÉ – À RADIOGRAPHIER",AQ1052="NX – RT À REFAIRE",AQ1052="À RÉPARER",AQ1052="COUPE – À RESOUDER",AQ1052="VT REJETÉ – À REPRENDRE")),MAX(0,'PROGRAMME RT'!$C$4-U1052),"")</f>
        <v>11</v>
      </c>
      <c r="AS1052" s="82" t="n">
        <f aca="false">IF(AND(OR(AQ1052="À RADIOGRAPHIER",AQ1052="RÉPARÉ – À RADIOGRAPHIER",AQ1052="NX – RT À REFAIRE"),OR('PROGRAMME RT'!$D$5="TOUTES",B1052='PROGRAMME RT'!$D$5)),1,0)</f>
        <v>1</v>
      </c>
      <c r="AT1052" s="82" t="n">
        <f aca="false">IF(AS1052=1,SUM(AS$7:AS1052),"")</f>
        <v>67</v>
      </c>
      <c r="AU1052" s="82" t="n">
        <f aca="false">IF(AND(OR(AA1052="R",AA1052="NX",AA1052="NT",AA1052="CO"),OR('JOINTS DE RÉPARATION'!$D$5="TOUTES",B1052='JOINTS DE RÉPARATION'!$D$5),OR('JOINTS DE RÉPARATION'!$L$4="TOUS",AQ1052&lt;&gt;"ACCEPTÉ")),1,0)</f>
        <v>1</v>
      </c>
      <c r="AV1052" s="82" t="n">
        <f aca="false">IF(AU1052=1,SUM(AU$7:AU1052),"")</f>
        <v>13</v>
      </c>
      <c r="AW1052" s="82" t="str">
        <f aca="false">IF(E1052="","",B1052&amp;"|"&amp;E1052)</f>
        <v>MFD-ISW → MFD-CPF|JN°928</v>
      </c>
    </row>
    <row r="1053" customFormat="false" ht="74.6" hidden="false" customHeight="false" outlineLevel="0" collapsed="false">
      <c r="A1053" s="79" t="n">
        <f aca="false">IF(E1053="","",ROW()-6)</f>
        <v>1047</v>
      </c>
      <c r="B1053" s="80" t="s">
        <v>110</v>
      </c>
      <c r="C1053" s="81" t="s">
        <v>1199</v>
      </c>
      <c r="D1053" s="81" t="n">
        <v>7</v>
      </c>
      <c r="E1053" s="81" t="s">
        <v>1250</v>
      </c>
      <c r="F1053" s="82" t="str">
        <f aca="false">IF(E1053="","",IF(LEFT(E1053,2)="DJ","DJ","JN"))</f>
        <v>DJ</v>
      </c>
      <c r="G1053" s="81"/>
      <c r="H1053" s="81" t="s">
        <v>871</v>
      </c>
      <c r="I1053" s="81" t="n">
        <v>9.53</v>
      </c>
      <c r="J1053" s="81" t="s">
        <v>872</v>
      </c>
      <c r="K1053" s="81" t="s">
        <v>873</v>
      </c>
      <c r="L1053" s="81" t="n">
        <v>2097830</v>
      </c>
      <c r="M1053" s="81" t="n">
        <v>15421112</v>
      </c>
      <c r="N1053" s="81" t="n">
        <v>11.94</v>
      </c>
      <c r="O1053" s="81" t="n">
        <v>2094710</v>
      </c>
      <c r="P1053" s="81" t="n">
        <v>15421111</v>
      </c>
      <c r="Q1053" s="81" t="n">
        <v>11.94</v>
      </c>
      <c r="R1053" s="81" t="s">
        <v>1135</v>
      </c>
      <c r="S1053" s="81"/>
      <c r="T1053" s="81"/>
      <c r="U1053" s="83" t="n">
        <v>46280</v>
      </c>
      <c r="V1053" s="83" t="n">
        <v>46280</v>
      </c>
      <c r="W1053" s="81" t="s">
        <v>1089</v>
      </c>
      <c r="X1053" s="81" t="s">
        <v>876</v>
      </c>
      <c r="Y1053" s="83" t="n">
        <v>46281</v>
      </c>
      <c r="Z1053" s="81" t="s">
        <v>1217</v>
      </c>
      <c r="AA1053" s="81" t="s">
        <v>876</v>
      </c>
      <c r="AB1053" s="81"/>
      <c r="AC1053" s="81"/>
      <c r="AD1053" s="81"/>
      <c r="AE1053" s="83"/>
      <c r="AF1053" s="81"/>
      <c r="AG1053" s="81"/>
      <c r="AH1053" s="81"/>
      <c r="AI1053" s="81"/>
      <c r="AJ1053" s="83"/>
      <c r="AK1053" s="81"/>
      <c r="AL1053" s="81"/>
      <c r="AM1053" s="83"/>
      <c r="AN1053" s="80"/>
      <c r="AO1053" s="82" t="n">
        <f aca="false">IF(E1053="","",(AA1053&lt;&gt;"")+(AG1053&lt;&gt;"")+(AL1053&lt;&gt;""))</f>
        <v>1</v>
      </c>
      <c r="AP1053" s="82" t="str">
        <f aca="false">IF(AL1053&lt;&gt;"",AL1053,IF(AG1053&lt;&gt;"",AG1053,IF(AA1053&lt;&gt;"",AA1053,"")))</f>
        <v>A</v>
      </c>
      <c r="AQ1053" s="84" t="str">
        <f aca="false">IF(E1053="","",IF(U1053="","À SOUDER",IF(X1053="","VT EN ATTENTE",IF(X1053="R","VT REJETÉ – À REPRENDRE",IF(AP1053="","À RADIOGRAPHIER",IF(AP1053="A","ACCEPTÉ",IF(AP1053="NX","NX – RT À REFAIRE",IF(IF(AO1053=1,AD1053,IF(AO1053=2,AI1053,""))="A","RÉPARÉ – À RADIOGRAPHIER",IF(IF(AO1053=1,AD1053,IF(AO1053=2,AI1053,""))="R","VT REJETÉ – À REPRENDRE",IF(OR(AP1053="CO",AP1053="NT"),"COUPE – À RESOUDER","À RÉPARER"))))))))))</f>
        <v>ACCEPTÉ</v>
      </c>
      <c r="AR1053" s="82" t="str">
        <f aca="false">IF(AND(ISNUMBER(U1053),OR(AQ1053="À RADIOGRAPHIER",AQ1053="RÉPARÉ – À RADIOGRAPHIER",AQ1053="NX – RT À REFAIRE",AQ1053="À RÉPARER",AQ1053="COUPE – À RESOUDER",AQ1053="VT REJETÉ – À REPRENDRE")),MAX(0,'PROGRAMME RT'!$C$4-U1053),"")</f>
        <v/>
      </c>
      <c r="AS1053" s="82" t="n">
        <f aca="false">IF(AND(OR(AQ1053="À RADIOGRAPHIER",AQ1053="RÉPARÉ – À RADIOGRAPHIER",AQ1053="NX – RT À REFAIRE"),OR('PROGRAMME RT'!$D$5="TOUTES",B1053='PROGRAMME RT'!$D$5)),1,0)</f>
        <v>0</v>
      </c>
      <c r="AT1053" s="82" t="str">
        <f aca="false">IF(AS1053=1,SUM(AS$7:AS1053),"")</f>
        <v/>
      </c>
      <c r="AU1053" s="82" t="n">
        <f aca="false">IF(AND(OR(AA1053="R",AA1053="NX",AA1053="NT",AA1053="CO"),OR('JOINTS DE RÉPARATION'!$D$5="TOUTES",B1053='JOINTS DE RÉPARATION'!$D$5),OR('JOINTS DE RÉPARATION'!$L$4="TOUS",AQ1053&lt;&gt;"ACCEPTÉ")),1,0)</f>
        <v>0</v>
      </c>
      <c r="AV1053" s="82" t="str">
        <f aca="false">IF(AU1053=1,SUM(AU$7:AU1053),"")</f>
        <v/>
      </c>
      <c r="AW1053" s="82" t="str">
        <f aca="false">IF(E1053="","",B1053&amp;"|"&amp;E1053)</f>
        <v>MFD-ISW → MFD-CPF|DJ°400</v>
      </c>
    </row>
    <row r="1054" customFormat="false" ht="74.6" hidden="false" customHeight="false" outlineLevel="0" collapsed="false">
      <c r="A1054" s="79" t="n">
        <f aca="false">IF(E1054="","",ROW()-6)</f>
        <v>1048</v>
      </c>
      <c r="B1054" s="80" t="s">
        <v>110</v>
      </c>
      <c r="C1054" s="81" t="s">
        <v>1199</v>
      </c>
      <c r="D1054" s="81" t="n">
        <v>7</v>
      </c>
      <c r="E1054" s="81" t="s">
        <v>1251</v>
      </c>
      <c r="F1054" s="82" t="str">
        <f aca="false">IF(E1054="","",IF(LEFT(E1054,2)="DJ","DJ","JN"))</f>
        <v>JN</v>
      </c>
      <c r="G1054" s="81"/>
      <c r="H1054" s="81" t="s">
        <v>871</v>
      </c>
      <c r="I1054" s="81" t="n">
        <v>9.53</v>
      </c>
      <c r="J1054" s="81" t="s">
        <v>872</v>
      </c>
      <c r="K1054" s="81" t="s">
        <v>879</v>
      </c>
      <c r="L1054" s="81" t="n">
        <v>2094710</v>
      </c>
      <c r="M1054" s="81" t="n">
        <v>15421111</v>
      </c>
      <c r="N1054" s="81" t="n">
        <v>11.94</v>
      </c>
      <c r="O1054" s="81" t="n">
        <v>2096800</v>
      </c>
      <c r="P1054" s="81" t="n">
        <v>15421111</v>
      </c>
      <c r="Q1054" s="81" t="n">
        <v>11.94</v>
      </c>
      <c r="R1054" s="81" t="s">
        <v>1244</v>
      </c>
      <c r="S1054" s="81"/>
      <c r="T1054" s="81"/>
      <c r="U1054" s="83" t="n">
        <v>46282</v>
      </c>
      <c r="V1054" s="83" t="n">
        <v>46283</v>
      </c>
      <c r="W1054" s="81" t="s">
        <v>1245</v>
      </c>
      <c r="X1054" s="81" t="s">
        <v>876</v>
      </c>
      <c r="Y1054" s="83" t="n">
        <v>46287</v>
      </c>
      <c r="Z1054" s="81" t="s">
        <v>1236</v>
      </c>
      <c r="AA1054" s="81" t="s">
        <v>876</v>
      </c>
      <c r="AB1054" s="81"/>
      <c r="AC1054" s="81"/>
      <c r="AD1054" s="81"/>
      <c r="AE1054" s="83"/>
      <c r="AF1054" s="81"/>
      <c r="AG1054" s="81"/>
      <c r="AH1054" s="81"/>
      <c r="AI1054" s="81"/>
      <c r="AJ1054" s="83"/>
      <c r="AK1054" s="81"/>
      <c r="AL1054" s="81"/>
      <c r="AM1054" s="83"/>
      <c r="AN1054" s="80"/>
      <c r="AO1054" s="82" t="n">
        <f aca="false">IF(E1054="","",(AA1054&lt;&gt;"")+(AG1054&lt;&gt;"")+(AL1054&lt;&gt;""))</f>
        <v>1</v>
      </c>
      <c r="AP1054" s="82" t="str">
        <f aca="false">IF(AL1054&lt;&gt;"",AL1054,IF(AG1054&lt;&gt;"",AG1054,IF(AA1054&lt;&gt;"",AA1054,"")))</f>
        <v>A</v>
      </c>
      <c r="AQ1054" s="84" t="str">
        <f aca="false">IF(E1054="","",IF(U1054="","À SOUDER",IF(X1054="","VT EN ATTENTE",IF(X1054="R","VT REJETÉ – À REPRENDRE",IF(AP1054="","À RADIOGRAPHIER",IF(AP1054="A","ACCEPTÉ",IF(AP1054="NX","NX – RT À REFAIRE",IF(IF(AO1054=1,AD1054,IF(AO1054=2,AI1054,""))="A","RÉPARÉ – À RADIOGRAPHIER",IF(IF(AO1054=1,AD1054,IF(AO1054=2,AI1054,""))="R","VT REJETÉ – À REPRENDRE",IF(OR(AP1054="CO",AP1054="NT"),"COUPE – À RESOUDER","À RÉPARER"))))))))))</f>
        <v>ACCEPTÉ</v>
      </c>
      <c r="AR1054" s="82" t="str">
        <f aca="false">IF(AND(ISNUMBER(U1054),OR(AQ1054="À RADIOGRAPHIER",AQ1054="RÉPARÉ – À RADIOGRAPHIER",AQ1054="NX – RT À REFAIRE",AQ1054="À RÉPARER",AQ1054="COUPE – À RESOUDER",AQ1054="VT REJETÉ – À REPRENDRE")),MAX(0,'PROGRAMME RT'!$C$4-U1054),"")</f>
        <v/>
      </c>
      <c r="AS1054" s="82" t="n">
        <f aca="false">IF(AND(OR(AQ1054="À RADIOGRAPHIER",AQ1054="RÉPARÉ – À RADIOGRAPHIER",AQ1054="NX – RT À REFAIRE"),OR('PROGRAMME RT'!$D$5="TOUTES",B1054='PROGRAMME RT'!$D$5)),1,0)</f>
        <v>0</v>
      </c>
      <c r="AT1054" s="82" t="str">
        <f aca="false">IF(AS1054=1,SUM(AS$7:AS1054),"")</f>
        <v/>
      </c>
      <c r="AU1054" s="82" t="n">
        <f aca="false">IF(AND(OR(AA1054="R",AA1054="NX",AA1054="NT",AA1054="CO"),OR('JOINTS DE RÉPARATION'!$D$5="TOUTES",B1054='JOINTS DE RÉPARATION'!$D$5),OR('JOINTS DE RÉPARATION'!$L$4="TOUS",AQ1054&lt;&gt;"ACCEPTÉ")),1,0)</f>
        <v>0</v>
      </c>
      <c r="AV1054" s="82" t="str">
        <f aca="false">IF(AU1054=1,SUM(AU$7:AU1054),"")</f>
        <v/>
      </c>
      <c r="AW1054" s="82" t="str">
        <f aca="false">IF(E1054="","",B1054&amp;"|"&amp;E1054)</f>
        <v>MFD-ISW → MFD-CPF|JN°929</v>
      </c>
    </row>
    <row r="1055" customFormat="false" ht="74.6" hidden="false" customHeight="false" outlineLevel="0" collapsed="false">
      <c r="A1055" s="79" t="n">
        <f aca="false">IF(E1055="","",ROW()-6)</f>
        <v>1049</v>
      </c>
      <c r="B1055" s="80" t="s">
        <v>110</v>
      </c>
      <c r="C1055" s="81" t="s">
        <v>1199</v>
      </c>
      <c r="D1055" s="81" t="n">
        <v>7</v>
      </c>
      <c r="E1055" s="81" t="s">
        <v>1252</v>
      </c>
      <c r="F1055" s="82" t="str">
        <f aca="false">IF(E1055="","",IF(LEFT(E1055,2)="DJ","DJ","JN"))</f>
        <v>DJ</v>
      </c>
      <c r="G1055" s="81"/>
      <c r="H1055" s="81" t="s">
        <v>871</v>
      </c>
      <c r="I1055" s="81" t="n">
        <v>9.53</v>
      </c>
      <c r="J1055" s="81" t="s">
        <v>872</v>
      </c>
      <c r="K1055" s="81" t="s">
        <v>873</v>
      </c>
      <c r="L1055" s="81" t="n">
        <v>2096800</v>
      </c>
      <c r="M1055" s="81" t="n">
        <v>15421111</v>
      </c>
      <c r="N1055" s="81" t="n">
        <v>11.94</v>
      </c>
      <c r="O1055" s="81" t="n">
        <v>2096420</v>
      </c>
      <c r="P1055" s="81" t="n">
        <v>15421111</v>
      </c>
      <c r="Q1055" s="81" t="n">
        <v>11.94</v>
      </c>
      <c r="R1055" s="81" t="s">
        <v>1135</v>
      </c>
      <c r="S1055" s="81"/>
      <c r="T1055" s="81"/>
      <c r="U1055" s="83" t="n">
        <v>46280</v>
      </c>
      <c r="V1055" s="83" t="n">
        <v>46280</v>
      </c>
      <c r="W1055" s="81" t="s">
        <v>1089</v>
      </c>
      <c r="X1055" s="81" t="s">
        <v>876</v>
      </c>
      <c r="Y1055" s="83" t="n">
        <v>46281</v>
      </c>
      <c r="Z1055" s="81" t="s">
        <v>1217</v>
      </c>
      <c r="AA1055" s="81" t="s">
        <v>876</v>
      </c>
      <c r="AB1055" s="81"/>
      <c r="AC1055" s="81"/>
      <c r="AD1055" s="81"/>
      <c r="AE1055" s="83"/>
      <c r="AF1055" s="81"/>
      <c r="AG1055" s="81"/>
      <c r="AH1055" s="81"/>
      <c r="AI1055" s="81"/>
      <c r="AJ1055" s="83"/>
      <c r="AK1055" s="81"/>
      <c r="AL1055" s="81"/>
      <c r="AM1055" s="83"/>
      <c r="AN1055" s="80"/>
      <c r="AO1055" s="82" t="n">
        <f aca="false">IF(E1055="","",(AA1055&lt;&gt;"")+(AG1055&lt;&gt;"")+(AL1055&lt;&gt;""))</f>
        <v>1</v>
      </c>
      <c r="AP1055" s="82" t="str">
        <f aca="false">IF(AL1055&lt;&gt;"",AL1055,IF(AG1055&lt;&gt;"",AG1055,IF(AA1055&lt;&gt;"",AA1055,"")))</f>
        <v>A</v>
      </c>
      <c r="AQ1055" s="84" t="str">
        <f aca="false">IF(E1055="","",IF(U1055="","À SOUDER",IF(X1055="","VT EN ATTENTE",IF(X1055="R","VT REJETÉ – À REPRENDRE",IF(AP1055="","À RADIOGRAPHIER",IF(AP1055="A","ACCEPTÉ",IF(AP1055="NX","NX – RT À REFAIRE",IF(IF(AO1055=1,AD1055,IF(AO1055=2,AI1055,""))="A","RÉPARÉ – À RADIOGRAPHIER",IF(IF(AO1055=1,AD1055,IF(AO1055=2,AI1055,""))="R","VT REJETÉ – À REPRENDRE",IF(OR(AP1055="CO",AP1055="NT"),"COUPE – À RESOUDER","À RÉPARER"))))))))))</f>
        <v>ACCEPTÉ</v>
      </c>
      <c r="AR1055" s="82" t="str">
        <f aca="false">IF(AND(ISNUMBER(U1055),OR(AQ1055="À RADIOGRAPHIER",AQ1055="RÉPARÉ – À RADIOGRAPHIER",AQ1055="NX – RT À REFAIRE",AQ1055="À RÉPARER",AQ1055="COUPE – À RESOUDER",AQ1055="VT REJETÉ – À REPRENDRE")),MAX(0,'PROGRAMME RT'!$C$4-U1055),"")</f>
        <v/>
      </c>
      <c r="AS1055" s="82" t="n">
        <f aca="false">IF(AND(OR(AQ1055="À RADIOGRAPHIER",AQ1055="RÉPARÉ – À RADIOGRAPHIER",AQ1055="NX – RT À REFAIRE"),OR('PROGRAMME RT'!$D$5="TOUTES",B1055='PROGRAMME RT'!$D$5)),1,0)</f>
        <v>0</v>
      </c>
      <c r="AT1055" s="82" t="str">
        <f aca="false">IF(AS1055=1,SUM(AS$7:AS1055),"")</f>
        <v/>
      </c>
      <c r="AU1055" s="82" t="n">
        <f aca="false">IF(AND(OR(AA1055="R",AA1055="NX",AA1055="NT",AA1055="CO"),OR('JOINTS DE RÉPARATION'!$D$5="TOUTES",B1055='JOINTS DE RÉPARATION'!$D$5),OR('JOINTS DE RÉPARATION'!$L$4="TOUS",AQ1055&lt;&gt;"ACCEPTÉ")),1,0)</f>
        <v>0</v>
      </c>
      <c r="AV1055" s="82" t="str">
        <f aca="false">IF(AU1055=1,SUM(AU$7:AU1055),"")</f>
        <v/>
      </c>
      <c r="AW1055" s="82" t="str">
        <f aca="false">IF(E1055="","",B1055&amp;"|"&amp;E1055)</f>
        <v>MFD-ISW → MFD-CPF|DJ°398</v>
      </c>
    </row>
    <row r="1056" customFormat="false" ht="74.6" hidden="false" customHeight="false" outlineLevel="0" collapsed="false">
      <c r="A1056" s="79" t="n">
        <f aca="false">IF(E1056="","",ROW()-6)</f>
        <v>1050</v>
      </c>
      <c r="B1056" s="80" t="s">
        <v>110</v>
      </c>
      <c r="C1056" s="81" t="s">
        <v>1199</v>
      </c>
      <c r="D1056" s="81" t="n">
        <v>7</v>
      </c>
      <c r="E1056" s="81" t="s">
        <v>1253</v>
      </c>
      <c r="F1056" s="82" t="str">
        <f aca="false">IF(E1056="","",IF(LEFT(E1056,2)="DJ","DJ","JN"))</f>
        <v>JN</v>
      </c>
      <c r="G1056" s="81"/>
      <c r="H1056" s="81" t="s">
        <v>871</v>
      </c>
      <c r="I1056" s="81" t="n">
        <v>9.53</v>
      </c>
      <c r="J1056" s="81" t="s">
        <v>872</v>
      </c>
      <c r="K1056" s="81" t="s">
        <v>879</v>
      </c>
      <c r="L1056" s="81" t="n">
        <v>2096420</v>
      </c>
      <c r="M1056" s="81" t="n">
        <v>15421111</v>
      </c>
      <c r="N1056" s="81" t="n">
        <v>11.94</v>
      </c>
      <c r="O1056" s="81" t="n">
        <v>2083570</v>
      </c>
      <c r="P1056" s="81" t="n">
        <v>15421105</v>
      </c>
      <c r="Q1056" s="81" t="n">
        <v>11.94</v>
      </c>
      <c r="R1056" s="81" t="s">
        <v>1244</v>
      </c>
      <c r="S1056" s="81"/>
      <c r="T1056" s="81"/>
      <c r="U1056" s="83" t="n">
        <v>46282</v>
      </c>
      <c r="V1056" s="83" t="n">
        <v>46283</v>
      </c>
      <c r="W1056" s="81" t="s">
        <v>1245</v>
      </c>
      <c r="X1056" s="81" t="s">
        <v>876</v>
      </c>
      <c r="Y1056" s="83" t="n">
        <v>46287</v>
      </c>
      <c r="Z1056" s="81" t="s">
        <v>1236</v>
      </c>
      <c r="AA1056" s="81" t="s">
        <v>876</v>
      </c>
      <c r="AB1056" s="81"/>
      <c r="AC1056" s="81"/>
      <c r="AD1056" s="81"/>
      <c r="AE1056" s="83"/>
      <c r="AF1056" s="81"/>
      <c r="AG1056" s="81"/>
      <c r="AH1056" s="81"/>
      <c r="AI1056" s="81"/>
      <c r="AJ1056" s="83"/>
      <c r="AK1056" s="81"/>
      <c r="AL1056" s="81"/>
      <c r="AM1056" s="83"/>
      <c r="AN1056" s="80"/>
      <c r="AO1056" s="82" t="n">
        <f aca="false">IF(E1056="","",(AA1056&lt;&gt;"")+(AG1056&lt;&gt;"")+(AL1056&lt;&gt;""))</f>
        <v>1</v>
      </c>
      <c r="AP1056" s="82" t="str">
        <f aca="false">IF(AL1056&lt;&gt;"",AL1056,IF(AG1056&lt;&gt;"",AG1056,IF(AA1056&lt;&gt;"",AA1056,"")))</f>
        <v>A</v>
      </c>
      <c r="AQ1056" s="84" t="str">
        <f aca="false">IF(E1056="","",IF(U1056="","À SOUDER",IF(X1056="","VT EN ATTENTE",IF(X1056="R","VT REJETÉ – À REPRENDRE",IF(AP1056="","À RADIOGRAPHIER",IF(AP1056="A","ACCEPTÉ",IF(AP1056="NX","NX – RT À REFAIRE",IF(IF(AO1056=1,AD1056,IF(AO1056=2,AI1056,""))="A","RÉPARÉ – À RADIOGRAPHIER",IF(IF(AO1056=1,AD1056,IF(AO1056=2,AI1056,""))="R","VT REJETÉ – À REPRENDRE",IF(OR(AP1056="CO",AP1056="NT"),"COUPE – À RESOUDER","À RÉPARER"))))))))))</f>
        <v>ACCEPTÉ</v>
      </c>
      <c r="AR1056" s="82" t="str">
        <f aca="false">IF(AND(ISNUMBER(U1056),OR(AQ1056="À RADIOGRAPHIER",AQ1056="RÉPARÉ – À RADIOGRAPHIER",AQ1056="NX – RT À REFAIRE",AQ1056="À RÉPARER",AQ1056="COUPE – À RESOUDER",AQ1056="VT REJETÉ – À REPRENDRE")),MAX(0,'PROGRAMME RT'!$C$4-U1056),"")</f>
        <v/>
      </c>
      <c r="AS1056" s="82" t="n">
        <f aca="false">IF(AND(OR(AQ1056="À RADIOGRAPHIER",AQ1056="RÉPARÉ – À RADIOGRAPHIER",AQ1056="NX – RT À REFAIRE"),OR('PROGRAMME RT'!$D$5="TOUTES",B1056='PROGRAMME RT'!$D$5)),1,0)</f>
        <v>0</v>
      </c>
      <c r="AT1056" s="82" t="str">
        <f aca="false">IF(AS1056=1,SUM(AS$7:AS1056),"")</f>
        <v/>
      </c>
      <c r="AU1056" s="82" t="n">
        <f aca="false">IF(AND(OR(AA1056="R",AA1056="NX",AA1056="NT",AA1056="CO"),OR('JOINTS DE RÉPARATION'!$D$5="TOUTES",B1056='JOINTS DE RÉPARATION'!$D$5),OR('JOINTS DE RÉPARATION'!$L$4="TOUS",AQ1056&lt;&gt;"ACCEPTÉ")),1,0)</f>
        <v>0</v>
      </c>
      <c r="AV1056" s="82" t="str">
        <f aca="false">IF(AU1056=1,SUM(AU$7:AU1056),"")</f>
        <v/>
      </c>
      <c r="AW1056" s="82" t="str">
        <f aca="false">IF(E1056="","",B1056&amp;"|"&amp;E1056)</f>
        <v>MFD-ISW → MFD-CPF|JN°930</v>
      </c>
    </row>
    <row r="1057" customFormat="false" ht="74.6" hidden="false" customHeight="false" outlineLevel="0" collapsed="false">
      <c r="A1057" s="79" t="n">
        <f aca="false">IF(E1057="","",ROW()-6)</f>
        <v>1051</v>
      </c>
      <c r="B1057" s="80" t="s">
        <v>110</v>
      </c>
      <c r="C1057" s="81" t="s">
        <v>1199</v>
      </c>
      <c r="D1057" s="81" t="n">
        <v>7</v>
      </c>
      <c r="E1057" s="81" t="s">
        <v>1254</v>
      </c>
      <c r="F1057" s="82" t="str">
        <f aca="false">IF(E1057="","",IF(LEFT(E1057,2)="DJ","DJ","JN"))</f>
        <v>DJ</v>
      </c>
      <c r="G1057" s="81"/>
      <c r="H1057" s="81" t="s">
        <v>871</v>
      </c>
      <c r="I1057" s="81" t="n">
        <v>9.53</v>
      </c>
      <c r="J1057" s="81" t="s">
        <v>872</v>
      </c>
      <c r="K1057" s="81" t="s">
        <v>873</v>
      </c>
      <c r="L1057" s="81" t="n">
        <v>2083570</v>
      </c>
      <c r="M1057" s="81" t="n">
        <v>15421105</v>
      </c>
      <c r="N1057" s="81" t="n">
        <v>11.94</v>
      </c>
      <c r="O1057" s="81" t="n">
        <v>2079460</v>
      </c>
      <c r="P1057" s="81" t="n">
        <v>15421102</v>
      </c>
      <c r="Q1057" s="81" t="n">
        <v>11.94</v>
      </c>
      <c r="R1057" s="81" t="s">
        <v>1135</v>
      </c>
      <c r="S1057" s="81"/>
      <c r="T1057" s="81"/>
      <c r="U1057" s="83" t="n">
        <v>46280</v>
      </c>
      <c r="V1057" s="83" t="n">
        <v>46280</v>
      </c>
      <c r="W1057" s="81" t="s">
        <v>1089</v>
      </c>
      <c r="X1057" s="81" t="s">
        <v>876</v>
      </c>
      <c r="Y1057" s="83" t="n">
        <v>46281</v>
      </c>
      <c r="Z1057" s="81" t="s">
        <v>1217</v>
      </c>
      <c r="AA1057" s="81" t="s">
        <v>876</v>
      </c>
      <c r="AB1057" s="81"/>
      <c r="AC1057" s="81"/>
      <c r="AD1057" s="81"/>
      <c r="AE1057" s="83"/>
      <c r="AF1057" s="81"/>
      <c r="AG1057" s="81"/>
      <c r="AH1057" s="81"/>
      <c r="AI1057" s="81"/>
      <c r="AJ1057" s="83"/>
      <c r="AK1057" s="81"/>
      <c r="AL1057" s="81"/>
      <c r="AM1057" s="83"/>
      <c r="AN1057" s="80"/>
      <c r="AO1057" s="82" t="n">
        <f aca="false">IF(E1057="","",(AA1057&lt;&gt;"")+(AG1057&lt;&gt;"")+(AL1057&lt;&gt;""))</f>
        <v>1</v>
      </c>
      <c r="AP1057" s="82" t="str">
        <f aca="false">IF(AL1057&lt;&gt;"",AL1057,IF(AG1057&lt;&gt;"",AG1057,IF(AA1057&lt;&gt;"",AA1057,"")))</f>
        <v>A</v>
      </c>
      <c r="AQ1057" s="84" t="str">
        <f aca="false">IF(E1057="","",IF(U1057="","À SOUDER",IF(X1057="","VT EN ATTENTE",IF(X1057="R","VT REJETÉ – À REPRENDRE",IF(AP1057="","À RADIOGRAPHIER",IF(AP1057="A","ACCEPTÉ",IF(AP1057="NX","NX – RT À REFAIRE",IF(IF(AO1057=1,AD1057,IF(AO1057=2,AI1057,""))="A","RÉPARÉ – À RADIOGRAPHIER",IF(IF(AO1057=1,AD1057,IF(AO1057=2,AI1057,""))="R","VT REJETÉ – À REPRENDRE",IF(OR(AP1057="CO",AP1057="NT"),"COUPE – À RESOUDER","À RÉPARER"))))))))))</f>
        <v>ACCEPTÉ</v>
      </c>
      <c r="AR1057" s="82" t="str">
        <f aca="false">IF(AND(ISNUMBER(U1057),OR(AQ1057="À RADIOGRAPHIER",AQ1057="RÉPARÉ – À RADIOGRAPHIER",AQ1057="NX – RT À REFAIRE",AQ1057="À RÉPARER",AQ1057="COUPE – À RESOUDER",AQ1057="VT REJETÉ – À REPRENDRE")),MAX(0,'PROGRAMME RT'!$C$4-U1057),"")</f>
        <v/>
      </c>
      <c r="AS1057" s="82" t="n">
        <f aca="false">IF(AND(OR(AQ1057="À RADIOGRAPHIER",AQ1057="RÉPARÉ – À RADIOGRAPHIER",AQ1057="NX – RT À REFAIRE"),OR('PROGRAMME RT'!$D$5="TOUTES",B1057='PROGRAMME RT'!$D$5)),1,0)</f>
        <v>0</v>
      </c>
      <c r="AT1057" s="82" t="str">
        <f aca="false">IF(AS1057=1,SUM(AS$7:AS1057),"")</f>
        <v/>
      </c>
      <c r="AU1057" s="82" t="n">
        <f aca="false">IF(AND(OR(AA1057="R",AA1057="NX",AA1057="NT",AA1057="CO"),OR('JOINTS DE RÉPARATION'!$D$5="TOUTES",B1057='JOINTS DE RÉPARATION'!$D$5),OR('JOINTS DE RÉPARATION'!$L$4="TOUS",AQ1057&lt;&gt;"ACCEPTÉ")),1,0)</f>
        <v>0</v>
      </c>
      <c r="AV1057" s="82" t="str">
        <f aca="false">IF(AU1057=1,SUM(AU$7:AU1057),"")</f>
        <v/>
      </c>
      <c r="AW1057" s="82" t="str">
        <f aca="false">IF(E1057="","",B1057&amp;"|"&amp;E1057)</f>
        <v>MFD-ISW → MFD-CPF|DJ°396</v>
      </c>
    </row>
    <row r="1058" customFormat="false" ht="74.6" hidden="false" customHeight="false" outlineLevel="0" collapsed="false">
      <c r="A1058" s="79" t="n">
        <f aca="false">IF(E1058="","",ROW()-6)</f>
        <v>1052</v>
      </c>
      <c r="B1058" s="80" t="s">
        <v>110</v>
      </c>
      <c r="C1058" s="81" t="s">
        <v>1199</v>
      </c>
      <c r="D1058" s="81" t="n">
        <v>7</v>
      </c>
      <c r="E1058" s="81" t="s">
        <v>1255</v>
      </c>
      <c r="F1058" s="82" t="str">
        <f aca="false">IF(E1058="","",IF(LEFT(E1058,2)="DJ","DJ","JN"))</f>
        <v>JN</v>
      </c>
      <c r="G1058" s="81"/>
      <c r="H1058" s="81" t="s">
        <v>871</v>
      </c>
      <c r="I1058" s="81" t="n">
        <v>9.53</v>
      </c>
      <c r="J1058" s="81" t="s">
        <v>872</v>
      </c>
      <c r="K1058" s="81" t="s">
        <v>879</v>
      </c>
      <c r="L1058" s="81" t="n">
        <v>2079460</v>
      </c>
      <c r="M1058" s="81" t="n">
        <v>15421102</v>
      </c>
      <c r="N1058" s="81" t="n">
        <v>11.94</v>
      </c>
      <c r="O1058" s="81" t="n">
        <v>2083080</v>
      </c>
      <c r="P1058" s="81" t="n">
        <v>15421105</v>
      </c>
      <c r="Q1058" s="81" t="n">
        <v>11.94</v>
      </c>
      <c r="R1058" s="81" t="s">
        <v>1244</v>
      </c>
      <c r="S1058" s="81"/>
      <c r="T1058" s="81"/>
      <c r="U1058" s="83" t="n">
        <v>46282</v>
      </c>
      <c r="V1058" s="83" t="n">
        <v>46283</v>
      </c>
      <c r="W1058" s="81" t="s">
        <v>1245</v>
      </c>
      <c r="X1058" s="81" t="s">
        <v>876</v>
      </c>
      <c r="Y1058" s="83" t="n">
        <v>46287</v>
      </c>
      <c r="Z1058" s="81" t="s">
        <v>1236</v>
      </c>
      <c r="AA1058" s="81" t="s">
        <v>876</v>
      </c>
      <c r="AB1058" s="81"/>
      <c r="AC1058" s="81"/>
      <c r="AD1058" s="81"/>
      <c r="AE1058" s="83"/>
      <c r="AF1058" s="81"/>
      <c r="AG1058" s="81"/>
      <c r="AH1058" s="81"/>
      <c r="AI1058" s="81"/>
      <c r="AJ1058" s="83"/>
      <c r="AK1058" s="81"/>
      <c r="AL1058" s="81"/>
      <c r="AM1058" s="83"/>
      <c r="AN1058" s="80"/>
      <c r="AO1058" s="82" t="n">
        <f aca="false">IF(E1058="","",(AA1058&lt;&gt;"")+(AG1058&lt;&gt;"")+(AL1058&lt;&gt;""))</f>
        <v>1</v>
      </c>
      <c r="AP1058" s="82" t="str">
        <f aca="false">IF(AL1058&lt;&gt;"",AL1058,IF(AG1058&lt;&gt;"",AG1058,IF(AA1058&lt;&gt;"",AA1058,"")))</f>
        <v>A</v>
      </c>
      <c r="AQ1058" s="84" t="str">
        <f aca="false">IF(E1058="","",IF(U1058="","À SOUDER",IF(X1058="","VT EN ATTENTE",IF(X1058="R","VT REJETÉ – À REPRENDRE",IF(AP1058="","À RADIOGRAPHIER",IF(AP1058="A","ACCEPTÉ",IF(AP1058="NX","NX – RT À REFAIRE",IF(IF(AO1058=1,AD1058,IF(AO1058=2,AI1058,""))="A","RÉPARÉ – À RADIOGRAPHIER",IF(IF(AO1058=1,AD1058,IF(AO1058=2,AI1058,""))="R","VT REJETÉ – À REPRENDRE",IF(OR(AP1058="CO",AP1058="NT"),"COUPE – À RESOUDER","À RÉPARER"))))))))))</f>
        <v>ACCEPTÉ</v>
      </c>
      <c r="AR1058" s="82" t="str">
        <f aca="false">IF(AND(ISNUMBER(U1058),OR(AQ1058="À RADIOGRAPHIER",AQ1058="RÉPARÉ – À RADIOGRAPHIER",AQ1058="NX – RT À REFAIRE",AQ1058="À RÉPARER",AQ1058="COUPE – À RESOUDER",AQ1058="VT REJETÉ – À REPRENDRE")),MAX(0,'PROGRAMME RT'!$C$4-U1058),"")</f>
        <v/>
      </c>
      <c r="AS1058" s="82" t="n">
        <f aca="false">IF(AND(OR(AQ1058="À RADIOGRAPHIER",AQ1058="RÉPARÉ – À RADIOGRAPHIER",AQ1058="NX – RT À REFAIRE"),OR('PROGRAMME RT'!$D$5="TOUTES",B1058='PROGRAMME RT'!$D$5)),1,0)</f>
        <v>0</v>
      </c>
      <c r="AT1058" s="82" t="str">
        <f aca="false">IF(AS1058=1,SUM(AS$7:AS1058),"")</f>
        <v/>
      </c>
      <c r="AU1058" s="82" t="n">
        <f aca="false">IF(AND(OR(AA1058="R",AA1058="NX",AA1058="NT",AA1058="CO"),OR('JOINTS DE RÉPARATION'!$D$5="TOUTES",B1058='JOINTS DE RÉPARATION'!$D$5),OR('JOINTS DE RÉPARATION'!$L$4="TOUS",AQ1058&lt;&gt;"ACCEPTÉ")),1,0)</f>
        <v>0</v>
      </c>
      <c r="AV1058" s="82" t="str">
        <f aca="false">IF(AU1058=1,SUM(AU$7:AU1058),"")</f>
        <v/>
      </c>
      <c r="AW1058" s="82" t="str">
        <f aca="false">IF(E1058="","",B1058&amp;"|"&amp;E1058)</f>
        <v>MFD-ISW → MFD-CPF|JN°931</v>
      </c>
    </row>
    <row r="1059" customFormat="false" ht="74.6" hidden="false" customHeight="false" outlineLevel="0" collapsed="false">
      <c r="A1059" s="79" t="n">
        <f aca="false">IF(E1059="","",ROW()-6)</f>
        <v>1053</v>
      </c>
      <c r="B1059" s="80" t="s">
        <v>110</v>
      </c>
      <c r="C1059" s="81" t="s">
        <v>1199</v>
      </c>
      <c r="D1059" s="81" t="n">
        <v>7</v>
      </c>
      <c r="E1059" s="81" t="s">
        <v>1256</v>
      </c>
      <c r="F1059" s="82" t="str">
        <f aca="false">IF(E1059="","",IF(LEFT(E1059,2)="DJ","DJ","JN"))</f>
        <v>DJ</v>
      </c>
      <c r="G1059" s="81"/>
      <c r="H1059" s="81" t="s">
        <v>871</v>
      </c>
      <c r="I1059" s="81" t="n">
        <v>9.53</v>
      </c>
      <c r="J1059" s="81" t="s">
        <v>872</v>
      </c>
      <c r="K1059" s="81" t="s">
        <v>873</v>
      </c>
      <c r="L1059" s="81" t="n">
        <v>2083080</v>
      </c>
      <c r="M1059" s="81" t="n">
        <v>15421105</v>
      </c>
      <c r="N1059" s="81" t="n">
        <v>11.94</v>
      </c>
      <c r="O1059" s="81" t="n">
        <v>2084550</v>
      </c>
      <c r="P1059" s="81" t="n">
        <v>15421106</v>
      </c>
      <c r="Q1059" s="81" t="n">
        <v>11.94</v>
      </c>
      <c r="R1059" s="81" t="s">
        <v>1147</v>
      </c>
      <c r="S1059" s="81"/>
      <c r="T1059" s="81"/>
      <c r="U1059" s="83" t="n">
        <v>46280</v>
      </c>
      <c r="V1059" s="83" t="n">
        <v>46280</v>
      </c>
      <c r="W1059" s="81" t="s">
        <v>1089</v>
      </c>
      <c r="X1059" s="81" t="s">
        <v>876</v>
      </c>
      <c r="Y1059" s="83" t="n">
        <v>46281</v>
      </c>
      <c r="Z1059" s="81" t="s">
        <v>1217</v>
      </c>
      <c r="AA1059" s="81" t="s">
        <v>876</v>
      </c>
      <c r="AB1059" s="81"/>
      <c r="AC1059" s="81"/>
      <c r="AD1059" s="81"/>
      <c r="AE1059" s="83"/>
      <c r="AF1059" s="81"/>
      <c r="AG1059" s="81"/>
      <c r="AH1059" s="81"/>
      <c r="AI1059" s="81"/>
      <c r="AJ1059" s="83"/>
      <c r="AK1059" s="81"/>
      <c r="AL1059" s="81"/>
      <c r="AM1059" s="83"/>
      <c r="AN1059" s="80"/>
      <c r="AO1059" s="82" t="n">
        <f aca="false">IF(E1059="","",(AA1059&lt;&gt;"")+(AG1059&lt;&gt;"")+(AL1059&lt;&gt;""))</f>
        <v>1</v>
      </c>
      <c r="AP1059" s="82" t="str">
        <f aca="false">IF(AL1059&lt;&gt;"",AL1059,IF(AG1059&lt;&gt;"",AG1059,IF(AA1059&lt;&gt;"",AA1059,"")))</f>
        <v>A</v>
      </c>
      <c r="AQ1059" s="84" t="str">
        <f aca="false">IF(E1059="","",IF(U1059="","À SOUDER",IF(X1059="","VT EN ATTENTE",IF(X1059="R","VT REJETÉ – À REPRENDRE",IF(AP1059="","À RADIOGRAPHIER",IF(AP1059="A","ACCEPTÉ",IF(AP1059="NX","NX – RT À REFAIRE",IF(IF(AO1059=1,AD1059,IF(AO1059=2,AI1059,""))="A","RÉPARÉ – À RADIOGRAPHIER",IF(IF(AO1059=1,AD1059,IF(AO1059=2,AI1059,""))="R","VT REJETÉ – À REPRENDRE",IF(OR(AP1059="CO",AP1059="NT"),"COUPE – À RESOUDER","À RÉPARER"))))))))))</f>
        <v>ACCEPTÉ</v>
      </c>
      <c r="AR1059" s="82" t="str">
        <f aca="false">IF(AND(ISNUMBER(U1059),OR(AQ1059="À RADIOGRAPHIER",AQ1059="RÉPARÉ – À RADIOGRAPHIER",AQ1059="NX – RT À REFAIRE",AQ1059="À RÉPARER",AQ1059="COUPE – À RESOUDER",AQ1059="VT REJETÉ – À REPRENDRE")),MAX(0,'PROGRAMME RT'!$C$4-U1059),"")</f>
        <v/>
      </c>
      <c r="AS1059" s="82" t="n">
        <f aca="false">IF(AND(OR(AQ1059="À RADIOGRAPHIER",AQ1059="RÉPARÉ – À RADIOGRAPHIER",AQ1059="NX – RT À REFAIRE"),OR('PROGRAMME RT'!$D$5="TOUTES",B1059='PROGRAMME RT'!$D$5)),1,0)</f>
        <v>0</v>
      </c>
      <c r="AT1059" s="82" t="str">
        <f aca="false">IF(AS1059=1,SUM(AS$7:AS1059),"")</f>
        <v/>
      </c>
      <c r="AU1059" s="82" t="n">
        <f aca="false">IF(AND(OR(AA1059="R",AA1059="NX",AA1059="NT",AA1059="CO"),OR('JOINTS DE RÉPARATION'!$D$5="TOUTES",B1059='JOINTS DE RÉPARATION'!$D$5),OR('JOINTS DE RÉPARATION'!$L$4="TOUS",AQ1059&lt;&gt;"ACCEPTÉ")),1,0)</f>
        <v>0</v>
      </c>
      <c r="AV1059" s="82" t="str">
        <f aca="false">IF(AU1059=1,SUM(AU$7:AU1059),"")</f>
        <v/>
      </c>
      <c r="AW1059" s="82" t="str">
        <f aca="false">IF(E1059="","",B1059&amp;"|"&amp;E1059)</f>
        <v>MFD-ISW → MFD-CPF|DJ°395</v>
      </c>
    </row>
    <row r="1060" customFormat="false" ht="74.6" hidden="false" customHeight="false" outlineLevel="0" collapsed="false">
      <c r="A1060" s="79" t="n">
        <f aca="false">IF(E1060="","",ROW()-6)</f>
        <v>1054</v>
      </c>
      <c r="B1060" s="80" t="s">
        <v>110</v>
      </c>
      <c r="C1060" s="81" t="s">
        <v>1199</v>
      </c>
      <c r="D1060" s="81" t="n">
        <v>7</v>
      </c>
      <c r="E1060" s="81" t="s">
        <v>1257</v>
      </c>
      <c r="F1060" s="82" t="str">
        <f aca="false">IF(E1060="","",IF(LEFT(E1060,2)="DJ","DJ","JN"))</f>
        <v>JN</v>
      </c>
      <c r="G1060" s="81"/>
      <c r="H1060" s="81" t="s">
        <v>871</v>
      </c>
      <c r="I1060" s="81" t="n">
        <v>9.53</v>
      </c>
      <c r="J1060" s="81" t="s">
        <v>872</v>
      </c>
      <c r="K1060" s="81" t="s">
        <v>879</v>
      </c>
      <c r="L1060" s="81" t="n">
        <v>2084550</v>
      </c>
      <c r="M1060" s="81" t="n">
        <v>15421106</v>
      </c>
      <c r="N1060" s="81" t="n">
        <v>11.94</v>
      </c>
      <c r="O1060" s="81" t="n">
        <v>2087670</v>
      </c>
      <c r="P1060" s="81" t="n">
        <v>15421108</v>
      </c>
      <c r="Q1060" s="81" t="n">
        <v>11.94</v>
      </c>
      <c r="R1060" s="81" t="s">
        <v>1244</v>
      </c>
      <c r="S1060" s="81"/>
      <c r="T1060" s="81"/>
      <c r="U1060" s="83" t="n">
        <v>46282</v>
      </c>
      <c r="V1060" s="83" t="n">
        <v>46283</v>
      </c>
      <c r="W1060" s="81" t="s">
        <v>1245</v>
      </c>
      <c r="X1060" s="81" t="s">
        <v>876</v>
      </c>
      <c r="Y1060" s="83" t="n">
        <v>46287</v>
      </c>
      <c r="Z1060" s="81" t="s">
        <v>1236</v>
      </c>
      <c r="AA1060" s="81" t="s">
        <v>876</v>
      </c>
      <c r="AB1060" s="81"/>
      <c r="AC1060" s="81"/>
      <c r="AD1060" s="81"/>
      <c r="AE1060" s="83"/>
      <c r="AF1060" s="81"/>
      <c r="AG1060" s="81"/>
      <c r="AH1060" s="81"/>
      <c r="AI1060" s="81"/>
      <c r="AJ1060" s="83"/>
      <c r="AK1060" s="81"/>
      <c r="AL1060" s="81"/>
      <c r="AM1060" s="83"/>
      <c r="AN1060" s="80"/>
      <c r="AO1060" s="82" t="n">
        <f aca="false">IF(E1060="","",(AA1060&lt;&gt;"")+(AG1060&lt;&gt;"")+(AL1060&lt;&gt;""))</f>
        <v>1</v>
      </c>
      <c r="AP1060" s="82" t="str">
        <f aca="false">IF(AL1060&lt;&gt;"",AL1060,IF(AG1060&lt;&gt;"",AG1060,IF(AA1060&lt;&gt;"",AA1060,"")))</f>
        <v>A</v>
      </c>
      <c r="AQ1060" s="84" t="str">
        <f aca="false">IF(E1060="","",IF(U1060="","À SOUDER",IF(X1060="","VT EN ATTENTE",IF(X1060="R","VT REJETÉ – À REPRENDRE",IF(AP1060="","À RADIOGRAPHIER",IF(AP1060="A","ACCEPTÉ",IF(AP1060="NX","NX – RT À REFAIRE",IF(IF(AO1060=1,AD1060,IF(AO1060=2,AI1060,""))="A","RÉPARÉ – À RADIOGRAPHIER",IF(IF(AO1060=1,AD1060,IF(AO1060=2,AI1060,""))="R","VT REJETÉ – À REPRENDRE",IF(OR(AP1060="CO",AP1060="NT"),"COUPE – À RESOUDER","À RÉPARER"))))))))))</f>
        <v>ACCEPTÉ</v>
      </c>
      <c r="AR1060" s="82" t="str">
        <f aca="false">IF(AND(ISNUMBER(U1060),OR(AQ1060="À RADIOGRAPHIER",AQ1060="RÉPARÉ – À RADIOGRAPHIER",AQ1060="NX – RT À REFAIRE",AQ1060="À RÉPARER",AQ1060="COUPE – À RESOUDER",AQ1060="VT REJETÉ – À REPRENDRE")),MAX(0,'PROGRAMME RT'!$C$4-U1060),"")</f>
        <v/>
      </c>
      <c r="AS1060" s="82" t="n">
        <f aca="false">IF(AND(OR(AQ1060="À RADIOGRAPHIER",AQ1060="RÉPARÉ – À RADIOGRAPHIER",AQ1060="NX – RT À REFAIRE"),OR('PROGRAMME RT'!$D$5="TOUTES",B1060='PROGRAMME RT'!$D$5)),1,0)</f>
        <v>0</v>
      </c>
      <c r="AT1060" s="82" t="str">
        <f aca="false">IF(AS1060=1,SUM(AS$7:AS1060),"")</f>
        <v/>
      </c>
      <c r="AU1060" s="82" t="n">
        <f aca="false">IF(AND(OR(AA1060="R",AA1060="NX",AA1060="NT",AA1060="CO"),OR('JOINTS DE RÉPARATION'!$D$5="TOUTES",B1060='JOINTS DE RÉPARATION'!$D$5),OR('JOINTS DE RÉPARATION'!$L$4="TOUS",AQ1060&lt;&gt;"ACCEPTÉ")),1,0)</f>
        <v>0</v>
      </c>
      <c r="AV1060" s="82" t="str">
        <f aca="false">IF(AU1060=1,SUM(AU$7:AU1060),"")</f>
        <v/>
      </c>
      <c r="AW1060" s="82" t="str">
        <f aca="false">IF(E1060="","",B1060&amp;"|"&amp;E1060)</f>
        <v>MFD-ISW → MFD-CPF|JN°932</v>
      </c>
    </row>
    <row r="1061" customFormat="false" ht="74.6" hidden="false" customHeight="false" outlineLevel="0" collapsed="false">
      <c r="A1061" s="79" t="n">
        <f aca="false">IF(E1061="","",ROW()-6)</f>
        <v>1055</v>
      </c>
      <c r="B1061" s="80" t="s">
        <v>110</v>
      </c>
      <c r="C1061" s="81" t="s">
        <v>1199</v>
      </c>
      <c r="D1061" s="81" t="n">
        <v>7</v>
      </c>
      <c r="E1061" s="81" t="s">
        <v>1258</v>
      </c>
      <c r="F1061" s="82" t="str">
        <f aca="false">IF(E1061="","",IF(LEFT(E1061,2)="DJ","DJ","JN"))</f>
        <v>DJ</v>
      </c>
      <c r="G1061" s="81"/>
      <c r="H1061" s="81" t="s">
        <v>871</v>
      </c>
      <c r="I1061" s="81" t="n">
        <v>9.53</v>
      </c>
      <c r="J1061" s="81" t="s">
        <v>872</v>
      </c>
      <c r="K1061" s="81" t="s">
        <v>873</v>
      </c>
      <c r="L1061" s="81" t="n">
        <v>2087670</v>
      </c>
      <c r="M1061" s="81" t="n">
        <v>15421108</v>
      </c>
      <c r="N1061" s="81" t="n">
        <v>11.94</v>
      </c>
      <c r="O1061" s="81" t="n">
        <v>2087310</v>
      </c>
      <c r="P1061" s="81" t="n">
        <v>15421107</v>
      </c>
      <c r="Q1061" s="81" t="n">
        <v>11.94</v>
      </c>
      <c r="R1061" s="81" t="s">
        <v>1147</v>
      </c>
      <c r="S1061" s="81"/>
      <c r="T1061" s="81"/>
      <c r="U1061" s="83" t="n">
        <v>46280</v>
      </c>
      <c r="V1061" s="83" t="n">
        <v>46280</v>
      </c>
      <c r="W1061" s="81" t="s">
        <v>1089</v>
      </c>
      <c r="X1061" s="81" t="s">
        <v>876</v>
      </c>
      <c r="Y1061" s="83" t="n">
        <v>46281</v>
      </c>
      <c r="Z1061" s="81" t="s">
        <v>1217</v>
      </c>
      <c r="AA1061" s="81" t="s">
        <v>876</v>
      </c>
      <c r="AB1061" s="81"/>
      <c r="AC1061" s="81"/>
      <c r="AD1061" s="81"/>
      <c r="AE1061" s="83"/>
      <c r="AF1061" s="81"/>
      <c r="AG1061" s="81"/>
      <c r="AH1061" s="81"/>
      <c r="AI1061" s="81"/>
      <c r="AJ1061" s="83"/>
      <c r="AK1061" s="81"/>
      <c r="AL1061" s="81"/>
      <c r="AM1061" s="83"/>
      <c r="AN1061" s="80"/>
      <c r="AO1061" s="82" t="n">
        <f aca="false">IF(E1061="","",(AA1061&lt;&gt;"")+(AG1061&lt;&gt;"")+(AL1061&lt;&gt;""))</f>
        <v>1</v>
      </c>
      <c r="AP1061" s="82" t="str">
        <f aca="false">IF(AL1061&lt;&gt;"",AL1061,IF(AG1061&lt;&gt;"",AG1061,IF(AA1061&lt;&gt;"",AA1061,"")))</f>
        <v>A</v>
      </c>
      <c r="AQ1061" s="84" t="str">
        <f aca="false">IF(E1061="","",IF(U1061="","À SOUDER",IF(X1061="","VT EN ATTENTE",IF(X1061="R","VT REJETÉ – À REPRENDRE",IF(AP1061="","À RADIOGRAPHIER",IF(AP1061="A","ACCEPTÉ",IF(AP1061="NX","NX – RT À REFAIRE",IF(IF(AO1061=1,AD1061,IF(AO1061=2,AI1061,""))="A","RÉPARÉ – À RADIOGRAPHIER",IF(IF(AO1061=1,AD1061,IF(AO1061=2,AI1061,""))="R","VT REJETÉ – À REPRENDRE",IF(OR(AP1061="CO",AP1061="NT"),"COUPE – À RESOUDER","À RÉPARER"))))))))))</f>
        <v>ACCEPTÉ</v>
      </c>
      <c r="AR1061" s="82" t="str">
        <f aca="false">IF(AND(ISNUMBER(U1061),OR(AQ1061="À RADIOGRAPHIER",AQ1061="RÉPARÉ – À RADIOGRAPHIER",AQ1061="NX – RT À REFAIRE",AQ1061="À RÉPARER",AQ1061="COUPE – À RESOUDER",AQ1061="VT REJETÉ – À REPRENDRE")),MAX(0,'PROGRAMME RT'!$C$4-U1061),"")</f>
        <v/>
      </c>
      <c r="AS1061" s="82" t="n">
        <f aca="false">IF(AND(OR(AQ1061="À RADIOGRAPHIER",AQ1061="RÉPARÉ – À RADIOGRAPHIER",AQ1061="NX – RT À REFAIRE"),OR('PROGRAMME RT'!$D$5="TOUTES",B1061='PROGRAMME RT'!$D$5)),1,0)</f>
        <v>0</v>
      </c>
      <c r="AT1061" s="82" t="str">
        <f aca="false">IF(AS1061=1,SUM(AS$7:AS1061),"")</f>
        <v/>
      </c>
      <c r="AU1061" s="82" t="n">
        <f aca="false">IF(AND(OR(AA1061="R",AA1061="NX",AA1061="NT",AA1061="CO"),OR('JOINTS DE RÉPARATION'!$D$5="TOUTES",B1061='JOINTS DE RÉPARATION'!$D$5),OR('JOINTS DE RÉPARATION'!$L$4="TOUS",AQ1061&lt;&gt;"ACCEPTÉ")),1,0)</f>
        <v>0</v>
      </c>
      <c r="AV1061" s="82" t="str">
        <f aca="false">IF(AU1061=1,SUM(AU$7:AU1061),"")</f>
        <v/>
      </c>
      <c r="AW1061" s="82" t="str">
        <f aca="false">IF(E1061="","",B1061&amp;"|"&amp;E1061)</f>
        <v>MFD-ISW → MFD-CPF|DJ°393</v>
      </c>
    </row>
    <row r="1062" customFormat="false" ht="74.6" hidden="false" customHeight="false" outlineLevel="0" collapsed="false">
      <c r="A1062" s="79" t="n">
        <f aca="false">IF(E1062="","",ROW()-6)</f>
        <v>1056</v>
      </c>
      <c r="B1062" s="80" t="s">
        <v>110</v>
      </c>
      <c r="C1062" s="81" t="s">
        <v>1199</v>
      </c>
      <c r="D1062" s="81" t="n">
        <v>7</v>
      </c>
      <c r="E1062" s="81" t="s">
        <v>1259</v>
      </c>
      <c r="F1062" s="82" t="str">
        <f aca="false">IF(E1062="","",IF(LEFT(E1062,2)="DJ","DJ","JN"))</f>
        <v>JN</v>
      </c>
      <c r="G1062" s="81"/>
      <c r="H1062" s="81" t="s">
        <v>871</v>
      </c>
      <c r="I1062" s="81" t="n">
        <v>9.53</v>
      </c>
      <c r="J1062" s="81" t="s">
        <v>872</v>
      </c>
      <c r="K1062" s="81" t="s">
        <v>879</v>
      </c>
      <c r="L1062" s="81" t="n">
        <v>2087310</v>
      </c>
      <c r="M1062" s="81" t="n">
        <v>15421107</v>
      </c>
      <c r="N1062" s="81" t="n">
        <v>11.94</v>
      </c>
      <c r="O1062" s="81" t="n">
        <v>2093880</v>
      </c>
      <c r="P1062" s="81" t="n">
        <v>15421110</v>
      </c>
      <c r="Q1062" s="81" t="n">
        <v>11.94</v>
      </c>
      <c r="R1062" s="81" t="s">
        <v>1260</v>
      </c>
      <c r="S1062" s="81"/>
      <c r="T1062" s="81"/>
      <c r="U1062" s="83" t="n">
        <v>46281</v>
      </c>
      <c r="V1062" s="83" t="n">
        <v>46281</v>
      </c>
      <c r="W1062" s="81" t="s">
        <v>1261</v>
      </c>
      <c r="X1062" s="81" t="s">
        <v>876</v>
      </c>
      <c r="Y1062" s="83" t="n">
        <v>46287</v>
      </c>
      <c r="Z1062" s="81" t="s">
        <v>1236</v>
      </c>
      <c r="AA1062" s="81" t="s">
        <v>876</v>
      </c>
      <c r="AB1062" s="81"/>
      <c r="AC1062" s="81"/>
      <c r="AD1062" s="81"/>
      <c r="AE1062" s="83"/>
      <c r="AF1062" s="81"/>
      <c r="AG1062" s="81"/>
      <c r="AH1062" s="81"/>
      <c r="AI1062" s="81"/>
      <c r="AJ1062" s="83"/>
      <c r="AK1062" s="81"/>
      <c r="AL1062" s="81"/>
      <c r="AM1062" s="83"/>
      <c r="AN1062" s="80"/>
      <c r="AO1062" s="82" t="n">
        <f aca="false">IF(E1062="","",(AA1062&lt;&gt;"")+(AG1062&lt;&gt;"")+(AL1062&lt;&gt;""))</f>
        <v>1</v>
      </c>
      <c r="AP1062" s="82" t="str">
        <f aca="false">IF(AL1062&lt;&gt;"",AL1062,IF(AG1062&lt;&gt;"",AG1062,IF(AA1062&lt;&gt;"",AA1062,"")))</f>
        <v>A</v>
      </c>
      <c r="AQ1062" s="84" t="str">
        <f aca="false">IF(E1062="","",IF(U1062="","À SOUDER",IF(X1062="","VT EN ATTENTE",IF(X1062="R","VT REJETÉ – À REPRENDRE",IF(AP1062="","À RADIOGRAPHIER",IF(AP1062="A","ACCEPTÉ",IF(AP1062="NX","NX – RT À REFAIRE",IF(IF(AO1062=1,AD1062,IF(AO1062=2,AI1062,""))="A","RÉPARÉ – À RADIOGRAPHIER",IF(IF(AO1062=1,AD1062,IF(AO1062=2,AI1062,""))="R","VT REJETÉ – À REPRENDRE",IF(OR(AP1062="CO",AP1062="NT"),"COUPE – À RESOUDER","À RÉPARER"))))))))))</f>
        <v>ACCEPTÉ</v>
      </c>
      <c r="AR1062" s="82" t="str">
        <f aca="false">IF(AND(ISNUMBER(U1062),OR(AQ1062="À RADIOGRAPHIER",AQ1062="RÉPARÉ – À RADIOGRAPHIER",AQ1062="NX – RT À REFAIRE",AQ1062="À RÉPARER",AQ1062="COUPE – À RESOUDER",AQ1062="VT REJETÉ – À REPRENDRE")),MAX(0,'PROGRAMME RT'!$C$4-U1062),"")</f>
        <v/>
      </c>
      <c r="AS1062" s="82" t="n">
        <f aca="false">IF(AND(OR(AQ1062="À RADIOGRAPHIER",AQ1062="RÉPARÉ – À RADIOGRAPHIER",AQ1062="NX – RT À REFAIRE"),OR('PROGRAMME RT'!$D$5="TOUTES",B1062='PROGRAMME RT'!$D$5)),1,0)</f>
        <v>0</v>
      </c>
      <c r="AT1062" s="82" t="str">
        <f aca="false">IF(AS1062=1,SUM(AS$7:AS1062),"")</f>
        <v/>
      </c>
      <c r="AU1062" s="82" t="n">
        <f aca="false">IF(AND(OR(AA1062="R",AA1062="NX",AA1062="NT",AA1062="CO"),OR('JOINTS DE RÉPARATION'!$D$5="TOUTES",B1062='JOINTS DE RÉPARATION'!$D$5),OR('JOINTS DE RÉPARATION'!$L$4="TOUS",AQ1062&lt;&gt;"ACCEPTÉ")),1,0)</f>
        <v>0</v>
      </c>
      <c r="AV1062" s="82" t="str">
        <f aca="false">IF(AU1062=1,SUM(AU$7:AU1062),"")</f>
        <v/>
      </c>
      <c r="AW1062" s="82" t="str">
        <f aca="false">IF(E1062="","",B1062&amp;"|"&amp;E1062)</f>
        <v>MFD-ISW → MFD-CPF|JN°933</v>
      </c>
    </row>
    <row r="1063" customFormat="false" ht="74.6" hidden="false" customHeight="false" outlineLevel="0" collapsed="false">
      <c r="A1063" s="79" t="n">
        <f aca="false">IF(E1063="","",ROW()-6)</f>
        <v>1057</v>
      </c>
      <c r="B1063" s="80" t="s">
        <v>110</v>
      </c>
      <c r="C1063" s="81" t="s">
        <v>1199</v>
      </c>
      <c r="D1063" s="81" t="n">
        <v>7</v>
      </c>
      <c r="E1063" s="81" t="s">
        <v>1262</v>
      </c>
      <c r="F1063" s="82" t="str">
        <f aca="false">IF(E1063="","",IF(LEFT(E1063,2)="DJ","DJ","JN"))</f>
        <v>JN</v>
      </c>
      <c r="G1063" s="81"/>
      <c r="H1063" s="81" t="s">
        <v>871</v>
      </c>
      <c r="I1063" s="81" t="n">
        <v>9.53</v>
      </c>
      <c r="J1063" s="81" t="s">
        <v>872</v>
      </c>
      <c r="K1063" s="81" t="s">
        <v>879</v>
      </c>
      <c r="L1063" s="81" t="n">
        <v>2093880</v>
      </c>
      <c r="M1063" s="81" t="n">
        <v>15421110</v>
      </c>
      <c r="N1063" s="81" t="n">
        <v>11.94</v>
      </c>
      <c r="O1063" s="81" t="n">
        <v>2080450</v>
      </c>
      <c r="P1063" s="81" t="n">
        <v>15421102</v>
      </c>
      <c r="Q1063" s="81" t="n">
        <v>11.94</v>
      </c>
      <c r="R1063" s="81" t="s">
        <v>1260</v>
      </c>
      <c r="S1063" s="81"/>
      <c r="T1063" s="81"/>
      <c r="U1063" s="83" t="n">
        <v>46281</v>
      </c>
      <c r="V1063" s="83" t="n">
        <v>46281</v>
      </c>
      <c r="W1063" s="81" t="s">
        <v>1261</v>
      </c>
      <c r="X1063" s="81" t="s">
        <v>876</v>
      </c>
      <c r="Y1063" s="83" t="n">
        <v>46287</v>
      </c>
      <c r="Z1063" s="81" t="s">
        <v>1236</v>
      </c>
      <c r="AA1063" s="81" t="s">
        <v>876</v>
      </c>
      <c r="AB1063" s="81"/>
      <c r="AC1063" s="81"/>
      <c r="AD1063" s="81"/>
      <c r="AE1063" s="83"/>
      <c r="AF1063" s="81"/>
      <c r="AG1063" s="81"/>
      <c r="AH1063" s="81"/>
      <c r="AI1063" s="81"/>
      <c r="AJ1063" s="83"/>
      <c r="AK1063" s="81"/>
      <c r="AL1063" s="81"/>
      <c r="AM1063" s="83"/>
      <c r="AN1063" s="80"/>
      <c r="AO1063" s="82" t="n">
        <f aca="false">IF(E1063="","",(AA1063&lt;&gt;"")+(AG1063&lt;&gt;"")+(AL1063&lt;&gt;""))</f>
        <v>1</v>
      </c>
      <c r="AP1063" s="82" t="str">
        <f aca="false">IF(AL1063&lt;&gt;"",AL1063,IF(AG1063&lt;&gt;"",AG1063,IF(AA1063&lt;&gt;"",AA1063,"")))</f>
        <v>A</v>
      </c>
      <c r="AQ1063" s="84" t="str">
        <f aca="false">IF(E1063="","",IF(U1063="","À SOUDER",IF(X1063="","VT EN ATTENTE",IF(X1063="R","VT REJETÉ – À REPRENDRE",IF(AP1063="","À RADIOGRAPHIER",IF(AP1063="A","ACCEPTÉ",IF(AP1063="NX","NX – RT À REFAIRE",IF(IF(AO1063=1,AD1063,IF(AO1063=2,AI1063,""))="A","RÉPARÉ – À RADIOGRAPHIER",IF(IF(AO1063=1,AD1063,IF(AO1063=2,AI1063,""))="R","VT REJETÉ – À REPRENDRE",IF(OR(AP1063="CO",AP1063="NT"),"COUPE – À RESOUDER","À RÉPARER"))))))))))</f>
        <v>ACCEPTÉ</v>
      </c>
      <c r="AR1063" s="82" t="str">
        <f aca="false">IF(AND(ISNUMBER(U1063),OR(AQ1063="À RADIOGRAPHIER",AQ1063="RÉPARÉ – À RADIOGRAPHIER",AQ1063="NX – RT À REFAIRE",AQ1063="À RÉPARER",AQ1063="COUPE – À RESOUDER",AQ1063="VT REJETÉ – À REPRENDRE")),MAX(0,'PROGRAMME RT'!$C$4-U1063),"")</f>
        <v/>
      </c>
      <c r="AS1063" s="82" t="n">
        <f aca="false">IF(AND(OR(AQ1063="À RADIOGRAPHIER",AQ1063="RÉPARÉ – À RADIOGRAPHIER",AQ1063="NX – RT À REFAIRE"),OR('PROGRAMME RT'!$D$5="TOUTES",B1063='PROGRAMME RT'!$D$5)),1,0)</f>
        <v>0</v>
      </c>
      <c r="AT1063" s="82" t="str">
        <f aca="false">IF(AS1063=1,SUM(AS$7:AS1063),"")</f>
        <v/>
      </c>
      <c r="AU1063" s="82" t="n">
        <f aca="false">IF(AND(OR(AA1063="R",AA1063="NX",AA1063="NT",AA1063="CO"),OR('JOINTS DE RÉPARATION'!$D$5="TOUTES",B1063='JOINTS DE RÉPARATION'!$D$5),OR('JOINTS DE RÉPARATION'!$L$4="TOUS",AQ1063&lt;&gt;"ACCEPTÉ")),1,0)</f>
        <v>0</v>
      </c>
      <c r="AV1063" s="82" t="str">
        <f aca="false">IF(AU1063=1,SUM(AU$7:AU1063),"")</f>
        <v/>
      </c>
      <c r="AW1063" s="82" t="str">
        <f aca="false">IF(E1063="","",B1063&amp;"|"&amp;E1063)</f>
        <v>MFD-ISW → MFD-CPF|JN°934</v>
      </c>
    </row>
    <row r="1064" customFormat="false" ht="74.6" hidden="false" customHeight="false" outlineLevel="0" collapsed="false">
      <c r="A1064" s="79" t="n">
        <f aca="false">IF(E1064="","",ROW()-6)</f>
        <v>1058</v>
      </c>
      <c r="B1064" s="80" t="s">
        <v>110</v>
      </c>
      <c r="C1064" s="81" t="s">
        <v>1199</v>
      </c>
      <c r="D1064" s="81" t="n">
        <v>7</v>
      </c>
      <c r="E1064" s="81" t="s">
        <v>1263</v>
      </c>
      <c r="F1064" s="82" t="str">
        <f aca="false">IF(E1064="","",IF(LEFT(E1064,2)="DJ","DJ","JN"))</f>
        <v>JN</v>
      </c>
      <c r="G1064" s="81"/>
      <c r="H1064" s="81" t="s">
        <v>871</v>
      </c>
      <c r="I1064" s="81" t="n">
        <v>9.53</v>
      </c>
      <c r="J1064" s="81" t="s">
        <v>872</v>
      </c>
      <c r="K1064" s="81" t="s">
        <v>879</v>
      </c>
      <c r="L1064" s="81" t="n">
        <v>2080450</v>
      </c>
      <c r="M1064" s="81" t="n">
        <v>15421102</v>
      </c>
      <c r="N1064" s="81" t="n">
        <v>11.94</v>
      </c>
      <c r="O1064" s="81" t="n">
        <v>2080090</v>
      </c>
      <c r="P1064" s="81" t="n">
        <v>15421102</v>
      </c>
      <c r="Q1064" s="81" t="n">
        <v>11.94</v>
      </c>
      <c r="R1064" s="81" t="s">
        <v>1260</v>
      </c>
      <c r="S1064" s="81"/>
      <c r="T1064" s="81"/>
      <c r="U1064" s="83" t="n">
        <v>46281</v>
      </c>
      <c r="V1064" s="83" t="n">
        <v>46281</v>
      </c>
      <c r="W1064" s="81" t="s">
        <v>1261</v>
      </c>
      <c r="X1064" s="81" t="s">
        <v>876</v>
      </c>
      <c r="Y1064" s="83" t="n">
        <v>46287</v>
      </c>
      <c r="Z1064" s="81" t="s">
        <v>1236</v>
      </c>
      <c r="AA1064" s="81" t="s">
        <v>1073</v>
      </c>
      <c r="AB1064" s="81" t="s">
        <v>1264</v>
      </c>
      <c r="AC1064" s="81"/>
      <c r="AD1064" s="81"/>
      <c r="AE1064" s="83"/>
      <c r="AF1064" s="81"/>
      <c r="AG1064" s="81"/>
      <c r="AH1064" s="81"/>
      <c r="AI1064" s="81"/>
      <c r="AJ1064" s="83"/>
      <c r="AK1064" s="81"/>
      <c r="AL1064" s="81"/>
      <c r="AM1064" s="83"/>
      <c r="AN1064" s="80"/>
      <c r="AO1064" s="82" t="n">
        <f aca="false">IF(E1064="","",(AA1064&lt;&gt;"")+(AG1064&lt;&gt;"")+(AL1064&lt;&gt;""))</f>
        <v>1</v>
      </c>
      <c r="AP1064" s="82" t="str">
        <f aca="false">IF(AL1064&lt;&gt;"",AL1064,IF(AG1064&lt;&gt;"",AG1064,IF(AA1064&lt;&gt;"",AA1064,"")))</f>
        <v>R</v>
      </c>
      <c r="AQ1064" s="84" t="str">
        <f aca="false">IF(E1064="","",IF(U1064="","À SOUDER",IF(X1064="","VT EN ATTENTE",IF(X1064="R","VT REJETÉ – À REPRENDRE",IF(AP1064="","À RADIOGRAPHIER",IF(AP1064="A","ACCEPTÉ",IF(AP1064="NX","NX – RT À REFAIRE",IF(IF(AO1064=1,AD1064,IF(AO1064=2,AI1064,""))="A","RÉPARÉ – À RADIOGRAPHIER",IF(IF(AO1064=1,AD1064,IF(AO1064=2,AI1064,""))="R","VT REJETÉ – À REPRENDRE",IF(OR(AP1064="CO",AP1064="NT"),"COUPE – À RESOUDER","À RÉPARER"))))))))))</f>
        <v>À RÉPARER</v>
      </c>
      <c r="AR1064" s="82" t="n">
        <f aca="false">IF(AND(ISNUMBER(U1064),OR(AQ1064="À RADIOGRAPHIER",AQ1064="RÉPARÉ – À RADIOGRAPHIER",AQ1064="NX – RT À REFAIRE",AQ1064="À RÉPARER",AQ1064="COUPE – À RESOUDER",AQ1064="VT REJETÉ – À REPRENDRE")),MAX(0,'PROGRAMME RT'!$C$4-U1064),"")</f>
        <v>12</v>
      </c>
      <c r="AS1064" s="82" t="n">
        <f aca="false">IF(AND(OR(AQ1064="À RADIOGRAPHIER",AQ1064="RÉPARÉ – À RADIOGRAPHIER",AQ1064="NX – RT À REFAIRE"),OR('PROGRAMME RT'!$D$5="TOUTES",B1064='PROGRAMME RT'!$D$5)),1,0)</f>
        <v>0</v>
      </c>
      <c r="AT1064" s="82" t="str">
        <f aca="false">IF(AS1064=1,SUM(AS$7:AS1064),"")</f>
        <v/>
      </c>
      <c r="AU1064" s="82" t="n">
        <f aca="false">IF(AND(OR(AA1064="R",AA1064="NX",AA1064="NT",AA1064="CO"),OR('JOINTS DE RÉPARATION'!$D$5="TOUTES",B1064='JOINTS DE RÉPARATION'!$D$5),OR('JOINTS DE RÉPARATION'!$L$4="TOUS",AQ1064&lt;&gt;"ACCEPTÉ")),1,0)</f>
        <v>1</v>
      </c>
      <c r="AV1064" s="82" t="n">
        <f aca="false">IF(AU1064=1,SUM(AU$7:AU1064),"")</f>
        <v>14</v>
      </c>
      <c r="AW1064" s="82" t="str">
        <f aca="false">IF(E1064="","",B1064&amp;"|"&amp;E1064)</f>
        <v>MFD-ISW → MFD-CPF|JN°935</v>
      </c>
    </row>
    <row r="1065" customFormat="false" ht="74.6" hidden="false" customHeight="false" outlineLevel="0" collapsed="false">
      <c r="A1065" s="79" t="n">
        <f aca="false">IF(E1065="","",ROW()-6)</f>
        <v>1059</v>
      </c>
      <c r="B1065" s="80" t="s">
        <v>110</v>
      </c>
      <c r="C1065" s="81" t="s">
        <v>1199</v>
      </c>
      <c r="D1065" s="81" t="n">
        <v>7</v>
      </c>
      <c r="E1065" s="81" t="s">
        <v>1265</v>
      </c>
      <c r="F1065" s="82" t="str">
        <f aca="false">IF(E1065="","",IF(LEFT(E1065,2)="DJ","DJ","JN"))</f>
        <v>JN</v>
      </c>
      <c r="G1065" s="81"/>
      <c r="H1065" s="81" t="s">
        <v>871</v>
      </c>
      <c r="I1065" s="81" t="n">
        <v>9.53</v>
      </c>
      <c r="J1065" s="81" t="s">
        <v>872</v>
      </c>
      <c r="K1065" s="81" t="s">
        <v>879</v>
      </c>
      <c r="L1065" s="81" t="n">
        <v>2080090</v>
      </c>
      <c r="M1065" s="81" t="n">
        <v>15421102</v>
      </c>
      <c r="N1065" s="81" t="n">
        <v>11.94</v>
      </c>
      <c r="O1065" s="81" t="n">
        <v>20866550</v>
      </c>
      <c r="P1065" s="81" t="n">
        <v>15421107</v>
      </c>
      <c r="Q1065" s="81" t="n">
        <v>11.94</v>
      </c>
      <c r="R1065" s="81" t="s">
        <v>1260</v>
      </c>
      <c r="S1065" s="81"/>
      <c r="T1065" s="81"/>
      <c r="U1065" s="83" t="n">
        <v>46281</v>
      </c>
      <c r="V1065" s="83" t="n">
        <v>46281</v>
      </c>
      <c r="W1065" s="81" t="s">
        <v>1261</v>
      </c>
      <c r="X1065" s="81" t="s">
        <v>876</v>
      </c>
      <c r="Y1065" s="83" t="n">
        <v>46287</v>
      </c>
      <c r="Z1065" s="81" t="s">
        <v>1236</v>
      </c>
      <c r="AA1065" s="81" t="s">
        <v>876</v>
      </c>
      <c r="AB1065" s="81"/>
      <c r="AC1065" s="81"/>
      <c r="AD1065" s="81"/>
      <c r="AE1065" s="83"/>
      <c r="AF1065" s="81"/>
      <c r="AG1065" s="81"/>
      <c r="AH1065" s="81"/>
      <c r="AI1065" s="81"/>
      <c r="AJ1065" s="83"/>
      <c r="AK1065" s="81"/>
      <c r="AL1065" s="81"/>
      <c r="AM1065" s="83"/>
      <c r="AN1065" s="80"/>
      <c r="AO1065" s="82" t="n">
        <f aca="false">IF(E1065="","",(AA1065&lt;&gt;"")+(AG1065&lt;&gt;"")+(AL1065&lt;&gt;""))</f>
        <v>1</v>
      </c>
      <c r="AP1065" s="82" t="str">
        <f aca="false">IF(AL1065&lt;&gt;"",AL1065,IF(AG1065&lt;&gt;"",AG1065,IF(AA1065&lt;&gt;"",AA1065,"")))</f>
        <v>A</v>
      </c>
      <c r="AQ1065" s="84" t="str">
        <f aca="false">IF(E1065="","",IF(U1065="","À SOUDER",IF(X1065="","VT EN ATTENTE",IF(X1065="R","VT REJETÉ – À REPRENDRE",IF(AP1065="","À RADIOGRAPHIER",IF(AP1065="A","ACCEPTÉ",IF(AP1065="NX","NX – RT À REFAIRE",IF(IF(AO1065=1,AD1065,IF(AO1065=2,AI1065,""))="A","RÉPARÉ – À RADIOGRAPHIER",IF(IF(AO1065=1,AD1065,IF(AO1065=2,AI1065,""))="R","VT REJETÉ – À REPRENDRE",IF(OR(AP1065="CO",AP1065="NT"),"COUPE – À RESOUDER","À RÉPARER"))))))))))</f>
        <v>ACCEPTÉ</v>
      </c>
      <c r="AR1065" s="82" t="str">
        <f aca="false">IF(AND(ISNUMBER(U1065),OR(AQ1065="À RADIOGRAPHIER",AQ1065="RÉPARÉ – À RADIOGRAPHIER",AQ1065="NX – RT À REFAIRE",AQ1065="À RÉPARER",AQ1065="COUPE – À RESOUDER",AQ1065="VT REJETÉ – À REPRENDRE")),MAX(0,'PROGRAMME RT'!$C$4-U1065),"")</f>
        <v/>
      </c>
      <c r="AS1065" s="82" t="n">
        <f aca="false">IF(AND(OR(AQ1065="À RADIOGRAPHIER",AQ1065="RÉPARÉ – À RADIOGRAPHIER",AQ1065="NX – RT À REFAIRE"),OR('PROGRAMME RT'!$D$5="TOUTES",B1065='PROGRAMME RT'!$D$5)),1,0)</f>
        <v>0</v>
      </c>
      <c r="AT1065" s="82" t="str">
        <f aca="false">IF(AS1065=1,SUM(AS$7:AS1065),"")</f>
        <v/>
      </c>
      <c r="AU1065" s="82" t="n">
        <f aca="false">IF(AND(OR(AA1065="R",AA1065="NX",AA1065="NT",AA1065="CO"),OR('JOINTS DE RÉPARATION'!$D$5="TOUTES",B1065='JOINTS DE RÉPARATION'!$D$5),OR('JOINTS DE RÉPARATION'!$L$4="TOUS",AQ1065&lt;&gt;"ACCEPTÉ")),1,0)</f>
        <v>0</v>
      </c>
      <c r="AV1065" s="82" t="str">
        <f aca="false">IF(AU1065=1,SUM(AU$7:AU1065),"")</f>
        <v/>
      </c>
      <c r="AW1065" s="82" t="str">
        <f aca="false">IF(E1065="","",B1065&amp;"|"&amp;E1065)</f>
        <v>MFD-ISW → MFD-CPF|JN°936</v>
      </c>
    </row>
    <row r="1066" customFormat="false" ht="74.6" hidden="false" customHeight="false" outlineLevel="0" collapsed="false">
      <c r="A1066" s="79" t="n">
        <f aca="false">IF(E1066="","",ROW()-6)</f>
        <v>1060</v>
      </c>
      <c r="B1066" s="80" t="s">
        <v>110</v>
      </c>
      <c r="C1066" s="81" t="s">
        <v>1199</v>
      </c>
      <c r="D1066" s="81" t="n">
        <v>7</v>
      </c>
      <c r="E1066" s="81" t="s">
        <v>1266</v>
      </c>
      <c r="F1066" s="82" t="str">
        <f aca="false">IF(E1066="","",IF(LEFT(E1066,2)="DJ","DJ","JN"))</f>
        <v>JN</v>
      </c>
      <c r="G1066" s="81"/>
      <c r="H1066" s="81" t="s">
        <v>871</v>
      </c>
      <c r="I1066" s="81" t="n">
        <v>9.53</v>
      </c>
      <c r="J1066" s="81" t="s">
        <v>872</v>
      </c>
      <c r="K1066" s="81" t="s">
        <v>879</v>
      </c>
      <c r="L1066" s="81" t="n">
        <v>20866550</v>
      </c>
      <c r="M1066" s="81" t="n">
        <v>15421107</v>
      </c>
      <c r="N1066" s="81" t="n">
        <v>11.94</v>
      </c>
      <c r="O1066" s="81" t="n">
        <v>2098330</v>
      </c>
      <c r="P1066" s="81" t="n">
        <v>15421112</v>
      </c>
      <c r="Q1066" s="81" t="n">
        <v>11.94</v>
      </c>
      <c r="R1066" s="81" t="s">
        <v>1260</v>
      </c>
      <c r="S1066" s="81"/>
      <c r="T1066" s="81"/>
      <c r="U1066" s="83" t="n">
        <v>46281</v>
      </c>
      <c r="V1066" s="83" t="n">
        <v>46281</v>
      </c>
      <c r="W1066" s="81" t="s">
        <v>1261</v>
      </c>
      <c r="X1066" s="81" t="s">
        <v>876</v>
      </c>
      <c r="Y1066" s="83" t="n">
        <v>46287</v>
      </c>
      <c r="Z1066" s="81" t="s">
        <v>1236</v>
      </c>
      <c r="AA1066" s="81" t="s">
        <v>876</v>
      </c>
      <c r="AB1066" s="81"/>
      <c r="AC1066" s="81"/>
      <c r="AD1066" s="81"/>
      <c r="AE1066" s="83"/>
      <c r="AF1066" s="81"/>
      <c r="AG1066" s="81"/>
      <c r="AH1066" s="81"/>
      <c r="AI1066" s="81"/>
      <c r="AJ1066" s="83"/>
      <c r="AK1066" s="81"/>
      <c r="AL1066" s="81"/>
      <c r="AM1066" s="83"/>
      <c r="AN1066" s="80"/>
      <c r="AO1066" s="82" t="n">
        <f aca="false">IF(E1066="","",(AA1066&lt;&gt;"")+(AG1066&lt;&gt;"")+(AL1066&lt;&gt;""))</f>
        <v>1</v>
      </c>
      <c r="AP1066" s="82" t="str">
        <f aca="false">IF(AL1066&lt;&gt;"",AL1066,IF(AG1066&lt;&gt;"",AG1066,IF(AA1066&lt;&gt;"",AA1066,"")))</f>
        <v>A</v>
      </c>
      <c r="AQ1066" s="84" t="str">
        <f aca="false">IF(E1066="","",IF(U1066="","À SOUDER",IF(X1066="","VT EN ATTENTE",IF(X1066="R","VT REJETÉ – À REPRENDRE",IF(AP1066="","À RADIOGRAPHIER",IF(AP1066="A","ACCEPTÉ",IF(AP1066="NX","NX – RT À REFAIRE",IF(IF(AO1066=1,AD1066,IF(AO1066=2,AI1066,""))="A","RÉPARÉ – À RADIOGRAPHIER",IF(IF(AO1066=1,AD1066,IF(AO1066=2,AI1066,""))="R","VT REJETÉ – À REPRENDRE",IF(OR(AP1066="CO",AP1066="NT"),"COUPE – À RESOUDER","À RÉPARER"))))))))))</f>
        <v>ACCEPTÉ</v>
      </c>
      <c r="AR1066" s="82" t="str">
        <f aca="false">IF(AND(ISNUMBER(U1066),OR(AQ1066="À RADIOGRAPHIER",AQ1066="RÉPARÉ – À RADIOGRAPHIER",AQ1066="NX – RT À REFAIRE",AQ1066="À RÉPARER",AQ1066="COUPE – À RESOUDER",AQ1066="VT REJETÉ – À REPRENDRE")),MAX(0,'PROGRAMME RT'!$C$4-U1066),"")</f>
        <v/>
      </c>
      <c r="AS1066" s="82" t="n">
        <f aca="false">IF(AND(OR(AQ1066="À RADIOGRAPHIER",AQ1066="RÉPARÉ – À RADIOGRAPHIER",AQ1066="NX – RT À REFAIRE"),OR('PROGRAMME RT'!$D$5="TOUTES",B1066='PROGRAMME RT'!$D$5)),1,0)</f>
        <v>0</v>
      </c>
      <c r="AT1066" s="82" t="str">
        <f aca="false">IF(AS1066=1,SUM(AS$7:AS1066),"")</f>
        <v/>
      </c>
      <c r="AU1066" s="82" t="n">
        <f aca="false">IF(AND(OR(AA1066="R",AA1066="NX",AA1066="NT",AA1066="CO"),OR('JOINTS DE RÉPARATION'!$D$5="TOUTES",B1066='JOINTS DE RÉPARATION'!$D$5),OR('JOINTS DE RÉPARATION'!$L$4="TOUS",AQ1066&lt;&gt;"ACCEPTÉ")),1,0)</f>
        <v>0</v>
      </c>
      <c r="AV1066" s="82" t="str">
        <f aca="false">IF(AU1066=1,SUM(AU$7:AU1066),"")</f>
        <v/>
      </c>
      <c r="AW1066" s="82" t="str">
        <f aca="false">IF(E1066="","",B1066&amp;"|"&amp;E1066)</f>
        <v>MFD-ISW → MFD-CPF|JN°937</v>
      </c>
    </row>
    <row r="1067" customFormat="false" ht="74.6" hidden="false" customHeight="false" outlineLevel="0" collapsed="false">
      <c r="A1067" s="79" t="n">
        <f aca="false">IF(E1067="","",ROW()-6)</f>
        <v>1061</v>
      </c>
      <c r="B1067" s="80" t="s">
        <v>110</v>
      </c>
      <c r="C1067" s="81" t="s">
        <v>926</v>
      </c>
      <c r="D1067" s="81"/>
      <c r="E1067" s="81" t="s">
        <v>1267</v>
      </c>
      <c r="F1067" s="82" t="str">
        <f aca="false">IF(E1067="","",IF(LEFT(E1067,2)="DJ","DJ","JN"))</f>
        <v>JN</v>
      </c>
      <c r="G1067" s="81"/>
      <c r="H1067" s="81"/>
      <c r="I1067" s="81"/>
      <c r="J1067" s="81"/>
      <c r="K1067" s="81"/>
      <c r="L1067" s="81" t="n">
        <v>2098330</v>
      </c>
      <c r="M1067" s="81" t="n">
        <v>15421112</v>
      </c>
      <c r="N1067" s="81" t="n">
        <v>11.94</v>
      </c>
      <c r="O1067" s="81" t="s">
        <v>1268</v>
      </c>
      <c r="P1067" s="81"/>
      <c r="Q1067" s="81"/>
      <c r="R1067" s="81"/>
      <c r="S1067" s="81"/>
      <c r="T1067" s="81"/>
      <c r="U1067" s="83"/>
      <c r="V1067" s="83"/>
      <c r="W1067" s="81"/>
      <c r="X1067" s="81"/>
      <c r="Y1067" s="83"/>
      <c r="Z1067" s="81"/>
      <c r="AA1067" s="81"/>
      <c r="AB1067" s="81"/>
      <c r="AC1067" s="81"/>
      <c r="AD1067" s="81"/>
      <c r="AE1067" s="83"/>
      <c r="AF1067" s="81"/>
      <c r="AG1067" s="81"/>
      <c r="AH1067" s="81"/>
      <c r="AI1067" s="81"/>
      <c r="AJ1067" s="83"/>
      <c r="AK1067" s="81"/>
      <c r="AL1067" s="81"/>
      <c r="AM1067" s="83"/>
      <c r="AN1067" s="80"/>
      <c r="AO1067" s="82" t="n">
        <f aca="false">IF(E1067="","",(AA1067&lt;&gt;"")+(AG1067&lt;&gt;"")+(AL1067&lt;&gt;""))</f>
        <v>0</v>
      </c>
      <c r="AP1067" s="82" t="str">
        <f aca="false">IF(AL1067&lt;&gt;"",AL1067,IF(AG1067&lt;&gt;"",AG1067,IF(AA1067&lt;&gt;"",AA1067,"")))</f>
        <v/>
      </c>
      <c r="AQ1067" s="84" t="str">
        <f aca="false">IF(E1067="","",IF(U1067="","À SOUDER",IF(X1067="","VT EN ATTENTE",IF(X1067="R","VT REJETÉ – À REPRENDRE",IF(AP1067="","À RADIOGRAPHIER",IF(AP1067="A","ACCEPTÉ",IF(AP1067="NX","NX – RT À REFAIRE",IF(IF(AO1067=1,AD1067,IF(AO1067=2,AI1067,""))="A","RÉPARÉ – À RADIOGRAPHIER",IF(IF(AO1067=1,AD1067,IF(AO1067=2,AI1067,""))="R","VT REJETÉ – À REPRENDRE",IF(OR(AP1067="CO",AP1067="NT"),"COUPE – À RESOUDER","À RÉPARER"))))))))))</f>
        <v>À SOUDER</v>
      </c>
      <c r="AR1067" s="82" t="str">
        <f aca="false">IF(AND(ISNUMBER(U1067),OR(AQ1067="À RADIOGRAPHIER",AQ1067="RÉPARÉ – À RADIOGRAPHIER",AQ1067="NX – RT À REFAIRE",AQ1067="À RÉPARER",AQ1067="COUPE – À RESOUDER",AQ1067="VT REJETÉ – À REPRENDRE")),MAX(0,'PROGRAMME RT'!$C$4-U1067),"")</f>
        <v/>
      </c>
      <c r="AS1067" s="82" t="n">
        <f aca="false">IF(AND(OR(AQ1067="À RADIOGRAPHIER",AQ1067="RÉPARÉ – À RADIOGRAPHIER",AQ1067="NX – RT À REFAIRE"),OR('PROGRAMME RT'!$D$5="TOUTES",B1067='PROGRAMME RT'!$D$5)),1,0)</f>
        <v>0</v>
      </c>
      <c r="AT1067" s="82" t="str">
        <f aca="false">IF(AS1067=1,SUM(AS$7:AS1067),"")</f>
        <v/>
      </c>
      <c r="AU1067" s="82" t="n">
        <f aca="false">IF(AND(OR(AA1067="R",AA1067="NX",AA1067="NT",AA1067="CO"),OR('JOINTS DE RÉPARATION'!$D$5="TOUTES",B1067='JOINTS DE RÉPARATION'!$D$5),OR('JOINTS DE RÉPARATION'!$L$4="TOUS",AQ1067&lt;&gt;"ACCEPTÉ")),1,0)</f>
        <v>0</v>
      </c>
      <c r="AV1067" s="82" t="str">
        <f aca="false">IF(AU1067=1,SUM(AU$7:AU1067),"")</f>
        <v/>
      </c>
      <c r="AW1067" s="82" t="str">
        <f aca="false">IF(E1067="","",B1067&amp;"|"&amp;E1067)</f>
        <v>MFD-ISW → MFD-CPF|JN°938</v>
      </c>
    </row>
    <row r="1068" customFormat="false" ht="74.6" hidden="false" customHeight="false" outlineLevel="0" collapsed="false">
      <c r="A1068" s="79" t="n">
        <f aca="false">IF(E1068="","",ROW()-6)</f>
        <v>1062</v>
      </c>
      <c r="B1068" s="80" t="s">
        <v>110</v>
      </c>
      <c r="C1068" s="81" t="s">
        <v>926</v>
      </c>
      <c r="D1068" s="81"/>
      <c r="E1068" s="81" t="s">
        <v>1269</v>
      </c>
      <c r="F1068" s="82" t="str">
        <f aca="false">IF(E1068="","",IF(LEFT(E1068,2)="DJ","DJ","JN"))</f>
        <v>JN</v>
      </c>
      <c r="G1068" s="81"/>
      <c r="H1068" s="81"/>
      <c r="I1068" s="81"/>
      <c r="J1068" s="81"/>
      <c r="K1068" s="81"/>
      <c r="L1068" s="81" t="s">
        <v>1268</v>
      </c>
      <c r="M1068" s="81"/>
      <c r="N1068" s="81"/>
      <c r="O1068" s="81" t="s">
        <v>1270</v>
      </c>
      <c r="P1068" s="81"/>
      <c r="Q1068" s="81"/>
      <c r="R1068" s="81"/>
      <c r="S1068" s="81"/>
      <c r="T1068" s="81"/>
      <c r="U1068" s="83"/>
      <c r="V1068" s="83"/>
      <c r="W1068" s="81"/>
      <c r="X1068" s="81"/>
      <c r="Y1068" s="83"/>
      <c r="Z1068" s="81"/>
      <c r="AA1068" s="81"/>
      <c r="AB1068" s="81"/>
      <c r="AC1068" s="81"/>
      <c r="AD1068" s="81"/>
      <c r="AE1068" s="83"/>
      <c r="AF1068" s="81"/>
      <c r="AG1068" s="81"/>
      <c r="AH1068" s="81"/>
      <c r="AI1068" s="81"/>
      <c r="AJ1068" s="83"/>
      <c r="AK1068" s="81"/>
      <c r="AL1068" s="81"/>
      <c r="AM1068" s="83"/>
      <c r="AN1068" s="80"/>
      <c r="AO1068" s="82" t="n">
        <f aca="false">IF(E1068="","",(AA1068&lt;&gt;"")+(AG1068&lt;&gt;"")+(AL1068&lt;&gt;""))</f>
        <v>0</v>
      </c>
      <c r="AP1068" s="82" t="str">
        <f aca="false">IF(AL1068&lt;&gt;"",AL1068,IF(AG1068&lt;&gt;"",AG1068,IF(AA1068&lt;&gt;"",AA1068,"")))</f>
        <v/>
      </c>
      <c r="AQ1068" s="84" t="str">
        <f aca="false">IF(E1068="","",IF(U1068="","À SOUDER",IF(X1068="","VT EN ATTENTE",IF(X1068="R","VT REJETÉ – À REPRENDRE",IF(AP1068="","À RADIOGRAPHIER",IF(AP1068="A","ACCEPTÉ",IF(AP1068="NX","NX – RT À REFAIRE",IF(IF(AO1068=1,AD1068,IF(AO1068=2,AI1068,""))="A","RÉPARÉ – À RADIOGRAPHIER",IF(IF(AO1068=1,AD1068,IF(AO1068=2,AI1068,""))="R","VT REJETÉ – À REPRENDRE",IF(OR(AP1068="CO",AP1068="NT"),"COUPE – À RESOUDER","À RÉPARER"))))))))))</f>
        <v>À SOUDER</v>
      </c>
      <c r="AR1068" s="82" t="str">
        <f aca="false">IF(AND(ISNUMBER(U1068),OR(AQ1068="À RADIOGRAPHIER",AQ1068="RÉPARÉ – À RADIOGRAPHIER",AQ1068="NX – RT À REFAIRE",AQ1068="À RÉPARER",AQ1068="COUPE – À RESOUDER",AQ1068="VT REJETÉ – À REPRENDRE")),MAX(0,'PROGRAMME RT'!$C$4-U1068),"")</f>
        <v/>
      </c>
      <c r="AS1068" s="82" t="n">
        <f aca="false">IF(AND(OR(AQ1068="À RADIOGRAPHIER",AQ1068="RÉPARÉ – À RADIOGRAPHIER",AQ1068="NX – RT À REFAIRE"),OR('PROGRAMME RT'!$D$5="TOUTES",B1068='PROGRAMME RT'!$D$5)),1,0)</f>
        <v>0</v>
      </c>
      <c r="AT1068" s="82" t="str">
        <f aca="false">IF(AS1068=1,SUM(AS$7:AS1068),"")</f>
        <v/>
      </c>
      <c r="AU1068" s="82" t="n">
        <f aca="false">IF(AND(OR(AA1068="R",AA1068="NX",AA1068="NT",AA1068="CO"),OR('JOINTS DE RÉPARATION'!$D$5="TOUTES",B1068='JOINTS DE RÉPARATION'!$D$5),OR('JOINTS DE RÉPARATION'!$L$4="TOUS",AQ1068&lt;&gt;"ACCEPTÉ")),1,0)</f>
        <v>0</v>
      </c>
      <c r="AV1068" s="82" t="str">
        <f aca="false">IF(AU1068=1,SUM(AU$7:AU1068),"")</f>
        <v/>
      </c>
      <c r="AW1068" s="82" t="str">
        <f aca="false">IF(E1068="","",B1068&amp;"|"&amp;E1068)</f>
        <v>MFD-ISW → MFD-CPF|JN°939</v>
      </c>
    </row>
    <row r="1069" customFormat="false" ht="74.6" hidden="false" customHeight="false" outlineLevel="0" collapsed="false">
      <c r="A1069" s="79" t="n">
        <f aca="false">IF(E1069="","",ROW()-6)</f>
        <v>1063</v>
      </c>
      <c r="B1069" s="80" t="s">
        <v>110</v>
      </c>
      <c r="C1069" s="81" t="s">
        <v>926</v>
      </c>
      <c r="D1069" s="81"/>
      <c r="E1069" s="81" t="s">
        <v>1271</v>
      </c>
      <c r="F1069" s="82" t="str">
        <f aca="false">IF(E1069="","",IF(LEFT(E1069,2)="DJ","DJ","JN"))</f>
        <v>JN</v>
      </c>
      <c r="G1069" s="81"/>
      <c r="H1069" s="81"/>
      <c r="I1069" s="81"/>
      <c r="J1069" s="81"/>
      <c r="K1069" s="81"/>
      <c r="L1069" s="81" t="s">
        <v>1270</v>
      </c>
      <c r="M1069" s="81"/>
      <c r="N1069" s="81"/>
      <c r="O1069" s="81" t="s">
        <v>1270</v>
      </c>
      <c r="P1069" s="81"/>
      <c r="Q1069" s="81"/>
      <c r="R1069" s="81"/>
      <c r="S1069" s="81"/>
      <c r="T1069" s="81"/>
      <c r="U1069" s="83"/>
      <c r="V1069" s="83"/>
      <c r="W1069" s="81"/>
      <c r="X1069" s="81"/>
      <c r="Y1069" s="83"/>
      <c r="Z1069" s="81"/>
      <c r="AA1069" s="81"/>
      <c r="AB1069" s="81"/>
      <c r="AC1069" s="81"/>
      <c r="AD1069" s="81"/>
      <c r="AE1069" s="83"/>
      <c r="AF1069" s="81"/>
      <c r="AG1069" s="81"/>
      <c r="AH1069" s="81"/>
      <c r="AI1069" s="81"/>
      <c r="AJ1069" s="83"/>
      <c r="AK1069" s="81"/>
      <c r="AL1069" s="81"/>
      <c r="AM1069" s="83"/>
      <c r="AN1069" s="80"/>
      <c r="AO1069" s="82" t="n">
        <f aca="false">IF(E1069="","",(AA1069&lt;&gt;"")+(AG1069&lt;&gt;"")+(AL1069&lt;&gt;""))</f>
        <v>0</v>
      </c>
      <c r="AP1069" s="82" t="str">
        <f aca="false">IF(AL1069&lt;&gt;"",AL1069,IF(AG1069&lt;&gt;"",AG1069,IF(AA1069&lt;&gt;"",AA1069,"")))</f>
        <v/>
      </c>
      <c r="AQ1069" s="84" t="str">
        <f aca="false">IF(E1069="","",IF(U1069="","À SOUDER",IF(X1069="","VT EN ATTENTE",IF(X1069="R","VT REJETÉ – À REPRENDRE",IF(AP1069="","À RADIOGRAPHIER",IF(AP1069="A","ACCEPTÉ",IF(AP1069="NX","NX – RT À REFAIRE",IF(IF(AO1069=1,AD1069,IF(AO1069=2,AI1069,""))="A","RÉPARÉ – À RADIOGRAPHIER",IF(IF(AO1069=1,AD1069,IF(AO1069=2,AI1069,""))="R","VT REJETÉ – À REPRENDRE",IF(OR(AP1069="CO",AP1069="NT"),"COUPE – À RESOUDER","À RÉPARER"))))))))))</f>
        <v>À SOUDER</v>
      </c>
      <c r="AR1069" s="82" t="str">
        <f aca="false">IF(AND(ISNUMBER(U1069),OR(AQ1069="À RADIOGRAPHIER",AQ1069="RÉPARÉ – À RADIOGRAPHIER",AQ1069="NX – RT À REFAIRE",AQ1069="À RÉPARER",AQ1069="COUPE – À RESOUDER",AQ1069="VT REJETÉ – À REPRENDRE")),MAX(0,'PROGRAMME RT'!$C$4-U1069),"")</f>
        <v/>
      </c>
      <c r="AS1069" s="82" t="n">
        <f aca="false">IF(AND(OR(AQ1069="À RADIOGRAPHIER",AQ1069="RÉPARÉ – À RADIOGRAPHIER",AQ1069="NX – RT À REFAIRE"),OR('PROGRAMME RT'!$D$5="TOUTES",B1069='PROGRAMME RT'!$D$5)),1,0)</f>
        <v>0</v>
      </c>
      <c r="AT1069" s="82" t="str">
        <f aca="false">IF(AS1069=1,SUM(AS$7:AS1069),"")</f>
        <v/>
      </c>
      <c r="AU1069" s="82" t="n">
        <f aca="false">IF(AND(OR(AA1069="R",AA1069="NX",AA1069="NT",AA1069="CO"),OR('JOINTS DE RÉPARATION'!$D$5="TOUTES",B1069='JOINTS DE RÉPARATION'!$D$5),OR('JOINTS DE RÉPARATION'!$L$4="TOUS",AQ1069&lt;&gt;"ACCEPTÉ")),1,0)</f>
        <v>0</v>
      </c>
      <c r="AV1069" s="82" t="str">
        <f aca="false">IF(AU1069=1,SUM(AU$7:AU1069),"")</f>
        <v/>
      </c>
      <c r="AW1069" s="82" t="str">
        <f aca="false">IF(E1069="","",B1069&amp;"|"&amp;E1069)</f>
        <v>MFD-ISW → MFD-CPF|JN°940</v>
      </c>
    </row>
    <row r="1070" customFormat="false" ht="74.6" hidden="false" customHeight="false" outlineLevel="0" collapsed="false">
      <c r="A1070" s="79" t="n">
        <f aca="false">IF(E1070="","",ROW()-6)</f>
        <v>1064</v>
      </c>
      <c r="B1070" s="80" t="s">
        <v>110</v>
      </c>
      <c r="C1070" s="81" t="s">
        <v>926</v>
      </c>
      <c r="D1070" s="81"/>
      <c r="E1070" s="81" t="s">
        <v>1272</v>
      </c>
      <c r="F1070" s="82" t="str">
        <f aca="false">IF(E1070="","",IF(LEFT(E1070,2)="DJ","DJ","JN"))</f>
        <v>JN</v>
      </c>
      <c r="G1070" s="81"/>
      <c r="H1070" s="81"/>
      <c r="I1070" s="81"/>
      <c r="J1070" s="81"/>
      <c r="K1070" s="81"/>
      <c r="L1070" s="81" t="s">
        <v>1270</v>
      </c>
      <c r="M1070" s="81"/>
      <c r="N1070" s="81"/>
      <c r="O1070" s="81" t="s">
        <v>1270</v>
      </c>
      <c r="P1070" s="81"/>
      <c r="Q1070" s="81"/>
      <c r="R1070" s="81"/>
      <c r="S1070" s="81"/>
      <c r="T1070" s="81"/>
      <c r="U1070" s="83"/>
      <c r="V1070" s="83"/>
      <c r="W1070" s="81"/>
      <c r="X1070" s="81"/>
      <c r="Y1070" s="83"/>
      <c r="Z1070" s="81"/>
      <c r="AA1070" s="81"/>
      <c r="AB1070" s="81"/>
      <c r="AC1070" s="81"/>
      <c r="AD1070" s="81"/>
      <c r="AE1070" s="83"/>
      <c r="AF1070" s="81"/>
      <c r="AG1070" s="81"/>
      <c r="AH1070" s="81"/>
      <c r="AI1070" s="81"/>
      <c r="AJ1070" s="83"/>
      <c r="AK1070" s="81"/>
      <c r="AL1070" s="81"/>
      <c r="AM1070" s="83"/>
      <c r="AN1070" s="80"/>
      <c r="AO1070" s="82" t="n">
        <f aca="false">IF(E1070="","",(AA1070&lt;&gt;"")+(AG1070&lt;&gt;"")+(AL1070&lt;&gt;""))</f>
        <v>0</v>
      </c>
      <c r="AP1070" s="82" t="str">
        <f aca="false">IF(AL1070&lt;&gt;"",AL1070,IF(AG1070&lt;&gt;"",AG1070,IF(AA1070&lt;&gt;"",AA1070,"")))</f>
        <v/>
      </c>
      <c r="AQ1070" s="84" t="str">
        <f aca="false">IF(E1070="","",IF(U1070="","À SOUDER",IF(X1070="","VT EN ATTENTE",IF(X1070="R","VT REJETÉ – À REPRENDRE",IF(AP1070="","À RADIOGRAPHIER",IF(AP1070="A","ACCEPTÉ",IF(AP1070="NX","NX – RT À REFAIRE",IF(IF(AO1070=1,AD1070,IF(AO1070=2,AI1070,""))="A","RÉPARÉ – À RADIOGRAPHIER",IF(IF(AO1070=1,AD1070,IF(AO1070=2,AI1070,""))="R","VT REJETÉ – À REPRENDRE",IF(OR(AP1070="CO",AP1070="NT"),"COUPE – À RESOUDER","À RÉPARER"))))))))))</f>
        <v>À SOUDER</v>
      </c>
      <c r="AR1070" s="82" t="str">
        <f aca="false">IF(AND(ISNUMBER(U1070),OR(AQ1070="À RADIOGRAPHIER",AQ1070="RÉPARÉ – À RADIOGRAPHIER",AQ1070="NX – RT À REFAIRE",AQ1070="À RÉPARER",AQ1070="COUPE – À RESOUDER",AQ1070="VT REJETÉ – À REPRENDRE")),MAX(0,'PROGRAMME RT'!$C$4-U1070),"")</f>
        <v/>
      </c>
      <c r="AS1070" s="82" t="n">
        <f aca="false">IF(AND(OR(AQ1070="À RADIOGRAPHIER",AQ1070="RÉPARÉ – À RADIOGRAPHIER",AQ1070="NX – RT À REFAIRE"),OR('PROGRAMME RT'!$D$5="TOUTES",B1070='PROGRAMME RT'!$D$5)),1,0)</f>
        <v>0</v>
      </c>
      <c r="AT1070" s="82" t="str">
        <f aca="false">IF(AS1070=1,SUM(AS$7:AS1070),"")</f>
        <v/>
      </c>
      <c r="AU1070" s="82" t="n">
        <f aca="false">IF(AND(OR(AA1070="R",AA1070="NX",AA1070="NT",AA1070="CO"),OR('JOINTS DE RÉPARATION'!$D$5="TOUTES",B1070='JOINTS DE RÉPARATION'!$D$5),OR('JOINTS DE RÉPARATION'!$L$4="TOUS",AQ1070&lt;&gt;"ACCEPTÉ")),1,0)</f>
        <v>0</v>
      </c>
      <c r="AV1070" s="82" t="str">
        <f aca="false">IF(AU1070=1,SUM(AU$7:AU1070),"")</f>
        <v/>
      </c>
      <c r="AW1070" s="82" t="str">
        <f aca="false">IF(E1070="","",B1070&amp;"|"&amp;E1070)</f>
        <v>MFD-ISW → MFD-CPF|JN°941</v>
      </c>
    </row>
    <row r="1071" customFormat="false" ht="74.6" hidden="false" customHeight="false" outlineLevel="0" collapsed="false">
      <c r="A1071" s="79" t="n">
        <f aca="false">IF(E1071="","",ROW()-6)</f>
        <v>1065</v>
      </c>
      <c r="B1071" s="80" t="s">
        <v>110</v>
      </c>
      <c r="C1071" s="81" t="s">
        <v>926</v>
      </c>
      <c r="D1071" s="81"/>
      <c r="E1071" s="81" t="s">
        <v>1273</v>
      </c>
      <c r="F1071" s="82" t="str">
        <f aca="false">IF(E1071="","",IF(LEFT(E1071,2)="DJ","DJ","JN"))</f>
        <v>JN</v>
      </c>
      <c r="G1071" s="81"/>
      <c r="H1071" s="81"/>
      <c r="I1071" s="81"/>
      <c r="J1071" s="81"/>
      <c r="K1071" s="81"/>
      <c r="L1071" s="81" t="s">
        <v>1270</v>
      </c>
      <c r="M1071" s="81"/>
      <c r="N1071" s="81"/>
      <c r="O1071" s="81" t="s">
        <v>1270</v>
      </c>
      <c r="P1071" s="81"/>
      <c r="Q1071" s="81"/>
      <c r="R1071" s="81"/>
      <c r="S1071" s="81"/>
      <c r="T1071" s="81"/>
      <c r="U1071" s="83"/>
      <c r="V1071" s="83"/>
      <c r="W1071" s="81"/>
      <c r="X1071" s="81"/>
      <c r="Y1071" s="83"/>
      <c r="Z1071" s="81"/>
      <c r="AA1071" s="81"/>
      <c r="AB1071" s="81"/>
      <c r="AC1071" s="81"/>
      <c r="AD1071" s="81"/>
      <c r="AE1071" s="83"/>
      <c r="AF1071" s="81"/>
      <c r="AG1071" s="81"/>
      <c r="AH1071" s="81"/>
      <c r="AI1071" s="81"/>
      <c r="AJ1071" s="83"/>
      <c r="AK1071" s="81"/>
      <c r="AL1071" s="81"/>
      <c r="AM1071" s="83"/>
      <c r="AN1071" s="80"/>
      <c r="AO1071" s="82" t="n">
        <f aca="false">IF(E1071="","",(AA1071&lt;&gt;"")+(AG1071&lt;&gt;"")+(AL1071&lt;&gt;""))</f>
        <v>0</v>
      </c>
      <c r="AP1071" s="82" t="str">
        <f aca="false">IF(AL1071&lt;&gt;"",AL1071,IF(AG1071&lt;&gt;"",AG1071,IF(AA1071&lt;&gt;"",AA1071,"")))</f>
        <v/>
      </c>
      <c r="AQ1071" s="84" t="str">
        <f aca="false">IF(E1071="","",IF(U1071="","À SOUDER",IF(X1071="","VT EN ATTENTE",IF(X1071="R","VT REJETÉ – À REPRENDRE",IF(AP1071="","À RADIOGRAPHIER",IF(AP1071="A","ACCEPTÉ",IF(AP1071="NX","NX – RT À REFAIRE",IF(IF(AO1071=1,AD1071,IF(AO1071=2,AI1071,""))="A","RÉPARÉ – À RADIOGRAPHIER",IF(IF(AO1071=1,AD1071,IF(AO1071=2,AI1071,""))="R","VT REJETÉ – À REPRENDRE",IF(OR(AP1071="CO",AP1071="NT"),"COUPE – À RESOUDER","À RÉPARER"))))))))))</f>
        <v>À SOUDER</v>
      </c>
      <c r="AR1071" s="82" t="str">
        <f aca="false">IF(AND(ISNUMBER(U1071),OR(AQ1071="À RADIOGRAPHIER",AQ1071="RÉPARÉ – À RADIOGRAPHIER",AQ1071="NX – RT À REFAIRE",AQ1071="À RÉPARER",AQ1071="COUPE – À RESOUDER",AQ1071="VT REJETÉ – À REPRENDRE")),MAX(0,'PROGRAMME RT'!$C$4-U1071),"")</f>
        <v/>
      </c>
      <c r="AS1071" s="82" t="n">
        <f aca="false">IF(AND(OR(AQ1071="À RADIOGRAPHIER",AQ1071="RÉPARÉ – À RADIOGRAPHIER",AQ1071="NX – RT À REFAIRE"),OR('PROGRAMME RT'!$D$5="TOUTES",B1071='PROGRAMME RT'!$D$5)),1,0)</f>
        <v>0</v>
      </c>
      <c r="AT1071" s="82" t="str">
        <f aca="false">IF(AS1071=1,SUM(AS$7:AS1071),"")</f>
        <v/>
      </c>
      <c r="AU1071" s="82" t="n">
        <f aca="false">IF(AND(OR(AA1071="R",AA1071="NX",AA1071="NT",AA1071="CO"),OR('JOINTS DE RÉPARATION'!$D$5="TOUTES",B1071='JOINTS DE RÉPARATION'!$D$5),OR('JOINTS DE RÉPARATION'!$L$4="TOUS",AQ1071&lt;&gt;"ACCEPTÉ")),1,0)</f>
        <v>0</v>
      </c>
      <c r="AV1071" s="82" t="str">
        <f aca="false">IF(AU1071=1,SUM(AU$7:AU1071),"")</f>
        <v/>
      </c>
      <c r="AW1071" s="82" t="str">
        <f aca="false">IF(E1071="","",B1071&amp;"|"&amp;E1071)</f>
        <v>MFD-ISW → MFD-CPF|JN°942</v>
      </c>
    </row>
    <row r="1072" customFormat="false" ht="74.6" hidden="false" customHeight="false" outlineLevel="0" collapsed="false">
      <c r="A1072" s="79" t="n">
        <f aca="false">IF(E1072="","",ROW()-6)</f>
        <v>1066</v>
      </c>
      <c r="B1072" s="80" t="s">
        <v>110</v>
      </c>
      <c r="C1072" s="81" t="s">
        <v>926</v>
      </c>
      <c r="D1072" s="81"/>
      <c r="E1072" s="81" t="s">
        <v>1274</v>
      </c>
      <c r="F1072" s="82" t="str">
        <f aca="false">IF(E1072="","",IF(LEFT(E1072,2)="DJ","DJ","JN"))</f>
        <v>JN</v>
      </c>
      <c r="G1072" s="81"/>
      <c r="H1072" s="81"/>
      <c r="I1072" s="81"/>
      <c r="J1072" s="81"/>
      <c r="K1072" s="81"/>
      <c r="L1072" s="81" t="s">
        <v>1270</v>
      </c>
      <c r="M1072" s="81"/>
      <c r="N1072" s="81"/>
      <c r="O1072" s="81" t="s">
        <v>1270</v>
      </c>
      <c r="P1072" s="81"/>
      <c r="Q1072" s="81"/>
      <c r="R1072" s="81"/>
      <c r="S1072" s="81"/>
      <c r="T1072" s="81"/>
      <c r="U1072" s="83"/>
      <c r="V1072" s="83"/>
      <c r="W1072" s="81"/>
      <c r="X1072" s="81"/>
      <c r="Y1072" s="83"/>
      <c r="Z1072" s="81"/>
      <c r="AA1072" s="81"/>
      <c r="AB1072" s="81"/>
      <c r="AC1072" s="81"/>
      <c r="AD1072" s="81"/>
      <c r="AE1072" s="83"/>
      <c r="AF1072" s="81"/>
      <c r="AG1072" s="81"/>
      <c r="AH1072" s="81"/>
      <c r="AI1072" s="81"/>
      <c r="AJ1072" s="83"/>
      <c r="AK1072" s="81"/>
      <c r="AL1072" s="81"/>
      <c r="AM1072" s="83"/>
      <c r="AN1072" s="80"/>
      <c r="AO1072" s="82" t="n">
        <f aca="false">IF(E1072="","",(AA1072&lt;&gt;"")+(AG1072&lt;&gt;"")+(AL1072&lt;&gt;""))</f>
        <v>0</v>
      </c>
      <c r="AP1072" s="82" t="str">
        <f aca="false">IF(AL1072&lt;&gt;"",AL1072,IF(AG1072&lt;&gt;"",AG1072,IF(AA1072&lt;&gt;"",AA1072,"")))</f>
        <v/>
      </c>
      <c r="AQ1072" s="84" t="str">
        <f aca="false">IF(E1072="","",IF(U1072="","À SOUDER",IF(X1072="","VT EN ATTENTE",IF(X1072="R","VT REJETÉ – À REPRENDRE",IF(AP1072="","À RADIOGRAPHIER",IF(AP1072="A","ACCEPTÉ",IF(AP1072="NX","NX – RT À REFAIRE",IF(IF(AO1072=1,AD1072,IF(AO1072=2,AI1072,""))="A","RÉPARÉ – À RADIOGRAPHIER",IF(IF(AO1072=1,AD1072,IF(AO1072=2,AI1072,""))="R","VT REJETÉ – À REPRENDRE",IF(OR(AP1072="CO",AP1072="NT"),"COUPE – À RESOUDER","À RÉPARER"))))))))))</f>
        <v>À SOUDER</v>
      </c>
      <c r="AR1072" s="82" t="str">
        <f aca="false">IF(AND(ISNUMBER(U1072),OR(AQ1072="À RADIOGRAPHIER",AQ1072="RÉPARÉ – À RADIOGRAPHIER",AQ1072="NX – RT À REFAIRE",AQ1072="À RÉPARER",AQ1072="COUPE – À RESOUDER",AQ1072="VT REJETÉ – À REPRENDRE")),MAX(0,'PROGRAMME RT'!$C$4-U1072),"")</f>
        <v/>
      </c>
      <c r="AS1072" s="82" t="n">
        <f aca="false">IF(AND(OR(AQ1072="À RADIOGRAPHIER",AQ1072="RÉPARÉ – À RADIOGRAPHIER",AQ1072="NX – RT À REFAIRE"),OR('PROGRAMME RT'!$D$5="TOUTES",B1072='PROGRAMME RT'!$D$5)),1,0)</f>
        <v>0</v>
      </c>
      <c r="AT1072" s="82" t="str">
        <f aca="false">IF(AS1072=1,SUM(AS$7:AS1072),"")</f>
        <v/>
      </c>
      <c r="AU1072" s="82" t="n">
        <f aca="false">IF(AND(OR(AA1072="R",AA1072="NX",AA1072="NT",AA1072="CO"),OR('JOINTS DE RÉPARATION'!$D$5="TOUTES",B1072='JOINTS DE RÉPARATION'!$D$5),OR('JOINTS DE RÉPARATION'!$L$4="TOUS",AQ1072&lt;&gt;"ACCEPTÉ")),1,0)</f>
        <v>0</v>
      </c>
      <c r="AV1072" s="82" t="str">
        <f aca="false">IF(AU1072=1,SUM(AU$7:AU1072),"")</f>
        <v/>
      </c>
      <c r="AW1072" s="82" t="str">
        <f aca="false">IF(E1072="","",B1072&amp;"|"&amp;E1072)</f>
        <v>MFD-ISW → MFD-CPF|JN°943</v>
      </c>
    </row>
    <row r="1073" customFormat="false" ht="74.6" hidden="false" customHeight="false" outlineLevel="0" collapsed="false">
      <c r="A1073" s="79" t="n">
        <f aca="false">IF(E1073="","",ROW()-6)</f>
        <v>1067</v>
      </c>
      <c r="B1073" s="80" t="s">
        <v>110</v>
      </c>
      <c r="C1073" s="81" t="s">
        <v>926</v>
      </c>
      <c r="D1073" s="81"/>
      <c r="E1073" s="81" t="s">
        <v>1275</v>
      </c>
      <c r="F1073" s="82" t="str">
        <f aca="false">IF(E1073="","",IF(LEFT(E1073,2)="DJ","DJ","JN"))</f>
        <v>JN</v>
      </c>
      <c r="G1073" s="81"/>
      <c r="H1073" s="81"/>
      <c r="I1073" s="81"/>
      <c r="J1073" s="81"/>
      <c r="K1073" s="81"/>
      <c r="L1073" s="81" t="s">
        <v>1270</v>
      </c>
      <c r="M1073" s="81"/>
      <c r="N1073" s="81"/>
      <c r="O1073" s="81" t="s">
        <v>1270</v>
      </c>
      <c r="P1073" s="81"/>
      <c r="Q1073" s="81"/>
      <c r="R1073" s="81"/>
      <c r="S1073" s="81"/>
      <c r="T1073" s="81"/>
      <c r="U1073" s="83"/>
      <c r="V1073" s="83"/>
      <c r="W1073" s="81"/>
      <c r="X1073" s="81"/>
      <c r="Y1073" s="83"/>
      <c r="Z1073" s="81"/>
      <c r="AA1073" s="81"/>
      <c r="AB1073" s="81"/>
      <c r="AC1073" s="81"/>
      <c r="AD1073" s="81"/>
      <c r="AE1073" s="83"/>
      <c r="AF1073" s="81"/>
      <c r="AG1073" s="81"/>
      <c r="AH1073" s="81"/>
      <c r="AI1073" s="81"/>
      <c r="AJ1073" s="83"/>
      <c r="AK1073" s="81"/>
      <c r="AL1073" s="81"/>
      <c r="AM1073" s="83"/>
      <c r="AN1073" s="80"/>
      <c r="AO1073" s="82" t="n">
        <f aca="false">IF(E1073="","",(AA1073&lt;&gt;"")+(AG1073&lt;&gt;"")+(AL1073&lt;&gt;""))</f>
        <v>0</v>
      </c>
      <c r="AP1073" s="82" t="str">
        <f aca="false">IF(AL1073&lt;&gt;"",AL1073,IF(AG1073&lt;&gt;"",AG1073,IF(AA1073&lt;&gt;"",AA1073,"")))</f>
        <v/>
      </c>
      <c r="AQ1073" s="84" t="str">
        <f aca="false">IF(E1073="","",IF(U1073="","À SOUDER",IF(X1073="","VT EN ATTENTE",IF(X1073="R","VT REJETÉ – À REPRENDRE",IF(AP1073="","À RADIOGRAPHIER",IF(AP1073="A","ACCEPTÉ",IF(AP1073="NX","NX – RT À REFAIRE",IF(IF(AO1073=1,AD1073,IF(AO1073=2,AI1073,""))="A","RÉPARÉ – À RADIOGRAPHIER",IF(IF(AO1073=1,AD1073,IF(AO1073=2,AI1073,""))="R","VT REJETÉ – À REPRENDRE",IF(OR(AP1073="CO",AP1073="NT"),"COUPE – À RESOUDER","À RÉPARER"))))))))))</f>
        <v>À SOUDER</v>
      </c>
      <c r="AR1073" s="82" t="str">
        <f aca="false">IF(AND(ISNUMBER(U1073),OR(AQ1073="À RADIOGRAPHIER",AQ1073="RÉPARÉ – À RADIOGRAPHIER",AQ1073="NX – RT À REFAIRE",AQ1073="À RÉPARER",AQ1073="COUPE – À RESOUDER",AQ1073="VT REJETÉ – À REPRENDRE")),MAX(0,'PROGRAMME RT'!$C$4-U1073),"")</f>
        <v/>
      </c>
      <c r="AS1073" s="82" t="n">
        <f aca="false">IF(AND(OR(AQ1073="À RADIOGRAPHIER",AQ1073="RÉPARÉ – À RADIOGRAPHIER",AQ1073="NX – RT À REFAIRE"),OR('PROGRAMME RT'!$D$5="TOUTES",B1073='PROGRAMME RT'!$D$5)),1,0)</f>
        <v>0</v>
      </c>
      <c r="AT1073" s="82" t="str">
        <f aca="false">IF(AS1073=1,SUM(AS$7:AS1073),"")</f>
        <v/>
      </c>
      <c r="AU1073" s="82" t="n">
        <f aca="false">IF(AND(OR(AA1073="R",AA1073="NX",AA1073="NT",AA1073="CO"),OR('JOINTS DE RÉPARATION'!$D$5="TOUTES",B1073='JOINTS DE RÉPARATION'!$D$5),OR('JOINTS DE RÉPARATION'!$L$4="TOUS",AQ1073&lt;&gt;"ACCEPTÉ")),1,0)</f>
        <v>0</v>
      </c>
      <c r="AV1073" s="82" t="str">
        <f aca="false">IF(AU1073=1,SUM(AU$7:AU1073),"")</f>
        <v/>
      </c>
      <c r="AW1073" s="82" t="str">
        <f aca="false">IF(E1073="","",B1073&amp;"|"&amp;E1073)</f>
        <v>MFD-ISW → MFD-CPF|JN°944</v>
      </c>
    </row>
    <row r="1074" customFormat="false" ht="74.6" hidden="false" customHeight="false" outlineLevel="0" collapsed="false">
      <c r="A1074" s="79" t="n">
        <f aca="false">IF(E1074="","",ROW()-6)</f>
        <v>1068</v>
      </c>
      <c r="B1074" s="80" t="s">
        <v>110</v>
      </c>
      <c r="C1074" s="81" t="s">
        <v>926</v>
      </c>
      <c r="D1074" s="81"/>
      <c r="E1074" s="81" t="s">
        <v>1276</v>
      </c>
      <c r="F1074" s="82" t="str">
        <f aca="false">IF(E1074="","",IF(LEFT(E1074,2)="DJ","DJ","JN"))</f>
        <v>JN</v>
      </c>
      <c r="G1074" s="81"/>
      <c r="H1074" s="81"/>
      <c r="I1074" s="81"/>
      <c r="J1074" s="81"/>
      <c r="K1074" s="81"/>
      <c r="L1074" s="81" t="s">
        <v>1270</v>
      </c>
      <c r="M1074" s="81"/>
      <c r="N1074" s="81"/>
      <c r="O1074" s="81" t="s">
        <v>1270</v>
      </c>
      <c r="P1074" s="81"/>
      <c r="Q1074" s="81"/>
      <c r="R1074" s="81"/>
      <c r="S1074" s="81"/>
      <c r="T1074" s="81"/>
      <c r="U1074" s="83"/>
      <c r="V1074" s="83"/>
      <c r="W1074" s="81"/>
      <c r="X1074" s="81"/>
      <c r="Y1074" s="83"/>
      <c r="Z1074" s="81"/>
      <c r="AA1074" s="81"/>
      <c r="AB1074" s="81"/>
      <c r="AC1074" s="81"/>
      <c r="AD1074" s="81"/>
      <c r="AE1074" s="83"/>
      <c r="AF1074" s="81"/>
      <c r="AG1074" s="81"/>
      <c r="AH1074" s="81"/>
      <c r="AI1074" s="81"/>
      <c r="AJ1074" s="83"/>
      <c r="AK1074" s="81"/>
      <c r="AL1074" s="81"/>
      <c r="AM1074" s="83"/>
      <c r="AN1074" s="80"/>
      <c r="AO1074" s="82" t="n">
        <f aca="false">IF(E1074="","",(AA1074&lt;&gt;"")+(AG1074&lt;&gt;"")+(AL1074&lt;&gt;""))</f>
        <v>0</v>
      </c>
      <c r="AP1074" s="82" t="str">
        <f aca="false">IF(AL1074&lt;&gt;"",AL1074,IF(AG1074&lt;&gt;"",AG1074,IF(AA1074&lt;&gt;"",AA1074,"")))</f>
        <v/>
      </c>
      <c r="AQ1074" s="84" t="str">
        <f aca="false">IF(E1074="","",IF(U1074="","À SOUDER",IF(X1074="","VT EN ATTENTE",IF(X1074="R","VT REJETÉ – À REPRENDRE",IF(AP1074="","À RADIOGRAPHIER",IF(AP1074="A","ACCEPTÉ",IF(AP1074="NX","NX – RT À REFAIRE",IF(IF(AO1074=1,AD1074,IF(AO1074=2,AI1074,""))="A","RÉPARÉ – À RADIOGRAPHIER",IF(IF(AO1074=1,AD1074,IF(AO1074=2,AI1074,""))="R","VT REJETÉ – À REPRENDRE",IF(OR(AP1074="CO",AP1074="NT"),"COUPE – À RESOUDER","À RÉPARER"))))))))))</f>
        <v>À SOUDER</v>
      </c>
      <c r="AR1074" s="82" t="str">
        <f aca="false">IF(AND(ISNUMBER(U1074),OR(AQ1074="À RADIOGRAPHIER",AQ1074="RÉPARÉ – À RADIOGRAPHIER",AQ1074="NX – RT À REFAIRE",AQ1074="À RÉPARER",AQ1074="COUPE – À RESOUDER",AQ1074="VT REJETÉ – À REPRENDRE")),MAX(0,'PROGRAMME RT'!$C$4-U1074),"")</f>
        <v/>
      </c>
      <c r="AS1074" s="82" t="n">
        <f aca="false">IF(AND(OR(AQ1074="À RADIOGRAPHIER",AQ1074="RÉPARÉ – À RADIOGRAPHIER",AQ1074="NX – RT À REFAIRE"),OR('PROGRAMME RT'!$D$5="TOUTES",B1074='PROGRAMME RT'!$D$5)),1,0)</f>
        <v>0</v>
      </c>
      <c r="AT1074" s="82" t="str">
        <f aca="false">IF(AS1074=1,SUM(AS$7:AS1074),"")</f>
        <v/>
      </c>
      <c r="AU1074" s="82" t="n">
        <f aca="false">IF(AND(OR(AA1074="R",AA1074="NX",AA1074="NT",AA1074="CO"),OR('JOINTS DE RÉPARATION'!$D$5="TOUTES",B1074='JOINTS DE RÉPARATION'!$D$5),OR('JOINTS DE RÉPARATION'!$L$4="TOUS",AQ1074&lt;&gt;"ACCEPTÉ")),1,0)</f>
        <v>0</v>
      </c>
      <c r="AV1074" s="82" t="str">
        <f aca="false">IF(AU1074=1,SUM(AU$7:AU1074),"")</f>
        <v/>
      </c>
      <c r="AW1074" s="82" t="str">
        <f aca="false">IF(E1074="","",B1074&amp;"|"&amp;E1074)</f>
        <v>MFD-ISW → MFD-CPF|JN°945</v>
      </c>
    </row>
    <row r="1075" customFormat="false" ht="74.6" hidden="false" customHeight="false" outlineLevel="0" collapsed="false">
      <c r="A1075" s="79" t="n">
        <f aca="false">IF(E1075="","",ROW()-6)</f>
        <v>1069</v>
      </c>
      <c r="B1075" s="80" t="s">
        <v>110</v>
      </c>
      <c r="C1075" s="81" t="s">
        <v>926</v>
      </c>
      <c r="D1075" s="81"/>
      <c r="E1075" s="81" t="s">
        <v>1277</v>
      </c>
      <c r="F1075" s="82" t="str">
        <f aca="false">IF(E1075="","",IF(LEFT(E1075,2)="DJ","DJ","JN"))</f>
        <v>JN</v>
      </c>
      <c r="G1075" s="81"/>
      <c r="H1075" s="81"/>
      <c r="I1075" s="81"/>
      <c r="J1075" s="81"/>
      <c r="K1075" s="81"/>
      <c r="L1075" s="81" t="s">
        <v>1270</v>
      </c>
      <c r="M1075" s="81"/>
      <c r="N1075" s="81"/>
      <c r="O1075" s="81" t="s">
        <v>1270</v>
      </c>
      <c r="P1075" s="81"/>
      <c r="Q1075" s="81"/>
      <c r="R1075" s="81"/>
      <c r="S1075" s="81"/>
      <c r="T1075" s="81"/>
      <c r="U1075" s="83"/>
      <c r="V1075" s="83"/>
      <c r="W1075" s="81"/>
      <c r="X1075" s="81"/>
      <c r="Y1075" s="83"/>
      <c r="Z1075" s="81"/>
      <c r="AA1075" s="81"/>
      <c r="AB1075" s="81"/>
      <c r="AC1075" s="81"/>
      <c r="AD1075" s="81"/>
      <c r="AE1075" s="83"/>
      <c r="AF1075" s="81"/>
      <c r="AG1075" s="81"/>
      <c r="AH1075" s="81"/>
      <c r="AI1075" s="81"/>
      <c r="AJ1075" s="83"/>
      <c r="AK1075" s="81"/>
      <c r="AL1075" s="81"/>
      <c r="AM1075" s="83"/>
      <c r="AN1075" s="80"/>
      <c r="AO1075" s="82" t="n">
        <f aca="false">IF(E1075="","",(AA1075&lt;&gt;"")+(AG1075&lt;&gt;"")+(AL1075&lt;&gt;""))</f>
        <v>0</v>
      </c>
      <c r="AP1075" s="82" t="str">
        <f aca="false">IF(AL1075&lt;&gt;"",AL1075,IF(AG1075&lt;&gt;"",AG1075,IF(AA1075&lt;&gt;"",AA1075,"")))</f>
        <v/>
      </c>
      <c r="AQ1075" s="84" t="str">
        <f aca="false">IF(E1075="","",IF(U1075="","À SOUDER",IF(X1075="","VT EN ATTENTE",IF(X1075="R","VT REJETÉ – À REPRENDRE",IF(AP1075="","À RADIOGRAPHIER",IF(AP1075="A","ACCEPTÉ",IF(AP1075="NX","NX – RT À REFAIRE",IF(IF(AO1075=1,AD1075,IF(AO1075=2,AI1075,""))="A","RÉPARÉ – À RADIOGRAPHIER",IF(IF(AO1075=1,AD1075,IF(AO1075=2,AI1075,""))="R","VT REJETÉ – À REPRENDRE",IF(OR(AP1075="CO",AP1075="NT"),"COUPE – À RESOUDER","À RÉPARER"))))))))))</f>
        <v>À SOUDER</v>
      </c>
      <c r="AR1075" s="82" t="str">
        <f aca="false">IF(AND(ISNUMBER(U1075),OR(AQ1075="À RADIOGRAPHIER",AQ1075="RÉPARÉ – À RADIOGRAPHIER",AQ1075="NX – RT À REFAIRE",AQ1075="À RÉPARER",AQ1075="COUPE – À RESOUDER",AQ1075="VT REJETÉ – À REPRENDRE")),MAX(0,'PROGRAMME RT'!$C$4-U1075),"")</f>
        <v/>
      </c>
      <c r="AS1075" s="82" t="n">
        <f aca="false">IF(AND(OR(AQ1075="À RADIOGRAPHIER",AQ1075="RÉPARÉ – À RADIOGRAPHIER",AQ1075="NX – RT À REFAIRE"),OR('PROGRAMME RT'!$D$5="TOUTES",B1075='PROGRAMME RT'!$D$5)),1,0)</f>
        <v>0</v>
      </c>
      <c r="AT1075" s="82" t="str">
        <f aca="false">IF(AS1075=1,SUM(AS$7:AS1075),"")</f>
        <v/>
      </c>
      <c r="AU1075" s="82" t="n">
        <f aca="false">IF(AND(OR(AA1075="R",AA1075="NX",AA1075="NT",AA1075="CO"),OR('JOINTS DE RÉPARATION'!$D$5="TOUTES",B1075='JOINTS DE RÉPARATION'!$D$5),OR('JOINTS DE RÉPARATION'!$L$4="TOUS",AQ1075&lt;&gt;"ACCEPTÉ")),1,0)</f>
        <v>0</v>
      </c>
      <c r="AV1075" s="82" t="str">
        <f aca="false">IF(AU1075=1,SUM(AU$7:AU1075),"")</f>
        <v/>
      </c>
      <c r="AW1075" s="82" t="str">
        <f aca="false">IF(E1075="","",B1075&amp;"|"&amp;E1075)</f>
        <v>MFD-ISW → MFD-CPF|JN°946</v>
      </c>
    </row>
    <row r="1076" customFormat="false" ht="74.6" hidden="false" customHeight="false" outlineLevel="0" collapsed="false">
      <c r="A1076" s="79" t="n">
        <f aca="false">IF(E1076="","",ROW()-6)</f>
        <v>1070</v>
      </c>
      <c r="B1076" s="80" t="s">
        <v>110</v>
      </c>
      <c r="C1076" s="81" t="s">
        <v>926</v>
      </c>
      <c r="D1076" s="81"/>
      <c r="E1076" s="81" t="s">
        <v>1278</v>
      </c>
      <c r="F1076" s="82" t="str">
        <f aca="false">IF(E1076="","",IF(LEFT(E1076,2)="DJ","DJ","JN"))</f>
        <v>JN</v>
      </c>
      <c r="G1076" s="81"/>
      <c r="H1076" s="81"/>
      <c r="I1076" s="81"/>
      <c r="J1076" s="81"/>
      <c r="K1076" s="81"/>
      <c r="L1076" s="81" t="s">
        <v>1270</v>
      </c>
      <c r="M1076" s="81"/>
      <c r="N1076" s="81"/>
      <c r="O1076" s="81" t="s">
        <v>1270</v>
      </c>
      <c r="P1076" s="81"/>
      <c r="Q1076" s="81"/>
      <c r="R1076" s="81"/>
      <c r="S1076" s="81"/>
      <c r="T1076" s="81"/>
      <c r="U1076" s="83"/>
      <c r="V1076" s="83"/>
      <c r="W1076" s="81"/>
      <c r="X1076" s="81"/>
      <c r="Y1076" s="83"/>
      <c r="Z1076" s="81"/>
      <c r="AA1076" s="81"/>
      <c r="AB1076" s="81"/>
      <c r="AC1076" s="81"/>
      <c r="AD1076" s="81"/>
      <c r="AE1076" s="83"/>
      <c r="AF1076" s="81"/>
      <c r="AG1076" s="81"/>
      <c r="AH1076" s="81"/>
      <c r="AI1076" s="81"/>
      <c r="AJ1076" s="83"/>
      <c r="AK1076" s="81"/>
      <c r="AL1076" s="81"/>
      <c r="AM1076" s="83"/>
      <c r="AN1076" s="80"/>
      <c r="AO1076" s="82" t="n">
        <f aca="false">IF(E1076="","",(AA1076&lt;&gt;"")+(AG1076&lt;&gt;"")+(AL1076&lt;&gt;""))</f>
        <v>0</v>
      </c>
      <c r="AP1076" s="82" t="str">
        <f aca="false">IF(AL1076&lt;&gt;"",AL1076,IF(AG1076&lt;&gt;"",AG1076,IF(AA1076&lt;&gt;"",AA1076,"")))</f>
        <v/>
      </c>
      <c r="AQ1076" s="84" t="str">
        <f aca="false">IF(E1076="","",IF(U1076="","À SOUDER",IF(X1076="","VT EN ATTENTE",IF(X1076="R","VT REJETÉ – À REPRENDRE",IF(AP1076="","À RADIOGRAPHIER",IF(AP1076="A","ACCEPTÉ",IF(AP1076="NX","NX – RT À REFAIRE",IF(IF(AO1076=1,AD1076,IF(AO1076=2,AI1076,""))="A","RÉPARÉ – À RADIOGRAPHIER",IF(IF(AO1076=1,AD1076,IF(AO1076=2,AI1076,""))="R","VT REJETÉ – À REPRENDRE",IF(OR(AP1076="CO",AP1076="NT"),"COUPE – À RESOUDER","À RÉPARER"))))))))))</f>
        <v>À SOUDER</v>
      </c>
      <c r="AR1076" s="82" t="str">
        <f aca="false">IF(AND(ISNUMBER(U1076),OR(AQ1076="À RADIOGRAPHIER",AQ1076="RÉPARÉ – À RADIOGRAPHIER",AQ1076="NX – RT À REFAIRE",AQ1076="À RÉPARER",AQ1076="COUPE – À RESOUDER",AQ1076="VT REJETÉ – À REPRENDRE")),MAX(0,'PROGRAMME RT'!$C$4-U1076),"")</f>
        <v/>
      </c>
      <c r="AS1076" s="82" t="n">
        <f aca="false">IF(AND(OR(AQ1076="À RADIOGRAPHIER",AQ1076="RÉPARÉ – À RADIOGRAPHIER",AQ1076="NX – RT À REFAIRE"),OR('PROGRAMME RT'!$D$5="TOUTES",B1076='PROGRAMME RT'!$D$5)),1,0)</f>
        <v>0</v>
      </c>
      <c r="AT1076" s="82" t="str">
        <f aca="false">IF(AS1076=1,SUM(AS$7:AS1076),"")</f>
        <v/>
      </c>
      <c r="AU1076" s="82" t="n">
        <f aca="false">IF(AND(OR(AA1076="R",AA1076="NX",AA1076="NT",AA1076="CO"),OR('JOINTS DE RÉPARATION'!$D$5="TOUTES",B1076='JOINTS DE RÉPARATION'!$D$5),OR('JOINTS DE RÉPARATION'!$L$4="TOUS",AQ1076&lt;&gt;"ACCEPTÉ")),1,0)</f>
        <v>0</v>
      </c>
      <c r="AV1076" s="82" t="str">
        <f aca="false">IF(AU1076=1,SUM(AU$7:AU1076),"")</f>
        <v/>
      </c>
      <c r="AW1076" s="82" t="str">
        <f aca="false">IF(E1076="","",B1076&amp;"|"&amp;E1076)</f>
        <v>MFD-ISW → MFD-CPF|JN°947</v>
      </c>
    </row>
    <row r="1077" customFormat="false" ht="74.6" hidden="false" customHeight="false" outlineLevel="0" collapsed="false">
      <c r="A1077" s="79" t="n">
        <f aca="false">IF(E1077="","",ROW()-6)</f>
        <v>1071</v>
      </c>
      <c r="B1077" s="80" t="s">
        <v>110</v>
      </c>
      <c r="C1077" s="81" t="s">
        <v>926</v>
      </c>
      <c r="D1077" s="81"/>
      <c r="E1077" s="81" t="s">
        <v>1279</v>
      </c>
      <c r="F1077" s="82" t="str">
        <f aca="false">IF(E1077="","",IF(LEFT(E1077,2)="DJ","DJ","JN"))</f>
        <v>JN</v>
      </c>
      <c r="G1077" s="81"/>
      <c r="H1077" s="81"/>
      <c r="I1077" s="81"/>
      <c r="J1077" s="81"/>
      <c r="K1077" s="81"/>
      <c r="L1077" s="81" t="s">
        <v>1270</v>
      </c>
      <c r="M1077" s="81"/>
      <c r="N1077" s="81"/>
      <c r="O1077" s="81" t="s">
        <v>1270</v>
      </c>
      <c r="P1077" s="81"/>
      <c r="Q1077" s="81"/>
      <c r="R1077" s="81"/>
      <c r="S1077" s="81"/>
      <c r="T1077" s="81"/>
      <c r="U1077" s="83"/>
      <c r="V1077" s="83"/>
      <c r="W1077" s="81"/>
      <c r="X1077" s="81"/>
      <c r="Y1077" s="83"/>
      <c r="Z1077" s="81"/>
      <c r="AA1077" s="81"/>
      <c r="AB1077" s="81"/>
      <c r="AC1077" s="81"/>
      <c r="AD1077" s="81"/>
      <c r="AE1077" s="83"/>
      <c r="AF1077" s="81"/>
      <c r="AG1077" s="81"/>
      <c r="AH1077" s="81"/>
      <c r="AI1077" s="81"/>
      <c r="AJ1077" s="83"/>
      <c r="AK1077" s="81"/>
      <c r="AL1077" s="81"/>
      <c r="AM1077" s="83"/>
      <c r="AN1077" s="80"/>
      <c r="AO1077" s="82" t="n">
        <f aca="false">IF(E1077="","",(AA1077&lt;&gt;"")+(AG1077&lt;&gt;"")+(AL1077&lt;&gt;""))</f>
        <v>0</v>
      </c>
      <c r="AP1077" s="82" t="str">
        <f aca="false">IF(AL1077&lt;&gt;"",AL1077,IF(AG1077&lt;&gt;"",AG1077,IF(AA1077&lt;&gt;"",AA1077,"")))</f>
        <v/>
      </c>
      <c r="AQ1077" s="84" t="str">
        <f aca="false">IF(E1077="","",IF(U1077="","À SOUDER",IF(X1077="","VT EN ATTENTE",IF(X1077="R","VT REJETÉ – À REPRENDRE",IF(AP1077="","À RADIOGRAPHIER",IF(AP1077="A","ACCEPTÉ",IF(AP1077="NX","NX – RT À REFAIRE",IF(IF(AO1077=1,AD1077,IF(AO1077=2,AI1077,""))="A","RÉPARÉ – À RADIOGRAPHIER",IF(IF(AO1077=1,AD1077,IF(AO1077=2,AI1077,""))="R","VT REJETÉ – À REPRENDRE",IF(OR(AP1077="CO",AP1077="NT"),"COUPE – À RESOUDER","À RÉPARER"))))))))))</f>
        <v>À SOUDER</v>
      </c>
      <c r="AR1077" s="82" t="str">
        <f aca="false">IF(AND(ISNUMBER(U1077),OR(AQ1077="À RADIOGRAPHIER",AQ1077="RÉPARÉ – À RADIOGRAPHIER",AQ1077="NX – RT À REFAIRE",AQ1077="À RÉPARER",AQ1077="COUPE – À RESOUDER",AQ1077="VT REJETÉ – À REPRENDRE")),MAX(0,'PROGRAMME RT'!$C$4-U1077),"")</f>
        <v/>
      </c>
      <c r="AS1077" s="82" t="n">
        <f aca="false">IF(AND(OR(AQ1077="À RADIOGRAPHIER",AQ1077="RÉPARÉ – À RADIOGRAPHIER",AQ1077="NX – RT À REFAIRE"),OR('PROGRAMME RT'!$D$5="TOUTES",B1077='PROGRAMME RT'!$D$5)),1,0)</f>
        <v>0</v>
      </c>
      <c r="AT1077" s="82" t="str">
        <f aca="false">IF(AS1077=1,SUM(AS$7:AS1077),"")</f>
        <v/>
      </c>
      <c r="AU1077" s="82" t="n">
        <f aca="false">IF(AND(OR(AA1077="R",AA1077="NX",AA1077="NT",AA1077="CO"),OR('JOINTS DE RÉPARATION'!$D$5="TOUTES",B1077='JOINTS DE RÉPARATION'!$D$5),OR('JOINTS DE RÉPARATION'!$L$4="TOUS",AQ1077&lt;&gt;"ACCEPTÉ")),1,0)</f>
        <v>0</v>
      </c>
      <c r="AV1077" s="82" t="str">
        <f aca="false">IF(AU1077=1,SUM(AU$7:AU1077),"")</f>
        <v/>
      </c>
      <c r="AW1077" s="82" t="str">
        <f aca="false">IF(E1077="","",B1077&amp;"|"&amp;E1077)</f>
        <v>MFD-ISW → MFD-CPF|JN°948</v>
      </c>
    </row>
    <row r="1078" customFormat="false" ht="74.6" hidden="false" customHeight="false" outlineLevel="0" collapsed="false">
      <c r="A1078" s="79" t="n">
        <f aca="false">IF(E1078="","",ROW()-6)</f>
        <v>1072</v>
      </c>
      <c r="B1078" s="80" t="s">
        <v>110</v>
      </c>
      <c r="C1078" s="81" t="s">
        <v>926</v>
      </c>
      <c r="D1078" s="81"/>
      <c r="E1078" s="81" t="s">
        <v>1280</v>
      </c>
      <c r="F1078" s="82" t="str">
        <f aca="false">IF(E1078="","",IF(LEFT(E1078,2)="DJ","DJ","JN"))</f>
        <v>JN</v>
      </c>
      <c r="G1078" s="81"/>
      <c r="H1078" s="81"/>
      <c r="I1078" s="81"/>
      <c r="J1078" s="81"/>
      <c r="K1078" s="81"/>
      <c r="L1078" s="81" t="s">
        <v>1270</v>
      </c>
      <c r="M1078" s="81"/>
      <c r="N1078" s="81"/>
      <c r="O1078" s="81" t="s">
        <v>1270</v>
      </c>
      <c r="P1078" s="81"/>
      <c r="Q1078" s="81"/>
      <c r="R1078" s="81"/>
      <c r="S1078" s="81"/>
      <c r="T1078" s="81"/>
      <c r="U1078" s="83"/>
      <c r="V1078" s="83"/>
      <c r="W1078" s="81"/>
      <c r="X1078" s="81"/>
      <c r="Y1078" s="83"/>
      <c r="Z1078" s="81"/>
      <c r="AA1078" s="81"/>
      <c r="AB1078" s="81"/>
      <c r="AC1078" s="81"/>
      <c r="AD1078" s="81"/>
      <c r="AE1078" s="83"/>
      <c r="AF1078" s="81"/>
      <c r="AG1078" s="81"/>
      <c r="AH1078" s="81"/>
      <c r="AI1078" s="81"/>
      <c r="AJ1078" s="83"/>
      <c r="AK1078" s="81"/>
      <c r="AL1078" s="81"/>
      <c r="AM1078" s="83"/>
      <c r="AN1078" s="80"/>
      <c r="AO1078" s="82" t="n">
        <f aca="false">IF(E1078="","",(AA1078&lt;&gt;"")+(AG1078&lt;&gt;"")+(AL1078&lt;&gt;""))</f>
        <v>0</v>
      </c>
      <c r="AP1078" s="82" t="str">
        <f aca="false">IF(AL1078&lt;&gt;"",AL1078,IF(AG1078&lt;&gt;"",AG1078,IF(AA1078&lt;&gt;"",AA1078,"")))</f>
        <v/>
      </c>
      <c r="AQ1078" s="84" t="str">
        <f aca="false">IF(E1078="","",IF(U1078="","À SOUDER",IF(X1078="","VT EN ATTENTE",IF(X1078="R","VT REJETÉ – À REPRENDRE",IF(AP1078="","À RADIOGRAPHIER",IF(AP1078="A","ACCEPTÉ",IF(AP1078="NX","NX – RT À REFAIRE",IF(IF(AO1078=1,AD1078,IF(AO1078=2,AI1078,""))="A","RÉPARÉ – À RADIOGRAPHIER",IF(IF(AO1078=1,AD1078,IF(AO1078=2,AI1078,""))="R","VT REJETÉ – À REPRENDRE",IF(OR(AP1078="CO",AP1078="NT"),"COUPE – À RESOUDER","À RÉPARER"))))))))))</f>
        <v>À SOUDER</v>
      </c>
      <c r="AR1078" s="82" t="str">
        <f aca="false">IF(AND(ISNUMBER(U1078),OR(AQ1078="À RADIOGRAPHIER",AQ1078="RÉPARÉ – À RADIOGRAPHIER",AQ1078="NX – RT À REFAIRE",AQ1078="À RÉPARER",AQ1078="COUPE – À RESOUDER",AQ1078="VT REJETÉ – À REPRENDRE")),MAX(0,'PROGRAMME RT'!$C$4-U1078),"")</f>
        <v/>
      </c>
      <c r="AS1078" s="82" t="n">
        <f aca="false">IF(AND(OR(AQ1078="À RADIOGRAPHIER",AQ1078="RÉPARÉ – À RADIOGRAPHIER",AQ1078="NX – RT À REFAIRE"),OR('PROGRAMME RT'!$D$5="TOUTES",B1078='PROGRAMME RT'!$D$5)),1,0)</f>
        <v>0</v>
      </c>
      <c r="AT1078" s="82" t="str">
        <f aca="false">IF(AS1078=1,SUM(AS$7:AS1078),"")</f>
        <v/>
      </c>
      <c r="AU1078" s="82" t="n">
        <f aca="false">IF(AND(OR(AA1078="R",AA1078="NX",AA1078="NT",AA1078="CO"),OR('JOINTS DE RÉPARATION'!$D$5="TOUTES",B1078='JOINTS DE RÉPARATION'!$D$5),OR('JOINTS DE RÉPARATION'!$L$4="TOUS",AQ1078&lt;&gt;"ACCEPTÉ")),1,0)</f>
        <v>0</v>
      </c>
      <c r="AV1078" s="82" t="str">
        <f aca="false">IF(AU1078=1,SUM(AU$7:AU1078),"")</f>
        <v/>
      </c>
      <c r="AW1078" s="82" t="str">
        <f aca="false">IF(E1078="","",B1078&amp;"|"&amp;E1078)</f>
        <v>MFD-ISW → MFD-CPF|JN°949</v>
      </c>
    </row>
    <row r="1079" customFormat="false" ht="74.6" hidden="false" customHeight="false" outlineLevel="0" collapsed="false">
      <c r="A1079" s="79" t="n">
        <f aca="false">IF(E1079="","",ROW()-6)</f>
        <v>1073</v>
      </c>
      <c r="B1079" s="80" t="s">
        <v>110</v>
      </c>
      <c r="C1079" s="81" t="s">
        <v>926</v>
      </c>
      <c r="D1079" s="81"/>
      <c r="E1079" s="81" t="s">
        <v>1281</v>
      </c>
      <c r="F1079" s="82" t="str">
        <f aca="false">IF(E1079="","",IF(LEFT(E1079,2)="DJ","DJ","JN"))</f>
        <v>JN</v>
      </c>
      <c r="G1079" s="81"/>
      <c r="H1079" s="81"/>
      <c r="I1079" s="81"/>
      <c r="J1079" s="81"/>
      <c r="K1079" s="81"/>
      <c r="L1079" s="81" t="s">
        <v>1270</v>
      </c>
      <c r="M1079" s="81"/>
      <c r="N1079" s="81"/>
      <c r="O1079" s="81" t="s">
        <v>1270</v>
      </c>
      <c r="P1079" s="81"/>
      <c r="Q1079" s="81"/>
      <c r="R1079" s="81"/>
      <c r="S1079" s="81"/>
      <c r="T1079" s="81"/>
      <c r="U1079" s="83"/>
      <c r="V1079" s="83"/>
      <c r="W1079" s="81"/>
      <c r="X1079" s="81"/>
      <c r="Y1079" s="83"/>
      <c r="Z1079" s="81"/>
      <c r="AA1079" s="81"/>
      <c r="AB1079" s="81"/>
      <c r="AC1079" s="81"/>
      <c r="AD1079" s="81"/>
      <c r="AE1079" s="83"/>
      <c r="AF1079" s="81"/>
      <c r="AG1079" s="81"/>
      <c r="AH1079" s="81"/>
      <c r="AI1079" s="81"/>
      <c r="AJ1079" s="83"/>
      <c r="AK1079" s="81"/>
      <c r="AL1079" s="81"/>
      <c r="AM1079" s="83"/>
      <c r="AN1079" s="80"/>
      <c r="AO1079" s="82" t="n">
        <f aca="false">IF(E1079="","",(AA1079&lt;&gt;"")+(AG1079&lt;&gt;"")+(AL1079&lt;&gt;""))</f>
        <v>0</v>
      </c>
      <c r="AP1079" s="82" t="str">
        <f aca="false">IF(AL1079&lt;&gt;"",AL1079,IF(AG1079&lt;&gt;"",AG1079,IF(AA1079&lt;&gt;"",AA1079,"")))</f>
        <v/>
      </c>
      <c r="AQ1079" s="84" t="str">
        <f aca="false">IF(E1079="","",IF(U1079="","À SOUDER",IF(X1079="","VT EN ATTENTE",IF(X1079="R","VT REJETÉ – À REPRENDRE",IF(AP1079="","À RADIOGRAPHIER",IF(AP1079="A","ACCEPTÉ",IF(AP1079="NX","NX – RT À REFAIRE",IF(IF(AO1079=1,AD1079,IF(AO1079=2,AI1079,""))="A","RÉPARÉ – À RADIOGRAPHIER",IF(IF(AO1079=1,AD1079,IF(AO1079=2,AI1079,""))="R","VT REJETÉ – À REPRENDRE",IF(OR(AP1079="CO",AP1079="NT"),"COUPE – À RESOUDER","À RÉPARER"))))))))))</f>
        <v>À SOUDER</v>
      </c>
      <c r="AR1079" s="82" t="str">
        <f aca="false">IF(AND(ISNUMBER(U1079),OR(AQ1079="À RADIOGRAPHIER",AQ1079="RÉPARÉ – À RADIOGRAPHIER",AQ1079="NX – RT À REFAIRE",AQ1079="À RÉPARER",AQ1079="COUPE – À RESOUDER",AQ1079="VT REJETÉ – À REPRENDRE")),MAX(0,'PROGRAMME RT'!$C$4-U1079),"")</f>
        <v/>
      </c>
      <c r="AS1079" s="82" t="n">
        <f aca="false">IF(AND(OR(AQ1079="À RADIOGRAPHIER",AQ1079="RÉPARÉ – À RADIOGRAPHIER",AQ1079="NX – RT À REFAIRE"),OR('PROGRAMME RT'!$D$5="TOUTES",B1079='PROGRAMME RT'!$D$5)),1,0)</f>
        <v>0</v>
      </c>
      <c r="AT1079" s="82" t="str">
        <f aca="false">IF(AS1079=1,SUM(AS$7:AS1079),"")</f>
        <v/>
      </c>
      <c r="AU1079" s="82" t="n">
        <f aca="false">IF(AND(OR(AA1079="R",AA1079="NX",AA1079="NT",AA1079="CO"),OR('JOINTS DE RÉPARATION'!$D$5="TOUTES",B1079='JOINTS DE RÉPARATION'!$D$5),OR('JOINTS DE RÉPARATION'!$L$4="TOUS",AQ1079&lt;&gt;"ACCEPTÉ")),1,0)</f>
        <v>0</v>
      </c>
      <c r="AV1079" s="82" t="str">
        <f aca="false">IF(AU1079=1,SUM(AU$7:AU1079),"")</f>
        <v/>
      </c>
      <c r="AW1079" s="82" t="str">
        <f aca="false">IF(E1079="","",B1079&amp;"|"&amp;E1079)</f>
        <v>MFD-ISW → MFD-CPF|JN°950</v>
      </c>
    </row>
    <row r="1080" customFormat="false" ht="74.6" hidden="false" customHeight="false" outlineLevel="0" collapsed="false">
      <c r="A1080" s="79" t="n">
        <f aca="false">IF(E1080="","",ROW()-6)</f>
        <v>1074</v>
      </c>
      <c r="B1080" s="80" t="s">
        <v>110</v>
      </c>
      <c r="C1080" s="81" t="s">
        <v>926</v>
      </c>
      <c r="D1080" s="81"/>
      <c r="E1080" s="81" t="s">
        <v>1282</v>
      </c>
      <c r="F1080" s="82" t="str">
        <f aca="false">IF(E1080="","",IF(LEFT(E1080,2)="DJ","DJ","JN"))</f>
        <v>JN</v>
      </c>
      <c r="G1080" s="81"/>
      <c r="H1080" s="81"/>
      <c r="I1080" s="81"/>
      <c r="J1080" s="81"/>
      <c r="K1080" s="81"/>
      <c r="L1080" s="81" t="s">
        <v>1270</v>
      </c>
      <c r="M1080" s="81"/>
      <c r="N1080" s="81"/>
      <c r="O1080" s="81" t="s">
        <v>1270</v>
      </c>
      <c r="P1080" s="81"/>
      <c r="Q1080" s="81"/>
      <c r="R1080" s="81"/>
      <c r="S1080" s="81"/>
      <c r="T1080" s="81"/>
      <c r="U1080" s="83"/>
      <c r="V1080" s="83"/>
      <c r="W1080" s="81"/>
      <c r="X1080" s="81"/>
      <c r="Y1080" s="83"/>
      <c r="Z1080" s="81"/>
      <c r="AA1080" s="81"/>
      <c r="AB1080" s="81"/>
      <c r="AC1080" s="81"/>
      <c r="AD1080" s="81"/>
      <c r="AE1080" s="83"/>
      <c r="AF1080" s="81"/>
      <c r="AG1080" s="81"/>
      <c r="AH1080" s="81"/>
      <c r="AI1080" s="81"/>
      <c r="AJ1080" s="83"/>
      <c r="AK1080" s="81"/>
      <c r="AL1080" s="81"/>
      <c r="AM1080" s="83"/>
      <c r="AN1080" s="80"/>
      <c r="AO1080" s="82" t="n">
        <f aca="false">IF(E1080="","",(AA1080&lt;&gt;"")+(AG1080&lt;&gt;"")+(AL1080&lt;&gt;""))</f>
        <v>0</v>
      </c>
      <c r="AP1080" s="82" t="str">
        <f aca="false">IF(AL1080&lt;&gt;"",AL1080,IF(AG1080&lt;&gt;"",AG1080,IF(AA1080&lt;&gt;"",AA1080,"")))</f>
        <v/>
      </c>
      <c r="AQ1080" s="84" t="str">
        <f aca="false">IF(E1080="","",IF(U1080="","À SOUDER",IF(X1080="","VT EN ATTENTE",IF(X1080="R","VT REJETÉ – À REPRENDRE",IF(AP1080="","À RADIOGRAPHIER",IF(AP1080="A","ACCEPTÉ",IF(AP1080="NX","NX – RT À REFAIRE",IF(IF(AO1080=1,AD1080,IF(AO1080=2,AI1080,""))="A","RÉPARÉ – À RADIOGRAPHIER",IF(IF(AO1080=1,AD1080,IF(AO1080=2,AI1080,""))="R","VT REJETÉ – À REPRENDRE",IF(OR(AP1080="CO",AP1080="NT"),"COUPE – À RESOUDER","À RÉPARER"))))))))))</f>
        <v>À SOUDER</v>
      </c>
      <c r="AR1080" s="82" t="str">
        <f aca="false">IF(AND(ISNUMBER(U1080),OR(AQ1080="À RADIOGRAPHIER",AQ1080="RÉPARÉ – À RADIOGRAPHIER",AQ1080="NX – RT À REFAIRE",AQ1080="À RÉPARER",AQ1080="COUPE – À RESOUDER",AQ1080="VT REJETÉ – À REPRENDRE")),MAX(0,'PROGRAMME RT'!$C$4-U1080),"")</f>
        <v/>
      </c>
      <c r="AS1080" s="82" t="n">
        <f aca="false">IF(AND(OR(AQ1080="À RADIOGRAPHIER",AQ1080="RÉPARÉ – À RADIOGRAPHIER",AQ1080="NX – RT À REFAIRE"),OR('PROGRAMME RT'!$D$5="TOUTES",B1080='PROGRAMME RT'!$D$5)),1,0)</f>
        <v>0</v>
      </c>
      <c r="AT1080" s="82" t="str">
        <f aca="false">IF(AS1080=1,SUM(AS$7:AS1080),"")</f>
        <v/>
      </c>
      <c r="AU1080" s="82" t="n">
        <f aca="false">IF(AND(OR(AA1080="R",AA1080="NX",AA1080="NT",AA1080="CO"),OR('JOINTS DE RÉPARATION'!$D$5="TOUTES",B1080='JOINTS DE RÉPARATION'!$D$5),OR('JOINTS DE RÉPARATION'!$L$4="TOUS",AQ1080&lt;&gt;"ACCEPTÉ")),1,0)</f>
        <v>0</v>
      </c>
      <c r="AV1080" s="82" t="str">
        <f aca="false">IF(AU1080=1,SUM(AU$7:AU1080),"")</f>
        <v/>
      </c>
      <c r="AW1080" s="82" t="str">
        <f aca="false">IF(E1080="","",B1080&amp;"|"&amp;E1080)</f>
        <v>MFD-ISW → MFD-CPF|JN°951</v>
      </c>
    </row>
    <row r="1081" customFormat="false" ht="74.6" hidden="false" customHeight="false" outlineLevel="0" collapsed="false">
      <c r="A1081" s="79" t="n">
        <f aca="false">IF(E1081="","",ROW()-6)</f>
        <v>1075</v>
      </c>
      <c r="B1081" s="80" t="s">
        <v>110</v>
      </c>
      <c r="C1081" s="81" t="s">
        <v>926</v>
      </c>
      <c r="D1081" s="81"/>
      <c r="E1081" s="81" t="s">
        <v>1283</v>
      </c>
      <c r="F1081" s="82" t="str">
        <f aca="false">IF(E1081="","",IF(LEFT(E1081,2)="DJ","DJ","JN"))</f>
        <v>JN</v>
      </c>
      <c r="G1081" s="81"/>
      <c r="H1081" s="81"/>
      <c r="I1081" s="81"/>
      <c r="J1081" s="81"/>
      <c r="K1081" s="81"/>
      <c r="L1081" s="81" t="s">
        <v>1270</v>
      </c>
      <c r="M1081" s="81"/>
      <c r="N1081" s="81"/>
      <c r="O1081" s="81" t="s">
        <v>1270</v>
      </c>
      <c r="P1081" s="81"/>
      <c r="Q1081" s="81"/>
      <c r="R1081" s="81"/>
      <c r="S1081" s="81"/>
      <c r="T1081" s="81"/>
      <c r="U1081" s="83"/>
      <c r="V1081" s="83"/>
      <c r="W1081" s="81"/>
      <c r="X1081" s="81"/>
      <c r="Y1081" s="83"/>
      <c r="Z1081" s="81"/>
      <c r="AA1081" s="81"/>
      <c r="AB1081" s="81"/>
      <c r="AC1081" s="81"/>
      <c r="AD1081" s="81"/>
      <c r="AE1081" s="83"/>
      <c r="AF1081" s="81"/>
      <c r="AG1081" s="81"/>
      <c r="AH1081" s="81"/>
      <c r="AI1081" s="81"/>
      <c r="AJ1081" s="83"/>
      <c r="AK1081" s="81"/>
      <c r="AL1081" s="81"/>
      <c r="AM1081" s="83"/>
      <c r="AN1081" s="80"/>
      <c r="AO1081" s="82" t="n">
        <f aca="false">IF(E1081="","",(AA1081&lt;&gt;"")+(AG1081&lt;&gt;"")+(AL1081&lt;&gt;""))</f>
        <v>0</v>
      </c>
      <c r="AP1081" s="82" t="str">
        <f aca="false">IF(AL1081&lt;&gt;"",AL1081,IF(AG1081&lt;&gt;"",AG1081,IF(AA1081&lt;&gt;"",AA1081,"")))</f>
        <v/>
      </c>
      <c r="AQ1081" s="84" t="str">
        <f aca="false">IF(E1081="","",IF(U1081="","À SOUDER",IF(X1081="","VT EN ATTENTE",IF(X1081="R","VT REJETÉ – À REPRENDRE",IF(AP1081="","À RADIOGRAPHIER",IF(AP1081="A","ACCEPTÉ",IF(AP1081="NX","NX – RT À REFAIRE",IF(IF(AO1081=1,AD1081,IF(AO1081=2,AI1081,""))="A","RÉPARÉ – À RADIOGRAPHIER",IF(IF(AO1081=1,AD1081,IF(AO1081=2,AI1081,""))="R","VT REJETÉ – À REPRENDRE",IF(OR(AP1081="CO",AP1081="NT"),"COUPE – À RESOUDER","À RÉPARER"))))))))))</f>
        <v>À SOUDER</v>
      </c>
      <c r="AR1081" s="82" t="str">
        <f aca="false">IF(AND(ISNUMBER(U1081),OR(AQ1081="À RADIOGRAPHIER",AQ1081="RÉPARÉ – À RADIOGRAPHIER",AQ1081="NX – RT À REFAIRE",AQ1081="À RÉPARER",AQ1081="COUPE – À RESOUDER",AQ1081="VT REJETÉ – À REPRENDRE")),MAX(0,'PROGRAMME RT'!$C$4-U1081),"")</f>
        <v/>
      </c>
      <c r="AS1081" s="82" t="n">
        <f aca="false">IF(AND(OR(AQ1081="À RADIOGRAPHIER",AQ1081="RÉPARÉ – À RADIOGRAPHIER",AQ1081="NX – RT À REFAIRE"),OR('PROGRAMME RT'!$D$5="TOUTES",B1081='PROGRAMME RT'!$D$5)),1,0)</f>
        <v>0</v>
      </c>
      <c r="AT1081" s="82" t="str">
        <f aca="false">IF(AS1081=1,SUM(AS$7:AS1081),"")</f>
        <v/>
      </c>
      <c r="AU1081" s="82" t="n">
        <f aca="false">IF(AND(OR(AA1081="R",AA1081="NX",AA1081="NT",AA1081="CO"),OR('JOINTS DE RÉPARATION'!$D$5="TOUTES",B1081='JOINTS DE RÉPARATION'!$D$5),OR('JOINTS DE RÉPARATION'!$L$4="TOUS",AQ1081&lt;&gt;"ACCEPTÉ")),1,0)</f>
        <v>0</v>
      </c>
      <c r="AV1081" s="82" t="str">
        <f aca="false">IF(AU1081=1,SUM(AU$7:AU1081),"")</f>
        <v/>
      </c>
      <c r="AW1081" s="82" t="str">
        <f aca="false">IF(E1081="","",B1081&amp;"|"&amp;E1081)</f>
        <v>MFD-ISW → MFD-CPF|JN°952</v>
      </c>
    </row>
    <row r="1082" customFormat="false" ht="74.6" hidden="false" customHeight="false" outlineLevel="0" collapsed="false">
      <c r="A1082" s="79" t="n">
        <f aca="false">IF(E1082="","",ROW()-6)</f>
        <v>1076</v>
      </c>
      <c r="B1082" s="80" t="s">
        <v>110</v>
      </c>
      <c r="C1082" s="81" t="s">
        <v>926</v>
      </c>
      <c r="D1082" s="81"/>
      <c r="E1082" s="81" t="s">
        <v>1284</v>
      </c>
      <c r="F1082" s="82" t="str">
        <f aca="false">IF(E1082="","",IF(LEFT(E1082,2)="DJ","DJ","JN"))</f>
        <v>JN</v>
      </c>
      <c r="G1082" s="81"/>
      <c r="H1082" s="81"/>
      <c r="I1082" s="81"/>
      <c r="J1082" s="81"/>
      <c r="K1082" s="81"/>
      <c r="L1082" s="81" t="s">
        <v>1270</v>
      </c>
      <c r="M1082" s="81"/>
      <c r="N1082" s="81"/>
      <c r="O1082" s="81" t="n">
        <v>2086960</v>
      </c>
      <c r="P1082" s="81" t="n">
        <v>15421107</v>
      </c>
      <c r="Q1082" s="81" t="n">
        <v>11.94</v>
      </c>
      <c r="R1082" s="81"/>
      <c r="S1082" s="81"/>
      <c r="T1082" s="81"/>
      <c r="U1082" s="83"/>
      <c r="V1082" s="83"/>
      <c r="W1082" s="81"/>
      <c r="X1082" s="81"/>
      <c r="Y1082" s="83"/>
      <c r="Z1082" s="81"/>
      <c r="AA1082" s="81"/>
      <c r="AB1082" s="81"/>
      <c r="AC1082" s="81"/>
      <c r="AD1082" s="81"/>
      <c r="AE1082" s="83"/>
      <c r="AF1082" s="81"/>
      <c r="AG1082" s="81"/>
      <c r="AH1082" s="81"/>
      <c r="AI1082" s="81"/>
      <c r="AJ1082" s="83"/>
      <c r="AK1082" s="81"/>
      <c r="AL1082" s="81"/>
      <c r="AM1082" s="83"/>
      <c r="AN1082" s="80"/>
      <c r="AO1082" s="82" t="n">
        <f aca="false">IF(E1082="","",(AA1082&lt;&gt;"")+(AG1082&lt;&gt;"")+(AL1082&lt;&gt;""))</f>
        <v>0</v>
      </c>
      <c r="AP1082" s="82" t="str">
        <f aca="false">IF(AL1082&lt;&gt;"",AL1082,IF(AG1082&lt;&gt;"",AG1082,IF(AA1082&lt;&gt;"",AA1082,"")))</f>
        <v/>
      </c>
      <c r="AQ1082" s="84" t="str">
        <f aca="false">IF(E1082="","",IF(U1082="","À SOUDER",IF(X1082="","VT EN ATTENTE",IF(X1082="R","VT REJETÉ – À REPRENDRE",IF(AP1082="","À RADIOGRAPHIER",IF(AP1082="A","ACCEPTÉ",IF(AP1082="NX","NX – RT À REFAIRE",IF(IF(AO1082=1,AD1082,IF(AO1082=2,AI1082,""))="A","RÉPARÉ – À RADIOGRAPHIER",IF(IF(AO1082=1,AD1082,IF(AO1082=2,AI1082,""))="R","VT REJETÉ – À REPRENDRE",IF(OR(AP1082="CO",AP1082="NT"),"COUPE – À RESOUDER","À RÉPARER"))))))))))</f>
        <v>À SOUDER</v>
      </c>
      <c r="AR1082" s="82" t="str">
        <f aca="false">IF(AND(ISNUMBER(U1082),OR(AQ1082="À RADIOGRAPHIER",AQ1082="RÉPARÉ – À RADIOGRAPHIER",AQ1082="NX – RT À REFAIRE",AQ1082="À RÉPARER",AQ1082="COUPE – À RESOUDER",AQ1082="VT REJETÉ – À REPRENDRE")),MAX(0,'PROGRAMME RT'!$C$4-U1082),"")</f>
        <v/>
      </c>
      <c r="AS1082" s="82" t="n">
        <f aca="false">IF(AND(OR(AQ1082="À RADIOGRAPHIER",AQ1082="RÉPARÉ – À RADIOGRAPHIER",AQ1082="NX – RT À REFAIRE"),OR('PROGRAMME RT'!$D$5="TOUTES",B1082='PROGRAMME RT'!$D$5)),1,0)</f>
        <v>0</v>
      </c>
      <c r="AT1082" s="82" t="str">
        <f aca="false">IF(AS1082=1,SUM(AS$7:AS1082),"")</f>
        <v/>
      </c>
      <c r="AU1082" s="82" t="n">
        <f aca="false">IF(AND(OR(AA1082="R",AA1082="NX",AA1082="NT",AA1082="CO"),OR('JOINTS DE RÉPARATION'!$D$5="TOUTES",B1082='JOINTS DE RÉPARATION'!$D$5),OR('JOINTS DE RÉPARATION'!$L$4="TOUS",AQ1082&lt;&gt;"ACCEPTÉ")),1,0)</f>
        <v>0</v>
      </c>
      <c r="AV1082" s="82" t="str">
        <f aca="false">IF(AU1082=1,SUM(AU$7:AU1082),"")</f>
        <v/>
      </c>
      <c r="AW1082" s="82" t="str">
        <f aca="false">IF(E1082="","",B1082&amp;"|"&amp;E1082)</f>
        <v>MFD-ISW → MFD-CPF|JN°953</v>
      </c>
    </row>
    <row r="1083" customFormat="false" ht="74.6" hidden="false" customHeight="false" outlineLevel="0" collapsed="false">
      <c r="A1083" s="79" t="n">
        <f aca="false">IF(E1083="","",ROW()-6)</f>
        <v>1077</v>
      </c>
      <c r="B1083" s="80" t="s">
        <v>110</v>
      </c>
      <c r="C1083" s="81" t="s">
        <v>1285</v>
      </c>
      <c r="D1083" s="81" t="n">
        <v>8</v>
      </c>
      <c r="E1083" s="81" t="s">
        <v>1286</v>
      </c>
      <c r="F1083" s="82" t="str">
        <f aca="false">IF(E1083="","",IF(LEFT(E1083,2)="DJ","DJ","JN"))</f>
        <v>JN</v>
      </c>
      <c r="G1083" s="81"/>
      <c r="H1083" s="81" t="s">
        <v>871</v>
      </c>
      <c r="I1083" s="81" t="n">
        <v>9.53</v>
      </c>
      <c r="J1083" s="81" t="s">
        <v>872</v>
      </c>
      <c r="K1083" s="81" t="s">
        <v>879</v>
      </c>
      <c r="L1083" s="81" t="n">
        <v>2086960</v>
      </c>
      <c r="M1083" s="81" t="n">
        <v>15421107</v>
      </c>
      <c r="N1083" s="81" t="n">
        <v>11.94</v>
      </c>
      <c r="O1083" s="81" t="n">
        <v>2081210</v>
      </c>
      <c r="P1083" s="81" t="n">
        <v>15421103</v>
      </c>
      <c r="Q1083" s="81" t="n">
        <v>11.94</v>
      </c>
      <c r="R1083" s="81" t="s">
        <v>1260</v>
      </c>
      <c r="S1083" s="81"/>
      <c r="T1083" s="81"/>
      <c r="U1083" s="83" t="n">
        <v>46281</v>
      </c>
      <c r="V1083" s="83" t="n">
        <v>46281</v>
      </c>
      <c r="W1083" s="81" t="s">
        <v>1261</v>
      </c>
      <c r="X1083" s="81" t="s">
        <v>876</v>
      </c>
      <c r="Y1083" s="83" t="n">
        <v>46286</v>
      </c>
      <c r="Z1083" s="81" t="s">
        <v>1287</v>
      </c>
      <c r="AA1083" s="81" t="s">
        <v>876</v>
      </c>
      <c r="AB1083" s="81"/>
      <c r="AC1083" s="81"/>
      <c r="AD1083" s="81"/>
      <c r="AE1083" s="83"/>
      <c r="AF1083" s="81"/>
      <c r="AG1083" s="81"/>
      <c r="AH1083" s="81"/>
      <c r="AI1083" s="81"/>
      <c r="AJ1083" s="83"/>
      <c r="AK1083" s="81"/>
      <c r="AL1083" s="81"/>
      <c r="AM1083" s="83"/>
      <c r="AN1083" s="80"/>
      <c r="AO1083" s="82" t="n">
        <f aca="false">IF(E1083="","",(AA1083&lt;&gt;"")+(AG1083&lt;&gt;"")+(AL1083&lt;&gt;""))</f>
        <v>1</v>
      </c>
      <c r="AP1083" s="82" t="str">
        <f aca="false">IF(AL1083&lt;&gt;"",AL1083,IF(AG1083&lt;&gt;"",AG1083,IF(AA1083&lt;&gt;"",AA1083,"")))</f>
        <v>A</v>
      </c>
      <c r="AQ1083" s="84" t="str">
        <f aca="false">IF(E1083="","",IF(U1083="","À SOUDER",IF(X1083="","VT EN ATTENTE",IF(X1083="R","VT REJETÉ – À REPRENDRE",IF(AP1083="","À RADIOGRAPHIER",IF(AP1083="A","ACCEPTÉ",IF(AP1083="NX","NX – RT À REFAIRE",IF(IF(AO1083=1,AD1083,IF(AO1083=2,AI1083,""))="A","RÉPARÉ – À RADIOGRAPHIER",IF(IF(AO1083=1,AD1083,IF(AO1083=2,AI1083,""))="R","VT REJETÉ – À REPRENDRE",IF(OR(AP1083="CO",AP1083="NT"),"COUPE – À RESOUDER","À RÉPARER"))))))))))</f>
        <v>ACCEPTÉ</v>
      </c>
      <c r="AR1083" s="82" t="str">
        <f aca="false">IF(AND(ISNUMBER(U1083),OR(AQ1083="À RADIOGRAPHIER",AQ1083="RÉPARÉ – À RADIOGRAPHIER",AQ1083="NX – RT À REFAIRE",AQ1083="À RÉPARER",AQ1083="COUPE – À RESOUDER",AQ1083="VT REJETÉ – À REPRENDRE")),MAX(0,'PROGRAMME RT'!$C$4-U1083),"")</f>
        <v/>
      </c>
      <c r="AS1083" s="82" t="n">
        <f aca="false">IF(AND(OR(AQ1083="À RADIOGRAPHIER",AQ1083="RÉPARÉ – À RADIOGRAPHIER",AQ1083="NX – RT À REFAIRE"),OR('PROGRAMME RT'!$D$5="TOUTES",B1083='PROGRAMME RT'!$D$5)),1,0)</f>
        <v>0</v>
      </c>
      <c r="AT1083" s="82" t="str">
        <f aca="false">IF(AS1083=1,SUM(AS$7:AS1083),"")</f>
        <v/>
      </c>
      <c r="AU1083" s="82" t="n">
        <f aca="false">IF(AND(OR(AA1083="R",AA1083="NX",AA1083="NT",AA1083="CO"),OR('JOINTS DE RÉPARATION'!$D$5="TOUTES",B1083='JOINTS DE RÉPARATION'!$D$5),OR('JOINTS DE RÉPARATION'!$L$4="TOUS",AQ1083&lt;&gt;"ACCEPTÉ")),1,0)</f>
        <v>0</v>
      </c>
      <c r="AV1083" s="82" t="str">
        <f aca="false">IF(AU1083=1,SUM(AU$7:AU1083),"")</f>
        <v/>
      </c>
      <c r="AW1083" s="82" t="str">
        <f aca="false">IF(E1083="","",B1083&amp;"|"&amp;E1083)</f>
        <v>MFD-ISW → MFD-CPF|JN°954</v>
      </c>
    </row>
    <row r="1084" customFormat="false" ht="74.6" hidden="false" customHeight="false" outlineLevel="0" collapsed="false">
      <c r="A1084" s="79" t="n">
        <f aca="false">IF(E1084="","",ROW()-6)</f>
        <v>1078</v>
      </c>
      <c r="B1084" s="80" t="s">
        <v>110</v>
      </c>
      <c r="C1084" s="81" t="s">
        <v>1285</v>
      </c>
      <c r="D1084" s="81" t="n">
        <v>8</v>
      </c>
      <c r="E1084" s="81" t="s">
        <v>1288</v>
      </c>
      <c r="F1084" s="82" t="str">
        <f aca="false">IF(E1084="","",IF(LEFT(E1084,2)="DJ","DJ","JN"))</f>
        <v>JN</v>
      </c>
      <c r="G1084" s="81"/>
      <c r="H1084" s="81" t="s">
        <v>871</v>
      </c>
      <c r="I1084" s="81" t="n">
        <v>9.53</v>
      </c>
      <c r="J1084" s="81" t="s">
        <v>872</v>
      </c>
      <c r="K1084" s="81" t="s">
        <v>879</v>
      </c>
      <c r="L1084" s="81" t="n">
        <v>2081210</v>
      </c>
      <c r="M1084" s="81" t="n">
        <v>15421103</v>
      </c>
      <c r="N1084" s="81" t="n">
        <v>11.94</v>
      </c>
      <c r="O1084" s="81" t="n">
        <v>2086270</v>
      </c>
      <c r="P1084" s="81" t="n">
        <v>15421107</v>
      </c>
      <c r="Q1084" s="81" t="n">
        <v>11.94</v>
      </c>
      <c r="R1084" s="81" t="s">
        <v>1260</v>
      </c>
      <c r="S1084" s="81"/>
      <c r="T1084" s="81"/>
      <c r="U1084" s="83" t="n">
        <v>46281</v>
      </c>
      <c r="V1084" s="83" t="n">
        <v>46281</v>
      </c>
      <c r="W1084" s="81" t="s">
        <v>1261</v>
      </c>
      <c r="X1084" s="81" t="s">
        <v>876</v>
      </c>
      <c r="Y1084" s="83" t="n">
        <v>46286</v>
      </c>
      <c r="Z1084" s="81" t="s">
        <v>1287</v>
      </c>
      <c r="AA1084" s="81" t="s">
        <v>1073</v>
      </c>
      <c r="AB1084" s="81" t="s">
        <v>1289</v>
      </c>
      <c r="AC1084" s="81"/>
      <c r="AD1084" s="81"/>
      <c r="AE1084" s="83"/>
      <c r="AF1084" s="81"/>
      <c r="AG1084" s="81"/>
      <c r="AH1084" s="81"/>
      <c r="AI1084" s="81"/>
      <c r="AJ1084" s="83"/>
      <c r="AK1084" s="81"/>
      <c r="AL1084" s="81"/>
      <c r="AM1084" s="83"/>
      <c r="AN1084" s="80"/>
      <c r="AO1084" s="82" t="n">
        <f aca="false">IF(E1084="","",(AA1084&lt;&gt;"")+(AG1084&lt;&gt;"")+(AL1084&lt;&gt;""))</f>
        <v>1</v>
      </c>
      <c r="AP1084" s="82" t="str">
        <f aca="false">IF(AL1084&lt;&gt;"",AL1084,IF(AG1084&lt;&gt;"",AG1084,IF(AA1084&lt;&gt;"",AA1084,"")))</f>
        <v>R</v>
      </c>
      <c r="AQ1084" s="84" t="str">
        <f aca="false">IF(E1084="","",IF(U1084="","À SOUDER",IF(X1084="","VT EN ATTENTE",IF(X1084="R","VT REJETÉ – À REPRENDRE",IF(AP1084="","À RADIOGRAPHIER",IF(AP1084="A","ACCEPTÉ",IF(AP1084="NX","NX – RT À REFAIRE",IF(IF(AO1084=1,AD1084,IF(AO1084=2,AI1084,""))="A","RÉPARÉ – À RADIOGRAPHIER",IF(IF(AO1084=1,AD1084,IF(AO1084=2,AI1084,""))="R","VT REJETÉ – À REPRENDRE",IF(OR(AP1084="CO",AP1084="NT"),"COUPE – À RESOUDER","À RÉPARER"))))))))))</f>
        <v>À RÉPARER</v>
      </c>
      <c r="AR1084" s="82" t="n">
        <f aca="false">IF(AND(ISNUMBER(U1084),OR(AQ1084="À RADIOGRAPHIER",AQ1084="RÉPARÉ – À RADIOGRAPHIER",AQ1084="NX – RT À REFAIRE",AQ1084="À RÉPARER",AQ1084="COUPE – À RESOUDER",AQ1084="VT REJETÉ – À REPRENDRE")),MAX(0,'PROGRAMME RT'!$C$4-U1084),"")</f>
        <v>12</v>
      </c>
      <c r="AS1084" s="82" t="n">
        <f aca="false">IF(AND(OR(AQ1084="À RADIOGRAPHIER",AQ1084="RÉPARÉ – À RADIOGRAPHIER",AQ1084="NX – RT À REFAIRE"),OR('PROGRAMME RT'!$D$5="TOUTES",B1084='PROGRAMME RT'!$D$5)),1,0)</f>
        <v>0</v>
      </c>
      <c r="AT1084" s="82" t="str">
        <f aca="false">IF(AS1084=1,SUM(AS$7:AS1084),"")</f>
        <v/>
      </c>
      <c r="AU1084" s="82" t="n">
        <f aca="false">IF(AND(OR(AA1084="R",AA1084="NX",AA1084="NT",AA1084="CO"),OR('JOINTS DE RÉPARATION'!$D$5="TOUTES",B1084='JOINTS DE RÉPARATION'!$D$5),OR('JOINTS DE RÉPARATION'!$L$4="TOUS",AQ1084&lt;&gt;"ACCEPTÉ")),1,0)</f>
        <v>1</v>
      </c>
      <c r="AV1084" s="82" t="n">
        <f aca="false">IF(AU1084=1,SUM(AU$7:AU1084),"")</f>
        <v>15</v>
      </c>
      <c r="AW1084" s="82" t="str">
        <f aca="false">IF(E1084="","",B1084&amp;"|"&amp;E1084)</f>
        <v>MFD-ISW → MFD-CPF|JN°955</v>
      </c>
    </row>
    <row r="1085" customFormat="false" ht="74.6" hidden="false" customHeight="false" outlineLevel="0" collapsed="false">
      <c r="A1085" s="79" t="n">
        <f aca="false">IF(E1085="","",ROW()-6)</f>
        <v>1079</v>
      </c>
      <c r="B1085" s="80" t="s">
        <v>110</v>
      </c>
      <c r="C1085" s="81" t="s">
        <v>1285</v>
      </c>
      <c r="D1085" s="81" t="n">
        <v>8</v>
      </c>
      <c r="E1085" s="81" t="s">
        <v>1290</v>
      </c>
      <c r="F1085" s="82" t="str">
        <f aca="false">IF(E1085="","",IF(LEFT(E1085,2)="DJ","DJ","JN"))</f>
        <v>JN</v>
      </c>
      <c r="G1085" s="81"/>
      <c r="H1085" s="81" t="s">
        <v>871</v>
      </c>
      <c r="I1085" s="81" t="n">
        <v>9.53</v>
      </c>
      <c r="J1085" s="81" t="s">
        <v>872</v>
      </c>
      <c r="K1085" s="81" t="s">
        <v>879</v>
      </c>
      <c r="L1085" s="81" t="n">
        <v>2086270</v>
      </c>
      <c r="M1085" s="81" t="n">
        <v>15421107</v>
      </c>
      <c r="N1085" s="81" t="n">
        <v>11.94</v>
      </c>
      <c r="O1085" s="81" t="n">
        <v>2078800</v>
      </c>
      <c r="P1085" s="81" t="n">
        <v>15421101</v>
      </c>
      <c r="Q1085" s="81" t="n">
        <v>11.94</v>
      </c>
      <c r="R1085" s="81" t="s">
        <v>1260</v>
      </c>
      <c r="S1085" s="81"/>
      <c r="T1085" s="81"/>
      <c r="U1085" s="83" t="n">
        <v>46281</v>
      </c>
      <c r="V1085" s="83" t="n">
        <v>46281</v>
      </c>
      <c r="W1085" s="81" t="s">
        <v>1261</v>
      </c>
      <c r="X1085" s="81" t="s">
        <v>876</v>
      </c>
      <c r="Y1085" s="83" t="n">
        <v>46286</v>
      </c>
      <c r="Z1085" s="81" t="s">
        <v>1287</v>
      </c>
      <c r="AA1085" s="81" t="s">
        <v>876</v>
      </c>
      <c r="AB1085" s="81"/>
      <c r="AC1085" s="81"/>
      <c r="AD1085" s="81"/>
      <c r="AE1085" s="83"/>
      <c r="AF1085" s="81"/>
      <c r="AG1085" s="81"/>
      <c r="AH1085" s="81"/>
      <c r="AI1085" s="81"/>
      <c r="AJ1085" s="83"/>
      <c r="AK1085" s="81"/>
      <c r="AL1085" s="81"/>
      <c r="AM1085" s="83"/>
      <c r="AN1085" s="80"/>
      <c r="AO1085" s="82" t="n">
        <f aca="false">IF(E1085="","",(AA1085&lt;&gt;"")+(AG1085&lt;&gt;"")+(AL1085&lt;&gt;""))</f>
        <v>1</v>
      </c>
      <c r="AP1085" s="82" t="str">
        <f aca="false">IF(AL1085&lt;&gt;"",AL1085,IF(AG1085&lt;&gt;"",AG1085,IF(AA1085&lt;&gt;"",AA1085,"")))</f>
        <v>A</v>
      </c>
      <c r="AQ1085" s="84" t="str">
        <f aca="false">IF(E1085="","",IF(U1085="","À SOUDER",IF(X1085="","VT EN ATTENTE",IF(X1085="R","VT REJETÉ – À REPRENDRE",IF(AP1085="","À RADIOGRAPHIER",IF(AP1085="A","ACCEPTÉ",IF(AP1085="NX","NX – RT À REFAIRE",IF(IF(AO1085=1,AD1085,IF(AO1085=2,AI1085,""))="A","RÉPARÉ – À RADIOGRAPHIER",IF(IF(AO1085=1,AD1085,IF(AO1085=2,AI1085,""))="R","VT REJETÉ – À REPRENDRE",IF(OR(AP1085="CO",AP1085="NT"),"COUPE – À RESOUDER","À RÉPARER"))))))))))</f>
        <v>ACCEPTÉ</v>
      </c>
      <c r="AR1085" s="82" t="str">
        <f aca="false">IF(AND(ISNUMBER(U1085),OR(AQ1085="À RADIOGRAPHIER",AQ1085="RÉPARÉ – À RADIOGRAPHIER",AQ1085="NX – RT À REFAIRE",AQ1085="À RÉPARER",AQ1085="COUPE – À RESOUDER",AQ1085="VT REJETÉ – À REPRENDRE")),MAX(0,'PROGRAMME RT'!$C$4-U1085),"")</f>
        <v/>
      </c>
      <c r="AS1085" s="82" t="n">
        <f aca="false">IF(AND(OR(AQ1085="À RADIOGRAPHIER",AQ1085="RÉPARÉ – À RADIOGRAPHIER",AQ1085="NX – RT À REFAIRE"),OR('PROGRAMME RT'!$D$5="TOUTES",B1085='PROGRAMME RT'!$D$5)),1,0)</f>
        <v>0</v>
      </c>
      <c r="AT1085" s="82" t="str">
        <f aca="false">IF(AS1085=1,SUM(AS$7:AS1085),"")</f>
        <v/>
      </c>
      <c r="AU1085" s="82" t="n">
        <f aca="false">IF(AND(OR(AA1085="R",AA1085="NX",AA1085="NT",AA1085="CO"),OR('JOINTS DE RÉPARATION'!$D$5="TOUTES",B1085='JOINTS DE RÉPARATION'!$D$5),OR('JOINTS DE RÉPARATION'!$L$4="TOUS",AQ1085&lt;&gt;"ACCEPTÉ")),1,0)</f>
        <v>0</v>
      </c>
      <c r="AV1085" s="82" t="str">
        <f aca="false">IF(AU1085=1,SUM(AU$7:AU1085),"")</f>
        <v/>
      </c>
      <c r="AW1085" s="82" t="str">
        <f aca="false">IF(E1085="","",B1085&amp;"|"&amp;E1085)</f>
        <v>MFD-ISW → MFD-CPF|JN°956</v>
      </c>
    </row>
    <row r="1086" customFormat="false" ht="74.6" hidden="false" customHeight="false" outlineLevel="0" collapsed="false">
      <c r="A1086" s="79" t="n">
        <f aca="false">IF(E1086="","",ROW()-6)</f>
        <v>1080</v>
      </c>
      <c r="B1086" s="80" t="s">
        <v>110</v>
      </c>
      <c r="C1086" s="81" t="s">
        <v>1285</v>
      </c>
      <c r="D1086" s="81" t="n">
        <v>8</v>
      </c>
      <c r="E1086" s="81" t="s">
        <v>1291</v>
      </c>
      <c r="F1086" s="82" t="str">
        <f aca="false">IF(E1086="","",IF(LEFT(E1086,2)="DJ","DJ","JN"))</f>
        <v>JN</v>
      </c>
      <c r="G1086" s="81"/>
      <c r="H1086" s="81" t="s">
        <v>871</v>
      </c>
      <c r="I1086" s="81" t="n">
        <v>9.53</v>
      </c>
      <c r="J1086" s="81" t="s">
        <v>872</v>
      </c>
      <c r="K1086" s="81" t="s">
        <v>879</v>
      </c>
      <c r="L1086" s="81" t="n">
        <v>2078800</v>
      </c>
      <c r="M1086" s="81" t="n">
        <v>15421101</v>
      </c>
      <c r="N1086" s="81" t="n">
        <v>11.94</v>
      </c>
      <c r="O1086" s="81" t="n">
        <v>2086300</v>
      </c>
      <c r="P1086" s="81" t="n">
        <v>15421107</v>
      </c>
      <c r="Q1086" s="81" t="n">
        <v>11.94</v>
      </c>
      <c r="R1086" s="81" t="s">
        <v>1260</v>
      </c>
      <c r="S1086" s="81"/>
      <c r="T1086" s="81"/>
      <c r="U1086" s="83" t="n">
        <v>46281</v>
      </c>
      <c r="V1086" s="83" t="n">
        <v>46281</v>
      </c>
      <c r="W1086" s="81" t="s">
        <v>1261</v>
      </c>
      <c r="X1086" s="81" t="s">
        <v>876</v>
      </c>
      <c r="Y1086" s="83" t="n">
        <v>46286</v>
      </c>
      <c r="Z1086" s="81" t="s">
        <v>1287</v>
      </c>
      <c r="AA1086" s="81" t="s">
        <v>876</v>
      </c>
      <c r="AB1086" s="81"/>
      <c r="AC1086" s="81"/>
      <c r="AD1086" s="81"/>
      <c r="AE1086" s="83"/>
      <c r="AF1086" s="81"/>
      <c r="AG1086" s="81"/>
      <c r="AH1086" s="81"/>
      <c r="AI1086" s="81"/>
      <c r="AJ1086" s="83"/>
      <c r="AK1086" s="81"/>
      <c r="AL1086" s="81"/>
      <c r="AM1086" s="83"/>
      <c r="AN1086" s="80"/>
      <c r="AO1086" s="82" t="n">
        <f aca="false">IF(E1086="","",(AA1086&lt;&gt;"")+(AG1086&lt;&gt;"")+(AL1086&lt;&gt;""))</f>
        <v>1</v>
      </c>
      <c r="AP1086" s="82" t="str">
        <f aca="false">IF(AL1086&lt;&gt;"",AL1086,IF(AG1086&lt;&gt;"",AG1086,IF(AA1086&lt;&gt;"",AA1086,"")))</f>
        <v>A</v>
      </c>
      <c r="AQ1086" s="84" t="str">
        <f aca="false">IF(E1086="","",IF(U1086="","À SOUDER",IF(X1086="","VT EN ATTENTE",IF(X1086="R","VT REJETÉ – À REPRENDRE",IF(AP1086="","À RADIOGRAPHIER",IF(AP1086="A","ACCEPTÉ",IF(AP1086="NX","NX – RT À REFAIRE",IF(IF(AO1086=1,AD1086,IF(AO1086=2,AI1086,""))="A","RÉPARÉ – À RADIOGRAPHIER",IF(IF(AO1086=1,AD1086,IF(AO1086=2,AI1086,""))="R","VT REJETÉ – À REPRENDRE",IF(OR(AP1086="CO",AP1086="NT"),"COUPE – À RESOUDER","À RÉPARER"))))))))))</f>
        <v>ACCEPTÉ</v>
      </c>
      <c r="AR1086" s="82" t="str">
        <f aca="false">IF(AND(ISNUMBER(U1086),OR(AQ1086="À RADIOGRAPHIER",AQ1086="RÉPARÉ – À RADIOGRAPHIER",AQ1086="NX – RT À REFAIRE",AQ1086="À RÉPARER",AQ1086="COUPE – À RESOUDER",AQ1086="VT REJETÉ – À REPRENDRE")),MAX(0,'PROGRAMME RT'!$C$4-U1086),"")</f>
        <v/>
      </c>
      <c r="AS1086" s="82" t="n">
        <f aca="false">IF(AND(OR(AQ1086="À RADIOGRAPHIER",AQ1086="RÉPARÉ – À RADIOGRAPHIER",AQ1086="NX – RT À REFAIRE"),OR('PROGRAMME RT'!$D$5="TOUTES",B1086='PROGRAMME RT'!$D$5)),1,0)</f>
        <v>0</v>
      </c>
      <c r="AT1086" s="82" t="str">
        <f aca="false">IF(AS1086=1,SUM(AS$7:AS1086),"")</f>
        <v/>
      </c>
      <c r="AU1086" s="82" t="n">
        <f aca="false">IF(AND(OR(AA1086="R",AA1086="NX",AA1086="NT",AA1086="CO"),OR('JOINTS DE RÉPARATION'!$D$5="TOUTES",B1086='JOINTS DE RÉPARATION'!$D$5),OR('JOINTS DE RÉPARATION'!$L$4="TOUS",AQ1086&lt;&gt;"ACCEPTÉ")),1,0)</f>
        <v>0</v>
      </c>
      <c r="AV1086" s="82" t="str">
        <f aca="false">IF(AU1086=1,SUM(AU$7:AU1086),"")</f>
        <v/>
      </c>
      <c r="AW1086" s="82" t="str">
        <f aca="false">IF(E1086="","",B1086&amp;"|"&amp;E1086)</f>
        <v>MFD-ISW → MFD-CPF|JN°957</v>
      </c>
    </row>
    <row r="1087" customFormat="false" ht="74.6" hidden="false" customHeight="false" outlineLevel="0" collapsed="false">
      <c r="A1087" s="79" t="n">
        <f aca="false">IF(E1087="","",ROW()-6)</f>
        <v>1081</v>
      </c>
      <c r="B1087" s="80" t="s">
        <v>110</v>
      </c>
      <c r="C1087" s="81" t="s">
        <v>1285</v>
      </c>
      <c r="D1087" s="81" t="n">
        <v>8</v>
      </c>
      <c r="E1087" s="81" t="s">
        <v>1292</v>
      </c>
      <c r="F1087" s="82" t="str">
        <f aca="false">IF(E1087="","",IF(LEFT(E1087,2)="DJ","DJ","JN"))</f>
        <v>JN</v>
      </c>
      <c r="G1087" s="81"/>
      <c r="H1087" s="81" t="s">
        <v>871</v>
      </c>
      <c r="I1087" s="81" t="n">
        <v>9.53</v>
      </c>
      <c r="J1087" s="81" t="s">
        <v>872</v>
      </c>
      <c r="K1087" s="81" t="s">
        <v>879</v>
      </c>
      <c r="L1087" s="81" t="n">
        <v>2086300</v>
      </c>
      <c r="M1087" s="81" t="n">
        <v>15421107</v>
      </c>
      <c r="N1087" s="81" t="n">
        <v>11.94</v>
      </c>
      <c r="O1087" s="81" t="n">
        <v>2097140</v>
      </c>
      <c r="P1087" s="81" t="n">
        <v>15421112</v>
      </c>
      <c r="Q1087" s="81" t="n">
        <v>11.94</v>
      </c>
      <c r="R1087" s="81" t="s">
        <v>1260</v>
      </c>
      <c r="S1087" s="81"/>
      <c r="T1087" s="81"/>
      <c r="U1087" s="83" t="n">
        <v>46281</v>
      </c>
      <c r="V1087" s="83" t="n">
        <v>46281</v>
      </c>
      <c r="W1087" s="81" t="s">
        <v>1261</v>
      </c>
      <c r="X1087" s="81" t="s">
        <v>876</v>
      </c>
      <c r="Y1087" s="83" t="n">
        <v>46286</v>
      </c>
      <c r="Z1087" s="81" t="s">
        <v>1287</v>
      </c>
      <c r="AA1087" s="81" t="s">
        <v>876</v>
      </c>
      <c r="AB1087" s="81"/>
      <c r="AC1087" s="81"/>
      <c r="AD1087" s="81"/>
      <c r="AE1087" s="83"/>
      <c r="AF1087" s="81"/>
      <c r="AG1087" s="81"/>
      <c r="AH1087" s="81"/>
      <c r="AI1087" s="81"/>
      <c r="AJ1087" s="83"/>
      <c r="AK1087" s="81"/>
      <c r="AL1087" s="81"/>
      <c r="AM1087" s="83"/>
      <c r="AN1087" s="80"/>
      <c r="AO1087" s="82" t="n">
        <f aca="false">IF(E1087="","",(AA1087&lt;&gt;"")+(AG1087&lt;&gt;"")+(AL1087&lt;&gt;""))</f>
        <v>1</v>
      </c>
      <c r="AP1087" s="82" t="str">
        <f aca="false">IF(AL1087&lt;&gt;"",AL1087,IF(AG1087&lt;&gt;"",AG1087,IF(AA1087&lt;&gt;"",AA1087,"")))</f>
        <v>A</v>
      </c>
      <c r="AQ1087" s="84" t="str">
        <f aca="false">IF(E1087="","",IF(U1087="","À SOUDER",IF(X1087="","VT EN ATTENTE",IF(X1087="R","VT REJETÉ – À REPRENDRE",IF(AP1087="","À RADIOGRAPHIER",IF(AP1087="A","ACCEPTÉ",IF(AP1087="NX","NX – RT À REFAIRE",IF(IF(AO1087=1,AD1087,IF(AO1087=2,AI1087,""))="A","RÉPARÉ – À RADIOGRAPHIER",IF(IF(AO1087=1,AD1087,IF(AO1087=2,AI1087,""))="R","VT REJETÉ – À REPRENDRE",IF(OR(AP1087="CO",AP1087="NT"),"COUPE – À RESOUDER","À RÉPARER"))))))))))</f>
        <v>ACCEPTÉ</v>
      </c>
      <c r="AR1087" s="82" t="str">
        <f aca="false">IF(AND(ISNUMBER(U1087),OR(AQ1087="À RADIOGRAPHIER",AQ1087="RÉPARÉ – À RADIOGRAPHIER",AQ1087="NX – RT À REFAIRE",AQ1087="À RÉPARER",AQ1087="COUPE – À RESOUDER",AQ1087="VT REJETÉ – À REPRENDRE")),MAX(0,'PROGRAMME RT'!$C$4-U1087),"")</f>
        <v/>
      </c>
      <c r="AS1087" s="82" t="n">
        <f aca="false">IF(AND(OR(AQ1087="À RADIOGRAPHIER",AQ1087="RÉPARÉ – À RADIOGRAPHIER",AQ1087="NX – RT À REFAIRE"),OR('PROGRAMME RT'!$D$5="TOUTES",B1087='PROGRAMME RT'!$D$5)),1,0)</f>
        <v>0</v>
      </c>
      <c r="AT1087" s="82" t="str">
        <f aca="false">IF(AS1087=1,SUM(AS$7:AS1087),"")</f>
        <v/>
      </c>
      <c r="AU1087" s="82" t="n">
        <f aca="false">IF(AND(OR(AA1087="R",AA1087="NX",AA1087="NT",AA1087="CO"),OR('JOINTS DE RÉPARATION'!$D$5="TOUTES",B1087='JOINTS DE RÉPARATION'!$D$5),OR('JOINTS DE RÉPARATION'!$L$4="TOUS",AQ1087&lt;&gt;"ACCEPTÉ")),1,0)</f>
        <v>0</v>
      </c>
      <c r="AV1087" s="82" t="str">
        <f aca="false">IF(AU1087=1,SUM(AU$7:AU1087),"")</f>
        <v/>
      </c>
      <c r="AW1087" s="82" t="str">
        <f aca="false">IF(E1087="","",B1087&amp;"|"&amp;E1087)</f>
        <v>MFD-ISW → MFD-CPF|JN°958</v>
      </c>
    </row>
    <row r="1088" customFormat="false" ht="74.6" hidden="false" customHeight="false" outlineLevel="0" collapsed="false">
      <c r="A1088" s="79" t="n">
        <f aca="false">IF(E1088="","",ROW()-6)</f>
        <v>1082</v>
      </c>
      <c r="B1088" s="80" t="s">
        <v>110</v>
      </c>
      <c r="C1088" s="81" t="s">
        <v>1285</v>
      </c>
      <c r="D1088" s="81" t="n">
        <v>8</v>
      </c>
      <c r="E1088" s="81" t="s">
        <v>1293</v>
      </c>
      <c r="F1088" s="82" t="str">
        <f aca="false">IF(E1088="","",IF(LEFT(E1088,2)="DJ","DJ","JN"))</f>
        <v>JN</v>
      </c>
      <c r="G1088" s="81"/>
      <c r="H1088" s="81" t="s">
        <v>871</v>
      </c>
      <c r="I1088" s="81" t="n">
        <v>9.53</v>
      </c>
      <c r="J1088" s="81" t="s">
        <v>872</v>
      </c>
      <c r="K1088" s="81" t="s">
        <v>879</v>
      </c>
      <c r="L1088" s="81" t="n">
        <v>2097140</v>
      </c>
      <c r="M1088" s="81" t="n">
        <v>15421112</v>
      </c>
      <c r="N1088" s="81" t="n">
        <v>11.94</v>
      </c>
      <c r="O1088" s="81" t="n">
        <v>2086600</v>
      </c>
      <c r="P1088" s="81" t="n">
        <v>15421105</v>
      </c>
      <c r="Q1088" s="81" t="n">
        <v>11.94</v>
      </c>
      <c r="R1088" s="81" t="s">
        <v>1260</v>
      </c>
      <c r="S1088" s="81"/>
      <c r="T1088" s="81"/>
      <c r="U1088" s="83" t="n">
        <v>46281</v>
      </c>
      <c r="V1088" s="83" t="n">
        <v>46281</v>
      </c>
      <c r="W1088" s="81" t="s">
        <v>1261</v>
      </c>
      <c r="X1088" s="81" t="s">
        <v>876</v>
      </c>
      <c r="Y1088" s="83" t="n">
        <v>46286</v>
      </c>
      <c r="Z1088" s="81" t="s">
        <v>1287</v>
      </c>
      <c r="AA1088" s="81" t="s">
        <v>876</v>
      </c>
      <c r="AB1088" s="81"/>
      <c r="AC1088" s="81"/>
      <c r="AD1088" s="81"/>
      <c r="AE1088" s="83"/>
      <c r="AF1088" s="81"/>
      <c r="AG1088" s="81"/>
      <c r="AH1088" s="81"/>
      <c r="AI1088" s="81"/>
      <c r="AJ1088" s="83"/>
      <c r="AK1088" s="81"/>
      <c r="AL1088" s="81"/>
      <c r="AM1088" s="83"/>
      <c r="AN1088" s="80"/>
      <c r="AO1088" s="82" t="n">
        <f aca="false">IF(E1088="","",(AA1088&lt;&gt;"")+(AG1088&lt;&gt;"")+(AL1088&lt;&gt;""))</f>
        <v>1</v>
      </c>
      <c r="AP1088" s="82" t="str">
        <f aca="false">IF(AL1088&lt;&gt;"",AL1088,IF(AG1088&lt;&gt;"",AG1088,IF(AA1088&lt;&gt;"",AA1088,"")))</f>
        <v>A</v>
      </c>
      <c r="AQ1088" s="84" t="str">
        <f aca="false">IF(E1088="","",IF(U1088="","À SOUDER",IF(X1088="","VT EN ATTENTE",IF(X1088="R","VT REJETÉ – À REPRENDRE",IF(AP1088="","À RADIOGRAPHIER",IF(AP1088="A","ACCEPTÉ",IF(AP1088="NX","NX – RT À REFAIRE",IF(IF(AO1088=1,AD1088,IF(AO1088=2,AI1088,""))="A","RÉPARÉ – À RADIOGRAPHIER",IF(IF(AO1088=1,AD1088,IF(AO1088=2,AI1088,""))="R","VT REJETÉ – À REPRENDRE",IF(OR(AP1088="CO",AP1088="NT"),"COUPE – À RESOUDER","À RÉPARER"))))))))))</f>
        <v>ACCEPTÉ</v>
      </c>
      <c r="AR1088" s="82" t="str">
        <f aca="false">IF(AND(ISNUMBER(U1088),OR(AQ1088="À RADIOGRAPHIER",AQ1088="RÉPARÉ – À RADIOGRAPHIER",AQ1088="NX – RT À REFAIRE",AQ1088="À RÉPARER",AQ1088="COUPE – À RESOUDER",AQ1088="VT REJETÉ – À REPRENDRE")),MAX(0,'PROGRAMME RT'!$C$4-U1088),"")</f>
        <v/>
      </c>
      <c r="AS1088" s="82" t="n">
        <f aca="false">IF(AND(OR(AQ1088="À RADIOGRAPHIER",AQ1088="RÉPARÉ – À RADIOGRAPHIER",AQ1088="NX – RT À REFAIRE"),OR('PROGRAMME RT'!$D$5="TOUTES",B1088='PROGRAMME RT'!$D$5)),1,0)</f>
        <v>0</v>
      </c>
      <c r="AT1088" s="82" t="str">
        <f aca="false">IF(AS1088=1,SUM(AS$7:AS1088),"")</f>
        <v/>
      </c>
      <c r="AU1088" s="82" t="n">
        <f aca="false">IF(AND(OR(AA1088="R",AA1088="NX",AA1088="NT",AA1088="CO"),OR('JOINTS DE RÉPARATION'!$D$5="TOUTES",B1088='JOINTS DE RÉPARATION'!$D$5),OR('JOINTS DE RÉPARATION'!$L$4="TOUS",AQ1088&lt;&gt;"ACCEPTÉ")),1,0)</f>
        <v>0</v>
      </c>
      <c r="AV1088" s="82" t="str">
        <f aca="false">IF(AU1088=1,SUM(AU$7:AU1088),"")</f>
        <v/>
      </c>
      <c r="AW1088" s="82" t="str">
        <f aca="false">IF(E1088="","",B1088&amp;"|"&amp;E1088)</f>
        <v>MFD-ISW → MFD-CPF|JN°959</v>
      </c>
    </row>
    <row r="1089" customFormat="false" ht="74.6" hidden="false" customHeight="false" outlineLevel="0" collapsed="false">
      <c r="A1089" s="79" t="n">
        <f aca="false">IF(E1089="","",ROW()-6)</f>
        <v>1083</v>
      </c>
      <c r="B1089" s="80" t="s">
        <v>110</v>
      </c>
      <c r="C1089" s="81" t="s">
        <v>1285</v>
      </c>
      <c r="D1089" s="81" t="n">
        <v>8</v>
      </c>
      <c r="E1089" s="81" t="s">
        <v>1294</v>
      </c>
      <c r="F1089" s="82" t="str">
        <f aca="false">IF(E1089="","",IF(LEFT(E1089,2)="DJ","DJ","JN"))</f>
        <v>JN</v>
      </c>
      <c r="G1089" s="81"/>
      <c r="H1089" s="81" t="s">
        <v>871</v>
      </c>
      <c r="I1089" s="81" t="n">
        <v>9.53</v>
      </c>
      <c r="J1089" s="81" t="s">
        <v>872</v>
      </c>
      <c r="K1089" s="81" t="s">
        <v>879</v>
      </c>
      <c r="L1089" s="81" t="n">
        <v>2086600</v>
      </c>
      <c r="M1089" s="81" t="n">
        <v>15421105</v>
      </c>
      <c r="N1089" s="81" t="n">
        <v>11.94</v>
      </c>
      <c r="O1089" s="81" t="n">
        <v>2083060</v>
      </c>
      <c r="P1089" s="81" t="n">
        <v>15421105</v>
      </c>
      <c r="Q1089" s="81" t="n">
        <v>11.94</v>
      </c>
      <c r="R1089" s="81" t="s">
        <v>1260</v>
      </c>
      <c r="S1089" s="81"/>
      <c r="T1089" s="81"/>
      <c r="U1089" s="83" t="n">
        <v>46281</v>
      </c>
      <c r="V1089" s="83" t="n">
        <v>46281</v>
      </c>
      <c r="W1089" s="81" t="s">
        <v>1261</v>
      </c>
      <c r="X1089" s="81" t="s">
        <v>876</v>
      </c>
      <c r="Y1089" s="83" t="n">
        <v>46286</v>
      </c>
      <c r="Z1089" s="81" t="s">
        <v>1287</v>
      </c>
      <c r="AA1089" s="81" t="s">
        <v>1073</v>
      </c>
      <c r="AB1089" s="81" t="s">
        <v>1295</v>
      </c>
      <c r="AC1089" s="81"/>
      <c r="AD1089" s="81"/>
      <c r="AE1089" s="83"/>
      <c r="AF1089" s="81"/>
      <c r="AG1089" s="81"/>
      <c r="AH1089" s="81"/>
      <c r="AI1089" s="81"/>
      <c r="AJ1089" s="83"/>
      <c r="AK1089" s="81"/>
      <c r="AL1089" s="81"/>
      <c r="AM1089" s="83"/>
      <c r="AN1089" s="80"/>
      <c r="AO1089" s="82" t="n">
        <f aca="false">IF(E1089="","",(AA1089&lt;&gt;"")+(AG1089&lt;&gt;"")+(AL1089&lt;&gt;""))</f>
        <v>1</v>
      </c>
      <c r="AP1089" s="82" t="str">
        <f aca="false">IF(AL1089&lt;&gt;"",AL1089,IF(AG1089&lt;&gt;"",AG1089,IF(AA1089&lt;&gt;"",AA1089,"")))</f>
        <v>R</v>
      </c>
      <c r="AQ1089" s="84" t="str">
        <f aca="false">IF(E1089="","",IF(U1089="","À SOUDER",IF(X1089="","VT EN ATTENTE",IF(X1089="R","VT REJETÉ – À REPRENDRE",IF(AP1089="","À RADIOGRAPHIER",IF(AP1089="A","ACCEPTÉ",IF(AP1089="NX","NX – RT À REFAIRE",IF(IF(AO1089=1,AD1089,IF(AO1089=2,AI1089,""))="A","RÉPARÉ – À RADIOGRAPHIER",IF(IF(AO1089=1,AD1089,IF(AO1089=2,AI1089,""))="R","VT REJETÉ – À REPRENDRE",IF(OR(AP1089="CO",AP1089="NT"),"COUPE – À RESOUDER","À RÉPARER"))))))))))</f>
        <v>À RÉPARER</v>
      </c>
      <c r="AR1089" s="82" t="n">
        <f aca="false">IF(AND(ISNUMBER(U1089),OR(AQ1089="À RADIOGRAPHIER",AQ1089="RÉPARÉ – À RADIOGRAPHIER",AQ1089="NX – RT À REFAIRE",AQ1089="À RÉPARER",AQ1089="COUPE – À RESOUDER",AQ1089="VT REJETÉ – À REPRENDRE")),MAX(0,'PROGRAMME RT'!$C$4-U1089),"")</f>
        <v>12</v>
      </c>
      <c r="AS1089" s="82" t="n">
        <f aca="false">IF(AND(OR(AQ1089="À RADIOGRAPHIER",AQ1089="RÉPARÉ – À RADIOGRAPHIER",AQ1089="NX – RT À REFAIRE"),OR('PROGRAMME RT'!$D$5="TOUTES",B1089='PROGRAMME RT'!$D$5)),1,0)</f>
        <v>0</v>
      </c>
      <c r="AT1089" s="82" t="str">
        <f aca="false">IF(AS1089=1,SUM(AS$7:AS1089),"")</f>
        <v/>
      </c>
      <c r="AU1089" s="82" t="n">
        <f aca="false">IF(AND(OR(AA1089="R",AA1089="NX",AA1089="NT",AA1089="CO"),OR('JOINTS DE RÉPARATION'!$D$5="TOUTES",B1089='JOINTS DE RÉPARATION'!$D$5),OR('JOINTS DE RÉPARATION'!$L$4="TOUS",AQ1089&lt;&gt;"ACCEPTÉ")),1,0)</f>
        <v>1</v>
      </c>
      <c r="AV1089" s="82" t="n">
        <f aca="false">IF(AU1089=1,SUM(AU$7:AU1089),"")</f>
        <v>16</v>
      </c>
      <c r="AW1089" s="82" t="str">
        <f aca="false">IF(E1089="","",B1089&amp;"|"&amp;E1089)</f>
        <v>MFD-ISW → MFD-CPF|JN°960</v>
      </c>
    </row>
    <row r="1090" customFormat="false" ht="74.6" hidden="false" customHeight="false" outlineLevel="0" collapsed="false">
      <c r="A1090" s="79" t="n">
        <f aca="false">IF(E1090="","",ROW()-6)</f>
        <v>1084</v>
      </c>
      <c r="B1090" s="80" t="s">
        <v>110</v>
      </c>
      <c r="C1090" s="81" t="s">
        <v>1285</v>
      </c>
      <c r="D1090" s="81" t="n">
        <v>8</v>
      </c>
      <c r="E1090" s="81" t="s">
        <v>1296</v>
      </c>
      <c r="F1090" s="82" t="str">
        <f aca="false">IF(E1090="","",IF(LEFT(E1090,2)="DJ","DJ","JN"))</f>
        <v>JN</v>
      </c>
      <c r="G1090" s="81"/>
      <c r="H1090" s="81" t="s">
        <v>871</v>
      </c>
      <c r="I1090" s="81" t="n">
        <v>9.53</v>
      </c>
      <c r="J1090" s="81" t="s">
        <v>872</v>
      </c>
      <c r="K1090" s="81" t="s">
        <v>879</v>
      </c>
      <c r="L1090" s="81" t="n">
        <v>2083060</v>
      </c>
      <c r="M1090" s="81" t="n">
        <v>15421105</v>
      </c>
      <c r="N1090" s="81" t="n">
        <v>11.94</v>
      </c>
      <c r="O1090" s="81" t="n">
        <v>2081770</v>
      </c>
      <c r="P1090" s="81" t="n">
        <v>15421103</v>
      </c>
      <c r="Q1090" s="81" t="n">
        <v>11.94</v>
      </c>
      <c r="R1090" s="81" t="s">
        <v>1260</v>
      </c>
      <c r="S1090" s="81"/>
      <c r="T1090" s="81"/>
      <c r="U1090" s="83" t="n">
        <v>46281</v>
      </c>
      <c r="V1090" s="83" t="n">
        <v>46281</v>
      </c>
      <c r="W1090" s="81" t="s">
        <v>1261</v>
      </c>
      <c r="X1090" s="81" t="s">
        <v>876</v>
      </c>
      <c r="Y1090" s="83" t="n">
        <v>46286</v>
      </c>
      <c r="Z1090" s="81" t="s">
        <v>1287</v>
      </c>
      <c r="AA1090" s="81" t="s">
        <v>1073</v>
      </c>
      <c r="AB1090" s="81" t="s">
        <v>1297</v>
      </c>
      <c r="AC1090" s="81"/>
      <c r="AD1090" s="81"/>
      <c r="AE1090" s="83"/>
      <c r="AF1090" s="81"/>
      <c r="AG1090" s="81"/>
      <c r="AH1090" s="81"/>
      <c r="AI1090" s="81"/>
      <c r="AJ1090" s="83"/>
      <c r="AK1090" s="81"/>
      <c r="AL1090" s="81"/>
      <c r="AM1090" s="83"/>
      <c r="AN1090" s="80"/>
      <c r="AO1090" s="82" t="n">
        <f aca="false">IF(E1090="","",(AA1090&lt;&gt;"")+(AG1090&lt;&gt;"")+(AL1090&lt;&gt;""))</f>
        <v>1</v>
      </c>
      <c r="AP1090" s="82" t="str">
        <f aca="false">IF(AL1090&lt;&gt;"",AL1090,IF(AG1090&lt;&gt;"",AG1090,IF(AA1090&lt;&gt;"",AA1090,"")))</f>
        <v>R</v>
      </c>
      <c r="AQ1090" s="84" t="str">
        <f aca="false">IF(E1090="","",IF(U1090="","À SOUDER",IF(X1090="","VT EN ATTENTE",IF(X1090="R","VT REJETÉ – À REPRENDRE",IF(AP1090="","À RADIOGRAPHIER",IF(AP1090="A","ACCEPTÉ",IF(AP1090="NX","NX – RT À REFAIRE",IF(IF(AO1090=1,AD1090,IF(AO1090=2,AI1090,""))="A","RÉPARÉ – À RADIOGRAPHIER",IF(IF(AO1090=1,AD1090,IF(AO1090=2,AI1090,""))="R","VT REJETÉ – À REPRENDRE",IF(OR(AP1090="CO",AP1090="NT"),"COUPE – À RESOUDER","À RÉPARER"))))))))))</f>
        <v>À RÉPARER</v>
      </c>
      <c r="AR1090" s="82" t="n">
        <f aca="false">IF(AND(ISNUMBER(U1090),OR(AQ1090="À RADIOGRAPHIER",AQ1090="RÉPARÉ – À RADIOGRAPHIER",AQ1090="NX – RT À REFAIRE",AQ1090="À RÉPARER",AQ1090="COUPE – À RESOUDER",AQ1090="VT REJETÉ – À REPRENDRE")),MAX(0,'PROGRAMME RT'!$C$4-U1090),"")</f>
        <v>12</v>
      </c>
      <c r="AS1090" s="82" t="n">
        <f aca="false">IF(AND(OR(AQ1090="À RADIOGRAPHIER",AQ1090="RÉPARÉ – À RADIOGRAPHIER",AQ1090="NX – RT À REFAIRE"),OR('PROGRAMME RT'!$D$5="TOUTES",B1090='PROGRAMME RT'!$D$5)),1,0)</f>
        <v>0</v>
      </c>
      <c r="AT1090" s="82" t="str">
        <f aca="false">IF(AS1090=1,SUM(AS$7:AS1090),"")</f>
        <v/>
      </c>
      <c r="AU1090" s="82" t="n">
        <f aca="false">IF(AND(OR(AA1090="R",AA1090="NX",AA1090="NT",AA1090="CO"),OR('JOINTS DE RÉPARATION'!$D$5="TOUTES",B1090='JOINTS DE RÉPARATION'!$D$5),OR('JOINTS DE RÉPARATION'!$L$4="TOUS",AQ1090&lt;&gt;"ACCEPTÉ")),1,0)</f>
        <v>1</v>
      </c>
      <c r="AV1090" s="82" t="n">
        <f aca="false">IF(AU1090=1,SUM(AU$7:AU1090),"")</f>
        <v>17</v>
      </c>
      <c r="AW1090" s="82" t="str">
        <f aca="false">IF(E1090="","",B1090&amp;"|"&amp;E1090)</f>
        <v>MFD-ISW → MFD-CPF|JN°961</v>
      </c>
    </row>
    <row r="1091" customFormat="false" ht="74.6" hidden="false" customHeight="false" outlineLevel="0" collapsed="false">
      <c r="A1091" s="79" t="n">
        <f aca="false">IF(E1091="","",ROW()-6)</f>
        <v>1085</v>
      </c>
      <c r="B1091" s="80" t="s">
        <v>110</v>
      </c>
      <c r="C1091" s="81" t="s">
        <v>1285</v>
      </c>
      <c r="D1091" s="81" t="n">
        <v>8</v>
      </c>
      <c r="E1091" s="81" t="s">
        <v>1298</v>
      </c>
      <c r="F1091" s="82" t="str">
        <f aca="false">IF(E1091="","",IF(LEFT(E1091,2)="DJ","DJ","JN"))</f>
        <v>JN</v>
      </c>
      <c r="G1091" s="81"/>
      <c r="H1091" s="81" t="s">
        <v>871</v>
      </c>
      <c r="I1091" s="81" t="n">
        <v>9.53</v>
      </c>
      <c r="J1091" s="81" t="s">
        <v>872</v>
      </c>
      <c r="K1091" s="81" t="s">
        <v>879</v>
      </c>
      <c r="L1091" s="81" t="n">
        <v>2081770</v>
      </c>
      <c r="M1091" s="81" t="n">
        <v>15421103</v>
      </c>
      <c r="N1091" s="81" t="n">
        <v>11.94</v>
      </c>
      <c r="O1091" s="81" t="n">
        <v>2086740</v>
      </c>
      <c r="P1091" s="81" t="n">
        <v>15421107</v>
      </c>
      <c r="Q1091" s="81" t="n">
        <v>11.94</v>
      </c>
      <c r="R1091" s="81" t="s">
        <v>1299</v>
      </c>
      <c r="S1091" s="81"/>
      <c r="T1091" s="81"/>
      <c r="U1091" s="83" t="n">
        <v>46280</v>
      </c>
      <c r="V1091" s="83" t="n">
        <v>46280</v>
      </c>
      <c r="W1091" s="81" t="s">
        <v>1300</v>
      </c>
      <c r="X1091" s="81" t="s">
        <v>876</v>
      </c>
      <c r="Y1091" s="83" t="n">
        <v>46286</v>
      </c>
      <c r="Z1091" s="81" t="s">
        <v>1287</v>
      </c>
      <c r="AA1091" s="81" t="s">
        <v>876</v>
      </c>
      <c r="AB1091" s="81"/>
      <c r="AC1091" s="81"/>
      <c r="AD1091" s="81"/>
      <c r="AE1091" s="83"/>
      <c r="AF1091" s="81"/>
      <c r="AG1091" s="81"/>
      <c r="AH1091" s="81"/>
      <c r="AI1091" s="81"/>
      <c r="AJ1091" s="83"/>
      <c r="AK1091" s="81"/>
      <c r="AL1091" s="81"/>
      <c r="AM1091" s="83"/>
      <c r="AN1091" s="80"/>
      <c r="AO1091" s="82" t="n">
        <f aca="false">IF(E1091="","",(AA1091&lt;&gt;"")+(AG1091&lt;&gt;"")+(AL1091&lt;&gt;""))</f>
        <v>1</v>
      </c>
      <c r="AP1091" s="82" t="str">
        <f aca="false">IF(AL1091&lt;&gt;"",AL1091,IF(AG1091&lt;&gt;"",AG1091,IF(AA1091&lt;&gt;"",AA1091,"")))</f>
        <v>A</v>
      </c>
      <c r="AQ1091" s="84" t="str">
        <f aca="false">IF(E1091="","",IF(U1091="","À SOUDER",IF(X1091="","VT EN ATTENTE",IF(X1091="R","VT REJETÉ – À REPRENDRE",IF(AP1091="","À RADIOGRAPHIER",IF(AP1091="A","ACCEPTÉ",IF(AP1091="NX","NX – RT À REFAIRE",IF(IF(AO1091=1,AD1091,IF(AO1091=2,AI1091,""))="A","RÉPARÉ – À RADIOGRAPHIER",IF(IF(AO1091=1,AD1091,IF(AO1091=2,AI1091,""))="R","VT REJETÉ – À REPRENDRE",IF(OR(AP1091="CO",AP1091="NT"),"COUPE – À RESOUDER","À RÉPARER"))))))))))</f>
        <v>ACCEPTÉ</v>
      </c>
      <c r="AR1091" s="82" t="str">
        <f aca="false">IF(AND(ISNUMBER(U1091),OR(AQ1091="À RADIOGRAPHIER",AQ1091="RÉPARÉ – À RADIOGRAPHIER",AQ1091="NX – RT À REFAIRE",AQ1091="À RÉPARER",AQ1091="COUPE – À RESOUDER",AQ1091="VT REJETÉ – À REPRENDRE")),MAX(0,'PROGRAMME RT'!$C$4-U1091),"")</f>
        <v/>
      </c>
      <c r="AS1091" s="82" t="n">
        <f aca="false">IF(AND(OR(AQ1091="À RADIOGRAPHIER",AQ1091="RÉPARÉ – À RADIOGRAPHIER",AQ1091="NX – RT À REFAIRE"),OR('PROGRAMME RT'!$D$5="TOUTES",B1091='PROGRAMME RT'!$D$5)),1,0)</f>
        <v>0</v>
      </c>
      <c r="AT1091" s="82" t="str">
        <f aca="false">IF(AS1091=1,SUM(AS$7:AS1091),"")</f>
        <v/>
      </c>
      <c r="AU1091" s="82" t="n">
        <f aca="false">IF(AND(OR(AA1091="R",AA1091="NX",AA1091="NT",AA1091="CO"),OR('JOINTS DE RÉPARATION'!$D$5="TOUTES",B1091='JOINTS DE RÉPARATION'!$D$5),OR('JOINTS DE RÉPARATION'!$L$4="TOUS",AQ1091&lt;&gt;"ACCEPTÉ")),1,0)</f>
        <v>0</v>
      </c>
      <c r="AV1091" s="82" t="str">
        <f aca="false">IF(AU1091=1,SUM(AU$7:AU1091),"")</f>
        <v/>
      </c>
      <c r="AW1091" s="82" t="str">
        <f aca="false">IF(E1091="","",B1091&amp;"|"&amp;E1091)</f>
        <v>MFD-ISW → MFD-CPF|JN°962</v>
      </c>
    </row>
    <row r="1092" customFormat="false" ht="74.6" hidden="false" customHeight="false" outlineLevel="0" collapsed="false">
      <c r="A1092" s="79" t="n">
        <f aca="false">IF(E1092="","",ROW()-6)</f>
        <v>1086</v>
      </c>
      <c r="B1092" s="80" t="s">
        <v>110</v>
      </c>
      <c r="C1092" s="81" t="s">
        <v>1285</v>
      </c>
      <c r="D1092" s="81" t="n">
        <v>8</v>
      </c>
      <c r="E1092" s="81" t="s">
        <v>1301</v>
      </c>
      <c r="F1092" s="82" t="str">
        <f aca="false">IF(E1092="","",IF(LEFT(E1092,2)="DJ","DJ","JN"))</f>
        <v>JN</v>
      </c>
      <c r="G1092" s="81"/>
      <c r="H1092" s="81" t="s">
        <v>871</v>
      </c>
      <c r="I1092" s="81" t="n">
        <v>9.53</v>
      </c>
      <c r="J1092" s="81" t="s">
        <v>872</v>
      </c>
      <c r="K1092" s="81" t="s">
        <v>879</v>
      </c>
      <c r="L1092" s="81" t="n">
        <v>2086740</v>
      </c>
      <c r="M1092" s="81" t="n">
        <v>15421107</v>
      </c>
      <c r="N1092" s="81" t="n">
        <v>11.94</v>
      </c>
      <c r="O1092" s="81" t="n">
        <v>2096490</v>
      </c>
      <c r="P1092" s="81" t="n">
        <v>15421111</v>
      </c>
      <c r="Q1092" s="81" t="n">
        <v>11.94</v>
      </c>
      <c r="R1092" s="81" t="s">
        <v>1299</v>
      </c>
      <c r="S1092" s="81"/>
      <c r="T1092" s="81"/>
      <c r="U1092" s="83" t="n">
        <v>46280</v>
      </c>
      <c r="V1092" s="83" t="n">
        <v>46280</v>
      </c>
      <c r="W1092" s="81" t="s">
        <v>1300</v>
      </c>
      <c r="X1092" s="81" t="s">
        <v>876</v>
      </c>
      <c r="Y1092" s="83" t="n">
        <v>46286</v>
      </c>
      <c r="Z1092" s="81" t="s">
        <v>1287</v>
      </c>
      <c r="AA1092" s="81" t="s">
        <v>876</v>
      </c>
      <c r="AB1092" s="81"/>
      <c r="AC1092" s="81"/>
      <c r="AD1092" s="81"/>
      <c r="AE1092" s="83"/>
      <c r="AF1092" s="81"/>
      <c r="AG1092" s="81"/>
      <c r="AH1092" s="81"/>
      <c r="AI1092" s="81"/>
      <c r="AJ1092" s="83"/>
      <c r="AK1092" s="81"/>
      <c r="AL1092" s="81"/>
      <c r="AM1092" s="83"/>
      <c r="AN1092" s="80"/>
      <c r="AO1092" s="82" t="n">
        <f aca="false">IF(E1092="","",(AA1092&lt;&gt;"")+(AG1092&lt;&gt;"")+(AL1092&lt;&gt;""))</f>
        <v>1</v>
      </c>
      <c r="AP1092" s="82" t="str">
        <f aca="false">IF(AL1092&lt;&gt;"",AL1092,IF(AG1092&lt;&gt;"",AG1092,IF(AA1092&lt;&gt;"",AA1092,"")))</f>
        <v>A</v>
      </c>
      <c r="AQ1092" s="84" t="str">
        <f aca="false">IF(E1092="","",IF(U1092="","À SOUDER",IF(X1092="","VT EN ATTENTE",IF(X1092="R","VT REJETÉ – À REPRENDRE",IF(AP1092="","À RADIOGRAPHIER",IF(AP1092="A","ACCEPTÉ",IF(AP1092="NX","NX – RT À REFAIRE",IF(IF(AO1092=1,AD1092,IF(AO1092=2,AI1092,""))="A","RÉPARÉ – À RADIOGRAPHIER",IF(IF(AO1092=1,AD1092,IF(AO1092=2,AI1092,""))="R","VT REJETÉ – À REPRENDRE",IF(OR(AP1092="CO",AP1092="NT"),"COUPE – À RESOUDER","À RÉPARER"))))))))))</f>
        <v>ACCEPTÉ</v>
      </c>
      <c r="AR1092" s="82" t="str">
        <f aca="false">IF(AND(ISNUMBER(U1092),OR(AQ1092="À RADIOGRAPHIER",AQ1092="RÉPARÉ – À RADIOGRAPHIER",AQ1092="NX – RT À REFAIRE",AQ1092="À RÉPARER",AQ1092="COUPE – À RESOUDER",AQ1092="VT REJETÉ – À REPRENDRE")),MAX(0,'PROGRAMME RT'!$C$4-U1092),"")</f>
        <v/>
      </c>
      <c r="AS1092" s="82" t="n">
        <f aca="false">IF(AND(OR(AQ1092="À RADIOGRAPHIER",AQ1092="RÉPARÉ – À RADIOGRAPHIER",AQ1092="NX – RT À REFAIRE"),OR('PROGRAMME RT'!$D$5="TOUTES",B1092='PROGRAMME RT'!$D$5)),1,0)</f>
        <v>0</v>
      </c>
      <c r="AT1092" s="82" t="str">
        <f aca="false">IF(AS1092=1,SUM(AS$7:AS1092),"")</f>
        <v/>
      </c>
      <c r="AU1092" s="82" t="n">
        <f aca="false">IF(AND(OR(AA1092="R",AA1092="NX",AA1092="NT",AA1092="CO"),OR('JOINTS DE RÉPARATION'!$D$5="TOUTES",B1092='JOINTS DE RÉPARATION'!$D$5),OR('JOINTS DE RÉPARATION'!$L$4="TOUS",AQ1092&lt;&gt;"ACCEPTÉ")),1,0)</f>
        <v>0</v>
      </c>
      <c r="AV1092" s="82" t="str">
        <f aca="false">IF(AU1092=1,SUM(AU$7:AU1092),"")</f>
        <v/>
      </c>
      <c r="AW1092" s="82" t="str">
        <f aca="false">IF(E1092="","",B1092&amp;"|"&amp;E1092)</f>
        <v>MFD-ISW → MFD-CPF|JN°963</v>
      </c>
    </row>
    <row r="1093" customFormat="false" ht="74.6" hidden="false" customHeight="false" outlineLevel="0" collapsed="false">
      <c r="A1093" s="79" t="n">
        <f aca="false">IF(E1093="","",ROW()-6)</f>
        <v>1087</v>
      </c>
      <c r="B1093" s="80" t="s">
        <v>110</v>
      </c>
      <c r="C1093" s="81" t="s">
        <v>1285</v>
      </c>
      <c r="D1093" s="81" t="n">
        <v>8</v>
      </c>
      <c r="E1093" s="81" t="s">
        <v>1302</v>
      </c>
      <c r="F1093" s="82" t="str">
        <f aca="false">IF(E1093="","",IF(LEFT(E1093,2)="DJ","DJ","JN"))</f>
        <v>JN</v>
      </c>
      <c r="G1093" s="81"/>
      <c r="H1093" s="81" t="s">
        <v>871</v>
      </c>
      <c r="I1093" s="81" t="n">
        <v>9.53</v>
      </c>
      <c r="J1093" s="81" t="s">
        <v>872</v>
      </c>
      <c r="K1093" s="81" t="s">
        <v>879</v>
      </c>
      <c r="L1093" s="81" t="n">
        <v>2096490</v>
      </c>
      <c r="M1093" s="81" t="n">
        <v>15421111</v>
      </c>
      <c r="N1093" s="81" t="n">
        <v>11.94</v>
      </c>
      <c r="O1093" s="81" t="n">
        <v>2094340</v>
      </c>
      <c r="P1093" s="81" t="n">
        <v>15421110</v>
      </c>
      <c r="Q1093" s="81" t="n">
        <v>11.94</v>
      </c>
      <c r="R1093" s="81" t="s">
        <v>1299</v>
      </c>
      <c r="S1093" s="81"/>
      <c r="T1093" s="81"/>
      <c r="U1093" s="83" t="n">
        <v>46280</v>
      </c>
      <c r="V1093" s="83" t="n">
        <v>46280</v>
      </c>
      <c r="W1093" s="81" t="s">
        <v>1300</v>
      </c>
      <c r="X1093" s="81" t="s">
        <v>876</v>
      </c>
      <c r="Y1093" s="83" t="n">
        <v>46286</v>
      </c>
      <c r="Z1093" s="81" t="s">
        <v>1287</v>
      </c>
      <c r="AA1093" s="81" t="s">
        <v>876</v>
      </c>
      <c r="AB1093" s="81"/>
      <c r="AC1093" s="81"/>
      <c r="AD1093" s="81"/>
      <c r="AE1093" s="83"/>
      <c r="AF1093" s="81"/>
      <c r="AG1093" s="81"/>
      <c r="AH1093" s="81"/>
      <c r="AI1093" s="81"/>
      <c r="AJ1093" s="83"/>
      <c r="AK1093" s="81"/>
      <c r="AL1093" s="81"/>
      <c r="AM1093" s="83"/>
      <c r="AN1093" s="80"/>
      <c r="AO1093" s="82" t="n">
        <f aca="false">IF(E1093="","",(AA1093&lt;&gt;"")+(AG1093&lt;&gt;"")+(AL1093&lt;&gt;""))</f>
        <v>1</v>
      </c>
      <c r="AP1093" s="82" t="str">
        <f aca="false">IF(AL1093&lt;&gt;"",AL1093,IF(AG1093&lt;&gt;"",AG1093,IF(AA1093&lt;&gt;"",AA1093,"")))</f>
        <v>A</v>
      </c>
      <c r="AQ1093" s="84" t="str">
        <f aca="false">IF(E1093="","",IF(U1093="","À SOUDER",IF(X1093="","VT EN ATTENTE",IF(X1093="R","VT REJETÉ – À REPRENDRE",IF(AP1093="","À RADIOGRAPHIER",IF(AP1093="A","ACCEPTÉ",IF(AP1093="NX","NX – RT À REFAIRE",IF(IF(AO1093=1,AD1093,IF(AO1093=2,AI1093,""))="A","RÉPARÉ – À RADIOGRAPHIER",IF(IF(AO1093=1,AD1093,IF(AO1093=2,AI1093,""))="R","VT REJETÉ – À REPRENDRE",IF(OR(AP1093="CO",AP1093="NT"),"COUPE – À RESOUDER","À RÉPARER"))))))))))</f>
        <v>ACCEPTÉ</v>
      </c>
      <c r="AR1093" s="82" t="str">
        <f aca="false">IF(AND(ISNUMBER(U1093),OR(AQ1093="À RADIOGRAPHIER",AQ1093="RÉPARÉ – À RADIOGRAPHIER",AQ1093="NX – RT À REFAIRE",AQ1093="À RÉPARER",AQ1093="COUPE – À RESOUDER",AQ1093="VT REJETÉ – À REPRENDRE")),MAX(0,'PROGRAMME RT'!$C$4-U1093),"")</f>
        <v/>
      </c>
      <c r="AS1093" s="82" t="n">
        <f aca="false">IF(AND(OR(AQ1093="À RADIOGRAPHIER",AQ1093="RÉPARÉ – À RADIOGRAPHIER",AQ1093="NX – RT À REFAIRE"),OR('PROGRAMME RT'!$D$5="TOUTES",B1093='PROGRAMME RT'!$D$5)),1,0)</f>
        <v>0</v>
      </c>
      <c r="AT1093" s="82" t="str">
        <f aca="false">IF(AS1093=1,SUM(AS$7:AS1093),"")</f>
        <v/>
      </c>
      <c r="AU1093" s="82" t="n">
        <f aca="false">IF(AND(OR(AA1093="R",AA1093="NX",AA1093="NT",AA1093="CO"),OR('JOINTS DE RÉPARATION'!$D$5="TOUTES",B1093='JOINTS DE RÉPARATION'!$D$5),OR('JOINTS DE RÉPARATION'!$L$4="TOUS",AQ1093&lt;&gt;"ACCEPTÉ")),1,0)</f>
        <v>0</v>
      </c>
      <c r="AV1093" s="82" t="str">
        <f aca="false">IF(AU1093=1,SUM(AU$7:AU1093),"")</f>
        <v/>
      </c>
      <c r="AW1093" s="82" t="str">
        <f aca="false">IF(E1093="","",B1093&amp;"|"&amp;E1093)</f>
        <v>MFD-ISW → MFD-CPF|JN°964</v>
      </c>
    </row>
    <row r="1094" customFormat="false" ht="74.6" hidden="false" customHeight="false" outlineLevel="0" collapsed="false">
      <c r="A1094" s="79" t="n">
        <f aca="false">IF(E1094="","",ROW()-6)</f>
        <v>1088</v>
      </c>
      <c r="B1094" s="80" t="s">
        <v>110</v>
      </c>
      <c r="C1094" s="81" t="s">
        <v>1285</v>
      </c>
      <c r="D1094" s="81" t="n">
        <v>8</v>
      </c>
      <c r="E1094" s="81" t="s">
        <v>1303</v>
      </c>
      <c r="F1094" s="82" t="str">
        <f aca="false">IF(E1094="","",IF(LEFT(E1094,2)="DJ","DJ","JN"))</f>
        <v>JN</v>
      </c>
      <c r="G1094" s="81"/>
      <c r="H1094" s="81" t="s">
        <v>871</v>
      </c>
      <c r="I1094" s="81" t="n">
        <v>9.53</v>
      </c>
      <c r="J1094" s="81" t="s">
        <v>872</v>
      </c>
      <c r="K1094" s="81" t="s">
        <v>879</v>
      </c>
      <c r="L1094" s="81" t="n">
        <v>2094340</v>
      </c>
      <c r="M1094" s="81" t="n">
        <v>15421110</v>
      </c>
      <c r="N1094" s="81" t="n">
        <v>11.94</v>
      </c>
      <c r="O1094" s="81" t="n">
        <v>2098010</v>
      </c>
      <c r="P1094" s="81" t="n">
        <v>15421111</v>
      </c>
      <c r="Q1094" s="81" t="n">
        <v>11.94</v>
      </c>
      <c r="R1094" s="81" t="s">
        <v>1299</v>
      </c>
      <c r="S1094" s="81"/>
      <c r="T1094" s="81"/>
      <c r="U1094" s="83" t="n">
        <v>46280</v>
      </c>
      <c r="V1094" s="83" t="n">
        <v>46280</v>
      </c>
      <c r="W1094" s="81" t="s">
        <v>1300</v>
      </c>
      <c r="X1094" s="81" t="s">
        <v>876</v>
      </c>
      <c r="Y1094" s="83" t="n">
        <v>46286</v>
      </c>
      <c r="Z1094" s="81" t="s">
        <v>1287</v>
      </c>
      <c r="AA1094" s="81" t="s">
        <v>876</v>
      </c>
      <c r="AB1094" s="81"/>
      <c r="AC1094" s="81"/>
      <c r="AD1094" s="81"/>
      <c r="AE1094" s="83"/>
      <c r="AF1094" s="81"/>
      <c r="AG1094" s="81"/>
      <c r="AH1094" s="81"/>
      <c r="AI1094" s="81"/>
      <c r="AJ1094" s="83"/>
      <c r="AK1094" s="81"/>
      <c r="AL1094" s="81"/>
      <c r="AM1094" s="83"/>
      <c r="AN1094" s="80"/>
      <c r="AO1094" s="82" t="n">
        <f aca="false">IF(E1094="","",(AA1094&lt;&gt;"")+(AG1094&lt;&gt;"")+(AL1094&lt;&gt;""))</f>
        <v>1</v>
      </c>
      <c r="AP1094" s="82" t="str">
        <f aca="false">IF(AL1094&lt;&gt;"",AL1094,IF(AG1094&lt;&gt;"",AG1094,IF(AA1094&lt;&gt;"",AA1094,"")))</f>
        <v>A</v>
      </c>
      <c r="AQ1094" s="84" t="str">
        <f aca="false">IF(E1094="","",IF(U1094="","À SOUDER",IF(X1094="","VT EN ATTENTE",IF(X1094="R","VT REJETÉ – À REPRENDRE",IF(AP1094="","À RADIOGRAPHIER",IF(AP1094="A","ACCEPTÉ",IF(AP1094="NX","NX – RT À REFAIRE",IF(IF(AO1094=1,AD1094,IF(AO1094=2,AI1094,""))="A","RÉPARÉ – À RADIOGRAPHIER",IF(IF(AO1094=1,AD1094,IF(AO1094=2,AI1094,""))="R","VT REJETÉ – À REPRENDRE",IF(OR(AP1094="CO",AP1094="NT"),"COUPE – À RESOUDER","À RÉPARER"))))))))))</f>
        <v>ACCEPTÉ</v>
      </c>
      <c r="AR1094" s="82" t="str">
        <f aca="false">IF(AND(ISNUMBER(U1094),OR(AQ1094="À RADIOGRAPHIER",AQ1094="RÉPARÉ – À RADIOGRAPHIER",AQ1094="NX – RT À REFAIRE",AQ1094="À RÉPARER",AQ1094="COUPE – À RESOUDER",AQ1094="VT REJETÉ – À REPRENDRE")),MAX(0,'PROGRAMME RT'!$C$4-U1094),"")</f>
        <v/>
      </c>
      <c r="AS1094" s="82" t="n">
        <f aca="false">IF(AND(OR(AQ1094="À RADIOGRAPHIER",AQ1094="RÉPARÉ – À RADIOGRAPHIER",AQ1094="NX – RT À REFAIRE"),OR('PROGRAMME RT'!$D$5="TOUTES",B1094='PROGRAMME RT'!$D$5)),1,0)</f>
        <v>0</v>
      </c>
      <c r="AT1094" s="82" t="str">
        <f aca="false">IF(AS1094=1,SUM(AS$7:AS1094),"")</f>
        <v/>
      </c>
      <c r="AU1094" s="82" t="n">
        <f aca="false">IF(AND(OR(AA1094="R",AA1094="NX",AA1094="NT",AA1094="CO"),OR('JOINTS DE RÉPARATION'!$D$5="TOUTES",B1094='JOINTS DE RÉPARATION'!$D$5),OR('JOINTS DE RÉPARATION'!$L$4="TOUS",AQ1094&lt;&gt;"ACCEPTÉ")),1,0)</f>
        <v>0</v>
      </c>
      <c r="AV1094" s="82" t="str">
        <f aca="false">IF(AU1094=1,SUM(AU$7:AU1094),"")</f>
        <v/>
      </c>
      <c r="AW1094" s="82" t="str">
        <f aca="false">IF(E1094="","",B1094&amp;"|"&amp;E1094)</f>
        <v>MFD-ISW → MFD-CPF|JN°965</v>
      </c>
    </row>
    <row r="1095" customFormat="false" ht="74.6" hidden="false" customHeight="false" outlineLevel="0" collapsed="false">
      <c r="A1095" s="79" t="n">
        <f aca="false">IF(E1095="","",ROW()-6)</f>
        <v>1089</v>
      </c>
      <c r="B1095" s="80" t="s">
        <v>110</v>
      </c>
      <c r="C1095" s="81" t="s">
        <v>1285</v>
      </c>
      <c r="D1095" s="81" t="n">
        <v>8</v>
      </c>
      <c r="E1095" s="81" t="s">
        <v>1304</v>
      </c>
      <c r="F1095" s="82" t="str">
        <f aca="false">IF(E1095="","",IF(LEFT(E1095,2)="DJ","DJ","JN"))</f>
        <v>JN</v>
      </c>
      <c r="G1095" s="81"/>
      <c r="H1095" s="81" t="s">
        <v>871</v>
      </c>
      <c r="I1095" s="81" t="n">
        <v>9.53</v>
      </c>
      <c r="J1095" s="81" t="s">
        <v>872</v>
      </c>
      <c r="K1095" s="81" t="s">
        <v>879</v>
      </c>
      <c r="L1095" s="81" t="n">
        <v>2098010</v>
      </c>
      <c r="M1095" s="81" t="n">
        <v>15421111</v>
      </c>
      <c r="N1095" s="81" t="n">
        <v>11.94</v>
      </c>
      <c r="O1095" s="81" t="n">
        <v>2087280</v>
      </c>
      <c r="P1095" s="81" t="n">
        <v>15421107</v>
      </c>
      <c r="Q1095" s="81" t="n">
        <v>11.94</v>
      </c>
      <c r="R1095" s="81" t="s">
        <v>1299</v>
      </c>
      <c r="S1095" s="81"/>
      <c r="T1095" s="81"/>
      <c r="U1095" s="83" t="n">
        <v>46280</v>
      </c>
      <c r="V1095" s="83" t="n">
        <v>46280</v>
      </c>
      <c r="W1095" s="81" t="s">
        <v>1300</v>
      </c>
      <c r="X1095" s="81" t="s">
        <v>876</v>
      </c>
      <c r="Y1095" s="83" t="n">
        <v>46286</v>
      </c>
      <c r="Z1095" s="81" t="s">
        <v>1287</v>
      </c>
      <c r="AA1095" s="81" t="s">
        <v>876</v>
      </c>
      <c r="AB1095" s="81"/>
      <c r="AC1095" s="81"/>
      <c r="AD1095" s="81"/>
      <c r="AE1095" s="83"/>
      <c r="AF1095" s="81"/>
      <c r="AG1095" s="81"/>
      <c r="AH1095" s="81"/>
      <c r="AI1095" s="81"/>
      <c r="AJ1095" s="83"/>
      <c r="AK1095" s="81"/>
      <c r="AL1095" s="81"/>
      <c r="AM1095" s="83"/>
      <c r="AN1095" s="80"/>
      <c r="AO1095" s="82" t="n">
        <f aca="false">IF(E1095="","",(AA1095&lt;&gt;"")+(AG1095&lt;&gt;"")+(AL1095&lt;&gt;""))</f>
        <v>1</v>
      </c>
      <c r="AP1095" s="82" t="str">
        <f aca="false">IF(AL1095&lt;&gt;"",AL1095,IF(AG1095&lt;&gt;"",AG1095,IF(AA1095&lt;&gt;"",AA1095,"")))</f>
        <v>A</v>
      </c>
      <c r="AQ1095" s="84" t="str">
        <f aca="false">IF(E1095="","",IF(U1095="","À SOUDER",IF(X1095="","VT EN ATTENTE",IF(X1095="R","VT REJETÉ – À REPRENDRE",IF(AP1095="","À RADIOGRAPHIER",IF(AP1095="A","ACCEPTÉ",IF(AP1095="NX","NX – RT À REFAIRE",IF(IF(AO1095=1,AD1095,IF(AO1095=2,AI1095,""))="A","RÉPARÉ – À RADIOGRAPHIER",IF(IF(AO1095=1,AD1095,IF(AO1095=2,AI1095,""))="R","VT REJETÉ – À REPRENDRE",IF(OR(AP1095="CO",AP1095="NT"),"COUPE – À RESOUDER","À RÉPARER"))))))))))</f>
        <v>ACCEPTÉ</v>
      </c>
      <c r="AR1095" s="82" t="str">
        <f aca="false">IF(AND(ISNUMBER(U1095),OR(AQ1095="À RADIOGRAPHIER",AQ1095="RÉPARÉ – À RADIOGRAPHIER",AQ1095="NX – RT À REFAIRE",AQ1095="À RÉPARER",AQ1095="COUPE – À RESOUDER",AQ1095="VT REJETÉ – À REPRENDRE")),MAX(0,'PROGRAMME RT'!$C$4-U1095),"")</f>
        <v/>
      </c>
      <c r="AS1095" s="82" t="n">
        <f aca="false">IF(AND(OR(AQ1095="À RADIOGRAPHIER",AQ1095="RÉPARÉ – À RADIOGRAPHIER",AQ1095="NX – RT À REFAIRE"),OR('PROGRAMME RT'!$D$5="TOUTES",B1095='PROGRAMME RT'!$D$5)),1,0)</f>
        <v>0</v>
      </c>
      <c r="AT1095" s="82" t="str">
        <f aca="false">IF(AS1095=1,SUM(AS$7:AS1095),"")</f>
        <v/>
      </c>
      <c r="AU1095" s="82" t="n">
        <f aca="false">IF(AND(OR(AA1095="R",AA1095="NX",AA1095="NT",AA1095="CO"),OR('JOINTS DE RÉPARATION'!$D$5="TOUTES",B1095='JOINTS DE RÉPARATION'!$D$5),OR('JOINTS DE RÉPARATION'!$L$4="TOUS",AQ1095&lt;&gt;"ACCEPTÉ")),1,0)</f>
        <v>0</v>
      </c>
      <c r="AV1095" s="82" t="str">
        <f aca="false">IF(AU1095=1,SUM(AU$7:AU1095),"")</f>
        <v/>
      </c>
      <c r="AW1095" s="82" t="str">
        <f aca="false">IF(E1095="","",B1095&amp;"|"&amp;E1095)</f>
        <v>MFD-ISW → MFD-CPF|JN°966</v>
      </c>
    </row>
    <row r="1096" customFormat="false" ht="74.6" hidden="false" customHeight="false" outlineLevel="0" collapsed="false">
      <c r="A1096" s="79" t="n">
        <f aca="false">IF(E1096="","",ROW()-6)</f>
        <v>1090</v>
      </c>
      <c r="B1096" s="80" t="s">
        <v>110</v>
      </c>
      <c r="C1096" s="81" t="s">
        <v>1285</v>
      </c>
      <c r="D1096" s="81" t="n">
        <v>8</v>
      </c>
      <c r="E1096" s="81" t="s">
        <v>1305</v>
      </c>
      <c r="F1096" s="82" t="str">
        <f aca="false">IF(E1096="","",IF(LEFT(E1096,2)="DJ","DJ","JN"))</f>
        <v>JN</v>
      </c>
      <c r="G1096" s="81"/>
      <c r="H1096" s="81" t="s">
        <v>871</v>
      </c>
      <c r="I1096" s="81" t="n">
        <v>9.53</v>
      </c>
      <c r="J1096" s="81" t="s">
        <v>872</v>
      </c>
      <c r="K1096" s="81" t="s">
        <v>879</v>
      </c>
      <c r="L1096" s="81" t="n">
        <v>2087280</v>
      </c>
      <c r="M1096" s="81" t="n">
        <v>15421107</v>
      </c>
      <c r="N1096" s="81" t="n">
        <v>11.94</v>
      </c>
      <c r="O1096" s="81" t="n">
        <v>2092700</v>
      </c>
      <c r="P1096" s="81" t="n">
        <v>15421110</v>
      </c>
      <c r="Q1096" s="81" t="n">
        <v>11.94</v>
      </c>
      <c r="R1096" s="81" t="s">
        <v>1299</v>
      </c>
      <c r="S1096" s="81"/>
      <c r="T1096" s="81"/>
      <c r="U1096" s="83" t="n">
        <v>46280</v>
      </c>
      <c r="V1096" s="83" t="n">
        <v>46280</v>
      </c>
      <c r="W1096" s="81" t="s">
        <v>1300</v>
      </c>
      <c r="X1096" s="81" t="s">
        <v>876</v>
      </c>
      <c r="Y1096" s="83" t="n">
        <v>46286</v>
      </c>
      <c r="Z1096" s="81" t="s">
        <v>1287</v>
      </c>
      <c r="AA1096" s="81" t="s">
        <v>876</v>
      </c>
      <c r="AB1096" s="81"/>
      <c r="AC1096" s="81"/>
      <c r="AD1096" s="81"/>
      <c r="AE1096" s="83"/>
      <c r="AF1096" s="81"/>
      <c r="AG1096" s="81"/>
      <c r="AH1096" s="81"/>
      <c r="AI1096" s="81"/>
      <c r="AJ1096" s="83"/>
      <c r="AK1096" s="81"/>
      <c r="AL1096" s="81"/>
      <c r="AM1096" s="83"/>
      <c r="AN1096" s="80"/>
      <c r="AO1096" s="82" t="n">
        <f aca="false">IF(E1096="","",(AA1096&lt;&gt;"")+(AG1096&lt;&gt;"")+(AL1096&lt;&gt;""))</f>
        <v>1</v>
      </c>
      <c r="AP1096" s="82" t="str">
        <f aca="false">IF(AL1096&lt;&gt;"",AL1096,IF(AG1096&lt;&gt;"",AG1096,IF(AA1096&lt;&gt;"",AA1096,"")))</f>
        <v>A</v>
      </c>
      <c r="AQ1096" s="84" t="str">
        <f aca="false">IF(E1096="","",IF(U1096="","À SOUDER",IF(X1096="","VT EN ATTENTE",IF(X1096="R","VT REJETÉ – À REPRENDRE",IF(AP1096="","À RADIOGRAPHIER",IF(AP1096="A","ACCEPTÉ",IF(AP1096="NX","NX – RT À REFAIRE",IF(IF(AO1096=1,AD1096,IF(AO1096=2,AI1096,""))="A","RÉPARÉ – À RADIOGRAPHIER",IF(IF(AO1096=1,AD1096,IF(AO1096=2,AI1096,""))="R","VT REJETÉ – À REPRENDRE",IF(OR(AP1096="CO",AP1096="NT"),"COUPE – À RESOUDER","À RÉPARER"))))))))))</f>
        <v>ACCEPTÉ</v>
      </c>
      <c r="AR1096" s="82" t="str">
        <f aca="false">IF(AND(ISNUMBER(U1096),OR(AQ1096="À RADIOGRAPHIER",AQ1096="RÉPARÉ – À RADIOGRAPHIER",AQ1096="NX – RT À REFAIRE",AQ1096="À RÉPARER",AQ1096="COUPE – À RESOUDER",AQ1096="VT REJETÉ – À REPRENDRE")),MAX(0,'PROGRAMME RT'!$C$4-U1096),"")</f>
        <v/>
      </c>
      <c r="AS1096" s="82" t="n">
        <f aca="false">IF(AND(OR(AQ1096="À RADIOGRAPHIER",AQ1096="RÉPARÉ – À RADIOGRAPHIER",AQ1096="NX – RT À REFAIRE"),OR('PROGRAMME RT'!$D$5="TOUTES",B1096='PROGRAMME RT'!$D$5)),1,0)</f>
        <v>0</v>
      </c>
      <c r="AT1096" s="82" t="str">
        <f aca="false">IF(AS1096=1,SUM(AS$7:AS1096),"")</f>
        <v/>
      </c>
      <c r="AU1096" s="82" t="n">
        <f aca="false">IF(AND(OR(AA1096="R",AA1096="NX",AA1096="NT",AA1096="CO"),OR('JOINTS DE RÉPARATION'!$D$5="TOUTES",B1096='JOINTS DE RÉPARATION'!$D$5),OR('JOINTS DE RÉPARATION'!$L$4="TOUS",AQ1096&lt;&gt;"ACCEPTÉ")),1,0)</f>
        <v>0</v>
      </c>
      <c r="AV1096" s="82" t="str">
        <f aca="false">IF(AU1096=1,SUM(AU$7:AU1096),"")</f>
        <v/>
      </c>
      <c r="AW1096" s="82" t="str">
        <f aca="false">IF(E1096="","",B1096&amp;"|"&amp;E1096)</f>
        <v>MFD-ISW → MFD-CPF|JN°967</v>
      </c>
    </row>
    <row r="1097" customFormat="false" ht="74.6" hidden="false" customHeight="false" outlineLevel="0" collapsed="false">
      <c r="A1097" s="79" t="n">
        <f aca="false">IF(E1097="","",ROW()-6)</f>
        <v>1091</v>
      </c>
      <c r="B1097" s="80" t="s">
        <v>110</v>
      </c>
      <c r="C1097" s="81" t="s">
        <v>1285</v>
      </c>
      <c r="D1097" s="81" t="n">
        <v>8</v>
      </c>
      <c r="E1097" s="81" t="s">
        <v>1306</v>
      </c>
      <c r="F1097" s="82" t="str">
        <f aca="false">IF(E1097="","",IF(LEFT(E1097,2)="DJ","DJ","JN"))</f>
        <v>JN</v>
      </c>
      <c r="G1097" s="81"/>
      <c r="H1097" s="81" t="s">
        <v>871</v>
      </c>
      <c r="I1097" s="81" t="n">
        <v>9.53</v>
      </c>
      <c r="J1097" s="81" t="s">
        <v>872</v>
      </c>
      <c r="K1097" s="81" t="s">
        <v>879</v>
      </c>
      <c r="L1097" s="81" t="n">
        <v>2092700</v>
      </c>
      <c r="M1097" s="81" t="n">
        <v>15421110</v>
      </c>
      <c r="N1097" s="81" t="n">
        <v>11.94</v>
      </c>
      <c r="O1097" s="81" t="n">
        <v>2078490</v>
      </c>
      <c r="P1097" s="81" t="n">
        <v>15421101</v>
      </c>
      <c r="Q1097" s="81" t="n">
        <v>11.94</v>
      </c>
      <c r="R1097" s="81" t="s">
        <v>1299</v>
      </c>
      <c r="S1097" s="81"/>
      <c r="T1097" s="81"/>
      <c r="U1097" s="83" t="n">
        <v>46280</v>
      </c>
      <c r="V1097" s="83" t="n">
        <v>46280</v>
      </c>
      <c r="W1097" s="81" t="s">
        <v>1300</v>
      </c>
      <c r="X1097" s="81" t="s">
        <v>876</v>
      </c>
      <c r="Y1097" s="83" t="n">
        <v>46286</v>
      </c>
      <c r="Z1097" s="81" t="s">
        <v>1287</v>
      </c>
      <c r="AA1097" s="81" t="s">
        <v>876</v>
      </c>
      <c r="AB1097" s="81"/>
      <c r="AC1097" s="81"/>
      <c r="AD1097" s="81"/>
      <c r="AE1097" s="83"/>
      <c r="AF1097" s="81"/>
      <c r="AG1097" s="81"/>
      <c r="AH1097" s="81"/>
      <c r="AI1097" s="81"/>
      <c r="AJ1097" s="83"/>
      <c r="AK1097" s="81"/>
      <c r="AL1097" s="81"/>
      <c r="AM1097" s="83"/>
      <c r="AN1097" s="80"/>
      <c r="AO1097" s="82" t="n">
        <f aca="false">IF(E1097="","",(AA1097&lt;&gt;"")+(AG1097&lt;&gt;"")+(AL1097&lt;&gt;""))</f>
        <v>1</v>
      </c>
      <c r="AP1097" s="82" t="str">
        <f aca="false">IF(AL1097&lt;&gt;"",AL1097,IF(AG1097&lt;&gt;"",AG1097,IF(AA1097&lt;&gt;"",AA1097,"")))</f>
        <v>A</v>
      </c>
      <c r="AQ1097" s="84" t="str">
        <f aca="false">IF(E1097="","",IF(U1097="","À SOUDER",IF(X1097="","VT EN ATTENTE",IF(X1097="R","VT REJETÉ – À REPRENDRE",IF(AP1097="","À RADIOGRAPHIER",IF(AP1097="A","ACCEPTÉ",IF(AP1097="NX","NX – RT À REFAIRE",IF(IF(AO1097=1,AD1097,IF(AO1097=2,AI1097,""))="A","RÉPARÉ – À RADIOGRAPHIER",IF(IF(AO1097=1,AD1097,IF(AO1097=2,AI1097,""))="R","VT REJETÉ – À REPRENDRE",IF(OR(AP1097="CO",AP1097="NT"),"COUPE – À RESOUDER","À RÉPARER"))))))))))</f>
        <v>ACCEPTÉ</v>
      </c>
      <c r="AR1097" s="82" t="str">
        <f aca="false">IF(AND(ISNUMBER(U1097),OR(AQ1097="À RADIOGRAPHIER",AQ1097="RÉPARÉ – À RADIOGRAPHIER",AQ1097="NX – RT À REFAIRE",AQ1097="À RÉPARER",AQ1097="COUPE – À RESOUDER",AQ1097="VT REJETÉ – À REPRENDRE")),MAX(0,'PROGRAMME RT'!$C$4-U1097),"")</f>
        <v/>
      </c>
      <c r="AS1097" s="82" t="n">
        <f aca="false">IF(AND(OR(AQ1097="À RADIOGRAPHIER",AQ1097="RÉPARÉ – À RADIOGRAPHIER",AQ1097="NX – RT À REFAIRE"),OR('PROGRAMME RT'!$D$5="TOUTES",B1097='PROGRAMME RT'!$D$5)),1,0)</f>
        <v>0</v>
      </c>
      <c r="AT1097" s="82" t="str">
        <f aca="false">IF(AS1097=1,SUM(AS$7:AS1097),"")</f>
        <v/>
      </c>
      <c r="AU1097" s="82" t="n">
        <f aca="false">IF(AND(OR(AA1097="R",AA1097="NX",AA1097="NT",AA1097="CO"),OR('JOINTS DE RÉPARATION'!$D$5="TOUTES",B1097='JOINTS DE RÉPARATION'!$D$5),OR('JOINTS DE RÉPARATION'!$L$4="TOUS",AQ1097&lt;&gt;"ACCEPTÉ")),1,0)</f>
        <v>0</v>
      </c>
      <c r="AV1097" s="82" t="str">
        <f aca="false">IF(AU1097=1,SUM(AU$7:AU1097),"")</f>
        <v/>
      </c>
      <c r="AW1097" s="82" t="str">
        <f aca="false">IF(E1097="","",B1097&amp;"|"&amp;E1097)</f>
        <v>MFD-ISW → MFD-CPF|JN°968</v>
      </c>
    </row>
    <row r="1098" customFormat="false" ht="74.6" hidden="false" customHeight="false" outlineLevel="0" collapsed="false">
      <c r="A1098" s="79" t="n">
        <f aca="false">IF(E1098="","",ROW()-6)</f>
        <v>1092</v>
      </c>
      <c r="B1098" s="80" t="s">
        <v>110</v>
      </c>
      <c r="C1098" s="81" t="s">
        <v>1285</v>
      </c>
      <c r="D1098" s="81" t="n">
        <v>8</v>
      </c>
      <c r="E1098" s="81" t="s">
        <v>1307</v>
      </c>
      <c r="F1098" s="82" t="str">
        <f aca="false">IF(E1098="","",IF(LEFT(E1098,2)="DJ","DJ","JN"))</f>
        <v>DJ</v>
      </c>
      <c r="G1098" s="81"/>
      <c r="H1098" s="81" t="s">
        <v>871</v>
      </c>
      <c r="I1098" s="81" t="n">
        <v>9.53</v>
      </c>
      <c r="J1098" s="81" t="s">
        <v>872</v>
      </c>
      <c r="K1098" s="81" t="s">
        <v>873</v>
      </c>
      <c r="L1098" s="81" t="n">
        <v>2078490</v>
      </c>
      <c r="M1098" s="81" t="n">
        <v>15421101</v>
      </c>
      <c r="N1098" s="81" t="n">
        <v>11.94</v>
      </c>
      <c r="O1098" s="81" t="n">
        <v>2080220</v>
      </c>
      <c r="P1098" s="81" t="n">
        <v>15421102</v>
      </c>
      <c r="Q1098" s="81" t="n">
        <v>11.94</v>
      </c>
      <c r="R1098" s="81" t="s">
        <v>963</v>
      </c>
      <c r="S1098" s="81"/>
      <c r="T1098" s="81"/>
      <c r="U1098" s="83" t="n">
        <v>46279</v>
      </c>
      <c r="V1098" s="83" t="n">
        <v>46279</v>
      </c>
      <c r="W1098" s="81" t="s">
        <v>1227</v>
      </c>
      <c r="X1098" s="81" t="s">
        <v>876</v>
      </c>
      <c r="Y1098" s="83" t="n">
        <v>46280</v>
      </c>
      <c r="Z1098" s="81" t="s">
        <v>1149</v>
      </c>
      <c r="AA1098" s="81" t="s">
        <v>876</v>
      </c>
      <c r="AB1098" s="81"/>
      <c r="AC1098" s="81"/>
      <c r="AD1098" s="81"/>
      <c r="AE1098" s="83"/>
      <c r="AF1098" s="81"/>
      <c r="AG1098" s="81"/>
      <c r="AH1098" s="81"/>
      <c r="AI1098" s="81"/>
      <c r="AJ1098" s="83"/>
      <c r="AK1098" s="81"/>
      <c r="AL1098" s="81"/>
      <c r="AM1098" s="83"/>
      <c r="AN1098" s="80"/>
      <c r="AO1098" s="82" t="n">
        <f aca="false">IF(E1098="","",(AA1098&lt;&gt;"")+(AG1098&lt;&gt;"")+(AL1098&lt;&gt;""))</f>
        <v>1</v>
      </c>
      <c r="AP1098" s="82" t="str">
        <f aca="false">IF(AL1098&lt;&gt;"",AL1098,IF(AG1098&lt;&gt;"",AG1098,IF(AA1098&lt;&gt;"",AA1098,"")))</f>
        <v>A</v>
      </c>
      <c r="AQ1098" s="84" t="str">
        <f aca="false">IF(E1098="","",IF(U1098="","À SOUDER",IF(X1098="","VT EN ATTENTE",IF(X1098="R","VT REJETÉ – À REPRENDRE",IF(AP1098="","À RADIOGRAPHIER",IF(AP1098="A","ACCEPTÉ",IF(AP1098="NX","NX – RT À REFAIRE",IF(IF(AO1098=1,AD1098,IF(AO1098=2,AI1098,""))="A","RÉPARÉ – À RADIOGRAPHIER",IF(IF(AO1098=1,AD1098,IF(AO1098=2,AI1098,""))="R","VT REJETÉ – À REPRENDRE",IF(OR(AP1098="CO",AP1098="NT"),"COUPE – À RESOUDER","À RÉPARER"))))))))))</f>
        <v>ACCEPTÉ</v>
      </c>
      <c r="AR1098" s="82" t="str">
        <f aca="false">IF(AND(ISNUMBER(U1098),OR(AQ1098="À RADIOGRAPHIER",AQ1098="RÉPARÉ – À RADIOGRAPHIER",AQ1098="NX – RT À REFAIRE",AQ1098="À RÉPARER",AQ1098="COUPE – À RESOUDER",AQ1098="VT REJETÉ – À REPRENDRE")),MAX(0,'PROGRAMME RT'!$C$4-U1098),"")</f>
        <v/>
      </c>
      <c r="AS1098" s="82" t="n">
        <f aca="false">IF(AND(OR(AQ1098="À RADIOGRAPHIER",AQ1098="RÉPARÉ – À RADIOGRAPHIER",AQ1098="NX – RT À REFAIRE"),OR('PROGRAMME RT'!$D$5="TOUTES",B1098='PROGRAMME RT'!$D$5)),1,0)</f>
        <v>0</v>
      </c>
      <c r="AT1098" s="82" t="str">
        <f aca="false">IF(AS1098=1,SUM(AS$7:AS1098),"")</f>
        <v/>
      </c>
      <c r="AU1098" s="82" t="n">
        <f aca="false">IF(AND(OR(AA1098="R",AA1098="NX",AA1098="NT",AA1098="CO"),OR('JOINTS DE RÉPARATION'!$D$5="TOUTES",B1098='JOINTS DE RÉPARATION'!$D$5),OR('JOINTS DE RÉPARATION'!$L$4="TOUS",AQ1098&lt;&gt;"ACCEPTÉ")),1,0)</f>
        <v>0</v>
      </c>
      <c r="AV1098" s="82" t="str">
        <f aca="false">IF(AU1098=1,SUM(AU$7:AU1098),"")</f>
        <v/>
      </c>
      <c r="AW1098" s="82" t="str">
        <f aca="false">IF(E1098="","",B1098&amp;"|"&amp;E1098)</f>
        <v>MFD-ISW → MFD-CPF|DJ°381</v>
      </c>
    </row>
    <row r="1099" customFormat="false" ht="74.6" hidden="false" customHeight="false" outlineLevel="0" collapsed="false">
      <c r="A1099" s="79" t="n">
        <f aca="false">IF(E1099="","",ROW()-6)</f>
        <v>1093</v>
      </c>
      <c r="B1099" s="80" t="s">
        <v>110</v>
      </c>
      <c r="C1099" s="81" t="s">
        <v>1285</v>
      </c>
      <c r="D1099" s="81" t="n">
        <v>8</v>
      </c>
      <c r="E1099" s="81" t="s">
        <v>1308</v>
      </c>
      <c r="F1099" s="82" t="str">
        <f aca="false">IF(E1099="","",IF(LEFT(E1099,2)="DJ","DJ","JN"))</f>
        <v>JN</v>
      </c>
      <c r="G1099" s="81"/>
      <c r="H1099" s="81" t="s">
        <v>871</v>
      </c>
      <c r="I1099" s="81" t="n">
        <v>9.53</v>
      </c>
      <c r="J1099" s="81" t="s">
        <v>872</v>
      </c>
      <c r="K1099" s="81" t="s">
        <v>879</v>
      </c>
      <c r="L1099" s="81" t="n">
        <v>2080220</v>
      </c>
      <c r="M1099" s="81" t="n">
        <v>15421102</v>
      </c>
      <c r="N1099" s="81" t="n">
        <v>11.94</v>
      </c>
      <c r="O1099" s="81" t="n">
        <v>2083560</v>
      </c>
      <c r="P1099" s="81" t="n">
        <v>15421105</v>
      </c>
      <c r="Q1099" s="81" t="n">
        <v>11.94</v>
      </c>
      <c r="R1099" s="81" t="s">
        <v>1299</v>
      </c>
      <c r="S1099" s="81"/>
      <c r="T1099" s="81"/>
      <c r="U1099" s="83" t="n">
        <v>46280</v>
      </c>
      <c r="V1099" s="83" t="n">
        <v>46280</v>
      </c>
      <c r="W1099" s="81" t="s">
        <v>1300</v>
      </c>
      <c r="X1099" s="81" t="s">
        <v>876</v>
      </c>
      <c r="Y1099" s="83" t="n">
        <v>46286</v>
      </c>
      <c r="Z1099" s="81" t="s">
        <v>1309</v>
      </c>
      <c r="AA1099" s="81" t="s">
        <v>1073</v>
      </c>
      <c r="AB1099" s="81" t="s">
        <v>1310</v>
      </c>
      <c r="AC1099" s="81"/>
      <c r="AD1099" s="81"/>
      <c r="AE1099" s="83"/>
      <c r="AF1099" s="81"/>
      <c r="AG1099" s="81"/>
      <c r="AH1099" s="81"/>
      <c r="AI1099" s="81"/>
      <c r="AJ1099" s="83"/>
      <c r="AK1099" s="81"/>
      <c r="AL1099" s="81"/>
      <c r="AM1099" s="83"/>
      <c r="AN1099" s="80"/>
      <c r="AO1099" s="82" t="n">
        <f aca="false">IF(E1099="","",(AA1099&lt;&gt;"")+(AG1099&lt;&gt;"")+(AL1099&lt;&gt;""))</f>
        <v>1</v>
      </c>
      <c r="AP1099" s="82" t="str">
        <f aca="false">IF(AL1099&lt;&gt;"",AL1099,IF(AG1099&lt;&gt;"",AG1099,IF(AA1099&lt;&gt;"",AA1099,"")))</f>
        <v>R</v>
      </c>
      <c r="AQ1099" s="84" t="str">
        <f aca="false">IF(E1099="","",IF(U1099="","À SOUDER",IF(X1099="","VT EN ATTENTE",IF(X1099="R","VT REJETÉ – À REPRENDRE",IF(AP1099="","À RADIOGRAPHIER",IF(AP1099="A","ACCEPTÉ",IF(AP1099="NX","NX – RT À REFAIRE",IF(IF(AO1099=1,AD1099,IF(AO1099=2,AI1099,""))="A","RÉPARÉ – À RADIOGRAPHIER",IF(IF(AO1099=1,AD1099,IF(AO1099=2,AI1099,""))="R","VT REJETÉ – À REPRENDRE",IF(OR(AP1099="CO",AP1099="NT"),"COUPE – À RESOUDER","À RÉPARER"))))))))))</f>
        <v>À RÉPARER</v>
      </c>
      <c r="AR1099" s="82" t="n">
        <f aca="false">IF(AND(ISNUMBER(U1099),OR(AQ1099="À RADIOGRAPHIER",AQ1099="RÉPARÉ – À RADIOGRAPHIER",AQ1099="NX – RT À REFAIRE",AQ1099="À RÉPARER",AQ1099="COUPE – À RESOUDER",AQ1099="VT REJETÉ – À REPRENDRE")),MAX(0,'PROGRAMME RT'!$C$4-U1099),"")</f>
        <v>13</v>
      </c>
      <c r="AS1099" s="82" t="n">
        <f aca="false">IF(AND(OR(AQ1099="À RADIOGRAPHIER",AQ1099="RÉPARÉ – À RADIOGRAPHIER",AQ1099="NX – RT À REFAIRE"),OR('PROGRAMME RT'!$D$5="TOUTES",B1099='PROGRAMME RT'!$D$5)),1,0)</f>
        <v>0</v>
      </c>
      <c r="AT1099" s="82" t="str">
        <f aca="false">IF(AS1099=1,SUM(AS$7:AS1099),"")</f>
        <v/>
      </c>
      <c r="AU1099" s="82" t="n">
        <f aca="false">IF(AND(OR(AA1099="R",AA1099="NX",AA1099="NT",AA1099="CO"),OR('JOINTS DE RÉPARATION'!$D$5="TOUTES",B1099='JOINTS DE RÉPARATION'!$D$5),OR('JOINTS DE RÉPARATION'!$L$4="TOUS",AQ1099&lt;&gt;"ACCEPTÉ")),1,0)</f>
        <v>1</v>
      </c>
      <c r="AV1099" s="82" t="n">
        <f aca="false">IF(AU1099=1,SUM(AU$7:AU1099),"")</f>
        <v>18</v>
      </c>
      <c r="AW1099" s="82" t="str">
        <f aca="false">IF(E1099="","",B1099&amp;"|"&amp;E1099)</f>
        <v>MFD-ISW → MFD-CPF|JN°969</v>
      </c>
    </row>
    <row r="1100" customFormat="false" ht="74.6" hidden="false" customHeight="false" outlineLevel="0" collapsed="false">
      <c r="A1100" s="79" t="n">
        <f aca="false">IF(E1100="","",ROW()-6)</f>
        <v>1094</v>
      </c>
      <c r="B1100" s="80" t="s">
        <v>110</v>
      </c>
      <c r="C1100" s="81" t="s">
        <v>1285</v>
      </c>
      <c r="D1100" s="81" t="n">
        <v>8</v>
      </c>
      <c r="E1100" s="81" t="s">
        <v>1311</v>
      </c>
      <c r="F1100" s="82" t="str">
        <f aca="false">IF(E1100="","",IF(LEFT(E1100,2)="DJ","DJ","JN"))</f>
        <v>DJ</v>
      </c>
      <c r="G1100" s="81"/>
      <c r="H1100" s="81" t="s">
        <v>871</v>
      </c>
      <c r="I1100" s="81" t="n">
        <v>9.53</v>
      </c>
      <c r="J1100" s="81" t="s">
        <v>872</v>
      </c>
      <c r="K1100" s="81" t="s">
        <v>873</v>
      </c>
      <c r="L1100" s="81" t="n">
        <v>2083560</v>
      </c>
      <c r="M1100" s="81" t="n">
        <v>15421105</v>
      </c>
      <c r="N1100" s="81" t="n">
        <v>11.94</v>
      </c>
      <c r="O1100" s="81" t="n">
        <v>2087150</v>
      </c>
      <c r="P1100" s="81" t="n">
        <v>15421107</v>
      </c>
      <c r="Q1100" s="81" t="n">
        <v>11.94</v>
      </c>
      <c r="R1100" s="81" t="s">
        <v>1135</v>
      </c>
      <c r="S1100" s="81"/>
      <c r="T1100" s="81"/>
      <c r="U1100" s="83" t="n">
        <v>46279</v>
      </c>
      <c r="V1100" s="83" t="n">
        <v>46279</v>
      </c>
      <c r="W1100" s="81" t="s">
        <v>1227</v>
      </c>
      <c r="X1100" s="81" t="s">
        <v>876</v>
      </c>
      <c r="Y1100" s="83" t="n">
        <v>46280</v>
      </c>
      <c r="Z1100" s="81" t="s">
        <v>1149</v>
      </c>
      <c r="AA1100" s="81" t="s">
        <v>876</v>
      </c>
      <c r="AB1100" s="81"/>
      <c r="AC1100" s="81"/>
      <c r="AD1100" s="81"/>
      <c r="AE1100" s="83"/>
      <c r="AF1100" s="81"/>
      <c r="AG1100" s="81"/>
      <c r="AH1100" s="81"/>
      <c r="AI1100" s="81"/>
      <c r="AJ1100" s="83"/>
      <c r="AK1100" s="81"/>
      <c r="AL1100" s="81"/>
      <c r="AM1100" s="83"/>
      <c r="AN1100" s="80"/>
      <c r="AO1100" s="82" t="n">
        <f aca="false">IF(E1100="","",(AA1100&lt;&gt;"")+(AG1100&lt;&gt;"")+(AL1100&lt;&gt;""))</f>
        <v>1</v>
      </c>
      <c r="AP1100" s="82" t="str">
        <f aca="false">IF(AL1100&lt;&gt;"",AL1100,IF(AG1100&lt;&gt;"",AG1100,IF(AA1100&lt;&gt;"",AA1100,"")))</f>
        <v>A</v>
      </c>
      <c r="AQ1100" s="84" t="str">
        <f aca="false">IF(E1100="","",IF(U1100="","À SOUDER",IF(X1100="","VT EN ATTENTE",IF(X1100="R","VT REJETÉ – À REPRENDRE",IF(AP1100="","À RADIOGRAPHIER",IF(AP1100="A","ACCEPTÉ",IF(AP1100="NX","NX – RT À REFAIRE",IF(IF(AO1100=1,AD1100,IF(AO1100=2,AI1100,""))="A","RÉPARÉ – À RADIOGRAPHIER",IF(IF(AO1100=1,AD1100,IF(AO1100=2,AI1100,""))="R","VT REJETÉ – À REPRENDRE",IF(OR(AP1100="CO",AP1100="NT"),"COUPE – À RESOUDER","À RÉPARER"))))))))))</f>
        <v>ACCEPTÉ</v>
      </c>
      <c r="AR1100" s="82" t="str">
        <f aca="false">IF(AND(ISNUMBER(U1100),OR(AQ1100="À RADIOGRAPHIER",AQ1100="RÉPARÉ – À RADIOGRAPHIER",AQ1100="NX – RT À REFAIRE",AQ1100="À RÉPARER",AQ1100="COUPE – À RESOUDER",AQ1100="VT REJETÉ – À REPRENDRE")),MAX(0,'PROGRAMME RT'!$C$4-U1100),"")</f>
        <v/>
      </c>
      <c r="AS1100" s="82" t="n">
        <f aca="false">IF(AND(OR(AQ1100="À RADIOGRAPHIER",AQ1100="RÉPARÉ – À RADIOGRAPHIER",AQ1100="NX – RT À REFAIRE"),OR('PROGRAMME RT'!$D$5="TOUTES",B1100='PROGRAMME RT'!$D$5)),1,0)</f>
        <v>0</v>
      </c>
      <c r="AT1100" s="82" t="str">
        <f aca="false">IF(AS1100=1,SUM(AS$7:AS1100),"")</f>
        <v/>
      </c>
      <c r="AU1100" s="82" t="n">
        <f aca="false">IF(AND(OR(AA1100="R",AA1100="NX",AA1100="NT",AA1100="CO"),OR('JOINTS DE RÉPARATION'!$D$5="TOUTES",B1100='JOINTS DE RÉPARATION'!$D$5),OR('JOINTS DE RÉPARATION'!$L$4="TOUS",AQ1100&lt;&gt;"ACCEPTÉ")),1,0)</f>
        <v>0</v>
      </c>
      <c r="AV1100" s="82" t="str">
        <f aca="false">IF(AU1100=1,SUM(AU$7:AU1100),"")</f>
        <v/>
      </c>
      <c r="AW1100" s="82" t="str">
        <f aca="false">IF(E1100="","",B1100&amp;"|"&amp;E1100)</f>
        <v>MFD-ISW → MFD-CPF|DJ°382</v>
      </c>
    </row>
    <row r="1101" customFormat="false" ht="74.6" hidden="false" customHeight="false" outlineLevel="0" collapsed="false">
      <c r="A1101" s="79" t="n">
        <f aca="false">IF(E1101="","",ROW()-6)</f>
        <v>1095</v>
      </c>
      <c r="B1101" s="80" t="s">
        <v>110</v>
      </c>
      <c r="C1101" s="81" t="s">
        <v>1285</v>
      </c>
      <c r="D1101" s="81" t="n">
        <v>8</v>
      </c>
      <c r="E1101" s="81" t="s">
        <v>1312</v>
      </c>
      <c r="F1101" s="82" t="str">
        <f aca="false">IF(E1101="","",IF(LEFT(E1101,2)="DJ","DJ","JN"))</f>
        <v>JN</v>
      </c>
      <c r="G1101" s="81"/>
      <c r="H1101" s="81" t="s">
        <v>871</v>
      </c>
      <c r="I1101" s="81" t="n">
        <v>9.53</v>
      </c>
      <c r="J1101" s="81" t="s">
        <v>872</v>
      </c>
      <c r="K1101" s="81" t="s">
        <v>879</v>
      </c>
      <c r="L1101" s="81" t="n">
        <v>2087150</v>
      </c>
      <c r="M1101" s="81" t="n">
        <v>15421107</v>
      </c>
      <c r="N1101" s="81" t="n">
        <v>11.94</v>
      </c>
      <c r="O1101" s="81" t="n">
        <v>2081740</v>
      </c>
      <c r="P1101" s="81" t="n">
        <v>15421103</v>
      </c>
      <c r="Q1101" s="81" t="n">
        <v>11.94</v>
      </c>
      <c r="R1101" s="81" t="s">
        <v>1299</v>
      </c>
      <c r="S1101" s="81"/>
      <c r="T1101" s="81"/>
      <c r="U1101" s="83" t="n">
        <v>46280</v>
      </c>
      <c r="V1101" s="83" t="n">
        <v>46280</v>
      </c>
      <c r="W1101" s="81" t="s">
        <v>1300</v>
      </c>
      <c r="X1101" s="81" t="s">
        <v>876</v>
      </c>
      <c r="Y1101" s="83" t="n">
        <v>46286</v>
      </c>
      <c r="Z1101" s="81" t="s">
        <v>1309</v>
      </c>
      <c r="AA1101" s="81" t="s">
        <v>876</v>
      </c>
      <c r="AB1101" s="81"/>
      <c r="AC1101" s="81"/>
      <c r="AD1101" s="81"/>
      <c r="AE1101" s="83"/>
      <c r="AF1101" s="81"/>
      <c r="AG1101" s="81"/>
      <c r="AH1101" s="81"/>
      <c r="AI1101" s="81"/>
      <c r="AJ1101" s="83"/>
      <c r="AK1101" s="81"/>
      <c r="AL1101" s="81"/>
      <c r="AM1101" s="83"/>
      <c r="AN1101" s="80"/>
      <c r="AO1101" s="82" t="n">
        <f aca="false">IF(E1101="","",(AA1101&lt;&gt;"")+(AG1101&lt;&gt;"")+(AL1101&lt;&gt;""))</f>
        <v>1</v>
      </c>
      <c r="AP1101" s="82" t="str">
        <f aca="false">IF(AL1101&lt;&gt;"",AL1101,IF(AG1101&lt;&gt;"",AG1101,IF(AA1101&lt;&gt;"",AA1101,"")))</f>
        <v>A</v>
      </c>
      <c r="AQ1101" s="84" t="str">
        <f aca="false">IF(E1101="","",IF(U1101="","À SOUDER",IF(X1101="","VT EN ATTENTE",IF(X1101="R","VT REJETÉ – À REPRENDRE",IF(AP1101="","À RADIOGRAPHIER",IF(AP1101="A","ACCEPTÉ",IF(AP1101="NX","NX – RT À REFAIRE",IF(IF(AO1101=1,AD1101,IF(AO1101=2,AI1101,""))="A","RÉPARÉ – À RADIOGRAPHIER",IF(IF(AO1101=1,AD1101,IF(AO1101=2,AI1101,""))="R","VT REJETÉ – À REPRENDRE",IF(OR(AP1101="CO",AP1101="NT"),"COUPE – À RESOUDER","À RÉPARER"))))))))))</f>
        <v>ACCEPTÉ</v>
      </c>
      <c r="AR1101" s="82" t="str">
        <f aca="false">IF(AND(ISNUMBER(U1101),OR(AQ1101="À RADIOGRAPHIER",AQ1101="RÉPARÉ – À RADIOGRAPHIER",AQ1101="NX – RT À REFAIRE",AQ1101="À RÉPARER",AQ1101="COUPE – À RESOUDER",AQ1101="VT REJETÉ – À REPRENDRE")),MAX(0,'PROGRAMME RT'!$C$4-U1101),"")</f>
        <v/>
      </c>
      <c r="AS1101" s="82" t="n">
        <f aca="false">IF(AND(OR(AQ1101="À RADIOGRAPHIER",AQ1101="RÉPARÉ – À RADIOGRAPHIER",AQ1101="NX – RT À REFAIRE"),OR('PROGRAMME RT'!$D$5="TOUTES",B1101='PROGRAMME RT'!$D$5)),1,0)</f>
        <v>0</v>
      </c>
      <c r="AT1101" s="82" t="str">
        <f aca="false">IF(AS1101=1,SUM(AS$7:AS1101),"")</f>
        <v/>
      </c>
      <c r="AU1101" s="82" t="n">
        <f aca="false">IF(AND(OR(AA1101="R",AA1101="NX",AA1101="NT",AA1101="CO"),OR('JOINTS DE RÉPARATION'!$D$5="TOUTES",B1101='JOINTS DE RÉPARATION'!$D$5),OR('JOINTS DE RÉPARATION'!$L$4="TOUS",AQ1101&lt;&gt;"ACCEPTÉ")),1,0)</f>
        <v>0</v>
      </c>
      <c r="AV1101" s="82" t="str">
        <f aca="false">IF(AU1101=1,SUM(AU$7:AU1101),"")</f>
        <v/>
      </c>
      <c r="AW1101" s="82" t="str">
        <f aca="false">IF(E1101="","",B1101&amp;"|"&amp;E1101)</f>
        <v>MFD-ISW → MFD-CPF|JN°970</v>
      </c>
    </row>
    <row r="1102" customFormat="false" ht="74.6" hidden="false" customHeight="false" outlineLevel="0" collapsed="false">
      <c r="A1102" s="79" t="n">
        <f aca="false">IF(E1102="","",ROW()-6)</f>
        <v>1096</v>
      </c>
      <c r="B1102" s="80" t="s">
        <v>110</v>
      </c>
      <c r="C1102" s="81" t="s">
        <v>1285</v>
      </c>
      <c r="D1102" s="81" t="n">
        <v>8</v>
      </c>
      <c r="E1102" s="81" t="s">
        <v>1313</v>
      </c>
      <c r="F1102" s="82" t="str">
        <f aca="false">IF(E1102="","",IF(LEFT(E1102,2)="DJ","DJ","JN"))</f>
        <v>DJ</v>
      </c>
      <c r="G1102" s="81"/>
      <c r="H1102" s="81" t="s">
        <v>871</v>
      </c>
      <c r="I1102" s="81" t="n">
        <v>9.53</v>
      </c>
      <c r="J1102" s="81" t="s">
        <v>872</v>
      </c>
      <c r="K1102" s="81" t="s">
        <v>873</v>
      </c>
      <c r="L1102" s="81" t="n">
        <v>2081740</v>
      </c>
      <c r="M1102" s="81" t="n">
        <v>15421103</v>
      </c>
      <c r="N1102" s="81" t="n">
        <v>11.94</v>
      </c>
      <c r="O1102" s="81" t="n">
        <v>2094760</v>
      </c>
      <c r="P1102" s="81" t="n">
        <v>15421111</v>
      </c>
      <c r="Q1102" s="81" t="n">
        <v>11.94</v>
      </c>
      <c r="R1102" s="81" t="s">
        <v>899</v>
      </c>
      <c r="S1102" s="81"/>
      <c r="T1102" s="81"/>
      <c r="U1102" s="83" t="n">
        <v>46279</v>
      </c>
      <c r="V1102" s="83" t="n">
        <v>46279</v>
      </c>
      <c r="W1102" s="81" t="s">
        <v>1314</v>
      </c>
      <c r="X1102" s="81" t="s">
        <v>876</v>
      </c>
      <c r="Y1102" s="83" t="n">
        <v>46280</v>
      </c>
      <c r="Z1102" s="81" t="s">
        <v>1228</v>
      </c>
      <c r="AA1102" s="81" t="s">
        <v>876</v>
      </c>
      <c r="AB1102" s="81"/>
      <c r="AC1102" s="81"/>
      <c r="AD1102" s="81"/>
      <c r="AE1102" s="83"/>
      <c r="AF1102" s="81"/>
      <c r="AG1102" s="81"/>
      <c r="AH1102" s="81"/>
      <c r="AI1102" s="81"/>
      <c r="AJ1102" s="83"/>
      <c r="AK1102" s="81"/>
      <c r="AL1102" s="81"/>
      <c r="AM1102" s="83"/>
      <c r="AN1102" s="80"/>
      <c r="AO1102" s="82" t="n">
        <f aca="false">IF(E1102="","",(AA1102&lt;&gt;"")+(AG1102&lt;&gt;"")+(AL1102&lt;&gt;""))</f>
        <v>1</v>
      </c>
      <c r="AP1102" s="82" t="str">
        <f aca="false">IF(AL1102&lt;&gt;"",AL1102,IF(AG1102&lt;&gt;"",AG1102,IF(AA1102&lt;&gt;"",AA1102,"")))</f>
        <v>A</v>
      </c>
      <c r="AQ1102" s="84" t="str">
        <f aca="false">IF(E1102="","",IF(U1102="","À SOUDER",IF(X1102="","VT EN ATTENTE",IF(X1102="R","VT REJETÉ – À REPRENDRE",IF(AP1102="","À RADIOGRAPHIER",IF(AP1102="A","ACCEPTÉ",IF(AP1102="NX","NX – RT À REFAIRE",IF(IF(AO1102=1,AD1102,IF(AO1102=2,AI1102,""))="A","RÉPARÉ – À RADIOGRAPHIER",IF(IF(AO1102=1,AD1102,IF(AO1102=2,AI1102,""))="R","VT REJETÉ – À REPRENDRE",IF(OR(AP1102="CO",AP1102="NT"),"COUPE – À RESOUDER","À RÉPARER"))))))))))</f>
        <v>ACCEPTÉ</v>
      </c>
      <c r="AR1102" s="82" t="str">
        <f aca="false">IF(AND(ISNUMBER(U1102),OR(AQ1102="À RADIOGRAPHIER",AQ1102="RÉPARÉ – À RADIOGRAPHIER",AQ1102="NX – RT À REFAIRE",AQ1102="À RÉPARER",AQ1102="COUPE – À RESOUDER",AQ1102="VT REJETÉ – À REPRENDRE")),MAX(0,'PROGRAMME RT'!$C$4-U1102),"")</f>
        <v/>
      </c>
      <c r="AS1102" s="82" t="n">
        <f aca="false">IF(AND(OR(AQ1102="À RADIOGRAPHIER",AQ1102="RÉPARÉ – À RADIOGRAPHIER",AQ1102="NX – RT À REFAIRE"),OR('PROGRAMME RT'!$D$5="TOUTES",B1102='PROGRAMME RT'!$D$5)),1,0)</f>
        <v>0</v>
      </c>
      <c r="AT1102" s="82" t="str">
        <f aca="false">IF(AS1102=1,SUM(AS$7:AS1102),"")</f>
        <v/>
      </c>
      <c r="AU1102" s="82" t="n">
        <f aca="false">IF(AND(OR(AA1102="R",AA1102="NX",AA1102="NT",AA1102="CO"),OR('JOINTS DE RÉPARATION'!$D$5="TOUTES",B1102='JOINTS DE RÉPARATION'!$D$5),OR('JOINTS DE RÉPARATION'!$L$4="TOUS",AQ1102&lt;&gt;"ACCEPTÉ")),1,0)</f>
        <v>0</v>
      </c>
      <c r="AV1102" s="82" t="str">
        <f aca="false">IF(AU1102=1,SUM(AU$7:AU1102),"")</f>
        <v/>
      </c>
      <c r="AW1102" s="82" t="str">
        <f aca="false">IF(E1102="","",B1102&amp;"|"&amp;E1102)</f>
        <v>MFD-ISW → MFD-CPF|DJ°391</v>
      </c>
    </row>
    <row r="1103" customFormat="false" ht="74.6" hidden="false" customHeight="false" outlineLevel="0" collapsed="false">
      <c r="A1103" s="79" t="n">
        <f aca="false">IF(E1103="","",ROW()-6)</f>
        <v>1097</v>
      </c>
      <c r="B1103" s="80" t="s">
        <v>110</v>
      </c>
      <c r="C1103" s="81" t="s">
        <v>1285</v>
      </c>
      <c r="D1103" s="81" t="n">
        <v>8</v>
      </c>
      <c r="E1103" s="81" t="s">
        <v>1315</v>
      </c>
      <c r="F1103" s="82" t="str">
        <f aca="false">IF(E1103="","",IF(LEFT(E1103,2)="DJ","DJ","JN"))</f>
        <v>JN</v>
      </c>
      <c r="G1103" s="81"/>
      <c r="H1103" s="81" t="s">
        <v>871</v>
      </c>
      <c r="I1103" s="81" t="n">
        <v>9.53</v>
      </c>
      <c r="J1103" s="81" t="s">
        <v>872</v>
      </c>
      <c r="K1103" s="81" t="s">
        <v>879</v>
      </c>
      <c r="L1103" s="81" t="n">
        <v>2094760</v>
      </c>
      <c r="M1103" s="81" t="n">
        <v>15421111</v>
      </c>
      <c r="N1103" s="81" t="n">
        <v>11.94</v>
      </c>
      <c r="O1103" s="81" t="n">
        <v>2087760</v>
      </c>
      <c r="P1103" s="81" t="n">
        <v>15421108</v>
      </c>
      <c r="Q1103" s="81" t="n">
        <v>11.94</v>
      </c>
      <c r="R1103" s="81" t="s">
        <v>1299</v>
      </c>
      <c r="S1103" s="81"/>
      <c r="T1103" s="81"/>
      <c r="U1103" s="83" t="n">
        <v>46280</v>
      </c>
      <c r="V1103" s="83" t="n">
        <v>46280</v>
      </c>
      <c r="W1103" s="81" t="s">
        <v>1300</v>
      </c>
      <c r="X1103" s="81" t="s">
        <v>876</v>
      </c>
      <c r="Y1103" s="83" t="n">
        <v>46286</v>
      </c>
      <c r="Z1103" s="81" t="s">
        <v>1309</v>
      </c>
      <c r="AA1103" s="81" t="s">
        <v>876</v>
      </c>
      <c r="AB1103" s="81"/>
      <c r="AC1103" s="81"/>
      <c r="AD1103" s="81"/>
      <c r="AE1103" s="83"/>
      <c r="AF1103" s="81"/>
      <c r="AG1103" s="81"/>
      <c r="AH1103" s="81"/>
      <c r="AI1103" s="81"/>
      <c r="AJ1103" s="83"/>
      <c r="AK1103" s="81"/>
      <c r="AL1103" s="81"/>
      <c r="AM1103" s="83"/>
      <c r="AN1103" s="80"/>
      <c r="AO1103" s="82" t="n">
        <f aca="false">IF(E1103="","",(AA1103&lt;&gt;"")+(AG1103&lt;&gt;"")+(AL1103&lt;&gt;""))</f>
        <v>1</v>
      </c>
      <c r="AP1103" s="82" t="str">
        <f aca="false">IF(AL1103&lt;&gt;"",AL1103,IF(AG1103&lt;&gt;"",AG1103,IF(AA1103&lt;&gt;"",AA1103,"")))</f>
        <v>A</v>
      </c>
      <c r="AQ1103" s="84" t="str">
        <f aca="false">IF(E1103="","",IF(U1103="","À SOUDER",IF(X1103="","VT EN ATTENTE",IF(X1103="R","VT REJETÉ – À REPRENDRE",IF(AP1103="","À RADIOGRAPHIER",IF(AP1103="A","ACCEPTÉ",IF(AP1103="NX","NX – RT À REFAIRE",IF(IF(AO1103=1,AD1103,IF(AO1103=2,AI1103,""))="A","RÉPARÉ – À RADIOGRAPHIER",IF(IF(AO1103=1,AD1103,IF(AO1103=2,AI1103,""))="R","VT REJETÉ – À REPRENDRE",IF(OR(AP1103="CO",AP1103="NT"),"COUPE – À RESOUDER","À RÉPARER"))))))))))</f>
        <v>ACCEPTÉ</v>
      </c>
      <c r="AR1103" s="82" t="str">
        <f aca="false">IF(AND(ISNUMBER(U1103),OR(AQ1103="À RADIOGRAPHIER",AQ1103="RÉPARÉ – À RADIOGRAPHIER",AQ1103="NX – RT À REFAIRE",AQ1103="À RÉPARER",AQ1103="COUPE – À RESOUDER",AQ1103="VT REJETÉ – À REPRENDRE")),MAX(0,'PROGRAMME RT'!$C$4-U1103),"")</f>
        <v/>
      </c>
      <c r="AS1103" s="82" t="n">
        <f aca="false">IF(AND(OR(AQ1103="À RADIOGRAPHIER",AQ1103="RÉPARÉ – À RADIOGRAPHIER",AQ1103="NX – RT À REFAIRE"),OR('PROGRAMME RT'!$D$5="TOUTES",B1103='PROGRAMME RT'!$D$5)),1,0)</f>
        <v>0</v>
      </c>
      <c r="AT1103" s="82" t="str">
        <f aca="false">IF(AS1103=1,SUM(AS$7:AS1103),"")</f>
        <v/>
      </c>
      <c r="AU1103" s="82" t="n">
        <f aca="false">IF(AND(OR(AA1103="R",AA1103="NX",AA1103="NT",AA1103="CO"),OR('JOINTS DE RÉPARATION'!$D$5="TOUTES",B1103='JOINTS DE RÉPARATION'!$D$5),OR('JOINTS DE RÉPARATION'!$L$4="TOUS",AQ1103&lt;&gt;"ACCEPTÉ")),1,0)</f>
        <v>0</v>
      </c>
      <c r="AV1103" s="82" t="str">
        <f aca="false">IF(AU1103=1,SUM(AU$7:AU1103),"")</f>
        <v/>
      </c>
      <c r="AW1103" s="82" t="str">
        <f aca="false">IF(E1103="","",B1103&amp;"|"&amp;E1103)</f>
        <v>MFD-ISW → MFD-CPF|JN°971</v>
      </c>
    </row>
    <row r="1104" customFormat="false" ht="74.6" hidden="false" customHeight="false" outlineLevel="0" collapsed="false">
      <c r="A1104" s="79" t="n">
        <f aca="false">IF(E1104="","",ROW()-6)</f>
        <v>1098</v>
      </c>
      <c r="B1104" s="80" t="s">
        <v>110</v>
      </c>
      <c r="C1104" s="81" t="s">
        <v>1285</v>
      </c>
      <c r="D1104" s="81" t="n">
        <v>8</v>
      </c>
      <c r="E1104" s="81" t="s">
        <v>1316</v>
      </c>
      <c r="F1104" s="82" t="str">
        <f aca="false">IF(E1104="","",IF(LEFT(E1104,2)="DJ","DJ","JN"))</f>
        <v>DJ</v>
      </c>
      <c r="G1104" s="81"/>
      <c r="H1104" s="81" t="s">
        <v>871</v>
      </c>
      <c r="I1104" s="81" t="n">
        <v>9.53</v>
      </c>
      <c r="J1104" s="81" t="s">
        <v>872</v>
      </c>
      <c r="K1104" s="81" t="s">
        <v>873</v>
      </c>
      <c r="L1104" s="81" t="n">
        <v>2087760</v>
      </c>
      <c r="M1104" s="81" t="n">
        <v>15421108</v>
      </c>
      <c r="N1104" s="81" t="n">
        <v>11.94</v>
      </c>
      <c r="O1104" s="81" t="n">
        <v>2096840</v>
      </c>
      <c r="P1104" s="81" t="n">
        <v>15421112</v>
      </c>
      <c r="Q1104" s="81" t="n">
        <v>11.94</v>
      </c>
      <c r="R1104" s="81" t="s">
        <v>899</v>
      </c>
      <c r="S1104" s="81"/>
      <c r="T1104" s="81"/>
      <c r="U1104" s="83" t="n">
        <v>46279</v>
      </c>
      <c r="V1104" s="83" t="n">
        <v>46279</v>
      </c>
      <c r="W1104" s="81" t="s">
        <v>1314</v>
      </c>
      <c r="X1104" s="81" t="s">
        <v>876</v>
      </c>
      <c r="Y1104" s="83" t="n">
        <v>46280</v>
      </c>
      <c r="Z1104" s="81" t="s">
        <v>1228</v>
      </c>
      <c r="AA1104" s="81" t="s">
        <v>876</v>
      </c>
      <c r="AB1104" s="81"/>
      <c r="AC1104" s="81"/>
      <c r="AD1104" s="81"/>
      <c r="AE1104" s="83"/>
      <c r="AF1104" s="81"/>
      <c r="AG1104" s="81"/>
      <c r="AH1104" s="81"/>
      <c r="AI1104" s="81"/>
      <c r="AJ1104" s="83"/>
      <c r="AK1104" s="81"/>
      <c r="AL1104" s="81"/>
      <c r="AM1104" s="83"/>
      <c r="AN1104" s="80"/>
      <c r="AO1104" s="82" t="n">
        <f aca="false">IF(E1104="","",(AA1104&lt;&gt;"")+(AG1104&lt;&gt;"")+(AL1104&lt;&gt;""))</f>
        <v>1</v>
      </c>
      <c r="AP1104" s="82" t="str">
        <f aca="false">IF(AL1104&lt;&gt;"",AL1104,IF(AG1104&lt;&gt;"",AG1104,IF(AA1104&lt;&gt;"",AA1104,"")))</f>
        <v>A</v>
      </c>
      <c r="AQ1104" s="84" t="str">
        <f aca="false">IF(E1104="","",IF(U1104="","À SOUDER",IF(X1104="","VT EN ATTENTE",IF(X1104="R","VT REJETÉ – À REPRENDRE",IF(AP1104="","À RADIOGRAPHIER",IF(AP1104="A","ACCEPTÉ",IF(AP1104="NX","NX – RT À REFAIRE",IF(IF(AO1104=1,AD1104,IF(AO1104=2,AI1104,""))="A","RÉPARÉ – À RADIOGRAPHIER",IF(IF(AO1104=1,AD1104,IF(AO1104=2,AI1104,""))="R","VT REJETÉ – À REPRENDRE",IF(OR(AP1104="CO",AP1104="NT"),"COUPE – À RESOUDER","À RÉPARER"))))))))))</f>
        <v>ACCEPTÉ</v>
      </c>
      <c r="AR1104" s="82" t="str">
        <f aca="false">IF(AND(ISNUMBER(U1104),OR(AQ1104="À RADIOGRAPHIER",AQ1104="RÉPARÉ – À RADIOGRAPHIER",AQ1104="NX – RT À REFAIRE",AQ1104="À RÉPARER",AQ1104="COUPE – À RESOUDER",AQ1104="VT REJETÉ – À REPRENDRE")),MAX(0,'PROGRAMME RT'!$C$4-U1104),"")</f>
        <v/>
      </c>
      <c r="AS1104" s="82" t="n">
        <f aca="false">IF(AND(OR(AQ1104="À RADIOGRAPHIER",AQ1104="RÉPARÉ – À RADIOGRAPHIER",AQ1104="NX – RT À REFAIRE"),OR('PROGRAMME RT'!$D$5="TOUTES",B1104='PROGRAMME RT'!$D$5)),1,0)</f>
        <v>0</v>
      </c>
      <c r="AT1104" s="82" t="str">
        <f aca="false">IF(AS1104=1,SUM(AS$7:AS1104),"")</f>
        <v/>
      </c>
      <c r="AU1104" s="82" t="n">
        <f aca="false">IF(AND(OR(AA1104="R",AA1104="NX",AA1104="NT",AA1104="CO"),OR('JOINTS DE RÉPARATION'!$D$5="TOUTES",B1104='JOINTS DE RÉPARATION'!$D$5),OR('JOINTS DE RÉPARATION'!$L$4="TOUS",AQ1104&lt;&gt;"ACCEPTÉ")),1,0)</f>
        <v>0</v>
      </c>
      <c r="AV1104" s="82" t="str">
        <f aca="false">IF(AU1104=1,SUM(AU$7:AU1104),"")</f>
        <v/>
      </c>
      <c r="AW1104" s="82" t="str">
        <f aca="false">IF(E1104="","",B1104&amp;"|"&amp;E1104)</f>
        <v>MFD-ISW → MFD-CPF|DJ°390</v>
      </c>
    </row>
    <row r="1105" customFormat="false" ht="74.6" hidden="false" customHeight="false" outlineLevel="0" collapsed="false">
      <c r="A1105" s="79" t="n">
        <f aca="false">IF(E1105="","",ROW()-6)</f>
        <v>1099</v>
      </c>
      <c r="B1105" s="80" t="s">
        <v>110</v>
      </c>
      <c r="C1105" s="81" t="s">
        <v>1285</v>
      </c>
      <c r="D1105" s="81" t="n">
        <v>8</v>
      </c>
      <c r="E1105" s="81" t="s">
        <v>1317</v>
      </c>
      <c r="F1105" s="82" t="str">
        <f aca="false">IF(E1105="","",IF(LEFT(E1105,2)="DJ","DJ","JN"))</f>
        <v>JN</v>
      </c>
      <c r="G1105" s="81"/>
      <c r="H1105" s="81" t="s">
        <v>871</v>
      </c>
      <c r="I1105" s="81" t="n">
        <v>9.53</v>
      </c>
      <c r="J1105" s="81" t="s">
        <v>872</v>
      </c>
      <c r="K1105" s="81" t="s">
        <v>879</v>
      </c>
      <c r="L1105" s="81" t="n">
        <v>2096840</v>
      </c>
      <c r="M1105" s="81" t="n">
        <v>15421112</v>
      </c>
      <c r="N1105" s="81" t="n">
        <v>11.94</v>
      </c>
      <c r="O1105" s="81" t="n">
        <v>2095840</v>
      </c>
      <c r="P1105" s="81" t="n">
        <v>15421112</v>
      </c>
      <c r="Q1105" s="81" t="n">
        <v>11.94</v>
      </c>
      <c r="R1105" s="81" t="s">
        <v>1299</v>
      </c>
      <c r="S1105" s="81"/>
      <c r="T1105" s="81"/>
      <c r="U1105" s="83" t="n">
        <v>46280</v>
      </c>
      <c r="V1105" s="83" t="n">
        <v>46280</v>
      </c>
      <c r="W1105" s="81" t="s">
        <v>1300</v>
      </c>
      <c r="X1105" s="81" t="s">
        <v>876</v>
      </c>
      <c r="Y1105" s="83" t="n">
        <v>46286</v>
      </c>
      <c r="Z1105" s="81" t="s">
        <v>1309</v>
      </c>
      <c r="AA1105" s="81" t="s">
        <v>876</v>
      </c>
      <c r="AB1105" s="81"/>
      <c r="AC1105" s="81"/>
      <c r="AD1105" s="81"/>
      <c r="AE1105" s="83"/>
      <c r="AF1105" s="81"/>
      <c r="AG1105" s="81"/>
      <c r="AH1105" s="81"/>
      <c r="AI1105" s="81"/>
      <c r="AJ1105" s="83"/>
      <c r="AK1105" s="81"/>
      <c r="AL1105" s="81"/>
      <c r="AM1105" s="83"/>
      <c r="AN1105" s="80"/>
      <c r="AO1105" s="82" t="n">
        <f aca="false">IF(E1105="","",(AA1105&lt;&gt;"")+(AG1105&lt;&gt;"")+(AL1105&lt;&gt;""))</f>
        <v>1</v>
      </c>
      <c r="AP1105" s="82" t="str">
        <f aca="false">IF(AL1105&lt;&gt;"",AL1105,IF(AG1105&lt;&gt;"",AG1105,IF(AA1105&lt;&gt;"",AA1105,"")))</f>
        <v>A</v>
      </c>
      <c r="AQ1105" s="84" t="str">
        <f aca="false">IF(E1105="","",IF(U1105="","À SOUDER",IF(X1105="","VT EN ATTENTE",IF(X1105="R","VT REJETÉ – À REPRENDRE",IF(AP1105="","À RADIOGRAPHIER",IF(AP1105="A","ACCEPTÉ",IF(AP1105="NX","NX – RT À REFAIRE",IF(IF(AO1105=1,AD1105,IF(AO1105=2,AI1105,""))="A","RÉPARÉ – À RADIOGRAPHIER",IF(IF(AO1105=1,AD1105,IF(AO1105=2,AI1105,""))="R","VT REJETÉ – À REPRENDRE",IF(OR(AP1105="CO",AP1105="NT"),"COUPE – À RESOUDER","À RÉPARER"))))))))))</f>
        <v>ACCEPTÉ</v>
      </c>
      <c r="AR1105" s="82" t="str">
        <f aca="false">IF(AND(ISNUMBER(U1105),OR(AQ1105="À RADIOGRAPHIER",AQ1105="RÉPARÉ – À RADIOGRAPHIER",AQ1105="NX – RT À REFAIRE",AQ1105="À RÉPARER",AQ1105="COUPE – À RESOUDER",AQ1105="VT REJETÉ – À REPRENDRE")),MAX(0,'PROGRAMME RT'!$C$4-U1105),"")</f>
        <v/>
      </c>
      <c r="AS1105" s="82" t="n">
        <f aca="false">IF(AND(OR(AQ1105="À RADIOGRAPHIER",AQ1105="RÉPARÉ – À RADIOGRAPHIER",AQ1105="NX – RT À REFAIRE"),OR('PROGRAMME RT'!$D$5="TOUTES",B1105='PROGRAMME RT'!$D$5)),1,0)</f>
        <v>0</v>
      </c>
      <c r="AT1105" s="82" t="str">
        <f aca="false">IF(AS1105=1,SUM(AS$7:AS1105),"")</f>
        <v/>
      </c>
      <c r="AU1105" s="82" t="n">
        <f aca="false">IF(AND(OR(AA1105="R",AA1105="NX",AA1105="NT",AA1105="CO"),OR('JOINTS DE RÉPARATION'!$D$5="TOUTES",B1105='JOINTS DE RÉPARATION'!$D$5),OR('JOINTS DE RÉPARATION'!$L$4="TOUS",AQ1105&lt;&gt;"ACCEPTÉ")),1,0)</f>
        <v>0</v>
      </c>
      <c r="AV1105" s="82" t="str">
        <f aca="false">IF(AU1105=1,SUM(AU$7:AU1105),"")</f>
        <v/>
      </c>
      <c r="AW1105" s="82" t="str">
        <f aca="false">IF(E1105="","",B1105&amp;"|"&amp;E1105)</f>
        <v>MFD-ISW → MFD-CPF|JN°972</v>
      </c>
    </row>
    <row r="1106" customFormat="false" ht="74.6" hidden="false" customHeight="false" outlineLevel="0" collapsed="false">
      <c r="A1106" s="79" t="n">
        <f aca="false">IF(E1106="","",ROW()-6)</f>
        <v>1100</v>
      </c>
      <c r="B1106" s="80" t="s">
        <v>110</v>
      </c>
      <c r="C1106" s="81" t="s">
        <v>1285</v>
      </c>
      <c r="D1106" s="81" t="n">
        <v>8</v>
      </c>
      <c r="E1106" s="81" t="s">
        <v>1318</v>
      </c>
      <c r="F1106" s="82" t="str">
        <f aca="false">IF(E1106="","",IF(LEFT(E1106,2)="DJ","DJ","JN"))</f>
        <v>DJ</v>
      </c>
      <c r="G1106" s="81"/>
      <c r="H1106" s="81" t="s">
        <v>871</v>
      </c>
      <c r="I1106" s="81" t="n">
        <v>9.53</v>
      </c>
      <c r="J1106" s="81" t="s">
        <v>872</v>
      </c>
      <c r="K1106" s="81" t="s">
        <v>873</v>
      </c>
      <c r="L1106" s="81" t="n">
        <v>2095840</v>
      </c>
      <c r="M1106" s="81" t="n">
        <v>15421112</v>
      </c>
      <c r="N1106" s="81" t="n">
        <v>11.94</v>
      </c>
      <c r="O1106" s="81" t="n">
        <v>2083510</v>
      </c>
      <c r="P1106" s="81" t="n">
        <v>15421105</v>
      </c>
      <c r="Q1106" s="81" t="n">
        <v>11.94</v>
      </c>
      <c r="R1106" s="81" t="s">
        <v>899</v>
      </c>
      <c r="S1106" s="81"/>
      <c r="T1106" s="81"/>
      <c r="U1106" s="83" t="n">
        <v>46279</v>
      </c>
      <c r="V1106" s="83" t="n">
        <v>46279</v>
      </c>
      <c r="W1106" s="81" t="s">
        <v>1227</v>
      </c>
      <c r="X1106" s="81" t="s">
        <v>876</v>
      </c>
      <c r="Y1106" s="83" t="n">
        <v>46280</v>
      </c>
      <c r="Z1106" s="81" t="s">
        <v>1228</v>
      </c>
      <c r="AA1106" s="81" t="s">
        <v>876</v>
      </c>
      <c r="AB1106" s="81"/>
      <c r="AC1106" s="81"/>
      <c r="AD1106" s="81"/>
      <c r="AE1106" s="83"/>
      <c r="AF1106" s="81"/>
      <c r="AG1106" s="81"/>
      <c r="AH1106" s="81"/>
      <c r="AI1106" s="81"/>
      <c r="AJ1106" s="83"/>
      <c r="AK1106" s="81"/>
      <c r="AL1106" s="81"/>
      <c r="AM1106" s="83"/>
      <c r="AN1106" s="80"/>
      <c r="AO1106" s="82" t="n">
        <f aca="false">IF(E1106="","",(AA1106&lt;&gt;"")+(AG1106&lt;&gt;"")+(AL1106&lt;&gt;""))</f>
        <v>1</v>
      </c>
      <c r="AP1106" s="82" t="str">
        <f aca="false">IF(AL1106&lt;&gt;"",AL1106,IF(AG1106&lt;&gt;"",AG1106,IF(AA1106&lt;&gt;"",AA1106,"")))</f>
        <v>A</v>
      </c>
      <c r="AQ1106" s="84" t="str">
        <f aca="false">IF(E1106="","",IF(U1106="","À SOUDER",IF(X1106="","VT EN ATTENTE",IF(X1106="R","VT REJETÉ – À REPRENDRE",IF(AP1106="","À RADIOGRAPHIER",IF(AP1106="A","ACCEPTÉ",IF(AP1106="NX","NX – RT À REFAIRE",IF(IF(AO1106=1,AD1106,IF(AO1106=2,AI1106,""))="A","RÉPARÉ – À RADIOGRAPHIER",IF(IF(AO1106=1,AD1106,IF(AO1106=2,AI1106,""))="R","VT REJETÉ – À REPRENDRE",IF(OR(AP1106="CO",AP1106="NT"),"COUPE – À RESOUDER","À RÉPARER"))))))))))</f>
        <v>ACCEPTÉ</v>
      </c>
      <c r="AR1106" s="82" t="str">
        <f aca="false">IF(AND(ISNUMBER(U1106),OR(AQ1106="À RADIOGRAPHIER",AQ1106="RÉPARÉ – À RADIOGRAPHIER",AQ1106="NX – RT À REFAIRE",AQ1106="À RÉPARER",AQ1106="COUPE – À RESOUDER",AQ1106="VT REJETÉ – À REPRENDRE")),MAX(0,'PROGRAMME RT'!$C$4-U1106),"")</f>
        <v/>
      </c>
      <c r="AS1106" s="82" t="n">
        <f aca="false">IF(AND(OR(AQ1106="À RADIOGRAPHIER",AQ1106="RÉPARÉ – À RADIOGRAPHIER",AQ1106="NX – RT À REFAIRE"),OR('PROGRAMME RT'!$D$5="TOUTES",B1106='PROGRAMME RT'!$D$5)),1,0)</f>
        <v>0</v>
      </c>
      <c r="AT1106" s="82" t="str">
        <f aca="false">IF(AS1106=1,SUM(AS$7:AS1106),"")</f>
        <v/>
      </c>
      <c r="AU1106" s="82" t="n">
        <f aca="false">IF(AND(OR(AA1106="R",AA1106="NX",AA1106="NT",AA1106="CO"),OR('JOINTS DE RÉPARATION'!$D$5="TOUTES",B1106='JOINTS DE RÉPARATION'!$D$5),OR('JOINTS DE RÉPARATION'!$L$4="TOUS",AQ1106&lt;&gt;"ACCEPTÉ")),1,0)</f>
        <v>0</v>
      </c>
      <c r="AV1106" s="82" t="str">
        <f aca="false">IF(AU1106=1,SUM(AU$7:AU1106),"")</f>
        <v/>
      </c>
      <c r="AW1106" s="82" t="str">
        <f aca="false">IF(E1106="","",B1106&amp;"|"&amp;E1106)</f>
        <v>MFD-ISW → MFD-CPF|DJ°389</v>
      </c>
    </row>
    <row r="1107" customFormat="false" ht="74.6" hidden="false" customHeight="false" outlineLevel="0" collapsed="false">
      <c r="A1107" s="79" t="n">
        <f aca="false">IF(E1107="","",ROW()-6)</f>
        <v>1101</v>
      </c>
      <c r="B1107" s="80" t="s">
        <v>110</v>
      </c>
      <c r="C1107" s="81" t="s">
        <v>1285</v>
      </c>
      <c r="D1107" s="81" t="n">
        <v>8</v>
      </c>
      <c r="E1107" s="81" t="s">
        <v>1319</v>
      </c>
      <c r="F1107" s="82" t="str">
        <f aca="false">IF(E1107="","",IF(LEFT(E1107,2)="DJ","DJ","JN"))</f>
        <v>JN</v>
      </c>
      <c r="G1107" s="81"/>
      <c r="H1107" s="81" t="s">
        <v>871</v>
      </c>
      <c r="I1107" s="81" t="n">
        <v>9.53</v>
      </c>
      <c r="J1107" s="81" t="s">
        <v>872</v>
      </c>
      <c r="K1107" s="81" t="s">
        <v>879</v>
      </c>
      <c r="L1107" s="81" t="n">
        <v>2083510</v>
      </c>
      <c r="M1107" s="81" t="n">
        <v>15421105</v>
      </c>
      <c r="N1107" s="81" t="n">
        <v>11.94</v>
      </c>
      <c r="O1107" s="81" t="n">
        <v>2087540</v>
      </c>
      <c r="P1107" s="81" t="n">
        <v>15421107</v>
      </c>
      <c r="Q1107" s="81" t="n">
        <v>11.94</v>
      </c>
      <c r="R1107" s="81" t="s">
        <v>1299</v>
      </c>
      <c r="S1107" s="81"/>
      <c r="T1107" s="81"/>
      <c r="U1107" s="83" t="n">
        <v>46280</v>
      </c>
      <c r="V1107" s="83" t="n">
        <v>46280</v>
      </c>
      <c r="W1107" s="81" t="s">
        <v>1300</v>
      </c>
      <c r="X1107" s="81" t="s">
        <v>876</v>
      </c>
      <c r="Y1107" s="83" t="n">
        <v>46286</v>
      </c>
      <c r="Z1107" s="81" t="s">
        <v>1309</v>
      </c>
      <c r="AA1107" s="81" t="s">
        <v>876</v>
      </c>
      <c r="AB1107" s="81"/>
      <c r="AC1107" s="81"/>
      <c r="AD1107" s="81"/>
      <c r="AE1107" s="83"/>
      <c r="AF1107" s="81"/>
      <c r="AG1107" s="81"/>
      <c r="AH1107" s="81"/>
      <c r="AI1107" s="81"/>
      <c r="AJ1107" s="83"/>
      <c r="AK1107" s="81"/>
      <c r="AL1107" s="81"/>
      <c r="AM1107" s="83"/>
      <c r="AN1107" s="80"/>
      <c r="AO1107" s="82" t="n">
        <f aca="false">IF(E1107="","",(AA1107&lt;&gt;"")+(AG1107&lt;&gt;"")+(AL1107&lt;&gt;""))</f>
        <v>1</v>
      </c>
      <c r="AP1107" s="82" t="str">
        <f aca="false">IF(AL1107&lt;&gt;"",AL1107,IF(AG1107&lt;&gt;"",AG1107,IF(AA1107&lt;&gt;"",AA1107,"")))</f>
        <v>A</v>
      </c>
      <c r="AQ1107" s="84" t="str">
        <f aca="false">IF(E1107="","",IF(U1107="","À SOUDER",IF(X1107="","VT EN ATTENTE",IF(X1107="R","VT REJETÉ – À REPRENDRE",IF(AP1107="","À RADIOGRAPHIER",IF(AP1107="A","ACCEPTÉ",IF(AP1107="NX","NX – RT À REFAIRE",IF(IF(AO1107=1,AD1107,IF(AO1107=2,AI1107,""))="A","RÉPARÉ – À RADIOGRAPHIER",IF(IF(AO1107=1,AD1107,IF(AO1107=2,AI1107,""))="R","VT REJETÉ – À REPRENDRE",IF(OR(AP1107="CO",AP1107="NT"),"COUPE – À RESOUDER","À RÉPARER"))))))))))</f>
        <v>ACCEPTÉ</v>
      </c>
      <c r="AR1107" s="82" t="str">
        <f aca="false">IF(AND(ISNUMBER(U1107),OR(AQ1107="À RADIOGRAPHIER",AQ1107="RÉPARÉ – À RADIOGRAPHIER",AQ1107="NX – RT À REFAIRE",AQ1107="À RÉPARER",AQ1107="COUPE – À RESOUDER",AQ1107="VT REJETÉ – À REPRENDRE")),MAX(0,'PROGRAMME RT'!$C$4-U1107),"")</f>
        <v/>
      </c>
      <c r="AS1107" s="82" t="n">
        <f aca="false">IF(AND(OR(AQ1107="À RADIOGRAPHIER",AQ1107="RÉPARÉ – À RADIOGRAPHIER",AQ1107="NX – RT À REFAIRE"),OR('PROGRAMME RT'!$D$5="TOUTES",B1107='PROGRAMME RT'!$D$5)),1,0)</f>
        <v>0</v>
      </c>
      <c r="AT1107" s="82" t="str">
        <f aca="false">IF(AS1107=1,SUM(AS$7:AS1107),"")</f>
        <v/>
      </c>
      <c r="AU1107" s="82" t="n">
        <f aca="false">IF(AND(OR(AA1107="R",AA1107="NX",AA1107="NT",AA1107="CO"),OR('JOINTS DE RÉPARATION'!$D$5="TOUTES",B1107='JOINTS DE RÉPARATION'!$D$5),OR('JOINTS DE RÉPARATION'!$L$4="TOUS",AQ1107&lt;&gt;"ACCEPTÉ")),1,0)</f>
        <v>0</v>
      </c>
      <c r="AV1107" s="82" t="str">
        <f aca="false">IF(AU1107=1,SUM(AU$7:AU1107),"")</f>
        <v/>
      </c>
      <c r="AW1107" s="82" t="str">
        <f aca="false">IF(E1107="","",B1107&amp;"|"&amp;E1107)</f>
        <v>MFD-ISW → MFD-CPF|JN°973</v>
      </c>
    </row>
    <row r="1108" customFormat="false" ht="74.6" hidden="false" customHeight="false" outlineLevel="0" collapsed="false">
      <c r="A1108" s="79" t="n">
        <f aca="false">IF(E1108="","",ROW()-6)</f>
        <v>1102</v>
      </c>
      <c r="B1108" s="80" t="s">
        <v>110</v>
      </c>
      <c r="C1108" s="81" t="s">
        <v>1285</v>
      </c>
      <c r="D1108" s="81" t="n">
        <v>8</v>
      </c>
      <c r="E1108" s="81" t="s">
        <v>1320</v>
      </c>
      <c r="F1108" s="82" t="str">
        <f aca="false">IF(E1108="","",IF(LEFT(E1108,2)="DJ","DJ","JN"))</f>
        <v>DJ</v>
      </c>
      <c r="G1108" s="81"/>
      <c r="H1108" s="81" t="s">
        <v>871</v>
      </c>
      <c r="I1108" s="81" t="n">
        <v>9.53</v>
      </c>
      <c r="J1108" s="81" t="s">
        <v>872</v>
      </c>
      <c r="K1108" s="81" t="s">
        <v>873</v>
      </c>
      <c r="L1108" s="81" t="n">
        <v>2087540</v>
      </c>
      <c r="M1108" s="81" t="n">
        <v>15421107</v>
      </c>
      <c r="N1108" s="81" t="n">
        <v>11.94</v>
      </c>
      <c r="O1108" s="81" t="n">
        <v>2084360</v>
      </c>
      <c r="P1108" s="81" t="n">
        <v>15421106</v>
      </c>
      <c r="Q1108" s="81" t="n">
        <v>11.94</v>
      </c>
      <c r="R1108" s="81" t="s">
        <v>1147</v>
      </c>
      <c r="S1108" s="81"/>
      <c r="T1108" s="81"/>
      <c r="U1108" s="83" t="n">
        <v>46279</v>
      </c>
      <c r="V1108" s="83" t="n">
        <v>46279</v>
      </c>
      <c r="W1108" s="81" t="s">
        <v>1227</v>
      </c>
      <c r="X1108" s="81" t="s">
        <v>876</v>
      </c>
      <c r="Y1108" s="83" t="n">
        <v>46280</v>
      </c>
      <c r="Z1108" s="81" t="s">
        <v>1149</v>
      </c>
      <c r="AA1108" s="81" t="s">
        <v>876</v>
      </c>
      <c r="AB1108" s="81"/>
      <c r="AC1108" s="81"/>
      <c r="AD1108" s="81"/>
      <c r="AE1108" s="83"/>
      <c r="AF1108" s="81"/>
      <c r="AG1108" s="81"/>
      <c r="AH1108" s="81"/>
      <c r="AI1108" s="81"/>
      <c r="AJ1108" s="83"/>
      <c r="AK1108" s="81"/>
      <c r="AL1108" s="81"/>
      <c r="AM1108" s="83"/>
      <c r="AN1108" s="80"/>
      <c r="AO1108" s="82" t="n">
        <f aca="false">IF(E1108="","",(AA1108&lt;&gt;"")+(AG1108&lt;&gt;"")+(AL1108&lt;&gt;""))</f>
        <v>1</v>
      </c>
      <c r="AP1108" s="82" t="str">
        <f aca="false">IF(AL1108&lt;&gt;"",AL1108,IF(AG1108&lt;&gt;"",AG1108,IF(AA1108&lt;&gt;"",AA1108,"")))</f>
        <v>A</v>
      </c>
      <c r="AQ1108" s="84" t="str">
        <f aca="false">IF(E1108="","",IF(U1108="","À SOUDER",IF(X1108="","VT EN ATTENTE",IF(X1108="R","VT REJETÉ – À REPRENDRE",IF(AP1108="","À RADIOGRAPHIER",IF(AP1108="A","ACCEPTÉ",IF(AP1108="NX","NX – RT À REFAIRE",IF(IF(AO1108=1,AD1108,IF(AO1108=2,AI1108,""))="A","RÉPARÉ – À RADIOGRAPHIER",IF(IF(AO1108=1,AD1108,IF(AO1108=2,AI1108,""))="R","VT REJETÉ – À REPRENDRE",IF(OR(AP1108="CO",AP1108="NT"),"COUPE – À RESOUDER","À RÉPARER"))))))))))</f>
        <v>ACCEPTÉ</v>
      </c>
      <c r="AR1108" s="82" t="str">
        <f aca="false">IF(AND(ISNUMBER(U1108),OR(AQ1108="À RADIOGRAPHIER",AQ1108="RÉPARÉ – À RADIOGRAPHIER",AQ1108="NX – RT À REFAIRE",AQ1108="À RÉPARER",AQ1108="COUPE – À RESOUDER",AQ1108="VT REJETÉ – À REPRENDRE")),MAX(0,'PROGRAMME RT'!$C$4-U1108),"")</f>
        <v/>
      </c>
      <c r="AS1108" s="82" t="n">
        <f aca="false">IF(AND(OR(AQ1108="À RADIOGRAPHIER",AQ1108="RÉPARÉ – À RADIOGRAPHIER",AQ1108="NX – RT À REFAIRE"),OR('PROGRAMME RT'!$D$5="TOUTES",B1108='PROGRAMME RT'!$D$5)),1,0)</f>
        <v>0</v>
      </c>
      <c r="AT1108" s="82" t="str">
        <f aca="false">IF(AS1108=1,SUM(AS$7:AS1108),"")</f>
        <v/>
      </c>
      <c r="AU1108" s="82" t="n">
        <f aca="false">IF(AND(OR(AA1108="R",AA1108="NX",AA1108="NT",AA1108="CO"),OR('JOINTS DE RÉPARATION'!$D$5="TOUTES",B1108='JOINTS DE RÉPARATION'!$D$5),OR('JOINTS DE RÉPARATION'!$L$4="TOUS",AQ1108&lt;&gt;"ACCEPTÉ")),1,0)</f>
        <v>0</v>
      </c>
      <c r="AV1108" s="82" t="str">
        <f aca="false">IF(AU1108=1,SUM(AU$7:AU1108),"")</f>
        <v/>
      </c>
      <c r="AW1108" s="82" t="str">
        <f aca="false">IF(E1108="","",B1108&amp;"|"&amp;E1108)</f>
        <v>MFD-ISW → MFD-CPF|DJ°383</v>
      </c>
    </row>
    <row r="1109" customFormat="false" ht="74.6" hidden="false" customHeight="false" outlineLevel="0" collapsed="false">
      <c r="A1109" s="79" t="n">
        <f aca="false">IF(E1109="","",ROW()-6)</f>
        <v>1103</v>
      </c>
      <c r="B1109" s="80" t="s">
        <v>110</v>
      </c>
      <c r="C1109" s="81" t="s">
        <v>1285</v>
      </c>
      <c r="D1109" s="81" t="n">
        <v>8</v>
      </c>
      <c r="E1109" s="81" t="s">
        <v>1321</v>
      </c>
      <c r="F1109" s="82" t="str">
        <f aca="false">IF(E1109="","",IF(LEFT(E1109,2)="DJ","DJ","JN"))</f>
        <v>JN</v>
      </c>
      <c r="G1109" s="81"/>
      <c r="H1109" s="81" t="s">
        <v>871</v>
      </c>
      <c r="I1109" s="81" t="n">
        <v>9.53</v>
      </c>
      <c r="J1109" s="81" t="s">
        <v>872</v>
      </c>
      <c r="K1109" s="81" t="s">
        <v>879</v>
      </c>
      <c r="L1109" s="81" t="n">
        <v>2084360</v>
      </c>
      <c r="M1109" s="81" t="n">
        <v>15421106</v>
      </c>
      <c r="N1109" s="81" t="n">
        <v>11.94</v>
      </c>
      <c r="O1109" s="81" t="n">
        <v>2088040</v>
      </c>
      <c r="P1109" s="81" t="n">
        <v>15421112</v>
      </c>
      <c r="Q1109" s="81" t="n">
        <v>11.94</v>
      </c>
      <c r="R1109" s="81" t="s">
        <v>1299</v>
      </c>
      <c r="S1109" s="81"/>
      <c r="T1109" s="81"/>
      <c r="U1109" s="83" t="n">
        <v>46280</v>
      </c>
      <c r="V1109" s="83" t="n">
        <v>46280</v>
      </c>
      <c r="W1109" s="81" t="s">
        <v>1300</v>
      </c>
      <c r="X1109" s="81" t="s">
        <v>876</v>
      </c>
      <c r="Y1109" s="83" t="n">
        <v>46286</v>
      </c>
      <c r="Z1109" s="81" t="s">
        <v>1309</v>
      </c>
      <c r="AA1109" s="81" t="s">
        <v>876</v>
      </c>
      <c r="AB1109" s="81"/>
      <c r="AC1109" s="81"/>
      <c r="AD1109" s="81"/>
      <c r="AE1109" s="83"/>
      <c r="AF1109" s="81"/>
      <c r="AG1109" s="81"/>
      <c r="AH1109" s="81"/>
      <c r="AI1109" s="81"/>
      <c r="AJ1109" s="83"/>
      <c r="AK1109" s="81"/>
      <c r="AL1109" s="81"/>
      <c r="AM1109" s="83"/>
      <c r="AN1109" s="80"/>
      <c r="AO1109" s="82" t="n">
        <f aca="false">IF(E1109="","",(AA1109&lt;&gt;"")+(AG1109&lt;&gt;"")+(AL1109&lt;&gt;""))</f>
        <v>1</v>
      </c>
      <c r="AP1109" s="82" t="str">
        <f aca="false">IF(AL1109&lt;&gt;"",AL1109,IF(AG1109&lt;&gt;"",AG1109,IF(AA1109&lt;&gt;"",AA1109,"")))</f>
        <v>A</v>
      </c>
      <c r="AQ1109" s="84" t="str">
        <f aca="false">IF(E1109="","",IF(U1109="","À SOUDER",IF(X1109="","VT EN ATTENTE",IF(X1109="R","VT REJETÉ – À REPRENDRE",IF(AP1109="","À RADIOGRAPHIER",IF(AP1109="A","ACCEPTÉ",IF(AP1109="NX","NX – RT À REFAIRE",IF(IF(AO1109=1,AD1109,IF(AO1109=2,AI1109,""))="A","RÉPARÉ – À RADIOGRAPHIER",IF(IF(AO1109=1,AD1109,IF(AO1109=2,AI1109,""))="R","VT REJETÉ – À REPRENDRE",IF(OR(AP1109="CO",AP1109="NT"),"COUPE – À RESOUDER","À RÉPARER"))))))))))</f>
        <v>ACCEPTÉ</v>
      </c>
      <c r="AR1109" s="82" t="str">
        <f aca="false">IF(AND(ISNUMBER(U1109),OR(AQ1109="À RADIOGRAPHIER",AQ1109="RÉPARÉ – À RADIOGRAPHIER",AQ1109="NX – RT À REFAIRE",AQ1109="À RÉPARER",AQ1109="COUPE – À RESOUDER",AQ1109="VT REJETÉ – À REPRENDRE")),MAX(0,'PROGRAMME RT'!$C$4-U1109),"")</f>
        <v/>
      </c>
      <c r="AS1109" s="82" t="n">
        <f aca="false">IF(AND(OR(AQ1109="À RADIOGRAPHIER",AQ1109="RÉPARÉ – À RADIOGRAPHIER",AQ1109="NX – RT À REFAIRE"),OR('PROGRAMME RT'!$D$5="TOUTES",B1109='PROGRAMME RT'!$D$5)),1,0)</f>
        <v>0</v>
      </c>
      <c r="AT1109" s="82" t="str">
        <f aca="false">IF(AS1109=1,SUM(AS$7:AS1109),"")</f>
        <v/>
      </c>
      <c r="AU1109" s="82" t="n">
        <f aca="false">IF(AND(OR(AA1109="R",AA1109="NX",AA1109="NT",AA1109="CO"),OR('JOINTS DE RÉPARATION'!$D$5="TOUTES",B1109='JOINTS DE RÉPARATION'!$D$5),OR('JOINTS DE RÉPARATION'!$L$4="TOUS",AQ1109&lt;&gt;"ACCEPTÉ")),1,0)</f>
        <v>0</v>
      </c>
      <c r="AV1109" s="82" t="str">
        <f aca="false">IF(AU1109=1,SUM(AU$7:AU1109),"")</f>
        <v/>
      </c>
      <c r="AW1109" s="82" t="str">
        <f aca="false">IF(E1109="","",B1109&amp;"|"&amp;E1109)</f>
        <v>MFD-ISW → MFD-CPF|JN°974</v>
      </c>
    </row>
    <row r="1110" customFormat="false" ht="74.6" hidden="false" customHeight="false" outlineLevel="0" collapsed="false">
      <c r="A1110" s="79" t="n">
        <f aca="false">IF(E1110="","",ROW()-6)</f>
        <v>1104</v>
      </c>
      <c r="B1110" s="80" t="s">
        <v>110</v>
      </c>
      <c r="C1110" s="81" t="s">
        <v>1285</v>
      </c>
      <c r="D1110" s="81" t="n">
        <v>8</v>
      </c>
      <c r="E1110" s="81" t="s">
        <v>1322</v>
      </c>
      <c r="F1110" s="82" t="str">
        <f aca="false">IF(E1110="","",IF(LEFT(E1110,2)="DJ","DJ","JN"))</f>
        <v>DJ</v>
      </c>
      <c r="G1110" s="81"/>
      <c r="H1110" s="81" t="s">
        <v>871</v>
      </c>
      <c r="I1110" s="81" t="n">
        <v>9.53</v>
      </c>
      <c r="J1110" s="81" t="s">
        <v>872</v>
      </c>
      <c r="K1110" s="81" t="s">
        <v>873</v>
      </c>
      <c r="L1110" s="81" t="n">
        <v>2088040</v>
      </c>
      <c r="M1110" s="81" t="n">
        <v>15421112</v>
      </c>
      <c r="N1110" s="81" t="n">
        <v>11.94</v>
      </c>
      <c r="O1110" s="81" t="n">
        <v>2078680</v>
      </c>
      <c r="P1110" s="81" t="n">
        <v>15421101</v>
      </c>
      <c r="Q1110" s="81" t="n">
        <v>11.94</v>
      </c>
      <c r="R1110" s="81" t="s">
        <v>963</v>
      </c>
      <c r="S1110" s="81"/>
      <c r="T1110" s="81"/>
      <c r="U1110" s="83" t="n">
        <v>46279</v>
      </c>
      <c r="V1110" s="83" t="n">
        <v>46279</v>
      </c>
      <c r="W1110" s="81" t="s">
        <v>1227</v>
      </c>
      <c r="X1110" s="81" t="s">
        <v>876</v>
      </c>
      <c r="Y1110" s="83" t="n">
        <v>46280</v>
      </c>
      <c r="Z1110" s="81" t="s">
        <v>1149</v>
      </c>
      <c r="AA1110" s="81" t="s">
        <v>876</v>
      </c>
      <c r="AB1110" s="81"/>
      <c r="AC1110" s="81"/>
      <c r="AD1110" s="81"/>
      <c r="AE1110" s="83"/>
      <c r="AF1110" s="81"/>
      <c r="AG1110" s="81"/>
      <c r="AH1110" s="81"/>
      <c r="AI1110" s="81"/>
      <c r="AJ1110" s="83"/>
      <c r="AK1110" s="81"/>
      <c r="AL1110" s="81"/>
      <c r="AM1110" s="83"/>
      <c r="AN1110" s="80"/>
      <c r="AO1110" s="82" t="n">
        <f aca="false">IF(E1110="","",(AA1110&lt;&gt;"")+(AG1110&lt;&gt;"")+(AL1110&lt;&gt;""))</f>
        <v>1</v>
      </c>
      <c r="AP1110" s="82" t="str">
        <f aca="false">IF(AL1110&lt;&gt;"",AL1110,IF(AG1110&lt;&gt;"",AG1110,IF(AA1110&lt;&gt;"",AA1110,"")))</f>
        <v>A</v>
      </c>
      <c r="AQ1110" s="84" t="str">
        <f aca="false">IF(E1110="","",IF(U1110="","À SOUDER",IF(X1110="","VT EN ATTENTE",IF(X1110="R","VT REJETÉ – À REPRENDRE",IF(AP1110="","À RADIOGRAPHIER",IF(AP1110="A","ACCEPTÉ",IF(AP1110="NX","NX – RT À REFAIRE",IF(IF(AO1110=1,AD1110,IF(AO1110=2,AI1110,""))="A","RÉPARÉ – À RADIOGRAPHIER",IF(IF(AO1110=1,AD1110,IF(AO1110=2,AI1110,""))="R","VT REJETÉ – À REPRENDRE",IF(OR(AP1110="CO",AP1110="NT"),"COUPE – À RESOUDER","À RÉPARER"))))))))))</f>
        <v>ACCEPTÉ</v>
      </c>
      <c r="AR1110" s="82" t="str">
        <f aca="false">IF(AND(ISNUMBER(U1110),OR(AQ1110="À RADIOGRAPHIER",AQ1110="RÉPARÉ – À RADIOGRAPHIER",AQ1110="NX – RT À REFAIRE",AQ1110="À RÉPARER",AQ1110="COUPE – À RESOUDER",AQ1110="VT REJETÉ – À REPRENDRE")),MAX(0,'PROGRAMME RT'!$C$4-U1110),"")</f>
        <v/>
      </c>
      <c r="AS1110" s="82" t="n">
        <f aca="false">IF(AND(OR(AQ1110="À RADIOGRAPHIER",AQ1110="RÉPARÉ – À RADIOGRAPHIER",AQ1110="NX – RT À REFAIRE"),OR('PROGRAMME RT'!$D$5="TOUTES",B1110='PROGRAMME RT'!$D$5)),1,0)</f>
        <v>0</v>
      </c>
      <c r="AT1110" s="82" t="str">
        <f aca="false">IF(AS1110=1,SUM(AS$7:AS1110),"")</f>
        <v/>
      </c>
      <c r="AU1110" s="82" t="n">
        <f aca="false">IF(AND(OR(AA1110="R",AA1110="NX",AA1110="NT",AA1110="CO"),OR('JOINTS DE RÉPARATION'!$D$5="TOUTES",B1110='JOINTS DE RÉPARATION'!$D$5),OR('JOINTS DE RÉPARATION'!$L$4="TOUS",AQ1110&lt;&gt;"ACCEPTÉ")),1,0)</f>
        <v>0</v>
      </c>
      <c r="AV1110" s="82" t="str">
        <f aca="false">IF(AU1110=1,SUM(AU$7:AU1110),"")</f>
        <v/>
      </c>
      <c r="AW1110" s="82" t="str">
        <f aca="false">IF(E1110="","",B1110&amp;"|"&amp;E1110)</f>
        <v>MFD-ISW → MFD-CPF|DJ°384</v>
      </c>
    </row>
    <row r="1111" customFormat="false" ht="74.6" hidden="false" customHeight="false" outlineLevel="0" collapsed="false">
      <c r="A1111" s="79" t="n">
        <f aca="false">IF(E1111="","",ROW()-6)</f>
        <v>1105</v>
      </c>
      <c r="B1111" s="80" t="s">
        <v>110</v>
      </c>
      <c r="C1111" s="81" t="s">
        <v>1285</v>
      </c>
      <c r="D1111" s="81" t="n">
        <v>8</v>
      </c>
      <c r="E1111" s="81" t="s">
        <v>1323</v>
      </c>
      <c r="F1111" s="82" t="str">
        <f aca="false">IF(E1111="","",IF(LEFT(E1111,2)="DJ","DJ","JN"))</f>
        <v>JN</v>
      </c>
      <c r="G1111" s="81"/>
      <c r="H1111" s="81" t="s">
        <v>871</v>
      </c>
      <c r="I1111" s="81" t="n">
        <v>9.53</v>
      </c>
      <c r="J1111" s="81" t="s">
        <v>872</v>
      </c>
      <c r="K1111" s="81" t="s">
        <v>879</v>
      </c>
      <c r="L1111" s="81" t="n">
        <v>2078680</v>
      </c>
      <c r="M1111" s="81" t="n">
        <v>15421101</v>
      </c>
      <c r="N1111" s="81" t="n">
        <v>11.94</v>
      </c>
      <c r="O1111" s="81" t="n">
        <v>2078780</v>
      </c>
      <c r="P1111" s="81" t="n">
        <v>15421101</v>
      </c>
      <c r="Q1111" s="81" t="n">
        <v>11.94</v>
      </c>
      <c r="R1111" s="81" t="s">
        <v>1299</v>
      </c>
      <c r="S1111" s="81"/>
      <c r="T1111" s="81"/>
      <c r="U1111" s="83" t="n">
        <v>46280</v>
      </c>
      <c r="V1111" s="83" t="n">
        <v>46280</v>
      </c>
      <c r="W1111" s="81" t="s">
        <v>1300</v>
      </c>
      <c r="X1111" s="81" t="s">
        <v>876</v>
      </c>
      <c r="Y1111" s="83" t="n">
        <v>46286</v>
      </c>
      <c r="Z1111" s="81" t="s">
        <v>1309</v>
      </c>
      <c r="AA1111" s="81" t="s">
        <v>876</v>
      </c>
      <c r="AB1111" s="81"/>
      <c r="AC1111" s="81"/>
      <c r="AD1111" s="81"/>
      <c r="AE1111" s="83"/>
      <c r="AF1111" s="81"/>
      <c r="AG1111" s="81"/>
      <c r="AH1111" s="81"/>
      <c r="AI1111" s="81"/>
      <c r="AJ1111" s="83"/>
      <c r="AK1111" s="81"/>
      <c r="AL1111" s="81"/>
      <c r="AM1111" s="83"/>
      <c r="AN1111" s="80"/>
      <c r="AO1111" s="82" t="n">
        <f aca="false">IF(E1111="","",(AA1111&lt;&gt;"")+(AG1111&lt;&gt;"")+(AL1111&lt;&gt;""))</f>
        <v>1</v>
      </c>
      <c r="AP1111" s="82" t="str">
        <f aca="false">IF(AL1111&lt;&gt;"",AL1111,IF(AG1111&lt;&gt;"",AG1111,IF(AA1111&lt;&gt;"",AA1111,"")))</f>
        <v>A</v>
      </c>
      <c r="AQ1111" s="84" t="str">
        <f aca="false">IF(E1111="","",IF(U1111="","À SOUDER",IF(X1111="","VT EN ATTENTE",IF(X1111="R","VT REJETÉ – À REPRENDRE",IF(AP1111="","À RADIOGRAPHIER",IF(AP1111="A","ACCEPTÉ",IF(AP1111="NX","NX – RT À REFAIRE",IF(IF(AO1111=1,AD1111,IF(AO1111=2,AI1111,""))="A","RÉPARÉ – À RADIOGRAPHIER",IF(IF(AO1111=1,AD1111,IF(AO1111=2,AI1111,""))="R","VT REJETÉ – À REPRENDRE",IF(OR(AP1111="CO",AP1111="NT"),"COUPE – À RESOUDER","À RÉPARER"))))))))))</f>
        <v>ACCEPTÉ</v>
      </c>
      <c r="AR1111" s="82" t="str">
        <f aca="false">IF(AND(ISNUMBER(U1111),OR(AQ1111="À RADIOGRAPHIER",AQ1111="RÉPARÉ – À RADIOGRAPHIER",AQ1111="NX – RT À REFAIRE",AQ1111="À RÉPARER",AQ1111="COUPE – À RESOUDER",AQ1111="VT REJETÉ – À REPRENDRE")),MAX(0,'PROGRAMME RT'!$C$4-U1111),"")</f>
        <v/>
      </c>
      <c r="AS1111" s="82" t="n">
        <f aca="false">IF(AND(OR(AQ1111="À RADIOGRAPHIER",AQ1111="RÉPARÉ – À RADIOGRAPHIER",AQ1111="NX – RT À REFAIRE"),OR('PROGRAMME RT'!$D$5="TOUTES",B1111='PROGRAMME RT'!$D$5)),1,0)</f>
        <v>0</v>
      </c>
      <c r="AT1111" s="82" t="str">
        <f aca="false">IF(AS1111=1,SUM(AS$7:AS1111),"")</f>
        <v/>
      </c>
      <c r="AU1111" s="82" t="n">
        <f aca="false">IF(AND(OR(AA1111="R",AA1111="NX",AA1111="NT",AA1111="CO"),OR('JOINTS DE RÉPARATION'!$D$5="TOUTES",B1111='JOINTS DE RÉPARATION'!$D$5),OR('JOINTS DE RÉPARATION'!$L$4="TOUS",AQ1111&lt;&gt;"ACCEPTÉ")),1,0)</f>
        <v>0</v>
      </c>
      <c r="AV1111" s="82" t="str">
        <f aca="false">IF(AU1111=1,SUM(AU$7:AU1111),"")</f>
        <v/>
      </c>
      <c r="AW1111" s="82" t="str">
        <f aca="false">IF(E1111="","",B1111&amp;"|"&amp;E1111)</f>
        <v>MFD-ISW → MFD-CPF|JN°975</v>
      </c>
    </row>
    <row r="1112" customFormat="false" ht="74.6" hidden="false" customHeight="false" outlineLevel="0" collapsed="false">
      <c r="A1112" s="79" t="n">
        <f aca="false">IF(E1112="","",ROW()-6)</f>
        <v>1106</v>
      </c>
      <c r="B1112" s="80" t="s">
        <v>110</v>
      </c>
      <c r="C1112" s="81" t="s">
        <v>1285</v>
      </c>
      <c r="D1112" s="81" t="n">
        <v>8</v>
      </c>
      <c r="E1112" s="81" t="s">
        <v>1324</v>
      </c>
      <c r="F1112" s="82" t="str">
        <f aca="false">IF(E1112="","",IF(LEFT(E1112,2)="DJ","DJ","JN"))</f>
        <v>DJ</v>
      </c>
      <c r="G1112" s="81"/>
      <c r="H1112" s="81" t="s">
        <v>871</v>
      </c>
      <c r="I1112" s="81" t="n">
        <v>9.53</v>
      </c>
      <c r="J1112" s="81" t="s">
        <v>872</v>
      </c>
      <c r="K1112" s="81" t="s">
        <v>873</v>
      </c>
      <c r="L1112" s="81" t="n">
        <v>2078780</v>
      </c>
      <c r="M1112" s="81" t="n">
        <v>15421101</v>
      </c>
      <c r="N1112" s="81" t="n">
        <v>11.94</v>
      </c>
      <c r="O1112" s="81" t="n">
        <v>2086180</v>
      </c>
      <c r="P1112" s="81" t="n">
        <v>15421107</v>
      </c>
      <c r="Q1112" s="81" t="n">
        <v>11.94</v>
      </c>
      <c r="R1112" s="81" t="s">
        <v>1135</v>
      </c>
      <c r="S1112" s="81"/>
      <c r="T1112" s="81"/>
      <c r="U1112" s="83" t="n">
        <v>46279</v>
      </c>
      <c r="V1112" s="83" t="n">
        <v>46279</v>
      </c>
      <c r="W1112" s="81" t="s">
        <v>1227</v>
      </c>
      <c r="X1112" s="81" t="s">
        <v>876</v>
      </c>
      <c r="Y1112" s="83" t="n">
        <v>46280</v>
      </c>
      <c r="Z1112" s="81" t="s">
        <v>1149</v>
      </c>
      <c r="AA1112" s="81" t="s">
        <v>876</v>
      </c>
      <c r="AB1112" s="81"/>
      <c r="AC1112" s="81"/>
      <c r="AD1112" s="81"/>
      <c r="AE1112" s="83"/>
      <c r="AF1112" s="81"/>
      <c r="AG1112" s="81"/>
      <c r="AH1112" s="81"/>
      <c r="AI1112" s="81"/>
      <c r="AJ1112" s="83"/>
      <c r="AK1112" s="81"/>
      <c r="AL1112" s="81"/>
      <c r="AM1112" s="83"/>
      <c r="AN1112" s="80"/>
      <c r="AO1112" s="82" t="n">
        <f aca="false">IF(E1112="","",(AA1112&lt;&gt;"")+(AG1112&lt;&gt;"")+(AL1112&lt;&gt;""))</f>
        <v>1</v>
      </c>
      <c r="AP1112" s="82" t="str">
        <f aca="false">IF(AL1112&lt;&gt;"",AL1112,IF(AG1112&lt;&gt;"",AG1112,IF(AA1112&lt;&gt;"",AA1112,"")))</f>
        <v>A</v>
      </c>
      <c r="AQ1112" s="84" t="str">
        <f aca="false">IF(E1112="","",IF(U1112="","À SOUDER",IF(X1112="","VT EN ATTENTE",IF(X1112="R","VT REJETÉ – À REPRENDRE",IF(AP1112="","À RADIOGRAPHIER",IF(AP1112="A","ACCEPTÉ",IF(AP1112="NX","NX – RT À REFAIRE",IF(IF(AO1112=1,AD1112,IF(AO1112=2,AI1112,""))="A","RÉPARÉ – À RADIOGRAPHIER",IF(IF(AO1112=1,AD1112,IF(AO1112=2,AI1112,""))="R","VT REJETÉ – À REPRENDRE",IF(OR(AP1112="CO",AP1112="NT"),"COUPE – À RESOUDER","À RÉPARER"))))))))))</f>
        <v>ACCEPTÉ</v>
      </c>
      <c r="AR1112" s="82" t="str">
        <f aca="false">IF(AND(ISNUMBER(U1112),OR(AQ1112="À RADIOGRAPHIER",AQ1112="RÉPARÉ – À RADIOGRAPHIER",AQ1112="NX – RT À REFAIRE",AQ1112="À RÉPARER",AQ1112="COUPE – À RESOUDER",AQ1112="VT REJETÉ – À REPRENDRE")),MAX(0,'PROGRAMME RT'!$C$4-U1112),"")</f>
        <v/>
      </c>
      <c r="AS1112" s="82" t="n">
        <f aca="false">IF(AND(OR(AQ1112="À RADIOGRAPHIER",AQ1112="RÉPARÉ – À RADIOGRAPHIER",AQ1112="NX – RT À REFAIRE"),OR('PROGRAMME RT'!$D$5="TOUTES",B1112='PROGRAMME RT'!$D$5)),1,0)</f>
        <v>0</v>
      </c>
      <c r="AT1112" s="82" t="str">
        <f aca="false">IF(AS1112=1,SUM(AS$7:AS1112),"")</f>
        <v/>
      </c>
      <c r="AU1112" s="82" t="n">
        <f aca="false">IF(AND(OR(AA1112="R",AA1112="NX",AA1112="NT",AA1112="CO"),OR('JOINTS DE RÉPARATION'!$D$5="TOUTES",B1112='JOINTS DE RÉPARATION'!$D$5),OR('JOINTS DE RÉPARATION'!$L$4="TOUS",AQ1112&lt;&gt;"ACCEPTÉ")),1,0)</f>
        <v>0</v>
      </c>
      <c r="AV1112" s="82" t="str">
        <f aca="false">IF(AU1112=1,SUM(AU$7:AU1112),"")</f>
        <v/>
      </c>
      <c r="AW1112" s="82" t="str">
        <f aca="false">IF(E1112="","",B1112&amp;"|"&amp;E1112)</f>
        <v>MFD-ISW → MFD-CPF|DJ°385</v>
      </c>
    </row>
    <row r="1113" customFormat="false" ht="74.6" hidden="false" customHeight="false" outlineLevel="0" collapsed="false">
      <c r="A1113" s="79" t="n">
        <f aca="false">IF(E1113="","",ROW()-6)</f>
        <v>1107</v>
      </c>
      <c r="B1113" s="80" t="s">
        <v>110</v>
      </c>
      <c r="C1113" s="81" t="s">
        <v>1285</v>
      </c>
      <c r="D1113" s="81" t="n">
        <v>8</v>
      </c>
      <c r="E1113" s="81" t="s">
        <v>1325</v>
      </c>
      <c r="F1113" s="82" t="str">
        <f aca="false">IF(E1113="","",IF(LEFT(E1113,2)="DJ","DJ","JN"))</f>
        <v>JN</v>
      </c>
      <c r="G1113" s="81"/>
      <c r="H1113" s="81" t="s">
        <v>871</v>
      </c>
      <c r="I1113" s="81" t="n">
        <v>9.53</v>
      </c>
      <c r="J1113" s="81" t="s">
        <v>872</v>
      </c>
      <c r="K1113" s="81" t="s">
        <v>879</v>
      </c>
      <c r="L1113" s="81" t="n">
        <v>2086180</v>
      </c>
      <c r="M1113" s="81" t="n">
        <v>15421107</v>
      </c>
      <c r="N1113" s="81" t="n">
        <v>11.94</v>
      </c>
      <c r="O1113" s="81" t="n">
        <v>2091010</v>
      </c>
      <c r="P1113" s="81" t="n">
        <v>15421109</v>
      </c>
      <c r="Q1113" s="81" t="n">
        <v>11.94</v>
      </c>
      <c r="R1113" s="81" t="s">
        <v>1299</v>
      </c>
      <c r="S1113" s="81"/>
      <c r="T1113" s="81"/>
      <c r="U1113" s="83" t="n">
        <v>46280</v>
      </c>
      <c r="V1113" s="83" t="n">
        <v>46280</v>
      </c>
      <c r="W1113" s="81" t="s">
        <v>1300</v>
      </c>
      <c r="X1113" s="81" t="s">
        <v>876</v>
      </c>
      <c r="Y1113" s="83" t="n">
        <v>46286</v>
      </c>
      <c r="Z1113" s="81" t="s">
        <v>1309</v>
      </c>
      <c r="AA1113" s="81" t="s">
        <v>876</v>
      </c>
      <c r="AB1113" s="81"/>
      <c r="AC1113" s="81"/>
      <c r="AD1113" s="81"/>
      <c r="AE1113" s="83"/>
      <c r="AF1113" s="81"/>
      <c r="AG1113" s="81"/>
      <c r="AH1113" s="81"/>
      <c r="AI1113" s="81"/>
      <c r="AJ1113" s="83"/>
      <c r="AK1113" s="81"/>
      <c r="AL1113" s="81"/>
      <c r="AM1113" s="83"/>
      <c r="AN1113" s="80"/>
      <c r="AO1113" s="82" t="n">
        <f aca="false">IF(E1113="","",(AA1113&lt;&gt;"")+(AG1113&lt;&gt;"")+(AL1113&lt;&gt;""))</f>
        <v>1</v>
      </c>
      <c r="AP1113" s="82" t="str">
        <f aca="false">IF(AL1113&lt;&gt;"",AL1113,IF(AG1113&lt;&gt;"",AG1113,IF(AA1113&lt;&gt;"",AA1113,"")))</f>
        <v>A</v>
      </c>
      <c r="AQ1113" s="84" t="str">
        <f aca="false">IF(E1113="","",IF(U1113="","À SOUDER",IF(X1113="","VT EN ATTENTE",IF(X1113="R","VT REJETÉ – À REPRENDRE",IF(AP1113="","À RADIOGRAPHIER",IF(AP1113="A","ACCEPTÉ",IF(AP1113="NX","NX – RT À REFAIRE",IF(IF(AO1113=1,AD1113,IF(AO1113=2,AI1113,""))="A","RÉPARÉ – À RADIOGRAPHIER",IF(IF(AO1113=1,AD1113,IF(AO1113=2,AI1113,""))="R","VT REJETÉ – À REPRENDRE",IF(OR(AP1113="CO",AP1113="NT"),"COUPE – À RESOUDER","À RÉPARER"))))))))))</f>
        <v>ACCEPTÉ</v>
      </c>
      <c r="AR1113" s="82" t="str">
        <f aca="false">IF(AND(ISNUMBER(U1113),OR(AQ1113="À RADIOGRAPHIER",AQ1113="RÉPARÉ – À RADIOGRAPHIER",AQ1113="NX – RT À REFAIRE",AQ1113="À RÉPARER",AQ1113="COUPE – À RESOUDER",AQ1113="VT REJETÉ – À REPRENDRE")),MAX(0,'PROGRAMME RT'!$C$4-U1113),"")</f>
        <v/>
      </c>
      <c r="AS1113" s="82" t="n">
        <f aca="false">IF(AND(OR(AQ1113="À RADIOGRAPHIER",AQ1113="RÉPARÉ – À RADIOGRAPHIER",AQ1113="NX – RT À REFAIRE"),OR('PROGRAMME RT'!$D$5="TOUTES",B1113='PROGRAMME RT'!$D$5)),1,0)</f>
        <v>0</v>
      </c>
      <c r="AT1113" s="82" t="str">
        <f aca="false">IF(AS1113=1,SUM(AS$7:AS1113),"")</f>
        <v/>
      </c>
      <c r="AU1113" s="82" t="n">
        <f aca="false">IF(AND(OR(AA1113="R",AA1113="NX",AA1113="NT",AA1113="CO"),OR('JOINTS DE RÉPARATION'!$D$5="TOUTES",B1113='JOINTS DE RÉPARATION'!$D$5),OR('JOINTS DE RÉPARATION'!$L$4="TOUS",AQ1113&lt;&gt;"ACCEPTÉ")),1,0)</f>
        <v>0</v>
      </c>
      <c r="AV1113" s="82" t="str">
        <f aca="false">IF(AU1113=1,SUM(AU$7:AU1113),"")</f>
        <v/>
      </c>
      <c r="AW1113" s="82" t="str">
        <f aca="false">IF(E1113="","",B1113&amp;"|"&amp;E1113)</f>
        <v>MFD-ISW → MFD-CPF|JN°976</v>
      </c>
    </row>
    <row r="1114" customFormat="false" ht="74.6" hidden="false" customHeight="false" outlineLevel="0" collapsed="false">
      <c r="A1114" s="79" t="n">
        <f aca="false">IF(E1114="","",ROW()-6)</f>
        <v>1108</v>
      </c>
      <c r="B1114" s="80" t="s">
        <v>110</v>
      </c>
      <c r="C1114" s="81" t="s">
        <v>1285</v>
      </c>
      <c r="D1114" s="81" t="n">
        <v>8</v>
      </c>
      <c r="E1114" s="81" t="s">
        <v>1326</v>
      </c>
      <c r="F1114" s="82" t="str">
        <f aca="false">IF(E1114="","",IF(LEFT(E1114,2)="DJ","DJ","JN"))</f>
        <v>DJ</v>
      </c>
      <c r="G1114" s="81"/>
      <c r="H1114" s="81" t="s">
        <v>871</v>
      </c>
      <c r="I1114" s="81" t="n">
        <v>9.53</v>
      </c>
      <c r="J1114" s="81" t="s">
        <v>872</v>
      </c>
      <c r="K1114" s="81" t="s">
        <v>873</v>
      </c>
      <c r="L1114" s="81" t="n">
        <v>2091010</v>
      </c>
      <c r="M1114" s="81" t="n">
        <v>15421109</v>
      </c>
      <c r="N1114" s="81" t="n">
        <v>11.94</v>
      </c>
      <c r="O1114" s="81" t="n">
        <v>2094880</v>
      </c>
      <c r="P1114" s="81" t="n">
        <v>15421111</v>
      </c>
      <c r="Q1114" s="81" t="n">
        <v>11.94</v>
      </c>
      <c r="R1114" s="81" t="s">
        <v>1147</v>
      </c>
      <c r="S1114" s="81"/>
      <c r="T1114" s="81"/>
      <c r="U1114" s="83" t="n">
        <v>46279</v>
      </c>
      <c r="V1114" s="83" t="n">
        <v>46279</v>
      </c>
      <c r="W1114" s="81" t="s">
        <v>1227</v>
      </c>
      <c r="X1114" s="81" t="s">
        <v>876</v>
      </c>
      <c r="Y1114" s="83" t="n">
        <v>46280</v>
      </c>
      <c r="Z1114" s="81" t="s">
        <v>1149</v>
      </c>
      <c r="AA1114" s="81" t="s">
        <v>876</v>
      </c>
      <c r="AB1114" s="81"/>
      <c r="AC1114" s="81"/>
      <c r="AD1114" s="81"/>
      <c r="AE1114" s="83"/>
      <c r="AF1114" s="81"/>
      <c r="AG1114" s="81"/>
      <c r="AH1114" s="81"/>
      <c r="AI1114" s="81"/>
      <c r="AJ1114" s="83"/>
      <c r="AK1114" s="81"/>
      <c r="AL1114" s="81"/>
      <c r="AM1114" s="83"/>
      <c r="AN1114" s="80"/>
      <c r="AO1114" s="82" t="n">
        <f aca="false">IF(E1114="","",(AA1114&lt;&gt;"")+(AG1114&lt;&gt;"")+(AL1114&lt;&gt;""))</f>
        <v>1</v>
      </c>
      <c r="AP1114" s="82" t="str">
        <f aca="false">IF(AL1114&lt;&gt;"",AL1114,IF(AG1114&lt;&gt;"",AG1114,IF(AA1114&lt;&gt;"",AA1114,"")))</f>
        <v>A</v>
      </c>
      <c r="AQ1114" s="84" t="str">
        <f aca="false">IF(E1114="","",IF(U1114="","À SOUDER",IF(X1114="","VT EN ATTENTE",IF(X1114="R","VT REJETÉ – À REPRENDRE",IF(AP1114="","À RADIOGRAPHIER",IF(AP1114="A","ACCEPTÉ",IF(AP1114="NX","NX – RT À REFAIRE",IF(IF(AO1114=1,AD1114,IF(AO1114=2,AI1114,""))="A","RÉPARÉ – À RADIOGRAPHIER",IF(IF(AO1114=1,AD1114,IF(AO1114=2,AI1114,""))="R","VT REJETÉ – À REPRENDRE",IF(OR(AP1114="CO",AP1114="NT"),"COUPE – À RESOUDER","À RÉPARER"))))))))))</f>
        <v>ACCEPTÉ</v>
      </c>
      <c r="AR1114" s="82" t="str">
        <f aca="false">IF(AND(ISNUMBER(U1114),OR(AQ1114="À RADIOGRAPHIER",AQ1114="RÉPARÉ – À RADIOGRAPHIER",AQ1114="NX – RT À REFAIRE",AQ1114="À RÉPARER",AQ1114="COUPE – À RESOUDER",AQ1114="VT REJETÉ – À REPRENDRE")),MAX(0,'PROGRAMME RT'!$C$4-U1114),"")</f>
        <v/>
      </c>
      <c r="AS1114" s="82" t="n">
        <f aca="false">IF(AND(OR(AQ1114="À RADIOGRAPHIER",AQ1114="RÉPARÉ – À RADIOGRAPHIER",AQ1114="NX – RT À REFAIRE"),OR('PROGRAMME RT'!$D$5="TOUTES",B1114='PROGRAMME RT'!$D$5)),1,0)</f>
        <v>0</v>
      </c>
      <c r="AT1114" s="82" t="str">
        <f aca="false">IF(AS1114=1,SUM(AS$7:AS1114),"")</f>
        <v/>
      </c>
      <c r="AU1114" s="82" t="n">
        <f aca="false">IF(AND(OR(AA1114="R",AA1114="NX",AA1114="NT",AA1114="CO"),OR('JOINTS DE RÉPARATION'!$D$5="TOUTES",B1114='JOINTS DE RÉPARATION'!$D$5),OR('JOINTS DE RÉPARATION'!$L$4="TOUS",AQ1114&lt;&gt;"ACCEPTÉ")),1,0)</f>
        <v>0</v>
      </c>
      <c r="AV1114" s="82" t="str">
        <f aca="false">IF(AU1114=1,SUM(AU$7:AU1114),"")</f>
        <v/>
      </c>
      <c r="AW1114" s="82" t="str">
        <f aca="false">IF(E1114="","",B1114&amp;"|"&amp;E1114)</f>
        <v>MFD-ISW → MFD-CPF|DJ°374</v>
      </c>
    </row>
    <row r="1115" customFormat="false" ht="74.6" hidden="false" customHeight="false" outlineLevel="0" collapsed="false">
      <c r="A1115" s="79" t="n">
        <f aca="false">IF(E1115="","",ROW()-6)</f>
        <v>1109</v>
      </c>
      <c r="B1115" s="80" t="s">
        <v>110</v>
      </c>
      <c r="C1115" s="81" t="s">
        <v>1285</v>
      </c>
      <c r="D1115" s="81" t="n">
        <v>8</v>
      </c>
      <c r="E1115" s="81" t="s">
        <v>1327</v>
      </c>
      <c r="F1115" s="82" t="str">
        <f aca="false">IF(E1115="","",IF(LEFT(E1115,2)="DJ","DJ","JN"))</f>
        <v>JN</v>
      </c>
      <c r="G1115" s="81"/>
      <c r="H1115" s="81" t="s">
        <v>871</v>
      </c>
      <c r="I1115" s="81" t="n">
        <v>9.53</v>
      </c>
      <c r="J1115" s="81" t="s">
        <v>872</v>
      </c>
      <c r="K1115" s="81" t="s">
        <v>879</v>
      </c>
      <c r="L1115" s="81" t="n">
        <v>2094880</v>
      </c>
      <c r="M1115" s="81" t="n">
        <v>15421111</v>
      </c>
      <c r="N1115" s="81" t="n">
        <v>11.94</v>
      </c>
      <c r="O1115" s="81" t="n">
        <v>2091660</v>
      </c>
      <c r="P1115" s="81" t="n">
        <v>15421112</v>
      </c>
      <c r="Q1115" s="81" t="n">
        <v>11.94</v>
      </c>
      <c r="R1115" s="81" t="s">
        <v>1299</v>
      </c>
      <c r="S1115" s="81"/>
      <c r="T1115" s="81"/>
      <c r="U1115" s="83" t="n">
        <v>46280</v>
      </c>
      <c r="V1115" s="83" t="n">
        <v>46280</v>
      </c>
      <c r="W1115" s="81" t="s">
        <v>1300</v>
      </c>
      <c r="X1115" s="81" t="s">
        <v>876</v>
      </c>
      <c r="Y1115" s="83" t="n">
        <v>46286</v>
      </c>
      <c r="Z1115" s="81" t="s">
        <v>1309</v>
      </c>
      <c r="AA1115" s="81" t="s">
        <v>1073</v>
      </c>
      <c r="AB1115" s="81" t="s">
        <v>1328</v>
      </c>
      <c r="AC1115" s="81"/>
      <c r="AD1115" s="81"/>
      <c r="AE1115" s="83"/>
      <c r="AF1115" s="81"/>
      <c r="AG1115" s="81"/>
      <c r="AH1115" s="81"/>
      <c r="AI1115" s="81"/>
      <c r="AJ1115" s="83"/>
      <c r="AK1115" s="81"/>
      <c r="AL1115" s="81"/>
      <c r="AM1115" s="83"/>
      <c r="AN1115" s="80"/>
      <c r="AO1115" s="82" t="n">
        <f aca="false">IF(E1115="","",(AA1115&lt;&gt;"")+(AG1115&lt;&gt;"")+(AL1115&lt;&gt;""))</f>
        <v>1</v>
      </c>
      <c r="AP1115" s="82" t="str">
        <f aca="false">IF(AL1115&lt;&gt;"",AL1115,IF(AG1115&lt;&gt;"",AG1115,IF(AA1115&lt;&gt;"",AA1115,"")))</f>
        <v>R</v>
      </c>
      <c r="AQ1115" s="84" t="str">
        <f aca="false">IF(E1115="","",IF(U1115="","À SOUDER",IF(X1115="","VT EN ATTENTE",IF(X1115="R","VT REJETÉ – À REPRENDRE",IF(AP1115="","À RADIOGRAPHIER",IF(AP1115="A","ACCEPTÉ",IF(AP1115="NX","NX – RT À REFAIRE",IF(IF(AO1115=1,AD1115,IF(AO1115=2,AI1115,""))="A","RÉPARÉ – À RADIOGRAPHIER",IF(IF(AO1115=1,AD1115,IF(AO1115=2,AI1115,""))="R","VT REJETÉ – À REPRENDRE",IF(OR(AP1115="CO",AP1115="NT"),"COUPE – À RESOUDER","À RÉPARER"))))))))))</f>
        <v>À RÉPARER</v>
      </c>
      <c r="AR1115" s="82" t="n">
        <f aca="false">IF(AND(ISNUMBER(U1115),OR(AQ1115="À RADIOGRAPHIER",AQ1115="RÉPARÉ – À RADIOGRAPHIER",AQ1115="NX – RT À REFAIRE",AQ1115="À RÉPARER",AQ1115="COUPE – À RESOUDER",AQ1115="VT REJETÉ – À REPRENDRE")),MAX(0,'PROGRAMME RT'!$C$4-U1115),"")</f>
        <v>13</v>
      </c>
      <c r="AS1115" s="82" t="n">
        <f aca="false">IF(AND(OR(AQ1115="À RADIOGRAPHIER",AQ1115="RÉPARÉ – À RADIOGRAPHIER",AQ1115="NX – RT À REFAIRE"),OR('PROGRAMME RT'!$D$5="TOUTES",B1115='PROGRAMME RT'!$D$5)),1,0)</f>
        <v>0</v>
      </c>
      <c r="AT1115" s="82" t="str">
        <f aca="false">IF(AS1115=1,SUM(AS$7:AS1115),"")</f>
        <v/>
      </c>
      <c r="AU1115" s="82" t="n">
        <f aca="false">IF(AND(OR(AA1115="R",AA1115="NX",AA1115="NT",AA1115="CO"),OR('JOINTS DE RÉPARATION'!$D$5="TOUTES",B1115='JOINTS DE RÉPARATION'!$D$5),OR('JOINTS DE RÉPARATION'!$L$4="TOUS",AQ1115&lt;&gt;"ACCEPTÉ")),1,0)</f>
        <v>1</v>
      </c>
      <c r="AV1115" s="82" t="n">
        <f aca="false">IF(AU1115=1,SUM(AU$7:AU1115),"")</f>
        <v>19</v>
      </c>
      <c r="AW1115" s="82" t="str">
        <f aca="false">IF(E1115="","",B1115&amp;"|"&amp;E1115)</f>
        <v>MFD-ISW → MFD-CPF|JN°977</v>
      </c>
    </row>
    <row r="1116" customFormat="false" ht="74.6" hidden="false" customHeight="false" outlineLevel="0" collapsed="false">
      <c r="A1116" s="79" t="n">
        <f aca="false">IF(E1116="","",ROW()-6)</f>
        <v>1110</v>
      </c>
      <c r="B1116" s="80" t="s">
        <v>110</v>
      </c>
      <c r="C1116" s="81" t="s">
        <v>1285</v>
      </c>
      <c r="D1116" s="81" t="n">
        <v>8</v>
      </c>
      <c r="E1116" s="81" t="s">
        <v>1329</v>
      </c>
      <c r="F1116" s="82" t="str">
        <f aca="false">IF(E1116="","",IF(LEFT(E1116,2)="DJ","DJ","JN"))</f>
        <v>DJ</v>
      </c>
      <c r="G1116" s="81"/>
      <c r="H1116" s="81" t="s">
        <v>871</v>
      </c>
      <c r="I1116" s="81" t="n">
        <v>9.53</v>
      </c>
      <c r="J1116" s="81" t="s">
        <v>872</v>
      </c>
      <c r="K1116" s="81" t="s">
        <v>873</v>
      </c>
      <c r="L1116" s="81" t="n">
        <v>2091660</v>
      </c>
      <c r="M1116" s="81" t="n">
        <v>15421112</v>
      </c>
      <c r="N1116" s="81" t="n">
        <v>11.94</v>
      </c>
      <c r="O1116" s="81" t="n">
        <v>2086850</v>
      </c>
      <c r="P1116" s="81" t="n">
        <v>15421107</v>
      </c>
      <c r="Q1116" s="81" t="n">
        <v>11.94</v>
      </c>
      <c r="R1116" s="81" t="s">
        <v>1135</v>
      </c>
      <c r="S1116" s="81"/>
      <c r="T1116" s="81"/>
      <c r="U1116" s="83" t="n">
        <v>46279</v>
      </c>
      <c r="V1116" s="83" t="n">
        <v>46279</v>
      </c>
      <c r="W1116" s="81" t="s">
        <v>1227</v>
      </c>
      <c r="X1116" s="81" t="s">
        <v>876</v>
      </c>
      <c r="Y1116" s="83" t="n">
        <v>46280</v>
      </c>
      <c r="Z1116" s="81" t="s">
        <v>1149</v>
      </c>
      <c r="AA1116" s="81" t="s">
        <v>876</v>
      </c>
      <c r="AB1116" s="81"/>
      <c r="AC1116" s="81"/>
      <c r="AD1116" s="81"/>
      <c r="AE1116" s="83"/>
      <c r="AF1116" s="81"/>
      <c r="AG1116" s="81"/>
      <c r="AH1116" s="81"/>
      <c r="AI1116" s="81"/>
      <c r="AJ1116" s="83"/>
      <c r="AK1116" s="81"/>
      <c r="AL1116" s="81"/>
      <c r="AM1116" s="83"/>
      <c r="AN1116" s="80"/>
      <c r="AO1116" s="82" t="n">
        <f aca="false">IF(E1116="","",(AA1116&lt;&gt;"")+(AG1116&lt;&gt;"")+(AL1116&lt;&gt;""))</f>
        <v>1</v>
      </c>
      <c r="AP1116" s="82" t="str">
        <f aca="false">IF(AL1116&lt;&gt;"",AL1116,IF(AG1116&lt;&gt;"",AG1116,IF(AA1116&lt;&gt;"",AA1116,"")))</f>
        <v>A</v>
      </c>
      <c r="AQ1116" s="84" t="str">
        <f aca="false">IF(E1116="","",IF(U1116="","À SOUDER",IF(X1116="","VT EN ATTENTE",IF(X1116="R","VT REJETÉ – À REPRENDRE",IF(AP1116="","À RADIOGRAPHIER",IF(AP1116="A","ACCEPTÉ",IF(AP1116="NX","NX – RT À REFAIRE",IF(IF(AO1116=1,AD1116,IF(AO1116=2,AI1116,""))="A","RÉPARÉ – À RADIOGRAPHIER",IF(IF(AO1116=1,AD1116,IF(AO1116=2,AI1116,""))="R","VT REJETÉ – À REPRENDRE",IF(OR(AP1116="CO",AP1116="NT"),"COUPE – À RESOUDER","À RÉPARER"))))))))))</f>
        <v>ACCEPTÉ</v>
      </c>
      <c r="AR1116" s="82" t="str">
        <f aca="false">IF(AND(ISNUMBER(U1116),OR(AQ1116="À RADIOGRAPHIER",AQ1116="RÉPARÉ – À RADIOGRAPHIER",AQ1116="NX – RT À REFAIRE",AQ1116="À RÉPARER",AQ1116="COUPE – À RESOUDER",AQ1116="VT REJETÉ – À REPRENDRE")),MAX(0,'PROGRAMME RT'!$C$4-U1116),"")</f>
        <v/>
      </c>
      <c r="AS1116" s="82" t="n">
        <f aca="false">IF(AND(OR(AQ1116="À RADIOGRAPHIER",AQ1116="RÉPARÉ – À RADIOGRAPHIER",AQ1116="NX – RT À REFAIRE"),OR('PROGRAMME RT'!$D$5="TOUTES",B1116='PROGRAMME RT'!$D$5)),1,0)</f>
        <v>0</v>
      </c>
      <c r="AT1116" s="82" t="str">
        <f aca="false">IF(AS1116=1,SUM(AS$7:AS1116),"")</f>
        <v/>
      </c>
      <c r="AU1116" s="82" t="n">
        <f aca="false">IF(AND(OR(AA1116="R",AA1116="NX",AA1116="NT",AA1116="CO"),OR('JOINTS DE RÉPARATION'!$D$5="TOUTES",B1116='JOINTS DE RÉPARATION'!$D$5),OR('JOINTS DE RÉPARATION'!$L$4="TOUS",AQ1116&lt;&gt;"ACCEPTÉ")),1,0)</f>
        <v>0</v>
      </c>
      <c r="AV1116" s="82" t="str">
        <f aca="false">IF(AU1116=1,SUM(AU$7:AU1116),"")</f>
        <v/>
      </c>
      <c r="AW1116" s="82" t="str">
        <f aca="false">IF(E1116="","",B1116&amp;"|"&amp;E1116)</f>
        <v>MFD-ISW → MFD-CPF|DJ°377</v>
      </c>
    </row>
    <row r="1117" customFormat="false" ht="74.6" hidden="false" customHeight="false" outlineLevel="0" collapsed="false">
      <c r="A1117" s="79" t="n">
        <f aca="false">IF(E1117="","",ROW()-6)</f>
        <v>1111</v>
      </c>
      <c r="B1117" s="80" t="s">
        <v>110</v>
      </c>
      <c r="C1117" s="81" t="s">
        <v>1285</v>
      </c>
      <c r="D1117" s="81" t="n">
        <v>8</v>
      </c>
      <c r="E1117" s="81" t="s">
        <v>1330</v>
      </c>
      <c r="F1117" s="82" t="str">
        <f aca="false">IF(E1117="","",IF(LEFT(E1117,2)="DJ","DJ","JN"))</f>
        <v>JN</v>
      </c>
      <c r="G1117" s="81"/>
      <c r="H1117" s="81" t="s">
        <v>871</v>
      </c>
      <c r="I1117" s="81" t="n">
        <v>9.53</v>
      </c>
      <c r="J1117" s="81" t="s">
        <v>872</v>
      </c>
      <c r="K1117" s="81" t="s">
        <v>879</v>
      </c>
      <c r="L1117" s="81" t="n">
        <v>2086850</v>
      </c>
      <c r="M1117" s="81" t="n">
        <v>15421107</v>
      </c>
      <c r="N1117" s="81" t="n">
        <v>11.94</v>
      </c>
      <c r="O1117" s="81" t="n">
        <v>2083630</v>
      </c>
      <c r="P1117" s="81" t="n">
        <v>15421110</v>
      </c>
      <c r="Q1117" s="81" t="n">
        <v>11.94</v>
      </c>
      <c r="R1117" s="81" t="s">
        <v>1299</v>
      </c>
      <c r="S1117" s="81"/>
      <c r="T1117" s="81"/>
      <c r="U1117" s="83" t="n">
        <v>46280</v>
      </c>
      <c r="V1117" s="83" t="n">
        <v>46280</v>
      </c>
      <c r="W1117" s="81" t="s">
        <v>1300</v>
      </c>
      <c r="X1117" s="81" t="s">
        <v>876</v>
      </c>
      <c r="Y1117" s="83" t="n">
        <v>46286</v>
      </c>
      <c r="Z1117" s="81" t="s">
        <v>1309</v>
      </c>
      <c r="AA1117" s="81" t="s">
        <v>876</v>
      </c>
      <c r="AB1117" s="81"/>
      <c r="AC1117" s="81"/>
      <c r="AD1117" s="81"/>
      <c r="AE1117" s="83"/>
      <c r="AF1117" s="81"/>
      <c r="AG1117" s="81"/>
      <c r="AH1117" s="81"/>
      <c r="AI1117" s="81"/>
      <c r="AJ1117" s="83"/>
      <c r="AK1117" s="81"/>
      <c r="AL1117" s="81"/>
      <c r="AM1117" s="83"/>
      <c r="AN1117" s="80"/>
      <c r="AO1117" s="82" t="n">
        <f aca="false">IF(E1117="","",(AA1117&lt;&gt;"")+(AG1117&lt;&gt;"")+(AL1117&lt;&gt;""))</f>
        <v>1</v>
      </c>
      <c r="AP1117" s="82" t="str">
        <f aca="false">IF(AL1117&lt;&gt;"",AL1117,IF(AG1117&lt;&gt;"",AG1117,IF(AA1117&lt;&gt;"",AA1117,"")))</f>
        <v>A</v>
      </c>
      <c r="AQ1117" s="84" t="str">
        <f aca="false">IF(E1117="","",IF(U1117="","À SOUDER",IF(X1117="","VT EN ATTENTE",IF(X1117="R","VT REJETÉ – À REPRENDRE",IF(AP1117="","À RADIOGRAPHIER",IF(AP1117="A","ACCEPTÉ",IF(AP1117="NX","NX – RT À REFAIRE",IF(IF(AO1117=1,AD1117,IF(AO1117=2,AI1117,""))="A","RÉPARÉ – À RADIOGRAPHIER",IF(IF(AO1117=1,AD1117,IF(AO1117=2,AI1117,""))="R","VT REJETÉ – À REPRENDRE",IF(OR(AP1117="CO",AP1117="NT"),"COUPE – À RESOUDER","À RÉPARER"))))))))))</f>
        <v>ACCEPTÉ</v>
      </c>
      <c r="AR1117" s="82" t="str">
        <f aca="false">IF(AND(ISNUMBER(U1117),OR(AQ1117="À RADIOGRAPHIER",AQ1117="RÉPARÉ – À RADIOGRAPHIER",AQ1117="NX – RT À REFAIRE",AQ1117="À RÉPARER",AQ1117="COUPE – À RESOUDER",AQ1117="VT REJETÉ – À REPRENDRE")),MAX(0,'PROGRAMME RT'!$C$4-U1117),"")</f>
        <v/>
      </c>
      <c r="AS1117" s="82" t="n">
        <f aca="false">IF(AND(OR(AQ1117="À RADIOGRAPHIER",AQ1117="RÉPARÉ – À RADIOGRAPHIER",AQ1117="NX – RT À REFAIRE"),OR('PROGRAMME RT'!$D$5="TOUTES",B1117='PROGRAMME RT'!$D$5)),1,0)</f>
        <v>0</v>
      </c>
      <c r="AT1117" s="82" t="str">
        <f aca="false">IF(AS1117=1,SUM(AS$7:AS1117),"")</f>
        <v/>
      </c>
      <c r="AU1117" s="82" t="n">
        <f aca="false">IF(AND(OR(AA1117="R",AA1117="NX",AA1117="NT",AA1117="CO"),OR('JOINTS DE RÉPARATION'!$D$5="TOUTES",B1117='JOINTS DE RÉPARATION'!$D$5),OR('JOINTS DE RÉPARATION'!$L$4="TOUS",AQ1117&lt;&gt;"ACCEPTÉ")),1,0)</f>
        <v>0</v>
      </c>
      <c r="AV1117" s="82" t="str">
        <f aca="false">IF(AU1117=1,SUM(AU$7:AU1117),"")</f>
        <v/>
      </c>
      <c r="AW1117" s="82" t="str">
        <f aca="false">IF(E1117="","",B1117&amp;"|"&amp;E1117)</f>
        <v>MFD-ISW → MFD-CPF|JN°978</v>
      </c>
    </row>
    <row r="1118" customFormat="false" ht="74.6" hidden="false" customHeight="false" outlineLevel="0" collapsed="false">
      <c r="A1118" s="79" t="n">
        <f aca="false">IF(E1118="","",ROW()-6)</f>
        <v>1112</v>
      </c>
      <c r="B1118" s="80" t="s">
        <v>110</v>
      </c>
      <c r="C1118" s="81" t="s">
        <v>1285</v>
      </c>
      <c r="D1118" s="81" t="n">
        <v>8</v>
      </c>
      <c r="E1118" s="81" t="s">
        <v>1331</v>
      </c>
      <c r="F1118" s="82" t="str">
        <f aca="false">IF(E1118="","",IF(LEFT(E1118,2)="DJ","DJ","JN"))</f>
        <v>DJ</v>
      </c>
      <c r="G1118" s="81"/>
      <c r="H1118" s="81" t="s">
        <v>871</v>
      </c>
      <c r="I1118" s="81" t="n">
        <v>9.53</v>
      </c>
      <c r="J1118" s="81" t="s">
        <v>872</v>
      </c>
      <c r="K1118" s="81" t="s">
        <v>873</v>
      </c>
      <c r="L1118" s="81" t="n">
        <v>2083630</v>
      </c>
      <c r="M1118" s="81" t="n">
        <v>15421110</v>
      </c>
      <c r="N1118" s="81" t="n">
        <v>11.94</v>
      </c>
      <c r="O1118" s="81" t="n">
        <v>2085460</v>
      </c>
      <c r="P1118" s="81" t="n">
        <v>15421107</v>
      </c>
      <c r="Q1118" s="81" t="n">
        <v>11.94</v>
      </c>
      <c r="R1118" s="81" t="s">
        <v>963</v>
      </c>
      <c r="S1118" s="81"/>
      <c r="T1118" s="81"/>
      <c r="U1118" s="83" t="n">
        <v>46279</v>
      </c>
      <c r="V1118" s="83" t="n">
        <v>46279</v>
      </c>
      <c r="W1118" s="81" t="s">
        <v>1227</v>
      </c>
      <c r="X1118" s="81" t="s">
        <v>876</v>
      </c>
      <c r="Y1118" s="83" t="n">
        <v>46280</v>
      </c>
      <c r="Z1118" s="81" t="s">
        <v>1149</v>
      </c>
      <c r="AA1118" s="81" t="s">
        <v>876</v>
      </c>
      <c r="AB1118" s="81"/>
      <c r="AC1118" s="81"/>
      <c r="AD1118" s="81"/>
      <c r="AE1118" s="83"/>
      <c r="AF1118" s="81"/>
      <c r="AG1118" s="81"/>
      <c r="AH1118" s="81"/>
      <c r="AI1118" s="81"/>
      <c r="AJ1118" s="83"/>
      <c r="AK1118" s="81"/>
      <c r="AL1118" s="81"/>
      <c r="AM1118" s="83"/>
      <c r="AN1118" s="80"/>
      <c r="AO1118" s="82" t="n">
        <f aca="false">IF(E1118="","",(AA1118&lt;&gt;"")+(AG1118&lt;&gt;"")+(AL1118&lt;&gt;""))</f>
        <v>1</v>
      </c>
      <c r="AP1118" s="82" t="str">
        <f aca="false">IF(AL1118&lt;&gt;"",AL1118,IF(AG1118&lt;&gt;"",AG1118,IF(AA1118&lt;&gt;"",AA1118,"")))</f>
        <v>A</v>
      </c>
      <c r="AQ1118" s="84" t="str">
        <f aca="false">IF(E1118="","",IF(U1118="","À SOUDER",IF(X1118="","VT EN ATTENTE",IF(X1118="R","VT REJETÉ – À REPRENDRE",IF(AP1118="","À RADIOGRAPHIER",IF(AP1118="A","ACCEPTÉ",IF(AP1118="NX","NX – RT À REFAIRE",IF(IF(AO1118=1,AD1118,IF(AO1118=2,AI1118,""))="A","RÉPARÉ – À RADIOGRAPHIER",IF(IF(AO1118=1,AD1118,IF(AO1118=2,AI1118,""))="R","VT REJETÉ – À REPRENDRE",IF(OR(AP1118="CO",AP1118="NT"),"COUPE – À RESOUDER","À RÉPARER"))))))))))</f>
        <v>ACCEPTÉ</v>
      </c>
      <c r="AR1118" s="82" t="str">
        <f aca="false">IF(AND(ISNUMBER(U1118),OR(AQ1118="À RADIOGRAPHIER",AQ1118="RÉPARÉ – À RADIOGRAPHIER",AQ1118="NX – RT À REFAIRE",AQ1118="À RÉPARER",AQ1118="COUPE – À RESOUDER",AQ1118="VT REJETÉ – À REPRENDRE")),MAX(0,'PROGRAMME RT'!$C$4-U1118),"")</f>
        <v/>
      </c>
      <c r="AS1118" s="82" t="n">
        <f aca="false">IF(AND(OR(AQ1118="À RADIOGRAPHIER",AQ1118="RÉPARÉ – À RADIOGRAPHIER",AQ1118="NX – RT À REFAIRE"),OR('PROGRAMME RT'!$D$5="TOUTES",B1118='PROGRAMME RT'!$D$5)),1,0)</f>
        <v>0</v>
      </c>
      <c r="AT1118" s="82" t="str">
        <f aca="false">IF(AS1118=1,SUM(AS$7:AS1118),"")</f>
        <v/>
      </c>
      <c r="AU1118" s="82" t="n">
        <f aca="false">IF(AND(OR(AA1118="R",AA1118="NX",AA1118="NT",AA1118="CO"),OR('JOINTS DE RÉPARATION'!$D$5="TOUTES",B1118='JOINTS DE RÉPARATION'!$D$5),OR('JOINTS DE RÉPARATION'!$L$4="TOUS",AQ1118&lt;&gt;"ACCEPTÉ")),1,0)</f>
        <v>0</v>
      </c>
      <c r="AV1118" s="82" t="str">
        <f aca="false">IF(AU1118=1,SUM(AU$7:AU1118),"")</f>
        <v/>
      </c>
      <c r="AW1118" s="82" t="str">
        <f aca="false">IF(E1118="","",B1118&amp;"|"&amp;E1118)</f>
        <v>MFD-ISW → MFD-CPF|DJ°373</v>
      </c>
    </row>
    <row r="1119" customFormat="false" ht="74.6" hidden="false" customHeight="false" outlineLevel="0" collapsed="false">
      <c r="A1119" s="79" t="n">
        <f aca="false">IF(E1119="","",ROW()-6)</f>
        <v>1113</v>
      </c>
      <c r="B1119" s="80" t="s">
        <v>110</v>
      </c>
      <c r="C1119" s="81" t="s">
        <v>926</v>
      </c>
      <c r="D1119" s="81" t="n">
        <v>8</v>
      </c>
      <c r="E1119" s="81" t="s">
        <v>1332</v>
      </c>
      <c r="F1119" s="82" t="str">
        <f aca="false">IF(E1119="","",IF(LEFT(E1119,2)="DJ","DJ","JN"))</f>
        <v>JN</v>
      </c>
      <c r="G1119" s="81"/>
      <c r="H1119" s="81"/>
      <c r="I1119" s="81"/>
      <c r="J1119" s="81"/>
      <c r="K1119" s="81"/>
      <c r="L1119" s="81" t="n">
        <v>2085460</v>
      </c>
      <c r="M1119" s="81" t="n">
        <v>15421107</v>
      </c>
      <c r="N1119" s="81" t="n">
        <v>11.94</v>
      </c>
      <c r="O1119" s="81" t="s">
        <v>1268</v>
      </c>
      <c r="P1119" s="81"/>
      <c r="Q1119" s="81"/>
      <c r="R1119" s="81"/>
      <c r="S1119" s="81"/>
      <c r="T1119" s="81"/>
      <c r="U1119" s="83"/>
      <c r="V1119" s="83"/>
      <c r="W1119" s="81"/>
      <c r="X1119" s="81"/>
      <c r="Y1119" s="83"/>
      <c r="Z1119" s="81"/>
      <c r="AA1119" s="81"/>
      <c r="AB1119" s="81"/>
      <c r="AC1119" s="81"/>
      <c r="AD1119" s="81"/>
      <c r="AE1119" s="83"/>
      <c r="AF1119" s="81"/>
      <c r="AG1119" s="81"/>
      <c r="AH1119" s="81"/>
      <c r="AI1119" s="81"/>
      <c r="AJ1119" s="83"/>
      <c r="AK1119" s="81"/>
      <c r="AL1119" s="81"/>
      <c r="AM1119" s="83"/>
      <c r="AN1119" s="80"/>
      <c r="AO1119" s="82" t="n">
        <f aca="false">IF(E1119="","",(AA1119&lt;&gt;"")+(AG1119&lt;&gt;"")+(AL1119&lt;&gt;""))</f>
        <v>0</v>
      </c>
      <c r="AP1119" s="82" t="str">
        <f aca="false">IF(AL1119&lt;&gt;"",AL1119,IF(AG1119&lt;&gt;"",AG1119,IF(AA1119&lt;&gt;"",AA1119,"")))</f>
        <v/>
      </c>
      <c r="AQ1119" s="84" t="str">
        <f aca="false">IF(E1119="","",IF(U1119="","À SOUDER",IF(X1119="","VT EN ATTENTE",IF(X1119="R","VT REJETÉ – À REPRENDRE",IF(AP1119="","À RADIOGRAPHIER",IF(AP1119="A","ACCEPTÉ",IF(AP1119="NX","NX – RT À REFAIRE",IF(IF(AO1119=1,AD1119,IF(AO1119=2,AI1119,""))="A","RÉPARÉ – À RADIOGRAPHIER",IF(IF(AO1119=1,AD1119,IF(AO1119=2,AI1119,""))="R","VT REJETÉ – À REPRENDRE",IF(OR(AP1119="CO",AP1119="NT"),"COUPE – À RESOUDER","À RÉPARER"))))))))))</f>
        <v>À SOUDER</v>
      </c>
      <c r="AR1119" s="82" t="str">
        <f aca="false">IF(AND(ISNUMBER(U1119),OR(AQ1119="À RADIOGRAPHIER",AQ1119="RÉPARÉ – À RADIOGRAPHIER",AQ1119="NX – RT À REFAIRE",AQ1119="À RÉPARER",AQ1119="COUPE – À RESOUDER",AQ1119="VT REJETÉ – À REPRENDRE")),MAX(0,'PROGRAMME RT'!$C$4-U1119),"")</f>
        <v/>
      </c>
      <c r="AS1119" s="82" t="n">
        <f aca="false">IF(AND(OR(AQ1119="À RADIOGRAPHIER",AQ1119="RÉPARÉ – À RADIOGRAPHIER",AQ1119="NX – RT À REFAIRE"),OR('PROGRAMME RT'!$D$5="TOUTES",B1119='PROGRAMME RT'!$D$5)),1,0)</f>
        <v>0</v>
      </c>
      <c r="AT1119" s="82" t="str">
        <f aca="false">IF(AS1119=1,SUM(AS$7:AS1119),"")</f>
        <v/>
      </c>
      <c r="AU1119" s="82" t="n">
        <f aca="false">IF(AND(OR(AA1119="R",AA1119="NX",AA1119="NT",AA1119="CO"),OR('JOINTS DE RÉPARATION'!$D$5="TOUTES",B1119='JOINTS DE RÉPARATION'!$D$5),OR('JOINTS DE RÉPARATION'!$L$4="TOUS",AQ1119&lt;&gt;"ACCEPTÉ")),1,0)</f>
        <v>0</v>
      </c>
      <c r="AV1119" s="82" t="str">
        <f aca="false">IF(AU1119=1,SUM(AU$7:AU1119),"")</f>
        <v/>
      </c>
      <c r="AW1119" s="82" t="str">
        <f aca="false">IF(E1119="","",B1119&amp;"|"&amp;E1119)</f>
        <v>MFD-ISW → MFD-CPF|JN°979</v>
      </c>
    </row>
    <row r="1120" customFormat="false" ht="74.6" hidden="false" customHeight="false" outlineLevel="0" collapsed="false">
      <c r="A1120" s="79" t="n">
        <f aca="false">IF(E1120="","",ROW()-6)</f>
        <v>1114</v>
      </c>
      <c r="B1120" s="80" t="s">
        <v>110</v>
      </c>
      <c r="C1120" s="81" t="s">
        <v>926</v>
      </c>
      <c r="D1120" s="81" t="n">
        <v>8</v>
      </c>
      <c r="E1120" s="81" t="s">
        <v>1333</v>
      </c>
      <c r="F1120" s="82" t="str">
        <f aca="false">IF(E1120="","",IF(LEFT(E1120,2)="DJ","DJ","JN"))</f>
        <v>JN</v>
      </c>
      <c r="G1120" s="81"/>
      <c r="H1120" s="81"/>
      <c r="I1120" s="81"/>
      <c r="J1120" s="81"/>
      <c r="K1120" s="81"/>
      <c r="L1120" s="81" t="s">
        <v>1268</v>
      </c>
      <c r="M1120" s="81"/>
      <c r="N1120" s="81"/>
      <c r="O1120" s="81" t="s">
        <v>1268</v>
      </c>
      <c r="P1120" s="81"/>
      <c r="Q1120" s="81"/>
      <c r="R1120" s="81"/>
      <c r="S1120" s="81"/>
      <c r="T1120" s="81"/>
      <c r="U1120" s="83"/>
      <c r="V1120" s="83"/>
      <c r="W1120" s="81"/>
      <c r="X1120" s="81"/>
      <c r="Y1120" s="83"/>
      <c r="Z1120" s="81"/>
      <c r="AA1120" s="81"/>
      <c r="AB1120" s="81"/>
      <c r="AC1120" s="81"/>
      <c r="AD1120" s="81"/>
      <c r="AE1120" s="83"/>
      <c r="AF1120" s="81"/>
      <c r="AG1120" s="81"/>
      <c r="AH1120" s="81"/>
      <c r="AI1120" s="81"/>
      <c r="AJ1120" s="83"/>
      <c r="AK1120" s="81"/>
      <c r="AL1120" s="81"/>
      <c r="AM1120" s="83"/>
      <c r="AN1120" s="80"/>
      <c r="AO1120" s="82" t="n">
        <f aca="false">IF(E1120="","",(AA1120&lt;&gt;"")+(AG1120&lt;&gt;"")+(AL1120&lt;&gt;""))</f>
        <v>0</v>
      </c>
      <c r="AP1120" s="82" t="str">
        <f aca="false">IF(AL1120&lt;&gt;"",AL1120,IF(AG1120&lt;&gt;"",AG1120,IF(AA1120&lt;&gt;"",AA1120,"")))</f>
        <v/>
      </c>
      <c r="AQ1120" s="84" t="str">
        <f aca="false">IF(E1120="","",IF(U1120="","À SOUDER",IF(X1120="","VT EN ATTENTE",IF(X1120="R","VT REJETÉ – À REPRENDRE",IF(AP1120="","À RADIOGRAPHIER",IF(AP1120="A","ACCEPTÉ",IF(AP1120="NX","NX – RT À REFAIRE",IF(IF(AO1120=1,AD1120,IF(AO1120=2,AI1120,""))="A","RÉPARÉ – À RADIOGRAPHIER",IF(IF(AO1120=1,AD1120,IF(AO1120=2,AI1120,""))="R","VT REJETÉ – À REPRENDRE",IF(OR(AP1120="CO",AP1120="NT"),"COUPE – À RESOUDER","À RÉPARER"))))))))))</f>
        <v>À SOUDER</v>
      </c>
      <c r="AR1120" s="82" t="str">
        <f aca="false">IF(AND(ISNUMBER(U1120),OR(AQ1120="À RADIOGRAPHIER",AQ1120="RÉPARÉ – À RADIOGRAPHIER",AQ1120="NX – RT À REFAIRE",AQ1120="À RÉPARER",AQ1120="COUPE – À RESOUDER",AQ1120="VT REJETÉ – À REPRENDRE")),MAX(0,'PROGRAMME RT'!$C$4-U1120),"")</f>
        <v/>
      </c>
      <c r="AS1120" s="82" t="n">
        <f aca="false">IF(AND(OR(AQ1120="À RADIOGRAPHIER",AQ1120="RÉPARÉ – À RADIOGRAPHIER",AQ1120="NX – RT À REFAIRE"),OR('PROGRAMME RT'!$D$5="TOUTES",B1120='PROGRAMME RT'!$D$5)),1,0)</f>
        <v>0</v>
      </c>
      <c r="AT1120" s="82" t="str">
        <f aca="false">IF(AS1120=1,SUM(AS$7:AS1120),"")</f>
        <v/>
      </c>
      <c r="AU1120" s="82" t="n">
        <f aca="false">IF(AND(OR(AA1120="R",AA1120="NX",AA1120="NT",AA1120="CO"),OR('JOINTS DE RÉPARATION'!$D$5="TOUTES",B1120='JOINTS DE RÉPARATION'!$D$5),OR('JOINTS DE RÉPARATION'!$L$4="TOUS",AQ1120&lt;&gt;"ACCEPTÉ")),1,0)</f>
        <v>0</v>
      </c>
      <c r="AV1120" s="82" t="str">
        <f aca="false">IF(AU1120=1,SUM(AU$7:AU1120),"")</f>
        <v/>
      </c>
      <c r="AW1120" s="82" t="str">
        <f aca="false">IF(E1120="","",B1120&amp;"|"&amp;E1120)</f>
        <v>MFD-ISW → MFD-CPF|JN°980</v>
      </c>
    </row>
    <row r="1121" customFormat="false" ht="74.6" hidden="false" customHeight="false" outlineLevel="0" collapsed="false">
      <c r="A1121" s="79" t="n">
        <f aca="false">IF(E1121="","",ROW()-6)</f>
        <v>1115</v>
      </c>
      <c r="B1121" s="80" t="s">
        <v>110</v>
      </c>
      <c r="C1121" s="81" t="s">
        <v>926</v>
      </c>
      <c r="D1121" s="81" t="n">
        <v>8</v>
      </c>
      <c r="E1121" s="81" t="s">
        <v>1334</v>
      </c>
      <c r="F1121" s="82" t="str">
        <f aca="false">IF(E1121="","",IF(LEFT(E1121,2)="DJ","DJ","JN"))</f>
        <v>JN</v>
      </c>
      <c r="G1121" s="81"/>
      <c r="H1121" s="81"/>
      <c r="I1121" s="81"/>
      <c r="J1121" s="81"/>
      <c r="K1121" s="81"/>
      <c r="L1121" s="81" t="s">
        <v>1268</v>
      </c>
      <c r="M1121" s="81"/>
      <c r="N1121" s="81"/>
      <c r="O1121" s="81" t="s">
        <v>1268</v>
      </c>
      <c r="P1121" s="81"/>
      <c r="Q1121" s="81"/>
      <c r="R1121" s="81"/>
      <c r="S1121" s="81"/>
      <c r="T1121" s="81"/>
      <c r="U1121" s="83"/>
      <c r="V1121" s="83"/>
      <c r="W1121" s="81"/>
      <c r="X1121" s="81"/>
      <c r="Y1121" s="83"/>
      <c r="Z1121" s="81"/>
      <c r="AA1121" s="81"/>
      <c r="AB1121" s="81"/>
      <c r="AC1121" s="81"/>
      <c r="AD1121" s="81"/>
      <c r="AE1121" s="83"/>
      <c r="AF1121" s="81"/>
      <c r="AG1121" s="81"/>
      <c r="AH1121" s="81"/>
      <c r="AI1121" s="81"/>
      <c r="AJ1121" s="83"/>
      <c r="AK1121" s="81"/>
      <c r="AL1121" s="81"/>
      <c r="AM1121" s="83"/>
      <c r="AN1121" s="80"/>
      <c r="AO1121" s="82" t="n">
        <f aca="false">IF(E1121="","",(AA1121&lt;&gt;"")+(AG1121&lt;&gt;"")+(AL1121&lt;&gt;""))</f>
        <v>0</v>
      </c>
      <c r="AP1121" s="82" t="str">
        <f aca="false">IF(AL1121&lt;&gt;"",AL1121,IF(AG1121&lt;&gt;"",AG1121,IF(AA1121&lt;&gt;"",AA1121,"")))</f>
        <v/>
      </c>
      <c r="AQ1121" s="84" t="str">
        <f aca="false">IF(E1121="","",IF(U1121="","À SOUDER",IF(X1121="","VT EN ATTENTE",IF(X1121="R","VT REJETÉ – À REPRENDRE",IF(AP1121="","À RADIOGRAPHIER",IF(AP1121="A","ACCEPTÉ",IF(AP1121="NX","NX – RT À REFAIRE",IF(IF(AO1121=1,AD1121,IF(AO1121=2,AI1121,""))="A","RÉPARÉ – À RADIOGRAPHIER",IF(IF(AO1121=1,AD1121,IF(AO1121=2,AI1121,""))="R","VT REJETÉ – À REPRENDRE",IF(OR(AP1121="CO",AP1121="NT"),"COUPE – À RESOUDER","À RÉPARER"))))))))))</f>
        <v>À SOUDER</v>
      </c>
      <c r="AR1121" s="82" t="str">
        <f aca="false">IF(AND(ISNUMBER(U1121),OR(AQ1121="À RADIOGRAPHIER",AQ1121="RÉPARÉ – À RADIOGRAPHIER",AQ1121="NX – RT À REFAIRE",AQ1121="À RÉPARER",AQ1121="COUPE – À RESOUDER",AQ1121="VT REJETÉ – À REPRENDRE")),MAX(0,'PROGRAMME RT'!$C$4-U1121),"")</f>
        <v/>
      </c>
      <c r="AS1121" s="82" t="n">
        <f aca="false">IF(AND(OR(AQ1121="À RADIOGRAPHIER",AQ1121="RÉPARÉ – À RADIOGRAPHIER",AQ1121="NX – RT À REFAIRE"),OR('PROGRAMME RT'!$D$5="TOUTES",B1121='PROGRAMME RT'!$D$5)),1,0)</f>
        <v>0</v>
      </c>
      <c r="AT1121" s="82" t="str">
        <f aca="false">IF(AS1121=1,SUM(AS$7:AS1121),"")</f>
        <v/>
      </c>
      <c r="AU1121" s="82" t="n">
        <f aca="false">IF(AND(OR(AA1121="R",AA1121="NX",AA1121="NT",AA1121="CO"),OR('JOINTS DE RÉPARATION'!$D$5="TOUTES",B1121='JOINTS DE RÉPARATION'!$D$5),OR('JOINTS DE RÉPARATION'!$L$4="TOUS",AQ1121&lt;&gt;"ACCEPTÉ")),1,0)</f>
        <v>0</v>
      </c>
      <c r="AV1121" s="82" t="str">
        <f aca="false">IF(AU1121=1,SUM(AU$7:AU1121),"")</f>
        <v/>
      </c>
      <c r="AW1121" s="82" t="str">
        <f aca="false">IF(E1121="","",B1121&amp;"|"&amp;E1121)</f>
        <v>MFD-ISW → MFD-CPF|JN°981</v>
      </c>
    </row>
    <row r="1122" customFormat="false" ht="74.6" hidden="false" customHeight="false" outlineLevel="0" collapsed="false">
      <c r="A1122" s="79" t="n">
        <f aca="false">IF(E1122="","",ROW()-6)</f>
        <v>1116</v>
      </c>
      <c r="B1122" s="80" t="s">
        <v>110</v>
      </c>
      <c r="C1122" s="81" t="s">
        <v>926</v>
      </c>
      <c r="D1122" s="81" t="n">
        <v>8</v>
      </c>
      <c r="E1122" s="81" t="s">
        <v>1335</v>
      </c>
      <c r="F1122" s="82" t="str">
        <f aca="false">IF(E1122="","",IF(LEFT(E1122,2)="DJ","DJ","JN"))</f>
        <v>JN</v>
      </c>
      <c r="G1122" s="81"/>
      <c r="H1122" s="81"/>
      <c r="I1122" s="81"/>
      <c r="J1122" s="81"/>
      <c r="K1122" s="81"/>
      <c r="L1122" s="81" t="s">
        <v>1268</v>
      </c>
      <c r="M1122" s="81"/>
      <c r="N1122" s="81"/>
      <c r="O1122" s="81" t="n">
        <v>2078670</v>
      </c>
      <c r="P1122" s="81" t="n">
        <v>15421101</v>
      </c>
      <c r="Q1122" s="81" t="n">
        <v>11.94</v>
      </c>
      <c r="R1122" s="81"/>
      <c r="S1122" s="81"/>
      <c r="T1122" s="81"/>
      <c r="U1122" s="83"/>
      <c r="V1122" s="83"/>
      <c r="W1122" s="81"/>
      <c r="X1122" s="81"/>
      <c r="Y1122" s="83"/>
      <c r="Z1122" s="81"/>
      <c r="AA1122" s="81"/>
      <c r="AB1122" s="81"/>
      <c r="AC1122" s="81"/>
      <c r="AD1122" s="81"/>
      <c r="AE1122" s="83"/>
      <c r="AF1122" s="81"/>
      <c r="AG1122" s="81"/>
      <c r="AH1122" s="81"/>
      <c r="AI1122" s="81"/>
      <c r="AJ1122" s="83"/>
      <c r="AK1122" s="81"/>
      <c r="AL1122" s="81"/>
      <c r="AM1122" s="83"/>
      <c r="AN1122" s="80"/>
      <c r="AO1122" s="82" t="n">
        <f aca="false">IF(E1122="","",(AA1122&lt;&gt;"")+(AG1122&lt;&gt;"")+(AL1122&lt;&gt;""))</f>
        <v>0</v>
      </c>
      <c r="AP1122" s="82" t="str">
        <f aca="false">IF(AL1122&lt;&gt;"",AL1122,IF(AG1122&lt;&gt;"",AG1122,IF(AA1122&lt;&gt;"",AA1122,"")))</f>
        <v/>
      </c>
      <c r="AQ1122" s="84" t="str">
        <f aca="false">IF(E1122="","",IF(U1122="","À SOUDER",IF(X1122="","VT EN ATTENTE",IF(X1122="R","VT REJETÉ – À REPRENDRE",IF(AP1122="","À RADIOGRAPHIER",IF(AP1122="A","ACCEPTÉ",IF(AP1122="NX","NX – RT À REFAIRE",IF(IF(AO1122=1,AD1122,IF(AO1122=2,AI1122,""))="A","RÉPARÉ – À RADIOGRAPHIER",IF(IF(AO1122=1,AD1122,IF(AO1122=2,AI1122,""))="R","VT REJETÉ – À REPRENDRE",IF(OR(AP1122="CO",AP1122="NT"),"COUPE – À RESOUDER","À RÉPARER"))))))))))</f>
        <v>À SOUDER</v>
      </c>
      <c r="AR1122" s="82" t="str">
        <f aca="false">IF(AND(ISNUMBER(U1122),OR(AQ1122="À RADIOGRAPHIER",AQ1122="RÉPARÉ – À RADIOGRAPHIER",AQ1122="NX – RT À REFAIRE",AQ1122="À RÉPARER",AQ1122="COUPE – À RESOUDER",AQ1122="VT REJETÉ – À REPRENDRE")),MAX(0,'PROGRAMME RT'!$C$4-U1122),"")</f>
        <v/>
      </c>
      <c r="AS1122" s="82" t="n">
        <f aca="false">IF(AND(OR(AQ1122="À RADIOGRAPHIER",AQ1122="RÉPARÉ – À RADIOGRAPHIER",AQ1122="NX – RT À REFAIRE"),OR('PROGRAMME RT'!$D$5="TOUTES",B1122='PROGRAMME RT'!$D$5)),1,0)</f>
        <v>0</v>
      </c>
      <c r="AT1122" s="82" t="str">
        <f aca="false">IF(AS1122=1,SUM(AS$7:AS1122),"")</f>
        <v/>
      </c>
      <c r="AU1122" s="82" t="n">
        <f aca="false">IF(AND(OR(AA1122="R",AA1122="NX",AA1122="NT",AA1122="CO"),OR('JOINTS DE RÉPARATION'!$D$5="TOUTES",B1122='JOINTS DE RÉPARATION'!$D$5),OR('JOINTS DE RÉPARATION'!$L$4="TOUS",AQ1122&lt;&gt;"ACCEPTÉ")),1,0)</f>
        <v>0</v>
      </c>
      <c r="AV1122" s="82" t="str">
        <f aca="false">IF(AU1122=1,SUM(AU$7:AU1122),"")</f>
        <v/>
      </c>
      <c r="AW1122" s="82" t="str">
        <f aca="false">IF(E1122="","",B1122&amp;"|"&amp;E1122)</f>
        <v>MFD-ISW → MFD-CPF|JN°982</v>
      </c>
    </row>
    <row r="1123" customFormat="false" ht="74.6" hidden="false" customHeight="false" outlineLevel="0" collapsed="false">
      <c r="A1123" s="79" t="n">
        <f aca="false">IF(E1123="","",ROW()-6)</f>
        <v>1117</v>
      </c>
      <c r="B1123" s="80" t="s">
        <v>110</v>
      </c>
      <c r="C1123" s="81" t="s">
        <v>1336</v>
      </c>
      <c r="D1123" s="81" t="n">
        <v>8</v>
      </c>
      <c r="E1123" s="81" t="s">
        <v>1337</v>
      </c>
      <c r="F1123" s="82" t="str">
        <f aca="false">IF(E1123="","",IF(LEFT(E1123,2)="DJ","DJ","JN"))</f>
        <v>DJ</v>
      </c>
      <c r="G1123" s="81"/>
      <c r="H1123" s="81" t="s">
        <v>871</v>
      </c>
      <c r="I1123" s="81" t="n">
        <v>9.53</v>
      </c>
      <c r="J1123" s="81" t="s">
        <v>872</v>
      </c>
      <c r="K1123" s="81" t="s">
        <v>873</v>
      </c>
      <c r="L1123" s="81" t="n">
        <v>2078670</v>
      </c>
      <c r="M1123" s="81" t="n">
        <v>15421101</v>
      </c>
      <c r="N1123" s="81" t="n">
        <v>11.94</v>
      </c>
      <c r="O1123" s="81" t="n">
        <v>2093560</v>
      </c>
      <c r="P1123" s="81" t="n">
        <v>15421110</v>
      </c>
      <c r="Q1123" s="81" t="n">
        <v>11.94</v>
      </c>
      <c r="R1123" s="81" t="s">
        <v>963</v>
      </c>
      <c r="S1123" s="81"/>
      <c r="T1123" s="81"/>
      <c r="U1123" s="83" t="n">
        <v>46279</v>
      </c>
      <c r="V1123" s="83" t="n">
        <v>46279</v>
      </c>
      <c r="W1123" s="81" t="s">
        <v>1227</v>
      </c>
      <c r="X1123" s="81" t="s">
        <v>876</v>
      </c>
      <c r="Y1123" s="83" t="n">
        <v>46280</v>
      </c>
      <c r="Z1123" s="81" t="s">
        <v>1149</v>
      </c>
      <c r="AA1123" s="81" t="s">
        <v>876</v>
      </c>
      <c r="AB1123" s="81"/>
      <c r="AC1123" s="81"/>
      <c r="AD1123" s="81"/>
      <c r="AE1123" s="83"/>
      <c r="AF1123" s="81"/>
      <c r="AG1123" s="81"/>
      <c r="AH1123" s="81"/>
      <c r="AI1123" s="81"/>
      <c r="AJ1123" s="83"/>
      <c r="AK1123" s="81"/>
      <c r="AL1123" s="81"/>
      <c r="AM1123" s="83"/>
      <c r="AN1123" s="80"/>
      <c r="AO1123" s="82" t="n">
        <f aca="false">IF(E1123="","",(AA1123&lt;&gt;"")+(AG1123&lt;&gt;"")+(AL1123&lt;&gt;""))</f>
        <v>1</v>
      </c>
      <c r="AP1123" s="82" t="str">
        <f aca="false">IF(AL1123&lt;&gt;"",AL1123,IF(AG1123&lt;&gt;"",AG1123,IF(AA1123&lt;&gt;"",AA1123,"")))</f>
        <v>A</v>
      </c>
      <c r="AQ1123" s="84" t="str">
        <f aca="false">IF(E1123="","",IF(U1123="","À SOUDER",IF(X1123="","VT EN ATTENTE",IF(X1123="R","VT REJETÉ – À REPRENDRE",IF(AP1123="","À RADIOGRAPHIER",IF(AP1123="A","ACCEPTÉ",IF(AP1123="NX","NX – RT À REFAIRE",IF(IF(AO1123=1,AD1123,IF(AO1123=2,AI1123,""))="A","RÉPARÉ – À RADIOGRAPHIER",IF(IF(AO1123=1,AD1123,IF(AO1123=2,AI1123,""))="R","VT REJETÉ – À REPRENDRE",IF(OR(AP1123="CO",AP1123="NT"),"COUPE – À RESOUDER","À RÉPARER"))))))))))</f>
        <v>ACCEPTÉ</v>
      </c>
      <c r="AR1123" s="82" t="str">
        <f aca="false">IF(AND(ISNUMBER(U1123),OR(AQ1123="À RADIOGRAPHIER",AQ1123="RÉPARÉ – À RADIOGRAPHIER",AQ1123="NX – RT À REFAIRE",AQ1123="À RÉPARER",AQ1123="COUPE – À RESOUDER",AQ1123="VT REJETÉ – À REPRENDRE")),MAX(0,'PROGRAMME RT'!$C$4-U1123),"")</f>
        <v/>
      </c>
      <c r="AS1123" s="82" t="n">
        <f aca="false">IF(AND(OR(AQ1123="À RADIOGRAPHIER",AQ1123="RÉPARÉ – À RADIOGRAPHIER",AQ1123="NX – RT À REFAIRE"),OR('PROGRAMME RT'!$D$5="TOUTES",B1123='PROGRAMME RT'!$D$5)),1,0)</f>
        <v>0</v>
      </c>
      <c r="AT1123" s="82" t="str">
        <f aca="false">IF(AS1123=1,SUM(AS$7:AS1123),"")</f>
        <v/>
      </c>
      <c r="AU1123" s="82" t="n">
        <f aca="false">IF(AND(OR(AA1123="R",AA1123="NX",AA1123="NT",AA1123="CO"),OR('JOINTS DE RÉPARATION'!$D$5="TOUTES",B1123='JOINTS DE RÉPARATION'!$D$5),OR('JOINTS DE RÉPARATION'!$L$4="TOUS",AQ1123&lt;&gt;"ACCEPTÉ")),1,0)</f>
        <v>0</v>
      </c>
      <c r="AV1123" s="82" t="str">
        <f aca="false">IF(AU1123=1,SUM(AU$7:AU1123),"")</f>
        <v/>
      </c>
      <c r="AW1123" s="82" t="str">
        <f aca="false">IF(E1123="","",B1123&amp;"|"&amp;E1123)</f>
        <v>MFD-ISW → MFD-CPF|DJ°378</v>
      </c>
    </row>
    <row r="1124" customFormat="false" ht="74.6" hidden="false" customHeight="false" outlineLevel="0" collapsed="false">
      <c r="A1124" s="79" t="n">
        <f aca="false">IF(E1124="","",ROW()-6)</f>
        <v>1118</v>
      </c>
      <c r="B1124" s="80" t="s">
        <v>110</v>
      </c>
      <c r="C1124" s="81" t="s">
        <v>1336</v>
      </c>
      <c r="D1124" s="81" t="n">
        <v>8</v>
      </c>
      <c r="E1124" s="81" t="s">
        <v>1338</v>
      </c>
      <c r="F1124" s="82" t="str">
        <f aca="false">IF(E1124="","",IF(LEFT(E1124,2)="DJ","DJ","JN"))</f>
        <v>JN</v>
      </c>
      <c r="G1124" s="81"/>
      <c r="H1124" s="81" t="s">
        <v>871</v>
      </c>
      <c r="I1124" s="81" t="n">
        <v>9.53</v>
      </c>
      <c r="J1124" s="81" t="s">
        <v>872</v>
      </c>
      <c r="K1124" s="81" t="s">
        <v>879</v>
      </c>
      <c r="L1124" s="81" t="n">
        <v>2093560</v>
      </c>
      <c r="M1124" s="81" t="n">
        <v>15421110</v>
      </c>
      <c r="N1124" s="81" t="n">
        <v>11.94</v>
      </c>
      <c r="O1124" s="81" t="n">
        <v>2088310</v>
      </c>
      <c r="P1124" s="81" t="n">
        <v>15421108</v>
      </c>
      <c r="Q1124" s="81" t="n">
        <v>11.94</v>
      </c>
      <c r="R1124" s="81" t="s">
        <v>1299</v>
      </c>
      <c r="S1124" s="81"/>
      <c r="T1124" s="81"/>
      <c r="U1124" s="83" t="n">
        <v>46280</v>
      </c>
      <c r="V1124" s="83" t="n">
        <v>46280</v>
      </c>
      <c r="W1124" s="81" t="s">
        <v>1339</v>
      </c>
      <c r="X1124" s="81" t="s">
        <v>876</v>
      </c>
      <c r="Y1124" s="83" t="n">
        <v>46286</v>
      </c>
      <c r="Z1124" s="81" t="s">
        <v>1309</v>
      </c>
      <c r="AA1124" s="81" t="s">
        <v>1073</v>
      </c>
      <c r="AB1124" s="81" t="s">
        <v>1340</v>
      </c>
      <c r="AC1124" s="81"/>
      <c r="AD1124" s="81"/>
      <c r="AE1124" s="83"/>
      <c r="AF1124" s="81"/>
      <c r="AG1124" s="81"/>
      <c r="AH1124" s="81"/>
      <c r="AI1124" s="81"/>
      <c r="AJ1124" s="83"/>
      <c r="AK1124" s="81"/>
      <c r="AL1124" s="81"/>
      <c r="AM1124" s="83"/>
      <c r="AN1124" s="80"/>
      <c r="AO1124" s="82" t="n">
        <f aca="false">IF(E1124="","",(AA1124&lt;&gt;"")+(AG1124&lt;&gt;"")+(AL1124&lt;&gt;""))</f>
        <v>1</v>
      </c>
      <c r="AP1124" s="82" t="str">
        <f aca="false">IF(AL1124&lt;&gt;"",AL1124,IF(AG1124&lt;&gt;"",AG1124,IF(AA1124&lt;&gt;"",AA1124,"")))</f>
        <v>R</v>
      </c>
      <c r="AQ1124" s="84" t="str">
        <f aca="false">IF(E1124="","",IF(U1124="","À SOUDER",IF(X1124="","VT EN ATTENTE",IF(X1124="R","VT REJETÉ – À REPRENDRE",IF(AP1124="","À RADIOGRAPHIER",IF(AP1124="A","ACCEPTÉ",IF(AP1124="NX","NX – RT À REFAIRE",IF(IF(AO1124=1,AD1124,IF(AO1124=2,AI1124,""))="A","RÉPARÉ – À RADIOGRAPHIER",IF(IF(AO1124=1,AD1124,IF(AO1124=2,AI1124,""))="R","VT REJETÉ – À REPRENDRE",IF(OR(AP1124="CO",AP1124="NT"),"COUPE – À RESOUDER","À RÉPARER"))))))))))</f>
        <v>À RÉPARER</v>
      </c>
      <c r="AR1124" s="82" t="n">
        <f aca="false">IF(AND(ISNUMBER(U1124),OR(AQ1124="À RADIOGRAPHIER",AQ1124="RÉPARÉ – À RADIOGRAPHIER",AQ1124="NX – RT À REFAIRE",AQ1124="À RÉPARER",AQ1124="COUPE – À RESOUDER",AQ1124="VT REJETÉ – À REPRENDRE")),MAX(0,'PROGRAMME RT'!$C$4-U1124),"")</f>
        <v>13</v>
      </c>
      <c r="AS1124" s="82" t="n">
        <f aca="false">IF(AND(OR(AQ1124="À RADIOGRAPHIER",AQ1124="RÉPARÉ – À RADIOGRAPHIER",AQ1124="NX – RT À REFAIRE"),OR('PROGRAMME RT'!$D$5="TOUTES",B1124='PROGRAMME RT'!$D$5)),1,0)</f>
        <v>0</v>
      </c>
      <c r="AT1124" s="82" t="str">
        <f aca="false">IF(AS1124=1,SUM(AS$7:AS1124),"")</f>
        <v/>
      </c>
      <c r="AU1124" s="82" t="n">
        <f aca="false">IF(AND(OR(AA1124="R",AA1124="NX",AA1124="NT",AA1124="CO"),OR('JOINTS DE RÉPARATION'!$D$5="TOUTES",B1124='JOINTS DE RÉPARATION'!$D$5),OR('JOINTS DE RÉPARATION'!$L$4="TOUS",AQ1124&lt;&gt;"ACCEPTÉ")),1,0)</f>
        <v>1</v>
      </c>
      <c r="AV1124" s="82" t="n">
        <f aca="false">IF(AU1124=1,SUM(AU$7:AU1124),"")</f>
        <v>20</v>
      </c>
      <c r="AW1124" s="82" t="str">
        <f aca="false">IF(E1124="","",B1124&amp;"|"&amp;E1124)</f>
        <v>MFD-ISW → MFD-CPF|JN°983</v>
      </c>
    </row>
    <row r="1125" customFormat="false" ht="74.6" hidden="false" customHeight="false" outlineLevel="0" collapsed="false">
      <c r="A1125" s="79" t="n">
        <f aca="false">IF(E1125="","",ROW()-6)</f>
        <v>1119</v>
      </c>
      <c r="B1125" s="80" t="s">
        <v>110</v>
      </c>
      <c r="C1125" s="81" t="s">
        <v>1336</v>
      </c>
      <c r="D1125" s="81" t="n">
        <v>8</v>
      </c>
      <c r="E1125" s="81" t="s">
        <v>1341</v>
      </c>
      <c r="F1125" s="82" t="str">
        <f aca="false">IF(E1125="","",IF(LEFT(E1125,2)="DJ","DJ","JN"))</f>
        <v>DJ</v>
      </c>
      <c r="G1125" s="81"/>
      <c r="H1125" s="81" t="s">
        <v>871</v>
      </c>
      <c r="I1125" s="81" t="n">
        <v>9.53</v>
      </c>
      <c r="J1125" s="81" t="s">
        <v>872</v>
      </c>
      <c r="K1125" s="81" t="s">
        <v>873</v>
      </c>
      <c r="L1125" s="81" t="n">
        <v>2088310</v>
      </c>
      <c r="M1125" s="81" t="n">
        <v>15421108</v>
      </c>
      <c r="N1125" s="81" t="n">
        <v>11.94</v>
      </c>
      <c r="O1125" s="81" t="n">
        <v>2086170</v>
      </c>
      <c r="P1125" s="81" t="n">
        <v>15421107</v>
      </c>
      <c r="Q1125" s="81" t="n">
        <v>11.94</v>
      </c>
      <c r="R1125" s="81" t="s">
        <v>1135</v>
      </c>
      <c r="S1125" s="81"/>
      <c r="T1125" s="81"/>
      <c r="U1125" s="83" t="n">
        <v>46279</v>
      </c>
      <c r="V1125" s="83" t="n">
        <v>46279</v>
      </c>
      <c r="W1125" s="81" t="s">
        <v>1227</v>
      </c>
      <c r="X1125" s="81" t="s">
        <v>876</v>
      </c>
      <c r="Y1125" s="83" t="n">
        <v>46280</v>
      </c>
      <c r="Z1125" s="81" t="s">
        <v>1149</v>
      </c>
      <c r="AA1125" s="81" t="s">
        <v>876</v>
      </c>
      <c r="AB1125" s="81"/>
      <c r="AC1125" s="81"/>
      <c r="AD1125" s="81"/>
      <c r="AE1125" s="83"/>
      <c r="AF1125" s="81"/>
      <c r="AG1125" s="81"/>
      <c r="AH1125" s="81"/>
      <c r="AI1125" s="81"/>
      <c r="AJ1125" s="83"/>
      <c r="AK1125" s="81"/>
      <c r="AL1125" s="81"/>
      <c r="AM1125" s="83"/>
      <c r="AN1125" s="80"/>
      <c r="AO1125" s="82" t="n">
        <f aca="false">IF(E1125="","",(AA1125&lt;&gt;"")+(AG1125&lt;&gt;"")+(AL1125&lt;&gt;""))</f>
        <v>1</v>
      </c>
      <c r="AP1125" s="82" t="str">
        <f aca="false">IF(AL1125&lt;&gt;"",AL1125,IF(AG1125&lt;&gt;"",AG1125,IF(AA1125&lt;&gt;"",AA1125,"")))</f>
        <v>A</v>
      </c>
      <c r="AQ1125" s="84" t="str">
        <f aca="false">IF(E1125="","",IF(U1125="","À SOUDER",IF(X1125="","VT EN ATTENTE",IF(X1125="R","VT REJETÉ – À REPRENDRE",IF(AP1125="","À RADIOGRAPHIER",IF(AP1125="A","ACCEPTÉ",IF(AP1125="NX","NX – RT À REFAIRE",IF(IF(AO1125=1,AD1125,IF(AO1125=2,AI1125,""))="A","RÉPARÉ – À RADIOGRAPHIER",IF(IF(AO1125=1,AD1125,IF(AO1125=2,AI1125,""))="R","VT REJETÉ – À REPRENDRE",IF(OR(AP1125="CO",AP1125="NT"),"COUPE – À RESOUDER","À RÉPARER"))))))))))</f>
        <v>ACCEPTÉ</v>
      </c>
      <c r="AR1125" s="82" t="str">
        <f aca="false">IF(AND(ISNUMBER(U1125),OR(AQ1125="À RADIOGRAPHIER",AQ1125="RÉPARÉ – À RADIOGRAPHIER",AQ1125="NX – RT À REFAIRE",AQ1125="À RÉPARER",AQ1125="COUPE – À RESOUDER",AQ1125="VT REJETÉ – À REPRENDRE")),MAX(0,'PROGRAMME RT'!$C$4-U1125),"")</f>
        <v/>
      </c>
      <c r="AS1125" s="82" t="n">
        <f aca="false">IF(AND(OR(AQ1125="À RADIOGRAPHIER",AQ1125="RÉPARÉ – À RADIOGRAPHIER",AQ1125="NX – RT À REFAIRE"),OR('PROGRAMME RT'!$D$5="TOUTES",B1125='PROGRAMME RT'!$D$5)),1,0)</f>
        <v>0</v>
      </c>
      <c r="AT1125" s="82" t="str">
        <f aca="false">IF(AS1125=1,SUM(AS$7:AS1125),"")</f>
        <v/>
      </c>
      <c r="AU1125" s="82" t="n">
        <f aca="false">IF(AND(OR(AA1125="R",AA1125="NX",AA1125="NT",AA1125="CO"),OR('JOINTS DE RÉPARATION'!$D$5="TOUTES",B1125='JOINTS DE RÉPARATION'!$D$5),OR('JOINTS DE RÉPARATION'!$L$4="TOUS",AQ1125&lt;&gt;"ACCEPTÉ")),1,0)</f>
        <v>0</v>
      </c>
      <c r="AV1125" s="82" t="str">
        <f aca="false">IF(AU1125=1,SUM(AU$7:AU1125),"")</f>
        <v/>
      </c>
      <c r="AW1125" s="82" t="str">
        <f aca="false">IF(E1125="","",B1125&amp;"|"&amp;E1125)</f>
        <v>MFD-ISW → MFD-CPF|DJ°375</v>
      </c>
    </row>
    <row r="1126" customFormat="false" ht="74.6" hidden="false" customHeight="false" outlineLevel="0" collapsed="false">
      <c r="A1126" s="79" t="n">
        <f aca="false">IF(E1126="","",ROW()-6)</f>
        <v>1120</v>
      </c>
      <c r="B1126" s="80" t="s">
        <v>110</v>
      </c>
      <c r="C1126" s="81" t="s">
        <v>1336</v>
      </c>
      <c r="D1126" s="81" t="n">
        <v>8</v>
      </c>
      <c r="E1126" s="81" t="s">
        <v>1342</v>
      </c>
      <c r="F1126" s="82" t="str">
        <f aca="false">IF(E1126="","",IF(LEFT(E1126,2)="DJ","DJ","JN"))</f>
        <v>JN</v>
      </c>
      <c r="G1126" s="81"/>
      <c r="H1126" s="81" t="s">
        <v>871</v>
      </c>
      <c r="I1126" s="81" t="n">
        <v>9.53</v>
      </c>
      <c r="J1126" s="81" t="s">
        <v>872</v>
      </c>
      <c r="K1126" s="81" t="s">
        <v>879</v>
      </c>
      <c r="L1126" s="81" t="n">
        <v>2086170</v>
      </c>
      <c r="M1126" s="81" t="n">
        <v>15421107</v>
      </c>
      <c r="N1126" s="81" t="n">
        <v>11.94</v>
      </c>
      <c r="O1126" s="81" t="n">
        <v>2096520</v>
      </c>
      <c r="P1126" s="81" t="n">
        <v>15421111</v>
      </c>
      <c r="Q1126" s="81" t="n">
        <v>11.94</v>
      </c>
      <c r="R1126" s="81" t="s">
        <v>1299</v>
      </c>
      <c r="S1126" s="81"/>
      <c r="T1126" s="81"/>
      <c r="U1126" s="83" t="n">
        <v>46280</v>
      </c>
      <c r="V1126" s="83" t="n">
        <v>46280</v>
      </c>
      <c r="W1126" s="81" t="s">
        <v>1339</v>
      </c>
      <c r="X1126" s="81" t="s">
        <v>876</v>
      </c>
      <c r="Y1126" s="83" t="n">
        <v>46286</v>
      </c>
      <c r="Z1126" s="81" t="s">
        <v>1309</v>
      </c>
      <c r="AA1126" s="81" t="s">
        <v>1073</v>
      </c>
      <c r="AB1126" s="81" t="s">
        <v>1343</v>
      </c>
      <c r="AC1126" s="81"/>
      <c r="AD1126" s="81"/>
      <c r="AE1126" s="83"/>
      <c r="AF1126" s="81"/>
      <c r="AG1126" s="81"/>
      <c r="AH1126" s="81"/>
      <c r="AI1126" s="81"/>
      <c r="AJ1126" s="83"/>
      <c r="AK1126" s="81"/>
      <c r="AL1126" s="81"/>
      <c r="AM1126" s="83"/>
      <c r="AN1126" s="80"/>
      <c r="AO1126" s="82" t="n">
        <f aca="false">IF(E1126="","",(AA1126&lt;&gt;"")+(AG1126&lt;&gt;"")+(AL1126&lt;&gt;""))</f>
        <v>1</v>
      </c>
      <c r="AP1126" s="82" t="str">
        <f aca="false">IF(AL1126&lt;&gt;"",AL1126,IF(AG1126&lt;&gt;"",AG1126,IF(AA1126&lt;&gt;"",AA1126,"")))</f>
        <v>R</v>
      </c>
      <c r="AQ1126" s="84" t="str">
        <f aca="false">IF(E1126="","",IF(U1126="","À SOUDER",IF(X1126="","VT EN ATTENTE",IF(X1126="R","VT REJETÉ – À REPRENDRE",IF(AP1126="","À RADIOGRAPHIER",IF(AP1126="A","ACCEPTÉ",IF(AP1126="NX","NX – RT À REFAIRE",IF(IF(AO1126=1,AD1126,IF(AO1126=2,AI1126,""))="A","RÉPARÉ – À RADIOGRAPHIER",IF(IF(AO1126=1,AD1126,IF(AO1126=2,AI1126,""))="R","VT REJETÉ – À REPRENDRE",IF(OR(AP1126="CO",AP1126="NT"),"COUPE – À RESOUDER","À RÉPARER"))))))))))</f>
        <v>À RÉPARER</v>
      </c>
      <c r="AR1126" s="82" t="n">
        <f aca="false">IF(AND(ISNUMBER(U1126),OR(AQ1126="À RADIOGRAPHIER",AQ1126="RÉPARÉ – À RADIOGRAPHIER",AQ1126="NX – RT À REFAIRE",AQ1126="À RÉPARER",AQ1126="COUPE – À RESOUDER",AQ1126="VT REJETÉ – À REPRENDRE")),MAX(0,'PROGRAMME RT'!$C$4-U1126),"")</f>
        <v>13</v>
      </c>
      <c r="AS1126" s="82" t="n">
        <f aca="false">IF(AND(OR(AQ1126="À RADIOGRAPHIER",AQ1126="RÉPARÉ – À RADIOGRAPHIER",AQ1126="NX – RT À REFAIRE"),OR('PROGRAMME RT'!$D$5="TOUTES",B1126='PROGRAMME RT'!$D$5)),1,0)</f>
        <v>0</v>
      </c>
      <c r="AT1126" s="82" t="str">
        <f aca="false">IF(AS1126=1,SUM(AS$7:AS1126),"")</f>
        <v/>
      </c>
      <c r="AU1126" s="82" t="n">
        <f aca="false">IF(AND(OR(AA1126="R",AA1126="NX",AA1126="NT",AA1126="CO"),OR('JOINTS DE RÉPARATION'!$D$5="TOUTES",B1126='JOINTS DE RÉPARATION'!$D$5),OR('JOINTS DE RÉPARATION'!$L$4="TOUS",AQ1126&lt;&gt;"ACCEPTÉ")),1,0)</f>
        <v>1</v>
      </c>
      <c r="AV1126" s="82" t="n">
        <f aca="false">IF(AU1126=1,SUM(AU$7:AU1126),"")</f>
        <v>21</v>
      </c>
      <c r="AW1126" s="82" t="str">
        <f aca="false">IF(E1126="","",B1126&amp;"|"&amp;E1126)</f>
        <v>MFD-ISW → MFD-CPF|JN°984</v>
      </c>
    </row>
    <row r="1127" customFormat="false" ht="74.6" hidden="false" customHeight="false" outlineLevel="0" collapsed="false">
      <c r="A1127" s="79" t="n">
        <f aca="false">IF(E1127="","",ROW()-6)</f>
        <v>1121</v>
      </c>
      <c r="B1127" s="80" t="s">
        <v>110</v>
      </c>
      <c r="C1127" s="81" t="s">
        <v>1336</v>
      </c>
      <c r="D1127" s="81" t="n">
        <v>8</v>
      </c>
      <c r="E1127" s="81" t="s">
        <v>1344</v>
      </c>
      <c r="F1127" s="82" t="str">
        <f aca="false">IF(E1127="","",IF(LEFT(E1127,2)="DJ","DJ","JN"))</f>
        <v>DJ</v>
      </c>
      <c r="G1127" s="81"/>
      <c r="H1127" s="81" t="s">
        <v>871</v>
      </c>
      <c r="I1127" s="81" t="n">
        <v>9.53</v>
      </c>
      <c r="J1127" s="81" t="s">
        <v>872</v>
      </c>
      <c r="K1127" s="81" t="s">
        <v>873</v>
      </c>
      <c r="L1127" s="81" t="n">
        <v>2096520</v>
      </c>
      <c r="M1127" s="81" t="n">
        <v>15421111</v>
      </c>
      <c r="N1127" s="81" t="n">
        <v>11.94</v>
      </c>
      <c r="O1127" s="81" t="n">
        <v>2096520</v>
      </c>
      <c r="P1127" s="81" t="n">
        <v>15421111</v>
      </c>
      <c r="Q1127" s="81" t="n">
        <v>11.94</v>
      </c>
      <c r="R1127" s="81" t="s">
        <v>1135</v>
      </c>
      <c r="S1127" s="81"/>
      <c r="T1127" s="81"/>
      <c r="U1127" s="83" t="n">
        <v>46279</v>
      </c>
      <c r="V1127" s="83" t="n">
        <v>46279</v>
      </c>
      <c r="W1127" s="81" t="s">
        <v>1227</v>
      </c>
      <c r="X1127" s="81" t="s">
        <v>876</v>
      </c>
      <c r="Y1127" s="83" t="n">
        <v>46280</v>
      </c>
      <c r="Z1127" s="81" t="s">
        <v>1149</v>
      </c>
      <c r="AA1127" s="81" t="s">
        <v>876</v>
      </c>
      <c r="AB1127" s="81"/>
      <c r="AC1127" s="81"/>
      <c r="AD1127" s="81"/>
      <c r="AE1127" s="83"/>
      <c r="AF1127" s="81"/>
      <c r="AG1127" s="81"/>
      <c r="AH1127" s="81"/>
      <c r="AI1127" s="81"/>
      <c r="AJ1127" s="83"/>
      <c r="AK1127" s="81"/>
      <c r="AL1127" s="81"/>
      <c r="AM1127" s="83"/>
      <c r="AN1127" s="80"/>
      <c r="AO1127" s="82" t="n">
        <f aca="false">IF(E1127="","",(AA1127&lt;&gt;"")+(AG1127&lt;&gt;"")+(AL1127&lt;&gt;""))</f>
        <v>1</v>
      </c>
      <c r="AP1127" s="82" t="str">
        <f aca="false">IF(AL1127&lt;&gt;"",AL1127,IF(AG1127&lt;&gt;"",AG1127,IF(AA1127&lt;&gt;"",AA1127,"")))</f>
        <v>A</v>
      </c>
      <c r="AQ1127" s="84" t="str">
        <f aca="false">IF(E1127="","",IF(U1127="","À SOUDER",IF(X1127="","VT EN ATTENTE",IF(X1127="R","VT REJETÉ – À REPRENDRE",IF(AP1127="","À RADIOGRAPHIER",IF(AP1127="A","ACCEPTÉ",IF(AP1127="NX","NX – RT À REFAIRE",IF(IF(AO1127=1,AD1127,IF(AO1127=2,AI1127,""))="A","RÉPARÉ – À RADIOGRAPHIER",IF(IF(AO1127=1,AD1127,IF(AO1127=2,AI1127,""))="R","VT REJETÉ – À REPRENDRE",IF(OR(AP1127="CO",AP1127="NT"),"COUPE – À RESOUDER","À RÉPARER"))))))))))</f>
        <v>ACCEPTÉ</v>
      </c>
      <c r="AR1127" s="82" t="str">
        <f aca="false">IF(AND(ISNUMBER(U1127),OR(AQ1127="À RADIOGRAPHIER",AQ1127="RÉPARÉ – À RADIOGRAPHIER",AQ1127="NX – RT À REFAIRE",AQ1127="À RÉPARER",AQ1127="COUPE – À RESOUDER",AQ1127="VT REJETÉ – À REPRENDRE")),MAX(0,'PROGRAMME RT'!$C$4-U1127),"")</f>
        <v/>
      </c>
      <c r="AS1127" s="82" t="n">
        <f aca="false">IF(AND(OR(AQ1127="À RADIOGRAPHIER",AQ1127="RÉPARÉ – À RADIOGRAPHIER",AQ1127="NX – RT À REFAIRE"),OR('PROGRAMME RT'!$D$5="TOUTES",B1127='PROGRAMME RT'!$D$5)),1,0)</f>
        <v>0</v>
      </c>
      <c r="AT1127" s="82" t="str">
        <f aca="false">IF(AS1127=1,SUM(AS$7:AS1127),"")</f>
        <v/>
      </c>
      <c r="AU1127" s="82" t="n">
        <f aca="false">IF(AND(OR(AA1127="R",AA1127="NX",AA1127="NT",AA1127="CO"),OR('JOINTS DE RÉPARATION'!$D$5="TOUTES",B1127='JOINTS DE RÉPARATION'!$D$5),OR('JOINTS DE RÉPARATION'!$L$4="TOUS",AQ1127&lt;&gt;"ACCEPTÉ")),1,0)</f>
        <v>0</v>
      </c>
      <c r="AV1127" s="82" t="str">
        <f aca="false">IF(AU1127=1,SUM(AU$7:AU1127),"")</f>
        <v/>
      </c>
      <c r="AW1127" s="82" t="str">
        <f aca="false">IF(E1127="","",B1127&amp;"|"&amp;E1127)</f>
        <v>MFD-ISW → MFD-CPF|DJ°379</v>
      </c>
    </row>
    <row r="1128" customFormat="false" ht="74.6" hidden="false" customHeight="false" outlineLevel="0" collapsed="false">
      <c r="A1128" s="79" t="n">
        <f aca="false">IF(E1128="","",ROW()-6)</f>
        <v>1122</v>
      </c>
      <c r="B1128" s="80" t="s">
        <v>110</v>
      </c>
      <c r="C1128" s="81" t="s">
        <v>1336</v>
      </c>
      <c r="D1128" s="81" t="n">
        <v>8</v>
      </c>
      <c r="E1128" s="81" t="s">
        <v>1345</v>
      </c>
      <c r="F1128" s="82" t="str">
        <f aca="false">IF(E1128="","",IF(LEFT(E1128,2)="DJ","DJ","JN"))</f>
        <v>JN</v>
      </c>
      <c r="G1128" s="81"/>
      <c r="H1128" s="81" t="s">
        <v>871</v>
      </c>
      <c r="I1128" s="81" t="n">
        <v>9.53</v>
      </c>
      <c r="J1128" s="81" t="s">
        <v>872</v>
      </c>
      <c r="K1128" s="81" t="s">
        <v>879</v>
      </c>
      <c r="L1128" s="81" t="n">
        <v>2096520</v>
      </c>
      <c r="M1128" s="81" t="n">
        <v>15421111</v>
      </c>
      <c r="N1128" s="81" t="n">
        <v>11.94</v>
      </c>
      <c r="O1128" s="81" t="n">
        <v>2088660</v>
      </c>
      <c r="P1128" s="81" t="n">
        <v>15421108</v>
      </c>
      <c r="Q1128" s="81" t="n">
        <v>11.94</v>
      </c>
      <c r="R1128" s="81" t="s">
        <v>1299</v>
      </c>
      <c r="S1128" s="81"/>
      <c r="T1128" s="81"/>
      <c r="U1128" s="83" t="n">
        <v>46280</v>
      </c>
      <c r="V1128" s="83" t="n">
        <v>46280</v>
      </c>
      <c r="W1128" s="81" t="s">
        <v>1339</v>
      </c>
      <c r="X1128" s="81" t="s">
        <v>876</v>
      </c>
      <c r="Y1128" s="83" t="n">
        <v>46286</v>
      </c>
      <c r="Z1128" s="81" t="s">
        <v>1309</v>
      </c>
      <c r="AA1128" s="81" t="s">
        <v>1073</v>
      </c>
      <c r="AB1128" s="81" t="s">
        <v>1346</v>
      </c>
      <c r="AC1128" s="81"/>
      <c r="AD1128" s="81"/>
      <c r="AE1128" s="83"/>
      <c r="AF1128" s="81"/>
      <c r="AG1128" s="81"/>
      <c r="AH1128" s="81"/>
      <c r="AI1128" s="81"/>
      <c r="AJ1128" s="83"/>
      <c r="AK1128" s="81"/>
      <c r="AL1128" s="81"/>
      <c r="AM1128" s="83"/>
      <c r="AN1128" s="80"/>
      <c r="AO1128" s="82" t="n">
        <f aca="false">IF(E1128="","",(AA1128&lt;&gt;"")+(AG1128&lt;&gt;"")+(AL1128&lt;&gt;""))</f>
        <v>1</v>
      </c>
      <c r="AP1128" s="82" t="str">
        <f aca="false">IF(AL1128&lt;&gt;"",AL1128,IF(AG1128&lt;&gt;"",AG1128,IF(AA1128&lt;&gt;"",AA1128,"")))</f>
        <v>R</v>
      </c>
      <c r="AQ1128" s="84" t="str">
        <f aca="false">IF(E1128="","",IF(U1128="","À SOUDER",IF(X1128="","VT EN ATTENTE",IF(X1128="R","VT REJETÉ – À REPRENDRE",IF(AP1128="","À RADIOGRAPHIER",IF(AP1128="A","ACCEPTÉ",IF(AP1128="NX","NX – RT À REFAIRE",IF(IF(AO1128=1,AD1128,IF(AO1128=2,AI1128,""))="A","RÉPARÉ – À RADIOGRAPHIER",IF(IF(AO1128=1,AD1128,IF(AO1128=2,AI1128,""))="R","VT REJETÉ – À REPRENDRE",IF(OR(AP1128="CO",AP1128="NT"),"COUPE – À RESOUDER","À RÉPARER"))))))))))</f>
        <v>À RÉPARER</v>
      </c>
      <c r="AR1128" s="82" t="n">
        <f aca="false">IF(AND(ISNUMBER(U1128),OR(AQ1128="À RADIOGRAPHIER",AQ1128="RÉPARÉ – À RADIOGRAPHIER",AQ1128="NX – RT À REFAIRE",AQ1128="À RÉPARER",AQ1128="COUPE – À RESOUDER",AQ1128="VT REJETÉ – À REPRENDRE")),MAX(0,'PROGRAMME RT'!$C$4-U1128),"")</f>
        <v>13</v>
      </c>
      <c r="AS1128" s="82" t="n">
        <f aca="false">IF(AND(OR(AQ1128="À RADIOGRAPHIER",AQ1128="RÉPARÉ – À RADIOGRAPHIER",AQ1128="NX – RT À REFAIRE"),OR('PROGRAMME RT'!$D$5="TOUTES",B1128='PROGRAMME RT'!$D$5)),1,0)</f>
        <v>0</v>
      </c>
      <c r="AT1128" s="82" t="str">
        <f aca="false">IF(AS1128=1,SUM(AS$7:AS1128),"")</f>
        <v/>
      </c>
      <c r="AU1128" s="82" t="n">
        <f aca="false">IF(AND(OR(AA1128="R",AA1128="NX",AA1128="NT",AA1128="CO"),OR('JOINTS DE RÉPARATION'!$D$5="TOUTES",B1128='JOINTS DE RÉPARATION'!$D$5),OR('JOINTS DE RÉPARATION'!$L$4="TOUS",AQ1128&lt;&gt;"ACCEPTÉ")),1,0)</f>
        <v>1</v>
      </c>
      <c r="AV1128" s="82" t="n">
        <f aca="false">IF(AU1128=1,SUM(AU$7:AU1128),"")</f>
        <v>22</v>
      </c>
      <c r="AW1128" s="82" t="str">
        <f aca="false">IF(E1128="","",B1128&amp;"|"&amp;E1128)</f>
        <v>MFD-ISW → MFD-CPF|JN°985</v>
      </c>
    </row>
    <row r="1129" customFormat="false" ht="74.6" hidden="false" customHeight="false" outlineLevel="0" collapsed="false">
      <c r="A1129" s="79" t="n">
        <f aca="false">IF(E1129="","",ROW()-6)</f>
        <v>1123</v>
      </c>
      <c r="B1129" s="80" t="s">
        <v>110</v>
      </c>
      <c r="C1129" s="81" t="s">
        <v>1336</v>
      </c>
      <c r="D1129" s="81" t="n">
        <v>8</v>
      </c>
      <c r="E1129" s="81" t="s">
        <v>1347</v>
      </c>
      <c r="F1129" s="82" t="str">
        <f aca="false">IF(E1129="","",IF(LEFT(E1129,2)="DJ","DJ","JN"))</f>
        <v>DJ</v>
      </c>
      <c r="G1129" s="81"/>
      <c r="H1129" s="81" t="s">
        <v>871</v>
      </c>
      <c r="I1129" s="81" t="n">
        <v>9.53</v>
      </c>
      <c r="J1129" s="81" t="s">
        <v>872</v>
      </c>
      <c r="K1129" s="81" t="s">
        <v>873</v>
      </c>
      <c r="L1129" s="81" t="n">
        <v>2088660</v>
      </c>
      <c r="M1129" s="81" t="n">
        <v>15421108</v>
      </c>
      <c r="N1129" s="81" t="n">
        <v>11.94</v>
      </c>
      <c r="O1129" s="81" t="n">
        <v>2098400</v>
      </c>
      <c r="P1129" s="81" t="n">
        <v>15421112</v>
      </c>
      <c r="Q1129" s="81" t="n">
        <v>11.94</v>
      </c>
      <c r="R1129" s="81" t="s">
        <v>963</v>
      </c>
      <c r="S1129" s="81"/>
      <c r="T1129" s="81"/>
      <c r="U1129" s="83" t="n">
        <v>46279</v>
      </c>
      <c r="V1129" s="83" t="n">
        <v>46279</v>
      </c>
      <c r="W1129" s="81" t="s">
        <v>1227</v>
      </c>
      <c r="X1129" s="81" t="s">
        <v>876</v>
      </c>
      <c r="Y1129" s="83" t="n">
        <v>46280</v>
      </c>
      <c r="Z1129" s="81" t="s">
        <v>1149</v>
      </c>
      <c r="AA1129" s="81" t="s">
        <v>876</v>
      </c>
      <c r="AB1129" s="81"/>
      <c r="AC1129" s="81"/>
      <c r="AD1129" s="81"/>
      <c r="AE1129" s="83"/>
      <c r="AF1129" s="81"/>
      <c r="AG1129" s="81"/>
      <c r="AH1129" s="81"/>
      <c r="AI1129" s="81"/>
      <c r="AJ1129" s="83"/>
      <c r="AK1129" s="81"/>
      <c r="AL1129" s="81"/>
      <c r="AM1129" s="83"/>
      <c r="AN1129" s="80"/>
      <c r="AO1129" s="82" t="n">
        <f aca="false">IF(E1129="","",(AA1129&lt;&gt;"")+(AG1129&lt;&gt;"")+(AL1129&lt;&gt;""))</f>
        <v>1</v>
      </c>
      <c r="AP1129" s="82" t="str">
        <f aca="false">IF(AL1129&lt;&gt;"",AL1129,IF(AG1129&lt;&gt;"",AG1129,IF(AA1129&lt;&gt;"",AA1129,"")))</f>
        <v>A</v>
      </c>
      <c r="AQ1129" s="84" t="str">
        <f aca="false">IF(E1129="","",IF(U1129="","À SOUDER",IF(X1129="","VT EN ATTENTE",IF(X1129="R","VT REJETÉ – À REPRENDRE",IF(AP1129="","À RADIOGRAPHIER",IF(AP1129="A","ACCEPTÉ",IF(AP1129="NX","NX – RT À REFAIRE",IF(IF(AO1129=1,AD1129,IF(AO1129=2,AI1129,""))="A","RÉPARÉ – À RADIOGRAPHIER",IF(IF(AO1129=1,AD1129,IF(AO1129=2,AI1129,""))="R","VT REJETÉ – À REPRENDRE",IF(OR(AP1129="CO",AP1129="NT"),"COUPE – À RESOUDER","À RÉPARER"))))))))))</f>
        <v>ACCEPTÉ</v>
      </c>
      <c r="AR1129" s="82" t="str">
        <f aca="false">IF(AND(ISNUMBER(U1129),OR(AQ1129="À RADIOGRAPHIER",AQ1129="RÉPARÉ – À RADIOGRAPHIER",AQ1129="NX – RT À REFAIRE",AQ1129="À RÉPARER",AQ1129="COUPE – À RESOUDER",AQ1129="VT REJETÉ – À REPRENDRE")),MAX(0,'PROGRAMME RT'!$C$4-U1129),"")</f>
        <v/>
      </c>
      <c r="AS1129" s="82" t="n">
        <f aca="false">IF(AND(OR(AQ1129="À RADIOGRAPHIER",AQ1129="RÉPARÉ – À RADIOGRAPHIER",AQ1129="NX – RT À REFAIRE"),OR('PROGRAMME RT'!$D$5="TOUTES",B1129='PROGRAMME RT'!$D$5)),1,0)</f>
        <v>0</v>
      </c>
      <c r="AT1129" s="82" t="str">
        <f aca="false">IF(AS1129=1,SUM(AS$7:AS1129),"")</f>
        <v/>
      </c>
      <c r="AU1129" s="82" t="n">
        <f aca="false">IF(AND(OR(AA1129="R",AA1129="NX",AA1129="NT",AA1129="CO"),OR('JOINTS DE RÉPARATION'!$D$5="TOUTES",B1129='JOINTS DE RÉPARATION'!$D$5),OR('JOINTS DE RÉPARATION'!$L$4="TOUS",AQ1129&lt;&gt;"ACCEPTÉ")),1,0)</f>
        <v>0</v>
      </c>
      <c r="AV1129" s="82" t="str">
        <f aca="false">IF(AU1129=1,SUM(AU$7:AU1129),"")</f>
        <v/>
      </c>
      <c r="AW1129" s="82" t="str">
        <f aca="false">IF(E1129="","",B1129&amp;"|"&amp;E1129)</f>
        <v>MFD-ISW → MFD-CPF|DJ°376</v>
      </c>
    </row>
    <row r="1130" customFormat="false" ht="74.6" hidden="false" customHeight="false" outlineLevel="0" collapsed="false">
      <c r="A1130" s="79" t="n">
        <f aca="false">IF(E1130="","",ROW()-6)</f>
        <v>1124</v>
      </c>
      <c r="B1130" s="80" t="s">
        <v>110</v>
      </c>
      <c r="C1130" s="81" t="s">
        <v>926</v>
      </c>
      <c r="D1130" s="81" t="n">
        <v>8</v>
      </c>
      <c r="E1130" s="81" t="s">
        <v>1348</v>
      </c>
      <c r="F1130" s="82" t="str">
        <f aca="false">IF(E1130="","",IF(LEFT(E1130,2)="DJ","DJ","JN"))</f>
        <v>JN</v>
      </c>
      <c r="G1130" s="81"/>
      <c r="H1130" s="81"/>
      <c r="I1130" s="81"/>
      <c r="J1130" s="81"/>
      <c r="K1130" s="81"/>
      <c r="L1130" s="81" t="n">
        <v>2098400</v>
      </c>
      <c r="M1130" s="81" t="n">
        <v>15421112</v>
      </c>
      <c r="N1130" s="81" t="n">
        <v>11.94</v>
      </c>
      <c r="O1130" s="81" t="s">
        <v>1268</v>
      </c>
      <c r="P1130" s="81"/>
      <c r="Q1130" s="81"/>
      <c r="R1130" s="81"/>
      <c r="S1130" s="81"/>
      <c r="T1130" s="81"/>
      <c r="U1130" s="83"/>
      <c r="V1130" s="83"/>
      <c r="W1130" s="81"/>
      <c r="X1130" s="81"/>
      <c r="Y1130" s="83"/>
      <c r="Z1130" s="81"/>
      <c r="AA1130" s="81"/>
      <c r="AB1130" s="81"/>
      <c r="AC1130" s="81"/>
      <c r="AD1130" s="81"/>
      <c r="AE1130" s="83"/>
      <c r="AF1130" s="81"/>
      <c r="AG1130" s="81"/>
      <c r="AH1130" s="81"/>
      <c r="AI1130" s="81"/>
      <c r="AJ1130" s="83"/>
      <c r="AK1130" s="81"/>
      <c r="AL1130" s="81"/>
      <c r="AM1130" s="83"/>
      <c r="AN1130" s="80"/>
      <c r="AO1130" s="82" t="n">
        <f aca="false">IF(E1130="","",(AA1130&lt;&gt;"")+(AG1130&lt;&gt;"")+(AL1130&lt;&gt;""))</f>
        <v>0</v>
      </c>
      <c r="AP1130" s="82" t="str">
        <f aca="false">IF(AL1130&lt;&gt;"",AL1130,IF(AG1130&lt;&gt;"",AG1130,IF(AA1130&lt;&gt;"",AA1130,"")))</f>
        <v/>
      </c>
      <c r="AQ1130" s="84" t="str">
        <f aca="false">IF(E1130="","",IF(U1130="","À SOUDER",IF(X1130="","VT EN ATTENTE",IF(X1130="R","VT REJETÉ – À REPRENDRE",IF(AP1130="","À RADIOGRAPHIER",IF(AP1130="A","ACCEPTÉ",IF(AP1130="NX","NX – RT À REFAIRE",IF(IF(AO1130=1,AD1130,IF(AO1130=2,AI1130,""))="A","RÉPARÉ – À RADIOGRAPHIER",IF(IF(AO1130=1,AD1130,IF(AO1130=2,AI1130,""))="R","VT REJETÉ – À REPRENDRE",IF(OR(AP1130="CO",AP1130="NT"),"COUPE – À RESOUDER","À RÉPARER"))))))))))</f>
        <v>À SOUDER</v>
      </c>
      <c r="AR1130" s="82" t="str">
        <f aca="false">IF(AND(ISNUMBER(U1130),OR(AQ1130="À RADIOGRAPHIER",AQ1130="RÉPARÉ – À RADIOGRAPHIER",AQ1130="NX – RT À REFAIRE",AQ1130="À RÉPARER",AQ1130="COUPE – À RESOUDER",AQ1130="VT REJETÉ – À REPRENDRE")),MAX(0,'PROGRAMME RT'!$C$4-U1130),"")</f>
        <v/>
      </c>
      <c r="AS1130" s="82" t="n">
        <f aca="false">IF(AND(OR(AQ1130="À RADIOGRAPHIER",AQ1130="RÉPARÉ – À RADIOGRAPHIER",AQ1130="NX – RT À REFAIRE"),OR('PROGRAMME RT'!$D$5="TOUTES",B1130='PROGRAMME RT'!$D$5)),1,0)</f>
        <v>0</v>
      </c>
      <c r="AT1130" s="82" t="str">
        <f aca="false">IF(AS1130=1,SUM(AS$7:AS1130),"")</f>
        <v/>
      </c>
      <c r="AU1130" s="82" t="n">
        <f aca="false">IF(AND(OR(AA1130="R",AA1130="NX",AA1130="NT",AA1130="CO"),OR('JOINTS DE RÉPARATION'!$D$5="TOUTES",B1130='JOINTS DE RÉPARATION'!$D$5),OR('JOINTS DE RÉPARATION'!$L$4="TOUS",AQ1130&lt;&gt;"ACCEPTÉ")),1,0)</f>
        <v>0</v>
      </c>
      <c r="AV1130" s="82" t="str">
        <f aca="false">IF(AU1130=1,SUM(AU$7:AU1130),"")</f>
        <v/>
      </c>
      <c r="AW1130" s="82" t="str">
        <f aca="false">IF(E1130="","",B1130&amp;"|"&amp;E1130)</f>
        <v>MFD-ISW → MFD-CPF|JN°986</v>
      </c>
    </row>
    <row r="1131" customFormat="false" ht="74.6" hidden="false" customHeight="false" outlineLevel="0" collapsed="false">
      <c r="A1131" s="79" t="n">
        <f aca="false">IF(E1131="","",ROW()-6)</f>
        <v>1125</v>
      </c>
      <c r="B1131" s="80" t="s">
        <v>110</v>
      </c>
      <c r="C1131" s="81" t="s">
        <v>926</v>
      </c>
      <c r="D1131" s="81" t="n">
        <v>8</v>
      </c>
      <c r="E1131" s="81" t="s">
        <v>1349</v>
      </c>
      <c r="F1131" s="82" t="str">
        <f aca="false">IF(E1131="","",IF(LEFT(E1131,2)="DJ","DJ","JN"))</f>
        <v>JN</v>
      </c>
      <c r="G1131" s="81"/>
      <c r="H1131" s="81"/>
      <c r="I1131" s="81"/>
      <c r="J1131" s="81"/>
      <c r="K1131" s="81"/>
      <c r="L1131" s="81" t="s">
        <v>1268</v>
      </c>
      <c r="M1131" s="81"/>
      <c r="N1131" s="81"/>
      <c r="O1131" s="81" t="s">
        <v>1268</v>
      </c>
      <c r="P1131" s="81"/>
      <c r="Q1131" s="81"/>
      <c r="R1131" s="81"/>
      <c r="S1131" s="81"/>
      <c r="T1131" s="81"/>
      <c r="U1131" s="83"/>
      <c r="V1131" s="83"/>
      <c r="W1131" s="81"/>
      <c r="X1131" s="81"/>
      <c r="Y1131" s="83"/>
      <c r="Z1131" s="81"/>
      <c r="AA1131" s="81"/>
      <c r="AB1131" s="81"/>
      <c r="AC1131" s="81"/>
      <c r="AD1131" s="81"/>
      <c r="AE1131" s="83"/>
      <c r="AF1131" s="81"/>
      <c r="AG1131" s="81"/>
      <c r="AH1131" s="81"/>
      <c r="AI1131" s="81"/>
      <c r="AJ1131" s="83"/>
      <c r="AK1131" s="81"/>
      <c r="AL1131" s="81"/>
      <c r="AM1131" s="83"/>
      <c r="AN1131" s="80"/>
      <c r="AO1131" s="82" t="n">
        <f aca="false">IF(E1131="","",(AA1131&lt;&gt;"")+(AG1131&lt;&gt;"")+(AL1131&lt;&gt;""))</f>
        <v>0</v>
      </c>
      <c r="AP1131" s="82" t="str">
        <f aca="false">IF(AL1131&lt;&gt;"",AL1131,IF(AG1131&lt;&gt;"",AG1131,IF(AA1131&lt;&gt;"",AA1131,"")))</f>
        <v/>
      </c>
      <c r="AQ1131" s="84" t="str">
        <f aca="false">IF(E1131="","",IF(U1131="","À SOUDER",IF(X1131="","VT EN ATTENTE",IF(X1131="R","VT REJETÉ – À REPRENDRE",IF(AP1131="","À RADIOGRAPHIER",IF(AP1131="A","ACCEPTÉ",IF(AP1131="NX","NX – RT À REFAIRE",IF(IF(AO1131=1,AD1131,IF(AO1131=2,AI1131,""))="A","RÉPARÉ – À RADIOGRAPHIER",IF(IF(AO1131=1,AD1131,IF(AO1131=2,AI1131,""))="R","VT REJETÉ – À REPRENDRE",IF(OR(AP1131="CO",AP1131="NT"),"COUPE – À RESOUDER","À RÉPARER"))))))))))</f>
        <v>À SOUDER</v>
      </c>
      <c r="AR1131" s="82" t="str">
        <f aca="false">IF(AND(ISNUMBER(U1131),OR(AQ1131="À RADIOGRAPHIER",AQ1131="RÉPARÉ – À RADIOGRAPHIER",AQ1131="NX – RT À REFAIRE",AQ1131="À RÉPARER",AQ1131="COUPE – À RESOUDER",AQ1131="VT REJETÉ – À REPRENDRE")),MAX(0,'PROGRAMME RT'!$C$4-U1131),"")</f>
        <v/>
      </c>
      <c r="AS1131" s="82" t="n">
        <f aca="false">IF(AND(OR(AQ1131="À RADIOGRAPHIER",AQ1131="RÉPARÉ – À RADIOGRAPHIER",AQ1131="NX – RT À REFAIRE"),OR('PROGRAMME RT'!$D$5="TOUTES",B1131='PROGRAMME RT'!$D$5)),1,0)</f>
        <v>0</v>
      </c>
      <c r="AT1131" s="82" t="str">
        <f aca="false">IF(AS1131=1,SUM(AS$7:AS1131),"")</f>
        <v/>
      </c>
      <c r="AU1131" s="82" t="n">
        <f aca="false">IF(AND(OR(AA1131="R",AA1131="NX",AA1131="NT",AA1131="CO"),OR('JOINTS DE RÉPARATION'!$D$5="TOUTES",B1131='JOINTS DE RÉPARATION'!$D$5),OR('JOINTS DE RÉPARATION'!$L$4="TOUS",AQ1131&lt;&gt;"ACCEPTÉ")),1,0)</f>
        <v>0</v>
      </c>
      <c r="AV1131" s="82" t="str">
        <f aca="false">IF(AU1131=1,SUM(AU$7:AU1131),"")</f>
        <v/>
      </c>
      <c r="AW1131" s="82" t="str">
        <f aca="false">IF(E1131="","",B1131&amp;"|"&amp;E1131)</f>
        <v>MFD-ISW → MFD-CPF|JN°987</v>
      </c>
    </row>
    <row r="1132" customFormat="false" ht="74.6" hidden="false" customHeight="false" outlineLevel="0" collapsed="false">
      <c r="A1132" s="79" t="n">
        <f aca="false">IF(E1132="","",ROW()-6)</f>
        <v>1126</v>
      </c>
      <c r="B1132" s="80" t="s">
        <v>110</v>
      </c>
      <c r="C1132" s="81" t="s">
        <v>926</v>
      </c>
      <c r="D1132" s="81" t="n">
        <v>8</v>
      </c>
      <c r="E1132" s="81" t="s">
        <v>1350</v>
      </c>
      <c r="F1132" s="82" t="str">
        <f aca="false">IF(E1132="","",IF(LEFT(E1132,2)="DJ","DJ","JN"))</f>
        <v>JN</v>
      </c>
      <c r="G1132" s="81"/>
      <c r="H1132" s="81"/>
      <c r="I1132" s="81"/>
      <c r="J1132" s="81"/>
      <c r="K1132" s="81"/>
      <c r="L1132" s="81" t="s">
        <v>1268</v>
      </c>
      <c r="M1132" s="81"/>
      <c r="N1132" s="81"/>
      <c r="O1132" s="81" t="s">
        <v>1268</v>
      </c>
      <c r="P1132" s="81"/>
      <c r="Q1132" s="81"/>
      <c r="R1132" s="81"/>
      <c r="S1132" s="81"/>
      <c r="T1132" s="81"/>
      <c r="U1132" s="83"/>
      <c r="V1132" s="83"/>
      <c r="W1132" s="81"/>
      <c r="X1132" s="81"/>
      <c r="Y1132" s="83"/>
      <c r="Z1132" s="81"/>
      <c r="AA1132" s="81"/>
      <c r="AB1132" s="81"/>
      <c r="AC1132" s="81"/>
      <c r="AD1132" s="81"/>
      <c r="AE1132" s="83"/>
      <c r="AF1132" s="81"/>
      <c r="AG1132" s="81"/>
      <c r="AH1132" s="81"/>
      <c r="AI1132" s="81"/>
      <c r="AJ1132" s="83"/>
      <c r="AK1132" s="81"/>
      <c r="AL1132" s="81"/>
      <c r="AM1132" s="83"/>
      <c r="AN1132" s="80"/>
      <c r="AO1132" s="82" t="n">
        <f aca="false">IF(E1132="","",(AA1132&lt;&gt;"")+(AG1132&lt;&gt;"")+(AL1132&lt;&gt;""))</f>
        <v>0</v>
      </c>
      <c r="AP1132" s="82" t="str">
        <f aca="false">IF(AL1132&lt;&gt;"",AL1132,IF(AG1132&lt;&gt;"",AG1132,IF(AA1132&lt;&gt;"",AA1132,"")))</f>
        <v/>
      </c>
      <c r="AQ1132" s="84" t="str">
        <f aca="false">IF(E1132="","",IF(U1132="","À SOUDER",IF(X1132="","VT EN ATTENTE",IF(X1132="R","VT REJETÉ – À REPRENDRE",IF(AP1132="","À RADIOGRAPHIER",IF(AP1132="A","ACCEPTÉ",IF(AP1132="NX","NX – RT À REFAIRE",IF(IF(AO1132=1,AD1132,IF(AO1132=2,AI1132,""))="A","RÉPARÉ – À RADIOGRAPHIER",IF(IF(AO1132=1,AD1132,IF(AO1132=2,AI1132,""))="R","VT REJETÉ – À REPRENDRE",IF(OR(AP1132="CO",AP1132="NT"),"COUPE – À RESOUDER","À RÉPARER"))))))))))</f>
        <v>À SOUDER</v>
      </c>
      <c r="AR1132" s="82" t="str">
        <f aca="false">IF(AND(ISNUMBER(U1132),OR(AQ1132="À RADIOGRAPHIER",AQ1132="RÉPARÉ – À RADIOGRAPHIER",AQ1132="NX – RT À REFAIRE",AQ1132="À RÉPARER",AQ1132="COUPE – À RESOUDER",AQ1132="VT REJETÉ – À REPRENDRE")),MAX(0,'PROGRAMME RT'!$C$4-U1132),"")</f>
        <v/>
      </c>
      <c r="AS1132" s="82" t="n">
        <f aca="false">IF(AND(OR(AQ1132="À RADIOGRAPHIER",AQ1132="RÉPARÉ – À RADIOGRAPHIER",AQ1132="NX – RT À REFAIRE"),OR('PROGRAMME RT'!$D$5="TOUTES",B1132='PROGRAMME RT'!$D$5)),1,0)</f>
        <v>0</v>
      </c>
      <c r="AT1132" s="82" t="str">
        <f aca="false">IF(AS1132=1,SUM(AS$7:AS1132),"")</f>
        <v/>
      </c>
      <c r="AU1132" s="82" t="n">
        <f aca="false">IF(AND(OR(AA1132="R",AA1132="NX",AA1132="NT",AA1132="CO"),OR('JOINTS DE RÉPARATION'!$D$5="TOUTES",B1132='JOINTS DE RÉPARATION'!$D$5),OR('JOINTS DE RÉPARATION'!$L$4="TOUS",AQ1132&lt;&gt;"ACCEPTÉ")),1,0)</f>
        <v>0</v>
      </c>
      <c r="AV1132" s="82" t="str">
        <f aca="false">IF(AU1132=1,SUM(AU$7:AU1132),"")</f>
        <v/>
      </c>
      <c r="AW1132" s="82" t="str">
        <f aca="false">IF(E1132="","",B1132&amp;"|"&amp;E1132)</f>
        <v>MFD-ISW → MFD-CPF|JN°988</v>
      </c>
    </row>
    <row r="1133" customFormat="false" ht="74.6" hidden="false" customHeight="false" outlineLevel="0" collapsed="false">
      <c r="A1133" s="79" t="n">
        <f aca="false">IF(E1133="","",ROW()-6)</f>
        <v>1127</v>
      </c>
      <c r="B1133" s="80" t="s">
        <v>110</v>
      </c>
      <c r="C1133" s="81" t="s">
        <v>926</v>
      </c>
      <c r="D1133" s="81" t="n">
        <v>8</v>
      </c>
      <c r="E1133" s="81" t="s">
        <v>1351</v>
      </c>
      <c r="F1133" s="82" t="str">
        <f aca="false">IF(E1133="","",IF(LEFT(E1133,2)="DJ","DJ","JN"))</f>
        <v>JN</v>
      </c>
      <c r="G1133" s="81"/>
      <c r="H1133" s="81"/>
      <c r="I1133" s="81"/>
      <c r="J1133" s="81"/>
      <c r="K1133" s="81"/>
      <c r="L1133" s="81" t="s">
        <v>1268</v>
      </c>
      <c r="M1133" s="81"/>
      <c r="N1133" s="81"/>
      <c r="O1133" s="81" t="n">
        <v>2097040</v>
      </c>
      <c r="P1133" s="81" t="n">
        <v>15421111</v>
      </c>
      <c r="Q1133" s="81" t="n">
        <v>11.94</v>
      </c>
      <c r="R1133" s="81"/>
      <c r="S1133" s="81"/>
      <c r="T1133" s="81"/>
      <c r="U1133" s="83"/>
      <c r="V1133" s="83"/>
      <c r="W1133" s="81"/>
      <c r="X1133" s="81"/>
      <c r="Y1133" s="83"/>
      <c r="Z1133" s="81"/>
      <c r="AA1133" s="81"/>
      <c r="AB1133" s="81"/>
      <c r="AC1133" s="81"/>
      <c r="AD1133" s="81"/>
      <c r="AE1133" s="83"/>
      <c r="AF1133" s="81"/>
      <c r="AG1133" s="81"/>
      <c r="AH1133" s="81"/>
      <c r="AI1133" s="81"/>
      <c r="AJ1133" s="83"/>
      <c r="AK1133" s="81"/>
      <c r="AL1133" s="81"/>
      <c r="AM1133" s="83"/>
      <c r="AN1133" s="80"/>
      <c r="AO1133" s="82" t="n">
        <f aca="false">IF(E1133="","",(AA1133&lt;&gt;"")+(AG1133&lt;&gt;"")+(AL1133&lt;&gt;""))</f>
        <v>0</v>
      </c>
      <c r="AP1133" s="82" t="str">
        <f aca="false">IF(AL1133&lt;&gt;"",AL1133,IF(AG1133&lt;&gt;"",AG1133,IF(AA1133&lt;&gt;"",AA1133,"")))</f>
        <v/>
      </c>
      <c r="AQ1133" s="84" t="str">
        <f aca="false">IF(E1133="","",IF(U1133="","À SOUDER",IF(X1133="","VT EN ATTENTE",IF(X1133="R","VT REJETÉ – À REPRENDRE",IF(AP1133="","À RADIOGRAPHIER",IF(AP1133="A","ACCEPTÉ",IF(AP1133="NX","NX – RT À REFAIRE",IF(IF(AO1133=1,AD1133,IF(AO1133=2,AI1133,""))="A","RÉPARÉ – À RADIOGRAPHIER",IF(IF(AO1133=1,AD1133,IF(AO1133=2,AI1133,""))="R","VT REJETÉ – À REPRENDRE",IF(OR(AP1133="CO",AP1133="NT"),"COUPE – À RESOUDER","À RÉPARER"))))))))))</f>
        <v>À SOUDER</v>
      </c>
      <c r="AR1133" s="82" t="str">
        <f aca="false">IF(AND(ISNUMBER(U1133),OR(AQ1133="À RADIOGRAPHIER",AQ1133="RÉPARÉ – À RADIOGRAPHIER",AQ1133="NX – RT À REFAIRE",AQ1133="À RÉPARER",AQ1133="COUPE – À RESOUDER",AQ1133="VT REJETÉ – À REPRENDRE")),MAX(0,'PROGRAMME RT'!$C$4-U1133),"")</f>
        <v/>
      </c>
      <c r="AS1133" s="82" t="n">
        <f aca="false">IF(AND(OR(AQ1133="À RADIOGRAPHIER",AQ1133="RÉPARÉ – À RADIOGRAPHIER",AQ1133="NX – RT À REFAIRE"),OR('PROGRAMME RT'!$D$5="TOUTES",B1133='PROGRAMME RT'!$D$5)),1,0)</f>
        <v>0</v>
      </c>
      <c r="AT1133" s="82" t="str">
        <f aca="false">IF(AS1133=1,SUM(AS$7:AS1133),"")</f>
        <v/>
      </c>
      <c r="AU1133" s="82" t="n">
        <f aca="false">IF(AND(OR(AA1133="R",AA1133="NX",AA1133="NT",AA1133="CO"),OR('JOINTS DE RÉPARATION'!$D$5="TOUTES",B1133='JOINTS DE RÉPARATION'!$D$5),OR('JOINTS DE RÉPARATION'!$L$4="TOUS",AQ1133&lt;&gt;"ACCEPTÉ")),1,0)</f>
        <v>0</v>
      </c>
      <c r="AV1133" s="82" t="str">
        <f aca="false">IF(AU1133=1,SUM(AU$7:AU1133),"")</f>
        <v/>
      </c>
      <c r="AW1133" s="82" t="str">
        <f aca="false">IF(E1133="","",B1133&amp;"|"&amp;E1133)</f>
        <v>MFD-ISW → MFD-CPF|JN°989</v>
      </c>
    </row>
    <row r="1134" customFormat="false" ht="74.6" hidden="false" customHeight="false" outlineLevel="0" collapsed="false">
      <c r="A1134" s="79" t="n">
        <f aca="false">IF(E1134="","",ROW()-6)</f>
        <v>1128</v>
      </c>
      <c r="B1134" s="80" t="s">
        <v>110</v>
      </c>
      <c r="C1134" s="81" t="s">
        <v>1352</v>
      </c>
      <c r="D1134" s="81" t="n">
        <v>8</v>
      </c>
      <c r="E1134" s="81" t="s">
        <v>1353</v>
      </c>
      <c r="F1134" s="82" t="str">
        <f aca="false">IF(E1134="","",IF(LEFT(E1134,2)="DJ","DJ","JN"))</f>
        <v>JN</v>
      </c>
      <c r="G1134" s="81"/>
      <c r="H1134" s="81" t="s">
        <v>871</v>
      </c>
      <c r="I1134" s="81" t="n">
        <v>9.53</v>
      </c>
      <c r="J1134" s="81" t="s">
        <v>872</v>
      </c>
      <c r="K1134" s="81" t="s">
        <v>879</v>
      </c>
      <c r="L1134" s="81" t="n">
        <v>2097040</v>
      </c>
      <c r="M1134" s="81" t="n">
        <v>15421111</v>
      </c>
      <c r="N1134" s="81" t="n">
        <v>11.94</v>
      </c>
      <c r="O1134" s="81" t="n">
        <v>2082540</v>
      </c>
      <c r="P1134" s="81" t="n">
        <v>15421104</v>
      </c>
      <c r="Q1134" s="81" t="n">
        <v>11.94</v>
      </c>
      <c r="R1134" s="81" t="s">
        <v>1299</v>
      </c>
      <c r="S1134" s="81"/>
      <c r="T1134" s="81"/>
      <c r="U1134" s="83" t="n">
        <v>46280</v>
      </c>
      <c r="V1134" s="83" t="n">
        <v>46280</v>
      </c>
      <c r="W1134" s="81" t="s">
        <v>1339</v>
      </c>
      <c r="X1134" s="81" t="s">
        <v>876</v>
      </c>
      <c r="Y1134" s="83" t="n">
        <v>46284</v>
      </c>
      <c r="Z1134" s="81" t="s">
        <v>1354</v>
      </c>
      <c r="AA1134" s="81" t="s">
        <v>876</v>
      </c>
      <c r="AB1134" s="81"/>
      <c r="AC1134" s="81"/>
      <c r="AD1134" s="81"/>
      <c r="AE1134" s="83"/>
      <c r="AF1134" s="81"/>
      <c r="AG1134" s="81"/>
      <c r="AH1134" s="81"/>
      <c r="AI1134" s="81"/>
      <c r="AJ1134" s="83"/>
      <c r="AK1134" s="81"/>
      <c r="AL1134" s="81"/>
      <c r="AM1134" s="83"/>
      <c r="AN1134" s="80"/>
      <c r="AO1134" s="82" t="n">
        <f aca="false">IF(E1134="","",(AA1134&lt;&gt;"")+(AG1134&lt;&gt;"")+(AL1134&lt;&gt;""))</f>
        <v>1</v>
      </c>
      <c r="AP1134" s="82" t="str">
        <f aca="false">IF(AL1134&lt;&gt;"",AL1134,IF(AG1134&lt;&gt;"",AG1134,IF(AA1134&lt;&gt;"",AA1134,"")))</f>
        <v>A</v>
      </c>
      <c r="AQ1134" s="84" t="str">
        <f aca="false">IF(E1134="","",IF(U1134="","À SOUDER",IF(X1134="","VT EN ATTENTE",IF(X1134="R","VT REJETÉ – À REPRENDRE",IF(AP1134="","À RADIOGRAPHIER",IF(AP1134="A","ACCEPTÉ",IF(AP1134="NX","NX – RT À REFAIRE",IF(IF(AO1134=1,AD1134,IF(AO1134=2,AI1134,""))="A","RÉPARÉ – À RADIOGRAPHIER",IF(IF(AO1134=1,AD1134,IF(AO1134=2,AI1134,""))="R","VT REJETÉ – À REPRENDRE",IF(OR(AP1134="CO",AP1134="NT"),"COUPE – À RESOUDER","À RÉPARER"))))))))))</f>
        <v>ACCEPTÉ</v>
      </c>
      <c r="AR1134" s="82" t="str">
        <f aca="false">IF(AND(ISNUMBER(U1134),OR(AQ1134="À RADIOGRAPHIER",AQ1134="RÉPARÉ – À RADIOGRAPHIER",AQ1134="NX – RT À REFAIRE",AQ1134="À RÉPARER",AQ1134="COUPE – À RESOUDER",AQ1134="VT REJETÉ – À REPRENDRE")),MAX(0,'PROGRAMME RT'!$C$4-U1134),"")</f>
        <v/>
      </c>
      <c r="AS1134" s="82" t="n">
        <f aca="false">IF(AND(OR(AQ1134="À RADIOGRAPHIER",AQ1134="RÉPARÉ – À RADIOGRAPHIER",AQ1134="NX – RT À REFAIRE"),OR('PROGRAMME RT'!$D$5="TOUTES",B1134='PROGRAMME RT'!$D$5)),1,0)</f>
        <v>0</v>
      </c>
      <c r="AT1134" s="82" t="str">
        <f aca="false">IF(AS1134=1,SUM(AS$7:AS1134),"")</f>
        <v/>
      </c>
      <c r="AU1134" s="82" t="n">
        <f aca="false">IF(AND(OR(AA1134="R",AA1134="NX",AA1134="NT",AA1134="CO"),OR('JOINTS DE RÉPARATION'!$D$5="TOUTES",B1134='JOINTS DE RÉPARATION'!$D$5),OR('JOINTS DE RÉPARATION'!$L$4="TOUS",AQ1134&lt;&gt;"ACCEPTÉ")),1,0)</f>
        <v>0</v>
      </c>
      <c r="AV1134" s="82" t="str">
        <f aca="false">IF(AU1134=1,SUM(AU$7:AU1134),"")</f>
        <v/>
      </c>
      <c r="AW1134" s="82" t="str">
        <f aca="false">IF(E1134="","",B1134&amp;"|"&amp;E1134)</f>
        <v>MFD-ISW → MFD-CPF|JN°990</v>
      </c>
    </row>
    <row r="1135" customFormat="false" ht="74.6" hidden="false" customHeight="false" outlineLevel="0" collapsed="false">
      <c r="A1135" s="79" t="n">
        <f aca="false">IF(E1135="","",ROW()-6)</f>
        <v>1129</v>
      </c>
      <c r="B1135" s="80" t="s">
        <v>110</v>
      </c>
      <c r="C1135" s="81" t="s">
        <v>1352</v>
      </c>
      <c r="D1135" s="81" t="n">
        <v>8</v>
      </c>
      <c r="E1135" s="81" t="s">
        <v>1355</v>
      </c>
      <c r="F1135" s="82" t="str">
        <f aca="false">IF(E1135="","",IF(LEFT(E1135,2)="DJ","DJ","JN"))</f>
        <v>JN</v>
      </c>
      <c r="G1135" s="81"/>
      <c r="H1135" s="81" t="s">
        <v>871</v>
      </c>
      <c r="I1135" s="81" t="n">
        <v>9.53</v>
      </c>
      <c r="J1135" s="81" t="s">
        <v>872</v>
      </c>
      <c r="K1135" s="81" t="s">
        <v>879</v>
      </c>
      <c r="L1135" s="81" t="n">
        <v>2082540</v>
      </c>
      <c r="M1135" s="81" t="n">
        <v>15421104</v>
      </c>
      <c r="N1135" s="81" t="n">
        <v>11.94</v>
      </c>
      <c r="O1135" s="81" t="n">
        <v>2092190</v>
      </c>
      <c r="P1135" s="81" t="n">
        <v>15421110</v>
      </c>
      <c r="Q1135" s="81" t="n">
        <v>11.94</v>
      </c>
      <c r="R1135" s="81" t="s">
        <v>1299</v>
      </c>
      <c r="S1135" s="81"/>
      <c r="T1135" s="81"/>
      <c r="U1135" s="83" t="n">
        <v>46280</v>
      </c>
      <c r="V1135" s="83" t="n">
        <v>46280</v>
      </c>
      <c r="W1135" s="81" t="s">
        <v>1339</v>
      </c>
      <c r="X1135" s="81" t="s">
        <v>876</v>
      </c>
      <c r="Y1135" s="83" t="n">
        <v>46284</v>
      </c>
      <c r="Z1135" s="81" t="s">
        <v>1354</v>
      </c>
      <c r="AA1135" s="81" t="s">
        <v>876</v>
      </c>
      <c r="AB1135" s="81"/>
      <c r="AC1135" s="81"/>
      <c r="AD1135" s="81"/>
      <c r="AE1135" s="83"/>
      <c r="AF1135" s="81"/>
      <c r="AG1135" s="81"/>
      <c r="AH1135" s="81"/>
      <c r="AI1135" s="81"/>
      <c r="AJ1135" s="83"/>
      <c r="AK1135" s="81"/>
      <c r="AL1135" s="81"/>
      <c r="AM1135" s="83"/>
      <c r="AN1135" s="80"/>
      <c r="AO1135" s="82" t="n">
        <f aca="false">IF(E1135="","",(AA1135&lt;&gt;"")+(AG1135&lt;&gt;"")+(AL1135&lt;&gt;""))</f>
        <v>1</v>
      </c>
      <c r="AP1135" s="82" t="str">
        <f aca="false">IF(AL1135&lt;&gt;"",AL1135,IF(AG1135&lt;&gt;"",AG1135,IF(AA1135&lt;&gt;"",AA1135,"")))</f>
        <v>A</v>
      </c>
      <c r="AQ1135" s="84" t="str">
        <f aca="false">IF(E1135="","",IF(U1135="","À SOUDER",IF(X1135="","VT EN ATTENTE",IF(X1135="R","VT REJETÉ – À REPRENDRE",IF(AP1135="","À RADIOGRAPHIER",IF(AP1135="A","ACCEPTÉ",IF(AP1135="NX","NX – RT À REFAIRE",IF(IF(AO1135=1,AD1135,IF(AO1135=2,AI1135,""))="A","RÉPARÉ – À RADIOGRAPHIER",IF(IF(AO1135=1,AD1135,IF(AO1135=2,AI1135,""))="R","VT REJETÉ – À REPRENDRE",IF(OR(AP1135="CO",AP1135="NT"),"COUPE – À RESOUDER","À RÉPARER"))))))))))</f>
        <v>ACCEPTÉ</v>
      </c>
      <c r="AR1135" s="82" t="str">
        <f aca="false">IF(AND(ISNUMBER(U1135),OR(AQ1135="À RADIOGRAPHIER",AQ1135="RÉPARÉ – À RADIOGRAPHIER",AQ1135="NX – RT À REFAIRE",AQ1135="À RÉPARER",AQ1135="COUPE – À RESOUDER",AQ1135="VT REJETÉ – À REPRENDRE")),MAX(0,'PROGRAMME RT'!$C$4-U1135),"")</f>
        <v/>
      </c>
      <c r="AS1135" s="82" t="n">
        <f aca="false">IF(AND(OR(AQ1135="À RADIOGRAPHIER",AQ1135="RÉPARÉ – À RADIOGRAPHIER",AQ1135="NX – RT À REFAIRE"),OR('PROGRAMME RT'!$D$5="TOUTES",B1135='PROGRAMME RT'!$D$5)),1,0)</f>
        <v>0</v>
      </c>
      <c r="AT1135" s="82" t="str">
        <f aca="false">IF(AS1135=1,SUM(AS$7:AS1135),"")</f>
        <v/>
      </c>
      <c r="AU1135" s="82" t="n">
        <f aca="false">IF(AND(OR(AA1135="R",AA1135="NX",AA1135="NT",AA1135="CO"),OR('JOINTS DE RÉPARATION'!$D$5="TOUTES",B1135='JOINTS DE RÉPARATION'!$D$5),OR('JOINTS DE RÉPARATION'!$L$4="TOUS",AQ1135&lt;&gt;"ACCEPTÉ")),1,0)</f>
        <v>0</v>
      </c>
      <c r="AV1135" s="82" t="str">
        <f aca="false">IF(AU1135=1,SUM(AU$7:AU1135),"")</f>
        <v/>
      </c>
      <c r="AW1135" s="82" t="str">
        <f aca="false">IF(E1135="","",B1135&amp;"|"&amp;E1135)</f>
        <v>MFD-ISW → MFD-CPF|JN°991</v>
      </c>
    </row>
    <row r="1136" customFormat="false" ht="74.6" hidden="false" customHeight="false" outlineLevel="0" collapsed="false">
      <c r="A1136" s="79" t="n">
        <f aca="false">IF(E1136="","",ROW()-6)</f>
        <v>1130</v>
      </c>
      <c r="B1136" s="80" t="s">
        <v>110</v>
      </c>
      <c r="C1136" s="81" t="s">
        <v>1352</v>
      </c>
      <c r="D1136" s="81" t="n">
        <v>8</v>
      </c>
      <c r="E1136" s="81" t="s">
        <v>1356</v>
      </c>
      <c r="F1136" s="82" t="str">
        <f aca="false">IF(E1136="","",IF(LEFT(E1136,2)="DJ","DJ","JN"))</f>
        <v>JN</v>
      </c>
      <c r="G1136" s="81"/>
      <c r="H1136" s="81" t="s">
        <v>871</v>
      </c>
      <c r="I1136" s="81" t="n">
        <v>9.53</v>
      </c>
      <c r="J1136" s="81" t="s">
        <v>872</v>
      </c>
      <c r="K1136" s="81" t="s">
        <v>879</v>
      </c>
      <c r="L1136" s="81" t="n">
        <v>2092190</v>
      </c>
      <c r="M1136" s="81" t="n">
        <v>15421110</v>
      </c>
      <c r="N1136" s="81" t="n">
        <v>11.94</v>
      </c>
      <c r="O1136" s="81" t="n">
        <v>2080380</v>
      </c>
      <c r="P1136" s="81" t="n">
        <v>15421103</v>
      </c>
      <c r="Q1136" s="81" t="n">
        <v>11.94</v>
      </c>
      <c r="R1136" s="81" t="s">
        <v>1299</v>
      </c>
      <c r="S1136" s="81"/>
      <c r="T1136" s="81"/>
      <c r="U1136" s="83" t="n">
        <v>46280</v>
      </c>
      <c r="V1136" s="83" t="n">
        <v>46280</v>
      </c>
      <c r="W1136" s="81" t="s">
        <v>1339</v>
      </c>
      <c r="X1136" s="81" t="s">
        <v>876</v>
      </c>
      <c r="Y1136" s="83" t="n">
        <v>46284</v>
      </c>
      <c r="Z1136" s="81" t="s">
        <v>1354</v>
      </c>
      <c r="AA1136" s="81" t="s">
        <v>876</v>
      </c>
      <c r="AB1136" s="81"/>
      <c r="AC1136" s="81"/>
      <c r="AD1136" s="81"/>
      <c r="AE1136" s="83"/>
      <c r="AF1136" s="81"/>
      <c r="AG1136" s="81"/>
      <c r="AH1136" s="81"/>
      <c r="AI1136" s="81"/>
      <c r="AJ1136" s="83"/>
      <c r="AK1136" s="81"/>
      <c r="AL1136" s="81"/>
      <c r="AM1136" s="83"/>
      <c r="AN1136" s="80"/>
      <c r="AO1136" s="82" t="n">
        <f aca="false">IF(E1136="","",(AA1136&lt;&gt;"")+(AG1136&lt;&gt;"")+(AL1136&lt;&gt;""))</f>
        <v>1</v>
      </c>
      <c r="AP1136" s="82" t="str">
        <f aca="false">IF(AL1136&lt;&gt;"",AL1136,IF(AG1136&lt;&gt;"",AG1136,IF(AA1136&lt;&gt;"",AA1136,"")))</f>
        <v>A</v>
      </c>
      <c r="AQ1136" s="84" t="str">
        <f aca="false">IF(E1136="","",IF(U1136="","À SOUDER",IF(X1136="","VT EN ATTENTE",IF(X1136="R","VT REJETÉ – À REPRENDRE",IF(AP1136="","À RADIOGRAPHIER",IF(AP1136="A","ACCEPTÉ",IF(AP1136="NX","NX – RT À REFAIRE",IF(IF(AO1136=1,AD1136,IF(AO1136=2,AI1136,""))="A","RÉPARÉ – À RADIOGRAPHIER",IF(IF(AO1136=1,AD1136,IF(AO1136=2,AI1136,""))="R","VT REJETÉ – À REPRENDRE",IF(OR(AP1136="CO",AP1136="NT"),"COUPE – À RESOUDER","À RÉPARER"))))))))))</f>
        <v>ACCEPTÉ</v>
      </c>
      <c r="AR1136" s="82" t="str">
        <f aca="false">IF(AND(ISNUMBER(U1136),OR(AQ1136="À RADIOGRAPHIER",AQ1136="RÉPARÉ – À RADIOGRAPHIER",AQ1136="NX – RT À REFAIRE",AQ1136="À RÉPARER",AQ1136="COUPE – À RESOUDER",AQ1136="VT REJETÉ – À REPRENDRE")),MAX(0,'PROGRAMME RT'!$C$4-U1136),"")</f>
        <v/>
      </c>
      <c r="AS1136" s="82" t="n">
        <f aca="false">IF(AND(OR(AQ1136="À RADIOGRAPHIER",AQ1136="RÉPARÉ – À RADIOGRAPHIER",AQ1136="NX – RT À REFAIRE"),OR('PROGRAMME RT'!$D$5="TOUTES",B1136='PROGRAMME RT'!$D$5)),1,0)</f>
        <v>0</v>
      </c>
      <c r="AT1136" s="82" t="str">
        <f aca="false">IF(AS1136=1,SUM(AS$7:AS1136),"")</f>
        <v/>
      </c>
      <c r="AU1136" s="82" t="n">
        <f aca="false">IF(AND(OR(AA1136="R",AA1136="NX",AA1136="NT",AA1136="CO"),OR('JOINTS DE RÉPARATION'!$D$5="TOUTES",B1136='JOINTS DE RÉPARATION'!$D$5),OR('JOINTS DE RÉPARATION'!$L$4="TOUS",AQ1136&lt;&gt;"ACCEPTÉ")),1,0)</f>
        <v>0</v>
      </c>
      <c r="AV1136" s="82" t="str">
        <f aca="false">IF(AU1136=1,SUM(AU$7:AU1136),"")</f>
        <v/>
      </c>
      <c r="AW1136" s="82" t="str">
        <f aca="false">IF(E1136="","",B1136&amp;"|"&amp;E1136)</f>
        <v>MFD-ISW → MFD-CPF|JN°992</v>
      </c>
    </row>
    <row r="1137" customFormat="false" ht="74.6" hidden="false" customHeight="false" outlineLevel="0" collapsed="false">
      <c r="A1137" s="79" t="n">
        <f aca="false">IF(E1137="","",ROW()-6)</f>
        <v>1131</v>
      </c>
      <c r="B1137" s="80" t="s">
        <v>110</v>
      </c>
      <c r="C1137" s="81" t="s">
        <v>1352</v>
      </c>
      <c r="D1137" s="81" t="n">
        <v>8</v>
      </c>
      <c r="E1137" s="81" t="s">
        <v>1357</v>
      </c>
      <c r="F1137" s="82" t="str">
        <f aca="false">IF(E1137="","",IF(LEFT(E1137,2)="DJ","DJ","JN"))</f>
        <v>JN</v>
      </c>
      <c r="G1137" s="81"/>
      <c r="H1137" s="81" t="s">
        <v>871</v>
      </c>
      <c r="I1137" s="81" t="n">
        <v>9.53</v>
      </c>
      <c r="J1137" s="81" t="s">
        <v>872</v>
      </c>
      <c r="K1137" s="81" t="s">
        <v>879</v>
      </c>
      <c r="L1137" s="81" t="n">
        <v>2080380</v>
      </c>
      <c r="M1137" s="81" t="n">
        <v>15421103</v>
      </c>
      <c r="N1137" s="81" t="n">
        <v>11.94</v>
      </c>
      <c r="O1137" s="81" t="n">
        <v>2087480</v>
      </c>
      <c r="P1137" s="81" t="n">
        <v>15421107</v>
      </c>
      <c r="Q1137" s="81" t="n">
        <v>11.94</v>
      </c>
      <c r="R1137" s="81" t="s">
        <v>1299</v>
      </c>
      <c r="S1137" s="81"/>
      <c r="T1137" s="81"/>
      <c r="U1137" s="83" t="n">
        <v>46280</v>
      </c>
      <c r="V1137" s="83" t="n">
        <v>46280</v>
      </c>
      <c r="W1137" s="81" t="s">
        <v>1339</v>
      </c>
      <c r="X1137" s="81" t="s">
        <v>876</v>
      </c>
      <c r="Y1137" s="83" t="n">
        <v>46284</v>
      </c>
      <c r="Z1137" s="81" t="s">
        <v>1354</v>
      </c>
      <c r="AA1137" s="81" t="s">
        <v>876</v>
      </c>
      <c r="AB1137" s="81"/>
      <c r="AC1137" s="81"/>
      <c r="AD1137" s="81"/>
      <c r="AE1137" s="83"/>
      <c r="AF1137" s="81"/>
      <c r="AG1137" s="81"/>
      <c r="AH1137" s="81"/>
      <c r="AI1137" s="81"/>
      <c r="AJ1137" s="83"/>
      <c r="AK1137" s="81"/>
      <c r="AL1137" s="81"/>
      <c r="AM1137" s="83"/>
      <c r="AN1137" s="80"/>
      <c r="AO1137" s="82" t="n">
        <f aca="false">IF(E1137="","",(AA1137&lt;&gt;"")+(AG1137&lt;&gt;"")+(AL1137&lt;&gt;""))</f>
        <v>1</v>
      </c>
      <c r="AP1137" s="82" t="str">
        <f aca="false">IF(AL1137&lt;&gt;"",AL1137,IF(AG1137&lt;&gt;"",AG1137,IF(AA1137&lt;&gt;"",AA1137,"")))</f>
        <v>A</v>
      </c>
      <c r="AQ1137" s="84" t="str">
        <f aca="false">IF(E1137="","",IF(U1137="","À SOUDER",IF(X1137="","VT EN ATTENTE",IF(X1137="R","VT REJETÉ – À REPRENDRE",IF(AP1137="","À RADIOGRAPHIER",IF(AP1137="A","ACCEPTÉ",IF(AP1137="NX","NX – RT À REFAIRE",IF(IF(AO1137=1,AD1137,IF(AO1137=2,AI1137,""))="A","RÉPARÉ – À RADIOGRAPHIER",IF(IF(AO1137=1,AD1137,IF(AO1137=2,AI1137,""))="R","VT REJETÉ – À REPRENDRE",IF(OR(AP1137="CO",AP1137="NT"),"COUPE – À RESOUDER","À RÉPARER"))))))))))</f>
        <v>ACCEPTÉ</v>
      </c>
      <c r="AR1137" s="82" t="str">
        <f aca="false">IF(AND(ISNUMBER(U1137),OR(AQ1137="À RADIOGRAPHIER",AQ1137="RÉPARÉ – À RADIOGRAPHIER",AQ1137="NX – RT À REFAIRE",AQ1137="À RÉPARER",AQ1137="COUPE – À RESOUDER",AQ1137="VT REJETÉ – À REPRENDRE")),MAX(0,'PROGRAMME RT'!$C$4-U1137),"")</f>
        <v/>
      </c>
      <c r="AS1137" s="82" t="n">
        <f aca="false">IF(AND(OR(AQ1137="À RADIOGRAPHIER",AQ1137="RÉPARÉ – À RADIOGRAPHIER",AQ1137="NX – RT À REFAIRE"),OR('PROGRAMME RT'!$D$5="TOUTES",B1137='PROGRAMME RT'!$D$5)),1,0)</f>
        <v>0</v>
      </c>
      <c r="AT1137" s="82" t="str">
        <f aca="false">IF(AS1137=1,SUM(AS$7:AS1137),"")</f>
        <v/>
      </c>
      <c r="AU1137" s="82" t="n">
        <f aca="false">IF(AND(OR(AA1137="R",AA1137="NX",AA1137="NT",AA1137="CO"),OR('JOINTS DE RÉPARATION'!$D$5="TOUTES",B1137='JOINTS DE RÉPARATION'!$D$5),OR('JOINTS DE RÉPARATION'!$L$4="TOUS",AQ1137&lt;&gt;"ACCEPTÉ")),1,0)</f>
        <v>0</v>
      </c>
      <c r="AV1137" s="82" t="str">
        <f aca="false">IF(AU1137=1,SUM(AU$7:AU1137),"")</f>
        <v/>
      </c>
      <c r="AW1137" s="82" t="str">
        <f aca="false">IF(E1137="","",B1137&amp;"|"&amp;E1137)</f>
        <v>MFD-ISW → MFD-CPF|JN°993</v>
      </c>
    </row>
    <row r="1138" customFormat="false" ht="74.6" hidden="false" customHeight="false" outlineLevel="0" collapsed="false">
      <c r="A1138" s="79" t="n">
        <f aca="false">IF(E1138="","",ROW()-6)</f>
        <v>1132</v>
      </c>
      <c r="B1138" s="80" t="s">
        <v>110</v>
      </c>
      <c r="C1138" s="81" t="s">
        <v>1352</v>
      </c>
      <c r="D1138" s="81" t="n">
        <v>8</v>
      </c>
      <c r="E1138" s="81" t="s">
        <v>1358</v>
      </c>
      <c r="F1138" s="82" t="str">
        <f aca="false">IF(E1138="","",IF(LEFT(E1138,2)="DJ","DJ","JN"))</f>
        <v>JN</v>
      </c>
      <c r="G1138" s="81"/>
      <c r="H1138" s="81" t="s">
        <v>871</v>
      </c>
      <c r="I1138" s="81" t="n">
        <v>9.53</v>
      </c>
      <c r="J1138" s="81" t="s">
        <v>872</v>
      </c>
      <c r="K1138" s="81" t="s">
        <v>879</v>
      </c>
      <c r="L1138" s="81" t="n">
        <v>2087480</v>
      </c>
      <c r="M1138" s="81" t="n">
        <v>15421107</v>
      </c>
      <c r="N1138" s="81" t="n">
        <v>11.94</v>
      </c>
      <c r="O1138" s="81" t="n">
        <v>2080790</v>
      </c>
      <c r="P1138" s="81" t="n">
        <v>15421103</v>
      </c>
      <c r="Q1138" s="81" t="n">
        <v>11.94</v>
      </c>
      <c r="R1138" s="81" t="s">
        <v>1299</v>
      </c>
      <c r="S1138" s="81"/>
      <c r="T1138" s="81"/>
      <c r="U1138" s="83" t="n">
        <v>46280</v>
      </c>
      <c r="V1138" s="83" t="n">
        <v>46280</v>
      </c>
      <c r="W1138" s="81" t="s">
        <v>1339</v>
      </c>
      <c r="X1138" s="81" t="s">
        <v>876</v>
      </c>
      <c r="Y1138" s="83" t="n">
        <v>46284</v>
      </c>
      <c r="Z1138" s="81" t="s">
        <v>1354</v>
      </c>
      <c r="AA1138" s="81" t="s">
        <v>1073</v>
      </c>
      <c r="AB1138" s="81" t="s">
        <v>1359</v>
      </c>
      <c r="AC1138" s="81"/>
      <c r="AD1138" s="81"/>
      <c r="AE1138" s="83"/>
      <c r="AF1138" s="81"/>
      <c r="AG1138" s="81"/>
      <c r="AH1138" s="81"/>
      <c r="AI1138" s="81"/>
      <c r="AJ1138" s="83"/>
      <c r="AK1138" s="81"/>
      <c r="AL1138" s="81"/>
      <c r="AM1138" s="83"/>
      <c r="AN1138" s="80"/>
      <c r="AO1138" s="82" t="n">
        <f aca="false">IF(E1138="","",(AA1138&lt;&gt;"")+(AG1138&lt;&gt;"")+(AL1138&lt;&gt;""))</f>
        <v>1</v>
      </c>
      <c r="AP1138" s="82" t="str">
        <f aca="false">IF(AL1138&lt;&gt;"",AL1138,IF(AG1138&lt;&gt;"",AG1138,IF(AA1138&lt;&gt;"",AA1138,"")))</f>
        <v>R</v>
      </c>
      <c r="AQ1138" s="84" t="str">
        <f aca="false">IF(E1138="","",IF(U1138="","À SOUDER",IF(X1138="","VT EN ATTENTE",IF(X1138="R","VT REJETÉ – À REPRENDRE",IF(AP1138="","À RADIOGRAPHIER",IF(AP1138="A","ACCEPTÉ",IF(AP1138="NX","NX – RT À REFAIRE",IF(IF(AO1138=1,AD1138,IF(AO1138=2,AI1138,""))="A","RÉPARÉ – À RADIOGRAPHIER",IF(IF(AO1138=1,AD1138,IF(AO1138=2,AI1138,""))="R","VT REJETÉ – À REPRENDRE",IF(OR(AP1138="CO",AP1138="NT"),"COUPE – À RESOUDER","À RÉPARER"))))))))))</f>
        <v>À RÉPARER</v>
      </c>
      <c r="AR1138" s="82" t="n">
        <f aca="false">IF(AND(ISNUMBER(U1138),OR(AQ1138="À RADIOGRAPHIER",AQ1138="RÉPARÉ – À RADIOGRAPHIER",AQ1138="NX – RT À REFAIRE",AQ1138="À RÉPARER",AQ1138="COUPE – À RESOUDER",AQ1138="VT REJETÉ – À REPRENDRE")),MAX(0,'PROGRAMME RT'!$C$4-U1138),"")</f>
        <v>13</v>
      </c>
      <c r="AS1138" s="82" t="n">
        <f aca="false">IF(AND(OR(AQ1138="À RADIOGRAPHIER",AQ1138="RÉPARÉ – À RADIOGRAPHIER",AQ1138="NX – RT À REFAIRE"),OR('PROGRAMME RT'!$D$5="TOUTES",B1138='PROGRAMME RT'!$D$5)),1,0)</f>
        <v>0</v>
      </c>
      <c r="AT1138" s="82" t="str">
        <f aca="false">IF(AS1138=1,SUM(AS$7:AS1138),"")</f>
        <v/>
      </c>
      <c r="AU1138" s="82" t="n">
        <f aca="false">IF(AND(OR(AA1138="R",AA1138="NX",AA1138="NT",AA1138="CO"),OR('JOINTS DE RÉPARATION'!$D$5="TOUTES",B1138='JOINTS DE RÉPARATION'!$D$5),OR('JOINTS DE RÉPARATION'!$L$4="TOUS",AQ1138&lt;&gt;"ACCEPTÉ")),1,0)</f>
        <v>1</v>
      </c>
      <c r="AV1138" s="82" t="n">
        <f aca="false">IF(AU1138=1,SUM(AU$7:AU1138),"")</f>
        <v>23</v>
      </c>
      <c r="AW1138" s="82" t="str">
        <f aca="false">IF(E1138="","",B1138&amp;"|"&amp;E1138)</f>
        <v>MFD-ISW → MFD-CPF|JN°994</v>
      </c>
    </row>
    <row r="1139" customFormat="false" ht="74.6" hidden="false" customHeight="false" outlineLevel="0" collapsed="false">
      <c r="A1139" s="79" t="n">
        <f aca="false">IF(E1139="","",ROW()-6)</f>
        <v>1133</v>
      </c>
      <c r="B1139" s="80" t="s">
        <v>110</v>
      </c>
      <c r="C1139" s="81" t="s">
        <v>1352</v>
      </c>
      <c r="D1139" s="81" t="n">
        <v>8</v>
      </c>
      <c r="E1139" s="81" t="s">
        <v>1360</v>
      </c>
      <c r="F1139" s="82" t="str">
        <f aca="false">IF(E1139="","",IF(LEFT(E1139,2)="DJ","DJ","JN"))</f>
        <v>DJ</v>
      </c>
      <c r="G1139" s="81"/>
      <c r="H1139" s="81" t="s">
        <v>871</v>
      </c>
      <c r="I1139" s="81" t="n">
        <v>9.53</v>
      </c>
      <c r="J1139" s="81" t="s">
        <v>872</v>
      </c>
      <c r="K1139" s="81" t="s">
        <v>873</v>
      </c>
      <c r="L1139" s="81" t="n">
        <v>2080790</v>
      </c>
      <c r="M1139" s="81" t="n">
        <v>15421103</v>
      </c>
      <c r="N1139" s="81" t="n">
        <v>11.94</v>
      </c>
      <c r="O1139" s="81" t="n">
        <v>2079180</v>
      </c>
      <c r="P1139" s="81" t="n">
        <v>15421102</v>
      </c>
      <c r="Q1139" s="81" t="n">
        <v>11.94</v>
      </c>
      <c r="R1139" s="81" t="s">
        <v>1147</v>
      </c>
      <c r="S1139" s="81"/>
      <c r="T1139" s="81"/>
      <c r="U1139" s="83" t="n">
        <v>46279</v>
      </c>
      <c r="V1139" s="83" t="n">
        <v>46279</v>
      </c>
      <c r="W1139" s="81" t="s">
        <v>1227</v>
      </c>
      <c r="X1139" s="81" t="s">
        <v>876</v>
      </c>
      <c r="Y1139" s="83" t="n">
        <v>46280</v>
      </c>
      <c r="Z1139" s="81" t="s">
        <v>1149</v>
      </c>
      <c r="AA1139" s="81" t="s">
        <v>876</v>
      </c>
      <c r="AB1139" s="81"/>
      <c r="AC1139" s="81"/>
      <c r="AD1139" s="81"/>
      <c r="AE1139" s="83"/>
      <c r="AF1139" s="81"/>
      <c r="AG1139" s="81"/>
      <c r="AH1139" s="81"/>
      <c r="AI1139" s="81"/>
      <c r="AJ1139" s="83"/>
      <c r="AK1139" s="81"/>
      <c r="AL1139" s="81"/>
      <c r="AM1139" s="83"/>
      <c r="AN1139" s="80"/>
      <c r="AO1139" s="82" t="n">
        <f aca="false">IF(E1139="","",(AA1139&lt;&gt;"")+(AG1139&lt;&gt;"")+(AL1139&lt;&gt;""))</f>
        <v>1</v>
      </c>
      <c r="AP1139" s="82" t="str">
        <f aca="false">IF(AL1139&lt;&gt;"",AL1139,IF(AG1139&lt;&gt;"",AG1139,IF(AA1139&lt;&gt;"",AA1139,"")))</f>
        <v>A</v>
      </c>
      <c r="AQ1139" s="84" t="str">
        <f aca="false">IF(E1139="","",IF(U1139="","À SOUDER",IF(X1139="","VT EN ATTENTE",IF(X1139="R","VT REJETÉ – À REPRENDRE",IF(AP1139="","À RADIOGRAPHIER",IF(AP1139="A","ACCEPTÉ",IF(AP1139="NX","NX – RT À REFAIRE",IF(IF(AO1139=1,AD1139,IF(AO1139=2,AI1139,""))="A","RÉPARÉ – À RADIOGRAPHIER",IF(IF(AO1139=1,AD1139,IF(AO1139=2,AI1139,""))="R","VT REJETÉ – À REPRENDRE",IF(OR(AP1139="CO",AP1139="NT"),"COUPE – À RESOUDER","À RÉPARER"))))))))))</f>
        <v>ACCEPTÉ</v>
      </c>
      <c r="AR1139" s="82" t="str">
        <f aca="false">IF(AND(ISNUMBER(U1139),OR(AQ1139="À RADIOGRAPHIER",AQ1139="RÉPARÉ – À RADIOGRAPHIER",AQ1139="NX – RT À REFAIRE",AQ1139="À RÉPARER",AQ1139="COUPE – À RESOUDER",AQ1139="VT REJETÉ – À REPRENDRE")),MAX(0,'PROGRAMME RT'!$C$4-U1139),"")</f>
        <v/>
      </c>
      <c r="AS1139" s="82" t="n">
        <f aca="false">IF(AND(OR(AQ1139="À RADIOGRAPHIER",AQ1139="RÉPARÉ – À RADIOGRAPHIER",AQ1139="NX – RT À REFAIRE"),OR('PROGRAMME RT'!$D$5="TOUTES",B1139='PROGRAMME RT'!$D$5)),1,0)</f>
        <v>0</v>
      </c>
      <c r="AT1139" s="82" t="str">
        <f aca="false">IF(AS1139=1,SUM(AS$7:AS1139),"")</f>
        <v/>
      </c>
      <c r="AU1139" s="82" t="n">
        <f aca="false">IF(AND(OR(AA1139="R",AA1139="NX",AA1139="NT",AA1139="CO"),OR('JOINTS DE RÉPARATION'!$D$5="TOUTES",B1139='JOINTS DE RÉPARATION'!$D$5),OR('JOINTS DE RÉPARATION'!$L$4="TOUS",AQ1139&lt;&gt;"ACCEPTÉ")),1,0)</f>
        <v>0</v>
      </c>
      <c r="AV1139" s="82" t="str">
        <f aca="false">IF(AU1139=1,SUM(AU$7:AU1139),"")</f>
        <v/>
      </c>
      <c r="AW1139" s="82" t="str">
        <f aca="false">IF(E1139="","",B1139&amp;"|"&amp;E1139)</f>
        <v>MFD-ISW → MFD-CPF|DJ°380</v>
      </c>
    </row>
    <row r="1140" customFormat="false" ht="74.6" hidden="false" customHeight="false" outlineLevel="0" collapsed="false">
      <c r="A1140" s="79" t="n">
        <f aca="false">IF(E1140="","",ROW()-6)</f>
        <v>1134</v>
      </c>
      <c r="B1140" s="80" t="s">
        <v>110</v>
      </c>
      <c r="C1140" s="81" t="s">
        <v>1352</v>
      </c>
      <c r="D1140" s="81" t="n">
        <v>8</v>
      </c>
      <c r="E1140" s="81" t="s">
        <v>1361</v>
      </c>
      <c r="F1140" s="82" t="str">
        <f aca="false">IF(E1140="","",IF(LEFT(E1140,2)="DJ","DJ","JN"))</f>
        <v>JN</v>
      </c>
      <c r="G1140" s="81"/>
      <c r="H1140" s="81" t="s">
        <v>871</v>
      </c>
      <c r="I1140" s="81" t="n">
        <v>9.53</v>
      </c>
      <c r="J1140" s="81" t="s">
        <v>872</v>
      </c>
      <c r="K1140" s="81" t="s">
        <v>879</v>
      </c>
      <c r="L1140" s="81" t="n">
        <v>2079180</v>
      </c>
      <c r="M1140" s="81" t="n">
        <v>15421102</v>
      </c>
      <c r="N1140" s="81" t="n">
        <v>11.94</v>
      </c>
      <c r="O1140" s="81" t="n">
        <v>2082860</v>
      </c>
      <c r="P1140" s="81" t="n">
        <v>15421105</v>
      </c>
      <c r="Q1140" s="81" t="n">
        <v>11.94</v>
      </c>
      <c r="R1140" s="81" t="s">
        <v>1299</v>
      </c>
      <c r="S1140" s="81"/>
      <c r="T1140" s="81"/>
      <c r="U1140" s="83" t="n">
        <v>46280</v>
      </c>
      <c r="V1140" s="83" t="n">
        <v>46280</v>
      </c>
      <c r="W1140" s="81" t="s">
        <v>1339</v>
      </c>
      <c r="X1140" s="81" t="s">
        <v>876</v>
      </c>
      <c r="Y1140" s="83" t="n">
        <v>46284</v>
      </c>
      <c r="Z1140" s="81" t="s">
        <v>1354</v>
      </c>
      <c r="AA1140" s="81" t="s">
        <v>876</v>
      </c>
      <c r="AB1140" s="81"/>
      <c r="AC1140" s="81"/>
      <c r="AD1140" s="81"/>
      <c r="AE1140" s="83"/>
      <c r="AF1140" s="81"/>
      <c r="AG1140" s="81"/>
      <c r="AH1140" s="81"/>
      <c r="AI1140" s="81"/>
      <c r="AJ1140" s="83"/>
      <c r="AK1140" s="81"/>
      <c r="AL1140" s="81"/>
      <c r="AM1140" s="83"/>
      <c r="AN1140" s="80"/>
      <c r="AO1140" s="82" t="n">
        <f aca="false">IF(E1140="","",(AA1140&lt;&gt;"")+(AG1140&lt;&gt;"")+(AL1140&lt;&gt;""))</f>
        <v>1</v>
      </c>
      <c r="AP1140" s="82" t="str">
        <f aca="false">IF(AL1140&lt;&gt;"",AL1140,IF(AG1140&lt;&gt;"",AG1140,IF(AA1140&lt;&gt;"",AA1140,"")))</f>
        <v>A</v>
      </c>
      <c r="AQ1140" s="84" t="str">
        <f aca="false">IF(E1140="","",IF(U1140="","À SOUDER",IF(X1140="","VT EN ATTENTE",IF(X1140="R","VT REJETÉ – À REPRENDRE",IF(AP1140="","À RADIOGRAPHIER",IF(AP1140="A","ACCEPTÉ",IF(AP1140="NX","NX – RT À REFAIRE",IF(IF(AO1140=1,AD1140,IF(AO1140=2,AI1140,""))="A","RÉPARÉ – À RADIOGRAPHIER",IF(IF(AO1140=1,AD1140,IF(AO1140=2,AI1140,""))="R","VT REJETÉ – À REPRENDRE",IF(OR(AP1140="CO",AP1140="NT"),"COUPE – À RESOUDER","À RÉPARER"))))))))))</f>
        <v>ACCEPTÉ</v>
      </c>
      <c r="AR1140" s="82" t="str">
        <f aca="false">IF(AND(ISNUMBER(U1140),OR(AQ1140="À RADIOGRAPHIER",AQ1140="RÉPARÉ – À RADIOGRAPHIER",AQ1140="NX – RT À REFAIRE",AQ1140="À RÉPARER",AQ1140="COUPE – À RESOUDER",AQ1140="VT REJETÉ – À REPRENDRE")),MAX(0,'PROGRAMME RT'!$C$4-U1140),"")</f>
        <v/>
      </c>
      <c r="AS1140" s="82" t="n">
        <f aca="false">IF(AND(OR(AQ1140="À RADIOGRAPHIER",AQ1140="RÉPARÉ – À RADIOGRAPHIER",AQ1140="NX – RT À REFAIRE"),OR('PROGRAMME RT'!$D$5="TOUTES",B1140='PROGRAMME RT'!$D$5)),1,0)</f>
        <v>0</v>
      </c>
      <c r="AT1140" s="82" t="str">
        <f aca="false">IF(AS1140=1,SUM(AS$7:AS1140),"")</f>
        <v/>
      </c>
      <c r="AU1140" s="82" t="n">
        <f aca="false">IF(AND(OR(AA1140="R",AA1140="NX",AA1140="NT",AA1140="CO"),OR('JOINTS DE RÉPARATION'!$D$5="TOUTES",B1140='JOINTS DE RÉPARATION'!$D$5),OR('JOINTS DE RÉPARATION'!$L$4="TOUS",AQ1140&lt;&gt;"ACCEPTÉ")),1,0)</f>
        <v>0</v>
      </c>
      <c r="AV1140" s="82" t="str">
        <f aca="false">IF(AU1140=1,SUM(AU$7:AU1140),"")</f>
        <v/>
      </c>
      <c r="AW1140" s="82" t="str">
        <f aca="false">IF(E1140="","",B1140&amp;"|"&amp;E1140)</f>
        <v>MFD-ISW → MFD-CPF|JN°995</v>
      </c>
    </row>
    <row r="1141" customFormat="false" ht="74.6" hidden="false" customHeight="false" outlineLevel="0" collapsed="false">
      <c r="A1141" s="79" t="n">
        <f aca="false">IF(E1141="","",ROW()-6)</f>
        <v>1135</v>
      </c>
      <c r="B1141" s="80" t="s">
        <v>110</v>
      </c>
      <c r="C1141" s="81" t="s">
        <v>1352</v>
      </c>
      <c r="D1141" s="81" t="n">
        <v>8</v>
      </c>
      <c r="E1141" s="81" t="s">
        <v>1362</v>
      </c>
      <c r="F1141" s="82" t="str">
        <f aca="false">IF(E1141="","",IF(LEFT(E1141,2)="DJ","DJ","JN"))</f>
        <v>JN</v>
      </c>
      <c r="G1141" s="81"/>
      <c r="H1141" s="81" t="s">
        <v>871</v>
      </c>
      <c r="I1141" s="81" t="n">
        <v>9.53</v>
      </c>
      <c r="J1141" s="81" t="s">
        <v>872</v>
      </c>
      <c r="K1141" s="81" t="s">
        <v>879</v>
      </c>
      <c r="L1141" s="81" t="n">
        <v>2082860</v>
      </c>
      <c r="M1141" s="81" t="n">
        <v>15421105</v>
      </c>
      <c r="N1141" s="81" t="n">
        <v>11.94</v>
      </c>
      <c r="O1141" s="81" t="n">
        <v>2079430</v>
      </c>
      <c r="P1141" s="81" t="n">
        <v>15421102</v>
      </c>
      <c r="Q1141" s="81" t="n">
        <v>11.94</v>
      </c>
      <c r="R1141" s="81" t="s">
        <v>1299</v>
      </c>
      <c r="S1141" s="81"/>
      <c r="T1141" s="81"/>
      <c r="U1141" s="83" t="n">
        <v>46280</v>
      </c>
      <c r="V1141" s="83" t="n">
        <v>46280</v>
      </c>
      <c r="W1141" s="81" t="s">
        <v>1339</v>
      </c>
      <c r="X1141" s="81" t="s">
        <v>876</v>
      </c>
      <c r="Y1141" s="83" t="n">
        <v>46284</v>
      </c>
      <c r="Z1141" s="81" t="s">
        <v>1354</v>
      </c>
      <c r="AA1141" s="81" t="s">
        <v>876</v>
      </c>
      <c r="AB1141" s="81"/>
      <c r="AC1141" s="81"/>
      <c r="AD1141" s="81"/>
      <c r="AE1141" s="83"/>
      <c r="AF1141" s="81"/>
      <c r="AG1141" s="81"/>
      <c r="AH1141" s="81"/>
      <c r="AI1141" s="81"/>
      <c r="AJ1141" s="83"/>
      <c r="AK1141" s="81"/>
      <c r="AL1141" s="81"/>
      <c r="AM1141" s="83"/>
      <c r="AN1141" s="80"/>
      <c r="AO1141" s="82" t="n">
        <f aca="false">IF(E1141="","",(AA1141&lt;&gt;"")+(AG1141&lt;&gt;"")+(AL1141&lt;&gt;""))</f>
        <v>1</v>
      </c>
      <c r="AP1141" s="82" t="str">
        <f aca="false">IF(AL1141&lt;&gt;"",AL1141,IF(AG1141&lt;&gt;"",AG1141,IF(AA1141&lt;&gt;"",AA1141,"")))</f>
        <v>A</v>
      </c>
      <c r="AQ1141" s="84" t="str">
        <f aca="false">IF(E1141="","",IF(U1141="","À SOUDER",IF(X1141="","VT EN ATTENTE",IF(X1141="R","VT REJETÉ – À REPRENDRE",IF(AP1141="","À RADIOGRAPHIER",IF(AP1141="A","ACCEPTÉ",IF(AP1141="NX","NX – RT À REFAIRE",IF(IF(AO1141=1,AD1141,IF(AO1141=2,AI1141,""))="A","RÉPARÉ – À RADIOGRAPHIER",IF(IF(AO1141=1,AD1141,IF(AO1141=2,AI1141,""))="R","VT REJETÉ – À REPRENDRE",IF(OR(AP1141="CO",AP1141="NT"),"COUPE – À RESOUDER","À RÉPARER"))))))))))</f>
        <v>ACCEPTÉ</v>
      </c>
      <c r="AR1141" s="82" t="str">
        <f aca="false">IF(AND(ISNUMBER(U1141),OR(AQ1141="À RADIOGRAPHIER",AQ1141="RÉPARÉ – À RADIOGRAPHIER",AQ1141="NX – RT À REFAIRE",AQ1141="À RÉPARER",AQ1141="COUPE – À RESOUDER",AQ1141="VT REJETÉ – À REPRENDRE")),MAX(0,'PROGRAMME RT'!$C$4-U1141),"")</f>
        <v/>
      </c>
      <c r="AS1141" s="82" t="n">
        <f aca="false">IF(AND(OR(AQ1141="À RADIOGRAPHIER",AQ1141="RÉPARÉ – À RADIOGRAPHIER",AQ1141="NX – RT À REFAIRE"),OR('PROGRAMME RT'!$D$5="TOUTES",B1141='PROGRAMME RT'!$D$5)),1,0)</f>
        <v>0</v>
      </c>
      <c r="AT1141" s="82" t="str">
        <f aca="false">IF(AS1141=1,SUM(AS$7:AS1141),"")</f>
        <v/>
      </c>
      <c r="AU1141" s="82" t="n">
        <f aca="false">IF(AND(OR(AA1141="R",AA1141="NX",AA1141="NT",AA1141="CO"),OR('JOINTS DE RÉPARATION'!$D$5="TOUTES",B1141='JOINTS DE RÉPARATION'!$D$5),OR('JOINTS DE RÉPARATION'!$L$4="TOUS",AQ1141&lt;&gt;"ACCEPTÉ")),1,0)</f>
        <v>0</v>
      </c>
      <c r="AV1141" s="82" t="str">
        <f aca="false">IF(AU1141=1,SUM(AU$7:AU1141),"")</f>
        <v/>
      </c>
      <c r="AW1141" s="82" t="str">
        <f aca="false">IF(E1141="","",B1141&amp;"|"&amp;E1141)</f>
        <v>MFD-ISW → MFD-CPF|JN°996</v>
      </c>
    </row>
    <row r="1142" customFormat="false" ht="74.6" hidden="false" customHeight="false" outlineLevel="0" collapsed="false">
      <c r="A1142" s="79" t="n">
        <f aca="false">IF(E1142="","",ROW()-6)</f>
        <v>1136</v>
      </c>
      <c r="B1142" s="80" t="s">
        <v>110</v>
      </c>
      <c r="C1142" s="81" t="s">
        <v>1352</v>
      </c>
      <c r="D1142" s="81" t="n">
        <v>8</v>
      </c>
      <c r="E1142" s="81" t="s">
        <v>1363</v>
      </c>
      <c r="F1142" s="82" t="str">
        <f aca="false">IF(E1142="","",IF(LEFT(E1142,2)="DJ","DJ","JN"))</f>
        <v>JN</v>
      </c>
      <c r="G1142" s="81"/>
      <c r="H1142" s="81" t="s">
        <v>871</v>
      </c>
      <c r="I1142" s="81" t="n">
        <v>9.53</v>
      </c>
      <c r="J1142" s="81" t="s">
        <v>872</v>
      </c>
      <c r="K1142" s="81" t="s">
        <v>879</v>
      </c>
      <c r="L1142" s="81" t="n">
        <v>2079430</v>
      </c>
      <c r="M1142" s="81" t="n">
        <v>15421102</v>
      </c>
      <c r="N1142" s="81" t="n">
        <v>11.94</v>
      </c>
      <c r="O1142" s="81" t="n">
        <v>2097360</v>
      </c>
      <c r="P1142" s="81" t="n">
        <v>15421112</v>
      </c>
      <c r="Q1142" s="81" t="n">
        <v>11.94</v>
      </c>
      <c r="R1142" s="81" t="s">
        <v>1299</v>
      </c>
      <c r="S1142" s="81"/>
      <c r="T1142" s="81"/>
      <c r="U1142" s="83" t="n">
        <v>46280</v>
      </c>
      <c r="V1142" s="83" t="n">
        <v>46280</v>
      </c>
      <c r="W1142" s="81" t="s">
        <v>1339</v>
      </c>
      <c r="X1142" s="81" t="s">
        <v>876</v>
      </c>
      <c r="Y1142" s="83" t="n">
        <v>46284</v>
      </c>
      <c r="Z1142" s="81" t="s">
        <v>1354</v>
      </c>
      <c r="AA1142" s="81" t="s">
        <v>876</v>
      </c>
      <c r="AB1142" s="81"/>
      <c r="AC1142" s="81"/>
      <c r="AD1142" s="81"/>
      <c r="AE1142" s="83"/>
      <c r="AF1142" s="81"/>
      <c r="AG1142" s="81"/>
      <c r="AH1142" s="81"/>
      <c r="AI1142" s="81"/>
      <c r="AJ1142" s="83"/>
      <c r="AK1142" s="81"/>
      <c r="AL1142" s="81"/>
      <c r="AM1142" s="83"/>
      <c r="AN1142" s="80"/>
      <c r="AO1142" s="82" t="n">
        <f aca="false">IF(E1142="","",(AA1142&lt;&gt;"")+(AG1142&lt;&gt;"")+(AL1142&lt;&gt;""))</f>
        <v>1</v>
      </c>
      <c r="AP1142" s="82" t="str">
        <f aca="false">IF(AL1142&lt;&gt;"",AL1142,IF(AG1142&lt;&gt;"",AG1142,IF(AA1142&lt;&gt;"",AA1142,"")))</f>
        <v>A</v>
      </c>
      <c r="AQ1142" s="84" t="str">
        <f aca="false">IF(E1142="","",IF(U1142="","À SOUDER",IF(X1142="","VT EN ATTENTE",IF(X1142="R","VT REJETÉ – À REPRENDRE",IF(AP1142="","À RADIOGRAPHIER",IF(AP1142="A","ACCEPTÉ",IF(AP1142="NX","NX – RT À REFAIRE",IF(IF(AO1142=1,AD1142,IF(AO1142=2,AI1142,""))="A","RÉPARÉ – À RADIOGRAPHIER",IF(IF(AO1142=1,AD1142,IF(AO1142=2,AI1142,""))="R","VT REJETÉ – À REPRENDRE",IF(OR(AP1142="CO",AP1142="NT"),"COUPE – À RESOUDER","À RÉPARER"))))))))))</f>
        <v>ACCEPTÉ</v>
      </c>
      <c r="AR1142" s="82" t="str">
        <f aca="false">IF(AND(ISNUMBER(U1142),OR(AQ1142="À RADIOGRAPHIER",AQ1142="RÉPARÉ – À RADIOGRAPHIER",AQ1142="NX – RT À REFAIRE",AQ1142="À RÉPARER",AQ1142="COUPE – À RESOUDER",AQ1142="VT REJETÉ – À REPRENDRE")),MAX(0,'PROGRAMME RT'!$C$4-U1142),"")</f>
        <v/>
      </c>
      <c r="AS1142" s="82" t="n">
        <f aca="false">IF(AND(OR(AQ1142="À RADIOGRAPHIER",AQ1142="RÉPARÉ – À RADIOGRAPHIER",AQ1142="NX – RT À REFAIRE"),OR('PROGRAMME RT'!$D$5="TOUTES",B1142='PROGRAMME RT'!$D$5)),1,0)</f>
        <v>0</v>
      </c>
      <c r="AT1142" s="82" t="str">
        <f aca="false">IF(AS1142=1,SUM(AS$7:AS1142),"")</f>
        <v/>
      </c>
      <c r="AU1142" s="82" t="n">
        <f aca="false">IF(AND(OR(AA1142="R",AA1142="NX",AA1142="NT",AA1142="CO"),OR('JOINTS DE RÉPARATION'!$D$5="TOUTES",B1142='JOINTS DE RÉPARATION'!$D$5),OR('JOINTS DE RÉPARATION'!$L$4="TOUS",AQ1142&lt;&gt;"ACCEPTÉ")),1,0)</f>
        <v>0</v>
      </c>
      <c r="AV1142" s="82" t="str">
        <f aca="false">IF(AU1142=1,SUM(AU$7:AU1142),"")</f>
        <v/>
      </c>
      <c r="AW1142" s="82" t="str">
        <f aca="false">IF(E1142="","",B1142&amp;"|"&amp;E1142)</f>
        <v>MFD-ISW → MFD-CPF|JN°997</v>
      </c>
    </row>
    <row r="1143" customFormat="false" ht="74.6" hidden="false" customHeight="false" outlineLevel="0" collapsed="false">
      <c r="A1143" s="79" t="n">
        <f aca="false">IF(E1143="","",ROW()-6)</f>
        <v>1137</v>
      </c>
      <c r="B1143" s="80" t="s">
        <v>110</v>
      </c>
      <c r="C1143" s="81" t="s">
        <v>1352</v>
      </c>
      <c r="D1143" s="81" t="n">
        <v>8</v>
      </c>
      <c r="E1143" s="81" t="s">
        <v>1364</v>
      </c>
      <c r="F1143" s="82" t="str">
        <f aca="false">IF(E1143="","",IF(LEFT(E1143,2)="DJ","DJ","JN"))</f>
        <v>JN</v>
      </c>
      <c r="G1143" s="81"/>
      <c r="H1143" s="81" t="s">
        <v>871</v>
      </c>
      <c r="I1143" s="81" t="n">
        <v>9.53</v>
      </c>
      <c r="J1143" s="81" t="s">
        <v>872</v>
      </c>
      <c r="K1143" s="81" t="s">
        <v>879</v>
      </c>
      <c r="L1143" s="81" t="n">
        <v>2097360</v>
      </c>
      <c r="M1143" s="81" t="n">
        <v>15421112</v>
      </c>
      <c r="N1143" s="81" t="n">
        <v>11.94</v>
      </c>
      <c r="O1143" s="81" t="n">
        <v>2094350</v>
      </c>
      <c r="P1143" s="81" t="n">
        <v>15421110</v>
      </c>
      <c r="Q1143" s="81" t="n">
        <v>11.94</v>
      </c>
      <c r="R1143" s="81" t="s">
        <v>1299</v>
      </c>
      <c r="S1143" s="81"/>
      <c r="T1143" s="81"/>
      <c r="U1143" s="83" t="n">
        <v>46280</v>
      </c>
      <c r="V1143" s="83" t="n">
        <v>46280</v>
      </c>
      <c r="W1143" s="81" t="s">
        <v>1339</v>
      </c>
      <c r="X1143" s="81" t="s">
        <v>876</v>
      </c>
      <c r="Y1143" s="83" t="n">
        <v>46284</v>
      </c>
      <c r="Z1143" s="81" t="s">
        <v>1354</v>
      </c>
      <c r="AA1143" s="81" t="s">
        <v>876</v>
      </c>
      <c r="AB1143" s="81"/>
      <c r="AC1143" s="81"/>
      <c r="AD1143" s="81"/>
      <c r="AE1143" s="83"/>
      <c r="AF1143" s="81"/>
      <c r="AG1143" s="81"/>
      <c r="AH1143" s="81"/>
      <c r="AI1143" s="81"/>
      <c r="AJ1143" s="83"/>
      <c r="AK1143" s="81"/>
      <c r="AL1143" s="81"/>
      <c r="AM1143" s="83"/>
      <c r="AN1143" s="80"/>
      <c r="AO1143" s="82" t="n">
        <f aca="false">IF(E1143="","",(AA1143&lt;&gt;"")+(AG1143&lt;&gt;"")+(AL1143&lt;&gt;""))</f>
        <v>1</v>
      </c>
      <c r="AP1143" s="82" t="str">
        <f aca="false">IF(AL1143&lt;&gt;"",AL1143,IF(AG1143&lt;&gt;"",AG1143,IF(AA1143&lt;&gt;"",AA1143,"")))</f>
        <v>A</v>
      </c>
      <c r="AQ1143" s="84" t="str">
        <f aca="false">IF(E1143="","",IF(U1143="","À SOUDER",IF(X1143="","VT EN ATTENTE",IF(X1143="R","VT REJETÉ – À REPRENDRE",IF(AP1143="","À RADIOGRAPHIER",IF(AP1143="A","ACCEPTÉ",IF(AP1143="NX","NX – RT À REFAIRE",IF(IF(AO1143=1,AD1143,IF(AO1143=2,AI1143,""))="A","RÉPARÉ – À RADIOGRAPHIER",IF(IF(AO1143=1,AD1143,IF(AO1143=2,AI1143,""))="R","VT REJETÉ – À REPRENDRE",IF(OR(AP1143="CO",AP1143="NT"),"COUPE – À RESOUDER","À RÉPARER"))))))))))</f>
        <v>ACCEPTÉ</v>
      </c>
      <c r="AR1143" s="82" t="str">
        <f aca="false">IF(AND(ISNUMBER(U1143),OR(AQ1143="À RADIOGRAPHIER",AQ1143="RÉPARÉ – À RADIOGRAPHIER",AQ1143="NX – RT À REFAIRE",AQ1143="À RÉPARER",AQ1143="COUPE – À RESOUDER",AQ1143="VT REJETÉ – À REPRENDRE")),MAX(0,'PROGRAMME RT'!$C$4-U1143),"")</f>
        <v/>
      </c>
      <c r="AS1143" s="82" t="n">
        <f aca="false">IF(AND(OR(AQ1143="À RADIOGRAPHIER",AQ1143="RÉPARÉ – À RADIOGRAPHIER",AQ1143="NX – RT À REFAIRE"),OR('PROGRAMME RT'!$D$5="TOUTES",B1143='PROGRAMME RT'!$D$5)),1,0)</f>
        <v>0</v>
      </c>
      <c r="AT1143" s="82" t="str">
        <f aca="false">IF(AS1143=1,SUM(AS$7:AS1143),"")</f>
        <v/>
      </c>
      <c r="AU1143" s="82" t="n">
        <f aca="false">IF(AND(OR(AA1143="R",AA1143="NX",AA1143="NT",AA1143="CO"),OR('JOINTS DE RÉPARATION'!$D$5="TOUTES",B1143='JOINTS DE RÉPARATION'!$D$5),OR('JOINTS DE RÉPARATION'!$L$4="TOUS",AQ1143&lt;&gt;"ACCEPTÉ")),1,0)</f>
        <v>0</v>
      </c>
      <c r="AV1143" s="82" t="str">
        <f aca="false">IF(AU1143=1,SUM(AU$7:AU1143),"")</f>
        <v/>
      </c>
      <c r="AW1143" s="82" t="str">
        <f aca="false">IF(E1143="","",B1143&amp;"|"&amp;E1143)</f>
        <v>MFD-ISW → MFD-CPF|JN°998</v>
      </c>
    </row>
    <row r="1144" customFormat="false" ht="74.6" hidden="false" customHeight="false" outlineLevel="0" collapsed="false">
      <c r="A1144" s="79" t="n">
        <f aca="false">IF(E1144="","",ROW()-6)</f>
        <v>1138</v>
      </c>
      <c r="B1144" s="80" t="s">
        <v>110</v>
      </c>
      <c r="C1144" s="81" t="s">
        <v>1352</v>
      </c>
      <c r="D1144" s="81" t="n">
        <v>8</v>
      </c>
      <c r="E1144" s="81" t="s">
        <v>1365</v>
      </c>
      <c r="F1144" s="82" t="str">
        <f aca="false">IF(E1144="","",IF(LEFT(E1144,2)="DJ","DJ","JN"))</f>
        <v>JN</v>
      </c>
      <c r="G1144" s="81"/>
      <c r="H1144" s="81" t="s">
        <v>871</v>
      </c>
      <c r="I1144" s="81" t="n">
        <v>9.53</v>
      </c>
      <c r="J1144" s="81" t="s">
        <v>872</v>
      </c>
      <c r="K1144" s="81" t="s">
        <v>879</v>
      </c>
      <c r="L1144" s="81" t="n">
        <v>2094350</v>
      </c>
      <c r="M1144" s="81" t="n">
        <v>15421110</v>
      </c>
      <c r="N1144" s="81" t="n">
        <v>11.94</v>
      </c>
      <c r="O1144" s="81" t="n">
        <v>2097300</v>
      </c>
      <c r="P1144" s="81" t="n">
        <v>15421111</v>
      </c>
      <c r="Q1144" s="81" t="n">
        <v>11.94</v>
      </c>
      <c r="R1144" s="81" t="s">
        <v>1299</v>
      </c>
      <c r="S1144" s="81"/>
      <c r="T1144" s="81"/>
      <c r="U1144" s="83" t="n">
        <v>46280</v>
      </c>
      <c r="V1144" s="83" t="n">
        <v>46280</v>
      </c>
      <c r="W1144" s="81" t="s">
        <v>1339</v>
      </c>
      <c r="X1144" s="81" t="s">
        <v>876</v>
      </c>
      <c r="Y1144" s="83" t="n">
        <v>46284</v>
      </c>
      <c r="Z1144" s="81" t="s">
        <v>1354</v>
      </c>
      <c r="AA1144" s="81" t="s">
        <v>876</v>
      </c>
      <c r="AB1144" s="81"/>
      <c r="AC1144" s="81"/>
      <c r="AD1144" s="81"/>
      <c r="AE1144" s="83"/>
      <c r="AF1144" s="81"/>
      <c r="AG1144" s="81"/>
      <c r="AH1144" s="81"/>
      <c r="AI1144" s="81"/>
      <c r="AJ1144" s="83"/>
      <c r="AK1144" s="81"/>
      <c r="AL1144" s="81"/>
      <c r="AM1144" s="83"/>
      <c r="AN1144" s="80"/>
      <c r="AO1144" s="82" t="n">
        <f aca="false">IF(E1144="","",(AA1144&lt;&gt;"")+(AG1144&lt;&gt;"")+(AL1144&lt;&gt;""))</f>
        <v>1</v>
      </c>
      <c r="AP1144" s="82" t="str">
        <f aca="false">IF(AL1144&lt;&gt;"",AL1144,IF(AG1144&lt;&gt;"",AG1144,IF(AA1144&lt;&gt;"",AA1144,"")))</f>
        <v>A</v>
      </c>
      <c r="AQ1144" s="84" t="str">
        <f aca="false">IF(E1144="","",IF(U1144="","À SOUDER",IF(X1144="","VT EN ATTENTE",IF(X1144="R","VT REJETÉ – À REPRENDRE",IF(AP1144="","À RADIOGRAPHIER",IF(AP1144="A","ACCEPTÉ",IF(AP1144="NX","NX – RT À REFAIRE",IF(IF(AO1144=1,AD1144,IF(AO1144=2,AI1144,""))="A","RÉPARÉ – À RADIOGRAPHIER",IF(IF(AO1144=1,AD1144,IF(AO1144=2,AI1144,""))="R","VT REJETÉ – À REPRENDRE",IF(OR(AP1144="CO",AP1144="NT"),"COUPE – À RESOUDER","À RÉPARER"))))))))))</f>
        <v>ACCEPTÉ</v>
      </c>
      <c r="AR1144" s="82" t="str">
        <f aca="false">IF(AND(ISNUMBER(U1144),OR(AQ1144="À RADIOGRAPHIER",AQ1144="RÉPARÉ – À RADIOGRAPHIER",AQ1144="NX – RT À REFAIRE",AQ1144="À RÉPARER",AQ1144="COUPE – À RESOUDER",AQ1144="VT REJETÉ – À REPRENDRE")),MAX(0,'PROGRAMME RT'!$C$4-U1144),"")</f>
        <v/>
      </c>
      <c r="AS1144" s="82" t="n">
        <f aca="false">IF(AND(OR(AQ1144="À RADIOGRAPHIER",AQ1144="RÉPARÉ – À RADIOGRAPHIER",AQ1144="NX – RT À REFAIRE"),OR('PROGRAMME RT'!$D$5="TOUTES",B1144='PROGRAMME RT'!$D$5)),1,0)</f>
        <v>0</v>
      </c>
      <c r="AT1144" s="82" t="str">
        <f aca="false">IF(AS1144=1,SUM(AS$7:AS1144),"")</f>
        <v/>
      </c>
      <c r="AU1144" s="82" t="n">
        <f aca="false">IF(AND(OR(AA1144="R",AA1144="NX",AA1144="NT",AA1144="CO"),OR('JOINTS DE RÉPARATION'!$D$5="TOUTES",B1144='JOINTS DE RÉPARATION'!$D$5),OR('JOINTS DE RÉPARATION'!$L$4="TOUS",AQ1144&lt;&gt;"ACCEPTÉ")),1,0)</f>
        <v>0</v>
      </c>
      <c r="AV1144" s="82" t="str">
        <f aca="false">IF(AU1144=1,SUM(AU$7:AU1144),"")</f>
        <v/>
      </c>
      <c r="AW1144" s="82" t="str">
        <f aca="false">IF(E1144="","",B1144&amp;"|"&amp;E1144)</f>
        <v>MFD-ISW → MFD-CPF|JN°999</v>
      </c>
    </row>
    <row r="1145" customFormat="false" ht="74.6" hidden="false" customHeight="false" outlineLevel="0" collapsed="false">
      <c r="A1145" s="79" t="n">
        <f aca="false">IF(E1145="","",ROW()-6)</f>
        <v>1139</v>
      </c>
      <c r="B1145" s="80" t="s">
        <v>110</v>
      </c>
      <c r="C1145" s="81" t="s">
        <v>1352</v>
      </c>
      <c r="D1145" s="81" t="n">
        <v>8</v>
      </c>
      <c r="E1145" s="81" t="s">
        <v>1366</v>
      </c>
      <c r="F1145" s="82" t="str">
        <f aca="false">IF(E1145="","",IF(LEFT(E1145,2)="DJ","DJ","JN"))</f>
        <v>JN</v>
      </c>
      <c r="G1145" s="81"/>
      <c r="H1145" s="81" t="s">
        <v>871</v>
      </c>
      <c r="I1145" s="81" t="n">
        <v>9.53</v>
      </c>
      <c r="J1145" s="81" t="s">
        <v>872</v>
      </c>
      <c r="K1145" s="81" t="s">
        <v>879</v>
      </c>
      <c r="L1145" s="81" t="n">
        <v>2097300</v>
      </c>
      <c r="M1145" s="81" t="n">
        <v>15421111</v>
      </c>
      <c r="N1145" s="81" t="n">
        <v>11.94</v>
      </c>
      <c r="O1145" s="81" t="n">
        <v>2079890</v>
      </c>
      <c r="P1145" s="81" t="n">
        <v>15421102</v>
      </c>
      <c r="Q1145" s="81" t="n">
        <v>11.94</v>
      </c>
      <c r="R1145" s="81" t="s">
        <v>1367</v>
      </c>
      <c r="S1145" s="81"/>
      <c r="T1145" s="81"/>
      <c r="U1145" s="83" t="n">
        <v>46279</v>
      </c>
      <c r="V1145" s="83" t="n">
        <v>46279</v>
      </c>
      <c r="W1145" s="81" t="s">
        <v>1368</v>
      </c>
      <c r="X1145" s="81" t="s">
        <v>876</v>
      </c>
      <c r="Y1145" s="83" t="n">
        <v>46284</v>
      </c>
      <c r="Z1145" s="81" t="s">
        <v>1354</v>
      </c>
      <c r="AA1145" s="81" t="s">
        <v>876</v>
      </c>
      <c r="AB1145" s="81"/>
      <c r="AC1145" s="81"/>
      <c r="AD1145" s="81"/>
      <c r="AE1145" s="83"/>
      <c r="AF1145" s="81"/>
      <c r="AG1145" s="81"/>
      <c r="AH1145" s="81"/>
      <c r="AI1145" s="81"/>
      <c r="AJ1145" s="83"/>
      <c r="AK1145" s="81"/>
      <c r="AL1145" s="81"/>
      <c r="AM1145" s="83"/>
      <c r="AN1145" s="80"/>
      <c r="AO1145" s="82" t="n">
        <f aca="false">IF(E1145="","",(AA1145&lt;&gt;"")+(AG1145&lt;&gt;"")+(AL1145&lt;&gt;""))</f>
        <v>1</v>
      </c>
      <c r="AP1145" s="82" t="str">
        <f aca="false">IF(AL1145&lt;&gt;"",AL1145,IF(AG1145&lt;&gt;"",AG1145,IF(AA1145&lt;&gt;"",AA1145,"")))</f>
        <v>A</v>
      </c>
      <c r="AQ1145" s="84" t="str">
        <f aca="false">IF(E1145="","",IF(U1145="","À SOUDER",IF(X1145="","VT EN ATTENTE",IF(X1145="R","VT REJETÉ – À REPRENDRE",IF(AP1145="","À RADIOGRAPHIER",IF(AP1145="A","ACCEPTÉ",IF(AP1145="NX","NX – RT À REFAIRE",IF(IF(AO1145=1,AD1145,IF(AO1145=2,AI1145,""))="A","RÉPARÉ – À RADIOGRAPHIER",IF(IF(AO1145=1,AD1145,IF(AO1145=2,AI1145,""))="R","VT REJETÉ – À REPRENDRE",IF(OR(AP1145="CO",AP1145="NT"),"COUPE – À RESOUDER","À RÉPARER"))))))))))</f>
        <v>ACCEPTÉ</v>
      </c>
      <c r="AR1145" s="82" t="str">
        <f aca="false">IF(AND(ISNUMBER(U1145),OR(AQ1145="À RADIOGRAPHIER",AQ1145="RÉPARÉ – À RADIOGRAPHIER",AQ1145="NX – RT À REFAIRE",AQ1145="À RÉPARER",AQ1145="COUPE – À RESOUDER",AQ1145="VT REJETÉ – À REPRENDRE")),MAX(0,'PROGRAMME RT'!$C$4-U1145),"")</f>
        <v/>
      </c>
      <c r="AS1145" s="82" t="n">
        <f aca="false">IF(AND(OR(AQ1145="À RADIOGRAPHIER",AQ1145="RÉPARÉ – À RADIOGRAPHIER",AQ1145="NX – RT À REFAIRE"),OR('PROGRAMME RT'!$D$5="TOUTES",B1145='PROGRAMME RT'!$D$5)),1,0)</f>
        <v>0</v>
      </c>
      <c r="AT1145" s="82" t="str">
        <f aca="false">IF(AS1145=1,SUM(AS$7:AS1145),"")</f>
        <v/>
      </c>
      <c r="AU1145" s="82" t="n">
        <f aca="false">IF(AND(OR(AA1145="R",AA1145="NX",AA1145="NT",AA1145="CO"),OR('JOINTS DE RÉPARATION'!$D$5="TOUTES",B1145='JOINTS DE RÉPARATION'!$D$5),OR('JOINTS DE RÉPARATION'!$L$4="TOUS",AQ1145&lt;&gt;"ACCEPTÉ")),1,0)</f>
        <v>0</v>
      </c>
      <c r="AV1145" s="82" t="str">
        <f aca="false">IF(AU1145=1,SUM(AU$7:AU1145),"")</f>
        <v/>
      </c>
      <c r="AW1145" s="82" t="str">
        <f aca="false">IF(E1145="","",B1145&amp;"|"&amp;E1145)</f>
        <v>MFD-ISW → MFD-CPF|JN°1000</v>
      </c>
    </row>
    <row r="1146" customFormat="false" ht="74.6" hidden="false" customHeight="false" outlineLevel="0" collapsed="false">
      <c r="A1146" s="79" t="n">
        <f aca="false">IF(E1146="","",ROW()-6)</f>
        <v>1140</v>
      </c>
      <c r="B1146" s="80" t="s">
        <v>110</v>
      </c>
      <c r="C1146" s="81" t="s">
        <v>1352</v>
      </c>
      <c r="D1146" s="81" t="n">
        <v>8</v>
      </c>
      <c r="E1146" s="81" t="s">
        <v>1369</v>
      </c>
      <c r="F1146" s="82" t="str">
        <f aca="false">IF(E1146="","",IF(LEFT(E1146,2)="DJ","DJ","JN"))</f>
        <v>JN</v>
      </c>
      <c r="G1146" s="81"/>
      <c r="H1146" s="81" t="s">
        <v>871</v>
      </c>
      <c r="I1146" s="81" t="n">
        <v>9.53</v>
      </c>
      <c r="J1146" s="81" t="s">
        <v>872</v>
      </c>
      <c r="K1146" s="81" t="s">
        <v>879</v>
      </c>
      <c r="L1146" s="81" t="n">
        <v>2079890</v>
      </c>
      <c r="M1146" s="81" t="n">
        <v>15421102</v>
      </c>
      <c r="N1146" s="81" t="n">
        <v>11.94</v>
      </c>
      <c r="O1146" s="81" t="n">
        <v>2094700</v>
      </c>
      <c r="P1146" s="81" t="n">
        <v>15421111</v>
      </c>
      <c r="Q1146" s="81" t="n">
        <v>11.94</v>
      </c>
      <c r="R1146" s="81" t="s">
        <v>1367</v>
      </c>
      <c r="S1146" s="81"/>
      <c r="T1146" s="81"/>
      <c r="U1146" s="83" t="n">
        <v>46279</v>
      </c>
      <c r="V1146" s="83" t="n">
        <v>46279</v>
      </c>
      <c r="W1146" s="81" t="s">
        <v>1368</v>
      </c>
      <c r="X1146" s="81" t="s">
        <v>876</v>
      </c>
      <c r="Y1146" s="83" t="n">
        <v>46284</v>
      </c>
      <c r="Z1146" s="81" t="s">
        <v>1354</v>
      </c>
      <c r="AA1146" s="81" t="s">
        <v>876</v>
      </c>
      <c r="AB1146" s="81"/>
      <c r="AC1146" s="81"/>
      <c r="AD1146" s="81"/>
      <c r="AE1146" s="83"/>
      <c r="AF1146" s="81"/>
      <c r="AG1146" s="81"/>
      <c r="AH1146" s="81"/>
      <c r="AI1146" s="81"/>
      <c r="AJ1146" s="83"/>
      <c r="AK1146" s="81"/>
      <c r="AL1146" s="81"/>
      <c r="AM1146" s="83"/>
      <c r="AN1146" s="80"/>
      <c r="AO1146" s="82" t="n">
        <f aca="false">IF(E1146="","",(AA1146&lt;&gt;"")+(AG1146&lt;&gt;"")+(AL1146&lt;&gt;""))</f>
        <v>1</v>
      </c>
      <c r="AP1146" s="82" t="str">
        <f aca="false">IF(AL1146&lt;&gt;"",AL1146,IF(AG1146&lt;&gt;"",AG1146,IF(AA1146&lt;&gt;"",AA1146,"")))</f>
        <v>A</v>
      </c>
      <c r="AQ1146" s="84" t="str">
        <f aca="false">IF(E1146="","",IF(U1146="","À SOUDER",IF(X1146="","VT EN ATTENTE",IF(X1146="R","VT REJETÉ – À REPRENDRE",IF(AP1146="","À RADIOGRAPHIER",IF(AP1146="A","ACCEPTÉ",IF(AP1146="NX","NX – RT À REFAIRE",IF(IF(AO1146=1,AD1146,IF(AO1146=2,AI1146,""))="A","RÉPARÉ – À RADIOGRAPHIER",IF(IF(AO1146=1,AD1146,IF(AO1146=2,AI1146,""))="R","VT REJETÉ – À REPRENDRE",IF(OR(AP1146="CO",AP1146="NT"),"COUPE – À RESOUDER","À RÉPARER"))))))))))</f>
        <v>ACCEPTÉ</v>
      </c>
      <c r="AR1146" s="82" t="str">
        <f aca="false">IF(AND(ISNUMBER(U1146),OR(AQ1146="À RADIOGRAPHIER",AQ1146="RÉPARÉ – À RADIOGRAPHIER",AQ1146="NX – RT À REFAIRE",AQ1146="À RÉPARER",AQ1146="COUPE – À RESOUDER",AQ1146="VT REJETÉ – À REPRENDRE")),MAX(0,'PROGRAMME RT'!$C$4-U1146),"")</f>
        <v/>
      </c>
      <c r="AS1146" s="82" t="n">
        <f aca="false">IF(AND(OR(AQ1146="À RADIOGRAPHIER",AQ1146="RÉPARÉ – À RADIOGRAPHIER",AQ1146="NX – RT À REFAIRE"),OR('PROGRAMME RT'!$D$5="TOUTES",B1146='PROGRAMME RT'!$D$5)),1,0)</f>
        <v>0</v>
      </c>
      <c r="AT1146" s="82" t="str">
        <f aca="false">IF(AS1146=1,SUM(AS$7:AS1146),"")</f>
        <v/>
      </c>
      <c r="AU1146" s="82" t="n">
        <f aca="false">IF(AND(OR(AA1146="R",AA1146="NX",AA1146="NT",AA1146="CO"),OR('JOINTS DE RÉPARATION'!$D$5="TOUTES",B1146='JOINTS DE RÉPARATION'!$D$5),OR('JOINTS DE RÉPARATION'!$L$4="TOUS",AQ1146&lt;&gt;"ACCEPTÉ")),1,0)</f>
        <v>0</v>
      </c>
      <c r="AV1146" s="82" t="str">
        <f aca="false">IF(AU1146=1,SUM(AU$7:AU1146),"")</f>
        <v/>
      </c>
      <c r="AW1146" s="82" t="str">
        <f aca="false">IF(E1146="","",B1146&amp;"|"&amp;E1146)</f>
        <v>MFD-ISW → MFD-CPF|JN°1001</v>
      </c>
    </row>
    <row r="1147" customFormat="false" ht="74.6" hidden="false" customHeight="false" outlineLevel="0" collapsed="false">
      <c r="A1147" s="79" t="n">
        <f aca="false">IF(E1147="","",ROW()-6)</f>
        <v>1141</v>
      </c>
      <c r="B1147" s="80" t="s">
        <v>110</v>
      </c>
      <c r="C1147" s="81" t="s">
        <v>1352</v>
      </c>
      <c r="D1147" s="81" t="n">
        <v>8</v>
      </c>
      <c r="E1147" s="81" t="s">
        <v>1370</v>
      </c>
      <c r="F1147" s="82" t="str">
        <f aca="false">IF(E1147="","",IF(LEFT(E1147,2)="DJ","DJ","JN"))</f>
        <v>DJ</v>
      </c>
      <c r="G1147" s="81"/>
      <c r="H1147" s="81" t="s">
        <v>871</v>
      </c>
      <c r="I1147" s="81" t="n">
        <v>9.53</v>
      </c>
      <c r="J1147" s="81" t="s">
        <v>872</v>
      </c>
      <c r="K1147" s="81" t="s">
        <v>873</v>
      </c>
      <c r="L1147" s="81" t="n">
        <v>2094700</v>
      </c>
      <c r="M1147" s="81" t="n">
        <v>15421111</v>
      </c>
      <c r="N1147" s="81" t="n">
        <v>11.94</v>
      </c>
      <c r="O1147" s="81" t="n">
        <v>2082510</v>
      </c>
      <c r="P1147" s="81" t="n">
        <v>15421104</v>
      </c>
      <c r="Q1147" s="81" t="n">
        <v>11.94</v>
      </c>
      <c r="R1147" s="81" t="s">
        <v>963</v>
      </c>
      <c r="S1147" s="81"/>
      <c r="T1147" s="81"/>
      <c r="U1147" s="83" t="n">
        <v>46278</v>
      </c>
      <c r="V1147" s="83" t="n">
        <v>46278</v>
      </c>
      <c r="W1147" s="81" t="s">
        <v>1371</v>
      </c>
      <c r="X1147" s="81" t="s">
        <v>876</v>
      </c>
      <c r="Y1147" s="83" t="n">
        <v>46279</v>
      </c>
      <c r="Z1147" s="81" t="s">
        <v>1137</v>
      </c>
      <c r="AA1147" s="81" t="s">
        <v>876</v>
      </c>
      <c r="AB1147" s="81"/>
      <c r="AC1147" s="81"/>
      <c r="AD1147" s="81"/>
      <c r="AE1147" s="83"/>
      <c r="AF1147" s="81"/>
      <c r="AG1147" s="81"/>
      <c r="AH1147" s="81"/>
      <c r="AI1147" s="81"/>
      <c r="AJ1147" s="83"/>
      <c r="AK1147" s="81"/>
      <c r="AL1147" s="81"/>
      <c r="AM1147" s="83"/>
      <c r="AN1147" s="80"/>
      <c r="AO1147" s="82" t="n">
        <f aca="false">IF(E1147="","",(AA1147&lt;&gt;"")+(AG1147&lt;&gt;"")+(AL1147&lt;&gt;""))</f>
        <v>1</v>
      </c>
      <c r="AP1147" s="82" t="str">
        <f aca="false">IF(AL1147&lt;&gt;"",AL1147,IF(AG1147&lt;&gt;"",AG1147,IF(AA1147&lt;&gt;"",AA1147,"")))</f>
        <v>A</v>
      </c>
      <c r="AQ1147" s="84" t="str">
        <f aca="false">IF(E1147="","",IF(U1147="","À SOUDER",IF(X1147="","VT EN ATTENTE",IF(X1147="R","VT REJETÉ – À REPRENDRE",IF(AP1147="","À RADIOGRAPHIER",IF(AP1147="A","ACCEPTÉ",IF(AP1147="NX","NX – RT À REFAIRE",IF(IF(AO1147=1,AD1147,IF(AO1147=2,AI1147,""))="A","RÉPARÉ – À RADIOGRAPHIER",IF(IF(AO1147=1,AD1147,IF(AO1147=2,AI1147,""))="R","VT REJETÉ – À REPRENDRE",IF(OR(AP1147="CO",AP1147="NT"),"COUPE – À RESOUDER","À RÉPARER"))))))))))</f>
        <v>ACCEPTÉ</v>
      </c>
      <c r="AR1147" s="82" t="str">
        <f aca="false">IF(AND(ISNUMBER(U1147),OR(AQ1147="À RADIOGRAPHIER",AQ1147="RÉPARÉ – À RADIOGRAPHIER",AQ1147="NX – RT À REFAIRE",AQ1147="À RÉPARER",AQ1147="COUPE – À RESOUDER",AQ1147="VT REJETÉ – À REPRENDRE")),MAX(0,'PROGRAMME RT'!$C$4-U1147),"")</f>
        <v/>
      </c>
      <c r="AS1147" s="82" t="n">
        <f aca="false">IF(AND(OR(AQ1147="À RADIOGRAPHIER",AQ1147="RÉPARÉ – À RADIOGRAPHIER",AQ1147="NX – RT À REFAIRE"),OR('PROGRAMME RT'!$D$5="TOUTES",B1147='PROGRAMME RT'!$D$5)),1,0)</f>
        <v>0</v>
      </c>
      <c r="AT1147" s="82" t="str">
        <f aca="false">IF(AS1147=1,SUM(AS$7:AS1147),"")</f>
        <v/>
      </c>
      <c r="AU1147" s="82" t="n">
        <f aca="false">IF(AND(OR(AA1147="R",AA1147="NX",AA1147="NT",AA1147="CO"),OR('JOINTS DE RÉPARATION'!$D$5="TOUTES",B1147='JOINTS DE RÉPARATION'!$D$5),OR('JOINTS DE RÉPARATION'!$L$4="TOUS",AQ1147&lt;&gt;"ACCEPTÉ")),1,0)</f>
        <v>0</v>
      </c>
      <c r="AV1147" s="82" t="str">
        <f aca="false">IF(AU1147=1,SUM(AU$7:AU1147),"")</f>
        <v/>
      </c>
      <c r="AW1147" s="82" t="str">
        <f aca="false">IF(E1147="","",B1147&amp;"|"&amp;E1147)</f>
        <v>MFD-ISW → MFD-CPF|DJ°372</v>
      </c>
    </row>
    <row r="1148" customFormat="false" ht="74.6" hidden="false" customHeight="false" outlineLevel="0" collapsed="false">
      <c r="A1148" s="79" t="n">
        <f aca="false">IF(E1148="","",ROW()-6)</f>
        <v>1142</v>
      </c>
      <c r="B1148" s="80" t="s">
        <v>110</v>
      </c>
      <c r="C1148" s="81" t="s">
        <v>1352</v>
      </c>
      <c r="D1148" s="81" t="n">
        <v>8</v>
      </c>
      <c r="E1148" s="81" t="s">
        <v>1372</v>
      </c>
      <c r="F1148" s="82" t="str">
        <f aca="false">IF(E1148="","",IF(LEFT(E1148,2)="DJ","DJ","JN"))</f>
        <v>JN</v>
      </c>
      <c r="G1148" s="81"/>
      <c r="H1148" s="81" t="s">
        <v>871</v>
      </c>
      <c r="I1148" s="81" t="n">
        <v>9.53</v>
      </c>
      <c r="J1148" s="81" t="s">
        <v>872</v>
      </c>
      <c r="K1148" s="81" t="s">
        <v>879</v>
      </c>
      <c r="L1148" s="81" t="n">
        <v>2082510</v>
      </c>
      <c r="M1148" s="81" t="n">
        <v>15421104</v>
      </c>
      <c r="N1148" s="81" t="n">
        <v>11.94</v>
      </c>
      <c r="O1148" s="81" t="n">
        <v>2085260</v>
      </c>
      <c r="P1148" s="81" t="n">
        <v>15421104</v>
      </c>
      <c r="Q1148" s="81" t="n">
        <v>11.94</v>
      </c>
      <c r="R1148" s="81" t="s">
        <v>1367</v>
      </c>
      <c r="S1148" s="81"/>
      <c r="T1148" s="81"/>
      <c r="U1148" s="83" t="n">
        <v>46279</v>
      </c>
      <c r="V1148" s="83" t="n">
        <v>46279</v>
      </c>
      <c r="W1148" s="81" t="s">
        <v>1368</v>
      </c>
      <c r="X1148" s="81" t="s">
        <v>876</v>
      </c>
      <c r="Y1148" s="83" t="n">
        <v>46284</v>
      </c>
      <c r="Z1148" s="81" t="s">
        <v>1354</v>
      </c>
      <c r="AA1148" s="81" t="s">
        <v>876</v>
      </c>
      <c r="AB1148" s="81"/>
      <c r="AC1148" s="81"/>
      <c r="AD1148" s="81"/>
      <c r="AE1148" s="83"/>
      <c r="AF1148" s="81"/>
      <c r="AG1148" s="81"/>
      <c r="AH1148" s="81"/>
      <c r="AI1148" s="81"/>
      <c r="AJ1148" s="83"/>
      <c r="AK1148" s="81"/>
      <c r="AL1148" s="81"/>
      <c r="AM1148" s="83"/>
      <c r="AN1148" s="80"/>
      <c r="AO1148" s="82" t="n">
        <f aca="false">IF(E1148="","",(AA1148&lt;&gt;"")+(AG1148&lt;&gt;"")+(AL1148&lt;&gt;""))</f>
        <v>1</v>
      </c>
      <c r="AP1148" s="82" t="str">
        <f aca="false">IF(AL1148&lt;&gt;"",AL1148,IF(AG1148&lt;&gt;"",AG1148,IF(AA1148&lt;&gt;"",AA1148,"")))</f>
        <v>A</v>
      </c>
      <c r="AQ1148" s="84" t="str">
        <f aca="false">IF(E1148="","",IF(U1148="","À SOUDER",IF(X1148="","VT EN ATTENTE",IF(X1148="R","VT REJETÉ – À REPRENDRE",IF(AP1148="","À RADIOGRAPHIER",IF(AP1148="A","ACCEPTÉ",IF(AP1148="NX","NX – RT À REFAIRE",IF(IF(AO1148=1,AD1148,IF(AO1148=2,AI1148,""))="A","RÉPARÉ – À RADIOGRAPHIER",IF(IF(AO1148=1,AD1148,IF(AO1148=2,AI1148,""))="R","VT REJETÉ – À REPRENDRE",IF(OR(AP1148="CO",AP1148="NT"),"COUPE – À RESOUDER","À RÉPARER"))))))))))</f>
        <v>ACCEPTÉ</v>
      </c>
      <c r="AR1148" s="82" t="str">
        <f aca="false">IF(AND(ISNUMBER(U1148),OR(AQ1148="À RADIOGRAPHIER",AQ1148="RÉPARÉ – À RADIOGRAPHIER",AQ1148="NX – RT À REFAIRE",AQ1148="À RÉPARER",AQ1148="COUPE – À RESOUDER",AQ1148="VT REJETÉ – À REPRENDRE")),MAX(0,'PROGRAMME RT'!$C$4-U1148),"")</f>
        <v/>
      </c>
      <c r="AS1148" s="82" t="n">
        <f aca="false">IF(AND(OR(AQ1148="À RADIOGRAPHIER",AQ1148="RÉPARÉ – À RADIOGRAPHIER",AQ1148="NX – RT À REFAIRE"),OR('PROGRAMME RT'!$D$5="TOUTES",B1148='PROGRAMME RT'!$D$5)),1,0)</f>
        <v>0</v>
      </c>
      <c r="AT1148" s="82" t="str">
        <f aca="false">IF(AS1148=1,SUM(AS$7:AS1148),"")</f>
        <v/>
      </c>
      <c r="AU1148" s="82" t="n">
        <f aca="false">IF(AND(OR(AA1148="R",AA1148="NX",AA1148="NT",AA1148="CO"),OR('JOINTS DE RÉPARATION'!$D$5="TOUTES",B1148='JOINTS DE RÉPARATION'!$D$5),OR('JOINTS DE RÉPARATION'!$L$4="TOUS",AQ1148&lt;&gt;"ACCEPTÉ")),1,0)</f>
        <v>0</v>
      </c>
      <c r="AV1148" s="82" t="str">
        <f aca="false">IF(AU1148=1,SUM(AU$7:AU1148),"")</f>
        <v/>
      </c>
      <c r="AW1148" s="82" t="str">
        <f aca="false">IF(E1148="","",B1148&amp;"|"&amp;E1148)</f>
        <v>MFD-ISW → MFD-CPF|JN°1002</v>
      </c>
    </row>
    <row r="1149" customFormat="false" ht="74.6" hidden="false" customHeight="false" outlineLevel="0" collapsed="false">
      <c r="A1149" s="79" t="n">
        <f aca="false">IF(E1149="","",ROW()-6)</f>
        <v>1143</v>
      </c>
      <c r="B1149" s="80" t="s">
        <v>110</v>
      </c>
      <c r="C1149" s="81" t="s">
        <v>1352</v>
      </c>
      <c r="D1149" s="81" t="n">
        <v>8</v>
      </c>
      <c r="E1149" s="81" t="s">
        <v>1373</v>
      </c>
      <c r="F1149" s="82" t="str">
        <f aca="false">IF(E1149="","",IF(LEFT(E1149,2)="DJ","DJ","JN"))</f>
        <v>DJ</v>
      </c>
      <c r="G1149" s="81"/>
      <c r="H1149" s="81" t="s">
        <v>871</v>
      </c>
      <c r="I1149" s="81" t="n">
        <v>9.53</v>
      </c>
      <c r="J1149" s="81" t="s">
        <v>872</v>
      </c>
      <c r="K1149" s="81" t="s">
        <v>873</v>
      </c>
      <c r="L1149" s="81" t="n">
        <v>2085260</v>
      </c>
      <c r="M1149" s="81" t="n">
        <v>15421104</v>
      </c>
      <c r="N1149" s="81" t="n">
        <v>11.94</v>
      </c>
      <c r="O1149" s="81" t="n">
        <v>2083020</v>
      </c>
      <c r="P1149" s="81" t="n">
        <v>15421105</v>
      </c>
      <c r="Q1149" s="81" t="n">
        <v>11.94</v>
      </c>
      <c r="R1149" s="81" t="s">
        <v>963</v>
      </c>
      <c r="S1149" s="81"/>
      <c r="T1149" s="81"/>
      <c r="U1149" s="83" t="n">
        <v>46278</v>
      </c>
      <c r="V1149" s="83" t="n">
        <v>46278</v>
      </c>
      <c r="W1149" s="81" t="s">
        <v>1371</v>
      </c>
      <c r="X1149" s="81" t="s">
        <v>876</v>
      </c>
      <c r="Y1149" s="83" t="n">
        <v>46279</v>
      </c>
      <c r="Z1149" s="81" t="s">
        <v>1137</v>
      </c>
      <c r="AA1149" s="81" t="s">
        <v>876</v>
      </c>
      <c r="AB1149" s="81"/>
      <c r="AC1149" s="81"/>
      <c r="AD1149" s="81"/>
      <c r="AE1149" s="83"/>
      <c r="AF1149" s="81"/>
      <c r="AG1149" s="81"/>
      <c r="AH1149" s="81"/>
      <c r="AI1149" s="81"/>
      <c r="AJ1149" s="83"/>
      <c r="AK1149" s="81"/>
      <c r="AL1149" s="81"/>
      <c r="AM1149" s="83"/>
      <c r="AN1149" s="80"/>
      <c r="AO1149" s="82" t="n">
        <f aca="false">IF(E1149="","",(AA1149&lt;&gt;"")+(AG1149&lt;&gt;"")+(AL1149&lt;&gt;""))</f>
        <v>1</v>
      </c>
      <c r="AP1149" s="82" t="str">
        <f aca="false">IF(AL1149&lt;&gt;"",AL1149,IF(AG1149&lt;&gt;"",AG1149,IF(AA1149&lt;&gt;"",AA1149,"")))</f>
        <v>A</v>
      </c>
      <c r="AQ1149" s="84" t="str">
        <f aca="false">IF(E1149="","",IF(U1149="","À SOUDER",IF(X1149="","VT EN ATTENTE",IF(X1149="R","VT REJETÉ – À REPRENDRE",IF(AP1149="","À RADIOGRAPHIER",IF(AP1149="A","ACCEPTÉ",IF(AP1149="NX","NX – RT À REFAIRE",IF(IF(AO1149=1,AD1149,IF(AO1149=2,AI1149,""))="A","RÉPARÉ – À RADIOGRAPHIER",IF(IF(AO1149=1,AD1149,IF(AO1149=2,AI1149,""))="R","VT REJETÉ – À REPRENDRE",IF(OR(AP1149="CO",AP1149="NT"),"COUPE – À RESOUDER","À RÉPARER"))))))))))</f>
        <v>ACCEPTÉ</v>
      </c>
      <c r="AR1149" s="82" t="str">
        <f aca="false">IF(AND(ISNUMBER(U1149),OR(AQ1149="À RADIOGRAPHIER",AQ1149="RÉPARÉ – À RADIOGRAPHIER",AQ1149="NX – RT À REFAIRE",AQ1149="À RÉPARER",AQ1149="COUPE – À RESOUDER",AQ1149="VT REJETÉ – À REPRENDRE")),MAX(0,'PROGRAMME RT'!$C$4-U1149),"")</f>
        <v/>
      </c>
      <c r="AS1149" s="82" t="n">
        <f aca="false">IF(AND(OR(AQ1149="À RADIOGRAPHIER",AQ1149="RÉPARÉ – À RADIOGRAPHIER",AQ1149="NX – RT À REFAIRE"),OR('PROGRAMME RT'!$D$5="TOUTES",B1149='PROGRAMME RT'!$D$5)),1,0)</f>
        <v>0</v>
      </c>
      <c r="AT1149" s="82" t="str">
        <f aca="false">IF(AS1149=1,SUM(AS$7:AS1149),"")</f>
        <v/>
      </c>
      <c r="AU1149" s="82" t="n">
        <f aca="false">IF(AND(OR(AA1149="R",AA1149="NX",AA1149="NT",AA1149="CO"),OR('JOINTS DE RÉPARATION'!$D$5="TOUTES",B1149='JOINTS DE RÉPARATION'!$D$5),OR('JOINTS DE RÉPARATION'!$L$4="TOUS",AQ1149&lt;&gt;"ACCEPTÉ")),1,0)</f>
        <v>0</v>
      </c>
      <c r="AV1149" s="82" t="str">
        <f aca="false">IF(AU1149=1,SUM(AU$7:AU1149),"")</f>
        <v/>
      </c>
      <c r="AW1149" s="82" t="str">
        <f aca="false">IF(E1149="","",B1149&amp;"|"&amp;E1149)</f>
        <v>MFD-ISW → MFD-CPF|DJ°370</v>
      </c>
    </row>
    <row r="1150" customFormat="false" ht="74.6" hidden="false" customHeight="false" outlineLevel="0" collapsed="false">
      <c r="A1150" s="79" t="n">
        <f aca="false">IF(E1150="","",ROW()-6)</f>
        <v>1144</v>
      </c>
      <c r="B1150" s="80" t="s">
        <v>110</v>
      </c>
      <c r="C1150" s="81" t="s">
        <v>1352</v>
      </c>
      <c r="D1150" s="81" t="n">
        <v>8</v>
      </c>
      <c r="E1150" s="81" t="s">
        <v>1374</v>
      </c>
      <c r="F1150" s="82" t="str">
        <f aca="false">IF(E1150="","",IF(LEFT(E1150,2)="DJ","DJ","JN"))</f>
        <v>JN</v>
      </c>
      <c r="G1150" s="81"/>
      <c r="H1150" s="81" t="s">
        <v>871</v>
      </c>
      <c r="I1150" s="81" t="n">
        <v>9.53</v>
      </c>
      <c r="J1150" s="81" t="s">
        <v>872</v>
      </c>
      <c r="K1150" s="81" t="s">
        <v>879</v>
      </c>
      <c r="L1150" s="81" t="n">
        <v>2083020</v>
      </c>
      <c r="M1150" s="81" t="n">
        <v>15421105</v>
      </c>
      <c r="N1150" s="81" t="n">
        <v>11.94</v>
      </c>
      <c r="O1150" s="81" t="n">
        <v>2090130</v>
      </c>
      <c r="P1150" s="81" t="n">
        <v>15421109</v>
      </c>
      <c r="Q1150" s="81" t="n">
        <v>11.94</v>
      </c>
      <c r="R1150" s="81" t="s">
        <v>1367</v>
      </c>
      <c r="S1150" s="81"/>
      <c r="T1150" s="81"/>
      <c r="U1150" s="83" t="n">
        <v>46279</v>
      </c>
      <c r="V1150" s="83" t="n">
        <v>46279</v>
      </c>
      <c r="W1150" s="81" t="s">
        <v>1368</v>
      </c>
      <c r="X1150" s="81" t="s">
        <v>876</v>
      </c>
      <c r="Y1150" s="83" t="n">
        <v>46284</v>
      </c>
      <c r="Z1150" s="81" t="s">
        <v>1354</v>
      </c>
      <c r="AA1150" s="81" t="s">
        <v>876</v>
      </c>
      <c r="AB1150" s="81"/>
      <c r="AC1150" s="81"/>
      <c r="AD1150" s="81"/>
      <c r="AE1150" s="83"/>
      <c r="AF1150" s="81"/>
      <c r="AG1150" s="81"/>
      <c r="AH1150" s="81"/>
      <c r="AI1150" s="81"/>
      <c r="AJ1150" s="83"/>
      <c r="AK1150" s="81"/>
      <c r="AL1150" s="81"/>
      <c r="AM1150" s="83"/>
      <c r="AN1150" s="80"/>
      <c r="AO1150" s="82" t="n">
        <f aca="false">IF(E1150="","",(AA1150&lt;&gt;"")+(AG1150&lt;&gt;"")+(AL1150&lt;&gt;""))</f>
        <v>1</v>
      </c>
      <c r="AP1150" s="82" t="str">
        <f aca="false">IF(AL1150&lt;&gt;"",AL1150,IF(AG1150&lt;&gt;"",AG1150,IF(AA1150&lt;&gt;"",AA1150,"")))</f>
        <v>A</v>
      </c>
      <c r="AQ1150" s="84" t="str">
        <f aca="false">IF(E1150="","",IF(U1150="","À SOUDER",IF(X1150="","VT EN ATTENTE",IF(X1150="R","VT REJETÉ – À REPRENDRE",IF(AP1150="","À RADIOGRAPHIER",IF(AP1150="A","ACCEPTÉ",IF(AP1150="NX","NX – RT À REFAIRE",IF(IF(AO1150=1,AD1150,IF(AO1150=2,AI1150,""))="A","RÉPARÉ – À RADIOGRAPHIER",IF(IF(AO1150=1,AD1150,IF(AO1150=2,AI1150,""))="R","VT REJETÉ – À REPRENDRE",IF(OR(AP1150="CO",AP1150="NT"),"COUPE – À RESOUDER","À RÉPARER"))))))))))</f>
        <v>ACCEPTÉ</v>
      </c>
      <c r="AR1150" s="82" t="str">
        <f aca="false">IF(AND(ISNUMBER(U1150),OR(AQ1150="À RADIOGRAPHIER",AQ1150="RÉPARÉ – À RADIOGRAPHIER",AQ1150="NX – RT À REFAIRE",AQ1150="À RÉPARER",AQ1150="COUPE – À RESOUDER",AQ1150="VT REJETÉ – À REPRENDRE")),MAX(0,'PROGRAMME RT'!$C$4-U1150),"")</f>
        <v/>
      </c>
      <c r="AS1150" s="82" t="n">
        <f aca="false">IF(AND(OR(AQ1150="À RADIOGRAPHIER",AQ1150="RÉPARÉ – À RADIOGRAPHIER",AQ1150="NX – RT À REFAIRE"),OR('PROGRAMME RT'!$D$5="TOUTES",B1150='PROGRAMME RT'!$D$5)),1,0)</f>
        <v>0</v>
      </c>
      <c r="AT1150" s="82" t="str">
        <f aca="false">IF(AS1150=1,SUM(AS$7:AS1150),"")</f>
        <v/>
      </c>
      <c r="AU1150" s="82" t="n">
        <f aca="false">IF(AND(OR(AA1150="R",AA1150="NX",AA1150="NT",AA1150="CO"),OR('JOINTS DE RÉPARATION'!$D$5="TOUTES",B1150='JOINTS DE RÉPARATION'!$D$5),OR('JOINTS DE RÉPARATION'!$L$4="TOUS",AQ1150&lt;&gt;"ACCEPTÉ")),1,0)</f>
        <v>0</v>
      </c>
      <c r="AV1150" s="82" t="str">
        <f aca="false">IF(AU1150=1,SUM(AU$7:AU1150),"")</f>
        <v/>
      </c>
      <c r="AW1150" s="82" t="str">
        <f aca="false">IF(E1150="","",B1150&amp;"|"&amp;E1150)</f>
        <v>MFD-ISW → MFD-CPF|JN°1003</v>
      </c>
    </row>
    <row r="1151" customFormat="false" ht="74.6" hidden="false" customHeight="false" outlineLevel="0" collapsed="false">
      <c r="A1151" s="79" t="n">
        <f aca="false">IF(E1151="","",ROW()-6)</f>
        <v>1145</v>
      </c>
      <c r="B1151" s="80" t="s">
        <v>110</v>
      </c>
      <c r="C1151" s="81" t="s">
        <v>1352</v>
      </c>
      <c r="D1151" s="81" t="n">
        <v>8</v>
      </c>
      <c r="E1151" s="81" t="s">
        <v>1375</v>
      </c>
      <c r="F1151" s="82" t="str">
        <f aca="false">IF(E1151="","",IF(LEFT(E1151,2)="DJ","DJ","JN"))</f>
        <v>DJ</v>
      </c>
      <c r="G1151" s="81"/>
      <c r="H1151" s="81" t="s">
        <v>871</v>
      </c>
      <c r="I1151" s="81" t="n">
        <v>9.53</v>
      </c>
      <c r="J1151" s="81" t="s">
        <v>872</v>
      </c>
      <c r="K1151" s="81" t="s">
        <v>873</v>
      </c>
      <c r="L1151" s="81" t="n">
        <v>2090130</v>
      </c>
      <c r="M1151" s="81" t="n">
        <v>15421109</v>
      </c>
      <c r="N1151" s="81" t="n">
        <v>11.94</v>
      </c>
      <c r="O1151" s="81" t="n">
        <v>2086480</v>
      </c>
      <c r="P1151" s="81" t="n">
        <v>15421107</v>
      </c>
      <c r="Q1151" s="81" t="n">
        <v>11.94</v>
      </c>
      <c r="R1151" s="81" t="s">
        <v>1135</v>
      </c>
      <c r="S1151" s="81"/>
      <c r="T1151" s="81"/>
      <c r="U1151" s="83" t="n">
        <v>46278</v>
      </c>
      <c r="V1151" s="83" t="n">
        <v>46278</v>
      </c>
      <c r="W1151" s="81" t="s">
        <v>1371</v>
      </c>
      <c r="X1151" s="81" t="s">
        <v>876</v>
      </c>
      <c r="Y1151" s="83" t="n">
        <v>46279</v>
      </c>
      <c r="Z1151" s="81" t="s">
        <v>1137</v>
      </c>
      <c r="AA1151" s="81" t="s">
        <v>876</v>
      </c>
      <c r="AB1151" s="81"/>
      <c r="AC1151" s="81"/>
      <c r="AD1151" s="81"/>
      <c r="AE1151" s="83"/>
      <c r="AF1151" s="81"/>
      <c r="AG1151" s="81"/>
      <c r="AH1151" s="81"/>
      <c r="AI1151" s="81"/>
      <c r="AJ1151" s="83"/>
      <c r="AK1151" s="81"/>
      <c r="AL1151" s="81"/>
      <c r="AM1151" s="83"/>
      <c r="AN1151" s="80"/>
      <c r="AO1151" s="82" t="n">
        <f aca="false">IF(E1151="","",(AA1151&lt;&gt;"")+(AG1151&lt;&gt;"")+(AL1151&lt;&gt;""))</f>
        <v>1</v>
      </c>
      <c r="AP1151" s="82" t="str">
        <f aca="false">IF(AL1151&lt;&gt;"",AL1151,IF(AG1151&lt;&gt;"",AG1151,IF(AA1151&lt;&gt;"",AA1151,"")))</f>
        <v>A</v>
      </c>
      <c r="AQ1151" s="84" t="str">
        <f aca="false">IF(E1151="","",IF(U1151="","À SOUDER",IF(X1151="","VT EN ATTENTE",IF(X1151="R","VT REJETÉ – À REPRENDRE",IF(AP1151="","À RADIOGRAPHIER",IF(AP1151="A","ACCEPTÉ",IF(AP1151="NX","NX – RT À REFAIRE",IF(IF(AO1151=1,AD1151,IF(AO1151=2,AI1151,""))="A","RÉPARÉ – À RADIOGRAPHIER",IF(IF(AO1151=1,AD1151,IF(AO1151=2,AI1151,""))="R","VT REJETÉ – À REPRENDRE",IF(OR(AP1151="CO",AP1151="NT"),"COUPE – À RESOUDER","À RÉPARER"))))))))))</f>
        <v>ACCEPTÉ</v>
      </c>
      <c r="AR1151" s="82" t="str">
        <f aca="false">IF(AND(ISNUMBER(U1151),OR(AQ1151="À RADIOGRAPHIER",AQ1151="RÉPARÉ – À RADIOGRAPHIER",AQ1151="NX – RT À REFAIRE",AQ1151="À RÉPARER",AQ1151="COUPE – À RESOUDER",AQ1151="VT REJETÉ – À REPRENDRE")),MAX(0,'PROGRAMME RT'!$C$4-U1151),"")</f>
        <v/>
      </c>
      <c r="AS1151" s="82" t="n">
        <f aca="false">IF(AND(OR(AQ1151="À RADIOGRAPHIER",AQ1151="RÉPARÉ – À RADIOGRAPHIER",AQ1151="NX – RT À REFAIRE"),OR('PROGRAMME RT'!$D$5="TOUTES",B1151='PROGRAMME RT'!$D$5)),1,0)</f>
        <v>0</v>
      </c>
      <c r="AT1151" s="82" t="str">
        <f aca="false">IF(AS1151=1,SUM(AS$7:AS1151),"")</f>
        <v/>
      </c>
      <c r="AU1151" s="82" t="n">
        <f aca="false">IF(AND(OR(AA1151="R",AA1151="NX",AA1151="NT",AA1151="CO"),OR('JOINTS DE RÉPARATION'!$D$5="TOUTES",B1151='JOINTS DE RÉPARATION'!$D$5),OR('JOINTS DE RÉPARATION'!$L$4="TOUS",AQ1151&lt;&gt;"ACCEPTÉ")),1,0)</f>
        <v>0</v>
      </c>
      <c r="AV1151" s="82" t="str">
        <f aca="false">IF(AU1151=1,SUM(AU$7:AU1151),"")</f>
        <v/>
      </c>
      <c r="AW1151" s="82" t="str">
        <f aca="false">IF(E1151="","",B1151&amp;"|"&amp;E1151)</f>
        <v>MFD-ISW → MFD-CPF|DJ°371</v>
      </c>
    </row>
    <row r="1152" customFormat="false" ht="74.6" hidden="false" customHeight="false" outlineLevel="0" collapsed="false">
      <c r="A1152" s="79" t="n">
        <f aca="false">IF(E1152="","",ROW()-6)</f>
        <v>1146</v>
      </c>
      <c r="B1152" s="80" t="s">
        <v>110</v>
      </c>
      <c r="C1152" s="81" t="s">
        <v>1352</v>
      </c>
      <c r="D1152" s="81" t="n">
        <v>8</v>
      </c>
      <c r="E1152" s="81" t="s">
        <v>1376</v>
      </c>
      <c r="F1152" s="82" t="str">
        <f aca="false">IF(E1152="","",IF(LEFT(E1152,2)="DJ","DJ","JN"))</f>
        <v>JN</v>
      </c>
      <c r="G1152" s="81"/>
      <c r="H1152" s="81" t="s">
        <v>871</v>
      </c>
      <c r="I1152" s="81" t="n">
        <v>9.53</v>
      </c>
      <c r="J1152" s="81" t="s">
        <v>872</v>
      </c>
      <c r="K1152" s="81" t="s">
        <v>879</v>
      </c>
      <c r="L1152" s="81" t="n">
        <v>2086480</v>
      </c>
      <c r="M1152" s="81" t="n">
        <v>15421107</v>
      </c>
      <c r="N1152" s="81" t="n">
        <v>11.94</v>
      </c>
      <c r="O1152" s="81" t="n">
        <v>2098120</v>
      </c>
      <c r="P1152" s="81" t="n">
        <v>15421112</v>
      </c>
      <c r="Q1152" s="81" t="n">
        <v>11.94</v>
      </c>
      <c r="R1152" s="81" t="s">
        <v>1367</v>
      </c>
      <c r="S1152" s="81"/>
      <c r="T1152" s="81"/>
      <c r="U1152" s="83" t="n">
        <v>46279</v>
      </c>
      <c r="V1152" s="83" t="n">
        <v>46279</v>
      </c>
      <c r="W1152" s="81" t="s">
        <v>1368</v>
      </c>
      <c r="X1152" s="81" t="s">
        <v>876</v>
      </c>
      <c r="Y1152" s="83" t="n">
        <v>46284</v>
      </c>
      <c r="Z1152" s="81" t="s">
        <v>1354</v>
      </c>
      <c r="AA1152" s="81" t="s">
        <v>876</v>
      </c>
      <c r="AB1152" s="81"/>
      <c r="AC1152" s="81"/>
      <c r="AD1152" s="81"/>
      <c r="AE1152" s="83"/>
      <c r="AF1152" s="81"/>
      <c r="AG1152" s="81"/>
      <c r="AH1152" s="81"/>
      <c r="AI1152" s="81"/>
      <c r="AJ1152" s="83"/>
      <c r="AK1152" s="81"/>
      <c r="AL1152" s="81"/>
      <c r="AM1152" s="83"/>
      <c r="AN1152" s="80"/>
      <c r="AO1152" s="82" t="n">
        <f aca="false">IF(E1152="","",(AA1152&lt;&gt;"")+(AG1152&lt;&gt;"")+(AL1152&lt;&gt;""))</f>
        <v>1</v>
      </c>
      <c r="AP1152" s="82" t="str">
        <f aca="false">IF(AL1152&lt;&gt;"",AL1152,IF(AG1152&lt;&gt;"",AG1152,IF(AA1152&lt;&gt;"",AA1152,"")))</f>
        <v>A</v>
      </c>
      <c r="AQ1152" s="84" t="str">
        <f aca="false">IF(E1152="","",IF(U1152="","À SOUDER",IF(X1152="","VT EN ATTENTE",IF(X1152="R","VT REJETÉ – À REPRENDRE",IF(AP1152="","À RADIOGRAPHIER",IF(AP1152="A","ACCEPTÉ",IF(AP1152="NX","NX – RT À REFAIRE",IF(IF(AO1152=1,AD1152,IF(AO1152=2,AI1152,""))="A","RÉPARÉ – À RADIOGRAPHIER",IF(IF(AO1152=1,AD1152,IF(AO1152=2,AI1152,""))="R","VT REJETÉ – À REPRENDRE",IF(OR(AP1152="CO",AP1152="NT"),"COUPE – À RESOUDER","À RÉPARER"))))))))))</f>
        <v>ACCEPTÉ</v>
      </c>
      <c r="AR1152" s="82" t="str">
        <f aca="false">IF(AND(ISNUMBER(U1152),OR(AQ1152="À RADIOGRAPHIER",AQ1152="RÉPARÉ – À RADIOGRAPHIER",AQ1152="NX – RT À REFAIRE",AQ1152="À RÉPARER",AQ1152="COUPE – À RESOUDER",AQ1152="VT REJETÉ – À REPRENDRE")),MAX(0,'PROGRAMME RT'!$C$4-U1152),"")</f>
        <v/>
      </c>
      <c r="AS1152" s="82" t="n">
        <f aca="false">IF(AND(OR(AQ1152="À RADIOGRAPHIER",AQ1152="RÉPARÉ – À RADIOGRAPHIER",AQ1152="NX – RT À REFAIRE"),OR('PROGRAMME RT'!$D$5="TOUTES",B1152='PROGRAMME RT'!$D$5)),1,0)</f>
        <v>0</v>
      </c>
      <c r="AT1152" s="82" t="str">
        <f aca="false">IF(AS1152=1,SUM(AS$7:AS1152),"")</f>
        <v/>
      </c>
      <c r="AU1152" s="82" t="n">
        <f aca="false">IF(AND(OR(AA1152="R",AA1152="NX",AA1152="NT",AA1152="CO"),OR('JOINTS DE RÉPARATION'!$D$5="TOUTES",B1152='JOINTS DE RÉPARATION'!$D$5),OR('JOINTS DE RÉPARATION'!$L$4="TOUS",AQ1152&lt;&gt;"ACCEPTÉ")),1,0)</f>
        <v>0</v>
      </c>
      <c r="AV1152" s="82" t="str">
        <f aca="false">IF(AU1152=1,SUM(AU$7:AU1152),"")</f>
        <v/>
      </c>
      <c r="AW1152" s="82" t="str">
        <f aca="false">IF(E1152="","",B1152&amp;"|"&amp;E1152)</f>
        <v>MFD-ISW → MFD-CPF|JN°1004</v>
      </c>
    </row>
    <row r="1153" customFormat="false" ht="74.6" hidden="false" customHeight="false" outlineLevel="0" collapsed="false">
      <c r="A1153" s="79" t="n">
        <f aca="false">IF(E1153="","",ROW()-6)</f>
        <v>1147</v>
      </c>
      <c r="B1153" s="80" t="s">
        <v>110</v>
      </c>
      <c r="C1153" s="81" t="s">
        <v>1352</v>
      </c>
      <c r="D1153" s="81" t="n">
        <v>8</v>
      </c>
      <c r="E1153" s="81" t="s">
        <v>1377</v>
      </c>
      <c r="F1153" s="82" t="str">
        <f aca="false">IF(E1153="","",IF(LEFT(E1153,2)="DJ","DJ","JN"))</f>
        <v>DJ</v>
      </c>
      <c r="G1153" s="81"/>
      <c r="H1153" s="81" t="s">
        <v>871</v>
      </c>
      <c r="I1153" s="81" t="n">
        <v>9.53</v>
      </c>
      <c r="J1153" s="81" t="s">
        <v>872</v>
      </c>
      <c r="K1153" s="81" t="s">
        <v>873</v>
      </c>
      <c r="L1153" s="81" t="n">
        <v>2098120</v>
      </c>
      <c r="M1153" s="81" t="n">
        <v>15421112</v>
      </c>
      <c r="N1153" s="81" t="n">
        <v>11.94</v>
      </c>
      <c r="O1153" s="81" t="n">
        <v>2084560</v>
      </c>
      <c r="P1153" s="81" t="n">
        <v>15421106</v>
      </c>
      <c r="Q1153" s="81" t="n">
        <v>11.94</v>
      </c>
      <c r="R1153" s="81" t="s">
        <v>899</v>
      </c>
      <c r="S1153" s="81"/>
      <c r="T1153" s="81"/>
      <c r="U1153" s="83" t="n">
        <v>46277</v>
      </c>
      <c r="V1153" s="83" t="n">
        <v>46277</v>
      </c>
      <c r="W1153" s="81" t="s">
        <v>1378</v>
      </c>
      <c r="X1153" s="81" t="s">
        <v>876</v>
      </c>
      <c r="Y1153" s="83" t="n">
        <v>46279</v>
      </c>
      <c r="Z1153" s="81" t="s">
        <v>1137</v>
      </c>
      <c r="AA1153" s="81" t="s">
        <v>876</v>
      </c>
      <c r="AB1153" s="81"/>
      <c r="AC1153" s="81"/>
      <c r="AD1153" s="81"/>
      <c r="AE1153" s="83"/>
      <c r="AF1153" s="81"/>
      <c r="AG1153" s="81"/>
      <c r="AH1153" s="81"/>
      <c r="AI1153" s="81"/>
      <c r="AJ1153" s="83"/>
      <c r="AK1153" s="81"/>
      <c r="AL1153" s="81"/>
      <c r="AM1153" s="83"/>
      <c r="AN1153" s="80"/>
      <c r="AO1153" s="82" t="n">
        <f aca="false">IF(E1153="","",(AA1153&lt;&gt;"")+(AG1153&lt;&gt;"")+(AL1153&lt;&gt;""))</f>
        <v>1</v>
      </c>
      <c r="AP1153" s="82" t="str">
        <f aca="false">IF(AL1153&lt;&gt;"",AL1153,IF(AG1153&lt;&gt;"",AG1153,IF(AA1153&lt;&gt;"",AA1153,"")))</f>
        <v>A</v>
      </c>
      <c r="AQ1153" s="84" t="str">
        <f aca="false">IF(E1153="","",IF(U1153="","À SOUDER",IF(X1153="","VT EN ATTENTE",IF(X1153="R","VT REJETÉ – À REPRENDRE",IF(AP1153="","À RADIOGRAPHIER",IF(AP1153="A","ACCEPTÉ",IF(AP1153="NX","NX – RT À REFAIRE",IF(IF(AO1153=1,AD1153,IF(AO1153=2,AI1153,""))="A","RÉPARÉ – À RADIOGRAPHIER",IF(IF(AO1153=1,AD1153,IF(AO1153=2,AI1153,""))="R","VT REJETÉ – À REPRENDRE",IF(OR(AP1153="CO",AP1153="NT"),"COUPE – À RESOUDER","À RÉPARER"))))))))))</f>
        <v>ACCEPTÉ</v>
      </c>
      <c r="AR1153" s="82" t="str">
        <f aca="false">IF(AND(ISNUMBER(U1153),OR(AQ1153="À RADIOGRAPHIER",AQ1153="RÉPARÉ – À RADIOGRAPHIER",AQ1153="NX – RT À REFAIRE",AQ1153="À RÉPARER",AQ1153="COUPE – À RESOUDER",AQ1153="VT REJETÉ – À REPRENDRE")),MAX(0,'PROGRAMME RT'!$C$4-U1153),"")</f>
        <v/>
      </c>
      <c r="AS1153" s="82" t="n">
        <f aca="false">IF(AND(OR(AQ1153="À RADIOGRAPHIER",AQ1153="RÉPARÉ – À RADIOGRAPHIER",AQ1153="NX – RT À REFAIRE"),OR('PROGRAMME RT'!$D$5="TOUTES",B1153='PROGRAMME RT'!$D$5)),1,0)</f>
        <v>0</v>
      </c>
      <c r="AT1153" s="82" t="str">
        <f aca="false">IF(AS1153=1,SUM(AS$7:AS1153),"")</f>
        <v/>
      </c>
      <c r="AU1153" s="82" t="n">
        <f aca="false">IF(AND(OR(AA1153="R",AA1153="NX",AA1153="NT",AA1153="CO"),OR('JOINTS DE RÉPARATION'!$D$5="TOUTES",B1153='JOINTS DE RÉPARATION'!$D$5),OR('JOINTS DE RÉPARATION'!$L$4="TOUS",AQ1153&lt;&gt;"ACCEPTÉ")),1,0)</f>
        <v>0</v>
      </c>
      <c r="AV1153" s="82" t="str">
        <f aca="false">IF(AU1153=1,SUM(AU$7:AU1153),"")</f>
        <v/>
      </c>
      <c r="AW1153" s="82" t="str">
        <f aca="false">IF(E1153="","",B1153&amp;"|"&amp;E1153)</f>
        <v>MFD-ISW → MFD-CPF|DJ°365</v>
      </c>
    </row>
    <row r="1154" customFormat="false" ht="74.6" hidden="false" customHeight="false" outlineLevel="0" collapsed="false">
      <c r="A1154" s="79" t="n">
        <f aca="false">IF(E1154="","",ROW()-6)</f>
        <v>1148</v>
      </c>
      <c r="B1154" s="80" t="s">
        <v>110</v>
      </c>
      <c r="C1154" s="81" t="s">
        <v>1352</v>
      </c>
      <c r="D1154" s="81" t="n">
        <v>8</v>
      </c>
      <c r="E1154" s="81" t="s">
        <v>1379</v>
      </c>
      <c r="F1154" s="82" t="str">
        <f aca="false">IF(E1154="","",IF(LEFT(E1154,2)="DJ","DJ","JN"))</f>
        <v>JN</v>
      </c>
      <c r="G1154" s="81"/>
      <c r="H1154" s="81" t="s">
        <v>871</v>
      </c>
      <c r="I1154" s="81" t="n">
        <v>9.53</v>
      </c>
      <c r="J1154" s="81" t="s">
        <v>872</v>
      </c>
      <c r="K1154" s="81" t="s">
        <v>879</v>
      </c>
      <c r="L1154" s="81" t="n">
        <v>2084560</v>
      </c>
      <c r="M1154" s="81" t="n">
        <v>15421106</v>
      </c>
      <c r="N1154" s="81" t="n">
        <v>11.94</v>
      </c>
      <c r="O1154" s="81" t="n">
        <v>2097590</v>
      </c>
      <c r="P1154" s="81" t="n">
        <v>15421112</v>
      </c>
      <c r="Q1154" s="81" t="n">
        <v>11.94</v>
      </c>
      <c r="R1154" s="81" t="s">
        <v>1367</v>
      </c>
      <c r="S1154" s="81"/>
      <c r="T1154" s="81"/>
      <c r="U1154" s="83" t="n">
        <v>46279</v>
      </c>
      <c r="V1154" s="83" t="n">
        <v>46279</v>
      </c>
      <c r="W1154" s="81" t="s">
        <v>1368</v>
      </c>
      <c r="X1154" s="81" t="s">
        <v>876</v>
      </c>
      <c r="Y1154" s="83" t="n">
        <v>46284</v>
      </c>
      <c r="Z1154" s="81" t="s">
        <v>1380</v>
      </c>
      <c r="AA1154" s="81" t="s">
        <v>876</v>
      </c>
      <c r="AB1154" s="81"/>
      <c r="AC1154" s="81"/>
      <c r="AD1154" s="81"/>
      <c r="AE1154" s="83"/>
      <c r="AF1154" s="81"/>
      <c r="AG1154" s="81"/>
      <c r="AH1154" s="81"/>
      <c r="AI1154" s="81"/>
      <c r="AJ1154" s="83"/>
      <c r="AK1154" s="81"/>
      <c r="AL1154" s="81"/>
      <c r="AM1154" s="83"/>
      <c r="AN1154" s="80"/>
      <c r="AO1154" s="82" t="n">
        <f aca="false">IF(E1154="","",(AA1154&lt;&gt;"")+(AG1154&lt;&gt;"")+(AL1154&lt;&gt;""))</f>
        <v>1</v>
      </c>
      <c r="AP1154" s="82" t="str">
        <f aca="false">IF(AL1154&lt;&gt;"",AL1154,IF(AG1154&lt;&gt;"",AG1154,IF(AA1154&lt;&gt;"",AA1154,"")))</f>
        <v>A</v>
      </c>
      <c r="AQ1154" s="84" t="str">
        <f aca="false">IF(E1154="","",IF(U1154="","À SOUDER",IF(X1154="","VT EN ATTENTE",IF(X1154="R","VT REJETÉ – À REPRENDRE",IF(AP1154="","À RADIOGRAPHIER",IF(AP1154="A","ACCEPTÉ",IF(AP1154="NX","NX – RT À REFAIRE",IF(IF(AO1154=1,AD1154,IF(AO1154=2,AI1154,""))="A","RÉPARÉ – À RADIOGRAPHIER",IF(IF(AO1154=1,AD1154,IF(AO1154=2,AI1154,""))="R","VT REJETÉ – À REPRENDRE",IF(OR(AP1154="CO",AP1154="NT"),"COUPE – À RESOUDER","À RÉPARER"))))))))))</f>
        <v>ACCEPTÉ</v>
      </c>
      <c r="AR1154" s="82" t="str">
        <f aca="false">IF(AND(ISNUMBER(U1154),OR(AQ1154="À RADIOGRAPHIER",AQ1154="RÉPARÉ – À RADIOGRAPHIER",AQ1154="NX – RT À REFAIRE",AQ1154="À RÉPARER",AQ1154="COUPE – À RESOUDER",AQ1154="VT REJETÉ – À REPRENDRE")),MAX(0,'PROGRAMME RT'!$C$4-U1154),"")</f>
        <v/>
      </c>
      <c r="AS1154" s="82" t="n">
        <f aca="false">IF(AND(OR(AQ1154="À RADIOGRAPHIER",AQ1154="RÉPARÉ – À RADIOGRAPHIER",AQ1154="NX – RT À REFAIRE"),OR('PROGRAMME RT'!$D$5="TOUTES",B1154='PROGRAMME RT'!$D$5)),1,0)</f>
        <v>0</v>
      </c>
      <c r="AT1154" s="82" t="str">
        <f aca="false">IF(AS1154=1,SUM(AS$7:AS1154),"")</f>
        <v/>
      </c>
      <c r="AU1154" s="82" t="n">
        <f aca="false">IF(AND(OR(AA1154="R",AA1154="NX",AA1154="NT",AA1154="CO"),OR('JOINTS DE RÉPARATION'!$D$5="TOUTES",B1154='JOINTS DE RÉPARATION'!$D$5),OR('JOINTS DE RÉPARATION'!$L$4="TOUS",AQ1154&lt;&gt;"ACCEPTÉ")),1,0)</f>
        <v>0</v>
      </c>
      <c r="AV1154" s="82" t="str">
        <f aca="false">IF(AU1154=1,SUM(AU$7:AU1154),"")</f>
        <v/>
      </c>
      <c r="AW1154" s="82" t="str">
        <f aca="false">IF(E1154="","",B1154&amp;"|"&amp;E1154)</f>
        <v>MFD-ISW → MFD-CPF|JN°1005</v>
      </c>
    </row>
    <row r="1155" customFormat="false" ht="74.6" hidden="false" customHeight="false" outlineLevel="0" collapsed="false">
      <c r="A1155" s="79" t="n">
        <f aca="false">IF(E1155="","",ROW()-6)</f>
        <v>1149</v>
      </c>
      <c r="B1155" s="80" t="s">
        <v>110</v>
      </c>
      <c r="C1155" s="81" t="s">
        <v>1352</v>
      </c>
      <c r="D1155" s="81" t="n">
        <v>8</v>
      </c>
      <c r="E1155" s="81" t="s">
        <v>1381</v>
      </c>
      <c r="F1155" s="82" t="str">
        <f aca="false">IF(E1155="","",IF(LEFT(E1155,2)="DJ","DJ","JN"))</f>
        <v>DJ</v>
      </c>
      <c r="G1155" s="81"/>
      <c r="H1155" s="81" t="s">
        <v>871</v>
      </c>
      <c r="I1155" s="81" t="n">
        <v>9.53</v>
      </c>
      <c r="J1155" s="81" t="s">
        <v>872</v>
      </c>
      <c r="K1155" s="81" t="s">
        <v>873</v>
      </c>
      <c r="L1155" s="81" t="n">
        <v>2097590</v>
      </c>
      <c r="M1155" s="81" t="n">
        <v>15421112</v>
      </c>
      <c r="N1155" s="81" t="n">
        <v>11.94</v>
      </c>
      <c r="O1155" s="81" t="n">
        <v>2086280</v>
      </c>
      <c r="P1155" s="81" t="n">
        <v>15421107</v>
      </c>
      <c r="Q1155" s="81" t="n">
        <v>11.94</v>
      </c>
      <c r="R1155" s="81" t="s">
        <v>1135</v>
      </c>
      <c r="S1155" s="81"/>
      <c r="T1155" s="81"/>
      <c r="U1155" s="83" t="n">
        <v>46278</v>
      </c>
      <c r="V1155" s="83" t="n">
        <v>46278</v>
      </c>
      <c r="W1155" s="81" t="s">
        <v>1371</v>
      </c>
      <c r="X1155" s="81" t="s">
        <v>876</v>
      </c>
      <c r="Y1155" s="83" t="n">
        <v>46279</v>
      </c>
      <c r="Z1155" s="81" t="s">
        <v>1137</v>
      </c>
      <c r="AA1155" s="81" t="s">
        <v>876</v>
      </c>
      <c r="AB1155" s="81"/>
      <c r="AC1155" s="81"/>
      <c r="AD1155" s="81"/>
      <c r="AE1155" s="83"/>
      <c r="AF1155" s="81"/>
      <c r="AG1155" s="81"/>
      <c r="AH1155" s="81"/>
      <c r="AI1155" s="81"/>
      <c r="AJ1155" s="83"/>
      <c r="AK1155" s="81"/>
      <c r="AL1155" s="81"/>
      <c r="AM1155" s="83"/>
      <c r="AN1155" s="80"/>
      <c r="AO1155" s="82" t="n">
        <f aca="false">IF(E1155="","",(AA1155&lt;&gt;"")+(AG1155&lt;&gt;"")+(AL1155&lt;&gt;""))</f>
        <v>1</v>
      </c>
      <c r="AP1155" s="82" t="str">
        <f aca="false">IF(AL1155&lt;&gt;"",AL1155,IF(AG1155&lt;&gt;"",AG1155,IF(AA1155&lt;&gt;"",AA1155,"")))</f>
        <v>A</v>
      </c>
      <c r="AQ1155" s="84" t="str">
        <f aca="false">IF(E1155="","",IF(U1155="","À SOUDER",IF(X1155="","VT EN ATTENTE",IF(X1155="R","VT REJETÉ – À REPRENDRE",IF(AP1155="","À RADIOGRAPHIER",IF(AP1155="A","ACCEPTÉ",IF(AP1155="NX","NX – RT À REFAIRE",IF(IF(AO1155=1,AD1155,IF(AO1155=2,AI1155,""))="A","RÉPARÉ – À RADIOGRAPHIER",IF(IF(AO1155=1,AD1155,IF(AO1155=2,AI1155,""))="R","VT REJETÉ – À REPRENDRE",IF(OR(AP1155="CO",AP1155="NT"),"COUPE – À RESOUDER","À RÉPARER"))))))))))</f>
        <v>ACCEPTÉ</v>
      </c>
      <c r="AR1155" s="82" t="str">
        <f aca="false">IF(AND(ISNUMBER(U1155),OR(AQ1155="À RADIOGRAPHIER",AQ1155="RÉPARÉ – À RADIOGRAPHIER",AQ1155="NX – RT À REFAIRE",AQ1155="À RÉPARER",AQ1155="COUPE – À RESOUDER",AQ1155="VT REJETÉ – À REPRENDRE")),MAX(0,'PROGRAMME RT'!$C$4-U1155),"")</f>
        <v/>
      </c>
      <c r="AS1155" s="82" t="n">
        <f aca="false">IF(AND(OR(AQ1155="À RADIOGRAPHIER",AQ1155="RÉPARÉ – À RADIOGRAPHIER",AQ1155="NX – RT À REFAIRE"),OR('PROGRAMME RT'!$D$5="TOUTES",B1155='PROGRAMME RT'!$D$5)),1,0)</f>
        <v>0</v>
      </c>
      <c r="AT1155" s="82" t="str">
        <f aca="false">IF(AS1155=1,SUM(AS$7:AS1155),"")</f>
        <v/>
      </c>
      <c r="AU1155" s="82" t="n">
        <f aca="false">IF(AND(OR(AA1155="R",AA1155="NX",AA1155="NT",AA1155="CO"),OR('JOINTS DE RÉPARATION'!$D$5="TOUTES",B1155='JOINTS DE RÉPARATION'!$D$5),OR('JOINTS DE RÉPARATION'!$L$4="TOUS",AQ1155&lt;&gt;"ACCEPTÉ")),1,0)</f>
        <v>0</v>
      </c>
      <c r="AV1155" s="82" t="str">
        <f aca="false">IF(AU1155=1,SUM(AU$7:AU1155),"")</f>
        <v/>
      </c>
      <c r="AW1155" s="82" t="str">
        <f aca="false">IF(E1155="","",B1155&amp;"|"&amp;E1155)</f>
        <v>MFD-ISW → MFD-CPF|DJ°366</v>
      </c>
    </row>
    <row r="1156" customFormat="false" ht="74.6" hidden="false" customHeight="false" outlineLevel="0" collapsed="false">
      <c r="A1156" s="79" t="n">
        <f aca="false">IF(E1156="","",ROW()-6)</f>
        <v>1150</v>
      </c>
      <c r="B1156" s="80" t="s">
        <v>110</v>
      </c>
      <c r="C1156" s="81" t="s">
        <v>1352</v>
      </c>
      <c r="D1156" s="81" t="n">
        <v>8</v>
      </c>
      <c r="E1156" s="81" t="s">
        <v>1382</v>
      </c>
      <c r="F1156" s="82" t="str">
        <f aca="false">IF(E1156="","",IF(LEFT(E1156,2)="DJ","DJ","JN"))</f>
        <v>JN</v>
      </c>
      <c r="G1156" s="81"/>
      <c r="H1156" s="81" t="s">
        <v>871</v>
      </c>
      <c r="I1156" s="81" t="n">
        <v>9.53</v>
      </c>
      <c r="J1156" s="81" t="s">
        <v>872</v>
      </c>
      <c r="K1156" s="81" t="s">
        <v>879</v>
      </c>
      <c r="L1156" s="81" t="n">
        <v>2086280</v>
      </c>
      <c r="M1156" s="81" t="n">
        <v>15421107</v>
      </c>
      <c r="N1156" s="81" t="n">
        <v>11.94</v>
      </c>
      <c r="O1156" s="81" t="n">
        <v>2098080</v>
      </c>
      <c r="P1156" s="81" t="n">
        <v>15421112</v>
      </c>
      <c r="Q1156" s="81" t="n">
        <v>11.94</v>
      </c>
      <c r="R1156" s="81" t="s">
        <v>1367</v>
      </c>
      <c r="S1156" s="81"/>
      <c r="T1156" s="81"/>
      <c r="U1156" s="83" t="n">
        <v>46279</v>
      </c>
      <c r="V1156" s="83" t="n">
        <v>46279</v>
      </c>
      <c r="W1156" s="81" t="s">
        <v>1368</v>
      </c>
      <c r="X1156" s="81" t="s">
        <v>876</v>
      </c>
      <c r="Y1156" s="83" t="n">
        <v>46284</v>
      </c>
      <c r="Z1156" s="81" t="s">
        <v>1380</v>
      </c>
      <c r="AA1156" s="81" t="s">
        <v>876</v>
      </c>
      <c r="AB1156" s="81"/>
      <c r="AC1156" s="81"/>
      <c r="AD1156" s="81"/>
      <c r="AE1156" s="83"/>
      <c r="AF1156" s="81"/>
      <c r="AG1156" s="81"/>
      <c r="AH1156" s="81"/>
      <c r="AI1156" s="81"/>
      <c r="AJ1156" s="83"/>
      <c r="AK1156" s="81"/>
      <c r="AL1156" s="81"/>
      <c r="AM1156" s="83"/>
      <c r="AN1156" s="80"/>
      <c r="AO1156" s="82" t="n">
        <f aca="false">IF(E1156="","",(AA1156&lt;&gt;"")+(AG1156&lt;&gt;"")+(AL1156&lt;&gt;""))</f>
        <v>1</v>
      </c>
      <c r="AP1156" s="82" t="str">
        <f aca="false">IF(AL1156&lt;&gt;"",AL1156,IF(AG1156&lt;&gt;"",AG1156,IF(AA1156&lt;&gt;"",AA1156,"")))</f>
        <v>A</v>
      </c>
      <c r="AQ1156" s="84" t="str">
        <f aca="false">IF(E1156="","",IF(U1156="","À SOUDER",IF(X1156="","VT EN ATTENTE",IF(X1156="R","VT REJETÉ – À REPRENDRE",IF(AP1156="","À RADIOGRAPHIER",IF(AP1156="A","ACCEPTÉ",IF(AP1156="NX","NX – RT À REFAIRE",IF(IF(AO1156=1,AD1156,IF(AO1156=2,AI1156,""))="A","RÉPARÉ – À RADIOGRAPHIER",IF(IF(AO1156=1,AD1156,IF(AO1156=2,AI1156,""))="R","VT REJETÉ – À REPRENDRE",IF(OR(AP1156="CO",AP1156="NT"),"COUPE – À RESOUDER","À RÉPARER"))))))))))</f>
        <v>ACCEPTÉ</v>
      </c>
      <c r="AR1156" s="82" t="str">
        <f aca="false">IF(AND(ISNUMBER(U1156),OR(AQ1156="À RADIOGRAPHIER",AQ1156="RÉPARÉ – À RADIOGRAPHIER",AQ1156="NX – RT À REFAIRE",AQ1156="À RÉPARER",AQ1156="COUPE – À RESOUDER",AQ1156="VT REJETÉ – À REPRENDRE")),MAX(0,'PROGRAMME RT'!$C$4-U1156),"")</f>
        <v/>
      </c>
      <c r="AS1156" s="82" t="n">
        <f aca="false">IF(AND(OR(AQ1156="À RADIOGRAPHIER",AQ1156="RÉPARÉ – À RADIOGRAPHIER",AQ1156="NX – RT À REFAIRE"),OR('PROGRAMME RT'!$D$5="TOUTES",B1156='PROGRAMME RT'!$D$5)),1,0)</f>
        <v>0</v>
      </c>
      <c r="AT1156" s="82" t="str">
        <f aca="false">IF(AS1156=1,SUM(AS$7:AS1156),"")</f>
        <v/>
      </c>
      <c r="AU1156" s="82" t="n">
        <f aca="false">IF(AND(OR(AA1156="R",AA1156="NX",AA1156="NT",AA1156="CO"),OR('JOINTS DE RÉPARATION'!$D$5="TOUTES",B1156='JOINTS DE RÉPARATION'!$D$5),OR('JOINTS DE RÉPARATION'!$L$4="TOUS",AQ1156&lt;&gt;"ACCEPTÉ")),1,0)</f>
        <v>0</v>
      </c>
      <c r="AV1156" s="82" t="str">
        <f aca="false">IF(AU1156=1,SUM(AU$7:AU1156),"")</f>
        <v/>
      </c>
      <c r="AW1156" s="82" t="str">
        <f aca="false">IF(E1156="","",B1156&amp;"|"&amp;E1156)</f>
        <v>MFD-ISW → MFD-CPF|JN°1006</v>
      </c>
    </row>
    <row r="1157" customFormat="false" ht="74.6" hidden="false" customHeight="false" outlineLevel="0" collapsed="false">
      <c r="A1157" s="79" t="n">
        <f aca="false">IF(E1157="","",ROW()-6)</f>
        <v>1151</v>
      </c>
      <c r="B1157" s="80" t="s">
        <v>110</v>
      </c>
      <c r="C1157" s="81" t="s">
        <v>1352</v>
      </c>
      <c r="D1157" s="81" t="n">
        <v>8</v>
      </c>
      <c r="E1157" s="81" t="s">
        <v>1383</v>
      </c>
      <c r="F1157" s="82" t="str">
        <f aca="false">IF(E1157="","",IF(LEFT(E1157,2)="DJ","DJ","JN"))</f>
        <v>DJ</v>
      </c>
      <c r="G1157" s="81"/>
      <c r="H1157" s="81" t="s">
        <v>871</v>
      </c>
      <c r="I1157" s="81" t="n">
        <v>9.53</v>
      </c>
      <c r="J1157" s="81" t="s">
        <v>872</v>
      </c>
      <c r="K1157" s="81" t="s">
        <v>873</v>
      </c>
      <c r="L1157" s="81" t="n">
        <v>2098080</v>
      </c>
      <c r="M1157" s="81" t="n">
        <v>15421112</v>
      </c>
      <c r="N1157" s="81" t="n">
        <v>11.94</v>
      </c>
      <c r="O1157" s="81" t="n">
        <v>2083890</v>
      </c>
      <c r="P1157" s="81" t="n">
        <v>15421106</v>
      </c>
      <c r="Q1157" s="81" t="n">
        <v>11.94</v>
      </c>
      <c r="R1157" s="81" t="s">
        <v>1135</v>
      </c>
      <c r="S1157" s="81"/>
      <c r="T1157" s="81"/>
      <c r="U1157" s="83" t="n">
        <v>46278</v>
      </c>
      <c r="V1157" s="83" t="n">
        <v>46278</v>
      </c>
      <c r="W1157" s="81" t="s">
        <v>1371</v>
      </c>
      <c r="X1157" s="81" t="s">
        <v>876</v>
      </c>
      <c r="Y1157" s="83" t="n">
        <v>46279</v>
      </c>
      <c r="Z1157" s="81" t="s">
        <v>1137</v>
      </c>
      <c r="AA1157" s="81" t="s">
        <v>876</v>
      </c>
      <c r="AB1157" s="81"/>
      <c r="AC1157" s="81"/>
      <c r="AD1157" s="81"/>
      <c r="AE1157" s="83"/>
      <c r="AF1157" s="81"/>
      <c r="AG1157" s="81"/>
      <c r="AH1157" s="81"/>
      <c r="AI1157" s="81"/>
      <c r="AJ1157" s="83"/>
      <c r="AK1157" s="81"/>
      <c r="AL1157" s="81"/>
      <c r="AM1157" s="83"/>
      <c r="AN1157" s="80"/>
      <c r="AO1157" s="82" t="n">
        <f aca="false">IF(E1157="","",(AA1157&lt;&gt;"")+(AG1157&lt;&gt;"")+(AL1157&lt;&gt;""))</f>
        <v>1</v>
      </c>
      <c r="AP1157" s="82" t="str">
        <f aca="false">IF(AL1157&lt;&gt;"",AL1157,IF(AG1157&lt;&gt;"",AG1157,IF(AA1157&lt;&gt;"",AA1157,"")))</f>
        <v>A</v>
      </c>
      <c r="AQ1157" s="84" t="str">
        <f aca="false">IF(E1157="","",IF(U1157="","À SOUDER",IF(X1157="","VT EN ATTENTE",IF(X1157="R","VT REJETÉ – À REPRENDRE",IF(AP1157="","À RADIOGRAPHIER",IF(AP1157="A","ACCEPTÉ",IF(AP1157="NX","NX – RT À REFAIRE",IF(IF(AO1157=1,AD1157,IF(AO1157=2,AI1157,""))="A","RÉPARÉ – À RADIOGRAPHIER",IF(IF(AO1157=1,AD1157,IF(AO1157=2,AI1157,""))="R","VT REJETÉ – À REPRENDRE",IF(OR(AP1157="CO",AP1157="NT"),"COUPE – À RESOUDER","À RÉPARER"))))))))))</f>
        <v>ACCEPTÉ</v>
      </c>
      <c r="AR1157" s="82" t="str">
        <f aca="false">IF(AND(ISNUMBER(U1157),OR(AQ1157="À RADIOGRAPHIER",AQ1157="RÉPARÉ – À RADIOGRAPHIER",AQ1157="NX – RT À REFAIRE",AQ1157="À RÉPARER",AQ1157="COUPE – À RESOUDER",AQ1157="VT REJETÉ – À REPRENDRE")),MAX(0,'PROGRAMME RT'!$C$4-U1157),"")</f>
        <v/>
      </c>
      <c r="AS1157" s="82" t="n">
        <f aca="false">IF(AND(OR(AQ1157="À RADIOGRAPHIER",AQ1157="RÉPARÉ – À RADIOGRAPHIER",AQ1157="NX – RT À REFAIRE"),OR('PROGRAMME RT'!$D$5="TOUTES",B1157='PROGRAMME RT'!$D$5)),1,0)</f>
        <v>0</v>
      </c>
      <c r="AT1157" s="82" t="str">
        <f aca="false">IF(AS1157=1,SUM(AS$7:AS1157),"")</f>
        <v/>
      </c>
      <c r="AU1157" s="82" t="n">
        <f aca="false">IF(AND(OR(AA1157="R",AA1157="NX",AA1157="NT",AA1157="CO"),OR('JOINTS DE RÉPARATION'!$D$5="TOUTES",B1157='JOINTS DE RÉPARATION'!$D$5),OR('JOINTS DE RÉPARATION'!$L$4="TOUS",AQ1157&lt;&gt;"ACCEPTÉ")),1,0)</f>
        <v>0</v>
      </c>
      <c r="AV1157" s="82" t="str">
        <f aca="false">IF(AU1157=1,SUM(AU$7:AU1157),"")</f>
        <v/>
      </c>
      <c r="AW1157" s="82" t="str">
        <f aca="false">IF(E1157="","",B1157&amp;"|"&amp;E1157)</f>
        <v>MFD-ISW → MFD-CPF|DJ°369</v>
      </c>
    </row>
    <row r="1158" customFormat="false" ht="74.6" hidden="false" customHeight="false" outlineLevel="0" collapsed="false">
      <c r="A1158" s="79" t="n">
        <f aca="false">IF(E1158="","",ROW()-6)</f>
        <v>1152</v>
      </c>
      <c r="B1158" s="80" t="s">
        <v>110</v>
      </c>
      <c r="C1158" s="81" t="s">
        <v>1352</v>
      </c>
      <c r="D1158" s="81" t="n">
        <v>8</v>
      </c>
      <c r="E1158" s="81" t="s">
        <v>1384</v>
      </c>
      <c r="F1158" s="82" t="str">
        <f aca="false">IF(E1158="","",IF(LEFT(E1158,2)="DJ","DJ","JN"))</f>
        <v>JN</v>
      </c>
      <c r="G1158" s="81"/>
      <c r="H1158" s="81" t="s">
        <v>871</v>
      </c>
      <c r="I1158" s="81" t="n">
        <v>9.53</v>
      </c>
      <c r="J1158" s="81" t="s">
        <v>872</v>
      </c>
      <c r="K1158" s="81" t="s">
        <v>879</v>
      </c>
      <c r="L1158" s="81" t="n">
        <v>2083890</v>
      </c>
      <c r="M1158" s="81" t="n">
        <v>15421106</v>
      </c>
      <c r="N1158" s="81" t="n">
        <v>11.94</v>
      </c>
      <c r="O1158" s="81" t="n">
        <v>2092340</v>
      </c>
      <c r="P1158" s="81" t="n">
        <v>15421110</v>
      </c>
      <c r="Q1158" s="81" t="n">
        <v>11.94</v>
      </c>
      <c r="R1158" s="81" t="s">
        <v>1367</v>
      </c>
      <c r="S1158" s="81"/>
      <c r="T1158" s="81"/>
      <c r="U1158" s="83" t="n">
        <v>46279</v>
      </c>
      <c r="V1158" s="83" t="n">
        <v>46279</v>
      </c>
      <c r="W1158" s="81" t="s">
        <v>1368</v>
      </c>
      <c r="X1158" s="81" t="s">
        <v>876</v>
      </c>
      <c r="Y1158" s="83" t="n">
        <v>46284</v>
      </c>
      <c r="Z1158" s="81" t="s">
        <v>1380</v>
      </c>
      <c r="AA1158" s="81" t="s">
        <v>876</v>
      </c>
      <c r="AB1158" s="81"/>
      <c r="AC1158" s="81"/>
      <c r="AD1158" s="81"/>
      <c r="AE1158" s="83"/>
      <c r="AF1158" s="81"/>
      <c r="AG1158" s="81"/>
      <c r="AH1158" s="81"/>
      <c r="AI1158" s="81"/>
      <c r="AJ1158" s="83"/>
      <c r="AK1158" s="81"/>
      <c r="AL1158" s="81"/>
      <c r="AM1158" s="83"/>
      <c r="AN1158" s="80"/>
      <c r="AO1158" s="82" t="n">
        <f aca="false">IF(E1158="","",(AA1158&lt;&gt;"")+(AG1158&lt;&gt;"")+(AL1158&lt;&gt;""))</f>
        <v>1</v>
      </c>
      <c r="AP1158" s="82" t="str">
        <f aca="false">IF(AL1158&lt;&gt;"",AL1158,IF(AG1158&lt;&gt;"",AG1158,IF(AA1158&lt;&gt;"",AA1158,"")))</f>
        <v>A</v>
      </c>
      <c r="AQ1158" s="84" t="str">
        <f aca="false">IF(E1158="","",IF(U1158="","À SOUDER",IF(X1158="","VT EN ATTENTE",IF(X1158="R","VT REJETÉ – À REPRENDRE",IF(AP1158="","À RADIOGRAPHIER",IF(AP1158="A","ACCEPTÉ",IF(AP1158="NX","NX – RT À REFAIRE",IF(IF(AO1158=1,AD1158,IF(AO1158=2,AI1158,""))="A","RÉPARÉ – À RADIOGRAPHIER",IF(IF(AO1158=1,AD1158,IF(AO1158=2,AI1158,""))="R","VT REJETÉ – À REPRENDRE",IF(OR(AP1158="CO",AP1158="NT"),"COUPE – À RESOUDER","À RÉPARER"))))))))))</f>
        <v>ACCEPTÉ</v>
      </c>
      <c r="AR1158" s="82" t="str">
        <f aca="false">IF(AND(ISNUMBER(U1158),OR(AQ1158="À RADIOGRAPHIER",AQ1158="RÉPARÉ – À RADIOGRAPHIER",AQ1158="NX – RT À REFAIRE",AQ1158="À RÉPARER",AQ1158="COUPE – À RESOUDER",AQ1158="VT REJETÉ – À REPRENDRE")),MAX(0,'PROGRAMME RT'!$C$4-U1158),"")</f>
        <v/>
      </c>
      <c r="AS1158" s="82" t="n">
        <f aca="false">IF(AND(OR(AQ1158="À RADIOGRAPHIER",AQ1158="RÉPARÉ – À RADIOGRAPHIER",AQ1158="NX – RT À REFAIRE"),OR('PROGRAMME RT'!$D$5="TOUTES",B1158='PROGRAMME RT'!$D$5)),1,0)</f>
        <v>0</v>
      </c>
      <c r="AT1158" s="82" t="str">
        <f aca="false">IF(AS1158=1,SUM(AS$7:AS1158),"")</f>
        <v/>
      </c>
      <c r="AU1158" s="82" t="n">
        <f aca="false">IF(AND(OR(AA1158="R",AA1158="NX",AA1158="NT",AA1158="CO"),OR('JOINTS DE RÉPARATION'!$D$5="TOUTES",B1158='JOINTS DE RÉPARATION'!$D$5),OR('JOINTS DE RÉPARATION'!$L$4="TOUS",AQ1158&lt;&gt;"ACCEPTÉ")),1,0)</f>
        <v>0</v>
      </c>
      <c r="AV1158" s="82" t="str">
        <f aca="false">IF(AU1158=1,SUM(AU$7:AU1158),"")</f>
        <v/>
      </c>
      <c r="AW1158" s="82" t="str">
        <f aca="false">IF(E1158="","",B1158&amp;"|"&amp;E1158)</f>
        <v>MFD-ISW → MFD-CPF|JN°1007</v>
      </c>
    </row>
    <row r="1159" customFormat="false" ht="74.6" hidden="false" customHeight="false" outlineLevel="0" collapsed="false">
      <c r="A1159" s="79" t="n">
        <f aca="false">IF(E1159="","",ROW()-6)</f>
        <v>1153</v>
      </c>
      <c r="B1159" s="80" t="s">
        <v>110</v>
      </c>
      <c r="C1159" s="81" t="s">
        <v>1352</v>
      </c>
      <c r="D1159" s="81" t="n">
        <v>9</v>
      </c>
      <c r="E1159" s="81" t="s">
        <v>1134</v>
      </c>
      <c r="F1159" s="82" t="str">
        <f aca="false">IF(E1159="","",IF(LEFT(E1159,2)="DJ","DJ","JN"))</f>
        <v>DJ</v>
      </c>
      <c r="G1159" s="81"/>
      <c r="H1159" s="81" t="s">
        <v>871</v>
      </c>
      <c r="I1159" s="81" t="n">
        <v>9.53</v>
      </c>
      <c r="J1159" s="81" t="s">
        <v>872</v>
      </c>
      <c r="K1159" s="81" t="s">
        <v>873</v>
      </c>
      <c r="L1159" s="81" t="n">
        <v>2092340</v>
      </c>
      <c r="M1159" s="81" t="n">
        <v>15421110</v>
      </c>
      <c r="N1159" s="81" t="n">
        <v>11.94</v>
      </c>
      <c r="O1159" s="81" t="n">
        <v>2080080</v>
      </c>
      <c r="P1159" s="81" t="n">
        <v>15421102</v>
      </c>
      <c r="Q1159" s="81" t="n">
        <v>11.94</v>
      </c>
      <c r="R1159" s="81" t="s">
        <v>1135</v>
      </c>
      <c r="S1159" s="81"/>
      <c r="T1159" s="81"/>
      <c r="U1159" s="83" t="n">
        <v>46277</v>
      </c>
      <c r="V1159" s="83" t="n">
        <v>46277</v>
      </c>
      <c r="W1159" s="81" t="s">
        <v>1136</v>
      </c>
      <c r="X1159" s="81" t="s">
        <v>876</v>
      </c>
      <c r="Y1159" s="83" t="n">
        <v>46279</v>
      </c>
      <c r="Z1159" s="81" t="s">
        <v>1137</v>
      </c>
      <c r="AA1159" s="81" t="s">
        <v>876</v>
      </c>
      <c r="AB1159" s="81"/>
      <c r="AC1159" s="81"/>
      <c r="AD1159" s="81"/>
      <c r="AE1159" s="83"/>
      <c r="AF1159" s="81"/>
      <c r="AG1159" s="81"/>
      <c r="AH1159" s="81"/>
      <c r="AI1159" s="81"/>
      <c r="AJ1159" s="83"/>
      <c r="AK1159" s="81"/>
      <c r="AL1159" s="81"/>
      <c r="AM1159" s="83"/>
      <c r="AN1159" s="80"/>
      <c r="AO1159" s="82" t="n">
        <f aca="false">IF(E1159="","",(AA1159&lt;&gt;"")+(AG1159&lt;&gt;"")+(AL1159&lt;&gt;""))</f>
        <v>1</v>
      </c>
      <c r="AP1159" s="82" t="str">
        <f aca="false">IF(AL1159&lt;&gt;"",AL1159,IF(AG1159&lt;&gt;"",AG1159,IF(AA1159&lt;&gt;"",AA1159,"")))</f>
        <v>A</v>
      </c>
      <c r="AQ1159" s="84" t="str">
        <f aca="false">IF(E1159="","",IF(U1159="","À SOUDER",IF(X1159="","VT EN ATTENTE",IF(X1159="R","VT REJETÉ – À REPRENDRE",IF(AP1159="","À RADIOGRAPHIER",IF(AP1159="A","ACCEPTÉ",IF(AP1159="NX","NX – RT À REFAIRE",IF(IF(AO1159=1,AD1159,IF(AO1159=2,AI1159,""))="A","RÉPARÉ – À RADIOGRAPHIER",IF(IF(AO1159=1,AD1159,IF(AO1159=2,AI1159,""))="R","VT REJETÉ – À REPRENDRE",IF(OR(AP1159="CO",AP1159="NT"),"COUPE – À RESOUDER","À RÉPARER"))))))))))</f>
        <v>ACCEPTÉ</v>
      </c>
      <c r="AR1159" s="82" t="str">
        <f aca="false">IF(AND(ISNUMBER(U1159),OR(AQ1159="À RADIOGRAPHIER",AQ1159="RÉPARÉ – À RADIOGRAPHIER",AQ1159="NX – RT À REFAIRE",AQ1159="À RÉPARER",AQ1159="COUPE – À RESOUDER",AQ1159="VT REJETÉ – À REPRENDRE")),MAX(0,'PROGRAMME RT'!$C$4-U1159),"")</f>
        <v/>
      </c>
      <c r="AS1159" s="82" t="n">
        <f aca="false">IF(AND(OR(AQ1159="À RADIOGRAPHIER",AQ1159="RÉPARÉ – À RADIOGRAPHIER",AQ1159="NX – RT À REFAIRE"),OR('PROGRAMME RT'!$D$5="TOUTES",B1159='PROGRAMME RT'!$D$5)),1,0)</f>
        <v>0</v>
      </c>
      <c r="AT1159" s="82" t="str">
        <f aca="false">IF(AS1159=1,SUM(AS$7:AS1159),"")</f>
        <v/>
      </c>
      <c r="AU1159" s="82" t="n">
        <f aca="false">IF(AND(OR(AA1159="R",AA1159="NX",AA1159="NT",AA1159="CO"),OR('JOINTS DE RÉPARATION'!$D$5="TOUTES",B1159='JOINTS DE RÉPARATION'!$D$5),OR('JOINTS DE RÉPARATION'!$L$4="TOUS",AQ1159&lt;&gt;"ACCEPTÉ")),1,0)</f>
        <v>0</v>
      </c>
      <c r="AV1159" s="82" t="str">
        <f aca="false">IF(AU1159=1,SUM(AU$7:AU1159),"")</f>
        <v/>
      </c>
      <c r="AW1159" s="82" t="str">
        <f aca="false">IF(E1159="","",B1159&amp;"|"&amp;E1159)</f>
        <v>MFD-ISW → MFD-CPF|DJ°360</v>
      </c>
    </row>
    <row r="1160" customFormat="false" ht="74.6" hidden="false" customHeight="false" outlineLevel="0" collapsed="false">
      <c r="A1160" s="79" t="n">
        <f aca="false">IF(E1160="","",ROW()-6)</f>
        <v>1154</v>
      </c>
      <c r="B1160" s="80" t="s">
        <v>110</v>
      </c>
      <c r="C1160" s="81" t="s">
        <v>1352</v>
      </c>
      <c r="D1160" s="81" t="n">
        <v>9</v>
      </c>
      <c r="E1160" s="81" t="s">
        <v>1385</v>
      </c>
      <c r="F1160" s="82" t="str">
        <f aca="false">IF(E1160="","",IF(LEFT(E1160,2)="DJ","DJ","JN"))</f>
        <v>JN</v>
      </c>
      <c r="G1160" s="81"/>
      <c r="H1160" s="81" t="s">
        <v>871</v>
      </c>
      <c r="I1160" s="81" t="n">
        <v>9.53</v>
      </c>
      <c r="J1160" s="81" t="s">
        <v>872</v>
      </c>
      <c r="K1160" s="81" t="s">
        <v>879</v>
      </c>
      <c r="L1160" s="81" t="n">
        <v>2080080</v>
      </c>
      <c r="M1160" s="81" t="n">
        <v>15421102</v>
      </c>
      <c r="N1160" s="81" t="n">
        <v>11.94</v>
      </c>
      <c r="O1160" s="81" t="n">
        <v>2086970</v>
      </c>
      <c r="P1160" s="81" t="n">
        <v>15421107</v>
      </c>
      <c r="Q1160" s="81" t="n">
        <v>11.94</v>
      </c>
      <c r="R1160" s="81" t="s">
        <v>1367</v>
      </c>
      <c r="S1160" s="81"/>
      <c r="T1160" s="81"/>
      <c r="U1160" s="83" t="n">
        <v>46279</v>
      </c>
      <c r="V1160" s="83" t="n">
        <v>46279</v>
      </c>
      <c r="W1160" s="81" t="s">
        <v>1368</v>
      </c>
      <c r="X1160" s="81" t="s">
        <v>876</v>
      </c>
      <c r="Y1160" s="83" t="n">
        <v>46284</v>
      </c>
      <c r="Z1160" s="81" t="s">
        <v>1380</v>
      </c>
      <c r="AA1160" s="81" t="s">
        <v>876</v>
      </c>
      <c r="AB1160" s="81"/>
      <c r="AC1160" s="81"/>
      <c r="AD1160" s="81"/>
      <c r="AE1160" s="83"/>
      <c r="AF1160" s="81"/>
      <c r="AG1160" s="81"/>
      <c r="AH1160" s="81"/>
      <c r="AI1160" s="81"/>
      <c r="AJ1160" s="83"/>
      <c r="AK1160" s="81"/>
      <c r="AL1160" s="81"/>
      <c r="AM1160" s="83"/>
      <c r="AN1160" s="80"/>
      <c r="AO1160" s="82" t="n">
        <f aca="false">IF(E1160="","",(AA1160&lt;&gt;"")+(AG1160&lt;&gt;"")+(AL1160&lt;&gt;""))</f>
        <v>1</v>
      </c>
      <c r="AP1160" s="82" t="str">
        <f aca="false">IF(AL1160&lt;&gt;"",AL1160,IF(AG1160&lt;&gt;"",AG1160,IF(AA1160&lt;&gt;"",AA1160,"")))</f>
        <v>A</v>
      </c>
      <c r="AQ1160" s="84" t="str">
        <f aca="false">IF(E1160="","",IF(U1160="","À SOUDER",IF(X1160="","VT EN ATTENTE",IF(X1160="R","VT REJETÉ – À REPRENDRE",IF(AP1160="","À RADIOGRAPHIER",IF(AP1160="A","ACCEPTÉ",IF(AP1160="NX","NX – RT À REFAIRE",IF(IF(AO1160=1,AD1160,IF(AO1160=2,AI1160,""))="A","RÉPARÉ – À RADIOGRAPHIER",IF(IF(AO1160=1,AD1160,IF(AO1160=2,AI1160,""))="R","VT REJETÉ – À REPRENDRE",IF(OR(AP1160="CO",AP1160="NT"),"COUPE – À RESOUDER","À RÉPARER"))))))))))</f>
        <v>ACCEPTÉ</v>
      </c>
      <c r="AR1160" s="82" t="str">
        <f aca="false">IF(AND(ISNUMBER(U1160),OR(AQ1160="À RADIOGRAPHIER",AQ1160="RÉPARÉ – À RADIOGRAPHIER",AQ1160="NX – RT À REFAIRE",AQ1160="À RÉPARER",AQ1160="COUPE – À RESOUDER",AQ1160="VT REJETÉ – À REPRENDRE")),MAX(0,'PROGRAMME RT'!$C$4-U1160),"")</f>
        <v/>
      </c>
      <c r="AS1160" s="82" t="n">
        <f aca="false">IF(AND(OR(AQ1160="À RADIOGRAPHIER",AQ1160="RÉPARÉ – À RADIOGRAPHIER",AQ1160="NX – RT À REFAIRE"),OR('PROGRAMME RT'!$D$5="TOUTES",B1160='PROGRAMME RT'!$D$5)),1,0)</f>
        <v>0</v>
      </c>
      <c r="AT1160" s="82" t="str">
        <f aca="false">IF(AS1160=1,SUM(AS$7:AS1160),"")</f>
        <v/>
      </c>
      <c r="AU1160" s="82" t="n">
        <f aca="false">IF(AND(OR(AA1160="R",AA1160="NX",AA1160="NT",AA1160="CO"),OR('JOINTS DE RÉPARATION'!$D$5="TOUTES",B1160='JOINTS DE RÉPARATION'!$D$5),OR('JOINTS DE RÉPARATION'!$L$4="TOUS",AQ1160&lt;&gt;"ACCEPTÉ")),1,0)</f>
        <v>0</v>
      </c>
      <c r="AV1160" s="82" t="str">
        <f aca="false">IF(AU1160=1,SUM(AU$7:AU1160),"")</f>
        <v/>
      </c>
      <c r="AW1160" s="82" t="str">
        <f aca="false">IF(E1160="","",B1160&amp;"|"&amp;E1160)</f>
        <v>MFD-ISW → MFD-CPF|JN°1008</v>
      </c>
    </row>
    <row r="1161" customFormat="false" ht="74.6" hidden="false" customHeight="false" outlineLevel="0" collapsed="false">
      <c r="A1161" s="79" t="n">
        <f aca="false">IF(E1161="","",ROW()-6)</f>
        <v>1155</v>
      </c>
      <c r="B1161" s="80" t="s">
        <v>110</v>
      </c>
      <c r="C1161" s="81" t="s">
        <v>1352</v>
      </c>
      <c r="D1161" s="81" t="n">
        <v>9</v>
      </c>
      <c r="E1161" s="81" t="s">
        <v>1386</v>
      </c>
      <c r="F1161" s="82" t="str">
        <f aca="false">IF(E1161="","",IF(LEFT(E1161,2)="DJ","DJ","JN"))</f>
        <v>DJ</v>
      </c>
      <c r="G1161" s="81"/>
      <c r="H1161" s="81" t="s">
        <v>871</v>
      </c>
      <c r="I1161" s="81" t="n">
        <v>9.53</v>
      </c>
      <c r="J1161" s="81" t="s">
        <v>872</v>
      </c>
      <c r="K1161" s="81" t="s">
        <v>873</v>
      </c>
      <c r="L1161" s="81" t="n">
        <v>2086970</v>
      </c>
      <c r="M1161" s="81" t="n">
        <v>15421107</v>
      </c>
      <c r="N1161" s="81" t="n">
        <v>11.94</v>
      </c>
      <c r="O1161" s="81" t="n">
        <v>2083070</v>
      </c>
      <c r="P1161" s="81" t="n">
        <v>15421105</v>
      </c>
      <c r="Q1161" s="81" t="n">
        <v>11.94</v>
      </c>
      <c r="R1161" s="81" t="s">
        <v>963</v>
      </c>
      <c r="S1161" s="81"/>
      <c r="T1161" s="81"/>
      <c r="U1161" s="83" t="n">
        <v>46277</v>
      </c>
      <c r="V1161" s="83" t="n">
        <v>46277</v>
      </c>
      <c r="W1161" s="81" t="s">
        <v>1136</v>
      </c>
      <c r="X1161" s="81" t="s">
        <v>876</v>
      </c>
      <c r="Y1161" s="83" t="n">
        <v>46279</v>
      </c>
      <c r="Z1161" s="81" t="s">
        <v>1137</v>
      </c>
      <c r="AA1161" s="81" t="s">
        <v>876</v>
      </c>
      <c r="AB1161" s="81"/>
      <c r="AC1161" s="81"/>
      <c r="AD1161" s="81"/>
      <c r="AE1161" s="83"/>
      <c r="AF1161" s="81"/>
      <c r="AG1161" s="81"/>
      <c r="AH1161" s="81"/>
      <c r="AI1161" s="81"/>
      <c r="AJ1161" s="83"/>
      <c r="AK1161" s="81"/>
      <c r="AL1161" s="81"/>
      <c r="AM1161" s="83"/>
      <c r="AN1161" s="80"/>
      <c r="AO1161" s="82" t="n">
        <f aca="false">IF(E1161="","",(AA1161&lt;&gt;"")+(AG1161&lt;&gt;"")+(AL1161&lt;&gt;""))</f>
        <v>1</v>
      </c>
      <c r="AP1161" s="82" t="str">
        <f aca="false">IF(AL1161&lt;&gt;"",AL1161,IF(AG1161&lt;&gt;"",AG1161,IF(AA1161&lt;&gt;"",AA1161,"")))</f>
        <v>A</v>
      </c>
      <c r="AQ1161" s="84" t="str">
        <f aca="false">IF(E1161="","",IF(U1161="","À SOUDER",IF(X1161="","VT EN ATTENTE",IF(X1161="R","VT REJETÉ – À REPRENDRE",IF(AP1161="","À RADIOGRAPHIER",IF(AP1161="A","ACCEPTÉ",IF(AP1161="NX","NX – RT À REFAIRE",IF(IF(AO1161=1,AD1161,IF(AO1161=2,AI1161,""))="A","RÉPARÉ – À RADIOGRAPHIER",IF(IF(AO1161=1,AD1161,IF(AO1161=2,AI1161,""))="R","VT REJETÉ – À REPRENDRE",IF(OR(AP1161="CO",AP1161="NT"),"COUPE – À RESOUDER","À RÉPARER"))))))))))</f>
        <v>ACCEPTÉ</v>
      </c>
      <c r="AR1161" s="82" t="str">
        <f aca="false">IF(AND(ISNUMBER(U1161),OR(AQ1161="À RADIOGRAPHIER",AQ1161="RÉPARÉ – À RADIOGRAPHIER",AQ1161="NX – RT À REFAIRE",AQ1161="À RÉPARER",AQ1161="COUPE – À RESOUDER",AQ1161="VT REJETÉ – À REPRENDRE")),MAX(0,'PROGRAMME RT'!$C$4-U1161),"")</f>
        <v/>
      </c>
      <c r="AS1161" s="82" t="n">
        <f aca="false">IF(AND(OR(AQ1161="À RADIOGRAPHIER",AQ1161="RÉPARÉ – À RADIOGRAPHIER",AQ1161="NX – RT À REFAIRE"),OR('PROGRAMME RT'!$D$5="TOUTES",B1161='PROGRAMME RT'!$D$5)),1,0)</f>
        <v>0</v>
      </c>
      <c r="AT1161" s="82" t="str">
        <f aca="false">IF(AS1161=1,SUM(AS$7:AS1161),"")</f>
        <v/>
      </c>
      <c r="AU1161" s="82" t="n">
        <f aca="false">IF(AND(OR(AA1161="R",AA1161="NX",AA1161="NT",AA1161="CO"),OR('JOINTS DE RÉPARATION'!$D$5="TOUTES",B1161='JOINTS DE RÉPARATION'!$D$5),OR('JOINTS DE RÉPARATION'!$L$4="TOUS",AQ1161&lt;&gt;"ACCEPTÉ")),1,0)</f>
        <v>0</v>
      </c>
      <c r="AV1161" s="82" t="str">
        <f aca="false">IF(AU1161=1,SUM(AU$7:AU1161),"")</f>
        <v/>
      </c>
      <c r="AW1161" s="82" t="str">
        <f aca="false">IF(E1161="","",B1161&amp;"|"&amp;E1161)</f>
        <v>MFD-ISW → MFD-CPF|DJ°358</v>
      </c>
    </row>
    <row r="1162" customFormat="false" ht="74.6" hidden="false" customHeight="false" outlineLevel="0" collapsed="false">
      <c r="A1162" s="79" t="n">
        <f aca="false">IF(E1162="","",ROW()-6)</f>
        <v>1156</v>
      </c>
      <c r="B1162" s="80" t="s">
        <v>110</v>
      </c>
      <c r="C1162" s="81" t="s">
        <v>1352</v>
      </c>
      <c r="D1162" s="81" t="n">
        <v>9</v>
      </c>
      <c r="E1162" s="81" t="s">
        <v>1387</v>
      </c>
      <c r="F1162" s="82" t="str">
        <f aca="false">IF(E1162="","",IF(LEFT(E1162,2)="DJ","DJ","JN"))</f>
        <v>JN</v>
      </c>
      <c r="G1162" s="81"/>
      <c r="H1162" s="81" t="s">
        <v>871</v>
      </c>
      <c r="I1162" s="81" t="n">
        <v>9.53</v>
      </c>
      <c r="J1162" s="81" t="s">
        <v>872</v>
      </c>
      <c r="K1162" s="81" t="s">
        <v>879</v>
      </c>
      <c r="L1162" s="81" t="n">
        <v>2083070</v>
      </c>
      <c r="M1162" s="81" t="n">
        <v>15421105</v>
      </c>
      <c r="N1162" s="81" t="n">
        <v>11.94</v>
      </c>
      <c r="O1162" s="81" t="n">
        <v>2085380</v>
      </c>
      <c r="P1162" s="81" t="n">
        <v>15421106</v>
      </c>
      <c r="Q1162" s="81" t="n">
        <v>11.94</v>
      </c>
      <c r="R1162" s="81" t="s">
        <v>1367</v>
      </c>
      <c r="S1162" s="81"/>
      <c r="T1162" s="81"/>
      <c r="U1162" s="83" t="n">
        <v>46279</v>
      </c>
      <c r="V1162" s="83" t="n">
        <v>46279</v>
      </c>
      <c r="W1162" s="81" t="s">
        <v>1368</v>
      </c>
      <c r="X1162" s="81" t="s">
        <v>876</v>
      </c>
      <c r="Y1162" s="83" t="n">
        <v>46284</v>
      </c>
      <c r="Z1162" s="81" t="s">
        <v>1380</v>
      </c>
      <c r="AA1162" s="81" t="s">
        <v>876</v>
      </c>
      <c r="AB1162" s="81"/>
      <c r="AC1162" s="81"/>
      <c r="AD1162" s="81"/>
      <c r="AE1162" s="83"/>
      <c r="AF1162" s="81"/>
      <c r="AG1162" s="81"/>
      <c r="AH1162" s="81"/>
      <c r="AI1162" s="81"/>
      <c r="AJ1162" s="83"/>
      <c r="AK1162" s="81"/>
      <c r="AL1162" s="81"/>
      <c r="AM1162" s="83"/>
      <c r="AN1162" s="80"/>
      <c r="AO1162" s="82" t="n">
        <f aca="false">IF(E1162="","",(AA1162&lt;&gt;"")+(AG1162&lt;&gt;"")+(AL1162&lt;&gt;""))</f>
        <v>1</v>
      </c>
      <c r="AP1162" s="82" t="str">
        <f aca="false">IF(AL1162&lt;&gt;"",AL1162,IF(AG1162&lt;&gt;"",AG1162,IF(AA1162&lt;&gt;"",AA1162,"")))</f>
        <v>A</v>
      </c>
      <c r="AQ1162" s="84" t="str">
        <f aca="false">IF(E1162="","",IF(U1162="","À SOUDER",IF(X1162="","VT EN ATTENTE",IF(X1162="R","VT REJETÉ – À REPRENDRE",IF(AP1162="","À RADIOGRAPHIER",IF(AP1162="A","ACCEPTÉ",IF(AP1162="NX","NX – RT À REFAIRE",IF(IF(AO1162=1,AD1162,IF(AO1162=2,AI1162,""))="A","RÉPARÉ – À RADIOGRAPHIER",IF(IF(AO1162=1,AD1162,IF(AO1162=2,AI1162,""))="R","VT REJETÉ – À REPRENDRE",IF(OR(AP1162="CO",AP1162="NT"),"COUPE – À RESOUDER","À RÉPARER"))))))))))</f>
        <v>ACCEPTÉ</v>
      </c>
      <c r="AR1162" s="82" t="str">
        <f aca="false">IF(AND(ISNUMBER(U1162),OR(AQ1162="À RADIOGRAPHIER",AQ1162="RÉPARÉ – À RADIOGRAPHIER",AQ1162="NX – RT À REFAIRE",AQ1162="À RÉPARER",AQ1162="COUPE – À RESOUDER",AQ1162="VT REJETÉ – À REPRENDRE")),MAX(0,'PROGRAMME RT'!$C$4-U1162),"")</f>
        <v/>
      </c>
      <c r="AS1162" s="82" t="n">
        <f aca="false">IF(AND(OR(AQ1162="À RADIOGRAPHIER",AQ1162="RÉPARÉ – À RADIOGRAPHIER",AQ1162="NX – RT À REFAIRE"),OR('PROGRAMME RT'!$D$5="TOUTES",B1162='PROGRAMME RT'!$D$5)),1,0)</f>
        <v>0</v>
      </c>
      <c r="AT1162" s="82" t="str">
        <f aca="false">IF(AS1162=1,SUM(AS$7:AS1162),"")</f>
        <v/>
      </c>
      <c r="AU1162" s="82" t="n">
        <f aca="false">IF(AND(OR(AA1162="R",AA1162="NX",AA1162="NT",AA1162="CO"),OR('JOINTS DE RÉPARATION'!$D$5="TOUTES",B1162='JOINTS DE RÉPARATION'!$D$5),OR('JOINTS DE RÉPARATION'!$L$4="TOUS",AQ1162&lt;&gt;"ACCEPTÉ")),1,0)</f>
        <v>0</v>
      </c>
      <c r="AV1162" s="82" t="str">
        <f aca="false">IF(AU1162=1,SUM(AU$7:AU1162),"")</f>
        <v/>
      </c>
      <c r="AW1162" s="82" t="str">
        <f aca="false">IF(E1162="","",B1162&amp;"|"&amp;E1162)</f>
        <v>MFD-ISW → MFD-CPF|JN°1009</v>
      </c>
    </row>
    <row r="1163" customFormat="false" ht="74.6" hidden="false" customHeight="false" outlineLevel="0" collapsed="false">
      <c r="A1163" s="79" t="n">
        <f aca="false">IF(E1163="","",ROW()-6)</f>
        <v>1157</v>
      </c>
      <c r="B1163" s="80" t="s">
        <v>110</v>
      </c>
      <c r="C1163" s="81" t="s">
        <v>1352</v>
      </c>
      <c r="D1163" s="81" t="n">
        <v>9</v>
      </c>
      <c r="E1163" s="81" t="s">
        <v>1388</v>
      </c>
      <c r="F1163" s="82" t="str">
        <f aca="false">IF(E1163="","",IF(LEFT(E1163,2)="DJ","DJ","JN"))</f>
        <v>DJ</v>
      </c>
      <c r="G1163" s="81"/>
      <c r="H1163" s="81" t="s">
        <v>871</v>
      </c>
      <c r="I1163" s="81" t="n">
        <v>9.53</v>
      </c>
      <c r="J1163" s="81" t="s">
        <v>872</v>
      </c>
      <c r="K1163" s="81" t="s">
        <v>873</v>
      </c>
      <c r="L1163" s="81" t="n">
        <v>2085380</v>
      </c>
      <c r="M1163" s="81" t="n">
        <v>15421106</v>
      </c>
      <c r="N1163" s="81" t="n">
        <v>11.94</v>
      </c>
      <c r="O1163" s="81" t="n">
        <v>2086210</v>
      </c>
      <c r="P1163" s="81" t="n">
        <v>15421107</v>
      </c>
      <c r="Q1163" s="81" t="n">
        <v>11.94</v>
      </c>
      <c r="R1163" s="81" t="s">
        <v>1135</v>
      </c>
      <c r="S1163" s="81"/>
      <c r="T1163" s="81"/>
      <c r="U1163" s="83" t="n">
        <v>46277</v>
      </c>
      <c r="V1163" s="83" t="n">
        <v>46277</v>
      </c>
      <c r="W1163" s="81" t="s">
        <v>1136</v>
      </c>
      <c r="X1163" s="81" t="s">
        <v>876</v>
      </c>
      <c r="Y1163" s="83" t="n">
        <v>46278</v>
      </c>
      <c r="Z1163" s="81" t="s">
        <v>1389</v>
      </c>
      <c r="AA1163" s="81" t="s">
        <v>876</v>
      </c>
      <c r="AB1163" s="81"/>
      <c r="AC1163" s="81"/>
      <c r="AD1163" s="81"/>
      <c r="AE1163" s="83"/>
      <c r="AF1163" s="81"/>
      <c r="AG1163" s="81"/>
      <c r="AH1163" s="81"/>
      <c r="AI1163" s="81"/>
      <c r="AJ1163" s="83"/>
      <c r="AK1163" s="81"/>
      <c r="AL1163" s="81"/>
      <c r="AM1163" s="83"/>
      <c r="AN1163" s="80"/>
      <c r="AO1163" s="82" t="n">
        <f aca="false">IF(E1163="","",(AA1163&lt;&gt;"")+(AG1163&lt;&gt;"")+(AL1163&lt;&gt;""))</f>
        <v>1</v>
      </c>
      <c r="AP1163" s="82" t="str">
        <f aca="false">IF(AL1163&lt;&gt;"",AL1163,IF(AG1163&lt;&gt;"",AG1163,IF(AA1163&lt;&gt;"",AA1163,"")))</f>
        <v>A</v>
      </c>
      <c r="AQ1163" s="84" t="str">
        <f aca="false">IF(E1163="","",IF(U1163="","À SOUDER",IF(X1163="","VT EN ATTENTE",IF(X1163="R","VT REJETÉ – À REPRENDRE",IF(AP1163="","À RADIOGRAPHIER",IF(AP1163="A","ACCEPTÉ",IF(AP1163="NX","NX – RT À REFAIRE",IF(IF(AO1163=1,AD1163,IF(AO1163=2,AI1163,""))="A","RÉPARÉ – À RADIOGRAPHIER",IF(IF(AO1163=1,AD1163,IF(AO1163=2,AI1163,""))="R","VT REJETÉ – À REPRENDRE",IF(OR(AP1163="CO",AP1163="NT"),"COUPE – À RESOUDER","À RÉPARER"))))))))))</f>
        <v>ACCEPTÉ</v>
      </c>
      <c r="AR1163" s="82" t="str">
        <f aca="false">IF(AND(ISNUMBER(U1163),OR(AQ1163="À RADIOGRAPHIER",AQ1163="RÉPARÉ – À RADIOGRAPHIER",AQ1163="NX – RT À REFAIRE",AQ1163="À RÉPARER",AQ1163="COUPE – À RESOUDER",AQ1163="VT REJETÉ – À REPRENDRE")),MAX(0,'PROGRAMME RT'!$C$4-U1163),"")</f>
        <v/>
      </c>
      <c r="AS1163" s="82" t="n">
        <f aca="false">IF(AND(OR(AQ1163="À RADIOGRAPHIER",AQ1163="RÉPARÉ – À RADIOGRAPHIER",AQ1163="NX – RT À REFAIRE"),OR('PROGRAMME RT'!$D$5="TOUTES",B1163='PROGRAMME RT'!$D$5)),1,0)</f>
        <v>0</v>
      </c>
      <c r="AT1163" s="82" t="str">
        <f aca="false">IF(AS1163=1,SUM(AS$7:AS1163),"")</f>
        <v/>
      </c>
      <c r="AU1163" s="82" t="n">
        <f aca="false">IF(AND(OR(AA1163="R",AA1163="NX",AA1163="NT",AA1163="CO"),OR('JOINTS DE RÉPARATION'!$D$5="TOUTES",B1163='JOINTS DE RÉPARATION'!$D$5),OR('JOINTS DE RÉPARATION'!$L$4="TOUS",AQ1163&lt;&gt;"ACCEPTÉ")),1,0)</f>
        <v>0</v>
      </c>
      <c r="AV1163" s="82" t="str">
        <f aca="false">IF(AU1163=1,SUM(AU$7:AU1163),"")</f>
        <v/>
      </c>
      <c r="AW1163" s="82" t="str">
        <f aca="false">IF(E1163="","",B1163&amp;"|"&amp;E1163)</f>
        <v>MFD-ISW → MFD-CPF|DJ°357</v>
      </c>
    </row>
    <row r="1164" customFormat="false" ht="74.6" hidden="false" customHeight="false" outlineLevel="0" collapsed="false">
      <c r="A1164" s="79" t="n">
        <f aca="false">IF(E1164="","",ROW()-6)</f>
        <v>1158</v>
      </c>
      <c r="B1164" s="80" t="s">
        <v>110</v>
      </c>
      <c r="C1164" s="81" t="s">
        <v>926</v>
      </c>
      <c r="D1164" s="81" t="n">
        <v>9</v>
      </c>
      <c r="E1164" s="81" t="s">
        <v>1390</v>
      </c>
      <c r="F1164" s="82" t="str">
        <f aca="false">IF(E1164="","",IF(LEFT(E1164,2)="DJ","DJ","JN"))</f>
        <v>JN</v>
      </c>
      <c r="G1164" s="81"/>
      <c r="H1164" s="81"/>
      <c r="I1164" s="81"/>
      <c r="J1164" s="81"/>
      <c r="K1164" s="81"/>
      <c r="L1164" s="81" t="n">
        <v>2086210</v>
      </c>
      <c r="M1164" s="81" t="n">
        <v>15421107</v>
      </c>
      <c r="N1164" s="81" t="n">
        <v>11.94</v>
      </c>
      <c r="O1164" s="81" t="s">
        <v>1391</v>
      </c>
      <c r="P1164" s="81"/>
      <c r="Q1164" s="81"/>
      <c r="R1164" s="81"/>
      <c r="S1164" s="81"/>
      <c r="T1164" s="81"/>
      <c r="U1164" s="83"/>
      <c r="V1164" s="83"/>
      <c r="W1164" s="81"/>
      <c r="X1164" s="81"/>
      <c r="Y1164" s="83"/>
      <c r="Z1164" s="81"/>
      <c r="AA1164" s="81"/>
      <c r="AB1164" s="81"/>
      <c r="AC1164" s="81"/>
      <c r="AD1164" s="81"/>
      <c r="AE1164" s="83"/>
      <c r="AF1164" s="81"/>
      <c r="AG1164" s="81"/>
      <c r="AH1164" s="81"/>
      <c r="AI1164" s="81"/>
      <c r="AJ1164" s="83"/>
      <c r="AK1164" s="81"/>
      <c r="AL1164" s="81"/>
      <c r="AM1164" s="83"/>
      <c r="AN1164" s="80"/>
      <c r="AO1164" s="82" t="n">
        <f aca="false">IF(E1164="","",(AA1164&lt;&gt;"")+(AG1164&lt;&gt;"")+(AL1164&lt;&gt;""))</f>
        <v>0</v>
      </c>
      <c r="AP1164" s="82" t="str">
        <f aca="false">IF(AL1164&lt;&gt;"",AL1164,IF(AG1164&lt;&gt;"",AG1164,IF(AA1164&lt;&gt;"",AA1164,"")))</f>
        <v/>
      </c>
      <c r="AQ1164" s="84" t="str">
        <f aca="false">IF(E1164="","",IF(U1164="","À SOUDER",IF(X1164="","VT EN ATTENTE",IF(X1164="R","VT REJETÉ – À REPRENDRE",IF(AP1164="","À RADIOGRAPHIER",IF(AP1164="A","ACCEPTÉ",IF(AP1164="NX","NX – RT À REFAIRE",IF(IF(AO1164=1,AD1164,IF(AO1164=2,AI1164,""))="A","RÉPARÉ – À RADIOGRAPHIER",IF(IF(AO1164=1,AD1164,IF(AO1164=2,AI1164,""))="R","VT REJETÉ – À REPRENDRE",IF(OR(AP1164="CO",AP1164="NT"),"COUPE – À RESOUDER","À RÉPARER"))))))))))</f>
        <v>À SOUDER</v>
      </c>
      <c r="AR1164" s="82" t="str">
        <f aca="false">IF(AND(ISNUMBER(U1164),OR(AQ1164="À RADIOGRAPHIER",AQ1164="RÉPARÉ – À RADIOGRAPHIER",AQ1164="NX – RT À REFAIRE",AQ1164="À RÉPARER",AQ1164="COUPE – À RESOUDER",AQ1164="VT REJETÉ – À REPRENDRE")),MAX(0,'PROGRAMME RT'!$C$4-U1164),"")</f>
        <v/>
      </c>
      <c r="AS1164" s="82" t="n">
        <f aca="false">IF(AND(OR(AQ1164="À RADIOGRAPHIER",AQ1164="RÉPARÉ – À RADIOGRAPHIER",AQ1164="NX – RT À REFAIRE"),OR('PROGRAMME RT'!$D$5="TOUTES",B1164='PROGRAMME RT'!$D$5)),1,0)</f>
        <v>0</v>
      </c>
      <c r="AT1164" s="82" t="str">
        <f aca="false">IF(AS1164=1,SUM(AS$7:AS1164),"")</f>
        <v/>
      </c>
      <c r="AU1164" s="82" t="n">
        <f aca="false">IF(AND(OR(AA1164="R",AA1164="NX",AA1164="NT",AA1164="CO"),OR('JOINTS DE RÉPARATION'!$D$5="TOUTES",B1164='JOINTS DE RÉPARATION'!$D$5),OR('JOINTS DE RÉPARATION'!$L$4="TOUS",AQ1164&lt;&gt;"ACCEPTÉ")),1,0)</f>
        <v>0</v>
      </c>
      <c r="AV1164" s="82" t="str">
        <f aca="false">IF(AU1164=1,SUM(AU$7:AU1164),"")</f>
        <v/>
      </c>
      <c r="AW1164" s="82" t="str">
        <f aca="false">IF(E1164="","",B1164&amp;"|"&amp;E1164)</f>
        <v>MFD-ISW → MFD-CPF|JN°1010</v>
      </c>
    </row>
    <row r="1165" customFormat="false" ht="74.6" hidden="false" customHeight="false" outlineLevel="0" collapsed="false">
      <c r="A1165" s="79" t="n">
        <f aca="false">IF(E1165="","",ROW()-6)</f>
        <v>1159</v>
      </c>
      <c r="B1165" s="80" t="s">
        <v>110</v>
      </c>
      <c r="C1165" s="81" t="s">
        <v>926</v>
      </c>
      <c r="D1165" s="81" t="n">
        <v>9</v>
      </c>
      <c r="E1165" s="81" t="s">
        <v>1392</v>
      </c>
      <c r="F1165" s="82" t="str">
        <f aca="false">IF(E1165="","",IF(LEFT(E1165,2)="DJ","DJ","JN"))</f>
        <v>JN</v>
      </c>
      <c r="G1165" s="81"/>
      <c r="H1165" s="81"/>
      <c r="I1165" s="81"/>
      <c r="J1165" s="81"/>
      <c r="K1165" s="81"/>
      <c r="L1165" s="81" t="s">
        <v>1391</v>
      </c>
      <c r="M1165" s="81"/>
      <c r="N1165" s="81"/>
      <c r="O1165" s="81" t="s">
        <v>1391</v>
      </c>
      <c r="P1165" s="81"/>
      <c r="Q1165" s="81"/>
      <c r="R1165" s="81"/>
      <c r="S1165" s="81"/>
      <c r="T1165" s="81"/>
      <c r="U1165" s="83"/>
      <c r="V1165" s="83"/>
      <c r="W1165" s="81"/>
      <c r="X1165" s="81"/>
      <c r="Y1165" s="83"/>
      <c r="Z1165" s="81"/>
      <c r="AA1165" s="81"/>
      <c r="AB1165" s="81"/>
      <c r="AC1165" s="81"/>
      <c r="AD1165" s="81"/>
      <c r="AE1165" s="83"/>
      <c r="AF1165" s="81"/>
      <c r="AG1165" s="81"/>
      <c r="AH1165" s="81"/>
      <c r="AI1165" s="81"/>
      <c r="AJ1165" s="83"/>
      <c r="AK1165" s="81"/>
      <c r="AL1165" s="81"/>
      <c r="AM1165" s="83"/>
      <c r="AN1165" s="80"/>
      <c r="AO1165" s="82" t="n">
        <f aca="false">IF(E1165="","",(AA1165&lt;&gt;"")+(AG1165&lt;&gt;"")+(AL1165&lt;&gt;""))</f>
        <v>0</v>
      </c>
      <c r="AP1165" s="82" t="str">
        <f aca="false">IF(AL1165&lt;&gt;"",AL1165,IF(AG1165&lt;&gt;"",AG1165,IF(AA1165&lt;&gt;"",AA1165,"")))</f>
        <v/>
      </c>
      <c r="AQ1165" s="84" t="str">
        <f aca="false">IF(E1165="","",IF(U1165="","À SOUDER",IF(X1165="","VT EN ATTENTE",IF(X1165="R","VT REJETÉ – À REPRENDRE",IF(AP1165="","À RADIOGRAPHIER",IF(AP1165="A","ACCEPTÉ",IF(AP1165="NX","NX – RT À REFAIRE",IF(IF(AO1165=1,AD1165,IF(AO1165=2,AI1165,""))="A","RÉPARÉ – À RADIOGRAPHIER",IF(IF(AO1165=1,AD1165,IF(AO1165=2,AI1165,""))="R","VT REJETÉ – À REPRENDRE",IF(OR(AP1165="CO",AP1165="NT"),"COUPE – À RESOUDER","À RÉPARER"))))))))))</f>
        <v>À SOUDER</v>
      </c>
      <c r="AR1165" s="82" t="str">
        <f aca="false">IF(AND(ISNUMBER(U1165),OR(AQ1165="À RADIOGRAPHIER",AQ1165="RÉPARÉ – À RADIOGRAPHIER",AQ1165="NX – RT À REFAIRE",AQ1165="À RÉPARER",AQ1165="COUPE – À RESOUDER",AQ1165="VT REJETÉ – À REPRENDRE")),MAX(0,'PROGRAMME RT'!$C$4-U1165),"")</f>
        <v/>
      </c>
      <c r="AS1165" s="82" t="n">
        <f aca="false">IF(AND(OR(AQ1165="À RADIOGRAPHIER",AQ1165="RÉPARÉ – À RADIOGRAPHIER",AQ1165="NX – RT À REFAIRE"),OR('PROGRAMME RT'!$D$5="TOUTES",B1165='PROGRAMME RT'!$D$5)),1,0)</f>
        <v>0</v>
      </c>
      <c r="AT1165" s="82" t="str">
        <f aca="false">IF(AS1165=1,SUM(AS$7:AS1165),"")</f>
        <v/>
      </c>
      <c r="AU1165" s="82" t="n">
        <f aca="false">IF(AND(OR(AA1165="R",AA1165="NX",AA1165="NT",AA1165="CO"),OR('JOINTS DE RÉPARATION'!$D$5="TOUTES",B1165='JOINTS DE RÉPARATION'!$D$5),OR('JOINTS DE RÉPARATION'!$L$4="TOUS",AQ1165&lt;&gt;"ACCEPTÉ")),1,0)</f>
        <v>0</v>
      </c>
      <c r="AV1165" s="82" t="str">
        <f aca="false">IF(AU1165=1,SUM(AU$7:AU1165),"")</f>
        <v/>
      </c>
      <c r="AW1165" s="82" t="str">
        <f aca="false">IF(E1165="","",B1165&amp;"|"&amp;E1165)</f>
        <v>MFD-ISW → MFD-CPF|JN°1011</v>
      </c>
    </row>
    <row r="1166" customFormat="false" ht="74.6" hidden="false" customHeight="false" outlineLevel="0" collapsed="false">
      <c r="A1166" s="79" t="n">
        <f aca="false">IF(E1166="","",ROW()-6)</f>
        <v>1160</v>
      </c>
      <c r="B1166" s="80" t="s">
        <v>110</v>
      </c>
      <c r="C1166" s="81" t="s">
        <v>926</v>
      </c>
      <c r="D1166" s="81" t="n">
        <v>9</v>
      </c>
      <c r="E1166" s="81" t="s">
        <v>1393</v>
      </c>
      <c r="F1166" s="82" t="str">
        <f aca="false">IF(E1166="","",IF(LEFT(E1166,2)="DJ","DJ","JN"))</f>
        <v>JN</v>
      </c>
      <c r="G1166" s="81"/>
      <c r="H1166" s="81"/>
      <c r="I1166" s="81"/>
      <c r="J1166" s="81"/>
      <c r="K1166" s="81"/>
      <c r="L1166" s="81" t="s">
        <v>1391</v>
      </c>
      <c r="M1166" s="81"/>
      <c r="N1166" s="81"/>
      <c r="O1166" s="81" t="s">
        <v>1391</v>
      </c>
      <c r="P1166" s="81"/>
      <c r="Q1166" s="81"/>
      <c r="R1166" s="81"/>
      <c r="S1166" s="81"/>
      <c r="T1166" s="81"/>
      <c r="U1166" s="83"/>
      <c r="V1166" s="83"/>
      <c r="W1166" s="81"/>
      <c r="X1166" s="81"/>
      <c r="Y1166" s="83"/>
      <c r="Z1166" s="81"/>
      <c r="AA1166" s="81"/>
      <c r="AB1166" s="81"/>
      <c r="AC1166" s="81"/>
      <c r="AD1166" s="81"/>
      <c r="AE1166" s="83"/>
      <c r="AF1166" s="81"/>
      <c r="AG1166" s="81"/>
      <c r="AH1166" s="81"/>
      <c r="AI1166" s="81"/>
      <c r="AJ1166" s="83"/>
      <c r="AK1166" s="81"/>
      <c r="AL1166" s="81"/>
      <c r="AM1166" s="83"/>
      <c r="AN1166" s="80"/>
      <c r="AO1166" s="82" t="n">
        <f aca="false">IF(E1166="","",(AA1166&lt;&gt;"")+(AG1166&lt;&gt;"")+(AL1166&lt;&gt;""))</f>
        <v>0</v>
      </c>
      <c r="AP1166" s="82" t="str">
        <f aca="false">IF(AL1166&lt;&gt;"",AL1166,IF(AG1166&lt;&gt;"",AG1166,IF(AA1166&lt;&gt;"",AA1166,"")))</f>
        <v/>
      </c>
      <c r="AQ1166" s="84" t="str">
        <f aca="false">IF(E1166="","",IF(U1166="","À SOUDER",IF(X1166="","VT EN ATTENTE",IF(X1166="R","VT REJETÉ – À REPRENDRE",IF(AP1166="","À RADIOGRAPHIER",IF(AP1166="A","ACCEPTÉ",IF(AP1166="NX","NX – RT À REFAIRE",IF(IF(AO1166=1,AD1166,IF(AO1166=2,AI1166,""))="A","RÉPARÉ – À RADIOGRAPHIER",IF(IF(AO1166=1,AD1166,IF(AO1166=2,AI1166,""))="R","VT REJETÉ – À REPRENDRE",IF(OR(AP1166="CO",AP1166="NT"),"COUPE – À RESOUDER","À RÉPARER"))))))))))</f>
        <v>À SOUDER</v>
      </c>
      <c r="AR1166" s="82" t="str">
        <f aca="false">IF(AND(ISNUMBER(U1166),OR(AQ1166="À RADIOGRAPHIER",AQ1166="RÉPARÉ – À RADIOGRAPHIER",AQ1166="NX – RT À REFAIRE",AQ1166="À RÉPARER",AQ1166="COUPE – À RESOUDER",AQ1166="VT REJETÉ – À REPRENDRE")),MAX(0,'PROGRAMME RT'!$C$4-U1166),"")</f>
        <v/>
      </c>
      <c r="AS1166" s="82" t="n">
        <f aca="false">IF(AND(OR(AQ1166="À RADIOGRAPHIER",AQ1166="RÉPARÉ – À RADIOGRAPHIER",AQ1166="NX – RT À REFAIRE"),OR('PROGRAMME RT'!$D$5="TOUTES",B1166='PROGRAMME RT'!$D$5)),1,0)</f>
        <v>0</v>
      </c>
      <c r="AT1166" s="82" t="str">
        <f aca="false">IF(AS1166=1,SUM(AS$7:AS1166),"")</f>
        <v/>
      </c>
      <c r="AU1166" s="82" t="n">
        <f aca="false">IF(AND(OR(AA1166="R",AA1166="NX",AA1166="NT",AA1166="CO"),OR('JOINTS DE RÉPARATION'!$D$5="TOUTES",B1166='JOINTS DE RÉPARATION'!$D$5),OR('JOINTS DE RÉPARATION'!$L$4="TOUS",AQ1166&lt;&gt;"ACCEPTÉ")),1,0)</f>
        <v>0</v>
      </c>
      <c r="AV1166" s="82" t="str">
        <f aca="false">IF(AU1166=1,SUM(AU$7:AU1166),"")</f>
        <v/>
      </c>
      <c r="AW1166" s="82" t="str">
        <f aca="false">IF(E1166="","",B1166&amp;"|"&amp;E1166)</f>
        <v>MFD-ISW → MFD-CPF|JN°1012</v>
      </c>
    </row>
    <row r="1167" customFormat="false" ht="74.6" hidden="false" customHeight="false" outlineLevel="0" collapsed="false">
      <c r="A1167" s="79" t="n">
        <f aca="false">IF(E1167="","",ROW()-6)</f>
        <v>1161</v>
      </c>
      <c r="B1167" s="80" t="s">
        <v>110</v>
      </c>
      <c r="C1167" s="81" t="s">
        <v>926</v>
      </c>
      <c r="D1167" s="81" t="n">
        <v>9</v>
      </c>
      <c r="E1167" s="81" t="s">
        <v>1394</v>
      </c>
      <c r="F1167" s="82" t="str">
        <f aca="false">IF(E1167="","",IF(LEFT(E1167,2)="DJ","DJ","JN"))</f>
        <v>JN</v>
      </c>
      <c r="G1167" s="81"/>
      <c r="H1167" s="81"/>
      <c r="I1167" s="81"/>
      <c r="J1167" s="81"/>
      <c r="K1167" s="81"/>
      <c r="L1167" s="81" t="s">
        <v>1391</v>
      </c>
      <c r="M1167" s="81"/>
      <c r="N1167" s="81"/>
      <c r="O1167" s="81" t="s">
        <v>1391</v>
      </c>
      <c r="P1167" s="81"/>
      <c r="Q1167" s="81"/>
      <c r="R1167" s="81"/>
      <c r="S1167" s="81"/>
      <c r="T1167" s="81"/>
      <c r="U1167" s="83"/>
      <c r="V1167" s="83"/>
      <c r="W1167" s="81"/>
      <c r="X1167" s="81"/>
      <c r="Y1167" s="83"/>
      <c r="Z1167" s="81"/>
      <c r="AA1167" s="81"/>
      <c r="AB1167" s="81"/>
      <c r="AC1167" s="81"/>
      <c r="AD1167" s="81"/>
      <c r="AE1167" s="83"/>
      <c r="AF1167" s="81"/>
      <c r="AG1167" s="81"/>
      <c r="AH1167" s="81"/>
      <c r="AI1167" s="81"/>
      <c r="AJ1167" s="83"/>
      <c r="AK1167" s="81"/>
      <c r="AL1167" s="81"/>
      <c r="AM1167" s="83"/>
      <c r="AN1167" s="80"/>
      <c r="AO1167" s="82" t="n">
        <f aca="false">IF(E1167="","",(AA1167&lt;&gt;"")+(AG1167&lt;&gt;"")+(AL1167&lt;&gt;""))</f>
        <v>0</v>
      </c>
      <c r="AP1167" s="82" t="str">
        <f aca="false">IF(AL1167&lt;&gt;"",AL1167,IF(AG1167&lt;&gt;"",AG1167,IF(AA1167&lt;&gt;"",AA1167,"")))</f>
        <v/>
      </c>
      <c r="AQ1167" s="84" t="str">
        <f aca="false">IF(E1167="","",IF(U1167="","À SOUDER",IF(X1167="","VT EN ATTENTE",IF(X1167="R","VT REJETÉ – À REPRENDRE",IF(AP1167="","À RADIOGRAPHIER",IF(AP1167="A","ACCEPTÉ",IF(AP1167="NX","NX – RT À REFAIRE",IF(IF(AO1167=1,AD1167,IF(AO1167=2,AI1167,""))="A","RÉPARÉ – À RADIOGRAPHIER",IF(IF(AO1167=1,AD1167,IF(AO1167=2,AI1167,""))="R","VT REJETÉ – À REPRENDRE",IF(OR(AP1167="CO",AP1167="NT"),"COUPE – À RESOUDER","À RÉPARER"))))))))))</f>
        <v>À SOUDER</v>
      </c>
      <c r="AR1167" s="82" t="str">
        <f aca="false">IF(AND(ISNUMBER(U1167),OR(AQ1167="À RADIOGRAPHIER",AQ1167="RÉPARÉ – À RADIOGRAPHIER",AQ1167="NX – RT À REFAIRE",AQ1167="À RÉPARER",AQ1167="COUPE – À RESOUDER",AQ1167="VT REJETÉ – À REPRENDRE")),MAX(0,'PROGRAMME RT'!$C$4-U1167),"")</f>
        <v/>
      </c>
      <c r="AS1167" s="82" t="n">
        <f aca="false">IF(AND(OR(AQ1167="À RADIOGRAPHIER",AQ1167="RÉPARÉ – À RADIOGRAPHIER",AQ1167="NX – RT À REFAIRE"),OR('PROGRAMME RT'!$D$5="TOUTES",B1167='PROGRAMME RT'!$D$5)),1,0)</f>
        <v>0</v>
      </c>
      <c r="AT1167" s="82" t="str">
        <f aca="false">IF(AS1167=1,SUM(AS$7:AS1167),"")</f>
        <v/>
      </c>
      <c r="AU1167" s="82" t="n">
        <f aca="false">IF(AND(OR(AA1167="R",AA1167="NX",AA1167="NT",AA1167="CO"),OR('JOINTS DE RÉPARATION'!$D$5="TOUTES",B1167='JOINTS DE RÉPARATION'!$D$5),OR('JOINTS DE RÉPARATION'!$L$4="TOUS",AQ1167&lt;&gt;"ACCEPTÉ")),1,0)</f>
        <v>0</v>
      </c>
      <c r="AV1167" s="82" t="str">
        <f aca="false">IF(AU1167=1,SUM(AU$7:AU1167),"")</f>
        <v/>
      </c>
      <c r="AW1167" s="82" t="str">
        <f aca="false">IF(E1167="","",B1167&amp;"|"&amp;E1167)</f>
        <v>MFD-ISW → MFD-CPF|JN°1013</v>
      </c>
    </row>
    <row r="1168" customFormat="false" ht="74.6" hidden="false" customHeight="false" outlineLevel="0" collapsed="false">
      <c r="A1168" s="79" t="n">
        <f aca="false">IF(E1168="","",ROW()-6)</f>
        <v>1162</v>
      </c>
      <c r="B1168" s="80" t="s">
        <v>110</v>
      </c>
      <c r="C1168" s="81" t="s">
        <v>926</v>
      </c>
      <c r="D1168" s="81" t="n">
        <v>9</v>
      </c>
      <c r="E1168" s="81" t="s">
        <v>1395</v>
      </c>
      <c r="F1168" s="82" t="str">
        <f aca="false">IF(E1168="","",IF(LEFT(E1168,2)="DJ","DJ","JN"))</f>
        <v>JN</v>
      </c>
      <c r="G1168" s="81"/>
      <c r="H1168" s="81"/>
      <c r="I1168" s="81"/>
      <c r="J1168" s="81"/>
      <c r="K1168" s="81"/>
      <c r="L1168" s="81" t="s">
        <v>1391</v>
      </c>
      <c r="M1168" s="81"/>
      <c r="N1168" s="81"/>
      <c r="O1168" s="81" t="s">
        <v>1391</v>
      </c>
      <c r="P1168" s="81"/>
      <c r="Q1168" s="81"/>
      <c r="R1168" s="81"/>
      <c r="S1168" s="81"/>
      <c r="T1168" s="81"/>
      <c r="U1168" s="83"/>
      <c r="V1168" s="83"/>
      <c r="W1168" s="81"/>
      <c r="X1168" s="81"/>
      <c r="Y1168" s="83"/>
      <c r="Z1168" s="81"/>
      <c r="AA1168" s="81"/>
      <c r="AB1168" s="81"/>
      <c r="AC1168" s="81"/>
      <c r="AD1168" s="81"/>
      <c r="AE1168" s="83"/>
      <c r="AF1168" s="81"/>
      <c r="AG1168" s="81"/>
      <c r="AH1168" s="81"/>
      <c r="AI1168" s="81"/>
      <c r="AJ1168" s="83"/>
      <c r="AK1168" s="81"/>
      <c r="AL1168" s="81"/>
      <c r="AM1168" s="83"/>
      <c r="AN1168" s="80"/>
      <c r="AO1168" s="82" t="n">
        <f aca="false">IF(E1168="","",(AA1168&lt;&gt;"")+(AG1168&lt;&gt;"")+(AL1168&lt;&gt;""))</f>
        <v>0</v>
      </c>
      <c r="AP1168" s="82" t="str">
        <f aca="false">IF(AL1168&lt;&gt;"",AL1168,IF(AG1168&lt;&gt;"",AG1168,IF(AA1168&lt;&gt;"",AA1168,"")))</f>
        <v/>
      </c>
      <c r="AQ1168" s="84" t="str">
        <f aca="false">IF(E1168="","",IF(U1168="","À SOUDER",IF(X1168="","VT EN ATTENTE",IF(X1168="R","VT REJETÉ – À REPRENDRE",IF(AP1168="","À RADIOGRAPHIER",IF(AP1168="A","ACCEPTÉ",IF(AP1168="NX","NX – RT À REFAIRE",IF(IF(AO1168=1,AD1168,IF(AO1168=2,AI1168,""))="A","RÉPARÉ – À RADIOGRAPHIER",IF(IF(AO1168=1,AD1168,IF(AO1168=2,AI1168,""))="R","VT REJETÉ – À REPRENDRE",IF(OR(AP1168="CO",AP1168="NT"),"COUPE – À RESOUDER","À RÉPARER"))))))))))</f>
        <v>À SOUDER</v>
      </c>
      <c r="AR1168" s="82" t="str">
        <f aca="false">IF(AND(ISNUMBER(U1168),OR(AQ1168="À RADIOGRAPHIER",AQ1168="RÉPARÉ – À RADIOGRAPHIER",AQ1168="NX – RT À REFAIRE",AQ1168="À RÉPARER",AQ1168="COUPE – À RESOUDER",AQ1168="VT REJETÉ – À REPRENDRE")),MAX(0,'PROGRAMME RT'!$C$4-U1168),"")</f>
        <v/>
      </c>
      <c r="AS1168" s="82" t="n">
        <f aca="false">IF(AND(OR(AQ1168="À RADIOGRAPHIER",AQ1168="RÉPARÉ – À RADIOGRAPHIER",AQ1168="NX – RT À REFAIRE"),OR('PROGRAMME RT'!$D$5="TOUTES",B1168='PROGRAMME RT'!$D$5)),1,0)</f>
        <v>0</v>
      </c>
      <c r="AT1168" s="82" t="str">
        <f aca="false">IF(AS1168=1,SUM(AS$7:AS1168),"")</f>
        <v/>
      </c>
      <c r="AU1168" s="82" t="n">
        <f aca="false">IF(AND(OR(AA1168="R",AA1168="NX",AA1168="NT",AA1168="CO"),OR('JOINTS DE RÉPARATION'!$D$5="TOUTES",B1168='JOINTS DE RÉPARATION'!$D$5),OR('JOINTS DE RÉPARATION'!$L$4="TOUS",AQ1168&lt;&gt;"ACCEPTÉ")),1,0)</f>
        <v>0</v>
      </c>
      <c r="AV1168" s="82" t="str">
        <f aca="false">IF(AU1168=1,SUM(AU$7:AU1168),"")</f>
        <v/>
      </c>
      <c r="AW1168" s="82" t="str">
        <f aca="false">IF(E1168="","",B1168&amp;"|"&amp;E1168)</f>
        <v>MFD-ISW → MFD-CPF|JN°1014</v>
      </c>
    </row>
    <row r="1169" customFormat="false" ht="74.6" hidden="false" customHeight="false" outlineLevel="0" collapsed="false">
      <c r="A1169" s="79" t="n">
        <f aca="false">IF(E1169="","",ROW()-6)</f>
        <v>1163</v>
      </c>
      <c r="B1169" s="80" t="s">
        <v>110</v>
      </c>
      <c r="C1169" s="81" t="s">
        <v>926</v>
      </c>
      <c r="D1169" s="81" t="n">
        <v>9</v>
      </c>
      <c r="E1169" s="81" t="s">
        <v>1396</v>
      </c>
      <c r="F1169" s="82" t="str">
        <f aca="false">IF(E1169="","",IF(LEFT(E1169,2)="DJ","DJ","JN"))</f>
        <v>JN</v>
      </c>
      <c r="G1169" s="81"/>
      <c r="H1169" s="81"/>
      <c r="I1169" s="81"/>
      <c r="J1169" s="81"/>
      <c r="K1169" s="81"/>
      <c r="L1169" s="81" t="s">
        <v>1391</v>
      </c>
      <c r="M1169" s="81"/>
      <c r="N1169" s="81"/>
      <c r="O1169" s="81" t="s">
        <v>1391</v>
      </c>
      <c r="P1169" s="81"/>
      <c r="Q1169" s="81"/>
      <c r="R1169" s="81"/>
      <c r="S1169" s="81"/>
      <c r="T1169" s="81"/>
      <c r="U1169" s="83"/>
      <c r="V1169" s="83"/>
      <c r="W1169" s="81"/>
      <c r="X1169" s="81"/>
      <c r="Y1169" s="83"/>
      <c r="Z1169" s="81"/>
      <c r="AA1169" s="81"/>
      <c r="AB1169" s="81"/>
      <c r="AC1169" s="81"/>
      <c r="AD1169" s="81"/>
      <c r="AE1169" s="83"/>
      <c r="AF1169" s="81"/>
      <c r="AG1169" s="81"/>
      <c r="AH1169" s="81"/>
      <c r="AI1169" s="81"/>
      <c r="AJ1169" s="83"/>
      <c r="AK1169" s="81"/>
      <c r="AL1169" s="81"/>
      <c r="AM1169" s="83"/>
      <c r="AN1169" s="80"/>
      <c r="AO1169" s="82" t="n">
        <f aca="false">IF(E1169="","",(AA1169&lt;&gt;"")+(AG1169&lt;&gt;"")+(AL1169&lt;&gt;""))</f>
        <v>0</v>
      </c>
      <c r="AP1169" s="82" t="str">
        <f aca="false">IF(AL1169&lt;&gt;"",AL1169,IF(AG1169&lt;&gt;"",AG1169,IF(AA1169&lt;&gt;"",AA1169,"")))</f>
        <v/>
      </c>
      <c r="AQ1169" s="84" t="str">
        <f aca="false">IF(E1169="","",IF(U1169="","À SOUDER",IF(X1169="","VT EN ATTENTE",IF(X1169="R","VT REJETÉ – À REPRENDRE",IF(AP1169="","À RADIOGRAPHIER",IF(AP1169="A","ACCEPTÉ",IF(AP1169="NX","NX – RT À REFAIRE",IF(IF(AO1169=1,AD1169,IF(AO1169=2,AI1169,""))="A","RÉPARÉ – À RADIOGRAPHIER",IF(IF(AO1169=1,AD1169,IF(AO1169=2,AI1169,""))="R","VT REJETÉ – À REPRENDRE",IF(OR(AP1169="CO",AP1169="NT"),"COUPE – À RESOUDER","À RÉPARER"))))))))))</f>
        <v>À SOUDER</v>
      </c>
      <c r="AR1169" s="82" t="str">
        <f aca="false">IF(AND(ISNUMBER(U1169),OR(AQ1169="À RADIOGRAPHIER",AQ1169="RÉPARÉ – À RADIOGRAPHIER",AQ1169="NX – RT À REFAIRE",AQ1169="À RÉPARER",AQ1169="COUPE – À RESOUDER",AQ1169="VT REJETÉ – À REPRENDRE")),MAX(0,'PROGRAMME RT'!$C$4-U1169),"")</f>
        <v/>
      </c>
      <c r="AS1169" s="82" t="n">
        <f aca="false">IF(AND(OR(AQ1169="À RADIOGRAPHIER",AQ1169="RÉPARÉ – À RADIOGRAPHIER",AQ1169="NX – RT À REFAIRE"),OR('PROGRAMME RT'!$D$5="TOUTES",B1169='PROGRAMME RT'!$D$5)),1,0)</f>
        <v>0</v>
      </c>
      <c r="AT1169" s="82" t="str">
        <f aca="false">IF(AS1169=1,SUM(AS$7:AS1169),"")</f>
        <v/>
      </c>
      <c r="AU1169" s="82" t="n">
        <f aca="false">IF(AND(OR(AA1169="R",AA1169="NX",AA1169="NT",AA1169="CO"),OR('JOINTS DE RÉPARATION'!$D$5="TOUTES",B1169='JOINTS DE RÉPARATION'!$D$5),OR('JOINTS DE RÉPARATION'!$L$4="TOUS",AQ1169&lt;&gt;"ACCEPTÉ")),1,0)</f>
        <v>0</v>
      </c>
      <c r="AV1169" s="82" t="str">
        <f aca="false">IF(AU1169=1,SUM(AU$7:AU1169),"")</f>
        <v/>
      </c>
      <c r="AW1169" s="82" t="str">
        <f aca="false">IF(E1169="","",B1169&amp;"|"&amp;E1169)</f>
        <v>MFD-ISW → MFD-CPF|JN°1015</v>
      </c>
    </row>
    <row r="1170" customFormat="false" ht="74.6" hidden="false" customHeight="false" outlineLevel="0" collapsed="false">
      <c r="A1170" s="79" t="n">
        <f aca="false">IF(E1170="","",ROW()-6)</f>
        <v>1164</v>
      </c>
      <c r="B1170" s="80" t="s">
        <v>110</v>
      </c>
      <c r="C1170" s="81" t="s">
        <v>926</v>
      </c>
      <c r="D1170" s="81" t="n">
        <v>9</v>
      </c>
      <c r="E1170" s="81" t="s">
        <v>1397</v>
      </c>
      <c r="F1170" s="82" t="str">
        <f aca="false">IF(E1170="","",IF(LEFT(E1170,2)="DJ","DJ","JN"))</f>
        <v>JN</v>
      </c>
      <c r="G1170" s="81"/>
      <c r="H1170" s="81"/>
      <c r="I1170" s="81"/>
      <c r="J1170" s="81"/>
      <c r="K1170" s="81"/>
      <c r="L1170" s="81" t="s">
        <v>1391</v>
      </c>
      <c r="M1170" s="81"/>
      <c r="N1170" s="81"/>
      <c r="O1170" s="81" t="s">
        <v>1391</v>
      </c>
      <c r="P1170" s="81"/>
      <c r="Q1170" s="81"/>
      <c r="R1170" s="81"/>
      <c r="S1170" s="81"/>
      <c r="T1170" s="81"/>
      <c r="U1170" s="83"/>
      <c r="V1170" s="83"/>
      <c r="W1170" s="81"/>
      <c r="X1170" s="81"/>
      <c r="Y1170" s="83"/>
      <c r="Z1170" s="81"/>
      <c r="AA1170" s="81"/>
      <c r="AB1170" s="81"/>
      <c r="AC1170" s="81"/>
      <c r="AD1170" s="81"/>
      <c r="AE1170" s="83"/>
      <c r="AF1170" s="81"/>
      <c r="AG1170" s="81"/>
      <c r="AH1170" s="81"/>
      <c r="AI1170" s="81"/>
      <c r="AJ1170" s="83"/>
      <c r="AK1170" s="81"/>
      <c r="AL1170" s="81"/>
      <c r="AM1170" s="83"/>
      <c r="AN1170" s="80"/>
      <c r="AO1170" s="82" t="n">
        <f aca="false">IF(E1170="","",(AA1170&lt;&gt;"")+(AG1170&lt;&gt;"")+(AL1170&lt;&gt;""))</f>
        <v>0</v>
      </c>
      <c r="AP1170" s="82" t="str">
        <f aca="false">IF(AL1170&lt;&gt;"",AL1170,IF(AG1170&lt;&gt;"",AG1170,IF(AA1170&lt;&gt;"",AA1170,"")))</f>
        <v/>
      </c>
      <c r="AQ1170" s="84" t="str">
        <f aca="false">IF(E1170="","",IF(U1170="","À SOUDER",IF(X1170="","VT EN ATTENTE",IF(X1170="R","VT REJETÉ – À REPRENDRE",IF(AP1170="","À RADIOGRAPHIER",IF(AP1170="A","ACCEPTÉ",IF(AP1170="NX","NX – RT À REFAIRE",IF(IF(AO1170=1,AD1170,IF(AO1170=2,AI1170,""))="A","RÉPARÉ – À RADIOGRAPHIER",IF(IF(AO1170=1,AD1170,IF(AO1170=2,AI1170,""))="R","VT REJETÉ – À REPRENDRE",IF(OR(AP1170="CO",AP1170="NT"),"COUPE – À RESOUDER","À RÉPARER"))))))))))</f>
        <v>À SOUDER</v>
      </c>
      <c r="AR1170" s="82" t="str">
        <f aca="false">IF(AND(ISNUMBER(U1170),OR(AQ1170="À RADIOGRAPHIER",AQ1170="RÉPARÉ – À RADIOGRAPHIER",AQ1170="NX – RT À REFAIRE",AQ1170="À RÉPARER",AQ1170="COUPE – À RESOUDER",AQ1170="VT REJETÉ – À REPRENDRE")),MAX(0,'PROGRAMME RT'!$C$4-U1170),"")</f>
        <v/>
      </c>
      <c r="AS1170" s="82" t="n">
        <f aca="false">IF(AND(OR(AQ1170="À RADIOGRAPHIER",AQ1170="RÉPARÉ – À RADIOGRAPHIER",AQ1170="NX – RT À REFAIRE"),OR('PROGRAMME RT'!$D$5="TOUTES",B1170='PROGRAMME RT'!$D$5)),1,0)</f>
        <v>0</v>
      </c>
      <c r="AT1170" s="82" t="str">
        <f aca="false">IF(AS1170=1,SUM(AS$7:AS1170),"")</f>
        <v/>
      </c>
      <c r="AU1170" s="82" t="n">
        <f aca="false">IF(AND(OR(AA1170="R",AA1170="NX",AA1170="NT",AA1170="CO"),OR('JOINTS DE RÉPARATION'!$D$5="TOUTES",B1170='JOINTS DE RÉPARATION'!$D$5),OR('JOINTS DE RÉPARATION'!$L$4="TOUS",AQ1170&lt;&gt;"ACCEPTÉ")),1,0)</f>
        <v>0</v>
      </c>
      <c r="AV1170" s="82" t="str">
        <f aca="false">IF(AU1170=1,SUM(AU$7:AU1170),"")</f>
        <v/>
      </c>
      <c r="AW1170" s="82" t="str">
        <f aca="false">IF(E1170="","",B1170&amp;"|"&amp;E1170)</f>
        <v>MFD-ISW → MFD-CPF|JN°1016</v>
      </c>
    </row>
    <row r="1171" customFormat="false" ht="74.6" hidden="false" customHeight="false" outlineLevel="0" collapsed="false">
      <c r="A1171" s="79" t="n">
        <f aca="false">IF(E1171="","",ROW()-6)</f>
        <v>1165</v>
      </c>
      <c r="B1171" s="80" t="s">
        <v>110</v>
      </c>
      <c r="C1171" s="81" t="s">
        <v>926</v>
      </c>
      <c r="D1171" s="81" t="n">
        <v>9</v>
      </c>
      <c r="E1171" s="81" t="s">
        <v>1398</v>
      </c>
      <c r="F1171" s="82" t="str">
        <f aca="false">IF(E1171="","",IF(LEFT(E1171,2)="DJ","DJ","JN"))</f>
        <v>JN</v>
      </c>
      <c r="G1171" s="81"/>
      <c r="H1171" s="81"/>
      <c r="I1171" s="81"/>
      <c r="J1171" s="81"/>
      <c r="K1171" s="81"/>
      <c r="L1171" s="81" t="s">
        <v>1391</v>
      </c>
      <c r="M1171" s="81"/>
      <c r="N1171" s="81"/>
      <c r="O1171" s="81" t="s">
        <v>1391</v>
      </c>
      <c r="P1171" s="81"/>
      <c r="Q1171" s="81"/>
      <c r="R1171" s="81"/>
      <c r="S1171" s="81"/>
      <c r="T1171" s="81"/>
      <c r="U1171" s="83"/>
      <c r="V1171" s="83"/>
      <c r="W1171" s="81"/>
      <c r="X1171" s="81"/>
      <c r="Y1171" s="83"/>
      <c r="Z1171" s="81"/>
      <c r="AA1171" s="81"/>
      <c r="AB1171" s="81"/>
      <c r="AC1171" s="81"/>
      <c r="AD1171" s="81"/>
      <c r="AE1171" s="83"/>
      <c r="AF1171" s="81"/>
      <c r="AG1171" s="81"/>
      <c r="AH1171" s="81"/>
      <c r="AI1171" s="81"/>
      <c r="AJ1171" s="83"/>
      <c r="AK1171" s="81"/>
      <c r="AL1171" s="81"/>
      <c r="AM1171" s="83"/>
      <c r="AN1171" s="80"/>
      <c r="AO1171" s="82" t="n">
        <f aca="false">IF(E1171="","",(AA1171&lt;&gt;"")+(AG1171&lt;&gt;"")+(AL1171&lt;&gt;""))</f>
        <v>0</v>
      </c>
      <c r="AP1171" s="82" t="str">
        <f aca="false">IF(AL1171&lt;&gt;"",AL1171,IF(AG1171&lt;&gt;"",AG1171,IF(AA1171&lt;&gt;"",AA1171,"")))</f>
        <v/>
      </c>
      <c r="AQ1171" s="84" t="str">
        <f aca="false">IF(E1171="","",IF(U1171="","À SOUDER",IF(X1171="","VT EN ATTENTE",IF(X1171="R","VT REJETÉ – À REPRENDRE",IF(AP1171="","À RADIOGRAPHIER",IF(AP1171="A","ACCEPTÉ",IF(AP1171="NX","NX – RT À REFAIRE",IF(IF(AO1171=1,AD1171,IF(AO1171=2,AI1171,""))="A","RÉPARÉ – À RADIOGRAPHIER",IF(IF(AO1171=1,AD1171,IF(AO1171=2,AI1171,""))="R","VT REJETÉ – À REPRENDRE",IF(OR(AP1171="CO",AP1171="NT"),"COUPE – À RESOUDER","À RÉPARER"))))))))))</f>
        <v>À SOUDER</v>
      </c>
      <c r="AR1171" s="82" t="str">
        <f aca="false">IF(AND(ISNUMBER(U1171),OR(AQ1171="À RADIOGRAPHIER",AQ1171="RÉPARÉ – À RADIOGRAPHIER",AQ1171="NX – RT À REFAIRE",AQ1171="À RÉPARER",AQ1171="COUPE – À RESOUDER",AQ1171="VT REJETÉ – À REPRENDRE")),MAX(0,'PROGRAMME RT'!$C$4-U1171),"")</f>
        <v/>
      </c>
      <c r="AS1171" s="82" t="n">
        <f aca="false">IF(AND(OR(AQ1171="À RADIOGRAPHIER",AQ1171="RÉPARÉ – À RADIOGRAPHIER",AQ1171="NX – RT À REFAIRE"),OR('PROGRAMME RT'!$D$5="TOUTES",B1171='PROGRAMME RT'!$D$5)),1,0)</f>
        <v>0</v>
      </c>
      <c r="AT1171" s="82" t="str">
        <f aca="false">IF(AS1171=1,SUM(AS$7:AS1171),"")</f>
        <v/>
      </c>
      <c r="AU1171" s="82" t="n">
        <f aca="false">IF(AND(OR(AA1171="R",AA1171="NX",AA1171="NT",AA1171="CO"),OR('JOINTS DE RÉPARATION'!$D$5="TOUTES",B1171='JOINTS DE RÉPARATION'!$D$5),OR('JOINTS DE RÉPARATION'!$L$4="TOUS",AQ1171&lt;&gt;"ACCEPTÉ")),1,0)</f>
        <v>0</v>
      </c>
      <c r="AV1171" s="82" t="str">
        <f aca="false">IF(AU1171=1,SUM(AU$7:AU1171),"")</f>
        <v/>
      </c>
      <c r="AW1171" s="82" t="str">
        <f aca="false">IF(E1171="","",B1171&amp;"|"&amp;E1171)</f>
        <v>MFD-ISW → MFD-CPF|JN°1017</v>
      </c>
    </row>
    <row r="1172" customFormat="false" ht="74.6" hidden="false" customHeight="false" outlineLevel="0" collapsed="false">
      <c r="A1172" s="79" t="n">
        <f aca="false">IF(E1172="","",ROW()-6)</f>
        <v>1166</v>
      </c>
      <c r="B1172" s="80" t="s">
        <v>110</v>
      </c>
      <c r="C1172" s="81" t="s">
        <v>926</v>
      </c>
      <c r="D1172" s="81" t="n">
        <v>9</v>
      </c>
      <c r="E1172" s="81" t="s">
        <v>1399</v>
      </c>
      <c r="F1172" s="82" t="str">
        <f aca="false">IF(E1172="","",IF(LEFT(E1172,2)="DJ","DJ","JN"))</f>
        <v>JN</v>
      </c>
      <c r="G1172" s="81"/>
      <c r="H1172" s="81"/>
      <c r="I1172" s="81"/>
      <c r="J1172" s="81"/>
      <c r="K1172" s="81"/>
      <c r="L1172" s="81" t="s">
        <v>1391</v>
      </c>
      <c r="M1172" s="81"/>
      <c r="N1172" s="81"/>
      <c r="O1172" s="81" t="s">
        <v>1391</v>
      </c>
      <c r="P1172" s="81"/>
      <c r="Q1172" s="81"/>
      <c r="R1172" s="81"/>
      <c r="S1172" s="81"/>
      <c r="T1172" s="81"/>
      <c r="U1172" s="83"/>
      <c r="V1172" s="83"/>
      <c r="W1172" s="81"/>
      <c r="X1172" s="81"/>
      <c r="Y1172" s="83"/>
      <c r="Z1172" s="81"/>
      <c r="AA1172" s="81"/>
      <c r="AB1172" s="81"/>
      <c r="AC1172" s="81"/>
      <c r="AD1172" s="81"/>
      <c r="AE1172" s="83"/>
      <c r="AF1172" s="81"/>
      <c r="AG1172" s="81"/>
      <c r="AH1172" s="81"/>
      <c r="AI1172" s="81"/>
      <c r="AJ1172" s="83"/>
      <c r="AK1172" s="81"/>
      <c r="AL1172" s="81"/>
      <c r="AM1172" s="83"/>
      <c r="AN1172" s="80"/>
      <c r="AO1172" s="82" t="n">
        <f aca="false">IF(E1172="","",(AA1172&lt;&gt;"")+(AG1172&lt;&gt;"")+(AL1172&lt;&gt;""))</f>
        <v>0</v>
      </c>
      <c r="AP1172" s="82" t="str">
        <f aca="false">IF(AL1172&lt;&gt;"",AL1172,IF(AG1172&lt;&gt;"",AG1172,IF(AA1172&lt;&gt;"",AA1172,"")))</f>
        <v/>
      </c>
      <c r="AQ1172" s="84" t="str">
        <f aca="false">IF(E1172="","",IF(U1172="","À SOUDER",IF(X1172="","VT EN ATTENTE",IF(X1172="R","VT REJETÉ – À REPRENDRE",IF(AP1172="","À RADIOGRAPHIER",IF(AP1172="A","ACCEPTÉ",IF(AP1172="NX","NX – RT À REFAIRE",IF(IF(AO1172=1,AD1172,IF(AO1172=2,AI1172,""))="A","RÉPARÉ – À RADIOGRAPHIER",IF(IF(AO1172=1,AD1172,IF(AO1172=2,AI1172,""))="R","VT REJETÉ – À REPRENDRE",IF(OR(AP1172="CO",AP1172="NT"),"COUPE – À RESOUDER","À RÉPARER"))))))))))</f>
        <v>À SOUDER</v>
      </c>
      <c r="AR1172" s="82" t="str">
        <f aca="false">IF(AND(ISNUMBER(U1172),OR(AQ1172="À RADIOGRAPHIER",AQ1172="RÉPARÉ – À RADIOGRAPHIER",AQ1172="NX – RT À REFAIRE",AQ1172="À RÉPARER",AQ1172="COUPE – À RESOUDER",AQ1172="VT REJETÉ – À REPRENDRE")),MAX(0,'PROGRAMME RT'!$C$4-U1172),"")</f>
        <v/>
      </c>
      <c r="AS1172" s="82" t="n">
        <f aca="false">IF(AND(OR(AQ1172="À RADIOGRAPHIER",AQ1172="RÉPARÉ – À RADIOGRAPHIER",AQ1172="NX – RT À REFAIRE"),OR('PROGRAMME RT'!$D$5="TOUTES",B1172='PROGRAMME RT'!$D$5)),1,0)</f>
        <v>0</v>
      </c>
      <c r="AT1172" s="82" t="str">
        <f aca="false">IF(AS1172=1,SUM(AS$7:AS1172),"")</f>
        <v/>
      </c>
      <c r="AU1172" s="82" t="n">
        <f aca="false">IF(AND(OR(AA1172="R",AA1172="NX",AA1172="NT",AA1172="CO"),OR('JOINTS DE RÉPARATION'!$D$5="TOUTES",B1172='JOINTS DE RÉPARATION'!$D$5),OR('JOINTS DE RÉPARATION'!$L$4="TOUS",AQ1172&lt;&gt;"ACCEPTÉ")),1,0)</f>
        <v>0</v>
      </c>
      <c r="AV1172" s="82" t="str">
        <f aca="false">IF(AU1172=1,SUM(AU$7:AU1172),"")</f>
        <v/>
      </c>
      <c r="AW1172" s="82" t="str">
        <f aca="false">IF(E1172="","",B1172&amp;"|"&amp;E1172)</f>
        <v>MFD-ISW → MFD-CPF|JN°1018</v>
      </c>
    </row>
    <row r="1173" customFormat="false" ht="74.6" hidden="false" customHeight="false" outlineLevel="0" collapsed="false">
      <c r="A1173" s="79" t="n">
        <f aca="false">IF(E1173="","",ROW()-6)</f>
        <v>1167</v>
      </c>
      <c r="B1173" s="80" t="s">
        <v>110</v>
      </c>
      <c r="C1173" s="81" t="s">
        <v>926</v>
      </c>
      <c r="D1173" s="81" t="n">
        <v>9</v>
      </c>
      <c r="E1173" s="81" t="s">
        <v>1400</v>
      </c>
      <c r="F1173" s="82" t="str">
        <f aca="false">IF(E1173="","",IF(LEFT(E1173,2)="DJ","DJ","JN"))</f>
        <v>JN</v>
      </c>
      <c r="G1173" s="81"/>
      <c r="H1173" s="81"/>
      <c r="I1173" s="81"/>
      <c r="J1173" s="81"/>
      <c r="K1173" s="81"/>
      <c r="L1173" s="81" t="s">
        <v>1391</v>
      </c>
      <c r="M1173" s="81"/>
      <c r="N1173" s="81"/>
      <c r="O1173" s="81" t="s">
        <v>1391</v>
      </c>
      <c r="P1173" s="81"/>
      <c r="Q1173" s="81"/>
      <c r="R1173" s="81"/>
      <c r="S1173" s="81"/>
      <c r="T1173" s="81"/>
      <c r="U1173" s="83"/>
      <c r="V1173" s="83"/>
      <c r="W1173" s="81"/>
      <c r="X1173" s="81"/>
      <c r="Y1173" s="83"/>
      <c r="Z1173" s="81"/>
      <c r="AA1173" s="81"/>
      <c r="AB1173" s="81"/>
      <c r="AC1173" s="81"/>
      <c r="AD1173" s="81"/>
      <c r="AE1173" s="83"/>
      <c r="AF1173" s="81"/>
      <c r="AG1173" s="81"/>
      <c r="AH1173" s="81"/>
      <c r="AI1173" s="81"/>
      <c r="AJ1173" s="83"/>
      <c r="AK1173" s="81"/>
      <c r="AL1173" s="81"/>
      <c r="AM1173" s="83"/>
      <c r="AN1173" s="80"/>
      <c r="AO1173" s="82" t="n">
        <f aca="false">IF(E1173="","",(AA1173&lt;&gt;"")+(AG1173&lt;&gt;"")+(AL1173&lt;&gt;""))</f>
        <v>0</v>
      </c>
      <c r="AP1173" s="82" t="str">
        <f aca="false">IF(AL1173&lt;&gt;"",AL1173,IF(AG1173&lt;&gt;"",AG1173,IF(AA1173&lt;&gt;"",AA1173,"")))</f>
        <v/>
      </c>
      <c r="AQ1173" s="84" t="str">
        <f aca="false">IF(E1173="","",IF(U1173="","À SOUDER",IF(X1173="","VT EN ATTENTE",IF(X1173="R","VT REJETÉ – À REPRENDRE",IF(AP1173="","À RADIOGRAPHIER",IF(AP1173="A","ACCEPTÉ",IF(AP1173="NX","NX – RT À REFAIRE",IF(IF(AO1173=1,AD1173,IF(AO1173=2,AI1173,""))="A","RÉPARÉ – À RADIOGRAPHIER",IF(IF(AO1173=1,AD1173,IF(AO1173=2,AI1173,""))="R","VT REJETÉ – À REPRENDRE",IF(OR(AP1173="CO",AP1173="NT"),"COUPE – À RESOUDER","À RÉPARER"))))))))))</f>
        <v>À SOUDER</v>
      </c>
      <c r="AR1173" s="82" t="str">
        <f aca="false">IF(AND(ISNUMBER(U1173),OR(AQ1173="À RADIOGRAPHIER",AQ1173="RÉPARÉ – À RADIOGRAPHIER",AQ1173="NX – RT À REFAIRE",AQ1173="À RÉPARER",AQ1173="COUPE – À RESOUDER",AQ1173="VT REJETÉ – À REPRENDRE")),MAX(0,'PROGRAMME RT'!$C$4-U1173),"")</f>
        <v/>
      </c>
      <c r="AS1173" s="82" t="n">
        <f aca="false">IF(AND(OR(AQ1173="À RADIOGRAPHIER",AQ1173="RÉPARÉ – À RADIOGRAPHIER",AQ1173="NX – RT À REFAIRE"),OR('PROGRAMME RT'!$D$5="TOUTES",B1173='PROGRAMME RT'!$D$5)),1,0)</f>
        <v>0</v>
      </c>
      <c r="AT1173" s="82" t="str">
        <f aca="false">IF(AS1173=1,SUM(AS$7:AS1173),"")</f>
        <v/>
      </c>
      <c r="AU1173" s="82" t="n">
        <f aca="false">IF(AND(OR(AA1173="R",AA1173="NX",AA1173="NT",AA1173="CO"),OR('JOINTS DE RÉPARATION'!$D$5="TOUTES",B1173='JOINTS DE RÉPARATION'!$D$5),OR('JOINTS DE RÉPARATION'!$L$4="TOUS",AQ1173&lt;&gt;"ACCEPTÉ")),1,0)</f>
        <v>0</v>
      </c>
      <c r="AV1173" s="82" t="str">
        <f aca="false">IF(AU1173=1,SUM(AU$7:AU1173),"")</f>
        <v/>
      </c>
      <c r="AW1173" s="82" t="str">
        <f aca="false">IF(E1173="","",B1173&amp;"|"&amp;E1173)</f>
        <v>MFD-ISW → MFD-CPF|JN°1019</v>
      </c>
    </row>
    <row r="1174" customFormat="false" ht="74.6" hidden="false" customHeight="false" outlineLevel="0" collapsed="false">
      <c r="A1174" s="79" t="n">
        <f aca="false">IF(E1174="","",ROW()-6)</f>
        <v>1168</v>
      </c>
      <c r="B1174" s="80" t="s">
        <v>110</v>
      </c>
      <c r="C1174" s="81" t="s">
        <v>926</v>
      </c>
      <c r="D1174" s="81" t="n">
        <v>9</v>
      </c>
      <c r="E1174" s="81" t="s">
        <v>1401</v>
      </c>
      <c r="F1174" s="82" t="str">
        <f aca="false">IF(E1174="","",IF(LEFT(E1174,2)="DJ","DJ","JN"))</f>
        <v>JN</v>
      </c>
      <c r="G1174" s="81"/>
      <c r="H1174" s="81"/>
      <c r="I1174" s="81"/>
      <c r="J1174" s="81"/>
      <c r="K1174" s="81"/>
      <c r="L1174" s="81" t="s">
        <v>1391</v>
      </c>
      <c r="M1174" s="81"/>
      <c r="N1174" s="81"/>
      <c r="O1174" s="81" t="s">
        <v>1391</v>
      </c>
      <c r="P1174" s="81"/>
      <c r="Q1174" s="81"/>
      <c r="R1174" s="81"/>
      <c r="S1174" s="81"/>
      <c r="T1174" s="81"/>
      <c r="U1174" s="83"/>
      <c r="V1174" s="83"/>
      <c r="W1174" s="81"/>
      <c r="X1174" s="81"/>
      <c r="Y1174" s="83"/>
      <c r="Z1174" s="81"/>
      <c r="AA1174" s="81"/>
      <c r="AB1174" s="81"/>
      <c r="AC1174" s="81"/>
      <c r="AD1174" s="81"/>
      <c r="AE1174" s="83"/>
      <c r="AF1174" s="81"/>
      <c r="AG1174" s="81"/>
      <c r="AH1174" s="81"/>
      <c r="AI1174" s="81"/>
      <c r="AJ1174" s="83"/>
      <c r="AK1174" s="81"/>
      <c r="AL1174" s="81"/>
      <c r="AM1174" s="83"/>
      <c r="AN1174" s="80"/>
      <c r="AO1174" s="82" t="n">
        <f aca="false">IF(E1174="","",(AA1174&lt;&gt;"")+(AG1174&lt;&gt;"")+(AL1174&lt;&gt;""))</f>
        <v>0</v>
      </c>
      <c r="AP1174" s="82" t="str">
        <f aca="false">IF(AL1174&lt;&gt;"",AL1174,IF(AG1174&lt;&gt;"",AG1174,IF(AA1174&lt;&gt;"",AA1174,"")))</f>
        <v/>
      </c>
      <c r="AQ1174" s="84" t="str">
        <f aca="false">IF(E1174="","",IF(U1174="","À SOUDER",IF(X1174="","VT EN ATTENTE",IF(X1174="R","VT REJETÉ – À REPRENDRE",IF(AP1174="","À RADIOGRAPHIER",IF(AP1174="A","ACCEPTÉ",IF(AP1174="NX","NX – RT À REFAIRE",IF(IF(AO1174=1,AD1174,IF(AO1174=2,AI1174,""))="A","RÉPARÉ – À RADIOGRAPHIER",IF(IF(AO1174=1,AD1174,IF(AO1174=2,AI1174,""))="R","VT REJETÉ – À REPRENDRE",IF(OR(AP1174="CO",AP1174="NT"),"COUPE – À RESOUDER","À RÉPARER"))))))))))</f>
        <v>À SOUDER</v>
      </c>
      <c r="AR1174" s="82" t="str">
        <f aca="false">IF(AND(ISNUMBER(U1174),OR(AQ1174="À RADIOGRAPHIER",AQ1174="RÉPARÉ – À RADIOGRAPHIER",AQ1174="NX – RT À REFAIRE",AQ1174="À RÉPARER",AQ1174="COUPE – À RESOUDER",AQ1174="VT REJETÉ – À REPRENDRE")),MAX(0,'PROGRAMME RT'!$C$4-U1174),"")</f>
        <v/>
      </c>
      <c r="AS1174" s="82" t="n">
        <f aca="false">IF(AND(OR(AQ1174="À RADIOGRAPHIER",AQ1174="RÉPARÉ – À RADIOGRAPHIER",AQ1174="NX – RT À REFAIRE"),OR('PROGRAMME RT'!$D$5="TOUTES",B1174='PROGRAMME RT'!$D$5)),1,0)</f>
        <v>0</v>
      </c>
      <c r="AT1174" s="82" t="str">
        <f aca="false">IF(AS1174=1,SUM(AS$7:AS1174),"")</f>
        <v/>
      </c>
      <c r="AU1174" s="82" t="n">
        <f aca="false">IF(AND(OR(AA1174="R",AA1174="NX",AA1174="NT",AA1174="CO"),OR('JOINTS DE RÉPARATION'!$D$5="TOUTES",B1174='JOINTS DE RÉPARATION'!$D$5),OR('JOINTS DE RÉPARATION'!$L$4="TOUS",AQ1174&lt;&gt;"ACCEPTÉ")),1,0)</f>
        <v>0</v>
      </c>
      <c r="AV1174" s="82" t="str">
        <f aca="false">IF(AU1174=1,SUM(AU$7:AU1174),"")</f>
        <v/>
      </c>
      <c r="AW1174" s="82" t="str">
        <f aca="false">IF(E1174="","",B1174&amp;"|"&amp;E1174)</f>
        <v>MFD-ISW → MFD-CPF|JN°1020</v>
      </c>
    </row>
    <row r="1175" customFormat="false" ht="74.6" hidden="false" customHeight="false" outlineLevel="0" collapsed="false">
      <c r="A1175" s="79" t="n">
        <f aca="false">IF(E1175="","",ROW()-6)</f>
        <v>1169</v>
      </c>
      <c r="B1175" s="80" t="s">
        <v>110</v>
      </c>
      <c r="C1175" s="81" t="s">
        <v>926</v>
      </c>
      <c r="D1175" s="81" t="n">
        <v>9</v>
      </c>
      <c r="E1175" s="81" t="s">
        <v>1402</v>
      </c>
      <c r="F1175" s="82" t="str">
        <f aca="false">IF(E1175="","",IF(LEFT(E1175,2)="DJ","DJ","JN"))</f>
        <v>JN</v>
      </c>
      <c r="G1175" s="81"/>
      <c r="H1175" s="81"/>
      <c r="I1175" s="81"/>
      <c r="J1175" s="81"/>
      <c r="K1175" s="81"/>
      <c r="L1175" s="81" t="s">
        <v>1391</v>
      </c>
      <c r="M1175" s="81"/>
      <c r="N1175" s="81"/>
      <c r="O1175" s="81" t="s">
        <v>1391</v>
      </c>
      <c r="P1175" s="81"/>
      <c r="Q1175" s="81"/>
      <c r="R1175" s="81"/>
      <c r="S1175" s="81"/>
      <c r="T1175" s="81"/>
      <c r="U1175" s="83"/>
      <c r="V1175" s="83"/>
      <c r="W1175" s="81"/>
      <c r="X1175" s="81"/>
      <c r="Y1175" s="83"/>
      <c r="Z1175" s="81"/>
      <c r="AA1175" s="81"/>
      <c r="AB1175" s="81"/>
      <c r="AC1175" s="81"/>
      <c r="AD1175" s="81"/>
      <c r="AE1175" s="83"/>
      <c r="AF1175" s="81"/>
      <c r="AG1175" s="81"/>
      <c r="AH1175" s="81"/>
      <c r="AI1175" s="81"/>
      <c r="AJ1175" s="83"/>
      <c r="AK1175" s="81"/>
      <c r="AL1175" s="81"/>
      <c r="AM1175" s="83"/>
      <c r="AN1175" s="80"/>
      <c r="AO1175" s="82" t="n">
        <f aca="false">IF(E1175="","",(AA1175&lt;&gt;"")+(AG1175&lt;&gt;"")+(AL1175&lt;&gt;""))</f>
        <v>0</v>
      </c>
      <c r="AP1175" s="82" t="str">
        <f aca="false">IF(AL1175&lt;&gt;"",AL1175,IF(AG1175&lt;&gt;"",AG1175,IF(AA1175&lt;&gt;"",AA1175,"")))</f>
        <v/>
      </c>
      <c r="AQ1175" s="84" t="str">
        <f aca="false">IF(E1175="","",IF(U1175="","À SOUDER",IF(X1175="","VT EN ATTENTE",IF(X1175="R","VT REJETÉ – À REPRENDRE",IF(AP1175="","À RADIOGRAPHIER",IF(AP1175="A","ACCEPTÉ",IF(AP1175="NX","NX – RT À REFAIRE",IF(IF(AO1175=1,AD1175,IF(AO1175=2,AI1175,""))="A","RÉPARÉ – À RADIOGRAPHIER",IF(IF(AO1175=1,AD1175,IF(AO1175=2,AI1175,""))="R","VT REJETÉ – À REPRENDRE",IF(OR(AP1175="CO",AP1175="NT"),"COUPE – À RESOUDER","À RÉPARER"))))))))))</f>
        <v>À SOUDER</v>
      </c>
      <c r="AR1175" s="82" t="str">
        <f aca="false">IF(AND(ISNUMBER(U1175),OR(AQ1175="À RADIOGRAPHIER",AQ1175="RÉPARÉ – À RADIOGRAPHIER",AQ1175="NX – RT À REFAIRE",AQ1175="À RÉPARER",AQ1175="COUPE – À RESOUDER",AQ1175="VT REJETÉ – À REPRENDRE")),MAX(0,'PROGRAMME RT'!$C$4-U1175),"")</f>
        <v/>
      </c>
      <c r="AS1175" s="82" t="n">
        <f aca="false">IF(AND(OR(AQ1175="À RADIOGRAPHIER",AQ1175="RÉPARÉ – À RADIOGRAPHIER",AQ1175="NX – RT À REFAIRE"),OR('PROGRAMME RT'!$D$5="TOUTES",B1175='PROGRAMME RT'!$D$5)),1,0)</f>
        <v>0</v>
      </c>
      <c r="AT1175" s="82" t="str">
        <f aca="false">IF(AS1175=1,SUM(AS$7:AS1175),"")</f>
        <v/>
      </c>
      <c r="AU1175" s="82" t="n">
        <f aca="false">IF(AND(OR(AA1175="R",AA1175="NX",AA1175="NT",AA1175="CO"),OR('JOINTS DE RÉPARATION'!$D$5="TOUTES",B1175='JOINTS DE RÉPARATION'!$D$5),OR('JOINTS DE RÉPARATION'!$L$4="TOUS",AQ1175&lt;&gt;"ACCEPTÉ")),1,0)</f>
        <v>0</v>
      </c>
      <c r="AV1175" s="82" t="str">
        <f aca="false">IF(AU1175=1,SUM(AU$7:AU1175),"")</f>
        <v/>
      </c>
      <c r="AW1175" s="82" t="str">
        <f aca="false">IF(E1175="","",B1175&amp;"|"&amp;E1175)</f>
        <v>MFD-ISW → MFD-CPF|JN°1021</v>
      </c>
    </row>
    <row r="1176" customFormat="false" ht="74.6" hidden="false" customHeight="false" outlineLevel="0" collapsed="false">
      <c r="A1176" s="79" t="n">
        <f aca="false">IF(E1176="","",ROW()-6)</f>
        <v>1170</v>
      </c>
      <c r="B1176" s="80" t="s">
        <v>110</v>
      </c>
      <c r="C1176" s="81" t="s">
        <v>926</v>
      </c>
      <c r="D1176" s="81" t="n">
        <v>9</v>
      </c>
      <c r="E1176" s="81" t="s">
        <v>1403</v>
      </c>
      <c r="F1176" s="82" t="str">
        <f aca="false">IF(E1176="","",IF(LEFT(E1176,2)="DJ","DJ","JN"))</f>
        <v>JN</v>
      </c>
      <c r="G1176" s="81"/>
      <c r="H1176" s="81"/>
      <c r="I1176" s="81"/>
      <c r="J1176" s="81"/>
      <c r="K1176" s="81"/>
      <c r="L1176" s="81" t="s">
        <v>1391</v>
      </c>
      <c r="M1176" s="81"/>
      <c r="N1176" s="81"/>
      <c r="O1176" s="81" t="n">
        <v>2080290</v>
      </c>
      <c r="P1176" s="81" t="n">
        <v>15421102</v>
      </c>
      <c r="Q1176" s="81" t="n">
        <v>11.94</v>
      </c>
      <c r="R1176" s="81"/>
      <c r="S1176" s="81"/>
      <c r="T1176" s="81"/>
      <c r="U1176" s="83"/>
      <c r="V1176" s="83"/>
      <c r="W1176" s="81"/>
      <c r="X1176" s="81"/>
      <c r="Y1176" s="83"/>
      <c r="Z1176" s="81"/>
      <c r="AA1176" s="81"/>
      <c r="AB1176" s="81"/>
      <c r="AC1176" s="81"/>
      <c r="AD1176" s="81"/>
      <c r="AE1176" s="83"/>
      <c r="AF1176" s="81"/>
      <c r="AG1176" s="81"/>
      <c r="AH1176" s="81"/>
      <c r="AI1176" s="81"/>
      <c r="AJ1176" s="83"/>
      <c r="AK1176" s="81"/>
      <c r="AL1176" s="81"/>
      <c r="AM1176" s="83"/>
      <c r="AN1176" s="80"/>
      <c r="AO1176" s="82" t="n">
        <f aca="false">IF(E1176="","",(AA1176&lt;&gt;"")+(AG1176&lt;&gt;"")+(AL1176&lt;&gt;""))</f>
        <v>0</v>
      </c>
      <c r="AP1176" s="82" t="str">
        <f aca="false">IF(AL1176&lt;&gt;"",AL1176,IF(AG1176&lt;&gt;"",AG1176,IF(AA1176&lt;&gt;"",AA1176,"")))</f>
        <v/>
      </c>
      <c r="AQ1176" s="84" t="str">
        <f aca="false">IF(E1176="","",IF(U1176="","À SOUDER",IF(X1176="","VT EN ATTENTE",IF(X1176="R","VT REJETÉ – À REPRENDRE",IF(AP1176="","À RADIOGRAPHIER",IF(AP1176="A","ACCEPTÉ",IF(AP1176="NX","NX – RT À REFAIRE",IF(IF(AO1176=1,AD1176,IF(AO1176=2,AI1176,""))="A","RÉPARÉ – À RADIOGRAPHIER",IF(IF(AO1176=1,AD1176,IF(AO1176=2,AI1176,""))="R","VT REJETÉ – À REPRENDRE",IF(OR(AP1176="CO",AP1176="NT"),"COUPE – À RESOUDER","À RÉPARER"))))))))))</f>
        <v>À SOUDER</v>
      </c>
      <c r="AR1176" s="82" t="str">
        <f aca="false">IF(AND(ISNUMBER(U1176),OR(AQ1176="À RADIOGRAPHIER",AQ1176="RÉPARÉ – À RADIOGRAPHIER",AQ1176="NX – RT À REFAIRE",AQ1176="À RÉPARER",AQ1176="COUPE – À RESOUDER",AQ1176="VT REJETÉ – À REPRENDRE")),MAX(0,'PROGRAMME RT'!$C$4-U1176),"")</f>
        <v/>
      </c>
      <c r="AS1176" s="82" t="n">
        <f aca="false">IF(AND(OR(AQ1176="À RADIOGRAPHIER",AQ1176="RÉPARÉ – À RADIOGRAPHIER",AQ1176="NX – RT À REFAIRE"),OR('PROGRAMME RT'!$D$5="TOUTES",B1176='PROGRAMME RT'!$D$5)),1,0)</f>
        <v>0</v>
      </c>
      <c r="AT1176" s="82" t="str">
        <f aca="false">IF(AS1176=1,SUM(AS$7:AS1176),"")</f>
        <v/>
      </c>
      <c r="AU1176" s="82" t="n">
        <f aca="false">IF(AND(OR(AA1176="R",AA1176="NX",AA1176="NT",AA1176="CO"),OR('JOINTS DE RÉPARATION'!$D$5="TOUTES",B1176='JOINTS DE RÉPARATION'!$D$5),OR('JOINTS DE RÉPARATION'!$L$4="TOUS",AQ1176&lt;&gt;"ACCEPTÉ")),1,0)</f>
        <v>0</v>
      </c>
      <c r="AV1176" s="82" t="str">
        <f aca="false">IF(AU1176=1,SUM(AU$7:AU1176),"")</f>
        <v/>
      </c>
      <c r="AW1176" s="82" t="str">
        <f aca="false">IF(E1176="","",B1176&amp;"|"&amp;E1176)</f>
        <v>MFD-ISW → MFD-CPF|JN°1022</v>
      </c>
    </row>
    <row r="1177" customFormat="false" ht="74.6" hidden="false" customHeight="false" outlineLevel="0" collapsed="false">
      <c r="A1177" s="79" t="n">
        <f aca="false">IF(E1177="","",ROW()-6)</f>
        <v>1171</v>
      </c>
      <c r="B1177" s="80" t="s">
        <v>110</v>
      </c>
      <c r="C1177" s="81" t="s">
        <v>1404</v>
      </c>
      <c r="D1177" s="81" t="n">
        <v>9</v>
      </c>
      <c r="E1177" s="81" t="s">
        <v>1405</v>
      </c>
      <c r="F1177" s="82" t="str">
        <f aca="false">IF(E1177="","",IF(LEFT(E1177,2)="DJ","DJ","JN"))</f>
        <v>DJ</v>
      </c>
      <c r="G1177" s="81"/>
      <c r="H1177" s="81" t="s">
        <v>871</v>
      </c>
      <c r="I1177" s="81" t="n">
        <v>9.53</v>
      </c>
      <c r="J1177" s="81" t="s">
        <v>872</v>
      </c>
      <c r="K1177" s="81" t="s">
        <v>873</v>
      </c>
      <c r="L1177" s="81" t="n">
        <v>2080290</v>
      </c>
      <c r="M1177" s="81" t="n">
        <v>15421102</v>
      </c>
      <c r="N1177" s="81" t="n">
        <v>11.94</v>
      </c>
      <c r="O1177" s="81" t="n">
        <v>2079352</v>
      </c>
      <c r="P1177" s="81" t="n">
        <v>15421102</v>
      </c>
      <c r="Q1177" s="81" t="n">
        <v>11.94</v>
      </c>
      <c r="R1177" s="81" t="s">
        <v>899</v>
      </c>
      <c r="S1177" s="81"/>
      <c r="T1177" s="81"/>
      <c r="U1177" s="83" t="n">
        <v>46277</v>
      </c>
      <c r="V1177" s="83" t="n">
        <v>46277</v>
      </c>
      <c r="W1177" s="81" t="s">
        <v>1378</v>
      </c>
      <c r="X1177" s="81" t="s">
        <v>876</v>
      </c>
      <c r="Y1177" s="83" t="n">
        <v>46278</v>
      </c>
      <c r="Z1177" s="81" t="s">
        <v>1389</v>
      </c>
      <c r="AA1177" s="81" t="s">
        <v>876</v>
      </c>
      <c r="AB1177" s="81"/>
      <c r="AC1177" s="81"/>
      <c r="AD1177" s="81"/>
      <c r="AE1177" s="83"/>
      <c r="AF1177" s="81"/>
      <c r="AG1177" s="81"/>
      <c r="AH1177" s="81"/>
      <c r="AI1177" s="81"/>
      <c r="AJ1177" s="83"/>
      <c r="AK1177" s="81"/>
      <c r="AL1177" s="81"/>
      <c r="AM1177" s="83"/>
      <c r="AN1177" s="80"/>
      <c r="AO1177" s="82" t="n">
        <f aca="false">IF(E1177="","",(AA1177&lt;&gt;"")+(AG1177&lt;&gt;"")+(AL1177&lt;&gt;""))</f>
        <v>1</v>
      </c>
      <c r="AP1177" s="82" t="str">
        <f aca="false">IF(AL1177&lt;&gt;"",AL1177,IF(AG1177&lt;&gt;"",AG1177,IF(AA1177&lt;&gt;"",AA1177,"")))</f>
        <v>A</v>
      </c>
      <c r="AQ1177" s="84" t="str">
        <f aca="false">IF(E1177="","",IF(U1177="","À SOUDER",IF(X1177="","VT EN ATTENTE",IF(X1177="R","VT REJETÉ – À REPRENDRE",IF(AP1177="","À RADIOGRAPHIER",IF(AP1177="A","ACCEPTÉ",IF(AP1177="NX","NX – RT À REFAIRE",IF(IF(AO1177=1,AD1177,IF(AO1177=2,AI1177,""))="A","RÉPARÉ – À RADIOGRAPHIER",IF(IF(AO1177=1,AD1177,IF(AO1177=2,AI1177,""))="R","VT REJETÉ – À REPRENDRE",IF(OR(AP1177="CO",AP1177="NT"),"COUPE – À RESOUDER","À RÉPARER"))))))))))</f>
        <v>ACCEPTÉ</v>
      </c>
      <c r="AR1177" s="82" t="str">
        <f aca="false">IF(AND(ISNUMBER(U1177),OR(AQ1177="À RADIOGRAPHIER",AQ1177="RÉPARÉ – À RADIOGRAPHIER",AQ1177="NX – RT À REFAIRE",AQ1177="À RÉPARER",AQ1177="COUPE – À RESOUDER",AQ1177="VT REJETÉ – À REPRENDRE")),MAX(0,'PROGRAMME RT'!$C$4-U1177),"")</f>
        <v/>
      </c>
      <c r="AS1177" s="82" t="n">
        <f aca="false">IF(AND(OR(AQ1177="À RADIOGRAPHIER",AQ1177="RÉPARÉ – À RADIOGRAPHIER",AQ1177="NX – RT À REFAIRE"),OR('PROGRAMME RT'!$D$5="TOUTES",B1177='PROGRAMME RT'!$D$5)),1,0)</f>
        <v>0</v>
      </c>
      <c r="AT1177" s="82" t="str">
        <f aca="false">IF(AS1177=1,SUM(AS$7:AS1177),"")</f>
        <v/>
      </c>
      <c r="AU1177" s="82" t="n">
        <f aca="false">IF(AND(OR(AA1177="R",AA1177="NX",AA1177="NT",AA1177="CO"),OR('JOINTS DE RÉPARATION'!$D$5="TOUTES",B1177='JOINTS DE RÉPARATION'!$D$5),OR('JOINTS DE RÉPARATION'!$L$4="TOUS",AQ1177&lt;&gt;"ACCEPTÉ")),1,0)</f>
        <v>0</v>
      </c>
      <c r="AV1177" s="82" t="str">
        <f aca="false">IF(AU1177=1,SUM(AU$7:AU1177),"")</f>
        <v/>
      </c>
      <c r="AW1177" s="82" t="str">
        <f aca="false">IF(E1177="","",B1177&amp;"|"&amp;E1177)</f>
        <v>MFD-ISW → MFD-CPF|DJ°363</v>
      </c>
    </row>
    <row r="1178" customFormat="false" ht="74.6" hidden="false" customHeight="false" outlineLevel="0" collapsed="false">
      <c r="A1178" s="79" t="n">
        <f aca="false">IF(E1178="","",ROW()-6)</f>
        <v>1172</v>
      </c>
      <c r="B1178" s="80" t="s">
        <v>110</v>
      </c>
      <c r="C1178" s="81" t="s">
        <v>1404</v>
      </c>
      <c r="D1178" s="81" t="n">
        <v>9</v>
      </c>
      <c r="E1178" s="81" t="s">
        <v>1406</v>
      </c>
      <c r="F1178" s="82" t="str">
        <f aca="false">IF(E1178="","",IF(LEFT(E1178,2)="DJ","DJ","JN"))</f>
        <v>JN</v>
      </c>
      <c r="G1178" s="81"/>
      <c r="H1178" s="81" t="s">
        <v>871</v>
      </c>
      <c r="I1178" s="81" t="n">
        <v>9.53</v>
      </c>
      <c r="J1178" s="81" t="s">
        <v>872</v>
      </c>
      <c r="K1178" s="81" t="s">
        <v>879</v>
      </c>
      <c r="L1178" s="81" t="n">
        <v>2079352</v>
      </c>
      <c r="M1178" s="81" t="n">
        <v>15421102</v>
      </c>
      <c r="N1178" s="81" t="n">
        <v>11.94</v>
      </c>
      <c r="O1178" s="81" t="n">
        <v>2098630</v>
      </c>
      <c r="P1178" s="81" t="n">
        <v>15421112</v>
      </c>
      <c r="Q1178" s="81" t="n">
        <v>11.94</v>
      </c>
      <c r="R1178" s="81" t="s">
        <v>1367</v>
      </c>
      <c r="S1178" s="81"/>
      <c r="T1178" s="81"/>
      <c r="U1178" s="83" t="n">
        <v>46279</v>
      </c>
      <c r="V1178" s="83" t="n">
        <v>46279</v>
      </c>
      <c r="W1178" s="81" t="s">
        <v>1368</v>
      </c>
      <c r="X1178" s="81" t="s">
        <v>876</v>
      </c>
      <c r="Y1178" s="83" t="n">
        <v>46284</v>
      </c>
      <c r="Z1178" s="81" t="s">
        <v>1380</v>
      </c>
      <c r="AA1178" s="81" t="s">
        <v>876</v>
      </c>
      <c r="AB1178" s="81"/>
      <c r="AC1178" s="81"/>
      <c r="AD1178" s="81"/>
      <c r="AE1178" s="83"/>
      <c r="AF1178" s="81"/>
      <c r="AG1178" s="81"/>
      <c r="AH1178" s="81"/>
      <c r="AI1178" s="81"/>
      <c r="AJ1178" s="83"/>
      <c r="AK1178" s="81"/>
      <c r="AL1178" s="81"/>
      <c r="AM1178" s="83"/>
      <c r="AN1178" s="80"/>
      <c r="AO1178" s="82" t="n">
        <f aca="false">IF(E1178="","",(AA1178&lt;&gt;"")+(AG1178&lt;&gt;"")+(AL1178&lt;&gt;""))</f>
        <v>1</v>
      </c>
      <c r="AP1178" s="82" t="str">
        <f aca="false">IF(AL1178&lt;&gt;"",AL1178,IF(AG1178&lt;&gt;"",AG1178,IF(AA1178&lt;&gt;"",AA1178,"")))</f>
        <v>A</v>
      </c>
      <c r="AQ1178" s="84" t="str">
        <f aca="false">IF(E1178="","",IF(U1178="","À SOUDER",IF(X1178="","VT EN ATTENTE",IF(X1178="R","VT REJETÉ – À REPRENDRE",IF(AP1178="","À RADIOGRAPHIER",IF(AP1178="A","ACCEPTÉ",IF(AP1178="NX","NX – RT À REFAIRE",IF(IF(AO1178=1,AD1178,IF(AO1178=2,AI1178,""))="A","RÉPARÉ – À RADIOGRAPHIER",IF(IF(AO1178=1,AD1178,IF(AO1178=2,AI1178,""))="R","VT REJETÉ – À REPRENDRE",IF(OR(AP1178="CO",AP1178="NT"),"COUPE – À RESOUDER","À RÉPARER"))))))))))</f>
        <v>ACCEPTÉ</v>
      </c>
      <c r="AR1178" s="82" t="str">
        <f aca="false">IF(AND(ISNUMBER(U1178),OR(AQ1178="À RADIOGRAPHIER",AQ1178="RÉPARÉ – À RADIOGRAPHIER",AQ1178="NX – RT À REFAIRE",AQ1178="À RÉPARER",AQ1178="COUPE – À RESOUDER",AQ1178="VT REJETÉ – À REPRENDRE")),MAX(0,'PROGRAMME RT'!$C$4-U1178),"")</f>
        <v/>
      </c>
      <c r="AS1178" s="82" t="n">
        <f aca="false">IF(AND(OR(AQ1178="À RADIOGRAPHIER",AQ1178="RÉPARÉ – À RADIOGRAPHIER",AQ1178="NX – RT À REFAIRE"),OR('PROGRAMME RT'!$D$5="TOUTES",B1178='PROGRAMME RT'!$D$5)),1,0)</f>
        <v>0</v>
      </c>
      <c r="AT1178" s="82" t="str">
        <f aca="false">IF(AS1178=1,SUM(AS$7:AS1178),"")</f>
        <v/>
      </c>
      <c r="AU1178" s="82" t="n">
        <f aca="false">IF(AND(OR(AA1178="R",AA1178="NX",AA1178="NT",AA1178="CO"),OR('JOINTS DE RÉPARATION'!$D$5="TOUTES",B1178='JOINTS DE RÉPARATION'!$D$5),OR('JOINTS DE RÉPARATION'!$L$4="TOUS",AQ1178&lt;&gt;"ACCEPTÉ")),1,0)</f>
        <v>0</v>
      </c>
      <c r="AV1178" s="82" t="str">
        <f aca="false">IF(AU1178=1,SUM(AU$7:AU1178),"")</f>
        <v/>
      </c>
      <c r="AW1178" s="82" t="str">
        <f aca="false">IF(E1178="","",B1178&amp;"|"&amp;E1178)</f>
        <v>MFD-ISW → MFD-CPF|JN°1023</v>
      </c>
    </row>
    <row r="1179" customFormat="false" ht="74.6" hidden="false" customHeight="false" outlineLevel="0" collapsed="false">
      <c r="A1179" s="79" t="n">
        <f aca="false">IF(E1179="","",ROW()-6)</f>
        <v>1173</v>
      </c>
      <c r="B1179" s="80" t="s">
        <v>110</v>
      </c>
      <c r="C1179" s="81" t="s">
        <v>1404</v>
      </c>
      <c r="D1179" s="81" t="n">
        <v>9</v>
      </c>
      <c r="E1179" s="81" t="s">
        <v>1407</v>
      </c>
      <c r="F1179" s="82" t="str">
        <f aca="false">IF(E1179="","",IF(LEFT(E1179,2)="DJ","DJ","JN"))</f>
        <v>DJ</v>
      </c>
      <c r="G1179" s="81"/>
      <c r="H1179" s="81" t="s">
        <v>871</v>
      </c>
      <c r="I1179" s="81" t="n">
        <v>9.53</v>
      </c>
      <c r="J1179" s="81" t="s">
        <v>872</v>
      </c>
      <c r="K1179" s="81" t="s">
        <v>873</v>
      </c>
      <c r="L1179" s="81" t="n">
        <v>2098630</v>
      </c>
      <c r="M1179" s="81" t="n">
        <v>15421112</v>
      </c>
      <c r="N1179" s="81" t="n">
        <v>11.94</v>
      </c>
      <c r="O1179" s="81" t="n">
        <v>2087530</v>
      </c>
      <c r="P1179" s="81" t="n">
        <v>15421107</v>
      </c>
      <c r="Q1179" s="81" t="n">
        <v>11.94</v>
      </c>
      <c r="R1179" s="81" t="s">
        <v>899</v>
      </c>
      <c r="S1179" s="81"/>
      <c r="T1179" s="81"/>
      <c r="U1179" s="83" t="n">
        <v>46277</v>
      </c>
      <c r="V1179" s="83" t="n">
        <v>46277</v>
      </c>
      <c r="W1179" s="81" t="s">
        <v>1378</v>
      </c>
      <c r="X1179" s="81" t="s">
        <v>876</v>
      </c>
      <c r="Y1179" s="83" t="n">
        <v>46278</v>
      </c>
      <c r="Z1179" s="81" t="s">
        <v>1389</v>
      </c>
      <c r="AA1179" s="81" t="s">
        <v>876</v>
      </c>
      <c r="AB1179" s="81"/>
      <c r="AC1179" s="81"/>
      <c r="AD1179" s="81"/>
      <c r="AE1179" s="83"/>
      <c r="AF1179" s="81"/>
      <c r="AG1179" s="81"/>
      <c r="AH1179" s="81"/>
      <c r="AI1179" s="81"/>
      <c r="AJ1179" s="83"/>
      <c r="AK1179" s="81"/>
      <c r="AL1179" s="81"/>
      <c r="AM1179" s="83"/>
      <c r="AN1179" s="80"/>
      <c r="AO1179" s="82" t="n">
        <f aca="false">IF(E1179="","",(AA1179&lt;&gt;"")+(AG1179&lt;&gt;"")+(AL1179&lt;&gt;""))</f>
        <v>1</v>
      </c>
      <c r="AP1179" s="82" t="str">
        <f aca="false">IF(AL1179&lt;&gt;"",AL1179,IF(AG1179&lt;&gt;"",AG1179,IF(AA1179&lt;&gt;"",AA1179,"")))</f>
        <v>A</v>
      </c>
      <c r="AQ1179" s="84" t="str">
        <f aca="false">IF(E1179="","",IF(U1179="","À SOUDER",IF(X1179="","VT EN ATTENTE",IF(X1179="R","VT REJETÉ – À REPRENDRE",IF(AP1179="","À RADIOGRAPHIER",IF(AP1179="A","ACCEPTÉ",IF(AP1179="NX","NX – RT À REFAIRE",IF(IF(AO1179=1,AD1179,IF(AO1179=2,AI1179,""))="A","RÉPARÉ – À RADIOGRAPHIER",IF(IF(AO1179=1,AD1179,IF(AO1179=2,AI1179,""))="R","VT REJETÉ – À REPRENDRE",IF(OR(AP1179="CO",AP1179="NT"),"COUPE – À RESOUDER","À RÉPARER"))))))))))</f>
        <v>ACCEPTÉ</v>
      </c>
      <c r="AR1179" s="82" t="str">
        <f aca="false">IF(AND(ISNUMBER(U1179),OR(AQ1179="À RADIOGRAPHIER",AQ1179="RÉPARÉ – À RADIOGRAPHIER",AQ1179="NX – RT À REFAIRE",AQ1179="À RÉPARER",AQ1179="COUPE – À RESOUDER",AQ1179="VT REJETÉ – À REPRENDRE")),MAX(0,'PROGRAMME RT'!$C$4-U1179),"")</f>
        <v/>
      </c>
      <c r="AS1179" s="82" t="n">
        <f aca="false">IF(AND(OR(AQ1179="À RADIOGRAPHIER",AQ1179="RÉPARÉ – À RADIOGRAPHIER",AQ1179="NX – RT À REFAIRE"),OR('PROGRAMME RT'!$D$5="TOUTES",B1179='PROGRAMME RT'!$D$5)),1,0)</f>
        <v>0</v>
      </c>
      <c r="AT1179" s="82" t="str">
        <f aca="false">IF(AS1179=1,SUM(AS$7:AS1179),"")</f>
        <v/>
      </c>
      <c r="AU1179" s="82" t="n">
        <f aca="false">IF(AND(OR(AA1179="R",AA1179="NX",AA1179="NT",AA1179="CO"),OR('JOINTS DE RÉPARATION'!$D$5="TOUTES",B1179='JOINTS DE RÉPARATION'!$D$5),OR('JOINTS DE RÉPARATION'!$L$4="TOUS",AQ1179&lt;&gt;"ACCEPTÉ")),1,0)</f>
        <v>0</v>
      </c>
      <c r="AV1179" s="82" t="str">
        <f aca="false">IF(AU1179=1,SUM(AU$7:AU1179),"")</f>
        <v/>
      </c>
      <c r="AW1179" s="82" t="str">
        <f aca="false">IF(E1179="","",B1179&amp;"|"&amp;E1179)</f>
        <v>MFD-ISW → MFD-CPF|DJ°364</v>
      </c>
    </row>
    <row r="1180" customFormat="false" ht="74.6" hidden="false" customHeight="false" outlineLevel="0" collapsed="false">
      <c r="A1180" s="79" t="n">
        <f aca="false">IF(E1180="","",ROW()-6)</f>
        <v>1174</v>
      </c>
      <c r="B1180" s="80" t="s">
        <v>110</v>
      </c>
      <c r="C1180" s="81" t="s">
        <v>1404</v>
      </c>
      <c r="D1180" s="81" t="n">
        <v>9</v>
      </c>
      <c r="E1180" s="81" t="s">
        <v>1408</v>
      </c>
      <c r="F1180" s="82" t="str">
        <f aca="false">IF(E1180="","",IF(LEFT(E1180,2)="DJ","DJ","JN"))</f>
        <v>JN</v>
      </c>
      <c r="G1180" s="81"/>
      <c r="H1180" s="81" t="s">
        <v>871</v>
      </c>
      <c r="I1180" s="81" t="n">
        <v>9.53</v>
      </c>
      <c r="J1180" s="81" t="s">
        <v>872</v>
      </c>
      <c r="K1180" s="81" t="s">
        <v>879</v>
      </c>
      <c r="L1180" s="81" t="n">
        <v>2087530</v>
      </c>
      <c r="M1180" s="81" t="n">
        <v>15421107</v>
      </c>
      <c r="N1180" s="81" t="n">
        <v>11.94</v>
      </c>
      <c r="O1180" s="81" t="n">
        <v>2087080</v>
      </c>
      <c r="P1180" s="81" t="n">
        <v>15421105</v>
      </c>
      <c r="Q1180" s="81" t="n">
        <v>11.94</v>
      </c>
      <c r="R1180" s="81" t="s">
        <v>1367</v>
      </c>
      <c r="S1180" s="81"/>
      <c r="T1180" s="81"/>
      <c r="U1180" s="83" t="n">
        <v>46279</v>
      </c>
      <c r="V1180" s="83" t="n">
        <v>46279</v>
      </c>
      <c r="W1180" s="81" t="s">
        <v>1368</v>
      </c>
      <c r="X1180" s="81" t="s">
        <v>876</v>
      </c>
      <c r="Y1180" s="83" t="n">
        <v>46284</v>
      </c>
      <c r="Z1180" s="81" t="s">
        <v>1380</v>
      </c>
      <c r="AA1180" s="81" t="s">
        <v>876</v>
      </c>
      <c r="AB1180" s="81"/>
      <c r="AC1180" s="81"/>
      <c r="AD1180" s="81"/>
      <c r="AE1180" s="83"/>
      <c r="AF1180" s="81"/>
      <c r="AG1180" s="81"/>
      <c r="AH1180" s="81"/>
      <c r="AI1180" s="81"/>
      <c r="AJ1180" s="83"/>
      <c r="AK1180" s="81"/>
      <c r="AL1180" s="81"/>
      <c r="AM1180" s="83"/>
      <c r="AN1180" s="80"/>
      <c r="AO1180" s="82" t="n">
        <f aca="false">IF(E1180="","",(AA1180&lt;&gt;"")+(AG1180&lt;&gt;"")+(AL1180&lt;&gt;""))</f>
        <v>1</v>
      </c>
      <c r="AP1180" s="82" t="str">
        <f aca="false">IF(AL1180&lt;&gt;"",AL1180,IF(AG1180&lt;&gt;"",AG1180,IF(AA1180&lt;&gt;"",AA1180,"")))</f>
        <v>A</v>
      </c>
      <c r="AQ1180" s="84" t="str">
        <f aca="false">IF(E1180="","",IF(U1180="","À SOUDER",IF(X1180="","VT EN ATTENTE",IF(X1180="R","VT REJETÉ – À REPRENDRE",IF(AP1180="","À RADIOGRAPHIER",IF(AP1180="A","ACCEPTÉ",IF(AP1180="NX","NX – RT À REFAIRE",IF(IF(AO1180=1,AD1180,IF(AO1180=2,AI1180,""))="A","RÉPARÉ – À RADIOGRAPHIER",IF(IF(AO1180=1,AD1180,IF(AO1180=2,AI1180,""))="R","VT REJETÉ – À REPRENDRE",IF(OR(AP1180="CO",AP1180="NT"),"COUPE – À RESOUDER","À RÉPARER"))))))))))</f>
        <v>ACCEPTÉ</v>
      </c>
      <c r="AR1180" s="82" t="str">
        <f aca="false">IF(AND(ISNUMBER(U1180),OR(AQ1180="À RADIOGRAPHIER",AQ1180="RÉPARÉ – À RADIOGRAPHIER",AQ1180="NX – RT À REFAIRE",AQ1180="À RÉPARER",AQ1180="COUPE – À RESOUDER",AQ1180="VT REJETÉ – À REPRENDRE")),MAX(0,'PROGRAMME RT'!$C$4-U1180),"")</f>
        <v/>
      </c>
      <c r="AS1180" s="82" t="n">
        <f aca="false">IF(AND(OR(AQ1180="À RADIOGRAPHIER",AQ1180="RÉPARÉ – À RADIOGRAPHIER",AQ1180="NX – RT À REFAIRE"),OR('PROGRAMME RT'!$D$5="TOUTES",B1180='PROGRAMME RT'!$D$5)),1,0)</f>
        <v>0</v>
      </c>
      <c r="AT1180" s="82" t="str">
        <f aca="false">IF(AS1180=1,SUM(AS$7:AS1180),"")</f>
        <v/>
      </c>
      <c r="AU1180" s="82" t="n">
        <f aca="false">IF(AND(OR(AA1180="R",AA1180="NX",AA1180="NT",AA1180="CO"),OR('JOINTS DE RÉPARATION'!$D$5="TOUTES",B1180='JOINTS DE RÉPARATION'!$D$5),OR('JOINTS DE RÉPARATION'!$L$4="TOUS",AQ1180&lt;&gt;"ACCEPTÉ")),1,0)</f>
        <v>0</v>
      </c>
      <c r="AV1180" s="82" t="str">
        <f aca="false">IF(AU1180=1,SUM(AU$7:AU1180),"")</f>
        <v/>
      </c>
      <c r="AW1180" s="82" t="str">
        <f aca="false">IF(E1180="","",B1180&amp;"|"&amp;E1180)</f>
        <v>MFD-ISW → MFD-CPF|JN°1024</v>
      </c>
    </row>
    <row r="1181" customFormat="false" ht="74.6" hidden="false" customHeight="false" outlineLevel="0" collapsed="false">
      <c r="A1181" s="79" t="n">
        <f aca="false">IF(E1181="","",ROW()-6)</f>
        <v>1175</v>
      </c>
      <c r="B1181" s="80" t="s">
        <v>110</v>
      </c>
      <c r="C1181" s="81" t="s">
        <v>1404</v>
      </c>
      <c r="D1181" s="81" t="n">
        <v>9</v>
      </c>
      <c r="E1181" s="81" t="s">
        <v>1409</v>
      </c>
      <c r="F1181" s="82" t="str">
        <f aca="false">IF(E1181="","",IF(LEFT(E1181,2)="DJ","DJ","JN"))</f>
        <v>DJ</v>
      </c>
      <c r="G1181" s="81"/>
      <c r="H1181" s="81" t="s">
        <v>871</v>
      </c>
      <c r="I1181" s="81" t="n">
        <v>9.53</v>
      </c>
      <c r="J1181" s="81" t="s">
        <v>872</v>
      </c>
      <c r="K1181" s="81" t="s">
        <v>873</v>
      </c>
      <c r="L1181" s="81" t="n">
        <v>2087080</v>
      </c>
      <c r="M1181" s="81" t="n">
        <v>15421105</v>
      </c>
      <c r="N1181" s="81" t="n">
        <v>11.94</v>
      </c>
      <c r="O1181" s="81" t="n">
        <v>2083420</v>
      </c>
      <c r="P1181" s="81" t="n">
        <v>15421106</v>
      </c>
      <c r="Q1181" s="81" t="n">
        <v>11.94</v>
      </c>
      <c r="R1181" s="81" t="s">
        <v>1147</v>
      </c>
      <c r="S1181" s="81"/>
      <c r="T1181" s="81"/>
      <c r="U1181" s="83" t="n">
        <v>46277</v>
      </c>
      <c r="V1181" s="83" t="n">
        <v>46277</v>
      </c>
      <c r="W1181" s="81" t="s">
        <v>1136</v>
      </c>
      <c r="X1181" s="81" t="s">
        <v>876</v>
      </c>
      <c r="Y1181" s="83" t="n">
        <v>46278</v>
      </c>
      <c r="Z1181" s="81" t="s">
        <v>1389</v>
      </c>
      <c r="AA1181" s="81" t="s">
        <v>876</v>
      </c>
      <c r="AB1181" s="81"/>
      <c r="AC1181" s="81"/>
      <c r="AD1181" s="81"/>
      <c r="AE1181" s="83"/>
      <c r="AF1181" s="81"/>
      <c r="AG1181" s="81"/>
      <c r="AH1181" s="81"/>
      <c r="AI1181" s="81"/>
      <c r="AJ1181" s="83"/>
      <c r="AK1181" s="81"/>
      <c r="AL1181" s="81"/>
      <c r="AM1181" s="83"/>
      <c r="AN1181" s="80"/>
      <c r="AO1181" s="82" t="n">
        <f aca="false">IF(E1181="","",(AA1181&lt;&gt;"")+(AG1181&lt;&gt;"")+(AL1181&lt;&gt;""))</f>
        <v>1</v>
      </c>
      <c r="AP1181" s="82" t="str">
        <f aca="false">IF(AL1181&lt;&gt;"",AL1181,IF(AG1181&lt;&gt;"",AG1181,IF(AA1181&lt;&gt;"",AA1181,"")))</f>
        <v>A</v>
      </c>
      <c r="AQ1181" s="84" t="str">
        <f aca="false">IF(E1181="","",IF(U1181="","À SOUDER",IF(X1181="","VT EN ATTENTE",IF(X1181="R","VT REJETÉ – À REPRENDRE",IF(AP1181="","À RADIOGRAPHIER",IF(AP1181="A","ACCEPTÉ",IF(AP1181="NX","NX – RT À REFAIRE",IF(IF(AO1181=1,AD1181,IF(AO1181=2,AI1181,""))="A","RÉPARÉ – À RADIOGRAPHIER",IF(IF(AO1181=1,AD1181,IF(AO1181=2,AI1181,""))="R","VT REJETÉ – À REPRENDRE",IF(OR(AP1181="CO",AP1181="NT"),"COUPE – À RESOUDER","À RÉPARER"))))))))))</f>
        <v>ACCEPTÉ</v>
      </c>
      <c r="AR1181" s="82" t="str">
        <f aca="false">IF(AND(ISNUMBER(U1181),OR(AQ1181="À RADIOGRAPHIER",AQ1181="RÉPARÉ – À RADIOGRAPHIER",AQ1181="NX – RT À REFAIRE",AQ1181="À RÉPARER",AQ1181="COUPE – À RESOUDER",AQ1181="VT REJETÉ – À REPRENDRE")),MAX(0,'PROGRAMME RT'!$C$4-U1181),"")</f>
        <v/>
      </c>
      <c r="AS1181" s="82" t="n">
        <f aca="false">IF(AND(OR(AQ1181="À RADIOGRAPHIER",AQ1181="RÉPARÉ – À RADIOGRAPHIER",AQ1181="NX – RT À REFAIRE"),OR('PROGRAMME RT'!$D$5="TOUTES",B1181='PROGRAMME RT'!$D$5)),1,0)</f>
        <v>0</v>
      </c>
      <c r="AT1181" s="82" t="str">
        <f aca="false">IF(AS1181=1,SUM(AS$7:AS1181),"")</f>
        <v/>
      </c>
      <c r="AU1181" s="82" t="n">
        <f aca="false">IF(AND(OR(AA1181="R",AA1181="NX",AA1181="NT",AA1181="CO"),OR('JOINTS DE RÉPARATION'!$D$5="TOUTES",B1181='JOINTS DE RÉPARATION'!$D$5),OR('JOINTS DE RÉPARATION'!$L$4="TOUS",AQ1181&lt;&gt;"ACCEPTÉ")),1,0)</f>
        <v>0</v>
      </c>
      <c r="AV1181" s="82" t="str">
        <f aca="false">IF(AU1181=1,SUM(AU$7:AU1181),"")</f>
        <v/>
      </c>
      <c r="AW1181" s="82" t="str">
        <f aca="false">IF(E1181="","",B1181&amp;"|"&amp;E1181)</f>
        <v>MFD-ISW → MFD-CPF|DJ°359</v>
      </c>
    </row>
    <row r="1182" customFormat="false" ht="74.6" hidden="false" customHeight="false" outlineLevel="0" collapsed="false">
      <c r="A1182" s="79" t="n">
        <f aca="false">IF(E1182="","",ROW()-6)</f>
        <v>1176</v>
      </c>
      <c r="B1182" s="80" t="s">
        <v>110</v>
      </c>
      <c r="C1182" s="81" t="s">
        <v>1404</v>
      </c>
      <c r="D1182" s="81" t="n">
        <v>9</v>
      </c>
      <c r="E1182" s="81" t="s">
        <v>1410</v>
      </c>
      <c r="F1182" s="82" t="str">
        <f aca="false">IF(E1182="","",IF(LEFT(E1182,2)="DJ","DJ","JN"))</f>
        <v>JN</v>
      </c>
      <c r="G1182" s="81"/>
      <c r="H1182" s="81" t="s">
        <v>871</v>
      </c>
      <c r="I1182" s="81" t="n">
        <v>9.53</v>
      </c>
      <c r="J1182" s="81" t="s">
        <v>872</v>
      </c>
      <c r="K1182" s="81" t="s">
        <v>879</v>
      </c>
      <c r="L1182" s="81" t="n">
        <v>2083420</v>
      </c>
      <c r="M1182" s="81" t="n">
        <v>15421106</v>
      </c>
      <c r="N1182" s="81" t="n">
        <v>11.94</v>
      </c>
      <c r="O1182" s="81" t="n">
        <v>2093610</v>
      </c>
      <c r="P1182" s="81" t="n">
        <v>15421110</v>
      </c>
      <c r="Q1182" s="81" t="n">
        <v>11.94</v>
      </c>
      <c r="R1182" s="81" t="s">
        <v>1367</v>
      </c>
      <c r="S1182" s="81"/>
      <c r="T1182" s="81"/>
      <c r="U1182" s="83" t="n">
        <v>46279</v>
      </c>
      <c r="V1182" s="83" t="n">
        <v>46279</v>
      </c>
      <c r="W1182" s="81" t="s">
        <v>1368</v>
      </c>
      <c r="X1182" s="81" t="s">
        <v>876</v>
      </c>
      <c r="Y1182" s="83" t="n">
        <v>46284</v>
      </c>
      <c r="Z1182" s="81" t="s">
        <v>1380</v>
      </c>
      <c r="AA1182" s="81" t="s">
        <v>876</v>
      </c>
      <c r="AB1182" s="81"/>
      <c r="AC1182" s="81"/>
      <c r="AD1182" s="81"/>
      <c r="AE1182" s="83"/>
      <c r="AF1182" s="81"/>
      <c r="AG1182" s="81"/>
      <c r="AH1182" s="81"/>
      <c r="AI1182" s="81"/>
      <c r="AJ1182" s="83"/>
      <c r="AK1182" s="81"/>
      <c r="AL1182" s="81"/>
      <c r="AM1182" s="83"/>
      <c r="AN1182" s="80"/>
      <c r="AO1182" s="82" t="n">
        <f aca="false">IF(E1182="","",(AA1182&lt;&gt;"")+(AG1182&lt;&gt;"")+(AL1182&lt;&gt;""))</f>
        <v>1</v>
      </c>
      <c r="AP1182" s="82" t="str">
        <f aca="false">IF(AL1182&lt;&gt;"",AL1182,IF(AG1182&lt;&gt;"",AG1182,IF(AA1182&lt;&gt;"",AA1182,"")))</f>
        <v>A</v>
      </c>
      <c r="AQ1182" s="84" t="str">
        <f aca="false">IF(E1182="","",IF(U1182="","À SOUDER",IF(X1182="","VT EN ATTENTE",IF(X1182="R","VT REJETÉ – À REPRENDRE",IF(AP1182="","À RADIOGRAPHIER",IF(AP1182="A","ACCEPTÉ",IF(AP1182="NX","NX – RT À REFAIRE",IF(IF(AO1182=1,AD1182,IF(AO1182=2,AI1182,""))="A","RÉPARÉ – À RADIOGRAPHIER",IF(IF(AO1182=1,AD1182,IF(AO1182=2,AI1182,""))="R","VT REJETÉ – À REPRENDRE",IF(OR(AP1182="CO",AP1182="NT"),"COUPE – À RESOUDER","À RÉPARER"))))))))))</f>
        <v>ACCEPTÉ</v>
      </c>
      <c r="AR1182" s="82" t="str">
        <f aca="false">IF(AND(ISNUMBER(U1182),OR(AQ1182="À RADIOGRAPHIER",AQ1182="RÉPARÉ – À RADIOGRAPHIER",AQ1182="NX – RT À REFAIRE",AQ1182="À RÉPARER",AQ1182="COUPE – À RESOUDER",AQ1182="VT REJETÉ – À REPRENDRE")),MAX(0,'PROGRAMME RT'!$C$4-U1182),"")</f>
        <v/>
      </c>
      <c r="AS1182" s="82" t="n">
        <f aca="false">IF(AND(OR(AQ1182="À RADIOGRAPHIER",AQ1182="RÉPARÉ – À RADIOGRAPHIER",AQ1182="NX – RT À REFAIRE"),OR('PROGRAMME RT'!$D$5="TOUTES",B1182='PROGRAMME RT'!$D$5)),1,0)</f>
        <v>0</v>
      </c>
      <c r="AT1182" s="82" t="str">
        <f aca="false">IF(AS1182=1,SUM(AS$7:AS1182),"")</f>
        <v/>
      </c>
      <c r="AU1182" s="82" t="n">
        <f aca="false">IF(AND(OR(AA1182="R",AA1182="NX",AA1182="NT",AA1182="CO"),OR('JOINTS DE RÉPARATION'!$D$5="TOUTES",B1182='JOINTS DE RÉPARATION'!$D$5),OR('JOINTS DE RÉPARATION'!$L$4="TOUS",AQ1182&lt;&gt;"ACCEPTÉ")),1,0)</f>
        <v>0</v>
      </c>
      <c r="AV1182" s="82" t="str">
        <f aca="false">IF(AU1182=1,SUM(AU$7:AU1182),"")</f>
        <v/>
      </c>
      <c r="AW1182" s="82" t="str">
        <f aca="false">IF(E1182="","",B1182&amp;"|"&amp;E1182)</f>
        <v>MFD-ISW → MFD-CPF|JN°1025</v>
      </c>
    </row>
    <row r="1183" customFormat="false" ht="74.6" hidden="false" customHeight="false" outlineLevel="0" collapsed="false">
      <c r="A1183" s="79" t="n">
        <f aca="false">IF(E1183="","",ROW()-6)</f>
        <v>1177</v>
      </c>
      <c r="B1183" s="80" t="s">
        <v>110</v>
      </c>
      <c r="C1183" s="81" t="s">
        <v>1404</v>
      </c>
      <c r="D1183" s="81" t="n">
        <v>9</v>
      </c>
      <c r="E1183" s="81" t="s">
        <v>1411</v>
      </c>
      <c r="F1183" s="82" t="str">
        <f aca="false">IF(E1183="","",IF(LEFT(E1183,2)="DJ","DJ","JN"))</f>
        <v>DJ</v>
      </c>
      <c r="G1183" s="81"/>
      <c r="H1183" s="81" t="s">
        <v>871</v>
      </c>
      <c r="I1183" s="81" t="n">
        <v>9.53</v>
      </c>
      <c r="J1183" s="81" t="s">
        <v>872</v>
      </c>
      <c r="K1183" s="81" t="s">
        <v>873</v>
      </c>
      <c r="L1183" s="81" t="n">
        <v>2093610</v>
      </c>
      <c r="M1183" s="81" t="n">
        <v>15421110</v>
      </c>
      <c r="N1183" s="81" t="n">
        <v>11.94</v>
      </c>
      <c r="O1183" s="81" t="n">
        <v>2086810</v>
      </c>
      <c r="P1183" s="81" t="n">
        <v>15421107</v>
      </c>
      <c r="Q1183" s="81" t="n">
        <v>11.94</v>
      </c>
      <c r="R1183" s="81" t="s">
        <v>963</v>
      </c>
      <c r="S1183" s="81"/>
      <c r="T1183" s="81"/>
      <c r="U1183" s="83" t="n">
        <v>46277</v>
      </c>
      <c r="V1183" s="83" t="n">
        <v>46277</v>
      </c>
      <c r="W1183" s="81" t="s">
        <v>1136</v>
      </c>
      <c r="X1183" s="81" t="s">
        <v>876</v>
      </c>
      <c r="Y1183" s="83" t="n">
        <v>46278</v>
      </c>
      <c r="Z1183" s="81" t="s">
        <v>1412</v>
      </c>
      <c r="AA1183" s="81" t="s">
        <v>876</v>
      </c>
      <c r="AB1183" s="81"/>
      <c r="AC1183" s="81"/>
      <c r="AD1183" s="81"/>
      <c r="AE1183" s="83"/>
      <c r="AF1183" s="81"/>
      <c r="AG1183" s="81"/>
      <c r="AH1183" s="81"/>
      <c r="AI1183" s="81"/>
      <c r="AJ1183" s="83"/>
      <c r="AK1183" s="81"/>
      <c r="AL1183" s="81"/>
      <c r="AM1183" s="83"/>
      <c r="AN1183" s="80"/>
      <c r="AO1183" s="82" t="n">
        <f aca="false">IF(E1183="","",(AA1183&lt;&gt;"")+(AG1183&lt;&gt;"")+(AL1183&lt;&gt;""))</f>
        <v>1</v>
      </c>
      <c r="AP1183" s="82" t="str">
        <f aca="false">IF(AL1183&lt;&gt;"",AL1183,IF(AG1183&lt;&gt;"",AG1183,IF(AA1183&lt;&gt;"",AA1183,"")))</f>
        <v>A</v>
      </c>
      <c r="AQ1183" s="84" t="str">
        <f aca="false">IF(E1183="","",IF(U1183="","À SOUDER",IF(X1183="","VT EN ATTENTE",IF(X1183="R","VT REJETÉ – À REPRENDRE",IF(AP1183="","À RADIOGRAPHIER",IF(AP1183="A","ACCEPTÉ",IF(AP1183="NX","NX – RT À REFAIRE",IF(IF(AO1183=1,AD1183,IF(AO1183=2,AI1183,""))="A","RÉPARÉ – À RADIOGRAPHIER",IF(IF(AO1183=1,AD1183,IF(AO1183=2,AI1183,""))="R","VT REJETÉ – À REPRENDRE",IF(OR(AP1183="CO",AP1183="NT"),"COUPE – À RESOUDER","À RÉPARER"))))))))))</f>
        <v>ACCEPTÉ</v>
      </c>
      <c r="AR1183" s="82" t="str">
        <f aca="false">IF(AND(ISNUMBER(U1183),OR(AQ1183="À RADIOGRAPHIER",AQ1183="RÉPARÉ – À RADIOGRAPHIER",AQ1183="NX – RT À REFAIRE",AQ1183="À RÉPARER",AQ1183="COUPE – À RESOUDER",AQ1183="VT REJETÉ – À REPRENDRE")),MAX(0,'PROGRAMME RT'!$C$4-U1183),"")</f>
        <v/>
      </c>
      <c r="AS1183" s="82" t="n">
        <f aca="false">IF(AND(OR(AQ1183="À RADIOGRAPHIER",AQ1183="RÉPARÉ – À RADIOGRAPHIER",AQ1183="NX – RT À REFAIRE"),OR('PROGRAMME RT'!$D$5="TOUTES",B1183='PROGRAMME RT'!$D$5)),1,0)</f>
        <v>0</v>
      </c>
      <c r="AT1183" s="82" t="str">
        <f aca="false">IF(AS1183=1,SUM(AS$7:AS1183),"")</f>
        <v/>
      </c>
      <c r="AU1183" s="82" t="n">
        <f aca="false">IF(AND(OR(AA1183="R",AA1183="NX",AA1183="NT",AA1183="CO"),OR('JOINTS DE RÉPARATION'!$D$5="TOUTES",B1183='JOINTS DE RÉPARATION'!$D$5),OR('JOINTS DE RÉPARATION'!$L$4="TOUS",AQ1183&lt;&gt;"ACCEPTÉ")),1,0)</f>
        <v>0</v>
      </c>
      <c r="AV1183" s="82" t="str">
        <f aca="false">IF(AU1183=1,SUM(AU$7:AU1183),"")</f>
        <v/>
      </c>
      <c r="AW1183" s="82" t="str">
        <f aca="false">IF(E1183="","",B1183&amp;"|"&amp;E1183)</f>
        <v>MFD-ISW → MFD-CPF|DJ°356</v>
      </c>
    </row>
    <row r="1184" customFormat="false" ht="74.6" hidden="false" customHeight="false" outlineLevel="0" collapsed="false">
      <c r="A1184" s="79" t="n">
        <f aca="false">IF(E1184="","",ROW()-6)</f>
        <v>1178</v>
      </c>
      <c r="B1184" s="80" t="s">
        <v>110</v>
      </c>
      <c r="C1184" s="81" t="s">
        <v>1404</v>
      </c>
      <c r="D1184" s="81" t="n">
        <v>9</v>
      </c>
      <c r="E1184" s="81" t="s">
        <v>1413</v>
      </c>
      <c r="F1184" s="82" t="str">
        <f aca="false">IF(E1184="","",IF(LEFT(E1184,2)="DJ","DJ","JN"))</f>
        <v>JN</v>
      </c>
      <c r="G1184" s="81"/>
      <c r="H1184" s="81" t="s">
        <v>871</v>
      </c>
      <c r="I1184" s="81" t="n">
        <v>9.53</v>
      </c>
      <c r="J1184" s="81" t="s">
        <v>872</v>
      </c>
      <c r="K1184" s="81" t="s">
        <v>879</v>
      </c>
      <c r="L1184" s="81" t="n">
        <v>2086810</v>
      </c>
      <c r="M1184" s="81" t="n">
        <v>15421107</v>
      </c>
      <c r="N1184" s="81" t="n">
        <v>11.94</v>
      </c>
      <c r="O1184" s="81" t="n">
        <v>2083550</v>
      </c>
      <c r="P1184" s="81" t="n">
        <v>15421105</v>
      </c>
      <c r="Q1184" s="81" t="n">
        <v>11.94</v>
      </c>
      <c r="R1184" s="81" t="s">
        <v>1367</v>
      </c>
      <c r="S1184" s="81"/>
      <c r="T1184" s="81"/>
      <c r="U1184" s="83" t="n">
        <v>46279</v>
      </c>
      <c r="V1184" s="83" t="n">
        <v>46279</v>
      </c>
      <c r="W1184" s="81" t="s">
        <v>1368</v>
      </c>
      <c r="X1184" s="81" t="s">
        <v>876</v>
      </c>
      <c r="Y1184" s="83" t="n">
        <v>46284</v>
      </c>
      <c r="Z1184" s="81" t="s">
        <v>1380</v>
      </c>
      <c r="AA1184" s="81" t="s">
        <v>876</v>
      </c>
      <c r="AB1184" s="81"/>
      <c r="AC1184" s="81"/>
      <c r="AD1184" s="81"/>
      <c r="AE1184" s="83"/>
      <c r="AF1184" s="81"/>
      <c r="AG1184" s="81"/>
      <c r="AH1184" s="81"/>
      <c r="AI1184" s="81"/>
      <c r="AJ1184" s="83"/>
      <c r="AK1184" s="81"/>
      <c r="AL1184" s="81"/>
      <c r="AM1184" s="83"/>
      <c r="AN1184" s="80"/>
      <c r="AO1184" s="82" t="n">
        <f aca="false">IF(E1184="","",(AA1184&lt;&gt;"")+(AG1184&lt;&gt;"")+(AL1184&lt;&gt;""))</f>
        <v>1</v>
      </c>
      <c r="AP1184" s="82" t="str">
        <f aca="false">IF(AL1184&lt;&gt;"",AL1184,IF(AG1184&lt;&gt;"",AG1184,IF(AA1184&lt;&gt;"",AA1184,"")))</f>
        <v>A</v>
      </c>
      <c r="AQ1184" s="84" t="str">
        <f aca="false">IF(E1184="","",IF(U1184="","À SOUDER",IF(X1184="","VT EN ATTENTE",IF(X1184="R","VT REJETÉ – À REPRENDRE",IF(AP1184="","À RADIOGRAPHIER",IF(AP1184="A","ACCEPTÉ",IF(AP1184="NX","NX – RT À REFAIRE",IF(IF(AO1184=1,AD1184,IF(AO1184=2,AI1184,""))="A","RÉPARÉ – À RADIOGRAPHIER",IF(IF(AO1184=1,AD1184,IF(AO1184=2,AI1184,""))="R","VT REJETÉ – À REPRENDRE",IF(OR(AP1184="CO",AP1184="NT"),"COUPE – À RESOUDER","À RÉPARER"))))))))))</f>
        <v>ACCEPTÉ</v>
      </c>
      <c r="AR1184" s="82" t="str">
        <f aca="false">IF(AND(ISNUMBER(U1184),OR(AQ1184="À RADIOGRAPHIER",AQ1184="RÉPARÉ – À RADIOGRAPHIER",AQ1184="NX – RT À REFAIRE",AQ1184="À RÉPARER",AQ1184="COUPE – À RESOUDER",AQ1184="VT REJETÉ – À REPRENDRE")),MAX(0,'PROGRAMME RT'!$C$4-U1184),"")</f>
        <v/>
      </c>
      <c r="AS1184" s="82" t="n">
        <f aca="false">IF(AND(OR(AQ1184="À RADIOGRAPHIER",AQ1184="RÉPARÉ – À RADIOGRAPHIER",AQ1184="NX – RT À REFAIRE"),OR('PROGRAMME RT'!$D$5="TOUTES",B1184='PROGRAMME RT'!$D$5)),1,0)</f>
        <v>0</v>
      </c>
      <c r="AT1184" s="82" t="str">
        <f aca="false">IF(AS1184=1,SUM(AS$7:AS1184),"")</f>
        <v/>
      </c>
      <c r="AU1184" s="82" t="n">
        <f aca="false">IF(AND(OR(AA1184="R",AA1184="NX",AA1184="NT",AA1184="CO"),OR('JOINTS DE RÉPARATION'!$D$5="TOUTES",B1184='JOINTS DE RÉPARATION'!$D$5),OR('JOINTS DE RÉPARATION'!$L$4="TOUS",AQ1184&lt;&gt;"ACCEPTÉ")),1,0)</f>
        <v>0</v>
      </c>
      <c r="AV1184" s="82" t="str">
        <f aca="false">IF(AU1184=1,SUM(AU$7:AU1184),"")</f>
        <v/>
      </c>
      <c r="AW1184" s="82" t="str">
        <f aca="false">IF(E1184="","",B1184&amp;"|"&amp;E1184)</f>
        <v>MFD-ISW → MFD-CPF|JN°1026</v>
      </c>
    </row>
    <row r="1185" customFormat="false" ht="74.6" hidden="false" customHeight="false" outlineLevel="0" collapsed="false">
      <c r="A1185" s="79" t="n">
        <f aca="false">IF(E1185="","",ROW()-6)</f>
        <v>1179</v>
      </c>
      <c r="B1185" s="80" t="s">
        <v>110</v>
      </c>
      <c r="C1185" s="81" t="s">
        <v>1404</v>
      </c>
      <c r="D1185" s="81" t="n">
        <v>9</v>
      </c>
      <c r="E1185" s="81" t="s">
        <v>1414</v>
      </c>
      <c r="F1185" s="82" t="str">
        <f aca="false">IF(E1185="","",IF(LEFT(E1185,2)="DJ","DJ","JN"))</f>
        <v>DJ</v>
      </c>
      <c r="G1185" s="81"/>
      <c r="H1185" s="81" t="s">
        <v>871</v>
      </c>
      <c r="I1185" s="81" t="n">
        <v>9.53</v>
      </c>
      <c r="J1185" s="81" t="s">
        <v>872</v>
      </c>
      <c r="K1185" s="81" t="s">
        <v>873</v>
      </c>
      <c r="L1185" s="81" t="n">
        <v>2083550</v>
      </c>
      <c r="M1185" s="81" t="n">
        <v>15421105</v>
      </c>
      <c r="N1185" s="81" t="n">
        <v>11.94</v>
      </c>
      <c r="O1185" s="81" t="n">
        <v>2081590</v>
      </c>
      <c r="P1185" s="81" t="n">
        <v>15421103</v>
      </c>
      <c r="Q1185" s="81" t="n">
        <v>11.94</v>
      </c>
      <c r="R1185" s="81" t="s">
        <v>899</v>
      </c>
      <c r="S1185" s="81"/>
      <c r="T1185" s="81"/>
      <c r="U1185" s="83" t="n">
        <v>46277</v>
      </c>
      <c r="V1185" s="83" t="n">
        <v>46277</v>
      </c>
      <c r="W1185" s="81" t="s">
        <v>1136</v>
      </c>
      <c r="X1185" s="81" t="s">
        <v>876</v>
      </c>
      <c r="Y1185" s="83" t="n">
        <v>46278</v>
      </c>
      <c r="Z1185" s="81" t="s">
        <v>1389</v>
      </c>
      <c r="AA1185" s="81" t="s">
        <v>876</v>
      </c>
      <c r="AB1185" s="81"/>
      <c r="AC1185" s="81"/>
      <c r="AD1185" s="81"/>
      <c r="AE1185" s="83"/>
      <c r="AF1185" s="81"/>
      <c r="AG1185" s="81"/>
      <c r="AH1185" s="81"/>
      <c r="AI1185" s="81"/>
      <c r="AJ1185" s="83"/>
      <c r="AK1185" s="81"/>
      <c r="AL1185" s="81"/>
      <c r="AM1185" s="83"/>
      <c r="AN1185" s="80"/>
      <c r="AO1185" s="82" t="n">
        <f aca="false">IF(E1185="","",(AA1185&lt;&gt;"")+(AG1185&lt;&gt;"")+(AL1185&lt;&gt;""))</f>
        <v>1</v>
      </c>
      <c r="AP1185" s="82" t="str">
        <f aca="false">IF(AL1185&lt;&gt;"",AL1185,IF(AG1185&lt;&gt;"",AG1185,IF(AA1185&lt;&gt;"",AA1185,"")))</f>
        <v>A</v>
      </c>
      <c r="AQ1185" s="84" t="str">
        <f aca="false">IF(E1185="","",IF(U1185="","À SOUDER",IF(X1185="","VT EN ATTENTE",IF(X1185="R","VT REJETÉ – À REPRENDRE",IF(AP1185="","À RADIOGRAPHIER",IF(AP1185="A","ACCEPTÉ",IF(AP1185="NX","NX – RT À REFAIRE",IF(IF(AO1185=1,AD1185,IF(AO1185=2,AI1185,""))="A","RÉPARÉ – À RADIOGRAPHIER",IF(IF(AO1185=1,AD1185,IF(AO1185=2,AI1185,""))="R","VT REJETÉ – À REPRENDRE",IF(OR(AP1185="CO",AP1185="NT"),"COUPE – À RESOUDER","À RÉPARER"))))))))))</f>
        <v>ACCEPTÉ</v>
      </c>
      <c r="AR1185" s="82" t="str">
        <f aca="false">IF(AND(ISNUMBER(U1185),OR(AQ1185="À RADIOGRAPHIER",AQ1185="RÉPARÉ – À RADIOGRAPHIER",AQ1185="NX – RT À REFAIRE",AQ1185="À RÉPARER",AQ1185="COUPE – À RESOUDER",AQ1185="VT REJETÉ – À REPRENDRE")),MAX(0,'PROGRAMME RT'!$C$4-U1185),"")</f>
        <v/>
      </c>
      <c r="AS1185" s="82" t="n">
        <f aca="false">IF(AND(OR(AQ1185="À RADIOGRAPHIER",AQ1185="RÉPARÉ – À RADIOGRAPHIER",AQ1185="NX – RT À REFAIRE"),OR('PROGRAMME RT'!$D$5="TOUTES",B1185='PROGRAMME RT'!$D$5)),1,0)</f>
        <v>0</v>
      </c>
      <c r="AT1185" s="82" t="str">
        <f aca="false">IF(AS1185=1,SUM(AS$7:AS1185),"")</f>
        <v/>
      </c>
      <c r="AU1185" s="82" t="n">
        <f aca="false">IF(AND(OR(AA1185="R",AA1185="NX",AA1185="NT",AA1185="CO"),OR('JOINTS DE RÉPARATION'!$D$5="TOUTES",B1185='JOINTS DE RÉPARATION'!$D$5),OR('JOINTS DE RÉPARATION'!$L$4="TOUS",AQ1185&lt;&gt;"ACCEPTÉ")),1,0)</f>
        <v>0</v>
      </c>
      <c r="AV1185" s="82" t="str">
        <f aca="false">IF(AU1185=1,SUM(AU$7:AU1185),"")</f>
        <v/>
      </c>
      <c r="AW1185" s="82" t="str">
        <f aca="false">IF(E1185="","",B1185&amp;"|"&amp;E1185)</f>
        <v>MFD-ISW → MFD-CPF|DJ°362</v>
      </c>
    </row>
    <row r="1186" customFormat="false" ht="74.6" hidden="false" customHeight="false" outlineLevel="0" collapsed="false">
      <c r="A1186" s="79" t="n">
        <f aca="false">IF(E1186="","",ROW()-6)</f>
        <v>1180</v>
      </c>
      <c r="B1186" s="80" t="s">
        <v>110</v>
      </c>
      <c r="C1186" s="81" t="s">
        <v>926</v>
      </c>
      <c r="D1186" s="81" t="n">
        <v>9</v>
      </c>
      <c r="E1186" s="81" t="s">
        <v>1415</v>
      </c>
      <c r="F1186" s="82" t="str">
        <f aca="false">IF(E1186="","",IF(LEFT(E1186,2)="DJ","DJ","JN"))</f>
        <v>JN</v>
      </c>
      <c r="G1186" s="81"/>
      <c r="H1186" s="81"/>
      <c r="I1186" s="81"/>
      <c r="J1186" s="81"/>
      <c r="K1186" s="81"/>
      <c r="L1186" s="81" t="n">
        <v>2081590</v>
      </c>
      <c r="M1186" s="81" t="n">
        <v>15421103</v>
      </c>
      <c r="N1186" s="81" t="n">
        <v>11.94</v>
      </c>
      <c r="O1186" s="81" t="s">
        <v>1268</v>
      </c>
      <c r="P1186" s="81"/>
      <c r="Q1186" s="81"/>
      <c r="R1186" s="81"/>
      <c r="S1186" s="81"/>
      <c r="T1186" s="81"/>
      <c r="U1186" s="83"/>
      <c r="V1186" s="83"/>
      <c r="W1186" s="81"/>
      <c r="X1186" s="81"/>
      <c r="Y1186" s="83"/>
      <c r="Z1186" s="81"/>
      <c r="AA1186" s="81"/>
      <c r="AB1186" s="81"/>
      <c r="AC1186" s="81"/>
      <c r="AD1186" s="81"/>
      <c r="AE1186" s="83"/>
      <c r="AF1186" s="81"/>
      <c r="AG1186" s="81"/>
      <c r="AH1186" s="81"/>
      <c r="AI1186" s="81"/>
      <c r="AJ1186" s="83"/>
      <c r="AK1186" s="81"/>
      <c r="AL1186" s="81"/>
      <c r="AM1186" s="83"/>
      <c r="AN1186" s="80"/>
      <c r="AO1186" s="82" t="n">
        <f aca="false">IF(E1186="","",(AA1186&lt;&gt;"")+(AG1186&lt;&gt;"")+(AL1186&lt;&gt;""))</f>
        <v>0</v>
      </c>
      <c r="AP1186" s="82" t="str">
        <f aca="false">IF(AL1186&lt;&gt;"",AL1186,IF(AG1186&lt;&gt;"",AG1186,IF(AA1186&lt;&gt;"",AA1186,"")))</f>
        <v/>
      </c>
      <c r="AQ1186" s="84" t="str">
        <f aca="false">IF(E1186="","",IF(U1186="","À SOUDER",IF(X1186="","VT EN ATTENTE",IF(X1186="R","VT REJETÉ – À REPRENDRE",IF(AP1186="","À RADIOGRAPHIER",IF(AP1186="A","ACCEPTÉ",IF(AP1186="NX","NX – RT À REFAIRE",IF(IF(AO1186=1,AD1186,IF(AO1186=2,AI1186,""))="A","RÉPARÉ – À RADIOGRAPHIER",IF(IF(AO1186=1,AD1186,IF(AO1186=2,AI1186,""))="R","VT REJETÉ – À REPRENDRE",IF(OR(AP1186="CO",AP1186="NT"),"COUPE – À RESOUDER","À RÉPARER"))))))))))</f>
        <v>À SOUDER</v>
      </c>
      <c r="AR1186" s="82" t="str">
        <f aca="false">IF(AND(ISNUMBER(U1186),OR(AQ1186="À RADIOGRAPHIER",AQ1186="RÉPARÉ – À RADIOGRAPHIER",AQ1186="NX – RT À REFAIRE",AQ1186="À RÉPARER",AQ1186="COUPE – À RESOUDER",AQ1186="VT REJETÉ – À REPRENDRE")),MAX(0,'PROGRAMME RT'!$C$4-U1186),"")</f>
        <v/>
      </c>
      <c r="AS1186" s="82" t="n">
        <f aca="false">IF(AND(OR(AQ1186="À RADIOGRAPHIER",AQ1186="RÉPARÉ – À RADIOGRAPHIER",AQ1186="NX – RT À REFAIRE"),OR('PROGRAMME RT'!$D$5="TOUTES",B1186='PROGRAMME RT'!$D$5)),1,0)</f>
        <v>0</v>
      </c>
      <c r="AT1186" s="82" t="str">
        <f aca="false">IF(AS1186=1,SUM(AS$7:AS1186),"")</f>
        <v/>
      </c>
      <c r="AU1186" s="82" t="n">
        <f aca="false">IF(AND(OR(AA1186="R",AA1186="NX",AA1186="NT",AA1186="CO"),OR('JOINTS DE RÉPARATION'!$D$5="TOUTES",B1186='JOINTS DE RÉPARATION'!$D$5),OR('JOINTS DE RÉPARATION'!$L$4="TOUS",AQ1186&lt;&gt;"ACCEPTÉ")),1,0)</f>
        <v>0</v>
      </c>
      <c r="AV1186" s="82" t="str">
        <f aca="false">IF(AU1186=1,SUM(AU$7:AU1186),"")</f>
        <v/>
      </c>
      <c r="AW1186" s="82" t="str">
        <f aca="false">IF(E1186="","",B1186&amp;"|"&amp;E1186)</f>
        <v>MFD-ISW → MFD-CPF|JN°1027</v>
      </c>
    </row>
    <row r="1187" customFormat="false" ht="74.6" hidden="false" customHeight="false" outlineLevel="0" collapsed="false">
      <c r="A1187" s="79" t="n">
        <f aca="false">IF(E1187="","",ROW()-6)</f>
        <v>1181</v>
      </c>
      <c r="B1187" s="80" t="s">
        <v>110</v>
      </c>
      <c r="C1187" s="81" t="s">
        <v>926</v>
      </c>
      <c r="D1187" s="81" t="n">
        <v>9</v>
      </c>
      <c r="E1187" s="81" t="s">
        <v>1416</v>
      </c>
      <c r="F1187" s="82" t="str">
        <f aca="false">IF(E1187="","",IF(LEFT(E1187,2)="DJ","DJ","JN"))</f>
        <v>JN</v>
      </c>
      <c r="G1187" s="81"/>
      <c r="H1187" s="81"/>
      <c r="I1187" s="81"/>
      <c r="J1187" s="81"/>
      <c r="K1187" s="81"/>
      <c r="L1187" s="81" t="s">
        <v>1268</v>
      </c>
      <c r="M1187" s="81"/>
      <c r="N1187" s="81"/>
      <c r="O1187" s="81" t="s">
        <v>1268</v>
      </c>
      <c r="P1187" s="81"/>
      <c r="Q1187" s="81"/>
      <c r="R1187" s="81"/>
      <c r="S1187" s="81"/>
      <c r="T1187" s="81"/>
      <c r="U1187" s="83"/>
      <c r="V1187" s="83"/>
      <c r="W1187" s="81"/>
      <c r="X1187" s="81"/>
      <c r="Y1187" s="83"/>
      <c r="Z1187" s="81"/>
      <c r="AA1187" s="81"/>
      <c r="AB1187" s="81"/>
      <c r="AC1187" s="81"/>
      <c r="AD1187" s="81"/>
      <c r="AE1187" s="83"/>
      <c r="AF1187" s="81"/>
      <c r="AG1187" s="81"/>
      <c r="AH1187" s="81"/>
      <c r="AI1187" s="81"/>
      <c r="AJ1187" s="83"/>
      <c r="AK1187" s="81"/>
      <c r="AL1187" s="81"/>
      <c r="AM1187" s="83"/>
      <c r="AN1187" s="80"/>
      <c r="AO1187" s="82" t="n">
        <f aca="false">IF(E1187="","",(AA1187&lt;&gt;"")+(AG1187&lt;&gt;"")+(AL1187&lt;&gt;""))</f>
        <v>0</v>
      </c>
      <c r="AP1187" s="82" t="str">
        <f aca="false">IF(AL1187&lt;&gt;"",AL1187,IF(AG1187&lt;&gt;"",AG1187,IF(AA1187&lt;&gt;"",AA1187,"")))</f>
        <v/>
      </c>
      <c r="AQ1187" s="84" t="str">
        <f aca="false">IF(E1187="","",IF(U1187="","À SOUDER",IF(X1187="","VT EN ATTENTE",IF(X1187="R","VT REJETÉ – À REPRENDRE",IF(AP1187="","À RADIOGRAPHIER",IF(AP1187="A","ACCEPTÉ",IF(AP1187="NX","NX – RT À REFAIRE",IF(IF(AO1187=1,AD1187,IF(AO1187=2,AI1187,""))="A","RÉPARÉ – À RADIOGRAPHIER",IF(IF(AO1187=1,AD1187,IF(AO1187=2,AI1187,""))="R","VT REJETÉ – À REPRENDRE",IF(OR(AP1187="CO",AP1187="NT"),"COUPE – À RESOUDER","À RÉPARER"))))))))))</f>
        <v>À SOUDER</v>
      </c>
      <c r="AR1187" s="82" t="str">
        <f aca="false">IF(AND(ISNUMBER(U1187),OR(AQ1187="À RADIOGRAPHIER",AQ1187="RÉPARÉ – À RADIOGRAPHIER",AQ1187="NX – RT À REFAIRE",AQ1187="À RÉPARER",AQ1187="COUPE – À RESOUDER",AQ1187="VT REJETÉ – À REPRENDRE")),MAX(0,'PROGRAMME RT'!$C$4-U1187),"")</f>
        <v/>
      </c>
      <c r="AS1187" s="82" t="n">
        <f aca="false">IF(AND(OR(AQ1187="À RADIOGRAPHIER",AQ1187="RÉPARÉ – À RADIOGRAPHIER",AQ1187="NX – RT À REFAIRE"),OR('PROGRAMME RT'!$D$5="TOUTES",B1187='PROGRAMME RT'!$D$5)),1,0)</f>
        <v>0</v>
      </c>
      <c r="AT1187" s="82" t="str">
        <f aca="false">IF(AS1187=1,SUM(AS$7:AS1187),"")</f>
        <v/>
      </c>
      <c r="AU1187" s="82" t="n">
        <f aca="false">IF(AND(OR(AA1187="R",AA1187="NX",AA1187="NT",AA1187="CO"),OR('JOINTS DE RÉPARATION'!$D$5="TOUTES",B1187='JOINTS DE RÉPARATION'!$D$5),OR('JOINTS DE RÉPARATION'!$L$4="TOUS",AQ1187&lt;&gt;"ACCEPTÉ")),1,0)</f>
        <v>0</v>
      </c>
      <c r="AV1187" s="82" t="str">
        <f aca="false">IF(AU1187=1,SUM(AU$7:AU1187),"")</f>
        <v/>
      </c>
      <c r="AW1187" s="82" t="str">
        <f aca="false">IF(E1187="","",B1187&amp;"|"&amp;E1187)</f>
        <v>MFD-ISW → MFD-CPF|JN°1028</v>
      </c>
    </row>
    <row r="1188" customFormat="false" ht="74.6" hidden="false" customHeight="false" outlineLevel="0" collapsed="false">
      <c r="A1188" s="79" t="n">
        <f aca="false">IF(E1188="","",ROW()-6)</f>
        <v>1182</v>
      </c>
      <c r="B1188" s="80" t="s">
        <v>110</v>
      </c>
      <c r="C1188" s="81" t="s">
        <v>926</v>
      </c>
      <c r="D1188" s="81" t="n">
        <v>9</v>
      </c>
      <c r="E1188" s="81" t="s">
        <v>1417</v>
      </c>
      <c r="F1188" s="82" t="str">
        <f aca="false">IF(E1188="","",IF(LEFT(E1188,2)="DJ","DJ","JN"))</f>
        <v>JN</v>
      </c>
      <c r="G1188" s="81"/>
      <c r="H1188" s="81"/>
      <c r="I1188" s="81"/>
      <c r="J1188" s="81"/>
      <c r="K1188" s="81"/>
      <c r="L1188" s="81" t="s">
        <v>1268</v>
      </c>
      <c r="M1188" s="81"/>
      <c r="N1188" s="81"/>
      <c r="O1188" s="81" t="n">
        <v>2082080</v>
      </c>
      <c r="P1188" s="81" t="n">
        <v>15421104</v>
      </c>
      <c r="Q1188" s="81" t="n">
        <v>11.94</v>
      </c>
      <c r="R1188" s="81"/>
      <c r="S1188" s="81"/>
      <c r="T1188" s="81"/>
      <c r="U1188" s="83"/>
      <c r="V1188" s="83"/>
      <c r="W1188" s="81"/>
      <c r="X1188" s="81"/>
      <c r="Y1188" s="83"/>
      <c r="Z1188" s="81"/>
      <c r="AA1188" s="81"/>
      <c r="AB1188" s="81"/>
      <c r="AC1188" s="81"/>
      <c r="AD1188" s="81"/>
      <c r="AE1188" s="83"/>
      <c r="AF1188" s="81"/>
      <c r="AG1188" s="81"/>
      <c r="AH1188" s="81"/>
      <c r="AI1188" s="81"/>
      <c r="AJ1188" s="83"/>
      <c r="AK1188" s="81"/>
      <c r="AL1188" s="81"/>
      <c r="AM1188" s="83"/>
      <c r="AN1188" s="80"/>
      <c r="AO1188" s="82" t="n">
        <f aca="false">IF(E1188="","",(AA1188&lt;&gt;"")+(AG1188&lt;&gt;"")+(AL1188&lt;&gt;""))</f>
        <v>0</v>
      </c>
      <c r="AP1188" s="82" t="str">
        <f aca="false">IF(AL1188&lt;&gt;"",AL1188,IF(AG1188&lt;&gt;"",AG1188,IF(AA1188&lt;&gt;"",AA1188,"")))</f>
        <v/>
      </c>
      <c r="AQ1188" s="84" t="str">
        <f aca="false">IF(E1188="","",IF(U1188="","À SOUDER",IF(X1188="","VT EN ATTENTE",IF(X1188="R","VT REJETÉ – À REPRENDRE",IF(AP1188="","À RADIOGRAPHIER",IF(AP1188="A","ACCEPTÉ",IF(AP1188="NX","NX – RT À REFAIRE",IF(IF(AO1188=1,AD1188,IF(AO1188=2,AI1188,""))="A","RÉPARÉ – À RADIOGRAPHIER",IF(IF(AO1188=1,AD1188,IF(AO1188=2,AI1188,""))="R","VT REJETÉ – À REPRENDRE",IF(OR(AP1188="CO",AP1188="NT"),"COUPE – À RESOUDER","À RÉPARER"))))))))))</f>
        <v>À SOUDER</v>
      </c>
      <c r="AR1188" s="82" t="str">
        <f aca="false">IF(AND(ISNUMBER(U1188),OR(AQ1188="À RADIOGRAPHIER",AQ1188="RÉPARÉ – À RADIOGRAPHIER",AQ1188="NX – RT À REFAIRE",AQ1188="À RÉPARER",AQ1188="COUPE – À RESOUDER",AQ1188="VT REJETÉ – À REPRENDRE")),MAX(0,'PROGRAMME RT'!$C$4-U1188),"")</f>
        <v/>
      </c>
      <c r="AS1188" s="82" t="n">
        <f aca="false">IF(AND(OR(AQ1188="À RADIOGRAPHIER",AQ1188="RÉPARÉ – À RADIOGRAPHIER",AQ1188="NX – RT À REFAIRE"),OR('PROGRAMME RT'!$D$5="TOUTES",B1188='PROGRAMME RT'!$D$5)),1,0)</f>
        <v>0</v>
      </c>
      <c r="AT1188" s="82" t="str">
        <f aca="false">IF(AS1188=1,SUM(AS$7:AS1188),"")</f>
        <v/>
      </c>
      <c r="AU1188" s="82" t="n">
        <f aca="false">IF(AND(OR(AA1188="R",AA1188="NX",AA1188="NT",AA1188="CO"),OR('JOINTS DE RÉPARATION'!$D$5="TOUTES",B1188='JOINTS DE RÉPARATION'!$D$5),OR('JOINTS DE RÉPARATION'!$L$4="TOUS",AQ1188&lt;&gt;"ACCEPTÉ")),1,0)</f>
        <v>0</v>
      </c>
      <c r="AV1188" s="82" t="str">
        <f aca="false">IF(AU1188=1,SUM(AU$7:AU1188),"")</f>
        <v/>
      </c>
      <c r="AW1188" s="82" t="str">
        <f aca="false">IF(E1188="","",B1188&amp;"|"&amp;E1188)</f>
        <v>MFD-ISW → MFD-CPF|JN°1029</v>
      </c>
    </row>
    <row r="1189" customFormat="false" ht="74.6" hidden="false" customHeight="false" outlineLevel="0" collapsed="false">
      <c r="A1189" s="79" t="n">
        <f aca="false">IF(E1189="","",ROW()-6)</f>
        <v>1183</v>
      </c>
      <c r="B1189" s="80" t="s">
        <v>110</v>
      </c>
      <c r="C1189" s="81" t="s">
        <v>1418</v>
      </c>
      <c r="D1189" s="81" t="n">
        <v>9</v>
      </c>
      <c r="E1189" s="81" t="s">
        <v>1419</v>
      </c>
      <c r="F1189" s="82" t="str">
        <f aca="false">IF(E1189="","",IF(LEFT(E1189,2)="DJ","DJ","JN"))</f>
        <v>DJ</v>
      </c>
      <c r="G1189" s="81"/>
      <c r="H1189" s="81" t="s">
        <v>871</v>
      </c>
      <c r="I1189" s="81" t="n">
        <v>9.53</v>
      </c>
      <c r="J1189" s="81" t="s">
        <v>872</v>
      </c>
      <c r="K1189" s="81" t="s">
        <v>873</v>
      </c>
      <c r="L1189" s="81" t="n">
        <v>2082080</v>
      </c>
      <c r="M1189" s="81" t="n">
        <v>15421104</v>
      </c>
      <c r="N1189" s="81" t="n">
        <v>11.94</v>
      </c>
      <c r="O1189" s="81" t="n">
        <v>2081980</v>
      </c>
      <c r="P1189" s="81" t="n">
        <v>15421104</v>
      </c>
      <c r="Q1189" s="81" t="n">
        <v>11.94</v>
      </c>
      <c r="R1189" s="81" t="s">
        <v>899</v>
      </c>
      <c r="S1189" s="81"/>
      <c r="T1189" s="81"/>
      <c r="U1189" s="83" t="n">
        <v>46277</v>
      </c>
      <c r="V1189" s="83" t="n">
        <v>46277</v>
      </c>
      <c r="W1189" s="81" t="s">
        <v>1136</v>
      </c>
      <c r="X1189" s="81" t="s">
        <v>876</v>
      </c>
      <c r="Y1189" s="83" t="n">
        <v>46278</v>
      </c>
      <c r="Z1189" s="81" t="s">
        <v>1389</v>
      </c>
      <c r="AA1189" s="81" t="s">
        <v>876</v>
      </c>
      <c r="AB1189" s="81"/>
      <c r="AC1189" s="81"/>
      <c r="AD1189" s="81"/>
      <c r="AE1189" s="83"/>
      <c r="AF1189" s="81"/>
      <c r="AG1189" s="81"/>
      <c r="AH1189" s="81"/>
      <c r="AI1189" s="81"/>
      <c r="AJ1189" s="83"/>
      <c r="AK1189" s="81"/>
      <c r="AL1189" s="81"/>
      <c r="AM1189" s="83"/>
      <c r="AN1189" s="80"/>
      <c r="AO1189" s="82" t="n">
        <f aca="false">IF(E1189="","",(AA1189&lt;&gt;"")+(AG1189&lt;&gt;"")+(AL1189&lt;&gt;""))</f>
        <v>1</v>
      </c>
      <c r="AP1189" s="82" t="str">
        <f aca="false">IF(AL1189&lt;&gt;"",AL1189,IF(AG1189&lt;&gt;"",AG1189,IF(AA1189&lt;&gt;"",AA1189,"")))</f>
        <v>A</v>
      </c>
      <c r="AQ1189" s="84" t="str">
        <f aca="false">IF(E1189="","",IF(U1189="","À SOUDER",IF(X1189="","VT EN ATTENTE",IF(X1189="R","VT REJETÉ – À REPRENDRE",IF(AP1189="","À RADIOGRAPHIER",IF(AP1189="A","ACCEPTÉ",IF(AP1189="NX","NX – RT À REFAIRE",IF(IF(AO1189=1,AD1189,IF(AO1189=2,AI1189,""))="A","RÉPARÉ – À RADIOGRAPHIER",IF(IF(AO1189=1,AD1189,IF(AO1189=2,AI1189,""))="R","VT REJETÉ – À REPRENDRE",IF(OR(AP1189="CO",AP1189="NT"),"COUPE – À RESOUDER","À RÉPARER"))))))))))</f>
        <v>ACCEPTÉ</v>
      </c>
      <c r="AR1189" s="82" t="str">
        <f aca="false">IF(AND(ISNUMBER(U1189),OR(AQ1189="À RADIOGRAPHIER",AQ1189="RÉPARÉ – À RADIOGRAPHIER",AQ1189="NX – RT À REFAIRE",AQ1189="À RÉPARER",AQ1189="COUPE – À RESOUDER",AQ1189="VT REJETÉ – À REPRENDRE")),MAX(0,'PROGRAMME RT'!$C$4-U1189),"")</f>
        <v/>
      </c>
      <c r="AS1189" s="82" t="n">
        <f aca="false">IF(AND(OR(AQ1189="À RADIOGRAPHIER",AQ1189="RÉPARÉ – À RADIOGRAPHIER",AQ1189="NX – RT À REFAIRE"),OR('PROGRAMME RT'!$D$5="TOUTES",B1189='PROGRAMME RT'!$D$5)),1,0)</f>
        <v>0</v>
      </c>
      <c r="AT1189" s="82" t="str">
        <f aca="false">IF(AS1189=1,SUM(AS$7:AS1189),"")</f>
        <v/>
      </c>
      <c r="AU1189" s="82" t="n">
        <f aca="false">IF(AND(OR(AA1189="R",AA1189="NX",AA1189="NT",AA1189="CO"),OR('JOINTS DE RÉPARATION'!$D$5="TOUTES",B1189='JOINTS DE RÉPARATION'!$D$5),OR('JOINTS DE RÉPARATION'!$L$4="TOUS",AQ1189&lt;&gt;"ACCEPTÉ")),1,0)</f>
        <v>0</v>
      </c>
      <c r="AV1189" s="82" t="str">
        <f aca="false">IF(AU1189=1,SUM(AU$7:AU1189),"")</f>
        <v/>
      </c>
      <c r="AW1189" s="82" t="str">
        <f aca="false">IF(E1189="","",B1189&amp;"|"&amp;E1189)</f>
        <v>MFD-ISW → MFD-CPF|DJ°361</v>
      </c>
    </row>
    <row r="1190" customFormat="false" ht="74.6" hidden="false" customHeight="false" outlineLevel="0" collapsed="false">
      <c r="A1190" s="79" t="n">
        <f aca="false">IF(E1190="","",ROW()-6)</f>
        <v>1184</v>
      </c>
      <c r="B1190" s="80" t="s">
        <v>110</v>
      </c>
      <c r="C1190" s="81" t="s">
        <v>1418</v>
      </c>
      <c r="D1190" s="81" t="n">
        <v>9</v>
      </c>
      <c r="E1190" s="81" t="s">
        <v>1420</v>
      </c>
      <c r="F1190" s="82" t="str">
        <f aca="false">IF(E1190="","",IF(LEFT(E1190,2)="DJ","DJ","JN"))</f>
        <v>JN</v>
      </c>
      <c r="G1190" s="81"/>
      <c r="H1190" s="81" t="s">
        <v>871</v>
      </c>
      <c r="I1190" s="81" t="n">
        <v>9.53</v>
      </c>
      <c r="J1190" s="81" t="s">
        <v>872</v>
      </c>
      <c r="K1190" s="81" t="s">
        <v>879</v>
      </c>
      <c r="L1190" s="81" t="n">
        <v>2081980</v>
      </c>
      <c r="M1190" s="81" t="n">
        <v>15421104</v>
      </c>
      <c r="N1190" s="81" t="n">
        <v>11.94</v>
      </c>
      <c r="O1190" s="81" t="n">
        <v>2087130</v>
      </c>
      <c r="P1190" s="81" t="n">
        <v>15421107</v>
      </c>
      <c r="Q1190" s="81" t="n">
        <v>11.94</v>
      </c>
      <c r="R1190" s="81" t="s">
        <v>1367</v>
      </c>
      <c r="S1190" s="81"/>
      <c r="T1190" s="81"/>
      <c r="U1190" s="83" t="n">
        <v>46279</v>
      </c>
      <c r="V1190" s="83" t="n">
        <v>46279</v>
      </c>
      <c r="W1190" s="81" t="s">
        <v>1368</v>
      </c>
      <c r="X1190" s="81" t="s">
        <v>876</v>
      </c>
      <c r="Y1190" s="83" t="n">
        <v>46284</v>
      </c>
      <c r="Z1190" s="81" t="s">
        <v>1380</v>
      </c>
      <c r="AA1190" s="81" t="s">
        <v>876</v>
      </c>
      <c r="AB1190" s="81"/>
      <c r="AC1190" s="81"/>
      <c r="AD1190" s="81"/>
      <c r="AE1190" s="83"/>
      <c r="AF1190" s="81"/>
      <c r="AG1190" s="81"/>
      <c r="AH1190" s="81"/>
      <c r="AI1190" s="81"/>
      <c r="AJ1190" s="83"/>
      <c r="AK1190" s="81"/>
      <c r="AL1190" s="81"/>
      <c r="AM1190" s="83"/>
      <c r="AN1190" s="80"/>
      <c r="AO1190" s="82" t="n">
        <f aca="false">IF(E1190="","",(AA1190&lt;&gt;"")+(AG1190&lt;&gt;"")+(AL1190&lt;&gt;""))</f>
        <v>1</v>
      </c>
      <c r="AP1190" s="82" t="str">
        <f aca="false">IF(AL1190&lt;&gt;"",AL1190,IF(AG1190&lt;&gt;"",AG1190,IF(AA1190&lt;&gt;"",AA1190,"")))</f>
        <v>A</v>
      </c>
      <c r="AQ1190" s="84" t="str">
        <f aca="false">IF(E1190="","",IF(U1190="","À SOUDER",IF(X1190="","VT EN ATTENTE",IF(X1190="R","VT REJETÉ – À REPRENDRE",IF(AP1190="","À RADIOGRAPHIER",IF(AP1190="A","ACCEPTÉ",IF(AP1190="NX","NX – RT À REFAIRE",IF(IF(AO1190=1,AD1190,IF(AO1190=2,AI1190,""))="A","RÉPARÉ – À RADIOGRAPHIER",IF(IF(AO1190=1,AD1190,IF(AO1190=2,AI1190,""))="R","VT REJETÉ – À REPRENDRE",IF(OR(AP1190="CO",AP1190="NT"),"COUPE – À RESOUDER","À RÉPARER"))))))))))</f>
        <v>ACCEPTÉ</v>
      </c>
      <c r="AR1190" s="82" t="str">
        <f aca="false">IF(AND(ISNUMBER(U1190),OR(AQ1190="À RADIOGRAPHIER",AQ1190="RÉPARÉ – À RADIOGRAPHIER",AQ1190="NX – RT À REFAIRE",AQ1190="À RÉPARER",AQ1190="COUPE – À RESOUDER",AQ1190="VT REJETÉ – À REPRENDRE")),MAX(0,'PROGRAMME RT'!$C$4-U1190),"")</f>
        <v/>
      </c>
      <c r="AS1190" s="82" t="n">
        <f aca="false">IF(AND(OR(AQ1190="À RADIOGRAPHIER",AQ1190="RÉPARÉ – À RADIOGRAPHIER",AQ1190="NX – RT À REFAIRE"),OR('PROGRAMME RT'!$D$5="TOUTES",B1190='PROGRAMME RT'!$D$5)),1,0)</f>
        <v>0</v>
      </c>
      <c r="AT1190" s="82" t="str">
        <f aca="false">IF(AS1190=1,SUM(AS$7:AS1190),"")</f>
        <v/>
      </c>
      <c r="AU1190" s="82" t="n">
        <f aca="false">IF(AND(OR(AA1190="R",AA1190="NX",AA1190="NT",AA1190="CO"),OR('JOINTS DE RÉPARATION'!$D$5="TOUTES",B1190='JOINTS DE RÉPARATION'!$D$5),OR('JOINTS DE RÉPARATION'!$L$4="TOUS",AQ1190&lt;&gt;"ACCEPTÉ")),1,0)</f>
        <v>0</v>
      </c>
      <c r="AV1190" s="82" t="str">
        <f aca="false">IF(AU1190=1,SUM(AU$7:AU1190),"")</f>
        <v/>
      </c>
      <c r="AW1190" s="82" t="str">
        <f aca="false">IF(E1190="","",B1190&amp;"|"&amp;E1190)</f>
        <v>MFD-ISW → MFD-CPF|JN°1030</v>
      </c>
    </row>
    <row r="1191" customFormat="false" ht="74.6" hidden="false" customHeight="false" outlineLevel="0" collapsed="false">
      <c r="A1191" s="79" t="n">
        <f aca="false">IF(E1191="","",ROW()-6)</f>
        <v>1185</v>
      </c>
      <c r="B1191" s="80" t="s">
        <v>110</v>
      </c>
      <c r="C1191" s="81" t="s">
        <v>1418</v>
      </c>
      <c r="D1191" s="81" t="n">
        <v>9</v>
      </c>
      <c r="E1191" s="81" t="s">
        <v>1421</v>
      </c>
      <c r="F1191" s="82" t="str">
        <f aca="false">IF(E1191="","",IF(LEFT(E1191,2)="DJ","DJ","JN"))</f>
        <v>DJ</v>
      </c>
      <c r="G1191" s="81"/>
      <c r="H1191" s="81" t="s">
        <v>871</v>
      </c>
      <c r="I1191" s="81" t="n">
        <v>9.53</v>
      </c>
      <c r="J1191" s="81" t="s">
        <v>872</v>
      </c>
      <c r="K1191" s="81" t="s">
        <v>873</v>
      </c>
      <c r="L1191" s="81" t="n">
        <v>2087130</v>
      </c>
      <c r="M1191" s="81" t="n">
        <v>15421107</v>
      </c>
      <c r="N1191" s="81" t="n">
        <v>11.94</v>
      </c>
      <c r="O1191" s="81" t="n">
        <v>2087870</v>
      </c>
      <c r="P1191" s="81" t="n">
        <v>15421108</v>
      </c>
      <c r="Q1191" s="81" t="n">
        <v>11.94</v>
      </c>
      <c r="R1191" s="81" t="s">
        <v>1147</v>
      </c>
      <c r="S1191" s="81"/>
      <c r="T1191" s="81"/>
      <c r="U1191" s="83" t="n">
        <v>46277</v>
      </c>
      <c r="V1191" s="83" t="n">
        <v>46277</v>
      </c>
      <c r="W1191" s="81" t="s">
        <v>1136</v>
      </c>
      <c r="X1191" s="81" t="s">
        <v>876</v>
      </c>
      <c r="Y1191" s="83" t="n">
        <v>46278</v>
      </c>
      <c r="Z1191" s="81" t="s">
        <v>1412</v>
      </c>
      <c r="AA1191" s="81" t="s">
        <v>876</v>
      </c>
      <c r="AB1191" s="81"/>
      <c r="AC1191" s="81"/>
      <c r="AD1191" s="81"/>
      <c r="AE1191" s="83"/>
      <c r="AF1191" s="81"/>
      <c r="AG1191" s="81"/>
      <c r="AH1191" s="81"/>
      <c r="AI1191" s="81"/>
      <c r="AJ1191" s="83"/>
      <c r="AK1191" s="81"/>
      <c r="AL1191" s="81"/>
      <c r="AM1191" s="83"/>
      <c r="AN1191" s="80"/>
      <c r="AO1191" s="82" t="n">
        <f aca="false">IF(E1191="","",(AA1191&lt;&gt;"")+(AG1191&lt;&gt;"")+(AL1191&lt;&gt;""))</f>
        <v>1</v>
      </c>
      <c r="AP1191" s="82" t="str">
        <f aca="false">IF(AL1191&lt;&gt;"",AL1191,IF(AG1191&lt;&gt;"",AG1191,IF(AA1191&lt;&gt;"",AA1191,"")))</f>
        <v>A</v>
      </c>
      <c r="AQ1191" s="84" t="str">
        <f aca="false">IF(E1191="","",IF(U1191="","À SOUDER",IF(X1191="","VT EN ATTENTE",IF(X1191="R","VT REJETÉ – À REPRENDRE",IF(AP1191="","À RADIOGRAPHIER",IF(AP1191="A","ACCEPTÉ",IF(AP1191="NX","NX – RT À REFAIRE",IF(IF(AO1191=1,AD1191,IF(AO1191=2,AI1191,""))="A","RÉPARÉ – À RADIOGRAPHIER",IF(IF(AO1191=1,AD1191,IF(AO1191=2,AI1191,""))="R","VT REJETÉ – À REPRENDRE",IF(OR(AP1191="CO",AP1191="NT"),"COUPE – À RESOUDER","À RÉPARER"))))))))))</f>
        <v>ACCEPTÉ</v>
      </c>
      <c r="AR1191" s="82" t="str">
        <f aca="false">IF(AND(ISNUMBER(U1191),OR(AQ1191="À RADIOGRAPHIER",AQ1191="RÉPARÉ – À RADIOGRAPHIER",AQ1191="NX – RT À REFAIRE",AQ1191="À RÉPARER",AQ1191="COUPE – À RESOUDER",AQ1191="VT REJETÉ – À REPRENDRE")),MAX(0,'PROGRAMME RT'!$C$4-U1191),"")</f>
        <v/>
      </c>
      <c r="AS1191" s="82" t="n">
        <f aca="false">IF(AND(OR(AQ1191="À RADIOGRAPHIER",AQ1191="RÉPARÉ – À RADIOGRAPHIER",AQ1191="NX – RT À REFAIRE"),OR('PROGRAMME RT'!$D$5="TOUTES",B1191='PROGRAMME RT'!$D$5)),1,0)</f>
        <v>0</v>
      </c>
      <c r="AT1191" s="82" t="str">
        <f aca="false">IF(AS1191=1,SUM(AS$7:AS1191),"")</f>
        <v/>
      </c>
      <c r="AU1191" s="82" t="n">
        <f aca="false">IF(AND(OR(AA1191="R",AA1191="NX",AA1191="NT",AA1191="CO"),OR('JOINTS DE RÉPARATION'!$D$5="TOUTES",B1191='JOINTS DE RÉPARATION'!$D$5),OR('JOINTS DE RÉPARATION'!$L$4="TOUS",AQ1191&lt;&gt;"ACCEPTÉ")),1,0)</f>
        <v>0</v>
      </c>
      <c r="AV1191" s="82" t="str">
        <f aca="false">IF(AU1191=1,SUM(AU$7:AU1191),"")</f>
        <v/>
      </c>
      <c r="AW1191" s="82" t="str">
        <f aca="false">IF(E1191="","",B1191&amp;"|"&amp;E1191)</f>
        <v>MFD-ISW → MFD-CPF|DJ°355</v>
      </c>
    </row>
    <row r="1192" customFormat="false" ht="74.6" hidden="false" customHeight="false" outlineLevel="0" collapsed="false">
      <c r="A1192" s="79" t="n">
        <f aca="false">IF(E1192="","",ROW()-6)</f>
        <v>1186</v>
      </c>
      <c r="B1192" s="80" t="s">
        <v>110</v>
      </c>
      <c r="C1192" s="81" t="s">
        <v>1418</v>
      </c>
      <c r="D1192" s="81" t="n">
        <v>9</v>
      </c>
      <c r="E1192" s="81" t="s">
        <v>1422</v>
      </c>
      <c r="F1192" s="82" t="str">
        <f aca="false">IF(E1192="","",IF(LEFT(E1192,2)="DJ","DJ","JN"))</f>
        <v>JN</v>
      </c>
      <c r="G1192" s="81"/>
      <c r="H1192" s="81" t="s">
        <v>871</v>
      </c>
      <c r="I1192" s="81" t="n">
        <v>9.53</v>
      </c>
      <c r="J1192" s="81" t="s">
        <v>872</v>
      </c>
      <c r="K1192" s="81" t="s">
        <v>879</v>
      </c>
      <c r="L1192" s="81" t="n">
        <v>2087870</v>
      </c>
      <c r="M1192" s="81" t="n">
        <v>15421108</v>
      </c>
      <c r="N1192" s="81" t="n">
        <v>11.94</v>
      </c>
      <c r="O1192" s="81" t="n">
        <v>2080480</v>
      </c>
      <c r="P1192" s="81" t="n">
        <v>15421102</v>
      </c>
      <c r="Q1192" s="81" t="n">
        <v>11.94</v>
      </c>
      <c r="R1192" s="81" t="s">
        <v>1367</v>
      </c>
      <c r="S1192" s="81"/>
      <c r="T1192" s="81"/>
      <c r="U1192" s="83" t="n">
        <v>46279</v>
      </c>
      <c r="V1192" s="83" t="n">
        <v>46279</v>
      </c>
      <c r="W1192" s="81" t="s">
        <v>1368</v>
      </c>
      <c r="X1192" s="81" t="s">
        <v>876</v>
      </c>
      <c r="Y1192" s="83" t="n">
        <v>46284</v>
      </c>
      <c r="Z1192" s="81" t="s">
        <v>1380</v>
      </c>
      <c r="AA1192" s="81" t="s">
        <v>876</v>
      </c>
      <c r="AB1192" s="81"/>
      <c r="AC1192" s="81"/>
      <c r="AD1192" s="81"/>
      <c r="AE1192" s="83"/>
      <c r="AF1192" s="81"/>
      <c r="AG1192" s="81"/>
      <c r="AH1192" s="81"/>
      <c r="AI1192" s="81"/>
      <c r="AJ1192" s="83"/>
      <c r="AK1192" s="81"/>
      <c r="AL1192" s="81"/>
      <c r="AM1192" s="83"/>
      <c r="AN1192" s="80"/>
      <c r="AO1192" s="82" t="n">
        <f aca="false">IF(E1192="","",(AA1192&lt;&gt;"")+(AG1192&lt;&gt;"")+(AL1192&lt;&gt;""))</f>
        <v>1</v>
      </c>
      <c r="AP1192" s="82" t="str">
        <f aca="false">IF(AL1192&lt;&gt;"",AL1192,IF(AG1192&lt;&gt;"",AG1192,IF(AA1192&lt;&gt;"",AA1192,"")))</f>
        <v>A</v>
      </c>
      <c r="AQ1192" s="84" t="str">
        <f aca="false">IF(E1192="","",IF(U1192="","À SOUDER",IF(X1192="","VT EN ATTENTE",IF(X1192="R","VT REJETÉ – À REPRENDRE",IF(AP1192="","À RADIOGRAPHIER",IF(AP1192="A","ACCEPTÉ",IF(AP1192="NX","NX – RT À REFAIRE",IF(IF(AO1192=1,AD1192,IF(AO1192=2,AI1192,""))="A","RÉPARÉ – À RADIOGRAPHIER",IF(IF(AO1192=1,AD1192,IF(AO1192=2,AI1192,""))="R","VT REJETÉ – À REPRENDRE",IF(OR(AP1192="CO",AP1192="NT"),"COUPE – À RESOUDER","À RÉPARER"))))))))))</f>
        <v>ACCEPTÉ</v>
      </c>
      <c r="AR1192" s="82" t="str">
        <f aca="false">IF(AND(ISNUMBER(U1192),OR(AQ1192="À RADIOGRAPHIER",AQ1192="RÉPARÉ – À RADIOGRAPHIER",AQ1192="NX – RT À REFAIRE",AQ1192="À RÉPARER",AQ1192="COUPE – À RESOUDER",AQ1192="VT REJETÉ – À REPRENDRE")),MAX(0,'PROGRAMME RT'!$C$4-U1192),"")</f>
        <v/>
      </c>
      <c r="AS1192" s="82" t="n">
        <f aca="false">IF(AND(OR(AQ1192="À RADIOGRAPHIER",AQ1192="RÉPARÉ – À RADIOGRAPHIER",AQ1192="NX – RT À REFAIRE"),OR('PROGRAMME RT'!$D$5="TOUTES",B1192='PROGRAMME RT'!$D$5)),1,0)</f>
        <v>0</v>
      </c>
      <c r="AT1192" s="82" t="str">
        <f aca="false">IF(AS1192=1,SUM(AS$7:AS1192),"")</f>
        <v/>
      </c>
      <c r="AU1192" s="82" t="n">
        <f aca="false">IF(AND(OR(AA1192="R",AA1192="NX",AA1192="NT",AA1192="CO"),OR('JOINTS DE RÉPARATION'!$D$5="TOUTES",B1192='JOINTS DE RÉPARATION'!$D$5),OR('JOINTS DE RÉPARATION'!$L$4="TOUS",AQ1192&lt;&gt;"ACCEPTÉ")),1,0)</f>
        <v>0</v>
      </c>
      <c r="AV1192" s="82" t="str">
        <f aca="false">IF(AU1192=1,SUM(AU$7:AU1192),"")</f>
        <v/>
      </c>
      <c r="AW1192" s="82" t="str">
        <f aca="false">IF(E1192="","",B1192&amp;"|"&amp;E1192)</f>
        <v>MFD-ISW → MFD-CPF|JN°1031</v>
      </c>
    </row>
    <row r="1193" customFormat="false" ht="74.6" hidden="false" customHeight="false" outlineLevel="0" collapsed="false">
      <c r="A1193" s="79" t="n">
        <f aca="false">IF(E1193="","",ROW()-6)</f>
        <v>1187</v>
      </c>
      <c r="B1193" s="80" t="s">
        <v>110</v>
      </c>
      <c r="C1193" s="81" t="s">
        <v>1418</v>
      </c>
      <c r="D1193" s="81" t="n">
        <v>9</v>
      </c>
      <c r="E1193" s="81" t="s">
        <v>1423</v>
      </c>
      <c r="F1193" s="82" t="str">
        <f aca="false">IF(E1193="","",IF(LEFT(E1193,2)="DJ","DJ","JN"))</f>
        <v>DJ</v>
      </c>
      <c r="G1193" s="81"/>
      <c r="H1193" s="81" t="s">
        <v>871</v>
      </c>
      <c r="I1193" s="81" t="n">
        <v>9.53</v>
      </c>
      <c r="J1193" s="81" t="s">
        <v>872</v>
      </c>
      <c r="K1193" s="81" t="s">
        <v>873</v>
      </c>
      <c r="L1193" s="81" t="n">
        <v>2080480</v>
      </c>
      <c r="M1193" s="81" t="n">
        <v>15421102</v>
      </c>
      <c r="N1193" s="81" t="n">
        <v>11.94</v>
      </c>
      <c r="O1193" s="81" t="n">
        <v>2083520</v>
      </c>
      <c r="P1193" s="81" t="n">
        <v>15421103</v>
      </c>
      <c r="Q1193" s="81" t="n">
        <v>11.94</v>
      </c>
      <c r="R1193" s="81" t="s">
        <v>1135</v>
      </c>
      <c r="S1193" s="81"/>
      <c r="T1193" s="81"/>
      <c r="U1193" s="83" t="n">
        <v>46277</v>
      </c>
      <c r="V1193" s="83" t="n">
        <v>46277</v>
      </c>
      <c r="W1193" s="81" t="s">
        <v>1136</v>
      </c>
      <c r="X1193" s="81" t="s">
        <v>876</v>
      </c>
      <c r="Y1193" s="83" t="n">
        <v>46278</v>
      </c>
      <c r="Z1193" s="81" t="s">
        <v>1412</v>
      </c>
      <c r="AA1193" s="81" t="s">
        <v>876</v>
      </c>
      <c r="AB1193" s="81"/>
      <c r="AC1193" s="81"/>
      <c r="AD1193" s="81"/>
      <c r="AE1193" s="83"/>
      <c r="AF1193" s="81"/>
      <c r="AG1193" s="81"/>
      <c r="AH1193" s="81"/>
      <c r="AI1193" s="81"/>
      <c r="AJ1193" s="83"/>
      <c r="AK1193" s="81"/>
      <c r="AL1193" s="81"/>
      <c r="AM1193" s="83"/>
      <c r="AN1193" s="80"/>
      <c r="AO1193" s="82" t="n">
        <f aca="false">IF(E1193="","",(AA1193&lt;&gt;"")+(AG1193&lt;&gt;"")+(AL1193&lt;&gt;""))</f>
        <v>1</v>
      </c>
      <c r="AP1193" s="82" t="str">
        <f aca="false">IF(AL1193&lt;&gt;"",AL1193,IF(AG1193&lt;&gt;"",AG1193,IF(AA1193&lt;&gt;"",AA1193,"")))</f>
        <v>A</v>
      </c>
      <c r="AQ1193" s="84" t="str">
        <f aca="false">IF(E1193="","",IF(U1193="","À SOUDER",IF(X1193="","VT EN ATTENTE",IF(X1193="R","VT REJETÉ – À REPRENDRE",IF(AP1193="","À RADIOGRAPHIER",IF(AP1193="A","ACCEPTÉ",IF(AP1193="NX","NX – RT À REFAIRE",IF(IF(AO1193=1,AD1193,IF(AO1193=2,AI1193,""))="A","RÉPARÉ – À RADIOGRAPHIER",IF(IF(AO1193=1,AD1193,IF(AO1193=2,AI1193,""))="R","VT REJETÉ – À REPRENDRE",IF(OR(AP1193="CO",AP1193="NT"),"COUPE – À RESOUDER","À RÉPARER"))))))))))</f>
        <v>ACCEPTÉ</v>
      </c>
      <c r="AR1193" s="82" t="str">
        <f aca="false">IF(AND(ISNUMBER(U1193),OR(AQ1193="À RADIOGRAPHIER",AQ1193="RÉPARÉ – À RADIOGRAPHIER",AQ1193="NX – RT À REFAIRE",AQ1193="À RÉPARER",AQ1193="COUPE – À RESOUDER",AQ1193="VT REJETÉ – À REPRENDRE")),MAX(0,'PROGRAMME RT'!$C$4-U1193),"")</f>
        <v/>
      </c>
      <c r="AS1193" s="82" t="n">
        <f aca="false">IF(AND(OR(AQ1193="À RADIOGRAPHIER",AQ1193="RÉPARÉ – À RADIOGRAPHIER",AQ1193="NX – RT À REFAIRE"),OR('PROGRAMME RT'!$D$5="TOUTES",B1193='PROGRAMME RT'!$D$5)),1,0)</f>
        <v>0</v>
      </c>
      <c r="AT1193" s="82" t="str">
        <f aca="false">IF(AS1193=1,SUM(AS$7:AS1193),"")</f>
        <v/>
      </c>
      <c r="AU1193" s="82" t="n">
        <f aca="false">IF(AND(OR(AA1193="R",AA1193="NX",AA1193="NT",AA1193="CO"),OR('JOINTS DE RÉPARATION'!$D$5="TOUTES",B1193='JOINTS DE RÉPARATION'!$D$5),OR('JOINTS DE RÉPARATION'!$L$4="TOUS",AQ1193&lt;&gt;"ACCEPTÉ")),1,0)</f>
        <v>0</v>
      </c>
      <c r="AV1193" s="82" t="str">
        <f aca="false">IF(AU1193=1,SUM(AU$7:AU1193),"")</f>
        <v/>
      </c>
      <c r="AW1193" s="82" t="str">
        <f aca="false">IF(E1193="","",B1193&amp;"|"&amp;E1193)</f>
        <v>MFD-ISW → MFD-CPF|DJ°347</v>
      </c>
    </row>
    <row r="1194" customFormat="false" ht="74.6" hidden="false" customHeight="false" outlineLevel="0" collapsed="false">
      <c r="A1194" s="79" t="n">
        <f aca="false">IF(E1194="","",ROW()-6)</f>
        <v>1188</v>
      </c>
      <c r="B1194" s="80" t="s">
        <v>110</v>
      </c>
      <c r="C1194" s="81" t="s">
        <v>1418</v>
      </c>
      <c r="D1194" s="81" t="n">
        <v>9</v>
      </c>
      <c r="E1194" s="81" t="s">
        <v>1424</v>
      </c>
      <c r="F1194" s="82" t="str">
        <f aca="false">IF(E1194="","",IF(LEFT(E1194,2)="DJ","DJ","JN"))</f>
        <v>JN</v>
      </c>
      <c r="G1194" s="81"/>
      <c r="H1194" s="81" t="s">
        <v>871</v>
      </c>
      <c r="I1194" s="81" t="n">
        <v>9.53</v>
      </c>
      <c r="J1194" s="81" t="s">
        <v>872</v>
      </c>
      <c r="K1194" s="81" t="s">
        <v>879</v>
      </c>
      <c r="L1194" s="81" t="n">
        <v>2083520</v>
      </c>
      <c r="M1194" s="81" t="n">
        <v>15421103</v>
      </c>
      <c r="N1194" s="81" t="n">
        <v>11.94</v>
      </c>
      <c r="O1194" s="81" t="n">
        <v>2094780</v>
      </c>
      <c r="P1194" s="81" t="n">
        <v>15421111</v>
      </c>
      <c r="Q1194" s="81" t="n">
        <v>11.94</v>
      </c>
      <c r="R1194" s="81" t="s">
        <v>1367</v>
      </c>
      <c r="S1194" s="81"/>
      <c r="T1194" s="81"/>
      <c r="U1194" s="83" t="n">
        <v>46279</v>
      </c>
      <c r="V1194" s="83" t="n">
        <v>46279</v>
      </c>
      <c r="W1194" s="81" t="s">
        <v>1368</v>
      </c>
      <c r="X1194" s="81" t="s">
        <v>876</v>
      </c>
      <c r="Y1194" s="83" t="n">
        <v>46284</v>
      </c>
      <c r="Z1194" s="81" t="s">
        <v>1380</v>
      </c>
      <c r="AA1194" s="81" t="s">
        <v>876</v>
      </c>
      <c r="AB1194" s="81"/>
      <c r="AC1194" s="81"/>
      <c r="AD1194" s="81"/>
      <c r="AE1194" s="83"/>
      <c r="AF1194" s="81"/>
      <c r="AG1194" s="81"/>
      <c r="AH1194" s="81"/>
      <c r="AI1194" s="81"/>
      <c r="AJ1194" s="83"/>
      <c r="AK1194" s="81"/>
      <c r="AL1194" s="81"/>
      <c r="AM1194" s="83"/>
      <c r="AN1194" s="80"/>
      <c r="AO1194" s="82" t="n">
        <f aca="false">IF(E1194="","",(AA1194&lt;&gt;"")+(AG1194&lt;&gt;"")+(AL1194&lt;&gt;""))</f>
        <v>1</v>
      </c>
      <c r="AP1194" s="82" t="str">
        <f aca="false">IF(AL1194&lt;&gt;"",AL1194,IF(AG1194&lt;&gt;"",AG1194,IF(AA1194&lt;&gt;"",AA1194,"")))</f>
        <v>A</v>
      </c>
      <c r="AQ1194" s="84" t="str">
        <f aca="false">IF(E1194="","",IF(U1194="","À SOUDER",IF(X1194="","VT EN ATTENTE",IF(X1194="R","VT REJETÉ – À REPRENDRE",IF(AP1194="","À RADIOGRAPHIER",IF(AP1194="A","ACCEPTÉ",IF(AP1194="NX","NX – RT À REFAIRE",IF(IF(AO1194=1,AD1194,IF(AO1194=2,AI1194,""))="A","RÉPARÉ – À RADIOGRAPHIER",IF(IF(AO1194=1,AD1194,IF(AO1194=2,AI1194,""))="R","VT REJETÉ – À REPRENDRE",IF(OR(AP1194="CO",AP1194="NT"),"COUPE – À RESOUDER","À RÉPARER"))))))))))</f>
        <v>ACCEPTÉ</v>
      </c>
      <c r="AR1194" s="82" t="str">
        <f aca="false">IF(AND(ISNUMBER(U1194),OR(AQ1194="À RADIOGRAPHIER",AQ1194="RÉPARÉ – À RADIOGRAPHIER",AQ1194="NX – RT À REFAIRE",AQ1194="À RÉPARER",AQ1194="COUPE – À RESOUDER",AQ1194="VT REJETÉ – À REPRENDRE")),MAX(0,'PROGRAMME RT'!$C$4-U1194),"")</f>
        <v/>
      </c>
      <c r="AS1194" s="82" t="n">
        <f aca="false">IF(AND(OR(AQ1194="À RADIOGRAPHIER",AQ1194="RÉPARÉ – À RADIOGRAPHIER",AQ1194="NX – RT À REFAIRE"),OR('PROGRAMME RT'!$D$5="TOUTES",B1194='PROGRAMME RT'!$D$5)),1,0)</f>
        <v>0</v>
      </c>
      <c r="AT1194" s="82" t="str">
        <f aca="false">IF(AS1194=1,SUM(AS$7:AS1194),"")</f>
        <v/>
      </c>
      <c r="AU1194" s="82" t="n">
        <f aca="false">IF(AND(OR(AA1194="R",AA1194="NX",AA1194="NT",AA1194="CO"),OR('JOINTS DE RÉPARATION'!$D$5="TOUTES",B1194='JOINTS DE RÉPARATION'!$D$5),OR('JOINTS DE RÉPARATION'!$L$4="TOUS",AQ1194&lt;&gt;"ACCEPTÉ")),1,0)</f>
        <v>0</v>
      </c>
      <c r="AV1194" s="82" t="str">
        <f aca="false">IF(AU1194=1,SUM(AU$7:AU1194),"")</f>
        <v/>
      </c>
      <c r="AW1194" s="82" t="str">
        <f aca="false">IF(E1194="","",B1194&amp;"|"&amp;E1194)</f>
        <v>MFD-ISW → MFD-CPF|JN°1032</v>
      </c>
    </row>
    <row r="1195" customFormat="false" ht="74.6" hidden="false" customHeight="false" outlineLevel="0" collapsed="false">
      <c r="A1195" s="79" t="n">
        <f aca="false">IF(E1195="","",ROW()-6)</f>
        <v>1189</v>
      </c>
      <c r="B1195" s="80" t="s">
        <v>110</v>
      </c>
      <c r="C1195" s="81" t="s">
        <v>1418</v>
      </c>
      <c r="D1195" s="81" t="n">
        <v>9</v>
      </c>
      <c r="E1195" s="81" t="s">
        <v>1425</v>
      </c>
      <c r="F1195" s="82" t="str">
        <f aca="false">IF(E1195="","",IF(LEFT(E1195,2)="DJ","DJ","JN"))</f>
        <v>DJ</v>
      </c>
      <c r="G1195" s="81"/>
      <c r="H1195" s="81" t="s">
        <v>871</v>
      </c>
      <c r="I1195" s="81" t="n">
        <v>9.53</v>
      </c>
      <c r="J1195" s="81" t="s">
        <v>872</v>
      </c>
      <c r="K1195" s="81" t="s">
        <v>873</v>
      </c>
      <c r="L1195" s="81" t="n">
        <v>2094780</v>
      </c>
      <c r="M1195" s="81" t="n">
        <v>15421111</v>
      </c>
      <c r="N1195" s="81" t="n">
        <v>11.94</v>
      </c>
      <c r="O1195" s="81" t="n">
        <v>2086430</v>
      </c>
      <c r="P1195" s="81" t="n">
        <v>15421107</v>
      </c>
      <c r="Q1195" s="81" t="n">
        <v>11.94</v>
      </c>
      <c r="R1195" s="81" t="s">
        <v>963</v>
      </c>
      <c r="S1195" s="81"/>
      <c r="T1195" s="81"/>
      <c r="U1195" s="83" t="n">
        <v>46277</v>
      </c>
      <c r="V1195" s="83" t="n">
        <v>46277</v>
      </c>
      <c r="W1195" s="81" t="s">
        <v>1136</v>
      </c>
      <c r="X1195" s="81" t="s">
        <v>876</v>
      </c>
      <c r="Y1195" s="83" t="n">
        <v>46278</v>
      </c>
      <c r="Z1195" s="81" t="s">
        <v>1412</v>
      </c>
      <c r="AA1195" s="81" t="s">
        <v>876</v>
      </c>
      <c r="AB1195" s="81"/>
      <c r="AC1195" s="81"/>
      <c r="AD1195" s="81"/>
      <c r="AE1195" s="83"/>
      <c r="AF1195" s="81"/>
      <c r="AG1195" s="81"/>
      <c r="AH1195" s="81"/>
      <c r="AI1195" s="81"/>
      <c r="AJ1195" s="83"/>
      <c r="AK1195" s="81"/>
      <c r="AL1195" s="81"/>
      <c r="AM1195" s="83"/>
      <c r="AN1195" s="80"/>
      <c r="AO1195" s="82" t="n">
        <f aca="false">IF(E1195="","",(AA1195&lt;&gt;"")+(AG1195&lt;&gt;"")+(AL1195&lt;&gt;""))</f>
        <v>1</v>
      </c>
      <c r="AP1195" s="82" t="str">
        <f aca="false">IF(AL1195&lt;&gt;"",AL1195,IF(AG1195&lt;&gt;"",AG1195,IF(AA1195&lt;&gt;"",AA1195,"")))</f>
        <v>A</v>
      </c>
      <c r="AQ1195" s="84" t="str">
        <f aca="false">IF(E1195="","",IF(U1195="","À SOUDER",IF(X1195="","VT EN ATTENTE",IF(X1195="R","VT REJETÉ – À REPRENDRE",IF(AP1195="","À RADIOGRAPHIER",IF(AP1195="A","ACCEPTÉ",IF(AP1195="NX","NX – RT À REFAIRE",IF(IF(AO1195=1,AD1195,IF(AO1195=2,AI1195,""))="A","RÉPARÉ – À RADIOGRAPHIER",IF(IF(AO1195=1,AD1195,IF(AO1195=2,AI1195,""))="R","VT REJETÉ – À REPRENDRE",IF(OR(AP1195="CO",AP1195="NT"),"COUPE – À RESOUDER","À RÉPARER"))))))))))</f>
        <v>ACCEPTÉ</v>
      </c>
      <c r="AR1195" s="82" t="str">
        <f aca="false">IF(AND(ISNUMBER(U1195),OR(AQ1195="À RADIOGRAPHIER",AQ1195="RÉPARÉ – À RADIOGRAPHIER",AQ1195="NX – RT À REFAIRE",AQ1195="À RÉPARER",AQ1195="COUPE – À RESOUDER",AQ1195="VT REJETÉ – À REPRENDRE")),MAX(0,'PROGRAMME RT'!$C$4-U1195),"")</f>
        <v/>
      </c>
      <c r="AS1195" s="82" t="n">
        <f aca="false">IF(AND(OR(AQ1195="À RADIOGRAPHIER",AQ1195="RÉPARÉ – À RADIOGRAPHIER",AQ1195="NX – RT À REFAIRE"),OR('PROGRAMME RT'!$D$5="TOUTES",B1195='PROGRAMME RT'!$D$5)),1,0)</f>
        <v>0</v>
      </c>
      <c r="AT1195" s="82" t="str">
        <f aca="false">IF(AS1195=1,SUM(AS$7:AS1195),"")</f>
        <v/>
      </c>
      <c r="AU1195" s="82" t="n">
        <f aca="false">IF(AND(OR(AA1195="R",AA1195="NX",AA1195="NT",AA1195="CO"),OR('JOINTS DE RÉPARATION'!$D$5="TOUTES",B1195='JOINTS DE RÉPARATION'!$D$5),OR('JOINTS DE RÉPARATION'!$L$4="TOUS",AQ1195&lt;&gt;"ACCEPTÉ")),1,0)</f>
        <v>0</v>
      </c>
      <c r="AV1195" s="82" t="str">
        <f aca="false">IF(AU1195=1,SUM(AU$7:AU1195),"")</f>
        <v/>
      </c>
      <c r="AW1195" s="82" t="str">
        <f aca="false">IF(E1195="","",B1195&amp;"|"&amp;E1195)</f>
        <v>MFD-ISW → MFD-CPF|DJ°349</v>
      </c>
    </row>
    <row r="1196" customFormat="false" ht="74.6" hidden="false" customHeight="false" outlineLevel="0" collapsed="false">
      <c r="A1196" s="79" t="n">
        <f aca="false">IF(E1196="","",ROW()-6)</f>
        <v>1190</v>
      </c>
      <c r="B1196" s="80" t="s">
        <v>110</v>
      </c>
      <c r="C1196" s="81" t="s">
        <v>1418</v>
      </c>
      <c r="D1196" s="81" t="n">
        <v>9</v>
      </c>
      <c r="E1196" s="81" t="s">
        <v>1426</v>
      </c>
      <c r="F1196" s="82" t="str">
        <f aca="false">IF(E1196="","",IF(LEFT(E1196,2)="DJ","DJ","JN"))</f>
        <v>JN</v>
      </c>
      <c r="G1196" s="81"/>
      <c r="H1196" s="81" t="s">
        <v>871</v>
      </c>
      <c r="I1196" s="81" t="n">
        <v>9.53</v>
      </c>
      <c r="J1196" s="81" t="s">
        <v>872</v>
      </c>
      <c r="K1196" s="81" t="s">
        <v>879</v>
      </c>
      <c r="L1196" s="81" t="n">
        <v>2086430</v>
      </c>
      <c r="M1196" s="81" t="n">
        <v>15421107</v>
      </c>
      <c r="N1196" s="81" t="n">
        <v>11.94</v>
      </c>
      <c r="O1196" s="81" t="n">
        <v>2096560</v>
      </c>
      <c r="P1196" s="81" t="n">
        <v>15421111</v>
      </c>
      <c r="Q1196" s="81" t="n">
        <v>11.94</v>
      </c>
      <c r="R1196" s="81" t="s">
        <v>1367</v>
      </c>
      <c r="S1196" s="81"/>
      <c r="T1196" s="81"/>
      <c r="U1196" s="83" t="n">
        <v>46279</v>
      </c>
      <c r="V1196" s="83" t="n">
        <v>46279</v>
      </c>
      <c r="W1196" s="81" t="s">
        <v>1427</v>
      </c>
      <c r="X1196" s="81" t="s">
        <v>876</v>
      </c>
      <c r="Y1196" s="83" t="n">
        <v>46284</v>
      </c>
      <c r="Z1196" s="81" t="s">
        <v>1380</v>
      </c>
      <c r="AA1196" s="81" t="s">
        <v>876</v>
      </c>
      <c r="AB1196" s="81"/>
      <c r="AC1196" s="81"/>
      <c r="AD1196" s="81"/>
      <c r="AE1196" s="83"/>
      <c r="AF1196" s="81"/>
      <c r="AG1196" s="81"/>
      <c r="AH1196" s="81"/>
      <c r="AI1196" s="81"/>
      <c r="AJ1196" s="83"/>
      <c r="AK1196" s="81"/>
      <c r="AL1196" s="81"/>
      <c r="AM1196" s="83"/>
      <c r="AN1196" s="80"/>
      <c r="AO1196" s="82" t="n">
        <f aca="false">IF(E1196="","",(AA1196&lt;&gt;"")+(AG1196&lt;&gt;"")+(AL1196&lt;&gt;""))</f>
        <v>1</v>
      </c>
      <c r="AP1196" s="82" t="str">
        <f aca="false">IF(AL1196&lt;&gt;"",AL1196,IF(AG1196&lt;&gt;"",AG1196,IF(AA1196&lt;&gt;"",AA1196,"")))</f>
        <v>A</v>
      </c>
      <c r="AQ1196" s="84" t="str">
        <f aca="false">IF(E1196="","",IF(U1196="","À SOUDER",IF(X1196="","VT EN ATTENTE",IF(X1196="R","VT REJETÉ – À REPRENDRE",IF(AP1196="","À RADIOGRAPHIER",IF(AP1196="A","ACCEPTÉ",IF(AP1196="NX","NX – RT À REFAIRE",IF(IF(AO1196=1,AD1196,IF(AO1196=2,AI1196,""))="A","RÉPARÉ – À RADIOGRAPHIER",IF(IF(AO1196=1,AD1196,IF(AO1196=2,AI1196,""))="R","VT REJETÉ – À REPRENDRE",IF(OR(AP1196="CO",AP1196="NT"),"COUPE – À RESOUDER","À RÉPARER"))))))))))</f>
        <v>ACCEPTÉ</v>
      </c>
      <c r="AR1196" s="82" t="str">
        <f aca="false">IF(AND(ISNUMBER(U1196),OR(AQ1196="À RADIOGRAPHIER",AQ1196="RÉPARÉ – À RADIOGRAPHIER",AQ1196="NX – RT À REFAIRE",AQ1196="À RÉPARER",AQ1196="COUPE – À RESOUDER",AQ1196="VT REJETÉ – À REPRENDRE")),MAX(0,'PROGRAMME RT'!$C$4-U1196),"")</f>
        <v/>
      </c>
      <c r="AS1196" s="82" t="n">
        <f aca="false">IF(AND(OR(AQ1196="À RADIOGRAPHIER",AQ1196="RÉPARÉ – À RADIOGRAPHIER",AQ1196="NX – RT À REFAIRE"),OR('PROGRAMME RT'!$D$5="TOUTES",B1196='PROGRAMME RT'!$D$5)),1,0)</f>
        <v>0</v>
      </c>
      <c r="AT1196" s="82" t="str">
        <f aca="false">IF(AS1196=1,SUM(AS$7:AS1196),"")</f>
        <v/>
      </c>
      <c r="AU1196" s="82" t="n">
        <f aca="false">IF(AND(OR(AA1196="R",AA1196="NX",AA1196="NT",AA1196="CO"),OR('JOINTS DE RÉPARATION'!$D$5="TOUTES",B1196='JOINTS DE RÉPARATION'!$D$5),OR('JOINTS DE RÉPARATION'!$L$4="TOUS",AQ1196&lt;&gt;"ACCEPTÉ")),1,0)</f>
        <v>0</v>
      </c>
      <c r="AV1196" s="82" t="str">
        <f aca="false">IF(AU1196=1,SUM(AU$7:AU1196),"")</f>
        <v/>
      </c>
      <c r="AW1196" s="82" t="str">
        <f aca="false">IF(E1196="","",B1196&amp;"|"&amp;E1196)</f>
        <v>MFD-ISW → MFD-CPF|JN°1033</v>
      </c>
    </row>
    <row r="1197" customFormat="false" ht="74.6" hidden="false" customHeight="false" outlineLevel="0" collapsed="false">
      <c r="A1197" s="79" t="n">
        <f aca="false">IF(E1197="","",ROW()-6)</f>
        <v>1191</v>
      </c>
      <c r="B1197" s="80" t="s">
        <v>110</v>
      </c>
      <c r="C1197" s="81" t="s">
        <v>1418</v>
      </c>
      <c r="D1197" s="81" t="n">
        <v>9</v>
      </c>
      <c r="E1197" s="81" t="s">
        <v>1428</v>
      </c>
      <c r="F1197" s="82" t="str">
        <f aca="false">IF(E1197="","",IF(LEFT(E1197,2)="DJ","DJ","JN"))</f>
        <v>DJ</v>
      </c>
      <c r="G1197" s="81"/>
      <c r="H1197" s="81" t="s">
        <v>871</v>
      </c>
      <c r="I1197" s="81" t="n">
        <v>9.53</v>
      </c>
      <c r="J1197" s="81" t="s">
        <v>872</v>
      </c>
      <c r="K1197" s="81" t="s">
        <v>873</v>
      </c>
      <c r="L1197" s="81" t="n">
        <v>2096560</v>
      </c>
      <c r="M1197" s="81" t="n">
        <v>15421111</v>
      </c>
      <c r="N1197" s="81" t="n">
        <v>11.94</v>
      </c>
      <c r="O1197" s="81" t="n">
        <v>2081670</v>
      </c>
      <c r="P1197" s="81" t="n">
        <v>15421103</v>
      </c>
      <c r="Q1197" s="81" t="n">
        <v>11.94</v>
      </c>
      <c r="R1197" s="81" t="s">
        <v>963</v>
      </c>
      <c r="S1197" s="81"/>
      <c r="T1197" s="81"/>
      <c r="U1197" s="83" t="n">
        <v>46276</v>
      </c>
      <c r="V1197" s="83" t="n">
        <v>46276</v>
      </c>
      <c r="W1197" s="81" t="s">
        <v>1148</v>
      </c>
      <c r="X1197" s="81" t="s">
        <v>876</v>
      </c>
      <c r="Y1197" s="83" t="n">
        <v>46278</v>
      </c>
      <c r="Z1197" s="81" t="s">
        <v>1412</v>
      </c>
      <c r="AA1197" s="81" t="s">
        <v>876</v>
      </c>
      <c r="AB1197" s="81"/>
      <c r="AC1197" s="81"/>
      <c r="AD1197" s="81"/>
      <c r="AE1197" s="83"/>
      <c r="AF1197" s="81"/>
      <c r="AG1197" s="81"/>
      <c r="AH1197" s="81"/>
      <c r="AI1197" s="81"/>
      <c r="AJ1197" s="83"/>
      <c r="AK1197" s="81"/>
      <c r="AL1197" s="81"/>
      <c r="AM1197" s="83"/>
      <c r="AN1197" s="80"/>
      <c r="AO1197" s="82" t="n">
        <f aca="false">IF(E1197="","",(AA1197&lt;&gt;"")+(AG1197&lt;&gt;"")+(AL1197&lt;&gt;""))</f>
        <v>1</v>
      </c>
      <c r="AP1197" s="82" t="str">
        <f aca="false">IF(AL1197&lt;&gt;"",AL1197,IF(AG1197&lt;&gt;"",AG1197,IF(AA1197&lt;&gt;"",AA1197,"")))</f>
        <v>A</v>
      </c>
      <c r="AQ1197" s="84" t="str">
        <f aca="false">IF(E1197="","",IF(U1197="","À SOUDER",IF(X1197="","VT EN ATTENTE",IF(X1197="R","VT REJETÉ – À REPRENDRE",IF(AP1197="","À RADIOGRAPHIER",IF(AP1197="A","ACCEPTÉ",IF(AP1197="NX","NX – RT À REFAIRE",IF(IF(AO1197=1,AD1197,IF(AO1197=2,AI1197,""))="A","RÉPARÉ – À RADIOGRAPHIER",IF(IF(AO1197=1,AD1197,IF(AO1197=2,AI1197,""))="R","VT REJETÉ – À REPRENDRE",IF(OR(AP1197="CO",AP1197="NT"),"COUPE – À RESOUDER","À RÉPARER"))))))))))</f>
        <v>ACCEPTÉ</v>
      </c>
      <c r="AR1197" s="82" t="str">
        <f aca="false">IF(AND(ISNUMBER(U1197),OR(AQ1197="À RADIOGRAPHIER",AQ1197="RÉPARÉ – À RADIOGRAPHIER",AQ1197="NX – RT À REFAIRE",AQ1197="À RÉPARER",AQ1197="COUPE – À RESOUDER",AQ1197="VT REJETÉ – À REPRENDRE")),MAX(0,'PROGRAMME RT'!$C$4-U1197),"")</f>
        <v/>
      </c>
      <c r="AS1197" s="82" t="n">
        <f aca="false">IF(AND(OR(AQ1197="À RADIOGRAPHIER",AQ1197="RÉPARÉ – À RADIOGRAPHIER",AQ1197="NX – RT À REFAIRE"),OR('PROGRAMME RT'!$D$5="TOUTES",B1197='PROGRAMME RT'!$D$5)),1,0)</f>
        <v>0</v>
      </c>
      <c r="AT1197" s="82" t="str">
        <f aca="false">IF(AS1197=1,SUM(AS$7:AS1197),"")</f>
        <v/>
      </c>
      <c r="AU1197" s="82" t="n">
        <f aca="false">IF(AND(OR(AA1197="R",AA1197="NX",AA1197="NT",AA1197="CO"),OR('JOINTS DE RÉPARATION'!$D$5="TOUTES",B1197='JOINTS DE RÉPARATION'!$D$5),OR('JOINTS DE RÉPARATION'!$L$4="TOUS",AQ1197&lt;&gt;"ACCEPTÉ")),1,0)</f>
        <v>0</v>
      </c>
      <c r="AV1197" s="82" t="str">
        <f aca="false">IF(AU1197=1,SUM(AU$7:AU1197),"")</f>
        <v/>
      </c>
      <c r="AW1197" s="82" t="str">
        <f aca="false">IF(E1197="","",B1197&amp;"|"&amp;E1197)</f>
        <v>MFD-ISW → MFD-CPF|DJ°340</v>
      </c>
    </row>
    <row r="1198" customFormat="false" ht="74.6" hidden="false" customHeight="false" outlineLevel="0" collapsed="false">
      <c r="A1198" s="79" t="n">
        <f aca="false">IF(E1198="","",ROW()-6)</f>
        <v>1192</v>
      </c>
      <c r="B1198" s="80" t="s">
        <v>110</v>
      </c>
      <c r="C1198" s="81" t="s">
        <v>1418</v>
      </c>
      <c r="D1198" s="81" t="n">
        <v>9</v>
      </c>
      <c r="E1198" s="81" t="s">
        <v>1429</v>
      </c>
      <c r="F1198" s="82" t="str">
        <f aca="false">IF(E1198="","",IF(LEFT(E1198,2)="DJ","DJ","JN"))</f>
        <v>JN</v>
      </c>
      <c r="G1198" s="81"/>
      <c r="H1198" s="81" t="s">
        <v>871</v>
      </c>
      <c r="I1198" s="81" t="n">
        <v>9.53</v>
      </c>
      <c r="J1198" s="81" t="s">
        <v>872</v>
      </c>
      <c r="K1198" s="81" t="s">
        <v>879</v>
      </c>
      <c r="L1198" s="81" t="n">
        <v>2081670</v>
      </c>
      <c r="M1198" s="81" t="n">
        <v>15421103</v>
      </c>
      <c r="N1198" s="81" t="n">
        <v>11.94</v>
      </c>
      <c r="O1198" s="81" t="n">
        <v>2088470</v>
      </c>
      <c r="P1198" s="81" t="n">
        <v>15421108</v>
      </c>
      <c r="Q1198" s="81" t="n">
        <v>11.94</v>
      </c>
      <c r="R1198" s="81" t="s">
        <v>1367</v>
      </c>
      <c r="S1198" s="81"/>
      <c r="T1198" s="81"/>
      <c r="U1198" s="83" t="n">
        <v>46279</v>
      </c>
      <c r="V1198" s="83" t="n">
        <v>46279</v>
      </c>
      <c r="W1198" s="81" t="s">
        <v>1427</v>
      </c>
      <c r="X1198" s="81" t="s">
        <v>876</v>
      </c>
      <c r="Y1198" s="83" t="n">
        <v>46284</v>
      </c>
      <c r="Z1198" s="81" t="s">
        <v>1380</v>
      </c>
      <c r="AA1198" s="81" t="s">
        <v>876</v>
      </c>
      <c r="AB1198" s="81"/>
      <c r="AC1198" s="81"/>
      <c r="AD1198" s="81"/>
      <c r="AE1198" s="83"/>
      <c r="AF1198" s="81"/>
      <c r="AG1198" s="81"/>
      <c r="AH1198" s="81"/>
      <c r="AI1198" s="81"/>
      <c r="AJ1198" s="83"/>
      <c r="AK1198" s="81"/>
      <c r="AL1198" s="81"/>
      <c r="AM1198" s="83"/>
      <c r="AN1198" s="80"/>
      <c r="AO1198" s="82" t="n">
        <f aca="false">IF(E1198="","",(AA1198&lt;&gt;"")+(AG1198&lt;&gt;"")+(AL1198&lt;&gt;""))</f>
        <v>1</v>
      </c>
      <c r="AP1198" s="82" t="str">
        <f aca="false">IF(AL1198&lt;&gt;"",AL1198,IF(AG1198&lt;&gt;"",AG1198,IF(AA1198&lt;&gt;"",AA1198,"")))</f>
        <v>A</v>
      </c>
      <c r="AQ1198" s="84" t="str">
        <f aca="false">IF(E1198="","",IF(U1198="","À SOUDER",IF(X1198="","VT EN ATTENTE",IF(X1198="R","VT REJETÉ – À REPRENDRE",IF(AP1198="","À RADIOGRAPHIER",IF(AP1198="A","ACCEPTÉ",IF(AP1198="NX","NX – RT À REFAIRE",IF(IF(AO1198=1,AD1198,IF(AO1198=2,AI1198,""))="A","RÉPARÉ – À RADIOGRAPHIER",IF(IF(AO1198=1,AD1198,IF(AO1198=2,AI1198,""))="R","VT REJETÉ – À REPRENDRE",IF(OR(AP1198="CO",AP1198="NT"),"COUPE – À RESOUDER","À RÉPARER"))))))))))</f>
        <v>ACCEPTÉ</v>
      </c>
      <c r="AR1198" s="82" t="str">
        <f aca="false">IF(AND(ISNUMBER(U1198),OR(AQ1198="À RADIOGRAPHIER",AQ1198="RÉPARÉ – À RADIOGRAPHIER",AQ1198="NX – RT À REFAIRE",AQ1198="À RÉPARER",AQ1198="COUPE – À RESOUDER",AQ1198="VT REJETÉ – À REPRENDRE")),MAX(0,'PROGRAMME RT'!$C$4-U1198),"")</f>
        <v/>
      </c>
      <c r="AS1198" s="82" t="n">
        <f aca="false">IF(AND(OR(AQ1198="À RADIOGRAPHIER",AQ1198="RÉPARÉ – À RADIOGRAPHIER",AQ1198="NX – RT À REFAIRE"),OR('PROGRAMME RT'!$D$5="TOUTES",B1198='PROGRAMME RT'!$D$5)),1,0)</f>
        <v>0</v>
      </c>
      <c r="AT1198" s="82" t="str">
        <f aca="false">IF(AS1198=1,SUM(AS$7:AS1198),"")</f>
        <v/>
      </c>
      <c r="AU1198" s="82" t="n">
        <f aca="false">IF(AND(OR(AA1198="R",AA1198="NX",AA1198="NT",AA1198="CO"),OR('JOINTS DE RÉPARATION'!$D$5="TOUTES",B1198='JOINTS DE RÉPARATION'!$D$5),OR('JOINTS DE RÉPARATION'!$L$4="TOUS",AQ1198&lt;&gt;"ACCEPTÉ")),1,0)</f>
        <v>0</v>
      </c>
      <c r="AV1198" s="82" t="str">
        <f aca="false">IF(AU1198=1,SUM(AU$7:AU1198),"")</f>
        <v/>
      </c>
      <c r="AW1198" s="82" t="str">
        <f aca="false">IF(E1198="","",B1198&amp;"|"&amp;E1198)</f>
        <v>MFD-ISW → MFD-CPF|JN°1034</v>
      </c>
    </row>
    <row r="1199" customFormat="false" ht="74.6" hidden="false" customHeight="false" outlineLevel="0" collapsed="false">
      <c r="A1199" s="79" t="n">
        <f aca="false">IF(E1199="","",ROW()-6)</f>
        <v>1193</v>
      </c>
      <c r="B1199" s="80" t="s">
        <v>110</v>
      </c>
      <c r="C1199" s="81" t="s">
        <v>1418</v>
      </c>
      <c r="D1199" s="81" t="n">
        <v>9</v>
      </c>
      <c r="E1199" s="81" t="s">
        <v>1430</v>
      </c>
      <c r="F1199" s="82" t="str">
        <f aca="false">IF(E1199="","",IF(LEFT(E1199,2)="DJ","DJ","JN"))</f>
        <v>DJ</v>
      </c>
      <c r="G1199" s="81"/>
      <c r="H1199" s="81" t="s">
        <v>871</v>
      </c>
      <c r="I1199" s="81" t="n">
        <v>9.53</v>
      </c>
      <c r="J1199" s="81" t="s">
        <v>872</v>
      </c>
      <c r="K1199" s="81" t="s">
        <v>873</v>
      </c>
      <c r="L1199" s="81" t="n">
        <v>2088470</v>
      </c>
      <c r="M1199" s="81" t="n">
        <v>15421108</v>
      </c>
      <c r="N1199" s="81" t="n">
        <v>11.94</v>
      </c>
      <c r="O1199" s="81" t="n">
        <v>2082630</v>
      </c>
      <c r="P1199" s="81" t="n">
        <v>15421104</v>
      </c>
      <c r="Q1199" s="81" t="n">
        <v>11.94</v>
      </c>
      <c r="R1199" s="81" t="s">
        <v>1147</v>
      </c>
      <c r="S1199" s="81"/>
      <c r="T1199" s="81"/>
      <c r="U1199" s="83" t="n">
        <v>46277</v>
      </c>
      <c r="V1199" s="83" t="n">
        <v>46277</v>
      </c>
      <c r="W1199" s="81" t="s">
        <v>1136</v>
      </c>
      <c r="X1199" s="81" t="s">
        <v>876</v>
      </c>
      <c r="Y1199" s="83" t="n">
        <v>46278</v>
      </c>
      <c r="Z1199" s="81" t="s">
        <v>1412</v>
      </c>
      <c r="AA1199" s="81" t="s">
        <v>876</v>
      </c>
      <c r="AB1199" s="81"/>
      <c r="AC1199" s="81"/>
      <c r="AD1199" s="81"/>
      <c r="AE1199" s="83"/>
      <c r="AF1199" s="81"/>
      <c r="AG1199" s="81"/>
      <c r="AH1199" s="81"/>
      <c r="AI1199" s="81"/>
      <c r="AJ1199" s="83"/>
      <c r="AK1199" s="81"/>
      <c r="AL1199" s="81"/>
      <c r="AM1199" s="83"/>
      <c r="AN1199" s="80"/>
      <c r="AO1199" s="82" t="n">
        <f aca="false">IF(E1199="","",(AA1199&lt;&gt;"")+(AG1199&lt;&gt;"")+(AL1199&lt;&gt;""))</f>
        <v>1</v>
      </c>
      <c r="AP1199" s="82" t="str">
        <f aca="false">IF(AL1199&lt;&gt;"",AL1199,IF(AG1199&lt;&gt;"",AG1199,IF(AA1199&lt;&gt;"",AA1199,"")))</f>
        <v>A</v>
      </c>
      <c r="AQ1199" s="84" t="str">
        <f aca="false">IF(E1199="","",IF(U1199="","À SOUDER",IF(X1199="","VT EN ATTENTE",IF(X1199="R","VT REJETÉ – À REPRENDRE",IF(AP1199="","À RADIOGRAPHIER",IF(AP1199="A","ACCEPTÉ",IF(AP1199="NX","NX – RT À REFAIRE",IF(IF(AO1199=1,AD1199,IF(AO1199=2,AI1199,""))="A","RÉPARÉ – À RADIOGRAPHIER",IF(IF(AO1199=1,AD1199,IF(AO1199=2,AI1199,""))="R","VT REJETÉ – À REPRENDRE",IF(OR(AP1199="CO",AP1199="NT"),"COUPE – À RESOUDER","À RÉPARER"))))))))))</f>
        <v>ACCEPTÉ</v>
      </c>
      <c r="AR1199" s="82" t="str">
        <f aca="false">IF(AND(ISNUMBER(U1199),OR(AQ1199="À RADIOGRAPHIER",AQ1199="RÉPARÉ – À RADIOGRAPHIER",AQ1199="NX – RT À REFAIRE",AQ1199="À RÉPARER",AQ1199="COUPE – À RESOUDER",AQ1199="VT REJETÉ – À REPRENDRE")),MAX(0,'PROGRAMME RT'!$C$4-U1199),"")</f>
        <v/>
      </c>
      <c r="AS1199" s="82" t="n">
        <f aca="false">IF(AND(OR(AQ1199="À RADIOGRAPHIER",AQ1199="RÉPARÉ – À RADIOGRAPHIER",AQ1199="NX – RT À REFAIRE"),OR('PROGRAMME RT'!$D$5="TOUTES",B1199='PROGRAMME RT'!$D$5)),1,0)</f>
        <v>0</v>
      </c>
      <c r="AT1199" s="82" t="str">
        <f aca="false">IF(AS1199=1,SUM(AS$7:AS1199),"")</f>
        <v/>
      </c>
      <c r="AU1199" s="82" t="n">
        <f aca="false">IF(AND(OR(AA1199="R",AA1199="NX",AA1199="NT",AA1199="CO"),OR('JOINTS DE RÉPARATION'!$D$5="TOUTES",B1199='JOINTS DE RÉPARATION'!$D$5),OR('JOINTS DE RÉPARATION'!$L$4="TOUS",AQ1199&lt;&gt;"ACCEPTÉ")),1,0)</f>
        <v>0</v>
      </c>
      <c r="AV1199" s="82" t="str">
        <f aca="false">IF(AU1199=1,SUM(AU$7:AU1199),"")</f>
        <v/>
      </c>
      <c r="AW1199" s="82" t="str">
        <f aca="false">IF(E1199="","",B1199&amp;"|"&amp;E1199)</f>
        <v>MFD-ISW → MFD-CPF|DJ°346</v>
      </c>
    </row>
    <row r="1200" customFormat="false" ht="74.6" hidden="false" customHeight="false" outlineLevel="0" collapsed="false">
      <c r="A1200" s="79" t="n">
        <f aca="false">IF(E1200="","",ROW()-6)</f>
        <v>1194</v>
      </c>
      <c r="B1200" s="80" t="s">
        <v>110</v>
      </c>
      <c r="C1200" s="81" t="s">
        <v>1418</v>
      </c>
      <c r="D1200" s="81" t="n">
        <v>9</v>
      </c>
      <c r="E1200" s="81" t="s">
        <v>1431</v>
      </c>
      <c r="F1200" s="82" t="str">
        <f aca="false">IF(E1200="","",IF(LEFT(E1200,2)="DJ","DJ","JN"))</f>
        <v>JN</v>
      </c>
      <c r="G1200" s="81"/>
      <c r="H1200" s="81" t="s">
        <v>871</v>
      </c>
      <c r="I1200" s="81" t="n">
        <v>9.53</v>
      </c>
      <c r="J1200" s="81" t="s">
        <v>872</v>
      </c>
      <c r="K1200" s="81" t="s">
        <v>879</v>
      </c>
      <c r="L1200" s="81" t="n">
        <v>2082630</v>
      </c>
      <c r="M1200" s="81" t="n">
        <v>15421104</v>
      </c>
      <c r="N1200" s="81" t="n">
        <v>11.94</v>
      </c>
      <c r="O1200" s="81" t="n">
        <v>2087100</v>
      </c>
      <c r="P1200" s="81" t="n">
        <v>15421107</v>
      </c>
      <c r="Q1200" s="81" t="n">
        <v>11.94</v>
      </c>
      <c r="R1200" s="81" t="s">
        <v>1367</v>
      </c>
      <c r="S1200" s="81"/>
      <c r="T1200" s="81"/>
      <c r="U1200" s="83" t="n">
        <v>46279</v>
      </c>
      <c r="V1200" s="83" t="n">
        <v>46279</v>
      </c>
      <c r="W1200" s="81" t="s">
        <v>1427</v>
      </c>
      <c r="X1200" s="81" t="s">
        <v>876</v>
      </c>
      <c r="Y1200" s="83" t="n">
        <v>46284</v>
      </c>
      <c r="Z1200" s="81" t="s">
        <v>1380</v>
      </c>
      <c r="AA1200" s="81" t="s">
        <v>876</v>
      </c>
      <c r="AB1200" s="81"/>
      <c r="AC1200" s="81"/>
      <c r="AD1200" s="81"/>
      <c r="AE1200" s="83"/>
      <c r="AF1200" s="81"/>
      <c r="AG1200" s="81"/>
      <c r="AH1200" s="81"/>
      <c r="AI1200" s="81"/>
      <c r="AJ1200" s="83"/>
      <c r="AK1200" s="81"/>
      <c r="AL1200" s="81"/>
      <c r="AM1200" s="83"/>
      <c r="AN1200" s="80"/>
      <c r="AO1200" s="82" t="n">
        <f aca="false">IF(E1200="","",(AA1200&lt;&gt;"")+(AG1200&lt;&gt;"")+(AL1200&lt;&gt;""))</f>
        <v>1</v>
      </c>
      <c r="AP1200" s="82" t="str">
        <f aca="false">IF(AL1200&lt;&gt;"",AL1200,IF(AG1200&lt;&gt;"",AG1200,IF(AA1200&lt;&gt;"",AA1200,"")))</f>
        <v>A</v>
      </c>
      <c r="AQ1200" s="84" t="str">
        <f aca="false">IF(E1200="","",IF(U1200="","À SOUDER",IF(X1200="","VT EN ATTENTE",IF(X1200="R","VT REJETÉ – À REPRENDRE",IF(AP1200="","À RADIOGRAPHIER",IF(AP1200="A","ACCEPTÉ",IF(AP1200="NX","NX – RT À REFAIRE",IF(IF(AO1200=1,AD1200,IF(AO1200=2,AI1200,""))="A","RÉPARÉ – À RADIOGRAPHIER",IF(IF(AO1200=1,AD1200,IF(AO1200=2,AI1200,""))="R","VT REJETÉ – À REPRENDRE",IF(OR(AP1200="CO",AP1200="NT"),"COUPE – À RESOUDER","À RÉPARER"))))))))))</f>
        <v>ACCEPTÉ</v>
      </c>
      <c r="AR1200" s="82" t="str">
        <f aca="false">IF(AND(ISNUMBER(U1200),OR(AQ1200="À RADIOGRAPHIER",AQ1200="RÉPARÉ – À RADIOGRAPHIER",AQ1200="NX – RT À REFAIRE",AQ1200="À RÉPARER",AQ1200="COUPE – À RESOUDER",AQ1200="VT REJETÉ – À REPRENDRE")),MAX(0,'PROGRAMME RT'!$C$4-U1200),"")</f>
        <v/>
      </c>
      <c r="AS1200" s="82" t="n">
        <f aca="false">IF(AND(OR(AQ1200="À RADIOGRAPHIER",AQ1200="RÉPARÉ – À RADIOGRAPHIER",AQ1200="NX – RT À REFAIRE"),OR('PROGRAMME RT'!$D$5="TOUTES",B1200='PROGRAMME RT'!$D$5)),1,0)</f>
        <v>0</v>
      </c>
      <c r="AT1200" s="82" t="str">
        <f aca="false">IF(AS1200=1,SUM(AS$7:AS1200),"")</f>
        <v/>
      </c>
      <c r="AU1200" s="82" t="n">
        <f aca="false">IF(AND(OR(AA1200="R",AA1200="NX",AA1200="NT",AA1200="CO"),OR('JOINTS DE RÉPARATION'!$D$5="TOUTES",B1200='JOINTS DE RÉPARATION'!$D$5),OR('JOINTS DE RÉPARATION'!$L$4="TOUS",AQ1200&lt;&gt;"ACCEPTÉ")),1,0)</f>
        <v>0</v>
      </c>
      <c r="AV1200" s="82" t="str">
        <f aca="false">IF(AU1200=1,SUM(AU$7:AU1200),"")</f>
        <v/>
      </c>
      <c r="AW1200" s="82" t="str">
        <f aca="false">IF(E1200="","",B1200&amp;"|"&amp;E1200)</f>
        <v>MFD-ISW → MFD-CPF|JN°1035</v>
      </c>
    </row>
    <row r="1201" customFormat="false" ht="74.6" hidden="false" customHeight="false" outlineLevel="0" collapsed="false">
      <c r="A1201" s="79" t="n">
        <f aca="false">IF(E1201="","",ROW()-6)</f>
        <v>1195</v>
      </c>
      <c r="B1201" s="80" t="s">
        <v>110</v>
      </c>
      <c r="C1201" s="81" t="s">
        <v>1418</v>
      </c>
      <c r="D1201" s="81" t="n">
        <v>9</v>
      </c>
      <c r="E1201" s="81" t="s">
        <v>1432</v>
      </c>
      <c r="F1201" s="82" t="str">
        <f aca="false">IF(E1201="","",IF(LEFT(E1201,2)="DJ","DJ","JN"))</f>
        <v>DJ</v>
      </c>
      <c r="G1201" s="81"/>
      <c r="H1201" s="81" t="s">
        <v>871</v>
      </c>
      <c r="I1201" s="81" t="n">
        <v>9.53</v>
      </c>
      <c r="J1201" s="81" t="s">
        <v>872</v>
      </c>
      <c r="K1201" s="81" t="s">
        <v>873</v>
      </c>
      <c r="L1201" s="81" t="n">
        <v>2087100</v>
      </c>
      <c r="M1201" s="81" t="n">
        <v>15421107</v>
      </c>
      <c r="N1201" s="81" t="n">
        <v>11.94</v>
      </c>
      <c r="O1201" s="81" t="n">
        <v>2080070</v>
      </c>
      <c r="P1201" s="81" t="n">
        <v>15421102</v>
      </c>
      <c r="Q1201" s="81" t="n">
        <v>11.94</v>
      </c>
      <c r="R1201" s="81" t="s">
        <v>1147</v>
      </c>
      <c r="S1201" s="81"/>
      <c r="T1201" s="81"/>
      <c r="U1201" s="83" t="n">
        <v>46277</v>
      </c>
      <c r="V1201" s="83" t="n">
        <v>46277</v>
      </c>
      <c r="W1201" s="81" t="s">
        <v>1136</v>
      </c>
      <c r="X1201" s="81" t="s">
        <v>876</v>
      </c>
      <c r="Y1201" s="83" t="n">
        <v>46278</v>
      </c>
      <c r="Z1201" s="81" t="s">
        <v>1412</v>
      </c>
      <c r="AA1201" s="81" t="s">
        <v>876</v>
      </c>
      <c r="AB1201" s="81"/>
      <c r="AC1201" s="81"/>
      <c r="AD1201" s="81"/>
      <c r="AE1201" s="83"/>
      <c r="AF1201" s="81"/>
      <c r="AG1201" s="81"/>
      <c r="AH1201" s="81"/>
      <c r="AI1201" s="81"/>
      <c r="AJ1201" s="83"/>
      <c r="AK1201" s="81"/>
      <c r="AL1201" s="81"/>
      <c r="AM1201" s="83"/>
      <c r="AN1201" s="80"/>
      <c r="AO1201" s="82" t="n">
        <f aca="false">IF(E1201="","",(AA1201&lt;&gt;"")+(AG1201&lt;&gt;"")+(AL1201&lt;&gt;""))</f>
        <v>1</v>
      </c>
      <c r="AP1201" s="82" t="str">
        <f aca="false">IF(AL1201&lt;&gt;"",AL1201,IF(AG1201&lt;&gt;"",AG1201,IF(AA1201&lt;&gt;"",AA1201,"")))</f>
        <v>A</v>
      </c>
      <c r="AQ1201" s="84" t="str">
        <f aca="false">IF(E1201="","",IF(U1201="","À SOUDER",IF(X1201="","VT EN ATTENTE",IF(X1201="R","VT REJETÉ – À REPRENDRE",IF(AP1201="","À RADIOGRAPHIER",IF(AP1201="A","ACCEPTÉ",IF(AP1201="NX","NX – RT À REFAIRE",IF(IF(AO1201=1,AD1201,IF(AO1201=2,AI1201,""))="A","RÉPARÉ – À RADIOGRAPHIER",IF(IF(AO1201=1,AD1201,IF(AO1201=2,AI1201,""))="R","VT REJETÉ – À REPRENDRE",IF(OR(AP1201="CO",AP1201="NT"),"COUPE – À RESOUDER","À RÉPARER"))))))))))</f>
        <v>ACCEPTÉ</v>
      </c>
      <c r="AR1201" s="82" t="str">
        <f aca="false">IF(AND(ISNUMBER(U1201),OR(AQ1201="À RADIOGRAPHIER",AQ1201="RÉPARÉ – À RADIOGRAPHIER",AQ1201="NX – RT À REFAIRE",AQ1201="À RÉPARER",AQ1201="COUPE – À RESOUDER",AQ1201="VT REJETÉ – À REPRENDRE")),MAX(0,'PROGRAMME RT'!$C$4-U1201),"")</f>
        <v/>
      </c>
      <c r="AS1201" s="82" t="n">
        <f aca="false">IF(AND(OR(AQ1201="À RADIOGRAPHIER",AQ1201="RÉPARÉ – À RADIOGRAPHIER",AQ1201="NX – RT À REFAIRE"),OR('PROGRAMME RT'!$D$5="TOUTES",B1201='PROGRAMME RT'!$D$5)),1,0)</f>
        <v>0</v>
      </c>
      <c r="AT1201" s="82" t="str">
        <f aca="false">IF(AS1201=1,SUM(AS$7:AS1201),"")</f>
        <v/>
      </c>
      <c r="AU1201" s="82" t="n">
        <f aca="false">IF(AND(OR(AA1201="R",AA1201="NX",AA1201="NT",AA1201="CO"),OR('JOINTS DE RÉPARATION'!$D$5="TOUTES",B1201='JOINTS DE RÉPARATION'!$D$5),OR('JOINTS DE RÉPARATION'!$L$4="TOUS",AQ1201&lt;&gt;"ACCEPTÉ")),1,0)</f>
        <v>0</v>
      </c>
      <c r="AV1201" s="82" t="str">
        <f aca="false">IF(AU1201=1,SUM(AU$7:AU1201),"")</f>
        <v/>
      </c>
      <c r="AW1201" s="82" t="str">
        <f aca="false">IF(E1201="","",B1201&amp;"|"&amp;E1201)</f>
        <v>MFD-ISW → MFD-CPF|DJ°350</v>
      </c>
    </row>
    <row r="1202" customFormat="false" ht="74.6" hidden="false" customHeight="false" outlineLevel="0" collapsed="false">
      <c r="A1202" s="79" t="n">
        <f aca="false">IF(E1202="","",ROW()-6)</f>
        <v>1196</v>
      </c>
      <c r="B1202" s="80" t="s">
        <v>110</v>
      </c>
      <c r="C1202" s="81" t="s">
        <v>1418</v>
      </c>
      <c r="D1202" s="81" t="n">
        <v>9</v>
      </c>
      <c r="E1202" s="81" t="s">
        <v>1433</v>
      </c>
      <c r="F1202" s="82" t="str">
        <f aca="false">IF(E1202="","",IF(LEFT(E1202,2)="DJ","DJ","JN"))</f>
        <v>JN</v>
      </c>
      <c r="G1202" s="81"/>
      <c r="H1202" s="81" t="s">
        <v>871</v>
      </c>
      <c r="I1202" s="81" t="n">
        <v>9.53</v>
      </c>
      <c r="J1202" s="81" t="s">
        <v>872</v>
      </c>
      <c r="K1202" s="81" t="s">
        <v>879</v>
      </c>
      <c r="L1202" s="81" t="n">
        <v>2080070</v>
      </c>
      <c r="M1202" s="81" t="n">
        <v>15421102</v>
      </c>
      <c r="N1202" s="81" t="n">
        <v>11.94</v>
      </c>
      <c r="O1202" s="81" t="n">
        <v>2092330</v>
      </c>
      <c r="P1202" s="81" t="n">
        <v>15421110</v>
      </c>
      <c r="Q1202" s="81" t="n">
        <v>11.94</v>
      </c>
      <c r="R1202" s="81" t="s">
        <v>1367</v>
      </c>
      <c r="S1202" s="81"/>
      <c r="T1202" s="81"/>
      <c r="U1202" s="83" t="n">
        <v>46279</v>
      </c>
      <c r="V1202" s="83" t="n">
        <v>46279</v>
      </c>
      <c r="W1202" s="81" t="s">
        <v>1427</v>
      </c>
      <c r="X1202" s="81" t="s">
        <v>876</v>
      </c>
      <c r="Y1202" s="83" t="n">
        <v>46284</v>
      </c>
      <c r="Z1202" s="81" t="s">
        <v>1434</v>
      </c>
      <c r="AA1202" s="81" t="s">
        <v>876</v>
      </c>
      <c r="AB1202" s="81"/>
      <c r="AC1202" s="81"/>
      <c r="AD1202" s="81"/>
      <c r="AE1202" s="83"/>
      <c r="AF1202" s="81"/>
      <c r="AG1202" s="81"/>
      <c r="AH1202" s="81"/>
      <c r="AI1202" s="81"/>
      <c r="AJ1202" s="83"/>
      <c r="AK1202" s="81"/>
      <c r="AL1202" s="81"/>
      <c r="AM1202" s="83"/>
      <c r="AN1202" s="80"/>
      <c r="AO1202" s="82" t="n">
        <f aca="false">IF(E1202="","",(AA1202&lt;&gt;"")+(AG1202&lt;&gt;"")+(AL1202&lt;&gt;""))</f>
        <v>1</v>
      </c>
      <c r="AP1202" s="82" t="str">
        <f aca="false">IF(AL1202&lt;&gt;"",AL1202,IF(AG1202&lt;&gt;"",AG1202,IF(AA1202&lt;&gt;"",AA1202,"")))</f>
        <v>A</v>
      </c>
      <c r="AQ1202" s="84" t="str">
        <f aca="false">IF(E1202="","",IF(U1202="","À SOUDER",IF(X1202="","VT EN ATTENTE",IF(X1202="R","VT REJETÉ – À REPRENDRE",IF(AP1202="","À RADIOGRAPHIER",IF(AP1202="A","ACCEPTÉ",IF(AP1202="NX","NX – RT À REFAIRE",IF(IF(AO1202=1,AD1202,IF(AO1202=2,AI1202,""))="A","RÉPARÉ – À RADIOGRAPHIER",IF(IF(AO1202=1,AD1202,IF(AO1202=2,AI1202,""))="R","VT REJETÉ – À REPRENDRE",IF(OR(AP1202="CO",AP1202="NT"),"COUPE – À RESOUDER","À RÉPARER"))))))))))</f>
        <v>ACCEPTÉ</v>
      </c>
      <c r="AR1202" s="82" t="str">
        <f aca="false">IF(AND(ISNUMBER(U1202),OR(AQ1202="À RADIOGRAPHIER",AQ1202="RÉPARÉ – À RADIOGRAPHIER",AQ1202="NX – RT À REFAIRE",AQ1202="À RÉPARER",AQ1202="COUPE – À RESOUDER",AQ1202="VT REJETÉ – À REPRENDRE")),MAX(0,'PROGRAMME RT'!$C$4-U1202),"")</f>
        <v/>
      </c>
      <c r="AS1202" s="82" t="n">
        <f aca="false">IF(AND(OR(AQ1202="À RADIOGRAPHIER",AQ1202="RÉPARÉ – À RADIOGRAPHIER",AQ1202="NX – RT À REFAIRE"),OR('PROGRAMME RT'!$D$5="TOUTES",B1202='PROGRAMME RT'!$D$5)),1,0)</f>
        <v>0</v>
      </c>
      <c r="AT1202" s="82" t="str">
        <f aca="false">IF(AS1202=1,SUM(AS$7:AS1202),"")</f>
        <v/>
      </c>
      <c r="AU1202" s="82" t="n">
        <f aca="false">IF(AND(OR(AA1202="R",AA1202="NX",AA1202="NT",AA1202="CO"),OR('JOINTS DE RÉPARATION'!$D$5="TOUTES",B1202='JOINTS DE RÉPARATION'!$D$5),OR('JOINTS DE RÉPARATION'!$L$4="TOUS",AQ1202&lt;&gt;"ACCEPTÉ")),1,0)</f>
        <v>0</v>
      </c>
      <c r="AV1202" s="82" t="str">
        <f aca="false">IF(AU1202=1,SUM(AU$7:AU1202),"")</f>
        <v/>
      </c>
      <c r="AW1202" s="82" t="str">
        <f aca="false">IF(E1202="","",B1202&amp;"|"&amp;E1202)</f>
        <v>MFD-ISW → MFD-CPF|JN°1036</v>
      </c>
    </row>
    <row r="1203" customFormat="false" ht="74.6" hidden="false" customHeight="false" outlineLevel="0" collapsed="false">
      <c r="A1203" s="79" t="n">
        <f aca="false">IF(E1203="","",ROW()-6)</f>
        <v>1197</v>
      </c>
      <c r="B1203" s="80" t="s">
        <v>110</v>
      </c>
      <c r="C1203" s="81" t="s">
        <v>1418</v>
      </c>
      <c r="D1203" s="81" t="n">
        <v>9</v>
      </c>
      <c r="E1203" s="81" t="s">
        <v>1435</v>
      </c>
      <c r="F1203" s="82" t="str">
        <f aca="false">IF(E1203="","",IF(LEFT(E1203,2)="DJ","DJ","JN"))</f>
        <v>DJ</v>
      </c>
      <c r="G1203" s="81"/>
      <c r="H1203" s="81" t="s">
        <v>871</v>
      </c>
      <c r="I1203" s="81" t="n">
        <v>9.53</v>
      </c>
      <c r="J1203" s="81" t="s">
        <v>872</v>
      </c>
      <c r="K1203" s="81" t="s">
        <v>873</v>
      </c>
      <c r="L1203" s="81" t="n">
        <v>2092330</v>
      </c>
      <c r="M1203" s="81" t="n">
        <v>15421110</v>
      </c>
      <c r="N1203" s="81" t="n">
        <v>11.94</v>
      </c>
      <c r="O1203" s="81" t="n">
        <v>2097560</v>
      </c>
      <c r="P1203" s="81" t="n">
        <v>15421112</v>
      </c>
      <c r="Q1203" s="81" t="n">
        <v>11.94</v>
      </c>
      <c r="R1203" s="81" t="s">
        <v>1135</v>
      </c>
      <c r="S1203" s="81"/>
      <c r="T1203" s="81"/>
      <c r="U1203" s="83" t="n">
        <v>46277</v>
      </c>
      <c r="V1203" s="83" t="n">
        <v>46277</v>
      </c>
      <c r="W1203" s="81" t="s">
        <v>1136</v>
      </c>
      <c r="X1203" s="81" t="s">
        <v>876</v>
      </c>
      <c r="Y1203" s="83" t="n">
        <v>46278</v>
      </c>
      <c r="Z1203" s="81" t="s">
        <v>1412</v>
      </c>
      <c r="AA1203" s="81" t="s">
        <v>876</v>
      </c>
      <c r="AB1203" s="81"/>
      <c r="AC1203" s="81"/>
      <c r="AD1203" s="81"/>
      <c r="AE1203" s="83"/>
      <c r="AF1203" s="81"/>
      <c r="AG1203" s="81"/>
      <c r="AH1203" s="81"/>
      <c r="AI1203" s="81"/>
      <c r="AJ1203" s="83"/>
      <c r="AK1203" s="81"/>
      <c r="AL1203" s="81"/>
      <c r="AM1203" s="83"/>
      <c r="AN1203" s="80"/>
      <c r="AO1203" s="82" t="n">
        <f aca="false">IF(E1203="","",(AA1203&lt;&gt;"")+(AG1203&lt;&gt;"")+(AL1203&lt;&gt;""))</f>
        <v>1</v>
      </c>
      <c r="AP1203" s="82" t="str">
        <f aca="false">IF(AL1203&lt;&gt;"",AL1203,IF(AG1203&lt;&gt;"",AG1203,IF(AA1203&lt;&gt;"",AA1203,"")))</f>
        <v>A</v>
      </c>
      <c r="AQ1203" s="84" t="str">
        <f aca="false">IF(E1203="","",IF(U1203="","À SOUDER",IF(X1203="","VT EN ATTENTE",IF(X1203="R","VT REJETÉ – À REPRENDRE",IF(AP1203="","À RADIOGRAPHIER",IF(AP1203="A","ACCEPTÉ",IF(AP1203="NX","NX – RT À REFAIRE",IF(IF(AO1203=1,AD1203,IF(AO1203=2,AI1203,""))="A","RÉPARÉ – À RADIOGRAPHIER",IF(IF(AO1203=1,AD1203,IF(AO1203=2,AI1203,""))="R","VT REJETÉ – À REPRENDRE",IF(OR(AP1203="CO",AP1203="NT"),"COUPE – À RESOUDER","À RÉPARER"))))))))))</f>
        <v>ACCEPTÉ</v>
      </c>
      <c r="AR1203" s="82" t="str">
        <f aca="false">IF(AND(ISNUMBER(U1203),OR(AQ1203="À RADIOGRAPHIER",AQ1203="RÉPARÉ – À RADIOGRAPHIER",AQ1203="NX – RT À REFAIRE",AQ1203="À RÉPARER",AQ1203="COUPE – À RESOUDER",AQ1203="VT REJETÉ – À REPRENDRE")),MAX(0,'PROGRAMME RT'!$C$4-U1203),"")</f>
        <v/>
      </c>
      <c r="AS1203" s="82" t="n">
        <f aca="false">IF(AND(OR(AQ1203="À RADIOGRAPHIER",AQ1203="RÉPARÉ – À RADIOGRAPHIER",AQ1203="NX – RT À REFAIRE"),OR('PROGRAMME RT'!$D$5="TOUTES",B1203='PROGRAMME RT'!$D$5)),1,0)</f>
        <v>0</v>
      </c>
      <c r="AT1203" s="82" t="str">
        <f aca="false">IF(AS1203=1,SUM(AS$7:AS1203),"")</f>
        <v/>
      </c>
      <c r="AU1203" s="82" t="n">
        <f aca="false">IF(AND(OR(AA1203="R",AA1203="NX",AA1203="NT",AA1203="CO"),OR('JOINTS DE RÉPARATION'!$D$5="TOUTES",B1203='JOINTS DE RÉPARATION'!$D$5),OR('JOINTS DE RÉPARATION'!$L$4="TOUS",AQ1203&lt;&gt;"ACCEPTÉ")),1,0)</f>
        <v>0</v>
      </c>
      <c r="AV1203" s="82" t="str">
        <f aca="false">IF(AU1203=1,SUM(AU$7:AU1203),"")</f>
        <v/>
      </c>
      <c r="AW1203" s="82" t="str">
        <f aca="false">IF(E1203="","",B1203&amp;"|"&amp;E1203)</f>
        <v>MFD-ISW → MFD-CPF|DJ°351</v>
      </c>
    </row>
    <row r="1204" customFormat="false" ht="74.6" hidden="false" customHeight="false" outlineLevel="0" collapsed="false">
      <c r="A1204" s="79" t="n">
        <f aca="false">IF(E1204="","",ROW()-6)</f>
        <v>1198</v>
      </c>
      <c r="B1204" s="80" t="s">
        <v>110</v>
      </c>
      <c r="C1204" s="81" t="s">
        <v>1418</v>
      </c>
      <c r="D1204" s="81" t="n">
        <v>9</v>
      </c>
      <c r="E1204" s="81" t="s">
        <v>1436</v>
      </c>
      <c r="F1204" s="82" t="str">
        <f aca="false">IF(E1204="","",IF(LEFT(E1204,2)="DJ","DJ","JN"))</f>
        <v>JN</v>
      </c>
      <c r="G1204" s="81"/>
      <c r="H1204" s="81" t="s">
        <v>871</v>
      </c>
      <c r="I1204" s="81" t="n">
        <v>9.53</v>
      </c>
      <c r="J1204" s="81" t="s">
        <v>872</v>
      </c>
      <c r="K1204" s="81" t="s">
        <v>879</v>
      </c>
      <c r="L1204" s="81" t="n">
        <v>2097560</v>
      </c>
      <c r="M1204" s="81" t="n">
        <v>15421112</v>
      </c>
      <c r="N1204" s="81" t="n">
        <v>11.94</v>
      </c>
      <c r="O1204" s="81" t="n">
        <v>2083180</v>
      </c>
      <c r="P1204" s="81" t="n">
        <v>15421105</v>
      </c>
      <c r="Q1204" s="81" t="n">
        <v>11.94</v>
      </c>
      <c r="R1204" s="81" t="s">
        <v>1367</v>
      </c>
      <c r="S1204" s="81"/>
      <c r="T1204" s="81"/>
      <c r="U1204" s="83" t="n">
        <v>46279</v>
      </c>
      <c r="V1204" s="83" t="n">
        <v>46279</v>
      </c>
      <c r="W1204" s="81" t="s">
        <v>1427</v>
      </c>
      <c r="X1204" s="81" t="s">
        <v>876</v>
      </c>
      <c r="Y1204" s="83" t="n">
        <v>46284</v>
      </c>
      <c r="Z1204" s="81" t="s">
        <v>1434</v>
      </c>
      <c r="AA1204" s="81" t="s">
        <v>876</v>
      </c>
      <c r="AB1204" s="81"/>
      <c r="AC1204" s="81"/>
      <c r="AD1204" s="81"/>
      <c r="AE1204" s="83"/>
      <c r="AF1204" s="81"/>
      <c r="AG1204" s="81"/>
      <c r="AH1204" s="81"/>
      <c r="AI1204" s="81"/>
      <c r="AJ1204" s="83"/>
      <c r="AK1204" s="81"/>
      <c r="AL1204" s="81"/>
      <c r="AM1204" s="83"/>
      <c r="AN1204" s="80"/>
      <c r="AO1204" s="82" t="n">
        <f aca="false">IF(E1204="","",(AA1204&lt;&gt;"")+(AG1204&lt;&gt;"")+(AL1204&lt;&gt;""))</f>
        <v>1</v>
      </c>
      <c r="AP1204" s="82" t="str">
        <f aca="false">IF(AL1204&lt;&gt;"",AL1204,IF(AG1204&lt;&gt;"",AG1204,IF(AA1204&lt;&gt;"",AA1204,"")))</f>
        <v>A</v>
      </c>
      <c r="AQ1204" s="84" t="str">
        <f aca="false">IF(E1204="","",IF(U1204="","À SOUDER",IF(X1204="","VT EN ATTENTE",IF(X1204="R","VT REJETÉ – À REPRENDRE",IF(AP1204="","À RADIOGRAPHIER",IF(AP1204="A","ACCEPTÉ",IF(AP1204="NX","NX – RT À REFAIRE",IF(IF(AO1204=1,AD1204,IF(AO1204=2,AI1204,""))="A","RÉPARÉ – À RADIOGRAPHIER",IF(IF(AO1204=1,AD1204,IF(AO1204=2,AI1204,""))="R","VT REJETÉ – À REPRENDRE",IF(OR(AP1204="CO",AP1204="NT"),"COUPE – À RESOUDER","À RÉPARER"))))))))))</f>
        <v>ACCEPTÉ</v>
      </c>
      <c r="AR1204" s="82" t="str">
        <f aca="false">IF(AND(ISNUMBER(U1204),OR(AQ1204="À RADIOGRAPHIER",AQ1204="RÉPARÉ – À RADIOGRAPHIER",AQ1204="NX – RT À REFAIRE",AQ1204="À RÉPARER",AQ1204="COUPE – À RESOUDER",AQ1204="VT REJETÉ – À REPRENDRE")),MAX(0,'PROGRAMME RT'!$C$4-U1204),"")</f>
        <v/>
      </c>
      <c r="AS1204" s="82" t="n">
        <f aca="false">IF(AND(OR(AQ1204="À RADIOGRAPHIER",AQ1204="RÉPARÉ – À RADIOGRAPHIER",AQ1204="NX – RT À REFAIRE"),OR('PROGRAMME RT'!$D$5="TOUTES",B1204='PROGRAMME RT'!$D$5)),1,0)</f>
        <v>0</v>
      </c>
      <c r="AT1204" s="82" t="str">
        <f aca="false">IF(AS1204=1,SUM(AS$7:AS1204),"")</f>
        <v/>
      </c>
      <c r="AU1204" s="82" t="n">
        <f aca="false">IF(AND(OR(AA1204="R",AA1204="NX",AA1204="NT",AA1204="CO"),OR('JOINTS DE RÉPARATION'!$D$5="TOUTES",B1204='JOINTS DE RÉPARATION'!$D$5),OR('JOINTS DE RÉPARATION'!$L$4="TOUS",AQ1204&lt;&gt;"ACCEPTÉ")),1,0)</f>
        <v>0</v>
      </c>
      <c r="AV1204" s="82" t="str">
        <f aca="false">IF(AU1204=1,SUM(AU$7:AU1204),"")</f>
        <v/>
      </c>
      <c r="AW1204" s="82" t="str">
        <f aca="false">IF(E1204="","",B1204&amp;"|"&amp;E1204)</f>
        <v>MFD-ISW → MFD-CPF|JN°1037</v>
      </c>
    </row>
    <row r="1205" customFormat="false" ht="74.6" hidden="false" customHeight="false" outlineLevel="0" collapsed="false">
      <c r="A1205" s="79" t="n">
        <f aca="false">IF(E1205="","",ROW()-6)</f>
        <v>1199</v>
      </c>
      <c r="B1205" s="80" t="s">
        <v>110</v>
      </c>
      <c r="C1205" s="81" t="s">
        <v>1418</v>
      </c>
      <c r="D1205" s="81" t="n">
        <v>9</v>
      </c>
      <c r="E1205" s="81" t="s">
        <v>1437</v>
      </c>
      <c r="F1205" s="82" t="str">
        <f aca="false">IF(E1205="","",IF(LEFT(E1205,2)="DJ","DJ","JN"))</f>
        <v>DJ</v>
      </c>
      <c r="G1205" s="81"/>
      <c r="H1205" s="81" t="s">
        <v>871</v>
      </c>
      <c r="I1205" s="81" t="n">
        <v>9.53</v>
      </c>
      <c r="J1205" s="81" t="s">
        <v>872</v>
      </c>
      <c r="K1205" s="81" t="s">
        <v>873</v>
      </c>
      <c r="L1205" s="81" t="n">
        <v>2083180</v>
      </c>
      <c r="M1205" s="81" t="n">
        <v>15421105</v>
      </c>
      <c r="N1205" s="81" t="n">
        <v>11.94</v>
      </c>
      <c r="O1205" s="81" t="n">
        <v>2087460</v>
      </c>
      <c r="P1205" s="81" t="n">
        <v>15421107</v>
      </c>
      <c r="Q1205" s="81" t="n">
        <v>11.94</v>
      </c>
      <c r="R1205" s="81" t="s">
        <v>963</v>
      </c>
      <c r="S1205" s="81"/>
      <c r="T1205" s="81"/>
      <c r="U1205" s="83" t="n">
        <v>46277</v>
      </c>
      <c r="V1205" s="83" t="n">
        <v>46277</v>
      </c>
      <c r="W1205" s="81" t="s">
        <v>1136</v>
      </c>
      <c r="X1205" s="81" t="s">
        <v>876</v>
      </c>
      <c r="Y1205" s="83" t="n">
        <v>46278</v>
      </c>
      <c r="Z1205" s="81" t="s">
        <v>1412</v>
      </c>
      <c r="AA1205" s="81" t="s">
        <v>876</v>
      </c>
      <c r="AB1205" s="81"/>
      <c r="AC1205" s="81"/>
      <c r="AD1205" s="81"/>
      <c r="AE1205" s="83"/>
      <c r="AF1205" s="81"/>
      <c r="AG1205" s="81"/>
      <c r="AH1205" s="81"/>
      <c r="AI1205" s="81"/>
      <c r="AJ1205" s="83"/>
      <c r="AK1205" s="81"/>
      <c r="AL1205" s="81"/>
      <c r="AM1205" s="83"/>
      <c r="AN1205" s="80"/>
      <c r="AO1205" s="82" t="n">
        <f aca="false">IF(E1205="","",(AA1205&lt;&gt;"")+(AG1205&lt;&gt;"")+(AL1205&lt;&gt;""))</f>
        <v>1</v>
      </c>
      <c r="AP1205" s="82" t="str">
        <f aca="false">IF(AL1205&lt;&gt;"",AL1205,IF(AG1205&lt;&gt;"",AG1205,IF(AA1205&lt;&gt;"",AA1205,"")))</f>
        <v>A</v>
      </c>
      <c r="AQ1205" s="84" t="str">
        <f aca="false">IF(E1205="","",IF(U1205="","À SOUDER",IF(X1205="","VT EN ATTENTE",IF(X1205="R","VT REJETÉ – À REPRENDRE",IF(AP1205="","À RADIOGRAPHIER",IF(AP1205="A","ACCEPTÉ",IF(AP1205="NX","NX – RT À REFAIRE",IF(IF(AO1205=1,AD1205,IF(AO1205=2,AI1205,""))="A","RÉPARÉ – À RADIOGRAPHIER",IF(IF(AO1205=1,AD1205,IF(AO1205=2,AI1205,""))="R","VT REJETÉ – À REPRENDRE",IF(OR(AP1205="CO",AP1205="NT"),"COUPE – À RESOUDER","À RÉPARER"))))))))))</f>
        <v>ACCEPTÉ</v>
      </c>
      <c r="AR1205" s="82" t="str">
        <f aca="false">IF(AND(ISNUMBER(U1205),OR(AQ1205="À RADIOGRAPHIER",AQ1205="RÉPARÉ – À RADIOGRAPHIER",AQ1205="NX – RT À REFAIRE",AQ1205="À RÉPARER",AQ1205="COUPE – À RESOUDER",AQ1205="VT REJETÉ – À REPRENDRE")),MAX(0,'PROGRAMME RT'!$C$4-U1205),"")</f>
        <v/>
      </c>
      <c r="AS1205" s="82" t="n">
        <f aca="false">IF(AND(OR(AQ1205="À RADIOGRAPHIER",AQ1205="RÉPARÉ – À RADIOGRAPHIER",AQ1205="NX – RT À REFAIRE"),OR('PROGRAMME RT'!$D$5="TOUTES",B1205='PROGRAMME RT'!$D$5)),1,0)</f>
        <v>0</v>
      </c>
      <c r="AT1205" s="82" t="str">
        <f aca="false">IF(AS1205=1,SUM(AS$7:AS1205),"")</f>
        <v/>
      </c>
      <c r="AU1205" s="82" t="n">
        <f aca="false">IF(AND(OR(AA1205="R",AA1205="NX",AA1205="NT",AA1205="CO"),OR('JOINTS DE RÉPARATION'!$D$5="TOUTES",B1205='JOINTS DE RÉPARATION'!$D$5),OR('JOINTS DE RÉPARATION'!$L$4="TOUS",AQ1205&lt;&gt;"ACCEPTÉ")),1,0)</f>
        <v>0</v>
      </c>
      <c r="AV1205" s="82" t="str">
        <f aca="false">IF(AU1205=1,SUM(AU$7:AU1205),"")</f>
        <v/>
      </c>
      <c r="AW1205" s="82" t="str">
        <f aca="false">IF(E1205="","",B1205&amp;"|"&amp;E1205)</f>
        <v>MFD-ISW → MFD-CPF|DJ°354</v>
      </c>
    </row>
    <row r="1206" customFormat="false" ht="74.6" hidden="false" customHeight="false" outlineLevel="0" collapsed="false">
      <c r="A1206" s="79" t="n">
        <f aca="false">IF(E1206="","",ROW()-6)</f>
        <v>1200</v>
      </c>
      <c r="B1206" s="80" t="s">
        <v>110</v>
      </c>
      <c r="C1206" s="81" t="s">
        <v>1418</v>
      </c>
      <c r="D1206" s="81" t="n">
        <v>9</v>
      </c>
      <c r="E1206" s="81" t="s">
        <v>1438</v>
      </c>
      <c r="F1206" s="82" t="str">
        <f aca="false">IF(E1206="","",IF(LEFT(E1206,2)="DJ","DJ","JN"))</f>
        <v>JN</v>
      </c>
      <c r="G1206" s="81"/>
      <c r="H1206" s="81" t="s">
        <v>871</v>
      </c>
      <c r="I1206" s="81" t="n">
        <v>9.53</v>
      </c>
      <c r="J1206" s="81" t="s">
        <v>872</v>
      </c>
      <c r="K1206" s="81" t="s">
        <v>879</v>
      </c>
      <c r="L1206" s="81" t="n">
        <v>2087460</v>
      </c>
      <c r="M1206" s="81" t="n">
        <v>15421107</v>
      </c>
      <c r="N1206" s="81" t="n">
        <v>11.94</v>
      </c>
      <c r="O1206" s="81" t="n">
        <v>2097290</v>
      </c>
      <c r="P1206" s="81" t="n">
        <v>15421112</v>
      </c>
      <c r="Q1206" s="81" t="n">
        <v>11.94</v>
      </c>
      <c r="R1206" s="81" t="s">
        <v>1367</v>
      </c>
      <c r="S1206" s="81"/>
      <c r="T1206" s="81"/>
      <c r="U1206" s="83" t="n">
        <v>46279</v>
      </c>
      <c r="V1206" s="83" t="n">
        <v>46279</v>
      </c>
      <c r="W1206" s="81" t="s">
        <v>1427</v>
      </c>
      <c r="X1206" s="81" t="s">
        <v>876</v>
      </c>
      <c r="Y1206" s="83" t="n">
        <v>46284</v>
      </c>
      <c r="Z1206" s="81" t="s">
        <v>1434</v>
      </c>
      <c r="AA1206" s="81" t="s">
        <v>1073</v>
      </c>
      <c r="AB1206" s="81" t="s">
        <v>1439</v>
      </c>
      <c r="AC1206" s="81"/>
      <c r="AD1206" s="81"/>
      <c r="AE1206" s="83"/>
      <c r="AF1206" s="81"/>
      <c r="AG1206" s="81"/>
      <c r="AH1206" s="81"/>
      <c r="AI1206" s="81"/>
      <c r="AJ1206" s="83"/>
      <c r="AK1206" s="81"/>
      <c r="AL1206" s="81"/>
      <c r="AM1206" s="83"/>
      <c r="AN1206" s="80"/>
      <c r="AO1206" s="82" t="n">
        <f aca="false">IF(E1206="","",(AA1206&lt;&gt;"")+(AG1206&lt;&gt;"")+(AL1206&lt;&gt;""))</f>
        <v>1</v>
      </c>
      <c r="AP1206" s="82" t="str">
        <f aca="false">IF(AL1206&lt;&gt;"",AL1206,IF(AG1206&lt;&gt;"",AG1206,IF(AA1206&lt;&gt;"",AA1206,"")))</f>
        <v>R</v>
      </c>
      <c r="AQ1206" s="84" t="str">
        <f aca="false">IF(E1206="","",IF(U1206="","À SOUDER",IF(X1206="","VT EN ATTENTE",IF(X1206="R","VT REJETÉ – À REPRENDRE",IF(AP1206="","À RADIOGRAPHIER",IF(AP1206="A","ACCEPTÉ",IF(AP1206="NX","NX – RT À REFAIRE",IF(IF(AO1206=1,AD1206,IF(AO1206=2,AI1206,""))="A","RÉPARÉ – À RADIOGRAPHIER",IF(IF(AO1206=1,AD1206,IF(AO1206=2,AI1206,""))="R","VT REJETÉ – À REPRENDRE",IF(OR(AP1206="CO",AP1206="NT"),"COUPE – À RESOUDER","À RÉPARER"))))))))))</f>
        <v>À RÉPARER</v>
      </c>
      <c r="AR1206" s="82" t="n">
        <f aca="false">IF(AND(ISNUMBER(U1206),OR(AQ1206="À RADIOGRAPHIER",AQ1206="RÉPARÉ – À RADIOGRAPHIER",AQ1206="NX – RT À REFAIRE",AQ1206="À RÉPARER",AQ1206="COUPE – À RESOUDER",AQ1206="VT REJETÉ – À REPRENDRE")),MAX(0,'PROGRAMME RT'!$C$4-U1206),"")</f>
        <v>14</v>
      </c>
      <c r="AS1206" s="82" t="n">
        <f aca="false">IF(AND(OR(AQ1206="À RADIOGRAPHIER",AQ1206="RÉPARÉ – À RADIOGRAPHIER",AQ1206="NX – RT À REFAIRE"),OR('PROGRAMME RT'!$D$5="TOUTES",B1206='PROGRAMME RT'!$D$5)),1,0)</f>
        <v>0</v>
      </c>
      <c r="AT1206" s="82" t="str">
        <f aca="false">IF(AS1206=1,SUM(AS$7:AS1206),"")</f>
        <v/>
      </c>
      <c r="AU1206" s="82" t="n">
        <f aca="false">IF(AND(OR(AA1206="R",AA1206="NX",AA1206="NT",AA1206="CO"),OR('JOINTS DE RÉPARATION'!$D$5="TOUTES",B1206='JOINTS DE RÉPARATION'!$D$5),OR('JOINTS DE RÉPARATION'!$L$4="TOUS",AQ1206&lt;&gt;"ACCEPTÉ")),1,0)</f>
        <v>1</v>
      </c>
      <c r="AV1206" s="82" t="n">
        <f aca="false">IF(AU1206=1,SUM(AU$7:AU1206),"")</f>
        <v>24</v>
      </c>
      <c r="AW1206" s="82" t="str">
        <f aca="false">IF(E1206="","",B1206&amp;"|"&amp;E1206)</f>
        <v>MFD-ISW → MFD-CPF|JN°1038</v>
      </c>
    </row>
    <row r="1207" customFormat="false" ht="74.6" hidden="false" customHeight="false" outlineLevel="0" collapsed="false">
      <c r="A1207" s="79" t="n">
        <f aca="false">IF(E1207="","",ROW()-6)</f>
        <v>1201</v>
      </c>
      <c r="B1207" s="80" t="s">
        <v>110</v>
      </c>
      <c r="C1207" s="81" t="s">
        <v>1418</v>
      </c>
      <c r="D1207" s="81" t="n">
        <v>9</v>
      </c>
      <c r="E1207" s="81" t="s">
        <v>1440</v>
      </c>
      <c r="F1207" s="82" t="str">
        <f aca="false">IF(E1207="","",IF(LEFT(E1207,2)="DJ","DJ","JN"))</f>
        <v>DJ</v>
      </c>
      <c r="G1207" s="81"/>
      <c r="H1207" s="81" t="s">
        <v>871</v>
      </c>
      <c r="I1207" s="81" t="n">
        <v>9.53</v>
      </c>
      <c r="J1207" s="81" t="s">
        <v>872</v>
      </c>
      <c r="K1207" s="81" t="s">
        <v>873</v>
      </c>
      <c r="L1207" s="81" t="n">
        <v>2097290</v>
      </c>
      <c r="M1207" s="81" t="n">
        <v>15421112</v>
      </c>
      <c r="N1207" s="81" t="n">
        <v>11.94</v>
      </c>
      <c r="O1207" s="81" t="n">
        <v>2087050</v>
      </c>
      <c r="P1207" s="81" t="n">
        <v>15421103</v>
      </c>
      <c r="Q1207" s="81" t="n">
        <v>11.94</v>
      </c>
      <c r="R1207" s="81" t="s">
        <v>963</v>
      </c>
      <c r="S1207" s="81"/>
      <c r="T1207" s="81"/>
      <c r="U1207" s="83" t="n">
        <v>46277</v>
      </c>
      <c r="V1207" s="83" t="n">
        <v>46277</v>
      </c>
      <c r="W1207" s="81" t="s">
        <v>1136</v>
      </c>
      <c r="X1207" s="81" t="s">
        <v>876</v>
      </c>
      <c r="Y1207" s="83" t="n">
        <v>46278</v>
      </c>
      <c r="Z1207" s="81" t="s">
        <v>1412</v>
      </c>
      <c r="AA1207" s="81" t="s">
        <v>876</v>
      </c>
      <c r="AB1207" s="81"/>
      <c r="AC1207" s="81"/>
      <c r="AD1207" s="81"/>
      <c r="AE1207" s="83"/>
      <c r="AF1207" s="81"/>
      <c r="AG1207" s="81"/>
      <c r="AH1207" s="81"/>
      <c r="AI1207" s="81"/>
      <c r="AJ1207" s="83"/>
      <c r="AK1207" s="81"/>
      <c r="AL1207" s="81"/>
      <c r="AM1207" s="83"/>
      <c r="AN1207" s="80"/>
      <c r="AO1207" s="82" t="n">
        <f aca="false">IF(E1207="","",(AA1207&lt;&gt;"")+(AG1207&lt;&gt;"")+(AL1207&lt;&gt;""))</f>
        <v>1</v>
      </c>
      <c r="AP1207" s="82" t="str">
        <f aca="false">IF(AL1207&lt;&gt;"",AL1207,IF(AG1207&lt;&gt;"",AG1207,IF(AA1207&lt;&gt;"",AA1207,"")))</f>
        <v>A</v>
      </c>
      <c r="AQ1207" s="84" t="str">
        <f aca="false">IF(E1207="","",IF(U1207="","À SOUDER",IF(X1207="","VT EN ATTENTE",IF(X1207="R","VT REJETÉ – À REPRENDRE",IF(AP1207="","À RADIOGRAPHIER",IF(AP1207="A","ACCEPTÉ",IF(AP1207="NX","NX – RT À REFAIRE",IF(IF(AO1207=1,AD1207,IF(AO1207=2,AI1207,""))="A","RÉPARÉ – À RADIOGRAPHIER",IF(IF(AO1207=1,AD1207,IF(AO1207=2,AI1207,""))="R","VT REJETÉ – À REPRENDRE",IF(OR(AP1207="CO",AP1207="NT"),"COUPE – À RESOUDER","À RÉPARER"))))))))))</f>
        <v>ACCEPTÉ</v>
      </c>
      <c r="AR1207" s="82" t="str">
        <f aca="false">IF(AND(ISNUMBER(U1207),OR(AQ1207="À RADIOGRAPHIER",AQ1207="RÉPARÉ – À RADIOGRAPHIER",AQ1207="NX – RT À REFAIRE",AQ1207="À RÉPARER",AQ1207="COUPE – À RESOUDER",AQ1207="VT REJETÉ – À REPRENDRE")),MAX(0,'PROGRAMME RT'!$C$4-U1207),"")</f>
        <v/>
      </c>
      <c r="AS1207" s="82" t="n">
        <f aca="false">IF(AND(OR(AQ1207="À RADIOGRAPHIER",AQ1207="RÉPARÉ – À RADIOGRAPHIER",AQ1207="NX – RT À REFAIRE"),OR('PROGRAMME RT'!$D$5="TOUTES",B1207='PROGRAMME RT'!$D$5)),1,0)</f>
        <v>0</v>
      </c>
      <c r="AT1207" s="82" t="str">
        <f aca="false">IF(AS1207=1,SUM(AS$7:AS1207),"")</f>
        <v/>
      </c>
      <c r="AU1207" s="82" t="n">
        <f aca="false">IF(AND(OR(AA1207="R",AA1207="NX",AA1207="NT",AA1207="CO"),OR('JOINTS DE RÉPARATION'!$D$5="TOUTES",B1207='JOINTS DE RÉPARATION'!$D$5),OR('JOINTS DE RÉPARATION'!$L$4="TOUS",AQ1207&lt;&gt;"ACCEPTÉ")),1,0)</f>
        <v>0</v>
      </c>
      <c r="AV1207" s="82" t="str">
        <f aca="false">IF(AU1207=1,SUM(AU$7:AU1207),"")</f>
        <v/>
      </c>
      <c r="AW1207" s="82" t="str">
        <f aca="false">IF(E1207="","",B1207&amp;"|"&amp;E1207)</f>
        <v>MFD-ISW → MFD-CPF|DJ°348</v>
      </c>
    </row>
    <row r="1208" customFormat="false" ht="74.6" hidden="false" customHeight="false" outlineLevel="0" collapsed="false">
      <c r="A1208" s="79" t="n">
        <f aca="false">IF(E1208="","",ROW()-6)</f>
        <v>1202</v>
      </c>
      <c r="B1208" s="80" t="s">
        <v>110</v>
      </c>
      <c r="C1208" s="81" t="s">
        <v>1418</v>
      </c>
      <c r="D1208" s="81" t="n">
        <v>9</v>
      </c>
      <c r="E1208" s="81" t="s">
        <v>1441</v>
      </c>
      <c r="F1208" s="82" t="str">
        <f aca="false">IF(E1208="","",IF(LEFT(E1208,2)="DJ","DJ","JN"))</f>
        <v>JN</v>
      </c>
      <c r="G1208" s="81"/>
      <c r="H1208" s="81" t="s">
        <v>871</v>
      </c>
      <c r="I1208" s="81" t="n">
        <v>9.53</v>
      </c>
      <c r="J1208" s="81" t="s">
        <v>872</v>
      </c>
      <c r="K1208" s="81" t="s">
        <v>879</v>
      </c>
      <c r="L1208" s="81" t="n">
        <v>2087050</v>
      </c>
      <c r="M1208" s="81" t="n">
        <v>15421103</v>
      </c>
      <c r="N1208" s="81" t="n">
        <v>11.94</v>
      </c>
      <c r="O1208" s="81" t="n">
        <v>2081100</v>
      </c>
      <c r="P1208" s="81" t="n">
        <v>15421103</v>
      </c>
      <c r="Q1208" s="81" t="n">
        <v>11.94</v>
      </c>
      <c r="R1208" s="81" t="s">
        <v>1367</v>
      </c>
      <c r="S1208" s="81"/>
      <c r="T1208" s="81"/>
      <c r="U1208" s="83" t="n">
        <v>46279</v>
      </c>
      <c r="V1208" s="83" t="n">
        <v>46279</v>
      </c>
      <c r="W1208" s="81" t="s">
        <v>1427</v>
      </c>
      <c r="X1208" s="81" t="s">
        <v>876</v>
      </c>
      <c r="Y1208" s="83" t="n">
        <v>46284</v>
      </c>
      <c r="Z1208" s="81" t="s">
        <v>1434</v>
      </c>
      <c r="AA1208" s="81" t="s">
        <v>1073</v>
      </c>
      <c r="AB1208" s="81" t="s">
        <v>1442</v>
      </c>
      <c r="AC1208" s="81"/>
      <c r="AD1208" s="81"/>
      <c r="AE1208" s="83"/>
      <c r="AF1208" s="81"/>
      <c r="AG1208" s="81"/>
      <c r="AH1208" s="81"/>
      <c r="AI1208" s="81"/>
      <c r="AJ1208" s="83"/>
      <c r="AK1208" s="81"/>
      <c r="AL1208" s="81"/>
      <c r="AM1208" s="83"/>
      <c r="AN1208" s="80"/>
      <c r="AO1208" s="82" t="n">
        <f aca="false">IF(E1208="","",(AA1208&lt;&gt;"")+(AG1208&lt;&gt;"")+(AL1208&lt;&gt;""))</f>
        <v>1</v>
      </c>
      <c r="AP1208" s="82" t="str">
        <f aca="false">IF(AL1208&lt;&gt;"",AL1208,IF(AG1208&lt;&gt;"",AG1208,IF(AA1208&lt;&gt;"",AA1208,"")))</f>
        <v>R</v>
      </c>
      <c r="AQ1208" s="84" t="str">
        <f aca="false">IF(E1208="","",IF(U1208="","À SOUDER",IF(X1208="","VT EN ATTENTE",IF(X1208="R","VT REJETÉ – À REPRENDRE",IF(AP1208="","À RADIOGRAPHIER",IF(AP1208="A","ACCEPTÉ",IF(AP1208="NX","NX – RT À REFAIRE",IF(IF(AO1208=1,AD1208,IF(AO1208=2,AI1208,""))="A","RÉPARÉ – À RADIOGRAPHIER",IF(IF(AO1208=1,AD1208,IF(AO1208=2,AI1208,""))="R","VT REJETÉ – À REPRENDRE",IF(OR(AP1208="CO",AP1208="NT"),"COUPE – À RESOUDER","À RÉPARER"))))))))))</f>
        <v>À RÉPARER</v>
      </c>
      <c r="AR1208" s="82" t="n">
        <f aca="false">IF(AND(ISNUMBER(U1208),OR(AQ1208="À RADIOGRAPHIER",AQ1208="RÉPARÉ – À RADIOGRAPHIER",AQ1208="NX – RT À REFAIRE",AQ1208="À RÉPARER",AQ1208="COUPE – À RESOUDER",AQ1208="VT REJETÉ – À REPRENDRE")),MAX(0,'PROGRAMME RT'!$C$4-U1208),"")</f>
        <v>14</v>
      </c>
      <c r="AS1208" s="82" t="n">
        <f aca="false">IF(AND(OR(AQ1208="À RADIOGRAPHIER",AQ1208="RÉPARÉ – À RADIOGRAPHIER",AQ1208="NX – RT À REFAIRE"),OR('PROGRAMME RT'!$D$5="TOUTES",B1208='PROGRAMME RT'!$D$5)),1,0)</f>
        <v>0</v>
      </c>
      <c r="AT1208" s="82" t="str">
        <f aca="false">IF(AS1208=1,SUM(AS$7:AS1208),"")</f>
        <v/>
      </c>
      <c r="AU1208" s="82" t="n">
        <f aca="false">IF(AND(OR(AA1208="R",AA1208="NX",AA1208="NT",AA1208="CO"),OR('JOINTS DE RÉPARATION'!$D$5="TOUTES",B1208='JOINTS DE RÉPARATION'!$D$5),OR('JOINTS DE RÉPARATION'!$L$4="TOUS",AQ1208&lt;&gt;"ACCEPTÉ")),1,0)</f>
        <v>1</v>
      </c>
      <c r="AV1208" s="82" t="n">
        <f aca="false">IF(AU1208=1,SUM(AU$7:AU1208),"")</f>
        <v>25</v>
      </c>
      <c r="AW1208" s="82" t="str">
        <f aca="false">IF(E1208="","",B1208&amp;"|"&amp;E1208)</f>
        <v>MFD-ISW → MFD-CPF|JN°1039</v>
      </c>
    </row>
    <row r="1209" customFormat="false" ht="74.6" hidden="false" customHeight="false" outlineLevel="0" collapsed="false">
      <c r="A1209" s="79" t="n">
        <f aca="false">IF(E1209="","",ROW()-6)</f>
        <v>1203</v>
      </c>
      <c r="B1209" s="80" t="s">
        <v>110</v>
      </c>
      <c r="C1209" s="81" t="s">
        <v>1418</v>
      </c>
      <c r="D1209" s="81" t="n">
        <v>9</v>
      </c>
      <c r="E1209" s="81" t="s">
        <v>1443</v>
      </c>
      <c r="F1209" s="82" t="str">
        <f aca="false">IF(E1209="","",IF(LEFT(E1209,2)="DJ","DJ","JN"))</f>
        <v>DJ</v>
      </c>
      <c r="G1209" s="81"/>
      <c r="H1209" s="81" t="s">
        <v>871</v>
      </c>
      <c r="I1209" s="81" t="n">
        <v>9.53</v>
      </c>
      <c r="J1209" s="81" t="s">
        <v>872</v>
      </c>
      <c r="K1209" s="81" t="s">
        <v>873</v>
      </c>
      <c r="L1209" s="81" t="n">
        <v>2081100</v>
      </c>
      <c r="M1209" s="81" t="n">
        <v>15421103</v>
      </c>
      <c r="N1209" s="81" t="n">
        <v>11.94</v>
      </c>
      <c r="O1209" s="81" t="n">
        <v>2098410</v>
      </c>
      <c r="P1209" s="81" t="n">
        <v>15421112</v>
      </c>
      <c r="Q1209" s="81" t="n">
        <v>11.94</v>
      </c>
      <c r="R1209" s="81" t="s">
        <v>1147</v>
      </c>
      <c r="S1209" s="81"/>
      <c r="T1209" s="81"/>
      <c r="U1209" s="83" t="n">
        <v>46270</v>
      </c>
      <c r="V1209" s="83" t="n">
        <v>46270</v>
      </c>
      <c r="W1209" s="81" t="s">
        <v>1444</v>
      </c>
      <c r="X1209" s="81" t="s">
        <v>876</v>
      </c>
      <c r="Y1209" s="83" t="n">
        <v>46271</v>
      </c>
      <c r="Z1209" s="81" t="s">
        <v>1445</v>
      </c>
      <c r="AA1209" s="81" t="s">
        <v>876</v>
      </c>
      <c r="AB1209" s="81"/>
      <c r="AC1209" s="81"/>
      <c r="AD1209" s="81"/>
      <c r="AE1209" s="83"/>
      <c r="AF1209" s="81"/>
      <c r="AG1209" s="81"/>
      <c r="AH1209" s="81"/>
      <c r="AI1209" s="81"/>
      <c r="AJ1209" s="83"/>
      <c r="AK1209" s="81"/>
      <c r="AL1209" s="81"/>
      <c r="AM1209" s="83"/>
      <c r="AN1209" s="80"/>
      <c r="AO1209" s="82" t="n">
        <f aca="false">IF(E1209="","",(AA1209&lt;&gt;"")+(AG1209&lt;&gt;"")+(AL1209&lt;&gt;""))</f>
        <v>1</v>
      </c>
      <c r="AP1209" s="82" t="str">
        <f aca="false">IF(AL1209&lt;&gt;"",AL1209,IF(AG1209&lt;&gt;"",AG1209,IF(AA1209&lt;&gt;"",AA1209,"")))</f>
        <v>A</v>
      </c>
      <c r="AQ1209" s="84" t="str">
        <f aca="false">IF(E1209="","",IF(U1209="","À SOUDER",IF(X1209="","VT EN ATTENTE",IF(X1209="R","VT REJETÉ – À REPRENDRE",IF(AP1209="","À RADIOGRAPHIER",IF(AP1209="A","ACCEPTÉ",IF(AP1209="NX","NX – RT À REFAIRE",IF(IF(AO1209=1,AD1209,IF(AO1209=2,AI1209,""))="A","RÉPARÉ – À RADIOGRAPHIER",IF(IF(AO1209=1,AD1209,IF(AO1209=2,AI1209,""))="R","VT REJETÉ – À REPRENDRE",IF(OR(AP1209="CO",AP1209="NT"),"COUPE – À RESOUDER","À RÉPARER"))))))))))</f>
        <v>ACCEPTÉ</v>
      </c>
      <c r="AR1209" s="82" t="str">
        <f aca="false">IF(AND(ISNUMBER(U1209),OR(AQ1209="À RADIOGRAPHIER",AQ1209="RÉPARÉ – À RADIOGRAPHIER",AQ1209="NX – RT À REFAIRE",AQ1209="À RÉPARER",AQ1209="COUPE – À RESOUDER",AQ1209="VT REJETÉ – À REPRENDRE")),MAX(0,'PROGRAMME RT'!$C$4-U1209),"")</f>
        <v/>
      </c>
      <c r="AS1209" s="82" t="n">
        <f aca="false">IF(AND(OR(AQ1209="À RADIOGRAPHIER",AQ1209="RÉPARÉ – À RADIOGRAPHIER",AQ1209="NX – RT À REFAIRE"),OR('PROGRAMME RT'!$D$5="TOUTES",B1209='PROGRAMME RT'!$D$5)),1,0)</f>
        <v>0</v>
      </c>
      <c r="AT1209" s="82" t="str">
        <f aca="false">IF(AS1209=1,SUM(AS$7:AS1209),"")</f>
        <v/>
      </c>
      <c r="AU1209" s="82" t="n">
        <f aca="false">IF(AND(OR(AA1209="R",AA1209="NX",AA1209="NT",AA1209="CO"),OR('JOINTS DE RÉPARATION'!$D$5="TOUTES",B1209='JOINTS DE RÉPARATION'!$D$5),OR('JOINTS DE RÉPARATION'!$L$4="TOUS",AQ1209&lt;&gt;"ACCEPTÉ")),1,0)</f>
        <v>0</v>
      </c>
      <c r="AV1209" s="82" t="str">
        <f aca="false">IF(AU1209=1,SUM(AU$7:AU1209),"")</f>
        <v/>
      </c>
      <c r="AW1209" s="82" t="str">
        <f aca="false">IF(E1209="","",B1209&amp;"|"&amp;E1209)</f>
        <v>MFD-ISW → MFD-CPF|DJ°278</v>
      </c>
    </row>
    <row r="1210" customFormat="false" ht="74.6" hidden="false" customHeight="false" outlineLevel="0" collapsed="false">
      <c r="A1210" s="79" t="n">
        <f aca="false">IF(E1210="","",ROW()-6)</f>
        <v>1204</v>
      </c>
      <c r="B1210" s="80" t="s">
        <v>110</v>
      </c>
      <c r="C1210" s="81" t="s">
        <v>1418</v>
      </c>
      <c r="D1210" s="81" t="n">
        <v>9</v>
      </c>
      <c r="E1210" s="81" t="s">
        <v>1446</v>
      </c>
      <c r="F1210" s="82" t="str">
        <f aca="false">IF(E1210="","",IF(LEFT(E1210,2)="DJ","DJ","JN"))</f>
        <v>JN</v>
      </c>
      <c r="G1210" s="81"/>
      <c r="H1210" s="81" t="s">
        <v>871</v>
      </c>
      <c r="I1210" s="81" t="n">
        <v>9.53</v>
      </c>
      <c r="J1210" s="81" t="s">
        <v>872</v>
      </c>
      <c r="K1210" s="81" t="s">
        <v>879</v>
      </c>
      <c r="L1210" s="81" t="n">
        <v>2098410</v>
      </c>
      <c r="M1210" s="81" t="n">
        <v>15421112</v>
      </c>
      <c r="N1210" s="81" t="n">
        <v>11.94</v>
      </c>
      <c r="O1210" s="81" t="n">
        <v>2083860</v>
      </c>
      <c r="P1210" s="81" t="n">
        <v>15421105</v>
      </c>
      <c r="Q1210" s="81" t="n">
        <v>11.94</v>
      </c>
      <c r="R1210" s="81" t="s">
        <v>1367</v>
      </c>
      <c r="S1210" s="81"/>
      <c r="T1210" s="81"/>
      <c r="U1210" s="83" t="n">
        <v>46279</v>
      </c>
      <c r="V1210" s="83" t="n">
        <v>46279</v>
      </c>
      <c r="W1210" s="81" t="s">
        <v>1427</v>
      </c>
      <c r="X1210" s="81" t="s">
        <v>876</v>
      </c>
      <c r="Y1210" s="83" t="n">
        <v>46284</v>
      </c>
      <c r="Z1210" s="81" t="s">
        <v>1434</v>
      </c>
      <c r="AA1210" s="81" t="s">
        <v>876</v>
      </c>
      <c r="AB1210" s="81"/>
      <c r="AC1210" s="81"/>
      <c r="AD1210" s="81"/>
      <c r="AE1210" s="83"/>
      <c r="AF1210" s="81"/>
      <c r="AG1210" s="81"/>
      <c r="AH1210" s="81"/>
      <c r="AI1210" s="81"/>
      <c r="AJ1210" s="83"/>
      <c r="AK1210" s="81"/>
      <c r="AL1210" s="81"/>
      <c r="AM1210" s="83"/>
      <c r="AN1210" s="80"/>
      <c r="AO1210" s="82" t="n">
        <f aca="false">IF(E1210="","",(AA1210&lt;&gt;"")+(AG1210&lt;&gt;"")+(AL1210&lt;&gt;""))</f>
        <v>1</v>
      </c>
      <c r="AP1210" s="82" t="str">
        <f aca="false">IF(AL1210&lt;&gt;"",AL1210,IF(AG1210&lt;&gt;"",AG1210,IF(AA1210&lt;&gt;"",AA1210,"")))</f>
        <v>A</v>
      </c>
      <c r="AQ1210" s="84" t="str">
        <f aca="false">IF(E1210="","",IF(U1210="","À SOUDER",IF(X1210="","VT EN ATTENTE",IF(X1210="R","VT REJETÉ – À REPRENDRE",IF(AP1210="","À RADIOGRAPHIER",IF(AP1210="A","ACCEPTÉ",IF(AP1210="NX","NX – RT À REFAIRE",IF(IF(AO1210=1,AD1210,IF(AO1210=2,AI1210,""))="A","RÉPARÉ – À RADIOGRAPHIER",IF(IF(AO1210=1,AD1210,IF(AO1210=2,AI1210,""))="R","VT REJETÉ – À REPRENDRE",IF(OR(AP1210="CO",AP1210="NT"),"COUPE – À RESOUDER","À RÉPARER"))))))))))</f>
        <v>ACCEPTÉ</v>
      </c>
      <c r="AR1210" s="82" t="str">
        <f aca="false">IF(AND(ISNUMBER(U1210),OR(AQ1210="À RADIOGRAPHIER",AQ1210="RÉPARÉ – À RADIOGRAPHIER",AQ1210="NX – RT À REFAIRE",AQ1210="À RÉPARER",AQ1210="COUPE – À RESOUDER",AQ1210="VT REJETÉ – À REPRENDRE")),MAX(0,'PROGRAMME RT'!$C$4-U1210),"")</f>
        <v/>
      </c>
      <c r="AS1210" s="82" t="n">
        <f aca="false">IF(AND(OR(AQ1210="À RADIOGRAPHIER",AQ1210="RÉPARÉ – À RADIOGRAPHIER",AQ1210="NX – RT À REFAIRE"),OR('PROGRAMME RT'!$D$5="TOUTES",B1210='PROGRAMME RT'!$D$5)),1,0)</f>
        <v>0</v>
      </c>
      <c r="AT1210" s="82" t="str">
        <f aca="false">IF(AS1210=1,SUM(AS$7:AS1210),"")</f>
        <v/>
      </c>
      <c r="AU1210" s="82" t="n">
        <f aca="false">IF(AND(OR(AA1210="R",AA1210="NX",AA1210="NT",AA1210="CO"),OR('JOINTS DE RÉPARATION'!$D$5="TOUTES",B1210='JOINTS DE RÉPARATION'!$D$5),OR('JOINTS DE RÉPARATION'!$L$4="TOUS",AQ1210&lt;&gt;"ACCEPTÉ")),1,0)</f>
        <v>0</v>
      </c>
      <c r="AV1210" s="82" t="str">
        <f aca="false">IF(AU1210=1,SUM(AU$7:AU1210),"")</f>
        <v/>
      </c>
      <c r="AW1210" s="82" t="str">
        <f aca="false">IF(E1210="","",B1210&amp;"|"&amp;E1210)</f>
        <v>MFD-ISW → MFD-CPF|JN°1040</v>
      </c>
    </row>
    <row r="1211" customFormat="false" ht="74.6" hidden="false" customHeight="false" outlineLevel="0" collapsed="false">
      <c r="A1211" s="79" t="n">
        <f aca="false">IF(E1211="","",ROW()-6)</f>
        <v>1205</v>
      </c>
      <c r="B1211" s="80" t="s">
        <v>110</v>
      </c>
      <c r="C1211" s="81" t="s">
        <v>1418</v>
      </c>
      <c r="D1211" s="81" t="n">
        <v>9</v>
      </c>
      <c r="E1211" s="81" t="s">
        <v>1447</v>
      </c>
      <c r="F1211" s="82" t="str">
        <f aca="false">IF(E1211="","",IF(LEFT(E1211,2)="DJ","DJ","JN"))</f>
        <v>DJ</v>
      </c>
      <c r="G1211" s="81"/>
      <c r="H1211" s="81" t="s">
        <v>871</v>
      </c>
      <c r="I1211" s="81" t="n">
        <v>9.53</v>
      </c>
      <c r="J1211" s="81" t="s">
        <v>872</v>
      </c>
      <c r="K1211" s="81" t="s">
        <v>873</v>
      </c>
      <c r="L1211" s="81" t="n">
        <v>2083860</v>
      </c>
      <c r="M1211" s="81" t="n">
        <v>15421105</v>
      </c>
      <c r="N1211" s="81" t="n">
        <v>11.94</v>
      </c>
      <c r="O1211" s="81" t="n">
        <v>2086820</v>
      </c>
      <c r="P1211" s="81" t="n">
        <v>15421107</v>
      </c>
      <c r="Q1211" s="81" t="n">
        <v>11.94</v>
      </c>
      <c r="R1211" s="81" t="s">
        <v>1135</v>
      </c>
      <c r="S1211" s="81"/>
      <c r="T1211" s="81"/>
      <c r="U1211" s="83" t="n">
        <v>46276</v>
      </c>
      <c r="V1211" s="83" t="n">
        <v>46276</v>
      </c>
      <c r="W1211" s="81" t="s">
        <v>1148</v>
      </c>
      <c r="X1211" s="81" t="s">
        <v>876</v>
      </c>
      <c r="Y1211" s="83" t="n">
        <v>46278</v>
      </c>
      <c r="Z1211" s="81" t="s">
        <v>1412</v>
      </c>
      <c r="AA1211" s="81" t="s">
        <v>876</v>
      </c>
      <c r="AB1211" s="81"/>
      <c r="AC1211" s="81"/>
      <c r="AD1211" s="81"/>
      <c r="AE1211" s="83"/>
      <c r="AF1211" s="81"/>
      <c r="AG1211" s="81"/>
      <c r="AH1211" s="81"/>
      <c r="AI1211" s="81"/>
      <c r="AJ1211" s="83"/>
      <c r="AK1211" s="81"/>
      <c r="AL1211" s="81"/>
      <c r="AM1211" s="83"/>
      <c r="AN1211" s="80"/>
      <c r="AO1211" s="82" t="n">
        <f aca="false">IF(E1211="","",(AA1211&lt;&gt;"")+(AG1211&lt;&gt;"")+(AL1211&lt;&gt;""))</f>
        <v>1</v>
      </c>
      <c r="AP1211" s="82" t="str">
        <f aca="false">IF(AL1211&lt;&gt;"",AL1211,IF(AG1211&lt;&gt;"",AG1211,IF(AA1211&lt;&gt;"",AA1211,"")))</f>
        <v>A</v>
      </c>
      <c r="AQ1211" s="84" t="str">
        <f aca="false">IF(E1211="","",IF(U1211="","À SOUDER",IF(X1211="","VT EN ATTENTE",IF(X1211="R","VT REJETÉ – À REPRENDRE",IF(AP1211="","À RADIOGRAPHIER",IF(AP1211="A","ACCEPTÉ",IF(AP1211="NX","NX – RT À REFAIRE",IF(IF(AO1211=1,AD1211,IF(AO1211=2,AI1211,""))="A","RÉPARÉ – À RADIOGRAPHIER",IF(IF(AO1211=1,AD1211,IF(AO1211=2,AI1211,""))="R","VT REJETÉ – À REPRENDRE",IF(OR(AP1211="CO",AP1211="NT"),"COUPE – À RESOUDER","À RÉPARER"))))))))))</f>
        <v>ACCEPTÉ</v>
      </c>
      <c r="AR1211" s="82" t="str">
        <f aca="false">IF(AND(ISNUMBER(U1211),OR(AQ1211="À RADIOGRAPHIER",AQ1211="RÉPARÉ – À RADIOGRAPHIER",AQ1211="NX – RT À REFAIRE",AQ1211="À RÉPARER",AQ1211="COUPE – À RESOUDER",AQ1211="VT REJETÉ – À REPRENDRE")),MAX(0,'PROGRAMME RT'!$C$4-U1211),"")</f>
        <v/>
      </c>
      <c r="AS1211" s="82" t="n">
        <f aca="false">IF(AND(OR(AQ1211="À RADIOGRAPHIER",AQ1211="RÉPARÉ – À RADIOGRAPHIER",AQ1211="NX – RT À REFAIRE"),OR('PROGRAMME RT'!$D$5="TOUTES",B1211='PROGRAMME RT'!$D$5)),1,0)</f>
        <v>0</v>
      </c>
      <c r="AT1211" s="82" t="str">
        <f aca="false">IF(AS1211=1,SUM(AS$7:AS1211),"")</f>
        <v/>
      </c>
      <c r="AU1211" s="82" t="n">
        <f aca="false">IF(AND(OR(AA1211="R",AA1211="NX",AA1211="NT",AA1211="CO"),OR('JOINTS DE RÉPARATION'!$D$5="TOUTES",B1211='JOINTS DE RÉPARATION'!$D$5),OR('JOINTS DE RÉPARATION'!$L$4="TOUS",AQ1211&lt;&gt;"ACCEPTÉ")),1,0)</f>
        <v>0</v>
      </c>
      <c r="AV1211" s="82" t="str">
        <f aca="false">IF(AU1211=1,SUM(AU$7:AU1211),"")</f>
        <v/>
      </c>
      <c r="AW1211" s="82" t="str">
        <f aca="false">IF(E1211="","",B1211&amp;"|"&amp;E1211)</f>
        <v>MFD-ISW → MFD-CPF|DJ°343</v>
      </c>
    </row>
    <row r="1212" customFormat="false" ht="74.6" hidden="false" customHeight="false" outlineLevel="0" collapsed="false">
      <c r="A1212" s="79" t="n">
        <f aca="false">IF(E1212="","",ROW()-6)</f>
        <v>1206</v>
      </c>
      <c r="B1212" s="80" t="s">
        <v>110</v>
      </c>
      <c r="C1212" s="81" t="s">
        <v>1418</v>
      </c>
      <c r="D1212" s="81" t="n">
        <v>9</v>
      </c>
      <c r="E1212" s="81" t="s">
        <v>1448</v>
      </c>
      <c r="F1212" s="82" t="str">
        <f aca="false">IF(E1212="","",IF(LEFT(E1212,2)="DJ","DJ","JN"))</f>
        <v>JN</v>
      </c>
      <c r="G1212" s="81"/>
      <c r="H1212" s="81" t="s">
        <v>871</v>
      </c>
      <c r="I1212" s="81" t="n">
        <v>9.53</v>
      </c>
      <c r="J1212" s="81" t="s">
        <v>872</v>
      </c>
      <c r="K1212" s="81" t="s">
        <v>879</v>
      </c>
      <c r="L1212" s="81" t="n">
        <v>2086820</v>
      </c>
      <c r="M1212" s="81" t="n">
        <v>15421107</v>
      </c>
      <c r="N1212" s="81" t="n">
        <v>11.94</v>
      </c>
      <c r="O1212" s="81" t="n">
        <v>2078580</v>
      </c>
      <c r="P1212" s="81" t="n">
        <v>15421101</v>
      </c>
      <c r="Q1212" s="81" t="n">
        <v>11.94</v>
      </c>
      <c r="R1212" s="81" t="s">
        <v>1367</v>
      </c>
      <c r="S1212" s="81"/>
      <c r="T1212" s="81"/>
      <c r="U1212" s="83" t="n">
        <v>46279</v>
      </c>
      <c r="V1212" s="83" t="n">
        <v>46279</v>
      </c>
      <c r="W1212" s="81" t="s">
        <v>1427</v>
      </c>
      <c r="X1212" s="81" t="s">
        <v>876</v>
      </c>
      <c r="Y1212" s="83" t="n">
        <v>46284</v>
      </c>
      <c r="Z1212" s="81" t="s">
        <v>1434</v>
      </c>
      <c r="AA1212" s="81" t="s">
        <v>876</v>
      </c>
      <c r="AB1212" s="81"/>
      <c r="AC1212" s="81"/>
      <c r="AD1212" s="81"/>
      <c r="AE1212" s="83"/>
      <c r="AF1212" s="81"/>
      <c r="AG1212" s="81"/>
      <c r="AH1212" s="81"/>
      <c r="AI1212" s="81"/>
      <c r="AJ1212" s="83"/>
      <c r="AK1212" s="81"/>
      <c r="AL1212" s="81"/>
      <c r="AM1212" s="83"/>
      <c r="AN1212" s="80"/>
      <c r="AO1212" s="82" t="n">
        <f aca="false">IF(E1212="","",(AA1212&lt;&gt;"")+(AG1212&lt;&gt;"")+(AL1212&lt;&gt;""))</f>
        <v>1</v>
      </c>
      <c r="AP1212" s="82" t="str">
        <f aca="false">IF(AL1212&lt;&gt;"",AL1212,IF(AG1212&lt;&gt;"",AG1212,IF(AA1212&lt;&gt;"",AA1212,"")))</f>
        <v>A</v>
      </c>
      <c r="AQ1212" s="84" t="str">
        <f aca="false">IF(E1212="","",IF(U1212="","À SOUDER",IF(X1212="","VT EN ATTENTE",IF(X1212="R","VT REJETÉ – À REPRENDRE",IF(AP1212="","À RADIOGRAPHIER",IF(AP1212="A","ACCEPTÉ",IF(AP1212="NX","NX – RT À REFAIRE",IF(IF(AO1212=1,AD1212,IF(AO1212=2,AI1212,""))="A","RÉPARÉ – À RADIOGRAPHIER",IF(IF(AO1212=1,AD1212,IF(AO1212=2,AI1212,""))="R","VT REJETÉ – À REPRENDRE",IF(OR(AP1212="CO",AP1212="NT"),"COUPE – À RESOUDER","À RÉPARER"))))))))))</f>
        <v>ACCEPTÉ</v>
      </c>
      <c r="AR1212" s="82" t="str">
        <f aca="false">IF(AND(ISNUMBER(U1212),OR(AQ1212="À RADIOGRAPHIER",AQ1212="RÉPARÉ – À RADIOGRAPHIER",AQ1212="NX – RT À REFAIRE",AQ1212="À RÉPARER",AQ1212="COUPE – À RESOUDER",AQ1212="VT REJETÉ – À REPRENDRE")),MAX(0,'PROGRAMME RT'!$C$4-U1212),"")</f>
        <v/>
      </c>
      <c r="AS1212" s="82" t="n">
        <f aca="false">IF(AND(OR(AQ1212="À RADIOGRAPHIER",AQ1212="RÉPARÉ – À RADIOGRAPHIER",AQ1212="NX – RT À REFAIRE"),OR('PROGRAMME RT'!$D$5="TOUTES",B1212='PROGRAMME RT'!$D$5)),1,0)</f>
        <v>0</v>
      </c>
      <c r="AT1212" s="82" t="str">
        <f aca="false">IF(AS1212=1,SUM(AS$7:AS1212),"")</f>
        <v/>
      </c>
      <c r="AU1212" s="82" t="n">
        <f aca="false">IF(AND(OR(AA1212="R",AA1212="NX",AA1212="NT",AA1212="CO"),OR('JOINTS DE RÉPARATION'!$D$5="TOUTES",B1212='JOINTS DE RÉPARATION'!$D$5),OR('JOINTS DE RÉPARATION'!$L$4="TOUS",AQ1212&lt;&gt;"ACCEPTÉ")),1,0)</f>
        <v>0</v>
      </c>
      <c r="AV1212" s="82" t="str">
        <f aca="false">IF(AU1212=1,SUM(AU$7:AU1212),"")</f>
        <v/>
      </c>
      <c r="AW1212" s="82" t="str">
        <f aca="false">IF(E1212="","",B1212&amp;"|"&amp;E1212)</f>
        <v>MFD-ISW → MFD-CPF|JN°1041</v>
      </c>
    </row>
    <row r="1213" customFormat="false" ht="74.6" hidden="false" customHeight="false" outlineLevel="0" collapsed="false">
      <c r="A1213" s="79" t="n">
        <f aca="false">IF(E1213="","",ROW()-6)</f>
        <v>1207</v>
      </c>
      <c r="B1213" s="80" t="s">
        <v>110</v>
      </c>
      <c r="C1213" s="81" t="s">
        <v>1418</v>
      </c>
      <c r="D1213" s="81" t="n">
        <v>9</v>
      </c>
      <c r="E1213" s="81" t="s">
        <v>1449</v>
      </c>
      <c r="F1213" s="82" t="str">
        <f aca="false">IF(E1213="","",IF(LEFT(E1213,2)="DJ","DJ","JN"))</f>
        <v>DJ</v>
      </c>
      <c r="G1213" s="81"/>
      <c r="H1213" s="81" t="s">
        <v>871</v>
      </c>
      <c r="I1213" s="81" t="n">
        <v>9.53</v>
      </c>
      <c r="J1213" s="81" t="s">
        <v>872</v>
      </c>
      <c r="K1213" s="81" t="s">
        <v>873</v>
      </c>
      <c r="L1213" s="81" t="n">
        <v>2078580</v>
      </c>
      <c r="M1213" s="81" t="n">
        <v>15421101</v>
      </c>
      <c r="N1213" s="81" t="n">
        <v>11.94</v>
      </c>
      <c r="O1213" s="81" t="n">
        <v>2087350</v>
      </c>
      <c r="P1213" s="81" t="n">
        <v>15421102</v>
      </c>
      <c r="Q1213" s="81" t="n">
        <v>11.94</v>
      </c>
      <c r="R1213" s="81" t="s">
        <v>1135</v>
      </c>
      <c r="S1213" s="81"/>
      <c r="T1213" s="81"/>
      <c r="U1213" s="83" t="n">
        <v>46276</v>
      </c>
      <c r="V1213" s="83" t="n">
        <v>46276</v>
      </c>
      <c r="W1213" s="81" t="s">
        <v>1148</v>
      </c>
      <c r="X1213" s="81" t="s">
        <v>876</v>
      </c>
      <c r="Y1213" s="83" t="n">
        <v>46278</v>
      </c>
      <c r="Z1213" s="81" t="s">
        <v>1412</v>
      </c>
      <c r="AA1213" s="81" t="s">
        <v>876</v>
      </c>
      <c r="AB1213" s="81"/>
      <c r="AC1213" s="81"/>
      <c r="AD1213" s="81"/>
      <c r="AE1213" s="83"/>
      <c r="AF1213" s="81"/>
      <c r="AG1213" s="81"/>
      <c r="AH1213" s="81"/>
      <c r="AI1213" s="81"/>
      <c r="AJ1213" s="83"/>
      <c r="AK1213" s="81"/>
      <c r="AL1213" s="81"/>
      <c r="AM1213" s="83"/>
      <c r="AN1213" s="80"/>
      <c r="AO1213" s="82" t="n">
        <f aca="false">IF(E1213="","",(AA1213&lt;&gt;"")+(AG1213&lt;&gt;"")+(AL1213&lt;&gt;""))</f>
        <v>1</v>
      </c>
      <c r="AP1213" s="82" t="str">
        <f aca="false">IF(AL1213&lt;&gt;"",AL1213,IF(AG1213&lt;&gt;"",AG1213,IF(AA1213&lt;&gt;"",AA1213,"")))</f>
        <v>A</v>
      </c>
      <c r="AQ1213" s="84" t="str">
        <f aca="false">IF(E1213="","",IF(U1213="","À SOUDER",IF(X1213="","VT EN ATTENTE",IF(X1213="R","VT REJETÉ – À REPRENDRE",IF(AP1213="","À RADIOGRAPHIER",IF(AP1213="A","ACCEPTÉ",IF(AP1213="NX","NX – RT À REFAIRE",IF(IF(AO1213=1,AD1213,IF(AO1213=2,AI1213,""))="A","RÉPARÉ – À RADIOGRAPHIER",IF(IF(AO1213=1,AD1213,IF(AO1213=2,AI1213,""))="R","VT REJETÉ – À REPRENDRE",IF(OR(AP1213="CO",AP1213="NT"),"COUPE – À RESOUDER","À RÉPARER"))))))))))</f>
        <v>ACCEPTÉ</v>
      </c>
      <c r="AR1213" s="82" t="str">
        <f aca="false">IF(AND(ISNUMBER(U1213),OR(AQ1213="À RADIOGRAPHIER",AQ1213="RÉPARÉ – À RADIOGRAPHIER",AQ1213="NX – RT À REFAIRE",AQ1213="À RÉPARER",AQ1213="COUPE – À RESOUDER",AQ1213="VT REJETÉ – À REPRENDRE")),MAX(0,'PROGRAMME RT'!$C$4-U1213),"")</f>
        <v/>
      </c>
      <c r="AS1213" s="82" t="n">
        <f aca="false">IF(AND(OR(AQ1213="À RADIOGRAPHIER",AQ1213="RÉPARÉ – À RADIOGRAPHIER",AQ1213="NX – RT À REFAIRE"),OR('PROGRAMME RT'!$D$5="TOUTES",B1213='PROGRAMME RT'!$D$5)),1,0)</f>
        <v>0</v>
      </c>
      <c r="AT1213" s="82" t="str">
        <f aca="false">IF(AS1213=1,SUM(AS$7:AS1213),"")</f>
        <v/>
      </c>
      <c r="AU1213" s="82" t="n">
        <f aca="false">IF(AND(OR(AA1213="R",AA1213="NX",AA1213="NT",AA1213="CO"),OR('JOINTS DE RÉPARATION'!$D$5="TOUTES",B1213='JOINTS DE RÉPARATION'!$D$5),OR('JOINTS DE RÉPARATION'!$L$4="TOUS",AQ1213&lt;&gt;"ACCEPTÉ")),1,0)</f>
        <v>0</v>
      </c>
      <c r="AV1213" s="82" t="str">
        <f aca="false">IF(AU1213=1,SUM(AU$7:AU1213),"")</f>
        <v/>
      </c>
      <c r="AW1213" s="82" t="str">
        <f aca="false">IF(E1213="","",B1213&amp;"|"&amp;E1213)</f>
        <v>MFD-ISW → MFD-CPF|DJ°338</v>
      </c>
    </row>
    <row r="1214" customFormat="false" ht="74.6" hidden="false" customHeight="false" outlineLevel="0" collapsed="false">
      <c r="A1214" s="79" t="n">
        <f aca="false">IF(E1214="","",ROW()-6)</f>
        <v>1208</v>
      </c>
      <c r="B1214" s="80" t="s">
        <v>110</v>
      </c>
      <c r="C1214" s="81" t="s">
        <v>1418</v>
      </c>
      <c r="D1214" s="81" t="n">
        <v>9</v>
      </c>
      <c r="E1214" s="81" t="s">
        <v>1450</v>
      </c>
      <c r="F1214" s="82" t="str">
        <f aca="false">IF(E1214="","",IF(LEFT(E1214,2)="DJ","DJ","JN"))</f>
        <v>JN</v>
      </c>
      <c r="G1214" s="81"/>
      <c r="H1214" s="81" t="s">
        <v>871</v>
      </c>
      <c r="I1214" s="81" t="n">
        <v>9.53</v>
      </c>
      <c r="J1214" s="81" t="s">
        <v>872</v>
      </c>
      <c r="K1214" s="81" t="s">
        <v>879</v>
      </c>
      <c r="L1214" s="81" t="n">
        <v>2087350</v>
      </c>
      <c r="M1214" s="81" t="n">
        <v>15421102</v>
      </c>
      <c r="N1214" s="81" t="n">
        <v>11.94</v>
      </c>
      <c r="O1214" s="81" t="n">
        <v>2079840</v>
      </c>
      <c r="P1214" s="81" t="n">
        <v>15421102</v>
      </c>
      <c r="Q1214" s="81" t="n">
        <v>11.94</v>
      </c>
      <c r="R1214" s="81" t="s">
        <v>1367</v>
      </c>
      <c r="S1214" s="81"/>
      <c r="T1214" s="81"/>
      <c r="U1214" s="83" t="n">
        <v>46279</v>
      </c>
      <c r="V1214" s="83" t="n">
        <v>46279</v>
      </c>
      <c r="W1214" s="81" t="s">
        <v>1427</v>
      </c>
      <c r="X1214" s="81" t="s">
        <v>876</v>
      </c>
      <c r="Y1214" s="83" t="n">
        <v>46284</v>
      </c>
      <c r="Z1214" s="81" t="s">
        <v>1434</v>
      </c>
      <c r="AA1214" s="81" t="s">
        <v>1073</v>
      </c>
      <c r="AB1214" s="81" t="s">
        <v>1451</v>
      </c>
      <c r="AC1214" s="81"/>
      <c r="AD1214" s="81"/>
      <c r="AE1214" s="83"/>
      <c r="AF1214" s="81"/>
      <c r="AG1214" s="81"/>
      <c r="AH1214" s="81"/>
      <c r="AI1214" s="81"/>
      <c r="AJ1214" s="83"/>
      <c r="AK1214" s="81"/>
      <c r="AL1214" s="81"/>
      <c r="AM1214" s="83"/>
      <c r="AN1214" s="80"/>
      <c r="AO1214" s="82" t="n">
        <f aca="false">IF(E1214="","",(AA1214&lt;&gt;"")+(AG1214&lt;&gt;"")+(AL1214&lt;&gt;""))</f>
        <v>1</v>
      </c>
      <c r="AP1214" s="82" t="str">
        <f aca="false">IF(AL1214&lt;&gt;"",AL1214,IF(AG1214&lt;&gt;"",AG1214,IF(AA1214&lt;&gt;"",AA1214,"")))</f>
        <v>R</v>
      </c>
      <c r="AQ1214" s="84" t="str">
        <f aca="false">IF(E1214="","",IF(U1214="","À SOUDER",IF(X1214="","VT EN ATTENTE",IF(X1214="R","VT REJETÉ – À REPRENDRE",IF(AP1214="","À RADIOGRAPHIER",IF(AP1214="A","ACCEPTÉ",IF(AP1214="NX","NX – RT À REFAIRE",IF(IF(AO1214=1,AD1214,IF(AO1214=2,AI1214,""))="A","RÉPARÉ – À RADIOGRAPHIER",IF(IF(AO1214=1,AD1214,IF(AO1214=2,AI1214,""))="R","VT REJETÉ – À REPRENDRE",IF(OR(AP1214="CO",AP1214="NT"),"COUPE – À RESOUDER","À RÉPARER"))))))))))</f>
        <v>À RÉPARER</v>
      </c>
      <c r="AR1214" s="82" t="n">
        <f aca="false">IF(AND(ISNUMBER(U1214),OR(AQ1214="À RADIOGRAPHIER",AQ1214="RÉPARÉ – À RADIOGRAPHIER",AQ1214="NX – RT À REFAIRE",AQ1214="À RÉPARER",AQ1214="COUPE – À RESOUDER",AQ1214="VT REJETÉ – À REPRENDRE")),MAX(0,'PROGRAMME RT'!$C$4-U1214),"")</f>
        <v>14</v>
      </c>
      <c r="AS1214" s="82" t="n">
        <f aca="false">IF(AND(OR(AQ1214="À RADIOGRAPHIER",AQ1214="RÉPARÉ – À RADIOGRAPHIER",AQ1214="NX – RT À REFAIRE"),OR('PROGRAMME RT'!$D$5="TOUTES",B1214='PROGRAMME RT'!$D$5)),1,0)</f>
        <v>0</v>
      </c>
      <c r="AT1214" s="82" t="str">
        <f aca="false">IF(AS1214=1,SUM(AS$7:AS1214),"")</f>
        <v/>
      </c>
      <c r="AU1214" s="82" t="n">
        <f aca="false">IF(AND(OR(AA1214="R",AA1214="NX",AA1214="NT",AA1214="CO"),OR('JOINTS DE RÉPARATION'!$D$5="TOUTES",B1214='JOINTS DE RÉPARATION'!$D$5),OR('JOINTS DE RÉPARATION'!$L$4="TOUS",AQ1214&lt;&gt;"ACCEPTÉ")),1,0)</f>
        <v>1</v>
      </c>
      <c r="AV1214" s="82" t="n">
        <f aca="false">IF(AU1214=1,SUM(AU$7:AU1214),"")</f>
        <v>26</v>
      </c>
      <c r="AW1214" s="82" t="str">
        <f aca="false">IF(E1214="","",B1214&amp;"|"&amp;E1214)</f>
        <v>MFD-ISW → MFD-CPF|JN°1042</v>
      </c>
    </row>
    <row r="1215" customFormat="false" ht="74.6" hidden="false" customHeight="false" outlineLevel="0" collapsed="false">
      <c r="A1215" s="79" t="n">
        <f aca="false">IF(E1215="","",ROW()-6)</f>
        <v>1209</v>
      </c>
      <c r="B1215" s="80" t="s">
        <v>110</v>
      </c>
      <c r="C1215" s="81" t="s">
        <v>1418</v>
      </c>
      <c r="D1215" s="81" t="n">
        <v>9</v>
      </c>
      <c r="E1215" s="81" t="s">
        <v>1452</v>
      </c>
      <c r="F1215" s="82" t="str">
        <f aca="false">IF(E1215="","",IF(LEFT(E1215,2)="DJ","DJ","JN"))</f>
        <v>DJ</v>
      </c>
      <c r="G1215" s="81"/>
      <c r="H1215" s="81" t="s">
        <v>871</v>
      </c>
      <c r="I1215" s="81" t="n">
        <v>9.53</v>
      </c>
      <c r="J1215" s="81" t="s">
        <v>872</v>
      </c>
      <c r="K1215" s="81" t="s">
        <v>873</v>
      </c>
      <c r="L1215" s="81" t="n">
        <v>2079840</v>
      </c>
      <c r="M1215" s="81" t="n">
        <v>15421102</v>
      </c>
      <c r="N1215" s="81" t="n">
        <v>11.94</v>
      </c>
      <c r="O1215" s="81" t="n">
        <v>2079830</v>
      </c>
      <c r="P1215" s="81" t="n">
        <v>15421102</v>
      </c>
      <c r="Q1215" s="81" t="n">
        <v>11.94</v>
      </c>
      <c r="R1215" s="81" t="s">
        <v>1147</v>
      </c>
      <c r="S1215" s="81"/>
      <c r="T1215" s="81"/>
      <c r="U1215" s="83" t="n">
        <v>46275</v>
      </c>
      <c r="V1215" s="83" t="n">
        <v>46275</v>
      </c>
      <c r="W1215" s="81" t="s">
        <v>1453</v>
      </c>
      <c r="X1215" s="81" t="s">
        <v>876</v>
      </c>
      <c r="Y1215" s="83" t="n">
        <v>46276</v>
      </c>
      <c r="Z1215" s="81" t="s">
        <v>1454</v>
      </c>
      <c r="AA1215" s="81" t="s">
        <v>876</v>
      </c>
      <c r="AB1215" s="81"/>
      <c r="AC1215" s="81"/>
      <c r="AD1215" s="81"/>
      <c r="AE1215" s="83"/>
      <c r="AF1215" s="81"/>
      <c r="AG1215" s="81"/>
      <c r="AH1215" s="81"/>
      <c r="AI1215" s="81"/>
      <c r="AJ1215" s="83"/>
      <c r="AK1215" s="81"/>
      <c r="AL1215" s="81"/>
      <c r="AM1215" s="83"/>
      <c r="AN1215" s="80"/>
      <c r="AO1215" s="82" t="n">
        <f aca="false">IF(E1215="","",(AA1215&lt;&gt;"")+(AG1215&lt;&gt;"")+(AL1215&lt;&gt;""))</f>
        <v>1</v>
      </c>
      <c r="AP1215" s="82" t="str">
        <f aca="false">IF(AL1215&lt;&gt;"",AL1215,IF(AG1215&lt;&gt;"",AG1215,IF(AA1215&lt;&gt;"",AA1215,"")))</f>
        <v>A</v>
      </c>
      <c r="AQ1215" s="84" t="str">
        <f aca="false">IF(E1215="","",IF(U1215="","À SOUDER",IF(X1215="","VT EN ATTENTE",IF(X1215="R","VT REJETÉ – À REPRENDRE",IF(AP1215="","À RADIOGRAPHIER",IF(AP1215="A","ACCEPTÉ",IF(AP1215="NX","NX – RT À REFAIRE",IF(IF(AO1215=1,AD1215,IF(AO1215=2,AI1215,""))="A","RÉPARÉ – À RADIOGRAPHIER",IF(IF(AO1215=1,AD1215,IF(AO1215=2,AI1215,""))="R","VT REJETÉ – À REPRENDRE",IF(OR(AP1215="CO",AP1215="NT"),"COUPE – À RESOUDER","À RÉPARER"))))))))))</f>
        <v>ACCEPTÉ</v>
      </c>
      <c r="AR1215" s="82" t="str">
        <f aca="false">IF(AND(ISNUMBER(U1215),OR(AQ1215="À RADIOGRAPHIER",AQ1215="RÉPARÉ – À RADIOGRAPHIER",AQ1215="NX – RT À REFAIRE",AQ1215="À RÉPARER",AQ1215="COUPE – À RESOUDER",AQ1215="VT REJETÉ – À REPRENDRE")),MAX(0,'PROGRAMME RT'!$C$4-U1215),"")</f>
        <v/>
      </c>
      <c r="AS1215" s="82" t="n">
        <f aca="false">IF(AND(OR(AQ1215="À RADIOGRAPHIER",AQ1215="RÉPARÉ – À RADIOGRAPHIER",AQ1215="NX – RT À REFAIRE"),OR('PROGRAMME RT'!$D$5="TOUTES",B1215='PROGRAMME RT'!$D$5)),1,0)</f>
        <v>0</v>
      </c>
      <c r="AT1215" s="82" t="str">
        <f aca="false">IF(AS1215=1,SUM(AS$7:AS1215),"")</f>
        <v/>
      </c>
      <c r="AU1215" s="82" t="n">
        <f aca="false">IF(AND(OR(AA1215="R",AA1215="NX",AA1215="NT",AA1215="CO"),OR('JOINTS DE RÉPARATION'!$D$5="TOUTES",B1215='JOINTS DE RÉPARATION'!$D$5),OR('JOINTS DE RÉPARATION'!$L$4="TOUS",AQ1215&lt;&gt;"ACCEPTÉ")),1,0)</f>
        <v>0</v>
      </c>
      <c r="AV1215" s="82" t="str">
        <f aca="false">IF(AU1215=1,SUM(AU$7:AU1215),"")</f>
        <v/>
      </c>
      <c r="AW1215" s="82" t="str">
        <f aca="false">IF(E1215="","",B1215&amp;"|"&amp;E1215)</f>
        <v>MFD-ISW → MFD-CPF|DJ°336</v>
      </c>
    </row>
    <row r="1216" customFormat="false" ht="74.6" hidden="false" customHeight="false" outlineLevel="0" collapsed="false">
      <c r="A1216" s="79" t="n">
        <f aca="false">IF(E1216="","",ROW()-6)</f>
        <v>1210</v>
      </c>
      <c r="B1216" s="80" t="s">
        <v>110</v>
      </c>
      <c r="C1216" s="81" t="s">
        <v>1418</v>
      </c>
      <c r="D1216" s="81" t="n">
        <v>9</v>
      </c>
      <c r="E1216" s="81" t="s">
        <v>1455</v>
      </c>
      <c r="F1216" s="82" t="str">
        <f aca="false">IF(E1216="","",IF(LEFT(E1216,2)="DJ","DJ","JN"))</f>
        <v>JN</v>
      </c>
      <c r="G1216" s="81"/>
      <c r="H1216" s="81" t="s">
        <v>871</v>
      </c>
      <c r="I1216" s="81" t="n">
        <v>9.53</v>
      </c>
      <c r="J1216" s="81" t="s">
        <v>872</v>
      </c>
      <c r="K1216" s="81" t="s">
        <v>879</v>
      </c>
      <c r="L1216" s="81" t="n">
        <v>2079830</v>
      </c>
      <c r="M1216" s="81" t="n">
        <v>15421102</v>
      </c>
      <c r="N1216" s="81" t="n">
        <v>11.94</v>
      </c>
      <c r="O1216" s="81" t="n">
        <v>2086670</v>
      </c>
      <c r="P1216" s="81" t="n">
        <v>15421107</v>
      </c>
      <c r="Q1216" s="81" t="n">
        <v>11.94</v>
      </c>
      <c r="R1216" s="81" t="s">
        <v>1367</v>
      </c>
      <c r="S1216" s="81"/>
      <c r="T1216" s="81"/>
      <c r="U1216" s="83" t="n">
        <v>46279</v>
      </c>
      <c r="V1216" s="83" t="n">
        <v>46279</v>
      </c>
      <c r="W1216" s="81" t="s">
        <v>1427</v>
      </c>
      <c r="X1216" s="81" t="s">
        <v>876</v>
      </c>
      <c r="Y1216" s="83" t="n">
        <v>46284</v>
      </c>
      <c r="Z1216" s="81" t="s">
        <v>1434</v>
      </c>
      <c r="AA1216" s="81" t="s">
        <v>876</v>
      </c>
      <c r="AB1216" s="81"/>
      <c r="AC1216" s="81"/>
      <c r="AD1216" s="81"/>
      <c r="AE1216" s="83"/>
      <c r="AF1216" s="81"/>
      <c r="AG1216" s="81"/>
      <c r="AH1216" s="81"/>
      <c r="AI1216" s="81"/>
      <c r="AJ1216" s="83"/>
      <c r="AK1216" s="81"/>
      <c r="AL1216" s="81"/>
      <c r="AM1216" s="83"/>
      <c r="AN1216" s="80"/>
      <c r="AO1216" s="82" t="n">
        <f aca="false">IF(E1216="","",(AA1216&lt;&gt;"")+(AG1216&lt;&gt;"")+(AL1216&lt;&gt;""))</f>
        <v>1</v>
      </c>
      <c r="AP1216" s="82" t="str">
        <f aca="false">IF(AL1216&lt;&gt;"",AL1216,IF(AG1216&lt;&gt;"",AG1216,IF(AA1216&lt;&gt;"",AA1216,"")))</f>
        <v>A</v>
      </c>
      <c r="AQ1216" s="84" t="str">
        <f aca="false">IF(E1216="","",IF(U1216="","À SOUDER",IF(X1216="","VT EN ATTENTE",IF(X1216="R","VT REJETÉ – À REPRENDRE",IF(AP1216="","À RADIOGRAPHIER",IF(AP1216="A","ACCEPTÉ",IF(AP1216="NX","NX – RT À REFAIRE",IF(IF(AO1216=1,AD1216,IF(AO1216=2,AI1216,""))="A","RÉPARÉ – À RADIOGRAPHIER",IF(IF(AO1216=1,AD1216,IF(AO1216=2,AI1216,""))="R","VT REJETÉ – À REPRENDRE",IF(OR(AP1216="CO",AP1216="NT"),"COUPE – À RESOUDER","À RÉPARER"))))))))))</f>
        <v>ACCEPTÉ</v>
      </c>
      <c r="AR1216" s="82" t="str">
        <f aca="false">IF(AND(ISNUMBER(U1216),OR(AQ1216="À RADIOGRAPHIER",AQ1216="RÉPARÉ – À RADIOGRAPHIER",AQ1216="NX – RT À REFAIRE",AQ1216="À RÉPARER",AQ1216="COUPE – À RESOUDER",AQ1216="VT REJETÉ – À REPRENDRE")),MAX(0,'PROGRAMME RT'!$C$4-U1216),"")</f>
        <v/>
      </c>
      <c r="AS1216" s="82" t="n">
        <f aca="false">IF(AND(OR(AQ1216="À RADIOGRAPHIER",AQ1216="RÉPARÉ – À RADIOGRAPHIER",AQ1216="NX – RT À REFAIRE"),OR('PROGRAMME RT'!$D$5="TOUTES",B1216='PROGRAMME RT'!$D$5)),1,0)</f>
        <v>0</v>
      </c>
      <c r="AT1216" s="82" t="str">
        <f aca="false">IF(AS1216=1,SUM(AS$7:AS1216),"")</f>
        <v/>
      </c>
      <c r="AU1216" s="82" t="n">
        <f aca="false">IF(AND(OR(AA1216="R",AA1216="NX",AA1216="NT",AA1216="CO"),OR('JOINTS DE RÉPARATION'!$D$5="TOUTES",B1216='JOINTS DE RÉPARATION'!$D$5),OR('JOINTS DE RÉPARATION'!$L$4="TOUS",AQ1216&lt;&gt;"ACCEPTÉ")),1,0)</f>
        <v>0</v>
      </c>
      <c r="AV1216" s="82" t="str">
        <f aca="false">IF(AU1216=1,SUM(AU$7:AU1216),"")</f>
        <v/>
      </c>
      <c r="AW1216" s="82" t="str">
        <f aca="false">IF(E1216="","",B1216&amp;"|"&amp;E1216)</f>
        <v>MFD-ISW → MFD-CPF|JN°1043</v>
      </c>
    </row>
    <row r="1217" customFormat="false" ht="74.6" hidden="false" customHeight="false" outlineLevel="0" collapsed="false">
      <c r="A1217" s="79" t="n">
        <f aca="false">IF(E1217="","",ROW()-6)</f>
        <v>1211</v>
      </c>
      <c r="B1217" s="80" t="s">
        <v>110</v>
      </c>
      <c r="C1217" s="81" t="s">
        <v>1418</v>
      </c>
      <c r="D1217" s="81" t="n">
        <v>9</v>
      </c>
      <c r="E1217" s="81" t="s">
        <v>1456</v>
      </c>
      <c r="F1217" s="82" t="str">
        <f aca="false">IF(E1217="","",IF(LEFT(E1217,2)="DJ","DJ","JN"))</f>
        <v>DJ</v>
      </c>
      <c r="G1217" s="81"/>
      <c r="H1217" s="81" t="s">
        <v>871</v>
      </c>
      <c r="I1217" s="81" t="n">
        <v>9.53</v>
      </c>
      <c r="J1217" s="81" t="s">
        <v>872</v>
      </c>
      <c r="K1217" s="81" t="s">
        <v>873</v>
      </c>
      <c r="L1217" s="81" t="n">
        <v>2086670</v>
      </c>
      <c r="M1217" s="81" t="n">
        <v>15421107</v>
      </c>
      <c r="N1217" s="81" t="n">
        <v>11.94</v>
      </c>
      <c r="O1217" s="81" t="n">
        <v>2092180</v>
      </c>
      <c r="P1217" s="81" t="n">
        <v>15421110</v>
      </c>
      <c r="Q1217" s="81" t="n">
        <v>11.94</v>
      </c>
      <c r="R1217" s="81" t="s">
        <v>1135</v>
      </c>
      <c r="S1217" s="81"/>
      <c r="T1217" s="81"/>
      <c r="U1217" s="83" t="n">
        <v>46275</v>
      </c>
      <c r="V1217" s="83" t="n">
        <v>46275</v>
      </c>
      <c r="W1217" s="81" t="s">
        <v>1453</v>
      </c>
      <c r="X1217" s="81" t="s">
        <v>876</v>
      </c>
      <c r="Y1217" s="83" t="n">
        <v>46276</v>
      </c>
      <c r="Z1217" s="81" t="s">
        <v>1454</v>
      </c>
      <c r="AA1217" s="81" t="s">
        <v>876</v>
      </c>
      <c r="AB1217" s="81"/>
      <c r="AC1217" s="81"/>
      <c r="AD1217" s="81"/>
      <c r="AE1217" s="83"/>
      <c r="AF1217" s="81"/>
      <c r="AG1217" s="81"/>
      <c r="AH1217" s="81"/>
      <c r="AI1217" s="81"/>
      <c r="AJ1217" s="83"/>
      <c r="AK1217" s="81"/>
      <c r="AL1217" s="81"/>
      <c r="AM1217" s="83"/>
      <c r="AN1217" s="80"/>
      <c r="AO1217" s="82" t="n">
        <f aca="false">IF(E1217="","",(AA1217&lt;&gt;"")+(AG1217&lt;&gt;"")+(AL1217&lt;&gt;""))</f>
        <v>1</v>
      </c>
      <c r="AP1217" s="82" t="str">
        <f aca="false">IF(AL1217&lt;&gt;"",AL1217,IF(AG1217&lt;&gt;"",AG1217,IF(AA1217&lt;&gt;"",AA1217,"")))</f>
        <v>A</v>
      </c>
      <c r="AQ1217" s="84" t="str">
        <f aca="false">IF(E1217="","",IF(U1217="","À SOUDER",IF(X1217="","VT EN ATTENTE",IF(X1217="R","VT REJETÉ – À REPRENDRE",IF(AP1217="","À RADIOGRAPHIER",IF(AP1217="A","ACCEPTÉ",IF(AP1217="NX","NX – RT À REFAIRE",IF(IF(AO1217=1,AD1217,IF(AO1217=2,AI1217,""))="A","RÉPARÉ – À RADIOGRAPHIER",IF(IF(AO1217=1,AD1217,IF(AO1217=2,AI1217,""))="R","VT REJETÉ – À REPRENDRE",IF(OR(AP1217="CO",AP1217="NT"),"COUPE – À RESOUDER","À RÉPARER"))))))))))</f>
        <v>ACCEPTÉ</v>
      </c>
      <c r="AR1217" s="82" t="str">
        <f aca="false">IF(AND(ISNUMBER(U1217),OR(AQ1217="À RADIOGRAPHIER",AQ1217="RÉPARÉ – À RADIOGRAPHIER",AQ1217="NX – RT À REFAIRE",AQ1217="À RÉPARER",AQ1217="COUPE – À RESOUDER",AQ1217="VT REJETÉ – À REPRENDRE")),MAX(0,'PROGRAMME RT'!$C$4-U1217),"")</f>
        <v/>
      </c>
      <c r="AS1217" s="82" t="n">
        <f aca="false">IF(AND(OR(AQ1217="À RADIOGRAPHIER",AQ1217="RÉPARÉ – À RADIOGRAPHIER",AQ1217="NX – RT À REFAIRE"),OR('PROGRAMME RT'!$D$5="TOUTES",B1217='PROGRAMME RT'!$D$5)),1,0)</f>
        <v>0</v>
      </c>
      <c r="AT1217" s="82" t="str">
        <f aca="false">IF(AS1217=1,SUM(AS$7:AS1217),"")</f>
        <v/>
      </c>
      <c r="AU1217" s="82" t="n">
        <f aca="false">IF(AND(OR(AA1217="R",AA1217="NX",AA1217="NT",AA1217="CO"),OR('JOINTS DE RÉPARATION'!$D$5="TOUTES",B1217='JOINTS DE RÉPARATION'!$D$5),OR('JOINTS DE RÉPARATION'!$L$4="TOUS",AQ1217&lt;&gt;"ACCEPTÉ")),1,0)</f>
        <v>0</v>
      </c>
      <c r="AV1217" s="82" t="str">
        <f aca="false">IF(AU1217=1,SUM(AU$7:AU1217),"")</f>
        <v/>
      </c>
      <c r="AW1217" s="82" t="str">
        <f aca="false">IF(E1217="","",B1217&amp;"|"&amp;E1217)</f>
        <v>MFD-ISW → MFD-CPF|DJ°337</v>
      </c>
    </row>
    <row r="1218" customFormat="false" ht="74.6" hidden="false" customHeight="false" outlineLevel="0" collapsed="false">
      <c r="A1218" s="79" t="n">
        <f aca="false">IF(E1218="","",ROW()-6)</f>
        <v>1212</v>
      </c>
      <c r="B1218" s="80" t="s">
        <v>110</v>
      </c>
      <c r="C1218" s="81" t="s">
        <v>1418</v>
      </c>
      <c r="D1218" s="81" t="n">
        <v>9</v>
      </c>
      <c r="E1218" s="81" t="s">
        <v>1457</v>
      </c>
      <c r="F1218" s="82" t="str">
        <f aca="false">IF(E1218="","",IF(LEFT(E1218,2)="DJ","DJ","JN"))</f>
        <v>JN</v>
      </c>
      <c r="G1218" s="81"/>
      <c r="H1218" s="81" t="s">
        <v>871</v>
      </c>
      <c r="I1218" s="81" t="n">
        <v>9.53</v>
      </c>
      <c r="J1218" s="81" t="s">
        <v>872</v>
      </c>
      <c r="K1218" s="81" t="s">
        <v>879</v>
      </c>
      <c r="L1218" s="81" t="n">
        <v>2092180</v>
      </c>
      <c r="M1218" s="81" t="n">
        <v>15421110</v>
      </c>
      <c r="N1218" s="81" t="n">
        <v>11.94</v>
      </c>
      <c r="O1218" s="81" t="n">
        <v>2086870</v>
      </c>
      <c r="P1218" s="81" t="n">
        <v>15421107</v>
      </c>
      <c r="Q1218" s="81" t="n">
        <v>11.94</v>
      </c>
      <c r="R1218" s="81" t="s">
        <v>1367</v>
      </c>
      <c r="S1218" s="81"/>
      <c r="T1218" s="81"/>
      <c r="U1218" s="83" t="n">
        <v>46279</v>
      </c>
      <c r="V1218" s="83" t="n">
        <v>46279</v>
      </c>
      <c r="W1218" s="81" t="s">
        <v>1427</v>
      </c>
      <c r="X1218" s="81" t="s">
        <v>876</v>
      </c>
      <c r="Y1218" s="83" t="n">
        <v>46284</v>
      </c>
      <c r="Z1218" s="81" t="s">
        <v>1434</v>
      </c>
      <c r="AA1218" s="81" t="s">
        <v>1073</v>
      </c>
      <c r="AB1218" s="81" t="s">
        <v>1458</v>
      </c>
      <c r="AC1218" s="81"/>
      <c r="AD1218" s="81"/>
      <c r="AE1218" s="83"/>
      <c r="AF1218" s="81"/>
      <c r="AG1218" s="81"/>
      <c r="AH1218" s="81"/>
      <c r="AI1218" s="81"/>
      <c r="AJ1218" s="83"/>
      <c r="AK1218" s="81"/>
      <c r="AL1218" s="81"/>
      <c r="AM1218" s="83"/>
      <c r="AN1218" s="80"/>
      <c r="AO1218" s="82" t="n">
        <f aca="false">IF(E1218="","",(AA1218&lt;&gt;"")+(AG1218&lt;&gt;"")+(AL1218&lt;&gt;""))</f>
        <v>1</v>
      </c>
      <c r="AP1218" s="82" t="str">
        <f aca="false">IF(AL1218&lt;&gt;"",AL1218,IF(AG1218&lt;&gt;"",AG1218,IF(AA1218&lt;&gt;"",AA1218,"")))</f>
        <v>R</v>
      </c>
      <c r="AQ1218" s="84" t="str">
        <f aca="false">IF(E1218="","",IF(U1218="","À SOUDER",IF(X1218="","VT EN ATTENTE",IF(X1218="R","VT REJETÉ – À REPRENDRE",IF(AP1218="","À RADIOGRAPHIER",IF(AP1218="A","ACCEPTÉ",IF(AP1218="NX","NX – RT À REFAIRE",IF(IF(AO1218=1,AD1218,IF(AO1218=2,AI1218,""))="A","RÉPARÉ – À RADIOGRAPHIER",IF(IF(AO1218=1,AD1218,IF(AO1218=2,AI1218,""))="R","VT REJETÉ – À REPRENDRE",IF(OR(AP1218="CO",AP1218="NT"),"COUPE – À RESOUDER","À RÉPARER"))))))))))</f>
        <v>À RÉPARER</v>
      </c>
      <c r="AR1218" s="82" t="n">
        <f aca="false">IF(AND(ISNUMBER(U1218),OR(AQ1218="À RADIOGRAPHIER",AQ1218="RÉPARÉ – À RADIOGRAPHIER",AQ1218="NX – RT À REFAIRE",AQ1218="À RÉPARER",AQ1218="COUPE – À RESOUDER",AQ1218="VT REJETÉ – À REPRENDRE")),MAX(0,'PROGRAMME RT'!$C$4-U1218),"")</f>
        <v>14</v>
      </c>
      <c r="AS1218" s="82" t="n">
        <f aca="false">IF(AND(OR(AQ1218="À RADIOGRAPHIER",AQ1218="RÉPARÉ – À RADIOGRAPHIER",AQ1218="NX – RT À REFAIRE"),OR('PROGRAMME RT'!$D$5="TOUTES",B1218='PROGRAMME RT'!$D$5)),1,0)</f>
        <v>0</v>
      </c>
      <c r="AT1218" s="82" t="str">
        <f aca="false">IF(AS1218=1,SUM(AS$7:AS1218),"")</f>
        <v/>
      </c>
      <c r="AU1218" s="82" t="n">
        <f aca="false">IF(AND(OR(AA1218="R",AA1218="NX",AA1218="NT",AA1218="CO"),OR('JOINTS DE RÉPARATION'!$D$5="TOUTES",B1218='JOINTS DE RÉPARATION'!$D$5),OR('JOINTS DE RÉPARATION'!$L$4="TOUS",AQ1218&lt;&gt;"ACCEPTÉ")),1,0)</f>
        <v>1</v>
      </c>
      <c r="AV1218" s="82" t="n">
        <f aca="false">IF(AU1218=1,SUM(AU$7:AU1218),"")</f>
        <v>27</v>
      </c>
      <c r="AW1218" s="82" t="str">
        <f aca="false">IF(E1218="","",B1218&amp;"|"&amp;E1218)</f>
        <v>MFD-ISW → MFD-CPF|JN°1044</v>
      </c>
    </row>
    <row r="1219" customFormat="false" ht="74.6" hidden="false" customHeight="false" outlineLevel="0" collapsed="false">
      <c r="A1219" s="79" t="n">
        <f aca="false">IF(E1219="","",ROW()-6)</f>
        <v>1213</v>
      </c>
      <c r="B1219" s="80" t="s">
        <v>110</v>
      </c>
      <c r="C1219" s="81" t="s">
        <v>1418</v>
      </c>
      <c r="D1219" s="81" t="n">
        <v>9</v>
      </c>
      <c r="E1219" s="81" t="s">
        <v>1459</v>
      </c>
      <c r="F1219" s="82" t="str">
        <f aca="false">IF(E1219="","",IF(LEFT(E1219,2)="DJ","DJ","JN"))</f>
        <v>DJ</v>
      </c>
      <c r="G1219" s="81"/>
      <c r="H1219" s="81" t="s">
        <v>871</v>
      </c>
      <c r="I1219" s="81" t="n">
        <v>9.53</v>
      </c>
      <c r="J1219" s="81" t="s">
        <v>872</v>
      </c>
      <c r="K1219" s="81" t="s">
        <v>873</v>
      </c>
      <c r="L1219" s="81" t="n">
        <v>2086870</v>
      </c>
      <c r="M1219" s="81" t="n">
        <v>15421107</v>
      </c>
      <c r="N1219" s="81" t="n">
        <v>11.94</v>
      </c>
      <c r="O1219" s="81" t="n">
        <v>2096400</v>
      </c>
      <c r="P1219" s="81" t="n">
        <v>15421111</v>
      </c>
      <c r="Q1219" s="81" t="n">
        <v>11.94</v>
      </c>
      <c r="R1219" s="81" t="s">
        <v>899</v>
      </c>
      <c r="S1219" s="81"/>
      <c r="T1219" s="81"/>
      <c r="U1219" s="83" t="n">
        <v>46276</v>
      </c>
      <c r="V1219" s="83" t="n">
        <v>46276</v>
      </c>
      <c r="W1219" s="81" t="s">
        <v>1148</v>
      </c>
      <c r="X1219" s="81" t="s">
        <v>876</v>
      </c>
      <c r="Y1219" s="83" t="n">
        <v>46278</v>
      </c>
      <c r="Z1219" s="81" t="s">
        <v>1412</v>
      </c>
      <c r="AA1219" s="81" t="s">
        <v>876</v>
      </c>
      <c r="AB1219" s="81"/>
      <c r="AC1219" s="81"/>
      <c r="AD1219" s="81"/>
      <c r="AE1219" s="83"/>
      <c r="AF1219" s="81"/>
      <c r="AG1219" s="81"/>
      <c r="AH1219" s="81"/>
      <c r="AI1219" s="81"/>
      <c r="AJ1219" s="83"/>
      <c r="AK1219" s="81"/>
      <c r="AL1219" s="81"/>
      <c r="AM1219" s="83"/>
      <c r="AN1219" s="80"/>
      <c r="AO1219" s="82" t="n">
        <f aca="false">IF(E1219="","",(AA1219&lt;&gt;"")+(AG1219&lt;&gt;"")+(AL1219&lt;&gt;""))</f>
        <v>1</v>
      </c>
      <c r="AP1219" s="82" t="str">
        <f aca="false">IF(AL1219&lt;&gt;"",AL1219,IF(AG1219&lt;&gt;"",AG1219,IF(AA1219&lt;&gt;"",AA1219,"")))</f>
        <v>A</v>
      </c>
      <c r="AQ1219" s="84" t="str">
        <f aca="false">IF(E1219="","",IF(U1219="","À SOUDER",IF(X1219="","VT EN ATTENTE",IF(X1219="R","VT REJETÉ – À REPRENDRE",IF(AP1219="","À RADIOGRAPHIER",IF(AP1219="A","ACCEPTÉ",IF(AP1219="NX","NX – RT À REFAIRE",IF(IF(AO1219=1,AD1219,IF(AO1219=2,AI1219,""))="A","RÉPARÉ – À RADIOGRAPHIER",IF(IF(AO1219=1,AD1219,IF(AO1219=2,AI1219,""))="R","VT REJETÉ – À REPRENDRE",IF(OR(AP1219="CO",AP1219="NT"),"COUPE – À RESOUDER","À RÉPARER"))))))))))</f>
        <v>ACCEPTÉ</v>
      </c>
      <c r="AR1219" s="82" t="str">
        <f aca="false">IF(AND(ISNUMBER(U1219),OR(AQ1219="À RADIOGRAPHIER",AQ1219="RÉPARÉ – À RADIOGRAPHIER",AQ1219="NX – RT À REFAIRE",AQ1219="À RÉPARER",AQ1219="COUPE – À RESOUDER",AQ1219="VT REJETÉ – À REPRENDRE")),MAX(0,'PROGRAMME RT'!$C$4-U1219),"")</f>
        <v/>
      </c>
      <c r="AS1219" s="82" t="n">
        <f aca="false">IF(AND(OR(AQ1219="À RADIOGRAPHIER",AQ1219="RÉPARÉ – À RADIOGRAPHIER",AQ1219="NX – RT À REFAIRE"),OR('PROGRAMME RT'!$D$5="TOUTES",B1219='PROGRAMME RT'!$D$5)),1,0)</f>
        <v>0</v>
      </c>
      <c r="AT1219" s="82" t="str">
        <f aca="false">IF(AS1219=1,SUM(AS$7:AS1219),"")</f>
        <v/>
      </c>
      <c r="AU1219" s="82" t="n">
        <f aca="false">IF(AND(OR(AA1219="R",AA1219="NX",AA1219="NT",AA1219="CO"),OR('JOINTS DE RÉPARATION'!$D$5="TOUTES",B1219='JOINTS DE RÉPARATION'!$D$5),OR('JOINTS DE RÉPARATION'!$L$4="TOUS",AQ1219&lt;&gt;"ACCEPTÉ")),1,0)</f>
        <v>0</v>
      </c>
      <c r="AV1219" s="82" t="str">
        <f aca="false">IF(AU1219=1,SUM(AU$7:AU1219),"")</f>
        <v/>
      </c>
      <c r="AW1219" s="82" t="str">
        <f aca="false">IF(E1219="","",B1219&amp;"|"&amp;E1219)</f>
        <v>MFD-ISW → MFD-CPF|DJ°344</v>
      </c>
    </row>
    <row r="1220" customFormat="false" ht="74.6" hidden="false" customHeight="false" outlineLevel="0" collapsed="false">
      <c r="A1220" s="79" t="n">
        <f aca="false">IF(E1220="","",ROW()-6)</f>
        <v>1214</v>
      </c>
      <c r="B1220" s="80" t="s">
        <v>110</v>
      </c>
      <c r="C1220" s="81" t="s">
        <v>926</v>
      </c>
      <c r="D1220" s="81" t="n">
        <v>9</v>
      </c>
      <c r="E1220" s="81" t="s">
        <v>1460</v>
      </c>
      <c r="F1220" s="82" t="str">
        <f aca="false">IF(E1220="","",IF(LEFT(E1220,2)="DJ","DJ","JN"))</f>
        <v>JN</v>
      </c>
      <c r="G1220" s="81"/>
      <c r="H1220" s="81"/>
      <c r="I1220" s="81"/>
      <c r="J1220" s="81"/>
      <c r="K1220" s="81"/>
      <c r="L1220" s="81" t="n">
        <v>2096400</v>
      </c>
      <c r="M1220" s="81" t="n">
        <v>15421111</v>
      </c>
      <c r="N1220" s="81" t="n">
        <v>11.94</v>
      </c>
      <c r="O1220" s="81"/>
      <c r="P1220" s="81"/>
      <c r="Q1220" s="81"/>
      <c r="R1220" s="81"/>
      <c r="S1220" s="81"/>
      <c r="T1220" s="81"/>
      <c r="U1220" s="83"/>
      <c r="V1220" s="83"/>
      <c r="W1220" s="81"/>
      <c r="X1220" s="81"/>
      <c r="Y1220" s="83"/>
      <c r="Z1220" s="81"/>
      <c r="AA1220" s="81"/>
      <c r="AB1220" s="81"/>
      <c r="AC1220" s="81"/>
      <c r="AD1220" s="81"/>
      <c r="AE1220" s="83"/>
      <c r="AF1220" s="81"/>
      <c r="AG1220" s="81"/>
      <c r="AH1220" s="81"/>
      <c r="AI1220" s="81"/>
      <c r="AJ1220" s="83"/>
      <c r="AK1220" s="81"/>
      <c r="AL1220" s="81"/>
      <c r="AM1220" s="83"/>
      <c r="AN1220" s="80"/>
      <c r="AO1220" s="82" t="n">
        <f aca="false">IF(E1220="","",(AA1220&lt;&gt;"")+(AG1220&lt;&gt;"")+(AL1220&lt;&gt;""))</f>
        <v>0</v>
      </c>
      <c r="AP1220" s="82" t="str">
        <f aca="false">IF(AL1220&lt;&gt;"",AL1220,IF(AG1220&lt;&gt;"",AG1220,IF(AA1220&lt;&gt;"",AA1220,"")))</f>
        <v/>
      </c>
      <c r="AQ1220" s="84" t="str">
        <f aca="false">IF(E1220="","",IF(U1220="","À SOUDER",IF(X1220="","VT EN ATTENTE",IF(X1220="R","VT REJETÉ – À REPRENDRE",IF(AP1220="","À RADIOGRAPHIER",IF(AP1220="A","ACCEPTÉ",IF(AP1220="NX","NX – RT À REFAIRE",IF(IF(AO1220=1,AD1220,IF(AO1220=2,AI1220,""))="A","RÉPARÉ – À RADIOGRAPHIER",IF(IF(AO1220=1,AD1220,IF(AO1220=2,AI1220,""))="R","VT REJETÉ – À REPRENDRE",IF(OR(AP1220="CO",AP1220="NT"),"COUPE – À RESOUDER","À RÉPARER"))))))))))</f>
        <v>À SOUDER</v>
      </c>
      <c r="AR1220" s="82" t="str">
        <f aca="false">IF(AND(ISNUMBER(U1220),OR(AQ1220="À RADIOGRAPHIER",AQ1220="RÉPARÉ – À RADIOGRAPHIER",AQ1220="NX – RT À REFAIRE",AQ1220="À RÉPARER",AQ1220="COUPE – À RESOUDER",AQ1220="VT REJETÉ – À REPRENDRE")),MAX(0,'PROGRAMME RT'!$C$4-U1220),"")</f>
        <v/>
      </c>
      <c r="AS1220" s="82" t="n">
        <f aca="false">IF(AND(OR(AQ1220="À RADIOGRAPHIER",AQ1220="RÉPARÉ – À RADIOGRAPHIER",AQ1220="NX – RT À REFAIRE"),OR('PROGRAMME RT'!$D$5="TOUTES",B1220='PROGRAMME RT'!$D$5)),1,0)</f>
        <v>0</v>
      </c>
      <c r="AT1220" s="82" t="str">
        <f aca="false">IF(AS1220=1,SUM(AS$7:AS1220),"")</f>
        <v/>
      </c>
      <c r="AU1220" s="82" t="n">
        <f aca="false">IF(AND(OR(AA1220="R",AA1220="NX",AA1220="NT",AA1220="CO"),OR('JOINTS DE RÉPARATION'!$D$5="TOUTES",B1220='JOINTS DE RÉPARATION'!$D$5),OR('JOINTS DE RÉPARATION'!$L$4="TOUS",AQ1220&lt;&gt;"ACCEPTÉ")),1,0)</f>
        <v>0</v>
      </c>
      <c r="AV1220" s="82" t="str">
        <f aca="false">IF(AU1220=1,SUM(AU$7:AU1220),"")</f>
        <v/>
      </c>
      <c r="AW1220" s="82" t="str">
        <f aca="false">IF(E1220="","",B1220&amp;"|"&amp;E1220)</f>
        <v>MFD-ISW → MFD-CPF|JN°1045</v>
      </c>
    </row>
    <row r="1221" customFormat="false" ht="74.6" hidden="false" customHeight="false" outlineLevel="0" collapsed="false">
      <c r="A1221" s="79" t="n">
        <f aca="false">IF(E1221="","",ROW()-6)</f>
        <v>1215</v>
      </c>
      <c r="B1221" s="80" t="s">
        <v>110</v>
      </c>
      <c r="C1221" s="81" t="s">
        <v>926</v>
      </c>
      <c r="D1221" s="81" t="n">
        <v>9</v>
      </c>
      <c r="E1221" s="81" t="s">
        <v>1461</v>
      </c>
      <c r="F1221" s="82" t="str">
        <f aca="false">IF(E1221="","",IF(LEFT(E1221,2)="DJ","DJ","JN"))</f>
        <v>JN</v>
      </c>
      <c r="G1221" s="81"/>
      <c r="H1221" s="81"/>
      <c r="I1221" s="81"/>
      <c r="J1221" s="81"/>
      <c r="K1221" s="81"/>
      <c r="L1221" s="81"/>
      <c r="M1221" s="81"/>
      <c r="N1221" s="81"/>
      <c r="O1221" s="81"/>
      <c r="P1221" s="81"/>
      <c r="Q1221" s="81"/>
      <c r="R1221" s="81"/>
      <c r="S1221" s="81"/>
      <c r="T1221" s="81"/>
      <c r="U1221" s="83"/>
      <c r="V1221" s="83"/>
      <c r="W1221" s="81"/>
      <c r="X1221" s="81"/>
      <c r="Y1221" s="83"/>
      <c r="Z1221" s="81"/>
      <c r="AA1221" s="81"/>
      <c r="AB1221" s="81"/>
      <c r="AC1221" s="81"/>
      <c r="AD1221" s="81"/>
      <c r="AE1221" s="83"/>
      <c r="AF1221" s="81"/>
      <c r="AG1221" s="81"/>
      <c r="AH1221" s="81"/>
      <c r="AI1221" s="81"/>
      <c r="AJ1221" s="83"/>
      <c r="AK1221" s="81"/>
      <c r="AL1221" s="81"/>
      <c r="AM1221" s="83"/>
      <c r="AN1221" s="80"/>
      <c r="AO1221" s="82" t="n">
        <f aca="false">IF(E1221="","",(AA1221&lt;&gt;"")+(AG1221&lt;&gt;"")+(AL1221&lt;&gt;""))</f>
        <v>0</v>
      </c>
      <c r="AP1221" s="82" t="str">
        <f aca="false">IF(AL1221&lt;&gt;"",AL1221,IF(AG1221&lt;&gt;"",AG1221,IF(AA1221&lt;&gt;"",AA1221,"")))</f>
        <v/>
      </c>
      <c r="AQ1221" s="84" t="str">
        <f aca="false">IF(E1221="","",IF(U1221="","À SOUDER",IF(X1221="","VT EN ATTENTE",IF(X1221="R","VT REJETÉ – À REPRENDRE",IF(AP1221="","À RADIOGRAPHIER",IF(AP1221="A","ACCEPTÉ",IF(AP1221="NX","NX – RT À REFAIRE",IF(IF(AO1221=1,AD1221,IF(AO1221=2,AI1221,""))="A","RÉPARÉ – À RADIOGRAPHIER",IF(IF(AO1221=1,AD1221,IF(AO1221=2,AI1221,""))="R","VT REJETÉ – À REPRENDRE",IF(OR(AP1221="CO",AP1221="NT"),"COUPE – À RESOUDER","À RÉPARER"))))))))))</f>
        <v>À SOUDER</v>
      </c>
      <c r="AR1221" s="82" t="str">
        <f aca="false">IF(AND(ISNUMBER(U1221),OR(AQ1221="À RADIOGRAPHIER",AQ1221="RÉPARÉ – À RADIOGRAPHIER",AQ1221="NX – RT À REFAIRE",AQ1221="À RÉPARER",AQ1221="COUPE – À RESOUDER",AQ1221="VT REJETÉ – À REPRENDRE")),MAX(0,'PROGRAMME RT'!$C$4-U1221),"")</f>
        <v/>
      </c>
      <c r="AS1221" s="82" t="n">
        <f aca="false">IF(AND(OR(AQ1221="À RADIOGRAPHIER",AQ1221="RÉPARÉ – À RADIOGRAPHIER",AQ1221="NX – RT À REFAIRE"),OR('PROGRAMME RT'!$D$5="TOUTES",B1221='PROGRAMME RT'!$D$5)),1,0)</f>
        <v>0</v>
      </c>
      <c r="AT1221" s="82" t="str">
        <f aca="false">IF(AS1221=1,SUM(AS$7:AS1221),"")</f>
        <v/>
      </c>
      <c r="AU1221" s="82" t="n">
        <f aca="false">IF(AND(OR(AA1221="R",AA1221="NX",AA1221="NT",AA1221="CO"),OR('JOINTS DE RÉPARATION'!$D$5="TOUTES",B1221='JOINTS DE RÉPARATION'!$D$5),OR('JOINTS DE RÉPARATION'!$L$4="TOUS",AQ1221&lt;&gt;"ACCEPTÉ")),1,0)</f>
        <v>0</v>
      </c>
      <c r="AV1221" s="82" t="str">
        <f aca="false">IF(AU1221=1,SUM(AU$7:AU1221),"")</f>
        <v/>
      </c>
      <c r="AW1221" s="82" t="str">
        <f aca="false">IF(E1221="","",B1221&amp;"|"&amp;E1221)</f>
        <v>MFD-ISW → MFD-CPF|JN°1046</v>
      </c>
    </row>
    <row r="1222" customFormat="false" ht="74.6" hidden="false" customHeight="false" outlineLevel="0" collapsed="false">
      <c r="A1222" s="79" t="n">
        <f aca="false">IF(E1222="","",ROW()-6)</f>
        <v>1216</v>
      </c>
      <c r="B1222" s="80" t="s">
        <v>110</v>
      </c>
      <c r="C1222" s="81" t="s">
        <v>926</v>
      </c>
      <c r="D1222" s="81" t="n">
        <v>9</v>
      </c>
      <c r="E1222" s="81" t="s">
        <v>1462</v>
      </c>
      <c r="F1222" s="82" t="str">
        <f aca="false">IF(E1222="","",IF(LEFT(E1222,2)="DJ","DJ","JN"))</f>
        <v>JN</v>
      </c>
      <c r="G1222" s="81"/>
      <c r="H1222" s="81"/>
      <c r="I1222" s="81"/>
      <c r="J1222" s="81"/>
      <c r="K1222" s="81"/>
      <c r="L1222" s="81"/>
      <c r="M1222" s="81"/>
      <c r="N1222" s="81"/>
      <c r="O1222" s="81"/>
      <c r="P1222" s="81"/>
      <c r="Q1222" s="81"/>
      <c r="R1222" s="81"/>
      <c r="S1222" s="81"/>
      <c r="T1222" s="81"/>
      <c r="U1222" s="83"/>
      <c r="V1222" s="83"/>
      <c r="W1222" s="81"/>
      <c r="X1222" s="81"/>
      <c r="Y1222" s="83"/>
      <c r="Z1222" s="81"/>
      <c r="AA1222" s="81"/>
      <c r="AB1222" s="81"/>
      <c r="AC1222" s="81"/>
      <c r="AD1222" s="81"/>
      <c r="AE1222" s="83"/>
      <c r="AF1222" s="81"/>
      <c r="AG1222" s="81"/>
      <c r="AH1222" s="81"/>
      <c r="AI1222" s="81"/>
      <c r="AJ1222" s="83"/>
      <c r="AK1222" s="81"/>
      <c r="AL1222" s="81"/>
      <c r="AM1222" s="83"/>
      <c r="AN1222" s="80"/>
      <c r="AO1222" s="82" t="n">
        <f aca="false">IF(E1222="","",(AA1222&lt;&gt;"")+(AG1222&lt;&gt;"")+(AL1222&lt;&gt;""))</f>
        <v>0</v>
      </c>
      <c r="AP1222" s="82" t="str">
        <f aca="false">IF(AL1222&lt;&gt;"",AL1222,IF(AG1222&lt;&gt;"",AG1222,IF(AA1222&lt;&gt;"",AA1222,"")))</f>
        <v/>
      </c>
      <c r="AQ1222" s="84" t="str">
        <f aca="false">IF(E1222="","",IF(U1222="","À SOUDER",IF(X1222="","VT EN ATTENTE",IF(X1222="R","VT REJETÉ – À REPRENDRE",IF(AP1222="","À RADIOGRAPHIER",IF(AP1222="A","ACCEPTÉ",IF(AP1222="NX","NX – RT À REFAIRE",IF(IF(AO1222=1,AD1222,IF(AO1222=2,AI1222,""))="A","RÉPARÉ – À RADIOGRAPHIER",IF(IF(AO1222=1,AD1222,IF(AO1222=2,AI1222,""))="R","VT REJETÉ – À REPRENDRE",IF(OR(AP1222="CO",AP1222="NT"),"COUPE – À RESOUDER","À RÉPARER"))))))))))</f>
        <v>À SOUDER</v>
      </c>
      <c r="AR1222" s="82" t="str">
        <f aca="false">IF(AND(ISNUMBER(U1222),OR(AQ1222="À RADIOGRAPHIER",AQ1222="RÉPARÉ – À RADIOGRAPHIER",AQ1222="NX – RT À REFAIRE",AQ1222="À RÉPARER",AQ1222="COUPE – À RESOUDER",AQ1222="VT REJETÉ – À REPRENDRE")),MAX(0,'PROGRAMME RT'!$C$4-U1222),"")</f>
        <v/>
      </c>
      <c r="AS1222" s="82" t="n">
        <f aca="false">IF(AND(OR(AQ1222="À RADIOGRAPHIER",AQ1222="RÉPARÉ – À RADIOGRAPHIER",AQ1222="NX – RT À REFAIRE"),OR('PROGRAMME RT'!$D$5="TOUTES",B1222='PROGRAMME RT'!$D$5)),1,0)</f>
        <v>0</v>
      </c>
      <c r="AT1222" s="82" t="str">
        <f aca="false">IF(AS1222=1,SUM(AS$7:AS1222),"")</f>
        <v/>
      </c>
      <c r="AU1222" s="82" t="n">
        <f aca="false">IF(AND(OR(AA1222="R",AA1222="NX",AA1222="NT",AA1222="CO"),OR('JOINTS DE RÉPARATION'!$D$5="TOUTES",B1222='JOINTS DE RÉPARATION'!$D$5),OR('JOINTS DE RÉPARATION'!$L$4="TOUS",AQ1222&lt;&gt;"ACCEPTÉ")),1,0)</f>
        <v>0</v>
      </c>
      <c r="AV1222" s="82" t="str">
        <f aca="false">IF(AU1222=1,SUM(AU$7:AU1222),"")</f>
        <v/>
      </c>
      <c r="AW1222" s="82" t="str">
        <f aca="false">IF(E1222="","",B1222&amp;"|"&amp;E1222)</f>
        <v>MFD-ISW → MFD-CPF|JN°1047</v>
      </c>
    </row>
    <row r="1223" customFormat="false" ht="74.6" hidden="false" customHeight="false" outlineLevel="0" collapsed="false">
      <c r="A1223" s="79" t="n">
        <f aca="false">IF(E1223="","",ROW()-6)</f>
        <v>1217</v>
      </c>
      <c r="B1223" s="80" t="s">
        <v>110</v>
      </c>
      <c r="C1223" s="81" t="s">
        <v>926</v>
      </c>
      <c r="D1223" s="81" t="n">
        <v>9</v>
      </c>
      <c r="E1223" s="81" t="s">
        <v>1463</v>
      </c>
      <c r="F1223" s="82" t="str">
        <f aca="false">IF(E1223="","",IF(LEFT(E1223,2)="DJ","DJ","JN"))</f>
        <v>JN</v>
      </c>
      <c r="G1223" s="81"/>
      <c r="H1223" s="81"/>
      <c r="I1223" s="81"/>
      <c r="J1223" s="81"/>
      <c r="K1223" s="81"/>
      <c r="L1223" s="81"/>
      <c r="M1223" s="81"/>
      <c r="N1223" s="81"/>
      <c r="O1223" s="81"/>
      <c r="P1223" s="81"/>
      <c r="Q1223" s="81"/>
      <c r="R1223" s="81"/>
      <c r="S1223" s="81"/>
      <c r="T1223" s="81"/>
      <c r="U1223" s="83"/>
      <c r="V1223" s="83"/>
      <c r="W1223" s="81"/>
      <c r="X1223" s="81"/>
      <c r="Y1223" s="83"/>
      <c r="Z1223" s="81"/>
      <c r="AA1223" s="81"/>
      <c r="AB1223" s="81"/>
      <c r="AC1223" s="81"/>
      <c r="AD1223" s="81"/>
      <c r="AE1223" s="83"/>
      <c r="AF1223" s="81"/>
      <c r="AG1223" s="81"/>
      <c r="AH1223" s="81"/>
      <c r="AI1223" s="81"/>
      <c r="AJ1223" s="83"/>
      <c r="AK1223" s="81"/>
      <c r="AL1223" s="81"/>
      <c r="AM1223" s="83"/>
      <c r="AN1223" s="80"/>
      <c r="AO1223" s="82" t="n">
        <f aca="false">IF(E1223="","",(AA1223&lt;&gt;"")+(AG1223&lt;&gt;"")+(AL1223&lt;&gt;""))</f>
        <v>0</v>
      </c>
      <c r="AP1223" s="82" t="str">
        <f aca="false">IF(AL1223&lt;&gt;"",AL1223,IF(AG1223&lt;&gt;"",AG1223,IF(AA1223&lt;&gt;"",AA1223,"")))</f>
        <v/>
      </c>
      <c r="AQ1223" s="84" t="str">
        <f aca="false">IF(E1223="","",IF(U1223="","À SOUDER",IF(X1223="","VT EN ATTENTE",IF(X1223="R","VT REJETÉ – À REPRENDRE",IF(AP1223="","À RADIOGRAPHIER",IF(AP1223="A","ACCEPTÉ",IF(AP1223="NX","NX – RT À REFAIRE",IF(IF(AO1223=1,AD1223,IF(AO1223=2,AI1223,""))="A","RÉPARÉ – À RADIOGRAPHIER",IF(IF(AO1223=1,AD1223,IF(AO1223=2,AI1223,""))="R","VT REJETÉ – À REPRENDRE",IF(OR(AP1223="CO",AP1223="NT"),"COUPE – À RESOUDER","À RÉPARER"))))))))))</f>
        <v>À SOUDER</v>
      </c>
      <c r="AR1223" s="82" t="str">
        <f aca="false">IF(AND(ISNUMBER(U1223),OR(AQ1223="À RADIOGRAPHIER",AQ1223="RÉPARÉ – À RADIOGRAPHIER",AQ1223="NX – RT À REFAIRE",AQ1223="À RÉPARER",AQ1223="COUPE – À RESOUDER",AQ1223="VT REJETÉ – À REPRENDRE")),MAX(0,'PROGRAMME RT'!$C$4-U1223),"")</f>
        <v/>
      </c>
      <c r="AS1223" s="82" t="n">
        <f aca="false">IF(AND(OR(AQ1223="À RADIOGRAPHIER",AQ1223="RÉPARÉ – À RADIOGRAPHIER",AQ1223="NX – RT À REFAIRE"),OR('PROGRAMME RT'!$D$5="TOUTES",B1223='PROGRAMME RT'!$D$5)),1,0)</f>
        <v>0</v>
      </c>
      <c r="AT1223" s="82" t="str">
        <f aca="false">IF(AS1223=1,SUM(AS$7:AS1223),"")</f>
        <v/>
      </c>
      <c r="AU1223" s="82" t="n">
        <f aca="false">IF(AND(OR(AA1223="R",AA1223="NX",AA1223="NT",AA1223="CO"),OR('JOINTS DE RÉPARATION'!$D$5="TOUTES",B1223='JOINTS DE RÉPARATION'!$D$5),OR('JOINTS DE RÉPARATION'!$L$4="TOUS",AQ1223&lt;&gt;"ACCEPTÉ")),1,0)</f>
        <v>0</v>
      </c>
      <c r="AV1223" s="82" t="str">
        <f aca="false">IF(AU1223=1,SUM(AU$7:AU1223),"")</f>
        <v/>
      </c>
      <c r="AW1223" s="82" t="str">
        <f aca="false">IF(E1223="","",B1223&amp;"|"&amp;E1223)</f>
        <v>MFD-ISW → MFD-CPF|JN°1048</v>
      </c>
    </row>
    <row r="1224" customFormat="false" ht="74.6" hidden="false" customHeight="false" outlineLevel="0" collapsed="false">
      <c r="A1224" s="79" t="n">
        <f aca="false">IF(E1224="","",ROW()-6)</f>
        <v>1218</v>
      </c>
      <c r="B1224" s="80" t="s">
        <v>110</v>
      </c>
      <c r="C1224" s="81" t="s">
        <v>926</v>
      </c>
      <c r="D1224" s="81" t="n">
        <v>9</v>
      </c>
      <c r="E1224" s="81" t="s">
        <v>1464</v>
      </c>
      <c r="F1224" s="82" t="str">
        <f aca="false">IF(E1224="","",IF(LEFT(E1224,2)="DJ","DJ","JN"))</f>
        <v>JN</v>
      </c>
      <c r="G1224" s="81"/>
      <c r="H1224" s="81"/>
      <c r="I1224" s="81"/>
      <c r="J1224" s="81"/>
      <c r="K1224" s="81"/>
      <c r="L1224" s="81"/>
      <c r="M1224" s="81"/>
      <c r="N1224" s="81"/>
      <c r="O1224" s="81"/>
      <c r="P1224" s="81"/>
      <c r="Q1224" s="81"/>
      <c r="R1224" s="81"/>
      <c r="S1224" s="81"/>
      <c r="T1224" s="81"/>
      <c r="U1224" s="83"/>
      <c r="V1224" s="83"/>
      <c r="W1224" s="81"/>
      <c r="X1224" s="81"/>
      <c r="Y1224" s="83"/>
      <c r="Z1224" s="81"/>
      <c r="AA1224" s="81"/>
      <c r="AB1224" s="81"/>
      <c r="AC1224" s="81"/>
      <c r="AD1224" s="81"/>
      <c r="AE1224" s="83"/>
      <c r="AF1224" s="81"/>
      <c r="AG1224" s="81"/>
      <c r="AH1224" s="81"/>
      <c r="AI1224" s="81"/>
      <c r="AJ1224" s="83"/>
      <c r="AK1224" s="81"/>
      <c r="AL1224" s="81"/>
      <c r="AM1224" s="83"/>
      <c r="AN1224" s="80"/>
      <c r="AO1224" s="82" t="n">
        <f aca="false">IF(E1224="","",(AA1224&lt;&gt;"")+(AG1224&lt;&gt;"")+(AL1224&lt;&gt;""))</f>
        <v>0</v>
      </c>
      <c r="AP1224" s="82" t="str">
        <f aca="false">IF(AL1224&lt;&gt;"",AL1224,IF(AG1224&lt;&gt;"",AG1224,IF(AA1224&lt;&gt;"",AA1224,"")))</f>
        <v/>
      </c>
      <c r="AQ1224" s="84" t="str">
        <f aca="false">IF(E1224="","",IF(U1224="","À SOUDER",IF(X1224="","VT EN ATTENTE",IF(X1224="R","VT REJETÉ – À REPRENDRE",IF(AP1224="","À RADIOGRAPHIER",IF(AP1224="A","ACCEPTÉ",IF(AP1224="NX","NX – RT À REFAIRE",IF(IF(AO1224=1,AD1224,IF(AO1224=2,AI1224,""))="A","RÉPARÉ – À RADIOGRAPHIER",IF(IF(AO1224=1,AD1224,IF(AO1224=2,AI1224,""))="R","VT REJETÉ – À REPRENDRE",IF(OR(AP1224="CO",AP1224="NT"),"COUPE – À RESOUDER","À RÉPARER"))))))))))</f>
        <v>À SOUDER</v>
      </c>
      <c r="AR1224" s="82" t="str">
        <f aca="false">IF(AND(ISNUMBER(U1224),OR(AQ1224="À RADIOGRAPHIER",AQ1224="RÉPARÉ – À RADIOGRAPHIER",AQ1224="NX – RT À REFAIRE",AQ1224="À RÉPARER",AQ1224="COUPE – À RESOUDER",AQ1224="VT REJETÉ – À REPRENDRE")),MAX(0,'PROGRAMME RT'!$C$4-U1224),"")</f>
        <v/>
      </c>
      <c r="AS1224" s="82" t="n">
        <f aca="false">IF(AND(OR(AQ1224="À RADIOGRAPHIER",AQ1224="RÉPARÉ – À RADIOGRAPHIER",AQ1224="NX – RT À REFAIRE"),OR('PROGRAMME RT'!$D$5="TOUTES",B1224='PROGRAMME RT'!$D$5)),1,0)</f>
        <v>0</v>
      </c>
      <c r="AT1224" s="82" t="str">
        <f aca="false">IF(AS1224=1,SUM(AS$7:AS1224),"")</f>
        <v/>
      </c>
      <c r="AU1224" s="82" t="n">
        <f aca="false">IF(AND(OR(AA1224="R",AA1224="NX",AA1224="NT",AA1224="CO"),OR('JOINTS DE RÉPARATION'!$D$5="TOUTES",B1224='JOINTS DE RÉPARATION'!$D$5),OR('JOINTS DE RÉPARATION'!$L$4="TOUS",AQ1224&lt;&gt;"ACCEPTÉ")),1,0)</f>
        <v>0</v>
      </c>
      <c r="AV1224" s="82" t="str">
        <f aca="false">IF(AU1224=1,SUM(AU$7:AU1224),"")</f>
        <v/>
      </c>
      <c r="AW1224" s="82" t="str">
        <f aca="false">IF(E1224="","",B1224&amp;"|"&amp;E1224)</f>
        <v>MFD-ISW → MFD-CPF|JN°1049</v>
      </c>
    </row>
    <row r="1225" customFormat="false" ht="74.6" hidden="false" customHeight="false" outlineLevel="0" collapsed="false">
      <c r="A1225" s="79" t="n">
        <f aca="false">IF(E1225="","",ROW()-6)</f>
        <v>1219</v>
      </c>
      <c r="B1225" s="80" t="s">
        <v>110</v>
      </c>
      <c r="C1225" s="81" t="s">
        <v>926</v>
      </c>
      <c r="D1225" s="81" t="n">
        <v>9</v>
      </c>
      <c r="E1225" s="81" t="s">
        <v>1465</v>
      </c>
      <c r="F1225" s="82" t="str">
        <f aca="false">IF(E1225="","",IF(LEFT(E1225,2)="DJ","DJ","JN"))</f>
        <v>JN</v>
      </c>
      <c r="G1225" s="81"/>
      <c r="H1225" s="81"/>
      <c r="I1225" s="81"/>
      <c r="J1225" s="81"/>
      <c r="K1225" s="81"/>
      <c r="L1225" s="81"/>
      <c r="M1225" s="81"/>
      <c r="N1225" s="81"/>
      <c r="O1225" s="81"/>
      <c r="P1225" s="81"/>
      <c r="Q1225" s="81"/>
      <c r="R1225" s="81"/>
      <c r="S1225" s="81"/>
      <c r="T1225" s="81"/>
      <c r="U1225" s="83"/>
      <c r="V1225" s="83"/>
      <c r="W1225" s="81"/>
      <c r="X1225" s="81"/>
      <c r="Y1225" s="83"/>
      <c r="Z1225" s="81"/>
      <c r="AA1225" s="81"/>
      <c r="AB1225" s="81"/>
      <c r="AC1225" s="81"/>
      <c r="AD1225" s="81"/>
      <c r="AE1225" s="83"/>
      <c r="AF1225" s="81"/>
      <c r="AG1225" s="81"/>
      <c r="AH1225" s="81"/>
      <c r="AI1225" s="81"/>
      <c r="AJ1225" s="83"/>
      <c r="AK1225" s="81"/>
      <c r="AL1225" s="81"/>
      <c r="AM1225" s="83"/>
      <c r="AN1225" s="80"/>
      <c r="AO1225" s="82" t="n">
        <f aca="false">IF(E1225="","",(AA1225&lt;&gt;"")+(AG1225&lt;&gt;"")+(AL1225&lt;&gt;""))</f>
        <v>0</v>
      </c>
      <c r="AP1225" s="82" t="str">
        <f aca="false">IF(AL1225&lt;&gt;"",AL1225,IF(AG1225&lt;&gt;"",AG1225,IF(AA1225&lt;&gt;"",AA1225,"")))</f>
        <v/>
      </c>
      <c r="AQ1225" s="84" t="str">
        <f aca="false">IF(E1225="","",IF(U1225="","À SOUDER",IF(X1225="","VT EN ATTENTE",IF(X1225="R","VT REJETÉ – À REPRENDRE",IF(AP1225="","À RADIOGRAPHIER",IF(AP1225="A","ACCEPTÉ",IF(AP1225="NX","NX – RT À REFAIRE",IF(IF(AO1225=1,AD1225,IF(AO1225=2,AI1225,""))="A","RÉPARÉ – À RADIOGRAPHIER",IF(IF(AO1225=1,AD1225,IF(AO1225=2,AI1225,""))="R","VT REJETÉ – À REPRENDRE",IF(OR(AP1225="CO",AP1225="NT"),"COUPE – À RESOUDER","À RÉPARER"))))))))))</f>
        <v>À SOUDER</v>
      </c>
      <c r="AR1225" s="82" t="str">
        <f aca="false">IF(AND(ISNUMBER(U1225),OR(AQ1225="À RADIOGRAPHIER",AQ1225="RÉPARÉ – À RADIOGRAPHIER",AQ1225="NX – RT À REFAIRE",AQ1225="À RÉPARER",AQ1225="COUPE – À RESOUDER",AQ1225="VT REJETÉ – À REPRENDRE")),MAX(0,'PROGRAMME RT'!$C$4-U1225),"")</f>
        <v/>
      </c>
      <c r="AS1225" s="82" t="n">
        <f aca="false">IF(AND(OR(AQ1225="À RADIOGRAPHIER",AQ1225="RÉPARÉ – À RADIOGRAPHIER",AQ1225="NX – RT À REFAIRE"),OR('PROGRAMME RT'!$D$5="TOUTES",B1225='PROGRAMME RT'!$D$5)),1,0)</f>
        <v>0</v>
      </c>
      <c r="AT1225" s="82" t="str">
        <f aca="false">IF(AS1225=1,SUM(AS$7:AS1225),"")</f>
        <v/>
      </c>
      <c r="AU1225" s="82" t="n">
        <f aca="false">IF(AND(OR(AA1225="R",AA1225="NX",AA1225="NT",AA1225="CO"),OR('JOINTS DE RÉPARATION'!$D$5="TOUTES",B1225='JOINTS DE RÉPARATION'!$D$5),OR('JOINTS DE RÉPARATION'!$L$4="TOUS",AQ1225&lt;&gt;"ACCEPTÉ")),1,0)</f>
        <v>0</v>
      </c>
      <c r="AV1225" s="82" t="str">
        <f aca="false">IF(AU1225=1,SUM(AU$7:AU1225),"")</f>
        <v/>
      </c>
      <c r="AW1225" s="82" t="str">
        <f aca="false">IF(E1225="","",B1225&amp;"|"&amp;E1225)</f>
        <v>MFD-ISW → MFD-CPF|JN°1050</v>
      </c>
    </row>
    <row r="1226" customFormat="false" ht="74.6" hidden="false" customHeight="false" outlineLevel="0" collapsed="false">
      <c r="A1226" s="79" t="n">
        <f aca="false">IF(E1226="","",ROW()-6)</f>
        <v>1220</v>
      </c>
      <c r="B1226" s="80" t="s">
        <v>110</v>
      </c>
      <c r="C1226" s="81" t="s">
        <v>926</v>
      </c>
      <c r="D1226" s="81" t="n">
        <v>9</v>
      </c>
      <c r="E1226" s="81" t="s">
        <v>1466</v>
      </c>
      <c r="F1226" s="82" t="str">
        <f aca="false">IF(E1226="","",IF(LEFT(E1226,2)="DJ","DJ","JN"))</f>
        <v>JN</v>
      </c>
      <c r="G1226" s="81"/>
      <c r="H1226" s="81"/>
      <c r="I1226" s="81"/>
      <c r="J1226" s="81"/>
      <c r="K1226" s="81"/>
      <c r="L1226" s="81"/>
      <c r="M1226" s="81"/>
      <c r="N1226" s="81"/>
      <c r="O1226" s="81"/>
      <c r="P1226" s="81"/>
      <c r="Q1226" s="81"/>
      <c r="R1226" s="81"/>
      <c r="S1226" s="81"/>
      <c r="T1226" s="81"/>
      <c r="U1226" s="83"/>
      <c r="V1226" s="83"/>
      <c r="W1226" s="81"/>
      <c r="X1226" s="81"/>
      <c r="Y1226" s="83"/>
      <c r="Z1226" s="81"/>
      <c r="AA1226" s="81"/>
      <c r="AB1226" s="81"/>
      <c r="AC1226" s="81"/>
      <c r="AD1226" s="81"/>
      <c r="AE1226" s="83"/>
      <c r="AF1226" s="81"/>
      <c r="AG1226" s="81"/>
      <c r="AH1226" s="81"/>
      <c r="AI1226" s="81"/>
      <c r="AJ1226" s="83"/>
      <c r="AK1226" s="81"/>
      <c r="AL1226" s="81"/>
      <c r="AM1226" s="83"/>
      <c r="AN1226" s="80"/>
      <c r="AO1226" s="82" t="n">
        <f aca="false">IF(E1226="","",(AA1226&lt;&gt;"")+(AG1226&lt;&gt;"")+(AL1226&lt;&gt;""))</f>
        <v>0</v>
      </c>
      <c r="AP1226" s="82" t="str">
        <f aca="false">IF(AL1226&lt;&gt;"",AL1226,IF(AG1226&lt;&gt;"",AG1226,IF(AA1226&lt;&gt;"",AA1226,"")))</f>
        <v/>
      </c>
      <c r="AQ1226" s="84" t="str">
        <f aca="false">IF(E1226="","",IF(U1226="","À SOUDER",IF(X1226="","VT EN ATTENTE",IF(X1226="R","VT REJETÉ – À REPRENDRE",IF(AP1226="","À RADIOGRAPHIER",IF(AP1226="A","ACCEPTÉ",IF(AP1226="NX","NX – RT À REFAIRE",IF(IF(AO1226=1,AD1226,IF(AO1226=2,AI1226,""))="A","RÉPARÉ – À RADIOGRAPHIER",IF(IF(AO1226=1,AD1226,IF(AO1226=2,AI1226,""))="R","VT REJETÉ – À REPRENDRE",IF(OR(AP1226="CO",AP1226="NT"),"COUPE – À RESOUDER","À RÉPARER"))))))))))</f>
        <v>À SOUDER</v>
      </c>
      <c r="AR1226" s="82" t="str">
        <f aca="false">IF(AND(ISNUMBER(U1226),OR(AQ1226="À RADIOGRAPHIER",AQ1226="RÉPARÉ – À RADIOGRAPHIER",AQ1226="NX – RT À REFAIRE",AQ1226="À RÉPARER",AQ1226="COUPE – À RESOUDER",AQ1226="VT REJETÉ – À REPRENDRE")),MAX(0,'PROGRAMME RT'!$C$4-U1226),"")</f>
        <v/>
      </c>
      <c r="AS1226" s="82" t="n">
        <f aca="false">IF(AND(OR(AQ1226="À RADIOGRAPHIER",AQ1226="RÉPARÉ – À RADIOGRAPHIER",AQ1226="NX – RT À REFAIRE"),OR('PROGRAMME RT'!$D$5="TOUTES",B1226='PROGRAMME RT'!$D$5)),1,0)</f>
        <v>0</v>
      </c>
      <c r="AT1226" s="82" t="str">
        <f aca="false">IF(AS1226=1,SUM(AS$7:AS1226),"")</f>
        <v/>
      </c>
      <c r="AU1226" s="82" t="n">
        <f aca="false">IF(AND(OR(AA1226="R",AA1226="NX",AA1226="NT",AA1226="CO"),OR('JOINTS DE RÉPARATION'!$D$5="TOUTES",B1226='JOINTS DE RÉPARATION'!$D$5),OR('JOINTS DE RÉPARATION'!$L$4="TOUS",AQ1226&lt;&gt;"ACCEPTÉ")),1,0)</f>
        <v>0</v>
      </c>
      <c r="AV1226" s="82" t="str">
        <f aca="false">IF(AU1226=1,SUM(AU$7:AU1226),"")</f>
        <v/>
      </c>
      <c r="AW1226" s="82" t="str">
        <f aca="false">IF(E1226="","",B1226&amp;"|"&amp;E1226)</f>
        <v>MFD-ISW → MFD-CPF|JN°1051</v>
      </c>
    </row>
    <row r="1227" customFormat="false" ht="74.6" hidden="false" customHeight="false" outlineLevel="0" collapsed="false">
      <c r="A1227" s="79" t="n">
        <f aca="false">IF(E1227="","",ROW()-6)</f>
        <v>1221</v>
      </c>
      <c r="B1227" s="80" t="s">
        <v>110</v>
      </c>
      <c r="C1227" s="81" t="s">
        <v>926</v>
      </c>
      <c r="D1227" s="81" t="n">
        <v>9</v>
      </c>
      <c r="E1227" s="81" t="s">
        <v>1467</v>
      </c>
      <c r="F1227" s="82" t="str">
        <f aca="false">IF(E1227="","",IF(LEFT(E1227,2)="DJ","DJ","JN"))</f>
        <v>JN</v>
      </c>
      <c r="G1227" s="81"/>
      <c r="H1227" s="81"/>
      <c r="I1227" s="81"/>
      <c r="J1227" s="81"/>
      <c r="K1227" s="81"/>
      <c r="L1227" s="81"/>
      <c r="M1227" s="81"/>
      <c r="N1227" s="81"/>
      <c r="O1227" s="81"/>
      <c r="P1227" s="81"/>
      <c r="Q1227" s="81"/>
      <c r="R1227" s="81"/>
      <c r="S1227" s="81"/>
      <c r="T1227" s="81"/>
      <c r="U1227" s="83"/>
      <c r="V1227" s="83"/>
      <c r="W1227" s="81"/>
      <c r="X1227" s="81"/>
      <c r="Y1227" s="83"/>
      <c r="Z1227" s="81"/>
      <c r="AA1227" s="81"/>
      <c r="AB1227" s="81"/>
      <c r="AC1227" s="81"/>
      <c r="AD1227" s="81"/>
      <c r="AE1227" s="83"/>
      <c r="AF1227" s="81"/>
      <c r="AG1227" s="81"/>
      <c r="AH1227" s="81"/>
      <c r="AI1227" s="81"/>
      <c r="AJ1227" s="83"/>
      <c r="AK1227" s="81"/>
      <c r="AL1227" s="81"/>
      <c r="AM1227" s="83"/>
      <c r="AN1227" s="80"/>
      <c r="AO1227" s="82" t="n">
        <f aca="false">IF(E1227="","",(AA1227&lt;&gt;"")+(AG1227&lt;&gt;"")+(AL1227&lt;&gt;""))</f>
        <v>0</v>
      </c>
      <c r="AP1227" s="82" t="str">
        <f aca="false">IF(AL1227&lt;&gt;"",AL1227,IF(AG1227&lt;&gt;"",AG1227,IF(AA1227&lt;&gt;"",AA1227,"")))</f>
        <v/>
      </c>
      <c r="AQ1227" s="84" t="str">
        <f aca="false">IF(E1227="","",IF(U1227="","À SOUDER",IF(X1227="","VT EN ATTENTE",IF(X1227="R","VT REJETÉ – À REPRENDRE",IF(AP1227="","À RADIOGRAPHIER",IF(AP1227="A","ACCEPTÉ",IF(AP1227="NX","NX – RT À REFAIRE",IF(IF(AO1227=1,AD1227,IF(AO1227=2,AI1227,""))="A","RÉPARÉ – À RADIOGRAPHIER",IF(IF(AO1227=1,AD1227,IF(AO1227=2,AI1227,""))="R","VT REJETÉ – À REPRENDRE",IF(OR(AP1227="CO",AP1227="NT"),"COUPE – À RESOUDER","À RÉPARER"))))))))))</f>
        <v>À SOUDER</v>
      </c>
      <c r="AR1227" s="82" t="str">
        <f aca="false">IF(AND(ISNUMBER(U1227),OR(AQ1227="À RADIOGRAPHIER",AQ1227="RÉPARÉ – À RADIOGRAPHIER",AQ1227="NX – RT À REFAIRE",AQ1227="À RÉPARER",AQ1227="COUPE – À RESOUDER",AQ1227="VT REJETÉ – À REPRENDRE")),MAX(0,'PROGRAMME RT'!$C$4-U1227),"")</f>
        <v/>
      </c>
      <c r="AS1227" s="82" t="n">
        <f aca="false">IF(AND(OR(AQ1227="À RADIOGRAPHIER",AQ1227="RÉPARÉ – À RADIOGRAPHIER",AQ1227="NX – RT À REFAIRE"),OR('PROGRAMME RT'!$D$5="TOUTES",B1227='PROGRAMME RT'!$D$5)),1,0)</f>
        <v>0</v>
      </c>
      <c r="AT1227" s="82" t="str">
        <f aca="false">IF(AS1227=1,SUM(AS$7:AS1227),"")</f>
        <v/>
      </c>
      <c r="AU1227" s="82" t="n">
        <f aca="false">IF(AND(OR(AA1227="R",AA1227="NX",AA1227="NT",AA1227="CO"),OR('JOINTS DE RÉPARATION'!$D$5="TOUTES",B1227='JOINTS DE RÉPARATION'!$D$5),OR('JOINTS DE RÉPARATION'!$L$4="TOUS",AQ1227&lt;&gt;"ACCEPTÉ")),1,0)</f>
        <v>0</v>
      </c>
      <c r="AV1227" s="82" t="str">
        <f aca="false">IF(AU1227=1,SUM(AU$7:AU1227),"")</f>
        <v/>
      </c>
      <c r="AW1227" s="82" t="str">
        <f aca="false">IF(E1227="","",B1227&amp;"|"&amp;E1227)</f>
        <v>MFD-ISW → MFD-CPF|JN°1052</v>
      </c>
    </row>
    <row r="1228" customFormat="false" ht="74.6" hidden="false" customHeight="false" outlineLevel="0" collapsed="false">
      <c r="A1228" s="79" t="n">
        <f aca="false">IF(E1228="","",ROW()-6)</f>
        <v>1222</v>
      </c>
      <c r="B1228" s="80" t="s">
        <v>110</v>
      </c>
      <c r="C1228" s="81" t="s">
        <v>926</v>
      </c>
      <c r="D1228" s="81" t="n">
        <v>9</v>
      </c>
      <c r="E1228" s="81" t="s">
        <v>1468</v>
      </c>
      <c r="F1228" s="82" t="str">
        <f aca="false">IF(E1228="","",IF(LEFT(E1228,2)="DJ","DJ","JN"))</f>
        <v>JN</v>
      </c>
      <c r="G1228" s="81"/>
      <c r="H1228" s="81"/>
      <c r="I1228" s="81"/>
      <c r="J1228" s="81"/>
      <c r="K1228" s="81"/>
      <c r="L1228" s="81"/>
      <c r="M1228" s="81"/>
      <c r="N1228" s="81"/>
      <c r="O1228" s="81"/>
      <c r="P1228" s="81"/>
      <c r="Q1228" s="81"/>
      <c r="R1228" s="81"/>
      <c r="S1228" s="81"/>
      <c r="T1228" s="81"/>
      <c r="U1228" s="83"/>
      <c r="V1228" s="83"/>
      <c r="W1228" s="81"/>
      <c r="X1228" s="81"/>
      <c r="Y1228" s="83"/>
      <c r="Z1228" s="81"/>
      <c r="AA1228" s="81"/>
      <c r="AB1228" s="81"/>
      <c r="AC1228" s="81"/>
      <c r="AD1228" s="81"/>
      <c r="AE1228" s="83"/>
      <c r="AF1228" s="81"/>
      <c r="AG1228" s="81"/>
      <c r="AH1228" s="81"/>
      <c r="AI1228" s="81"/>
      <c r="AJ1228" s="83"/>
      <c r="AK1228" s="81"/>
      <c r="AL1228" s="81"/>
      <c r="AM1228" s="83"/>
      <c r="AN1228" s="80"/>
      <c r="AO1228" s="82" t="n">
        <f aca="false">IF(E1228="","",(AA1228&lt;&gt;"")+(AG1228&lt;&gt;"")+(AL1228&lt;&gt;""))</f>
        <v>0</v>
      </c>
      <c r="AP1228" s="82" t="str">
        <f aca="false">IF(AL1228&lt;&gt;"",AL1228,IF(AG1228&lt;&gt;"",AG1228,IF(AA1228&lt;&gt;"",AA1228,"")))</f>
        <v/>
      </c>
      <c r="AQ1228" s="84" t="str">
        <f aca="false">IF(E1228="","",IF(U1228="","À SOUDER",IF(X1228="","VT EN ATTENTE",IF(X1228="R","VT REJETÉ – À REPRENDRE",IF(AP1228="","À RADIOGRAPHIER",IF(AP1228="A","ACCEPTÉ",IF(AP1228="NX","NX – RT À REFAIRE",IF(IF(AO1228=1,AD1228,IF(AO1228=2,AI1228,""))="A","RÉPARÉ – À RADIOGRAPHIER",IF(IF(AO1228=1,AD1228,IF(AO1228=2,AI1228,""))="R","VT REJETÉ – À REPRENDRE",IF(OR(AP1228="CO",AP1228="NT"),"COUPE – À RESOUDER","À RÉPARER"))))))))))</f>
        <v>À SOUDER</v>
      </c>
      <c r="AR1228" s="82" t="str">
        <f aca="false">IF(AND(ISNUMBER(U1228),OR(AQ1228="À RADIOGRAPHIER",AQ1228="RÉPARÉ – À RADIOGRAPHIER",AQ1228="NX – RT À REFAIRE",AQ1228="À RÉPARER",AQ1228="COUPE – À RESOUDER",AQ1228="VT REJETÉ – À REPRENDRE")),MAX(0,'PROGRAMME RT'!$C$4-U1228),"")</f>
        <v/>
      </c>
      <c r="AS1228" s="82" t="n">
        <f aca="false">IF(AND(OR(AQ1228="À RADIOGRAPHIER",AQ1228="RÉPARÉ – À RADIOGRAPHIER",AQ1228="NX – RT À REFAIRE"),OR('PROGRAMME RT'!$D$5="TOUTES",B1228='PROGRAMME RT'!$D$5)),1,0)</f>
        <v>0</v>
      </c>
      <c r="AT1228" s="82" t="str">
        <f aca="false">IF(AS1228=1,SUM(AS$7:AS1228),"")</f>
        <v/>
      </c>
      <c r="AU1228" s="82" t="n">
        <f aca="false">IF(AND(OR(AA1228="R",AA1228="NX",AA1228="NT",AA1228="CO"),OR('JOINTS DE RÉPARATION'!$D$5="TOUTES",B1228='JOINTS DE RÉPARATION'!$D$5),OR('JOINTS DE RÉPARATION'!$L$4="TOUS",AQ1228&lt;&gt;"ACCEPTÉ")),1,0)</f>
        <v>0</v>
      </c>
      <c r="AV1228" s="82" t="str">
        <f aca="false">IF(AU1228=1,SUM(AU$7:AU1228),"")</f>
        <v/>
      </c>
      <c r="AW1228" s="82" t="str">
        <f aca="false">IF(E1228="","",B1228&amp;"|"&amp;E1228)</f>
        <v>MFD-ISW → MFD-CPF|JN°1053</v>
      </c>
    </row>
    <row r="1229" customFormat="false" ht="74.6" hidden="false" customHeight="false" outlineLevel="0" collapsed="false">
      <c r="A1229" s="79" t="n">
        <f aca="false">IF(E1229="","",ROW()-6)</f>
        <v>1223</v>
      </c>
      <c r="B1229" s="80" t="s">
        <v>110</v>
      </c>
      <c r="C1229" s="81" t="s">
        <v>926</v>
      </c>
      <c r="D1229" s="81" t="n">
        <v>9</v>
      </c>
      <c r="E1229" s="81" t="s">
        <v>1469</v>
      </c>
      <c r="F1229" s="82" t="str">
        <f aca="false">IF(E1229="","",IF(LEFT(E1229,2)="DJ","DJ","JN"))</f>
        <v>JN</v>
      </c>
      <c r="G1229" s="81"/>
      <c r="H1229" s="81"/>
      <c r="I1229" s="81"/>
      <c r="J1229" s="81"/>
      <c r="K1229" s="81"/>
      <c r="L1229" s="81"/>
      <c r="M1229" s="81"/>
      <c r="N1229" s="81"/>
      <c r="O1229" s="81"/>
      <c r="P1229" s="81"/>
      <c r="Q1229" s="81"/>
      <c r="R1229" s="81"/>
      <c r="S1229" s="81"/>
      <c r="T1229" s="81"/>
      <c r="U1229" s="83"/>
      <c r="V1229" s="83"/>
      <c r="W1229" s="81"/>
      <c r="X1229" s="81"/>
      <c r="Y1229" s="83"/>
      <c r="Z1229" s="81"/>
      <c r="AA1229" s="81"/>
      <c r="AB1229" s="81"/>
      <c r="AC1229" s="81"/>
      <c r="AD1229" s="81"/>
      <c r="AE1229" s="83"/>
      <c r="AF1229" s="81"/>
      <c r="AG1229" s="81"/>
      <c r="AH1229" s="81"/>
      <c r="AI1229" s="81"/>
      <c r="AJ1229" s="83"/>
      <c r="AK1229" s="81"/>
      <c r="AL1229" s="81"/>
      <c r="AM1229" s="83"/>
      <c r="AN1229" s="80"/>
      <c r="AO1229" s="82" t="n">
        <f aca="false">IF(E1229="","",(AA1229&lt;&gt;"")+(AG1229&lt;&gt;"")+(AL1229&lt;&gt;""))</f>
        <v>0</v>
      </c>
      <c r="AP1229" s="82" t="str">
        <f aca="false">IF(AL1229&lt;&gt;"",AL1229,IF(AG1229&lt;&gt;"",AG1229,IF(AA1229&lt;&gt;"",AA1229,"")))</f>
        <v/>
      </c>
      <c r="AQ1229" s="84" t="str">
        <f aca="false">IF(E1229="","",IF(U1229="","À SOUDER",IF(X1229="","VT EN ATTENTE",IF(X1229="R","VT REJETÉ – À REPRENDRE",IF(AP1229="","À RADIOGRAPHIER",IF(AP1229="A","ACCEPTÉ",IF(AP1229="NX","NX – RT À REFAIRE",IF(IF(AO1229=1,AD1229,IF(AO1229=2,AI1229,""))="A","RÉPARÉ – À RADIOGRAPHIER",IF(IF(AO1229=1,AD1229,IF(AO1229=2,AI1229,""))="R","VT REJETÉ – À REPRENDRE",IF(OR(AP1229="CO",AP1229="NT"),"COUPE – À RESOUDER","À RÉPARER"))))))))))</f>
        <v>À SOUDER</v>
      </c>
      <c r="AR1229" s="82" t="str">
        <f aca="false">IF(AND(ISNUMBER(U1229),OR(AQ1229="À RADIOGRAPHIER",AQ1229="RÉPARÉ – À RADIOGRAPHIER",AQ1229="NX – RT À REFAIRE",AQ1229="À RÉPARER",AQ1229="COUPE – À RESOUDER",AQ1229="VT REJETÉ – À REPRENDRE")),MAX(0,'PROGRAMME RT'!$C$4-U1229),"")</f>
        <v/>
      </c>
      <c r="AS1229" s="82" t="n">
        <f aca="false">IF(AND(OR(AQ1229="À RADIOGRAPHIER",AQ1229="RÉPARÉ – À RADIOGRAPHIER",AQ1229="NX – RT À REFAIRE"),OR('PROGRAMME RT'!$D$5="TOUTES",B1229='PROGRAMME RT'!$D$5)),1,0)</f>
        <v>0</v>
      </c>
      <c r="AT1229" s="82" t="str">
        <f aca="false">IF(AS1229=1,SUM(AS$7:AS1229),"")</f>
        <v/>
      </c>
      <c r="AU1229" s="82" t="n">
        <f aca="false">IF(AND(OR(AA1229="R",AA1229="NX",AA1229="NT",AA1229="CO"),OR('JOINTS DE RÉPARATION'!$D$5="TOUTES",B1229='JOINTS DE RÉPARATION'!$D$5),OR('JOINTS DE RÉPARATION'!$L$4="TOUS",AQ1229&lt;&gt;"ACCEPTÉ")),1,0)</f>
        <v>0</v>
      </c>
      <c r="AV1229" s="82" t="str">
        <f aca="false">IF(AU1229=1,SUM(AU$7:AU1229),"")</f>
        <v/>
      </c>
      <c r="AW1229" s="82" t="str">
        <f aca="false">IF(E1229="","",B1229&amp;"|"&amp;E1229)</f>
        <v>MFD-ISW → MFD-CPF|JN°1054</v>
      </c>
    </row>
    <row r="1230" customFormat="false" ht="74.6" hidden="false" customHeight="false" outlineLevel="0" collapsed="false">
      <c r="A1230" s="79" t="n">
        <f aca="false">IF(E1230="","",ROW()-6)</f>
        <v>1224</v>
      </c>
      <c r="B1230" s="80" t="s">
        <v>110</v>
      </c>
      <c r="C1230" s="81" t="s">
        <v>926</v>
      </c>
      <c r="D1230" s="81" t="n">
        <v>9</v>
      </c>
      <c r="E1230" s="81" t="s">
        <v>1470</v>
      </c>
      <c r="F1230" s="82" t="str">
        <f aca="false">IF(E1230="","",IF(LEFT(E1230,2)="DJ","DJ","JN"))</f>
        <v>JN</v>
      </c>
      <c r="G1230" s="81"/>
      <c r="H1230" s="81"/>
      <c r="I1230" s="81"/>
      <c r="J1230" s="81"/>
      <c r="K1230" s="81"/>
      <c r="L1230" s="81"/>
      <c r="M1230" s="81"/>
      <c r="N1230" s="81"/>
      <c r="O1230" s="81"/>
      <c r="P1230" s="81"/>
      <c r="Q1230" s="81"/>
      <c r="R1230" s="81"/>
      <c r="S1230" s="81"/>
      <c r="T1230" s="81"/>
      <c r="U1230" s="83"/>
      <c r="V1230" s="83"/>
      <c r="W1230" s="81"/>
      <c r="X1230" s="81"/>
      <c r="Y1230" s="83"/>
      <c r="Z1230" s="81"/>
      <c r="AA1230" s="81"/>
      <c r="AB1230" s="81"/>
      <c r="AC1230" s="81"/>
      <c r="AD1230" s="81"/>
      <c r="AE1230" s="83"/>
      <c r="AF1230" s="81"/>
      <c r="AG1230" s="81"/>
      <c r="AH1230" s="81"/>
      <c r="AI1230" s="81"/>
      <c r="AJ1230" s="83"/>
      <c r="AK1230" s="81"/>
      <c r="AL1230" s="81"/>
      <c r="AM1230" s="83"/>
      <c r="AN1230" s="80"/>
      <c r="AO1230" s="82" t="n">
        <f aca="false">IF(E1230="","",(AA1230&lt;&gt;"")+(AG1230&lt;&gt;"")+(AL1230&lt;&gt;""))</f>
        <v>0</v>
      </c>
      <c r="AP1230" s="82" t="str">
        <f aca="false">IF(AL1230&lt;&gt;"",AL1230,IF(AG1230&lt;&gt;"",AG1230,IF(AA1230&lt;&gt;"",AA1230,"")))</f>
        <v/>
      </c>
      <c r="AQ1230" s="84" t="str">
        <f aca="false">IF(E1230="","",IF(U1230="","À SOUDER",IF(X1230="","VT EN ATTENTE",IF(X1230="R","VT REJETÉ – À REPRENDRE",IF(AP1230="","À RADIOGRAPHIER",IF(AP1230="A","ACCEPTÉ",IF(AP1230="NX","NX – RT À REFAIRE",IF(IF(AO1230=1,AD1230,IF(AO1230=2,AI1230,""))="A","RÉPARÉ – À RADIOGRAPHIER",IF(IF(AO1230=1,AD1230,IF(AO1230=2,AI1230,""))="R","VT REJETÉ – À REPRENDRE",IF(OR(AP1230="CO",AP1230="NT"),"COUPE – À RESOUDER","À RÉPARER"))))))))))</f>
        <v>À SOUDER</v>
      </c>
      <c r="AR1230" s="82" t="str">
        <f aca="false">IF(AND(ISNUMBER(U1230),OR(AQ1230="À RADIOGRAPHIER",AQ1230="RÉPARÉ – À RADIOGRAPHIER",AQ1230="NX – RT À REFAIRE",AQ1230="À RÉPARER",AQ1230="COUPE – À RESOUDER",AQ1230="VT REJETÉ – À REPRENDRE")),MAX(0,'PROGRAMME RT'!$C$4-U1230),"")</f>
        <v/>
      </c>
      <c r="AS1230" s="82" t="n">
        <f aca="false">IF(AND(OR(AQ1230="À RADIOGRAPHIER",AQ1230="RÉPARÉ – À RADIOGRAPHIER",AQ1230="NX – RT À REFAIRE"),OR('PROGRAMME RT'!$D$5="TOUTES",B1230='PROGRAMME RT'!$D$5)),1,0)</f>
        <v>0</v>
      </c>
      <c r="AT1230" s="82" t="str">
        <f aca="false">IF(AS1230=1,SUM(AS$7:AS1230),"")</f>
        <v/>
      </c>
      <c r="AU1230" s="82" t="n">
        <f aca="false">IF(AND(OR(AA1230="R",AA1230="NX",AA1230="NT",AA1230="CO"),OR('JOINTS DE RÉPARATION'!$D$5="TOUTES",B1230='JOINTS DE RÉPARATION'!$D$5),OR('JOINTS DE RÉPARATION'!$L$4="TOUS",AQ1230&lt;&gt;"ACCEPTÉ")),1,0)</f>
        <v>0</v>
      </c>
      <c r="AV1230" s="82" t="str">
        <f aca="false">IF(AU1230=1,SUM(AU$7:AU1230),"")</f>
        <v/>
      </c>
      <c r="AW1230" s="82" t="str">
        <f aca="false">IF(E1230="","",B1230&amp;"|"&amp;E1230)</f>
        <v>MFD-ISW → MFD-CPF|JN°1055</v>
      </c>
    </row>
    <row r="1231" customFormat="false" ht="74.6" hidden="false" customHeight="false" outlineLevel="0" collapsed="false">
      <c r="A1231" s="79" t="n">
        <f aca="false">IF(E1231="","",ROW()-6)</f>
        <v>1225</v>
      </c>
      <c r="B1231" s="80" t="s">
        <v>110</v>
      </c>
      <c r="C1231" s="81" t="s">
        <v>926</v>
      </c>
      <c r="D1231" s="81" t="n">
        <v>9</v>
      </c>
      <c r="E1231" s="81" t="s">
        <v>1471</v>
      </c>
      <c r="F1231" s="82" t="str">
        <f aca="false">IF(E1231="","",IF(LEFT(E1231,2)="DJ","DJ","JN"))</f>
        <v>JN</v>
      </c>
      <c r="G1231" s="81"/>
      <c r="H1231" s="81"/>
      <c r="I1231" s="81"/>
      <c r="J1231" s="81"/>
      <c r="K1231" s="81"/>
      <c r="L1231" s="81"/>
      <c r="M1231" s="81"/>
      <c r="N1231" s="81"/>
      <c r="O1231" s="81"/>
      <c r="P1231" s="81"/>
      <c r="Q1231" s="81"/>
      <c r="R1231" s="81"/>
      <c r="S1231" s="81"/>
      <c r="T1231" s="81"/>
      <c r="U1231" s="83"/>
      <c r="V1231" s="83"/>
      <c r="W1231" s="81"/>
      <c r="X1231" s="81"/>
      <c r="Y1231" s="83"/>
      <c r="Z1231" s="81"/>
      <c r="AA1231" s="81"/>
      <c r="AB1231" s="81"/>
      <c r="AC1231" s="81"/>
      <c r="AD1231" s="81"/>
      <c r="AE1231" s="83"/>
      <c r="AF1231" s="81"/>
      <c r="AG1231" s="81"/>
      <c r="AH1231" s="81"/>
      <c r="AI1231" s="81"/>
      <c r="AJ1231" s="83"/>
      <c r="AK1231" s="81"/>
      <c r="AL1231" s="81"/>
      <c r="AM1231" s="83"/>
      <c r="AN1231" s="80"/>
      <c r="AO1231" s="82" t="n">
        <f aca="false">IF(E1231="","",(AA1231&lt;&gt;"")+(AG1231&lt;&gt;"")+(AL1231&lt;&gt;""))</f>
        <v>0</v>
      </c>
      <c r="AP1231" s="82" t="str">
        <f aca="false">IF(AL1231&lt;&gt;"",AL1231,IF(AG1231&lt;&gt;"",AG1231,IF(AA1231&lt;&gt;"",AA1231,"")))</f>
        <v/>
      </c>
      <c r="AQ1231" s="84" t="str">
        <f aca="false">IF(E1231="","",IF(U1231="","À SOUDER",IF(X1231="","VT EN ATTENTE",IF(X1231="R","VT REJETÉ – À REPRENDRE",IF(AP1231="","À RADIOGRAPHIER",IF(AP1231="A","ACCEPTÉ",IF(AP1231="NX","NX – RT À REFAIRE",IF(IF(AO1231=1,AD1231,IF(AO1231=2,AI1231,""))="A","RÉPARÉ – À RADIOGRAPHIER",IF(IF(AO1231=1,AD1231,IF(AO1231=2,AI1231,""))="R","VT REJETÉ – À REPRENDRE",IF(OR(AP1231="CO",AP1231="NT"),"COUPE – À RESOUDER","À RÉPARER"))))))))))</f>
        <v>À SOUDER</v>
      </c>
      <c r="AR1231" s="82" t="str">
        <f aca="false">IF(AND(ISNUMBER(U1231),OR(AQ1231="À RADIOGRAPHIER",AQ1231="RÉPARÉ – À RADIOGRAPHIER",AQ1231="NX – RT À REFAIRE",AQ1231="À RÉPARER",AQ1231="COUPE – À RESOUDER",AQ1231="VT REJETÉ – À REPRENDRE")),MAX(0,'PROGRAMME RT'!$C$4-U1231),"")</f>
        <v/>
      </c>
      <c r="AS1231" s="82" t="n">
        <f aca="false">IF(AND(OR(AQ1231="À RADIOGRAPHIER",AQ1231="RÉPARÉ – À RADIOGRAPHIER",AQ1231="NX – RT À REFAIRE"),OR('PROGRAMME RT'!$D$5="TOUTES",B1231='PROGRAMME RT'!$D$5)),1,0)</f>
        <v>0</v>
      </c>
      <c r="AT1231" s="82" t="str">
        <f aca="false">IF(AS1231=1,SUM(AS$7:AS1231),"")</f>
        <v/>
      </c>
      <c r="AU1231" s="82" t="n">
        <f aca="false">IF(AND(OR(AA1231="R",AA1231="NX",AA1231="NT",AA1231="CO"),OR('JOINTS DE RÉPARATION'!$D$5="TOUTES",B1231='JOINTS DE RÉPARATION'!$D$5),OR('JOINTS DE RÉPARATION'!$L$4="TOUS",AQ1231&lt;&gt;"ACCEPTÉ")),1,0)</f>
        <v>0</v>
      </c>
      <c r="AV1231" s="82" t="str">
        <f aca="false">IF(AU1231=1,SUM(AU$7:AU1231),"")</f>
        <v/>
      </c>
      <c r="AW1231" s="82" t="str">
        <f aca="false">IF(E1231="","",B1231&amp;"|"&amp;E1231)</f>
        <v>MFD-ISW → MFD-CPF|JN°1056</v>
      </c>
    </row>
    <row r="1232" customFormat="false" ht="74.6" hidden="false" customHeight="false" outlineLevel="0" collapsed="false">
      <c r="A1232" s="79" t="n">
        <f aca="false">IF(E1232="","",ROW()-6)</f>
        <v>1226</v>
      </c>
      <c r="B1232" s="80" t="s">
        <v>110</v>
      </c>
      <c r="C1232" s="81" t="s">
        <v>926</v>
      </c>
      <c r="D1232" s="81" t="n">
        <v>9</v>
      </c>
      <c r="E1232" s="81" t="s">
        <v>1472</v>
      </c>
      <c r="F1232" s="82" t="str">
        <f aca="false">IF(E1232="","",IF(LEFT(E1232,2)="DJ","DJ","JN"))</f>
        <v>JN</v>
      </c>
      <c r="G1232" s="81"/>
      <c r="H1232" s="81"/>
      <c r="I1232" s="81"/>
      <c r="J1232" s="81"/>
      <c r="K1232" s="81"/>
      <c r="L1232" s="81"/>
      <c r="M1232" s="81"/>
      <c r="N1232" s="81"/>
      <c r="O1232" s="81" t="n">
        <v>2083600</v>
      </c>
      <c r="P1232" s="81" t="n">
        <v>15421105</v>
      </c>
      <c r="Q1232" s="81" t="n">
        <v>11.94</v>
      </c>
      <c r="R1232" s="81"/>
      <c r="S1232" s="81"/>
      <c r="T1232" s="81"/>
      <c r="U1232" s="83"/>
      <c r="V1232" s="83"/>
      <c r="W1232" s="81"/>
      <c r="X1232" s="81"/>
      <c r="Y1232" s="83"/>
      <c r="Z1232" s="81"/>
      <c r="AA1232" s="81"/>
      <c r="AB1232" s="81"/>
      <c r="AC1232" s="81"/>
      <c r="AD1232" s="81"/>
      <c r="AE1232" s="83"/>
      <c r="AF1232" s="81"/>
      <c r="AG1232" s="81"/>
      <c r="AH1232" s="81"/>
      <c r="AI1232" s="81"/>
      <c r="AJ1232" s="83"/>
      <c r="AK1232" s="81"/>
      <c r="AL1232" s="81"/>
      <c r="AM1232" s="83"/>
      <c r="AN1232" s="80"/>
      <c r="AO1232" s="82" t="n">
        <f aca="false">IF(E1232="","",(AA1232&lt;&gt;"")+(AG1232&lt;&gt;"")+(AL1232&lt;&gt;""))</f>
        <v>0</v>
      </c>
      <c r="AP1232" s="82" t="str">
        <f aca="false">IF(AL1232&lt;&gt;"",AL1232,IF(AG1232&lt;&gt;"",AG1232,IF(AA1232&lt;&gt;"",AA1232,"")))</f>
        <v/>
      </c>
      <c r="AQ1232" s="84" t="str">
        <f aca="false">IF(E1232="","",IF(U1232="","À SOUDER",IF(X1232="","VT EN ATTENTE",IF(X1232="R","VT REJETÉ – À REPRENDRE",IF(AP1232="","À RADIOGRAPHIER",IF(AP1232="A","ACCEPTÉ",IF(AP1232="NX","NX – RT À REFAIRE",IF(IF(AO1232=1,AD1232,IF(AO1232=2,AI1232,""))="A","RÉPARÉ – À RADIOGRAPHIER",IF(IF(AO1232=1,AD1232,IF(AO1232=2,AI1232,""))="R","VT REJETÉ – À REPRENDRE",IF(OR(AP1232="CO",AP1232="NT"),"COUPE – À RESOUDER","À RÉPARER"))))))))))</f>
        <v>À SOUDER</v>
      </c>
      <c r="AR1232" s="82" t="str">
        <f aca="false">IF(AND(ISNUMBER(U1232),OR(AQ1232="À RADIOGRAPHIER",AQ1232="RÉPARÉ – À RADIOGRAPHIER",AQ1232="NX – RT À REFAIRE",AQ1232="À RÉPARER",AQ1232="COUPE – À RESOUDER",AQ1232="VT REJETÉ – À REPRENDRE")),MAX(0,'PROGRAMME RT'!$C$4-U1232),"")</f>
        <v/>
      </c>
      <c r="AS1232" s="82" t="n">
        <f aca="false">IF(AND(OR(AQ1232="À RADIOGRAPHIER",AQ1232="RÉPARÉ – À RADIOGRAPHIER",AQ1232="NX – RT À REFAIRE"),OR('PROGRAMME RT'!$D$5="TOUTES",B1232='PROGRAMME RT'!$D$5)),1,0)</f>
        <v>0</v>
      </c>
      <c r="AT1232" s="82" t="str">
        <f aca="false">IF(AS1232=1,SUM(AS$7:AS1232),"")</f>
        <v/>
      </c>
      <c r="AU1232" s="82" t="n">
        <f aca="false">IF(AND(OR(AA1232="R",AA1232="NX",AA1232="NT",AA1232="CO"),OR('JOINTS DE RÉPARATION'!$D$5="TOUTES",B1232='JOINTS DE RÉPARATION'!$D$5),OR('JOINTS DE RÉPARATION'!$L$4="TOUS",AQ1232&lt;&gt;"ACCEPTÉ")),1,0)</f>
        <v>0</v>
      </c>
      <c r="AV1232" s="82" t="str">
        <f aca="false">IF(AU1232=1,SUM(AU$7:AU1232),"")</f>
        <v/>
      </c>
      <c r="AW1232" s="82" t="str">
        <f aca="false">IF(E1232="","",B1232&amp;"|"&amp;E1232)</f>
        <v>MFD-ISW → MFD-CPF|JN°1057</v>
      </c>
    </row>
    <row r="1233" customFormat="false" ht="74.6" hidden="false" customHeight="false" outlineLevel="0" collapsed="false">
      <c r="A1233" s="79" t="n">
        <f aca="false">IF(E1233="","",ROW()-6)</f>
        <v>1227</v>
      </c>
      <c r="B1233" s="80" t="s">
        <v>110</v>
      </c>
      <c r="C1233" s="81" t="s">
        <v>1473</v>
      </c>
      <c r="D1233" s="81" t="n">
        <v>9</v>
      </c>
      <c r="E1233" s="81" t="s">
        <v>1474</v>
      </c>
      <c r="F1233" s="82" t="str">
        <f aca="false">IF(E1233="","",IF(LEFT(E1233,2)="DJ","DJ","JN"))</f>
        <v>DJ</v>
      </c>
      <c r="G1233" s="81"/>
      <c r="H1233" s="81" t="s">
        <v>871</v>
      </c>
      <c r="I1233" s="81" t="n">
        <v>9.53</v>
      </c>
      <c r="J1233" s="81" t="s">
        <v>872</v>
      </c>
      <c r="K1233" s="81" t="s">
        <v>873</v>
      </c>
      <c r="L1233" s="81" t="n">
        <v>2083600</v>
      </c>
      <c r="M1233" s="81" t="n">
        <v>15421105</v>
      </c>
      <c r="N1233" s="81" t="n">
        <v>11.94</v>
      </c>
      <c r="O1233" s="81" t="n">
        <v>2088420</v>
      </c>
      <c r="P1233" s="81" t="n">
        <v>15421108</v>
      </c>
      <c r="Q1233" s="81" t="n">
        <v>11.94</v>
      </c>
      <c r="R1233" s="81" t="s">
        <v>963</v>
      </c>
      <c r="S1233" s="81"/>
      <c r="T1233" s="81"/>
      <c r="U1233" s="83" t="n">
        <v>46276</v>
      </c>
      <c r="V1233" s="83" t="n">
        <v>46276</v>
      </c>
      <c r="W1233" s="81" t="s">
        <v>1148</v>
      </c>
      <c r="X1233" s="81" t="s">
        <v>876</v>
      </c>
      <c r="Y1233" s="83" t="n">
        <v>46278</v>
      </c>
      <c r="Z1233" s="81" t="s">
        <v>1412</v>
      </c>
      <c r="AA1233" s="81" t="s">
        <v>876</v>
      </c>
      <c r="AB1233" s="81"/>
      <c r="AC1233" s="81"/>
      <c r="AD1233" s="81"/>
      <c r="AE1233" s="83"/>
      <c r="AF1233" s="81"/>
      <c r="AG1233" s="81"/>
      <c r="AH1233" s="81"/>
      <c r="AI1233" s="81"/>
      <c r="AJ1233" s="83"/>
      <c r="AK1233" s="81"/>
      <c r="AL1233" s="81"/>
      <c r="AM1233" s="83"/>
      <c r="AN1233" s="80"/>
      <c r="AO1233" s="82" t="n">
        <f aca="false">IF(E1233="","",(AA1233&lt;&gt;"")+(AG1233&lt;&gt;"")+(AL1233&lt;&gt;""))</f>
        <v>1</v>
      </c>
      <c r="AP1233" s="82" t="str">
        <f aca="false">IF(AL1233&lt;&gt;"",AL1233,IF(AG1233&lt;&gt;"",AG1233,IF(AA1233&lt;&gt;"",AA1233,"")))</f>
        <v>A</v>
      </c>
      <c r="AQ1233" s="84" t="str">
        <f aca="false">IF(E1233="","",IF(U1233="","À SOUDER",IF(X1233="","VT EN ATTENTE",IF(X1233="R","VT REJETÉ – À REPRENDRE",IF(AP1233="","À RADIOGRAPHIER",IF(AP1233="A","ACCEPTÉ",IF(AP1233="NX","NX – RT À REFAIRE",IF(IF(AO1233=1,AD1233,IF(AO1233=2,AI1233,""))="A","RÉPARÉ – À RADIOGRAPHIER",IF(IF(AO1233=1,AD1233,IF(AO1233=2,AI1233,""))="R","VT REJETÉ – À REPRENDRE",IF(OR(AP1233="CO",AP1233="NT"),"COUPE – À RESOUDER","À RÉPARER"))))))))))</f>
        <v>ACCEPTÉ</v>
      </c>
      <c r="AR1233" s="82" t="str">
        <f aca="false">IF(AND(ISNUMBER(U1233),OR(AQ1233="À RADIOGRAPHIER",AQ1233="RÉPARÉ – À RADIOGRAPHIER",AQ1233="NX – RT À REFAIRE",AQ1233="À RÉPARER",AQ1233="COUPE – À RESOUDER",AQ1233="VT REJETÉ – À REPRENDRE")),MAX(0,'PROGRAMME RT'!$C$4-U1233),"")</f>
        <v/>
      </c>
      <c r="AS1233" s="82" t="n">
        <f aca="false">IF(AND(OR(AQ1233="À RADIOGRAPHIER",AQ1233="RÉPARÉ – À RADIOGRAPHIER",AQ1233="NX – RT À REFAIRE"),OR('PROGRAMME RT'!$D$5="TOUTES",B1233='PROGRAMME RT'!$D$5)),1,0)</f>
        <v>0</v>
      </c>
      <c r="AT1233" s="82" t="str">
        <f aca="false">IF(AS1233=1,SUM(AS$7:AS1233),"")</f>
        <v/>
      </c>
      <c r="AU1233" s="82" t="n">
        <f aca="false">IF(AND(OR(AA1233="R",AA1233="NX",AA1233="NT",AA1233="CO"),OR('JOINTS DE RÉPARATION'!$D$5="TOUTES",B1233='JOINTS DE RÉPARATION'!$D$5),OR('JOINTS DE RÉPARATION'!$L$4="TOUS",AQ1233&lt;&gt;"ACCEPTÉ")),1,0)</f>
        <v>0</v>
      </c>
      <c r="AV1233" s="82" t="str">
        <f aca="false">IF(AU1233=1,SUM(AU$7:AU1233),"")</f>
        <v/>
      </c>
      <c r="AW1233" s="82" t="str">
        <f aca="false">IF(E1233="","",B1233&amp;"|"&amp;E1233)</f>
        <v>MFD-ISW → MFD-CPF|DJ°342</v>
      </c>
    </row>
    <row r="1234" customFormat="false" ht="74.6" hidden="false" customHeight="false" outlineLevel="0" collapsed="false">
      <c r="A1234" s="79" t="n">
        <f aca="false">IF(E1234="","",ROW()-6)</f>
        <v>1228</v>
      </c>
      <c r="B1234" s="80" t="s">
        <v>110</v>
      </c>
      <c r="C1234" s="81" t="s">
        <v>1473</v>
      </c>
      <c r="D1234" s="81" t="n">
        <v>9</v>
      </c>
      <c r="E1234" s="81" t="s">
        <v>1475</v>
      </c>
      <c r="F1234" s="82" t="str">
        <f aca="false">IF(E1234="","",IF(LEFT(E1234,2)="DJ","DJ","JN"))</f>
        <v>JN</v>
      </c>
      <c r="G1234" s="81"/>
      <c r="H1234" s="81" t="s">
        <v>871</v>
      </c>
      <c r="I1234" s="81" t="n">
        <v>9.53</v>
      </c>
      <c r="J1234" s="81" t="s">
        <v>872</v>
      </c>
      <c r="K1234" s="81" t="s">
        <v>879</v>
      </c>
      <c r="L1234" s="81" t="n">
        <v>2088420</v>
      </c>
      <c r="M1234" s="81" t="n">
        <v>15421108</v>
      </c>
      <c r="N1234" s="81" t="n">
        <v>11.94</v>
      </c>
      <c r="O1234" s="81" t="n">
        <v>2087260</v>
      </c>
      <c r="P1234" s="81" t="n">
        <v>15421107</v>
      </c>
      <c r="Q1234" s="81" t="n">
        <v>11.94</v>
      </c>
      <c r="R1234" s="81" t="s">
        <v>1367</v>
      </c>
      <c r="S1234" s="81"/>
      <c r="T1234" s="81"/>
      <c r="U1234" s="83" t="n">
        <v>46279</v>
      </c>
      <c r="V1234" s="83" t="n">
        <v>46279</v>
      </c>
      <c r="W1234" s="81" t="s">
        <v>1427</v>
      </c>
      <c r="X1234" s="81" t="s">
        <v>876</v>
      </c>
      <c r="Y1234" s="83" t="n">
        <v>46283</v>
      </c>
      <c r="Z1234" s="81" t="s">
        <v>1476</v>
      </c>
      <c r="AA1234" s="81" t="s">
        <v>876</v>
      </c>
      <c r="AB1234" s="81"/>
      <c r="AC1234" s="81"/>
      <c r="AD1234" s="81"/>
      <c r="AE1234" s="83"/>
      <c r="AF1234" s="81"/>
      <c r="AG1234" s="81"/>
      <c r="AH1234" s="81"/>
      <c r="AI1234" s="81"/>
      <c r="AJ1234" s="83"/>
      <c r="AK1234" s="81"/>
      <c r="AL1234" s="81"/>
      <c r="AM1234" s="83"/>
      <c r="AN1234" s="80"/>
      <c r="AO1234" s="82" t="n">
        <f aca="false">IF(E1234="","",(AA1234&lt;&gt;"")+(AG1234&lt;&gt;"")+(AL1234&lt;&gt;""))</f>
        <v>1</v>
      </c>
      <c r="AP1234" s="82" t="str">
        <f aca="false">IF(AL1234&lt;&gt;"",AL1234,IF(AG1234&lt;&gt;"",AG1234,IF(AA1234&lt;&gt;"",AA1234,"")))</f>
        <v>A</v>
      </c>
      <c r="AQ1234" s="84" t="str">
        <f aca="false">IF(E1234="","",IF(U1234="","À SOUDER",IF(X1234="","VT EN ATTENTE",IF(X1234="R","VT REJETÉ – À REPRENDRE",IF(AP1234="","À RADIOGRAPHIER",IF(AP1234="A","ACCEPTÉ",IF(AP1234="NX","NX – RT À REFAIRE",IF(IF(AO1234=1,AD1234,IF(AO1234=2,AI1234,""))="A","RÉPARÉ – À RADIOGRAPHIER",IF(IF(AO1234=1,AD1234,IF(AO1234=2,AI1234,""))="R","VT REJETÉ – À REPRENDRE",IF(OR(AP1234="CO",AP1234="NT"),"COUPE – À RESOUDER","À RÉPARER"))))))))))</f>
        <v>ACCEPTÉ</v>
      </c>
      <c r="AR1234" s="82" t="str">
        <f aca="false">IF(AND(ISNUMBER(U1234),OR(AQ1234="À RADIOGRAPHIER",AQ1234="RÉPARÉ – À RADIOGRAPHIER",AQ1234="NX – RT À REFAIRE",AQ1234="À RÉPARER",AQ1234="COUPE – À RESOUDER",AQ1234="VT REJETÉ – À REPRENDRE")),MAX(0,'PROGRAMME RT'!$C$4-U1234),"")</f>
        <v/>
      </c>
      <c r="AS1234" s="82" t="n">
        <f aca="false">IF(AND(OR(AQ1234="À RADIOGRAPHIER",AQ1234="RÉPARÉ – À RADIOGRAPHIER",AQ1234="NX – RT À REFAIRE"),OR('PROGRAMME RT'!$D$5="TOUTES",B1234='PROGRAMME RT'!$D$5)),1,0)</f>
        <v>0</v>
      </c>
      <c r="AT1234" s="82" t="str">
        <f aca="false">IF(AS1234=1,SUM(AS$7:AS1234),"")</f>
        <v/>
      </c>
      <c r="AU1234" s="82" t="n">
        <f aca="false">IF(AND(OR(AA1234="R",AA1234="NX",AA1234="NT",AA1234="CO"),OR('JOINTS DE RÉPARATION'!$D$5="TOUTES",B1234='JOINTS DE RÉPARATION'!$D$5),OR('JOINTS DE RÉPARATION'!$L$4="TOUS",AQ1234&lt;&gt;"ACCEPTÉ")),1,0)</f>
        <v>0</v>
      </c>
      <c r="AV1234" s="82" t="str">
        <f aca="false">IF(AU1234=1,SUM(AU$7:AU1234),"")</f>
        <v/>
      </c>
      <c r="AW1234" s="82" t="str">
        <f aca="false">IF(E1234="","",B1234&amp;"|"&amp;E1234)</f>
        <v>MFD-ISW → MFD-CPF|JN°1058</v>
      </c>
    </row>
    <row r="1235" customFormat="false" ht="74.6" hidden="false" customHeight="false" outlineLevel="0" collapsed="false">
      <c r="A1235" s="79" t="n">
        <f aca="false">IF(E1235="","",ROW()-6)</f>
        <v>1229</v>
      </c>
      <c r="B1235" s="80" t="s">
        <v>110</v>
      </c>
      <c r="C1235" s="81" t="s">
        <v>1473</v>
      </c>
      <c r="D1235" s="81" t="n">
        <v>9</v>
      </c>
      <c r="E1235" s="81" t="s">
        <v>1477</v>
      </c>
      <c r="F1235" s="82" t="str">
        <f aca="false">IF(E1235="","",IF(LEFT(E1235,2)="DJ","DJ","JN"))</f>
        <v>DJ</v>
      </c>
      <c r="G1235" s="81"/>
      <c r="H1235" s="81" t="s">
        <v>871</v>
      </c>
      <c r="I1235" s="81" t="n">
        <v>9.53</v>
      </c>
      <c r="J1235" s="81" t="s">
        <v>872</v>
      </c>
      <c r="K1235" s="81" t="s">
        <v>873</v>
      </c>
      <c r="L1235" s="81" t="n">
        <v>2087260</v>
      </c>
      <c r="M1235" s="81" t="n">
        <v>15421107</v>
      </c>
      <c r="N1235" s="81" t="n">
        <v>11.94</v>
      </c>
      <c r="O1235" s="81" t="n">
        <v>2097260</v>
      </c>
      <c r="P1235" s="81" t="n">
        <v>15421112</v>
      </c>
      <c r="Q1235" s="81" t="n">
        <v>11.94</v>
      </c>
      <c r="R1235" s="81" t="s">
        <v>1147</v>
      </c>
      <c r="S1235" s="81"/>
      <c r="T1235" s="81"/>
      <c r="U1235" s="83" t="n">
        <v>46275</v>
      </c>
      <c r="V1235" s="83" t="n">
        <v>46275</v>
      </c>
      <c r="W1235" s="81" t="s">
        <v>1453</v>
      </c>
      <c r="X1235" s="81" t="s">
        <v>876</v>
      </c>
      <c r="Y1235" s="83" t="n">
        <v>46276</v>
      </c>
      <c r="Z1235" s="81" t="s">
        <v>1454</v>
      </c>
      <c r="AA1235" s="81" t="s">
        <v>876</v>
      </c>
      <c r="AB1235" s="81"/>
      <c r="AC1235" s="81"/>
      <c r="AD1235" s="81"/>
      <c r="AE1235" s="83"/>
      <c r="AF1235" s="81"/>
      <c r="AG1235" s="81"/>
      <c r="AH1235" s="81"/>
      <c r="AI1235" s="81"/>
      <c r="AJ1235" s="83"/>
      <c r="AK1235" s="81"/>
      <c r="AL1235" s="81"/>
      <c r="AM1235" s="83"/>
      <c r="AN1235" s="80"/>
      <c r="AO1235" s="82" t="n">
        <f aca="false">IF(E1235="","",(AA1235&lt;&gt;"")+(AG1235&lt;&gt;"")+(AL1235&lt;&gt;""))</f>
        <v>1</v>
      </c>
      <c r="AP1235" s="82" t="str">
        <f aca="false">IF(AL1235&lt;&gt;"",AL1235,IF(AG1235&lt;&gt;"",AG1235,IF(AA1235&lt;&gt;"",AA1235,"")))</f>
        <v>A</v>
      </c>
      <c r="AQ1235" s="84" t="str">
        <f aca="false">IF(E1235="","",IF(U1235="","À SOUDER",IF(X1235="","VT EN ATTENTE",IF(X1235="R","VT REJETÉ – À REPRENDRE",IF(AP1235="","À RADIOGRAPHIER",IF(AP1235="A","ACCEPTÉ",IF(AP1235="NX","NX – RT À REFAIRE",IF(IF(AO1235=1,AD1235,IF(AO1235=2,AI1235,""))="A","RÉPARÉ – À RADIOGRAPHIER",IF(IF(AO1235=1,AD1235,IF(AO1235=2,AI1235,""))="R","VT REJETÉ – À REPRENDRE",IF(OR(AP1235="CO",AP1235="NT"),"COUPE – À RESOUDER","À RÉPARER"))))))))))</f>
        <v>ACCEPTÉ</v>
      </c>
      <c r="AR1235" s="82" t="str">
        <f aca="false">IF(AND(ISNUMBER(U1235),OR(AQ1235="À RADIOGRAPHIER",AQ1235="RÉPARÉ – À RADIOGRAPHIER",AQ1235="NX – RT À REFAIRE",AQ1235="À RÉPARER",AQ1235="COUPE – À RESOUDER",AQ1235="VT REJETÉ – À REPRENDRE")),MAX(0,'PROGRAMME RT'!$C$4-U1235),"")</f>
        <v/>
      </c>
      <c r="AS1235" s="82" t="n">
        <f aca="false">IF(AND(OR(AQ1235="À RADIOGRAPHIER",AQ1235="RÉPARÉ – À RADIOGRAPHIER",AQ1235="NX – RT À REFAIRE"),OR('PROGRAMME RT'!$D$5="TOUTES",B1235='PROGRAMME RT'!$D$5)),1,0)</f>
        <v>0</v>
      </c>
      <c r="AT1235" s="82" t="str">
        <f aca="false">IF(AS1235=1,SUM(AS$7:AS1235),"")</f>
        <v/>
      </c>
      <c r="AU1235" s="82" t="n">
        <f aca="false">IF(AND(OR(AA1235="R",AA1235="NX",AA1235="NT",AA1235="CO"),OR('JOINTS DE RÉPARATION'!$D$5="TOUTES",B1235='JOINTS DE RÉPARATION'!$D$5),OR('JOINTS DE RÉPARATION'!$L$4="TOUS",AQ1235&lt;&gt;"ACCEPTÉ")),1,0)</f>
        <v>0</v>
      </c>
      <c r="AV1235" s="82" t="str">
        <f aca="false">IF(AU1235=1,SUM(AU$7:AU1235),"")</f>
        <v/>
      </c>
      <c r="AW1235" s="82" t="str">
        <f aca="false">IF(E1235="","",B1235&amp;"|"&amp;E1235)</f>
        <v>MFD-ISW → MFD-CPF|DJ°329</v>
      </c>
    </row>
    <row r="1236" customFormat="false" ht="74.6" hidden="false" customHeight="false" outlineLevel="0" collapsed="false">
      <c r="A1236" s="79" t="n">
        <f aca="false">IF(E1236="","",ROW()-6)</f>
        <v>1230</v>
      </c>
      <c r="B1236" s="80" t="s">
        <v>110</v>
      </c>
      <c r="C1236" s="81" t="s">
        <v>1473</v>
      </c>
      <c r="D1236" s="81" t="n">
        <v>9</v>
      </c>
      <c r="E1236" s="81" t="s">
        <v>1478</v>
      </c>
      <c r="F1236" s="82" t="str">
        <f aca="false">IF(E1236="","",IF(LEFT(E1236,2)="DJ","DJ","JN"))</f>
        <v>JN</v>
      </c>
      <c r="G1236" s="81"/>
      <c r="H1236" s="81" t="s">
        <v>871</v>
      </c>
      <c r="I1236" s="81" t="n">
        <v>9.53</v>
      </c>
      <c r="J1236" s="81" t="s">
        <v>872</v>
      </c>
      <c r="K1236" s="81" t="s">
        <v>879</v>
      </c>
      <c r="L1236" s="81" t="n">
        <v>2097260</v>
      </c>
      <c r="M1236" s="81" t="n">
        <v>15421112</v>
      </c>
      <c r="N1236" s="81" t="n">
        <v>11.94</v>
      </c>
      <c r="O1236" s="81" t="n">
        <v>2080490</v>
      </c>
      <c r="P1236" s="81" t="n">
        <v>15421102</v>
      </c>
      <c r="Q1236" s="81" t="n">
        <v>11.94</v>
      </c>
      <c r="R1236" s="81" t="s">
        <v>1367</v>
      </c>
      <c r="S1236" s="81"/>
      <c r="T1236" s="81"/>
      <c r="U1236" s="83" t="n">
        <v>46279</v>
      </c>
      <c r="V1236" s="83" t="n">
        <v>46279</v>
      </c>
      <c r="W1236" s="81" t="s">
        <v>1427</v>
      </c>
      <c r="X1236" s="81" t="s">
        <v>876</v>
      </c>
      <c r="Y1236" s="83" t="n">
        <v>46283</v>
      </c>
      <c r="Z1236" s="81" t="s">
        <v>1476</v>
      </c>
      <c r="AA1236" s="81" t="s">
        <v>876</v>
      </c>
      <c r="AB1236" s="81"/>
      <c r="AC1236" s="81"/>
      <c r="AD1236" s="81"/>
      <c r="AE1236" s="83"/>
      <c r="AF1236" s="81"/>
      <c r="AG1236" s="81"/>
      <c r="AH1236" s="81"/>
      <c r="AI1236" s="81"/>
      <c r="AJ1236" s="83"/>
      <c r="AK1236" s="81"/>
      <c r="AL1236" s="81"/>
      <c r="AM1236" s="83"/>
      <c r="AN1236" s="80"/>
      <c r="AO1236" s="82" t="n">
        <f aca="false">IF(E1236="","",(AA1236&lt;&gt;"")+(AG1236&lt;&gt;"")+(AL1236&lt;&gt;""))</f>
        <v>1</v>
      </c>
      <c r="AP1236" s="82" t="str">
        <f aca="false">IF(AL1236&lt;&gt;"",AL1236,IF(AG1236&lt;&gt;"",AG1236,IF(AA1236&lt;&gt;"",AA1236,"")))</f>
        <v>A</v>
      </c>
      <c r="AQ1236" s="84" t="str">
        <f aca="false">IF(E1236="","",IF(U1236="","À SOUDER",IF(X1236="","VT EN ATTENTE",IF(X1236="R","VT REJETÉ – À REPRENDRE",IF(AP1236="","À RADIOGRAPHIER",IF(AP1236="A","ACCEPTÉ",IF(AP1236="NX","NX – RT À REFAIRE",IF(IF(AO1236=1,AD1236,IF(AO1236=2,AI1236,""))="A","RÉPARÉ – À RADIOGRAPHIER",IF(IF(AO1236=1,AD1236,IF(AO1236=2,AI1236,""))="R","VT REJETÉ – À REPRENDRE",IF(OR(AP1236="CO",AP1236="NT"),"COUPE – À RESOUDER","À RÉPARER"))))))))))</f>
        <v>ACCEPTÉ</v>
      </c>
      <c r="AR1236" s="82" t="str">
        <f aca="false">IF(AND(ISNUMBER(U1236),OR(AQ1236="À RADIOGRAPHIER",AQ1236="RÉPARÉ – À RADIOGRAPHIER",AQ1236="NX – RT À REFAIRE",AQ1236="À RÉPARER",AQ1236="COUPE – À RESOUDER",AQ1236="VT REJETÉ – À REPRENDRE")),MAX(0,'PROGRAMME RT'!$C$4-U1236),"")</f>
        <v/>
      </c>
      <c r="AS1236" s="82" t="n">
        <f aca="false">IF(AND(OR(AQ1236="À RADIOGRAPHIER",AQ1236="RÉPARÉ – À RADIOGRAPHIER",AQ1236="NX – RT À REFAIRE"),OR('PROGRAMME RT'!$D$5="TOUTES",B1236='PROGRAMME RT'!$D$5)),1,0)</f>
        <v>0</v>
      </c>
      <c r="AT1236" s="82" t="str">
        <f aca="false">IF(AS1236=1,SUM(AS$7:AS1236),"")</f>
        <v/>
      </c>
      <c r="AU1236" s="82" t="n">
        <f aca="false">IF(AND(OR(AA1236="R",AA1236="NX",AA1236="NT",AA1236="CO"),OR('JOINTS DE RÉPARATION'!$D$5="TOUTES",B1236='JOINTS DE RÉPARATION'!$D$5),OR('JOINTS DE RÉPARATION'!$L$4="TOUS",AQ1236&lt;&gt;"ACCEPTÉ")),1,0)</f>
        <v>0</v>
      </c>
      <c r="AV1236" s="82" t="str">
        <f aca="false">IF(AU1236=1,SUM(AU$7:AU1236),"")</f>
        <v/>
      </c>
      <c r="AW1236" s="82" t="str">
        <f aca="false">IF(E1236="","",B1236&amp;"|"&amp;E1236)</f>
        <v>MFD-ISW → MFD-CPF|JN°1059</v>
      </c>
    </row>
    <row r="1237" customFormat="false" ht="74.6" hidden="false" customHeight="false" outlineLevel="0" collapsed="false">
      <c r="A1237" s="79" t="n">
        <f aca="false">IF(E1237="","",ROW()-6)</f>
        <v>1231</v>
      </c>
      <c r="B1237" s="80" t="s">
        <v>110</v>
      </c>
      <c r="C1237" s="81" t="s">
        <v>1473</v>
      </c>
      <c r="D1237" s="81" t="n">
        <v>9</v>
      </c>
      <c r="E1237" s="81" t="s">
        <v>1479</v>
      </c>
      <c r="F1237" s="82" t="str">
        <f aca="false">IF(E1237="","",IF(LEFT(E1237,2)="DJ","DJ","JN"))</f>
        <v>DJ</v>
      </c>
      <c r="G1237" s="81"/>
      <c r="H1237" s="81" t="s">
        <v>871</v>
      </c>
      <c r="I1237" s="81" t="n">
        <v>9.53</v>
      </c>
      <c r="J1237" s="81" t="s">
        <v>872</v>
      </c>
      <c r="K1237" s="81" t="s">
        <v>873</v>
      </c>
      <c r="L1237" s="81" t="n">
        <v>2080490</v>
      </c>
      <c r="M1237" s="81" t="n">
        <v>15421102</v>
      </c>
      <c r="N1237" s="81" t="n">
        <v>11.94</v>
      </c>
      <c r="O1237" s="81" t="n">
        <v>2082380</v>
      </c>
      <c r="P1237" s="81" t="n">
        <v>15421101</v>
      </c>
      <c r="Q1237" s="81" t="n">
        <v>11.94</v>
      </c>
      <c r="R1237" s="81" t="s">
        <v>963</v>
      </c>
      <c r="S1237" s="81"/>
      <c r="T1237" s="81"/>
      <c r="U1237" s="83" t="n">
        <v>46275</v>
      </c>
      <c r="V1237" s="83" t="n">
        <v>46275</v>
      </c>
      <c r="W1237" s="81" t="s">
        <v>1453</v>
      </c>
      <c r="X1237" s="81" t="s">
        <v>876</v>
      </c>
      <c r="Y1237" s="83" t="n">
        <v>46276</v>
      </c>
      <c r="Z1237" s="81" t="s">
        <v>1454</v>
      </c>
      <c r="AA1237" s="81" t="s">
        <v>876</v>
      </c>
      <c r="AB1237" s="81"/>
      <c r="AC1237" s="81"/>
      <c r="AD1237" s="81"/>
      <c r="AE1237" s="83"/>
      <c r="AF1237" s="81"/>
      <c r="AG1237" s="81"/>
      <c r="AH1237" s="81"/>
      <c r="AI1237" s="81"/>
      <c r="AJ1237" s="83"/>
      <c r="AK1237" s="81"/>
      <c r="AL1237" s="81"/>
      <c r="AM1237" s="83"/>
      <c r="AN1237" s="80"/>
      <c r="AO1237" s="82" t="n">
        <f aca="false">IF(E1237="","",(AA1237&lt;&gt;"")+(AG1237&lt;&gt;"")+(AL1237&lt;&gt;""))</f>
        <v>1</v>
      </c>
      <c r="AP1237" s="82" t="str">
        <f aca="false">IF(AL1237&lt;&gt;"",AL1237,IF(AG1237&lt;&gt;"",AG1237,IF(AA1237&lt;&gt;"",AA1237,"")))</f>
        <v>A</v>
      </c>
      <c r="AQ1237" s="84" t="str">
        <f aca="false">IF(E1237="","",IF(U1237="","À SOUDER",IF(X1237="","VT EN ATTENTE",IF(X1237="R","VT REJETÉ – À REPRENDRE",IF(AP1237="","À RADIOGRAPHIER",IF(AP1237="A","ACCEPTÉ",IF(AP1237="NX","NX – RT À REFAIRE",IF(IF(AO1237=1,AD1237,IF(AO1237=2,AI1237,""))="A","RÉPARÉ – À RADIOGRAPHIER",IF(IF(AO1237=1,AD1237,IF(AO1237=2,AI1237,""))="R","VT REJETÉ – À REPRENDRE",IF(OR(AP1237="CO",AP1237="NT"),"COUPE – À RESOUDER","À RÉPARER"))))))))))</f>
        <v>ACCEPTÉ</v>
      </c>
      <c r="AR1237" s="82" t="str">
        <f aca="false">IF(AND(ISNUMBER(U1237),OR(AQ1237="À RADIOGRAPHIER",AQ1237="RÉPARÉ – À RADIOGRAPHIER",AQ1237="NX – RT À REFAIRE",AQ1237="À RÉPARER",AQ1237="COUPE – À RESOUDER",AQ1237="VT REJETÉ – À REPRENDRE")),MAX(0,'PROGRAMME RT'!$C$4-U1237),"")</f>
        <v/>
      </c>
      <c r="AS1237" s="82" t="n">
        <f aca="false">IF(AND(OR(AQ1237="À RADIOGRAPHIER",AQ1237="RÉPARÉ – À RADIOGRAPHIER",AQ1237="NX – RT À REFAIRE"),OR('PROGRAMME RT'!$D$5="TOUTES",B1237='PROGRAMME RT'!$D$5)),1,0)</f>
        <v>0</v>
      </c>
      <c r="AT1237" s="82" t="str">
        <f aca="false">IF(AS1237=1,SUM(AS$7:AS1237),"")</f>
        <v/>
      </c>
      <c r="AU1237" s="82" t="n">
        <f aca="false">IF(AND(OR(AA1237="R",AA1237="NX",AA1237="NT",AA1237="CO"),OR('JOINTS DE RÉPARATION'!$D$5="TOUTES",B1237='JOINTS DE RÉPARATION'!$D$5),OR('JOINTS DE RÉPARATION'!$L$4="TOUS",AQ1237&lt;&gt;"ACCEPTÉ")),1,0)</f>
        <v>0</v>
      </c>
      <c r="AV1237" s="82" t="str">
        <f aca="false">IF(AU1237=1,SUM(AU$7:AU1237),"")</f>
        <v/>
      </c>
      <c r="AW1237" s="82" t="str">
        <f aca="false">IF(E1237="","",B1237&amp;"|"&amp;E1237)</f>
        <v>MFD-ISW → MFD-CPF|DJ°330</v>
      </c>
    </row>
    <row r="1238" customFormat="false" ht="74.6" hidden="false" customHeight="false" outlineLevel="0" collapsed="false">
      <c r="A1238" s="79" t="n">
        <f aca="false">IF(E1238="","",ROW()-6)</f>
        <v>1232</v>
      </c>
      <c r="B1238" s="80" t="s">
        <v>110</v>
      </c>
      <c r="C1238" s="81" t="s">
        <v>1473</v>
      </c>
      <c r="D1238" s="81" t="n">
        <v>9</v>
      </c>
      <c r="E1238" s="81" t="s">
        <v>1480</v>
      </c>
      <c r="F1238" s="82" t="str">
        <f aca="false">IF(E1238="","",IF(LEFT(E1238,2)="DJ","DJ","JN"))</f>
        <v>JN</v>
      </c>
      <c r="G1238" s="81"/>
      <c r="H1238" s="81" t="s">
        <v>871</v>
      </c>
      <c r="I1238" s="81" t="n">
        <v>9.53</v>
      </c>
      <c r="J1238" s="81" t="s">
        <v>872</v>
      </c>
      <c r="K1238" s="81" t="s">
        <v>879</v>
      </c>
      <c r="L1238" s="81" t="n">
        <v>2082380</v>
      </c>
      <c r="M1238" s="81" t="n">
        <v>15421101</v>
      </c>
      <c r="N1238" s="81" t="n">
        <v>11.94</v>
      </c>
      <c r="O1238" s="81" t="n">
        <v>2087650</v>
      </c>
      <c r="P1238" s="81" t="n">
        <v>15421108</v>
      </c>
      <c r="Q1238" s="81" t="n">
        <v>11.94</v>
      </c>
      <c r="R1238" s="81" t="s">
        <v>1367</v>
      </c>
      <c r="S1238" s="81"/>
      <c r="T1238" s="81"/>
      <c r="U1238" s="83" t="n">
        <v>46279</v>
      </c>
      <c r="V1238" s="83" t="n">
        <v>46279</v>
      </c>
      <c r="W1238" s="81" t="s">
        <v>1427</v>
      </c>
      <c r="X1238" s="81" t="s">
        <v>876</v>
      </c>
      <c r="Y1238" s="83" t="n">
        <v>46283</v>
      </c>
      <c r="Z1238" s="81" t="s">
        <v>1476</v>
      </c>
      <c r="AA1238" s="81" t="s">
        <v>876</v>
      </c>
      <c r="AB1238" s="81"/>
      <c r="AC1238" s="81"/>
      <c r="AD1238" s="81"/>
      <c r="AE1238" s="83"/>
      <c r="AF1238" s="81"/>
      <c r="AG1238" s="81"/>
      <c r="AH1238" s="81"/>
      <c r="AI1238" s="81"/>
      <c r="AJ1238" s="83"/>
      <c r="AK1238" s="81"/>
      <c r="AL1238" s="81"/>
      <c r="AM1238" s="83"/>
      <c r="AN1238" s="80"/>
      <c r="AO1238" s="82" t="n">
        <f aca="false">IF(E1238="","",(AA1238&lt;&gt;"")+(AG1238&lt;&gt;"")+(AL1238&lt;&gt;""))</f>
        <v>1</v>
      </c>
      <c r="AP1238" s="82" t="str">
        <f aca="false">IF(AL1238&lt;&gt;"",AL1238,IF(AG1238&lt;&gt;"",AG1238,IF(AA1238&lt;&gt;"",AA1238,"")))</f>
        <v>A</v>
      </c>
      <c r="AQ1238" s="84" t="str">
        <f aca="false">IF(E1238="","",IF(U1238="","À SOUDER",IF(X1238="","VT EN ATTENTE",IF(X1238="R","VT REJETÉ – À REPRENDRE",IF(AP1238="","À RADIOGRAPHIER",IF(AP1238="A","ACCEPTÉ",IF(AP1238="NX","NX – RT À REFAIRE",IF(IF(AO1238=1,AD1238,IF(AO1238=2,AI1238,""))="A","RÉPARÉ – À RADIOGRAPHIER",IF(IF(AO1238=1,AD1238,IF(AO1238=2,AI1238,""))="R","VT REJETÉ – À REPRENDRE",IF(OR(AP1238="CO",AP1238="NT"),"COUPE – À RESOUDER","À RÉPARER"))))))))))</f>
        <v>ACCEPTÉ</v>
      </c>
      <c r="AR1238" s="82" t="str">
        <f aca="false">IF(AND(ISNUMBER(U1238),OR(AQ1238="À RADIOGRAPHIER",AQ1238="RÉPARÉ – À RADIOGRAPHIER",AQ1238="NX – RT À REFAIRE",AQ1238="À RÉPARER",AQ1238="COUPE – À RESOUDER",AQ1238="VT REJETÉ – À REPRENDRE")),MAX(0,'PROGRAMME RT'!$C$4-U1238),"")</f>
        <v/>
      </c>
      <c r="AS1238" s="82" t="n">
        <f aca="false">IF(AND(OR(AQ1238="À RADIOGRAPHIER",AQ1238="RÉPARÉ – À RADIOGRAPHIER",AQ1238="NX – RT À REFAIRE"),OR('PROGRAMME RT'!$D$5="TOUTES",B1238='PROGRAMME RT'!$D$5)),1,0)</f>
        <v>0</v>
      </c>
      <c r="AT1238" s="82" t="str">
        <f aca="false">IF(AS1238=1,SUM(AS$7:AS1238),"")</f>
        <v/>
      </c>
      <c r="AU1238" s="82" t="n">
        <f aca="false">IF(AND(OR(AA1238="R",AA1238="NX",AA1238="NT",AA1238="CO"),OR('JOINTS DE RÉPARATION'!$D$5="TOUTES",B1238='JOINTS DE RÉPARATION'!$D$5),OR('JOINTS DE RÉPARATION'!$L$4="TOUS",AQ1238&lt;&gt;"ACCEPTÉ")),1,0)</f>
        <v>0</v>
      </c>
      <c r="AV1238" s="82" t="str">
        <f aca="false">IF(AU1238=1,SUM(AU$7:AU1238),"")</f>
        <v/>
      </c>
      <c r="AW1238" s="82" t="str">
        <f aca="false">IF(E1238="","",B1238&amp;"|"&amp;E1238)</f>
        <v>MFD-ISW → MFD-CPF|JN°1060</v>
      </c>
    </row>
    <row r="1239" customFormat="false" ht="74.6" hidden="false" customHeight="false" outlineLevel="0" collapsed="false">
      <c r="A1239" s="79" t="n">
        <f aca="false">IF(E1239="","",ROW()-6)</f>
        <v>1233</v>
      </c>
      <c r="B1239" s="80" t="s">
        <v>110</v>
      </c>
      <c r="C1239" s="81" t="s">
        <v>1473</v>
      </c>
      <c r="D1239" s="81" t="n">
        <v>10</v>
      </c>
      <c r="E1239" s="81" t="s">
        <v>1481</v>
      </c>
      <c r="F1239" s="82" t="str">
        <f aca="false">IF(E1239="","",IF(LEFT(E1239,2)="DJ","DJ","JN"))</f>
        <v>DJ</v>
      </c>
      <c r="G1239" s="81"/>
      <c r="H1239" s="81" t="s">
        <v>871</v>
      </c>
      <c r="I1239" s="81" t="n">
        <v>9.53</v>
      </c>
      <c r="J1239" s="81" t="s">
        <v>872</v>
      </c>
      <c r="K1239" s="81" t="s">
        <v>873</v>
      </c>
      <c r="L1239" s="81" t="n">
        <v>2087650</v>
      </c>
      <c r="M1239" s="81" t="n">
        <v>15421108</v>
      </c>
      <c r="N1239" s="81" t="n">
        <v>11.94</v>
      </c>
      <c r="O1239" s="81" t="n">
        <v>2084500</v>
      </c>
      <c r="P1239" s="81" t="n">
        <v>15421106</v>
      </c>
      <c r="Q1239" s="81" t="n">
        <v>11.94</v>
      </c>
      <c r="R1239" s="81" t="s">
        <v>963</v>
      </c>
      <c r="S1239" s="81"/>
      <c r="T1239" s="81"/>
      <c r="U1239" s="83" t="n">
        <v>46275</v>
      </c>
      <c r="V1239" s="83" t="n">
        <v>46275</v>
      </c>
      <c r="W1239" s="81" t="s">
        <v>1453</v>
      </c>
      <c r="X1239" s="81" t="s">
        <v>876</v>
      </c>
      <c r="Y1239" s="83" t="n">
        <v>46276</v>
      </c>
      <c r="Z1239" s="81" t="s">
        <v>1454</v>
      </c>
      <c r="AA1239" s="81" t="s">
        <v>876</v>
      </c>
      <c r="AB1239" s="81"/>
      <c r="AC1239" s="81"/>
      <c r="AD1239" s="81"/>
      <c r="AE1239" s="83"/>
      <c r="AF1239" s="81"/>
      <c r="AG1239" s="81"/>
      <c r="AH1239" s="81"/>
      <c r="AI1239" s="81"/>
      <c r="AJ1239" s="83"/>
      <c r="AK1239" s="81"/>
      <c r="AL1239" s="81"/>
      <c r="AM1239" s="83"/>
      <c r="AN1239" s="80"/>
      <c r="AO1239" s="82" t="n">
        <f aca="false">IF(E1239="","",(AA1239&lt;&gt;"")+(AG1239&lt;&gt;"")+(AL1239&lt;&gt;""))</f>
        <v>1</v>
      </c>
      <c r="AP1239" s="82" t="str">
        <f aca="false">IF(AL1239&lt;&gt;"",AL1239,IF(AG1239&lt;&gt;"",AG1239,IF(AA1239&lt;&gt;"",AA1239,"")))</f>
        <v>A</v>
      </c>
      <c r="AQ1239" s="84" t="str">
        <f aca="false">IF(E1239="","",IF(U1239="","À SOUDER",IF(X1239="","VT EN ATTENTE",IF(X1239="R","VT REJETÉ – À REPRENDRE",IF(AP1239="","À RADIOGRAPHIER",IF(AP1239="A","ACCEPTÉ",IF(AP1239="NX","NX – RT À REFAIRE",IF(IF(AO1239=1,AD1239,IF(AO1239=2,AI1239,""))="A","RÉPARÉ – À RADIOGRAPHIER",IF(IF(AO1239=1,AD1239,IF(AO1239=2,AI1239,""))="R","VT REJETÉ – À REPRENDRE",IF(OR(AP1239="CO",AP1239="NT"),"COUPE – À RESOUDER","À RÉPARER"))))))))))</f>
        <v>ACCEPTÉ</v>
      </c>
      <c r="AR1239" s="82" t="str">
        <f aca="false">IF(AND(ISNUMBER(U1239),OR(AQ1239="À RADIOGRAPHIER",AQ1239="RÉPARÉ – À RADIOGRAPHIER",AQ1239="NX – RT À REFAIRE",AQ1239="À RÉPARER",AQ1239="COUPE – À RESOUDER",AQ1239="VT REJETÉ – À REPRENDRE")),MAX(0,'PROGRAMME RT'!$C$4-U1239),"")</f>
        <v/>
      </c>
      <c r="AS1239" s="82" t="n">
        <f aca="false">IF(AND(OR(AQ1239="À RADIOGRAPHIER",AQ1239="RÉPARÉ – À RADIOGRAPHIER",AQ1239="NX – RT À REFAIRE"),OR('PROGRAMME RT'!$D$5="TOUTES",B1239='PROGRAMME RT'!$D$5)),1,0)</f>
        <v>0</v>
      </c>
      <c r="AT1239" s="82" t="str">
        <f aca="false">IF(AS1239=1,SUM(AS$7:AS1239),"")</f>
        <v/>
      </c>
      <c r="AU1239" s="82" t="n">
        <f aca="false">IF(AND(OR(AA1239="R",AA1239="NX",AA1239="NT",AA1239="CO"),OR('JOINTS DE RÉPARATION'!$D$5="TOUTES",B1239='JOINTS DE RÉPARATION'!$D$5),OR('JOINTS DE RÉPARATION'!$L$4="TOUS",AQ1239&lt;&gt;"ACCEPTÉ")),1,0)</f>
        <v>0</v>
      </c>
      <c r="AV1239" s="82" t="str">
        <f aca="false">IF(AU1239=1,SUM(AU$7:AU1239),"")</f>
        <v/>
      </c>
      <c r="AW1239" s="82" t="str">
        <f aca="false">IF(E1239="","",B1239&amp;"|"&amp;E1239)</f>
        <v>MFD-ISW → MFD-CPF|DJ°328</v>
      </c>
    </row>
    <row r="1240" customFormat="false" ht="74.6" hidden="false" customHeight="false" outlineLevel="0" collapsed="false">
      <c r="A1240" s="79" t="n">
        <f aca="false">IF(E1240="","",ROW()-6)</f>
        <v>1234</v>
      </c>
      <c r="B1240" s="80" t="s">
        <v>110</v>
      </c>
      <c r="C1240" s="81" t="s">
        <v>1473</v>
      </c>
      <c r="D1240" s="81" t="n">
        <v>10</v>
      </c>
      <c r="E1240" s="81" t="s">
        <v>1482</v>
      </c>
      <c r="F1240" s="82" t="str">
        <f aca="false">IF(E1240="","",IF(LEFT(E1240,2)="DJ","DJ","JN"))</f>
        <v>JN</v>
      </c>
      <c r="G1240" s="81"/>
      <c r="H1240" s="81" t="s">
        <v>871</v>
      </c>
      <c r="I1240" s="81" t="n">
        <v>9.53</v>
      </c>
      <c r="J1240" s="81" t="s">
        <v>872</v>
      </c>
      <c r="K1240" s="81" t="s">
        <v>879</v>
      </c>
      <c r="L1240" s="81" t="n">
        <v>2084500</v>
      </c>
      <c r="M1240" s="81" t="n">
        <v>15421106</v>
      </c>
      <c r="N1240" s="81" t="n">
        <v>11.94</v>
      </c>
      <c r="O1240" s="81" t="n">
        <v>2082560</v>
      </c>
      <c r="P1240" s="81" t="n">
        <v>15421104</v>
      </c>
      <c r="Q1240" s="81" t="n">
        <v>11.94</v>
      </c>
      <c r="R1240" s="81" t="s">
        <v>1367</v>
      </c>
      <c r="S1240" s="81"/>
      <c r="T1240" s="81"/>
      <c r="U1240" s="83" t="n">
        <v>46279</v>
      </c>
      <c r="V1240" s="83" t="n">
        <v>46279</v>
      </c>
      <c r="W1240" s="81" t="s">
        <v>1427</v>
      </c>
      <c r="X1240" s="81" t="s">
        <v>876</v>
      </c>
      <c r="Y1240" s="83" t="n">
        <v>46283</v>
      </c>
      <c r="Z1240" s="81" t="s">
        <v>1476</v>
      </c>
      <c r="AA1240" s="81" t="s">
        <v>876</v>
      </c>
      <c r="AB1240" s="81"/>
      <c r="AC1240" s="81"/>
      <c r="AD1240" s="81"/>
      <c r="AE1240" s="83"/>
      <c r="AF1240" s="81"/>
      <c r="AG1240" s="81"/>
      <c r="AH1240" s="81"/>
      <c r="AI1240" s="81"/>
      <c r="AJ1240" s="83"/>
      <c r="AK1240" s="81"/>
      <c r="AL1240" s="81"/>
      <c r="AM1240" s="83"/>
      <c r="AN1240" s="80"/>
      <c r="AO1240" s="82" t="n">
        <f aca="false">IF(E1240="","",(AA1240&lt;&gt;"")+(AG1240&lt;&gt;"")+(AL1240&lt;&gt;""))</f>
        <v>1</v>
      </c>
      <c r="AP1240" s="82" t="str">
        <f aca="false">IF(AL1240&lt;&gt;"",AL1240,IF(AG1240&lt;&gt;"",AG1240,IF(AA1240&lt;&gt;"",AA1240,"")))</f>
        <v>A</v>
      </c>
      <c r="AQ1240" s="84" t="str">
        <f aca="false">IF(E1240="","",IF(U1240="","À SOUDER",IF(X1240="","VT EN ATTENTE",IF(X1240="R","VT REJETÉ – À REPRENDRE",IF(AP1240="","À RADIOGRAPHIER",IF(AP1240="A","ACCEPTÉ",IF(AP1240="NX","NX – RT À REFAIRE",IF(IF(AO1240=1,AD1240,IF(AO1240=2,AI1240,""))="A","RÉPARÉ – À RADIOGRAPHIER",IF(IF(AO1240=1,AD1240,IF(AO1240=2,AI1240,""))="R","VT REJETÉ – À REPRENDRE",IF(OR(AP1240="CO",AP1240="NT"),"COUPE – À RESOUDER","À RÉPARER"))))))))))</f>
        <v>ACCEPTÉ</v>
      </c>
      <c r="AR1240" s="82" t="str">
        <f aca="false">IF(AND(ISNUMBER(U1240),OR(AQ1240="À RADIOGRAPHIER",AQ1240="RÉPARÉ – À RADIOGRAPHIER",AQ1240="NX – RT À REFAIRE",AQ1240="À RÉPARER",AQ1240="COUPE – À RESOUDER",AQ1240="VT REJETÉ – À REPRENDRE")),MAX(0,'PROGRAMME RT'!$C$4-U1240),"")</f>
        <v/>
      </c>
      <c r="AS1240" s="82" t="n">
        <f aca="false">IF(AND(OR(AQ1240="À RADIOGRAPHIER",AQ1240="RÉPARÉ – À RADIOGRAPHIER",AQ1240="NX – RT À REFAIRE"),OR('PROGRAMME RT'!$D$5="TOUTES",B1240='PROGRAMME RT'!$D$5)),1,0)</f>
        <v>0</v>
      </c>
      <c r="AT1240" s="82" t="str">
        <f aca="false">IF(AS1240=1,SUM(AS$7:AS1240),"")</f>
        <v/>
      </c>
      <c r="AU1240" s="82" t="n">
        <f aca="false">IF(AND(OR(AA1240="R",AA1240="NX",AA1240="NT",AA1240="CO"),OR('JOINTS DE RÉPARATION'!$D$5="TOUTES",B1240='JOINTS DE RÉPARATION'!$D$5),OR('JOINTS DE RÉPARATION'!$L$4="TOUS",AQ1240&lt;&gt;"ACCEPTÉ")),1,0)</f>
        <v>0</v>
      </c>
      <c r="AV1240" s="82" t="str">
        <f aca="false">IF(AU1240=1,SUM(AU$7:AU1240),"")</f>
        <v/>
      </c>
      <c r="AW1240" s="82" t="str">
        <f aca="false">IF(E1240="","",B1240&amp;"|"&amp;E1240)</f>
        <v>MFD-ISW → MFD-CPF|JN°1061</v>
      </c>
    </row>
    <row r="1241" customFormat="false" ht="74.6" hidden="false" customHeight="false" outlineLevel="0" collapsed="false">
      <c r="A1241" s="79" t="n">
        <f aca="false">IF(E1241="","",ROW()-6)</f>
        <v>1235</v>
      </c>
      <c r="B1241" s="80" t="s">
        <v>110</v>
      </c>
      <c r="C1241" s="81" t="s">
        <v>1473</v>
      </c>
      <c r="D1241" s="81" t="n">
        <v>10</v>
      </c>
      <c r="E1241" s="81" t="s">
        <v>1483</v>
      </c>
      <c r="F1241" s="82" t="str">
        <f aca="false">IF(E1241="","",IF(LEFT(E1241,2)="DJ","DJ","JN"))</f>
        <v>DJ</v>
      </c>
      <c r="G1241" s="81"/>
      <c r="H1241" s="81" t="s">
        <v>871</v>
      </c>
      <c r="I1241" s="81" t="n">
        <v>9.53</v>
      </c>
      <c r="J1241" s="81" t="s">
        <v>872</v>
      </c>
      <c r="K1241" s="81" t="s">
        <v>873</v>
      </c>
      <c r="L1241" s="81" t="n">
        <v>2082560</v>
      </c>
      <c r="M1241" s="81" t="n">
        <v>15421104</v>
      </c>
      <c r="N1241" s="81" t="n">
        <v>11.94</v>
      </c>
      <c r="O1241" s="81" t="n">
        <v>2095820</v>
      </c>
      <c r="P1241" s="81" t="n">
        <v>15421101</v>
      </c>
      <c r="Q1241" s="81" t="n">
        <v>11.94</v>
      </c>
      <c r="R1241" s="81" t="s">
        <v>1135</v>
      </c>
      <c r="S1241" s="81"/>
      <c r="T1241" s="81"/>
      <c r="U1241" s="83" t="n">
        <v>46275</v>
      </c>
      <c r="V1241" s="83" t="n">
        <v>46275</v>
      </c>
      <c r="W1241" s="81" t="s">
        <v>1453</v>
      </c>
      <c r="X1241" s="81" t="s">
        <v>876</v>
      </c>
      <c r="Y1241" s="83" t="n">
        <v>46276</v>
      </c>
      <c r="Z1241" s="81" t="s">
        <v>1454</v>
      </c>
      <c r="AA1241" s="81" t="s">
        <v>876</v>
      </c>
      <c r="AB1241" s="81"/>
      <c r="AC1241" s="81"/>
      <c r="AD1241" s="81"/>
      <c r="AE1241" s="83"/>
      <c r="AF1241" s="81"/>
      <c r="AG1241" s="81"/>
      <c r="AH1241" s="81"/>
      <c r="AI1241" s="81"/>
      <c r="AJ1241" s="83"/>
      <c r="AK1241" s="81"/>
      <c r="AL1241" s="81"/>
      <c r="AM1241" s="83"/>
      <c r="AN1241" s="80"/>
      <c r="AO1241" s="82" t="n">
        <f aca="false">IF(E1241="","",(AA1241&lt;&gt;"")+(AG1241&lt;&gt;"")+(AL1241&lt;&gt;""))</f>
        <v>1</v>
      </c>
      <c r="AP1241" s="82" t="str">
        <f aca="false">IF(AL1241&lt;&gt;"",AL1241,IF(AG1241&lt;&gt;"",AG1241,IF(AA1241&lt;&gt;"",AA1241,"")))</f>
        <v>A</v>
      </c>
      <c r="AQ1241" s="84" t="str">
        <f aca="false">IF(E1241="","",IF(U1241="","À SOUDER",IF(X1241="","VT EN ATTENTE",IF(X1241="R","VT REJETÉ – À REPRENDRE",IF(AP1241="","À RADIOGRAPHIER",IF(AP1241="A","ACCEPTÉ",IF(AP1241="NX","NX – RT À REFAIRE",IF(IF(AO1241=1,AD1241,IF(AO1241=2,AI1241,""))="A","RÉPARÉ – À RADIOGRAPHIER",IF(IF(AO1241=1,AD1241,IF(AO1241=2,AI1241,""))="R","VT REJETÉ – À REPRENDRE",IF(OR(AP1241="CO",AP1241="NT"),"COUPE – À RESOUDER","À RÉPARER"))))))))))</f>
        <v>ACCEPTÉ</v>
      </c>
      <c r="AR1241" s="82" t="str">
        <f aca="false">IF(AND(ISNUMBER(U1241),OR(AQ1241="À RADIOGRAPHIER",AQ1241="RÉPARÉ – À RADIOGRAPHIER",AQ1241="NX – RT À REFAIRE",AQ1241="À RÉPARER",AQ1241="COUPE – À RESOUDER",AQ1241="VT REJETÉ – À REPRENDRE")),MAX(0,'PROGRAMME RT'!$C$4-U1241),"")</f>
        <v/>
      </c>
      <c r="AS1241" s="82" t="n">
        <f aca="false">IF(AND(OR(AQ1241="À RADIOGRAPHIER",AQ1241="RÉPARÉ – À RADIOGRAPHIER",AQ1241="NX – RT À REFAIRE"),OR('PROGRAMME RT'!$D$5="TOUTES",B1241='PROGRAMME RT'!$D$5)),1,0)</f>
        <v>0</v>
      </c>
      <c r="AT1241" s="82" t="str">
        <f aca="false">IF(AS1241=1,SUM(AS$7:AS1241),"")</f>
        <v/>
      </c>
      <c r="AU1241" s="82" t="n">
        <f aca="false">IF(AND(OR(AA1241="R",AA1241="NX",AA1241="NT",AA1241="CO"),OR('JOINTS DE RÉPARATION'!$D$5="TOUTES",B1241='JOINTS DE RÉPARATION'!$D$5),OR('JOINTS DE RÉPARATION'!$L$4="TOUS",AQ1241&lt;&gt;"ACCEPTÉ")),1,0)</f>
        <v>0</v>
      </c>
      <c r="AV1241" s="82" t="str">
        <f aca="false">IF(AU1241=1,SUM(AU$7:AU1241),"")</f>
        <v/>
      </c>
      <c r="AW1241" s="82" t="str">
        <f aca="false">IF(E1241="","",B1241&amp;"|"&amp;E1241)</f>
        <v>MFD-ISW → MFD-CPF|DJ°331</v>
      </c>
    </row>
    <row r="1242" customFormat="false" ht="74.6" hidden="false" customHeight="false" outlineLevel="0" collapsed="false">
      <c r="A1242" s="79" t="n">
        <f aca="false">IF(E1242="","",ROW()-6)</f>
        <v>1236</v>
      </c>
      <c r="B1242" s="80" t="s">
        <v>110</v>
      </c>
      <c r="C1242" s="81" t="s">
        <v>1473</v>
      </c>
      <c r="D1242" s="81" t="n">
        <v>10</v>
      </c>
      <c r="E1242" s="81" t="s">
        <v>1484</v>
      </c>
      <c r="F1242" s="82" t="str">
        <f aca="false">IF(E1242="","",IF(LEFT(E1242,2)="DJ","DJ","JN"))</f>
        <v>JN</v>
      </c>
      <c r="G1242" s="81"/>
      <c r="H1242" s="81" t="s">
        <v>871</v>
      </c>
      <c r="I1242" s="81" t="n">
        <v>9.53</v>
      </c>
      <c r="J1242" s="81" t="s">
        <v>872</v>
      </c>
      <c r="K1242" s="81" t="s">
        <v>879</v>
      </c>
      <c r="L1242" s="81" t="n">
        <v>2095820</v>
      </c>
      <c r="M1242" s="81" t="n">
        <v>15421101</v>
      </c>
      <c r="N1242" s="81" t="n">
        <v>11.94</v>
      </c>
      <c r="O1242" s="81" t="n">
        <v>2086590</v>
      </c>
      <c r="P1242" s="81" t="n">
        <v>15421107</v>
      </c>
      <c r="Q1242" s="81" t="n">
        <v>11.94</v>
      </c>
      <c r="R1242" s="81" t="s">
        <v>1367</v>
      </c>
      <c r="S1242" s="81"/>
      <c r="T1242" s="81"/>
      <c r="U1242" s="83" t="n">
        <v>46279</v>
      </c>
      <c r="V1242" s="83" t="n">
        <v>46279</v>
      </c>
      <c r="W1242" s="81" t="s">
        <v>1427</v>
      </c>
      <c r="X1242" s="81" t="s">
        <v>876</v>
      </c>
      <c r="Y1242" s="83" t="n">
        <v>46283</v>
      </c>
      <c r="Z1242" s="81" t="s">
        <v>1476</v>
      </c>
      <c r="AA1242" s="81" t="s">
        <v>876</v>
      </c>
      <c r="AB1242" s="81"/>
      <c r="AC1242" s="81"/>
      <c r="AD1242" s="81"/>
      <c r="AE1242" s="83"/>
      <c r="AF1242" s="81"/>
      <c r="AG1242" s="81"/>
      <c r="AH1242" s="81"/>
      <c r="AI1242" s="81"/>
      <c r="AJ1242" s="83"/>
      <c r="AK1242" s="81"/>
      <c r="AL1242" s="81"/>
      <c r="AM1242" s="83"/>
      <c r="AN1242" s="80"/>
      <c r="AO1242" s="82" t="n">
        <f aca="false">IF(E1242="","",(AA1242&lt;&gt;"")+(AG1242&lt;&gt;"")+(AL1242&lt;&gt;""))</f>
        <v>1</v>
      </c>
      <c r="AP1242" s="82" t="str">
        <f aca="false">IF(AL1242&lt;&gt;"",AL1242,IF(AG1242&lt;&gt;"",AG1242,IF(AA1242&lt;&gt;"",AA1242,"")))</f>
        <v>A</v>
      </c>
      <c r="AQ1242" s="84" t="str">
        <f aca="false">IF(E1242="","",IF(U1242="","À SOUDER",IF(X1242="","VT EN ATTENTE",IF(X1242="R","VT REJETÉ – À REPRENDRE",IF(AP1242="","À RADIOGRAPHIER",IF(AP1242="A","ACCEPTÉ",IF(AP1242="NX","NX – RT À REFAIRE",IF(IF(AO1242=1,AD1242,IF(AO1242=2,AI1242,""))="A","RÉPARÉ – À RADIOGRAPHIER",IF(IF(AO1242=1,AD1242,IF(AO1242=2,AI1242,""))="R","VT REJETÉ – À REPRENDRE",IF(OR(AP1242="CO",AP1242="NT"),"COUPE – À RESOUDER","À RÉPARER"))))))))))</f>
        <v>ACCEPTÉ</v>
      </c>
      <c r="AR1242" s="82" t="str">
        <f aca="false">IF(AND(ISNUMBER(U1242),OR(AQ1242="À RADIOGRAPHIER",AQ1242="RÉPARÉ – À RADIOGRAPHIER",AQ1242="NX – RT À REFAIRE",AQ1242="À RÉPARER",AQ1242="COUPE – À RESOUDER",AQ1242="VT REJETÉ – À REPRENDRE")),MAX(0,'PROGRAMME RT'!$C$4-U1242),"")</f>
        <v/>
      </c>
      <c r="AS1242" s="82" t="n">
        <f aca="false">IF(AND(OR(AQ1242="À RADIOGRAPHIER",AQ1242="RÉPARÉ – À RADIOGRAPHIER",AQ1242="NX – RT À REFAIRE"),OR('PROGRAMME RT'!$D$5="TOUTES",B1242='PROGRAMME RT'!$D$5)),1,0)</f>
        <v>0</v>
      </c>
      <c r="AT1242" s="82" t="str">
        <f aca="false">IF(AS1242=1,SUM(AS$7:AS1242),"")</f>
        <v/>
      </c>
      <c r="AU1242" s="82" t="n">
        <f aca="false">IF(AND(OR(AA1242="R",AA1242="NX",AA1242="NT",AA1242="CO"),OR('JOINTS DE RÉPARATION'!$D$5="TOUTES",B1242='JOINTS DE RÉPARATION'!$D$5),OR('JOINTS DE RÉPARATION'!$L$4="TOUS",AQ1242&lt;&gt;"ACCEPTÉ")),1,0)</f>
        <v>0</v>
      </c>
      <c r="AV1242" s="82" t="str">
        <f aca="false">IF(AU1242=1,SUM(AU$7:AU1242),"")</f>
        <v/>
      </c>
      <c r="AW1242" s="82" t="str">
        <f aca="false">IF(E1242="","",B1242&amp;"|"&amp;E1242)</f>
        <v>MFD-ISW → MFD-CPF|JN°1062</v>
      </c>
    </row>
    <row r="1243" customFormat="false" ht="74.6" hidden="false" customHeight="false" outlineLevel="0" collapsed="false">
      <c r="A1243" s="79" t="n">
        <f aca="false">IF(E1243="","",ROW()-6)</f>
        <v>1237</v>
      </c>
      <c r="B1243" s="80" t="s">
        <v>110</v>
      </c>
      <c r="C1243" s="81" t="s">
        <v>1473</v>
      </c>
      <c r="D1243" s="81" t="n">
        <v>10</v>
      </c>
      <c r="E1243" s="81" t="s">
        <v>1485</v>
      </c>
      <c r="F1243" s="82" t="str">
        <f aca="false">IF(E1243="","",IF(LEFT(E1243,2)="DJ","DJ","JN"))</f>
        <v>DJ</v>
      </c>
      <c r="G1243" s="81"/>
      <c r="H1243" s="81" t="s">
        <v>871</v>
      </c>
      <c r="I1243" s="81" t="n">
        <v>9.53</v>
      </c>
      <c r="J1243" s="81" t="s">
        <v>872</v>
      </c>
      <c r="K1243" s="81" t="s">
        <v>873</v>
      </c>
      <c r="L1243" s="81" t="n">
        <v>2086590</v>
      </c>
      <c r="M1243" s="81" t="n">
        <v>15421107</v>
      </c>
      <c r="N1243" s="81" t="n">
        <v>11.94</v>
      </c>
      <c r="O1243" s="81" t="n">
        <v>2080260</v>
      </c>
      <c r="P1243" s="81" t="n">
        <v>15421101</v>
      </c>
      <c r="Q1243" s="81" t="n">
        <v>11.94</v>
      </c>
      <c r="R1243" s="81" t="s">
        <v>1147</v>
      </c>
      <c r="S1243" s="81"/>
      <c r="T1243" s="81"/>
      <c r="U1243" s="83" t="n">
        <v>46275</v>
      </c>
      <c r="V1243" s="83" t="n">
        <v>46275</v>
      </c>
      <c r="W1243" s="81" t="s">
        <v>1453</v>
      </c>
      <c r="X1243" s="81" t="s">
        <v>876</v>
      </c>
      <c r="Y1243" s="83" t="n">
        <v>46276</v>
      </c>
      <c r="Z1243" s="81" t="s">
        <v>1454</v>
      </c>
      <c r="AA1243" s="81" t="s">
        <v>876</v>
      </c>
      <c r="AB1243" s="81"/>
      <c r="AC1243" s="81"/>
      <c r="AD1243" s="81"/>
      <c r="AE1243" s="83"/>
      <c r="AF1243" s="81"/>
      <c r="AG1243" s="81"/>
      <c r="AH1243" s="81"/>
      <c r="AI1243" s="81"/>
      <c r="AJ1243" s="83"/>
      <c r="AK1243" s="81"/>
      <c r="AL1243" s="81"/>
      <c r="AM1243" s="83"/>
      <c r="AN1243" s="80"/>
      <c r="AO1243" s="82" t="n">
        <f aca="false">IF(E1243="","",(AA1243&lt;&gt;"")+(AG1243&lt;&gt;"")+(AL1243&lt;&gt;""))</f>
        <v>1</v>
      </c>
      <c r="AP1243" s="82" t="str">
        <f aca="false">IF(AL1243&lt;&gt;"",AL1243,IF(AG1243&lt;&gt;"",AG1243,IF(AA1243&lt;&gt;"",AA1243,"")))</f>
        <v>A</v>
      </c>
      <c r="AQ1243" s="84" t="str">
        <f aca="false">IF(E1243="","",IF(U1243="","À SOUDER",IF(X1243="","VT EN ATTENTE",IF(X1243="R","VT REJETÉ – À REPRENDRE",IF(AP1243="","À RADIOGRAPHIER",IF(AP1243="A","ACCEPTÉ",IF(AP1243="NX","NX – RT À REFAIRE",IF(IF(AO1243=1,AD1243,IF(AO1243=2,AI1243,""))="A","RÉPARÉ – À RADIOGRAPHIER",IF(IF(AO1243=1,AD1243,IF(AO1243=2,AI1243,""))="R","VT REJETÉ – À REPRENDRE",IF(OR(AP1243="CO",AP1243="NT"),"COUPE – À RESOUDER","À RÉPARER"))))))))))</f>
        <v>ACCEPTÉ</v>
      </c>
      <c r="AR1243" s="82" t="str">
        <f aca="false">IF(AND(ISNUMBER(U1243),OR(AQ1243="À RADIOGRAPHIER",AQ1243="RÉPARÉ – À RADIOGRAPHIER",AQ1243="NX – RT À REFAIRE",AQ1243="À RÉPARER",AQ1243="COUPE – À RESOUDER",AQ1243="VT REJETÉ – À REPRENDRE")),MAX(0,'PROGRAMME RT'!$C$4-U1243),"")</f>
        <v/>
      </c>
      <c r="AS1243" s="82" t="n">
        <f aca="false">IF(AND(OR(AQ1243="À RADIOGRAPHIER",AQ1243="RÉPARÉ – À RADIOGRAPHIER",AQ1243="NX – RT À REFAIRE"),OR('PROGRAMME RT'!$D$5="TOUTES",B1243='PROGRAMME RT'!$D$5)),1,0)</f>
        <v>0</v>
      </c>
      <c r="AT1243" s="82" t="str">
        <f aca="false">IF(AS1243=1,SUM(AS$7:AS1243),"")</f>
        <v/>
      </c>
      <c r="AU1243" s="82" t="n">
        <f aca="false">IF(AND(OR(AA1243="R",AA1243="NX",AA1243="NT",AA1243="CO"),OR('JOINTS DE RÉPARATION'!$D$5="TOUTES",B1243='JOINTS DE RÉPARATION'!$D$5),OR('JOINTS DE RÉPARATION'!$L$4="TOUS",AQ1243&lt;&gt;"ACCEPTÉ")),1,0)</f>
        <v>0</v>
      </c>
      <c r="AV1243" s="82" t="str">
        <f aca="false">IF(AU1243=1,SUM(AU$7:AU1243),"")</f>
        <v/>
      </c>
      <c r="AW1243" s="82" t="str">
        <f aca="false">IF(E1243="","",B1243&amp;"|"&amp;E1243)</f>
        <v>MFD-ISW → MFD-CPF|DJ°327</v>
      </c>
    </row>
    <row r="1244" customFormat="false" ht="74.6" hidden="false" customHeight="false" outlineLevel="0" collapsed="false">
      <c r="A1244" s="79" t="n">
        <f aca="false">IF(E1244="","",ROW()-6)</f>
        <v>1238</v>
      </c>
      <c r="B1244" s="80" t="s">
        <v>110</v>
      </c>
      <c r="C1244" s="81" t="s">
        <v>1473</v>
      </c>
      <c r="D1244" s="81" t="n">
        <v>10</v>
      </c>
      <c r="E1244" s="81" t="s">
        <v>1486</v>
      </c>
      <c r="F1244" s="82" t="str">
        <f aca="false">IF(E1244="","",IF(LEFT(E1244,2)="DJ","DJ","JN"))</f>
        <v>JN</v>
      </c>
      <c r="G1244" s="81"/>
      <c r="H1244" s="81" t="s">
        <v>871</v>
      </c>
      <c r="I1244" s="81" t="n">
        <v>9.53</v>
      </c>
      <c r="J1244" s="81" t="s">
        <v>872</v>
      </c>
      <c r="K1244" s="81" t="s">
        <v>879</v>
      </c>
      <c r="L1244" s="81" t="n">
        <v>2080260</v>
      </c>
      <c r="M1244" s="81" t="n">
        <v>15421101</v>
      </c>
      <c r="N1244" s="81" t="n">
        <v>11.94</v>
      </c>
      <c r="O1244" s="81" t="n">
        <v>2086910</v>
      </c>
      <c r="P1244" s="81" t="n">
        <v>15421101</v>
      </c>
      <c r="Q1244" s="81" t="n">
        <v>11.94</v>
      </c>
      <c r="R1244" s="81" t="s">
        <v>1367</v>
      </c>
      <c r="S1244" s="81"/>
      <c r="T1244" s="81"/>
      <c r="U1244" s="83" t="n">
        <v>46279</v>
      </c>
      <c r="V1244" s="83" t="n">
        <v>46279</v>
      </c>
      <c r="W1244" s="81" t="s">
        <v>1487</v>
      </c>
      <c r="X1244" s="81" t="s">
        <v>876</v>
      </c>
      <c r="Y1244" s="83" t="n">
        <v>46283</v>
      </c>
      <c r="Z1244" s="81" t="s">
        <v>1476</v>
      </c>
      <c r="AA1244" s="81" t="s">
        <v>876</v>
      </c>
      <c r="AB1244" s="81"/>
      <c r="AC1244" s="81"/>
      <c r="AD1244" s="81"/>
      <c r="AE1244" s="83"/>
      <c r="AF1244" s="81"/>
      <c r="AG1244" s="81"/>
      <c r="AH1244" s="81"/>
      <c r="AI1244" s="81"/>
      <c r="AJ1244" s="83"/>
      <c r="AK1244" s="81"/>
      <c r="AL1244" s="81"/>
      <c r="AM1244" s="83"/>
      <c r="AN1244" s="80"/>
      <c r="AO1244" s="82" t="n">
        <f aca="false">IF(E1244="","",(AA1244&lt;&gt;"")+(AG1244&lt;&gt;"")+(AL1244&lt;&gt;""))</f>
        <v>1</v>
      </c>
      <c r="AP1244" s="82" t="str">
        <f aca="false">IF(AL1244&lt;&gt;"",AL1244,IF(AG1244&lt;&gt;"",AG1244,IF(AA1244&lt;&gt;"",AA1244,"")))</f>
        <v>A</v>
      </c>
      <c r="AQ1244" s="84" t="str">
        <f aca="false">IF(E1244="","",IF(U1244="","À SOUDER",IF(X1244="","VT EN ATTENTE",IF(X1244="R","VT REJETÉ – À REPRENDRE",IF(AP1244="","À RADIOGRAPHIER",IF(AP1244="A","ACCEPTÉ",IF(AP1244="NX","NX – RT À REFAIRE",IF(IF(AO1244=1,AD1244,IF(AO1244=2,AI1244,""))="A","RÉPARÉ – À RADIOGRAPHIER",IF(IF(AO1244=1,AD1244,IF(AO1244=2,AI1244,""))="R","VT REJETÉ – À REPRENDRE",IF(OR(AP1244="CO",AP1244="NT"),"COUPE – À RESOUDER","À RÉPARER"))))))))))</f>
        <v>ACCEPTÉ</v>
      </c>
      <c r="AR1244" s="82" t="str">
        <f aca="false">IF(AND(ISNUMBER(U1244),OR(AQ1244="À RADIOGRAPHIER",AQ1244="RÉPARÉ – À RADIOGRAPHIER",AQ1244="NX – RT À REFAIRE",AQ1244="À RÉPARER",AQ1244="COUPE – À RESOUDER",AQ1244="VT REJETÉ – À REPRENDRE")),MAX(0,'PROGRAMME RT'!$C$4-U1244),"")</f>
        <v/>
      </c>
      <c r="AS1244" s="82" t="n">
        <f aca="false">IF(AND(OR(AQ1244="À RADIOGRAPHIER",AQ1244="RÉPARÉ – À RADIOGRAPHIER",AQ1244="NX – RT À REFAIRE"),OR('PROGRAMME RT'!$D$5="TOUTES",B1244='PROGRAMME RT'!$D$5)),1,0)</f>
        <v>0</v>
      </c>
      <c r="AT1244" s="82" t="str">
        <f aca="false">IF(AS1244=1,SUM(AS$7:AS1244),"")</f>
        <v/>
      </c>
      <c r="AU1244" s="82" t="n">
        <f aca="false">IF(AND(OR(AA1244="R",AA1244="NX",AA1244="NT",AA1244="CO"),OR('JOINTS DE RÉPARATION'!$D$5="TOUTES",B1244='JOINTS DE RÉPARATION'!$D$5),OR('JOINTS DE RÉPARATION'!$L$4="TOUS",AQ1244&lt;&gt;"ACCEPTÉ")),1,0)</f>
        <v>0</v>
      </c>
      <c r="AV1244" s="82" t="str">
        <f aca="false">IF(AU1244=1,SUM(AU$7:AU1244),"")</f>
        <v/>
      </c>
      <c r="AW1244" s="82" t="str">
        <f aca="false">IF(E1244="","",B1244&amp;"|"&amp;E1244)</f>
        <v>MFD-ISW → MFD-CPF|JN°1063</v>
      </c>
    </row>
    <row r="1245" customFormat="false" ht="74.6" hidden="false" customHeight="false" outlineLevel="0" collapsed="false">
      <c r="A1245" s="79" t="n">
        <f aca="false">IF(E1245="","",ROW()-6)</f>
        <v>1239</v>
      </c>
      <c r="B1245" s="80" t="s">
        <v>110</v>
      </c>
      <c r="C1245" s="81" t="s">
        <v>1473</v>
      </c>
      <c r="D1245" s="81" t="n">
        <v>10</v>
      </c>
      <c r="E1245" s="81" t="s">
        <v>1488</v>
      </c>
      <c r="F1245" s="82" t="str">
        <f aca="false">IF(E1245="","",IF(LEFT(E1245,2)="DJ","DJ","JN"))</f>
        <v>DJ</v>
      </c>
      <c r="G1245" s="81"/>
      <c r="H1245" s="81" t="s">
        <v>871</v>
      </c>
      <c r="I1245" s="81" t="n">
        <v>9.53</v>
      </c>
      <c r="J1245" s="81" t="s">
        <v>872</v>
      </c>
      <c r="K1245" s="81" t="s">
        <v>873</v>
      </c>
      <c r="L1245" s="81" t="n">
        <v>2086910</v>
      </c>
      <c r="M1245" s="81" t="n">
        <v>15421101</v>
      </c>
      <c r="N1245" s="81" t="n">
        <v>11.94</v>
      </c>
      <c r="O1245" s="81" t="n">
        <v>2094050</v>
      </c>
      <c r="P1245" s="81" t="n">
        <v>15421110</v>
      </c>
      <c r="Q1245" s="81" t="n">
        <v>11.94</v>
      </c>
      <c r="R1245" s="81" t="s">
        <v>1135</v>
      </c>
      <c r="S1245" s="81"/>
      <c r="T1245" s="81"/>
      <c r="U1245" s="83" t="n">
        <v>46275</v>
      </c>
      <c r="V1245" s="83" t="n">
        <v>46275</v>
      </c>
      <c r="W1245" s="81" t="s">
        <v>1453</v>
      </c>
      <c r="X1245" s="81" t="s">
        <v>876</v>
      </c>
      <c r="Y1245" s="83" t="n">
        <v>46276</v>
      </c>
      <c r="Z1245" s="81" t="s">
        <v>1454</v>
      </c>
      <c r="AA1245" s="81" t="s">
        <v>876</v>
      </c>
      <c r="AB1245" s="81"/>
      <c r="AC1245" s="81"/>
      <c r="AD1245" s="81"/>
      <c r="AE1245" s="83"/>
      <c r="AF1245" s="81"/>
      <c r="AG1245" s="81"/>
      <c r="AH1245" s="81"/>
      <c r="AI1245" s="81"/>
      <c r="AJ1245" s="83"/>
      <c r="AK1245" s="81"/>
      <c r="AL1245" s="81"/>
      <c r="AM1245" s="83"/>
      <c r="AN1245" s="80"/>
      <c r="AO1245" s="82" t="n">
        <f aca="false">IF(E1245="","",(AA1245&lt;&gt;"")+(AG1245&lt;&gt;"")+(AL1245&lt;&gt;""))</f>
        <v>1</v>
      </c>
      <c r="AP1245" s="82" t="str">
        <f aca="false">IF(AL1245&lt;&gt;"",AL1245,IF(AG1245&lt;&gt;"",AG1245,IF(AA1245&lt;&gt;"",AA1245,"")))</f>
        <v>A</v>
      </c>
      <c r="AQ1245" s="84" t="str">
        <f aca="false">IF(E1245="","",IF(U1245="","À SOUDER",IF(X1245="","VT EN ATTENTE",IF(X1245="R","VT REJETÉ – À REPRENDRE",IF(AP1245="","À RADIOGRAPHIER",IF(AP1245="A","ACCEPTÉ",IF(AP1245="NX","NX – RT À REFAIRE",IF(IF(AO1245=1,AD1245,IF(AO1245=2,AI1245,""))="A","RÉPARÉ – À RADIOGRAPHIER",IF(IF(AO1245=1,AD1245,IF(AO1245=2,AI1245,""))="R","VT REJETÉ – À REPRENDRE",IF(OR(AP1245="CO",AP1245="NT"),"COUPE – À RESOUDER","À RÉPARER"))))))))))</f>
        <v>ACCEPTÉ</v>
      </c>
      <c r="AR1245" s="82" t="str">
        <f aca="false">IF(AND(ISNUMBER(U1245),OR(AQ1245="À RADIOGRAPHIER",AQ1245="RÉPARÉ – À RADIOGRAPHIER",AQ1245="NX – RT À REFAIRE",AQ1245="À RÉPARER",AQ1245="COUPE – À RESOUDER",AQ1245="VT REJETÉ – À REPRENDRE")),MAX(0,'PROGRAMME RT'!$C$4-U1245),"")</f>
        <v/>
      </c>
      <c r="AS1245" s="82" t="n">
        <f aca="false">IF(AND(OR(AQ1245="À RADIOGRAPHIER",AQ1245="RÉPARÉ – À RADIOGRAPHIER",AQ1245="NX – RT À REFAIRE"),OR('PROGRAMME RT'!$D$5="TOUTES",B1245='PROGRAMME RT'!$D$5)),1,0)</f>
        <v>0</v>
      </c>
      <c r="AT1245" s="82" t="str">
        <f aca="false">IF(AS1245=1,SUM(AS$7:AS1245),"")</f>
        <v/>
      </c>
      <c r="AU1245" s="82" t="n">
        <f aca="false">IF(AND(OR(AA1245="R",AA1245="NX",AA1245="NT",AA1245="CO"),OR('JOINTS DE RÉPARATION'!$D$5="TOUTES",B1245='JOINTS DE RÉPARATION'!$D$5),OR('JOINTS DE RÉPARATION'!$L$4="TOUS",AQ1245&lt;&gt;"ACCEPTÉ")),1,0)</f>
        <v>0</v>
      </c>
      <c r="AV1245" s="82" t="str">
        <f aca="false">IF(AU1245=1,SUM(AU$7:AU1245),"")</f>
        <v/>
      </c>
      <c r="AW1245" s="82" t="str">
        <f aca="false">IF(E1245="","",B1245&amp;"|"&amp;E1245)</f>
        <v>MFD-ISW → MFD-CPF|DJ°334</v>
      </c>
    </row>
    <row r="1246" customFormat="false" ht="74.6" hidden="false" customHeight="false" outlineLevel="0" collapsed="false">
      <c r="A1246" s="79" t="n">
        <f aca="false">IF(E1246="","",ROW()-6)</f>
        <v>1240</v>
      </c>
      <c r="B1246" s="80" t="s">
        <v>110</v>
      </c>
      <c r="C1246" s="81" t="s">
        <v>1473</v>
      </c>
      <c r="D1246" s="81" t="n">
        <v>10</v>
      </c>
      <c r="E1246" s="81" t="s">
        <v>1489</v>
      </c>
      <c r="F1246" s="82" t="str">
        <f aca="false">IF(E1246="","",IF(LEFT(E1246,2)="DJ","DJ","JN"))</f>
        <v>JN</v>
      </c>
      <c r="G1246" s="81"/>
      <c r="H1246" s="81" t="s">
        <v>871</v>
      </c>
      <c r="I1246" s="81" t="n">
        <v>9.53</v>
      </c>
      <c r="J1246" s="81" t="s">
        <v>872</v>
      </c>
      <c r="K1246" s="81" t="s">
        <v>879</v>
      </c>
      <c r="L1246" s="81" t="n">
        <v>2094050</v>
      </c>
      <c r="M1246" s="81" t="n">
        <v>15421110</v>
      </c>
      <c r="N1246" s="81" t="n">
        <v>11.94</v>
      </c>
      <c r="O1246" s="81" t="n">
        <v>2086460</v>
      </c>
      <c r="P1246" s="81" t="n">
        <v>15421107</v>
      </c>
      <c r="Q1246" s="81" t="n">
        <v>11.94</v>
      </c>
      <c r="R1246" s="81" t="s">
        <v>1367</v>
      </c>
      <c r="S1246" s="81"/>
      <c r="T1246" s="81"/>
      <c r="U1246" s="83" t="n">
        <v>46279</v>
      </c>
      <c r="V1246" s="83" t="n">
        <v>46279</v>
      </c>
      <c r="W1246" s="81" t="s">
        <v>1487</v>
      </c>
      <c r="X1246" s="81" t="s">
        <v>876</v>
      </c>
      <c r="Y1246" s="83" t="n">
        <v>46283</v>
      </c>
      <c r="Z1246" s="81" t="s">
        <v>1476</v>
      </c>
      <c r="AA1246" s="81" t="s">
        <v>876</v>
      </c>
      <c r="AB1246" s="81"/>
      <c r="AC1246" s="81"/>
      <c r="AD1246" s="81"/>
      <c r="AE1246" s="83"/>
      <c r="AF1246" s="81"/>
      <c r="AG1246" s="81"/>
      <c r="AH1246" s="81"/>
      <c r="AI1246" s="81"/>
      <c r="AJ1246" s="83"/>
      <c r="AK1246" s="81"/>
      <c r="AL1246" s="81"/>
      <c r="AM1246" s="83"/>
      <c r="AN1246" s="80"/>
      <c r="AO1246" s="82" t="n">
        <f aca="false">IF(E1246="","",(AA1246&lt;&gt;"")+(AG1246&lt;&gt;"")+(AL1246&lt;&gt;""))</f>
        <v>1</v>
      </c>
      <c r="AP1246" s="82" t="str">
        <f aca="false">IF(AL1246&lt;&gt;"",AL1246,IF(AG1246&lt;&gt;"",AG1246,IF(AA1246&lt;&gt;"",AA1246,"")))</f>
        <v>A</v>
      </c>
      <c r="AQ1246" s="84" t="str">
        <f aca="false">IF(E1246="","",IF(U1246="","À SOUDER",IF(X1246="","VT EN ATTENTE",IF(X1246="R","VT REJETÉ – À REPRENDRE",IF(AP1246="","À RADIOGRAPHIER",IF(AP1246="A","ACCEPTÉ",IF(AP1246="NX","NX – RT À REFAIRE",IF(IF(AO1246=1,AD1246,IF(AO1246=2,AI1246,""))="A","RÉPARÉ – À RADIOGRAPHIER",IF(IF(AO1246=1,AD1246,IF(AO1246=2,AI1246,""))="R","VT REJETÉ – À REPRENDRE",IF(OR(AP1246="CO",AP1246="NT"),"COUPE – À RESOUDER","À RÉPARER"))))))))))</f>
        <v>ACCEPTÉ</v>
      </c>
      <c r="AR1246" s="82" t="str">
        <f aca="false">IF(AND(ISNUMBER(U1246),OR(AQ1246="À RADIOGRAPHIER",AQ1246="RÉPARÉ – À RADIOGRAPHIER",AQ1246="NX – RT À REFAIRE",AQ1246="À RÉPARER",AQ1246="COUPE – À RESOUDER",AQ1246="VT REJETÉ – À REPRENDRE")),MAX(0,'PROGRAMME RT'!$C$4-U1246),"")</f>
        <v/>
      </c>
      <c r="AS1246" s="82" t="n">
        <f aca="false">IF(AND(OR(AQ1246="À RADIOGRAPHIER",AQ1246="RÉPARÉ – À RADIOGRAPHIER",AQ1246="NX – RT À REFAIRE"),OR('PROGRAMME RT'!$D$5="TOUTES",B1246='PROGRAMME RT'!$D$5)),1,0)</f>
        <v>0</v>
      </c>
      <c r="AT1246" s="82" t="str">
        <f aca="false">IF(AS1246=1,SUM(AS$7:AS1246),"")</f>
        <v/>
      </c>
      <c r="AU1246" s="82" t="n">
        <f aca="false">IF(AND(OR(AA1246="R",AA1246="NX",AA1246="NT",AA1246="CO"),OR('JOINTS DE RÉPARATION'!$D$5="TOUTES",B1246='JOINTS DE RÉPARATION'!$D$5),OR('JOINTS DE RÉPARATION'!$L$4="TOUS",AQ1246&lt;&gt;"ACCEPTÉ")),1,0)</f>
        <v>0</v>
      </c>
      <c r="AV1246" s="82" t="str">
        <f aca="false">IF(AU1246=1,SUM(AU$7:AU1246),"")</f>
        <v/>
      </c>
      <c r="AW1246" s="82" t="str">
        <f aca="false">IF(E1246="","",B1246&amp;"|"&amp;E1246)</f>
        <v>MFD-ISW → MFD-CPF|JN°1064</v>
      </c>
    </row>
    <row r="1247" customFormat="false" ht="74.6" hidden="false" customHeight="false" outlineLevel="0" collapsed="false">
      <c r="A1247" s="79" t="n">
        <f aca="false">IF(E1247="","",ROW()-6)</f>
        <v>1241</v>
      </c>
      <c r="B1247" s="80" t="s">
        <v>110</v>
      </c>
      <c r="C1247" s="81" t="s">
        <v>1473</v>
      </c>
      <c r="D1247" s="81" t="n">
        <v>10</v>
      </c>
      <c r="E1247" s="81" t="s">
        <v>1490</v>
      </c>
      <c r="F1247" s="82" t="str">
        <f aca="false">IF(E1247="","",IF(LEFT(E1247,2)="DJ","DJ","JN"))</f>
        <v>DJ</v>
      </c>
      <c r="G1247" s="81"/>
      <c r="H1247" s="81" t="s">
        <v>871</v>
      </c>
      <c r="I1247" s="81" t="n">
        <v>9.53</v>
      </c>
      <c r="J1247" s="81" t="s">
        <v>872</v>
      </c>
      <c r="K1247" s="81" t="s">
        <v>873</v>
      </c>
      <c r="L1247" s="81" t="n">
        <v>2086460</v>
      </c>
      <c r="M1247" s="81" t="n">
        <v>15421107</v>
      </c>
      <c r="N1247" s="81" t="n">
        <v>11.94</v>
      </c>
      <c r="O1247" s="81" t="n">
        <v>2093910</v>
      </c>
      <c r="P1247" s="81" t="n">
        <v>15421110</v>
      </c>
      <c r="Q1247" s="81" t="n">
        <v>11.94</v>
      </c>
      <c r="R1247" s="81" t="s">
        <v>963</v>
      </c>
      <c r="S1247" s="81"/>
      <c r="T1247" s="81"/>
      <c r="U1247" s="83" t="n">
        <v>46275</v>
      </c>
      <c r="V1247" s="83" t="n">
        <v>46275</v>
      </c>
      <c r="W1247" s="81" t="s">
        <v>1453</v>
      </c>
      <c r="X1247" s="81" t="s">
        <v>876</v>
      </c>
      <c r="Y1247" s="83" t="n">
        <v>46276</v>
      </c>
      <c r="Z1247" s="81" t="s">
        <v>1454</v>
      </c>
      <c r="AA1247" s="81" t="s">
        <v>876</v>
      </c>
      <c r="AB1247" s="81"/>
      <c r="AC1247" s="81"/>
      <c r="AD1247" s="81"/>
      <c r="AE1247" s="83"/>
      <c r="AF1247" s="81"/>
      <c r="AG1247" s="81"/>
      <c r="AH1247" s="81"/>
      <c r="AI1247" s="81"/>
      <c r="AJ1247" s="83"/>
      <c r="AK1247" s="81"/>
      <c r="AL1247" s="81"/>
      <c r="AM1247" s="83"/>
      <c r="AN1247" s="80"/>
      <c r="AO1247" s="82" t="n">
        <f aca="false">IF(E1247="","",(AA1247&lt;&gt;"")+(AG1247&lt;&gt;"")+(AL1247&lt;&gt;""))</f>
        <v>1</v>
      </c>
      <c r="AP1247" s="82" t="str">
        <f aca="false">IF(AL1247&lt;&gt;"",AL1247,IF(AG1247&lt;&gt;"",AG1247,IF(AA1247&lt;&gt;"",AA1247,"")))</f>
        <v>A</v>
      </c>
      <c r="AQ1247" s="84" t="str">
        <f aca="false">IF(E1247="","",IF(U1247="","À SOUDER",IF(X1247="","VT EN ATTENTE",IF(X1247="R","VT REJETÉ – À REPRENDRE",IF(AP1247="","À RADIOGRAPHIER",IF(AP1247="A","ACCEPTÉ",IF(AP1247="NX","NX – RT À REFAIRE",IF(IF(AO1247=1,AD1247,IF(AO1247=2,AI1247,""))="A","RÉPARÉ – À RADIOGRAPHIER",IF(IF(AO1247=1,AD1247,IF(AO1247=2,AI1247,""))="R","VT REJETÉ – À REPRENDRE",IF(OR(AP1247="CO",AP1247="NT"),"COUPE – À RESOUDER","À RÉPARER"))))))))))</f>
        <v>ACCEPTÉ</v>
      </c>
      <c r="AR1247" s="82" t="str">
        <f aca="false">IF(AND(ISNUMBER(U1247),OR(AQ1247="À RADIOGRAPHIER",AQ1247="RÉPARÉ – À RADIOGRAPHIER",AQ1247="NX – RT À REFAIRE",AQ1247="À RÉPARER",AQ1247="COUPE – À RESOUDER",AQ1247="VT REJETÉ – À REPRENDRE")),MAX(0,'PROGRAMME RT'!$C$4-U1247),"")</f>
        <v/>
      </c>
      <c r="AS1247" s="82" t="n">
        <f aca="false">IF(AND(OR(AQ1247="À RADIOGRAPHIER",AQ1247="RÉPARÉ – À RADIOGRAPHIER",AQ1247="NX – RT À REFAIRE"),OR('PROGRAMME RT'!$D$5="TOUTES",B1247='PROGRAMME RT'!$D$5)),1,0)</f>
        <v>0</v>
      </c>
      <c r="AT1247" s="82" t="str">
        <f aca="false">IF(AS1247=1,SUM(AS$7:AS1247),"")</f>
        <v/>
      </c>
      <c r="AU1247" s="82" t="n">
        <f aca="false">IF(AND(OR(AA1247="R",AA1247="NX",AA1247="NT",AA1247="CO"),OR('JOINTS DE RÉPARATION'!$D$5="TOUTES",B1247='JOINTS DE RÉPARATION'!$D$5),OR('JOINTS DE RÉPARATION'!$L$4="TOUS",AQ1247&lt;&gt;"ACCEPTÉ")),1,0)</f>
        <v>0</v>
      </c>
      <c r="AV1247" s="82" t="str">
        <f aca="false">IF(AU1247=1,SUM(AU$7:AU1247),"")</f>
        <v/>
      </c>
      <c r="AW1247" s="82" t="str">
        <f aca="false">IF(E1247="","",B1247&amp;"|"&amp;E1247)</f>
        <v>MFD-ISW → MFD-CPF|DJ°332</v>
      </c>
    </row>
    <row r="1248" customFormat="false" ht="74.6" hidden="false" customHeight="false" outlineLevel="0" collapsed="false">
      <c r="A1248" s="79" t="n">
        <f aca="false">IF(E1248="","",ROW()-6)</f>
        <v>1242</v>
      </c>
      <c r="B1248" s="80" t="s">
        <v>110</v>
      </c>
      <c r="C1248" s="81" t="s">
        <v>1473</v>
      </c>
      <c r="D1248" s="81" t="n">
        <v>10</v>
      </c>
      <c r="E1248" s="81" t="s">
        <v>1491</v>
      </c>
      <c r="F1248" s="82" t="str">
        <f aca="false">IF(E1248="","",IF(LEFT(E1248,2)="DJ","DJ","JN"))</f>
        <v>JN</v>
      </c>
      <c r="G1248" s="81"/>
      <c r="H1248" s="81" t="s">
        <v>871</v>
      </c>
      <c r="I1248" s="81" t="n">
        <v>9.53</v>
      </c>
      <c r="J1248" s="81" t="s">
        <v>872</v>
      </c>
      <c r="K1248" s="81" t="s">
        <v>879</v>
      </c>
      <c r="L1248" s="81" t="n">
        <v>2093910</v>
      </c>
      <c r="M1248" s="81" t="n">
        <v>15421110</v>
      </c>
      <c r="N1248" s="81" t="n">
        <v>11.94</v>
      </c>
      <c r="O1248" s="81" t="n">
        <v>2084040</v>
      </c>
      <c r="P1248" s="81" t="n">
        <v>15421101</v>
      </c>
      <c r="Q1248" s="81" t="n">
        <v>11.94</v>
      </c>
      <c r="R1248" s="81" t="s">
        <v>1367</v>
      </c>
      <c r="S1248" s="81"/>
      <c r="T1248" s="81"/>
      <c r="U1248" s="83" t="n">
        <v>46279</v>
      </c>
      <c r="V1248" s="83" t="n">
        <v>46279</v>
      </c>
      <c r="W1248" s="81" t="s">
        <v>1487</v>
      </c>
      <c r="X1248" s="81" t="s">
        <v>876</v>
      </c>
      <c r="Y1248" s="83" t="n">
        <v>46283</v>
      </c>
      <c r="Z1248" s="81" t="s">
        <v>1476</v>
      </c>
      <c r="AA1248" s="81" t="s">
        <v>876</v>
      </c>
      <c r="AB1248" s="81"/>
      <c r="AC1248" s="81"/>
      <c r="AD1248" s="81"/>
      <c r="AE1248" s="83"/>
      <c r="AF1248" s="81"/>
      <c r="AG1248" s="81"/>
      <c r="AH1248" s="81"/>
      <c r="AI1248" s="81"/>
      <c r="AJ1248" s="83"/>
      <c r="AK1248" s="81"/>
      <c r="AL1248" s="81"/>
      <c r="AM1248" s="83"/>
      <c r="AN1248" s="80"/>
      <c r="AO1248" s="82" t="n">
        <f aca="false">IF(E1248="","",(AA1248&lt;&gt;"")+(AG1248&lt;&gt;"")+(AL1248&lt;&gt;""))</f>
        <v>1</v>
      </c>
      <c r="AP1248" s="82" t="str">
        <f aca="false">IF(AL1248&lt;&gt;"",AL1248,IF(AG1248&lt;&gt;"",AG1248,IF(AA1248&lt;&gt;"",AA1248,"")))</f>
        <v>A</v>
      </c>
      <c r="AQ1248" s="84" t="str">
        <f aca="false">IF(E1248="","",IF(U1248="","À SOUDER",IF(X1248="","VT EN ATTENTE",IF(X1248="R","VT REJETÉ – À REPRENDRE",IF(AP1248="","À RADIOGRAPHIER",IF(AP1248="A","ACCEPTÉ",IF(AP1248="NX","NX – RT À REFAIRE",IF(IF(AO1248=1,AD1248,IF(AO1248=2,AI1248,""))="A","RÉPARÉ – À RADIOGRAPHIER",IF(IF(AO1248=1,AD1248,IF(AO1248=2,AI1248,""))="R","VT REJETÉ – À REPRENDRE",IF(OR(AP1248="CO",AP1248="NT"),"COUPE – À RESOUDER","À RÉPARER"))))))))))</f>
        <v>ACCEPTÉ</v>
      </c>
      <c r="AR1248" s="82" t="str">
        <f aca="false">IF(AND(ISNUMBER(U1248),OR(AQ1248="À RADIOGRAPHIER",AQ1248="RÉPARÉ – À RADIOGRAPHIER",AQ1248="NX – RT À REFAIRE",AQ1248="À RÉPARER",AQ1248="COUPE – À RESOUDER",AQ1248="VT REJETÉ – À REPRENDRE")),MAX(0,'PROGRAMME RT'!$C$4-U1248),"")</f>
        <v/>
      </c>
      <c r="AS1248" s="82" t="n">
        <f aca="false">IF(AND(OR(AQ1248="À RADIOGRAPHIER",AQ1248="RÉPARÉ – À RADIOGRAPHIER",AQ1248="NX – RT À REFAIRE"),OR('PROGRAMME RT'!$D$5="TOUTES",B1248='PROGRAMME RT'!$D$5)),1,0)</f>
        <v>0</v>
      </c>
      <c r="AT1248" s="82" t="str">
        <f aca="false">IF(AS1248=1,SUM(AS$7:AS1248),"")</f>
        <v/>
      </c>
      <c r="AU1248" s="82" t="n">
        <f aca="false">IF(AND(OR(AA1248="R",AA1248="NX",AA1248="NT",AA1248="CO"),OR('JOINTS DE RÉPARATION'!$D$5="TOUTES",B1248='JOINTS DE RÉPARATION'!$D$5),OR('JOINTS DE RÉPARATION'!$L$4="TOUS",AQ1248&lt;&gt;"ACCEPTÉ")),1,0)</f>
        <v>0</v>
      </c>
      <c r="AV1248" s="82" t="str">
        <f aca="false">IF(AU1248=1,SUM(AU$7:AU1248),"")</f>
        <v/>
      </c>
      <c r="AW1248" s="82" t="str">
        <f aca="false">IF(E1248="","",B1248&amp;"|"&amp;E1248)</f>
        <v>MFD-ISW → MFD-CPF|JN°1065</v>
      </c>
    </row>
    <row r="1249" customFormat="false" ht="74.6" hidden="false" customHeight="false" outlineLevel="0" collapsed="false">
      <c r="A1249" s="79" t="n">
        <f aca="false">IF(E1249="","",ROW()-6)</f>
        <v>1243</v>
      </c>
      <c r="B1249" s="80" t="s">
        <v>110</v>
      </c>
      <c r="C1249" s="81" t="s">
        <v>1473</v>
      </c>
      <c r="D1249" s="81" t="n">
        <v>10</v>
      </c>
      <c r="E1249" s="81" t="s">
        <v>1492</v>
      </c>
      <c r="F1249" s="82" t="str">
        <f aca="false">IF(E1249="","",IF(LEFT(E1249,2)="DJ","DJ","JN"))</f>
        <v>DJ</v>
      </c>
      <c r="G1249" s="81"/>
      <c r="H1249" s="81" t="s">
        <v>871</v>
      </c>
      <c r="I1249" s="81" t="n">
        <v>9.53</v>
      </c>
      <c r="J1249" s="81" t="s">
        <v>872</v>
      </c>
      <c r="K1249" s="81" t="s">
        <v>873</v>
      </c>
      <c r="L1249" s="81" t="n">
        <v>2084040</v>
      </c>
      <c r="M1249" s="81" t="n">
        <v>15421101</v>
      </c>
      <c r="N1249" s="81" t="n">
        <v>11.94</v>
      </c>
      <c r="O1249" s="81" t="n">
        <v>2085560</v>
      </c>
      <c r="P1249" s="81" t="n">
        <v>15421110</v>
      </c>
      <c r="Q1249" s="81" t="n">
        <v>11.94</v>
      </c>
      <c r="R1249" s="81" t="s">
        <v>1135</v>
      </c>
      <c r="S1249" s="81"/>
      <c r="T1249" s="81"/>
      <c r="U1249" s="83" t="n">
        <v>46275</v>
      </c>
      <c r="V1249" s="83" t="n">
        <v>46275</v>
      </c>
      <c r="W1249" s="81" t="s">
        <v>1453</v>
      </c>
      <c r="X1249" s="81" t="s">
        <v>876</v>
      </c>
      <c r="Y1249" s="83" t="n">
        <v>46276</v>
      </c>
      <c r="Z1249" s="81" t="s">
        <v>1454</v>
      </c>
      <c r="AA1249" s="81" t="s">
        <v>876</v>
      </c>
      <c r="AB1249" s="81"/>
      <c r="AC1249" s="81"/>
      <c r="AD1249" s="81"/>
      <c r="AE1249" s="83"/>
      <c r="AF1249" s="81"/>
      <c r="AG1249" s="81"/>
      <c r="AH1249" s="81"/>
      <c r="AI1249" s="81"/>
      <c r="AJ1249" s="83"/>
      <c r="AK1249" s="81"/>
      <c r="AL1249" s="81"/>
      <c r="AM1249" s="83"/>
      <c r="AN1249" s="80"/>
      <c r="AO1249" s="82" t="n">
        <f aca="false">IF(E1249="","",(AA1249&lt;&gt;"")+(AG1249&lt;&gt;"")+(AL1249&lt;&gt;""))</f>
        <v>1</v>
      </c>
      <c r="AP1249" s="82" t="str">
        <f aca="false">IF(AL1249&lt;&gt;"",AL1249,IF(AG1249&lt;&gt;"",AG1249,IF(AA1249&lt;&gt;"",AA1249,"")))</f>
        <v>A</v>
      </c>
      <c r="AQ1249" s="84" t="str">
        <f aca="false">IF(E1249="","",IF(U1249="","À SOUDER",IF(X1249="","VT EN ATTENTE",IF(X1249="R","VT REJETÉ – À REPRENDRE",IF(AP1249="","À RADIOGRAPHIER",IF(AP1249="A","ACCEPTÉ",IF(AP1249="NX","NX – RT À REFAIRE",IF(IF(AO1249=1,AD1249,IF(AO1249=2,AI1249,""))="A","RÉPARÉ – À RADIOGRAPHIER",IF(IF(AO1249=1,AD1249,IF(AO1249=2,AI1249,""))="R","VT REJETÉ – À REPRENDRE",IF(OR(AP1249="CO",AP1249="NT"),"COUPE – À RESOUDER","À RÉPARER"))))))))))</f>
        <v>ACCEPTÉ</v>
      </c>
      <c r="AR1249" s="82" t="str">
        <f aca="false">IF(AND(ISNUMBER(U1249),OR(AQ1249="À RADIOGRAPHIER",AQ1249="RÉPARÉ – À RADIOGRAPHIER",AQ1249="NX – RT À REFAIRE",AQ1249="À RÉPARER",AQ1249="COUPE – À RESOUDER",AQ1249="VT REJETÉ – À REPRENDRE")),MAX(0,'PROGRAMME RT'!$C$4-U1249),"")</f>
        <v/>
      </c>
      <c r="AS1249" s="82" t="n">
        <f aca="false">IF(AND(OR(AQ1249="À RADIOGRAPHIER",AQ1249="RÉPARÉ – À RADIOGRAPHIER",AQ1249="NX – RT À REFAIRE"),OR('PROGRAMME RT'!$D$5="TOUTES",B1249='PROGRAMME RT'!$D$5)),1,0)</f>
        <v>0</v>
      </c>
      <c r="AT1249" s="82" t="str">
        <f aca="false">IF(AS1249=1,SUM(AS$7:AS1249),"")</f>
        <v/>
      </c>
      <c r="AU1249" s="82" t="n">
        <f aca="false">IF(AND(OR(AA1249="R",AA1249="NX",AA1249="NT",AA1249="CO"),OR('JOINTS DE RÉPARATION'!$D$5="TOUTES",B1249='JOINTS DE RÉPARATION'!$D$5),OR('JOINTS DE RÉPARATION'!$L$4="TOUS",AQ1249&lt;&gt;"ACCEPTÉ")),1,0)</f>
        <v>0</v>
      </c>
      <c r="AV1249" s="82" t="str">
        <f aca="false">IF(AU1249=1,SUM(AU$7:AU1249),"")</f>
        <v/>
      </c>
      <c r="AW1249" s="82" t="str">
        <f aca="false">IF(E1249="","",B1249&amp;"|"&amp;E1249)</f>
        <v>MFD-ISW → MFD-CPF|DJ°326</v>
      </c>
    </row>
    <row r="1250" customFormat="false" ht="74.6" hidden="false" customHeight="false" outlineLevel="0" collapsed="false">
      <c r="A1250" s="79" t="n">
        <f aca="false">IF(E1250="","",ROW()-6)</f>
        <v>1244</v>
      </c>
      <c r="B1250" s="80" t="s">
        <v>110</v>
      </c>
      <c r="C1250" s="81" t="s">
        <v>1473</v>
      </c>
      <c r="D1250" s="81" t="n">
        <v>10</v>
      </c>
      <c r="E1250" s="81" t="s">
        <v>1493</v>
      </c>
      <c r="F1250" s="82" t="str">
        <f aca="false">IF(E1250="","",IF(LEFT(E1250,2)="DJ","DJ","JN"))</f>
        <v>JN</v>
      </c>
      <c r="G1250" s="81"/>
      <c r="H1250" s="81" t="s">
        <v>871</v>
      </c>
      <c r="I1250" s="81" t="n">
        <v>9.53</v>
      </c>
      <c r="J1250" s="81" t="s">
        <v>872</v>
      </c>
      <c r="K1250" s="81" t="s">
        <v>879</v>
      </c>
      <c r="L1250" s="81" t="n">
        <v>2085560</v>
      </c>
      <c r="M1250" s="81" t="n">
        <v>15421110</v>
      </c>
      <c r="N1250" s="81" t="n">
        <v>11.94</v>
      </c>
      <c r="O1250" s="81" t="n">
        <v>2086560</v>
      </c>
      <c r="P1250" s="81" t="n">
        <v>15421107</v>
      </c>
      <c r="Q1250" s="81" t="n">
        <v>11.94</v>
      </c>
      <c r="R1250" s="81" t="s">
        <v>1367</v>
      </c>
      <c r="S1250" s="81"/>
      <c r="T1250" s="81"/>
      <c r="U1250" s="83" t="n">
        <v>46279</v>
      </c>
      <c r="V1250" s="83" t="n">
        <v>46279</v>
      </c>
      <c r="W1250" s="81" t="s">
        <v>1487</v>
      </c>
      <c r="X1250" s="81" t="s">
        <v>876</v>
      </c>
      <c r="Y1250" s="83" t="n">
        <v>46283</v>
      </c>
      <c r="Z1250" s="81" t="s">
        <v>1476</v>
      </c>
      <c r="AA1250" s="81" t="s">
        <v>876</v>
      </c>
      <c r="AB1250" s="81"/>
      <c r="AC1250" s="81"/>
      <c r="AD1250" s="81"/>
      <c r="AE1250" s="83"/>
      <c r="AF1250" s="81"/>
      <c r="AG1250" s="81"/>
      <c r="AH1250" s="81"/>
      <c r="AI1250" s="81"/>
      <c r="AJ1250" s="83"/>
      <c r="AK1250" s="81"/>
      <c r="AL1250" s="81"/>
      <c r="AM1250" s="83"/>
      <c r="AN1250" s="80"/>
      <c r="AO1250" s="82" t="n">
        <f aca="false">IF(E1250="","",(AA1250&lt;&gt;"")+(AG1250&lt;&gt;"")+(AL1250&lt;&gt;""))</f>
        <v>1</v>
      </c>
      <c r="AP1250" s="82" t="str">
        <f aca="false">IF(AL1250&lt;&gt;"",AL1250,IF(AG1250&lt;&gt;"",AG1250,IF(AA1250&lt;&gt;"",AA1250,"")))</f>
        <v>A</v>
      </c>
      <c r="AQ1250" s="84" t="str">
        <f aca="false">IF(E1250="","",IF(U1250="","À SOUDER",IF(X1250="","VT EN ATTENTE",IF(X1250="R","VT REJETÉ – À REPRENDRE",IF(AP1250="","À RADIOGRAPHIER",IF(AP1250="A","ACCEPTÉ",IF(AP1250="NX","NX – RT À REFAIRE",IF(IF(AO1250=1,AD1250,IF(AO1250=2,AI1250,""))="A","RÉPARÉ – À RADIOGRAPHIER",IF(IF(AO1250=1,AD1250,IF(AO1250=2,AI1250,""))="R","VT REJETÉ – À REPRENDRE",IF(OR(AP1250="CO",AP1250="NT"),"COUPE – À RESOUDER","À RÉPARER"))))))))))</f>
        <v>ACCEPTÉ</v>
      </c>
      <c r="AR1250" s="82" t="str">
        <f aca="false">IF(AND(ISNUMBER(U1250),OR(AQ1250="À RADIOGRAPHIER",AQ1250="RÉPARÉ – À RADIOGRAPHIER",AQ1250="NX – RT À REFAIRE",AQ1250="À RÉPARER",AQ1250="COUPE – À RESOUDER",AQ1250="VT REJETÉ – À REPRENDRE")),MAX(0,'PROGRAMME RT'!$C$4-U1250),"")</f>
        <v/>
      </c>
      <c r="AS1250" s="82" t="n">
        <f aca="false">IF(AND(OR(AQ1250="À RADIOGRAPHIER",AQ1250="RÉPARÉ – À RADIOGRAPHIER",AQ1250="NX – RT À REFAIRE"),OR('PROGRAMME RT'!$D$5="TOUTES",B1250='PROGRAMME RT'!$D$5)),1,0)</f>
        <v>0</v>
      </c>
      <c r="AT1250" s="82" t="str">
        <f aca="false">IF(AS1250=1,SUM(AS$7:AS1250),"")</f>
        <v/>
      </c>
      <c r="AU1250" s="82" t="n">
        <f aca="false">IF(AND(OR(AA1250="R",AA1250="NX",AA1250="NT",AA1250="CO"),OR('JOINTS DE RÉPARATION'!$D$5="TOUTES",B1250='JOINTS DE RÉPARATION'!$D$5),OR('JOINTS DE RÉPARATION'!$L$4="TOUS",AQ1250&lt;&gt;"ACCEPTÉ")),1,0)</f>
        <v>0</v>
      </c>
      <c r="AV1250" s="82" t="str">
        <f aca="false">IF(AU1250=1,SUM(AU$7:AU1250),"")</f>
        <v/>
      </c>
      <c r="AW1250" s="82" t="str">
        <f aca="false">IF(E1250="","",B1250&amp;"|"&amp;E1250)</f>
        <v>MFD-ISW → MFD-CPF|JN°1066</v>
      </c>
    </row>
    <row r="1251" customFormat="false" ht="74.6" hidden="false" customHeight="false" outlineLevel="0" collapsed="false">
      <c r="A1251" s="79" t="n">
        <f aca="false">IF(E1251="","",ROW()-6)</f>
        <v>1245</v>
      </c>
      <c r="B1251" s="80" t="s">
        <v>110</v>
      </c>
      <c r="C1251" s="81" t="s">
        <v>1473</v>
      </c>
      <c r="D1251" s="81" t="n">
        <v>10</v>
      </c>
      <c r="E1251" s="81" t="s">
        <v>1494</v>
      </c>
      <c r="F1251" s="82" t="str">
        <f aca="false">IF(E1251="","",IF(LEFT(E1251,2)="DJ","DJ","JN"))</f>
        <v>DJ</v>
      </c>
      <c r="G1251" s="81"/>
      <c r="H1251" s="81" t="s">
        <v>871</v>
      </c>
      <c r="I1251" s="81" t="n">
        <v>9.53</v>
      </c>
      <c r="J1251" s="81" t="s">
        <v>872</v>
      </c>
      <c r="K1251" s="81" t="s">
        <v>873</v>
      </c>
      <c r="L1251" s="81" t="n">
        <v>2086560</v>
      </c>
      <c r="M1251" s="81" t="n">
        <v>15421107</v>
      </c>
      <c r="N1251" s="81" t="n">
        <v>11.94</v>
      </c>
      <c r="O1251" s="81" t="n">
        <v>2087010</v>
      </c>
      <c r="P1251" s="81" t="n">
        <v>15421107</v>
      </c>
      <c r="Q1251" s="81" t="n">
        <v>11.94</v>
      </c>
      <c r="R1251" s="81" t="s">
        <v>899</v>
      </c>
      <c r="S1251" s="81"/>
      <c r="T1251" s="81"/>
      <c r="U1251" s="83" t="n">
        <v>46274</v>
      </c>
      <c r="V1251" s="83" t="n">
        <v>46274</v>
      </c>
      <c r="W1251" s="81" t="s">
        <v>1495</v>
      </c>
      <c r="X1251" s="81" t="s">
        <v>876</v>
      </c>
      <c r="Y1251" s="83" t="n">
        <v>46275</v>
      </c>
      <c r="Z1251" s="81" t="s">
        <v>1496</v>
      </c>
      <c r="AA1251" s="81" t="s">
        <v>876</v>
      </c>
      <c r="AB1251" s="81"/>
      <c r="AC1251" s="81"/>
      <c r="AD1251" s="81"/>
      <c r="AE1251" s="83"/>
      <c r="AF1251" s="81"/>
      <c r="AG1251" s="81"/>
      <c r="AH1251" s="81"/>
      <c r="AI1251" s="81"/>
      <c r="AJ1251" s="83"/>
      <c r="AK1251" s="81"/>
      <c r="AL1251" s="81"/>
      <c r="AM1251" s="83"/>
      <c r="AN1251" s="80"/>
      <c r="AO1251" s="82" t="n">
        <f aca="false">IF(E1251="","",(AA1251&lt;&gt;"")+(AG1251&lt;&gt;"")+(AL1251&lt;&gt;""))</f>
        <v>1</v>
      </c>
      <c r="AP1251" s="82" t="str">
        <f aca="false">IF(AL1251&lt;&gt;"",AL1251,IF(AG1251&lt;&gt;"",AG1251,IF(AA1251&lt;&gt;"",AA1251,"")))</f>
        <v>A</v>
      </c>
      <c r="AQ1251" s="84" t="str">
        <f aca="false">IF(E1251="","",IF(U1251="","À SOUDER",IF(X1251="","VT EN ATTENTE",IF(X1251="R","VT REJETÉ – À REPRENDRE",IF(AP1251="","À RADIOGRAPHIER",IF(AP1251="A","ACCEPTÉ",IF(AP1251="NX","NX – RT À REFAIRE",IF(IF(AO1251=1,AD1251,IF(AO1251=2,AI1251,""))="A","RÉPARÉ – À RADIOGRAPHIER",IF(IF(AO1251=1,AD1251,IF(AO1251=2,AI1251,""))="R","VT REJETÉ – À REPRENDRE",IF(OR(AP1251="CO",AP1251="NT"),"COUPE – À RESOUDER","À RÉPARER"))))))))))</f>
        <v>ACCEPTÉ</v>
      </c>
      <c r="AR1251" s="82" t="str">
        <f aca="false">IF(AND(ISNUMBER(U1251),OR(AQ1251="À RADIOGRAPHIER",AQ1251="RÉPARÉ – À RADIOGRAPHIER",AQ1251="NX – RT À REFAIRE",AQ1251="À RÉPARER",AQ1251="COUPE – À RESOUDER",AQ1251="VT REJETÉ – À REPRENDRE")),MAX(0,'PROGRAMME RT'!$C$4-U1251),"")</f>
        <v/>
      </c>
      <c r="AS1251" s="82" t="n">
        <f aca="false">IF(AND(OR(AQ1251="À RADIOGRAPHIER",AQ1251="RÉPARÉ – À RADIOGRAPHIER",AQ1251="NX – RT À REFAIRE"),OR('PROGRAMME RT'!$D$5="TOUTES",B1251='PROGRAMME RT'!$D$5)),1,0)</f>
        <v>0</v>
      </c>
      <c r="AT1251" s="82" t="str">
        <f aca="false">IF(AS1251=1,SUM(AS$7:AS1251),"")</f>
        <v/>
      </c>
      <c r="AU1251" s="82" t="n">
        <f aca="false">IF(AND(OR(AA1251="R",AA1251="NX",AA1251="NT",AA1251="CO"),OR('JOINTS DE RÉPARATION'!$D$5="TOUTES",B1251='JOINTS DE RÉPARATION'!$D$5),OR('JOINTS DE RÉPARATION'!$L$4="TOUS",AQ1251&lt;&gt;"ACCEPTÉ")),1,0)</f>
        <v>0</v>
      </c>
      <c r="AV1251" s="82" t="str">
        <f aca="false">IF(AU1251=1,SUM(AU$7:AU1251),"")</f>
        <v/>
      </c>
      <c r="AW1251" s="82" t="str">
        <f aca="false">IF(E1251="","",B1251&amp;"|"&amp;E1251)</f>
        <v>MFD-ISW → MFD-CPF|DJ°323</v>
      </c>
    </row>
    <row r="1252" customFormat="false" ht="74.6" hidden="false" customHeight="false" outlineLevel="0" collapsed="false">
      <c r="A1252" s="79" t="n">
        <f aca="false">IF(E1252="","",ROW()-6)</f>
        <v>1246</v>
      </c>
      <c r="B1252" s="80" t="s">
        <v>110</v>
      </c>
      <c r="C1252" s="81" t="s">
        <v>1473</v>
      </c>
      <c r="D1252" s="81" t="n">
        <v>10</v>
      </c>
      <c r="E1252" s="81" t="s">
        <v>1497</v>
      </c>
      <c r="F1252" s="82" t="str">
        <f aca="false">IF(E1252="","",IF(LEFT(E1252,2)="DJ","DJ","JN"))</f>
        <v>JN</v>
      </c>
      <c r="G1252" s="81"/>
      <c r="H1252" s="81" t="s">
        <v>871</v>
      </c>
      <c r="I1252" s="81" t="n">
        <v>9.53</v>
      </c>
      <c r="J1252" s="81" t="s">
        <v>872</v>
      </c>
      <c r="K1252" s="81" t="s">
        <v>879</v>
      </c>
      <c r="L1252" s="81" t="n">
        <v>2087010</v>
      </c>
      <c r="M1252" s="81" t="n">
        <v>15421107</v>
      </c>
      <c r="N1252" s="81" t="n">
        <v>11.94</v>
      </c>
      <c r="O1252" s="81" t="n">
        <v>2081090</v>
      </c>
      <c r="P1252" s="81" t="n">
        <v>15421103</v>
      </c>
      <c r="Q1252" s="81" t="n">
        <v>11.94</v>
      </c>
      <c r="R1252" s="81" t="s">
        <v>1367</v>
      </c>
      <c r="S1252" s="81"/>
      <c r="T1252" s="81"/>
      <c r="U1252" s="83" t="n">
        <v>46279</v>
      </c>
      <c r="V1252" s="83" t="n">
        <v>46279</v>
      </c>
      <c r="W1252" s="81" t="s">
        <v>1487</v>
      </c>
      <c r="X1252" s="81" t="s">
        <v>876</v>
      </c>
      <c r="Y1252" s="83" t="n">
        <v>46283</v>
      </c>
      <c r="Z1252" s="81" t="s">
        <v>1476</v>
      </c>
      <c r="AA1252" s="81" t="s">
        <v>876</v>
      </c>
      <c r="AB1252" s="81"/>
      <c r="AC1252" s="81"/>
      <c r="AD1252" s="81"/>
      <c r="AE1252" s="83"/>
      <c r="AF1252" s="81"/>
      <c r="AG1252" s="81"/>
      <c r="AH1252" s="81"/>
      <c r="AI1252" s="81"/>
      <c r="AJ1252" s="83"/>
      <c r="AK1252" s="81"/>
      <c r="AL1252" s="81"/>
      <c r="AM1252" s="83"/>
      <c r="AN1252" s="80"/>
      <c r="AO1252" s="82" t="n">
        <f aca="false">IF(E1252="","",(AA1252&lt;&gt;"")+(AG1252&lt;&gt;"")+(AL1252&lt;&gt;""))</f>
        <v>1</v>
      </c>
      <c r="AP1252" s="82" t="str">
        <f aca="false">IF(AL1252&lt;&gt;"",AL1252,IF(AG1252&lt;&gt;"",AG1252,IF(AA1252&lt;&gt;"",AA1252,"")))</f>
        <v>A</v>
      </c>
      <c r="AQ1252" s="84" t="str">
        <f aca="false">IF(E1252="","",IF(U1252="","À SOUDER",IF(X1252="","VT EN ATTENTE",IF(X1252="R","VT REJETÉ – À REPRENDRE",IF(AP1252="","À RADIOGRAPHIER",IF(AP1252="A","ACCEPTÉ",IF(AP1252="NX","NX – RT À REFAIRE",IF(IF(AO1252=1,AD1252,IF(AO1252=2,AI1252,""))="A","RÉPARÉ – À RADIOGRAPHIER",IF(IF(AO1252=1,AD1252,IF(AO1252=2,AI1252,""))="R","VT REJETÉ – À REPRENDRE",IF(OR(AP1252="CO",AP1252="NT"),"COUPE – À RESOUDER","À RÉPARER"))))))))))</f>
        <v>ACCEPTÉ</v>
      </c>
      <c r="AR1252" s="82" t="str">
        <f aca="false">IF(AND(ISNUMBER(U1252),OR(AQ1252="À RADIOGRAPHIER",AQ1252="RÉPARÉ – À RADIOGRAPHIER",AQ1252="NX – RT À REFAIRE",AQ1252="À RÉPARER",AQ1252="COUPE – À RESOUDER",AQ1252="VT REJETÉ – À REPRENDRE")),MAX(0,'PROGRAMME RT'!$C$4-U1252),"")</f>
        <v/>
      </c>
      <c r="AS1252" s="82" t="n">
        <f aca="false">IF(AND(OR(AQ1252="À RADIOGRAPHIER",AQ1252="RÉPARÉ – À RADIOGRAPHIER",AQ1252="NX – RT À REFAIRE"),OR('PROGRAMME RT'!$D$5="TOUTES",B1252='PROGRAMME RT'!$D$5)),1,0)</f>
        <v>0</v>
      </c>
      <c r="AT1252" s="82" t="str">
        <f aca="false">IF(AS1252=1,SUM(AS$7:AS1252),"")</f>
        <v/>
      </c>
      <c r="AU1252" s="82" t="n">
        <f aca="false">IF(AND(OR(AA1252="R",AA1252="NX",AA1252="NT",AA1252="CO"),OR('JOINTS DE RÉPARATION'!$D$5="TOUTES",B1252='JOINTS DE RÉPARATION'!$D$5),OR('JOINTS DE RÉPARATION'!$L$4="TOUS",AQ1252&lt;&gt;"ACCEPTÉ")),1,0)</f>
        <v>0</v>
      </c>
      <c r="AV1252" s="82" t="str">
        <f aca="false">IF(AU1252=1,SUM(AU$7:AU1252),"")</f>
        <v/>
      </c>
      <c r="AW1252" s="82" t="str">
        <f aca="false">IF(E1252="","",B1252&amp;"|"&amp;E1252)</f>
        <v>MFD-ISW → MFD-CPF|JN°1067</v>
      </c>
    </row>
    <row r="1253" customFormat="false" ht="74.6" hidden="false" customHeight="false" outlineLevel="0" collapsed="false">
      <c r="A1253" s="79" t="n">
        <f aca="false">IF(E1253="","",ROW()-6)</f>
        <v>1247</v>
      </c>
      <c r="B1253" s="80" t="s">
        <v>110</v>
      </c>
      <c r="C1253" s="81" t="s">
        <v>1473</v>
      </c>
      <c r="D1253" s="81" t="n">
        <v>10</v>
      </c>
      <c r="E1253" s="81" t="s">
        <v>1498</v>
      </c>
      <c r="F1253" s="82" t="str">
        <f aca="false">IF(E1253="","",IF(LEFT(E1253,2)="DJ","DJ","JN"))</f>
        <v>DJ</v>
      </c>
      <c r="G1253" s="81"/>
      <c r="H1253" s="81" t="s">
        <v>871</v>
      </c>
      <c r="I1253" s="81" t="n">
        <v>9.53</v>
      </c>
      <c r="J1253" s="81" t="s">
        <v>872</v>
      </c>
      <c r="K1253" s="81" t="s">
        <v>873</v>
      </c>
      <c r="L1253" s="81" t="n">
        <v>2081090</v>
      </c>
      <c r="M1253" s="81" t="n">
        <v>15421103</v>
      </c>
      <c r="N1253" s="81" t="n">
        <v>11.94</v>
      </c>
      <c r="O1253" s="81" t="n">
        <v>2080530</v>
      </c>
      <c r="P1253" s="81" t="n">
        <v>15421103</v>
      </c>
      <c r="Q1253" s="81" t="n">
        <v>11.94</v>
      </c>
      <c r="R1253" s="81" t="s">
        <v>1147</v>
      </c>
      <c r="S1253" s="81"/>
      <c r="T1253" s="81"/>
      <c r="U1253" s="83" t="n">
        <v>46273</v>
      </c>
      <c r="V1253" s="83" t="n">
        <v>46273</v>
      </c>
      <c r="W1253" s="81" t="s">
        <v>1499</v>
      </c>
      <c r="X1253" s="81" t="s">
        <v>876</v>
      </c>
      <c r="Y1253" s="83" t="n">
        <v>46274</v>
      </c>
      <c r="Z1253" s="81" t="s">
        <v>1500</v>
      </c>
      <c r="AA1253" s="81" t="s">
        <v>876</v>
      </c>
      <c r="AB1253" s="81"/>
      <c r="AC1253" s="81"/>
      <c r="AD1253" s="81"/>
      <c r="AE1253" s="83"/>
      <c r="AF1253" s="81"/>
      <c r="AG1253" s="81"/>
      <c r="AH1253" s="81"/>
      <c r="AI1253" s="81"/>
      <c r="AJ1253" s="83"/>
      <c r="AK1253" s="81"/>
      <c r="AL1253" s="81"/>
      <c r="AM1253" s="83"/>
      <c r="AN1253" s="80"/>
      <c r="AO1253" s="82" t="n">
        <f aca="false">IF(E1253="","",(AA1253&lt;&gt;"")+(AG1253&lt;&gt;"")+(AL1253&lt;&gt;""))</f>
        <v>1</v>
      </c>
      <c r="AP1253" s="82" t="str">
        <f aca="false">IF(AL1253&lt;&gt;"",AL1253,IF(AG1253&lt;&gt;"",AG1253,IF(AA1253&lt;&gt;"",AA1253,"")))</f>
        <v>A</v>
      </c>
      <c r="AQ1253" s="84" t="str">
        <f aca="false">IF(E1253="","",IF(U1253="","À SOUDER",IF(X1253="","VT EN ATTENTE",IF(X1253="R","VT REJETÉ – À REPRENDRE",IF(AP1253="","À RADIOGRAPHIER",IF(AP1253="A","ACCEPTÉ",IF(AP1253="NX","NX – RT À REFAIRE",IF(IF(AO1253=1,AD1253,IF(AO1253=2,AI1253,""))="A","RÉPARÉ – À RADIOGRAPHIER",IF(IF(AO1253=1,AD1253,IF(AO1253=2,AI1253,""))="R","VT REJETÉ – À REPRENDRE",IF(OR(AP1253="CO",AP1253="NT"),"COUPE – À RESOUDER","À RÉPARER"))))))))))</f>
        <v>ACCEPTÉ</v>
      </c>
      <c r="AR1253" s="82" t="str">
        <f aca="false">IF(AND(ISNUMBER(U1253),OR(AQ1253="À RADIOGRAPHIER",AQ1253="RÉPARÉ – À RADIOGRAPHIER",AQ1253="NX – RT À REFAIRE",AQ1253="À RÉPARER",AQ1253="COUPE – À RESOUDER",AQ1253="VT REJETÉ – À REPRENDRE")),MAX(0,'PROGRAMME RT'!$C$4-U1253),"")</f>
        <v/>
      </c>
      <c r="AS1253" s="82" t="n">
        <f aca="false">IF(AND(OR(AQ1253="À RADIOGRAPHIER",AQ1253="RÉPARÉ – À RADIOGRAPHIER",AQ1253="NX – RT À REFAIRE"),OR('PROGRAMME RT'!$D$5="TOUTES",B1253='PROGRAMME RT'!$D$5)),1,0)</f>
        <v>0</v>
      </c>
      <c r="AT1253" s="82" t="str">
        <f aca="false">IF(AS1253=1,SUM(AS$7:AS1253),"")</f>
        <v/>
      </c>
      <c r="AU1253" s="82" t="n">
        <f aca="false">IF(AND(OR(AA1253="R",AA1253="NX",AA1253="NT",AA1253="CO"),OR('JOINTS DE RÉPARATION'!$D$5="TOUTES",B1253='JOINTS DE RÉPARATION'!$D$5),OR('JOINTS DE RÉPARATION'!$L$4="TOUS",AQ1253&lt;&gt;"ACCEPTÉ")),1,0)</f>
        <v>0</v>
      </c>
      <c r="AV1253" s="82" t="str">
        <f aca="false">IF(AU1253=1,SUM(AU$7:AU1253),"")</f>
        <v/>
      </c>
      <c r="AW1253" s="82" t="str">
        <f aca="false">IF(E1253="","",B1253&amp;"|"&amp;E1253)</f>
        <v>MFD-ISW → MFD-CPF|DJ°320</v>
      </c>
    </row>
    <row r="1254" customFormat="false" ht="74.6" hidden="false" customHeight="false" outlineLevel="0" collapsed="false">
      <c r="A1254" s="79" t="n">
        <f aca="false">IF(E1254="","",ROW()-6)</f>
        <v>1248</v>
      </c>
      <c r="B1254" s="80" t="s">
        <v>110</v>
      </c>
      <c r="C1254" s="81" t="s">
        <v>1473</v>
      </c>
      <c r="D1254" s="81" t="n">
        <v>10</v>
      </c>
      <c r="E1254" s="81" t="s">
        <v>1501</v>
      </c>
      <c r="F1254" s="82" t="str">
        <f aca="false">IF(E1254="","",IF(LEFT(E1254,2)="DJ","DJ","JN"))</f>
        <v>JN</v>
      </c>
      <c r="G1254" s="81"/>
      <c r="H1254" s="81" t="s">
        <v>871</v>
      </c>
      <c r="I1254" s="81" t="n">
        <v>9.53</v>
      </c>
      <c r="J1254" s="81" t="s">
        <v>872</v>
      </c>
      <c r="K1254" s="81" t="s">
        <v>879</v>
      </c>
      <c r="L1254" s="81" t="n">
        <v>2080530</v>
      </c>
      <c r="M1254" s="81" t="n">
        <v>15421103</v>
      </c>
      <c r="N1254" s="81" t="n">
        <v>11.94</v>
      </c>
      <c r="O1254" s="81" t="n">
        <v>2091940</v>
      </c>
      <c r="P1254" s="81" t="n">
        <v>15421109</v>
      </c>
      <c r="Q1254" s="81" t="n">
        <v>11.94</v>
      </c>
      <c r="R1254" s="81" t="s">
        <v>1367</v>
      </c>
      <c r="S1254" s="81"/>
      <c r="T1254" s="81"/>
      <c r="U1254" s="83" t="n">
        <v>46279</v>
      </c>
      <c r="V1254" s="83" t="n">
        <v>46279</v>
      </c>
      <c r="W1254" s="81" t="s">
        <v>1487</v>
      </c>
      <c r="X1254" s="81" t="s">
        <v>876</v>
      </c>
      <c r="Y1254" s="83" t="n">
        <v>46283</v>
      </c>
      <c r="Z1254" s="81" t="s">
        <v>1476</v>
      </c>
      <c r="AA1254" s="81" t="s">
        <v>876</v>
      </c>
      <c r="AB1254" s="81"/>
      <c r="AC1254" s="81"/>
      <c r="AD1254" s="81"/>
      <c r="AE1254" s="83"/>
      <c r="AF1254" s="81"/>
      <c r="AG1254" s="81"/>
      <c r="AH1254" s="81"/>
      <c r="AI1254" s="81"/>
      <c r="AJ1254" s="83"/>
      <c r="AK1254" s="81"/>
      <c r="AL1254" s="81"/>
      <c r="AM1254" s="83"/>
      <c r="AN1254" s="80"/>
      <c r="AO1254" s="82" t="n">
        <f aca="false">IF(E1254="","",(AA1254&lt;&gt;"")+(AG1254&lt;&gt;"")+(AL1254&lt;&gt;""))</f>
        <v>1</v>
      </c>
      <c r="AP1254" s="82" t="str">
        <f aca="false">IF(AL1254&lt;&gt;"",AL1254,IF(AG1254&lt;&gt;"",AG1254,IF(AA1254&lt;&gt;"",AA1254,"")))</f>
        <v>A</v>
      </c>
      <c r="AQ1254" s="84" t="str">
        <f aca="false">IF(E1254="","",IF(U1254="","À SOUDER",IF(X1254="","VT EN ATTENTE",IF(X1254="R","VT REJETÉ – À REPRENDRE",IF(AP1254="","À RADIOGRAPHIER",IF(AP1254="A","ACCEPTÉ",IF(AP1254="NX","NX – RT À REFAIRE",IF(IF(AO1254=1,AD1254,IF(AO1254=2,AI1254,""))="A","RÉPARÉ – À RADIOGRAPHIER",IF(IF(AO1254=1,AD1254,IF(AO1254=2,AI1254,""))="R","VT REJETÉ – À REPRENDRE",IF(OR(AP1254="CO",AP1254="NT"),"COUPE – À RESOUDER","À RÉPARER"))))))))))</f>
        <v>ACCEPTÉ</v>
      </c>
      <c r="AR1254" s="82" t="str">
        <f aca="false">IF(AND(ISNUMBER(U1254),OR(AQ1254="À RADIOGRAPHIER",AQ1254="RÉPARÉ – À RADIOGRAPHIER",AQ1254="NX – RT À REFAIRE",AQ1254="À RÉPARER",AQ1254="COUPE – À RESOUDER",AQ1254="VT REJETÉ – À REPRENDRE")),MAX(0,'PROGRAMME RT'!$C$4-U1254),"")</f>
        <v/>
      </c>
      <c r="AS1254" s="82" t="n">
        <f aca="false">IF(AND(OR(AQ1254="À RADIOGRAPHIER",AQ1254="RÉPARÉ – À RADIOGRAPHIER",AQ1254="NX – RT À REFAIRE"),OR('PROGRAMME RT'!$D$5="TOUTES",B1254='PROGRAMME RT'!$D$5)),1,0)</f>
        <v>0</v>
      </c>
      <c r="AT1254" s="82" t="str">
        <f aca="false">IF(AS1254=1,SUM(AS$7:AS1254),"")</f>
        <v/>
      </c>
      <c r="AU1254" s="82" t="n">
        <f aca="false">IF(AND(OR(AA1254="R",AA1254="NX",AA1254="NT",AA1254="CO"),OR('JOINTS DE RÉPARATION'!$D$5="TOUTES",B1254='JOINTS DE RÉPARATION'!$D$5),OR('JOINTS DE RÉPARATION'!$L$4="TOUS",AQ1254&lt;&gt;"ACCEPTÉ")),1,0)</f>
        <v>0</v>
      </c>
      <c r="AV1254" s="82" t="str">
        <f aca="false">IF(AU1254=1,SUM(AU$7:AU1254),"")</f>
        <v/>
      </c>
      <c r="AW1254" s="82" t="str">
        <f aca="false">IF(E1254="","",B1254&amp;"|"&amp;E1254)</f>
        <v>MFD-ISW → MFD-CPF|JN°1068</v>
      </c>
    </row>
    <row r="1255" customFormat="false" ht="74.6" hidden="false" customHeight="false" outlineLevel="0" collapsed="false">
      <c r="A1255" s="79" t="n">
        <f aca="false">IF(E1255="","",ROW()-6)</f>
        <v>1249</v>
      </c>
      <c r="B1255" s="80" t="s">
        <v>110</v>
      </c>
      <c r="C1255" s="81" t="s">
        <v>1473</v>
      </c>
      <c r="D1255" s="81" t="n">
        <v>10</v>
      </c>
      <c r="E1255" s="81" t="s">
        <v>1502</v>
      </c>
      <c r="F1255" s="82" t="str">
        <f aca="false">IF(E1255="","",IF(LEFT(E1255,2)="DJ","DJ","JN"))</f>
        <v>DJ</v>
      </c>
      <c r="G1255" s="81"/>
      <c r="H1255" s="81" t="s">
        <v>871</v>
      </c>
      <c r="I1255" s="81" t="n">
        <v>9.53</v>
      </c>
      <c r="J1255" s="81" t="s">
        <v>872</v>
      </c>
      <c r="K1255" s="81" t="s">
        <v>873</v>
      </c>
      <c r="L1255" s="81" t="n">
        <v>2091940</v>
      </c>
      <c r="M1255" s="81" t="n">
        <v>15421109</v>
      </c>
      <c r="N1255" s="81" t="n">
        <v>11.94</v>
      </c>
      <c r="O1255" s="81" t="n">
        <v>2090760</v>
      </c>
      <c r="P1255" s="81" t="n">
        <v>15421109</v>
      </c>
      <c r="Q1255" s="81" t="n">
        <v>11.94</v>
      </c>
      <c r="R1255" s="81" t="s">
        <v>899</v>
      </c>
      <c r="S1255" s="81"/>
      <c r="T1255" s="81"/>
      <c r="U1255" s="83" t="n">
        <v>46273</v>
      </c>
      <c r="V1255" s="83" t="n">
        <v>46273</v>
      </c>
      <c r="W1255" s="81" t="s">
        <v>1499</v>
      </c>
      <c r="X1255" s="81" t="s">
        <v>876</v>
      </c>
      <c r="Y1255" s="83" t="n">
        <v>46274</v>
      </c>
      <c r="Z1255" s="81" t="s">
        <v>1500</v>
      </c>
      <c r="AA1255" s="81" t="s">
        <v>876</v>
      </c>
      <c r="AB1255" s="81"/>
      <c r="AC1255" s="81"/>
      <c r="AD1255" s="81"/>
      <c r="AE1255" s="83"/>
      <c r="AF1255" s="81"/>
      <c r="AG1255" s="81"/>
      <c r="AH1255" s="81"/>
      <c r="AI1255" s="81"/>
      <c r="AJ1255" s="83"/>
      <c r="AK1255" s="81"/>
      <c r="AL1255" s="81"/>
      <c r="AM1255" s="83"/>
      <c r="AN1255" s="80"/>
      <c r="AO1255" s="82" t="n">
        <f aca="false">IF(E1255="","",(AA1255&lt;&gt;"")+(AG1255&lt;&gt;"")+(AL1255&lt;&gt;""))</f>
        <v>1</v>
      </c>
      <c r="AP1255" s="82" t="str">
        <f aca="false">IF(AL1255&lt;&gt;"",AL1255,IF(AG1255&lt;&gt;"",AG1255,IF(AA1255&lt;&gt;"",AA1255,"")))</f>
        <v>A</v>
      </c>
      <c r="AQ1255" s="84" t="str">
        <f aca="false">IF(E1255="","",IF(U1255="","À SOUDER",IF(X1255="","VT EN ATTENTE",IF(X1255="R","VT REJETÉ – À REPRENDRE",IF(AP1255="","À RADIOGRAPHIER",IF(AP1255="A","ACCEPTÉ",IF(AP1255="NX","NX – RT À REFAIRE",IF(IF(AO1255=1,AD1255,IF(AO1255=2,AI1255,""))="A","RÉPARÉ – À RADIOGRAPHIER",IF(IF(AO1255=1,AD1255,IF(AO1255=2,AI1255,""))="R","VT REJETÉ – À REPRENDRE",IF(OR(AP1255="CO",AP1255="NT"),"COUPE – À RESOUDER","À RÉPARER"))))))))))</f>
        <v>ACCEPTÉ</v>
      </c>
      <c r="AR1255" s="82" t="str">
        <f aca="false">IF(AND(ISNUMBER(U1255),OR(AQ1255="À RADIOGRAPHIER",AQ1255="RÉPARÉ – À RADIOGRAPHIER",AQ1255="NX – RT À REFAIRE",AQ1255="À RÉPARER",AQ1255="COUPE – À RESOUDER",AQ1255="VT REJETÉ – À REPRENDRE")),MAX(0,'PROGRAMME RT'!$C$4-U1255),"")</f>
        <v/>
      </c>
      <c r="AS1255" s="82" t="n">
        <f aca="false">IF(AND(OR(AQ1255="À RADIOGRAPHIER",AQ1255="RÉPARÉ – À RADIOGRAPHIER",AQ1255="NX – RT À REFAIRE"),OR('PROGRAMME RT'!$D$5="TOUTES",B1255='PROGRAMME RT'!$D$5)),1,0)</f>
        <v>0</v>
      </c>
      <c r="AT1255" s="82" t="str">
        <f aca="false">IF(AS1255=1,SUM(AS$7:AS1255),"")</f>
        <v/>
      </c>
      <c r="AU1255" s="82" t="n">
        <f aca="false">IF(AND(OR(AA1255="R",AA1255="NX",AA1255="NT",AA1255="CO"),OR('JOINTS DE RÉPARATION'!$D$5="TOUTES",B1255='JOINTS DE RÉPARATION'!$D$5),OR('JOINTS DE RÉPARATION'!$L$4="TOUS",AQ1255&lt;&gt;"ACCEPTÉ")),1,0)</f>
        <v>0</v>
      </c>
      <c r="AV1255" s="82" t="str">
        <f aca="false">IF(AU1255=1,SUM(AU$7:AU1255),"")</f>
        <v/>
      </c>
      <c r="AW1255" s="82" t="str">
        <f aca="false">IF(E1255="","",B1255&amp;"|"&amp;E1255)</f>
        <v>MFD-ISW → MFD-CPF|DJ°321</v>
      </c>
    </row>
    <row r="1256" customFormat="false" ht="74.6" hidden="false" customHeight="false" outlineLevel="0" collapsed="false">
      <c r="A1256" s="79" t="n">
        <f aca="false">IF(E1256="","",ROW()-6)</f>
        <v>1250</v>
      </c>
      <c r="B1256" s="80" t="s">
        <v>110</v>
      </c>
      <c r="C1256" s="81" t="s">
        <v>1473</v>
      </c>
      <c r="D1256" s="81" t="n">
        <v>10</v>
      </c>
      <c r="E1256" s="81" t="s">
        <v>1503</v>
      </c>
      <c r="F1256" s="82" t="str">
        <f aca="false">IF(E1256="","",IF(LEFT(E1256,2)="DJ","DJ","JN"))</f>
        <v>JN</v>
      </c>
      <c r="G1256" s="81" t="s">
        <v>1504</v>
      </c>
      <c r="H1256" s="81" t="s">
        <v>871</v>
      </c>
      <c r="I1256" s="81" t="n">
        <v>9.53</v>
      </c>
      <c r="J1256" s="81" t="s">
        <v>872</v>
      </c>
      <c r="K1256" s="81" t="s">
        <v>879</v>
      </c>
      <c r="L1256" s="81" t="n">
        <v>2090760</v>
      </c>
      <c r="M1256" s="81" t="n">
        <v>15421109</v>
      </c>
      <c r="N1256" s="81" t="n">
        <v>11.94</v>
      </c>
      <c r="O1256" s="81" t="n">
        <v>2086240</v>
      </c>
      <c r="P1256" s="81" t="n">
        <v>15421107</v>
      </c>
      <c r="Q1256" s="81" t="n">
        <v>11.94</v>
      </c>
      <c r="R1256" s="81" t="s">
        <v>1367</v>
      </c>
      <c r="S1256" s="81"/>
      <c r="T1256" s="81"/>
      <c r="U1256" s="83" t="n">
        <v>46278</v>
      </c>
      <c r="V1256" s="83" t="n">
        <v>46278</v>
      </c>
      <c r="W1256" s="81" t="s">
        <v>1505</v>
      </c>
      <c r="X1256" s="81" t="s">
        <v>876</v>
      </c>
      <c r="Y1256" s="83" t="n">
        <v>46283</v>
      </c>
      <c r="Z1256" s="81" t="s">
        <v>1476</v>
      </c>
      <c r="AA1256" s="81" t="s">
        <v>1073</v>
      </c>
      <c r="AB1256" s="81" t="s">
        <v>1506</v>
      </c>
      <c r="AC1256" s="81"/>
      <c r="AD1256" s="81"/>
      <c r="AE1256" s="83"/>
      <c r="AF1256" s="81"/>
      <c r="AG1256" s="81"/>
      <c r="AH1256" s="81"/>
      <c r="AI1256" s="81"/>
      <c r="AJ1256" s="83"/>
      <c r="AK1256" s="81"/>
      <c r="AL1256" s="81"/>
      <c r="AM1256" s="83"/>
      <c r="AN1256" s="80"/>
      <c r="AO1256" s="82" t="n">
        <f aca="false">IF(E1256="","",(AA1256&lt;&gt;"")+(AG1256&lt;&gt;"")+(AL1256&lt;&gt;""))</f>
        <v>1</v>
      </c>
      <c r="AP1256" s="82" t="str">
        <f aca="false">IF(AL1256&lt;&gt;"",AL1256,IF(AG1256&lt;&gt;"",AG1256,IF(AA1256&lt;&gt;"",AA1256,"")))</f>
        <v>R</v>
      </c>
      <c r="AQ1256" s="84" t="str">
        <f aca="false">IF(E1256="","",IF(U1256="","À SOUDER",IF(X1256="","VT EN ATTENTE",IF(X1256="R","VT REJETÉ – À REPRENDRE",IF(AP1256="","À RADIOGRAPHIER",IF(AP1256="A","ACCEPTÉ",IF(AP1256="NX","NX – RT À REFAIRE",IF(IF(AO1256=1,AD1256,IF(AO1256=2,AI1256,""))="A","RÉPARÉ – À RADIOGRAPHIER",IF(IF(AO1256=1,AD1256,IF(AO1256=2,AI1256,""))="R","VT REJETÉ – À REPRENDRE",IF(OR(AP1256="CO",AP1256="NT"),"COUPE – À RESOUDER","À RÉPARER"))))))))))</f>
        <v>À RÉPARER</v>
      </c>
      <c r="AR1256" s="82" t="n">
        <f aca="false">IF(AND(ISNUMBER(U1256),OR(AQ1256="À RADIOGRAPHIER",AQ1256="RÉPARÉ – À RADIOGRAPHIER",AQ1256="NX – RT À REFAIRE",AQ1256="À RÉPARER",AQ1256="COUPE – À RESOUDER",AQ1256="VT REJETÉ – À REPRENDRE")),MAX(0,'PROGRAMME RT'!$C$4-U1256),"")</f>
        <v>15</v>
      </c>
      <c r="AS1256" s="82" t="n">
        <f aca="false">IF(AND(OR(AQ1256="À RADIOGRAPHIER",AQ1256="RÉPARÉ – À RADIOGRAPHIER",AQ1256="NX – RT À REFAIRE"),OR('PROGRAMME RT'!$D$5="TOUTES",B1256='PROGRAMME RT'!$D$5)),1,0)</f>
        <v>0</v>
      </c>
      <c r="AT1256" s="82" t="str">
        <f aca="false">IF(AS1256=1,SUM(AS$7:AS1256),"")</f>
        <v/>
      </c>
      <c r="AU1256" s="82" t="n">
        <f aca="false">IF(AND(OR(AA1256="R",AA1256="NX",AA1256="NT",AA1256="CO"),OR('JOINTS DE RÉPARATION'!$D$5="TOUTES",B1256='JOINTS DE RÉPARATION'!$D$5),OR('JOINTS DE RÉPARATION'!$L$4="TOUS",AQ1256&lt;&gt;"ACCEPTÉ")),1,0)</f>
        <v>1</v>
      </c>
      <c r="AV1256" s="82" t="n">
        <f aca="false">IF(AU1256=1,SUM(AU$7:AU1256),"")</f>
        <v>28</v>
      </c>
      <c r="AW1256" s="82" t="str">
        <f aca="false">IF(E1256="","",B1256&amp;"|"&amp;E1256)</f>
        <v>MFD-ISW → MFD-CPF|JN°1069</v>
      </c>
    </row>
    <row r="1257" customFormat="false" ht="74.6" hidden="false" customHeight="false" outlineLevel="0" collapsed="false">
      <c r="A1257" s="79" t="n">
        <f aca="false">IF(E1257="","",ROW()-6)</f>
        <v>1251</v>
      </c>
      <c r="B1257" s="80" t="s">
        <v>110</v>
      </c>
      <c r="C1257" s="81" t="s">
        <v>1473</v>
      </c>
      <c r="D1257" s="81" t="n">
        <v>10</v>
      </c>
      <c r="E1257" s="81" t="s">
        <v>1507</v>
      </c>
      <c r="F1257" s="82" t="str">
        <f aca="false">IF(E1257="","",IF(LEFT(E1257,2)="DJ","DJ","JN"))</f>
        <v>DJ</v>
      </c>
      <c r="G1257" s="81"/>
      <c r="H1257" s="81" t="s">
        <v>871</v>
      </c>
      <c r="I1257" s="81" t="n">
        <v>9.53</v>
      </c>
      <c r="J1257" s="81" t="s">
        <v>872</v>
      </c>
      <c r="K1257" s="81" t="s">
        <v>873</v>
      </c>
      <c r="L1257" s="81" t="n">
        <v>2086240</v>
      </c>
      <c r="M1257" s="81" t="n">
        <v>15421107</v>
      </c>
      <c r="N1257" s="81" t="n">
        <v>11.94</v>
      </c>
      <c r="O1257" s="81" t="n">
        <v>2085640</v>
      </c>
      <c r="P1257" s="81" t="n">
        <v>15421107</v>
      </c>
      <c r="Q1257" s="81" t="n">
        <v>11.94</v>
      </c>
      <c r="R1257" s="81" t="s">
        <v>899</v>
      </c>
      <c r="S1257" s="81"/>
      <c r="T1257" s="81"/>
      <c r="U1257" s="83" t="n">
        <v>46274</v>
      </c>
      <c r="V1257" s="83" t="n">
        <v>46274</v>
      </c>
      <c r="W1257" s="81" t="s">
        <v>1495</v>
      </c>
      <c r="X1257" s="81" t="s">
        <v>876</v>
      </c>
      <c r="Y1257" s="83" t="n">
        <v>46275</v>
      </c>
      <c r="Z1257" s="81" t="s">
        <v>1496</v>
      </c>
      <c r="AA1257" s="81" t="s">
        <v>876</v>
      </c>
      <c r="AB1257" s="81"/>
      <c r="AC1257" s="81"/>
      <c r="AD1257" s="81"/>
      <c r="AE1257" s="83"/>
      <c r="AF1257" s="81"/>
      <c r="AG1257" s="81"/>
      <c r="AH1257" s="81"/>
      <c r="AI1257" s="81"/>
      <c r="AJ1257" s="83"/>
      <c r="AK1257" s="81"/>
      <c r="AL1257" s="81"/>
      <c r="AM1257" s="83"/>
      <c r="AN1257" s="80"/>
      <c r="AO1257" s="82" t="n">
        <f aca="false">IF(E1257="","",(AA1257&lt;&gt;"")+(AG1257&lt;&gt;"")+(AL1257&lt;&gt;""))</f>
        <v>1</v>
      </c>
      <c r="AP1257" s="82" t="str">
        <f aca="false">IF(AL1257&lt;&gt;"",AL1257,IF(AG1257&lt;&gt;"",AG1257,IF(AA1257&lt;&gt;"",AA1257,"")))</f>
        <v>A</v>
      </c>
      <c r="AQ1257" s="84" t="str">
        <f aca="false">IF(E1257="","",IF(U1257="","À SOUDER",IF(X1257="","VT EN ATTENTE",IF(X1257="R","VT REJETÉ – À REPRENDRE",IF(AP1257="","À RADIOGRAPHIER",IF(AP1257="A","ACCEPTÉ",IF(AP1257="NX","NX – RT À REFAIRE",IF(IF(AO1257=1,AD1257,IF(AO1257=2,AI1257,""))="A","RÉPARÉ – À RADIOGRAPHIER",IF(IF(AO1257=1,AD1257,IF(AO1257=2,AI1257,""))="R","VT REJETÉ – À REPRENDRE",IF(OR(AP1257="CO",AP1257="NT"),"COUPE – À RESOUDER","À RÉPARER"))))))))))</f>
        <v>ACCEPTÉ</v>
      </c>
      <c r="AR1257" s="82" t="str">
        <f aca="false">IF(AND(ISNUMBER(U1257),OR(AQ1257="À RADIOGRAPHIER",AQ1257="RÉPARÉ – À RADIOGRAPHIER",AQ1257="NX – RT À REFAIRE",AQ1257="À RÉPARER",AQ1257="COUPE – À RESOUDER",AQ1257="VT REJETÉ – À REPRENDRE")),MAX(0,'PROGRAMME RT'!$C$4-U1257),"")</f>
        <v/>
      </c>
      <c r="AS1257" s="82" t="n">
        <f aca="false">IF(AND(OR(AQ1257="À RADIOGRAPHIER",AQ1257="RÉPARÉ – À RADIOGRAPHIER",AQ1257="NX – RT À REFAIRE"),OR('PROGRAMME RT'!$D$5="TOUTES",B1257='PROGRAMME RT'!$D$5)),1,0)</f>
        <v>0</v>
      </c>
      <c r="AT1257" s="82" t="str">
        <f aca="false">IF(AS1257=1,SUM(AS$7:AS1257),"")</f>
        <v/>
      </c>
      <c r="AU1257" s="82" t="n">
        <f aca="false">IF(AND(OR(AA1257="R",AA1257="NX",AA1257="NT",AA1257="CO"),OR('JOINTS DE RÉPARATION'!$D$5="TOUTES",B1257='JOINTS DE RÉPARATION'!$D$5),OR('JOINTS DE RÉPARATION'!$L$4="TOUS",AQ1257&lt;&gt;"ACCEPTÉ")),1,0)</f>
        <v>0</v>
      </c>
      <c r="AV1257" s="82" t="str">
        <f aca="false">IF(AU1257=1,SUM(AU$7:AU1257),"")</f>
        <v/>
      </c>
      <c r="AW1257" s="82" t="str">
        <f aca="false">IF(E1257="","",B1257&amp;"|"&amp;E1257)</f>
        <v>MFD-ISW → MFD-CPF|DJ°322</v>
      </c>
    </row>
    <row r="1258" customFormat="false" ht="74.6" hidden="false" customHeight="false" outlineLevel="0" collapsed="false">
      <c r="A1258" s="79" t="n">
        <f aca="false">IF(E1258="","",ROW()-6)</f>
        <v>1252</v>
      </c>
      <c r="B1258" s="80" t="s">
        <v>110</v>
      </c>
      <c r="C1258" s="81" t="s">
        <v>1473</v>
      </c>
      <c r="D1258" s="81" t="n">
        <v>10</v>
      </c>
      <c r="E1258" s="81" t="s">
        <v>1508</v>
      </c>
      <c r="F1258" s="82" t="str">
        <f aca="false">IF(E1258="","",IF(LEFT(E1258,2)="DJ","DJ","JN"))</f>
        <v>JN</v>
      </c>
      <c r="G1258" s="81" t="s">
        <v>1504</v>
      </c>
      <c r="H1258" s="81" t="s">
        <v>871</v>
      </c>
      <c r="I1258" s="81" t="n">
        <v>9.53</v>
      </c>
      <c r="J1258" s="81" t="s">
        <v>872</v>
      </c>
      <c r="K1258" s="81" t="s">
        <v>879</v>
      </c>
      <c r="L1258" s="81" t="n">
        <v>2085640</v>
      </c>
      <c r="M1258" s="81" t="n">
        <v>15421107</v>
      </c>
      <c r="N1258" s="81" t="n">
        <v>11.94</v>
      </c>
      <c r="O1258" s="81" t="n">
        <v>2087020</v>
      </c>
      <c r="P1258" s="81" t="n">
        <v>15421107</v>
      </c>
      <c r="Q1258" s="81" t="n">
        <v>11.94</v>
      </c>
      <c r="R1258" s="81" t="s">
        <v>1367</v>
      </c>
      <c r="S1258" s="81"/>
      <c r="T1258" s="81"/>
      <c r="U1258" s="83" t="n">
        <v>46278</v>
      </c>
      <c r="V1258" s="83" t="n">
        <v>46278</v>
      </c>
      <c r="W1258" s="81" t="s">
        <v>1505</v>
      </c>
      <c r="X1258" s="81" t="s">
        <v>876</v>
      </c>
      <c r="Y1258" s="83"/>
      <c r="Z1258" s="81"/>
      <c r="AA1258" s="81" t="s">
        <v>1153</v>
      </c>
      <c r="AB1258" s="81" t="s">
        <v>1509</v>
      </c>
      <c r="AC1258" s="81"/>
      <c r="AD1258" s="81"/>
      <c r="AE1258" s="83"/>
      <c r="AF1258" s="81"/>
      <c r="AG1258" s="81"/>
      <c r="AH1258" s="81"/>
      <c r="AI1258" s="81"/>
      <c r="AJ1258" s="83"/>
      <c r="AK1258" s="81"/>
      <c r="AL1258" s="81"/>
      <c r="AM1258" s="83"/>
      <c r="AN1258" s="80"/>
      <c r="AO1258" s="82" t="n">
        <f aca="false">IF(E1258="","",(AA1258&lt;&gt;"")+(AG1258&lt;&gt;"")+(AL1258&lt;&gt;""))</f>
        <v>1</v>
      </c>
      <c r="AP1258" s="82" t="str">
        <f aca="false">IF(AL1258&lt;&gt;"",AL1258,IF(AG1258&lt;&gt;"",AG1258,IF(AA1258&lt;&gt;"",AA1258,"")))</f>
        <v>NX</v>
      </c>
      <c r="AQ1258" s="84" t="str">
        <f aca="false">IF(E1258="","",IF(U1258="","À SOUDER",IF(X1258="","VT EN ATTENTE",IF(X1258="R","VT REJETÉ – À REPRENDRE",IF(AP1258="","À RADIOGRAPHIER",IF(AP1258="A","ACCEPTÉ",IF(AP1258="NX","NX – RT À REFAIRE",IF(IF(AO1258=1,AD1258,IF(AO1258=2,AI1258,""))="A","RÉPARÉ – À RADIOGRAPHIER",IF(IF(AO1258=1,AD1258,IF(AO1258=2,AI1258,""))="R","VT REJETÉ – À REPRENDRE",IF(OR(AP1258="CO",AP1258="NT"),"COUPE – À RESOUDER","À RÉPARER"))))))))))</f>
        <v>NX – RT À REFAIRE</v>
      </c>
      <c r="AR1258" s="82" t="n">
        <f aca="false">IF(AND(ISNUMBER(U1258),OR(AQ1258="À RADIOGRAPHIER",AQ1258="RÉPARÉ – À RADIOGRAPHIER",AQ1258="NX – RT À REFAIRE",AQ1258="À RÉPARER",AQ1258="COUPE – À RESOUDER",AQ1258="VT REJETÉ – À REPRENDRE")),MAX(0,'PROGRAMME RT'!$C$4-U1258),"")</f>
        <v>15</v>
      </c>
      <c r="AS1258" s="82" t="n">
        <f aca="false">IF(AND(OR(AQ1258="À RADIOGRAPHIER",AQ1258="RÉPARÉ – À RADIOGRAPHIER",AQ1258="NX – RT À REFAIRE"),OR('PROGRAMME RT'!$D$5="TOUTES",B1258='PROGRAMME RT'!$D$5)),1,0)</f>
        <v>1</v>
      </c>
      <c r="AT1258" s="82" t="n">
        <f aca="false">IF(AS1258=1,SUM(AS$7:AS1258),"")</f>
        <v>68</v>
      </c>
      <c r="AU1258" s="82" t="n">
        <f aca="false">IF(AND(OR(AA1258="R",AA1258="NX",AA1258="NT",AA1258="CO"),OR('JOINTS DE RÉPARATION'!$D$5="TOUTES",B1258='JOINTS DE RÉPARATION'!$D$5),OR('JOINTS DE RÉPARATION'!$L$4="TOUS",AQ1258&lt;&gt;"ACCEPTÉ")),1,0)</f>
        <v>1</v>
      </c>
      <c r="AV1258" s="82" t="n">
        <f aca="false">IF(AU1258=1,SUM(AU$7:AU1258),"")</f>
        <v>29</v>
      </c>
      <c r="AW1258" s="82" t="str">
        <f aca="false">IF(E1258="","",B1258&amp;"|"&amp;E1258)</f>
        <v>MFD-ISW → MFD-CPF|JN°1070</v>
      </c>
    </row>
    <row r="1259" customFormat="false" ht="74.6" hidden="false" customHeight="false" outlineLevel="0" collapsed="false">
      <c r="A1259" s="79" t="n">
        <f aca="false">IF(E1259="","",ROW()-6)</f>
        <v>1253</v>
      </c>
      <c r="B1259" s="80" t="s">
        <v>110</v>
      </c>
      <c r="C1259" s="81" t="s">
        <v>1473</v>
      </c>
      <c r="D1259" s="81" t="n">
        <v>10</v>
      </c>
      <c r="E1259" s="81" t="s">
        <v>1510</v>
      </c>
      <c r="F1259" s="82" t="str">
        <f aca="false">IF(E1259="","",IF(LEFT(E1259,2)="DJ","DJ","JN"))</f>
        <v>DJ</v>
      </c>
      <c r="G1259" s="81"/>
      <c r="H1259" s="81" t="s">
        <v>871</v>
      </c>
      <c r="I1259" s="81" t="n">
        <v>9.53</v>
      </c>
      <c r="J1259" s="81" t="s">
        <v>872</v>
      </c>
      <c r="K1259" s="81" t="s">
        <v>873</v>
      </c>
      <c r="L1259" s="81" t="n">
        <v>2087020</v>
      </c>
      <c r="M1259" s="81" t="n">
        <v>15421107</v>
      </c>
      <c r="N1259" s="81" t="n">
        <v>11.94</v>
      </c>
      <c r="O1259" s="81" t="n">
        <v>2079330</v>
      </c>
      <c r="P1259" s="81" t="n">
        <v>15421102</v>
      </c>
      <c r="Q1259" s="81" t="n">
        <v>11.94</v>
      </c>
      <c r="R1259" s="81" t="s">
        <v>899</v>
      </c>
      <c r="S1259" s="81"/>
      <c r="T1259" s="81"/>
      <c r="U1259" s="83" t="n">
        <v>46274</v>
      </c>
      <c r="V1259" s="83" t="n">
        <v>46274</v>
      </c>
      <c r="W1259" s="81" t="s">
        <v>1495</v>
      </c>
      <c r="X1259" s="81" t="s">
        <v>876</v>
      </c>
      <c r="Y1259" s="83" t="n">
        <v>46275</v>
      </c>
      <c r="Z1259" s="81" t="s">
        <v>1496</v>
      </c>
      <c r="AA1259" s="81" t="s">
        <v>876</v>
      </c>
      <c r="AB1259" s="81" t="s">
        <v>1509</v>
      </c>
      <c r="AC1259" s="81"/>
      <c r="AD1259" s="81"/>
      <c r="AE1259" s="83"/>
      <c r="AF1259" s="81"/>
      <c r="AG1259" s="81"/>
      <c r="AH1259" s="81"/>
      <c r="AI1259" s="81"/>
      <c r="AJ1259" s="83"/>
      <c r="AK1259" s="81"/>
      <c r="AL1259" s="81"/>
      <c r="AM1259" s="83"/>
      <c r="AN1259" s="80"/>
      <c r="AO1259" s="82" t="n">
        <f aca="false">IF(E1259="","",(AA1259&lt;&gt;"")+(AG1259&lt;&gt;"")+(AL1259&lt;&gt;""))</f>
        <v>1</v>
      </c>
      <c r="AP1259" s="82" t="str">
        <f aca="false">IF(AL1259&lt;&gt;"",AL1259,IF(AG1259&lt;&gt;"",AG1259,IF(AA1259&lt;&gt;"",AA1259,"")))</f>
        <v>A</v>
      </c>
      <c r="AQ1259" s="84" t="str">
        <f aca="false">IF(E1259="","",IF(U1259="","À SOUDER",IF(X1259="","VT EN ATTENTE",IF(X1259="R","VT REJETÉ – À REPRENDRE",IF(AP1259="","À RADIOGRAPHIER",IF(AP1259="A","ACCEPTÉ",IF(AP1259="NX","NX – RT À REFAIRE",IF(IF(AO1259=1,AD1259,IF(AO1259=2,AI1259,""))="A","RÉPARÉ – À RADIOGRAPHIER",IF(IF(AO1259=1,AD1259,IF(AO1259=2,AI1259,""))="R","VT REJETÉ – À REPRENDRE",IF(OR(AP1259="CO",AP1259="NT"),"COUPE – À RESOUDER","À RÉPARER"))))))))))</f>
        <v>ACCEPTÉ</v>
      </c>
      <c r="AR1259" s="82" t="str">
        <f aca="false">IF(AND(ISNUMBER(U1259),OR(AQ1259="À RADIOGRAPHIER",AQ1259="RÉPARÉ – À RADIOGRAPHIER",AQ1259="NX – RT À REFAIRE",AQ1259="À RÉPARER",AQ1259="COUPE – À RESOUDER",AQ1259="VT REJETÉ – À REPRENDRE")),MAX(0,'PROGRAMME RT'!$C$4-U1259),"")</f>
        <v/>
      </c>
      <c r="AS1259" s="82" t="n">
        <f aca="false">IF(AND(OR(AQ1259="À RADIOGRAPHIER",AQ1259="RÉPARÉ – À RADIOGRAPHIER",AQ1259="NX – RT À REFAIRE"),OR('PROGRAMME RT'!$D$5="TOUTES",B1259='PROGRAMME RT'!$D$5)),1,0)</f>
        <v>0</v>
      </c>
      <c r="AT1259" s="82" t="str">
        <f aca="false">IF(AS1259=1,SUM(AS$7:AS1259),"")</f>
        <v/>
      </c>
      <c r="AU1259" s="82" t="n">
        <f aca="false">IF(AND(OR(AA1259="R",AA1259="NX",AA1259="NT",AA1259="CO"),OR('JOINTS DE RÉPARATION'!$D$5="TOUTES",B1259='JOINTS DE RÉPARATION'!$D$5),OR('JOINTS DE RÉPARATION'!$L$4="TOUS",AQ1259&lt;&gt;"ACCEPTÉ")),1,0)</f>
        <v>0</v>
      </c>
      <c r="AV1259" s="82" t="str">
        <f aca="false">IF(AU1259=1,SUM(AU$7:AU1259),"")</f>
        <v/>
      </c>
      <c r="AW1259" s="82" t="str">
        <f aca="false">IF(E1259="","",B1259&amp;"|"&amp;E1259)</f>
        <v>MFD-ISW → MFD-CPF|DJ°324</v>
      </c>
    </row>
    <row r="1260" customFormat="false" ht="74.6" hidden="false" customHeight="false" outlineLevel="0" collapsed="false">
      <c r="A1260" s="79" t="n">
        <f aca="false">IF(E1260="","",ROW()-6)</f>
        <v>1254</v>
      </c>
      <c r="B1260" s="80" t="s">
        <v>110</v>
      </c>
      <c r="C1260" s="81" t="s">
        <v>1473</v>
      </c>
      <c r="D1260" s="81" t="n">
        <v>10</v>
      </c>
      <c r="E1260" s="81" t="s">
        <v>1511</v>
      </c>
      <c r="F1260" s="82" t="str">
        <f aca="false">IF(E1260="","",IF(LEFT(E1260,2)="DJ","DJ","JN"))</f>
        <v>JN</v>
      </c>
      <c r="G1260" s="81" t="s">
        <v>1504</v>
      </c>
      <c r="H1260" s="81" t="s">
        <v>871</v>
      </c>
      <c r="I1260" s="81" t="n">
        <v>9.53</v>
      </c>
      <c r="J1260" s="81" t="s">
        <v>872</v>
      </c>
      <c r="K1260" s="81" t="s">
        <v>879</v>
      </c>
      <c r="L1260" s="81" t="n">
        <v>2079330</v>
      </c>
      <c r="M1260" s="81" t="n">
        <v>15421102</v>
      </c>
      <c r="N1260" s="81" t="n">
        <v>11.94</v>
      </c>
      <c r="O1260" s="81" t="n">
        <v>2086700</v>
      </c>
      <c r="P1260" s="81" t="n">
        <v>15421107</v>
      </c>
      <c r="Q1260" s="81" t="n">
        <v>11.94</v>
      </c>
      <c r="R1260" s="81" t="s">
        <v>1367</v>
      </c>
      <c r="S1260" s="81"/>
      <c r="T1260" s="81"/>
      <c r="U1260" s="83" t="n">
        <v>46278</v>
      </c>
      <c r="V1260" s="83" t="n">
        <v>46278</v>
      </c>
      <c r="W1260" s="81" t="s">
        <v>1505</v>
      </c>
      <c r="X1260" s="81" t="s">
        <v>876</v>
      </c>
      <c r="Y1260" s="83" t="n">
        <v>46283</v>
      </c>
      <c r="Z1260" s="81" t="s">
        <v>1476</v>
      </c>
      <c r="AA1260" s="81" t="s">
        <v>876</v>
      </c>
      <c r="AB1260" s="81"/>
      <c r="AC1260" s="81"/>
      <c r="AD1260" s="81"/>
      <c r="AE1260" s="83"/>
      <c r="AF1260" s="81"/>
      <c r="AG1260" s="81"/>
      <c r="AH1260" s="81"/>
      <c r="AI1260" s="81"/>
      <c r="AJ1260" s="83"/>
      <c r="AK1260" s="81"/>
      <c r="AL1260" s="81"/>
      <c r="AM1260" s="83"/>
      <c r="AN1260" s="80"/>
      <c r="AO1260" s="82" t="n">
        <f aca="false">IF(E1260="","",(AA1260&lt;&gt;"")+(AG1260&lt;&gt;"")+(AL1260&lt;&gt;""))</f>
        <v>1</v>
      </c>
      <c r="AP1260" s="82" t="str">
        <f aca="false">IF(AL1260&lt;&gt;"",AL1260,IF(AG1260&lt;&gt;"",AG1260,IF(AA1260&lt;&gt;"",AA1260,"")))</f>
        <v>A</v>
      </c>
      <c r="AQ1260" s="84" t="str">
        <f aca="false">IF(E1260="","",IF(U1260="","À SOUDER",IF(X1260="","VT EN ATTENTE",IF(X1260="R","VT REJETÉ – À REPRENDRE",IF(AP1260="","À RADIOGRAPHIER",IF(AP1260="A","ACCEPTÉ",IF(AP1260="NX","NX – RT À REFAIRE",IF(IF(AO1260=1,AD1260,IF(AO1260=2,AI1260,""))="A","RÉPARÉ – À RADIOGRAPHIER",IF(IF(AO1260=1,AD1260,IF(AO1260=2,AI1260,""))="R","VT REJETÉ – À REPRENDRE",IF(OR(AP1260="CO",AP1260="NT"),"COUPE – À RESOUDER","À RÉPARER"))))))))))</f>
        <v>ACCEPTÉ</v>
      </c>
      <c r="AR1260" s="82" t="str">
        <f aca="false">IF(AND(ISNUMBER(U1260),OR(AQ1260="À RADIOGRAPHIER",AQ1260="RÉPARÉ – À RADIOGRAPHIER",AQ1260="NX – RT À REFAIRE",AQ1260="À RÉPARER",AQ1260="COUPE – À RESOUDER",AQ1260="VT REJETÉ – À REPRENDRE")),MAX(0,'PROGRAMME RT'!$C$4-U1260),"")</f>
        <v/>
      </c>
      <c r="AS1260" s="82" t="n">
        <f aca="false">IF(AND(OR(AQ1260="À RADIOGRAPHIER",AQ1260="RÉPARÉ – À RADIOGRAPHIER",AQ1260="NX – RT À REFAIRE"),OR('PROGRAMME RT'!$D$5="TOUTES",B1260='PROGRAMME RT'!$D$5)),1,0)</f>
        <v>0</v>
      </c>
      <c r="AT1260" s="82" t="str">
        <f aca="false">IF(AS1260=1,SUM(AS$7:AS1260),"")</f>
        <v/>
      </c>
      <c r="AU1260" s="82" t="n">
        <f aca="false">IF(AND(OR(AA1260="R",AA1260="NX",AA1260="NT",AA1260="CO"),OR('JOINTS DE RÉPARATION'!$D$5="TOUTES",B1260='JOINTS DE RÉPARATION'!$D$5),OR('JOINTS DE RÉPARATION'!$L$4="TOUS",AQ1260&lt;&gt;"ACCEPTÉ")),1,0)</f>
        <v>0</v>
      </c>
      <c r="AV1260" s="82" t="str">
        <f aca="false">IF(AU1260=1,SUM(AU$7:AU1260),"")</f>
        <v/>
      </c>
      <c r="AW1260" s="82" t="str">
        <f aca="false">IF(E1260="","",B1260&amp;"|"&amp;E1260)</f>
        <v>MFD-ISW → MFD-CPF|JN°1071</v>
      </c>
    </row>
    <row r="1261" customFormat="false" ht="74.6" hidden="false" customHeight="false" outlineLevel="0" collapsed="false">
      <c r="A1261" s="79" t="n">
        <f aca="false">IF(E1261="","",ROW()-6)</f>
        <v>1255</v>
      </c>
      <c r="B1261" s="80" t="s">
        <v>110</v>
      </c>
      <c r="C1261" s="81" t="s">
        <v>1473</v>
      </c>
      <c r="D1261" s="81" t="n">
        <v>10</v>
      </c>
      <c r="E1261" s="81" t="s">
        <v>1512</v>
      </c>
      <c r="F1261" s="82" t="str">
        <f aca="false">IF(E1261="","",IF(LEFT(E1261,2)="DJ","DJ","JN"))</f>
        <v>DJ</v>
      </c>
      <c r="G1261" s="81"/>
      <c r="H1261" s="81" t="s">
        <v>871</v>
      </c>
      <c r="I1261" s="81" t="n">
        <v>9.53</v>
      </c>
      <c r="J1261" s="81" t="s">
        <v>872</v>
      </c>
      <c r="K1261" s="81" t="s">
        <v>873</v>
      </c>
      <c r="L1261" s="81" t="n">
        <v>2086700</v>
      </c>
      <c r="M1261" s="81" t="n">
        <v>15421107</v>
      </c>
      <c r="N1261" s="81" t="n">
        <v>11.94</v>
      </c>
      <c r="O1261" s="81" t="n">
        <v>2086250</v>
      </c>
      <c r="P1261" s="81" t="n">
        <v>15421107</v>
      </c>
      <c r="Q1261" s="81" t="n">
        <v>11.94</v>
      </c>
      <c r="R1261" s="81" t="s">
        <v>899</v>
      </c>
      <c r="S1261" s="81"/>
      <c r="T1261" s="81"/>
      <c r="U1261" s="83" t="n">
        <v>46274</v>
      </c>
      <c r="V1261" s="83" t="n">
        <v>46274</v>
      </c>
      <c r="W1261" s="81" t="s">
        <v>1495</v>
      </c>
      <c r="X1261" s="81" t="s">
        <v>876</v>
      </c>
      <c r="Y1261" s="83" t="n">
        <v>46275</v>
      </c>
      <c r="Z1261" s="81" t="s">
        <v>1496</v>
      </c>
      <c r="AA1261" s="81" t="s">
        <v>876</v>
      </c>
      <c r="AB1261" s="81"/>
      <c r="AC1261" s="81"/>
      <c r="AD1261" s="81"/>
      <c r="AE1261" s="83"/>
      <c r="AF1261" s="81"/>
      <c r="AG1261" s="81"/>
      <c r="AH1261" s="81"/>
      <c r="AI1261" s="81"/>
      <c r="AJ1261" s="83"/>
      <c r="AK1261" s="81"/>
      <c r="AL1261" s="81"/>
      <c r="AM1261" s="83"/>
      <c r="AN1261" s="80"/>
      <c r="AO1261" s="82" t="n">
        <f aca="false">IF(E1261="","",(AA1261&lt;&gt;"")+(AG1261&lt;&gt;"")+(AL1261&lt;&gt;""))</f>
        <v>1</v>
      </c>
      <c r="AP1261" s="82" t="str">
        <f aca="false">IF(AL1261&lt;&gt;"",AL1261,IF(AG1261&lt;&gt;"",AG1261,IF(AA1261&lt;&gt;"",AA1261,"")))</f>
        <v>A</v>
      </c>
      <c r="AQ1261" s="84" t="str">
        <f aca="false">IF(E1261="","",IF(U1261="","À SOUDER",IF(X1261="","VT EN ATTENTE",IF(X1261="R","VT REJETÉ – À REPRENDRE",IF(AP1261="","À RADIOGRAPHIER",IF(AP1261="A","ACCEPTÉ",IF(AP1261="NX","NX – RT À REFAIRE",IF(IF(AO1261=1,AD1261,IF(AO1261=2,AI1261,""))="A","RÉPARÉ – À RADIOGRAPHIER",IF(IF(AO1261=1,AD1261,IF(AO1261=2,AI1261,""))="R","VT REJETÉ – À REPRENDRE",IF(OR(AP1261="CO",AP1261="NT"),"COUPE – À RESOUDER","À RÉPARER"))))))))))</f>
        <v>ACCEPTÉ</v>
      </c>
      <c r="AR1261" s="82" t="str">
        <f aca="false">IF(AND(ISNUMBER(U1261),OR(AQ1261="À RADIOGRAPHIER",AQ1261="RÉPARÉ – À RADIOGRAPHIER",AQ1261="NX – RT À REFAIRE",AQ1261="À RÉPARER",AQ1261="COUPE – À RESOUDER",AQ1261="VT REJETÉ – À REPRENDRE")),MAX(0,'PROGRAMME RT'!$C$4-U1261),"")</f>
        <v/>
      </c>
      <c r="AS1261" s="82" t="n">
        <f aca="false">IF(AND(OR(AQ1261="À RADIOGRAPHIER",AQ1261="RÉPARÉ – À RADIOGRAPHIER",AQ1261="NX – RT À REFAIRE"),OR('PROGRAMME RT'!$D$5="TOUTES",B1261='PROGRAMME RT'!$D$5)),1,0)</f>
        <v>0</v>
      </c>
      <c r="AT1261" s="82" t="str">
        <f aca="false">IF(AS1261=1,SUM(AS$7:AS1261),"")</f>
        <v/>
      </c>
      <c r="AU1261" s="82" t="n">
        <f aca="false">IF(AND(OR(AA1261="R",AA1261="NX",AA1261="NT",AA1261="CO"),OR('JOINTS DE RÉPARATION'!$D$5="TOUTES",B1261='JOINTS DE RÉPARATION'!$D$5),OR('JOINTS DE RÉPARATION'!$L$4="TOUS",AQ1261&lt;&gt;"ACCEPTÉ")),1,0)</f>
        <v>0</v>
      </c>
      <c r="AV1261" s="82" t="str">
        <f aca="false">IF(AU1261=1,SUM(AU$7:AU1261),"")</f>
        <v/>
      </c>
      <c r="AW1261" s="82" t="str">
        <f aca="false">IF(E1261="","",B1261&amp;"|"&amp;E1261)</f>
        <v>MFD-ISW → MFD-CPF|DJ°325</v>
      </c>
    </row>
    <row r="1262" customFormat="false" ht="74.6" hidden="false" customHeight="false" outlineLevel="0" collapsed="false">
      <c r="A1262" s="79" t="n">
        <f aca="false">IF(E1262="","",ROW()-6)</f>
        <v>1256</v>
      </c>
      <c r="B1262" s="80" t="s">
        <v>110</v>
      </c>
      <c r="C1262" s="81" t="s">
        <v>1473</v>
      </c>
      <c r="D1262" s="81" t="n">
        <v>10</v>
      </c>
      <c r="E1262" s="81" t="s">
        <v>1513</v>
      </c>
      <c r="F1262" s="82" t="str">
        <f aca="false">IF(E1262="","",IF(LEFT(E1262,2)="DJ","DJ","JN"))</f>
        <v>JN</v>
      </c>
      <c r="G1262" s="81" t="s">
        <v>1504</v>
      </c>
      <c r="H1262" s="81" t="s">
        <v>871</v>
      </c>
      <c r="I1262" s="81" t="n">
        <v>9.53</v>
      </c>
      <c r="J1262" s="81" t="s">
        <v>872</v>
      </c>
      <c r="K1262" s="81" t="s">
        <v>879</v>
      </c>
      <c r="L1262" s="81" t="n">
        <v>2086250</v>
      </c>
      <c r="M1262" s="81" t="n">
        <v>15421107</v>
      </c>
      <c r="N1262" s="81" t="n">
        <v>11.94</v>
      </c>
      <c r="O1262" s="81" t="n">
        <v>2089000</v>
      </c>
      <c r="P1262" s="81" t="n">
        <v>15421102</v>
      </c>
      <c r="Q1262" s="81" t="n">
        <v>11.94</v>
      </c>
      <c r="R1262" s="81" t="s">
        <v>1367</v>
      </c>
      <c r="S1262" s="81"/>
      <c r="T1262" s="81"/>
      <c r="U1262" s="83" t="n">
        <v>46278</v>
      </c>
      <c r="V1262" s="83" t="n">
        <v>46278</v>
      </c>
      <c r="W1262" s="81" t="s">
        <v>1505</v>
      </c>
      <c r="X1262" s="81" t="s">
        <v>876</v>
      </c>
      <c r="Y1262" s="83" t="n">
        <v>46283</v>
      </c>
      <c r="Z1262" s="81" t="s">
        <v>1476</v>
      </c>
      <c r="AA1262" s="81" t="s">
        <v>876</v>
      </c>
      <c r="AB1262" s="81"/>
      <c r="AC1262" s="81"/>
      <c r="AD1262" s="81"/>
      <c r="AE1262" s="83"/>
      <c r="AF1262" s="81"/>
      <c r="AG1262" s="81"/>
      <c r="AH1262" s="81"/>
      <c r="AI1262" s="81"/>
      <c r="AJ1262" s="83"/>
      <c r="AK1262" s="81"/>
      <c r="AL1262" s="81"/>
      <c r="AM1262" s="83"/>
      <c r="AN1262" s="80"/>
      <c r="AO1262" s="82" t="n">
        <f aca="false">IF(E1262="","",(AA1262&lt;&gt;"")+(AG1262&lt;&gt;"")+(AL1262&lt;&gt;""))</f>
        <v>1</v>
      </c>
      <c r="AP1262" s="82" t="str">
        <f aca="false">IF(AL1262&lt;&gt;"",AL1262,IF(AG1262&lt;&gt;"",AG1262,IF(AA1262&lt;&gt;"",AA1262,"")))</f>
        <v>A</v>
      </c>
      <c r="AQ1262" s="84" t="str">
        <f aca="false">IF(E1262="","",IF(U1262="","À SOUDER",IF(X1262="","VT EN ATTENTE",IF(X1262="R","VT REJETÉ – À REPRENDRE",IF(AP1262="","À RADIOGRAPHIER",IF(AP1262="A","ACCEPTÉ",IF(AP1262="NX","NX – RT À REFAIRE",IF(IF(AO1262=1,AD1262,IF(AO1262=2,AI1262,""))="A","RÉPARÉ – À RADIOGRAPHIER",IF(IF(AO1262=1,AD1262,IF(AO1262=2,AI1262,""))="R","VT REJETÉ – À REPRENDRE",IF(OR(AP1262="CO",AP1262="NT"),"COUPE – À RESOUDER","À RÉPARER"))))))))))</f>
        <v>ACCEPTÉ</v>
      </c>
      <c r="AR1262" s="82" t="str">
        <f aca="false">IF(AND(ISNUMBER(U1262),OR(AQ1262="À RADIOGRAPHIER",AQ1262="RÉPARÉ – À RADIOGRAPHIER",AQ1262="NX – RT À REFAIRE",AQ1262="À RÉPARER",AQ1262="COUPE – À RESOUDER",AQ1262="VT REJETÉ – À REPRENDRE")),MAX(0,'PROGRAMME RT'!$C$4-U1262),"")</f>
        <v/>
      </c>
      <c r="AS1262" s="82" t="n">
        <f aca="false">IF(AND(OR(AQ1262="À RADIOGRAPHIER",AQ1262="RÉPARÉ – À RADIOGRAPHIER",AQ1262="NX – RT À REFAIRE"),OR('PROGRAMME RT'!$D$5="TOUTES",B1262='PROGRAMME RT'!$D$5)),1,0)</f>
        <v>0</v>
      </c>
      <c r="AT1262" s="82" t="str">
        <f aca="false">IF(AS1262=1,SUM(AS$7:AS1262),"")</f>
        <v/>
      </c>
      <c r="AU1262" s="82" t="n">
        <f aca="false">IF(AND(OR(AA1262="R",AA1262="NX",AA1262="NT",AA1262="CO"),OR('JOINTS DE RÉPARATION'!$D$5="TOUTES",B1262='JOINTS DE RÉPARATION'!$D$5),OR('JOINTS DE RÉPARATION'!$L$4="TOUS",AQ1262&lt;&gt;"ACCEPTÉ")),1,0)</f>
        <v>0</v>
      </c>
      <c r="AV1262" s="82" t="str">
        <f aca="false">IF(AU1262=1,SUM(AU$7:AU1262),"")</f>
        <v/>
      </c>
      <c r="AW1262" s="82" t="str">
        <f aca="false">IF(E1262="","",B1262&amp;"|"&amp;E1262)</f>
        <v>MFD-ISW → MFD-CPF|JN°1072</v>
      </c>
    </row>
    <row r="1263" customFormat="false" ht="74.6" hidden="false" customHeight="false" outlineLevel="0" collapsed="false">
      <c r="A1263" s="79" t="n">
        <f aca="false">IF(E1263="","",ROW()-6)</f>
        <v>1257</v>
      </c>
      <c r="B1263" s="80" t="s">
        <v>110</v>
      </c>
      <c r="C1263" s="81" t="s">
        <v>1473</v>
      </c>
      <c r="D1263" s="81" t="n">
        <v>10</v>
      </c>
      <c r="E1263" s="81" t="s">
        <v>1514</v>
      </c>
      <c r="F1263" s="82" t="str">
        <f aca="false">IF(E1263="","",IF(LEFT(E1263,2)="DJ","DJ","JN"))</f>
        <v>DJ</v>
      </c>
      <c r="G1263" s="81"/>
      <c r="H1263" s="81" t="s">
        <v>871</v>
      </c>
      <c r="I1263" s="81" t="n">
        <v>9.53</v>
      </c>
      <c r="J1263" s="81" t="s">
        <v>872</v>
      </c>
      <c r="K1263" s="81" t="s">
        <v>873</v>
      </c>
      <c r="L1263" s="81" t="n">
        <v>2089000</v>
      </c>
      <c r="M1263" s="81" t="n">
        <v>15421102</v>
      </c>
      <c r="N1263" s="81" t="n">
        <v>11.94</v>
      </c>
      <c r="O1263" s="81" t="n">
        <v>2089460</v>
      </c>
      <c r="P1263" s="81" t="n">
        <v>15421109</v>
      </c>
      <c r="Q1263" s="81" t="n">
        <v>11.94</v>
      </c>
      <c r="R1263" s="81" t="s">
        <v>1147</v>
      </c>
      <c r="S1263" s="81"/>
      <c r="T1263" s="81"/>
      <c r="U1263" s="83" t="n">
        <v>46273</v>
      </c>
      <c r="V1263" s="83" t="n">
        <v>46273</v>
      </c>
      <c r="W1263" s="81" t="s">
        <v>1499</v>
      </c>
      <c r="X1263" s="81" t="s">
        <v>876</v>
      </c>
      <c r="Y1263" s="83" t="n">
        <v>46274</v>
      </c>
      <c r="Z1263" s="81" t="s">
        <v>1500</v>
      </c>
      <c r="AA1263" s="81" t="s">
        <v>876</v>
      </c>
      <c r="AB1263" s="81"/>
      <c r="AC1263" s="81"/>
      <c r="AD1263" s="81"/>
      <c r="AE1263" s="83"/>
      <c r="AF1263" s="81"/>
      <c r="AG1263" s="81"/>
      <c r="AH1263" s="81"/>
      <c r="AI1263" s="81"/>
      <c r="AJ1263" s="83"/>
      <c r="AK1263" s="81"/>
      <c r="AL1263" s="81"/>
      <c r="AM1263" s="83"/>
      <c r="AN1263" s="80"/>
      <c r="AO1263" s="82" t="n">
        <f aca="false">IF(E1263="","",(AA1263&lt;&gt;"")+(AG1263&lt;&gt;"")+(AL1263&lt;&gt;""))</f>
        <v>1</v>
      </c>
      <c r="AP1263" s="82" t="str">
        <f aca="false">IF(AL1263&lt;&gt;"",AL1263,IF(AG1263&lt;&gt;"",AG1263,IF(AA1263&lt;&gt;"",AA1263,"")))</f>
        <v>A</v>
      </c>
      <c r="AQ1263" s="84" t="str">
        <f aca="false">IF(E1263="","",IF(U1263="","À SOUDER",IF(X1263="","VT EN ATTENTE",IF(X1263="R","VT REJETÉ – À REPRENDRE",IF(AP1263="","À RADIOGRAPHIER",IF(AP1263="A","ACCEPTÉ",IF(AP1263="NX","NX – RT À REFAIRE",IF(IF(AO1263=1,AD1263,IF(AO1263=2,AI1263,""))="A","RÉPARÉ – À RADIOGRAPHIER",IF(IF(AO1263=1,AD1263,IF(AO1263=2,AI1263,""))="R","VT REJETÉ – À REPRENDRE",IF(OR(AP1263="CO",AP1263="NT"),"COUPE – À RESOUDER","À RÉPARER"))))))))))</f>
        <v>ACCEPTÉ</v>
      </c>
      <c r="AR1263" s="82" t="str">
        <f aca="false">IF(AND(ISNUMBER(U1263),OR(AQ1263="À RADIOGRAPHIER",AQ1263="RÉPARÉ – À RADIOGRAPHIER",AQ1263="NX – RT À REFAIRE",AQ1263="À RÉPARER",AQ1263="COUPE – À RESOUDER",AQ1263="VT REJETÉ – À REPRENDRE")),MAX(0,'PROGRAMME RT'!$C$4-U1263),"")</f>
        <v/>
      </c>
      <c r="AS1263" s="82" t="n">
        <f aca="false">IF(AND(OR(AQ1263="À RADIOGRAPHIER",AQ1263="RÉPARÉ – À RADIOGRAPHIER",AQ1263="NX – RT À REFAIRE"),OR('PROGRAMME RT'!$D$5="TOUTES",B1263='PROGRAMME RT'!$D$5)),1,0)</f>
        <v>0</v>
      </c>
      <c r="AT1263" s="82" t="str">
        <f aca="false">IF(AS1263=1,SUM(AS$7:AS1263),"")</f>
        <v/>
      </c>
      <c r="AU1263" s="82" t="n">
        <f aca="false">IF(AND(OR(AA1263="R",AA1263="NX",AA1263="NT",AA1263="CO"),OR('JOINTS DE RÉPARATION'!$D$5="TOUTES",B1263='JOINTS DE RÉPARATION'!$D$5),OR('JOINTS DE RÉPARATION'!$L$4="TOUS",AQ1263&lt;&gt;"ACCEPTÉ")),1,0)</f>
        <v>0</v>
      </c>
      <c r="AV1263" s="82" t="str">
        <f aca="false">IF(AU1263=1,SUM(AU$7:AU1263),"")</f>
        <v/>
      </c>
      <c r="AW1263" s="82" t="str">
        <f aca="false">IF(E1263="","",B1263&amp;"|"&amp;E1263)</f>
        <v>MFD-ISW → MFD-CPF|DJ°319</v>
      </c>
    </row>
    <row r="1264" customFormat="false" ht="74.6" hidden="false" customHeight="false" outlineLevel="0" collapsed="false">
      <c r="A1264" s="79" t="n">
        <f aca="false">IF(E1264="","",ROW()-6)</f>
        <v>1258</v>
      </c>
      <c r="B1264" s="80" t="s">
        <v>110</v>
      </c>
      <c r="C1264" s="81" t="s">
        <v>1473</v>
      </c>
      <c r="D1264" s="81" t="n">
        <v>10</v>
      </c>
      <c r="E1264" s="81" t="s">
        <v>1515</v>
      </c>
      <c r="F1264" s="82" t="str">
        <f aca="false">IF(E1264="","",IF(LEFT(E1264,2)="DJ","DJ","JN"))</f>
        <v>JN</v>
      </c>
      <c r="G1264" s="81" t="s">
        <v>1504</v>
      </c>
      <c r="H1264" s="81" t="s">
        <v>871</v>
      </c>
      <c r="I1264" s="81" t="n">
        <v>9.53</v>
      </c>
      <c r="J1264" s="81" t="s">
        <v>872</v>
      </c>
      <c r="K1264" s="81" t="s">
        <v>879</v>
      </c>
      <c r="L1264" s="81" t="n">
        <v>2089460</v>
      </c>
      <c r="M1264" s="81" t="n">
        <v>15421109</v>
      </c>
      <c r="N1264" s="81" t="n">
        <v>11.94</v>
      </c>
      <c r="O1264" s="81" t="n">
        <v>2088850</v>
      </c>
      <c r="P1264" s="81" t="n">
        <v>15421108</v>
      </c>
      <c r="Q1264" s="81" t="n">
        <v>11.94</v>
      </c>
      <c r="R1264" s="81" t="s">
        <v>1367</v>
      </c>
      <c r="S1264" s="81"/>
      <c r="T1264" s="81"/>
      <c r="U1264" s="83" t="n">
        <v>46278</v>
      </c>
      <c r="V1264" s="83" t="n">
        <v>46278</v>
      </c>
      <c r="W1264" s="81" t="s">
        <v>1505</v>
      </c>
      <c r="X1264" s="81" t="s">
        <v>876</v>
      </c>
      <c r="Y1264" s="83" t="n">
        <v>46283</v>
      </c>
      <c r="Z1264" s="81" t="s">
        <v>1476</v>
      </c>
      <c r="AA1264" s="81" t="s">
        <v>876</v>
      </c>
      <c r="AB1264" s="81"/>
      <c r="AC1264" s="81"/>
      <c r="AD1264" s="81"/>
      <c r="AE1264" s="83"/>
      <c r="AF1264" s="81"/>
      <c r="AG1264" s="81"/>
      <c r="AH1264" s="81"/>
      <c r="AI1264" s="81"/>
      <c r="AJ1264" s="83"/>
      <c r="AK1264" s="81"/>
      <c r="AL1264" s="81"/>
      <c r="AM1264" s="83"/>
      <c r="AN1264" s="80"/>
      <c r="AO1264" s="82" t="n">
        <f aca="false">IF(E1264="","",(AA1264&lt;&gt;"")+(AG1264&lt;&gt;"")+(AL1264&lt;&gt;""))</f>
        <v>1</v>
      </c>
      <c r="AP1264" s="82" t="str">
        <f aca="false">IF(AL1264&lt;&gt;"",AL1264,IF(AG1264&lt;&gt;"",AG1264,IF(AA1264&lt;&gt;"",AA1264,"")))</f>
        <v>A</v>
      </c>
      <c r="AQ1264" s="84" t="str">
        <f aca="false">IF(E1264="","",IF(U1264="","À SOUDER",IF(X1264="","VT EN ATTENTE",IF(X1264="R","VT REJETÉ – À REPRENDRE",IF(AP1264="","À RADIOGRAPHIER",IF(AP1264="A","ACCEPTÉ",IF(AP1264="NX","NX – RT À REFAIRE",IF(IF(AO1264=1,AD1264,IF(AO1264=2,AI1264,""))="A","RÉPARÉ – À RADIOGRAPHIER",IF(IF(AO1264=1,AD1264,IF(AO1264=2,AI1264,""))="R","VT REJETÉ – À REPRENDRE",IF(OR(AP1264="CO",AP1264="NT"),"COUPE – À RESOUDER","À RÉPARER"))))))))))</f>
        <v>ACCEPTÉ</v>
      </c>
      <c r="AR1264" s="82" t="str">
        <f aca="false">IF(AND(ISNUMBER(U1264),OR(AQ1264="À RADIOGRAPHIER",AQ1264="RÉPARÉ – À RADIOGRAPHIER",AQ1264="NX – RT À REFAIRE",AQ1264="À RÉPARER",AQ1264="COUPE – À RESOUDER",AQ1264="VT REJETÉ – À REPRENDRE")),MAX(0,'PROGRAMME RT'!$C$4-U1264),"")</f>
        <v/>
      </c>
      <c r="AS1264" s="82" t="n">
        <f aca="false">IF(AND(OR(AQ1264="À RADIOGRAPHIER",AQ1264="RÉPARÉ – À RADIOGRAPHIER",AQ1264="NX – RT À REFAIRE"),OR('PROGRAMME RT'!$D$5="TOUTES",B1264='PROGRAMME RT'!$D$5)),1,0)</f>
        <v>0</v>
      </c>
      <c r="AT1264" s="82" t="str">
        <f aca="false">IF(AS1264=1,SUM(AS$7:AS1264),"")</f>
        <v/>
      </c>
      <c r="AU1264" s="82" t="n">
        <f aca="false">IF(AND(OR(AA1264="R",AA1264="NX",AA1264="NT",AA1264="CO"),OR('JOINTS DE RÉPARATION'!$D$5="TOUTES",B1264='JOINTS DE RÉPARATION'!$D$5),OR('JOINTS DE RÉPARATION'!$L$4="TOUS",AQ1264&lt;&gt;"ACCEPTÉ")),1,0)</f>
        <v>0</v>
      </c>
      <c r="AV1264" s="82" t="str">
        <f aca="false">IF(AU1264=1,SUM(AU$7:AU1264),"")</f>
        <v/>
      </c>
      <c r="AW1264" s="82" t="str">
        <f aca="false">IF(E1264="","",B1264&amp;"|"&amp;E1264)</f>
        <v>MFD-ISW → MFD-CPF|JN°1073</v>
      </c>
    </row>
    <row r="1265" customFormat="false" ht="74.6" hidden="false" customHeight="false" outlineLevel="0" collapsed="false">
      <c r="A1265" s="79" t="n">
        <f aca="false">IF(E1265="","",ROW()-6)</f>
        <v>1259</v>
      </c>
      <c r="B1265" s="80" t="s">
        <v>110</v>
      </c>
      <c r="C1265" s="81" t="s">
        <v>1473</v>
      </c>
      <c r="D1265" s="81" t="n">
        <v>10</v>
      </c>
      <c r="E1265" s="81" t="s">
        <v>1516</v>
      </c>
      <c r="F1265" s="82" t="str">
        <f aca="false">IF(E1265="","",IF(LEFT(E1265,2)="DJ","DJ","JN"))</f>
        <v>DJ</v>
      </c>
      <c r="G1265" s="81"/>
      <c r="H1265" s="81" t="s">
        <v>871</v>
      </c>
      <c r="I1265" s="81" t="n">
        <v>9.53</v>
      </c>
      <c r="J1265" s="81" t="s">
        <v>872</v>
      </c>
      <c r="K1265" s="81" t="s">
        <v>873</v>
      </c>
      <c r="L1265" s="81" t="n">
        <v>2088850</v>
      </c>
      <c r="M1265" s="81" t="n">
        <v>15421108</v>
      </c>
      <c r="N1265" s="81" t="n">
        <v>11.94</v>
      </c>
      <c r="O1265" s="81" t="n">
        <v>2086500</v>
      </c>
      <c r="P1265" s="81" t="n">
        <v>15421111</v>
      </c>
      <c r="Q1265" s="81" t="n">
        <v>11.94</v>
      </c>
      <c r="R1265" s="81" t="s">
        <v>1517</v>
      </c>
      <c r="S1265" s="81"/>
      <c r="T1265" s="81"/>
      <c r="U1265" s="83" t="n">
        <v>46272</v>
      </c>
      <c r="V1265" s="83" t="n">
        <v>46272</v>
      </c>
      <c r="W1265" s="81" t="s">
        <v>1518</v>
      </c>
      <c r="X1265" s="81" t="s">
        <v>876</v>
      </c>
      <c r="Y1265" s="83" t="n">
        <v>46274</v>
      </c>
      <c r="Z1265" s="81" t="s">
        <v>1500</v>
      </c>
      <c r="AA1265" s="81" t="s">
        <v>876</v>
      </c>
      <c r="AB1265" s="81"/>
      <c r="AC1265" s="81"/>
      <c r="AD1265" s="81"/>
      <c r="AE1265" s="83"/>
      <c r="AF1265" s="81"/>
      <c r="AG1265" s="81"/>
      <c r="AH1265" s="81"/>
      <c r="AI1265" s="81"/>
      <c r="AJ1265" s="83"/>
      <c r="AK1265" s="81"/>
      <c r="AL1265" s="81"/>
      <c r="AM1265" s="83"/>
      <c r="AN1265" s="80"/>
      <c r="AO1265" s="82" t="n">
        <f aca="false">IF(E1265="","",(AA1265&lt;&gt;"")+(AG1265&lt;&gt;"")+(AL1265&lt;&gt;""))</f>
        <v>1</v>
      </c>
      <c r="AP1265" s="82" t="str">
        <f aca="false">IF(AL1265&lt;&gt;"",AL1265,IF(AG1265&lt;&gt;"",AG1265,IF(AA1265&lt;&gt;"",AA1265,"")))</f>
        <v>A</v>
      </c>
      <c r="AQ1265" s="84" t="str">
        <f aca="false">IF(E1265="","",IF(U1265="","À SOUDER",IF(X1265="","VT EN ATTENTE",IF(X1265="R","VT REJETÉ – À REPRENDRE",IF(AP1265="","À RADIOGRAPHIER",IF(AP1265="A","ACCEPTÉ",IF(AP1265="NX","NX – RT À REFAIRE",IF(IF(AO1265=1,AD1265,IF(AO1265=2,AI1265,""))="A","RÉPARÉ – À RADIOGRAPHIER",IF(IF(AO1265=1,AD1265,IF(AO1265=2,AI1265,""))="R","VT REJETÉ – À REPRENDRE",IF(OR(AP1265="CO",AP1265="NT"),"COUPE – À RESOUDER","À RÉPARER"))))))))))</f>
        <v>ACCEPTÉ</v>
      </c>
      <c r="AR1265" s="82" t="str">
        <f aca="false">IF(AND(ISNUMBER(U1265),OR(AQ1265="À RADIOGRAPHIER",AQ1265="RÉPARÉ – À RADIOGRAPHIER",AQ1265="NX – RT À REFAIRE",AQ1265="À RÉPARER",AQ1265="COUPE – À RESOUDER",AQ1265="VT REJETÉ – À REPRENDRE")),MAX(0,'PROGRAMME RT'!$C$4-U1265),"")</f>
        <v/>
      </c>
      <c r="AS1265" s="82" t="n">
        <f aca="false">IF(AND(OR(AQ1265="À RADIOGRAPHIER",AQ1265="RÉPARÉ – À RADIOGRAPHIER",AQ1265="NX – RT À REFAIRE"),OR('PROGRAMME RT'!$D$5="TOUTES",B1265='PROGRAMME RT'!$D$5)),1,0)</f>
        <v>0</v>
      </c>
      <c r="AT1265" s="82" t="str">
        <f aca="false">IF(AS1265=1,SUM(AS$7:AS1265),"")</f>
        <v/>
      </c>
      <c r="AU1265" s="82" t="n">
        <f aca="false">IF(AND(OR(AA1265="R",AA1265="NX",AA1265="NT",AA1265="CO"),OR('JOINTS DE RÉPARATION'!$D$5="TOUTES",B1265='JOINTS DE RÉPARATION'!$D$5),OR('JOINTS DE RÉPARATION'!$L$4="TOUS",AQ1265&lt;&gt;"ACCEPTÉ")),1,0)</f>
        <v>0</v>
      </c>
      <c r="AV1265" s="82" t="str">
        <f aca="false">IF(AU1265=1,SUM(AU$7:AU1265),"")</f>
        <v/>
      </c>
      <c r="AW1265" s="82" t="str">
        <f aca="false">IF(E1265="","",B1265&amp;"|"&amp;E1265)</f>
        <v>MFD-ISW → MFD-CPF|DJ°318</v>
      </c>
    </row>
    <row r="1266" customFormat="false" ht="74.6" hidden="false" customHeight="false" outlineLevel="0" collapsed="false">
      <c r="A1266" s="79" t="n">
        <f aca="false">IF(E1266="","",ROW()-6)</f>
        <v>1260</v>
      </c>
      <c r="B1266" s="80" t="s">
        <v>110</v>
      </c>
      <c r="C1266" s="81" t="s">
        <v>1473</v>
      </c>
      <c r="D1266" s="81" t="n">
        <v>10</v>
      </c>
      <c r="E1266" s="81" t="s">
        <v>1519</v>
      </c>
      <c r="F1266" s="82" t="str">
        <f aca="false">IF(E1266="","",IF(LEFT(E1266,2)="DJ","DJ","JN"))</f>
        <v>JN</v>
      </c>
      <c r="G1266" s="81" t="s">
        <v>1504</v>
      </c>
      <c r="H1266" s="81" t="s">
        <v>871</v>
      </c>
      <c r="I1266" s="81" t="n">
        <v>9.53</v>
      </c>
      <c r="J1266" s="81" t="s">
        <v>872</v>
      </c>
      <c r="K1266" s="81" t="s">
        <v>879</v>
      </c>
      <c r="L1266" s="81" t="n">
        <v>2086500</v>
      </c>
      <c r="M1266" s="81" t="n">
        <v>15421111</v>
      </c>
      <c r="N1266" s="81" t="n">
        <v>11.94</v>
      </c>
      <c r="O1266" s="81" t="n">
        <v>2079210</v>
      </c>
      <c r="P1266" s="81" t="n">
        <v>15421102</v>
      </c>
      <c r="Q1266" s="81" t="n">
        <v>11.94</v>
      </c>
      <c r="R1266" s="81" t="s">
        <v>1367</v>
      </c>
      <c r="S1266" s="81"/>
      <c r="T1266" s="81"/>
      <c r="U1266" s="83" t="n">
        <v>46278</v>
      </c>
      <c r="V1266" s="83" t="n">
        <v>46278</v>
      </c>
      <c r="W1266" s="81" t="s">
        <v>1505</v>
      </c>
      <c r="X1266" s="81" t="s">
        <v>876</v>
      </c>
      <c r="Y1266" s="83" t="n">
        <v>46283</v>
      </c>
      <c r="Z1266" s="81" t="s">
        <v>1520</v>
      </c>
      <c r="AA1266" s="81" t="s">
        <v>876</v>
      </c>
      <c r="AB1266" s="81"/>
      <c r="AC1266" s="81"/>
      <c r="AD1266" s="81"/>
      <c r="AE1266" s="83"/>
      <c r="AF1266" s="81"/>
      <c r="AG1266" s="81"/>
      <c r="AH1266" s="81"/>
      <c r="AI1266" s="81"/>
      <c r="AJ1266" s="83"/>
      <c r="AK1266" s="81"/>
      <c r="AL1266" s="81"/>
      <c r="AM1266" s="83"/>
      <c r="AN1266" s="80"/>
      <c r="AO1266" s="82" t="n">
        <f aca="false">IF(E1266="","",(AA1266&lt;&gt;"")+(AG1266&lt;&gt;"")+(AL1266&lt;&gt;""))</f>
        <v>1</v>
      </c>
      <c r="AP1266" s="82" t="str">
        <f aca="false">IF(AL1266&lt;&gt;"",AL1266,IF(AG1266&lt;&gt;"",AG1266,IF(AA1266&lt;&gt;"",AA1266,"")))</f>
        <v>A</v>
      </c>
      <c r="AQ1266" s="84" t="str">
        <f aca="false">IF(E1266="","",IF(U1266="","À SOUDER",IF(X1266="","VT EN ATTENTE",IF(X1266="R","VT REJETÉ – À REPRENDRE",IF(AP1266="","À RADIOGRAPHIER",IF(AP1266="A","ACCEPTÉ",IF(AP1266="NX","NX – RT À REFAIRE",IF(IF(AO1266=1,AD1266,IF(AO1266=2,AI1266,""))="A","RÉPARÉ – À RADIOGRAPHIER",IF(IF(AO1266=1,AD1266,IF(AO1266=2,AI1266,""))="R","VT REJETÉ – À REPRENDRE",IF(OR(AP1266="CO",AP1266="NT"),"COUPE – À RESOUDER","À RÉPARER"))))))))))</f>
        <v>ACCEPTÉ</v>
      </c>
      <c r="AR1266" s="82" t="str">
        <f aca="false">IF(AND(ISNUMBER(U1266),OR(AQ1266="À RADIOGRAPHIER",AQ1266="RÉPARÉ – À RADIOGRAPHIER",AQ1266="NX – RT À REFAIRE",AQ1266="À RÉPARER",AQ1266="COUPE – À RESOUDER",AQ1266="VT REJETÉ – À REPRENDRE")),MAX(0,'PROGRAMME RT'!$C$4-U1266),"")</f>
        <v/>
      </c>
      <c r="AS1266" s="82" t="n">
        <f aca="false">IF(AND(OR(AQ1266="À RADIOGRAPHIER",AQ1266="RÉPARÉ – À RADIOGRAPHIER",AQ1266="NX – RT À REFAIRE"),OR('PROGRAMME RT'!$D$5="TOUTES",B1266='PROGRAMME RT'!$D$5)),1,0)</f>
        <v>0</v>
      </c>
      <c r="AT1266" s="82" t="str">
        <f aca="false">IF(AS1266=1,SUM(AS$7:AS1266),"")</f>
        <v/>
      </c>
      <c r="AU1266" s="82" t="n">
        <f aca="false">IF(AND(OR(AA1266="R",AA1266="NX",AA1266="NT",AA1266="CO"),OR('JOINTS DE RÉPARATION'!$D$5="TOUTES",B1266='JOINTS DE RÉPARATION'!$D$5),OR('JOINTS DE RÉPARATION'!$L$4="TOUS",AQ1266&lt;&gt;"ACCEPTÉ")),1,0)</f>
        <v>0</v>
      </c>
      <c r="AV1266" s="82" t="str">
        <f aca="false">IF(AU1266=1,SUM(AU$7:AU1266),"")</f>
        <v/>
      </c>
      <c r="AW1266" s="82" t="str">
        <f aca="false">IF(E1266="","",B1266&amp;"|"&amp;E1266)</f>
        <v>MFD-ISW → MFD-CPF|JN°1074</v>
      </c>
    </row>
    <row r="1267" customFormat="false" ht="74.6" hidden="false" customHeight="false" outlineLevel="0" collapsed="false">
      <c r="A1267" s="79" t="n">
        <f aca="false">IF(E1267="","",ROW()-6)</f>
        <v>1261</v>
      </c>
      <c r="B1267" s="80" t="s">
        <v>110</v>
      </c>
      <c r="C1267" s="81" t="s">
        <v>1473</v>
      </c>
      <c r="D1267" s="81" t="n">
        <v>10</v>
      </c>
      <c r="E1267" s="81" t="s">
        <v>1521</v>
      </c>
      <c r="F1267" s="82" t="str">
        <f aca="false">IF(E1267="","",IF(LEFT(E1267,2)="DJ","DJ","JN"))</f>
        <v>DJ</v>
      </c>
      <c r="G1267" s="81"/>
      <c r="H1267" s="81" t="s">
        <v>871</v>
      </c>
      <c r="I1267" s="81" t="n">
        <v>9.53</v>
      </c>
      <c r="J1267" s="81" t="s">
        <v>872</v>
      </c>
      <c r="K1267" s="81" t="s">
        <v>873</v>
      </c>
      <c r="L1267" s="81" t="n">
        <v>2079210</v>
      </c>
      <c r="M1267" s="81" t="n">
        <v>15421102</v>
      </c>
      <c r="N1267" s="81" t="n">
        <v>11.94</v>
      </c>
      <c r="O1267" s="81" t="n">
        <v>2080910</v>
      </c>
      <c r="P1267" s="81" t="n">
        <v>15421103</v>
      </c>
      <c r="Q1267" s="81" t="n">
        <v>11.94</v>
      </c>
      <c r="R1267" s="81" t="s">
        <v>1147</v>
      </c>
      <c r="S1267" s="81"/>
      <c r="T1267" s="81"/>
      <c r="U1267" s="83" t="n">
        <v>46272</v>
      </c>
      <c r="V1267" s="83" t="n">
        <v>46272</v>
      </c>
      <c r="W1267" s="81" t="s">
        <v>1518</v>
      </c>
      <c r="X1267" s="81" t="s">
        <v>876</v>
      </c>
      <c r="Y1267" s="83" t="n">
        <v>46273</v>
      </c>
      <c r="Z1267" s="81" t="s">
        <v>1522</v>
      </c>
      <c r="AA1267" s="81" t="s">
        <v>876</v>
      </c>
      <c r="AB1267" s="81"/>
      <c r="AC1267" s="81"/>
      <c r="AD1267" s="81"/>
      <c r="AE1267" s="83"/>
      <c r="AF1267" s="81"/>
      <c r="AG1267" s="81"/>
      <c r="AH1267" s="81"/>
      <c r="AI1267" s="81"/>
      <c r="AJ1267" s="83"/>
      <c r="AK1267" s="81"/>
      <c r="AL1267" s="81"/>
      <c r="AM1267" s="83"/>
      <c r="AN1267" s="80"/>
      <c r="AO1267" s="82" t="n">
        <f aca="false">IF(E1267="","",(AA1267&lt;&gt;"")+(AG1267&lt;&gt;"")+(AL1267&lt;&gt;""))</f>
        <v>1</v>
      </c>
      <c r="AP1267" s="82" t="str">
        <f aca="false">IF(AL1267&lt;&gt;"",AL1267,IF(AG1267&lt;&gt;"",AG1267,IF(AA1267&lt;&gt;"",AA1267,"")))</f>
        <v>A</v>
      </c>
      <c r="AQ1267" s="84" t="str">
        <f aca="false">IF(E1267="","",IF(U1267="","À SOUDER",IF(X1267="","VT EN ATTENTE",IF(X1267="R","VT REJETÉ – À REPRENDRE",IF(AP1267="","À RADIOGRAPHIER",IF(AP1267="A","ACCEPTÉ",IF(AP1267="NX","NX – RT À REFAIRE",IF(IF(AO1267=1,AD1267,IF(AO1267=2,AI1267,""))="A","RÉPARÉ – À RADIOGRAPHIER",IF(IF(AO1267=1,AD1267,IF(AO1267=2,AI1267,""))="R","VT REJETÉ – À REPRENDRE",IF(OR(AP1267="CO",AP1267="NT"),"COUPE – À RESOUDER","À RÉPARER"))))))))))</f>
        <v>ACCEPTÉ</v>
      </c>
      <c r="AR1267" s="82" t="str">
        <f aca="false">IF(AND(ISNUMBER(U1267),OR(AQ1267="À RADIOGRAPHIER",AQ1267="RÉPARÉ – À RADIOGRAPHIER",AQ1267="NX – RT À REFAIRE",AQ1267="À RÉPARER",AQ1267="COUPE – À RESOUDER",AQ1267="VT REJETÉ – À REPRENDRE")),MAX(0,'PROGRAMME RT'!$C$4-U1267),"")</f>
        <v/>
      </c>
      <c r="AS1267" s="82" t="n">
        <f aca="false">IF(AND(OR(AQ1267="À RADIOGRAPHIER",AQ1267="RÉPARÉ – À RADIOGRAPHIER",AQ1267="NX – RT À REFAIRE"),OR('PROGRAMME RT'!$D$5="TOUTES",B1267='PROGRAMME RT'!$D$5)),1,0)</f>
        <v>0</v>
      </c>
      <c r="AT1267" s="82" t="str">
        <f aca="false">IF(AS1267=1,SUM(AS$7:AS1267),"")</f>
        <v/>
      </c>
      <c r="AU1267" s="82" t="n">
        <f aca="false">IF(AND(OR(AA1267="R",AA1267="NX",AA1267="NT",AA1267="CO"),OR('JOINTS DE RÉPARATION'!$D$5="TOUTES",B1267='JOINTS DE RÉPARATION'!$D$5),OR('JOINTS DE RÉPARATION'!$L$4="TOUS",AQ1267&lt;&gt;"ACCEPTÉ")),1,0)</f>
        <v>0</v>
      </c>
      <c r="AV1267" s="82" t="str">
        <f aca="false">IF(AU1267=1,SUM(AU$7:AU1267),"")</f>
        <v/>
      </c>
      <c r="AW1267" s="82" t="str">
        <f aca="false">IF(E1267="","",B1267&amp;"|"&amp;E1267)</f>
        <v>MFD-ISW → MFD-CPF|DJ°308</v>
      </c>
    </row>
    <row r="1268" customFormat="false" ht="74.6" hidden="false" customHeight="false" outlineLevel="0" collapsed="false">
      <c r="A1268" s="79" t="n">
        <f aca="false">IF(E1268="","",ROW()-6)</f>
        <v>1262</v>
      </c>
      <c r="B1268" s="80" t="s">
        <v>110</v>
      </c>
      <c r="C1268" s="81" t="s">
        <v>1473</v>
      </c>
      <c r="D1268" s="81" t="n">
        <v>10</v>
      </c>
      <c r="E1268" s="81" t="s">
        <v>1523</v>
      </c>
      <c r="F1268" s="82" t="str">
        <f aca="false">IF(E1268="","",IF(LEFT(E1268,2)="DJ","DJ","JN"))</f>
        <v>JN</v>
      </c>
      <c r="G1268" s="81" t="s">
        <v>1504</v>
      </c>
      <c r="H1268" s="81" t="s">
        <v>871</v>
      </c>
      <c r="I1268" s="81" t="n">
        <v>9.53</v>
      </c>
      <c r="J1268" s="81" t="s">
        <v>872</v>
      </c>
      <c r="K1268" s="81" t="s">
        <v>879</v>
      </c>
      <c r="L1268" s="81" t="n">
        <v>2080910</v>
      </c>
      <c r="M1268" s="81" t="n">
        <v>15421103</v>
      </c>
      <c r="N1268" s="81" t="n">
        <v>11.94</v>
      </c>
      <c r="O1268" s="81" t="n">
        <v>2084070</v>
      </c>
      <c r="P1268" s="81" t="n">
        <v>15421106</v>
      </c>
      <c r="Q1268" s="81" t="n">
        <v>11.94</v>
      </c>
      <c r="R1268" s="81" t="s">
        <v>1367</v>
      </c>
      <c r="S1268" s="81"/>
      <c r="T1268" s="81"/>
      <c r="U1268" s="83" t="n">
        <v>46278</v>
      </c>
      <c r="V1268" s="83" t="n">
        <v>46278</v>
      </c>
      <c r="W1268" s="81" t="s">
        <v>1505</v>
      </c>
      <c r="X1268" s="81" t="s">
        <v>876</v>
      </c>
      <c r="Y1268" s="83" t="n">
        <v>46283</v>
      </c>
      <c r="Z1268" s="81" t="s">
        <v>1520</v>
      </c>
      <c r="AA1268" s="81" t="s">
        <v>876</v>
      </c>
      <c r="AB1268" s="81"/>
      <c r="AC1268" s="81"/>
      <c r="AD1268" s="81"/>
      <c r="AE1268" s="83"/>
      <c r="AF1268" s="81"/>
      <c r="AG1268" s="81"/>
      <c r="AH1268" s="81"/>
      <c r="AI1268" s="81"/>
      <c r="AJ1268" s="83"/>
      <c r="AK1268" s="81"/>
      <c r="AL1268" s="81"/>
      <c r="AM1268" s="83"/>
      <c r="AN1268" s="80"/>
      <c r="AO1268" s="82" t="n">
        <f aca="false">IF(E1268="","",(AA1268&lt;&gt;"")+(AG1268&lt;&gt;"")+(AL1268&lt;&gt;""))</f>
        <v>1</v>
      </c>
      <c r="AP1268" s="82" t="str">
        <f aca="false">IF(AL1268&lt;&gt;"",AL1268,IF(AG1268&lt;&gt;"",AG1268,IF(AA1268&lt;&gt;"",AA1268,"")))</f>
        <v>A</v>
      </c>
      <c r="AQ1268" s="84" t="str">
        <f aca="false">IF(E1268="","",IF(U1268="","À SOUDER",IF(X1268="","VT EN ATTENTE",IF(X1268="R","VT REJETÉ – À REPRENDRE",IF(AP1268="","À RADIOGRAPHIER",IF(AP1268="A","ACCEPTÉ",IF(AP1268="NX","NX – RT À REFAIRE",IF(IF(AO1268=1,AD1268,IF(AO1268=2,AI1268,""))="A","RÉPARÉ – À RADIOGRAPHIER",IF(IF(AO1268=1,AD1268,IF(AO1268=2,AI1268,""))="R","VT REJETÉ – À REPRENDRE",IF(OR(AP1268="CO",AP1268="NT"),"COUPE – À RESOUDER","À RÉPARER"))))))))))</f>
        <v>ACCEPTÉ</v>
      </c>
      <c r="AR1268" s="82" t="str">
        <f aca="false">IF(AND(ISNUMBER(U1268),OR(AQ1268="À RADIOGRAPHIER",AQ1268="RÉPARÉ – À RADIOGRAPHIER",AQ1268="NX – RT À REFAIRE",AQ1268="À RÉPARER",AQ1268="COUPE – À RESOUDER",AQ1268="VT REJETÉ – À REPRENDRE")),MAX(0,'PROGRAMME RT'!$C$4-U1268),"")</f>
        <v/>
      </c>
      <c r="AS1268" s="82" t="n">
        <f aca="false">IF(AND(OR(AQ1268="À RADIOGRAPHIER",AQ1268="RÉPARÉ – À RADIOGRAPHIER",AQ1268="NX – RT À REFAIRE"),OR('PROGRAMME RT'!$D$5="TOUTES",B1268='PROGRAMME RT'!$D$5)),1,0)</f>
        <v>0</v>
      </c>
      <c r="AT1268" s="82" t="str">
        <f aca="false">IF(AS1268=1,SUM(AS$7:AS1268),"")</f>
        <v/>
      </c>
      <c r="AU1268" s="82" t="n">
        <f aca="false">IF(AND(OR(AA1268="R",AA1268="NX",AA1268="NT",AA1268="CO"),OR('JOINTS DE RÉPARATION'!$D$5="TOUTES",B1268='JOINTS DE RÉPARATION'!$D$5),OR('JOINTS DE RÉPARATION'!$L$4="TOUS",AQ1268&lt;&gt;"ACCEPTÉ")),1,0)</f>
        <v>0</v>
      </c>
      <c r="AV1268" s="82" t="str">
        <f aca="false">IF(AU1268=1,SUM(AU$7:AU1268),"")</f>
        <v/>
      </c>
      <c r="AW1268" s="82" t="str">
        <f aca="false">IF(E1268="","",B1268&amp;"|"&amp;E1268)</f>
        <v>MFD-ISW → MFD-CPF|JN°1075</v>
      </c>
    </row>
    <row r="1269" customFormat="false" ht="74.6" hidden="false" customHeight="false" outlineLevel="0" collapsed="false">
      <c r="A1269" s="79" t="n">
        <f aca="false">IF(E1269="","",ROW()-6)</f>
        <v>1263</v>
      </c>
      <c r="B1269" s="80" t="s">
        <v>110</v>
      </c>
      <c r="C1269" s="81" t="s">
        <v>1473</v>
      </c>
      <c r="D1269" s="81" t="n">
        <v>10</v>
      </c>
      <c r="E1269" s="81" t="s">
        <v>1524</v>
      </c>
      <c r="F1269" s="82" t="str">
        <f aca="false">IF(E1269="","",IF(LEFT(E1269,2)="DJ","DJ","JN"))</f>
        <v>DJ</v>
      </c>
      <c r="G1269" s="81"/>
      <c r="H1269" s="81" t="s">
        <v>871</v>
      </c>
      <c r="I1269" s="81" t="n">
        <v>9.53</v>
      </c>
      <c r="J1269" s="81" t="s">
        <v>872</v>
      </c>
      <c r="K1269" s="81" t="s">
        <v>873</v>
      </c>
      <c r="L1269" s="81" t="n">
        <v>2084070</v>
      </c>
      <c r="M1269" s="81" t="n">
        <v>15421106</v>
      </c>
      <c r="N1269" s="81" t="n">
        <v>11.94</v>
      </c>
      <c r="O1269" s="81" t="n">
        <v>2089540</v>
      </c>
      <c r="P1269" s="81" t="n">
        <v>15421109</v>
      </c>
      <c r="Q1269" s="81" t="n">
        <v>11.94</v>
      </c>
      <c r="R1269" s="81" t="s">
        <v>963</v>
      </c>
      <c r="S1269" s="81"/>
      <c r="T1269" s="81"/>
      <c r="U1269" s="83" t="n">
        <v>46272</v>
      </c>
      <c r="V1269" s="83" t="n">
        <v>46272</v>
      </c>
      <c r="W1269" s="81" t="s">
        <v>1518</v>
      </c>
      <c r="X1269" s="81" t="s">
        <v>876</v>
      </c>
      <c r="Y1269" s="83" t="n">
        <v>46273</v>
      </c>
      <c r="Z1269" s="81" t="s">
        <v>1522</v>
      </c>
      <c r="AA1269" s="81" t="s">
        <v>876</v>
      </c>
      <c r="AB1269" s="81"/>
      <c r="AC1269" s="81"/>
      <c r="AD1269" s="81"/>
      <c r="AE1269" s="83"/>
      <c r="AF1269" s="81"/>
      <c r="AG1269" s="81"/>
      <c r="AH1269" s="81"/>
      <c r="AI1269" s="81"/>
      <c r="AJ1269" s="83"/>
      <c r="AK1269" s="81"/>
      <c r="AL1269" s="81"/>
      <c r="AM1269" s="83"/>
      <c r="AN1269" s="80"/>
      <c r="AO1269" s="82" t="n">
        <f aca="false">IF(E1269="","",(AA1269&lt;&gt;"")+(AG1269&lt;&gt;"")+(AL1269&lt;&gt;""))</f>
        <v>1</v>
      </c>
      <c r="AP1269" s="82" t="str">
        <f aca="false">IF(AL1269&lt;&gt;"",AL1269,IF(AG1269&lt;&gt;"",AG1269,IF(AA1269&lt;&gt;"",AA1269,"")))</f>
        <v>A</v>
      </c>
      <c r="AQ1269" s="84" t="str">
        <f aca="false">IF(E1269="","",IF(U1269="","À SOUDER",IF(X1269="","VT EN ATTENTE",IF(X1269="R","VT REJETÉ – À REPRENDRE",IF(AP1269="","À RADIOGRAPHIER",IF(AP1269="A","ACCEPTÉ",IF(AP1269="NX","NX – RT À REFAIRE",IF(IF(AO1269=1,AD1269,IF(AO1269=2,AI1269,""))="A","RÉPARÉ – À RADIOGRAPHIER",IF(IF(AO1269=1,AD1269,IF(AO1269=2,AI1269,""))="R","VT REJETÉ – À REPRENDRE",IF(OR(AP1269="CO",AP1269="NT"),"COUPE – À RESOUDER","À RÉPARER"))))))))))</f>
        <v>ACCEPTÉ</v>
      </c>
      <c r="AR1269" s="82" t="str">
        <f aca="false">IF(AND(ISNUMBER(U1269),OR(AQ1269="À RADIOGRAPHIER",AQ1269="RÉPARÉ – À RADIOGRAPHIER",AQ1269="NX – RT À REFAIRE",AQ1269="À RÉPARER",AQ1269="COUPE – À RESOUDER",AQ1269="VT REJETÉ – À REPRENDRE")),MAX(0,'PROGRAMME RT'!$C$4-U1269),"")</f>
        <v/>
      </c>
      <c r="AS1269" s="82" t="n">
        <f aca="false">IF(AND(OR(AQ1269="À RADIOGRAPHIER",AQ1269="RÉPARÉ – À RADIOGRAPHIER",AQ1269="NX – RT À REFAIRE"),OR('PROGRAMME RT'!$D$5="TOUTES",B1269='PROGRAMME RT'!$D$5)),1,0)</f>
        <v>0</v>
      </c>
      <c r="AT1269" s="82" t="str">
        <f aca="false">IF(AS1269=1,SUM(AS$7:AS1269),"")</f>
        <v/>
      </c>
      <c r="AU1269" s="82" t="n">
        <f aca="false">IF(AND(OR(AA1269="R",AA1269="NX",AA1269="NT",AA1269="CO"),OR('JOINTS DE RÉPARATION'!$D$5="TOUTES",B1269='JOINTS DE RÉPARATION'!$D$5),OR('JOINTS DE RÉPARATION'!$L$4="TOUS",AQ1269&lt;&gt;"ACCEPTÉ")),1,0)</f>
        <v>0</v>
      </c>
      <c r="AV1269" s="82" t="str">
        <f aca="false">IF(AU1269=1,SUM(AU$7:AU1269),"")</f>
        <v/>
      </c>
      <c r="AW1269" s="82" t="str">
        <f aca="false">IF(E1269="","",B1269&amp;"|"&amp;E1269)</f>
        <v>MFD-ISW → MFD-CPF|DJ°311</v>
      </c>
    </row>
    <row r="1270" customFormat="false" ht="74.6" hidden="false" customHeight="false" outlineLevel="0" collapsed="false">
      <c r="A1270" s="79" t="n">
        <f aca="false">IF(E1270="","",ROW()-6)</f>
        <v>1264</v>
      </c>
      <c r="B1270" s="80" t="s">
        <v>110</v>
      </c>
      <c r="C1270" s="81" t="s">
        <v>1473</v>
      </c>
      <c r="D1270" s="81" t="n">
        <v>10</v>
      </c>
      <c r="E1270" s="81" t="s">
        <v>1525</v>
      </c>
      <c r="F1270" s="82" t="str">
        <f aca="false">IF(E1270="","",IF(LEFT(E1270,2)="DJ","DJ","JN"))</f>
        <v>JN</v>
      </c>
      <c r="G1270" s="81" t="s">
        <v>1504</v>
      </c>
      <c r="H1270" s="81" t="s">
        <v>871</v>
      </c>
      <c r="I1270" s="81" t="n">
        <v>9.53</v>
      </c>
      <c r="J1270" s="81" t="s">
        <v>872</v>
      </c>
      <c r="K1270" s="81" t="s">
        <v>879</v>
      </c>
      <c r="L1270" s="81" t="n">
        <v>2089540</v>
      </c>
      <c r="M1270" s="81" t="n">
        <v>15421109</v>
      </c>
      <c r="N1270" s="81" t="n">
        <v>11.94</v>
      </c>
      <c r="O1270" s="81" t="n">
        <v>2090260</v>
      </c>
      <c r="P1270" s="81" t="n">
        <v>15421109</v>
      </c>
      <c r="Q1270" s="81" t="n">
        <v>11.94</v>
      </c>
      <c r="R1270" s="81" t="s">
        <v>1367</v>
      </c>
      <c r="S1270" s="81"/>
      <c r="T1270" s="81"/>
      <c r="U1270" s="83" t="n">
        <v>46278</v>
      </c>
      <c r="V1270" s="83" t="n">
        <v>46278</v>
      </c>
      <c r="W1270" s="81" t="s">
        <v>1505</v>
      </c>
      <c r="X1270" s="81" t="s">
        <v>876</v>
      </c>
      <c r="Y1270" s="83" t="n">
        <v>46283</v>
      </c>
      <c r="Z1270" s="81" t="s">
        <v>1520</v>
      </c>
      <c r="AA1270" s="81" t="s">
        <v>876</v>
      </c>
      <c r="AB1270" s="81"/>
      <c r="AC1270" s="81"/>
      <c r="AD1270" s="81"/>
      <c r="AE1270" s="83"/>
      <c r="AF1270" s="81"/>
      <c r="AG1270" s="81"/>
      <c r="AH1270" s="81"/>
      <c r="AI1270" s="81"/>
      <c r="AJ1270" s="83"/>
      <c r="AK1270" s="81"/>
      <c r="AL1270" s="81"/>
      <c r="AM1270" s="83"/>
      <c r="AN1270" s="80"/>
      <c r="AO1270" s="82" t="n">
        <f aca="false">IF(E1270="","",(AA1270&lt;&gt;"")+(AG1270&lt;&gt;"")+(AL1270&lt;&gt;""))</f>
        <v>1</v>
      </c>
      <c r="AP1270" s="82" t="str">
        <f aca="false">IF(AL1270&lt;&gt;"",AL1270,IF(AG1270&lt;&gt;"",AG1270,IF(AA1270&lt;&gt;"",AA1270,"")))</f>
        <v>A</v>
      </c>
      <c r="AQ1270" s="84" t="str">
        <f aca="false">IF(E1270="","",IF(U1270="","À SOUDER",IF(X1270="","VT EN ATTENTE",IF(X1270="R","VT REJETÉ – À REPRENDRE",IF(AP1270="","À RADIOGRAPHIER",IF(AP1270="A","ACCEPTÉ",IF(AP1270="NX","NX – RT À REFAIRE",IF(IF(AO1270=1,AD1270,IF(AO1270=2,AI1270,""))="A","RÉPARÉ – À RADIOGRAPHIER",IF(IF(AO1270=1,AD1270,IF(AO1270=2,AI1270,""))="R","VT REJETÉ – À REPRENDRE",IF(OR(AP1270="CO",AP1270="NT"),"COUPE – À RESOUDER","À RÉPARER"))))))))))</f>
        <v>ACCEPTÉ</v>
      </c>
      <c r="AR1270" s="82" t="str">
        <f aca="false">IF(AND(ISNUMBER(U1270),OR(AQ1270="À RADIOGRAPHIER",AQ1270="RÉPARÉ – À RADIOGRAPHIER",AQ1270="NX – RT À REFAIRE",AQ1270="À RÉPARER",AQ1270="COUPE – À RESOUDER",AQ1270="VT REJETÉ – À REPRENDRE")),MAX(0,'PROGRAMME RT'!$C$4-U1270),"")</f>
        <v/>
      </c>
      <c r="AS1270" s="82" t="n">
        <f aca="false">IF(AND(OR(AQ1270="À RADIOGRAPHIER",AQ1270="RÉPARÉ – À RADIOGRAPHIER",AQ1270="NX – RT À REFAIRE"),OR('PROGRAMME RT'!$D$5="TOUTES",B1270='PROGRAMME RT'!$D$5)),1,0)</f>
        <v>0</v>
      </c>
      <c r="AT1270" s="82" t="str">
        <f aca="false">IF(AS1270=1,SUM(AS$7:AS1270),"")</f>
        <v/>
      </c>
      <c r="AU1270" s="82" t="n">
        <f aca="false">IF(AND(OR(AA1270="R",AA1270="NX",AA1270="NT",AA1270="CO"),OR('JOINTS DE RÉPARATION'!$D$5="TOUTES",B1270='JOINTS DE RÉPARATION'!$D$5),OR('JOINTS DE RÉPARATION'!$L$4="TOUS",AQ1270&lt;&gt;"ACCEPTÉ")),1,0)</f>
        <v>0</v>
      </c>
      <c r="AV1270" s="82" t="str">
        <f aca="false">IF(AU1270=1,SUM(AU$7:AU1270),"")</f>
        <v/>
      </c>
      <c r="AW1270" s="82" t="str">
        <f aca="false">IF(E1270="","",B1270&amp;"|"&amp;E1270)</f>
        <v>MFD-ISW → MFD-CPF|JN°1076</v>
      </c>
    </row>
    <row r="1271" customFormat="false" ht="74.6" hidden="false" customHeight="false" outlineLevel="0" collapsed="false">
      <c r="A1271" s="79" t="n">
        <f aca="false">IF(E1271="","",ROW()-6)</f>
        <v>1265</v>
      </c>
      <c r="B1271" s="80" t="s">
        <v>110</v>
      </c>
      <c r="C1271" s="81" t="s">
        <v>1473</v>
      </c>
      <c r="D1271" s="81" t="n">
        <v>10</v>
      </c>
      <c r="E1271" s="81" t="s">
        <v>1526</v>
      </c>
      <c r="F1271" s="82" t="str">
        <f aca="false">IF(E1271="","",IF(LEFT(E1271,2)="DJ","DJ","JN"))</f>
        <v>DJ</v>
      </c>
      <c r="G1271" s="81"/>
      <c r="H1271" s="81" t="s">
        <v>871</v>
      </c>
      <c r="I1271" s="81" t="n">
        <v>9.53</v>
      </c>
      <c r="J1271" s="81" t="s">
        <v>872</v>
      </c>
      <c r="K1271" s="81" t="s">
        <v>873</v>
      </c>
      <c r="L1271" s="81" t="n">
        <v>2090260</v>
      </c>
      <c r="M1271" s="81" t="n">
        <v>15421109</v>
      </c>
      <c r="N1271" s="81" t="n">
        <v>11.94</v>
      </c>
      <c r="O1271" s="81" t="n">
        <v>2090330</v>
      </c>
      <c r="P1271" s="81" t="n">
        <v>15421109</v>
      </c>
      <c r="Q1271" s="81" t="n">
        <v>11.94</v>
      </c>
      <c r="R1271" s="81" t="s">
        <v>1135</v>
      </c>
      <c r="S1271" s="81"/>
      <c r="T1271" s="81"/>
      <c r="U1271" s="83" t="n">
        <v>46272</v>
      </c>
      <c r="V1271" s="83" t="n">
        <v>46272</v>
      </c>
      <c r="W1271" s="81" t="s">
        <v>1518</v>
      </c>
      <c r="X1271" s="81" t="s">
        <v>876</v>
      </c>
      <c r="Y1271" s="83" t="n">
        <v>46273</v>
      </c>
      <c r="Z1271" s="81" t="s">
        <v>1522</v>
      </c>
      <c r="AA1271" s="81" t="s">
        <v>876</v>
      </c>
      <c r="AB1271" s="81"/>
      <c r="AC1271" s="81"/>
      <c r="AD1271" s="81"/>
      <c r="AE1271" s="83"/>
      <c r="AF1271" s="81"/>
      <c r="AG1271" s="81"/>
      <c r="AH1271" s="81"/>
      <c r="AI1271" s="81"/>
      <c r="AJ1271" s="83"/>
      <c r="AK1271" s="81"/>
      <c r="AL1271" s="81"/>
      <c r="AM1271" s="83"/>
      <c r="AN1271" s="80"/>
      <c r="AO1271" s="82" t="n">
        <f aca="false">IF(E1271="","",(AA1271&lt;&gt;"")+(AG1271&lt;&gt;"")+(AL1271&lt;&gt;""))</f>
        <v>1</v>
      </c>
      <c r="AP1271" s="82" t="str">
        <f aca="false">IF(AL1271&lt;&gt;"",AL1271,IF(AG1271&lt;&gt;"",AG1271,IF(AA1271&lt;&gt;"",AA1271,"")))</f>
        <v>A</v>
      </c>
      <c r="AQ1271" s="84" t="str">
        <f aca="false">IF(E1271="","",IF(U1271="","À SOUDER",IF(X1271="","VT EN ATTENTE",IF(X1271="R","VT REJETÉ – À REPRENDRE",IF(AP1271="","À RADIOGRAPHIER",IF(AP1271="A","ACCEPTÉ",IF(AP1271="NX","NX – RT À REFAIRE",IF(IF(AO1271=1,AD1271,IF(AO1271=2,AI1271,""))="A","RÉPARÉ – À RADIOGRAPHIER",IF(IF(AO1271=1,AD1271,IF(AO1271=2,AI1271,""))="R","VT REJETÉ – À REPRENDRE",IF(OR(AP1271="CO",AP1271="NT"),"COUPE – À RESOUDER","À RÉPARER"))))))))))</f>
        <v>ACCEPTÉ</v>
      </c>
      <c r="AR1271" s="82" t="str">
        <f aca="false">IF(AND(ISNUMBER(U1271),OR(AQ1271="À RADIOGRAPHIER",AQ1271="RÉPARÉ – À RADIOGRAPHIER",AQ1271="NX – RT À REFAIRE",AQ1271="À RÉPARER",AQ1271="COUPE – À RESOUDER",AQ1271="VT REJETÉ – À REPRENDRE")),MAX(0,'PROGRAMME RT'!$C$4-U1271),"")</f>
        <v/>
      </c>
      <c r="AS1271" s="82" t="n">
        <f aca="false">IF(AND(OR(AQ1271="À RADIOGRAPHIER",AQ1271="RÉPARÉ – À RADIOGRAPHIER",AQ1271="NX – RT À REFAIRE"),OR('PROGRAMME RT'!$D$5="TOUTES",B1271='PROGRAMME RT'!$D$5)),1,0)</f>
        <v>0</v>
      </c>
      <c r="AT1271" s="82" t="str">
        <f aca="false">IF(AS1271=1,SUM(AS$7:AS1271),"")</f>
        <v/>
      </c>
      <c r="AU1271" s="82" t="n">
        <f aca="false">IF(AND(OR(AA1271="R",AA1271="NX",AA1271="NT",AA1271="CO"),OR('JOINTS DE RÉPARATION'!$D$5="TOUTES",B1271='JOINTS DE RÉPARATION'!$D$5),OR('JOINTS DE RÉPARATION'!$L$4="TOUS",AQ1271&lt;&gt;"ACCEPTÉ")),1,0)</f>
        <v>0</v>
      </c>
      <c r="AV1271" s="82" t="str">
        <f aca="false">IF(AU1271=1,SUM(AU$7:AU1271),"")</f>
        <v/>
      </c>
      <c r="AW1271" s="82" t="str">
        <f aca="false">IF(E1271="","",B1271&amp;"|"&amp;E1271)</f>
        <v>MFD-ISW → MFD-CPF|DJ°309</v>
      </c>
    </row>
    <row r="1272" customFormat="false" ht="74.6" hidden="false" customHeight="false" outlineLevel="0" collapsed="false">
      <c r="A1272" s="79" t="n">
        <f aca="false">IF(E1272="","",ROW()-6)</f>
        <v>1266</v>
      </c>
      <c r="B1272" s="80" t="s">
        <v>110</v>
      </c>
      <c r="C1272" s="81" t="s">
        <v>926</v>
      </c>
      <c r="D1272" s="81" t="n">
        <v>10</v>
      </c>
      <c r="E1272" s="81" t="s">
        <v>1527</v>
      </c>
      <c r="F1272" s="82" t="str">
        <f aca="false">IF(E1272="","",IF(LEFT(E1272,2)="DJ","DJ","JN"))</f>
        <v>JN</v>
      </c>
      <c r="G1272" s="81"/>
      <c r="H1272" s="81"/>
      <c r="I1272" s="81"/>
      <c r="J1272" s="81"/>
      <c r="K1272" s="81"/>
      <c r="L1272" s="81" t="n">
        <v>2090330</v>
      </c>
      <c r="M1272" s="81" t="n">
        <v>15421109</v>
      </c>
      <c r="N1272" s="81" t="n">
        <v>11.94</v>
      </c>
      <c r="O1272" s="81"/>
      <c r="P1272" s="81"/>
      <c r="Q1272" s="81"/>
      <c r="R1272" s="81"/>
      <c r="S1272" s="81"/>
      <c r="T1272" s="81"/>
      <c r="U1272" s="83"/>
      <c r="V1272" s="83"/>
      <c r="W1272" s="81"/>
      <c r="X1272" s="81"/>
      <c r="Y1272" s="83"/>
      <c r="Z1272" s="81"/>
      <c r="AA1272" s="81"/>
      <c r="AB1272" s="81"/>
      <c r="AC1272" s="81"/>
      <c r="AD1272" s="81"/>
      <c r="AE1272" s="83"/>
      <c r="AF1272" s="81"/>
      <c r="AG1272" s="81"/>
      <c r="AH1272" s="81"/>
      <c r="AI1272" s="81"/>
      <c r="AJ1272" s="83"/>
      <c r="AK1272" s="81"/>
      <c r="AL1272" s="81"/>
      <c r="AM1272" s="83"/>
      <c r="AN1272" s="80"/>
      <c r="AO1272" s="82" t="n">
        <f aca="false">IF(E1272="","",(AA1272&lt;&gt;"")+(AG1272&lt;&gt;"")+(AL1272&lt;&gt;""))</f>
        <v>0</v>
      </c>
      <c r="AP1272" s="82" t="str">
        <f aca="false">IF(AL1272&lt;&gt;"",AL1272,IF(AG1272&lt;&gt;"",AG1272,IF(AA1272&lt;&gt;"",AA1272,"")))</f>
        <v/>
      </c>
      <c r="AQ1272" s="84" t="str">
        <f aca="false">IF(E1272="","",IF(U1272="","À SOUDER",IF(X1272="","VT EN ATTENTE",IF(X1272="R","VT REJETÉ – À REPRENDRE",IF(AP1272="","À RADIOGRAPHIER",IF(AP1272="A","ACCEPTÉ",IF(AP1272="NX","NX – RT À REFAIRE",IF(IF(AO1272=1,AD1272,IF(AO1272=2,AI1272,""))="A","RÉPARÉ – À RADIOGRAPHIER",IF(IF(AO1272=1,AD1272,IF(AO1272=2,AI1272,""))="R","VT REJETÉ – À REPRENDRE",IF(OR(AP1272="CO",AP1272="NT"),"COUPE – À RESOUDER","À RÉPARER"))))))))))</f>
        <v>À SOUDER</v>
      </c>
      <c r="AR1272" s="82" t="str">
        <f aca="false">IF(AND(ISNUMBER(U1272),OR(AQ1272="À RADIOGRAPHIER",AQ1272="RÉPARÉ – À RADIOGRAPHIER",AQ1272="NX – RT À REFAIRE",AQ1272="À RÉPARER",AQ1272="COUPE – À RESOUDER",AQ1272="VT REJETÉ – À REPRENDRE")),MAX(0,'PROGRAMME RT'!$C$4-U1272),"")</f>
        <v/>
      </c>
      <c r="AS1272" s="82" t="n">
        <f aca="false">IF(AND(OR(AQ1272="À RADIOGRAPHIER",AQ1272="RÉPARÉ – À RADIOGRAPHIER",AQ1272="NX – RT À REFAIRE"),OR('PROGRAMME RT'!$D$5="TOUTES",B1272='PROGRAMME RT'!$D$5)),1,0)</f>
        <v>0</v>
      </c>
      <c r="AT1272" s="82" t="str">
        <f aca="false">IF(AS1272=1,SUM(AS$7:AS1272),"")</f>
        <v/>
      </c>
      <c r="AU1272" s="82" t="n">
        <f aca="false">IF(AND(OR(AA1272="R",AA1272="NX",AA1272="NT",AA1272="CO"),OR('JOINTS DE RÉPARATION'!$D$5="TOUTES",B1272='JOINTS DE RÉPARATION'!$D$5),OR('JOINTS DE RÉPARATION'!$L$4="TOUS",AQ1272&lt;&gt;"ACCEPTÉ")),1,0)</f>
        <v>0</v>
      </c>
      <c r="AV1272" s="82" t="str">
        <f aca="false">IF(AU1272=1,SUM(AU$7:AU1272),"")</f>
        <v/>
      </c>
      <c r="AW1272" s="82" t="str">
        <f aca="false">IF(E1272="","",B1272&amp;"|"&amp;E1272)</f>
        <v>MFD-ISW → MFD-CPF|JN°1077</v>
      </c>
    </row>
    <row r="1273" customFormat="false" ht="74.6" hidden="false" customHeight="false" outlineLevel="0" collapsed="false">
      <c r="A1273" s="79" t="n">
        <f aca="false">IF(E1273="","",ROW()-6)</f>
        <v>1267</v>
      </c>
      <c r="B1273" s="80" t="s">
        <v>110</v>
      </c>
      <c r="C1273" s="81" t="s">
        <v>926</v>
      </c>
      <c r="D1273" s="81" t="n">
        <v>10</v>
      </c>
      <c r="E1273" s="81" t="s">
        <v>1528</v>
      </c>
      <c r="F1273" s="82" t="str">
        <f aca="false">IF(E1273="","",IF(LEFT(E1273,2)="DJ","DJ","JN"))</f>
        <v>JN</v>
      </c>
      <c r="G1273" s="81"/>
      <c r="H1273" s="81"/>
      <c r="I1273" s="81"/>
      <c r="J1273" s="81"/>
      <c r="K1273" s="81"/>
      <c r="L1273" s="81"/>
      <c r="M1273" s="81"/>
      <c r="N1273" s="81"/>
      <c r="O1273" s="81"/>
      <c r="P1273" s="81"/>
      <c r="Q1273" s="81"/>
      <c r="R1273" s="81"/>
      <c r="S1273" s="81"/>
      <c r="T1273" s="81"/>
      <c r="U1273" s="83"/>
      <c r="V1273" s="83"/>
      <c r="W1273" s="81"/>
      <c r="X1273" s="81"/>
      <c r="Y1273" s="83"/>
      <c r="Z1273" s="81"/>
      <c r="AA1273" s="81"/>
      <c r="AB1273" s="81"/>
      <c r="AC1273" s="81"/>
      <c r="AD1273" s="81"/>
      <c r="AE1273" s="83"/>
      <c r="AF1273" s="81"/>
      <c r="AG1273" s="81"/>
      <c r="AH1273" s="81"/>
      <c r="AI1273" s="81"/>
      <c r="AJ1273" s="83"/>
      <c r="AK1273" s="81"/>
      <c r="AL1273" s="81"/>
      <c r="AM1273" s="83"/>
      <c r="AN1273" s="80"/>
      <c r="AO1273" s="82" t="n">
        <f aca="false">IF(E1273="","",(AA1273&lt;&gt;"")+(AG1273&lt;&gt;"")+(AL1273&lt;&gt;""))</f>
        <v>0</v>
      </c>
      <c r="AP1273" s="82" t="str">
        <f aca="false">IF(AL1273&lt;&gt;"",AL1273,IF(AG1273&lt;&gt;"",AG1273,IF(AA1273&lt;&gt;"",AA1273,"")))</f>
        <v/>
      </c>
      <c r="AQ1273" s="84" t="str">
        <f aca="false">IF(E1273="","",IF(U1273="","À SOUDER",IF(X1273="","VT EN ATTENTE",IF(X1273="R","VT REJETÉ – À REPRENDRE",IF(AP1273="","À RADIOGRAPHIER",IF(AP1273="A","ACCEPTÉ",IF(AP1273="NX","NX – RT À REFAIRE",IF(IF(AO1273=1,AD1273,IF(AO1273=2,AI1273,""))="A","RÉPARÉ – À RADIOGRAPHIER",IF(IF(AO1273=1,AD1273,IF(AO1273=2,AI1273,""))="R","VT REJETÉ – À REPRENDRE",IF(OR(AP1273="CO",AP1273="NT"),"COUPE – À RESOUDER","À RÉPARER"))))))))))</f>
        <v>À SOUDER</v>
      </c>
      <c r="AR1273" s="82" t="str">
        <f aca="false">IF(AND(ISNUMBER(U1273),OR(AQ1273="À RADIOGRAPHIER",AQ1273="RÉPARÉ – À RADIOGRAPHIER",AQ1273="NX – RT À REFAIRE",AQ1273="À RÉPARER",AQ1273="COUPE – À RESOUDER",AQ1273="VT REJETÉ – À REPRENDRE")),MAX(0,'PROGRAMME RT'!$C$4-U1273),"")</f>
        <v/>
      </c>
      <c r="AS1273" s="82" t="n">
        <f aca="false">IF(AND(OR(AQ1273="À RADIOGRAPHIER",AQ1273="RÉPARÉ – À RADIOGRAPHIER",AQ1273="NX – RT À REFAIRE"),OR('PROGRAMME RT'!$D$5="TOUTES",B1273='PROGRAMME RT'!$D$5)),1,0)</f>
        <v>0</v>
      </c>
      <c r="AT1273" s="82" t="str">
        <f aca="false">IF(AS1273=1,SUM(AS$7:AS1273),"")</f>
        <v/>
      </c>
      <c r="AU1273" s="82" t="n">
        <f aca="false">IF(AND(OR(AA1273="R",AA1273="NX",AA1273="NT",AA1273="CO"),OR('JOINTS DE RÉPARATION'!$D$5="TOUTES",B1273='JOINTS DE RÉPARATION'!$D$5),OR('JOINTS DE RÉPARATION'!$L$4="TOUS",AQ1273&lt;&gt;"ACCEPTÉ")),1,0)</f>
        <v>0</v>
      </c>
      <c r="AV1273" s="82" t="str">
        <f aca="false">IF(AU1273=1,SUM(AU$7:AU1273),"")</f>
        <v/>
      </c>
      <c r="AW1273" s="82" t="str">
        <f aca="false">IF(E1273="","",B1273&amp;"|"&amp;E1273)</f>
        <v>MFD-ISW → MFD-CPF|JN°1078</v>
      </c>
    </row>
    <row r="1274" customFormat="false" ht="74.6" hidden="false" customHeight="false" outlineLevel="0" collapsed="false">
      <c r="A1274" s="79" t="n">
        <f aca="false">IF(E1274="","",ROW()-6)</f>
        <v>1268</v>
      </c>
      <c r="B1274" s="80" t="s">
        <v>110</v>
      </c>
      <c r="C1274" s="81" t="s">
        <v>926</v>
      </c>
      <c r="D1274" s="81" t="n">
        <v>10</v>
      </c>
      <c r="E1274" s="81" t="s">
        <v>1529</v>
      </c>
      <c r="F1274" s="82" t="str">
        <f aca="false">IF(E1274="","",IF(LEFT(E1274,2)="DJ","DJ","JN"))</f>
        <v>JN</v>
      </c>
      <c r="G1274" s="81"/>
      <c r="H1274" s="81"/>
      <c r="I1274" s="81"/>
      <c r="J1274" s="81"/>
      <c r="K1274" s="81"/>
      <c r="L1274" s="81"/>
      <c r="M1274" s="81"/>
      <c r="N1274" s="81"/>
      <c r="O1274" s="81" t="n">
        <v>2078520</v>
      </c>
      <c r="P1274" s="81" t="n">
        <v>15421101</v>
      </c>
      <c r="Q1274" s="81" t="n">
        <v>11.94</v>
      </c>
      <c r="R1274" s="81"/>
      <c r="S1274" s="81"/>
      <c r="T1274" s="81"/>
      <c r="U1274" s="83"/>
      <c r="V1274" s="83"/>
      <c r="W1274" s="81"/>
      <c r="X1274" s="81"/>
      <c r="Y1274" s="83"/>
      <c r="Z1274" s="81"/>
      <c r="AA1274" s="81"/>
      <c r="AB1274" s="81"/>
      <c r="AC1274" s="81"/>
      <c r="AD1274" s="81"/>
      <c r="AE1274" s="83"/>
      <c r="AF1274" s="81"/>
      <c r="AG1274" s="81"/>
      <c r="AH1274" s="81"/>
      <c r="AI1274" s="81"/>
      <c r="AJ1274" s="83"/>
      <c r="AK1274" s="81"/>
      <c r="AL1274" s="81"/>
      <c r="AM1274" s="83"/>
      <c r="AN1274" s="80"/>
      <c r="AO1274" s="82" t="n">
        <f aca="false">IF(E1274="","",(AA1274&lt;&gt;"")+(AG1274&lt;&gt;"")+(AL1274&lt;&gt;""))</f>
        <v>0</v>
      </c>
      <c r="AP1274" s="82" t="str">
        <f aca="false">IF(AL1274&lt;&gt;"",AL1274,IF(AG1274&lt;&gt;"",AG1274,IF(AA1274&lt;&gt;"",AA1274,"")))</f>
        <v/>
      </c>
      <c r="AQ1274" s="84" t="str">
        <f aca="false">IF(E1274="","",IF(U1274="","À SOUDER",IF(X1274="","VT EN ATTENTE",IF(X1274="R","VT REJETÉ – À REPRENDRE",IF(AP1274="","À RADIOGRAPHIER",IF(AP1274="A","ACCEPTÉ",IF(AP1274="NX","NX – RT À REFAIRE",IF(IF(AO1274=1,AD1274,IF(AO1274=2,AI1274,""))="A","RÉPARÉ – À RADIOGRAPHIER",IF(IF(AO1274=1,AD1274,IF(AO1274=2,AI1274,""))="R","VT REJETÉ – À REPRENDRE",IF(OR(AP1274="CO",AP1274="NT"),"COUPE – À RESOUDER","À RÉPARER"))))))))))</f>
        <v>À SOUDER</v>
      </c>
      <c r="AR1274" s="82" t="str">
        <f aca="false">IF(AND(ISNUMBER(U1274),OR(AQ1274="À RADIOGRAPHIER",AQ1274="RÉPARÉ – À RADIOGRAPHIER",AQ1274="NX – RT À REFAIRE",AQ1274="À RÉPARER",AQ1274="COUPE – À RESOUDER",AQ1274="VT REJETÉ – À REPRENDRE")),MAX(0,'PROGRAMME RT'!$C$4-U1274),"")</f>
        <v/>
      </c>
      <c r="AS1274" s="82" t="n">
        <f aca="false">IF(AND(OR(AQ1274="À RADIOGRAPHIER",AQ1274="RÉPARÉ – À RADIOGRAPHIER",AQ1274="NX – RT À REFAIRE"),OR('PROGRAMME RT'!$D$5="TOUTES",B1274='PROGRAMME RT'!$D$5)),1,0)</f>
        <v>0</v>
      </c>
      <c r="AT1274" s="82" t="str">
        <f aca="false">IF(AS1274=1,SUM(AS$7:AS1274),"")</f>
        <v/>
      </c>
      <c r="AU1274" s="82" t="n">
        <f aca="false">IF(AND(OR(AA1274="R",AA1274="NX",AA1274="NT",AA1274="CO"),OR('JOINTS DE RÉPARATION'!$D$5="TOUTES",B1274='JOINTS DE RÉPARATION'!$D$5),OR('JOINTS DE RÉPARATION'!$L$4="TOUS",AQ1274&lt;&gt;"ACCEPTÉ")),1,0)</f>
        <v>0</v>
      </c>
      <c r="AV1274" s="82" t="str">
        <f aca="false">IF(AU1274=1,SUM(AU$7:AU1274),"")</f>
        <v/>
      </c>
      <c r="AW1274" s="82" t="str">
        <f aca="false">IF(E1274="","",B1274&amp;"|"&amp;E1274)</f>
        <v>MFD-ISW → MFD-CPF|JN°1079</v>
      </c>
    </row>
    <row r="1275" customFormat="false" ht="74.6" hidden="false" customHeight="false" outlineLevel="0" collapsed="false">
      <c r="A1275" s="79" t="n">
        <f aca="false">IF(E1275="","",ROW()-6)</f>
        <v>1269</v>
      </c>
      <c r="B1275" s="80" t="s">
        <v>110</v>
      </c>
      <c r="C1275" s="81" t="s">
        <v>1530</v>
      </c>
      <c r="D1275" s="81" t="n">
        <v>10</v>
      </c>
      <c r="E1275" s="81" t="s">
        <v>1531</v>
      </c>
      <c r="F1275" s="82" t="str">
        <f aca="false">IF(E1275="","",IF(LEFT(E1275,2)="DJ","DJ","JN"))</f>
        <v>DJ</v>
      </c>
      <c r="G1275" s="81"/>
      <c r="H1275" s="81" t="s">
        <v>871</v>
      </c>
      <c r="I1275" s="81" t="n">
        <v>9.53</v>
      </c>
      <c r="J1275" s="81" t="s">
        <v>872</v>
      </c>
      <c r="K1275" s="81" t="s">
        <v>873</v>
      </c>
      <c r="L1275" s="81" t="n">
        <v>2078520</v>
      </c>
      <c r="M1275" s="81" t="n">
        <v>15421101</v>
      </c>
      <c r="N1275" s="81" t="n">
        <v>11.94</v>
      </c>
      <c r="O1275" s="81" t="n">
        <v>2090960</v>
      </c>
      <c r="P1275" s="81" t="n">
        <v>15421104</v>
      </c>
      <c r="Q1275" s="81" t="n">
        <v>11.94</v>
      </c>
      <c r="R1275" s="81" t="s">
        <v>1147</v>
      </c>
      <c r="S1275" s="81"/>
      <c r="T1275" s="81"/>
      <c r="U1275" s="83" t="n">
        <v>46272</v>
      </c>
      <c r="V1275" s="83" t="n">
        <v>46272</v>
      </c>
      <c r="W1275" s="81" t="s">
        <v>1518</v>
      </c>
      <c r="X1275" s="81" t="s">
        <v>876</v>
      </c>
      <c r="Y1275" s="83" t="n">
        <v>46273</v>
      </c>
      <c r="Z1275" s="81" t="s">
        <v>1522</v>
      </c>
      <c r="AA1275" s="81" t="s">
        <v>876</v>
      </c>
      <c r="AB1275" s="81"/>
      <c r="AC1275" s="81"/>
      <c r="AD1275" s="81"/>
      <c r="AE1275" s="83"/>
      <c r="AF1275" s="81"/>
      <c r="AG1275" s="81"/>
      <c r="AH1275" s="81"/>
      <c r="AI1275" s="81"/>
      <c r="AJ1275" s="83"/>
      <c r="AK1275" s="81"/>
      <c r="AL1275" s="81"/>
      <c r="AM1275" s="83"/>
      <c r="AN1275" s="80"/>
      <c r="AO1275" s="82" t="n">
        <f aca="false">IF(E1275="","",(AA1275&lt;&gt;"")+(AG1275&lt;&gt;"")+(AL1275&lt;&gt;""))</f>
        <v>1</v>
      </c>
      <c r="AP1275" s="82" t="str">
        <f aca="false">IF(AL1275&lt;&gt;"",AL1275,IF(AG1275&lt;&gt;"",AG1275,IF(AA1275&lt;&gt;"",AA1275,"")))</f>
        <v>A</v>
      </c>
      <c r="AQ1275" s="84" t="str">
        <f aca="false">IF(E1275="","",IF(U1275="","À SOUDER",IF(X1275="","VT EN ATTENTE",IF(X1275="R","VT REJETÉ – À REPRENDRE",IF(AP1275="","À RADIOGRAPHIER",IF(AP1275="A","ACCEPTÉ",IF(AP1275="NX","NX – RT À REFAIRE",IF(IF(AO1275=1,AD1275,IF(AO1275=2,AI1275,""))="A","RÉPARÉ – À RADIOGRAPHIER",IF(IF(AO1275=1,AD1275,IF(AO1275=2,AI1275,""))="R","VT REJETÉ – À REPRENDRE",IF(OR(AP1275="CO",AP1275="NT"),"COUPE – À RESOUDER","À RÉPARER"))))))))))</f>
        <v>ACCEPTÉ</v>
      </c>
      <c r="AR1275" s="82" t="str">
        <f aca="false">IF(AND(ISNUMBER(U1275),OR(AQ1275="À RADIOGRAPHIER",AQ1275="RÉPARÉ – À RADIOGRAPHIER",AQ1275="NX – RT À REFAIRE",AQ1275="À RÉPARER",AQ1275="COUPE – À RESOUDER",AQ1275="VT REJETÉ – À REPRENDRE")),MAX(0,'PROGRAMME RT'!$C$4-U1275),"")</f>
        <v/>
      </c>
      <c r="AS1275" s="82" t="n">
        <f aca="false">IF(AND(OR(AQ1275="À RADIOGRAPHIER",AQ1275="RÉPARÉ – À RADIOGRAPHIER",AQ1275="NX – RT À REFAIRE"),OR('PROGRAMME RT'!$D$5="TOUTES",B1275='PROGRAMME RT'!$D$5)),1,0)</f>
        <v>0</v>
      </c>
      <c r="AT1275" s="82" t="str">
        <f aca="false">IF(AS1275=1,SUM(AS$7:AS1275),"")</f>
        <v/>
      </c>
      <c r="AU1275" s="82" t="n">
        <f aca="false">IF(AND(OR(AA1275="R",AA1275="NX",AA1275="NT",AA1275="CO"),OR('JOINTS DE RÉPARATION'!$D$5="TOUTES",B1275='JOINTS DE RÉPARATION'!$D$5),OR('JOINTS DE RÉPARATION'!$L$4="TOUS",AQ1275&lt;&gt;"ACCEPTÉ")),1,0)</f>
        <v>0</v>
      </c>
      <c r="AV1275" s="82" t="str">
        <f aca="false">IF(AU1275=1,SUM(AU$7:AU1275),"")</f>
        <v/>
      </c>
      <c r="AW1275" s="82" t="str">
        <f aca="false">IF(E1275="","",B1275&amp;"|"&amp;E1275)</f>
        <v>MFD-ISW → MFD-CPF|DJ°312</v>
      </c>
    </row>
    <row r="1276" customFormat="false" ht="74.6" hidden="false" customHeight="false" outlineLevel="0" collapsed="false">
      <c r="A1276" s="79" t="n">
        <f aca="false">IF(E1276="","",ROW()-6)</f>
        <v>1270</v>
      </c>
      <c r="B1276" s="80" t="s">
        <v>110</v>
      </c>
      <c r="C1276" s="81" t="s">
        <v>1530</v>
      </c>
      <c r="D1276" s="81" t="n">
        <v>10</v>
      </c>
      <c r="E1276" s="81" t="s">
        <v>1532</v>
      </c>
      <c r="F1276" s="82" t="str">
        <f aca="false">IF(E1276="","",IF(LEFT(E1276,2)="DJ","DJ","JN"))</f>
        <v>JN</v>
      </c>
      <c r="G1276" s="81" t="s">
        <v>1504</v>
      </c>
      <c r="H1276" s="81" t="s">
        <v>871</v>
      </c>
      <c r="I1276" s="81" t="n">
        <v>9.53</v>
      </c>
      <c r="J1276" s="81" t="s">
        <v>872</v>
      </c>
      <c r="K1276" s="81" t="s">
        <v>879</v>
      </c>
      <c r="L1276" s="81" t="n">
        <v>2090960</v>
      </c>
      <c r="M1276" s="81" t="n">
        <v>15421104</v>
      </c>
      <c r="N1276" s="81" t="n">
        <v>11.94</v>
      </c>
      <c r="O1276" s="81" t="n">
        <v>2084330</v>
      </c>
      <c r="P1276" s="81" t="n">
        <v>15421106</v>
      </c>
      <c r="Q1276" s="81" t="n">
        <v>11.94</v>
      </c>
      <c r="R1276" s="81" t="s">
        <v>1367</v>
      </c>
      <c r="S1276" s="81"/>
      <c r="T1276" s="81"/>
      <c r="U1276" s="83" t="n">
        <v>46278</v>
      </c>
      <c r="V1276" s="83" t="n">
        <v>46278</v>
      </c>
      <c r="W1276" s="81" t="s">
        <v>1505</v>
      </c>
      <c r="X1276" s="81" t="s">
        <v>876</v>
      </c>
      <c r="Y1276" s="83"/>
      <c r="Z1276" s="81"/>
      <c r="AA1276" s="81"/>
      <c r="AB1276" s="81"/>
      <c r="AC1276" s="81"/>
      <c r="AD1276" s="81"/>
      <c r="AE1276" s="83"/>
      <c r="AF1276" s="81"/>
      <c r="AG1276" s="81"/>
      <c r="AH1276" s="81"/>
      <c r="AI1276" s="81"/>
      <c r="AJ1276" s="83"/>
      <c r="AK1276" s="81"/>
      <c r="AL1276" s="81"/>
      <c r="AM1276" s="83"/>
      <c r="AN1276" s="80"/>
      <c r="AO1276" s="82" t="n">
        <f aca="false">IF(E1276="","",(AA1276&lt;&gt;"")+(AG1276&lt;&gt;"")+(AL1276&lt;&gt;""))</f>
        <v>0</v>
      </c>
      <c r="AP1276" s="82" t="str">
        <f aca="false">IF(AL1276&lt;&gt;"",AL1276,IF(AG1276&lt;&gt;"",AG1276,IF(AA1276&lt;&gt;"",AA1276,"")))</f>
        <v/>
      </c>
      <c r="AQ1276" s="84" t="str">
        <f aca="false">IF(E1276="","",IF(U1276="","À SOUDER",IF(X1276="","VT EN ATTENTE",IF(X1276="R","VT REJETÉ – À REPRENDRE",IF(AP1276="","À RADIOGRAPHIER",IF(AP1276="A","ACCEPTÉ",IF(AP1276="NX","NX – RT À REFAIRE",IF(IF(AO1276=1,AD1276,IF(AO1276=2,AI1276,""))="A","RÉPARÉ – À RADIOGRAPHIER",IF(IF(AO1276=1,AD1276,IF(AO1276=2,AI1276,""))="R","VT REJETÉ – À REPRENDRE",IF(OR(AP1276="CO",AP1276="NT"),"COUPE – À RESOUDER","À RÉPARER"))))))))))</f>
        <v>À RADIOGRAPHIER</v>
      </c>
      <c r="AR1276" s="82" t="n">
        <f aca="false">IF(AND(ISNUMBER(U1276),OR(AQ1276="À RADIOGRAPHIER",AQ1276="RÉPARÉ – À RADIOGRAPHIER",AQ1276="NX – RT À REFAIRE",AQ1276="À RÉPARER",AQ1276="COUPE – À RESOUDER",AQ1276="VT REJETÉ – À REPRENDRE")),MAX(0,'PROGRAMME RT'!$C$4-U1276),"")</f>
        <v>15</v>
      </c>
      <c r="AS1276" s="82" t="n">
        <f aca="false">IF(AND(OR(AQ1276="À RADIOGRAPHIER",AQ1276="RÉPARÉ – À RADIOGRAPHIER",AQ1276="NX – RT À REFAIRE"),OR('PROGRAMME RT'!$D$5="TOUTES",B1276='PROGRAMME RT'!$D$5)),1,0)</f>
        <v>1</v>
      </c>
      <c r="AT1276" s="82" t="n">
        <f aca="false">IF(AS1276=1,SUM(AS$7:AS1276),"")</f>
        <v>69</v>
      </c>
      <c r="AU1276" s="82" t="n">
        <f aca="false">IF(AND(OR(AA1276="R",AA1276="NX",AA1276="NT",AA1276="CO"),OR('JOINTS DE RÉPARATION'!$D$5="TOUTES",B1276='JOINTS DE RÉPARATION'!$D$5),OR('JOINTS DE RÉPARATION'!$L$4="TOUS",AQ1276&lt;&gt;"ACCEPTÉ")),1,0)</f>
        <v>0</v>
      </c>
      <c r="AV1276" s="82" t="str">
        <f aca="false">IF(AU1276=1,SUM(AU$7:AU1276),"")</f>
        <v/>
      </c>
      <c r="AW1276" s="82" t="str">
        <f aca="false">IF(E1276="","",B1276&amp;"|"&amp;E1276)</f>
        <v>MFD-ISW → MFD-CPF|JN°1080</v>
      </c>
    </row>
    <row r="1277" customFormat="false" ht="74.6" hidden="false" customHeight="false" outlineLevel="0" collapsed="false">
      <c r="A1277" s="79" t="n">
        <f aca="false">IF(E1277="","",ROW()-6)</f>
        <v>1271</v>
      </c>
      <c r="B1277" s="80" t="s">
        <v>110</v>
      </c>
      <c r="C1277" s="81" t="s">
        <v>1530</v>
      </c>
      <c r="D1277" s="81" t="n">
        <v>10</v>
      </c>
      <c r="E1277" s="81" t="s">
        <v>1533</v>
      </c>
      <c r="F1277" s="82" t="str">
        <f aca="false">IF(E1277="","",IF(LEFT(E1277,2)="DJ","DJ","JN"))</f>
        <v>DJ</v>
      </c>
      <c r="G1277" s="81"/>
      <c r="H1277" s="81" t="s">
        <v>871</v>
      </c>
      <c r="I1277" s="81" t="n">
        <v>9.53</v>
      </c>
      <c r="J1277" s="81" t="s">
        <v>872</v>
      </c>
      <c r="K1277" s="81" t="s">
        <v>873</v>
      </c>
      <c r="L1277" s="81" t="n">
        <v>2084330</v>
      </c>
      <c r="M1277" s="81" t="n">
        <v>15421106</v>
      </c>
      <c r="N1277" s="81" t="n">
        <v>11.94</v>
      </c>
      <c r="O1277" s="81" t="n">
        <v>2078630</v>
      </c>
      <c r="P1277" s="81" t="n">
        <v>15421101</v>
      </c>
      <c r="Q1277" s="81" t="n">
        <v>11.94</v>
      </c>
      <c r="R1277" s="81" t="s">
        <v>1135</v>
      </c>
      <c r="S1277" s="81"/>
      <c r="T1277" s="81"/>
      <c r="U1277" s="83" t="n">
        <v>46272</v>
      </c>
      <c r="V1277" s="83" t="n">
        <v>46272</v>
      </c>
      <c r="W1277" s="81" t="s">
        <v>1518</v>
      </c>
      <c r="X1277" s="81" t="s">
        <v>876</v>
      </c>
      <c r="Y1277" s="83" t="n">
        <v>46273</v>
      </c>
      <c r="Z1277" s="81" t="s">
        <v>1522</v>
      </c>
      <c r="AA1277" s="81" t="s">
        <v>876</v>
      </c>
      <c r="AB1277" s="81"/>
      <c r="AC1277" s="81"/>
      <c r="AD1277" s="81"/>
      <c r="AE1277" s="83"/>
      <c r="AF1277" s="81"/>
      <c r="AG1277" s="81"/>
      <c r="AH1277" s="81"/>
      <c r="AI1277" s="81"/>
      <c r="AJ1277" s="83"/>
      <c r="AK1277" s="81"/>
      <c r="AL1277" s="81"/>
      <c r="AM1277" s="83"/>
      <c r="AN1277" s="80"/>
      <c r="AO1277" s="82" t="n">
        <f aca="false">IF(E1277="","",(AA1277&lt;&gt;"")+(AG1277&lt;&gt;"")+(AL1277&lt;&gt;""))</f>
        <v>1</v>
      </c>
      <c r="AP1277" s="82" t="str">
        <f aca="false">IF(AL1277&lt;&gt;"",AL1277,IF(AG1277&lt;&gt;"",AG1277,IF(AA1277&lt;&gt;"",AA1277,"")))</f>
        <v>A</v>
      </c>
      <c r="AQ1277" s="84" t="str">
        <f aca="false">IF(E1277="","",IF(U1277="","À SOUDER",IF(X1277="","VT EN ATTENTE",IF(X1277="R","VT REJETÉ – À REPRENDRE",IF(AP1277="","À RADIOGRAPHIER",IF(AP1277="A","ACCEPTÉ",IF(AP1277="NX","NX – RT À REFAIRE",IF(IF(AO1277=1,AD1277,IF(AO1277=2,AI1277,""))="A","RÉPARÉ – À RADIOGRAPHIER",IF(IF(AO1277=1,AD1277,IF(AO1277=2,AI1277,""))="R","VT REJETÉ – À REPRENDRE",IF(OR(AP1277="CO",AP1277="NT"),"COUPE – À RESOUDER","À RÉPARER"))))))))))</f>
        <v>ACCEPTÉ</v>
      </c>
      <c r="AR1277" s="82" t="str">
        <f aca="false">IF(AND(ISNUMBER(U1277),OR(AQ1277="À RADIOGRAPHIER",AQ1277="RÉPARÉ – À RADIOGRAPHIER",AQ1277="NX – RT À REFAIRE",AQ1277="À RÉPARER",AQ1277="COUPE – À RESOUDER",AQ1277="VT REJETÉ – À REPRENDRE")),MAX(0,'PROGRAMME RT'!$C$4-U1277),"")</f>
        <v/>
      </c>
      <c r="AS1277" s="82" t="n">
        <f aca="false">IF(AND(OR(AQ1277="À RADIOGRAPHIER",AQ1277="RÉPARÉ – À RADIOGRAPHIER",AQ1277="NX – RT À REFAIRE"),OR('PROGRAMME RT'!$D$5="TOUTES",B1277='PROGRAMME RT'!$D$5)),1,0)</f>
        <v>0</v>
      </c>
      <c r="AT1277" s="82" t="str">
        <f aca="false">IF(AS1277=1,SUM(AS$7:AS1277),"")</f>
        <v/>
      </c>
      <c r="AU1277" s="82" t="n">
        <f aca="false">IF(AND(OR(AA1277="R",AA1277="NX",AA1277="NT",AA1277="CO"),OR('JOINTS DE RÉPARATION'!$D$5="TOUTES",B1277='JOINTS DE RÉPARATION'!$D$5),OR('JOINTS DE RÉPARATION'!$L$4="TOUS",AQ1277&lt;&gt;"ACCEPTÉ")),1,0)</f>
        <v>0</v>
      </c>
      <c r="AV1277" s="82" t="str">
        <f aca="false">IF(AU1277=1,SUM(AU$7:AU1277),"")</f>
        <v/>
      </c>
      <c r="AW1277" s="82" t="str">
        <f aca="false">IF(E1277="","",B1277&amp;"|"&amp;E1277)</f>
        <v>MFD-ISW → MFD-CPF|DJ°310</v>
      </c>
    </row>
    <row r="1278" customFormat="false" ht="74.6" hidden="false" customHeight="false" outlineLevel="0" collapsed="false">
      <c r="A1278" s="79" t="n">
        <f aca="false">IF(E1278="","",ROW()-6)</f>
        <v>1272</v>
      </c>
      <c r="B1278" s="80" t="s">
        <v>110</v>
      </c>
      <c r="C1278" s="81" t="s">
        <v>1530</v>
      </c>
      <c r="D1278" s="81" t="n">
        <v>10</v>
      </c>
      <c r="E1278" s="81" t="s">
        <v>1534</v>
      </c>
      <c r="F1278" s="82" t="str">
        <f aca="false">IF(E1278="","",IF(LEFT(E1278,2)="DJ","DJ","JN"))</f>
        <v>JN</v>
      </c>
      <c r="G1278" s="81" t="s">
        <v>1504</v>
      </c>
      <c r="H1278" s="81" t="s">
        <v>871</v>
      </c>
      <c r="I1278" s="81" t="n">
        <v>9.53</v>
      </c>
      <c r="J1278" s="81" t="s">
        <v>872</v>
      </c>
      <c r="K1278" s="81" t="s">
        <v>879</v>
      </c>
      <c r="L1278" s="81" t="n">
        <v>2078630</v>
      </c>
      <c r="M1278" s="81" t="n">
        <v>15421101</v>
      </c>
      <c r="N1278" s="81" t="n">
        <v>11.94</v>
      </c>
      <c r="O1278" s="81" t="n">
        <v>2082130</v>
      </c>
      <c r="P1278" s="81" t="n">
        <v>15421104</v>
      </c>
      <c r="Q1278" s="81" t="n">
        <v>11.94</v>
      </c>
      <c r="R1278" s="81" t="s">
        <v>1367</v>
      </c>
      <c r="S1278" s="81"/>
      <c r="T1278" s="81"/>
      <c r="U1278" s="83" t="n">
        <v>46278</v>
      </c>
      <c r="V1278" s="83" t="n">
        <v>46278</v>
      </c>
      <c r="W1278" s="81" t="s">
        <v>1505</v>
      </c>
      <c r="X1278" s="81" t="s">
        <v>876</v>
      </c>
      <c r="Y1278" s="83"/>
      <c r="Z1278" s="81"/>
      <c r="AA1278" s="81"/>
      <c r="AB1278" s="81"/>
      <c r="AC1278" s="81"/>
      <c r="AD1278" s="81"/>
      <c r="AE1278" s="83"/>
      <c r="AF1278" s="81"/>
      <c r="AG1278" s="81"/>
      <c r="AH1278" s="81"/>
      <c r="AI1278" s="81"/>
      <c r="AJ1278" s="83"/>
      <c r="AK1278" s="81"/>
      <c r="AL1278" s="81"/>
      <c r="AM1278" s="83"/>
      <c r="AN1278" s="80"/>
      <c r="AO1278" s="82" t="n">
        <f aca="false">IF(E1278="","",(AA1278&lt;&gt;"")+(AG1278&lt;&gt;"")+(AL1278&lt;&gt;""))</f>
        <v>0</v>
      </c>
      <c r="AP1278" s="82" t="str">
        <f aca="false">IF(AL1278&lt;&gt;"",AL1278,IF(AG1278&lt;&gt;"",AG1278,IF(AA1278&lt;&gt;"",AA1278,"")))</f>
        <v/>
      </c>
      <c r="AQ1278" s="84" t="str">
        <f aca="false">IF(E1278="","",IF(U1278="","À SOUDER",IF(X1278="","VT EN ATTENTE",IF(X1278="R","VT REJETÉ – À REPRENDRE",IF(AP1278="","À RADIOGRAPHIER",IF(AP1278="A","ACCEPTÉ",IF(AP1278="NX","NX – RT À REFAIRE",IF(IF(AO1278=1,AD1278,IF(AO1278=2,AI1278,""))="A","RÉPARÉ – À RADIOGRAPHIER",IF(IF(AO1278=1,AD1278,IF(AO1278=2,AI1278,""))="R","VT REJETÉ – À REPRENDRE",IF(OR(AP1278="CO",AP1278="NT"),"COUPE – À RESOUDER","À RÉPARER"))))))))))</f>
        <v>À RADIOGRAPHIER</v>
      </c>
      <c r="AR1278" s="82" t="n">
        <f aca="false">IF(AND(ISNUMBER(U1278),OR(AQ1278="À RADIOGRAPHIER",AQ1278="RÉPARÉ – À RADIOGRAPHIER",AQ1278="NX – RT À REFAIRE",AQ1278="À RÉPARER",AQ1278="COUPE – À RESOUDER",AQ1278="VT REJETÉ – À REPRENDRE")),MAX(0,'PROGRAMME RT'!$C$4-U1278),"")</f>
        <v>15</v>
      </c>
      <c r="AS1278" s="82" t="n">
        <f aca="false">IF(AND(OR(AQ1278="À RADIOGRAPHIER",AQ1278="RÉPARÉ – À RADIOGRAPHIER",AQ1278="NX – RT À REFAIRE"),OR('PROGRAMME RT'!$D$5="TOUTES",B1278='PROGRAMME RT'!$D$5)),1,0)</f>
        <v>1</v>
      </c>
      <c r="AT1278" s="82" t="n">
        <f aca="false">IF(AS1278=1,SUM(AS$7:AS1278),"")</f>
        <v>70</v>
      </c>
      <c r="AU1278" s="82" t="n">
        <f aca="false">IF(AND(OR(AA1278="R",AA1278="NX",AA1278="NT",AA1278="CO"),OR('JOINTS DE RÉPARATION'!$D$5="TOUTES",B1278='JOINTS DE RÉPARATION'!$D$5),OR('JOINTS DE RÉPARATION'!$L$4="TOUS",AQ1278&lt;&gt;"ACCEPTÉ")),1,0)</f>
        <v>0</v>
      </c>
      <c r="AV1278" s="82" t="str">
        <f aca="false">IF(AU1278=1,SUM(AU$7:AU1278),"")</f>
        <v/>
      </c>
      <c r="AW1278" s="82" t="str">
        <f aca="false">IF(E1278="","",B1278&amp;"|"&amp;E1278)</f>
        <v>MFD-ISW → MFD-CPF|JN°1081</v>
      </c>
    </row>
    <row r="1279" customFormat="false" ht="74.6" hidden="false" customHeight="false" outlineLevel="0" collapsed="false">
      <c r="A1279" s="79" t="n">
        <f aca="false">IF(E1279="","",ROW()-6)</f>
        <v>1273</v>
      </c>
      <c r="B1279" s="80" t="s">
        <v>110</v>
      </c>
      <c r="C1279" s="81" t="s">
        <v>1530</v>
      </c>
      <c r="D1279" s="81" t="n">
        <v>10</v>
      </c>
      <c r="E1279" s="81" t="s">
        <v>1535</v>
      </c>
      <c r="F1279" s="82" t="str">
        <f aca="false">IF(E1279="","",IF(LEFT(E1279,2)="DJ","DJ","JN"))</f>
        <v>DJ</v>
      </c>
      <c r="G1279" s="81"/>
      <c r="H1279" s="81" t="s">
        <v>871</v>
      </c>
      <c r="I1279" s="81" t="n">
        <v>9.53</v>
      </c>
      <c r="J1279" s="81" t="s">
        <v>872</v>
      </c>
      <c r="K1279" s="81" t="s">
        <v>873</v>
      </c>
      <c r="L1279" s="81" t="n">
        <v>2082130</v>
      </c>
      <c r="M1279" s="81" t="n">
        <v>15421104</v>
      </c>
      <c r="N1279" s="81" t="n">
        <v>11.94</v>
      </c>
      <c r="O1279" s="81" t="n">
        <v>2091810</v>
      </c>
      <c r="P1279" s="81" t="n">
        <v>15421109</v>
      </c>
      <c r="Q1279" s="81" t="n">
        <v>11.94</v>
      </c>
      <c r="R1279" s="81" t="s">
        <v>1517</v>
      </c>
      <c r="S1279" s="81"/>
      <c r="T1279" s="81"/>
      <c r="U1279" s="83" t="n">
        <v>46271</v>
      </c>
      <c r="V1279" s="83" t="n">
        <v>46271</v>
      </c>
      <c r="W1279" s="81" t="s">
        <v>1536</v>
      </c>
      <c r="X1279" s="81" t="s">
        <v>876</v>
      </c>
      <c r="Y1279" s="83" t="n">
        <v>46273</v>
      </c>
      <c r="Z1279" s="81" t="s">
        <v>1522</v>
      </c>
      <c r="AA1279" s="81" t="s">
        <v>876</v>
      </c>
      <c r="AB1279" s="81"/>
      <c r="AC1279" s="81"/>
      <c r="AD1279" s="81"/>
      <c r="AE1279" s="83"/>
      <c r="AF1279" s="81"/>
      <c r="AG1279" s="81"/>
      <c r="AH1279" s="81"/>
      <c r="AI1279" s="81"/>
      <c r="AJ1279" s="83"/>
      <c r="AK1279" s="81"/>
      <c r="AL1279" s="81"/>
      <c r="AM1279" s="83"/>
      <c r="AN1279" s="80"/>
      <c r="AO1279" s="82" t="n">
        <f aca="false">IF(E1279="","",(AA1279&lt;&gt;"")+(AG1279&lt;&gt;"")+(AL1279&lt;&gt;""))</f>
        <v>1</v>
      </c>
      <c r="AP1279" s="82" t="str">
        <f aca="false">IF(AL1279&lt;&gt;"",AL1279,IF(AG1279&lt;&gt;"",AG1279,IF(AA1279&lt;&gt;"",AA1279,"")))</f>
        <v>A</v>
      </c>
      <c r="AQ1279" s="84" t="str">
        <f aca="false">IF(E1279="","",IF(U1279="","À SOUDER",IF(X1279="","VT EN ATTENTE",IF(X1279="R","VT REJETÉ – À REPRENDRE",IF(AP1279="","À RADIOGRAPHIER",IF(AP1279="A","ACCEPTÉ",IF(AP1279="NX","NX – RT À REFAIRE",IF(IF(AO1279=1,AD1279,IF(AO1279=2,AI1279,""))="A","RÉPARÉ – À RADIOGRAPHIER",IF(IF(AO1279=1,AD1279,IF(AO1279=2,AI1279,""))="R","VT REJETÉ – À REPRENDRE",IF(OR(AP1279="CO",AP1279="NT"),"COUPE – À RESOUDER","À RÉPARER"))))))))))</f>
        <v>ACCEPTÉ</v>
      </c>
      <c r="AR1279" s="82" t="str">
        <f aca="false">IF(AND(ISNUMBER(U1279),OR(AQ1279="À RADIOGRAPHIER",AQ1279="RÉPARÉ – À RADIOGRAPHIER",AQ1279="NX – RT À REFAIRE",AQ1279="À RÉPARER",AQ1279="COUPE – À RESOUDER",AQ1279="VT REJETÉ – À REPRENDRE")),MAX(0,'PROGRAMME RT'!$C$4-U1279),"")</f>
        <v/>
      </c>
      <c r="AS1279" s="82" t="n">
        <f aca="false">IF(AND(OR(AQ1279="À RADIOGRAPHIER",AQ1279="RÉPARÉ – À RADIOGRAPHIER",AQ1279="NX – RT À REFAIRE"),OR('PROGRAMME RT'!$D$5="TOUTES",B1279='PROGRAMME RT'!$D$5)),1,0)</f>
        <v>0</v>
      </c>
      <c r="AT1279" s="82" t="str">
        <f aca="false">IF(AS1279=1,SUM(AS$7:AS1279),"")</f>
        <v/>
      </c>
      <c r="AU1279" s="82" t="n">
        <f aca="false">IF(AND(OR(AA1279="R",AA1279="NX",AA1279="NT",AA1279="CO"),OR('JOINTS DE RÉPARATION'!$D$5="TOUTES",B1279='JOINTS DE RÉPARATION'!$D$5),OR('JOINTS DE RÉPARATION'!$L$4="TOUS",AQ1279&lt;&gt;"ACCEPTÉ")),1,0)</f>
        <v>0</v>
      </c>
      <c r="AV1279" s="82" t="str">
        <f aca="false">IF(AU1279=1,SUM(AU$7:AU1279),"")</f>
        <v/>
      </c>
      <c r="AW1279" s="82" t="str">
        <f aca="false">IF(E1279="","",B1279&amp;"|"&amp;E1279)</f>
        <v>MFD-ISW → MFD-CPF|DJ°304</v>
      </c>
    </row>
    <row r="1280" customFormat="false" ht="74.6" hidden="false" customHeight="false" outlineLevel="0" collapsed="false">
      <c r="A1280" s="79" t="n">
        <f aca="false">IF(E1280="","",ROW()-6)</f>
        <v>1274</v>
      </c>
      <c r="B1280" s="80" t="s">
        <v>110</v>
      </c>
      <c r="C1280" s="81" t="s">
        <v>1530</v>
      </c>
      <c r="D1280" s="81" t="n">
        <v>10</v>
      </c>
      <c r="E1280" s="81" t="s">
        <v>1537</v>
      </c>
      <c r="F1280" s="82" t="str">
        <f aca="false">IF(E1280="","",IF(LEFT(E1280,2)="DJ","DJ","JN"))</f>
        <v>JN</v>
      </c>
      <c r="G1280" s="81" t="s">
        <v>1504</v>
      </c>
      <c r="H1280" s="81" t="s">
        <v>871</v>
      </c>
      <c r="I1280" s="81" t="n">
        <v>9.53</v>
      </c>
      <c r="J1280" s="81" t="s">
        <v>872</v>
      </c>
      <c r="K1280" s="81" t="s">
        <v>879</v>
      </c>
      <c r="L1280" s="81" t="n">
        <v>2091810</v>
      </c>
      <c r="M1280" s="81" t="n">
        <v>15421109</v>
      </c>
      <c r="N1280" s="81" t="n">
        <v>11.94</v>
      </c>
      <c r="O1280" s="81" t="n">
        <v>2089650</v>
      </c>
      <c r="P1280" s="81" t="n">
        <v>15421105</v>
      </c>
      <c r="Q1280" s="81" t="n">
        <v>11.94</v>
      </c>
      <c r="R1280" s="81" t="s">
        <v>1367</v>
      </c>
      <c r="S1280" s="81"/>
      <c r="T1280" s="81"/>
      <c r="U1280" s="83" t="n">
        <v>46278</v>
      </c>
      <c r="V1280" s="83" t="n">
        <v>46278</v>
      </c>
      <c r="W1280" s="81" t="s">
        <v>1505</v>
      </c>
      <c r="X1280" s="81" t="s">
        <v>876</v>
      </c>
      <c r="Y1280" s="83" t="n">
        <v>46282</v>
      </c>
      <c r="Z1280" s="81" t="s">
        <v>1538</v>
      </c>
      <c r="AA1280" s="81" t="s">
        <v>876</v>
      </c>
      <c r="AB1280" s="81"/>
      <c r="AC1280" s="81"/>
      <c r="AD1280" s="81"/>
      <c r="AE1280" s="83"/>
      <c r="AF1280" s="81"/>
      <c r="AG1280" s="81"/>
      <c r="AH1280" s="81"/>
      <c r="AI1280" s="81"/>
      <c r="AJ1280" s="83"/>
      <c r="AK1280" s="81"/>
      <c r="AL1280" s="81"/>
      <c r="AM1280" s="83"/>
      <c r="AN1280" s="80"/>
      <c r="AO1280" s="82" t="n">
        <f aca="false">IF(E1280="","",(AA1280&lt;&gt;"")+(AG1280&lt;&gt;"")+(AL1280&lt;&gt;""))</f>
        <v>1</v>
      </c>
      <c r="AP1280" s="82" t="str">
        <f aca="false">IF(AL1280&lt;&gt;"",AL1280,IF(AG1280&lt;&gt;"",AG1280,IF(AA1280&lt;&gt;"",AA1280,"")))</f>
        <v>A</v>
      </c>
      <c r="AQ1280" s="84" t="str">
        <f aca="false">IF(E1280="","",IF(U1280="","À SOUDER",IF(X1280="","VT EN ATTENTE",IF(X1280="R","VT REJETÉ – À REPRENDRE",IF(AP1280="","À RADIOGRAPHIER",IF(AP1280="A","ACCEPTÉ",IF(AP1280="NX","NX – RT À REFAIRE",IF(IF(AO1280=1,AD1280,IF(AO1280=2,AI1280,""))="A","RÉPARÉ – À RADIOGRAPHIER",IF(IF(AO1280=1,AD1280,IF(AO1280=2,AI1280,""))="R","VT REJETÉ – À REPRENDRE",IF(OR(AP1280="CO",AP1280="NT"),"COUPE – À RESOUDER","À RÉPARER"))))))))))</f>
        <v>ACCEPTÉ</v>
      </c>
      <c r="AR1280" s="82" t="str">
        <f aca="false">IF(AND(ISNUMBER(U1280),OR(AQ1280="À RADIOGRAPHIER",AQ1280="RÉPARÉ – À RADIOGRAPHIER",AQ1280="NX – RT À REFAIRE",AQ1280="À RÉPARER",AQ1280="COUPE – À RESOUDER",AQ1280="VT REJETÉ – À REPRENDRE")),MAX(0,'PROGRAMME RT'!$C$4-U1280),"")</f>
        <v/>
      </c>
      <c r="AS1280" s="82" t="n">
        <f aca="false">IF(AND(OR(AQ1280="À RADIOGRAPHIER",AQ1280="RÉPARÉ – À RADIOGRAPHIER",AQ1280="NX – RT À REFAIRE"),OR('PROGRAMME RT'!$D$5="TOUTES",B1280='PROGRAMME RT'!$D$5)),1,0)</f>
        <v>0</v>
      </c>
      <c r="AT1280" s="82" t="str">
        <f aca="false">IF(AS1280=1,SUM(AS$7:AS1280),"")</f>
        <v/>
      </c>
      <c r="AU1280" s="82" t="n">
        <f aca="false">IF(AND(OR(AA1280="R",AA1280="NX",AA1280="NT",AA1280="CO"),OR('JOINTS DE RÉPARATION'!$D$5="TOUTES",B1280='JOINTS DE RÉPARATION'!$D$5),OR('JOINTS DE RÉPARATION'!$L$4="TOUS",AQ1280&lt;&gt;"ACCEPTÉ")),1,0)</f>
        <v>0</v>
      </c>
      <c r="AV1280" s="82" t="str">
        <f aca="false">IF(AU1280=1,SUM(AU$7:AU1280),"")</f>
        <v/>
      </c>
      <c r="AW1280" s="82" t="str">
        <f aca="false">IF(E1280="","",B1280&amp;"|"&amp;E1280)</f>
        <v>MFD-ISW → MFD-CPF|JN°1082</v>
      </c>
    </row>
    <row r="1281" customFormat="false" ht="74.6" hidden="false" customHeight="false" outlineLevel="0" collapsed="false">
      <c r="A1281" s="79" t="n">
        <f aca="false">IF(E1281="","",ROW()-6)</f>
        <v>1275</v>
      </c>
      <c r="B1281" s="80" t="s">
        <v>110</v>
      </c>
      <c r="C1281" s="81" t="s">
        <v>1530</v>
      </c>
      <c r="D1281" s="81" t="n">
        <v>10</v>
      </c>
      <c r="E1281" s="81" t="s">
        <v>1539</v>
      </c>
      <c r="F1281" s="82" t="str">
        <f aca="false">IF(E1281="","",IF(LEFT(E1281,2)="DJ","DJ","JN"))</f>
        <v>DJ</v>
      </c>
      <c r="G1281" s="81"/>
      <c r="H1281" s="81" t="s">
        <v>871</v>
      </c>
      <c r="I1281" s="81" t="n">
        <v>9.53</v>
      </c>
      <c r="J1281" s="81" t="s">
        <v>872</v>
      </c>
      <c r="K1281" s="81" t="s">
        <v>873</v>
      </c>
      <c r="L1281" s="81" t="n">
        <v>2089650</v>
      </c>
      <c r="M1281" s="81" t="n">
        <v>15421105</v>
      </c>
      <c r="N1281" s="81" t="n">
        <v>11.94</v>
      </c>
      <c r="O1281" s="81" t="n">
        <v>2080680</v>
      </c>
      <c r="P1281" s="81" t="n">
        <v>15421109</v>
      </c>
      <c r="Q1281" s="81" t="n">
        <v>11.94</v>
      </c>
      <c r="R1281" s="81" t="s">
        <v>1517</v>
      </c>
      <c r="S1281" s="81"/>
      <c r="T1281" s="81"/>
      <c r="U1281" s="83" t="n">
        <v>46271</v>
      </c>
      <c r="V1281" s="83" t="n">
        <v>46271</v>
      </c>
      <c r="W1281" s="81" t="s">
        <v>1536</v>
      </c>
      <c r="X1281" s="81" t="s">
        <v>876</v>
      </c>
      <c r="Y1281" s="83" t="n">
        <v>46273</v>
      </c>
      <c r="Z1281" s="81" t="s">
        <v>1522</v>
      </c>
      <c r="AA1281" s="81" t="s">
        <v>876</v>
      </c>
      <c r="AB1281" s="81"/>
      <c r="AC1281" s="81"/>
      <c r="AD1281" s="81"/>
      <c r="AE1281" s="83"/>
      <c r="AF1281" s="81"/>
      <c r="AG1281" s="81"/>
      <c r="AH1281" s="81"/>
      <c r="AI1281" s="81"/>
      <c r="AJ1281" s="83"/>
      <c r="AK1281" s="81"/>
      <c r="AL1281" s="81"/>
      <c r="AM1281" s="83"/>
      <c r="AN1281" s="80"/>
      <c r="AO1281" s="82" t="n">
        <f aca="false">IF(E1281="","",(AA1281&lt;&gt;"")+(AG1281&lt;&gt;"")+(AL1281&lt;&gt;""))</f>
        <v>1</v>
      </c>
      <c r="AP1281" s="82" t="str">
        <f aca="false">IF(AL1281&lt;&gt;"",AL1281,IF(AG1281&lt;&gt;"",AG1281,IF(AA1281&lt;&gt;"",AA1281,"")))</f>
        <v>A</v>
      </c>
      <c r="AQ1281" s="84" t="str">
        <f aca="false">IF(E1281="","",IF(U1281="","À SOUDER",IF(X1281="","VT EN ATTENTE",IF(X1281="R","VT REJETÉ – À REPRENDRE",IF(AP1281="","À RADIOGRAPHIER",IF(AP1281="A","ACCEPTÉ",IF(AP1281="NX","NX – RT À REFAIRE",IF(IF(AO1281=1,AD1281,IF(AO1281=2,AI1281,""))="A","RÉPARÉ – À RADIOGRAPHIER",IF(IF(AO1281=1,AD1281,IF(AO1281=2,AI1281,""))="R","VT REJETÉ – À REPRENDRE",IF(OR(AP1281="CO",AP1281="NT"),"COUPE – À RESOUDER","À RÉPARER"))))))))))</f>
        <v>ACCEPTÉ</v>
      </c>
      <c r="AR1281" s="82" t="str">
        <f aca="false">IF(AND(ISNUMBER(U1281),OR(AQ1281="À RADIOGRAPHIER",AQ1281="RÉPARÉ – À RADIOGRAPHIER",AQ1281="NX – RT À REFAIRE",AQ1281="À RÉPARER",AQ1281="COUPE – À RESOUDER",AQ1281="VT REJETÉ – À REPRENDRE")),MAX(0,'PROGRAMME RT'!$C$4-U1281),"")</f>
        <v/>
      </c>
      <c r="AS1281" s="82" t="n">
        <f aca="false">IF(AND(OR(AQ1281="À RADIOGRAPHIER",AQ1281="RÉPARÉ – À RADIOGRAPHIER",AQ1281="NX – RT À REFAIRE"),OR('PROGRAMME RT'!$D$5="TOUTES",B1281='PROGRAMME RT'!$D$5)),1,0)</f>
        <v>0</v>
      </c>
      <c r="AT1281" s="82" t="str">
        <f aca="false">IF(AS1281=1,SUM(AS$7:AS1281),"")</f>
        <v/>
      </c>
      <c r="AU1281" s="82" t="n">
        <f aca="false">IF(AND(OR(AA1281="R",AA1281="NX",AA1281="NT",AA1281="CO"),OR('JOINTS DE RÉPARATION'!$D$5="TOUTES",B1281='JOINTS DE RÉPARATION'!$D$5),OR('JOINTS DE RÉPARATION'!$L$4="TOUS",AQ1281&lt;&gt;"ACCEPTÉ")),1,0)</f>
        <v>0</v>
      </c>
      <c r="AV1281" s="82" t="str">
        <f aca="false">IF(AU1281=1,SUM(AU$7:AU1281),"")</f>
        <v/>
      </c>
      <c r="AW1281" s="82" t="str">
        <f aca="false">IF(E1281="","",B1281&amp;"|"&amp;E1281)</f>
        <v>MFD-ISW → MFD-CPF|DJ°305</v>
      </c>
    </row>
    <row r="1282" customFormat="false" ht="74.6" hidden="false" customHeight="false" outlineLevel="0" collapsed="false">
      <c r="A1282" s="79" t="n">
        <f aca="false">IF(E1282="","",ROW()-6)</f>
        <v>1276</v>
      </c>
      <c r="B1282" s="80" t="s">
        <v>110</v>
      </c>
      <c r="C1282" s="81" t="s">
        <v>1530</v>
      </c>
      <c r="D1282" s="81" t="n">
        <v>10</v>
      </c>
      <c r="E1282" s="81" t="s">
        <v>1540</v>
      </c>
      <c r="F1282" s="82" t="str">
        <f aca="false">IF(E1282="","",IF(LEFT(E1282,2)="DJ","DJ","JN"))</f>
        <v>JN</v>
      </c>
      <c r="G1282" s="81" t="s">
        <v>1504</v>
      </c>
      <c r="H1282" s="81" t="s">
        <v>871</v>
      </c>
      <c r="I1282" s="81" t="n">
        <v>9.53</v>
      </c>
      <c r="J1282" s="81" t="s">
        <v>872</v>
      </c>
      <c r="K1282" s="81" t="s">
        <v>879</v>
      </c>
      <c r="L1282" s="81" t="n">
        <v>2080680</v>
      </c>
      <c r="M1282" s="81" t="n">
        <v>15421109</v>
      </c>
      <c r="N1282" s="81" t="n">
        <v>11.94</v>
      </c>
      <c r="O1282" s="81" t="n">
        <v>2090180</v>
      </c>
      <c r="P1282" s="81" t="n">
        <v>15421109</v>
      </c>
      <c r="Q1282" s="81" t="n">
        <v>11.94</v>
      </c>
      <c r="R1282" s="81" t="s">
        <v>1367</v>
      </c>
      <c r="S1282" s="81"/>
      <c r="T1282" s="81"/>
      <c r="U1282" s="83" t="n">
        <v>46278</v>
      </c>
      <c r="V1282" s="83" t="n">
        <v>46278</v>
      </c>
      <c r="W1282" s="81" t="s">
        <v>1505</v>
      </c>
      <c r="X1282" s="81" t="s">
        <v>876</v>
      </c>
      <c r="Y1282" s="83" t="n">
        <v>46282</v>
      </c>
      <c r="Z1282" s="81" t="s">
        <v>1538</v>
      </c>
      <c r="AA1282" s="81" t="s">
        <v>876</v>
      </c>
      <c r="AB1282" s="81"/>
      <c r="AC1282" s="81"/>
      <c r="AD1282" s="81"/>
      <c r="AE1282" s="83"/>
      <c r="AF1282" s="81"/>
      <c r="AG1282" s="81"/>
      <c r="AH1282" s="81"/>
      <c r="AI1282" s="81"/>
      <c r="AJ1282" s="83"/>
      <c r="AK1282" s="81"/>
      <c r="AL1282" s="81"/>
      <c r="AM1282" s="83"/>
      <c r="AN1282" s="80"/>
      <c r="AO1282" s="82" t="n">
        <f aca="false">IF(E1282="","",(AA1282&lt;&gt;"")+(AG1282&lt;&gt;"")+(AL1282&lt;&gt;""))</f>
        <v>1</v>
      </c>
      <c r="AP1282" s="82" t="str">
        <f aca="false">IF(AL1282&lt;&gt;"",AL1282,IF(AG1282&lt;&gt;"",AG1282,IF(AA1282&lt;&gt;"",AA1282,"")))</f>
        <v>A</v>
      </c>
      <c r="AQ1282" s="84" t="str">
        <f aca="false">IF(E1282="","",IF(U1282="","À SOUDER",IF(X1282="","VT EN ATTENTE",IF(X1282="R","VT REJETÉ – À REPRENDRE",IF(AP1282="","À RADIOGRAPHIER",IF(AP1282="A","ACCEPTÉ",IF(AP1282="NX","NX – RT À REFAIRE",IF(IF(AO1282=1,AD1282,IF(AO1282=2,AI1282,""))="A","RÉPARÉ – À RADIOGRAPHIER",IF(IF(AO1282=1,AD1282,IF(AO1282=2,AI1282,""))="R","VT REJETÉ – À REPRENDRE",IF(OR(AP1282="CO",AP1282="NT"),"COUPE – À RESOUDER","À RÉPARER"))))))))))</f>
        <v>ACCEPTÉ</v>
      </c>
      <c r="AR1282" s="82" t="str">
        <f aca="false">IF(AND(ISNUMBER(U1282),OR(AQ1282="À RADIOGRAPHIER",AQ1282="RÉPARÉ – À RADIOGRAPHIER",AQ1282="NX – RT À REFAIRE",AQ1282="À RÉPARER",AQ1282="COUPE – À RESOUDER",AQ1282="VT REJETÉ – À REPRENDRE")),MAX(0,'PROGRAMME RT'!$C$4-U1282),"")</f>
        <v/>
      </c>
      <c r="AS1282" s="82" t="n">
        <f aca="false">IF(AND(OR(AQ1282="À RADIOGRAPHIER",AQ1282="RÉPARÉ – À RADIOGRAPHIER",AQ1282="NX – RT À REFAIRE"),OR('PROGRAMME RT'!$D$5="TOUTES",B1282='PROGRAMME RT'!$D$5)),1,0)</f>
        <v>0</v>
      </c>
      <c r="AT1282" s="82" t="str">
        <f aca="false">IF(AS1282=1,SUM(AS$7:AS1282),"")</f>
        <v/>
      </c>
      <c r="AU1282" s="82" t="n">
        <f aca="false">IF(AND(OR(AA1282="R",AA1282="NX",AA1282="NT",AA1282="CO"),OR('JOINTS DE RÉPARATION'!$D$5="TOUTES",B1282='JOINTS DE RÉPARATION'!$D$5),OR('JOINTS DE RÉPARATION'!$L$4="TOUS",AQ1282&lt;&gt;"ACCEPTÉ")),1,0)</f>
        <v>0</v>
      </c>
      <c r="AV1282" s="82" t="str">
        <f aca="false">IF(AU1282=1,SUM(AU$7:AU1282),"")</f>
        <v/>
      </c>
      <c r="AW1282" s="82" t="str">
        <f aca="false">IF(E1282="","",B1282&amp;"|"&amp;E1282)</f>
        <v>MFD-ISW → MFD-CPF|JN°1083</v>
      </c>
    </row>
    <row r="1283" customFormat="false" ht="74.6" hidden="false" customHeight="false" outlineLevel="0" collapsed="false">
      <c r="A1283" s="79" t="n">
        <f aca="false">IF(E1283="","",ROW()-6)</f>
        <v>1277</v>
      </c>
      <c r="B1283" s="80" t="s">
        <v>110</v>
      </c>
      <c r="C1283" s="81" t="s">
        <v>1530</v>
      </c>
      <c r="D1283" s="81" t="n">
        <v>10</v>
      </c>
      <c r="E1283" s="81" t="s">
        <v>1541</v>
      </c>
      <c r="F1283" s="82" t="str">
        <f aca="false">IF(E1283="","",IF(LEFT(E1283,2)="DJ","DJ","JN"))</f>
        <v>DJ</v>
      </c>
      <c r="G1283" s="81"/>
      <c r="H1283" s="81" t="s">
        <v>871</v>
      </c>
      <c r="I1283" s="81" t="n">
        <v>9.53</v>
      </c>
      <c r="J1283" s="81" t="s">
        <v>872</v>
      </c>
      <c r="K1283" s="81" t="s">
        <v>873</v>
      </c>
      <c r="L1283" s="81" t="n">
        <v>2090180</v>
      </c>
      <c r="M1283" s="81" t="n">
        <v>15421109</v>
      </c>
      <c r="N1283" s="81" t="n">
        <v>11.94</v>
      </c>
      <c r="O1283" s="81" t="n">
        <v>2087750</v>
      </c>
      <c r="P1283" s="81" t="n">
        <v>15421108</v>
      </c>
      <c r="Q1283" s="81" t="n">
        <v>11.94</v>
      </c>
      <c r="R1283" s="81" t="s">
        <v>1135</v>
      </c>
      <c r="S1283" s="81"/>
      <c r="T1283" s="81"/>
      <c r="U1283" s="83" t="n">
        <v>46271</v>
      </c>
      <c r="V1283" s="83" t="n">
        <v>46271</v>
      </c>
      <c r="W1283" s="81" t="s">
        <v>1536</v>
      </c>
      <c r="X1283" s="81" t="s">
        <v>876</v>
      </c>
      <c r="Y1283" s="83" t="n">
        <v>46272</v>
      </c>
      <c r="Z1283" s="81" t="s">
        <v>1542</v>
      </c>
      <c r="AA1283" s="81" t="s">
        <v>876</v>
      </c>
      <c r="AB1283" s="81"/>
      <c r="AC1283" s="81"/>
      <c r="AD1283" s="81"/>
      <c r="AE1283" s="83"/>
      <c r="AF1283" s="81"/>
      <c r="AG1283" s="81"/>
      <c r="AH1283" s="81"/>
      <c r="AI1283" s="81"/>
      <c r="AJ1283" s="83"/>
      <c r="AK1283" s="81"/>
      <c r="AL1283" s="81"/>
      <c r="AM1283" s="83"/>
      <c r="AN1283" s="80"/>
      <c r="AO1283" s="82" t="n">
        <f aca="false">IF(E1283="","",(AA1283&lt;&gt;"")+(AG1283&lt;&gt;"")+(AL1283&lt;&gt;""))</f>
        <v>1</v>
      </c>
      <c r="AP1283" s="82" t="str">
        <f aca="false">IF(AL1283&lt;&gt;"",AL1283,IF(AG1283&lt;&gt;"",AG1283,IF(AA1283&lt;&gt;"",AA1283,"")))</f>
        <v>A</v>
      </c>
      <c r="AQ1283" s="84" t="str">
        <f aca="false">IF(E1283="","",IF(U1283="","À SOUDER",IF(X1283="","VT EN ATTENTE",IF(X1283="R","VT REJETÉ – À REPRENDRE",IF(AP1283="","À RADIOGRAPHIER",IF(AP1283="A","ACCEPTÉ",IF(AP1283="NX","NX – RT À REFAIRE",IF(IF(AO1283=1,AD1283,IF(AO1283=2,AI1283,""))="A","RÉPARÉ – À RADIOGRAPHIER",IF(IF(AO1283=1,AD1283,IF(AO1283=2,AI1283,""))="R","VT REJETÉ – À REPRENDRE",IF(OR(AP1283="CO",AP1283="NT"),"COUPE – À RESOUDER","À RÉPARER"))))))))))</f>
        <v>ACCEPTÉ</v>
      </c>
      <c r="AR1283" s="82" t="str">
        <f aca="false">IF(AND(ISNUMBER(U1283),OR(AQ1283="À RADIOGRAPHIER",AQ1283="RÉPARÉ – À RADIOGRAPHIER",AQ1283="NX – RT À REFAIRE",AQ1283="À RÉPARER",AQ1283="COUPE – À RESOUDER",AQ1283="VT REJETÉ – À REPRENDRE")),MAX(0,'PROGRAMME RT'!$C$4-U1283),"")</f>
        <v/>
      </c>
      <c r="AS1283" s="82" t="n">
        <f aca="false">IF(AND(OR(AQ1283="À RADIOGRAPHIER",AQ1283="RÉPARÉ – À RADIOGRAPHIER",AQ1283="NX – RT À REFAIRE"),OR('PROGRAMME RT'!$D$5="TOUTES",B1283='PROGRAMME RT'!$D$5)),1,0)</f>
        <v>0</v>
      </c>
      <c r="AT1283" s="82" t="str">
        <f aca="false">IF(AS1283=1,SUM(AS$7:AS1283),"")</f>
        <v/>
      </c>
      <c r="AU1283" s="82" t="n">
        <f aca="false">IF(AND(OR(AA1283="R",AA1283="NX",AA1283="NT",AA1283="CO"),OR('JOINTS DE RÉPARATION'!$D$5="TOUTES",B1283='JOINTS DE RÉPARATION'!$D$5),OR('JOINTS DE RÉPARATION'!$L$4="TOUS",AQ1283&lt;&gt;"ACCEPTÉ")),1,0)</f>
        <v>0</v>
      </c>
      <c r="AV1283" s="82" t="str">
        <f aca="false">IF(AU1283=1,SUM(AU$7:AU1283),"")</f>
        <v/>
      </c>
      <c r="AW1283" s="82" t="str">
        <f aca="false">IF(E1283="","",B1283&amp;"|"&amp;E1283)</f>
        <v>MFD-ISW → MFD-CPF|DJ°296</v>
      </c>
    </row>
    <row r="1284" customFormat="false" ht="74.6" hidden="false" customHeight="false" outlineLevel="0" collapsed="false">
      <c r="A1284" s="79" t="n">
        <f aca="false">IF(E1284="","",ROW()-6)</f>
        <v>1278</v>
      </c>
      <c r="B1284" s="80" t="s">
        <v>110</v>
      </c>
      <c r="C1284" s="81" t="s">
        <v>1530</v>
      </c>
      <c r="D1284" s="81" t="n">
        <v>10</v>
      </c>
      <c r="E1284" s="81" t="s">
        <v>1543</v>
      </c>
      <c r="F1284" s="82" t="str">
        <f aca="false">IF(E1284="","",IF(LEFT(E1284,2)="DJ","DJ","JN"))</f>
        <v>JN</v>
      </c>
      <c r="G1284" s="81" t="s">
        <v>1504</v>
      </c>
      <c r="H1284" s="81" t="s">
        <v>871</v>
      </c>
      <c r="I1284" s="81" t="n">
        <v>9.53</v>
      </c>
      <c r="J1284" s="81" t="s">
        <v>872</v>
      </c>
      <c r="K1284" s="81" t="s">
        <v>879</v>
      </c>
      <c r="L1284" s="81" t="n">
        <v>2087750</v>
      </c>
      <c r="M1284" s="81" t="n">
        <v>15421108</v>
      </c>
      <c r="N1284" s="81" t="n">
        <v>11.94</v>
      </c>
      <c r="O1284" s="81" t="n">
        <v>2094940</v>
      </c>
      <c r="P1284" s="81" t="n">
        <v>15421111</v>
      </c>
      <c r="Q1284" s="81" t="n">
        <v>11.94</v>
      </c>
      <c r="R1284" s="81" t="s">
        <v>1367</v>
      </c>
      <c r="S1284" s="81"/>
      <c r="T1284" s="81"/>
      <c r="U1284" s="83" t="n">
        <v>46278</v>
      </c>
      <c r="V1284" s="83" t="n">
        <v>46278</v>
      </c>
      <c r="W1284" s="81" t="s">
        <v>1505</v>
      </c>
      <c r="X1284" s="81" t="s">
        <v>876</v>
      </c>
      <c r="Y1284" s="83" t="n">
        <v>46282</v>
      </c>
      <c r="Z1284" s="81" t="s">
        <v>1538</v>
      </c>
      <c r="AA1284" s="81" t="s">
        <v>876</v>
      </c>
      <c r="AB1284" s="81"/>
      <c r="AC1284" s="81"/>
      <c r="AD1284" s="81"/>
      <c r="AE1284" s="83"/>
      <c r="AF1284" s="81"/>
      <c r="AG1284" s="81"/>
      <c r="AH1284" s="81"/>
      <c r="AI1284" s="81"/>
      <c r="AJ1284" s="83"/>
      <c r="AK1284" s="81"/>
      <c r="AL1284" s="81"/>
      <c r="AM1284" s="83"/>
      <c r="AN1284" s="80"/>
      <c r="AO1284" s="82" t="n">
        <f aca="false">IF(E1284="","",(AA1284&lt;&gt;"")+(AG1284&lt;&gt;"")+(AL1284&lt;&gt;""))</f>
        <v>1</v>
      </c>
      <c r="AP1284" s="82" t="str">
        <f aca="false">IF(AL1284&lt;&gt;"",AL1284,IF(AG1284&lt;&gt;"",AG1284,IF(AA1284&lt;&gt;"",AA1284,"")))</f>
        <v>A</v>
      </c>
      <c r="AQ1284" s="84" t="str">
        <f aca="false">IF(E1284="","",IF(U1284="","À SOUDER",IF(X1284="","VT EN ATTENTE",IF(X1284="R","VT REJETÉ – À REPRENDRE",IF(AP1284="","À RADIOGRAPHIER",IF(AP1284="A","ACCEPTÉ",IF(AP1284="NX","NX – RT À REFAIRE",IF(IF(AO1284=1,AD1284,IF(AO1284=2,AI1284,""))="A","RÉPARÉ – À RADIOGRAPHIER",IF(IF(AO1284=1,AD1284,IF(AO1284=2,AI1284,""))="R","VT REJETÉ – À REPRENDRE",IF(OR(AP1284="CO",AP1284="NT"),"COUPE – À RESOUDER","À RÉPARER"))))))))))</f>
        <v>ACCEPTÉ</v>
      </c>
      <c r="AR1284" s="82" t="str">
        <f aca="false">IF(AND(ISNUMBER(U1284),OR(AQ1284="À RADIOGRAPHIER",AQ1284="RÉPARÉ – À RADIOGRAPHIER",AQ1284="NX – RT À REFAIRE",AQ1284="À RÉPARER",AQ1284="COUPE – À RESOUDER",AQ1284="VT REJETÉ – À REPRENDRE")),MAX(0,'PROGRAMME RT'!$C$4-U1284),"")</f>
        <v/>
      </c>
      <c r="AS1284" s="82" t="n">
        <f aca="false">IF(AND(OR(AQ1284="À RADIOGRAPHIER",AQ1284="RÉPARÉ – À RADIOGRAPHIER",AQ1284="NX – RT À REFAIRE"),OR('PROGRAMME RT'!$D$5="TOUTES",B1284='PROGRAMME RT'!$D$5)),1,0)</f>
        <v>0</v>
      </c>
      <c r="AT1284" s="82" t="str">
        <f aca="false">IF(AS1284=1,SUM(AS$7:AS1284),"")</f>
        <v/>
      </c>
      <c r="AU1284" s="82" t="n">
        <f aca="false">IF(AND(OR(AA1284="R",AA1284="NX",AA1284="NT",AA1284="CO"),OR('JOINTS DE RÉPARATION'!$D$5="TOUTES",B1284='JOINTS DE RÉPARATION'!$D$5),OR('JOINTS DE RÉPARATION'!$L$4="TOUS",AQ1284&lt;&gt;"ACCEPTÉ")),1,0)</f>
        <v>0</v>
      </c>
      <c r="AV1284" s="82" t="str">
        <f aca="false">IF(AU1284=1,SUM(AU$7:AU1284),"")</f>
        <v/>
      </c>
      <c r="AW1284" s="82" t="str">
        <f aca="false">IF(E1284="","",B1284&amp;"|"&amp;E1284)</f>
        <v>MFD-ISW → MFD-CPF|JN°1084</v>
      </c>
    </row>
    <row r="1285" customFormat="false" ht="74.6" hidden="false" customHeight="false" outlineLevel="0" collapsed="false">
      <c r="A1285" s="79" t="n">
        <f aca="false">IF(E1285="","",ROW()-6)</f>
        <v>1279</v>
      </c>
      <c r="B1285" s="80" t="s">
        <v>110</v>
      </c>
      <c r="C1285" s="81" t="s">
        <v>1530</v>
      </c>
      <c r="D1285" s="81" t="n">
        <v>10</v>
      </c>
      <c r="E1285" s="81" t="s">
        <v>1544</v>
      </c>
      <c r="F1285" s="82" t="str">
        <f aca="false">IF(E1285="","",IF(LEFT(E1285,2)="DJ","DJ","JN"))</f>
        <v>DJ</v>
      </c>
      <c r="G1285" s="81"/>
      <c r="H1285" s="81" t="s">
        <v>871</v>
      </c>
      <c r="I1285" s="81" t="n">
        <v>9.53</v>
      </c>
      <c r="J1285" s="81" t="s">
        <v>872</v>
      </c>
      <c r="K1285" s="81" t="s">
        <v>873</v>
      </c>
      <c r="L1285" s="81" t="n">
        <v>2094940</v>
      </c>
      <c r="M1285" s="81" t="n">
        <v>15421111</v>
      </c>
      <c r="N1285" s="81" t="n">
        <v>11.94</v>
      </c>
      <c r="O1285" s="81" t="n">
        <v>2096510</v>
      </c>
      <c r="P1285" s="81" t="n">
        <v>15421111</v>
      </c>
      <c r="Q1285" s="81" t="n">
        <v>11.94</v>
      </c>
      <c r="R1285" s="81" t="s">
        <v>1517</v>
      </c>
      <c r="S1285" s="81"/>
      <c r="T1285" s="81"/>
      <c r="U1285" s="83" t="n">
        <v>46272</v>
      </c>
      <c r="V1285" s="83" t="n">
        <v>46272</v>
      </c>
      <c r="W1285" s="81" t="s">
        <v>1518</v>
      </c>
      <c r="X1285" s="81" t="s">
        <v>876</v>
      </c>
      <c r="Y1285" s="83" t="n">
        <v>46273</v>
      </c>
      <c r="Z1285" s="81" t="s">
        <v>1522</v>
      </c>
      <c r="AA1285" s="81" t="s">
        <v>876</v>
      </c>
      <c r="AB1285" s="81"/>
      <c r="AC1285" s="81"/>
      <c r="AD1285" s="81"/>
      <c r="AE1285" s="83"/>
      <c r="AF1285" s="81"/>
      <c r="AG1285" s="81"/>
      <c r="AH1285" s="81"/>
      <c r="AI1285" s="81"/>
      <c r="AJ1285" s="83"/>
      <c r="AK1285" s="81"/>
      <c r="AL1285" s="81"/>
      <c r="AM1285" s="83"/>
      <c r="AN1285" s="80"/>
      <c r="AO1285" s="82" t="n">
        <f aca="false">IF(E1285="","",(AA1285&lt;&gt;"")+(AG1285&lt;&gt;"")+(AL1285&lt;&gt;""))</f>
        <v>1</v>
      </c>
      <c r="AP1285" s="82" t="str">
        <f aca="false">IF(AL1285&lt;&gt;"",AL1285,IF(AG1285&lt;&gt;"",AG1285,IF(AA1285&lt;&gt;"",AA1285,"")))</f>
        <v>A</v>
      </c>
      <c r="AQ1285" s="84" t="str">
        <f aca="false">IF(E1285="","",IF(U1285="","À SOUDER",IF(X1285="","VT EN ATTENTE",IF(X1285="R","VT REJETÉ – À REPRENDRE",IF(AP1285="","À RADIOGRAPHIER",IF(AP1285="A","ACCEPTÉ",IF(AP1285="NX","NX – RT À REFAIRE",IF(IF(AO1285=1,AD1285,IF(AO1285=2,AI1285,""))="A","RÉPARÉ – À RADIOGRAPHIER",IF(IF(AO1285=1,AD1285,IF(AO1285=2,AI1285,""))="R","VT REJETÉ – À REPRENDRE",IF(OR(AP1285="CO",AP1285="NT"),"COUPE – À RESOUDER","À RÉPARER"))))))))))</f>
        <v>ACCEPTÉ</v>
      </c>
      <c r="AR1285" s="82" t="str">
        <f aca="false">IF(AND(ISNUMBER(U1285),OR(AQ1285="À RADIOGRAPHIER",AQ1285="RÉPARÉ – À RADIOGRAPHIER",AQ1285="NX – RT À REFAIRE",AQ1285="À RÉPARER",AQ1285="COUPE – À RESOUDER",AQ1285="VT REJETÉ – À REPRENDRE")),MAX(0,'PROGRAMME RT'!$C$4-U1285),"")</f>
        <v/>
      </c>
      <c r="AS1285" s="82" t="n">
        <f aca="false">IF(AND(OR(AQ1285="À RADIOGRAPHIER",AQ1285="RÉPARÉ – À RADIOGRAPHIER",AQ1285="NX – RT À REFAIRE"),OR('PROGRAMME RT'!$D$5="TOUTES",B1285='PROGRAMME RT'!$D$5)),1,0)</f>
        <v>0</v>
      </c>
      <c r="AT1285" s="82" t="str">
        <f aca="false">IF(AS1285=1,SUM(AS$7:AS1285),"")</f>
        <v/>
      </c>
      <c r="AU1285" s="82" t="n">
        <f aca="false">IF(AND(OR(AA1285="R",AA1285="NX",AA1285="NT",AA1285="CO"),OR('JOINTS DE RÉPARATION'!$D$5="TOUTES",B1285='JOINTS DE RÉPARATION'!$D$5),OR('JOINTS DE RÉPARATION'!$L$4="TOUS",AQ1285&lt;&gt;"ACCEPTÉ")),1,0)</f>
        <v>0</v>
      </c>
      <c r="AV1285" s="82" t="str">
        <f aca="false">IF(AU1285=1,SUM(AU$7:AU1285),"")</f>
        <v/>
      </c>
      <c r="AW1285" s="82" t="str">
        <f aca="false">IF(E1285="","",B1285&amp;"|"&amp;E1285)</f>
        <v>MFD-ISW → MFD-CPF|DJ°317</v>
      </c>
    </row>
    <row r="1286" customFormat="false" ht="74.6" hidden="false" customHeight="false" outlineLevel="0" collapsed="false">
      <c r="A1286" s="79" t="n">
        <f aca="false">IF(E1286="","",ROW()-6)</f>
        <v>1280</v>
      </c>
      <c r="B1286" s="80" t="s">
        <v>110</v>
      </c>
      <c r="C1286" s="81" t="s">
        <v>1530</v>
      </c>
      <c r="D1286" s="81" t="n">
        <v>10</v>
      </c>
      <c r="E1286" s="81" t="s">
        <v>1545</v>
      </c>
      <c r="F1286" s="82" t="str">
        <f aca="false">IF(E1286="","",IF(LEFT(E1286,2)="DJ","DJ","JN"))</f>
        <v>JN</v>
      </c>
      <c r="G1286" s="81" t="s">
        <v>1504</v>
      </c>
      <c r="H1286" s="81" t="s">
        <v>871</v>
      </c>
      <c r="I1286" s="81" t="n">
        <v>9.53</v>
      </c>
      <c r="J1286" s="81" t="s">
        <v>872</v>
      </c>
      <c r="K1286" s="81" t="s">
        <v>879</v>
      </c>
      <c r="L1286" s="81" t="n">
        <v>2096510</v>
      </c>
      <c r="M1286" s="81" t="n">
        <v>15421111</v>
      </c>
      <c r="N1286" s="81" t="n">
        <v>11.94</v>
      </c>
      <c r="O1286" s="81" t="n">
        <v>2093200</v>
      </c>
      <c r="P1286" s="81" t="n">
        <v>15421110</v>
      </c>
      <c r="Q1286" s="81" t="n">
        <v>11.94</v>
      </c>
      <c r="R1286" s="81" t="s">
        <v>1367</v>
      </c>
      <c r="S1286" s="81"/>
      <c r="T1286" s="81"/>
      <c r="U1286" s="83" t="n">
        <v>46278</v>
      </c>
      <c r="V1286" s="83" t="n">
        <v>46278</v>
      </c>
      <c r="W1286" s="81" t="s">
        <v>1505</v>
      </c>
      <c r="X1286" s="81" t="s">
        <v>876</v>
      </c>
      <c r="Y1286" s="83" t="n">
        <v>46282</v>
      </c>
      <c r="Z1286" s="81" t="s">
        <v>1538</v>
      </c>
      <c r="AA1286" s="81" t="s">
        <v>1073</v>
      </c>
      <c r="AB1286" s="81" t="s">
        <v>1546</v>
      </c>
      <c r="AC1286" s="81"/>
      <c r="AD1286" s="81"/>
      <c r="AE1286" s="83"/>
      <c r="AF1286" s="81"/>
      <c r="AG1286" s="81"/>
      <c r="AH1286" s="81"/>
      <c r="AI1286" s="81"/>
      <c r="AJ1286" s="83"/>
      <c r="AK1286" s="81"/>
      <c r="AL1286" s="81"/>
      <c r="AM1286" s="83"/>
      <c r="AN1286" s="80"/>
      <c r="AO1286" s="82" t="n">
        <f aca="false">IF(E1286="","",(AA1286&lt;&gt;"")+(AG1286&lt;&gt;"")+(AL1286&lt;&gt;""))</f>
        <v>1</v>
      </c>
      <c r="AP1286" s="82" t="str">
        <f aca="false">IF(AL1286&lt;&gt;"",AL1286,IF(AG1286&lt;&gt;"",AG1286,IF(AA1286&lt;&gt;"",AA1286,"")))</f>
        <v>R</v>
      </c>
      <c r="AQ1286" s="84" t="str">
        <f aca="false">IF(E1286="","",IF(U1286="","À SOUDER",IF(X1286="","VT EN ATTENTE",IF(X1286="R","VT REJETÉ – À REPRENDRE",IF(AP1286="","À RADIOGRAPHIER",IF(AP1286="A","ACCEPTÉ",IF(AP1286="NX","NX – RT À REFAIRE",IF(IF(AO1286=1,AD1286,IF(AO1286=2,AI1286,""))="A","RÉPARÉ – À RADIOGRAPHIER",IF(IF(AO1286=1,AD1286,IF(AO1286=2,AI1286,""))="R","VT REJETÉ – À REPRENDRE",IF(OR(AP1286="CO",AP1286="NT"),"COUPE – À RESOUDER","À RÉPARER"))))))))))</f>
        <v>À RÉPARER</v>
      </c>
      <c r="AR1286" s="82" t="n">
        <f aca="false">IF(AND(ISNUMBER(U1286),OR(AQ1286="À RADIOGRAPHIER",AQ1286="RÉPARÉ – À RADIOGRAPHIER",AQ1286="NX – RT À REFAIRE",AQ1286="À RÉPARER",AQ1286="COUPE – À RESOUDER",AQ1286="VT REJETÉ – À REPRENDRE")),MAX(0,'PROGRAMME RT'!$C$4-U1286),"")</f>
        <v>15</v>
      </c>
      <c r="AS1286" s="82" t="n">
        <f aca="false">IF(AND(OR(AQ1286="À RADIOGRAPHIER",AQ1286="RÉPARÉ – À RADIOGRAPHIER",AQ1286="NX – RT À REFAIRE"),OR('PROGRAMME RT'!$D$5="TOUTES",B1286='PROGRAMME RT'!$D$5)),1,0)</f>
        <v>0</v>
      </c>
      <c r="AT1286" s="82" t="str">
        <f aca="false">IF(AS1286=1,SUM(AS$7:AS1286),"")</f>
        <v/>
      </c>
      <c r="AU1286" s="82" t="n">
        <f aca="false">IF(AND(OR(AA1286="R",AA1286="NX",AA1286="NT",AA1286="CO"),OR('JOINTS DE RÉPARATION'!$D$5="TOUTES",B1286='JOINTS DE RÉPARATION'!$D$5),OR('JOINTS DE RÉPARATION'!$L$4="TOUS",AQ1286&lt;&gt;"ACCEPTÉ")),1,0)</f>
        <v>1</v>
      </c>
      <c r="AV1286" s="82" t="n">
        <f aca="false">IF(AU1286=1,SUM(AU$7:AU1286),"")</f>
        <v>30</v>
      </c>
      <c r="AW1286" s="82" t="str">
        <f aca="false">IF(E1286="","",B1286&amp;"|"&amp;E1286)</f>
        <v>MFD-ISW → MFD-CPF|JN°1085</v>
      </c>
    </row>
    <row r="1287" customFormat="false" ht="74.6" hidden="false" customHeight="false" outlineLevel="0" collapsed="false">
      <c r="A1287" s="79" t="n">
        <f aca="false">IF(E1287="","",ROW()-6)</f>
        <v>1281</v>
      </c>
      <c r="B1287" s="80" t="s">
        <v>110</v>
      </c>
      <c r="C1287" s="81" t="s">
        <v>1530</v>
      </c>
      <c r="D1287" s="81" t="n">
        <v>10</v>
      </c>
      <c r="E1287" s="81" t="s">
        <v>1547</v>
      </c>
      <c r="F1287" s="82" t="str">
        <f aca="false">IF(E1287="","",IF(LEFT(E1287,2)="DJ","DJ","JN"))</f>
        <v>DJ</v>
      </c>
      <c r="G1287" s="81"/>
      <c r="H1287" s="81" t="s">
        <v>871</v>
      </c>
      <c r="I1287" s="81" t="n">
        <v>9.53</v>
      </c>
      <c r="J1287" s="81" t="s">
        <v>872</v>
      </c>
      <c r="K1287" s="81" t="s">
        <v>873</v>
      </c>
      <c r="L1287" s="81" t="n">
        <v>2093200</v>
      </c>
      <c r="M1287" s="81" t="n">
        <v>15421110</v>
      </c>
      <c r="N1287" s="81" t="n">
        <v>11.94</v>
      </c>
      <c r="O1287" s="81" t="n">
        <v>2089680</v>
      </c>
      <c r="P1287" s="81" t="n">
        <v>15421109</v>
      </c>
      <c r="Q1287" s="81" t="n">
        <v>11.94</v>
      </c>
      <c r="R1287" s="81" t="s">
        <v>1135</v>
      </c>
      <c r="S1287" s="81"/>
      <c r="T1287" s="81"/>
      <c r="U1287" s="83" t="n">
        <v>46271</v>
      </c>
      <c r="V1287" s="83" t="n">
        <v>46271</v>
      </c>
      <c r="W1287" s="81" t="s">
        <v>1536</v>
      </c>
      <c r="X1287" s="81" t="s">
        <v>876</v>
      </c>
      <c r="Y1287" s="83" t="n">
        <v>46272</v>
      </c>
      <c r="Z1287" s="81" t="s">
        <v>1522</v>
      </c>
      <c r="AA1287" s="81" t="s">
        <v>876</v>
      </c>
      <c r="AB1287" s="81"/>
      <c r="AC1287" s="81"/>
      <c r="AD1287" s="81"/>
      <c r="AE1287" s="83"/>
      <c r="AF1287" s="81"/>
      <c r="AG1287" s="81"/>
      <c r="AH1287" s="81"/>
      <c r="AI1287" s="81"/>
      <c r="AJ1287" s="83"/>
      <c r="AK1287" s="81"/>
      <c r="AL1287" s="81"/>
      <c r="AM1287" s="83"/>
      <c r="AN1287" s="80"/>
      <c r="AO1287" s="82" t="n">
        <f aca="false">IF(E1287="","",(AA1287&lt;&gt;"")+(AG1287&lt;&gt;"")+(AL1287&lt;&gt;""))</f>
        <v>1</v>
      </c>
      <c r="AP1287" s="82" t="str">
        <f aca="false">IF(AL1287&lt;&gt;"",AL1287,IF(AG1287&lt;&gt;"",AG1287,IF(AA1287&lt;&gt;"",AA1287,"")))</f>
        <v>A</v>
      </c>
      <c r="AQ1287" s="84" t="str">
        <f aca="false">IF(E1287="","",IF(U1287="","À SOUDER",IF(X1287="","VT EN ATTENTE",IF(X1287="R","VT REJETÉ – À REPRENDRE",IF(AP1287="","À RADIOGRAPHIER",IF(AP1287="A","ACCEPTÉ",IF(AP1287="NX","NX – RT À REFAIRE",IF(IF(AO1287=1,AD1287,IF(AO1287=2,AI1287,""))="A","RÉPARÉ – À RADIOGRAPHIER",IF(IF(AO1287=1,AD1287,IF(AO1287=2,AI1287,""))="R","VT REJETÉ – À REPRENDRE",IF(OR(AP1287="CO",AP1287="NT"),"COUPE – À RESOUDER","À RÉPARER"))))))))))</f>
        <v>ACCEPTÉ</v>
      </c>
      <c r="AR1287" s="82" t="str">
        <f aca="false">IF(AND(ISNUMBER(U1287),OR(AQ1287="À RADIOGRAPHIER",AQ1287="RÉPARÉ – À RADIOGRAPHIER",AQ1287="NX – RT À REFAIRE",AQ1287="À RÉPARER",AQ1287="COUPE – À RESOUDER",AQ1287="VT REJETÉ – À REPRENDRE")),MAX(0,'PROGRAMME RT'!$C$4-U1287),"")</f>
        <v/>
      </c>
      <c r="AS1287" s="82" t="n">
        <f aca="false">IF(AND(OR(AQ1287="À RADIOGRAPHIER",AQ1287="RÉPARÉ – À RADIOGRAPHIER",AQ1287="NX – RT À REFAIRE"),OR('PROGRAMME RT'!$D$5="TOUTES",B1287='PROGRAMME RT'!$D$5)),1,0)</f>
        <v>0</v>
      </c>
      <c r="AT1287" s="82" t="str">
        <f aca="false">IF(AS1287=1,SUM(AS$7:AS1287),"")</f>
        <v/>
      </c>
      <c r="AU1287" s="82" t="n">
        <f aca="false">IF(AND(OR(AA1287="R",AA1287="NX",AA1287="NT",AA1287="CO"),OR('JOINTS DE RÉPARATION'!$D$5="TOUTES",B1287='JOINTS DE RÉPARATION'!$D$5),OR('JOINTS DE RÉPARATION'!$L$4="TOUS",AQ1287&lt;&gt;"ACCEPTÉ")),1,0)</f>
        <v>0</v>
      </c>
      <c r="AV1287" s="82" t="str">
        <f aca="false">IF(AU1287=1,SUM(AU$7:AU1287),"")</f>
        <v/>
      </c>
      <c r="AW1287" s="82" t="str">
        <f aca="false">IF(E1287="","",B1287&amp;"|"&amp;E1287)</f>
        <v>MFD-ISW → MFD-CPF|DJ°291</v>
      </c>
    </row>
    <row r="1288" customFormat="false" ht="74.6" hidden="false" customHeight="false" outlineLevel="0" collapsed="false">
      <c r="A1288" s="79" t="n">
        <f aca="false">IF(E1288="","",ROW()-6)</f>
        <v>1282</v>
      </c>
      <c r="B1288" s="80" t="s">
        <v>110</v>
      </c>
      <c r="C1288" s="81" t="s">
        <v>1530</v>
      </c>
      <c r="D1288" s="81" t="n">
        <v>10</v>
      </c>
      <c r="E1288" s="81" t="s">
        <v>1548</v>
      </c>
      <c r="F1288" s="82" t="str">
        <f aca="false">IF(E1288="","",IF(LEFT(E1288,2)="DJ","DJ","JN"))</f>
        <v>JN</v>
      </c>
      <c r="G1288" s="81" t="s">
        <v>1504</v>
      </c>
      <c r="H1288" s="81" t="s">
        <v>871</v>
      </c>
      <c r="I1288" s="81" t="n">
        <v>9.53</v>
      </c>
      <c r="J1288" s="81" t="s">
        <v>872</v>
      </c>
      <c r="K1288" s="81" t="s">
        <v>879</v>
      </c>
      <c r="L1288" s="81" t="n">
        <v>2089680</v>
      </c>
      <c r="M1288" s="81" t="n">
        <v>15421109</v>
      </c>
      <c r="N1288" s="81" t="n">
        <v>11.94</v>
      </c>
      <c r="O1288" s="81" t="n">
        <v>2080930</v>
      </c>
      <c r="P1288" s="81" t="n">
        <v>15421103</v>
      </c>
      <c r="Q1288" s="81" t="n">
        <v>11.94</v>
      </c>
      <c r="R1288" s="81" t="s">
        <v>1367</v>
      </c>
      <c r="S1288" s="81"/>
      <c r="T1288" s="81"/>
      <c r="U1288" s="83" t="n">
        <v>46278</v>
      </c>
      <c r="V1288" s="83" t="n">
        <v>46278</v>
      </c>
      <c r="W1288" s="81" t="s">
        <v>1505</v>
      </c>
      <c r="X1288" s="81" t="s">
        <v>876</v>
      </c>
      <c r="Y1288" s="83" t="n">
        <v>46282</v>
      </c>
      <c r="Z1288" s="81" t="s">
        <v>1538</v>
      </c>
      <c r="AA1288" s="81" t="s">
        <v>876</v>
      </c>
      <c r="AB1288" s="81"/>
      <c r="AC1288" s="81"/>
      <c r="AD1288" s="81"/>
      <c r="AE1288" s="83"/>
      <c r="AF1288" s="81"/>
      <c r="AG1288" s="81"/>
      <c r="AH1288" s="81"/>
      <c r="AI1288" s="81"/>
      <c r="AJ1288" s="83"/>
      <c r="AK1288" s="81"/>
      <c r="AL1288" s="81"/>
      <c r="AM1288" s="83"/>
      <c r="AN1288" s="80"/>
      <c r="AO1288" s="82" t="n">
        <f aca="false">IF(E1288="","",(AA1288&lt;&gt;"")+(AG1288&lt;&gt;"")+(AL1288&lt;&gt;""))</f>
        <v>1</v>
      </c>
      <c r="AP1288" s="82" t="str">
        <f aca="false">IF(AL1288&lt;&gt;"",AL1288,IF(AG1288&lt;&gt;"",AG1288,IF(AA1288&lt;&gt;"",AA1288,"")))</f>
        <v>A</v>
      </c>
      <c r="AQ1288" s="84" t="str">
        <f aca="false">IF(E1288="","",IF(U1288="","À SOUDER",IF(X1288="","VT EN ATTENTE",IF(X1288="R","VT REJETÉ – À REPRENDRE",IF(AP1288="","À RADIOGRAPHIER",IF(AP1288="A","ACCEPTÉ",IF(AP1288="NX","NX – RT À REFAIRE",IF(IF(AO1288=1,AD1288,IF(AO1288=2,AI1288,""))="A","RÉPARÉ – À RADIOGRAPHIER",IF(IF(AO1288=1,AD1288,IF(AO1288=2,AI1288,""))="R","VT REJETÉ – À REPRENDRE",IF(OR(AP1288="CO",AP1288="NT"),"COUPE – À RESOUDER","À RÉPARER"))))))))))</f>
        <v>ACCEPTÉ</v>
      </c>
      <c r="AR1288" s="82" t="str">
        <f aca="false">IF(AND(ISNUMBER(U1288),OR(AQ1288="À RADIOGRAPHIER",AQ1288="RÉPARÉ – À RADIOGRAPHIER",AQ1288="NX – RT À REFAIRE",AQ1288="À RÉPARER",AQ1288="COUPE – À RESOUDER",AQ1288="VT REJETÉ – À REPRENDRE")),MAX(0,'PROGRAMME RT'!$C$4-U1288),"")</f>
        <v/>
      </c>
      <c r="AS1288" s="82" t="n">
        <f aca="false">IF(AND(OR(AQ1288="À RADIOGRAPHIER",AQ1288="RÉPARÉ – À RADIOGRAPHIER",AQ1288="NX – RT À REFAIRE"),OR('PROGRAMME RT'!$D$5="TOUTES",B1288='PROGRAMME RT'!$D$5)),1,0)</f>
        <v>0</v>
      </c>
      <c r="AT1288" s="82" t="str">
        <f aca="false">IF(AS1288=1,SUM(AS$7:AS1288),"")</f>
        <v/>
      </c>
      <c r="AU1288" s="82" t="n">
        <f aca="false">IF(AND(OR(AA1288="R",AA1288="NX",AA1288="NT",AA1288="CO"),OR('JOINTS DE RÉPARATION'!$D$5="TOUTES",B1288='JOINTS DE RÉPARATION'!$D$5),OR('JOINTS DE RÉPARATION'!$L$4="TOUS",AQ1288&lt;&gt;"ACCEPTÉ")),1,0)</f>
        <v>0</v>
      </c>
      <c r="AV1288" s="82" t="str">
        <f aca="false">IF(AU1288=1,SUM(AU$7:AU1288),"")</f>
        <v/>
      </c>
      <c r="AW1288" s="82" t="str">
        <f aca="false">IF(E1288="","",B1288&amp;"|"&amp;E1288)</f>
        <v>MFD-ISW → MFD-CPF|JN°1086</v>
      </c>
    </row>
    <row r="1289" customFormat="false" ht="74.6" hidden="false" customHeight="false" outlineLevel="0" collapsed="false">
      <c r="A1289" s="79" t="n">
        <f aca="false">IF(E1289="","",ROW()-6)</f>
        <v>1283</v>
      </c>
      <c r="B1289" s="80" t="s">
        <v>110</v>
      </c>
      <c r="C1289" s="81" t="s">
        <v>1530</v>
      </c>
      <c r="D1289" s="81" t="n">
        <v>10</v>
      </c>
      <c r="E1289" s="81" t="s">
        <v>1549</v>
      </c>
      <c r="F1289" s="82" t="str">
        <f aca="false">IF(E1289="","",IF(LEFT(E1289,2)="DJ","DJ","JN"))</f>
        <v>DJ</v>
      </c>
      <c r="G1289" s="81"/>
      <c r="H1289" s="81" t="s">
        <v>871</v>
      </c>
      <c r="I1289" s="81" t="n">
        <v>9.53</v>
      </c>
      <c r="J1289" s="81" t="s">
        <v>872</v>
      </c>
      <c r="K1289" s="81" t="s">
        <v>873</v>
      </c>
      <c r="L1289" s="81" t="n">
        <v>2080930</v>
      </c>
      <c r="M1289" s="81" t="n">
        <v>15421103</v>
      </c>
      <c r="N1289" s="81" t="n">
        <v>11.94</v>
      </c>
      <c r="O1289" s="81" t="n">
        <v>2090230</v>
      </c>
      <c r="P1289" s="81" t="n">
        <v>15421109</v>
      </c>
      <c r="Q1289" s="81" t="n">
        <v>11.94</v>
      </c>
      <c r="R1289" s="81" t="s">
        <v>1147</v>
      </c>
      <c r="S1289" s="81"/>
      <c r="T1289" s="81"/>
      <c r="U1289" s="83" t="n">
        <v>46272</v>
      </c>
      <c r="V1289" s="83" t="n">
        <v>46272</v>
      </c>
      <c r="W1289" s="81" t="s">
        <v>1518</v>
      </c>
      <c r="X1289" s="81" t="s">
        <v>876</v>
      </c>
      <c r="Y1289" s="83" t="n">
        <v>46273</v>
      </c>
      <c r="Z1289" s="81" t="s">
        <v>1522</v>
      </c>
      <c r="AA1289" s="81" t="s">
        <v>876</v>
      </c>
      <c r="AB1289" s="81"/>
      <c r="AC1289" s="81"/>
      <c r="AD1289" s="81"/>
      <c r="AE1289" s="83"/>
      <c r="AF1289" s="81"/>
      <c r="AG1289" s="81"/>
      <c r="AH1289" s="81"/>
      <c r="AI1289" s="81"/>
      <c r="AJ1289" s="83"/>
      <c r="AK1289" s="81"/>
      <c r="AL1289" s="81"/>
      <c r="AM1289" s="83"/>
      <c r="AN1289" s="80"/>
      <c r="AO1289" s="82" t="n">
        <f aca="false">IF(E1289="","",(AA1289&lt;&gt;"")+(AG1289&lt;&gt;"")+(AL1289&lt;&gt;""))</f>
        <v>1</v>
      </c>
      <c r="AP1289" s="82" t="str">
        <f aca="false">IF(AL1289&lt;&gt;"",AL1289,IF(AG1289&lt;&gt;"",AG1289,IF(AA1289&lt;&gt;"",AA1289,"")))</f>
        <v>A</v>
      </c>
      <c r="AQ1289" s="84" t="str">
        <f aca="false">IF(E1289="","",IF(U1289="","À SOUDER",IF(X1289="","VT EN ATTENTE",IF(X1289="R","VT REJETÉ – À REPRENDRE",IF(AP1289="","À RADIOGRAPHIER",IF(AP1289="A","ACCEPTÉ",IF(AP1289="NX","NX – RT À REFAIRE",IF(IF(AO1289=1,AD1289,IF(AO1289=2,AI1289,""))="A","RÉPARÉ – À RADIOGRAPHIER",IF(IF(AO1289=1,AD1289,IF(AO1289=2,AI1289,""))="R","VT REJETÉ – À REPRENDRE",IF(OR(AP1289="CO",AP1289="NT"),"COUPE – À RESOUDER","À RÉPARER"))))))))))</f>
        <v>ACCEPTÉ</v>
      </c>
      <c r="AR1289" s="82" t="str">
        <f aca="false">IF(AND(ISNUMBER(U1289),OR(AQ1289="À RADIOGRAPHIER",AQ1289="RÉPARÉ – À RADIOGRAPHIER",AQ1289="NX – RT À REFAIRE",AQ1289="À RÉPARER",AQ1289="COUPE – À RESOUDER",AQ1289="VT REJETÉ – À REPRENDRE")),MAX(0,'PROGRAMME RT'!$C$4-U1289),"")</f>
        <v/>
      </c>
      <c r="AS1289" s="82" t="n">
        <f aca="false">IF(AND(OR(AQ1289="À RADIOGRAPHIER",AQ1289="RÉPARÉ – À RADIOGRAPHIER",AQ1289="NX – RT À REFAIRE"),OR('PROGRAMME RT'!$D$5="TOUTES",B1289='PROGRAMME RT'!$D$5)),1,0)</f>
        <v>0</v>
      </c>
      <c r="AT1289" s="82" t="str">
        <f aca="false">IF(AS1289=1,SUM(AS$7:AS1289),"")</f>
        <v/>
      </c>
      <c r="AU1289" s="82" t="n">
        <f aca="false">IF(AND(OR(AA1289="R",AA1289="NX",AA1289="NT",AA1289="CO"),OR('JOINTS DE RÉPARATION'!$D$5="TOUTES",B1289='JOINTS DE RÉPARATION'!$D$5),OR('JOINTS DE RÉPARATION'!$L$4="TOUS",AQ1289&lt;&gt;"ACCEPTÉ")),1,0)</f>
        <v>0</v>
      </c>
      <c r="AV1289" s="82" t="str">
        <f aca="false">IF(AU1289=1,SUM(AU$7:AU1289),"")</f>
        <v/>
      </c>
      <c r="AW1289" s="82" t="str">
        <f aca="false">IF(E1289="","",B1289&amp;"|"&amp;E1289)</f>
        <v>MFD-ISW → MFD-CPF|DJ°314</v>
      </c>
    </row>
    <row r="1290" customFormat="false" ht="74.6" hidden="false" customHeight="false" outlineLevel="0" collapsed="false">
      <c r="A1290" s="79" t="n">
        <f aca="false">IF(E1290="","",ROW()-6)</f>
        <v>1284</v>
      </c>
      <c r="B1290" s="80" t="s">
        <v>110</v>
      </c>
      <c r="C1290" s="81" t="s">
        <v>1530</v>
      </c>
      <c r="D1290" s="81" t="n">
        <v>10</v>
      </c>
      <c r="E1290" s="81" t="s">
        <v>1550</v>
      </c>
      <c r="F1290" s="82" t="str">
        <f aca="false">IF(E1290="","",IF(LEFT(E1290,2)="DJ","DJ","JN"))</f>
        <v>JN</v>
      </c>
      <c r="G1290" s="81" t="s">
        <v>1504</v>
      </c>
      <c r="H1290" s="81" t="s">
        <v>871</v>
      </c>
      <c r="I1290" s="81" t="n">
        <v>9.53</v>
      </c>
      <c r="J1290" s="81" t="s">
        <v>872</v>
      </c>
      <c r="K1290" s="81" t="s">
        <v>879</v>
      </c>
      <c r="L1290" s="81" t="n">
        <v>2090230</v>
      </c>
      <c r="M1290" s="81" t="n">
        <v>15421109</v>
      </c>
      <c r="N1290" s="81" t="n">
        <v>11.94</v>
      </c>
      <c r="O1290" s="81" t="n">
        <v>2083130</v>
      </c>
      <c r="P1290" s="81" t="n">
        <v>15421105</v>
      </c>
      <c r="Q1290" s="81" t="n">
        <v>11.94</v>
      </c>
      <c r="R1290" s="81" t="s">
        <v>1367</v>
      </c>
      <c r="S1290" s="81"/>
      <c r="T1290" s="81"/>
      <c r="U1290" s="83" t="n">
        <v>46278</v>
      </c>
      <c r="V1290" s="83" t="n">
        <v>46278</v>
      </c>
      <c r="W1290" s="81" t="s">
        <v>1505</v>
      </c>
      <c r="X1290" s="81" t="s">
        <v>876</v>
      </c>
      <c r="Y1290" s="83" t="n">
        <v>46282</v>
      </c>
      <c r="Z1290" s="81" t="s">
        <v>1538</v>
      </c>
      <c r="AA1290" s="81" t="s">
        <v>876</v>
      </c>
      <c r="AB1290" s="81"/>
      <c r="AC1290" s="81"/>
      <c r="AD1290" s="81"/>
      <c r="AE1290" s="83"/>
      <c r="AF1290" s="81"/>
      <c r="AG1290" s="81"/>
      <c r="AH1290" s="81"/>
      <c r="AI1290" s="81"/>
      <c r="AJ1290" s="83"/>
      <c r="AK1290" s="81"/>
      <c r="AL1290" s="81"/>
      <c r="AM1290" s="83"/>
      <c r="AN1290" s="80"/>
      <c r="AO1290" s="82" t="n">
        <f aca="false">IF(E1290="","",(AA1290&lt;&gt;"")+(AG1290&lt;&gt;"")+(AL1290&lt;&gt;""))</f>
        <v>1</v>
      </c>
      <c r="AP1290" s="82" t="str">
        <f aca="false">IF(AL1290&lt;&gt;"",AL1290,IF(AG1290&lt;&gt;"",AG1290,IF(AA1290&lt;&gt;"",AA1290,"")))</f>
        <v>A</v>
      </c>
      <c r="AQ1290" s="84" t="str">
        <f aca="false">IF(E1290="","",IF(U1290="","À SOUDER",IF(X1290="","VT EN ATTENTE",IF(X1290="R","VT REJETÉ – À REPRENDRE",IF(AP1290="","À RADIOGRAPHIER",IF(AP1290="A","ACCEPTÉ",IF(AP1290="NX","NX – RT À REFAIRE",IF(IF(AO1290=1,AD1290,IF(AO1290=2,AI1290,""))="A","RÉPARÉ – À RADIOGRAPHIER",IF(IF(AO1290=1,AD1290,IF(AO1290=2,AI1290,""))="R","VT REJETÉ – À REPRENDRE",IF(OR(AP1290="CO",AP1290="NT"),"COUPE – À RESOUDER","À RÉPARER"))))))))))</f>
        <v>ACCEPTÉ</v>
      </c>
      <c r="AR1290" s="82" t="str">
        <f aca="false">IF(AND(ISNUMBER(U1290),OR(AQ1290="À RADIOGRAPHIER",AQ1290="RÉPARÉ – À RADIOGRAPHIER",AQ1290="NX – RT À REFAIRE",AQ1290="À RÉPARER",AQ1290="COUPE – À RESOUDER",AQ1290="VT REJETÉ – À REPRENDRE")),MAX(0,'PROGRAMME RT'!$C$4-U1290),"")</f>
        <v/>
      </c>
      <c r="AS1290" s="82" t="n">
        <f aca="false">IF(AND(OR(AQ1290="À RADIOGRAPHIER",AQ1290="RÉPARÉ – À RADIOGRAPHIER",AQ1290="NX – RT À REFAIRE"),OR('PROGRAMME RT'!$D$5="TOUTES",B1290='PROGRAMME RT'!$D$5)),1,0)</f>
        <v>0</v>
      </c>
      <c r="AT1290" s="82" t="str">
        <f aca="false">IF(AS1290=1,SUM(AS$7:AS1290),"")</f>
        <v/>
      </c>
      <c r="AU1290" s="82" t="n">
        <f aca="false">IF(AND(OR(AA1290="R",AA1290="NX",AA1290="NT",AA1290="CO"),OR('JOINTS DE RÉPARATION'!$D$5="TOUTES",B1290='JOINTS DE RÉPARATION'!$D$5),OR('JOINTS DE RÉPARATION'!$L$4="TOUS",AQ1290&lt;&gt;"ACCEPTÉ")),1,0)</f>
        <v>0</v>
      </c>
      <c r="AV1290" s="82" t="str">
        <f aca="false">IF(AU1290=1,SUM(AU$7:AU1290),"")</f>
        <v/>
      </c>
      <c r="AW1290" s="82" t="str">
        <f aca="false">IF(E1290="","",B1290&amp;"|"&amp;E1290)</f>
        <v>MFD-ISW → MFD-CPF|JN°1087</v>
      </c>
    </row>
    <row r="1291" customFormat="false" ht="74.6" hidden="false" customHeight="false" outlineLevel="0" collapsed="false">
      <c r="A1291" s="79" t="n">
        <f aca="false">IF(E1291="","",ROW()-6)</f>
        <v>1285</v>
      </c>
      <c r="B1291" s="80" t="s">
        <v>110</v>
      </c>
      <c r="C1291" s="81" t="s">
        <v>1530</v>
      </c>
      <c r="D1291" s="81" t="n">
        <v>10</v>
      </c>
      <c r="E1291" s="81" t="s">
        <v>1551</v>
      </c>
      <c r="F1291" s="82" t="str">
        <f aca="false">IF(E1291="","",IF(LEFT(E1291,2)="DJ","DJ","JN"))</f>
        <v>DJ</v>
      </c>
      <c r="G1291" s="81"/>
      <c r="H1291" s="81" t="s">
        <v>871</v>
      </c>
      <c r="I1291" s="81" t="n">
        <v>9.53</v>
      </c>
      <c r="J1291" s="81" t="s">
        <v>872</v>
      </c>
      <c r="K1291" s="81" t="s">
        <v>873</v>
      </c>
      <c r="L1291" s="81" t="n">
        <v>2083130</v>
      </c>
      <c r="M1291" s="81" t="n">
        <v>15421105</v>
      </c>
      <c r="N1291" s="81" t="n">
        <v>11.94</v>
      </c>
      <c r="O1291" s="81" t="n">
        <v>2098450</v>
      </c>
      <c r="P1291" s="81" t="n">
        <v>15421112</v>
      </c>
      <c r="Q1291" s="81" t="n">
        <v>11.94</v>
      </c>
      <c r="R1291" s="81" t="s">
        <v>1517</v>
      </c>
      <c r="S1291" s="81"/>
      <c r="T1291" s="81"/>
      <c r="U1291" s="83" t="n">
        <v>46272</v>
      </c>
      <c r="V1291" s="83" t="n">
        <v>46272</v>
      </c>
      <c r="W1291" s="81" t="s">
        <v>1518</v>
      </c>
      <c r="X1291" s="81" t="s">
        <v>876</v>
      </c>
      <c r="Y1291" s="83" t="n">
        <v>46273</v>
      </c>
      <c r="Z1291" s="81" t="s">
        <v>1522</v>
      </c>
      <c r="AA1291" s="81" t="s">
        <v>876</v>
      </c>
      <c r="AB1291" s="81"/>
      <c r="AC1291" s="81"/>
      <c r="AD1291" s="81"/>
      <c r="AE1291" s="83"/>
      <c r="AF1291" s="81"/>
      <c r="AG1291" s="81"/>
      <c r="AH1291" s="81"/>
      <c r="AI1291" s="81"/>
      <c r="AJ1291" s="83"/>
      <c r="AK1291" s="81"/>
      <c r="AL1291" s="81"/>
      <c r="AM1291" s="83"/>
      <c r="AN1291" s="80"/>
      <c r="AO1291" s="82" t="n">
        <f aca="false">IF(E1291="","",(AA1291&lt;&gt;"")+(AG1291&lt;&gt;"")+(AL1291&lt;&gt;""))</f>
        <v>1</v>
      </c>
      <c r="AP1291" s="82" t="str">
        <f aca="false">IF(AL1291&lt;&gt;"",AL1291,IF(AG1291&lt;&gt;"",AG1291,IF(AA1291&lt;&gt;"",AA1291,"")))</f>
        <v>A</v>
      </c>
      <c r="AQ1291" s="84" t="str">
        <f aca="false">IF(E1291="","",IF(U1291="","À SOUDER",IF(X1291="","VT EN ATTENTE",IF(X1291="R","VT REJETÉ – À REPRENDRE",IF(AP1291="","À RADIOGRAPHIER",IF(AP1291="A","ACCEPTÉ",IF(AP1291="NX","NX – RT À REFAIRE",IF(IF(AO1291=1,AD1291,IF(AO1291=2,AI1291,""))="A","RÉPARÉ – À RADIOGRAPHIER",IF(IF(AO1291=1,AD1291,IF(AO1291=2,AI1291,""))="R","VT REJETÉ – À REPRENDRE",IF(OR(AP1291="CO",AP1291="NT"),"COUPE – À RESOUDER","À RÉPARER"))))))))))</f>
        <v>ACCEPTÉ</v>
      </c>
      <c r="AR1291" s="82" t="str">
        <f aca="false">IF(AND(ISNUMBER(U1291),OR(AQ1291="À RADIOGRAPHIER",AQ1291="RÉPARÉ – À RADIOGRAPHIER",AQ1291="NX – RT À REFAIRE",AQ1291="À RÉPARER",AQ1291="COUPE – À RESOUDER",AQ1291="VT REJETÉ – À REPRENDRE")),MAX(0,'PROGRAMME RT'!$C$4-U1291),"")</f>
        <v/>
      </c>
      <c r="AS1291" s="82" t="n">
        <f aca="false">IF(AND(OR(AQ1291="À RADIOGRAPHIER",AQ1291="RÉPARÉ – À RADIOGRAPHIER",AQ1291="NX – RT À REFAIRE"),OR('PROGRAMME RT'!$D$5="TOUTES",B1291='PROGRAMME RT'!$D$5)),1,0)</f>
        <v>0</v>
      </c>
      <c r="AT1291" s="82" t="str">
        <f aca="false">IF(AS1291=1,SUM(AS$7:AS1291),"")</f>
        <v/>
      </c>
      <c r="AU1291" s="82" t="n">
        <f aca="false">IF(AND(OR(AA1291="R",AA1291="NX",AA1291="NT",AA1291="CO"),OR('JOINTS DE RÉPARATION'!$D$5="TOUTES",B1291='JOINTS DE RÉPARATION'!$D$5),OR('JOINTS DE RÉPARATION'!$L$4="TOUS",AQ1291&lt;&gt;"ACCEPTÉ")),1,0)</f>
        <v>0</v>
      </c>
      <c r="AV1291" s="82" t="str">
        <f aca="false">IF(AU1291=1,SUM(AU$7:AU1291),"")</f>
        <v/>
      </c>
      <c r="AW1291" s="82" t="str">
        <f aca="false">IF(E1291="","",B1291&amp;"|"&amp;E1291)</f>
        <v>MFD-ISW → MFD-CPF|DJ°316</v>
      </c>
    </row>
    <row r="1292" customFormat="false" ht="74.6" hidden="false" customHeight="false" outlineLevel="0" collapsed="false">
      <c r="A1292" s="79" t="n">
        <f aca="false">IF(E1292="","",ROW()-6)</f>
        <v>1286</v>
      </c>
      <c r="B1292" s="80" t="s">
        <v>110</v>
      </c>
      <c r="C1292" s="81" t="s">
        <v>1530</v>
      </c>
      <c r="D1292" s="81" t="n">
        <v>10</v>
      </c>
      <c r="E1292" s="81" t="s">
        <v>1552</v>
      </c>
      <c r="F1292" s="82" t="str">
        <f aca="false">IF(E1292="","",IF(LEFT(E1292,2)="DJ","DJ","JN"))</f>
        <v>JN</v>
      </c>
      <c r="G1292" s="81" t="s">
        <v>1504</v>
      </c>
      <c r="H1292" s="81" t="s">
        <v>871</v>
      </c>
      <c r="I1292" s="81" t="n">
        <v>9.53</v>
      </c>
      <c r="J1292" s="81" t="s">
        <v>872</v>
      </c>
      <c r="K1292" s="81" t="s">
        <v>879</v>
      </c>
      <c r="L1292" s="81" t="n">
        <v>2098450</v>
      </c>
      <c r="M1292" s="81" t="n">
        <v>15421112</v>
      </c>
      <c r="N1292" s="81" t="n">
        <v>11.94</v>
      </c>
      <c r="O1292" s="81" t="n">
        <v>2080880</v>
      </c>
      <c r="P1292" s="81" t="n">
        <v>15421103</v>
      </c>
      <c r="Q1292" s="81" t="n">
        <v>11.94</v>
      </c>
      <c r="R1292" s="81" t="s">
        <v>1367</v>
      </c>
      <c r="S1292" s="81"/>
      <c r="T1292" s="81"/>
      <c r="U1292" s="83" t="n">
        <v>46278</v>
      </c>
      <c r="V1292" s="83" t="n">
        <v>46278</v>
      </c>
      <c r="W1292" s="81" t="s">
        <v>1505</v>
      </c>
      <c r="X1292" s="81" t="s">
        <v>876</v>
      </c>
      <c r="Y1292" s="83" t="n">
        <v>46282</v>
      </c>
      <c r="Z1292" s="81" t="s">
        <v>1538</v>
      </c>
      <c r="AA1292" s="81" t="s">
        <v>876</v>
      </c>
      <c r="AB1292" s="81"/>
      <c r="AC1292" s="81"/>
      <c r="AD1292" s="81"/>
      <c r="AE1292" s="83"/>
      <c r="AF1292" s="81"/>
      <c r="AG1292" s="81"/>
      <c r="AH1292" s="81"/>
      <c r="AI1292" s="81"/>
      <c r="AJ1292" s="83"/>
      <c r="AK1292" s="81"/>
      <c r="AL1292" s="81"/>
      <c r="AM1292" s="83"/>
      <c r="AN1292" s="80"/>
      <c r="AO1292" s="82" t="n">
        <f aca="false">IF(E1292="","",(AA1292&lt;&gt;"")+(AG1292&lt;&gt;"")+(AL1292&lt;&gt;""))</f>
        <v>1</v>
      </c>
      <c r="AP1292" s="82" t="str">
        <f aca="false">IF(AL1292&lt;&gt;"",AL1292,IF(AG1292&lt;&gt;"",AG1292,IF(AA1292&lt;&gt;"",AA1292,"")))</f>
        <v>A</v>
      </c>
      <c r="AQ1292" s="84" t="str">
        <f aca="false">IF(E1292="","",IF(U1292="","À SOUDER",IF(X1292="","VT EN ATTENTE",IF(X1292="R","VT REJETÉ – À REPRENDRE",IF(AP1292="","À RADIOGRAPHIER",IF(AP1292="A","ACCEPTÉ",IF(AP1292="NX","NX – RT À REFAIRE",IF(IF(AO1292=1,AD1292,IF(AO1292=2,AI1292,""))="A","RÉPARÉ – À RADIOGRAPHIER",IF(IF(AO1292=1,AD1292,IF(AO1292=2,AI1292,""))="R","VT REJETÉ – À REPRENDRE",IF(OR(AP1292="CO",AP1292="NT"),"COUPE – À RESOUDER","À RÉPARER"))))))))))</f>
        <v>ACCEPTÉ</v>
      </c>
      <c r="AR1292" s="82" t="str">
        <f aca="false">IF(AND(ISNUMBER(U1292),OR(AQ1292="À RADIOGRAPHIER",AQ1292="RÉPARÉ – À RADIOGRAPHIER",AQ1292="NX – RT À REFAIRE",AQ1292="À RÉPARER",AQ1292="COUPE – À RESOUDER",AQ1292="VT REJETÉ – À REPRENDRE")),MAX(0,'PROGRAMME RT'!$C$4-U1292),"")</f>
        <v/>
      </c>
      <c r="AS1292" s="82" t="n">
        <f aca="false">IF(AND(OR(AQ1292="À RADIOGRAPHIER",AQ1292="RÉPARÉ – À RADIOGRAPHIER",AQ1292="NX – RT À REFAIRE"),OR('PROGRAMME RT'!$D$5="TOUTES",B1292='PROGRAMME RT'!$D$5)),1,0)</f>
        <v>0</v>
      </c>
      <c r="AT1292" s="82" t="str">
        <f aca="false">IF(AS1292=1,SUM(AS$7:AS1292),"")</f>
        <v/>
      </c>
      <c r="AU1292" s="82" t="n">
        <f aca="false">IF(AND(OR(AA1292="R",AA1292="NX",AA1292="NT",AA1292="CO"),OR('JOINTS DE RÉPARATION'!$D$5="TOUTES",B1292='JOINTS DE RÉPARATION'!$D$5),OR('JOINTS DE RÉPARATION'!$L$4="TOUS",AQ1292&lt;&gt;"ACCEPTÉ")),1,0)</f>
        <v>0</v>
      </c>
      <c r="AV1292" s="82" t="str">
        <f aca="false">IF(AU1292=1,SUM(AU$7:AU1292),"")</f>
        <v/>
      </c>
      <c r="AW1292" s="82" t="str">
        <f aca="false">IF(E1292="","",B1292&amp;"|"&amp;E1292)</f>
        <v>MFD-ISW → MFD-CPF|JN°1088</v>
      </c>
    </row>
    <row r="1293" customFormat="false" ht="74.6" hidden="false" customHeight="false" outlineLevel="0" collapsed="false">
      <c r="A1293" s="79" t="n">
        <f aca="false">IF(E1293="","",ROW()-6)</f>
        <v>1287</v>
      </c>
      <c r="B1293" s="80" t="s">
        <v>110</v>
      </c>
      <c r="C1293" s="81" t="s">
        <v>1530</v>
      </c>
      <c r="D1293" s="81" t="n">
        <v>10</v>
      </c>
      <c r="E1293" s="81" t="s">
        <v>1553</v>
      </c>
      <c r="F1293" s="82" t="str">
        <f aca="false">IF(E1293="","",IF(LEFT(E1293,2)="DJ","DJ","JN"))</f>
        <v>DJ</v>
      </c>
      <c r="G1293" s="81"/>
      <c r="H1293" s="81" t="s">
        <v>871</v>
      </c>
      <c r="I1293" s="81" t="n">
        <v>9.53</v>
      </c>
      <c r="J1293" s="81" t="s">
        <v>872</v>
      </c>
      <c r="K1293" s="81" t="s">
        <v>873</v>
      </c>
      <c r="L1293" s="81" t="n">
        <v>2080880</v>
      </c>
      <c r="M1293" s="81" t="n">
        <v>15421103</v>
      </c>
      <c r="N1293" s="81" t="n">
        <v>11.94</v>
      </c>
      <c r="O1293" s="81" t="n">
        <v>2080710</v>
      </c>
      <c r="P1293" s="81" t="n">
        <v>15421103</v>
      </c>
      <c r="Q1293" s="81" t="n">
        <v>11.94</v>
      </c>
      <c r="R1293" s="81" t="s">
        <v>1517</v>
      </c>
      <c r="S1293" s="81"/>
      <c r="T1293" s="81"/>
      <c r="U1293" s="83" t="n">
        <v>46272</v>
      </c>
      <c r="V1293" s="83" t="n">
        <v>46272</v>
      </c>
      <c r="W1293" s="81" t="s">
        <v>1518</v>
      </c>
      <c r="X1293" s="81" t="s">
        <v>876</v>
      </c>
      <c r="Y1293" s="83" t="n">
        <v>46273</v>
      </c>
      <c r="Z1293" s="81" t="s">
        <v>1522</v>
      </c>
      <c r="AA1293" s="81" t="s">
        <v>876</v>
      </c>
      <c r="AB1293" s="81"/>
      <c r="AC1293" s="81"/>
      <c r="AD1293" s="81"/>
      <c r="AE1293" s="83"/>
      <c r="AF1293" s="81"/>
      <c r="AG1293" s="81"/>
      <c r="AH1293" s="81"/>
      <c r="AI1293" s="81"/>
      <c r="AJ1293" s="83"/>
      <c r="AK1293" s="81"/>
      <c r="AL1293" s="81"/>
      <c r="AM1293" s="83"/>
      <c r="AN1293" s="80"/>
      <c r="AO1293" s="82" t="n">
        <f aca="false">IF(E1293="","",(AA1293&lt;&gt;"")+(AG1293&lt;&gt;"")+(AL1293&lt;&gt;""))</f>
        <v>1</v>
      </c>
      <c r="AP1293" s="82" t="str">
        <f aca="false">IF(AL1293&lt;&gt;"",AL1293,IF(AG1293&lt;&gt;"",AG1293,IF(AA1293&lt;&gt;"",AA1293,"")))</f>
        <v>A</v>
      </c>
      <c r="AQ1293" s="84" t="str">
        <f aca="false">IF(E1293="","",IF(U1293="","À SOUDER",IF(X1293="","VT EN ATTENTE",IF(X1293="R","VT REJETÉ – À REPRENDRE",IF(AP1293="","À RADIOGRAPHIER",IF(AP1293="A","ACCEPTÉ",IF(AP1293="NX","NX – RT À REFAIRE",IF(IF(AO1293=1,AD1293,IF(AO1293=2,AI1293,""))="A","RÉPARÉ – À RADIOGRAPHIER",IF(IF(AO1293=1,AD1293,IF(AO1293=2,AI1293,""))="R","VT REJETÉ – À REPRENDRE",IF(OR(AP1293="CO",AP1293="NT"),"COUPE – À RESOUDER","À RÉPARER"))))))))))</f>
        <v>ACCEPTÉ</v>
      </c>
      <c r="AR1293" s="82" t="str">
        <f aca="false">IF(AND(ISNUMBER(U1293),OR(AQ1293="À RADIOGRAPHIER",AQ1293="RÉPARÉ – À RADIOGRAPHIER",AQ1293="NX – RT À REFAIRE",AQ1293="À RÉPARER",AQ1293="COUPE – À RESOUDER",AQ1293="VT REJETÉ – À REPRENDRE")),MAX(0,'PROGRAMME RT'!$C$4-U1293),"")</f>
        <v/>
      </c>
      <c r="AS1293" s="82" t="n">
        <f aca="false">IF(AND(OR(AQ1293="À RADIOGRAPHIER",AQ1293="RÉPARÉ – À RADIOGRAPHIER",AQ1293="NX – RT À REFAIRE"),OR('PROGRAMME RT'!$D$5="TOUTES",B1293='PROGRAMME RT'!$D$5)),1,0)</f>
        <v>0</v>
      </c>
      <c r="AT1293" s="82" t="str">
        <f aca="false">IF(AS1293=1,SUM(AS$7:AS1293),"")</f>
        <v/>
      </c>
      <c r="AU1293" s="82" t="n">
        <f aca="false">IF(AND(OR(AA1293="R",AA1293="NX",AA1293="NT",AA1293="CO"),OR('JOINTS DE RÉPARATION'!$D$5="TOUTES",B1293='JOINTS DE RÉPARATION'!$D$5),OR('JOINTS DE RÉPARATION'!$L$4="TOUS",AQ1293&lt;&gt;"ACCEPTÉ")),1,0)</f>
        <v>0</v>
      </c>
      <c r="AV1293" s="82" t="str">
        <f aca="false">IF(AU1293=1,SUM(AU$7:AU1293),"")</f>
        <v/>
      </c>
      <c r="AW1293" s="82" t="str">
        <f aca="false">IF(E1293="","",B1293&amp;"|"&amp;E1293)</f>
        <v>MFD-ISW → MFD-CPF|DJ°315</v>
      </c>
    </row>
    <row r="1294" customFormat="false" ht="74.6" hidden="false" customHeight="false" outlineLevel="0" collapsed="false">
      <c r="A1294" s="79" t="n">
        <f aca="false">IF(E1294="","",ROW()-6)</f>
        <v>1288</v>
      </c>
      <c r="B1294" s="80" t="s">
        <v>110</v>
      </c>
      <c r="C1294" s="81" t="s">
        <v>1530</v>
      </c>
      <c r="D1294" s="81" t="n">
        <v>10</v>
      </c>
      <c r="E1294" s="81" t="s">
        <v>1554</v>
      </c>
      <c r="F1294" s="82" t="str">
        <f aca="false">IF(E1294="","",IF(LEFT(E1294,2)="DJ","DJ","JN"))</f>
        <v>JN</v>
      </c>
      <c r="G1294" s="81" t="s">
        <v>1504</v>
      </c>
      <c r="H1294" s="81" t="s">
        <v>871</v>
      </c>
      <c r="I1294" s="81" t="n">
        <v>9.53</v>
      </c>
      <c r="J1294" s="81" t="s">
        <v>872</v>
      </c>
      <c r="K1294" s="81" t="s">
        <v>879</v>
      </c>
      <c r="L1294" s="81" t="n">
        <v>2080710</v>
      </c>
      <c r="M1294" s="81" t="n">
        <v>15421103</v>
      </c>
      <c r="N1294" s="81" t="n">
        <v>11.94</v>
      </c>
      <c r="O1294" s="81" t="n">
        <v>2092780</v>
      </c>
      <c r="P1294" s="81" t="n">
        <v>15421110</v>
      </c>
      <c r="Q1294" s="81" t="n">
        <v>11.94</v>
      </c>
      <c r="R1294" s="81" t="s">
        <v>1367</v>
      </c>
      <c r="S1294" s="81"/>
      <c r="T1294" s="81"/>
      <c r="U1294" s="83" t="n">
        <v>46278</v>
      </c>
      <c r="V1294" s="83" t="n">
        <v>46278</v>
      </c>
      <c r="W1294" s="81" t="s">
        <v>1555</v>
      </c>
      <c r="X1294" s="81" t="s">
        <v>876</v>
      </c>
      <c r="Y1294" s="83" t="n">
        <v>46282</v>
      </c>
      <c r="Z1294" s="81" t="s">
        <v>1538</v>
      </c>
      <c r="AA1294" s="81" t="s">
        <v>1073</v>
      </c>
      <c r="AB1294" s="81" t="s">
        <v>1556</v>
      </c>
      <c r="AC1294" s="81"/>
      <c r="AD1294" s="81"/>
      <c r="AE1294" s="83"/>
      <c r="AF1294" s="81"/>
      <c r="AG1294" s="81"/>
      <c r="AH1294" s="81"/>
      <c r="AI1294" s="81"/>
      <c r="AJ1294" s="83"/>
      <c r="AK1294" s="81"/>
      <c r="AL1294" s="81"/>
      <c r="AM1294" s="83"/>
      <c r="AN1294" s="80"/>
      <c r="AO1294" s="82" t="n">
        <f aca="false">IF(E1294="","",(AA1294&lt;&gt;"")+(AG1294&lt;&gt;"")+(AL1294&lt;&gt;""))</f>
        <v>1</v>
      </c>
      <c r="AP1294" s="82" t="str">
        <f aca="false">IF(AL1294&lt;&gt;"",AL1294,IF(AG1294&lt;&gt;"",AG1294,IF(AA1294&lt;&gt;"",AA1294,"")))</f>
        <v>R</v>
      </c>
      <c r="AQ1294" s="84" t="str">
        <f aca="false">IF(E1294="","",IF(U1294="","À SOUDER",IF(X1294="","VT EN ATTENTE",IF(X1294="R","VT REJETÉ – À REPRENDRE",IF(AP1294="","À RADIOGRAPHIER",IF(AP1294="A","ACCEPTÉ",IF(AP1294="NX","NX – RT À REFAIRE",IF(IF(AO1294=1,AD1294,IF(AO1294=2,AI1294,""))="A","RÉPARÉ – À RADIOGRAPHIER",IF(IF(AO1294=1,AD1294,IF(AO1294=2,AI1294,""))="R","VT REJETÉ – À REPRENDRE",IF(OR(AP1294="CO",AP1294="NT"),"COUPE – À RESOUDER","À RÉPARER"))))))))))</f>
        <v>À RÉPARER</v>
      </c>
      <c r="AR1294" s="82" t="n">
        <f aca="false">IF(AND(ISNUMBER(U1294),OR(AQ1294="À RADIOGRAPHIER",AQ1294="RÉPARÉ – À RADIOGRAPHIER",AQ1294="NX – RT À REFAIRE",AQ1294="À RÉPARER",AQ1294="COUPE – À RESOUDER",AQ1294="VT REJETÉ – À REPRENDRE")),MAX(0,'PROGRAMME RT'!$C$4-U1294),"")</f>
        <v>15</v>
      </c>
      <c r="AS1294" s="82" t="n">
        <f aca="false">IF(AND(OR(AQ1294="À RADIOGRAPHIER",AQ1294="RÉPARÉ – À RADIOGRAPHIER",AQ1294="NX – RT À REFAIRE"),OR('PROGRAMME RT'!$D$5="TOUTES",B1294='PROGRAMME RT'!$D$5)),1,0)</f>
        <v>0</v>
      </c>
      <c r="AT1294" s="82" t="str">
        <f aca="false">IF(AS1294=1,SUM(AS$7:AS1294),"")</f>
        <v/>
      </c>
      <c r="AU1294" s="82" t="n">
        <f aca="false">IF(AND(OR(AA1294="R",AA1294="NX",AA1294="NT",AA1294="CO"),OR('JOINTS DE RÉPARATION'!$D$5="TOUTES",B1294='JOINTS DE RÉPARATION'!$D$5),OR('JOINTS DE RÉPARATION'!$L$4="TOUS",AQ1294&lt;&gt;"ACCEPTÉ")),1,0)</f>
        <v>1</v>
      </c>
      <c r="AV1294" s="82" t="n">
        <f aca="false">IF(AU1294=1,SUM(AU$7:AU1294),"")</f>
        <v>31</v>
      </c>
      <c r="AW1294" s="82" t="str">
        <f aca="false">IF(E1294="","",B1294&amp;"|"&amp;E1294)</f>
        <v>MFD-ISW → MFD-CPF|JN°1089</v>
      </c>
    </row>
    <row r="1295" customFormat="false" ht="74.6" hidden="false" customHeight="false" outlineLevel="0" collapsed="false">
      <c r="A1295" s="79" t="n">
        <f aca="false">IF(E1295="","",ROW()-6)</f>
        <v>1289</v>
      </c>
      <c r="B1295" s="80" t="s">
        <v>110</v>
      </c>
      <c r="C1295" s="81" t="s">
        <v>1530</v>
      </c>
      <c r="D1295" s="81" t="n">
        <v>10</v>
      </c>
      <c r="E1295" s="81" t="s">
        <v>1557</v>
      </c>
      <c r="F1295" s="82" t="str">
        <f aca="false">IF(E1295="","",IF(LEFT(E1295,2)="DJ","DJ","JN"))</f>
        <v>DJ</v>
      </c>
      <c r="G1295" s="81"/>
      <c r="H1295" s="81" t="s">
        <v>871</v>
      </c>
      <c r="I1295" s="81" t="n">
        <v>9.53</v>
      </c>
      <c r="J1295" s="81" t="s">
        <v>872</v>
      </c>
      <c r="K1295" s="81" t="s">
        <v>873</v>
      </c>
      <c r="L1295" s="81" t="n">
        <v>2092780</v>
      </c>
      <c r="M1295" s="81" t="n">
        <v>15421110</v>
      </c>
      <c r="N1295" s="81" t="n">
        <v>11.94</v>
      </c>
      <c r="O1295" s="81" t="n">
        <v>2090870</v>
      </c>
      <c r="P1295" s="81" t="n">
        <v>15421109</v>
      </c>
      <c r="Q1295" s="81" t="n">
        <v>11.94</v>
      </c>
      <c r="R1295" s="81" t="s">
        <v>1135</v>
      </c>
      <c r="S1295" s="81"/>
      <c r="T1295" s="81"/>
      <c r="U1295" s="83" t="n">
        <v>46271</v>
      </c>
      <c r="V1295" s="83" t="n">
        <v>46271</v>
      </c>
      <c r="W1295" s="81" t="s">
        <v>1536</v>
      </c>
      <c r="X1295" s="81" t="s">
        <v>876</v>
      </c>
      <c r="Y1295" s="83" t="n">
        <v>46272</v>
      </c>
      <c r="Z1295" s="81" t="s">
        <v>1542</v>
      </c>
      <c r="AA1295" s="81" t="s">
        <v>876</v>
      </c>
      <c r="AB1295" s="81"/>
      <c r="AC1295" s="81"/>
      <c r="AD1295" s="81"/>
      <c r="AE1295" s="83"/>
      <c r="AF1295" s="81"/>
      <c r="AG1295" s="81"/>
      <c r="AH1295" s="81"/>
      <c r="AI1295" s="81"/>
      <c r="AJ1295" s="83"/>
      <c r="AK1295" s="81"/>
      <c r="AL1295" s="81"/>
      <c r="AM1295" s="83"/>
      <c r="AN1295" s="80"/>
      <c r="AO1295" s="82" t="n">
        <f aca="false">IF(E1295="","",(AA1295&lt;&gt;"")+(AG1295&lt;&gt;"")+(AL1295&lt;&gt;""))</f>
        <v>1</v>
      </c>
      <c r="AP1295" s="82" t="str">
        <f aca="false">IF(AL1295&lt;&gt;"",AL1295,IF(AG1295&lt;&gt;"",AG1295,IF(AA1295&lt;&gt;"",AA1295,"")))</f>
        <v>A</v>
      </c>
      <c r="AQ1295" s="84" t="str">
        <f aca="false">IF(E1295="","",IF(U1295="","À SOUDER",IF(X1295="","VT EN ATTENTE",IF(X1295="R","VT REJETÉ – À REPRENDRE",IF(AP1295="","À RADIOGRAPHIER",IF(AP1295="A","ACCEPTÉ",IF(AP1295="NX","NX – RT À REFAIRE",IF(IF(AO1295=1,AD1295,IF(AO1295=2,AI1295,""))="A","RÉPARÉ – À RADIOGRAPHIER",IF(IF(AO1295=1,AD1295,IF(AO1295=2,AI1295,""))="R","VT REJETÉ – À REPRENDRE",IF(OR(AP1295="CO",AP1295="NT"),"COUPE – À RESOUDER","À RÉPARER"))))))))))</f>
        <v>ACCEPTÉ</v>
      </c>
      <c r="AR1295" s="82" t="str">
        <f aca="false">IF(AND(ISNUMBER(U1295),OR(AQ1295="À RADIOGRAPHIER",AQ1295="RÉPARÉ – À RADIOGRAPHIER",AQ1295="NX – RT À REFAIRE",AQ1295="À RÉPARER",AQ1295="COUPE – À RESOUDER",AQ1295="VT REJETÉ – À REPRENDRE")),MAX(0,'PROGRAMME RT'!$C$4-U1295),"")</f>
        <v/>
      </c>
      <c r="AS1295" s="82" t="n">
        <f aca="false">IF(AND(OR(AQ1295="À RADIOGRAPHIER",AQ1295="RÉPARÉ – À RADIOGRAPHIER",AQ1295="NX – RT À REFAIRE"),OR('PROGRAMME RT'!$D$5="TOUTES",B1295='PROGRAMME RT'!$D$5)),1,0)</f>
        <v>0</v>
      </c>
      <c r="AT1295" s="82" t="str">
        <f aca="false">IF(AS1295=1,SUM(AS$7:AS1295),"")</f>
        <v/>
      </c>
      <c r="AU1295" s="82" t="n">
        <f aca="false">IF(AND(OR(AA1295="R",AA1295="NX",AA1295="NT",AA1295="CO"),OR('JOINTS DE RÉPARATION'!$D$5="TOUTES",B1295='JOINTS DE RÉPARATION'!$D$5),OR('JOINTS DE RÉPARATION'!$L$4="TOUS",AQ1295&lt;&gt;"ACCEPTÉ")),1,0)</f>
        <v>0</v>
      </c>
      <c r="AV1295" s="82" t="str">
        <f aca="false">IF(AU1295=1,SUM(AU$7:AU1295),"")</f>
        <v/>
      </c>
      <c r="AW1295" s="82" t="str">
        <f aca="false">IF(E1295="","",B1295&amp;"|"&amp;E1295)</f>
        <v>MFD-ISW → MFD-CPF|DJ°299</v>
      </c>
    </row>
    <row r="1296" customFormat="false" ht="74.6" hidden="false" customHeight="false" outlineLevel="0" collapsed="false">
      <c r="A1296" s="79" t="n">
        <f aca="false">IF(E1296="","",ROW()-6)</f>
        <v>1290</v>
      </c>
      <c r="B1296" s="80" t="s">
        <v>110</v>
      </c>
      <c r="C1296" s="81" t="s">
        <v>1530</v>
      </c>
      <c r="D1296" s="81" t="n">
        <v>10</v>
      </c>
      <c r="E1296" s="81" t="s">
        <v>1558</v>
      </c>
      <c r="F1296" s="82" t="str">
        <f aca="false">IF(E1296="","",IF(LEFT(E1296,2)="DJ","DJ","JN"))</f>
        <v>JN</v>
      </c>
      <c r="G1296" s="81" t="s">
        <v>1504</v>
      </c>
      <c r="H1296" s="81" t="s">
        <v>871</v>
      </c>
      <c r="I1296" s="81" t="n">
        <v>9.53</v>
      </c>
      <c r="J1296" s="81" t="s">
        <v>872</v>
      </c>
      <c r="K1296" s="81" t="s">
        <v>879</v>
      </c>
      <c r="L1296" s="81" t="n">
        <v>2090870</v>
      </c>
      <c r="M1296" s="81" t="n">
        <v>15421109</v>
      </c>
      <c r="N1296" s="81" t="n">
        <v>11.94</v>
      </c>
      <c r="O1296" s="81" t="n">
        <v>2086800</v>
      </c>
      <c r="P1296" s="81" t="n">
        <v>15421107</v>
      </c>
      <c r="Q1296" s="81" t="n">
        <v>11.94</v>
      </c>
      <c r="R1296" s="81" t="s">
        <v>1367</v>
      </c>
      <c r="S1296" s="81"/>
      <c r="T1296" s="81"/>
      <c r="U1296" s="83" t="n">
        <v>46278</v>
      </c>
      <c r="V1296" s="83" t="n">
        <v>46278</v>
      </c>
      <c r="W1296" s="81" t="s">
        <v>1555</v>
      </c>
      <c r="X1296" s="81" t="s">
        <v>876</v>
      </c>
      <c r="Y1296" s="83" t="n">
        <v>46282</v>
      </c>
      <c r="Z1296" s="81" t="s">
        <v>1538</v>
      </c>
      <c r="AA1296" s="81" t="s">
        <v>876</v>
      </c>
      <c r="AB1296" s="81"/>
      <c r="AC1296" s="81"/>
      <c r="AD1296" s="81"/>
      <c r="AE1296" s="83"/>
      <c r="AF1296" s="81"/>
      <c r="AG1296" s="81"/>
      <c r="AH1296" s="81"/>
      <c r="AI1296" s="81"/>
      <c r="AJ1296" s="83"/>
      <c r="AK1296" s="81"/>
      <c r="AL1296" s="81"/>
      <c r="AM1296" s="83"/>
      <c r="AN1296" s="80"/>
      <c r="AO1296" s="82" t="n">
        <f aca="false">IF(E1296="","",(AA1296&lt;&gt;"")+(AG1296&lt;&gt;"")+(AL1296&lt;&gt;""))</f>
        <v>1</v>
      </c>
      <c r="AP1296" s="82" t="str">
        <f aca="false">IF(AL1296&lt;&gt;"",AL1296,IF(AG1296&lt;&gt;"",AG1296,IF(AA1296&lt;&gt;"",AA1296,"")))</f>
        <v>A</v>
      </c>
      <c r="AQ1296" s="84" t="str">
        <f aca="false">IF(E1296="","",IF(U1296="","À SOUDER",IF(X1296="","VT EN ATTENTE",IF(X1296="R","VT REJETÉ – À REPRENDRE",IF(AP1296="","À RADIOGRAPHIER",IF(AP1296="A","ACCEPTÉ",IF(AP1296="NX","NX – RT À REFAIRE",IF(IF(AO1296=1,AD1296,IF(AO1296=2,AI1296,""))="A","RÉPARÉ – À RADIOGRAPHIER",IF(IF(AO1296=1,AD1296,IF(AO1296=2,AI1296,""))="R","VT REJETÉ – À REPRENDRE",IF(OR(AP1296="CO",AP1296="NT"),"COUPE – À RESOUDER","À RÉPARER"))))))))))</f>
        <v>ACCEPTÉ</v>
      </c>
      <c r="AR1296" s="82" t="str">
        <f aca="false">IF(AND(ISNUMBER(U1296),OR(AQ1296="À RADIOGRAPHIER",AQ1296="RÉPARÉ – À RADIOGRAPHIER",AQ1296="NX – RT À REFAIRE",AQ1296="À RÉPARER",AQ1296="COUPE – À RESOUDER",AQ1296="VT REJETÉ – À REPRENDRE")),MAX(0,'PROGRAMME RT'!$C$4-U1296),"")</f>
        <v/>
      </c>
      <c r="AS1296" s="82" t="n">
        <f aca="false">IF(AND(OR(AQ1296="À RADIOGRAPHIER",AQ1296="RÉPARÉ – À RADIOGRAPHIER",AQ1296="NX – RT À REFAIRE"),OR('PROGRAMME RT'!$D$5="TOUTES",B1296='PROGRAMME RT'!$D$5)),1,0)</f>
        <v>0</v>
      </c>
      <c r="AT1296" s="82" t="str">
        <f aca="false">IF(AS1296=1,SUM(AS$7:AS1296),"")</f>
        <v/>
      </c>
      <c r="AU1296" s="82" t="n">
        <f aca="false">IF(AND(OR(AA1296="R",AA1296="NX",AA1296="NT",AA1296="CO"),OR('JOINTS DE RÉPARATION'!$D$5="TOUTES",B1296='JOINTS DE RÉPARATION'!$D$5),OR('JOINTS DE RÉPARATION'!$L$4="TOUS",AQ1296&lt;&gt;"ACCEPTÉ")),1,0)</f>
        <v>0</v>
      </c>
      <c r="AV1296" s="82" t="str">
        <f aca="false">IF(AU1296=1,SUM(AU$7:AU1296),"")</f>
        <v/>
      </c>
      <c r="AW1296" s="82" t="str">
        <f aca="false">IF(E1296="","",B1296&amp;"|"&amp;E1296)</f>
        <v>MFD-ISW → MFD-CPF|JN°1090</v>
      </c>
    </row>
    <row r="1297" customFormat="false" ht="74.6" hidden="false" customHeight="false" outlineLevel="0" collapsed="false">
      <c r="A1297" s="79" t="n">
        <f aca="false">IF(E1297="","",ROW()-6)</f>
        <v>1291</v>
      </c>
      <c r="B1297" s="80" t="s">
        <v>110</v>
      </c>
      <c r="C1297" s="81" t="s">
        <v>1530</v>
      </c>
      <c r="D1297" s="81" t="n">
        <v>10</v>
      </c>
      <c r="E1297" s="81" t="s">
        <v>1559</v>
      </c>
      <c r="F1297" s="82" t="str">
        <f aca="false">IF(E1297="","",IF(LEFT(E1297,2)="DJ","DJ","JN"))</f>
        <v>DJ</v>
      </c>
      <c r="G1297" s="81"/>
      <c r="H1297" s="81" t="s">
        <v>871</v>
      </c>
      <c r="I1297" s="81" t="n">
        <v>9.53</v>
      </c>
      <c r="J1297" s="81" t="s">
        <v>872</v>
      </c>
      <c r="K1297" s="81" t="s">
        <v>873</v>
      </c>
      <c r="L1297" s="81" t="n">
        <v>2086800</v>
      </c>
      <c r="M1297" s="81" t="n">
        <v>15421107</v>
      </c>
      <c r="N1297" s="81" t="n">
        <v>11.94</v>
      </c>
      <c r="O1297" s="81" t="n">
        <v>2086790</v>
      </c>
      <c r="P1297" s="81" t="n">
        <v>15421107</v>
      </c>
      <c r="Q1297" s="81" t="n">
        <v>11.94</v>
      </c>
      <c r="R1297" s="81" t="s">
        <v>899</v>
      </c>
      <c r="S1297" s="81"/>
      <c r="T1297" s="81"/>
      <c r="U1297" s="83" t="n">
        <v>46257</v>
      </c>
      <c r="V1297" s="83" t="n">
        <v>46257</v>
      </c>
      <c r="W1297" s="81" t="s">
        <v>1560</v>
      </c>
      <c r="X1297" s="81" t="s">
        <v>876</v>
      </c>
      <c r="Y1297" s="83" t="n">
        <v>46257</v>
      </c>
      <c r="Z1297" s="81" t="s">
        <v>1561</v>
      </c>
      <c r="AA1297" s="81" t="s">
        <v>876</v>
      </c>
      <c r="AB1297" s="81"/>
      <c r="AC1297" s="81"/>
      <c r="AD1297" s="81"/>
      <c r="AE1297" s="83"/>
      <c r="AF1297" s="81"/>
      <c r="AG1297" s="81"/>
      <c r="AH1297" s="81"/>
      <c r="AI1297" s="81"/>
      <c r="AJ1297" s="83"/>
      <c r="AK1297" s="81"/>
      <c r="AL1297" s="81"/>
      <c r="AM1297" s="83"/>
      <c r="AN1297" s="80"/>
      <c r="AO1297" s="82" t="n">
        <f aca="false">IF(E1297="","",(AA1297&lt;&gt;"")+(AG1297&lt;&gt;"")+(AL1297&lt;&gt;""))</f>
        <v>1</v>
      </c>
      <c r="AP1297" s="82" t="str">
        <f aca="false">IF(AL1297&lt;&gt;"",AL1297,IF(AG1297&lt;&gt;"",AG1297,IF(AA1297&lt;&gt;"",AA1297,"")))</f>
        <v>A</v>
      </c>
      <c r="AQ1297" s="84" t="str">
        <f aca="false">IF(E1297="","",IF(U1297="","À SOUDER",IF(X1297="","VT EN ATTENTE",IF(X1297="R","VT REJETÉ – À REPRENDRE",IF(AP1297="","À RADIOGRAPHIER",IF(AP1297="A","ACCEPTÉ",IF(AP1297="NX","NX – RT À REFAIRE",IF(IF(AO1297=1,AD1297,IF(AO1297=2,AI1297,""))="A","RÉPARÉ – À RADIOGRAPHIER",IF(IF(AO1297=1,AD1297,IF(AO1297=2,AI1297,""))="R","VT REJETÉ – À REPRENDRE",IF(OR(AP1297="CO",AP1297="NT"),"COUPE – À RESOUDER","À RÉPARER"))))))))))</f>
        <v>ACCEPTÉ</v>
      </c>
      <c r="AR1297" s="82" t="str">
        <f aca="false">IF(AND(ISNUMBER(U1297),OR(AQ1297="À RADIOGRAPHIER",AQ1297="RÉPARÉ – À RADIOGRAPHIER",AQ1297="NX – RT À REFAIRE",AQ1297="À RÉPARER",AQ1297="COUPE – À RESOUDER",AQ1297="VT REJETÉ – À REPRENDRE")),MAX(0,'PROGRAMME RT'!$C$4-U1297),"")</f>
        <v/>
      </c>
      <c r="AS1297" s="82" t="n">
        <f aca="false">IF(AND(OR(AQ1297="À RADIOGRAPHIER",AQ1297="RÉPARÉ – À RADIOGRAPHIER",AQ1297="NX – RT À REFAIRE"),OR('PROGRAMME RT'!$D$5="TOUTES",B1297='PROGRAMME RT'!$D$5)),1,0)</f>
        <v>0</v>
      </c>
      <c r="AT1297" s="82" t="str">
        <f aca="false">IF(AS1297=1,SUM(AS$7:AS1297),"")</f>
        <v/>
      </c>
      <c r="AU1297" s="82" t="n">
        <f aca="false">IF(AND(OR(AA1297="R",AA1297="NX",AA1297="NT",AA1297="CO"),OR('JOINTS DE RÉPARATION'!$D$5="TOUTES",B1297='JOINTS DE RÉPARATION'!$D$5),OR('JOINTS DE RÉPARATION'!$L$4="TOUS",AQ1297&lt;&gt;"ACCEPTÉ")),1,0)</f>
        <v>0</v>
      </c>
      <c r="AV1297" s="82" t="str">
        <f aca="false">IF(AU1297=1,SUM(AU$7:AU1297),"")</f>
        <v/>
      </c>
      <c r="AW1297" s="82" t="str">
        <f aca="false">IF(E1297="","",B1297&amp;"|"&amp;E1297)</f>
        <v>MFD-ISW → MFD-CPF|DJ°103</v>
      </c>
    </row>
    <row r="1298" customFormat="false" ht="74.6" hidden="false" customHeight="false" outlineLevel="0" collapsed="false">
      <c r="A1298" s="79" t="n">
        <f aca="false">IF(E1298="","",ROW()-6)</f>
        <v>1292</v>
      </c>
      <c r="B1298" s="80" t="s">
        <v>110</v>
      </c>
      <c r="C1298" s="81" t="s">
        <v>1530</v>
      </c>
      <c r="D1298" s="81" t="n">
        <v>10</v>
      </c>
      <c r="E1298" s="81" t="s">
        <v>1562</v>
      </c>
      <c r="F1298" s="82" t="str">
        <f aca="false">IF(E1298="","",IF(LEFT(E1298,2)="DJ","DJ","JN"))</f>
        <v>JN</v>
      </c>
      <c r="G1298" s="81" t="s">
        <v>1504</v>
      </c>
      <c r="H1298" s="81" t="s">
        <v>871</v>
      </c>
      <c r="I1298" s="81" t="n">
        <v>9.53</v>
      </c>
      <c r="J1298" s="81" t="s">
        <v>872</v>
      </c>
      <c r="K1298" s="81" t="s">
        <v>879</v>
      </c>
      <c r="L1298" s="81" t="n">
        <v>2086790</v>
      </c>
      <c r="M1298" s="81" t="n">
        <v>15421107</v>
      </c>
      <c r="N1298" s="81" t="n">
        <v>11.94</v>
      </c>
      <c r="O1298" s="81" t="n">
        <v>2095720</v>
      </c>
      <c r="P1298" s="81" t="n">
        <v>15421111</v>
      </c>
      <c r="Q1298" s="81" t="n">
        <v>11.94</v>
      </c>
      <c r="R1298" s="81" t="s">
        <v>1367</v>
      </c>
      <c r="S1298" s="81"/>
      <c r="T1298" s="81"/>
      <c r="U1298" s="83" t="n">
        <v>46278</v>
      </c>
      <c r="V1298" s="83" t="n">
        <v>46278</v>
      </c>
      <c r="W1298" s="81" t="s">
        <v>1555</v>
      </c>
      <c r="X1298" s="81" t="s">
        <v>876</v>
      </c>
      <c r="Y1298" s="83" t="n">
        <v>46282</v>
      </c>
      <c r="Z1298" s="81" t="s">
        <v>1538</v>
      </c>
      <c r="AA1298" s="81" t="s">
        <v>1073</v>
      </c>
      <c r="AB1298" s="81" t="s">
        <v>1563</v>
      </c>
      <c r="AC1298" s="81"/>
      <c r="AD1298" s="81"/>
      <c r="AE1298" s="83"/>
      <c r="AF1298" s="81"/>
      <c r="AG1298" s="81"/>
      <c r="AH1298" s="81"/>
      <c r="AI1298" s="81"/>
      <c r="AJ1298" s="83"/>
      <c r="AK1298" s="81"/>
      <c r="AL1298" s="81"/>
      <c r="AM1298" s="83"/>
      <c r="AN1298" s="80"/>
      <c r="AO1298" s="82" t="n">
        <f aca="false">IF(E1298="","",(AA1298&lt;&gt;"")+(AG1298&lt;&gt;"")+(AL1298&lt;&gt;""))</f>
        <v>1</v>
      </c>
      <c r="AP1298" s="82" t="str">
        <f aca="false">IF(AL1298&lt;&gt;"",AL1298,IF(AG1298&lt;&gt;"",AG1298,IF(AA1298&lt;&gt;"",AA1298,"")))</f>
        <v>R</v>
      </c>
      <c r="AQ1298" s="84" t="str">
        <f aca="false">IF(E1298="","",IF(U1298="","À SOUDER",IF(X1298="","VT EN ATTENTE",IF(X1298="R","VT REJETÉ – À REPRENDRE",IF(AP1298="","À RADIOGRAPHIER",IF(AP1298="A","ACCEPTÉ",IF(AP1298="NX","NX – RT À REFAIRE",IF(IF(AO1298=1,AD1298,IF(AO1298=2,AI1298,""))="A","RÉPARÉ – À RADIOGRAPHIER",IF(IF(AO1298=1,AD1298,IF(AO1298=2,AI1298,""))="R","VT REJETÉ – À REPRENDRE",IF(OR(AP1298="CO",AP1298="NT"),"COUPE – À RESOUDER","À RÉPARER"))))))))))</f>
        <v>À RÉPARER</v>
      </c>
      <c r="AR1298" s="82" t="n">
        <f aca="false">IF(AND(ISNUMBER(U1298),OR(AQ1298="À RADIOGRAPHIER",AQ1298="RÉPARÉ – À RADIOGRAPHIER",AQ1298="NX – RT À REFAIRE",AQ1298="À RÉPARER",AQ1298="COUPE – À RESOUDER",AQ1298="VT REJETÉ – À REPRENDRE")),MAX(0,'PROGRAMME RT'!$C$4-U1298),"")</f>
        <v>15</v>
      </c>
      <c r="AS1298" s="82" t="n">
        <f aca="false">IF(AND(OR(AQ1298="À RADIOGRAPHIER",AQ1298="RÉPARÉ – À RADIOGRAPHIER",AQ1298="NX – RT À REFAIRE"),OR('PROGRAMME RT'!$D$5="TOUTES",B1298='PROGRAMME RT'!$D$5)),1,0)</f>
        <v>0</v>
      </c>
      <c r="AT1298" s="82" t="str">
        <f aca="false">IF(AS1298=1,SUM(AS$7:AS1298),"")</f>
        <v/>
      </c>
      <c r="AU1298" s="82" t="n">
        <f aca="false">IF(AND(OR(AA1298="R",AA1298="NX",AA1298="NT",AA1298="CO"),OR('JOINTS DE RÉPARATION'!$D$5="TOUTES",B1298='JOINTS DE RÉPARATION'!$D$5),OR('JOINTS DE RÉPARATION'!$L$4="TOUS",AQ1298&lt;&gt;"ACCEPTÉ")),1,0)</f>
        <v>1</v>
      </c>
      <c r="AV1298" s="82" t="n">
        <f aca="false">IF(AU1298=1,SUM(AU$7:AU1298),"")</f>
        <v>32</v>
      </c>
      <c r="AW1298" s="82" t="str">
        <f aca="false">IF(E1298="","",B1298&amp;"|"&amp;E1298)</f>
        <v>MFD-ISW → MFD-CPF|JN°1091</v>
      </c>
    </row>
    <row r="1299" customFormat="false" ht="74.6" hidden="false" customHeight="false" outlineLevel="0" collapsed="false">
      <c r="A1299" s="79" t="n">
        <f aca="false">IF(E1299="","",ROW()-6)</f>
        <v>1293</v>
      </c>
      <c r="B1299" s="80" t="s">
        <v>110</v>
      </c>
      <c r="C1299" s="81" t="s">
        <v>1530</v>
      </c>
      <c r="D1299" s="81" t="n">
        <v>10</v>
      </c>
      <c r="E1299" s="81" t="s">
        <v>1564</v>
      </c>
      <c r="F1299" s="82" t="str">
        <f aca="false">IF(E1299="","",IF(LEFT(E1299,2)="DJ","DJ","JN"))</f>
        <v>DJ</v>
      </c>
      <c r="G1299" s="81"/>
      <c r="H1299" s="81" t="s">
        <v>871</v>
      </c>
      <c r="I1299" s="81" t="n">
        <v>9.53</v>
      </c>
      <c r="J1299" s="81" t="s">
        <v>872</v>
      </c>
      <c r="K1299" s="81" t="s">
        <v>873</v>
      </c>
      <c r="L1299" s="81" t="n">
        <v>2095720</v>
      </c>
      <c r="M1299" s="81" t="n">
        <v>15421111</v>
      </c>
      <c r="N1299" s="81" t="n">
        <v>11.94</v>
      </c>
      <c r="O1299" s="81" t="n">
        <v>2087030</v>
      </c>
      <c r="P1299" s="81" t="n">
        <v>15421107</v>
      </c>
      <c r="Q1299" s="81" t="n">
        <v>11.94</v>
      </c>
      <c r="R1299" s="81" t="s">
        <v>1135</v>
      </c>
      <c r="S1299" s="81"/>
      <c r="T1299" s="81"/>
      <c r="U1299" s="83" t="n">
        <v>46256</v>
      </c>
      <c r="V1299" s="83" t="n">
        <v>46256</v>
      </c>
      <c r="W1299" s="81" t="s">
        <v>1565</v>
      </c>
      <c r="X1299" s="81" t="s">
        <v>876</v>
      </c>
      <c r="Y1299" s="83" t="n">
        <v>46257</v>
      </c>
      <c r="Z1299" s="81" t="s">
        <v>1561</v>
      </c>
      <c r="AA1299" s="81" t="s">
        <v>876</v>
      </c>
      <c r="AB1299" s="81"/>
      <c r="AC1299" s="81"/>
      <c r="AD1299" s="81"/>
      <c r="AE1299" s="83"/>
      <c r="AF1299" s="81"/>
      <c r="AG1299" s="81"/>
      <c r="AH1299" s="81"/>
      <c r="AI1299" s="81"/>
      <c r="AJ1299" s="83"/>
      <c r="AK1299" s="81"/>
      <c r="AL1299" s="81"/>
      <c r="AM1299" s="83"/>
      <c r="AN1299" s="80"/>
      <c r="AO1299" s="82" t="n">
        <f aca="false">IF(E1299="","",(AA1299&lt;&gt;"")+(AG1299&lt;&gt;"")+(AL1299&lt;&gt;""))</f>
        <v>1</v>
      </c>
      <c r="AP1299" s="82" t="str">
        <f aca="false">IF(AL1299&lt;&gt;"",AL1299,IF(AG1299&lt;&gt;"",AG1299,IF(AA1299&lt;&gt;"",AA1299,"")))</f>
        <v>A</v>
      </c>
      <c r="AQ1299" s="84" t="str">
        <f aca="false">IF(E1299="","",IF(U1299="","À SOUDER",IF(X1299="","VT EN ATTENTE",IF(X1299="R","VT REJETÉ – À REPRENDRE",IF(AP1299="","À RADIOGRAPHIER",IF(AP1299="A","ACCEPTÉ",IF(AP1299="NX","NX – RT À REFAIRE",IF(IF(AO1299=1,AD1299,IF(AO1299=2,AI1299,""))="A","RÉPARÉ – À RADIOGRAPHIER",IF(IF(AO1299=1,AD1299,IF(AO1299=2,AI1299,""))="R","VT REJETÉ – À REPRENDRE",IF(OR(AP1299="CO",AP1299="NT"),"COUPE – À RESOUDER","À RÉPARER"))))))))))</f>
        <v>ACCEPTÉ</v>
      </c>
      <c r="AR1299" s="82" t="str">
        <f aca="false">IF(AND(ISNUMBER(U1299),OR(AQ1299="À RADIOGRAPHIER",AQ1299="RÉPARÉ – À RADIOGRAPHIER",AQ1299="NX – RT À REFAIRE",AQ1299="À RÉPARER",AQ1299="COUPE – À RESOUDER",AQ1299="VT REJETÉ – À REPRENDRE")),MAX(0,'PROGRAMME RT'!$C$4-U1299),"")</f>
        <v/>
      </c>
      <c r="AS1299" s="82" t="n">
        <f aca="false">IF(AND(OR(AQ1299="À RADIOGRAPHIER",AQ1299="RÉPARÉ – À RADIOGRAPHIER",AQ1299="NX – RT À REFAIRE"),OR('PROGRAMME RT'!$D$5="TOUTES",B1299='PROGRAMME RT'!$D$5)),1,0)</f>
        <v>0</v>
      </c>
      <c r="AT1299" s="82" t="str">
        <f aca="false">IF(AS1299=1,SUM(AS$7:AS1299),"")</f>
        <v/>
      </c>
      <c r="AU1299" s="82" t="n">
        <f aca="false">IF(AND(OR(AA1299="R",AA1299="NX",AA1299="NT",AA1299="CO"),OR('JOINTS DE RÉPARATION'!$D$5="TOUTES",B1299='JOINTS DE RÉPARATION'!$D$5),OR('JOINTS DE RÉPARATION'!$L$4="TOUS",AQ1299&lt;&gt;"ACCEPTÉ")),1,0)</f>
        <v>0</v>
      </c>
      <c r="AV1299" s="82" t="str">
        <f aca="false">IF(AU1299=1,SUM(AU$7:AU1299),"")</f>
        <v/>
      </c>
      <c r="AW1299" s="82" t="str">
        <f aca="false">IF(E1299="","",B1299&amp;"|"&amp;E1299)</f>
        <v>MFD-ISW → MFD-CPF|DJ°090</v>
      </c>
    </row>
    <row r="1300" customFormat="false" ht="74.6" hidden="false" customHeight="false" outlineLevel="0" collapsed="false">
      <c r="A1300" s="79" t="n">
        <f aca="false">IF(E1300="","",ROW()-6)</f>
        <v>1294</v>
      </c>
      <c r="B1300" s="80" t="s">
        <v>110</v>
      </c>
      <c r="C1300" s="81" t="s">
        <v>1530</v>
      </c>
      <c r="D1300" s="81" t="n">
        <v>10</v>
      </c>
      <c r="E1300" s="81" t="s">
        <v>1566</v>
      </c>
      <c r="F1300" s="82" t="str">
        <f aca="false">IF(E1300="","",IF(LEFT(E1300,2)="DJ","DJ","JN"))</f>
        <v>JN</v>
      </c>
      <c r="G1300" s="81" t="s">
        <v>1504</v>
      </c>
      <c r="H1300" s="81" t="s">
        <v>871</v>
      </c>
      <c r="I1300" s="81" t="n">
        <v>9.53</v>
      </c>
      <c r="J1300" s="81" t="s">
        <v>872</v>
      </c>
      <c r="K1300" s="81" t="s">
        <v>879</v>
      </c>
      <c r="L1300" s="81" t="n">
        <v>2087030</v>
      </c>
      <c r="M1300" s="81" t="n">
        <v>15421107</v>
      </c>
      <c r="N1300" s="81" t="n">
        <v>11.94</v>
      </c>
      <c r="O1300" s="81" t="n">
        <v>2093490</v>
      </c>
      <c r="P1300" s="81" t="n">
        <v>15421110</v>
      </c>
      <c r="Q1300" s="81" t="n">
        <v>11.94</v>
      </c>
      <c r="R1300" s="81" t="s">
        <v>1367</v>
      </c>
      <c r="S1300" s="81"/>
      <c r="T1300" s="81"/>
      <c r="U1300" s="83" t="n">
        <v>46277</v>
      </c>
      <c r="V1300" s="83" t="n">
        <v>46277</v>
      </c>
      <c r="W1300" s="81" t="s">
        <v>1567</v>
      </c>
      <c r="X1300" s="81" t="s">
        <v>876</v>
      </c>
      <c r="Y1300" s="83" t="n">
        <v>46282</v>
      </c>
      <c r="Z1300" s="81" t="s">
        <v>1538</v>
      </c>
      <c r="AA1300" s="81" t="s">
        <v>876</v>
      </c>
      <c r="AB1300" s="81"/>
      <c r="AC1300" s="81"/>
      <c r="AD1300" s="81"/>
      <c r="AE1300" s="83"/>
      <c r="AF1300" s="81"/>
      <c r="AG1300" s="81"/>
      <c r="AH1300" s="81"/>
      <c r="AI1300" s="81"/>
      <c r="AJ1300" s="83"/>
      <c r="AK1300" s="81"/>
      <c r="AL1300" s="81"/>
      <c r="AM1300" s="83"/>
      <c r="AN1300" s="80"/>
      <c r="AO1300" s="82" t="n">
        <f aca="false">IF(E1300="","",(AA1300&lt;&gt;"")+(AG1300&lt;&gt;"")+(AL1300&lt;&gt;""))</f>
        <v>1</v>
      </c>
      <c r="AP1300" s="82" t="str">
        <f aca="false">IF(AL1300&lt;&gt;"",AL1300,IF(AG1300&lt;&gt;"",AG1300,IF(AA1300&lt;&gt;"",AA1300,"")))</f>
        <v>A</v>
      </c>
      <c r="AQ1300" s="84" t="str">
        <f aca="false">IF(E1300="","",IF(U1300="","À SOUDER",IF(X1300="","VT EN ATTENTE",IF(X1300="R","VT REJETÉ – À REPRENDRE",IF(AP1300="","À RADIOGRAPHIER",IF(AP1300="A","ACCEPTÉ",IF(AP1300="NX","NX – RT À REFAIRE",IF(IF(AO1300=1,AD1300,IF(AO1300=2,AI1300,""))="A","RÉPARÉ – À RADIOGRAPHIER",IF(IF(AO1300=1,AD1300,IF(AO1300=2,AI1300,""))="R","VT REJETÉ – À REPRENDRE",IF(OR(AP1300="CO",AP1300="NT"),"COUPE – À RESOUDER","À RÉPARER"))))))))))</f>
        <v>ACCEPTÉ</v>
      </c>
      <c r="AR1300" s="82" t="str">
        <f aca="false">IF(AND(ISNUMBER(U1300),OR(AQ1300="À RADIOGRAPHIER",AQ1300="RÉPARÉ – À RADIOGRAPHIER",AQ1300="NX – RT À REFAIRE",AQ1300="À RÉPARER",AQ1300="COUPE – À RESOUDER",AQ1300="VT REJETÉ – À REPRENDRE")),MAX(0,'PROGRAMME RT'!$C$4-U1300),"")</f>
        <v/>
      </c>
      <c r="AS1300" s="82" t="n">
        <f aca="false">IF(AND(OR(AQ1300="À RADIOGRAPHIER",AQ1300="RÉPARÉ – À RADIOGRAPHIER",AQ1300="NX – RT À REFAIRE"),OR('PROGRAMME RT'!$D$5="TOUTES",B1300='PROGRAMME RT'!$D$5)),1,0)</f>
        <v>0</v>
      </c>
      <c r="AT1300" s="82" t="str">
        <f aca="false">IF(AS1300=1,SUM(AS$7:AS1300),"")</f>
        <v/>
      </c>
      <c r="AU1300" s="82" t="n">
        <f aca="false">IF(AND(OR(AA1300="R",AA1300="NX",AA1300="NT",AA1300="CO"),OR('JOINTS DE RÉPARATION'!$D$5="TOUTES",B1300='JOINTS DE RÉPARATION'!$D$5),OR('JOINTS DE RÉPARATION'!$L$4="TOUS",AQ1300&lt;&gt;"ACCEPTÉ")),1,0)</f>
        <v>0</v>
      </c>
      <c r="AV1300" s="82" t="str">
        <f aca="false">IF(AU1300=1,SUM(AU$7:AU1300),"")</f>
        <v/>
      </c>
      <c r="AW1300" s="82" t="str">
        <f aca="false">IF(E1300="","",B1300&amp;"|"&amp;E1300)</f>
        <v>MFD-ISW → MFD-CPF|JN°1092</v>
      </c>
    </row>
    <row r="1301" customFormat="false" ht="74.6" hidden="false" customHeight="false" outlineLevel="0" collapsed="false">
      <c r="A1301" s="79" t="n">
        <f aca="false">IF(E1301="","",ROW()-6)</f>
        <v>1295</v>
      </c>
      <c r="B1301" s="80" t="s">
        <v>110</v>
      </c>
      <c r="C1301" s="81" t="s">
        <v>1530</v>
      </c>
      <c r="D1301" s="81" t="n">
        <v>10</v>
      </c>
      <c r="E1301" s="81" t="s">
        <v>1568</v>
      </c>
      <c r="F1301" s="82" t="str">
        <f aca="false">IF(E1301="","",IF(LEFT(E1301,2)="DJ","DJ","JN"))</f>
        <v>DJ</v>
      </c>
      <c r="G1301" s="81"/>
      <c r="H1301" s="81" t="s">
        <v>871</v>
      </c>
      <c r="I1301" s="81" t="n">
        <v>9.53</v>
      </c>
      <c r="J1301" s="81" t="s">
        <v>872</v>
      </c>
      <c r="K1301" s="81" t="s">
        <v>873</v>
      </c>
      <c r="L1301" s="81" t="n">
        <v>2093490</v>
      </c>
      <c r="M1301" s="81" t="n">
        <v>15421110</v>
      </c>
      <c r="N1301" s="81" t="n">
        <v>11.94</v>
      </c>
      <c r="O1301" s="81" t="n">
        <v>2084730</v>
      </c>
      <c r="P1301" s="81" t="n">
        <v>15421106</v>
      </c>
      <c r="Q1301" s="81" t="n">
        <v>11.94</v>
      </c>
      <c r="R1301" s="81" t="s">
        <v>1135</v>
      </c>
      <c r="S1301" s="81"/>
      <c r="T1301" s="81"/>
      <c r="U1301" s="83" t="n">
        <v>46256</v>
      </c>
      <c r="V1301" s="83" t="n">
        <v>46256</v>
      </c>
      <c r="W1301" s="81" t="s">
        <v>1565</v>
      </c>
      <c r="X1301" s="81" t="s">
        <v>876</v>
      </c>
      <c r="Y1301" s="83" t="n">
        <v>46259</v>
      </c>
      <c r="Z1301" s="81" t="s">
        <v>1569</v>
      </c>
      <c r="AA1301" s="81" t="s">
        <v>876</v>
      </c>
      <c r="AB1301" s="81"/>
      <c r="AC1301" s="81"/>
      <c r="AD1301" s="81"/>
      <c r="AE1301" s="83"/>
      <c r="AF1301" s="81"/>
      <c r="AG1301" s="81"/>
      <c r="AH1301" s="81"/>
      <c r="AI1301" s="81"/>
      <c r="AJ1301" s="83"/>
      <c r="AK1301" s="81"/>
      <c r="AL1301" s="81"/>
      <c r="AM1301" s="83"/>
      <c r="AN1301" s="80"/>
      <c r="AO1301" s="82" t="n">
        <f aca="false">IF(E1301="","",(AA1301&lt;&gt;"")+(AG1301&lt;&gt;"")+(AL1301&lt;&gt;""))</f>
        <v>1</v>
      </c>
      <c r="AP1301" s="82" t="str">
        <f aca="false">IF(AL1301&lt;&gt;"",AL1301,IF(AG1301&lt;&gt;"",AG1301,IF(AA1301&lt;&gt;"",AA1301,"")))</f>
        <v>A</v>
      </c>
      <c r="AQ1301" s="84" t="str">
        <f aca="false">IF(E1301="","",IF(U1301="","À SOUDER",IF(X1301="","VT EN ATTENTE",IF(X1301="R","VT REJETÉ – À REPRENDRE",IF(AP1301="","À RADIOGRAPHIER",IF(AP1301="A","ACCEPTÉ",IF(AP1301="NX","NX – RT À REFAIRE",IF(IF(AO1301=1,AD1301,IF(AO1301=2,AI1301,""))="A","RÉPARÉ – À RADIOGRAPHIER",IF(IF(AO1301=1,AD1301,IF(AO1301=2,AI1301,""))="R","VT REJETÉ – À REPRENDRE",IF(OR(AP1301="CO",AP1301="NT"),"COUPE – À RESOUDER","À RÉPARER"))))))))))</f>
        <v>ACCEPTÉ</v>
      </c>
      <c r="AR1301" s="82" t="str">
        <f aca="false">IF(AND(ISNUMBER(U1301),OR(AQ1301="À RADIOGRAPHIER",AQ1301="RÉPARÉ – À RADIOGRAPHIER",AQ1301="NX – RT À REFAIRE",AQ1301="À RÉPARER",AQ1301="COUPE – À RESOUDER",AQ1301="VT REJETÉ – À REPRENDRE")),MAX(0,'PROGRAMME RT'!$C$4-U1301),"")</f>
        <v/>
      </c>
      <c r="AS1301" s="82" t="n">
        <f aca="false">IF(AND(OR(AQ1301="À RADIOGRAPHIER",AQ1301="RÉPARÉ – À RADIOGRAPHIER",AQ1301="NX – RT À REFAIRE"),OR('PROGRAMME RT'!$D$5="TOUTES",B1301='PROGRAMME RT'!$D$5)),1,0)</f>
        <v>0</v>
      </c>
      <c r="AT1301" s="82" t="str">
        <f aca="false">IF(AS1301=1,SUM(AS$7:AS1301),"")</f>
        <v/>
      </c>
      <c r="AU1301" s="82" t="n">
        <f aca="false">IF(AND(OR(AA1301="R",AA1301="NX",AA1301="NT",AA1301="CO"),OR('JOINTS DE RÉPARATION'!$D$5="TOUTES",B1301='JOINTS DE RÉPARATION'!$D$5),OR('JOINTS DE RÉPARATION'!$L$4="TOUS",AQ1301&lt;&gt;"ACCEPTÉ")),1,0)</f>
        <v>0</v>
      </c>
      <c r="AV1301" s="82" t="str">
        <f aca="false">IF(AU1301=1,SUM(AU$7:AU1301),"")</f>
        <v/>
      </c>
      <c r="AW1301" s="82" t="str">
        <f aca="false">IF(E1301="","",B1301&amp;"|"&amp;E1301)</f>
        <v>MFD-ISW → MFD-CPF|DJ°093</v>
      </c>
    </row>
    <row r="1302" customFormat="false" ht="74.6" hidden="false" customHeight="false" outlineLevel="0" collapsed="false">
      <c r="A1302" s="79" t="n">
        <f aca="false">IF(E1302="","",ROW()-6)</f>
        <v>1296</v>
      </c>
      <c r="B1302" s="80" t="s">
        <v>110</v>
      </c>
      <c r="C1302" s="81" t="s">
        <v>1530</v>
      </c>
      <c r="D1302" s="81" t="n">
        <v>10</v>
      </c>
      <c r="E1302" s="81" t="s">
        <v>1570</v>
      </c>
      <c r="F1302" s="82" t="str">
        <f aca="false">IF(E1302="","",IF(LEFT(E1302,2)="DJ","DJ","JN"))</f>
        <v>JN</v>
      </c>
      <c r="G1302" s="81" t="s">
        <v>1504</v>
      </c>
      <c r="H1302" s="81" t="s">
        <v>871</v>
      </c>
      <c r="I1302" s="81" t="n">
        <v>9.53</v>
      </c>
      <c r="J1302" s="81" t="s">
        <v>872</v>
      </c>
      <c r="K1302" s="81" t="s">
        <v>879</v>
      </c>
      <c r="L1302" s="81" t="n">
        <v>2084730</v>
      </c>
      <c r="M1302" s="81" t="n">
        <v>15421106</v>
      </c>
      <c r="N1302" s="81" t="n">
        <v>11.94</v>
      </c>
      <c r="O1302" s="81" t="n">
        <v>2084020</v>
      </c>
      <c r="P1302" s="81" t="n">
        <v>15421111</v>
      </c>
      <c r="Q1302" s="81" t="n">
        <v>11.94</v>
      </c>
      <c r="R1302" s="81" t="s">
        <v>1367</v>
      </c>
      <c r="S1302" s="81"/>
      <c r="T1302" s="81"/>
      <c r="U1302" s="83" t="n">
        <v>46277</v>
      </c>
      <c r="V1302" s="83" t="n">
        <v>46277</v>
      </c>
      <c r="W1302" s="81" t="s">
        <v>1567</v>
      </c>
      <c r="X1302" s="81" t="s">
        <v>876</v>
      </c>
      <c r="Y1302" s="83" t="n">
        <v>46282</v>
      </c>
      <c r="Z1302" s="81" t="s">
        <v>1538</v>
      </c>
      <c r="AA1302" s="81" t="s">
        <v>876</v>
      </c>
      <c r="AB1302" s="81"/>
      <c r="AC1302" s="81"/>
      <c r="AD1302" s="81"/>
      <c r="AE1302" s="83"/>
      <c r="AF1302" s="81"/>
      <c r="AG1302" s="81"/>
      <c r="AH1302" s="81"/>
      <c r="AI1302" s="81"/>
      <c r="AJ1302" s="83"/>
      <c r="AK1302" s="81"/>
      <c r="AL1302" s="81"/>
      <c r="AM1302" s="83"/>
      <c r="AN1302" s="80"/>
      <c r="AO1302" s="82" t="n">
        <f aca="false">IF(E1302="","",(AA1302&lt;&gt;"")+(AG1302&lt;&gt;"")+(AL1302&lt;&gt;""))</f>
        <v>1</v>
      </c>
      <c r="AP1302" s="82" t="str">
        <f aca="false">IF(AL1302&lt;&gt;"",AL1302,IF(AG1302&lt;&gt;"",AG1302,IF(AA1302&lt;&gt;"",AA1302,"")))</f>
        <v>A</v>
      </c>
      <c r="AQ1302" s="84" t="str">
        <f aca="false">IF(E1302="","",IF(U1302="","À SOUDER",IF(X1302="","VT EN ATTENTE",IF(X1302="R","VT REJETÉ – À REPRENDRE",IF(AP1302="","À RADIOGRAPHIER",IF(AP1302="A","ACCEPTÉ",IF(AP1302="NX","NX – RT À REFAIRE",IF(IF(AO1302=1,AD1302,IF(AO1302=2,AI1302,""))="A","RÉPARÉ – À RADIOGRAPHIER",IF(IF(AO1302=1,AD1302,IF(AO1302=2,AI1302,""))="R","VT REJETÉ – À REPRENDRE",IF(OR(AP1302="CO",AP1302="NT"),"COUPE – À RESOUDER","À RÉPARER"))))))))))</f>
        <v>ACCEPTÉ</v>
      </c>
      <c r="AR1302" s="82" t="str">
        <f aca="false">IF(AND(ISNUMBER(U1302),OR(AQ1302="À RADIOGRAPHIER",AQ1302="RÉPARÉ – À RADIOGRAPHIER",AQ1302="NX – RT À REFAIRE",AQ1302="À RÉPARER",AQ1302="COUPE – À RESOUDER",AQ1302="VT REJETÉ – À REPRENDRE")),MAX(0,'PROGRAMME RT'!$C$4-U1302),"")</f>
        <v/>
      </c>
      <c r="AS1302" s="82" t="n">
        <f aca="false">IF(AND(OR(AQ1302="À RADIOGRAPHIER",AQ1302="RÉPARÉ – À RADIOGRAPHIER",AQ1302="NX – RT À REFAIRE"),OR('PROGRAMME RT'!$D$5="TOUTES",B1302='PROGRAMME RT'!$D$5)),1,0)</f>
        <v>0</v>
      </c>
      <c r="AT1302" s="82" t="str">
        <f aca="false">IF(AS1302=1,SUM(AS$7:AS1302),"")</f>
        <v/>
      </c>
      <c r="AU1302" s="82" t="n">
        <f aca="false">IF(AND(OR(AA1302="R",AA1302="NX",AA1302="NT",AA1302="CO"),OR('JOINTS DE RÉPARATION'!$D$5="TOUTES",B1302='JOINTS DE RÉPARATION'!$D$5),OR('JOINTS DE RÉPARATION'!$L$4="TOUS",AQ1302&lt;&gt;"ACCEPTÉ")),1,0)</f>
        <v>0</v>
      </c>
      <c r="AV1302" s="82" t="str">
        <f aca="false">IF(AU1302=1,SUM(AU$7:AU1302),"")</f>
        <v/>
      </c>
      <c r="AW1302" s="82" t="str">
        <f aca="false">IF(E1302="","",B1302&amp;"|"&amp;E1302)</f>
        <v>MFD-ISW → MFD-CPF|JN°1093</v>
      </c>
    </row>
    <row r="1303" customFormat="false" ht="74.6" hidden="false" customHeight="false" outlineLevel="0" collapsed="false">
      <c r="A1303" s="79" t="n">
        <f aca="false">IF(E1303="","",ROW()-6)</f>
        <v>1297</v>
      </c>
      <c r="B1303" s="80" t="s">
        <v>110</v>
      </c>
      <c r="C1303" s="81" t="s">
        <v>1530</v>
      </c>
      <c r="D1303" s="81" t="n">
        <v>10</v>
      </c>
      <c r="E1303" s="81" t="s">
        <v>1571</v>
      </c>
      <c r="F1303" s="82" t="str">
        <f aca="false">IF(E1303="","",IF(LEFT(E1303,2)="DJ","DJ","JN"))</f>
        <v>DJ</v>
      </c>
      <c r="G1303" s="81"/>
      <c r="H1303" s="81" t="s">
        <v>871</v>
      </c>
      <c r="I1303" s="81" t="n">
        <v>9.53</v>
      </c>
      <c r="J1303" s="81" t="s">
        <v>872</v>
      </c>
      <c r="K1303" s="81" t="s">
        <v>873</v>
      </c>
      <c r="L1303" s="81" t="n">
        <v>2084020</v>
      </c>
      <c r="M1303" s="81" t="n">
        <v>15421111</v>
      </c>
      <c r="N1303" s="81" t="n">
        <v>11.94</v>
      </c>
      <c r="O1303" s="81" t="n">
        <v>2096100</v>
      </c>
      <c r="P1303" s="81" t="n">
        <v>15421111</v>
      </c>
      <c r="Q1303" s="81" t="n">
        <v>11.94</v>
      </c>
      <c r="R1303" s="81" t="s">
        <v>963</v>
      </c>
      <c r="S1303" s="81"/>
      <c r="T1303" s="81"/>
      <c r="U1303" s="83" t="n">
        <v>46256</v>
      </c>
      <c r="V1303" s="83" t="n">
        <v>46256</v>
      </c>
      <c r="W1303" s="81" t="s">
        <v>1565</v>
      </c>
      <c r="X1303" s="81" t="s">
        <v>876</v>
      </c>
      <c r="Y1303" s="83" t="n">
        <v>46259</v>
      </c>
      <c r="Z1303" s="81" t="s">
        <v>1569</v>
      </c>
      <c r="AA1303" s="81" t="s">
        <v>876</v>
      </c>
      <c r="AB1303" s="81"/>
      <c r="AC1303" s="81"/>
      <c r="AD1303" s="81"/>
      <c r="AE1303" s="83"/>
      <c r="AF1303" s="81"/>
      <c r="AG1303" s="81"/>
      <c r="AH1303" s="81"/>
      <c r="AI1303" s="81"/>
      <c r="AJ1303" s="83"/>
      <c r="AK1303" s="81"/>
      <c r="AL1303" s="81"/>
      <c r="AM1303" s="83"/>
      <c r="AN1303" s="80"/>
      <c r="AO1303" s="82" t="n">
        <f aca="false">IF(E1303="","",(AA1303&lt;&gt;"")+(AG1303&lt;&gt;"")+(AL1303&lt;&gt;""))</f>
        <v>1</v>
      </c>
      <c r="AP1303" s="82" t="str">
        <f aca="false">IF(AL1303&lt;&gt;"",AL1303,IF(AG1303&lt;&gt;"",AG1303,IF(AA1303&lt;&gt;"",AA1303,"")))</f>
        <v>A</v>
      </c>
      <c r="AQ1303" s="84" t="str">
        <f aca="false">IF(E1303="","",IF(U1303="","À SOUDER",IF(X1303="","VT EN ATTENTE",IF(X1303="R","VT REJETÉ – À REPRENDRE",IF(AP1303="","À RADIOGRAPHIER",IF(AP1303="A","ACCEPTÉ",IF(AP1303="NX","NX – RT À REFAIRE",IF(IF(AO1303=1,AD1303,IF(AO1303=2,AI1303,""))="A","RÉPARÉ – À RADIOGRAPHIER",IF(IF(AO1303=1,AD1303,IF(AO1303=2,AI1303,""))="R","VT REJETÉ – À REPRENDRE",IF(OR(AP1303="CO",AP1303="NT"),"COUPE – À RESOUDER","À RÉPARER"))))))))))</f>
        <v>ACCEPTÉ</v>
      </c>
      <c r="AR1303" s="82" t="str">
        <f aca="false">IF(AND(ISNUMBER(U1303),OR(AQ1303="À RADIOGRAPHIER",AQ1303="RÉPARÉ – À RADIOGRAPHIER",AQ1303="NX – RT À REFAIRE",AQ1303="À RÉPARER",AQ1303="COUPE – À RESOUDER",AQ1303="VT REJETÉ – À REPRENDRE")),MAX(0,'PROGRAMME RT'!$C$4-U1303),"")</f>
        <v/>
      </c>
      <c r="AS1303" s="82" t="n">
        <f aca="false">IF(AND(OR(AQ1303="À RADIOGRAPHIER",AQ1303="RÉPARÉ – À RADIOGRAPHIER",AQ1303="NX – RT À REFAIRE"),OR('PROGRAMME RT'!$D$5="TOUTES",B1303='PROGRAMME RT'!$D$5)),1,0)</f>
        <v>0</v>
      </c>
      <c r="AT1303" s="82" t="str">
        <f aca="false">IF(AS1303=1,SUM(AS$7:AS1303),"")</f>
        <v/>
      </c>
      <c r="AU1303" s="82" t="n">
        <f aca="false">IF(AND(OR(AA1303="R",AA1303="NX",AA1303="NT",AA1303="CO"),OR('JOINTS DE RÉPARATION'!$D$5="TOUTES",B1303='JOINTS DE RÉPARATION'!$D$5),OR('JOINTS DE RÉPARATION'!$L$4="TOUS",AQ1303&lt;&gt;"ACCEPTÉ")),1,0)</f>
        <v>0</v>
      </c>
      <c r="AV1303" s="82" t="str">
        <f aca="false">IF(AU1303=1,SUM(AU$7:AU1303),"")</f>
        <v/>
      </c>
      <c r="AW1303" s="82" t="str">
        <f aca="false">IF(E1303="","",B1303&amp;"|"&amp;E1303)</f>
        <v>MFD-ISW → MFD-CPF|DJ°086</v>
      </c>
    </row>
    <row r="1304" customFormat="false" ht="74.6" hidden="false" customHeight="false" outlineLevel="0" collapsed="false">
      <c r="A1304" s="79" t="n">
        <f aca="false">IF(E1304="","",ROW()-6)</f>
        <v>1298</v>
      </c>
      <c r="B1304" s="80" t="s">
        <v>110</v>
      </c>
      <c r="C1304" s="81" t="s">
        <v>1530</v>
      </c>
      <c r="D1304" s="81" t="n">
        <v>10</v>
      </c>
      <c r="E1304" s="81" t="s">
        <v>1572</v>
      </c>
      <c r="F1304" s="82" t="str">
        <f aca="false">IF(E1304="","",IF(LEFT(E1304,2)="DJ","DJ","JN"))</f>
        <v>JN</v>
      </c>
      <c r="G1304" s="81" t="s">
        <v>1504</v>
      </c>
      <c r="H1304" s="81" t="s">
        <v>871</v>
      </c>
      <c r="I1304" s="81" t="n">
        <v>9.53</v>
      </c>
      <c r="J1304" s="81" t="s">
        <v>872</v>
      </c>
      <c r="K1304" s="81" t="s">
        <v>879</v>
      </c>
      <c r="L1304" s="81" t="n">
        <v>2096100</v>
      </c>
      <c r="M1304" s="81" t="n">
        <v>15421111</v>
      </c>
      <c r="N1304" s="81" t="n">
        <v>11.94</v>
      </c>
      <c r="O1304" s="81" t="n">
        <v>2093470</v>
      </c>
      <c r="P1304" s="81" t="n">
        <v>15421101</v>
      </c>
      <c r="Q1304" s="81" t="n">
        <v>11.94</v>
      </c>
      <c r="R1304" s="81" t="s">
        <v>1367</v>
      </c>
      <c r="S1304" s="81"/>
      <c r="T1304" s="81"/>
      <c r="U1304" s="83" t="n">
        <v>46277</v>
      </c>
      <c r="V1304" s="83" t="n">
        <v>46277</v>
      </c>
      <c r="W1304" s="81" t="s">
        <v>1567</v>
      </c>
      <c r="X1304" s="81" t="s">
        <v>876</v>
      </c>
      <c r="Y1304" s="83" t="n">
        <v>46282</v>
      </c>
      <c r="Z1304" s="81" t="s">
        <v>1538</v>
      </c>
      <c r="AA1304" s="81" t="s">
        <v>876</v>
      </c>
      <c r="AB1304" s="81"/>
      <c r="AC1304" s="81"/>
      <c r="AD1304" s="81"/>
      <c r="AE1304" s="83"/>
      <c r="AF1304" s="81"/>
      <c r="AG1304" s="81"/>
      <c r="AH1304" s="81"/>
      <c r="AI1304" s="81"/>
      <c r="AJ1304" s="83"/>
      <c r="AK1304" s="81"/>
      <c r="AL1304" s="81"/>
      <c r="AM1304" s="83"/>
      <c r="AN1304" s="80"/>
      <c r="AO1304" s="82" t="n">
        <f aca="false">IF(E1304="","",(AA1304&lt;&gt;"")+(AG1304&lt;&gt;"")+(AL1304&lt;&gt;""))</f>
        <v>1</v>
      </c>
      <c r="AP1304" s="82" t="str">
        <f aca="false">IF(AL1304&lt;&gt;"",AL1304,IF(AG1304&lt;&gt;"",AG1304,IF(AA1304&lt;&gt;"",AA1304,"")))</f>
        <v>A</v>
      </c>
      <c r="AQ1304" s="84" t="str">
        <f aca="false">IF(E1304="","",IF(U1304="","À SOUDER",IF(X1304="","VT EN ATTENTE",IF(X1304="R","VT REJETÉ – À REPRENDRE",IF(AP1304="","À RADIOGRAPHIER",IF(AP1304="A","ACCEPTÉ",IF(AP1304="NX","NX – RT À REFAIRE",IF(IF(AO1304=1,AD1304,IF(AO1304=2,AI1304,""))="A","RÉPARÉ – À RADIOGRAPHIER",IF(IF(AO1304=1,AD1304,IF(AO1304=2,AI1304,""))="R","VT REJETÉ – À REPRENDRE",IF(OR(AP1304="CO",AP1304="NT"),"COUPE – À RESOUDER","À RÉPARER"))))))))))</f>
        <v>ACCEPTÉ</v>
      </c>
      <c r="AR1304" s="82" t="str">
        <f aca="false">IF(AND(ISNUMBER(U1304),OR(AQ1304="À RADIOGRAPHIER",AQ1304="RÉPARÉ – À RADIOGRAPHIER",AQ1304="NX – RT À REFAIRE",AQ1304="À RÉPARER",AQ1304="COUPE – À RESOUDER",AQ1304="VT REJETÉ – À REPRENDRE")),MAX(0,'PROGRAMME RT'!$C$4-U1304),"")</f>
        <v/>
      </c>
      <c r="AS1304" s="82" t="n">
        <f aca="false">IF(AND(OR(AQ1304="À RADIOGRAPHIER",AQ1304="RÉPARÉ – À RADIOGRAPHIER",AQ1304="NX – RT À REFAIRE"),OR('PROGRAMME RT'!$D$5="TOUTES",B1304='PROGRAMME RT'!$D$5)),1,0)</f>
        <v>0</v>
      </c>
      <c r="AT1304" s="82" t="str">
        <f aca="false">IF(AS1304=1,SUM(AS$7:AS1304),"")</f>
        <v/>
      </c>
      <c r="AU1304" s="82" t="n">
        <f aca="false">IF(AND(OR(AA1304="R",AA1304="NX",AA1304="NT",AA1304="CO"),OR('JOINTS DE RÉPARATION'!$D$5="TOUTES",B1304='JOINTS DE RÉPARATION'!$D$5),OR('JOINTS DE RÉPARATION'!$L$4="TOUS",AQ1304&lt;&gt;"ACCEPTÉ")),1,0)</f>
        <v>0</v>
      </c>
      <c r="AV1304" s="82" t="str">
        <f aca="false">IF(AU1304=1,SUM(AU$7:AU1304),"")</f>
        <v/>
      </c>
      <c r="AW1304" s="82" t="str">
        <f aca="false">IF(E1304="","",B1304&amp;"|"&amp;E1304)</f>
        <v>MFD-ISW → MFD-CPF|JN°1094</v>
      </c>
    </row>
    <row r="1305" customFormat="false" ht="74.6" hidden="false" customHeight="false" outlineLevel="0" collapsed="false">
      <c r="A1305" s="79" t="n">
        <f aca="false">IF(E1305="","",ROW()-6)</f>
        <v>1299</v>
      </c>
      <c r="B1305" s="80" t="s">
        <v>110</v>
      </c>
      <c r="C1305" s="81" t="s">
        <v>1530</v>
      </c>
      <c r="D1305" s="81" t="n">
        <v>10</v>
      </c>
      <c r="E1305" s="81" t="s">
        <v>1573</v>
      </c>
      <c r="F1305" s="82" t="str">
        <f aca="false">IF(E1305="","",IF(LEFT(E1305,2)="DJ","DJ","JN"))</f>
        <v>DJ</v>
      </c>
      <c r="G1305" s="81"/>
      <c r="H1305" s="81" t="s">
        <v>871</v>
      </c>
      <c r="I1305" s="81" t="n">
        <v>9.53</v>
      </c>
      <c r="J1305" s="81" t="s">
        <v>872</v>
      </c>
      <c r="K1305" s="81" t="s">
        <v>873</v>
      </c>
      <c r="L1305" s="81" t="n">
        <v>2093470</v>
      </c>
      <c r="M1305" s="81" t="n">
        <v>15421101</v>
      </c>
      <c r="N1305" s="81" t="n">
        <v>11.94</v>
      </c>
      <c r="O1305" s="81" t="n">
        <v>2079030</v>
      </c>
      <c r="P1305" s="81" t="n">
        <v>15421102</v>
      </c>
      <c r="Q1305" s="81" t="n">
        <v>11.94</v>
      </c>
      <c r="R1305" s="81" t="s">
        <v>1147</v>
      </c>
      <c r="S1305" s="81"/>
      <c r="T1305" s="81"/>
      <c r="U1305" s="83" t="n">
        <v>46256</v>
      </c>
      <c r="V1305" s="83" t="n">
        <v>46256</v>
      </c>
      <c r="W1305" s="81" t="s">
        <v>1565</v>
      </c>
      <c r="X1305" s="81" t="s">
        <v>876</v>
      </c>
      <c r="Y1305" s="83" t="n">
        <v>46259</v>
      </c>
      <c r="Z1305" s="81" t="s">
        <v>1569</v>
      </c>
      <c r="AA1305" s="81" t="s">
        <v>876</v>
      </c>
      <c r="AB1305" s="81"/>
      <c r="AC1305" s="81"/>
      <c r="AD1305" s="81"/>
      <c r="AE1305" s="83"/>
      <c r="AF1305" s="81"/>
      <c r="AG1305" s="81"/>
      <c r="AH1305" s="81"/>
      <c r="AI1305" s="81"/>
      <c r="AJ1305" s="83"/>
      <c r="AK1305" s="81"/>
      <c r="AL1305" s="81"/>
      <c r="AM1305" s="83"/>
      <c r="AN1305" s="80"/>
      <c r="AO1305" s="82" t="n">
        <f aca="false">IF(E1305="","",(AA1305&lt;&gt;"")+(AG1305&lt;&gt;"")+(AL1305&lt;&gt;""))</f>
        <v>1</v>
      </c>
      <c r="AP1305" s="82" t="str">
        <f aca="false">IF(AL1305&lt;&gt;"",AL1305,IF(AG1305&lt;&gt;"",AG1305,IF(AA1305&lt;&gt;"",AA1305,"")))</f>
        <v>A</v>
      </c>
      <c r="AQ1305" s="84" t="str">
        <f aca="false">IF(E1305="","",IF(U1305="","À SOUDER",IF(X1305="","VT EN ATTENTE",IF(X1305="R","VT REJETÉ – À REPRENDRE",IF(AP1305="","À RADIOGRAPHIER",IF(AP1305="A","ACCEPTÉ",IF(AP1305="NX","NX – RT À REFAIRE",IF(IF(AO1305=1,AD1305,IF(AO1305=2,AI1305,""))="A","RÉPARÉ – À RADIOGRAPHIER",IF(IF(AO1305=1,AD1305,IF(AO1305=2,AI1305,""))="R","VT REJETÉ – À REPRENDRE",IF(OR(AP1305="CO",AP1305="NT"),"COUPE – À RESOUDER","À RÉPARER"))))))))))</f>
        <v>ACCEPTÉ</v>
      </c>
      <c r="AR1305" s="82" t="str">
        <f aca="false">IF(AND(ISNUMBER(U1305),OR(AQ1305="À RADIOGRAPHIER",AQ1305="RÉPARÉ – À RADIOGRAPHIER",AQ1305="NX – RT À REFAIRE",AQ1305="À RÉPARER",AQ1305="COUPE – À RESOUDER",AQ1305="VT REJETÉ – À REPRENDRE")),MAX(0,'PROGRAMME RT'!$C$4-U1305),"")</f>
        <v/>
      </c>
      <c r="AS1305" s="82" t="n">
        <f aca="false">IF(AND(OR(AQ1305="À RADIOGRAPHIER",AQ1305="RÉPARÉ – À RADIOGRAPHIER",AQ1305="NX – RT À REFAIRE"),OR('PROGRAMME RT'!$D$5="TOUTES",B1305='PROGRAMME RT'!$D$5)),1,0)</f>
        <v>0</v>
      </c>
      <c r="AT1305" s="82" t="str">
        <f aca="false">IF(AS1305=1,SUM(AS$7:AS1305),"")</f>
        <v/>
      </c>
      <c r="AU1305" s="82" t="n">
        <f aca="false">IF(AND(OR(AA1305="R",AA1305="NX",AA1305="NT",AA1305="CO"),OR('JOINTS DE RÉPARATION'!$D$5="TOUTES",B1305='JOINTS DE RÉPARATION'!$D$5),OR('JOINTS DE RÉPARATION'!$L$4="TOUS",AQ1305&lt;&gt;"ACCEPTÉ")),1,0)</f>
        <v>0</v>
      </c>
      <c r="AV1305" s="82" t="str">
        <f aca="false">IF(AU1305=1,SUM(AU$7:AU1305),"")</f>
        <v/>
      </c>
      <c r="AW1305" s="82" t="str">
        <f aca="false">IF(E1305="","",B1305&amp;"|"&amp;E1305)</f>
        <v>MFD-ISW → MFD-CPF|DJ°087</v>
      </c>
    </row>
    <row r="1306" customFormat="false" ht="74.6" hidden="false" customHeight="false" outlineLevel="0" collapsed="false">
      <c r="A1306" s="79" t="n">
        <f aca="false">IF(E1306="","",ROW()-6)</f>
        <v>1300</v>
      </c>
      <c r="B1306" s="80" t="s">
        <v>110</v>
      </c>
      <c r="C1306" s="81" t="s">
        <v>1530</v>
      </c>
      <c r="D1306" s="81" t="n">
        <v>10</v>
      </c>
      <c r="E1306" s="81" t="s">
        <v>1574</v>
      </c>
      <c r="F1306" s="82" t="str">
        <f aca="false">IF(E1306="","",IF(LEFT(E1306,2)="DJ","DJ","JN"))</f>
        <v>JN</v>
      </c>
      <c r="G1306" s="81" t="s">
        <v>1504</v>
      </c>
      <c r="H1306" s="81" t="s">
        <v>871</v>
      </c>
      <c r="I1306" s="81" t="n">
        <v>9.53</v>
      </c>
      <c r="J1306" s="81" t="s">
        <v>872</v>
      </c>
      <c r="K1306" s="81" t="s">
        <v>879</v>
      </c>
      <c r="L1306" s="81" t="n">
        <v>2079030</v>
      </c>
      <c r="M1306" s="81" t="n">
        <v>15421102</v>
      </c>
      <c r="N1306" s="81" t="n">
        <v>11.94</v>
      </c>
      <c r="O1306" s="81" t="n">
        <v>2096610</v>
      </c>
      <c r="P1306" s="81" t="n">
        <v>15421111</v>
      </c>
      <c r="Q1306" s="81" t="n">
        <v>11.94</v>
      </c>
      <c r="R1306" s="81" t="s">
        <v>1367</v>
      </c>
      <c r="S1306" s="81"/>
      <c r="T1306" s="81"/>
      <c r="U1306" s="83" t="n">
        <v>46277</v>
      </c>
      <c r="V1306" s="83" t="n">
        <v>46277</v>
      </c>
      <c r="W1306" s="81" t="s">
        <v>1567</v>
      </c>
      <c r="X1306" s="81" t="s">
        <v>876</v>
      </c>
      <c r="Y1306" s="83" t="n">
        <v>46282</v>
      </c>
      <c r="Z1306" s="81" t="s">
        <v>1538</v>
      </c>
      <c r="AA1306" s="81" t="s">
        <v>876</v>
      </c>
      <c r="AB1306" s="81"/>
      <c r="AC1306" s="81"/>
      <c r="AD1306" s="81"/>
      <c r="AE1306" s="83"/>
      <c r="AF1306" s="81"/>
      <c r="AG1306" s="81"/>
      <c r="AH1306" s="81"/>
      <c r="AI1306" s="81"/>
      <c r="AJ1306" s="83"/>
      <c r="AK1306" s="81"/>
      <c r="AL1306" s="81"/>
      <c r="AM1306" s="83"/>
      <c r="AN1306" s="80"/>
      <c r="AO1306" s="82" t="n">
        <f aca="false">IF(E1306="","",(AA1306&lt;&gt;"")+(AG1306&lt;&gt;"")+(AL1306&lt;&gt;""))</f>
        <v>1</v>
      </c>
      <c r="AP1306" s="82" t="str">
        <f aca="false">IF(AL1306&lt;&gt;"",AL1306,IF(AG1306&lt;&gt;"",AG1306,IF(AA1306&lt;&gt;"",AA1306,"")))</f>
        <v>A</v>
      </c>
      <c r="AQ1306" s="84" t="str">
        <f aca="false">IF(E1306="","",IF(U1306="","À SOUDER",IF(X1306="","VT EN ATTENTE",IF(X1306="R","VT REJETÉ – À REPRENDRE",IF(AP1306="","À RADIOGRAPHIER",IF(AP1306="A","ACCEPTÉ",IF(AP1306="NX","NX – RT À REFAIRE",IF(IF(AO1306=1,AD1306,IF(AO1306=2,AI1306,""))="A","RÉPARÉ – À RADIOGRAPHIER",IF(IF(AO1306=1,AD1306,IF(AO1306=2,AI1306,""))="R","VT REJETÉ – À REPRENDRE",IF(OR(AP1306="CO",AP1306="NT"),"COUPE – À RESOUDER","À RÉPARER"))))))))))</f>
        <v>ACCEPTÉ</v>
      </c>
      <c r="AR1306" s="82" t="str">
        <f aca="false">IF(AND(ISNUMBER(U1306),OR(AQ1306="À RADIOGRAPHIER",AQ1306="RÉPARÉ – À RADIOGRAPHIER",AQ1306="NX – RT À REFAIRE",AQ1306="À RÉPARER",AQ1306="COUPE – À RESOUDER",AQ1306="VT REJETÉ – À REPRENDRE")),MAX(0,'PROGRAMME RT'!$C$4-U1306),"")</f>
        <v/>
      </c>
      <c r="AS1306" s="82" t="n">
        <f aca="false">IF(AND(OR(AQ1306="À RADIOGRAPHIER",AQ1306="RÉPARÉ – À RADIOGRAPHIER",AQ1306="NX – RT À REFAIRE"),OR('PROGRAMME RT'!$D$5="TOUTES",B1306='PROGRAMME RT'!$D$5)),1,0)</f>
        <v>0</v>
      </c>
      <c r="AT1306" s="82" t="str">
        <f aca="false">IF(AS1306=1,SUM(AS$7:AS1306),"")</f>
        <v/>
      </c>
      <c r="AU1306" s="82" t="n">
        <f aca="false">IF(AND(OR(AA1306="R",AA1306="NX",AA1306="NT",AA1306="CO"),OR('JOINTS DE RÉPARATION'!$D$5="TOUTES",B1306='JOINTS DE RÉPARATION'!$D$5),OR('JOINTS DE RÉPARATION'!$L$4="TOUS",AQ1306&lt;&gt;"ACCEPTÉ")),1,0)</f>
        <v>0</v>
      </c>
      <c r="AV1306" s="82" t="str">
        <f aca="false">IF(AU1306=1,SUM(AU$7:AU1306),"")</f>
        <v/>
      </c>
      <c r="AW1306" s="82" t="str">
        <f aca="false">IF(E1306="","",B1306&amp;"|"&amp;E1306)</f>
        <v>MFD-ISW → MFD-CPF|JN°1095</v>
      </c>
    </row>
    <row r="1307" customFormat="false" ht="74.6" hidden="false" customHeight="false" outlineLevel="0" collapsed="false">
      <c r="A1307" s="79" t="n">
        <f aca="false">IF(E1307="","",ROW()-6)</f>
        <v>1301</v>
      </c>
      <c r="B1307" s="80" t="s">
        <v>110</v>
      </c>
      <c r="C1307" s="81" t="s">
        <v>1530</v>
      </c>
      <c r="D1307" s="81" t="n">
        <v>10</v>
      </c>
      <c r="E1307" s="81" t="s">
        <v>1575</v>
      </c>
      <c r="F1307" s="82" t="str">
        <f aca="false">IF(E1307="","",IF(LEFT(E1307,2)="DJ","DJ","JN"))</f>
        <v>DJ</v>
      </c>
      <c r="G1307" s="81"/>
      <c r="H1307" s="81" t="s">
        <v>871</v>
      </c>
      <c r="I1307" s="81" t="n">
        <v>9.53</v>
      </c>
      <c r="J1307" s="81" t="s">
        <v>872</v>
      </c>
      <c r="K1307" s="81" t="s">
        <v>873</v>
      </c>
      <c r="L1307" s="81" t="n">
        <v>2096610</v>
      </c>
      <c r="M1307" s="81" t="n">
        <v>15421111</v>
      </c>
      <c r="N1307" s="81" t="n">
        <v>11.94</v>
      </c>
      <c r="O1307" s="81" t="n">
        <v>2091040</v>
      </c>
      <c r="P1307" s="81" t="n">
        <v>15421109</v>
      </c>
      <c r="Q1307" s="81" t="n">
        <v>11.94</v>
      </c>
      <c r="R1307" s="81" t="s">
        <v>1147</v>
      </c>
      <c r="S1307" s="81"/>
      <c r="T1307" s="81"/>
      <c r="U1307" s="83" t="n">
        <v>46256</v>
      </c>
      <c r="V1307" s="83" t="n">
        <v>46256</v>
      </c>
      <c r="W1307" s="81" t="s">
        <v>1565</v>
      </c>
      <c r="X1307" s="81" t="s">
        <v>876</v>
      </c>
      <c r="Y1307" s="83" t="n">
        <v>46257</v>
      </c>
      <c r="Z1307" s="81" t="s">
        <v>1561</v>
      </c>
      <c r="AA1307" s="81" t="s">
        <v>876</v>
      </c>
      <c r="AB1307" s="81"/>
      <c r="AC1307" s="81"/>
      <c r="AD1307" s="81"/>
      <c r="AE1307" s="83"/>
      <c r="AF1307" s="81"/>
      <c r="AG1307" s="81"/>
      <c r="AH1307" s="81"/>
      <c r="AI1307" s="81"/>
      <c r="AJ1307" s="83"/>
      <c r="AK1307" s="81"/>
      <c r="AL1307" s="81"/>
      <c r="AM1307" s="83"/>
      <c r="AN1307" s="80"/>
      <c r="AO1307" s="82" t="n">
        <f aca="false">IF(E1307="","",(AA1307&lt;&gt;"")+(AG1307&lt;&gt;"")+(AL1307&lt;&gt;""))</f>
        <v>1</v>
      </c>
      <c r="AP1307" s="82" t="str">
        <f aca="false">IF(AL1307&lt;&gt;"",AL1307,IF(AG1307&lt;&gt;"",AG1307,IF(AA1307&lt;&gt;"",AA1307,"")))</f>
        <v>A</v>
      </c>
      <c r="AQ1307" s="84" t="str">
        <f aca="false">IF(E1307="","",IF(U1307="","À SOUDER",IF(X1307="","VT EN ATTENTE",IF(X1307="R","VT REJETÉ – À REPRENDRE",IF(AP1307="","À RADIOGRAPHIER",IF(AP1307="A","ACCEPTÉ",IF(AP1307="NX","NX – RT À REFAIRE",IF(IF(AO1307=1,AD1307,IF(AO1307=2,AI1307,""))="A","RÉPARÉ – À RADIOGRAPHIER",IF(IF(AO1307=1,AD1307,IF(AO1307=2,AI1307,""))="R","VT REJETÉ – À REPRENDRE",IF(OR(AP1307="CO",AP1307="NT"),"COUPE – À RESOUDER","À RÉPARER"))))))))))</f>
        <v>ACCEPTÉ</v>
      </c>
      <c r="AR1307" s="82" t="str">
        <f aca="false">IF(AND(ISNUMBER(U1307),OR(AQ1307="À RADIOGRAPHIER",AQ1307="RÉPARÉ – À RADIOGRAPHIER",AQ1307="NX – RT À REFAIRE",AQ1307="À RÉPARER",AQ1307="COUPE – À RESOUDER",AQ1307="VT REJETÉ – À REPRENDRE")),MAX(0,'PROGRAMME RT'!$C$4-U1307),"")</f>
        <v/>
      </c>
      <c r="AS1307" s="82" t="n">
        <f aca="false">IF(AND(OR(AQ1307="À RADIOGRAPHIER",AQ1307="RÉPARÉ – À RADIOGRAPHIER",AQ1307="NX – RT À REFAIRE"),OR('PROGRAMME RT'!$D$5="TOUTES",B1307='PROGRAMME RT'!$D$5)),1,0)</f>
        <v>0</v>
      </c>
      <c r="AT1307" s="82" t="str">
        <f aca="false">IF(AS1307=1,SUM(AS$7:AS1307),"")</f>
        <v/>
      </c>
      <c r="AU1307" s="82" t="n">
        <f aca="false">IF(AND(OR(AA1307="R",AA1307="NX",AA1307="NT",AA1307="CO"),OR('JOINTS DE RÉPARATION'!$D$5="TOUTES",B1307='JOINTS DE RÉPARATION'!$D$5),OR('JOINTS DE RÉPARATION'!$L$4="TOUS",AQ1307&lt;&gt;"ACCEPTÉ")),1,0)</f>
        <v>0</v>
      </c>
      <c r="AV1307" s="82" t="str">
        <f aca="false">IF(AU1307=1,SUM(AU$7:AU1307),"")</f>
        <v/>
      </c>
      <c r="AW1307" s="82" t="str">
        <f aca="false">IF(E1307="","",B1307&amp;"|"&amp;E1307)</f>
        <v>MFD-ISW → MFD-CPF|DJ°085</v>
      </c>
    </row>
    <row r="1308" customFormat="false" ht="74.6" hidden="false" customHeight="false" outlineLevel="0" collapsed="false">
      <c r="A1308" s="79" t="n">
        <f aca="false">IF(E1308="","",ROW()-6)</f>
        <v>1302</v>
      </c>
      <c r="B1308" s="80" t="s">
        <v>110</v>
      </c>
      <c r="C1308" s="81" t="s">
        <v>1530</v>
      </c>
      <c r="D1308" s="81" t="n">
        <v>10</v>
      </c>
      <c r="E1308" s="81" t="s">
        <v>1576</v>
      </c>
      <c r="F1308" s="82" t="str">
        <f aca="false">IF(E1308="","",IF(LEFT(E1308,2)="DJ","DJ","JN"))</f>
        <v>JN</v>
      </c>
      <c r="G1308" s="81" t="s">
        <v>1504</v>
      </c>
      <c r="H1308" s="81" t="s">
        <v>871</v>
      </c>
      <c r="I1308" s="81" t="n">
        <v>9.53</v>
      </c>
      <c r="J1308" s="81" t="s">
        <v>872</v>
      </c>
      <c r="K1308" s="81" t="s">
        <v>879</v>
      </c>
      <c r="L1308" s="81" t="n">
        <v>2091040</v>
      </c>
      <c r="M1308" s="81" t="n">
        <v>15421109</v>
      </c>
      <c r="N1308" s="81" t="n">
        <v>11.94</v>
      </c>
      <c r="O1308" s="81" t="n">
        <v>2070950</v>
      </c>
      <c r="P1308" s="81" t="n">
        <v>15421109</v>
      </c>
      <c r="Q1308" s="81" t="n">
        <v>11.94</v>
      </c>
      <c r="R1308" s="81" t="s">
        <v>1367</v>
      </c>
      <c r="S1308" s="81"/>
      <c r="T1308" s="81"/>
      <c r="U1308" s="83" t="n">
        <v>46277</v>
      </c>
      <c r="V1308" s="83" t="n">
        <v>46277</v>
      </c>
      <c r="W1308" s="81" t="s">
        <v>1567</v>
      </c>
      <c r="X1308" s="81" t="s">
        <v>876</v>
      </c>
      <c r="Y1308" s="83" t="n">
        <v>46282</v>
      </c>
      <c r="Z1308" s="81" t="s">
        <v>1538</v>
      </c>
      <c r="AA1308" s="81" t="s">
        <v>876</v>
      </c>
      <c r="AB1308" s="81"/>
      <c r="AC1308" s="81"/>
      <c r="AD1308" s="81"/>
      <c r="AE1308" s="83"/>
      <c r="AF1308" s="81"/>
      <c r="AG1308" s="81"/>
      <c r="AH1308" s="81"/>
      <c r="AI1308" s="81"/>
      <c r="AJ1308" s="83"/>
      <c r="AK1308" s="81"/>
      <c r="AL1308" s="81"/>
      <c r="AM1308" s="83"/>
      <c r="AN1308" s="80"/>
      <c r="AO1308" s="82" t="n">
        <f aca="false">IF(E1308="","",(AA1308&lt;&gt;"")+(AG1308&lt;&gt;"")+(AL1308&lt;&gt;""))</f>
        <v>1</v>
      </c>
      <c r="AP1308" s="82" t="str">
        <f aca="false">IF(AL1308&lt;&gt;"",AL1308,IF(AG1308&lt;&gt;"",AG1308,IF(AA1308&lt;&gt;"",AA1308,"")))</f>
        <v>A</v>
      </c>
      <c r="AQ1308" s="84" t="str">
        <f aca="false">IF(E1308="","",IF(U1308="","À SOUDER",IF(X1308="","VT EN ATTENTE",IF(X1308="R","VT REJETÉ – À REPRENDRE",IF(AP1308="","À RADIOGRAPHIER",IF(AP1308="A","ACCEPTÉ",IF(AP1308="NX","NX – RT À REFAIRE",IF(IF(AO1308=1,AD1308,IF(AO1308=2,AI1308,""))="A","RÉPARÉ – À RADIOGRAPHIER",IF(IF(AO1308=1,AD1308,IF(AO1308=2,AI1308,""))="R","VT REJETÉ – À REPRENDRE",IF(OR(AP1308="CO",AP1308="NT"),"COUPE – À RESOUDER","À RÉPARER"))))))))))</f>
        <v>ACCEPTÉ</v>
      </c>
      <c r="AR1308" s="82" t="str">
        <f aca="false">IF(AND(ISNUMBER(U1308),OR(AQ1308="À RADIOGRAPHIER",AQ1308="RÉPARÉ – À RADIOGRAPHIER",AQ1308="NX – RT À REFAIRE",AQ1308="À RÉPARER",AQ1308="COUPE – À RESOUDER",AQ1308="VT REJETÉ – À REPRENDRE")),MAX(0,'PROGRAMME RT'!$C$4-U1308),"")</f>
        <v/>
      </c>
      <c r="AS1308" s="82" t="n">
        <f aca="false">IF(AND(OR(AQ1308="À RADIOGRAPHIER",AQ1308="RÉPARÉ – À RADIOGRAPHIER",AQ1308="NX – RT À REFAIRE"),OR('PROGRAMME RT'!$D$5="TOUTES",B1308='PROGRAMME RT'!$D$5)),1,0)</f>
        <v>0</v>
      </c>
      <c r="AT1308" s="82" t="str">
        <f aca="false">IF(AS1308=1,SUM(AS$7:AS1308),"")</f>
        <v/>
      </c>
      <c r="AU1308" s="82" t="n">
        <f aca="false">IF(AND(OR(AA1308="R",AA1308="NX",AA1308="NT",AA1308="CO"),OR('JOINTS DE RÉPARATION'!$D$5="TOUTES",B1308='JOINTS DE RÉPARATION'!$D$5),OR('JOINTS DE RÉPARATION'!$L$4="TOUS",AQ1308&lt;&gt;"ACCEPTÉ")),1,0)</f>
        <v>0</v>
      </c>
      <c r="AV1308" s="82" t="str">
        <f aca="false">IF(AU1308=1,SUM(AU$7:AU1308),"")</f>
        <v/>
      </c>
      <c r="AW1308" s="82" t="str">
        <f aca="false">IF(E1308="","",B1308&amp;"|"&amp;E1308)</f>
        <v>MFD-ISW → MFD-CPF|JN°1096</v>
      </c>
    </row>
    <row r="1309" customFormat="false" ht="74.6" hidden="false" customHeight="false" outlineLevel="0" collapsed="false">
      <c r="A1309" s="79" t="n">
        <f aca="false">IF(E1309="","",ROW()-6)</f>
        <v>1303</v>
      </c>
      <c r="B1309" s="80" t="s">
        <v>110</v>
      </c>
      <c r="C1309" s="81" t="s">
        <v>1530</v>
      </c>
      <c r="D1309" s="81" t="n">
        <v>10</v>
      </c>
      <c r="E1309" s="81" t="s">
        <v>1577</v>
      </c>
      <c r="F1309" s="82" t="str">
        <f aca="false">IF(E1309="","",IF(LEFT(E1309,2)="DJ","DJ","JN"))</f>
        <v>DJ</v>
      </c>
      <c r="G1309" s="81"/>
      <c r="H1309" s="81" t="s">
        <v>871</v>
      </c>
      <c r="I1309" s="81" t="n">
        <v>9.53</v>
      </c>
      <c r="J1309" s="81" t="s">
        <v>872</v>
      </c>
      <c r="K1309" s="81" t="s">
        <v>873</v>
      </c>
      <c r="L1309" s="81" t="n">
        <v>2070950</v>
      </c>
      <c r="M1309" s="81" t="n">
        <v>15421109</v>
      </c>
      <c r="N1309" s="81" t="n">
        <v>11.94</v>
      </c>
      <c r="O1309" s="81" t="n">
        <v>2087220</v>
      </c>
      <c r="P1309" s="81" t="n">
        <v>15421107</v>
      </c>
      <c r="Q1309" s="81" t="n">
        <v>11.94</v>
      </c>
      <c r="R1309" s="81" t="s">
        <v>899</v>
      </c>
      <c r="S1309" s="81"/>
      <c r="T1309" s="81"/>
      <c r="U1309" s="83" t="n">
        <v>46254</v>
      </c>
      <c r="V1309" s="83" t="n">
        <v>46254</v>
      </c>
      <c r="W1309" s="81" t="s">
        <v>1578</v>
      </c>
      <c r="X1309" s="81" t="s">
        <v>876</v>
      </c>
      <c r="Y1309" s="83" t="n">
        <v>46257</v>
      </c>
      <c r="Z1309" s="81" t="s">
        <v>1561</v>
      </c>
      <c r="AA1309" s="81" t="s">
        <v>876</v>
      </c>
      <c r="AB1309" s="81"/>
      <c r="AC1309" s="81"/>
      <c r="AD1309" s="81"/>
      <c r="AE1309" s="83"/>
      <c r="AF1309" s="81"/>
      <c r="AG1309" s="81"/>
      <c r="AH1309" s="81"/>
      <c r="AI1309" s="81"/>
      <c r="AJ1309" s="83"/>
      <c r="AK1309" s="81"/>
      <c r="AL1309" s="81"/>
      <c r="AM1309" s="83"/>
      <c r="AN1309" s="80"/>
      <c r="AO1309" s="82" t="n">
        <f aca="false">IF(E1309="","",(AA1309&lt;&gt;"")+(AG1309&lt;&gt;"")+(AL1309&lt;&gt;""))</f>
        <v>1</v>
      </c>
      <c r="AP1309" s="82" t="str">
        <f aca="false">IF(AL1309&lt;&gt;"",AL1309,IF(AG1309&lt;&gt;"",AG1309,IF(AA1309&lt;&gt;"",AA1309,"")))</f>
        <v>A</v>
      </c>
      <c r="AQ1309" s="84" t="str">
        <f aca="false">IF(E1309="","",IF(U1309="","À SOUDER",IF(X1309="","VT EN ATTENTE",IF(X1309="R","VT REJETÉ – À REPRENDRE",IF(AP1309="","À RADIOGRAPHIER",IF(AP1309="A","ACCEPTÉ",IF(AP1309="NX","NX – RT À REFAIRE",IF(IF(AO1309=1,AD1309,IF(AO1309=2,AI1309,""))="A","RÉPARÉ – À RADIOGRAPHIER",IF(IF(AO1309=1,AD1309,IF(AO1309=2,AI1309,""))="R","VT REJETÉ – À REPRENDRE",IF(OR(AP1309="CO",AP1309="NT"),"COUPE – À RESOUDER","À RÉPARER"))))))))))</f>
        <v>ACCEPTÉ</v>
      </c>
      <c r="AR1309" s="82" t="str">
        <f aca="false">IF(AND(ISNUMBER(U1309),OR(AQ1309="À RADIOGRAPHIER",AQ1309="RÉPARÉ – À RADIOGRAPHIER",AQ1309="NX – RT À REFAIRE",AQ1309="À RÉPARER",AQ1309="COUPE – À RESOUDER",AQ1309="VT REJETÉ – À REPRENDRE")),MAX(0,'PROGRAMME RT'!$C$4-U1309),"")</f>
        <v/>
      </c>
      <c r="AS1309" s="82" t="n">
        <f aca="false">IF(AND(OR(AQ1309="À RADIOGRAPHIER",AQ1309="RÉPARÉ – À RADIOGRAPHIER",AQ1309="NX – RT À REFAIRE"),OR('PROGRAMME RT'!$D$5="TOUTES",B1309='PROGRAMME RT'!$D$5)),1,0)</f>
        <v>0</v>
      </c>
      <c r="AT1309" s="82" t="str">
        <f aca="false">IF(AS1309=1,SUM(AS$7:AS1309),"")</f>
        <v/>
      </c>
      <c r="AU1309" s="82" t="n">
        <f aca="false">IF(AND(OR(AA1309="R",AA1309="NX",AA1309="NT",AA1309="CO"),OR('JOINTS DE RÉPARATION'!$D$5="TOUTES",B1309='JOINTS DE RÉPARATION'!$D$5),OR('JOINTS DE RÉPARATION'!$L$4="TOUS",AQ1309&lt;&gt;"ACCEPTÉ")),1,0)</f>
        <v>0</v>
      </c>
      <c r="AV1309" s="82" t="str">
        <f aca="false">IF(AU1309=1,SUM(AU$7:AU1309),"")</f>
        <v/>
      </c>
      <c r="AW1309" s="82" t="str">
        <f aca="false">IF(E1309="","",B1309&amp;"|"&amp;E1309)</f>
        <v>MFD-ISW → MFD-CPF|DJ°073</v>
      </c>
    </row>
    <row r="1310" customFormat="false" ht="74.6" hidden="false" customHeight="false" outlineLevel="0" collapsed="false">
      <c r="A1310" s="79" t="n">
        <f aca="false">IF(E1310="","",ROW()-6)</f>
        <v>1304</v>
      </c>
      <c r="B1310" s="80" t="s">
        <v>110</v>
      </c>
      <c r="C1310" s="81" t="s">
        <v>926</v>
      </c>
      <c r="D1310" s="81" t="n">
        <v>10</v>
      </c>
      <c r="E1310" s="81" t="s">
        <v>1579</v>
      </c>
      <c r="F1310" s="82" t="str">
        <f aca="false">IF(E1310="","",IF(LEFT(E1310,2)="DJ","DJ","JN"))</f>
        <v>JN</v>
      </c>
      <c r="G1310" s="81"/>
      <c r="H1310" s="81"/>
      <c r="I1310" s="81"/>
      <c r="J1310" s="81"/>
      <c r="K1310" s="81"/>
      <c r="L1310" s="81" t="s">
        <v>1270</v>
      </c>
      <c r="M1310" s="81"/>
      <c r="N1310" s="81"/>
      <c r="O1310" s="81"/>
      <c r="P1310" s="81"/>
      <c r="Q1310" s="81"/>
      <c r="R1310" s="81"/>
      <c r="S1310" s="81"/>
      <c r="T1310" s="81"/>
      <c r="U1310" s="83"/>
      <c r="V1310" s="83"/>
      <c r="W1310" s="81"/>
      <c r="X1310" s="81"/>
      <c r="Y1310" s="83"/>
      <c r="Z1310" s="81"/>
      <c r="AA1310" s="81"/>
      <c r="AB1310" s="81"/>
      <c r="AC1310" s="81"/>
      <c r="AD1310" s="81"/>
      <c r="AE1310" s="83"/>
      <c r="AF1310" s="81"/>
      <c r="AG1310" s="81"/>
      <c r="AH1310" s="81"/>
      <c r="AI1310" s="81"/>
      <c r="AJ1310" s="83"/>
      <c r="AK1310" s="81"/>
      <c r="AL1310" s="81"/>
      <c r="AM1310" s="83"/>
      <c r="AN1310" s="80"/>
      <c r="AO1310" s="82" t="n">
        <f aca="false">IF(E1310="","",(AA1310&lt;&gt;"")+(AG1310&lt;&gt;"")+(AL1310&lt;&gt;""))</f>
        <v>0</v>
      </c>
      <c r="AP1310" s="82" t="str">
        <f aca="false">IF(AL1310&lt;&gt;"",AL1310,IF(AG1310&lt;&gt;"",AG1310,IF(AA1310&lt;&gt;"",AA1310,"")))</f>
        <v/>
      </c>
      <c r="AQ1310" s="84" t="str">
        <f aca="false">IF(E1310="","",IF(U1310="","À SOUDER",IF(X1310="","VT EN ATTENTE",IF(X1310="R","VT REJETÉ – À REPRENDRE",IF(AP1310="","À RADIOGRAPHIER",IF(AP1310="A","ACCEPTÉ",IF(AP1310="NX","NX – RT À REFAIRE",IF(IF(AO1310=1,AD1310,IF(AO1310=2,AI1310,""))="A","RÉPARÉ – À RADIOGRAPHIER",IF(IF(AO1310=1,AD1310,IF(AO1310=2,AI1310,""))="R","VT REJETÉ – À REPRENDRE",IF(OR(AP1310="CO",AP1310="NT"),"COUPE – À RESOUDER","À RÉPARER"))))))))))</f>
        <v>À SOUDER</v>
      </c>
      <c r="AR1310" s="82" t="str">
        <f aca="false">IF(AND(ISNUMBER(U1310),OR(AQ1310="À RADIOGRAPHIER",AQ1310="RÉPARÉ – À RADIOGRAPHIER",AQ1310="NX – RT À REFAIRE",AQ1310="À RÉPARER",AQ1310="COUPE – À RESOUDER",AQ1310="VT REJETÉ – À REPRENDRE")),MAX(0,'PROGRAMME RT'!$C$4-U1310),"")</f>
        <v/>
      </c>
      <c r="AS1310" s="82" t="n">
        <f aca="false">IF(AND(OR(AQ1310="À RADIOGRAPHIER",AQ1310="RÉPARÉ – À RADIOGRAPHIER",AQ1310="NX – RT À REFAIRE"),OR('PROGRAMME RT'!$D$5="TOUTES",B1310='PROGRAMME RT'!$D$5)),1,0)</f>
        <v>0</v>
      </c>
      <c r="AT1310" s="82" t="str">
        <f aca="false">IF(AS1310=1,SUM(AS$7:AS1310),"")</f>
        <v/>
      </c>
      <c r="AU1310" s="82" t="n">
        <f aca="false">IF(AND(OR(AA1310="R",AA1310="NX",AA1310="NT",AA1310="CO"),OR('JOINTS DE RÉPARATION'!$D$5="TOUTES",B1310='JOINTS DE RÉPARATION'!$D$5),OR('JOINTS DE RÉPARATION'!$L$4="TOUS",AQ1310&lt;&gt;"ACCEPTÉ")),1,0)</f>
        <v>0</v>
      </c>
      <c r="AV1310" s="82" t="str">
        <f aca="false">IF(AU1310=1,SUM(AU$7:AU1310),"")</f>
        <v/>
      </c>
      <c r="AW1310" s="82" t="str">
        <f aca="false">IF(E1310="","",B1310&amp;"|"&amp;E1310)</f>
        <v>MFD-ISW → MFD-CPF|JN°1097</v>
      </c>
    </row>
    <row r="1311" customFormat="false" ht="74.6" hidden="false" customHeight="false" outlineLevel="0" collapsed="false">
      <c r="A1311" s="79" t="n">
        <f aca="false">IF(E1311="","",ROW()-6)</f>
        <v>1305</v>
      </c>
      <c r="B1311" s="80" t="s">
        <v>110</v>
      </c>
      <c r="C1311" s="81" t="s">
        <v>926</v>
      </c>
      <c r="D1311" s="81" t="n">
        <v>10</v>
      </c>
      <c r="E1311" s="81" t="s">
        <v>1580</v>
      </c>
      <c r="F1311" s="82" t="str">
        <f aca="false">IF(E1311="","",IF(LEFT(E1311,2)="DJ","DJ","JN"))</f>
        <v>JN</v>
      </c>
      <c r="G1311" s="81"/>
      <c r="H1311" s="81"/>
      <c r="I1311" s="81"/>
      <c r="J1311" s="81"/>
      <c r="K1311" s="81"/>
      <c r="L1311" s="81" t="s">
        <v>1270</v>
      </c>
      <c r="M1311" s="81"/>
      <c r="N1311" s="81"/>
      <c r="O1311" s="81"/>
      <c r="P1311" s="81"/>
      <c r="Q1311" s="81"/>
      <c r="R1311" s="81"/>
      <c r="S1311" s="81"/>
      <c r="T1311" s="81"/>
      <c r="U1311" s="83"/>
      <c r="V1311" s="83"/>
      <c r="W1311" s="81"/>
      <c r="X1311" s="81"/>
      <c r="Y1311" s="83"/>
      <c r="Z1311" s="81"/>
      <c r="AA1311" s="81"/>
      <c r="AB1311" s="81"/>
      <c r="AC1311" s="81"/>
      <c r="AD1311" s="81"/>
      <c r="AE1311" s="83"/>
      <c r="AF1311" s="81"/>
      <c r="AG1311" s="81"/>
      <c r="AH1311" s="81"/>
      <c r="AI1311" s="81"/>
      <c r="AJ1311" s="83"/>
      <c r="AK1311" s="81"/>
      <c r="AL1311" s="81"/>
      <c r="AM1311" s="83"/>
      <c r="AN1311" s="80"/>
      <c r="AO1311" s="82" t="n">
        <f aca="false">IF(E1311="","",(AA1311&lt;&gt;"")+(AG1311&lt;&gt;"")+(AL1311&lt;&gt;""))</f>
        <v>0</v>
      </c>
      <c r="AP1311" s="82" t="str">
        <f aca="false">IF(AL1311&lt;&gt;"",AL1311,IF(AG1311&lt;&gt;"",AG1311,IF(AA1311&lt;&gt;"",AA1311,"")))</f>
        <v/>
      </c>
      <c r="AQ1311" s="84" t="str">
        <f aca="false">IF(E1311="","",IF(U1311="","À SOUDER",IF(X1311="","VT EN ATTENTE",IF(X1311="R","VT REJETÉ – À REPRENDRE",IF(AP1311="","À RADIOGRAPHIER",IF(AP1311="A","ACCEPTÉ",IF(AP1311="NX","NX – RT À REFAIRE",IF(IF(AO1311=1,AD1311,IF(AO1311=2,AI1311,""))="A","RÉPARÉ – À RADIOGRAPHIER",IF(IF(AO1311=1,AD1311,IF(AO1311=2,AI1311,""))="R","VT REJETÉ – À REPRENDRE",IF(OR(AP1311="CO",AP1311="NT"),"COUPE – À RESOUDER","À RÉPARER"))))))))))</f>
        <v>À SOUDER</v>
      </c>
      <c r="AR1311" s="82" t="str">
        <f aca="false">IF(AND(ISNUMBER(U1311),OR(AQ1311="À RADIOGRAPHIER",AQ1311="RÉPARÉ – À RADIOGRAPHIER",AQ1311="NX – RT À REFAIRE",AQ1311="À RÉPARER",AQ1311="COUPE – À RESOUDER",AQ1311="VT REJETÉ – À REPRENDRE")),MAX(0,'PROGRAMME RT'!$C$4-U1311),"")</f>
        <v/>
      </c>
      <c r="AS1311" s="82" t="n">
        <f aca="false">IF(AND(OR(AQ1311="À RADIOGRAPHIER",AQ1311="RÉPARÉ – À RADIOGRAPHIER",AQ1311="NX – RT À REFAIRE"),OR('PROGRAMME RT'!$D$5="TOUTES",B1311='PROGRAMME RT'!$D$5)),1,0)</f>
        <v>0</v>
      </c>
      <c r="AT1311" s="82" t="str">
        <f aca="false">IF(AS1311=1,SUM(AS$7:AS1311),"")</f>
        <v/>
      </c>
      <c r="AU1311" s="82" t="n">
        <f aca="false">IF(AND(OR(AA1311="R",AA1311="NX",AA1311="NT",AA1311="CO"),OR('JOINTS DE RÉPARATION'!$D$5="TOUTES",B1311='JOINTS DE RÉPARATION'!$D$5),OR('JOINTS DE RÉPARATION'!$L$4="TOUS",AQ1311&lt;&gt;"ACCEPTÉ")),1,0)</f>
        <v>0</v>
      </c>
      <c r="AV1311" s="82" t="str">
        <f aca="false">IF(AU1311=1,SUM(AU$7:AU1311),"")</f>
        <v/>
      </c>
      <c r="AW1311" s="82" t="str">
        <f aca="false">IF(E1311="","",B1311&amp;"|"&amp;E1311)</f>
        <v>MFD-ISW → MFD-CPF|JN°1098</v>
      </c>
    </row>
    <row r="1312" customFormat="false" ht="74.6" hidden="false" customHeight="false" outlineLevel="0" collapsed="false">
      <c r="A1312" s="79" t="n">
        <f aca="false">IF(E1312="","",ROW()-6)</f>
        <v>1306</v>
      </c>
      <c r="B1312" s="80" t="s">
        <v>110</v>
      </c>
      <c r="C1312" s="81" t="s">
        <v>926</v>
      </c>
      <c r="D1312" s="81" t="n">
        <v>10</v>
      </c>
      <c r="E1312" s="81" t="s">
        <v>1581</v>
      </c>
      <c r="F1312" s="82" t="str">
        <f aca="false">IF(E1312="","",IF(LEFT(E1312,2)="DJ","DJ","JN"))</f>
        <v>JN</v>
      </c>
      <c r="G1312" s="81"/>
      <c r="H1312" s="81"/>
      <c r="I1312" s="81"/>
      <c r="J1312" s="81"/>
      <c r="K1312" s="81"/>
      <c r="L1312" s="81" t="s">
        <v>1270</v>
      </c>
      <c r="M1312" s="81"/>
      <c r="N1312" s="81"/>
      <c r="O1312" s="81"/>
      <c r="P1312" s="81"/>
      <c r="Q1312" s="81"/>
      <c r="R1312" s="81"/>
      <c r="S1312" s="81"/>
      <c r="T1312" s="81"/>
      <c r="U1312" s="83"/>
      <c r="V1312" s="83"/>
      <c r="W1312" s="81"/>
      <c r="X1312" s="81"/>
      <c r="Y1312" s="83"/>
      <c r="Z1312" s="81"/>
      <c r="AA1312" s="81"/>
      <c r="AB1312" s="81"/>
      <c r="AC1312" s="81"/>
      <c r="AD1312" s="81"/>
      <c r="AE1312" s="83"/>
      <c r="AF1312" s="81"/>
      <c r="AG1312" s="81"/>
      <c r="AH1312" s="81"/>
      <c r="AI1312" s="81"/>
      <c r="AJ1312" s="83"/>
      <c r="AK1312" s="81"/>
      <c r="AL1312" s="81"/>
      <c r="AM1312" s="83"/>
      <c r="AN1312" s="80"/>
      <c r="AO1312" s="82" t="n">
        <f aca="false">IF(E1312="","",(AA1312&lt;&gt;"")+(AG1312&lt;&gt;"")+(AL1312&lt;&gt;""))</f>
        <v>0</v>
      </c>
      <c r="AP1312" s="82" t="str">
        <f aca="false">IF(AL1312&lt;&gt;"",AL1312,IF(AG1312&lt;&gt;"",AG1312,IF(AA1312&lt;&gt;"",AA1312,"")))</f>
        <v/>
      </c>
      <c r="AQ1312" s="84" t="str">
        <f aca="false">IF(E1312="","",IF(U1312="","À SOUDER",IF(X1312="","VT EN ATTENTE",IF(X1312="R","VT REJETÉ – À REPRENDRE",IF(AP1312="","À RADIOGRAPHIER",IF(AP1312="A","ACCEPTÉ",IF(AP1312="NX","NX – RT À REFAIRE",IF(IF(AO1312=1,AD1312,IF(AO1312=2,AI1312,""))="A","RÉPARÉ – À RADIOGRAPHIER",IF(IF(AO1312=1,AD1312,IF(AO1312=2,AI1312,""))="R","VT REJETÉ – À REPRENDRE",IF(OR(AP1312="CO",AP1312="NT"),"COUPE – À RESOUDER","À RÉPARER"))))))))))</f>
        <v>À SOUDER</v>
      </c>
      <c r="AR1312" s="82" t="str">
        <f aca="false">IF(AND(ISNUMBER(U1312),OR(AQ1312="À RADIOGRAPHIER",AQ1312="RÉPARÉ – À RADIOGRAPHIER",AQ1312="NX – RT À REFAIRE",AQ1312="À RÉPARER",AQ1312="COUPE – À RESOUDER",AQ1312="VT REJETÉ – À REPRENDRE")),MAX(0,'PROGRAMME RT'!$C$4-U1312),"")</f>
        <v/>
      </c>
      <c r="AS1312" s="82" t="n">
        <f aca="false">IF(AND(OR(AQ1312="À RADIOGRAPHIER",AQ1312="RÉPARÉ – À RADIOGRAPHIER",AQ1312="NX – RT À REFAIRE"),OR('PROGRAMME RT'!$D$5="TOUTES",B1312='PROGRAMME RT'!$D$5)),1,0)</f>
        <v>0</v>
      </c>
      <c r="AT1312" s="82" t="str">
        <f aca="false">IF(AS1312=1,SUM(AS$7:AS1312),"")</f>
        <v/>
      </c>
      <c r="AU1312" s="82" t="n">
        <f aca="false">IF(AND(OR(AA1312="R",AA1312="NX",AA1312="NT",AA1312="CO"),OR('JOINTS DE RÉPARATION'!$D$5="TOUTES",B1312='JOINTS DE RÉPARATION'!$D$5),OR('JOINTS DE RÉPARATION'!$L$4="TOUS",AQ1312&lt;&gt;"ACCEPTÉ")),1,0)</f>
        <v>0</v>
      </c>
      <c r="AV1312" s="82" t="str">
        <f aca="false">IF(AU1312=1,SUM(AU$7:AU1312),"")</f>
        <v/>
      </c>
      <c r="AW1312" s="82" t="str">
        <f aca="false">IF(E1312="","",B1312&amp;"|"&amp;E1312)</f>
        <v>MFD-ISW → MFD-CPF|JN°1099</v>
      </c>
    </row>
    <row r="1313" customFormat="false" ht="74.6" hidden="false" customHeight="false" outlineLevel="0" collapsed="false">
      <c r="A1313" s="79" t="n">
        <f aca="false">IF(E1313="","",ROW()-6)</f>
        <v>1307</v>
      </c>
      <c r="B1313" s="80" t="s">
        <v>110</v>
      </c>
      <c r="C1313" s="81" t="s">
        <v>926</v>
      </c>
      <c r="D1313" s="81" t="n">
        <v>10</v>
      </c>
      <c r="E1313" s="81" t="s">
        <v>1582</v>
      </c>
      <c r="F1313" s="82" t="str">
        <f aca="false">IF(E1313="","",IF(LEFT(E1313,2)="DJ","DJ","JN"))</f>
        <v>JN</v>
      </c>
      <c r="G1313" s="81"/>
      <c r="H1313" s="81"/>
      <c r="I1313" s="81"/>
      <c r="J1313" s="81"/>
      <c r="K1313" s="81"/>
      <c r="L1313" s="81" t="s">
        <v>1270</v>
      </c>
      <c r="M1313" s="81"/>
      <c r="N1313" s="81"/>
      <c r="O1313" s="81"/>
      <c r="P1313" s="81"/>
      <c r="Q1313" s="81"/>
      <c r="R1313" s="81"/>
      <c r="S1313" s="81"/>
      <c r="T1313" s="81"/>
      <c r="U1313" s="83"/>
      <c r="V1313" s="83"/>
      <c r="W1313" s="81"/>
      <c r="X1313" s="81"/>
      <c r="Y1313" s="83"/>
      <c r="Z1313" s="81"/>
      <c r="AA1313" s="81"/>
      <c r="AB1313" s="81"/>
      <c r="AC1313" s="81"/>
      <c r="AD1313" s="81"/>
      <c r="AE1313" s="83"/>
      <c r="AF1313" s="81"/>
      <c r="AG1313" s="81"/>
      <c r="AH1313" s="81"/>
      <c r="AI1313" s="81"/>
      <c r="AJ1313" s="83"/>
      <c r="AK1313" s="81"/>
      <c r="AL1313" s="81"/>
      <c r="AM1313" s="83"/>
      <c r="AN1313" s="80"/>
      <c r="AO1313" s="82" t="n">
        <f aca="false">IF(E1313="","",(AA1313&lt;&gt;"")+(AG1313&lt;&gt;"")+(AL1313&lt;&gt;""))</f>
        <v>0</v>
      </c>
      <c r="AP1313" s="82" t="str">
        <f aca="false">IF(AL1313&lt;&gt;"",AL1313,IF(AG1313&lt;&gt;"",AG1313,IF(AA1313&lt;&gt;"",AA1313,"")))</f>
        <v/>
      </c>
      <c r="AQ1313" s="84" t="str">
        <f aca="false">IF(E1313="","",IF(U1313="","À SOUDER",IF(X1313="","VT EN ATTENTE",IF(X1313="R","VT REJETÉ – À REPRENDRE",IF(AP1313="","À RADIOGRAPHIER",IF(AP1313="A","ACCEPTÉ",IF(AP1313="NX","NX – RT À REFAIRE",IF(IF(AO1313=1,AD1313,IF(AO1313=2,AI1313,""))="A","RÉPARÉ – À RADIOGRAPHIER",IF(IF(AO1313=1,AD1313,IF(AO1313=2,AI1313,""))="R","VT REJETÉ – À REPRENDRE",IF(OR(AP1313="CO",AP1313="NT"),"COUPE – À RESOUDER","À RÉPARER"))))))))))</f>
        <v>À SOUDER</v>
      </c>
      <c r="AR1313" s="82" t="str">
        <f aca="false">IF(AND(ISNUMBER(U1313),OR(AQ1313="À RADIOGRAPHIER",AQ1313="RÉPARÉ – À RADIOGRAPHIER",AQ1313="NX – RT À REFAIRE",AQ1313="À RÉPARER",AQ1313="COUPE – À RESOUDER",AQ1313="VT REJETÉ – À REPRENDRE")),MAX(0,'PROGRAMME RT'!$C$4-U1313),"")</f>
        <v/>
      </c>
      <c r="AS1313" s="82" t="n">
        <f aca="false">IF(AND(OR(AQ1313="À RADIOGRAPHIER",AQ1313="RÉPARÉ – À RADIOGRAPHIER",AQ1313="NX – RT À REFAIRE"),OR('PROGRAMME RT'!$D$5="TOUTES",B1313='PROGRAMME RT'!$D$5)),1,0)</f>
        <v>0</v>
      </c>
      <c r="AT1313" s="82" t="str">
        <f aca="false">IF(AS1313=1,SUM(AS$7:AS1313),"")</f>
        <v/>
      </c>
      <c r="AU1313" s="82" t="n">
        <f aca="false">IF(AND(OR(AA1313="R",AA1313="NX",AA1313="NT",AA1313="CO"),OR('JOINTS DE RÉPARATION'!$D$5="TOUTES",B1313='JOINTS DE RÉPARATION'!$D$5),OR('JOINTS DE RÉPARATION'!$L$4="TOUS",AQ1313&lt;&gt;"ACCEPTÉ")),1,0)</f>
        <v>0</v>
      </c>
      <c r="AV1313" s="82" t="str">
        <f aca="false">IF(AU1313=1,SUM(AU$7:AU1313),"")</f>
        <v/>
      </c>
      <c r="AW1313" s="82" t="str">
        <f aca="false">IF(E1313="","",B1313&amp;"|"&amp;E1313)</f>
        <v>MFD-ISW → MFD-CPF|JN°1100</v>
      </c>
    </row>
    <row r="1314" customFormat="false" ht="74.6" hidden="false" customHeight="false" outlineLevel="0" collapsed="false">
      <c r="A1314" s="79" t="n">
        <f aca="false">IF(E1314="","",ROW()-6)</f>
        <v>1308</v>
      </c>
      <c r="B1314" s="80" t="s">
        <v>110</v>
      </c>
      <c r="C1314" s="81" t="s">
        <v>926</v>
      </c>
      <c r="D1314" s="81" t="n">
        <v>10</v>
      </c>
      <c r="E1314" s="81" t="s">
        <v>1583</v>
      </c>
      <c r="F1314" s="82" t="str">
        <f aca="false">IF(E1314="","",IF(LEFT(E1314,2)="DJ","DJ","JN"))</f>
        <v>JN</v>
      </c>
      <c r="G1314" s="81"/>
      <c r="H1314" s="81"/>
      <c r="I1314" s="81"/>
      <c r="J1314" s="81"/>
      <c r="K1314" s="81"/>
      <c r="L1314" s="81" t="s">
        <v>1270</v>
      </c>
      <c r="M1314" s="81"/>
      <c r="N1314" s="81"/>
      <c r="O1314" s="81"/>
      <c r="P1314" s="81"/>
      <c r="Q1314" s="81"/>
      <c r="R1314" s="81"/>
      <c r="S1314" s="81"/>
      <c r="T1314" s="81"/>
      <c r="U1314" s="83"/>
      <c r="V1314" s="83"/>
      <c r="W1314" s="81"/>
      <c r="X1314" s="81"/>
      <c r="Y1314" s="83"/>
      <c r="Z1314" s="81"/>
      <c r="AA1314" s="81"/>
      <c r="AB1314" s="81"/>
      <c r="AC1314" s="81"/>
      <c r="AD1314" s="81"/>
      <c r="AE1314" s="83"/>
      <c r="AF1314" s="81"/>
      <c r="AG1314" s="81"/>
      <c r="AH1314" s="81"/>
      <c r="AI1314" s="81"/>
      <c r="AJ1314" s="83"/>
      <c r="AK1314" s="81"/>
      <c r="AL1314" s="81"/>
      <c r="AM1314" s="83"/>
      <c r="AN1314" s="80"/>
      <c r="AO1314" s="82" t="n">
        <f aca="false">IF(E1314="","",(AA1314&lt;&gt;"")+(AG1314&lt;&gt;"")+(AL1314&lt;&gt;""))</f>
        <v>0</v>
      </c>
      <c r="AP1314" s="82" t="str">
        <f aca="false">IF(AL1314&lt;&gt;"",AL1314,IF(AG1314&lt;&gt;"",AG1314,IF(AA1314&lt;&gt;"",AA1314,"")))</f>
        <v/>
      </c>
      <c r="AQ1314" s="84" t="str">
        <f aca="false">IF(E1314="","",IF(U1314="","À SOUDER",IF(X1314="","VT EN ATTENTE",IF(X1314="R","VT REJETÉ – À REPRENDRE",IF(AP1314="","À RADIOGRAPHIER",IF(AP1314="A","ACCEPTÉ",IF(AP1314="NX","NX – RT À REFAIRE",IF(IF(AO1314=1,AD1314,IF(AO1314=2,AI1314,""))="A","RÉPARÉ – À RADIOGRAPHIER",IF(IF(AO1314=1,AD1314,IF(AO1314=2,AI1314,""))="R","VT REJETÉ – À REPRENDRE",IF(OR(AP1314="CO",AP1314="NT"),"COUPE – À RESOUDER","À RÉPARER"))))))))))</f>
        <v>À SOUDER</v>
      </c>
      <c r="AR1314" s="82" t="str">
        <f aca="false">IF(AND(ISNUMBER(U1314),OR(AQ1314="À RADIOGRAPHIER",AQ1314="RÉPARÉ – À RADIOGRAPHIER",AQ1314="NX – RT À REFAIRE",AQ1314="À RÉPARER",AQ1314="COUPE – À RESOUDER",AQ1314="VT REJETÉ – À REPRENDRE")),MAX(0,'PROGRAMME RT'!$C$4-U1314),"")</f>
        <v/>
      </c>
      <c r="AS1314" s="82" t="n">
        <f aca="false">IF(AND(OR(AQ1314="À RADIOGRAPHIER",AQ1314="RÉPARÉ – À RADIOGRAPHIER",AQ1314="NX – RT À REFAIRE"),OR('PROGRAMME RT'!$D$5="TOUTES",B1314='PROGRAMME RT'!$D$5)),1,0)</f>
        <v>0</v>
      </c>
      <c r="AT1314" s="82" t="str">
        <f aca="false">IF(AS1314=1,SUM(AS$7:AS1314),"")</f>
        <v/>
      </c>
      <c r="AU1314" s="82" t="n">
        <f aca="false">IF(AND(OR(AA1314="R",AA1314="NX",AA1314="NT",AA1314="CO"),OR('JOINTS DE RÉPARATION'!$D$5="TOUTES",B1314='JOINTS DE RÉPARATION'!$D$5),OR('JOINTS DE RÉPARATION'!$L$4="TOUS",AQ1314&lt;&gt;"ACCEPTÉ")),1,0)</f>
        <v>0</v>
      </c>
      <c r="AV1314" s="82" t="str">
        <f aca="false">IF(AU1314=1,SUM(AU$7:AU1314),"")</f>
        <v/>
      </c>
      <c r="AW1314" s="82" t="str">
        <f aca="false">IF(E1314="","",B1314&amp;"|"&amp;E1314)</f>
        <v>MFD-ISW → MFD-CPF|JN°1101</v>
      </c>
    </row>
    <row r="1315" customFormat="false" ht="74.6" hidden="false" customHeight="false" outlineLevel="0" collapsed="false">
      <c r="A1315" s="79" t="n">
        <f aca="false">IF(E1315="","",ROW()-6)</f>
        <v>1309</v>
      </c>
      <c r="B1315" s="80" t="s">
        <v>110</v>
      </c>
      <c r="C1315" s="81" t="s">
        <v>926</v>
      </c>
      <c r="D1315" s="81" t="n">
        <v>10</v>
      </c>
      <c r="E1315" s="81" t="s">
        <v>1584</v>
      </c>
      <c r="F1315" s="82" t="str">
        <f aca="false">IF(E1315="","",IF(LEFT(E1315,2)="DJ","DJ","JN"))</f>
        <v>JN</v>
      </c>
      <c r="G1315" s="81"/>
      <c r="H1315" s="81"/>
      <c r="I1315" s="81"/>
      <c r="J1315" s="81"/>
      <c r="K1315" s="81"/>
      <c r="L1315" s="81" t="s">
        <v>1270</v>
      </c>
      <c r="M1315" s="81"/>
      <c r="N1315" s="81"/>
      <c r="O1315" s="81"/>
      <c r="P1315" s="81"/>
      <c r="Q1315" s="81"/>
      <c r="R1315" s="81"/>
      <c r="S1315" s="81"/>
      <c r="T1315" s="81"/>
      <c r="U1315" s="83"/>
      <c r="V1315" s="83"/>
      <c r="W1315" s="81"/>
      <c r="X1315" s="81"/>
      <c r="Y1315" s="83"/>
      <c r="Z1315" s="81"/>
      <c r="AA1315" s="81"/>
      <c r="AB1315" s="81"/>
      <c r="AC1315" s="81"/>
      <c r="AD1315" s="81"/>
      <c r="AE1315" s="83"/>
      <c r="AF1315" s="81"/>
      <c r="AG1315" s="81"/>
      <c r="AH1315" s="81"/>
      <c r="AI1315" s="81"/>
      <c r="AJ1315" s="83"/>
      <c r="AK1315" s="81"/>
      <c r="AL1315" s="81"/>
      <c r="AM1315" s="83"/>
      <c r="AN1315" s="80"/>
      <c r="AO1315" s="82" t="n">
        <f aca="false">IF(E1315="","",(AA1315&lt;&gt;"")+(AG1315&lt;&gt;"")+(AL1315&lt;&gt;""))</f>
        <v>0</v>
      </c>
      <c r="AP1315" s="82" t="str">
        <f aca="false">IF(AL1315&lt;&gt;"",AL1315,IF(AG1315&lt;&gt;"",AG1315,IF(AA1315&lt;&gt;"",AA1315,"")))</f>
        <v/>
      </c>
      <c r="AQ1315" s="84" t="str">
        <f aca="false">IF(E1315="","",IF(U1315="","À SOUDER",IF(X1315="","VT EN ATTENTE",IF(X1315="R","VT REJETÉ – À REPRENDRE",IF(AP1315="","À RADIOGRAPHIER",IF(AP1315="A","ACCEPTÉ",IF(AP1315="NX","NX – RT À REFAIRE",IF(IF(AO1315=1,AD1315,IF(AO1315=2,AI1315,""))="A","RÉPARÉ – À RADIOGRAPHIER",IF(IF(AO1315=1,AD1315,IF(AO1315=2,AI1315,""))="R","VT REJETÉ – À REPRENDRE",IF(OR(AP1315="CO",AP1315="NT"),"COUPE – À RESOUDER","À RÉPARER"))))))))))</f>
        <v>À SOUDER</v>
      </c>
      <c r="AR1315" s="82" t="str">
        <f aca="false">IF(AND(ISNUMBER(U1315),OR(AQ1315="À RADIOGRAPHIER",AQ1315="RÉPARÉ – À RADIOGRAPHIER",AQ1315="NX – RT À REFAIRE",AQ1315="À RÉPARER",AQ1315="COUPE – À RESOUDER",AQ1315="VT REJETÉ – À REPRENDRE")),MAX(0,'PROGRAMME RT'!$C$4-U1315),"")</f>
        <v/>
      </c>
      <c r="AS1315" s="82" t="n">
        <f aca="false">IF(AND(OR(AQ1315="À RADIOGRAPHIER",AQ1315="RÉPARÉ – À RADIOGRAPHIER",AQ1315="NX – RT À REFAIRE"),OR('PROGRAMME RT'!$D$5="TOUTES",B1315='PROGRAMME RT'!$D$5)),1,0)</f>
        <v>0</v>
      </c>
      <c r="AT1315" s="82" t="str">
        <f aca="false">IF(AS1315=1,SUM(AS$7:AS1315),"")</f>
        <v/>
      </c>
      <c r="AU1315" s="82" t="n">
        <f aca="false">IF(AND(OR(AA1315="R",AA1315="NX",AA1315="NT",AA1315="CO"),OR('JOINTS DE RÉPARATION'!$D$5="TOUTES",B1315='JOINTS DE RÉPARATION'!$D$5),OR('JOINTS DE RÉPARATION'!$L$4="TOUS",AQ1315&lt;&gt;"ACCEPTÉ")),1,0)</f>
        <v>0</v>
      </c>
      <c r="AV1315" s="82" t="str">
        <f aca="false">IF(AU1315=1,SUM(AU$7:AU1315),"")</f>
        <v/>
      </c>
      <c r="AW1315" s="82" t="str">
        <f aca="false">IF(E1315="","",B1315&amp;"|"&amp;E1315)</f>
        <v>MFD-ISW → MFD-CPF|JN°1102</v>
      </c>
    </row>
    <row r="1316" customFormat="false" ht="74.6" hidden="false" customHeight="false" outlineLevel="0" collapsed="false">
      <c r="A1316" s="79" t="n">
        <f aca="false">IF(E1316="","",ROW()-6)</f>
        <v>1310</v>
      </c>
      <c r="B1316" s="80" t="s">
        <v>110</v>
      </c>
      <c r="C1316" s="81" t="s">
        <v>926</v>
      </c>
      <c r="D1316" s="81" t="n">
        <v>10</v>
      </c>
      <c r="E1316" s="81" t="s">
        <v>1585</v>
      </c>
      <c r="F1316" s="82" t="str">
        <f aca="false">IF(E1316="","",IF(LEFT(E1316,2)="DJ","DJ","JN"))</f>
        <v>JN</v>
      </c>
      <c r="G1316" s="81"/>
      <c r="H1316" s="81"/>
      <c r="I1316" s="81"/>
      <c r="J1316" s="81"/>
      <c r="K1316" s="81"/>
      <c r="L1316" s="81" t="s">
        <v>1270</v>
      </c>
      <c r="M1316" s="81"/>
      <c r="N1316" s="81"/>
      <c r="O1316" s="81"/>
      <c r="P1316" s="81"/>
      <c r="Q1316" s="81"/>
      <c r="R1316" s="81"/>
      <c r="S1316" s="81"/>
      <c r="T1316" s="81"/>
      <c r="U1316" s="83"/>
      <c r="V1316" s="83"/>
      <c r="W1316" s="81"/>
      <c r="X1316" s="81"/>
      <c r="Y1316" s="83"/>
      <c r="Z1316" s="81"/>
      <c r="AA1316" s="81"/>
      <c r="AB1316" s="81"/>
      <c r="AC1316" s="81"/>
      <c r="AD1316" s="81"/>
      <c r="AE1316" s="83"/>
      <c r="AF1316" s="81"/>
      <c r="AG1316" s="81"/>
      <c r="AH1316" s="81"/>
      <c r="AI1316" s="81"/>
      <c r="AJ1316" s="83"/>
      <c r="AK1316" s="81"/>
      <c r="AL1316" s="81"/>
      <c r="AM1316" s="83"/>
      <c r="AN1316" s="80"/>
      <c r="AO1316" s="82" t="n">
        <f aca="false">IF(E1316="","",(AA1316&lt;&gt;"")+(AG1316&lt;&gt;"")+(AL1316&lt;&gt;""))</f>
        <v>0</v>
      </c>
      <c r="AP1316" s="82" t="str">
        <f aca="false">IF(AL1316&lt;&gt;"",AL1316,IF(AG1316&lt;&gt;"",AG1316,IF(AA1316&lt;&gt;"",AA1316,"")))</f>
        <v/>
      </c>
      <c r="AQ1316" s="84" t="str">
        <f aca="false">IF(E1316="","",IF(U1316="","À SOUDER",IF(X1316="","VT EN ATTENTE",IF(X1316="R","VT REJETÉ – À REPRENDRE",IF(AP1316="","À RADIOGRAPHIER",IF(AP1316="A","ACCEPTÉ",IF(AP1316="NX","NX – RT À REFAIRE",IF(IF(AO1316=1,AD1316,IF(AO1316=2,AI1316,""))="A","RÉPARÉ – À RADIOGRAPHIER",IF(IF(AO1316=1,AD1316,IF(AO1316=2,AI1316,""))="R","VT REJETÉ – À REPRENDRE",IF(OR(AP1316="CO",AP1316="NT"),"COUPE – À RESOUDER","À RÉPARER"))))))))))</f>
        <v>À SOUDER</v>
      </c>
      <c r="AR1316" s="82" t="str">
        <f aca="false">IF(AND(ISNUMBER(U1316),OR(AQ1316="À RADIOGRAPHIER",AQ1316="RÉPARÉ – À RADIOGRAPHIER",AQ1316="NX – RT À REFAIRE",AQ1316="À RÉPARER",AQ1316="COUPE – À RESOUDER",AQ1316="VT REJETÉ – À REPRENDRE")),MAX(0,'PROGRAMME RT'!$C$4-U1316),"")</f>
        <v/>
      </c>
      <c r="AS1316" s="82" t="n">
        <f aca="false">IF(AND(OR(AQ1316="À RADIOGRAPHIER",AQ1316="RÉPARÉ – À RADIOGRAPHIER",AQ1316="NX – RT À REFAIRE"),OR('PROGRAMME RT'!$D$5="TOUTES",B1316='PROGRAMME RT'!$D$5)),1,0)</f>
        <v>0</v>
      </c>
      <c r="AT1316" s="82" t="str">
        <f aca="false">IF(AS1316=1,SUM(AS$7:AS1316),"")</f>
        <v/>
      </c>
      <c r="AU1316" s="82" t="n">
        <f aca="false">IF(AND(OR(AA1316="R",AA1316="NX",AA1316="NT",AA1316="CO"),OR('JOINTS DE RÉPARATION'!$D$5="TOUTES",B1316='JOINTS DE RÉPARATION'!$D$5),OR('JOINTS DE RÉPARATION'!$L$4="TOUS",AQ1316&lt;&gt;"ACCEPTÉ")),1,0)</f>
        <v>0</v>
      </c>
      <c r="AV1316" s="82" t="str">
        <f aca="false">IF(AU1316=1,SUM(AU$7:AU1316),"")</f>
        <v/>
      </c>
      <c r="AW1316" s="82" t="str">
        <f aca="false">IF(E1316="","",B1316&amp;"|"&amp;E1316)</f>
        <v>MFD-ISW → MFD-CPF|JN°1103</v>
      </c>
    </row>
    <row r="1317" customFormat="false" ht="74.6" hidden="false" customHeight="false" outlineLevel="0" collapsed="false">
      <c r="A1317" s="79" t="n">
        <f aca="false">IF(E1317="","",ROW()-6)</f>
        <v>1311</v>
      </c>
      <c r="B1317" s="80" t="s">
        <v>110</v>
      </c>
      <c r="C1317" s="81" t="s">
        <v>926</v>
      </c>
      <c r="D1317" s="81" t="n">
        <v>10</v>
      </c>
      <c r="E1317" s="81" t="s">
        <v>1586</v>
      </c>
      <c r="F1317" s="82" t="str">
        <f aca="false">IF(E1317="","",IF(LEFT(E1317,2)="DJ","DJ","JN"))</f>
        <v>JN</v>
      </c>
      <c r="G1317" s="81"/>
      <c r="H1317" s="81"/>
      <c r="I1317" s="81"/>
      <c r="J1317" s="81"/>
      <c r="K1317" s="81"/>
      <c r="L1317" s="81" t="s">
        <v>1270</v>
      </c>
      <c r="M1317" s="81"/>
      <c r="N1317" s="81"/>
      <c r="O1317" s="81" t="n">
        <v>2088920</v>
      </c>
      <c r="P1317" s="81" t="n">
        <v>15421108</v>
      </c>
      <c r="Q1317" s="81" t="n">
        <v>11.94</v>
      </c>
      <c r="R1317" s="81"/>
      <c r="S1317" s="81"/>
      <c r="T1317" s="81"/>
      <c r="U1317" s="83"/>
      <c r="V1317" s="83"/>
      <c r="W1317" s="81"/>
      <c r="X1317" s="81"/>
      <c r="Y1317" s="83"/>
      <c r="Z1317" s="81"/>
      <c r="AA1317" s="81"/>
      <c r="AB1317" s="81"/>
      <c r="AC1317" s="81"/>
      <c r="AD1317" s="81"/>
      <c r="AE1317" s="83"/>
      <c r="AF1317" s="81"/>
      <c r="AG1317" s="81"/>
      <c r="AH1317" s="81"/>
      <c r="AI1317" s="81"/>
      <c r="AJ1317" s="83"/>
      <c r="AK1317" s="81"/>
      <c r="AL1317" s="81"/>
      <c r="AM1317" s="83"/>
      <c r="AN1317" s="80"/>
      <c r="AO1317" s="82" t="n">
        <f aca="false">IF(E1317="","",(AA1317&lt;&gt;"")+(AG1317&lt;&gt;"")+(AL1317&lt;&gt;""))</f>
        <v>0</v>
      </c>
      <c r="AP1317" s="82" t="str">
        <f aca="false">IF(AL1317&lt;&gt;"",AL1317,IF(AG1317&lt;&gt;"",AG1317,IF(AA1317&lt;&gt;"",AA1317,"")))</f>
        <v/>
      </c>
      <c r="AQ1317" s="84" t="str">
        <f aca="false">IF(E1317="","",IF(U1317="","À SOUDER",IF(X1317="","VT EN ATTENTE",IF(X1317="R","VT REJETÉ – À REPRENDRE",IF(AP1317="","À RADIOGRAPHIER",IF(AP1317="A","ACCEPTÉ",IF(AP1317="NX","NX – RT À REFAIRE",IF(IF(AO1317=1,AD1317,IF(AO1317=2,AI1317,""))="A","RÉPARÉ – À RADIOGRAPHIER",IF(IF(AO1317=1,AD1317,IF(AO1317=2,AI1317,""))="R","VT REJETÉ – À REPRENDRE",IF(OR(AP1317="CO",AP1317="NT"),"COUPE – À RESOUDER","À RÉPARER"))))))))))</f>
        <v>À SOUDER</v>
      </c>
      <c r="AR1317" s="82" t="str">
        <f aca="false">IF(AND(ISNUMBER(U1317),OR(AQ1317="À RADIOGRAPHIER",AQ1317="RÉPARÉ – À RADIOGRAPHIER",AQ1317="NX – RT À REFAIRE",AQ1317="À RÉPARER",AQ1317="COUPE – À RESOUDER",AQ1317="VT REJETÉ – À REPRENDRE")),MAX(0,'PROGRAMME RT'!$C$4-U1317),"")</f>
        <v/>
      </c>
      <c r="AS1317" s="82" t="n">
        <f aca="false">IF(AND(OR(AQ1317="À RADIOGRAPHIER",AQ1317="RÉPARÉ – À RADIOGRAPHIER",AQ1317="NX – RT À REFAIRE"),OR('PROGRAMME RT'!$D$5="TOUTES",B1317='PROGRAMME RT'!$D$5)),1,0)</f>
        <v>0</v>
      </c>
      <c r="AT1317" s="82" t="str">
        <f aca="false">IF(AS1317=1,SUM(AS$7:AS1317),"")</f>
        <v/>
      </c>
      <c r="AU1317" s="82" t="n">
        <f aca="false">IF(AND(OR(AA1317="R",AA1317="NX",AA1317="NT",AA1317="CO"),OR('JOINTS DE RÉPARATION'!$D$5="TOUTES",B1317='JOINTS DE RÉPARATION'!$D$5),OR('JOINTS DE RÉPARATION'!$L$4="TOUS",AQ1317&lt;&gt;"ACCEPTÉ")),1,0)</f>
        <v>0</v>
      </c>
      <c r="AV1317" s="82" t="str">
        <f aca="false">IF(AU1317=1,SUM(AU$7:AU1317),"")</f>
        <v/>
      </c>
      <c r="AW1317" s="82" t="str">
        <f aca="false">IF(E1317="","",B1317&amp;"|"&amp;E1317)</f>
        <v>MFD-ISW → MFD-CPF|JN°1104</v>
      </c>
    </row>
    <row r="1318" customFormat="false" ht="74.6" hidden="false" customHeight="false" outlineLevel="0" collapsed="false">
      <c r="A1318" s="79" t="n">
        <f aca="false">IF(E1318="","",ROW()-6)</f>
        <v>1312</v>
      </c>
      <c r="B1318" s="80" t="s">
        <v>110</v>
      </c>
      <c r="C1318" s="81" t="s">
        <v>1587</v>
      </c>
      <c r="D1318" s="81" t="n">
        <v>10</v>
      </c>
      <c r="E1318" s="81" t="s">
        <v>1588</v>
      </c>
      <c r="F1318" s="82" t="str">
        <f aca="false">IF(E1318="","",IF(LEFT(E1318,2)="DJ","DJ","JN"))</f>
        <v>DJ</v>
      </c>
      <c r="G1318" s="81"/>
      <c r="H1318" s="81" t="s">
        <v>871</v>
      </c>
      <c r="I1318" s="81" t="n">
        <v>9.53</v>
      </c>
      <c r="J1318" s="81" t="s">
        <v>872</v>
      </c>
      <c r="K1318" s="81" t="s">
        <v>873</v>
      </c>
      <c r="L1318" s="81" t="n">
        <v>2088920</v>
      </c>
      <c r="M1318" s="81" t="n">
        <v>15421108</v>
      </c>
      <c r="N1318" s="81" t="n">
        <v>11.94</v>
      </c>
      <c r="O1318" s="81" t="n">
        <v>2092940</v>
      </c>
      <c r="P1318" s="81" t="n">
        <v>15421110</v>
      </c>
      <c r="Q1318" s="81" t="n">
        <v>11.94</v>
      </c>
      <c r="R1318" s="81" t="s">
        <v>874</v>
      </c>
      <c r="S1318" s="81"/>
      <c r="T1318" s="81"/>
      <c r="U1318" s="83" t="n">
        <v>46256</v>
      </c>
      <c r="V1318" s="83" t="n">
        <v>46256</v>
      </c>
      <c r="W1318" s="81" t="s">
        <v>1565</v>
      </c>
      <c r="X1318" s="81" t="s">
        <v>876</v>
      </c>
      <c r="Y1318" s="83" t="n">
        <v>46259</v>
      </c>
      <c r="Z1318" s="81" t="s">
        <v>1569</v>
      </c>
      <c r="AA1318" s="81" t="s">
        <v>876</v>
      </c>
      <c r="AB1318" s="81"/>
      <c r="AC1318" s="81"/>
      <c r="AD1318" s="81"/>
      <c r="AE1318" s="83"/>
      <c r="AF1318" s="81"/>
      <c r="AG1318" s="81"/>
      <c r="AH1318" s="81"/>
      <c r="AI1318" s="81"/>
      <c r="AJ1318" s="83"/>
      <c r="AK1318" s="81"/>
      <c r="AL1318" s="81"/>
      <c r="AM1318" s="83"/>
      <c r="AN1318" s="80"/>
      <c r="AO1318" s="82" t="n">
        <f aca="false">IF(E1318="","",(AA1318&lt;&gt;"")+(AG1318&lt;&gt;"")+(AL1318&lt;&gt;""))</f>
        <v>1</v>
      </c>
      <c r="AP1318" s="82" t="str">
        <f aca="false">IF(AL1318&lt;&gt;"",AL1318,IF(AG1318&lt;&gt;"",AG1318,IF(AA1318&lt;&gt;"",AA1318,"")))</f>
        <v>A</v>
      </c>
      <c r="AQ1318" s="84" t="str">
        <f aca="false">IF(E1318="","",IF(U1318="","À SOUDER",IF(X1318="","VT EN ATTENTE",IF(X1318="R","VT REJETÉ – À REPRENDRE",IF(AP1318="","À RADIOGRAPHIER",IF(AP1318="A","ACCEPTÉ",IF(AP1318="NX","NX – RT À REFAIRE",IF(IF(AO1318=1,AD1318,IF(AO1318=2,AI1318,""))="A","RÉPARÉ – À RADIOGRAPHIER",IF(IF(AO1318=1,AD1318,IF(AO1318=2,AI1318,""))="R","VT REJETÉ – À REPRENDRE",IF(OR(AP1318="CO",AP1318="NT"),"COUPE – À RESOUDER","À RÉPARER"))))))))))</f>
        <v>ACCEPTÉ</v>
      </c>
      <c r="AR1318" s="82" t="str">
        <f aca="false">IF(AND(ISNUMBER(U1318),OR(AQ1318="À RADIOGRAPHIER",AQ1318="RÉPARÉ – À RADIOGRAPHIER",AQ1318="NX – RT À REFAIRE",AQ1318="À RÉPARER",AQ1318="COUPE – À RESOUDER",AQ1318="VT REJETÉ – À REPRENDRE")),MAX(0,'PROGRAMME RT'!$C$4-U1318),"")</f>
        <v/>
      </c>
      <c r="AS1318" s="82" t="n">
        <f aca="false">IF(AND(OR(AQ1318="À RADIOGRAPHIER",AQ1318="RÉPARÉ – À RADIOGRAPHIER",AQ1318="NX – RT À REFAIRE"),OR('PROGRAMME RT'!$D$5="TOUTES",B1318='PROGRAMME RT'!$D$5)),1,0)</f>
        <v>0</v>
      </c>
      <c r="AT1318" s="82" t="str">
        <f aca="false">IF(AS1318=1,SUM(AS$7:AS1318),"")</f>
        <v/>
      </c>
      <c r="AU1318" s="82" t="n">
        <f aca="false">IF(AND(OR(AA1318="R",AA1318="NX",AA1318="NT",AA1318="CO"),OR('JOINTS DE RÉPARATION'!$D$5="TOUTES",B1318='JOINTS DE RÉPARATION'!$D$5),OR('JOINTS DE RÉPARATION'!$L$4="TOUS",AQ1318&lt;&gt;"ACCEPTÉ")),1,0)</f>
        <v>0</v>
      </c>
      <c r="AV1318" s="82" t="str">
        <f aca="false">IF(AU1318=1,SUM(AU$7:AU1318),"")</f>
        <v/>
      </c>
      <c r="AW1318" s="82" t="str">
        <f aca="false">IF(E1318="","",B1318&amp;"|"&amp;E1318)</f>
        <v>MFD-ISW → MFD-CPF|DJ°094</v>
      </c>
    </row>
    <row r="1319" customFormat="false" ht="74.6" hidden="false" customHeight="false" outlineLevel="0" collapsed="false">
      <c r="A1319" s="79" t="n">
        <f aca="false">IF(E1319="","",ROW()-6)</f>
        <v>1313</v>
      </c>
      <c r="B1319" s="80" t="s">
        <v>110</v>
      </c>
      <c r="C1319" s="81" t="s">
        <v>1587</v>
      </c>
      <c r="D1319" s="81" t="n">
        <v>10</v>
      </c>
      <c r="E1319" s="81" t="s">
        <v>1589</v>
      </c>
      <c r="F1319" s="82" t="str">
        <f aca="false">IF(E1319="","",IF(LEFT(E1319,2)="DJ","DJ","JN"))</f>
        <v>JN</v>
      </c>
      <c r="G1319" s="81" t="s">
        <v>1504</v>
      </c>
      <c r="H1319" s="81" t="s">
        <v>871</v>
      </c>
      <c r="I1319" s="81" t="n">
        <v>9.53</v>
      </c>
      <c r="J1319" s="81" t="s">
        <v>872</v>
      </c>
      <c r="K1319" s="81" t="s">
        <v>879</v>
      </c>
      <c r="L1319" s="81" t="n">
        <v>2092940</v>
      </c>
      <c r="M1319" s="81" t="n">
        <v>15421110</v>
      </c>
      <c r="N1319" s="81" t="n">
        <v>11.94</v>
      </c>
      <c r="O1319" s="81" t="n">
        <v>2091330</v>
      </c>
      <c r="P1319" s="81" t="n">
        <v>15421109</v>
      </c>
      <c r="Q1319" s="81" t="n">
        <v>11.94</v>
      </c>
      <c r="R1319" s="81" t="s">
        <v>1367</v>
      </c>
      <c r="S1319" s="81"/>
      <c r="T1319" s="81"/>
      <c r="U1319" s="83" t="n">
        <v>46277</v>
      </c>
      <c r="V1319" s="83" t="n">
        <v>46277</v>
      </c>
      <c r="W1319" s="81" t="s">
        <v>1567</v>
      </c>
      <c r="X1319" s="81" t="s">
        <v>876</v>
      </c>
      <c r="Y1319" s="83"/>
      <c r="Z1319" s="81"/>
      <c r="AA1319" s="81"/>
      <c r="AB1319" s="81"/>
      <c r="AC1319" s="81"/>
      <c r="AD1319" s="81"/>
      <c r="AE1319" s="83"/>
      <c r="AF1319" s="81"/>
      <c r="AG1319" s="81"/>
      <c r="AH1319" s="81"/>
      <c r="AI1319" s="81"/>
      <c r="AJ1319" s="83"/>
      <c r="AK1319" s="81"/>
      <c r="AL1319" s="81"/>
      <c r="AM1319" s="83"/>
      <c r="AN1319" s="80"/>
      <c r="AO1319" s="82" t="n">
        <f aca="false">IF(E1319="","",(AA1319&lt;&gt;"")+(AG1319&lt;&gt;"")+(AL1319&lt;&gt;""))</f>
        <v>0</v>
      </c>
      <c r="AP1319" s="82" t="str">
        <f aca="false">IF(AL1319&lt;&gt;"",AL1319,IF(AG1319&lt;&gt;"",AG1319,IF(AA1319&lt;&gt;"",AA1319,"")))</f>
        <v/>
      </c>
      <c r="AQ1319" s="84" t="str">
        <f aca="false">IF(E1319="","",IF(U1319="","À SOUDER",IF(X1319="","VT EN ATTENTE",IF(X1319="R","VT REJETÉ – À REPRENDRE",IF(AP1319="","À RADIOGRAPHIER",IF(AP1319="A","ACCEPTÉ",IF(AP1319="NX","NX – RT À REFAIRE",IF(IF(AO1319=1,AD1319,IF(AO1319=2,AI1319,""))="A","RÉPARÉ – À RADIOGRAPHIER",IF(IF(AO1319=1,AD1319,IF(AO1319=2,AI1319,""))="R","VT REJETÉ – À REPRENDRE",IF(OR(AP1319="CO",AP1319="NT"),"COUPE – À RESOUDER","À RÉPARER"))))))))))</f>
        <v>À RADIOGRAPHIER</v>
      </c>
      <c r="AR1319" s="82" t="n">
        <f aca="false">IF(AND(ISNUMBER(U1319),OR(AQ1319="À RADIOGRAPHIER",AQ1319="RÉPARÉ – À RADIOGRAPHIER",AQ1319="NX – RT À REFAIRE",AQ1319="À RÉPARER",AQ1319="COUPE – À RESOUDER",AQ1319="VT REJETÉ – À REPRENDRE")),MAX(0,'PROGRAMME RT'!$C$4-U1319),"")</f>
        <v>16</v>
      </c>
      <c r="AS1319" s="82" t="n">
        <f aca="false">IF(AND(OR(AQ1319="À RADIOGRAPHIER",AQ1319="RÉPARÉ – À RADIOGRAPHIER",AQ1319="NX – RT À REFAIRE"),OR('PROGRAMME RT'!$D$5="TOUTES",B1319='PROGRAMME RT'!$D$5)),1,0)</f>
        <v>1</v>
      </c>
      <c r="AT1319" s="82" t="n">
        <f aca="false">IF(AS1319=1,SUM(AS$7:AS1319),"")</f>
        <v>71</v>
      </c>
      <c r="AU1319" s="82" t="n">
        <f aca="false">IF(AND(OR(AA1319="R",AA1319="NX",AA1319="NT",AA1319="CO"),OR('JOINTS DE RÉPARATION'!$D$5="TOUTES",B1319='JOINTS DE RÉPARATION'!$D$5),OR('JOINTS DE RÉPARATION'!$L$4="TOUS",AQ1319&lt;&gt;"ACCEPTÉ")),1,0)</f>
        <v>0</v>
      </c>
      <c r="AV1319" s="82" t="str">
        <f aca="false">IF(AU1319=1,SUM(AU$7:AU1319),"")</f>
        <v/>
      </c>
      <c r="AW1319" s="82" t="str">
        <f aca="false">IF(E1319="","",B1319&amp;"|"&amp;E1319)</f>
        <v>MFD-ISW → MFD-CPF|JN°1105</v>
      </c>
    </row>
    <row r="1320" customFormat="false" ht="74.6" hidden="false" customHeight="false" outlineLevel="0" collapsed="false">
      <c r="A1320" s="79" t="n">
        <f aca="false">IF(E1320="","",ROW()-6)</f>
        <v>1314</v>
      </c>
      <c r="B1320" s="80" t="s">
        <v>110</v>
      </c>
      <c r="C1320" s="81" t="s">
        <v>1587</v>
      </c>
      <c r="D1320" s="81" t="n">
        <v>11</v>
      </c>
      <c r="E1320" s="81" t="s">
        <v>1590</v>
      </c>
      <c r="F1320" s="82" t="str">
        <f aca="false">IF(E1320="","",IF(LEFT(E1320,2)="DJ","DJ","JN"))</f>
        <v>DJ</v>
      </c>
      <c r="G1320" s="81"/>
      <c r="H1320" s="81" t="s">
        <v>871</v>
      </c>
      <c r="I1320" s="81" t="n">
        <v>9.53</v>
      </c>
      <c r="J1320" s="81" t="s">
        <v>872</v>
      </c>
      <c r="K1320" s="81" t="s">
        <v>873</v>
      </c>
      <c r="L1320" s="81" t="n">
        <v>2091330</v>
      </c>
      <c r="M1320" s="81" t="n">
        <v>15421109</v>
      </c>
      <c r="N1320" s="81" t="n">
        <v>11.94</v>
      </c>
      <c r="O1320" s="81" t="n">
        <v>2083660</v>
      </c>
      <c r="P1320" s="81" t="n">
        <v>15421105</v>
      </c>
      <c r="Q1320" s="81" t="n">
        <v>11.94</v>
      </c>
      <c r="R1320" s="81" t="s">
        <v>874</v>
      </c>
      <c r="S1320" s="81"/>
      <c r="T1320" s="81"/>
      <c r="U1320" s="83" t="n">
        <v>46256</v>
      </c>
      <c r="V1320" s="83" t="n">
        <v>46256</v>
      </c>
      <c r="W1320" s="81" t="s">
        <v>1565</v>
      </c>
      <c r="X1320" s="81" t="s">
        <v>876</v>
      </c>
      <c r="Y1320" s="83" t="n">
        <v>46259</v>
      </c>
      <c r="Z1320" s="81" t="s">
        <v>1569</v>
      </c>
      <c r="AA1320" s="81" t="s">
        <v>876</v>
      </c>
      <c r="AB1320" s="81"/>
      <c r="AC1320" s="81"/>
      <c r="AD1320" s="81"/>
      <c r="AE1320" s="83"/>
      <c r="AF1320" s="81"/>
      <c r="AG1320" s="81"/>
      <c r="AH1320" s="81"/>
      <c r="AI1320" s="81"/>
      <c r="AJ1320" s="83"/>
      <c r="AK1320" s="81"/>
      <c r="AL1320" s="81"/>
      <c r="AM1320" s="83"/>
      <c r="AN1320" s="80"/>
      <c r="AO1320" s="82" t="n">
        <f aca="false">IF(E1320="","",(AA1320&lt;&gt;"")+(AG1320&lt;&gt;"")+(AL1320&lt;&gt;""))</f>
        <v>1</v>
      </c>
      <c r="AP1320" s="82" t="str">
        <f aca="false">IF(AL1320&lt;&gt;"",AL1320,IF(AG1320&lt;&gt;"",AG1320,IF(AA1320&lt;&gt;"",AA1320,"")))</f>
        <v>A</v>
      </c>
      <c r="AQ1320" s="84" t="str">
        <f aca="false">IF(E1320="","",IF(U1320="","À SOUDER",IF(X1320="","VT EN ATTENTE",IF(X1320="R","VT REJETÉ – À REPRENDRE",IF(AP1320="","À RADIOGRAPHIER",IF(AP1320="A","ACCEPTÉ",IF(AP1320="NX","NX – RT À REFAIRE",IF(IF(AO1320=1,AD1320,IF(AO1320=2,AI1320,""))="A","RÉPARÉ – À RADIOGRAPHIER",IF(IF(AO1320=1,AD1320,IF(AO1320=2,AI1320,""))="R","VT REJETÉ – À REPRENDRE",IF(OR(AP1320="CO",AP1320="NT"),"COUPE – À RESOUDER","À RÉPARER"))))))))))</f>
        <v>ACCEPTÉ</v>
      </c>
      <c r="AR1320" s="82" t="str">
        <f aca="false">IF(AND(ISNUMBER(U1320),OR(AQ1320="À RADIOGRAPHIER",AQ1320="RÉPARÉ – À RADIOGRAPHIER",AQ1320="NX – RT À REFAIRE",AQ1320="À RÉPARER",AQ1320="COUPE – À RESOUDER",AQ1320="VT REJETÉ – À REPRENDRE")),MAX(0,'PROGRAMME RT'!$C$4-U1320),"")</f>
        <v/>
      </c>
      <c r="AS1320" s="82" t="n">
        <f aca="false">IF(AND(OR(AQ1320="À RADIOGRAPHIER",AQ1320="RÉPARÉ – À RADIOGRAPHIER",AQ1320="NX – RT À REFAIRE"),OR('PROGRAMME RT'!$D$5="TOUTES",B1320='PROGRAMME RT'!$D$5)),1,0)</f>
        <v>0</v>
      </c>
      <c r="AT1320" s="82" t="str">
        <f aca="false">IF(AS1320=1,SUM(AS$7:AS1320),"")</f>
        <v/>
      </c>
      <c r="AU1320" s="82" t="n">
        <f aca="false">IF(AND(OR(AA1320="R",AA1320="NX",AA1320="NT",AA1320="CO"),OR('JOINTS DE RÉPARATION'!$D$5="TOUTES",B1320='JOINTS DE RÉPARATION'!$D$5),OR('JOINTS DE RÉPARATION'!$L$4="TOUS",AQ1320&lt;&gt;"ACCEPTÉ")),1,0)</f>
        <v>0</v>
      </c>
      <c r="AV1320" s="82" t="str">
        <f aca="false">IF(AU1320=1,SUM(AU$7:AU1320),"")</f>
        <v/>
      </c>
      <c r="AW1320" s="82" t="str">
        <f aca="false">IF(E1320="","",B1320&amp;"|"&amp;E1320)</f>
        <v>MFD-ISW → MFD-CPF|DJ°091</v>
      </c>
    </row>
    <row r="1321" customFormat="false" ht="74.6" hidden="false" customHeight="false" outlineLevel="0" collapsed="false">
      <c r="A1321" s="79" t="n">
        <f aca="false">IF(E1321="","",ROW()-6)</f>
        <v>1315</v>
      </c>
      <c r="B1321" s="80" t="s">
        <v>110</v>
      </c>
      <c r="C1321" s="81" t="s">
        <v>1587</v>
      </c>
      <c r="D1321" s="81" t="n">
        <v>11</v>
      </c>
      <c r="E1321" s="81" t="s">
        <v>1591</v>
      </c>
      <c r="F1321" s="82" t="str">
        <f aca="false">IF(E1321="","",IF(LEFT(E1321,2)="DJ","DJ","JN"))</f>
        <v>JN</v>
      </c>
      <c r="G1321" s="81" t="s">
        <v>1504</v>
      </c>
      <c r="H1321" s="81" t="s">
        <v>871</v>
      </c>
      <c r="I1321" s="81" t="n">
        <v>9.53</v>
      </c>
      <c r="J1321" s="81" t="s">
        <v>872</v>
      </c>
      <c r="K1321" s="81" t="s">
        <v>879</v>
      </c>
      <c r="L1321" s="81" t="n">
        <v>2083660</v>
      </c>
      <c r="M1321" s="81" t="n">
        <v>15421105</v>
      </c>
      <c r="N1321" s="81" t="n">
        <v>11.94</v>
      </c>
      <c r="O1321" s="81" t="n">
        <v>2093860</v>
      </c>
      <c r="P1321" s="81" t="n">
        <v>15421110</v>
      </c>
      <c r="Q1321" s="81" t="n">
        <v>11.94</v>
      </c>
      <c r="R1321" s="81" t="s">
        <v>1367</v>
      </c>
      <c r="S1321" s="81"/>
      <c r="T1321" s="81"/>
      <c r="U1321" s="83" t="n">
        <v>46277</v>
      </c>
      <c r="V1321" s="83" t="n">
        <v>46277</v>
      </c>
      <c r="W1321" s="81" t="s">
        <v>1567</v>
      </c>
      <c r="X1321" s="81" t="s">
        <v>876</v>
      </c>
      <c r="Y1321" s="83"/>
      <c r="Z1321" s="81"/>
      <c r="AA1321" s="81"/>
      <c r="AB1321" s="81"/>
      <c r="AC1321" s="81"/>
      <c r="AD1321" s="81"/>
      <c r="AE1321" s="83"/>
      <c r="AF1321" s="81"/>
      <c r="AG1321" s="81"/>
      <c r="AH1321" s="81"/>
      <c r="AI1321" s="81"/>
      <c r="AJ1321" s="83"/>
      <c r="AK1321" s="81"/>
      <c r="AL1321" s="81"/>
      <c r="AM1321" s="83"/>
      <c r="AN1321" s="80"/>
      <c r="AO1321" s="82" t="n">
        <f aca="false">IF(E1321="","",(AA1321&lt;&gt;"")+(AG1321&lt;&gt;"")+(AL1321&lt;&gt;""))</f>
        <v>0</v>
      </c>
      <c r="AP1321" s="82" t="str">
        <f aca="false">IF(AL1321&lt;&gt;"",AL1321,IF(AG1321&lt;&gt;"",AG1321,IF(AA1321&lt;&gt;"",AA1321,"")))</f>
        <v/>
      </c>
      <c r="AQ1321" s="84" t="str">
        <f aca="false">IF(E1321="","",IF(U1321="","À SOUDER",IF(X1321="","VT EN ATTENTE",IF(X1321="R","VT REJETÉ – À REPRENDRE",IF(AP1321="","À RADIOGRAPHIER",IF(AP1321="A","ACCEPTÉ",IF(AP1321="NX","NX – RT À REFAIRE",IF(IF(AO1321=1,AD1321,IF(AO1321=2,AI1321,""))="A","RÉPARÉ – À RADIOGRAPHIER",IF(IF(AO1321=1,AD1321,IF(AO1321=2,AI1321,""))="R","VT REJETÉ – À REPRENDRE",IF(OR(AP1321="CO",AP1321="NT"),"COUPE – À RESOUDER","À RÉPARER"))))))))))</f>
        <v>À RADIOGRAPHIER</v>
      </c>
      <c r="AR1321" s="82" t="n">
        <f aca="false">IF(AND(ISNUMBER(U1321),OR(AQ1321="À RADIOGRAPHIER",AQ1321="RÉPARÉ – À RADIOGRAPHIER",AQ1321="NX – RT À REFAIRE",AQ1321="À RÉPARER",AQ1321="COUPE – À RESOUDER",AQ1321="VT REJETÉ – À REPRENDRE")),MAX(0,'PROGRAMME RT'!$C$4-U1321),"")</f>
        <v>16</v>
      </c>
      <c r="AS1321" s="82" t="n">
        <f aca="false">IF(AND(OR(AQ1321="À RADIOGRAPHIER",AQ1321="RÉPARÉ – À RADIOGRAPHIER",AQ1321="NX – RT À REFAIRE"),OR('PROGRAMME RT'!$D$5="TOUTES",B1321='PROGRAMME RT'!$D$5)),1,0)</f>
        <v>1</v>
      </c>
      <c r="AT1321" s="82" t="n">
        <f aca="false">IF(AS1321=1,SUM(AS$7:AS1321),"")</f>
        <v>72</v>
      </c>
      <c r="AU1321" s="82" t="n">
        <f aca="false">IF(AND(OR(AA1321="R",AA1321="NX",AA1321="NT",AA1321="CO"),OR('JOINTS DE RÉPARATION'!$D$5="TOUTES",B1321='JOINTS DE RÉPARATION'!$D$5),OR('JOINTS DE RÉPARATION'!$L$4="TOUS",AQ1321&lt;&gt;"ACCEPTÉ")),1,0)</f>
        <v>0</v>
      </c>
      <c r="AV1321" s="82" t="str">
        <f aca="false">IF(AU1321=1,SUM(AU$7:AU1321),"")</f>
        <v/>
      </c>
      <c r="AW1321" s="82" t="str">
        <f aca="false">IF(E1321="","",B1321&amp;"|"&amp;E1321)</f>
        <v>MFD-ISW → MFD-CPF|JN°1106</v>
      </c>
    </row>
    <row r="1322" customFormat="false" ht="74.6" hidden="false" customHeight="false" outlineLevel="0" collapsed="false">
      <c r="A1322" s="79" t="n">
        <f aca="false">IF(E1322="","",ROW()-6)</f>
        <v>1316</v>
      </c>
      <c r="B1322" s="80" t="s">
        <v>110</v>
      </c>
      <c r="C1322" s="81" t="s">
        <v>1587</v>
      </c>
      <c r="D1322" s="81" t="n">
        <v>11</v>
      </c>
      <c r="E1322" s="81" t="s">
        <v>1592</v>
      </c>
      <c r="F1322" s="82" t="str">
        <f aca="false">IF(E1322="","",IF(LEFT(E1322,2)="DJ","DJ","JN"))</f>
        <v>DJ</v>
      </c>
      <c r="G1322" s="81"/>
      <c r="H1322" s="81" t="s">
        <v>871</v>
      </c>
      <c r="I1322" s="81" t="n">
        <v>9.53</v>
      </c>
      <c r="J1322" s="81" t="s">
        <v>872</v>
      </c>
      <c r="K1322" s="81" t="s">
        <v>873</v>
      </c>
      <c r="L1322" s="81" t="n">
        <v>2093860</v>
      </c>
      <c r="M1322" s="81" t="n">
        <v>15421110</v>
      </c>
      <c r="N1322" s="81" t="n">
        <v>11.94</v>
      </c>
      <c r="O1322" s="81" t="n">
        <v>2084200</v>
      </c>
      <c r="P1322" s="81" t="n">
        <v>15421106</v>
      </c>
      <c r="Q1322" s="81" t="n">
        <v>11.94</v>
      </c>
      <c r="R1322" s="81" t="s">
        <v>1135</v>
      </c>
      <c r="S1322" s="81"/>
      <c r="T1322" s="81"/>
      <c r="U1322" s="83" t="n">
        <v>46271</v>
      </c>
      <c r="V1322" s="83" t="n">
        <v>46271</v>
      </c>
      <c r="W1322" s="81" t="s">
        <v>1536</v>
      </c>
      <c r="X1322" s="81" t="s">
        <v>876</v>
      </c>
      <c r="Y1322" s="83" t="n">
        <v>46272</v>
      </c>
      <c r="Z1322" s="81" t="s">
        <v>1542</v>
      </c>
      <c r="AA1322" s="81" t="s">
        <v>876</v>
      </c>
      <c r="AB1322" s="81"/>
      <c r="AC1322" s="81"/>
      <c r="AD1322" s="81"/>
      <c r="AE1322" s="83"/>
      <c r="AF1322" s="81"/>
      <c r="AG1322" s="81"/>
      <c r="AH1322" s="81"/>
      <c r="AI1322" s="81"/>
      <c r="AJ1322" s="83"/>
      <c r="AK1322" s="81"/>
      <c r="AL1322" s="81"/>
      <c r="AM1322" s="83"/>
      <c r="AN1322" s="80"/>
      <c r="AO1322" s="82" t="n">
        <f aca="false">IF(E1322="","",(AA1322&lt;&gt;"")+(AG1322&lt;&gt;"")+(AL1322&lt;&gt;""))</f>
        <v>1</v>
      </c>
      <c r="AP1322" s="82" t="str">
        <f aca="false">IF(AL1322&lt;&gt;"",AL1322,IF(AG1322&lt;&gt;"",AG1322,IF(AA1322&lt;&gt;"",AA1322,"")))</f>
        <v>A</v>
      </c>
      <c r="AQ1322" s="84" t="str">
        <f aca="false">IF(E1322="","",IF(U1322="","À SOUDER",IF(X1322="","VT EN ATTENTE",IF(X1322="R","VT REJETÉ – À REPRENDRE",IF(AP1322="","À RADIOGRAPHIER",IF(AP1322="A","ACCEPTÉ",IF(AP1322="NX","NX – RT À REFAIRE",IF(IF(AO1322=1,AD1322,IF(AO1322=2,AI1322,""))="A","RÉPARÉ – À RADIOGRAPHIER",IF(IF(AO1322=1,AD1322,IF(AO1322=2,AI1322,""))="R","VT REJETÉ – À REPRENDRE",IF(OR(AP1322="CO",AP1322="NT"),"COUPE – À RESOUDER","À RÉPARER"))))))))))</f>
        <v>ACCEPTÉ</v>
      </c>
      <c r="AR1322" s="82" t="str">
        <f aca="false">IF(AND(ISNUMBER(U1322),OR(AQ1322="À RADIOGRAPHIER",AQ1322="RÉPARÉ – À RADIOGRAPHIER",AQ1322="NX – RT À REFAIRE",AQ1322="À RÉPARER",AQ1322="COUPE – À RESOUDER",AQ1322="VT REJETÉ – À REPRENDRE")),MAX(0,'PROGRAMME RT'!$C$4-U1322),"")</f>
        <v/>
      </c>
      <c r="AS1322" s="82" t="n">
        <f aca="false">IF(AND(OR(AQ1322="À RADIOGRAPHIER",AQ1322="RÉPARÉ – À RADIOGRAPHIER",AQ1322="NX – RT À REFAIRE"),OR('PROGRAMME RT'!$D$5="TOUTES",B1322='PROGRAMME RT'!$D$5)),1,0)</f>
        <v>0</v>
      </c>
      <c r="AT1322" s="82" t="str">
        <f aca="false">IF(AS1322=1,SUM(AS$7:AS1322),"")</f>
        <v/>
      </c>
      <c r="AU1322" s="82" t="n">
        <f aca="false">IF(AND(OR(AA1322="R",AA1322="NX",AA1322="NT",AA1322="CO"),OR('JOINTS DE RÉPARATION'!$D$5="TOUTES",B1322='JOINTS DE RÉPARATION'!$D$5),OR('JOINTS DE RÉPARATION'!$L$4="TOUS",AQ1322&lt;&gt;"ACCEPTÉ")),1,0)</f>
        <v>0</v>
      </c>
      <c r="AV1322" s="82" t="str">
        <f aca="false">IF(AU1322=1,SUM(AU$7:AU1322),"")</f>
        <v/>
      </c>
      <c r="AW1322" s="82" t="str">
        <f aca="false">IF(E1322="","",B1322&amp;"|"&amp;E1322)</f>
        <v>MFD-ISW → MFD-CPF|DJ°302</v>
      </c>
    </row>
    <row r="1323" customFormat="false" ht="74.6" hidden="false" customHeight="false" outlineLevel="0" collapsed="false">
      <c r="A1323" s="79" t="n">
        <f aca="false">IF(E1323="","",ROW()-6)</f>
        <v>1317</v>
      </c>
      <c r="B1323" s="80" t="s">
        <v>110</v>
      </c>
      <c r="C1323" s="81" t="s">
        <v>1587</v>
      </c>
      <c r="D1323" s="81" t="n">
        <v>11</v>
      </c>
      <c r="E1323" s="81" t="s">
        <v>1593</v>
      </c>
      <c r="F1323" s="82" t="str">
        <f aca="false">IF(E1323="","",IF(LEFT(E1323,2)="DJ","DJ","JN"))</f>
        <v>JN</v>
      </c>
      <c r="G1323" s="81" t="s">
        <v>1504</v>
      </c>
      <c r="H1323" s="81" t="s">
        <v>871</v>
      </c>
      <c r="I1323" s="81" t="n">
        <v>9.53</v>
      </c>
      <c r="J1323" s="81" t="s">
        <v>872</v>
      </c>
      <c r="K1323" s="81" t="s">
        <v>879</v>
      </c>
      <c r="L1323" s="81" t="n">
        <v>2084200</v>
      </c>
      <c r="M1323" s="81" t="n">
        <v>15421106</v>
      </c>
      <c r="N1323" s="81" t="n">
        <v>11.94</v>
      </c>
      <c r="O1323" s="81" t="n">
        <v>2096240</v>
      </c>
      <c r="P1323" s="81" t="n">
        <v>15421111</v>
      </c>
      <c r="Q1323" s="81" t="n">
        <v>11.94</v>
      </c>
      <c r="R1323" s="81" t="s">
        <v>1367</v>
      </c>
      <c r="S1323" s="81"/>
      <c r="T1323" s="81"/>
      <c r="U1323" s="83" t="n">
        <v>46277</v>
      </c>
      <c r="V1323" s="83" t="n">
        <v>46277</v>
      </c>
      <c r="W1323" s="81" t="s">
        <v>1567</v>
      </c>
      <c r="X1323" s="81" t="s">
        <v>876</v>
      </c>
      <c r="Y1323" s="83" t="n">
        <v>46282</v>
      </c>
      <c r="Z1323" s="81" t="s">
        <v>1594</v>
      </c>
      <c r="AA1323" s="81" t="s">
        <v>876</v>
      </c>
      <c r="AB1323" s="81"/>
      <c r="AC1323" s="81"/>
      <c r="AD1323" s="81"/>
      <c r="AE1323" s="83"/>
      <c r="AF1323" s="81"/>
      <c r="AG1323" s="81"/>
      <c r="AH1323" s="81"/>
      <c r="AI1323" s="81"/>
      <c r="AJ1323" s="83"/>
      <c r="AK1323" s="81"/>
      <c r="AL1323" s="81"/>
      <c r="AM1323" s="83"/>
      <c r="AN1323" s="80"/>
      <c r="AO1323" s="82" t="n">
        <f aca="false">IF(E1323="","",(AA1323&lt;&gt;"")+(AG1323&lt;&gt;"")+(AL1323&lt;&gt;""))</f>
        <v>1</v>
      </c>
      <c r="AP1323" s="82" t="str">
        <f aca="false">IF(AL1323&lt;&gt;"",AL1323,IF(AG1323&lt;&gt;"",AG1323,IF(AA1323&lt;&gt;"",AA1323,"")))</f>
        <v>A</v>
      </c>
      <c r="AQ1323" s="84" t="str">
        <f aca="false">IF(E1323="","",IF(U1323="","À SOUDER",IF(X1323="","VT EN ATTENTE",IF(X1323="R","VT REJETÉ – À REPRENDRE",IF(AP1323="","À RADIOGRAPHIER",IF(AP1323="A","ACCEPTÉ",IF(AP1323="NX","NX – RT À REFAIRE",IF(IF(AO1323=1,AD1323,IF(AO1323=2,AI1323,""))="A","RÉPARÉ – À RADIOGRAPHIER",IF(IF(AO1323=1,AD1323,IF(AO1323=2,AI1323,""))="R","VT REJETÉ – À REPRENDRE",IF(OR(AP1323="CO",AP1323="NT"),"COUPE – À RESOUDER","À RÉPARER"))))))))))</f>
        <v>ACCEPTÉ</v>
      </c>
      <c r="AR1323" s="82" t="str">
        <f aca="false">IF(AND(ISNUMBER(U1323),OR(AQ1323="À RADIOGRAPHIER",AQ1323="RÉPARÉ – À RADIOGRAPHIER",AQ1323="NX – RT À REFAIRE",AQ1323="À RÉPARER",AQ1323="COUPE – À RESOUDER",AQ1323="VT REJETÉ – À REPRENDRE")),MAX(0,'PROGRAMME RT'!$C$4-U1323),"")</f>
        <v/>
      </c>
      <c r="AS1323" s="82" t="n">
        <f aca="false">IF(AND(OR(AQ1323="À RADIOGRAPHIER",AQ1323="RÉPARÉ – À RADIOGRAPHIER",AQ1323="NX – RT À REFAIRE"),OR('PROGRAMME RT'!$D$5="TOUTES",B1323='PROGRAMME RT'!$D$5)),1,0)</f>
        <v>0</v>
      </c>
      <c r="AT1323" s="82" t="str">
        <f aca="false">IF(AS1323=1,SUM(AS$7:AS1323),"")</f>
        <v/>
      </c>
      <c r="AU1323" s="82" t="n">
        <f aca="false">IF(AND(OR(AA1323="R",AA1323="NX",AA1323="NT",AA1323="CO"),OR('JOINTS DE RÉPARATION'!$D$5="TOUTES",B1323='JOINTS DE RÉPARATION'!$D$5),OR('JOINTS DE RÉPARATION'!$L$4="TOUS",AQ1323&lt;&gt;"ACCEPTÉ")),1,0)</f>
        <v>0</v>
      </c>
      <c r="AV1323" s="82" t="str">
        <f aca="false">IF(AU1323=1,SUM(AU$7:AU1323),"")</f>
        <v/>
      </c>
      <c r="AW1323" s="82" t="str">
        <f aca="false">IF(E1323="","",B1323&amp;"|"&amp;E1323)</f>
        <v>MFD-ISW → MFD-CPF|JN°1107</v>
      </c>
    </row>
    <row r="1324" customFormat="false" ht="74.6" hidden="false" customHeight="false" outlineLevel="0" collapsed="false">
      <c r="A1324" s="79" t="n">
        <f aca="false">IF(E1324="","",ROW()-6)</f>
        <v>1318</v>
      </c>
      <c r="B1324" s="80" t="s">
        <v>110</v>
      </c>
      <c r="C1324" s="81" t="s">
        <v>1587</v>
      </c>
      <c r="D1324" s="81" t="n">
        <v>11</v>
      </c>
      <c r="E1324" s="81" t="s">
        <v>1595</v>
      </c>
      <c r="F1324" s="82" t="str">
        <f aca="false">IF(E1324="","",IF(LEFT(E1324,2)="DJ","DJ","JN"))</f>
        <v>DJ</v>
      </c>
      <c r="G1324" s="81"/>
      <c r="H1324" s="81" t="s">
        <v>871</v>
      </c>
      <c r="I1324" s="81" t="n">
        <v>9.53</v>
      </c>
      <c r="J1324" s="81" t="s">
        <v>872</v>
      </c>
      <c r="K1324" s="81" t="s">
        <v>873</v>
      </c>
      <c r="L1324" s="81" t="n">
        <v>2096240</v>
      </c>
      <c r="M1324" s="81" t="n">
        <v>15421111</v>
      </c>
      <c r="N1324" s="81" t="n">
        <v>11.94</v>
      </c>
      <c r="O1324" s="81" t="n">
        <v>2080670</v>
      </c>
      <c r="P1324" s="81" t="n">
        <v>15421109</v>
      </c>
      <c r="Q1324" s="81" t="n">
        <v>11.94</v>
      </c>
      <c r="R1324" s="81" t="s">
        <v>963</v>
      </c>
      <c r="S1324" s="81"/>
      <c r="T1324" s="81"/>
      <c r="U1324" s="83" t="n">
        <v>46271</v>
      </c>
      <c r="V1324" s="83" t="n">
        <v>46271</v>
      </c>
      <c r="W1324" s="81" t="s">
        <v>1536</v>
      </c>
      <c r="X1324" s="81" t="s">
        <v>876</v>
      </c>
      <c r="Y1324" s="83" t="n">
        <v>46272</v>
      </c>
      <c r="Z1324" s="81" t="s">
        <v>1542</v>
      </c>
      <c r="AA1324" s="81" t="s">
        <v>876</v>
      </c>
      <c r="AB1324" s="81"/>
      <c r="AC1324" s="81"/>
      <c r="AD1324" s="81"/>
      <c r="AE1324" s="83"/>
      <c r="AF1324" s="81"/>
      <c r="AG1324" s="81"/>
      <c r="AH1324" s="81"/>
      <c r="AI1324" s="81"/>
      <c r="AJ1324" s="83"/>
      <c r="AK1324" s="81"/>
      <c r="AL1324" s="81"/>
      <c r="AM1324" s="83"/>
      <c r="AN1324" s="80"/>
      <c r="AO1324" s="82" t="n">
        <f aca="false">IF(E1324="","",(AA1324&lt;&gt;"")+(AG1324&lt;&gt;"")+(AL1324&lt;&gt;""))</f>
        <v>1</v>
      </c>
      <c r="AP1324" s="82" t="str">
        <f aca="false">IF(AL1324&lt;&gt;"",AL1324,IF(AG1324&lt;&gt;"",AG1324,IF(AA1324&lt;&gt;"",AA1324,"")))</f>
        <v>A</v>
      </c>
      <c r="AQ1324" s="84" t="str">
        <f aca="false">IF(E1324="","",IF(U1324="","À SOUDER",IF(X1324="","VT EN ATTENTE",IF(X1324="R","VT REJETÉ – À REPRENDRE",IF(AP1324="","À RADIOGRAPHIER",IF(AP1324="A","ACCEPTÉ",IF(AP1324="NX","NX – RT À REFAIRE",IF(IF(AO1324=1,AD1324,IF(AO1324=2,AI1324,""))="A","RÉPARÉ – À RADIOGRAPHIER",IF(IF(AO1324=1,AD1324,IF(AO1324=2,AI1324,""))="R","VT REJETÉ – À REPRENDRE",IF(OR(AP1324="CO",AP1324="NT"),"COUPE – À RESOUDER","À RÉPARER"))))))))))</f>
        <v>ACCEPTÉ</v>
      </c>
      <c r="AR1324" s="82" t="str">
        <f aca="false">IF(AND(ISNUMBER(U1324),OR(AQ1324="À RADIOGRAPHIER",AQ1324="RÉPARÉ – À RADIOGRAPHIER",AQ1324="NX – RT À REFAIRE",AQ1324="À RÉPARER",AQ1324="COUPE – À RESOUDER",AQ1324="VT REJETÉ – À REPRENDRE")),MAX(0,'PROGRAMME RT'!$C$4-U1324),"")</f>
        <v/>
      </c>
      <c r="AS1324" s="82" t="n">
        <f aca="false">IF(AND(OR(AQ1324="À RADIOGRAPHIER",AQ1324="RÉPARÉ – À RADIOGRAPHIER",AQ1324="NX – RT À REFAIRE"),OR('PROGRAMME RT'!$D$5="TOUTES",B1324='PROGRAMME RT'!$D$5)),1,0)</f>
        <v>0</v>
      </c>
      <c r="AT1324" s="82" t="str">
        <f aca="false">IF(AS1324=1,SUM(AS$7:AS1324),"")</f>
        <v/>
      </c>
      <c r="AU1324" s="82" t="n">
        <f aca="false">IF(AND(OR(AA1324="R",AA1324="NX",AA1324="NT",AA1324="CO"),OR('JOINTS DE RÉPARATION'!$D$5="TOUTES",B1324='JOINTS DE RÉPARATION'!$D$5),OR('JOINTS DE RÉPARATION'!$L$4="TOUS",AQ1324&lt;&gt;"ACCEPTÉ")),1,0)</f>
        <v>0</v>
      </c>
      <c r="AV1324" s="82" t="str">
        <f aca="false">IF(AU1324=1,SUM(AU$7:AU1324),"")</f>
        <v/>
      </c>
      <c r="AW1324" s="82" t="str">
        <f aca="false">IF(E1324="","",B1324&amp;"|"&amp;E1324)</f>
        <v>MFD-ISW → MFD-CPF|DJ°293</v>
      </c>
    </row>
    <row r="1325" customFormat="false" ht="74.6" hidden="false" customHeight="false" outlineLevel="0" collapsed="false">
      <c r="A1325" s="79" t="n">
        <f aca="false">IF(E1325="","",ROW()-6)</f>
        <v>1319</v>
      </c>
      <c r="B1325" s="80" t="s">
        <v>110</v>
      </c>
      <c r="C1325" s="81" t="s">
        <v>1587</v>
      </c>
      <c r="D1325" s="81" t="n">
        <v>11</v>
      </c>
      <c r="E1325" s="81" t="s">
        <v>1596</v>
      </c>
      <c r="F1325" s="82" t="str">
        <f aca="false">IF(E1325="","",IF(LEFT(E1325,2)="DJ","DJ","JN"))</f>
        <v>JN</v>
      </c>
      <c r="G1325" s="81" t="s">
        <v>1504</v>
      </c>
      <c r="H1325" s="81" t="s">
        <v>871</v>
      </c>
      <c r="I1325" s="81" t="n">
        <v>9.53</v>
      </c>
      <c r="J1325" s="81" t="s">
        <v>872</v>
      </c>
      <c r="K1325" s="81" t="s">
        <v>879</v>
      </c>
      <c r="L1325" s="81" t="n">
        <v>2080670</v>
      </c>
      <c r="M1325" s="81" t="n">
        <v>15421109</v>
      </c>
      <c r="N1325" s="81" t="n">
        <v>11.94</v>
      </c>
      <c r="O1325" s="81" t="n">
        <v>2088100</v>
      </c>
      <c r="P1325" s="81" t="n">
        <v>15421108</v>
      </c>
      <c r="Q1325" s="81" t="n">
        <v>11.94</v>
      </c>
      <c r="R1325" s="81" t="s">
        <v>1367</v>
      </c>
      <c r="S1325" s="81"/>
      <c r="T1325" s="81"/>
      <c r="U1325" s="83" t="n">
        <v>46277</v>
      </c>
      <c r="V1325" s="83" t="n">
        <v>46277</v>
      </c>
      <c r="W1325" s="81" t="s">
        <v>1567</v>
      </c>
      <c r="X1325" s="81" t="s">
        <v>876</v>
      </c>
      <c r="Y1325" s="83" t="n">
        <v>46282</v>
      </c>
      <c r="Z1325" s="81" t="s">
        <v>1594</v>
      </c>
      <c r="AA1325" s="81" t="s">
        <v>1073</v>
      </c>
      <c r="AB1325" s="81" t="s">
        <v>1597</v>
      </c>
      <c r="AC1325" s="81"/>
      <c r="AD1325" s="81"/>
      <c r="AE1325" s="83"/>
      <c r="AF1325" s="81"/>
      <c r="AG1325" s="81"/>
      <c r="AH1325" s="81"/>
      <c r="AI1325" s="81"/>
      <c r="AJ1325" s="83"/>
      <c r="AK1325" s="81"/>
      <c r="AL1325" s="81"/>
      <c r="AM1325" s="83"/>
      <c r="AN1325" s="80"/>
      <c r="AO1325" s="82" t="n">
        <f aca="false">IF(E1325="","",(AA1325&lt;&gt;"")+(AG1325&lt;&gt;"")+(AL1325&lt;&gt;""))</f>
        <v>1</v>
      </c>
      <c r="AP1325" s="82" t="str">
        <f aca="false">IF(AL1325&lt;&gt;"",AL1325,IF(AG1325&lt;&gt;"",AG1325,IF(AA1325&lt;&gt;"",AA1325,"")))</f>
        <v>R</v>
      </c>
      <c r="AQ1325" s="84" t="str">
        <f aca="false">IF(E1325="","",IF(U1325="","À SOUDER",IF(X1325="","VT EN ATTENTE",IF(X1325="R","VT REJETÉ – À REPRENDRE",IF(AP1325="","À RADIOGRAPHIER",IF(AP1325="A","ACCEPTÉ",IF(AP1325="NX","NX – RT À REFAIRE",IF(IF(AO1325=1,AD1325,IF(AO1325=2,AI1325,""))="A","RÉPARÉ – À RADIOGRAPHIER",IF(IF(AO1325=1,AD1325,IF(AO1325=2,AI1325,""))="R","VT REJETÉ – À REPRENDRE",IF(OR(AP1325="CO",AP1325="NT"),"COUPE – À RESOUDER","À RÉPARER"))))))))))</f>
        <v>À RÉPARER</v>
      </c>
      <c r="AR1325" s="82" t="n">
        <f aca="false">IF(AND(ISNUMBER(U1325),OR(AQ1325="À RADIOGRAPHIER",AQ1325="RÉPARÉ – À RADIOGRAPHIER",AQ1325="NX – RT À REFAIRE",AQ1325="À RÉPARER",AQ1325="COUPE – À RESOUDER",AQ1325="VT REJETÉ – À REPRENDRE")),MAX(0,'PROGRAMME RT'!$C$4-U1325),"")</f>
        <v>16</v>
      </c>
      <c r="AS1325" s="82" t="n">
        <f aca="false">IF(AND(OR(AQ1325="À RADIOGRAPHIER",AQ1325="RÉPARÉ – À RADIOGRAPHIER",AQ1325="NX – RT À REFAIRE"),OR('PROGRAMME RT'!$D$5="TOUTES",B1325='PROGRAMME RT'!$D$5)),1,0)</f>
        <v>0</v>
      </c>
      <c r="AT1325" s="82" t="str">
        <f aca="false">IF(AS1325=1,SUM(AS$7:AS1325),"")</f>
        <v/>
      </c>
      <c r="AU1325" s="82" t="n">
        <f aca="false">IF(AND(OR(AA1325="R",AA1325="NX",AA1325="NT",AA1325="CO"),OR('JOINTS DE RÉPARATION'!$D$5="TOUTES",B1325='JOINTS DE RÉPARATION'!$D$5),OR('JOINTS DE RÉPARATION'!$L$4="TOUS",AQ1325&lt;&gt;"ACCEPTÉ")),1,0)</f>
        <v>1</v>
      </c>
      <c r="AV1325" s="82" t="n">
        <f aca="false">IF(AU1325=1,SUM(AU$7:AU1325),"")</f>
        <v>33</v>
      </c>
      <c r="AW1325" s="82" t="str">
        <f aca="false">IF(E1325="","",B1325&amp;"|"&amp;E1325)</f>
        <v>MFD-ISW → MFD-CPF|JN°1108</v>
      </c>
    </row>
    <row r="1326" customFormat="false" ht="74.6" hidden="false" customHeight="false" outlineLevel="0" collapsed="false">
      <c r="A1326" s="79" t="n">
        <f aca="false">IF(E1326="","",ROW()-6)</f>
        <v>1320</v>
      </c>
      <c r="B1326" s="80" t="s">
        <v>110</v>
      </c>
      <c r="C1326" s="81" t="s">
        <v>1587</v>
      </c>
      <c r="D1326" s="81" t="n">
        <v>11</v>
      </c>
      <c r="E1326" s="81" t="s">
        <v>1598</v>
      </c>
      <c r="F1326" s="82" t="str">
        <f aca="false">IF(E1326="","",IF(LEFT(E1326,2)="DJ","DJ","JN"))</f>
        <v>DJ</v>
      </c>
      <c r="G1326" s="81"/>
      <c r="H1326" s="81" t="s">
        <v>871</v>
      </c>
      <c r="I1326" s="81" t="n">
        <v>9.53</v>
      </c>
      <c r="J1326" s="81" t="s">
        <v>872</v>
      </c>
      <c r="K1326" s="81" t="s">
        <v>873</v>
      </c>
      <c r="L1326" s="81" t="n">
        <v>2088100</v>
      </c>
      <c r="M1326" s="81" t="n">
        <v>15421108</v>
      </c>
      <c r="N1326" s="81" t="n">
        <v>11.94</v>
      </c>
      <c r="O1326" s="81" t="n">
        <v>2090320</v>
      </c>
      <c r="P1326" s="81" t="n">
        <v>15421109</v>
      </c>
      <c r="Q1326" s="81" t="n">
        <v>11.94</v>
      </c>
      <c r="R1326" s="81" t="s">
        <v>1517</v>
      </c>
      <c r="S1326" s="81"/>
      <c r="T1326" s="81"/>
      <c r="U1326" s="83" t="n">
        <v>46270</v>
      </c>
      <c r="V1326" s="83" t="n">
        <v>46270</v>
      </c>
      <c r="W1326" s="81" t="s">
        <v>1444</v>
      </c>
      <c r="X1326" s="81" t="s">
        <v>876</v>
      </c>
      <c r="Y1326" s="83" t="n">
        <v>46271</v>
      </c>
      <c r="Z1326" s="81" t="s">
        <v>1599</v>
      </c>
      <c r="AA1326" s="81" t="s">
        <v>876</v>
      </c>
      <c r="AB1326" s="81"/>
      <c r="AC1326" s="81"/>
      <c r="AD1326" s="81"/>
      <c r="AE1326" s="83"/>
      <c r="AF1326" s="81"/>
      <c r="AG1326" s="81"/>
      <c r="AH1326" s="81"/>
      <c r="AI1326" s="81"/>
      <c r="AJ1326" s="83"/>
      <c r="AK1326" s="81"/>
      <c r="AL1326" s="81"/>
      <c r="AM1326" s="83"/>
      <c r="AN1326" s="80"/>
      <c r="AO1326" s="82" t="n">
        <f aca="false">IF(E1326="","",(AA1326&lt;&gt;"")+(AG1326&lt;&gt;"")+(AL1326&lt;&gt;""))</f>
        <v>1</v>
      </c>
      <c r="AP1326" s="82" t="str">
        <f aca="false">IF(AL1326&lt;&gt;"",AL1326,IF(AG1326&lt;&gt;"",AG1326,IF(AA1326&lt;&gt;"",AA1326,"")))</f>
        <v>A</v>
      </c>
      <c r="AQ1326" s="84" t="str">
        <f aca="false">IF(E1326="","",IF(U1326="","À SOUDER",IF(X1326="","VT EN ATTENTE",IF(X1326="R","VT REJETÉ – À REPRENDRE",IF(AP1326="","À RADIOGRAPHIER",IF(AP1326="A","ACCEPTÉ",IF(AP1326="NX","NX – RT À REFAIRE",IF(IF(AO1326=1,AD1326,IF(AO1326=2,AI1326,""))="A","RÉPARÉ – À RADIOGRAPHIER",IF(IF(AO1326=1,AD1326,IF(AO1326=2,AI1326,""))="R","VT REJETÉ – À REPRENDRE",IF(OR(AP1326="CO",AP1326="NT"),"COUPE – À RESOUDER","À RÉPARER"))))))))))</f>
        <v>ACCEPTÉ</v>
      </c>
      <c r="AR1326" s="82" t="str">
        <f aca="false">IF(AND(ISNUMBER(U1326),OR(AQ1326="À RADIOGRAPHIER",AQ1326="RÉPARÉ – À RADIOGRAPHIER",AQ1326="NX – RT À REFAIRE",AQ1326="À RÉPARER",AQ1326="COUPE – À RESOUDER",AQ1326="VT REJETÉ – À REPRENDRE")),MAX(0,'PROGRAMME RT'!$C$4-U1326),"")</f>
        <v/>
      </c>
      <c r="AS1326" s="82" t="n">
        <f aca="false">IF(AND(OR(AQ1326="À RADIOGRAPHIER",AQ1326="RÉPARÉ – À RADIOGRAPHIER",AQ1326="NX – RT À REFAIRE"),OR('PROGRAMME RT'!$D$5="TOUTES",B1326='PROGRAMME RT'!$D$5)),1,0)</f>
        <v>0</v>
      </c>
      <c r="AT1326" s="82" t="str">
        <f aca="false">IF(AS1326=1,SUM(AS$7:AS1326),"")</f>
        <v/>
      </c>
      <c r="AU1326" s="82" t="n">
        <f aca="false">IF(AND(OR(AA1326="R",AA1326="NX",AA1326="NT",AA1326="CO"),OR('JOINTS DE RÉPARATION'!$D$5="TOUTES",B1326='JOINTS DE RÉPARATION'!$D$5),OR('JOINTS DE RÉPARATION'!$L$4="TOUS",AQ1326&lt;&gt;"ACCEPTÉ")),1,0)</f>
        <v>0</v>
      </c>
      <c r="AV1326" s="82" t="str">
        <f aca="false">IF(AU1326=1,SUM(AU$7:AU1326),"")</f>
        <v/>
      </c>
      <c r="AW1326" s="82" t="str">
        <f aca="false">IF(E1326="","",B1326&amp;"|"&amp;E1326)</f>
        <v>MFD-ISW → MFD-CPF|DJ°289</v>
      </c>
    </row>
    <row r="1327" customFormat="false" ht="74.6" hidden="false" customHeight="false" outlineLevel="0" collapsed="false">
      <c r="A1327" s="79" t="n">
        <f aca="false">IF(E1327="","",ROW()-6)</f>
        <v>1321</v>
      </c>
      <c r="B1327" s="80" t="s">
        <v>110</v>
      </c>
      <c r="C1327" s="81" t="s">
        <v>1587</v>
      </c>
      <c r="D1327" s="81" t="n">
        <v>11</v>
      </c>
      <c r="E1327" s="81" t="s">
        <v>1600</v>
      </c>
      <c r="F1327" s="82" t="str">
        <f aca="false">IF(E1327="","",IF(LEFT(E1327,2)="DJ","DJ","JN"))</f>
        <v>JN</v>
      </c>
      <c r="G1327" s="81" t="s">
        <v>1504</v>
      </c>
      <c r="H1327" s="81" t="s">
        <v>871</v>
      </c>
      <c r="I1327" s="81" t="n">
        <v>9.53</v>
      </c>
      <c r="J1327" s="81" t="s">
        <v>872</v>
      </c>
      <c r="K1327" s="81" t="s">
        <v>879</v>
      </c>
      <c r="L1327" s="81" t="n">
        <v>2090320</v>
      </c>
      <c r="M1327" s="81" t="n">
        <v>15421109</v>
      </c>
      <c r="N1327" s="81" t="n">
        <v>11.94</v>
      </c>
      <c r="O1327" s="81" t="n">
        <v>2089600</v>
      </c>
      <c r="P1327" s="81" t="n">
        <v>15421109</v>
      </c>
      <c r="Q1327" s="81" t="n">
        <v>11.94</v>
      </c>
      <c r="R1327" s="81" t="s">
        <v>1367</v>
      </c>
      <c r="S1327" s="81"/>
      <c r="T1327" s="81"/>
      <c r="U1327" s="83" t="n">
        <v>46277</v>
      </c>
      <c r="V1327" s="83" t="n">
        <v>46277</v>
      </c>
      <c r="W1327" s="81" t="s">
        <v>1567</v>
      </c>
      <c r="X1327" s="81" t="s">
        <v>876</v>
      </c>
      <c r="Y1327" s="83" t="n">
        <v>46282</v>
      </c>
      <c r="Z1327" s="81" t="s">
        <v>1594</v>
      </c>
      <c r="AA1327" s="81" t="s">
        <v>876</v>
      </c>
      <c r="AB1327" s="81"/>
      <c r="AC1327" s="81"/>
      <c r="AD1327" s="81"/>
      <c r="AE1327" s="83"/>
      <c r="AF1327" s="81"/>
      <c r="AG1327" s="81"/>
      <c r="AH1327" s="81"/>
      <c r="AI1327" s="81"/>
      <c r="AJ1327" s="83"/>
      <c r="AK1327" s="81"/>
      <c r="AL1327" s="81"/>
      <c r="AM1327" s="83"/>
      <c r="AN1327" s="80"/>
      <c r="AO1327" s="82" t="n">
        <f aca="false">IF(E1327="","",(AA1327&lt;&gt;"")+(AG1327&lt;&gt;"")+(AL1327&lt;&gt;""))</f>
        <v>1</v>
      </c>
      <c r="AP1327" s="82" t="str">
        <f aca="false">IF(AL1327&lt;&gt;"",AL1327,IF(AG1327&lt;&gt;"",AG1327,IF(AA1327&lt;&gt;"",AA1327,"")))</f>
        <v>A</v>
      </c>
      <c r="AQ1327" s="84" t="str">
        <f aca="false">IF(E1327="","",IF(U1327="","À SOUDER",IF(X1327="","VT EN ATTENTE",IF(X1327="R","VT REJETÉ – À REPRENDRE",IF(AP1327="","À RADIOGRAPHIER",IF(AP1327="A","ACCEPTÉ",IF(AP1327="NX","NX – RT À REFAIRE",IF(IF(AO1327=1,AD1327,IF(AO1327=2,AI1327,""))="A","RÉPARÉ – À RADIOGRAPHIER",IF(IF(AO1327=1,AD1327,IF(AO1327=2,AI1327,""))="R","VT REJETÉ – À REPRENDRE",IF(OR(AP1327="CO",AP1327="NT"),"COUPE – À RESOUDER","À RÉPARER"))))))))))</f>
        <v>ACCEPTÉ</v>
      </c>
      <c r="AR1327" s="82" t="str">
        <f aca="false">IF(AND(ISNUMBER(U1327),OR(AQ1327="À RADIOGRAPHIER",AQ1327="RÉPARÉ – À RADIOGRAPHIER",AQ1327="NX – RT À REFAIRE",AQ1327="À RÉPARER",AQ1327="COUPE – À RESOUDER",AQ1327="VT REJETÉ – À REPRENDRE")),MAX(0,'PROGRAMME RT'!$C$4-U1327),"")</f>
        <v/>
      </c>
      <c r="AS1327" s="82" t="n">
        <f aca="false">IF(AND(OR(AQ1327="À RADIOGRAPHIER",AQ1327="RÉPARÉ – À RADIOGRAPHIER",AQ1327="NX – RT À REFAIRE"),OR('PROGRAMME RT'!$D$5="TOUTES",B1327='PROGRAMME RT'!$D$5)),1,0)</f>
        <v>0</v>
      </c>
      <c r="AT1327" s="82" t="str">
        <f aca="false">IF(AS1327=1,SUM(AS$7:AS1327),"")</f>
        <v/>
      </c>
      <c r="AU1327" s="82" t="n">
        <f aca="false">IF(AND(OR(AA1327="R",AA1327="NX",AA1327="NT",AA1327="CO"),OR('JOINTS DE RÉPARATION'!$D$5="TOUTES",B1327='JOINTS DE RÉPARATION'!$D$5),OR('JOINTS DE RÉPARATION'!$L$4="TOUS",AQ1327&lt;&gt;"ACCEPTÉ")),1,0)</f>
        <v>0</v>
      </c>
      <c r="AV1327" s="82" t="str">
        <f aca="false">IF(AU1327=1,SUM(AU$7:AU1327),"")</f>
        <v/>
      </c>
      <c r="AW1327" s="82" t="str">
        <f aca="false">IF(E1327="","",B1327&amp;"|"&amp;E1327)</f>
        <v>MFD-ISW → MFD-CPF|JN°1109</v>
      </c>
    </row>
    <row r="1328" customFormat="false" ht="74.6" hidden="false" customHeight="false" outlineLevel="0" collapsed="false">
      <c r="A1328" s="79" t="n">
        <f aca="false">IF(E1328="","",ROW()-6)</f>
        <v>1322</v>
      </c>
      <c r="B1328" s="80" t="s">
        <v>110</v>
      </c>
      <c r="C1328" s="81" t="s">
        <v>1587</v>
      </c>
      <c r="D1328" s="81" t="n">
        <v>11</v>
      </c>
      <c r="E1328" s="81" t="s">
        <v>1601</v>
      </c>
      <c r="F1328" s="82" t="str">
        <f aca="false">IF(E1328="","",IF(LEFT(E1328,2)="DJ","DJ","JN"))</f>
        <v>DJ</v>
      </c>
      <c r="G1328" s="81"/>
      <c r="H1328" s="81" t="s">
        <v>871</v>
      </c>
      <c r="I1328" s="81" t="n">
        <v>9.53</v>
      </c>
      <c r="J1328" s="81" t="s">
        <v>872</v>
      </c>
      <c r="K1328" s="81" t="s">
        <v>873</v>
      </c>
      <c r="L1328" s="81" t="n">
        <v>2089600</v>
      </c>
      <c r="M1328" s="81" t="n">
        <v>15421109</v>
      </c>
      <c r="N1328" s="81" t="n">
        <v>11.94</v>
      </c>
      <c r="O1328" s="81" t="n">
        <v>2087500</v>
      </c>
      <c r="P1328" s="81" t="n">
        <v>15421112</v>
      </c>
      <c r="Q1328" s="81" t="n">
        <v>11.94</v>
      </c>
      <c r="R1328" s="81" t="s">
        <v>963</v>
      </c>
      <c r="S1328" s="81"/>
      <c r="T1328" s="81"/>
      <c r="U1328" s="83" t="n">
        <v>46270</v>
      </c>
      <c r="V1328" s="83" t="n">
        <v>46270</v>
      </c>
      <c r="W1328" s="81" t="s">
        <v>1444</v>
      </c>
      <c r="X1328" s="81" t="s">
        <v>876</v>
      </c>
      <c r="Y1328" s="83" t="n">
        <v>46271</v>
      </c>
      <c r="Z1328" s="81" t="s">
        <v>1445</v>
      </c>
      <c r="AA1328" s="81" t="s">
        <v>876</v>
      </c>
      <c r="AB1328" s="81"/>
      <c r="AC1328" s="81"/>
      <c r="AD1328" s="81"/>
      <c r="AE1328" s="83"/>
      <c r="AF1328" s="81"/>
      <c r="AG1328" s="81"/>
      <c r="AH1328" s="81"/>
      <c r="AI1328" s="81"/>
      <c r="AJ1328" s="83"/>
      <c r="AK1328" s="81"/>
      <c r="AL1328" s="81"/>
      <c r="AM1328" s="83"/>
      <c r="AN1328" s="80"/>
      <c r="AO1328" s="82" t="n">
        <f aca="false">IF(E1328="","",(AA1328&lt;&gt;"")+(AG1328&lt;&gt;"")+(AL1328&lt;&gt;""))</f>
        <v>1</v>
      </c>
      <c r="AP1328" s="82" t="str">
        <f aca="false">IF(AL1328&lt;&gt;"",AL1328,IF(AG1328&lt;&gt;"",AG1328,IF(AA1328&lt;&gt;"",AA1328,"")))</f>
        <v>A</v>
      </c>
      <c r="AQ1328" s="84" t="str">
        <f aca="false">IF(E1328="","",IF(U1328="","À SOUDER",IF(X1328="","VT EN ATTENTE",IF(X1328="R","VT REJETÉ – À REPRENDRE",IF(AP1328="","À RADIOGRAPHIER",IF(AP1328="A","ACCEPTÉ",IF(AP1328="NX","NX – RT À REFAIRE",IF(IF(AO1328=1,AD1328,IF(AO1328=2,AI1328,""))="A","RÉPARÉ – À RADIOGRAPHIER",IF(IF(AO1328=1,AD1328,IF(AO1328=2,AI1328,""))="R","VT REJETÉ – À REPRENDRE",IF(OR(AP1328="CO",AP1328="NT"),"COUPE – À RESOUDER","À RÉPARER"))))))))))</f>
        <v>ACCEPTÉ</v>
      </c>
      <c r="AR1328" s="82" t="str">
        <f aca="false">IF(AND(ISNUMBER(U1328),OR(AQ1328="À RADIOGRAPHIER",AQ1328="RÉPARÉ – À RADIOGRAPHIER",AQ1328="NX – RT À REFAIRE",AQ1328="À RÉPARER",AQ1328="COUPE – À RESOUDER",AQ1328="VT REJETÉ – À REPRENDRE")),MAX(0,'PROGRAMME RT'!$C$4-U1328),"")</f>
        <v/>
      </c>
      <c r="AS1328" s="82" t="n">
        <f aca="false">IF(AND(OR(AQ1328="À RADIOGRAPHIER",AQ1328="RÉPARÉ – À RADIOGRAPHIER",AQ1328="NX – RT À REFAIRE"),OR('PROGRAMME RT'!$D$5="TOUTES",B1328='PROGRAMME RT'!$D$5)),1,0)</f>
        <v>0</v>
      </c>
      <c r="AT1328" s="82" t="str">
        <f aca="false">IF(AS1328=1,SUM(AS$7:AS1328),"")</f>
        <v/>
      </c>
      <c r="AU1328" s="82" t="n">
        <f aca="false">IF(AND(OR(AA1328="R",AA1328="NX",AA1328="NT",AA1328="CO"),OR('JOINTS DE RÉPARATION'!$D$5="TOUTES",B1328='JOINTS DE RÉPARATION'!$D$5),OR('JOINTS DE RÉPARATION'!$L$4="TOUS",AQ1328&lt;&gt;"ACCEPTÉ")),1,0)</f>
        <v>0</v>
      </c>
      <c r="AV1328" s="82" t="str">
        <f aca="false">IF(AU1328=1,SUM(AU$7:AU1328),"")</f>
        <v/>
      </c>
      <c r="AW1328" s="82" t="str">
        <f aca="false">IF(E1328="","",B1328&amp;"|"&amp;E1328)</f>
        <v>MFD-ISW → MFD-CPF|DJ°277</v>
      </c>
    </row>
    <row r="1329" customFormat="false" ht="74.6" hidden="false" customHeight="false" outlineLevel="0" collapsed="false">
      <c r="A1329" s="79" t="n">
        <f aca="false">IF(E1329="","",ROW()-6)</f>
        <v>1323</v>
      </c>
      <c r="B1329" s="80" t="s">
        <v>110</v>
      </c>
      <c r="C1329" s="81" t="s">
        <v>1587</v>
      </c>
      <c r="D1329" s="81" t="n">
        <v>11</v>
      </c>
      <c r="E1329" s="81" t="s">
        <v>1602</v>
      </c>
      <c r="F1329" s="82" t="str">
        <f aca="false">IF(E1329="","",IF(LEFT(E1329,2)="DJ","DJ","JN"))</f>
        <v>JN</v>
      </c>
      <c r="G1329" s="81" t="s">
        <v>1504</v>
      </c>
      <c r="H1329" s="81" t="s">
        <v>871</v>
      </c>
      <c r="I1329" s="81" t="n">
        <v>9.53</v>
      </c>
      <c r="J1329" s="81" t="s">
        <v>872</v>
      </c>
      <c r="K1329" s="81" t="s">
        <v>879</v>
      </c>
      <c r="L1329" s="81" t="n">
        <v>2087500</v>
      </c>
      <c r="M1329" s="81" t="n">
        <v>15421112</v>
      </c>
      <c r="N1329" s="81" t="n">
        <v>11.94</v>
      </c>
      <c r="O1329" s="81" t="n">
        <v>2080230</v>
      </c>
      <c r="P1329" s="81" t="n">
        <v>15421102</v>
      </c>
      <c r="Q1329" s="81" t="n">
        <v>11.94</v>
      </c>
      <c r="R1329" s="81" t="s">
        <v>1367</v>
      </c>
      <c r="S1329" s="81"/>
      <c r="T1329" s="81"/>
      <c r="U1329" s="83" t="n">
        <v>46277</v>
      </c>
      <c r="V1329" s="83" t="n">
        <v>46277</v>
      </c>
      <c r="W1329" s="81" t="s">
        <v>1567</v>
      </c>
      <c r="X1329" s="81" t="s">
        <v>876</v>
      </c>
      <c r="Y1329" s="83" t="n">
        <v>46282</v>
      </c>
      <c r="Z1329" s="81" t="s">
        <v>1594</v>
      </c>
      <c r="AA1329" s="81" t="s">
        <v>876</v>
      </c>
      <c r="AB1329" s="81"/>
      <c r="AC1329" s="81"/>
      <c r="AD1329" s="81"/>
      <c r="AE1329" s="83"/>
      <c r="AF1329" s="81"/>
      <c r="AG1329" s="81"/>
      <c r="AH1329" s="81"/>
      <c r="AI1329" s="81"/>
      <c r="AJ1329" s="83"/>
      <c r="AK1329" s="81"/>
      <c r="AL1329" s="81"/>
      <c r="AM1329" s="83"/>
      <c r="AN1329" s="80"/>
      <c r="AO1329" s="82" t="n">
        <f aca="false">IF(E1329="","",(AA1329&lt;&gt;"")+(AG1329&lt;&gt;"")+(AL1329&lt;&gt;""))</f>
        <v>1</v>
      </c>
      <c r="AP1329" s="82" t="str">
        <f aca="false">IF(AL1329&lt;&gt;"",AL1329,IF(AG1329&lt;&gt;"",AG1329,IF(AA1329&lt;&gt;"",AA1329,"")))</f>
        <v>A</v>
      </c>
      <c r="AQ1329" s="84" t="str">
        <f aca="false">IF(E1329="","",IF(U1329="","À SOUDER",IF(X1329="","VT EN ATTENTE",IF(X1329="R","VT REJETÉ – À REPRENDRE",IF(AP1329="","À RADIOGRAPHIER",IF(AP1329="A","ACCEPTÉ",IF(AP1329="NX","NX – RT À REFAIRE",IF(IF(AO1329=1,AD1329,IF(AO1329=2,AI1329,""))="A","RÉPARÉ – À RADIOGRAPHIER",IF(IF(AO1329=1,AD1329,IF(AO1329=2,AI1329,""))="R","VT REJETÉ – À REPRENDRE",IF(OR(AP1329="CO",AP1329="NT"),"COUPE – À RESOUDER","À RÉPARER"))))))))))</f>
        <v>ACCEPTÉ</v>
      </c>
      <c r="AR1329" s="82" t="str">
        <f aca="false">IF(AND(ISNUMBER(U1329),OR(AQ1329="À RADIOGRAPHIER",AQ1329="RÉPARÉ – À RADIOGRAPHIER",AQ1329="NX – RT À REFAIRE",AQ1329="À RÉPARER",AQ1329="COUPE – À RESOUDER",AQ1329="VT REJETÉ – À REPRENDRE")),MAX(0,'PROGRAMME RT'!$C$4-U1329),"")</f>
        <v/>
      </c>
      <c r="AS1329" s="82" t="n">
        <f aca="false">IF(AND(OR(AQ1329="À RADIOGRAPHIER",AQ1329="RÉPARÉ – À RADIOGRAPHIER",AQ1329="NX – RT À REFAIRE"),OR('PROGRAMME RT'!$D$5="TOUTES",B1329='PROGRAMME RT'!$D$5)),1,0)</f>
        <v>0</v>
      </c>
      <c r="AT1329" s="82" t="str">
        <f aca="false">IF(AS1329=1,SUM(AS$7:AS1329),"")</f>
        <v/>
      </c>
      <c r="AU1329" s="82" t="n">
        <f aca="false">IF(AND(OR(AA1329="R",AA1329="NX",AA1329="NT",AA1329="CO"),OR('JOINTS DE RÉPARATION'!$D$5="TOUTES",B1329='JOINTS DE RÉPARATION'!$D$5),OR('JOINTS DE RÉPARATION'!$L$4="TOUS",AQ1329&lt;&gt;"ACCEPTÉ")),1,0)</f>
        <v>0</v>
      </c>
      <c r="AV1329" s="82" t="str">
        <f aca="false">IF(AU1329=1,SUM(AU$7:AU1329),"")</f>
        <v/>
      </c>
      <c r="AW1329" s="82" t="str">
        <f aca="false">IF(E1329="","",B1329&amp;"|"&amp;E1329)</f>
        <v>MFD-ISW → MFD-CPF|JN°1110</v>
      </c>
    </row>
    <row r="1330" customFormat="false" ht="74.6" hidden="false" customHeight="false" outlineLevel="0" collapsed="false">
      <c r="A1330" s="79" t="n">
        <f aca="false">IF(E1330="","",ROW()-6)</f>
        <v>1324</v>
      </c>
      <c r="B1330" s="80" t="s">
        <v>110</v>
      </c>
      <c r="C1330" s="81" t="s">
        <v>1587</v>
      </c>
      <c r="D1330" s="81" t="n">
        <v>11</v>
      </c>
      <c r="E1330" s="81" t="s">
        <v>1603</v>
      </c>
      <c r="F1330" s="82" t="str">
        <f aca="false">IF(E1330="","",IF(LEFT(E1330,2)="DJ","DJ","JN"))</f>
        <v>DJ</v>
      </c>
      <c r="G1330" s="81"/>
      <c r="H1330" s="81" t="s">
        <v>871</v>
      </c>
      <c r="I1330" s="81" t="n">
        <v>9.53</v>
      </c>
      <c r="J1330" s="81" t="s">
        <v>872</v>
      </c>
      <c r="K1330" s="81" t="s">
        <v>873</v>
      </c>
      <c r="L1330" s="81" t="n">
        <v>2080230</v>
      </c>
      <c r="M1330" s="81" t="n">
        <v>15421102</v>
      </c>
      <c r="N1330" s="81" t="n">
        <v>11.94</v>
      </c>
      <c r="O1330" s="81" t="n">
        <v>2085820</v>
      </c>
      <c r="P1330" s="81" t="n">
        <v>15421107</v>
      </c>
      <c r="Q1330" s="81" t="n">
        <v>11.94</v>
      </c>
      <c r="R1330" s="81" t="s">
        <v>1517</v>
      </c>
      <c r="S1330" s="81"/>
      <c r="T1330" s="81"/>
      <c r="U1330" s="83" t="n">
        <v>46270</v>
      </c>
      <c r="V1330" s="83" t="n">
        <v>46270</v>
      </c>
      <c r="W1330" s="81" t="s">
        <v>1444</v>
      </c>
      <c r="X1330" s="81" t="s">
        <v>876</v>
      </c>
      <c r="Y1330" s="83" t="n">
        <v>46271</v>
      </c>
      <c r="Z1330" s="81" t="s">
        <v>1599</v>
      </c>
      <c r="AA1330" s="81" t="s">
        <v>876</v>
      </c>
      <c r="AB1330" s="81"/>
      <c r="AC1330" s="81"/>
      <c r="AD1330" s="81"/>
      <c r="AE1330" s="83"/>
      <c r="AF1330" s="81"/>
      <c r="AG1330" s="81"/>
      <c r="AH1330" s="81"/>
      <c r="AI1330" s="81"/>
      <c r="AJ1330" s="83"/>
      <c r="AK1330" s="81"/>
      <c r="AL1330" s="81"/>
      <c r="AM1330" s="83"/>
      <c r="AN1330" s="80"/>
      <c r="AO1330" s="82" t="n">
        <f aca="false">IF(E1330="","",(AA1330&lt;&gt;"")+(AG1330&lt;&gt;"")+(AL1330&lt;&gt;""))</f>
        <v>1</v>
      </c>
      <c r="AP1330" s="82" t="str">
        <f aca="false">IF(AL1330&lt;&gt;"",AL1330,IF(AG1330&lt;&gt;"",AG1330,IF(AA1330&lt;&gt;"",AA1330,"")))</f>
        <v>A</v>
      </c>
      <c r="AQ1330" s="84" t="str">
        <f aca="false">IF(E1330="","",IF(U1330="","À SOUDER",IF(X1330="","VT EN ATTENTE",IF(X1330="R","VT REJETÉ – À REPRENDRE",IF(AP1330="","À RADIOGRAPHIER",IF(AP1330="A","ACCEPTÉ",IF(AP1330="NX","NX – RT À REFAIRE",IF(IF(AO1330=1,AD1330,IF(AO1330=2,AI1330,""))="A","RÉPARÉ – À RADIOGRAPHIER",IF(IF(AO1330=1,AD1330,IF(AO1330=2,AI1330,""))="R","VT REJETÉ – À REPRENDRE",IF(OR(AP1330="CO",AP1330="NT"),"COUPE – À RESOUDER","À RÉPARER"))))))))))</f>
        <v>ACCEPTÉ</v>
      </c>
      <c r="AR1330" s="82" t="str">
        <f aca="false">IF(AND(ISNUMBER(U1330),OR(AQ1330="À RADIOGRAPHIER",AQ1330="RÉPARÉ – À RADIOGRAPHIER",AQ1330="NX – RT À REFAIRE",AQ1330="À RÉPARER",AQ1330="COUPE – À RESOUDER",AQ1330="VT REJETÉ – À REPRENDRE")),MAX(0,'PROGRAMME RT'!$C$4-U1330),"")</f>
        <v/>
      </c>
      <c r="AS1330" s="82" t="n">
        <f aca="false">IF(AND(OR(AQ1330="À RADIOGRAPHIER",AQ1330="RÉPARÉ – À RADIOGRAPHIER",AQ1330="NX – RT À REFAIRE"),OR('PROGRAMME RT'!$D$5="TOUTES",B1330='PROGRAMME RT'!$D$5)),1,0)</f>
        <v>0</v>
      </c>
      <c r="AT1330" s="82" t="str">
        <f aca="false">IF(AS1330=1,SUM(AS$7:AS1330),"")</f>
        <v/>
      </c>
      <c r="AU1330" s="82" t="n">
        <f aca="false">IF(AND(OR(AA1330="R",AA1330="NX",AA1330="NT",AA1330="CO"),OR('JOINTS DE RÉPARATION'!$D$5="TOUTES",B1330='JOINTS DE RÉPARATION'!$D$5),OR('JOINTS DE RÉPARATION'!$L$4="TOUS",AQ1330&lt;&gt;"ACCEPTÉ")),1,0)</f>
        <v>0</v>
      </c>
      <c r="AV1330" s="82" t="str">
        <f aca="false">IF(AU1330=1,SUM(AU$7:AU1330),"")</f>
        <v/>
      </c>
      <c r="AW1330" s="82" t="str">
        <f aca="false">IF(E1330="","",B1330&amp;"|"&amp;E1330)</f>
        <v>MFD-ISW → MFD-CPF|DJ°290</v>
      </c>
    </row>
    <row r="1331" customFormat="false" ht="74.6" hidden="false" customHeight="false" outlineLevel="0" collapsed="false">
      <c r="A1331" s="79" t="n">
        <f aca="false">IF(E1331="","",ROW()-6)</f>
        <v>1325</v>
      </c>
      <c r="B1331" s="80" t="s">
        <v>110</v>
      </c>
      <c r="C1331" s="81" t="s">
        <v>1587</v>
      </c>
      <c r="D1331" s="81" t="n">
        <v>11</v>
      </c>
      <c r="E1331" s="81" t="s">
        <v>1604</v>
      </c>
      <c r="F1331" s="82" t="str">
        <f aca="false">IF(E1331="","",IF(LEFT(E1331,2)="DJ","DJ","JN"))</f>
        <v>JN</v>
      </c>
      <c r="G1331" s="81" t="s">
        <v>1504</v>
      </c>
      <c r="H1331" s="81" t="s">
        <v>871</v>
      </c>
      <c r="I1331" s="81" t="n">
        <v>9.53</v>
      </c>
      <c r="J1331" s="81" t="s">
        <v>872</v>
      </c>
      <c r="K1331" s="81" t="s">
        <v>879</v>
      </c>
      <c r="L1331" s="81" t="n">
        <v>2085820</v>
      </c>
      <c r="M1331" s="81" t="n">
        <v>15421107</v>
      </c>
      <c r="N1331" s="81" t="n">
        <v>11.94</v>
      </c>
      <c r="O1331" s="81" t="n">
        <v>2098540</v>
      </c>
      <c r="P1331" s="81" t="n">
        <v>15421112</v>
      </c>
      <c r="Q1331" s="81" t="n">
        <v>11.94</v>
      </c>
      <c r="R1331" s="81" t="s">
        <v>1367</v>
      </c>
      <c r="S1331" s="81"/>
      <c r="T1331" s="81"/>
      <c r="U1331" s="83" t="n">
        <v>46277</v>
      </c>
      <c r="V1331" s="83" t="n">
        <v>46277</v>
      </c>
      <c r="W1331" s="81" t="s">
        <v>1567</v>
      </c>
      <c r="X1331" s="81" t="s">
        <v>876</v>
      </c>
      <c r="Y1331" s="83" t="n">
        <v>46282</v>
      </c>
      <c r="Z1331" s="81" t="s">
        <v>1594</v>
      </c>
      <c r="AA1331" s="81" t="s">
        <v>876</v>
      </c>
      <c r="AB1331" s="81"/>
      <c r="AC1331" s="81"/>
      <c r="AD1331" s="81"/>
      <c r="AE1331" s="83"/>
      <c r="AF1331" s="81"/>
      <c r="AG1331" s="81"/>
      <c r="AH1331" s="81"/>
      <c r="AI1331" s="81"/>
      <c r="AJ1331" s="83"/>
      <c r="AK1331" s="81"/>
      <c r="AL1331" s="81"/>
      <c r="AM1331" s="83"/>
      <c r="AN1331" s="80"/>
      <c r="AO1331" s="82" t="n">
        <f aca="false">IF(E1331="","",(AA1331&lt;&gt;"")+(AG1331&lt;&gt;"")+(AL1331&lt;&gt;""))</f>
        <v>1</v>
      </c>
      <c r="AP1331" s="82" t="str">
        <f aca="false">IF(AL1331&lt;&gt;"",AL1331,IF(AG1331&lt;&gt;"",AG1331,IF(AA1331&lt;&gt;"",AA1331,"")))</f>
        <v>A</v>
      </c>
      <c r="AQ1331" s="84" t="str">
        <f aca="false">IF(E1331="","",IF(U1331="","À SOUDER",IF(X1331="","VT EN ATTENTE",IF(X1331="R","VT REJETÉ – À REPRENDRE",IF(AP1331="","À RADIOGRAPHIER",IF(AP1331="A","ACCEPTÉ",IF(AP1331="NX","NX – RT À REFAIRE",IF(IF(AO1331=1,AD1331,IF(AO1331=2,AI1331,""))="A","RÉPARÉ – À RADIOGRAPHIER",IF(IF(AO1331=1,AD1331,IF(AO1331=2,AI1331,""))="R","VT REJETÉ – À REPRENDRE",IF(OR(AP1331="CO",AP1331="NT"),"COUPE – À RESOUDER","À RÉPARER"))))))))))</f>
        <v>ACCEPTÉ</v>
      </c>
      <c r="AR1331" s="82" t="str">
        <f aca="false">IF(AND(ISNUMBER(U1331),OR(AQ1331="À RADIOGRAPHIER",AQ1331="RÉPARÉ – À RADIOGRAPHIER",AQ1331="NX – RT À REFAIRE",AQ1331="À RÉPARER",AQ1331="COUPE – À RESOUDER",AQ1331="VT REJETÉ – À REPRENDRE")),MAX(0,'PROGRAMME RT'!$C$4-U1331),"")</f>
        <v/>
      </c>
      <c r="AS1331" s="82" t="n">
        <f aca="false">IF(AND(OR(AQ1331="À RADIOGRAPHIER",AQ1331="RÉPARÉ – À RADIOGRAPHIER",AQ1331="NX – RT À REFAIRE"),OR('PROGRAMME RT'!$D$5="TOUTES",B1331='PROGRAMME RT'!$D$5)),1,0)</f>
        <v>0</v>
      </c>
      <c r="AT1331" s="82" t="str">
        <f aca="false">IF(AS1331=1,SUM(AS$7:AS1331),"")</f>
        <v/>
      </c>
      <c r="AU1331" s="82" t="n">
        <f aca="false">IF(AND(OR(AA1331="R",AA1331="NX",AA1331="NT",AA1331="CO"),OR('JOINTS DE RÉPARATION'!$D$5="TOUTES",B1331='JOINTS DE RÉPARATION'!$D$5),OR('JOINTS DE RÉPARATION'!$L$4="TOUS",AQ1331&lt;&gt;"ACCEPTÉ")),1,0)</f>
        <v>0</v>
      </c>
      <c r="AV1331" s="82" t="str">
        <f aca="false">IF(AU1331=1,SUM(AU$7:AU1331),"")</f>
        <v/>
      </c>
      <c r="AW1331" s="82" t="str">
        <f aca="false">IF(E1331="","",B1331&amp;"|"&amp;E1331)</f>
        <v>MFD-ISW → MFD-CPF|JN°1111</v>
      </c>
    </row>
    <row r="1332" customFormat="false" ht="74.6" hidden="false" customHeight="false" outlineLevel="0" collapsed="false">
      <c r="A1332" s="79" t="n">
        <f aca="false">IF(E1332="","",ROW()-6)</f>
        <v>1326</v>
      </c>
      <c r="B1332" s="80" t="s">
        <v>110</v>
      </c>
      <c r="C1332" s="81" t="s">
        <v>1587</v>
      </c>
      <c r="D1332" s="81" t="n">
        <v>11</v>
      </c>
      <c r="E1332" s="81" t="s">
        <v>1605</v>
      </c>
      <c r="F1332" s="82" t="str">
        <f aca="false">IF(E1332="","",IF(LEFT(E1332,2)="DJ","DJ","JN"))</f>
        <v>DJ</v>
      </c>
      <c r="G1332" s="81"/>
      <c r="H1332" s="81" t="s">
        <v>871</v>
      </c>
      <c r="I1332" s="81" t="n">
        <v>9.53</v>
      </c>
      <c r="J1332" s="81" t="s">
        <v>872</v>
      </c>
      <c r="K1332" s="81" t="s">
        <v>873</v>
      </c>
      <c r="L1332" s="81" t="n">
        <v>2098540</v>
      </c>
      <c r="M1332" s="81" t="n">
        <v>15421112</v>
      </c>
      <c r="N1332" s="81" t="n">
        <v>11.94</v>
      </c>
      <c r="O1332" s="81" t="n">
        <v>2084720</v>
      </c>
      <c r="P1332" s="81" t="n">
        <v>15421106</v>
      </c>
      <c r="Q1332" s="81" t="n">
        <v>11.94</v>
      </c>
      <c r="R1332" s="81" t="s">
        <v>1517</v>
      </c>
      <c r="S1332" s="81"/>
      <c r="T1332" s="81"/>
      <c r="U1332" s="83" t="n">
        <v>46269</v>
      </c>
      <c r="V1332" s="83" t="n">
        <v>46269</v>
      </c>
      <c r="W1332" s="81" t="s">
        <v>1606</v>
      </c>
      <c r="X1332" s="81" t="s">
        <v>876</v>
      </c>
      <c r="Y1332" s="83" t="n">
        <v>46271</v>
      </c>
      <c r="Z1332" s="81" t="s">
        <v>1445</v>
      </c>
      <c r="AA1332" s="81" t="s">
        <v>876</v>
      </c>
      <c r="AB1332" s="81"/>
      <c r="AC1332" s="81"/>
      <c r="AD1332" s="81"/>
      <c r="AE1332" s="83"/>
      <c r="AF1332" s="81"/>
      <c r="AG1332" s="81"/>
      <c r="AH1332" s="81"/>
      <c r="AI1332" s="81"/>
      <c r="AJ1332" s="83"/>
      <c r="AK1332" s="81"/>
      <c r="AL1332" s="81"/>
      <c r="AM1332" s="83"/>
      <c r="AN1332" s="80"/>
      <c r="AO1332" s="82" t="n">
        <f aca="false">IF(E1332="","",(AA1332&lt;&gt;"")+(AG1332&lt;&gt;"")+(AL1332&lt;&gt;""))</f>
        <v>1</v>
      </c>
      <c r="AP1332" s="82" t="str">
        <f aca="false">IF(AL1332&lt;&gt;"",AL1332,IF(AG1332&lt;&gt;"",AG1332,IF(AA1332&lt;&gt;"",AA1332,"")))</f>
        <v>A</v>
      </c>
      <c r="AQ1332" s="84" t="str">
        <f aca="false">IF(E1332="","",IF(U1332="","À SOUDER",IF(X1332="","VT EN ATTENTE",IF(X1332="R","VT REJETÉ – À REPRENDRE",IF(AP1332="","À RADIOGRAPHIER",IF(AP1332="A","ACCEPTÉ",IF(AP1332="NX","NX – RT À REFAIRE",IF(IF(AO1332=1,AD1332,IF(AO1332=2,AI1332,""))="A","RÉPARÉ – À RADIOGRAPHIER",IF(IF(AO1332=1,AD1332,IF(AO1332=2,AI1332,""))="R","VT REJETÉ – À REPRENDRE",IF(OR(AP1332="CO",AP1332="NT"),"COUPE – À RESOUDER","À RÉPARER"))))))))))</f>
        <v>ACCEPTÉ</v>
      </c>
      <c r="AR1332" s="82" t="str">
        <f aca="false">IF(AND(ISNUMBER(U1332),OR(AQ1332="À RADIOGRAPHIER",AQ1332="RÉPARÉ – À RADIOGRAPHIER",AQ1332="NX – RT À REFAIRE",AQ1332="À RÉPARER",AQ1332="COUPE – À RESOUDER",AQ1332="VT REJETÉ – À REPRENDRE")),MAX(0,'PROGRAMME RT'!$C$4-U1332),"")</f>
        <v/>
      </c>
      <c r="AS1332" s="82" t="n">
        <f aca="false">IF(AND(OR(AQ1332="À RADIOGRAPHIER",AQ1332="RÉPARÉ – À RADIOGRAPHIER",AQ1332="NX – RT À REFAIRE"),OR('PROGRAMME RT'!$D$5="TOUTES",B1332='PROGRAMME RT'!$D$5)),1,0)</f>
        <v>0</v>
      </c>
      <c r="AT1332" s="82" t="str">
        <f aca="false">IF(AS1332=1,SUM(AS$7:AS1332),"")</f>
        <v/>
      </c>
      <c r="AU1332" s="82" t="n">
        <f aca="false">IF(AND(OR(AA1332="R",AA1332="NX",AA1332="NT",AA1332="CO"),OR('JOINTS DE RÉPARATION'!$D$5="TOUTES",B1332='JOINTS DE RÉPARATION'!$D$5),OR('JOINTS DE RÉPARATION'!$L$4="TOUS",AQ1332&lt;&gt;"ACCEPTÉ")),1,0)</f>
        <v>0</v>
      </c>
      <c r="AV1332" s="82" t="str">
        <f aca="false">IF(AU1332=1,SUM(AU$7:AU1332),"")</f>
        <v/>
      </c>
      <c r="AW1332" s="82" t="str">
        <f aca="false">IF(E1332="","",B1332&amp;"|"&amp;E1332)</f>
        <v>MFD-ISW → MFD-CPF|DJ°274</v>
      </c>
    </row>
    <row r="1333" customFormat="false" ht="74.6" hidden="false" customHeight="false" outlineLevel="0" collapsed="false">
      <c r="A1333" s="79" t="n">
        <f aca="false">IF(E1333="","",ROW()-6)</f>
        <v>1327</v>
      </c>
      <c r="B1333" s="80" t="s">
        <v>110</v>
      </c>
      <c r="C1333" s="81" t="s">
        <v>926</v>
      </c>
      <c r="D1333" s="81" t="n">
        <v>11</v>
      </c>
      <c r="E1333" s="81" t="s">
        <v>1607</v>
      </c>
      <c r="F1333" s="82" t="str">
        <f aca="false">IF(E1333="","",IF(LEFT(E1333,2)="DJ","DJ","JN"))</f>
        <v>JN</v>
      </c>
      <c r="G1333" s="81"/>
      <c r="H1333" s="81"/>
      <c r="I1333" s="81"/>
      <c r="J1333" s="81"/>
      <c r="K1333" s="81"/>
      <c r="L1333" s="81" t="s">
        <v>1268</v>
      </c>
      <c r="M1333" s="81"/>
      <c r="N1333" s="81"/>
      <c r="O1333" s="81"/>
      <c r="P1333" s="81"/>
      <c r="Q1333" s="81"/>
      <c r="R1333" s="81"/>
      <c r="S1333" s="81"/>
      <c r="T1333" s="81"/>
      <c r="U1333" s="83"/>
      <c r="V1333" s="83"/>
      <c r="W1333" s="81"/>
      <c r="X1333" s="81"/>
      <c r="Y1333" s="83"/>
      <c r="Z1333" s="81"/>
      <c r="AA1333" s="81"/>
      <c r="AB1333" s="81"/>
      <c r="AC1333" s="81"/>
      <c r="AD1333" s="81"/>
      <c r="AE1333" s="83"/>
      <c r="AF1333" s="81"/>
      <c r="AG1333" s="81"/>
      <c r="AH1333" s="81"/>
      <c r="AI1333" s="81"/>
      <c r="AJ1333" s="83"/>
      <c r="AK1333" s="81"/>
      <c r="AL1333" s="81"/>
      <c r="AM1333" s="83"/>
      <c r="AN1333" s="80"/>
      <c r="AO1333" s="82" t="n">
        <f aca="false">IF(E1333="","",(AA1333&lt;&gt;"")+(AG1333&lt;&gt;"")+(AL1333&lt;&gt;""))</f>
        <v>0</v>
      </c>
      <c r="AP1333" s="82" t="str">
        <f aca="false">IF(AL1333&lt;&gt;"",AL1333,IF(AG1333&lt;&gt;"",AG1333,IF(AA1333&lt;&gt;"",AA1333,"")))</f>
        <v/>
      </c>
      <c r="AQ1333" s="84" t="str">
        <f aca="false">IF(E1333="","",IF(U1333="","À SOUDER",IF(X1333="","VT EN ATTENTE",IF(X1333="R","VT REJETÉ – À REPRENDRE",IF(AP1333="","À RADIOGRAPHIER",IF(AP1333="A","ACCEPTÉ",IF(AP1333="NX","NX – RT À REFAIRE",IF(IF(AO1333=1,AD1333,IF(AO1333=2,AI1333,""))="A","RÉPARÉ – À RADIOGRAPHIER",IF(IF(AO1333=1,AD1333,IF(AO1333=2,AI1333,""))="R","VT REJETÉ – À REPRENDRE",IF(OR(AP1333="CO",AP1333="NT"),"COUPE – À RESOUDER","À RÉPARER"))))))))))</f>
        <v>À SOUDER</v>
      </c>
      <c r="AR1333" s="82" t="str">
        <f aca="false">IF(AND(ISNUMBER(U1333),OR(AQ1333="À RADIOGRAPHIER",AQ1333="RÉPARÉ – À RADIOGRAPHIER",AQ1333="NX – RT À REFAIRE",AQ1333="À RÉPARER",AQ1333="COUPE – À RESOUDER",AQ1333="VT REJETÉ – À REPRENDRE")),MAX(0,'PROGRAMME RT'!$C$4-U1333),"")</f>
        <v/>
      </c>
      <c r="AS1333" s="82" t="n">
        <f aca="false">IF(AND(OR(AQ1333="À RADIOGRAPHIER",AQ1333="RÉPARÉ – À RADIOGRAPHIER",AQ1333="NX – RT À REFAIRE"),OR('PROGRAMME RT'!$D$5="TOUTES",B1333='PROGRAMME RT'!$D$5)),1,0)</f>
        <v>0</v>
      </c>
      <c r="AT1333" s="82" t="str">
        <f aca="false">IF(AS1333=1,SUM(AS$7:AS1333),"")</f>
        <v/>
      </c>
      <c r="AU1333" s="82" t="n">
        <f aca="false">IF(AND(OR(AA1333="R",AA1333="NX",AA1333="NT",AA1333="CO"),OR('JOINTS DE RÉPARATION'!$D$5="TOUTES",B1333='JOINTS DE RÉPARATION'!$D$5),OR('JOINTS DE RÉPARATION'!$L$4="TOUS",AQ1333&lt;&gt;"ACCEPTÉ")),1,0)</f>
        <v>0</v>
      </c>
      <c r="AV1333" s="82" t="str">
        <f aca="false">IF(AU1333=1,SUM(AU$7:AU1333),"")</f>
        <v/>
      </c>
      <c r="AW1333" s="82" t="str">
        <f aca="false">IF(E1333="","",B1333&amp;"|"&amp;E1333)</f>
        <v>MFD-ISW → MFD-CPF|JN°1112</v>
      </c>
    </row>
    <row r="1334" customFormat="false" ht="74.6" hidden="false" customHeight="false" outlineLevel="0" collapsed="false">
      <c r="A1334" s="79" t="n">
        <f aca="false">IF(E1334="","",ROW()-6)</f>
        <v>1328</v>
      </c>
      <c r="B1334" s="80" t="s">
        <v>110</v>
      </c>
      <c r="C1334" s="81" t="s">
        <v>926</v>
      </c>
      <c r="D1334" s="81" t="n">
        <v>11</v>
      </c>
      <c r="E1334" s="81" t="s">
        <v>1608</v>
      </c>
      <c r="F1334" s="82" t="str">
        <f aca="false">IF(E1334="","",IF(LEFT(E1334,2)="DJ","DJ","JN"))</f>
        <v>JN</v>
      </c>
      <c r="G1334" s="81"/>
      <c r="H1334" s="81"/>
      <c r="I1334" s="81"/>
      <c r="J1334" s="81"/>
      <c r="K1334" s="81"/>
      <c r="L1334" s="81" t="s">
        <v>1268</v>
      </c>
      <c r="M1334" s="81"/>
      <c r="N1334" s="81"/>
      <c r="O1334" s="81" t="n">
        <v>2095920</v>
      </c>
      <c r="P1334" s="81" t="n">
        <v>15421111</v>
      </c>
      <c r="Q1334" s="81" t="n">
        <v>11.94</v>
      </c>
      <c r="R1334" s="81"/>
      <c r="S1334" s="81"/>
      <c r="T1334" s="81"/>
      <c r="U1334" s="83"/>
      <c r="V1334" s="83"/>
      <c r="W1334" s="81"/>
      <c r="X1334" s="81"/>
      <c r="Y1334" s="83"/>
      <c r="Z1334" s="81"/>
      <c r="AA1334" s="81"/>
      <c r="AB1334" s="81"/>
      <c r="AC1334" s="81"/>
      <c r="AD1334" s="81"/>
      <c r="AE1334" s="83"/>
      <c r="AF1334" s="81"/>
      <c r="AG1334" s="81"/>
      <c r="AH1334" s="81"/>
      <c r="AI1334" s="81"/>
      <c r="AJ1334" s="83"/>
      <c r="AK1334" s="81"/>
      <c r="AL1334" s="81"/>
      <c r="AM1334" s="83"/>
      <c r="AN1334" s="80"/>
      <c r="AO1334" s="82" t="n">
        <f aca="false">IF(E1334="","",(AA1334&lt;&gt;"")+(AG1334&lt;&gt;"")+(AL1334&lt;&gt;""))</f>
        <v>0</v>
      </c>
      <c r="AP1334" s="82" t="str">
        <f aca="false">IF(AL1334&lt;&gt;"",AL1334,IF(AG1334&lt;&gt;"",AG1334,IF(AA1334&lt;&gt;"",AA1334,"")))</f>
        <v/>
      </c>
      <c r="AQ1334" s="84" t="str">
        <f aca="false">IF(E1334="","",IF(U1334="","À SOUDER",IF(X1334="","VT EN ATTENTE",IF(X1334="R","VT REJETÉ – À REPRENDRE",IF(AP1334="","À RADIOGRAPHIER",IF(AP1334="A","ACCEPTÉ",IF(AP1334="NX","NX – RT À REFAIRE",IF(IF(AO1334=1,AD1334,IF(AO1334=2,AI1334,""))="A","RÉPARÉ – À RADIOGRAPHIER",IF(IF(AO1334=1,AD1334,IF(AO1334=2,AI1334,""))="R","VT REJETÉ – À REPRENDRE",IF(OR(AP1334="CO",AP1334="NT"),"COUPE – À RESOUDER","À RÉPARER"))))))))))</f>
        <v>À SOUDER</v>
      </c>
      <c r="AR1334" s="82" t="str">
        <f aca="false">IF(AND(ISNUMBER(U1334),OR(AQ1334="À RADIOGRAPHIER",AQ1334="RÉPARÉ – À RADIOGRAPHIER",AQ1334="NX – RT À REFAIRE",AQ1334="À RÉPARER",AQ1334="COUPE – À RESOUDER",AQ1334="VT REJETÉ – À REPRENDRE")),MAX(0,'PROGRAMME RT'!$C$4-U1334),"")</f>
        <v/>
      </c>
      <c r="AS1334" s="82" t="n">
        <f aca="false">IF(AND(OR(AQ1334="À RADIOGRAPHIER",AQ1334="RÉPARÉ – À RADIOGRAPHIER",AQ1334="NX – RT À REFAIRE"),OR('PROGRAMME RT'!$D$5="TOUTES",B1334='PROGRAMME RT'!$D$5)),1,0)</f>
        <v>0</v>
      </c>
      <c r="AT1334" s="82" t="str">
        <f aca="false">IF(AS1334=1,SUM(AS$7:AS1334),"")</f>
        <v/>
      </c>
      <c r="AU1334" s="82" t="n">
        <f aca="false">IF(AND(OR(AA1334="R",AA1334="NX",AA1334="NT",AA1334="CO"),OR('JOINTS DE RÉPARATION'!$D$5="TOUTES",B1334='JOINTS DE RÉPARATION'!$D$5),OR('JOINTS DE RÉPARATION'!$L$4="TOUS",AQ1334&lt;&gt;"ACCEPTÉ")),1,0)</f>
        <v>0</v>
      </c>
      <c r="AV1334" s="82" t="str">
        <f aca="false">IF(AU1334=1,SUM(AU$7:AU1334),"")</f>
        <v/>
      </c>
      <c r="AW1334" s="82" t="str">
        <f aca="false">IF(E1334="","",B1334&amp;"|"&amp;E1334)</f>
        <v>MFD-ISW → MFD-CPF|JN°1113</v>
      </c>
    </row>
    <row r="1335" customFormat="false" ht="74.6" hidden="false" customHeight="false" outlineLevel="0" collapsed="false">
      <c r="A1335" s="79" t="n">
        <f aca="false">IF(E1335="","",ROW()-6)</f>
        <v>1329</v>
      </c>
      <c r="B1335" s="80" t="s">
        <v>110</v>
      </c>
      <c r="C1335" s="81" t="s">
        <v>1609</v>
      </c>
      <c r="D1335" s="81" t="n">
        <v>11</v>
      </c>
      <c r="E1335" s="81" t="s">
        <v>1610</v>
      </c>
      <c r="F1335" s="82" t="str">
        <f aca="false">IF(E1335="","",IF(LEFT(E1335,2)="DJ","DJ","JN"))</f>
        <v>DJ</v>
      </c>
      <c r="G1335" s="81"/>
      <c r="H1335" s="81" t="s">
        <v>871</v>
      </c>
      <c r="I1335" s="81" t="n">
        <v>9.53</v>
      </c>
      <c r="J1335" s="81" t="s">
        <v>872</v>
      </c>
      <c r="K1335" s="81" t="s">
        <v>873</v>
      </c>
      <c r="L1335" s="81" t="n">
        <v>2095920</v>
      </c>
      <c r="M1335" s="81" t="n">
        <v>15421111</v>
      </c>
      <c r="N1335" s="81" t="n">
        <v>11.94</v>
      </c>
      <c r="O1335" s="81" t="n">
        <v>2091150</v>
      </c>
      <c r="P1335" s="81" t="n">
        <v>15421109</v>
      </c>
      <c r="Q1335" s="81" t="n">
        <v>11.94</v>
      </c>
      <c r="R1335" s="81" t="s">
        <v>963</v>
      </c>
      <c r="S1335" s="81"/>
      <c r="T1335" s="81"/>
      <c r="U1335" s="83" t="n">
        <v>46271</v>
      </c>
      <c r="V1335" s="83" t="n">
        <v>46271</v>
      </c>
      <c r="W1335" s="81" t="s">
        <v>1536</v>
      </c>
      <c r="X1335" s="81" t="s">
        <v>876</v>
      </c>
      <c r="Y1335" s="83" t="n">
        <v>46272</v>
      </c>
      <c r="Z1335" s="81" t="s">
        <v>1542</v>
      </c>
      <c r="AA1335" s="81" t="s">
        <v>876</v>
      </c>
      <c r="AB1335" s="81"/>
      <c r="AC1335" s="81"/>
      <c r="AD1335" s="81"/>
      <c r="AE1335" s="83"/>
      <c r="AF1335" s="81"/>
      <c r="AG1335" s="81"/>
      <c r="AH1335" s="81"/>
      <c r="AI1335" s="81"/>
      <c r="AJ1335" s="83"/>
      <c r="AK1335" s="81"/>
      <c r="AL1335" s="81"/>
      <c r="AM1335" s="83"/>
      <c r="AN1335" s="80"/>
      <c r="AO1335" s="82" t="n">
        <f aca="false">IF(E1335="","",(AA1335&lt;&gt;"")+(AG1335&lt;&gt;"")+(AL1335&lt;&gt;""))</f>
        <v>1</v>
      </c>
      <c r="AP1335" s="82" t="str">
        <f aca="false">IF(AL1335&lt;&gt;"",AL1335,IF(AG1335&lt;&gt;"",AG1335,IF(AA1335&lt;&gt;"",AA1335,"")))</f>
        <v>A</v>
      </c>
      <c r="AQ1335" s="84" t="str">
        <f aca="false">IF(E1335="","",IF(U1335="","À SOUDER",IF(X1335="","VT EN ATTENTE",IF(X1335="R","VT REJETÉ – À REPRENDRE",IF(AP1335="","À RADIOGRAPHIER",IF(AP1335="A","ACCEPTÉ",IF(AP1335="NX","NX – RT À REFAIRE",IF(IF(AO1335=1,AD1335,IF(AO1335=2,AI1335,""))="A","RÉPARÉ – À RADIOGRAPHIER",IF(IF(AO1335=1,AD1335,IF(AO1335=2,AI1335,""))="R","VT REJETÉ – À REPRENDRE",IF(OR(AP1335="CO",AP1335="NT"),"COUPE – À RESOUDER","À RÉPARER"))))))))))</f>
        <v>ACCEPTÉ</v>
      </c>
      <c r="AR1335" s="82" t="str">
        <f aca="false">IF(AND(ISNUMBER(U1335),OR(AQ1335="À RADIOGRAPHIER",AQ1335="RÉPARÉ – À RADIOGRAPHIER",AQ1335="NX – RT À REFAIRE",AQ1335="À RÉPARER",AQ1335="COUPE – À RESOUDER",AQ1335="VT REJETÉ – À REPRENDRE")),MAX(0,'PROGRAMME RT'!$C$4-U1335),"")</f>
        <v/>
      </c>
      <c r="AS1335" s="82" t="n">
        <f aca="false">IF(AND(OR(AQ1335="À RADIOGRAPHIER",AQ1335="RÉPARÉ – À RADIOGRAPHIER",AQ1335="NX – RT À REFAIRE"),OR('PROGRAMME RT'!$D$5="TOUTES",B1335='PROGRAMME RT'!$D$5)),1,0)</f>
        <v>0</v>
      </c>
      <c r="AT1335" s="82" t="str">
        <f aca="false">IF(AS1335=1,SUM(AS$7:AS1335),"")</f>
        <v/>
      </c>
      <c r="AU1335" s="82" t="n">
        <f aca="false">IF(AND(OR(AA1335="R",AA1335="NX",AA1335="NT",AA1335="CO"),OR('JOINTS DE RÉPARATION'!$D$5="TOUTES",B1335='JOINTS DE RÉPARATION'!$D$5),OR('JOINTS DE RÉPARATION'!$L$4="TOUS",AQ1335&lt;&gt;"ACCEPTÉ")),1,0)</f>
        <v>0</v>
      </c>
      <c r="AV1335" s="82" t="str">
        <f aca="false">IF(AU1335=1,SUM(AU$7:AU1335),"")</f>
        <v/>
      </c>
      <c r="AW1335" s="82" t="str">
        <f aca="false">IF(E1335="","",B1335&amp;"|"&amp;E1335)</f>
        <v>MFD-ISW → MFD-CPF|DJ°295</v>
      </c>
    </row>
    <row r="1336" customFormat="false" ht="74.6" hidden="false" customHeight="false" outlineLevel="0" collapsed="false">
      <c r="A1336" s="79" t="n">
        <f aca="false">IF(E1336="","",ROW()-6)</f>
        <v>1330</v>
      </c>
      <c r="B1336" s="80" t="s">
        <v>110</v>
      </c>
      <c r="C1336" s="81" t="s">
        <v>1609</v>
      </c>
      <c r="D1336" s="81" t="n">
        <v>11</v>
      </c>
      <c r="E1336" s="81" t="s">
        <v>1611</v>
      </c>
      <c r="F1336" s="82" t="str">
        <f aca="false">IF(E1336="","",IF(LEFT(E1336,2)="DJ","DJ","JN"))</f>
        <v>JN</v>
      </c>
      <c r="G1336" s="81" t="s">
        <v>1504</v>
      </c>
      <c r="H1336" s="81" t="s">
        <v>871</v>
      </c>
      <c r="I1336" s="81" t="n">
        <v>9.53</v>
      </c>
      <c r="J1336" s="81" t="s">
        <v>872</v>
      </c>
      <c r="K1336" s="81" t="s">
        <v>879</v>
      </c>
      <c r="L1336" s="81" t="n">
        <v>2091150</v>
      </c>
      <c r="M1336" s="81" t="n">
        <v>15421109</v>
      </c>
      <c r="N1336" s="81" t="n">
        <v>11.94</v>
      </c>
      <c r="O1336" s="81" t="n">
        <v>2084960</v>
      </c>
      <c r="P1336" s="81" t="n">
        <v>15421106</v>
      </c>
      <c r="Q1336" s="81" t="n">
        <v>11.94</v>
      </c>
      <c r="R1336" s="81" t="s">
        <v>1367</v>
      </c>
      <c r="S1336" s="81"/>
      <c r="T1336" s="81"/>
      <c r="U1336" s="83" t="n">
        <v>46277</v>
      </c>
      <c r="V1336" s="83" t="n">
        <v>46277</v>
      </c>
      <c r="W1336" s="81" t="s">
        <v>1567</v>
      </c>
      <c r="X1336" s="81" t="s">
        <v>876</v>
      </c>
      <c r="Y1336" s="83" t="n">
        <v>46283</v>
      </c>
      <c r="Z1336" s="81" t="s">
        <v>1520</v>
      </c>
      <c r="AA1336" s="81" t="s">
        <v>876</v>
      </c>
      <c r="AB1336" s="81"/>
      <c r="AC1336" s="81"/>
      <c r="AD1336" s="81"/>
      <c r="AE1336" s="83"/>
      <c r="AF1336" s="81"/>
      <c r="AG1336" s="81"/>
      <c r="AH1336" s="81"/>
      <c r="AI1336" s="81"/>
      <c r="AJ1336" s="83"/>
      <c r="AK1336" s="81"/>
      <c r="AL1336" s="81"/>
      <c r="AM1336" s="83"/>
      <c r="AN1336" s="80"/>
      <c r="AO1336" s="82" t="n">
        <f aca="false">IF(E1336="","",(AA1336&lt;&gt;"")+(AG1336&lt;&gt;"")+(AL1336&lt;&gt;""))</f>
        <v>1</v>
      </c>
      <c r="AP1336" s="82" t="str">
        <f aca="false">IF(AL1336&lt;&gt;"",AL1336,IF(AG1336&lt;&gt;"",AG1336,IF(AA1336&lt;&gt;"",AA1336,"")))</f>
        <v>A</v>
      </c>
      <c r="AQ1336" s="84" t="str">
        <f aca="false">IF(E1336="","",IF(U1336="","À SOUDER",IF(X1336="","VT EN ATTENTE",IF(X1336="R","VT REJETÉ – À REPRENDRE",IF(AP1336="","À RADIOGRAPHIER",IF(AP1336="A","ACCEPTÉ",IF(AP1336="NX","NX – RT À REFAIRE",IF(IF(AO1336=1,AD1336,IF(AO1336=2,AI1336,""))="A","RÉPARÉ – À RADIOGRAPHIER",IF(IF(AO1336=1,AD1336,IF(AO1336=2,AI1336,""))="R","VT REJETÉ – À REPRENDRE",IF(OR(AP1336="CO",AP1336="NT"),"COUPE – À RESOUDER","À RÉPARER"))))))))))</f>
        <v>ACCEPTÉ</v>
      </c>
      <c r="AR1336" s="82" t="str">
        <f aca="false">IF(AND(ISNUMBER(U1336),OR(AQ1336="À RADIOGRAPHIER",AQ1336="RÉPARÉ – À RADIOGRAPHIER",AQ1336="NX – RT À REFAIRE",AQ1336="À RÉPARER",AQ1336="COUPE – À RESOUDER",AQ1336="VT REJETÉ – À REPRENDRE")),MAX(0,'PROGRAMME RT'!$C$4-U1336),"")</f>
        <v/>
      </c>
      <c r="AS1336" s="82" t="n">
        <f aca="false">IF(AND(OR(AQ1336="À RADIOGRAPHIER",AQ1336="RÉPARÉ – À RADIOGRAPHIER",AQ1336="NX – RT À REFAIRE"),OR('PROGRAMME RT'!$D$5="TOUTES",B1336='PROGRAMME RT'!$D$5)),1,0)</f>
        <v>0</v>
      </c>
      <c r="AT1336" s="82" t="str">
        <f aca="false">IF(AS1336=1,SUM(AS$7:AS1336),"")</f>
        <v/>
      </c>
      <c r="AU1336" s="82" t="n">
        <f aca="false">IF(AND(OR(AA1336="R",AA1336="NX",AA1336="NT",AA1336="CO"),OR('JOINTS DE RÉPARATION'!$D$5="TOUTES",B1336='JOINTS DE RÉPARATION'!$D$5),OR('JOINTS DE RÉPARATION'!$L$4="TOUS",AQ1336&lt;&gt;"ACCEPTÉ")),1,0)</f>
        <v>0</v>
      </c>
      <c r="AV1336" s="82" t="str">
        <f aca="false">IF(AU1336=1,SUM(AU$7:AU1336),"")</f>
        <v/>
      </c>
      <c r="AW1336" s="82" t="str">
        <f aca="false">IF(E1336="","",B1336&amp;"|"&amp;E1336)</f>
        <v>MFD-ISW → MFD-CPF|JN°1114</v>
      </c>
    </row>
    <row r="1337" customFormat="false" ht="74.6" hidden="false" customHeight="false" outlineLevel="0" collapsed="false">
      <c r="A1337" s="79" t="n">
        <f aca="false">IF(E1337="","",ROW()-6)</f>
        <v>1331</v>
      </c>
      <c r="B1337" s="80" t="s">
        <v>110</v>
      </c>
      <c r="C1337" s="81" t="s">
        <v>1609</v>
      </c>
      <c r="D1337" s="81" t="n">
        <v>11</v>
      </c>
      <c r="E1337" s="81" t="s">
        <v>1612</v>
      </c>
      <c r="F1337" s="82" t="str">
        <f aca="false">IF(E1337="","",IF(LEFT(E1337,2)="DJ","DJ","JN"))</f>
        <v>DJ</v>
      </c>
      <c r="G1337" s="81"/>
      <c r="H1337" s="81" t="s">
        <v>871</v>
      </c>
      <c r="I1337" s="81" t="n">
        <v>9.53</v>
      </c>
      <c r="J1337" s="81" t="s">
        <v>872</v>
      </c>
      <c r="K1337" s="81" t="s">
        <v>873</v>
      </c>
      <c r="L1337" s="81" t="n">
        <v>2084960</v>
      </c>
      <c r="M1337" s="81" t="n">
        <v>15421106</v>
      </c>
      <c r="N1337" s="81" t="n">
        <v>11.94</v>
      </c>
      <c r="O1337" s="81" t="n">
        <v>2090940</v>
      </c>
      <c r="P1337" s="81" t="n">
        <v>15421106</v>
      </c>
      <c r="Q1337" s="81" t="n">
        <v>11.94</v>
      </c>
      <c r="R1337" s="81" t="s">
        <v>1517</v>
      </c>
      <c r="S1337" s="81"/>
      <c r="T1337" s="81"/>
      <c r="U1337" s="83" t="n">
        <v>46271</v>
      </c>
      <c r="V1337" s="83" t="n">
        <v>46271</v>
      </c>
      <c r="W1337" s="81" t="s">
        <v>1536</v>
      </c>
      <c r="X1337" s="81" t="s">
        <v>876</v>
      </c>
      <c r="Y1337" s="83" t="n">
        <v>46272</v>
      </c>
      <c r="Z1337" s="81" t="s">
        <v>1542</v>
      </c>
      <c r="AA1337" s="81" t="s">
        <v>876</v>
      </c>
      <c r="AB1337" s="81"/>
      <c r="AC1337" s="81"/>
      <c r="AD1337" s="81"/>
      <c r="AE1337" s="83"/>
      <c r="AF1337" s="81"/>
      <c r="AG1337" s="81"/>
      <c r="AH1337" s="81"/>
      <c r="AI1337" s="81"/>
      <c r="AJ1337" s="83"/>
      <c r="AK1337" s="81"/>
      <c r="AL1337" s="81"/>
      <c r="AM1337" s="83"/>
      <c r="AN1337" s="80"/>
      <c r="AO1337" s="82" t="n">
        <f aca="false">IF(E1337="","",(AA1337&lt;&gt;"")+(AG1337&lt;&gt;"")+(AL1337&lt;&gt;""))</f>
        <v>1</v>
      </c>
      <c r="AP1337" s="82" t="str">
        <f aca="false">IF(AL1337&lt;&gt;"",AL1337,IF(AG1337&lt;&gt;"",AG1337,IF(AA1337&lt;&gt;"",AA1337,"")))</f>
        <v>A</v>
      </c>
      <c r="AQ1337" s="84" t="str">
        <f aca="false">IF(E1337="","",IF(U1337="","À SOUDER",IF(X1337="","VT EN ATTENTE",IF(X1337="R","VT REJETÉ – À REPRENDRE",IF(AP1337="","À RADIOGRAPHIER",IF(AP1337="A","ACCEPTÉ",IF(AP1337="NX","NX – RT À REFAIRE",IF(IF(AO1337=1,AD1337,IF(AO1337=2,AI1337,""))="A","RÉPARÉ – À RADIOGRAPHIER",IF(IF(AO1337=1,AD1337,IF(AO1337=2,AI1337,""))="R","VT REJETÉ – À REPRENDRE",IF(OR(AP1337="CO",AP1337="NT"),"COUPE – À RESOUDER","À RÉPARER"))))))))))</f>
        <v>ACCEPTÉ</v>
      </c>
      <c r="AR1337" s="82" t="str">
        <f aca="false">IF(AND(ISNUMBER(U1337),OR(AQ1337="À RADIOGRAPHIER",AQ1337="RÉPARÉ – À RADIOGRAPHIER",AQ1337="NX – RT À REFAIRE",AQ1337="À RÉPARER",AQ1337="COUPE – À RESOUDER",AQ1337="VT REJETÉ – À REPRENDRE")),MAX(0,'PROGRAMME RT'!$C$4-U1337),"")</f>
        <v/>
      </c>
      <c r="AS1337" s="82" t="n">
        <f aca="false">IF(AND(OR(AQ1337="À RADIOGRAPHIER",AQ1337="RÉPARÉ – À RADIOGRAPHIER",AQ1337="NX – RT À REFAIRE"),OR('PROGRAMME RT'!$D$5="TOUTES",B1337='PROGRAMME RT'!$D$5)),1,0)</f>
        <v>0</v>
      </c>
      <c r="AT1337" s="82" t="str">
        <f aca="false">IF(AS1337=1,SUM(AS$7:AS1337),"")</f>
        <v/>
      </c>
      <c r="AU1337" s="82" t="n">
        <f aca="false">IF(AND(OR(AA1337="R",AA1337="NX",AA1337="NT",AA1337="CO"),OR('JOINTS DE RÉPARATION'!$D$5="TOUTES",B1337='JOINTS DE RÉPARATION'!$D$5),OR('JOINTS DE RÉPARATION'!$L$4="TOUS",AQ1337&lt;&gt;"ACCEPTÉ")),1,0)</f>
        <v>0</v>
      </c>
      <c r="AV1337" s="82" t="str">
        <f aca="false">IF(AU1337=1,SUM(AU$7:AU1337),"")</f>
        <v/>
      </c>
      <c r="AW1337" s="82" t="str">
        <f aca="false">IF(E1337="","",B1337&amp;"|"&amp;E1337)</f>
        <v>MFD-ISW → MFD-CPF|DJ°303</v>
      </c>
    </row>
    <row r="1338" customFormat="false" ht="74.6" hidden="false" customHeight="false" outlineLevel="0" collapsed="false">
      <c r="A1338" s="79" t="n">
        <f aca="false">IF(E1338="","",ROW()-6)</f>
        <v>1332</v>
      </c>
      <c r="B1338" s="80" t="s">
        <v>110</v>
      </c>
      <c r="C1338" s="81" t="s">
        <v>1609</v>
      </c>
      <c r="D1338" s="81" t="n">
        <v>11</v>
      </c>
      <c r="E1338" s="81" t="s">
        <v>1613</v>
      </c>
      <c r="F1338" s="82" t="str">
        <f aca="false">IF(E1338="","",IF(LEFT(E1338,2)="DJ","DJ","JN"))</f>
        <v>JN</v>
      </c>
      <c r="G1338" s="81" t="s">
        <v>1504</v>
      </c>
      <c r="H1338" s="81" t="s">
        <v>871</v>
      </c>
      <c r="I1338" s="81" t="n">
        <v>9.53</v>
      </c>
      <c r="J1338" s="81" t="s">
        <v>872</v>
      </c>
      <c r="K1338" s="81" t="s">
        <v>879</v>
      </c>
      <c r="L1338" s="81" t="n">
        <v>2090940</v>
      </c>
      <c r="M1338" s="81" t="n">
        <v>15421106</v>
      </c>
      <c r="N1338" s="81" t="n">
        <v>11.94</v>
      </c>
      <c r="O1338" s="81" t="n">
        <v>2082484</v>
      </c>
      <c r="P1338" s="81" t="n">
        <v>15421104</v>
      </c>
      <c r="Q1338" s="81" t="n">
        <v>11.94</v>
      </c>
      <c r="R1338" s="81" t="s">
        <v>1367</v>
      </c>
      <c r="S1338" s="81"/>
      <c r="T1338" s="81"/>
      <c r="U1338" s="83" t="n">
        <v>46277</v>
      </c>
      <c r="V1338" s="83" t="n">
        <v>46277</v>
      </c>
      <c r="W1338" s="81" t="s">
        <v>1567</v>
      </c>
      <c r="X1338" s="81" t="s">
        <v>876</v>
      </c>
      <c r="Y1338" s="83" t="n">
        <v>46283</v>
      </c>
      <c r="Z1338" s="81" t="s">
        <v>1520</v>
      </c>
      <c r="AA1338" s="81" t="s">
        <v>876</v>
      </c>
      <c r="AB1338" s="81"/>
      <c r="AC1338" s="81"/>
      <c r="AD1338" s="81"/>
      <c r="AE1338" s="83"/>
      <c r="AF1338" s="81"/>
      <c r="AG1338" s="81"/>
      <c r="AH1338" s="81"/>
      <c r="AI1338" s="81"/>
      <c r="AJ1338" s="83"/>
      <c r="AK1338" s="81"/>
      <c r="AL1338" s="81"/>
      <c r="AM1338" s="83"/>
      <c r="AN1338" s="80"/>
      <c r="AO1338" s="82" t="n">
        <f aca="false">IF(E1338="","",(AA1338&lt;&gt;"")+(AG1338&lt;&gt;"")+(AL1338&lt;&gt;""))</f>
        <v>1</v>
      </c>
      <c r="AP1338" s="82" t="str">
        <f aca="false">IF(AL1338&lt;&gt;"",AL1338,IF(AG1338&lt;&gt;"",AG1338,IF(AA1338&lt;&gt;"",AA1338,"")))</f>
        <v>A</v>
      </c>
      <c r="AQ1338" s="84" t="str">
        <f aca="false">IF(E1338="","",IF(U1338="","À SOUDER",IF(X1338="","VT EN ATTENTE",IF(X1338="R","VT REJETÉ – À REPRENDRE",IF(AP1338="","À RADIOGRAPHIER",IF(AP1338="A","ACCEPTÉ",IF(AP1338="NX","NX – RT À REFAIRE",IF(IF(AO1338=1,AD1338,IF(AO1338=2,AI1338,""))="A","RÉPARÉ – À RADIOGRAPHIER",IF(IF(AO1338=1,AD1338,IF(AO1338=2,AI1338,""))="R","VT REJETÉ – À REPRENDRE",IF(OR(AP1338="CO",AP1338="NT"),"COUPE – À RESOUDER","À RÉPARER"))))))))))</f>
        <v>ACCEPTÉ</v>
      </c>
      <c r="AR1338" s="82" t="str">
        <f aca="false">IF(AND(ISNUMBER(U1338),OR(AQ1338="À RADIOGRAPHIER",AQ1338="RÉPARÉ – À RADIOGRAPHIER",AQ1338="NX – RT À REFAIRE",AQ1338="À RÉPARER",AQ1338="COUPE – À RESOUDER",AQ1338="VT REJETÉ – À REPRENDRE")),MAX(0,'PROGRAMME RT'!$C$4-U1338),"")</f>
        <v/>
      </c>
      <c r="AS1338" s="82" t="n">
        <f aca="false">IF(AND(OR(AQ1338="À RADIOGRAPHIER",AQ1338="RÉPARÉ – À RADIOGRAPHIER",AQ1338="NX – RT À REFAIRE"),OR('PROGRAMME RT'!$D$5="TOUTES",B1338='PROGRAMME RT'!$D$5)),1,0)</f>
        <v>0</v>
      </c>
      <c r="AT1338" s="82" t="str">
        <f aca="false">IF(AS1338=1,SUM(AS$7:AS1338),"")</f>
        <v/>
      </c>
      <c r="AU1338" s="82" t="n">
        <f aca="false">IF(AND(OR(AA1338="R",AA1338="NX",AA1338="NT",AA1338="CO"),OR('JOINTS DE RÉPARATION'!$D$5="TOUTES",B1338='JOINTS DE RÉPARATION'!$D$5),OR('JOINTS DE RÉPARATION'!$L$4="TOUS",AQ1338&lt;&gt;"ACCEPTÉ")),1,0)</f>
        <v>0</v>
      </c>
      <c r="AV1338" s="82" t="str">
        <f aca="false">IF(AU1338=1,SUM(AU$7:AU1338),"")</f>
        <v/>
      </c>
      <c r="AW1338" s="82" t="str">
        <f aca="false">IF(E1338="","",B1338&amp;"|"&amp;E1338)</f>
        <v>MFD-ISW → MFD-CPF|JN°1115</v>
      </c>
    </row>
    <row r="1339" customFormat="false" ht="74.6" hidden="false" customHeight="false" outlineLevel="0" collapsed="false">
      <c r="A1339" s="79" t="n">
        <f aca="false">IF(E1339="","",ROW()-6)</f>
        <v>1333</v>
      </c>
      <c r="B1339" s="80" t="s">
        <v>110</v>
      </c>
      <c r="C1339" s="81" t="s">
        <v>1609</v>
      </c>
      <c r="D1339" s="81" t="n">
        <v>11</v>
      </c>
      <c r="E1339" s="81" t="s">
        <v>1614</v>
      </c>
      <c r="F1339" s="82" t="str">
        <f aca="false">IF(E1339="","",IF(LEFT(E1339,2)="DJ","DJ","JN"))</f>
        <v>DJ</v>
      </c>
      <c r="G1339" s="81"/>
      <c r="H1339" s="81" t="s">
        <v>871</v>
      </c>
      <c r="I1339" s="81" t="n">
        <v>9.53</v>
      </c>
      <c r="J1339" s="81" t="s">
        <v>872</v>
      </c>
      <c r="K1339" s="81" t="s">
        <v>873</v>
      </c>
      <c r="L1339" s="81" t="n">
        <v>2082484</v>
      </c>
      <c r="M1339" s="81" t="n">
        <v>15421104</v>
      </c>
      <c r="N1339" s="81" t="n">
        <v>11.94</v>
      </c>
      <c r="O1339" s="81" t="n">
        <v>2090190</v>
      </c>
      <c r="P1339" s="81" t="n">
        <v>15421109</v>
      </c>
      <c r="Q1339" s="81" t="n">
        <v>11.94</v>
      </c>
      <c r="R1339" s="81" t="s">
        <v>963</v>
      </c>
      <c r="S1339" s="81"/>
      <c r="T1339" s="81"/>
      <c r="U1339" s="83" t="n">
        <v>46271</v>
      </c>
      <c r="V1339" s="83" t="n">
        <v>46271</v>
      </c>
      <c r="W1339" s="81" t="s">
        <v>1536</v>
      </c>
      <c r="X1339" s="81" t="s">
        <v>876</v>
      </c>
      <c r="Y1339" s="83" t="n">
        <v>46272</v>
      </c>
      <c r="Z1339" s="81" t="s">
        <v>1542</v>
      </c>
      <c r="AA1339" s="81" t="s">
        <v>876</v>
      </c>
      <c r="AB1339" s="81"/>
      <c r="AC1339" s="81"/>
      <c r="AD1339" s="81"/>
      <c r="AE1339" s="83"/>
      <c r="AF1339" s="81"/>
      <c r="AG1339" s="81"/>
      <c r="AH1339" s="81"/>
      <c r="AI1339" s="81"/>
      <c r="AJ1339" s="83"/>
      <c r="AK1339" s="81"/>
      <c r="AL1339" s="81"/>
      <c r="AM1339" s="83"/>
      <c r="AN1339" s="80"/>
      <c r="AO1339" s="82" t="n">
        <f aca="false">IF(E1339="","",(AA1339&lt;&gt;"")+(AG1339&lt;&gt;"")+(AL1339&lt;&gt;""))</f>
        <v>1</v>
      </c>
      <c r="AP1339" s="82" t="str">
        <f aca="false">IF(AL1339&lt;&gt;"",AL1339,IF(AG1339&lt;&gt;"",AG1339,IF(AA1339&lt;&gt;"",AA1339,"")))</f>
        <v>A</v>
      </c>
      <c r="AQ1339" s="84" t="str">
        <f aca="false">IF(E1339="","",IF(U1339="","À SOUDER",IF(X1339="","VT EN ATTENTE",IF(X1339="R","VT REJETÉ – À REPRENDRE",IF(AP1339="","À RADIOGRAPHIER",IF(AP1339="A","ACCEPTÉ",IF(AP1339="NX","NX – RT À REFAIRE",IF(IF(AO1339=1,AD1339,IF(AO1339=2,AI1339,""))="A","RÉPARÉ – À RADIOGRAPHIER",IF(IF(AO1339=1,AD1339,IF(AO1339=2,AI1339,""))="R","VT REJETÉ – À REPRENDRE",IF(OR(AP1339="CO",AP1339="NT"),"COUPE – À RESOUDER","À RÉPARER"))))))))))</f>
        <v>ACCEPTÉ</v>
      </c>
      <c r="AR1339" s="82" t="str">
        <f aca="false">IF(AND(ISNUMBER(U1339),OR(AQ1339="À RADIOGRAPHIER",AQ1339="RÉPARÉ – À RADIOGRAPHIER",AQ1339="NX – RT À REFAIRE",AQ1339="À RÉPARER",AQ1339="COUPE – À RESOUDER",AQ1339="VT REJETÉ – À REPRENDRE")),MAX(0,'PROGRAMME RT'!$C$4-U1339),"")</f>
        <v/>
      </c>
      <c r="AS1339" s="82" t="n">
        <f aca="false">IF(AND(OR(AQ1339="À RADIOGRAPHIER",AQ1339="RÉPARÉ – À RADIOGRAPHIER",AQ1339="NX – RT À REFAIRE"),OR('PROGRAMME RT'!$D$5="TOUTES",B1339='PROGRAMME RT'!$D$5)),1,0)</f>
        <v>0</v>
      </c>
      <c r="AT1339" s="82" t="str">
        <f aca="false">IF(AS1339=1,SUM(AS$7:AS1339),"")</f>
        <v/>
      </c>
      <c r="AU1339" s="82" t="n">
        <f aca="false">IF(AND(OR(AA1339="R",AA1339="NX",AA1339="NT",AA1339="CO"),OR('JOINTS DE RÉPARATION'!$D$5="TOUTES",B1339='JOINTS DE RÉPARATION'!$D$5),OR('JOINTS DE RÉPARATION'!$L$4="TOUS",AQ1339&lt;&gt;"ACCEPTÉ")),1,0)</f>
        <v>0</v>
      </c>
      <c r="AV1339" s="82" t="str">
        <f aca="false">IF(AU1339=1,SUM(AU$7:AU1339),"")</f>
        <v/>
      </c>
      <c r="AW1339" s="82" t="str">
        <f aca="false">IF(E1339="","",B1339&amp;"|"&amp;E1339)</f>
        <v>MFD-ISW → MFD-CPF|DJ°297</v>
      </c>
    </row>
    <row r="1340" customFormat="false" ht="74.6" hidden="false" customHeight="false" outlineLevel="0" collapsed="false">
      <c r="A1340" s="79" t="n">
        <f aca="false">IF(E1340="","",ROW()-6)</f>
        <v>1334</v>
      </c>
      <c r="B1340" s="80" t="s">
        <v>110</v>
      </c>
      <c r="C1340" s="81" t="s">
        <v>1609</v>
      </c>
      <c r="D1340" s="81" t="n">
        <v>11</v>
      </c>
      <c r="E1340" s="81" t="s">
        <v>1615</v>
      </c>
      <c r="F1340" s="82" t="str">
        <f aca="false">IF(E1340="","",IF(LEFT(E1340,2)="DJ","DJ","JN"))</f>
        <v>JN</v>
      </c>
      <c r="G1340" s="81" t="s">
        <v>1504</v>
      </c>
      <c r="H1340" s="81" t="s">
        <v>871</v>
      </c>
      <c r="I1340" s="81" t="n">
        <v>9.53</v>
      </c>
      <c r="J1340" s="81" t="s">
        <v>872</v>
      </c>
      <c r="K1340" s="81" t="s">
        <v>879</v>
      </c>
      <c r="L1340" s="81" t="n">
        <v>2090190</v>
      </c>
      <c r="M1340" s="81" t="n">
        <v>15421109</v>
      </c>
      <c r="N1340" s="81" t="n">
        <v>11.94</v>
      </c>
      <c r="O1340" s="81" t="n">
        <v>2089480</v>
      </c>
      <c r="P1340" s="81" t="n">
        <v>15421109</v>
      </c>
      <c r="Q1340" s="81" t="n">
        <v>11.94</v>
      </c>
      <c r="R1340" s="81" t="s">
        <v>1367</v>
      </c>
      <c r="S1340" s="81"/>
      <c r="T1340" s="81"/>
      <c r="U1340" s="83" t="n">
        <v>46277</v>
      </c>
      <c r="V1340" s="83" t="n">
        <v>46277</v>
      </c>
      <c r="W1340" s="81" t="s">
        <v>1567</v>
      </c>
      <c r="X1340" s="81" t="s">
        <v>876</v>
      </c>
      <c r="Y1340" s="83" t="n">
        <v>46282</v>
      </c>
      <c r="Z1340" s="81" t="s">
        <v>1594</v>
      </c>
      <c r="AA1340" s="81" t="s">
        <v>876</v>
      </c>
      <c r="AB1340" s="81"/>
      <c r="AC1340" s="81"/>
      <c r="AD1340" s="81"/>
      <c r="AE1340" s="83"/>
      <c r="AF1340" s="81"/>
      <c r="AG1340" s="81"/>
      <c r="AH1340" s="81"/>
      <c r="AI1340" s="81"/>
      <c r="AJ1340" s="83"/>
      <c r="AK1340" s="81"/>
      <c r="AL1340" s="81"/>
      <c r="AM1340" s="83"/>
      <c r="AN1340" s="80"/>
      <c r="AO1340" s="82" t="n">
        <f aca="false">IF(E1340="","",(AA1340&lt;&gt;"")+(AG1340&lt;&gt;"")+(AL1340&lt;&gt;""))</f>
        <v>1</v>
      </c>
      <c r="AP1340" s="82" t="str">
        <f aca="false">IF(AL1340&lt;&gt;"",AL1340,IF(AG1340&lt;&gt;"",AG1340,IF(AA1340&lt;&gt;"",AA1340,"")))</f>
        <v>A</v>
      </c>
      <c r="AQ1340" s="84" t="str">
        <f aca="false">IF(E1340="","",IF(U1340="","À SOUDER",IF(X1340="","VT EN ATTENTE",IF(X1340="R","VT REJETÉ – À REPRENDRE",IF(AP1340="","À RADIOGRAPHIER",IF(AP1340="A","ACCEPTÉ",IF(AP1340="NX","NX – RT À REFAIRE",IF(IF(AO1340=1,AD1340,IF(AO1340=2,AI1340,""))="A","RÉPARÉ – À RADIOGRAPHIER",IF(IF(AO1340=1,AD1340,IF(AO1340=2,AI1340,""))="R","VT REJETÉ – À REPRENDRE",IF(OR(AP1340="CO",AP1340="NT"),"COUPE – À RESOUDER","À RÉPARER"))))))))))</f>
        <v>ACCEPTÉ</v>
      </c>
      <c r="AR1340" s="82" t="str">
        <f aca="false">IF(AND(ISNUMBER(U1340),OR(AQ1340="À RADIOGRAPHIER",AQ1340="RÉPARÉ – À RADIOGRAPHIER",AQ1340="NX – RT À REFAIRE",AQ1340="À RÉPARER",AQ1340="COUPE – À RESOUDER",AQ1340="VT REJETÉ – À REPRENDRE")),MAX(0,'PROGRAMME RT'!$C$4-U1340),"")</f>
        <v/>
      </c>
      <c r="AS1340" s="82" t="n">
        <f aca="false">IF(AND(OR(AQ1340="À RADIOGRAPHIER",AQ1340="RÉPARÉ – À RADIOGRAPHIER",AQ1340="NX – RT À REFAIRE"),OR('PROGRAMME RT'!$D$5="TOUTES",B1340='PROGRAMME RT'!$D$5)),1,0)</f>
        <v>0</v>
      </c>
      <c r="AT1340" s="82" t="str">
        <f aca="false">IF(AS1340=1,SUM(AS$7:AS1340),"")</f>
        <v/>
      </c>
      <c r="AU1340" s="82" t="n">
        <f aca="false">IF(AND(OR(AA1340="R",AA1340="NX",AA1340="NT",AA1340="CO"),OR('JOINTS DE RÉPARATION'!$D$5="TOUTES",B1340='JOINTS DE RÉPARATION'!$D$5),OR('JOINTS DE RÉPARATION'!$L$4="TOUS",AQ1340&lt;&gt;"ACCEPTÉ")),1,0)</f>
        <v>0</v>
      </c>
      <c r="AV1340" s="82" t="str">
        <f aca="false">IF(AU1340=1,SUM(AU$7:AU1340),"")</f>
        <v/>
      </c>
      <c r="AW1340" s="82" t="str">
        <f aca="false">IF(E1340="","",B1340&amp;"|"&amp;E1340)</f>
        <v>MFD-ISW → MFD-CPF|JN°1116</v>
      </c>
    </row>
    <row r="1341" customFormat="false" ht="74.6" hidden="false" customHeight="false" outlineLevel="0" collapsed="false">
      <c r="A1341" s="79" t="n">
        <f aca="false">IF(E1341="","",ROW()-6)</f>
        <v>1335</v>
      </c>
      <c r="B1341" s="80" t="s">
        <v>110</v>
      </c>
      <c r="C1341" s="81" t="s">
        <v>1609</v>
      </c>
      <c r="D1341" s="81" t="n">
        <v>11</v>
      </c>
      <c r="E1341" s="81" t="s">
        <v>1616</v>
      </c>
      <c r="F1341" s="82" t="str">
        <f aca="false">IF(E1341="","",IF(LEFT(E1341,2)="DJ","DJ","JN"))</f>
        <v>DJ</v>
      </c>
      <c r="G1341" s="81"/>
      <c r="H1341" s="81" t="s">
        <v>871</v>
      </c>
      <c r="I1341" s="81" t="n">
        <v>9.53</v>
      </c>
      <c r="J1341" s="81" t="s">
        <v>872</v>
      </c>
      <c r="K1341" s="81" t="s">
        <v>873</v>
      </c>
      <c r="L1341" s="81" t="n">
        <v>2089480</v>
      </c>
      <c r="M1341" s="81" t="n">
        <v>15421109</v>
      </c>
      <c r="N1341" s="81" t="n">
        <v>11.94</v>
      </c>
      <c r="O1341" s="81" t="n">
        <v>2080800</v>
      </c>
      <c r="P1341" s="81" t="n">
        <v>15421103</v>
      </c>
      <c r="Q1341" s="81" t="n">
        <v>11.94</v>
      </c>
      <c r="R1341" s="81" t="s">
        <v>963</v>
      </c>
      <c r="S1341" s="81"/>
      <c r="T1341" s="81"/>
      <c r="U1341" s="83" t="n">
        <v>46271</v>
      </c>
      <c r="V1341" s="83" t="n">
        <v>46271</v>
      </c>
      <c r="W1341" s="81" t="s">
        <v>1536</v>
      </c>
      <c r="X1341" s="81" t="s">
        <v>876</v>
      </c>
      <c r="Y1341" s="83" t="n">
        <v>46272</v>
      </c>
      <c r="Z1341" s="81" t="s">
        <v>1542</v>
      </c>
      <c r="AA1341" s="81" t="s">
        <v>876</v>
      </c>
      <c r="AB1341" s="81"/>
      <c r="AC1341" s="81"/>
      <c r="AD1341" s="81"/>
      <c r="AE1341" s="83"/>
      <c r="AF1341" s="81"/>
      <c r="AG1341" s="81"/>
      <c r="AH1341" s="81"/>
      <c r="AI1341" s="81"/>
      <c r="AJ1341" s="83"/>
      <c r="AK1341" s="81"/>
      <c r="AL1341" s="81"/>
      <c r="AM1341" s="83"/>
      <c r="AN1341" s="80"/>
      <c r="AO1341" s="82" t="n">
        <f aca="false">IF(E1341="","",(AA1341&lt;&gt;"")+(AG1341&lt;&gt;"")+(AL1341&lt;&gt;""))</f>
        <v>1</v>
      </c>
      <c r="AP1341" s="82" t="str">
        <f aca="false">IF(AL1341&lt;&gt;"",AL1341,IF(AG1341&lt;&gt;"",AG1341,IF(AA1341&lt;&gt;"",AA1341,"")))</f>
        <v>A</v>
      </c>
      <c r="AQ1341" s="84" t="str">
        <f aca="false">IF(E1341="","",IF(U1341="","À SOUDER",IF(X1341="","VT EN ATTENTE",IF(X1341="R","VT REJETÉ – À REPRENDRE",IF(AP1341="","À RADIOGRAPHIER",IF(AP1341="A","ACCEPTÉ",IF(AP1341="NX","NX – RT À REFAIRE",IF(IF(AO1341=1,AD1341,IF(AO1341=2,AI1341,""))="A","RÉPARÉ – À RADIOGRAPHIER",IF(IF(AO1341=1,AD1341,IF(AO1341=2,AI1341,""))="R","VT REJETÉ – À REPRENDRE",IF(OR(AP1341="CO",AP1341="NT"),"COUPE – À RESOUDER","À RÉPARER"))))))))))</f>
        <v>ACCEPTÉ</v>
      </c>
      <c r="AR1341" s="82" t="str">
        <f aca="false">IF(AND(ISNUMBER(U1341),OR(AQ1341="À RADIOGRAPHIER",AQ1341="RÉPARÉ – À RADIOGRAPHIER",AQ1341="NX – RT À REFAIRE",AQ1341="À RÉPARER",AQ1341="COUPE – À RESOUDER",AQ1341="VT REJETÉ – À REPRENDRE")),MAX(0,'PROGRAMME RT'!$C$4-U1341),"")</f>
        <v/>
      </c>
      <c r="AS1341" s="82" t="n">
        <f aca="false">IF(AND(OR(AQ1341="À RADIOGRAPHIER",AQ1341="RÉPARÉ – À RADIOGRAPHIER",AQ1341="NX – RT À REFAIRE"),OR('PROGRAMME RT'!$D$5="TOUTES",B1341='PROGRAMME RT'!$D$5)),1,0)</f>
        <v>0</v>
      </c>
      <c r="AT1341" s="82" t="str">
        <f aca="false">IF(AS1341=1,SUM(AS$7:AS1341),"")</f>
        <v/>
      </c>
      <c r="AU1341" s="82" t="n">
        <f aca="false">IF(AND(OR(AA1341="R",AA1341="NX",AA1341="NT",AA1341="CO"),OR('JOINTS DE RÉPARATION'!$D$5="TOUTES",B1341='JOINTS DE RÉPARATION'!$D$5),OR('JOINTS DE RÉPARATION'!$L$4="TOUS",AQ1341&lt;&gt;"ACCEPTÉ")),1,0)</f>
        <v>0</v>
      </c>
      <c r="AV1341" s="82" t="str">
        <f aca="false">IF(AU1341=1,SUM(AU$7:AU1341),"")</f>
        <v/>
      </c>
      <c r="AW1341" s="82" t="str">
        <f aca="false">IF(E1341="","",B1341&amp;"|"&amp;E1341)</f>
        <v>MFD-ISW → MFD-CPF|DJ°300</v>
      </c>
    </row>
    <row r="1342" customFormat="false" ht="74.6" hidden="false" customHeight="false" outlineLevel="0" collapsed="false">
      <c r="A1342" s="79" t="n">
        <f aca="false">IF(E1342="","",ROW()-6)</f>
        <v>1336</v>
      </c>
      <c r="B1342" s="80" t="s">
        <v>110</v>
      </c>
      <c r="C1342" s="81" t="s">
        <v>1609</v>
      </c>
      <c r="D1342" s="81" t="n">
        <v>11</v>
      </c>
      <c r="E1342" s="81" t="s">
        <v>1617</v>
      </c>
      <c r="F1342" s="82" t="str">
        <f aca="false">IF(E1342="","",IF(LEFT(E1342,2)="DJ","DJ","JN"))</f>
        <v>JN</v>
      </c>
      <c r="G1342" s="81" t="s">
        <v>1504</v>
      </c>
      <c r="H1342" s="81" t="s">
        <v>871</v>
      </c>
      <c r="I1342" s="81" t="n">
        <v>9.53</v>
      </c>
      <c r="J1342" s="81" t="s">
        <v>872</v>
      </c>
      <c r="K1342" s="81" t="s">
        <v>879</v>
      </c>
      <c r="L1342" s="81" t="n">
        <v>2080800</v>
      </c>
      <c r="M1342" s="81" t="n">
        <v>15421103</v>
      </c>
      <c r="N1342" s="81" t="n">
        <v>11.94</v>
      </c>
      <c r="O1342" s="81" t="n">
        <v>2081950</v>
      </c>
      <c r="P1342" s="81" t="n">
        <v>15421104</v>
      </c>
      <c r="Q1342" s="81" t="n">
        <v>11.94</v>
      </c>
      <c r="R1342" s="81" t="s">
        <v>1367</v>
      </c>
      <c r="S1342" s="81"/>
      <c r="T1342" s="81"/>
      <c r="U1342" s="83" t="n">
        <v>46277</v>
      </c>
      <c r="V1342" s="83" t="n">
        <v>46277</v>
      </c>
      <c r="W1342" s="81" t="s">
        <v>1567</v>
      </c>
      <c r="X1342" s="81" t="s">
        <v>876</v>
      </c>
      <c r="Y1342" s="83" t="n">
        <v>46282</v>
      </c>
      <c r="Z1342" s="81" t="s">
        <v>1594</v>
      </c>
      <c r="AA1342" s="81" t="s">
        <v>876</v>
      </c>
      <c r="AB1342" s="81"/>
      <c r="AC1342" s="81"/>
      <c r="AD1342" s="81"/>
      <c r="AE1342" s="83"/>
      <c r="AF1342" s="81"/>
      <c r="AG1342" s="81"/>
      <c r="AH1342" s="81"/>
      <c r="AI1342" s="81"/>
      <c r="AJ1342" s="83"/>
      <c r="AK1342" s="81"/>
      <c r="AL1342" s="81"/>
      <c r="AM1342" s="83"/>
      <c r="AN1342" s="80"/>
      <c r="AO1342" s="82" t="n">
        <f aca="false">IF(E1342="","",(AA1342&lt;&gt;"")+(AG1342&lt;&gt;"")+(AL1342&lt;&gt;""))</f>
        <v>1</v>
      </c>
      <c r="AP1342" s="82" t="str">
        <f aca="false">IF(AL1342&lt;&gt;"",AL1342,IF(AG1342&lt;&gt;"",AG1342,IF(AA1342&lt;&gt;"",AA1342,"")))</f>
        <v>A</v>
      </c>
      <c r="AQ1342" s="84" t="str">
        <f aca="false">IF(E1342="","",IF(U1342="","À SOUDER",IF(X1342="","VT EN ATTENTE",IF(X1342="R","VT REJETÉ – À REPRENDRE",IF(AP1342="","À RADIOGRAPHIER",IF(AP1342="A","ACCEPTÉ",IF(AP1342="NX","NX – RT À REFAIRE",IF(IF(AO1342=1,AD1342,IF(AO1342=2,AI1342,""))="A","RÉPARÉ – À RADIOGRAPHIER",IF(IF(AO1342=1,AD1342,IF(AO1342=2,AI1342,""))="R","VT REJETÉ – À REPRENDRE",IF(OR(AP1342="CO",AP1342="NT"),"COUPE – À RESOUDER","À RÉPARER"))))))))))</f>
        <v>ACCEPTÉ</v>
      </c>
      <c r="AR1342" s="82" t="str">
        <f aca="false">IF(AND(ISNUMBER(U1342),OR(AQ1342="À RADIOGRAPHIER",AQ1342="RÉPARÉ – À RADIOGRAPHIER",AQ1342="NX – RT À REFAIRE",AQ1342="À RÉPARER",AQ1342="COUPE – À RESOUDER",AQ1342="VT REJETÉ – À REPRENDRE")),MAX(0,'PROGRAMME RT'!$C$4-U1342),"")</f>
        <v/>
      </c>
      <c r="AS1342" s="82" t="n">
        <f aca="false">IF(AND(OR(AQ1342="À RADIOGRAPHIER",AQ1342="RÉPARÉ – À RADIOGRAPHIER",AQ1342="NX – RT À REFAIRE"),OR('PROGRAMME RT'!$D$5="TOUTES",B1342='PROGRAMME RT'!$D$5)),1,0)</f>
        <v>0</v>
      </c>
      <c r="AT1342" s="82" t="str">
        <f aca="false">IF(AS1342=1,SUM(AS$7:AS1342),"")</f>
        <v/>
      </c>
      <c r="AU1342" s="82" t="n">
        <f aca="false">IF(AND(OR(AA1342="R",AA1342="NX",AA1342="NT",AA1342="CO"),OR('JOINTS DE RÉPARATION'!$D$5="TOUTES",B1342='JOINTS DE RÉPARATION'!$D$5),OR('JOINTS DE RÉPARATION'!$L$4="TOUS",AQ1342&lt;&gt;"ACCEPTÉ")),1,0)</f>
        <v>0</v>
      </c>
      <c r="AV1342" s="82" t="str">
        <f aca="false">IF(AU1342=1,SUM(AU$7:AU1342),"")</f>
        <v/>
      </c>
      <c r="AW1342" s="82" t="str">
        <f aca="false">IF(E1342="","",B1342&amp;"|"&amp;E1342)</f>
        <v>MFD-ISW → MFD-CPF|JN°1117</v>
      </c>
    </row>
    <row r="1343" customFormat="false" ht="74.6" hidden="false" customHeight="false" outlineLevel="0" collapsed="false">
      <c r="A1343" s="79" t="n">
        <f aca="false">IF(E1343="","",ROW()-6)</f>
        <v>1337</v>
      </c>
      <c r="B1343" s="80" t="s">
        <v>110</v>
      </c>
      <c r="C1343" s="81" t="s">
        <v>1609</v>
      </c>
      <c r="D1343" s="81" t="n">
        <v>11</v>
      </c>
      <c r="E1343" s="81" t="s">
        <v>1618</v>
      </c>
      <c r="F1343" s="82" t="str">
        <f aca="false">IF(E1343="","",IF(LEFT(E1343,2)="DJ","DJ","JN"))</f>
        <v>DJ</v>
      </c>
      <c r="G1343" s="81"/>
      <c r="H1343" s="81" t="s">
        <v>871</v>
      </c>
      <c r="I1343" s="81" t="n">
        <v>9.53</v>
      </c>
      <c r="J1343" s="81" t="s">
        <v>872</v>
      </c>
      <c r="K1343" s="81" t="s">
        <v>873</v>
      </c>
      <c r="L1343" s="81" t="n">
        <v>2081950</v>
      </c>
      <c r="M1343" s="81" t="n">
        <v>15421104</v>
      </c>
      <c r="N1343" s="81" t="n">
        <v>11.94</v>
      </c>
      <c r="O1343" s="81" t="n">
        <v>2084050</v>
      </c>
      <c r="P1343" s="81" t="n">
        <v>15421106</v>
      </c>
      <c r="Q1343" s="81" t="n">
        <v>11.94</v>
      </c>
      <c r="R1343" s="81" t="s">
        <v>1517</v>
      </c>
      <c r="S1343" s="81"/>
      <c r="T1343" s="81"/>
      <c r="U1343" s="83" t="n">
        <v>46270</v>
      </c>
      <c r="V1343" s="83" t="n">
        <v>46270</v>
      </c>
      <c r="W1343" s="81" t="s">
        <v>1444</v>
      </c>
      <c r="X1343" s="81" t="s">
        <v>876</v>
      </c>
      <c r="Y1343" s="83" t="n">
        <v>46271</v>
      </c>
      <c r="Z1343" s="81" t="s">
        <v>1445</v>
      </c>
      <c r="AA1343" s="81" t="s">
        <v>876</v>
      </c>
      <c r="AB1343" s="81"/>
      <c r="AC1343" s="81"/>
      <c r="AD1343" s="81"/>
      <c r="AE1343" s="83"/>
      <c r="AF1343" s="81"/>
      <c r="AG1343" s="81"/>
      <c r="AH1343" s="81"/>
      <c r="AI1343" s="81"/>
      <c r="AJ1343" s="83"/>
      <c r="AK1343" s="81"/>
      <c r="AL1343" s="81"/>
      <c r="AM1343" s="83"/>
      <c r="AN1343" s="80"/>
      <c r="AO1343" s="82" t="n">
        <f aca="false">IF(E1343="","",(AA1343&lt;&gt;"")+(AG1343&lt;&gt;"")+(AL1343&lt;&gt;""))</f>
        <v>1</v>
      </c>
      <c r="AP1343" s="82" t="str">
        <f aca="false">IF(AL1343&lt;&gt;"",AL1343,IF(AG1343&lt;&gt;"",AG1343,IF(AA1343&lt;&gt;"",AA1343,"")))</f>
        <v>A</v>
      </c>
      <c r="AQ1343" s="84" t="str">
        <f aca="false">IF(E1343="","",IF(U1343="","À SOUDER",IF(X1343="","VT EN ATTENTE",IF(X1343="R","VT REJETÉ – À REPRENDRE",IF(AP1343="","À RADIOGRAPHIER",IF(AP1343="A","ACCEPTÉ",IF(AP1343="NX","NX – RT À REFAIRE",IF(IF(AO1343=1,AD1343,IF(AO1343=2,AI1343,""))="A","RÉPARÉ – À RADIOGRAPHIER",IF(IF(AO1343=1,AD1343,IF(AO1343=2,AI1343,""))="R","VT REJETÉ – À REPRENDRE",IF(OR(AP1343="CO",AP1343="NT"),"COUPE – À RESOUDER","À RÉPARER"))))))))))</f>
        <v>ACCEPTÉ</v>
      </c>
      <c r="AR1343" s="82" t="str">
        <f aca="false">IF(AND(ISNUMBER(U1343),OR(AQ1343="À RADIOGRAPHIER",AQ1343="RÉPARÉ – À RADIOGRAPHIER",AQ1343="NX – RT À REFAIRE",AQ1343="À RÉPARER",AQ1343="COUPE – À RESOUDER",AQ1343="VT REJETÉ – À REPRENDRE")),MAX(0,'PROGRAMME RT'!$C$4-U1343),"")</f>
        <v/>
      </c>
      <c r="AS1343" s="82" t="n">
        <f aca="false">IF(AND(OR(AQ1343="À RADIOGRAPHIER",AQ1343="RÉPARÉ – À RADIOGRAPHIER",AQ1343="NX – RT À REFAIRE"),OR('PROGRAMME RT'!$D$5="TOUTES",B1343='PROGRAMME RT'!$D$5)),1,0)</f>
        <v>0</v>
      </c>
      <c r="AT1343" s="82" t="str">
        <f aca="false">IF(AS1343=1,SUM(AS$7:AS1343),"")</f>
        <v/>
      </c>
      <c r="AU1343" s="82" t="n">
        <f aca="false">IF(AND(OR(AA1343="R",AA1343="NX",AA1343="NT",AA1343="CO"),OR('JOINTS DE RÉPARATION'!$D$5="TOUTES",B1343='JOINTS DE RÉPARATION'!$D$5),OR('JOINTS DE RÉPARATION'!$L$4="TOUS",AQ1343&lt;&gt;"ACCEPTÉ")),1,0)</f>
        <v>0</v>
      </c>
      <c r="AV1343" s="82" t="str">
        <f aca="false">IF(AU1343=1,SUM(AU$7:AU1343),"")</f>
        <v/>
      </c>
      <c r="AW1343" s="82" t="str">
        <f aca="false">IF(E1343="","",B1343&amp;"|"&amp;E1343)</f>
        <v>MFD-ISW → MFD-CPF|DJ°288</v>
      </c>
    </row>
    <row r="1344" customFormat="false" ht="74.6" hidden="false" customHeight="false" outlineLevel="0" collapsed="false">
      <c r="A1344" s="79" t="n">
        <f aca="false">IF(E1344="","",ROW()-6)</f>
        <v>1338</v>
      </c>
      <c r="B1344" s="80" t="s">
        <v>110</v>
      </c>
      <c r="C1344" s="81" t="s">
        <v>926</v>
      </c>
      <c r="D1344" s="81" t="n">
        <v>11</v>
      </c>
      <c r="E1344" s="81" t="s">
        <v>1619</v>
      </c>
      <c r="F1344" s="82" t="str">
        <f aca="false">IF(E1344="","",IF(LEFT(E1344,2)="DJ","DJ","JN"))</f>
        <v>JN</v>
      </c>
      <c r="G1344" s="81"/>
      <c r="H1344" s="81"/>
      <c r="I1344" s="81"/>
      <c r="J1344" s="81"/>
      <c r="K1344" s="81"/>
      <c r="L1344" s="81" t="s">
        <v>1268</v>
      </c>
      <c r="M1344" s="81"/>
      <c r="N1344" s="81"/>
      <c r="O1344" s="81"/>
      <c r="P1344" s="81"/>
      <c r="Q1344" s="81"/>
      <c r="R1344" s="81"/>
      <c r="S1344" s="81"/>
      <c r="T1344" s="81"/>
      <c r="U1344" s="83"/>
      <c r="V1344" s="83"/>
      <c r="W1344" s="81"/>
      <c r="X1344" s="81"/>
      <c r="Y1344" s="83"/>
      <c r="Z1344" s="81"/>
      <c r="AA1344" s="81"/>
      <c r="AB1344" s="81"/>
      <c r="AC1344" s="81"/>
      <c r="AD1344" s="81"/>
      <c r="AE1344" s="83"/>
      <c r="AF1344" s="81"/>
      <c r="AG1344" s="81"/>
      <c r="AH1344" s="81"/>
      <c r="AI1344" s="81"/>
      <c r="AJ1344" s="83"/>
      <c r="AK1344" s="81"/>
      <c r="AL1344" s="81"/>
      <c r="AM1344" s="83"/>
      <c r="AN1344" s="80"/>
      <c r="AO1344" s="82" t="n">
        <f aca="false">IF(E1344="","",(AA1344&lt;&gt;"")+(AG1344&lt;&gt;"")+(AL1344&lt;&gt;""))</f>
        <v>0</v>
      </c>
      <c r="AP1344" s="82" t="str">
        <f aca="false">IF(AL1344&lt;&gt;"",AL1344,IF(AG1344&lt;&gt;"",AG1344,IF(AA1344&lt;&gt;"",AA1344,"")))</f>
        <v/>
      </c>
      <c r="AQ1344" s="84" t="str">
        <f aca="false">IF(E1344="","",IF(U1344="","À SOUDER",IF(X1344="","VT EN ATTENTE",IF(X1344="R","VT REJETÉ – À REPRENDRE",IF(AP1344="","À RADIOGRAPHIER",IF(AP1344="A","ACCEPTÉ",IF(AP1344="NX","NX – RT À REFAIRE",IF(IF(AO1344=1,AD1344,IF(AO1344=2,AI1344,""))="A","RÉPARÉ – À RADIOGRAPHIER",IF(IF(AO1344=1,AD1344,IF(AO1344=2,AI1344,""))="R","VT REJETÉ – À REPRENDRE",IF(OR(AP1344="CO",AP1344="NT"),"COUPE – À RESOUDER","À RÉPARER"))))))))))</f>
        <v>À SOUDER</v>
      </c>
      <c r="AR1344" s="82" t="str">
        <f aca="false">IF(AND(ISNUMBER(U1344),OR(AQ1344="À RADIOGRAPHIER",AQ1344="RÉPARÉ – À RADIOGRAPHIER",AQ1344="NX – RT À REFAIRE",AQ1344="À RÉPARER",AQ1344="COUPE – À RESOUDER",AQ1344="VT REJETÉ – À REPRENDRE")),MAX(0,'PROGRAMME RT'!$C$4-U1344),"")</f>
        <v/>
      </c>
      <c r="AS1344" s="82" t="n">
        <f aca="false">IF(AND(OR(AQ1344="À RADIOGRAPHIER",AQ1344="RÉPARÉ – À RADIOGRAPHIER",AQ1344="NX – RT À REFAIRE"),OR('PROGRAMME RT'!$D$5="TOUTES",B1344='PROGRAMME RT'!$D$5)),1,0)</f>
        <v>0</v>
      </c>
      <c r="AT1344" s="82" t="str">
        <f aca="false">IF(AS1344=1,SUM(AS$7:AS1344),"")</f>
        <v/>
      </c>
      <c r="AU1344" s="82" t="n">
        <f aca="false">IF(AND(OR(AA1344="R",AA1344="NX",AA1344="NT",AA1344="CO"),OR('JOINTS DE RÉPARATION'!$D$5="TOUTES",B1344='JOINTS DE RÉPARATION'!$D$5),OR('JOINTS DE RÉPARATION'!$L$4="TOUS",AQ1344&lt;&gt;"ACCEPTÉ")),1,0)</f>
        <v>0</v>
      </c>
      <c r="AV1344" s="82" t="str">
        <f aca="false">IF(AU1344=1,SUM(AU$7:AU1344),"")</f>
        <v/>
      </c>
      <c r="AW1344" s="82" t="str">
        <f aca="false">IF(E1344="","",B1344&amp;"|"&amp;E1344)</f>
        <v>MFD-ISW → MFD-CPF|JN°1118</v>
      </c>
    </row>
    <row r="1345" customFormat="false" ht="74.6" hidden="false" customHeight="false" outlineLevel="0" collapsed="false">
      <c r="A1345" s="79" t="n">
        <f aca="false">IF(E1345="","",ROW()-6)</f>
        <v>1339</v>
      </c>
      <c r="B1345" s="80" t="s">
        <v>110</v>
      </c>
      <c r="C1345" s="81" t="s">
        <v>926</v>
      </c>
      <c r="D1345" s="81" t="n">
        <v>11</v>
      </c>
      <c r="E1345" s="81" t="s">
        <v>1620</v>
      </c>
      <c r="F1345" s="82" t="str">
        <f aca="false">IF(E1345="","",IF(LEFT(E1345,2)="DJ","DJ","JN"))</f>
        <v>JN</v>
      </c>
      <c r="G1345" s="81"/>
      <c r="H1345" s="81"/>
      <c r="I1345" s="81"/>
      <c r="J1345" s="81"/>
      <c r="K1345" s="81"/>
      <c r="L1345" s="81" t="s">
        <v>1268</v>
      </c>
      <c r="M1345" s="81"/>
      <c r="N1345" s="81"/>
      <c r="O1345" s="81"/>
      <c r="P1345" s="81"/>
      <c r="Q1345" s="81"/>
      <c r="R1345" s="81"/>
      <c r="S1345" s="81"/>
      <c r="T1345" s="81"/>
      <c r="U1345" s="83"/>
      <c r="V1345" s="83"/>
      <c r="W1345" s="81"/>
      <c r="X1345" s="81"/>
      <c r="Y1345" s="83"/>
      <c r="Z1345" s="81"/>
      <c r="AA1345" s="81"/>
      <c r="AB1345" s="81"/>
      <c r="AC1345" s="81"/>
      <c r="AD1345" s="81"/>
      <c r="AE1345" s="83"/>
      <c r="AF1345" s="81"/>
      <c r="AG1345" s="81"/>
      <c r="AH1345" s="81"/>
      <c r="AI1345" s="81"/>
      <c r="AJ1345" s="83"/>
      <c r="AK1345" s="81"/>
      <c r="AL1345" s="81"/>
      <c r="AM1345" s="83"/>
      <c r="AN1345" s="80"/>
      <c r="AO1345" s="82" t="n">
        <f aca="false">IF(E1345="","",(AA1345&lt;&gt;"")+(AG1345&lt;&gt;"")+(AL1345&lt;&gt;""))</f>
        <v>0</v>
      </c>
      <c r="AP1345" s="82" t="str">
        <f aca="false">IF(AL1345&lt;&gt;"",AL1345,IF(AG1345&lt;&gt;"",AG1345,IF(AA1345&lt;&gt;"",AA1345,"")))</f>
        <v/>
      </c>
      <c r="AQ1345" s="84" t="str">
        <f aca="false">IF(E1345="","",IF(U1345="","À SOUDER",IF(X1345="","VT EN ATTENTE",IF(X1345="R","VT REJETÉ – À REPRENDRE",IF(AP1345="","À RADIOGRAPHIER",IF(AP1345="A","ACCEPTÉ",IF(AP1345="NX","NX – RT À REFAIRE",IF(IF(AO1345=1,AD1345,IF(AO1345=2,AI1345,""))="A","RÉPARÉ – À RADIOGRAPHIER",IF(IF(AO1345=1,AD1345,IF(AO1345=2,AI1345,""))="R","VT REJETÉ – À REPRENDRE",IF(OR(AP1345="CO",AP1345="NT"),"COUPE – À RESOUDER","À RÉPARER"))))))))))</f>
        <v>À SOUDER</v>
      </c>
      <c r="AR1345" s="82" t="str">
        <f aca="false">IF(AND(ISNUMBER(U1345),OR(AQ1345="À RADIOGRAPHIER",AQ1345="RÉPARÉ – À RADIOGRAPHIER",AQ1345="NX – RT À REFAIRE",AQ1345="À RÉPARER",AQ1345="COUPE – À RESOUDER",AQ1345="VT REJETÉ – À REPRENDRE")),MAX(0,'PROGRAMME RT'!$C$4-U1345),"")</f>
        <v/>
      </c>
      <c r="AS1345" s="82" t="n">
        <f aca="false">IF(AND(OR(AQ1345="À RADIOGRAPHIER",AQ1345="RÉPARÉ – À RADIOGRAPHIER",AQ1345="NX – RT À REFAIRE"),OR('PROGRAMME RT'!$D$5="TOUTES",B1345='PROGRAMME RT'!$D$5)),1,0)</f>
        <v>0</v>
      </c>
      <c r="AT1345" s="82" t="str">
        <f aca="false">IF(AS1345=1,SUM(AS$7:AS1345),"")</f>
        <v/>
      </c>
      <c r="AU1345" s="82" t="n">
        <f aca="false">IF(AND(OR(AA1345="R",AA1345="NX",AA1345="NT",AA1345="CO"),OR('JOINTS DE RÉPARATION'!$D$5="TOUTES",B1345='JOINTS DE RÉPARATION'!$D$5),OR('JOINTS DE RÉPARATION'!$L$4="TOUS",AQ1345&lt;&gt;"ACCEPTÉ")),1,0)</f>
        <v>0</v>
      </c>
      <c r="AV1345" s="82" t="str">
        <f aca="false">IF(AU1345=1,SUM(AU$7:AU1345),"")</f>
        <v/>
      </c>
      <c r="AW1345" s="82" t="str">
        <f aca="false">IF(E1345="","",B1345&amp;"|"&amp;E1345)</f>
        <v>MFD-ISW → MFD-CPF|JN°1119</v>
      </c>
    </row>
    <row r="1346" customFormat="false" ht="74.6" hidden="false" customHeight="false" outlineLevel="0" collapsed="false">
      <c r="A1346" s="79" t="n">
        <f aca="false">IF(E1346="","",ROW()-6)</f>
        <v>1340</v>
      </c>
      <c r="B1346" s="80" t="s">
        <v>110</v>
      </c>
      <c r="C1346" s="81" t="s">
        <v>926</v>
      </c>
      <c r="D1346" s="81" t="n">
        <v>11</v>
      </c>
      <c r="E1346" s="81" t="s">
        <v>1621</v>
      </c>
      <c r="F1346" s="82" t="str">
        <f aca="false">IF(E1346="","",IF(LEFT(E1346,2)="DJ","DJ","JN"))</f>
        <v>JN</v>
      </c>
      <c r="G1346" s="81"/>
      <c r="H1346" s="81"/>
      <c r="I1346" s="81"/>
      <c r="J1346" s="81"/>
      <c r="K1346" s="81"/>
      <c r="L1346" s="81" t="s">
        <v>1268</v>
      </c>
      <c r="M1346" s="81"/>
      <c r="N1346" s="81"/>
      <c r="O1346" s="81"/>
      <c r="P1346" s="81"/>
      <c r="Q1346" s="81"/>
      <c r="R1346" s="81"/>
      <c r="S1346" s="81"/>
      <c r="T1346" s="81"/>
      <c r="U1346" s="83"/>
      <c r="V1346" s="83"/>
      <c r="W1346" s="81"/>
      <c r="X1346" s="81"/>
      <c r="Y1346" s="83"/>
      <c r="Z1346" s="81"/>
      <c r="AA1346" s="81"/>
      <c r="AB1346" s="81"/>
      <c r="AC1346" s="81"/>
      <c r="AD1346" s="81"/>
      <c r="AE1346" s="83"/>
      <c r="AF1346" s="81"/>
      <c r="AG1346" s="81"/>
      <c r="AH1346" s="81"/>
      <c r="AI1346" s="81"/>
      <c r="AJ1346" s="83"/>
      <c r="AK1346" s="81"/>
      <c r="AL1346" s="81"/>
      <c r="AM1346" s="83"/>
      <c r="AN1346" s="80"/>
      <c r="AO1346" s="82" t="n">
        <f aca="false">IF(E1346="","",(AA1346&lt;&gt;"")+(AG1346&lt;&gt;"")+(AL1346&lt;&gt;""))</f>
        <v>0</v>
      </c>
      <c r="AP1346" s="82" t="str">
        <f aca="false">IF(AL1346&lt;&gt;"",AL1346,IF(AG1346&lt;&gt;"",AG1346,IF(AA1346&lt;&gt;"",AA1346,"")))</f>
        <v/>
      </c>
      <c r="AQ1346" s="84" t="str">
        <f aca="false">IF(E1346="","",IF(U1346="","À SOUDER",IF(X1346="","VT EN ATTENTE",IF(X1346="R","VT REJETÉ – À REPRENDRE",IF(AP1346="","À RADIOGRAPHIER",IF(AP1346="A","ACCEPTÉ",IF(AP1346="NX","NX – RT À REFAIRE",IF(IF(AO1346=1,AD1346,IF(AO1346=2,AI1346,""))="A","RÉPARÉ – À RADIOGRAPHIER",IF(IF(AO1346=1,AD1346,IF(AO1346=2,AI1346,""))="R","VT REJETÉ – À REPRENDRE",IF(OR(AP1346="CO",AP1346="NT"),"COUPE – À RESOUDER","À RÉPARER"))))))))))</f>
        <v>À SOUDER</v>
      </c>
      <c r="AR1346" s="82" t="str">
        <f aca="false">IF(AND(ISNUMBER(U1346),OR(AQ1346="À RADIOGRAPHIER",AQ1346="RÉPARÉ – À RADIOGRAPHIER",AQ1346="NX – RT À REFAIRE",AQ1346="À RÉPARER",AQ1346="COUPE – À RESOUDER",AQ1346="VT REJETÉ – À REPRENDRE")),MAX(0,'PROGRAMME RT'!$C$4-U1346),"")</f>
        <v/>
      </c>
      <c r="AS1346" s="82" t="n">
        <f aca="false">IF(AND(OR(AQ1346="À RADIOGRAPHIER",AQ1346="RÉPARÉ – À RADIOGRAPHIER",AQ1346="NX – RT À REFAIRE"),OR('PROGRAMME RT'!$D$5="TOUTES",B1346='PROGRAMME RT'!$D$5)),1,0)</f>
        <v>0</v>
      </c>
      <c r="AT1346" s="82" t="str">
        <f aca="false">IF(AS1346=1,SUM(AS$7:AS1346),"")</f>
        <v/>
      </c>
      <c r="AU1346" s="82" t="n">
        <f aca="false">IF(AND(OR(AA1346="R",AA1346="NX",AA1346="NT",AA1346="CO"),OR('JOINTS DE RÉPARATION'!$D$5="TOUTES",B1346='JOINTS DE RÉPARATION'!$D$5),OR('JOINTS DE RÉPARATION'!$L$4="TOUS",AQ1346&lt;&gt;"ACCEPTÉ")),1,0)</f>
        <v>0</v>
      </c>
      <c r="AV1346" s="82" t="str">
        <f aca="false">IF(AU1346=1,SUM(AU$7:AU1346),"")</f>
        <v/>
      </c>
      <c r="AW1346" s="82" t="str">
        <f aca="false">IF(E1346="","",B1346&amp;"|"&amp;E1346)</f>
        <v>MFD-ISW → MFD-CPF|JN°1120</v>
      </c>
    </row>
    <row r="1347" customFormat="false" ht="74.6" hidden="false" customHeight="false" outlineLevel="0" collapsed="false">
      <c r="A1347" s="79" t="n">
        <f aca="false">IF(E1347="","",ROW()-6)</f>
        <v>1341</v>
      </c>
      <c r="B1347" s="80" t="s">
        <v>110</v>
      </c>
      <c r="C1347" s="81" t="s">
        <v>926</v>
      </c>
      <c r="D1347" s="81" t="n">
        <v>11</v>
      </c>
      <c r="E1347" s="81" t="s">
        <v>1622</v>
      </c>
      <c r="F1347" s="82" t="str">
        <f aca="false">IF(E1347="","",IF(LEFT(E1347,2)="DJ","DJ","JN"))</f>
        <v>JN</v>
      </c>
      <c r="G1347" s="81"/>
      <c r="H1347" s="81"/>
      <c r="I1347" s="81"/>
      <c r="J1347" s="81"/>
      <c r="K1347" s="81"/>
      <c r="L1347" s="81" t="s">
        <v>1268</v>
      </c>
      <c r="M1347" s="81"/>
      <c r="N1347" s="81"/>
      <c r="O1347" s="81" t="n">
        <v>2080720</v>
      </c>
      <c r="P1347" s="81" t="n">
        <v>15421103</v>
      </c>
      <c r="Q1347" s="81" t="n">
        <v>11.94</v>
      </c>
      <c r="R1347" s="81"/>
      <c r="S1347" s="81"/>
      <c r="T1347" s="81"/>
      <c r="U1347" s="83"/>
      <c r="V1347" s="83"/>
      <c r="W1347" s="81"/>
      <c r="X1347" s="81"/>
      <c r="Y1347" s="83"/>
      <c r="Z1347" s="81"/>
      <c r="AA1347" s="81"/>
      <c r="AB1347" s="81"/>
      <c r="AC1347" s="81"/>
      <c r="AD1347" s="81"/>
      <c r="AE1347" s="83"/>
      <c r="AF1347" s="81"/>
      <c r="AG1347" s="81"/>
      <c r="AH1347" s="81"/>
      <c r="AI1347" s="81"/>
      <c r="AJ1347" s="83"/>
      <c r="AK1347" s="81"/>
      <c r="AL1347" s="81"/>
      <c r="AM1347" s="83"/>
      <c r="AN1347" s="80"/>
      <c r="AO1347" s="82" t="n">
        <f aca="false">IF(E1347="","",(AA1347&lt;&gt;"")+(AG1347&lt;&gt;"")+(AL1347&lt;&gt;""))</f>
        <v>0</v>
      </c>
      <c r="AP1347" s="82" t="str">
        <f aca="false">IF(AL1347&lt;&gt;"",AL1347,IF(AG1347&lt;&gt;"",AG1347,IF(AA1347&lt;&gt;"",AA1347,"")))</f>
        <v/>
      </c>
      <c r="AQ1347" s="84" t="str">
        <f aca="false">IF(E1347="","",IF(U1347="","À SOUDER",IF(X1347="","VT EN ATTENTE",IF(X1347="R","VT REJETÉ – À REPRENDRE",IF(AP1347="","À RADIOGRAPHIER",IF(AP1347="A","ACCEPTÉ",IF(AP1347="NX","NX – RT À REFAIRE",IF(IF(AO1347=1,AD1347,IF(AO1347=2,AI1347,""))="A","RÉPARÉ – À RADIOGRAPHIER",IF(IF(AO1347=1,AD1347,IF(AO1347=2,AI1347,""))="R","VT REJETÉ – À REPRENDRE",IF(OR(AP1347="CO",AP1347="NT"),"COUPE – À RESOUDER","À RÉPARER"))))))))))</f>
        <v>À SOUDER</v>
      </c>
      <c r="AR1347" s="82" t="str">
        <f aca="false">IF(AND(ISNUMBER(U1347),OR(AQ1347="À RADIOGRAPHIER",AQ1347="RÉPARÉ – À RADIOGRAPHIER",AQ1347="NX – RT À REFAIRE",AQ1347="À RÉPARER",AQ1347="COUPE – À RESOUDER",AQ1347="VT REJETÉ – À REPRENDRE")),MAX(0,'PROGRAMME RT'!$C$4-U1347),"")</f>
        <v/>
      </c>
      <c r="AS1347" s="82" t="n">
        <f aca="false">IF(AND(OR(AQ1347="À RADIOGRAPHIER",AQ1347="RÉPARÉ – À RADIOGRAPHIER",AQ1347="NX – RT À REFAIRE"),OR('PROGRAMME RT'!$D$5="TOUTES",B1347='PROGRAMME RT'!$D$5)),1,0)</f>
        <v>0</v>
      </c>
      <c r="AT1347" s="82" t="str">
        <f aca="false">IF(AS1347=1,SUM(AS$7:AS1347),"")</f>
        <v/>
      </c>
      <c r="AU1347" s="82" t="n">
        <f aca="false">IF(AND(OR(AA1347="R",AA1347="NX",AA1347="NT",AA1347="CO"),OR('JOINTS DE RÉPARATION'!$D$5="TOUTES",B1347='JOINTS DE RÉPARATION'!$D$5),OR('JOINTS DE RÉPARATION'!$L$4="TOUS",AQ1347&lt;&gt;"ACCEPTÉ")),1,0)</f>
        <v>0</v>
      </c>
      <c r="AV1347" s="82" t="str">
        <f aca="false">IF(AU1347=1,SUM(AU$7:AU1347),"")</f>
        <v/>
      </c>
      <c r="AW1347" s="82" t="str">
        <f aca="false">IF(E1347="","",B1347&amp;"|"&amp;E1347)</f>
        <v>MFD-ISW → MFD-CPF|JN°1121</v>
      </c>
    </row>
    <row r="1348" customFormat="false" ht="74.6" hidden="false" customHeight="false" outlineLevel="0" collapsed="false">
      <c r="A1348" s="79" t="n">
        <f aca="false">IF(E1348="","",ROW()-6)</f>
        <v>1342</v>
      </c>
      <c r="B1348" s="80" t="s">
        <v>110</v>
      </c>
      <c r="C1348" s="81" t="s">
        <v>1623</v>
      </c>
      <c r="D1348" s="81" t="n">
        <v>11</v>
      </c>
      <c r="E1348" s="81" t="s">
        <v>1624</v>
      </c>
      <c r="F1348" s="82" t="str">
        <f aca="false">IF(E1348="","",IF(LEFT(E1348,2)="DJ","DJ","JN"))</f>
        <v>DJ</v>
      </c>
      <c r="G1348" s="81"/>
      <c r="H1348" s="81" t="s">
        <v>871</v>
      </c>
      <c r="I1348" s="81" t="n">
        <v>9.53</v>
      </c>
      <c r="J1348" s="81" t="s">
        <v>872</v>
      </c>
      <c r="K1348" s="81" t="s">
        <v>873</v>
      </c>
      <c r="L1348" s="81" t="n">
        <v>2080720</v>
      </c>
      <c r="M1348" s="81" t="n">
        <v>15421103</v>
      </c>
      <c r="N1348" s="81" t="n">
        <v>11.94</v>
      </c>
      <c r="O1348" s="81" t="n">
        <v>2096220</v>
      </c>
      <c r="P1348" s="81" t="n">
        <v>15421111</v>
      </c>
      <c r="Q1348" s="81" t="n">
        <v>11.94</v>
      </c>
      <c r="R1348" s="81" t="s">
        <v>1517</v>
      </c>
      <c r="S1348" s="81"/>
      <c r="T1348" s="81"/>
      <c r="U1348" s="83" t="n">
        <v>46270</v>
      </c>
      <c r="V1348" s="83" t="n">
        <v>46270</v>
      </c>
      <c r="W1348" s="81" t="s">
        <v>1444</v>
      </c>
      <c r="X1348" s="81" t="s">
        <v>876</v>
      </c>
      <c r="Y1348" s="83" t="n">
        <v>46271</v>
      </c>
      <c r="Z1348" s="81" t="s">
        <v>1445</v>
      </c>
      <c r="AA1348" s="81" t="s">
        <v>876</v>
      </c>
      <c r="AB1348" s="81"/>
      <c r="AC1348" s="81"/>
      <c r="AD1348" s="81"/>
      <c r="AE1348" s="83"/>
      <c r="AF1348" s="81"/>
      <c r="AG1348" s="81"/>
      <c r="AH1348" s="81"/>
      <c r="AI1348" s="81"/>
      <c r="AJ1348" s="83"/>
      <c r="AK1348" s="81"/>
      <c r="AL1348" s="81"/>
      <c r="AM1348" s="83"/>
      <c r="AN1348" s="80"/>
      <c r="AO1348" s="82" t="n">
        <f aca="false">IF(E1348="","",(AA1348&lt;&gt;"")+(AG1348&lt;&gt;"")+(AL1348&lt;&gt;""))</f>
        <v>1</v>
      </c>
      <c r="AP1348" s="82" t="str">
        <f aca="false">IF(AL1348&lt;&gt;"",AL1348,IF(AG1348&lt;&gt;"",AG1348,IF(AA1348&lt;&gt;"",AA1348,"")))</f>
        <v>A</v>
      </c>
      <c r="AQ1348" s="84" t="str">
        <f aca="false">IF(E1348="","",IF(U1348="","À SOUDER",IF(X1348="","VT EN ATTENTE",IF(X1348="R","VT REJETÉ – À REPRENDRE",IF(AP1348="","À RADIOGRAPHIER",IF(AP1348="A","ACCEPTÉ",IF(AP1348="NX","NX – RT À REFAIRE",IF(IF(AO1348=1,AD1348,IF(AO1348=2,AI1348,""))="A","RÉPARÉ – À RADIOGRAPHIER",IF(IF(AO1348=1,AD1348,IF(AO1348=2,AI1348,""))="R","VT REJETÉ – À REPRENDRE",IF(OR(AP1348="CO",AP1348="NT"),"COUPE – À RESOUDER","À RÉPARER"))))))))))</f>
        <v>ACCEPTÉ</v>
      </c>
      <c r="AR1348" s="82" t="str">
        <f aca="false">IF(AND(ISNUMBER(U1348),OR(AQ1348="À RADIOGRAPHIER",AQ1348="RÉPARÉ – À RADIOGRAPHIER",AQ1348="NX – RT À REFAIRE",AQ1348="À RÉPARER",AQ1348="COUPE – À RESOUDER",AQ1348="VT REJETÉ – À REPRENDRE")),MAX(0,'PROGRAMME RT'!$C$4-U1348),"")</f>
        <v/>
      </c>
      <c r="AS1348" s="82" t="n">
        <f aca="false">IF(AND(OR(AQ1348="À RADIOGRAPHIER",AQ1348="RÉPARÉ – À RADIOGRAPHIER",AQ1348="NX – RT À REFAIRE"),OR('PROGRAMME RT'!$D$5="TOUTES",B1348='PROGRAMME RT'!$D$5)),1,0)</f>
        <v>0</v>
      </c>
      <c r="AT1348" s="82" t="str">
        <f aca="false">IF(AS1348=1,SUM(AS$7:AS1348),"")</f>
        <v/>
      </c>
      <c r="AU1348" s="82" t="n">
        <f aca="false">IF(AND(OR(AA1348="R",AA1348="NX",AA1348="NT",AA1348="CO"),OR('JOINTS DE RÉPARATION'!$D$5="TOUTES",B1348='JOINTS DE RÉPARATION'!$D$5),OR('JOINTS DE RÉPARATION'!$L$4="TOUS",AQ1348&lt;&gt;"ACCEPTÉ")),1,0)</f>
        <v>0</v>
      </c>
      <c r="AV1348" s="82" t="str">
        <f aca="false">IF(AU1348=1,SUM(AU$7:AU1348),"")</f>
        <v/>
      </c>
      <c r="AW1348" s="82" t="str">
        <f aca="false">IF(E1348="","",B1348&amp;"|"&amp;E1348)</f>
        <v>MFD-ISW → MFD-CPF|DJ°287</v>
      </c>
    </row>
    <row r="1349" customFormat="false" ht="74.6" hidden="false" customHeight="false" outlineLevel="0" collapsed="false">
      <c r="A1349" s="79" t="n">
        <f aca="false">IF(E1349="","",ROW()-6)</f>
        <v>1343</v>
      </c>
      <c r="B1349" s="80" t="s">
        <v>110</v>
      </c>
      <c r="C1349" s="81" t="s">
        <v>1623</v>
      </c>
      <c r="D1349" s="81" t="n">
        <v>11</v>
      </c>
      <c r="E1349" s="81" t="s">
        <v>1625</v>
      </c>
      <c r="F1349" s="82" t="str">
        <f aca="false">IF(E1349="","",IF(LEFT(E1349,2)="DJ","DJ","JN"))</f>
        <v>JN</v>
      </c>
      <c r="G1349" s="81" t="s">
        <v>1504</v>
      </c>
      <c r="H1349" s="81" t="s">
        <v>871</v>
      </c>
      <c r="I1349" s="81" t="n">
        <v>9.53</v>
      </c>
      <c r="J1349" s="81" t="s">
        <v>872</v>
      </c>
      <c r="K1349" s="81" t="s">
        <v>879</v>
      </c>
      <c r="L1349" s="81" t="n">
        <v>2096220</v>
      </c>
      <c r="M1349" s="81" t="n">
        <v>15421111</v>
      </c>
      <c r="N1349" s="81" t="n">
        <v>11.94</v>
      </c>
      <c r="O1349" s="81" t="n">
        <v>2093410</v>
      </c>
      <c r="P1349" s="81" t="n">
        <v>1542110</v>
      </c>
      <c r="Q1349" s="81" t="n">
        <v>11.94</v>
      </c>
      <c r="R1349" s="81" t="s">
        <v>1367</v>
      </c>
      <c r="S1349" s="81"/>
      <c r="T1349" s="81"/>
      <c r="U1349" s="83" t="n">
        <v>46277</v>
      </c>
      <c r="V1349" s="83" t="n">
        <v>46277</v>
      </c>
      <c r="W1349" s="81" t="s">
        <v>1567</v>
      </c>
      <c r="X1349" s="81" t="s">
        <v>876</v>
      </c>
      <c r="Y1349" s="83" t="n">
        <v>46282</v>
      </c>
      <c r="Z1349" s="81" t="s">
        <v>1594</v>
      </c>
      <c r="AA1349" s="81" t="s">
        <v>876</v>
      </c>
      <c r="AB1349" s="81"/>
      <c r="AC1349" s="81"/>
      <c r="AD1349" s="81"/>
      <c r="AE1349" s="83"/>
      <c r="AF1349" s="81"/>
      <c r="AG1349" s="81"/>
      <c r="AH1349" s="81"/>
      <c r="AI1349" s="81"/>
      <c r="AJ1349" s="83"/>
      <c r="AK1349" s="81"/>
      <c r="AL1349" s="81"/>
      <c r="AM1349" s="83"/>
      <c r="AN1349" s="80"/>
      <c r="AO1349" s="82" t="n">
        <f aca="false">IF(E1349="","",(AA1349&lt;&gt;"")+(AG1349&lt;&gt;"")+(AL1349&lt;&gt;""))</f>
        <v>1</v>
      </c>
      <c r="AP1349" s="82" t="str">
        <f aca="false">IF(AL1349&lt;&gt;"",AL1349,IF(AG1349&lt;&gt;"",AG1349,IF(AA1349&lt;&gt;"",AA1349,"")))</f>
        <v>A</v>
      </c>
      <c r="AQ1349" s="84" t="str">
        <f aca="false">IF(E1349="","",IF(U1349="","À SOUDER",IF(X1349="","VT EN ATTENTE",IF(X1349="R","VT REJETÉ – À REPRENDRE",IF(AP1349="","À RADIOGRAPHIER",IF(AP1349="A","ACCEPTÉ",IF(AP1349="NX","NX – RT À REFAIRE",IF(IF(AO1349=1,AD1349,IF(AO1349=2,AI1349,""))="A","RÉPARÉ – À RADIOGRAPHIER",IF(IF(AO1349=1,AD1349,IF(AO1349=2,AI1349,""))="R","VT REJETÉ – À REPRENDRE",IF(OR(AP1349="CO",AP1349="NT"),"COUPE – À RESOUDER","À RÉPARER"))))))))))</f>
        <v>ACCEPTÉ</v>
      </c>
      <c r="AR1349" s="82" t="str">
        <f aca="false">IF(AND(ISNUMBER(U1349),OR(AQ1349="À RADIOGRAPHIER",AQ1349="RÉPARÉ – À RADIOGRAPHIER",AQ1349="NX – RT À REFAIRE",AQ1349="À RÉPARER",AQ1349="COUPE – À RESOUDER",AQ1349="VT REJETÉ – À REPRENDRE")),MAX(0,'PROGRAMME RT'!$C$4-U1349),"")</f>
        <v/>
      </c>
      <c r="AS1349" s="82" t="n">
        <f aca="false">IF(AND(OR(AQ1349="À RADIOGRAPHIER",AQ1349="RÉPARÉ – À RADIOGRAPHIER",AQ1349="NX – RT À REFAIRE"),OR('PROGRAMME RT'!$D$5="TOUTES",B1349='PROGRAMME RT'!$D$5)),1,0)</f>
        <v>0</v>
      </c>
      <c r="AT1349" s="82" t="str">
        <f aca="false">IF(AS1349=1,SUM(AS$7:AS1349),"")</f>
        <v/>
      </c>
      <c r="AU1349" s="82" t="n">
        <f aca="false">IF(AND(OR(AA1349="R",AA1349="NX",AA1349="NT",AA1349="CO"),OR('JOINTS DE RÉPARATION'!$D$5="TOUTES",B1349='JOINTS DE RÉPARATION'!$D$5),OR('JOINTS DE RÉPARATION'!$L$4="TOUS",AQ1349&lt;&gt;"ACCEPTÉ")),1,0)</f>
        <v>0</v>
      </c>
      <c r="AV1349" s="82" t="str">
        <f aca="false">IF(AU1349=1,SUM(AU$7:AU1349),"")</f>
        <v/>
      </c>
      <c r="AW1349" s="82" t="str">
        <f aca="false">IF(E1349="","",B1349&amp;"|"&amp;E1349)</f>
        <v>MFD-ISW → MFD-CPF|JN°1122</v>
      </c>
    </row>
    <row r="1350" customFormat="false" ht="74.6" hidden="false" customHeight="false" outlineLevel="0" collapsed="false">
      <c r="A1350" s="79" t="n">
        <f aca="false">IF(E1350="","",ROW()-6)</f>
        <v>1344</v>
      </c>
      <c r="B1350" s="80" t="s">
        <v>110</v>
      </c>
      <c r="C1350" s="81" t="s">
        <v>1623</v>
      </c>
      <c r="D1350" s="81" t="n">
        <v>11</v>
      </c>
      <c r="E1350" s="81" t="s">
        <v>1626</v>
      </c>
      <c r="F1350" s="82" t="str">
        <f aca="false">IF(E1350="","",IF(LEFT(E1350,2)="DJ","DJ","JN"))</f>
        <v>DJ</v>
      </c>
      <c r="G1350" s="81"/>
      <c r="H1350" s="81" t="s">
        <v>871</v>
      </c>
      <c r="I1350" s="81" t="n">
        <v>9.53</v>
      </c>
      <c r="J1350" s="81" t="s">
        <v>872</v>
      </c>
      <c r="K1350" s="81" t="s">
        <v>873</v>
      </c>
      <c r="L1350" s="81" t="n">
        <v>2093410</v>
      </c>
      <c r="M1350" s="81" t="n">
        <v>1542110</v>
      </c>
      <c r="N1350" s="81" t="n">
        <v>11.94</v>
      </c>
      <c r="O1350" s="81" t="n">
        <v>2081400</v>
      </c>
      <c r="P1350" s="81" t="n">
        <v>15421103</v>
      </c>
      <c r="Q1350" s="81" t="n">
        <v>11.94</v>
      </c>
      <c r="R1350" s="81" t="s">
        <v>963</v>
      </c>
      <c r="S1350" s="81"/>
      <c r="T1350" s="81"/>
      <c r="U1350" s="83" t="n">
        <v>46270</v>
      </c>
      <c r="V1350" s="83" t="n">
        <v>46270</v>
      </c>
      <c r="W1350" s="81" t="s">
        <v>1444</v>
      </c>
      <c r="X1350" s="81" t="s">
        <v>876</v>
      </c>
      <c r="Y1350" s="83" t="n">
        <v>46271</v>
      </c>
      <c r="Z1350" s="81" t="s">
        <v>1445</v>
      </c>
      <c r="AA1350" s="81" t="s">
        <v>876</v>
      </c>
      <c r="AB1350" s="81"/>
      <c r="AC1350" s="81"/>
      <c r="AD1350" s="81"/>
      <c r="AE1350" s="83"/>
      <c r="AF1350" s="81"/>
      <c r="AG1350" s="81"/>
      <c r="AH1350" s="81"/>
      <c r="AI1350" s="81"/>
      <c r="AJ1350" s="83"/>
      <c r="AK1350" s="81"/>
      <c r="AL1350" s="81"/>
      <c r="AM1350" s="83"/>
      <c r="AN1350" s="80"/>
      <c r="AO1350" s="82" t="n">
        <f aca="false">IF(E1350="","",(AA1350&lt;&gt;"")+(AG1350&lt;&gt;"")+(AL1350&lt;&gt;""))</f>
        <v>1</v>
      </c>
      <c r="AP1350" s="82" t="str">
        <f aca="false">IF(AL1350&lt;&gt;"",AL1350,IF(AG1350&lt;&gt;"",AG1350,IF(AA1350&lt;&gt;"",AA1350,"")))</f>
        <v>A</v>
      </c>
      <c r="AQ1350" s="84" t="str">
        <f aca="false">IF(E1350="","",IF(U1350="","À SOUDER",IF(X1350="","VT EN ATTENTE",IF(X1350="R","VT REJETÉ – À REPRENDRE",IF(AP1350="","À RADIOGRAPHIER",IF(AP1350="A","ACCEPTÉ",IF(AP1350="NX","NX – RT À REFAIRE",IF(IF(AO1350=1,AD1350,IF(AO1350=2,AI1350,""))="A","RÉPARÉ – À RADIOGRAPHIER",IF(IF(AO1350=1,AD1350,IF(AO1350=2,AI1350,""))="R","VT REJETÉ – À REPRENDRE",IF(OR(AP1350="CO",AP1350="NT"),"COUPE – À RESOUDER","À RÉPARER"))))))))))</f>
        <v>ACCEPTÉ</v>
      </c>
      <c r="AR1350" s="82" t="str">
        <f aca="false">IF(AND(ISNUMBER(U1350),OR(AQ1350="À RADIOGRAPHIER",AQ1350="RÉPARÉ – À RADIOGRAPHIER",AQ1350="NX – RT À REFAIRE",AQ1350="À RÉPARER",AQ1350="COUPE – À RESOUDER",AQ1350="VT REJETÉ – À REPRENDRE")),MAX(0,'PROGRAMME RT'!$C$4-U1350),"")</f>
        <v/>
      </c>
      <c r="AS1350" s="82" t="n">
        <f aca="false">IF(AND(OR(AQ1350="À RADIOGRAPHIER",AQ1350="RÉPARÉ – À RADIOGRAPHIER",AQ1350="NX – RT À REFAIRE"),OR('PROGRAMME RT'!$D$5="TOUTES",B1350='PROGRAMME RT'!$D$5)),1,0)</f>
        <v>0</v>
      </c>
      <c r="AT1350" s="82" t="str">
        <f aca="false">IF(AS1350=1,SUM(AS$7:AS1350),"")</f>
        <v/>
      </c>
      <c r="AU1350" s="82" t="n">
        <f aca="false">IF(AND(OR(AA1350="R",AA1350="NX",AA1350="NT",AA1350="CO"),OR('JOINTS DE RÉPARATION'!$D$5="TOUTES",B1350='JOINTS DE RÉPARATION'!$D$5),OR('JOINTS DE RÉPARATION'!$L$4="TOUS",AQ1350&lt;&gt;"ACCEPTÉ")),1,0)</f>
        <v>0</v>
      </c>
      <c r="AV1350" s="82" t="str">
        <f aca="false">IF(AU1350=1,SUM(AU$7:AU1350),"")</f>
        <v/>
      </c>
      <c r="AW1350" s="82" t="str">
        <f aca="false">IF(E1350="","",B1350&amp;"|"&amp;E1350)</f>
        <v>MFD-ISW → MFD-CPF|DJ°279</v>
      </c>
    </row>
    <row r="1351" customFormat="false" ht="74.6" hidden="false" customHeight="false" outlineLevel="0" collapsed="false">
      <c r="A1351" s="79" t="n">
        <f aca="false">IF(E1351="","",ROW()-6)</f>
        <v>1345</v>
      </c>
      <c r="B1351" s="80" t="s">
        <v>110</v>
      </c>
      <c r="C1351" s="81" t="s">
        <v>1623</v>
      </c>
      <c r="D1351" s="81" t="n">
        <v>11</v>
      </c>
      <c r="E1351" s="81" t="s">
        <v>1627</v>
      </c>
      <c r="F1351" s="82" t="str">
        <f aca="false">IF(E1351="","",IF(LEFT(E1351,2)="DJ","DJ","JN"))</f>
        <v>JN</v>
      </c>
      <c r="G1351" s="81" t="s">
        <v>1504</v>
      </c>
      <c r="H1351" s="81" t="s">
        <v>871</v>
      </c>
      <c r="I1351" s="81" t="n">
        <v>9.53</v>
      </c>
      <c r="J1351" s="81" t="s">
        <v>872</v>
      </c>
      <c r="K1351" s="81" t="s">
        <v>879</v>
      </c>
      <c r="L1351" s="81" t="n">
        <v>2081400</v>
      </c>
      <c r="M1351" s="81" t="n">
        <v>15421103</v>
      </c>
      <c r="N1351" s="81" t="n">
        <v>11.94</v>
      </c>
      <c r="O1351" s="81" t="n">
        <v>2081910</v>
      </c>
      <c r="P1351" s="81" t="n">
        <v>15421104</v>
      </c>
      <c r="Q1351" s="81" t="n">
        <v>11.94</v>
      </c>
      <c r="R1351" s="81" t="s">
        <v>1367</v>
      </c>
      <c r="S1351" s="81"/>
      <c r="T1351" s="81"/>
      <c r="U1351" s="83" t="n">
        <v>46277</v>
      </c>
      <c r="V1351" s="83" t="n">
        <v>46277</v>
      </c>
      <c r="W1351" s="81" t="s">
        <v>1628</v>
      </c>
      <c r="X1351" s="81" t="s">
        <v>876</v>
      </c>
      <c r="Y1351" s="83" t="n">
        <v>46282</v>
      </c>
      <c r="Z1351" s="81" t="s">
        <v>1594</v>
      </c>
      <c r="AA1351" s="81" t="s">
        <v>1073</v>
      </c>
      <c r="AB1351" s="81" t="s">
        <v>1629</v>
      </c>
      <c r="AC1351" s="81"/>
      <c r="AD1351" s="81"/>
      <c r="AE1351" s="83"/>
      <c r="AF1351" s="81"/>
      <c r="AG1351" s="81"/>
      <c r="AH1351" s="81"/>
      <c r="AI1351" s="81"/>
      <c r="AJ1351" s="83"/>
      <c r="AK1351" s="81"/>
      <c r="AL1351" s="81"/>
      <c r="AM1351" s="83"/>
      <c r="AN1351" s="80"/>
      <c r="AO1351" s="82" t="n">
        <f aca="false">IF(E1351="","",(AA1351&lt;&gt;"")+(AG1351&lt;&gt;"")+(AL1351&lt;&gt;""))</f>
        <v>1</v>
      </c>
      <c r="AP1351" s="82" t="str">
        <f aca="false">IF(AL1351&lt;&gt;"",AL1351,IF(AG1351&lt;&gt;"",AG1351,IF(AA1351&lt;&gt;"",AA1351,"")))</f>
        <v>R</v>
      </c>
      <c r="AQ1351" s="84" t="str">
        <f aca="false">IF(E1351="","",IF(U1351="","À SOUDER",IF(X1351="","VT EN ATTENTE",IF(X1351="R","VT REJETÉ – À REPRENDRE",IF(AP1351="","À RADIOGRAPHIER",IF(AP1351="A","ACCEPTÉ",IF(AP1351="NX","NX – RT À REFAIRE",IF(IF(AO1351=1,AD1351,IF(AO1351=2,AI1351,""))="A","RÉPARÉ – À RADIOGRAPHIER",IF(IF(AO1351=1,AD1351,IF(AO1351=2,AI1351,""))="R","VT REJETÉ – À REPRENDRE",IF(OR(AP1351="CO",AP1351="NT"),"COUPE – À RESOUDER","À RÉPARER"))))))))))</f>
        <v>À RÉPARER</v>
      </c>
      <c r="AR1351" s="82" t="n">
        <f aca="false">IF(AND(ISNUMBER(U1351),OR(AQ1351="À RADIOGRAPHIER",AQ1351="RÉPARÉ – À RADIOGRAPHIER",AQ1351="NX – RT À REFAIRE",AQ1351="À RÉPARER",AQ1351="COUPE – À RESOUDER",AQ1351="VT REJETÉ – À REPRENDRE")),MAX(0,'PROGRAMME RT'!$C$4-U1351),"")</f>
        <v>16</v>
      </c>
      <c r="AS1351" s="82" t="n">
        <f aca="false">IF(AND(OR(AQ1351="À RADIOGRAPHIER",AQ1351="RÉPARÉ – À RADIOGRAPHIER",AQ1351="NX – RT À REFAIRE"),OR('PROGRAMME RT'!$D$5="TOUTES",B1351='PROGRAMME RT'!$D$5)),1,0)</f>
        <v>0</v>
      </c>
      <c r="AT1351" s="82" t="str">
        <f aca="false">IF(AS1351=1,SUM(AS$7:AS1351),"")</f>
        <v/>
      </c>
      <c r="AU1351" s="82" t="n">
        <f aca="false">IF(AND(OR(AA1351="R",AA1351="NX",AA1351="NT",AA1351="CO"),OR('JOINTS DE RÉPARATION'!$D$5="TOUTES",B1351='JOINTS DE RÉPARATION'!$D$5),OR('JOINTS DE RÉPARATION'!$L$4="TOUS",AQ1351&lt;&gt;"ACCEPTÉ")),1,0)</f>
        <v>1</v>
      </c>
      <c r="AV1351" s="82" t="n">
        <f aca="false">IF(AU1351=1,SUM(AU$7:AU1351),"")</f>
        <v>34</v>
      </c>
      <c r="AW1351" s="82" t="str">
        <f aca="false">IF(E1351="","",B1351&amp;"|"&amp;E1351)</f>
        <v>MFD-ISW → MFD-CPF|JN°1123</v>
      </c>
    </row>
    <row r="1352" customFormat="false" ht="74.6" hidden="false" customHeight="false" outlineLevel="0" collapsed="false">
      <c r="A1352" s="79" t="n">
        <f aca="false">IF(E1352="","",ROW()-6)</f>
        <v>1346</v>
      </c>
      <c r="B1352" s="80" t="s">
        <v>110</v>
      </c>
      <c r="C1352" s="81" t="s">
        <v>1623</v>
      </c>
      <c r="D1352" s="81" t="n">
        <v>11</v>
      </c>
      <c r="E1352" s="81" t="s">
        <v>1630</v>
      </c>
      <c r="F1352" s="82" t="str">
        <f aca="false">IF(E1352="","",IF(LEFT(E1352,2)="DJ","DJ","JN"))</f>
        <v>DJ</v>
      </c>
      <c r="G1352" s="81"/>
      <c r="H1352" s="81" t="s">
        <v>871</v>
      </c>
      <c r="I1352" s="81" t="n">
        <v>9.53</v>
      </c>
      <c r="J1352" s="81" t="s">
        <v>872</v>
      </c>
      <c r="K1352" s="81" t="s">
        <v>873</v>
      </c>
      <c r="L1352" s="81" t="n">
        <v>2081910</v>
      </c>
      <c r="M1352" s="81" t="n">
        <v>15421104</v>
      </c>
      <c r="N1352" s="81" t="n">
        <v>11.94</v>
      </c>
      <c r="O1352" s="81" t="n">
        <v>2088010</v>
      </c>
      <c r="P1352" s="81" t="n">
        <v>15421108</v>
      </c>
      <c r="Q1352" s="81" t="n">
        <v>11.94</v>
      </c>
      <c r="R1352" s="81" t="s">
        <v>1517</v>
      </c>
      <c r="S1352" s="81"/>
      <c r="T1352" s="81"/>
      <c r="U1352" s="83" t="n">
        <v>46271</v>
      </c>
      <c r="V1352" s="83" t="n">
        <v>46271</v>
      </c>
      <c r="W1352" s="81" t="s">
        <v>1536</v>
      </c>
      <c r="X1352" s="81" t="s">
        <v>876</v>
      </c>
      <c r="Y1352" s="83" t="n">
        <v>46272</v>
      </c>
      <c r="Z1352" s="81" t="s">
        <v>1542</v>
      </c>
      <c r="AA1352" s="81" t="s">
        <v>876</v>
      </c>
      <c r="AB1352" s="81"/>
      <c r="AC1352" s="81"/>
      <c r="AD1352" s="81"/>
      <c r="AE1352" s="83"/>
      <c r="AF1352" s="81"/>
      <c r="AG1352" s="81"/>
      <c r="AH1352" s="81"/>
      <c r="AI1352" s="81"/>
      <c r="AJ1352" s="83"/>
      <c r="AK1352" s="81"/>
      <c r="AL1352" s="81"/>
      <c r="AM1352" s="83"/>
      <c r="AN1352" s="80"/>
      <c r="AO1352" s="82" t="n">
        <f aca="false">IF(E1352="","",(AA1352&lt;&gt;"")+(AG1352&lt;&gt;"")+(AL1352&lt;&gt;""))</f>
        <v>1</v>
      </c>
      <c r="AP1352" s="82" t="str">
        <f aca="false">IF(AL1352&lt;&gt;"",AL1352,IF(AG1352&lt;&gt;"",AG1352,IF(AA1352&lt;&gt;"",AA1352,"")))</f>
        <v>A</v>
      </c>
      <c r="AQ1352" s="84" t="str">
        <f aca="false">IF(E1352="","",IF(U1352="","À SOUDER",IF(X1352="","VT EN ATTENTE",IF(X1352="R","VT REJETÉ – À REPRENDRE",IF(AP1352="","À RADIOGRAPHIER",IF(AP1352="A","ACCEPTÉ",IF(AP1352="NX","NX – RT À REFAIRE",IF(IF(AO1352=1,AD1352,IF(AO1352=2,AI1352,""))="A","RÉPARÉ – À RADIOGRAPHIER",IF(IF(AO1352=1,AD1352,IF(AO1352=2,AI1352,""))="R","VT REJETÉ – À REPRENDRE",IF(OR(AP1352="CO",AP1352="NT"),"COUPE – À RESOUDER","À RÉPARER"))))))))))</f>
        <v>ACCEPTÉ</v>
      </c>
      <c r="AR1352" s="82" t="str">
        <f aca="false">IF(AND(ISNUMBER(U1352),OR(AQ1352="À RADIOGRAPHIER",AQ1352="RÉPARÉ – À RADIOGRAPHIER",AQ1352="NX – RT À REFAIRE",AQ1352="À RÉPARER",AQ1352="COUPE – À RESOUDER",AQ1352="VT REJETÉ – À REPRENDRE")),MAX(0,'PROGRAMME RT'!$C$4-U1352),"")</f>
        <v/>
      </c>
      <c r="AS1352" s="82" t="n">
        <f aca="false">IF(AND(OR(AQ1352="À RADIOGRAPHIER",AQ1352="RÉPARÉ – À RADIOGRAPHIER",AQ1352="NX – RT À REFAIRE"),OR('PROGRAMME RT'!$D$5="TOUTES",B1352='PROGRAMME RT'!$D$5)),1,0)</f>
        <v>0</v>
      </c>
      <c r="AT1352" s="82" t="str">
        <f aca="false">IF(AS1352=1,SUM(AS$7:AS1352),"")</f>
        <v/>
      </c>
      <c r="AU1352" s="82" t="n">
        <f aca="false">IF(AND(OR(AA1352="R",AA1352="NX",AA1352="NT",AA1352="CO"),OR('JOINTS DE RÉPARATION'!$D$5="TOUTES",B1352='JOINTS DE RÉPARATION'!$D$5),OR('JOINTS DE RÉPARATION'!$L$4="TOUS",AQ1352&lt;&gt;"ACCEPTÉ")),1,0)</f>
        <v>0</v>
      </c>
      <c r="AV1352" s="82" t="str">
        <f aca="false">IF(AU1352=1,SUM(AU$7:AU1352),"")</f>
        <v/>
      </c>
      <c r="AW1352" s="82" t="str">
        <f aca="false">IF(E1352="","",B1352&amp;"|"&amp;E1352)</f>
        <v>MFD-ISW → MFD-CPF|DJ°306</v>
      </c>
    </row>
    <row r="1353" customFormat="false" ht="74.6" hidden="false" customHeight="false" outlineLevel="0" collapsed="false">
      <c r="A1353" s="79" t="n">
        <f aca="false">IF(E1353="","",ROW()-6)</f>
        <v>1347</v>
      </c>
      <c r="B1353" s="80" t="s">
        <v>110</v>
      </c>
      <c r="C1353" s="81" t="s">
        <v>1623</v>
      </c>
      <c r="D1353" s="81" t="n">
        <v>11</v>
      </c>
      <c r="E1353" s="81" t="s">
        <v>1631</v>
      </c>
      <c r="F1353" s="82" t="str">
        <f aca="false">IF(E1353="","",IF(LEFT(E1353,2)="DJ","DJ","JN"))</f>
        <v>JN</v>
      </c>
      <c r="G1353" s="81" t="s">
        <v>1504</v>
      </c>
      <c r="H1353" s="81" t="s">
        <v>871</v>
      </c>
      <c r="I1353" s="81" t="n">
        <v>9.53</v>
      </c>
      <c r="J1353" s="81" t="s">
        <v>872</v>
      </c>
      <c r="K1353" s="81" t="s">
        <v>879</v>
      </c>
      <c r="L1353" s="81" t="n">
        <v>2088010</v>
      </c>
      <c r="M1353" s="81" t="n">
        <v>15421108</v>
      </c>
      <c r="N1353" s="81" t="n">
        <v>11.94</v>
      </c>
      <c r="O1353" s="81" t="n">
        <v>2087820</v>
      </c>
      <c r="P1353" s="81" t="n">
        <v>15421108</v>
      </c>
      <c r="Q1353" s="81" t="n">
        <v>11.94</v>
      </c>
      <c r="R1353" s="81" t="s">
        <v>1367</v>
      </c>
      <c r="S1353" s="81"/>
      <c r="T1353" s="81"/>
      <c r="U1353" s="83" t="n">
        <v>46277</v>
      </c>
      <c r="V1353" s="83" t="n">
        <v>46277</v>
      </c>
      <c r="W1353" s="81" t="s">
        <v>1628</v>
      </c>
      <c r="X1353" s="81" t="s">
        <v>876</v>
      </c>
      <c r="Y1353" s="83" t="n">
        <v>46282</v>
      </c>
      <c r="Z1353" s="81" t="s">
        <v>1594</v>
      </c>
      <c r="AA1353" s="81" t="s">
        <v>1073</v>
      </c>
      <c r="AB1353" s="81" t="s">
        <v>1632</v>
      </c>
      <c r="AC1353" s="81"/>
      <c r="AD1353" s="81"/>
      <c r="AE1353" s="83"/>
      <c r="AF1353" s="81"/>
      <c r="AG1353" s="81"/>
      <c r="AH1353" s="81"/>
      <c r="AI1353" s="81"/>
      <c r="AJ1353" s="83"/>
      <c r="AK1353" s="81"/>
      <c r="AL1353" s="81"/>
      <c r="AM1353" s="83"/>
      <c r="AN1353" s="80"/>
      <c r="AO1353" s="82" t="n">
        <f aca="false">IF(E1353="","",(AA1353&lt;&gt;"")+(AG1353&lt;&gt;"")+(AL1353&lt;&gt;""))</f>
        <v>1</v>
      </c>
      <c r="AP1353" s="82" t="str">
        <f aca="false">IF(AL1353&lt;&gt;"",AL1353,IF(AG1353&lt;&gt;"",AG1353,IF(AA1353&lt;&gt;"",AA1353,"")))</f>
        <v>R</v>
      </c>
      <c r="AQ1353" s="84" t="str">
        <f aca="false">IF(E1353="","",IF(U1353="","À SOUDER",IF(X1353="","VT EN ATTENTE",IF(X1353="R","VT REJETÉ – À REPRENDRE",IF(AP1353="","À RADIOGRAPHIER",IF(AP1353="A","ACCEPTÉ",IF(AP1353="NX","NX – RT À REFAIRE",IF(IF(AO1353=1,AD1353,IF(AO1353=2,AI1353,""))="A","RÉPARÉ – À RADIOGRAPHIER",IF(IF(AO1353=1,AD1353,IF(AO1353=2,AI1353,""))="R","VT REJETÉ – À REPRENDRE",IF(OR(AP1353="CO",AP1353="NT"),"COUPE – À RESOUDER","À RÉPARER"))))))))))</f>
        <v>À RÉPARER</v>
      </c>
      <c r="AR1353" s="82" t="n">
        <f aca="false">IF(AND(ISNUMBER(U1353),OR(AQ1353="À RADIOGRAPHIER",AQ1353="RÉPARÉ – À RADIOGRAPHIER",AQ1353="NX – RT À REFAIRE",AQ1353="À RÉPARER",AQ1353="COUPE – À RESOUDER",AQ1353="VT REJETÉ – À REPRENDRE")),MAX(0,'PROGRAMME RT'!$C$4-U1353),"")</f>
        <v>16</v>
      </c>
      <c r="AS1353" s="82" t="n">
        <f aca="false">IF(AND(OR(AQ1353="À RADIOGRAPHIER",AQ1353="RÉPARÉ – À RADIOGRAPHIER",AQ1353="NX – RT À REFAIRE"),OR('PROGRAMME RT'!$D$5="TOUTES",B1353='PROGRAMME RT'!$D$5)),1,0)</f>
        <v>0</v>
      </c>
      <c r="AT1353" s="82" t="str">
        <f aca="false">IF(AS1353=1,SUM(AS$7:AS1353),"")</f>
        <v/>
      </c>
      <c r="AU1353" s="82" t="n">
        <f aca="false">IF(AND(OR(AA1353="R",AA1353="NX",AA1353="NT",AA1353="CO"),OR('JOINTS DE RÉPARATION'!$D$5="TOUTES",B1353='JOINTS DE RÉPARATION'!$D$5),OR('JOINTS DE RÉPARATION'!$L$4="TOUS",AQ1353&lt;&gt;"ACCEPTÉ")),1,0)</f>
        <v>1</v>
      </c>
      <c r="AV1353" s="82" t="n">
        <f aca="false">IF(AU1353=1,SUM(AU$7:AU1353),"")</f>
        <v>35</v>
      </c>
      <c r="AW1353" s="82" t="str">
        <f aca="false">IF(E1353="","",B1353&amp;"|"&amp;E1353)</f>
        <v>MFD-ISW → MFD-CPF|JN°1124</v>
      </c>
    </row>
    <row r="1354" customFormat="false" ht="74.6" hidden="false" customHeight="false" outlineLevel="0" collapsed="false">
      <c r="A1354" s="79" t="n">
        <f aca="false">IF(E1354="","",ROW()-6)</f>
        <v>1348</v>
      </c>
      <c r="B1354" s="80" t="s">
        <v>110</v>
      </c>
      <c r="C1354" s="81" t="s">
        <v>1623</v>
      </c>
      <c r="D1354" s="81" t="n">
        <v>11</v>
      </c>
      <c r="E1354" s="81" t="s">
        <v>1633</v>
      </c>
      <c r="F1354" s="82" t="str">
        <f aca="false">IF(E1354="","",IF(LEFT(E1354,2)="DJ","DJ","JN"))</f>
        <v>DJ</v>
      </c>
      <c r="G1354" s="81"/>
      <c r="H1354" s="81" t="s">
        <v>871</v>
      </c>
      <c r="I1354" s="81" t="n">
        <v>9.53</v>
      </c>
      <c r="J1354" s="81" t="s">
        <v>872</v>
      </c>
      <c r="K1354" s="81" t="s">
        <v>873</v>
      </c>
      <c r="L1354" s="81" t="n">
        <v>2087820</v>
      </c>
      <c r="M1354" s="81" t="n">
        <v>15421108</v>
      </c>
      <c r="N1354" s="81" t="n">
        <v>11.94</v>
      </c>
      <c r="O1354" s="81" t="n">
        <v>2088000</v>
      </c>
      <c r="P1354" s="81" t="n">
        <v>15421108</v>
      </c>
      <c r="Q1354" s="81" t="n">
        <v>11.94</v>
      </c>
      <c r="R1354" s="81" t="s">
        <v>1147</v>
      </c>
      <c r="S1354" s="81"/>
      <c r="T1354" s="81"/>
      <c r="U1354" s="83" t="n">
        <v>46271</v>
      </c>
      <c r="V1354" s="83" t="n">
        <v>46271</v>
      </c>
      <c r="W1354" s="81" t="s">
        <v>1536</v>
      </c>
      <c r="X1354" s="81" t="s">
        <v>876</v>
      </c>
      <c r="Y1354" s="83" t="n">
        <v>46272</v>
      </c>
      <c r="Z1354" s="81" t="s">
        <v>1542</v>
      </c>
      <c r="AA1354" s="81" t="s">
        <v>876</v>
      </c>
      <c r="AB1354" s="81"/>
      <c r="AC1354" s="81"/>
      <c r="AD1354" s="81"/>
      <c r="AE1354" s="83"/>
      <c r="AF1354" s="81"/>
      <c r="AG1354" s="81"/>
      <c r="AH1354" s="81"/>
      <c r="AI1354" s="81"/>
      <c r="AJ1354" s="83"/>
      <c r="AK1354" s="81"/>
      <c r="AL1354" s="81"/>
      <c r="AM1354" s="83"/>
      <c r="AN1354" s="80"/>
      <c r="AO1354" s="82" t="n">
        <f aca="false">IF(E1354="","",(AA1354&lt;&gt;"")+(AG1354&lt;&gt;"")+(AL1354&lt;&gt;""))</f>
        <v>1</v>
      </c>
      <c r="AP1354" s="82" t="str">
        <f aca="false">IF(AL1354&lt;&gt;"",AL1354,IF(AG1354&lt;&gt;"",AG1354,IF(AA1354&lt;&gt;"",AA1354,"")))</f>
        <v>A</v>
      </c>
      <c r="AQ1354" s="84" t="str">
        <f aca="false">IF(E1354="","",IF(U1354="","À SOUDER",IF(X1354="","VT EN ATTENTE",IF(X1354="R","VT REJETÉ – À REPRENDRE",IF(AP1354="","À RADIOGRAPHIER",IF(AP1354="A","ACCEPTÉ",IF(AP1354="NX","NX – RT À REFAIRE",IF(IF(AO1354=1,AD1354,IF(AO1354=2,AI1354,""))="A","RÉPARÉ – À RADIOGRAPHIER",IF(IF(AO1354=1,AD1354,IF(AO1354=2,AI1354,""))="R","VT REJETÉ – À REPRENDRE",IF(OR(AP1354="CO",AP1354="NT"),"COUPE – À RESOUDER","À RÉPARER"))))))))))</f>
        <v>ACCEPTÉ</v>
      </c>
      <c r="AR1354" s="82" t="str">
        <f aca="false">IF(AND(ISNUMBER(U1354),OR(AQ1354="À RADIOGRAPHIER",AQ1354="RÉPARÉ – À RADIOGRAPHIER",AQ1354="NX – RT À REFAIRE",AQ1354="À RÉPARER",AQ1354="COUPE – À RESOUDER",AQ1354="VT REJETÉ – À REPRENDRE")),MAX(0,'PROGRAMME RT'!$C$4-U1354),"")</f>
        <v/>
      </c>
      <c r="AS1354" s="82" t="n">
        <f aca="false">IF(AND(OR(AQ1354="À RADIOGRAPHIER",AQ1354="RÉPARÉ – À RADIOGRAPHIER",AQ1354="NX – RT À REFAIRE"),OR('PROGRAMME RT'!$D$5="TOUTES",B1354='PROGRAMME RT'!$D$5)),1,0)</f>
        <v>0</v>
      </c>
      <c r="AT1354" s="82" t="str">
        <f aca="false">IF(AS1354=1,SUM(AS$7:AS1354),"")</f>
        <v/>
      </c>
      <c r="AU1354" s="82" t="n">
        <f aca="false">IF(AND(OR(AA1354="R",AA1354="NX",AA1354="NT",AA1354="CO"),OR('JOINTS DE RÉPARATION'!$D$5="TOUTES",B1354='JOINTS DE RÉPARATION'!$D$5),OR('JOINTS DE RÉPARATION'!$L$4="TOUS",AQ1354&lt;&gt;"ACCEPTÉ")),1,0)</f>
        <v>0</v>
      </c>
      <c r="AV1354" s="82" t="str">
        <f aca="false">IF(AU1354=1,SUM(AU$7:AU1354),"")</f>
        <v/>
      </c>
      <c r="AW1354" s="82" t="str">
        <f aca="false">IF(E1354="","",B1354&amp;"|"&amp;E1354)</f>
        <v>MFD-ISW → MFD-CPF|DJ°294</v>
      </c>
    </row>
    <row r="1355" customFormat="false" ht="74.6" hidden="false" customHeight="false" outlineLevel="0" collapsed="false">
      <c r="A1355" s="79" t="n">
        <f aca="false">IF(E1355="","",ROW()-6)</f>
        <v>1349</v>
      </c>
      <c r="B1355" s="80" t="s">
        <v>110</v>
      </c>
      <c r="C1355" s="81" t="s">
        <v>926</v>
      </c>
      <c r="D1355" s="81" t="n">
        <v>11</v>
      </c>
      <c r="E1355" s="81" t="s">
        <v>1634</v>
      </c>
      <c r="F1355" s="82" t="str">
        <f aca="false">IF(E1355="","",IF(LEFT(E1355,2)="DJ","DJ","JN"))</f>
        <v>JN</v>
      </c>
      <c r="G1355" s="81"/>
      <c r="H1355" s="81"/>
      <c r="I1355" s="81"/>
      <c r="J1355" s="81"/>
      <c r="K1355" s="81"/>
      <c r="L1355" s="81" t="s">
        <v>1268</v>
      </c>
      <c r="M1355" s="81"/>
      <c r="N1355" s="81"/>
      <c r="O1355" s="81"/>
      <c r="P1355" s="81"/>
      <c r="Q1355" s="81"/>
      <c r="R1355" s="81"/>
      <c r="S1355" s="81"/>
      <c r="T1355" s="81"/>
      <c r="U1355" s="83"/>
      <c r="V1355" s="83"/>
      <c r="W1355" s="81"/>
      <c r="X1355" s="81"/>
      <c r="Y1355" s="83"/>
      <c r="Z1355" s="81"/>
      <c r="AA1355" s="81"/>
      <c r="AB1355" s="81"/>
      <c r="AC1355" s="81"/>
      <c r="AD1355" s="81"/>
      <c r="AE1355" s="83"/>
      <c r="AF1355" s="81"/>
      <c r="AG1355" s="81"/>
      <c r="AH1355" s="81"/>
      <c r="AI1355" s="81"/>
      <c r="AJ1355" s="83"/>
      <c r="AK1355" s="81"/>
      <c r="AL1355" s="81"/>
      <c r="AM1355" s="83"/>
      <c r="AN1355" s="80"/>
      <c r="AO1355" s="82" t="n">
        <f aca="false">IF(E1355="","",(AA1355&lt;&gt;"")+(AG1355&lt;&gt;"")+(AL1355&lt;&gt;""))</f>
        <v>0</v>
      </c>
      <c r="AP1355" s="82" t="str">
        <f aca="false">IF(AL1355&lt;&gt;"",AL1355,IF(AG1355&lt;&gt;"",AG1355,IF(AA1355&lt;&gt;"",AA1355,"")))</f>
        <v/>
      </c>
      <c r="AQ1355" s="84" t="str">
        <f aca="false">IF(E1355="","",IF(U1355="","À SOUDER",IF(X1355="","VT EN ATTENTE",IF(X1355="R","VT REJETÉ – À REPRENDRE",IF(AP1355="","À RADIOGRAPHIER",IF(AP1355="A","ACCEPTÉ",IF(AP1355="NX","NX – RT À REFAIRE",IF(IF(AO1355=1,AD1355,IF(AO1355=2,AI1355,""))="A","RÉPARÉ – À RADIOGRAPHIER",IF(IF(AO1355=1,AD1355,IF(AO1355=2,AI1355,""))="R","VT REJETÉ – À REPRENDRE",IF(OR(AP1355="CO",AP1355="NT"),"COUPE – À RESOUDER","À RÉPARER"))))))))))</f>
        <v>À SOUDER</v>
      </c>
      <c r="AR1355" s="82" t="str">
        <f aca="false">IF(AND(ISNUMBER(U1355),OR(AQ1355="À RADIOGRAPHIER",AQ1355="RÉPARÉ – À RADIOGRAPHIER",AQ1355="NX – RT À REFAIRE",AQ1355="À RÉPARER",AQ1355="COUPE – À RESOUDER",AQ1355="VT REJETÉ – À REPRENDRE")),MAX(0,'PROGRAMME RT'!$C$4-U1355),"")</f>
        <v/>
      </c>
      <c r="AS1355" s="82" t="n">
        <f aca="false">IF(AND(OR(AQ1355="À RADIOGRAPHIER",AQ1355="RÉPARÉ – À RADIOGRAPHIER",AQ1355="NX – RT À REFAIRE"),OR('PROGRAMME RT'!$D$5="TOUTES",B1355='PROGRAMME RT'!$D$5)),1,0)</f>
        <v>0</v>
      </c>
      <c r="AT1355" s="82" t="str">
        <f aca="false">IF(AS1355=1,SUM(AS$7:AS1355),"")</f>
        <v/>
      </c>
      <c r="AU1355" s="82" t="n">
        <f aca="false">IF(AND(OR(AA1355="R",AA1355="NX",AA1355="NT",AA1355="CO"),OR('JOINTS DE RÉPARATION'!$D$5="TOUTES",B1355='JOINTS DE RÉPARATION'!$D$5),OR('JOINTS DE RÉPARATION'!$L$4="TOUS",AQ1355&lt;&gt;"ACCEPTÉ")),1,0)</f>
        <v>0</v>
      </c>
      <c r="AV1355" s="82" t="str">
        <f aca="false">IF(AU1355=1,SUM(AU$7:AU1355),"")</f>
        <v/>
      </c>
      <c r="AW1355" s="82" t="str">
        <f aca="false">IF(E1355="","",B1355&amp;"|"&amp;E1355)</f>
        <v>MFD-ISW → MFD-CPF|JN°1125</v>
      </c>
    </row>
    <row r="1356" customFormat="false" ht="74.6" hidden="false" customHeight="false" outlineLevel="0" collapsed="false">
      <c r="A1356" s="79" t="n">
        <f aca="false">IF(E1356="","",ROW()-6)</f>
        <v>1350</v>
      </c>
      <c r="B1356" s="80" t="s">
        <v>110</v>
      </c>
      <c r="C1356" s="81" t="s">
        <v>926</v>
      </c>
      <c r="D1356" s="81" t="n">
        <v>11</v>
      </c>
      <c r="E1356" s="81" t="s">
        <v>1635</v>
      </c>
      <c r="F1356" s="82" t="str">
        <f aca="false">IF(E1356="","",IF(LEFT(E1356,2)="DJ","DJ","JN"))</f>
        <v>JN</v>
      </c>
      <c r="G1356" s="81"/>
      <c r="H1356" s="81"/>
      <c r="I1356" s="81"/>
      <c r="J1356" s="81"/>
      <c r="K1356" s="81"/>
      <c r="L1356" s="81" t="s">
        <v>1268</v>
      </c>
      <c r="M1356" s="81"/>
      <c r="N1356" s="81"/>
      <c r="O1356" s="81"/>
      <c r="P1356" s="81"/>
      <c r="Q1356" s="81"/>
      <c r="R1356" s="81"/>
      <c r="S1356" s="81"/>
      <c r="T1356" s="81"/>
      <c r="U1356" s="83"/>
      <c r="V1356" s="83"/>
      <c r="W1356" s="81"/>
      <c r="X1356" s="81"/>
      <c r="Y1356" s="83"/>
      <c r="Z1356" s="81"/>
      <c r="AA1356" s="81"/>
      <c r="AB1356" s="81"/>
      <c r="AC1356" s="81"/>
      <c r="AD1356" s="81"/>
      <c r="AE1356" s="83"/>
      <c r="AF1356" s="81"/>
      <c r="AG1356" s="81"/>
      <c r="AH1356" s="81"/>
      <c r="AI1356" s="81"/>
      <c r="AJ1356" s="83"/>
      <c r="AK1356" s="81"/>
      <c r="AL1356" s="81"/>
      <c r="AM1356" s="83"/>
      <c r="AN1356" s="80"/>
      <c r="AO1356" s="82" t="n">
        <f aca="false">IF(E1356="","",(AA1356&lt;&gt;"")+(AG1356&lt;&gt;"")+(AL1356&lt;&gt;""))</f>
        <v>0</v>
      </c>
      <c r="AP1356" s="82" t="str">
        <f aca="false">IF(AL1356&lt;&gt;"",AL1356,IF(AG1356&lt;&gt;"",AG1356,IF(AA1356&lt;&gt;"",AA1356,"")))</f>
        <v/>
      </c>
      <c r="AQ1356" s="84" t="str">
        <f aca="false">IF(E1356="","",IF(U1356="","À SOUDER",IF(X1356="","VT EN ATTENTE",IF(X1356="R","VT REJETÉ – À REPRENDRE",IF(AP1356="","À RADIOGRAPHIER",IF(AP1356="A","ACCEPTÉ",IF(AP1356="NX","NX – RT À REFAIRE",IF(IF(AO1356=1,AD1356,IF(AO1356=2,AI1356,""))="A","RÉPARÉ – À RADIOGRAPHIER",IF(IF(AO1356=1,AD1356,IF(AO1356=2,AI1356,""))="R","VT REJETÉ – À REPRENDRE",IF(OR(AP1356="CO",AP1356="NT"),"COUPE – À RESOUDER","À RÉPARER"))))))))))</f>
        <v>À SOUDER</v>
      </c>
      <c r="AR1356" s="82" t="str">
        <f aca="false">IF(AND(ISNUMBER(U1356),OR(AQ1356="À RADIOGRAPHIER",AQ1356="RÉPARÉ – À RADIOGRAPHIER",AQ1356="NX – RT À REFAIRE",AQ1356="À RÉPARER",AQ1356="COUPE – À RESOUDER",AQ1356="VT REJETÉ – À REPRENDRE")),MAX(0,'PROGRAMME RT'!$C$4-U1356),"")</f>
        <v/>
      </c>
      <c r="AS1356" s="82" t="n">
        <f aca="false">IF(AND(OR(AQ1356="À RADIOGRAPHIER",AQ1356="RÉPARÉ – À RADIOGRAPHIER",AQ1356="NX – RT À REFAIRE"),OR('PROGRAMME RT'!$D$5="TOUTES",B1356='PROGRAMME RT'!$D$5)),1,0)</f>
        <v>0</v>
      </c>
      <c r="AT1356" s="82" t="str">
        <f aca="false">IF(AS1356=1,SUM(AS$7:AS1356),"")</f>
        <v/>
      </c>
      <c r="AU1356" s="82" t="n">
        <f aca="false">IF(AND(OR(AA1356="R",AA1356="NX",AA1356="NT",AA1356="CO"),OR('JOINTS DE RÉPARATION'!$D$5="TOUTES",B1356='JOINTS DE RÉPARATION'!$D$5),OR('JOINTS DE RÉPARATION'!$L$4="TOUS",AQ1356&lt;&gt;"ACCEPTÉ")),1,0)</f>
        <v>0</v>
      </c>
      <c r="AV1356" s="82" t="str">
        <f aca="false">IF(AU1356=1,SUM(AU$7:AU1356),"")</f>
        <v/>
      </c>
      <c r="AW1356" s="82" t="str">
        <f aca="false">IF(E1356="","",B1356&amp;"|"&amp;E1356)</f>
        <v>MFD-ISW → MFD-CPF|JN°1126</v>
      </c>
    </row>
    <row r="1357" customFormat="false" ht="74.6" hidden="false" customHeight="false" outlineLevel="0" collapsed="false">
      <c r="A1357" s="79" t="n">
        <f aca="false">IF(E1357="","",ROW()-6)</f>
        <v>1351</v>
      </c>
      <c r="B1357" s="80" t="s">
        <v>110</v>
      </c>
      <c r="C1357" s="81" t="s">
        <v>926</v>
      </c>
      <c r="D1357" s="81" t="n">
        <v>11</v>
      </c>
      <c r="E1357" s="81" t="s">
        <v>1636</v>
      </c>
      <c r="F1357" s="82" t="str">
        <f aca="false">IF(E1357="","",IF(LEFT(E1357,2)="DJ","DJ","JN"))</f>
        <v>JN</v>
      </c>
      <c r="G1357" s="81"/>
      <c r="H1357" s="81"/>
      <c r="I1357" s="81"/>
      <c r="J1357" s="81"/>
      <c r="K1357" s="81"/>
      <c r="L1357" s="81" t="s">
        <v>1268</v>
      </c>
      <c r="M1357" s="81"/>
      <c r="N1357" s="81"/>
      <c r="O1357" s="81"/>
      <c r="P1357" s="81"/>
      <c r="Q1357" s="81"/>
      <c r="R1357" s="81"/>
      <c r="S1357" s="81"/>
      <c r="T1357" s="81"/>
      <c r="U1357" s="83"/>
      <c r="V1357" s="83"/>
      <c r="W1357" s="81"/>
      <c r="X1357" s="81"/>
      <c r="Y1357" s="83"/>
      <c r="Z1357" s="81"/>
      <c r="AA1357" s="81"/>
      <c r="AB1357" s="81"/>
      <c r="AC1357" s="81"/>
      <c r="AD1357" s="81"/>
      <c r="AE1357" s="83"/>
      <c r="AF1357" s="81"/>
      <c r="AG1357" s="81"/>
      <c r="AH1357" s="81"/>
      <c r="AI1357" s="81"/>
      <c r="AJ1357" s="83"/>
      <c r="AK1357" s="81"/>
      <c r="AL1357" s="81"/>
      <c r="AM1357" s="83"/>
      <c r="AN1357" s="80"/>
      <c r="AO1357" s="82" t="n">
        <f aca="false">IF(E1357="","",(AA1357&lt;&gt;"")+(AG1357&lt;&gt;"")+(AL1357&lt;&gt;""))</f>
        <v>0</v>
      </c>
      <c r="AP1357" s="82" t="str">
        <f aca="false">IF(AL1357&lt;&gt;"",AL1357,IF(AG1357&lt;&gt;"",AG1357,IF(AA1357&lt;&gt;"",AA1357,"")))</f>
        <v/>
      </c>
      <c r="AQ1357" s="84" t="str">
        <f aca="false">IF(E1357="","",IF(U1357="","À SOUDER",IF(X1357="","VT EN ATTENTE",IF(X1357="R","VT REJETÉ – À REPRENDRE",IF(AP1357="","À RADIOGRAPHIER",IF(AP1357="A","ACCEPTÉ",IF(AP1357="NX","NX – RT À REFAIRE",IF(IF(AO1357=1,AD1357,IF(AO1357=2,AI1357,""))="A","RÉPARÉ – À RADIOGRAPHIER",IF(IF(AO1357=1,AD1357,IF(AO1357=2,AI1357,""))="R","VT REJETÉ – À REPRENDRE",IF(OR(AP1357="CO",AP1357="NT"),"COUPE – À RESOUDER","À RÉPARER"))))))))))</f>
        <v>À SOUDER</v>
      </c>
      <c r="AR1357" s="82" t="str">
        <f aca="false">IF(AND(ISNUMBER(U1357),OR(AQ1357="À RADIOGRAPHIER",AQ1357="RÉPARÉ – À RADIOGRAPHIER",AQ1357="NX – RT À REFAIRE",AQ1357="À RÉPARER",AQ1357="COUPE – À RESOUDER",AQ1357="VT REJETÉ – À REPRENDRE")),MAX(0,'PROGRAMME RT'!$C$4-U1357),"")</f>
        <v/>
      </c>
      <c r="AS1357" s="82" t="n">
        <f aca="false">IF(AND(OR(AQ1357="À RADIOGRAPHIER",AQ1357="RÉPARÉ – À RADIOGRAPHIER",AQ1357="NX – RT À REFAIRE"),OR('PROGRAMME RT'!$D$5="TOUTES",B1357='PROGRAMME RT'!$D$5)),1,0)</f>
        <v>0</v>
      </c>
      <c r="AT1357" s="82" t="str">
        <f aca="false">IF(AS1357=1,SUM(AS$7:AS1357),"")</f>
        <v/>
      </c>
      <c r="AU1357" s="82" t="n">
        <f aca="false">IF(AND(OR(AA1357="R",AA1357="NX",AA1357="NT",AA1357="CO"),OR('JOINTS DE RÉPARATION'!$D$5="TOUTES",B1357='JOINTS DE RÉPARATION'!$D$5),OR('JOINTS DE RÉPARATION'!$L$4="TOUS",AQ1357&lt;&gt;"ACCEPTÉ")),1,0)</f>
        <v>0</v>
      </c>
      <c r="AV1357" s="82" t="str">
        <f aca="false">IF(AU1357=1,SUM(AU$7:AU1357),"")</f>
        <v/>
      </c>
      <c r="AW1357" s="82" t="str">
        <f aca="false">IF(E1357="","",B1357&amp;"|"&amp;E1357)</f>
        <v>MFD-ISW → MFD-CPF|JN°1127</v>
      </c>
    </row>
    <row r="1358" customFormat="false" ht="74.6" hidden="false" customHeight="false" outlineLevel="0" collapsed="false">
      <c r="A1358" s="79" t="n">
        <f aca="false">IF(E1358="","",ROW()-6)</f>
        <v>1352</v>
      </c>
      <c r="B1358" s="80" t="s">
        <v>110</v>
      </c>
      <c r="C1358" s="81" t="s">
        <v>926</v>
      </c>
      <c r="D1358" s="81" t="n">
        <v>11</v>
      </c>
      <c r="E1358" s="81" t="s">
        <v>1637</v>
      </c>
      <c r="F1358" s="82" t="str">
        <f aca="false">IF(E1358="","",IF(LEFT(E1358,2)="DJ","DJ","JN"))</f>
        <v>JN</v>
      </c>
      <c r="G1358" s="81"/>
      <c r="H1358" s="81"/>
      <c r="I1358" s="81"/>
      <c r="J1358" s="81"/>
      <c r="K1358" s="81"/>
      <c r="L1358" s="81" t="s">
        <v>1268</v>
      </c>
      <c r="M1358" s="81"/>
      <c r="N1358" s="81"/>
      <c r="O1358" s="81"/>
      <c r="P1358" s="81"/>
      <c r="Q1358" s="81"/>
      <c r="R1358" s="81"/>
      <c r="S1358" s="81"/>
      <c r="T1358" s="81"/>
      <c r="U1358" s="83"/>
      <c r="V1358" s="83"/>
      <c r="W1358" s="81"/>
      <c r="X1358" s="81"/>
      <c r="Y1358" s="83"/>
      <c r="Z1358" s="81"/>
      <c r="AA1358" s="81"/>
      <c r="AB1358" s="81"/>
      <c r="AC1358" s="81"/>
      <c r="AD1358" s="81"/>
      <c r="AE1358" s="83"/>
      <c r="AF1358" s="81"/>
      <c r="AG1358" s="81"/>
      <c r="AH1358" s="81"/>
      <c r="AI1358" s="81"/>
      <c r="AJ1358" s="83"/>
      <c r="AK1358" s="81"/>
      <c r="AL1358" s="81"/>
      <c r="AM1358" s="83"/>
      <c r="AN1358" s="80"/>
      <c r="AO1358" s="82" t="n">
        <f aca="false">IF(E1358="","",(AA1358&lt;&gt;"")+(AG1358&lt;&gt;"")+(AL1358&lt;&gt;""))</f>
        <v>0</v>
      </c>
      <c r="AP1358" s="82" t="str">
        <f aca="false">IF(AL1358&lt;&gt;"",AL1358,IF(AG1358&lt;&gt;"",AG1358,IF(AA1358&lt;&gt;"",AA1358,"")))</f>
        <v/>
      </c>
      <c r="AQ1358" s="84" t="str">
        <f aca="false">IF(E1358="","",IF(U1358="","À SOUDER",IF(X1358="","VT EN ATTENTE",IF(X1358="R","VT REJETÉ – À REPRENDRE",IF(AP1358="","À RADIOGRAPHIER",IF(AP1358="A","ACCEPTÉ",IF(AP1358="NX","NX – RT À REFAIRE",IF(IF(AO1358=1,AD1358,IF(AO1358=2,AI1358,""))="A","RÉPARÉ – À RADIOGRAPHIER",IF(IF(AO1358=1,AD1358,IF(AO1358=2,AI1358,""))="R","VT REJETÉ – À REPRENDRE",IF(OR(AP1358="CO",AP1358="NT"),"COUPE – À RESOUDER","À RÉPARER"))))))))))</f>
        <v>À SOUDER</v>
      </c>
      <c r="AR1358" s="82" t="str">
        <f aca="false">IF(AND(ISNUMBER(U1358),OR(AQ1358="À RADIOGRAPHIER",AQ1358="RÉPARÉ – À RADIOGRAPHIER",AQ1358="NX – RT À REFAIRE",AQ1358="À RÉPARER",AQ1358="COUPE – À RESOUDER",AQ1358="VT REJETÉ – À REPRENDRE")),MAX(0,'PROGRAMME RT'!$C$4-U1358),"")</f>
        <v/>
      </c>
      <c r="AS1358" s="82" t="n">
        <f aca="false">IF(AND(OR(AQ1358="À RADIOGRAPHIER",AQ1358="RÉPARÉ – À RADIOGRAPHIER",AQ1358="NX – RT À REFAIRE"),OR('PROGRAMME RT'!$D$5="TOUTES",B1358='PROGRAMME RT'!$D$5)),1,0)</f>
        <v>0</v>
      </c>
      <c r="AT1358" s="82" t="str">
        <f aca="false">IF(AS1358=1,SUM(AS$7:AS1358),"")</f>
        <v/>
      </c>
      <c r="AU1358" s="82" t="n">
        <f aca="false">IF(AND(OR(AA1358="R",AA1358="NX",AA1358="NT",AA1358="CO"),OR('JOINTS DE RÉPARATION'!$D$5="TOUTES",B1358='JOINTS DE RÉPARATION'!$D$5),OR('JOINTS DE RÉPARATION'!$L$4="TOUS",AQ1358&lt;&gt;"ACCEPTÉ")),1,0)</f>
        <v>0</v>
      </c>
      <c r="AV1358" s="82" t="str">
        <f aca="false">IF(AU1358=1,SUM(AU$7:AU1358),"")</f>
        <v/>
      </c>
      <c r="AW1358" s="82" t="str">
        <f aca="false">IF(E1358="","",B1358&amp;"|"&amp;E1358)</f>
        <v>MFD-ISW → MFD-CPF|JN°1128</v>
      </c>
    </row>
    <row r="1359" customFormat="false" ht="74.6" hidden="false" customHeight="false" outlineLevel="0" collapsed="false">
      <c r="A1359" s="79" t="n">
        <f aca="false">IF(E1359="","",ROW()-6)</f>
        <v>1353</v>
      </c>
      <c r="B1359" s="80" t="s">
        <v>110</v>
      </c>
      <c r="C1359" s="81" t="s">
        <v>926</v>
      </c>
      <c r="D1359" s="81" t="n">
        <v>11</v>
      </c>
      <c r="E1359" s="81" t="s">
        <v>1638</v>
      </c>
      <c r="F1359" s="82" t="str">
        <f aca="false">IF(E1359="","",IF(LEFT(E1359,2)="DJ","DJ","JN"))</f>
        <v>JN</v>
      </c>
      <c r="G1359" s="81"/>
      <c r="H1359" s="81"/>
      <c r="I1359" s="81"/>
      <c r="J1359" s="81"/>
      <c r="K1359" s="81"/>
      <c r="L1359" s="81" t="s">
        <v>1268</v>
      </c>
      <c r="M1359" s="81"/>
      <c r="N1359" s="81"/>
      <c r="O1359" s="81"/>
      <c r="P1359" s="81"/>
      <c r="Q1359" s="81"/>
      <c r="R1359" s="81"/>
      <c r="S1359" s="81"/>
      <c r="T1359" s="81"/>
      <c r="U1359" s="83"/>
      <c r="V1359" s="83"/>
      <c r="W1359" s="81"/>
      <c r="X1359" s="81"/>
      <c r="Y1359" s="83"/>
      <c r="Z1359" s="81"/>
      <c r="AA1359" s="81"/>
      <c r="AB1359" s="81"/>
      <c r="AC1359" s="81"/>
      <c r="AD1359" s="81"/>
      <c r="AE1359" s="83"/>
      <c r="AF1359" s="81"/>
      <c r="AG1359" s="81"/>
      <c r="AH1359" s="81"/>
      <c r="AI1359" s="81"/>
      <c r="AJ1359" s="83"/>
      <c r="AK1359" s="81"/>
      <c r="AL1359" s="81"/>
      <c r="AM1359" s="83"/>
      <c r="AN1359" s="80"/>
      <c r="AO1359" s="82" t="n">
        <f aca="false">IF(E1359="","",(AA1359&lt;&gt;"")+(AG1359&lt;&gt;"")+(AL1359&lt;&gt;""))</f>
        <v>0</v>
      </c>
      <c r="AP1359" s="82" t="str">
        <f aca="false">IF(AL1359&lt;&gt;"",AL1359,IF(AG1359&lt;&gt;"",AG1359,IF(AA1359&lt;&gt;"",AA1359,"")))</f>
        <v/>
      </c>
      <c r="AQ1359" s="84" t="str">
        <f aca="false">IF(E1359="","",IF(U1359="","À SOUDER",IF(X1359="","VT EN ATTENTE",IF(X1359="R","VT REJETÉ – À REPRENDRE",IF(AP1359="","À RADIOGRAPHIER",IF(AP1359="A","ACCEPTÉ",IF(AP1359="NX","NX – RT À REFAIRE",IF(IF(AO1359=1,AD1359,IF(AO1359=2,AI1359,""))="A","RÉPARÉ – À RADIOGRAPHIER",IF(IF(AO1359=1,AD1359,IF(AO1359=2,AI1359,""))="R","VT REJETÉ – À REPRENDRE",IF(OR(AP1359="CO",AP1359="NT"),"COUPE – À RESOUDER","À RÉPARER"))))))))))</f>
        <v>À SOUDER</v>
      </c>
      <c r="AR1359" s="82" t="str">
        <f aca="false">IF(AND(ISNUMBER(U1359),OR(AQ1359="À RADIOGRAPHIER",AQ1359="RÉPARÉ – À RADIOGRAPHIER",AQ1359="NX – RT À REFAIRE",AQ1359="À RÉPARER",AQ1359="COUPE – À RESOUDER",AQ1359="VT REJETÉ – À REPRENDRE")),MAX(0,'PROGRAMME RT'!$C$4-U1359),"")</f>
        <v/>
      </c>
      <c r="AS1359" s="82" t="n">
        <f aca="false">IF(AND(OR(AQ1359="À RADIOGRAPHIER",AQ1359="RÉPARÉ – À RADIOGRAPHIER",AQ1359="NX – RT À REFAIRE"),OR('PROGRAMME RT'!$D$5="TOUTES",B1359='PROGRAMME RT'!$D$5)),1,0)</f>
        <v>0</v>
      </c>
      <c r="AT1359" s="82" t="str">
        <f aca="false">IF(AS1359=1,SUM(AS$7:AS1359),"")</f>
        <v/>
      </c>
      <c r="AU1359" s="82" t="n">
        <f aca="false">IF(AND(OR(AA1359="R",AA1359="NX",AA1359="NT",AA1359="CO"),OR('JOINTS DE RÉPARATION'!$D$5="TOUTES",B1359='JOINTS DE RÉPARATION'!$D$5),OR('JOINTS DE RÉPARATION'!$L$4="TOUS",AQ1359&lt;&gt;"ACCEPTÉ")),1,0)</f>
        <v>0</v>
      </c>
      <c r="AV1359" s="82" t="str">
        <f aca="false">IF(AU1359=1,SUM(AU$7:AU1359),"")</f>
        <v/>
      </c>
      <c r="AW1359" s="82" t="str">
        <f aca="false">IF(E1359="","",B1359&amp;"|"&amp;E1359)</f>
        <v>MFD-ISW → MFD-CPF|JN°1129</v>
      </c>
    </row>
    <row r="1360" customFormat="false" ht="74.6" hidden="false" customHeight="false" outlineLevel="0" collapsed="false">
      <c r="A1360" s="79" t="n">
        <f aca="false">IF(E1360="","",ROW()-6)</f>
        <v>1354</v>
      </c>
      <c r="B1360" s="80" t="s">
        <v>110</v>
      </c>
      <c r="C1360" s="81" t="s">
        <v>926</v>
      </c>
      <c r="D1360" s="81" t="n">
        <v>11</v>
      </c>
      <c r="E1360" s="81" t="s">
        <v>1639</v>
      </c>
      <c r="F1360" s="82" t="str">
        <f aca="false">IF(E1360="","",IF(LEFT(E1360,2)="DJ","DJ","JN"))</f>
        <v>JN</v>
      </c>
      <c r="G1360" s="81"/>
      <c r="H1360" s="81"/>
      <c r="I1360" s="81"/>
      <c r="J1360" s="81"/>
      <c r="K1360" s="81"/>
      <c r="L1360" s="81" t="s">
        <v>1268</v>
      </c>
      <c r="M1360" s="81"/>
      <c r="N1360" s="81"/>
      <c r="O1360" s="81"/>
      <c r="P1360" s="81"/>
      <c r="Q1360" s="81"/>
      <c r="R1360" s="81"/>
      <c r="S1360" s="81"/>
      <c r="T1360" s="81"/>
      <c r="U1360" s="83"/>
      <c r="V1360" s="83"/>
      <c r="W1360" s="81"/>
      <c r="X1360" s="81"/>
      <c r="Y1360" s="83"/>
      <c r="Z1360" s="81"/>
      <c r="AA1360" s="81"/>
      <c r="AB1360" s="81"/>
      <c r="AC1360" s="81"/>
      <c r="AD1360" s="81"/>
      <c r="AE1360" s="83"/>
      <c r="AF1360" s="81"/>
      <c r="AG1360" s="81"/>
      <c r="AH1360" s="81"/>
      <c r="AI1360" s="81"/>
      <c r="AJ1360" s="83"/>
      <c r="AK1360" s="81"/>
      <c r="AL1360" s="81"/>
      <c r="AM1360" s="83"/>
      <c r="AN1360" s="80"/>
      <c r="AO1360" s="82" t="n">
        <f aca="false">IF(E1360="","",(AA1360&lt;&gt;"")+(AG1360&lt;&gt;"")+(AL1360&lt;&gt;""))</f>
        <v>0</v>
      </c>
      <c r="AP1360" s="82" t="str">
        <f aca="false">IF(AL1360&lt;&gt;"",AL1360,IF(AG1360&lt;&gt;"",AG1360,IF(AA1360&lt;&gt;"",AA1360,"")))</f>
        <v/>
      </c>
      <c r="AQ1360" s="84" t="str">
        <f aca="false">IF(E1360="","",IF(U1360="","À SOUDER",IF(X1360="","VT EN ATTENTE",IF(X1360="R","VT REJETÉ – À REPRENDRE",IF(AP1360="","À RADIOGRAPHIER",IF(AP1360="A","ACCEPTÉ",IF(AP1360="NX","NX – RT À REFAIRE",IF(IF(AO1360=1,AD1360,IF(AO1360=2,AI1360,""))="A","RÉPARÉ – À RADIOGRAPHIER",IF(IF(AO1360=1,AD1360,IF(AO1360=2,AI1360,""))="R","VT REJETÉ – À REPRENDRE",IF(OR(AP1360="CO",AP1360="NT"),"COUPE – À RESOUDER","À RÉPARER"))))))))))</f>
        <v>À SOUDER</v>
      </c>
      <c r="AR1360" s="82" t="str">
        <f aca="false">IF(AND(ISNUMBER(U1360),OR(AQ1360="À RADIOGRAPHIER",AQ1360="RÉPARÉ – À RADIOGRAPHIER",AQ1360="NX – RT À REFAIRE",AQ1360="À RÉPARER",AQ1360="COUPE – À RESOUDER",AQ1360="VT REJETÉ – À REPRENDRE")),MAX(0,'PROGRAMME RT'!$C$4-U1360),"")</f>
        <v/>
      </c>
      <c r="AS1360" s="82" t="n">
        <f aca="false">IF(AND(OR(AQ1360="À RADIOGRAPHIER",AQ1360="RÉPARÉ – À RADIOGRAPHIER",AQ1360="NX – RT À REFAIRE"),OR('PROGRAMME RT'!$D$5="TOUTES",B1360='PROGRAMME RT'!$D$5)),1,0)</f>
        <v>0</v>
      </c>
      <c r="AT1360" s="82" t="str">
        <f aca="false">IF(AS1360=1,SUM(AS$7:AS1360),"")</f>
        <v/>
      </c>
      <c r="AU1360" s="82" t="n">
        <f aca="false">IF(AND(OR(AA1360="R",AA1360="NX",AA1360="NT",AA1360="CO"),OR('JOINTS DE RÉPARATION'!$D$5="TOUTES",B1360='JOINTS DE RÉPARATION'!$D$5),OR('JOINTS DE RÉPARATION'!$L$4="TOUS",AQ1360&lt;&gt;"ACCEPTÉ")),1,0)</f>
        <v>0</v>
      </c>
      <c r="AV1360" s="82" t="str">
        <f aca="false">IF(AU1360=1,SUM(AU$7:AU1360),"")</f>
        <v/>
      </c>
      <c r="AW1360" s="82" t="str">
        <f aca="false">IF(E1360="","",B1360&amp;"|"&amp;E1360)</f>
        <v>MFD-ISW → MFD-CPF|JN°1130</v>
      </c>
    </row>
    <row r="1361" customFormat="false" ht="74.6" hidden="false" customHeight="false" outlineLevel="0" collapsed="false">
      <c r="A1361" s="79" t="n">
        <f aca="false">IF(E1361="","",ROW()-6)</f>
        <v>1355</v>
      </c>
      <c r="B1361" s="80" t="s">
        <v>110</v>
      </c>
      <c r="C1361" s="81" t="s">
        <v>926</v>
      </c>
      <c r="D1361" s="81" t="n">
        <v>11</v>
      </c>
      <c r="E1361" s="81" t="s">
        <v>1640</v>
      </c>
      <c r="F1361" s="82" t="str">
        <f aca="false">IF(E1361="","",IF(LEFT(E1361,2)="DJ","DJ","JN"))</f>
        <v>JN</v>
      </c>
      <c r="G1361" s="81"/>
      <c r="H1361" s="81"/>
      <c r="I1361" s="81"/>
      <c r="J1361" s="81"/>
      <c r="K1361" s="81"/>
      <c r="L1361" s="81" t="s">
        <v>1268</v>
      </c>
      <c r="M1361" s="81"/>
      <c r="N1361" s="81"/>
      <c r="O1361" s="81"/>
      <c r="P1361" s="81"/>
      <c r="Q1361" s="81"/>
      <c r="R1361" s="81"/>
      <c r="S1361" s="81"/>
      <c r="T1361" s="81"/>
      <c r="U1361" s="83"/>
      <c r="V1361" s="83"/>
      <c r="W1361" s="81"/>
      <c r="X1361" s="81"/>
      <c r="Y1361" s="83"/>
      <c r="Z1361" s="81"/>
      <c r="AA1361" s="81"/>
      <c r="AB1361" s="81"/>
      <c r="AC1361" s="81"/>
      <c r="AD1361" s="81"/>
      <c r="AE1361" s="83"/>
      <c r="AF1361" s="81"/>
      <c r="AG1361" s="81"/>
      <c r="AH1361" s="81"/>
      <c r="AI1361" s="81"/>
      <c r="AJ1361" s="83"/>
      <c r="AK1361" s="81"/>
      <c r="AL1361" s="81"/>
      <c r="AM1361" s="83"/>
      <c r="AN1361" s="80"/>
      <c r="AO1361" s="82" t="n">
        <f aca="false">IF(E1361="","",(AA1361&lt;&gt;"")+(AG1361&lt;&gt;"")+(AL1361&lt;&gt;""))</f>
        <v>0</v>
      </c>
      <c r="AP1361" s="82" t="str">
        <f aca="false">IF(AL1361&lt;&gt;"",AL1361,IF(AG1361&lt;&gt;"",AG1361,IF(AA1361&lt;&gt;"",AA1361,"")))</f>
        <v/>
      </c>
      <c r="AQ1361" s="84" t="str">
        <f aca="false">IF(E1361="","",IF(U1361="","À SOUDER",IF(X1361="","VT EN ATTENTE",IF(X1361="R","VT REJETÉ – À REPRENDRE",IF(AP1361="","À RADIOGRAPHIER",IF(AP1361="A","ACCEPTÉ",IF(AP1361="NX","NX – RT À REFAIRE",IF(IF(AO1361=1,AD1361,IF(AO1361=2,AI1361,""))="A","RÉPARÉ – À RADIOGRAPHIER",IF(IF(AO1361=1,AD1361,IF(AO1361=2,AI1361,""))="R","VT REJETÉ – À REPRENDRE",IF(OR(AP1361="CO",AP1361="NT"),"COUPE – À RESOUDER","À RÉPARER"))))))))))</f>
        <v>À SOUDER</v>
      </c>
      <c r="AR1361" s="82" t="str">
        <f aca="false">IF(AND(ISNUMBER(U1361),OR(AQ1361="À RADIOGRAPHIER",AQ1361="RÉPARÉ – À RADIOGRAPHIER",AQ1361="NX – RT À REFAIRE",AQ1361="À RÉPARER",AQ1361="COUPE – À RESOUDER",AQ1361="VT REJETÉ – À REPRENDRE")),MAX(0,'PROGRAMME RT'!$C$4-U1361),"")</f>
        <v/>
      </c>
      <c r="AS1361" s="82" t="n">
        <f aca="false">IF(AND(OR(AQ1361="À RADIOGRAPHIER",AQ1361="RÉPARÉ – À RADIOGRAPHIER",AQ1361="NX – RT À REFAIRE"),OR('PROGRAMME RT'!$D$5="TOUTES",B1361='PROGRAMME RT'!$D$5)),1,0)</f>
        <v>0</v>
      </c>
      <c r="AT1361" s="82" t="str">
        <f aca="false">IF(AS1361=1,SUM(AS$7:AS1361),"")</f>
        <v/>
      </c>
      <c r="AU1361" s="82" t="n">
        <f aca="false">IF(AND(OR(AA1361="R",AA1361="NX",AA1361="NT",AA1361="CO"),OR('JOINTS DE RÉPARATION'!$D$5="TOUTES",B1361='JOINTS DE RÉPARATION'!$D$5),OR('JOINTS DE RÉPARATION'!$L$4="TOUS",AQ1361&lt;&gt;"ACCEPTÉ")),1,0)</f>
        <v>0</v>
      </c>
      <c r="AV1361" s="82" t="str">
        <f aca="false">IF(AU1361=1,SUM(AU$7:AU1361),"")</f>
        <v/>
      </c>
      <c r="AW1361" s="82" t="str">
        <f aca="false">IF(E1361="","",B1361&amp;"|"&amp;E1361)</f>
        <v>MFD-ISW → MFD-CPF|JN°1131</v>
      </c>
    </row>
    <row r="1362" customFormat="false" ht="74.6" hidden="false" customHeight="false" outlineLevel="0" collapsed="false">
      <c r="A1362" s="79" t="n">
        <f aca="false">IF(E1362="","",ROW()-6)</f>
        <v>1356</v>
      </c>
      <c r="B1362" s="80" t="s">
        <v>110</v>
      </c>
      <c r="C1362" s="81" t="s">
        <v>926</v>
      </c>
      <c r="D1362" s="81" t="n">
        <v>11</v>
      </c>
      <c r="E1362" s="81" t="s">
        <v>1641</v>
      </c>
      <c r="F1362" s="82" t="str">
        <f aca="false">IF(E1362="","",IF(LEFT(E1362,2)="DJ","DJ","JN"))</f>
        <v>JN</v>
      </c>
      <c r="G1362" s="81"/>
      <c r="H1362" s="81"/>
      <c r="I1362" s="81"/>
      <c r="J1362" s="81"/>
      <c r="K1362" s="81"/>
      <c r="L1362" s="81" t="s">
        <v>1268</v>
      </c>
      <c r="M1362" s="81"/>
      <c r="N1362" s="81"/>
      <c r="O1362" s="81"/>
      <c r="P1362" s="81"/>
      <c r="Q1362" s="81"/>
      <c r="R1362" s="81"/>
      <c r="S1362" s="81"/>
      <c r="T1362" s="81"/>
      <c r="U1362" s="83"/>
      <c r="V1362" s="83"/>
      <c r="W1362" s="81"/>
      <c r="X1362" s="81"/>
      <c r="Y1362" s="83"/>
      <c r="Z1362" s="81"/>
      <c r="AA1362" s="81"/>
      <c r="AB1362" s="81"/>
      <c r="AC1362" s="81"/>
      <c r="AD1362" s="81"/>
      <c r="AE1362" s="83"/>
      <c r="AF1362" s="81"/>
      <c r="AG1362" s="81"/>
      <c r="AH1362" s="81"/>
      <c r="AI1362" s="81"/>
      <c r="AJ1362" s="83"/>
      <c r="AK1362" s="81"/>
      <c r="AL1362" s="81"/>
      <c r="AM1362" s="83"/>
      <c r="AN1362" s="80"/>
      <c r="AO1362" s="82" t="n">
        <f aca="false">IF(E1362="","",(AA1362&lt;&gt;"")+(AG1362&lt;&gt;"")+(AL1362&lt;&gt;""))</f>
        <v>0</v>
      </c>
      <c r="AP1362" s="82" t="str">
        <f aca="false">IF(AL1362&lt;&gt;"",AL1362,IF(AG1362&lt;&gt;"",AG1362,IF(AA1362&lt;&gt;"",AA1362,"")))</f>
        <v/>
      </c>
      <c r="AQ1362" s="84" t="str">
        <f aca="false">IF(E1362="","",IF(U1362="","À SOUDER",IF(X1362="","VT EN ATTENTE",IF(X1362="R","VT REJETÉ – À REPRENDRE",IF(AP1362="","À RADIOGRAPHIER",IF(AP1362="A","ACCEPTÉ",IF(AP1362="NX","NX – RT À REFAIRE",IF(IF(AO1362=1,AD1362,IF(AO1362=2,AI1362,""))="A","RÉPARÉ – À RADIOGRAPHIER",IF(IF(AO1362=1,AD1362,IF(AO1362=2,AI1362,""))="R","VT REJETÉ – À REPRENDRE",IF(OR(AP1362="CO",AP1362="NT"),"COUPE – À RESOUDER","À RÉPARER"))))))))))</f>
        <v>À SOUDER</v>
      </c>
      <c r="AR1362" s="82" t="str">
        <f aca="false">IF(AND(ISNUMBER(U1362),OR(AQ1362="À RADIOGRAPHIER",AQ1362="RÉPARÉ – À RADIOGRAPHIER",AQ1362="NX – RT À REFAIRE",AQ1362="À RÉPARER",AQ1362="COUPE – À RESOUDER",AQ1362="VT REJETÉ – À REPRENDRE")),MAX(0,'PROGRAMME RT'!$C$4-U1362),"")</f>
        <v/>
      </c>
      <c r="AS1362" s="82" t="n">
        <f aca="false">IF(AND(OR(AQ1362="À RADIOGRAPHIER",AQ1362="RÉPARÉ – À RADIOGRAPHIER",AQ1362="NX – RT À REFAIRE"),OR('PROGRAMME RT'!$D$5="TOUTES",B1362='PROGRAMME RT'!$D$5)),1,0)</f>
        <v>0</v>
      </c>
      <c r="AT1362" s="82" t="str">
        <f aca="false">IF(AS1362=1,SUM(AS$7:AS1362),"")</f>
        <v/>
      </c>
      <c r="AU1362" s="82" t="n">
        <f aca="false">IF(AND(OR(AA1362="R",AA1362="NX",AA1362="NT",AA1362="CO"),OR('JOINTS DE RÉPARATION'!$D$5="TOUTES",B1362='JOINTS DE RÉPARATION'!$D$5),OR('JOINTS DE RÉPARATION'!$L$4="TOUS",AQ1362&lt;&gt;"ACCEPTÉ")),1,0)</f>
        <v>0</v>
      </c>
      <c r="AV1362" s="82" t="str">
        <f aca="false">IF(AU1362=1,SUM(AU$7:AU1362),"")</f>
        <v/>
      </c>
      <c r="AW1362" s="82" t="str">
        <f aca="false">IF(E1362="","",B1362&amp;"|"&amp;E1362)</f>
        <v>MFD-ISW → MFD-CPF|JN°1132</v>
      </c>
    </row>
    <row r="1363" customFormat="false" ht="74.6" hidden="false" customHeight="false" outlineLevel="0" collapsed="false">
      <c r="A1363" s="79" t="n">
        <f aca="false">IF(E1363="","",ROW()-6)</f>
        <v>1357</v>
      </c>
      <c r="B1363" s="80" t="s">
        <v>110</v>
      </c>
      <c r="C1363" s="81" t="s">
        <v>926</v>
      </c>
      <c r="D1363" s="81" t="n">
        <v>11</v>
      </c>
      <c r="E1363" s="81" t="s">
        <v>1642</v>
      </c>
      <c r="F1363" s="82" t="str">
        <f aca="false">IF(E1363="","",IF(LEFT(E1363,2)="DJ","DJ","JN"))</f>
        <v>JN</v>
      </c>
      <c r="G1363" s="81"/>
      <c r="H1363" s="81"/>
      <c r="I1363" s="81"/>
      <c r="J1363" s="81"/>
      <c r="K1363" s="81"/>
      <c r="L1363" s="81" t="s">
        <v>1268</v>
      </c>
      <c r="M1363" s="81"/>
      <c r="N1363" s="81"/>
      <c r="O1363" s="81"/>
      <c r="P1363" s="81"/>
      <c r="Q1363" s="81"/>
      <c r="R1363" s="81"/>
      <c r="S1363" s="81"/>
      <c r="T1363" s="81"/>
      <c r="U1363" s="83"/>
      <c r="V1363" s="83"/>
      <c r="W1363" s="81"/>
      <c r="X1363" s="81"/>
      <c r="Y1363" s="83"/>
      <c r="Z1363" s="81"/>
      <c r="AA1363" s="81"/>
      <c r="AB1363" s="81"/>
      <c r="AC1363" s="81"/>
      <c r="AD1363" s="81"/>
      <c r="AE1363" s="83"/>
      <c r="AF1363" s="81"/>
      <c r="AG1363" s="81"/>
      <c r="AH1363" s="81"/>
      <c r="AI1363" s="81"/>
      <c r="AJ1363" s="83"/>
      <c r="AK1363" s="81"/>
      <c r="AL1363" s="81"/>
      <c r="AM1363" s="83"/>
      <c r="AN1363" s="80"/>
      <c r="AO1363" s="82" t="n">
        <f aca="false">IF(E1363="","",(AA1363&lt;&gt;"")+(AG1363&lt;&gt;"")+(AL1363&lt;&gt;""))</f>
        <v>0</v>
      </c>
      <c r="AP1363" s="82" t="str">
        <f aca="false">IF(AL1363&lt;&gt;"",AL1363,IF(AG1363&lt;&gt;"",AG1363,IF(AA1363&lt;&gt;"",AA1363,"")))</f>
        <v/>
      </c>
      <c r="AQ1363" s="84" t="str">
        <f aca="false">IF(E1363="","",IF(U1363="","À SOUDER",IF(X1363="","VT EN ATTENTE",IF(X1363="R","VT REJETÉ – À REPRENDRE",IF(AP1363="","À RADIOGRAPHIER",IF(AP1363="A","ACCEPTÉ",IF(AP1363="NX","NX – RT À REFAIRE",IF(IF(AO1363=1,AD1363,IF(AO1363=2,AI1363,""))="A","RÉPARÉ – À RADIOGRAPHIER",IF(IF(AO1363=1,AD1363,IF(AO1363=2,AI1363,""))="R","VT REJETÉ – À REPRENDRE",IF(OR(AP1363="CO",AP1363="NT"),"COUPE – À RESOUDER","À RÉPARER"))))))))))</f>
        <v>À SOUDER</v>
      </c>
      <c r="AR1363" s="82" t="str">
        <f aca="false">IF(AND(ISNUMBER(U1363),OR(AQ1363="À RADIOGRAPHIER",AQ1363="RÉPARÉ – À RADIOGRAPHIER",AQ1363="NX – RT À REFAIRE",AQ1363="À RÉPARER",AQ1363="COUPE – À RESOUDER",AQ1363="VT REJETÉ – À REPRENDRE")),MAX(0,'PROGRAMME RT'!$C$4-U1363),"")</f>
        <v/>
      </c>
      <c r="AS1363" s="82" t="n">
        <f aca="false">IF(AND(OR(AQ1363="À RADIOGRAPHIER",AQ1363="RÉPARÉ – À RADIOGRAPHIER",AQ1363="NX – RT À REFAIRE"),OR('PROGRAMME RT'!$D$5="TOUTES",B1363='PROGRAMME RT'!$D$5)),1,0)</f>
        <v>0</v>
      </c>
      <c r="AT1363" s="82" t="str">
        <f aca="false">IF(AS1363=1,SUM(AS$7:AS1363),"")</f>
        <v/>
      </c>
      <c r="AU1363" s="82" t="n">
        <f aca="false">IF(AND(OR(AA1363="R",AA1363="NX",AA1363="NT",AA1363="CO"),OR('JOINTS DE RÉPARATION'!$D$5="TOUTES",B1363='JOINTS DE RÉPARATION'!$D$5),OR('JOINTS DE RÉPARATION'!$L$4="TOUS",AQ1363&lt;&gt;"ACCEPTÉ")),1,0)</f>
        <v>0</v>
      </c>
      <c r="AV1363" s="82" t="str">
        <f aca="false">IF(AU1363=1,SUM(AU$7:AU1363),"")</f>
        <v/>
      </c>
      <c r="AW1363" s="82" t="str">
        <f aca="false">IF(E1363="","",B1363&amp;"|"&amp;E1363)</f>
        <v>MFD-ISW → MFD-CPF|JN°1133</v>
      </c>
    </row>
    <row r="1364" customFormat="false" ht="74.6" hidden="false" customHeight="false" outlineLevel="0" collapsed="false">
      <c r="A1364" s="79" t="n">
        <f aca="false">IF(E1364="","",ROW()-6)</f>
        <v>1358</v>
      </c>
      <c r="B1364" s="80" t="s">
        <v>110</v>
      </c>
      <c r="C1364" s="81" t="s">
        <v>926</v>
      </c>
      <c r="D1364" s="81" t="n">
        <v>11</v>
      </c>
      <c r="E1364" s="81" t="s">
        <v>1643</v>
      </c>
      <c r="F1364" s="82" t="str">
        <f aca="false">IF(E1364="","",IF(LEFT(E1364,2)="DJ","DJ","JN"))</f>
        <v>JN</v>
      </c>
      <c r="G1364" s="81"/>
      <c r="H1364" s="81"/>
      <c r="I1364" s="81"/>
      <c r="J1364" s="81"/>
      <c r="K1364" s="81"/>
      <c r="L1364" s="81" t="s">
        <v>1268</v>
      </c>
      <c r="M1364" s="81"/>
      <c r="N1364" s="81"/>
      <c r="O1364" s="81"/>
      <c r="P1364" s="81"/>
      <c r="Q1364" s="81"/>
      <c r="R1364" s="81"/>
      <c r="S1364" s="81"/>
      <c r="T1364" s="81"/>
      <c r="U1364" s="83"/>
      <c r="V1364" s="83"/>
      <c r="W1364" s="81"/>
      <c r="X1364" s="81"/>
      <c r="Y1364" s="83"/>
      <c r="Z1364" s="81"/>
      <c r="AA1364" s="81"/>
      <c r="AB1364" s="81"/>
      <c r="AC1364" s="81"/>
      <c r="AD1364" s="81"/>
      <c r="AE1364" s="83"/>
      <c r="AF1364" s="81"/>
      <c r="AG1364" s="81"/>
      <c r="AH1364" s="81"/>
      <c r="AI1364" s="81"/>
      <c r="AJ1364" s="83"/>
      <c r="AK1364" s="81"/>
      <c r="AL1364" s="81"/>
      <c r="AM1364" s="83"/>
      <c r="AN1364" s="80"/>
      <c r="AO1364" s="82" t="n">
        <f aca="false">IF(E1364="","",(AA1364&lt;&gt;"")+(AG1364&lt;&gt;"")+(AL1364&lt;&gt;""))</f>
        <v>0</v>
      </c>
      <c r="AP1364" s="82" t="str">
        <f aca="false">IF(AL1364&lt;&gt;"",AL1364,IF(AG1364&lt;&gt;"",AG1364,IF(AA1364&lt;&gt;"",AA1364,"")))</f>
        <v/>
      </c>
      <c r="AQ1364" s="84" t="str">
        <f aca="false">IF(E1364="","",IF(U1364="","À SOUDER",IF(X1364="","VT EN ATTENTE",IF(X1364="R","VT REJETÉ – À REPRENDRE",IF(AP1364="","À RADIOGRAPHIER",IF(AP1364="A","ACCEPTÉ",IF(AP1364="NX","NX – RT À REFAIRE",IF(IF(AO1364=1,AD1364,IF(AO1364=2,AI1364,""))="A","RÉPARÉ – À RADIOGRAPHIER",IF(IF(AO1364=1,AD1364,IF(AO1364=2,AI1364,""))="R","VT REJETÉ – À REPRENDRE",IF(OR(AP1364="CO",AP1364="NT"),"COUPE – À RESOUDER","À RÉPARER"))))))))))</f>
        <v>À SOUDER</v>
      </c>
      <c r="AR1364" s="82" t="str">
        <f aca="false">IF(AND(ISNUMBER(U1364),OR(AQ1364="À RADIOGRAPHIER",AQ1364="RÉPARÉ – À RADIOGRAPHIER",AQ1364="NX – RT À REFAIRE",AQ1364="À RÉPARER",AQ1364="COUPE – À RESOUDER",AQ1364="VT REJETÉ – À REPRENDRE")),MAX(0,'PROGRAMME RT'!$C$4-U1364),"")</f>
        <v/>
      </c>
      <c r="AS1364" s="82" t="n">
        <f aca="false">IF(AND(OR(AQ1364="À RADIOGRAPHIER",AQ1364="RÉPARÉ – À RADIOGRAPHIER",AQ1364="NX – RT À REFAIRE"),OR('PROGRAMME RT'!$D$5="TOUTES",B1364='PROGRAMME RT'!$D$5)),1,0)</f>
        <v>0</v>
      </c>
      <c r="AT1364" s="82" t="str">
        <f aca="false">IF(AS1364=1,SUM(AS$7:AS1364),"")</f>
        <v/>
      </c>
      <c r="AU1364" s="82" t="n">
        <f aca="false">IF(AND(OR(AA1364="R",AA1364="NX",AA1364="NT",AA1364="CO"),OR('JOINTS DE RÉPARATION'!$D$5="TOUTES",B1364='JOINTS DE RÉPARATION'!$D$5),OR('JOINTS DE RÉPARATION'!$L$4="TOUS",AQ1364&lt;&gt;"ACCEPTÉ")),1,0)</f>
        <v>0</v>
      </c>
      <c r="AV1364" s="82" t="str">
        <f aca="false">IF(AU1364=1,SUM(AU$7:AU1364),"")</f>
        <v/>
      </c>
      <c r="AW1364" s="82" t="str">
        <f aca="false">IF(E1364="","",B1364&amp;"|"&amp;E1364)</f>
        <v>MFD-ISW → MFD-CPF|JN°1134</v>
      </c>
    </row>
    <row r="1365" customFormat="false" ht="74.6" hidden="false" customHeight="false" outlineLevel="0" collapsed="false">
      <c r="A1365" s="79" t="n">
        <f aca="false">IF(E1365="","",ROW()-6)</f>
        <v>1359</v>
      </c>
      <c r="B1365" s="80" t="s">
        <v>110</v>
      </c>
      <c r="C1365" s="81" t="s">
        <v>926</v>
      </c>
      <c r="D1365" s="81" t="n">
        <v>11</v>
      </c>
      <c r="E1365" s="81" t="s">
        <v>1644</v>
      </c>
      <c r="F1365" s="82" t="str">
        <f aca="false">IF(E1365="","",IF(LEFT(E1365,2)="DJ","DJ","JN"))</f>
        <v>JN</v>
      </c>
      <c r="G1365" s="81"/>
      <c r="H1365" s="81"/>
      <c r="I1365" s="81"/>
      <c r="J1365" s="81"/>
      <c r="K1365" s="81"/>
      <c r="L1365" s="81" t="s">
        <v>1268</v>
      </c>
      <c r="M1365" s="81"/>
      <c r="N1365" s="81"/>
      <c r="O1365" s="81"/>
      <c r="P1365" s="81"/>
      <c r="Q1365" s="81"/>
      <c r="R1365" s="81"/>
      <c r="S1365" s="81"/>
      <c r="T1365" s="81"/>
      <c r="U1365" s="83"/>
      <c r="V1365" s="83"/>
      <c r="W1365" s="81"/>
      <c r="X1365" s="81"/>
      <c r="Y1365" s="83"/>
      <c r="Z1365" s="81"/>
      <c r="AA1365" s="81"/>
      <c r="AB1365" s="81"/>
      <c r="AC1365" s="81"/>
      <c r="AD1365" s="81"/>
      <c r="AE1365" s="83"/>
      <c r="AF1365" s="81"/>
      <c r="AG1365" s="81"/>
      <c r="AH1365" s="81"/>
      <c r="AI1365" s="81"/>
      <c r="AJ1365" s="83"/>
      <c r="AK1365" s="81"/>
      <c r="AL1365" s="81"/>
      <c r="AM1365" s="83"/>
      <c r="AN1365" s="80"/>
      <c r="AO1365" s="82" t="n">
        <f aca="false">IF(E1365="","",(AA1365&lt;&gt;"")+(AG1365&lt;&gt;"")+(AL1365&lt;&gt;""))</f>
        <v>0</v>
      </c>
      <c r="AP1365" s="82" t="str">
        <f aca="false">IF(AL1365&lt;&gt;"",AL1365,IF(AG1365&lt;&gt;"",AG1365,IF(AA1365&lt;&gt;"",AA1365,"")))</f>
        <v/>
      </c>
      <c r="AQ1365" s="84" t="str">
        <f aca="false">IF(E1365="","",IF(U1365="","À SOUDER",IF(X1365="","VT EN ATTENTE",IF(X1365="R","VT REJETÉ – À REPRENDRE",IF(AP1365="","À RADIOGRAPHIER",IF(AP1365="A","ACCEPTÉ",IF(AP1365="NX","NX – RT À REFAIRE",IF(IF(AO1365=1,AD1365,IF(AO1365=2,AI1365,""))="A","RÉPARÉ – À RADIOGRAPHIER",IF(IF(AO1365=1,AD1365,IF(AO1365=2,AI1365,""))="R","VT REJETÉ – À REPRENDRE",IF(OR(AP1365="CO",AP1365="NT"),"COUPE – À RESOUDER","À RÉPARER"))))))))))</f>
        <v>À SOUDER</v>
      </c>
      <c r="AR1365" s="82" t="str">
        <f aca="false">IF(AND(ISNUMBER(U1365),OR(AQ1365="À RADIOGRAPHIER",AQ1365="RÉPARÉ – À RADIOGRAPHIER",AQ1365="NX – RT À REFAIRE",AQ1365="À RÉPARER",AQ1365="COUPE – À RESOUDER",AQ1365="VT REJETÉ – À REPRENDRE")),MAX(0,'PROGRAMME RT'!$C$4-U1365),"")</f>
        <v/>
      </c>
      <c r="AS1365" s="82" t="n">
        <f aca="false">IF(AND(OR(AQ1365="À RADIOGRAPHIER",AQ1365="RÉPARÉ – À RADIOGRAPHIER",AQ1365="NX – RT À REFAIRE"),OR('PROGRAMME RT'!$D$5="TOUTES",B1365='PROGRAMME RT'!$D$5)),1,0)</f>
        <v>0</v>
      </c>
      <c r="AT1365" s="82" t="str">
        <f aca="false">IF(AS1365=1,SUM(AS$7:AS1365),"")</f>
        <v/>
      </c>
      <c r="AU1365" s="82" t="n">
        <f aca="false">IF(AND(OR(AA1365="R",AA1365="NX",AA1365="NT",AA1365="CO"),OR('JOINTS DE RÉPARATION'!$D$5="TOUTES",B1365='JOINTS DE RÉPARATION'!$D$5),OR('JOINTS DE RÉPARATION'!$L$4="TOUS",AQ1365&lt;&gt;"ACCEPTÉ")),1,0)</f>
        <v>0</v>
      </c>
      <c r="AV1365" s="82" t="str">
        <f aca="false">IF(AU1365=1,SUM(AU$7:AU1365),"")</f>
        <v/>
      </c>
      <c r="AW1365" s="82" t="str">
        <f aca="false">IF(E1365="","",B1365&amp;"|"&amp;E1365)</f>
        <v>MFD-ISW → MFD-CPF|JN°1135</v>
      </c>
    </row>
    <row r="1366" customFormat="false" ht="74.6" hidden="false" customHeight="false" outlineLevel="0" collapsed="false">
      <c r="A1366" s="79" t="n">
        <f aca="false">IF(E1366="","",ROW()-6)</f>
        <v>1360</v>
      </c>
      <c r="B1366" s="80" t="s">
        <v>110</v>
      </c>
      <c r="C1366" s="81" t="s">
        <v>926</v>
      </c>
      <c r="D1366" s="81" t="n">
        <v>11</v>
      </c>
      <c r="E1366" s="81" t="s">
        <v>1645</v>
      </c>
      <c r="F1366" s="82" t="str">
        <f aca="false">IF(E1366="","",IF(LEFT(E1366,2)="DJ","DJ","JN"))</f>
        <v>JN</v>
      </c>
      <c r="G1366" s="81"/>
      <c r="H1366" s="81"/>
      <c r="I1366" s="81"/>
      <c r="J1366" s="81"/>
      <c r="K1366" s="81"/>
      <c r="L1366" s="81" t="s">
        <v>1268</v>
      </c>
      <c r="M1366" s="81"/>
      <c r="N1366" s="81"/>
      <c r="O1366" s="81"/>
      <c r="P1366" s="81"/>
      <c r="Q1366" s="81"/>
      <c r="R1366" s="81"/>
      <c r="S1366" s="81"/>
      <c r="T1366" s="81"/>
      <c r="U1366" s="83"/>
      <c r="V1366" s="83"/>
      <c r="W1366" s="81"/>
      <c r="X1366" s="81"/>
      <c r="Y1366" s="83"/>
      <c r="Z1366" s="81"/>
      <c r="AA1366" s="81"/>
      <c r="AB1366" s="81"/>
      <c r="AC1366" s="81"/>
      <c r="AD1366" s="81"/>
      <c r="AE1366" s="83"/>
      <c r="AF1366" s="81"/>
      <c r="AG1366" s="81"/>
      <c r="AH1366" s="81"/>
      <c r="AI1366" s="81"/>
      <c r="AJ1366" s="83"/>
      <c r="AK1366" s="81"/>
      <c r="AL1366" s="81"/>
      <c r="AM1366" s="83"/>
      <c r="AN1366" s="80"/>
      <c r="AO1366" s="82" t="n">
        <f aca="false">IF(E1366="","",(AA1366&lt;&gt;"")+(AG1366&lt;&gt;"")+(AL1366&lt;&gt;""))</f>
        <v>0</v>
      </c>
      <c r="AP1366" s="82" t="str">
        <f aca="false">IF(AL1366&lt;&gt;"",AL1366,IF(AG1366&lt;&gt;"",AG1366,IF(AA1366&lt;&gt;"",AA1366,"")))</f>
        <v/>
      </c>
      <c r="AQ1366" s="84" t="str">
        <f aca="false">IF(E1366="","",IF(U1366="","À SOUDER",IF(X1366="","VT EN ATTENTE",IF(X1366="R","VT REJETÉ – À REPRENDRE",IF(AP1366="","À RADIOGRAPHIER",IF(AP1366="A","ACCEPTÉ",IF(AP1366="NX","NX – RT À REFAIRE",IF(IF(AO1366=1,AD1366,IF(AO1366=2,AI1366,""))="A","RÉPARÉ – À RADIOGRAPHIER",IF(IF(AO1366=1,AD1366,IF(AO1366=2,AI1366,""))="R","VT REJETÉ – À REPRENDRE",IF(OR(AP1366="CO",AP1366="NT"),"COUPE – À RESOUDER","À RÉPARER"))))))))))</f>
        <v>À SOUDER</v>
      </c>
      <c r="AR1366" s="82" t="str">
        <f aca="false">IF(AND(ISNUMBER(U1366),OR(AQ1366="À RADIOGRAPHIER",AQ1366="RÉPARÉ – À RADIOGRAPHIER",AQ1366="NX – RT À REFAIRE",AQ1366="À RÉPARER",AQ1366="COUPE – À RESOUDER",AQ1366="VT REJETÉ – À REPRENDRE")),MAX(0,'PROGRAMME RT'!$C$4-U1366),"")</f>
        <v/>
      </c>
      <c r="AS1366" s="82" t="n">
        <f aca="false">IF(AND(OR(AQ1366="À RADIOGRAPHIER",AQ1366="RÉPARÉ – À RADIOGRAPHIER",AQ1366="NX – RT À REFAIRE"),OR('PROGRAMME RT'!$D$5="TOUTES",B1366='PROGRAMME RT'!$D$5)),1,0)</f>
        <v>0</v>
      </c>
      <c r="AT1366" s="82" t="str">
        <f aca="false">IF(AS1366=1,SUM(AS$7:AS1366),"")</f>
        <v/>
      </c>
      <c r="AU1366" s="82" t="n">
        <f aca="false">IF(AND(OR(AA1366="R",AA1366="NX",AA1366="NT",AA1366="CO"),OR('JOINTS DE RÉPARATION'!$D$5="TOUTES",B1366='JOINTS DE RÉPARATION'!$D$5),OR('JOINTS DE RÉPARATION'!$L$4="TOUS",AQ1366&lt;&gt;"ACCEPTÉ")),1,0)</f>
        <v>0</v>
      </c>
      <c r="AV1366" s="82" t="str">
        <f aca="false">IF(AU1366=1,SUM(AU$7:AU1366),"")</f>
        <v/>
      </c>
      <c r="AW1366" s="82" t="str">
        <f aca="false">IF(E1366="","",B1366&amp;"|"&amp;E1366)</f>
        <v>MFD-ISW → MFD-CPF|JN°1136</v>
      </c>
    </row>
    <row r="1367" customFormat="false" ht="74.6" hidden="false" customHeight="false" outlineLevel="0" collapsed="false">
      <c r="A1367" s="79" t="n">
        <f aca="false">IF(E1367="","",ROW()-6)</f>
        <v>1361</v>
      </c>
      <c r="B1367" s="80" t="s">
        <v>110</v>
      </c>
      <c r="C1367" s="81" t="s">
        <v>926</v>
      </c>
      <c r="D1367" s="81" t="n">
        <v>11</v>
      </c>
      <c r="E1367" s="81" t="s">
        <v>1646</v>
      </c>
      <c r="F1367" s="82" t="str">
        <f aca="false">IF(E1367="","",IF(LEFT(E1367,2)="DJ","DJ","JN"))</f>
        <v>JN</v>
      </c>
      <c r="G1367" s="81"/>
      <c r="H1367" s="81"/>
      <c r="I1367" s="81"/>
      <c r="J1367" s="81"/>
      <c r="K1367" s="81"/>
      <c r="L1367" s="81" t="s">
        <v>1268</v>
      </c>
      <c r="M1367" s="81"/>
      <c r="N1367" s="81"/>
      <c r="O1367" s="81" t="n">
        <v>2081410</v>
      </c>
      <c r="P1367" s="81" t="n">
        <v>15421103</v>
      </c>
      <c r="Q1367" s="81" t="n">
        <v>11.94</v>
      </c>
      <c r="R1367" s="81"/>
      <c r="S1367" s="81"/>
      <c r="T1367" s="81"/>
      <c r="U1367" s="83"/>
      <c r="V1367" s="83"/>
      <c r="W1367" s="81"/>
      <c r="X1367" s="81"/>
      <c r="Y1367" s="83"/>
      <c r="Z1367" s="81"/>
      <c r="AA1367" s="81"/>
      <c r="AB1367" s="81"/>
      <c r="AC1367" s="81"/>
      <c r="AD1367" s="81"/>
      <c r="AE1367" s="83"/>
      <c r="AF1367" s="81"/>
      <c r="AG1367" s="81"/>
      <c r="AH1367" s="81"/>
      <c r="AI1367" s="81"/>
      <c r="AJ1367" s="83"/>
      <c r="AK1367" s="81"/>
      <c r="AL1367" s="81"/>
      <c r="AM1367" s="83"/>
      <c r="AN1367" s="80"/>
      <c r="AO1367" s="82" t="n">
        <f aca="false">IF(E1367="","",(AA1367&lt;&gt;"")+(AG1367&lt;&gt;"")+(AL1367&lt;&gt;""))</f>
        <v>0</v>
      </c>
      <c r="AP1367" s="82" t="str">
        <f aca="false">IF(AL1367&lt;&gt;"",AL1367,IF(AG1367&lt;&gt;"",AG1367,IF(AA1367&lt;&gt;"",AA1367,"")))</f>
        <v/>
      </c>
      <c r="AQ1367" s="84" t="str">
        <f aca="false">IF(E1367="","",IF(U1367="","À SOUDER",IF(X1367="","VT EN ATTENTE",IF(X1367="R","VT REJETÉ – À REPRENDRE",IF(AP1367="","À RADIOGRAPHIER",IF(AP1367="A","ACCEPTÉ",IF(AP1367="NX","NX – RT À REFAIRE",IF(IF(AO1367=1,AD1367,IF(AO1367=2,AI1367,""))="A","RÉPARÉ – À RADIOGRAPHIER",IF(IF(AO1367=1,AD1367,IF(AO1367=2,AI1367,""))="R","VT REJETÉ – À REPRENDRE",IF(OR(AP1367="CO",AP1367="NT"),"COUPE – À RESOUDER","À RÉPARER"))))))))))</f>
        <v>À SOUDER</v>
      </c>
      <c r="AR1367" s="82" t="str">
        <f aca="false">IF(AND(ISNUMBER(U1367),OR(AQ1367="À RADIOGRAPHIER",AQ1367="RÉPARÉ – À RADIOGRAPHIER",AQ1367="NX – RT À REFAIRE",AQ1367="À RÉPARER",AQ1367="COUPE – À RESOUDER",AQ1367="VT REJETÉ – À REPRENDRE")),MAX(0,'PROGRAMME RT'!$C$4-U1367),"")</f>
        <v/>
      </c>
      <c r="AS1367" s="82" t="n">
        <f aca="false">IF(AND(OR(AQ1367="À RADIOGRAPHIER",AQ1367="RÉPARÉ – À RADIOGRAPHIER",AQ1367="NX – RT À REFAIRE"),OR('PROGRAMME RT'!$D$5="TOUTES",B1367='PROGRAMME RT'!$D$5)),1,0)</f>
        <v>0</v>
      </c>
      <c r="AT1367" s="82" t="str">
        <f aca="false">IF(AS1367=1,SUM(AS$7:AS1367),"")</f>
        <v/>
      </c>
      <c r="AU1367" s="82" t="n">
        <f aca="false">IF(AND(OR(AA1367="R",AA1367="NX",AA1367="NT",AA1367="CO"),OR('JOINTS DE RÉPARATION'!$D$5="TOUTES",B1367='JOINTS DE RÉPARATION'!$D$5),OR('JOINTS DE RÉPARATION'!$L$4="TOUS",AQ1367&lt;&gt;"ACCEPTÉ")),1,0)</f>
        <v>0</v>
      </c>
      <c r="AV1367" s="82" t="str">
        <f aca="false">IF(AU1367=1,SUM(AU$7:AU1367),"")</f>
        <v/>
      </c>
      <c r="AW1367" s="82" t="str">
        <f aca="false">IF(E1367="","",B1367&amp;"|"&amp;E1367)</f>
        <v>MFD-ISW → MFD-CPF|JN°1137</v>
      </c>
    </row>
    <row r="1368" customFormat="false" ht="74.6" hidden="false" customHeight="false" outlineLevel="0" collapsed="false">
      <c r="A1368" s="79" t="n">
        <f aca="false">IF(E1368="","",ROW()-6)</f>
        <v>1362</v>
      </c>
      <c r="B1368" s="80" t="s">
        <v>110</v>
      </c>
      <c r="C1368" s="81" t="s">
        <v>1647</v>
      </c>
      <c r="D1368" s="81" t="n">
        <v>11</v>
      </c>
      <c r="E1368" s="81" t="s">
        <v>1648</v>
      </c>
      <c r="F1368" s="82" t="str">
        <f aca="false">IF(E1368="","",IF(LEFT(E1368,2)="DJ","DJ","JN"))</f>
        <v>DJ</v>
      </c>
      <c r="G1368" s="81"/>
      <c r="H1368" s="81" t="s">
        <v>871</v>
      </c>
      <c r="I1368" s="81" t="n">
        <v>9.53</v>
      </c>
      <c r="J1368" s="81" t="s">
        <v>872</v>
      </c>
      <c r="K1368" s="81" t="s">
        <v>873</v>
      </c>
      <c r="L1368" s="81" t="n">
        <v>2081410</v>
      </c>
      <c r="M1368" s="81" t="n">
        <v>15421103</v>
      </c>
      <c r="N1368" s="81" t="n">
        <v>11.94</v>
      </c>
      <c r="O1368" s="81" t="n">
        <v>2079140</v>
      </c>
      <c r="P1368" s="81" t="n">
        <v>15421102</v>
      </c>
      <c r="Q1368" s="81" t="n">
        <v>11.94</v>
      </c>
      <c r="R1368" s="81" t="s">
        <v>1147</v>
      </c>
      <c r="S1368" s="81"/>
      <c r="T1368" s="81"/>
      <c r="U1368" s="83" t="n">
        <v>46271</v>
      </c>
      <c r="V1368" s="83" t="n">
        <v>46271</v>
      </c>
      <c r="W1368" s="81" t="s">
        <v>1536</v>
      </c>
      <c r="X1368" s="81" t="s">
        <v>876</v>
      </c>
      <c r="Y1368" s="83" t="n">
        <v>46272</v>
      </c>
      <c r="Z1368" s="81" t="s">
        <v>1542</v>
      </c>
      <c r="AA1368" s="81" t="s">
        <v>876</v>
      </c>
      <c r="AB1368" s="81"/>
      <c r="AC1368" s="81"/>
      <c r="AD1368" s="81"/>
      <c r="AE1368" s="83"/>
      <c r="AF1368" s="81"/>
      <c r="AG1368" s="81"/>
      <c r="AH1368" s="81"/>
      <c r="AI1368" s="81"/>
      <c r="AJ1368" s="83"/>
      <c r="AK1368" s="81"/>
      <c r="AL1368" s="81"/>
      <c r="AM1368" s="83"/>
      <c r="AN1368" s="80"/>
      <c r="AO1368" s="82" t="n">
        <f aca="false">IF(E1368="","",(AA1368&lt;&gt;"")+(AG1368&lt;&gt;"")+(AL1368&lt;&gt;""))</f>
        <v>1</v>
      </c>
      <c r="AP1368" s="82" t="str">
        <f aca="false">IF(AL1368&lt;&gt;"",AL1368,IF(AG1368&lt;&gt;"",AG1368,IF(AA1368&lt;&gt;"",AA1368,"")))</f>
        <v>A</v>
      </c>
      <c r="AQ1368" s="84" t="str">
        <f aca="false">IF(E1368="","",IF(U1368="","À SOUDER",IF(X1368="","VT EN ATTENTE",IF(X1368="R","VT REJETÉ – À REPRENDRE",IF(AP1368="","À RADIOGRAPHIER",IF(AP1368="A","ACCEPTÉ",IF(AP1368="NX","NX – RT À REFAIRE",IF(IF(AO1368=1,AD1368,IF(AO1368=2,AI1368,""))="A","RÉPARÉ – À RADIOGRAPHIER",IF(IF(AO1368=1,AD1368,IF(AO1368=2,AI1368,""))="R","VT REJETÉ – À REPRENDRE",IF(OR(AP1368="CO",AP1368="NT"),"COUPE – À RESOUDER","À RÉPARER"))))))))))</f>
        <v>ACCEPTÉ</v>
      </c>
      <c r="AR1368" s="82" t="str">
        <f aca="false">IF(AND(ISNUMBER(U1368),OR(AQ1368="À RADIOGRAPHIER",AQ1368="RÉPARÉ – À RADIOGRAPHIER",AQ1368="NX – RT À REFAIRE",AQ1368="À RÉPARER",AQ1368="COUPE – À RESOUDER",AQ1368="VT REJETÉ – À REPRENDRE")),MAX(0,'PROGRAMME RT'!$C$4-U1368),"")</f>
        <v/>
      </c>
      <c r="AS1368" s="82" t="n">
        <f aca="false">IF(AND(OR(AQ1368="À RADIOGRAPHIER",AQ1368="RÉPARÉ – À RADIOGRAPHIER",AQ1368="NX – RT À REFAIRE"),OR('PROGRAMME RT'!$D$5="TOUTES",B1368='PROGRAMME RT'!$D$5)),1,0)</f>
        <v>0</v>
      </c>
      <c r="AT1368" s="82" t="str">
        <f aca="false">IF(AS1368=1,SUM(AS$7:AS1368),"")</f>
        <v/>
      </c>
      <c r="AU1368" s="82" t="n">
        <f aca="false">IF(AND(OR(AA1368="R",AA1368="NX",AA1368="NT",AA1368="CO"),OR('JOINTS DE RÉPARATION'!$D$5="TOUTES",B1368='JOINTS DE RÉPARATION'!$D$5),OR('JOINTS DE RÉPARATION'!$L$4="TOUS",AQ1368&lt;&gt;"ACCEPTÉ")),1,0)</f>
        <v>0</v>
      </c>
      <c r="AV1368" s="82" t="str">
        <f aca="false">IF(AU1368=1,SUM(AU$7:AU1368),"")</f>
        <v/>
      </c>
      <c r="AW1368" s="82" t="str">
        <f aca="false">IF(E1368="","",B1368&amp;"|"&amp;E1368)</f>
        <v>MFD-ISW → MFD-CPF|DJ°301</v>
      </c>
    </row>
    <row r="1369" customFormat="false" ht="74.6" hidden="false" customHeight="false" outlineLevel="0" collapsed="false">
      <c r="A1369" s="79" t="n">
        <f aca="false">IF(E1369="","",ROW()-6)</f>
        <v>1363</v>
      </c>
      <c r="B1369" s="80" t="s">
        <v>110</v>
      </c>
      <c r="C1369" s="81" t="s">
        <v>1647</v>
      </c>
      <c r="D1369" s="81" t="n">
        <v>11</v>
      </c>
      <c r="E1369" s="81" t="s">
        <v>1649</v>
      </c>
      <c r="F1369" s="82" t="str">
        <f aca="false">IF(E1369="","",IF(LEFT(E1369,2)="DJ","DJ","JN"))</f>
        <v>JN</v>
      </c>
      <c r="G1369" s="81" t="s">
        <v>1504</v>
      </c>
      <c r="H1369" s="81" t="s">
        <v>871</v>
      </c>
      <c r="I1369" s="81" t="n">
        <v>9.53</v>
      </c>
      <c r="J1369" s="81" t="s">
        <v>872</v>
      </c>
      <c r="K1369" s="81" t="s">
        <v>879</v>
      </c>
      <c r="L1369" s="81" t="n">
        <v>2079140</v>
      </c>
      <c r="M1369" s="81" t="n">
        <v>15421102</v>
      </c>
      <c r="N1369" s="81" t="n">
        <v>11.94</v>
      </c>
      <c r="O1369" s="81" t="n">
        <v>2096540</v>
      </c>
      <c r="P1369" s="81" t="n">
        <v>15421111</v>
      </c>
      <c r="Q1369" s="81" t="n">
        <v>11.94</v>
      </c>
      <c r="R1369" s="81" t="s">
        <v>1367</v>
      </c>
      <c r="S1369" s="81"/>
      <c r="T1369" s="81"/>
      <c r="U1369" s="83" t="n">
        <v>46277</v>
      </c>
      <c r="V1369" s="83" t="n">
        <v>46277</v>
      </c>
      <c r="W1369" s="81" t="s">
        <v>1628</v>
      </c>
      <c r="X1369" s="81" t="s">
        <v>876</v>
      </c>
      <c r="Y1369" s="83" t="n">
        <v>46281</v>
      </c>
      <c r="Z1369" s="81" t="s">
        <v>1650</v>
      </c>
      <c r="AA1369" s="81" t="s">
        <v>876</v>
      </c>
      <c r="AB1369" s="81"/>
      <c r="AC1369" s="81"/>
      <c r="AD1369" s="81"/>
      <c r="AE1369" s="83"/>
      <c r="AF1369" s="81"/>
      <c r="AG1369" s="81"/>
      <c r="AH1369" s="81"/>
      <c r="AI1369" s="81"/>
      <c r="AJ1369" s="83"/>
      <c r="AK1369" s="81"/>
      <c r="AL1369" s="81"/>
      <c r="AM1369" s="83"/>
      <c r="AN1369" s="80"/>
      <c r="AO1369" s="82" t="n">
        <f aca="false">IF(E1369="","",(AA1369&lt;&gt;"")+(AG1369&lt;&gt;"")+(AL1369&lt;&gt;""))</f>
        <v>1</v>
      </c>
      <c r="AP1369" s="82" t="str">
        <f aca="false">IF(AL1369&lt;&gt;"",AL1369,IF(AG1369&lt;&gt;"",AG1369,IF(AA1369&lt;&gt;"",AA1369,"")))</f>
        <v>A</v>
      </c>
      <c r="AQ1369" s="84" t="str">
        <f aca="false">IF(E1369="","",IF(U1369="","À SOUDER",IF(X1369="","VT EN ATTENTE",IF(X1369="R","VT REJETÉ – À REPRENDRE",IF(AP1369="","À RADIOGRAPHIER",IF(AP1369="A","ACCEPTÉ",IF(AP1369="NX","NX – RT À REFAIRE",IF(IF(AO1369=1,AD1369,IF(AO1369=2,AI1369,""))="A","RÉPARÉ – À RADIOGRAPHIER",IF(IF(AO1369=1,AD1369,IF(AO1369=2,AI1369,""))="R","VT REJETÉ – À REPRENDRE",IF(OR(AP1369="CO",AP1369="NT"),"COUPE – À RESOUDER","À RÉPARER"))))))))))</f>
        <v>ACCEPTÉ</v>
      </c>
      <c r="AR1369" s="82" t="str">
        <f aca="false">IF(AND(ISNUMBER(U1369),OR(AQ1369="À RADIOGRAPHIER",AQ1369="RÉPARÉ – À RADIOGRAPHIER",AQ1369="NX – RT À REFAIRE",AQ1369="À RÉPARER",AQ1369="COUPE – À RESOUDER",AQ1369="VT REJETÉ – À REPRENDRE")),MAX(0,'PROGRAMME RT'!$C$4-U1369),"")</f>
        <v/>
      </c>
      <c r="AS1369" s="82" t="n">
        <f aca="false">IF(AND(OR(AQ1369="À RADIOGRAPHIER",AQ1369="RÉPARÉ – À RADIOGRAPHIER",AQ1369="NX – RT À REFAIRE"),OR('PROGRAMME RT'!$D$5="TOUTES",B1369='PROGRAMME RT'!$D$5)),1,0)</f>
        <v>0</v>
      </c>
      <c r="AT1369" s="82" t="str">
        <f aca="false">IF(AS1369=1,SUM(AS$7:AS1369),"")</f>
        <v/>
      </c>
      <c r="AU1369" s="82" t="n">
        <f aca="false">IF(AND(OR(AA1369="R",AA1369="NX",AA1369="NT",AA1369="CO"),OR('JOINTS DE RÉPARATION'!$D$5="TOUTES",B1369='JOINTS DE RÉPARATION'!$D$5),OR('JOINTS DE RÉPARATION'!$L$4="TOUS",AQ1369&lt;&gt;"ACCEPTÉ")),1,0)</f>
        <v>0</v>
      </c>
      <c r="AV1369" s="82" t="str">
        <f aca="false">IF(AU1369=1,SUM(AU$7:AU1369),"")</f>
        <v/>
      </c>
      <c r="AW1369" s="82" t="str">
        <f aca="false">IF(E1369="","",B1369&amp;"|"&amp;E1369)</f>
        <v>MFD-ISW → MFD-CPF|JN°1138</v>
      </c>
    </row>
    <row r="1370" customFormat="false" ht="74.6" hidden="false" customHeight="false" outlineLevel="0" collapsed="false">
      <c r="A1370" s="79" t="n">
        <f aca="false">IF(E1370="","",ROW()-6)</f>
        <v>1364</v>
      </c>
      <c r="B1370" s="80" t="s">
        <v>110</v>
      </c>
      <c r="C1370" s="81" t="s">
        <v>1647</v>
      </c>
      <c r="D1370" s="81" t="n">
        <v>11</v>
      </c>
      <c r="E1370" s="81" t="s">
        <v>1651</v>
      </c>
      <c r="F1370" s="82" t="str">
        <f aca="false">IF(E1370="","",IF(LEFT(E1370,2)="DJ","DJ","JN"))</f>
        <v>DJ</v>
      </c>
      <c r="G1370" s="81"/>
      <c r="H1370" s="81" t="s">
        <v>871</v>
      </c>
      <c r="I1370" s="81" t="n">
        <v>9.53</v>
      </c>
      <c r="J1370" s="81" t="s">
        <v>872</v>
      </c>
      <c r="K1370" s="81" t="s">
        <v>873</v>
      </c>
      <c r="L1370" s="81" t="n">
        <v>2096540</v>
      </c>
      <c r="M1370" s="81" t="n">
        <v>15421111</v>
      </c>
      <c r="N1370" s="81" t="n">
        <v>11.94</v>
      </c>
      <c r="O1370" s="81" t="n">
        <v>2095650</v>
      </c>
      <c r="P1370" s="81" t="n">
        <v>15421111</v>
      </c>
      <c r="Q1370" s="81" t="n">
        <v>11.94</v>
      </c>
      <c r="R1370" s="81" t="s">
        <v>1147</v>
      </c>
      <c r="S1370" s="81"/>
      <c r="T1370" s="81"/>
      <c r="U1370" s="83" t="n">
        <v>46271</v>
      </c>
      <c r="V1370" s="83" t="n">
        <v>46271</v>
      </c>
      <c r="W1370" s="81" t="s">
        <v>1536</v>
      </c>
      <c r="X1370" s="81" t="s">
        <v>876</v>
      </c>
      <c r="Y1370" s="83" t="n">
        <v>46272</v>
      </c>
      <c r="Z1370" s="81" t="s">
        <v>1542</v>
      </c>
      <c r="AA1370" s="81" t="s">
        <v>876</v>
      </c>
      <c r="AB1370" s="81"/>
      <c r="AC1370" s="81"/>
      <c r="AD1370" s="81"/>
      <c r="AE1370" s="83"/>
      <c r="AF1370" s="81"/>
      <c r="AG1370" s="81"/>
      <c r="AH1370" s="81"/>
      <c r="AI1370" s="81"/>
      <c r="AJ1370" s="83"/>
      <c r="AK1370" s="81"/>
      <c r="AL1370" s="81"/>
      <c r="AM1370" s="83"/>
      <c r="AN1370" s="80"/>
      <c r="AO1370" s="82" t="n">
        <f aca="false">IF(E1370="","",(AA1370&lt;&gt;"")+(AG1370&lt;&gt;"")+(AL1370&lt;&gt;""))</f>
        <v>1</v>
      </c>
      <c r="AP1370" s="82" t="str">
        <f aca="false">IF(AL1370&lt;&gt;"",AL1370,IF(AG1370&lt;&gt;"",AG1370,IF(AA1370&lt;&gt;"",AA1370,"")))</f>
        <v>A</v>
      </c>
      <c r="AQ1370" s="84" t="str">
        <f aca="false">IF(E1370="","",IF(U1370="","À SOUDER",IF(X1370="","VT EN ATTENTE",IF(X1370="R","VT REJETÉ – À REPRENDRE",IF(AP1370="","À RADIOGRAPHIER",IF(AP1370="A","ACCEPTÉ",IF(AP1370="NX","NX – RT À REFAIRE",IF(IF(AO1370=1,AD1370,IF(AO1370=2,AI1370,""))="A","RÉPARÉ – À RADIOGRAPHIER",IF(IF(AO1370=1,AD1370,IF(AO1370=2,AI1370,""))="R","VT REJETÉ – À REPRENDRE",IF(OR(AP1370="CO",AP1370="NT"),"COUPE – À RESOUDER","À RÉPARER"))))))))))</f>
        <v>ACCEPTÉ</v>
      </c>
      <c r="AR1370" s="82" t="str">
        <f aca="false">IF(AND(ISNUMBER(U1370),OR(AQ1370="À RADIOGRAPHIER",AQ1370="RÉPARÉ – À RADIOGRAPHIER",AQ1370="NX – RT À REFAIRE",AQ1370="À RÉPARER",AQ1370="COUPE – À RESOUDER",AQ1370="VT REJETÉ – À REPRENDRE")),MAX(0,'PROGRAMME RT'!$C$4-U1370),"")</f>
        <v/>
      </c>
      <c r="AS1370" s="82" t="n">
        <f aca="false">IF(AND(OR(AQ1370="À RADIOGRAPHIER",AQ1370="RÉPARÉ – À RADIOGRAPHIER",AQ1370="NX – RT À REFAIRE"),OR('PROGRAMME RT'!$D$5="TOUTES",B1370='PROGRAMME RT'!$D$5)),1,0)</f>
        <v>0</v>
      </c>
      <c r="AT1370" s="82" t="str">
        <f aca="false">IF(AS1370=1,SUM(AS$7:AS1370),"")</f>
        <v/>
      </c>
      <c r="AU1370" s="82" t="n">
        <f aca="false">IF(AND(OR(AA1370="R",AA1370="NX",AA1370="NT",AA1370="CO"),OR('JOINTS DE RÉPARATION'!$D$5="TOUTES",B1370='JOINTS DE RÉPARATION'!$D$5),OR('JOINTS DE RÉPARATION'!$L$4="TOUS",AQ1370&lt;&gt;"ACCEPTÉ")),1,0)</f>
        <v>0</v>
      </c>
      <c r="AV1370" s="82" t="str">
        <f aca="false">IF(AU1370=1,SUM(AU$7:AU1370),"")</f>
        <v/>
      </c>
      <c r="AW1370" s="82" t="str">
        <f aca="false">IF(E1370="","",B1370&amp;"|"&amp;E1370)</f>
        <v>MFD-ISW → MFD-CPF|DJ°292</v>
      </c>
    </row>
    <row r="1371" customFormat="false" ht="74.6" hidden="false" customHeight="false" outlineLevel="0" collapsed="false">
      <c r="A1371" s="79" t="n">
        <f aca="false">IF(E1371="","",ROW()-6)</f>
        <v>1365</v>
      </c>
      <c r="B1371" s="80" t="s">
        <v>110</v>
      </c>
      <c r="C1371" s="81" t="s">
        <v>1647</v>
      </c>
      <c r="D1371" s="81" t="n">
        <v>11</v>
      </c>
      <c r="E1371" s="81" t="s">
        <v>1652</v>
      </c>
      <c r="F1371" s="82" t="str">
        <f aca="false">IF(E1371="","",IF(LEFT(E1371,2)="DJ","DJ","JN"))</f>
        <v>JN</v>
      </c>
      <c r="G1371" s="81" t="s">
        <v>1504</v>
      </c>
      <c r="H1371" s="81" t="s">
        <v>871</v>
      </c>
      <c r="I1371" s="81" t="n">
        <v>9.53</v>
      </c>
      <c r="J1371" s="81" t="s">
        <v>872</v>
      </c>
      <c r="K1371" s="81" t="s">
        <v>879</v>
      </c>
      <c r="L1371" s="81" t="n">
        <v>2095650</v>
      </c>
      <c r="M1371" s="81" t="n">
        <v>15421111</v>
      </c>
      <c r="N1371" s="81" t="n">
        <v>11.94</v>
      </c>
      <c r="O1371" s="81" t="n">
        <v>2082820</v>
      </c>
      <c r="P1371" s="81" t="n">
        <v>15421104</v>
      </c>
      <c r="Q1371" s="81" t="n">
        <v>11.94</v>
      </c>
      <c r="R1371" s="81" t="s">
        <v>1367</v>
      </c>
      <c r="S1371" s="81"/>
      <c r="T1371" s="81"/>
      <c r="U1371" s="83" t="n">
        <v>46277</v>
      </c>
      <c r="V1371" s="83" t="n">
        <v>46277</v>
      </c>
      <c r="W1371" s="81" t="s">
        <v>1628</v>
      </c>
      <c r="X1371" s="81" t="s">
        <v>876</v>
      </c>
      <c r="Y1371" s="83" t="n">
        <v>46281</v>
      </c>
      <c r="Z1371" s="81" t="s">
        <v>1650</v>
      </c>
      <c r="AA1371" s="81" t="s">
        <v>876</v>
      </c>
      <c r="AB1371" s="81"/>
      <c r="AC1371" s="81"/>
      <c r="AD1371" s="81"/>
      <c r="AE1371" s="83"/>
      <c r="AF1371" s="81"/>
      <c r="AG1371" s="81"/>
      <c r="AH1371" s="81"/>
      <c r="AI1371" s="81"/>
      <c r="AJ1371" s="83"/>
      <c r="AK1371" s="81"/>
      <c r="AL1371" s="81"/>
      <c r="AM1371" s="83"/>
      <c r="AN1371" s="80"/>
      <c r="AO1371" s="82" t="n">
        <f aca="false">IF(E1371="","",(AA1371&lt;&gt;"")+(AG1371&lt;&gt;"")+(AL1371&lt;&gt;""))</f>
        <v>1</v>
      </c>
      <c r="AP1371" s="82" t="str">
        <f aca="false">IF(AL1371&lt;&gt;"",AL1371,IF(AG1371&lt;&gt;"",AG1371,IF(AA1371&lt;&gt;"",AA1371,"")))</f>
        <v>A</v>
      </c>
      <c r="AQ1371" s="84" t="str">
        <f aca="false">IF(E1371="","",IF(U1371="","À SOUDER",IF(X1371="","VT EN ATTENTE",IF(X1371="R","VT REJETÉ – À REPRENDRE",IF(AP1371="","À RADIOGRAPHIER",IF(AP1371="A","ACCEPTÉ",IF(AP1371="NX","NX – RT À REFAIRE",IF(IF(AO1371=1,AD1371,IF(AO1371=2,AI1371,""))="A","RÉPARÉ – À RADIOGRAPHIER",IF(IF(AO1371=1,AD1371,IF(AO1371=2,AI1371,""))="R","VT REJETÉ – À REPRENDRE",IF(OR(AP1371="CO",AP1371="NT"),"COUPE – À RESOUDER","À RÉPARER"))))))))))</f>
        <v>ACCEPTÉ</v>
      </c>
      <c r="AR1371" s="82" t="str">
        <f aca="false">IF(AND(ISNUMBER(U1371),OR(AQ1371="À RADIOGRAPHIER",AQ1371="RÉPARÉ – À RADIOGRAPHIER",AQ1371="NX – RT À REFAIRE",AQ1371="À RÉPARER",AQ1371="COUPE – À RESOUDER",AQ1371="VT REJETÉ – À REPRENDRE")),MAX(0,'PROGRAMME RT'!$C$4-U1371),"")</f>
        <v/>
      </c>
      <c r="AS1371" s="82" t="n">
        <f aca="false">IF(AND(OR(AQ1371="À RADIOGRAPHIER",AQ1371="RÉPARÉ – À RADIOGRAPHIER",AQ1371="NX – RT À REFAIRE"),OR('PROGRAMME RT'!$D$5="TOUTES",B1371='PROGRAMME RT'!$D$5)),1,0)</f>
        <v>0</v>
      </c>
      <c r="AT1371" s="82" t="str">
        <f aca="false">IF(AS1371=1,SUM(AS$7:AS1371),"")</f>
        <v/>
      </c>
      <c r="AU1371" s="82" t="n">
        <f aca="false">IF(AND(OR(AA1371="R",AA1371="NX",AA1371="NT",AA1371="CO"),OR('JOINTS DE RÉPARATION'!$D$5="TOUTES",B1371='JOINTS DE RÉPARATION'!$D$5),OR('JOINTS DE RÉPARATION'!$L$4="TOUS",AQ1371&lt;&gt;"ACCEPTÉ")),1,0)</f>
        <v>0</v>
      </c>
      <c r="AV1371" s="82" t="str">
        <f aca="false">IF(AU1371=1,SUM(AU$7:AU1371),"")</f>
        <v/>
      </c>
      <c r="AW1371" s="82" t="str">
        <f aca="false">IF(E1371="","",B1371&amp;"|"&amp;E1371)</f>
        <v>MFD-ISW → MFD-CPF|JN°1139</v>
      </c>
    </row>
    <row r="1372" customFormat="false" ht="74.6" hidden="false" customHeight="false" outlineLevel="0" collapsed="false">
      <c r="A1372" s="79" t="n">
        <f aca="false">IF(E1372="","",ROW()-6)</f>
        <v>1366</v>
      </c>
      <c r="B1372" s="80" t="s">
        <v>110</v>
      </c>
      <c r="C1372" s="81" t="s">
        <v>1647</v>
      </c>
      <c r="D1372" s="81" t="n">
        <v>11</v>
      </c>
      <c r="E1372" s="81" t="s">
        <v>1653</v>
      </c>
      <c r="F1372" s="82" t="str">
        <f aca="false">IF(E1372="","",IF(LEFT(E1372,2)="DJ","DJ","JN"))</f>
        <v>DJ</v>
      </c>
      <c r="G1372" s="81"/>
      <c r="H1372" s="81" t="s">
        <v>871</v>
      </c>
      <c r="I1372" s="81" t="n">
        <v>9.53</v>
      </c>
      <c r="J1372" s="81" t="s">
        <v>872</v>
      </c>
      <c r="K1372" s="81" t="s">
        <v>873</v>
      </c>
      <c r="L1372" s="81" t="n">
        <v>2082820</v>
      </c>
      <c r="M1372" s="81" t="n">
        <v>15421104</v>
      </c>
      <c r="N1372" s="81" t="n">
        <v>11.94</v>
      </c>
      <c r="O1372" s="81" t="n">
        <v>2093060</v>
      </c>
      <c r="P1372" s="81" t="n">
        <v>15421110</v>
      </c>
      <c r="Q1372" s="81" t="n">
        <v>11.94</v>
      </c>
      <c r="R1372" s="81" t="s">
        <v>1135</v>
      </c>
      <c r="S1372" s="81"/>
      <c r="T1372" s="81"/>
      <c r="U1372" s="83" t="n">
        <v>46270</v>
      </c>
      <c r="V1372" s="83" t="n">
        <v>46270</v>
      </c>
      <c r="W1372" s="81" t="s">
        <v>1444</v>
      </c>
      <c r="X1372" s="81" t="s">
        <v>876</v>
      </c>
      <c r="Y1372" s="83" t="n">
        <v>46271</v>
      </c>
      <c r="Z1372" s="81" t="s">
        <v>1445</v>
      </c>
      <c r="AA1372" s="81" t="s">
        <v>876</v>
      </c>
      <c r="AB1372" s="81"/>
      <c r="AC1372" s="81"/>
      <c r="AD1372" s="81"/>
      <c r="AE1372" s="83"/>
      <c r="AF1372" s="81"/>
      <c r="AG1372" s="81"/>
      <c r="AH1372" s="81"/>
      <c r="AI1372" s="81"/>
      <c r="AJ1372" s="83"/>
      <c r="AK1372" s="81"/>
      <c r="AL1372" s="81"/>
      <c r="AM1372" s="83"/>
      <c r="AN1372" s="80"/>
      <c r="AO1372" s="82" t="n">
        <f aca="false">IF(E1372="","",(AA1372&lt;&gt;"")+(AG1372&lt;&gt;"")+(AL1372&lt;&gt;""))</f>
        <v>1</v>
      </c>
      <c r="AP1372" s="82" t="str">
        <f aca="false">IF(AL1372&lt;&gt;"",AL1372,IF(AG1372&lt;&gt;"",AG1372,IF(AA1372&lt;&gt;"",AA1372,"")))</f>
        <v>A</v>
      </c>
      <c r="AQ1372" s="84" t="str">
        <f aca="false">IF(E1372="","",IF(U1372="","À SOUDER",IF(X1372="","VT EN ATTENTE",IF(X1372="R","VT REJETÉ – À REPRENDRE",IF(AP1372="","À RADIOGRAPHIER",IF(AP1372="A","ACCEPTÉ",IF(AP1372="NX","NX – RT À REFAIRE",IF(IF(AO1372=1,AD1372,IF(AO1372=2,AI1372,""))="A","RÉPARÉ – À RADIOGRAPHIER",IF(IF(AO1372=1,AD1372,IF(AO1372=2,AI1372,""))="R","VT REJETÉ – À REPRENDRE",IF(OR(AP1372="CO",AP1372="NT"),"COUPE – À RESOUDER","À RÉPARER"))))))))))</f>
        <v>ACCEPTÉ</v>
      </c>
      <c r="AR1372" s="82" t="str">
        <f aca="false">IF(AND(ISNUMBER(U1372),OR(AQ1372="À RADIOGRAPHIER",AQ1372="RÉPARÉ – À RADIOGRAPHIER",AQ1372="NX – RT À REFAIRE",AQ1372="À RÉPARER",AQ1372="COUPE – À RESOUDER",AQ1372="VT REJETÉ – À REPRENDRE")),MAX(0,'PROGRAMME RT'!$C$4-U1372),"")</f>
        <v/>
      </c>
      <c r="AS1372" s="82" t="n">
        <f aca="false">IF(AND(OR(AQ1372="À RADIOGRAPHIER",AQ1372="RÉPARÉ – À RADIOGRAPHIER",AQ1372="NX – RT À REFAIRE"),OR('PROGRAMME RT'!$D$5="TOUTES",B1372='PROGRAMME RT'!$D$5)),1,0)</f>
        <v>0</v>
      </c>
      <c r="AT1372" s="82" t="str">
        <f aca="false">IF(AS1372=1,SUM(AS$7:AS1372),"")</f>
        <v/>
      </c>
      <c r="AU1372" s="82" t="n">
        <f aca="false">IF(AND(OR(AA1372="R",AA1372="NX",AA1372="NT",AA1372="CO"),OR('JOINTS DE RÉPARATION'!$D$5="TOUTES",B1372='JOINTS DE RÉPARATION'!$D$5),OR('JOINTS DE RÉPARATION'!$L$4="TOUS",AQ1372&lt;&gt;"ACCEPTÉ")),1,0)</f>
        <v>0</v>
      </c>
      <c r="AV1372" s="82" t="str">
        <f aca="false">IF(AU1372=1,SUM(AU$7:AU1372),"")</f>
        <v/>
      </c>
      <c r="AW1372" s="82" t="str">
        <f aca="false">IF(E1372="","",B1372&amp;"|"&amp;E1372)</f>
        <v>MFD-ISW → MFD-CPF|DJ°286</v>
      </c>
    </row>
    <row r="1373" customFormat="false" ht="74.6" hidden="false" customHeight="false" outlineLevel="0" collapsed="false">
      <c r="A1373" s="79" t="n">
        <f aca="false">IF(E1373="","",ROW()-6)</f>
        <v>1367</v>
      </c>
      <c r="B1373" s="80" t="s">
        <v>110</v>
      </c>
      <c r="C1373" s="81" t="s">
        <v>1647</v>
      </c>
      <c r="D1373" s="81" t="n">
        <v>11</v>
      </c>
      <c r="E1373" s="81" t="s">
        <v>1654</v>
      </c>
      <c r="F1373" s="82" t="str">
        <f aca="false">IF(E1373="","",IF(LEFT(E1373,2)="DJ","DJ","JN"))</f>
        <v>JN</v>
      </c>
      <c r="G1373" s="81" t="s">
        <v>1504</v>
      </c>
      <c r="H1373" s="81" t="s">
        <v>871</v>
      </c>
      <c r="I1373" s="81" t="n">
        <v>9.53</v>
      </c>
      <c r="J1373" s="81" t="s">
        <v>872</v>
      </c>
      <c r="K1373" s="81" t="s">
        <v>879</v>
      </c>
      <c r="L1373" s="81" t="n">
        <v>2093060</v>
      </c>
      <c r="M1373" s="81" t="n">
        <v>15421110</v>
      </c>
      <c r="N1373" s="81" t="n">
        <v>11.94</v>
      </c>
      <c r="O1373" s="81" t="n">
        <v>2092730</v>
      </c>
      <c r="P1373" s="81" t="n">
        <v>15421110</v>
      </c>
      <c r="Q1373" s="81" t="n">
        <v>11.94</v>
      </c>
      <c r="R1373" s="81" t="s">
        <v>1367</v>
      </c>
      <c r="S1373" s="81"/>
      <c r="T1373" s="81"/>
      <c r="U1373" s="83" t="n">
        <v>46277</v>
      </c>
      <c r="V1373" s="83" t="n">
        <v>46277</v>
      </c>
      <c r="W1373" s="81" t="s">
        <v>1628</v>
      </c>
      <c r="X1373" s="81" t="s">
        <v>876</v>
      </c>
      <c r="Y1373" s="83" t="n">
        <v>46281</v>
      </c>
      <c r="Z1373" s="81" t="s">
        <v>1650</v>
      </c>
      <c r="AA1373" s="81" t="s">
        <v>876</v>
      </c>
      <c r="AB1373" s="81"/>
      <c r="AC1373" s="81"/>
      <c r="AD1373" s="81"/>
      <c r="AE1373" s="83"/>
      <c r="AF1373" s="81"/>
      <c r="AG1373" s="81"/>
      <c r="AH1373" s="81"/>
      <c r="AI1373" s="81"/>
      <c r="AJ1373" s="83"/>
      <c r="AK1373" s="81"/>
      <c r="AL1373" s="81"/>
      <c r="AM1373" s="83"/>
      <c r="AN1373" s="80"/>
      <c r="AO1373" s="82" t="n">
        <f aca="false">IF(E1373="","",(AA1373&lt;&gt;"")+(AG1373&lt;&gt;"")+(AL1373&lt;&gt;""))</f>
        <v>1</v>
      </c>
      <c r="AP1373" s="82" t="str">
        <f aca="false">IF(AL1373&lt;&gt;"",AL1373,IF(AG1373&lt;&gt;"",AG1373,IF(AA1373&lt;&gt;"",AA1373,"")))</f>
        <v>A</v>
      </c>
      <c r="AQ1373" s="84" t="str">
        <f aca="false">IF(E1373="","",IF(U1373="","À SOUDER",IF(X1373="","VT EN ATTENTE",IF(X1373="R","VT REJETÉ – À REPRENDRE",IF(AP1373="","À RADIOGRAPHIER",IF(AP1373="A","ACCEPTÉ",IF(AP1373="NX","NX – RT À REFAIRE",IF(IF(AO1373=1,AD1373,IF(AO1373=2,AI1373,""))="A","RÉPARÉ – À RADIOGRAPHIER",IF(IF(AO1373=1,AD1373,IF(AO1373=2,AI1373,""))="R","VT REJETÉ – À REPRENDRE",IF(OR(AP1373="CO",AP1373="NT"),"COUPE – À RESOUDER","À RÉPARER"))))))))))</f>
        <v>ACCEPTÉ</v>
      </c>
      <c r="AR1373" s="82" t="str">
        <f aca="false">IF(AND(ISNUMBER(U1373),OR(AQ1373="À RADIOGRAPHIER",AQ1373="RÉPARÉ – À RADIOGRAPHIER",AQ1373="NX – RT À REFAIRE",AQ1373="À RÉPARER",AQ1373="COUPE – À RESOUDER",AQ1373="VT REJETÉ – À REPRENDRE")),MAX(0,'PROGRAMME RT'!$C$4-U1373),"")</f>
        <v/>
      </c>
      <c r="AS1373" s="82" t="n">
        <f aca="false">IF(AND(OR(AQ1373="À RADIOGRAPHIER",AQ1373="RÉPARÉ – À RADIOGRAPHIER",AQ1373="NX – RT À REFAIRE"),OR('PROGRAMME RT'!$D$5="TOUTES",B1373='PROGRAMME RT'!$D$5)),1,0)</f>
        <v>0</v>
      </c>
      <c r="AT1373" s="82" t="str">
        <f aca="false">IF(AS1373=1,SUM(AS$7:AS1373),"")</f>
        <v/>
      </c>
      <c r="AU1373" s="82" t="n">
        <f aca="false">IF(AND(OR(AA1373="R",AA1373="NX",AA1373="NT",AA1373="CO"),OR('JOINTS DE RÉPARATION'!$D$5="TOUTES",B1373='JOINTS DE RÉPARATION'!$D$5),OR('JOINTS DE RÉPARATION'!$L$4="TOUS",AQ1373&lt;&gt;"ACCEPTÉ")),1,0)</f>
        <v>0</v>
      </c>
      <c r="AV1373" s="82" t="str">
        <f aca="false">IF(AU1373=1,SUM(AU$7:AU1373),"")</f>
        <v/>
      </c>
      <c r="AW1373" s="82" t="str">
        <f aca="false">IF(E1373="","",B1373&amp;"|"&amp;E1373)</f>
        <v>MFD-ISW → MFD-CPF|JN°1140</v>
      </c>
    </row>
    <row r="1374" customFormat="false" ht="74.6" hidden="false" customHeight="false" outlineLevel="0" collapsed="false">
      <c r="A1374" s="79" t="n">
        <f aca="false">IF(E1374="","",ROW()-6)</f>
        <v>1368</v>
      </c>
      <c r="B1374" s="80" t="s">
        <v>110</v>
      </c>
      <c r="C1374" s="81" t="s">
        <v>1647</v>
      </c>
      <c r="D1374" s="81" t="n">
        <v>11</v>
      </c>
      <c r="E1374" s="81" t="s">
        <v>1655</v>
      </c>
      <c r="F1374" s="82" t="str">
        <f aca="false">IF(E1374="","",IF(LEFT(E1374,2)="DJ","DJ","JN"))</f>
        <v>DJ</v>
      </c>
      <c r="G1374" s="81"/>
      <c r="H1374" s="81" t="s">
        <v>871</v>
      </c>
      <c r="I1374" s="81" t="n">
        <v>9.53</v>
      </c>
      <c r="J1374" s="81" t="s">
        <v>872</v>
      </c>
      <c r="K1374" s="81" t="s">
        <v>873</v>
      </c>
      <c r="L1374" s="81" t="n">
        <v>2092730</v>
      </c>
      <c r="M1374" s="81" t="n">
        <v>15421110</v>
      </c>
      <c r="N1374" s="81" t="n">
        <v>11.94</v>
      </c>
      <c r="O1374" s="81" t="n">
        <v>2079520</v>
      </c>
      <c r="P1374" s="81" t="n">
        <v>15421102</v>
      </c>
      <c r="Q1374" s="81" t="n">
        <v>11.94</v>
      </c>
      <c r="R1374" s="81" t="s">
        <v>1135</v>
      </c>
      <c r="S1374" s="81"/>
      <c r="T1374" s="81"/>
      <c r="U1374" s="83" t="n">
        <v>46270</v>
      </c>
      <c r="V1374" s="83" t="n">
        <v>46270</v>
      </c>
      <c r="W1374" s="81" t="s">
        <v>1444</v>
      </c>
      <c r="X1374" s="81" t="s">
        <v>876</v>
      </c>
      <c r="Y1374" s="83" t="n">
        <v>46271</v>
      </c>
      <c r="Z1374" s="81" t="s">
        <v>1445</v>
      </c>
      <c r="AA1374" s="81" t="s">
        <v>876</v>
      </c>
      <c r="AB1374" s="81"/>
      <c r="AC1374" s="81"/>
      <c r="AD1374" s="81"/>
      <c r="AE1374" s="83"/>
      <c r="AF1374" s="81"/>
      <c r="AG1374" s="81"/>
      <c r="AH1374" s="81"/>
      <c r="AI1374" s="81"/>
      <c r="AJ1374" s="83"/>
      <c r="AK1374" s="81"/>
      <c r="AL1374" s="81"/>
      <c r="AM1374" s="83"/>
      <c r="AN1374" s="80"/>
      <c r="AO1374" s="82" t="n">
        <f aca="false">IF(E1374="","",(AA1374&lt;&gt;"")+(AG1374&lt;&gt;"")+(AL1374&lt;&gt;""))</f>
        <v>1</v>
      </c>
      <c r="AP1374" s="82" t="str">
        <f aca="false">IF(AL1374&lt;&gt;"",AL1374,IF(AG1374&lt;&gt;"",AG1374,IF(AA1374&lt;&gt;"",AA1374,"")))</f>
        <v>A</v>
      </c>
      <c r="AQ1374" s="84" t="str">
        <f aca="false">IF(E1374="","",IF(U1374="","À SOUDER",IF(X1374="","VT EN ATTENTE",IF(X1374="R","VT REJETÉ – À REPRENDRE",IF(AP1374="","À RADIOGRAPHIER",IF(AP1374="A","ACCEPTÉ",IF(AP1374="NX","NX – RT À REFAIRE",IF(IF(AO1374=1,AD1374,IF(AO1374=2,AI1374,""))="A","RÉPARÉ – À RADIOGRAPHIER",IF(IF(AO1374=1,AD1374,IF(AO1374=2,AI1374,""))="R","VT REJETÉ – À REPRENDRE",IF(OR(AP1374="CO",AP1374="NT"),"COUPE – À RESOUDER","À RÉPARER"))))))))))</f>
        <v>ACCEPTÉ</v>
      </c>
      <c r="AR1374" s="82" t="str">
        <f aca="false">IF(AND(ISNUMBER(U1374),OR(AQ1374="À RADIOGRAPHIER",AQ1374="RÉPARÉ – À RADIOGRAPHIER",AQ1374="NX – RT À REFAIRE",AQ1374="À RÉPARER",AQ1374="COUPE – À RESOUDER",AQ1374="VT REJETÉ – À REPRENDRE")),MAX(0,'PROGRAMME RT'!$C$4-U1374),"")</f>
        <v/>
      </c>
      <c r="AS1374" s="82" t="n">
        <f aca="false">IF(AND(OR(AQ1374="À RADIOGRAPHIER",AQ1374="RÉPARÉ – À RADIOGRAPHIER",AQ1374="NX – RT À REFAIRE"),OR('PROGRAMME RT'!$D$5="TOUTES",B1374='PROGRAMME RT'!$D$5)),1,0)</f>
        <v>0</v>
      </c>
      <c r="AT1374" s="82" t="str">
        <f aca="false">IF(AS1374=1,SUM(AS$7:AS1374),"")</f>
        <v/>
      </c>
      <c r="AU1374" s="82" t="n">
        <f aca="false">IF(AND(OR(AA1374="R",AA1374="NX",AA1374="NT",AA1374="CO"),OR('JOINTS DE RÉPARATION'!$D$5="TOUTES",B1374='JOINTS DE RÉPARATION'!$D$5),OR('JOINTS DE RÉPARATION'!$L$4="TOUS",AQ1374&lt;&gt;"ACCEPTÉ")),1,0)</f>
        <v>0</v>
      </c>
      <c r="AV1374" s="82" t="str">
        <f aca="false">IF(AU1374=1,SUM(AU$7:AU1374),"")</f>
        <v/>
      </c>
      <c r="AW1374" s="82" t="str">
        <f aca="false">IF(E1374="","",B1374&amp;"|"&amp;E1374)</f>
        <v>MFD-ISW → MFD-CPF|DJ°280</v>
      </c>
    </row>
    <row r="1375" customFormat="false" ht="74.6" hidden="false" customHeight="false" outlineLevel="0" collapsed="false">
      <c r="A1375" s="79" t="n">
        <f aca="false">IF(E1375="","",ROW()-6)</f>
        <v>1369</v>
      </c>
      <c r="B1375" s="80" t="s">
        <v>110</v>
      </c>
      <c r="C1375" s="81" t="s">
        <v>1647</v>
      </c>
      <c r="D1375" s="81" t="n">
        <v>11</v>
      </c>
      <c r="E1375" s="81" t="s">
        <v>1656</v>
      </c>
      <c r="F1375" s="82" t="str">
        <f aca="false">IF(E1375="","",IF(LEFT(E1375,2)="DJ","DJ","JN"))</f>
        <v>JN</v>
      </c>
      <c r="G1375" s="81" t="s">
        <v>1504</v>
      </c>
      <c r="H1375" s="81" t="s">
        <v>871</v>
      </c>
      <c r="I1375" s="81" t="n">
        <v>9.53</v>
      </c>
      <c r="J1375" s="81" t="s">
        <v>872</v>
      </c>
      <c r="K1375" s="81" t="s">
        <v>879</v>
      </c>
      <c r="L1375" s="81" t="n">
        <v>2079520</v>
      </c>
      <c r="M1375" s="81" t="n">
        <v>15421102</v>
      </c>
      <c r="N1375" s="81" t="n">
        <v>11.94</v>
      </c>
      <c r="O1375" s="81" t="n">
        <v>2086950</v>
      </c>
      <c r="P1375" s="81" t="n">
        <v>15421108</v>
      </c>
      <c r="Q1375" s="81" t="n">
        <v>11.94</v>
      </c>
      <c r="R1375" s="81" t="s">
        <v>1367</v>
      </c>
      <c r="S1375" s="81"/>
      <c r="T1375" s="81"/>
      <c r="U1375" s="83" t="n">
        <v>46277</v>
      </c>
      <c r="V1375" s="83" t="n">
        <v>46277</v>
      </c>
      <c r="W1375" s="81" t="s">
        <v>1628</v>
      </c>
      <c r="X1375" s="81" t="s">
        <v>876</v>
      </c>
      <c r="Y1375" s="83" t="n">
        <v>46281</v>
      </c>
      <c r="Z1375" s="81" t="s">
        <v>1650</v>
      </c>
      <c r="AA1375" s="81" t="s">
        <v>876</v>
      </c>
      <c r="AB1375" s="81"/>
      <c r="AC1375" s="81"/>
      <c r="AD1375" s="81"/>
      <c r="AE1375" s="83"/>
      <c r="AF1375" s="81"/>
      <c r="AG1375" s="81"/>
      <c r="AH1375" s="81"/>
      <c r="AI1375" s="81"/>
      <c r="AJ1375" s="83"/>
      <c r="AK1375" s="81"/>
      <c r="AL1375" s="81"/>
      <c r="AM1375" s="83"/>
      <c r="AN1375" s="80"/>
      <c r="AO1375" s="82" t="n">
        <f aca="false">IF(E1375="","",(AA1375&lt;&gt;"")+(AG1375&lt;&gt;"")+(AL1375&lt;&gt;""))</f>
        <v>1</v>
      </c>
      <c r="AP1375" s="82" t="str">
        <f aca="false">IF(AL1375&lt;&gt;"",AL1375,IF(AG1375&lt;&gt;"",AG1375,IF(AA1375&lt;&gt;"",AA1375,"")))</f>
        <v>A</v>
      </c>
      <c r="AQ1375" s="84" t="str">
        <f aca="false">IF(E1375="","",IF(U1375="","À SOUDER",IF(X1375="","VT EN ATTENTE",IF(X1375="R","VT REJETÉ – À REPRENDRE",IF(AP1375="","À RADIOGRAPHIER",IF(AP1375="A","ACCEPTÉ",IF(AP1375="NX","NX – RT À REFAIRE",IF(IF(AO1375=1,AD1375,IF(AO1375=2,AI1375,""))="A","RÉPARÉ – À RADIOGRAPHIER",IF(IF(AO1375=1,AD1375,IF(AO1375=2,AI1375,""))="R","VT REJETÉ – À REPRENDRE",IF(OR(AP1375="CO",AP1375="NT"),"COUPE – À RESOUDER","À RÉPARER"))))))))))</f>
        <v>ACCEPTÉ</v>
      </c>
      <c r="AR1375" s="82" t="str">
        <f aca="false">IF(AND(ISNUMBER(U1375),OR(AQ1375="À RADIOGRAPHIER",AQ1375="RÉPARÉ – À RADIOGRAPHIER",AQ1375="NX – RT À REFAIRE",AQ1375="À RÉPARER",AQ1375="COUPE – À RESOUDER",AQ1375="VT REJETÉ – À REPRENDRE")),MAX(0,'PROGRAMME RT'!$C$4-U1375),"")</f>
        <v/>
      </c>
      <c r="AS1375" s="82" t="n">
        <f aca="false">IF(AND(OR(AQ1375="À RADIOGRAPHIER",AQ1375="RÉPARÉ – À RADIOGRAPHIER",AQ1375="NX – RT À REFAIRE"),OR('PROGRAMME RT'!$D$5="TOUTES",B1375='PROGRAMME RT'!$D$5)),1,0)</f>
        <v>0</v>
      </c>
      <c r="AT1375" s="82" t="str">
        <f aca="false">IF(AS1375=1,SUM(AS$7:AS1375),"")</f>
        <v/>
      </c>
      <c r="AU1375" s="82" t="n">
        <f aca="false">IF(AND(OR(AA1375="R",AA1375="NX",AA1375="NT",AA1375="CO"),OR('JOINTS DE RÉPARATION'!$D$5="TOUTES",B1375='JOINTS DE RÉPARATION'!$D$5),OR('JOINTS DE RÉPARATION'!$L$4="TOUS",AQ1375&lt;&gt;"ACCEPTÉ")),1,0)</f>
        <v>0</v>
      </c>
      <c r="AV1375" s="82" t="str">
        <f aca="false">IF(AU1375=1,SUM(AU$7:AU1375),"")</f>
        <v/>
      </c>
      <c r="AW1375" s="82" t="str">
        <f aca="false">IF(E1375="","",B1375&amp;"|"&amp;E1375)</f>
        <v>MFD-ISW → MFD-CPF|JN°1141</v>
      </c>
    </row>
    <row r="1376" customFormat="false" ht="74.6" hidden="false" customHeight="false" outlineLevel="0" collapsed="false">
      <c r="A1376" s="79" t="n">
        <f aca="false">IF(E1376="","",ROW()-6)</f>
        <v>1370</v>
      </c>
      <c r="B1376" s="80" t="s">
        <v>110</v>
      </c>
      <c r="C1376" s="81" t="s">
        <v>1647</v>
      </c>
      <c r="D1376" s="81" t="n">
        <v>11</v>
      </c>
      <c r="E1376" s="81" t="s">
        <v>1657</v>
      </c>
      <c r="F1376" s="82" t="str">
        <f aca="false">IF(E1376="","",IF(LEFT(E1376,2)="DJ","DJ","JN"))</f>
        <v>DJ</v>
      </c>
      <c r="G1376" s="81"/>
      <c r="H1376" s="81" t="s">
        <v>871</v>
      </c>
      <c r="I1376" s="81" t="n">
        <v>9.53</v>
      </c>
      <c r="J1376" s="81" t="s">
        <v>872</v>
      </c>
      <c r="K1376" s="81" t="s">
        <v>873</v>
      </c>
      <c r="L1376" s="81" t="n">
        <v>2086950</v>
      </c>
      <c r="M1376" s="81" t="n">
        <v>15421108</v>
      </c>
      <c r="N1376" s="81" t="n">
        <v>11.94</v>
      </c>
      <c r="O1376" s="81" t="n">
        <v>2085910</v>
      </c>
      <c r="P1376" s="81" t="n">
        <v>15421107</v>
      </c>
      <c r="Q1376" s="81" t="n">
        <v>11.94</v>
      </c>
      <c r="R1376" s="81" t="s">
        <v>963</v>
      </c>
      <c r="S1376" s="81"/>
      <c r="T1376" s="81"/>
      <c r="U1376" s="83" t="n">
        <v>46270</v>
      </c>
      <c r="V1376" s="83" t="n">
        <v>46270</v>
      </c>
      <c r="W1376" s="81" t="s">
        <v>1444</v>
      </c>
      <c r="X1376" s="81" t="s">
        <v>876</v>
      </c>
      <c r="Y1376" s="83" t="n">
        <v>46271</v>
      </c>
      <c r="Z1376" s="81" t="s">
        <v>1445</v>
      </c>
      <c r="AA1376" s="81" t="s">
        <v>876</v>
      </c>
      <c r="AB1376" s="81"/>
      <c r="AC1376" s="81"/>
      <c r="AD1376" s="81"/>
      <c r="AE1376" s="83"/>
      <c r="AF1376" s="81"/>
      <c r="AG1376" s="81"/>
      <c r="AH1376" s="81"/>
      <c r="AI1376" s="81"/>
      <c r="AJ1376" s="83"/>
      <c r="AK1376" s="81"/>
      <c r="AL1376" s="81"/>
      <c r="AM1376" s="83"/>
      <c r="AN1376" s="80"/>
      <c r="AO1376" s="82" t="n">
        <f aca="false">IF(E1376="","",(AA1376&lt;&gt;"")+(AG1376&lt;&gt;"")+(AL1376&lt;&gt;""))</f>
        <v>1</v>
      </c>
      <c r="AP1376" s="82" t="str">
        <f aca="false">IF(AL1376&lt;&gt;"",AL1376,IF(AG1376&lt;&gt;"",AG1376,IF(AA1376&lt;&gt;"",AA1376,"")))</f>
        <v>A</v>
      </c>
      <c r="AQ1376" s="84" t="str">
        <f aca="false">IF(E1376="","",IF(U1376="","À SOUDER",IF(X1376="","VT EN ATTENTE",IF(X1376="R","VT REJETÉ – À REPRENDRE",IF(AP1376="","À RADIOGRAPHIER",IF(AP1376="A","ACCEPTÉ",IF(AP1376="NX","NX – RT À REFAIRE",IF(IF(AO1376=1,AD1376,IF(AO1376=2,AI1376,""))="A","RÉPARÉ – À RADIOGRAPHIER",IF(IF(AO1376=1,AD1376,IF(AO1376=2,AI1376,""))="R","VT REJETÉ – À REPRENDRE",IF(OR(AP1376="CO",AP1376="NT"),"COUPE – À RESOUDER","À RÉPARER"))))))))))</f>
        <v>ACCEPTÉ</v>
      </c>
      <c r="AR1376" s="82" t="str">
        <f aca="false">IF(AND(ISNUMBER(U1376),OR(AQ1376="À RADIOGRAPHIER",AQ1376="RÉPARÉ – À RADIOGRAPHIER",AQ1376="NX – RT À REFAIRE",AQ1376="À RÉPARER",AQ1376="COUPE – À RESOUDER",AQ1376="VT REJETÉ – À REPRENDRE")),MAX(0,'PROGRAMME RT'!$C$4-U1376),"")</f>
        <v/>
      </c>
      <c r="AS1376" s="82" t="n">
        <f aca="false">IF(AND(OR(AQ1376="À RADIOGRAPHIER",AQ1376="RÉPARÉ – À RADIOGRAPHIER",AQ1376="NX – RT À REFAIRE"),OR('PROGRAMME RT'!$D$5="TOUTES",B1376='PROGRAMME RT'!$D$5)),1,0)</f>
        <v>0</v>
      </c>
      <c r="AT1376" s="82" t="str">
        <f aca="false">IF(AS1376=1,SUM(AS$7:AS1376),"")</f>
        <v/>
      </c>
      <c r="AU1376" s="82" t="n">
        <f aca="false">IF(AND(OR(AA1376="R",AA1376="NX",AA1376="NT",AA1376="CO"),OR('JOINTS DE RÉPARATION'!$D$5="TOUTES",B1376='JOINTS DE RÉPARATION'!$D$5),OR('JOINTS DE RÉPARATION'!$L$4="TOUS",AQ1376&lt;&gt;"ACCEPTÉ")),1,0)</f>
        <v>0</v>
      </c>
      <c r="AV1376" s="82" t="str">
        <f aca="false">IF(AU1376=1,SUM(AU$7:AU1376),"")</f>
        <v/>
      </c>
      <c r="AW1376" s="82" t="str">
        <f aca="false">IF(E1376="","",B1376&amp;"|"&amp;E1376)</f>
        <v>MFD-ISW → MFD-CPF|DJ°281</v>
      </c>
    </row>
    <row r="1377" customFormat="false" ht="74.6" hidden="false" customHeight="false" outlineLevel="0" collapsed="false">
      <c r="A1377" s="79" t="n">
        <f aca="false">IF(E1377="","",ROW()-6)</f>
        <v>1371</v>
      </c>
      <c r="B1377" s="80" t="s">
        <v>110</v>
      </c>
      <c r="C1377" s="81" t="s">
        <v>926</v>
      </c>
      <c r="D1377" s="81" t="n">
        <v>11</v>
      </c>
      <c r="E1377" s="81" t="s">
        <v>1658</v>
      </c>
      <c r="F1377" s="82" t="str">
        <f aca="false">IF(E1377="","",IF(LEFT(E1377,2)="DJ","DJ","JN"))</f>
        <v>JN</v>
      </c>
      <c r="G1377" s="81"/>
      <c r="H1377" s="81"/>
      <c r="I1377" s="81"/>
      <c r="J1377" s="81"/>
      <c r="K1377" s="81"/>
      <c r="L1377" s="81" t="s">
        <v>1268</v>
      </c>
      <c r="M1377" s="81"/>
      <c r="N1377" s="81"/>
      <c r="O1377" s="81"/>
      <c r="P1377" s="81"/>
      <c r="Q1377" s="81"/>
      <c r="R1377" s="81"/>
      <c r="S1377" s="81"/>
      <c r="T1377" s="81"/>
      <c r="U1377" s="83"/>
      <c r="V1377" s="83"/>
      <c r="W1377" s="81"/>
      <c r="X1377" s="81"/>
      <c r="Y1377" s="83"/>
      <c r="Z1377" s="81"/>
      <c r="AA1377" s="81"/>
      <c r="AB1377" s="81"/>
      <c r="AC1377" s="81"/>
      <c r="AD1377" s="81"/>
      <c r="AE1377" s="83"/>
      <c r="AF1377" s="81"/>
      <c r="AG1377" s="81"/>
      <c r="AH1377" s="81"/>
      <c r="AI1377" s="81"/>
      <c r="AJ1377" s="83"/>
      <c r="AK1377" s="81"/>
      <c r="AL1377" s="81"/>
      <c r="AM1377" s="83"/>
      <c r="AN1377" s="80"/>
      <c r="AO1377" s="82" t="n">
        <f aca="false">IF(E1377="","",(AA1377&lt;&gt;"")+(AG1377&lt;&gt;"")+(AL1377&lt;&gt;""))</f>
        <v>0</v>
      </c>
      <c r="AP1377" s="82" t="str">
        <f aca="false">IF(AL1377&lt;&gt;"",AL1377,IF(AG1377&lt;&gt;"",AG1377,IF(AA1377&lt;&gt;"",AA1377,"")))</f>
        <v/>
      </c>
      <c r="AQ1377" s="84" t="str">
        <f aca="false">IF(E1377="","",IF(U1377="","À SOUDER",IF(X1377="","VT EN ATTENTE",IF(X1377="R","VT REJETÉ – À REPRENDRE",IF(AP1377="","À RADIOGRAPHIER",IF(AP1377="A","ACCEPTÉ",IF(AP1377="NX","NX – RT À REFAIRE",IF(IF(AO1377=1,AD1377,IF(AO1377=2,AI1377,""))="A","RÉPARÉ – À RADIOGRAPHIER",IF(IF(AO1377=1,AD1377,IF(AO1377=2,AI1377,""))="R","VT REJETÉ – À REPRENDRE",IF(OR(AP1377="CO",AP1377="NT"),"COUPE – À RESOUDER","À RÉPARER"))))))))))</f>
        <v>À SOUDER</v>
      </c>
      <c r="AR1377" s="82" t="str">
        <f aca="false">IF(AND(ISNUMBER(U1377),OR(AQ1377="À RADIOGRAPHIER",AQ1377="RÉPARÉ – À RADIOGRAPHIER",AQ1377="NX – RT À REFAIRE",AQ1377="À RÉPARER",AQ1377="COUPE – À RESOUDER",AQ1377="VT REJETÉ – À REPRENDRE")),MAX(0,'PROGRAMME RT'!$C$4-U1377),"")</f>
        <v/>
      </c>
      <c r="AS1377" s="82" t="n">
        <f aca="false">IF(AND(OR(AQ1377="À RADIOGRAPHIER",AQ1377="RÉPARÉ – À RADIOGRAPHIER",AQ1377="NX – RT À REFAIRE"),OR('PROGRAMME RT'!$D$5="TOUTES",B1377='PROGRAMME RT'!$D$5)),1,0)</f>
        <v>0</v>
      </c>
      <c r="AT1377" s="82" t="str">
        <f aca="false">IF(AS1377=1,SUM(AS$7:AS1377),"")</f>
        <v/>
      </c>
      <c r="AU1377" s="82" t="n">
        <f aca="false">IF(AND(OR(AA1377="R",AA1377="NX",AA1377="NT",AA1377="CO"),OR('JOINTS DE RÉPARATION'!$D$5="TOUTES",B1377='JOINTS DE RÉPARATION'!$D$5),OR('JOINTS DE RÉPARATION'!$L$4="TOUS",AQ1377&lt;&gt;"ACCEPTÉ")),1,0)</f>
        <v>0</v>
      </c>
      <c r="AV1377" s="82" t="str">
        <f aca="false">IF(AU1377=1,SUM(AU$7:AU1377),"")</f>
        <v/>
      </c>
      <c r="AW1377" s="82" t="str">
        <f aca="false">IF(E1377="","",B1377&amp;"|"&amp;E1377)</f>
        <v>MFD-ISW → MFD-CPF|JN°1142</v>
      </c>
    </row>
    <row r="1378" customFormat="false" ht="74.6" hidden="false" customHeight="false" outlineLevel="0" collapsed="false">
      <c r="A1378" s="79" t="n">
        <f aca="false">IF(E1378="","",ROW()-6)</f>
        <v>1372</v>
      </c>
      <c r="B1378" s="80" t="s">
        <v>110</v>
      </c>
      <c r="C1378" s="81" t="s">
        <v>926</v>
      </c>
      <c r="D1378" s="81" t="n">
        <v>11</v>
      </c>
      <c r="E1378" s="81" t="s">
        <v>1659</v>
      </c>
      <c r="F1378" s="82" t="str">
        <f aca="false">IF(E1378="","",IF(LEFT(E1378,2)="DJ","DJ","JN"))</f>
        <v>JN</v>
      </c>
      <c r="G1378" s="81"/>
      <c r="H1378" s="81"/>
      <c r="I1378" s="81"/>
      <c r="J1378" s="81"/>
      <c r="K1378" s="81"/>
      <c r="L1378" s="81" t="s">
        <v>1268</v>
      </c>
      <c r="M1378" s="81"/>
      <c r="N1378" s="81"/>
      <c r="O1378" s="81" t="n">
        <v>2079430</v>
      </c>
      <c r="P1378" s="81" t="n">
        <v>15421102</v>
      </c>
      <c r="Q1378" s="81" t="n">
        <v>11.94</v>
      </c>
      <c r="R1378" s="81"/>
      <c r="S1378" s="81"/>
      <c r="T1378" s="81"/>
      <c r="U1378" s="83"/>
      <c r="V1378" s="83"/>
      <c r="W1378" s="81"/>
      <c r="X1378" s="81"/>
      <c r="Y1378" s="83"/>
      <c r="Z1378" s="81"/>
      <c r="AA1378" s="81"/>
      <c r="AB1378" s="81"/>
      <c r="AC1378" s="81"/>
      <c r="AD1378" s="81"/>
      <c r="AE1378" s="83"/>
      <c r="AF1378" s="81"/>
      <c r="AG1378" s="81"/>
      <c r="AH1378" s="81"/>
      <c r="AI1378" s="81"/>
      <c r="AJ1378" s="83"/>
      <c r="AK1378" s="81"/>
      <c r="AL1378" s="81"/>
      <c r="AM1378" s="83"/>
      <c r="AN1378" s="80"/>
      <c r="AO1378" s="82" t="n">
        <f aca="false">IF(E1378="","",(AA1378&lt;&gt;"")+(AG1378&lt;&gt;"")+(AL1378&lt;&gt;""))</f>
        <v>0</v>
      </c>
      <c r="AP1378" s="82" t="str">
        <f aca="false">IF(AL1378&lt;&gt;"",AL1378,IF(AG1378&lt;&gt;"",AG1378,IF(AA1378&lt;&gt;"",AA1378,"")))</f>
        <v/>
      </c>
      <c r="AQ1378" s="84" t="str">
        <f aca="false">IF(E1378="","",IF(U1378="","À SOUDER",IF(X1378="","VT EN ATTENTE",IF(X1378="R","VT REJETÉ – À REPRENDRE",IF(AP1378="","À RADIOGRAPHIER",IF(AP1378="A","ACCEPTÉ",IF(AP1378="NX","NX – RT À REFAIRE",IF(IF(AO1378=1,AD1378,IF(AO1378=2,AI1378,""))="A","RÉPARÉ – À RADIOGRAPHIER",IF(IF(AO1378=1,AD1378,IF(AO1378=2,AI1378,""))="R","VT REJETÉ – À REPRENDRE",IF(OR(AP1378="CO",AP1378="NT"),"COUPE – À RESOUDER","À RÉPARER"))))))))))</f>
        <v>À SOUDER</v>
      </c>
      <c r="AR1378" s="82" t="str">
        <f aca="false">IF(AND(ISNUMBER(U1378),OR(AQ1378="À RADIOGRAPHIER",AQ1378="RÉPARÉ – À RADIOGRAPHIER",AQ1378="NX – RT À REFAIRE",AQ1378="À RÉPARER",AQ1378="COUPE – À RESOUDER",AQ1378="VT REJETÉ – À REPRENDRE")),MAX(0,'PROGRAMME RT'!$C$4-U1378),"")</f>
        <v/>
      </c>
      <c r="AS1378" s="82" t="n">
        <f aca="false">IF(AND(OR(AQ1378="À RADIOGRAPHIER",AQ1378="RÉPARÉ – À RADIOGRAPHIER",AQ1378="NX – RT À REFAIRE"),OR('PROGRAMME RT'!$D$5="TOUTES",B1378='PROGRAMME RT'!$D$5)),1,0)</f>
        <v>0</v>
      </c>
      <c r="AT1378" s="82" t="str">
        <f aca="false">IF(AS1378=1,SUM(AS$7:AS1378),"")</f>
        <v/>
      </c>
      <c r="AU1378" s="82" t="n">
        <f aca="false">IF(AND(OR(AA1378="R",AA1378="NX",AA1378="NT",AA1378="CO"),OR('JOINTS DE RÉPARATION'!$D$5="TOUTES",B1378='JOINTS DE RÉPARATION'!$D$5),OR('JOINTS DE RÉPARATION'!$L$4="TOUS",AQ1378&lt;&gt;"ACCEPTÉ")),1,0)</f>
        <v>0</v>
      </c>
      <c r="AV1378" s="82" t="str">
        <f aca="false">IF(AU1378=1,SUM(AU$7:AU1378),"")</f>
        <v/>
      </c>
      <c r="AW1378" s="82" t="str">
        <f aca="false">IF(E1378="","",B1378&amp;"|"&amp;E1378)</f>
        <v>MFD-ISW → MFD-CPF|JN°1143</v>
      </c>
    </row>
    <row r="1379" customFormat="false" ht="74.6" hidden="false" customHeight="false" outlineLevel="0" collapsed="false">
      <c r="A1379" s="79" t="n">
        <f aca="false">IF(E1379="","",ROW()-6)</f>
        <v>1373</v>
      </c>
      <c r="B1379" s="80" t="s">
        <v>110</v>
      </c>
      <c r="C1379" s="81" t="s">
        <v>1660</v>
      </c>
      <c r="D1379" s="81" t="n">
        <v>11</v>
      </c>
      <c r="E1379" s="81" t="s">
        <v>1661</v>
      </c>
      <c r="F1379" s="82" t="str">
        <f aca="false">IF(E1379="","",IF(LEFT(E1379,2)="DJ","DJ","JN"))</f>
        <v>DJ</v>
      </c>
      <c r="G1379" s="81"/>
      <c r="H1379" s="81" t="s">
        <v>871</v>
      </c>
      <c r="I1379" s="81" t="n">
        <v>9.53</v>
      </c>
      <c r="J1379" s="81" t="s">
        <v>872</v>
      </c>
      <c r="K1379" s="81" t="s">
        <v>873</v>
      </c>
      <c r="L1379" s="81" t="n">
        <v>2079430</v>
      </c>
      <c r="M1379" s="81" t="n">
        <v>15421102</v>
      </c>
      <c r="N1379" s="81" t="n">
        <v>11.94</v>
      </c>
      <c r="O1379" s="81" t="n">
        <v>2095640</v>
      </c>
      <c r="P1379" s="81" t="n">
        <v>15421111</v>
      </c>
      <c r="Q1379" s="81" t="n">
        <v>11.94</v>
      </c>
      <c r="R1379" s="81" t="s">
        <v>1147</v>
      </c>
      <c r="S1379" s="81"/>
      <c r="T1379" s="81"/>
      <c r="U1379" s="83" t="n">
        <v>46270</v>
      </c>
      <c r="V1379" s="83" t="n">
        <v>46270</v>
      </c>
      <c r="W1379" s="81" t="s">
        <v>1444</v>
      </c>
      <c r="X1379" s="81" t="s">
        <v>876</v>
      </c>
      <c r="Y1379" s="83" t="n">
        <v>46271</v>
      </c>
      <c r="Z1379" s="81" t="s">
        <v>1445</v>
      </c>
      <c r="AA1379" s="81" t="s">
        <v>876</v>
      </c>
      <c r="AB1379" s="81"/>
      <c r="AC1379" s="81"/>
      <c r="AD1379" s="81"/>
      <c r="AE1379" s="83"/>
      <c r="AF1379" s="81"/>
      <c r="AG1379" s="81"/>
      <c r="AH1379" s="81"/>
      <c r="AI1379" s="81"/>
      <c r="AJ1379" s="83"/>
      <c r="AK1379" s="81"/>
      <c r="AL1379" s="81"/>
      <c r="AM1379" s="83"/>
      <c r="AN1379" s="80"/>
      <c r="AO1379" s="82" t="n">
        <f aca="false">IF(E1379="","",(AA1379&lt;&gt;"")+(AG1379&lt;&gt;"")+(AL1379&lt;&gt;""))</f>
        <v>1</v>
      </c>
      <c r="AP1379" s="82" t="str">
        <f aca="false">IF(AL1379&lt;&gt;"",AL1379,IF(AG1379&lt;&gt;"",AG1379,IF(AA1379&lt;&gt;"",AA1379,"")))</f>
        <v>A</v>
      </c>
      <c r="AQ1379" s="84" t="str">
        <f aca="false">IF(E1379="","",IF(U1379="","À SOUDER",IF(X1379="","VT EN ATTENTE",IF(X1379="R","VT REJETÉ – À REPRENDRE",IF(AP1379="","À RADIOGRAPHIER",IF(AP1379="A","ACCEPTÉ",IF(AP1379="NX","NX – RT À REFAIRE",IF(IF(AO1379=1,AD1379,IF(AO1379=2,AI1379,""))="A","RÉPARÉ – À RADIOGRAPHIER",IF(IF(AO1379=1,AD1379,IF(AO1379=2,AI1379,""))="R","VT REJETÉ – À REPRENDRE",IF(OR(AP1379="CO",AP1379="NT"),"COUPE – À RESOUDER","À RÉPARER"))))))))))</f>
        <v>ACCEPTÉ</v>
      </c>
      <c r="AR1379" s="82" t="str">
        <f aca="false">IF(AND(ISNUMBER(U1379),OR(AQ1379="À RADIOGRAPHIER",AQ1379="RÉPARÉ – À RADIOGRAPHIER",AQ1379="NX – RT À REFAIRE",AQ1379="À RÉPARER",AQ1379="COUPE – À RESOUDER",AQ1379="VT REJETÉ – À REPRENDRE")),MAX(0,'PROGRAMME RT'!$C$4-U1379),"")</f>
        <v/>
      </c>
      <c r="AS1379" s="82" t="n">
        <f aca="false">IF(AND(OR(AQ1379="À RADIOGRAPHIER",AQ1379="RÉPARÉ – À RADIOGRAPHIER",AQ1379="NX – RT À REFAIRE"),OR('PROGRAMME RT'!$D$5="TOUTES",B1379='PROGRAMME RT'!$D$5)),1,0)</f>
        <v>0</v>
      </c>
      <c r="AT1379" s="82" t="str">
        <f aca="false">IF(AS1379=1,SUM(AS$7:AS1379),"")</f>
        <v/>
      </c>
      <c r="AU1379" s="82" t="n">
        <f aca="false">IF(AND(OR(AA1379="R",AA1379="NX",AA1379="NT",AA1379="CO"),OR('JOINTS DE RÉPARATION'!$D$5="TOUTES",B1379='JOINTS DE RÉPARATION'!$D$5),OR('JOINTS DE RÉPARATION'!$L$4="TOUS",AQ1379&lt;&gt;"ACCEPTÉ")),1,0)</f>
        <v>0</v>
      </c>
      <c r="AV1379" s="82" t="str">
        <f aca="false">IF(AU1379=1,SUM(AU$7:AU1379),"")</f>
        <v/>
      </c>
      <c r="AW1379" s="82" t="str">
        <f aca="false">IF(E1379="","",B1379&amp;"|"&amp;E1379)</f>
        <v>MFD-ISW → MFD-CPF|DJ°282</v>
      </c>
    </row>
    <row r="1380" customFormat="false" ht="74.6" hidden="false" customHeight="false" outlineLevel="0" collapsed="false">
      <c r="A1380" s="79" t="n">
        <f aca="false">IF(E1380="","",ROW()-6)</f>
        <v>1374</v>
      </c>
      <c r="B1380" s="80" t="s">
        <v>110</v>
      </c>
      <c r="C1380" s="81" t="s">
        <v>1660</v>
      </c>
      <c r="D1380" s="81" t="n">
        <v>11</v>
      </c>
      <c r="E1380" s="81" t="s">
        <v>1662</v>
      </c>
      <c r="F1380" s="82" t="str">
        <f aca="false">IF(E1380="","",IF(LEFT(E1380,2)="DJ","DJ","JN"))</f>
        <v>JN</v>
      </c>
      <c r="G1380" s="81" t="s">
        <v>1504</v>
      </c>
      <c r="H1380" s="81" t="s">
        <v>871</v>
      </c>
      <c r="I1380" s="81" t="n">
        <v>9.53</v>
      </c>
      <c r="J1380" s="81" t="s">
        <v>872</v>
      </c>
      <c r="K1380" s="81" t="s">
        <v>879</v>
      </c>
      <c r="L1380" s="81" t="n">
        <v>2095640</v>
      </c>
      <c r="M1380" s="81" t="n">
        <v>15421111</v>
      </c>
      <c r="N1380" s="81" t="n">
        <v>11.94</v>
      </c>
      <c r="O1380" s="81" t="n">
        <v>2094020</v>
      </c>
      <c r="P1380" s="81" t="n">
        <v>15421110</v>
      </c>
      <c r="Q1380" s="81" t="n">
        <v>11.94</v>
      </c>
      <c r="R1380" s="81" t="s">
        <v>1367</v>
      </c>
      <c r="S1380" s="81"/>
      <c r="T1380" s="81"/>
      <c r="U1380" s="83" t="n">
        <v>46277</v>
      </c>
      <c r="V1380" s="83" t="n">
        <v>46277</v>
      </c>
      <c r="W1380" s="81" t="s">
        <v>1628</v>
      </c>
      <c r="X1380" s="81" t="s">
        <v>876</v>
      </c>
      <c r="Y1380" s="83" t="n">
        <v>46281</v>
      </c>
      <c r="Z1380" s="81" t="s">
        <v>1650</v>
      </c>
      <c r="AA1380" s="81" t="s">
        <v>876</v>
      </c>
      <c r="AB1380" s="81"/>
      <c r="AC1380" s="81"/>
      <c r="AD1380" s="81"/>
      <c r="AE1380" s="83"/>
      <c r="AF1380" s="81"/>
      <c r="AG1380" s="81"/>
      <c r="AH1380" s="81"/>
      <c r="AI1380" s="81"/>
      <c r="AJ1380" s="83"/>
      <c r="AK1380" s="81"/>
      <c r="AL1380" s="81"/>
      <c r="AM1380" s="83"/>
      <c r="AN1380" s="80"/>
      <c r="AO1380" s="82" t="n">
        <f aca="false">IF(E1380="","",(AA1380&lt;&gt;"")+(AG1380&lt;&gt;"")+(AL1380&lt;&gt;""))</f>
        <v>1</v>
      </c>
      <c r="AP1380" s="82" t="str">
        <f aca="false">IF(AL1380&lt;&gt;"",AL1380,IF(AG1380&lt;&gt;"",AG1380,IF(AA1380&lt;&gt;"",AA1380,"")))</f>
        <v>A</v>
      </c>
      <c r="AQ1380" s="84" t="str">
        <f aca="false">IF(E1380="","",IF(U1380="","À SOUDER",IF(X1380="","VT EN ATTENTE",IF(X1380="R","VT REJETÉ – À REPRENDRE",IF(AP1380="","À RADIOGRAPHIER",IF(AP1380="A","ACCEPTÉ",IF(AP1380="NX","NX – RT À REFAIRE",IF(IF(AO1380=1,AD1380,IF(AO1380=2,AI1380,""))="A","RÉPARÉ – À RADIOGRAPHIER",IF(IF(AO1380=1,AD1380,IF(AO1380=2,AI1380,""))="R","VT REJETÉ – À REPRENDRE",IF(OR(AP1380="CO",AP1380="NT"),"COUPE – À RESOUDER","À RÉPARER"))))))))))</f>
        <v>ACCEPTÉ</v>
      </c>
      <c r="AR1380" s="82" t="str">
        <f aca="false">IF(AND(ISNUMBER(U1380),OR(AQ1380="À RADIOGRAPHIER",AQ1380="RÉPARÉ – À RADIOGRAPHIER",AQ1380="NX – RT À REFAIRE",AQ1380="À RÉPARER",AQ1380="COUPE – À RESOUDER",AQ1380="VT REJETÉ – À REPRENDRE")),MAX(0,'PROGRAMME RT'!$C$4-U1380),"")</f>
        <v/>
      </c>
      <c r="AS1380" s="82" t="n">
        <f aca="false">IF(AND(OR(AQ1380="À RADIOGRAPHIER",AQ1380="RÉPARÉ – À RADIOGRAPHIER",AQ1380="NX – RT À REFAIRE"),OR('PROGRAMME RT'!$D$5="TOUTES",B1380='PROGRAMME RT'!$D$5)),1,0)</f>
        <v>0</v>
      </c>
      <c r="AT1380" s="82" t="str">
        <f aca="false">IF(AS1380=1,SUM(AS$7:AS1380),"")</f>
        <v/>
      </c>
      <c r="AU1380" s="82" t="n">
        <f aca="false">IF(AND(OR(AA1380="R",AA1380="NX",AA1380="NT",AA1380="CO"),OR('JOINTS DE RÉPARATION'!$D$5="TOUTES",B1380='JOINTS DE RÉPARATION'!$D$5),OR('JOINTS DE RÉPARATION'!$L$4="TOUS",AQ1380&lt;&gt;"ACCEPTÉ")),1,0)</f>
        <v>0</v>
      </c>
      <c r="AV1380" s="82" t="str">
        <f aca="false">IF(AU1380=1,SUM(AU$7:AU1380),"")</f>
        <v/>
      </c>
      <c r="AW1380" s="82" t="str">
        <f aca="false">IF(E1380="","",B1380&amp;"|"&amp;E1380)</f>
        <v>MFD-ISW → MFD-CPF|JN°1144</v>
      </c>
    </row>
    <row r="1381" customFormat="false" ht="74.6" hidden="false" customHeight="false" outlineLevel="0" collapsed="false">
      <c r="A1381" s="79" t="n">
        <f aca="false">IF(E1381="","",ROW()-6)</f>
        <v>1375</v>
      </c>
      <c r="B1381" s="80" t="s">
        <v>110</v>
      </c>
      <c r="C1381" s="81" t="s">
        <v>1660</v>
      </c>
      <c r="D1381" s="81" t="n">
        <v>11</v>
      </c>
      <c r="E1381" s="81" t="s">
        <v>1663</v>
      </c>
      <c r="F1381" s="82" t="str">
        <f aca="false">IF(E1381="","",IF(LEFT(E1381,2)="DJ","DJ","JN"))</f>
        <v>DJ</v>
      </c>
      <c r="G1381" s="81"/>
      <c r="H1381" s="81" t="s">
        <v>871</v>
      </c>
      <c r="I1381" s="81" t="n">
        <v>9.53</v>
      </c>
      <c r="J1381" s="81" t="s">
        <v>872</v>
      </c>
      <c r="K1381" s="81" t="s">
        <v>873</v>
      </c>
      <c r="L1381" s="81" t="n">
        <v>2094020</v>
      </c>
      <c r="M1381" s="81" t="n">
        <v>15421110</v>
      </c>
      <c r="N1381" s="81" t="n">
        <v>11.94</v>
      </c>
      <c r="O1381" s="81" t="n">
        <v>2091300</v>
      </c>
      <c r="P1381" s="81" t="n">
        <v>15421109</v>
      </c>
      <c r="Q1381" s="81" t="n">
        <v>11.94</v>
      </c>
      <c r="R1381" s="81" t="s">
        <v>1147</v>
      </c>
      <c r="S1381" s="81"/>
      <c r="T1381" s="81"/>
      <c r="U1381" s="83" t="n">
        <v>46270</v>
      </c>
      <c r="V1381" s="83" t="n">
        <v>46270</v>
      </c>
      <c r="W1381" s="81" t="s">
        <v>1444</v>
      </c>
      <c r="X1381" s="81" t="s">
        <v>876</v>
      </c>
      <c r="Y1381" s="83" t="n">
        <v>46271</v>
      </c>
      <c r="Z1381" s="81" t="s">
        <v>1445</v>
      </c>
      <c r="AA1381" s="81" t="s">
        <v>876</v>
      </c>
      <c r="AB1381" s="81"/>
      <c r="AC1381" s="81"/>
      <c r="AD1381" s="81"/>
      <c r="AE1381" s="83"/>
      <c r="AF1381" s="81"/>
      <c r="AG1381" s="81"/>
      <c r="AH1381" s="81"/>
      <c r="AI1381" s="81"/>
      <c r="AJ1381" s="83"/>
      <c r="AK1381" s="81"/>
      <c r="AL1381" s="81"/>
      <c r="AM1381" s="83"/>
      <c r="AN1381" s="80"/>
      <c r="AO1381" s="82" t="n">
        <f aca="false">IF(E1381="","",(AA1381&lt;&gt;"")+(AG1381&lt;&gt;"")+(AL1381&lt;&gt;""))</f>
        <v>1</v>
      </c>
      <c r="AP1381" s="82" t="str">
        <f aca="false">IF(AL1381&lt;&gt;"",AL1381,IF(AG1381&lt;&gt;"",AG1381,IF(AA1381&lt;&gt;"",AA1381,"")))</f>
        <v>A</v>
      </c>
      <c r="AQ1381" s="84" t="str">
        <f aca="false">IF(E1381="","",IF(U1381="","À SOUDER",IF(X1381="","VT EN ATTENTE",IF(X1381="R","VT REJETÉ – À REPRENDRE",IF(AP1381="","À RADIOGRAPHIER",IF(AP1381="A","ACCEPTÉ",IF(AP1381="NX","NX – RT À REFAIRE",IF(IF(AO1381=1,AD1381,IF(AO1381=2,AI1381,""))="A","RÉPARÉ – À RADIOGRAPHIER",IF(IF(AO1381=1,AD1381,IF(AO1381=2,AI1381,""))="R","VT REJETÉ – À REPRENDRE",IF(OR(AP1381="CO",AP1381="NT"),"COUPE – À RESOUDER","À RÉPARER"))))))))))</f>
        <v>ACCEPTÉ</v>
      </c>
      <c r="AR1381" s="82" t="str">
        <f aca="false">IF(AND(ISNUMBER(U1381),OR(AQ1381="À RADIOGRAPHIER",AQ1381="RÉPARÉ – À RADIOGRAPHIER",AQ1381="NX – RT À REFAIRE",AQ1381="À RÉPARER",AQ1381="COUPE – À RESOUDER",AQ1381="VT REJETÉ – À REPRENDRE")),MAX(0,'PROGRAMME RT'!$C$4-U1381),"")</f>
        <v/>
      </c>
      <c r="AS1381" s="82" t="n">
        <f aca="false">IF(AND(OR(AQ1381="À RADIOGRAPHIER",AQ1381="RÉPARÉ – À RADIOGRAPHIER",AQ1381="NX – RT À REFAIRE"),OR('PROGRAMME RT'!$D$5="TOUTES",B1381='PROGRAMME RT'!$D$5)),1,0)</f>
        <v>0</v>
      </c>
      <c r="AT1381" s="82" t="str">
        <f aca="false">IF(AS1381=1,SUM(AS$7:AS1381),"")</f>
        <v/>
      </c>
      <c r="AU1381" s="82" t="n">
        <f aca="false">IF(AND(OR(AA1381="R",AA1381="NX",AA1381="NT",AA1381="CO"),OR('JOINTS DE RÉPARATION'!$D$5="TOUTES",B1381='JOINTS DE RÉPARATION'!$D$5),OR('JOINTS DE RÉPARATION'!$L$4="TOUS",AQ1381&lt;&gt;"ACCEPTÉ")),1,0)</f>
        <v>0</v>
      </c>
      <c r="AV1381" s="82" t="str">
        <f aca="false">IF(AU1381=1,SUM(AU$7:AU1381),"")</f>
        <v/>
      </c>
      <c r="AW1381" s="82" t="str">
        <f aca="false">IF(E1381="","",B1381&amp;"|"&amp;E1381)</f>
        <v>MFD-ISW → MFD-CPF|DJ°285</v>
      </c>
    </row>
    <row r="1382" customFormat="false" ht="74.6" hidden="false" customHeight="false" outlineLevel="0" collapsed="false">
      <c r="A1382" s="79" t="n">
        <f aca="false">IF(E1382="","",ROW()-6)</f>
        <v>1376</v>
      </c>
      <c r="B1382" s="80" t="s">
        <v>110</v>
      </c>
      <c r="C1382" s="81" t="s">
        <v>1660</v>
      </c>
      <c r="D1382" s="81" t="n">
        <v>11</v>
      </c>
      <c r="E1382" s="81" t="s">
        <v>1664</v>
      </c>
      <c r="F1382" s="82" t="str">
        <f aca="false">IF(E1382="","",IF(LEFT(E1382,2)="DJ","DJ","JN"))</f>
        <v>JN</v>
      </c>
      <c r="G1382" s="81" t="s">
        <v>1504</v>
      </c>
      <c r="H1382" s="81" t="s">
        <v>871</v>
      </c>
      <c r="I1382" s="81" t="n">
        <v>9.53</v>
      </c>
      <c r="J1382" s="81" t="s">
        <v>872</v>
      </c>
      <c r="K1382" s="81" t="s">
        <v>879</v>
      </c>
      <c r="L1382" s="81" t="n">
        <v>2091300</v>
      </c>
      <c r="M1382" s="81" t="n">
        <v>15421109</v>
      </c>
      <c r="N1382" s="81" t="n">
        <v>11.94</v>
      </c>
      <c r="O1382" s="81" t="n">
        <v>2083400</v>
      </c>
      <c r="P1382" s="81" t="n">
        <v>15421105</v>
      </c>
      <c r="Q1382" s="81" t="n">
        <v>11.94</v>
      </c>
      <c r="R1382" s="81" t="s">
        <v>1367</v>
      </c>
      <c r="S1382" s="81"/>
      <c r="T1382" s="81"/>
      <c r="U1382" s="83" t="n">
        <v>46277</v>
      </c>
      <c r="V1382" s="83" t="n">
        <v>46277</v>
      </c>
      <c r="W1382" s="81" t="s">
        <v>1628</v>
      </c>
      <c r="X1382" s="81" t="s">
        <v>876</v>
      </c>
      <c r="Y1382" s="83" t="n">
        <v>46281</v>
      </c>
      <c r="Z1382" s="81" t="s">
        <v>1650</v>
      </c>
      <c r="AA1382" s="81" t="s">
        <v>876</v>
      </c>
      <c r="AB1382" s="81"/>
      <c r="AC1382" s="81"/>
      <c r="AD1382" s="81"/>
      <c r="AE1382" s="83"/>
      <c r="AF1382" s="81"/>
      <c r="AG1382" s="81"/>
      <c r="AH1382" s="81"/>
      <c r="AI1382" s="81"/>
      <c r="AJ1382" s="83"/>
      <c r="AK1382" s="81"/>
      <c r="AL1382" s="81"/>
      <c r="AM1382" s="83"/>
      <c r="AN1382" s="80"/>
      <c r="AO1382" s="82" t="n">
        <f aca="false">IF(E1382="","",(AA1382&lt;&gt;"")+(AG1382&lt;&gt;"")+(AL1382&lt;&gt;""))</f>
        <v>1</v>
      </c>
      <c r="AP1382" s="82" t="str">
        <f aca="false">IF(AL1382&lt;&gt;"",AL1382,IF(AG1382&lt;&gt;"",AG1382,IF(AA1382&lt;&gt;"",AA1382,"")))</f>
        <v>A</v>
      </c>
      <c r="AQ1382" s="84" t="str">
        <f aca="false">IF(E1382="","",IF(U1382="","À SOUDER",IF(X1382="","VT EN ATTENTE",IF(X1382="R","VT REJETÉ – À REPRENDRE",IF(AP1382="","À RADIOGRAPHIER",IF(AP1382="A","ACCEPTÉ",IF(AP1382="NX","NX – RT À REFAIRE",IF(IF(AO1382=1,AD1382,IF(AO1382=2,AI1382,""))="A","RÉPARÉ – À RADIOGRAPHIER",IF(IF(AO1382=1,AD1382,IF(AO1382=2,AI1382,""))="R","VT REJETÉ – À REPRENDRE",IF(OR(AP1382="CO",AP1382="NT"),"COUPE – À RESOUDER","À RÉPARER"))))))))))</f>
        <v>ACCEPTÉ</v>
      </c>
      <c r="AR1382" s="82" t="str">
        <f aca="false">IF(AND(ISNUMBER(U1382),OR(AQ1382="À RADIOGRAPHIER",AQ1382="RÉPARÉ – À RADIOGRAPHIER",AQ1382="NX – RT À REFAIRE",AQ1382="À RÉPARER",AQ1382="COUPE – À RESOUDER",AQ1382="VT REJETÉ – À REPRENDRE")),MAX(0,'PROGRAMME RT'!$C$4-U1382),"")</f>
        <v/>
      </c>
      <c r="AS1382" s="82" t="n">
        <f aca="false">IF(AND(OR(AQ1382="À RADIOGRAPHIER",AQ1382="RÉPARÉ – À RADIOGRAPHIER",AQ1382="NX – RT À REFAIRE"),OR('PROGRAMME RT'!$D$5="TOUTES",B1382='PROGRAMME RT'!$D$5)),1,0)</f>
        <v>0</v>
      </c>
      <c r="AT1382" s="82" t="str">
        <f aca="false">IF(AS1382=1,SUM(AS$7:AS1382),"")</f>
        <v/>
      </c>
      <c r="AU1382" s="82" t="n">
        <f aca="false">IF(AND(OR(AA1382="R",AA1382="NX",AA1382="NT",AA1382="CO"),OR('JOINTS DE RÉPARATION'!$D$5="TOUTES",B1382='JOINTS DE RÉPARATION'!$D$5),OR('JOINTS DE RÉPARATION'!$L$4="TOUS",AQ1382&lt;&gt;"ACCEPTÉ")),1,0)</f>
        <v>0</v>
      </c>
      <c r="AV1382" s="82" t="str">
        <f aca="false">IF(AU1382=1,SUM(AU$7:AU1382),"")</f>
        <v/>
      </c>
      <c r="AW1382" s="82" t="str">
        <f aca="false">IF(E1382="","",B1382&amp;"|"&amp;E1382)</f>
        <v>MFD-ISW → MFD-CPF|JN°1145</v>
      </c>
    </row>
    <row r="1383" customFormat="false" ht="74.6" hidden="false" customHeight="false" outlineLevel="0" collapsed="false">
      <c r="A1383" s="79" t="n">
        <f aca="false">IF(E1383="","",ROW()-6)</f>
        <v>1377</v>
      </c>
      <c r="B1383" s="80" t="s">
        <v>110</v>
      </c>
      <c r="C1383" s="81" t="s">
        <v>1660</v>
      </c>
      <c r="D1383" s="81" t="n">
        <v>11</v>
      </c>
      <c r="E1383" s="81" t="s">
        <v>1665</v>
      </c>
      <c r="F1383" s="82" t="str">
        <f aca="false">IF(E1383="","",IF(LEFT(E1383,2)="DJ","DJ","JN"))</f>
        <v>DJ</v>
      </c>
      <c r="G1383" s="81"/>
      <c r="H1383" s="81" t="s">
        <v>871</v>
      </c>
      <c r="I1383" s="81" t="n">
        <v>9.53</v>
      </c>
      <c r="J1383" s="81" t="s">
        <v>872</v>
      </c>
      <c r="K1383" s="81" t="s">
        <v>873</v>
      </c>
      <c r="L1383" s="81" t="n">
        <v>2083400</v>
      </c>
      <c r="M1383" s="81" t="n">
        <v>15421105</v>
      </c>
      <c r="N1383" s="81" t="n">
        <v>11.94</v>
      </c>
      <c r="O1383" s="81" t="n">
        <v>2082350</v>
      </c>
      <c r="P1383" s="81" t="n">
        <v>15421104</v>
      </c>
      <c r="Q1383" s="81" t="n">
        <v>11.94</v>
      </c>
      <c r="R1383" s="81" t="s">
        <v>1135</v>
      </c>
      <c r="S1383" s="81"/>
      <c r="T1383" s="81"/>
      <c r="U1383" s="83" t="n">
        <v>46270</v>
      </c>
      <c r="V1383" s="83" t="n">
        <v>46270</v>
      </c>
      <c r="W1383" s="81" t="s">
        <v>1444</v>
      </c>
      <c r="X1383" s="81" t="s">
        <v>876</v>
      </c>
      <c r="Y1383" s="83" t="n">
        <v>46271</v>
      </c>
      <c r="Z1383" s="81" t="s">
        <v>1445</v>
      </c>
      <c r="AA1383" s="81" t="s">
        <v>876</v>
      </c>
      <c r="AB1383" s="81"/>
      <c r="AC1383" s="81"/>
      <c r="AD1383" s="81"/>
      <c r="AE1383" s="83"/>
      <c r="AF1383" s="81"/>
      <c r="AG1383" s="81"/>
      <c r="AH1383" s="81"/>
      <c r="AI1383" s="81"/>
      <c r="AJ1383" s="83"/>
      <c r="AK1383" s="81"/>
      <c r="AL1383" s="81"/>
      <c r="AM1383" s="83"/>
      <c r="AN1383" s="80"/>
      <c r="AO1383" s="82" t="n">
        <f aca="false">IF(E1383="","",(AA1383&lt;&gt;"")+(AG1383&lt;&gt;"")+(AL1383&lt;&gt;""))</f>
        <v>1</v>
      </c>
      <c r="AP1383" s="82" t="str">
        <f aca="false">IF(AL1383&lt;&gt;"",AL1383,IF(AG1383&lt;&gt;"",AG1383,IF(AA1383&lt;&gt;"",AA1383,"")))</f>
        <v>A</v>
      </c>
      <c r="AQ1383" s="84" t="str">
        <f aca="false">IF(E1383="","",IF(U1383="","À SOUDER",IF(X1383="","VT EN ATTENTE",IF(X1383="R","VT REJETÉ – À REPRENDRE",IF(AP1383="","À RADIOGRAPHIER",IF(AP1383="A","ACCEPTÉ",IF(AP1383="NX","NX – RT À REFAIRE",IF(IF(AO1383=1,AD1383,IF(AO1383=2,AI1383,""))="A","RÉPARÉ – À RADIOGRAPHIER",IF(IF(AO1383=1,AD1383,IF(AO1383=2,AI1383,""))="R","VT REJETÉ – À REPRENDRE",IF(OR(AP1383="CO",AP1383="NT"),"COUPE – À RESOUDER","À RÉPARER"))))))))))</f>
        <v>ACCEPTÉ</v>
      </c>
      <c r="AR1383" s="82" t="str">
        <f aca="false">IF(AND(ISNUMBER(U1383),OR(AQ1383="À RADIOGRAPHIER",AQ1383="RÉPARÉ – À RADIOGRAPHIER",AQ1383="NX – RT À REFAIRE",AQ1383="À RÉPARER",AQ1383="COUPE – À RESOUDER",AQ1383="VT REJETÉ – À REPRENDRE")),MAX(0,'PROGRAMME RT'!$C$4-U1383),"")</f>
        <v/>
      </c>
      <c r="AS1383" s="82" t="n">
        <f aca="false">IF(AND(OR(AQ1383="À RADIOGRAPHIER",AQ1383="RÉPARÉ – À RADIOGRAPHIER",AQ1383="NX – RT À REFAIRE"),OR('PROGRAMME RT'!$D$5="TOUTES",B1383='PROGRAMME RT'!$D$5)),1,0)</f>
        <v>0</v>
      </c>
      <c r="AT1383" s="82" t="str">
        <f aca="false">IF(AS1383=1,SUM(AS$7:AS1383),"")</f>
        <v/>
      </c>
      <c r="AU1383" s="82" t="n">
        <f aca="false">IF(AND(OR(AA1383="R",AA1383="NX",AA1383="NT",AA1383="CO"),OR('JOINTS DE RÉPARATION'!$D$5="TOUTES",B1383='JOINTS DE RÉPARATION'!$D$5),OR('JOINTS DE RÉPARATION'!$L$4="TOUS",AQ1383&lt;&gt;"ACCEPTÉ")),1,0)</f>
        <v>0</v>
      </c>
      <c r="AV1383" s="82" t="str">
        <f aca="false">IF(AU1383=1,SUM(AU$7:AU1383),"")</f>
        <v/>
      </c>
      <c r="AW1383" s="82" t="str">
        <f aca="false">IF(E1383="","",B1383&amp;"|"&amp;E1383)</f>
        <v>MFD-ISW → MFD-CPF|DJ°275</v>
      </c>
    </row>
    <row r="1384" customFormat="false" ht="74.6" hidden="false" customHeight="false" outlineLevel="0" collapsed="false">
      <c r="A1384" s="79" t="n">
        <f aca="false">IF(E1384="","",ROW()-6)</f>
        <v>1378</v>
      </c>
      <c r="B1384" s="80" t="s">
        <v>110</v>
      </c>
      <c r="C1384" s="81" t="s">
        <v>1660</v>
      </c>
      <c r="D1384" s="81" t="n">
        <v>11</v>
      </c>
      <c r="E1384" s="81" t="s">
        <v>1666</v>
      </c>
      <c r="F1384" s="82" t="str">
        <f aca="false">IF(E1384="","",IF(LEFT(E1384,2)="DJ","DJ","JN"))</f>
        <v>JN</v>
      </c>
      <c r="G1384" s="81" t="s">
        <v>1504</v>
      </c>
      <c r="H1384" s="81" t="s">
        <v>871</v>
      </c>
      <c r="I1384" s="81" t="n">
        <v>9.53</v>
      </c>
      <c r="J1384" s="81" t="s">
        <v>872</v>
      </c>
      <c r="K1384" s="81" t="s">
        <v>879</v>
      </c>
      <c r="L1384" s="81" t="n">
        <v>2082350</v>
      </c>
      <c r="M1384" s="81" t="n">
        <v>15421104</v>
      </c>
      <c r="N1384" s="81" t="n">
        <v>11.94</v>
      </c>
      <c r="O1384" s="81" t="n">
        <v>2089260</v>
      </c>
      <c r="P1384" s="81" t="n">
        <v>15421108</v>
      </c>
      <c r="Q1384" s="81" t="n">
        <v>11.94</v>
      </c>
      <c r="R1384" s="81" t="s">
        <v>1367</v>
      </c>
      <c r="S1384" s="81"/>
      <c r="T1384" s="81"/>
      <c r="U1384" s="83" t="n">
        <v>46277</v>
      </c>
      <c r="V1384" s="83" t="n">
        <v>46277</v>
      </c>
      <c r="W1384" s="81" t="s">
        <v>1628</v>
      </c>
      <c r="X1384" s="81" t="s">
        <v>876</v>
      </c>
      <c r="Y1384" s="83" t="n">
        <v>46281</v>
      </c>
      <c r="Z1384" s="81" t="s">
        <v>1650</v>
      </c>
      <c r="AA1384" s="81" t="s">
        <v>876</v>
      </c>
      <c r="AB1384" s="81"/>
      <c r="AC1384" s="81"/>
      <c r="AD1384" s="81"/>
      <c r="AE1384" s="83"/>
      <c r="AF1384" s="81"/>
      <c r="AG1384" s="81"/>
      <c r="AH1384" s="81"/>
      <c r="AI1384" s="81"/>
      <c r="AJ1384" s="83"/>
      <c r="AK1384" s="81"/>
      <c r="AL1384" s="81"/>
      <c r="AM1384" s="83"/>
      <c r="AN1384" s="80"/>
      <c r="AO1384" s="82" t="n">
        <f aca="false">IF(E1384="","",(AA1384&lt;&gt;"")+(AG1384&lt;&gt;"")+(AL1384&lt;&gt;""))</f>
        <v>1</v>
      </c>
      <c r="AP1384" s="82" t="str">
        <f aca="false">IF(AL1384&lt;&gt;"",AL1384,IF(AG1384&lt;&gt;"",AG1384,IF(AA1384&lt;&gt;"",AA1384,"")))</f>
        <v>A</v>
      </c>
      <c r="AQ1384" s="84" t="str">
        <f aca="false">IF(E1384="","",IF(U1384="","À SOUDER",IF(X1384="","VT EN ATTENTE",IF(X1384="R","VT REJETÉ – À REPRENDRE",IF(AP1384="","À RADIOGRAPHIER",IF(AP1384="A","ACCEPTÉ",IF(AP1384="NX","NX – RT À REFAIRE",IF(IF(AO1384=1,AD1384,IF(AO1384=2,AI1384,""))="A","RÉPARÉ – À RADIOGRAPHIER",IF(IF(AO1384=1,AD1384,IF(AO1384=2,AI1384,""))="R","VT REJETÉ – À REPRENDRE",IF(OR(AP1384="CO",AP1384="NT"),"COUPE – À RESOUDER","À RÉPARER"))))))))))</f>
        <v>ACCEPTÉ</v>
      </c>
      <c r="AR1384" s="82" t="str">
        <f aca="false">IF(AND(ISNUMBER(U1384),OR(AQ1384="À RADIOGRAPHIER",AQ1384="RÉPARÉ – À RADIOGRAPHIER",AQ1384="NX – RT À REFAIRE",AQ1384="À RÉPARER",AQ1384="COUPE – À RESOUDER",AQ1384="VT REJETÉ – À REPRENDRE")),MAX(0,'PROGRAMME RT'!$C$4-U1384),"")</f>
        <v/>
      </c>
      <c r="AS1384" s="82" t="n">
        <f aca="false">IF(AND(OR(AQ1384="À RADIOGRAPHIER",AQ1384="RÉPARÉ – À RADIOGRAPHIER",AQ1384="NX – RT À REFAIRE"),OR('PROGRAMME RT'!$D$5="TOUTES",B1384='PROGRAMME RT'!$D$5)),1,0)</f>
        <v>0</v>
      </c>
      <c r="AT1384" s="82" t="str">
        <f aca="false">IF(AS1384=1,SUM(AS$7:AS1384),"")</f>
        <v/>
      </c>
      <c r="AU1384" s="82" t="n">
        <f aca="false">IF(AND(OR(AA1384="R",AA1384="NX",AA1384="NT",AA1384="CO"),OR('JOINTS DE RÉPARATION'!$D$5="TOUTES",B1384='JOINTS DE RÉPARATION'!$D$5),OR('JOINTS DE RÉPARATION'!$L$4="TOUS",AQ1384&lt;&gt;"ACCEPTÉ")),1,0)</f>
        <v>0</v>
      </c>
      <c r="AV1384" s="82" t="str">
        <f aca="false">IF(AU1384=1,SUM(AU$7:AU1384),"")</f>
        <v/>
      </c>
      <c r="AW1384" s="82" t="str">
        <f aca="false">IF(E1384="","",B1384&amp;"|"&amp;E1384)</f>
        <v>MFD-ISW → MFD-CPF|JN°1146</v>
      </c>
    </row>
    <row r="1385" customFormat="false" ht="74.6" hidden="false" customHeight="false" outlineLevel="0" collapsed="false">
      <c r="A1385" s="79" t="n">
        <f aca="false">IF(E1385="","",ROW()-6)</f>
        <v>1379</v>
      </c>
      <c r="B1385" s="80" t="s">
        <v>110</v>
      </c>
      <c r="C1385" s="81" t="s">
        <v>1660</v>
      </c>
      <c r="D1385" s="81" t="n">
        <v>11</v>
      </c>
      <c r="E1385" s="81" t="s">
        <v>1667</v>
      </c>
      <c r="F1385" s="82" t="str">
        <f aca="false">IF(E1385="","",IF(LEFT(E1385,2)="DJ","DJ","JN"))</f>
        <v>DJ</v>
      </c>
      <c r="G1385" s="81"/>
      <c r="H1385" s="81" t="s">
        <v>871</v>
      </c>
      <c r="I1385" s="81" t="n">
        <v>9.53</v>
      </c>
      <c r="J1385" s="81" t="s">
        <v>872</v>
      </c>
      <c r="K1385" s="81" t="s">
        <v>873</v>
      </c>
      <c r="L1385" s="81" t="n">
        <v>2089260</v>
      </c>
      <c r="M1385" s="81" t="n">
        <v>15421108</v>
      </c>
      <c r="N1385" s="81" t="n">
        <v>11.94</v>
      </c>
      <c r="O1385" s="81" t="n">
        <v>2082490</v>
      </c>
      <c r="P1385" s="81" t="n">
        <v>15421105</v>
      </c>
      <c r="Q1385" s="81" t="n">
        <v>11.94</v>
      </c>
      <c r="R1385" s="81" t="s">
        <v>1135</v>
      </c>
      <c r="S1385" s="81"/>
      <c r="T1385" s="81"/>
      <c r="U1385" s="83" t="n">
        <v>46270</v>
      </c>
      <c r="V1385" s="83" t="n">
        <v>46270</v>
      </c>
      <c r="W1385" s="81" t="s">
        <v>1444</v>
      </c>
      <c r="X1385" s="81" t="s">
        <v>876</v>
      </c>
      <c r="Y1385" s="83" t="n">
        <v>46271</v>
      </c>
      <c r="Z1385" s="81" t="s">
        <v>1445</v>
      </c>
      <c r="AA1385" s="81" t="s">
        <v>876</v>
      </c>
      <c r="AB1385" s="81"/>
      <c r="AC1385" s="81"/>
      <c r="AD1385" s="81"/>
      <c r="AE1385" s="83"/>
      <c r="AF1385" s="81"/>
      <c r="AG1385" s="81"/>
      <c r="AH1385" s="81"/>
      <c r="AI1385" s="81"/>
      <c r="AJ1385" s="83"/>
      <c r="AK1385" s="81"/>
      <c r="AL1385" s="81"/>
      <c r="AM1385" s="83"/>
      <c r="AN1385" s="80"/>
      <c r="AO1385" s="82" t="n">
        <f aca="false">IF(E1385="","",(AA1385&lt;&gt;"")+(AG1385&lt;&gt;"")+(AL1385&lt;&gt;""))</f>
        <v>1</v>
      </c>
      <c r="AP1385" s="82" t="str">
        <f aca="false">IF(AL1385&lt;&gt;"",AL1385,IF(AG1385&lt;&gt;"",AG1385,IF(AA1385&lt;&gt;"",AA1385,"")))</f>
        <v>A</v>
      </c>
      <c r="AQ1385" s="84" t="str">
        <f aca="false">IF(E1385="","",IF(U1385="","À SOUDER",IF(X1385="","VT EN ATTENTE",IF(X1385="R","VT REJETÉ – À REPRENDRE",IF(AP1385="","À RADIOGRAPHIER",IF(AP1385="A","ACCEPTÉ",IF(AP1385="NX","NX – RT À REFAIRE",IF(IF(AO1385=1,AD1385,IF(AO1385=2,AI1385,""))="A","RÉPARÉ – À RADIOGRAPHIER",IF(IF(AO1385=1,AD1385,IF(AO1385=2,AI1385,""))="R","VT REJETÉ – À REPRENDRE",IF(OR(AP1385="CO",AP1385="NT"),"COUPE – À RESOUDER","À RÉPARER"))))))))))</f>
        <v>ACCEPTÉ</v>
      </c>
      <c r="AR1385" s="82" t="str">
        <f aca="false">IF(AND(ISNUMBER(U1385),OR(AQ1385="À RADIOGRAPHIER",AQ1385="RÉPARÉ – À RADIOGRAPHIER",AQ1385="NX – RT À REFAIRE",AQ1385="À RÉPARER",AQ1385="COUPE – À RESOUDER",AQ1385="VT REJETÉ – À REPRENDRE")),MAX(0,'PROGRAMME RT'!$C$4-U1385),"")</f>
        <v/>
      </c>
      <c r="AS1385" s="82" t="n">
        <f aca="false">IF(AND(OR(AQ1385="À RADIOGRAPHIER",AQ1385="RÉPARÉ – À RADIOGRAPHIER",AQ1385="NX – RT À REFAIRE"),OR('PROGRAMME RT'!$D$5="TOUTES",B1385='PROGRAMME RT'!$D$5)),1,0)</f>
        <v>0</v>
      </c>
      <c r="AT1385" s="82" t="str">
        <f aca="false">IF(AS1385=1,SUM(AS$7:AS1385),"")</f>
        <v/>
      </c>
      <c r="AU1385" s="82" t="n">
        <f aca="false">IF(AND(OR(AA1385="R",AA1385="NX",AA1385="NT",AA1385="CO"),OR('JOINTS DE RÉPARATION'!$D$5="TOUTES",B1385='JOINTS DE RÉPARATION'!$D$5),OR('JOINTS DE RÉPARATION'!$L$4="TOUS",AQ1385&lt;&gt;"ACCEPTÉ")),1,0)</f>
        <v>0</v>
      </c>
      <c r="AV1385" s="82" t="str">
        <f aca="false">IF(AU1385=1,SUM(AU$7:AU1385),"")</f>
        <v/>
      </c>
      <c r="AW1385" s="82" t="str">
        <f aca="false">IF(E1385="","",B1385&amp;"|"&amp;E1385)</f>
        <v>MFD-ISW → MFD-CPF|DJ°283</v>
      </c>
    </row>
    <row r="1386" customFormat="false" ht="74.6" hidden="false" customHeight="false" outlineLevel="0" collapsed="false">
      <c r="A1386" s="79" t="n">
        <f aca="false">IF(E1386="","",ROW()-6)</f>
        <v>1380</v>
      </c>
      <c r="B1386" s="80" t="s">
        <v>110</v>
      </c>
      <c r="C1386" s="81" t="s">
        <v>1660</v>
      </c>
      <c r="D1386" s="81" t="n">
        <v>11</v>
      </c>
      <c r="E1386" s="81" t="s">
        <v>1668</v>
      </c>
      <c r="F1386" s="82" t="str">
        <f aca="false">IF(E1386="","",IF(LEFT(E1386,2)="DJ","DJ","JN"))</f>
        <v>JN</v>
      </c>
      <c r="G1386" s="81" t="s">
        <v>1504</v>
      </c>
      <c r="H1386" s="81" t="s">
        <v>871</v>
      </c>
      <c r="I1386" s="81" t="n">
        <v>9.53</v>
      </c>
      <c r="J1386" s="81" t="s">
        <v>872</v>
      </c>
      <c r="K1386" s="81" t="s">
        <v>879</v>
      </c>
      <c r="L1386" s="81" t="n">
        <v>2082490</v>
      </c>
      <c r="M1386" s="81" t="n">
        <v>15421105</v>
      </c>
      <c r="N1386" s="81" t="n">
        <v>11.94</v>
      </c>
      <c r="O1386" s="81" t="n">
        <v>2084390</v>
      </c>
      <c r="P1386" s="81" t="n">
        <v>15421106</v>
      </c>
      <c r="Q1386" s="81" t="n">
        <v>11.94</v>
      </c>
      <c r="R1386" s="81" t="s">
        <v>1367</v>
      </c>
      <c r="S1386" s="81"/>
      <c r="T1386" s="81"/>
      <c r="U1386" s="83" t="n">
        <v>46277</v>
      </c>
      <c r="V1386" s="83" t="n">
        <v>46277</v>
      </c>
      <c r="W1386" s="81" t="s">
        <v>1628</v>
      </c>
      <c r="X1386" s="81" t="s">
        <v>876</v>
      </c>
      <c r="Y1386" s="83" t="n">
        <v>46281</v>
      </c>
      <c r="Z1386" s="81" t="s">
        <v>1650</v>
      </c>
      <c r="AA1386" s="81" t="s">
        <v>876</v>
      </c>
      <c r="AB1386" s="81"/>
      <c r="AC1386" s="81"/>
      <c r="AD1386" s="81"/>
      <c r="AE1386" s="83"/>
      <c r="AF1386" s="81"/>
      <c r="AG1386" s="81"/>
      <c r="AH1386" s="81"/>
      <c r="AI1386" s="81"/>
      <c r="AJ1386" s="83"/>
      <c r="AK1386" s="81"/>
      <c r="AL1386" s="81"/>
      <c r="AM1386" s="83"/>
      <c r="AN1386" s="80"/>
      <c r="AO1386" s="82" t="n">
        <f aca="false">IF(E1386="","",(AA1386&lt;&gt;"")+(AG1386&lt;&gt;"")+(AL1386&lt;&gt;""))</f>
        <v>1</v>
      </c>
      <c r="AP1386" s="82" t="str">
        <f aca="false">IF(AL1386&lt;&gt;"",AL1386,IF(AG1386&lt;&gt;"",AG1386,IF(AA1386&lt;&gt;"",AA1386,"")))</f>
        <v>A</v>
      </c>
      <c r="AQ1386" s="84" t="str">
        <f aca="false">IF(E1386="","",IF(U1386="","À SOUDER",IF(X1386="","VT EN ATTENTE",IF(X1386="R","VT REJETÉ – À REPRENDRE",IF(AP1386="","À RADIOGRAPHIER",IF(AP1386="A","ACCEPTÉ",IF(AP1386="NX","NX – RT À REFAIRE",IF(IF(AO1386=1,AD1386,IF(AO1386=2,AI1386,""))="A","RÉPARÉ – À RADIOGRAPHIER",IF(IF(AO1386=1,AD1386,IF(AO1386=2,AI1386,""))="R","VT REJETÉ – À REPRENDRE",IF(OR(AP1386="CO",AP1386="NT"),"COUPE – À RESOUDER","À RÉPARER"))))))))))</f>
        <v>ACCEPTÉ</v>
      </c>
      <c r="AR1386" s="82" t="str">
        <f aca="false">IF(AND(ISNUMBER(U1386),OR(AQ1386="À RADIOGRAPHIER",AQ1386="RÉPARÉ – À RADIOGRAPHIER",AQ1386="NX – RT À REFAIRE",AQ1386="À RÉPARER",AQ1386="COUPE – À RESOUDER",AQ1386="VT REJETÉ – À REPRENDRE")),MAX(0,'PROGRAMME RT'!$C$4-U1386),"")</f>
        <v/>
      </c>
      <c r="AS1386" s="82" t="n">
        <f aca="false">IF(AND(OR(AQ1386="À RADIOGRAPHIER",AQ1386="RÉPARÉ – À RADIOGRAPHIER",AQ1386="NX – RT À REFAIRE"),OR('PROGRAMME RT'!$D$5="TOUTES",B1386='PROGRAMME RT'!$D$5)),1,0)</f>
        <v>0</v>
      </c>
      <c r="AT1386" s="82" t="str">
        <f aca="false">IF(AS1386=1,SUM(AS$7:AS1386),"")</f>
        <v/>
      </c>
      <c r="AU1386" s="82" t="n">
        <f aca="false">IF(AND(OR(AA1386="R",AA1386="NX",AA1386="NT",AA1386="CO"),OR('JOINTS DE RÉPARATION'!$D$5="TOUTES",B1386='JOINTS DE RÉPARATION'!$D$5),OR('JOINTS DE RÉPARATION'!$L$4="TOUS",AQ1386&lt;&gt;"ACCEPTÉ")),1,0)</f>
        <v>0</v>
      </c>
      <c r="AV1386" s="82" t="str">
        <f aca="false">IF(AU1386=1,SUM(AU$7:AU1386),"")</f>
        <v/>
      </c>
      <c r="AW1386" s="82" t="str">
        <f aca="false">IF(E1386="","",B1386&amp;"|"&amp;E1386)</f>
        <v>MFD-ISW → MFD-CPF|JN°1147</v>
      </c>
    </row>
    <row r="1387" customFormat="false" ht="74.6" hidden="false" customHeight="false" outlineLevel="0" collapsed="false">
      <c r="A1387" s="79" t="n">
        <f aca="false">IF(E1387="","",ROW()-6)</f>
        <v>1381</v>
      </c>
      <c r="B1387" s="80" t="s">
        <v>110</v>
      </c>
      <c r="C1387" s="81" t="s">
        <v>1660</v>
      </c>
      <c r="D1387" s="81" t="n">
        <v>11</v>
      </c>
      <c r="E1387" s="81" t="s">
        <v>1669</v>
      </c>
      <c r="F1387" s="82" t="str">
        <f aca="false">IF(E1387="","",IF(LEFT(E1387,2)="DJ","DJ","JN"))</f>
        <v>DJ</v>
      </c>
      <c r="G1387" s="81"/>
      <c r="H1387" s="81" t="s">
        <v>871</v>
      </c>
      <c r="I1387" s="81" t="n">
        <v>9.53</v>
      </c>
      <c r="J1387" s="81" t="s">
        <v>872</v>
      </c>
      <c r="K1387" s="81" t="s">
        <v>873</v>
      </c>
      <c r="L1387" s="81" t="n">
        <v>2084390</v>
      </c>
      <c r="M1387" s="81" t="n">
        <v>15421106</v>
      </c>
      <c r="N1387" s="81" t="n">
        <v>11.94</v>
      </c>
      <c r="O1387" s="81" t="n">
        <v>2090380</v>
      </c>
      <c r="P1387" s="81" t="n">
        <v>15421109</v>
      </c>
      <c r="Q1387" s="81" t="n">
        <v>11.94</v>
      </c>
      <c r="R1387" s="81" t="s">
        <v>963</v>
      </c>
      <c r="S1387" s="81"/>
      <c r="T1387" s="81"/>
      <c r="U1387" s="83" t="n">
        <v>46270</v>
      </c>
      <c r="V1387" s="83" t="n">
        <v>46270</v>
      </c>
      <c r="W1387" s="81" t="s">
        <v>1444</v>
      </c>
      <c r="X1387" s="81" t="s">
        <v>876</v>
      </c>
      <c r="Y1387" s="83" t="n">
        <v>46271</v>
      </c>
      <c r="Z1387" s="81" t="s">
        <v>1445</v>
      </c>
      <c r="AA1387" s="81" t="s">
        <v>876</v>
      </c>
      <c r="AB1387" s="81"/>
      <c r="AC1387" s="81"/>
      <c r="AD1387" s="81"/>
      <c r="AE1387" s="83"/>
      <c r="AF1387" s="81"/>
      <c r="AG1387" s="81"/>
      <c r="AH1387" s="81"/>
      <c r="AI1387" s="81"/>
      <c r="AJ1387" s="83"/>
      <c r="AK1387" s="81"/>
      <c r="AL1387" s="81"/>
      <c r="AM1387" s="83"/>
      <c r="AN1387" s="80"/>
      <c r="AO1387" s="82" t="n">
        <f aca="false">IF(E1387="","",(AA1387&lt;&gt;"")+(AG1387&lt;&gt;"")+(AL1387&lt;&gt;""))</f>
        <v>1</v>
      </c>
      <c r="AP1387" s="82" t="str">
        <f aca="false">IF(AL1387&lt;&gt;"",AL1387,IF(AG1387&lt;&gt;"",AG1387,IF(AA1387&lt;&gt;"",AA1387,"")))</f>
        <v>A</v>
      </c>
      <c r="AQ1387" s="84" t="str">
        <f aca="false">IF(E1387="","",IF(U1387="","À SOUDER",IF(X1387="","VT EN ATTENTE",IF(X1387="R","VT REJETÉ – À REPRENDRE",IF(AP1387="","À RADIOGRAPHIER",IF(AP1387="A","ACCEPTÉ",IF(AP1387="NX","NX – RT À REFAIRE",IF(IF(AO1387=1,AD1387,IF(AO1387=2,AI1387,""))="A","RÉPARÉ – À RADIOGRAPHIER",IF(IF(AO1387=1,AD1387,IF(AO1387=2,AI1387,""))="R","VT REJETÉ – À REPRENDRE",IF(OR(AP1387="CO",AP1387="NT"),"COUPE – À RESOUDER","À RÉPARER"))))))))))</f>
        <v>ACCEPTÉ</v>
      </c>
      <c r="AR1387" s="82" t="str">
        <f aca="false">IF(AND(ISNUMBER(U1387),OR(AQ1387="À RADIOGRAPHIER",AQ1387="RÉPARÉ – À RADIOGRAPHIER",AQ1387="NX – RT À REFAIRE",AQ1387="À RÉPARER",AQ1387="COUPE – À RESOUDER",AQ1387="VT REJETÉ – À REPRENDRE")),MAX(0,'PROGRAMME RT'!$C$4-U1387),"")</f>
        <v/>
      </c>
      <c r="AS1387" s="82" t="n">
        <f aca="false">IF(AND(OR(AQ1387="À RADIOGRAPHIER",AQ1387="RÉPARÉ – À RADIOGRAPHIER",AQ1387="NX – RT À REFAIRE"),OR('PROGRAMME RT'!$D$5="TOUTES",B1387='PROGRAMME RT'!$D$5)),1,0)</f>
        <v>0</v>
      </c>
      <c r="AT1387" s="82" t="str">
        <f aca="false">IF(AS1387=1,SUM(AS$7:AS1387),"")</f>
        <v/>
      </c>
      <c r="AU1387" s="82" t="n">
        <f aca="false">IF(AND(OR(AA1387="R",AA1387="NX",AA1387="NT",AA1387="CO"),OR('JOINTS DE RÉPARATION'!$D$5="TOUTES",B1387='JOINTS DE RÉPARATION'!$D$5),OR('JOINTS DE RÉPARATION'!$L$4="TOUS",AQ1387&lt;&gt;"ACCEPTÉ")),1,0)</f>
        <v>0</v>
      </c>
      <c r="AV1387" s="82" t="str">
        <f aca="false">IF(AU1387=1,SUM(AU$7:AU1387),"")</f>
        <v/>
      </c>
      <c r="AW1387" s="82" t="str">
        <f aca="false">IF(E1387="","",B1387&amp;"|"&amp;E1387)</f>
        <v>MFD-ISW → MFD-CPF|DJ°284</v>
      </c>
    </row>
    <row r="1388" customFormat="false" ht="74.6" hidden="false" customHeight="false" outlineLevel="0" collapsed="false">
      <c r="A1388" s="79" t="n">
        <f aca="false">IF(E1388="","",ROW()-6)</f>
        <v>1382</v>
      </c>
      <c r="B1388" s="80" t="s">
        <v>110</v>
      </c>
      <c r="C1388" s="81" t="s">
        <v>926</v>
      </c>
      <c r="D1388" s="81" t="n">
        <v>12</v>
      </c>
      <c r="E1388" s="81" t="s">
        <v>1670</v>
      </c>
      <c r="F1388" s="82" t="str">
        <f aca="false">IF(E1388="","",IF(LEFT(E1388,2)="DJ","DJ","JN"))</f>
        <v>JN</v>
      </c>
      <c r="G1388" s="81"/>
      <c r="H1388" s="81"/>
      <c r="I1388" s="81"/>
      <c r="J1388" s="81"/>
      <c r="K1388" s="81"/>
      <c r="L1388" s="81" t="s">
        <v>1671</v>
      </c>
      <c r="M1388" s="81"/>
      <c r="N1388" s="81"/>
      <c r="O1388" s="81"/>
      <c r="P1388" s="81"/>
      <c r="Q1388" s="81"/>
      <c r="R1388" s="81"/>
      <c r="S1388" s="81"/>
      <c r="T1388" s="81"/>
      <c r="U1388" s="83"/>
      <c r="V1388" s="83"/>
      <c r="W1388" s="81"/>
      <c r="X1388" s="81"/>
      <c r="Y1388" s="83"/>
      <c r="Z1388" s="81"/>
      <c r="AA1388" s="81"/>
      <c r="AB1388" s="81"/>
      <c r="AC1388" s="81"/>
      <c r="AD1388" s="81"/>
      <c r="AE1388" s="83"/>
      <c r="AF1388" s="81"/>
      <c r="AG1388" s="81"/>
      <c r="AH1388" s="81"/>
      <c r="AI1388" s="81"/>
      <c r="AJ1388" s="83"/>
      <c r="AK1388" s="81"/>
      <c r="AL1388" s="81"/>
      <c r="AM1388" s="83"/>
      <c r="AN1388" s="80"/>
      <c r="AO1388" s="82" t="n">
        <f aca="false">IF(E1388="","",(AA1388&lt;&gt;"")+(AG1388&lt;&gt;"")+(AL1388&lt;&gt;""))</f>
        <v>0</v>
      </c>
      <c r="AP1388" s="82" t="str">
        <f aca="false">IF(AL1388&lt;&gt;"",AL1388,IF(AG1388&lt;&gt;"",AG1388,IF(AA1388&lt;&gt;"",AA1388,"")))</f>
        <v/>
      </c>
      <c r="AQ1388" s="84" t="str">
        <f aca="false">IF(E1388="","",IF(U1388="","À SOUDER",IF(X1388="","VT EN ATTENTE",IF(X1388="R","VT REJETÉ – À REPRENDRE",IF(AP1388="","À RADIOGRAPHIER",IF(AP1388="A","ACCEPTÉ",IF(AP1388="NX","NX – RT À REFAIRE",IF(IF(AO1388=1,AD1388,IF(AO1388=2,AI1388,""))="A","RÉPARÉ – À RADIOGRAPHIER",IF(IF(AO1388=1,AD1388,IF(AO1388=2,AI1388,""))="R","VT REJETÉ – À REPRENDRE",IF(OR(AP1388="CO",AP1388="NT"),"COUPE – À RESOUDER","À RÉPARER"))))))))))</f>
        <v>À SOUDER</v>
      </c>
      <c r="AR1388" s="82" t="str">
        <f aca="false">IF(AND(ISNUMBER(U1388),OR(AQ1388="À RADIOGRAPHIER",AQ1388="RÉPARÉ – À RADIOGRAPHIER",AQ1388="NX – RT À REFAIRE",AQ1388="À RÉPARER",AQ1388="COUPE – À RESOUDER",AQ1388="VT REJETÉ – À REPRENDRE")),MAX(0,'PROGRAMME RT'!$C$4-U1388),"")</f>
        <v/>
      </c>
      <c r="AS1388" s="82" t="n">
        <f aca="false">IF(AND(OR(AQ1388="À RADIOGRAPHIER",AQ1388="RÉPARÉ – À RADIOGRAPHIER",AQ1388="NX – RT À REFAIRE"),OR('PROGRAMME RT'!$D$5="TOUTES",B1388='PROGRAMME RT'!$D$5)),1,0)</f>
        <v>0</v>
      </c>
      <c r="AT1388" s="82" t="str">
        <f aca="false">IF(AS1388=1,SUM(AS$7:AS1388),"")</f>
        <v/>
      </c>
      <c r="AU1388" s="82" t="n">
        <f aca="false">IF(AND(OR(AA1388="R",AA1388="NX",AA1388="NT",AA1388="CO"),OR('JOINTS DE RÉPARATION'!$D$5="TOUTES",B1388='JOINTS DE RÉPARATION'!$D$5),OR('JOINTS DE RÉPARATION'!$L$4="TOUS",AQ1388&lt;&gt;"ACCEPTÉ")),1,0)</f>
        <v>0</v>
      </c>
      <c r="AV1388" s="82" t="str">
        <f aca="false">IF(AU1388=1,SUM(AU$7:AU1388),"")</f>
        <v/>
      </c>
      <c r="AW1388" s="82" t="str">
        <f aca="false">IF(E1388="","",B1388&amp;"|"&amp;E1388)</f>
        <v>MFD-ISW → MFD-CPF|JN°1148</v>
      </c>
    </row>
    <row r="1389" customFormat="false" ht="74.6" hidden="false" customHeight="false" outlineLevel="0" collapsed="false">
      <c r="A1389" s="79" t="n">
        <f aca="false">IF(E1389="","",ROW()-6)</f>
        <v>1383</v>
      </c>
      <c r="B1389" s="80" t="s">
        <v>110</v>
      </c>
      <c r="C1389" s="81" t="s">
        <v>926</v>
      </c>
      <c r="D1389" s="81" t="n">
        <v>12</v>
      </c>
      <c r="E1389" s="81" t="s">
        <v>1672</v>
      </c>
      <c r="F1389" s="82" t="str">
        <f aca="false">IF(E1389="","",IF(LEFT(E1389,2)="DJ","DJ","JN"))</f>
        <v>JN</v>
      </c>
      <c r="G1389" s="81"/>
      <c r="H1389" s="81"/>
      <c r="I1389" s="81"/>
      <c r="J1389" s="81"/>
      <c r="K1389" s="81"/>
      <c r="L1389" s="81" t="s">
        <v>1671</v>
      </c>
      <c r="M1389" s="81"/>
      <c r="N1389" s="81"/>
      <c r="O1389" s="81"/>
      <c r="P1389" s="81"/>
      <c r="Q1389" s="81"/>
      <c r="R1389" s="81"/>
      <c r="S1389" s="81"/>
      <c r="T1389" s="81"/>
      <c r="U1389" s="83"/>
      <c r="V1389" s="83"/>
      <c r="W1389" s="81"/>
      <c r="X1389" s="81"/>
      <c r="Y1389" s="83"/>
      <c r="Z1389" s="81"/>
      <c r="AA1389" s="81"/>
      <c r="AB1389" s="81"/>
      <c r="AC1389" s="81"/>
      <c r="AD1389" s="81"/>
      <c r="AE1389" s="83"/>
      <c r="AF1389" s="81"/>
      <c r="AG1389" s="81"/>
      <c r="AH1389" s="81"/>
      <c r="AI1389" s="81"/>
      <c r="AJ1389" s="83"/>
      <c r="AK1389" s="81"/>
      <c r="AL1389" s="81"/>
      <c r="AM1389" s="83"/>
      <c r="AN1389" s="80"/>
      <c r="AO1389" s="82" t="n">
        <f aca="false">IF(E1389="","",(AA1389&lt;&gt;"")+(AG1389&lt;&gt;"")+(AL1389&lt;&gt;""))</f>
        <v>0</v>
      </c>
      <c r="AP1389" s="82" t="str">
        <f aca="false">IF(AL1389&lt;&gt;"",AL1389,IF(AG1389&lt;&gt;"",AG1389,IF(AA1389&lt;&gt;"",AA1389,"")))</f>
        <v/>
      </c>
      <c r="AQ1389" s="84" t="str">
        <f aca="false">IF(E1389="","",IF(U1389="","À SOUDER",IF(X1389="","VT EN ATTENTE",IF(X1389="R","VT REJETÉ – À REPRENDRE",IF(AP1389="","À RADIOGRAPHIER",IF(AP1389="A","ACCEPTÉ",IF(AP1389="NX","NX – RT À REFAIRE",IF(IF(AO1389=1,AD1389,IF(AO1389=2,AI1389,""))="A","RÉPARÉ – À RADIOGRAPHIER",IF(IF(AO1389=1,AD1389,IF(AO1389=2,AI1389,""))="R","VT REJETÉ – À REPRENDRE",IF(OR(AP1389="CO",AP1389="NT"),"COUPE – À RESOUDER","À RÉPARER"))))))))))</f>
        <v>À SOUDER</v>
      </c>
      <c r="AR1389" s="82" t="str">
        <f aca="false">IF(AND(ISNUMBER(U1389),OR(AQ1389="À RADIOGRAPHIER",AQ1389="RÉPARÉ – À RADIOGRAPHIER",AQ1389="NX – RT À REFAIRE",AQ1389="À RÉPARER",AQ1389="COUPE – À RESOUDER",AQ1389="VT REJETÉ – À REPRENDRE")),MAX(0,'PROGRAMME RT'!$C$4-U1389),"")</f>
        <v/>
      </c>
      <c r="AS1389" s="82" t="n">
        <f aca="false">IF(AND(OR(AQ1389="À RADIOGRAPHIER",AQ1389="RÉPARÉ – À RADIOGRAPHIER",AQ1389="NX – RT À REFAIRE"),OR('PROGRAMME RT'!$D$5="TOUTES",B1389='PROGRAMME RT'!$D$5)),1,0)</f>
        <v>0</v>
      </c>
      <c r="AT1389" s="82" t="str">
        <f aca="false">IF(AS1389=1,SUM(AS$7:AS1389),"")</f>
        <v/>
      </c>
      <c r="AU1389" s="82" t="n">
        <f aca="false">IF(AND(OR(AA1389="R",AA1389="NX",AA1389="NT",AA1389="CO"),OR('JOINTS DE RÉPARATION'!$D$5="TOUTES",B1389='JOINTS DE RÉPARATION'!$D$5),OR('JOINTS DE RÉPARATION'!$L$4="TOUS",AQ1389&lt;&gt;"ACCEPTÉ")),1,0)</f>
        <v>0</v>
      </c>
      <c r="AV1389" s="82" t="str">
        <f aca="false">IF(AU1389=1,SUM(AU$7:AU1389),"")</f>
        <v/>
      </c>
      <c r="AW1389" s="82" t="str">
        <f aca="false">IF(E1389="","",B1389&amp;"|"&amp;E1389)</f>
        <v>MFD-ISW → MFD-CPF|JN°1149</v>
      </c>
    </row>
    <row r="1390" customFormat="false" ht="74.6" hidden="false" customHeight="false" outlineLevel="0" collapsed="false">
      <c r="A1390" s="79" t="n">
        <f aca="false">IF(E1390="","",ROW()-6)</f>
        <v>1384</v>
      </c>
      <c r="B1390" s="80" t="s">
        <v>110</v>
      </c>
      <c r="C1390" s="81" t="s">
        <v>926</v>
      </c>
      <c r="D1390" s="81" t="n">
        <v>12</v>
      </c>
      <c r="E1390" s="81" t="s">
        <v>1673</v>
      </c>
      <c r="F1390" s="82" t="str">
        <f aca="false">IF(E1390="","",IF(LEFT(E1390,2)="DJ","DJ","JN"))</f>
        <v>JN</v>
      </c>
      <c r="G1390" s="81"/>
      <c r="H1390" s="81"/>
      <c r="I1390" s="81"/>
      <c r="J1390" s="81"/>
      <c r="K1390" s="81"/>
      <c r="L1390" s="81" t="s">
        <v>1671</v>
      </c>
      <c r="M1390" s="81"/>
      <c r="N1390" s="81"/>
      <c r="O1390" s="81"/>
      <c r="P1390" s="81"/>
      <c r="Q1390" s="81"/>
      <c r="R1390" s="81"/>
      <c r="S1390" s="81"/>
      <c r="T1390" s="81"/>
      <c r="U1390" s="83"/>
      <c r="V1390" s="83"/>
      <c r="W1390" s="81"/>
      <c r="X1390" s="81"/>
      <c r="Y1390" s="83"/>
      <c r="Z1390" s="81"/>
      <c r="AA1390" s="81"/>
      <c r="AB1390" s="81"/>
      <c r="AC1390" s="81"/>
      <c r="AD1390" s="81"/>
      <c r="AE1390" s="83"/>
      <c r="AF1390" s="81"/>
      <c r="AG1390" s="81"/>
      <c r="AH1390" s="81"/>
      <c r="AI1390" s="81"/>
      <c r="AJ1390" s="83"/>
      <c r="AK1390" s="81"/>
      <c r="AL1390" s="81"/>
      <c r="AM1390" s="83"/>
      <c r="AN1390" s="80"/>
      <c r="AO1390" s="82" t="n">
        <f aca="false">IF(E1390="","",(AA1390&lt;&gt;"")+(AG1390&lt;&gt;"")+(AL1390&lt;&gt;""))</f>
        <v>0</v>
      </c>
      <c r="AP1390" s="82" t="str">
        <f aca="false">IF(AL1390&lt;&gt;"",AL1390,IF(AG1390&lt;&gt;"",AG1390,IF(AA1390&lt;&gt;"",AA1390,"")))</f>
        <v/>
      </c>
      <c r="AQ1390" s="84" t="str">
        <f aca="false">IF(E1390="","",IF(U1390="","À SOUDER",IF(X1390="","VT EN ATTENTE",IF(X1390="R","VT REJETÉ – À REPRENDRE",IF(AP1390="","À RADIOGRAPHIER",IF(AP1390="A","ACCEPTÉ",IF(AP1390="NX","NX – RT À REFAIRE",IF(IF(AO1390=1,AD1390,IF(AO1390=2,AI1390,""))="A","RÉPARÉ – À RADIOGRAPHIER",IF(IF(AO1390=1,AD1390,IF(AO1390=2,AI1390,""))="R","VT REJETÉ – À REPRENDRE",IF(OR(AP1390="CO",AP1390="NT"),"COUPE – À RESOUDER","À RÉPARER"))))))))))</f>
        <v>À SOUDER</v>
      </c>
      <c r="AR1390" s="82" t="str">
        <f aca="false">IF(AND(ISNUMBER(U1390),OR(AQ1390="À RADIOGRAPHIER",AQ1390="RÉPARÉ – À RADIOGRAPHIER",AQ1390="NX – RT À REFAIRE",AQ1390="À RÉPARER",AQ1390="COUPE – À RESOUDER",AQ1390="VT REJETÉ – À REPRENDRE")),MAX(0,'PROGRAMME RT'!$C$4-U1390),"")</f>
        <v/>
      </c>
      <c r="AS1390" s="82" t="n">
        <f aca="false">IF(AND(OR(AQ1390="À RADIOGRAPHIER",AQ1390="RÉPARÉ – À RADIOGRAPHIER",AQ1390="NX – RT À REFAIRE"),OR('PROGRAMME RT'!$D$5="TOUTES",B1390='PROGRAMME RT'!$D$5)),1,0)</f>
        <v>0</v>
      </c>
      <c r="AT1390" s="82" t="str">
        <f aca="false">IF(AS1390=1,SUM(AS$7:AS1390),"")</f>
        <v/>
      </c>
      <c r="AU1390" s="82" t="n">
        <f aca="false">IF(AND(OR(AA1390="R",AA1390="NX",AA1390="NT",AA1390="CO"),OR('JOINTS DE RÉPARATION'!$D$5="TOUTES",B1390='JOINTS DE RÉPARATION'!$D$5),OR('JOINTS DE RÉPARATION'!$L$4="TOUS",AQ1390&lt;&gt;"ACCEPTÉ")),1,0)</f>
        <v>0</v>
      </c>
      <c r="AV1390" s="82" t="str">
        <f aca="false">IF(AU1390=1,SUM(AU$7:AU1390),"")</f>
        <v/>
      </c>
      <c r="AW1390" s="82" t="str">
        <f aca="false">IF(E1390="","",B1390&amp;"|"&amp;E1390)</f>
        <v>MFD-ISW → MFD-CPF|JN°1150</v>
      </c>
    </row>
    <row r="1391" customFormat="false" ht="74.6" hidden="false" customHeight="false" outlineLevel="0" collapsed="false">
      <c r="A1391" s="79" t="n">
        <f aca="false">IF(E1391="","",ROW()-6)</f>
        <v>1385</v>
      </c>
      <c r="B1391" s="80" t="s">
        <v>110</v>
      </c>
      <c r="C1391" s="81" t="s">
        <v>926</v>
      </c>
      <c r="D1391" s="81" t="n">
        <v>12</v>
      </c>
      <c r="E1391" s="81" t="s">
        <v>1674</v>
      </c>
      <c r="F1391" s="82" t="str">
        <f aca="false">IF(E1391="","",IF(LEFT(E1391,2)="DJ","DJ","JN"))</f>
        <v>JN</v>
      </c>
      <c r="G1391" s="81"/>
      <c r="H1391" s="81"/>
      <c r="I1391" s="81"/>
      <c r="J1391" s="81"/>
      <c r="K1391" s="81"/>
      <c r="L1391" s="81" t="s">
        <v>1671</v>
      </c>
      <c r="M1391" s="81"/>
      <c r="N1391" s="81"/>
      <c r="O1391" s="81"/>
      <c r="P1391" s="81"/>
      <c r="Q1391" s="81"/>
      <c r="R1391" s="81"/>
      <c r="S1391" s="81"/>
      <c r="T1391" s="81"/>
      <c r="U1391" s="83"/>
      <c r="V1391" s="83"/>
      <c r="W1391" s="81"/>
      <c r="X1391" s="81"/>
      <c r="Y1391" s="83"/>
      <c r="Z1391" s="81"/>
      <c r="AA1391" s="81"/>
      <c r="AB1391" s="81"/>
      <c r="AC1391" s="81"/>
      <c r="AD1391" s="81"/>
      <c r="AE1391" s="83"/>
      <c r="AF1391" s="81"/>
      <c r="AG1391" s="81"/>
      <c r="AH1391" s="81"/>
      <c r="AI1391" s="81"/>
      <c r="AJ1391" s="83"/>
      <c r="AK1391" s="81"/>
      <c r="AL1391" s="81"/>
      <c r="AM1391" s="83"/>
      <c r="AN1391" s="80"/>
      <c r="AO1391" s="82" t="n">
        <f aca="false">IF(E1391="","",(AA1391&lt;&gt;"")+(AG1391&lt;&gt;"")+(AL1391&lt;&gt;""))</f>
        <v>0</v>
      </c>
      <c r="AP1391" s="82" t="str">
        <f aca="false">IF(AL1391&lt;&gt;"",AL1391,IF(AG1391&lt;&gt;"",AG1391,IF(AA1391&lt;&gt;"",AA1391,"")))</f>
        <v/>
      </c>
      <c r="AQ1391" s="84" t="str">
        <f aca="false">IF(E1391="","",IF(U1391="","À SOUDER",IF(X1391="","VT EN ATTENTE",IF(X1391="R","VT REJETÉ – À REPRENDRE",IF(AP1391="","À RADIOGRAPHIER",IF(AP1391="A","ACCEPTÉ",IF(AP1391="NX","NX – RT À REFAIRE",IF(IF(AO1391=1,AD1391,IF(AO1391=2,AI1391,""))="A","RÉPARÉ – À RADIOGRAPHIER",IF(IF(AO1391=1,AD1391,IF(AO1391=2,AI1391,""))="R","VT REJETÉ – À REPRENDRE",IF(OR(AP1391="CO",AP1391="NT"),"COUPE – À RESOUDER","À RÉPARER"))))))))))</f>
        <v>À SOUDER</v>
      </c>
      <c r="AR1391" s="82" t="str">
        <f aca="false">IF(AND(ISNUMBER(U1391),OR(AQ1391="À RADIOGRAPHIER",AQ1391="RÉPARÉ – À RADIOGRAPHIER",AQ1391="NX – RT À REFAIRE",AQ1391="À RÉPARER",AQ1391="COUPE – À RESOUDER",AQ1391="VT REJETÉ – À REPRENDRE")),MAX(0,'PROGRAMME RT'!$C$4-U1391),"")</f>
        <v/>
      </c>
      <c r="AS1391" s="82" t="n">
        <f aca="false">IF(AND(OR(AQ1391="À RADIOGRAPHIER",AQ1391="RÉPARÉ – À RADIOGRAPHIER",AQ1391="NX – RT À REFAIRE"),OR('PROGRAMME RT'!$D$5="TOUTES",B1391='PROGRAMME RT'!$D$5)),1,0)</f>
        <v>0</v>
      </c>
      <c r="AT1391" s="82" t="str">
        <f aca="false">IF(AS1391=1,SUM(AS$7:AS1391),"")</f>
        <v/>
      </c>
      <c r="AU1391" s="82" t="n">
        <f aca="false">IF(AND(OR(AA1391="R",AA1391="NX",AA1391="NT",AA1391="CO"),OR('JOINTS DE RÉPARATION'!$D$5="TOUTES",B1391='JOINTS DE RÉPARATION'!$D$5),OR('JOINTS DE RÉPARATION'!$L$4="TOUS",AQ1391&lt;&gt;"ACCEPTÉ")),1,0)</f>
        <v>0</v>
      </c>
      <c r="AV1391" s="82" t="str">
        <f aca="false">IF(AU1391=1,SUM(AU$7:AU1391),"")</f>
        <v/>
      </c>
      <c r="AW1391" s="82" t="str">
        <f aca="false">IF(E1391="","",B1391&amp;"|"&amp;E1391)</f>
        <v>MFD-ISW → MFD-CPF|JN°1151</v>
      </c>
    </row>
    <row r="1392" customFormat="false" ht="74.6" hidden="false" customHeight="false" outlineLevel="0" collapsed="false">
      <c r="A1392" s="79" t="n">
        <f aca="false">IF(E1392="","",ROW()-6)</f>
        <v>1386</v>
      </c>
      <c r="B1392" s="80" t="s">
        <v>110</v>
      </c>
      <c r="C1392" s="81" t="s">
        <v>926</v>
      </c>
      <c r="D1392" s="81" t="n">
        <v>12</v>
      </c>
      <c r="E1392" s="81" t="s">
        <v>1675</v>
      </c>
      <c r="F1392" s="82" t="str">
        <f aca="false">IF(E1392="","",IF(LEFT(E1392,2)="DJ","DJ","JN"))</f>
        <v>JN</v>
      </c>
      <c r="G1392" s="81"/>
      <c r="H1392" s="81"/>
      <c r="I1392" s="81"/>
      <c r="J1392" s="81"/>
      <c r="K1392" s="81"/>
      <c r="L1392" s="81" t="s">
        <v>1671</v>
      </c>
      <c r="M1392" s="81"/>
      <c r="N1392" s="81"/>
      <c r="O1392" s="81"/>
      <c r="P1392" s="81"/>
      <c r="Q1392" s="81"/>
      <c r="R1392" s="81"/>
      <c r="S1392" s="81"/>
      <c r="T1392" s="81"/>
      <c r="U1392" s="83"/>
      <c r="V1392" s="83"/>
      <c r="W1392" s="81"/>
      <c r="X1392" s="81"/>
      <c r="Y1392" s="83"/>
      <c r="Z1392" s="81"/>
      <c r="AA1392" s="81"/>
      <c r="AB1392" s="81"/>
      <c r="AC1392" s="81"/>
      <c r="AD1392" s="81"/>
      <c r="AE1392" s="83"/>
      <c r="AF1392" s="81"/>
      <c r="AG1392" s="81"/>
      <c r="AH1392" s="81"/>
      <c r="AI1392" s="81"/>
      <c r="AJ1392" s="83"/>
      <c r="AK1392" s="81"/>
      <c r="AL1392" s="81"/>
      <c r="AM1392" s="83"/>
      <c r="AN1392" s="80"/>
      <c r="AO1392" s="82" t="n">
        <f aca="false">IF(E1392="","",(AA1392&lt;&gt;"")+(AG1392&lt;&gt;"")+(AL1392&lt;&gt;""))</f>
        <v>0</v>
      </c>
      <c r="AP1392" s="82" t="str">
        <f aca="false">IF(AL1392&lt;&gt;"",AL1392,IF(AG1392&lt;&gt;"",AG1392,IF(AA1392&lt;&gt;"",AA1392,"")))</f>
        <v/>
      </c>
      <c r="AQ1392" s="84" t="str">
        <f aca="false">IF(E1392="","",IF(U1392="","À SOUDER",IF(X1392="","VT EN ATTENTE",IF(X1392="R","VT REJETÉ – À REPRENDRE",IF(AP1392="","À RADIOGRAPHIER",IF(AP1392="A","ACCEPTÉ",IF(AP1392="NX","NX – RT À REFAIRE",IF(IF(AO1392=1,AD1392,IF(AO1392=2,AI1392,""))="A","RÉPARÉ – À RADIOGRAPHIER",IF(IF(AO1392=1,AD1392,IF(AO1392=2,AI1392,""))="R","VT REJETÉ – À REPRENDRE",IF(OR(AP1392="CO",AP1392="NT"),"COUPE – À RESOUDER","À RÉPARER"))))))))))</f>
        <v>À SOUDER</v>
      </c>
      <c r="AR1392" s="82" t="str">
        <f aca="false">IF(AND(ISNUMBER(U1392),OR(AQ1392="À RADIOGRAPHIER",AQ1392="RÉPARÉ – À RADIOGRAPHIER",AQ1392="NX – RT À REFAIRE",AQ1392="À RÉPARER",AQ1392="COUPE – À RESOUDER",AQ1392="VT REJETÉ – À REPRENDRE")),MAX(0,'PROGRAMME RT'!$C$4-U1392),"")</f>
        <v/>
      </c>
      <c r="AS1392" s="82" t="n">
        <f aca="false">IF(AND(OR(AQ1392="À RADIOGRAPHIER",AQ1392="RÉPARÉ – À RADIOGRAPHIER",AQ1392="NX – RT À REFAIRE"),OR('PROGRAMME RT'!$D$5="TOUTES",B1392='PROGRAMME RT'!$D$5)),1,0)</f>
        <v>0</v>
      </c>
      <c r="AT1392" s="82" t="str">
        <f aca="false">IF(AS1392=1,SUM(AS$7:AS1392),"")</f>
        <v/>
      </c>
      <c r="AU1392" s="82" t="n">
        <f aca="false">IF(AND(OR(AA1392="R",AA1392="NX",AA1392="NT",AA1392="CO"),OR('JOINTS DE RÉPARATION'!$D$5="TOUTES",B1392='JOINTS DE RÉPARATION'!$D$5),OR('JOINTS DE RÉPARATION'!$L$4="TOUS",AQ1392&lt;&gt;"ACCEPTÉ")),1,0)</f>
        <v>0</v>
      </c>
      <c r="AV1392" s="82" t="str">
        <f aca="false">IF(AU1392=1,SUM(AU$7:AU1392),"")</f>
        <v/>
      </c>
      <c r="AW1392" s="82" t="str">
        <f aca="false">IF(E1392="","",B1392&amp;"|"&amp;E1392)</f>
        <v>MFD-ISW → MFD-CPF|JN°1152</v>
      </c>
    </row>
    <row r="1393" customFormat="false" ht="74.6" hidden="false" customHeight="false" outlineLevel="0" collapsed="false">
      <c r="A1393" s="79" t="n">
        <f aca="false">IF(E1393="","",ROW()-6)</f>
        <v>1387</v>
      </c>
      <c r="B1393" s="80" t="s">
        <v>110</v>
      </c>
      <c r="C1393" s="81" t="s">
        <v>926</v>
      </c>
      <c r="D1393" s="81" t="n">
        <v>12</v>
      </c>
      <c r="E1393" s="81" t="s">
        <v>1676</v>
      </c>
      <c r="F1393" s="82" t="str">
        <f aca="false">IF(E1393="","",IF(LEFT(E1393,2)="DJ","DJ","JN"))</f>
        <v>JN</v>
      </c>
      <c r="G1393" s="81"/>
      <c r="H1393" s="81"/>
      <c r="I1393" s="81"/>
      <c r="J1393" s="81"/>
      <c r="K1393" s="81"/>
      <c r="L1393" s="81" t="s">
        <v>1671</v>
      </c>
      <c r="M1393" s="81"/>
      <c r="N1393" s="81"/>
      <c r="O1393" s="81"/>
      <c r="P1393" s="81"/>
      <c r="Q1393" s="81"/>
      <c r="R1393" s="81"/>
      <c r="S1393" s="81"/>
      <c r="T1393" s="81"/>
      <c r="U1393" s="83"/>
      <c r="V1393" s="83"/>
      <c r="W1393" s="81"/>
      <c r="X1393" s="81"/>
      <c r="Y1393" s="83"/>
      <c r="Z1393" s="81"/>
      <c r="AA1393" s="81"/>
      <c r="AB1393" s="81"/>
      <c r="AC1393" s="81"/>
      <c r="AD1393" s="81"/>
      <c r="AE1393" s="83"/>
      <c r="AF1393" s="81"/>
      <c r="AG1393" s="81"/>
      <c r="AH1393" s="81"/>
      <c r="AI1393" s="81"/>
      <c r="AJ1393" s="83"/>
      <c r="AK1393" s="81"/>
      <c r="AL1393" s="81"/>
      <c r="AM1393" s="83"/>
      <c r="AN1393" s="80"/>
      <c r="AO1393" s="82" t="n">
        <f aca="false">IF(E1393="","",(AA1393&lt;&gt;"")+(AG1393&lt;&gt;"")+(AL1393&lt;&gt;""))</f>
        <v>0</v>
      </c>
      <c r="AP1393" s="82" t="str">
        <f aca="false">IF(AL1393&lt;&gt;"",AL1393,IF(AG1393&lt;&gt;"",AG1393,IF(AA1393&lt;&gt;"",AA1393,"")))</f>
        <v/>
      </c>
      <c r="AQ1393" s="84" t="str">
        <f aca="false">IF(E1393="","",IF(U1393="","À SOUDER",IF(X1393="","VT EN ATTENTE",IF(X1393="R","VT REJETÉ – À REPRENDRE",IF(AP1393="","À RADIOGRAPHIER",IF(AP1393="A","ACCEPTÉ",IF(AP1393="NX","NX – RT À REFAIRE",IF(IF(AO1393=1,AD1393,IF(AO1393=2,AI1393,""))="A","RÉPARÉ – À RADIOGRAPHIER",IF(IF(AO1393=1,AD1393,IF(AO1393=2,AI1393,""))="R","VT REJETÉ – À REPRENDRE",IF(OR(AP1393="CO",AP1393="NT"),"COUPE – À RESOUDER","À RÉPARER"))))))))))</f>
        <v>À SOUDER</v>
      </c>
      <c r="AR1393" s="82" t="str">
        <f aca="false">IF(AND(ISNUMBER(U1393),OR(AQ1393="À RADIOGRAPHIER",AQ1393="RÉPARÉ – À RADIOGRAPHIER",AQ1393="NX – RT À REFAIRE",AQ1393="À RÉPARER",AQ1393="COUPE – À RESOUDER",AQ1393="VT REJETÉ – À REPRENDRE")),MAX(0,'PROGRAMME RT'!$C$4-U1393),"")</f>
        <v/>
      </c>
      <c r="AS1393" s="82" t="n">
        <f aca="false">IF(AND(OR(AQ1393="À RADIOGRAPHIER",AQ1393="RÉPARÉ – À RADIOGRAPHIER",AQ1393="NX – RT À REFAIRE"),OR('PROGRAMME RT'!$D$5="TOUTES",B1393='PROGRAMME RT'!$D$5)),1,0)</f>
        <v>0</v>
      </c>
      <c r="AT1393" s="82" t="str">
        <f aca="false">IF(AS1393=1,SUM(AS$7:AS1393),"")</f>
        <v/>
      </c>
      <c r="AU1393" s="82" t="n">
        <f aca="false">IF(AND(OR(AA1393="R",AA1393="NX",AA1393="NT",AA1393="CO"),OR('JOINTS DE RÉPARATION'!$D$5="TOUTES",B1393='JOINTS DE RÉPARATION'!$D$5),OR('JOINTS DE RÉPARATION'!$L$4="TOUS",AQ1393&lt;&gt;"ACCEPTÉ")),1,0)</f>
        <v>0</v>
      </c>
      <c r="AV1393" s="82" t="str">
        <f aca="false">IF(AU1393=1,SUM(AU$7:AU1393),"")</f>
        <v/>
      </c>
      <c r="AW1393" s="82" t="str">
        <f aca="false">IF(E1393="","",B1393&amp;"|"&amp;E1393)</f>
        <v>MFD-ISW → MFD-CPF|JN°1153</v>
      </c>
    </row>
    <row r="1394" customFormat="false" ht="74.6" hidden="false" customHeight="false" outlineLevel="0" collapsed="false">
      <c r="A1394" s="79" t="n">
        <f aca="false">IF(E1394="","",ROW()-6)</f>
        <v>1388</v>
      </c>
      <c r="B1394" s="80" t="s">
        <v>110</v>
      </c>
      <c r="C1394" s="81" t="s">
        <v>926</v>
      </c>
      <c r="D1394" s="81" t="n">
        <v>12</v>
      </c>
      <c r="E1394" s="81" t="s">
        <v>1677</v>
      </c>
      <c r="F1394" s="82" t="str">
        <f aca="false">IF(E1394="","",IF(LEFT(E1394,2)="DJ","DJ","JN"))</f>
        <v>JN</v>
      </c>
      <c r="G1394" s="81"/>
      <c r="H1394" s="81"/>
      <c r="I1394" s="81"/>
      <c r="J1394" s="81"/>
      <c r="K1394" s="81"/>
      <c r="L1394" s="81" t="s">
        <v>1671</v>
      </c>
      <c r="M1394" s="81"/>
      <c r="N1394" s="81"/>
      <c r="O1394" s="81"/>
      <c r="P1394" s="81"/>
      <c r="Q1394" s="81"/>
      <c r="R1394" s="81"/>
      <c r="S1394" s="81"/>
      <c r="T1394" s="81"/>
      <c r="U1394" s="83"/>
      <c r="V1394" s="83"/>
      <c r="W1394" s="81"/>
      <c r="X1394" s="81"/>
      <c r="Y1394" s="83"/>
      <c r="Z1394" s="81"/>
      <c r="AA1394" s="81"/>
      <c r="AB1394" s="81"/>
      <c r="AC1394" s="81"/>
      <c r="AD1394" s="81"/>
      <c r="AE1394" s="83"/>
      <c r="AF1394" s="81"/>
      <c r="AG1394" s="81"/>
      <c r="AH1394" s="81"/>
      <c r="AI1394" s="81"/>
      <c r="AJ1394" s="83"/>
      <c r="AK1394" s="81"/>
      <c r="AL1394" s="81"/>
      <c r="AM1394" s="83"/>
      <c r="AN1394" s="80"/>
      <c r="AO1394" s="82" t="n">
        <f aca="false">IF(E1394="","",(AA1394&lt;&gt;"")+(AG1394&lt;&gt;"")+(AL1394&lt;&gt;""))</f>
        <v>0</v>
      </c>
      <c r="AP1394" s="82" t="str">
        <f aca="false">IF(AL1394&lt;&gt;"",AL1394,IF(AG1394&lt;&gt;"",AG1394,IF(AA1394&lt;&gt;"",AA1394,"")))</f>
        <v/>
      </c>
      <c r="AQ1394" s="84" t="str">
        <f aca="false">IF(E1394="","",IF(U1394="","À SOUDER",IF(X1394="","VT EN ATTENTE",IF(X1394="R","VT REJETÉ – À REPRENDRE",IF(AP1394="","À RADIOGRAPHIER",IF(AP1394="A","ACCEPTÉ",IF(AP1394="NX","NX – RT À REFAIRE",IF(IF(AO1394=1,AD1394,IF(AO1394=2,AI1394,""))="A","RÉPARÉ – À RADIOGRAPHIER",IF(IF(AO1394=1,AD1394,IF(AO1394=2,AI1394,""))="R","VT REJETÉ – À REPRENDRE",IF(OR(AP1394="CO",AP1394="NT"),"COUPE – À RESOUDER","À RÉPARER"))))))))))</f>
        <v>À SOUDER</v>
      </c>
      <c r="AR1394" s="82" t="str">
        <f aca="false">IF(AND(ISNUMBER(U1394),OR(AQ1394="À RADIOGRAPHIER",AQ1394="RÉPARÉ – À RADIOGRAPHIER",AQ1394="NX – RT À REFAIRE",AQ1394="À RÉPARER",AQ1394="COUPE – À RESOUDER",AQ1394="VT REJETÉ – À REPRENDRE")),MAX(0,'PROGRAMME RT'!$C$4-U1394),"")</f>
        <v/>
      </c>
      <c r="AS1394" s="82" t="n">
        <f aca="false">IF(AND(OR(AQ1394="À RADIOGRAPHIER",AQ1394="RÉPARÉ – À RADIOGRAPHIER",AQ1394="NX – RT À REFAIRE"),OR('PROGRAMME RT'!$D$5="TOUTES",B1394='PROGRAMME RT'!$D$5)),1,0)</f>
        <v>0</v>
      </c>
      <c r="AT1394" s="82" t="str">
        <f aca="false">IF(AS1394=1,SUM(AS$7:AS1394),"")</f>
        <v/>
      </c>
      <c r="AU1394" s="82" t="n">
        <f aca="false">IF(AND(OR(AA1394="R",AA1394="NX",AA1394="NT",AA1394="CO"),OR('JOINTS DE RÉPARATION'!$D$5="TOUTES",B1394='JOINTS DE RÉPARATION'!$D$5),OR('JOINTS DE RÉPARATION'!$L$4="TOUS",AQ1394&lt;&gt;"ACCEPTÉ")),1,0)</f>
        <v>0</v>
      </c>
      <c r="AV1394" s="82" t="str">
        <f aca="false">IF(AU1394=1,SUM(AU$7:AU1394),"")</f>
        <v/>
      </c>
      <c r="AW1394" s="82" t="str">
        <f aca="false">IF(E1394="","",B1394&amp;"|"&amp;E1394)</f>
        <v>MFD-ISW → MFD-CPF|JN°1154</v>
      </c>
    </row>
    <row r="1395" customFormat="false" ht="74.6" hidden="false" customHeight="false" outlineLevel="0" collapsed="false">
      <c r="A1395" s="79" t="n">
        <f aca="false">IF(E1395="","",ROW()-6)</f>
        <v>1389</v>
      </c>
      <c r="B1395" s="80" t="s">
        <v>110</v>
      </c>
      <c r="C1395" s="81" t="s">
        <v>926</v>
      </c>
      <c r="D1395" s="81" t="n">
        <v>12</v>
      </c>
      <c r="E1395" s="81" t="s">
        <v>1678</v>
      </c>
      <c r="F1395" s="82" t="str">
        <f aca="false">IF(E1395="","",IF(LEFT(E1395,2)="DJ","DJ","JN"))</f>
        <v>JN</v>
      </c>
      <c r="G1395" s="81"/>
      <c r="H1395" s="81"/>
      <c r="I1395" s="81"/>
      <c r="J1395" s="81"/>
      <c r="K1395" s="81"/>
      <c r="L1395" s="81" t="s">
        <v>1671</v>
      </c>
      <c r="M1395" s="81"/>
      <c r="N1395" s="81"/>
      <c r="O1395" s="81"/>
      <c r="P1395" s="81"/>
      <c r="Q1395" s="81"/>
      <c r="R1395" s="81"/>
      <c r="S1395" s="81"/>
      <c r="T1395" s="81"/>
      <c r="U1395" s="83"/>
      <c r="V1395" s="83"/>
      <c r="W1395" s="81"/>
      <c r="X1395" s="81"/>
      <c r="Y1395" s="83"/>
      <c r="Z1395" s="81"/>
      <c r="AA1395" s="81"/>
      <c r="AB1395" s="81"/>
      <c r="AC1395" s="81"/>
      <c r="AD1395" s="81"/>
      <c r="AE1395" s="83"/>
      <c r="AF1395" s="81"/>
      <c r="AG1395" s="81"/>
      <c r="AH1395" s="81"/>
      <c r="AI1395" s="81"/>
      <c r="AJ1395" s="83"/>
      <c r="AK1395" s="81"/>
      <c r="AL1395" s="81"/>
      <c r="AM1395" s="83"/>
      <c r="AN1395" s="80"/>
      <c r="AO1395" s="82" t="n">
        <f aca="false">IF(E1395="","",(AA1395&lt;&gt;"")+(AG1395&lt;&gt;"")+(AL1395&lt;&gt;""))</f>
        <v>0</v>
      </c>
      <c r="AP1395" s="82" t="str">
        <f aca="false">IF(AL1395&lt;&gt;"",AL1395,IF(AG1395&lt;&gt;"",AG1395,IF(AA1395&lt;&gt;"",AA1395,"")))</f>
        <v/>
      </c>
      <c r="AQ1395" s="84" t="str">
        <f aca="false">IF(E1395="","",IF(U1395="","À SOUDER",IF(X1395="","VT EN ATTENTE",IF(X1395="R","VT REJETÉ – À REPRENDRE",IF(AP1395="","À RADIOGRAPHIER",IF(AP1395="A","ACCEPTÉ",IF(AP1395="NX","NX – RT À REFAIRE",IF(IF(AO1395=1,AD1395,IF(AO1395=2,AI1395,""))="A","RÉPARÉ – À RADIOGRAPHIER",IF(IF(AO1395=1,AD1395,IF(AO1395=2,AI1395,""))="R","VT REJETÉ – À REPRENDRE",IF(OR(AP1395="CO",AP1395="NT"),"COUPE – À RESOUDER","À RÉPARER"))))))))))</f>
        <v>À SOUDER</v>
      </c>
      <c r="AR1395" s="82" t="str">
        <f aca="false">IF(AND(ISNUMBER(U1395),OR(AQ1395="À RADIOGRAPHIER",AQ1395="RÉPARÉ – À RADIOGRAPHIER",AQ1395="NX – RT À REFAIRE",AQ1395="À RÉPARER",AQ1395="COUPE – À RESOUDER",AQ1395="VT REJETÉ – À REPRENDRE")),MAX(0,'PROGRAMME RT'!$C$4-U1395),"")</f>
        <v/>
      </c>
      <c r="AS1395" s="82" t="n">
        <f aca="false">IF(AND(OR(AQ1395="À RADIOGRAPHIER",AQ1395="RÉPARÉ – À RADIOGRAPHIER",AQ1395="NX – RT À REFAIRE"),OR('PROGRAMME RT'!$D$5="TOUTES",B1395='PROGRAMME RT'!$D$5)),1,0)</f>
        <v>0</v>
      </c>
      <c r="AT1395" s="82" t="str">
        <f aca="false">IF(AS1395=1,SUM(AS$7:AS1395),"")</f>
        <v/>
      </c>
      <c r="AU1395" s="82" t="n">
        <f aca="false">IF(AND(OR(AA1395="R",AA1395="NX",AA1395="NT",AA1395="CO"),OR('JOINTS DE RÉPARATION'!$D$5="TOUTES",B1395='JOINTS DE RÉPARATION'!$D$5),OR('JOINTS DE RÉPARATION'!$L$4="TOUS",AQ1395&lt;&gt;"ACCEPTÉ")),1,0)</f>
        <v>0</v>
      </c>
      <c r="AV1395" s="82" t="str">
        <f aca="false">IF(AU1395=1,SUM(AU$7:AU1395),"")</f>
        <v/>
      </c>
      <c r="AW1395" s="82" t="str">
        <f aca="false">IF(E1395="","",B1395&amp;"|"&amp;E1395)</f>
        <v>MFD-ISW → MFD-CPF|JN°1155</v>
      </c>
    </row>
    <row r="1396" customFormat="false" ht="74.6" hidden="false" customHeight="false" outlineLevel="0" collapsed="false">
      <c r="A1396" s="79" t="n">
        <f aca="false">IF(E1396="","",ROW()-6)</f>
        <v>1390</v>
      </c>
      <c r="B1396" s="80" t="s">
        <v>110</v>
      </c>
      <c r="C1396" s="81" t="s">
        <v>926</v>
      </c>
      <c r="D1396" s="81" t="n">
        <v>12</v>
      </c>
      <c r="E1396" s="81" t="s">
        <v>1679</v>
      </c>
      <c r="F1396" s="82" t="str">
        <f aca="false">IF(E1396="","",IF(LEFT(E1396,2)="DJ","DJ","JN"))</f>
        <v>JN</v>
      </c>
      <c r="G1396" s="81"/>
      <c r="H1396" s="81"/>
      <c r="I1396" s="81"/>
      <c r="J1396" s="81"/>
      <c r="K1396" s="81"/>
      <c r="L1396" s="81" t="s">
        <v>1671</v>
      </c>
      <c r="M1396" s="81"/>
      <c r="N1396" s="81"/>
      <c r="O1396" s="81"/>
      <c r="P1396" s="81"/>
      <c r="Q1396" s="81"/>
      <c r="R1396" s="81"/>
      <c r="S1396" s="81"/>
      <c r="T1396" s="81"/>
      <c r="U1396" s="83"/>
      <c r="V1396" s="83"/>
      <c r="W1396" s="81"/>
      <c r="X1396" s="81"/>
      <c r="Y1396" s="83"/>
      <c r="Z1396" s="81"/>
      <c r="AA1396" s="81"/>
      <c r="AB1396" s="81"/>
      <c r="AC1396" s="81"/>
      <c r="AD1396" s="81"/>
      <c r="AE1396" s="83"/>
      <c r="AF1396" s="81"/>
      <c r="AG1396" s="81"/>
      <c r="AH1396" s="81"/>
      <c r="AI1396" s="81"/>
      <c r="AJ1396" s="83"/>
      <c r="AK1396" s="81"/>
      <c r="AL1396" s="81"/>
      <c r="AM1396" s="83"/>
      <c r="AN1396" s="80"/>
      <c r="AO1396" s="82" t="n">
        <f aca="false">IF(E1396="","",(AA1396&lt;&gt;"")+(AG1396&lt;&gt;"")+(AL1396&lt;&gt;""))</f>
        <v>0</v>
      </c>
      <c r="AP1396" s="82" t="str">
        <f aca="false">IF(AL1396&lt;&gt;"",AL1396,IF(AG1396&lt;&gt;"",AG1396,IF(AA1396&lt;&gt;"",AA1396,"")))</f>
        <v/>
      </c>
      <c r="AQ1396" s="84" t="str">
        <f aca="false">IF(E1396="","",IF(U1396="","À SOUDER",IF(X1396="","VT EN ATTENTE",IF(X1396="R","VT REJETÉ – À REPRENDRE",IF(AP1396="","À RADIOGRAPHIER",IF(AP1396="A","ACCEPTÉ",IF(AP1396="NX","NX – RT À REFAIRE",IF(IF(AO1396=1,AD1396,IF(AO1396=2,AI1396,""))="A","RÉPARÉ – À RADIOGRAPHIER",IF(IF(AO1396=1,AD1396,IF(AO1396=2,AI1396,""))="R","VT REJETÉ – À REPRENDRE",IF(OR(AP1396="CO",AP1396="NT"),"COUPE – À RESOUDER","À RÉPARER"))))))))))</f>
        <v>À SOUDER</v>
      </c>
      <c r="AR1396" s="82" t="str">
        <f aca="false">IF(AND(ISNUMBER(U1396),OR(AQ1396="À RADIOGRAPHIER",AQ1396="RÉPARÉ – À RADIOGRAPHIER",AQ1396="NX – RT À REFAIRE",AQ1396="À RÉPARER",AQ1396="COUPE – À RESOUDER",AQ1396="VT REJETÉ – À REPRENDRE")),MAX(0,'PROGRAMME RT'!$C$4-U1396),"")</f>
        <v/>
      </c>
      <c r="AS1396" s="82" t="n">
        <f aca="false">IF(AND(OR(AQ1396="À RADIOGRAPHIER",AQ1396="RÉPARÉ – À RADIOGRAPHIER",AQ1396="NX – RT À REFAIRE"),OR('PROGRAMME RT'!$D$5="TOUTES",B1396='PROGRAMME RT'!$D$5)),1,0)</f>
        <v>0</v>
      </c>
      <c r="AT1396" s="82" t="str">
        <f aca="false">IF(AS1396=1,SUM(AS$7:AS1396),"")</f>
        <v/>
      </c>
      <c r="AU1396" s="82" t="n">
        <f aca="false">IF(AND(OR(AA1396="R",AA1396="NX",AA1396="NT",AA1396="CO"),OR('JOINTS DE RÉPARATION'!$D$5="TOUTES",B1396='JOINTS DE RÉPARATION'!$D$5),OR('JOINTS DE RÉPARATION'!$L$4="TOUS",AQ1396&lt;&gt;"ACCEPTÉ")),1,0)</f>
        <v>0</v>
      </c>
      <c r="AV1396" s="82" t="str">
        <f aca="false">IF(AU1396=1,SUM(AU$7:AU1396),"")</f>
        <v/>
      </c>
      <c r="AW1396" s="82" t="str">
        <f aca="false">IF(E1396="","",B1396&amp;"|"&amp;E1396)</f>
        <v>MFD-ISW → MFD-CPF|JN°1156</v>
      </c>
    </row>
    <row r="1397" customFormat="false" ht="74.6" hidden="false" customHeight="false" outlineLevel="0" collapsed="false">
      <c r="A1397" s="79" t="n">
        <f aca="false">IF(E1397="","",ROW()-6)</f>
        <v>1391</v>
      </c>
      <c r="B1397" s="80" t="s">
        <v>110</v>
      </c>
      <c r="C1397" s="81" t="s">
        <v>926</v>
      </c>
      <c r="D1397" s="81" t="n">
        <v>12</v>
      </c>
      <c r="E1397" s="81" t="s">
        <v>1680</v>
      </c>
      <c r="F1397" s="82" t="str">
        <f aca="false">IF(E1397="","",IF(LEFT(E1397,2)="DJ","DJ","JN"))</f>
        <v>JN</v>
      </c>
      <c r="G1397" s="81"/>
      <c r="H1397" s="81"/>
      <c r="I1397" s="81"/>
      <c r="J1397" s="81"/>
      <c r="K1397" s="81"/>
      <c r="L1397" s="81" t="s">
        <v>1671</v>
      </c>
      <c r="M1397" s="81"/>
      <c r="N1397" s="81"/>
      <c r="O1397" s="81"/>
      <c r="P1397" s="81"/>
      <c r="Q1397" s="81"/>
      <c r="R1397" s="81"/>
      <c r="S1397" s="81"/>
      <c r="T1397" s="81"/>
      <c r="U1397" s="83"/>
      <c r="V1397" s="83"/>
      <c r="W1397" s="81"/>
      <c r="X1397" s="81"/>
      <c r="Y1397" s="83"/>
      <c r="Z1397" s="81"/>
      <c r="AA1397" s="81"/>
      <c r="AB1397" s="81"/>
      <c r="AC1397" s="81"/>
      <c r="AD1397" s="81"/>
      <c r="AE1397" s="83"/>
      <c r="AF1397" s="81"/>
      <c r="AG1397" s="81"/>
      <c r="AH1397" s="81"/>
      <c r="AI1397" s="81"/>
      <c r="AJ1397" s="83"/>
      <c r="AK1397" s="81"/>
      <c r="AL1397" s="81"/>
      <c r="AM1397" s="83"/>
      <c r="AN1397" s="80"/>
      <c r="AO1397" s="82" t="n">
        <f aca="false">IF(E1397="","",(AA1397&lt;&gt;"")+(AG1397&lt;&gt;"")+(AL1397&lt;&gt;""))</f>
        <v>0</v>
      </c>
      <c r="AP1397" s="82" t="str">
        <f aca="false">IF(AL1397&lt;&gt;"",AL1397,IF(AG1397&lt;&gt;"",AG1397,IF(AA1397&lt;&gt;"",AA1397,"")))</f>
        <v/>
      </c>
      <c r="AQ1397" s="84" t="str">
        <f aca="false">IF(E1397="","",IF(U1397="","À SOUDER",IF(X1397="","VT EN ATTENTE",IF(X1397="R","VT REJETÉ – À REPRENDRE",IF(AP1397="","À RADIOGRAPHIER",IF(AP1397="A","ACCEPTÉ",IF(AP1397="NX","NX – RT À REFAIRE",IF(IF(AO1397=1,AD1397,IF(AO1397=2,AI1397,""))="A","RÉPARÉ – À RADIOGRAPHIER",IF(IF(AO1397=1,AD1397,IF(AO1397=2,AI1397,""))="R","VT REJETÉ – À REPRENDRE",IF(OR(AP1397="CO",AP1397="NT"),"COUPE – À RESOUDER","À RÉPARER"))))))))))</f>
        <v>À SOUDER</v>
      </c>
      <c r="AR1397" s="82" t="str">
        <f aca="false">IF(AND(ISNUMBER(U1397),OR(AQ1397="À RADIOGRAPHIER",AQ1397="RÉPARÉ – À RADIOGRAPHIER",AQ1397="NX – RT À REFAIRE",AQ1397="À RÉPARER",AQ1397="COUPE – À RESOUDER",AQ1397="VT REJETÉ – À REPRENDRE")),MAX(0,'PROGRAMME RT'!$C$4-U1397),"")</f>
        <v/>
      </c>
      <c r="AS1397" s="82" t="n">
        <f aca="false">IF(AND(OR(AQ1397="À RADIOGRAPHIER",AQ1397="RÉPARÉ – À RADIOGRAPHIER",AQ1397="NX – RT À REFAIRE"),OR('PROGRAMME RT'!$D$5="TOUTES",B1397='PROGRAMME RT'!$D$5)),1,0)</f>
        <v>0</v>
      </c>
      <c r="AT1397" s="82" t="str">
        <f aca="false">IF(AS1397=1,SUM(AS$7:AS1397),"")</f>
        <v/>
      </c>
      <c r="AU1397" s="82" t="n">
        <f aca="false">IF(AND(OR(AA1397="R",AA1397="NX",AA1397="NT",AA1397="CO"),OR('JOINTS DE RÉPARATION'!$D$5="TOUTES",B1397='JOINTS DE RÉPARATION'!$D$5),OR('JOINTS DE RÉPARATION'!$L$4="TOUS",AQ1397&lt;&gt;"ACCEPTÉ")),1,0)</f>
        <v>0</v>
      </c>
      <c r="AV1397" s="82" t="str">
        <f aca="false">IF(AU1397=1,SUM(AU$7:AU1397),"")</f>
        <v/>
      </c>
      <c r="AW1397" s="82" t="str">
        <f aca="false">IF(E1397="","",B1397&amp;"|"&amp;E1397)</f>
        <v>MFD-ISW → MFD-CPF|JN°1157</v>
      </c>
    </row>
    <row r="1398" customFormat="false" ht="74.6" hidden="false" customHeight="false" outlineLevel="0" collapsed="false">
      <c r="A1398" s="79" t="n">
        <f aca="false">IF(E1398="","",ROW()-6)</f>
        <v>1392</v>
      </c>
      <c r="B1398" s="80" t="s">
        <v>110</v>
      </c>
      <c r="C1398" s="81" t="s">
        <v>926</v>
      </c>
      <c r="D1398" s="81" t="n">
        <v>12</v>
      </c>
      <c r="E1398" s="81" t="s">
        <v>1681</v>
      </c>
      <c r="F1398" s="82" t="str">
        <f aca="false">IF(E1398="","",IF(LEFT(E1398,2)="DJ","DJ","JN"))</f>
        <v>JN</v>
      </c>
      <c r="G1398" s="81"/>
      <c r="H1398" s="81"/>
      <c r="I1398" s="81"/>
      <c r="J1398" s="81"/>
      <c r="K1398" s="81"/>
      <c r="L1398" s="81" t="s">
        <v>1671</v>
      </c>
      <c r="M1398" s="81"/>
      <c r="N1398" s="81"/>
      <c r="O1398" s="81"/>
      <c r="P1398" s="81"/>
      <c r="Q1398" s="81"/>
      <c r="R1398" s="81"/>
      <c r="S1398" s="81"/>
      <c r="T1398" s="81"/>
      <c r="U1398" s="83"/>
      <c r="V1398" s="83"/>
      <c r="W1398" s="81"/>
      <c r="X1398" s="81"/>
      <c r="Y1398" s="83"/>
      <c r="Z1398" s="81"/>
      <c r="AA1398" s="81"/>
      <c r="AB1398" s="81"/>
      <c r="AC1398" s="81"/>
      <c r="AD1398" s="81"/>
      <c r="AE1398" s="83"/>
      <c r="AF1398" s="81"/>
      <c r="AG1398" s="81"/>
      <c r="AH1398" s="81"/>
      <c r="AI1398" s="81"/>
      <c r="AJ1398" s="83"/>
      <c r="AK1398" s="81"/>
      <c r="AL1398" s="81"/>
      <c r="AM1398" s="83"/>
      <c r="AN1398" s="80"/>
      <c r="AO1398" s="82" t="n">
        <f aca="false">IF(E1398="","",(AA1398&lt;&gt;"")+(AG1398&lt;&gt;"")+(AL1398&lt;&gt;""))</f>
        <v>0</v>
      </c>
      <c r="AP1398" s="82" t="str">
        <f aca="false">IF(AL1398&lt;&gt;"",AL1398,IF(AG1398&lt;&gt;"",AG1398,IF(AA1398&lt;&gt;"",AA1398,"")))</f>
        <v/>
      </c>
      <c r="AQ1398" s="84" t="str">
        <f aca="false">IF(E1398="","",IF(U1398="","À SOUDER",IF(X1398="","VT EN ATTENTE",IF(X1398="R","VT REJETÉ – À REPRENDRE",IF(AP1398="","À RADIOGRAPHIER",IF(AP1398="A","ACCEPTÉ",IF(AP1398="NX","NX – RT À REFAIRE",IF(IF(AO1398=1,AD1398,IF(AO1398=2,AI1398,""))="A","RÉPARÉ – À RADIOGRAPHIER",IF(IF(AO1398=1,AD1398,IF(AO1398=2,AI1398,""))="R","VT REJETÉ – À REPRENDRE",IF(OR(AP1398="CO",AP1398="NT"),"COUPE – À RESOUDER","À RÉPARER"))))))))))</f>
        <v>À SOUDER</v>
      </c>
      <c r="AR1398" s="82" t="str">
        <f aca="false">IF(AND(ISNUMBER(U1398),OR(AQ1398="À RADIOGRAPHIER",AQ1398="RÉPARÉ – À RADIOGRAPHIER",AQ1398="NX – RT À REFAIRE",AQ1398="À RÉPARER",AQ1398="COUPE – À RESOUDER",AQ1398="VT REJETÉ – À REPRENDRE")),MAX(0,'PROGRAMME RT'!$C$4-U1398),"")</f>
        <v/>
      </c>
      <c r="AS1398" s="82" t="n">
        <f aca="false">IF(AND(OR(AQ1398="À RADIOGRAPHIER",AQ1398="RÉPARÉ – À RADIOGRAPHIER",AQ1398="NX – RT À REFAIRE"),OR('PROGRAMME RT'!$D$5="TOUTES",B1398='PROGRAMME RT'!$D$5)),1,0)</f>
        <v>0</v>
      </c>
      <c r="AT1398" s="82" t="str">
        <f aca="false">IF(AS1398=1,SUM(AS$7:AS1398),"")</f>
        <v/>
      </c>
      <c r="AU1398" s="82" t="n">
        <f aca="false">IF(AND(OR(AA1398="R",AA1398="NX",AA1398="NT",AA1398="CO"),OR('JOINTS DE RÉPARATION'!$D$5="TOUTES",B1398='JOINTS DE RÉPARATION'!$D$5),OR('JOINTS DE RÉPARATION'!$L$4="TOUS",AQ1398&lt;&gt;"ACCEPTÉ")),1,0)</f>
        <v>0</v>
      </c>
      <c r="AV1398" s="82" t="str">
        <f aca="false">IF(AU1398=1,SUM(AU$7:AU1398),"")</f>
        <v/>
      </c>
      <c r="AW1398" s="82" t="str">
        <f aca="false">IF(E1398="","",B1398&amp;"|"&amp;E1398)</f>
        <v>MFD-ISW → MFD-CPF|JN°1158</v>
      </c>
    </row>
    <row r="1399" customFormat="false" ht="74.6" hidden="false" customHeight="false" outlineLevel="0" collapsed="false">
      <c r="A1399" s="79" t="n">
        <f aca="false">IF(E1399="","",ROW()-6)</f>
        <v>1393</v>
      </c>
      <c r="B1399" s="80" t="s">
        <v>110</v>
      </c>
      <c r="C1399" s="81" t="s">
        <v>926</v>
      </c>
      <c r="D1399" s="81" t="n">
        <v>12</v>
      </c>
      <c r="E1399" s="81" t="s">
        <v>1682</v>
      </c>
      <c r="F1399" s="82" t="str">
        <f aca="false">IF(E1399="","",IF(LEFT(E1399,2)="DJ","DJ","JN"))</f>
        <v>JN</v>
      </c>
      <c r="G1399" s="81"/>
      <c r="H1399" s="81"/>
      <c r="I1399" s="81"/>
      <c r="J1399" s="81"/>
      <c r="K1399" s="81"/>
      <c r="L1399" s="81" t="s">
        <v>1671</v>
      </c>
      <c r="M1399" s="81"/>
      <c r="N1399" s="81"/>
      <c r="O1399" s="81"/>
      <c r="P1399" s="81"/>
      <c r="Q1399" s="81"/>
      <c r="R1399" s="81"/>
      <c r="S1399" s="81"/>
      <c r="T1399" s="81"/>
      <c r="U1399" s="83"/>
      <c r="V1399" s="83"/>
      <c r="W1399" s="81"/>
      <c r="X1399" s="81"/>
      <c r="Y1399" s="83"/>
      <c r="Z1399" s="81"/>
      <c r="AA1399" s="81"/>
      <c r="AB1399" s="81"/>
      <c r="AC1399" s="81"/>
      <c r="AD1399" s="81"/>
      <c r="AE1399" s="83"/>
      <c r="AF1399" s="81"/>
      <c r="AG1399" s="81"/>
      <c r="AH1399" s="81"/>
      <c r="AI1399" s="81"/>
      <c r="AJ1399" s="83"/>
      <c r="AK1399" s="81"/>
      <c r="AL1399" s="81"/>
      <c r="AM1399" s="83"/>
      <c r="AN1399" s="80"/>
      <c r="AO1399" s="82" t="n">
        <f aca="false">IF(E1399="","",(AA1399&lt;&gt;"")+(AG1399&lt;&gt;"")+(AL1399&lt;&gt;""))</f>
        <v>0</v>
      </c>
      <c r="AP1399" s="82" t="str">
        <f aca="false">IF(AL1399&lt;&gt;"",AL1399,IF(AG1399&lt;&gt;"",AG1399,IF(AA1399&lt;&gt;"",AA1399,"")))</f>
        <v/>
      </c>
      <c r="AQ1399" s="84" t="str">
        <f aca="false">IF(E1399="","",IF(U1399="","À SOUDER",IF(X1399="","VT EN ATTENTE",IF(X1399="R","VT REJETÉ – À REPRENDRE",IF(AP1399="","À RADIOGRAPHIER",IF(AP1399="A","ACCEPTÉ",IF(AP1399="NX","NX – RT À REFAIRE",IF(IF(AO1399=1,AD1399,IF(AO1399=2,AI1399,""))="A","RÉPARÉ – À RADIOGRAPHIER",IF(IF(AO1399=1,AD1399,IF(AO1399=2,AI1399,""))="R","VT REJETÉ – À REPRENDRE",IF(OR(AP1399="CO",AP1399="NT"),"COUPE – À RESOUDER","À RÉPARER"))))))))))</f>
        <v>À SOUDER</v>
      </c>
      <c r="AR1399" s="82" t="str">
        <f aca="false">IF(AND(ISNUMBER(U1399),OR(AQ1399="À RADIOGRAPHIER",AQ1399="RÉPARÉ – À RADIOGRAPHIER",AQ1399="NX – RT À REFAIRE",AQ1399="À RÉPARER",AQ1399="COUPE – À RESOUDER",AQ1399="VT REJETÉ – À REPRENDRE")),MAX(0,'PROGRAMME RT'!$C$4-U1399),"")</f>
        <v/>
      </c>
      <c r="AS1399" s="82" t="n">
        <f aca="false">IF(AND(OR(AQ1399="À RADIOGRAPHIER",AQ1399="RÉPARÉ – À RADIOGRAPHIER",AQ1399="NX – RT À REFAIRE"),OR('PROGRAMME RT'!$D$5="TOUTES",B1399='PROGRAMME RT'!$D$5)),1,0)</f>
        <v>0</v>
      </c>
      <c r="AT1399" s="82" t="str">
        <f aca="false">IF(AS1399=1,SUM(AS$7:AS1399),"")</f>
        <v/>
      </c>
      <c r="AU1399" s="82" t="n">
        <f aca="false">IF(AND(OR(AA1399="R",AA1399="NX",AA1399="NT",AA1399="CO"),OR('JOINTS DE RÉPARATION'!$D$5="TOUTES",B1399='JOINTS DE RÉPARATION'!$D$5),OR('JOINTS DE RÉPARATION'!$L$4="TOUS",AQ1399&lt;&gt;"ACCEPTÉ")),1,0)</f>
        <v>0</v>
      </c>
      <c r="AV1399" s="82" t="str">
        <f aca="false">IF(AU1399=1,SUM(AU$7:AU1399),"")</f>
        <v/>
      </c>
      <c r="AW1399" s="82" t="str">
        <f aca="false">IF(E1399="","",B1399&amp;"|"&amp;E1399)</f>
        <v>MFD-ISW → MFD-CPF|JN°1159</v>
      </c>
    </row>
    <row r="1400" customFormat="false" ht="74.6" hidden="false" customHeight="false" outlineLevel="0" collapsed="false">
      <c r="A1400" s="79" t="n">
        <f aca="false">IF(E1400="","",ROW()-6)</f>
        <v>1394</v>
      </c>
      <c r="B1400" s="80" t="s">
        <v>110</v>
      </c>
      <c r="C1400" s="81" t="s">
        <v>926</v>
      </c>
      <c r="D1400" s="81" t="n">
        <v>12</v>
      </c>
      <c r="E1400" s="81" t="s">
        <v>1683</v>
      </c>
      <c r="F1400" s="82" t="str">
        <f aca="false">IF(E1400="","",IF(LEFT(E1400,2)="DJ","DJ","JN"))</f>
        <v>JN</v>
      </c>
      <c r="G1400" s="81"/>
      <c r="H1400" s="81"/>
      <c r="I1400" s="81"/>
      <c r="J1400" s="81"/>
      <c r="K1400" s="81"/>
      <c r="L1400" s="81" t="s">
        <v>1671</v>
      </c>
      <c r="M1400" s="81"/>
      <c r="N1400" s="81"/>
      <c r="O1400" s="81"/>
      <c r="P1400" s="81"/>
      <c r="Q1400" s="81"/>
      <c r="R1400" s="81"/>
      <c r="S1400" s="81"/>
      <c r="T1400" s="81"/>
      <c r="U1400" s="83"/>
      <c r="V1400" s="83"/>
      <c r="W1400" s="81"/>
      <c r="X1400" s="81"/>
      <c r="Y1400" s="83"/>
      <c r="Z1400" s="81"/>
      <c r="AA1400" s="81"/>
      <c r="AB1400" s="81"/>
      <c r="AC1400" s="81"/>
      <c r="AD1400" s="81"/>
      <c r="AE1400" s="83"/>
      <c r="AF1400" s="81"/>
      <c r="AG1400" s="81"/>
      <c r="AH1400" s="81"/>
      <c r="AI1400" s="81"/>
      <c r="AJ1400" s="83"/>
      <c r="AK1400" s="81"/>
      <c r="AL1400" s="81"/>
      <c r="AM1400" s="83"/>
      <c r="AN1400" s="80"/>
      <c r="AO1400" s="82" t="n">
        <f aca="false">IF(E1400="","",(AA1400&lt;&gt;"")+(AG1400&lt;&gt;"")+(AL1400&lt;&gt;""))</f>
        <v>0</v>
      </c>
      <c r="AP1400" s="82" t="str">
        <f aca="false">IF(AL1400&lt;&gt;"",AL1400,IF(AG1400&lt;&gt;"",AG1400,IF(AA1400&lt;&gt;"",AA1400,"")))</f>
        <v/>
      </c>
      <c r="AQ1400" s="84" t="str">
        <f aca="false">IF(E1400="","",IF(U1400="","À SOUDER",IF(X1400="","VT EN ATTENTE",IF(X1400="R","VT REJETÉ – À REPRENDRE",IF(AP1400="","À RADIOGRAPHIER",IF(AP1400="A","ACCEPTÉ",IF(AP1400="NX","NX – RT À REFAIRE",IF(IF(AO1400=1,AD1400,IF(AO1400=2,AI1400,""))="A","RÉPARÉ – À RADIOGRAPHIER",IF(IF(AO1400=1,AD1400,IF(AO1400=2,AI1400,""))="R","VT REJETÉ – À REPRENDRE",IF(OR(AP1400="CO",AP1400="NT"),"COUPE – À RESOUDER","À RÉPARER"))))))))))</f>
        <v>À SOUDER</v>
      </c>
      <c r="AR1400" s="82" t="str">
        <f aca="false">IF(AND(ISNUMBER(U1400),OR(AQ1400="À RADIOGRAPHIER",AQ1400="RÉPARÉ – À RADIOGRAPHIER",AQ1400="NX – RT À REFAIRE",AQ1400="À RÉPARER",AQ1400="COUPE – À RESOUDER",AQ1400="VT REJETÉ – À REPRENDRE")),MAX(0,'PROGRAMME RT'!$C$4-U1400),"")</f>
        <v/>
      </c>
      <c r="AS1400" s="82" t="n">
        <f aca="false">IF(AND(OR(AQ1400="À RADIOGRAPHIER",AQ1400="RÉPARÉ – À RADIOGRAPHIER",AQ1400="NX – RT À REFAIRE"),OR('PROGRAMME RT'!$D$5="TOUTES",B1400='PROGRAMME RT'!$D$5)),1,0)</f>
        <v>0</v>
      </c>
      <c r="AT1400" s="82" t="str">
        <f aca="false">IF(AS1400=1,SUM(AS$7:AS1400),"")</f>
        <v/>
      </c>
      <c r="AU1400" s="82" t="n">
        <f aca="false">IF(AND(OR(AA1400="R",AA1400="NX",AA1400="NT",AA1400="CO"),OR('JOINTS DE RÉPARATION'!$D$5="TOUTES",B1400='JOINTS DE RÉPARATION'!$D$5),OR('JOINTS DE RÉPARATION'!$L$4="TOUS",AQ1400&lt;&gt;"ACCEPTÉ")),1,0)</f>
        <v>0</v>
      </c>
      <c r="AV1400" s="82" t="str">
        <f aca="false">IF(AU1400=1,SUM(AU$7:AU1400),"")</f>
        <v/>
      </c>
      <c r="AW1400" s="82" t="str">
        <f aca="false">IF(E1400="","",B1400&amp;"|"&amp;E1400)</f>
        <v>MFD-ISW → MFD-CPF|JN°1160</v>
      </c>
    </row>
    <row r="1401" customFormat="false" ht="74.6" hidden="false" customHeight="false" outlineLevel="0" collapsed="false">
      <c r="A1401" s="79" t="n">
        <f aca="false">IF(E1401="","",ROW()-6)</f>
        <v>1395</v>
      </c>
      <c r="B1401" s="80" t="s">
        <v>110</v>
      </c>
      <c r="C1401" s="81" t="s">
        <v>926</v>
      </c>
      <c r="D1401" s="81" t="n">
        <v>12</v>
      </c>
      <c r="E1401" s="81" t="s">
        <v>1684</v>
      </c>
      <c r="F1401" s="82" t="str">
        <f aca="false">IF(E1401="","",IF(LEFT(E1401,2)="DJ","DJ","JN"))</f>
        <v>JN</v>
      </c>
      <c r="G1401" s="81"/>
      <c r="H1401" s="81"/>
      <c r="I1401" s="81"/>
      <c r="J1401" s="81"/>
      <c r="K1401" s="81"/>
      <c r="L1401" s="81" t="s">
        <v>1671</v>
      </c>
      <c r="M1401" s="81"/>
      <c r="N1401" s="81"/>
      <c r="O1401" s="81"/>
      <c r="P1401" s="81"/>
      <c r="Q1401" s="81"/>
      <c r="R1401" s="81"/>
      <c r="S1401" s="81"/>
      <c r="T1401" s="81"/>
      <c r="U1401" s="83"/>
      <c r="V1401" s="83"/>
      <c r="W1401" s="81"/>
      <c r="X1401" s="81"/>
      <c r="Y1401" s="83"/>
      <c r="Z1401" s="81"/>
      <c r="AA1401" s="81"/>
      <c r="AB1401" s="81"/>
      <c r="AC1401" s="81"/>
      <c r="AD1401" s="81"/>
      <c r="AE1401" s="83"/>
      <c r="AF1401" s="81"/>
      <c r="AG1401" s="81"/>
      <c r="AH1401" s="81"/>
      <c r="AI1401" s="81"/>
      <c r="AJ1401" s="83"/>
      <c r="AK1401" s="81"/>
      <c r="AL1401" s="81"/>
      <c r="AM1401" s="83"/>
      <c r="AN1401" s="80"/>
      <c r="AO1401" s="82" t="n">
        <f aca="false">IF(E1401="","",(AA1401&lt;&gt;"")+(AG1401&lt;&gt;"")+(AL1401&lt;&gt;""))</f>
        <v>0</v>
      </c>
      <c r="AP1401" s="82" t="str">
        <f aca="false">IF(AL1401&lt;&gt;"",AL1401,IF(AG1401&lt;&gt;"",AG1401,IF(AA1401&lt;&gt;"",AA1401,"")))</f>
        <v/>
      </c>
      <c r="AQ1401" s="84" t="str">
        <f aca="false">IF(E1401="","",IF(U1401="","À SOUDER",IF(X1401="","VT EN ATTENTE",IF(X1401="R","VT REJETÉ – À REPRENDRE",IF(AP1401="","À RADIOGRAPHIER",IF(AP1401="A","ACCEPTÉ",IF(AP1401="NX","NX – RT À REFAIRE",IF(IF(AO1401=1,AD1401,IF(AO1401=2,AI1401,""))="A","RÉPARÉ – À RADIOGRAPHIER",IF(IF(AO1401=1,AD1401,IF(AO1401=2,AI1401,""))="R","VT REJETÉ – À REPRENDRE",IF(OR(AP1401="CO",AP1401="NT"),"COUPE – À RESOUDER","À RÉPARER"))))))))))</f>
        <v>À SOUDER</v>
      </c>
      <c r="AR1401" s="82" t="str">
        <f aca="false">IF(AND(ISNUMBER(U1401),OR(AQ1401="À RADIOGRAPHIER",AQ1401="RÉPARÉ – À RADIOGRAPHIER",AQ1401="NX – RT À REFAIRE",AQ1401="À RÉPARER",AQ1401="COUPE – À RESOUDER",AQ1401="VT REJETÉ – À REPRENDRE")),MAX(0,'PROGRAMME RT'!$C$4-U1401),"")</f>
        <v/>
      </c>
      <c r="AS1401" s="82" t="n">
        <f aca="false">IF(AND(OR(AQ1401="À RADIOGRAPHIER",AQ1401="RÉPARÉ – À RADIOGRAPHIER",AQ1401="NX – RT À REFAIRE"),OR('PROGRAMME RT'!$D$5="TOUTES",B1401='PROGRAMME RT'!$D$5)),1,0)</f>
        <v>0</v>
      </c>
      <c r="AT1401" s="82" t="str">
        <f aca="false">IF(AS1401=1,SUM(AS$7:AS1401),"")</f>
        <v/>
      </c>
      <c r="AU1401" s="82" t="n">
        <f aca="false">IF(AND(OR(AA1401="R",AA1401="NX",AA1401="NT",AA1401="CO"),OR('JOINTS DE RÉPARATION'!$D$5="TOUTES",B1401='JOINTS DE RÉPARATION'!$D$5),OR('JOINTS DE RÉPARATION'!$L$4="TOUS",AQ1401&lt;&gt;"ACCEPTÉ")),1,0)</f>
        <v>0</v>
      </c>
      <c r="AV1401" s="82" t="str">
        <f aca="false">IF(AU1401=1,SUM(AU$7:AU1401),"")</f>
        <v/>
      </c>
      <c r="AW1401" s="82" t="str">
        <f aca="false">IF(E1401="","",B1401&amp;"|"&amp;E1401)</f>
        <v>MFD-ISW → MFD-CPF|JN°1161</v>
      </c>
    </row>
    <row r="1402" customFormat="false" ht="74.6" hidden="false" customHeight="false" outlineLevel="0" collapsed="false">
      <c r="A1402" s="79" t="n">
        <f aca="false">IF(E1402="","",ROW()-6)</f>
        <v>1396</v>
      </c>
      <c r="B1402" s="80" t="s">
        <v>110</v>
      </c>
      <c r="C1402" s="81" t="s">
        <v>926</v>
      </c>
      <c r="D1402" s="81" t="n">
        <v>12</v>
      </c>
      <c r="E1402" s="81" t="s">
        <v>1685</v>
      </c>
      <c r="F1402" s="82" t="str">
        <f aca="false">IF(E1402="","",IF(LEFT(E1402,2)="DJ","DJ","JN"))</f>
        <v>JN</v>
      </c>
      <c r="G1402" s="81"/>
      <c r="H1402" s="81"/>
      <c r="I1402" s="81"/>
      <c r="J1402" s="81"/>
      <c r="K1402" s="81"/>
      <c r="L1402" s="81" t="s">
        <v>1671</v>
      </c>
      <c r="M1402" s="81"/>
      <c r="N1402" s="81"/>
      <c r="O1402" s="81"/>
      <c r="P1402" s="81"/>
      <c r="Q1402" s="81"/>
      <c r="R1402" s="81"/>
      <c r="S1402" s="81"/>
      <c r="T1402" s="81"/>
      <c r="U1402" s="83"/>
      <c r="V1402" s="83"/>
      <c r="W1402" s="81"/>
      <c r="X1402" s="81"/>
      <c r="Y1402" s="83"/>
      <c r="Z1402" s="81"/>
      <c r="AA1402" s="81"/>
      <c r="AB1402" s="81"/>
      <c r="AC1402" s="81"/>
      <c r="AD1402" s="81"/>
      <c r="AE1402" s="83"/>
      <c r="AF1402" s="81"/>
      <c r="AG1402" s="81"/>
      <c r="AH1402" s="81"/>
      <c r="AI1402" s="81"/>
      <c r="AJ1402" s="83"/>
      <c r="AK1402" s="81"/>
      <c r="AL1402" s="81"/>
      <c r="AM1402" s="83"/>
      <c r="AN1402" s="80"/>
      <c r="AO1402" s="82" t="n">
        <f aca="false">IF(E1402="","",(AA1402&lt;&gt;"")+(AG1402&lt;&gt;"")+(AL1402&lt;&gt;""))</f>
        <v>0</v>
      </c>
      <c r="AP1402" s="82" t="str">
        <f aca="false">IF(AL1402&lt;&gt;"",AL1402,IF(AG1402&lt;&gt;"",AG1402,IF(AA1402&lt;&gt;"",AA1402,"")))</f>
        <v/>
      </c>
      <c r="AQ1402" s="84" t="str">
        <f aca="false">IF(E1402="","",IF(U1402="","À SOUDER",IF(X1402="","VT EN ATTENTE",IF(X1402="R","VT REJETÉ – À REPRENDRE",IF(AP1402="","À RADIOGRAPHIER",IF(AP1402="A","ACCEPTÉ",IF(AP1402="NX","NX – RT À REFAIRE",IF(IF(AO1402=1,AD1402,IF(AO1402=2,AI1402,""))="A","RÉPARÉ – À RADIOGRAPHIER",IF(IF(AO1402=1,AD1402,IF(AO1402=2,AI1402,""))="R","VT REJETÉ – À REPRENDRE",IF(OR(AP1402="CO",AP1402="NT"),"COUPE – À RESOUDER","À RÉPARER"))))))))))</f>
        <v>À SOUDER</v>
      </c>
      <c r="AR1402" s="82" t="str">
        <f aca="false">IF(AND(ISNUMBER(U1402),OR(AQ1402="À RADIOGRAPHIER",AQ1402="RÉPARÉ – À RADIOGRAPHIER",AQ1402="NX – RT À REFAIRE",AQ1402="À RÉPARER",AQ1402="COUPE – À RESOUDER",AQ1402="VT REJETÉ – À REPRENDRE")),MAX(0,'PROGRAMME RT'!$C$4-U1402),"")</f>
        <v/>
      </c>
      <c r="AS1402" s="82" t="n">
        <f aca="false">IF(AND(OR(AQ1402="À RADIOGRAPHIER",AQ1402="RÉPARÉ – À RADIOGRAPHIER",AQ1402="NX – RT À REFAIRE"),OR('PROGRAMME RT'!$D$5="TOUTES",B1402='PROGRAMME RT'!$D$5)),1,0)</f>
        <v>0</v>
      </c>
      <c r="AT1402" s="82" t="str">
        <f aca="false">IF(AS1402=1,SUM(AS$7:AS1402),"")</f>
        <v/>
      </c>
      <c r="AU1402" s="82" t="n">
        <f aca="false">IF(AND(OR(AA1402="R",AA1402="NX",AA1402="NT",AA1402="CO"),OR('JOINTS DE RÉPARATION'!$D$5="TOUTES",B1402='JOINTS DE RÉPARATION'!$D$5),OR('JOINTS DE RÉPARATION'!$L$4="TOUS",AQ1402&lt;&gt;"ACCEPTÉ")),1,0)</f>
        <v>0</v>
      </c>
      <c r="AV1402" s="82" t="str">
        <f aca="false">IF(AU1402=1,SUM(AU$7:AU1402),"")</f>
        <v/>
      </c>
      <c r="AW1402" s="82" t="str">
        <f aca="false">IF(E1402="","",B1402&amp;"|"&amp;E1402)</f>
        <v>MFD-ISW → MFD-CPF|JN°1162</v>
      </c>
    </row>
    <row r="1403" customFormat="false" ht="74.6" hidden="false" customHeight="false" outlineLevel="0" collapsed="false">
      <c r="A1403" s="79" t="n">
        <f aca="false">IF(E1403="","",ROW()-6)</f>
        <v>1397</v>
      </c>
      <c r="B1403" s="80" t="s">
        <v>110</v>
      </c>
      <c r="C1403" s="81" t="s">
        <v>926</v>
      </c>
      <c r="D1403" s="81" t="n">
        <v>12</v>
      </c>
      <c r="E1403" s="81" t="s">
        <v>1686</v>
      </c>
      <c r="F1403" s="82" t="str">
        <f aca="false">IF(E1403="","",IF(LEFT(E1403,2)="DJ","DJ","JN"))</f>
        <v>JN</v>
      </c>
      <c r="G1403" s="81"/>
      <c r="H1403" s="81"/>
      <c r="I1403" s="81"/>
      <c r="J1403" s="81"/>
      <c r="K1403" s="81"/>
      <c r="L1403" s="81" t="s">
        <v>1671</v>
      </c>
      <c r="M1403" s="81"/>
      <c r="N1403" s="81"/>
      <c r="O1403" s="81"/>
      <c r="P1403" s="81"/>
      <c r="Q1403" s="81"/>
      <c r="R1403" s="81"/>
      <c r="S1403" s="81"/>
      <c r="T1403" s="81"/>
      <c r="U1403" s="83"/>
      <c r="V1403" s="83"/>
      <c r="W1403" s="81"/>
      <c r="X1403" s="81"/>
      <c r="Y1403" s="83"/>
      <c r="Z1403" s="81"/>
      <c r="AA1403" s="81"/>
      <c r="AB1403" s="81"/>
      <c r="AC1403" s="81"/>
      <c r="AD1403" s="81"/>
      <c r="AE1403" s="83"/>
      <c r="AF1403" s="81"/>
      <c r="AG1403" s="81"/>
      <c r="AH1403" s="81"/>
      <c r="AI1403" s="81"/>
      <c r="AJ1403" s="83"/>
      <c r="AK1403" s="81"/>
      <c r="AL1403" s="81"/>
      <c r="AM1403" s="83"/>
      <c r="AN1403" s="80"/>
      <c r="AO1403" s="82" t="n">
        <f aca="false">IF(E1403="","",(AA1403&lt;&gt;"")+(AG1403&lt;&gt;"")+(AL1403&lt;&gt;""))</f>
        <v>0</v>
      </c>
      <c r="AP1403" s="82" t="str">
        <f aca="false">IF(AL1403&lt;&gt;"",AL1403,IF(AG1403&lt;&gt;"",AG1403,IF(AA1403&lt;&gt;"",AA1403,"")))</f>
        <v/>
      </c>
      <c r="AQ1403" s="84" t="str">
        <f aca="false">IF(E1403="","",IF(U1403="","À SOUDER",IF(X1403="","VT EN ATTENTE",IF(X1403="R","VT REJETÉ – À REPRENDRE",IF(AP1403="","À RADIOGRAPHIER",IF(AP1403="A","ACCEPTÉ",IF(AP1403="NX","NX – RT À REFAIRE",IF(IF(AO1403=1,AD1403,IF(AO1403=2,AI1403,""))="A","RÉPARÉ – À RADIOGRAPHIER",IF(IF(AO1403=1,AD1403,IF(AO1403=2,AI1403,""))="R","VT REJETÉ – À REPRENDRE",IF(OR(AP1403="CO",AP1403="NT"),"COUPE – À RESOUDER","À RÉPARER"))))))))))</f>
        <v>À SOUDER</v>
      </c>
      <c r="AR1403" s="82" t="str">
        <f aca="false">IF(AND(ISNUMBER(U1403),OR(AQ1403="À RADIOGRAPHIER",AQ1403="RÉPARÉ – À RADIOGRAPHIER",AQ1403="NX – RT À REFAIRE",AQ1403="À RÉPARER",AQ1403="COUPE – À RESOUDER",AQ1403="VT REJETÉ – À REPRENDRE")),MAX(0,'PROGRAMME RT'!$C$4-U1403),"")</f>
        <v/>
      </c>
      <c r="AS1403" s="82" t="n">
        <f aca="false">IF(AND(OR(AQ1403="À RADIOGRAPHIER",AQ1403="RÉPARÉ – À RADIOGRAPHIER",AQ1403="NX – RT À REFAIRE"),OR('PROGRAMME RT'!$D$5="TOUTES",B1403='PROGRAMME RT'!$D$5)),1,0)</f>
        <v>0</v>
      </c>
      <c r="AT1403" s="82" t="str">
        <f aca="false">IF(AS1403=1,SUM(AS$7:AS1403),"")</f>
        <v/>
      </c>
      <c r="AU1403" s="82" t="n">
        <f aca="false">IF(AND(OR(AA1403="R",AA1403="NX",AA1403="NT",AA1403="CO"),OR('JOINTS DE RÉPARATION'!$D$5="TOUTES",B1403='JOINTS DE RÉPARATION'!$D$5),OR('JOINTS DE RÉPARATION'!$L$4="TOUS",AQ1403&lt;&gt;"ACCEPTÉ")),1,0)</f>
        <v>0</v>
      </c>
      <c r="AV1403" s="82" t="str">
        <f aca="false">IF(AU1403=1,SUM(AU$7:AU1403),"")</f>
        <v/>
      </c>
      <c r="AW1403" s="82" t="str">
        <f aca="false">IF(E1403="","",B1403&amp;"|"&amp;E1403)</f>
        <v>MFD-ISW → MFD-CPF|JN°1163</v>
      </c>
    </row>
    <row r="1404" customFormat="false" ht="74.6" hidden="false" customHeight="false" outlineLevel="0" collapsed="false">
      <c r="A1404" s="79" t="n">
        <f aca="false">IF(E1404="","",ROW()-6)</f>
        <v>1398</v>
      </c>
      <c r="B1404" s="80" t="s">
        <v>110</v>
      </c>
      <c r="C1404" s="81" t="s">
        <v>926</v>
      </c>
      <c r="D1404" s="81" t="n">
        <v>12</v>
      </c>
      <c r="E1404" s="81" t="s">
        <v>1687</v>
      </c>
      <c r="F1404" s="82" t="str">
        <f aca="false">IF(E1404="","",IF(LEFT(E1404,2)="DJ","DJ","JN"))</f>
        <v>JN</v>
      </c>
      <c r="G1404" s="81"/>
      <c r="H1404" s="81"/>
      <c r="I1404" s="81"/>
      <c r="J1404" s="81"/>
      <c r="K1404" s="81"/>
      <c r="L1404" s="81" t="s">
        <v>1671</v>
      </c>
      <c r="M1404" s="81"/>
      <c r="N1404" s="81"/>
      <c r="O1404" s="81"/>
      <c r="P1404" s="81"/>
      <c r="Q1404" s="81"/>
      <c r="R1404" s="81"/>
      <c r="S1404" s="81"/>
      <c r="T1404" s="81"/>
      <c r="U1404" s="83"/>
      <c r="V1404" s="83"/>
      <c r="W1404" s="81"/>
      <c r="X1404" s="81"/>
      <c r="Y1404" s="83"/>
      <c r="Z1404" s="81"/>
      <c r="AA1404" s="81"/>
      <c r="AB1404" s="81"/>
      <c r="AC1404" s="81"/>
      <c r="AD1404" s="81"/>
      <c r="AE1404" s="83"/>
      <c r="AF1404" s="81"/>
      <c r="AG1404" s="81"/>
      <c r="AH1404" s="81"/>
      <c r="AI1404" s="81"/>
      <c r="AJ1404" s="83"/>
      <c r="AK1404" s="81"/>
      <c r="AL1404" s="81"/>
      <c r="AM1404" s="83"/>
      <c r="AN1404" s="80"/>
      <c r="AO1404" s="82" t="n">
        <f aca="false">IF(E1404="","",(AA1404&lt;&gt;"")+(AG1404&lt;&gt;"")+(AL1404&lt;&gt;""))</f>
        <v>0</v>
      </c>
      <c r="AP1404" s="82" t="str">
        <f aca="false">IF(AL1404&lt;&gt;"",AL1404,IF(AG1404&lt;&gt;"",AG1404,IF(AA1404&lt;&gt;"",AA1404,"")))</f>
        <v/>
      </c>
      <c r="AQ1404" s="84" t="str">
        <f aca="false">IF(E1404="","",IF(U1404="","À SOUDER",IF(X1404="","VT EN ATTENTE",IF(X1404="R","VT REJETÉ – À REPRENDRE",IF(AP1404="","À RADIOGRAPHIER",IF(AP1404="A","ACCEPTÉ",IF(AP1404="NX","NX – RT À REFAIRE",IF(IF(AO1404=1,AD1404,IF(AO1404=2,AI1404,""))="A","RÉPARÉ – À RADIOGRAPHIER",IF(IF(AO1404=1,AD1404,IF(AO1404=2,AI1404,""))="R","VT REJETÉ – À REPRENDRE",IF(OR(AP1404="CO",AP1404="NT"),"COUPE – À RESOUDER","À RÉPARER"))))))))))</f>
        <v>À SOUDER</v>
      </c>
      <c r="AR1404" s="82" t="str">
        <f aca="false">IF(AND(ISNUMBER(U1404),OR(AQ1404="À RADIOGRAPHIER",AQ1404="RÉPARÉ – À RADIOGRAPHIER",AQ1404="NX – RT À REFAIRE",AQ1404="À RÉPARER",AQ1404="COUPE – À RESOUDER",AQ1404="VT REJETÉ – À REPRENDRE")),MAX(0,'PROGRAMME RT'!$C$4-U1404),"")</f>
        <v/>
      </c>
      <c r="AS1404" s="82" t="n">
        <f aca="false">IF(AND(OR(AQ1404="À RADIOGRAPHIER",AQ1404="RÉPARÉ – À RADIOGRAPHIER",AQ1404="NX – RT À REFAIRE"),OR('PROGRAMME RT'!$D$5="TOUTES",B1404='PROGRAMME RT'!$D$5)),1,0)</f>
        <v>0</v>
      </c>
      <c r="AT1404" s="82" t="str">
        <f aca="false">IF(AS1404=1,SUM(AS$7:AS1404),"")</f>
        <v/>
      </c>
      <c r="AU1404" s="82" t="n">
        <f aca="false">IF(AND(OR(AA1404="R",AA1404="NX",AA1404="NT",AA1404="CO"),OR('JOINTS DE RÉPARATION'!$D$5="TOUTES",B1404='JOINTS DE RÉPARATION'!$D$5),OR('JOINTS DE RÉPARATION'!$L$4="TOUS",AQ1404&lt;&gt;"ACCEPTÉ")),1,0)</f>
        <v>0</v>
      </c>
      <c r="AV1404" s="82" t="str">
        <f aca="false">IF(AU1404=1,SUM(AU$7:AU1404),"")</f>
        <v/>
      </c>
      <c r="AW1404" s="82" t="str">
        <f aca="false">IF(E1404="","",B1404&amp;"|"&amp;E1404)</f>
        <v>MFD-ISW → MFD-CPF|JN°1164</v>
      </c>
    </row>
    <row r="1405" customFormat="false" ht="74.6" hidden="false" customHeight="false" outlineLevel="0" collapsed="false">
      <c r="A1405" s="79" t="n">
        <f aca="false">IF(E1405="","",ROW()-6)</f>
        <v>1399</v>
      </c>
      <c r="B1405" s="80" t="s">
        <v>110</v>
      </c>
      <c r="C1405" s="81" t="s">
        <v>926</v>
      </c>
      <c r="D1405" s="81" t="n">
        <v>12</v>
      </c>
      <c r="E1405" s="81" t="s">
        <v>1688</v>
      </c>
      <c r="F1405" s="82" t="str">
        <f aca="false">IF(E1405="","",IF(LEFT(E1405,2)="DJ","DJ","JN"))</f>
        <v>JN</v>
      </c>
      <c r="G1405" s="81"/>
      <c r="H1405" s="81"/>
      <c r="I1405" s="81"/>
      <c r="J1405" s="81"/>
      <c r="K1405" s="81"/>
      <c r="L1405" s="81" t="s">
        <v>1671</v>
      </c>
      <c r="M1405" s="81"/>
      <c r="N1405" s="81"/>
      <c r="O1405" s="81"/>
      <c r="P1405" s="81"/>
      <c r="Q1405" s="81"/>
      <c r="R1405" s="81"/>
      <c r="S1405" s="81"/>
      <c r="T1405" s="81"/>
      <c r="U1405" s="83"/>
      <c r="V1405" s="83"/>
      <c r="W1405" s="81"/>
      <c r="X1405" s="81"/>
      <c r="Y1405" s="83"/>
      <c r="Z1405" s="81"/>
      <c r="AA1405" s="81"/>
      <c r="AB1405" s="81"/>
      <c r="AC1405" s="81"/>
      <c r="AD1405" s="81"/>
      <c r="AE1405" s="83"/>
      <c r="AF1405" s="81"/>
      <c r="AG1405" s="81"/>
      <c r="AH1405" s="81"/>
      <c r="AI1405" s="81"/>
      <c r="AJ1405" s="83"/>
      <c r="AK1405" s="81"/>
      <c r="AL1405" s="81"/>
      <c r="AM1405" s="83"/>
      <c r="AN1405" s="80"/>
      <c r="AO1405" s="82" t="n">
        <f aca="false">IF(E1405="","",(AA1405&lt;&gt;"")+(AG1405&lt;&gt;"")+(AL1405&lt;&gt;""))</f>
        <v>0</v>
      </c>
      <c r="AP1405" s="82" t="str">
        <f aca="false">IF(AL1405&lt;&gt;"",AL1405,IF(AG1405&lt;&gt;"",AG1405,IF(AA1405&lt;&gt;"",AA1405,"")))</f>
        <v/>
      </c>
      <c r="AQ1405" s="84" t="str">
        <f aca="false">IF(E1405="","",IF(U1405="","À SOUDER",IF(X1405="","VT EN ATTENTE",IF(X1405="R","VT REJETÉ – À REPRENDRE",IF(AP1405="","À RADIOGRAPHIER",IF(AP1405="A","ACCEPTÉ",IF(AP1405="NX","NX – RT À REFAIRE",IF(IF(AO1405=1,AD1405,IF(AO1405=2,AI1405,""))="A","RÉPARÉ – À RADIOGRAPHIER",IF(IF(AO1405=1,AD1405,IF(AO1405=2,AI1405,""))="R","VT REJETÉ – À REPRENDRE",IF(OR(AP1405="CO",AP1405="NT"),"COUPE – À RESOUDER","À RÉPARER"))))))))))</f>
        <v>À SOUDER</v>
      </c>
      <c r="AR1405" s="82" t="str">
        <f aca="false">IF(AND(ISNUMBER(U1405),OR(AQ1405="À RADIOGRAPHIER",AQ1405="RÉPARÉ – À RADIOGRAPHIER",AQ1405="NX – RT À REFAIRE",AQ1405="À RÉPARER",AQ1405="COUPE – À RESOUDER",AQ1405="VT REJETÉ – À REPRENDRE")),MAX(0,'PROGRAMME RT'!$C$4-U1405),"")</f>
        <v/>
      </c>
      <c r="AS1405" s="82" t="n">
        <f aca="false">IF(AND(OR(AQ1405="À RADIOGRAPHIER",AQ1405="RÉPARÉ – À RADIOGRAPHIER",AQ1405="NX – RT À REFAIRE"),OR('PROGRAMME RT'!$D$5="TOUTES",B1405='PROGRAMME RT'!$D$5)),1,0)</f>
        <v>0</v>
      </c>
      <c r="AT1405" s="82" t="str">
        <f aca="false">IF(AS1405=1,SUM(AS$7:AS1405),"")</f>
        <v/>
      </c>
      <c r="AU1405" s="82" t="n">
        <f aca="false">IF(AND(OR(AA1405="R",AA1405="NX",AA1405="NT",AA1405="CO"),OR('JOINTS DE RÉPARATION'!$D$5="TOUTES",B1405='JOINTS DE RÉPARATION'!$D$5),OR('JOINTS DE RÉPARATION'!$L$4="TOUS",AQ1405&lt;&gt;"ACCEPTÉ")),1,0)</f>
        <v>0</v>
      </c>
      <c r="AV1405" s="82" t="str">
        <f aca="false">IF(AU1405=1,SUM(AU$7:AU1405),"")</f>
        <v/>
      </c>
      <c r="AW1405" s="82" t="str">
        <f aca="false">IF(E1405="","",B1405&amp;"|"&amp;E1405)</f>
        <v>MFD-ISW → MFD-CPF|JN°1165</v>
      </c>
    </row>
    <row r="1406" customFormat="false" ht="74.6" hidden="false" customHeight="false" outlineLevel="0" collapsed="false">
      <c r="A1406" s="79" t="n">
        <f aca="false">IF(E1406="","",ROW()-6)</f>
        <v>1400</v>
      </c>
      <c r="B1406" s="80" t="s">
        <v>110</v>
      </c>
      <c r="C1406" s="81" t="s">
        <v>926</v>
      </c>
      <c r="D1406" s="81" t="n">
        <v>12</v>
      </c>
      <c r="E1406" s="81" t="s">
        <v>1689</v>
      </c>
      <c r="F1406" s="82" t="str">
        <f aca="false">IF(E1406="","",IF(LEFT(E1406,2)="DJ","DJ","JN"))</f>
        <v>JN</v>
      </c>
      <c r="G1406" s="81"/>
      <c r="H1406" s="81"/>
      <c r="I1406" s="81"/>
      <c r="J1406" s="81"/>
      <c r="K1406" s="81"/>
      <c r="L1406" s="81" t="s">
        <v>1671</v>
      </c>
      <c r="M1406" s="81"/>
      <c r="N1406" s="81"/>
      <c r="O1406" s="81"/>
      <c r="P1406" s="81"/>
      <c r="Q1406" s="81"/>
      <c r="R1406" s="81"/>
      <c r="S1406" s="81"/>
      <c r="T1406" s="81"/>
      <c r="U1406" s="83"/>
      <c r="V1406" s="83"/>
      <c r="W1406" s="81"/>
      <c r="X1406" s="81"/>
      <c r="Y1406" s="83"/>
      <c r="Z1406" s="81"/>
      <c r="AA1406" s="81"/>
      <c r="AB1406" s="81"/>
      <c r="AC1406" s="81"/>
      <c r="AD1406" s="81"/>
      <c r="AE1406" s="83"/>
      <c r="AF1406" s="81"/>
      <c r="AG1406" s="81"/>
      <c r="AH1406" s="81"/>
      <c r="AI1406" s="81"/>
      <c r="AJ1406" s="83"/>
      <c r="AK1406" s="81"/>
      <c r="AL1406" s="81"/>
      <c r="AM1406" s="83"/>
      <c r="AN1406" s="80"/>
      <c r="AO1406" s="82" t="n">
        <f aca="false">IF(E1406="","",(AA1406&lt;&gt;"")+(AG1406&lt;&gt;"")+(AL1406&lt;&gt;""))</f>
        <v>0</v>
      </c>
      <c r="AP1406" s="82" t="str">
        <f aca="false">IF(AL1406&lt;&gt;"",AL1406,IF(AG1406&lt;&gt;"",AG1406,IF(AA1406&lt;&gt;"",AA1406,"")))</f>
        <v/>
      </c>
      <c r="AQ1406" s="84" t="str">
        <f aca="false">IF(E1406="","",IF(U1406="","À SOUDER",IF(X1406="","VT EN ATTENTE",IF(X1406="R","VT REJETÉ – À REPRENDRE",IF(AP1406="","À RADIOGRAPHIER",IF(AP1406="A","ACCEPTÉ",IF(AP1406="NX","NX – RT À REFAIRE",IF(IF(AO1406=1,AD1406,IF(AO1406=2,AI1406,""))="A","RÉPARÉ – À RADIOGRAPHIER",IF(IF(AO1406=1,AD1406,IF(AO1406=2,AI1406,""))="R","VT REJETÉ – À REPRENDRE",IF(OR(AP1406="CO",AP1406="NT"),"COUPE – À RESOUDER","À RÉPARER"))))))))))</f>
        <v>À SOUDER</v>
      </c>
      <c r="AR1406" s="82" t="str">
        <f aca="false">IF(AND(ISNUMBER(U1406),OR(AQ1406="À RADIOGRAPHIER",AQ1406="RÉPARÉ – À RADIOGRAPHIER",AQ1406="NX – RT À REFAIRE",AQ1406="À RÉPARER",AQ1406="COUPE – À RESOUDER",AQ1406="VT REJETÉ – À REPRENDRE")),MAX(0,'PROGRAMME RT'!$C$4-U1406),"")</f>
        <v/>
      </c>
      <c r="AS1406" s="82" t="n">
        <f aca="false">IF(AND(OR(AQ1406="À RADIOGRAPHIER",AQ1406="RÉPARÉ – À RADIOGRAPHIER",AQ1406="NX – RT À REFAIRE"),OR('PROGRAMME RT'!$D$5="TOUTES",B1406='PROGRAMME RT'!$D$5)),1,0)</f>
        <v>0</v>
      </c>
      <c r="AT1406" s="82" t="str">
        <f aca="false">IF(AS1406=1,SUM(AS$7:AS1406),"")</f>
        <v/>
      </c>
      <c r="AU1406" s="82" t="n">
        <f aca="false">IF(AND(OR(AA1406="R",AA1406="NX",AA1406="NT",AA1406="CO"),OR('JOINTS DE RÉPARATION'!$D$5="TOUTES",B1406='JOINTS DE RÉPARATION'!$D$5),OR('JOINTS DE RÉPARATION'!$L$4="TOUS",AQ1406&lt;&gt;"ACCEPTÉ")),1,0)</f>
        <v>0</v>
      </c>
      <c r="AV1406" s="82" t="str">
        <f aca="false">IF(AU1406=1,SUM(AU$7:AU1406),"")</f>
        <v/>
      </c>
      <c r="AW1406" s="82" t="str">
        <f aca="false">IF(E1406="","",B1406&amp;"|"&amp;E1406)</f>
        <v>MFD-ISW → MFD-CPF|JN°1166</v>
      </c>
    </row>
    <row r="1407" customFormat="false" ht="74.6" hidden="false" customHeight="false" outlineLevel="0" collapsed="false">
      <c r="A1407" s="79" t="n">
        <f aca="false">IF(E1407="","",ROW()-6)</f>
        <v>1401</v>
      </c>
      <c r="B1407" s="80" t="s">
        <v>110</v>
      </c>
      <c r="C1407" s="81" t="s">
        <v>926</v>
      </c>
      <c r="D1407" s="81" t="n">
        <v>12</v>
      </c>
      <c r="E1407" s="81" t="s">
        <v>1690</v>
      </c>
      <c r="F1407" s="82" t="str">
        <f aca="false">IF(E1407="","",IF(LEFT(E1407,2)="DJ","DJ","JN"))</f>
        <v>JN</v>
      </c>
      <c r="G1407" s="81"/>
      <c r="H1407" s="81"/>
      <c r="I1407" s="81"/>
      <c r="J1407" s="81"/>
      <c r="K1407" s="81"/>
      <c r="L1407" s="81" t="s">
        <v>1671</v>
      </c>
      <c r="M1407" s="81"/>
      <c r="N1407" s="81"/>
      <c r="O1407" s="81"/>
      <c r="P1407" s="81"/>
      <c r="Q1407" s="81"/>
      <c r="R1407" s="81"/>
      <c r="S1407" s="81"/>
      <c r="T1407" s="81"/>
      <c r="U1407" s="83"/>
      <c r="V1407" s="83"/>
      <c r="W1407" s="81"/>
      <c r="X1407" s="81"/>
      <c r="Y1407" s="83"/>
      <c r="Z1407" s="81"/>
      <c r="AA1407" s="81"/>
      <c r="AB1407" s="81"/>
      <c r="AC1407" s="81"/>
      <c r="AD1407" s="81"/>
      <c r="AE1407" s="83"/>
      <c r="AF1407" s="81"/>
      <c r="AG1407" s="81"/>
      <c r="AH1407" s="81"/>
      <c r="AI1407" s="81"/>
      <c r="AJ1407" s="83"/>
      <c r="AK1407" s="81"/>
      <c r="AL1407" s="81"/>
      <c r="AM1407" s="83"/>
      <c r="AN1407" s="80"/>
      <c r="AO1407" s="82" t="n">
        <f aca="false">IF(E1407="","",(AA1407&lt;&gt;"")+(AG1407&lt;&gt;"")+(AL1407&lt;&gt;""))</f>
        <v>0</v>
      </c>
      <c r="AP1407" s="82" t="str">
        <f aca="false">IF(AL1407&lt;&gt;"",AL1407,IF(AG1407&lt;&gt;"",AG1407,IF(AA1407&lt;&gt;"",AA1407,"")))</f>
        <v/>
      </c>
      <c r="AQ1407" s="84" t="str">
        <f aca="false">IF(E1407="","",IF(U1407="","À SOUDER",IF(X1407="","VT EN ATTENTE",IF(X1407="R","VT REJETÉ – À REPRENDRE",IF(AP1407="","À RADIOGRAPHIER",IF(AP1407="A","ACCEPTÉ",IF(AP1407="NX","NX – RT À REFAIRE",IF(IF(AO1407=1,AD1407,IF(AO1407=2,AI1407,""))="A","RÉPARÉ – À RADIOGRAPHIER",IF(IF(AO1407=1,AD1407,IF(AO1407=2,AI1407,""))="R","VT REJETÉ – À REPRENDRE",IF(OR(AP1407="CO",AP1407="NT"),"COUPE – À RESOUDER","À RÉPARER"))))))))))</f>
        <v>À SOUDER</v>
      </c>
      <c r="AR1407" s="82" t="str">
        <f aca="false">IF(AND(ISNUMBER(U1407),OR(AQ1407="À RADIOGRAPHIER",AQ1407="RÉPARÉ – À RADIOGRAPHIER",AQ1407="NX – RT À REFAIRE",AQ1407="À RÉPARER",AQ1407="COUPE – À RESOUDER",AQ1407="VT REJETÉ – À REPRENDRE")),MAX(0,'PROGRAMME RT'!$C$4-U1407),"")</f>
        <v/>
      </c>
      <c r="AS1407" s="82" t="n">
        <f aca="false">IF(AND(OR(AQ1407="À RADIOGRAPHIER",AQ1407="RÉPARÉ – À RADIOGRAPHIER",AQ1407="NX – RT À REFAIRE"),OR('PROGRAMME RT'!$D$5="TOUTES",B1407='PROGRAMME RT'!$D$5)),1,0)</f>
        <v>0</v>
      </c>
      <c r="AT1407" s="82" t="str">
        <f aca="false">IF(AS1407=1,SUM(AS$7:AS1407),"")</f>
        <v/>
      </c>
      <c r="AU1407" s="82" t="n">
        <f aca="false">IF(AND(OR(AA1407="R",AA1407="NX",AA1407="NT",AA1407="CO"),OR('JOINTS DE RÉPARATION'!$D$5="TOUTES",B1407='JOINTS DE RÉPARATION'!$D$5),OR('JOINTS DE RÉPARATION'!$L$4="TOUS",AQ1407&lt;&gt;"ACCEPTÉ")),1,0)</f>
        <v>0</v>
      </c>
      <c r="AV1407" s="82" t="str">
        <f aca="false">IF(AU1407=1,SUM(AU$7:AU1407),"")</f>
        <v/>
      </c>
      <c r="AW1407" s="82" t="str">
        <f aca="false">IF(E1407="","",B1407&amp;"|"&amp;E1407)</f>
        <v>MFD-ISW → MFD-CPF|JN°1167</v>
      </c>
    </row>
    <row r="1408" customFormat="false" ht="74.6" hidden="false" customHeight="false" outlineLevel="0" collapsed="false">
      <c r="A1408" s="79" t="n">
        <f aca="false">IF(E1408="","",ROW()-6)</f>
        <v>1402</v>
      </c>
      <c r="B1408" s="80" t="s">
        <v>110</v>
      </c>
      <c r="C1408" s="81" t="s">
        <v>926</v>
      </c>
      <c r="D1408" s="81" t="n">
        <v>12</v>
      </c>
      <c r="E1408" s="81" t="s">
        <v>1691</v>
      </c>
      <c r="F1408" s="82" t="str">
        <f aca="false">IF(E1408="","",IF(LEFT(E1408,2)="DJ","DJ","JN"))</f>
        <v>JN</v>
      </c>
      <c r="G1408" s="81"/>
      <c r="H1408" s="81"/>
      <c r="I1408" s="81"/>
      <c r="J1408" s="81"/>
      <c r="K1408" s="81"/>
      <c r="L1408" s="81" t="s">
        <v>1671</v>
      </c>
      <c r="M1408" s="81"/>
      <c r="N1408" s="81"/>
      <c r="O1408" s="81"/>
      <c r="P1408" s="81"/>
      <c r="Q1408" s="81"/>
      <c r="R1408" s="81"/>
      <c r="S1408" s="81"/>
      <c r="T1408" s="81"/>
      <c r="U1408" s="83"/>
      <c r="V1408" s="83"/>
      <c r="W1408" s="81"/>
      <c r="X1408" s="81"/>
      <c r="Y1408" s="83"/>
      <c r="Z1408" s="81"/>
      <c r="AA1408" s="81"/>
      <c r="AB1408" s="81"/>
      <c r="AC1408" s="81"/>
      <c r="AD1408" s="81"/>
      <c r="AE1408" s="83"/>
      <c r="AF1408" s="81"/>
      <c r="AG1408" s="81"/>
      <c r="AH1408" s="81"/>
      <c r="AI1408" s="81"/>
      <c r="AJ1408" s="83"/>
      <c r="AK1408" s="81"/>
      <c r="AL1408" s="81"/>
      <c r="AM1408" s="83"/>
      <c r="AN1408" s="80"/>
      <c r="AO1408" s="82" t="n">
        <f aca="false">IF(E1408="","",(AA1408&lt;&gt;"")+(AG1408&lt;&gt;"")+(AL1408&lt;&gt;""))</f>
        <v>0</v>
      </c>
      <c r="AP1408" s="82" t="str">
        <f aca="false">IF(AL1408&lt;&gt;"",AL1408,IF(AG1408&lt;&gt;"",AG1408,IF(AA1408&lt;&gt;"",AA1408,"")))</f>
        <v/>
      </c>
      <c r="AQ1408" s="84" t="str">
        <f aca="false">IF(E1408="","",IF(U1408="","À SOUDER",IF(X1408="","VT EN ATTENTE",IF(X1408="R","VT REJETÉ – À REPRENDRE",IF(AP1408="","À RADIOGRAPHIER",IF(AP1408="A","ACCEPTÉ",IF(AP1408="NX","NX – RT À REFAIRE",IF(IF(AO1408=1,AD1408,IF(AO1408=2,AI1408,""))="A","RÉPARÉ – À RADIOGRAPHIER",IF(IF(AO1408=1,AD1408,IF(AO1408=2,AI1408,""))="R","VT REJETÉ – À REPRENDRE",IF(OR(AP1408="CO",AP1408="NT"),"COUPE – À RESOUDER","À RÉPARER"))))))))))</f>
        <v>À SOUDER</v>
      </c>
      <c r="AR1408" s="82" t="str">
        <f aca="false">IF(AND(ISNUMBER(U1408),OR(AQ1408="À RADIOGRAPHIER",AQ1408="RÉPARÉ – À RADIOGRAPHIER",AQ1408="NX – RT À REFAIRE",AQ1408="À RÉPARER",AQ1408="COUPE – À RESOUDER",AQ1408="VT REJETÉ – À REPRENDRE")),MAX(0,'PROGRAMME RT'!$C$4-U1408),"")</f>
        <v/>
      </c>
      <c r="AS1408" s="82" t="n">
        <f aca="false">IF(AND(OR(AQ1408="À RADIOGRAPHIER",AQ1408="RÉPARÉ – À RADIOGRAPHIER",AQ1408="NX – RT À REFAIRE"),OR('PROGRAMME RT'!$D$5="TOUTES",B1408='PROGRAMME RT'!$D$5)),1,0)</f>
        <v>0</v>
      </c>
      <c r="AT1408" s="82" t="str">
        <f aca="false">IF(AS1408=1,SUM(AS$7:AS1408),"")</f>
        <v/>
      </c>
      <c r="AU1408" s="82" t="n">
        <f aca="false">IF(AND(OR(AA1408="R",AA1408="NX",AA1408="NT",AA1408="CO"),OR('JOINTS DE RÉPARATION'!$D$5="TOUTES",B1408='JOINTS DE RÉPARATION'!$D$5),OR('JOINTS DE RÉPARATION'!$L$4="TOUS",AQ1408&lt;&gt;"ACCEPTÉ")),1,0)</f>
        <v>0</v>
      </c>
      <c r="AV1408" s="82" t="str">
        <f aca="false">IF(AU1408=1,SUM(AU$7:AU1408),"")</f>
        <v/>
      </c>
      <c r="AW1408" s="82" t="str">
        <f aca="false">IF(E1408="","",B1408&amp;"|"&amp;E1408)</f>
        <v>MFD-ISW → MFD-CPF|JN°1168</v>
      </c>
    </row>
    <row r="1409" customFormat="false" ht="74.6" hidden="false" customHeight="false" outlineLevel="0" collapsed="false">
      <c r="A1409" s="79" t="n">
        <f aca="false">IF(E1409="","",ROW()-6)</f>
        <v>1403</v>
      </c>
      <c r="B1409" s="80" t="s">
        <v>110</v>
      </c>
      <c r="C1409" s="81" t="s">
        <v>926</v>
      </c>
      <c r="D1409" s="81" t="n">
        <v>12</v>
      </c>
      <c r="E1409" s="81" t="s">
        <v>1692</v>
      </c>
      <c r="F1409" s="82" t="str">
        <f aca="false">IF(E1409="","",IF(LEFT(E1409,2)="DJ","DJ","JN"))</f>
        <v>JN</v>
      </c>
      <c r="G1409" s="81"/>
      <c r="H1409" s="81"/>
      <c r="I1409" s="81"/>
      <c r="J1409" s="81"/>
      <c r="K1409" s="81"/>
      <c r="L1409" s="81" t="s">
        <v>1671</v>
      </c>
      <c r="M1409" s="81"/>
      <c r="N1409" s="81"/>
      <c r="O1409" s="81"/>
      <c r="P1409" s="81"/>
      <c r="Q1409" s="81"/>
      <c r="R1409" s="81"/>
      <c r="S1409" s="81"/>
      <c r="T1409" s="81"/>
      <c r="U1409" s="83"/>
      <c r="V1409" s="83"/>
      <c r="W1409" s="81"/>
      <c r="X1409" s="81"/>
      <c r="Y1409" s="83"/>
      <c r="Z1409" s="81"/>
      <c r="AA1409" s="81"/>
      <c r="AB1409" s="81"/>
      <c r="AC1409" s="81"/>
      <c r="AD1409" s="81"/>
      <c r="AE1409" s="83"/>
      <c r="AF1409" s="81"/>
      <c r="AG1409" s="81"/>
      <c r="AH1409" s="81"/>
      <c r="AI1409" s="81"/>
      <c r="AJ1409" s="83"/>
      <c r="AK1409" s="81"/>
      <c r="AL1409" s="81"/>
      <c r="AM1409" s="83"/>
      <c r="AN1409" s="80"/>
      <c r="AO1409" s="82" t="n">
        <f aca="false">IF(E1409="","",(AA1409&lt;&gt;"")+(AG1409&lt;&gt;"")+(AL1409&lt;&gt;""))</f>
        <v>0</v>
      </c>
      <c r="AP1409" s="82" t="str">
        <f aca="false">IF(AL1409&lt;&gt;"",AL1409,IF(AG1409&lt;&gt;"",AG1409,IF(AA1409&lt;&gt;"",AA1409,"")))</f>
        <v/>
      </c>
      <c r="AQ1409" s="84" t="str">
        <f aca="false">IF(E1409="","",IF(U1409="","À SOUDER",IF(X1409="","VT EN ATTENTE",IF(X1409="R","VT REJETÉ – À REPRENDRE",IF(AP1409="","À RADIOGRAPHIER",IF(AP1409="A","ACCEPTÉ",IF(AP1409="NX","NX – RT À REFAIRE",IF(IF(AO1409=1,AD1409,IF(AO1409=2,AI1409,""))="A","RÉPARÉ – À RADIOGRAPHIER",IF(IF(AO1409=1,AD1409,IF(AO1409=2,AI1409,""))="R","VT REJETÉ – À REPRENDRE",IF(OR(AP1409="CO",AP1409="NT"),"COUPE – À RESOUDER","À RÉPARER"))))))))))</f>
        <v>À SOUDER</v>
      </c>
      <c r="AR1409" s="82" t="str">
        <f aca="false">IF(AND(ISNUMBER(U1409),OR(AQ1409="À RADIOGRAPHIER",AQ1409="RÉPARÉ – À RADIOGRAPHIER",AQ1409="NX – RT À REFAIRE",AQ1409="À RÉPARER",AQ1409="COUPE – À RESOUDER",AQ1409="VT REJETÉ – À REPRENDRE")),MAX(0,'PROGRAMME RT'!$C$4-U1409),"")</f>
        <v/>
      </c>
      <c r="AS1409" s="82" t="n">
        <f aca="false">IF(AND(OR(AQ1409="À RADIOGRAPHIER",AQ1409="RÉPARÉ – À RADIOGRAPHIER",AQ1409="NX – RT À REFAIRE"),OR('PROGRAMME RT'!$D$5="TOUTES",B1409='PROGRAMME RT'!$D$5)),1,0)</f>
        <v>0</v>
      </c>
      <c r="AT1409" s="82" t="str">
        <f aca="false">IF(AS1409=1,SUM(AS$7:AS1409),"")</f>
        <v/>
      </c>
      <c r="AU1409" s="82" t="n">
        <f aca="false">IF(AND(OR(AA1409="R",AA1409="NX",AA1409="NT",AA1409="CO"),OR('JOINTS DE RÉPARATION'!$D$5="TOUTES",B1409='JOINTS DE RÉPARATION'!$D$5),OR('JOINTS DE RÉPARATION'!$L$4="TOUS",AQ1409&lt;&gt;"ACCEPTÉ")),1,0)</f>
        <v>0</v>
      </c>
      <c r="AV1409" s="82" t="str">
        <f aca="false">IF(AU1409=1,SUM(AU$7:AU1409),"")</f>
        <v/>
      </c>
      <c r="AW1409" s="82" t="str">
        <f aca="false">IF(E1409="","",B1409&amp;"|"&amp;E1409)</f>
        <v>MFD-ISW → MFD-CPF|JN°1169</v>
      </c>
    </row>
    <row r="1410" customFormat="false" ht="74.6" hidden="false" customHeight="false" outlineLevel="0" collapsed="false">
      <c r="A1410" s="79" t="n">
        <f aca="false">IF(E1410="","",ROW()-6)</f>
        <v>1404</v>
      </c>
      <c r="B1410" s="80" t="s">
        <v>110</v>
      </c>
      <c r="C1410" s="81" t="s">
        <v>926</v>
      </c>
      <c r="D1410" s="81" t="n">
        <v>12</v>
      </c>
      <c r="E1410" s="81" t="s">
        <v>1693</v>
      </c>
      <c r="F1410" s="82" t="str">
        <f aca="false">IF(E1410="","",IF(LEFT(E1410,2)="DJ","DJ","JN"))</f>
        <v>JN</v>
      </c>
      <c r="G1410" s="81"/>
      <c r="H1410" s="81"/>
      <c r="I1410" s="81"/>
      <c r="J1410" s="81"/>
      <c r="K1410" s="81"/>
      <c r="L1410" s="81" t="s">
        <v>1671</v>
      </c>
      <c r="M1410" s="81"/>
      <c r="N1410" s="81"/>
      <c r="O1410" s="81"/>
      <c r="P1410" s="81"/>
      <c r="Q1410" s="81"/>
      <c r="R1410" s="81"/>
      <c r="S1410" s="81"/>
      <c r="T1410" s="81"/>
      <c r="U1410" s="83"/>
      <c r="V1410" s="83"/>
      <c r="W1410" s="81"/>
      <c r="X1410" s="81"/>
      <c r="Y1410" s="83"/>
      <c r="Z1410" s="81"/>
      <c r="AA1410" s="81"/>
      <c r="AB1410" s="81"/>
      <c r="AC1410" s="81"/>
      <c r="AD1410" s="81"/>
      <c r="AE1410" s="83"/>
      <c r="AF1410" s="81"/>
      <c r="AG1410" s="81"/>
      <c r="AH1410" s="81"/>
      <c r="AI1410" s="81"/>
      <c r="AJ1410" s="83"/>
      <c r="AK1410" s="81"/>
      <c r="AL1410" s="81"/>
      <c r="AM1410" s="83"/>
      <c r="AN1410" s="80"/>
      <c r="AO1410" s="82" t="n">
        <f aca="false">IF(E1410="","",(AA1410&lt;&gt;"")+(AG1410&lt;&gt;"")+(AL1410&lt;&gt;""))</f>
        <v>0</v>
      </c>
      <c r="AP1410" s="82" t="str">
        <f aca="false">IF(AL1410&lt;&gt;"",AL1410,IF(AG1410&lt;&gt;"",AG1410,IF(AA1410&lt;&gt;"",AA1410,"")))</f>
        <v/>
      </c>
      <c r="AQ1410" s="84" t="str">
        <f aca="false">IF(E1410="","",IF(U1410="","À SOUDER",IF(X1410="","VT EN ATTENTE",IF(X1410="R","VT REJETÉ – À REPRENDRE",IF(AP1410="","À RADIOGRAPHIER",IF(AP1410="A","ACCEPTÉ",IF(AP1410="NX","NX – RT À REFAIRE",IF(IF(AO1410=1,AD1410,IF(AO1410=2,AI1410,""))="A","RÉPARÉ – À RADIOGRAPHIER",IF(IF(AO1410=1,AD1410,IF(AO1410=2,AI1410,""))="R","VT REJETÉ – À REPRENDRE",IF(OR(AP1410="CO",AP1410="NT"),"COUPE – À RESOUDER","À RÉPARER"))))))))))</f>
        <v>À SOUDER</v>
      </c>
      <c r="AR1410" s="82" t="str">
        <f aca="false">IF(AND(ISNUMBER(U1410),OR(AQ1410="À RADIOGRAPHIER",AQ1410="RÉPARÉ – À RADIOGRAPHIER",AQ1410="NX – RT À REFAIRE",AQ1410="À RÉPARER",AQ1410="COUPE – À RESOUDER",AQ1410="VT REJETÉ – À REPRENDRE")),MAX(0,'PROGRAMME RT'!$C$4-U1410),"")</f>
        <v/>
      </c>
      <c r="AS1410" s="82" t="n">
        <f aca="false">IF(AND(OR(AQ1410="À RADIOGRAPHIER",AQ1410="RÉPARÉ – À RADIOGRAPHIER",AQ1410="NX – RT À REFAIRE"),OR('PROGRAMME RT'!$D$5="TOUTES",B1410='PROGRAMME RT'!$D$5)),1,0)</f>
        <v>0</v>
      </c>
      <c r="AT1410" s="82" t="str">
        <f aca="false">IF(AS1410=1,SUM(AS$7:AS1410),"")</f>
        <v/>
      </c>
      <c r="AU1410" s="82" t="n">
        <f aca="false">IF(AND(OR(AA1410="R",AA1410="NX",AA1410="NT",AA1410="CO"),OR('JOINTS DE RÉPARATION'!$D$5="TOUTES",B1410='JOINTS DE RÉPARATION'!$D$5),OR('JOINTS DE RÉPARATION'!$L$4="TOUS",AQ1410&lt;&gt;"ACCEPTÉ")),1,0)</f>
        <v>0</v>
      </c>
      <c r="AV1410" s="82" t="str">
        <f aca="false">IF(AU1410=1,SUM(AU$7:AU1410),"")</f>
        <v/>
      </c>
      <c r="AW1410" s="82" t="str">
        <f aca="false">IF(E1410="","",B1410&amp;"|"&amp;E1410)</f>
        <v>MFD-ISW → MFD-CPF|JN°1170</v>
      </c>
    </row>
    <row r="1411" customFormat="false" ht="74.6" hidden="false" customHeight="false" outlineLevel="0" collapsed="false">
      <c r="A1411" s="79" t="n">
        <f aca="false">IF(E1411="","",ROW()-6)</f>
        <v>1405</v>
      </c>
      <c r="B1411" s="80" t="s">
        <v>110</v>
      </c>
      <c r="C1411" s="81" t="s">
        <v>926</v>
      </c>
      <c r="D1411" s="81" t="n">
        <v>12</v>
      </c>
      <c r="E1411" s="81" t="s">
        <v>1694</v>
      </c>
      <c r="F1411" s="82" t="str">
        <f aca="false">IF(E1411="","",IF(LEFT(E1411,2)="DJ","DJ","JN"))</f>
        <v>JN</v>
      </c>
      <c r="G1411" s="81"/>
      <c r="H1411" s="81"/>
      <c r="I1411" s="81"/>
      <c r="J1411" s="81"/>
      <c r="K1411" s="81"/>
      <c r="L1411" s="81" t="s">
        <v>1671</v>
      </c>
      <c r="M1411" s="81"/>
      <c r="N1411" s="81"/>
      <c r="O1411" s="81"/>
      <c r="P1411" s="81"/>
      <c r="Q1411" s="81"/>
      <c r="R1411" s="81"/>
      <c r="S1411" s="81"/>
      <c r="T1411" s="81"/>
      <c r="U1411" s="83"/>
      <c r="V1411" s="83"/>
      <c r="W1411" s="81"/>
      <c r="X1411" s="81"/>
      <c r="Y1411" s="83"/>
      <c r="Z1411" s="81"/>
      <c r="AA1411" s="81"/>
      <c r="AB1411" s="81"/>
      <c r="AC1411" s="81"/>
      <c r="AD1411" s="81"/>
      <c r="AE1411" s="83"/>
      <c r="AF1411" s="81"/>
      <c r="AG1411" s="81"/>
      <c r="AH1411" s="81"/>
      <c r="AI1411" s="81"/>
      <c r="AJ1411" s="83"/>
      <c r="AK1411" s="81"/>
      <c r="AL1411" s="81"/>
      <c r="AM1411" s="83"/>
      <c r="AN1411" s="80"/>
      <c r="AO1411" s="82" t="n">
        <f aca="false">IF(E1411="","",(AA1411&lt;&gt;"")+(AG1411&lt;&gt;"")+(AL1411&lt;&gt;""))</f>
        <v>0</v>
      </c>
      <c r="AP1411" s="82" t="str">
        <f aca="false">IF(AL1411&lt;&gt;"",AL1411,IF(AG1411&lt;&gt;"",AG1411,IF(AA1411&lt;&gt;"",AA1411,"")))</f>
        <v/>
      </c>
      <c r="AQ1411" s="84" t="str">
        <f aca="false">IF(E1411="","",IF(U1411="","À SOUDER",IF(X1411="","VT EN ATTENTE",IF(X1411="R","VT REJETÉ – À REPRENDRE",IF(AP1411="","À RADIOGRAPHIER",IF(AP1411="A","ACCEPTÉ",IF(AP1411="NX","NX – RT À REFAIRE",IF(IF(AO1411=1,AD1411,IF(AO1411=2,AI1411,""))="A","RÉPARÉ – À RADIOGRAPHIER",IF(IF(AO1411=1,AD1411,IF(AO1411=2,AI1411,""))="R","VT REJETÉ – À REPRENDRE",IF(OR(AP1411="CO",AP1411="NT"),"COUPE – À RESOUDER","À RÉPARER"))))))))))</f>
        <v>À SOUDER</v>
      </c>
      <c r="AR1411" s="82" t="str">
        <f aca="false">IF(AND(ISNUMBER(U1411),OR(AQ1411="À RADIOGRAPHIER",AQ1411="RÉPARÉ – À RADIOGRAPHIER",AQ1411="NX – RT À REFAIRE",AQ1411="À RÉPARER",AQ1411="COUPE – À RESOUDER",AQ1411="VT REJETÉ – À REPRENDRE")),MAX(0,'PROGRAMME RT'!$C$4-U1411),"")</f>
        <v/>
      </c>
      <c r="AS1411" s="82" t="n">
        <f aca="false">IF(AND(OR(AQ1411="À RADIOGRAPHIER",AQ1411="RÉPARÉ – À RADIOGRAPHIER",AQ1411="NX – RT À REFAIRE"),OR('PROGRAMME RT'!$D$5="TOUTES",B1411='PROGRAMME RT'!$D$5)),1,0)</f>
        <v>0</v>
      </c>
      <c r="AT1411" s="82" t="str">
        <f aca="false">IF(AS1411=1,SUM(AS$7:AS1411),"")</f>
        <v/>
      </c>
      <c r="AU1411" s="82" t="n">
        <f aca="false">IF(AND(OR(AA1411="R",AA1411="NX",AA1411="NT",AA1411="CO"),OR('JOINTS DE RÉPARATION'!$D$5="TOUTES",B1411='JOINTS DE RÉPARATION'!$D$5),OR('JOINTS DE RÉPARATION'!$L$4="TOUS",AQ1411&lt;&gt;"ACCEPTÉ")),1,0)</f>
        <v>0</v>
      </c>
      <c r="AV1411" s="82" t="str">
        <f aca="false">IF(AU1411=1,SUM(AU$7:AU1411),"")</f>
        <v/>
      </c>
      <c r="AW1411" s="82" t="str">
        <f aca="false">IF(E1411="","",B1411&amp;"|"&amp;E1411)</f>
        <v>MFD-ISW → MFD-CPF|JN°1171</v>
      </c>
    </row>
    <row r="1412" customFormat="false" ht="74.6" hidden="false" customHeight="false" outlineLevel="0" collapsed="false">
      <c r="A1412" s="79" t="n">
        <f aca="false">IF(E1412="","",ROW()-6)</f>
        <v>1406</v>
      </c>
      <c r="B1412" s="80" t="s">
        <v>110</v>
      </c>
      <c r="C1412" s="81" t="s">
        <v>926</v>
      </c>
      <c r="D1412" s="81" t="n">
        <v>12</v>
      </c>
      <c r="E1412" s="81" t="s">
        <v>1695</v>
      </c>
      <c r="F1412" s="82" t="str">
        <f aca="false">IF(E1412="","",IF(LEFT(E1412,2)="DJ","DJ","JN"))</f>
        <v>JN</v>
      </c>
      <c r="G1412" s="81"/>
      <c r="H1412" s="81"/>
      <c r="I1412" s="81"/>
      <c r="J1412" s="81"/>
      <c r="K1412" s="81"/>
      <c r="L1412" s="81" t="s">
        <v>1671</v>
      </c>
      <c r="M1412" s="81"/>
      <c r="N1412" s="81"/>
      <c r="O1412" s="81"/>
      <c r="P1412" s="81"/>
      <c r="Q1412" s="81"/>
      <c r="R1412" s="81"/>
      <c r="S1412" s="81"/>
      <c r="T1412" s="81"/>
      <c r="U1412" s="83"/>
      <c r="V1412" s="83"/>
      <c r="W1412" s="81"/>
      <c r="X1412" s="81"/>
      <c r="Y1412" s="83"/>
      <c r="Z1412" s="81"/>
      <c r="AA1412" s="81"/>
      <c r="AB1412" s="81"/>
      <c r="AC1412" s="81"/>
      <c r="AD1412" s="81"/>
      <c r="AE1412" s="83"/>
      <c r="AF1412" s="81"/>
      <c r="AG1412" s="81"/>
      <c r="AH1412" s="81"/>
      <c r="AI1412" s="81"/>
      <c r="AJ1412" s="83"/>
      <c r="AK1412" s="81"/>
      <c r="AL1412" s="81"/>
      <c r="AM1412" s="83"/>
      <c r="AN1412" s="80"/>
      <c r="AO1412" s="82" t="n">
        <f aca="false">IF(E1412="","",(AA1412&lt;&gt;"")+(AG1412&lt;&gt;"")+(AL1412&lt;&gt;""))</f>
        <v>0</v>
      </c>
      <c r="AP1412" s="82" t="str">
        <f aca="false">IF(AL1412&lt;&gt;"",AL1412,IF(AG1412&lt;&gt;"",AG1412,IF(AA1412&lt;&gt;"",AA1412,"")))</f>
        <v/>
      </c>
      <c r="AQ1412" s="84" t="str">
        <f aca="false">IF(E1412="","",IF(U1412="","À SOUDER",IF(X1412="","VT EN ATTENTE",IF(X1412="R","VT REJETÉ – À REPRENDRE",IF(AP1412="","À RADIOGRAPHIER",IF(AP1412="A","ACCEPTÉ",IF(AP1412="NX","NX – RT À REFAIRE",IF(IF(AO1412=1,AD1412,IF(AO1412=2,AI1412,""))="A","RÉPARÉ – À RADIOGRAPHIER",IF(IF(AO1412=1,AD1412,IF(AO1412=2,AI1412,""))="R","VT REJETÉ – À REPRENDRE",IF(OR(AP1412="CO",AP1412="NT"),"COUPE – À RESOUDER","À RÉPARER"))))))))))</f>
        <v>À SOUDER</v>
      </c>
      <c r="AR1412" s="82" t="str">
        <f aca="false">IF(AND(ISNUMBER(U1412),OR(AQ1412="À RADIOGRAPHIER",AQ1412="RÉPARÉ – À RADIOGRAPHIER",AQ1412="NX – RT À REFAIRE",AQ1412="À RÉPARER",AQ1412="COUPE – À RESOUDER",AQ1412="VT REJETÉ – À REPRENDRE")),MAX(0,'PROGRAMME RT'!$C$4-U1412),"")</f>
        <v/>
      </c>
      <c r="AS1412" s="82" t="n">
        <f aca="false">IF(AND(OR(AQ1412="À RADIOGRAPHIER",AQ1412="RÉPARÉ – À RADIOGRAPHIER",AQ1412="NX – RT À REFAIRE"),OR('PROGRAMME RT'!$D$5="TOUTES",B1412='PROGRAMME RT'!$D$5)),1,0)</f>
        <v>0</v>
      </c>
      <c r="AT1412" s="82" t="str">
        <f aca="false">IF(AS1412=1,SUM(AS$7:AS1412),"")</f>
        <v/>
      </c>
      <c r="AU1412" s="82" t="n">
        <f aca="false">IF(AND(OR(AA1412="R",AA1412="NX",AA1412="NT",AA1412="CO"),OR('JOINTS DE RÉPARATION'!$D$5="TOUTES",B1412='JOINTS DE RÉPARATION'!$D$5),OR('JOINTS DE RÉPARATION'!$L$4="TOUS",AQ1412&lt;&gt;"ACCEPTÉ")),1,0)</f>
        <v>0</v>
      </c>
      <c r="AV1412" s="82" t="str">
        <f aca="false">IF(AU1412=1,SUM(AU$7:AU1412),"")</f>
        <v/>
      </c>
      <c r="AW1412" s="82" t="str">
        <f aca="false">IF(E1412="","",B1412&amp;"|"&amp;E1412)</f>
        <v>MFD-ISW → MFD-CPF|JN°1172</v>
      </c>
    </row>
    <row r="1413" customFormat="false" ht="74.6" hidden="false" customHeight="false" outlineLevel="0" collapsed="false">
      <c r="A1413" s="79" t="n">
        <f aca="false">IF(E1413="","",ROW()-6)</f>
        <v>1407</v>
      </c>
      <c r="B1413" s="80" t="s">
        <v>110</v>
      </c>
      <c r="C1413" s="81" t="s">
        <v>926</v>
      </c>
      <c r="D1413" s="81" t="n">
        <v>12</v>
      </c>
      <c r="E1413" s="81" t="s">
        <v>1696</v>
      </c>
      <c r="F1413" s="82" t="str">
        <f aca="false">IF(E1413="","",IF(LEFT(E1413,2)="DJ","DJ","JN"))</f>
        <v>JN</v>
      </c>
      <c r="G1413" s="81"/>
      <c r="H1413" s="81"/>
      <c r="I1413" s="81"/>
      <c r="J1413" s="81"/>
      <c r="K1413" s="81"/>
      <c r="L1413" s="81" t="s">
        <v>1671</v>
      </c>
      <c r="M1413" s="81"/>
      <c r="N1413" s="81"/>
      <c r="O1413" s="81"/>
      <c r="P1413" s="81"/>
      <c r="Q1413" s="81"/>
      <c r="R1413" s="81"/>
      <c r="S1413" s="81"/>
      <c r="T1413" s="81"/>
      <c r="U1413" s="83"/>
      <c r="V1413" s="83"/>
      <c r="W1413" s="81"/>
      <c r="X1413" s="81"/>
      <c r="Y1413" s="83"/>
      <c r="Z1413" s="81"/>
      <c r="AA1413" s="81"/>
      <c r="AB1413" s="81"/>
      <c r="AC1413" s="81"/>
      <c r="AD1413" s="81"/>
      <c r="AE1413" s="83"/>
      <c r="AF1413" s="81"/>
      <c r="AG1413" s="81"/>
      <c r="AH1413" s="81"/>
      <c r="AI1413" s="81"/>
      <c r="AJ1413" s="83"/>
      <c r="AK1413" s="81"/>
      <c r="AL1413" s="81"/>
      <c r="AM1413" s="83"/>
      <c r="AN1413" s="80"/>
      <c r="AO1413" s="82" t="n">
        <f aca="false">IF(E1413="","",(AA1413&lt;&gt;"")+(AG1413&lt;&gt;"")+(AL1413&lt;&gt;""))</f>
        <v>0</v>
      </c>
      <c r="AP1413" s="82" t="str">
        <f aca="false">IF(AL1413&lt;&gt;"",AL1413,IF(AG1413&lt;&gt;"",AG1413,IF(AA1413&lt;&gt;"",AA1413,"")))</f>
        <v/>
      </c>
      <c r="AQ1413" s="84" t="str">
        <f aca="false">IF(E1413="","",IF(U1413="","À SOUDER",IF(X1413="","VT EN ATTENTE",IF(X1413="R","VT REJETÉ – À REPRENDRE",IF(AP1413="","À RADIOGRAPHIER",IF(AP1413="A","ACCEPTÉ",IF(AP1413="NX","NX – RT À REFAIRE",IF(IF(AO1413=1,AD1413,IF(AO1413=2,AI1413,""))="A","RÉPARÉ – À RADIOGRAPHIER",IF(IF(AO1413=1,AD1413,IF(AO1413=2,AI1413,""))="R","VT REJETÉ – À REPRENDRE",IF(OR(AP1413="CO",AP1413="NT"),"COUPE – À RESOUDER","À RÉPARER"))))))))))</f>
        <v>À SOUDER</v>
      </c>
      <c r="AR1413" s="82" t="str">
        <f aca="false">IF(AND(ISNUMBER(U1413),OR(AQ1413="À RADIOGRAPHIER",AQ1413="RÉPARÉ – À RADIOGRAPHIER",AQ1413="NX – RT À REFAIRE",AQ1413="À RÉPARER",AQ1413="COUPE – À RESOUDER",AQ1413="VT REJETÉ – À REPRENDRE")),MAX(0,'PROGRAMME RT'!$C$4-U1413),"")</f>
        <v/>
      </c>
      <c r="AS1413" s="82" t="n">
        <f aca="false">IF(AND(OR(AQ1413="À RADIOGRAPHIER",AQ1413="RÉPARÉ – À RADIOGRAPHIER",AQ1413="NX – RT À REFAIRE"),OR('PROGRAMME RT'!$D$5="TOUTES",B1413='PROGRAMME RT'!$D$5)),1,0)</f>
        <v>0</v>
      </c>
      <c r="AT1413" s="82" t="str">
        <f aca="false">IF(AS1413=1,SUM(AS$7:AS1413),"")</f>
        <v/>
      </c>
      <c r="AU1413" s="82" t="n">
        <f aca="false">IF(AND(OR(AA1413="R",AA1413="NX",AA1413="NT",AA1413="CO"),OR('JOINTS DE RÉPARATION'!$D$5="TOUTES",B1413='JOINTS DE RÉPARATION'!$D$5),OR('JOINTS DE RÉPARATION'!$L$4="TOUS",AQ1413&lt;&gt;"ACCEPTÉ")),1,0)</f>
        <v>0</v>
      </c>
      <c r="AV1413" s="82" t="str">
        <f aca="false">IF(AU1413=1,SUM(AU$7:AU1413),"")</f>
        <v/>
      </c>
      <c r="AW1413" s="82" t="str">
        <f aca="false">IF(E1413="","",B1413&amp;"|"&amp;E1413)</f>
        <v>MFD-ISW → MFD-CPF|JN°1173</v>
      </c>
    </row>
    <row r="1414" customFormat="false" ht="74.6" hidden="false" customHeight="false" outlineLevel="0" collapsed="false">
      <c r="A1414" s="79" t="n">
        <f aca="false">IF(E1414="","",ROW()-6)</f>
        <v>1408</v>
      </c>
      <c r="B1414" s="80" t="s">
        <v>110</v>
      </c>
      <c r="C1414" s="81" t="s">
        <v>926</v>
      </c>
      <c r="D1414" s="81" t="n">
        <v>12</v>
      </c>
      <c r="E1414" s="81" t="s">
        <v>1697</v>
      </c>
      <c r="F1414" s="82" t="str">
        <f aca="false">IF(E1414="","",IF(LEFT(E1414,2)="DJ","DJ","JN"))</f>
        <v>JN</v>
      </c>
      <c r="G1414" s="81"/>
      <c r="H1414" s="81"/>
      <c r="I1414" s="81"/>
      <c r="J1414" s="81"/>
      <c r="K1414" s="81"/>
      <c r="L1414" s="81" t="s">
        <v>1671</v>
      </c>
      <c r="M1414" s="81"/>
      <c r="N1414" s="81"/>
      <c r="O1414" s="81"/>
      <c r="P1414" s="81"/>
      <c r="Q1414" s="81"/>
      <c r="R1414" s="81"/>
      <c r="S1414" s="81"/>
      <c r="T1414" s="81"/>
      <c r="U1414" s="83"/>
      <c r="V1414" s="83"/>
      <c r="W1414" s="81"/>
      <c r="X1414" s="81"/>
      <c r="Y1414" s="83"/>
      <c r="Z1414" s="81"/>
      <c r="AA1414" s="81"/>
      <c r="AB1414" s="81"/>
      <c r="AC1414" s="81"/>
      <c r="AD1414" s="81"/>
      <c r="AE1414" s="83"/>
      <c r="AF1414" s="81"/>
      <c r="AG1414" s="81"/>
      <c r="AH1414" s="81"/>
      <c r="AI1414" s="81"/>
      <c r="AJ1414" s="83"/>
      <c r="AK1414" s="81"/>
      <c r="AL1414" s="81"/>
      <c r="AM1414" s="83"/>
      <c r="AN1414" s="80"/>
      <c r="AO1414" s="82" t="n">
        <f aca="false">IF(E1414="","",(AA1414&lt;&gt;"")+(AG1414&lt;&gt;"")+(AL1414&lt;&gt;""))</f>
        <v>0</v>
      </c>
      <c r="AP1414" s="82" t="str">
        <f aca="false">IF(AL1414&lt;&gt;"",AL1414,IF(AG1414&lt;&gt;"",AG1414,IF(AA1414&lt;&gt;"",AA1414,"")))</f>
        <v/>
      </c>
      <c r="AQ1414" s="84" t="str">
        <f aca="false">IF(E1414="","",IF(U1414="","À SOUDER",IF(X1414="","VT EN ATTENTE",IF(X1414="R","VT REJETÉ – À REPRENDRE",IF(AP1414="","À RADIOGRAPHIER",IF(AP1414="A","ACCEPTÉ",IF(AP1414="NX","NX – RT À REFAIRE",IF(IF(AO1414=1,AD1414,IF(AO1414=2,AI1414,""))="A","RÉPARÉ – À RADIOGRAPHIER",IF(IF(AO1414=1,AD1414,IF(AO1414=2,AI1414,""))="R","VT REJETÉ – À REPRENDRE",IF(OR(AP1414="CO",AP1414="NT"),"COUPE – À RESOUDER","À RÉPARER"))))))))))</f>
        <v>À SOUDER</v>
      </c>
      <c r="AR1414" s="82" t="str">
        <f aca="false">IF(AND(ISNUMBER(U1414),OR(AQ1414="À RADIOGRAPHIER",AQ1414="RÉPARÉ – À RADIOGRAPHIER",AQ1414="NX – RT À REFAIRE",AQ1414="À RÉPARER",AQ1414="COUPE – À RESOUDER",AQ1414="VT REJETÉ – À REPRENDRE")),MAX(0,'PROGRAMME RT'!$C$4-U1414),"")</f>
        <v/>
      </c>
      <c r="AS1414" s="82" t="n">
        <f aca="false">IF(AND(OR(AQ1414="À RADIOGRAPHIER",AQ1414="RÉPARÉ – À RADIOGRAPHIER",AQ1414="NX – RT À REFAIRE"),OR('PROGRAMME RT'!$D$5="TOUTES",B1414='PROGRAMME RT'!$D$5)),1,0)</f>
        <v>0</v>
      </c>
      <c r="AT1414" s="82" t="str">
        <f aca="false">IF(AS1414=1,SUM(AS$7:AS1414),"")</f>
        <v/>
      </c>
      <c r="AU1414" s="82" t="n">
        <f aca="false">IF(AND(OR(AA1414="R",AA1414="NX",AA1414="NT",AA1414="CO"),OR('JOINTS DE RÉPARATION'!$D$5="TOUTES",B1414='JOINTS DE RÉPARATION'!$D$5),OR('JOINTS DE RÉPARATION'!$L$4="TOUS",AQ1414&lt;&gt;"ACCEPTÉ")),1,0)</f>
        <v>0</v>
      </c>
      <c r="AV1414" s="82" t="str">
        <f aca="false">IF(AU1414=1,SUM(AU$7:AU1414),"")</f>
        <v/>
      </c>
      <c r="AW1414" s="82" t="str">
        <f aca="false">IF(E1414="","",B1414&amp;"|"&amp;E1414)</f>
        <v>MFD-ISW → MFD-CPF|JN°1174</v>
      </c>
    </row>
    <row r="1415" customFormat="false" ht="74.6" hidden="false" customHeight="false" outlineLevel="0" collapsed="false">
      <c r="A1415" s="79" t="n">
        <f aca="false">IF(E1415="","",ROW()-6)</f>
        <v>1409</v>
      </c>
      <c r="B1415" s="80" t="s">
        <v>110</v>
      </c>
      <c r="C1415" s="81" t="s">
        <v>926</v>
      </c>
      <c r="D1415" s="81" t="n">
        <v>12</v>
      </c>
      <c r="E1415" s="81" t="s">
        <v>1698</v>
      </c>
      <c r="F1415" s="82" t="str">
        <f aca="false">IF(E1415="","",IF(LEFT(E1415,2)="DJ","DJ","JN"))</f>
        <v>JN</v>
      </c>
      <c r="G1415" s="81"/>
      <c r="H1415" s="81"/>
      <c r="I1415" s="81"/>
      <c r="J1415" s="81"/>
      <c r="K1415" s="81"/>
      <c r="L1415" s="81" t="s">
        <v>1671</v>
      </c>
      <c r="M1415" s="81"/>
      <c r="N1415" s="81"/>
      <c r="O1415" s="81"/>
      <c r="P1415" s="81"/>
      <c r="Q1415" s="81"/>
      <c r="R1415" s="81"/>
      <c r="S1415" s="81"/>
      <c r="T1415" s="81"/>
      <c r="U1415" s="83"/>
      <c r="V1415" s="83"/>
      <c r="W1415" s="81"/>
      <c r="X1415" s="81"/>
      <c r="Y1415" s="83"/>
      <c r="Z1415" s="81"/>
      <c r="AA1415" s="81"/>
      <c r="AB1415" s="81"/>
      <c r="AC1415" s="81"/>
      <c r="AD1415" s="81"/>
      <c r="AE1415" s="83"/>
      <c r="AF1415" s="81"/>
      <c r="AG1415" s="81"/>
      <c r="AH1415" s="81"/>
      <c r="AI1415" s="81"/>
      <c r="AJ1415" s="83"/>
      <c r="AK1415" s="81"/>
      <c r="AL1415" s="81"/>
      <c r="AM1415" s="83"/>
      <c r="AN1415" s="80"/>
      <c r="AO1415" s="82" t="n">
        <f aca="false">IF(E1415="","",(AA1415&lt;&gt;"")+(AG1415&lt;&gt;"")+(AL1415&lt;&gt;""))</f>
        <v>0</v>
      </c>
      <c r="AP1415" s="82" t="str">
        <f aca="false">IF(AL1415&lt;&gt;"",AL1415,IF(AG1415&lt;&gt;"",AG1415,IF(AA1415&lt;&gt;"",AA1415,"")))</f>
        <v/>
      </c>
      <c r="AQ1415" s="84" t="str">
        <f aca="false">IF(E1415="","",IF(U1415="","À SOUDER",IF(X1415="","VT EN ATTENTE",IF(X1415="R","VT REJETÉ – À REPRENDRE",IF(AP1415="","À RADIOGRAPHIER",IF(AP1415="A","ACCEPTÉ",IF(AP1415="NX","NX – RT À REFAIRE",IF(IF(AO1415=1,AD1415,IF(AO1415=2,AI1415,""))="A","RÉPARÉ – À RADIOGRAPHIER",IF(IF(AO1415=1,AD1415,IF(AO1415=2,AI1415,""))="R","VT REJETÉ – À REPRENDRE",IF(OR(AP1415="CO",AP1415="NT"),"COUPE – À RESOUDER","À RÉPARER"))))))))))</f>
        <v>À SOUDER</v>
      </c>
      <c r="AR1415" s="82" t="str">
        <f aca="false">IF(AND(ISNUMBER(U1415),OR(AQ1415="À RADIOGRAPHIER",AQ1415="RÉPARÉ – À RADIOGRAPHIER",AQ1415="NX – RT À REFAIRE",AQ1415="À RÉPARER",AQ1415="COUPE – À RESOUDER",AQ1415="VT REJETÉ – À REPRENDRE")),MAX(0,'PROGRAMME RT'!$C$4-U1415),"")</f>
        <v/>
      </c>
      <c r="AS1415" s="82" t="n">
        <f aca="false">IF(AND(OR(AQ1415="À RADIOGRAPHIER",AQ1415="RÉPARÉ – À RADIOGRAPHIER",AQ1415="NX – RT À REFAIRE"),OR('PROGRAMME RT'!$D$5="TOUTES",B1415='PROGRAMME RT'!$D$5)),1,0)</f>
        <v>0</v>
      </c>
      <c r="AT1415" s="82" t="str">
        <f aca="false">IF(AS1415=1,SUM(AS$7:AS1415),"")</f>
        <v/>
      </c>
      <c r="AU1415" s="82" t="n">
        <f aca="false">IF(AND(OR(AA1415="R",AA1415="NX",AA1415="NT",AA1415="CO"),OR('JOINTS DE RÉPARATION'!$D$5="TOUTES",B1415='JOINTS DE RÉPARATION'!$D$5),OR('JOINTS DE RÉPARATION'!$L$4="TOUS",AQ1415&lt;&gt;"ACCEPTÉ")),1,0)</f>
        <v>0</v>
      </c>
      <c r="AV1415" s="82" t="str">
        <f aca="false">IF(AU1415=1,SUM(AU$7:AU1415),"")</f>
        <v/>
      </c>
      <c r="AW1415" s="82" t="str">
        <f aca="false">IF(E1415="","",B1415&amp;"|"&amp;E1415)</f>
        <v>MFD-ISW → MFD-CPF|JN°1175</v>
      </c>
    </row>
    <row r="1416" customFormat="false" ht="74.6" hidden="false" customHeight="false" outlineLevel="0" collapsed="false">
      <c r="A1416" s="79" t="n">
        <f aca="false">IF(E1416="","",ROW()-6)</f>
        <v>1410</v>
      </c>
      <c r="B1416" s="80" t="s">
        <v>110</v>
      </c>
      <c r="C1416" s="81" t="s">
        <v>926</v>
      </c>
      <c r="D1416" s="81" t="n">
        <v>12</v>
      </c>
      <c r="E1416" s="81" t="s">
        <v>1699</v>
      </c>
      <c r="F1416" s="82" t="str">
        <f aca="false">IF(E1416="","",IF(LEFT(E1416,2)="DJ","DJ","JN"))</f>
        <v>JN</v>
      </c>
      <c r="G1416" s="81"/>
      <c r="H1416" s="81"/>
      <c r="I1416" s="81"/>
      <c r="J1416" s="81"/>
      <c r="K1416" s="81"/>
      <c r="L1416" s="81" t="s">
        <v>1671</v>
      </c>
      <c r="M1416" s="81"/>
      <c r="N1416" s="81"/>
      <c r="O1416" s="81"/>
      <c r="P1416" s="81"/>
      <c r="Q1416" s="81"/>
      <c r="R1416" s="81"/>
      <c r="S1416" s="81"/>
      <c r="T1416" s="81"/>
      <c r="U1416" s="83"/>
      <c r="V1416" s="83"/>
      <c r="W1416" s="81"/>
      <c r="X1416" s="81"/>
      <c r="Y1416" s="83"/>
      <c r="Z1416" s="81"/>
      <c r="AA1416" s="81"/>
      <c r="AB1416" s="81"/>
      <c r="AC1416" s="81"/>
      <c r="AD1416" s="81"/>
      <c r="AE1416" s="83"/>
      <c r="AF1416" s="81"/>
      <c r="AG1416" s="81"/>
      <c r="AH1416" s="81"/>
      <c r="AI1416" s="81"/>
      <c r="AJ1416" s="83"/>
      <c r="AK1416" s="81"/>
      <c r="AL1416" s="81"/>
      <c r="AM1416" s="83"/>
      <c r="AN1416" s="80"/>
      <c r="AO1416" s="82" t="n">
        <f aca="false">IF(E1416="","",(AA1416&lt;&gt;"")+(AG1416&lt;&gt;"")+(AL1416&lt;&gt;""))</f>
        <v>0</v>
      </c>
      <c r="AP1416" s="82" t="str">
        <f aca="false">IF(AL1416&lt;&gt;"",AL1416,IF(AG1416&lt;&gt;"",AG1416,IF(AA1416&lt;&gt;"",AA1416,"")))</f>
        <v/>
      </c>
      <c r="AQ1416" s="84" t="str">
        <f aca="false">IF(E1416="","",IF(U1416="","À SOUDER",IF(X1416="","VT EN ATTENTE",IF(X1416="R","VT REJETÉ – À REPRENDRE",IF(AP1416="","À RADIOGRAPHIER",IF(AP1416="A","ACCEPTÉ",IF(AP1416="NX","NX – RT À REFAIRE",IF(IF(AO1416=1,AD1416,IF(AO1416=2,AI1416,""))="A","RÉPARÉ – À RADIOGRAPHIER",IF(IF(AO1416=1,AD1416,IF(AO1416=2,AI1416,""))="R","VT REJETÉ – À REPRENDRE",IF(OR(AP1416="CO",AP1416="NT"),"COUPE – À RESOUDER","À RÉPARER"))))))))))</f>
        <v>À SOUDER</v>
      </c>
      <c r="AR1416" s="82" t="str">
        <f aca="false">IF(AND(ISNUMBER(U1416),OR(AQ1416="À RADIOGRAPHIER",AQ1416="RÉPARÉ – À RADIOGRAPHIER",AQ1416="NX – RT À REFAIRE",AQ1416="À RÉPARER",AQ1416="COUPE – À RESOUDER",AQ1416="VT REJETÉ – À REPRENDRE")),MAX(0,'PROGRAMME RT'!$C$4-U1416),"")</f>
        <v/>
      </c>
      <c r="AS1416" s="82" t="n">
        <f aca="false">IF(AND(OR(AQ1416="À RADIOGRAPHIER",AQ1416="RÉPARÉ – À RADIOGRAPHIER",AQ1416="NX – RT À REFAIRE"),OR('PROGRAMME RT'!$D$5="TOUTES",B1416='PROGRAMME RT'!$D$5)),1,0)</f>
        <v>0</v>
      </c>
      <c r="AT1416" s="82" t="str">
        <f aca="false">IF(AS1416=1,SUM(AS$7:AS1416),"")</f>
        <v/>
      </c>
      <c r="AU1416" s="82" t="n">
        <f aca="false">IF(AND(OR(AA1416="R",AA1416="NX",AA1416="NT",AA1416="CO"),OR('JOINTS DE RÉPARATION'!$D$5="TOUTES",B1416='JOINTS DE RÉPARATION'!$D$5),OR('JOINTS DE RÉPARATION'!$L$4="TOUS",AQ1416&lt;&gt;"ACCEPTÉ")),1,0)</f>
        <v>0</v>
      </c>
      <c r="AV1416" s="82" t="str">
        <f aca="false">IF(AU1416=1,SUM(AU$7:AU1416),"")</f>
        <v/>
      </c>
      <c r="AW1416" s="82" t="str">
        <f aca="false">IF(E1416="","",B1416&amp;"|"&amp;E1416)</f>
        <v>MFD-ISW → MFD-CPF|JN°1176</v>
      </c>
    </row>
    <row r="1417" customFormat="false" ht="74.6" hidden="false" customHeight="false" outlineLevel="0" collapsed="false">
      <c r="A1417" s="79" t="n">
        <f aca="false">IF(E1417="","",ROW()-6)</f>
        <v>1411</v>
      </c>
      <c r="B1417" s="80" t="s">
        <v>110</v>
      </c>
      <c r="C1417" s="81" t="s">
        <v>926</v>
      </c>
      <c r="D1417" s="81" t="n">
        <v>12</v>
      </c>
      <c r="E1417" s="81" t="s">
        <v>1700</v>
      </c>
      <c r="F1417" s="82" t="str">
        <f aca="false">IF(E1417="","",IF(LEFT(E1417,2)="DJ","DJ","JN"))</f>
        <v>JN</v>
      </c>
      <c r="G1417" s="81"/>
      <c r="H1417" s="81"/>
      <c r="I1417" s="81"/>
      <c r="J1417" s="81"/>
      <c r="K1417" s="81"/>
      <c r="L1417" s="81" t="s">
        <v>1671</v>
      </c>
      <c r="M1417" s="81"/>
      <c r="N1417" s="81"/>
      <c r="O1417" s="81"/>
      <c r="P1417" s="81"/>
      <c r="Q1417" s="81"/>
      <c r="R1417" s="81"/>
      <c r="S1417" s="81"/>
      <c r="T1417" s="81"/>
      <c r="U1417" s="83"/>
      <c r="V1417" s="83"/>
      <c r="W1417" s="81"/>
      <c r="X1417" s="81"/>
      <c r="Y1417" s="83"/>
      <c r="Z1417" s="81"/>
      <c r="AA1417" s="81"/>
      <c r="AB1417" s="81"/>
      <c r="AC1417" s="81"/>
      <c r="AD1417" s="81"/>
      <c r="AE1417" s="83"/>
      <c r="AF1417" s="81"/>
      <c r="AG1417" s="81"/>
      <c r="AH1417" s="81"/>
      <c r="AI1417" s="81"/>
      <c r="AJ1417" s="83"/>
      <c r="AK1417" s="81"/>
      <c r="AL1417" s="81"/>
      <c r="AM1417" s="83"/>
      <c r="AN1417" s="80"/>
      <c r="AO1417" s="82" t="n">
        <f aca="false">IF(E1417="","",(AA1417&lt;&gt;"")+(AG1417&lt;&gt;"")+(AL1417&lt;&gt;""))</f>
        <v>0</v>
      </c>
      <c r="AP1417" s="82" t="str">
        <f aca="false">IF(AL1417&lt;&gt;"",AL1417,IF(AG1417&lt;&gt;"",AG1417,IF(AA1417&lt;&gt;"",AA1417,"")))</f>
        <v/>
      </c>
      <c r="AQ1417" s="84" t="str">
        <f aca="false">IF(E1417="","",IF(U1417="","À SOUDER",IF(X1417="","VT EN ATTENTE",IF(X1417="R","VT REJETÉ – À REPRENDRE",IF(AP1417="","À RADIOGRAPHIER",IF(AP1417="A","ACCEPTÉ",IF(AP1417="NX","NX – RT À REFAIRE",IF(IF(AO1417=1,AD1417,IF(AO1417=2,AI1417,""))="A","RÉPARÉ – À RADIOGRAPHIER",IF(IF(AO1417=1,AD1417,IF(AO1417=2,AI1417,""))="R","VT REJETÉ – À REPRENDRE",IF(OR(AP1417="CO",AP1417="NT"),"COUPE – À RESOUDER","À RÉPARER"))))))))))</f>
        <v>À SOUDER</v>
      </c>
      <c r="AR1417" s="82" t="str">
        <f aca="false">IF(AND(ISNUMBER(U1417),OR(AQ1417="À RADIOGRAPHIER",AQ1417="RÉPARÉ – À RADIOGRAPHIER",AQ1417="NX – RT À REFAIRE",AQ1417="À RÉPARER",AQ1417="COUPE – À RESOUDER",AQ1417="VT REJETÉ – À REPRENDRE")),MAX(0,'PROGRAMME RT'!$C$4-U1417),"")</f>
        <v/>
      </c>
      <c r="AS1417" s="82" t="n">
        <f aca="false">IF(AND(OR(AQ1417="À RADIOGRAPHIER",AQ1417="RÉPARÉ – À RADIOGRAPHIER",AQ1417="NX – RT À REFAIRE"),OR('PROGRAMME RT'!$D$5="TOUTES",B1417='PROGRAMME RT'!$D$5)),1,0)</f>
        <v>0</v>
      </c>
      <c r="AT1417" s="82" t="str">
        <f aca="false">IF(AS1417=1,SUM(AS$7:AS1417),"")</f>
        <v/>
      </c>
      <c r="AU1417" s="82" t="n">
        <f aca="false">IF(AND(OR(AA1417="R",AA1417="NX",AA1417="NT",AA1417="CO"),OR('JOINTS DE RÉPARATION'!$D$5="TOUTES",B1417='JOINTS DE RÉPARATION'!$D$5),OR('JOINTS DE RÉPARATION'!$L$4="TOUS",AQ1417&lt;&gt;"ACCEPTÉ")),1,0)</f>
        <v>0</v>
      </c>
      <c r="AV1417" s="82" t="str">
        <f aca="false">IF(AU1417=1,SUM(AU$7:AU1417),"")</f>
        <v/>
      </c>
      <c r="AW1417" s="82" t="str">
        <f aca="false">IF(E1417="","",B1417&amp;"|"&amp;E1417)</f>
        <v>MFD-ISW → MFD-CPF|JN°1177</v>
      </c>
    </row>
    <row r="1418" customFormat="false" ht="74.6" hidden="false" customHeight="false" outlineLevel="0" collapsed="false">
      <c r="A1418" s="79" t="n">
        <f aca="false">IF(E1418="","",ROW()-6)</f>
        <v>1412</v>
      </c>
      <c r="B1418" s="80" t="s">
        <v>110</v>
      </c>
      <c r="C1418" s="81" t="s">
        <v>926</v>
      </c>
      <c r="D1418" s="81" t="n">
        <v>12</v>
      </c>
      <c r="E1418" s="81" t="s">
        <v>1701</v>
      </c>
      <c r="F1418" s="82" t="str">
        <f aca="false">IF(E1418="","",IF(LEFT(E1418,2)="DJ","DJ","JN"))</f>
        <v>JN</v>
      </c>
      <c r="G1418" s="81"/>
      <c r="H1418" s="81"/>
      <c r="I1418" s="81"/>
      <c r="J1418" s="81"/>
      <c r="K1418" s="81"/>
      <c r="L1418" s="81" t="s">
        <v>1671</v>
      </c>
      <c r="M1418" s="81"/>
      <c r="N1418" s="81"/>
      <c r="O1418" s="81"/>
      <c r="P1418" s="81"/>
      <c r="Q1418" s="81"/>
      <c r="R1418" s="81"/>
      <c r="S1418" s="81"/>
      <c r="T1418" s="81"/>
      <c r="U1418" s="83"/>
      <c r="V1418" s="83"/>
      <c r="W1418" s="81"/>
      <c r="X1418" s="81"/>
      <c r="Y1418" s="83"/>
      <c r="Z1418" s="81"/>
      <c r="AA1418" s="81"/>
      <c r="AB1418" s="81"/>
      <c r="AC1418" s="81"/>
      <c r="AD1418" s="81"/>
      <c r="AE1418" s="83"/>
      <c r="AF1418" s="81"/>
      <c r="AG1418" s="81"/>
      <c r="AH1418" s="81"/>
      <c r="AI1418" s="81"/>
      <c r="AJ1418" s="83"/>
      <c r="AK1418" s="81"/>
      <c r="AL1418" s="81"/>
      <c r="AM1418" s="83"/>
      <c r="AN1418" s="80"/>
      <c r="AO1418" s="82" t="n">
        <f aca="false">IF(E1418="","",(AA1418&lt;&gt;"")+(AG1418&lt;&gt;"")+(AL1418&lt;&gt;""))</f>
        <v>0</v>
      </c>
      <c r="AP1418" s="82" t="str">
        <f aca="false">IF(AL1418&lt;&gt;"",AL1418,IF(AG1418&lt;&gt;"",AG1418,IF(AA1418&lt;&gt;"",AA1418,"")))</f>
        <v/>
      </c>
      <c r="AQ1418" s="84" t="str">
        <f aca="false">IF(E1418="","",IF(U1418="","À SOUDER",IF(X1418="","VT EN ATTENTE",IF(X1418="R","VT REJETÉ – À REPRENDRE",IF(AP1418="","À RADIOGRAPHIER",IF(AP1418="A","ACCEPTÉ",IF(AP1418="NX","NX – RT À REFAIRE",IF(IF(AO1418=1,AD1418,IF(AO1418=2,AI1418,""))="A","RÉPARÉ – À RADIOGRAPHIER",IF(IF(AO1418=1,AD1418,IF(AO1418=2,AI1418,""))="R","VT REJETÉ – À REPRENDRE",IF(OR(AP1418="CO",AP1418="NT"),"COUPE – À RESOUDER","À RÉPARER"))))))))))</f>
        <v>À SOUDER</v>
      </c>
      <c r="AR1418" s="82" t="str">
        <f aca="false">IF(AND(ISNUMBER(U1418),OR(AQ1418="À RADIOGRAPHIER",AQ1418="RÉPARÉ – À RADIOGRAPHIER",AQ1418="NX – RT À REFAIRE",AQ1418="À RÉPARER",AQ1418="COUPE – À RESOUDER",AQ1418="VT REJETÉ – À REPRENDRE")),MAX(0,'PROGRAMME RT'!$C$4-U1418),"")</f>
        <v/>
      </c>
      <c r="AS1418" s="82" t="n">
        <f aca="false">IF(AND(OR(AQ1418="À RADIOGRAPHIER",AQ1418="RÉPARÉ – À RADIOGRAPHIER",AQ1418="NX – RT À REFAIRE"),OR('PROGRAMME RT'!$D$5="TOUTES",B1418='PROGRAMME RT'!$D$5)),1,0)</f>
        <v>0</v>
      </c>
      <c r="AT1418" s="82" t="str">
        <f aca="false">IF(AS1418=1,SUM(AS$7:AS1418),"")</f>
        <v/>
      </c>
      <c r="AU1418" s="82" t="n">
        <f aca="false">IF(AND(OR(AA1418="R",AA1418="NX",AA1418="NT",AA1418="CO"),OR('JOINTS DE RÉPARATION'!$D$5="TOUTES",B1418='JOINTS DE RÉPARATION'!$D$5),OR('JOINTS DE RÉPARATION'!$L$4="TOUS",AQ1418&lt;&gt;"ACCEPTÉ")),1,0)</f>
        <v>0</v>
      </c>
      <c r="AV1418" s="82" t="str">
        <f aca="false">IF(AU1418=1,SUM(AU$7:AU1418),"")</f>
        <v/>
      </c>
      <c r="AW1418" s="82" t="str">
        <f aca="false">IF(E1418="","",B1418&amp;"|"&amp;E1418)</f>
        <v>MFD-ISW → MFD-CPF|JN°1178</v>
      </c>
    </row>
    <row r="1419" customFormat="false" ht="74.6" hidden="false" customHeight="false" outlineLevel="0" collapsed="false">
      <c r="A1419" s="79" t="n">
        <f aca="false">IF(E1419="","",ROW()-6)</f>
        <v>1413</v>
      </c>
      <c r="B1419" s="80" t="s">
        <v>110</v>
      </c>
      <c r="C1419" s="81" t="s">
        <v>926</v>
      </c>
      <c r="D1419" s="81" t="n">
        <v>12</v>
      </c>
      <c r="E1419" s="81" t="s">
        <v>1702</v>
      </c>
      <c r="F1419" s="82" t="str">
        <f aca="false">IF(E1419="","",IF(LEFT(E1419,2)="DJ","DJ","JN"))</f>
        <v>JN</v>
      </c>
      <c r="G1419" s="81"/>
      <c r="H1419" s="81"/>
      <c r="I1419" s="81"/>
      <c r="J1419" s="81"/>
      <c r="K1419" s="81"/>
      <c r="L1419" s="81" t="s">
        <v>1671</v>
      </c>
      <c r="M1419" s="81"/>
      <c r="N1419" s="81"/>
      <c r="O1419" s="81"/>
      <c r="P1419" s="81"/>
      <c r="Q1419" s="81"/>
      <c r="R1419" s="81"/>
      <c r="S1419" s="81"/>
      <c r="T1419" s="81"/>
      <c r="U1419" s="83"/>
      <c r="V1419" s="83"/>
      <c r="W1419" s="81"/>
      <c r="X1419" s="81"/>
      <c r="Y1419" s="83"/>
      <c r="Z1419" s="81"/>
      <c r="AA1419" s="81"/>
      <c r="AB1419" s="81"/>
      <c r="AC1419" s="81"/>
      <c r="AD1419" s="81"/>
      <c r="AE1419" s="83"/>
      <c r="AF1419" s="81"/>
      <c r="AG1419" s="81"/>
      <c r="AH1419" s="81"/>
      <c r="AI1419" s="81"/>
      <c r="AJ1419" s="83"/>
      <c r="AK1419" s="81"/>
      <c r="AL1419" s="81"/>
      <c r="AM1419" s="83"/>
      <c r="AN1419" s="80"/>
      <c r="AO1419" s="82" t="n">
        <f aca="false">IF(E1419="","",(AA1419&lt;&gt;"")+(AG1419&lt;&gt;"")+(AL1419&lt;&gt;""))</f>
        <v>0</v>
      </c>
      <c r="AP1419" s="82" t="str">
        <f aca="false">IF(AL1419&lt;&gt;"",AL1419,IF(AG1419&lt;&gt;"",AG1419,IF(AA1419&lt;&gt;"",AA1419,"")))</f>
        <v/>
      </c>
      <c r="AQ1419" s="84" t="str">
        <f aca="false">IF(E1419="","",IF(U1419="","À SOUDER",IF(X1419="","VT EN ATTENTE",IF(X1419="R","VT REJETÉ – À REPRENDRE",IF(AP1419="","À RADIOGRAPHIER",IF(AP1419="A","ACCEPTÉ",IF(AP1419="NX","NX – RT À REFAIRE",IF(IF(AO1419=1,AD1419,IF(AO1419=2,AI1419,""))="A","RÉPARÉ – À RADIOGRAPHIER",IF(IF(AO1419=1,AD1419,IF(AO1419=2,AI1419,""))="R","VT REJETÉ – À REPRENDRE",IF(OR(AP1419="CO",AP1419="NT"),"COUPE – À RESOUDER","À RÉPARER"))))))))))</f>
        <v>À SOUDER</v>
      </c>
      <c r="AR1419" s="82" t="str">
        <f aca="false">IF(AND(ISNUMBER(U1419),OR(AQ1419="À RADIOGRAPHIER",AQ1419="RÉPARÉ – À RADIOGRAPHIER",AQ1419="NX – RT À REFAIRE",AQ1419="À RÉPARER",AQ1419="COUPE – À RESOUDER",AQ1419="VT REJETÉ – À REPRENDRE")),MAX(0,'PROGRAMME RT'!$C$4-U1419),"")</f>
        <v/>
      </c>
      <c r="AS1419" s="82" t="n">
        <f aca="false">IF(AND(OR(AQ1419="À RADIOGRAPHIER",AQ1419="RÉPARÉ – À RADIOGRAPHIER",AQ1419="NX – RT À REFAIRE"),OR('PROGRAMME RT'!$D$5="TOUTES",B1419='PROGRAMME RT'!$D$5)),1,0)</f>
        <v>0</v>
      </c>
      <c r="AT1419" s="82" t="str">
        <f aca="false">IF(AS1419=1,SUM(AS$7:AS1419),"")</f>
        <v/>
      </c>
      <c r="AU1419" s="82" t="n">
        <f aca="false">IF(AND(OR(AA1419="R",AA1419="NX",AA1419="NT",AA1419="CO"),OR('JOINTS DE RÉPARATION'!$D$5="TOUTES",B1419='JOINTS DE RÉPARATION'!$D$5),OR('JOINTS DE RÉPARATION'!$L$4="TOUS",AQ1419&lt;&gt;"ACCEPTÉ")),1,0)</f>
        <v>0</v>
      </c>
      <c r="AV1419" s="82" t="str">
        <f aca="false">IF(AU1419=1,SUM(AU$7:AU1419),"")</f>
        <v/>
      </c>
      <c r="AW1419" s="82" t="str">
        <f aca="false">IF(E1419="","",B1419&amp;"|"&amp;E1419)</f>
        <v>MFD-ISW → MFD-CPF|JN°1179</v>
      </c>
    </row>
    <row r="1420" customFormat="false" ht="74.6" hidden="false" customHeight="false" outlineLevel="0" collapsed="false">
      <c r="A1420" s="79" t="n">
        <f aca="false">IF(E1420="","",ROW()-6)</f>
        <v>1414</v>
      </c>
      <c r="B1420" s="80" t="s">
        <v>110</v>
      </c>
      <c r="C1420" s="81" t="s">
        <v>926</v>
      </c>
      <c r="D1420" s="81" t="n">
        <v>12</v>
      </c>
      <c r="E1420" s="81" t="s">
        <v>1703</v>
      </c>
      <c r="F1420" s="82" t="str">
        <f aca="false">IF(E1420="","",IF(LEFT(E1420,2)="DJ","DJ","JN"))</f>
        <v>JN</v>
      </c>
      <c r="G1420" s="81"/>
      <c r="H1420" s="81"/>
      <c r="I1420" s="81"/>
      <c r="J1420" s="81"/>
      <c r="K1420" s="81"/>
      <c r="L1420" s="81" t="s">
        <v>1671</v>
      </c>
      <c r="M1420" s="81"/>
      <c r="N1420" s="81"/>
      <c r="O1420" s="81"/>
      <c r="P1420" s="81"/>
      <c r="Q1420" s="81"/>
      <c r="R1420" s="81"/>
      <c r="S1420" s="81"/>
      <c r="T1420" s="81"/>
      <c r="U1420" s="83"/>
      <c r="V1420" s="83"/>
      <c r="W1420" s="81"/>
      <c r="X1420" s="81"/>
      <c r="Y1420" s="83"/>
      <c r="Z1420" s="81"/>
      <c r="AA1420" s="81"/>
      <c r="AB1420" s="81"/>
      <c r="AC1420" s="81"/>
      <c r="AD1420" s="81"/>
      <c r="AE1420" s="83"/>
      <c r="AF1420" s="81"/>
      <c r="AG1420" s="81"/>
      <c r="AH1420" s="81"/>
      <c r="AI1420" s="81"/>
      <c r="AJ1420" s="83"/>
      <c r="AK1420" s="81"/>
      <c r="AL1420" s="81"/>
      <c r="AM1420" s="83"/>
      <c r="AN1420" s="80"/>
      <c r="AO1420" s="82" t="n">
        <f aca="false">IF(E1420="","",(AA1420&lt;&gt;"")+(AG1420&lt;&gt;"")+(AL1420&lt;&gt;""))</f>
        <v>0</v>
      </c>
      <c r="AP1420" s="82" t="str">
        <f aca="false">IF(AL1420&lt;&gt;"",AL1420,IF(AG1420&lt;&gt;"",AG1420,IF(AA1420&lt;&gt;"",AA1420,"")))</f>
        <v/>
      </c>
      <c r="AQ1420" s="84" t="str">
        <f aca="false">IF(E1420="","",IF(U1420="","À SOUDER",IF(X1420="","VT EN ATTENTE",IF(X1420="R","VT REJETÉ – À REPRENDRE",IF(AP1420="","À RADIOGRAPHIER",IF(AP1420="A","ACCEPTÉ",IF(AP1420="NX","NX – RT À REFAIRE",IF(IF(AO1420=1,AD1420,IF(AO1420=2,AI1420,""))="A","RÉPARÉ – À RADIOGRAPHIER",IF(IF(AO1420=1,AD1420,IF(AO1420=2,AI1420,""))="R","VT REJETÉ – À REPRENDRE",IF(OR(AP1420="CO",AP1420="NT"),"COUPE – À RESOUDER","À RÉPARER"))))))))))</f>
        <v>À SOUDER</v>
      </c>
      <c r="AR1420" s="82" t="str">
        <f aca="false">IF(AND(ISNUMBER(U1420),OR(AQ1420="À RADIOGRAPHIER",AQ1420="RÉPARÉ – À RADIOGRAPHIER",AQ1420="NX – RT À REFAIRE",AQ1420="À RÉPARER",AQ1420="COUPE – À RESOUDER",AQ1420="VT REJETÉ – À REPRENDRE")),MAX(0,'PROGRAMME RT'!$C$4-U1420),"")</f>
        <v/>
      </c>
      <c r="AS1420" s="82" t="n">
        <f aca="false">IF(AND(OR(AQ1420="À RADIOGRAPHIER",AQ1420="RÉPARÉ – À RADIOGRAPHIER",AQ1420="NX – RT À REFAIRE"),OR('PROGRAMME RT'!$D$5="TOUTES",B1420='PROGRAMME RT'!$D$5)),1,0)</f>
        <v>0</v>
      </c>
      <c r="AT1420" s="82" t="str">
        <f aca="false">IF(AS1420=1,SUM(AS$7:AS1420),"")</f>
        <v/>
      </c>
      <c r="AU1420" s="82" t="n">
        <f aca="false">IF(AND(OR(AA1420="R",AA1420="NX",AA1420="NT",AA1420="CO"),OR('JOINTS DE RÉPARATION'!$D$5="TOUTES",B1420='JOINTS DE RÉPARATION'!$D$5),OR('JOINTS DE RÉPARATION'!$L$4="TOUS",AQ1420&lt;&gt;"ACCEPTÉ")),1,0)</f>
        <v>0</v>
      </c>
      <c r="AV1420" s="82" t="str">
        <f aca="false">IF(AU1420=1,SUM(AU$7:AU1420),"")</f>
        <v/>
      </c>
      <c r="AW1420" s="82" t="str">
        <f aca="false">IF(E1420="","",B1420&amp;"|"&amp;E1420)</f>
        <v>MFD-ISW → MFD-CPF|JN°1180</v>
      </c>
    </row>
    <row r="1421" customFormat="false" ht="74.6" hidden="false" customHeight="false" outlineLevel="0" collapsed="false">
      <c r="A1421" s="79" t="n">
        <f aca="false">IF(E1421="","",ROW()-6)</f>
        <v>1415</v>
      </c>
      <c r="B1421" s="80" t="s">
        <v>110</v>
      </c>
      <c r="C1421" s="81" t="s">
        <v>926</v>
      </c>
      <c r="D1421" s="81" t="n">
        <v>12</v>
      </c>
      <c r="E1421" s="81" t="s">
        <v>1704</v>
      </c>
      <c r="F1421" s="82" t="str">
        <f aca="false">IF(E1421="","",IF(LEFT(E1421,2)="DJ","DJ","JN"))</f>
        <v>JN</v>
      </c>
      <c r="G1421" s="81"/>
      <c r="H1421" s="81"/>
      <c r="I1421" s="81"/>
      <c r="J1421" s="81"/>
      <c r="K1421" s="81"/>
      <c r="L1421" s="81" t="s">
        <v>1671</v>
      </c>
      <c r="M1421" s="81"/>
      <c r="N1421" s="81"/>
      <c r="O1421" s="81"/>
      <c r="P1421" s="81"/>
      <c r="Q1421" s="81"/>
      <c r="R1421" s="81"/>
      <c r="S1421" s="81"/>
      <c r="T1421" s="81"/>
      <c r="U1421" s="83"/>
      <c r="V1421" s="83"/>
      <c r="W1421" s="81"/>
      <c r="X1421" s="81"/>
      <c r="Y1421" s="83"/>
      <c r="Z1421" s="81"/>
      <c r="AA1421" s="81"/>
      <c r="AB1421" s="81"/>
      <c r="AC1421" s="81"/>
      <c r="AD1421" s="81"/>
      <c r="AE1421" s="83"/>
      <c r="AF1421" s="81"/>
      <c r="AG1421" s="81"/>
      <c r="AH1421" s="81"/>
      <c r="AI1421" s="81"/>
      <c r="AJ1421" s="83"/>
      <c r="AK1421" s="81"/>
      <c r="AL1421" s="81"/>
      <c r="AM1421" s="83"/>
      <c r="AN1421" s="80"/>
      <c r="AO1421" s="82" t="n">
        <f aca="false">IF(E1421="","",(AA1421&lt;&gt;"")+(AG1421&lt;&gt;"")+(AL1421&lt;&gt;""))</f>
        <v>0</v>
      </c>
      <c r="AP1421" s="82" t="str">
        <f aca="false">IF(AL1421&lt;&gt;"",AL1421,IF(AG1421&lt;&gt;"",AG1421,IF(AA1421&lt;&gt;"",AA1421,"")))</f>
        <v/>
      </c>
      <c r="AQ1421" s="84" t="str">
        <f aca="false">IF(E1421="","",IF(U1421="","À SOUDER",IF(X1421="","VT EN ATTENTE",IF(X1421="R","VT REJETÉ – À REPRENDRE",IF(AP1421="","À RADIOGRAPHIER",IF(AP1421="A","ACCEPTÉ",IF(AP1421="NX","NX – RT À REFAIRE",IF(IF(AO1421=1,AD1421,IF(AO1421=2,AI1421,""))="A","RÉPARÉ – À RADIOGRAPHIER",IF(IF(AO1421=1,AD1421,IF(AO1421=2,AI1421,""))="R","VT REJETÉ – À REPRENDRE",IF(OR(AP1421="CO",AP1421="NT"),"COUPE – À RESOUDER","À RÉPARER"))))))))))</f>
        <v>À SOUDER</v>
      </c>
      <c r="AR1421" s="82" t="str">
        <f aca="false">IF(AND(ISNUMBER(U1421),OR(AQ1421="À RADIOGRAPHIER",AQ1421="RÉPARÉ – À RADIOGRAPHIER",AQ1421="NX – RT À REFAIRE",AQ1421="À RÉPARER",AQ1421="COUPE – À RESOUDER",AQ1421="VT REJETÉ – À REPRENDRE")),MAX(0,'PROGRAMME RT'!$C$4-U1421),"")</f>
        <v/>
      </c>
      <c r="AS1421" s="82" t="n">
        <f aca="false">IF(AND(OR(AQ1421="À RADIOGRAPHIER",AQ1421="RÉPARÉ – À RADIOGRAPHIER",AQ1421="NX – RT À REFAIRE"),OR('PROGRAMME RT'!$D$5="TOUTES",B1421='PROGRAMME RT'!$D$5)),1,0)</f>
        <v>0</v>
      </c>
      <c r="AT1421" s="82" t="str">
        <f aca="false">IF(AS1421=1,SUM(AS$7:AS1421),"")</f>
        <v/>
      </c>
      <c r="AU1421" s="82" t="n">
        <f aca="false">IF(AND(OR(AA1421="R",AA1421="NX",AA1421="NT",AA1421="CO"),OR('JOINTS DE RÉPARATION'!$D$5="TOUTES",B1421='JOINTS DE RÉPARATION'!$D$5),OR('JOINTS DE RÉPARATION'!$L$4="TOUS",AQ1421&lt;&gt;"ACCEPTÉ")),1,0)</f>
        <v>0</v>
      </c>
      <c r="AV1421" s="82" t="str">
        <f aca="false">IF(AU1421=1,SUM(AU$7:AU1421),"")</f>
        <v/>
      </c>
      <c r="AW1421" s="82" t="str">
        <f aca="false">IF(E1421="","",B1421&amp;"|"&amp;E1421)</f>
        <v>MFD-ISW → MFD-CPF|JN°1181</v>
      </c>
    </row>
    <row r="1422" customFormat="false" ht="74.6" hidden="false" customHeight="false" outlineLevel="0" collapsed="false">
      <c r="A1422" s="79" t="n">
        <f aca="false">IF(E1422="","",ROW()-6)</f>
        <v>1416</v>
      </c>
      <c r="B1422" s="80" t="s">
        <v>110</v>
      </c>
      <c r="C1422" s="81" t="s">
        <v>926</v>
      </c>
      <c r="D1422" s="81" t="n">
        <v>12</v>
      </c>
      <c r="E1422" s="81" t="s">
        <v>1705</v>
      </c>
      <c r="F1422" s="82" t="str">
        <f aca="false">IF(E1422="","",IF(LEFT(E1422,2)="DJ","DJ","JN"))</f>
        <v>JN</v>
      </c>
      <c r="G1422" s="81"/>
      <c r="H1422" s="81"/>
      <c r="I1422" s="81"/>
      <c r="J1422" s="81"/>
      <c r="K1422" s="81"/>
      <c r="L1422" s="81" t="s">
        <v>1671</v>
      </c>
      <c r="M1422" s="81"/>
      <c r="N1422" s="81"/>
      <c r="O1422" s="81"/>
      <c r="P1422" s="81"/>
      <c r="Q1422" s="81"/>
      <c r="R1422" s="81"/>
      <c r="S1422" s="81"/>
      <c r="T1422" s="81"/>
      <c r="U1422" s="83"/>
      <c r="V1422" s="83"/>
      <c r="W1422" s="81"/>
      <c r="X1422" s="81"/>
      <c r="Y1422" s="83"/>
      <c r="Z1422" s="81"/>
      <c r="AA1422" s="81"/>
      <c r="AB1422" s="81"/>
      <c r="AC1422" s="81"/>
      <c r="AD1422" s="81"/>
      <c r="AE1422" s="83"/>
      <c r="AF1422" s="81"/>
      <c r="AG1422" s="81"/>
      <c r="AH1422" s="81"/>
      <c r="AI1422" s="81"/>
      <c r="AJ1422" s="83"/>
      <c r="AK1422" s="81"/>
      <c r="AL1422" s="81"/>
      <c r="AM1422" s="83"/>
      <c r="AN1422" s="80"/>
      <c r="AO1422" s="82" t="n">
        <f aca="false">IF(E1422="","",(AA1422&lt;&gt;"")+(AG1422&lt;&gt;"")+(AL1422&lt;&gt;""))</f>
        <v>0</v>
      </c>
      <c r="AP1422" s="82" t="str">
        <f aca="false">IF(AL1422&lt;&gt;"",AL1422,IF(AG1422&lt;&gt;"",AG1422,IF(AA1422&lt;&gt;"",AA1422,"")))</f>
        <v/>
      </c>
      <c r="AQ1422" s="84" t="str">
        <f aca="false">IF(E1422="","",IF(U1422="","À SOUDER",IF(X1422="","VT EN ATTENTE",IF(X1422="R","VT REJETÉ – À REPRENDRE",IF(AP1422="","À RADIOGRAPHIER",IF(AP1422="A","ACCEPTÉ",IF(AP1422="NX","NX – RT À REFAIRE",IF(IF(AO1422=1,AD1422,IF(AO1422=2,AI1422,""))="A","RÉPARÉ – À RADIOGRAPHIER",IF(IF(AO1422=1,AD1422,IF(AO1422=2,AI1422,""))="R","VT REJETÉ – À REPRENDRE",IF(OR(AP1422="CO",AP1422="NT"),"COUPE – À RESOUDER","À RÉPARER"))))))))))</f>
        <v>À SOUDER</v>
      </c>
      <c r="AR1422" s="82" t="str">
        <f aca="false">IF(AND(ISNUMBER(U1422),OR(AQ1422="À RADIOGRAPHIER",AQ1422="RÉPARÉ – À RADIOGRAPHIER",AQ1422="NX – RT À REFAIRE",AQ1422="À RÉPARER",AQ1422="COUPE – À RESOUDER",AQ1422="VT REJETÉ – À REPRENDRE")),MAX(0,'PROGRAMME RT'!$C$4-U1422),"")</f>
        <v/>
      </c>
      <c r="AS1422" s="82" t="n">
        <f aca="false">IF(AND(OR(AQ1422="À RADIOGRAPHIER",AQ1422="RÉPARÉ – À RADIOGRAPHIER",AQ1422="NX – RT À REFAIRE"),OR('PROGRAMME RT'!$D$5="TOUTES",B1422='PROGRAMME RT'!$D$5)),1,0)</f>
        <v>0</v>
      </c>
      <c r="AT1422" s="82" t="str">
        <f aca="false">IF(AS1422=1,SUM(AS$7:AS1422),"")</f>
        <v/>
      </c>
      <c r="AU1422" s="82" t="n">
        <f aca="false">IF(AND(OR(AA1422="R",AA1422="NX",AA1422="NT",AA1422="CO"),OR('JOINTS DE RÉPARATION'!$D$5="TOUTES",B1422='JOINTS DE RÉPARATION'!$D$5),OR('JOINTS DE RÉPARATION'!$L$4="TOUS",AQ1422&lt;&gt;"ACCEPTÉ")),1,0)</f>
        <v>0</v>
      </c>
      <c r="AV1422" s="82" t="str">
        <f aca="false">IF(AU1422=1,SUM(AU$7:AU1422),"")</f>
        <v/>
      </c>
      <c r="AW1422" s="82" t="str">
        <f aca="false">IF(E1422="","",B1422&amp;"|"&amp;E1422)</f>
        <v>MFD-ISW → MFD-CPF|JN°1182</v>
      </c>
    </row>
    <row r="1423" customFormat="false" ht="74.6" hidden="false" customHeight="false" outlineLevel="0" collapsed="false">
      <c r="A1423" s="79" t="n">
        <f aca="false">IF(E1423="","",ROW()-6)</f>
        <v>1417</v>
      </c>
      <c r="B1423" s="80" t="s">
        <v>110</v>
      </c>
      <c r="C1423" s="81" t="s">
        <v>926</v>
      </c>
      <c r="D1423" s="81" t="n">
        <v>12</v>
      </c>
      <c r="E1423" s="81" t="s">
        <v>1706</v>
      </c>
      <c r="F1423" s="82" t="str">
        <f aca="false">IF(E1423="","",IF(LEFT(E1423,2)="DJ","DJ","JN"))</f>
        <v>JN</v>
      </c>
      <c r="G1423" s="81"/>
      <c r="H1423" s="81"/>
      <c r="I1423" s="81"/>
      <c r="J1423" s="81"/>
      <c r="K1423" s="81"/>
      <c r="L1423" s="81" t="s">
        <v>1671</v>
      </c>
      <c r="M1423" s="81"/>
      <c r="N1423" s="81"/>
      <c r="O1423" s="81"/>
      <c r="P1423" s="81"/>
      <c r="Q1423" s="81"/>
      <c r="R1423" s="81"/>
      <c r="S1423" s="81"/>
      <c r="T1423" s="81"/>
      <c r="U1423" s="83"/>
      <c r="V1423" s="83"/>
      <c r="W1423" s="81"/>
      <c r="X1423" s="81"/>
      <c r="Y1423" s="83"/>
      <c r="Z1423" s="81"/>
      <c r="AA1423" s="81"/>
      <c r="AB1423" s="81"/>
      <c r="AC1423" s="81"/>
      <c r="AD1423" s="81"/>
      <c r="AE1423" s="83"/>
      <c r="AF1423" s="81"/>
      <c r="AG1423" s="81"/>
      <c r="AH1423" s="81"/>
      <c r="AI1423" s="81"/>
      <c r="AJ1423" s="83"/>
      <c r="AK1423" s="81"/>
      <c r="AL1423" s="81"/>
      <c r="AM1423" s="83"/>
      <c r="AN1423" s="80"/>
      <c r="AO1423" s="82" t="n">
        <f aca="false">IF(E1423="","",(AA1423&lt;&gt;"")+(AG1423&lt;&gt;"")+(AL1423&lt;&gt;""))</f>
        <v>0</v>
      </c>
      <c r="AP1423" s="82" t="str">
        <f aca="false">IF(AL1423&lt;&gt;"",AL1423,IF(AG1423&lt;&gt;"",AG1423,IF(AA1423&lt;&gt;"",AA1423,"")))</f>
        <v/>
      </c>
      <c r="AQ1423" s="84" t="str">
        <f aca="false">IF(E1423="","",IF(U1423="","À SOUDER",IF(X1423="","VT EN ATTENTE",IF(X1423="R","VT REJETÉ – À REPRENDRE",IF(AP1423="","À RADIOGRAPHIER",IF(AP1423="A","ACCEPTÉ",IF(AP1423="NX","NX – RT À REFAIRE",IF(IF(AO1423=1,AD1423,IF(AO1423=2,AI1423,""))="A","RÉPARÉ – À RADIOGRAPHIER",IF(IF(AO1423=1,AD1423,IF(AO1423=2,AI1423,""))="R","VT REJETÉ – À REPRENDRE",IF(OR(AP1423="CO",AP1423="NT"),"COUPE – À RESOUDER","À RÉPARER"))))))))))</f>
        <v>À SOUDER</v>
      </c>
      <c r="AR1423" s="82" t="str">
        <f aca="false">IF(AND(ISNUMBER(U1423),OR(AQ1423="À RADIOGRAPHIER",AQ1423="RÉPARÉ – À RADIOGRAPHIER",AQ1423="NX – RT À REFAIRE",AQ1423="À RÉPARER",AQ1423="COUPE – À RESOUDER",AQ1423="VT REJETÉ – À REPRENDRE")),MAX(0,'PROGRAMME RT'!$C$4-U1423),"")</f>
        <v/>
      </c>
      <c r="AS1423" s="82" t="n">
        <f aca="false">IF(AND(OR(AQ1423="À RADIOGRAPHIER",AQ1423="RÉPARÉ – À RADIOGRAPHIER",AQ1423="NX – RT À REFAIRE"),OR('PROGRAMME RT'!$D$5="TOUTES",B1423='PROGRAMME RT'!$D$5)),1,0)</f>
        <v>0</v>
      </c>
      <c r="AT1423" s="82" t="str">
        <f aca="false">IF(AS1423=1,SUM(AS$7:AS1423),"")</f>
        <v/>
      </c>
      <c r="AU1423" s="82" t="n">
        <f aca="false">IF(AND(OR(AA1423="R",AA1423="NX",AA1423="NT",AA1423="CO"),OR('JOINTS DE RÉPARATION'!$D$5="TOUTES",B1423='JOINTS DE RÉPARATION'!$D$5),OR('JOINTS DE RÉPARATION'!$L$4="TOUS",AQ1423&lt;&gt;"ACCEPTÉ")),1,0)</f>
        <v>0</v>
      </c>
      <c r="AV1423" s="82" t="str">
        <f aca="false">IF(AU1423=1,SUM(AU$7:AU1423),"")</f>
        <v/>
      </c>
      <c r="AW1423" s="82" t="str">
        <f aca="false">IF(E1423="","",B1423&amp;"|"&amp;E1423)</f>
        <v>MFD-ISW → MFD-CPF|JN°1183</v>
      </c>
    </row>
    <row r="1424" customFormat="false" ht="74.6" hidden="false" customHeight="false" outlineLevel="0" collapsed="false">
      <c r="A1424" s="79" t="n">
        <f aca="false">IF(E1424="","",ROW()-6)</f>
        <v>1418</v>
      </c>
      <c r="B1424" s="80" t="s">
        <v>110</v>
      </c>
      <c r="C1424" s="81" t="s">
        <v>926</v>
      </c>
      <c r="D1424" s="81" t="n">
        <v>12</v>
      </c>
      <c r="E1424" s="81" t="s">
        <v>1707</v>
      </c>
      <c r="F1424" s="82" t="str">
        <f aca="false">IF(E1424="","",IF(LEFT(E1424,2)="DJ","DJ","JN"))</f>
        <v>JN</v>
      </c>
      <c r="G1424" s="81"/>
      <c r="H1424" s="81"/>
      <c r="I1424" s="81"/>
      <c r="J1424" s="81"/>
      <c r="K1424" s="81"/>
      <c r="L1424" s="81" t="s">
        <v>1671</v>
      </c>
      <c r="M1424" s="81"/>
      <c r="N1424" s="81"/>
      <c r="O1424" s="81"/>
      <c r="P1424" s="81"/>
      <c r="Q1424" s="81"/>
      <c r="R1424" s="81"/>
      <c r="S1424" s="81"/>
      <c r="T1424" s="81"/>
      <c r="U1424" s="83"/>
      <c r="V1424" s="83"/>
      <c r="W1424" s="81"/>
      <c r="X1424" s="81"/>
      <c r="Y1424" s="83"/>
      <c r="Z1424" s="81"/>
      <c r="AA1424" s="81"/>
      <c r="AB1424" s="81"/>
      <c r="AC1424" s="81"/>
      <c r="AD1424" s="81"/>
      <c r="AE1424" s="83"/>
      <c r="AF1424" s="81"/>
      <c r="AG1424" s="81"/>
      <c r="AH1424" s="81"/>
      <c r="AI1424" s="81"/>
      <c r="AJ1424" s="83"/>
      <c r="AK1424" s="81"/>
      <c r="AL1424" s="81"/>
      <c r="AM1424" s="83"/>
      <c r="AN1424" s="80"/>
      <c r="AO1424" s="82" t="n">
        <f aca="false">IF(E1424="","",(AA1424&lt;&gt;"")+(AG1424&lt;&gt;"")+(AL1424&lt;&gt;""))</f>
        <v>0</v>
      </c>
      <c r="AP1424" s="82" t="str">
        <f aca="false">IF(AL1424&lt;&gt;"",AL1424,IF(AG1424&lt;&gt;"",AG1424,IF(AA1424&lt;&gt;"",AA1424,"")))</f>
        <v/>
      </c>
      <c r="AQ1424" s="84" t="str">
        <f aca="false">IF(E1424="","",IF(U1424="","À SOUDER",IF(X1424="","VT EN ATTENTE",IF(X1424="R","VT REJETÉ – À REPRENDRE",IF(AP1424="","À RADIOGRAPHIER",IF(AP1424="A","ACCEPTÉ",IF(AP1424="NX","NX – RT À REFAIRE",IF(IF(AO1424=1,AD1424,IF(AO1424=2,AI1424,""))="A","RÉPARÉ – À RADIOGRAPHIER",IF(IF(AO1424=1,AD1424,IF(AO1424=2,AI1424,""))="R","VT REJETÉ – À REPRENDRE",IF(OR(AP1424="CO",AP1424="NT"),"COUPE – À RESOUDER","À RÉPARER"))))))))))</f>
        <v>À SOUDER</v>
      </c>
      <c r="AR1424" s="82" t="str">
        <f aca="false">IF(AND(ISNUMBER(U1424),OR(AQ1424="À RADIOGRAPHIER",AQ1424="RÉPARÉ – À RADIOGRAPHIER",AQ1424="NX – RT À REFAIRE",AQ1424="À RÉPARER",AQ1424="COUPE – À RESOUDER",AQ1424="VT REJETÉ – À REPRENDRE")),MAX(0,'PROGRAMME RT'!$C$4-U1424),"")</f>
        <v/>
      </c>
      <c r="AS1424" s="82" t="n">
        <f aca="false">IF(AND(OR(AQ1424="À RADIOGRAPHIER",AQ1424="RÉPARÉ – À RADIOGRAPHIER",AQ1424="NX – RT À REFAIRE"),OR('PROGRAMME RT'!$D$5="TOUTES",B1424='PROGRAMME RT'!$D$5)),1,0)</f>
        <v>0</v>
      </c>
      <c r="AT1424" s="82" t="str">
        <f aca="false">IF(AS1424=1,SUM(AS$7:AS1424),"")</f>
        <v/>
      </c>
      <c r="AU1424" s="82" t="n">
        <f aca="false">IF(AND(OR(AA1424="R",AA1424="NX",AA1424="NT",AA1424="CO"),OR('JOINTS DE RÉPARATION'!$D$5="TOUTES",B1424='JOINTS DE RÉPARATION'!$D$5),OR('JOINTS DE RÉPARATION'!$L$4="TOUS",AQ1424&lt;&gt;"ACCEPTÉ")),1,0)</f>
        <v>0</v>
      </c>
      <c r="AV1424" s="82" t="str">
        <f aca="false">IF(AU1424=1,SUM(AU$7:AU1424),"")</f>
        <v/>
      </c>
      <c r="AW1424" s="82" t="str">
        <f aca="false">IF(E1424="","",B1424&amp;"|"&amp;E1424)</f>
        <v>MFD-ISW → MFD-CPF|JN°1184</v>
      </c>
    </row>
    <row r="1425" customFormat="false" ht="74.6" hidden="false" customHeight="false" outlineLevel="0" collapsed="false">
      <c r="A1425" s="79" t="n">
        <f aca="false">IF(E1425="","",ROW()-6)</f>
        <v>1419</v>
      </c>
      <c r="B1425" s="80" t="s">
        <v>110</v>
      </c>
      <c r="C1425" s="81" t="s">
        <v>926</v>
      </c>
      <c r="D1425" s="81" t="n">
        <v>12</v>
      </c>
      <c r="E1425" s="81" t="s">
        <v>1708</v>
      </c>
      <c r="F1425" s="82" t="str">
        <f aca="false">IF(E1425="","",IF(LEFT(E1425,2)="DJ","DJ","JN"))</f>
        <v>JN</v>
      </c>
      <c r="G1425" s="81"/>
      <c r="H1425" s="81"/>
      <c r="I1425" s="81"/>
      <c r="J1425" s="81"/>
      <c r="K1425" s="81"/>
      <c r="L1425" s="81" t="s">
        <v>1671</v>
      </c>
      <c r="M1425" s="81"/>
      <c r="N1425" s="81"/>
      <c r="O1425" s="81"/>
      <c r="P1425" s="81"/>
      <c r="Q1425" s="81"/>
      <c r="R1425" s="81"/>
      <c r="S1425" s="81"/>
      <c r="T1425" s="81"/>
      <c r="U1425" s="83"/>
      <c r="V1425" s="83"/>
      <c r="W1425" s="81"/>
      <c r="X1425" s="81"/>
      <c r="Y1425" s="83"/>
      <c r="Z1425" s="81"/>
      <c r="AA1425" s="81"/>
      <c r="AB1425" s="81"/>
      <c r="AC1425" s="81"/>
      <c r="AD1425" s="81"/>
      <c r="AE1425" s="83"/>
      <c r="AF1425" s="81"/>
      <c r="AG1425" s="81"/>
      <c r="AH1425" s="81"/>
      <c r="AI1425" s="81"/>
      <c r="AJ1425" s="83"/>
      <c r="AK1425" s="81"/>
      <c r="AL1425" s="81"/>
      <c r="AM1425" s="83"/>
      <c r="AN1425" s="80"/>
      <c r="AO1425" s="82" t="n">
        <f aca="false">IF(E1425="","",(AA1425&lt;&gt;"")+(AG1425&lt;&gt;"")+(AL1425&lt;&gt;""))</f>
        <v>0</v>
      </c>
      <c r="AP1425" s="82" t="str">
        <f aca="false">IF(AL1425&lt;&gt;"",AL1425,IF(AG1425&lt;&gt;"",AG1425,IF(AA1425&lt;&gt;"",AA1425,"")))</f>
        <v/>
      </c>
      <c r="AQ1425" s="84" t="str">
        <f aca="false">IF(E1425="","",IF(U1425="","À SOUDER",IF(X1425="","VT EN ATTENTE",IF(X1425="R","VT REJETÉ – À REPRENDRE",IF(AP1425="","À RADIOGRAPHIER",IF(AP1425="A","ACCEPTÉ",IF(AP1425="NX","NX – RT À REFAIRE",IF(IF(AO1425=1,AD1425,IF(AO1425=2,AI1425,""))="A","RÉPARÉ – À RADIOGRAPHIER",IF(IF(AO1425=1,AD1425,IF(AO1425=2,AI1425,""))="R","VT REJETÉ – À REPRENDRE",IF(OR(AP1425="CO",AP1425="NT"),"COUPE – À RESOUDER","À RÉPARER"))))))))))</f>
        <v>À SOUDER</v>
      </c>
      <c r="AR1425" s="82" t="str">
        <f aca="false">IF(AND(ISNUMBER(U1425),OR(AQ1425="À RADIOGRAPHIER",AQ1425="RÉPARÉ – À RADIOGRAPHIER",AQ1425="NX – RT À REFAIRE",AQ1425="À RÉPARER",AQ1425="COUPE – À RESOUDER",AQ1425="VT REJETÉ – À REPRENDRE")),MAX(0,'PROGRAMME RT'!$C$4-U1425),"")</f>
        <v/>
      </c>
      <c r="AS1425" s="82" t="n">
        <f aca="false">IF(AND(OR(AQ1425="À RADIOGRAPHIER",AQ1425="RÉPARÉ – À RADIOGRAPHIER",AQ1425="NX – RT À REFAIRE"),OR('PROGRAMME RT'!$D$5="TOUTES",B1425='PROGRAMME RT'!$D$5)),1,0)</f>
        <v>0</v>
      </c>
      <c r="AT1425" s="82" t="str">
        <f aca="false">IF(AS1425=1,SUM(AS$7:AS1425),"")</f>
        <v/>
      </c>
      <c r="AU1425" s="82" t="n">
        <f aca="false">IF(AND(OR(AA1425="R",AA1425="NX",AA1425="NT",AA1425="CO"),OR('JOINTS DE RÉPARATION'!$D$5="TOUTES",B1425='JOINTS DE RÉPARATION'!$D$5),OR('JOINTS DE RÉPARATION'!$L$4="TOUS",AQ1425&lt;&gt;"ACCEPTÉ")),1,0)</f>
        <v>0</v>
      </c>
      <c r="AV1425" s="82" t="str">
        <f aca="false">IF(AU1425=1,SUM(AU$7:AU1425),"")</f>
        <v/>
      </c>
      <c r="AW1425" s="82" t="str">
        <f aca="false">IF(E1425="","",B1425&amp;"|"&amp;E1425)</f>
        <v>MFD-ISW → MFD-CPF|JN°1185</v>
      </c>
    </row>
    <row r="1426" customFormat="false" ht="74.6" hidden="false" customHeight="false" outlineLevel="0" collapsed="false">
      <c r="A1426" s="79" t="n">
        <f aca="false">IF(E1426="","",ROW()-6)</f>
        <v>1420</v>
      </c>
      <c r="B1426" s="80" t="s">
        <v>110</v>
      </c>
      <c r="C1426" s="81" t="s">
        <v>926</v>
      </c>
      <c r="D1426" s="81" t="n">
        <v>12</v>
      </c>
      <c r="E1426" s="81" t="s">
        <v>1709</v>
      </c>
      <c r="F1426" s="82" t="str">
        <f aca="false">IF(E1426="","",IF(LEFT(E1426,2)="DJ","DJ","JN"))</f>
        <v>JN</v>
      </c>
      <c r="G1426" s="81"/>
      <c r="H1426" s="81"/>
      <c r="I1426" s="81"/>
      <c r="J1426" s="81"/>
      <c r="K1426" s="81"/>
      <c r="L1426" s="81" t="s">
        <v>1671</v>
      </c>
      <c r="M1426" s="81"/>
      <c r="N1426" s="81"/>
      <c r="O1426" s="81"/>
      <c r="P1426" s="81"/>
      <c r="Q1426" s="81"/>
      <c r="R1426" s="81"/>
      <c r="S1426" s="81"/>
      <c r="T1426" s="81"/>
      <c r="U1426" s="83"/>
      <c r="V1426" s="83"/>
      <c r="W1426" s="81"/>
      <c r="X1426" s="81"/>
      <c r="Y1426" s="83"/>
      <c r="Z1426" s="81"/>
      <c r="AA1426" s="81"/>
      <c r="AB1426" s="81"/>
      <c r="AC1426" s="81"/>
      <c r="AD1426" s="81"/>
      <c r="AE1426" s="83"/>
      <c r="AF1426" s="81"/>
      <c r="AG1426" s="81"/>
      <c r="AH1426" s="81"/>
      <c r="AI1426" s="81"/>
      <c r="AJ1426" s="83"/>
      <c r="AK1426" s="81"/>
      <c r="AL1426" s="81"/>
      <c r="AM1426" s="83"/>
      <c r="AN1426" s="80"/>
      <c r="AO1426" s="82" t="n">
        <f aca="false">IF(E1426="","",(AA1426&lt;&gt;"")+(AG1426&lt;&gt;"")+(AL1426&lt;&gt;""))</f>
        <v>0</v>
      </c>
      <c r="AP1426" s="82" t="str">
        <f aca="false">IF(AL1426&lt;&gt;"",AL1426,IF(AG1426&lt;&gt;"",AG1426,IF(AA1426&lt;&gt;"",AA1426,"")))</f>
        <v/>
      </c>
      <c r="AQ1426" s="84" t="str">
        <f aca="false">IF(E1426="","",IF(U1426="","À SOUDER",IF(X1426="","VT EN ATTENTE",IF(X1426="R","VT REJETÉ – À REPRENDRE",IF(AP1426="","À RADIOGRAPHIER",IF(AP1426="A","ACCEPTÉ",IF(AP1426="NX","NX – RT À REFAIRE",IF(IF(AO1426=1,AD1426,IF(AO1426=2,AI1426,""))="A","RÉPARÉ – À RADIOGRAPHIER",IF(IF(AO1426=1,AD1426,IF(AO1426=2,AI1426,""))="R","VT REJETÉ – À REPRENDRE",IF(OR(AP1426="CO",AP1426="NT"),"COUPE – À RESOUDER","À RÉPARER"))))))))))</f>
        <v>À SOUDER</v>
      </c>
      <c r="AR1426" s="82" t="str">
        <f aca="false">IF(AND(ISNUMBER(U1426),OR(AQ1426="À RADIOGRAPHIER",AQ1426="RÉPARÉ – À RADIOGRAPHIER",AQ1426="NX – RT À REFAIRE",AQ1426="À RÉPARER",AQ1426="COUPE – À RESOUDER",AQ1426="VT REJETÉ – À REPRENDRE")),MAX(0,'PROGRAMME RT'!$C$4-U1426),"")</f>
        <v/>
      </c>
      <c r="AS1426" s="82" t="n">
        <f aca="false">IF(AND(OR(AQ1426="À RADIOGRAPHIER",AQ1426="RÉPARÉ – À RADIOGRAPHIER",AQ1426="NX – RT À REFAIRE"),OR('PROGRAMME RT'!$D$5="TOUTES",B1426='PROGRAMME RT'!$D$5)),1,0)</f>
        <v>0</v>
      </c>
      <c r="AT1426" s="82" t="str">
        <f aca="false">IF(AS1426=1,SUM(AS$7:AS1426),"")</f>
        <v/>
      </c>
      <c r="AU1426" s="82" t="n">
        <f aca="false">IF(AND(OR(AA1426="R",AA1426="NX",AA1426="NT",AA1426="CO"),OR('JOINTS DE RÉPARATION'!$D$5="TOUTES",B1426='JOINTS DE RÉPARATION'!$D$5),OR('JOINTS DE RÉPARATION'!$L$4="TOUS",AQ1426&lt;&gt;"ACCEPTÉ")),1,0)</f>
        <v>0</v>
      </c>
      <c r="AV1426" s="82" t="str">
        <f aca="false">IF(AU1426=1,SUM(AU$7:AU1426),"")</f>
        <v/>
      </c>
      <c r="AW1426" s="82" t="str">
        <f aca="false">IF(E1426="","",B1426&amp;"|"&amp;E1426)</f>
        <v>MFD-ISW → MFD-CPF|JN°1186</v>
      </c>
    </row>
    <row r="1427" customFormat="false" ht="74.6" hidden="false" customHeight="false" outlineLevel="0" collapsed="false">
      <c r="A1427" s="79" t="n">
        <f aca="false">IF(E1427="","",ROW()-6)</f>
        <v>1421</v>
      </c>
      <c r="B1427" s="80" t="s">
        <v>110</v>
      </c>
      <c r="C1427" s="81" t="s">
        <v>926</v>
      </c>
      <c r="D1427" s="81" t="n">
        <v>12</v>
      </c>
      <c r="E1427" s="81" t="s">
        <v>1710</v>
      </c>
      <c r="F1427" s="82" t="str">
        <f aca="false">IF(E1427="","",IF(LEFT(E1427,2)="DJ","DJ","JN"))</f>
        <v>JN</v>
      </c>
      <c r="G1427" s="81"/>
      <c r="H1427" s="81"/>
      <c r="I1427" s="81"/>
      <c r="J1427" s="81"/>
      <c r="K1427" s="81"/>
      <c r="L1427" s="81" t="s">
        <v>1671</v>
      </c>
      <c r="M1427" s="81"/>
      <c r="N1427" s="81"/>
      <c r="O1427" s="81"/>
      <c r="P1427" s="81"/>
      <c r="Q1427" s="81"/>
      <c r="R1427" s="81"/>
      <c r="S1427" s="81"/>
      <c r="T1427" s="81"/>
      <c r="U1427" s="83"/>
      <c r="V1427" s="83"/>
      <c r="W1427" s="81"/>
      <c r="X1427" s="81"/>
      <c r="Y1427" s="83"/>
      <c r="Z1427" s="81"/>
      <c r="AA1427" s="81"/>
      <c r="AB1427" s="81"/>
      <c r="AC1427" s="81"/>
      <c r="AD1427" s="81"/>
      <c r="AE1427" s="83"/>
      <c r="AF1427" s="81"/>
      <c r="AG1427" s="81"/>
      <c r="AH1427" s="81"/>
      <c r="AI1427" s="81"/>
      <c r="AJ1427" s="83"/>
      <c r="AK1427" s="81"/>
      <c r="AL1427" s="81"/>
      <c r="AM1427" s="83"/>
      <c r="AN1427" s="80"/>
      <c r="AO1427" s="82" t="n">
        <f aca="false">IF(E1427="","",(AA1427&lt;&gt;"")+(AG1427&lt;&gt;"")+(AL1427&lt;&gt;""))</f>
        <v>0</v>
      </c>
      <c r="AP1427" s="82" t="str">
        <f aca="false">IF(AL1427&lt;&gt;"",AL1427,IF(AG1427&lt;&gt;"",AG1427,IF(AA1427&lt;&gt;"",AA1427,"")))</f>
        <v/>
      </c>
      <c r="AQ1427" s="84" t="str">
        <f aca="false">IF(E1427="","",IF(U1427="","À SOUDER",IF(X1427="","VT EN ATTENTE",IF(X1427="R","VT REJETÉ – À REPRENDRE",IF(AP1427="","À RADIOGRAPHIER",IF(AP1427="A","ACCEPTÉ",IF(AP1427="NX","NX – RT À REFAIRE",IF(IF(AO1427=1,AD1427,IF(AO1427=2,AI1427,""))="A","RÉPARÉ – À RADIOGRAPHIER",IF(IF(AO1427=1,AD1427,IF(AO1427=2,AI1427,""))="R","VT REJETÉ – À REPRENDRE",IF(OR(AP1427="CO",AP1427="NT"),"COUPE – À RESOUDER","À RÉPARER"))))))))))</f>
        <v>À SOUDER</v>
      </c>
      <c r="AR1427" s="82" t="str">
        <f aca="false">IF(AND(ISNUMBER(U1427),OR(AQ1427="À RADIOGRAPHIER",AQ1427="RÉPARÉ – À RADIOGRAPHIER",AQ1427="NX – RT À REFAIRE",AQ1427="À RÉPARER",AQ1427="COUPE – À RESOUDER",AQ1427="VT REJETÉ – À REPRENDRE")),MAX(0,'PROGRAMME RT'!$C$4-U1427),"")</f>
        <v/>
      </c>
      <c r="AS1427" s="82" t="n">
        <f aca="false">IF(AND(OR(AQ1427="À RADIOGRAPHIER",AQ1427="RÉPARÉ – À RADIOGRAPHIER",AQ1427="NX – RT À REFAIRE"),OR('PROGRAMME RT'!$D$5="TOUTES",B1427='PROGRAMME RT'!$D$5)),1,0)</f>
        <v>0</v>
      </c>
      <c r="AT1427" s="82" t="str">
        <f aca="false">IF(AS1427=1,SUM(AS$7:AS1427),"")</f>
        <v/>
      </c>
      <c r="AU1427" s="82" t="n">
        <f aca="false">IF(AND(OR(AA1427="R",AA1427="NX",AA1427="NT",AA1427="CO"),OR('JOINTS DE RÉPARATION'!$D$5="TOUTES",B1427='JOINTS DE RÉPARATION'!$D$5),OR('JOINTS DE RÉPARATION'!$L$4="TOUS",AQ1427&lt;&gt;"ACCEPTÉ")),1,0)</f>
        <v>0</v>
      </c>
      <c r="AV1427" s="82" t="str">
        <f aca="false">IF(AU1427=1,SUM(AU$7:AU1427),"")</f>
        <v/>
      </c>
      <c r="AW1427" s="82" t="str">
        <f aca="false">IF(E1427="","",B1427&amp;"|"&amp;E1427)</f>
        <v>MFD-ISW → MFD-CPF|JN°1187</v>
      </c>
    </row>
    <row r="1428" customFormat="false" ht="74.6" hidden="false" customHeight="false" outlineLevel="0" collapsed="false">
      <c r="A1428" s="79" t="n">
        <f aca="false">IF(E1428="","",ROW()-6)</f>
        <v>1422</v>
      </c>
      <c r="B1428" s="80" t="s">
        <v>110</v>
      </c>
      <c r="C1428" s="81" t="s">
        <v>926</v>
      </c>
      <c r="D1428" s="81" t="n">
        <v>12</v>
      </c>
      <c r="E1428" s="81" t="s">
        <v>1711</v>
      </c>
      <c r="F1428" s="82" t="str">
        <f aca="false">IF(E1428="","",IF(LEFT(E1428,2)="DJ","DJ","JN"))</f>
        <v>JN</v>
      </c>
      <c r="G1428" s="81"/>
      <c r="H1428" s="81"/>
      <c r="I1428" s="81"/>
      <c r="J1428" s="81"/>
      <c r="K1428" s="81"/>
      <c r="L1428" s="81" t="s">
        <v>1671</v>
      </c>
      <c r="M1428" s="81"/>
      <c r="N1428" s="81"/>
      <c r="O1428" s="81"/>
      <c r="P1428" s="81"/>
      <c r="Q1428" s="81"/>
      <c r="R1428" s="81"/>
      <c r="S1428" s="81"/>
      <c r="T1428" s="81"/>
      <c r="U1428" s="83"/>
      <c r="V1428" s="83"/>
      <c r="W1428" s="81"/>
      <c r="X1428" s="81"/>
      <c r="Y1428" s="83"/>
      <c r="Z1428" s="81"/>
      <c r="AA1428" s="81"/>
      <c r="AB1428" s="81"/>
      <c r="AC1428" s="81"/>
      <c r="AD1428" s="81"/>
      <c r="AE1428" s="83"/>
      <c r="AF1428" s="81"/>
      <c r="AG1428" s="81"/>
      <c r="AH1428" s="81"/>
      <c r="AI1428" s="81"/>
      <c r="AJ1428" s="83"/>
      <c r="AK1428" s="81"/>
      <c r="AL1428" s="81"/>
      <c r="AM1428" s="83"/>
      <c r="AN1428" s="80"/>
      <c r="AO1428" s="82" t="n">
        <f aca="false">IF(E1428="","",(AA1428&lt;&gt;"")+(AG1428&lt;&gt;"")+(AL1428&lt;&gt;""))</f>
        <v>0</v>
      </c>
      <c r="AP1428" s="82" t="str">
        <f aca="false">IF(AL1428&lt;&gt;"",AL1428,IF(AG1428&lt;&gt;"",AG1428,IF(AA1428&lt;&gt;"",AA1428,"")))</f>
        <v/>
      </c>
      <c r="AQ1428" s="84" t="str">
        <f aca="false">IF(E1428="","",IF(U1428="","À SOUDER",IF(X1428="","VT EN ATTENTE",IF(X1428="R","VT REJETÉ – À REPRENDRE",IF(AP1428="","À RADIOGRAPHIER",IF(AP1428="A","ACCEPTÉ",IF(AP1428="NX","NX – RT À REFAIRE",IF(IF(AO1428=1,AD1428,IF(AO1428=2,AI1428,""))="A","RÉPARÉ – À RADIOGRAPHIER",IF(IF(AO1428=1,AD1428,IF(AO1428=2,AI1428,""))="R","VT REJETÉ – À REPRENDRE",IF(OR(AP1428="CO",AP1428="NT"),"COUPE – À RESOUDER","À RÉPARER"))))))))))</f>
        <v>À SOUDER</v>
      </c>
      <c r="AR1428" s="82" t="str">
        <f aca="false">IF(AND(ISNUMBER(U1428),OR(AQ1428="À RADIOGRAPHIER",AQ1428="RÉPARÉ – À RADIOGRAPHIER",AQ1428="NX – RT À REFAIRE",AQ1428="À RÉPARER",AQ1428="COUPE – À RESOUDER",AQ1428="VT REJETÉ – À REPRENDRE")),MAX(0,'PROGRAMME RT'!$C$4-U1428),"")</f>
        <v/>
      </c>
      <c r="AS1428" s="82" t="n">
        <f aca="false">IF(AND(OR(AQ1428="À RADIOGRAPHIER",AQ1428="RÉPARÉ – À RADIOGRAPHIER",AQ1428="NX – RT À REFAIRE"),OR('PROGRAMME RT'!$D$5="TOUTES",B1428='PROGRAMME RT'!$D$5)),1,0)</f>
        <v>0</v>
      </c>
      <c r="AT1428" s="82" t="str">
        <f aca="false">IF(AS1428=1,SUM(AS$7:AS1428),"")</f>
        <v/>
      </c>
      <c r="AU1428" s="82" t="n">
        <f aca="false">IF(AND(OR(AA1428="R",AA1428="NX",AA1428="NT",AA1428="CO"),OR('JOINTS DE RÉPARATION'!$D$5="TOUTES",B1428='JOINTS DE RÉPARATION'!$D$5),OR('JOINTS DE RÉPARATION'!$L$4="TOUS",AQ1428&lt;&gt;"ACCEPTÉ")),1,0)</f>
        <v>0</v>
      </c>
      <c r="AV1428" s="82" t="str">
        <f aca="false">IF(AU1428=1,SUM(AU$7:AU1428),"")</f>
        <v/>
      </c>
      <c r="AW1428" s="82" t="str">
        <f aca="false">IF(E1428="","",B1428&amp;"|"&amp;E1428)</f>
        <v>MFD-ISW → MFD-CPF|JN°1188</v>
      </c>
    </row>
    <row r="1429" customFormat="false" ht="74.6" hidden="false" customHeight="false" outlineLevel="0" collapsed="false">
      <c r="A1429" s="79" t="n">
        <f aca="false">IF(E1429="","",ROW()-6)</f>
        <v>1423</v>
      </c>
      <c r="B1429" s="80" t="s">
        <v>110</v>
      </c>
      <c r="C1429" s="81" t="s">
        <v>926</v>
      </c>
      <c r="D1429" s="81" t="n">
        <v>12</v>
      </c>
      <c r="E1429" s="81" t="s">
        <v>1712</v>
      </c>
      <c r="F1429" s="82" t="str">
        <f aca="false">IF(E1429="","",IF(LEFT(E1429,2)="DJ","DJ","JN"))</f>
        <v>JN</v>
      </c>
      <c r="G1429" s="81"/>
      <c r="H1429" s="81"/>
      <c r="I1429" s="81"/>
      <c r="J1429" s="81"/>
      <c r="K1429" s="81"/>
      <c r="L1429" s="81" t="s">
        <v>1671</v>
      </c>
      <c r="M1429" s="81"/>
      <c r="N1429" s="81"/>
      <c r="O1429" s="81"/>
      <c r="P1429" s="81"/>
      <c r="Q1429" s="81"/>
      <c r="R1429" s="81"/>
      <c r="S1429" s="81"/>
      <c r="T1429" s="81"/>
      <c r="U1429" s="83"/>
      <c r="V1429" s="83"/>
      <c r="W1429" s="81"/>
      <c r="X1429" s="81"/>
      <c r="Y1429" s="83"/>
      <c r="Z1429" s="81"/>
      <c r="AA1429" s="81"/>
      <c r="AB1429" s="81"/>
      <c r="AC1429" s="81"/>
      <c r="AD1429" s="81"/>
      <c r="AE1429" s="83"/>
      <c r="AF1429" s="81"/>
      <c r="AG1429" s="81"/>
      <c r="AH1429" s="81"/>
      <c r="AI1429" s="81"/>
      <c r="AJ1429" s="83"/>
      <c r="AK1429" s="81"/>
      <c r="AL1429" s="81"/>
      <c r="AM1429" s="83"/>
      <c r="AN1429" s="80"/>
      <c r="AO1429" s="82" t="n">
        <f aca="false">IF(E1429="","",(AA1429&lt;&gt;"")+(AG1429&lt;&gt;"")+(AL1429&lt;&gt;""))</f>
        <v>0</v>
      </c>
      <c r="AP1429" s="82" t="str">
        <f aca="false">IF(AL1429&lt;&gt;"",AL1429,IF(AG1429&lt;&gt;"",AG1429,IF(AA1429&lt;&gt;"",AA1429,"")))</f>
        <v/>
      </c>
      <c r="AQ1429" s="84" t="str">
        <f aca="false">IF(E1429="","",IF(U1429="","À SOUDER",IF(X1429="","VT EN ATTENTE",IF(X1429="R","VT REJETÉ – À REPRENDRE",IF(AP1429="","À RADIOGRAPHIER",IF(AP1429="A","ACCEPTÉ",IF(AP1429="NX","NX – RT À REFAIRE",IF(IF(AO1429=1,AD1429,IF(AO1429=2,AI1429,""))="A","RÉPARÉ – À RADIOGRAPHIER",IF(IF(AO1429=1,AD1429,IF(AO1429=2,AI1429,""))="R","VT REJETÉ – À REPRENDRE",IF(OR(AP1429="CO",AP1429="NT"),"COUPE – À RESOUDER","À RÉPARER"))))))))))</f>
        <v>À SOUDER</v>
      </c>
      <c r="AR1429" s="82" t="str">
        <f aca="false">IF(AND(ISNUMBER(U1429),OR(AQ1429="À RADIOGRAPHIER",AQ1429="RÉPARÉ – À RADIOGRAPHIER",AQ1429="NX – RT À REFAIRE",AQ1429="À RÉPARER",AQ1429="COUPE – À RESOUDER",AQ1429="VT REJETÉ – À REPRENDRE")),MAX(0,'PROGRAMME RT'!$C$4-U1429),"")</f>
        <v/>
      </c>
      <c r="AS1429" s="82" t="n">
        <f aca="false">IF(AND(OR(AQ1429="À RADIOGRAPHIER",AQ1429="RÉPARÉ – À RADIOGRAPHIER",AQ1429="NX – RT À REFAIRE"),OR('PROGRAMME RT'!$D$5="TOUTES",B1429='PROGRAMME RT'!$D$5)),1,0)</f>
        <v>0</v>
      </c>
      <c r="AT1429" s="82" t="str">
        <f aca="false">IF(AS1429=1,SUM(AS$7:AS1429),"")</f>
        <v/>
      </c>
      <c r="AU1429" s="82" t="n">
        <f aca="false">IF(AND(OR(AA1429="R",AA1429="NX",AA1429="NT",AA1429="CO"),OR('JOINTS DE RÉPARATION'!$D$5="TOUTES",B1429='JOINTS DE RÉPARATION'!$D$5),OR('JOINTS DE RÉPARATION'!$L$4="TOUS",AQ1429&lt;&gt;"ACCEPTÉ")),1,0)</f>
        <v>0</v>
      </c>
      <c r="AV1429" s="82" t="str">
        <f aca="false">IF(AU1429=1,SUM(AU$7:AU1429),"")</f>
        <v/>
      </c>
      <c r="AW1429" s="82" t="str">
        <f aca="false">IF(E1429="","",B1429&amp;"|"&amp;E1429)</f>
        <v>MFD-ISW → MFD-CPF|JN°1189</v>
      </c>
    </row>
    <row r="1430" customFormat="false" ht="74.6" hidden="false" customHeight="false" outlineLevel="0" collapsed="false">
      <c r="A1430" s="79" t="n">
        <f aca="false">IF(E1430="","",ROW()-6)</f>
        <v>1424</v>
      </c>
      <c r="B1430" s="80" t="s">
        <v>110</v>
      </c>
      <c r="C1430" s="81" t="s">
        <v>926</v>
      </c>
      <c r="D1430" s="81" t="n">
        <v>12</v>
      </c>
      <c r="E1430" s="81" t="s">
        <v>1713</v>
      </c>
      <c r="F1430" s="82" t="str">
        <f aca="false">IF(E1430="","",IF(LEFT(E1430,2)="DJ","DJ","JN"))</f>
        <v>JN</v>
      </c>
      <c r="G1430" s="81"/>
      <c r="H1430" s="81"/>
      <c r="I1430" s="81"/>
      <c r="J1430" s="81"/>
      <c r="K1430" s="81"/>
      <c r="L1430" s="81" t="s">
        <v>1671</v>
      </c>
      <c r="M1430" s="81"/>
      <c r="N1430" s="81"/>
      <c r="O1430" s="81"/>
      <c r="P1430" s="81"/>
      <c r="Q1430" s="81"/>
      <c r="R1430" s="81"/>
      <c r="S1430" s="81"/>
      <c r="T1430" s="81"/>
      <c r="U1430" s="83"/>
      <c r="V1430" s="83"/>
      <c r="W1430" s="81"/>
      <c r="X1430" s="81"/>
      <c r="Y1430" s="83"/>
      <c r="Z1430" s="81"/>
      <c r="AA1430" s="81"/>
      <c r="AB1430" s="81"/>
      <c r="AC1430" s="81"/>
      <c r="AD1430" s="81"/>
      <c r="AE1430" s="83"/>
      <c r="AF1430" s="81"/>
      <c r="AG1430" s="81"/>
      <c r="AH1430" s="81"/>
      <c r="AI1430" s="81"/>
      <c r="AJ1430" s="83"/>
      <c r="AK1430" s="81"/>
      <c r="AL1430" s="81"/>
      <c r="AM1430" s="83"/>
      <c r="AN1430" s="80"/>
      <c r="AO1430" s="82" t="n">
        <f aca="false">IF(E1430="","",(AA1430&lt;&gt;"")+(AG1430&lt;&gt;"")+(AL1430&lt;&gt;""))</f>
        <v>0</v>
      </c>
      <c r="AP1430" s="82" t="str">
        <f aca="false">IF(AL1430&lt;&gt;"",AL1430,IF(AG1430&lt;&gt;"",AG1430,IF(AA1430&lt;&gt;"",AA1430,"")))</f>
        <v/>
      </c>
      <c r="AQ1430" s="84" t="str">
        <f aca="false">IF(E1430="","",IF(U1430="","À SOUDER",IF(X1430="","VT EN ATTENTE",IF(X1430="R","VT REJETÉ – À REPRENDRE",IF(AP1430="","À RADIOGRAPHIER",IF(AP1430="A","ACCEPTÉ",IF(AP1430="NX","NX – RT À REFAIRE",IF(IF(AO1430=1,AD1430,IF(AO1430=2,AI1430,""))="A","RÉPARÉ – À RADIOGRAPHIER",IF(IF(AO1430=1,AD1430,IF(AO1430=2,AI1430,""))="R","VT REJETÉ – À REPRENDRE",IF(OR(AP1430="CO",AP1430="NT"),"COUPE – À RESOUDER","À RÉPARER"))))))))))</f>
        <v>À SOUDER</v>
      </c>
      <c r="AR1430" s="82" t="str">
        <f aca="false">IF(AND(ISNUMBER(U1430),OR(AQ1430="À RADIOGRAPHIER",AQ1430="RÉPARÉ – À RADIOGRAPHIER",AQ1430="NX – RT À REFAIRE",AQ1430="À RÉPARER",AQ1430="COUPE – À RESOUDER",AQ1430="VT REJETÉ – À REPRENDRE")),MAX(0,'PROGRAMME RT'!$C$4-U1430),"")</f>
        <v/>
      </c>
      <c r="AS1430" s="82" t="n">
        <f aca="false">IF(AND(OR(AQ1430="À RADIOGRAPHIER",AQ1430="RÉPARÉ – À RADIOGRAPHIER",AQ1430="NX – RT À REFAIRE"),OR('PROGRAMME RT'!$D$5="TOUTES",B1430='PROGRAMME RT'!$D$5)),1,0)</f>
        <v>0</v>
      </c>
      <c r="AT1430" s="82" t="str">
        <f aca="false">IF(AS1430=1,SUM(AS$7:AS1430),"")</f>
        <v/>
      </c>
      <c r="AU1430" s="82" t="n">
        <f aca="false">IF(AND(OR(AA1430="R",AA1430="NX",AA1430="NT",AA1430="CO"),OR('JOINTS DE RÉPARATION'!$D$5="TOUTES",B1430='JOINTS DE RÉPARATION'!$D$5),OR('JOINTS DE RÉPARATION'!$L$4="TOUS",AQ1430&lt;&gt;"ACCEPTÉ")),1,0)</f>
        <v>0</v>
      </c>
      <c r="AV1430" s="82" t="str">
        <f aca="false">IF(AU1430=1,SUM(AU$7:AU1430),"")</f>
        <v/>
      </c>
      <c r="AW1430" s="82" t="str">
        <f aca="false">IF(E1430="","",B1430&amp;"|"&amp;E1430)</f>
        <v>MFD-ISW → MFD-CPF|JN°1190</v>
      </c>
    </row>
    <row r="1431" customFormat="false" ht="74.6" hidden="false" customHeight="false" outlineLevel="0" collapsed="false">
      <c r="A1431" s="79" t="n">
        <f aca="false">IF(E1431="","",ROW()-6)</f>
        <v>1425</v>
      </c>
      <c r="B1431" s="80" t="s">
        <v>110</v>
      </c>
      <c r="C1431" s="81" t="s">
        <v>926</v>
      </c>
      <c r="D1431" s="81" t="n">
        <v>12</v>
      </c>
      <c r="E1431" s="81" t="s">
        <v>1714</v>
      </c>
      <c r="F1431" s="82" t="str">
        <f aca="false">IF(E1431="","",IF(LEFT(E1431,2)="DJ","DJ","JN"))</f>
        <v>JN</v>
      </c>
      <c r="G1431" s="81"/>
      <c r="H1431" s="81"/>
      <c r="I1431" s="81"/>
      <c r="J1431" s="81"/>
      <c r="K1431" s="81"/>
      <c r="L1431" s="81" t="s">
        <v>1671</v>
      </c>
      <c r="M1431" s="81"/>
      <c r="N1431" s="81"/>
      <c r="O1431" s="81"/>
      <c r="P1431" s="81"/>
      <c r="Q1431" s="81"/>
      <c r="R1431" s="81"/>
      <c r="S1431" s="81"/>
      <c r="T1431" s="81"/>
      <c r="U1431" s="83"/>
      <c r="V1431" s="83"/>
      <c r="W1431" s="81"/>
      <c r="X1431" s="81"/>
      <c r="Y1431" s="83"/>
      <c r="Z1431" s="81"/>
      <c r="AA1431" s="81"/>
      <c r="AB1431" s="81"/>
      <c r="AC1431" s="81"/>
      <c r="AD1431" s="81"/>
      <c r="AE1431" s="83"/>
      <c r="AF1431" s="81"/>
      <c r="AG1431" s="81"/>
      <c r="AH1431" s="81"/>
      <c r="AI1431" s="81"/>
      <c r="AJ1431" s="83"/>
      <c r="AK1431" s="81"/>
      <c r="AL1431" s="81"/>
      <c r="AM1431" s="83"/>
      <c r="AN1431" s="80"/>
      <c r="AO1431" s="82" t="n">
        <f aca="false">IF(E1431="","",(AA1431&lt;&gt;"")+(AG1431&lt;&gt;"")+(AL1431&lt;&gt;""))</f>
        <v>0</v>
      </c>
      <c r="AP1431" s="82" t="str">
        <f aca="false">IF(AL1431&lt;&gt;"",AL1431,IF(AG1431&lt;&gt;"",AG1431,IF(AA1431&lt;&gt;"",AA1431,"")))</f>
        <v/>
      </c>
      <c r="AQ1431" s="84" t="str">
        <f aca="false">IF(E1431="","",IF(U1431="","À SOUDER",IF(X1431="","VT EN ATTENTE",IF(X1431="R","VT REJETÉ – À REPRENDRE",IF(AP1431="","À RADIOGRAPHIER",IF(AP1431="A","ACCEPTÉ",IF(AP1431="NX","NX – RT À REFAIRE",IF(IF(AO1431=1,AD1431,IF(AO1431=2,AI1431,""))="A","RÉPARÉ – À RADIOGRAPHIER",IF(IF(AO1431=1,AD1431,IF(AO1431=2,AI1431,""))="R","VT REJETÉ – À REPRENDRE",IF(OR(AP1431="CO",AP1431="NT"),"COUPE – À RESOUDER","À RÉPARER"))))))))))</f>
        <v>À SOUDER</v>
      </c>
      <c r="AR1431" s="82" t="str">
        <f aca="false">IF(AND(ISNUMBER(U1431),OR(AQ1431="À RADIOGRAPHIER",AQ1431="RÉPARÉ – À RADIOGRAPHIER",AQ1431="NX – RT À REFAIRE",AQ1431="À RÉPARER",AQ1431="COUPE – À RESOUDER",AQ1431="VT REJETÉ – À REPRENDRE")),MAX(0,'PROGRAMME RT'!$C$4-U1431),"")</f>
        <v/>
      </c>
      <c r="AS1431" s="82" t="n">
        <f aca="false">IF(AND(OR(AQ1431="À RADIOGRAPHIER",AQ1431="RÉPARÉ – À RADIOGRAPHIER",AQ1431="NX – RT À REFAIRE"),OR('PROGRAMME RT'!$D$5="TOUTES",B1431='PROGRAMME RT'!$D$5)),1,0)</f>
        <v>0</v>
      </c>
      <c r="AT1431" s="82" t="str">
        <f aca="false">IF(AS1431=1,SUM(AS$7:AS1431),"")</f>
        <v/>
      </c>
      <c r="AU1431" s="82" t="n">
        <f aca="false">IF(AND(OR(AA1431="R",AA1431="NX",AA1431="NT",AA1431="CO"),OR('JOINTS DE RÉPARATION'!$D$5="TOUTES",B1431='JOINTS DE RÉPARATION'!$D$5),OR('JOINTS DE RÉPARATION'!$L$4="TOUS",AQ1431&lt;&gt;"ACCEPTÉ")),1,0)</f>
        <v>0</v>
      </c>
      <c r="AV1431" s="82" t="str">
        <f aca="false">IF(AU1431=1,SUM(AU$7:AU1431),"")</f>
        <v/>
      </c>
      <c r="AW1431" s="82" t="str">
        <f aca="false">IF(E1431="","",B1431&amp;"|"&amp;E1431)</f>
        <v>MFD-ISW → MFD-CPF|JN°1191</v>
      </c>
    </row>
    <row r="1432" customFormat="false" ht="74.6" hidden="false" customHeight="false" outlineLevel="0" collapsed="false">
      <c r="A1432" s="79" t="n">
        <f aca="false">IF(E1432="","",ROW()-6)</f>
        <v>1426</v>
      </c>
      <c r="B1432" s="80" t="s">
        <v>110</v>
      </c>
      <c r="C1432" s="81" t="s">
        <v>926</v>
      </c>
      <c r="D1432" s="81" t="n">
        <v>12</v>
      </c>
      <c r="E1432" s="81" t="s">
        <v>1715</v>
      </c>
      <c r="F1432" s="82" t="str">
        <f aca="false">IF(E1432="","",IF(LEFT(E1432,2)="DJ","DJ","JN"))</f>
        <v>JN</v>
      </c>
      <c r="G1432" s="81"/>
      <c r="H1432" s="81"/>
      <c r="I1432" s="81"/>
      <c r="J1432" s="81"/>
      <c r="K1432" s="81"/>
      <c r="L1432" s="81" t="s">
        <v>1671</v>
      </c>
      <c r="M1432" s="81"/>
      <c r="N1432" s="81"/>
      <c r="O1432" s="81"/>
      <c r="P1432" s="81"/>
      <c r="Q1432" s="81"/>
      <c r="R1432" s="81"/>
      <c r="S1432" s="81"/>
      <c r="T1432" s="81"/>
      <c r="U1432" s="83"/>
      <c r="V1432" s="83"/>
      <c r="W1432" s="81"/>
      <c r="X1432" s="81"/>
      <c r="Y1432" s="83"/>
      <c r="Z1432" s="81"/>
      <c r="AA1432" s="81"/>
      <c r="AB1432" s="81"/>
      <c r="AC1432" s="81"/>
      <c r="AD1432" s="81"/>
      <c r="AE1432" s="83"/>
      <c r="AF1432" s="81"/>
      <c r="AG1432" s="81"/>
      <c r="AH1432" s="81"/>
      <c r="AI1432" s="81"/>
      <c r="AJ1432" s="83"/>
      <c r="AK1432" s="81"/>
      <c r="AL1432" s="81"/>
      <c r="AM1432" s="83"/>
      <c r="AN1432" s="80"/>
      <c r="AO1432" s="82" t="n">
        <f aca="false">IF(E1432="","",(AA1432&lt;&gt;"")+(AG1432&lt;&gt;"")+(AL1432&lt;&gt;""))</f>
        <v>0</v>
      </c>
      <c r="AP1432" s="82" t="str">
        <f aca="false">IF(AL1432&lt;&gt;"",AL1432,IF(AG1432&lt;&gt;"",AG1432,IF(AA1432&lt;&gt;"",AA1432,"")))</f>
        <v/>
      </c>
      <c r="AQ1432" s="84" t="str">
        <f aca="false">IF(E1432="","",IF(U1432="","À SOUDER",IF(X1432="","VT EN ATTENTE",IF(X1432="R","VT REJETÉ – À REPRENDRE",IF(AP1432="","À RADIOGRAPHIER",IF(AP1432="A","ACCEPTÉ",IF(AP1432="NX","NX – RT À REFAIRE",IF(IF(AO1432=1,AD1432,IF(AO1432=2,AI1432,""))="A","RÉPARÉ – À RADIOGRAPHIER",IF(IF(AO1432=1,AD1432,IF(AO1432=2,AI1432,""))="R","VT REJETÉ – À REPRENDRE",IF(OR(AP1432="CO",AP1432="NT"),"COUPE – À RESOUDER","À RÉPARER"))))))))))</f>
        <v>À SOUDER</v>
      </c>
      <c r="AR1432" s="82" t="str">
        <f aca="false">IF(AND(ISNUMBER(U1432),OR(AQ1432="À RADIOGRAPHIER",AQ1432="RÉPARÉ – À RADIOGRAPHIER",AQ1432="NX – RT À REFAIRE",AQ1432="À RÉPARER",AQ1432="COUPE – À RESOUDER",AQ1432="VT REJETÉ – À REPRENDRE")),MAX(0,'PROGRAMME RT'!$C$4-U1432),"")</f>
        <v/>
      </c>
      <c r="AS1432" s="82" t="n">
        <f aca="false">IF(AND(OR(AQ1432="À RADIOGRAPHIER",AQ1432="RÉPARÉ – À RADIOGRAPHIER",AQ1432="NX – RT À REFAIRE"),OR('PROGRAMME RT'!$D$5="TOUTES",B1432='PROGRAMME RT'!$D$5)),1,0)</f>
        <v>0</v>
      </c>
      <c r="AT1432" s="82" t="str">
        <f aca="false">IF(AS1432=1,SUM(AS$7:AS1432),"")</f>
        <v/>
      </c>
      <c r="AU1432" s="82" t="n">
        <f aca="false">IF(AND(OR(AA1432="R",AA1432="NX",AA1432="NT",AA1432="CO"),OR('JOINTS DE RÉPARATION'!$D$5="TOUTES",B1432='JOINTS DE RÉPARATION'!$D$5),OR('JOINTS DE RÉPARATION'!$L$4="TOUS",AQ1432&lt;&gt;"ACCEPTÉ")),1,0)</f>
        <v>0</v>
      </c>
      <c r="AV1432" s="82" t="str">
        <f aca="false">IF(AU1432=1,SUM(AU$7:AU1432),"")</f>
        <v/>
      </c>
      <c r="AW1432" s="82" t="str">
        <f aca="false">IF(E1432="","",B1432&amp;"|"&amp;E1432)</f>
        <v>MFD-ISW → MFD-CPF|JN°1192</v>
      </c>
    </row>
    <row r="1433" customFormat="false" ht="74.6" hidden="false" customHeight="false" outlineLevel="0" collapsed="false">
      <c r="A1433" s="79" t="n">
        <f aca="false">IF(E1433="","",ROW()-6)</f>
        <v>1427</v>
      </c>
      <c r="B1433" s="80" t="s">
        <v>110</v>
      </c>
      <c r="C1433" s="81" t="s">
        <v>926</v>
      </c>
      <c r="D1433" s="81" t="n">
        <v>12</v>
      </c>
      <c r="E1433" s="81" t="s">
        <v>1716</v>
      </c>
      <c r="F1433" s="82" t="str">
        <f aca="false">IF(E1433="","",IF(LEFT(E1433,2)="DJ","DJ","JN"))</f>
        <v>JN</v>
      </c>
      <c r="G1433" s="81"/>
      <c r="H1433" s="81"/>
      <c r="I1433" s="81"/>
      <c r="J1433" s="81"/>
      <c r="K1433" s="81"/>
      <c r="L1433" s="81" t="s">
        <v>1671</v>
      </c>
      <c r="M1433" s="81"/>
      <c r="N1433" s="81"/>
      <c r="O1433" s="81"/>
      <c r="P1433" s="81"/>
      <c r="Q1433" s="81"/>
      <c r="R1433" s="81"/>
      <c r="S1433" s="81"/>
      <c r="T1433" s="81"/>
      <c r="U1433" s="83"/>
      <c r="V1433" s="83"/>
      <c r="W1433" s="81"/>
      <c r="X1433" s="81"/>
      <c r="Y1433" s="83"/>
      <c r="Z1433" s="81"/>
      <c r="AA1433" s="81"/>
      <c r="AB1433" s="81"/>
      <c r="AC1433" s="81"/>
      <c r="AD1433" s="81"/>
      <c r="AE1433" s="83"/>
      <c r="AF1433" s="81"/>
      <c r="AG1433" s="81"/>
      <c r="AH1433" s="81"/>
      <c r="AI1433" s="81"/>
      <c r="AJ1433" s="83"/>
      <c r="AK1433" s="81"/>
      <c r="AL1433" s="81"/>
      <c r="AM1433" s="83"/>
      <c r="AN1433" s="80"/>
      <c r="AO1433" s="82" t="n">
        <f aca="false">IF(E1433="","",(AA1433&lt;&gt;"")+(AG1433&lt;&gt;"")+(AL1433&lt;&gt;""))</f>
        <v>0</v>
      </c>
      <c r="AP1433" s="82" t="str">
        <f aca="false">IF(AL1433&lt;&gt;"",AL1433,IF(AG1433&lt;&gt;"",AG1433,IF(AA1433&lt;&gt;"",AA1433,"")))</f>
        <v/>
      </c>
      <c r="AQ1433" s="84" t="str">
        <f aca="false">IF(E1433="","",IF(U1433="","À SOUDER",IF(X1433="","VT EN ATTENTE",IF(X1433="R","VT REJETÉ – À REPRENDRE",IF(AP1433="","À RADIOGRAPHIER",IF(AP1433="A","ACCEPTÉ",IF(AP1433="NX","NX – RT À REFAIRE",IF(IF(AO1433=1,AD1433,IF(AO1433=2,AI1433,""))="A","RÉPARÉ – À RADIOGRAPHIER",IF(IF(AO1433=1,AD1433,IF(AO1433=2,AI1433,""))="R","VT REJETÉ – À REPRENDRE",IF(OR(AP1433="CO",AP1433="NT"),"COUPE – À RESOUDER","À RÉPARER"))))))))))</f>
        <v>À SOUDER</v>
      </c>
      <c r="AR1433" s="82" t="str">
        <f aca="false">IF(AND(ISNUMBER(U1433),OR(AQ1433="À RADIOGRAPHIER",AQ1433="RÉPARÉ – À RADIOGRAPHIER",AQ1433="NX – RT À REFAIRE",AQ1433="À RÉPARER",AQ1433="COUPE – À RESOUDER",AQ1433="VT REJETÉ – À REPRENDRE")),MAX(0,'PROGRAMME RT'!$C$4-U1433),"")</f>
        <v/>
      </c>
      <c r="AS1433" s="82" t="n">
        <f aca="false">IF(AND(OR(AQ1433="À RADIOGRAPHIER",AQ1433="RÉPARÉ – À RADIOGRAPHIER",AQ1433="NX – RT À REFAIRE"),OR('PROGRAMME RT'!$D$5="TOUTES",B1433='PROGRAMME RT'!$D$5)),1,0)</f>
        <v>0</v>
      </c>
      <c r="AT1433" s="82" t="str">
        <f aca="false">IF(AS1433=1,SUM(AS$7:AS1433),"")</f>
        <v/>
      </c>
      <c r="AU1433" s="82" t="n">
        <f aca="false">IF(AND(OR(AA1433="R",AA1433="NX",AA1433="NT",AA1433="CO"),OR('JOINTS DE RÉPARATION'!$D$5="TOUTES",B1433='JOINTS DE RÉPARATION'!$D$5),OR('JOINTS DE RÉPARATION'!$L$4="TOUS",AQ1433&lt;&gt;"ACCEPTÉ")),1,0)</f>
        <v>0</v>
      </c>
      <c r="AV1433" s="82" t="str">
        <f aca="false">IF(AU1433=1,SUM(AU$7:AU1433),"")</f>
        <v/>
      </c>
      <c r="AW1433" s="82" t="str">
        <f aca="false">IF(E1433="","",B1433&amp;"|"&amp;E1433)</f>
        <v>MFD-ISW → MFD-CPF|JN°1193</v>
      </c>
    </row>
    <row r="1434" customFormat="false" ht="74.6" hidden="false" customHeight="false" outlineLevel="0" collapsed="false">
      <c r="A1434" s="79" t="n">
        <f aca="false">IF(E1434="","",ROW()-6)</f>
        <v>1428</v>
      </c>
      <c r="B1434" s="80" t="s">
        <v>110</v>
      </c>
      <c r="C1434" s="81" t="s">
        <v>926</v>
      </c>
      <c r="D1434" s="81" t="n">
        <v>12</v>
      </c>
      <c r="E1434" s="81" t="s">
        <v>1717</v>
      </c>
      <c r="F1434" s="82" t="str">
        <f aca="false">IF(E1434="","",IF(LEFT(E1434,2)="DJ","DJ","JN"))</f>
        <v>JN</v>
      </c>
      <c r="G1434" s="81"/>
      <c r="H1434" s="81"/>
      <c r="I1434" s="81"/>
      <c r="J1434" s="81"/>
      <c r="K1434" s="81"/>
      <c r="L1434" s="81" t="s">
        <v>1671</v>
      </c>
      <c r="M1434" s="81"/>
      <c r="N1434" s="81"/>
      <c r="O1434" s="81"/>
      <c r="P1434" s="81"/>
      <c r="Q1434" s="81"/>
      <c r="R1434" s="81"/>
      <c r="S1434" s="81"/>
      <c r="T1434" s="81"/>
      <c r="U1434" s="83"/>
      <c r="V1434" s="83"/>
      <c r="W1434" s="81"/>
      <c r="X1434" s="81"/>
      <c r="Y1434" s="83"/>
      <c r="Z1434" s="81"/>
      <c r="AA1434" s="81"/>
      <c r="AB1434" s="81"/>
      <c r="AC1434" s="81"/>
      <c r="AD1434" s="81"/>
      <c r="AE1434" s="83"/>
      <c r="AF1434" s="81"/>
      <c r="AG1434" s="81"/>
      <c r="AH1434" s="81"/>
      <c r="AI1434" s="81"/>
      <c r="AJ1434" s="83"/>
      <c r="AK1434" s="81"/>
      <c r="AL1434" s="81"/>
      <c r="AM1434" s="83"/>
      <c r="AN1434" s="80"/>
      <c r="AO1434" s="82" t="n">
        <f aca="false">IF(E1434="","",(AA1434&lt;&gt;"")+(AG1434&lt;&gt;"")+(AL1434&lt;&gt;""))</f>
        <v>0</v>
      </c>
      <c r="AP1434" s="82" t="str">
        <f aca="false">IF(AL1434&lt;&gt;"",AL1434,IF(AG1434&lt;&gt;"",AG1434,IF(AA1434&lt;&gt;"",AA1434,"")))</f>
        <v/>
      </c>
      <c r="AQ1434" s="84" t="str">
        <f aca="false">IF(E1434="","",IF(U1434="","À SOUDER",IF(X1434="","VT EN ATTENTE",IF(X1434="R","VT REJETÉ – À REPRENDRE",IF(AP1434="","À RADIOGRAPHIER",IF(AP1434="A","ACCEPTÉ",IF(AP1434="NX","NX – RT À REFAIRE",IF(IF(AO1434=1,AD1434,IF(AO1434=2,AI1434,""))="A","RÉPARÉ – À RADIOGRAPHIER",IF(IF(AO1434=1,AD1434,IF(AO1434=2,AI1434,""))="R","VT REJETÉ – À REPRENDRE",IF(OR(AP1434="CO",AP1434="NT"),"COUPE – À RESOUDER","À RÉPARER"))))))))))</f>
        <v>À SOUDER</v>
      </c>
      <c r="AR1434" s="82" t="str">
        <f aca="false">IF(AND(ISNUMBER(U1434),OR(AQ1434="À RADIOGRAPHIER",AQ1434="RÉPARÉ – À RADIOGRAPHIER",AQ1434="NX – RT À REFAIRE",AQ1434="À RÉPARER",AQ1434="COUPE – À RESOUDER",AQ1434="VT REJETÉ – À REPRENDRE")),MAX(0,'PROGRAMME RT'!$C$4-U1434),"")</f>
        <v/>
      </c>
      <c r="AS1434" s="82" t="n">
        <f aca="false">IF(AND(OR(AQ1434="À RADIOGRAPHIER",AQ1434="RÉPARÉ – À RADIOGRAPHIER",AQ1434="NX – RT À REFAIRE"),OR('PROGRAMME RT'!$D$5="TOUTES",B1434='PROGRAMME RT'!$D$5)),1,0)</f>
        <v>0</v>
      </c>
      <c r="AT1434" s="82" t="str">
        <f aca="false">IF(AS1434=1,SUM(AS$7:AS1434),"")</f>
        <v/>
      </c>
      <c r="AU1434" s="82" t="n">
        <f aca="false">IF(AND(OR(AA1434="R",AA1434="NX",AA1434="NT",AA1434="CO"),OR('JOINTS DE RÉPARATION'!$D$5="TOUTES",B1434='JOINTS DE RÉPARATION'!$D$5),OR('JOINTS DE RÉPARATION'!$L$4="TOUS",AQ1434&lt;&gt;"ACCEPTÉ")),1,0)</f>
        <v>0</v>
      </c>
      <c r="AV1434" s="82" t="str">
        <f aca="false">IF(AU1434=1,SUM(AU$7:AU1434),"")</f>
        <v/>
      </c>
      <c r="AW1434" s="82" t="str">
        <f aca="false">IF(E1434="","",B1434&amp;"|"&amp;E1434)</f>
        <v>MFD-ISW → MFD-CPF|JN°1194</v>
      </c>
    </row>
    <row r="1435" customFormat="false" ht="74.6" hidden="false" customHeight="false" outlineLevel="0" collapsed="false">
      <c r="A1435" s="79" t="n">
        <f aca="false">IF(E1435="","",ROW()-6)</f>
        <v>1429</v>
      </c>
      <c r="B1435" s="80" t="s">
        <v>110</v>
      </c>
      <c r="C1435" s="81" t="s">
        <v>926</v>
      </c>
      <c r="D1435" s="81" t="n">
        <v>12</v>
      </c>
      <c r="E1435" s="81" t="s">
        <v>1718</v>
      </c>
      <c r="F1435" s="82" t="str">
        <f aca="false">IF(E1435="","",IF(LEFT(E1435,2)="DJ","DJ","JN"))</f>
        <v>JN</v>
      </c>
      <c r="G1435" s="81"/>
      <c r="H1435" s="81"/>
      <c r="I1435" s="81"/>
      <c r="J1435" s="81"/>
      <c r="K1435" s="81"/>
      <c r="L1435" s="81" t="s">
        <v>1671</v>
      </c>
      <c r="M1435" s="81"/>
      <c r="N1435" s="81"/>
      <c r="O1435" s="81"/>
      <c r="P1435" s="81"/>
      <c r="Q1435" s="81"/>
      <c r="R1435" s="81"/>
      <c r="S1435" s="81"/>
      <c r="T1435" s="81"/>
      <c r="U1435" s="83"/>
      <c r="V1435" s="83"/>
      <c r="W1435" s="81"/>
      <c r="X1435" s="81"/>
      <c r="Y1435" s="83"/>
      <c r="Z1435" s="81"/>
      <c r="AA1435" s="81"/>
      <c r="AB1435" s="81"/>
      <c r="AC1435" s="81"/>
      <c r="AD1435" s="81"/>
      <c r="AE1435" s="83"/>
      <c r="AF1435" s="81"/>
      <c r="AG1435" s="81"/>
      <c r="AH1435" s="81"/>
      <c r="AI1435" s="81"/>
      <c r="AJ1435" s="83"/>
      <c r="AK1435" s="81"/>
      <c r="AL1435" s="81"/>
      <c r="AM1435" s="83"/>
      <c r="AN1435" s="80"/>
      <c r="AO1435" s="82" t="n">
        <f aca="false">IF(E1435="","",(AA1435&lt;&gt;"")+(AG1435&lt;&gt;"")+(AL1435&lt;&gt;""))</f>
        <v>0</v>
      </c>
      <c r="AP1435" s="82" t="str">
        <f aca="false">IF(AL1435&lt;&gt;"",AL1435,IF(AG1435&lt;&gt;"",AG1435,IF(AA1435&lt;&gt;"",AA1435,"")))</f>
        <v/>
      </c>
      <c r="AQ1435" s="84" t="str">
        <f aca="false">IF(E1435="","",IF(U1435="","À SOUDER",IF(X1435="","VT EN ATTENTE",IF(X1435="R","VT REJETÉ – À REPRENDRE",IF(AP1435="","À RADIOGRAPHIER",IF(AP1435="A","ACCEPTÉ",IF(AP1435="NX","NX – RT À REFAIRE",IF(IF(AO1435=1,AD1435,IF(AO1435=2,AI1435,""))="A","RÉPARÉ – À RADIOGRAPHIER",IF(IF(AO1435=1,AD1435,IF(AO1435=2,AI1435,""))="R","VT REJETÉ – À REPRENDRE",IF(OR(AP1435="CO",AP1435="NT"),"COUPE – À RESOUDER","À RÉPARER"))))))))))</f>
        <v>À SOUDER</v>
      </c>
      <c r="AR1435" s="82" t="str">
        <f aca="false">IF(AND(ISNUMBER(U1435),OR(AQ1435="À RADIOGRAPHIER",AQ1435="RÉPARÉ – À RADIOGRAPHIER",AQ1435="NX – RT À REFAIRE",AQ1435="À RÉPARER",AQ1435="COUPE – À RESOUDER",AQ1435="VT REJETÉ – À REPRENDRE")),MAX(0,'PROGRAMME RT'!$C$4-U1435),"")</f>
        <v/>
      </c>
      <c r="AS1435" s="82" t="n">
        <f aca="false">IF(AND(OR(AQ1435="À RADIOGRAPHIER",AQ1435="RÉPARÉ – À RADIOGRAPHIER",AQ1435="NX – RT À REFAIRE"),OR('PROGRAMME RT'!$D$5="TOUTES",B1435='PROGRAMME RT'!$D$5)),1,0)</f>
        <v>0</v>
      </c>
      <c r="AT1435" s="82" t="str">
        <f aca="false">IF(AS1435=1,SUM(AS$7:AS1435),"")</f>
        <v/>
      </c>
      <c r="AU1435" s="82" t="n">
        <f aca="false">IF(AND(OR(AA1435="R",AA1435="NX",AA1435="NT",AA1435="CO"),OR('JOINTS DE RÉPARATION'!$D$5="TOUTES",B1435='JOINTS DE RÉPARATION'!$D$5),OR('JOINTS DE RÉPARATION'!$L$4="TOUS",AQ1435&lt;&gt;"ACCEPTÉ")),1,0)</f>
        <v>0</v>
      </c>
      <c r="AV1435" s="82" t="str">
        <f aca="false">IF(AU1435=1,SUM(AU$7:AU1435),"")</f>
        <v/>
      </c>
      <c r="AW1435" s="82" t="str">
        <f aca="false">IF(E1435="","",B1435&amp;"|"&amp;E1435)</f>
        <v>MFD-ISW → MFD-CPF|JN°1195</v>
      </c>
    </row>
    <row r="1436" customFormat="false" ht="74.6" hidden="false" customHeight="false" outlineLevel="0" collapsed="false">
      <c r="A1436" s="79" t="n">
        <f aca="false">IF(E1436="","",ROW()-6)</f>
        <v>1430</v>
      </c>
      <c r="B1436" s="80" t="s">
        <v>110</v>
      </c>
      <c r="C1436" s="81" t="s">
        <v>926</v>
      </c>
      <c r="D1436" s="81" t="n">
        <v>12</v>
      </c>
      <c r="E1436" s="81" t="s">
        <v>1719</v>
      </c>
      <c r="F1436" s="82" t="str">
        <f aca="false">IF(E1436="","",IF(LEFT(E1436,2)="DJ","DJ","JN"))</f>
        <v>JN</v>
      </c>
      <c r="G1436" s="81"/>
      <c r="H1436" s="81"/>
      <c r="I1436" s="81"/>
      <c r="J1436" s="81"/>
      <c r="K1436" s="81"/>
      <c r="L1436" s="81" t="s">
        <v>1671</v>
      </c>
      <c r="M1436" s="81"/>
      <c r="N1436" s="81"/>
      <c r="O1436" s="81"/>
      <c r="P1436" s="81"/>
      <c r="Q1436" s="81"/>
      <c r="R1436" s="81"/>
      <c r="S1436" s="81"/>
      <c r="T1436" s="81"/>
      <c r="U1436" s="83"/>
      <c r="V1436" s="83"/>
      <c r="W1436" s="81"/>
      <c r="X1436" s="81"/>
      <c r="Y1436" s="83"/>
      <c r="Z1436" s="81"/>
      <c r="AA1436" s="81"/>
      <c r="AB1436" s="81"/>
      <c r="AC1436" s="81"/>
      <c r="AD1436" s="81"/>
      <c r="AE1436" s="83"/>
      <c r="AF1436" s="81"/>
      <c r="AG1436" s="81"/>
      <c r="AH1436" s="81"/>
      <c r="AI1436" s="81"/>
      <c r="AJ1436" s="83"/>
      <c r="AK1436" s="81"/>
      <c r="AL1436" s="81"/>
      <c r="AM1436" s="83"/>
      <c r="AN1436" s="80"/>
      <c r="AO1436" s="82" t="n">
        <f aca="false">IF(E1436="","",(AA1436&lt;&gt;"")+(AG1436&lt;&gt;"")+(AL1436&lt;&gt;""))</f>
        <v>0</v>
      </c>
      <c r="AP1436" s="82" t="str">
        <f aca="false">IF(AL1436&lt;&gt;"",AL1436,IF(AG1436&lt;&gt;"",AG1436,IF(AA1436&lt;&gt;"",AA1436,"")))</f>
        <v/>
      </c>
      <c r="AQ1436" s="84" t="str">
        <f aca="false">IF(E1436="","",IF(U1436="","À SOUDER",IF(X1436="","VT EN ATTENTE",IF(X1436="R","VT REJETÉ – À REPRENDRE",IF(AP1436="","À RADIOGRAPHIER",IF(AP1436="A","ACCEPTÉ",IF(AP1436="NX","NX – RT À REFAIRE",IF(IF(AO1436=1,AD1436,IF(AO1436=2,AI1436,""))="A","RÉPARÉ – À RADIOGRAPHIER",IF(IF(AO1436=1,AD1436,IF(AO1436=2,AI1436,""))="R","VT REJETÉ – À REPRENDRE",IF(OR(AP1436="CO",AP1436="NT"),"COUPE – À RESOUDER","À RÉPARER"))))))))))</f>
        <v>À SOUDER</v>
      </c>
      <c r="AR1436" s="82" t="str">
        <f aca="false">IF(AND(ISNUMBER(U1436),OR(AQ1436="À RADIOGRAPHIER",AQ1436="RÉPARÉ – À RADIOGRAPHIER",AQ1436="NX – RT À REFAIRE",AQ1436="À RÉPARER",AQ1436="COUPE – À RESOUDER",AQ1436="VT REJETÉ – À REPRENDRE")),MAX(0,'PROGRAMME RT'!$C$4-U1436),"")</f>
        <v/>
      </c>
      <c r="AS1436" s="82" t="n">
        <f aca="false">IF(AND(OR(AQ1436="À RADIOGRAPHIER",AQ1436="RÉPARÉ – À RADIOGRAPHIER",AQ1436="NX – RT À REFAIRE"),OR('PROGRAMME RT'!$D$5="TOUTES",B1436='PROGRAMME RT'!$D$5)),1,0)</f>
        <v>0</v>
      </c>
      <c r="AT1436" s="82" t="str">
        <f aca="false">IF(AS1436=1,SUM(AS$7:AS1436),"")</f>
        <v/>
      </c>
      <c r="AU1436" s="82" t="n">
        <f aca="false">IF(AND(OR(AA1436="R",AA1436="NX",AA1436="NT",AA1436="CO"),OR('JOINTS DE RÉPARATION'!$D$5="TOUTES",B1436='JOINTS DE RÉPARATION'!$D$5),OR('JOINTS DE RÉPARATION'!$L$4="TOUS",AQ1436&lt;&gt;"ACCEPTÉ")),1,0)</f>
        <v>0</v>
      </c>
      <c r="AV1436" s="82" t="str">
        <f aca="false">IF(AU1436=1,SUM(AU$7:AU1436),"")</f>
        <v/>
      </c>
      <c r="AW1436" s="82" t="str">
        <f aca="false">IF(E1436="","",B1436&amp;"|"&amp;E1436)</f>
        <v>MFD-ISW → MFD-CPF|JN°1196</v>
      </c>
    </row>
    <row r="1437" customFormat="false" ht="74.6" hidden="false" customHeight="false" outlineLevel="0" collapsed="false">
      <c r="A1437" s="79" t="n">
        <f aca="false">IF(E1437="","",ROW()-6)</f>
        <v>1431</v>
      </c>
      <c r="B1437" s="80" t="s">
        <v>110</v>
      </c>
      <c r="C1437" s="81" t="s">
        <v>926</v>
      </c>
      <c r="D1437" s="81" t="n">
        <v>12</v>
      </c>
      <c r="E1437" s="81" t="s">
        <v>1720</v>
      </c>
      <c r="F1437" s="82" t="str">
        <f aca="false">IF(E1437="","",IF(LEFT(E1437,2)="DJ","DJ","JN"))</f>
        <v>JN</v>
      </c>
      <c r="G1437" s="81"/>
      <c r="H1437" s="81"/>
      <c r="I1437" s="81"/>
      <c r="J1437" s="81"/>
      <c r="K1437" s="81"/>
      <c r="L1437" s="81" t="s">
        <v>1671</v>
      </c>
      <c r="M1437" s="81"/>
      <c r="N1437" s="81"/>
      <c r="O1437" s="81"/>
      <c r="P1437" s="81"/>
      <c r="Q1437" s="81"/>
      <c r="R1437" s="81"/>
      <c r="S1437" s="81"/>
      <c r="T1437" s="81"/>
      <c r="U1437" s="83"/>
      <c r="V1437" s="83"/>
      <c r="W1437" s="81"/>
      <c r="X1437" s="81"/>
      <c r="Y1437" s="83"/>
      <c r="Z1437" s="81"/>
      <c r="AA1437" s="81"/>
      <c r="AB1437" s="81"/>
      <c r="AC1437" s="81"/>
      <c r="AD1437" s="81"/>
      <c r="AE1437" s="83"/>
      <c r="AF1437" s="81"/>
      <c r="AG1437" s="81"/>
      <c r="AH1437" s="81"/>
      <c r="AI1437" s="81"/>
      <c r="AJ1437" s="83"/>
      <c r="AK1437" s="81"/>
      <c r="AL1437" s="81"/>
      <c r="AM1437" s="83"/>
      <c r="AN1437" s="80"/>
      <c r="AO1437" s="82" t="n">
        <f aca="false">IF(E1437="","",(AA1437&lt;&gt;"")+(AG1437&lt;&gt;"")+(AL1437&lt;&gt;""))</f>
        <v>0</v>
      </c>
      <c r="AP1437" s="82" t="str">
        <f aca="false">IF(AL1437&lt;&gt;"",AL1437,IF(AG1437&lt;&gt;"",AG1437,IF(AA1437&lt;&gt;"",AA1437,"")))</f>
        <v/>
      </c>
      <c r="AQ1437" s="84" t="str">
        <f aca="false">IF(E1437="","",IF(U1437="","À SOUDER",IF(X1437="","VT EN ATTENTE",IF(X1437="R","VT REJETÉ – À REPRENDRE",IF(AP1437="","À RADIOGRAPHIER",IF(AP1437="A","ACCEPTÉ",IF(AP1437="NX","NX – RT À REFAIRE",IF(IF(AO1437=1,AD1437,IF(AO1437=2,AI1437,""))="A","RÉPARÉ – À RADIOGRAPHIER",IF(IF(AO1437=1,AD1437,IF(AO1437=2,AI1437,""))="R","VT REJETÉ – À REPRENDRE",IF(OR(AP1437="CO",AP1437="NT"),"COUPE – À RESOUDER","À RÉPARER"))))))))))</f>
        <v>À SOUDER</v>
      </c>
      <c r="AR1437" s="82" t="str">
        <f aca="false">IF(AND(ISNUMBER(U1437),OR(AQ1437="À RADIOGRAPHIER",AQ1437="RÉPARÉ – À RADIOGRAPHIER",AQ1437="NX – RT À REFAIRE",AQ1437="À RÉPARER",AQ1437="COUPE – À RESOUDER",AQ1437="VT REJETÉ – À REPRENDRE")),MAX(0,'PROGRAMME RT'!$C$4-U1437),"")</f>
        <v/>
      </c>
      <c r="AS1437" s="82" t="n">
        <f aca="false">IF(AND(OR(AQ1437="À RADIOGRAPHIER",AQ1437="RÉPARÉ – À RADIOGRAPHIER",AQ1437="NX – RT À REFAIRE"),OR('PROGRAMME RT'!$D$5="TOUTES",B1437='PROGRAMME RT'!$D$5)),1,0)</f>
        <v>0</v>
      </c>
      <c r="AT1437" s="82" t="str">
        <f aca="false">IF(AS1437=1,SUM(AS$7:AS1437),"")</f>
        <v/>
      </c>
      <c r="AU1437" s="82" t="n">
        <f aca="false">IF(AND(OR(AA1437="R",AA1437="NX",AA1437="NT",AA1437="CO"),OR('JOINTS DE RÉPARATION'!$D$5="TOUTES",B1437='JOINTS DE RÉPARATION'!$D$5),OR('JOINTS DE RÉPARATION'!$L$4="TOUS",AQ1437&lt;&gt;"ACCEPTÉ")),1,0)</f>
        <v>0</v>
      </c>
      <c r="AV1437" s="82" t="str">
        <f aca="false">IF(AU1437=1,SUM(AU$7:AU1437),"")</f>
        <v/>
      </c>
      <c r="AW1437" s="82" t="str">
        <f aca="false">IF(E1437="","",B1437&amp;"|"&amp;E1437)</f>
        <v>MFD-ISW → MFD-CPF|JN°1197</v>
      </c>
    </row>
    <row r="1438" customFormat="false" ht="74.6" hidden="false" customHeight="false" outlineLevel="0" collapsed="false">
      <c r="A1438" s="79" t="n">
        <f aca="false">IF(E1438="","",ROW()-6)</f>
        <v>1432</v>
      </c>
      <c r="B1438" s="80" t="s">
        <v>110</v>
      </c>
      <c r="C1438" s="81" t="s">
        <v>926</v>
      </c>
      <c r="D1438" s="81" t="n">
        <v>12</v>
      </c>
      <c r="E1438" s="81" t="s">
        <v>1721</v>
      </c>
      <c r="F1438" s="82" t="str">
        <f aca="false">IF(E1438="","",IF(LEFT(E1438,2)="DJ","DJ","JN"))</f>
        <v>JN</v>
      </c>
      <c r="G1438" s="81"/>
      <c r="H1438" s="81"/>
      <c r="I1438" s="81"/>
      <c r="J1438" s="81"/>
      <c r="K1438" s="81"/>
      <c r="L1438" s="81" t="s">
        <v>1671</v>
      </c>
      <c r="M1438" s="81"/>
      <c r="N1438" s="81"/>
      <c r="O1438" s="81"/>
      <c r="P1438" s="81"/>
      <c r="Q1438" s="81"/>
      <c r="R1438" s="81"/>
      <c r="S1438" s="81"/>
      <c r="T1438" s="81"/>
      <c r="U1438" s="83"/>
      <c r="V1438" s="83"/>
      <c r="W1438" s="81"/>
      <c r="X1438" s="81"/>
      <c r="Y1438" s="83"/>
      <c r="Z1438" s="81"/>
      <c r="AA1438" s="81"/>
      <c r="AB1438" s="81"/>
      <c r="AC1438" s="81"/>
      <c r="AD1438" s="81"/>
      <c r="AE1438" s="83"/>
      <c r="AF1438" s="81"/>
      <c r="AG1438" s="81"/>
      <c r="AH1438" s="81"/>
      <c r="AI1438" s="81"/>
      <c r="AJ1438" s="83"/>
      <c r="AK1438" s="81"/>
      <c r="AL1438" s="81"/>
      <c r="AM1438" s="83"/>
      <c r="AN1438" s="80"/>
      <c r="AO1438" s="82" t="n">
        <f aca="false">IF(E1438="","",(AA1438&lt;&gt;"")+(AG1438&lt;&gt;"")+(AL1438&lt;&gt;""))</f>
        <v>0</v>
      </c>
      <c r="AP1438" s="82" t="str">
        <f aca="false">IF(AL1438&lt;&gt;"",AL1438,IF(AG1438&lt;&gt;"",AG1438,IF(AA1438&lt;&gt;"",AA1438,"")))</f>
        <v/>
      </c>
      <c r="AQ1438" s="84" t="str">
        <f aca="false">IF(E1438="","",IF(U1438="","À SOUDER",IF(X1438="","VT EN ATTENTE",IF(X1438="R","VT REJETÉ – À REPRENDRE",IF(AP1438="","À RADIOGRAPHIER",IF(AP1438="A","ACCEPTÉ",IF(AP1438="NX","NX – RT À REFAIRE",IF(IF(AO1438=1,AD1438,IF(AO1438=2,AI1438,""))="A","RÉPARÉ – À RADIOGRAPHIER",IF(IF(AO1438=1,AD1438,IF(AO1438=2,AI1438,""))="R","VT REJETÉ – À REPRENDRE",IF(OR(AP1438="CO",AP1438="NT"),"COUPE – À RESOUDER","À RÉPARER"))))))))))</f>
        <v>À SOUDER</v>
      </c>
      <c r="AR1438" s="82" t="str">
        <f aca="false">IF(AND(ISNUMBER(U1438),OR(AQ1438="À RADIOGRAPHIER",AQ1438="RÉPARÉ – À RADIOGRAPHIER",AQ1438="NX – RT À REFAIRE",AQ1438="À RÉPARER",AQ1438="COUPE – À RESOUDER",AQ1438="VT REJETÉ – À REPRENDRE")),MAX(0,'PROGRAMME RT'!$C$4-U1438),"")</f>
        <v/>
      </c>
      <c r="AS1438" s="82" t="n">
        <f aca="false">IF(AND(OR(AQ1438="À RADIOGRAPHIER",AQ1438="RÉPARÉ – À RADIOGRAPHIER",AQ1438="NX – RT À REFAIRE"),OR('PROGRAMME RT'!$D$5="TOUTES",B1438='PROGRAMME RT'!$D$5)),1,0)</f>
        <v>0</v>
      </c>
      <c r="AT1438" s="82" t="str">
        <f aca="false">IF(AS1438=1,SUM(AS$7:AS1438),"")</f>
        <v/>
      </c>
      <c r="AU1438" s="82" t="n">
        <f aca="false">IF(AND(OR(AA1438="R",AA1438="NX",AA1438="NT",AA1438="CO"),OR('JOINTS DE RÉPARATION'!$D$5="TOUTES",B1438='JOINTS DE RÉPARATION'!$D$5),OR('JOINTS DE RÉPARATION'!$L$4="TOUS",AQ1438&lt;&gt;"ACCEPTÉ")),1,0)</f>
        <v>0</v>
      </c>
      <c r="AV1438" s="82" t="str">
        <f aca="false">IF(AU1438=1,SUM(AU$7:AU1438),"")</f>
        <v/>
      </c>
      <c r="AW1438" s="82" t="str">
        <f aca="false">IF(E1438="","",B1438&amp;"|"&amp;E1438)</f>
        <v>MFD-ISW → MFD-CPF|JN°1198</v>
      </c>
    </row>
    <row r="1439" customFormat="false" ht="74.6" hidden="false" customHeight="false" outlineLevel="0" collapsed="false">
      <c r="A1439" s="79" t="n">
        <f aca="false">IF(E1439="","",ROW()-6)</f>
        <v>1433</v>
      </c>
      <c r="B1439" s="80" t="s">
        <v>110</v>
      </c>
      <c r="C1439" s="81" t="s">
        <v>926</v>
      </c>
      <c r="D1439" s="81" t="n">
        <v>12</v>
      </c>
      <c r="E1439" s="81" t="s">
        <v>1722</v>
      </c>
      <c r="F1439" s="82" t="str">
        <f aca="false">IF(E1439="","",IF(LEFT(E1439,2)="DJ","DJ","JN"))</f>
        <v>JN</v>
      </c>
      <c r="G1439" s="81"/>
      <c r="H1439" s="81"/>
      <c r="I1439" s="81"/>
      <c r="J1439" s="81"/>
      <c r="K1439" s="81"/>
      <c r="L1439" s="81" t="s">
        <v>1671</v>
      </c>
      <c r="M1439" s="81"/>
      <c r="N1439" s="81"/>
      <c r="O1439" s="81"/>
      <c r="P1439" s="81"/>
      <c r="Q1439" s="81"/>
      <c r="R1439" s="81"/>
      <c r="S1439" s="81"/>
      <c r="T1439" s="81"/>
      <c r="U1439" s="83"/>
      <c r="V1439" s="83"/>
      <c r="W1439" s="81"/>
      <c r="X1439" s="81"/>
      <c r="Y1439" s="83"/>
      <c r="Z1439" s="81"/>
      <c r="AA1439" s="81"/>
      <c r="AB1439" s="81"/>
      <c r="AC1439" s="81"/>
      <c r="AD1439" s="81"/>
      <c r="AE1439" s="83"/>
      <c r="AF1439" s="81"/>
      <c r="AG1439" s="81"/>
      <c r="AH1439" s="81"/>
      <c r="AI1439" s="81"/>
      <c r="AJ1439" s="83"/>
      <c r="AK1439" s="81"/>
      <c r="AL1439" s="81"/>
      <c r="AM1439" s="83"/>
      <c r="AN1439" s="80"/>
      <c r="AO1439" s="82" t="n">
        <f aca="false">IF(E1439="","",(AA1439&lt;&gt;"")+(AG1439&lt;&gt;"")+(AL1439&lt;&gt;""))</f>
        <v>0</v>
      </c>
      <c r="AP1439" s="82" t="str">
        <f aca="false">IF(AL1439&lt;&gt;"",AL1439,IF(AG1439&lt;&gt;"",AG1439,IF(AA1439&lt;&gt;"",AA1439,"")))</f>
        <v/>
      </c>
      <c r="AQ1439" s="84" t="str">
        <f aca="false">IF(E1439="","",IF(U1439="","À SOUDER",IF(X1439="","VT EN ATTENTE",IF(X1439="R","VT REJETÉ – À REPRENDRE",IF(AP1439="","À RADIOGRAPHIER",IF(AP1439="A","ACCEPTÉ",IF(AP1439="NX","NX – RT À REFAIRE",IF(IF(AO1439=1,AD1439,IF(AO1439=2,AI1439,""))="A","RÉPARÉ – À RADIOGRAPHIER",IF(IF(AO1439=1,AD1439,IF(AO1439=2,AI1439,""))="R","VT REJETÉ – À REPRENDRE",IF(OR(AP1439="CO",AP1439="NT"),"COUPE – À RESOUDER","À RÉPARER"))))))))))</f>
        <v>À SOUDER</v>
      </c>
      <c r="AR1439" s="82" t="str">
        <f aca="false">IF(AND(ISNUMBER(U1439),OR(AQ1439="À RADIOGRAPHIER",AQ1439="RÉPARÉ – À RADIOGRAPHIER",AQ1439="NX – RT À REFAIRE",AQ1439="À RÉPARER",AQ1439="COUPE – À RESOUDER",AQ1439="VT REJETÉ – À REPRENDRE")),MAX(0,'PROGRAMME RT'!$C$4-U1439),"")</f>
        <v/>
      </c>
      <c r="AS1439" s="82" t="n">
        <f aca="false">IF(AND(OR(AQ1439="À RADIOGRAPHIER",AQ1439="RÉPARÉ – À RADIOGRAPHIER",AQ1439="NX – RT À REFAIRE"),OR('PROGRAMME RT'!$D$5="TOUTES",B1439='PROGRAMME RT'!$D$5)),1,0)</f>
        <v>0</v>
      </c>
      <c r="AT1439" s="82" t="str">
        <f aca="false">IF(AS1439=1,SUM(AS$7:AS1439),"")</f>
        <v/>
      </c>
      <c r="AU1439" s="82" t="n">
        <f aca="false">IF(AND(OR(AA1439="R",AA1439="NX",AA1439="NT",AA1439="CO"),OR('JOINTS DE RÉPARATION'!$D$5="TOUTES",B1439='JOINTS DE RÉPARATION'!$D$5),OR('JOINTS DE RÉPARATION'!$L$4="TOUS",AQ1439&lt;&gt;"ACCEPTÉ")),1,0)</f>
        <v>0</v>
      </c>
      <c r="AV1439" s="82" t="str">
        <f aca="false">IF(AU1439=1,SUM(AU$7:AU1439),"")</f>
        <v/>
      </c>
      <c r="AW1439" s="82" t="str">
        <f aca="false">IF(E1439="","",B1439&amp;"|"&amp;E1439)</f>
        <v>MFD-ISW → MFD-CPF|JN°1199</v>
      </c>
    </row>
    <row r="1440" customFormat="false" ht="74.6" hidden="false" customHeight="false" outlineLevel="0" collapsed="false">
      <c r="A1440" s="79" t="n">
        <f aca="false">IF(E1440="","",ROW()-6)</f>
        <v>1434</v>
      </c>
      <c r="B1440" s="80" t="s">
        <v>110</v>
      </c>
      <c r="C1440" s="81" t="s">
        <v>926</v>
      </c>
      <c r="D1440" s="81" t="n">
        <v>12</v>
      </c>
      <c r="E1440" s="81" t="s">
        <v>1723</v>
      </c>
      <c r="F1440" s="82" t="str">
        <f aca="false">IF(E1440="","",IF(LEFT(E1440,2)="DJ","DJ","JN"))</f>
        <v>JN</v>
      </c>
      <c r="G1440" s="81"/>
      <c r="H1440" s="81"/>
      <c r="I1440" s="81"/>
      <c r="J1440" s="81"/>
      <c r="K1440" s="81"/>
      <c r="L1440" s="81" t="s">
        <v>1671</v>
      </c>
      <c r="M1440" s="81"/>
      <c r="N1440" s="81"/>
      <c r="O1440" s="81"/>
      <c r="P1440" s="81"/>
      <c r="Q1440" s="81"/>
      <c r="R1440" s="81"/>
      <c r="S1440" s="81"/>
      <c r="T1440" s="81"/>
      <c r="U1440" s="83"/>
      <c r="V1440" s="83"/>
      <c r="W1440" s="81"/>
      <c r="X1440" s="81"/>
      <c r="Y1440" s="83"/>
      <c r="Z1440" s="81"/>
      <c r="AA1440" s="81"/>
      <c r="AB1440" s="81"/>
      <c r="AC1440" s="81"/>
      <c r="AD1440" s="81"/>
      <c r="AE1440" s="83"/>
      <c r="AF1440" s="81"/>
      <c r="AG1440" s="81"/>
      <c r="AH1440" s="81"/>
      <c r="AI1440" s="81"/>
      <c r="AJ1440" s="83"/>
      <c r="AK1440" s="81"/>
      <c r="AL1440" s="81"/>
      <c r="AM1440" s="83"/>
      <c r="AN1440" s="80"/>
      <c r="AO1440" s="82" t="n">
        <f aca="false">IF(E1440="","",(AA1440&lt;&gt;"")+(AG1440&lt;&gt;"")+(AL1440&lt;&gt;""))</f>
        <v>0</v>
      </c>
      <c r="AP1440" s="82" t="str">
        <f aca="false">IF(AL1440&lt;&gt;"",AL1440,IF(AG1440&lt;&gt;"",AG1440,IF(AA1440&lt;&gt;"",AA1440,"")))</f>
        <v/>
      </c>
      <c r="AQ1440" s="84" t="str">
        <f aca="false">IF(E1440="","",IF(U1440="","À SOUDER",IF(X1440="","VT EN ATTENTE",IF(X1440="R","VT REJETÉ – À REPRENDRE",IF(AP1440="","À RADIOGRAPHIER",IF(AP1440="A","ACCEPTÉ",IF(AP1440="NX","NX – RT À REFAIRE",IF(IF(AO1440=1,AD1440,IF(AO1440=2,AI1440,""))="A","RÉPARÉ – À RADIOGRAPHIER",IF(IF(AO1440=1,AD1440,IF(AO1440=2,AI1440,""))="R","VT REJETÉ – À REPRENDRE",IF(OR(AP1440="CO",AP1440="NT"),"COUPE – À RESOUDER","À RÉPARER"))))))))))</f>
        <v>À SOUDER</v>
      </c>
      <c r="AR1440" s="82" t="str">
        <f aca="false">IF(AND(ISNUMBER(U1440),OR(AQ1440="À RADIOGRAPHIER",AQ1440="RÉPARÉ – À RADIOGRAPHIER",AQ1440="NX – RT À REFAIRE",AQ1440="À RÉPARER",AQ1440="COUPE – À RESOUDER",AQ1440="VT REJETÉ – À REPRENDRE")),MAX(0,'PROGRAMME RT'!$C$4-U1440),"")</f>
        <v/>
      </c>
      <c r="AS1440" s="82" t="n">
        <f aca="false">IF(AND(OR(AQ1440="À RADIOGRAPHIER",AQ1440="RÉPARÉ – À RADIOGRAPHIER",AQ1440="NX – RT À REFAIRE"),OR('PROGRAMME RT'!$D$5="TOUTES",B1440='PROGRAMME RT'!$D$5)),1,0)</f>
        <v>0</v>
      </c>
      <c r="AT1440" s="82" t="str">
        <f aca="false">IF(AS1440=1,SUM(AS$7:AS1440),"")</f>
        <v/>
      </c>
      <c r="AU1440" s="82" t="n">
        <f aca="false">IF(AND(OR(AA1440="R",AA1440="NX",AA1440="NT",AA1440="CO"),OR('JOINTS DE RÉPARATION'!$D$5="TOUTES",B1440='JOINTS DE RÉPARATION'!$D$5),OR('JOINTS DE RÉPARATION'!$L$4="TOUS",AQ1440&lt;&gt;"ACCEPTÉ")),1,0)</f>
        <v>0</v>
      </c>
      <c r="AV1440" s="82" t="str">
        <f aca="false">IF(AU1440=1,SUM(AU$7:AU1440),"")</f>
        <v/>
      </c>
      <c r="AW1440" s="82" t="str">
        <f aca="false">IF(E1440="","",B1440&amp;"|"&amp;E1440)</f>
        <v>MFD-ISW → MFD-CPF|JN°1200</v>
      </c>
    </row>
    <row r="1441" customFormat="false" ht="74.6" hidden="false" customHeight="false" outlineLevel="0" collapsed="false">
      <c r="A1441" s="79" t="n">
        <f aca="false">IF(E1441="","",ROW()-6)</f>
        <v>1435</v>
      </c>
      <c r="B1441" s="80" t="s">
        <v>110</v>
      </c>
      <c r="C1441" s="81" t="s">
        <v>926</v>
      </c>
      <c r="D1441" s="81" t="n">
        <v>12</v>
      </c>
      <c r="E1441" s="81" t="s">
        <v>1724</v>
      </c>
      <c r="F1441" s="82" t="str">
        <f aca="false">IF(E1441="","",IF(LEFT(E1441,2)="DJ","DJ","JN"))</f>
        <v>JN</v>
      </c>
      <c r="G1441" s="81"/>
      <c r="H1441" s="81"/>
      <c r="I1441" s="81"/>
      <c r="J1441" s="81"/>
      <c r="K1441" s="81"/>
      <c r="L1441" s="81" t="s">
        <v>1671</v>
      </c>
      <c r="M1441" s="81"/>
      <c r="N1441" s="81"/>
      <c r="O1441" s="81"/>
      <c r="P1441" s="81"/>
      <c r="Q1441" s="81"/>
      <c r="R1441" s="81"/>
      <c r="S1441" s="81"/>
      <c r="T1441" s="81"/>
      <c r="U1441" s="83"/>
      <c r="V1441" s="83"/>
      <c r="W1441" s="81"/>
      <c r="X1441" s="81"/>
      <c r="Y1441" s="83"/>
      <c r="Z1441" s="81"/>
      <c r="AA1441" s="81"/>
      <c r="AB1441" s="81"/>
      <c r="AC1441" s="81"/>
      <c r="AD1441" s="81"/>
      <c r="AE1441" s="83"/>
      <c r="AF1441" s="81"/>
      <c r="AG1441" s="81"/>
      <c r="AH1441" s="81"/>
      <c r="AI1441" s="81"/>
      <c r="AJ1441" s="83"/>
      <c r="AK1441" s="81"/>
      <c r="AL1441" s="81"/>
      <c r="AM1441" s="83"/>
      <c r="AN1441" s="80"/>
      <c r="AO1441" s="82" t="n">
        <f aca="false">IF(E1441="","",(AA1441&lt;&gt;"")+(AG1441&lt;&gt;"")+(AL1441&lt;&gt;""))</f>
        <v>0</v>
      </c>
      <c r="AP1441" s="82" t="str">
        <f aca="false">IF(AL1441&lt;&gt;"",AL1441,IF(AG1441&lt;&gt;"",AG1441,IF(AA1441&lt;&gt;"",AA1441,"")))</f>
        <v/>
      </c>
      <c r="AQ1441" s="84" t="str">
        <f aca="false">IF(E1441="","",IF(U1441="","À SOUDER",IF(X1441="","VT EN ATTENTE",IF(X1441="R","VT REJETÉ – À REPRENDRE",IF(AP1441="","À RADIOGRAPHIER",IF(AP1441="A","ACCEPTÉ",IF(AP1441="NX","NX – RT À REFAIRE",IF(IF(AO1441=1,AD1441,IF(AO1441=2,AI1441,""))="A","RÉPARÉ – À RADIOGRAPHIER",IF(IF(AO1441=1,AD1441,IF(AO1441=2,AI1441,""))="R","VT REJETÉ – À REPRENDRE",IF(OR(AP1441="CO",AP1441="NT"),"COUPE – À RESOUDER","À RÉPARER"))))))))))</f>
        <v>À SOUDER</v>
      </c>
      <c r="AR1441" s="82" t="str">
        <f aca="false">IF(AND(ISNUMBER(U1441),OR(AQ1441="À RADIOGRAPHIER",AQ1441="RÉPARÉ – À RADIOGRAPHIER",AQ1441="NX – RT À REFAIRE",AQ1441="À RÉPARER",AQ1441="COUPE – À RESOUDER",AQ1441="VT REJETÉ – À REPRENDRE")),MAX(0,'PROGRAMME RT'!$C$4-U1441),"")</f>
        <v/>
      </c>
      <c r="AS1441" s="82" t="n">
        <f aca="false">IF(AND(OR(AQ1441="À RADIOGRAPHIER",AQ1441="RÉPARÉ – À RADIOGRAPHIER",AQ1441="NX – RT À REFAIRE"),OR('PROGRAMME RT'!$D$5="TOUTES",B1441='PROGRAMME RT'!$D$5)),1,0)</f>
        <v>0</v>
      </c>
      <c r="AT1441" s="82" t="str">
        <f aca="false">IF(AS1441=1,SUM(AS$7:AS1441),"")</f>
        <v/>
      </c>
      <c r="AU1441" s="82" t="n">
        <f aca="false">IF(AND(OR(AA1441="R",AA1441="NX",AA1441="NT",AA1441="CO"),OR('JOINTS DE RÉPARATION'!$D$5="TOUTES",B1441='JOINTS DE RÉPARATION'!$D$5),OR('JOINTS DE RÉPARATION'!$L$4="TOUS",AQ1441&lt;&gt;"ACCEPTÉ")),1,0)</f>
        <v>0</v>
      </c>
      <c r="AV1441" s="82" t="str">
        <f aca="false">IF(AU1441=1,SUM(AU$7:AU1441),"")</f>
        <v/>
      </c>
      <c r="AW1441" s="82" t="str">
        <f aca="false">IF(E1441="","",B1441&amp;"|"&amp;E1441)</f>
        <v>MFD-ISW → MFD-CPF|JN°1201</v>
      </c>
    </row>
    <row r="1442" customFormat="false" ht="74.6" hidden="false" customHeight="false" outlineLevel="0" collapsed="false">
      <c r="A1442" s="79" t="n">
        <f aca="false">IF(E1442="","",ROW()-6)</f>
        <v>1436</v>
      </c>
      <c r="B1442" s="80" t="s">
        <v>110</v>
      </c>
      <c r="C1442" s="81" t="s">
        <v>926</v>
      </c>
      <c r="D1442" s="81" t="n">
        <v>12</v>
      </c>
      <c r="E1442" s="81" t="s">
        <v>1725</v>
      </c>
      <c r="F1442" s="82" t="str">
        <f aca="false">IF(E1442="","",IF(LEFT(E1442,2)="DJ","DJ","JN"))</f>
        <v>JN</v>
      </c>
      <c r="G1442" s="81"/>
      <c r="H1442" s="81"/>
      <c r="I1442" s="81"/>
      <c r="J1442" s="81"/>
      <c r="K1442" s="81"/>
      <c r="L1442" s="81" t="s">
        <v>1671</v>
      </c>
      <c r="M1442" s="81"/>
      <c r="N1442" s="81"/>
      <c r="O1442" s="81"/>
      <c r="P1442" s="81"/>
      <c r="Q1442" s="81"/>
      <c r="R1442" s="81"/>
      <c r="S1442" s="81"/>
      <c r="T1442" s="81"/>
      <c r="U1442" s="83"/>
      <c r="V1442" s="83"/>
      <c r="W1442" s="81"/>
      <c r="X1442" s="81"/>
      <c r="Y1442" s="83"/>
      <c r="Z1442" s="81"/>
      <c r="AA1442" s="81"/>
      <c r="AB1442" s="81"/>
      <c r="AC1442" s="81"/>
      <c r="AD1442" s="81"/>
      <c r="AE1442" s="83"/>
      <c r="AF1442" s="81"/>
      <c r="AG1442" s="81"/>
      <c r="AH1442" s="81"/>
      <c r="AI1442" s="81"/>
      <c r="AJ1442" s="83"/>
      <c r="AK1442" s="81"/>
      <c r="AL1442" s="81"/>
      <c r="AM1442" s="83"/>
      <c r="AN1442" s="80"/>
      <c r="AO1442" s="82" t="n">
        <f aca="false">IF(E1442="","",(AA1442&lt;&gt;"")+(AG1442&lt;&gt;"")+(AL1442&lt;&gt;""))</f>
        <v>0</v>
      </c>
      <c r="AP1442" s="82" t="str">
        <f aca="false">IF(AL1442&lt;&gt;"",AL1442,IF(AG1442&lt;&gt;"",AG1442,IF(AA1442&lt;&gt;"",AA1442,"")))</f>
        <v/>
      </c>
      <c r="AQ1442" s="84" t="str">
        <f aca="false">IF(E1442="","",IF(U1442="","À SOUDER",IF(X1442="","VT EN ATTENTE",IF(X1442="R","VT REJETÉ – À REPRENDRE",IF(AP1442="","À RADIOGRAPHIER",IF(AP1442="A","ACCEPTÉ",IF(AP1442="NX","NX – RT À REFAIRE",IF(IF(AO1442=1,AD1442,IF(AO1442=2,AI1442,""))="A","RÉPARÉ – À RADIOGRAPHIER",IF(IF(AO1442=1,AD1442,IF(AO1442=2,AI1442,""))="R","VT REJETÉ – À REPRENDRE",IF(OR(AP1442="CO",AP1442="NT"),"COUPE – À RESOUDER","À RÉPARER"))))))))))</f>
        <v>À SOUDER</v>
      </c>
      <c r="AR1442" s="82" t="str">
        <f aca="false">IF(AND(ISNUMBER(U1442),OR(AQ1442="À RADIOGRAPHIER",AQ1442="RÉPARÉ – À RADIOGRAPHIER",AQ1442="NX – RT À REFAIRE",AQ1442="À RÉPARER",AQ1442="COUPE – À RESOUDER",AQ1442="VT REJETÉ – À REPRENDRE")),MAX(0,'PROGRAMME RT'!$C$4-U1442),"")</f>
        <v/>
      </c>
      <c r="AS1442" s="82" t="n">
        <f aca="false">IF(AND(OR(AQ1442="À RADIOGRAPHIER",AQ1442="RÉPARÉ – À RADIOGRAPHIER",AQ1442="NX – RT À REFAIRE"),OR('PROGRAMME RT'!$D$5="TOUTES",B1442='PROGRAMME RT'!$D$5)),1,0)</f>
        <v>0</v>
      </c>
      <c r="AT1442" s="82" t="str">
        <f aca="false">IF(AS1442=1,SUM(AS$7:AS1442),"")</f>
        <v/>
      </c>
      <c r="AU1442" s="82" t="n">
        <f aca="false">IF(AND(OR(AA1442="R",AA1442="NX",AA1442="NT",AA1442="CO"),OR('JOINTS DE RÉPARATION'!$D$5="TOUTES",B1442='JOINTS DE RÉPARATION'!$D$5),OR('JOINTS DE RÉPARATION'!$L$4="TOUS",AQ1442&lt;&gt;"ACCEPTÉ")),1,0)</f>
        <v>0</v>
      </c>
      <c r="AV1442" s="82" t="str">
        <f aca="false">IF(AU1442=1,SUM(AU$7:AU1442),"")</f>
        <v/>
      </c>
      <c r="AW1442" s="82" t="str">
        <f aca="false">IF(E1442="","",B1442&amp;"|"&amp;E1442)</f>
        <v>MFD-ISW → MFD-CPF|JN°1202</v>
      </c>
    </row>
    <row r="1443" customFormat="false" ht="74.6" hidden="false" customHeight="false" outlineLevel="0" collapsed="false">
      <c r="A1443" s="79" t="n">
        <f aca="false">IF(E1443="","",ROW()-6)</f>
        <v>1437</v>
      </c>
      <c r="B1443" s="80" t="s">
        <v>110</v>
      </c>
      <c r="C1443" s="81" t="s">
        <v>926</v>
      </c>
      <c r="D1443" s="81" t="n">
        <v>12</v>
      </c>
      <c r="E1443" s="81" t="s">
        <v>1726</v>
      </c>
      <c r="F1443" s="82" t="str">
        <f aca="false">IF(E1443="","",IF(LEFT(E1443,2)="DJ","DJ","JN"))</f>
        <v>JN</v>
      </c>
      <c r="G1443" s="81"/>
      <c r="H1443" s="81"/>
      <c r="I1443" s="81"/>
      <c r="J1443" s="81"/>
      <c r="K1443" s="81"/>
      <c r="L1443" s="81" t="s">
        <v>1671</v>
      </c>
      <c r="M1443" s="81"/>
      <c r="N1443" s="81"/>
      <c r="O1443" s="81"/>
      <c r="P1443" s="81"/>
      <c r="Q1443" s="81"/>
      <c r="R1443" s="81"/>
      <c r="S1443" s="81"/>
      <c r="T1443" s="81"/>
      <c r="U1443" s="83"/>
      <c r="V1443" s="83"/>
      <c r="W1443" s="81"/>
      <c r="X1443" s="81"/>
      <c r="Y1443" s="83"/>
      <c r="Z1443" s="81"/>
      <c r="AA1443" s="81"/>
      <c r="AB1443" s="81"/>
      <c r="AC1443" s="81"/>
      <c r="AD1443" s="81"/>
      <c r="AE1443" s="83"/>
      <c r="AF1443" s="81"/>
      <c r="AG1443" s="81"/>
      <c r="AH1443" s="81"/>
      <c r="AI1443" s="81"/>
      <c r="AJ1443" s="83"/>
      <c r="AK1443" s="81"/>
      <c r="AL1443" s="81"/>
      <c r="AM1443" s="83"/>
      <c r="AN1443" s="80"/>
      <c r="AO1443" s="82" t="n">
        <f aca="false">IF(E1443="","",(AA1443&lt;&gt;"")+(AG1443&lt;&gt;"")+(AL1443&lt;&gt;""))</f>
        <v>0</v>
      </c>
      <c r="AP1443" s="82" t="str">
        <f aca="false">IF(AL1443&lt;&gt;"",AL1443,IF(AG1443&lt;&gt;"",AG1443,IF(AA1443&lt;&gt;"",AA1443,"")))</f>
        <v/>
      </c>
      <c r="AQ1443" s="84" t="str">
        <f aca="false">IF(E1443="","",IF(U1443="","À SOUDER",IF(X1443="","VT EN ATTENTE",IF(X1443="R","VT REJETÉ – À REPRENDRE",IF(AP1443="","À RADIOGRAPHIER",IF(AP1443="A","ACCEPTÉ",IF(AP1443="NX","NX – RT À REFAIRE",IF(IF(AO1443=1,AD1443,IF(AO1443=2,AI1443,""))="A","RÉPARÉ – À RADIOGRAPHIER",IF(IF(AO1443=1,AD1443,IF(AO1443=2,AI1443,""))="R","VT REJETÉ – À REPRENDRE",IF(OR(AP1443="CO",AP1443="NT"),"COUPE – À RESOUDER","À RÉPARER"))))))))))</f>
        <v>À SOUDER</v>
      </c>
      <c r="AR1443" s="82" t="str">
        <f aca="false">IF(AND(ISNUMBER(U1443),OR(AQ1443="À RADIOGRAPHIER",AQ1443="RÉPARÉ – À RADIOGRAPHIER",AQ1443="NX – RT À REFAIRE",AQ1443="À RÉPARER",AQ1443="COUPE – À RESOUDER",AQ1443="VT REJETÉ – À REPRENDRE")),MAX(0,'PROGRAMME RT'!$C$4-U1443),"")</f>
        <v/>
      </c>
      <c r="AS1443" s="82" t="n">
        <f aca="false">IF(AND(OR(AQ1443="À RADIOGRAPHIER",AQ1443="RÉPARÉ – À RADIOGRAPHIER",AQ1443="NX – RT À REFAIRE"),OR('PROGRAMME RT'!$D$5="TOUTES",B1443='PROGRAMME RT'!$D$5)),1,0)</f>
        <v>0</v>
      </c>
      <c r="AT1443" s="82" t="str">
        <f aca="false">IF(AS1443=1,SUM(AS$7:AS1443),"")</f>
        <v/>
      </c>
      <c r="AU1443" s="82" t="n">
        <f aca="false">IF(AND(OR(AA1443="R",AA1443="NX",AA1443="NT",AA1443="CO"),OR('JOINTS DE RÉPARATION'!$D$5="TOUTES",B1443='JOINTS DE RÉPARATION'!$D$5),OR('JOINTS DE RÉPARATION'!$L$4="TOUS",AQ1443&lt;&gt;"ACCEPTÉ")),1,0)</f>
        <v>0</v>
      </c>
      <c r="AV1443" s="82" t="str">
        <f aca="false">IF(AU1443=1,SUM(AU$7:AU1443),"")</f>
        <v/>
      </c>
      <c r="AW1443" s="82" t="str">
        <f aca="false">IF(E1443="","",B1443&amp;"|"&amp;E1443)</f>
        <v>MFD-ISW → MFD-CPF|JN°1203</v>
      </c>
    </row>
    <row r="1444" customFormat="false" ht="74.6" hidden="false" customHeight="false" outlineLevel="0" collapsed="false">
      <c r="A1444" s="79" t="n">
        <f aca="false">IF(E1444="","",ROW()-6)</f>
        <v>1438</v>
      </c>
      <c r="B1444" s="80" t="s">
        <v>110</v>
      </c>
      <c r="C1444" s="81" t="s">
        <v>926</v>
      </c>
      <c r="D1444" s="81" t="n">
        <v>12</v>
      </c>
      <c r="E1444" s="81" t="s">
        <v>1727</v>
      </c>
      <c r="F1444" s="82" t="str">
        <f aca="false">IF(E1444="","",IF(LEFT(E1444,2)="DJ","DJ","JN"))</f>
        <v>JN</v>
      </c>
      <c r="G1444" s="81"/>
      <c r="H1444" s="81"/>
      <c r="I1444" s="81"/>
      <c r="J1444" s="81"/>
      <c r="K1444" s="81"/>
      <c r="L1444" s="81" t="s">
        <v>1671</v>
      </c>
      <c r="M1444" s="81"/>
      <c r="N1444" s="81"/>
      <c r="O1444" s="81"/>
      <c r="P1444" s="81"/>
      <c r="Q1444" s="81"/>
      <c r="R1444" s="81"/>
      <c r="S1444" s="81"/>
      <c r="T1444" s="81"/>
      <c r="U1444" s="83"/>
      <c r="V1444" s="83"/>
      <c r="W1444" s="81"/>
      <c r="X1444" s="81"/>
      <c r="Y1444" s="83"/>
      <c r="Z1444" s="81"/>
      <c r="AA1444" s="81"/>
      <c r="AB1444" s="81"/>
      <c r="AC1444" s="81"/>
      <c r="AD1444" s="81"/>
      <c r="AE1444" s="83"/>
      <c r="AF1444" s="81"/>
      <c r="AG1444" s="81"/>
      <c r="AH1444" s="81"/>
      <c r="AI1444" s="81"/>
      <c r="AJ1444" s="83"/>
      <c r="AK1444" s="81"/>
      <c r="AL1444" s="81"/>
      <c r="AM1444" s="83"/>
      <c r="AN1444" s="80"/>
      <c r="AO1444" s="82" t="n">
        <f aca="false">IF(E1444="","",(AA1444&lt;&gt;"")+(AG1444&lt;&gt;"")+(AL1444&lt;&gt;""))</f>
        <v>0</v>
      </c>
      <c r="AP1444" s="82" t="str">
        <f aca="false">IF(AL1444&lt;&gt;"",AL1444,IF(AG1444&lt;&gt;"",AG1444,IF(AA1444&lt;&gt;"",AA1444,"")))</f>
        <v/>
      </c>
      <c r="AQ1444" s="84" t="str">
        <f aca="false">IF(E1444="","",IF(U1444="","À SOUDER",IF(X1444="","VT EN ATTENTE",IF(X1444="R","VT REJETÉ – À REPRENDRE",IF(AP1444="","À RADIOGRAPHIER",IF(AP1444="A","ACCEPTÉ",IF(AP1444="NX","NX – RT À REFAIRE",IF(IF(AO1444=1,AD1444,IF(AO1444=2,AI1444,""))="A","RÉPARÉ – À RADIOGRAPHIER",IF(IF(AO1444=1,AD1444,IF(AO1444=2,AI1444,""))="R","VT REJETÉ – À REPRENDRE",IF(OR(AP1444="CO",AP1444="NT"),"COUPE – À RESOUDER","À RÉPARER"))))))))))</f>
        <v>À SOUDER</v>
      </c>
      <c r="AR1444" s="82" t="str">
        <f aca="false">IF(AND(ISNUMBER(U1444),OR(AQ1444="À RADIOGRAPHIER",AQ1444="RÉPARÉ – À RADIOGRAPHIER",AQ1444="NX – RT À REFAIRE",AQ1444="À RÉPARER",AQ1444="COUPE – À RESOUDER",AQ1444="VT REJETÉ – À REPRENDRE")),MAX(0,'PROGRAMME RT'!$C$4-U1444),"")</f>
        <v/>
      </c>
      <c r="AS1444" s="82" t="n">
        <f aca="false">IF(AND(OR(AQ1444="À RADIOGRAPHIER",AQ1444="RÉPARÉ – À RADIOGRAPHIER",AQ1444="NX – RT À REFAIRE"),OR('PROGRAMME RT'!$D$5="TOUTES",B1444='PROGRAMME RT'!$D$5)),1,0)</f>
        <v>0</v>
      </c>
      <c r="AT1444" s="82" t="str">
        <f aca="false">IF(AS1444=1,SUM(AS$7:AS1444),"")</f>
        <v/>
      </c>
      <c r="AU1444" s="82" t="n">
        <f aca="false">IF(AND(OR(AA1444="R",AA1444="NX",AA1444="NT",AA1444="CO"),OR('JOINTS DE RÉPARATION'!$D$5="TOUTES",B1444='JOINTS DE RÉPARATION'!$D$5),OR('JOINTS DE RÉPARATION'!$L$4="TOUS",AQ1444&lt;&gt;"ACCEPTÉ")),1,0)</f>
        <v>0</v>
      </c>
      <c r="AV1444" s="82" t="str">
        <f aca="false">IF(AU1444=1,SUM(AU$7:AU1444),"")</f>
        <v/>
      </c>
      <c r="AW1444" s="82" t="str">
        <f aca="false">IF(E1444="","",B1444&amp;"|"&amp;E1444)</f>
        <v>MFD-ISW → MFD-CPF|JN°1204</v>
      </c>
    </row>
    <row r="1445" customFormat="false" ht="74.6" hidden="false" customHeight="false" outlineLevel="0" collapsed="false">
      <c r="A1445" s="79" t="n">
        <f aca="false">IF(E1445="","",ROW()-6)</f>
        <v>1439</v>
      </c>
      <c r="B1445" s="80" t="s">
        <v>110</v>
      </c>
      <c r="C1445" s="81" t="s">
        <v>926</v>
      </c>
      <c r="D1445" s="81" t="n">
        <v>12</v>
      </c>
      <c r="E1445" s="81" t="s">
        <v>1728</v>
      </c>
      <c r="F1445" s="82" t="str">
        <f aca="false">IF(E1445="","",IF(LEFT(E1445,2)="DJ","DJ","JN"))</f>
        <v>JN</v>
      </c>
      <c r="G1445" s="81"/>
      <c r="H1445" s="81"/>
      <c r="I1445" s="81"/>
      <c r="J1445" s="81"/>
      <c r="K1445" s="81"/>
      <c r="L1445" s="81" t="s">
        <v>1671</v>
      </c>
      <c r="M1445" s="81"/>
      <c r="N1445" s="81"/>
      <c r="O1445" s="81"/>
      <c r="P1445" s="81"/>
      <c r="Q1445" s="81"/>
      <c r="R1445" s="81"/>
      <c r="S1445" s="81"/>
      <c r="T1445" s="81"/>
      <c r="U1445" s="83"/>
      <c r="V1445" s="83"/>
      <c r="W1445" s="81"/>
      <c r="X1445" s="81"/>
      <c r="Y1445" s="83"/>
      <c r="Z1445" s="81"/>
      <c r="AA1445" s="81"/>
      <c r="AB1445" s="81"/>
      <c r="AC1445" s="81"/>
      <c r="AD1445" s="81"/>
      <c r="AE1445" s="83"/>
      <c r="AF1445" s="81"/>
      <c r="AG1445" s="81"/>
      <c r="AH1445" s="81"/>
      <c r="AI1445" s="81"/>
      <c r="AJ1445" s="83"/>
      <c r="AK1445" s="81"/>
      <c r="AL1445" s="81"/>
      <c r="AM1445" s="83"/>
      <c r="AN1445" s="80"/>
      <c r="AO1445" s="82" t="n">
        <f aca="false">IF(E1445="","",(AA1445&lt;&gt;"")+(AG1445&lt;&gt;"")+(AL1445&lt;&gt;""))</f>
        <v>0</v>
      </c>
      <c r="AP1445" s="82" t="str">
        <f aca="false">IF(AL1445&lt;&gt;"",AL1445,IF(AG1445&lt;&gt;"",AG1445,IF(AA1445&lt;&gt;"",AA1445,"")))</f>
        <v/>
      </c>
      <c r="AQ1445" s="84" t="str">
        <f aca="false">IF(E1445="","",IF(U1445="","À SOUDER",IF(X1445="","VT EN ATTENTE",IF(X1445="R","VT REJETÉ – À REPRENDRE",IF(AP1445="","À RADIOGRAPHIER",IF(AP1445="A","ACCEPTÉ",IF(AP1445="NX","NX – RT À REFAIRE",IF(IF(AO1445=1,AD1445,IF(AO1445=2,AI1445,""))="A","RÉPARÉ – À RADIOGRAPHIER",IF(IF(AO1445=1,AD1445,IF(AO1445=2,AI1445,""))="R","VT REJETÉ – À REPRENDRE",IF(OR(AP1445="CO",AP1445="NT"),"COUPE – À RESOUDER","À RÉPARER"))))))))))</f>
        <v>À SOUDER</v>
      </c>
      <c r="AR1445" s="82" t="str">
        <f aca="false">IF(AND(ISNUMBER(U1445),OR(AQ1445="À RADIOGRAPHIER",AQ1445="RÉPARÉ – À RADIOGRAPHIER",AQ1445="NX – RT À REFAIRE",AQ1445="À RÉPARER",AQ1445="COUPE – À RESOUDER",AQ1445="VT REJETÉ – À REPRENDRE")),MAX(0,'PROGRAMME RT'!$C$4-U1445),"")</f>
        <v/>
      </c>
      <c r="AS1445" s="82" t="n">
        <f aca="false">IF(AND(OR(AQ1445="À RADIOGRAPHIER",AQ1445="RÉPARÉ – À RADIOGRAPHIER",AQ1445="NX – RT À REFAIRE"),OR('PROGRAMME RT'!$D$5="TOUTES",B1445='PROGRAMME RT'!$D$5)),1,0)</f>
        <v>0</v>
      </c>
      <c r="AT1445" s="82" t="str">
        <f aca="false">IF(AS1445=1,SUM(AS$7:AS1445),"")</f>
        <v/>
      </c>
      <c r="AU1445" s="82" t="n">
        <f aca="false">IF(AND(OR(AA1445="R",AA1445="NX",AA1445="NT",AA1445="CO"),OR('JOINTS DE RÉPARATION'!$D$5="TOUTES",B1445='JOINTS DE RÉPARATION'!$D$5),OR('JOINTS DE RÉPARATION'!$L$4="TOUS",AQ1445&lt;&gt;"ACCEPTÉ")),1,0)</f>
        <v>0</v>
      </c>
      <c r="AV1445" s="82" t="str">
        <f aca="false">IF(AU1445=1,SUM(AU$7:AU1445),"")</f>
        <v/>
      </c>
      <c r="AW1445" s="82" t="str">
        <f aca="false">IF(E1445="","",B1445&amp;"|"&amp;E1445)</f>
        <v>MFD-ISW → MFD-CPF|JN°1205</v>
      </c>
    </row>
    <row r="1446" customFormat="false" ht="74.6" hidden="false" customHeight="false" outlineLevel="0" collapsed="false">
      <c r="A1446" s="79" t="n">
        <f aca="false">IF(E1446="","",ROW()-6)</f>
        <v>1440</v>
      </c>
      <c r="B1446" s="80" t="s">
        <v>110</v>
      </c>
      <c r="C1446" s="81" t="s">
        <v>926</v>
      </c>
      <c r="D1446" s="81" t="n">
        <v>12</v>
      </c>
      <c r="E1446" s="81" t="s">
        <v>1729</v>
      </c>
      <c r="F1446" s="82" t="str">
        <f aca="false">IF(E1446="","",IF(LEFT(E1446,2)="DJ","DJ","JN"))</f>
        <v>JN</v>
      </c>
      <c r="G1446" s="81"/>
      <c r="H1446" s="81"/>
      <c r="I1446" s="81"/>
      <c r="J1446" s="81"/>
      <c r="K1446" s="81"/>
      <c r="L1446" s="81" t="s">
        <v>1671</v>
      </c>
      <c r="M1446" s="81"/>
      <c r="N1446" s="81"/>
      <c r="O1446" s="81"/>
      <c r="P1446" s="81"/>
      <c r="Q1446" s="81"/>
      <c r="R1446" s="81"/>
      <c r="S1446" s="81"/>
      <c r="T1446" s="81"/>
      <c r="U1446" s="83"/>
      <c r="V1446" s="83"/>
      <c r="W1446" s="81"/>
      <c r="X1446" s="81"/>
      <c r="Y1446" s="83"/>
      <c r="Z1446" s="81"/>
      <c r="AA1446" s="81"/>
      <c r="AB1446" s="81"/>
      <c r="AC1446" s="81"/>
      <c r="AD1446" s="81"/>
      <c r="AE1446" s="83"/>
      <c r="AF1446" s="81"/>
      <c r="AG1446" s="81"/>
      <c r="AH1446" s="81"/>
      <c r="AI1446" s="81"/>
      <c r="AJ1446" s="83"/>
      <c r="AK1446" s="81"/>
      <c r="AL1446" s="81"/>
      <c r="AM1446" s="83"/>
      <c r="AN1446" s="80"/>
      <c r="AO1446" s="82" t="n">
        <f aca="false">IF(E1446="","",(AA1446&lt;&gt;"")+(AG1446&lt;&gt;"")+(AL1446&lt;&gt;""))</f>
        <v>0</v>
      </c>
      <c r="AP1446" s="82" t="str">
        <f aca="false">IF(AL1446&lt;&gt;"",AL1446,IF(AG1446&lt;&gt;"",AG1446,IF(AA1446&lt;&gt;"",AA1446,"")))</f>
        <v/>
      </c>
      <c r="AQ1446" s="84" t="str">
        <f aca="false">IF(E1446="","",IF(U1446="","À SOUDER",IF(X1446="","VT EN ATTENTE",IF(X1446="R","VT REJETÉ – À REPRENDRE",IF(AP1446="","À RADIOGRAPHIER",IF(AP1446="A","ACCEPTÉ",IF(AP1446="NX","NX – RT À REFAIRE",IF(IF(AO1446=1,AD1446,IF(AO1446=2,AI1446,""))="A","RÉPARÉ – À RADIOGRAPHIER",IF(IF(AO1446=1,AD1446,IF(AO1446=2,AI1446,""))="R","VT REJETÉ – À REPRENDRE",IF(OR(AP1446="CO",AP1446="NT"),"COUPE – À RESOUDER","À RÉPARER"))))))))))</f>
        <v>À SOUDER</v>
      </c>
      <c r="AR1446" s="82" t="str">
        <f aca="false">IF(AND(ISNUMBER(U1446),OR(AQ1446="À RADIOGRAPHIER",AQ1446="RÉPARÉ – À RADIOGRAPHIER",AQ1446="NX – RT À REFAIRE",AQ1446="À RÉPARER",AQ1446="COUPE – À RESOUDER",AQ1446="VT REJETÉ – À REPRENDRE")),MAX(0,'PROGRAMME RT'!$C$4-U1446),"")</f>
        <v/>
      </c>
      <c r="AS1446" s="82" t="n">
        <f aca="false">IF(AND(OR(AQ1446="À RADIOGRAPHIER",AQ1446="RÉPARÉ – À RADIOGRAPHIER",AQ1446="NX – RT À REFAIRE"),OR('PROGRAMME RT'!$D$5="TOUTES",B1446='PROGRAMME RT'!$D$5)),1,0)</f>
        <v>0</v>
      </c>
      <c r="AT1446" s="82" t="str">
        <f aca="false">IF(AS1446=1,SUM(AS$7:AS1446),"")</f>
        <v/>
      </c>
      <c r="AU1446" s="82" t="n">
        <f aca="false">IF(AND(OR(AA1446="R",AA1446="NX",AA1446="NT",AA1446="CO"),OR('JOINTS DE RÉPARATION'!$D$5="TOUTES",B1446='JOINTS DE RÉPARATION'!$D$5),OR('JOINTS DE RÉPARATION'!$L$4="TOUS",AQ1446&lt;&gt;"ACCEPTÉ")),1,0)</f>
        <v>0</v>
      </c>
      <c r="AV1446" s="82" t="str">
        <f aca="false">IF(AU1446=1,SUM(AU$7:AU1446),"")</f>
        <v/>
      </c>
      <c r="AW1446" s="82" t="str">
        <f aca="false">IF(E1446="","",B1446&amp;"|"&amp;E1446)</f>
        <v>MFD-ISW → MFD-CPF|JN°1206</v>
      </c>
    </row>
    <row r="1447" customFormat="false" ht="74.6" hidden="false" customHeight="false" outlineLevel="0" collapsed="false">
      <c r="A1447" s="79" t="n">
        <f aca="false">IF(E1447="","",ROW()-6)</f>
        <v>1441</v>
      </c>
      <c r="B1447" s="80" t="s">
        <v>110</v>
      </c>
      <c r="C1447" s="81" t="s">
        <v>926</v>
      </c>
      <c r="D1447" s="81" t="n">
        <v>12</v>
      </c>
      <c r="E1447" s="81" t="s">
        <v>1730</v>
      </c>
      <c r="F1447" s="82" t="str">
        <f aca="false">IF(E1447="","",IF(LEFT(E1447,2)="DJ","DJ","JN"))</f>
        <v>JN</v>
      </c>
      <c r="G1447" s="81"/>
      <c r="H1447" s="81"/>
      <c r="I1447" s="81"/>
      <c r="J1447" s="81"/>
      <c r="K1447" s="81"/>
      <c r="L1447" s="81" t="s">
        <v>1671</v>
      </c>
      <c r="M1447" s="81"/>
      <c r="N1447" s="81"/>
      <c r="O1447" s="81"/>
      <c r="P1447" s="81"/>
      <c r="Q1447" s="81"/>
      <c r="R1447" s="81"/>
      <c r="S1447" s="81"/>
      <c r="T1447" s="81"/>
      <c r="U1447" s="83"/>
      <c r="V1447" s="83"/>
      <c r="W1447" s="81"/>
      <c r="X1447" s="81"/>
      <c r="Y1447" s="83"/>
      <c r="Z1447" s="81"/>
      <c r="AA1447" s="81"/>
      <c r="AB1447" s="81"/>
      <c r="AC1447" s="81"/>
      <c r="AD1447" s="81"/>
      <c r="AE1447" s="83"/>
      <c r="AF1447" s="81"/>
      <c r="AG1447" s="81"/>
      <c r="AH1447" s="81"/>
      <c r="AI1447" s="81"/>
      <c r="AJ1447" s="83"/>
      <c r="AK1447" s="81"/>
      <c r="AL1447" s="81"/>
      <c r="AM1447" s="83"/>
      <c r="AN1447" s="80"/>
      <c r="AO1447" s="82" t="n">
        <f aca="false">IF(E1447="","",(AA1447&lt;&gt;"")+(AG1447&lt;&gt;"")+(AL1447&lt;&gt;""))</f>
        <v>0</v>
      </c>
      <c r="AP1447" s="82" t="str">
        <f aca="false">IF(AL1447&lt;&gt;"",AL1447,IF(AG1447&lt;&gt;"",AG1447,IF(AA1447&lt;&gt;"",AA1447,"")))</f>
        <v/>
      </c>
      <c r="AQ1447" s="84" t="str">
        <f aca="false">IF(E1447="","",IF(U1447="","À SOUDER",IF(X1447="","VT EN ATTENTE",IF(X1447="R","VT REJETÉ – À REPRENDRE",IF(AP1447="","À RADIOGRAPHIER",IF(AP1447="A","ACCEPTÉ",IF(AP1447="NX","NX – RT À REFAIRE",IF(IF(AO1447=1,AD1447,IF(AO1447=2,AI1447,""))="A","RÉPARÉ – À RADIOGRAPHIER",IF(IF(AO1447=1,AD1447,IF(AO1447=2,AI1447,""))="R","VT REJETÉ – À REPRENDRE",IF(OR(AP1447="CO",AP1447="NT"),"COUPE – À RESOUDER","À RÉPARER"))))))))))</f>
        <v>À SOUDER</v>
      </c>
      <c r="AR1447" s="82" t="str">
        <f aca="false">IF(AND(ISNUMBER(U1447),OR(AQ1447="À RADIOGRAPHIER",AQ1447="RÉPARÉ – À RADIOGRAPHIER",AQ1447="NX – RT À REFAIRE",AQ1447="À RÉPARER",AQ1447="COUPE – À RESOUDER",AQ1447="VT REJETÉ – À REPRENDRE")),MAX(0,'PROGRAMME RT'!$C$4-U1447),"")</f>
        <v/>
      </c>
      <c r="AS1447" s="82" t="n">
        <f aca="false">IF(AND(OR(AQ1447="À RADIOGRAPHIER",AQ1447="RÉPARÉ – À RADIOGRAPHIER",AQ1447="NX – RT À REFAIRE"),OR('PROGRAMME RT'!$D$5="TOUTES",B1447='PROGRAMME RT'!$D$5)),1,0)</f>
        <v>0</v>
      </c>
      <c r="AT1447" s="82" t="str">
        <f aca="false">IF(AS1447=1,SUM(AS$7:AS1447),"")</f>
        <v/>
      </c>
      <c r="AU1447" s="82" t="n">
        <f aca="false">IF(AND(OR(AA1447="R",AA1447="NX",AA1447="NT",AA1447="CO"),OR('JOINTS DE RÉPARATION'!$D$5="TOUTES",B1447='JOINTS DE RÉPARATION'!$D$5),OR('JOINTS DE RÉPARATION'!$L$4="TOUS",AQ1447&lt;&gt;"ACCEPTÉ")),1,0)</f>
        <v>0</v>
      </c>
      <c r="AV1447" s="82" t="str">
        <f aca="false">IF(AU1447=1,SUM(AU$7:AU1447),"")</f>
        <v/>
      </c>
      <c r="AW1447" s="82" t="str">
        <f aca="false">IF(E1447="","",B1447&amp;"|"&amp;E1447)</f>
        <v>MFD-ISW → MFD-CPF|JN°1207</v>
      </c>
    </row>
    <row r="1448" customFormat="false" ht="74.6" hidden="false" customHeight="false" outlineLevel="0" collapsed="false">
      <c r="A1448" s="79" t="n">
        <f aca="false">IF(E1448="","",ROW()-6)</f>
        <v>1442</v>
      </c>
      <c r="B1448" s="80" t="s">
        <v>110</v>
      </c>
      <c r="C1448" s="81" t="s">
        <v>926</v>
      </c>
      <c r="D1448" s="81" t="n">
        <v>12</v>
      </c>
      <c r="E1448" s="81" t="s">
        <v>1731</v>
      </c>
      <c r="F1448" s="82" t="str">
        <f aca="false">IF(E1448="","",IF(LEFT(E1448,2)="DJ","DJ","JN"))</f>
        <v>JN</v>
      </c>
      <c r="G1448" s="81"/>
      <c r="H1448" s="81"/>
      <c r="I1448" s="81"/>
      <c r="J1448" s="81"/>
      <c r="K1448" s="81"/>
      <c r="L1448" s="81" t="s">
        <v>1671</v>
      </c>
      <c r="M1448" s="81"/>
      <c r="N1448" s="81"/>
      <c r="O1448" s="81"/>
      <c r="P1448" s="81"/>
      <c r="Q1448" s="81"/>
      <c r="R1448" s="81"/>
      <c r="S1448" s="81"/>
      <c r="T1448" s="81"/>
      <c r="U1448" s="83"/>
      <c r="V1448" s="83"/>
      <c r="W1448" s="81"/>
      <c r="X1448" s="81"/>
      <c r="Y1448" s="83"/>
      <c r="Z1448" s="81"/>
      <c r="AA1448" s="81"/>
      <c r="AB1448" s="81"/>
      <c r="AC1448" s="81"/>
      <c r="AD1448" s="81"/>
      <c r="AE1448" s="83"/>
      <c r="AF1448" s="81"/>
      <c r="AG1448" s="81"/>
      <c r="AH1448" s="81"/>
      <c r="AI1448" s="81"/>
      <c r="AJ1448" s="83"/>
      <c r="AK1448" s="81"/>
      <c r="AL1448" s="81"/>
      <c r="AM1448" s="83"/>
      <c r="AN1448" s="80"/>
      <c r="AO1448" s="82" t="n">
        <f aca="false">IF(E1448="","",(AA1448&lt;&gt;"")+(AG1448&lt;&gt;"")+(AL1448&lt;&gt;""))</f>
        <v>0</v>
      </c>
      <c r="AP1448" s="82" t="str">
        <f aca="false">IF(AL1448&lt;&gt;"",AL1448,IF(AG1448&lt;&gt;"",AG1448,IF(AA1448&lt;&gt;"",AA1448,"")))</f>
        <v/>
      </c>
      <c r="AQ1448" s="84" t="str">
        <f aca="false">IF(E1448="","",IF(U1448="","À SOUDER",IF(X1448="","VT EN ATTENTE",IF(X1448="R","VT REJETÉ – À REPRENDRE",IF(AP1448="","À RADIOGRAPHIER",IF(AP1448="A","ACCEPTÉ",IF(AP1448="NX","NX – RT À REFAIRE",IF(IF(AO1448=1,AD1448,IF(AO1448=2,AI1448,""))="A","RÉPARÉ – À RADIOGRAPHIER",IF(IF(AO1448=1,AD1448,IF(AO1448=2,AI1448,""))="R","VT REJETÉ – À REPRENDRE",IF(OR(AP1448="CO",AP1448="NT"),"COUPE – À RESOUDER","À RÉPARER"))))))))))</f>
        <v>À SOUDER</v>
      </c>
      <c r="AR1448" s="82" t="str">
        <f aca="false">IF(AND(ISNUMBER(U1448),OR(AQ1448="À RADIOGRAPHIER",AQ1448="RÉPARÉ – À RADIOGRAPHIER",AQ1448="NX – RT À REFAIRE",AQ1448="À RÉPARER",AQ1448="COUPE – À RESOUDER",AQ1448="VT REJETÉ – À REPRENDRE")),MAX(0,'PROGRAMME RT'!$C$4-U1448),"")</f>
        <v/>
      </c>
      <c r="AS1448" s="82" t="n">
        <f aca="false">IF(AND(OR(AQ1448="À RADIOGRAPHIER",AQ1448="RÉPARÉ – À RADIOGRAPHIER",AQ1448="NX – RT À REFAIRE"),OR('PROGRAMME RT'!$D$5="TOUTES",B1448='PROGRAMME RT'!$D$5)),1,0)</f>
        <v>0</v>
      </c>
      <c r="AT1448" s="82" t="str">
        <f aca="false">IF(AS1448=1,SUM(AS$7:AS1448),"")</f>
        <v/>
      </c>
      <c r="AU1448" s="82" t="n">
        <f aca="false">IF(AND(OR(AA1448="R",AA1448="NX",AA1448="NT",AA1448="CO"),OR('JOINTS DE RÉPARATION'!$D$5="TOUTES",B1448='JOINTS DE RÉPARATION'!$D$5),OR('JOINTS DE RÉPARATION'!$L$4="TOUS",AQ1448&lt;&gt;"ACCEPTÉ")),1,0)</f>
        <v>0</v>
      </c>
      <c r="AV1448" s="82" t="str">
        <f aca="false">IF(AU1448=1,SUM(AU$7:AU1448),"")</f>
        <v/>
      </c>
      <c r="AW1448" s="82" t="str">
        <f aca="false">IF(E1448="","",B1448&amp;"|"&amp;E1448)</f>
        <v>MFD-ISW → MFD-CPF|JN°1208</v>
      </c>
    </row>
    <row r="1449" customFormat="false" ht="74.6" hidden="false" customHeight="false" outlineLevel="0" collapsed="false">
      <c r="A1449" s="79" t="n">
        <f aca="false">IF(E1449="","",ROW()-6)</f>
        <v>1443</v>
      </c>
      <c r="B1449" s="80" t="s">
        <v>110</v>
      </c>
      <c r="C1449" s="81" t="s">
        <v>926</v>
      </c>
      <c r="D1449" s="81" t="n">
        <v>12</v>
      </c>
      <c r="E1449" s="81" t="s">
        <v>1732</v>
      </c>
      <c r="F1449" s="82" t="str">
        <f aca="false">IF(E1449="","",IF(LEFT(E1449,2)="DJ","DJ","JN"))</f>
        <v>JN</v>
      </c>
      <c r="G1449" s="81"/>
      <c r="H1449" s="81"/>
      <c r="I1449" s="81"/>
      <c r="J1449" s="81"/>
      <c r="K1449" s="81"/>
      <c r="L1449" s="81" t="s">
        <v>1671</v>
      </c>
      <c r="M1449" s="81"/>
      <c r="N1449" s="81"/>
      <c r="O1449" s="81"/>
      <c r="P1449" s="81"/>
      <c r="Q1449" s="81"/>
      <c r="R1449" s="81"/>
      <c r="S1449" s="81"/>
      <c r="T1449" s="81"/>
      <c r="U1449" s="83"/>
      <c r="V1449" s="83"/>
      <c r="W1449" s="81"/>
      <c r="X1449" s="81"/>
      <c r="Y1449" s="83"/>
      <c r="Z1449" s="81"/>
      <c r="AA1449" s="81"/>
      <c r="AB1449" s="81"/>
      <c r="AC1449" s="81"/>
      <c r="AD1449" s="81"/>
      <c r="AE1449" s="83"/>
      <c r="AF1449" s="81"/>
      <c r="AG1449" s="81"/>
      <c r="AH1449" s="81"/>
      <c r="AI1449" s="81"/>
      <c r="AJ1449" s="83"/>
      <c r="AK1449" s="81"/>
      <c r="AL1449" s="81"/>
      <c r="AM1449" s="83"/>
      <c r="AN1449" s="80"/>
      <c r="AO1449" s="82" t="n">
        <f aca="false">IF(E1449="","",(AA1449&lt;&gt;"")+(AG1449&lt;&gt;"")+(AL1449&lt;&gt;""))</f>
        <v>0</v>
      </c>
      <c r="AP1449" s="82" t="str">
        <f aca="false">IF(AL1449&lt;&gt;"",AL1449,IF(AG1449&lt;&gt;"",AG1449,IF(AA1449&lt;&gt;"",AA1449,"")))</f>
        <v/>
      </c>
      <c r="AQ1449" s="84" t="str">
        <f aca="false">IF(E1449="","",IF(U1449="","À SOUDER",IF(X1449="","VT EN ATTENTE",IF(X1449="R","VT REJETÉ – À REPRENDRE",IF(AP1449="","À RADIOGRAPHIER",IF(AP1449="A","ACCEPTÉ",IF(AP1449="NX","NX – RT À REFAIRE",IF(IF(AO1449=1,AD1449,IF(AO1449=2,AI1449,""))="A","RÉPARÉ – À RADIOGRAPHIER",IF(IF(AO1449=1,AD1449,IF(AO1449=2,AI1449,""))="R","VT REJETÉ – À REPRENDRE",IF(OR(AP1449="CO",AP1449="NT"),"COUPE – À RESOUDER","À RÉPARER"))))))))))</f>
        <v>À SOUDER</v>
      </c>
      <c r="AR1449" s="82" t="str">
        <f aca="false">IF(AND(ISNUMBER(U1449),OR(AQ1449="À RADIOGRAPHIER",AQ1449="RÉPARÉ – À RADIOGRAPHIER",AQ1449="NX – RT À REFAIRE",AQ1449="À RÉPARER",AQ1449="COUPE – À RESOUDER",AQ1449="VT REJETÉ – À REPRENDRE")),MAX(0,'PROGRAMME RT'!$C$4-U1449),"")</f>
        <v/>
      </c>
      <c r="AS1449" s="82" t="n">
        <f aca="false">IF(AND(OR(AQ1449="À RADIOGRAPHIER",AQ1449="RÉPARÉ – À RADIOGRAPHIER",AQ1449="NX – RT À REFAIRE"),OR('PROGRAMME RT'!$D$5="TOUTES",B1449='PROGRAMME RT'!$D$5)),1,0)</f>
        <v>0</v>
      </c>
      <c r="AT1449" s="82" t="str">
        <f aca="false">IF(AS1449=1,SUM(AS$7:AS1449),"")</f>
        <v/>
      </c>
      <c r="AU1449" s="82" t="n">
        <f aca="false">IF(AND(OR(AA1449="R",AA1449="NX",AA1449="NT",AA1449="CO"),OR('JOINTS DE RÉPARATION'!$D$5="TOUTES",B1449='JOINTS DE RÉPARATION'!$D$5),OR('JOINTS DE RÉPARATION'!$L$4="TOUS",AQ1449&lt;&gt;"ACCEPTÉ")),1,0)</f>
        <v>0</v>
      </c>
      <c r="AV1449" s="82" t="str">
        <f aca="false">IF(AU1449=1,SUM(AU$7:AU1449),"")</f>
        <v/>
      </c>
      <c r="AW1449" s="82" t="str">
        <f aca="false">IF(E1449="","",B1449&amp;"|"&amp;E1449)</f>
        <v>MFD-ISW → MFD-CPF|JN°1209</v>
      </c>
    </row>
    <row r="1450" customFormat="false" ht="74.6" hidden="false" customHeight="false" outlineLevel="0" collapsed="false">
      <c r="A1450" s="79" t="n">
        <f aca="false">IF(E1450="","",ROW()-6)</f>
        <v>1444</v>
      </c>
      <c r="B1450" s="80" t="s">
        <v>110</v>
      </c>
      <c r="C1450" s="81" t="s">
        <v>926</v>
      </c>
      <c r="D1450" s="81" t="n">
        <v>12</v>
      </c>
      <c r="E1450" s="81" t="s">
        <v>1733</v>
      </c>
      <c r="F1450" s="82" t="str">
        <f aca="false">IF(E1450="","",IF(LEFT(E1450,2)="DJ","DJ","JN"))</f>
        <v>JN</v>
      </c>
      <c r="G1450" s="81"/>
      <c r="H1450" s="81"/>
      <c r="I1450" s="81"/>
      <c r="J1450" s="81"/>
      <c r="K1450" s="81"/>
      <c r="L1450" s="81" t="s">
        <v>1671</v>
      </c>
      <c r="M1450" s="81"/>
      <c r="N1450" s="81"/>
      <c r="O1450" s="81"/>
      <c r="P1450" s="81"/>
      <c r="Q1450" s="81"/>
      <c r="R1450" s="81"/>
      <c r="S1450" s="81"/>
      <c r="T1450" s="81"/>
      <c r="U1450" s="83"/>
      <c r="V1450" s="83"/>
      <c r="W1450" s="81"/>
      <c r="X1450" s="81"/>
      <c r="Y1450" s="83"/>
      <c r="Z1450" s="81"/>
      <c r="AA1450" s="81"/>
      <c r="AB1450" s="81"/>
      <c r="AC1450" s="81"/>
      <c r="AD1450" s="81"/>
      <c r="AE1450" s="83"/>
      <c r="AF1450" s="81"/>
      <c r="AG1450" s="81"/>
      <c r="AH1450" s="81"/>
      <c r="AI1450" s="81"/>
      <c r="AJ1450" s="83"/>
      <c r="AK1450" s="81"/>
      <c r="AL1450" s="81"/>
      <c r="AM1450" s="83"/>
      <c r="AN1450" s="80"/>
      <c r="AO1450" s="82" t="n">
        <f aca="false">IF(E1450="","",(AA1450&lt;&gt;"")+(AG1450&lt;&gt;"")+(AL1450&lt;&gt;""))</f>
        <v>0</v>
      </c>
      <c r="AP1450" s="82" t="str">
        <f aca="false">IF(AL1450&lt;&gt;"",AL1450,IF(AG1450&lt;&gt;"",AG1450,IF(AA1450&lt;&gt;"",AA1450,"")))</f>
        <v/>
      </c>
      <c r="AQ1450" s="84" t="str">
        <f aca="false">IF(E1450="","",IF(U1450="","À SOUDER",IF(X1450="","VT EN ATTENTE",IF(X1450="R","VT REJETÉ – À REPRENDRE",IF(AP1450="","À RADIOGRAPHIER",IF(AP1450="A","ACCEPTÉ",IF(AP1450="NX","NX – RT À REFAIRE",IF(IF(AO1450=1,AD1450,IF(AO1450=2,AI1450,""))="A","RÉPARÉ – À RADIOGRAPHIER",IF(IF(AO1450=1,AD1450,IF(AO1450=2,AI1450,""))="R","VT REJETÉ – À REPRENDRE",IF(OR(AP1450="CO",AP1450="NT"),"COUPE – À RESOUDER","À RÉPARER"))))))))))</f>
        <v>À SOUDER</v>
      </c>
      <c r="AR1450" s="82" t="str">
        <f aca="false">IF(AND(ISNUMBER(U1450),OR(AQ1450="À RADIOGRAPHIER",AQ1450="RÉPARÉ – À RADIOGRAPHIER",AQ1450="NX – RT À REFAIRE",AQ1450="À RÉPARER",AQ1450="COUPE – À RESOUDER",AQ1450="VT REJETÉ – À REPRENDRE")),MAX(0,'PROGRAMME RT'!$C$4-U1450),"")</f>
        <v/>
      </c>
      <c r="AS1450" s="82" t="n">
        <f aca="false">IF(AND(OR(AQ1450="À RADIOGRAPHIER",AQ1450="RÉPARÉ – À RADIOGRAPHIER",AQ1450="NX – RT À REFAIRE"),OR('PROGRAMME RT'!$D$5="TOUTES",B1450='PROGRAMME RT'!$D$5)),1,0)</f>
        <v>0</v>
      </c>
      <c r="AT1450" s="82" t="str">
        <f aca="false">IF(AS1450=1,SUM(AS$7:AS1450),"")</f>
        <v/>
      </c>
      <c r="AU1450" s="82" t="n">
        <f aca="false">IF(AND(OR(AA1450="R",AA1450="NX",AA1450="NT",AA1450="CO"),OR('JOINTS DE RÉPARATION'!$D$5="TOUTES",B1450='JOINTS DE RÉPARATION'!$D$5),OR('JOINTS DE RÉPARATION'!$L$4="TOUS",AQ1450&lt;&gt;"ACCEPTÉ")),1,0)</f>
        <v>0</v>
      </c>
      <c r="AV1450" s="82" t="str">
        <f aca="false">IF(AU1450=1,SUM(AU$7:AU1450),"")</f>
        <v/>
      </c>
      <c r="AW1450" s="82" t="str">
        <f aca="false">IF(E1450="","",B1450&amp;"|"&amp;E1450)</f>
        <v>MFD-ISW → MFD-CPF|JN°1210</v>
      </c>
    </row>
    <row r="1451" customFormat="false" ht="74.6" hidden="false" customHeight="false" outlineLevel="0" collapsed="false">
      <c r="A1451" s="79" t="n">
        <f aca="false">IF(E1451="","",ROW()-6)</f>
        <v>1445</v>
      </c>
      <c r="B1451" s="80" t="s">
        <v>110</v>
      </c>
      <c r="C1451" s="81" t="s">
        <v>926</v>
      </c>
      <c r="D1451" s="81" t="n">
        <v>12</v>
      </c>
      <c r="E1451" s="81" t="s">
        <v>1734</v>
      </c>
      <c r="F1451" s="82" t="str">
        <f aca="false">IF(E1451="","",IF(LEFT(E1451,2)="DJ","DJ","JN"))</f>
        <v>JN</v>
      </c>
      <c r="G1451" s="81"/>
      <c r="H1451" s="81"/>
      <c r="I1451" s="81"/>
      <c r="J1451" s="81"/>
      <c r="K1451" s="81"/>
      <c r="L1451" s="81" t="s">
        <v>1671</v>
      </c>
      <c r="M1451" s="81"/>
      <c r="N1451" s="81"/>
      <c r="O1451" s="81"/>
      <c r="P1451" s="81"/>
      <c r="Q1451" s="81"/>
      <c r="R1451" s="81"/>
      <c r="S1451" s="81"/>
      <c r="T1451" s="81"/>
      <c r="U1451" s="83"/>
      <c r="V1451" s="83"/>
      <c r="W1451" s="81"/>
      <c r="X1451" s="81"/>
      <c r="Y1451" s="83"/>
      <c r="Z1451" s="81"/>
      <c r="AA1451" s="81"/>
      <c r="AB1451" s="81"/>
      <c r="AC1451" s="81"/>
      <c r="AD1451" s="81"/>
      <c r="AE1451" s="83"/>
      <c r="AF1451" s="81"/>
      <c r="AG1451" s="81"/>
      <c r="AH1451" s="81"/>
      <c r="AI1451" s="81"/>
      <c r="AJ1451" s="83"/>
      <c r="AK1451" s="81"/>
      <c r="AL1451" s="81"/>
      <c r="AM1451" s="83"/>
      <c r="AN1451" s="80"/>
      <c r="AO1451" s="82" t="n">
        <f aca="false">IF(E1451="","",(AA1451&lt;&gt;"")+(AG1451&lt;&gt;"")+(AL1451&lt;&gt;""))</f>
        <v>0</v>
      </c>
      <c r="AP1451" s="82" t="str">
        <f aca="false">IF(AL1451&lt;&gt;"",AL1451,IF(AG1451&lt;&gt;"",AG1451,IF(AA1451&lt;&gt;"",AA1451,"")))</f>
        <v/>
      </c>
      <c r="AQ1451" s="84" t="str">
        <f aca="false">IF(E1451="","",IF(U1451="","À SOUDER",IF(X1451="","VT EN ATTENTE",IF(X1451="R","VT REJETÉ – À REPRENDRE",IF(AP1451="","À RADIOGRAPHIER",IF(AP1451="A","ACCEPTÉ",IF(AP1451="NX","NX – RT À REFAIRE",IF(IF(AO1451=1,AD1451,IF(AO1451=2,AI1451,""))="A","RÉPARÉ – À RADIOGRAPHIER",IF(IF(AO1451=1,AD1451,IF(AO1451=2,AI1451,""))="R","VT REJETÉ – À REPRENDRE",IF(OR(AP1451="CO",AP1451="NT"),"COUPE – À RESOUDER","À RÉPARER"))))))))))</f>
        <v>À SOUDER</v>
      </c>
      <c r="AR1451" s="82" t="str">
        <f aca="false">IF(AND(ISNUMBER(U1451),OR(AQ1451="À RADIOGRAPHIER",AQ1451="RÉPARÉ – À RADIOGRAPHIER",AQ1451="NX – RT À REFAIRE",AQ1451="À RÉPARER",AQ1451="COUPE – À RESOUDER",AQ1451="VT REJETÉ – À REPRENDRE")),MAX(0,'PROGRAMME RT'!$C$4-U1451),"")</f>
        <v/>
      </c>
      <c r="AS1451" s="82" t="n">
        <f aca="false">IF(AND(OR(AQ1451="À RADIOGRAPHIER",AQ1451="RÉPARÉ – À RADIOGRAPHIER",AQ1451="NX – RT À REFAIRE"),OR('PROGRAMME RT'!$D$5="TOUTES",B1451='PROGRAMME RT'!$D$5)),1,0)</f>
        <v>0</v>
      </c>
      <c r="AT1451" s="82" t="str">
        <f aca="false">IF(AS1451=1,SUM(AS$7:AS1451),"")</f>
        <v/>
      </c>
      <c r="AU1451" s="82" t="n">
        <f aca="false">IF(AND(OR(AA1451="R",AA1451="NX",AA1451="NT",AA1451="CO"),OR('JOINTS DE RÉPARATION'!$D$5="TOUTES",B1451='JOINTS DE RÉPARATION'!$D$5),OR('JOINTS DE RÉPARATION'!$L$4="TOUS",AQ1451&lt;&gt;"ACCEPTÉ")),1,0)</f>
        <v>0</v>
      </c>
      <c r="AV1451" s="82" t="str">
        <f aca="false">IF(AU1451=1,SUM(AU$7:AU1451),"")</f>
        <v/>
      </c>
      <c r="AW1451" s="82" t="str">
        <f aca="false">IF(E1451="","",B1451&amp;"|"&amp;E1451)</f>
        <v>MFD-ISW → MFD-CPF|JN°1211</v>
      </c>
    </row>
    <row r="1452" customFormat="false" ht="74.6" hidden="false" customHeight="false" outlineLevel="0" collapsed="false">
      <c r="A1452" s="79" t="n">
        <f aca="false">IF(E1452="","",ROW()-6)</f>
        <v>1446</v>
      </c>
      <c r="B1452" s="80" t="s">
        <v>110</v>
      </c>
      <c r="C1452" s="81" t="s">
        <v>926</v>
      </c>
      <c r="D1452" s="81" t="n">
        <v>12</v>
      </c>
      <c r="E1452" s="81" t="s">
        <v>1735</v>
      </c>
      <c r="F1452" s="82" t="str">
        <f aca="false">IF(E1452="","",IF(LEFT(E1452,2)="DJ","DJ","JN"))</f>
        <v>JN</v>
      </c>
      <c r="G1452" s="81"/>
      <c r="H1452" s="81"/>
      <c r="I1452" s="81"/>
      <c r="J1452" s="81"/>
      <c r="K1452" s="81"/>
      <c r="L1452" s="81" t="s">
        <v>1671</v>
      </c>
      <c r="M1452" s="81"/>
      <c r="N1452" s="81"/>
      <c r="O1452" s="81"/>
      <c r="P1452" s="81"/>
      <c r="Q1452" s="81"/>
      <c r="R1452" s="81"/>
      <c r="S1452" s="81"/>
      <c r="T1452" s="81"/>
      <c r="U1452" s="83"/>
      <c r="V1452" s="83"/>
      <c r="W1452" s="81"/>
      <c r="X1452" s="81"/>
      <c r="Y1452" s="83"/>
      <c r="Z1452" s="81"/>
      <c r="AA1452" s="81"/>
      <c r="AB1452" s="81"/>
      <c r="AC1452" s="81"/>
      <c r="AD1452" s="81"/>
      <c r="AE1452" s="83"/>
      <c r="AF1452" s="81"/>
      <c r="AG1452" s="81"/>
      <c r="AH1452" s="81"/>
      <c r="AI1452" s="81"/>
      <c r="AJ1452" s="83"/>
      <c r="AK1452" s="81"/>
      <c r="AL1452" s="81"/>
      <c r="AM1452" s="83"/>
      <c r="AN1452" s="80"/>
      <c r="AO1452" s="82" t="n">
        <f aca="false">IF(E1452="","",(AA1452&lt;&gt;"")+(AG1452&lt;&gt;"")+(AL1452&lt;&gt;""))</f>
        <v>0</v>
      </c>
      <c r="AP1452" s="82" t="str">
        <f aca="false">IF(AL1452&lt;&gt;"",AL1452,IF(AG1452&lt;&gt;"",AG1452,IF(AA1452&lt;&gt;"",AA1452,"")))</f>
        <v/>
      </c>
      <c r="AQ1452" s="84" t="str">
        <f aca="false">IF(E1452="","",IF(U1452="","À SOUDER",IF(X1452="","VT EN ATTENTE",IF(X1452="R","VT REJETÉ – À REPRENDRE",IF(AP1452="","À RADIOGRAPHIER",IF(AP1452="A","ACCEPTÉ",IF(AP1452="NX","NX – RT À REFAIRE",IF(IF(AO1452=1,AD1452,IF(AO1452=2,AI1452,""))="A","RÉPARÉ – À RADIOGRAPHIER",IF(IF(AO1452=1,AD1452,IF(AO1452=2,AI1452,""))="R","VT REJETÉ – À REPRENDRE",IF(OR(AP1452="CO",AP1452="NT"),"COUPE – À RESOUDER","À RÉPARER"))))))))))</f>
        <v>À SOUDER</v>
      </c>
      <c r="AR1452" s="82" t="str">
        <f aca="false">IF(AND(ISNUMBER(U1452),OR(AQ1452="À RADIOGRAPHIER",AQ1452="RÉPARÉ – À RADIOGRAPHIER",AQ1452="NX – RT À REFAIRE",AQ1452="À RÉPARER",AQ1452="COUPE – À RESOUDER",AQ1452="VT REJETÉ – À REPRENDRE")),MAX(0,'PROGRAMME RT'!$C$4-U1452),"")</f>
        <v/>
      </c>
      <c r="AS1452" s="82" t="n">
        <f aca="false">IF(AND(OR(AQ1452="À RADIOGRAPHIER",AQ1452="RÉPARÉ – À RADIOGRAPHIER",AQ1452="NX – RT À REFAIRE"),OR('PROGRAMME RT'!$D$5="TOUTES",B1452='PROGRAMME RT'!$D$5)),1,0)</f>
        <v>0</v>
      </c>
      <c r="AT1452" s="82" t="str">
        <f aca="false">IF(AS1452=1,SUM(AS$7:AS1452),"")</f>
        <v/>
      </c>
      <c r="AU1452" s="82" t="n">
        <f aca="false">IF(AND(OR(AA1452="R",AA1452="NX",AA1452="NT",AA1452="CO"),OR('JOINTS DE RÉPARATION'!$D$5="TOUTES",B1452='JOINTS DE RÉPARATION'!$D$5),OR('JOINTS DE RÉPARATION'!$L$4="TOUS",AQ1452&lt;&gt;"ACCEPTÉ")),1,0)</f>
        <v>0</v>
      </c>
      <c r="AV1452" s="82" t="str">
        <f aca="false">IF(AU1452=1,SUM(AU$7:AU1452),"")</f>
        <v/>
      </c>
      <c r="AW1452" s="82" t="str">
        <f aca="false">IF(E1452="","",B1452&amp;"|"&amp;E1452)</f>
        <v>MFD-ISW → MFD-CPF|JN°1212</v>
      </c>
    </row>
    <row r="1453" customFormat="false" ht="74.6" hidden="false" customHeight="false" outlineLevel="0" collapsed="false">
      <c r="A1453" s="79" t="n">
        <f aca="false">IF(E1453="","",ROW()-6)</f>
        <v>1447</v>
      </c>
      <c r="B1453" s="80" t="s">
        <v>110</v>
      </c>
      <c r="C1453" s="81" t="s">
        <v>926</v>
      </c>
      <c r="D1453" s="81" t="n">
        <v>12</v>
      </c>
      <c r="E1453" s="81" t="s">
        <v>1736</v>
      </c>
      <c r="F1453" s="82" t="str">
        <f aca="false">IF(E1453="","",IF(LEFT(E1453,2)="DJ","DJ","JN"))</f>
        <v>JN</v>
      </c>
      <c r="G1453" s="81"/>
      <c r="H1453" s="81"/>
      <c r="I1453" s="81"/>
      <c r="J1453" s="81"/>
      <c r="K1453" s="81"/>
      <c r="L1453" s="81" t="s">
        <v>1671</v>
      </c>
      <c r="M1453" s="81"/>
      <c r="N1453" s="81"/>
      <c r="O1453" s="81"/>
      <c r="P1453" s="81"/>
      <c r="Q1453" s="81"/>
      <c r="R1453" s="81"/>
      <c r="S1453" s="81"/>
      <c r="T1453" s="81"/>
      <c r="U1453" s="83"/>
      <c r="V1453" s="83"/>
      <c r="W1453" s="81"/>
      <c r="X1453" s="81"/>
      <c r="Y1453" s="83"/>
      <c r="Z1453" s="81"/>
      <c r="AA1453" s="81"/>
      <c r="AB1453" s="81"/>
      <c r="AC1453" s="81"/>
      <c r="AD1453" s="81"/>
      <c r="AE1453" s="83"/>
      <c r="AF1453" s="81"/>
      <c r="AG1453" s="81"/>
      <c r="AH1453" s="81"/>
      <c r="AI1453" s="81"/>
      <c r="AJ1453" s="83"/>
      <c r="AK1453" s="81"/>
      <c r="AL1453" s="81"/>
      <c r="AM1453" s="83"/>
      <c r="AN1453" s="80"/>
      <c r="AO1453" s="82" t="n">
        <f aca="false">IF(E1453="","",(AA1453&lt;&gt;"")+(AG1453&lt;&gt;"")+(AL1453&lt;&gt;""))</f>
        <v>0</v>
      </c>
      <c r="AP1453" s="82" t="str">
        <f aca="false">IF(AL1453&lt;&gt;"",AL1453,IF(AG1453&lt;&gt;"",AG1453,IF(AA1453&lt;&gt;"",AA1453,"")))</f>
        <v/>
      </c>
      <c r="AQ1453" s="84" t="str">
        <f aca="false">IF(E1453="","",IF(U1453="","À SOUDER",IF(X1453="","VT EN ATTENTE",IF(X1453="R","VT REJETÉ – À REPRENDRE",IF(AP1453="","À RADIOGRAPHIER",IF(AP1453="A","ACCEPTÉ",IF(AP1453="NX","NX – RT À REFAIRE",IF(IF(AO1453=1,AD1453,IF(AO1453=2,AI1453,""))="A","RÉPARÉ – À RADIOGRAPHIER",IF(IF(AO1453=1,AD1453,IF(AO1453=2,AI1453,""))="R","VT REJETÉ – À REPRENDRE",IF(OR(AP1453="CO",AP1453="NT"),"COUPE – À RESOUDER","À RÉPARER"))))))))))</f>
        <v>À SOUDER</v>
      </c>
      <c r="AR1453" s="82" t="str">
        <f aca="false">IF(AND(ISNUMBER(U1453),OR(AQ1453="À RADIOGRAPHIER",AQ1453="RÉPARÉ – À RADIOGRAPHIER",AQ1453="NX – RT À REFAIRE",AQ1453="À RÉPARER",AQ1453="COUPE – À RESOUDER",AQ1453="VT REJETÉ – À REPRENDRE")),MAX(0,'PROGRAMME RT'!$C$4-U1453),"")</f>
        <v/>
      </c>
      <c r="AS1453" s="82" t="n">
        <f aca="false">IF(AND(OR(AQ1453="À RADIOGRAPHIER",AQ1453="RÉPARÉ – À RADIOGRAPHIER",AQ1453="NX – RT À REFAIRE"),OR('PROGRAMME RT'!$D$5="TOUTES",B1453='PROGRAMME RT'!$D$5)),1,0)</f>
        <v>0</v>
      </c>
      <c r="AT1453" s="82" t="str">
        <f aca="false">IF(AS1453=1,SUM(AS$7:AS1453),"")</f>
        <v/>
      </c>
      <c r="AU1453" s="82" t="n">
        <f aca="false">IF(AND(OR(AA1453="R",AA1453="NX",AA1453="NT",AA1453="CO"),OR('JOINTS DE RÉPARATION'!$D$5="TOUTES",B1453='JOINTS DE RÉPARATION'!$D$5),OR('JOINTS DE RÉPARATION'!$L$4="TOUS",AQ1453&lt;&gt;"ACCEPTÉ")),1,0)</f>
        <v>0</v>
      </c>
      <c r="AV1453" s="82" t="str">
        <f aca="false">IF(AU1453=1,SUM(AU$7:AU1453),"")</f>
        <v/>
      </c>
      <c r="AW1453" s="82" t="str">
        <f aca="false">IF(E1453="","",B1453&amp;"|"&amp;E1453)</f>
        <v>MFD-ISW → MFD-CPF|JN°1213</v>
      </c>
    </row>
    <row r="1454" customFormat="false" ht="74.6" hidden="false" customHeight="false" outlineLevel="0" collapsed="false">
      <c r="A1454" s="79" t="n">
        <f aca="false">IF(E1454="","",ROW()-6)</f>
        <v>1448</v>
      </c>
      <c r="B1454" s="80" t="s">
        <v>110</v>
      </c>
      <c r="C1454" s="81" t="s">
        <v>926</v>
      </c>
      <c r="D1454" s="81" t="n">
        <v>12</v>
      </c>
      <c r="E1454" s="81" t="s">
        <v>1737</v>
      </c>
      <c r="F1454" s="82" t="str">
        <f aca="false">IF(E1454="","",IF(LEFT(E1454,2)="DJ","DJ","JN"))</f>
        <v>JN</v>
      </c>
      <c r="G1454" s="81"/>
      <c r="H1454" s="81"/>
      <c r="I1454" s="81"/>
      <c r="J1454" s="81"/>
      <c r="K1454" s="81"/>
      <c r="L1454" s="81" t="s">
        <v>1671</v>
      </c>
      <c r="M1454" s="81"/>
      <c r="N1454" s="81"/>
      <c r="O1454" s="81"/>
      <c r="P1454" s="81"/>
      <c r="Q1454" s="81"/>
      <c r="R1454" s="81"/>
      <c r="S1454" s="81"/>
      <c r="T1454" s="81"/>
      <c r="U1454" s="83"/>
      <c r="V1454" s="83"/>
      <c r="W1454" s="81"/>
      <c r="X1454" s="81"/>
      <c r="Y1454" s="83"/>
      <c r="Z1454" s="81"/>
      <c r="AA1454" s="81"/>
      <c r="AB1454" s="81"/>
      <c r="AC1454" s="81"/>
      <c r="AD1454" s="81"/>
      <c r="AE1454" s="83"/>
      <c r="AF1454" s="81"/>
      <c r="AG1454" s="81"/>
      <c r="AH1454" s="81"/>
      <c r="AI1454" s="81"/>
      <c r="AJ1454" s="83"/>
      <c r="AK1454" s="81"/>
      <c r="AL1454" s="81"/>
      <c r="AM1454" s="83"/>
      <c r="AN1454" s="80"/>
      <c r="AO1454" s="82" t="n">
        <f aca="false">IF(E1454="","",(AA1454&lt;&gt;"")+(AG1454&lt;&gt;"")+(AL1454&lt;&gt;""))</f>
        <v>0</v>
      </c>
      <c r="AP1454" s="82" t="str">
        <f aca="false">IF(AL1454&lt;&gt;"",AL1454,IF(AG1454&lt;&gt;"",AG1454,IF(AA1454&lt;&gt;"",AA1454,"")))</f>
        <v/>
      </c>
      <c r="AQ1454" s="84" t="str">
        <f aca="false">IF(E1454="","",IF(U1454="","À SOUDER",IF(X1454="","VT EN ATTENTE",IF(X1454="R","VT REJETÉ – À REPRENDRE",IF(AP1454="","À RADIOGRAPHIER",IF(AP1454="A","ACCEPTÉ",IF(AP1454="NX","NX – RT À REFAIRE",IF(IF(AO1454=1,AD1454,IF(AO1454=2,AI1454,""))="A","RÉPARÉ – À RADIOGRAPHIER",IF(IF(AO1454=1,AD1454,IF(AO1454=2,AI1454,""))="R","VT REJETÉ – À REPRENDRE",IF(OR(AP1454="CO",AP1454="NT"),"COUPE – À RESOUDER","À RÉPARER"))))))))))</f>
        <v>À SOUDER</v>
      </c>
      <c r="AR1454" s="82" t="str">
        <f aca="false">IF(AND(ISNUMBER(U1454),OR(AQ1454="À RADIOGRAPHIER",AQ1454="RÉPARÉ – À RADIOGRAPHIER",AQ1454="NX – RT À REFAIRE",AQ1454="À RÉPARER",AQ1454="COUPE – À RESOUDER",AQ1454="VT REJETÉ – À REPRENDRE")),MAX(0,'PROGRAMME RT'!$C$4-U1454),"")</f>
        <v/>
      </c>
      <c r="AS1454" s="82" t="n">
        <f aca="false">IF(AND(OR(AQ1454="À RADIOGRAPHIER",AQ1454="RÉPARÉ – À RADIOGRAPHIER",AQ1454="NX – RT À REFAIRE"),OR('PROGRAMME RT'!$D$5="TOUTES",B1454='PROGRAMME RT'!$D$5)),1,0)</f>
        <v>0</v>
      </c>
      <c r="AT1454" s="82" t="str">
        <f aca="false">IF(AS1454=1,SUM(AS$7:AS1454),"")</f>
        <v/>
      </c>
      <c r="AU1454" s="82" t="n">
        <f aca="false">IF(AND(OR(AA1454="R",AA1454="NX",AA1454="NT",AA1454="CO"),OR('JOINTS DE RÉPARATION'!$D$5="TOUTES",B1454='JOINTS DE RÉPARATION'!$D$5),OR('JOINTS DE RÉPARATION'!$L$4="TOUS",AQ1454&lt;&gt;"ACCEPTÉ")),1,0)</f>
        <v>0</v>
      </c>
      <c r="AV1454" s="82" t="str">
        <f aca="false">IF(AU1454=1,SUM(AU$7:AU1454),"")</f>
        <v/>
      </c>
      <c r="AW1454" s="82" t="str">
        <f aca="false">IF(E1454="","",B1454&amp;"|"&amp;E1454)</f>
        <v>MFD-ISW → MFD-CPF|JN°1214</v>
      </c>
    </row>
    <row r="1455" customFormat="false" ht="74.6" hidden="false" customHeight="false" outlineLevel="0" collapsed="false">
      <c r="A1455" s="79" t="n">
        <f aca="false">IF(E1455="","",ROW()-6)</f>
        <v>1449</v>
      </c>
      <c r="B1455" s="80" t="s">
        <v>110</v>
      </c>
      <c r="C1455" s="81" t="s">
        <v>926</v>
      </c>
      <c r="D1455" s="81" t="n">
        <v>12</v>
      </c>
      <c r="E1455" s="81" t="s">
        <v>1738</v>
      </c>
      <c r="F1455" s="82" t="str">
        <f aca="false">IF(E1455="","",IF(LEFT(E1455,2)="DJ","DJ","JN"))</f>
        <v>JN</v>
      </c>
      <c r="G1455" s="81"/>
      <c r="H1455" s="81"/>
      <c r="I1455" s="81"/>
      <c r="J1455" s="81"/>
      <c r="K1455" s="81"/>
      <c r="L1455" s="81" t="s">
        <v>1671</v>
      </c>
      <c r="M1455" s="81"/>
      <c r="N1455" s="81"/>
      <c r="O1455" s="81"/>
      <c r="P1455" s="81"/>
      <c r="Q1455" s="81"/>
      <c r="R1455" s="81"/>
      <c r="S1455" s="81"/>
      <c r="T1455" s="81"/>
      <c r="U1455" s="83"/>
      <c r="V1455" s="83"/>
      <c r="W1455" s="81"/>
      <c r="X1455" s="81"/>
      <c r="Y1455" s="83"/>
      <c r="Z1455" s="81"/>
      <c r="AA1455" s="81"/>
      <c r="AB1455" s="81"/>
      <c r="AC1455" s="81"/>
      <c r="AD1455" s="81"/>
      <c r="AE1455" s="83"/>
      <c r="AF1455" s="81"/>
      <c r="AG1455" s="81"/>
      <c r="AH1455" s="81"/>
      <c r="AI1455" s="81"/>
      <c r="AJ1455" s="83"/>
      <c r="AK1455" s="81"/>
      <c r="AL1455" s="81"/>
      <c r="AM1455" s="83"/>
      <c r="AN1455" s="80"/>
      <c r="AO1455" s="82" t="n">
        <f aca="false">IF(E1455="","",(AA1455&lt;&gt;"")+(AG1455&lt;&gt;"")+(AL1455&lt;&gt;""))</f>
        <v>0</v>
      </c>
      <c r="AP1455" s="82" t="str">
        <f aca="false">IF(AL1455&lt;&gt;"",AL1455,IF(AG1455&lt;&gt;"",AG1455,IF(AA1455&lt;&gt;"",AA1455,"")))</f>
        <v/>
      </c>
      <c r="AQ1455" s="84" t="str">
        <f aca="false">IF(E1455="","",IF(U1455="","À SOUDER",IF(X1455="","VT EN ATTENTE",IF(X1455="R","VT REJETÉ – À REPRENDRE",IF(AP1455="","À RADIOGRAPHIER",IF(AP1455="A","ACCEPTÉ",IF(AP1455="NX","NX – RT À REFAIRE",IF(IF(AO1455=1,AD1455,IF(AO1455=2,AI1455,""))="A","RÉPARÉ – À RADIOGRAPHIER",IF(IF(AO1455=1,AD1455,IF(AO1455=2,AI1455,""))="R","VT REJETÉ – À REPRENDRE",IF(OR(AP1455="CO",AP1455="NT"),"COUPE – À RESOUDER","À RÉPARER"))))))))))</f>
        <v>À SOUDER</v>
      </c>
      <c r="AR1455" s="82" t="str">
        <f aca="false">IF(AND(ISNUMBER(U1455),OR(AQ1455="À RADIOGRAPHIER",AQ1455="RÉPARÉ – À RADIOGRAPHIER",AQ1455="NX – RT À REFAIRE",AQ1455="À RÉPARER",AQ1455="COUPE – À RESOUDER",AQ1455="VT REJETÉ – À REPRENDRE")),MAX(0,'PROGRAMME RT'!$C$4-U1455),"")</f>
        <v/>
      </c>
      <c r="AS1455" s="82" t="n">
        <f aca="false">IF(AND(OR(AQ1455="À RADIOGRAPHIER",AQ1455="RÉPARÉ – À RADIOGRAPHIER",AQ1455="NX – RT À REFAIRE"),OR('PROGRAMME RT'!$D$5="TOUTES",B1455='PROGRAMME RT'!$D$5)),1,0)</f>
        <v>0</v>
      </c>
      <c r="AT1455" s="82" t="str">
        <f aca="false">IF(AS1455=1,SUM(AS$7:AS1455),"")</f>
        <v/>
      </c>
      <c r="AU1455" s="82" t="n">
        <f aca="false">IF(AND(OR(AA1455="R",AA1455="NX",AA1455="NT",AA1455="CO"),OR('JOINTS DE RÉPARATION'!$D$5="TOUTES",B1455='JOINTS DE RÉPARATION'!$D$5),OR('JOINTS DE RÉPARATION'!$L$4="TOUS",AQ1455&lt;&gt;"ACCEPTÉ")),1,0)</f>
        <v>0</v>
      </c>
      <c r="AV1455" s="82" t="str">
        <f aca="false">IF(AU1455=1,SUM(AU$7:AU1455),"")</f>
        <v/>
      </c>
      <c r="AW1455" s="82" t="str">
        <f aca="false">IF(E1455="","",B1455&amp;"|"&amp;E1455)</f>
        <v>MFD-ISW → MFD-CPF|JN°1215</v>
      </c>
    </row>
    <row r="1456" customFormat="false" ht="74.6" hidden="false" customHeight="false" outlineLevel="0" collapsed="false">
      <c r="A1456" s="79" t="n">
        <f aca="false">IF(E1456="","",ROW()-6)</f>
        <v>1450</v>
      </c>
      <c r="B1456" s="80" t="s">
        <v>110</v>
      </c>
      <c r="C1456" s="81" t="s">
        <v>926</v>
      </c>
      <c r="D1456" s="81" t="n">
        <v>12</v>
      </c>
      <c r="E1456" s="81" t="s">
        <v>1739</v>
      </c>
      <c r="F1456" s="82" t="str">
        <f aca="false">IF(E1456="","",IF(LEFT(E1456,2)="DJ","DJ","JN"))</f>
        <v>JN</v>
      </c>
      <c r="G1456" s="81"/>
      <c r="H1456" s="81"/>
      <c r="I1456" s="81"/>
      <c r="J1456" s="81"/>
      <c r="K1456" s="81"/>
      <c r="L1456" s="81" t="s">
        <v>1671</v>
      </c>
      <c r="M1456" s="81"/>
      <c r="N1456" s="81"/>
      <c r="O1456" s="81"/>
      <c r="P1456" s="81"/>
      <c r="Q1456" s="81"/>
      <c r="R1456" s="81"/>
      <c r="S1456" s="81"/>
      <c r="T1456" s="81"/>
      <c r="U1456" s="83"/>
      <c r="V1456" s="83"/>
      <c r="W1456" s="81"/>
      <c r="X1456" s="81"/>
      <c r="Y1456" s="83"/>
      <c r="Z1456" s="81"/>
      <c r="AA1456" s="81"/>
      <c r="AB1456" s="81"/>
      <c r="AC1456" s="81"/>
      <c r="AD1456" s="81"/>
      <c r="AE1456" s="83"/>
      <c r="AF1456" s="81"/>
      <c r="AG1456" s="81"/>
      <c r="AH1456" s="81"/>
      <c r="AI1456" s="81"/>
      <c r="AJ1456" s="83"/>
      <c r="AK1456" s="81"/>
      <c r="AL1456" s="81"/>
      <c r="AM1456" s="83"/>
      <c r="AN1456" s="80"/>
      <c r="AO1456" s="82" t="n">
        <f aca="false">IF(E1456="","",(AA1456&lt;&gt;"")+(AG1456&lt;&gt;"")+(AL1456&lt;&gt;""))</f>
        <v>0</v>
      </c>
      <c r="AP1456" s="82" t="str">
        <f aca="false">IF(AL1456&lt;&gt;"",AL1456,IF(AG1456&lt;&gt;"",AG1456,IF(AA1456&lt;&gt;"",AA1456,"")))</f>
        <v/>
      </c>
      <c r="AQ1456" s="84" t="str">
        <f aca="false">IF(E1456="","",IF(U1456="","À SOUDER",IF(X1456="","VT EN ATTENTE",IF(X1456="R","VT REJETÉ – À REPRENDRE",IF(AP1456="","À RADIOGRAPHIER",IF(AP1456="A","ACCEPTÉ",IF(AP1456="NX","NX – RT À REFAIRE",IF(IF(AO1456=1,AD1456,IF(AO1456=2,AI1456,""))="A","RÉPARÉ – À RADIOGRAPHIER",IF(IF(AO1456=1,AD1456,IF(AO1456=2,AI1456,""))="R","VT REJETÉ – À REPRENDRE",IF(OR(AP1456="CO",AP1456="NT"),"COUPE – À RESOUDER","À RÉPARER"))))))))))</f>
        <v>À SOUDER</v>
      </c>
      <c r="AR1456" s="82" t="str">
        <f aca="false">IF(AND(ISNUMBER(U1456),OR(AQ1456="À RADIOGRAPHIER",AQ1456="RÉPARÉ – À RADIOGRAPHIER",AQ1456="NX – RT À REFAIRE",AQ1456="À RÉPARER",AQ1456="COUPE – À RESOUDER",AQ1456="VT REJETÉ – À REPRENDRE")),MAX(0,'PROGRAMME RT'!$C$4-U1456),"")</f>
        <v/>
      </c>
      <c r="AS1456" s="82" t="n">
        <f aca="false">IF(AND(OR(AQ1456="À RADIOGRAPHIER",AQ1456="RÉPARÉ – À RADIOGRAPHIER",AQ1456="NX – RT À REFAIRE"),OR('PROGRAMME RT'!$D$5="TOUTES",B1456='PROGRAMME RT'!$D$5)),1,0)</f>
        <v>0</v>
      </c>
      <c r="AT1456" s="82" t="str">
        <f aca="false">IF(AS1456=1,SUM(AS$7:AS1456),"")</f>
        <v/>
      </c>
      <c r="AU1456" s="82" t="n">
        <f aca="false">IF(AND(OR(AA1456="R",AA1456="NX",AA1456="NT",AA1456="CO"),OR('JOINTS DE RÉPARATION'!$D$5="TOUTES",B1456='JOINTS DE RÉPARATION'!$D$5),OR('JOINTS DE RÉPARATION'!$L$4="TOUS",AQ1456&lt;&gt;"ACCEPTÉ")),1,0)</f>
        <v>0</v>
      </c>
      <c r="AV1456" s="82" t="str">
        <f aca="false">IF(AU1456=1,SUM(AU$7:AU1456),"")</f>
        <v/>
      </c>
      <c r="AW1456" s="82" t="str">
        <f aca="false">IF(E1456="","",B1456&amp;"|"&amp;E1456)</f>
        <v>MFD-ISW → MFD-CPF|JN°1216</v>
      </c>
    </row>
    <row r="1457" customFormat="false" ht="74.6" hidden="false" customHeight="false" outlineLevel="0" collapsed="false">
      <c r="A1457" s="79" t="n">
        <f aca="false">IF(E1457="","",ROW()-6)</f>
        <v>1451</v>
      </c>
      <c r="B1457" s="80" t="s">
        <v>110</v>
      </c>
      <c r="C1457" s="81" t="s">
        <v>926</v>
      </c>
      <c r="D1457" s="81" t="n">
        <v>12</v>
      </c>
      <c r="E1457" s="81" t="s">
        <v>1740</v>
      </c>
      <c r="F1457" s="82" t="str">
        <f aca="false">IF(E1457="","",IF(LEFT(E1457,2)="DJ","DJ","JN"))</f>
        <v>JN</v>
      </c>
      <c r="G1457" s="81"/>
      <c r="H1457" s="81"/>
      <c r="I1457" s="81"/>
      <c r="J1457" s="81"/>
      <c r="K1457" s="81"/>
      <c r="L1457" s="81" t="s">
        <v>1671</v>
      </c>
      <c r="M1457" s="81"/>
      <c r="N1457" s="81"/>
      <c r="O1457" s="81"/>
      <c r="P1457" s="81"/>
      <c r="Q1457" s="81"/>
      <c r="R1457" s="81"/>
      <c r="S1457" s="81"/>
      <c r="T1457" s="81"/>
      <c r="U1457" s="83"/>
      <c r="V1457" s="83"/>
      <c r="W1457" s="81"/>
      <c r="X1457" s="81"/>
      <c r="Y1457" s="83"/>
      <c r="Z1457" s="81"/>
      <c r="AA1457" s="81"/>
      <c r="AB1457" s="81"/>
      <c r="AC1457" s="81"/>
      <c r="AD1457" s="81"/>
      <c r="AE1457" s="83"/>
      <c r="AF1457" s="81"/>
      <c r="AG1457" s="81"/>
      <c r="AH1457" s="81"/>
      <c r="AI1457" s="81"/>
      <c r="AJ1457" s="83"/>
      <c r="AK1457" s="81"/>
      <c r="AL1457" s="81"/>
      <c r="AM1457" s="83"/>
      <c r="AN1457" s="80"/>
      <c r="AO1457" s="82" t="n">
        <f aca="false">IF(E1457="","",(AA1457&lt;&gt;"")+(AG1457&lt;&gt;"")+(AL1457&lt;&gt;""))</f>
        <v>0</v>
      </c>
      <c r="AP1457" s="82" t="str">
        <f aca="false">IF(AL1457&lt;&gt;"",AL1457,IF(AG1457&lt;&gt;"",AG1457,IF(AA1457&lt;&gt;"",AA1457,"")))</f>
        <v/>
      </c>
      <c r="AQ1457" s="84" t="str">
        <f aca="false">IF(E1457="","",IF(U1457="","À SOUDER",IF(X1457="","VT EN ATTENTE",IF(X1457="R","VT REJETÉ – À REPRENDRE",IF(AP1457="","À RADIOGRAPHIER",IF(AP1457="A","ACCEPTÉ",IF(AP1457="NX","NX – RT À REFAIRE",IF(IF(AO1457=1,AD1457,IF(AO1457=2,AI1457,""))="A","RÉPARÉ – À RADIOGRAPHIER",IF(IF(AO1457=1,AD1457,IF(AO1457=2,AI1457,""))="R","VT REJETÉ – À REPRENDRE",IF(OR(AP1457="CO",AP1457="NT"),"COUPE – À RESOUDER","À RÉPARER"))))))))))</f>
        <v>À SOUDER</v>
      </c>
      <c r="AR1457" s="82" t="str">
        <f aca="false">IF(AND(ISNUMBER(U1457),OR(AQ1457="À RADIOGRAPHIER",AQ1457="RÉPARÉ – À RADIOGRAPHIER",AQ1457="NX – RT À REFAIRE",AQ1457="À RÉPARER",AQ1457="COUPE – À RESOUDER",AQ1457="VT REJETÉ – À REPRENDRE")),MAX(0,'PROGRAMME RT'!$C$4-U1457),"")</f>
        <v/>
      </c>
      <c r="AS1457" s="82" t="n">
        <f aca="false">IF(AND(OR(AQ1457="À RADIOGRAPHIER",AQ1457="RÉPARÉ – À RADIOGRAPHIER",AQ1457="NX – RT À REFAIRE"),OR('PROGRAMME RT'!$D$5="TOUTES",B1457='PROGRAMME RT'!$D$5)),1,0)</f>
        <v>0</v>
      </c>
      <c r="AT1457" s="82" t="str">
        <f aca="false">IF(AS1457=1,SUM(AS$7:AS1457),"")</f>
        <v/>
      </c>
      <c r="AU1457" s="82" t="n">
        <f aca="false">IF(AND(OR(AA1457="R",AA1457="NX",AA1457="NT",AA1457="CO"),OR('JOINTS DE RÉPARATION'!$D$5="TOUTES",B1457='JOINTS DE RÉPARATION'!$D$5),OR('JOINTS DE RÉPARATION'!$L$4="TOUS",AQ1457&lt;&gt;"ACCEPTÉ")),1,0)</f>
        <v>0</v>
      </c>
      <c r="AV1457" s="82" t="str">
        <f aca="false">IF(AU1457=1,SUM(AU$7:AU1457),"")</f>
        <v/>
      </c>
      <c r="AW1457" s="82" t="str">
        <f aca="false">IF(E1457="","",B1457&amp;"|"&amp;E1457)</f>
        <v>MFD-ISW → MFD-CPF|JN°1217</v>
      </c>
    </row>
    <row r="1458" customFormat="false" ht="74.6" hidden="false" customHeight="false" outlineLevel="0" collapsed="false">
      <c r="A1458" s="79" t="n">
        <f aca="false">IF(E1458="","",ROW()-6)</f>
        <v>1452</v>
      </c>
      <c r="B1458" s="80" t="s">
        <v>110</v>
      </c>
      <c r="C1458" s="81" t="s">
        <v>926</v>
      </c>
      <c r="D1458" s="81" t="n">
        <v>12</v>
      </c>
      <c r="E1458" s="81" t="s">
        <v>1741</v>
      </c>
      <c r="F1458" s="82" t="str">
        <f aca="false">IF(E1458="","",IF(LEFT(E1458,2)="DJ","DJ","JN"))</f>
        <v>JN</v>
      </c>
      <c r="G1458" s="81"/>
      <c r="H1458" s="81"/>
      <c r="I1458" s="81"/>
      <c r="J1458" s="81"/>
      <c r="K1458" s="81"/>
      <c r="L1458" s="81" t="s">
        <v>1671</v>
      </c>
      <c r="M1458" s="81"/>
      <c r="N1458" s="81"/>
      <c r="O1458" s="81"/>
      <c r="P1458" s="81"/>
      <c r="Q1458" s="81"/>
      <c r="R1458" s="81"/>
      <c r="S1458" s="81"/>
      <c r="T1458" s="81"/>
      <c r="U1458" s="83"/>
      <c r="V1458" s="83"/>
      <c r="W1458" s="81"/>
      <c r="X1458" s="81"/>
      <c r="Y1458" s="83"/>
      <c r="Z1458" s="81"/>
      <c r="AA1458" s="81"/>
      <c r="AB1458" s="81"/>
      <c r="AC1458" s="81"/>
      <c r="AD1458" s="81"/>
      <c r="AE1458" s="83"/>
      <c r="AF1458" s="81"/>
      <c r="AG1458" s="81"/>
      <c r="AH1458" s="81"/>
      <c r="AI1458" s="81"/>
      <c r="AJ1458" s="83"/>
      <c r="AK1458" s="81"/>
      <c r="AL1458" s="81"/>
      <c r="AM1458" s="83"/>
      <c r="AN1458" s="80"/>
      <c r="AO1458" s="82" t="n">
        <f aca="false">IF(E1458="","",(AA1458&lt;&gt;"")+(AG1458&lt;&gt;"")+(AL1458&lt;&gt;""))</f>
        <v>0</v>
      </c>
      <c r="AP1458" s="82" t="str">
        <f aca="false">IF(AL1458&lt;&gt;"",AL1458,IF(AG1458&lt;&gt;"",AG1458,IF(AA1458&lt;&gt;"",AA1458,"")))</f>
        <v/>
      </c>
      <c r="AQ1458" s="84" t="str">
        <f aca="false">IF(E1458="","",IF(U1458="","À SOUDER",IF(X1458="","VT EN ATTENTE",IF(X1458="R","VT REJETÉ – À REPRENDRE",IF(AP1458="","À RADIOGRAPHIER",IF(AP1458="A","ACCEPTÉ",IF(AP1458="NX","NX – RT À REFAIRE",IF(IF(AO1458=1,AD1458,IF(AO1458=2,AI1458,""))="A","RÉPARÉ – À RADIOGRAPHIER",IF(IF(AO1458=1,AD1458,IF(AO1458=2,AI1458,""))="R","VT REJETÉ – À REPRENDRE",IF(OR(AP1458="CO",AP1458="NT"),"COUPE – À RESOUDER","À RÉPARER"))))))))))</f>
        <v>À SOUDER</v>
      </c>
      <c r="AR1458" s="82" t="str">
        <f aca="false">IF(AND(ISNUMBER(U1458),OR(AQ1458="À RADIOGRAPHIER",AQ1458="RÉPARÉ – À RADIOGRAPHIER",AQ1458="NX – RT À REFAIRE",AQ1458="À RÉPARER",AQ1458="COUPE – À RESOUDER",AQ1458="VT REJETÉ – À REPRENDRE")),MAX(0,'PROGRAMME RT'!$C$4-U1458),"")</f>
        <v/>
      </c>
      <c r="AS1458" s="82" t="n">
        <f aca="false">IF(AND(OR(AQ1458="À RADIOGRAPHIER",AQ1458="RÉPARÉ – À RADIOGRAPHIER",AQ1458="NX – RT À REFAIRE"),OR('PROGRAMME RT'!$D$5="TOUTES",B1458='PROGRAMME RT'!$D$5)),1,0)</f>
        <v>0</v>
      </c>
      <c r="AT1458" s="82" t="str">
        <f aca="false">IF(AS1458=1,SUM(AS$7:AS1458),"")</f>
        <v/>
      </c>
      <c r="AU1458" s="82" t="n">
        <f aca="false">IF(AND(OR(AA1458="R",AA1458="NX",AA1458="NT",AA1458="CO"),OR('JOINTS DE RÉPARATION'!$D$5="TOUTES",B1458='JOINTS DE RÉPARATION'!$D$5),OR('JOINTS DE RÉPARATION'!$L$4="TOUS",AQ1458&lt;&gt;"ACCEPTÉ")),1,0)</f>
        <v>0</v>
      </c>
      <c r="AV1458" s="82" t="str">
        <f aca="false">IF(AU1458=1,SUM(AU$7:AU1458),"")</f>
        <v/>
      </c>
      <c r="AW1458" s="82" t="str">
        <f aca="false">IF(E1458="","",B1458&amp;"|"&amp;E1458)</f>
        <v>MFD-ISW → MFD-CPF|JN°1218</v>
      </c>
    </row>
    <row r="1459" customFormat="false" ht="74.6" hidden="false" customHeight="false" outlineLevel="0" collapsed="false">
      <c r="A1459" s="79" t="n">
        <f aca="false">IF(E1459="","",ROW()-6)</f>
        <v>1453</v>
      </c>
      <c r="B1459" s="80" t="s">
        <v>110</v>
      </c>
      <c r="C1459" s="81" t="s">
        <v>926</v>
      </c>
      <c r="D1459" s="81" t="n">
        <v>12</v>
      </c>
      <c r="E1459" s="81" t="s">
        <v>1742</v>
      </c>
      <c r="F1459" s="82" t="str">
        <f aca="false">IF(E1459="","",IF(LEFT(E1459,2)="DJ","DJ","JN"))</f>
        <v>JN</v>
      </c>
      <c r="G1459" s="81"/>
      <c r="H1459" s="81"/>
      <c r="I1459" s="81"/>
      <c r="J1459" s="81"/>
      <c r="K1459" s="81"/>
      <c r="L1459" s="81" t="s">
        <v>1671</v>
      </c>
      <c r="M1459" s="81"/>
      <c r="N1459" s="81"/>
      <c r="O1459" s="81"/>
      <c r="P1459" s="81"/>
      <c r="Q1459" s="81"/>
      <c r="R1459" s="81"/>
      <c r="S1459" s="81"/>
      <c r="T1459" s="81"/>
      <c r="U1459" s="83"/>
      <c r="V1459" s="83"/>
      <c r="W1459" s="81"/>
      <c r="X1459" s="81"/>
      <c r="Y1459" s="83"/>
      <c r="Z1459" s="81"/>
      <c r="AA1459" s="81"/>
      <c r="AB1459" s="81"/>
      <c r="AC1459" s="81"/>
      <c r="AD1459" s="81"/>
      <c r="AE1459" s="83"/>
      <c r="AF1459" s="81"/>
      <c r="AG1459" s="81"/>
      <c r="AH1459" s="81"/>
      <c r="AI1459" s="81"/>
      <c r="AJ1459" s="83"/>
      <c r="AK1459" s="81"/>
      <c r="AL1459" s="81"/>
      <c r="AM1459" s="83"/>
      <c r="AN1459" s="80"/>
      <c r="AO1459" s="82" t="n">
        <f aca="false">IF(E1459="","",(AA1459&lt;&gt;"")+(AG1459&lt;&gt;"")+(AL1459&lt;&gt;""))</f>
        <v>0</v>
      </c>
      <c r="AP1459" s="82" t="str">
        <f aca="false">IF(AL1459&lt;&gt;"",AL1459,IF(AG1459&lt;&gt;"",AG1459,IF(AA1459&lt;&gt;"",AA1459,"")))</f>
        <v/>
      </c>
      <c r="AQ1459" s="84" t="str">
        <f aca="false">IF(E1459="","",IF(U1459="","À SOUDER",IF(X1459="","VT EN ATTENTE",IF(X1459="R","VT REJETÉ – À REPRENDRE",IF(AP1459="","À RADIOGRAPHIER",IF(AP1459="A","ACCEPTÉ",IF(AP1459="NX","NX – RT À REFAIRE",IF(IF(AO1459=1,AD1459,IF(AO1459=2,AI1459,""))="A","RÉPARÉ – À RADIOGRAPHIER",IF(IF(AO1459=1,AD1459,IF(AO1459=2,AI1459,""))="R","VT REJETÉ – À REPRENDRE",IF(OR(AP1459="CO",AP1459="NT"),"COUPE – À RESOUDER","À RÉPARER"))))))))))</f>
        <v>À SOUDER</v>
      </c>
      <c r="AR1459" s="82" t="str">
        <f aca="false">IF(AND(ISNUMBER(U1459),OR(AQ1459="À RADIOGRAPHIER",AQ1459="RÉPARÉ – À RADIOGRAPHIER",AQ1459="NX – RT À REFAIRE",AQ1459="À RÉPARER",AQ1459="COUPE – À RESOUDER",AQ1459="VT REJETÉ – À REPRENDRE")),MAX(0,'PROGRAMME RT'!$C$4-U1459),"")</f>
        <v/>
      </c>
      <c r="AS1459" s="82" t="n">
        <f aca="false">IF(AND(OR(AQ1459="À RADIOGRAPHIER",AQ1459="RÉPARÉ – À RADIOGRAPHIER",AQ1459="NX – RT À REFAIRE"),OR('PROGRAMME RT'!$D$5="TOUTES",B1459='PROGRAMME RT'!$D$5)),1,0)</f>
        <v>0</v>
      </c>
      <c r="AT1459" s="82" t="str">
        <f aca="false">IF(AS1459=1,SUM(AS$7:AS1459),"")</f>
        <v/>
      </c>
      <c r="AU1459" s="82" t="n">
        <f aca="false">IF(AND(OR(AA1459="R",AA1459="NX",AA1459="NT",AA1459="CO"),OR('JOINTS DE RÉPARATION'!$D$5="TOUTES",B1459='JOINTS DE RÉPARATION'!$D$5),OR('JOINTS DE RÉPARATION'!$L$4="TOUS",AQ1459&lt;&gt;"ACCEPTÉ")),1,0)</f>
        <v>0</v>
      </c>
      <c r="AV1459" s="82" t="str">
        <f aca="false">IF(AU1459=1,SUM(AU$7:AU1459),"")</f>
        <v/>
      </c>
      <c r="AW1459" s="82" t="str">
        <f aca="false">IF(E1459="","",B1459&amp;"|"&amp;E1459)</f>
        <v>MFD-ISW → MFD-CPF|JN°1219</v>
      </c>
    </row>
    <row r="1460" customFormat="false" ht="74.6" hidden="false" customHeight="false" outlineLevel="0" collapsed="false">
      <c r="A1460" s="79" t="n">
        <f aca="false">IF(E1460="","",ROW()-6)</f>
        <v>1454</v>
      </c>
      <c r="B1460" s="80" t="s">
        <v>110</v>
      </c>
      <c r="C1460" s="81" t="s">
        <v>926</v>
      </c>
      <c r="D1460" s="81" t="n">
        <v>12</v>
      </c>
      <c r="E1460" s="81" t="s">
        <v>1743</v>
      </c>
      <c r="F1460" s="82" t="str">
        <f aca="false">IF(E1460="","",IF(LEFT(E1460,2)="DJ","DJ","JN"))</f>
        <v>JN</v>
      </c>
      <c r="G1460" s="81"/>
      <c r="H1460" s="81"/>
      <c r="I1460" s="81"/>
      <c r="J1460" s="81"/>
      <c r="K1460" s="81"/>
      <c r="L1460" s="81" t="s">
        <v>1671</v>
      </c>
      <c r="M1460" s="81"/>
      <c r="N1460" s="81"/>
      <c r="O1460" s="81"/>
      <c r="P1460" s="81"/>
      <c r="Q1460" s="81"/>
      <c r="R1460" s="81"/>
      <c r="S1460" s="81"/>
      <c r="T1460" s="81"/>
      <c r="U1460" s="83"/>
      <c r="V1460" s="83"/>
      <c r="W1460" s="81"/>
      <c r="X1460" s="81"/>
      <c r="Y1460" s="83"/>
      <c r="Z1460" s="81"/>
      <c r="AA1460" s="81"/>
      <c r="AB1460" s="81"/>
      <c r="AC1460" s="81"/>
      <c r="AD1460" s="81"/>
      <c r="AE1460" s="83"/>
      <c r="AF1460" s="81"/>
      <c r="AG1460" s="81"/>
      <c r="AH1460" s="81"/>
      <c r="AI1460" s="81"/>
      <c r="AJ1460" s="83"/>
      <c r="AK1460" s="81"/>
      <c r="AL1460" s="81"/>
      <c r="AM1460" s="83"/>
      <c r="AN1460" s="80"/>
      <c r="AO1460" s="82" t="n">
        <f aca="false">IF(E1460="","",(AA1460&lt;&gt;"")+(AG1460&lt;&gt;"")+(AL1460&lt;&gt;""))</f>
        <v>0</v>
      </c>
      <c r="AP1460" s="82" t="str">
        <f aca="false">IF(AL1460&lt;&gt;"",AL1460,IF(AG1460&lt;&gt;"",AG1460,IF(AA1460&lt;&gt;"",AA1460,"")))</f>
        <v/>
      </c>
      <c r="AQ1460" s="84" t="str">
        <f aca="false">IF(E1460="","",IF(U1460="","À SOUDER",IF(X1460="","VT EN ATTENTE",IF(X1460="R","VT REJETÉ – À REPRENDRE",IF(AP1460="","À RADIOGRAPHIER",IF(AP1460="A","ACCEPTÉ",IF(AP1460="NX","NX – RT À REFAIRE",IF(IF(AO1460=1,AD1460,IF(AO1460=2,AI1460,""))="A","RÉPARÉ – À RADIOGRAPHIER",IF(IF(AO1460=1,AD1460,IF(AO1460=2,AI1460,""))="R","VT REJETÉ – À REPRENDRE",IF(OR(AP1460="CO",AP1460="NT"),"COUPE – À RESOUDER","À RÉPARER"))))))))))</f>
        <v>À SOUDER</v>
      </c>
      <c r="AR1460" s="82" t="str">
        <f aca="false">IF(AND(ISNUMBER(U1460),OR(AQ1460="À RADIOGRAPHIER",AQ1460="RÉPARÉ – À RADIOGRAPHIER",AQ1460="NX – RT À REFAIRE",AQ1460="À RÉPARER",AQ1460="COUPE – À RESOUDER",AQ1460="VT REJETÉ – À REPRENDRE")),MAX(0,'PROGRAMME RT'!$C$4-U1460),"")</f>
        <v/>
      </c>
      <c r="AS1460" s="82" t="n">
        <f aca="false">IF(AND(OR(AQ1460="À RADIOGRAPHIER",AQ1460="RÉPARÉ – À RADIOGRAPHIER",AQ1460="NX – RT À REFAIRE"),OR('PROGRAMME RT'!$D$5="TOUTES",B1460='PROGRAMME RT'!$D$5)),1,0)</f>
        <v>0</v>
      </c>
      <c r="AT1460" s="82" t="str">
        <f aca="false">IF(AS1460=1,SUM(AS$7:AS1460),"")</f>
        <v/>
      </c>
      <c r="AU1460" s="82" t="n">
        <f aca="false">IF(AND(OR(AA1460="R",AA1460="NX",AA1460="NT",AA1460="CO"),OR('JOINTS DE RÉPARATION'!$D$5="TOUTES",B1460='JOINTS DE RÉPARATION'!$D$5),OR('JOINTS DE RÉPARATION'!$L$4="TOUS",AQ1460&lt;&gt;"ACCEPTÉ")),1,0)</f>
        <v>0</v>
      </c>
      <c r="AV1460" s="82" t="str">
        <f aca="false">IF(AU1460=1,SUM(AU$7:AU1460),"")</f>
        <v/>
      </c>
      <c r="AW1460" s="82" t="str">
        <f aca="false">IF(E1460="","",B1460&amp;"|"&amp;E1460)</f>
        <v>MFD-ISW → MFD-CPF|JN°1220</v>
      </c>
    </row>
    <row r="1461" customFormat="false" ht="74.6" hidden="false" customHeight="false" outlineLevel="0" collapsed="false">
      <c r="A1461" s="79" t="n">
        <f aca="false">IF(E1461="","",ROW()-6)</f>
        <v>1455</v>
      </c>
      <c r="B1461" s="80" t="s">
        <v>110</v>
      </c>
      <c r="C1461" s="81" t="s">
        <v>926</v>
      </c>
      <c r="D1461" s="81" t="n">
        <v>12</v>
      </c>
      <c r="E1461" s="81" t="s">
        <v>1744</v>
      </c>
      <c r="F1461" s="82" t="str">
        <f aca="false">IF(E1461="","",IF(LEFT(E1461,2)="DJ","DJ","JN"))</f>
        <v>JN</v>
      </c>
      <c r="G1461" s="81"/>
      <c r="H1461" s="81"/>
      <c r="I1461" s="81"/>
      <c r="J1461" s="81"/>
      <c r="K1461" s="81"/>
      <c r="L1461" s="81" t="s">
        <v>1671</v>
      </c>
      <c r="M1461" s="81"/>
      <c r="N1461" s="81"/>
      <c r="O1461" s="81"/>
      <c r="P1461" s="81"/>
      <c r="Q1461" s="81"/>
      <c r="R1461" s="81"/>
      <c r="S1461" s="81"/>
      <c r="T1461" s="81"/>
      <c r="U1461" s="83"/>
      <c r="V1461" s="83"/>
      <c r="W1461" s="81"/>
      <c r="X1461" s="81"/>
      <c r="Y1461" s="83"/>
      <c r="Z1461" s="81"/>
      <c r="AA1461" s="81"/>
      <c r="AB1461" s="81"/>
      <c r="AC1461" s="81"/>
      <c r="AD1461" s="81"/>
      <c r="AE1461" s="83"/>
      <c r="AF1461" s="81"/>
      <c r="AG1461" s="81"/>
      <c r="AH1461" s="81"/>
      <c r="AI1461" s="81"/>
      <c r="AJ1461" s="83"/>
      <c r="AK1461" s="81"/>
      <c r="AL1461" s="81"/>
      <c r="AM1461" s="83"/>
      <c r="AN1461" s="80"/>
      <c r="AO1461" s="82" t="n">
        <f aca="false">IF(E1461="","",(AA1461&lt;&gt;"")+(AG1461&lt;&gt;"")+(AL1461&lt;&gt;""))</f>
        <v>0</v>
      </c>
      <c r="AP1461" s="82" t="str">
        <f aca="false">IF(AL1461&lt;&gt;"",AL1461,IF(AG1461&lt;&gt;"",AG1461,IF(AA1461&lt;&gt;"",AA1461,"")))</f>
        <v/>
      </c>
      <c r="AQ1461" s="84" t="str">
        <f aca="false">IF(E1461="","",IF(U1461="","À SOUDER",IF(X1461="","VT EN ATTENTE",IF(X1461="R","VT REJETÉ – À REPRENDRE",IF(AP1461="","À RADIOGRAPHIER",IF(AP1461="A","ACCEPTÉ",IF(AP1461="NX","NX – RT À REFAIRE",IF(IF(AO1461=1,AD1461,IF(AO1461=2,AI1461,""))="A","RÉPARÉ – À RADIOGRAPHIER",IF(IF(AO1461=1,AD1461,IF(AO1461=2,AI1461,""))="R","VT REJETÉ – À REPRENDRE",IF(OR(AP1461="CO",AP1461="NT"),"COUPE – À RESOUDER","À RÉPARER"))))))))))</f>
        <v>À SOUDER</v>
      </c>
      <c r="AR1461" s="82" t="str">
        <f aca="false">IF(AND(ISNUMBER(U1461),OR(AQ1461="À RADIOGRAPHIER",AQ1461="RÉPARÉ – À RADIOGRAPHIER",AQ1461="NX – RT À REFAIRE",AQ1461="À RÉPARER",AQ1461="COUPE – À RESOUDER",AQ1461="VT REJETÉ – À REPRENDRE")),MAX(0,'PROGRAMME RT'!$C$4-U1461),"")</f>
        <v/>
      </c>
      <c r="AS1461" s="82" t="n">
        <f aca="false">IF(AND(OR(AQ1461="À RADIOGRAPHIER",AQ1461="RÉPARÉ – À RADIOGRAPHIER",AQ1461="NX – RT À REFAIRE"),OR('PROGRAMME RT'!$D$5="TOUTES",B1461='PROGRAMME RT'!$D$5)),1,0)</f>
        <v>0</v>
      </c>
      <c r="AT1461" s="82" t="str">
        <f aca="false">IF(AS1461=1,SUM(AS$7:AS1461),"")</f>
        <v/>
      </c>
      <c r="AU1461" s="82" t="n">
        <f aca="false">IF(AND(OR(AA1461="R",AA1461="NX",AA1461="NT",AA1461="CO"),OR('JOINTS DE RÉPARATION'!$D$5="TOUTES",B1461='JOINTS DE RÉPARATION'!$D$5),OR('JOINTS DE RÉPARATION'!$L$4="TOUS",AQ1461&lt;&gt;"ACCEPTÉ")),1,0)</f>
        <v>0</v>
      </c>
      <c r="AV1461" s="82" t="str">
        <f aca="false">IF(AU1461=1,SUM(AU$7:AU1461),"")</f>
        <v/>
      </c>
      <c r="AW1461" s="82" t="str">
        <f aca="false">IF(E1461="","",B1461&amp;"|"&amp;E1461)</f>
        <v>MFD-ISW → MFD-CPF|JN°1221</v>
      </c>
    </row>
    <row r="1462" customFormat="false" ht="74.6" hidden="false" customHeight="false" outlineLevel="0" collapsed="false">
      <c r="A1462" s="79" t="n">
        <f aca="false">IF(E1462="","",ROW()-6)</f>
        <v>1456</v>
      </c>
      <c r="B1462" s="80" t="s">
        <v>110</v>
      </c>
      <c r="C1462" s="81" t="s">
        <v>926</v>
      </c>
      <c r="D1462" s="81" t="n">
        <v>12</v>
      </c>
      <c r="E1462" s="81" t="s">
        <v>1745</v>
      </c>
      <c r="F1462" s="82" t="str">
        <f aca="false">IF(E1462="","",IF(LEFT(E1462,2)="DJ","DJ","JN"))</f>
        <v>JN</v>
      </c>
      <c r="G1462" s="81"/>
      <c r="H1462" s="81"/>
      <c r="I1462" s="81"/>
      <c r="J1462" s="81"/>
      <c r="K1462" s="81"/>
      <c r="L1462" s="81" t="s">
        <v>1671</v>
      </c>
      <c r="M1462" s="81"/>
      <c r="N1462" s="81"/>
      <c r="O1462" s="81"/>
      <c r="P1462" s="81"/>
      <c r="Q1462" s="81"/>
      <c r="R1462" s="81"/>
      <c r="S1462" s="81"/>
      <c r="T1462" s="81"/>
      <c r="U1462" s="83"/>
      <c r="V1462" s="83"/>
      <c r="W1462" s="81"/>
      <c r="X1462" s="81"/>
      <c r="Y1462" s="83"/>
      <c r="Z1462" s="81"/>
      <c r="AA1462" s="81"/>
      <c r="AB1462" s="81"/>
      <c r="AC1462" s="81"/>
      <c r="AD1462" s="81"/>
      <c r="AE1462" s="83"/>
      <c r="AF1462" s="81"/>
      <c r="AG1462" s="81"/>
      <c r="AH1462" s="81"/>
      <c r="AI1462" s="81"/>
      <c r="AJ1462" s="83"/>
      <c r="AK1462" s="81"/>
      <c r="AL1462" s="81"/>
      <c r="AM1462" s="83"/>
      <c r="AN1462" s="80"/>
      <c r="AO1462" s="82" t="n">
        <f aca="false">IF(E1462="","",(AA1462&lt;&gt;"")+(AG1462&lt;&gt;"")+(AL1462&lt;&gt;""))</f>
        <v>0</v>
      </c>
      <c r="AP1462" s="82" t="str">
        <f aca="false">IF(AL1462&lt;&gt;"",AL1462,IF(AG1462&lt;&gt;"",AG1462,IF(AA1462&lt;&gt;"",AA1462,"")))</f>
        <v/>
      </c>
      <c r="AQ1462" s="84" t="str">
        <f aca="false">IF(E1462="","",IF(U1462="","À SOUDER",IF(X1462="","VT EN ATTENTE",IF(X1462="R","VT REJETÉ – À REPRENDRE",IF(AP1462="","À RADIOGRAPHIER",IF(AP1462="A","ACCEPTÉ",IF(AP1462="NX","NX – RT À REFAIRE",IF(IF(AO1462=1,AD1462,IF(AO1462=2,AI1462,""))="A","RÉPARÉ – À RADIOGRAPHIER",IF(IF(AO1462=1,AD1462,IF(AO1462=2,AI1462,""))="R","VT REJETÉ – À REPRENDRE",IF(OR(AP1462="CO",AP1462="NT"),"COUPE – À RESOUDER","À RÉPARER"))))))))))</f>
        <v>À SOUDER</v>
      </c>
      <c r="AR1462" s="82" t="str">
        <f aca="false">IF(AND(ISNUMBER(U1462),OR(AQ1462="À RADIOGRAPHIER",AQ1462="RÉPARÉ – À RADIOGRAPHIER",AQ1462="NX – RT À REFAIRE",AQ1462="À RÉPARER",AQ1462="COUPE – À RESOUDER",AQ1462="VT REJETÉ – À REPRENDRE")),MAX(0,'PROGRAMME RT'!$C$4-U1462),"")</f>
        <v/>
      </c>
      <c r="AS1462" s="82" t="n">
        <f aca="false">IF(AND(OR(AQ1462="À RADIOGRAPHIER",AQ1462="RÉPARÉ – À RADIOGRAPHIER",AQ1462="NX – RT À REFAIRE"),OR('PROGRAMME RT'!$D$5="TOUTES",B1462='PROGRAMME RT'!$D$5)),1,0)</f>
        <v>0</v>
      </c>
      <c r="AT1462" s="82" t="str">
        <f aca="false">IF(AS1462=1,SUM(AS$7:AS1462),"")</f>
        <v/>
      </c>
      <c r="AU1462" s="82" t="n">
        <f aca="false">IF(AND(OR(AA1462="R",AA1462="NX",AA1462="NT",AA1462="CO"),OR('JOINTS DE RÉPARATION'!$D$5="TOUTES",B1462='JOINTS DE RÉPARATION'!$D$5),OR('JOINTS DE RÉPARATION'!$L$4="TOUS",AQ1462&lt;&gt;"ACCEPTÉ")),1,0)</f>
        <v>0</v>
      </c>
      <c r="AV1462" s="82" t="str">
        <f aca="false">IF(AU1462=1,SUM(AU$7:AU1462),"")</f>
        <v/>
      </c>
      <c r="AW1462" s="82" t="str">
        <f aca="false">IF(E1462="","",B1462&amp;"|"&amp;E1462)</f>
        <v>MFD-ISW → MFD-CPF|JN°1222</v>
      </c>
    </row>
    <row r="1463" customFormat="false" ht="74.6" hidden="false" customHeight="false" outlineLevel="0" collapsed="false">
      <c r="A1463" s="79" t="n">
        <f aca="false">IF(E1463="","",ROW()-6)</f>
        <v>1457</v>
      </c>
      <c r="B1463" s="80" t="s">
        <v>110</v>
      </c>
      <c r="C1463" s="81" t="s">
        <v>926</v>
      </c>
      <c r="D1463" s="81" t="n">
        <v>12</v>
      </c>
      <c r="E1463" s="81" t="s">
        <v>1746</v>
      </c>
      <c r="F1463" s="82" t="str">
        <f aca="false">IF(E1463="","",IF(LEFT(E1463,2)="DJ","DJ","JN"))</f>
        <v>JN</v>
      </c>
      <c r="G1463" s="81"/>
      <c r="H1463" s="81"/>
      <c r="I1463" s="81"/>
      <c r="J1463" s="81"/>
      <c r="K1463" s="81"/>
      <c r="L1463" s="81" t="s">
        <v>1671</v>
      </c>
      <c r="M1463" s="81"/>
      <c r="N1463" s="81"/>
      <c r="O1463" s="81"/>
      <c r="P1463" s="81"/>
      <c r="Q1463" s="81"/>
      <c r="R1463" s="81"/>
      <c r="S1463" s="81"/>
      <c r="T1463" s="81"/>
      <c r="U1463" s="83"/>
      <c r="V1463" s="83"/>
      <c r="W1463" s="81"/>
      <c r="X1463" s="81"/>
      <c r="Y1463" s="83"/>
      <c r="Z1463" s="81"/>
      <c r="AA1463" s="81"/>
      <c r="AB1463" s="81"/>
      <c r="AC1463" s="81"/>
      <c r="AD1463" s="81"/>
      <c r="AE1463" s="83"/>
      <c r="AF1463" s="81"/>
      <c r="AG1463" s="81"/>
      <c r="AH1463" s="81"/>
      <c r="AI1463" s="81"/>
      <c r="AJ1463" s="83"/>
      <c r="AK1463" s="81"/>
      <c r="AL1463" s="81"/>
      <c r="AM1463" s="83"/>
      <c r="AN1463" s="80"/>
      <c r="AO1463" s="82" t="n">
        <f aca="false">IF(E1463="","",(AA1463&lt;&gt;"")+(AG1463&lt;&gt;"")+(AL1463&lt;&gt;""))</f>
        <v>0</v>
      </c>
      <c r="AP1463" s="82" t="str">
        <f aca="false">IF(AL1463&lt;&gt;"",AL1463,IF(AG1463&lt;&gt;"",AG1463,IF(AA1463&lt;&gt;"",AA1463,"")))</f>
        <v/>
      </c>
      <c r="AQ1463" s="84" t="str">
        <f aca="false">IF(E1463="","",IF(U1463="","À SOUDER",IF(X1463="","VT EN ATTENTE",IF(X1463="R","VT REJETÉ – À REPRENDRE",IF(AP1463="","À RADIOGRAPHIER",IF(AP1463="A","ACCEPTÉ",IF(AP1463="NX","NX – RT À REFAIRE",IF(IF(AO1463=1,AD1463,IF(AO1463=2,AI1463,""))="A","RÉPARÉ – À RADIOGRAPHIER",IF(IF(AO1463=1,AD1463,IF(AO1463=2,AI1463,""))="R","VT REJETÉ – À REPRENDRE",IF(OR(AP1463="CO",AP1463="NT"),"COUPE – À RESOUDER","À RÉPARER"))))))))))</f>
        <v>À SOUDER</v>
      </c>
      <c r="AR1463" s="82" t="str">
        <f aca="false">IF(AND(ISNUMBER(U1463),OR(AQ1463="À RADIOGRAPHIER",AQ1463="RÉPARÉ – À RADIOGRAPHIER",AQ1463="NX – RT À REFAIRE",AQ1463="À RÉPARER",AQ1463="COUPE – À RESOUDER",AQ1463="VT REJETÉ – À REPRENDRE")),MAX(0,'PROGRAMME RT'!$C$4-U1463),"")</f>
        <v/>
      </c>
      <c r="AS1463" s="82" t="n">
        <f aca="false">IF(AND(OR(AQ1463="À RADIOGRAPHIER",AQ1463="RÉPARÉ – À RADIOGRAPHIER",AQ1463="NX – RT À REFAIRE"),OR('PROGRAMME RT'!$D$5="TOUTES",B1463='PROGRAMME RT'!$D$5)),1,0)</f>
        <v>0</v>
      </c>
      <c r="AT1463" s="82" t="str">
        <f aca="false">IF(AS1463=1,SUM(AS$7:AS1463),"")</f>
        <v/>
      </c>
      <c r="AU1463" s="82" t="n">
        <f aca="false">IF(AND(OR(AA1463="R",AA1463="NX",AA1463="NT",AA1463="CO"),OR('JOINTS DE RÉPARATION'!$D$5="TOUTES",B1463='JOINTS DE RÉPARATION'!$D$5),OR('JOINTS DE RÉPARATION'!$L$4="TOUS",AQ1463&lt;&gt;"ACCEPTÉ")),1,0)</f>
        <v>0</v>
      </c>
      <c r="AV1463" s="82" t="str">
        <f aca="false">IF(AU1463=1,SUM(AU$7:AU1463),"")</f>
        <v/>
      </c>
      <c r="AW1463" s="82" t="str">
        <f aca="false">IF(E1463="","",B1463&amp;"|"&amp;E1463)</f>
        <v>MFD-ISW → MFD-CPF|JN°1223</v>
      </c>
    </row>
    <row r="1464" customFormat="false" ht="74.6" hidden="false" customHeight="false" outlineLevel="0" collapsed="false">
      <c r="A1464" s="79" t="n">
        <f aca="false">IF(E1464="","",ROW()-6)</f>
        <v>1458</v>
      </c>
      <c r="B1464" s="80" t="s">
        <v>110</v>
      </c>
      <c r="C1464" s="81" t="s">
        <v>926</v>
      </c>
      <c r="D1464" s="81" t="n">
        <v>12</v>
      </c>
      <c r="E1464" s="81" t="s">
        <v>1747</v>
      </c>
      <c r="F1464" s="82" t="str">
        <f aca="false">IF(E1464="","",IF(LEFT(E1464,2)="DJ","DJ","JN"))</f>
        <v>JN</v>
      </c>
      <c r="G1464" s="81"/>
      <c r="H1464" s="81"/>
      <c r="I1464" s="81"/>
      <c r="J1464" s="81"/>
      <c r="K1464" s="81"/>
      <c r="L1464" s="81" t="s">
        <v>1671</v>
      </c>
      <c r="M1464" s="81"/>
      <c r="N1464" s="81"/>
      <c r="O1464" s="81" t="n">
        <v>2089700</v>
      </c>
      <c r="P1464" s="81" t="n">
        <v>15421109</v>
      </c>
      <c r="Q1464" s="81" t="n">
        <v>11.94</v>
      </c>
      <c r="R1464" s="81"/>
      <c r="S1464" s="81"/>
      <c r="T1464" s="81"/>
      <c r="U1464" s="83"/>
      <c r="V1464" s="83"/>
      <c r="W1464" s="81"/>
      <c r="X1464" s="81"/>
      <c r="Y1464" s="83"/>
      <c r="Z1464" s="81"/>
      <c r="AA1464" s="81"/>
      <c r="AB1464" s="81"/>
      <c r="AC1464" s="81"/>
      <c r="AD1464" s="81"/>
      <c r="AE1464" s="83"/>
      <c r="AF1464" s="81"/>
      <c r="AG1464" s="81"/>
      <c r="AH1464" s="81"/>
      <c r="AI1464" s="81"/>
      <c r="AJ1464" s="83"/>
      <c r="AK1464" s="81"/>
      <c r="AL1464" s="81"/>
      <c r="AM1464" s="83"/>
      <c r="AN1464" s="80"/>
      <c r="AO1464" s="82" t="n">
        <f aca="false">IF(E1464="","",(AA1464&lt;&gt;"")+(AG1464&lt;&gt;"")+(AL1464&lt;&gt;""))</f>
        <v>0</v>
      </c>
      <c r="AP1464" s="82" t="str">
        <f aca="false">IF(AL1464&lt;&gt;"",AL1464,IF(AG1464&lt;&gt;"",AG1464,IF(AA1464&lt;&gt;"",AA1464,"")))</f>
        <v/>
      </c>
      <c r="AQ1464" s="84" t="str">
        <f aca="false">IF(E1464="","",IF(U1464="","À SOUDER",IF(X1464="","VT EN ATTENTE",IF(X1464="R","VT REJETÉ – À REPRENDRE",IF(AP1464="","À RADIOGRAPHIER",IF(AP1464="A","ACCEPTÉ",IF(AP1464="NX","NX – RT À REFAIRE",IF(IF(AO1464=1,AD1464,IF(AO1464=2,AI1464,""))="A","RÉPARÉ – À RADIOGRAPHIER",IF(IF(AO1464=1,AD1464,IF(AO1464=2,AI1464,""))="R","VT REJETÉ – À REPRENDRE",IF(OR(AP1464="CO",AP1464="NT"),"COUPE – À RESOUDER","À RÉPARER"))))))))))</f>
        <v>À SOUDER</v>
      </c>
      <c r="AR1464" s="82" t="str">
        <f aca="false">IF(AND(ISNUMBER(U1464),OR(AQ1464="À RADIOGRAPHIER",AQ1464="RÉPARÉ – À RADIOGRAPHIER",AQ1464="NX – RT À REFAIRE",AQ1464="À RÉPARER",AQ1464="COUPE – À RESOUDER",AQ1464="VT REJETÉ – À REPRENDRE")),MAX(0,'PROGRAMME RT'!$C$4-U1464),"")</f>
        <v/>
      </c>
      <c r="AS1464" s="82" t="n">
        <f aca="false">IF(AND(OR(AQ1464="À RADIOGRAPHIER",AQ1464="RÉPARÉ – À RADIOGRAPHIER",AQ1464="NX – RT À REFAIRE"),OR('PROGRAMME RT'!$D$5="TOUTES",B1464='PROGRAMME RT'!$D$5)),1,0)</f>
        <v>0</v>
      </c>
      <c r="AT1464" s="82" t="str">
        <f aca="false">IF(AS1464=1,SUM(AS$7:AS1464),"")</f>
        <v/>
      </c>
      <c r="AU1464" s="82" t="n">
        <f aca="false">IF(AND(OR(AA1464="R",AA1464="NX",AA1464="NT",AA1464="CO"),OR('JOINTS DE RÉPARATION'!$D$5="TOUTES",B1464='JOINTS DE RÉPARATION'!$D$5),OR('JOINTS DE RÉPARATION'!$L$4="TOUS",AQ1464&lt;&gt;"ACCEPTÉ")),1,0)</f>
        <v>0</v>
      </c>
      <c r="AV1464" s="82" t="str">
        <f aca="false">IF(AU1464=1,SUM(AU$7:AU1464),"")</f>
        <v/>
      </c>
      <c r="AW1464" s="82" t="str">
        <f aca="false">IF(E1464="","",B1464&amp;"|"&amp;E1464)</f>
        <v>MFD-ISW → MFD-CPF|JN°1224</v>
      </c>
    </row>
    <row r="1465" customFormat="false" ht="74.6" hidden="false" customHeight="false" outlineLevel="0" collapsed="false">
      <c r="A1465" s="79" t="n">
        <f aca="false">IF(E1465="","",ROW()-6)</f>
        <v>1459</v>
      </c>
      <c r="B1465" s="80" t="s">
        <v>110</v>
      </c>
      <c r="C1465" s="81" t="s">
        <v>1748</v>
      </c>
      <c r="D1465" s="81" t="n">
        <v>13</v>
      </c>
      <c r="E1465" s="81" t="s">
        <v>1749</v>
      </c>
      <c r="F1465" s="82" t="str">
        <f aca="false">IF(E1465="","",IF(LEFT(E1465,2)="DJ","DJ","JN"))</f>
        <v>DJ</v>
      </c>
      <c r="G1465" s="81"/>
      <c r="H1465" s="81" t="s">
        <v>871</v>
      </c>
      <c r="I1465" s="81" t="n">
        <v>9.53</v>
      </c>
      <c r="J1465" s="81" t="s">
        <v>872</v>
      </c>
      <c r="K1465" s="81" t="s">
        <v>873</v>
      </c>
      <c r="L1465" s="81" t="n">
        <v>2089700</v>
      </c>
      <c r="M1465" s="81" t="n">
        <v>15421109</v>
      </c>
      <c r="N1465" s="81" t="n">
        <v>11.94</v>
      </c>
      <c r="O1465" s="81" t="n">
        <v>2085980</v>
      </c>
      <c r="P1465" s="81" t="n">
        <v>15421107</v>
      </c>
      <c r="Q1465" s="81" t="n">
        <v>11.94</v>
      </c>
      <c r="R1465" s="81" t="s">
        <v>1147</v>
      </c>
      <c r="S1465" s="81"/>
      <c r="T1465" s="81"/>
      <c r="U1465" s="83" t="n">
        <v>46270</v>
      </c>
      <c r="V1465" s="83" t="n">
        <v>46270</v>
      </c>
      <c r="W1465" s="81" t="s">
        <v>1444</v>
      </c>
      <c r="X1465" s="81" t="s">
        <v>876</v>
      </c>
      <c r="Y1465" s="83" t="n">
        <v>46271</v>
      </c>
      <c r="Z1465" s="81" t="s">
        <v>1445</v>
      </c>
      <c r="AA1465" s="81" t="s">
        <v>876</v>
      </c>
      <c r="AB1465" s="81"/>
      <c r="AC1465" s="81"/>
      <c r="AD1465" s="81"/>
      <c r="AE1465" s="83"/>
      <c r="AF1465" s="81"/>
      <c r="AG1465" s="81"/>
      <c r="AH1465" s="81"/>
      <c r="AI1465" s="81"/>
      <c r="AJ1465" s="83"/>
      <c r="AK1465" s="81"/>
      <c r="AL1465" s="81"/>
      <c r="AM1465" s="83"/>
      <c r="AN1465" s="80"/>
      <c r="AO1465" s="82" t="n">
        <f aca="false">IF(E1465="","",(AA1465&lt;&gt;"")+(AG1465&lt;&gt;"")+(AL1465&lt;&gt;""))</f>
        <v>1</v>
      </c>
      <c r="AP1465" s="82" t="str">
        <f aca="false">IF(AL1465&lt;&gt;"",AL1465,IF(AG1465&lt;&gt;"",AG1465,IF(AA1465&lt;&gt;"",AA1465,"")))</f>
        <v>A</v>
      </c>
      <c r="AQ1465" s="84" t="str">
        <f aca="false">IF(E1465="","",IF(U1465="","À SOUDER",IF(X1465="","VT EN ATTENTE",IF(X1465="R","VT REJETÉ – À REPRENDRE",IF(AP1465="","À RADIOGRAPHIER",IF(AP1465="A","ACCEPTÉ",IF(AP1465="NX","NX – RT À REFAIRE",IF(IF(AO1465=1,AD1465,IF(AO1465=2,AI1465,""))="A","RÉPARÉ – À RADIOGRAPHIER",IF(IF(AO1465=1,AD1465,IF(AO1465=2,AI1465,""))="R","VT REJETÉ – À REPRENDRE",IF(OR(AP1465="CO",AP1465="NT"),"COUPE – À RESOUDER","À RÉPARER"))))))))))</f>
        <v>ACCEPTÉ</v>
      </c>
      <c r="AR1465" s="82" t="str">
        <f aca="false">IF(AND(ISNUMBER(U1465),OR(AQ1465="À RADIOGRAPHIER",AQ1465="RÉPARÉ – À RADIOGRAPHIER",AQ1465="NX – RT À REFAIRE",AQ1465="À RÉPARER",AQ1465="COUPE – À RESOUDER",AQ1465="VT REJETÉ – À REPRENDRE")),MAX(0,'PROGRAMME RT'!$C$4-U1465),"")</f>
        <v/>
      </c>
      <c r="AS1465" s="82" t="n">
        <f aca="false">IF(AND(OR(AQ1465="À RADIOGRAPHIER",AQ1465="RÉPARÉ – À RADIOGRAPHIER",AQ1465="NX – RT À REFAIRE"),OR('PROGRAMME RT'!$D$5="TOUTES",B1465='PROGRAMME RT'!$D$5)),1,0)</f>
        <v>0</v>
      </c>
      <c r="AT1465" s="82" t="str">
        <f aca="false">IF(AS1465=1,SUM(AS$7:AS1465),"")</f>
        <v/>
      </c>
      <c r="AU1465" s="82" t="n">
        <f aca="false">IF(AND(OR(AA1465="R",AA1465="NX",AA1465="NT",AA1465="CO"),OR('JOINTS DE RÉPARATION'!$D$5="TOUTES",B1465='JOINTS DE RÉPARATION'!$D$5),OR('JOINTS DE RÉPARATION'!$L$4="TOUS",AQ1465&lt;&gt;"ACCEPTÉ")),1,0)</f>
        <v>0</v>
      </c>
      <c r="AV1465" s="82" t="str">
        <f aca="false">IF(AU1465=1,SUM(AU$7:AU1465),"")</f>
        <v/>
      </c>
      <c r="AW1465" s="82" t="str">
        <f aca="false">IF(E1465="","",B1465&amp;"|"&amp;E1465)</f>
        <v>MFD-ISW → MFD-CPF|DJ°276</v>
      </c>
    </row>
    <row r="1466" customFormat="false" ht="74.6" hidden="false" customHeight="false" outlineLevel="0" collapsed="false">
      <c r="A1466" s="79" t="n">
        <f aca="false">IF(E1466="","",ROW()-6)</f>
        <v>1460</v>
      </c>
      <c r="B1466" s="80" t="s">
        <v>110</v>
      </c>
      <c r="C1466" s="81" t="s">
        <v>1748</v>
      </c>
      <c r="D1466" s="81" t="n">
        <v>13</v>
      </c>
      <c r="E1466" s="81" t="s">
        <v>1750</v>
      </c>
      <c r="F1466" s="82" t="str">
        <f aca="false">IF(E1466="","",IF(LEFT(E1466,2)="DJ","DJ","JN"))</f>
        <v>JN</v>
      </c>
      <c r="G1466" s="81" t="s">
        <v>1504</v>
      </c>
      <c r="H1466" s="81" t="s">
        <v>871</v>
      </c>
      <c r="I1466" s="81" t="n">
        <v>9.53</v>
      </c>
      <c r="J1466" s="81" t="s">
        <v>872</v>
      </c>
      <c r="K1466" s="81" t="s">
        <v>879</v>
      </c>
      <c r="L1466" s="81" t="n">
        <v>2085980</v>
      </c>
      <c r="M1466" s="81" t="n">
        <v>15421107</v>
      </c>
      <c r="N1466" s="81" t="n">
        <v>11.94</v>
      </c>
      <c r="O1466" s="81" t="n">
        <v>2090900</v>
      </c>
      <c r="P1466" s="81" t="n">
        <v>15421109</v>
      </c>
      <c r="Q1466" s="81" t="n">
        <v>11.94</v>
      </c>
      <c r="R1466" s="81" t="s">
        <v>1367</v>
      </c>
      <c r="S1466" s="81"/>
      <c r="T1466" s="81"/>
      <c r="U1466" s="83" t="n">
        <v>46276</v>
      </c>
      <c r="V1466" s="83" t="n">
        <v>46276</v>
      </c>
      <c r="W1466" s="81" t="s">
        <v>1751</v>
      </c>
      <c r="X1466" s="81" t="s">
        <v>876</v>
      </c>
      <c r="Y1466" s="83" t="n">
        <v>46281</v>
      </c>
      <c r="Z1466" s="81" t="s">
        <v>1650</v>
      </c>
      <c r="AA1466" s="81" t="s">
        <v>876</v>
      </c>
      <c r="AB1466" s="81"/>
      <c r="AC1466" s="81"/>
      <c r="AD1466" s="81"/>
      <c r="AE1466" s="83"/>
      <c r="AF1466" s="81"/>
      <c r="AG1466" s="81"/>
      <c r="AH1466" s="81"/>
      <c r="AI1466" s="81"/>
      <c r="AJ1466" s="83"/>
      <c r="AK1466" s="81"/>
      <c r="AL1466" s="81"/>
      <c r="AM1466" s="83"/>
      <c r="AN1466" s="80"/>
      <c r="AO1466" s="82" t="n">
        <f aca="false">IF(E1466="","",(AA1466&lt;&gt;"")+(AG1466&lt;&gt;"")+(AL1466&lt;&gt;""))</f>
        <v>1</v>
      </c>
      <c r="AP1466" s="82" t="str">
        <f aca="false">IF(AL1466&lt;&gt;"",AL1466,IF(AG1466&lt;&gt;"",AG1466,IF(AA1466&lt;&gt;"",AA1466,"")))</f>
        <v>A</v>
      </c>
      <c r="AQ1466" s="84" t="str">
        <f aca="false">IF(E1466="","",IF(U1466="","À SOUDER",IF(X1466="","VT EN ATTENTE",IF(X1466="R","VT REJETÉ – À REPRENDRE",IF(AP1466="","À RADIOGRAPHIER",IF(AP1466="A","ACCEPTÉ",IF(AP1466="NX","NX – RT À REFAIRE",IF(IF(AO1466=1,AD1466,IF(AO1466=2,AI1466,""))="A","RÉPARÉ – À RADIOGRAPHIER",IF(IF(AO1466=1,AD1466,IF(AO1466=2,AI1466,""))="R","VT REJETÉ – À REPRENDRE",IF(OR(AP1466="CO",AP1466="NT"),"COUPE – À RESOUDER","À RÉPARER"))))))))))</f>
        <v>ACCEPTÉ</v>
      </c>
      <c r="AR1466" s="82" t="str">
        <f aca="false">IF(AND(ISNUMBER(U1466),OR(AQ1466="À RADIOGRAPHIER",AQ1466="RÉPARÉ – À RADIOGRAPHIER",AQ1466="NX – RT À REFAIRE",AQ1466="À RÉPARER",AQ1466="COUPE – À RESOUDER",AQ1466="VT REJETÉ – À REPRENDRE")),MAX(0,'PROGRAMME RT'!$C$4-U1466),"")</f>
        <v/>
      </c>
      <c r="AS1466" s="82" t="n">
        <f aca="false">IF(AND(OR(AQ1466="À RADIOGRAPHIER",AQ1466="RÉPARÉ – À RADIOGRAPHIER",AQ1466="NX – RT À REFAIRE"),OR('PROGRAMME RT'!$D$5="TOUTES",B1466='PROGRAMME RT'!$D$5)),1,0)</f>
        <v>0</v>
      </c>
      <c r="AT1466" s="82" t="str">
        <f aca="false">IF(AS1466=1,SUM(AS$7:AS1466),"")</f>
        <v/>
      </c>
      <c r="AU1466" s="82" t="n">
        <f aca="false">IF(AND(OR(AA1466="R",AA1466="NX",AA1466="NT",AA1466="CO"),OR('JOINTS DE RÉPARATION'!$D$5="TOUTES",B1466='JOINTS DE RÉPARATION'!$D$5),OR('JOINTS DE RÉPARATION'!$L$4="TOUS",AQ1466&lt;&gt;"ACCEPTÉ")),1,0)</f>
        <v>0</v>
      </c>
      <c r="AV1466" s="82" t="str">
        <f aca="false">IF(AU1466=1,SUM(AU$7:AU1466),"")</f>
        <v/>
      </c>
      <c r="AW1466" s="82" t="str">
        <f aca="false">IF(E1466="","",B1466&amp;"|"&amp;E1466)</f>
        <v>MFD-ISW → MFD-CPF|JN°1225</v>
      </c>
    </row>
    <row r="1467" customFormat="false" ht="74.6" hidden="false" customHeight="false" outlineLevel="0" collapsed="false">
      <c r="A1467" s="79" t="n">
        <f aca="false">IF(E1467="","",ROW()-6)</f>
        <v>1461</v>
      </c>
      <c r="B1467" s="80" t="s">
        <v>110</v>
      </c>
      <c r="C1467" s="81" t="s">
        <v>1748</v>
      </c>
      <c r="D1467" s="81" t="n">
        <v>13</v>
      </c>
      <c r="E1467" s="81" t="s">
        <v>1752</v>
      </c>
      <c r="F1467" s="82" t="str">
        <f aca="false">IF(E1467="","",IF(LEFT(E1467,2)="DJ","DJ","JN"))</f>
        <v>DJ</v>
      </c>
      <c r="G1467" s="81"/>
      <c r="H1467" s="81" t="s">
        <v>871</v>
      </c>
      <c r="I1467" s="81" t="n">
        <v>9.53</v>
      </c>
      <c r="J1467" s="81" t="s">
        <v>872</v>
      </c>
      <c r="K1467" s="81" t="s">
        <v>873</v>
      </c>
      <c r="L1467" s="81" t="n">
        <v>2090900</v>
      </c>
      <c r="M1467" s="81" t="n">
        <v>15421109</v>
      </c>
      <c r="N1467" s="81" t="n">
        <v>11.94</v>
      </c>
      <c r="O1467" s="81" t="n">
        <v>2089590</v>
      </c>
      <c r="P1467" s="81" t="n">
        <v>15421109</v>
      </c>
      <c r="Q1467" s="81" t="n">
        <v>11.94</v>
      </c>
      <c r="R1467" s="81" t="s">
        <v>1147</v>
      </c>
      <c r="S1467" s="81"/>
      <c r="T1467" s="81"/>
      <c r="U1467" s="83" t="n">
        <v>46266</v>
      </c>
      <c r="V1467" s="83" t="n">
        <v>46266</v>
      </c>
      <c r="W1467" s="81" t="s">
        <v>1753</v>
      </c>
      <c r="X1467" s="81" t="s">
        <v>876</v>
      </c>
      <c r="Y1467" s="83" t="n">
        <v>46267</v>
      </c>
      <c r="Z1467" s="81" t="s">
        <v>1754</v>
      </c>
      <c r="AA1467" s="81" t="s">
        <v>876</v>
      </c>
      <c r="AB1467" s="81"/>
      <c r="AC1467" s="81"/>
      <c r="AD1467" s="81"/>
      <c r="AE1467" s="83"/>
      <c r="AF1467" s="81"/>
      <c r="AG1467" s="81"/>
      <c r="AH1467" s="81"/>
      <c r="AI1467" s="81"/>
      <c r="AJ1467" s="83"/>
      <c r="AK1467" s="81"/>
      <c r="AL1467" s="81"/>
      <c r="AM1467" s="83"/>
      <c r="AN1467" s="80"/>
      <c r="AO1467" s="82" t="n">
        <f aca="false">IF(E1467="","",(AA1467&lt;&gt;"")+(AG1467&lt;&gt;"")+(AL1467&lt;&gt;""))</f>
        <v>1</v>
      </c>
      <c r="AP1467" s="82" t="str">
        <f aca="false">IF(AL1467&lt;&gt;"",AL1467,IF(AG1467&lt;&gt;"",AG1467,IF(AA1467&lt;&gt;"",AA1467,"")))</f>
        <v>A</v>
      </c>
      <c r="AQ1467" s="84" t="str">
        <f aca="false">IF(E1467="","",IF(U1467="","À SOUDER",IF(X1467="","VT EN ATTENTE",IF(X1467="R","VT REJETÉ – À REPRENDRE",IF(AP1467="","À RADIOGRAPHIER",IF(AP1467="A","ACCEPTÉ",IF(AP1467="NX","NX – RT À REFAIRE",IF(IF(AO1467=1,AD1467,IF(AO1467=2,AI1467,""))="A","RÉPARÉ – À RADIOGRAPHIER",IF(IF(AO1467=1,AD1467,IF(AO1467=2,AI1467,""))="R","VT REJETÉ – À REPRENDRE",IF(OR(AP1467="CO",AP1467="NT"),"COUPE – À RESOUDER","À RÉPARER"))))))))))</f>
        <v>ACCEPTÉ</v>
      </c>
      <c r="AR1467" s="82" t="str">
        <f aca="false">IF(AND(ISNUMBER(U1467),OR(AQ1467="À RADIOGRAPHIER",AQ1467="RÉPARÉ – À RADIOGRAPHIER",AQ1467="NX – RT À REFAIRE",AQ1467="À RÉPARER",AQ1467="COUPE – À RESOUDER",AQ1467="VT REJETÉ – À REPRENDRE")),MAX(0,'PROGRAMME RT'!$C$4-U1467),"")</f>
        <v/>
      </c>
      <c r="AS1467" s="82" t="n">
        <f aca="false">IF(AND(OR(AQ1467="À RADIOGRAPHIER",AQ1467="RÉPARÉ – À RADIOGRAPHIER",AQ1467="NX – RT À REFAIRE"),OR('PROGRAMME RT'!$D$5="TOUTES",B1467='PROGRAMME RT'!$D$5)),1,0)</f>
        <v>0</v>
      </c>
      <c r="AT1467" s="82" t="str">
        <f aca="false">IF(AS1467=1,SUM(AS$7:AS1467),"")</f>
        <v/>
      </c>
      <c r="AU1467" s="82" t="n">
        <f aca="false">IF(AND(OR(AA1467="R",AA1467="NX",AA1467="NT",AA1467="CO"),OR('JOINTS DE RÉPARATION'!$D$5="TOUTES",B1467='JOINTS DE RÉPARATION'!$D$5),OR('JOINTS DE RÉPARATION'!$L$4="TOUS",AQ1467&lt;&gt;"ACCEPTÉ")),1,0)</f>
        <v>0</v>
      </c>
      <c r="AV1467" s="82" t="str">
        <f aca="false">IF(AU1467=1,SUM(AU$7:AU1467),"")</f>
        <v/>
      </c>
      <c r="AW1467" s="82" t="str">
        <f aca="false">IF(E1467="","",B1467&amp;"|"&amp;E1467)</f>
        <v>MFD-ISW → MFD-CPF|DJ°231</v>
      </c>
    </row>
    <row r="1468" customFormat="false" ht="74.6" hidden="false" customHeight="false" outlineLevel="0" collapsed="false">
      <c r="A1468" s="79" t="n">
        <f aca="false">IF(E1468="","",ROW()-6)</f>
        <v>1462</v>
      </c>
      <c r="B1468" s="80" t="s">
        <v>110</v>
      </c>
      <c r="C1468" s="81" t="s">
        <v>1748</v>
      </c>
      <c r="D1468" s="81" t="n">
        <v>13</v>
      </c>
      <c r="E1468" s="81" t="s">
        <v>1755</v>
      </c>
      <c r="F1468" s="82" t="str">
        <f aca="false">IF(E1468="","",IF(LEFT(E1468,2)="DJ","DJ","JN"))</f>
        <v>JN</v>
      </c>
      <c r="G1468" s="81" t="s">
        <v>1504</v>
      </c>
      <c r="H1468" s="81" t="s">
        <v>871</v>
      </c>
      <c r="I1468" s="81" t="n">
        <v>9.53</v>
      </c>
      <c r="J1468" s="81" t="s">
        <v>872</v>
      </c>
      <c r="K1468" s="81" t="s">
        <v>879</v>
      </c>
      <c r="L1468" s="81" t="n">
        <v>2089590</v>
      </c>
      <c r="M1468" s="81" t="n">
        <v>15421109</v>
      </c>
      <c r="N1468" s="81" t="n">
        <v>11.94</v>
      </c>
      <c r="O1468" s="81" t="n">
        <v>2096180</v>
      </c>
      <c r="P1468" s="81" t="n">
        <v>15421111</v>
      </c>
      <c r="Q1468" s="81" t="n">
        <v>11.94</v>
      </c>
      <c r="R1468" s="81" t="s">
        <v>1367</v>
      </c>
      <c r="S1468" s="81"/>
      <c r="T1468" s="81"/>
      <c r="U1468" s="83" t="n">
        <v>46276</v>
      </c>
      <c r="V1468" s="83" t="n">
        <v>46276</v>
      </c>
      <c r="W1468" s="81" t="s">
        <v>1751</v>
      </c>
      <c r="X1468" s="81" t="s">
        <v>876</v>
      </c>
      <c r="Y1468" s="83" t="n">
        <v>46281</v>
      </c>
      <c r="Z1468" s="81" t="s">
        <v>1650</v>
      </c>
      <c r="AA1468" s="81" t="s">
        <v>876</v>
      </c>
      <c r="AB1468" s="81"/>
      <c r="AC1468" s="81"/>
      <c r="AD1468" s="81"/>
      <c r="AE1468" s="83"/>
      <c r="AF1468" s="81"/>
      <c r="AG1468" s="81"/>
      <c r="AH1468" s="81"/>
      <c r="AI1468" s="81"/>
      <c r="AJ1468" s="83"/>
      <c r="AK1468" s="81"/>
      <c r="AL1468" s="81"/>
      <c r="AM1468" s="83"/>
      <c r="AN1468" s="80"/>
      <c r="AO1468" s="82" t="n">
        <f aca="false">IF(E1468="","",(AA1468&lt;&gt;"")+(AG1468&lt;&gt;"")+(AL1468&lt;&gt;""))</f>
        <v>1</v>
      </c>
      <c r="AP1468" s="82" t="str">
        <f aca="false">IF(AL1468&lt;&gt;"",AL1468,IF(AG1468&lt;&gt;"",AG1468,IF(AA1468&lt;&gt;"",AA1468,"")))</f>
        <v>A</v>
      </c>
      <c r="AQ1468" s="84" t="str">
        <f aca="false">IF(E1468="","",IF(U1468="","À SOUDER",IF(X1468="","VT EN ATTENTE",IF(X1468="R","VT REJETÉ – À REPRENDRE",IF(AP1468="","À RADIOGRAPHIER",IF(AP1468="A","ACCEPTÉ",IF(AP1468="NX","NX – RT À REFAIRE",IF(IF(AO1468=1,AD1468,IF(AO1468=2,AI1468,""))="A","RÉPARÉ – À RADIOGRAPHIER",IF(IF(AO1468=1,AD1468,IF(AO1468=2,AI1468,""))="R","VT REJETÉ – À REPRENDRE",IF(OR(AP1468="CO",AP1468="NT"),"COUPE – À RESOUDER","À RÉPARER"))))))))))</f>
        <v>ACCEPTÉ</v>
      </c>
      <c r="AR1468" s="82" t="str">
        <f aca="false">IF(AND(ISNUMBER(U1468),OR(AQ1468="À RADIOGRAPHIER",AQ1468="RÉPARÉ – À RADIOGRAPHIER",AQ1468="NX – RT À REFAIRE",AQ1468="À RÉPARER",AQ1468="COUPE – À RESOUDER",AQ1468="VT REJETÉ – À REPRENDRE")),MAX(0,'PROGRAMME RT'!$C$4-U1468),"")</f>
        <v/>
      </c>
      <c r="AS1468" s="82" t="n">
        <f aca="false">IF(AND(OR(AQ1468="À RADIOGRAPHIER",AQ1468="RÉPARÉ – À RADIOGRAPHIER",AQ1468="NX – RT À REFAIRE"),OR('PROGRAMME RT'!$D$5="TOUTES",B1468='PROGRAMME RT'!$D$5)),1,0)</f>
        <v>0</v>
      </c>
      <c r="AT1468" s="82" t="str">
        <f aca="false">IF(AS1468=1,SUM(AS$7:AS1468),"")</f>
        <v/>
      </c>
      <c r="AU1468" s="82" t="n">
        <f aca="false">IF(AND(OR(AA1468="R",AA1468="NX",AA1468="NT",AA1468="CO"),OR('JOINTS DE RÉPARATION'!$D$5="TOUTES",B1468='JOINTS DE RÉPARATION'!$D$5),OR('JOINTS DE RÉPARATION'!$L$4="TOUS",AQ1468&lt;&gt;"ACCEPTÉ")),1,0)</f>
        <v>0</v>
      </c>
      <c r="AV1468" s="82" t="str">
        <f aca="false">IF(AU1468=1,SUM(AU$7:AU1468),"")</f>
        <v/>
      </c>
      <c r="AW1468" s="82" t="str">
        <f aca="false">IF(E1468="","",B1468&amp;"|"&amp;E1468)</f>
        <v>MFD-ISW → MFD-CPF|JN°1226</v>
      </c>
    </row>
    <row r="1469" customFormat="false" ht="74.6" hidden="false" customHeight="false" outlineLevel="0" collapsed="false">
      <c r="A1469" s="79" t="n">
        <f aca="false">IF(E1469="","",ROW()-6)</f>
        <v>1463</v>
      </c>
      <c r="B1469" s="80" t="s">
        <v>110</v>
      </c>
      <c r="C1469" s="81" t="s">
        <v>1748</v>
      </c>
      <c r="D1469" s="81" t="n">
        <v>13</v>
      </c>
      <c r="E1469" s="81" t="s">
        <v>1756</v>
      </c>
      <c r="F1469" s="82" t="str">
        <f aca="false">IF(E1469="","",IF(LEFT(E1469,2)="DJ","DJ","JN"))</f>
        <v>DJ</v>
      </c>
      <c r="G1469" s="81"/>
      <c r="H1469" s="81" t="s">
        <v>871</v>
      </c>
      <c r="I1469" s="81" t="n">
        <v>9.53</v>
      </c>
      <c r="J1469" s="81" t="s">
        <v>872</v>
      </c>
      <c r="K1469" s="81" t="s">
        <v>873</v>
      </c>
      <c r="L1469" s="81" t="n">
        <v>2096180</v>
      </c>
      <c r="M1469" s="81" t="n">
        <v>15421111</v>
      </c>
      <c r="N1469" s="81" t="n">
        <v>11.94</v>
      </c>
      <c r="O1469" s="81" t="n">
        <v>2085970</v>
      </c>
      <c r="P1469" s="81" t="n">
        <v>15421107</v>
      </c>
      <c r="Q1469" s="81" t="n">
        <v>11.94</v>
      </c>
      <c r="R1469" s="81" t="s">
        <v>1135</v>
      </c>
      <c r="S1469" s="81"/>
      <c r="T1469" s="81"/>
      <c r="U1469" s="83" t="n">
        <v>46269</v>
      </c>
      <c r="V1469" s="83" t="n">
        <v>46269</v>
      </c>
      <c r="W1469" s="81" t="s">
        <v>1606</v>
      </c>
      <c r="X1469" s="81" t="s">
        <v>876</v>
      </c>
      <c r="Y1469" s="83" t="n">
        <v>46270</v>
      </c>
      <c r="Z1469" s="81" t="s">
        <v>1757</v>
      </c>
      <c r="AA1469" s="81" t="s">
        <v>876</v>
      </c>
      <c r="AB1469" s="81"/>
      <c r="AC1469" s="81"/>
      <c r="AD1469" s="81"/>
      <c r="AE1469" s="83"/>
      <c r="AF1469" s="81"/>
      <c r="AG1469" s="81"/>
      <c r="AH1469" s="81"/>
      <c r="AI1469" s="81"/>
      <c r="AJ1469" s="83"/>
      <c r="AK1469" s="81"/>
      <c r="AL1469" s="81"/>
      <c r="AM1469" s="83"/>
      <c r="AN1469" s="80"/>
      <c r="AO1469" s="82" t="n">
        <f aca="false">IF(E1469="","",(AA1469&lt;&gt;"")+(AG1469&lt;&gt;"")+(AL1469&lt;&gt;""))</f>
        <v>1</v>
      </c>
      <c r="AP1469" s="82" t="str">
        <f aca="false">IF(AL1469&lt;&gt;"",AL1469,IF(AG1469&lt;&gt;"",AG1469,IF(AA1469&lt;&gt;"",AA1469,"")))</f>
        <v>A</v>
      </c>
      <c r="AQ1469" s="84" t="str">
        <f aca="false">IF(E1469="","",IF(U1469="","À SOUDER",IF(X1469="","VT EN ATTENTE",IF(X1469="R","VT REJETÉ – À REPRENDRE",IF(AP1469="","À RADIOGRAPHIER",IF(AP1469="A","ACCEPTÉ",IF(AP1469="NX","NX – RT À REFAIRE",IF(IF(AO1469=1,AD1469,IF(AO1469=2,AI1469,""))="A","RÉPARÉ – À RADIOGRAPHIER",IF(IF(AO1469=1,AD1469,IF(AO1469=2,AI1469,""))="R","VT REJETÉ – À REPRENDRE",IF(OR(AP1469="CO",AP1469="NT"),"COUPE – À RESOUDER","À RÉPARER"))))))))))</f>
        <v>ACCEPTÉ</v>
      </c>
      <c r="AR1469" s="82" t="str">
        <f aca="false">IF(AND(ISNUMBER(U1469),OR(AQ1469="À RADIOGRAPHIER",AQ1469="RÉPARÉ – À RADIOGRAPHIER",AQ1469="NX – RT À REFAIRE",AQ1469="À RÉPARER",AQ1469="COUPE – À RESOUDER",AQ1469="VT REJETÉ – À REPRENDRE")),MAX(0,'PROGRAMME RT'!$C$4-U1469),"")</f>
        <v/>
      </c>
      <c r="AS1469" s="82" t="n">
        <f aca="false">IF(AND(OR(AQ1469="À RADIOGRAPHIER",AQ1469="RÉPARÉ – À RADIOGRAPHIER",AQ1469="NX – RT À REFAIRE"),OR('PROGRAMME RT'!$D$5="TOUTES",B1469='PROGRAMME RT'!$D$5)),1,0)</f>
        <v>0</v>
      </c>
      <c r="AT1469" s="82" t="str">
        <f aca="false">IF(AS1469=1,SUM(AS$7:AS1469),"")</f>
        <v/>
      </c>
      <c r="AU1469" s="82" t="n">
        <f aca="false">IF(AND(OR(AA1469="R",AA1469="NX",AA1469="NT",AA1469="CO"),OR('JOINTS DE RÉPARATION'!$D$5="TOUTES",B1469='JOINTS DE RÉPARATION'!$D$5),OR('JOINTS DE RÉPARATION'!$L$4="TOUS",AQ1469&lt;&gt;"ACCEPTÉ")),1,0)</f>
        <v>0</v>
      </c>
      <c r="AV1469" s="82" t="str">
        <f aca="false">IF(AU1469=1,SUM(AU$7:AU1469),"")</f>
        <v/>
      </c>
      <c r="AW1469" s="82" t="str">
        <f aca="false">IF(E1469="","",B1469&amp;"|"&amp;E1469)</f>
        <v>MFD-ISW → MFD-CPF|DJ°272</v>
      </c>
    </row>
    <row r="1470" customFormat="false" ht="74.6" hidden="false" customHeight="false" outlineLevel="0" collapsed="false">
      <c r="A1470" s="79" t="n">
        <f aca="false">IF(E1470="","",ROW()-6)</f>
        <v>1464</v>
      </c>
      <c r="B1470" s="80" t="s">
        <v>110</v>
      </c>
      <c r="C1470" s="81" t="s">
        <v>1748</v>
      </c>
      <c r="D1470" s="81" t="n">
        <v>13</v>
      </c>
      <c r="E1470" s="81" t="s">
        <v>1758</v>
      </c>
      <c r="F1470" s="82" t="str">
        <f aca="false">IF(E1470="","",IF(LEFT(E1470,2)="DJ","DJ","JN"))</f>
        <v>JN</v>
      </c>
      <c r="G1470" s="81" t="s">
        <v>1504</v>
      </c>
      <c r="H1470" s="81" t="s">
        <v>871</v>
      </c>
      <c r="I1470" s="81" t="n">
        <v>9.53</v>
      </c>
      <c r="J1470" s="81" t="s">
        <v>872</v>
      </c>
      <c r="K1470" s="81" t="s">
        <v>879</v>
      </c>
      <c r="L1470" s="81" t="n">
        <v>2085970</v>
      </c>
      <c r="M1470" s="81" t="n">
        <v>15421107</v>
      </c>
      <c r="N1470" s="81" t="n">
        <v>11.94</v>
      </c>
      <c r="O1470" s="81" t="n">
        <v>2094550</v>
      </c>
      <c r="P1470" s="81" t="n">
        <v>145421111</v>
      </c>
      <c r="Q1470" s="81" t="n">
        <v>11.94</v>
      </c>
      <c r="R1470" s="81" t="s">
        <v>1367</v>
      </c>
      <c r="S1470" s="81"/>
      <c r="T1470" s="81"/>
      <c r="U1470" s="83" t="n">
        <v>46276</v>
      </c>
      <c r="V1470" s="83" t="n">
        <v>46276</v>
      </c>
      <c r="W1470" s="81" t="s">
        <v>1751</v>
      </c>
      <c r="X1470" s="81" t="s">
        <v>876</v>
      </c>
      <c r="Y1470" s="83" t="n">
        <v>46281</v>
      </c>
      <c r="Z1470" s="81" t="s">
        <v>1650</v>
      </c>
      <c r="AA1470" s="81" t="s">
        <v>876</v>
      </c>
      <c r="AB1470" s="81"/>
      <c r="AC1470" s="81"/>
      <c r="AD1470" s="81"/>
      <c r="AE1470" s="83"/>
      <c r="AF1470" s="81"/>
      <c r="AG1470" s="81"/>
      <c r="AH1470" s="81"/>
      <c r="AI1470" s="81"/>
      <c r="AJ1470" s="83"/>
      <c r="AK1470" s="81"/>
      <c r="AL1470" s="81"/>
      <c r="AM1470" s="83"/>
      <c r="AN1470" s="80"/>
      <c r="AO1470" s="82" t="n">
        <f aca="false">IF(E1470="","",(AA1470&lt;&gt;"")+(AG1470&lt;&gt;"")+(AL1470&lt;&gt;""))</f>
        <v>1</v>
      </c>
      <c r="AP1470" s="82" t="str">
        <f aca="false">IF(AL1470&lt;&gt;"",AL1470,IF(AG1470&lt;&gt;"",AG1470,IF(AA1470&lt;&gt;"",AA1470,"")))</f>
        <v>A</v>
      </c>
      <c r="AQ1470" s="84" t="str">
        <f aca="false">IF(E1470="","",IF(U1470="","À SOUDER",IF(X1470="","VT EN ATTENTE",IF(X1470="R","VT REJETÉ – À REPRENDRE",IF(AP1470="","À RADIOGRAPHIER",IF(AP1470="A","ACCEPTÉ",IF(AP1470="NX","NX – RT À REFAIRE",IF(IF(AO1470=1,AD1470,IF(AO1470=2,AI1470,""))="A","RÉPARÉ – À RADIOGRAPHIER",IF(IF(AO1470=1,AD1470,IF(AO1470=2,AI1470,""))="R","VT REJETÉ – À REPRENDRE",IF(OR(AP1470="CO",AP1470="NT"),"COUPE – À RESOUDER","À RÉPARER"))))))))))</f>
        <v>ACCEPTÉ</v>
      </c>
      <c r="AR1470" s="82" t="str">
        <f aca="false">IF(AND(ISNUMBER(U1470),OR(AQ1470="À RADIOGRAPHIER",AQ1470="RÉPARÉ – À RADIOGRAPHIER",AQ1470="NX – RT À REFAIRE",AQ1470="À RÉPARER",AQ1470="COUPE – À RESOUDER",AQ1470="VT REJETÉ – À REPRENDRE")),MAX(0,'PROGRAMME RT'!$C$4-U1470),"")</f>
        <v/>
      </c>
      <c r="AS1470" s="82" t="n">
        <f aca="false">IF(AND(OR(AQ1470="À RADIOGRAPHIER",AQ1470="RÉPARÉ – À RADIOGRAPHIER",AQ1470="NX – RT À REFAIRE"),OR('PROGRAMME RT'!$D$5="TOUTES",B1470='PROGRAMME RT'!$D$5)),1,0)</f>
        <v>0</v>
      </c>
      <c r="AT1470" s="82" t="str">
        <f aca="false">IF(AS1470=1,SUM(AS$7:AS1470),"")</f>
        <v/>
      </c>
      <c r="AU1470" s="82" t="n">
        <f aca="false">IF(AND(OR(AA1470="R",AA1470="NX",AA1470="NT",AA1470="CO"),OR('JOINTS DE RÉPARATION'!$D$5="TOUTES",B1470='JOINTS DE RÉPARATION'!$D$5),OR('JOINTS DE RÉPARATION'!$L$4="TOUS",AQ1470&lt;&gt;"ACCEPTÉ")),1,0)</f>
        <v>0</v>
      </c>
      <c r="AV1470" s="82" t="str">
        <f aca="false">IF(AU1470=1,SUM(AU$7:AU1470),"")</f>
        <v/>
      </c>
      <c r="AW1470" s="82" t="str">
        <f aca="false">IF(E1470="","",B1470&amp;"|"&amp;E1470)</f>
        <v>MFD-ISW → MFD-CPF|JN°1227</v>
      </c>
    </row>
    <row r="1471" customFormat="false" ht="74.6" hidden="false" customHeight="false" outlineLevel="0" collapsed="false">
      <c r="A1471" s="79" t="n">
        <f aca="false">IF(E1471="","",ROW()-6)</f>
        <v>1465</v>
      </c>
      <c r="B1471" s="80" t="s">
        <v>110</v>
      </c>
      <c r="C1471" s="81" t="s">
        <v>1748</v>
      </c>
      <c r="D1471" s="81" t="n">
        <v>13</v>
      </c>
      <c r="E1471" s="81" t="s">
        <v>1759</v>
      </c>
      <c r="F1471" s="82" t="str">
        <f aca="false">IF(E1471="","",IF(LEFT(E1471,2)="DJ","DJ","JN"))</f>
        <v>DJ</v>
      </c>
      <c r="G1471" s="81"/>
      <c r="H1471" s="81" t="s">
        <v>871</v>
      </c>
      <c r="I1471" s="81" t="n">
        <v>9.53</v>
      </c>
      <c r="J1471" s="81" t="s">
        <v>872</v>
      </c>
      <c r="K1471" s="81" t="s">
        <v>873</v>
      </c>
      <c r="L1471" s="81" t="n">
        <v>2094550</v>
      </c>
      <c r="M1471" s="81" t="n">
        <v>145421111</v>
      </c>
      <c r="N1471" s="81" t="n">
        <v>11.94</v>
      </c>
      <c r="O1471" s="81" t="n">
        <v>2090060</v>
      </c>
      <c r="P1471" s="81" t="n">
        <v>15421109</v>
      </c>
      <c r="Q1471" s="81" t="n">
        <v>11.94</v>
      </c>
      <c r="R1471" s="81" t="s">
        <v>1135</v>
      </c>
      <c r="S1471" s="81"/>
      <c r="T1471" s="81"/>
      <c r="U1471" s="83" t="n">
        <v>46267</v>
      </c>
      <c r="V1471" s="83" t="n">
        <v>46267</v>
      </c>
      <c r="W1471" s="81" t="s">
        <v>1760</v>
      </c>
      <c r="X1471" s="81" t="s">
        <v>876</v>
      </c>
      <c r="Y1471" s="83" t="n">
        <v>46269</v>
      </c>
      <c r="Z1471" s="81" t="s">
        <v>1761</v>
      </c>
      <c r="AA1471" s="81" t="s">
        <v>876</v>
      </c>
      <c r="AB1471" s="81"/>
      <c r="AC1471" s="81"/>
      <c r="AD1471" s="81"/>
      <c r="AE1471" s="83"/>
      <c r="AF1471" s="81"/>
      <c r="AG1471" s="81"/>
      <c r="AH1471" s="81"/>
      <c r="AI1471" s="81"/>
      <c r="AJ1471" s="83"/>
      <c r="AK1471" s="81"/>
      <c r="AL1471" s="81"/>
      <c r="AM1471" s="83"/>
      <c r="AN1471" s="80"/>
      <c r="AO1471" s="82" t="n">
        <f aca="false">IF(E1471="","",(AA1471&lt;&gt;"")+(AG1471&lt;&gt;"")+(AL1471&lt;&gt;""))</f>
        <v>1</v>
      </c>
      <c r="AP1471" s="82" t="str">
        <f aca="false">IF(AL1471&lt;&gt;"",AL1471,IF(AG1471&lt;&gt;"",AG1471,IF(AA1471&lt;&gt;"",AA1471,"")))</f>
        <v>A</v>
      </c>
      <c r="AQ1471" s="84" t="str">
        <f aca="false">IF(E1471="","",IF(U1471="","À SOUDER",IF(X1471="","VT EN ATTENTE",IF(X1471="R","VT REJETÉ – À REPRENDRE",IF(AP1471="","À RADIOGRAPHIER",IF(AP1471="A","ACCEPTÉ",IF(AP1471="NX","NX – RT À REFAIRE",IF(IF(AO1471=1,AD1471,IF(AO1471=2,AI1471,""))="A","RÉPARÉ – À RADIOGRAPHIER",IF(IF(AO1471=1,AD1471,IF(AO1471=2,AI1471,""))="R","VT REJETÉ – À REPRENDRE",IF(OR(AP1471="CO",AP1471="NT"),"COUPE – À RESOUDER","À RÉPARER"))))))))))</f>
        <v>ACCEPTÉ</v>
      </c>
      <c r="AR1471" s="82" t="str">
        <f aca="false">IF(AND(ISNUMBER(U1471),OR(AQ1471="À RADIOGRAPHIER",AQ1471="RÉPARÉ – À RADIOGRAPHIER",AQ1471="NX – RT À REFAIRE",AQ1471="À RÉPARER",AQ1471="COUPE – À RESOUDER",AQ1471="VT REJETÉ – À REPRENDRE")),MAX(0,'PROGRAMME RT'!$C$4-U1471),"")</f>
        <v/>
      </c>
      <c r="AS1471" s="82" t="n">
        <f aca="false">IF(AND(OR(AQ1471="À RADIOGRAPHIER",AQ1471="RÉPARÉ – À RADIOGRAPHIER",AQ1471="NX – RT À REFAIRE"),OR('PROGRAMME RT'!$D$5="TOUTES",B1471='PROGRAMME RT'!$D$5)),1,0)</f>
        <v>0</v>
      </c>
      <c r="AT1471" s="82" t="str">
        <f aca="false">IF(AS1471=1,SUM(AS$7:AS1471),"")</f>
        <v/>
      </c>
      <c r="AU1471" s="82" t="n">
        <f aca="false">IF(AND(OR(AA1471="R",AA1471="NX",AA1471="NT",AA1471="CO"),OR('JOINTS DE RÉPARATION'!$D$5="TOUTES",B1471='JOINTS DE RÉPARATION'!$D$5),OR('JOINTS DE RÉPARATION'!$L$4="TOUS",AQ1471&lt;&gt;"ACCEPTÉ")),1,0)</f>
        <v>0</v>
      </c>
      <c r="AV1471" s="82" t="str">
        <f aca="false">IF(AU1471=1,SUM(AU$7:AU1471),"")</f>
        <v/>
      </c>
      <c r="AW1471" s="82" t="str">
        <f aca="false">IF(E1471="","",B1471&amp;"|"&amp;E1471)</f>
        <v>MFD-ISW → MFD-CPF|DJ°247</v>
      </c>
    </row>
    <row r="1472" customFormat="false" ht="74.6" hidden="false" customHeight="false" outlineLevel="0" collapsed="false">
      <c r="A1472" s="79" t="n">
        <f aca="false">IF(E1472="","",ROW()-6)</f>
        <v>1466</v>
      </c>
      <c r="B1472" s="80" t="s">
        <v>110</v>
      </c>
      <c r="C1472" s="81" t="s">
        <v>1748</v>
      </c>
      <c r="D1472" s="81" t="n">
        <v>13</v>
      </c>
      <c r="E1472" s="81" t="s">
        <v>1762</v>
      </c>
      <c r="F1472" s="82" t="str">
        <f aca="false">IF(E1472="","",IF(LEFT(E1472,2)="DJ","DJ","JN"))</f>
        <v>JN</v>
      </c>
      <c r="G1472" s="81" t="s">
        <v>1504</v>
      </c>
      <c r="H1472" s="81" t="s">
        <v>871</v>
      </c>
      <c r="I1472" s="81" t="n">
        <v>9.53</v>
      </c>
      <c r="J1472" s="81" t="s">
        <v>872</v>
      </c>
      <c r="K1472" s="81" t="s">
        <v>879</v>
      </c>
      <c r="L1472" s="81" t="n">
        <v>2090060</v>
      </c>
      <c r="M1472" s="81" t="n">
        <v>15421109</v>
      </c>
      <c r="N1472" s="81" t="n">
        <v>11.94</v>
      </c>
      <c r="O1472" s="81" t="n">
        <v>2085690</v>
      </c>
      <c r="P1472" s="81" t="n">
        <v>15421107</v>
      </c>
      <c r="Q1472" s="81" t="n">
        <v>11.94</v>
      </c>
      <c r="R1472" s="81" t="s">
        <v>1367</v>
      </c>
      <c r="S1472" s="81"/>
      <c r="T1472" s="81"/>
      <c r="U1472" s="83" t="n">
        <v>46276</v>
      </c>
      <c r="V1472" s="83" t="n">
        <v>46276</v>
      </c>
      <c r="W1472" s="81" t="s">
        <v>1751</v>
      </c>
      <c r="X1472" s="81" t="s">
        <v>876</v>
      </c>
      <c r="Y1472" s="83" t="n">
        <v>46281</v>
      </c>
      <c r="Z1472" s="81" t="s">
        <v>1650</v>
      </c>
      <c r="AA1472" s="81" t="s">
        <v>1073</v>
      </c>
      <c r="AB1472" s="81" t="s">
        <v>1763</v>
      </c>
      <c r="AC1472" s="81"/>
      <c r="AD1472" s="81"/>
      <c r="AE1472" s="83"/>
      <c r="AF1472" s="81"/>
      <c r="AG1472" s="81"/>
      <c r="AH1472" s="81"/>
      <c r="AI1472" s="81"/>
      <c r="AJ1472" s="83"/>
      <c r="AK1472" s="81"/>
      <c r="AL1472" s="81"/>
      <c r="AM1472" s="83"/>
      <c r="AN1472" s="80"/>
      <c r="AO1472" s="82" t="n">
        <f aca="false">IF(E1472="","",(AA1472&lt;&gt;"")+(AG1472&lt;&gt;"")+(AL1472&lt;&gt;""))</f>
        <v>1</v>
      </c>
      <c r="AP1472" s="82" t="str">
        <f aca="false">IF(AL1472&lt;&gt;"",AL1472,IF(AG1472&lt;&gt;"",AG1472,IF(AA1472&lt;&gt;"",AA1472,"")))</f>
        <v>R</v>
      </c>
      <c r="AQ1472" s="84" t="str">
        <f aca="false">IF(E1472="","",IF(U1472="","À SOUDER",IF(X1472="","VT EN ATTENTE",IF(X1472="R","VT REJETÉ – À REPRENDRE",IF(AP1472="","À RADIOGRAPHIER",IF(AP1472="A","ACCEPTÉ",IF(AP1472="NX","NX – RT À REFAIRE",IF(IF(AO1472=1,AD1472,IF(AO1472=2,AI1472,""))="A","RÉPARÉ – À RADIOGRAPHIER",IF(IF(AO1472=1,AD1472,IF(AO1472=2,AI1472,""))="R","VT REJETÉ – À REPRENDRE",IF(OR(AP1472="CO",AP1472="NT"),"COUPE – À RESOUDER","À RÉPARER"))))))))))</f>
        <v>À RÉPARER</v>
      </c>
      <c r="AR1472" s="82" t="n">
        <f aca="false">IF(AND(ISNUMBER(U1472),OR(AQ1472="À RADIOGRAPHIER",AQ1472="RÉPARÉ – À RADIOGRAPHIER",AQ1472="NX – RT À REFAIRE",AQ1472="À RÉPARER",AQ1472="COUPE – À RESOUDER",AQ1472="VT REJETÉ – À REPRENDRE")),MAX(0,'PROGRAMME RT'!$C$4-U1472),"")</f>
        <v>17</v>
      </c>
      <c r="AS1472" s="82" t="n">
        <f aca="false">IF(AND(OR(AQ1472="À RADIOGRAPHIER",AQ1472="RÉPARÉ – À RADIOGRAPHIER",AQ1472="NX – RT À REFAIRE"),OR('PROGRAMME RT'!$D$5="TOUTES",B1472='PROGRAMME RT'!$D$5)),1,0)</f>
        <v>0</v>
      </c>
      <c r="AT1472" s="82" t="str">
        <f aca="false">IF(AS1472=1,SUM(AS$7:AS1472),"")</f>
        <v/>
      </c>
      <c r="AU1472" s="82" t="n">
        <f aca="false">IF(AND(OR(AA1472="R",AA1472="NX",AA1472="NT",AA1472="CO"),OR('JOINTS DE RÉPARATION'!$D$5="TOUTES",B1472='JOINTS DE RÉPARATION'!$D$5),OR('JOINTS DE RÉPARATION'!$L$4="TOUS",AQ1472&lt;&gt;"ACCEPTÉ")),1,0)</f>
        <v>1</v>
      </c>
      <c r="AV1472" s="82" t="n">
        <f aca="false">IF(AU1472=1,SUM(AU$7:AU1472),"")</f>
        <v>36</v>
      </c>
      <c r="AW1472" s="82" t="str">
        <f aca="false">IF(E1472="","",B1472&amp;"|"&amp;E1472)</f>
        <v>MFD-ISW → MFD-CPF|JN°1228</v>
      </c>
    </row>
    <row r="1473" customFormat="false" ht="74.6" hidden="false" customHeight="false" outlineLevel="0" collapsed="false">
      <c r="A1473" s="79" t="n">
        <f aca="false">IF(E1473="","",ROW()-6)</f>
        <v>1467</v>
      </c>
      <c r="B1473" s="80" t="s">
        <v>110</v>
      </c>
      <c r="C1473" s="81" t="s">
        <v>1748</v>
      </c>
      <c r="D1473" s="81" t="n">
        <v>13</v>
      </c>
      <c r="E1473" s="81" t="s">
        <v>1764</v>
      </c>
      <c r="F1473" s="82" t="str">
        <f aca="false">IF(E1473="","",IF(LEFT(E1473,2)="DJ","DJ","JN"))</f>
        <v>DJ</v>
      </c>
      <c r="G1473" s="81"/>
      <c r="H1473" s="81" t="s">
        <v>871</v>
      </c>
      <c r="I1473" s="81" t="n">
        <v>9.53</v>
      </c>
      <c r="J1473" s="81" t="s">
        <v>872</v>
      </c>
      <c r="K1473" s="81" t="s">
        <v>873</v>
      </c>
      <c r="L1473" s="81" t="n">
        <v>2085690</v>
      </c>
      <c r="M1473" s="81" t="n">
        <v>15421107</v>
      </c>
      <c r="N1473" s="81" t="n">
        <v>11.94</v>
      </c>
      <c r="O1473" s="81" t="n">
        <v>2087700</v>
      </c>
      <c r="P1473" s="81" t="n">
        <v>15421108</v>
      </c>
      <c r="Q1473" s="81" t="n">
        <v>11.94</v>
      </c>
      <c r="R1473" s="81" t="s">
        <v>1135</v>
      </c>
      <c r="S1473" s="81"/>
      <c r="T1473" s="81"/>
      <c r="U1473" s="83" t="n">
        <v>46269</v>
      </c>
      <c r="V1473" s="83" t="n">
        <v>46269</v>
      </c>
      <c r="W1473" s="81" t="s">
        <v>1606</v>
      </c>
      <c r="X1473" s="81" t="s">
        <v>876</v>
      </c>
      <c r="Y1473" s="83" t="n">
        <v>46270</v>
      </c>
      <c r="Z1473" s="81" t="s">
        <v>1757</v>
      </c>
      <c r="AA1473" s="81" t="s">
        <v>876</v>
      </c>
      <c r="AB1473" s="81"/>
      <c r="AC1473" s="81"/>
      <c r="AD1473" s="81"/>
      <c r="AE1473" s="83"/>
      <c r="AF1473" s="81"/>
      <c r="AG1473" s="81"/>
      <c r="AH1473" s="81"/>
      <c r="AI1473" s="81"/>
      <c r="AJ1473" s="83"/>
      <c r="AK1473" s="81"/>
      <c r="AL1473" s="81"/>
      <c r="AM1473" s="83"/>
      <c r="AN1473" s="80"/>
      <c r="AO1473" s="82" t="n">
        <f aca="false">IF(E1473="","",(AA1473&lt;&gt;"")+(AG1473&lt;&gt;"")+(AL1473&lt;&gt;""))</f>
        <v>1</v>
      </c>
      <c r="AP1473" s="82" t="str">
        <f aca="false">IF(AL1473&lt;&gt;"",AL1473,IF(AG1473&lt;&gt;"",AG1473,IF(AA1473&lt;&gt;"",AA1473,"")))</f>
        <v>A</v>
      </c>
      <c r="AQ1473" s="84" t="str">
        <f aca="false">IF(E1473="","",IF(U1473="","À SOUDER",IF(X1473="","VT EN ATTENTE",IF(X1473="R","VT REJETÉ – À REPRENDRE",IF(AP1473="","À RADIOGRAPHIER",IF(AP1473="A","ACCEPTÉ",IF(AP1473="NX","NX – RT À REFAIRE",IF(IF(AO1473=1,AD1473,IF(AO1473=2,AI1473,""))="A","RÉPARÉ – À RADIOGRAPHIER",IF(IF(AO1473=1,AD1473,IF(AO1473=2,AI1473,""))="R","VT REJETÉ – À REPRENDRE",IF(OR(AP1473="CO",AP1473="NT"),"COUPE – À RESOUDER","À RÉPARER"))))))))))</f>
        <v>ACCEPTÉ</v>
      </c>
      <c r="AR1473" s="82" t="str">
        <f aca="false">IF(AND(ISNUMBER(U1473),OR(AQ1473="À RADIOGRAPHIER",AQ1473="RÉPARÉ – À RADIOGRAPHIER",AQ1473="NX – RT À REFAIRE",AQ1473="À RÉPARER",AQ1473="COUPE – À RESOUDER",AQ1473="VT REJETÉ – À REPRENDRE")),MAX(0,'PROGRAMME RT'!$C$4-U1473),"")</f>
        <v/>
      </c>
      <c r="AS1473" s="82" t="n">
        <f aca="false">IF(AND(OR(AQ1473="À RADIOGRAPHIER",AQ1473="RÉPARÉ – À RADIOGRAPHIER",AQ1473="NX – RT À REFAIRE"),OR('PROGRAMME RT'!$D$5="TOUTES",B1473='PROGRAMME RT'!$D$5)),1,0)</f>
        <v>0</v>
      </c>
      <c r="AT1473" s="82" t="str">
        <f aca="false">IF(AS1473=1,SUM(AS$7:AS1473),"")</f>
        <v/>
      </c>
      <c r="AU1473" s="82" t="n">
        <f aca="false">IF(AND(OR(AA1473="R",AA1473="NX",AA1473="NT",AA1473="CO"),OR('JOINTS DE RÉPARATION'!$D$5="TOUTES",B1473='JOINTS DE RÉPARATION'!$D$5),OR('JOINTS DE RÉPARATION'!$L$4="TOUS",AQ1473&lt;&gt;"ACCEPTÉ")),1,0)</f>
        <v>0</v>
      </c>
      <c r="AV1473" s="82" t="str">
        <f aca="false">IF(AU1473=1,SUM(AU$7:AU1473),"")</f>
        <v/>
      </c>
      <c r="AW1473" s="82" t="str">
        <f aca="false">IF(E1473="","",B1473&amp;"|"&amp;E1473)</f>
        <v>MFD-ISW → MFD-CPF|DJ°267</v>
      </c>
    </row>
    <row r="1474" customFormat="false" ht="74.6" hidden="false" customHeight="false" outlineLevel="0" collapsed="false">
      <c r="A1474" s="79" t="n">
        <f aca="false">IF(E1474="","",ROW()-6)</f>
        <v>1468</v>
      </c>
      <c r="B1474" s="80" t="s">
        <v>110</v>
      </c>
      <c r="C1474" s="81" t="s">
        <v>1748</v>
      </c>
      <c r="D1474" s="81" t="n">
        <v>13</v>
      </c>
      <c r="E1474" s="81" t="s">
        <v>1765</v>
      </c>
      <c r="F1474" s="82" t="str">
        <f aca="false">IF(E1474="","",IF(LEFT(E1474,2)="DJ","DJ","JN"))</f>
        <v>JN</v>
      </c>
      <c r="G1474" s="81" t="s">
        <v>1504</v>
      </c>
      <c r="H1474" s="81" t="s">
        <v>871</v>
      </c>
      <c r="I1474" s="81" t="n">
        <v>9.53</v>
      </c>
      <c r="J1474" s="81" t="s">
        <v>872</v>
      </c>
      <c r="K1474" s="81" t="s">
        <v>879</v>
      </c>
      <c r="L1474" s="81" t="n">
        <v>2087700</v>
      </c>
      <c r="M1474" s="81" t="n">
        <v>15421108</v>
      </c>
      <c r="N1474" s="81" t="n">
        <v>11.94</v>
      </c>
      <c r="O1474" s="81" t="n">
        <v>2079970</v>
      </c>
      <c r="P1474" s="81" t="n">
        <v>15421102</v>
      </c>
      <c r="Q1474" s="81" t="n">
        <v>11.94</v>
      </c>
      <c r="R1474" s="81" t="s">
        <v>1367</v>
      </c>
      <c r="S1474" s="81"/>
      <c r="T1474" s="81"/>
      <c r="U1474" s="83" t="n">
        <v>46276</v>
      </c>
      <c r="V1474" s="83" t="n">
        <v>46276</v>
      </c>
      <c r="W1474" s="81" t="s">
        <v>1751</v>
      </c>
      <c r="X1474" s="81" t="s">
        <v>876</v>
      </c>
      <c r="Y1474" s="83" t="n">
        <v>46281</v>
      </c>
      <c r="Z1474" s="81" t="s">
        <v>1650</v>
      </c>
      <c r="AA1474" s="81" t="s">
        <v>876</v>
      </c>
      <c r="AB1474" s="81"/>
      <c r="AC1474" s="81"/>
      <c r="AD1474" s="81"/>
      <c r="AE1474" s="83"/>
      <c r="AF1474" s="81"/>
      <c r="AG1474" s="81"/>
      <c r="AH1474" s="81"/>
      <c r="AI1474" s="81"/>
      <c r="AJ1474" s="83"/>
      <c r="AK1474" s="81"/>
      <c r="AL1474" s="81"/>
      <c r="AM1474" s="83"/>
      <c r="AN1474" s="80"/>
      <c r="AO1474" s="82" t="n">
        <f aca="false">IF(E1474="","",(AA1474&lt;&gt;"")+(AG1474&lt;&gt;"")+(AL1474&lt;&gt;""))</f>
        <v>1</v>
      </c>
      <c r="AP1474" s="82" t="str">
        <f aca="false">IF(AL1474&lt;&gt;"",AL1474,IF(AG1474&lt;&gt;"",AG1474,IF(AA1474&lt;&gt;"",AA1474,"")))</f>
        <v>A</v>
      </c>
      <c r="AQ1474" s="84" t="str">
        <f aca="false">IF(E1474="","",IF(U1474="","À SOUDER",IF(X1474="","VT EN ATTENTE",IF(X1474="R","VT REJETÉ – À REPRENDRE",IF(AP1474="","À RADIOGRAPHIER",IF(AP1474="A","ACCEPTÉ",IF(AP1474="NX","NX – RT À REFAIRE",IF(IF(AO1474=1,AD1474,IF(AO1474=2,AI1474,""))="A","RÉPARÉ – À RADIOGRAPHIER",IF(IF(AO1474=1,AD1474,IF(AO1474=2,AI1474,""))="R","VT REJETÉ – À REPRENDRE",IF(OR(AP1474="CO",AP1474="NT"),"COUPE – À RESOUDER","À RÉPARER"))))))))))</f>
        <v>ACCEPTÉ</v>
      </c>
      <c r="AR1474" s="82" t="str">
        <f aca="false">IF(AND(ISNUMBER(U1474),OR(AQ1474="À RADIOGRAPHIER",AQ1474="RÉPARÉ – À RADIOGRAPHIER",AQ1474="NX – RT À REFAIRE",AQ1474="À RÉPARER",AQ1474="COUPE – À RESOUDER",AQ1474="VT REJETÉ – À REPRENDRE")),MAX(0,'PROGRAMME RT'!$C$4-U1474),"")</f>
        <v/>
      </c>
      <c r="AS1474" s="82" t="n">
        <f aca="false">IF(AND(OR(AQ1474="À RADIOGRAPHIER",AQ1474="RÉPARÉ – À RADIOGRAPHIER",AQ1474="NX – RT À REFAIRE"),OR('PROGRAMME RT'!$D$5="TOUTES",B1474='PROGRAMME RT'!$D$5)),1,0)</f>
        <v>0</v>
      </c>
      <c r="AT1474" s="82" t="str">
        <f aca="false">IF(AS1474=1,SUM(AS$7:AS1474),"")</f>
        <v/>
      </c>
      <c r="AU1474" s="82" t="n">
        <f aca="false">IF(AND(OR(AA1474="R",AA1474="NX",AA1474="NT",AA1474="CO"),OR('JOINTS DE RÉPARATION'!$D$5="TOUTES",B1474='JOINTS DE RÉPARATION'!$D$5),OR('JOINTS DE RÉPARATION'!$L$4="TOUS",AQ1474&lt;&gt;"ACCEPTÉ")),1,0)</f>
        <v>0</v>
      </c>
      <c r="AV1474" s="82" t="str">
        <f aca="false">IF(AU1474=1,SUM(AU$7:AU1474),"")</f>
        <v/>
      </c>
      <c r="AW1474" s="82" t="str">
        <f aca="false">IF(E1474="","",B1474&amp;"|"&amp;E1474)</f>
        <v>MFD-ISW → MFD-CPF|JN°1229</v>
      </c>
    </row>
    <row r="1475" customFormat="false" ht="74.6" hidden="false" customHeight="false" outlineLevel="0" collapsed="false">
      <c r="A1475" s="79" t="n">
        <f aca="false">IF(E1475="","",ROW()-6)</f>
        <v>1469</v>
      </c>
      <c r="B1475" s="80" t="s">
        <v>110</v>
      </c>
      <c r="C1475" s="81" t="s">
        <v>1748</v>
      </c>
      <c r="D1475" s="81" t="n">
        <v>13</v>
      </c>
      <c r="E1475" s="81" t="s">
        <v>1766</v>
      </c>
      <c r="F1475" s="82" t="str">
        <f aca="false">IF(E1475="","",IF(LEFT(E1475,2)="DJ","DJ","JN"))</f>
        <v>DJ</v>
      </c>
      <c r="G1475" s="81"/>
      <c r="H1475" s="81" t="s">
        <v>871</v>
      </c>
      <c r="I1475" s="81" t="n">
        <v>9.53</v>
      </c>
      <c r="J1475" s="81" t="s">
        <v>872</v>
      </c>
      <c r="K1475" s="81" t="s">
        <v>873</v>
      </c>
      <c r="L1475" s="81" t="n">
        <v>2079970</v>
      </c>
      <c r="M1475" s="81" t="n">
        <v>15421102</v>
      </c>
      <c r="N1475" s="81" t="n">
        <v>11.94</v>
      </c>
      <c r="O1475" s="81" t="n">
        <v>2079650</v>
      </c>
      <c r="P1475" s="81" t="n">
        <v>15421102</v>
      </c>
      <c r="Q1475" s="81" t="n">
        <v>11.94</v>
      </c>
      <c r="R1475" s="81" t="s">
        <v>1135</v>
      </c>
      <c r="S1475" s="81"/>
      <c r="T1475" s="81"/>
      <c r="U1475" s="83" t="n">
        <v>46267</v>
      </c>
      <c r="V1475" s="83" t="n">
        <v>46267</v>
      </c>
      <c r="W1475" s="81" t="s">
        <v>1760</v>
      </c>
      <c r="X1475" s="81" t="s">
        <v>876</v>
      </c>
      <c r="Y1475" s="83" t="n">
        <v>46270</v>
      </c>
      <c r="Z1475" s="81" t="s">
        <v>1757</v>
      </c>
      <c r="AA1475" s="81" t="s">
        <v>876</v>
      </c>
      <c r="AB1475" s="81"/>
      <c r="AC1475" s="81"/>
      <c r="AD1475" s="81"/>
      <c r="AE1475" s="83"/>
      <c r="AF1475" s="81"/>
      <c r="AG1475" s="81"/>
      <c r="AH1475" s="81"/>
      <c r="AI1475" s="81"/>
      <c r="AJ1475" s="83"/>
      <c r="AK1475" s="81"/>
      <c r="AL1475" s="81"/>
      <c r="AM1475" s="83"/>
      <c r="AN1475" s="80"/>
      <c r="AO1475" s="82" t="n">
        <f aca="false">IF(E1475="","",(AA1475&lt;&gt;"")+(AG1475&lt;&gt;"")+(AL1475&lt;&gt;""))</f>
        <v>1</v>
      </c>
      <c r="AP1475" s="82" t="str">
        <f aca="false">IF(AL1475&lt;&gt;"",AL1475,IF(AG1475&lt;&gt;"",AG1475,IF(AA1475&lt;&gt;"",AA1475,"")))</f>
        <v>A</v>
      </c>
      <c r="AQ1475" s="84" t="str">
        <f aca="false">IF(E1475="","",IF(U1475="","À SOUDER",IF(X1475="","VT EN ATTENTE",IF(X1475="R","VT REJETÉ – À REPRENDRE",IF(AP1475="","À RADIOGRAPHIER",IF(AP1475="A","ACCEPTÉ",IF(AP1475="NX","NX – RT À REFAIRE",IF(IF(AO1475=1,AD1475,IF(AO1475=2,AI1475,""))="A","RÉPARÉ – À RADIOGRAPHIER",IF(IF(AO1475=1,AD1475,IF(AO1475=2,AI1475,""))="R","VT REJETÉ – À REPRENDRE",IF(OR(AP1475="CO",AP1475="NT"),"COUPE – À RESOUDER","À RÉPARER"))))))))))</f>
        <v>ACCEPTÉ</v>
      </c>
      <c r="AR1475" s="82" t="str">
        <f aca="false">IF(AND(ISNUMBER(U1475),OR(AQ1475="À RADIOGRAPHIER",AQ1475="RÉPARÉ – À RADIOGRAPHIER",AQ1475="NX – RT À REFAIRE",AQ1475="À RÉPARER",AQ1475="COUPE – À RESOUDER",AQ1475="VT REJETÉ – À REPRENDRE")),MAX(0,'PROGRAMME RT'!$C$4-U1475),"")</f>
        <v/>
      </c>
      <c r="AS1475" s="82" t="n">
        <f aca="false">IF(AND(OR(AQ1475="À RADIOGRAPHIER",AQ1475="RÉPARÉ – À RADIOGRAPHIER",AQ1475="NX – RT À REFAIRE"),OR('PROGRAMME RT'!$D$5="TOUTES",B1475='PROGRAMME RT'!$D$5)),1,0)</f>
        <v>0</v>
      </c>
      <c r="AT1475" s="82" t="str">
        <f aca="false">IF(AS1475=1,SUM(AS$7:AS1475),"")</f>
        <v/>
      </c>
      <c r="AU1475" s="82" t="n">
        <f aca="false">IF(AND(OR(AA1475="R",AA1475="NX",AA1475="NT",AA1475="CO"),OR('JOINTS DE RÉPARATION'!$D$5="TOUTES",B1475='JOINTS DE RÉPARATION'!$D$5),OR('JOINTS DE RÉPARATION'!$L$4="TOUS",AQ1475&lt;&gt;"ACCEPTÉ")),1,0)</f>
        <v>0</v>
      </c>
      <c r="AV1475" s="82" t="str">
        <f aca="false">IF(AU1475=1,SUM(AU$7:AU1475),"")</f>
        <v/>
      </c>
      <c r="AW1475" s="82" t="str">
        <f aca="false">IF(E1475="","",B1475&amp;"|"&amp;E1475)</f>
        <v>MFD-ISW → MFD-CPF|DJ°237</v>
      </c>
    </row>
    <row r="1476" customFormat="false" ht="74.6" hidden="false" customHeight="false" outlineLevel="0" collapsed="false">
      <c r="A1476" s="79" t="n">
        <f aca="false">IF(E1476="","",ROW()-6)</f>
        <v>1470</v>
      </c>
      <c r="B1476" s="80" t="s">
        <v>110</v>
      </c>
      <c r="C1476" s="81" t="s">
        <v>1748</v>
      </c>
      <c r="D1476" s="81" t="n">
        <v>13</v>
      </c>
      <c r="E1476" s="81" t="s">
        <v>1767</v>
      </c>
      <c r="F1476" s="82" t="str">
        <f aca="false">IF(E1476="","",IF(LEFT(E1476,2)="DJ","DJ","JN"))</f>
        <v>JN</v>
      </c>
      <c r="G1476" s="81" t="s">
        <v>1504</v>
      </c>
      <c r="H1476" s="81" t="s">
        <v>871</v>
      </c>
      <c r="I1476" s="81" t="n">
        <v>9.53</v>
      </c>
      <c r="J1476" s="81" t="s">
        <v>872</v>
      </c>
      <c r="K1476" s="81" t="s">
        <v>879</v>
      </c>
      <c r="L1476" s="81" t="n">
        <v>2079650</v>
      </c>
      <c r="M1476" s="81" t="n">
        <v>15421102</v>
      </c>
      <c r="N1476" s="81" t="n">
        <v>11.94</v>
      </c>
      <c r="O1476" s="81" t="n">
        <v>2092540</v>
      </c>
      <c r="P1476" s="81" t="n">
        <v>15421110</v>
      </c>
      <c r="Q1476" s="81" t="n">
        <v>11.94</v>
      </c>
      <c r="R1476" s="81" t="s">
        <v>1367</v>
      </c>
      <c r="S1476" s="81"/>
      <c r="T1476" s="81"/>
      <c r="U1476" s="83" t="n">
        <v>46276</v>
      </c>
      <c r="V1476" s="83" t="n">
        <v>46276</v>
      </c>
      <c r="W1476" s="81" t="s">
        <v>1751</v>
      </c>
      <c r="X1476" s="81" t="s">
        <v>876</v>
      </c>
      <c r="Y1476" s="83" t="n">
        <v>46281</v>
      </c>
      <c r="Z1476" s="81" t="s">
        <v>1650</v>
      </c>
      <c r="AA1476" s="81" t="s">
        <v>1073</v>
      </c>
      <c r="AB1476" s="81" t="s">
        <v>1768</v>
      </c>
      <c r="AC1476" s="81"/>
      <c r="AD1476" s="81"/>
      <c r="AE1476" s="83"/>
      <c r="AF1476" s="81"/>
      <c r="AG1476" s="81"/>
      <c r="AH1476" s="81"/>
      <c r="AI1476" s="81"/>
      <c r="AJ1476" s="83"/>
      <c r="AK1476" s="81"/>
      <c r="AL1476" s="81"/>
      <c r="AM1476" s="83"/>
      <c r="AN1476" s="80"/>
      <c r="AO1476" s="82" t="n">
        <f aca="false">IF(E1476="","",(AA1476&lt;&gt;"")+(AG1476&lt;&gt;"")+(AL1476&lt;&gt;""))</f>
        <v>1</v>
      </c>
      <c r="AP1476" s="82" t="str">
        <f aca="false">IF(AL1476&lt;&gt;"",AL1476,IF(AG1476&lt;&gt;"",AG1476,IF(AA1476&lt;&gt;"",AA1476,"")))</f>
        <v>R</v>
      </c>
      <c r="AQ1476" s="84" t="str">
        <f aca="false">IF(E1476="","",IF(U1476="","À SOUDER",IF(X1476="","VT EN ATTENTE",IF(X1476="R","VT REJETÉ – À REPRENDRE",IF(AP1476="","À RADIOGRAPHIER",IF(AP1476="A","ACCEPTÉ",IF(AP1476="NX","NX – RT À REFAIRE",IF(IF(AO1476=1,AD1476,IF(AO1476=2,AI1476,""))="A","RÉPARÉ – À RADIOGRAPHIER",IF(IF(AO1476=1,AD1476,IF(AO1476=2,AI1476,""))="R","VT REJETÉ – À REPRENDRE",IF(OR(AP1476="CO",AP1476="NT"),"COUPE – À RESOUDER","À RÉPARER"))))))))))</f>
        <v>À RÉPARER</v>
      </c>
      <c r="AR1476" s="82" t="n">
        <f aca="false">IF(AND(ISNUMBER(U1476),OR(AQ1476="À RADIOGRAPHIER",AQ1476="RÉPARÉ – À RADIOGRAPHIER",AQ1476="NX – RT À REFAIRE",AQ1476="À RÉPARER",AQ1476="COUPE – À RESOUDER",AQ1476="VT REJETÉ – À REPRENDRE")),MAX(0,'PROGRAMME RT'!$C$4-U1476),"")</f>
        <v>17</v>
      </c>
      <c r="AS1476" s="82" t="n">
        <f aca="false">IF(AND(OR(AQ1476="À RADIOGRAPHIER",AQ1476="RÉPARÉ – À RADIOGRAPHIER",AQ1476="NX – RT À REFAIRE"),OR('PROGRAMME RT'!$D$5="TOUTES",B1476='PROGRAMME RT'!$D$5)),1,0)</f>
        <v>0</v>
      </c>
      <c r="AT1476" s="82" t="str">
        <f aca="false">IF(AS1476=1,SUM(AS$7:AS1476),"")</f>
        <v/>
      </c>
      <c r="AU1476" s="82" t="n">
        <f aca="false">IF(AND(OR(AA1476="R",AA1476="NX",AA1476="NT",AA1476="CO"),OR('JOINTS DE RÉPARATION'!$D$5="TOUTES",B1476='JOINTS DE RÉPARATION'!$D$5),OR('JOINTS DE RÉPARATION'!$L$4="TOUS",AQ1476&lt;&gt;"ACCEPTÉ")),1,0)</f>
        <v>1</v>
      </c>
      <c r="AV1476" s="82" t="n">
        <f aca="false">IF(AU1476=1,SUM(AU$7:AU1476),"")</f>
        <v>37</v>
      </c>
      <c r="AW1476" s="82" t="str">
        <f aca="false">IF(E1476="","",B1476&amp;"|"&amp;E1476)</f>
        <v>MFD-ISW → MFD-CPF|JN°1230</v>
      </c>
    </row>
    <row r="1477" customFormat="false" ht="74.6" hidden="false" customHeight="false" outlineLevel="0" collapsed="false">
      <c r="A1477" s="79" t="n">
        <f aca="false">IF(E1477="","",ROW()-6)</f>
        <v>1471</v>
      </c>
      <c r="B1477" s="80" t="s">
        <v>110</v>
      </c>
      <c r="C1477" s="81" t="s">
        <v>1748</v>
      </c>
      <c r="D1477" s="81" t="n">
        <v>13</v>
      </c>
      <c r="E1477" s="81" t="s">
        <v>1769</v>
      </c>
      <c r="F1477" s="82" t="str">
        <f aca="false">IF(E1477="","",IF(LEFT(E1477,2)="DJ","DJ","JN"))</f>
        <v>DJ</v>
      </c>
      <c r="G1477" s="81"/>
      <c r="H1477" s="81" t="s">
        <v>871</v>
      </c>
      <c r="I1477" s="81" t="n">
        <v>9.53</v>
      </c>
      <c r="J1477" s="81" t="s">
        <v>872</v>
      </c>
      <c r="K1477" s="81" t="s">
        <v>873</v>
      </c>
      <c r="L1477" s="81" t="n">
        <v>2092540</v>
      </c>
      <c r="M1477" s="81" t="n">
        <v>15421110</v>
      </c>
      <c r="N1477" s="81" t="n">
        <v>11.94</v>
      </c>
      <c r="O1477" s="81" t="n">
        <v>2094910</v>
      </c>
      <c r="P1477" s="81" t="n">
        <v>15421111</v>
      </c>
      <c r="Q1477" s="81" t="n">
        <v>11.94</v>
      </c>
      <c r="R1477" s="81" t="s">
        <v>1135</v>
      </c>
      <c r="S1477" s="81"/>
      <c r="T1477" s="81"/>
      <c r="U1477" s="83" t="n">
        <v>46267</v>
      </c>
      <c r="V1477" s="83" t="n">
        <v>46267</v>
      </c>
      <c r="W1477" s="81" t="s">
        <v>1760</v>
      </c>
      <c r="X1477" s="81" t="s">
        <v>876</v>
      </c>
      <c r="Y1477" s="83" t="n">
        <v>46269</v>
      </c>
      <c r="Z1477" s="81" t="s">
        <v>1761</v>
      </c>
      <c r="AA1477" s="81" t="s">
        <v>876</v>
      </c>
      <c r="AB1477" s="81"/>
      <c r="AC1477" s="81"/>
      <c r="AD1477" s="81"/>
      <c r="AE1477" s="83"/>
      <c r="AF1477" s="81"/>
      <c r="AG1477" s="81"/>
      <c r="AH1477" s="81"/>
      <c r="AI1477" s="81"/>
      <c r="AJ1477" s="83"/>
      <c r="AK1477" s="81"/>
      <c r="AL1477" s="81"/>
      <c r="AM1477" s="83"/>
      <c r="AN1477" s="80"/>
      <c r="AO1477" s="82" t="n">
        <f aca="false">IF(E1477="","",(AA1477&lt;&gt;"")+(AG1477&lt;&gt;"")+(AL1477&lt;&gt;""))</f>
        <v>1</v>
      </c>
      <c r="AP1477" s="82" t="str">
        <f aca="false">IF(AL1477&lt;&gt;"",AL1477,IF(AG1477&lt;&gt;"",AG1477,IF(AA1477&lt;&gt;"",AA1477,"")))</f>
        <v>A</v>
      </c>
      <c r="AQ1477" s="84" t="str">
        <f aca="false">IF(E1477="","",IF(U1477="","À SOUDER",IF(X1477="","VT EN ATTENTE",IF(X1477="R","VT REJETÉ – À REPRENDRE",IF(AP1477="","À RADIOGRAPHIER",IF(AP1477="A","ACCEPTÉ",IF(AP1477="NX","NX – RT À REFAIRE",IF(IF(AO1477=1,AD1477,IF(AO1477=2,AI1477,""))="A","RÉPARÉ – À RADIOGRAPHIER",IF(IF(AO1477=1,AD1477,IF(AO1477=2,AI1477,""))="R","VT REJETÉ – À REPRENDRE",IF(OR(AP1477="CO",AP1477="NT"),"COUPE – À RESOUDER","À RÉPARER"))))))))))</f>
        <v>ACCEPTÉ</v>
      </c>
      <c r="AR1477" s="82" t="str">
        <f aca="false">IF(AND(ISNUMBER(U1477),OR(AQ1477="À RADIOGRAPHIER",AQ1477="RÉPARÉ – À RADIOGRAPHIER",AQ1477="NX – RT À REFAIRE",AQ1477="À RÉPARER",AQ1477="COUPE – À RESOUDER",AQ1477="VT REJETÉ – À REPRENDRE")),MAX(0,'PROGRAMME RT'!$C$4-U1477),"")</f>
        <v/>
      </c>
      <c r="AS1477" s="82" t="n">
        <f aca="false">IF(AND(OR(AQ1477="À RADIOGRAPHIER",AQ1477="RÉPARÉ – À RADIOGRAPHIER",AQ1477="NX – RT À REFAIRE"),OR('PROGRAMME RT'!$D$5="TOUTES",B1477='PROGRAMME RT'!$D$5)),1,0)</f>
        <v>0</v>
      </c>
      <c r="AT1477" s="82" t="str">
        <f aca="false">IF(AS1477=1,SUM(AS$7:AS1477),"")</f>
        <v/>
      </c>
      <c r="AU1477" s="82" t="n">
        <f aca="false">IF(AND(OR(AA1477="R",AA1477="NX",AA1477="NT",AA1477="CO"),OR('JOINTS DE RÉPARATION'!$D$5="TOUTES",B1477='JOINTS DE RÉPARATION'!$D$5),OR('JOINTS DE RÉPARATION'!$L$4="TOUS",AQ1477&lt;&gt;"ACCEPTÉ")),1,0)</f>
        <v>0</v>
      </c>
      <c r="AV1477" s="82" t="str">
        <f aca="false">IF(AU1477=1,SUM(AU$7:AU1477),"")</f>
        <v/>
      </c>
      <c r="AW1477" s="82" t="str">
        <f aca="false">IF(E1477="","",B1477&amp;"|"&amp;E1477)</f>
        <v>MFD-ISW → MFD-CPF|DJ°244</v>
      </c>
    </row>
    <row r="1478" customFormat="false" ht="74.6" hidden="false" customHeight="false" outlineLevel="0" collapsed="false">
      <c r="A1478" s="79" t="n">
        <f aca="false">IF(E1478="","",ROW()-6)</f>
        <v>1472</v>
      </c>
      <c r="B1478" s="80" t="s">
        <v>110</v>
      </c>
      <c r="C1478" s="81" t="s">
        <v>1748</v>
      </c>
      <c r="D1478" s="81" t="n">
        <v>13</v>
      </c>
      <c r="E1478" s="81" t="s">
        <v>1770</v>
      </c>
      <c r="F1478" s="82" t="str">
        <f aca="false">IF(E1478="","",IF(LEFT(E1478,2)="DJ","DJ","JN"))</f>
        <v>JN</v>
      </c>
      <c r="G1478" s="81" t="s">
        <v>1504</v>
      </c>
      <c r="H1478" s="81" t="s">
        <v>871</v>
      </c>
      <c r="I1478" s="81" t="n">
        <v>9.53</v>
      </c>
      <c r="J1478" s="81" t="s">
        <v>872</v>
      </c>
      <c r="K1478" s="81" t="s">
        <v>879</v>
      </c>
      <c r="L1478" s="81" t="n">
        <v>2094910</v>
      </c>
      <c r="M1478" s="81" t="n">
        <v>15421111</v>
      </c>
      <c r="N1478" s="81" t="n">
        <v>11.94</v>
      </c>
      <c r="O1478" s="81" t="n">
        <v>2081580</v>
      </c>
      <c r="P1478" s="81" t="n">
        <v>15421103</v>
      </c>
      <c r="Q1478" s="81" t="n">
        <v>11.94</v>
      </c>
      <c r="R1478" s="81" t="s">
        <v>1367</v>
      </c>
      <c r="S1478" s="81"/>
      <c r="T1478" s="81"/>
      <c r="U1478" s="83" t="n">
        <v>46276</v>
      </c>
      <c r="V1478" s="83" t="n">
        <v>46276</v>
      </c>
      <c r="W1478" s="81" t="s">
        <v>1751</v>
      </c>
      <c r="X1478" s="81" t="s">
        <v>876</v>
      </c>
      <c r="Y1478" s="83" t="n">
        <v>46281</v>
      </c>
      <c r="Z1478" s="81" t="s">
        <v>1650</v>
      </c>
      <c r="AA1478" s="81" t="s">
        <v>1073</v>
      </c>
      <c r="AB1478" s="81" t="s">
        <v>1771</v>
      </c>
      <c r="AC1478" s="81"/>
      <c r="AD1478" s="81"/>
      <c r="AE1478" s="83"/>
      <c r="AF1478" s="81"/>
      <c r="AG1478" s="81"/>
      <c r="AH1478" s="81"/>
      <c r="AI1478" s="81"/>
      <c r="AJ1478" s="83"/>
      <c r="AK1478" s="81"/>
      <c r="AL1478" s="81"/>
      <c r="AM1478" s="83"/>
      <c r="AN1478" s="80"/>
      <c r="AO1478" s="82" t="n">
        <f aca="false">IF(E1478="","",(AA1478&lt;&gt;"")+(AG1478&lt;&gt;"")+(AL1478&lt;&gt;""))</f>
        <v>1</v>
      </c>
      <c r="AP1478" s="82" t="str">
        <f aca="false">IF(AL1478&lt;&gt;"",AL1478,IF(AG1478&lt;&gt;"",AG1478,IF(AA1478&lt;&gt;"",AA1478,"")))</f>
        <v>R</v>
      </c>
      <c r="AQ1478" s="84" t="str">
        <f aca="false">IF(E1478="","",IF(U1478="","À SOUDER",IF(X1478="","VT EN ATTENTE",IF(X1478="R","VT REJETÉ – À REPRENDRE",IF(AP1478="","À RADIOGRAPHIER",IF(AP1478="A","ACCEPTÉ",IF(AP1478="NX","NX – RT À REFAIRE",IF(IF(AO1478=1,AD1478,IF(AO1478=2,AI1478,""))="A","RÉPARÉ – À RADIOGRAPHIER",IF(IF(AO1478=1,AD1478,IF(AO1478=2,AI1478,""))="R","VT REJETÉ – À REPRENDRE",IF(OR(AP1478="CO",AP1478="NT"),"COUPE – À RESOUDER","À RÉPARER"))))))))))</f>
        <v>À RÉPARER</v>
      </c>
      <c r="AR1478" s="82" t="n">
        <f aca="false">IF(AND(ISNUMBER(U1478),OR(AQ1478="À RADIOGRAPHIER",AQ1478="RÉPARÉ – À RADIOGRAPHIER",AQ1478="NX – RT À REFAIRE",AQ1478="À RÉPARER",AQ1478="COUPE – À RESOUDER",AQ1478="VT REJETÉ – À REPRENDRE")),MAX(0,'PROGRAMME RT'!$C$4-U1478),"")</f>
        <v>17</v>
      </c>
      <c r="AS1478" s="82" t="n">
        <f aca="false">IF(AND(OR(AQ1478="À RADIOGRAPHIER",AQ1478="RÉPARÉ – À RADIOGRAPHIER",AQ1478="NX – RT À REFAIRE"),OR('PROGRAMME RT'!$D$5="TOUTES",B1478='PROGRAMME RT'!$D$5)),1,0)</f>
        <v>0</v>
      </c>
      <c r="AT1478" s="82" t="str">
        <f aca="false">IF(AS1478=1,SUM(AS$7:AS1478),"")</f>
        <v/>
      </c>
      <c r="AU1478" s="82" t="n">
        <f aca="false">IF(AND(OR(AA1478="R",AA1478="NX",AA1478="NT",AA1478="CO"),OR('JOINTS DE RÉPARATION'!$D$5="TOUTES",B1478='JOINTS DE RÉPARATION'!$D$5),OR('JOINTS DE RÉPARATION'!$L$4="TOUS",AQ1478&lt;&gt;"ACCEPTÉ")),1,0)</f>
        <v>1</v>
      </c>
      <c r="AV1478" s="82" t="n">
        <f aca="false">IF(AU1478=1,SUM(AU$7:AU1478),"")</f>
        <v>38</v>
      </c>
      <c r="AW1478" s="82" t="str">
        <f aca="false">IF(E1478="","",B1478&amp;"|"&amp;E1478)</f>
        <v>MFD-ISW → MFD-CPF|JN°1231</v>
      </c>
    </row>
    <row r="1479" customFormat="false" ht="74.6" hidden="false" customHeight="false" outlineLevel="0" collapsed="false">
      <c r="A1479" s="79" t="n">
        <f aca="false">IF(E1479="","",ROW()-6)</f>
        <v>1473</v>
      </c>
      <c r="B1479" s="80" t="s">
        <v>110</v>
      </c>
      <c r="C1479" s="81" t="s">
        <v>1748</v>
      </c>
      <c r="D1479" s="81" t="n">
        <v>13</v>
      </c>
      <c r="E1479" s="81" t="s">
        <v>1772</v>
      </c>
      <c r="F1479" s="82" t="str">
        <f aca="false">IF(E1479="","",IF(LEFT(E1479,2)="DJ","DJ","JN"))</f>
        <v>DJ</v>
      </c>
      <c r="G1479" s="81"/>
      <c r="H1479" s="81" t="s">
        <v>871</v>
      </c>
      <c r="I1479" s="81" t="n">
        <v>9.53</v>
      </c>
      <c r="J1479" s="81" t="s">
        <v>872</v>
      </c>
      <c r="K1479" s="81" t="s">
        <v>873</v>
      </c>
      <c r="L1479" s="81" t="n">
        <v>2081580</v>
      </c>
      <c r="M1479" s="81" t="n">
        <v>15421103</v>
      </c>
      <c r="N1479" s="81" t="n">
        <v>11.94</v>
      </c>
      <c r="O1479" s="81" t="n">
        <v>2085810</v>
      </c>
      <c r="P1479" s="81" t="n">
        <v>15421107</v>
      </c>
      <c r="Q1479" s="81" t="n">
        <v>11.94</v>
      </c>
      <c r="R1479" s="81" t="s">
        <v>1135</v>
      </c>
      <c r="S1479" s="81"/>
      <c r="T1479" s="81"/>
      <c r="U1479" s="83" t="n">
        <v>46268</v>
      </c>
      <c r="V1479" s="83" t="n">
        <v>46268</v>
      </c>
      <c r="W1479" s="81" t="s">
        <v>1773</v>
      </c>
      <c r="X1479" s="81" t="s">
        <v>876</v>
      </c>
      <c r="Y1479" s="83" t="n">
        <v>46269</v>
      </c>
      <c r="Z1479" s="81" t="s">
        <v>1774</v>
      </c>
      <c r="AA1479" s="81" t="s">
        <v>876</v>
      </c>
      <c r="AB1479" s="81"/>
      <c r="AC1479" s="81"/>
      <c r="AD1479" s="81"/>
      <c r="AE1479" s="83"/>
      <c r="AF1479" s="81"/>
      <c r="AG1479" s="81"/>
      <c r="AH1479" s="81"/>
      <c r="AI1479" s="81"/>
      <c r="AJ1479" s="83"/>
      <c r="AK1479" s="81"/>
      <c r="AL1479" s="81"/>
      <c r="AM1479" s="83"/>
      <c r="AN1479" s="80"/>
      <c r="AO1479" s="82" t="n">
        <f aca="false">IF(E1479="","",(AA1479&lt;&gt;"")+(AG1479&lt;&gt;"")+(AL1479&lt;&gt;""))</f>
        <v>1</v>
      </c>
      <c r="AP1479" s="82" t="str">
        <f aca="false">IF(AL1479&lt;&gt;"",AL1479,IF(AG1479&lt;&gt;"",AG1479,IF(AA1479&lt;&gt;"",AA1479,"")))</f>
        <v>A</v>
      </c>
      <c r="AQ1479" s="84" t="str">
        <f aca="false">IF(E1479="","",IF(U1479="","À SOUDER",IF(X1479="","VT EN ATTENTE",IF(X1479="R","VT REJETÉ – À REPRENDRE",IF(AP1479="","À RADIOGRAPHIER",IF(AP1479="A","ACCEPTÉ",IF(AP1479="NX","NX – RT À REFAIRE",IF(IF(AO1479=1,AD1479,IF(AO1479=2,AI1479,""))="A","RÉPARÉ – À RADIOGRAPHIER",IF(IF(AO1479=1,AD1479,IF(AO1479=2,AI1479,""))="R","VT REJETÉ – À REPRENDRE",IF(OR(AP1479="CO",AP1479="NT"),"COUPE – À RESOUDER","À RÉPARER"))))))))))</f>
        <v>ACCEPTÉ</v>
      </c>
      <c r="AR1479" s="82" t="str">
        <f aca="false">IF(AND(ISNUMBER(U1479),OR(AQ1479="À RADIOGRAPHIER",AQ1479="RÉPARÉ – À RADIOGRAPHIER",AQ1479="NX – RT À REFAIRE",AQ1479="À RÉPARER",AQ1479="COUPE – À RESOUDER",AQ1479="VT REJETÉ – À REPRENDRE")),MAX(0,'PROGRAMME RT'!$C$4-U1479),"")</f>
        <v/>
      </c>
      <c r="AS1479" s="82" t="n">
        <f aca="false">IF(AND(OR(AQ1479="À RADIOGRAPHIER",AQ1479="RÉPARÉ – À RADIOGRAPHIER",AQ1479="NX – RT À REFAIRE"),OR('PROGRAMME RT'!$D$5="TOUTES",B1479='PROGRAMME RT'!$D$5)),1,0)</f>
        <v>0</v>
      </c>
      <c r="AT1479" s="82" t="str">
        <f aca="false">IF(AS1479=1,SUM(AS$7:AS1479),"")</f>
        <v/>
      </c>
      <c r="AU1479" s="82" t="n">
        <f aca="false">IF(AND(OR(AA1479="R",AA1479="NX",AA1479="NT",AA1479="CO"),OR('JOINTS DE RÉPARATION'!$D$5="TOUTES",B1479='JOINTS DE RÉPARATION'!$D$5),OR('JOINTS DE RÉPARATION'!$L$4="TOUS",AQ1479&lt;&gt;"ACCEPTÉ")),1,0)</f>
        <v>0</v>
      </c>
      <c r="AV1479" s="82" t="str">
        <f aca="false">IF(AU1479=1,SUM(AU$7:AU1479),"")</f>
        <v/>
      </c>
      <c r="AW1479" s="82" t="str">
        <f aca="false">IF(E1479="","",B1479&amp;"|"&amp;E1479)</f>
        <v>MFD-ISW → MFD-CPF|DJ°262</v>
      </c>
    </row>
    <row r="1480" customFormat="false" ht="74.6" hidden="false" customHeight="false" outlineLevel="0" collapsed="false">
      <c r="A1480" s="79" t="n">
        <f aca="false">IF(E1480="","",ROW()-6)</f>
        <v>1474</v>
      </c>
      <c r="B1480" s="80" t="s">
        <v>110</v>
      </c>
      <c r="C1480" s="81" t="s">
        <v>1748</v>
      </c>
      <c r="D1480" s="81" t="n">
        <v>13</v>
      </c>
      <c r="E1480" s="81" t="s">
        <v>1775</v>
      </c>
      <c r="F1480" s="82" t="str">
        <f aca="false">IF(E1480="","",IF(LEFT(E1480,2)="DJ","DJ","JN"))</f>
        <v>JN</v>
      </c>
      <c r="G1480" s="81" t="s">
        <v>1504</v>
      </c>
      <c r="H1480" s="81" t="s">
        <v>871</v>
      </c>
      <c r="I1480" s="81" t="n">
        <v>9.53</v>
      </c>
      <c r="J1480" s="81" t="s">
        <v>872</v>
      </c>
      <c r="K1480" s="81" t="s">
        <v>879</v>
      </c>
      <c r="L1480" s="81" t="n">
        <v>2085810</v>
      </c>
      <c r="M1480" s="81" t="n">
        <v>15421107</v>
      </c>
      <c r="N1480" s="81" t="n">
        <v>11.94</v>
      </c>
      <c r="O1480" s="81" t="n">
        <v>2092960</v>
      </c>
      <c r="P1480" s="81" t="n">
        <v>15421110</v>
      </c>
      <c r="Q1480" s="81" t="n">
        <v>11.94</v>
      </c>
      <c r="R1480" s="81" t="s">
        <v>1367</v>
      </c>
      <c r="S1480" s="81"/>
      <c r="T1480" s="81"/>
      <c r="U1480" s="83" t="n">
        <v>46276</v>
      </c>
      <c r="V1480" s="83" t="n">
        <v>46276</v>
      </c>
      <c r="W1480" s="81" t="s">
        <v>1751</v>
      </c>
      <c r="X1480" s="81" t="s">
        <v>876</v>
      </c>
      <c r="Y1480" s="83" t="n">
        <v>46281</v>
      </c>
      <c r="Z1480" s="81" t="s">
        <v>1776</v>
      </c>
      <c r="AA1480" s="81" t="s">
        <v>876</v>
      </c>
      <c r="AB1480" s="81"/>
      <c r="AC1480" s="81"/>
      <c r="AD1480" s="81"/>
      <c r="AE1480" s="83"/>
      <c r="AF1480" s="81"/>
      <c r="AG1480" s="81"/>
      <c r="AH1480" s="81"/>
      <c r="AI1480" s="81"/>
      <c r="AJ1480" s="83"/>
      <c r="AK1480" s="81"/>
      <c r="AL1480" s="81"/>
      <c r="AM1480" s="83"/>
      <c r="AN1480" s="80"/>
      <c r="AO1480" s="82" t="n">
        <f aca="false">IF(E1480="","",(AA1480&lt;&gt;"")+(AG1480&lt;&gt;"")+(AL1480&lt;&gt;""))</f>
        <v>1</v>
      </c>
      <c r="AP1480" s="82" t="str">
        <f aca="false">IF(AL1480&lt;&gt;"",AL1480,IF(AG1480&lt;&gt;"",AG1480,IF(AA1480&lt;&gt;"",AA1480,"")))</f>
        <v>A</v>
      </c>
      <c r="AQ1480" s="84" t="str">
        <f aca="false">IF(E1480="","",IF(U1480="","À SOUDER",IF(X1480="","VT EN ATTENTE",IF(X1480="R","VT REJETÉ – À REPRENDRE",IF(AP1480="","À RADIOGRAPHIER",IF(AP1480="A","ACCEPTÉ",IF(AP1480="NX","NX – RT À REFAIRE",IF(IF(AO1480=1,AD1480,IF(AO1480=2,AI1480,""))="A","RÉPARÉ – À RADIOGRAPHIER",IF(IF(AO1480=1,AD1480,IF(AO1480=2,AI1480,""))="R","VT REJETÉ – À REPRENDRE",IF(OR(AP1480="CO",AP1480="NT"),"COUPE – À RESOUDER","À RÉPARER"))))))))))</f>
        <v>ACCEPTÉ</v>
      </c>
      <c r="AR1480" s="82" t="str">
        <f aca="false">IF(AND(ISNUMBER(U1480),OR(AQ1480="À RADIOGRAPHIER",AQ1480="RÉPARÉ – À RADIOGRAPHIER",AQ1480="NX – RT À REFAIRE",AQ1480="À RÉPARER",AQ1480="COUPE – À RESOUDER",AQ1480="VT REJETÉ – À REPRENDRE")),MAX(0,'PROGRAMME RT'!$C$4-U1480),"")</f>
        <v/>
      </c>
      <c r="AS1480" s="82" t="n">
        <f aca="false">IF(AND(OR(AQ1480="À RADIOGRAPHIER",AQ1480="RÉPARÉ – À RADIOGRAPHIER",AQ1480="NX – RT À REFAIRE"),OR('PROGRAMME RT'!$D$5="TOUTES",B1480='PROGRAMME RT'!$D$5)),1,0)</f>
        <v>0</v>
      </c>
      <c r="AT1480" s="82" t="str">
        <f aca="false">IF(AS1480=1,SUM(AS$7:AS1480),"")</f>
        <v/>
      </c>
      <c r="AU1480" s="82" t="n">
        <f aca="false">IF(AND(OR(AA1480="R",AA1480="NX",AA1480="NT",AA1480="CO"),OR('JOINTS DE RÉPARATION'!$D$5="TOUTES",B1480='JOINTS DE RÉPARATION'!$D$5),OR('JOINTS DE RÉPARATION'!$L$4="TOUS",AQ1480&lt;&gt;"ACCEPTÉ")),1,0)</f>
        <v>0</v>
      </c>
      <c r="AV1480" s="82" t="str">
        <f aca="false">IF(AU1480=1,SUM(AU$7:AU1480),"")</f>
        <v/>
      </c>
      <c r="AW1480" s="82" t="str">
        <f aca="false">IF(E1480="","",B1480&amp;"|"&amp;E1480)</f>
        <v>MFD-ISW → MFD-CPF|JN°1232</v>
      </c>
    </row>
    <row r="1481" customFormat="false" ht="74.6" hidden="false" customHeight="false" outlineLevel="0" collapsed="false">
      <c r="A1481" s="79" t="n">
        <f aca="false">IF(E1481="","",ROW()-6)</f>
        <v>1475</v>
      </c>
      <c r="B1481" s="80" t="s">
        <v>110</v>
      </c>
      <c r="C1481" s="81" t="s">
        <v>1748</v>
      </c>
      <c r="D1481" s="81" t="n">
        <v>13</v>
      </c>
      <c r="E1481" s="81" t="s">
        <v>1777</v>
      </c>
      <c r="F1481" s="82" t="str">
        <f aca="false">IF(E1481="","",IF(LEFT(E1481,2)="DJ","DJ","JN"))</f>
        <v>DJ</v>
      </c>
      <c r="G1481" s="81"/>
      <c r="H1481" s="81" t="s">
        <v>871</v>
      </c>
      <c r="I1481" s="81" t="n">
        <v>9.53</v>
      </c>
      <c r="J1481" s="81" t="s">
        <v>872</v>
      </c>
      <c r="K1481" s="81" t="s">
        <v>873</v>
      </c>
      <c r="L1481" s="81" t="n">
        <v>2092960</v>
      </c>
      <c r="M1481" s="81" t="n">
        <v>15421110</v>
      </c>
      <c r="N1481" s="81" t="n">
        <v>11.94</v>
      </c>
      <c r="O1481" s="81" t="n">
        <v>2086010</v>
      </c>
      <c r="P1481" s="81" t="n">
        <v>15421107</v>
      </c>
      <c r="Q1481" s="81" t="n">
        <v>11.94</v>
      </c>
      <c r="R1481" s="81" t="s">
        <v>1147</v>
      </c>
      <c r="S1481" s="81"/>
      <c r="T1481" s="81"/>
      <c r="U1481" s="83" t="n">
        <v>46268</v>
      </c>
      <c r="V1481" s="83" t="n">
        <v>46268</v>
      </c>
      <c r="W1481" s="81" t="s">
        <v>1773</v>
      </c>
      <c r="X1481" s="81" t="s">
        <v>876</v>
      </c>
      <c r="Y1481" s="83" t="n">
        <v>46269</v>
      </c>
      <c r="Z1481" s="81" t="s">
        <v>1774</v>
      </c>
      <c r="AA1481" s="81" t="s">
        <v>876</v>
      </c>
      <c r="AB1481" s="81"/>
      <c r="AC1481" s="81"/>
      <c r="AD1481" s="81"/>
      <c r="AE1481" s="83"/>
      <c r="AF1481" s="81"/>
      <c r="AG1481" s="81"/>
      <c r="AH1481" s="81"/>
      <c r="AI1481" s="81"/>
      <c r="AJ1481" s="83"/>
      <c r="AK1481" s="81"/>
      <c r="AL1481" s="81"/>
      <c r="AM1481" s="83"/>
      <c r="AN1481" s="80"/>
      <c r="AO1481" s="82" t="n">
        <f aca="false">IF(E1481="","",(AA1481&lt;&gt;"")+(AG1481&lt;&gt;"")+(AL1481&lt;&gt;""))</f>
        <v>1</v>
      </c>
      <c r="AP1481" s="82" t="str">
        <f aca="false">IF(AL1481&lt;&gt;"",AL1481,IF(AG1481&lt;&gt;"",AG1481,IF(AA1481&lt;&gt;"",AA1481,"")))</f>
        <v>A</v>
      </c>
      <c r="AQ1481" s="84" t="str">
        <f aca="false">IF(E1481="","",IF(U1481="","À SOUDER",IF(X1481="","VT EN ATTENTE",IF(X1481="R","VT REJETÉ – À REPRENDRE",IF(AP1481="","À RADIOGRAPHIER",IF(AP1481="A","ACCEPTÉ",IF(AP1481="NX","NX – RT À REFAIRE",IF(IF(AO1481=1,AD1481,IF(AO1481=2,AI1481,""))="A","RÉPARÉ – À RADIOGRAPHIER",IF(IF(AO1481=1,AD1481,IF(AO1481=2,AI1481,""))="R","VT REJETÉ – À REPRENDRE",IF(OR(AP1481="CO",AP1481="NT"),"COUPE – À RESOUDER","À RÉPARER"))))))))))</f>
        <v>ACCEPTÉ</v>
      </c>
      <c r="AR1481" s="82" t="str">
        <f aca="false">IF(AND(ISNUMBER(U1481),OR(AQ1481="À RADIOGRAPHIER",AQ1481="RÉPARÉ – À RADIOGRAPHIER",AQ1481="NX – RT À REFAIRE",AQ1481="À RÉPARER",AQ1481="COUPE – À RESOUDER",AQ1481="VT REJETÉ – À REPRENDRE")),MAX(0,'PROGRAMME RT'!$C$4-U1481),"")</f>
        <v/>
      </c>
      <c r="AS1481" s="82" t="n">
        <f aca="false">IF(AND(OR(AQ1481="À RADIOGRAPHIER",AQ1481="RÉPARÉ – À RADIOGRAPHIER",AQ1481="NX – RT À REFAIRE"),OR('PROGRAMME RT'!$D$5="TOUTES",B1481='PROGRAMME RT'!$D$5)),1,0)</f>
        <v>0</v>
      </c>
      <c r="AT1481" s="82" t="str">
        <f aca="false">IF(AS1481=1,SUM(AS$7:AS1481),"")</f>
        <v/>
      </c>
      <c r="AU1481" s="82" t="n">
        <f aca="false">IF(AND(OR(AA1481="R",AA1481="NX",AA1481="NT",AA1481="CO"),OR('JOINTS DE RÉPARATION'!$D$5="TOUTES",B1481='JOINTS DE RÉPARATION'!$D$5),OR('JOINTS DE RÉPARATION'!$L$4="TOUS",AQ1481&lt;&gt;"ACCEPTÉ")),1,0)</f>
        <v>0</v>
      </c>
      <c r="AV1481" s="82" t="str">
        <f aca="false">IF(AU1481=1,SUM(AU$7:AU1481),"")</f>
        <v/>
      </c>
      <c r="AW1481" s="82" t="str">
        <f aca="false">IF(E1481="","",B1481&amp;"|"&amp;E1481)</f>
        <v>MFD-ISW → MFD-CPF|DJ°261</v>
      </c>
    </row>
    <row r="1482" customFormat="false" ht="74.6" hidden="false" customHeight="false" outlineLevel="0" collapsed="false">
      <c r="A1482" s="79" t="n">
        <f aca="false">IF(E1482="","",ROW()-6)</f>
        <v>1476</v>
      </c>
      <c r="B1482" s="80" t="s">
        <v>110</v>
      </c>
      <c r="C1482" s="81" t="s">
        <v>1748</v>
      </c>
      <c r="D1482" s="81" t="n">
        <v>13</v>
      </c>
      <c r="E1482" s="81" t="s">
        <v>1778</v>
      </c>
      <c r="F1482" s="82" t="str">
        <f aca="false">IF(E1482="","",IF(LEFT(E1482,2)="DJ","DJ","JN"))</f>
        <v>JN</v>
      </c>
      <c r="G1482" s="81" t="s">
        <v>1504</v>
      </c>
      <c r="H1482" s="81" t="s">
        <v>871</v>
      </c>
      <c r="I1482" s="81" t="n">
        <v>9.53</v>
      </c>
      <c r="J1482" s="81" t="s">
        <v>872</v>
      </c>
      <c r="K1482" s="81" t="s">
        <v>879</v>
      </c>
      <c r="L1482" s="81" t="n">
        <v>2086010</v>
      </c>
      <c r="M1482" s="81" t="n">
        <v>15421107</v>
      </c>
      <c r="N1482" s="81" t="n">
        <v>11.94</v>
      </c>
      <c r="O1482" s="81" t="n">
        <v>2061130</v>
      </c>
      <c r="P1482" s="81" t="n">
        <v>15421103</v>
      </c>
      <c r="Q1482" s="81" t="n">
        <v>11.94</v>
      </c>
      <c r="R1482" s="81" t="s">
        <v>1367</v>
      </c>
      <c r="S1482" s="81"/>
      <c r="T1482" s="81"/>
      <c r="U1482" s="83" t="n">
        <v>46276</v>
      </c>
      <c r="V1482" s="83" t="n">
        <v>46276</v>
      </c>
      <c r="W1482" s="81" t="s">
        <v>1751</v>
      </c>
      <c r="X1482" s="81" t="s">
        <v>876</v>
      </c>
      <c r="Y1482" s="83" t="n">
        <v>46281</v>
      </c>
      <c r="Z1482" s="81" t="s">
        <v>1776</v>
      </c>
      <c r="AA1482" s="81" t="s">
        <v>876</v>
      </c>
      <c r="AB1482" s="81"/>
      <c r="AC1482" s="81"/>
      <c r="AD1482" s="81"/>
      <c r="AE1482" s="83"/>
      <c r="AF1482" s="81"/>
      <c r="AG1482" s="81"/>
      <c r="AH1482" s="81"/>
      <c r="AI1482" s="81"/>
      <c r="AJ1482" s="83"/>
      <c r="AK1482" s="81"/>
      <c r="AL1482" s="81"/>
      <c r="AM1482" s="83"/>
      <c r="AN1482" s="80"/>
      <c r="AO1482" s="82" t="n">
        <f aca="false">IF(E1482="","",(AA1482&lt;&gt;"")+(AG1482&lt;&gt;"")+(AL1482&lt;&gt;""))</f>
        <v>1</v>
      </c>
      <c r="AP1482" s="82" t="str">
        <f aca="false">IF(AL1482&lt;&gt;"",AL1482,IF(AG1482&lt;&gt;"",AG1482,IF(AA1482&lt;&gt;"",AA1482,"")))</f>
        <v>A</v>
      </c>
      <c r="AQ1482" s="84" t="str">
        <f aca="false">IF(E1482="","",IF(U1482="","À SOUDER",IF(X1482="","VT EN ATTENTE",IF(X1482="R","VT REJETÉ – À REPRENDRE",IF(AP1482="","À RADIOGRAPHIER",IF(AP1482="A","ACCEPTÉ",IF(AP1482="NX","NX – RT À REFAIRE",IF(IF(AO1482=1,AD1482,IF(AO1482=2,AI1482,""))="A","RÉPARÉ – À RADIOGRAPHIER",IF(IF(AO1482=1,AD1482,IF(AO1482=2,AI1482,""))="R","VT REJETÉ – À REPRENDRE",IF(OR(AP1482="CO",AP1482="NT"),"COUPE – À RESOUDER","À RÉPARER"))))))))))</f>
        <v>ACCEPTÉ</v>
      </c>
      <c r="AR1482" s="82" t="str">
        <f aca="false">IF(AND(ISNUMBER(U1482),OR(AQ1482="À RADIOGRAPHIER",AQ1482="RÉPARÉ – À RADIOGRAPHIER",AQ1482="NX – RT À REFAIRE",AQ1482="À RÉPARER",AQ1482="COUPE – À RESOUDER",AQ1482="VT REJETÉ – À REPRENDRE")),MAX(0,'PROGRAMME RT'!$C$4-U1482),"")</f>
        <v/>
      </c>
      <c r="AS1482" s="82" t="n">
        <f aca="false">IF(AND(OR(AQ1482="À RADIOGRAPHIER",AQ1482="RÉPARÉ – À RADIOGRAPHIER",AQ1482="NX – RT À REFAIRE"),OR('PROGRAMME RT'!$D$5="TOUTES",B1482='PROGRAMME RT'!$D$5)),1,0)</f>
        <v>0</v>
      </c>
      <c r="AT1482" s="82" t="str">
        <f aca="false">IF(AS1482=1,SUM(AS$7:AS1482),"")</f>
        <v/>
      </c>
      <c r="AU1482" s="82" t="n">
        <f aca="false">IF(AND(OR(AA1482="R",AA1482="NX",AA1482="NT",AA1482="CO"),OR('JOINTS DE RÉPARATION'!$D$5="TOUTES",B1482='JOINTS DE RÉPARATION'!$D$5),OR('JOINTS DE RÉPARATION'!$L$4="TOUS",AQ1482&lt;&gt;"ACCEPTÉ")),1,0)</f>
        <v>0</v>
      </c>
      <c r="AV1482" s="82" t="str">
        <f aca="false">IF(AU1482=1,SUM(AU$7:AU1482),"")</f>
        <v/>
      </c>
      <c r="AW1482" s="82" t="str">
        <f aca="false">IF(E1482="","",B1482&amp;"|"&amp;E1482)</f>
        <v>MFD-ISW → MFD-CPF|JN°1233</v>
      </c>
    </row>
    <row r="1483" customFormat="false" ht="74.6" hidden="false" customHeight="false" outlineLevel="0" collapsed="false">
      <c r="A1483" s="79" t="n">
        <f aca="false">IF(E1483="","",ROW()-6)</f>
        <v>1477</v>
      </c>
      <c r="B1483" s="80" t="s">
        <v>110</v>
      </c>
      <c r="C1483" s="81" t="s">
        <v>1748</v>
      </c>
      <c r="D1483" s="81" t="n">
        <v>13</v>
      </c>
      <c r="E1483" s="81" t="s">
        <v>1779</v>
      </c>
      <c r="F1483" s="82" t="str">
        <f aca="false">IF(E1483="","",IF(LEFT(E1483,2)="DJ","DJ","JN"))</f>
        <v>DJ</v>
      </c>
      <c r="G1483" s="81"/>
      <c r="H1483" s="81" t="s">
        <v>871</v>
      </c>
      <c r="I1483" s="81" t="n">
        <v>9.53</v>
      </c>
      <c r="J1483" s="81" t="s">
        <v>872</v>
      </c>
      <c r="K1483" s="81" t="s">
        <v>873</v>
      </c>
      <c r="L1483" s="81" t="n">
        <v>2061130</v>
      </c>
      <c r="M1483" s="81" t="n">
        <v>15421103</v>
      </c>
      <c r="N1483" s="81" t="n">
        <v>11.94</v>
      </c>
      <c r="O1483" s="81" t="n">
        <v>2084260</v>
      </c>
      <c r="P1483" s="81" t="n">
        <v>15421111</v>
      </c>
      <c r="Q1483" s="81" t="n">
        <v>11.94</v>
      </c>
      <c r="R1483" s="81" t="s">
        <v>963</v>
      </c>
      <c r="S1483" s="81"/>
      <c r="T1483" s="81"/>
      <c r="U1483" s="83" t="n">
        <v>46267</v>
      </c>
      <c r="V1483" s="83" t="n">
        <v>46267</v>
      </c>
      <c r="W1483" s="81" t="s">
        <v>1760</v>
      </c>
      <c r="X1483" s="81" t="s">
        <v>876</v>
      </c>
      <c r="Y1483" s="83" t="n">
        <v>46269</v>
      </c>
      <c r="Z1483" s="81" t="s">
        <v>1761</v>
      </c>
      <c r="AA1483" s="81" t="s">
        <v>876</v>
      </c>
      <c r="AB1483" s="81"/>
      <c r="AC1483" s="81"/>
      <c r="AD1483" s="81"/>
      <c r="AE1483" s="83"/>
      <c r="AF1483" s="81"/>
      <c r="AG1483" s="81"/>
      <c r="AH1483" s="81"/>
      <c r="AI1483" s="81"/>
      <c r="AJ1483" s="83"/>
      <c r="AK1483" s="81"/>
      <c r="AL1483" s="81"/>
      <c r="AM1483" s="83"/>
      <c r="AN1483" s="80"/>
      <c r="AO1483" s="82" t="n">
        <f aca="false">IF(E1483="","",(AA1483&lt;&gt;"")+(AG1483&lt;&gt;"")+(AL1483&lt;&gt;""))</f>
        <v>1</v>
      </c>
      <c r="AP1483" s="82" t="str">
        <f aca="false">IF(AL1483&lt;&gt;"",AL1483,IF(AG1483&lt;&gt;"",AG1483,IF(AA1483&lt;&gt;"",AA1483,"")))</f>
        <v>A</v>
      </c>
      <c r="AQ1483" s="84" t="str">
        <f aca="false">IF(E1483="","",IF(U1483="","À SOUDER",IF(X1483="","VT EN ATTENTE",IF(X1483="R","VT REJETÉ – À REPRENDRE",IF(AP1483="","À RADIOGRAPHIER",IF(AP1483="A","ACCEPTÉ",IF(AP1483="NX","NX – RT À REFAIRE",IF(IF(AO1483=1,AD1483,IF(AO1483=2,AI1483,""))="A","RÉPARÉ – À RADIOGRAPHIER",IF(IF(AO1483=1,AD1483,IF(AO1483=2,AI1483,""))="R","VT REJETÉ – À REPRENDRE",IF(OR(AP1483="CO",AP1483="NT"),"COUPE – À RESOUDER","À RÉPARER"))))))))))</f>
        <v>ACCEPTÉ</v>
      </c>
      <c r="AR1483" s="82" t="str">
        <f aca="false">IF(AND(ISNUMBER(U1483),OR(AQ1483="À RADIOGRAPHIER",AQ1483="RÉPARÉ – À RADIOGRAPHIER",AQ1483="NX – RT À REFAIRE",AQ1483="À RÉPARER",AQ1483="COUPE – À RESOUDER",AQ1483="VT REJETÉ – À REPRENDRE")),MAX(0,'PROGRAMME RT'!$C$4-U1483),"")</f>
        <v/>
      </c>
      <c r="AS1483" s="82" t="n">
        <f aca="false">IF(AND(OR(AQ1483="À RADIOGRAPHIER",AQ1483="RÉPARÉ – À RADIOGRAPHIER",AQ1483="NX – RT À REFAIRE"),OR('PROGRAMME RT'!$D$5="TOUTES",B1483='PROGRAMME RT'!$D$5)),1,0)</f>
        <v>0</v>
      </c>
      <c r="AT1483" s="82" t="str">
        <f aca="false">IF(AS1483=1,SUM(AS$7:AS1483),"")</f>
        <v/>
      </c>
      <c r="AU1483" s="82" t="n">
        <f aca="false">IF(AND(OR(AA1483="R",AA1483="NX",AA1483="NT",AA1483="CO"),OR('JOINTS DE RÉPARATION'!$D$5="TOUTES",B1483='JOINTS DE RÉPARATION'!$D$5),OR('JOINTS DE RÉPARATION'!$L$4="TOUS",AQ1483&lt;&gt;"ACCEPTÉ")),1,0)</f>
        <v>0</v>
      </c>
      <c r="AV1483" s="82" t="str">
        <f aca="false">IF(AU1483=1,SUM(AU$7:AU1483),"")</f>
        <v/>
      </c>
      <c r="AW1483" s="82" t="str">
        <f aca="false">IF(E1483="","",B1483&amp;"|"&amp;E1483)</f>
        <v>MFD-ISW → MFD-CPF|DJ°235</v>
      </c>
    </row>
    <row r="1484" customFormat="false" ht="74.6" hidden="false" customHeight="false" outlineLevel="0" collapsed="false">
      <c r="A1484" s="79" t="n">
        <f aca="false">IF(E1484="","",ROW()-6)</f>
        <v>1478</v>
      </c>
      <c r="B1484" s="80" t="s">
        <v>110</v>
      </c>
      <c r="C1484" s="81" t="s">
        <v>1748</v>
      </c>
      <c r="D1484" s="81" t="n">
        <v>13</v>
      </c>
      <c r="E1484" s="81" t="s">
        <v>1780</v>
      </c>
      <c r="F1484" s="82" t="str">
        <f aca="false">IF(E1484="","",IF(LEFT(E1484,2)="DJ","DJ","JN"))</f>
        <v>JN</v>
      </c>
      <c r="G1484" s="81" t="s">
        <v>1504</v>
      </c>
      <c r="H1484" s="81" t="s">
        <v>871</v>
      </c>
      <c r="I1484" s="81" t="n">
        <v>9.53</v>
      </c>
      <c r="J1484" s="81" t="s">
        <v>872</v>
      </c>
      <c r="K1484" s="81" t="s">
        <v>879</v>
      </c>
      <c r="L1484" s="81" t="n">
        <v>2084260</v>
      </c>
      <c r="M1484" s="81" t="n">
        <v>15421111</v>
      </c>
      <c r="N1484" s="81" t="n">
        <v>11.94</v>
      </c>
      <c r="O1484" s="81" t="n">
        <v>2090270</v>
      </c>
      <c r="P1484" s="81" t="n">
        <v>15421109</v>
      </c>
      <c r="Q1484" s="81" t="n">
        <v>11.94</v>
      </c>
      <c r="R1484" s="81" t="s">
        <v>1367</v>
      </c>
      <c r="S1484" s="81"/>
      <c r="T1484" s="81"/>
      <c r="U1484" s="83" t="n">
        <v>46276</v>
      </c>
      <c r="V1484" s="83" t="n">
        <v>46276</v>
      </c>
      <c r="W1484" s="81" t="s">
        <v>1751</v>
      </c>
      <c r="X1484" s="81" t="s">
        <v>876</v>
      </c>
      <c r="Y1484" s="83" t="n">
        <v>46281</v>
      </c>
      <c r="Z1484" s="81" t="s">
        <v>1776</v>
      </c>
      <c r="AA1484" s="81" t="s">
        <v>876</v>
      </c>
      <c r="AB1484" s="81"/>
      <c r="AC1484" s="81"/>
      <c r="AD1484" s="81"/>
      <c r="AE1484" s="83"/>
      <c r="AF1484" s="81"/>
      <c r="AG1484" s="81"/>
      <c r="AH1484" s="81"/>
      <c r="AI1484" s="81"/>
      <c r="AJ1484" s="83"/>
      <c r="AK1484" s="81"/>
      <c r="AL1484" s="81"/>
      <c r="AM1484" s="83"/>
      <c r="AN1484" s="80"/>
      <c r="AO1484" s="82" t="n">
        <f aca="false">IF(E1484="","",(AA1484&lt;&gt;"")+(AG1484&lt;&gt;"")+(AL1484&lt;&gt;""))</f>
        <v>1</v>
      </c>
      <c r="AP1484" s="82" t="str">
        <f aca="false">IF(AL1484&lt;&gt;"",AL1484,IF(AG1484&lt;&gt;"",AG1484,IF(AA1484&lt;&gt;"",AA1484,"")))</f>
        <v>A</v>
      </c>
      <c r="AQ1484" s="84" t="str">
        <f aca="false">IF(E1484="","",IF(U1484="","À SOUDER",IF(X1484="","VT EN ATTENTE",IF(X1484="R","VT REJETÉ – À REPRENDRE",IF(AP1484="","À RADIOGRAPHIER",IF(AP1484="A","ACCEPTÉ",IF(AP1484="NX","NX – RT À REFAIRE",IF(IF(AO1484=1,AD1484,IF(AO1484=2,AI1484,""))="A","RÉPARÉ – À RADIOGRAPHIER",IF(IF(AO1484=1,AD1484,IF(AO1484=2,AI1484,""))="R","VT REJETÉ – À REPRENDRE",IF(OR(AP1484="CO",AP1484="NT"),"COUPE – À RESOUDER","À RÉPARER"))))))))))</f>
        <v>ACCEPTÉ</v>
      </c>
      <c r="AR1484" s="82" t="str">
        <f aca="false">IF(AND(ISNUMBER(U1484),OR(AQ1484="À RADIOGRAPHIER",AQ1484="RÉPARÉ – À RADIOGRAPHIER",AQ1484="NX – RT À REFAIRE",AQ1484="À RÉPARER",AQ1484="COUPE – À RESOUDER",AQ1484="VT REJETÉ – À REPRENDRE")),MAX(0,'PROGRAMME RT'!$C$4-U1484),"")</f>
        <v/>
      </c>
      <c r="AS1484" s="82" t="n">
        <f aca="false">IF(AND(OR(AQ1484="À RADIOGRAPHIER",AQ1484="RÉPARÉ – À RADIOGRAPHIER",AQ1484="NX – RT À REFAIRE"),OR('PROGRAMME RT'!$D$5="TOUTES",B1484='PROGRAMME RT'!$D$5)),1,0)</f>
        <v>0</v>
      </c>
      <c r="AT1484" s="82" t="str">
        <f aca="false">IF(AS1484=1,SUM(AS$7:AS1484),"")</f>
        <v/>
      </c>
      <c r="AU1484" s="82" t="n">
        <f aca="false">IF(AND(OR(AA1484="R",AA1484="NX",AA1484="NT",AA1484="CO"),OR('JOINTS DE RÉPARATION'!$D$5="TOUTES",B1484='JOINTS DE RÉPARATION'!$D$5),OR('JOINTS DE RÉPARATION'!$L$4="TOUS",AQ1484&lt;&gt;"ACCEPTÉ")),1,0)</f>
        <v>0</v>
      </c>
      <c r="AV1484" s="82" t="str">
        <f aca="false">IF(AU1484=1,SUM(AU$7:AU1484),"")</f>
        <v/>
      </c>
      <c r="AW1484" s="82" t="str">
        <f aca="false">IF(E1484="","",B1484&amp;"|"&amp;E1484)</f>
        <v>MFD-ISW → MFD-CPF|JN°1234</v>
      </c>
    </row>
    <row r="1485" customFormat="false" ht="74.6" hidden="false" customHeight="false" outlineLevel="0" collapsed="false">
      <c r="A1485" s="79" t="n">
        <f aca="false">IF(E1485="","",ROW()-6)</f>
        <v>1479</v>
      </c>
      <c r="B1485" s="80" t="s">
        <v>110</v>
      </c>
      <c r="C1485" s="81" t="s">
        <v>1748</v>
      </c>
      <c r="D1485" s="81" t="n">
        <v>13</v>
      </c>
      <c r="E1485" s="81" t="s">
        <v>1781</v>
      </c>
      <c r="F1485" s="82" t="str">
        <f aca="false">IF(E1485="","",IF(LEFT(E1485,2)="DJ","DJ","JN"))</f>
        <v>DJ</v>
      </c>
      <c r="G1485" s="81"/>
      <c r="H1485" s="81" t="s">
        <v>871</v>
      </c>
      <c r="I1485" s="81" t="n">
        <v>9.53</v>
      </c>
      <c r="J1485" s="81" t="s">
        <v>872</v>
      </c>
      <c r="K1485" s="81" t="s">
        <v>873</v>
      </c>
      <c r="L1485" s="81" t="n">
        <v>2090270</v>
      </c>
      <c r="M1485" s="81" t="n">
        <v>15421109</v>
      </c>
      <c r="N1485" s="81" t="n">
        <v>11.94</v>
      </c>
      <c r="O1485" s="81" t="n">
        <v>2085980</v>
      </c>
      <c r="P1485" s="81" t="n">
        <v>15421107</v>
      </c>
      <c r="Q1485" s="81" t="n">
        <v>11.94</v>
      </c>
      <c r="R1485" s="81" t="s">
        <v>1147</v>
      </c>
      <c r="S1485" s="81"/>
      <c r="T1485" s="81"/>
      <c r="U1485" s="83" t="n">
        <v>46269</v>
      </c>
      <c r="V1485" s="83" t="n">
        <v>46269</v>
      </c>
      <c r="W1485" s="81" t="s">
        <v>1606</v>
      </c>
      <c r="X1485" s="81" t="s">
        <v>876</v>
      </c>
      <c r="Y1485" s="83" t="n">
        <v>46270</v>
      </c>
      <c r="Z1485" s="81" t="s">
        <v>1757</v>
      </c>
      <c r="AA1485" s="81" t="s">
        <v>876</v>
      </c>
      <c r="AB1485" s="81"/>
      <c r="AC1485" s="81"/>
      <c r="AD1485" s="81"/>
      <c r="AE1485" s="83"/>
      <c r="AF1485" s="81"/>
      <c r="AG1485" s="81"/>
      <c r="AH1485" s="81"/>
      <c r="AI1485" s="81"/>
      <c r="AJ1485" s="83"/>
      <c r="AK1485" s="81"/>
      <c r="AL1485" s="81"/>
      <c r="AM1485" s="83"/>
      <c r="AN1485" s="80"/>
      <c r="AO1485" s="82" t="n">
        <f aca="false">IF(E1485="","",(AA1485&lt;&gt;"")+(AG1485&lt;&gt;"")+(AL1485&lt;&gt;""))</f>
        <v>1</v>
      </c>
      <c r="AP1485" s="82" t="str">
        <f aca="false">IF(AL1485&lt;&gt;"",AL1485,IF(AG1485&lt;&gt;"",AG1485,IF(AA1485&lt;&gt;"",AA1485,"")))</f>
        <v>A</v>
      </c>
      <c r="AQ1485" s="84" t="str">
        <f aca="false">IF(E1485="","",IF(U1485="","À SOUDER",IF(X1485="","VT EN ATTENTE",IF(X1485="R","VT REJETÉ – À REPRENDRE",IF(AP1485="","À RADIOGRAPHIER",IF(AP1485="A","ACCEPTÉ",IF(AP1485="NX","NX – RT À REFAIRE",IF(IF(AO1485=1,AD1485,IF(AO1485=2,AI1485,""))="A","RÉPARÉ – À RADIOGRAPHIER",IF(IF(AO1485=1,AD1485,IF(AO1485=2,AI1485,""))="R","VT REJETÉ – À REPRENDRE",IF(OR(AP1485="CO",AP1485="NT"),"COUPE – À RESOUDER","À RÉPARER"))))))))))</f>
        <v>ACCEPTÉ</v>
      </c>
      <c r="AR1485" s="82" t="str">
        <f aca="false">IF(AND(ISNUMBER(U1485),OR(AQ1485="À RADIOGRAPHIER",AQ1485="RÉPARÉ – À RADIOGRAPHIER",AQ1485="NX – RT À REFAIRE",AQ1485="À RÉPARER",AQ1485="COUPE – À RESOUDER",AQ1485="VT REJETÉ – À REPRENDRE")),MAX(0,'PROGRAMME RT'!$C$4-U1485),"")</f>
        <v/>
      </c>
      <c r="AS1485" s="82" t="n">
        <f aca="false">IF(AND(OR(AQ1485="À RADIOGRAPHIER",AQ1485="RÉPARÉ – À RADIOGRAPHIER",AQ1485="NX – RT À REFAIRE"),OR('PROGRAMME RT'!$D$5="TOUTES",B1485='PROGRAMME RT'!$D$5)),1,0)</f>
        <v>0</v>
      </c>
      <c r="AT1485" s="82" t="str">
        <f aca="false">IF(AS1485=1,SUM(AS$7:AS1485),"")</f>
        <v/>
      </c>
      <c r="AU1485" s="82" t="n">
        <f aca="false">IF(AND(OR(AA1485="R",AA1485="NX",AA1485="NT",AA1485="CO"),OR('JOINTS DE RÉPARATION'!$D$5="TOUTES",B1485='JOINTS DE RÉPARATION'!$D$5),OR('JOINTS DE RÉPARATION'!$L$4="TOUS",AQ1485&lt;&gt;"ACCEPTÉ")),1,0)</f>
        <v>0</v>
      </c>
      <c r="AV1485" s="82" t="str">
        <f aca="false">IF(AU1485=1,SUM(AU$7:AU1485),"")</f>
        <v/>
      </c>
      <c r="AW1485" s="82" t="str">
        <f aca="false">IF(E1485="","",B1485&amp;"|"&amp;E1485)</f>
        <v>MFD-ISW → MFD-CPF|DJ°270</v>
      </c>
    </row>
    <row r="1486" customFormat="false" ht="74.6" hidden="false" customHeight="false" outlineLevel="0" collapsed="false">
      <c r="A1486" s="79" t="n">
        <f aca="false">IF(E1486="","",ROW()-6)</f>
        <v>1480</v>
      </c>
      <c r="B1486" s="80" t="s">
        <v>110</v>
      </c>
      <c r="C1486" s="81" t="s">
        <v>1748</v>
      </c>
      <c r="D1486" s="81" t="n">
        <v>13</v>
      </c>
      <c r="E1486" s="81" t="s">
        <v>1782</v>
      </c>
      <c r="F1486" s="82" t="str">
        <f aca="false">IF(E1486="","",IF(LEFT(E1486,2)="DJ","DJ","JN"))</f>
        <v>JN</v>
      </c>
      <c r="G1486" s="81" t="s">
        <v>1504</v>
      </c>
      <c r="H1486" s="81" t="s">
        <v>871</v>
      </c>
      <c r="I1486" s="81" t="n">
        <v>9.53</v>
      </c>
      <c r="J1486" s="81" t="s">
        <v>872</v>
      </c>
      <c r="K1486" s="81" t="s">
        <v>879</v>
      </c>
      <c r="L1486" s="81" t="n">
        <v>2085980</v>
      </c>
      <c r="M1486" s="81" t="n">
        <v>15421107</v>
      </c>
      <c r="N1486" s="81" t="n">
        <v>11.94</v>
      </c>
      <c r="O1486" s="81" t="n">
        <v>2098490</v>
      </c>
      <c r="P1486" s="81" t="n">
        <v>15421102</v>
      </c>
      <c r="Q1486" s="81" t="n">
        <v>11.94</v>
      </c>
      <c r="R1486" s="81" t="s">
        <v>1367</v>
      </c>
      <c r="S1486" s="81"/>
      <c r="T1486" s="81"/>
      <c r="U1486" s="83" t="n">
        <v>46276</v>
      </c>
      <c r="V1486" s="83" t="n">
        <v>46276</v>
      </c>
      <c r="W1486" s="81" t="s">
        <v>1751</v>
      </c>
      <c r="X1486" s="81" t="s">
        <v>876</v>
      </c>
      <c r="Y1486" s="83" t="n">
        <v>46281</v>
      </c>
      <c r="Z1486" s="81" t="s">
        <v>1776</v>
      </c>
      <c r="AA1486" s="81" t="s">
        <v>1073</v>
      </c>
      <c r="AB1486" s="81" t="s">
        <v>1783</v>
      </c>
      <c r="AC1486" s="81"/>
      <c r="AD1486" s="81"/>
      <c r="AE1486" s="83"/>
      <c r="AF1486" s="81"/>
      <c r="AG1486" s="81"/>
      <c r="AH1486" s="81"/>
      <c r="AI1486" s="81"/>
      <c r="AJ1486" s="83"/>
      <c r="AK1486" s="81"/>
      <c r="AL1486" s="81"/>
      <c r="AM1486" s="83"/>
      <c r="AN1486" s="80"/>
      <c r="AO1486" s="82" t="n">
        <f aca="false">IF(E1486="","",(AA1486&lt;&gt;"")+(AG1486&lt;&gt;"")+(AL1486&lt;&gt;""))</f>
        <v>1</v>
      </c>
      <c r="AP1486" s="82" t="str">
        <f aca="false">IF(AL1486&lt;&gt;"",AL1486,IF(AG1486&lt;&gt;"",AG1486,IF(AA1486&lt;&gt;"",AA1486,"")))</f>
        <v>R</v>
      </c>
      <c r="AQ1486" s="84" t="str">
        <f aca="false">IF(E1486="","",IF(U1486="","À SOUDER",IF(X1486="","VT EN ATTENTE",IF(X1486="R","VT REJETÉ – À REPRENDRE",IF(AP1486="","À RADIOGRAPHIER",IF(AP1486="A","ACCEPTÉ",IF(AP1486="NX","NX – RT À REFAIRE",IF(IF(AO1486=1,AD1486,IF(AO1486=2,AI1486,""))="A","RÉPARÉ – À RADIOGRAPHIER",IF(IF(AO1486=1,AD1486,IF(AO1486=2,AI1486,""))="R","VT REJETÉ – À REPRENDRE",IF(OR(AP1486="CO",AP1486="NT"),"COUPE – À RESOUDER","À RÉPARER"))))))))))</f>
        <v>À RÉPARER</v>
      </c>
      <c r="AR1486" s="82" t="n">
        <f aca="false">IF(AND(ISNUMBER(U1486),OR(AQ1486="À RADIOGRAPHIER",AQ1486="RÉPARÉ – À RADIOGRAPHIER",AQ1486="NX – RT À REFAIRE",AQ1486="À RÉPARER",AQ1486="COUPE – À RESOUDER",AQ1486="VT REJETÉ – À REPRENDRE")),MAX(0,'PROGRAMME RT'!$C$4-U1486),"")</f>
        <v>17</v>
      </c>
      <c r="AS1486" s="82" t="n">
        <f aca="false">IF(AND(OR(AQ1486="À RADIOGRAPHIER",AQ1486="RÉPARÉ – À RADIOGRAPHIER",AQ1486="NX – RT À REFAIRE"),OR('PROGRAMME RT'!$D$5="TOUTES",B1486='PROGRAMME RT'!$D$5)),1,0)</f>
        <v>0</v>
      </c>
      <c r="AT1486" s="82" t="str">
        <f aca="false">IF(AS1486=1,SUM(AS$7:AS1486),"")</f>
        <v/>
      </c>
      <c r="AU1486" s="82" t="n">
        <f aca="false">IF(AND(OR(AA1486="R",AA1486="NX",AA1486="NT",AA1486="CO"),OR('JOINTS DE RÉPARATION'!$D$5="TOUTES",B1486='JOINTS DE RÉPARATION'!$D$5),OR('JOINTS DE RÉPARATION'!$L$4="TOUS",AQ1486&lt;&gt;"ACCEPTÉ")),1,0)</f>
        <v>1</v>
      </c>
      <c r="AV1486" s="82" t="n">
        <f aca="false">IF(AU1486=1,SUM(AU$7:AU1486),"")</f>
        <v>39</v>
      </c>
      <c r="AW1486" s="82" t="str">
        <f aca="false">IF(E1486="","",B1486&amp;"|"&amp;E1486)</f>
        <v>MFD-ISW → MFD-CPF|JN°1235</v>
      </c>
    </row>
    <row r="1487" customFormat="false" ht="74.6" hidden="false" customHeight="false" outlineLevel="0" collapsed="false">
      <c r="A1487" s="79" t="n">
        <f aca="false">IF(E1487="","",ROW()-6)</f>
        <v>1481</v>
      </c>
      <c r="B1487" s="80" t="s">
        <v>110</v>
      </c>
      <c r="C1487" s="81" t="s">
        <v>1748</v>
      </c>
      <c r="D1487" s="81" t="s">
        <v>869</v>
      </c>
      <c r="E1487" s="81" t="s">
        <v>1784</v>
      </c>
      <c r="F1487" s="82" t="str">
        <f aca="false">IF(E1487="","",IF(LEFT(E1487,2)="DJ","DJ","JN"))</f>
        <v>DJ</v>
      </c>
      <c r="G1487" s="81"/>
      <c r="H1487" s="81" t="s">
        <v>871</v>
      </c>
      <c r="I1487" s="81" t="n">
        <v>9.53</v>
      </c>
      <c r="J1487" s="81" t="s">
        <v>872</v>
      </c>
      <c r="K1487" s="81" t="s">
        <v>873</v>
      </c>
      <c r="L1487" s="81" t="n">
        <v>2098490</v>
      </c>
      <c r="M1487" s="81" t="n">
        <v>15421102</v>
      </c>
      <c r="N1487" s="81" t="n">
        <v>11.94</v>
      </c>
      <c r="O1487" s="81" t="n">
        <v>2094660</v>
      </c>
      <c r="P1487" s="81" t="n">
        <v>15421111</v>
      </c>
      <c r="Q1487" s="81" t="n">
        <v>11.94</v>
      </c>
      <c r="R1487" s="81" t="s">
        <v>1517</v>
      </c>
      <c r="S1487" s="81"/>
      <c r="T1487" s="81"/>
      <c r="U1487" s="83" t="n">
        <v>46267</v>
      </c>
      <c r="V1487" s="83" t="n">
        <v>46267</v>
      </c>
      <c r="W1487" s="81" t="s">
        <v>1760</v>
      </c>
      <c r="X1487" s="81" t="s">
        <v>876</v>
      </c>
      <c r="Y1487" s="83" t="n">
        <v>46269</v>
      </c>
      <c r="Z1487" s="81" t="s">
        <v>1761</v>
      </c>
      <c r="AA1487" s="81" t="s">
        <v>876</v>
      </c>
      <c r="AB1487" s="81"/>
      <c r="AC1487" s="81"/>
      <c r="AD1487" s="81"/>
      <c r="AE1487" s="83"/>
      <c r="AF1487" s="81"/>
      <c r="AG1487" s="81"/>
      <c r="AH1487" s="81"/>
      <c r="AI1487" s="81"/>
      <c r="AJ1487" s="83"/>
      <c r="AK1487" s="81"/>
      <c r="AL1487" s="81"/>
      <c r="AM1487" s="83"/>
      <c r="AN1487" s="80"/>
      <c r="AO1487" s="82" t="n">
        <f aca="false">IF(E1487="","",(AA1487&lt;&gt;"")+(AG1487&lt;&gt;"")+(AL1487&lt;&gt;""))</f>
        <v>1</v>
      </c>
      <c r="AP1487" s="82" t="str">
        <f aca="false">IF(AL1487&lt;&gt;"",AL1487,IF(AG1487&lt;&gt;"",AG1487,IF(AA1487&lt;&gt;"",AA1487,"")))</f>
        <v>A</v>
      </c>
      <c r="AQ1487" s="84" t="str">
        <f aca="false">IF(E1487="","",IF(U1487="","À SOUDER",IF(X1487="","VT EN ATTENTE",IF(X1487="R","VT REJETÉ – À REPRENDRE",IF(AP1487="","À RADIOGRAPHIER",IF(AP1487="A","ACCEPTÉ",IF(AP1487="NX","NX – RT À REFAIRE",IF(IF(AO1487=1,AD1487,IF(AO1487=2,AI1487,""))="A","RÉPARÉ – À RADIOGRAPHIER",IF(IF(AO1487=1,AD1487,IF(AO1487=2,AI1487,""))="R","VT REJETÉ – À REPRENDRE",IF(OR(AP1487="CO",AP1487="NT"),"COUPE – À RESOUDER","À RÉPARER"))))))))))</f>
        <v>ACCEPTÉ</v>
      </c>
      <c r="AR1487" s="82" t="str">
        <f aca="false">IF(AND(ISNUMBER(U1487),OR(AQ1487="À RADIOGRAPHIER",AQ1487="RÉPARÉ – À RADIOGRAPHIER",AQ1487="NX – RT À REFAIRE",AQ1487="À RÉPARER",AQ1487="COUPE – À RESOUDER",AQ1487="VT REJETÉ – À REPRENDRE")),MAX(0,'PROGRAMME RT'!$C$4-U1487),"")</f>
        <v/>
      </c>
      <c r="AS1487" s="82" t="n">
        <f aca="false">IF(AND(OR(AQ1487="À RADIOGRAPHIER",AQ1487="RÉPARÉ – À RADIOGRAPHIER",AQ1487="NX – RT À REFAIRE"),OR('PROGRAMME RT'!$D$5="TOUTES",B1487='PROGRAMME RT'!$D$5)),1,0)</f>
        <v>0</v>
      </c>
      <c r="AT1487" s="82" t="str">
        <f aca="false">IF(AS1487=1,SUM(AS$7:AS1487),"")</f>
        <v/>
      </c>
      <c r="AU1487" s="82" t="n">
        <f aca="false">IF(AND(OR(AA1487="R",AA1487="NX",AA1487="NT",AA1487="CO"),OR('JOINTS DE RÉPARATION'!$D$5="TOUTES",B1487='JOINTS DE RÉPARATION'!$D$5),OR('JOINTS DE RÉPARATION'!$L$4="TOUS",AQ1487&lt;&gt;"ACCEPTÉ")),1,0)</f>
        <v>0</v>
      </c>
      <c r="AV1487" s="82" t="str">
        <f aca="false">IF(AU1487=1,SUM(AU$7:AU1487),"")</f>
        <v/>
      </c>
      <c r="AW1487" s="82" t="str">
        <f aca="false">IF(E1487="","",B1487&amp;"|"&amp;E1487)</f>
        <v>MFD-ISW → MFD-CPF|DJ°250</v>
      </c>
    </row>
    <row r="1488" customFormat="false" ht="74.6" hidden="false" customHeight="false" outlineLevel="0" collapsed="false">
      <c r="A1488" s="79" t="n">
        <f aca="false">IF(E1488="","",ROW()-6)</f>
        <v>1482</v>
      </c>
      <c r="B1488" s="80" t="s">
        <v>110</v>
      </c>
      <c r="C1488" s="81" t="s">
        <v>1748</v>
      </c>
      <c r="D1488" s="81" t="n">
        <v>13</v>
      </c>
      <c r="E1488" s="81" t="s">
        <v>1785</v>
      </c>
      <c r="F1488" s="82" t="str">
        <f aca="false">IF(E1488="","",IF(LEFT(E1488,2)="DJ","DJ","JN"))</f>
        <v>JN</v>
      </c>
      <c r="G1488" s="81"/>
      <c r="H1488" s="81" t="s">
        <v>871</v>
      </c>
      <c r="I1488" s="81" t="n">
        <v>9.53</v>
      </c>
      <c r="J1488" s="81" t="s">
        <v>872</v>
      </c>
      <c r="K1488" s="81" t="s">
        <v>879</v>
      </c>
      <c r="L1488" s="81" t="n">
        <v>2094660</v>
      </c>
      <c r="M1488" s="81" t="n">
        <v>15421111</v>
      </c>
      <c r="N1488" s="81" t="n">
        <v>11.94</v>
      </c>
      <c r="O1488" s="81" t="n">
        <v>2096430</v>
      </c>
      <c r="P1488" s="81" t="n">
        <v>15421111</v>
      </c>
      <c r="Q1488" s="81" t="n">
        <v>11.94</v>
      </c>
      <c r="R1488" s="81" t="s">
        <v>1367</v>
      </c>
      <c r="S1488" s="81"/>
      <c r="T1488" s="81"/>
      <c r="U1488" s="83" t="n">
        <v>46276</v>
      </c>
      <c r="V1488" s="83" t="n">
        <v>46276</v>
      </c>
      <c r="W1488" s="81" t="s">
        <v>1751</v>
      </c>
      <c r="X1488" s="81" t="s">
        <v>876</v>
      </c>
      <c r="Y1488" s="83" t="n">
        <v>46281</v>
      </c>
      <c r="Z1488" s="81" t="s">
        <v>1776</v>
      </c>
      <c r="AA1488" s="81" t="s">
        <v>1073</v>
      </c>
      <c r="AB1488" s="81" t="s">
        <v>1786</v>
      </c>
      <c r="AC1488" s="81"/>
      <c r="AD1488" s="81"/>
      <c r="AE1488" s="83"/>
      <c r="AF1488" s="81"/>
      <c r="AG1488" s="81"/>
      <c r="AH1488" s="81"/>
      <c r="AI1488" s="81"/>
      <c r="AJ1488" s="83"/>
      <c r="AK1488" s="81"/>
      <c r="AL1488" s="81"/>
      <c r="AM1488" s="83"/>
      <c r="AN1488" s="80"/>
      <c r="AO1488" s="82" t="n">
        <f aca="false">IF(E1488="","",(AA1488&lt;&gt;"")+(AG1488&lt;&gt;"")+(AL1488&lt;&gt;""))</f>
        <v>1</v>
      </c>
      <c r="AP1488" s="82" t="str">
        <f aca="false">IF(AL1488&lt;&gt;"",AL1488,IF(AG1488&lt;&gt;"",AG1488,IF(AA1488&lt;&gt;"",AA1488,"")))</f>
        <v>R</v>
      </c>
      <c r="AQ1488" s="84" t="str">
        <f aca="false">IF(E1488="","",IF(U1488="","À SOUDER",IF(X1488="","VT EN ATTENTE",IF(X1488="R","VT REJETÉ – À REPRENDRE",IF(AP1488="","À RADIOGRAPHIER",IF(AP1488="A","ACCEPTÉ",IF(AP1488="NX","NX – RT À REFAIRE",IF(IF(AO1488=1,AD1488,IF(AO1488=2,AI1488,""))="A","RÉPARÉ – À RADIOGRAPHIER",IF(IF(AO1488=1,AD1488,IF(AO1488=2,AI1488,""))="R","VT REJETÉ – À REPRENDRE",IF(OR(AP1488="CO",AP1488="NT"),"COUPE – À RESOUDER","À RÉPARER"))))))))))</f>
        <v>À RÉPARER</v>
      </c>
      <c r="AR1488" s="82" t="n">
        <f aca="false">IF(AND(ISNUMBER(U1488),OR(AQ1488="À RADIOGRAPHIER",AQ1488="RÉPARÉ – À RADIOGRAPHIER",AQ1488="NX – RT À REFAIRE",AQ1488="À RÉPARER",AQ1488="COUPE – À RESOUDER",AQ1488="VT REJETÉ – À REPRENDRE")),MAX(0,'PROGRAMME RT'!$C$4-U1488),"")</f>
        <v>17</v>
      </c>
      <c r="AS1488" s="82" t="n">
        <f aca="false">IF(AND(OR(AQ1488="À RADIOGRAPHIER",AQ1488="RÉPARÉ – À RADIOGRAPHIER",AQ1488="NX – RT À REFAIRE"),OR('PROGRAMME RT'!$D$5="TOUTES",B1488='PROGRAMME RT'!$D$5)),1,0)</f>
        <v>0</v>
      </c>
      <c r="AT1488" s="82" t="str">
        <f aca="false">IF(AS1488=1,SUM(AS$7:AS1488),"")</f>
        <v/>
      </c>
      <c r="AU1488" s="82" t="n">
        <f aca="false">IF(AND(OR(AA1488="R",AA1488="NX",AA1488="NT",AA1488="CO"),OR('JOINTS DE RÉPARATION'!$D$5="TOUTES",B1488='JOINTS DE RÉPARATION'!$D$5),OR('JOINTS DE RÉPARATION'!$L$4="TOUS",AQ1488&lt;&gt;"ACCEPTÉ")),1,0)</f>
        <v>1</v>
      </c>
      <c r="AV1488" s="82" t="n">
        <f aca="false">IF(AU1488=1,SUM(AU$7:AU1488),"")</f>
        <v>40</v>
      </c>
      <c r="AW1488" s="82" t="str">
        <f aca="false">IF(E1488="","",B1488&amp;"|"&amp;E1488)</f>
        <v>MFD-ISW → MFD-CPF|JN°1236</v>
      </c>
    </row>
    <row r="1489" customFormat="false" ht="74.6" hidden="false" customHeight="false" outlineLevel="0" collapsed="false">
      <c r="A1489" s="79" t="n">
        <f aca="false">IF(E1489="","",ROW()-6)</f>
        <v>1483</v>
      </c>
      <c r="B1489" s="80" t="s">
        <v>110</v>
      </c>
      <c r="C1489" s="81" t="s">
        <v>1748</v>
      </c>
      <c r="D1489" s="81" t="s">
        <v>869</v>
      </c>
      <c r="E1489" s="81" t="s">
        <v>1787</v>
      </c>
      <c r="F1489" s="82" t="str">
        <f aca="false">IF(E1489="","",IF(LEFT(E1489,2)="DJ","DJ","JN"))</f>
        <v>DJ</v>
      </c>
      <c r="G1489" s="81"/>
      <c r="H1489" s="81" t="s">
        <v>871</v>
      </c>
      <c r="I1489" s="81" t="n">
        <v>9.53</v>
      </c>
      <c r="J1489" s="81" t="s">
        <v>872</v>
      </c>
      <c r="K1489" s="81" t="s">
        <v>873</v>
      </c>
      <c r="L1489" s="81" t="n">
        <v>2096430</v>
      </c>
      <c r="M1489" s="81" t="n">
        <v>15421111</v>
      </c>
      <c r="N1489" s="81" t="n">
        <v>11.94</v>
      </c>
      <c r="O1489" s="81" t="n">
        <v>2079750</v>
      </c>
      <c r="P1489" s="81" t="n">
        <v>15421102</v>
      </c>
      <c r="Q1489" s="81" t="n">
        <v>11.94</v>
      </c>
      <c r="R1489" s="81" t="s">
        <v>1517</v>
      </c>
      <c r="S1489" s="81"/>
      <c r="T1489" s="81"/>
      <c r="U1489" s="83" t="n">
        <v>46267</v>
      </c>
      <c r="V1489" s="83" t="n">
        <v>46267</v>
      </c>
      <c r="W1489" s="81" t="s">
        <v>1760</v>
      </c>
      <c r="X1489" s="81" t="s">
        <v>876</v>
      </c>
      <c r="Y1489" s="83" t="n">
        <v>46269</v>
      </c>
      <c r="Z1489" s="81" t="s">
        <v>1761</v>
      </c>
      <c r="AA1489" s="81" t="s">
        <v>876</v>
      </c>
      <c r="AB1489" s="81"/>
      <c r="AC1489" s="81"/>
      <c r="AD1489" s="81"/>
      <c r="AE1489" s="83"/>
      <c r="AF1489" s="81"/>
      <c r="AG1489" s="81"/>
      <c r="AH1489" s="81"/>
      <c r="AI1489" s="81"/>
      <c r="AJ1489" s="83"/>
      <c r="AK1489" s="81"/>
      <c r="AL1489" s="81"/>
      <c r="AM1489" s="83"/>
      <c r="AN1489" s="80"/>
      <c r="AO1489" s="82" t="n">
        <f aca="false">IF(E1489="","",(AA1489&lt;&gt;"")+(AG1489&lt;&gt;"")+(AL1489&lt;&gt;""))</f>
        <v>1</v>
      </c>
      <c r="AP1489" s="82" t="str">
        <f aca="false">IF(AL1489&lt;&gt;"",AL1489,IF(AG1489&lt;&gt;"",AG1489,IF(AA1489&lt;&gt;"",AA1489,"")))</f>
        <v>A</v>
      </c>
      <c r="AQ1489" s="84" t="str">
        <f aca="false">IF(E1489="","",IF(U1489="","À SOUDER",IF(X1489="","VT EN ATTENTE",IF(X1489="R","VT REJETÉ – À REPRENDRE",IF(AP1489="","À RADIOGRAPHIER",IF(AP1489="A","ACCEPTÉ",IF(AP1489="NX","NX – RT À REFAIRE",IF(IF(AO1489=1,AD1489,IF(AO1489=2,AI1489,""))="A","RÉPARÉ – À RADIOGRAPHIER",IF(IF(AO1489=1,AD1489,IF(AO1489=2,AI1489,""))="R","VT REJETÉ – À REPRENDRE",IF(OR(AP1489="CO",AP1489="NT"),"COUPE – À RESOUDER","À RÉPARER"))))))))))</f>
        <v>ACCEPTÉ</v>
      </c>
      <c r="AR1489" s="82" t="str">
        <f aca="false">IF(AND(ISNUMBER(U1489),OR(AQ1489="À RADIOGRAPHIER",AQ1489="RÉPARÉ – À RADIOGRAPHIER",AQ1489="NX – RT À REFAIRE",AQ1489="À RÉPARER",AQ1489="COUPE – À RESOUDER",AQ1489="VT REJETÉ – À REPRENDRE")),MAX(0,'PROGRAMME RT'!$C$4-U1489),"")</f>
        <v/>
      </c>
      <c r="AS1489" s="82" t="n">
        <f aca="false">IF(AND(OR(AQ1489="À RADIOGRAPHIER",AQ1489="RÉPARÉ – À RADIOGRAPHIER",AQ1489="NX – RT À REFAIRE"),OR('PROGRAMME RT'!$D$5="TOUTES",B1489='PROGRAMME RT'!$D$5)),1,0)</f>
        <v>0</v>
      </c>
      <c r="AT1489" s="82" t="str">
        <f aca="false">IF(AS1489=1,SUM(AS$7:AS1489),"")</f>
        <v/>
      </c>
      <c r="AU1489" s="82" t="n">
        <f aca="false">IF(AND(OR(AA1489="R",AA1489="NX",AA1489="NT",AA1489="CO"),OR('JOINTS DE RÉPARATION'!$D$5="TOUTES",B1489='JOINTS DE RÉPARATION'!$D$5),OR('JOINTS DE RÉPARATION'!$L$4="TOUS",AQ1489&lt;&gt;"ACCEPTÉ")),1,0)</f>
        <v>0</v>
      </c>
      <c r="AV1489" s="82" t="str">
        <f aca="false">IF(AU1489=1,SUM(AU$7:AU1489),"")</f>
        <v/>
      </c>
      <c r="AW1489" s="82" t="str">
        <f aca="false">IF(E1489="","",B1489&amp;"|"&amp;E1489)</f>
        <v>MFD-ISW → MFD-CPF|DJ°246</v>
      </c>
    </row>
    <row r="1490" customFormat="false" ht="74.6" hidden="false" customHeight="false" outlineLevel="0" collapsed="false">
      <c r="A1490" s="79" t="n">
        <f aca="false">IF(E1490="","",ROW()-6)</f>
        <v>1484</v>
      </c>
      <c r="B1490" s="80" t="s">
        <v>110</v>
      </c>
      <c r="C1490" s="81" t="s">
        <v>926</v>
      </c>
      <c r="D1490" s="81" t="n">
        <v>13</v>
      </c>
      <c r="E1490" s="81" t="s">
        <v>1788</v>
      </c>
      <c r="F1490" s="82" t="str">
        <f aca="false">IF(E1490="","",IF(LEFT(E1490,2)="DJ","DJ","JN"))</f>
        <v>JN</v>
      </c>
      <c r="G1490" s="81"/>
      <c r="H1490" s="81"/>
      <c r="I1490" s="81"/>
      <c r="J1490" s="81"/>
      <c r="K1490" s="81"/>
      <c r="L1490" s="81" t="n">
        <v>2079750</v>
      </c>
      <c r="M1490" s="81" t="n">
        <v>15421102</v>
      </c>
      <c r="N1490" s="81"/>
      <c r="O1490" s="81"/>
      <c r="P1490" s="81"/>
      <c r="Q1490" s="81"/>
      <c r="R1490" s="81"/>
      <c r="S1490" s="81"/>
      <c r="T1490" s="81"/>
      <c r="U1490" s="83"/>
      <c r="V1490" s="83"/>
      <c r="W1490" s="81"/>
      <c r="X1490" s="81"/>
      <c r="Y1490" s="83"/>
      <c r="Z1490" s="81"/>
      <c r="AA1490" s="81"/>
      <c r="AB1490" s="81"/>
      <c r="AC1490" s="81"/>
      <c r="AD1490" s="81"/>
      <c r="AE1490" s="83"/>
      <c r="AF1490" s="81"/>
      <c r="AG1490" s="81"/>
      <c r="AH1490" s="81"/>
      <c r="AI1490" s="81"/>
      <c r="AJ1490" s="83"/>
      <c r="AK1490" s="81"/>
      <c r="AL1490" s="81"/>
      <c r="AM1490" s="83"/>
      <c r="AN1490" s="80"/>
      <c r="AO1490" s="82" t="n">
        <f aca="false">IF(E1490="","",(AA1490&lt;&gt;"")+(AG1490&lt;&gt;"")+(AL1490&lt;&gt;""))</f>
        <v>0</v>
      </c>
      <c r="AP1490" s="82" t="str">
        <f aca="false">IF(AL1490&lt;&gt;"",AL1490,IF(AG1490&lt;&gt;"",AG1490,IF(AA1490&lt;&gt;"",AA1490,"")))</f>
        <v/>
      </c>
      <c r="AQ1490" s="84" t="str">
        <f aca="false">IF(E1490="","",IF(U1490="","À SOUDER",IF(X1490="","VT EN ATTENTE",IF(X1490="R","VT REJETÉ – À REPRENDRE",IF(AP1490="","À RADIOGRAPHIER",IF(AP1490="A","ACCEPTÉ",IF(AP1490="NX","NX – RT À REFAIRE",IF(IF(AO1490=1,AD1490,IF(AO1490=2,AI1490,""))="A","RÉPARÉ – À RADIOGRAPHIER",IF(IF(AO1490=1,AD1490,IF(AO1490=2,AI1490,""))="R","VT REJETÉ – À REPRENDRE",IF(OR(AP1490="CO",AP1490="NT"),"COUPE – À RESOUDER","À RÉPARER"))))))))))</f>
        <v>À SOUDER</v>
      </c>
      <c r="AR1490" s="82" t="str">
        <f aca="false">IF(AND(ISNUMBER(U1490),OR(AQ1490="À RADIOGRAPHIER",AQ1490="RÉPARÉ – À RADIOGRAPHIER",AQ1490="NX – RT À REFAIRE",AQ1490="À RÉPARER",AQ1490="COUPE – À RESOUDER",AQ1490="VT REJETÉ – À REPRENDRE")),MAX(0,'PROGRAMME RT'!$C$4-U1490),"")</f>
        <v/>
      </c>
      <c r="AS1490" s="82" t="n">
        <f aca="false">IF(AND(OR(AQ1490="À RADIOGRAPHIER",AQ1490="RÉPARÉ – À RADIOGRAPHIER",AQ1490="NX – RT À REFAIRE"),OR('PROGRAMME RT'!$D$5="TOUTES",B1490='PROGRAMME RT'!$D$5)),1,0)</f>
        <v>0</v>
      </c>
      <c r="AT1490" s="82" t="str">
        <f aca="false">IF(AS1490=1,SUM(AS$7:AS1490),"")</f>
        <v/>
      </c>
      <c r="AU1490" s="82" t="n">
        <f aca="false">IF(AND(OR(AA1490="R",AA1490="NX",AA1490="NT",AA1490="CO"),OR('JOINTS DE RÉPARATION'!$D$5="TOUTES",B1490='JOINTS DE RÉPARATION'!$D$5),OR('JOINTS DE RÉPARATION'!$L$4="TOUS",AQ1490&lt;&gt;"ACCEPTÉ")),1,0)</f>
        <v>0</v>
      </c>
      <c r="AV1490" s="82" t="str">
        <f aca="false">IF(AU1490=1,SUM(AU$7:AU1490),"")</f>
        <v/>
      </c>
      <c r="AW1490" s="82" t="str">
        <f aca="false">IF(E1490="","",B1490&amp;"|"&amp;E1490)</f>
        <v>MFD-ISW → MFD-CPF|JN°1237</v>
      </c>
    </row>
    <row r="1491" customFormat="false" ht="74.6" hidden="false" customHeight="false" outlineLevel="0" collapsed="false">
      <c r="A1491" s="79" t="n">
        <f aca="false">IF(E1491="","",ROW()-6)</f>
        <v>1485</v>
      </c>
      <c r="B1491" s="80" t="s">
        <v>110</v>
      </c>
      <c r="C1491" s="81" t="s">
        <v>926</v>
      </c>
      <c r="D1491" s="81" t="n">
        <v>13</v>
      </c>
      <c r="E1491" s="81" t="s">
        <v>1789</v>
      </c>
      <c r="F1491" s="82" t="str">
        <f aca="false">IF(E1491="","",IF(LEFT(E1491,2)="DJ","DJ","JN"))</f>
        <v>JN</v>
      </c>
      <c r="G1491" s="81"/>
      <c r="H1491" s="81"/>
      <c r="I1491" s="81"/>
      <c r="J1491" s="81"/>
      <c r="K1491" s="81"/>
      <c r="L1491" s="81"/>
      <c r="M1491" s="81"/>
      <c r="N1491" s="81"/>
      <c r="O1491" s="81"/>
      <c r="P1491" s="81"/>
      <c r="Q1491" s="81"/>
      <c r="R1491" s="81"/>
      <c r="S1491" s="81"/>
      <c r="T1491" s="81"/>
      <c r="U1491" s="83"/>
      <c r="V1491" s="83"/>
      <c r="W1491" s="81"/>
      <c r="X1491" s="81"/>
      <c r="Y1491" s="83"/>
      <c r="Z1491" s="81"/>
      <c r="AA1491" s="81"/>
      <c r="AB1491" s="81"/>
      <c r="AC1491" s="81"/>
      <c r="AD1491" s="81"/>
      <c r="AE1491" s="83"/>
      <c r="AF1491" s="81"/>
      <c r="AG1491" s="81"/>
      <c r="AH1491" s="81"/>
      <c r="AI1491" s="81"/>
      <c r="AJ1491" s="83"/>
      <c r="AK1491" s="81"/>
      <c r="AL1491" s="81"/>
      <c r="AM1491" s="83"/>
      <c r="AN1491" s="80"/>
      <c r="AO1491" s="82" t="n">
        <f aca="false">IF(E1491="","",(AA1491&lt;&gt;"")+(AG1491&lt;&gt;"")+(AL1491&lt;&gt;""))</f>
        <v>0</v>
      </c>
      <c r="AP1491" s="82" t="str">
        <f aca="false">IF(AL1491&lt;&gt;"",AL1491,IF(AG1491&lt;&gt;"",AG1491,IF(AA1491&lt;&gt;"",AA1491,"")))</f>
        <v/>
      </c>
      <c r="AQ1491" s="84" t="str">
        <f aca="false">IF(E1491="","",IF(U1491="","À SOUDER",IF(X1491="","VT EN ATTENTE",IF(X1491="R","VT REJETÉ – À REPRENDRE",IF(AP1491="","À RADIOGRAPHIER",IF(AP1491="A","ACCEPTÉ",IF(AP1491="NX","NX – RT À REFAIRE",IF(IF(AO1491=1,AD1491,IF(AO1491=2,AI1491,""))="A","RÉPARÉ – À RADIOGRAPHIER",IF(IF(AO1491=1,AD1491,IF(AO1491=2,AI1491,""))="R","VT REJETÉ – À REPRENDRE",IF(OR(AP1491="CO",AP1491="NT"),"COUPE – À RESOUDER","À RÉPARER"))))))))))</f>
        <v>À SOUDER</v>
      </c>
      <c r="AR1491" s="82" t="str">
        <f aca="false">IF(AND(ISNUMBER(U1491),OR(AQ1491="À RADIOGRAPHIER",AQ1491="RÉPARÉ – À RADIOGRAPHIER",AQ1491="NX – RT À REFAIRE",AQ1491="À RÉPARER",AQ1491="COUPE – À RESOUDER",AQ1491="VT REJETÉ – À REPRENDRE")),MAX(0,'PROGRAMME RT'!$C$4-U1491),"")</f>
        <v/>
      </c>
      <c r="AS1491" s="82" t="n">
        <f aca="false">IF(AND(OR(AQ1491="À RADIOGRAPHIER",AQ1491="RÉPARÉ – À RADIOGRAPHIER",AQ1491="NX – RT À REFAIRE"),OR('PROGRAMME RT'!$D$5="TOUTES",B1491='PROGRAMME RT'!$D$5)),1,0)</f>
        <v>0</v>
      </c>
      <c r="AT1491" s="82" t="str">
        <f aca="false">IF(AS1491=1,SUM(AS$7:AS1491),"")</f>
        <v/>
      </c>
      <c r="AU1491" s="82" t="n">
        <f aca="false">IF(AND(OR(AA1491="R",AA1491="NX",AA1491="NT",AA1491="CO"),OR('JOINTS DE RÉPARATION'!$D$5="TOUTES",B1491='JOINTS DE RÉPARATION'!$D$5),OR('JOINTS DE RÉPARATION'!$L$4="TOUS",AQ1491&lt;&gt;"ACCEPTÉ")),1,0)</f>
        <v>0</v>
      </c>
      <c r="AV1491" s="82" t="str">
        <f aca="false">IF(AU1491=1,SUM(AU$7:AU1491),"")</f>
        <v/>
      </c>
      <c r="AW1491" s="82" t="str">
        <f aca="false">IF(E1491="","",B1491&amp;"|"&amp;E1491)</f>
        <v>MFD-ISW → MFD-CPF|JN°1238</v>
      </c>
    </row>
    <row r="1492" customFormat="false" ht="74.6" hidden="false" customHeight="false" outlineLevel="0" collapsed="false">
      <c r="A1492" s="79" t="n">
        <f aca="false">IF(E1492="","",ROW()-6)</f>
        <v>1486</v>
      </c>
      <c r="B1492" s="80" t="s">
        <v>110</v>
      </c>
      <c r="C1492" s="81" t="s">
        <v>926</v>
      </c>
      <c r="D1492" s="81" t="n">
        <v>13</v>
      </c>
      <c r="E1492" s="81" t="s">
        <v>1790</v>
      </c>
      <c r="F1492" s="82" t="str">
        <f aca="false">IF(E1492="","",IF(LEFT(E1492,2)="DJ","DJ","JN"))</f>
        <v>JN</v>
      </c>
      <c r="G1492" s="81"/>
      <c r="H1492" s="81"/>
      <c r="I1492" s="81"/>
      <c r="J1492" s="81"/>
      <c r="K1492" s="81"/>
      <c r="L1492" s="81"/>
      <c r="M1492" s="81"/>
      <c r="N1492" s="81"/>
      <c r="O1492" s="81"/>
      <c r="P1492" s="81"/>
      <c r="Q1492" s="81"/>
      <c r="R1492" s="81"/>
      <c r="S1492" s="81"/>
      <c r="T1492" s="81"/>
      <c r="U1492" s="83"/>
      <c r="V1492" s="83"/>
      <c r="W1492" s="81"/>
      <c r="X1492" s="81"/>
      <c r="Y1492" s="83"/>
      <c r="Z1492" s="81"/>
      <c r="AA1492" s="81"/>
      <c r="AB1492" s="81"/>
      <c r="AC1492" s="81"/>
      <c r="AD1492" s="81"/>
      <c r="AE1492" s="83"/>
      <c r="AF1492" s="81"/>
      <c r="AG1492" s="81"/>
      <c r="AH1492" s="81"/>
      <c r="AI1492" s="81"/>
      <c r="AJ1492" s="83"/>
      <c r="AK1492" s="81"/>
      <c r="AL1492" s="81"/>
      <c r="AM1492" s="83"/>
      <c r="AN1492" s="80"/>
      <c r="AO1492" s="82" t="n">
        <f aca="false">IF(E1492="","",(AA1492&lt;&gt;"")+(AG1492&lt;&gt;"")+(AL1492&lt;&gt;""))</f>
        <v>0</v>
      </c>
      <c r="AP1492" s="82" t="str">
        <f aca="false">IF(AL1492&lt;&gt;"",AL1492,IF(AG1492&lt;&gt;"",AG1492,IF(AA1492&lt;&gt;"",AA1492,"")))</f>
        <v/>
      </c>
      <c r="AQ1492" s="84" t="str">
        <f aca="false">IF(E1492="","",IF(U1492="","À SOUDER",IF(X1492="","VT EN ATTENTE",IF(X1492="R","VT REJETÉ – À REPRENDRE",IF(AP1492="","À RADIOGRAPHIER",IF(AP1492="A","ACCEPTÉ",IF(AP1492="NX","NX – RT À REFAIRE",IF(IF(AO1492=1,AD1492,IF(AO1492=2,AI1492,""))="A","RÉPARÉ – À RADIOGRAPHIER",IF(IF(AO1492=1,AD1492,IF(AO1492=2,AI1492,""))="R","VT REJETÉ – À REPRENDRE",IF(OR(AP1492="CO",AP1492="NT"),"COUPE – À RESOUDER","À RÉPARER"))))))))))</f>
        <v>À SOUDER</v>
      </c>
      <c r="AR1492" s="82" t="str">
        <f aca="false">IF(AND(ISNUMBER(U1492),OR(AQ1492="À RADIOGRAPHIER",AQ1492="RÉPARÉ – À RADIOGRAPHIER",AQ1492="NX – RT À REFAIRE",AQ1492="À RÉPARER",AQ1492="COUPE – À RESOUDER",AQ1492="VT REJETÉ – À REPRENDRE")),MAX(0,'PROGRAMME RT'!$C$4-U1492),"")</f>
        <v/>
      </c>
      <c r="AS1492" s="82" t="n">
        <f aca="false">IF(AND(OR(AQ1492="À RADIOGRAPHIER",AQ1492="RÉPARÉ – À RADIOGRAPHIER",AQ1492="NX – RT À REFAIRE"),OR('PROGRAMME RT'!$D$5="TOUTES",B1492='PROGRAMME RT'!$D$5)),1,0)</f>
        <v>0</v>
      </c>
      <c r="AT1492" s="82" t="str">
        <f aca="false">IF(AS1492=1,SUM(AS$7:AS1492),"")</f>
        <v/>
      </c>
      <c r="AU1492" s="82" t="n">
        <f aca="false">IF(AND(OR(AA1492="R",AA1492="NX",AA1492="NT",AA1492="CO"),OR('JOINTS DE RÉPARATION'!$D$5="TOUTES",B1492='JOINTS DE RÉPARATION'!$D$5),OR('JOINTS DE RÉPARATION'!$L$4="TOUS",AQ1492&lt;&gt;"ACCEPTÉ")),1,0)</f>
        <v>0</v>
      </c>
      <c r="AV1492" s="82" t="str">
        <f aca="false">IF(AU1492=1,SUM(AU$7:AU1492),"")</f>
        <v/>
      </c>
      <c r="AW1492" s="82" t="str">
        <f aca="false">IF(E1492="","",B1492&amp;"|"&amp;E1492)</f>
        <v>MFD-ISW → MFD-CPF|JN°1239</v>
      </c>
    </row>
    <row r="1493" customFormat="false" ht="74.6" hidden="false" customHeight="false" outlineLevel="0" collapsed="false">
      <c r="A1493" s="79" t="n">
        <f aca="false">IF(E1493="","",ROW()-6)</f>
        <v>1487</v>
      </c>
      <c r="B1493" s="80" t="s">
        <v>110</v>
      </c>
      <c r="C1493" s="81" t="s">
        <v>926</v>
      </c>
      <c r="D1493" s="81" t="n">
        <v>13</v>
      </c>
      <c r="E1493" s="81" t="s">
        <v>1791</v>
      </c>
      <c r="F1493" s="82" t="str">
        <f aca="false">IF(E1493="","",IF(LEFT(E1493,2)="DJ","DJ","JN"))</f>
        <v>JN</v>
      </c>
      <c r="G1493" s="81"/>
      <c r="H1493" s="81"/>
      <c r="I1493" s="81"/>
      <c r="J1493" s="81"/>
      <c r="K1493" s="81"/>
      <c r="L1493" s="81"/>
      <c r="M1493" s="81"/>
      <c r="N1493" s="81"/>
      <c r="O1493" s="81" t="n">
        <v>2080520</v>
      </c>
      <c r="P1493" s="81" t="n">
        <v>15421103</v>
      </c>
      <c r="Q1493" s="81" t="n">
        <v>11.94</v>
      </c>
      <c r="R1493" s="81"/>
      <c r="S1493" s="81"/>
      <c r="T1493" s="81"/>
      <c r="U1493" s="83"/>
      <c r="V1493" s="83"/>
      <c r="W1493" s="81"/>
      <c r="X1493" s="81"/>
      <c r="Y1493" s="83"/>
      <c r="Z1493" s="81"/>
      <c r="AA1493" s="81"/>
      <c r="AB1493" s="81"/>
      <c r="AC1493" s="81"/>
      <c r="AD1493" s="81"/>
      <c r="AE1493" s="83"/>
      <c r="AF1493" s="81"/>
      <c r="AG1493" s="81"/>
      <c r="AH1493" s="81"/>
      <c r="AI1493" s="81"/>
      <c r="AJ1493" s="83"/>
      <c r="AK1493" s="81"/>
      <c r="AL1493" s="81"/>
      <c r="AM1493" s="83"/>
      <c r="AN1493" s="80"/>
      <c r="AO1493" s="82" t="n">
        <f aca="false">IF(E1493="","",(AA1493&lt;&gt;"")+(AG1493&lt;&gt;"")+(AL1493&lt;&gt;""))</f>
        <v>0</v>
      </c>
      <c r="AP1493" s="82" t="str">
        <f aca="false">IF(AL1493&lt;&gt;"",AL1493,IF(AG1493&lt;&gt;"",AG1493,IF(AA1493&lt;&gt;"",AA1493,"")))</f>
        <v/>
      </c>
      <c r="AQ1493" s="84" t="str">
        <f aca="false">IF(E1493="","",IF(U1493="","À SOUDER",IF(X1493="","VT EN ATTENTE",IF(X1493="R","VT REJETÉ – À REPRENDRE",IF(AP1493="","À RADIOGRAPHIER",IF(AP1493="A","ACCEPTÉ",IF(AP1493="NX","NX – RT À REFAIRE",IF(IF(AO1493=1,AD1493,IF(AO1493=2,AI1493,""))="A","RÉPARÉ – À RADIOGRAPHIER",IF(IF(AO1493=1,AD1493,IF(AO1493=2,AI1493,""))="R","VT REJETÉ – À REPRENDRE",IF(OR(AP1493="CO",AP1493="NT"),"COUPE – À RESOUDER","À RÉPARER"))))))))))</f>
        <v>À SOUDER</v>
      </c>
      <c r="AR1493" s="82" t="str">
        <f aca="false">IF(AND(ISNUMBER(U1493),OR(AQ1493="À RADIOGRAPHIER",AQ1493="RÉPARÉ – À RADIOGRAPHIER",AQ1493="NX – RT À REFAIRE",AQ1493="À RÉPARER",AQ1493="COUPE – À RESOUDER",AQ1493="VT REJETÉ – À REPRENDRE")),MAX(0,'PROGRAMME RT'!$C$4-U1493),"")</f>
        <v/>
      </c>
      <c r="AS1493" s="82" t="n">
        <f aca="false">IF(AND(OR(AQ1493="À RADIOGRAPHIER",AQ1493="RÉPARÉ – À RADIOGRAPHIER",AQ1493="NX – RT À REFAIRE"),OR('PROGRAMME RT'!$D$5="TOUTES",B1493='PROGRAMME RT'!$D$5)),1,0)</f>
        <v>0</v>
      </c>
      <c r="AT1493" s="82" t="str">
        <f aca="false">IF(AS1493=1,SUM(AS$7:AS1493),"")</f>
        <v/>
      </c>
      <c r="AU1493" s="82" t="n">
        <f aca="false">IF(AND(OR(AA1493="R",AA1493="NX",AA1493="NT",AA1493="CO"),OR('JOINTS DE RÉPARATION'!$D$5="TOUTES",B1493='JOINTS DE RÉPARATION'!$D$5),OR('JOINTS DE RÉPARATION'!$L$4="TOUS",AQ1493&lt;&gt;"ACCEPTÉ")),1,0)</f>
        <v>0</v>
      </c>
      <c r="AV1493" s="82" t="str">
        <f aca="false">IF(AU1493=1,SUM(AU$7:AU1493),"")</f>
        <v/>
      </c>
      <c r="AW1493" s="82" t="str">
        <f aca="false">IF(E1493="","",B1493&amp;"|"&amp;E1493)</f>
        <v>MFD-ISW → MFD-CPF|JN°1240</v>
      </c>
    </row>
    <row r="1494" customFormat="false" ht="74.6" hidden="false" customHeight="false" outlineLevel="0" collapsed="false">
      <c r="A1494" s="79" t="n">
        <f aca="false">IF(E1494="","",ROW()-6)</f>
        <v>1488</v>
      </c>
      <c r="B1494" s="80" t="s">
        <v>110</v>
      </c>
      <c r="C1494" s="81" t="s">
        <v>1792</v>
      </c>
      <c r="D1494" s="81" t="n">
        <v>13</v>
      </c>
      <c r="E1494" s="81" t="s">
        <v>1793</v>
      </c>
      <c r="F1494" s="82" t="str">
        <f aca="false">IF(E1494="","",IF(LEFT(E1494,2)="DJ","DJ","JN"))</f>
        <v>DJ</v>
      </c>
      <c r="G1494" s="81"/>
      <c r="H1494" s="81" t="s">
        <v>871</v>
      </c>
      <c r="I1494" s="81" t="n">
        <v>9.53</v>
      </c>
      <c r="J1494" s="81" t="s">
        <v>872</v>
      </c>
      <c r="K1494" s="81" t="s">
        <v>873</v>
      </c>
      <c r="L1494" s="81" t="n">
        <v>2080520</v>
      </c>
      <c r="M1494" s="81" t="n">
        <v>15421103</v>
      </c>
      <c r="N1494" s="81" t="n">
        <v>11.94</v>
      </c>
      <c r="O1494" s="81" t="n">
        <v>2090450</v>
      </c>
      <c r="P1494" s="81" t="n">
        <v>15421109</v>
      </c>
      <c r="Q1494" s="81" t="n">
        <v>11.94</v>
      </c>
      <c r="R1494" s="81" t="s">
        <v>1147</v>
      </c>
      <c r="S1494" s="81"/>
      <c r="T1494" s="81"/>
      <c r="U1494" s="83" t="n">
        <v>46269</v>
      </c>
      <c r="V1494" s="83" t="n">
        <v>46269</v>
      </c>
      <c r="W1494" s="81" t="s">
        <v>1606</v>
      </c>
      <c r="X1494" s="81" t="s">
        <v>876</v>
      </c>
      <c r="Y1494" s="83" t="n">
        <v>46270</v>
      </c>
      <c r="Z1494" s="81" t="s">
        <v>1757</v>
      </c>
      <c r="AA1494" s="81" t="s">
        <v>876</v>
      </c>
      <c r="AB1494" s="81"/>
      <c r="AC1494" s="81"/>
      <c r="AD1494" s="81"/>
      <c r="AE1494" s="83"/>
      <c r="AF1494" s="81"/>
      <c r="AG1494" s="81"/>
      <c r="AH1494" s="81"/>
      <c r="AI1494" s="81"/>
      <c r="AJ1494" s="83"/>
      <c r="AK1494" s="81"/>
      <c r="AL1494" s="81"/>
      <c r="AM1494" s="83"/>
      <c r="AN1494" s="80"/>
      <c r="AO1494" s="82" t="n">
        <f aca="false">IF(E1494="","",(AA1494&lt;&gt;"")+(AG1494&lt;&gt;"")+(AL1494&lt;&gt;""))</f>
        <v>1</v>
      </c>
      <c r="AP1494" s="82" t="str">
        <f aca="false">IF(AL1494&lt;&gt;"",AL1494,IF(AG1494&lt;&gt;"",AG1494,IF(AA1494&lt;&gt;"",AA1494,"")))</f>
        <v>A</v>
      </c>
      <c r="AQ1494" s="84" t="str">
        <f aca="false">IF(E1494="","",IF(U1494="","À SOUDER",IF(X1494="","VT EN ATTENTE",IF(X1494="R","VT REJETÉ – À REPRENDRE",IF(AP1494="","À RADIOGRAPHIER",IF(AP1494="A","ACCEPTÉ",IF(AP1494="NX","NX – RT À REFAIRE",IF(IF(AO1494=1,AD1494,IF(AO1494=2,AI1494,""))="A","RÉPARÉ – À RADIOGRAPHIER",IF(IF(AO1494=1,AD1494,IF(AO1494=2,AI1494,""))="R","VT REJETÉ – À REPRENDRE",IF(OR(AP1494="CO",AP1494="NT"),"COUPE – À RESOUDER","À RÉPARER"))))))))))</f>
        <v>ACCEPTÉ</v>
      </c>
      <c r="AR1494" s="82" t="str">
        <f aca="false">IF(AND(ISNUMBER(U1494),OR(AQ1494="À RADIOGRAPHIER",AQ1494="RÉPARÉ – À RADIOGRAPHIER",AQ1494="NX – RT À REFAIRE",AQ1494="À RÉPARER",AQ1494="COUPE – À RESOUDER",AQ1494="VT REJETÉ – À REPRENDRE")),MAX(0,'PROGRAMME RT'!$C$4-U1494),"")</f>
        <v/>
      </c>
      <c r="AS1494" s="82" t="n">
        <f aca="false">IF(AND(OR(AQ1494="À RADIOGRAPHIER",AQ1494="RÉPARÉ – À RADIOGRAPHIER",AQ1494="NX – RT À REFAIRE"),OR('PROGRAMME RT'!$D$5="TOUTES",B1494='PROGRAMME RT'!$D$5)),1,0)</f>
        <v>0</v>
      </c>
      <c r="AT1494" s="82" t="str">
        <f aca="false">IF(AS1494=1,SUM(AS$7:AS1494),"")</f>
        <v/>
      </c>
      <c r="AU1494" s="82" t="n">
        <f aca="false">IF(AND(OR(AA1494="R",AA1494="NX",AA1494="NT",AA1494="CO"),OR('JOINTS DE RÉPARATION'!$D$5="TOUTES",B1494='JOINTS DE RÉPARATION'!$D$5),OR('JOINTS DE RÉPARATION'!$L$4="TOUS",AQ1494&lt;&gt;"ACCEPTÉ")),1,0)</f>
        <v>0</v>
      </c>
      <c r="AV1494" s="82" t="str">
        <f aca="false">IF(AU1494=1,SUM(AU$7:AU1494),"")</f>
        <v/>
      </c>
      <c r="AW1494" s="82" t="str">
        <f aca="false">IF(E1494="","",B1494&amp;"|"&amp;E1494)</f>
        <v>MFD-ISW → MFD-CPF|DJ°268</v>
      </c>
    </row>
    <row r="1495" customFormat="false" ht="74.6" hidden="false" customHeight="false" outlineLevel="0" collapsed="false">
      <c r="A1495" s="79" t="n">
        <f aca="false">IF(E1495="","",ROW()-6)</f>
        <v>1489</v>
      </c>
      <c r="B1495" s="80" t="s">
        <v>110</v>
      </c>
      <c r="C1495" s="81" t="s">
        <v>1792</v>
      </c>
      <c r="D1495" s="81" t="n">
        <v>13</v>
      </c>
      <c r="E1495" s="81" t="s">
        <v>1794</v>
      </c>
      <c r="F1495" s="82" t="str">
        <f aca="false">IF(E1495="","",IF(LEFT(E1495,2)="DJ","DJ","JN"))</f>
        <v>JN</v>
      </c>
      <c r="G1495" s="81" t="s">
        <v>1504</v>
      </c>
      <c r="H1495" s="81" t="s">
        <v>871</v>
      </c>
      <c r="I1495" s="81" t="n">
        <v>9.53</v>
      </c>
      <c r="J1495" s="81" t="s">
        <v>872</v>
      </c>
      <c r="K1495" s="81" t="s">
        <v>879</v>
      </c>
      <c r="L1495" s="81" t="n">
        <v>2090450</v>
      </c>
      <c r="M1495" s="81" t="n">
        <v>15421109</v>
      </c>
      <c r="N1495" s="81" t="n">
        <v>11.94</v>
      </c>
      <c r="O1495" s="81" t="n">
        <v>2086770</v>
      </c>
      <c r="P1495" s="81" t="n">
        <v>15421107</v>
      </c>
      <c r="Q1495" s="81" t="n">
        <v>11.94</v>
      </c>
      <c r="R1495" s="81" t="s">
        <v>1795</v>
      </c>
      <c r="S1495" s="81"/>
      <c r="T1495" s="81"/>
      <c r="U1495" s="83" t="n">
        <v>46276</v>
      </c>
      <c r="V1495" s="83" t="n">
        <v>46276</v>
      </c>
      <c r="W1495" s="81" t="s">
        <v>1751</v>
      </c>
      <c r="X1495" s="81" t="s">
        <v>876</v>
      </c>
      <c r="Y1495" s="83" t="n">
        <v>46280</v>
      </c>
      <c r="Z1495" s="81" t="s">
        <v>1796</v>
      </c>
      <c r="AA1495" s="81" t="s">
        <v>876</v>
      </c>
      <c r="AB1495" s="81"/>
      <c r="AC1495" s="81"/>
      <c r="AD1495" s="81"/>
      <c r="AE1495" s="83"/>
      <c r="AF1495" s="81"/>
      <c r="AG1495" s="81"/>
      <c r="AH1495" s="81"/>
      <c r="AI1495" s="81"/>
      <c r="AJ1495" s="83"/>
      <c r="AK1495" s="81"/>
      <c r="AL1495" s="81"/>
      <c r="AM1495" s="83"/>
      <c r="AN1495" s="80"/>
      <c r="AO1495" s="82" t="n">
        <f aca="false">IF(E1495="","",(AA1495&lt;&gt;"")+(AG1495&lt;&gt;"")+(AL1495&lt;&gt;""))</f>
        <v>1</v>
      </c>
      <c r="AP1495" s="82" t="str">
        <f aca="false">IF(AL1495&lt;&gt;"",AL1495,IF(AG1495&lt;&gt;"",AG1495,IF(AA1495&lt;&gt;"",AA1495,"")))</f>
        <v>A</v>
      </c>
      <c r="AQ1495" s="84" t="str">
        <f aca="false">IF(E1495="","",IF(U1495="","À SOUDER",IF(X1495="","VT EN ATTENTE",IF(X1495="R","VT REJETÉ – À REPRENDRE",IF(AP1495="","À RADIOGRAPHIER",IF(AP1495="A","ACCEPTÉ",IF(AP1495="NX","NX – RT À REFAIRE",IF(IF(AO1495=1,AD1495,IF(AO1495=2,AI1495,""))="A","RÉPARÉ – À RADIOGRAPHIER",IF(IF(AO1495=1,AD1495,IF(AO1495=2,AI1495,""))="R","VT REJETÉ – À REPRENDRE",IF(OR(AP1495="CO",AP1495="NT"),"COUPE – À RESOUDER","À RÉPARER"))))))))))</f>
        <v>ACCEPTÉ</v>
      </c>
      <c r="AR1495" s="82" t="str">
        <f aca="false">IF(AND(ISNUMBER(U1495),OR(AQ1495="À RADIOGRAPHIER",AQ1495="RÉPARÉ – À RADIOGRAPHIER",AQ1495="NX – RT À REFAIRE",AQ1495="À RÉPARER",AQ1495="COUPE – À RESOUDER",AQ1495="VT REJETÉ – À REPRENDRE")),MAX(0,'PROGRAMME RT'!$C$4-U1495),"")</f>
        <v/>
      </c>
      <c r="AS1495" s="82" t="n">
        <f aca="false">IF(AND(OR(AQ1495="À RADIOGRAPHIER",AQ1495="RÉPARÉ – À RADIOGRAPHIER",AQ1495="NX – RT À REFAIRE"),OR('PROGRAMME RT'!$D$5="TOUTES",B1495='PROGRAMME RT'!$D$5)),1,0)</f>
        <v>0</v>
      </c>
      <c r="AT1495" s="82" t="str">
        <f aca="false">IF(AS1495=1,SUM(AS$7:AS1495),"")</f>
        <v/>
      </c>
      <c r="AU1495" s="82" t="n">
        <f aca="false">IF(AND(OR(AA1495="R",AA1495="NX",AA1495="NT",AA1495="CO"),OR('JOINTS DE RÉPARATION'!$D$5="TOUTES",B1495='JOINTS DE RÉPARATION'!$D$5),OR('JOINTS DE RÉPARATION'!$L$4="TOUS",AQ1495&lt;&gt;"ACCEPTÉ")),1,0)</f>
        <v>0</v>
      </c>
      <c r="AV1495" s="82" t="str">
        <f aca="false">IF(AU1495=1,SUM(AU$7:AU1495),"")</f>
        <v/>
      </c>
      <c r="AW1495" s="82" t="str">
        <f aca="false">IF(E1495="","",B1495&amp;"|"&amp;E1495)</f>
        <v>MFD-ISW → MFD-CPF|JN°1241</v>
      </c>
    </row>
    <row r="1496" customFormat="false" ht="74.6" hidden="false" customHeight="false" outlineLevel="0" collapsed="false">
      <c r="A1496" s="79" t="n">
        <f aca="false">IF(E1496="","",ROW()-6)</f>
        <v>1490</v>
      </c>
      <c r="B1496" s="80" t="s">
        <v>110</v>
      </c>
      <c r="C1496" s="81" t="s">
        <v>1792</v>
      </c>
      <c r="D1496" s="81" t="n">
        <v>13</v>
      </c>
      <c r="E1496" s="81" t="s">
        <v>1797</v>
      </c>
      <c r="F1496" s="82" t="str">
        <f aca="false">IF(E1496="","",IF(LEFT(E1496,2)="DJ","DJ","JN"))</f>
        <v>DJ</v>
      </c>
      <c r="G1496" s="81"/>
      <c r="H1496" s="81" t="s">
        <v>871</v>
      </c>
      <c r="I1496" s="81" t="n">
        <v>9.53</v>
      </c>
      <c r="J1496" s="81" t="s">
        <v>872</v>
      </c>
      <c r="K1496" s="81" t="s">
        <v>873</v>
      </c>
      <c r="L1496" s="81" t="n">
        <v>2086770</v>
      </c>
      <c r="M1496" s="81" t="n">
        <v>15421107</v>
      </c>
      <c r="N1496" s="81" t="n">
        <v>11.94</v>
      </c>
      <c r="O1496" s="81" t="n">
        <v>2087920</v>
      </c>
      <c r="P1496" s="81" t="n">
        <v>15421108</v>
      </c>
      <c r="Q1496" s="81" t="n">
        <v>11.94</v>
      </c>
      <c r="R1496" s="81" t="s">
        <v>963</v>
      </c>
      <c r="S1496" s="81"/>
      <c r="T1496" s="81"/>
      <c r="U1496" s="83" t="n">
        <v>46269</v>
      </c>
      <c r="V1496" s="83" t="n">
        <v>46269</v>
      </c>
      <c r="W1496" s="81" t="s">
        <v>1606</v>
      </c>
      <c r="X1496" s="81" t="s">
        <v>876</v>
      </c>
      <c r="Y1496" s="83" t="n">
        <v>46270</v>
      </c>
      <c r="Z1496" s="81" t="s">
        <v>1757</v>
      </c>
      <c r="AA1496" s="81" t="s">
        <v>876</v>
      </c>
      <c r="AB1496" s="81"/>
      <c r="AC1496" s="81"/>
      <c r="AD1496" s="81"/>
      <c r="AE1496" s="83"/>
      <c r="AF1496" s="81"/>
      <c r="AG1496" s="81"/>
      <c r="AH1496" s="81"/>
      <c r="AI1496" s="81"/>
      <c r="AJ1496" s="83"/>
      <c r="AK1496" s="81"/>
      <c r="AL1496" s="81"/>
      <c r="AM1496" s="83"/>
      <c r="AN1496" s="80"/>
      <c r="AO1496" s="82" t="n">
        <f aca="false">IF(E1496="","",(AA1496&lt;&gt;"")+(AG1496&lt;&gt;"")+(AL1496&lt;&gt;""))</f>
        <v>1</v>
      </c>
      <c r="AP1496" s="82" t="str">
        <f aca="false">IF(AL1496&lt;&gt;"",AL1496,IF(AG1496&lt;&gt;"",AG1496,IF(AA1496&lt;&gt;"",AA1496,"")))</f>
        <v>A</v>
      </c>
      <c r="AQ1496" s="84" t="str">
        <f aca="false">IF(E1496="","",IF(U1496="","À SOUDER",IF(X1496="","VT EN ATTENTE",IF(X1496="R","VT REJETÉ – À REPRENDRE",IF(AP1496="","À RADIOGRAPHIER",IF(AP1496="A","ACCEPTÉ",IF(AP1496="NX","NX – RT À REFAIRE",IF(IF(AO1496=1,AD1496,IF(AO1496=2,AI1496,""))="A","RÉPARÉ – À RADIOGRAPHIER",IF(IF(AO1496=1,AD1496,IF(AO1496=2,AI1496,""))="R","VT REJETÉ – À REPRENDRE",IF(OR(AP1496="CO",AP1496="NT"),"COUPE – À RESOUDER","À RÉPARER"))))))))))</f>
        <v>ACCEPTÉ</v>
      </c>
      <c r="AR1496" s="82" t="str">
        <f aca="false">IF(AND(ISNUMBER(U1496),OR(AQ1496="À RADIOGRAPHIER",AQ1496="RÉPARÉ – À RADIOGRAPHIER",AQ1496="NX – RT À REFAIRE",AQ1496="À RÉPARER",AQ1496="COUPE – À RESOUDER",AQ1496="VT REJETÉ – À REPRENDRE")),MAX(0,'PROGRAMME RT'!$C$4-U1496),"")</f>
        <v/>
      </c>
      <c r="AS1496" s="82" t="n">
        <f aca="false">IF(AND(OR(AQ1496="À RADIOGRAPHIER",AQ1496="RÉPARÉ – À RADIOGRAPHIER",AQ1496="NX – RT À REFAIRE"),OR('PROGRAMME RT'!$D$5="TOUTES",B1496='PROGRAMME RT'!$D$5)),1,0)</f>
        <v>0</v>
      </c>
      <c r="AT1496" s="82" t="str">
        <f aca="false">IF(AS1496=1,SUM(AS$7:AS1496),"")</f>
        <v/>
      </c>
      <c r="AU1496" s="82" t="n">
        <f aca="false">IF(AND(OR(AA1496="R",AA1496="NX",AA1496="NT",AA1496="CO"),OR('JOINTS DE RÉPARATION'!$D$5="TOUTES",B1496='JOINTS DE RÉPARATION'!$D$5),OR('JOINTS DE RÉPARATION'!$L$4="TOUS",AQ1496&lt;&gt;"ACCEPTÉ")),1,0)</f>
        <v>0</v>
      </c>
      <c r="AV1496" s="82" t="str">
        <f aca="false">IF(AU1496=1,SUM(AU$7:AU1496),"")</f>
        <v/>
      </c>
      <c r="AW1496" s="82" t="str">
        <f aca="false">IF(E1496="","",B1496&amp;"|"&amp;E1496)</f>
        <v>MFD-ISW → MFD-CPF|DJ°269</v>
      </c>
    </row>
    <row r="1497" customFormat="false" ht="74.6" hidden="false" customHeight="false" outlineLevel="0" collapsed="false">
      <c r="A1497" s="79" t="n">
        <f aca="false">IF(E1497="","",ROW()-6)</f>
        <v>1491</v>
      </c>
      <c r="B1497" s="80" t="s">
        <v>110</v>
      </c>
      <c r="C1497" s="81" t="s">
        <v>1792</v>
      </c>
      <c r="D1497" s="81" t="n">
        <v>13</v>
      </c>
      <c r="E1497" s="81" t="s">
        <v>1798</v>
      </c>
      <c r="F1497" s="82" t="str">
        <f aca="false">IF(E1497="","",IF(LEFT(E1497,2)="DJ","DJ","JN"))</f>
        <v>JN</v>
      </c>
      <c r="G1497" s="81" t="s">
        <v>1504</v>
      </c>
      <c r="H1497" s="81" t="s">
        <v>871</v>
      </c>
      <c r="I1497" s="81" t="n">
        <v>9.53</v>
      </c>
      <c r="J1497" s="81" t="s">
        <v>872</v>
      </c>
      <c r="K1497" s="81" t="s">
        <v>879</v>
      </c>
      <c r="L1497" s="81" t="n">
        <v>2087920</v>
      </c>
      <c r="M1497" s="81" t="n">
        <v>15421108</v>
      </c>
      <c r="N1497" s="81" t="n">
        <v>11.94</v>
      </c>
      <c r="O1497" s="81" t="n">
        <v>2098510</v>
      </c>
      <c r="P1497" s="81" t="n">
        <v>15421112</v>
      </c>
      <c r="Q1497" s="81" t="n">
        <v>11.94</v>
      </c>
      <c r="R1497" s="81" t="s">
        <v>1795</v>
      </c>
      <c r="S1497" s="81"/>
      <c r="T1497" s="81"/>
      <c r="U1497" s="83" t="n">
        <v>46276</v>
      </c>
      <c r="V1497" s="83" t="n">
        <v>46276</v>
      </c>
      <c r="W1497" s="81" t="s">
        <v>1751</v>
      </c>
      <c r="X1497" s="81" t="s">
        <v>876</v>
      </c>
      <c r="Y1497" s="83" t="n">
        <v>46280</v>
      </c>
      <c r="Z1497" s="81" t="s">
        <v>1796</v>
      </c>
      <c r="AA1497" s="81" t="s">
        <v>876</v>
      </c>
      <c r="AB1497" s="81"/>
      <c r="AC1497" s="81"/>
      <c r="AD1497" s="81"/>
      <c r="AE1497" s="83"/>
      <c r="AF1497" s="81"/>
      <c r="AG1497" s="81"/>
      <c r="AH1497" s="81"/>
      <c r="AI1497" s="81"/>
      <c r="AJ1497" s="83"/>
      <c r="AK1497" s="81"/>
      <c r="AL1497" s="81"/>
      <c r="AM1497" s="83"/>
      <c r="AN1497" s="80"/>
      <c r="AO1497" s="82" t="n">
        <f aca="false">IF(E1497="","",(AA1497&lt;&gt;"")+(AG1497&lt;&gt;"")+(AL1497&lt;&gt;""))</f>
        <v>1</v>
      </c>
      <c r="AP1497" s="82" t="str">
        <f aca="false">IF(AL1497&lt;&gt;"",AL1497,IF(AG1497&lt;&gt;"",AG1497,IF(AA1497&lt;&gt;"",AA1497,"")))</f>
        <v>A</v>
      </c>
      <c r="AQ1497" s="84" t="str">
        <f aca="false">IF(E1497="","",IF(U1497="","À SOUDER",IF(X1497="","VT EN ATTENTE",IF(X1497="R","VT REJETÉ – À REPRENDRE",IF(AP1497="","À RADIOGRAPHIER",IF(AP1497="A","ACCEPTÉ",IF(AP1497="NX","NX – RT À REFAIRE",IF(IF(AO1497=1,AD1497,IF(AO1497=2,AI1497,""))="A","RÉPARÉ – À RADIOGRAPHIER",IF(IF(AO1497=1,AD1497,IF(AO1497=2,AI1497,""))="R","VT REJETÉ – À REPRENDRE",IF(OR(AP1497="CO",AP1497="NT"),"COUPE – À RESOUDER","À RÉPARER"))))))))))</f>
        <v>ACCEPTÉ</v>
      </c>
      <c r="AR1497" s="82" t="str">
        <f aca="false">IF(AND(ISNUMBER(U1497),OR(AQ1497="À RADIOGRAPHIER",AQ1497="RÉPARÉ – À RADIOGRAPHIER",AQ1497="NX – RT À REFAIRE",AQ1497="À RÉPARER",AQ1497="COUPE – À RESOUDER",AQ1497="VT REJETÉ – À REPRENDRE")),MAX(0,'PROGRAMME RT'!$C$4-U1497),"")</f>
        <v/>
      </c>
      <c r="AS1497" s="82" t="n">
        <f aca="false">IF(AND(OR(AQ1497="À RADIOGRAPHIER",AQ1497="RÉPARÉ – À RADIOGRAPHIER",AQ1497="NX – RT À REFAIRE"),OR('PROGRAMME RT'!$D$5="TOUTES",B1497='PROGRAMME RT'!$D$5)),1,0)</f>
        <v>0</v>
      </c>
      <c r="AT1497" s="82" t="str">
        <f aca="false">IF(AS1497=1,SUM(AS$7:AS1497),"")</f>
        <v/>
      </c>
      <c r="AU1497" s="82" t="n">
        <f aca="false">IF(AND(OR(AA1497="R",AA1497="NX",AA1497="NT",AA1497="CO"),OR('JOINTS DE RÉPARATION'!$D$5="TOUTES",B1497='JOINTS DE RÉPARATION'!$D$5),OR('JOINTS DE RÉPARATION'!$L$4="TOUS",AQ1497&lt;&gt;"ACCEPTÉ")),1,0)</f>
        <v>0</v>
      </c>
      <c r="AV1497" s="82" t="str">
        <f aca="false">IF(AU1497=1,SUM(AU$7:AU1497),"")</f>
        <v/>
      </c>
      <c r="AW1497" s="82" t="str">
        <f aca="false">IF(E1497="","",B1497&amp;"|"&amp;E1497)</f>
        <v>MFD-ISW → MFD-CPF|JN°1242</v>
      </c>
    </row>
    <row r="1498" customFormat="false" ht="74.6" hidden="false" customHeight="false" outlineLevel="0" collapsed="false">
      <c r="A1498" s="79" t="n">
        <f aca="false">IF(E1498="","",ROW()-6)</f>
        <v>1492</v>
      </c>
      <c r="B1498" s="80" t="s">
        <v>110</v>
      </c>
      <c r="C1498" s="81" t="s">
        <v>1792</v>
      </c>
      <c r="D1498" s="81" t="s">
        <v>869</v>
      </c>
      <c r="E1498" s="81" t="s">
        <v>1799</v>
      </c>
      <c r="F1498" s="82" t="str">
        <f aca="false">IF(E1498="","",IF(LEFT(E1498,2)="DJ","DJ","JN"))</f>
        <v>DJ</v>
      </c>
      <c r="G1498" s="81"/>
      <c r="H1498" s="81" t="s">
        <v>871</v>
      </c>
      <c r="I1498" s="81" t="n">
        <v>9.53</v>
      </c>
      <c r="J1498" s="81" t="s">
        <v>872</v>
      </c>
      <c r="K1498" s="81" t="s">
        <v>873</v>
      </c>
      <c r="L1498" s="81" t="n">
        <v>2098510</v>
      </c>
      <c r="M1498" s="81" t="n">
        <v>15421112</v>
      </c>
      <c r="N1498" s="81" t="n">
        <v>11.94</v>
      </c>
      <c r="O1498" s="81" t="n">
        <v>2090050</v>
      </c>
      <c r="P1498" s="81" t="n">
        <v>15421109</v>
      </c>
      <c r="Q1498" s="81" t="n">
        <v>11.94</v>
      </c>
      <c r="R1498" s="81" t="s">
        <v>963</v>
      </c>
      <c r="S1498" s="81"/>
      <c r="T1498" s="81"/>
      <c r="U1498" s="83" t="n">
        <v>46269</v>
      </c>
      <c r="V1498" s="83" t="n">
        <v>46269</v>
      </c>
      <c r="W1498" s="81" t="s">
        <v>1606</v>
      </c>
      <c r="X1498" s="81" t="s">
        <v>876</v>
      </c>
      <c r="Y1498" s="83" t="n">
        <v>46270</v>
      </c>
      <c r="Z1498" s="81" t="s">
        <v>1757</v>
      </c>
      <c r="AA1498" s="81" t="s">
        <v>876</v>
      </c>
      <c r="AB1498" s="81"/>
      <c r="AC1498" s="81"/>
      <c r="AD1498" s="81"/>
      <c r="AE1498" s="83"/>
      <c r="AF1498" s="81"/>
      <c r="AG1498" s="81"/>
      <c r="AH1498" s="81"/>
      <c r="AI1498" s="81"/>
      <c r="AJ1498" s="83"/>
      <c r="AK1498" s="81"/>
      <c r="AL1498" s="81"/>
      <c r="AM1498" s="83"/>
      <c r="AN1498" s="80"/>
      <c r="AO1498" s="82" t="n">
        <f aca="false">IF(E1498="","",(AA1498&lt;&gt;"")+(AG1498&lt;&gt;"")+(AL1498&lt;&gt;""))</f>
        <v>1</v>
      </c>
      <c r="AP1498" s="82" t="str">
        <f aca="false">IF(AL1498&lt;&gt;"",AL1498,IF(AG1498&lt;&gt;"",AG1498,IF(AA1498&lt;&gt;"",AA1498,"")))</f>
        <v>A</v>
      </c>
      <c r="AQ1498" s="84" t="str">
        <f aca="false">IF(E1498="","",IF(U1498="","À SOUDER",IF(X1498="","VT EN ATTENTE",IF(X1498="R","VT REJETÉ – À REPRENDRE",IF(AP1498="","À RADIOGRAPHIER",IF(AP1498="A","ACCEPTÉ",IF(AP1498="NX","NX – RT À REFAIRE",IF(IF(AO1498=1,AD1498,IF(AO1498=2,AI1498,""))="A","RÉPARÉ – À RADIOGRAPHIER",IF(IF(AO1498=1,AD1498,IF(AO1498=2,AI1498,""))="R","VT REJETÉ – À REPRENDRE",IF(OR(AP1498="CO",AP1498="NT"),"COUPE – À RESOUDER","À RÉPARER"))))))))))</f>
        <v>ACCEPTÉ</v>
      </c>
      <c r="AR1498" s="82" t="str">
        <f aca="false">IF(AND(ISNUMBER(U1498),OR(AQ1498="À RADIOGRAPHIER",AQ1498="RÉPARÉ – À RADIOGRAPHIER",AQ1498="NX – RT À REFAIRE",AQ1498="À RÉPARER",AQ1498="COUPE – À RESOUDER",AQ1498="VT REJETÉ – À REPRENDRE")),MAX(0,'PROGRAMME RT'!$C$4-U1498),"")</f>
        <v/>
      </c>
      <c r="AS1498" s="82" t="n">
        <f aca="false">IF(AND(OR(AQ1498="À RADIOGRAPHIER",AQ1498="RÉPARÉ – À RADIOGRAPHIER",AQ1498="NX – RT À REFAIRE"),OR('PROGRAMME RT'!$D$5="TOUTES",B1498='PROGRAMME RT'!$D$5)),1,0)</f>
        <v>0</v>
      </c>
      <c r="AT1498" s="82" t="str">
        <f aca="false">IF(AS1498=1,SUM(AS$7:AS1498),"")</f>
        <v/>
      </c>
      <c r="AU1498" s="82" t="n">
        <f aca="false">IF(AND(OR(AA1498="R",AA1498="NX",AA1498="NT",AA1498="CO"),OR('JOINTS DE RÉPARATION'!$D$5="TOUTES",B1498='JOINTS DE RÉPARATION'!$D$5),OR('JOINTS DE RÉPARATION'!$L$4="TOUS",AQ1498&lt;&gt;"ACCEPTÉ")),1,0)</f>
        <v>0</v>
      </c>
      <c r="AV1498" s="82" t="str">
        <f aca="false">IF(AU1498=1,SUM(AU$7:AU1498),"")</f>
        <v/>
      </c>
      <c r="AW1498" s="82" t="str">
        <f aca="false">IF(E1498="","",B1498&amp;"|"&amp;E1498)</f>
        <v>MFD-ISW → MFD-CPF|DJ°271</v>
      </c>
    </row>
    <row r="1499" customFormat="false" ht="74.6" hidden="false" customHeight="false" outlineLevel="0" collapsed="false">
      <c r="A1499" s="79" t="n">
        <f aca="false">IF(E1499="","",ROW()-6)</f>
        <v>1493</v>
      </c>
      <c r="B1499" s="80" t="s">
        <v>110</v>
      </c>
      <c r="C1499" s="81" t="s">
        <v>1792</v>
      </c>
      <c r="D1499" s="81" t="n">
        <v>13</v>
      </c>
      <c r="E1499" s="81" t="s">
        <v>1800</v>
      </c>
      <c r="F1499" s="82" t="str">
        <f aca="false">IF(E1499="","",IF(LEFT(E1499,2)="DJ","DJ","JN"))</f>
        <v>JN</v>
      </c>
      <c r="G1499" s="81" t="s">
        <v>1504</v>
      </c>
      <c r="H1499" s="81" t="s">
        <v>871</v>
      </c>
      <c r="I1499" s="81" t="n">
        <v>9.53</v>
      </c>
      <c r="J1499" s="81" t="s">
        <v>872</v>
      </c>
      <c r="K1499" s="81" t="s">
        <v>879</v>
      </c>
      <c r="L1499" s="81" t="n">
        <v>2090050</v>
      </c>
      <c r="M1499" s="81" t="n">
        <v>15421103</v>
      </c>
      <c r="N1499" s="81" t="n">
        <v>11.94</v>
      </c>
      <c r="O1499" s="81" t="n">
        <v>2081330</v>
      </c>
      <c r="P1499" s="81" t="n">
        <v>15421103</v>
      </c>
      <c r="Q1499" s="81" t="n">
        <v>11.94</v>
      </c>
      <c r="R1499" s="81" t="s">
        <v>1795</v>
      </c>
      <c r="S1499" s="81"/>
      <c r="T1499" s="81"/>
      <c r="U1499" s="83" t="n">
        <v>46276</v>
      </c>
      <c r="V1499" s="83" t="n">
        <v>46276</v>
      </c>
      <c r="W1499" s="81" t="s">
        <v>1751</v>
      </c>
      <c r="X1499" s="81" t="s">
        <v>876</v>
      </c>
      <c r="Y1499" s="83" t="n">
        <v>46280</v>
      </c>
      <c r="Z1499" s="81" t="s">
        <v>1796</v>
      </c>
      <c r="AA1499" s="81" t="s">
        <v>876</v>
      </c>
      <c r="AB1499" s="81"/>
      <c r="AC1499" s="81"/>
      <c r="AD1499" s="81"/>
      <c r="AE1499" s="83"/>
      <c r="AF1499" s="81"/>
      <c r="AG1499" s="81"/>
      <c r="AH1499" s="81"/>
      <c r="AI1499" s="81"/>
      <c r="AJ1499" s="83"/>
      <c r="AK1499" s="81"/>
      <c r="AL1499" s="81"/>
      <c r="AM1499" s="83"/>
      <c r="AN1499" s="80"/>
      <c r="AO1499" s="82" t="n">
        <f aca="false">IF(E1499="","",(AA1499&lt;&gt;"")+(AG1499&lt;&gt;"")+(AL1499&lt;&gt;""))</f>
        <v>1</v>
      </c>
      <c r="AP1499" s="82" t="str">
        <f aca="false">IF(AL1499&lt;&gt;"",AL1499,IF(AG1499&lt;&gt;"",AG1499,IF(AA1499&lt;&gt;"",AA1499,"")))</f>
        <v>A</v>
      </c>
      <c r="AQ1499" s="84" t="str">
        <f aca="false">IF(E1499="","",IF(U1499="","À SOUDER",IF(X1499="","VT EN ATTENTE",IF(X1499="R","VT REJETÉ – À REPRENDRE",IF(AP1499="","À RADIOGRAPHIER",IF(AP1499="A","ACCEPTÉ",IF(AP1499="NX","NX – RT À REFAIRE",IF(IF(AO1499=1,AD1499,IF(AO1499=2,AI1499,""))="A","RÉPARÉ – À RADIOGRAPHIER",IF(IF(AO1499=1,AD1499,IF(AO1499=2,AI1499,""))="R","VT REJETÉ – À REPRENDRE",IF(OR(AP1499="CO",AP1499="NT"),"COUPE – À RESOUDER","À RÉPARER"))))))))))</f>
        <v>ACCEPTÉ</v>
      </c>
      <c r="AR1499" s="82" t="str">
        <f aca="false">IF(AND(ISNUMBER(U1499),OR(AQ1499="À RADIOGRAPHIER",AQ1499="RÉPARÉ – À RADIOGRAPHIER",AQ1499="NX – RT À REFAIRE",AQ1499="À RÉPARER",AQ1499="COUPE – À RESOUDER",AQ1499="VT REJETÉ – À REPRENDRE")),MAX(0,'PROGRAMME RT'!$C$4-U1499),"")</f>
        <v/>
      </c>
      <c r="AS1499" s="82" t="n">
        <f aca="false">IF(AND(OR(AQ1499="À RADIOGRAPHIER",AQ1499="RÉPARÉ – À RADIOGRAPHIER",AQ1499="NX – RT À REFAIRE"),OR('PROGRAMME RT'!$D$5="TOUTES",B1499='PROGRAMME RT'!$D$5)),1,0)</f>
        <v>0</v>
      </c>
      <c r="AT1499" s="82" t="str">
        <f aca="false">IF(AS1499=1,SUM(AS$7:AS1499),"")</f>
        <v/>
      </c>
      <c r="AU1499" s="82" t="n">
        <f aca="false">IF(AND(OR(AA1499="R",AA1499="NX",AA1499="NT",AA1499="CO"),OR('JOINTS DE RÉPARATION'!$D$5="TOUTES",B1499='JOINTS DE RÉPARATION'!$D$5),OR('JOINTS DE RÉPARATION'!$L$4="TOUS",AQ1499&lt;&gt;"ACCEPTÉ")),1,0)</f>
        <v>0</v>
      </c>
      <c r="AV1499" s="82" t="str">
        <f aca="false">IF(AU1499=1,SUM(AU$7:AU1499),"")</f>
        <v/>
      </c>
      <c r="AW1499" s="82" t="str">
        <f aca="false">IF(E1499="","",B1499&amp;"|"&amp;E1499)</f>
        <v>MFD-ISW → MFD-CPF|JN°1243</v>
      </c>
    </row>
    <row r="1500" customFormat="false" ht="74.6" hidden="false" customHeight="false" outlineLevel="0" collapsed="false">
      <c r="A1500" s="79" t="n">
        <f aca="false">IF(E1500="","",ROW()-6)</f>
        <v>1494</v>
      </c>
      <c r="B1500" s="80" t="s">
        <v>110</v>
      </c>
      <c r="C1500" s="81" t="s">
        <v>1792</v>
      </c>
      <c r="D1500" s="81" t="n">
        <v>13</v>
      </c>
      <c r="E1500" s="81" t="s">
        <v>1801</v>
      </c>
      <c r="F1500" s="82" t="str">
        <f aca="false">IF(E1500="","",IF(LEFT(E1500,2)="DJ","DJ","JN"))</f>
        <v>DJ</v>
      </c>
      <c r="G1500" s="81"/>
      <c r="H1500" s="81" t="s">
        <v>871</v>
      </c>
      <c r="I1500" s="81" t="n">
        <v>9.53</v>
      </c>
      <c r="J1500" s="81" t="s">
        <v>872</v>
      </c>
      <c r="K1500" s="81" t="s">
        <v>873</v>
      </c>
      <c r="L1500" s="81" t="n">
        <v>2081330</v>
      </c>
      <c r="M1500" s="81" t="n">
        <v>15421103</v>
      </c>
      <c r="N1500" s="81" t="n">
        <v>11.94</v>
      </c>
      <c r="O1500" s="81" t="n">
        <v>2094920</v>
      </c>
      <c r="P1500" s="81" t="n">
        <v>15421111</v>
      </c>
      <c r="Q1500" s="81" t="n">
        <v>11.94</v>
      </c>
      <c r="R1500" s="81" t="s">
        <v>1517</v>
      </c>
      <c r="S1500" s="81"/>
      <c r="T1500" s="81"/>
      <c r="U1500" s="83" t="n">
        <v>46269</v>
      </c>
      <c r="V1500" s="83" t="n">
        <v>46269</v>
      </c>
      <c r="W1500" s="81" t="s">
        <v>1606</v>
      </c>
      <c r="X1500" s="81" t="s">
        <v>876</v>
      </c>
      <c r="Y1500" s="83" t="n">
        <v>46270</v>
      </c>
      <c r="Z1500" s="81" t="s">
        <v>1757</v>
      </c>
      <c r="AA1500" s="81" t="s">
        <v>876</v>
      </c>
      <c r="AB1500" s="81"/>
      <c r="AC1500" s="81"/>
      <c r="AD1500" s="81"/>
      <c r="AE1500" s="83"/>
      <c r="AF1500" s="81"/>
      <c r="AG1500" s="81"/>
      <c r="AH1500" s="81"/>
      <c r="AI1500" s="81"/>
      <c r="AJ1500" s="83"/>
      <c r="AK1500" s="81"/>
      <c r="AL1500" s="81"/>
      <c r="AM1500" s="83"/>
      <c r="AN1500" s="80"/>
      <c r="AO1500" s="82" t="n">
        <f aca="false">IF(E1500="","",(AA1500&lt;&gt;"")+(AG1500&lt;&gt;"")+(AL1500&lt;&gt;""))</f>
        <v>1</v>
      </c>
      <c r="AP1500" s="82" t="str">
        <f aca="false">IF(AL1500&lt;&gt;"",AL1500,IF(AG1500&lt;&gt;"",AG1500,IF(AA1500&lt;&gt;"",AA1500,"")))</f>
        <v>A</v>
      </c>
      <c r="AQ1500" s="84" t="str">
        <f aca="false">IF(E1500="","",IF(U1500="","À SOUDER",IF(X1500="","VT EN ATTENTE",IF(X1500="R","VT REJETÉ – À REPRENDRE",IF(AP1500="","À RADIOGRAPHIER",IF(AP1500="A","ACCEPTÉ",IF(AP1500="NX","NX – RT À REFAIRE",IF(IF(AO1500=1,AD1500,IF(AO1500=2,AI1500,""))="A","RÉPARÉ – À RADIOGRAPHIER",IF(IF(AO1500=1,AD1500,IF(AO1500=2,AI1500,""))="R","VT REJETÉ – À REPRENDRE",IF(OR(AP1500="CO",AP1500="NT"),"COUPE – À RESOUDER","À RÉPARER"))))))))))</f>
        <v>ACCEPTÉ</v>
      </c>
      <c r="AR1500" s="82" t="str">
        <f aca="false">IF(AND(ISNUMBER(U1500),OR(AQ1500="À RADIOGRAPHIER",AQ1500="RÉPARÉ – À RADIOGRAPHIER",AQ1500="NX – RT À REFAIRE",AQ1500="À RÉPARER",AQ1500="COUPE – À RESOUDER",AQ1500="VT REJETÉ – À REPRENDRE")),MAX(0,'PROGRAMME RT'!$C$4-U1500),"")</f>
        <v/>
      </c>
      <c r="AS1500" s="82" t="n">
        <f aca="false">IF(AND(OR(AQ1500="À RADIOGRAPHIER",AQ1500="RÉPARÉ – À RADIOGRAPHIER",AQ1500="NX – RT À REFAIRE"),OR('PROGRAMME RT'!$D$5="TOUTES",B1500='PROGRAMME RT'!$D$5)),1,0)</f>
        <v>0</v>
      </c>
      <c r="AT1500" s="82" t="str">
        <f aca="false">IF(AS1500=1,SUM(AS$7:AS1500),"")</f>
        <v/>
      </c>
      <c r="AU1500" s="82" t="n">
        <f aca="false">IF(AND(OR(AA1500="R",AA1500="NX",AA1500="NT",AA1500="CO"),OR('JOINTS DE RÉPARATION'!$D$5="TOUTES",B1500='JOINTS DE RÉPARATION'!$D$5),OR('JOINTS DE RÉPARATION'!$L$4="TOUS",AQ1500&lt;&gt;"ACCEPTÉ")),1,0)</f>
        <v>0</v>
      </c>
      <c r="AV1500" s="82" t="str">
        <f aca="false">IF(AU1500=1,SUM(AU$7:AU1500),"")</f>
        <v/>
      </c>
      <c r="AW1500" s="82" t="str">
        <f aca="false">IF(E1500="","",B1500&amp;"|"&amp;E1500)</f>
        <v>MFD-ISW → MFD-CPF|DJ°273</v>
      </c>
    </row>
    <row r="1501" customFormat="false" ht="74.6" hidden="false" customHeight="false" outlineLevel="0" collapsed="false">
      <c r="A1501" s="79" t="n">
        <f aca="false">IF(E1501="","",ROW()-6)</f>
        <v>1495</v>
      </c>
      <c r="B1501" s="80" t="s">
        <v>110</v>
      </c>
      <c r="C1501" s="81" t="s">
        <v>1792</v>
      </c>
      <c r="D1501" s="81" t="n">
        <v>13</v>
      </c>
      <c r="E1501" s="81" t="s">
        <v>1802</v>
      </c>
      <c r="F1501" s="82" t="str">
        <f aca="false">IF(E1501="","",IF(LEFT(E1501,2)="DJ","DJ","JN"))</f>
        <v>JN</v>
      </c>
      <c r="G1501" s="81" t="s">
        <v>1504</v>
      </c>
      <c r="H1501" s="81" t="s">
        <v>871</v>
      </c>
      <c r="I1501" s="81" t="n">
        <v>9.53</v>
      </c>
      <c r="J1501" s="81" t="s">
        <v>872</v>
      </c>
      <c r="K1501" s="81" t="s">
        <v>879</v>
      </c>
      <c r="L1501" s="81" t="n">
        <v>2094920</v>
      </c>
      <c r="M1501" s="81" t="n">
        <v>15421111</v>
      </c>
      <c r="N1501" s="81" t="n">
        <v>11.94</v>
      </c>
      <c r="O1501" s="81" t="n">
        <v>2086380</v>
      </c>
      <c r="P1501" s="81" t="n">
        <v>15421107</v>
      </c>
      <c r="Q1501" s="81" t="n">
        <v>11.94</v>
      </c>
      <c r="R1501" s="81" t="s">
        <v>1795</v>
      </c>
      <c r="S1501" s="81"/>
      <c r="T1501" s="81"/>
      <c r="U1501" s="83" t="n">
        <v>46276</v>
      </c>
      <c r="V1501" s="83" t="n">
        <v>46276</v>
      </c>
      <c r="W1501" s="81" t="s">
        <v>1751</v>
      </c>
      <c r="X1501" s="81" t="s">
        <v>876</v>
      </c>
      <c r="Y1501" s="83" t="n">
        <v>46280</v>
      </c>
      <c r="Z1501" s="81" t="s">
        <v>1796</v>
      </c>
      <c r="AA1501" s="81" t="s">
        <v>876</v>
      </c>
      <c r="AB1501" s="81"/>
      <c r="AC1501" s="81"/>
      <c r="AD1501" s="81"/>
      <c r="AE1501" s="83"/>
      <c r="AF1501" s="81"/>
      <c r="AG1501" s="81"/>
      <c r="AH1501" s="81"/>
      <c r="AI1501" s="81"/>
      <c r="AJ1501" s="83"/>
      <c r="AK1501" s="81"/>
      <c r="AL1501" s="81"/>
      <c r="AM1501" s="83"/>
      <c r="AN1501" s="80"/>
      <c r="AO1501" s="82" t="n">
        <f aca="false">IF(E1501="","",(AA1501&lt;&gt;"")+(AG1501&lt;&gt;"")+(AL1501&lt;&gt;""))</f>
        <v>1</v>
      </c>
      <c r="AP1501" s="82" t="str">
        <f aca="false">IF(AL1501&lt;&gt;"",AL1501,IF(AG1501&lt;&gt;"",AG1501,IF(AA1501&lt;&gt;"",AA1501,"")))</f>
        <v>A</v>
      </c>
      <c r="AQ1501" s="84" t="str">
        <f aca="false">IF(E1501="","",IF(U1501="","À SOUDER",IF(X1501="","VT EN ATTENTE",IF(X1501="R","VT REJETÉ – À REPRENDRE",IF(AP1501="","À RADIOGRAPHIER",IF(AP1501="A","ACCEPTÉ",IF(AP1501="NX","NX – RT À REFAIRE",IF(IF(AO1501=1,AD1501,IF(AO1501=2,AI1501,""))="A","RÉPARÉ – À RADIOGRAPHIER",IF(IF(AO1501=1,AD1501,IF(AO1501=2,AI1501,""))="R","VT REJETÉ – À REPRENDRE",IF(OR(AP1501="CO",AP1501="NT"),"COUPE – À RESOUDER","À RÉPARER"))))))))))</f>
        <v>ACCEPTÉ</v>
      </c>
      <c r="AR1501" s="82" t="str">
        <f aca="false">IF(AND(ISNUMBER(U1501),OR(AQ1501="À RADIOGRAPHIER",AQ1501="RÉPARÉ – À RADIOGRAPHIER",AQ1501="NX – RT À REFAIRE",AQ1501="À RÉPARER",AQ1501="COUPE – À RESOUDER",AQ1501="VT REJETÉ – À REPRENDRE")),MAX(0,'PROGRAMME RT'!$C$4-U1501),"")</f>
        <v/>
      </c>
      <c r="AS1501" s="82" t="n">
        <f aca="false">IF(AND(OR(AQ1501="À RADIOGRAPHIER",AQ1501="RÉPARÉ – À RADIOGRAPHIER",AQ1501="NX – RT À REFAIRE"),OR('PROGRAMME RT'!$D$5="TOUTES",B1501='PROGRAMME RT'!$D$5)),1,0)</f>
        <v>0</v>
      </c>
      <c r="AT1501" s="82" t="str">
        <f aca="false">IF(AS1501=1,SUM(AS$7:AS1501),"")</f>
        <v/>
      </c>
      <c r="AU1501" s="82" t="n">
        <f aca="false">IF(AND(OR(AA1501="R",AA1501="NX",AA1501="NT",AA1501="CO"),OR('JOINTS DE RÉPARATION'!$D$5="TOUTES",B1501='JOINTS DE RÉPARATION'!$D$5),OR('JOINTS DE RÉPARATION'!$L$4="TOUS",AQ1501&lt;&gt;"ACCEPTÉ")),1,0)</f>
        <v>0</v>
      </c>
      <c r="AV1501" s="82" t="str">
        <f aca="false">IF(AU1501=1,SUM(AU$7:AU1501),"")</f>
        <v/>
      </c>
      <c r="AW1501" s="82" t="str">
        <f aca="false">IF(E1501="","",B1501&amp;"|"&amp;E1501)</f>
        <v>MFD-ISW → MFD-CPF|JN°1244</v>
      </c>
    </row>
    <row r="1502" customFormat="false" ht="74.6" hidden="false" customHeight="false" outlineLevel="0" collapsed="false">
      <c r="A1502" s="79" t="n">
        <f aca="false">IF(E1502="","",ROW()-6)</f>
        <v>1496</v>
      </c>
      <c r="B1502" s="80" t="s">
        <v>110</v>
      </c>
      <c r="C1502" s="81" t="s">
        <v>1792</v>
      </c>
      <c r="D1502" s="81" t="n">
        <v>13</v>
      </c>
      <c r="E1502" s="81" t="s">
        <v>1803</v>
      </c>
      <c r="F1502" s="82" t="str">
        <f aca="false">IF(E1502="","",IF(LEFT(E1502,2)="DJ","DJ","JN"))</f>
        <v>DJ</v>
      </c>
      <c r="G1502" s="81"/>
      <c r="H1502" s="81" t="s">
        <v>871</v>
      </c>
      <c r="I1502" s="81" t="n">
        <v>9.53</v>
      </c>
      <c r="J1502" s="81" t="s">
        <v>872</v>
      </c>
      <c r="K1502" s="81" t="s">
        <v>873</v>
      </c>
      <c r="L1502" s="81" t="n">
        <v>2086380</v>
      </c>
      <c r="M1502" s="81" t="n">
        <v>15421107</v>
      </c>
      <c r="N1502" s="81" t="n">
        <v>11.94</v>
      </c>
      <c r="O1502" s="81" t="n">
        <v>2081040</v>
      </c>
      <c r="P1502" s="81" t="n">
        <v>15421103</v>
      </c>
      <c r="Q1502" s="81" t="n">
        <v>11.94</v>
      </c>
      <c r="R1502" s="81" t="s">
        <v>1147</v>
      </c>
      <c r="S1502" s="81"/>
      <c r="T1502" s="81"/>
      <c r="U1502" s="83" t="n">
        <v>46267</v>
      </c>
      <c r="V1502" s="83" t="n">
        <v>46267</v>
      </c>
      <c r="W1502" s="81" t="s">
        <v>1760</v>
      </c>
      <c r="X1502" s="81" t="s">
        <v>876</v>
      </c>
      <c r="Y1502" s="83" t="n">
        <v>46268</v>
      </c>
      <c r="Z1502" s="81" t="s">
        <v>1804</v>
      </c>
      <c r="AA1502" s="81" t="s">
        <v>876</v>
      </c>
      <c r="AB1502" s="81"/>
      <c r="AC1502" s="81"/>
      <c r="AD1502" s="81"/>
      <c r="AE1502" s="83"/>
      <c r="AF1502" s="81"/>
      <c r="AG1502" s="81"/>
      <c r="AH1502" s="81"/>
      <c r="AI1502" s="81"/>
      <c r="AJ1502" s="83"/>
      <c r="AK1502" s="81"/>
      <c r="AL1502" s="81"/>
      <c r="AM1502" s="83"/>
      <c r="AN1502" s="80"/>
      <c r="AO1502" s="82" t="n">
        <f aca="false">IF(E1502="","",(AA1502&lt;&gt;"")+(AG1502&lt;&gt;"")+(AL1502&lt;&gt;""))</f>
        <v>1</v>
      </c>
      <c r="AP1502" s="82" t="str">
        <f aca="false">IF(AL1502&lt;&gt;"",AL1502,IF(AG1502&lt;&gt;"",AG1502,IF(AA1502&lt;&gt;"",AA1502,"")))</f>
        <v>A</v>
      </c>
      <c r="AQ1502" s="84" t="str">
        <f aca="false">IF(E1502="","",IF(U1502="","À SOUDER",IF(X1502="","VT EN ATTENTE",IF(X1502="R","VT REJETÉ – À REPRENDRE",IF(AP1502="","À RADIOGRAPHIER",IF(AP1502="A","ACCEPTÉ",IF(AP1502="NX","NX – RT À REFAIRE",IF(IF(AO1502=1,AD1502,IF(AO1502=2,AI1502,""))="A","RÉPARÉ – À RADIOGRAPHIER",IF(IF(AO1502=1,AD1502,IF(AO1502=2,AI1502,""))="R","VT REJETÉ – À REPRENDRE",IF(OR(AP1502="CO",AP1502="NT"),"COUPE – À RESOUDER","À RÉPARER"))))))))))</f>
        <v>ACCEPTÉ</v>
      </c>
      <c r="AR1502" s="82" t="str">
        <f aca="false">IF(AND(ISNUMBER(U1502),OR(AQ1502="À RADIOGRAPHIER",AQ1502="RÉPARÉ – À RADIOGRAPHIER",AQ1502="NX – RT À REFAIRE",AQ1502="À RÉPARER",AQ1502="COUPE – À RESOUDER",AQ1502="VT REJETÉ – À REPRENDRE")),MAX(0,'PROGRAMME RT'!$C$4-U1502),"")</f>
        <v/>
      </c>
      <c r="AS1502" s="82" t="n">
        <f aca="false">IF(AND(OR(AQ1502="À RADIOGRAPHIER",AQ1502="RÉPARÉ – À RADIOGRAPHIER",AQ1502="NX – RT À REFAIRE"),OR('PROGRAMME RT'!$D$5="TOUTES",B1502='PROGRAMME RT'!$D$5)),1,0)</f>
        <v>0</v>
      </c>
      <c r="AT1502" s="82" t="str">
        <f aca="false">IF(AS1502=1,SUM(AS$7:AS1502),"")</f>
        <v/>
      </c>
      <c r="AU1502" s="82" t="n">
        <f aca="false">IF(AND(OR(AA1502="R",AA1502="NX",AA1502="NT",AA1502="CO"),OR('JOINTS DE RÉPARATION'!$D$5="TOUTES",B1502='JOINTS DE RÉPARATION'!$D$5),OR('JOINTS DE RÉPARATION'!$L$4="TOUS",AQ1502&lt;&gt;"ACCEPTÉ")),1,0)</f>
        <v>0</v>
      </c>
      <c r="AV1502" s="82" t="str">
        <f aca="false">IF(AU1502=1,SUM(AU$7:AU1502),"")</f>
        <v/>
      </c>
      <c r="AW1502" s="82" t="str">
        <f aca="false">IF(E1502="","",B1502&amp;"|"&amp;E1502)</f>
        <v>MFD-ISW → MFD-CPF|DJ°242</v>
      </c>
    </row>
    <row r="1503" customFormat="false" ht="74.6" hidden="false" customHeight="false" outlineLevel="0" collapsed="false">
      <c r="A1503" s="79" t="n">
        <f aca="false">IF(E1503="","",ROW()-6)</f>
        <v>1497</v>
      </c>
      <c r="B1503" s="80" t="s">
        <v>110</v>
      </c>
      <c r="C1503" s="81" t="s">
        <v>1792</v>
      </c>
      <c r="D1503" s="81" t="n">
        <v>13</v>
      </c>
      <c r="E1503" s="81" t="s">
        <v>1805</v>
      </c>
      <c r="F1503" s="82" t="str">
        <f aca="false">IF(E1503="","",IF(LEFT(E1503,2)="DJ","DJ","JN"))</f>
        <v>JN</v>
      </c>
      <c r="G1503" s="81" t="s">
        <v>1504</v>
      </c>
      <c r="H1503" s="81" t="s">
        <v>871</v>
      </c>
      <c r="I1503" s="81" t="n">
        <v>9.53</v>
      </c>
      <c r="J1503" s="81" t="s">
        <v>872</v>
      </c>
      <c r="K1503" s="81" t="s">
        <v>879</v>
      </c>
      <c r="L1503" s="81" t="n">
        <v>2081040</v>
      </c>
      <c r="M1503" s="81" t="n">
        <v>15421103</v>
      </c>
      <c r="N1503" s="81" t="n">
        <v>11.94</v>
      </c>
      <c r="O1503" s="81" t="n">
        <v>2097440</v>
      </c>
      <c r="P1503" s="81" t="n">
        <v>15421112</v>
      </c>
      <c r="Q1503" s="81" t="n">
        <v>11.94</v>
      </c>
      <c r="R1503" s="81" t="s">
        <v>1795</v>
      </c>
      <c r="S1503" s="81"/>
      <c r="T1503" s="81"/>
      <c r="U1503" s="83" t="n">
        <v>46275</v>
      </c>
      <c r="V1503" s="83" t="n">
        <v>46275</v>
      </c>
      <c r="W1503" s="81" t="s">
        <v>1806</v>
      </c>
      <c r="X1503" s="81" t="s">
        <v>876</v>
      </c>
      <c r="Y1503" s="83" t="n">
        <v>46280</v>
      </c>
      <c r="Z1503" s="81" t="s">
        <v>1796</v>
      </c>
      <c r="AA1503" s="81" t="s">
        <v>876</v>
      </c>
      <c r="AB1503" s="81"/>
      <c r="AC1503" s="81"/>
      <c r="AD1503" s="81"/>
      <c r="AE1503" s="83"/>
      <c r="AF1503" s="81"/>
      <c r="AG1503" s="81"/>
      <c r="AH1503" s="81"/>
      <c r="AI1503" s="81"/>
      <c r="AJ1503" s="83"/>
      <c r="AK1503" s="81"/>
      <c r="AL1503" s="81"/>
      <c r="AM1503" s="83"/>
      <c r="AN1503" s="80"/>
      <c r="AO1503" s="82" t="n">
        <f aca="false">IF(E1503="","",(AA1503&lt;&gt;"")+(AG1503&lt;&gt;"")+(AL1503&lt;&gt;""))</f>
        <v>1</v>
      </c>
      <c r="AP1503" s="82" t="str">
        <f aca="false">IF(AL1503&lt;&gt;"",AL1503,IF(AG1503&lt;&gt;"",AG1503,IF(AA1503&lt;&gt;"",AA1503,"")))</f>
        <v>A</v>
      </c>
      <c r="AQ1503" s="84" t="str">
        <f aca="false">IF(E1503="","",IF(U1503="","À SOUDER",IF(X1503="","VT EN ATTENTE",IF(X1503="R","VT REJETÉ – À REPRENDRE",IF(AP1503="","À RADIOGRAPHIER",IF(AP1503="A","ACCEPTÉ",IF(AP1503="NX","NX – RT À REFAIRE",IF(IF(AO1503=1,AD1503,IF(AO1503=2,AI1503,""))="A","RÉPARÉ – À RADIOGRAPHIER",IF(IF(AO1503=1,AD1503,IF(AO1503=2,AI1503,""))="R","VT REJETÉ – À REPRENDRE",IF(OR(AP1503="CO",AP1503="NT"),"COUPE – À RESOUDER","À RÉPARER"))))))))))</f>
        <v>ACCEPTÉ</v>
      </c>
      <c r="AR1503" s="82" t="str">
        <f aca="false">IF(AND(ISNUMBER(U1503),OR(AQ1503="À RADIOGRAPHIER",AQ1503="RÉPARÉ – À RADIOGRAPHIER",AQ1503="NX – RT À REFAIRE",AQ1503="À RÉPARER",AQ1503="COUPE – À RESOUDER",AQ1503="VT REJETÉ – À REPRENDRE")),MAX(0,'PROGRAMME RT'!$C$4-U1503),"")</f>
        <v/>
      </c>
      <c r="AS1503" s="82" t="n">
        <f aca="false">IF(AND(OR(AQ1503="À RADIOGRAPHIER",AQ1503="RÉPARÉ – À RADIOGRAPHIER",AQ1503="NX – RT À REFAIRE"),OR('PROGRAMME RT'!$D$5="TOUTES",B1503='PROGRAMME RT'!$D$5)),1,0)</f>
        <v>0</v>
      </c>
      <c r="AT1503" s="82" t="str">
        <f aca="false">IF(AS1503=1,SUM(AS$7:AS1503),"")</f>
        <v/>
      </c>
      <c r="AU1503" s="82" t="n">
        <f aca="false">IF(AND(OR(AA1503="R",AA1503="NX",AA1503="NT",AA1503="CO"),OR('JOINTS DE RÉPARATION'!$D$5="TOUTES",B1503='JOINTS DE RÉPARATION'!$D$5),OR('JOINTS DE RÉPARATION'!$L$4="TOUS",AQ1503&lt;&gt;"ACCEPTÉ")),1,0)</f>
        <v>0</v>
      </c>
      <c r="AV1503" s="82" t="str">
        <f aca="false">IF(AU1503=1,SUM(AU$7:AU1503),"")</f>
        <v/>
      </c>
      <c r="AW1503" s="82" t="str">
        <f aca="false">IF(E1503="","",B1503&amp;"|"&amp;E1503)</f>
        <v>MFD-ISW → MFD-CPF|JN°1245</v>
      </c>
    </row>
    <row r="1504" customFormat="false" ht="74.6" hidden="false" customHeight="false" outlineLevel="0" collapsed="false">
      <c r="A1504" s="79" t="n">
        <f aca="false">IF(E1504="","",ROW()-6)</f>
        <v>1498</v>
      </c>
      <c r="B1504" s="80" t="s">
        <v>110</v>
      </c>
      <c r="C1504" s="81" t="s">
        <v>1792</v>
      </c>
      <c r="D1504" s="81" t="n">
        <v>13</v>
      </c>
      <c r="E1504" s="81" t="s">
        <v>1807</v>
      </c>
      <c r="F1504" s="82" t="str">
        <f aca="false">IF(E1504="","",IF(LEFT(E1504,2)="DJ","DJ","JN"))</f>
        <v>DJ</v>
      </c>
      <c r="G1504" s="81"/>
      <c r="H1504" s="81" t="s">
        <v>871</v>
      </c>
      <c r="I1504" s="81" t="n">
        <v>9.53</v>
      </c>
      <c r="J1504" s="81" t="s">
        <v>872</v>
      </c>
      <c r="K1504" s="81" t="s">
        <v>873</v>
      </c>
      <c r="L1504" s="81" t="n">
        <v>2097440</v>
      </c>
      <c r="M1504" s="81" t="n">
        <v>15421112</v>
      </c>
      <c r="N1504" s="81" t="n">
        <v>11.94</v>
      </c>
      <c r="O1504" s="81" t="n">
        <v>2097410</v>
      </c>
      <c r="P1504" s="81" t="n">
        <v>15421112</v>
      </c>
      <c r="Q1504" s="81" t="n">
        <v>11.94</v>
      </c>
      <c r="R1504" s="81" t="s">
        <v>1147</v>
      </c>
      <c r="S1504" s="81"/>
      <c r="T1504" s="81"/>
      <c r="U1504" s="83" t="n">
        <v>46267</v>
      </c>
      <c r="V1504" s="83" t="n">
        <v>46267</v>
      </c>
      <c r="W1504" s="81" t="s">
        <v>1760</v>
      </c>
      <c r="X1504" s="81" t="s">
        <v>876</v>
      </c>
      <c r="Y1504" s="83" t="n">
        <v>46268</v>
      </c>
      <c r="Z1504" s="81" t="s">
        <v>1804</v>
      </c>
      <c r="AA1504" s="81" t="s">
        <v>876</v>
      </c>
      <c r="AB1504" s="81"/>
      <c r="AC1504" s="81"/>
      <c r="AD1504" s="81"/>
      <c r="AE1504" s="83"/>
      <c r="AF1504" s="81"/>
      <c r="AG1504" s="81"/>
      <c r="AH1504" s="81"/>
      <c r="AI1504" s="81"/>
      <c r="AJ1504" s="83"/>
      <c r="AK1504" s="81"/>
      <c r="AL1504" s="81"/>
      <c r="AM1504" s="83"/>
      <c r="AN1504" s="80"/>
      <c r="AO1504" s="82" t="n">
        <f aca="false">IF(E1504="","",(AA1504&lt;&gt;"")+(AG1504&lt;&gt;"")+(AL1504&lt;&gt;""))</f>
        <v>1</v>
      </c>
      <c r="AP1504" s="82" t="str">
        <f aca="false">IF(AL1504&lt;&gt;"",AL1504,IF(AG1504&lt;&gt;"",AG1504,IF(AA1504&lt;&gt;"",AA1504,"")))</f>
        <v>A</v>
      </c>
      <c r="AQ1504" s="84" t="str">
        <f aca="false">IF(E1504="","",IF(U1504="","À SOUDER",IF(X1504="","VT EN ATTENTE",IF(X1504="R","VT REJETÉ – À REPRENDRE",IF(AP1504="","À RADIOGRAPHIER",IF(AP1504="A","ACCEPTÉ",IF(AP1504="NX","NX – RT À REFAIRE",IF(IF(AO1504=1,AD1504,IF(AO1504=2,AI1504,""))="A","RÉPARÉ – À RADIOGRAPHIER",IF(IF(AO1504=1,AD1504,IF(AO1504=2,AI1504,""))="R","VT REJETÉ – À REPRENDRE",IF(OR(AP1504="CO",AP1504="NT"),"COUPE – À RESOUDER","À RÉPARER"))))))))))</f>
        <v>ACCEPTÉ</v>
      </c>
      <c r="AR1504" s="82" t="str">
        <f aca="false">IF(AND(ISNUMBER(U1504),OR(AQ1504="À RADIOGRAPHIER",AQ1504="RÉPARÉ – À RADIOGRAPHIER",AQ1504="NX – RT À REFAIRE",AQ1504="À RÉPARER",AQ1504="COUPE – À RESOUDER",AQ1504="VT REJETÉ – À REPRENDRE")),MAX(0,'PROGRAMME RT'!$C$4-U1504),"")</f>
        <v/>
      </c>
      <c r="AS1504" s="82" t="n">
        <f aca="false">IF(AND(OR(AQ1504="À RADIOGRAPHIER",AQ1504="RÉPARÉ – À RADIOGRAPHIER",AQ1504="NX – RT À REFAIRE"),OR('PROGRAMME RT'!$D$5="TOUTES",B1504='PROGRAMME RT'!$D$5)),1,0)</f>
        <v>0</v>
      </c>
      <c r="AT1504" s="82" t="str">
        <f aca="false">IF(AS1504=1,SUM(AS$7:AS1504),"")</f>
        <v/>
      </c>
      <c r="AU1504" s="82" t="n">
        <f aca="false">IF(AND(OR(AA1504="R",AA1504="NX",AA1504="NT",AA1504="CO"),OR('JOINTS DE RÉPARATION'!$D$5="TOUTES",B1504='JOINTS DE RÉPARATION'!$D$5),OR('JOINTS DE RÉPARATION'!$L$4="TOUS",AQ1504&lt;&gt;"ACCEPTÉ")),1,0)</f>
        <v>0</v>
      </c>
      <c r="AV1504" s="82" t="str">
        <f aca="false">IF(AU1504=1,SUM(AU$7:AU1504),"")</f>
        <v/>
      </c>
      <c r="AW1504" s="82" t="str">
        <f aca="false">IF(E1504="","",B1504&amp;"|"&amp;E1504)</f>
        <v>MFD-ISW → MFD-CPF|DJ°236</v>
      </c>
    </row>
    <row r="1505" customFormat="false" ht="74.6" hidden="false" customHeight="false" outlineLevel="0" collapsed="false">
      <c r="A1505" s="79" t="n">
        <f aca="false">IF(E1505="","",ROW()-6)</f>
        <v>1499</v>
      </c>
      <c r="B1505" s="80" t="s">
        <v>110</v>
      </c>
      <c r="C1505" s="81" t="s">
        <v>1792</v>
      </c>
      <c r="D1505" s="81" t="n">
        <v>13</v>
      </c>
      <c r="E1505" s="81" t="s">
        <v>1808</v>
      </c>
      <c r="F1505" s="82" t="str">
        <f aca="false">IF(E1505="","",IF(LEFT(E1505,2)="DJ","DJ","JN"))</f>
        <v>JN</v>
      </c>
      <c r="G1505" s="81" t="s">
        <v>1504</v>
      </c>
      <c r="H1505" s="81" t="s">
        <v>871</v>
      </c>
      <c r="I1505" s="81" t="n">
        <v>9.53</v>
      </c>
      <c r="J1505" s="81" t="s">
        <v>872</v>
      </c>
      <c r="K1505" s="81" t="s">
        <v>879</v>
      </c>
      <c r="L1505" s="81" t="n">
        <v>2097410</v>
      </c>
      <c r="M1505" s="81" t="n">
        <v>15421112</v>
      </c>
      <c r="N1505" s="81" t="n">
        <v>11.94</v>
      </c>
      <c r="O1505" s="81" t="n">
        <v>2082120</v>
      </c>
      <c r="P1505" s="81" t="n">
        <v>15421104</v>
      </c>
      <c r="Q1505" s="81" t="n">
        <v>11.94</v>
      </c>
      <c r="R1505" s="81" t="s">
        <v>1795</v>
      </c>
      <c r="S1505" s="81"/>
      <c r="T1505" s="81"/>
      <c r="U1505" s="83" t="n">
        <v>46275</v>
      </c>
      <c r="V1505" s="83" t="n">
        <v>46275</v>
      </c>
      <c r="W1505" s="81" t="s">
        <v>1806</v>
      </c>
      <c r="X1505" s="81" t="s">
        <v>876</v>
      </c>
      <c r="Y1505" s="83" t="n">
        <v>46280</v>
      </c>
      <c r="Z1505" s="81" t="s">
        <v>1796</v>
      </c>
      <c r="AA1505" s="81" t="s">
        <v>876</v>
      </c>
      <c r="AB1505" s="81"/>
      <c r="AC1505" s="81"/>
      <c r="AD1505" s="81"/>
      <c r="AE1505" s="83"/>
      <c r="AF1505" s="81"/>
      <c r="AG1505" s="81"/>
      <c r="AH1505" s="81"/>
      <c r="AI1505" s="81"/>
      <c r="AJ1505" s="83"/>
      <c r="AK1505" s="81"/>
      <c r="AL1505" s="81"/>
      <c r="AM1505" s="83"/>
      <c r="AN1505" s="80"/>
      <c r="AO1505" s="82" t="n">
        <f aca="false">IF(E1505="","",(AA1505&lt;&gt;"")+(AG1505&lt;&gt;"")+(AL1505&lt;&gt;""))</f>
        <v>1</v>
      </c>
      <c r="AP1505" s="82" t="str">
        <f aca="false">IF(AL1505&lt;&gt;"",AL1505,IF(AG1505&lt;&gt;"",AG1505,IF(AA1505&lt;&gt;"",AA1505,"")))</f>
        <v>A</v>
      </c>
      <c r="AQ1505" s="84" t="str">
        <f aca="false">IF(E1505="","",IF(U1505="","À SOUDER",IF(X1505="","VT EN ATTENTE",IF(X1505="R","VT REJETÉ – À REPRENDRE",IF(AP1505="","À RADIOGRAPHIER",IF(AP1505="A","ACCEPTÉ",IF(AP1505="NX","NX – RT À REFAIRE",IF(IF(AO1505=1,AD1505,IF(AO1505=2,AI1505,""))="A","RÉPARÉ – À RADIOGRAPHIER",IF(IF(AO1505=1,AD1505,IF(AO1505=2,AI1505,""))="R","VT REJETÉ – À REPRENDRE",IF(OR(AP1505="CO",AP1505="NT"),"COUPE – À RESOUDER","À RÉPARER"))))))))))</f>
        <v>ACCEPTÉ</v>
      </c>
      <c r="AR1505" s="82" t="str">
        <f aca="false">IF(AND(ISNUMBER(U1505),OR(AQ1505="À RADIOGRAPHIER",AQ1505="RÉPARÉ – À RADIOGRAPHIER",AQ1505="NX – RT À REFAIRE",AQ1505="À RÉPARER",AQ1505="COUPE – À RESOUDER",AQ1505="VT REJETÉ – À REPRENDRE")),MAX(0,'PROGRAMME RT'!$C$4-U1505),"")</f>
        <v/>
      </c>
      <c r="AS1505" s="82" t="n">
        <f aca="false">IF(AND(OR(AQ1505="À RADIOGRAPHIER",AQ1505="RÉPARÉ – À RADIOGRAPHIER",AQ1505="NX – RT À REFAIRE"),OR('PROGRAMME RT'!$D$5="TOUTES",B1505='PROGRAMME RT'!$D$5)),1,0)</f>
        <v>0</v>
      </c>
      <c r="AT1505" s="82" t="str">
        <f aca="false">IF(AS1505=1,SUM(AS$7:AS1505),"")</f>
        <v/>
      </c>
      <c r="AU1505" s="82" t="n">
        <f aca="false">IF(AND(OR(AA1505="R",AA1505="NX",AA1505="NT",AA1505="CO"),OR('JOINTS DE RÉPARATION'!$D$5="TOUTES",B1505='JOINTS DE RÉPARATION'!$D$5),OR('JOINTS DE RÉPARATION'!$L$4="TOUS",AQ1505&lt;&gt;"ACCEPTÉ")),1,0)</f>
        <v>0</v>
      </c>
      <c r="AV1505" s="82" t="str">
        <f aca="false">IF(AU1505=1,SUM(AU$7:AU1505),"")</f>
        <v/>
      </c>
      <c r="AW1505" s="82" t="str">
        <f aca="false">IF(E1505="","",B1505&amp;"|"&amp;E1505)</f>
        <v>MFD-ISW → MFD-CPF|JN°1246</v>
      </c>
    </row>
    <row r="1506" customFormat="false" ht="74.6" hidden="false" customHeight="false" outlineLevel="0" collapsed="false">
      <c r="A1506" s="79" t="n">
        <f aca="false">IF(E1506="","",ROW()-6)</f>
        <v>1500</v>
      </c>
      <c r="B1506" s="80" t="s">
        <v>110</v>
      </c>
      <c r="C1506" s="81" t="s">
        <v>1792</v>
      </c>
      <c r="D1506" s="81" t="n">
        <v>13</v>
      </c>
      <c r="E1506" s="81" t="s">
        <v>1809</v>
      </c>
      <c r="F1506" s="82" t="str">
        <f aca="false">IF(E1506="","",IF(LEFT(E1506,2)="DJ","DJ","JN"))</f>
        <v>DJ</v>
      </c>
      <c r="G1506" s="81"/>
      <c r="H1506" s="81" t="s">
        <v>871</v>
      </c>
      <c r="I1506" s="81" t="n">
        <v>9.53</v>
      </c>
      <c r="J1506" s="81" t="s">
        <v>872</v>
      </c>
      <c r="K1506" s="81" t="s">
        <v>873</v>
      </c>
      <c r="L1506" s="81" t="n">
        <v>2082120</v>
      </c>
      <c r="M1506" s="81" t="n">
        <v>15421104</v>
      </c>
      <c r="N1506" s="81" t="n">
        <v>11.94</v>
      </c>
      <c r="O1506" s="81" t="n">
        <v>2080370</v>
      </c>
      <c r="P1506" s="81" t="n">
        <v>15421102</v>
      </c>
      <c r="Q1506" s="81" t="n">
        <v>11.94</v>
      </c>
      <c r="R1506" s="81" t="s">
        <v>1147</v>
      </c>
      <c r="S1506" s="81"/>
      <c r="T1506" s="81"/>
      <c r="U1506" s="83" t="n">
        <v>46268</v>
      </c>
      <c r="V1506" s="83" t="n">
        <v>46268</v>
      </c>
      <c r="W1506" s="81" t="s">
        <v>1773</v>
      </c>
      <c r="X1506" s="81" t="s">
        <v>876</v>
      </c>
      <c r="Y1506" s="83" t="n">
        <v>46269</v>
      </c>
      <c r="Z1506" s="81" t="s">
        <v>1774</v>
      </c>
      <c r="AA1506" s="81" t="s">
        <v>876</v>
      </c>
      <c r="AB1506" s="81"/>
      <c r="AC1506" s="81"/>
      <c r="AD1506" s="81"/>
      <c r="AE1506" s="83"/>
      <c r="AF1506" s="81"/>
      <c r="AG1506" s="81"/>
      <c r="AH1506" s="81"/>
      <c r="AI1506" s="81"/>
      <c r="AJ1506" s="83"/>
      <c r="AK1506" s="81"/>
      <c r="AL1506" s="81"/>
      <c r="AM1506" s="83"/>
      <c r="AN1506" s="80"/>
      <c r="AO1506" s="82" t="n">
        <f aca="false">IF(E1506="","",(AA1506&lt;&gt;"")+(AG1506&lt;&gt;"")+(AL1506&lt;&gt;""))</f>
        <v>1</v>
      </c>
      <c r="AP1506" s="82" t="str">
        <f aca="false">IF(AL1506&lt;&gt;"",AL1506,IF(AG1506&lt;&gt;"",AG1506,IF(AA1506&lt;&gt;"",AA1506,"")))</f>
        <v>A</v>
      </c>
      <c r="AQ1506" s="84" t="str">
        <f aca="false">IF(E1506="","",IF(U1506="","À SOUDER",IF(X1506="","VT EN ATTENTE",IF(X1506="R","VT REJETÉ – À REPRENDRE",IF(AP1506="","À RADIOGRAPHIER",IF(AP1506="A","ACCEPTÉ",IF(AP1506="NX","NX – RT À REFAIRE",IF(IF(AO1506=1,AD1506,IF(AO1506=2,AI1506,""))="A","RÉPARÉ – À RADIOGRAPHIER",IF(IF(AO1506=1,AD1506,IF(AO1506=2,AI1506,""))="R","VT REJETÉ – À REPRENDRE",IF(OR(AP1506="CO",AP1506="NT"),"COUPE – À RESOUDER","À RÉPARER"))))))))))</f>
        <v>ACCEPTÉ</v>
      </c>
      <c r="AR1506" s="82" t="str">
        <f aca="false">IF(AND(ISNUMBER(U1506),OR(AQ1506="À RADIOGRAPHIER",AQ1506="RÉPARÉ – À RADIOGRAPHIER",AQ1506="NX – RT À REFAIRE",AQ1506="À RÉPARER",AQ1506="COUPE – À RESOUDER",AQ1506="VT REJETÉ – À REPRENDRE")),MAX(0,'PROGRAMME RT'!$C$4-U1506),"")</f>
        <v/>
      </c>
      <c r="AS1506" s="82" t="n">
        <f aca="false">IF(AND(OR(AQ1506="À RADIOGRAPHIER",AQ1506="RÉPARÉ – À RADIOGRAPHIER",AQ1506="NX – RT À REFAIRE"),OR('PROGRAMME RT'!$D$5="TOUTES",B1506='PROGRAMME RT'!$D$5)),1,0)</f>
        <v>0</v>
      </c>
      <c r="AT1506" s="82" t="str">
        <f aca="false">IF(AS1506=1,SUM(AS$7:AS1506),"")</f>
        <v/>
      </c>
      <c r="AU1506" s="82" t="n">
        <f aca="false">IF(AND(OR(AA1506="R",AA1506="NX",AA1506="NT",AA1506="CO"),OR('JOINTS DE RÉPARATION'!$D$5="TOUTES",B1506='JOINTS DE RÉPARATION'!$D$5),OR('JOINTS DE RÉPARATION'!$L$4="TOUS",AQ1506&lt;&gt;"ACCEPTÉ")),1,0)</f>
        <v>0</v>
      </c>
      <c r="AV1506" s="82" t="str">
        <f aca="false">IF(AU1506=1,SUM(AU$7:AU1506),"")</f>
        <v/>
      </c>
      <c r="AW1506" s="82" t="str">
        <f aca="false">IF(E1506="","",B1506&amp;"|"&amp;E1506)</f>
        <v>MFD-ISW → MFD-CPF|DJ°255</v>
      </c>
    </row>
    <row r="1507" customFormat="false" ht="74.6" hidden="false" customHeight="false" outlineLevel="0" collapsed="false">
      <c r="A1507" s="79" t="n">
        <f aca="false">IF(E1507="","",ROW()-6)</f>
        <v>1501</v>
      </c>
      <c r="B1507" s="80" t="s">
        <v>110</v>
      </c>
      <c r="C1507" s="81" t="s">
        <v>1792</v>
      </c>
      <c r="D1507" s="81" t="n">
        <v>13</v>
      </c>
      <c r="E1507" s="81" t="s">
        <v>1810</v>
      </c>
      <c r="F1507" s="82" t="str">
        <f aca="false">IF(E1507="","",IF(LEFT(E1507,2)="DJ","DJ","JN"))</f>
        <v>JN</v>
      </c>
      <c r="G1507" s="81" t="s">
        <v>1504</v>
      </c>
      <c r="H1507" s="81" t="s">
        <v>871</v>
      </c>
      <c r="I1507" s="81" t="n">
        <v>9.53</v>
      </c>
      <c r="J1507" s="81" t="s">
        <v>872</v>
      </c>
      <c r="K1507" s="81" t="s">
        <v>879</v>
      </c>
      <c r="L1507" s="81" t="n">
        <v>2080370</v>
      </c>
      <c r="M1507" s="81" t="n">
        <v>15421102</v>
      </c>
      <c r="N1507" s="81" t="n">
        <v>11.94</v>
      </c>
      <c r="O1507" s="81" t="n">
        <v>2081260</v>
      </c>
      <c r="P1507" s="81" t="n">
        <v>15421103</v>
      </c>
      <c r="Q1507" s="81" t="n">
        <v>11.94</v>
      </c>
      <c r="R1507" s="81" t="s">
        <v>1795</v>
      </c>
      <c r="S1507" s="81"/>
      <c r="T1507" s="81"/>
      <c r="U1507" s="83" t="n">
        <v>46275</v>
      </c>
      <c r="V1507" s="83" t="n">
        <v>46275</v>
      </c>
      <c r="W1507" s="81" t="s">
        <v>1806</v>
      </c>
      <c r="X1507" s="81" t="s">
        <v>876</v>
      </c>
      <c r="Y1507" s="83" t="n">
        <v>46280</v>
      </c>
      <c r="Z1507" s="81" t="s">
        <v>1796</v>
      </c>
      <c r="AA1507" s="81" t="s">
        <v>876</v>
      </c>
      <c r="AB1507" s="81"/>
      <c r="AC1507" s="81"/>
      <c r="AD1507" s="81"/>
      <c r="AE1507" s="83"/>
      <c r="AF1507" s="81"/>
      <c r="AG1507" s="81"/>
      <c r="AH1507" s="81"/>
      <c r="AI1507" s="81"/>
      <c r="AJ1507" s="83"/>
      <c r="AK1507" s="81"/>
      <c r="AL1507" s="81"/>
      <c r="AM1507" s="83"/>
      <c r="AN1507" s="80"/>
      <c r="AO1507" s="82" t="n">
        <f aca="false">IF(E1507="","",(AA1507&lt;&gt;"")+(AG1507&lt;&gt;"")+(AL1507&lt;&gt;""))</f>
        <v>1</v>
      </c>
      <c r="AP1507" s="82" t="str">
        <f aca="false">IF(AL1507&lt;&gt;"",AL1507,IF(AG1507&lt;&gt;"",AG1507,IF(AA1507&lt;&gt;"",AA1507,"")))</f>
        <v>A</v>
      </c>
      <c r="AQ1507" s="84" t="str">
        <f aca="false">IF(E1507="","",IF(U1507="","À SOUDER",IF(X1507="","VT EN ATTENTE",IF(X1507="R","VT REJETÉ – À REPRENDRE",IF(AP1507="","À RADIOGRAPHIER",IF(AP1507="A","ACCEPTÉ",IF(AP1507="NX","NX – RT À REFAIRE",IF(IF(AO1507=1,AD1507,IF(AO1507=2,AI1507,""))="A","RÉPARÉ – À RADIOGRAPHIER",IF(IF(AO1507=1,AD1507,IF(AO1507=2,AI1507,""))="R","VT REJETÉ – À REPRENDRE",IF(OR(AP1507="CO",AP1507="NT"),"COUPE – À RESOUDER","À RÉPARER"))))))))))</f>
        <v>ACCEPTÉ</v>
      </c>
      <c r="AR1507" s="82" t="str">
        <f aca="false">IF(AND(ISNUMBER(U1507),OR(AQ1507="À RADIOGRAPHIER",AQ1507="RÉPARÉ – À RADIOGRAPHIER",AQ1507="NX – RT À REFAIRE",AQ1507="À RÉPARER",AQ1507="COUPE – À RESOUDER",AQ1507="VT REJETÉ – À REPRENDRE")),MAX(0,'PROGRAMME RT'!$C$4-U1507),"")</f>
        <v/>
      </c>
      <c r="AS1507" s="82" t="n">
        <f aca="false">IF(AND(OR(AQ1507="À RADIOGRAPHIER",AQ1507="RÉPARÉ – À RADIOGRAPHIER",AQ1507="NX – RT À REFAIRE"),OR('PROGRAMME RT'!$D$5="TOUTES",B1507='PROGRAMME RT'!$D$5)),1,0)</f>
        <v>0</v>
      </c>
      <c r="AT1507" s="82" t="str">
        <f aca="false">IF(AS1507=1,SUM(AS$7:AS1507),"")</f>
        <v/>
      </c>
      <c r="AU1507" s="82" t="n">
        <f aca="false">IF(AND(OR(AA1507="R",AA1507="NX",AA1507="NT",AA1507="CO"),OR('JOINTS DE RÉPARATION'!$D$5="TOUTES",B1507='JOINTS DE RÉPARATION'!$D$5),OR('JOINTS DE RÉPARATION'!$L$4="TOUS",AQ1507&lt;&gt;"ACCEPTÉ")),1,0)</f>
        <v>0</v>
      </c>
      <c r="AV1507" s="82" t="str">
        <f aca="false">IF(AU1507=1,SUM(AU$7:AU1507),"")</f>
        <v/>
      </c>
      <c r="AW1507" s="82" t="str">
        <f aca="false">IF(E1507="","",B1507&amp;"|"&amp;E1507)</f>
        <v>MFD-ISW → MFD-CPF|JN°1247</v>
      </c>
    </row>
    <row r="1508" customFormat="false" ht="74.6" hidden="false" customHeight="false" outlineLevel="0" collapsed="false">
      <c r="A1508" s="79" t="n">
        <f aca="false">IF(E1508="","",ROW()-6)</f>
        <v>1502</v>
      </c>
      <c r="B1508" s="80" t="s">
        <v>110</v>
      </c>
      <c r="C1508" s="81" t="s">
        <v>1792</v>
      </c>
      <c r="D1508" s="81" t="n">
        <v>13</v>
      </c>
      <c r="E1508" s="81" t="s">
        <v>1811</v>
      </c>
      <c r="F1508" s="82" t="str">
        <f aca="false">IF(E1508="","",IF(LEFT(E1508,2)="DJ","DJ","JN"))</f>
        <v>DJ</v>
      </c>
      <c r="G1508" s="81"/>
      <c r="H1508" s="81" t="s">
        <v>871</v>
      </c>
      <c r="I1508" s="81" t="n">
        <v>9.53</v>
      </c>
      <c r="J1508" s="81" t="s">
        <v>872</v>
      </c>
      <c r="K1508" s="81" t="s">
        <v>873</v>
      </c>
      <c r="L1508" s="81" t="n">
        <v>2081260</v>
      </c>
      <c r="M1508" s="81" t="n">
        <v>15421103</v>
      </c>
      <c r="N1508" s="81" t="n">
        <v>11.94</v>
      </c>
      <c r="O1508" s="81" t="n">
        <v>2083030</v>
      </c>
      <c r="P1508" s="81" t="n">
        <v>15421105</v>
      </c>
      <c r="Q1508" s="81" t="n">
        <v>11.94</v>
      </c>
      <c r="R1508" s="81" t="s">
        <v>1135</v>
      </c>
      <c r="S1508" s="81"/>
      <c r="T1508" s="81"/>
      <c r="U1508" s="83" t="n">
        <v>46268</v>
      </c>
      <c r="V1508" s="83" t="n">
        <v>46268</v>
      </c>
      <c r="W1508" s="81" t="s">
        <v>1773</v>
      </c>
      <c r="X1508" s="81" t="s">
        <v>876</v>
      </c>
      <c r="Y1508" s="83" t="n">
        <v>46269</v>
      </c>
      <c r="Z1508" s="81" t="s">
        <v>1774</v>
      </c>
      <c r="AA1508" s="81" t="s">
        <v>876</v>
      </c>
      <c r="AB1508" s="81"/>
      <c r="AC1508" s="81"/>
      <c r="AD1508" s="81"/>
      <c r="AE1508" s="83"/>
      <c r="AF1508" s="81"/>
      <c r="AG1508" s="81"/>
      <c r="AH1508" s="81"/>
      <c r="AI1508" s="81"/>
      <c r="AJ1508" s="83"/>
      <c r="AK1508" s="81"/>
      <c r="AL1508" s="81"/>
      <c r="AM1508" s="83"/>
      <c r="AN1508" s="80"/>
      <c r="AO1508" s="82" t="n">
        <f aca="false">IF(E1508="","",(AA1508&lt;&gt;"")+(AG1508&lt;&gt;"")+(AL1508&lt;&gt;""))</f>
        <v>1</v>
      </c>
      <c r="AP1508" s="82" t="str">
        <f aca="false">IF(AL1508&lt;&gt;"",AL1508,IF(AG1508&lt;&gt;"",AG1508,IF(AA1508&lt;&gt;"",AA1508,"")))</f>
        <v>A</v>
      </c>
      <c r="AQ1508" s="84" t="str">
        <f aca="false">IF(E1508="","",IF(U1508="","À SOUDER",IF(X1508="","VT EN ATTENTE",IF(X1508="R","VT REJETÉ – À REPRENDRE",IF(AP1508="","À RADIOGRAPHIER",IF(AP1508="A","ACCEPTÉ",IF(AP1508="NX","NX – RT À REFAIRE",IF(IF(AO1508=1,AD1508,IF(AO1508=2,AI1508,""))="A","RÉPARÉ – À RADIOGRAPHIER",IF(IF(AO1508=1,AD1508,IF(AO1508=2,AI1508,""))="R","VT REJETÉ – À REPRENDRE",IF(OR(AP1508="CO",AP1508="NT"),"COUPE – À RESOUDER","À RÉPARER"))))))))))</f>
        <v>ACCEPTÉ</v>
      </c>
      <c r="AR1508" s="82" t="str">
        <f aca="false">IF(AND(ISNUMBER(U1508),OR(AQ1508="À RADIOGRAPHIER",AQ1508="RÉPARÉ – À RADIOGRAPHIER",AQ1508="NX – RT À REFAIRE",AQ1508="À RÉPARER",AQ1508="COUPE – À RESOUDER",AQ1508="VT REJETÉ – À REPRENDRE")),MAX(0,'PROGRAMME RT'!$C$4-U1508),"")</f>
        <v/>
      </c>
      <c r="AS1508" s="82" t="n">
        <f aca="false">IF(AND(OR(AQ1508="À RADIOGRAPHIER",AQ1508="RÉPARÉ – À RADIOGRAPHIER",AQ1508="NX – RT À REFAIRE"),OR('PROGRAMME RT'!$D$5="TOUTES",B1508='PROGRAMME RT'!$D$5)),1,0)</f>
        <v>0</v>
      </c>
      <c r="AT1508" s="82" t="str">
        <f aca="false">IF(AS1508=1,SUM(AS$7:AS1508),"")</f>
        <v/>
      </c>
      <c r="AU1508" s="82" t="n">
        <f aca="false">IF(AND(OR(AA1508="R",AA1508="NX",AA1508="NT",AA1508="CO"),OR('JOINTS DE RÉPARATION'!$D$5="TOUTES",B1508='JOINTS DE RÉPARATION'!$D$5),OR('JOINTS DE RÉPARATION'!$L$4="TOUS",AQ1508&lt;&gt;"ACCEPTÉ")),1,0)</f>
        <v>0</v>
      </c>
      <c r="AV1508" s="82" t="str">
        <f aca="false">IF(AU1508=1,SUM(AU$7:AU1508),"")</f>
        <v/>
      </c>
      <c r="AW1508" s="82" t="str">
        <f aca="false">IF(E1508="","",B1508&amp;"|"&amp;E1508)</f>
        <v>MFD-ISW → MFD-CPF|DJ°256</v>
      </c>
    </row>
    <row r="1509" customFormat="false" ht="74.6" hidden="false" customHeight="false" outlineLevel="0" collapsed="false">
      <c r="A1509" s="79" t="n">
        <f aca="false">IF(E1509="","",ROW()-6)</f>
        <v>1503</v>
      </c>
      <c r="B1509" s="80" t="s">
        <v>110</v>
      </c>
      <c r="C1509" s="81" t="s">
        <v>926</v>
      </c>
      <c r="D1509" s="81" t="n">
        <v>13</v>
      </c>
      <c r="E1509" s="81" t="s">
        <v>1812</v>
      </c>
      <c r="F1509" s="82" t="str">
        <f aca="false">IF(E1509="","",IF(LEFT(E1509,2)="DJ","DJ","JN"))</f>
        <v>JN</v>
      </c>
      <c r="G1509" s="81"/>
      <c r="H1509" s="81"/>
      <c r="I1509" s="81"/>
      <c r="J1509" s="81"/>
      <c r="K1509" s="81"/>
      <c r="L1509" s="81" t="n">
        <v>2083030</v>
      </c>
      <c r="M1509" s="81" t="n">
        <v>15421105</v>
      </c>
      <c r="N1509" s="81" t="n">
        <v>11.94</v>
      </c>
      <c r="O1509" s="81"/>
      <c r="P1509" s="81"/>
      <c r="Q1509" s="81"/>
      <c r="R1509" s="81"/>
      <c r="S1509" s="81"/>
      <c r="T1509" s="81"/>
      <c r="U1509" s="83"/>
      <c r="V1509" s="83"/>
      <c r="W1509" s="81"/>
      <c r="X1509" s="81"/>
      <c r="Y1509" s="83"/>
      <c r="Z1509" s="81"/>
      <c r="AA1509" s="81"/>
      <c r="AB1509" s="81"/>
      <c r="AC1509" s="81"/>
      <c r="AD1509" s="81"/>
      <c r="AE1509" s="83"/>
      <c r="AF1509" s="81"/>
      <c r="AG1509" s="81"/>
      <c r="AH1509" s="81"/>
      <c r="AI1509" s="81"/>
      <c r="AJ1509" s="83"/>
      <c r="AK1509" s="81"/>
      <c r="AL1509" s="81"/>
      <c r="AM1509" s="83"/>
      <c r="AN1509" s="80"/>
      <c r="AO1509" s="82" t="n">
        <f aca="false">IF(E1509="","",(AA1509&lt;&gt;"")+(AG1509&lt;&gt;"")+(AL1509&lt;&gt;""))</f>
        <v>0</v>
      </c>
      <c r="AP1509" s="82" t="str">
        <f aca="false">IF(AL1509&lt;&gt;"",AL1509,IF(AG1509&lt;&gt;"",AG1509,IF(AA1509&lt;&gt;"",AA1509,"")))</f>
        <v/>
      </c>
      <c r="AQ1509" s="84" t="str">
        <f aca="false">IF(E1509="","",IF(U1509="","À SOUDER",IF(X1509="","VT EN ATTENTE",IF(X1509="R","VT REJETÉ – À REPRENDRE",IF(AP1509="","À RADIOGRAPHIER",IF(AP1509="A","ACCEPTÉ",IF(AP1509="NX","NX – RT À REFAIRE",IF(IF(AO1509=1,AD1509,IF(AO1509=2,AI1509,""))="A","RÉPARÉ – À RADIOGRAPHIER",IF(IF(AO1509=1,AD1509,IF(AO1509=2,AI1509,""))="R","VT REJETÉ – À REPRENDRE",IF(OR(AP1509="CO",AP1509="NT"),"COUPE – À RESOUDER","À RÉPARER"))))))))))</f>
        <v>À SOUDER</v>
      </c>
      <c r="AR1509" s="82" t="str">
        <f aca="false">IF(AND(ISNUMBER(U1509),OR(AQ1509="À RADIOGRAPHIER",AQ1509="RÉPARÉ – À RADIOGRAPHIER",AQ1509="NX – RT À REFAIRE",AQ1509="À RÉPARER",AQ1509="COUPE – À RESOUDER",AQ1509="VT REJETÉ – À REPRENDRE")),MAX(0,'PROGRAMME RT'!$C$4-U1509),"")</f>
        <v/>
      </c>
      <c r="AS1509" s="82" t="n">
        <f aca="false">IF(AND(OR(AQ1509="À RADIOGRAPHIER",AQ1509="RÉPARÉ – À RADIOGRAPHIER",AQ1509="NX – RT À REFAIRE"),OR('PROGRAMME RT'!$D$5="TOUTES",B1509='PROGRAMME RT'!$D$5)),1,0)</f>
        <v>0</v>
      </c>
      <c r="AT1509" s="82" t="str">
        <f aca="false">IF(AS1509=1,SUM(AS$7:AS1509),"")</f>
        <v/>
      </c>
      <c r="AU1509" s="82" t="n">
        <f aca="false">IF(AND(OR(AA1509="R",AA1509="NX",AA1509="NT",AA1509="CO"),OR('JOINTS DE RÉPARATION'!$D$5="TOUTES",B1509='JOINTS DE RÉPARATION'!$D$5),OR('JOINTS DE RÉPARATION'!$L$4="TOUS",AQ1509&lt;&gt;"ACCEPTÉ")),1,0)</f>
        <v>0</v>
      </c>
      <c r="AV1509" s="82" t="str">
        <f aca="false">IF(AU1509=1,SUM(AU$7:AU1509),"")</f>
        <v/>
      </c>
      <c r="AW1509" s="82" t="str">
        <f aca="false">IF(E1509="","",B1509&amp;"|"&amp;E1509)</f>
        <v>MFD-ISW → MFD-CPF|JN°1248</v>
      </c>
    </row>
    <row r="1510" customFormat="false" ht="74.6" hidden="false" customHeight="false" outlineLevel="0" collapsed="false">
      <c r="A1510" s="79" t="n">
        <f aca="false">IF(E1510="","",ROW()-6)</f>
        <v>1504</v>
      </c>
      <c r="B1510" s="80" t="s">
        <v>110</v>
      </c>
      <c r="C1510" s="81" t="s">
        <v>926</v>
      </c>
      <c r="D1510" s="81" t="n">
        <v>13</v>
      </c>
      <c r="E1510" s="81" t="s">
        <v>1813</v>
      </c>
      <c r="F1510" s="82" t="str">
        <f aca="false">IF(E1510="","",IF(LEFT(E1510,2)="DJ","DJ","JN"))</f>
        <v>JN</v>
      </c>
      <c r="G1510" s="81"/>
      <c r="H1510" s="81"/>
      <c r="I1510" s="81"/>
      <c r="J1510" s="81"/>
      <c r="K1510" s="81"/>
      <c r="L1510" s="81"/>
      <c r="M1510" s="81"/>
      <c r="N1510" s="81"/>
      <c r="O1510" s="81"/>
      <c r="P1510" s="81"/>
      <c r="Q1510" s="81"/>
      <c r="R1510" s="81"/>
      <c r="S1510" s="81"/>
      <c r="T1510" s="81"/>
      <c r="U1510" s="83"/>
      <c r="V1510" s="83"/>
      <c r="W1510" s="81"/>
      <c r="X1510" s="81"/>
      <c r="Y1510" s="83"/>
      <c r="Z1510" s="81"/>
      <c r="AA1510" s="81"/>
      <c r="AB1510" s="81"/>
      <c r="AC1510" s="81"/>
      <c r="AD1510" s="81"/>
      <c r="AE1510" s="83"/>
      <c r="AF1510" s="81"/>
      <c r="AG1510" s="81"/>
      <c r="AH1510" s="81"/>
      <c r="AI1510" s="81"/>
      <c r="AJ1510" s="83"/>
      <c r="AK1510" s="81"/>
      <c r="AL1510" s="81"/>
      <c r="AM1510" s="83"/>
      <c r="AN1510" s="80"/>
      <c r="AO1510" s="82" t="n">
        <f aca="false">IF(E1510="","",(AA1510&lt;&gt;"")+(AG1510&lt;&gt;"")+(AL1510&lt;&gt;""))</f>
        <v>0</v>
      </c>
      <c r="AP1510" s="82" t="str">
        <f aca="false">IF(AL1510&lt;&gt;"",AL1510,IF(AG1510&lt;&gt;"",AG1510,IF(AA1510&lt;&gt;"",AA1510,"")))</f>
        <v/>
      </c>
      <c r="AQ1510" s="84" t="str">
        <f aca="false">IF(E1510="","",IF(U1510="","À SOUDER",IF(X1510="","VT EN ATTENTE",IF(X1510="R","VT REJETÉ – À REPRENDRE",IF(AP1510="","À RADIOGRAPHIER",IF(AP1510="A","ACCEPTÉ",IF(AP1510="NX","NX – RT À REFAIRE",IF(IF(AO1510=1,AD1510,IF(AO1510=2,AI1510,""))="A","RÉPARÉ – À RADIOGRAPHIER",IF(IF(AO1510=1,AD1510,IF(AO1510=2,AI1510,""))="R","VT REJETÉ – À REPRENDRE",IF(OR(AP1510="CO",AP1510="NT"),"COUPE – À RESOUDER","À RÉPARER"))))))))))</f>
        <v>À SOUDER</v>
      </c>
      <c r="AR1510" s="82" t="str">
        <f aca="false">IF(AND(ISNUMBER(U1510),OR(AQ1510="À RADIOGRAPHIER",AQ1510="RÉPARÉ – À RADIOGRAPHIER",AQ1510="NX – RT À REFAIRE",AQ1510="À RÉPARER",AQ1510="COUPE – À RESOUDER",AQ1510="VT REJETÉ – À REPRENDRE")),MAX(0,'PROGRAMME RT'!$C$4-U1510),"")</f>
        <v/>
      </c>
      <c r="AS1510" s="82" t="n">
        <f aca="false">IF(AND(OR(AQ1510="À RADIOGRAPHIER",AQ1510="RÉPARÉ – À RADIOGRAPHIER",AQ1510="NX – RT À REFAIRE"),OR('PROGRAMME RT'!$D$5="TOUTES",B1510='PROGRAMME RT'!$D$5)),1,0)</f>
        <v>0</v>
      </c>
      <c r="AT1510" s="82" t="str">
        <f aca="false">IF(AS1510=1,SUM(AS$7:AS1510),"")</f>
        <v/>
      </c>
      <c r="AU1510" s="82" t="n">
        <f aca="false">IF(AND(OR(AA1510="R",AA1510="NX",AA1510="NT",AA1510="CO"),OR('JOINTS DE RÉPARATION'!$D$5="TOUTES",B1510='JOINTS DE RÉPARATION'!$D$5),OR('JOINTS DE RÉPARATION'!$L$4="TOUS",AQ1510&lt;&gt;"ACCEPTÉ")),1,0)</f>
        <v>0</v>
      </c>
      <c r="AV1510" s="82" t="str">
        <f aca="false">IF(AU1510=1,SUM(AU$7:AU1510),"")</f>
        <v/>
      </c>
      <c r="AW1510" s="82" t="str">
        <f aca="false">IF(E1510="","",B1510&amp;"|"&amp;E1510)</f>
        <v>MFD-ISW → MFD-CPF|JN°1249</v>
      </c>
    </row>
    <row r="1511" customFormat="false" ht="74.6" hidden="false" customHeight="false" outlineLevel="0" collapsed="false">
      <c r="A1511" s="79" t="n">
        <f aca="false">IF(E1511="","",ROW()-6)</f>
        <v>1505</v>
      </c>
      <c r="B1511" s="80" t="s">
        <v>110</v>
      </c>
      <c r="C1511" s="81" t="s">
        <v>926</v>
      </c>
      <c r="D1511" s="81" t="n">
        <v>13</v>
      </c>
      <c r="E1511" s="81" t="s">
        <v>1814</v>
      </c>
      <c r="F1511" s="82" t="str">
        <f aca="false">IF(E1511="","",IF(LEFT(E1511,2)="DJ","DJ","JN"))</f>
        <v>JN</v>
      </c>
      <c r="G1511" s="81"/>
      <c r="H1511" s="81"/>
      <c r="I1511" s="81"/>
      <c r="J1511" s="81"/>
      <c r="K1511" s="81"/>
      <c r="L1511" s="81"/>
      <c r="M1511" s="81"/>
      <c r="N1511" s="81"/>
      <c r="O1511" s="81"/>
      <c r="P1511" s="81"/>
      <c r="Q1511" s="81"/>
      <c r="R1511" s="81"/>
      <c r="S1511" s="81"/>
      <c r="T1511" s="81"/>
      <c r="U1511" s="83"/>
      <c r="V1511" s="83"/>
      <c r="W1511" s="81"/>
      <c r="X1511" s="81"/>
      <c r="Y1511" s="83"/>
      <c r="Z1511" s="81"/>
      <c r="AA1511" s="81"/>
      <c r="AB1511" s="81"/>
      <c r="AC1511" s="81"/>
      <c r="AD1511" s="81"/>
      <c r="AE1511" s="83"/>
      <c r="AF1511" s="81"/>
      <c r="AG1511" s="81"/>
      <c r="AH1511" s="81"/>
      <c r="AI1511" s="81"/>
      <c r="AJ1511" s="83"/>
      <c r="AK1511" s="81"/>
      <c r="AL1511" s="81"/>
      <c r="AM1511" s="83"/>
      <c r="AN1511" s="80"/>
      <c r="AO1511" s="82" t="n">
        <f aca="false">IF(E1511="","",(AA1511&lt;&gt;"")+(AG1511&lt;&gt;"")+(AL1511&lt;&gt;""))</f>
        <v>0</v>
      </c>
      <c r="AP1511" s="82" t="str">
        <f aca="false">IF(AL1511&lt;&gt;"",AL1511,IF(AG1511&lt;&gt;"",AG1511,IF(AA1511&lt;&gt;"",AA1511,"")))</f>
        <v/>
      </c>
      <c r="AQ1511" s="84" t="str">
        <f aca="false">IF(E1511="","",IF(U1511="","À SOUDER",IF(X1511="","VT EN ATTENTE",IF(X1511="R","VT REJETÉ – À REPRENDRE",IF(AP1511="","À RADIOGRAPHIER",IF(AP1511="A","ACCEPTÉ",IF(AP1511="NX","NX – RT À REFAIRE",IF(IF(AO1511=1,AD1511,IF(AO1511=2,AI1511,""))="A","RÉPARÉ – À RADIOGRAPHIER",IF(IF(AO1511=1,AD1511,IF(AO1511=2,AI1511,""))="R","VT REJETÉ – À REPRENDRE",IF(OR(AP1511="CO",AP1511="NT"),"COUPE – À RESOUDER","À RÉPARER"))))))))))</f>
        <v>À SOUDER</v>
      </c>
      <c r="AR1511" s="82" t="str">
        <f aca="false">IF(AND(ISNUMBER(U1511),OR(AQ1511="À RADIOGRAPHIER",AQ1511="RÉPARÉ – À RADIOGRAPHIER",AQ1511="NX – RT À REFAIRE",AQ1511="À RÉPARER",AQ1511="COUPE – À RESOUDER",AQ1511="VT REJETÉ – À REPRENDRE")),MAX(0,'PROGRAMME RT'!$C$4-U1511),"")</f>
        <v/>
      </c>
      <c r="AS1511" s="82" t="n">
        <f aca="false">IF(AND(OR(AQ1511="À RADIOGRAPHIER",AQ1511="RÉPARÉ – À RADIOGRAPHIER",AQ1511="NX – RT À REFAIRE"),OR('PROGRAMME RT'!$D$5="TOUTES",B1511='PROGRAMME RT'!$D$5)),1,0)</f>
        <v>0</v>
      </c>
      <c r="AT1511" s="82" t="str">
        <f aca="false">IF(AS1511=1,SUM(AS$7:AS1511),"")</f>
        <v/>
      </c>
      <c r="AU1511" s="82" t="n">
        <f aca="false">IF(AND(OR(AA1511="R",AA1511="NX",AA1511="NT",AA1511="CO"),OR('JOINTS DE RÉPARATION'!$D$5="TOUTES",B1511='JOINTS DE RÉPARATION'!$D$5),OR('JOINTS DE RÉPARATION'!$L$4="TOUS",AQ1511&lt;&gt;"ACCEPTÉ")),1,0)</f>
        <v>0</v>
      </c>
      <c r="AV1511" s="82" t="str">
        <f aca="false">IF(AU1511=1,SUM(AU$7:AU1511),"")</f>
        <v/>
      </c>
      <c r="AW1511" s="82" t="str">
        <f aca="false">IF(E1511="","",B1511&amp;"|"&amp;E1511)</f>
        <v>MFD-ISW → MFD-CPF|JN°1250</v>
      </c>
    </row>
    <row r="1512" customFormat="false" ht="74.6" hidden="false" customHeight="false" outlineLevel="0" collapsed="false">
      <c r="A1512" s="79" t="n">
        <f aca="false">IF(E1512="","",ROW()-6)</f>
        <v>1506</v>
      </c>
      <c r="B1512" s="80" t="s">
        <v>110</v>
      </c>
      <c r="C1512" s="81" t="s">
        <v>926</v>
      </c>
      <c r="D1512" s="81" t="n">
        <v>13</v>
      </c>
      <c r="E1512" s="81" t="s">
        <v>1815</v>
      </c>
      <c r="F1512" s="82" t="str">
        <f aca="false">IF(E1512="","",IF(LEFT(E1512,2)="DJ","DJ","JN"))</f>
        <v>JN</v>
      </c>
      <c r="G1512" s="81"/>
      <c r="H1512" s="81"/>
      <c r="I1512" s="81"/>
      <c r="J1512" s="81"/>
      <c r="K1512" s="81"/>
      <c r="L1512" s="81"/>
      <c r="M1512" s="81"/>
      <c r="N1512" s="81"/>
      <c r="O1512" s="81"/>
      <c r="P1512" s="81"/>
      <c r="Q1512" s="81"/>
      <c r="R1512" s="81"/>
      <c r="S1512" s="81"/>
      <c r="T1512" s="81"/>
      <c r="U1512" s="83"/>
      <c r="V1512" s="83"/>
      <c r="W1512" s="81"/>
      <c r="X1512" s="81"/>
      <c r="Y1512" s="83"/>
      <c r="Z1512" s="81"/>
      <c r="AA1512" s="81"/>
      <c r="AB1512" s="81"/>
      <c r="AC1512" s="81"/>
      <c r="AD1512" s="81"/>
      <c r="AE1512" s="83"/>
      <c r="AF1512" s="81"/>
      <c r="AG1512" s="81"/>
      <c r="AH1512" s="81"/>
      <c r="AI1512" s="81"/>
      <c r="AJ1512" s="83"/>
      <c r="AK1512" s="81"/>
      <c r="AL1512" s="81"/>
      <c r="AM1512" s="83"/>
      <c r="AN1512" s="80"/>
      <c r="AO1512" s="82" t="n">
        <f aca="false">IF(E1512="","",(AA1512&lt;&gt;"")+(AG1512&lt;&gt;"")+(AL1512&lt;&gt;""))</f>
        <v>0</v>
      </c>
      <c r="AP1512" s="82" t="str">
        <f aca="false">IF(AL1512&lt;&gt;"",AL1512,IF(AG1512&lt;&gt;"",AG1512,IF(AA1512&lt;&gt;"",AA1512,"")))</f>
        <v/>
      </c>
      <c r="AQ1512" s="84" t="str">
        <f aca="false">IF(E1512="","",IF(U1512="","À SOUDER",IF(X1512="","VT EN ATTENTE",IF(X1512="R","VT REJETÉ – À REPRENDRE",IF(AP1512="","À RADIOGRAPHIER",IF(AP1512="A","ACCEPTÉ",IF(AP1512="NX","NX – RT À REFAIRE",IF(IF(AO1512=1,AD1512,IF(AO1512=2,AI1512,""))="A","RÉPARÉ – À RADIOGRAPHIER",IF(IF(AO1512=1,AD1512,IF(AO1512=2,AI1512,""))="R","VT REJETÉ – À REPRENDRE",IF(OR(AP1512="CO",AP1512="NT"),"COUPE – À RESOUDER","À RÉPARER"))))))))))</f>
        <v>À SOUDER</v>
      </c>
      <c r="AR1512" s="82" t="str">
        <f aca="false">IF(AND(ISNUMBER(U1512),OR(AQ1512="À RADIOGRAPHIER",AQ1512="RÉPARÉ – À RADIOGRAPHIER",AQ1512="NX – RT À REFAIRE",AQ1512="À RÉPARER",AQ1512="COUPE – À RESOUDER",AQ1512="VT REJETÉ – À REPRENDRE")),MAX(0,'PROGRAMME RT'!$C$4-U1512),"")</f>
        <v/>
      </c>
      <c r="AS1512" s="82" t="n">
        <f aca="false">IF(AND(OR(AQ1512="À RADIOGRAPHIER",AQ1512="RÉPARÉ – À RADIOGRAPHIER",AQ1512="NX – RT À REFAIRE"),OR('PROGRAMME RT'!$D$5="TOUTES",B1512='PROGRAMME RT'!$D$5)),1,0)</f>
        <v>0</v>
      </c>
      <c r="AT1512" s="82" t="str">
        <f aca="false">IF(AS1512=1,SUM(AS$7:AS1512),"")</f>
        <v/>
      </c>
      <c r="AU1512" s="82" t="n">
        <f aca="false">IF(AND(OR(AA1512="R",AA1512="NX",AA1512="NT",AA1512="CO"),OR('JOINTS DE RÉPARATION'!$D$5="TOUTES",B1512='JOINTS DE RÉPARATION'!$D$5),OR('JOINTS DE RÉPARATION'!$L$4="TOUS",AQ1512&lt;&gt;"ACCEPTÉ")),1,0)</f>
        <v>0</v>
      </c>
      <c r="AV1512" s="82" t="str">
        <f aca="false">IF(AU1512=1,SUM(AU$7:AU1512),"")</f>
        <v/>
      </c>
      <c r="AW1512" s="82" t="str">
        <f aca="false">IF(E1512="","",B1512&amp;"|"&amp;E1512)</f>
        <v>MFD-ISW → MFD-CPF|JN°1251</v>
      </c>
    </row>
    <row r="1513" customFormat="false" ht="74.6" hidden="false" customHeight="false" outlineLevel="0" collapsed="false">
      <c r="A1513" s="79" t="n">
        <f aca="false">IF(E1513="","",ROW()-6)</f>
        <v>1507</v>
      </c>
      <c r="B1513" s="80" t="s">
        <v>110</v>
      </c>
      <c r="C1513" s="81" t="s">
        <v>926</v>
      </c>
      <c r="D1513" s="81" t="n">
        <v>13</v>
      </c>
      <c r="E1513" s="81" t="s">
        <v>1816</v>
      </c>
      <c r="F1513" s="82" t="str">
        <f aca="false">IF(E1513="","",IF(LEFT(E1513,2)="DJ","DJ","JN"))</f>
        <v>JN</v>
      </c>
      <c r="G1513" s="81"/>
      <c r="H1513" s="81"/>
      <c r="I1513" s="81"/>
      <c r="J1513" s="81"/>
      <c r="K1513" s="81"/>
      <c r="L1513" s="81"/>
      <c r="M1513" s="81"/>
      <c r="N1513" s="81"/>
      <c r="O1513" s="81"/>
      <c r="P1513" s="81"/>
      <c r="Q1513" s="81"/>
      <c r="R1513" s="81"/>
      <c r="S1513" s="81"/>
      <c r="T1513" s="81"/>
      <c r="U1513" s="83"/>
      <c r="V1513" s="83"/>
      <c r="W1513" s="81"/>
      <c r="X1513" s="81"/>
      <c r="Y1513" s="83"/>
      <c r="Z1513" s="81"/>
      <c r="AA1513" s="81"/>
      <c r="AB1513" s="81"/>
      <c r="AC1513" s="81"/>
      <c r="AD1513" s="81"/>
      <c r="AE1513" s="83"/>
      <c r="AF1513" s="81"/>
      <c r="AG1513" s="81"/>
      <c r="AH1513" s="81"/>
      <c r="AI1513" s="81"/>
      <c r="AJ1513" s="83"/>
      <c r="AK1513" s="81"/>
      <c r="AL1513" s="81"/>
      <c r="AM1513" s="83"/>
      <c r="AN1513" s="80"/>
      <c r="AO1513" s="82" t="n">
        <f aca="false">IF(E1513="","",(AA1513&lt;&gt;"")+(AG1513&lt;&gt;"")+(AL1513&lt;&gt;""))</f>
        <v>0</v>
      </c>
      <c r="AP1513" s="82" t="str">
        <f aca="false">IF(AL1513&lt;&gt;"",AL1513,IF(AG1513&lt;&gt;"",AG1513,IF(AA1513&lt;&gt;"",AA1513,"")))</f>
        <v/>
      </c>
      <c r="AQ1513" s="84" t="str">
        <f aca="false">IF(E1513="","",IF(U1513="","À SOUDER",IF(X1513="","VT EN ATTENTE",IF(X1513="R","VT REJETÉ – À REPRENDRE",IF(AP1513="","À RADIOGRAPHIER",IF(AP1513="A","ACCEPTÉ",IF(AP1513="NX","NX – RT À REFAIRE",IF(IF(AO1513=1,AD1513,IF(AO1513=2,AI1513,""))="A","RÉPARÉ – À RADIOGRAPHIER",IF(IF(AO1513=1,AD1513,IF(AO1513=2,AI1513,""))="R","VT REJETÉ – À REPRENDRE",IF(OR(AP1513="CO",AP1513="NT"),"COUPE – À RESOUDER","À RÉPARER"))))))))))</f>
        <v>À SOUDER</v>
      </c>
      <c r="AR1513" s="82" t="str">
        <f aca="false">IF(AND(ISNUMBER(U1513),OR(AQ1513="À RADIOGRAPHIER",AQ1513="RÉPARÉ – À RADIOGRAPHIER",AQ1513="NX – RT À REFAIRE",AQ1513="À RÉPARER",AQ1513="COUPE – À RESOUDER",AQ1513="VT REJETÉ – À REPRENDRE")),MAX(0,'PROGRAMME RT'!$C$4-U1513),"")</f>
        <v/>
      </c>
      <c r="AS1513" s="82" t="n">
        <f aca="false">IF(AND(OR(AQ1513="À RADIOGRAPHIER",AQ1513="RÉPARÉ – À RADIOGRAPHIER",AQ1513="NX – RT À REFAIRE"),OR('PROGRAMME RT'!$D$5="TOUTES",B1513='PROGRAMME RT'!$D$5)),1,0)</f>
        <v>0</v>
      </c>
      <c r="AT1513" s="82" t="str">
        <f aca="false">IF(AS1513=1,SUM(AS$7:AS1513),"")</f>
        <v/>
      </c>
      <c r="AU1513" s="82" t="n">
        <f aca="false">IF(AND(OR(AA1513="R",AA1513="NX",AA1513="NT",AA1513="CO"),OR('JOINTS DE RÉPARATION'!$D$5="TOUTES",B1513='JOINTS DE RÉPARATION'!$D$5),OR('JOINTS DE RÉPARATION'!$L$4="TOUS",AQ1513&lt;&gt;"ACCEPTÉ")),1,0)</f>
        <v>0</v>
      </c>
      <c r="AV1513" s="82" t="str">
        <f aca="false">IF(AU1513=1,SUM(AU$7:AU1513),"")</f>
        <v/>
      </c>
      <c r="AW1513" s="82" t="str">
        <f aca="false">IF(E1513="","",B1513&amp;"|"&amp;E1513)</f>
        <v>MFD-ISW → MFD-CPF|JN°1252</v>
      </c>
    </row>
    <row r="1514" customFormat="false" ht="74.6" hidden="false" customHeight="false" outlineLevel="0" collapsed="false">
      <c r="A1514" s="79" t="n">
        <f aca="false">IF(E1514="","",ROW()-6)</f>
        <v>1508</v>
      </c>
      <c r="B1514" s="80" t="s">
        <v>110</v>
      </c>
      <c r="C1514" s="81" t="s">
        <v>926</v>
      </c>
      <c r="D1514" s="81" t="n">
        <v>13</v>
      </c>
      <c r="E1514" s="81" t="s">
        <v>1817</v>
      </c>
      <c r="F1514" s="82" t="str">
        <f aca="false">IF(E1514="","",IF(LEFT(E1514,2)="DJ","DJ","JN"))</f>
        <v>JN</v>
      </c>
      <c r="G1514" s="81"/>
      <c r="H1514" s="81"/>
      <c r="I1514" s="81"/>
      <c r="J1514" s="81"/>
      <c r="K1514" s="81"/>
      <c r="L1514" s="81"/>
      <c r="M1514" s="81"/>
      <c r="N1514" s="81"/>
      <c r="O1514" s="81"/>
      <c r="P1514" s="81"/>
      <c r="Q1514" s="81"/>
      <c r="R1514" s="81"/>
      <c r="S1514" s="81"/>
      <c r="T1514" s="81"/>
      <c r="U1514" s="83"/>
      <c r="V1514" s="83"/>
      <c r="W1514" s="81"/>
      <c r="X1514" s="81"/>
      <c r="Y1514" s="83"/>
      <c r="Z1514" s="81"/>
      <c r="AA1514" s="81"/>
      <c r="AB1514" s="81"/>
      <c r="AC1514" s="81"/>
      <c r="AD1514" s="81"/>
      <c r="AE1514" s="83"/>
      <c r="AF1514" s="81"/>
      <c r="AG1514" s="81"/>
      <c r="AH1514" s="81"/>
      <c r="AI1514" s="81"/>
      <c r="AJ1514" s="83"/>
      <c r="AK1514" s="81"/>
      <c r="AL1514" s="81"/>
      <c r="AM1514" s="83"/>
      <c r="AN1514" s="80"/>
      <c r="AO1514" s="82" t="n">
        <f aca="false">IF(E1514="","",(AA1514&lt;&gt;"")+(AG1514&lt;&gt;"")+(AL1514&lt;&gt;""))</f>
        <v>0</v>
      </c>
      <c r="AP1514" s="82" t="str">
        <f aca="false">IF(AL1514&lt;&gt;"",AL1514,IF(AG1514&lt;&gt;"",AG1514,IF(AA1514&lt;&gt;"",AA1514,"")))</f>
        <v/>
      </c>
      <c r="AQ1514" s="84" t="str">
        <f aca="false">IF(E1514="","",IF(U1514="","À SOUDER",IF(X1514="","VT EN ATTENTE",IF(X1514="R","VT REJETÉ – À REPRENDRE",IF(AP1514="","À RADIOGRAPHIER",IF(AP1514="A","ACCEPTÉ",IF(AP1514="NX","NX – RT À REFAIRE",IF(IF(AO1514=1,AD1514,IF(AO1514=2,AI1514,""))="A","RÉPARÉ – À RADIOGRAPHIER",IF(IF(AO1514=1,AD1514,IF(AO1514=2,AI1514,""))="R","VT REJETÉ – À REPRENDRE",IF(OR(AP1514="CO",AP1514="NT"),"COUPE – À RESOUDER","À RÉPARER"))))))))))</f>
        <v>À SOUDER</v>
      </c>
      <c r="AR1514" s="82" t="str">
        <f aca="false">IF(AND(ISNUMBER(U1514),OR(AQ1514="À RADIOGRAPHIER",AQ1514="RÉPARÉ – À RADIOGRAPHIER",AQ1514="NX – RT À REFAIRE",AQ1514="À RÉPARER",AQ1514="COUPE – À RESOUDER",AQ1514="VT REJETÉ – À REPRENDRE")),MAX(0,'PROGRAMME RT'!$C$4-U1514),"")</f>
        <v/>
      </c>
      <c r="AS1514" s="82" t="n">
        <f aca="false">IF(AND(OR(AQ1514="À RADIOGRAPHIER",AQ1514="RÉPARÉ – À RADIOGRAPHIER",AQ1514="NX – RT À REFAIRE"),OR('PROGRAMME RT'!$D$5="TOUTES",B1514='PROGRAMME RT'!$D$5)),1,0)</f>
        <v>0</v>
      </c>
      <c r="AT1514" s="82" t="str">
        <f aca="false">IF(AS1514=1,SUM(AS$7:AS1514),"")</f>
        <v/>
      </c>
      <c r="AU1514" s="82" t="n">
        <f aca="false">IF(AND(OR(AA1514="R",AA1514="NX",AA1514="NT",AA1514="CO"),OR('JOINTS DE RÉPARATION'!$D$5="TOUTES",B1514='JOINTS DE RÉPARATION'!$D$5),OR('JOINTS DE RÉPARATION'!$L$4="TOUS",AQ1514&lt;&gt;"ACCEPTÉ")),1,0)</f>
        <v>0</v>
      </c>
      <c r="AV1514" s="82" t="str">
        <f aca="false">IF(AU1514=1,SUM(AU$7:AU1514),"")</f>
        <v/>
      </c>
      <c r="AW1514" s="82" t="str">
        <f aca="false">IF(E1514="","",B1514&amp;"|"&amp;E1514)</f>
        <v>MFD-ISW → MFD-CPF|JN°1253</v>
      </c>
    </row>
    <row r="1515" customFormat="false" ht="74.6" hidden="false" customHeight="false" outlineLevel="0" collapsed="false">
      <c r="A1515" s="79" t="n">
        <f aca="false">IF(E1515="","",ROW()-6)</f>
        <v>1509</v>
      </c>
      <c r="B1515" s="80" t="s">
        <v>110</v>
      </c>
      <c r="C1515" s="81" t="s">
        <v>926</v>
      </c>
      <c r="D1515" s="81" t="n">
        <v>13</v>
      </c>
      <c r="E1515" s="81" t="s">
        <v>1818</v>
      </c>
      <c r="F1515" s="82" t="str">
        <f aca="false">IF(E1515="","",IF(LEFT(E1515,2)="DJ","DJ","JN"))</f>
        <v>JN</v>
      </c>
      <c r="G1515" s="81"/>
      <c r="H1515" s="81"/>
      <c r="I1515" s="81"/>
      <c r="J1515" s="81"/>
      <c r="K1515" s="81"/>
      <c r="L1515" s="81"/>
      <c r="M1515" s="81"/>
      <c r="N1515" s="81"/>
      <c r="O1515" s="81"/>
      <c r="P1515" s="81"/>
      <c r="Q1515" s="81"/>
      <c r="R1515" s="81"/>
      <c r="S1515" s="81"/>
      <c r="T1515" s="81"/>
      <c r="U1515" s="83"/>
      <c r="V1515" s="83"/>
      <c r="W1515" s="81"/>
      <c r="X1515" s="81"/>
      <c r="Y1515" s="83"/>
      <c r="Z1515" s="81"/>
      <c r="AA1515" s="81"/>
      <c r="AB1515" s="81"/>
      <c r="AC1515" s="81"/>
      <c r="AD1515" s="81"/>
      <c r="AE1515" s="83"/>
      <c r="AF1515" s="81"/>
      <c r="AG1515" s="81"/>
      <c r="AH1515" s="81"/>
      <c r="AI1515" s="81"/>
      <c r="AJ1515" s="83"/>
      <c r="AK1515" s="81"/>
      <c r="AL1515" s="81"/>
      <c r="AM1515" s="83"/>
      <c r="AN1515" s="80"/>
      <c r="AO1515" s="82" t="n">
        <f aca="false">IF(E1515="","",(AA1515&lt;&gt;"")+(AG1515&lt;&gt;"")+(AL1515&lt;&gt;""))</f>
        <v>0</v>
      </c>
      <c r="AP1515" s="82" t="str">
        <f aca="false">IF(AL1515&lt;&gt;"",AL1515,IF(AG1515&lt;&gt;"",AG1515,IF(AA1515&lt;&gt;"",AA1515,"")))</f>
        <v/>
      </c>
      <c r="AQ1515" s="84" t="str">
        <f aca="false">IF(E1515="","",IF(U1515="","À SOUDER",IF(X1515="","VT EN ATTENTE",IF(X1515="R","VT REJETÉ – À REPRENDRE",IF(AP1515="","À RADIOGRAPHIER",IF(AP1515="A","ACCEPTÉ",IF(AP1515="NX","NX – RT À REFAIRE",IF(IF(AO1515=1,AD1515,IF(AO1515=2,AI1515,""))="A","RÉPARÉ – À RADIOGRAPHIER",IF(IF(AO1515=1,AD1515,IF(AO1515=2,AI1515,""))="R","VT REJETÉ – À REPRENDRE",IF(OR(AP1515="CO",AP1515="NT"),"COUPE – À RESOUDER","À RÉPARER"))))))))))</f>
        <v>À SOUDER</v>
      </c>
      <c r="AR1515" s="82" t="str">
        <f aca="false">IF(AND(ISNUMBER(U1515),OR(AQ1515="À RADIOGRAPHIER",AQ1515="RÉPARÉ – À RADIOGRAPHIER",AQ1515="NX – RT À REFAIRE",AQ1515="À RÉPARER",AQ1515="COUPE – À RESOUDER",AQ1515="VT REJETÉ – À REPRENDRE")),MAX(0,'PROGRAMME RT'!$C$4-U1515),"")</f>
        <v/>
      </c>
      <c r="AS1515" s="82" t="n">
        <f aca="false">IF(AND(OR(AQ1515="À RADIOGRAPHIER",AQ1515="RÉPARÉ – À RADIOGRAPHIER",AQ1515="NX – RT À REFAIRE"),OR('PROGRAMME RT'!$D$5="TOUTES",B1515='PROGRAMME RT'!$D$5)),1,0)</f>
        <v>0</v>
      </c>
      <c r="AT1515" s="82" t="str">
        <f aca="false">IF(AS1515=1,SUM(AS$7:AS1515),"")</f>
        <v/>
      </c>
      <c r="AU1515" s="82" t="n">
        <f aca="false">IF(AND(OR(AA1515="R",AA1515="NX",AA1515="NT",AA1515="CO"),OR('JOINTS DE RÉPARATION'!$D$5="TOUTES",B1515='JOINTS DE RÉPARATION'!$D$5),OR('JOINTS DE RÉPARATION'!$L$4="TOUS",AQ1515&lt;&gt;"ACCEPTÉ")),1,0)</f>
        <v>0</v>
      </c>
      <c r="AV1515" s="82" t="str">
        <f aca="false">IF(AU1515=1,SUM(AU$7:AU1515),"")</f>
        <v/>
      </c>
      <c r="AW1515" s="82" t="str">
        <f aca="false">IF(E1515="","",B1515&amp;"|"&amp;E1515)</f>
        <v>MFD-ISW → MFD-CPF|JN°1254</v>
      </c>
    </row>
    <row r="1516" customFormat="false" ht="74.6" hidden="false" customHeight="false" outlineLevel="0" collapsed="false">
      <c r="A1516" s="79" t="n">
        <f aca="false">IF(E1516="","",ROW()-6)</f>
        <v>1510</v>
      </c>
      <c r="B1516" s="80" t="s">
        <v>110</v>
      </c>
      <c r="C1516" s="81" t="s">
        <v>926</v>
      </c>
      <c r="D1516" s="81" t="n">
        <v>13</v>
      </c>
      <c r="E1516" s="81" t="s">
        <v>1819</v>
      </c>
      <c r="F1516" s="82" t="str">
        <f aca="false">IF(E1516="","",IF(LEFT(E1516,2)="DJ","DJ","JN"))</f>
        <v>JN</v>
      </c>
      <c r="G1516" s="81"/>
      <c r="H1516" s="81"/>
      <c r="I1516" s="81"/>
      <c r="J1516" s="81"/>
      <c r="K1516" s="81"/>
      <c r="L1516" s="81"/>
      <c r="M1516" s="81"/>
      <c r="N1516" s="81"/>
      <c r="O1516" s="81"/>
      <c r="P1516" s="81"/>
      <c r="Q1516" s="81"/>
      <c r="R1516" s="81"/>
      <c r="S1516" s="81"/>
      <c r="T1516" s="81"/>
      <c r="U1516" s="83"/>
      <c r="V1516" s="83"/>
      <c r="W1516" s="81"/>
      <c r="X1516" s="81"/>
      <c r="Y1516" s="83"/>
      <c r="Z1516" s="81"/>
      <c r="AA1516" s="81"/>
      <c r="AB1516" s="81"/>
      <c r="AC1516" s="81"/>
      <c r="AD1516" s="81"/>
      <c r="AE1516" s="83"/>
      <c r="AF1516" s="81"/>
      <c r="AG1516" s="81"/>
      <c r="AH1516" s="81"/>
      <c r="AI1516" s="81"/>
      <c r="AJ1516" s="83"/>
      <c r="AK1516" s="81"/>
      <c r="AL1516" s="81"/>
      <c r="AM1516" s="83"/>
      <c r="AN1516" s="80"/>
      <c r="AO1516" s="82" t="n">
        <f aca="false">IF(E1516="","",(AA1516&lt;&gt;"")+(AG1516&lt;&gt;"")+(AL1516&lt;&gt;""))</f>
        <v>0</v>
      </c>
      <c r="AP1516" s="82" t="str">
        <f aca="false">IF(AL1516&lt;&gt;"",AL1516,IF(AG1516&lt;&gt;"",AG1516,IF(AA1516&lt;&gt;"",AA1516,"")))</f>
        <v/>
      </c>
      <c r="AQ1516" s="84" t="str">
        <f aca="false">IF(E1516="","",IF(U1516="","À SOUDER",IF(X1516="","VT EN ATTENTE",IF(X1516="R","VT REJETÉ – À REPRENDRE",IF(AP1516="","À RADIOGRAPHIER",IF(AP1516="A","ACCEPTÉ",IF(AP1516="NX","NX – RT À REFAIRE",IF(IF(AO1516=1,AD1516,IF(AO1516=2,AI1516,""))="A","RÉPARÉ – À RADIOGRAPHIER",IF(IF(AO1516=1,AD1516,IF(AO1516=2,AI1516,""))="R","VT REJETÉ – À REPRENDRE",IF(OR(AP1516="CO",AP1516="NT"),"COUPE – À RESOUDER","À RÉPARER"))))))))))</f>
        <v>À SOUDER</v>
      </c>
      <c r="AR1516" s="82" t="str">
        <f aca="false">IF(AND(ISNUMBER(U1516),OR(AQ1516="À RADIOGRAPHIER",AQ1516="RÉPARÉ – À RADIOGRAPHIER",AQ1516="NX – RT À REFAIRE",AQ1516="À RÉPARER",AQ1516="COUPE – À RESOUDER",AQ1516="VT REJETÉ – À REPRENDRE")),MAX(0,'PROGRAMME RT'!$C$4-U1516),"")</f>
        <v/>
      </c>
      <c r="AS1516" s="82" t="n">
        <f aca="false">IF(AND(OR(AQ1516="À RADIOGRAPHIER",AQ1516="RÉPARÉ – À RADIOGRAPHIER",AQ1516="NX – RT À REFAIRE"),OR('PROGRAMME RT'!$D$5="TOUTES",B1516='PROGRAMME RT'!$D$5)),1,0)</f>
        <v>0</v>
      </c>
      <c r="AT1516" s="82" t="str">
        <f aca="false">IF(AS1516=1,SUM(AS$7:AS1516),"")</f>
        <v/>
      </c>
      <c r="AU1516" s="82" t="n">
        <f aca="false">IF(AND(OR(AA1516="R",AA1516="NX",AA1516="NT",AA1516="CO"),OR('JOINTS DE RÉPARATION'!$D$5="TOUTES",B1516='JOINTS DE RÉPARATION'!$D$5),OR('JOINTS DE RÉPARATION'!$L$4="TOUS",AQ1516&lt;&gt;"ACCEPTÉ")),1,0)</f>
        <v>0</v>
      </c>
      <c r="AV1516" s="82" t="str">
        <f aca="false">IF(AU1516=1,SUM(AU$7:AU1516),"")</f>
        <v/>
      </c>
      <c r="AW1516" s="82" t="str">
        <f aca="false">IF(E1516="","",B1516&amp;"|"&amp;E1516)</f>
        <v>MFD-ISW → MFD-CPF|JN°1255</v>
      </c>
    </row>
    <row r="1517" customFormat="false" ht="74.6" hidden="false" customHeight="false" outlineLevel="0" collapsed="false">
      <c r="A1517" s="79" t="n">
        <f aca="false">IF(E1517="","",ROW()-6)</f>
        <v>1511</v>
      </c>
      <c r="B1517" s="80" t="s">
        <v>110</v>
      </c>
      <c r="C1517" s="81" t="s">
        <v>926</v>
      </c>
      <c r="D1517" s="81" t="n">
        <v>13</v>
      </c>
      <c r="E1517" s="81" t="s">
        <v>1820</v>
      </c>
      <c r="F1517" s="82" t="str">
        <f aca="false">IF(E1517="","",IF(LEFT(E1517,2)="DJ","DJ","JN"))</f>
        <v>JN</v>
      </c>
      <c r="G1517" s="81"/>
      <c r="H1517" s="81"/>
      <c r="I1517" s="81"/>
      <c r="J1517" s="81"/>
      <c r="K1517" s="81"/>
      <c r="L1517" s="81"/>
      <c r="M1517" s="81"/>
      <c r="N1517" s="81"/>
      <c r="O1517" s="81"/>
      <c r="P1517" s="81"/>
      <c r="Q1517" s="81"/>
      <c r="R1517" s="81"/>
      <c r="S1517" s="81"/>
      <c r="T1517" s="81"/>
      <c r="U1517" s="83"/>
      <c r="V1517" s="83"/>
      <c r="W1517" s="81"/>
      <c r="X1517" s="81"/>
      <c r="Y1517" s="83"/>
      <c r="Z1517" s="81"/>
      <c r="AA1517" s="81"/>
      <c r="AB1517" s="81"/>
      <c r="AC1517" s="81"/>
      <c r="AD1517" s="81"/>
      <c r="AE1517" s="83"/>
      <c r="AF1517" s="81"/>
      <c r="AG1517" s="81"/>
      <c r="AH1517" s="81"/>
      <c r="AI1517" s="81"/>
      <c r="AJ1517" s="83"/>
      <c r="AK1517" s="81"/>
      <c r="AL1517" s="81"/>
      <c r="AM1517" s="83"/>
      <c r="AN1517" s="80"/>
      <c r="AO1517" s="82" t="n">
        <f aca="false">IF(E1517="","",(AA1517&lt;&gt;"")+(AG1517&lt;&gt;"")+(AL1517&lt;&gt;""))</f>
        <v>0</v>
      </c>
      <c r="AP1517" s="82" t="str">
        <f aca="false">IF(AL1517&lt;&gt;"",AL1517,IF(AG1517&lt;&gt;"",AG1517,IF(AA1517&lt;&gt;"",AA1517,"")))</f>
        <v/>
      </c>
      <c r="AQ1517" s="84" t="str">
        <f aca="false">IF(E1517="","",IF(U1517="","À SOUDER",IF(X1517="","VT EN ATTENTE",IF(X1517="R","VT REJETÉ – À REPRENDRE",IF(AP1517="","À RADIOGRAPHIER",IF(AP1517="A","ACCEPTÉ",IF(AP1517="NX","NX – RT À REFAIRE",IF(IF(AO1517=1,AD1517,IF(AO1517=2,AI1517,""))="A","RÉPARÉ – À RADIOGRAPHIER",IF(IF(AO1517=1,AD1517,IF(AO1517=2,AI1517,""))="R","VT REJETÉ – À REPRENDRE",IF(OR(AP1517="CO",AP1517="NT"),"COUPE – À RESOUDER","À RÉPARER"))))))))))</f>
        <v>À SOUDER</v>
      </c>
      <c r="AR1517" s="82" t="str">
        <f aca="false">IF(AND(ISNUMBER(U1517),OR(AQ1517="À RADIOGRAPHIER",AQ1517="RÉPARÉ – À RADIOGRAPHIER",AQ1517="NX – RT À REFAIRE",AQ1517="À RÉPARER",AQ1517="COUPE – À RESOUDER",AQ1517="VT REJETÉ – À REPRENDRE")),MAX(0,'PROGRAMME RT'!$C$4-U1517),"")</f>
        <v/>
      </c>
      <c r="AS1517" s="82" t="n">
        <f aca="false">IF(AND(OR(AQ1517="À RADIOGRAPHIER",AQ1517="RÉPARÉ – À RADIOGRAPHIER",AQ1517="NX – RT À REFAIRE"),OR('PROGRAMME RT'!$D$5="TOUTES",B1517='PROGRAMME RT'!$D$5)),1,0)</f>
        <v>0</v>
      </c>
      <c r="AT1517" s="82" t="str">
        <f aca="false">IF(AS1517=1,SUM(AS$7:AS1517),"")</f>
        <v/>
      </c>
      <c r="AU1517" s="82" t="n">
        <f aca="false">IF(AND(OR(AA1517="R",AA1517="NX",AA1517="NT",AA1517="CO"),OR('JOINTS DE RÉPARATION'!$D$5="TOUTES",B1517='JOINTS DE RÉPARATION'!$D$5),OR('JOINTS DE RÉPARATION'!$L$4="TOUS",AQ1517&lt;&gt;"ACCEPTÉ")),1,0)</f>
        <v>0</v>
      </c>
      <c r="AV1517" s="82" t="str">
        <f aca="false">IF(AU1517=1,SUM(AU$7:AU1517),"")</f>
        <v/>
      </c>
      <c r="AW1517" s="82" t="str">
        <f aca="false">IF(E1517="","",B1517&amp;"|"&amp;E1517)</f>
        <v>MFD-ISW → MFD-CPF|JN°1256</v>
      </c>
    </row>
    <row r="1518" customFormat="false" ht="74.6" hidden="false" customHeight="false" outlineLevel="0" collapsed="false">
      <c r="A1518" s="79" t="n">
        <f aca="false">IF(E1518="","",ROW()-6)</f>
        <v>1512</v>
      </c>
      <c r="B1518" s="80" t="s">
        <v>110</v>
      </c>
      <c r="C1518" s="81" t="s">
        <v>926</v>
      </c>
      <c r="D1518" s="81" t="n">
        <v>13</v>
      </c>
      <c r="E1518" s="81" t="s">
        <v>1821</v>
      </c>
      <c r="F1518" s="82" t="str">
        <f aca="false">IF(E1518="","",IF(LEFT(E1518,2)="DJ","DJ","JN"))</f>
        <v>JN</v>
      </c>
      <c r="G1518" s="81"/>
      <c r="H1518" s="81"/>
      <c r="I1518" s="81"/>
      <c r="J1518" s="81"/>
      <c r="K1518" s="81"/>
      <c r="L1518" s="81"/>
      <c r="M1518" s="81"/>
      <c r="N1518" s="81"/>
      <c r="O1518" s="81"/>
      <c r="P1518" s="81"/>
      <c r="Q1518" s="81"/>
      <c r="R1518" s="81"/>
      <c r="S1518" s="81"/>
      <c r="T1518" s="81"/>
      <c r="U1518" s="83"/>
      <c r="V1518" s="83"/>
      <c r="W1518" s="81"/>
      <c r="X1518" s="81"/>
      <c r="Y1518" s="83"/>
      <c r="Z1518" s="81"/>
      <c r="AA1518" s="81"/>
      <c r="AB1518" s="81"/>
      <c r="AC1518" s="81"/>
      <c r="AD1518" s="81"/>
      <c r="AE1518" s="83"/>
      <c r="AF1518" s="81"/>
      <c r="AG1518" s="81"/>
      <c r="AH1518" s="81"/>
      <c r="AI1518" s="81"/>
      <c r="AJ1518" s="83"/>
      <c r="AK1518" s="81"/>
      <c r="AL1518" s="81"/>
      <c r="AM1518" s="83"/>
      <c r="AN1518" s="80"/>
      <c r="AO1518" s="82" t="n">
        <f aca="false">IF(E1518="","",(AA1518&lt;&gt;"")+(AG1518&lt;&gt;"")+(AL1518&lt;&gt;""))</f>
        <v>0</v>
      </c>
      <c r="AP1518" s="82" t="str">
        <f aca="false">IF(AL1518&lt;&gt;"",AL1518,IF(AG1518&lt;&gt;"",AG1518,IF(AA1518&lt;&gt;"",AA1518,"")))</f>
        <v/>
      </c>
      <c r="AQ1518" s="84" t="str">
        <f aca="false">IF(E1518="","",IF(U1518="","À SOUDER",IF(X1518="","VT EN ATTENTE",IF(X1518="R","VT REJETÉ – À REPRENDRE",IF(AP1518="","À RADIOGRAPHIER",IF(AP1518="A","ACCEPTÉ",IF(AP1518="NX","NX – RT À REFAIRE",IF(IF(AO1518=1,AD1518,IF(AO1518=2,AI1518,""))="A","RÉPARÉ – À RADIOGRAPHIER",IF(IF(AO1518=1,AD1518,IF(AO1518=2,AI1518,""))="R","VT REJETÉ – À REPRENDRE",IF(OR(AP1518="CO",AP1518="NT"),"COUPE – À RESOUDER","À RÉPARER"))))))))))</f>
        <v>À SOUDER</v>
      </c>
      <c r="AR1518" s="82" t="str">
        <f aca="false">IF(AND(ISNUMBER(U1518),OR(AQ1518="À RADIOGRAPHIER",AQ1518="RÉPARÉ – À RADIOGRAPHIER",AQ1518="NX – RT À REFAIRE",AQ1518="À RÉPARER",AQ1518="COUPE – À RESOUDER",AQ1518="VT REJETÉ – À REPRENDRE")),MAX(0,'PROGRAMME RT'!$C$4-U1518),"")</f>
        <v/>
      </c>
      <c r="AS1518" s="82" t="n">
        <f aca="false">IF(AND(OR(AQ1518="À RADIOGRAPHIER",AQ1518="RÉPARÉ – À RADIOGRAPHIER",AQ1518="NX – RT À REFAIRE"),OR('PROGRAMME RT'!$D$5="TOUTES",B1518='PROGRAMME RT'!$D$5)),1,0)</f>
        <v>0</v>
      </c>
      <c r="AT1518" s="82" t="str">
        <f aca="false">IF(AS1518=1,SUM(AS$7:AS1518),"")</f>
        <v/>
      </c>
      <c r="AU1518" s="82" t="n">
        <f aca="false">IF(AND(OR(AA1518="R",AA1518="NX",AA1518="NT",AA1518="CO"),OR('JOINTS DE RÉPARATION'!$D$5="TOUTES",B1518='JOINTS DE RÉPARATION'!$D$5),OR('JOINTS DE RÉPARATION'!$L$4="TOUS",AQ1518&lt;&gt;"ACCEPTÉ")),1,0)</f>
        <v>0</v>
      </c>
      <c r="AV1518" s="82" t="str">
        <f aca="false">IF(AU1518=1,SUM(AU$7:AU1518),"")</f>
        <v/>
      </c>
      <c r="AW1518" s="82" t="str">
        <f aca="false">IF(E1518="","",B1518&amp;"|"&amp;E1518)</f>
        <v>MFD-ISW → MFD-CPF|JN°1257</v>
      </c>
    </row>
    <row r="1519" customFormat="false" ht="74.6" hidden="false" customHeight="false" outlineLevel="0" collapsed="false">
      <c r="A1519" s="79" t="n">
        <f aca="false">IF(E1519="","",ROW()-6)</f>
        <v>1513</v>
      </c>
      <c r="B1519" s="80" t="s">
        <v>110</v>
      </c>
      <c r="C1519" s="81" t="s">
        <v>926</v>
      </c>
      <c r="D1519" s="81" t="n">
        <v>13</v>
      </c>
      <c r="E1519" s="81" t="s">
        <v>1822</v>
      </c>
      <c r="F1519" s="82" t="str">
        <f aca="false">IF(E1519="","",IF(LEFT(E1519,2)="DJ","DJ","JN"))</f>
        <v>JN</v>
      </c>
      <c r="G1519" s="81"/>
      <c r="H1519" s="81"/>
      <c r="I1519" s="81"/>
      <c r="J1519" s="81"/>
      <c r="K1519" s="81"/>
      <c r="L1519" s="81"/>
      <c r="M1519" s="81"/>
      <c r="N1519" s="81"/>
      <c r="O1519" s="81"/>
      <c r="P1519" s="81"/>
      <c r="Q1519" s="81"/>
      <c r="R1519" s="81"/>
      <c r="S1519" s="81"/>
      <c r="T1519" s="81"/>
      <c r="U1519" s="83"/>
      <c r="V1519" s="83"/>
      <c r="W1519" s="81"/>
      <c r="X1519" s="81"/>
      <c r="Y1519" s="83"/>
      <c r="Z1519" s="81"/>
      <c r="AA1519" s="81"/>
      <c r="AB1519" s="81"/>
      <c r="AC1519" s="81"/>
      <c r="AD1519" s="81"/>
      <c r="AE1519" s="83"/>
      <c r="AF1519" s="81"/>
      <c r="AG1519" s="81"/>
      <c r="AH1519" s="81"/>
      <c r="AI1519" s="81"/>
      <c r="AJ1519" s="83"/>
      <c r="AK1519" s="81"/>
      <c r="AL1519" s="81"/>
      <c r="AM1519" s="83"/>
      <c r="AN1519" s="80"/>
      <c r="AO1519" s="82" t="n">
        <f aca="false">IF(E1519="","",(AA1519&lt;&gt;"")+(AG1519&lt;&gt;"")+(AL1519&lt;&gt;""))</f>
        <v>0</v>
      </c>
      <c r="AP1519" s="82" t="str">
        <f aca="false">IF(AL1519&lt;&gt;"",AL1519,IF(AG1519&lt;&gt;"",AG1519,IF(AA1519&lt;&gt;"",AA1519,"")))</f>
        <v/>
      </c>
      <c r="AQ1519" s="84" t="str">
        <f aca="false">IF(E1519="","",IF(U1519="","À SOUDER",IF(X1519="","VT EN ATTENTE",IF(X1519="R","VT REJETÉ – À REPRENDRE",IF(AP1519="","À RADIOGRAPHIER",IF(AP1519="A","ACCEPTÉ",IF(AP1519="NX","NX – RT À REFAIRE",IF(IF(AO1519=1,AD1519,IF(AO1519=2,AI1519,""))="A","RÉPARÉ – À RADIOGRAPHIER",IF(IF(AO1519=1,AD1519,IF(AO1519=2,AI1519,""))="R","VT REJETÉ – À REPRENDRE",IF(OR(AP1519="CO",AP1519="NT"),"COUPE – À RESOUDER","À RÉPARER"))))))))))</f>
        <v>À SOUDER</v>
      </c>
      <c r="AR1519" s="82" t="str">
        <f aca="false">IF(AND(ISNUMBER(U1519),OR(AQ1519="À RADIOGRAPHIER",AQ1519="RÉPARÉ – À RADIOGRAPHIER",AQ1519="NX – RT À REFAIRE",AQ1519="À RÉPARER",AQ1519="COUPE – À RESOUDER",AQ1519="VT REJETÉ – À REPRENDRE")),MAX(0,'PROGRAMME RT'!$C$4-U1519),"")</f>
        <v/>
      </c>
      <c r="AS1519" s="82" t="n">
        <f aca="false">IF(AND(OR(AQ1519="À RADIOGRAPHIER",AQ1519="RÉPARÉ – À RADIOGRAPHIER",AQ1519="NX – RT À REFAIRE"),OR('PROGRAMME RT'!$D$5="TOUTES",B1519='PROGRAMME RT'!$D$5)),1,0)</f>
        <v>0</v>
      </c>
      <c r="AT1519" s="82" t="str">
        <f aca="false">IF(AS1519=1,SUM(AS$7:AS1519),"")</f>
        <v/>
      </c>
      <c r="AU1519" s="82" t="n">
        <f aca="false">IF(AND(OR(AA1519="R",AA1519="NX",AA1519="NT",AA1519="CO"),OR('JOINTS DE RÉPARATION'!$D$5="TOUTES",B1519='JOINTS DE RÉPARATION'!$D$5),OR('JOINTS DE RÉPARATION'!$L$4="TOUS",AQ1519&lt;&gt;"ACCEPTÉ")),1,0)</f>
        <v>0</v>
      </c>
      <c r="AV1519" s="82" t="str">
        <f aca="false">IF(AU1519=1,SUM(AU$7:AU1519),"")</f>
        <v/>
      </c>
      <c r="AW1519" s="82" t="str">
        <f aca="false">IF(E1519="","",B1519&amp;"|"&amp;E1519)</f>
        <v>MFD-ISW → MFD-CPF|JN°1258</v>
      </c>
    </row>
    <row r="1520" customFormat="false" ht="74.6" hidden="false" customHeight="false" outlineLevel="0" collapsed="false">
      <c r="A1520" s="79" t="n">
        <f aca="false">IF(E1520="","",ROW()-6)</f>
        <v>1514</v>
      </c>
      <c r="B1520" s="80" t="s">
        <v>110</v>
      </c>
      <c r="C1520" s="81" t="s">
        <v>926</v>
      </c>
      <c r="D1520" s="81" t="n">
        <v>13</v>
      </c>
      <c r="E1520" s="81" t="s">
        <v>1823</v>
      </c>
      <c r="F1520" s="82" t="str">
        <f aca="false">IF(E1520="","",IF(LEFT(E1520,2)="DJ","DJ","JN"))</f>
        <v>JN</v>
      </c>
      <c r="G1520" s="81"/>
      <c r="H1520" s="81"/>
      <c r="I1520" s="81"/>
      <c r="J1520" s="81"/>
      <c r="K1520" s="81"/>
      <c r="L1520" s="81"/>
      <c r="M1520" s="81"/>
      <c r="N1520" s="81"/>
      <c r="O1520" s="81" t="n">
        <v>2093240</v>
      </c>
      <c r="P1520" s="81" t="n">
        <v>15421110</v>
      </c>
      <c r="Q1520" s="81" t="n">
        <v>11.94</v>
      </c>
      <c r="R1520" s="81"/>
      <c r="S1520" s="81"/>
      <c r="T1520" s="81"/>
      <c r="U1520" s="83"/>
      <c r="V1520" s="83"/>
      <c r="W1520" s="81"/>
      <c r="X1520" s="81"/>
      <c r="Y1520" s="83"/>
      <c r="Z1520" s="81"/>
      <c r="AA1520" s="81"/>
      <c r="AB1520" s="81"/>
      <c r="AC1520" s="81"/>
      <c r="AD1520" s="81"/>
      <c r="AE1520" s="83"/>
      <c r="AF1520" s="81"/>
      <c r="AG1520" s="81"/>
      <c r="AH1520" s="81"/>
      <c r="AI1520" s="81"/>
      <c r="AJ1520" s="83"/>
      <c r="AK1520" s="81"/>
      <c r="AL1520" s="81"/>
      <c r="AM1520" s="83"/>
      <c r="AN1520" s="80"/>
      <c r="AO1520" s="82" t="n">
        <f aca="false">IF(E1520="","",(AA1520&lt;&gt;"")+(AG1520&lt;&gt;"")+(AL1520&lt;&gt;""))</f>
        <v>0</v>
      </c>
      <c r="AP1520" s="82" t="str">
        <f aca="false">IF(AL1520&lt;&gt;"",AL1520,IF(AG1520&lt;&gt;"",AG1520,IF(AA1520&lt;&gt;"",AA1520,"")))</f>
        <v/>
      </c>
      <c r="AQ1520" s="84" t="str">
        <f aca="false">IF(E1520="","",IF(U1520="","À SOUDER",IF(X1520="","VT EN ATTENTE",IF(X1520="R","VT REJETÉ – À REPRENDRE",IF(AP1520="","À RADIOGRAPHIER",IF(AP1520="A","ACCEPTÉ",IF(AP1520="NX","NX – RT À REFAIRE",IF(IF(AO1520=1,AD1520,IF(AO1520=2,AI1520,""))="A","RÉPARÉ – À RADIOGRAPHIER",IF(IF(AO1520=1,AD1520,IF(AO1520=2,AI1520,""))="R","VT REJETÉ – À REPRENDRE",IF(OR(AP1520="CO",AP1520="NT"),"COUPE – À RESOUDER","À RÉPARER"))))))))))</f>
        <v>À SOUDER</v>
      </c>
      <c r="AR1520" s="82" t="str">
        <f aca="false">IF(AND(ISNUMBER(U1520),OR(AQ1520="À RADIOGRAPHIER",AQ1520="RÉPARÉ – À RADIOGRAPHIER",AQ1520="NX – RT À REFAIRE",AQ1520="À RÉPARER",AQ1520="COUPE – À RESOUDER",AQ1520="VT REJETÉ – À REPRENDRE")),MAX(0,'PROGRAMME RT'!$C$4-U1520),"")</f>
        <v/>
      </c>
      <c r="AS1520" s="82" t="n">
        <f aca="false">IF(AND(OR(AQ1520="À RADIOGRAPHIER",AQ1520="RÉPARÉ – À RADIOGRAPHIER",AQ1520="NX – RT À REFAIRE"),OR('PROGRAMME RT'!$D$5="TOUTES",B1520='PROGRAMME RT'!$D$5)),1,0)</f>
        <v>0</v>
      </c>
      <c r="AT1520" s="82" t="str">
        <f aca="false">IF(AS1520=1,SUM(AS$7:AS1520),"")</f>
        <v/>
      </c>
      <c r="AU1520" s="82" t="n">
        <f aca="false">IF(AND(OR(AA1520="R",AA1520="NX",AA1520="NT",AA1520="CO"),OR('JOINTS DE RÉPARATION'!$D$5="TOUTES",B1520='JOINTS DE RÉPARATION'!$D$5),OR('JOINTS DE RÉPARATION'!$L$4="TOUS",AQ1520&lt;&gt;"ACCEPTÉ")),1,0)</f>
        <v>0</v>
      </c>
      <c r="AV1520" s="82" t="str">
        <f aca="false">IF(AU1520=1,SUM(AU$7:AU1520),"")</f>
        <v/>
      </c>
      <c r="AW1520" s="82" t="str">
        <f aca="false">IF(E1520="","",B1520&amp;"|"&amp;E1520)</f>
        <v>MFD-ISW → MFD-CPF|JN°1259</v>
      </c>
    </row>
    <row r="1521" customFormat="false" ht="74.6" hidden="false" customHeight="false" outlineLevel="0" collapsed="false">
      <c r="A1521" s="79" t="n">
        <f aca="false">IF(E1521="","",ROW()-6)</f>
        <v>1515</v>
      </c>
      <c r="B1521" s="80" t="s">
        <v>110</v>
      </c>
      <c r="C1521" s="81" t="s">
        <v>1824</v>
      </c>
      <c r="D1521" s="81" t="n">
        <v>13</v>
      </c>
      <c r="E1521" s="81" t="s">
        <v>1825</v>
      </c>
      <c r="F1521" s="82" t="str">
        <f aca="false">IF(E1521="","",IF(LEFT(E1521,2)="DJ","DJ","JN"))</f>
        <v>DJ</v>
      </c>
      <c r="G1521" s="81"/>
      <c r="H1521" s="81" t="s">
        <v>871</v>
      </c>
      <c r="I1521" s="81" t="n">
        <v>9.53</v>
      </c>
      <c r="J1521" s="81" t="s">
        <v>872</v>
      </c>
      <c r="K1521" s="81" t="s">
        <v>873</v>
      </c>
      <c r="L1521" s="81" t="n">
        <v>2093240</v>
      </c>
      <c r="M1521" s="81" t="n">
        <v>15421110</v>
      </c>
      <c r="N1521" s="81" t="n">
        <v>11.94</v>
      </c>
      <c r="O1521" s="81" t="n">
        <v>2094950</v>
      </c>
      <c r="P1521" s="81" t="n">
        <v>15421111</v>
      </c>
      <c r="Q1521" s="81" t="n">
        <v>11.94</v>
      </c>
      <c r="R1521" s="81" t="s">
        <v>1147</v>
      </c>
      <c r="S1521" s="81"/>
      <c r="T1521" s="81"/>
      <c r="U1521" s="83" t="n">
        <v>46268</v>
      </c>
      <c r="V1521" s="83" t="n">
        <v>46268</v>
      </c>
      <c r="W1521" s="81" t="s">
        <v>1773</v>
      </c>
      <c r="X1521" s="81" t="s">
        <v>876</v>
      </c>
      <c r="Y1521" s="83" t="n">
        <v>46269</v>
      </c>
      <c r="Z1521" s="81" t="s">
        <v>1774</v>
      </c>
      <c r="AA1521" s="81" t="s">
        <v>876</v>
      </c>
      <c r="AB1521" s="81"/>
      <c r="AC1521" s="81"/>
      <c r="AD1521" s="81"/>
      <c r="AE1521" s="83"/>
      <c r="AF1521" s="81"/>
      <c r="AG1521" s="81"/>
      <c r="AH1521" s="81"/>
      <c r="AI1521" s="81"/>
      <c r="AJ1521" s="83"/>
      <c r="AK1521" s="81"/>
      <c r="AL1521" s="81"/>
      <c r="AM1521" s="83"/>
      <c r="AN1521" s="80"/>
      <c r="AO1521" s="82" t="n">
        <f aca="false">IF(E1521="","",(AA1521&lt;&gt;"")+(AG1521&lt;&gt;"")+(AL1521&lt;&gt;""))</f>
        <v>1</v>
      </c>
      <c r="AP1521" s="82" t="str">
        <f aca="false">IF(AL1521&lt;&gt;"",AL1521,IF(AG1521&lt;&gt;"",AG1521,IF(AA1521&lt;&gt;"",AA1521,"")))</f>
        <v>A</v>
      </c>
      <c r="AQ1521" s="84" t="str">
        <f aca="false">IF(E1521="","",IF(U1521="","À SOUDER",IF(X1521="","VT EN ATTENTE",IF(X1521="R","VT REJETÉ – À REPRENDRE",IF(AP1521="","À RADIOGRAPHIER",IF(AP1521="A","ACCEPTÉ",IF(AP1521="NX","NX – RT À REFAIRE",IF(IF(AO1521=1,AD1521,IF(AO1521=2,AI1521,""))="A","RÉPARÉ – À RADIOGRAPHIER",IF(IF(AO1521=1,AD1521,IF(AO1521=2,AI1521,""))="R","VT REJETÉ – À REPRENDRE",IF(OR(AP1521="CO",AP1521="NT"),"COUPE – À RESOUDER","À RÉPARER"))))))))))</f>
        <v>ACCEPTÉ</v>
      </c>
      <c r="AR1521" s="82" t="str">
        <f aca="false">IF(AND(ISNUMBER(U1521),OR(AQ1521="À RADIOGRAPHIER",AQ1521="RÉPARÉ – À RADIOGRAPHIER",AQ1521="NX – RT À REFAIRE",AQ1521="À RÉPARER",AQ1521="COUPE – À RESOUDER",AQ1521="VT REJETÉ – À REPRENDRE")),MAX(0,'PROGRAMME RT'!$C$4-U1521),"")</f>
        <v/>
      </c>
      <c r="AS1521" s="82" t="n">
        <f aca="false">IF(AND(OR(AQ1521="À RADIOGRAPHIER",AQ1521="RÉPARÉ – À RADIOGRAPHIER",AQ1521="NX – RT À REFAIRE"),OR('PROGRAMME RT'!$D$5="TOUTES",B1521='PROGRAMME RT'!$D$5)),1,0)</f>
        <v>0</v>
      </c>
      <c r="AT1521" s="82" t="str">
        <f aca="false">IF(AS1521=1,SUM(AS$7:AS1521),"")</f>
        <v/>
      </c>
      <c r="AU1521" s="82" t="n">
        <f aca="false">IF(AND(OR(AA1521="R",AA1521="NX",AA1521="NT",AA1521="CO"),OR('JOINTS DE RÉPARATION'!$D$5="TOUTES",B1521='JOINTS DE RÉPARATION'!$D$5),OR('JOINTS DE RÉPARATION'!$L$4="TOUS",AQ1521&lt;&gt;"ACCEPTÉ")),1,0)</f>
        <v>0</v>
      </c>
      <c r="AV1521" s="82" t="str">
        <f aca="false">IF(AU1521=1,SUM(AU$7:AU1521),"")</f>
        <v/>
      </c>
      <c r="AW1521" s="82" t="str">
        <f aca="false">IF(E1521="","",B1521&amp;"|"&amp;E1521)</f>
        <v>MFD-ISW → MFD-CPF|DJ°258</v>
      </c>
    </row>
    <row r="1522" customFormat="false" ht="74.6" hidden="false" customHeight="false" outlineLevel="0" collapsed="false">
      <c r="A1522" s="79" t="n">
        <f aca="false">IF(E1522="","",ROW()-6)</f>
        <v>1516</v>
      </c>
      <c r="B1522" s="80" t="s">
        <v>110</v>
      </c>
      <c r="C1522" s="81" t="s">
        <v>1824</v>
      </c>
      <c r="D1522" s="81" t="n">
        <v>13</v>
      </c>
      <c r="E1522" s="81" t="s">
        <v>1826</v>
      </c>
      <c r="F1522" s="82" t="str">
        <f aca="false">IF(E1522="","",IF(LEFT(E1522,2)="DJ","DJ","JN"))</f>
        <v>JN</v>
      </c>
      <c r="G1522" s="81" t="s">
        <v>1504</v>
      </c>
      <c r="H1522" s="81" t="s">
        <v>871</v>
      </c>
      <c r="I1522" s="81" t="n">
        <v>9.53</v>
      </c>
      <c r="J1522" s="81" t="s">
        <v>872</v>
      </c>
      <c r="K1522" s="81" t="s">
        <v>879</v>
      </c>
      <c r="L1522" s="81" t="n">
        <v>2094950</v>
      </c>
      <c r="M1522" s="81" t="n">
        <v>15421111</v>
      </c>
      <c r="N1522" s="81" t="n">
        <v>11.94</v>
      </c>
      <c r="O1522" s="81" t="n">
        <v>2082180</v>
      </c>
      <c r="P1522" s="81" t="n">
        <v>15421111</v>
      </c>
      <c r="Q1522" s="81" t="n">
        <v>11.94</v>
      </c>
      <c r="R1522" s="81" t="s">
        <v>1795</v>
      </c>
      <c r="S1522" s="81"/>
      <c r="T1522" s="81"/>
      <c r="U1522" s="83" t="n">
        <v>46275</v>
      </c>
      <c r="V1522" s="83" t="n">
        <v>46275</v>
      </c>
      <c r="W1522" s="81" t="s">
        <v>1806</v>
      </c>
      <c r="X1522" s="81" t="s">
        <v>876</v>
      </c>
      <c r="Y1522" s="83" t="n">
        <v>46280</v>
      </c>
      <c r="Z1522" s="81" t="s">
        <v>1796</v>
      </c>
      <c r="AA1522" s="81" t="s">
        <v>876</v>
      </c>
      <c r="AB1522" s="81"/>
      <c r="AC1522" s="81"/>
      <c r="AD1522" s="81"/>
      <c r="AE1522" s="83"/>
      <c r="AF1522" s="81"/>
      <c r="AG1522" s="81"/>
      <c r="AH1522" s="81"/>
      <c r="AI1522" s="81"/>
      <c r="AJ1522" s="83"/>
      <c r="AK1522" s="81"/>
      <c r="AL1522" s="81"/>
      <c r="AM1522" s="83"/>
      <c r="AN1522" s="80"/>
      <c r="AO1522" s="82" t="n">
        <f aca="false">IF(E1522="","",(AA1522&lt;&gt;"")+(AG1522&lt;&gt;"")+(AL1522&lt;&gt;""))</f>
        <v>1</v>
      </c>
      <c r="AP1522" s="82" t="str">
        <f aca="false">IF(AL1522&lt;&gt;"",AL1522,IF(AG1522&lt;&gt;"",AG1522,IF(AA1522&lt;&gt;"",AA1522,"")))</f>
        <v>A</v>
      </c>
      <c r="AQ1522" s="84" t="str">
        <f aca="false">IF(E1522="","",IF(U1522="","À SOUDER",IF(X1522="","VT EN ATTENTE",IF(X1522="R","VT REJETÉ – À REPRENDRE",IF(AP1522="","À RADIOGRAPHIER",IF(AP1522="A","ACCEPTÉ",IF(AP1522="NX","NX – RT À REFAIRE",IF(IF(AO1522=1,AD1522,IF(AO1522=2,AI1522,""))="A","RÉPARÉ – À RADIOGRAPHIER",IF(IF(AO1522=1,AD1522,IF(AO1522=2,AI1522,""))="R","VT REJETÉ – À REPRENDRE",IF(OR(AP1522="CO",AP1522="NT"),"COUPE – À RESOUDER","À RÉPARER"))))))))))</f>
        <v>ACCEPTÉ</v>
      </c>
      <c r="AR1522" s="82" t="str">
        <f aca="false">IF(AND(ISNUMBER(U1522),OR(AQ1522="À RADIOGRAPHIER",AQ1522="RÉPARÉ – À RADIOGRAPHIER",AQ1522="NX – RT À REFAIRE",AQ1522="À RÉPARER",AQ1522="COUPE – À RESOUDER",AQ1522="VT REJETÉ – À REPRENDRE")),MAX(0,'PROGRAMME RT'!$C$4-U1522),"")</f>
        <v/>
      </c>
      <c r="AS1522" s="82" t="n">
        <f aca="false">IF(AND(OR(AQ1522="À RADIOGRAPHIER",AQ1522="RÉPARÉ – À RADIOGRAPHIER",AQ1522="NX – RT À REFAIRE"),OR('PROGRAMME RT'!$D$5="TOUTES",B1522='PROGRAMME RT'!$D$5)),1,0)</f>
        <v>0</v>
      </c>
      <c r="AT1522" s="82" t="str">
        <f aca="false">IF(AS1522=1,SUM(AS$7:AS1522),"")</f>
        <v/>
      </c>
      <c r="AU1522" s="82" t="n">
        <f aca="false">IF(AND(OR(AA1522="R",AA1522="NX",AA1522="NT",AA1522="CO"),OR('JOINTS DE RÉPARATION'!$D$5="TOUTES",B1522='JOINTS DE RÉPARATION'!$D$5),OR('JOINTS DE RÉPARATION'!$L$4="TOUS",AQ1522&lt;&gt;"ACCEPTÉ")),1,0)</f>
        <v>0</v>
      </c>
      <c r="AV1522" s="82" t="str">
        <f aca="false">IF(AU1522=1,SUM(AU$7:AU1522),"")</f>
        <v/>
      </c>
      <c r="AW1522" s="82" t="str">
        <f aca="false">IF(E1522="","",B1522&amp;"|"&amp;E1522)</f>
        <v>MFD-ISW → MFD-CPF|JN°1260</v>
      </c>
    </row>
    <row r="1523" customFormat="false" ht="74.6" hidden="false" customHeight="false" outlineLevel="0" collapsed="false">
      <c r="A1523" s="79" t="n">
        <f aca="false">IF(E1523="","",ROW()-6)</f>
        <v>1517</v>
      </c>
      <c r="B1523" s="80" t="s">
        <v>110</v>
      </c>
      <c r="C1523" s="81" t="s">
        <v>1824</v>
      </c>
      <c r="D1523" s="81" t="n">
        <v>13</v>
      </c>
      <c r="E1523" s="81" t="s">
        <v>1827</v>
      </c>
      <c r="F1523" s="82" t="str">
        <f aca="false">IF(E1523="","",IF(LEFT(E1523,2)="DJ","DJ","JN"))</f>
        <v>DJ</v>
      </c>
      <c r="G1523" s="81"/>
      <c r="H1523" s="81" t="s">
        <v>871</v>
      </c>
      <c r="I1523" s="81" t="n">
        <v>9.53</v>
      </c>
      <c r="J1523" s="81" t="s">
        <v>872</v>
      </c>
      <c r="K1523" s="81" t="s">
        <v>873</v>
      </c>
      <c r="L1523" s="81" t="n">
        <v>2082180</v>
      </c>
      <c r="M1523" s="81" t="n">
        <v>15421111</v>
      </c>
      <c r="N1523" s="81" t="n">
        <v>11.94</v>
      </c>
      <c r="O1523" s="81" t="n">
        <v>2080130</v>
      </c>
      <c r="P1523" s="81" t="n">
        <v>15421102</v>
      </c>
      <c r="Q1523" s="81" t="n">
        <v>11.94</v>
      </c>
      <c r="R1523" s="81" t="s">
        <v>1135</v>
      </c>
      <c r="S1523" s="81"/>
      <c r="T1523" s="81"/>
      <c r="U1523" s="83" t="n">
        <v>46268</v>
      </c>
      <c r="V1523" s="83" t="n">
        <v>46268</v>
      </c>
      <c r="W1523" s="81" t="s">
        <v>1773</v>
      </c>
      <c r="X1523" s="81" t="s">
        <v>876</v>
      </c>
      <c r="Y1523" s="83" t="n">
        <v>46269</v>
      </c>
      <c r="Z1523" s="81" t="s">
        <v>1774</v>
      </c>
      <c r="AA1523" s="81" t="s">
        <v>876</v>
      </c>
      <c r="AB1523" s="81"/>
      <c r="AC1523" s="81"/>
      <c r="AD1523" s="81"/>
      <c r="AE1523" s="83"/>
      <c r="AF1523" s="81"/>
      <c r="AG1523" s="81"/>
      <c r="AH1523" s="81"/>
      <c r="AI1523" s="81"/>
      <c r="AJ1523" s="83"/>
      <c r="AK1523" s="81"/>
      <c r="AL1523" s="81"/>
      <c r="AM1523" s="83"/>
      <c r="AN1523" s="80"/>
      <c r="AO1523" s="82" t="n">
        <f aca="false">IF(E1523="","",(AA1523&lt;&gt;"")+(AG1523&lt;&gt;"")+(AL1523&lt;&gt;""))</f>
        <v>1</v>
      </c>
      <c r="AP1523" s="82" t="str">
        <f aca="false">IF(AL1523&lt;&gt;"",AL1523,IF(AG1523&lt;&gt;"",AG1523,IF(AA1523&lt;&gt;"",AA1523,"")))</f>
        <v>A</v>
      </c>
      <c r="AQ1523" s="84" t="str">
        <f aca="false">IF(E1523="","",IF(U1523="","À SOUDER",IF(X1523="","VT EN ATTENTE",IF(X1523="R","VT REJETÉ – À REPRENDRE",IF(AP1523="","À RADIOGRAPHIER",IF(AP1523="A","ACCEPTÉ",IF(AP1523="NX","NX – RT À REFAIRE",IF(IF(AO1523=1,AD1523,IF(AO1523=2,AI1523,""))="A","RÉPARÉ – À RADIOGRAPHIER",IF(IF(AO1523=1,AD1523,IF(AO1523=2,AI1523,""))="R","VT REJETÉ – À REPRENDRE",IF(OR(AP1523="CO",AP1523="NT"),"COUPE – À RESOUDER","À RÉPARER"))))))))))</f>
        <v>ACCEPTÉ</v>
      </c>
      <c r="AR1523" s="82" t="str">
        <f aca="false">IF(AND(ISNUMBER(U1523),OR(AQ1523="À RADIOGRAPHIER",AQ1523="RÉPARÉ – À RADIOGRAPHIER",AQ1523="NX – RT À REFAIRE",AQ1523="À RÉPARER",AQ1523="COUPE – À RESOUDER",AQ1523="VT REJETÉ – À REPRENDRE")),MAX(0,'PROGRAMME RT'!$C$4-U1523),"")</f>
        <v/>
      </c>
      <c r="AS1523" s="82" t="n">
        <f aca="false">IF(AND(OR(AQ1523="À RADIOGRAPHIER",AQ1523="RÉPARÉ – À RADIOGRAPHIER",AQ1523="NX – RT À REFAIRE"),OR('PROGRAMME RT'!$D$5="TOUTES",B1523='PROGRAMME RT'!$D$5)),1,0)</f>
        <v>0</v>
      </c>
      <c r="AT1523" s="82" t="str">
        <f aca="false">IF(AS1523=1,SUM(AS$7:AS1523),"")</f>
        <v/>
      </c>
      <c r="AU1523" s="82" t="n">
        <f aca="false">IF(AND(OR(AA1523="R",AA1523="NX",AA1523="NT",AA1523="CO"),OR('JOINTS DE RÉPARATION'!$D$5="TOUTES",B1523='JOINTS DE RÉPARATION'!$D$5),OR('JOINTS DE RÉPARATION'!$L$4="TOUS",AQ1523&lt;&gt;"ACCEPTÉ")),1,0)</f>
        <v>0</v>
      </c>
      <c r="AV1523" s="82" t="str">
        <f aca="false">IF(AU1523=1,SUM(AU$7:AU1523),"")</f>
        <v/>
      </c>
      <c r="AW1523" s="82" t="str">
        <f aca="false">IF(E1523="","",B1523&amp;"|"&amp;E1523)</f>
        <v>MFD-ISW → MFD-CPF|DJ°259</v>
      </c>
    </row>
    <row r="1524" customFormat="false" ht="74.6" hidden="false" customHeight="false" outlineLevel="0" collapsed="false">
      <c r="A1524" s="79" t="n">
        <f aca="false">IF(E1524="","",ROW()-6)</f>
        <v>1518</v>
      </c>
      <c r="B1524" s="80" t="s">
        <v>110</v>
      </c>
      <c r="C1524" s="81" t="s">
        <v>1824</v>
      </c>
      <c r="D1524" s="81" t="n">
        <v>13</v>
      </c>
      <c r="E1524" s="81" t="s">
        <v>1828</v>
      </c>
      <c r="F1524" s="82" t="str">
        <f aca="false">IF(E1524="","",IF(LEFT(E1524,2)="DJ","DJ","JN"))</f>
        <v>JN</v>
      </c>
      <c r="G1524" s="81" t="s">
        <v>1504</v>
      </c>
      <c r="H1524" s="81" t="s">
        <v>871</v>
      </c>
      <c r="I1524" s="81" t="n">
        <v>9.53</v>
      </c>
      <c r="J1524" s="81" t="s">
        <v>872</v>
      </c>
      <c r="K1524" s="81" t="s">
        <v>879</v>
      </c>
      <c r="L1524" s="81" t="n">
        <v>2080130</v>
      </c>
      <c r="M1524" s="81" t="n">
        <v>15421102</v>
      </c>
      <c r="N1524" s="81" t="n">
        <v>11.94</v>
      </c>
      <c r="O1524" s="81" t="n">
        <v>2096530</v>
      </c>
      <c r="P1524" s="81" t="n">
        <v>15421111</v>
      </c>
      <c r="Q1524" s="81" t="n">
        <v>11.94</v>
      </c>
      <c r="R1524" s="81" t="s">
        <v>1795</v>
      </c>
      <c r="S1524" s="81"/>
      <c r="T1524" s="81"/>
      <c r="U1524" s="83" t="n">
        <v>46275</v>
      </c>
      <c r="V1524" s="83" t="n">
        <v>46275</v>
      </c>
      <c r="W1524" s="81" t="s">
        <v>1806</v>
      </c>
      <c r="X1524" s="81" t="s">
        <v>876</v>
      </c>
      <c r="Y1524" s="83" t="n">
        <v>46280</v>
      </c>
      <c r="Z1524" s="81" t="s">
        <v>1796</v>
      </c>
      <c r="AA1524" s="81" t="s">
        <v>876</v>
      </c>
      <c r="AB1524" s="81"/>
      <c r="AC1524" s="81"/>
      <c r="AD1524" s="81"/>
      <c r="AE1524" s="83"/>
      <c r="AF1524" s="81"/>
      <c r="AG1524" s="81"/>
      <c r="AH1524" s="81"/>
      <c r="AI1524" s="81"/>
      <c r="AJ1524" s="83"/>
      <c r="AK1524" s="81"/>
      <c r="AL1524" s="81"/>
      <c r="AM1524" s="83"/>
      <c r="AN1524" s="80"/>
      <c r="AO1524" s="82" t="n">
        <f aca="false">IF(E1524="","",(AA1524&lt;&gt;"")+(AG1524&lt;&gt;"")+(AL1524&lt;&gt;""))</f>
        <v>1</v>
      </c>
      <c r="AP1524" s="82" t="str">
        <f aca="false">IF(AL1524&lt;&gt;"",AL1524,IF(AG1524&lt;&gt;"",AG1524,IF(AA1524&lt;&gt;"",AA1524,"")))</f>
        <v>A</v>
      </c>
      <c r="AQ1524" s="84" t="str">
        <f aca="false">IF(E1524="","",IF(U1524="","À SOUDER",IF(X1524="","VT EN ATTENTE",IF(X1524="R","VT REJETÉ – À REPRENDRE",IF(AP1524="","À RADIOGRAPHIER",IF(AP1524="A","ACCEPTÉ",IF(AP1524="NX","NX – RT À REFAIRE",IF(IF(AO1524=1,AD1524,IF(AO1524=2,AI1524,""))="A","RÉPARÉ – À RADIOGRAPHIER",IF(IF(AO1524=1,AD1524,IF(AO1524=2,AI1524,""))="R","VT REJETÉ – À REPRENDRE",IF(OR(AP1524="CO",AP1524="NT"),"COUPE – À RESOUDER","À RÉPARER"))))))))))</f>
        <v>ACCEPTÉ</v>
      </c>
      <c r="AR1524" s="82" t="str">
        <f aca="false">IF(AND(ISNUMBER(U1524),OR(AQ1524="À RADIOGRAPHIER",AQ1524="RÉPARÉ – À RADIOGRAPHIER",AQ1524="NX – RT À REFAIRE",AQ1524="À RÉPARER",AQ1524="COUPE – À RESOUDER",AQ1524="VT REJETÉ – À REPRENDRE")),MAX(0,'PROGRAMME RT'!$C$4-U1524),"")</f>
        <v/>
      </c>
      <c r="AS1524" s="82" t="n">
        <f aca="false">IF(AND(OR(AQ1524="À RADIOGRAPHIER",AQ1524="RÉPARÉ – À RADIOGRAPHIER",AQ1524="NX – RT À REFAIRE"),OR('PROGRAMME RT'!$D$5="TOUTES",B1524='PROGRAMME RT'!$D$5)),1,0)</f>
        <v>0</v>
      </c>
      <c r="AT1524" s="82" t="str">
        <f aca="false">IF(AS1524=1,SUM(AS$7:AS1524),"")</f>
        <v/>
      </c>
      <c r="AU1524" s="82" t="n">
        <f aca="false">IF(AND(OR(AA1524="R",AA1524="NX",AA1524="NT",AA1524="CO"),OR('JOINTS DE RÉPARATION'!$D$5="TOUTES",B1524='JOINTS DE RÉPARATION'!$D$5),OR('JOINTS DE RÉPARATION'!$L$4="TOUS",AQ1524&lt;&gt;"ACCEPTÉ")),1,0)</f>
        <v>0</v>
      </c>
      <c r="AV1524" s="82" t="str">
        <f aca="false">IF(AU1524=1,SUM(AU$7:AU1524),"")</f>
        <v/>
      </c>
      <c r="AW1524" s="82" t="str">
        <f aca="false">IF(E1524="","",B1524&amp;"|"&amp;E1524)</f>
        <v>MFD-ISW → MFD-CPF|JN°1261</v>
      </c>
    </row>
    <row r="1525" customFormat="false" ht="74.6" hidden="false" customHeight="false" outlineLevel="0" collapsed="false">
      <c r="A1525" s="79" t="n">
        <f aca="false">IF(E1525="","",ROW()-6)</f>
        <v>1519</v>
      </c>
      <c r="B1525" s="80" t="s">
        <v>110</v>
      </c>
      <c r="C1525" s="81" t="s">
        <v>926</v>
      </c>
      <c r="D1525" s="81" t="n">
        <v>13</v>
      </c>
      <c r="E1525" s="81" t="s">
        <v>1829</v>
      </c>
      <c r="F1525" s="82" t="str">
        <f aca="false">IF(E1525="","",IF(LEFT(E1525,2)="DJ","DJ","JN"))</f>
        <v>JN</v>
      </c>
      <c r="G1525" s="81"/>
      <c r="H1525" s="81"/>
      <c r="I1525" s="81"/>
      <c r="J1525" s="81"/>
      <c r="K1525" s="81"/>
      <c r="L1525" s="81"/>
      <c r="M1525" s="81"/>
      <c r="N1525" s="81"/>
      <c r="O1525" s="81"/>
      <c r="P1525" s="81"/>
      <c r="Q1525" s="81"/>
      <c r="R1525" s="81"/>
      <c r="S1525" s="81"/>
      <c r="T1525" s="81"/>
      <c r="U1525" s="83"/>
      <c r="V1525" s="83"/>
      <c r="W1525" s="81"/>
      <c r="X1525" s="81"/>
      <c r="Y1525" s="83"/>
      <c r="Z1525" s="81"/>
      <c r="AA1525" s="81"/>
      <c r="AB1525" s="81"/>
      <c r="AC1525" s="81"/>
      <c r="AD1525" s="81"/>
      <c r="AE1525" s="83"/>
      <c r="AF1525" s="81"/>
      <c r="AG1525" s="81"/>
      <c r="AH1525" s="81"/>
      <c r="AI1525" s="81"/>
      <c r="AJ1525" s="83"/>
      <c r="AK1525" s="81"/>
      <c r="AL1525" s="81"/>
      <c r="AM1525" s="83"/>
      <c r="AN1525" s="80"/>
      <c r="AO1525" s="82" t="n">
        <f aca="false">IF(E1525="","",(AA1525&lt;&gt;"")+(AG1525&lt;&gt;"")+(AL1525&lt;&gt;""))</f>
        <v>0</v>
      </c>
      <c r="AP1525" s="82" t="str">
        <f aca="false">IF(AL1525&lt;&gt;"",AL1525,IF(AG1525&lt;&gt;"",AG1525,IF(AA1525&lt;&gt;"",AA1525,"")))</f>
        <v/>
      </c>
      <c r="AQ1525" s="84" t="str">
        <f aca="false">IF(E1525="","",IF(U1525="","À SOUDER",IF(X1525="","VT EN ATTENTE",IF(X1525="R","VT REJETÉ – À REPRENDRE",IF(AP1525="","À RADIOGRAPHIER",IF(AP1525="A","ACCEPTÉ",IF(AP1525="NX","NX – RT À REFAIRE",IF(IF(AO1525=1,AD1525,IF(AO1525=2,AI1525,""))="A","RÉPARÉ – À RADIOGRAPHIER",IF(IF(AO1525=1,AD1525,IF(AO1525=2,AI1525,""))="R","VT REJETÉ – À REPRENDRE",IF(OR(AP1525="CO",AP1525="NT"),"COUPE – À RESOUDER","À RÉPARER"))))))))))</f>
        <v>À SOUDER</v>
      </c>
      <c r="AR1525" s="82" t="str">
        <f aca="false">IF(AND(ISNUMBER(U1525),OR(AQ1525="À RADIOGRAPHIER",AQ1525="RÉPARÉ – À RADIOGRAPHIER",AQ1525="NX – RT À REFAIRE",AQ1525="À RÉPARER",AQ1525="COUPE – À RESOUDER",AQ1525="VT REJETÉ – À REPRENDRE")),MAX(0,'PROGRAMME RT'!$C$4-U1525),"")</f>
        <v/>
      </c>
      <c r="AS1525" s="82" t="n">
        <f aca="false">IF(AND(OR(AQ1525="À RADIOGRAPHIER",AQ1525="RÉPARÉ – À RADIOGRAPHIER",AQ1525="NX – RT À REFAIRE"),OR('PROGRAMME RT'!$D$5="TOUTES",B1525='PROGRAMME RT'!$D$5)),1,0)</f>
        <v>0</v>
      </c>
      <c r="AT1525" s="82" t="str">
        <f aca="false">IF(AS1525=1,SUM(AS$7:AS1525),"")</f>
        <v/>
      </c>
      <c r="AU1525" s="82" t="n">
        <f aca="false">IF(AND(OR(AA1525="R",AA1525="NX",AA1525="NT",AA1525="CO"),OR('JOINTS DE RÉPARATION'!$D$5="TOUTES",B1525='JOINTS DE RÉPARATION'!$D$5),OR('JOINTS DE RÉPARATION'!$L$4="TOUS",AQ1525&lt;&gt;"ACCEPTÉ")),1,0)</f>
        <v>0</v>
      </c>
      <c r="AV1525" s="82" t="str">
        <f aca="false">IF(AU1525=1,SUM(AU$7:AU1525),"")</f>
        <v/>
      </c>
      <c r="AW1525" s="82" t="str">
        <f aca="false">IF(E1525="","",B1525&amp;"|"&amp;E1525)</f>
        <v>MFD-ISW → MFD-CPF|JN°1262</v>
      </c>
    </row>
    <row r="1526" customFormat="false" ht="74.6" hidden="false" customHeight="false" outlineLevel="0" collapsed="false">
      <c r="A1526" s="79" t="n">
        <f aca="false">IF(E1526="","",ROW()-6)</f>
        <v>1520</v>
      </c>
      <c r="B1526" s="80" t="s">
        <v>110</v>
      </c>
      <c r="C1526" s="81" t="s">
        <v>926</v>
      </c>
      <c r="D1526" s="81" t="n">
        <v>13</v>
      </c>
      <c r="E1526" s="81" t="s">
        <v>1830</v>
      </c>
      <c r="F1526" s="82" t="str">
        <f aca="false">IF(E1526="","",IF(LEFT(E1526,2)="DJ","DJ","JN"))</f>
        <v>JN</v>
      </c>
      <c r="G1526" s="81"/>
      <c r="H1526" s="81"/>
      <c r="I1526" s="81"/>
      <c r="J1526" s="81"/>
      <c r="K1526" s="81"/>
      <c r="L1526" s="81"/>
      <c r="M1526" s="81"/>
      <c r="N1526" s="81"/>
      <c r="O1526" s="81"/>
      <c r="P1526" s="81"/>
      <c r="Q1526" s="81"/>
      <c r="R1526" s="81"/>
      <c r="S1526" s="81"/>
      <c r="T1526" s="81"/>
      <c r="U1526" s="83"/>
      <c r="V1526" s="83"/>
      <c r="W1526" s="81"/>
      <c r="X1526" s="81"/>
      <c r="Y1526" s="83"/>
      <c r="Z1526" s="81"/>
      <c r="AA1526" s="81"/>
      <c r="AB1526" s="81"/>
      <c r="AC1526" s="81"/>
      <c r="AD1526" s="81"/>
      <c r="AE1526" s="83"/>
      <c r="AF1526" s="81"/>
      <c r="AG1526" s="81"/>
      <c r="AH1526" s="81"/>
      <c r="AI1526" s="81"/>
      <c r="AJ1526" s="83"/>
      <c r="AK1526" s="81"/>
      <c r="AL1526" s="81"/>
      <c r="AM1526" s="83"/>
      <c r="AN1526" s="80"/>
      <c r="AO1526" s="82" t="n">
        <f aca="false">IF(E1526="","",(AA1526&lt;&gt;"")+(AG1526&lt;&gt;"")+(AL1526&lt;&gt;""))</f>
        <v>0</v>
      </c>
      <c r="AP1526" s="82" t="str">
        <f aca="false">IF(AL1526&lt;&gt;"",AL1526,IF(AG1526&lt;&gt;"",AG1526,IF(AA1526&lt;&gt;"",AA1526,"")))</f>
        <v/>
      </c>
      <c r="AQ1526" s="84" t="str">
        <f aca="false">IF(E1526="","",IF(U1526="","À SOUDER",IF(X1526="","VT EN ATTENTE",IF(X1526="R","VT REJETÉ – À REPRENDRE",IF(AP1526="","À RADIOGRAPHIER",IF(AP1526="A","ACCEPTÉ",IF(AP1526="NX","NX – RT À REFAIRE",IF(IF(AO1526=1,AD1526,IF(AO1526=2,AI1526,""))="A","RÉPARÉ – À RADIOGRAPHIER",IF(IF(AO1526=1,AD1526,IF(AO1526=2,AI1526,""))="R","VT REJETÉ – À REPRENDRE",IF(OR(AP1526="CO",AP1526="NT"),"COUPE – À RESOUDER","À RÉPARER"))))))))))</f>
        <v>À SOUDER</v>
      </c>
      <c r="AR1526" s="82" t="str">
        <f aca="false">IF(AND(ISNUMBER(U1526),OR(AQ1526="À RADIOGRAPHIER",AQ1526="RÉPARÉ – À RADIOGRAPHIER",AQ1526="NX – RT À REFAIRE",AQ1526="À RÉPARER",AQ1526="COUPE – À RESOUDER",AQ1526="VT REJETÉ – À REPRENDRE")),MAX(0,'PROGRAMME RT'!$C$4-U1526),"")</f>
        <v/>
      </c>
      <c r="AS1526" s="82" t="n">
        <f aca="false">IF(AND(OR(AQ1526="À RADIOGRAPHIER",AQ1526="RÉPARÉ – À RADIOGRAPHIER",AQ1526="NX – RT À REFAIRE"),OR('PROGRAMME RT'!$D$5="TOUTES",B1526='PROGRAMME RT'!$D$5)),1,0)</f>
        <v>0</v>
      </c>
      <c r="AT1526" s="82" t="str">
        <f aca="false">IF(AS1526=1,SUM(AS$7:AS1526),"")</f>
        <v/>
      </c>
      <c r="AU1526" s="82" t="n">
        <f aca="false">IF(AND(OR(AA1526="R",AA1526="NX",AA1526="NT",AA1526="CO"),OR('JOINTS DE RÉPARATION'!$D$5="TOUTES",B1526='JOINTS DE RÉPARATION'!$D$5),OR('JOINTS DE RÉPARATION'!$L$4="TOUS",AQ1526&lt;&gt;"ACCEPTÉ")),1,0)</f>
        <v>0</v>
      </c>
      <c r="AV1526" s="82" t="str">
        <f aca="false">IF(AU1526=1,SUM(AU$7:AU1526),"")</f>
        <v/>
      </c>
      <c r="AW1526" s="82" t="str">
        <f aca="false">IF(E1526="","",B1526&amp;"|"&amp;E1526)</f>
        <v>MFD-ISW → MFD-CPF|JN°1263</v>
      </c>
    </row>
    <row r="1527" customFormat="false" ht="74.6" hidden="false" customHeight="false" outlineLevel="0" collapsed="false">
      <c r="A1527" s="79" t="n">
        <f aca="false">IF(E1527="","",ROW()-6)</f>
        <v>1521</v>
      </c>
      <c r="B1527" s="80" t="s">
        <v>110</v>
      </c>
      <c r="C1527" s="81" t="s">
        <v>926</v>
      </c>
      <c r="D1527" s="81" t="n">
        <v>13</v>
      </c>
      <c r="E1527" s="81" t="s">
        <v>1831</v>
      </c>
      <c r="F1527" s="82" t="str">
        <f aca="false">IF(E1527="","",IF(LEFT(E1527,2)="DJ","DJ","JN"))</f>
        <v>JN</v>
      </c>
      <c r="G1527" s="81"/>
      <c r="H1527" s="81"/>
      <c r="I1527" s="81"/>
      <c r="J1527" s="81"/>
      <c r="K1527" s="81"/>
      <c r="L1527" s="81"/>
      <c r="M1527" s="81"/>
      <c r="N1527" s="81"/>
      <c r="O1527" s="81"/>
      <c r="P1527" s="81"/>
      <c r="Q1527" s="81"/>
      <c r="R1527" s="81"/>
      <c r="S1527" s="81"/>
      <c r="T1527" s="81"/>
      <c r="U1527" s="83"/>
      <c r="V1527" s="83"/>
      <c r="W1527" s="81"/>
      <c r="X1527" s="81"/>
      <c r="Y1527" s="83"/>
      <c r="Z1527" s="81"/>
      <c r="AA1527" s="81"/>
      <c r="AB1527" s="81"/>
      <c r="AC1527" s="81"/>
      <c r="AD1527" s="81"/>
      <c r="AE1527" s="83"/>
      <c r="AF1527" s="81"/>
      <c r="AG1527" s="81"/>
      <c r="AH1527" s="81"/>
      <c r="AI1527" s="81"/>
      <c r="AJ1527" s="83"/>
      <c r="AK1527" s="81"/>
      <c r="AL1527" s="81"/>
      <c r="AM1527" s="83"/>
      <c r="AN1527" s="80"/>
      <c r="AO1527" s="82" t="n">
        <f aca="false">IF(E1527="","",(AA1527&lt;&gt;"")+(AG1527&lt;&gt;"")+(AL1527&lt;&gt;""))</f>
        <v>0</v>
      </c>
      <c r="AP1527" s="82" t="str">
        <f aca="false">IF(AL1527&lt;&gt;"",AL1527,IF(AG1527&lt;&gt;"",AG1527,IF(AA1527&lt;&gt;"",AA1527,"")))</f>
        <v/>
      </c>
      <c r="AQ1527" s="84" t="str">
        <f aca="false">IF(E1527="","",IF(U1527="","À SOUDER",IF(X1527="","VT EN ATTENTE",IF(X1527="R","VT REJETÉ – À REPRENDRE",IF(AP1527="","À RADIOGRAPHIER",IF(AP1527="A","ACCEPTÉ",IF(AP1527="NX","NX – RT À REFAIRE",IF(IF(AO1527=1,AD1527,IF(AO1527=2,AI1527,""))="A","RÉPARÉ – À RADIOGRAPHIER",IF(IF(AO1527=1,AD1527,IF(AO1527=2,AI1527,""))="R","VT REJETÉ – À REPRENDRE",IF(OR(AP1527="CO",AP1527="NT"),"COUPE – À RESOUDER","À RÉPARER"))))))))))</f>
        <v>À SOUDER</v>
      </c>
      <c r="AR1527" s="82" t="str">
        <f aca="false">IF(AND(ISNUMBER(U1527),OR(AQ1527="À RADIOGRAPHIER",AQ1527="RÉPARÉ – À RADIOGRAPHIER",AQ1527="NX – RT À REFAIRE",AQ1527="À RÉPARER",AQ1527="COUPE – À RESOUDER",AQ1527="VT REJETÉ – À REPRENDRE")),MAX(0,'PROGRAMME RT'!$C$4-U1527),"")</f>
        <v/>
      </c>
      <c r="AS1527" s="82" t="n">
        <f aca="false">IF(AND(OR(AQ1527="À RADIOGRAPHIER",AQ1527="RÉPARÉ – À RADIOGRAPHIER",AQ1527="NX – RT À REFAIRE"),OR('PROGRAMME RT'!$D$5="TOUTES",B1527='PROGRAMME RT'!$D$5)),1,0)</f>
        <v>0</v>
      </c>
      <c r="AT1527" s="82" t="str">
        <f aca="false">IF(AS1527=1,SUM(AS$7:AS1527),"")</f>
        <v/>
      </c>
      <c r="AU1527" s="82" t="n">
        <f aca="false">IF(AND(OR(AA1527="R",AA1527="NX",AA1527="NT",AA1527="CO"),OR('JOINTS DE RÉPARATION'!$D$5="TOUTES",B1527='JOINTS DE RÉPARATION'!$D$5),OR('JOINTS DE RÉPARATION'!$L$4="TOUS",AQ1527&lt;&gt;"ACCEPTÉ")),1,0)</f>
        <v>0</v>
      </c>
      <c r="AV1527" s="82" t="str">
        <f aca="false">IF(AU1527=1,SUM(AU$7:AU1527),"")</f>
        <v/>
      </c>
      <c r="AW1527" s="82" t="str">
        <f aca="false">IF(E1527="","",B1527&amp;"|"&amp;E1527)</f>
        <v>MFD-ISW → MFD-CPF|JN°1264</v>
      </c>
    </row>
    <row r="1528" customFormat="false" ht="74.6" hidden="false" customHeight="false" outlineLevel="0" collapsed="false">
      <c r="A1528" s="79" t="n">
        <f aca="false">IF(E1528="","",ROW()-6)</f>
        <v>1522</v>
      </c>
      <c r="B1528" s="80" t="s">
        <v>110</v>
      </c>
      <c r="C1528" s="81" t="s">
        <v>926</v>
      </c>
      <c r="D1528" s="81" t="n">
        <v>13</v>
      </c>
      <c r="E1528" s="81" t="s">
        <v>1832</v>
      </c>
      <c r="F1528" s="82" t="str">
        <f aca="false">IF(E1528="","",IF(LEFT(E1528,2)="DJ","DJ","JN"))</f>
        <v>JN</v>
      </c>
      <c r="G1528" s="81"/>
      <c r="H1528" s="81"/>
      <c r="I1528" s="81"/>
      <c r="J1528" s="81"/>
      <c r="K1528" s="81"/>
      <c r="L1528" s="81"/>
      <c r="M1528" s="81"/>
      <c r="N1528" s="81"/>
      <c r="O1528" s="81"/>
      <c r="P1528" s="81"/>
      <c r="Q1528" s="81"/>
      <c r="R1528" s="81"/>
      <c r="S1528" s="81"/>
      <c r="T1528" s="81"/>
      <c r="U1528" s="83"/>
      <c r="V1528" s="83"/>
      <c r="W1528" s="81"/>
      <c r="X1528" s="81"/>
      <c r="Y1528" s="83"/>
      <c r="Z1528" s="81"/>
      <c r="AA1528" s="81"/>
      <c r="AB1528" s="81"/>
      <c r="AC1528" s="81"/>
      <c r="AD1528" s="81"/>
      <c r="AE1528" s="83"/>
      <c r="AF1528" s="81"/>
      <c r="AG1528" s="81"/>
      <c r="AH1528" s="81"/>
      <c r="AI1528" s="81"/>
      <c r="AJ1528" s="83"/>
      <c r="AK1528" s="81"/>
      <c r="AL1528" s="81"/>
      <c r="AM1528" s="83"/>
      <c r="AN1528" s="80"/>
      <c r="AO1528" s="82" t="n">
        <f aca="false">IF(E1528="","",(AA1528&lt;&gt;"")+(AG1528&lt;&gt;"")+(AL1528&lt;&gt;""))</f>
        <v>0</v>
      </c>
      <c r="AP1528" s="82" t="str">
        <f aca="false">IF(AL1528&lt;&gt;"",AL1528,IF(AG1528&lt;&gt;"",AG1528,IF(AA1528&lt;&gt;"",AA1528,"")))</f>
        <v/>
      </c>
      <c r="AQ1528" s="84" t="str">
        <f aca="false">IF(E1528="","",IF(U1528="","À SOUDER",IF(X1528="","VT EN ATTENTE",IF(X1528="R","VT REJETÉ – À REPRENDRE",IF(AP1528="","À RADIOGRAPHIER",IF(AP1528="A","ACCEPTÉ",IF(AP1528="NX","NX – RT À REFAIRE",IF(IF(AO1528=1,AD1528,IF(AO1528=2,AI1528,""))="A","RÉPARÉ – À RADIOGRAPHIER",IF(IF(AO1528=1,AD1528,IF(AO1528=2,AI1528,""))="R","VT REJETÉ – À REPRENDRE",IF(OR(AP1528="CO",AP1528="NT"),"COUPE – À RESOUDER","À RÉPARER"))))))))))</f>
        <v>À SOUDER</v>
      </c>
      <c r="AR1528" s="82" t="str">
        <f aca="false">IF(AND(ISNUMBER(U1528),OR(AQ1528="À RADIOGRAPHIER",AQ1528="RÉPARÉ – À RADIOGRAPHIER",AQ1528="NX – RT À REFAIRE",AQ1528="À RÉPARER",AQ1528="COUPE – À RESOUDER",AQ1528="VT REJETÉ – À REPRENDRE")),MAX(0,'PROGRAMME RT'!$C$4-U1528),"")</f>
        <v/>
      </c>
      <c r="AS1528" s="82" t="n">
        <f aca="false">IF(AND(OR(AQ1528="À RADIOGRAPHIER",AQ1528="RÉPARÉ – À RADIOGRAPHIER",AQ1528="NX – RT À REFAIRE"),OR('PROGRAMME RT'!$D$5="TOUTES",B1528='PROGRAMME RT'!$D$5)),1,0)</f>
        <v>0</v>
      </c>
      <c r="AT1528" s="82" t="str">
        <f aca="false">IF(AS1528=1,SUM(AS$7:AS1528),"")</f>
        <v/>
      </c>
      <c r="AU1528" s="82" t="n">
        <f aca="false">IF(AND(OR(AA1528="R",AA1528="NX",AA1528="NT",AA1528="CO"),OR('JOINTS DE RÉPARATION'!$D$5="TOUTES",B1528='JOINTS DE RÉPARATION'!$D$5),OR('JOINTS DE RÉPARATION'!$L$4="TOUS",AQ1528&lt;&gt;"ACCEPTÉ")),1,0)</f>
        <v>0</v>
      </c>
      <c r="AV1528" s="82" t="str">
        <f aca="false">IF(AU1528=1,SUM(AU$7:AU1528),"")</f>
        <v/>
      </c>
      <c r="AW1528" s="82" t="str">
        <f aca="false">IF(E1528="","",B1528&amp;"|"&amp;E1528)</f>
        <v>MFD-ISW → MFD-CPF|JN°1265</v>
      </c>
    </row>
    <row r="1529" customFormat="false" ht="74.6" hidden="false" customHeight="false" outlineLevel="0" collapsed="false">
      <c r="A1529" s="79" t="n">
        <f aca="false">IF(E1529="","",ROW()-6)</f>
        <v>1523</v>
      </c>
      <c r="B1529" s="80" t="s">
        <v>110</v>
      </c>
      <c r="C1529" s="81" t="s">
        <v>926</v>
      </c>
      <c r="D1529" s="81" t="n">
        <v>13</v>
      </c>
      <c r="E1529" s="81" t="s">
        <v>1833</v>
      </c>
      <c r="F1529" s="82" t="str">
        <f aca="false">IF(E1529="","",IF(LEFT(E1529,2)="DJ","DJ","JN"))</f>
        <v>JN</v>
      </c>
      <c r="G1529" s="81"/>
      <c r="H1529" s="81"/>
      <c r="I1529" s="81"/>
      <c r="J1529" s="81"/>
      <c r="K1529" s="81"/>
      <c r="L1529" s="81"/>
      <c r="M1529" s="81"/>
      <c r="N1529" s="81"/>
      <c r="O1529" s="81"/>
      <c r="P1529" s="81"/>
      <c r="Q1529" s="81"/>
      <c r="R1529" s="81"/>
      <c r="S1529" s="81"/>
      <c r="T1529" s="81"/>
      <c r="U1529" s="83"/>
      <c r="V1529" s="83"/>
      <c r="W1529" s="81"/>
      <c r="X1529" s="81"/>
      <c r="Y1529" s="83"/>
      <c r="Z1529" s="81"/>
      <c r="AA1529" s="81"/>
      <c r="AB1529" s="81"/>
      <c r="AC1529" s="81"/>
      <c r="AD1529" s="81"/>
      <c r="AE1529" s="83"/>
      <c r="AF1529" s="81"/>
      <c r="AG1529" s="81"/>
      <c r="AH1529" s="81"/>
      <c r="AI1529" s="81"/>
      <c r="AJ1529" s="83"/>
      <c r="AK1529" s="81"/>
      <c r="AL1529" s="81"/>
      <c r="AM1529" s="83"/>
      <c r="AN1529" s="80"/>
      <c r="AO1529" s="82" t="n">
        <f aca="false">IF(E1529="","",(AA1529&lt;&gt;"")+(AG1529&lt;&gt;"")+(AL1529&lt;&gt;""))</f>
        <v>0</v>
      </c>
      <c r="AP1529" s="82" t="str">
        <f aca="false">IF(AL1529&lt;&gt;"",AL1529,IF(AG1529&lt;&gt;"",AG1529,IF(AA1529&lt;&gt;"",AA1529,"")))</f>
        <v/>
      </c>
      <c r="AQ1529" s="84" t="str">
        <f aca="false">IF(E1529="","",IF(U1529="","À SOUDER",IF(X1529="","VT EN ATTENTE",IF(X1529="R","VT REJETÉ – À REPRENDRE",IF(AP1529="","À RADIOGRAPHIER",IF(AP1529="A","ACCEPTÉ",IF(AP1529="NX","NX – RT À REFAIRE",IF(IF(AO1529=1,AD1529,IF(AO1529=2,AI1529,""))="A","RÉPARÉ – À RADIOGRAPHIER",IF(IF(AO1529=1,AD1529,IF(AO1529=2,AI1529,""))="R","VT REJETÉ – À REPRENDRE",IF(OR(AP1529="CO",AP1529="NT"),"COUPE – À RESOUDER","À RÉPARER"))))))))))</f>
        <v>À SOUDER</v>
      </c>
      <c r="AR1529" s="82" t="str">
        <f aca="false">IF(AND(ISNUMBER(U1529),OR(AQ1529="À RADIOGRAPHIER",AQ1529="RÉPARÉ – À RADIOGRAPHIER",AQ1529="NX – RT À REFAIRE",AQ1529="À RÉPARER",AQ1529="COUPE – À RESOUDER",AQ1529="VT REJETÉ – À REPRENDRE")),MAX(0,'PROGRAMME RT'!$C$4-U1529),"")</f>
        <v/>
      </c>
      <c r="AS1529" s="82" t="n">
        <f aca="false">IF(AND(OR(AQ1529="À RADIOGRAPHIER",AQ1529="RÉPARÉ – À RADIOGRAPHIER",AQ1529="NX – RT À REFAIRE"),OR('PROGRAMME RT'!$D$5="TOUTES",B1529='PROGRAMME RT'!$D$5)),1,0)</f>
        <v>0</v>
      </c>
      <c r="AT1529" s="82" t="str">
        <f aca="false">IF(AS1529=1,SUM(AS$7:AS1529),"")</f>
        <v/>
      </c>
      <c r="AU1529" s="82" t="n">
        <f aca="false">IF(AND(OR(AA1529="R",AA1529="NX",AA1529="NT",AA1529="CO"),OR('JOINTS DE RÉPARATION'!$D$5="TOUTES",B1529='JOINTS DE RÉPARATION'!$D$5),OR('JOINTS DE RÉPARATION'!$L$4="TOUS",AQ1529&lt;&gt;"ACCEPTÉ")),1,0)</f>
        <v>0</v>
      </c>
      <c r="AV1529" s="82" t="str">
        <f aca="false">IF(AU1529=1,SUM(AU$7:AU1529),"")</f>
        <v/>
      </c>
      <c r="AW1529" s="82" t="str">
        <f aca="false">IF(E1529="","",B1529&amp;"|"&amp;E1529)</f>
        <v>MFD-ISW → MFD-CPF|JN°1266</v>
      </c>
    </row>
    <row r="1530" customFormat="false" ht="74.6" hidden="false" customHeight="false" outlineLevel="0" collapsed="false">
      <c r="A1530" s="79" t="n">
        <f aca="false">IF(E1530="","",ROW()-6)</f>
        <v>1524</v>
      </c>
      <c r="B1530" s="80" t="s">
        <v>110</v>
      </c>
      <c r="C1530" s="81" t="s">
        <v>926</v>
      </c>
      <c r="D1530" s="81" t="n">
        <v>13</v>
      </c>
      <c r="E1530" s="81" t="s">
        <v>1834</v>
      </c>
      <c r="F1530" s="82" t="str">
        <f aca="false">IF(E1530="","",IF(LEFT(E1530,2)="DJ","DJ","JN"))</f>
        <v>JN</v>
      </c>
      <c r="G1530" s="81"/>
      <c r="H1530" s="81"/>
      <c r="I1530" s="81"/>
      <c r="J1530" s="81"/>
      <c r="K1530" s="81"/>
      <c r="L1530" s="81"/>
      <c r="M1530" s="81"/>
      <c r="N1530" s="81"/>
      <c r="O1530" s="81"/>
      <c r="P1530" s="81"/>
      <c r="Q1530" s="81"/>
      <c r="R1530" s="81"/>
      <c r="S1530" s="81"/>
      <c r="T1530" s="81"/>
      <c r="U1530" s="83"/>
      <c r="V1530" s="83"/>
      <c r="W1530" s="81"/>
      <c r="X1530" s="81"/>
      <c r="Y1530" s="83"/>
      <c r="Z1530" s="81"/>
      <c r="AA1530" s="81"/>
      <c r="AB1530" s="81"/>
      <c r="AC1530" s="81"/>
      <c r="AD1530" s="81"/>
      <c r="AE1530" s="83"/>
      <c r="AF1530" s="81"/>
      <c r="AG1530" s="81"/>
      <c r="AH1530" s="81"/>
      <c r="AI1530" s="81"/>
      <c r="AJ1530" s="83"/>
      <c r="AK1530" s="81"/>
      <c r="AL1530" s="81"/>
      <c r="AM1530" s="83"/>
      <c r="AN1530" s="80"/>
      <c r="AO1530" s="82" t="n">
        <f aca="false">IF(E1530="","",(AA1530&lt;&gt;"")+(AG1530&lt;&gt;"")+(AL1530&lt;&gt;""))</f>
        <v>0</v>
      </c>
      <c r="AP1530" s="82" t="str">
        <f aca="false">IF(AL1530&lt;&gt;"",AL1530,IF(AG1530&lt;&gt;"",AG1530,IF(AA1530&lt;&gt;"",AA1530,"")))</f>
        <v/>
      </c>
      <c r="AQ1530" s="84" t="str">
        <f aca="false">IF(E1530="","",IF(U1530="","À SOUDER",IF(X1530="","VT EN ATTENTE",IF(X1530="R","VT REJETÉ – À REPRENDRE",IF(AP1530="","À RADIOGRAPHIER",IF(AP1530="A","ACCEPTÉ",IF(AP1530="NX","NX – RT À REFAIRE",IF(IF(AO1530=1,AD1530,IF(AO1530=2,AI1530,""))="A","RÉPARÉ – À RADIOGRAPHIER",IF(IF(AO1530=1,AD1530,IF(AO1530=2,AI1530,""))="R","VT REJETÉ – À REPRENDRE",IF(OR(AP1530="CO",AP1530="NT"),"COUPE – À RESOUDER","À RÉPARER"))))))))))</f>
        <v>À SOUDER</v>
      </c>
      <c r="AR1530" s="82" t="str">
        <f aca="false">IF(AND(ISNUMBER(U1530),OR(AQ1530="À RADIOGRAPHIER",AQ1530="RÉPARÉ – À RADIOGRAPHIER",AQ1530="NX – RT À REFAIRE",AQ1530="À RÉPARER",AQ1530="COUPE – À RESOUDER",AQ1530="VT REJETÉ – À REPRENDRE")),MAX(0,'PROGRAMME RT'!$C$4-U1530),"")</f>
        <v/>
      </c>
      <c r="AS1530" s="82" t="n">
        <f aca="false">IF(AND(OR(AQ1530="À RADIOGRAPHIER",AQ1530="RÉPARÉ – À RADIOGRAPHIER",AQ1530="NX – RT À REFAIRE"),OR('PROGRAMME RT'!$D$5="TOUTES",B1530='PROGRAMME RT'!$D$5)),1,0)</f>
        <v>0</v>
      </c>
      <c r="AT1530" s="82" t="str">
        <f aca="false">IF(AS1530=1,SUM(AS$7:AS1530),"")</f>
        <v/>
      </c>
      <c r="AU1530" s="82" t="n">
        <f aca="false">IF(AND(OR(AA1530="R",AA1530="NX",AA1530="NT",AA1530="CO"),OR('JOINTS DE RÉPARATION'!$D$5="TOUTES",B1530='JOINTS DE RÉPARATION'!$D$5),OR('JOINTS DE RÉPARATION'!$L$4="TOUS",AQ1530&lt;&gt;"ACCEPTÉ")),1,0)</f>
        <v>0</v>
      </c>
      <c r="AV1530" s="82" t="str">
        <f aca="false">IF(AU1530=1,SUM(AU$7:AU1530),"")</f>
        <v/>
      </c>
      <c r="AW1530" s="82" t="str">
        <f aca="false">IF(E1530="","",B1530&amp;"|"&amp;E1530)</f>
        <v>MFD-ISW → MFD-CPF|JN°1267</v>
      </c>
    </row>
    <row r="1531" customFormat="false" ht="74.6" hidden="false" customHeight="false" outlineLevel="0" collapsed="false">
      <c r="A1531" s="79" t="n">
        <f aca="false">IF(E1531="","",ROW()-6)</f>
        <v>1525</v>
      </c>
      <c r="B1531" s="80" t="s">
        <v>110</v>
      </c>
      <c r="C1531" s="81" t="s">
        <v>926</v>
      </c>
      <c r="D1531" s="81" t="n">
        <v>13</v>
      </c>
      <c r="E1531" s="81" t="s">
        <v>1835</v>
      </c>
      <c r="F1531" s="82" t="str">
        <f aca="false">IF(E1531="","",IF(LEFT(E1531,2)="DJ","DJ","JN"))</f>
        <v>JN</v>
      </c>
      <c r="G1531" s="81"/>
      <c r="H1531" s="81"/>
      <c r="I1531" s="81"/>
      <c r="J1531" s="81"/>
      <c r="K1531" s="81"/>
      <c r="L1531" s="81"/>
      <c r="M1531" s="81"/>
      <c r="N1531" s="81"/>
      <c r="O1531" s="81"/>
      <c r="P1531" s="81"/>
      <c r="Q1531" s="81"/>
      <c r="R1531" s="81"/>
      <c r="S1531" s="81"/>
      <c r="T1531" s="81"/>
      <c r="U1531" s="83"/>
      <c r="V1531" s="83"/>
      <c r="W1531" s="81"/>
      <c r="X1531" s="81"/>
      <c r="Y1531" s="83"/>
      <c r="Z1531" s="81"/>
      <c r="AA1531" s="81"/>
      <c r="AB1531" s="81"/>
      <c r="AC1531" s="81"/>
      <c r="AD1531" s="81"/>
      <c r="AE1531" s="83"/>
      <c r="AF1531" s="81"/>
      <c r="AG1531" s="81"/>
      <c r="AH1531" s="81"/>
      <c r="AI1531" s="81"/>
      <c r="AJ1531" s="83"/>
      <c r="AK1531" s="81"/>
      <c r="AL1531" s="81"/>
      <c r="AM1531" s="83"/>
      <c r="AN1531" s="80"/>
      <c r="AO1531" s="82" t="n">
        <f aca="false">IF(E1531="","",(AA1531&lt;&gt;"")+(AG1531&lt;&gt;"")+(AL1531&lt;&gt;""))</f>
        <v>0</v>
      </c>
      <c r="AP1531" s="82" t="str">
        <f aca="false">IF(AL1531&lt;&gt;"",AL1531,IF(AG1531&lt;&gt;"",AG1531,IF(AA1531&lt;&gt;"",AA1531,"")))</f>
        <v/>
      </c>
      <c r="AQ1531" s="84" t="str">
        <f aca="false">IF(E1531="","",IF(U1531="","À SOUDER",IF(X1531="","VT EN ATTENTE",IF(X1531="R","VT REJETÉ – À REPRENDRE",IF(AP1531="","À RADIOGRAPHIER",IF(AP1531="A","ACCEPTÉ",IF(AP1531="NX","NX – RT À REFAIRE",IF(IF(AO1531=1,AD1531,IF(AO1531=2,AI1531,""))="A","RÉPARÉ – À RADIOGRAPHIER",IF(IF(AO1531=1,AD1531,IF(AO1531=2,AI1531,""))="R","VT REJETÉ – À REPRENDRE",IF(OR(AP1531="CO",AP1531="NT"),"COUPE – À RESOUDER","À RÉPARER"))))))))))</f>
        <v>À SOUDER</v>
      </c>
      <c r="AR1531" s="82" t="str">
        <f aca="false">IF(AND(ISNUMBER(U1531),OR(AQ1531="À RADIOGRAPHIER",AQ1531="RÉPARÉ – À RADIOGRAPHIER",AQ1531="NX – RT À REFAIRE",AQ1531="À RÉPARER",AQ1531="COUPE – À RESOUDER",AQ1531="VT REJETÉ – À REPRENDRE")),MAX(0,'PROGRAMME RT'!$C$4-U1531),"")</f>
        <v/>
      </c>
      <c r="AS1531" s="82" t="n">
        <f aca="false">IF(AND(OR(AQ1531="À RADIOGRAPHIER",AQ1531="RÉPARÉ – À RADIOGRAPHIER",AQ1531="NX – RT À REFAIRE"),OR('PROGRAMME RT'!$D$5="TOUTES",B1531='PROGRAMME RT'!$D$5)),1,0)</f>
        <v>0</v>
      </c>
      <c r="AT1531" s="82" t="str">
        <f aca="false">IF(AS1531=1,SUM(AS$7:AS1531),"")</f>
        <v/>
      </c>
      <c r="AU1531" s="82" t="n">
        <f aca="false">IF(AND(OR(AA1531="R",AA1531="NX",AA1531="NT",AA1531="CO"),OR('JOINTS DE RÉPARATION'!$D$5="TOUTES",B1531='JOINTS DE RÉPARATION'!$D$5),OR('JOINTS DE RÉPARATION'!$L$4="TOUS",AQ1531&lt;&gt;"ACCEPTÉ")),1,0)</f>
        <v>0</v>
      </c>
      <c r="AV1531" s="82" t="str">
        <f aca="false">IF(AU1531=1,SUM(AU$7:AU1531),"")</f>
        <v/>
      </c>
      <c r="AW1531" s="82" t="str">
        <f aca="false">IF(E1531="","",B1531&amp;"|"&amp;E1531)</f>
        <v>MFD-ISW → MFD-CPF|JN°1268</v>
      </c>
    </row>
    <row r="1532" customFormat="false" ht="74.6" hidden="false" customHeight="false" outlineLevel="0" collapsed="false">
      <c r="A1532" s="79" t="n">
        <f aca="false">IF(E1532="","",ROW()-6)</f>
        <v>1526</v>
      </c>
      <c r="B1532" s="80" t="s">
        <v>110</v>
      </c>
      <c r="C1532" s="81" t="s">
        <v>926</v>
      </c>
      <c r="D1532" s="81" t="n">
        <v>13</v>
      </c>
      <c r="E1532" s="81" t="s">
        <v>1836</v>
      </c>
      <c r="F1532" s="82" t="str">
        <f aca="false">IF(E1532="","",IF(LEFT(E1532,2)="DJ","DJ","JN"))</f>
        <v>JN</v>
      </c>
      <c r="G1532" s="81"/>
      <c r="H1532" s="81"/>
      <c r="I1532" s="81"/>
      <c r="J1532" s="81"/>
      <c r="K1532" s="81"/>
      <c r="L1532" s="81"/>
      <c r="M1532" s="81"/>
      <c r="N1532" s="81"/>
      <c r="O1532" s="81"/>
      <c r="P1532" s="81"/>
      <c r="Q1532" s="81"/>
      <c r="R1532" s="81"/>
      <c r="S1532" s="81"/>
      <c r="T1532" s="81"/>
      <c r="U1532" s="83"/>
      <c r="V1532" s="83"/>
      <c r="W1532" s="81"/>
      <c r="X1532" s="81"/>
      <c r="Y1532" s="83"/>
      <c r="Z1532" s="81"/>
      <c r="AA1532" s="81"/>
      <c r="AB1532" s="81"/>
      <c r="AC1532" s="81"/>
      <c r="AD1532" s="81"/>
      <c r="AE1532" s="83"/>
      <c r="AF1532" s="81"/>
      <c r="AG1532" s="81"/>
      <c r="AH1532" s="81"/>
      <c r="AI1532" s="81"/>
      <c r="AJ1532" s="83"/>
      <c r="AK1532" s="81"/>
      <c r="AL1532" s="81"/>
      <c r="AM1532" s="83"/>
      <c r="AN1532" s="80"/>
      <c r="AO1532" s="82" t="n">
        <f aca="false">IF(E1532="","",(AA1532&lt;&gt;"")+(AG1532&lt;&gt;"")+(AL1532&lt;&gt;""))</f>
        <v>0</v>
      </c>
      <c r="AP1532" s="82" t="str">
        <f aca="false">IF(AL1532&lt;&gt;"",AL1532,IF(AG1532&lt;&gt;"",AG1532,IF(AA1532&lt;&gt;"",AA1532,"")))</f>
        <v/>
      </c>
      <c r="AQ1532" s="84" t="str">
        <f aca="false">IF(E1532="","",IF(U1532="","À SOUDER",IF(X1532="","VT EN ATTENTE",IF(X1532="R","VT REJETÉ – À REPRENDRE",IF(AP1532="","À RADIOGRAPHIER",IF(AP1532="A","ACCEPTÉ",IF(AP1532="NX","NX – RT À REFAIRE",IF(IF(AO1532=1,AD1532,IF(AO1532=2,AI1532,""))="A","RÉPARÉ – À RADIOGRAPHIER",IF(IF(AO1532=1,AD1532,IF(AO1532=2,AI1532,""))="R","VT REJETÉ – À REPRENDRE",IF(OR(AP1532="CO",AP1532="NT"),"COUPE – À RESOUDER","À RÉPARER"))))))))))</f>
        <v>À SOUDER</v>
      </c>
      <c r="AR1532" s="82" t="str">
        <f aca="false">IF(AND(ISNUMBER(U1532),OR(AQ1532="À RADIOGRAPHIER",AQ1532="RÉPARÉ – À RADIOGRAPHIER",AQ1532="NX – RT À REFAIRE",AQ1532="À RÉPARER",AQ1532="COUPE – À RESOUDER",AQ1532="VT REJETÉ – À REPRENDRE")),MAX(0,'PROGRAMME RT'!$C$4-U1532),"")</f>
        <v/>
      </c>
      <c r="AS1532" s="82" t="n">
        <f aca="false">IF(AND(OR(AQ1532="À RADIOGRAPHIER",AQ1532="RÉPARÉ – À RADIOGRAPHIER",AQ1532="NX – RT À REFAIRE"),OR('PROGRAMME RT'!$D$5="TOUTES",B1532='PROGRAMME RT'!$D$5)),1,0)</f>
        <v>0</v>
      </c>
      <c r="AT1532" s="82" t="str">
        <f aca="false">IF(AS1532=1,SUM(AS$7:AS1532),"")</f>
        <v/>
      </c>
      <c r="AU1532" s="82" t="n">
        <f aca="false">IF(AND(OR(AA1532="R",AA1532="NX",AA1532="NT",AA1532="CO"),OR('JOINTS DE RÉPARATION'!$D$5="TOUTES",B1532='JOINTS DE RÉPARATION'!$D$5),OR('JOINTS DE RÉPARATION'!$L$4="TOUS",AQ1532&lt;&gt;"ACCEPTÉ")),1,0)</f>
        <v>0</v>
      </c>
      <c r="AV1532" s="82" t="str">
        <f aca="false">IF(AU1532=1,SUM(AU$7:AU1532),"")</f>
        <v/>
      </c>
      <c r="AW1532" s="82" t="str">
        <f aca="false">IF(E1532="","",B1532&amp;"|"&amp;E1532)</f>
        <v>MFD-ISW → MFD-CPF|JN°1269</v>
      </c>
    </row>
    <row r="1533" customFormat="false" ht="74.6" hidden="false" customHeight="false" outlineLevel="0" collapsed="false">
      <c r="A1533" s="79" t="n">
        <f aca="false">IF(E1533="","",ROW()-6)</f>
        <v>1527</v>
      </c>
      <c r="B1533" s="80" t="s">
        <v>110</v>
      </c>
      <c r="C1533" s="81" t="s">
        <v>926</v>
      </c>
      <c r="D1533" s="81" t="n">
        <v>13</v>
      </c>
      <c r="E1533" s="81" t="s">
        <v>1837</v>
      </c>
      <c r="F1533" s="82" t="str">
        <f aca="false">IF(E1533="","",IF(LEFT(E1533,2)="DJ","DJ","JN"))</f>
        <v>JN</v>
      </c>
      <c r="G1533" s="81"/>
      <c r="H1533" s="81"/>
      <c r="I1533" s="81"/>
      <c r="J1533" s="81"/>
      <c r="K1533" s="81"/>
      <c r="L1533" s="81"/>
      <c r="M1533" s="81"/>
      <c r="N1533" s="81"/>
      <c r="O1533" s="81"/>
      <c r="P1533" s="81"/>
      <c r="Q1533" s="81"/>
      <c r="R1533" s="81"/>
      <c r="S1533" s="81"/>
      <c r="T1533" s="81"/>
      <c r="U1533" s="83"/>
      <c r="V1533" s="83"/>
      <c r="W1533" s="81"/>
      <c r="X1533" s="81"/>
      <c r="Y1533" s="83"/>
      <c r="Z1533" s="81"/>
      <c r="AA1533" s="81"/>
      <c r="AB1533" s="81"/>
      <c r="AC1533" s="81"/>
      <c r="AD1533" s="81"/>
      <c r="AE1533" s="83"/>
      <c r="AF1533" s="81"/>
      <c r="AG1533" s="81"/>
      <c r="AH1533" s="81"/>
      <c r="AI1533" s="81"/>
      <c r="AJ1533" s="83"/>
      <c r="AK1533" s="81"/>
      <c r="AL1533" s="81"/>
      <c r="AM1533" s="83"/>
      <c r="AN1533" s="80"/>
      <c r="AO1533" s="82" t="n">
        <f aca="false">IF(E1533="","",(AA1533&lt;&gt;"")+(AG1533&lt;&gt;"")+(AL1533&lt;&gt;""))</f>
        <v>0</v>
      </c>
      <c r="AP1533" s="82" t="str">
        <f aca="false">IF(AL1533&lt;&gt;"",AL1533,IF(AG1533&lt;&gt;"",AG1533,IF(AA1533&lt;&gt;"",AA1533,"")))</f>
        <v/>
      </c>
      <c r="AQ1533" s="84" t="str">
        <f aca="false">IF(E1533="","",IF(U1533="","À SOUDER",IF(X1533="","VT EN ATTENTE",IF(X1533="R","VT REJETÉ – À REPRENDRE",IF(AP1533="","À RADIOGRAPHIER",IF(AP1533="A","ACCEPTÉ",IF(AP1533="NX","NX – RT À REFAIRE",IF(IF(AO1533=1,AD1533,IF(AO1533=2,AI1533,""))="A","RÉPARÉ – À RADIOGRAPHIER",IF(IF(AO1533=1,AD1533,IF(AO1533=2,AI1533,""))="R","VT REJETÉ – À REPRENDRE",IF(OR(AP1533="CO",AP1533="NT"),"COUPE – À RESOUDER","À RÉPARER"))))))))))</f>
        <v>À SOUDER</v>
      </c>
      <c r="AR1533" s="82" t="str">
        <f aca="false">IF(AND(ISNUMBER(U1533),OR(AQ1533="À RADIOGRAPHIER",AQ1533="RÉPARÉ – À RADIOGRAPHIER",AQ1533="NX – RT À REFAIRE",AQ1533="À RÉPARER",AQ1533="COUPE – À RESOUDER",AQ1533="VT REJETÉ – À REPRENDRE")),MAX(0,'PROGRAMME RT'!$C$4-U1533),"")</f>
        <v/>
      </c>
      <c r="AS1533" s="82" t="n">
        <f aca="false">IF(AND(OR(AQ1533="À RADIOGRAPHIER",AQ1533="RÉPARÉ – À RADIOGRAPHIER",AQ1533="NX – RT À REFAIRE"),OR('PROGRAMME RT'!$D$5="TOUTES",B1533='PROGRAMME RT'!$D$5)),1,0)</f>
        <v>0</v>
      </c>
      <c r="AT1533" s="82" t="str">
        <f aca="false">IF(AS1533=1,SUM(AS$7:AS1533),"")</f>
        <v/>
      </c>
      <c r="AU1533" s="82" t="n">
        <f aca="false">IF(AND(OR(AA1533="R",AA1533="NX",AA1533="NT",AA1533="CO"),OR('JOINTS DE RÉPARATION'!$D$5="TOUTES",B1533='JOINTS DE RÉPARATION'!$D$5),OR('JOINTS DE RÉPARATION'!$L$4="TOUS",AQ1533&lt;&gt;"ACCEPTÉ")),1,0)</f>
        <v>0</v>
      </c>
      <c r="AV1533" s="82" t="str">
        <f aca="false">IF(AU1533=1,SUM(AU$7:AU1533),"")</f>
        <v/>
      </c>
      <c r="AW1533" s="82" t="str">
        <f aca="false">IF(E1533="","",B1533&amp;"|"&amp;E1533)</f>
        <v>MFD-ISW → MFD-CPF|JN°1270</v>
      </c>
    </row>
    <row r="1534" customFormat="false" ht="74.6" hidden="false" customHeight="false" outlineLevel="0" collapsed="false">
      <c r="A1534" s="79" t="n">
        <f aca="false">IF(E1534="","",ROW()-6)</f>
        <v>1528</v>
      </c>
      <c r="B1534" s="80" t="s">
        <v>110</v>
      </c>
      <c r="C1534" s="81" t="s">
        <v>926</v>
      </c>
      <c r="D1534" s="81" t="n">
        <v>13</v>
      </c>
      <c r="E1534" s="81" t="s">
        <v>1838</v>
      </c>
      <c r="F1534" s="82" t="str">
        <f aca="false">IF(E1534="","",IF(LEFT(E1534,2)="DJ","DJ","JN"))</f>
        <v>JN</v>
      </c>
      <c r="G1534" s="81"/>
      <c r="H1534" s="81"/>
      <c r="I1534" s="81"/>
      <c r="J1534" s="81"/>
      <c r="K1534" s="81"/>
      <c r="L1534" s="81"/>
      <c r="M1534" s="81"/>
      <c r="N1534" s="81"/>
      <c r="O1534" s="81"/>
      <c r="P1534" s="81"/>
      <c r="Q1534" s="81"/>
      <c r="R1534" s="81"/>
      <c r="S1534" s="81"/>
      <c r="T1534" s="81"/>
      <c r="U1534" s="83"/>
      <c r="V1534" s="83"/>
      <c r="W1534" s="81"/>
      <c r="X1534" s="81"/>
      <c r="Y1534" s="83"/>
      <c r="Z1534" s="81"/>
      <c r="AA1534" s="81"/>
      <c r="AB1534" s="81"/>
      <c r="AC1534" s="81"/>
      <c r="AD1534" s="81"/>
      <c r="AE1534" s="83"/>
      <c r="AF1534" s="81"/>
      <c r="AG1534" s="81"/>
      <c r="AH1534" s="81"/>
      <c r="AI1534" s="81"/>
      <c r="AJ1534" s="83"/>
      <c r="AK1534" s="81"/>
      <c r="AL1534" s="81"/>
      <c r="AM1534" s="83"/>
      <c r="AN1534" s="80"/>
      <c r="AO1534" s="82" t="n">
        <f aca="false">IF(E1534="","",(AA1534&lt;&gt;"")+(AG1534&lt;&gt;"")+(AL1534&lt;&gt;""))</f>
        <v>0</v>
      </c>
      <c r="AP1534" s="82" t="str">
        <f aca="false">IF(AL1534&lt;&gt;"",AL1534,IF(AG1534&lt;&gt;"",AG1534,IF(AA1534&lt;&gt;"",AA1534,"")))</f>
        <v/>
      </c>
      <c r="AQ1534" s="84" t="str">
        <f aca="false">IF(E1534="","",IF(U1534="","À SOUDER",IF(X1534="","VT EN ATTENTE",IF(X1534="R","VT REJETÉ – À REPRENDRE",IF(AP1534="","À RADIOGRAPHIER",IF(AP1534="A","ACCEPTÉ",IF(AP1534="NX","NX – RT À REFAIRE",IF(IF(AO1534=1,AD1534,IF(AO1534=2,AI1534,""))="A","RÉPARÉ – À RADIOGRAPHIER",IF(IF(AO1534=1,AD1534,IF(AO1534=2,AI1534,""))="R","VT REJETÉ – À REPRENDRE",IF(OR(AP1534="CO",AP1534="NT"),"COUPE – À RESOUDER","À RÉPARER"))))))))))</f>
        <v>À SOUDER</v>
      </c>
      <c r="AR1534" s="82" t="str">
        <f aca="false">IF(AND(ISNUMBER(U1534),OR(AQ1534="À RADIOGRAPHIER",AQ1534="RÉPARÉ – À RADIOGRAPHIER",AQ1534="NX – RT À REFAIRE",AQ1534="À RÉPARER",AQ1534="COUPE – À RESOUDER",AQ1534="VT REJETÉ – À REPRENDRE")),MAX(0,'PROGRAMME RT'!$C$4-U1534),"")</f>
        <v/>
      </c>
      <c r="AS1534" s="82" t="n">
        <f aca="false">IF(AND(OR(AQ1534="À RADIOGRAPHIER",AQ1534="RÉPARÉ – À RADIOGRAPHIER",AQ1534="NX – RT À REFAIRE"),OR('PROGRAMME RT'!$D$5="TOUTES",B1534='PROGRAMME RT'!$D$5)),1,0)</f>
        <v>0</v>
      </c>
      <c r="AT1534" s="82" t="str">
        <f aca="false">IF(AS1534=1,SUM(AS$7:AS1534),"")</f>
        <v/>
      </c>
      <c r="AU1534" s="82" t="n">
        <f aca="false">IF(AND(OR(AA1534="R",AA1534="NX",AA1534="NT",AA1534="CO"),OR('JOINTS DE RÉPARATION'!$D$5="TOUTES",B1534='JOINTS DE RÉPARATION'!$D$5),OR('JOINTS DE RÉPARATION'!$L$4="TOUS",AQ1534&lt;&gt;"ACCEPTÉ")),1,0)</f>
        <v>0</v>
      </c>
      <c r="AV1534" s="82" t="str">
        <f aca="false">IF(AU1534=1,SUM(AU$7:AU1534),"")</f>
        <v/>
      </c>
      <c r="AW1534" s="82" t="str">
        <f aca="false">IF(E1534="","",B1534&amp;"|"&amp;E1534)</f>
        <v>MFD-ISW → MFD-CPF|JN°1271</v>
      </c>
    </row>
    <row r="1535" customFormat="false" ht="74.6" hidden="false" customHeight="false" outlineLevel="0" collapsed="false">
      <c r="A1535" s="79" t="n">
        <f aca="false">IF(E1535="","",ROW()-6)</f>
        <v>1529</v>
      </c>
      <c r="B1535" s="80" t="s">
        <v>110</v>
      </c>
      <c r="C1535" s="81" t="s">
        <v>926</v>
      </c>
      <c r="D1535" s="81" t="n">
        <v>13</v>
      </c>
      <c r="E1535" s="81" t="s">
        <v>1839</v>
      </c>
      <c r="F1535" s="82" t="str">
        <f aca="false">IF(E1535="","",IF(LEFT(E1535,2)="DJ","DJ","JN"))</f>
        <v>JN</v>
      </c>
      <c r="G1535" s="81"/>
      <c r="H1535" s="81"/>
      <c r="I1535" s="81"/>
      <c r="J1535" s="81"/>
      <c r="K1535" s="81"/>
      <c r="L1535" s="81"/>
      <c r="M1535" s="81"/>
      <c r="N1535" s="81"/>
      <c r="O1535" s="81"/>
      <c r="P1535" s="81"/>
      <c r="Q1535" s="81"/>
      <c r="R1535" s="81"/>
      <c r="S1535" s="81"/>
      <c r="T1535" s="81"/>
      <c r="U1535" s="83"/>
      <c r="V1535" s="83"/>
      <c r="W1535" s="81"/>
      <c r="X1535" s="81"/>
      <c r="Y1535" s="83"/>
      <c r="Z1535" s="81"/>
      <c r="AA1535" s="81"/>
      <c r="AB1535" s="81"/>
      <c r="AC1535" s="81"/>
      <c r="AD1535" s="81"/>
      <c r="AE1535" s="83"/>
      <c r="AF1535" s="81"/>
      <c r="AG1535" s="81"/>
      <c r="AH1535" s="81"/>
      <c r="AI1535" s="81"/>
      <c r="AJ1535" s="83"/>
      <c r="AK1535" s="81"/>
      <c r="AL1535" s="81"/>
      <c r="AM1535" s="83"/>
      <c r="AN1535" s="80"/>
      <c r="AO1535" s="82" t="n">
        <f aca="false">IF(E1535="","",(AA1535&lt;&gt;"")+(AG1535&lt;&gt;"")+(AL1535&lt;&gt;""))</f>
        <v>0</v>
      </c>
      <c r="AP1535" s="82" t="str">
        <f aca="false">IF(AL1535&lt;&gt;"",AL1535,IF(AG1535&lt;&gt;"",AG1535,IF(AA1535&lt;&gt;"",AA1535,"")))</f>
        <v/>
      </c>
      <c r="AQ1535" s="84" t="str">
        <f aca="false">IF(E1535="","",IF(U1535="","À SOUDER",IF(X1535="","VT EN ATTENTE",IF(X1535="R","VT REJETÉ – À REPRENDRE",IF(AP1535="","À RADIOGRAPHIER",IF(AP1535="A","ACCEPTÉ",IF(AP1535="NX","NX – RT À REFAIRE",IF(IF(AO1535=1,AD1535,IF(AO1535=2,AI1535,""))="A","RÉPARÉ – À RADIOGRAPHIER",IF(IF(AO1535=1,AD1535,IF(AO1535=2,AI1535,""))="R","VT REJETÉ – À REPRENDRE",IF(OR(AP1535="CO",AP1535="NT"),"COUPE – À RESOUDER","À RÉPARER"))))))))))</f>
        <v>À SOUDER</v>
      </c>
      <c r="AR1535" s="82" t="str">
        <f aca="false">IF(AND(ISNUMBER(U1535),OR(AQ1535="À RADIOGRAPHIER",AQ1535="RÉPARÉ – À RADIOGRAPHIER",AQ1535="NX – RT À REFAIRE",AQ1535="À RÉPARER",AQ1535="COUPE – À RESOUDER",AQ1535="VT REJETÉ – À REPRENDRE")),MAX(0,'PROGRAMME RT'!$C$4-U1535),"")</f>
        <v/>
      </c>
      <c r="AS1535" s="82" t="n">
        <f aca="false">IF(AND(OR(AQ1535="À RADIOGRAPHIER",AQ1535="RÉPARÉ – À RADIOGRAPHIER",AQ1535="NX – RT À REFAIRE"),OR('PROGRAMME RT'!$D$5="TOUTES",B1535='PROGRAMME RT'!$D$5)),1,0)</f>
        <v>0</v>
      </c>
      <c r="AT1535" s="82" t="str">
        <f aca="false">IF(AS1535=1,SUM(AS$7:AS1535),"")</f>
        <v/>
      </c>
      <c r="AU1535" s="82" t="n">
        <f aca="false">IF(AND(OR(AA1535="R",AA1535="NX",AA1535="NT",AA1535="CO"),OR('JOINTS DE RÉPARATION'!$D$5="TOUTES",B1535='JOINTS DE RÉPARATION'!$D$5),OR('JOINTS DE RÉPARATION'!$L$4="TOUS",AQ1535&lt;&gt;"ACCEPTÉ")),1,0)</f>
        <v>0</v>
      </c>
      <c r="AV1535" s="82" t="str">
        <f aca="false">IF(AU1535=1,SUM(AU$7:AU1535),"")</f>
        <v/>
      </c>
      <c r="AW1535" s="82" t="str">
        <f aca="false">IF(E1535="","",B1535&amp;"|"&amp;E1535)</f>
        <v>MFD-ISW → MFD-CPF|JN°1272</v>
      </c>
    </row>
    <row r="1536" customFormat="false" ht="74.6" hidden="false" customHeight="false" outlineLevel="0" collapsed="false">
      <c r="A1536" s="79" t="n">
        <f aca="false">IF(E1536="","",ROW()-6)</f>
        <v>1530</v>
      </c>
      <c r="B1536" s="80" t="s">
        <v>110</v>
      </c>
      <c r="C1536" s="81" t="s">
        <v>926</v>
      </c>
      <c r="D1536" s="81" t="n">
        <v>13</v>
      </c>
      <c r="E1536" s="81" t="s">
        <v>1840</v>
      </c>
      <c r="F1536" s="82" t="str">
        <f aca="false">IF(E1536="","",IF(LEFT(E1536,2)="DJ","DJ","JN"))</f>
        <v>JN</v>
      </c>
      <c r="G1536" s="81"/>
      <c r="H1536" s="81"/>
      <c r="I1536" s="81"/>
      <c r="J1536" s="81"/>
      <c r="K1536" s="81"/>
      <c r="L1536" s="81"/>
      <c r="M1536" s="81"/>
      <c r="N1536" s="81"/>
      <c r="O1536" s="81"/>
      <c r="P1536" s="81"/>
      <c r="Q1536" s="81"/>
      <c r="R1536" s="81"/>
      <c r="S1536" s="81"/>
      <c r="T1536" s="81"/>
      <c r="U1536" s="83"/>
      <c r="V1536" s="83"/>
      <c r="W1536" s="81"/>
      <c r="X1536" s="81"/>
      <c r="Y1536" s="83"/>
      <c r="Z1536" s="81"/>
      <c r="AA1536" s="81"/>
      <c r="AB1536" s="81"/>
      <c r="AC1536" s="81"/>
      <c r="AD1536" s="81"/>
      <c r="AE1536" s="83"/>
      <c r="AF1536" s="81"/>
      <c r="AG1536" s="81"/>
      <c r="AH1536" s="81"/>
      <c r="AI1536" s="81"/>
      <c r="AJ1536" s="83"/>
      <c r="AK1536" s="81"/>
      <c r="AL1536" s="81"/>
      <c r="AM1536" s="83"/>
      <c r="AN1536" s="80"/>
      <c r="AO1536" s="82" t="n">
        <f aca="false">IF(E1536="","",(AA1536&lt;&gt;"")+(AG1536&lt;&gt;"")+(AL1536&lt;&gt;""))</f>
        <v>0</v>
      </c>
      <c r="AP1536" s="82" t="str">
        <f aca="false">IF(AL1536&lt;&gt;"",AL1536,IF(AG1536&lt;&gt;"",AG1536,IF(AA1536&lt;&gt;"",AA1536,"")))</f>
        <v/>
      </c>
      <c r="AQ1536" s="84" t="str">
        <f aca="false">IF(E1536="","",IF(U1536="","À SOUDER",IF(X1536="","VT EN ATTENTE",IF(X1536="R","VT REJETÉ – À REPRENDRE",IF(AP1536="","À RADIOGRAPHIER",IF(AP1536="A","ACCEPTÉ",IF(AP1536="NX","NX – RT À REFAIRE",IF(IF(AO1536=1,AD1536,IF(AO1536=2,AI1536,""))="A","RÉPARÉ – À RADIOGRAPHIER",IF(IF(AO1536=1,AD1536,IF(AO1536=2,AI1536,""))="R","VT REJETÉ – À REPRENDRE",IF(OR(AP1536="CO",AP1536="NT"),"COUPE – À RESOUDER","À RÉPARER"))))))))))</f>
        <v>À SOUDER</v>
      </c>
      <c r="AR1536" s="82" t="str">
        <f aca="false">IF(AND(ISNUMBER(U1536),OR(AQ1536="À RADIOGRAPHIER",AQ1536="RÉPARÉ – À RADIOGRAPHIER",AQ1536="NX – RT À REFAIRE",AQ1536="À RÉPARER",AQ1536="COUPE – À RESOUDER",AQ1536="VT REJETÉ – À REPRENDRE")),MAX(0,'PROGRAMME RT'!$C$4-U1536),"")</f>
        <v/>
      </c>
      <c r="AS1536" s="82" t="n">
        <f aca="false">IF(AND(OR(AQ1536="À RADIOGRAPHIER",AQ1536="RÉPARÉ – À RADIOGRAPHIER",AQ1536="NX – RT À REFAIRE"),OR('PROGRAMME RT'!$D$5="TOUTES",B1536='PROGRAMME RT'!$D$5)),1,0)</f>
        <v>0</v>
      </c>
      <c r="AT1536" s="82" t="str">
        <f aca="false">IF(AS1536=1,SUM(AS$7:AS1536),"")</f>
        <v/>
      </c>
      <c r="AU1536" s="82" t="n">
        <f aca="false">IF(AND(OR(AA1536="R",AA1536="NX",AA1536="NT",AA1536="CO"),OR('JOINTS DE RÉPARATION'!$D$5="TOUTES",B1536='JOINTS DE RÉPARATION'!$D$5),OR('JOINTS DE RÉPARATION'!$L$4="TOUS",AQ1536&lt;&gt;"ACCEPTÉ")),1,0)</f>
        <v>0</v>
      </c>
      <c r="AV1536" s="82" t="str">
        <f aca="false">IF(AU1536=1,SUM(AU$7:AU1536),"")</f>
        <v/>
      </c>
      <c r="AW1536" s="82" t="str">
        <f aca="false">IF(E1536="","",B1536&amp;"|"&amp;E1536)</f>
        <v>MFD-ISW → MFD-CPF|JN°1273</v>
      </c>
    </row>
    <row r="1537" customFormat="false" ht="74.6" hidden="false" customHeight="false" outlineLevel="0" collapsed="false">
      <c r="A1537" s="79" t="n">
        <f aca="false">IF(E1537="","",ROW()-6)</f>
        <v>1531</v>
      </c>
      <c r="B1537" s="80" t="s">
        <v>110</v>
      </c>
      <c r="C1537" s="81" t="s">
        <v>926</v>
      </c>
      <c r="D1537" s="81" t="n">
        <v>13</v>
      </c>
      <c r="E1537" s="81" t="s">
        <v>1841</v>
      </c>
      <c r="F1537" s="82" t="str">
        <f aca="false">IF(E1537="","",IF(LEFT(E1537,2)="DJ","DJ","JN"))</f>
        <v>JN</v>
      </c>
      <c r="G1537" s="81"/>
      <c r="H1537" s="81"/>
      <c r="I1537" s="81"/>
      <c r="J1537" s="81"/>
      <c r="K1537" s="81"/>
      <c r="L1537" s="81"/>
      <c r="M1537" s="81"/>
      <c r="N1537" s="81"/>
      <c r="O1537" s="81" t="n">
        <v>2098500</v>
      </c>
      <c r="P1537" s="81" t="n">
        <v>15421112</v>
      </c>
      <c r="Q1537" s="81" t="n">
        <v>11.94</v>
      </c>
      <c r="R1537" s="81"/>
      <c r="S1537" s="81"/>
      <c r="T1537" s="81"/>
      <c r="U1537" s="83"/>
      <c r="V1537" s="83"/>
      <c r="W1537" s="81"/>
      <c r="X1537" s="81"/>
      <c r="Y1537" s="83"/>
      <c r="Z1537" s="81"/>
      <c r="AA1537" s="81"/>
      <c r="AB1537" s="81"/>
      <c r="AC1537" s="81"/>
      <c r="AD1537" s="81"/>
      <c r="AE1537" s="83"/>
      <c r="AF1537" s="81"/>
      <c r="AG1537" s="81"/>
      <c r="AH1537" s="81"/>
      <c r="AI1537" s="81"/>
      <c r="AJ1537" s="83"/>
      <c r="AK1537" s="81"/>
      <c r="AL1537" s="81"/>
      <c r="AM1537" s="83"/>
      <c r="AN1537" s="80"/>
      <c r="AO1537" s="82" t="n">
        <f aca="false">IF(E1537="","",(AA1537&lt;&gt;"")+(AG1537&lt;&gt;"")+(AL1537&lt;&gt;""))</f>
        <v>0</v>
      </c>
      <c r="AP1537" s="82" t="str">
        <f aca="false">IF(AL1537&lt;&gt;"",AL1537,IF(AG1537&lt;&gt;"",AG1537,IF(AA1537&lt;&gt;"",AA1537,"")))</f>
        <v/>
      </c>
      <c r="AQ1537" s="84" t="str">
        <f aca="false">IF(E1537="","",IF(U1537="","À SOUDER",IF(X1537="","VT EN ATTENTE",IF(X1537="R","VT REJETÉ – À REPRENDRE",IF(AP1537="","À RADIOGRAPHIER",IF(AP1537="A","ACCEPTÉ",IF(AP1537="NX","NX – RT À REFAIRE",IF(IF(AO1537=1,AD1537,IF(AO1537=2,AI1537,""))="A","RÉPARÉ – À RADIOGRAPHIER",IF(IF(AO1537=1,AD1537,IF(AO1537=2,AI1537,""))="R","VT REJETÉ – À REPRENDRE",IF(OR(AP1537="CO",AP1537="NT"),"COUPE – À RESOUDER","À RÉPARER"))))))))))</f>
        <v>À SOUDER</v>
      </c>
      <c r="AR1537" s="82" t="str">
        <f aca="false">IF(AND(ISNUMBER(U1537),OR(AQ1537="À RADIOGRAPHIER",AQ1537="RÉPARÉ – À RADIOGRAPHIER",AQ1537="NX – RT À REFAIRE",AQ1537="À RÉPARER",AQ1537="COUPE – À RESOUDER",AQ1537="VT REJETÉ – À REPRENDRE")),MAX(0,'PROGRAMME RT'!$C$4-U1537),"")</f>
        <v/>
      </c>
      <c r="AS1537" s="82" t="n">
        <f aca="false">IF(AND(OR(AQ1537="À RADIOGRAPHIER",AQ1537="RÉPARÉ – À RADIOGRAPHIER",AQ1537="NX – RT À REFAIRE"),OR('PROGRAMME RT'!$D$5="TOUTES",B1537='PROGRAMME RT'!$D$5)),1,0)</f>
        <v>0</v>
      </c>
      <c r="AT1537" s="82" t="str">
        <f aca="false">IF(AS1537=1,SUM(AS$7:AS1537),"")</f>
        <v/>
      </c>
      <c r="AU1537" s="82" t="n">
        <f aca="false">IF(AND(OR(AA1537="R",AA1537="NX",AA1537="NT",AA1537="CO"),OR('JOINTS DE RÉPARATION'!$D$5="TOUTES",B1537='JOINTS DE RÉPARATION'!$D$5),OR('JOINTS DE RÉPARATION'!$L$4="TOUS",AQ1537&lt;&gt;"ACCEPTÉ")),1,0)</f>
        <v>0</v>
      </c>
      <c r="AV1537" s="82" t="str">
        <f aca="false">IF(AU1537=1,SUM(AU$7:AU1537),"")</f>
        <v/>
      </c>
      <c r="AW1537" s="82" t="str">
        <f aca="false">IF(E1537="","",B1537&amp;"|"&amp;E1537)</f>
        <v>MFD-ISW → MFD-CPF|JN°1274</v>
      </c>
    </row>
    <row r="1538" customFormat="false" ht="74.6" hidden="false" customHeight="false" outlineLevel="0" collapsed="false">
      <c r="A1538" s="79" t="n">
        <f aca="false">IF(E1538="","",ROW()-6)</f>
        <v>1532</v>
      </c>
      <c r="B1538" s="80" t="s">
        <v>110</v>
      </c>
      <c r="C1538" s="81" t="s">
        <v>1842</v>
      </c>
      <c r="D1538" s="81" t="n">
        <v>13</v>
      </c>
      <c r="E1538" s="81" t="s">
        <v>1843</v>
      </c>
      <c r="F1538" s="82" t="str">
        <f aca="false">IF(E1538="","",IF(LEFT(E1538,2)="DJ","DJ","JN"))</f>
        <v>DJ</v>
      </c>
      <c r="G1538" s="81"/>
      <c r="H1538" s="81" t="s">
        <v>871</v>
      </c>
      <c r="I1538" s="81" t="n">
        <v>9.53</v>
      </c>
      <c r="J1538" s="81" t="s">
        <v>872</v>
      </c>
      <c r="K1538" s="81" t="s">
        <v>873</v>
      </c>
      <c r="L1538" s="81" t="n">
        <v>2098500</v>
      </c>
      <c r="M1538" s="81" t="n">
        <v>15421112</v>
      </c>
      <c r="N1538" s="81" t="n">
        <v>11.94</v>
      </c>
      <c r="O1538" s="81" t="n">
        <v>2098870</v>
      </c>
      <c r="P1538" s="81" t="n">
        <v>15421102</v>
      </c>
      <c r="Q1538" s="81" t="n">
        <v>11.94</v>
      </c>
      <c r="R1538" s="81" t="s">
        <v>1147</v>
      </c>
      <c r="S1538" s="81"/>
      <c r="T1538" s="81"/>
      <c r="U1538" s="83" t="n">
        <v>46268</v>
      </c>
      <c r="V1538" s="83" t="n">
        <v>46268</v>
      </c>
      <c r="W1538" s="81" t="s">
        <v>1773</v>
      </c>
      <c r="X1538" s="81" t="s">
        <v>876</v>
      </c>
      <c r="Y1538" s="83" t="n">
        <v>46269</v>
      </c>
      <c r="Z1538" s="81" t="s">
        <v>1774</v>
      </c>
      <c r="AA1538" s="81" t="s">
        <v>876</v>
      </c>
      <c r="AB1538" s="81"/>
      <c r="AC1538" s="81"/>
      <c r="AD1538" s="81"/>
      <c r="AE1538" s="83"/>
      <c r="AF1538" s="81"/>
      <c r="AG1538" s="81"/>
      <c r="AH1538" s="81"/>
      <c r="AI1538" s="81"/>
      <c r="AJ1538" s="83"/>
      <c r="AK1538" s="81"/>
      <c r="AL1538" s="81"/>
      <c r="AM1538" s="83"/>
      <c r="AN1538" s="80"/>
      <c r="AO1538" s="82" t="n">
        <f aca="false">IF(E1538="","",(AA1538&lt;&gt;"")+(AG1538&lt;&gt;"")+(AL1538&lt;&gt;""))</f>
        <v>1</v>
      </c>
      <c r="AP1538" s="82" t="str">
        <f aca="false">IF(AL1538&lt;&gt;"",AL1538,IF(AG1538&lt;&gt;"",AG1538,IF(AA1538&lt;&gt;"",AA1538,"")))</f>
        <v>A</v>
      </c>
      <c r="AQ1538" s="84" t="str">
        <f aca="false">IF(E1538="","",IF(U1538="","À SOUDER",IF(X1538="","VT EN ATTENTE",IF(X1538="R","VT REJETÉ – À REPRENDRE",IF(AP1538="","À RADIOGRAPHIER",IF(AP1538="A","ACCEPTÉ",IF(AP1538="NX","NX – RT À REFAIRE",IF(IF(AO1538=1,AD1538,IF(AO1538=2,AI1538,""))="A","RÉPARÉ – À RADIOGRAPHIER",IF(IF(AO1538=1,AD1538,IF(AO1538=2,AI1538,""))="R","VT REJETÉ – À REPRENDRE",IF(OR(AP1538="CO",AP1538="NT"),"COUPE – À RESOUDER","À RÉPARER"))))))))))</f>
        <v>ACCEPTÉ</v>
      </c>
      <c r="AR1538" s="82" t="str">
        <f aca="false">IF(AND(ISNUMBER(U1538),OR(AQ1538="À RADIOGRAPHIER",AQ1538="RÉPARÉ – À RADIOGRAPHIER",AQ1538="NX – RT À REFAIRE",AQ1538="À RÉPARER",AQ1538="COUPE – À RESOUDER",AQ1538="VT REJETÉ – À REPRENDRE")),MAX(0,'PROGRAMME RT'!$C$4-U1538),"")</f>
        <v/>
      </c>
      <c r="AS1538" s="82" t="n">
        <f aca="false">IF(AND(OR(AQ1538="À RADIOGRAPHIER",AQ1538="RÉPARÉ – À RADIOGRAPHIER",AQ1538="NX – RT À REFAIRE"),OR('PROGRAMME RT'!$D$5="TOUTES",B1538='PROGRAMME RT'!$D$5)),1,0)</f>
        <v>0</v>
      </c>
      <c r="AT1538" s="82" t="str">
        <f aca="false">IF(AS1538=1,SUM(AS$7:AS1538),"")</f>
        <v/>
      </c>
      <c r="AU1538" s="82" t="n">
        <f aca="false">IF(AND(OR(AA1538="R",AA1538="NX",AA1538="NT",AA1538="CO"),OR('JOINTS DE RÉPARATION'!$D$5="TOUTES",B1538='JOINTS DE RÉPARATION'!$D$5),OR('JOINTS DE RÉPARATION'!$L$4="TOUS",AQ1538&lt;&gt;"ACCEPTÉ")),1,0)</f>
        <v>0</v>
      </c>
      <c r="AV1538" s="82" t="str">
        <f aca="false">IF(AU1538=1,SUM(AU$7:AU1538),"")</f>
        <v/>
      </c>
      <c r="AW1538" s="82" t="str">
        <f aca="false">IF(E1538="","",B1538&amp;"|"&amp;E1538)</f>
        <v>MFD-ISW → MFD-CPF|DJ°252</v>
      </c>
    </row>
    <row r="1539" customFormat="false" ht="74.6" hidden="false" customHeight="false" outlineLevel="0" collapsed="false">
      <c r="A1539" s="79" t="n">
        <f aca="false">IF(E1539="","",ROW()-6)</f>
        <v>1533</v>
      </c>
      <c r="B1539" s="80" t="s">
        <v>110</v>
      </c>
      <c r="C1539" s="81" t="s">
        <v>1842</v>
      </c>
      <c r="D1539" s="81" t="n">
        <v>13</v>
      </c>
      <c r="E1539" s="81" t="s">
        <v>1844</v>
      </c>
      <c r="F1539" s="82" t="str">
        <f aca="false">IF(E1539="","",IF(LEFT(E1539,2)="DJ","DJ","JN"))</f>
        <v>JN</v>
      </c>
      <c r="G1539" s="81" t="s">
        <v>1504</v>
      </c>
      <c r="H1539" s="81" t="s">
        <v>871</v>
      </c>
      <c r="I1539" s="81" t="n">
        <v>9.53</v>
      </c>
      <c r="J1539" s="81" t="s">
        <v>872</v>
      </c>
      <c r="K1539" s="81" t="s">
        <v>879</v>
      </c>
      <c r="L1539" s="81" t="n">
        <v>2098870</v>
      </c>
      <c r="M1539" s="81" t="n">
        <v>15421102</v>
      </c>
      <c r="N1539" s="81" t="n">
        <v>11.94</v>
      </c>
      <c r="O1539" s="81" t="n">
        <v>2081850</v>
      </c>
      <c r="P1539" s="81" t="n">
        <v>15421104</v>
      </c>
      <c r="Q1539" s="81" t="n">
        <v>11.94</v>
      </c>
      <c r="R1539" s="81" t="s">
        <v>1795</v>
      </c>
      <c r="S1539" s="81"/>
      <c r="T1539" s="81"/>
      <c r="U1539" s="83" t="n">
        <v>46275</v>
      </c>
      <c r="V1539" s="83" t="n">
        <v>46275</v>
      </c>
      <c r="W1539" s="81" t="s">
        <v>1806</v>
      </c>
      <c r="X1539" s="81" t="s">
        <v>876</v>
      </c>
      <c r="Y1539" s="83" t="n">
        <v>46280</v>
      </c>
      <c r="Z1539" s="81" t="s">
        <v>1796</v>
      </c>
      <c r="AA1539" s="81" t="s">
        <v>876</v>
      </c>
      <c r="AB1539" s="81"/>
      <c r="AC1539" s="81"/>
      <c r="AD1539" s="81"/>
      <c r="AE1539" s="83"/>
      <c r="AF1539" s="81"/>
      <c r="AG1539" s="81"/>
      <c r="AH1539" s="81"/>
      <c r="AI1539" s="81"/>
      <c r="AJ1539" s="83"/>
      <c r="AK1539" s="81"/>
      <c r="AL1539" s="81"/>
      <c r="AM1539" s="83"/>
      <c r="AN1539" s="80"/>
      <c r="AO1539" s="82" t="n">
        <f aca="false">IF(E1539="","",(AA1539&lt;&gt;"")+(AG1539&lt;&gt;"")+(AL1539&lt;&gt;""))</f>
        <v>1</v>
      </c>
      <c r="AP1539" s="82" t="str">
        <f aca="false">IF(AL1539&lt;&gt;"",AL1539,IF(AG1539&lt;&gt;"",AG1539,IF(AA1539&lt;&gt;"",AA1539,"")))</f>
        <v>A</v>
      </c>
      <c r="AQ1539" s="84" t="str">
        <f aca="false">IF(E1539="","",IF(U1539="","À SOUDER",IF(X1539="","VT EN ATTENTE",IF(X1539="R","VT REJETÉ – À REPRENDRE",IF(AP1539="","À RADIOGRAPHIER",IF(AP1539="A","ACCEPTÉ",IF(AP1539="NX","NX – RT À REFAIRE",IF(IF(AO1539=1,AD1539,IF(AO1539=2,AI1539,""))="A","RÉPARÉ – À RADIOGRAPHIER",IF(IF(AO1539=1,AD1539,IF(AO1539=2,AI1539,""))="R","VT REJETÉ – À REPRENDRE",IF(OR(AP1539="CO",AP1539="NT"),"COUPE – À RESOUDER","À RÉPARER"))))))))))</f>
        <v>ACCEPTÉ</v>
      </c>
      <c r="AR1539" s="82" t="str">
        <f aca="false">IF(AND(ISNUMBER(U1539),OR(AQ1539="À RADIOGRAPHIER",AQ1539="RÉPARÉ – À RADIOGRAPHIER",AQ1539="NX – RT À REFAIRE",AQ1539="À RÉPARER",AQ1539="COUPE – À RESOUDER",AQ1539="VT REJETÉ – À REPRENDRE")),MAX(0,'PROGRAMME RT'!$C$4-U1539),"")</f>
        <v/>
      </c>
      <c r="AS1539" s="82" t="n">
        <f aca="false">IF(AND(OR(AQ1539="À RADIOGRAPHIER",AQ1539="RÉPARÉ – À RADIOGRAPHIER",AQ1539="NX – RT À REFAIRE"),OR('PROGRAMME RT'!$D$5="TOUTES",B1539='PROGRAMME RT'!$D$5)),1,0)</f>
        <v>0</v>
      </c>
      <c r="AT1539" s="82" t="str">
        <f aca="false">IF(AS1539=1,SUM(AS$7:AS1539),"")</f>
        <v/>
      </c>
      <c r="AU1539" s="82" t="n">
        <f aca="false">IF(AND(OR(AA1539="R",AA1539="NX",AA1539="NT",AA1539="CO"),OR('JOINTS DE RÉPARATION'!$D$5="TOUTES",B1539='JOINTS DE RÉPARATION'!$D$5),OR('JOINTS DE RÉPARATION'!$L$4="TOUS",AQ1539&lt;&gt;"ACCEPTÉ")),1,0)</f>
        <v>0</v>
      </c>
      <c r="AV1539" s="82" t="str">
        <f aca="false">IF(AU1539=1,SUM(AU$7:AU1539),"")</f>
        <v/>
      </c>
      <c r="AW1539" s="82" t="str">
        <f aca="false">IF(E1539="","",B1539&amp;"|"&amp;E1539)</f>
        <v>MFD-ISW → MFD-CPF|JN°1275</v>
      </c>
    </row>
    <row r="1540" customFormat="false" ht="74.6" hidden="false" customHeight="false" outlineLevel="0" collapsed="false">
      <c r="A1540" s="79" t="n">
        <f aca="false">IF(E1540="","",ROW()-6)</f>
        <v>1534</v>
      </c>
      <c r="B1540" s="80" t="s">
        <v>110</v>
      </c>
      <c r="C1540" s="81" t="s">
        <v>1842</v>
      </c>
      <c r="D1540" s="81" t="n">
        <v>13</v>
      </c>
      <c r="E1540" s="81" t="s">
        <v>1845</v>
      </c>
      <c r="F1540" s="82" t="str">
        <f aca="false">IF(E1540="","",IF(LEFT(E1540,2)="DJ","DJ","JN"))</f>
        <v>DJ</v>
      </c>
      <c r="G1540" s="81"/>
      <c r="H1540" s="81" t="s">
        <v>871</v>
      </c>
      <c r="I1540" s="81" t="n">
        <v>9.53</v>
      </c>
      <c r="J1540" s="81" t="s">
        <v>872</v>
      </c>
      <c r="K1540" s="81" t="s">
        <v>873</v>
      </c>
      <c r="L1540" s="81" t="n">
        <v>2081850</v>
      </c>
      <c r="M1540" s="81" t="n">
        <v>15421104</v>
      </c>
      <c r="N1540" s="81" t="n">
        <v>11.94</v>
      </c>
      <c r="O1540" s="81" t="n">
        <v>2091700</v>
      </c>
      <c r="P1540" s="81" t="n">
        <v>15421109</v>
      </c>
      <c r="Q1540" s="81" t="n">
        <v>11.09</v>
      </c>
      <c r="R1540" s="81" t="s">
        <v>1135</v>
      </c>
      <c r="S1540" s="81"/>
      <c r="T1540" s="81"/>
      <c r="U1540" s="83" t="n">
        <v>46268</v>
      </c>
      <c r="V1540" s="83" t="n">
        <v>46268</v>
      </c>
      <c r="W1540" s="81" t="s">
        <v>1773</v>
      </c>
      <c r="X1540" s="81" t="s">
        <v>876</v>
      </c>
      <c r="Y1540" s="83" t="n">
        <v>46269</v>
      </c>
      <c r="Z1540" s="81" t="s">
        <v>1761</v>
      </c>
      <c r="AA1540" s="81" t="s">
        <v>876</v>
      </c>
      <c r="AB1540" s="81"/>
      <c r="AC1540" s="81"/>
      <c r="AD1540" s="81"/>
      <c r="AE1540" s="83"/>
      <c r="AF1540" s="81"/>
      <c r="AG1540" s="81"/>
      <c r="AH1540" s="81"/>
      <c r="AI1540" s="81"/>
      <c r="AJ1540" s="83"/>
      <c r="AK1540" s="81"/>
      <c r="AL1540" s="81"/>
      <c r="AM1540" s="83"/>
      <c r="AN1540" s="80"/>
      <c r="AO1540" s="82" t="n">
        <f aca="false">IF(E1540="","",(AA1540&lt;&gt;"")+(AG1540&lt;&gt;"")+(AL1540&lt;&gt;""))</f>
        <v>1</v>
      </c>
      <c r="AP1540" s="82" t="str">
        <f aca="false">IF(AL1540&lt;&gt;"",AL1540,IF(AG1540&lt;&gt;"",AG1540,IF(AA1540&lt;&gt;"",AA1540,"")))</f>
        <v>A</v>
      </c>
      <c r="AQ1540" s="84" t="str">
        <f aca="false">IF(E1540="","",IF(U1540="","À SOUDER",IF(X1540="","VT EN ATTENTE",IF(X1540="R","VT REJETÉ – À REPRENDRE",IF(AP1540="","À RADIOGRAPHIER",IF(AP1540="A","ACCEPTÉ",IF(AP1540="NX","NX – RT À REFAIRE",IF(IF(AO1540=1,AD1540,IF(AO1540=2,AI1540,""))="A","RÉPARÉ – À RADIOGRAPHIER",IF(IF(AO1540=1,AD1540,IF(AO1540=2,AI1540,""))="R","VT REJETÉ – À REPRENDRE",IF(OR(AP1540="CO",AP1540="NT"),"COUPE – À RESOUDER","À RÉPARER"))))))))))</f>
        <v>ACCEPTÉ</v>
      </c>
      <c r="AR1540" s="82" t="str">
        <f aca="false">IF(AND(ISNUMBER(U1540),OR(AQ1540="À RADIOGRAPHIER",AQ1540="RÉPARÉ – À RADIOGRAPHIER",AQ1540="NX – RT À REFAIRE",AQ1540="À RÉPARER",AQ1540="COUPE – À RESOUDER",AQ1540="VT REJETÉ – À REPRENDRE")),MAX(0,'PROGRAMME RT'!$C$4-U1540),"")</f>
        <v/>
      </c>
      <c r="AS1540" s="82" t="n">
        <f aca="false">IF(AND(OR(AQ1540="À RADIOGRAPHIER",AQ1540="RÉPARÉ – À RADIOGRAPHIER",AQ1540="NX – RT À REFAIRE"),OR('PROGRAMME RT'!$D$5="TOUTES",B1540='PROGRAMME RT'!$D$5)),1,0)</f>
        <v>0</v>
      </c>
      <c r="AT1540" s="82" t="str">
        <f aca="false">IF(AS1540=1,SUM(AS$7:AS1540),"")</f>
        <v/>
      </c>
      <c r="AU1540" s="82" t="n">
        <f aca="false">IF(AND(OR(AA1540="R",AA1540="NX",AA1540="NT",AA1540="CO"),OR('JOINTS DE RÉPARATION'!$D$5="TOUTES",B1540='JOINTS DE RÉPARATION'!$D$5),OR('JOINTS DE RÉPARATION'!$L$4="TOUS",AQ1540&lt;&gt;"ACCEPTÉ")),1,0)</f>
        <v>0</v>
      </c>
      <c r="AV1540" s="82" t="str">
        <f aca="false">IF(AU1540=1,SUM(AU$7:AU1540),"")</f>
        <v/>
      </c>
      <c r="AW1540" s="82" t="str">
        <f aca="false">IF(E1540="","",B1540&amp;"|"&amp;E1540)</f>
        <v>MFD-ISW → MFD-CPF|DJ°251</v>
      </c>
    </row>
    <row r="1541" customFormat="false" ht="74.6" hidden="false" customHeight="false" outlineLevel="0" collapsed="false">
      <c r="A1541" s="79" t="n">
        <f aca="false">IF(E1541="","",ROW()-6)</f>
        <v>1535</v>
      </c>
      <c r="B1541" s="80" t="s">
        <v>110</v>
      </c>
      <c r="C1541" s="81" t="s">
        <v>1842</v>
      </c>
      <c r="D1541" s="81" t="n">
        <v>13</v>
      </c>
      <c r="E1541" s="81" t="s">
        <v>1846</v>
      </c>
      <c r="F1541" s="82" t="str">
        <f aca="false">IF(E1541="","",IF(LEFT(E1541,2)="DJ","DJ","JN"))</f>
        <v>JN</v>
      </c>
      <c r="G1541" s="81" t="s">
        <v>1504</v>
      </c>
      <c r="H1541" s="81" t="s">
        <v>871</v>
      </c>
      <c r="I1541" s="81" t="n">
        <v>9.53</v>
      </c>
      <c r="J1541" s="81" t="s">
        <v>872</v>
      </c>
      <c r="K1541" s="81" t="s">
        <v>879</v>
      </c>
      <c r="L1541" s="81" t="n">
        <v>2091700</v>
      </c>
      <c r="M1541" s="81" t="n">
        <v>15421109</v>
      </c>
      <c r="N1541" s="81" t="n">
        <v>11.09</v>
      </c>
      <c r="O1541" s="81" t="n">
        <v>2082160</v>
      </c>
      <c r="P1541" s="81" t="n">
        <v>15421104</v>
      </c>
      <c r="Q1541" s="81" t="n">
        <v>11.94</v>
      </c>
      <c r="R1541" s="81" t="s">
        <v>1795</v>
      </c>
      <c r="S1541" s="81"/>
      <c r="T1541" s="81"/>
      <c r="U1541" s="83" t="n">
        <v>46275</v>
      </c>
      <c r="V1541" s="83" t="n">
        <v>46275</v>
      </c>
      <c r="W1541" s="81" t="s">
        <v>1806</v>
      </c>
      <c r="X1541" s="81" t="s">
        <v>876</v>
      </c>
      <c r="Y1541" s="83" t="n">
        <v>46280</v>
      </c>
      <c r="Z1541" s="81" t="s">
        <v>1796</v>
      </c>
      <c r="AA1541" s="81" t="s">
        <v>876</v>
      </c>
      <c r="AB1541" s="81"/>
      <c r="AC1541" s="81"/>
      <c r="AD1541" s="81"/>
      <c r="AE1541" s="83"/>
      <c r="AF1541" s="81"/>
      <c r="AG1541" s="81"/>
      <c r="AH1541" s="81"/>
      <c r="AI1541" s="81"/>
      <c r="AJ1541" s="83"/>
      <c r="AK1541" s="81"/>
      <c r="AL1541" s="81"/>
      <c r="AM1541" s="83"/>
      <c r="AN1541" s="80"/>
      <c r="AO1541" s="82" t="n">
        <f aca="false">IF(E1541="","",(AA1541&lt;&gt;"")+(AG1541&lt;&gt;"")+(AL1541&lt;&gt;""))</f>
        <v>1</v>
      </c>
      <c r="AP1541" s="82" t="str">
        <f aca="false">IF(AL1541&lt;&gt;"",AL1541,IF(AG1541&lt;&gt;"",AG1541,IF(AA1541&lt;&gt;"",AA1541,"")))</f>
        <v>A</v>
      </c>
      <c r="AQ1541" s="84" t="str">
        <f aca="false">IF(E1541="","",IF(U1541="","À SOUDER",IF(X1541="","VT EN ATTENTE",IF(X1541="R","VT REJETÉ – À REPRENDRE",IF(AP1541="","À RADIOGRAPHIER",IF(AP1541="A","ACCEPTÉ",IF(AP1541="NX","NX – RT À REFAIRE",IF(IF(AO1541=1,AD1541,IF(AO1541=2,AI1541,""))="A","RÉPARÉ – À RADIOGRAPHIER",IF(IF(AO1541=1,AD1541,IF(AO1541=2,AI1541,""))="R","VT REJETÉ – À REPRENDRE",IF(OR(AP1541="CO",AP1541="NT"),"COUPE – À RESOUDER","À RÉPARER"))))))))))</f>
        <v>ACCEPTÉ</v>
      </c>
      <c r="AR1541" s="82" t="str">
        <f aca="false">IF(AND(ISNUMBER(U1541),OR(AQ1541="À RADIOGRAPHIER",AQ1541="RÉPARÉ – À RADIOGRAPHIER",AQ1541="NX – RT À REFAIRE",AQ1541="À RÉPARER",AQ1541="COUPE – À RESOUDER",AQ1541="VT REJETÉ – À REPRENDRE")),MAX(0,'PROGRAMME RT'!$C$4-U1541),"")</f>
        <v/>
      </c>
      <c r="AS1541" s="82" t="n">
        <f aca="false">IF(AND(OR(AQ1541="À RADIOGRAPHIER",AQ1541="RÉPARÉ – À RADIOGRAPHIER",AQ1541="NX – RT À REFAIRE"),OR('PROGRAMME RT'!$D$5="TOUTES",B1541='PROGRAMME RT'!$D$5)),1,0)</f>
        <v>0</v>
      </c>
      <c r="AT1541" s="82" t="str">
        <f aca="false">IF(AS1541=1,SUM(AS$7:AS1541),"")</f>
        <v/>
      </c>
      <c r="AU1541" s="82" t="n">
        <f aca="false">IF(AND(OR(AA1541="R",AA1541="NX",AA1541="NT",AA1541="CO"),OR('JOINTS DE RÉPARATION'!$D$5="TOUTES",B1541='JOINTS DE RÉPARATION'!$D$5),OR('JOINTS DE RÉPARATION'!$L$4="TOUS",AQ1541&lt;&gt;"ACCEPTÉ")),1,0)</f>
        <v>0</v>
      </c>
      <c r="AV1541" s="82" t="str">
        <f aca="false">IF(AU1541=1,SUM(AU$7:AU1541),"")</f>
        <v/>
      </c>
      <c r="AW1541" s="82" t="str">
        <f aca="false">IF(E1541="","",B1541&amp;"|"&amp;E1541)</f>
        <v>MFD-ISW → MFD-CPF|JN°1276</v>
      </c>
    </row>
    <row r="1542" customFormat="false" ht="74.6" hidden="false" customHeight="false" outlineLevel="0" collapsed="false">
      <c r="A1542" s="79" t="n">
        <f aca="false">IF(E1542="","",ROW()-6)</f>
        <v>1536</v>
      </c>
      <c r="B1542" s="80" t="s">
        <v>110</v>
      </c>
      <c r="C1542" s="81" t="s">
        <v>1842</v>
      </c>
      <c r="D1542" s="81" t="n">
        <v>13</v>
      </c>
      <c r="E1542" s="81" t="s">
        <v>1847</v>
      </c>
      <c r="F1542" s="82" t="str">
        <f aca="false">IF(E1542="","",IF(LEFT(E1542,2)="DJ","DJ","JN"))</f>
        <v>DJ</v>
      </c>
      <c r="G1542" s="81"/>
      <c r="H1542" s="81" t="s">
        <v>871</v>
      </c>
      <c r="I1542" s="81" t="n">
        <v>9.53</v>
      </c>
      <c r="J1542" s="81" t="s">
        <v>872</v>
      </c>
      <c r="K1542" s="81" t="s">
        <v>873</v>
      </c>
      <c r="L1542" s="81" t="n">
        <v>2082160</v>
      </c>
      <c r="M1542" s="81" t="n">
        <v>15421104</v>
      </c>
      <c r="N1542" s="81" t="n">
        <v>11.94</v>
      </c>
      <c r="O1542" s="81" t="n">
        <v>2082050</v>
      </c>
      <c r="P1542" s="81" t="n">
        <v>1542050</v>
      </c>
      <c r="Q1542" s="81" t="n">
        <v>11.94</v>
      </c>
      <c r="R1542" s="81" t="s">
        <v>1517</v>
      </c>
      <c r="S1542" s="81"/>
      <c r="T1542" s="81"/>
      <c r="U1542" s="83" t="n">
        <v>46268</v>
      </c>
      <c r="V1542" s="83" t="n">
        <v>46268</v>
      </c>
      <c r="W1542" s="81" t="s">
        <v>1773</v>
      </c>
      <c r="X1542" s="81" t="s">
        <v>876</v>
      </c>
      <c r="Y1542" s="83" t="n">
        <v>46269</v>
      </c>
      <c r="Z1542" s="81" t="s">
        <v>1774</v>
      </c>
      <c r="AA1542" s="81" t="s">
        <v>876</v>
      </c>
      <c r="AB1542" s="81"/>
      <c r="AC1542" s="81"/>
      <c r="AD1542" s="81"/>
      <c r="AE1542" s="83"/>
      <c r="AF1542" s="81"/>
      <c r="AG1542" s="81"/>
      <c r="AH1542" s="81"/>
      <c r="AI1542" s="81"/>
      <c r="AJ1542" s="83"/>
      <c r="AK1542" s="81"/>
      <c r="AL1542" s="81"/>
      <c r="AM1542" s="83"/>
      <c r="AN1542" s="80"/>
      <c r="AO1542" s="82" t="n">
        <f aca="false">IF(E1542="","",(AA1542&lt;&gt;"")+(AG1542&lt;&gt;"")+(AL1542&lt;&gt;""))</f>
        <v>1</v>
      </c>
      <c r="AP1542" s="82" t="str">
        <f aca="false">IF(AL1542&lt;&gt;"",AL1542,IF(AG1542&lt;&gt;"",AG1542,IF(AA1542&lt;&gt;"",AA1542,"")))</f>
        <v>A</v>
      </c>
      <c r="AQ1542" s="84" t="str">
        <f aca="false">IF(E1542="","",IF(U1542="","À SOUDER",IF(X1542="","VT EN ATTENTE",IF(X1542="R","VT REJETÉ – À REPRENDRE",IF(AP1542="","À RADIOGRAPHIER",IF(AP1542="A","ACCEPTÉ",IF(AP1542="NX","NX – RT À REFAIRE",IF(IF(AO1542=1,AD1542,IF(AO1542=2,AI1542,""))="A","RÉPARÉ – À RADIOGRAPHIER",IF(IF(AO1542=1,AD1542,IF(AO1542=2,AI1542,""))="R","VT REJETÉ – À REPRENDRE",IF(OR(AP1542="CO",AP1542="NT"),"COUPE – À RESOUDER","À RÉPARER"))))))))))</f>
        <v>ACCEPTÉ</v>
      </c>
      <c r="AR1542" s="82" t="str">
        <f aca="false">IF(AND(ISNUMBER(U1542),OR(AQ1542="À RADIOGRAPHIER",AQ1542="RÉPARÉ – À RADIOGRAPHIER",AQ1542="NX – RT À REFAIRE",AQ1542="À RÉPARER",AQ1542="COUPE – À RESOUDER",AQ1542="VT REJETÉ – À REPRENDRE")),MAX(0,'PROGRAMME RT'!$C$4-U1542),"")</f>
        <v/>
      </c>
      <c r="AS1542" s="82" t="n">
        <f aca="false">IF(AND(OR(AQ1542="À RADIOGRAPHIER",AQ1542="RÉPARÉ – À RADIOGRAPHIER",AQ1542="NX – RT À REFAIRE"),OR('PROGRAMME RT'!$D$5="TOUTES",B1542='PROGRAMME RT'!$D$5)),1,0)</f>
        <v>0</v>
      </c>
      <c r="AT1542" s="82" t="str">
        <f aca="false">IF(AS1542=1,SUM(AS$7:AS1542),"")</f>
        <v/>
      </c>
      <c r="AU1542" s="82" t="n">
        <f aca="false">IF(AND(OR(AA1542="R",AA1542="NX",AA1542="NT",AA1542="CO"),OR('JOINTS DE RÉPARATION'!$D$5="TOUTES",B1542='JOINTS DE RÉPARATION'!$D$5),OR('JOINTS DE RÉPARATION'!$L$4="TOUS",AQ1542&lt;&gt;"ACCEPTÉ")),1,0)</f>
        <v>0</v>
      </c>
      <c r="AV1542" s="82" t="str">
        <f aca="false">IF(AU1542=1,SUM(AU$7:AU1542),"")</f>
        <v/>
      </c>
      <c r="AW1542" s="82" t="str">
        <f aca="false">IF(E1542="","",B1542&amp;"|"&amp;E1542)</f>
        <v>MFD-ISW → MFD-CPF|DJ°266</v>
      </c>
    </row>
    <row r="1543" customFormat="false" ht="74.6" hidden="false" customHeight="false" outlineLevel="0" collapsed="false">
      <c r="A1543" s="79" t="n">
        <f aca="false">IF(E1543="","",ROW()-6)</f>
        <v>1537</v>
      </c>
      <c r="B1543" s="80" t="s">
        <v>110</v>
      </c>
      <c r="C1543" s="81" t="s">
        <v>1842</v>
      </c>
      <c r="D1543" s="81" t="n">
        <v>13</v>
      </c>
      <c r="E1543" s="81" t="s">
        <v>1848</v>
      </c>
      <c r="F1543" s="82" t="str">
        <f aca="false">IF(E1543="","",IF(LEFT(E1543,2)="DJ","DJ","JN"))</f>
        <v>JN</v>
      </c>
      <c r="G1543" s="81" t="s">
        <v>1504</v>
      </c>
      <c r="H1543" s="81" t="s">
        <v>871</v>
      </c>
      <c r="I1543" s="81" t="n">
        <v>9.53</v>
      </c>
      <c r="J1543" s="81" t="s">
        <v>872</v>
      </c>
      <c r="K1543" s="81" t="s">
        <v>879</v>
      </c>
      <c r="L1543" s="81" t="n">
        <v>2082050</v>
      </c>
      <c r="M1543" s="81" t="n">
        <v>1542050</v>
      </c>
      <c r="N1543" s="81" t="n">
        <v>11.94</v>
      </c>
      <c r="O1543" s="81" t="n">
        <v>2081570</v>
      </c>
      <c r="P1543" s="81" t="n">
        <v>15421103</v>
      </c>
      <c r="Q1543" s="81" t="n">
        <v>11.94</v>
      </c>
      <c r="R1543" s="81" t="s">
        <v>1795</v>
      </c>
      <c r="S1543" s="81"/>
      <c r="T1543" s="81"/>
      <c r="U1543" s="83" t="n">
        <v>46275</v>
      </c>
      <c r="V1543" s="83" t="n">
        <v>46275</v>
      </c>
      <c r="W1543" s="81" t="s">
        <v>1806</v>
      </c>
      <c r="X1543" s="81" t="s">
        <v>876</v>
      </c>
      <c r="Y1543" s="83" t="n">
        <v>46280</v>
      </c>
      <c r="Z1543" s="81" t="s">
        <v>1796</v>
      </c>
      <c r="AA1543" s="81" t="s">
        <v>876</v>
      </c>
      <c r="AB1543" s="81"/>
      <c r="AC1543" s="81"/>
      <c r="AD1543" s="81"/>
      <c r="AE1543" s="83"/>
      <c r="AF1543" s="81"/>
      <c r="AG1543" s="81"/>
      <c r="AH1543" s="81"/>
      <c r="AI1543" s="81"/>
      <c r="AJ1543" s="83"/>
      <c r="AK1543" s="81"/>
      <c r="AL1543" s="81"/>
      <c r="AM1543" s="83"/>
      <c r="AN1543" s="80"/>
      <c r="AO1543" s="82" t="n">
        <f aca="false">IF(E1543="","",(AA1543&lt;&gt;"")+(AG1543&lt;&gt;"")+(AL1543&lt;&gt;""))</f>
        <v>1</v>
      </c>
      <c r="AP1543" s="82" t="str">
        <f aca="false">IF(AL1543&lt;&gt;"",AL1543,IF(AG1543&lt;&gt;"",AG1543,IF(AA1543&lt;&gt;"",AA1543,"")))</f>
        <v>A</v>
      </c>
      <c r="AQ1543" s="84" t="str">
        <f aca="false">IF(E1543="","",IF(U1543="","À SOUDER",IF(X1543="","VT EN ATTENTE",IF(X1543="R","VT REJETÉ – À REPRENDRE",IF(AP1543="","À RADIOGRAPHIER",IF(AP1543="A","ACCEPTÉ",IF(AP1543="NX","NX – RT À REFAIRE",IF(IF(AO1543=1,AD1543,IF(AO1543=2,AI1543,""))="A","RÉPARÉ – À RADIOGRAPHIER",IF(IF(AO1543=1,AD1543,IF(AO1543=2,AI1543,""))="R","VT REJETÉ – À REPRENDRE",IF(OR(AP1543="CO",AP1543="NT"),"COUPE – À RESOUDER","À RÉPARER"))))))))))</f>
        <v>ACCEPTÉ</v>
      </c>
      <c r="AR1543" s="82" t="str">
        <f aca="false">IF(AND(ISNUMBER(U1543),OR(AQ1543="À RADIOGRAPHIER",AQ1543="RÉPARÉ – À RADIOGRAPHIER",AQ1543="NX – RT À REFAIRE",AQ1543="À RÉPARER",AQ1543="COUPE – À RESOUDER",AQ1543="VT REJETÉ – À REPRENDRE")),MAX(0,'PROGRAMME RT'!$C$4-U1543),"")</f>
        <v/>
      </c>
      <c r="AS1543" s="82" t="n">
        <f aca="false">IF(AND(OR(AQ1543="À RADIOGRAPHIER",AQ1543="RÉPARÉ – À RADIOGRAPHIER",AQ1543="NX – RT À REFAIRE"),OR('PROGRAMME RT'!$D$5="TOUTES",B1543='PROGRAMME RT'!$D$5)),1,0)</f>
        <v>0</v>
      </c>
      <c r="AT1543" s="82" t="str">
        <f aca="false">IF(AS1543=1,SUM(AS$7:AS1543),"")</f>
        <v/>
      </c>
      <c r="AU1543" s="82" t="n">
        <f aca="false">IF(AND(OR(AA1543="R",AA1543="NX",AA1543="NT",AA1543="CO"),OR('JOINTS DE RÉPARATION'!$D$5="TOUTES",B1543='JOINTS DE RÉPARATION'!$D$5),OR('JOINTS DE RÉPARATION'!$L$4="TOUS",AQ1543&lt;&gt;"ACCEPTÉ")),1,0)</f>
        <v>0</v>
      </c>
      <c r="AV1543" s="82" t="str">
        <f aca="false">IF(AU1543=1,SUM(AU$7:AU1543),"")</f>
        <v/>
      </c>
      <c r="AW1543" s="82" t="str">
        <f aca="false">IF(E1543="","",B1543&amp;"|"&amp;E1543)</f>
        <v>MFD-ISW → MFD-CPF|JN°1277</v>
      </c>
    </row>
    <row r="1544" customFormat="false" ht="74.6" hidden="false" customHeight="false" outlineLevel="0" collapsed="false">
      <c r="A1544" s="79" t="n">
        <f aca="false">IF(E1544="","",ROW()-6)</f>
        <v>1538</v>
      </c>
      <c r="B1544" s="80" t="s">
        <v>110</v>
      </c>
      <c r="C1544" s="81" t="s">
        <v>1842</v>
      </c>
      <c r="D1544" s="81" t="n">
        <v>13</v>
      </c>
      <c r="E1544" s="81" t="s">
        <v>1849</v>
      </c>
      <c r="F1544" s="82" t="str">
        <f aca="false">IF(E1544="","",IF(LEFT(E1544,2)="DJ","DJ","JN"))</f>
        <v>DJ</v>
      </c>
      <c r="G1544" s="81"/>
      <c r="H1544" s="81" t="s">
        <v>871</v>
      </c>
      <c r="I1544" s="81" t="n">
        <v>9.53</v>
      </c>
      <c r="J1544" s="81" t="s">
        <v>872</v>
      </c>
      <c r="K1544" s="81" t="s">
        <v>873</v>
      </c>
      <c r="L1544" s="81" t="n">
        <v>2081570</v>
      </c>
      <c r="M1544" s="81" t="n">
        <v>15421103</v>
      </c>
      <c r="N1544" s="81" t="n">
        <v>11.94</v>
      </c>
      <c r="O1544" s="81" t="n">
        <v>2094370</v>
      </c>
      <c r="P1544" s="81" t="n">
        <v>15421111</v>
      </c>
      <c r="Q1544" s="81" t="n">
        <v>11.94</v>
      </c>
      <c r="R1544" s="81" t="s">
        <v>963</v>
      </c>
      <c r="S1544" s="81"/>
      <c r="T1544" s="81"/>
      <c r="U1544" s="83" t="n">
        <v>46268</v>
      </c>
      <c r="V1544" s="83" t="n">
        <v>46268</v>
      </c>
      <c r="W1544" s="81" t="s">
        <v>1773</v>
      </c>
      <c r="X1544" s="81" t="s">
        <v>876</v>
      </c>
      <c r="Y1544" s="83" t="n">
        <v>46269</v>
      </c>
      <c r="Z1544" s="81" t="s">
        <v>1774</v>
      </c>
      <c r="AA1544" s="81" t="s">
        <v>876</v>
      </c>
      <c r="AB1544" s="81"/>
      <c r="AC1544" s="81"/>
      <c r="AD1544" s="81"/>
      <c r="AE1544" s="83"/>
      <c r="AF1544" s="81"/>
      <c r="AG1544" s="81"/>
      <c r="AH1544" s="81"/>
      <c r="AI1544" s="81"/>
      <c r="AJ1544" s="83"/>
      <c r="AK1544" s="81"/>
      <c r="AL1544" s="81"/>
      <c r="AM1544" s="83"/>
      <c r="AN1544" s="80"/>
      <c r="AO1544" s="82" t="n">
        <f aca="false">IF(E1544="","",(AA1544&lt;&gt;"")+(AG1544&lt;&gt;"")+(AL1544&lt;&gt;""))</f>
        <v>1</v>
      </c>
      <c r="AP1544" s="82" t="str">
        <f aca="false">IF(AL1544&lt;&gt;"",AL1544,IF(AG1544&lt;&gt;"",AG1544,IF(AA1544&lt;&gt;"",AA1544,"")))</f>
        <v>A</v>
      </c>
      <c r="AQ1544" s="84" t="str">
        <f aca="false">IF(E1544="","",IF(U1544="","À SOUDER",IF(X1544="","VT EN ATTENTE",IF(X1544="R","VT REJETÉ – À REPRENDRE",IF(AP1544="","À RADIOGRAPHIER",IF(AP1544="A","ACCEPTÉ",IF(AP1544="NX","NX – RT À REFAIRE",IF(IF(AO1544=1,AD1544,IF(AO1544=2,AI1544,""))="A","RÉPARÉ – À RADIOGRAPHIER",IF(IF(AO1544=1,AD1544,IF(AO1544=2,AI1544,""))="R","VT REJETÉ – À REPRENDRE",IF(OR(AP1544="CO",AP1544="NT"),"COUPE – À RESOUDER","À RÉPARER"))))))))))</f>
        <v>ACCEPTÉ</v>
      </c>
      <c r="AR1544" s="82" t="str">
        <f aca="false">IF(AND(ISNUMBER(U1544),OR(AQ1544="À RADIOGRAPHIER",AQ1544="RÉPARÉ – À RADIOGRAPHIER",AQ1544="NX – RT À REFAIRE",AQ1544="À RÉPARER",AQ1544="COUPE – À RESOUDER",AQ1544="VT REJETÉ – À REPRENDRE")),MAX(0,'PROGRAMME RT'!$C$4-U1544),"")</f>
        <v/>
      </c>
      <c r="AS1544" s="82" t="n">
        <f aca="false">IF(AND(OR(AQ1544="À RADIOGRAPHIER",AQ1544="RÉPARÉ – À RADIOGRAPHIER",AQ1544="NX – RT À REFAIRE"),OR('PROGRAMME RT'!$D$5="TOUTES",B1544='PROGRAMME RT'!$D$5)),1,0)</f>
        <v>0</v>
      </c>
      <c r="AT1544" s="82" t="str">
        <f aca="false">IF(AS1544=1,SUM(AS$7:AS1544),"")</f>
        <v/>
      </c>
      <c r="AU1544" s="82" t="n">
        <f aca="false">IF(AND(OR(AA1544="R",AA1544="NX",AA1544="NT",AA1544="CO"),OR('JOINTS DE RÉPARATION'!$D$5="TOUTES",B1544='JOINTS DE RÉPARATION'!$D$5),OR('JOINTS DE RÉPARATION'!$L$4="TOUS",AQ1544&lt;&gt;"ACCEPTÉ")),1,0)</f>
        <v>0</v>
      </c>
      <c r="AV1544" s="82" t="str">
        <f aca="false">IF(AU1544=1,SUM(AU$7:AU1544),"")</f>
        <v/>
      </c>
      <c r="AW1544" s="82" t="str">
        <f aca="false">IF(E1544="","",B1544&amp;"|"&amp;E1544)</f>
        <v>MFD-ISW → MFD-CPF|DJ°260</v>
      </c>
    </row>
    <row r="1545" customFormat="false" ht="74.6" hidden="false" customHeight="false" outlineLevel="0" collapsed="false">
      <c r="A1545" s="79" t="n">
        <f aca="false">IF(E1545="","",ROW()-6)</f>
        <v>1539</v>
      </c>
      <c r="B1545" s="80" t="s">
        <v>110</v>
      </c>
      <c r="C1545" s="81" t="s">
        <v>1842</v>
      </c>
      <c r="D1545" s="81" t="n">
        <v>13</v>
      </c>
      <c r="E1545" s="81" t="s">
        <v>1850</v>
      </c>
      <c r="F1545" s="82" t="str">
        <f aca="false">IF(E1545="","",IF(LEFT(E1545,2)="DJ","DJ","JN"))</f>
        <v>JN</v>
      </c>
      <c r="G1545" s="81" t="s">
        <v>1504</v>
      </c>
      <c r="H1545" s="81" t="s">
        <v>871</v>
      </c>
      <c r="I1545" s="81" t="n">
        <v>9.53</v>
      </c>
      <c r="J1545" s="81" t="s">
        <v>872</v>
      </c>
      <c r="K1545" s="81" t="s">
        <v>879</v>
      </c>
      <c r="L1545" s="81" t="n">
        <v>2094370</v>
      </c>
      <c r="M1545" s="81" t="n">
        <v>15421111</v>
      </c>
      <c r="N1545" s="81" t="n">
        <v>11.94</v>
      </c>
      <c r="O1545" s="81" t="n">
        <v>2081430</v>
      </c>
      <c r="P1545" s="81" t="n">
        <v>15421103</v>
      </c>
      <c r="Q1545" s="81" t="n">
        <v>11.94</v>
      </c>
      <c r="R1545" s="81" t="s">
        <v>1795</v>
      </c>
      <c r="S1545" s="81"/>
      <c r="T1545" s="81"/>
      <c r="U1545" s="83" t="n">
        <v>46275</v>
      </c>
      <c r="V1545" s="83" t="n">
        <v>46275</v>
      </c>
      <c r="W1545" s="81" t="s">
        <v>1806</v>
      </c>
      <c r="X1545" s="81" t="s">
        <v>876</v>
      </c>
      <c r="Y1545" s="83" t="n">
        <v>46280</v>
      </c>
      <c r="Z1545" s="81" t="s">
        <v>1796</v>
      </c>
      <c r="AA1545" s="81" t="s">
        <v>876</v>
      </c>
      <c r="AB1545" s="81"/>
      <c r="AC1545" s="81"/>
      <c r="AD1545" s="81"/>
      <c r="AE1545" s="83"/>
      <c r="AF1545" s="81"/>
      <c r="AG1545" s="81"/>
      <c r="AH1545" s="81"/>
      <c r="AI1545" s="81"/>
      <c r="AJ1545" s="83"/>
      <c r="AK1545" s="81"/>
      <c r="AL1545" s="81"/>
      <c r="AM1545" s="83"/>
      <c r="AN1545" s="80"/>
      <c r="AO1545" s="82" t="n">
        <f aca="false">IF(E1545="","",(AA1545&lt;&gt;"")+(AG1545&lt;&gt;"")+(AL1545&lt;&gt;""))</f>
        <v>1</v>
      </c>
      <c r="AP1545" s="82" t="str">
        <f aca="false">IF(AL1545&lt;&gt;"",AL1545,IF(AG1545&lt;&gt;"",AG1545,IF(AA1545&lt;&gt;"",AA1545,"")))</f>
        <v>A</v>
      </c>
      <c r="AQ1545" s="84" t="str">
        <f aca="false">IF(E1545="","",IF(U1545="","À SOUDER",IF(X1545="","VT EN ATTENTE",IF(X1545="R","VT REJETÉ – À REPRENDRE",IF(AP1545="","À RADIOGRAPHIER",IF(AP1545="A","ACCEPTÉ",IF(AP1545="NX","NX – RT À REFAIRE",IF(IF(AO1545=1,AD1545,IF(AO1545=2,AI1545,""))="A","RÉPARÉ – À RADIOGRAPHIER",IF(IF(AO1545=1,AD1545,IF(AO1545=2,AI1545,""))="R","VT REJETÉ – À REPRENDRE",IF(OR(AP1545="CO",AP1545="NT"),"COUPE – À RESOUDER","À RÉPARER"))))))))))</f>
        <v>ACCEPTÉ</v>
      </c>
      <c r="AR1545" s="82" t="str">
        <f aca="false">IF(AND(ISNUMBER(U1545),OR(AQ1545="À RADIOGRAPHIER",AQ1545="RÉPARÉ – À RADIOGRAPHIER",AQ1545="NX – RT À REFAIRE",AQ1545="À RÉPARER",AQ1545="COUPE – À RESOUDER",AQ1545="VT REJETÉ – À REPRENDRE")),MAX(0,'PROGRAMME RT'!$C$4-U1545),"")</f>
        <v/>
      </c>
      <c r="AS1545" s="82" t="n">
        <f aca="false">IF(AND(OR(AQ1545="À RADIOGRAPHIER",AQ1545="RÉPARÉ – À RADIOGRAPHIER",AQ1545="NX – RT À REFAIRE"),OR('PROGRAMME RT'!$D$5="TOUTES",B1545='PROGRAMME RT'!$D$5)),1,0)</f>
        <v>0</v>
      </c>
      <c r="AT1545" s="82" t="str">
        <f aca="false">IF(AS1545=1,SUM(AS$7:AS1545),"")</f>
        <v/>
      </c>
      <c r="AU1545" s="82" t="n">
        <f aca="false">IF(AND(OR(AA1545="R",AA1545="NX",AA1545="NT",AA1545="CO"),OR('JOINTS DE RÉPARATION'!$D$5="TOUTES",B1545='JOINTS DE RÉPARATION'!$D$5),OR('JOINTS DE RÉPARATION'!$L$4="TOUS",AQ1545&lt;&gt;"ACCEPTÉ")),1,0)</f>
        <v>0</v>
      </c>
      <c r="AV1545" s="82" t="str">
        <f aca="false">IF(AU1545=1,SUM(AU$7:AU1545),"")</f>
        <v/>
      </c>
      <c r="AW1545" s="82" t="str">
        <f aca="false">IF(E1545="","",B1545&amp;"|"&amp;E1545)</f>
        <v>MFD-ISW → MFD-CPF|JN°1278</v>
      </c>
    </row>
    <row r="1546" customFormat="false" ht="74.6" hidden="false" customHeight="false" outlineLevel="0" collapsed="false">
      <c r="A1546" s="79" t="n">
        <f aca="false">IF(E1546="","",ROW()-6)</f>
        <v>1540</v>
      </c>
      <c r="B1546" s="80" t="s">
        <v>110</v>
      </c>
      <c r="C1546" s="81" t="s">
        <v>1842</v>
      </c>
      <c r="D1546" s="81" t="n">
        <v>13</v>
      </c>
      <c r="E1546" s="81" t="s">
        <v>1851</v>
      </c>
      <c r="F1546" s="82" t="str">
        <f aca="false">IF(E1546="","",IF(LEFT(E1546,2)="DJ","DJ","JN"))</f>
        <v>DJ</v>
      </c>
      <c r="G1546" s="81"/>
      <c r="H1546" s="81" t="s">
        <v>871</v>
      </c>
      <c r="I1546" s="81" t="n">
        <v>9.53</v>
      </c>
      <c r="J1546" s="81" t="s">
        <v>872</v>
      </c>
      <c r="K1546" s="81" t="s">
        <v>873</v>
      </c>
      <c r="L1546" s="81" t="n">
        <v>2081430</v>
      </c>
      <c r="M1546" s="81" t="n">
        <v>15421103</v>
      </c>
      <c r="N1546" s="81" t="n">
        <v>11.94</v>
      </c>
      <c r="O1546" s="81" t="n">
        <v>2089710</v>
      </c>
      <c r="P1546" s="81" t="n">
        <v>15421104</v>
      </c>
      <c r="Q1546" s="81" t="n">
        <v>11.94</v>
      </c>
      <c r="R1546" s="81" t="s">
        <v>963</v>
      </c>
      <c r="S1546" s="81"/>
      <c r="T1546" s="81"/>
      <c r="U1546" s="83" t="n">
        <v>46268</v>
      </c>
      <c r="V1546" s="83" t="n">
        <v>46268</v>
      </c>
      <c r="W1546" s="81" t="s">
        <v>1773</v>
      </c>
      <c r="X1546" s="81" t="s">
        <v>876</v>
      </c>
      <c r="Y1546" s="83" t="n">
        <v>46269</v>
      </c>
      <c r="Z1546" s="81" t="s">
        <v>1774</v>
      </c>
      <c r="AA1546" s="81" t="s">
        <v>876</v>
      </c>
      <c r="AB1546" s="81"/>
      <c r="AC1546" s="81"/>
      <c r="AD1546" s="81"/>
      <c r="AE1546" s="83"/>
      <c r="AF1546" s="81"/>
      <c r="AG1546" s="81"/>
      <c r="AH1546" s="81"/>
      <c r="AI1546" s="81"/>
      <c r="AJ1546" s="83"/>
      <c r="AK1546" s="81"/>
      <c r="AL1546" s="81"/>
      <c r="AM1546" s="83"/>
      <c r="AN1546" s="80"/>
      <c r="AO1546" s="82" t="n">
        <f aca="false">IF(E1546="","",(AA1546&lt;&gt;"")+(AG1546&lt;&gt;"")+(AL1546&lt;&gt;""))</f>
        <v>1</v>
      </c>
      <c r="AP1546" s="82" t="str">
        <f aca="false">IF(AL1546&lt;&gt;"",AL1546,IF(AG1546&lt;&gt;"",AG1546,IF(AA1546&lt;&gt;"",AA1546,"")))</f>
        <v>A</v>
      </c>
      <c r="AQ1546" s="84" t="str">
        <f aca="false">IF(E1546="","",IF(U1546="","À SOUDER",IF(X1546="","VT EN ATTENTE",IF(X1546="R","VT REJETÉ – À REPRENDRE",IF(AP1546="","À RADIOGRAPHIER",IF(AP1546="A","ACCEPTÉ",IF(AP1546="NX","NX – RT À REFAIRE",IF(IF(AO1546=1,AD1546,IF(AO1546=2,AI1546,""))="A","RÉPARÉ – À RADIOGRAPHIER",IF(IF(AO1546=1,AD1546,IF(AO1546=2,AI1546,""))="R","VT REJETÉ – À REPRENDRE",IF(OR(AP1546="CO",AP1546="NT"),"COUPE – À RESOUDER","À RÉPARER"))))))))))</f>
        <v>ACCEPTÉ</v>
      </c>
      <c r="AR1546" s="82" t="str">
        <f aca="false">IF(AND(ISNUMBER(U1546),OR(AQ1546="À RADIOGRAPHIER",AQ1546="RÉPARÉ – À RADIOGRAPHIER",AQ1546="NX – RT À REFAIRE",AQ1546="À RÉPARER",AQ1546="COUPE – À RESOUDER",AQ1546="VT REJETÉ – À REPRENDRE")),MAX(0,'PROGRAMME RT'!$C$4-U1546),"")</f>
        <v/>
      </c>
      <c r="AS1546" s="82" t="n">
        <f aca="false">IF(AND(OR(AQ1546="À RADIOGRAPHIER",AQ1546="RÉPARÉ – À RADIOGRAPHIER",AQ1546="NX – RT À REFAIRE"),OR('PROGRAMME RT'!$D$5="TOUTES",B1546='PROGRAMME RT'!$D$5)),1,0)</f>
        <v>0</v>
      </c>
      <c r="AT1546" s="82" t="str">
        <f aca="false">IF(AS1546=1,SUM(AS$7:AS1546),"")</f>
        <v/>
      </c>
      <c r="AU1546" s="82" t="n">
        <f aca="false">IF(AND(OR(AA1546="R",AA1546="NX",AA1546="NT",AA1546="CO"),OR('JOINTS DE RÉPARATION'!$D$5="TOUTES",B1546='JOINTS DE RÉPARATION'!$D$5),OR('JOINTS DE RÉPARATION'!$L$4="TOUS",AQ1546&lt;&gt;"ACCEPTÉ")),1,0)</f>
        <v>0</v>
      </c>
      <c r="AV1546" s="82" t="str">
        <f aca="false">IF(AU1546=1,SUM(AU$7:AU1546),"")</f>
        <v/>
      </c>
      <c r="AW1546" s="82" t="str">
        <f aca="false">IF(E1546="","",B1546&amp;"|"&amp;E1546)</f>
        <v>MFD-ISW → MFD-CPF|DJ°253</v>
      </c>
    </row>
    <row r="1547" customFormat="false" ht="74.6" hidden="false" customHeight="false" outlineLevel="0" collapsed="false">
      <c r="A1547" s="79" t="n">
        <f aca="false">IF(E1547="","",ROW()-6)</f>
        <v>1541</v>
      </c>
      <c r="B1547" s="80" t="s">
        <v>110</v>
      </c>
      <c r="C1547" s="81" t="s">
        <v>1842</v>
      </c>
      <c r="D1547" s="81" t="n">
        <v>13</v>
      </c>
      <c r="E1547" s="81" t="s">
        <v>1852</v>
      </c>
      <c r="F1547" s="82" t="str">
        <f aca="false">IF(E1547="","",IF(LEFT(E1547,2)="DJ","DJ","JN"))</f>
        <v>JN</v>
      </c>
      <c r="G1547" s="81" t="s">
        <v>1504</v>
      </c>
      <c r="H1547" s="81" t="s">
        <v>871</v>
      </c>
      <c r="I1547" s="81" t="n">
        <v>9.53</v>
      </c>
      <c r="J1547" s="81" t="s">
        <v>872</v>
      </c>
      <c r="K1547" s="81" t="s">
        <v>879</v>
      </c>
      <c r="L1547" s="81" t="n">
        <v>2089710</v>
      </c>
      <c r="M1547" s="81" t="n">
        <v>15421104</v>
      </c>
      <c r="N1547" s="81" t="n">
        <v>11.94</v>
      </c>
      <c r="O1547" s="81" t="n">
        <v>2095600</v>
      </c>
      <c r="P1547" s="81" t="n">
        <v>15421111</v>
      </c>
      <c r="Q1547" s="81" t="n">
        <v>11.94</v>
      </c>
      <c r="R1547" s="81" t="s">
        <v>1795</v>
      </c>
      <c r="S1547" s="81"/>
      <c r="T1547" s="81"/>
      <c r="U1547" s="83" t="n">
        <v>46275</v>
      </c>
      <c r="V1547" s="83" t="n">
        <v>46275</v>
      </c>
      <c r="W1547" s="81" t="s">
        <v>1806</v>
      </c>
      <c r="X1547" s="81" t="s">
        <v>876</v>
      </c>
      <c r="Y1547" s="83" t="n">
        <v>46280</v>
      </c>
      <c r="Z1547" s="81" t="s">
        <v>1796</v>
      </c>
      <c r="AA1547" s="81" t="s">
        <v>1073</v>
      </c>
      <c r="AB1547" s="81" t="s">
        <v>1853</v>
      </c>
      <c r="AC1547" s="81"/>
      <c r="AD1547" s="81"/>
      <c r="AE1547" s="83"/>
      <c r="AF1547" s="81"/>
      <c r="AG1547" s="81"/>
      <c r="AH1547" s="81"/>
      <c r="AI1547" s="81"/>
      <c r="AJ1547" s="83"/>
      <c r="AK1547" s="81"/>
      <c r="AL1547" s="81"/>
      <c r="AM1547" s="83"/>
      <c r="AN1547" s="80"/>
      <c r="AO1547" s="82" t="n">
        <f aca="false">IF(E1547="","",(AA1547&lt;&gt;"")+(AG1547&lt;&gt;"")+(AL1547&lt;&gt;""))</f>
        <v>1</v>
      </c>
      <c r="AP1547" s="82" t="str">
        <f aca="false">IF(AL1547&lt;&gt;"",AL1547,IF(AG1547&lt;&gt;"",AG1547,IF(AA1547&lt;&gt;"",AA1547,"")))</f>
        <v>R</v>
      </c>
      <c r="AQ1547" s="84" t="str">
        <f aca="false">IF(E1547="","",IF(U1547="","À SOUDER",IF(X1547="","VT EN ATTENTE",IF(X1547="R","VT REJETÉ – À REPRENDRE",IF(AP1547="","À RADIOGRAPHIER",IF(AP1547="A","ACCEPTÉ",IF(AP1547="NX","NX – RT À REFAIRE",IF(IF(AO1547=1,AD1547,IF(AO1547=2,AI1547,""))="A","RÉPARÉ – À RADIOGRAPHIER",IF(IF(AO1547=1,AD1547,IF(AO1547=2,AI1547,""))="R","VT REJETÉ – À REPRENDRE",IF(OR(AP1547="CO",AP1547="NT"),"COUPE – À RESOUDER","À RÉPARER"))))))))))</f>
        <v>À RÉPARER</v>
      </c>
      <c r="AR1547" s="82" t="n">
        <f aca="false">IF(AND(ISNUMBER(U1547),OR(AQ1547="À RADIOGRAPHIER",AQ1547="RÉPARÉ – À RADIOGRAPHIER",AQ1547="NX – RT À REFAIRE",AQ1547="À RÉPARER",AQ1547="COUPE – À RESOUDER",AQ1547="VT REJETÉ – À REPRENDRE")),MAX(0,'PROGRAMME RT'!$C$4-U1547),"")</f>
        <v>18</v>
      </c>
      <c r="AS1547" s="82" t="n">
        <f aca="false">IF(AND(OR(AQ1547="À RADIOGRAPHIER",AQ1547="RÉPARÉ – À RADIOGRAPHIER",AQ1547="NX – RT À REFAIRE"),OR('PROGRAMME RT'!$D$5="TOUTES",B1547='PROGRAMME RT'!$D$5)),1,0)</f>
        <v>0</v>
      </c>
      <c r="AT1547" s="82" t="str">
        <f aca="false">IF(AS1547=1,SUM(AS$7:AS1547),"")</f>
        <v/>
      </c>
      <c r="AU1547" s="82" t="n">
        <f aca="false">IF(AND(OR(AA1547="R",AA1547="NX",AA1547="NT",AA1547="CO"),OR('JOINTS DE RÉPARATION'!$D$5="TOUTES",B1547='JOINTS DE RÉPARATION'!$D$5),OR('JOINTS DE RÉPARATION'!$L$4="TOUS",AQ1547&lt;&gt;"ACCEPTÉ")),1,0)</f>
        <v>1</v>
      </c>
      <c r="AV1547" s="82" t="n">
        <f aca="false">IF(AU1547=1,SUM(AU$7:AU1547),"")</f>
        <v>41</v>
      </c>
      <c r="AW1547" s="82" t="str">
        <f aca="false">IF(E1547="","",B1547&amp;"|"&amp;E1547)</f>
        <v>MFD-ISW → MFD-CPF|JN°1279</v>
      </c>
    </row>
    <row r="1548" customFormat="false" ht="74.6" hidden="false" customHeight="false" outlineLevel="0" collapsed="false">
      <c r="A1548" s="79" t="n">
        <f aca="false">IF(E1548="","",ROW()-6)</f>
        <v>1542</v>
      </c>
      <c r="B1548" s="80" t="s">
        <v>110</v>
      </c>
      <c r="C1548" s="81" t="s">
        <v>1842</v>
      </c>
      <c r="D1548" s="81" t="n">
        <v>13</v>
      </c>
      <c r="E1548" s="81" t="s">
        <v>1854</v>
      </c>
      <c r="F1548" s="82" t="str">
        <f aca="false">IF(E1548="","",IF(LEFT(E1548,2)="DJ","DJ","JN"))</f>
        <v>DJ</v>
      </c>
      <c r="G1548" s="81"/>
      <c r="H1548" s="81" t="s">
        <v>871</v>
      </c>
      <c r="I1548" s="81" t="n">
        <v>9.53</v>
      </c>
      <c r="J1548" s="81" t="s">
        <v>872</v>
      </c>
      <c r="K1548" s="81" t="s">
        <v>873</v>
      </c>
      <c r="L1548" s="81" t="n">
        <v>2095600</v>
      </c>
      <c r="M1548" s="81" t="n">
        <v>15421111</v>
      </c>
      <c r="N1548" s="81" t="n">
        <v>11.94</v>
      </c>
      <c r="O1548" s="81" t="n">
        <v>2098520</v>
      </c>
      <c r="P1548" s="81" t="n">
        <v>15421112</v>
      </c>
      <c r="Q1548" s="81" t="n">
        <v>11.94</v>
      </c>
      <c r="R1548" s="81" t="s">
        <v>1517</v>
      </c>
      <c r="S1548" s="81"/>
      <c r="T1548" s="81"/>
      <c r="U1548" s="83" t="n">
        <v>46268</v>
      </c>
      <c r="V1548" s="83" t="n">
        <v>46268</v>
      </c>
      <c r="W1548" s="81" t="s">
        <v>1773</v>
      </c>
      <c r="X1548" s="81" t="s">
        <v>876</v>
      </c>
      <c r="Y1548" s="83" t="n">
        <v>46269</v>
      </c>
      <c r="Z1548" s="81" t="s">
        <v>1774</v>
      </c>
      <c r="AA1548" s="81" t="s">
        <v>876</v>
      </c>
      <c r="AB1548" s="81"/>
      <c r="AC1548" s="81"/>
      <c r="AD1548" s="81"/>
      <c r="AE1548" s="83"/>
      <c r="AF1548" s="81"/>
      <c r="AG1548" s="81"/>
      <c r="AH1548" s="81"/>
      <c r="AI1548" s="81"/>
      <c r="AJ1548" s="83"/>
      <c r="AK1548" s="81"/>
      <c r="AL1548" s="81"/>
      <c r="AM1548" s="83"/>
      <c r="AN1548" s="80"/>
      <c r="AO1548" s="82" t="n">
        <f aca="false">IF(E1548="","",(AA1548&lt;&gt;"")+(AG1548&lt;&gt;"")+(AL1548&lt;&gt;""))</f>
        <v>1</v>
      </c>
      <c r="AP1548" s="82" t="str">
        <f aca="false">IF(AL1548&lt;&gt;"",AL1548,IF(AG1548&lt;&gt;"",AG1548,IF(AA1548&lt;&gt;"",AA1548,"")))</f>
        <v>A</v>
      </c>
      <c r="AQ1548" s="84" t="str">
        <f aca="false">IF(E1548="","",IF(U1548="","À SOUDER",IF(X1548="","VT EN ATTENTE",IF(X1548="R","VT REJETÉ – À REPRENDRE",IF(AP1548="","À RADIOGRAPHIER",IF(AP1548="A","ACCEPTÉ",IF(AP1548="NX","NX – RT À REFAIRE",IF(IF(AO1548=1,AD1548,IF(AO1548=2,AI1548,""))="A","RÉPARÉ – À RADIOGRAPHIER",IF(IF(AO1548=1,AD1548,IF(AO1548=2,AI1548,""))="R","VT REJETÉ – À REPRENDRE",IF(OR(AP1548="CO",AP1548="NT"),"COUPE – À RESOUDER","À RÉPARER"))))))))))</f>
        <v>ACCEPTÉ</v>
      </c>
      <c r="AR1548" s="82" t="str">
        <f aca="false">IF(AND(ISNUMBER(U1548),OR(AQ1548="À RADIOGRAPHIER",AQ1548="RÉPARÉ – À RADIOGRAPHIER",AQ1548="NX – RT À REFAIRE",AQ1548="À RÉPARER",AQ1548="COUPE – À RESOUDER",AQ1548="VT REJETÉ – À REPRENDRE")),MAX(0,'PROGRAMME RT'!$C$4-U1548),"")</f>
        <v/>
      </c>
      <c r="AS1548" s="82" t="n">
        <f aca="false">IF(AND(OR(AQ1548="À RADIOGRAPHIER",AQ1548="RÉPARÉ – À RADIOGRAPHIER",AQ1548="NX – RT À REFAIRE"),OR('PROGRAMME RT'!$D$5="TOUTES",B1548='PROGRAMME RT'!$D$5)),1,0)</f>
        <v>0</v>
      </c>
      <c r="AT1548" s="82" t="str">
        <f aca="false">IF(AS1548=1,SUM(AS$7:AS1548),"")</f>
        <v/>
      </c>
      <c r="AU1548" s="82" t="n">
        <f aca="false">IF(AND(OR(AA1548="R",AA1548="NX",AA1548="NT",AA1548="CO"),OR('JOINTS DE RÉPARATION'!$D$5="TOUTES",B1548='JOINTS DE RÉPARATION'!$D$5),OR('JOINTS DE RÉPARATION'!$L$4="TOUS",AQ1548&lt;&gt;"ACCEPTÉ")),1,0)</f>
        <v>0</v>
      </c>
      <c r="AV1548" s="82" t="str">
        <f aca="false">IF(AU1548=1,SUM(AU$7:AU1548),"")</f>
        <v/>
      </c>
      <c r="AW1548" s="82" t="str">
        <f aca="false">IF(E1548="","",B1548&amp;"|"&amp;E1548)</f>
        <v>MFD-ISW → MFD-CPF|DJ°263</v>
      </c>
    </row>
    <row r="1549" customFormat="false" ht="74.6" hidden="false" customHeight="false" outlineLevel="0" collapsed="false">
      <c r="A1549" s="79" t="n">
        <f aca="false">IF(E1549="","",ROW()-6)</f>
        <v>1543</v>
      </c>
      <c r="B1549" s="80" t="s">
        <v>110</v>
      </c>
      <c r="C1549" s="81" t="s">
        <v>1842</v>
      </c>
      <c r="D1549" s="81" t="n">
        <v>13</v>
      </c>
      <c r="E1549" s="81" t="s">
        <v>1855</v>
      </c>
      <c r="F1549" s="82" t="str">
        <f aca="false">IF(E1549="","",IF(LEFT(E1549,2)="DJ","DJ","JN"))</f>
        <v>JN</v>
      </c>
      <c r="G1549" s="81" t="s">
        <v>1504</v>
      </c>
      <c r="H1549" s="81" t="s">
        <v>871</v>
      </c>
      <c r="I1549" s="81" t="n">
        <v>9.53</v>
      </c>
      <c r="J1549" s="81" t="s">
        <v>872</v>
      </c>
      <c r="K1549" s="81" t="s">
        <v>879</v>
      </c>
      <c r="L1549" s="81" t="n">
        <v>2098520</v>
      </c>
      <c r="M1549" s="81" t="n">
        <v>15421112</v>
      </c>
      <c r="N1549" s="81" t="n">
        <v>11.94</v>
      </c>
      <c r="O1549" s="81" t="n">
        <v>2089290</v>
      </c>
      <c r="P1549" s="81" t="n">
        <v>15421109</v>
      </c>
      <c r="Q1549" s="81" t="n">
        <v>11.94</v>
      </c>
      <c r="R1549" s="81" t="s">
        <v>1795</v>
      </c>
      <c r="S1549" s="81"/>
      <c r="T1549" s="81"/>
      <c r="U1549" s="83" t="n">
        <v>46275</v>
      </c>
      <c r="V1549" s="83" t="n">
        <v>46275</v>
      </c>
      <c r="W1549" s="81" t="s">
        <v>1806</v>
      </c>
      <c r="X1549" s="81" t="s">
        <v>876</v>
      </c>
      <c r="Y1549" s="83" t="n">
        <v>46280</v>
      </c>
      <c r="Z1549" s="81" t="s">
        <v>1796</v>
      </c>
      <c r="AA1549" s="81" t="s">
        <v>876</v>
      </c>
      <c r="AB1549" s="81"/>
      <c r="AC1549" s="81"/>
      <c r="AD1549" s="81"/>
      <c r="AE1549" s="83"/>
      <c r="AF1549" s="81"/>
      <c r="AG1549" s="81"/>
      <c r="AH1549" s="81"/>
      <c r="AI1549" s="81"/>
      <c r="AJ1549" s="83"/>
      <c r="AK1549" s="81"/>
      <c r="AL1549" s="81"/>
      <c r="AM1549" s="83"/>
      <c r="AN1549" s="80"/>
      <c r="AO1549" s="82" t="n">
        <f aca="false">IF(E1549="","",(AA1549&lt;&gt;"")+(AG1549&lt;&gt;"")+(AL1549&lt;&gt;""))</f>
        <v>1</v>
      </c>
      <c r="AP1549" s="82" t="str">
        <f aca="false">IF(AL1549&lt;&gt;"",AL1549,IF(AG1549&lt;&gt;"",AG1549,IF(AA1549&lt;&gt;"",AA1549,"")))</f>
        <v>A</v>
      </c>
      <c r="AQ1549" s="84" t="str">
        <f aca="false">IF(E1549="","",IF(U1549="","À SOUDER",IF(X1549="","VT EN ATTENTE",IF(X1549="R","VT REJETÉ – À REPRENDRE",IF(AP1549="","À RADIOGRAPHIER",IF(AP1549="A","ACCEPTÉ",IF(AP1549="NX","NX – RT À REFAIRE",IF(IF(AO1549=1,AD1549,IF(AO1549=2,AI1549,""))="A","RÉPARÉ – À RADIOGRAPHIER",IF(IF(AO1549=1,AD1549,IF(AO1549=2,AI1549,""))="R","VT REJETÉ – À REPRENDRE",IF(OR(AP1549="CO",AP1549="NT"),"COUPE – À RESOUDER","À RÉPARER"))))))))))</f>
        <v>ACCEPTÉ</v>
      </c>
      <c r="AR1549" s="82" t="str">
        <f aca="false">IF(AND(ISNUMBER(U1549),OR(AQ1549="À RADIOGRAPHIER",AQ1549="RÉPARÉ – À RADIOGRAPHIER",AQ1549="NX – RT À REFAIRE",AQ1549="À RÉPARER",AQ1549="COUPE – À RESOUDER",AQ1549="VT REJETÉ – À REPRENDRE")),MAX(0,'PROGRAMME RT'!$C$4-U1549),"")</f>
        <v/>
      </c>
      <c r="AS1549" s="82" t="n">
        <f aca="false">IF(AND(OR(AQ1549="À RADIOGRAPHIER",AQ1549="RÉPARÉ – À RADIOGRAPHIER",AQ1549="NX – RT À REFAIRE"),OR('PROGRAMME RT'!$D$5="TOUTES",B1549='PROGRAMME RT'!$D$5)),1,0)</f>
        <v>0</v>
      </c>
      <c r="AT1549" s="82" t="str">
        <f aca="false">IF(AS1549=1,SUM(AS$7:AS1549),"")</f>
        <v/>
      </c>
      <c r="AU1549" s="82" t="n">
        <f aca="false">IF(AND(OR(AA1549="R",AA1549="NX",AA1549="NT",AA1549="CO"),OR('JOINTS DE RÉPARATION'!$D$5="TOUTES",B1549='JOINTS DE RÉPARATION'!$D$5),OR('JOINTS DE RÉPARATION'!$L$4="TOUS",AQ1549&lt;&gt;"ACCEPTÉ")),1,0)</f>
        <v>0</v>
      </c>
      <c r="AV1549" s="82" t="str">
        <f aca="false">IF(AU1549=1,SUM(AU$7:AU1549),"")</f>
        <v/>
      </c>
      <c r="AW1549" s="82" t="str">
        <f aca="false">IF(E1549="","",B1549&amp;"|"&amp;E1549)</f>
        <v>MFD-ISW → MFD-CPF|JN°1280</v>
      </c>
    </row>
    <row r="1550" customFormat="false" ht="74.6" hidden="false" customHeight="false" outlineLevel="0" collapsed="false">
      <c r="A1550" s="79" t="n">
        <f aca="false">IF(E1550="","",ROW()-6)</f>
        <v>1544</v>
      </c>
      <c r="B1550" s="80" t="s">
        <v>110</v>
      </c>
      <c r="C1550" s="81" t="s">
        <v>1842</v>
      </c>
      <c r="D1550" s="81" t="n">
        <v>13</v>
      </c>
      <c r="E1550" s="81" t="s">
        <v>1856</v>
      </c>
      <c r="F1550" s="82" t="str">
        <f aca="false">IF(E1550="","",IF(LEFT(E1550,2)="DJ","DJ","JN"))</f>
        <v>DJ</v>
      </c>
      <c r="G1550" s="81"/>
      <c r="H1550" s="81" t="s">
        <v>871</v>
      </c>
      <c r="I1550" s="81" t="n">
        <v>9.53</v>
      </c>
      <c r="J1550" s="81" t="s">
        <v>872</v>
      </c>
      <c r="K1550" s="81" t="s">
        <v>873</v>
      </c>
      <c r="L1550" s="81" t="n">
        <v>2089290</v>
      </c>
      <c r="M1550" s="81" t="n">
        <v>15421109</v>
      </c>
      <c r="N1550" s="81" t="n">
        <v>11.94</v>
      </c>
      <c r="O1550" s="81" t="n">
        <v>2082640</v>
      </c>
      <c r="P1550" s="81" t="n">
        <v>15421104</v>
      </c>
      <c r="Q1550" s="81" t="n">
        <v>11.94</v>
      </c>
      <c r="R1550" s="81" t="s">
        <v>963</v>
      </c>
      <c r="S1550" s="81"/>
      <c r="T1550" s="81"/>
      <c r="U1550" s="83" t="n">
        <v>46268</v>
      </c>
      <c r="V1550" s="83" t="n">
        <v>46268</v>
      </c>
      <c r="W1550" s="81" t="s">
        <v>1773</v>
      </c>
      <c r="X1550" s="81" t="s">
        <v>876</v>
      </c>
      <c r="Y1550" s="83" t="n">
        <v>46269</v>
      </c>
      <c r="Z1550" s="81" t="s">
        <v>1774</v>
      </c>
      <c r="AA1550" s="81" t="s">
        <v>876</v>
      </c>
      <c r="AB1550" s="81"/>
      <c r="AC1550" s="81"/>
      <c r="AD1550" s="81"/>
      <c r="AE1550" s="83"/>
      <c r="AF1550" s="81"/>
      <c r="AG1550" s="81"/>
      <c r="AH1550" s="81"/>
      <c r="AI1550" s="81"/>
      <c r="AJ1550" s="83"/>
      <c r="AK1550" s="81"/>
      <c r="AL1550" s="81"/>
      <c r="AM1550" s="83"/>
      <c r="AN1550" s="80"/>
      <c r="AO1550" s="82" t="n">
        <f aca="false">IF(E1550="","",(AA1550&lt;&gt;"")+(AG1550&lt;&gt;"")+(AL1550&lt;&gt;""))</f>
        <v>1</v>
      </c>
      <c r="AP1550" s="82" t="str">
        <f aca="false">IF(AL1550&lt;&gt;"",AL1550,IF(AG1550&lt;&gt;"",AG1550,IF(AA1550&lt;&gt;"",AA1550,"")))</f>
        <v>A</v>
      </c>
      <c r="AQ1550" s="84" t="str">
        <f aca="false">IF(E1550="","",IF(U1550="","À SOUDER",IF(X1550="","VT EN ATTENTE",IF(X1550="R","VT REJETÉ – À REPRENDRE",IF(AP1550="","À RADIOGRAPHIER",IF(AP1550="A","ACCEPTÉ",IF(AP1550="NX","NX – RT À REFAIRE",IF(IF(AO1550=1,AD1550,IF(AO1550=2,AI1550,""))="A","RÉPARÉ – À RADIOGRAPHIER",IF(IF(AO1550=1,AD1550,IF(AO1550=2,AI1550,""))="R","VT REJETÉ – À REPRENDRE",IF(OR(AP1550="CO",AP1550="NT"),"COUPE – À RESOUDER","À RÉPARER"))))))))))</f>
        <v>ACCEPTÉ</v>
      </c>
      <c r="AR1550" s="82" t="str">
        <f aca="false">IF(AND(ISNUMBER(U1550),OR(AQ1550="À RADIOGRAPHIER",AQ1550="RÉPARÉ – À RADIOGRAPHIER",AQ1550="NX – RT À REFAIRE",AQ1550="À RÉPARER",AQ1550="COUPE – À RESOUDER",AQ1550="VT REJETÉ – À REPRENDRE")),MAX(0,'PROGRAMME RT'!$C$4-U1550),"")</f>
        <v/>
      </c>
      <c r="AS1550" s="82" t="n">
        <f aca="false">IF(AND(OR(AQ1550="À RADIOGRAPHIER",AQ1550="RÉPARÉ – À RADIOGRAPHIER",AQ1550="NX – RT À REFAIRE"),OR('PROGRAMME RT'!$D$5="TOUTES",B1550='PROGRAMME RT'!$D$5)),1,0)</f>
        <v>0</v>
      </c>
      <c r="AT1550" s="82" t="str">
        <f aca="false">IF(AS1550=1,SUM(AS$7:AS1550),"")</f>
        <v/>
      </c>
      <c r="AU1550" s="82" t="n">
        <f aca="false">IF(AND(OR(AA1550="R",AA1550="NX",AA1550="NT",AA1550="CO"),OR('JOINTS DE RÉPARATION'!$D$5="TOUTES",B1550='JOINTS DE RÉPARATION'!$D$5),OR('JOINTS DE RÉPARATION'!$L$4="TOUS",AQ1550&lt;&gt;"ACCEPTÉ")),1,0)</f>
        <v>0</v>
      </c>
      <c r="AV1550" s="82" t="str">
        <f aca="false">IF(AU1550=1,SUM(AU$7:AU1550),"")</f>
        <v/>
      </c>
      <c r="AW1550" s="82" t="str">
        <f aca="false">IF(E1550="","",B1550&amp;"|"&amp;E1550)</f>
        <v>MFD-ISW → MFD-CPF|DJ°257</v>
      </c>
    </row>
    <row r="1551" customFormat="false" ht="74.6" hidden="false" customHeight="false" outlineLevel="0" collapsed="false">
      <c r="A1551" s="79" t="n">
        <f aca="false">IF(E1551="","",ROW()-6)</f>
        <v>1545</v>
      </c>
      <c r="B1551" s="80" t="s">
        <v>110</v>
      </c>
      <c r="C1551" s="81" t="s">
        <v>1842</v>
      </c>
      <c r="D1551" s="81" t="n">
        <v>13</v>
      </c>
      <c r="E1551" s="81" t="s">
        <v>1857</v>
      </c>
      <c r="F1551" s="82" t="str">
        <f aca="false">IF(E1551="","",IF(LEFT(E1551,2)="DJ","DJ","JN"))</f>
        <v>JN</v>
      </c>
      <c r="G1551" s="81" t="s">
        <v>1504</v>
      </c>
      <c r="H1551" s="81" t="s">
        <v>871</v>
      </c>
      <c r="I1551" s="81" t="n">
        <v>9.53</v>
      </c>
      <c r="J1551" s="81" t="s">
        <v>872</v>
      </c>
      <c r="K1551" s="81" t="s">
        <v>879</v>
      </c>
      <c r="L1551" s="81" t="n">
        <v>2082640</v>
      </c>
      <c r="M1551" s="81" t="n">
        <v>15421104</v>
      </c>
      <c r="N1551" s="81" t="n">
        <v>11.94</v>
      </c>
      <c r="O1551" s="81" t="n">
        <v>2098440</v>
      </c>
      <c r="P1551" s="81" t="n">
        <v>15421102</v>
      </c>
      <c r="Q1551" s="81" t="n">
        <v>11.94</v>
      </c>
      <c r="R1551" s="81" t="s">
        <v>1795</v>
      </c>
      <c r="S1551" s="81"/>
      <c r="T1551" s="81"/>
      <c r="U1551" s="83" t="n">
        <v>46275</v>
      </c>
      <c r="V1551" s="83" t="n">
        <v>46275</v>
      </c>
      <c r="W1551" s="81" t="s">
        <v>1806</v>
      </c>
      <c r="X1551" s="81" t="s">
        <v>876</v>
      </c>
      <c r="Y1551" s="83" t="n">
        <v>46280</v>
      </c>
      <c r="Z1551" s="81" t="s">
        <v>1858</v>
      </c>
      <c r="AA1551" s="81" t="s">
        <v>876</v>
      </c>
      <c r="AB1551" s="81"/>
      <c r="AC1551" s="81"/>
      <c r="AD1551" s="81"/>
      <c r="AE1551" s="83"/>
      <c r="AF1551" s="81"/>
      <c r="AG1551" s="81"/>
      <c r="AH1551" s="81"/>
      <c r="AI1551" s="81"/>
      <c r="AJ1551" s="83"/>
      <c r="AK1551" s="81"/>
      <c r="AL1551" s="81"/>
      <c r="AM1551" s="83"/>
      <c r="AN1551" s="80"/>
      <c r="AO1551" s="82" t="n">
        <f aca="false">IF(E1551="","",(AA1551&lt;&gt;"")+(AG1551&lt;&gt;"")+(AL1551&lt;&gt;""))</f>
        <v>1</v>
      </c>
      <c r="AP1551" s="82" t="str">
        <f aca="false">IF(AL1551&lt;&gt;"",AL1551,IF(AG1551&lt;&gt;"",AG1551,IF(AA1551&lt;&gt;"",AA1551,"")))</f>
        <v>A</v>
      </c>
      <c r="AQ1551" s="84" t="str">
        <f aca="false">IF(E1551="","",IF(U1551="","À SOUDER",IF(X1551="","VT EN ATTENTE",IF(X1551="R","VT REJETÉ – À REPRENDRE",IF(AP1551="","À RADIOGRAPHIER",IF(AP1551="A","ACCEPTÉ",IF(AP1551="NX","NX – RT À REFAIRE",IF(IF(AO1551=1,AD1551,IF(AO1551=2,AI1551,""))="A","RÉPARÉ – À RADIOGRAPHIER",IF(IF(AO1551=1,AD1551,IF(AO1551=2,AI1551,""))="R","VT REJETÉ – À REPRENDRE",IF(OR(AP1551="CO",AP1551="NT"),"COUPE – À RESOUDER","À RÉPARER"))))))))))</f>
        <v>ACCEPTÉ</v>
      </c>
      <c r="AR1551" s="82" t="str">
        <f aca="false">IF(AND(ISNUMBER(U1551),OR(AQ1551="À RADIOGRAPHIER",AQ1551="RÉPARÉ – À RADIOGRAPHIER",AQ1551="NX – RT À REFAIRE",AQ1551="À RÉPARER",AQ1551="COUPE – À RESOUDER",AQ1551="VT REJETÉ – À REPRENDRE")),MAX(0,'PROGRAMME RT'!$C$4-U1551),"")</f>
        <v/>
      </c>
      <c r="AS1551" s="82" t="n">
        <f aca="false">IF(AND(OR(AQ1551="À RADIOGRAPHIER",AQ1551="RÉPARÉ – À RADIOGRAPHIER",AQ1551="NX – RT À REFAIRE"),OR('PROGRAMME RT'!$D$5="TOUTES",B1551='PROGRAMME RT'!$D$5)),1,0)</f>
        <v>0</v>
      </c>
      <c r="AT1551" s="82" t="str">
        <f aca="false">IF(AS1551=1,SUM(AS$7:AS1551),"")</f>
        <v/>
      </c>
      <c r="AU1551" s="82" t="n">
        <f aca="false">IF(AND(OR(AA1551="R",AA1551="NX",AA1551="NT",AA1551="CO"),OR('JOINTS DE RÉPARATION'!$D$5="TOUTES",B1551='JOINTS DE RÉPARATION'!$D$5),OR('JOINTS DE RÉPARATION'!$L$4="TOUS",AQ1551&lt;&gt;"ACCEPTÉ")),1,0)</f>
        <v>0</v>
      </c>
      <c r="AV1551" s="82" t="str">
        <f aca="false">IF(AU1551=1,SUM(AU$7:AU1551),"")</f>
        <v/>
      </c>
      <c r="AW1551" s="82" t="str">
        <f aca="false">IF(E1551="","",B1551&amp;"|"&amp;E1551)</f>
        <v>MFD-ISW → MFD-CPF|JN°1281</v>
      </c>
    </row>
    <row r="1552" customFormat="false" ht="74.6" hidden="false" customHeight="false" outlineLevel="0" collapsed="false">
      <c r="A1552" s="79" t="n">
        <f aca="false">IF(E1552="","",ROW()-6)</f>
        <v>1546</v>
      </c>
      <c r="B1552" s="80" t="s">
        <v>110</v>
      </c>
      <c r="C1552" s="81" t="s">
        <v>1842</v>
      </c>
      <c r="D1552" s="81" t="n">
        <v>13</v>
      </c>
      <c r="E1552" s="81" t="s">
        <v>1859</v>
      </c>
      <c r="F1552" s="82" t="str">
        <f aca="false">IF(E1552="","",IF(LEFT(E1552,2)="DJ","DJ","JN"))</f>
        <v>DJ</v>
      </c>
      <c r="G1552" s="81"/>
      <c r="H1552" s="81" t="s">
        <v>871</v>
      </c>
      <c r="I1552" s="81" t="n">
        <v>9.53</v>
      </c>
      <c r="J1552" s="81" t="s">
        <v>872</v>
      </c>
      <c r="K1552" s="81" t="s">
        <v>873</v>
      </c>
      <c r="L1552" s="81" t="n">
        <v>2098440</v>
      </c>
      <c r="M1552" s="81" t="n">
        <v>15421102</v>
      </c>
      <c r="N1552" s="81" t="n">
        <v>11.94</v>
      </c>
      <c r="O1552" s="81" t="n">
        <v>2079590</v>
      </c>
      <c r="P1552" s="81" t="n">
        <v>15421102</v>
      </c>
      <c r="Q1552" s="81" t="n">
        <v>11.94</v>
      </c>
      <c r="R1552" s="81" t="s">
        <v>963</v>
      </c>
      <c r="S1552" s="81"/>
      <c r="T1552" s="81"/>
      <c r="U1552" s="83" t="n">
        <v>46268</v>
      </c>
      <c r="V1552" s="83" t="n">
        <v>46268</v>
      </c>
      <c r="W1552" s="81" t="s">
        <v>1773</v>
      </c>
      <c r="X1552" s="81" t="s">
        <v>876</v>
      </c>
      <c r="Y1552" s="83" t="n">
        <v>46269</v>
      </c>
      <c r="Z1552" s="81" t="s">
        <v>1774</v>
      </c>
      <c r="AA1552" s="81" t="s">
        <v>876</v>
      </c>
      <c r="AB1552" s="81"/>
      <c r="AC1552" s="81"/>
      <c r="AD1552" s="81"/>
      <c r="AE1552" s="83"/>
      <c r="AF1552" s="81"/>
      <c r="AG1552" s="81"/>
      <c r="AH1552" s="81"/>
      <c r="AI1552" s="81"/>
      <c r="AJ1552" s="83"/>
      <c r="AK1552" s="81"/>
      <c r="AL1552" s="81"/>
      <c r="AM1552" s="83"/>
      <c r="AN1552" s="80"/>
      <c r="AO1552" s="82" t="n">
        <f aca="false">IF(E1552="","",(AA1552&lt;&gt;"")+(AG1552&lt;&gt;"")+(AL1552&lt;&gt;""))</f>
        <v>1</v>
      </c>
      <c r="AP1552" s="82" t="str">
        <f aca="false">IF(AL1552&lt;&gt;"",AL1552,IF(AG1552&lt;&gt;"",AG1552,IF(AA1552&lt;&gt;"",AA1552,"")))</f>
        <v>A</v>
      </c>
      <c r="AQ1552" s="84" t="str">
        <f aca="false">IF(E1552="","",IF(U1552="","À SOUDER",IF(X1552="","VT EN ATTENTE",IF(X1552="R","VT REJETÉ – À REPRENDRE",IF(AP1552="","À RADIOGRAPHIER",IF(AP1552="A","ACCEPTÉ",IF(AP1552="NX","NX – RT À REFAIRE",IF(IF(AO1552=1,AD1552,IF(AO1552=2,AI1552,""))="A","RÉPARÉ – À RADIOGRAPHIER",IF(IF(AO1552=1,AD1552,IF(AO1552=2,AI1552,""))="R","VT REJETÉ – À REPRENDRE",IF(OR(AP1552="CO",AP1552="NT"),"COUPE – À RESOUDER","À RÉPARER"))))))))))</f>
        <v>ACCEPTÉ</v>
      </c>
      <c r="AR1552" s="82" t="str">
        <f aca="false">IF(AND(ISNUMBER(U1552),OR(AQ1552="À RADIOGRAPHIER",AQ1552="RÉPARÉ – À RADIOGRAPHIER",AQ1552="NX – RT À REFAIRE",AQ1552="À RÉPARER",AQ1552="COUPE – À RESOUDER",AQ1552="VT REJETÉ – À REPRENDRE")),MAX(0,'PROGRAMME RT'!$C$4-U1552),"")</f>
        <v/>
      </c>
      <c r="AS1552" s="82" t="n">
        <f aca="false">IF(AND(OR(AQ1552="À RADIOGRAPHIER",AQ1552="RÉPARÉ – À RADIOGRAPHIER",AQ1552="NX – RT À REFAIRE"),OR('PROGRAMME RT'!$D$5="TOUTES",B1552='PROGRAMME RT'!$D$5)),1,0)</f>
        <v>0</v>
      </c>
      <c r="AT1552" s="82" t="str">
        <f aca="false">IF(AS1552=1,SUM(AS$7:AS1552),"")</f>
        <v/>
      </c>
      <c r="AU1552" s="82" t="n">
        <f aca="false">IF(AND(OR(AA1552="R",AA1552="NX",AA1552="NT",AA1552="CO"),OR('JOINTS DE RÉPARATION'!$D$5="TOUTES",B1552='JOINTS DE RÉPARATION'!$D$5),OR('JOINTS DE RÉPARATION'!$L$4="TOUS",AQ1552&lt;&gt;"ACCEPTÉ")),1,0)</f>
        <v>0</v>
      </c>
      <c r="AV1552" s="82" t="str">
        <f aca="false">IF(AU1552=1,SUM(AU$7:AU1552),"")</f>
        <v/>
      </c>
      <c r="AW1552" s="82" t="str">
        <f aca="false">IF(E1552="","",B1552&amp;"|"&amp;E1552)</f>
        <v>MFD-ISW → MFD-CPF|DJ°254</v>
      </c>
    </row>
    <row r="1553" customFormat="false" ht="74.6" hidden="false" customHeight="false" outlineLevel="0" collapsed="false">
      <c r="A1553" s="79" t="n">
        <f aca="false">IF(E1553="","",ROW()-6)</f>
        <v>1547</v>
      </c>
      <c r="B1553" s="80" t="s">
        <v>110</v>
      </c>
      <c r="C1553" s="81" t="s">
        <v>1842</v>
      </c>
      <c r="D1553" s="81" t="n">
        <v>13</v>
      </c>
      <c r="E1553" s="81" t="s">
        <v>1860</v>
      </c>
      <c r="F1553" s="82" t="str">
        <f aca="false">IF(E1553="","",IF(LEFT(E1553,2)="DJ","DJ","JN"))</f>
        <v>JN</v>
      </c>
      <c r="G1553" s="81" t="s">
        <v>1504</v>
      </c>
      <c r="H1553" s="81" t="s">
        <v>871</v>
      </c>
      <c r="I1553" s="81" t="n">
        <v>9.53</v>
      </c>
      <c r="J1553" s="81" t="s">
        <v>872</v>
      </c>
      <c r="K1553" s="81" t="s">
        <v>1861</v>
      </c>
      <c r="L1553" s="81" t="n">
        <v>2079590</v>
      </c>
      <c r="M1553" s="81" t="n">
        <v>15421102</v>
      </c>
      <c r="N1553" s="81" t="n">
        <v>11.94</v>
      </c>
      <c r="O1553" s="81" t="n">
        <v>2079550</v>
      </c>
      <c r="P1553" s="81" t="n">
        <v>15421102</v>
      </c>
      <c r="Q1553" s="81" t="n">
        <v>11.94</v>
      </c>
      <c r="R1553" s="81" t="s">
        <v>1862</v>
      </c>
      <c r="S1553" s="81"/>
      <c r="T1553" s="81"/>
      <c r="U1553" s="83" t="n">
        <v>46292</v>
      </c>
      <c r="V1553" s="83" t="n">
        <v>46292</v>
      </c>
      <c r="W1553" s="81"/>
      <c r="X1553" s="81" t="s">
        <v>876</v>
      </c>
      <c r="Y1553" s="83"/>
      <c r="Z1553" s="81"/>
      <c r="AA1553" s="81"/>
      <c r="AB1553" s="81" t="s">
        <v>1863</v>
      </c>
      <c r="AC1553" s="81"/>
      <c r="AD1553" s="81"/>
      <c r="AE1553" s="83"/>
      <c r="AF1553" s="81"/>
      <c r="AG1553" s="81"/>
      <c r="AH1553" s="81"/>
      <c r="AI1553" s="81"/>
      <c r="AJ1553" s="83"/>
      <c r="AK1553" s="81"/>
      <c r="AL1553" s="81"/>
      <c r="AM1553" s="83"/>
      <c r="AN1553" s="80"/>
      <c r="AO1553" s="82" t="n">
        <f aca="false">IF(E1553="","",(AA1553&lt;&gt;"")+(AG1553&lt;&gt;"")+(AL1553&lt;&gt;""))</f>
        <v>0</v>
      </c>
      <c r="AP1553" s="82" t="str">
        <f aca="false">IF(AL1553&lt;&gt;"",AL1553,IF(AG1553&lt;&gt;"",AG1553,IF(AA1553&lt;&gt;"",AA1553,"")))</f>
        <v/>
      </c>
      <c r="AQ1553" s="84" t="str">
        <f aca="false">IF(E1553="","",IF(U1553="","À SOUDER",IF(X1553="","VT EN ATTENTE",IF(X1553="R","VT REJETÉ – À REPRENDRE",IF(AP1553="","À RADIOGRAPHIER",IF(AP1553="A","ACCEPTÉ",IF(AP1553="NX","NX – RT À REFAIRE",IF(IF(AO1553=1,AD1553,IF(AO1553=2,AI1553,""))="A","RÉPARÉ – À RADIOGRAPHIER",IF(IF(AO1553=1,AD1553,IF(AO1553=2,AI1553,""))="R","VT REJETÉ – À REPRENDRE",IF(OR(AP1553="CO",AP1553="NT"),"COUPE – À RESOUDER","À RÉPARER"))))))))))</f>
        <v>À RADIOGRAPHIER</v>
      </c>
      <c r="AR1553" s="82" t="n">
        <f aca="false">IF(AND(ISNUMBER(U1553),OR(AQ1553="À RADIOGRAPHIER",AQ1553="RÉPARÉ – À RADIOGRAPHIER",AQ1553="NX – RT À REFAIRE",AQ1553="À RÉPARER",AQ1553="COUPE – À RESOUDER",AQ1553="VT REJETÉ – À REPRENDRE")),MAX(0,'PROGRAMME RT'!$C$4-U1553),"")</f>
        <v>1</v>
      </c>
      <c r="AS1553" s="82" t="n">
        <f aca="false">IF(AND(OR(AQ1553="À RADIOGRAPHIER",AQ1553="RÉPARÉ – À RADIOGRAPHIER",AQ1553="NX – RT À REFAIRE"),OR('PROGRAMME RT'!$D$5="TOUTES",B1553='PROGRAMME RT'!$D$5)),1,0)</f>
        <v>1</v>
      </c>
      <c r="AT1553" s="82" t="n">
        <f aca="false">IF(AS1553=1,SUM(AS$7:AS1553),"")</f>
        <v>73</v>
      </c>
      <c r="AU1553" s="82" t="n">
        <f aca="false">IF(AND(OR(AA1553="R",AA1553="NX",AA1553="NT",AA1553="CO"),OR('JOINTS DE RÉPARATION'!$D$5="TOUTES",B1553='JOINTS DE RÉPARATION'!$D$5),OR('JOINTS DE RÉPARATION'!$L$4="TOUS",AQ1553&lt;&gt;"ACCEPTÉ")),1,0)</f>
        <v>0</v>
      </c>
      <c r="AV1553" s="82" t="str">
        <f aca="false">IF(AU1553=1,SUM(AU$7:AU1553),"")</f>
        <v/>
      </c>
      <c r="AW1553" s="82" t="str">
        <f aca="false">IF(E1553="","",B1553&amp;"|"&amp;E1553)</f>
        <v>MFD-ISW → MFD-CPF|JN°1282R</v>
      </c>
    </row>
    <row r="1554" customFormat="false" ht="74.6" hidden="false" customHeight="false" outlineLevel="0" collapsed="false">
      <c r="A1554" s="79" t="n">
        <f aca="false">IF(E1554="","",ROW()-6)</f>
        <v>1548</v>
      </c>
      <c r="B1554" s="80" t="s">
        <v>110</v>
      </c>
      <c r="C1554" s="81" t="s">
        <v>1842</v>
      </c>
      <c r="D1554" s="81" t="n">
        <v>13</v>
      </c>
      <c r="E1554" s="81" t="s">
        <v>1864</v>
      </c>
      <c r="F1554" s="82" t="str">
        <f aca="false">IF(E1554="","",IF(LEFT(E1554,2)="DJ","DJ","JN"))</f>
        <v>DJ</v>
      </c>
      <c r="G1554" s="81"/>
      <c r="H1554" s="81" t="s">
        <v>871</v>
      </c>
      <c r="I1554" s="81" t="n">
        <v>9.53</v>
      </c>
      <c r="J1554" s="81" t="s">
        <v>872</v>
      </c>
      <c r="K1554" s="81" t="s">
        <v>873</v>
      </c>
      <c r="L1554" s="81" t="n">
        <v>2079550</v>
      </c>
      <c r="M1554" s="81" t="n">
        <v>15421102</v>
      </c>
      <c r="N1554" s="81" t="n">
        <v>11.94</v>
      </c>
      <c r="O1554" s="81" t="n">
        <v>2079620</v>
      </c>
      <c r="P1554" s="81" t="n">
        <v>15421102</v>
      </c>
      <c r="Q1554" s="81" t="n">
        <v>11.94</v>
      </c>
      <c r="R1554" s="81" t="s">
        <v>1517</v>
      </c>
      <c r="S1554" s="81"/>
      <c r="T1554" s="81"/>
      <c r="U1554" s="83" t="n">
        <v>46268</v>
      </c>
      <c r="V1554" s="83" t="n">
        <v>46268</v>
      </c>
      <c r="W1554" s="81" t="s">
        <v>1773</v>
      </c>
      <c r="X1554" s="81" t="s">
        <v>876</v>
      </c>
      <c r="Y1554" s="83" t="n">
        <v>46269</v>
      </c>
      <c r="Z1554" s="81" t="s">
        <v>1774</v>
      </c>
      <c r="AA1554" s="81" t="s">
        <v>876</v>
      </c>
      <c r="AB1554" s="81"/>
      <c r="AC1554" s="81"/>
      <c r="AD1554" s="81"/>
      <c r="AE1554" s="83"/>
      <c r="AF1554" s="81"/>
      <c r="AG1554" s="81"/>
      <c r="AH1554" s="81"/>
      <c r="AI1554" s="81"/>
      <c r="AJ1554" s="83"/>
      <c r="AK1554" s="81"/>
      <c r="AL1554" s="81"/>
      <c r="AM1554" s="83"/>
      <c r="AN1554" s="80"/>
      <c r="AO1554" s="82" t="n">
        <f aca="false">IF(E1554="","",(AA1554&lt;&gt;"")+(AG1554&lt;&gt;"")+(AL1554&lt;&gt;""))</f>
        <v>1</v>
      </c>
      <c r="AP1554" s="82" t="str">
        <f aca="false">IF(AL1554&lt;&gt;"",AL1554,IF(AG1554&lt;&gt;"",AG1554,IF(AA1554&lt;&gt;"",AA1554,"")))</f>
        <v>A</v>
      </c>
      <c r="AQ1554" s="84" t="str">
        <f aca="false">IF(E1554="","",IF(U1554="","À SOUDER",IF(X1554="","VT EN ATTENTE",IF(X1554="R","VT REJETÉ – À REPRENDRE",IF(AP1554="","À RADIOGRAPHIER",IF(AP1554="A","ACCEPTÉ",IF(AP1554="NX","NX – RT À REFAIRE",IF(IF(AO1554=1,AD1554,IF(AO1554=2,AI1554,""))="A","RÉPARÉ – À RADIOGRAPHIER",IF(IF(AO1554=1,AD1554,IF(AO1554=2,AI1554,""))="R","VT REJETÉ – À REPRENDRE",IF(OR(AP1554="CO",AP1554="NT"),"COUPE – À RESOUDER","À RÉPARER"))))))))))</f>
        <v>ACCEPTÉ</v>
      </c>
      <c r="AR1554" s="82" t="str">
        <f aca="false">IF(AND(ISNUMBER(U1554),OR(AQ1554="À RADIOGRAPHIER",AQ1554="RÉPARÉ – À RADIOGRAPHIER",AQ1554="NX – RT À REFAIRE",AQ1554="À RÉPARER",AQ1554="COUPE – À RESOUDER",AQ1554="VT REJETÉ – À REPRENDRE")),MAX(0,'PROGRAMME RT'!$C$4-U1554),"")</f>
        <v/>
      </c>
      <c r="AS1554" s="82" t="n">
        <f aca="false">IF(AND(OR(AQ1554="À RADIOGRAPHIER",AQ1554="RÉPARÉ – À RADIOGRAPHIER",AQ1554="NX – RT À REFAIRE"),OR('PROGRAMME RT'!$D$5="TOUTES",B1554='PROGRAMME RT'!$D$5)),1,0)</f>
        <v>0</v>
      </c>
      <c r="AT1554" s="82" t="str">
        <f aca="false">IF(AS1554=1,SUM(AS$7:AS1554),"")</f>
        <v/>
      </c>
      <c r="AU1554" s="82" t="n">
        <f aca="false">IF(AND(OR(AA1554="R",AA1554="NX",AA1554="NT",AA1554="CO"),OR('JOINTS DE RÉPARATION'!$D$5="TOUTES",B1554='JOINTS DE RÉPARATION'!$D$5),OR('JOINTS DE RÉPARATION'!$L$4="TOUS",AQ1554&lt;&gt;"ACCEPTÉ")),1,0)</f>
        <v>0</v>
      </c>
      <c r="AV1554" s="82" t="str">
        <f aca="false">IF(AU1554=1,SUM(AU$7:AU1554),"")</f>
        <v/>
      </c>
      <c r="AW1554" s="82" t="str">
        <f aca="false">IF(E1554="","",B1554&amp;"|"&amp;E1554)</f>
        <v>MFD-ISW → MFD-CPF|DJ°265</v>
      </c>
    </row>
    <row r="1555" customFormat="false" ht="74.6" hidden="false" customHeight="false" outlineLevel="0" collapsed="false">
      <c r="A1555" s="79" t="n">
        <f aca="false">IF(E1555="","",ROW()-6)</f>
        <v>1549</v>
      </c>
      <c r="B1555" s="80" t="s">
        <v>110</v>
      </c>
      <c r="C1555" s="81" t="s">
        <v>1842</v>
      </c>
      <c r="D1555" s="81" t="n">
        <v>13</v>
      </c>
      <c r="E1555" s="81" t="s">
        <v>1865</v>
      </c>
      <c r="F1555" s="82" t="str">
        <f aca="false">IF(E1555="","",IF(LEFT(E1555,2)="DJ","DJ","JN"))</f>
        <v>JN</v>
      </c>
      <c r="G1555" s="81" t="s">
        <v>1504</v>
      </c>
      <c r="H1555" s="81" t="s">
        <v>871</v>
      </c>
      <c r="I1555" s="81" t="n">
        <v>9.53</v>
      </c>
      <c r="J1555" s="81" t="s">
        <v>872</v>
      </c>
      <c r="K1555" s="81" t="s">
        <v>879</v>
      </c>
      <c r="L1555" s="81" t="n">
        <v>2079620</v>
      </c>
      <c r="M1555" s="81" t="n">
        <v>15421102</v>
      </c>
      <c r="N1555" s="81" t="n">
        <v>11.94</v>
      </c>
      <c r="O1555" s="81" t="n">
        <v>2080340</v>
      </c>
      <c r="P1555" s="81" t="n">
        <v>15421102</v>
      </c>
      <c r="Q1555" s="81" t="n">
        <v>11.94</v>
      </c>
      <c r="R1555" s="81" t="s">
        <v>1795</v>
      </c>
      <c r="S1555" s="81"/>
      <c r="T1555" s="81"/>
      <c r="U1555" s="83" t="n">
        <v>46275</v>
      </c>
      <c r="V1555" s="83" t="n">
        <v>46275</v>
      </c>
      <c r="W1555" s="81" t="s">
        <v>1806</v>
      </c>
      <c r="X1555" s="81" t="s">
        <v>876</v>
      </c>
      <c r="Y1555" s="83" t="n">
        <v>46280</v>
      </c>
      <c r="Z1555" s="81" t="s">
        <v>1858</v>
      </c>
      <c r="AA1555" s="81" t="s">
        <v>876</v>
      </c>
      <c r="AB1555" s="81"/>
      <c r="AC1555" s="81"/>
      <c r="AD1555" s="81"/>
      <c r="AE1555" s="83"/>
      <c r="AF1555" s="81"/>
      <c r="AG1555" s="81"/>
      <c r="AH1555" s="81"/>
      <c r="AI1555" s="81"/>
      <c r="AJ1555" s="83"/>
      <c r="AK1555" s="81"/>
      <c r="AL1555" s="81"/>
      <c r="AM1555" s="83"/>
      <c r="AN1555" s="80"/>
      <c r="AO1555" s="82" t="n">
        <f aca="false">IF(E1555="","",(AA1555&lt;&gt;"")+(AG1555&lt;&gt;"")+(AL1555&lt;&gt;""))</f>
        <v>1</v>
      </c>
      <c r="AP1555" s="82" t="str">
        <f aca="false">IF(AL1555&lt;&gt;"",AL1555,IF(AG1555&lt;&gt;"",AG1555,IF(AA1555&lt;&gt;"",AA1555,"")))</f>
        <v>A</v>
      </c>
      <c r="AQ1555" s="84" t="str">
        <f aca="false">IF(E1555="","",IF(U1555="","À SOUDER",IF(X1555="","VT EN ATTENTE",IF(X1555="R","VT REJETÉ – À REPRENDRE",IF(AP1555="","À RADIOGRAPHIER",IF(AP1555="A","ACCEPTÉ",IF(AP1555="NX","NX – RT À REFAIRE",IF(IF(AO1555=1,AD1555,IF(AO1555=2,AI1555,""))="A","RÉPARÉ – À RADIOGRAPHIER",IF(IF(AO1555=1,AD1555,IF(AO1555=2,AI1555,""))="R","VT REJETÉ – À REPRENDRE",IF(OR(AP1555="CO",AP1555="NT"),"COUPE – À RESOUDER","À RÉPARER"))))))))))</f>
        <v>ACCEPTÉ</v>
      </c>
      <c r="AR1555" s="82" t="str">
        <f aca="false">IF(AND(ISNUMBER(U1555),OR(AQ1555="À RADIOGRAPHIER",AQ1555="RÉPARÉ – À RADIOGRAPHIER",AQ1555="NX – RT À REFAIRE",AQ1555="À RÉPARER",AQ1555="COUPE – À RESOUDER",AQ1555="VT REJETÉ – À REPRENDRE")),MAX(0,'PROGRAMME RT'!$C$4-U1555),"")</f>
        <v/>
      </c>
      <c r="AS1555" s="82" t="n">
        <f aca="false">IF(AND(OR(AQ1555="À RADIOGRAPHIER",AQ1555="RÉPARÉ – À RADIOGRAPHIER",AQ1555="NX – RT À REFAIRE"),OR('PROGRAMME RT'!$D$5="TOUTES",B1555='PROGRAMME RT'!$D$5)),1,0)</f>
        <v>0</v>
      </c>
      <c r="AT1555" s="82" t="str">
        <f aca="false">IF(AS1555=1,SUM(AS$7:AS1555),"")</f>
        <v/>
      </c>
      <c r="AU1555" s="82" t="n">
        <f aca="false">IF(AND(OR(AA1555="R",AA1555="NX",AA1555="NT",AA1555="CO"),OR('JOINTS DE RÉPARATION'!$D$5="TOUTES",B1555='JOINTS DE RÉPARATION'!$D$5),OR('JOINTS DE RÉPARATION'!$L$4="TOUS",AQ1555&lt;&gt;"ACCEPTÉ")),1,0)</f>
        <v>0</v>
      </c>
      <c r="AV1555" s="82" t="str">
        <f aca="false">IF(AU1555=1,SUM(AU$7:AU1555),"")</f>
        <v/>
      </c>
      <c r="AW1555" s="82" t="str">
        <f aca="false">IF(E1555="","",B1555&amp;"|"&amp;E1555)</f>
        <v>MFD-ISW → MFD-CPF|JN°1283</v>
      </c>
    </row>
    <row r="1556" customFormat="false" ht="74.6" hidden="false" customHeight="false" outlineLevel="0" collapsed="false">
      <c r="A1556" s="79" t="n">
        <f aca="false">IF(E1556="","",ROW()-6)</f>
        <v>1550</v>
      </c>
      <c r="B1556" s="80" t="s">
        <v>110</v>
      </c>
      <c r="C1556" s="81" t="s">
        <v>1842</v>
      </c>
      <c r="D1556" s="81" t="n">
        <v>13</v>
      </c>
      <c r="E1556" s="81" t="s">
        <v>1866</v>
      </c>
      <c r="F1556" s="82" t="str">
        <f aca="false">IF(E1556="","",IF(LEFT(E1556,2)="DJ","DJ","JN"))</f>
        <v>DJ</v>
      </c>
      <c r="G1556" s="81"/>
      <c r="H1556" s="81" t="s">
        <v>871</v>
      </c>
      <c r="I1556" s="81" t="n">
        <v>9.53</v>
      </c>
      <c r="J1556" s="81" t="s">
        <v>872</v>
      </c>
      <c r="K1556" s="81" t="s">
        <v>873</v>
      </c>
      <c r="L1556" s="81" t="n">
        <v>2080340</v>
      </c>
      <c r="M1556" s="81" t="n">
        <v>15421102</v>
      </c>
      <c r="N1556" s="81" t="n">
        <v>11.94</v>
      </c>
      <c r="O1556" s="81" t="n">
        <v>2094310</v>
      </c>
      <c r="P1556" s="81" t="n">
        <v>15421110</v>
      </c>
      <c r="Q1556" s="81" t="n">
        <v>11.94</v>
      </c>
      <c r="R1556" s="81" t="s">
        <v>1517</v>
      </c>
      <c r="S1556" s="81"/>
      <c r="T1556" s="81"/>
      <c r="U1556" s="83" t="n">
        <v>46268</v>
      </c>
      <c r="V1556" s="83" t="n">
        <v>46268</v>
      </c>
      <c r="W1556" s="81" t="s">
        <v>1773</v>
      </c>
      <c r="X1556" s="81" t="s">
        <v>876</v>
      </c>
      <c r="Y1556" s="83" t="n">
        <v>46269</v>
      </c>
      <c r="Z1556" s="81" t="s">
        <v>1774</v>
      </c>
      <c r="AA1556" s="81" t="s">
        <v>876</v>
      </c>
      <c r="AB1556" s="81"/>
      <c r="AC1556" s="81"/>
      <c r="AD1556" s="81"/>
      <c r="AE1556" s="83"/>
      <c r="AF1556" s="81"/>
      <c r="AG1556" s="81"/>
      <c r="AH1556" s="81"/>
      <c r="AI1556" s="81"/>
      <c r="AJ1556" s="83"/>
      <c r="AK1556" s="81"/>
      <c r="AL1556" s="81"/>
      <c r="AM1556" s="83"/>
      <c r="AN1556" s="80"/>
      <c r="AO1556" s="82" t="n">
        <f aca="false">IF(E1556="","",(AA1556&lt;&gt;"")+(AG1556&lt;&gt;"")+(AL1556&lt;&gt;""))</f>
        <v>1</v>
      </c>
      <c r="AP1556" s="82" t="str">
        <f aca="false">IF(AL1556&lt;&gt;"",AL1556,IF(AG1556&lt;&gt;"",AG1556,IF(AA1556&lt;&gt;"",AA1556,"")))</f>
        <v>A</v>
      </c>
      <c r="AQ1556" s="84" t="str">
        <f aca="false">IF(E1556="","",IF(U1556="","À SOUDER",IF(X1556="","VT EN ATTENTE",IF(X1556="R","VT REJETÉ – À REPRENDRE",IF(AP1556="","À RADIOGRAPHIER",IF(AP1556="A","ACCEPTÉ",IF(AP1556="NX","NX – RT À REFAIRE",IF(IF(AO1556=1,AD1556,IF(AO1556=2,AI1556,""))="A","RÉPARÉ – À RADIOGRAPHIER",IF(IF(AO1556=1,AD1556,IF(AO1556=2,AI1556,""))="R","VT REJETÉ – À REPRENDRE",IF(OR(AP1556="CO",AP1556="NT"),"COUPE – À RESOUDER","À RÉPARER"))))))))))</f>
        <v>ACCEPTÉ</v>
      </c>
      <c r="AR1556" s="82" t="str">
        <f aca="false">IF(AND(ISNUMBER(U1556),OR(AQ1556="À RADIOGRAPHIER",AQ1556="RÉPARÉ – À RADIOGRAPHIER",AQ1556="NX – RT À REFAIRE",AQ1556="À RÉPARER",AQ1556="COUPE – À RESOUDER",AQ1556="VT REJETÉ – À REPRENDRE")),MAX(0,'PROGRAMME RT'!$C$4-U1556),"")</f>
        <v/>
      </c>
      <c r="AS1556" s="82" t="n">
        <f aca="false">IF(AND(OR(AQ1556="À RADIOGRAPHIER",AQ1556="RÉPARÉ – À RADIOGRAPHIER",AQ1556="NX – RT À REFAIRE"),OR('PROGRAMME RT'!$D$5="TOUTES",B1556='PROGRAMME RT'!$D$5)),1,0)</f>
        <v>0</v>
      </c>
      <c r="AT1556" s="82" t="str">
        <f aca="false">IF(AS1556=1,SUM(AS$7:AS1556),"")</f>
        <v/>
      </c>
      <c r="AU1556" s="82" t="n">
        <f aca="false">IF(AND(OR(AA1556="R",AA1556="NX",AA1556="NT",AA1556="CO"),OR('JOINTS DE RÉPARATION'!$D$5="TOUTES",B1556='JOINTS DE RÉPARATION'!$D$5),OR('JOINTS DE RÉPARATION'!$L$4="TOUS",AQ1556&lt;&gt;"ACCEPTÉ")),1,0)</f>
        <v>0</v>
      </c>
      <c r="AV1556" s="82" t="str">
        <f aca="false">IF(AU1556=1,SUM(AU$7:AU1556),"")</f>
        <v/>
      </c>
      <c r="AW1556" s="82" t="str">
        <f aca="false">IF(E1556="","",B1556&amp;"|"&amp;E1556)</f>
        <v>MFD-ISW → MFD-CPF|DJ°264</v>
      </c>
    </row>
    <row r="1557" customFormat="false" ht="74.6" hidden="false" customHeight="false" outlineLevel="0" collapsed="false">
      <c r="A1557" s="79" t="n">
        <f aca="false">IF(E1557="","",ROW()-6)</f>
        <v>1551</v>
      </c>
      <c r="B1557" s="80" t="s">
        <v>110</v>
      </c>
      <c r="C1557" s="81" t="s">
        <v>1842</v>
      </c>
      <c r="D1557" s="81" t="n">
        <v>13</v>
      </c>
      <c r="E1557" s="81" t="s">
        <v>1867</v>
      </c>
      <c r="F1557" s="82" t="str">
        <f aca="false">IF(E1557="","",IF(LEFT(E1557,2)="DJ","DJ","JN"))</f>
        <v>JN</v>
      </c>
      <c r="G1557" s="81" t="s">
        <v>1504</v>
      </c>
      <c r="H1557" s="81" t="s">
        <v>871</v>
      </c>
      <c r="I1557" s="81" t="n">
        <v>9.53</v>
      </c>
      <c r="J1557" s="81" t="s">
        <v>872</v>
      </c>
      <c r="K1557" s="81" t="s">
        <v>1861</v>
      </c>
      <c r="L1557" s="81" t="n">
        <v>2094310</v>
      </c>
      <c r="M1557" s="81" t="n">
        <v>15421110</v>
      </c>
      <c r="N1557" s="81" t="n">
        <v>11.94</v>
      </c>
      <c r="O1557" s="81" t="n">
        <v>2079580</v>
      </c>
      <c r="P1557" s="81" t="n">
        <v>15421102</v>
      </c>
      <c r="Q1557" s="81" t="n">
        <v>11.94</v>
      </c>
      <c r="R1557" s="81" t="s">
        <v>1862</v>
      </c>
      <c r="S1557" s="81"/>
      <c r="T1557" s="81"/>
      <c r="U1557" s="83" t="n">
        <v>46292</v>
      </c>
      <c r="V1557" s="83" t="n">
        <v>46292</v>
      </c>
      <c r="W1557" s="81"/>
      <c r="X1557" s="81" t="s">
        <v>876</v>
      </c>
      <c r="Y1557" s="83"/>
      <c r="Z1557" s="81"/>
      <c r="AA1557" s="81"/>
      <c r="AB1557" s="81" t="s">
        <v>1868</v>
      </c>
      <c r="AC1557" s="81"/>
      <c r="AD1557" s="81"/>
      <c r="AE1557" s="83"/>
      <c r="AF1557" s="81"/>
      <c r="AG1557" s="81"/>
      <c r="AH1557" s="81"/>
      <c r="AI1557" s="81"/>
      <c r="AJ1557" s="83"/>
      <c r="AK1557" s="81"/>
      <c r="AL1557" s="81"/>
      <c r="AM1557" s="83"/>
      <c r="AN1557" s="80"/>
      <c r="AO1557" s="82" t="n">
        <f aca="false">IF(E1557="","",(AA1557&lt;&gt;"")+(AG1557&lt;&gt;"")+(AL1557&lt;&gt;""))</f>
        <v>0</v>
      </c>
      <c r="AP1557" s="82" t="str">
        <f aca="false">IF(AL1557&lt;&gt;"",AL1557,IF(AG1557&lt;&gt;"",AG1557,IF(AA1557&lt;&gt;"",AA1557,"")))</f>
        <v/>
      </c>
      <c r="AQ1557" s="84" t="str">
        <f aca="false">IF(E1557="","",IF(U1557="","À SOUDER",IF(X1557="","VT EN ATTENTE",IF(X1557="R","VT REJETÉ – À REPRENDRE",IF(AP1557="","À RADIOGRAPHIER",IF(AP1557="A","ACCEPTÉ",IF(AP1557="NX","NX – RT À REFAIRE",IF(IF(AO1557=1,AD1557,IF(AO1557=2,AI1557,""))="A","RÉPARÉ – À RADIOGRAPHIER",IF(IF(AO1557=1,AD1557,IF(AO1557=2,AI1557,""))="R","VT REJETÉ – À REPRENDRE",IF(OR(AP1557="CO",AP1557="NT"),"COUPE – À RESOUDER","À RÉPARER"))))))))))</f>
        <v>À RADIOGRAPHIER</v>
      </c>
      <c r="AR1557" s="82" t="n">
        <f aca="false">IF(AND(ISNUMBER(U1557),OR(AQ1557="À RADIOGRAPHIER",AQ1557="RÉPARÉ – À RADIOGRAPHIER",AQ1557="NX – RT À REFAIRE",AQ1557="À RÉPARER",AQ1557="COUPE – À RESOUDER",AQ1557="VT REJETÉ – À REPRENDRE")),MAX(0,'PROGRAMME RT'!$C$4-U1557),"")</f>
        <v>1</v>
      </c>
      <c r="AS1557" s="82" t="n">
        <f aca="false">IF(AND(OR(AQ1557="À RADIOGRAPHIER",AQ1557="RÉPARÉ – À RADIOGRAPHIER",AQ1557="NX – RT À REFAIRE"),OR('PROGRAMME RT'!$D$5="TOUTES",B1557='PROGRAMME RT'!$D$5)),1,0)</f>
        <v>1</v>
      </c>
      <c r="AT1557" s="82" t="n">
        <f aca="false">IF(AS1557=1,SUM(AS$7:AS1557),"")</f>
        <v>74</v>
      </c>
      <c r="AU1557" s="82" t="n">
        <f aca="false">IF(AND(OR(AA1557="R",AA1557="NX",AA1557="NT",AA1557="CO"),OR('JOINTS DE RÉPARATION'!$D$5="TOUTES",B1557='JOINTS DE RÉPARATION'!$D$5),OR('JOINTS DE RÉPARATION'!$L$4="TOUS",AQ1557&lt;&gt;"ACCEPTÉ")),1,0)</f>
        <v>0</v>
      </c>
      <c r="AV1557" s="82" t="str">
        <f aca="false">IF(AU1557=1,SUM(AU$7:AU1557),"")</f>
        <v/>
      </c>
      <c r="AW1557" s="82" t="str">
        <f aca="false">IF(E1557="","",B1557&amp;"|"&amp;E1557)</f>
        <v>MFD-ISW → MFD-CPF|JN°1284R</v>
      </c>
    </row>
    <row r="1558" customFormat="false" ht="74.6" hidden="false" customHeight="false" outlineLevel="0" collapsed="false">
      <c r="A1558" s="79" t="n">
        <f aca="false">IF(E1558="","",ROW()-6)</f>
        <v>1552</v>
      </c>
      <c r="B1558" s="80" t="s">
        <v>110</v>
      </c>
      <c r="C1558" s="81" t="s">
        <v>1842</v>
      </c>
      <c r="D1558" s="81" t="n">
        <v>13</v>
      </c>
      <c r="E1558" s="81" t="s">
        <v>1869</v>
      </c>
      <c r="F1558" s="82" t="str">
        <f aca="false">IF(E1558="","",IF(LEFT(E1558,2)="DJ","DJ","JN"))</f>
        <v>DJ</v>
      </c>
      <c r="G1558" s="81"/>
      <c r="H1558" s="81" t="s">
        <v>871</v>
      </c>
      <c r="I1558" s="81" t="n">
        <v>9.53</v>
      </c>
      <c r="J1558" s="81" t="s">
        <v>872</v>
      </c>
      <c r="K1558" s="81" t="s">
        <v>873</v>
      </c>
      <c r="L1558" s="81" t="n">
        <v>2079580</v>
      </c>
      <c r="M1558" s="81" t="n">
        <v>15421102</v>
      </c>
      <c r="N1558" s="81" t="n">
        <v>11.94</v>
      </c>
      <c r="O1558" s="81" t="n">
        <v>2081680</v>
      </c>
      <c r="P1558" s="81" t="n">
        <v>15421102</v>
      </c>
      <c r="Q1558" s="81" t="n">
        <v>11.94</v>
      </c>
      <c r="R1558" s="81" t="s">
        <v>1147</v>
      </c>
      <c r="S1558" s="81"/>
      <c r="T1558" s="81"/>
      <c r="U1558" s="83" t="n">
        <v>46267</v>
      </c>
      <c r="V1558" s="83" t="n">
        <v>46267</v>
      </c>
      <c r="W1558" s="81" t="s">
        <v>1760</v>
      </c>
      <c r="X1558" s="81" t="s">
        <v>876</v>
      </c>
      <c r="Y1558" s="83" t="n">
        <v>46269</v>
      </c>
      <c r="Z1558" s="81" t="s">
        <v>1761</v>
      </c>
      <c r="AA1558" s="81" t="s">
        <v>876</v>
      </c>
      <c r="AB1558" s="81"/>
      <c r="AC1558" s="81"/>
      <c r="AD1558" s="81"/>
      <c r="AE1558" s="83"/>
      <c r="AF1558" s="81"/>
      <c r="AG1558" s="81"/>
      <c r="AH1558" s="81"/>
      <c r="AI1558" s="81"/>
      <c r="AJ1558" s="83"/>
      <c r="AK1558" s="81"/>
      <c r="AL1558" s="81"/>
      <c r="AM1558" s="83"/>
      <c r="AN1558" s="80"/>
      <c r="AO1558" s="82" t="n">
        <f aca="false">IF(E1558="","",(AA1558&lt;&gt;"")+(AG1558&lt;&gt;"")+(AL1558&lt;&gt;""))</f>
        <v>1</v>
      </c>
      <c r="AP1558" s="82" t="str">
        <f aca="false">IF(AL1558&lt;&gt;"",AL1558,IF(AG1558&lt;&gt;"",AG1558,IF(AA1558&lt;&gt;"",AA1558,"")))</f>
        <v>A</v>
      </c>
      <c r="AQ1558" s="84" t="str">
        <f aca="false">IF(E1558="","",IF(U1558="","À SOUDER",IF(X1558="","VT EN ATTENTE",IF(X1558="R","VT REJETÉ – À REPRENDRE",IF(AP1558="","À RADIOGRAPHIER",IF(AP1558="A","ACCEPTÉ",IF(AP1558="NX","NX – RT À REFAIRE",IF(IF(AO1558=1,AD1558,IF(AO1558=2,AI1558,""))="A","RÉPARÉ – À RADIOGRAPHIER",IF(IF(AO1558=1,AD1558,IF(AO1558=2,AI1558,""))="R","VT REJETÉ – À REPRENDRE",IF(OR(AP1558="CO",AP1558="NT"),"COUPE – À RESOUDER","À RÉPARER"))))))))))</f>
        <v>ACCEPTÉ</v>
      </c>
      <c r="AR1558" s="82" t="str">
        <f aca="false">IF(AND(ISNUMBER(U1558),OR(AQ1558="À RADIOGRAPHIER",AQ1558="RÉPARÉ – À RADIOGRAPHIER",AQ1558="NX – RT À REFAIRE",AQ1558="À RÉPARER",AQ1558="COUPE – À RESOUDER",AQ1558="VT REJETÉ – À REPRENDRE")),MAX(0,'PROGRAMME RT'!$C$4-U1558),"")</f>
        <v/>
      </c>
      <c r="AS1558" s="82" t="n">
        <f aca="false">IF(AND(OR(AQ1558="À RADIOGRAPHIER",AQ1558="RÉPARÉ – À RADIOGRAPHIER",AQ1558="NX – RT À REFAIRE"),OR('PROGRAMME RT'!$D$5="TOUTES",B1558='PROGRAMME RT'!$D$5)),1,0)</f>
        <v>0</v>
      </c>
      <c r="AT1558" s="82" t="str">
        <f aca="false">IF(AS1558=1,SUM(AS$7:AS1558),"")</f>
        <v/>
      </c>
      <c r="AU1558" s="82" t="n">
        <f aca="false">IF(AND(OR(AA1558="R",AA1558="NX",AA1558="NT",AA1558="CO"),OR('JOINTS DE RÉPARATION'!$D$5="TOUTES",B1558='JOINTS DE RÉPARATION'!$D$5),OR('JOINTS DE RÉPARATION'!$L$4="TOUS",AQ1558&lt;&gt;"ACCEPTÉ")),1,0)</f>
        <v>0</v>
      </c>
      <c r="AV1558" s="82" t="str">
        <f aca="false">IF(AU1558=1,SUM(AU$7:AU1558),"")</f>
        <v/>
      </c>
      <c r="AW1558" s="82" t="str">
        <f aca="false">IF(E1558="","",B1558&amp;"|"&amp;E1558)</f>
        <v>MFD-ISW → MFD-CPF|DJ°238</v>
      </c>
    </row>
    <row r="1559" customFormat="false" ht="74.6" hidden="false" customHeight="false" outlineLevel="0" collapsed="false">
      <c r="A1559" s="79" t="n">
        <f aca="false">IF(E1559="","",ROW()-6)</f>
        <v>1553</v>
      </c>
      <c r="B1559" s="80" t="s">
        <v>110</v>
      </c>
      <c r="C1559" s="81" t="s">
        <v>1842</v>
      </c>
      <c r="D1559" s="81" t="n">
        <v>13</v>
      </c>
      <c r="E1559" s="81" t="s">
        <v>1870</v>
      </c>
      <c r="F1559" s="82" t="str">
        <f aca="false">IF(E1559="","",IF(LEFT(E1559,2)="DJ","DJ","JN"))</f>
        <v>JN</v>
      </c>
      <c r="G1559" s="81" t="s">
        <v>1504</v>
      </c>
      <c r="H1559" s="81" t="s">
        <v>871</v>
      </c>
      <c r="I1559" s="81" t="n">
        <v>9.53</v>
      </c>
      <c r="J1559" s="81" t="s">
        <v>872</v>
      </c>
      <c r="K1559" s="81" t="s">
        <v>879</v>
      </c>
      <c r="L1559" s="81" t="n">
        <v>2081680</v>
      </c>
      <c r="M1559" s="81" t="n">
        <v>15421102</v>
      </c>
      <c r="N1559" s="81" t="n">
        <v>11.94</v>
      </c>
      <c r="O1559" s="81" t="n">
        <v>2079860</v>
      </c>
      <c r="P1559" s="81" t="n">
        <v>15421103</v>
      </c>
      <c r="Q1559" s="81" t="n">
        <v>11.94</v>
      </c>
      <c r="R1559" s="81" t="s">
        <v>1795</v>
      </c>
      <c r="S1559" s="81"/>
      <c r="T1559" s="81"/>
      <c r="U1559" s="83" t="n">
        <v>46275</v>
      </c>
      <c r="V1559" s="83" t="n">
        <v>46275</v>
      </c>
      <c r="W1559" s="81" t="s">
        <v>1806</v>
      </c>
      <c r="X1559" s="81" t="s">
        <v>876</v>
      </c>
      <c r="Y1559" s="83" t="n">
        <v>46280</v>
      </c>
      <c r="Z1559" s="81" t="s">
        <v>1858</v>
      </c>
      <c r="AA1559" s="81" t="s">
        <v>876</v>
      </c>
      <c r="AB1559" s="81"/>
      <c r="AC1559" s="81"/>
      <c r="AD1559" s="81"/>
      <c r="AE1559" s="83"/>
      <c r="AF1559" s="81"/>
      <c r="AG1559" s="81"/>
      <c r="AH1559" s="81"/>
      <c r="AI1559" s="81"/>
      <c r="AJ1559" s="83"/>
      <c r="AK1559" s="81"/>
      <c r="AL1559" s="81"/>
      <c r="AM1559" s="83"/>
      <c r="AN1559" s="80"/>
      <c r="AO1559" s="82" t="n">
        <f aca="false">IF(E1559="","",(AA1559&lt;&gt;"")+(AG1559&lt;&gt;"")+(AL1559&lt;&gt;""))</f>
        <v>1</v>
      </c>
      <c r="AP1559" s="82" t="str">
        <f aca="false">IF(AL1559&lt;&gt;"",AL1559,IF(AG1559&lt;&gt;"",AG1559,IF(AA1559&lt;&gt;"",AA1559,"")))</f>
        <v>A</v>
      </c>
      <c r="AQ1559" s="84" t="str">
        <f aca="false">IF(E1559="","",IF(U1559="","À SOUDER",IF(X1559="","VT EN ATTENTE",IF(X1559="R","VT REJETÉ – À REPRENDRE",IF(AP1559="","À RADIOGRAPHIER",IF(AP1559="A","ACCEPTÉ",IF(AP1559="NX","NX – RT À REFAIRE",IF(IF(AO1559=1,AD1559,IF(AO1559=2,AI1559,""))="A","RÉPARÉ – À RADIOGRAPHIER",IF(IF(AO1559=1,AD1559,IF(AO1559=2,AI1559,""))="R","VT REJETÉ – À REPRENDRE",IF(OR(AP1559="CO",AP1559="NT"),"COUPE – À RESOUDER","À RÉPARER"))))))))))</f>
        <v>ACCEPTÉ</v>
      </c>
      <c r="AR1559" s="82" t="str">
        <f aca="false">IF(AND(ISNUMBER(U1559),OR(AQ1559="À RADIOGRAPHIER",AQ1559="RÉPARÉ – À RADIOGRAPHIER",AQ1559="NX – RT À REFAIRE",AQ1559="À RÉPARER",AQ1559="COUPE – À RESOUDER",AQ1559="VT REJETÉ – À REPRENDRE")),MAX(0,'PROGRAMME RT'!$C$4-U1559),"")</f>
        <v/>
      </c>
      <c r="AS1559" s="82" t="n">
        <f aca="false">IF(AND(OR(AQ1559="À RADIOGRAPHIER",AQ1559="RÉPARÉ – À RADIOGRAPHIER",AQ1559="NX – RT À REFAIRE"),OR('PROGRAMME RT'!$D$5="TOUTES",B1559='PROGRAMME RT'!$D$5)),1,0)</f>
        <v>0</v>
      </c>
      <c r="AT1559" s="82" t="str">
        <f aca="false">IF(AS1559=1,SUM(AS$7:AS1559),"")</f>
        <v/>
      </c>
      <c r="AU1559" s="82" t="n">
        <f aca="false">IF(AND(OR(AA1559="R",AA1559="NX",AA1559="NT",AA1559="CO"),OR('JOINTS DE RÉPARATION'!$D$5="TOUTES",B1559='JOINTS DE RÉPARATION'!$D$5),OR('JOINTS DE RÉPARATION'!$L$4="TOUS",AQ1559&lt;&gt;"ACCEPTÉ")),1,0)</f>
        <v>0</v>
      </c>
      <c r="AV1559" s="82" t="str">
        <f aca="false">IF(AU1559=1,SUM(AU$7:AU1559),"")</f>
        <v/>
      </c>
      <c r="AW1559" s="82" t="str">
        <f aca="false">IF(E1559="","",B1559&amp;"|"&amp;E1559)</f>
        <v>MFD-ISW → MFD-CPF|JN°1285</v>
      </c>
    </row>
    <row r="1560" customFormat="false" ht="74.6" hidden="false" customHeight="false" outlineLevel="0" collapsed="false">
      <c r="A1560" s="79" t="n">
        <f aca="false">IF(E1560="","",ROW()-6)</f>
        <v>1554</v>
      </c>
      <c r="B1560" s="80" t="s">
        <v>110</v>
      </c>
      <c r="C1560" s="81" t="s">
        <v>1842</v>
      </c>
      <c r="D1560" s="81" t="n">
        <v>13</v>
      </c>
      <c r="E1560" s="81" t="s">
        <v>1871</v>
      </c>
      <c r="F1560" s="82" t="str">
        <f aca="false">IF(E1560="","",IF(LEFT(E1560,2)="DJ","DJ","JN"))</f>
        <v>DJ</v>
      </c>
      <c r="G1560" s="81"/>
      <c r="H1560" s="81" t="s">
        <v>871</v>
      </c>
      <c r="I1560" s="81" t="n">
        <v>9.53</v>
      </c>
      <c r="J1560" s="81" t="s">
        <v>872</v>
      </c>
      <c r="K1560" s="81" t="s">
        <v>873</v>
      </c>
      <c r="L1560" s="81" t="n">
        <v>2079860</v>
      </c>
      <c r="M1560" s="81" t="n">
        <v>15421103</v>
      </c>
      <c r="N1560" s="81" t="n">
        <v>11.94</v>
      </c>
      <c r="O1560" s="81" t="n">
        <v>2086690</v>
      </c>
      <c r="P1560" s="81" t="n">
        <v>15421102</v>
      </c>
      <c r="Q1560" s="81" t="n">
        <v>11.94</v>
      </c>
      <c r="R1560" s="81" t="s">
        <v>1517</v>
      </c>
      <c r="S1560" s="81"/>
      <c r="T1560" s="81"/>
      <c r="U1560" s="83" t="n">
        <v>46267</v>
      </c>
      <c r="V1560" s="83" t="n">
        <v>46267</v>
      </c>
      <c r="W1560" s="81" t="s">
        <v>1760</v>
      </c>
      <c r="X1560" s="81" t="s">
        <v>876</v>
      </c>
      <c r="Y1560" s="83" t="n">
        <v>46269</v>
      </c>
      <c r="Z1560" s="81" t="s">
        <v>1761</v>
      </c>
      <c r="AA1560" s="81" t="s">
        <v>876</v>
      </c>
      <c r="AB1560" s="81"/>
      <c r="AC1560" s="81"/>
      <c r="AD1560" s="81"/>
      <c r="AE1560" s="83"/>
      <c r="AF1560" s="81"/>
      <c r="AG1560" s="81"/>
      <c r="AH1560" s="81"/>
      <c r="AI1560" s="81"/>
      <c r="AJ1560" s="83"/>
      <c r="AK1560" s="81"/>
      <c r="AL1560" s="81"/>
      <c r="AM1560" s="83"/>
      <c r="AN1560" s="80"/>
      <c r="AO1560" s="82" t="n">
        <f aca="false">IF(E1560="","",(AA1560&lt;&gt;"")+(AG1560&lt;&gt;"")+(AL1560&lt;&gt;""))</f>
        <v>1</v>
      </c>
      <c r="AP1560" s="82" t="str">
        <f aca="false">IF(AL1560&lt;&gt;"",AL1560,IF(AG1560&lt;&gt;"",AG1560,IF(AA1560&lt;&gt;"",AA1560,"")))</f>
        <v>A</v>
      </c>
      <c r="AQ1560" s="84" t="str">
        <f aca="false">IF(E1560="","",IF(U1560="","À SOUDER",IF(X1560="","VT EN ATTENTE",IF(X1560="R","VT REJETÉ – À REPRENDRE",IF(AP1560="","À RADIOGRAPHIER",IF(AP1560="A","ACCEPTÉ",IF(AP1560="NX","NX – RT À REFAIRE",IF(IF(AO1560=1,AD1560,IF(AO1560=2,AI1560,""))="A","RÉPARÉ – À RADIOGRAPHIER",IF(IF(AO1560=1,AD1560,IF(AO1560=2,AI1560,""))="R","VT REJETÉ – À REPRENDRE",IF(OR(AP1560="CO",AP1560="NT"),"COUPE – À RESOUDER","À RÉPARER"))))))))))</f>
        <v>ACCEPTÉ</v>
      </c>
      <c r="AR1560" s="82" t="str">
        <f aca="false">IF(AND(ISNUMBER(U1560),OR(AQ1560="À RADIOGRAPHIER",AQ1560="RÉPARÉ – À RADIOGRAPHIER",AQ1560="NX – RT À REFAIRE",AQ1560="À RÉPARER",AQ1560="COUPE – À RESOUDER",AQ1560="VT REJETÉ – À REPRENDRE")),MAX(0,'PROGRAMME RT'!$C$4-U1560),"")</f>
        <v/>
      </c>
      <c r="AS1560" s="82" t="n">
        <f aca="false">IF(AND(OR(AQ1560="À RADIOGRAPHIER",AQ1560="RÉPARÉ – À RADIOGRAPHIER",AQ1560="NX – RT À REFAIRE"),OR('PROGRAMME RT'!$D$5="TOUTES",B1560='PROGRAMME RT'!$D$5)),1,0)</f>
        <v>0</v>
      </c>
      <c r="AT1560" s="82" t="str">
        <f aca="false">IF(AS1560=1,SUM(AS$7:AS1560),"")</f>
        <v/>
      </c>
      <c r="AU1560" s="82" t="n">
        <f aca="false">IF(AND(OR(AA1560="R",AA1560="NX",AA1560="NT",AA1560="CO"),OR('JOINTS DE RÉPARATION'!$D$5="TOUTES",B1560='JOINTS DE RÉPARATION'!$D$5),OR('JOINTS DE RÉPARATION'!$L$4="TOUS",AQ1560&lt;&gt;"ACCEPTÉ")),1,0)</f>
        <v>0</v>
      </c>
      <c r="AV1560" s="82" t="str">
        <f aca="false">IF(AU1560=1,SUM(AU$7:AU1560),"")</f>
        <v/>
      </c>
      <c r="AW1560" s="82" t="str">
        <f aca="false">IF(E1560="","",B1560&amp;"|"&amp;E1560)</f>
        <v>MFD-ISW → MFD-CPF|DJ°249</v>
      </c>
    </row>
    <row r="1561" customFormat="false" ht="74.6" hidden="false" customHeight="false" outlineLevel="0" collapsed="false">
      <c r="A1561" s="79" t="n">
        <f aca="false">IF(E1561="","",ROW()-6)</f>
        <v>1555</v>
      </c>
      <c r="B1561" s="80" t="s">
        <v>110</v>
      </c>
      <c r="C1561" s="81" t="s">
        <v>1842</v>
      </c>
      <c r="D1561" s="81" t="n">
        <v>13</v>
      </c>
      <c r="E1561" s="81" t="s">
        <v>1872</v>
      </c>
      <c r="F1561" s="82" t="str">
        <f aca="false">IF(E1561="","",IF(LEFT(E1561,2)="DJ","DJ","JN"))</f>
        <v>JN</v>
      </c>
      <c r="G1561" s="81" t="s">
        <v>1504</v>
      </c>
      <c r="H1561" s="81" t="s">
        <v>871</v>
      </c>
      <c r="I1561" s="81" t="n">
        <v>9.53</v>
      </c>
      <c r="J1561" s="81" t="s">
        <v>872</v>
      </c>
      <c r="K1561" s="81" t="s">
        <v>879</v>
      </c>
      <c r="L1561" s="81" t="n">
        <v>2086690</v>
      </c>
      <c r="M1561" s="81" t="n">
        <v>15421102</v>
      </c>
      <c r="N1561" s="81" t="n">
        <v>11.94</v>
      </c>
      <c r="O1561" s="81" t="n">
        <v>2086990</v>
      </c>
      <c r="P1561" s="81" t="n">
        <v>15421110</v>
      </c>
      <c r="Q1561" s="81" t="n">
        <v>11.94</v>
      </c>
      <c r="R1561" s="81" t="s">
        <v>1795</v>
      </c>
      <c r="S1561" s="81"/>
      <c r="T1561" s="81"/>
      <c r="U1561" s="83" t="n">
        <v>46275</v>
      </c>
      <c r="V1561" s="83" t="n">
        <v>46275</v>
      </c>
      <c r="W1561" s="81" t="s">
        <v>1806</v>
      </c>
      <c r="X1561" s="81" t="s">
        <v>876</v>
      </c>
      <c r="Y1561" s="83" t="n">
        <v>46280</v>
      </c>
      <c r="Z1561" s="81" t="s">
        <v>1858</v>
      </c>
      <c r="AA1561" s="81" t="s">
        <v>876</v>
      </c>
      <c r="AB1561" s="81"/>
      <c r="AC1561" s="81"/>
      <c r="AD1561" s="81"/>
      <c r="AE1561" s="83"/>
      <c r="AF1561" s="81"/>
      <c r="AG1561" s="81"/>
      <c r="AH1561" s="81"/>
      <c r="AI1561" s="81"/>
      <c r="AJ1561" s="83"/>
      <c r="AK1561" s="81"/>
      <c r="AL1561" s="81"/>
      <c r="AM1561" s="83"/>
      <c r="AN1561" s="80"/>
      <c r="AO1561" s="82" t="n">
        <f aca="false">IF(E1561="","",(AA1561&lt;&gt;"")+(AG1561&lt;&gt;"")+(AL1561&lt;&gt;""))</f>
        <v>1</v>
      </c>
      <c r="AP1561" s="82" t="str">
        <f aca="false">IF(AL1561&lt;&gt;"",AL1561,IF(AG1561&lt;&gt;"",AG1561,IF(AA1561&lt;&gt;"",AA1561,"")))</f>
        <v>A</v>
      </c>
      <c r="AQ1561" s="84" t="str">
        <f aca="false">IF(E1561="","",IF(U1561="","À SOUDER",IF(X1561="","VT EN ATTENTE",IF(X1561="R","VT REJETÉ – À REPRENDRE",IF(AP1561="","À RADIOGRAPHIER",IF(AP1561="A","ACCEPTÉ",IF(AP1561="NX","NX – RT À REFAIRE",IF(IF(AO1561=1,AD1561,IF(AO1561=2,AI1561,""))="A","RÉPARÉ – À RADIOGRAPHIER",IF(IF(AO1561=1,AD1561,IF(AO1561=2,AI1561,""))="R","VT REJETÉ – À REPRENDRE",IF(OR(AP1561="CO",AP1561="NT"),"COUPE – À RESOUDER","À RÉPARER"))))))))))</f>
        <v>ACCEPTÉ</v>
      </c>
      <c r="AR1561" s="82" t="str">
        <f aca="false">IF(AND(ISNUMBER(U1561),OR(AQ1561="À RADIOGRAPHIER",AQ1561="RÉPARÉ – À RADIOGRAPHIER",AQ1561="NX – RT À REFAIRE",AQ1561="À RÉPARER",AQ1561="COUPE – À RESOUDER",AQ1561="VT REJETÉ – À REPRENDRE")),MAX(0,'PROGRAMME RT'!$C$4-U1561),"")</f>
        <v/>
      </c>
      <c r="AS1561" s="82" t="n">
        <f aca="false">IF(AND(OR(AQ1561="À RADIOGRAPHIER",AQ1561="RÉPARÉ – À RADIOGRAPHIER",AQ1561="NX – RT À REFAIRE"),OR('PROGRAMME RT'!$D$5="TOUTES",B1561='PROGRAMME RT'!$D$5)),1,0)</f>
        <v>0</v>
      </c>
      <c r="AT1561" s="82" t="str">
        <f aca="false">IF(AS1561=1,SUM(AS$7:AS1561),"")</f>
        <v/>
      </c>
      <c r="AU1561" s="82" t="n">
        <f aca="false">IF(AND(OR(AA1561="R",AA1561="NX",AA1561="NT",AA1561="CO"),OR('JOINTS DE RÉPARATION'!$D$5="TOUTES",B1561='JOINTS DE RÉPARATION'!$D$5),OR('JOINTS DE RÉPARATION'!$L$4="TOUS",AQ1561&lt;&gt;"ACCEPTÉ")),1,0)</f>
        <v>0</v>
      </c>
      <c r="AV1561" s="82" t="str">
        <f aca="false">IF(AU1561=1,SUM(AU$7:AU1561),"")</f>
        <v/>
      </c>
      <c r="AW1561" s="82" t="str">
        <f aca="false">IF(E1561="","",B1561&amp;"|"&amp;E1561)</f>
        <v>MFD-ISW → MFD-CPF|JN°1286</v>
      </c>
    </row>
    <row r="1562" customFormat="false" ht="74.6" hidden="false" customHeight="false" outlineLevel="0" collapsed="false">
      <c r="A1562" s="79" t="n">
        <f aca="false">IF(E1562="","",ROW()-6)</f>
        <v>1556</v>
      </c>
      <c r="B1562" s="80" t="s">
        <v>110</v>
      </c>
      <c r="C1562" s="81" t="s">
        <v>1842</v>
      </c>
      <c r="D1562" s="81" t="n">
        <v>13</v>
      </c>
      <c r="E1562" s="81" t="s">
        <v>1873</v>
      </c>
      <c r="F1562" s="82" t="str">
        <f aca="false">IF(E1562="","",IF(LEFT(E1562,2)="DJ","DJ","JN"))</f>
        <v>DJ</v>
      </c>
      <c r="G1562" s="81"/>
      <c r="H1562" s="81" t="s">
        <v>871</v>
      </c>
      <c r="I1562" s="81" t="n">
        <v>9.53</v>
      </c>
      <c r="J1562" s="81" t="s">
        <v>872</v>
      </c>
      <c r="K1562" s="81" t="s">
        <v>873</v>
      </c>
      <c r="L1562" s="81" t="n">
        <v>2089520</v>
      </c>
      <c r="M1562" s="81" t="n">
        <v>15421109</v>
      </c>
      <c r="N1562" s="81" t="n">
        <v>11.94</v>
      </c>
      <c r="O1562" s="81" t="n">
        <v>2086990</v>
      </c>
      <c r="P1562" s="81" t="n">
        <v>15421110</v>
      </c>
      <c r="Q1562" s="81" t="n">
        <v>11.94</v>
      </c>
      <c r="R1562" s="81" t="s">
        <v>963</v>
      </c>
      <c r="S1562" s="81" t="s">
        <v>963</v>
      </c>
      <c r="T1562" s="81" t="s">
        <v>963</v>
      </c>
      <c r="U1562" s="83" t="n">
        <v>46267</v>
      </c>
      <c r="V1562" s="83" t="n">
        <v>46267</v>
      </c>
      <c r="W1562" s="81" t="s">
        <v>1760</v>
      </c>
      <c r="X1562" s="81" t="s">
        <v>876</v>
      </c>
      <c r="Y1562" s="83" t="n">
        <v>46269</v>
      </c>
      <c r="Z1562" s="81" t="s">
        <v>1761</v>
      </c>
      <c r="AA1562" s="81" t="s">
        <v>876</v>
      </c>
      <c r="AB1562" s="81"/>
      <c r="AC1562" s="81"/>
      <c r="AD1562" s="81"/>
      <c r="AE1562" s="83"/>
      <c r="AF1562" s="81"/>
      <c r="AG1562" s="81"/>
      <c r="AH1562" s="81"/>
      <c r="AI1562" s="81"/>
      <c r="AJ1562" s="83"/>
      <c r="AK1562" s="81"/>
      <c r="AL1562" s="81"/>
      <c r="AM1562" s="83"/>
      <c r="AN1562" s="80"/>
      <c r="AO1562" s="82" t="n">
        <f aca="false">IF(E1562="","",(AA1562&lt;&gt;"")+(AG1562&lt;&gt;"")+(AL1562&lt;&gt;""))</f>
        <v>1</v>
      </c>
      <c r="AP1562" s="82" t="str">
        <f aca="false">IF(AL1562&lt;&gt;"",AL1562,IF(AG1562&lt;&gt;"",AG1562,IF(AA1562&lt;&gt;"",AA1562,"")))</f>
        <v>A</v>
      </c>
      <c r="AQ1562" s="84" t="str">
        <f aca="false">IF(E1562="","",IF(U1562="","À SOUDER",IF(X1562="","VT EN ATTENTE",IF(X1562="R","VT REJETÉ – À REPRENDRE",IF(AP1562="","À RADIOGRAPHIER",IF(AP1562="A","ACCEPTÉ",IF(AP1562="NX","NX – RT À REFAIRE",IF(IF(AO1562=1,AD1562,IF(AO1562=2,AI1562,""))="A","RÉPARÉ – À RADIOGRAPHIER",IF(IF(AO1562=1,AD1562,IF(AO1562=2,AI1562,""))="R","VT REJETÉ – À REPRENDRE",IF(OR(AP1562="CO",AP1562="NT"),"COUPE – À RESOUDER","À RÉPARER"))))))))))</f>
        <v>ACCEPTÉ</v>
      </c>
      <c r="AR1562" s="82" t="str">
        <f aca="false">IF(AND(ISNUMBER(U1562),OR(AQ1562="À RADIOGRAPHIER",AQ1562="RÉPARÉ – À RADIOGRAPHIER",AQ1562="NX – RT À REFAIRE",AQ1562="À RÉPARER",AQ1562="COUPE – À RESOUDER",AQ1562="VT REJETÉ – À REPRENDRE")),MAX(0,'PROGRAMME RT'!$C$4-U1562),"")</f>
        <v/>
      </c>
      <c r="AS1562" s="82" t="n">
        <f aca="false">IF(AND(OR(AQ1562="À RADIOGRAPHIER",AQ1562="RÉPARÉ – À RADIOGRAPHIER",AQ1562="NX – RT À REFAIRE"),OR('PROGRAMME RT'!$D$5="TOUTES",B1562='PROGRAMME RT'!$D$5)),1,0)</f>
        <v>0</v>
      </c>
      <c r="AT1562" s="82" t="str">
        <f aca="false">IF(AS1562=1,SUM(AS$7:AS1562),"")</f>
        <v/>
      </c>
      <c r="AU1562" s="82" t="n">
        <f aca="false">IF(AND(OR(AA1562="R",AA1562="NX",AA1562="NT",AA1562="CO"),OR('JOINTS DE RÉPARATION'!$D$5="TOUTES",B1562='JOINTS DE RÉPARATION'!$D$5),OR('JOINTS DE RÉPARATION'!$L$4="TOUS",AQ1562&lt;&gt;"ACCEPTÉ")),1,0)</f>
        <v>0</v>
      </c>
      <c r="AV1562" s="82" t="str">
        <f aca="false">IF(AU1562=1,SUM(AU$7:AU1562),"")</f>
        <v/>
      </c>
      <c r="AW1562" s="82" t="str">
        <f aca="false">IF(E1562="","",B1562&amp;"|"&amp;E1562)</f>
        <v>MFD-ISW → MFD-CPF|DJ°243</v>
      </c>
    </row>
    <row r="1563" customFormat="false" ht="74.6" hidden="false" customHeight="false" outlineLevel="0" collapsed="false">
      <c r="A1563" s="79" t="n">
        <f aca="false">IF(E1563="","",ROW()-6)</f>
        <v>1557</v>
      </c>
      <c r="B1563" s="80" t="s">
        <v>110</v>
      </c>
      <c r="C1563" s="81" t="s">
        <v>1842</v>
      </c>
      <c r="D1563" s="81" t="n">
        <v>13</v>
      </c>
      <c r="E1563" s="81" t="s">
        <v>1874</v>
      </c>
      <c r="F1563" s="82" t="str">
        <f aca="false">IF(E1563="","",IF(LEFT(E1563,2)="DJ","DJ","JN"))</f>
        <v>JN</v>
      </c>
      <c r="G1563" s="81" t="s">
        <v>1504</v>
      </c>
      <c r="H1563" s="81" t="s">
        <v>871</v>
      </c>
      <c r="I1563" s="81" t="n">
        <v>9.53</v>
      </c>
      <c r="J1563" s="81" t="s">
        <v>872</v>
      </c>
      <c r="K1563" s="81" t="s">
        <v>879</v>
      </c>
      <c r="L1563" s="81" t="n">
        <v>2089520</v>
      </c>
      <c r="M1563" s="81" t="n">
        <v>15421109</v>
      </c>
      <c r="N1563" s="81" t="n">
        <v>11.94</v>
      </c>
      <c r="O1563" s="81" t="n">
        <v>2089850</v>
      </c>
      <c r="P1563" s="81" t="n">
        <v>15421102</v>
      </c>
      <c r="Q1563" s="81" t="n">
        <v>11.94</v>
      </c>
      <c r="R1563" s="81" t="s">
        <v>1795</v>
      </c>
      <c r="S1563" s="81"/>
      <c r="T1563" s="81"/>
      <c r="U1563" s="83" t="n">
        <v>46275</v>
      </c>
      <c r="V1563" s="83" t="n">
        <v>46275</v>
      </c>
      <c r="W1563" s="81" t="s">
        <v>1875</v>
      </c>
      <c r="X1563" s="81" t="s">
        <v>876</v>
      </c>
      <c r="Y1563" s="83" t="n">
        <v>46280</v>
      </c>
      <c r="Z1563" s="81" t="s">
        <v>1858</v>
      </c>
      <c r="AA1563" s="81" t="s">
        <v>876</v>
      </c>
      <c r="AB1563" s="81"/>
      <c r="AC1563" s="81"/>
      <c r="AD1563" s="81"/>
      <c r="AE1563" s="83"/>
      <c r="AF1563" s="81"/>
      <c r="AG1563" s="81"/>
      <c r="AH1563" s="81"/>
      <c r="AI1563" s="81"/>
      <c r="AJ1563" s="83"/>
      <c r="AK1563" s="81"/>
      <c r="AL1563" s="81"/>
      <c r="AM1563" s="83"/>
      <c r="AN1563" s="80"/>
      <c r="AO1563" s="82" t="n">
        <f aca="false">IF(E1563="","",(AA1563&lt;&gt;"")+(AG1563&lt;&gt;"")+(AL1563&lt;&gt;""))</f>
        <v>1</v>
      </c>
      <c r="AP1563" s="82" t="str">
        <f aca="false">IF(AL1563&lt;&gt;"",AL1563,IF(AG1563&lt;&gt;"",AG1563,IF(AA1563&lt;&gt;"",AA1563,"")))</f>
        <v>A</v>
      </c>
      <c r="AQ1563" s="84" t="str">
        <f aca="false">IF(E1563="","",IF(U1563="","À SOUDER",IF(X1563="","VT EN ATTENTE",IF(X1563="R","VT REJETÉ – À REPRENDRE",IF(AP1563="","À RADIOGRAPHIER",IF(AP1563="A","ACCEPTÉ",IF(AP1563="NX","NX – RT À REFAIRE",IF(IF(AO1563=1,AD1563,IF(AO1563=2,AI1563,""))="A","RÉPARÉ – À RADIOGRAPHIER",IF(IF(AO1563=1,AD1563,IF(AO1563=2,AI1563,""))="R","VT REJETÉ – À REPRENDRE",IF(OR(AP1563="CO",AP1563="NT"),"COUPE – À RESOUDER","À RÉPARER"))))))))))</f>
        <v>ACCEPTÉ</v>
      </c>
      <c r="AR1563" s="82" t="str">
        <f aca="false">IF(AND(ISNUMBER(U1563),OR(AQ1563="À RADIOGRAPHIER",AQ1563="RÉPARÉ – À RADIOGRAPHIER",AQ1563="NX – RT À REFAIRE",AQ1563="À RÉPARER",AQ1563="COUPE – À RESOUDER",AQ1563="VT REJETÉ – À REPRENDRE")),MAX(0,'PROGRAMME RT'!$C$4-U1563),"")</f>
        <v/>
      </c>
      <c r="AS1563" s="82" t="n">
        <f aca="false">IF(AND(OR(AQ1563="À RADIOGRAPHIER",AQ1563="RÉPARÉ – À RADIOGRAPHIER",AQ1563="NX – RT À REFAIRE"),OR('PROGRAMME RT'!$D$5="TOUTES",B1563='PROGRAMME RT'!$D$5)),1,0)</f>
        <v>0</v>
      </c>
      <c r="AT1563" s="82" t="str">
        <f aca="false">IF(AS1563=1,SUM(AS$7:AS1563),"")</f>
        <v/>
      </c>
      <c r="AU1563" s="82" t="n">
        <f aca="false">IF(AND(OR(AA1563="R",AA1563="NX",AA1563="NT",AA1563="CO"),OR('JOINTS DE RÉPARATION'!$D$5="TOUTES",B1563='JOINTS DE RÉPARATION'!$D$5),OR('JOINTS DE RÉPARATION'!$L$4="TOUS",AQ1563&lt;&gt;"ACCEPTÉ")),1,0)</f>
        <v>0</v>
      </c>
      <c r="AV1563" s="82" t="str">
        <f aca="false">IF(AU1563=1,SUM(AU$7:AU1563),"")</f>
        <v/>
      </c>
      <c r="AW1563" s="82" t="str">
        <f aca="false">IF(E1563="","",B1563&amp;"|"&amp;E1563)</f>
        <v>MFD-ISW → MFD-CPF|JN°1287</v>
      </c>
    </row>
    <row r="1564" customFormat="false" ht="74.6" hidden="false" customHeight="false" outlineLevel="0" collapsed="false">
      <c r="A1564" s="79" t="n">
        <f aca="false">IF(E1564="","",ROW()-6)</f>
        <v>1558</v>
      </c>
      <c r="B1564" s="80" t="s">
        <v>110</v>
      </c>
      <c r="C1564" s="81" t="s">
        <v>1842</v>
      </c>
      <c r="D1564" s="81" t="n">
        <v>13</v>
      </c>
      <c r="E1564" s="81" t="s">
        <v>1876</v>
      </c>
      <c r="F1564" s="82" t="str">
        <f aca="false">IF(E1564="","",IF(LEFT(E1564,2)="DJ","DJ","JN"))</f>
        <v>DJ</v>
      </c>
      <c r="G1564" s="81"/>
      <c r="H1564" s="81" t="s">
        <v>871</v>
      </c>
      <c r="I1564" s="81" t="n">
        <v>9.53</v>
      </c>
      <c r="J1564" s="81" t="s">
        <v>872</v>
      </c>
      <c r="K1564" s="81" t="s">
        <v>873</v>
      </c>
      <c r="L1564" s="81" t="n">
        <v>2080600</v>
      </c>
      <c r="M1564" s="81" t="n">
        <v>15421103</v>
      </c>
      <c r="N1564" s="81" t="n">
        <v>11.94</v>
      </c>
      <c r="O1564" s="81" t="n">
        <v>2079850</v>
      </c>
      <c r="P1564" s="81" t="n">
        <v>15421102</v>
      </c>
      <c r="Q1564" s="81" t="n">
        <v>11.94</v>
      </c>
      <c r="R1564" s="81" t="s">
        <v>1147</v>
      </c>
      <c r="S1564" s="81" t="s">
        <v>1147</v>
      </c>
      <c r="T1564" s="81" t="s">
        <v>1147</v>
      </c>
      <c r="U1564" s="83" t="n">
        <v>46267</v>
      </c>
      <c r="V1564" s="83" t="n">
        <v>46267</v>
      </c>
      <c r="W1564" s="81" t="s">
        <v>1760</v>
      </c>
      <c r="X1564" s="81" t="s">
        <v>876</v>
      </c>
      <c r="Y1564" s="83" t="n">
        <v>46269</v>
      </c>
      <c r="Z1564" s="81" t="s">
        <v>1761</v>
      </c>
      <c r="AA1564" s="81" t="s">
        <v>876</v>
      </c>
      <c r="AB1564" s="81"/>
      <c r="AC1564" s="81"/>
      <c r="AD1564" s="81"/>
      <c r="AE1564" s="83"/>
      <c r="AF1564" s="81"/>
      <c r="AG1564" s="81"/>
      <c r="AH1564" s="81"/>
      <c r="AI1564" s="81"/>
      <c r="AJ1564" s="83"/>
      <c r="AK1564" s="81"/>
      <c r="AL1564" s="81"/>
      <c r="AM1564" s="83"/>
      <c r="AN1564" s="80"/>
      <c r="AO1564" s="82" t="n">
        <f aca="false">IF(E1564="","",(AA1564&lt;&gt;"")+(AG1564&lt;&gt;"")+(AL1564&lt;&gt;""))</f>
        <v>1</v>
      </c>
      <c r="AP1564" s="82" t="str">
        <f aca="false">IF(AL1564&lt;&gt;"",AL1564,IF(AG1564&lt;&gt;"",AG1564,IF(AA1564&lt;&gt;"",AA1564,"")))</f>
        <v>A</v>
      </c>
      <c r="AQ1564" s="84" t="str">
        <f aca="false">IF(E1564="","",IF(U1564="","À SOUDER",IF(X1564="","VT EN ATTENTE",IF(X1564="R","VT REJETÉ – À REPRENDRE",IF(AP1564="","À RADIOGRAPHIER",IF(AP1564="A","ACCEPTÉ",IF(AP1564="NX","NX – RT À REFAIRE",IF(IF(AO1564=1,AD1564,IF(AO1564=2,AI1564,""))="A","RÉPARÉ – À RADIOGRAPHIER",IF(IF(AO1564=1,AD1564,IF(AO1564=2,AI1564,""))="R","VT REJETÉ – À REPRENDRE",IF(OR(AP1564="CO",AP1564="NT"),"COUPE – À RESOUDER","À RÉPARER"))))))))))</f>
        <v>ACCEPTÉ</v>
      </c>
      <c r="AR1564" s="82" t="str">
        <f aca="false">IF(AND(ISNUMBER(U1564),OR(AQ1564="À RADIOGRAPHIER",AQ1564="RÉPARÉ – À RADIOGRAPHIER",AQ1564="NX – RT À REFAIRE",AQ1564="À RÉPARER",AQ1564="COUPE – À RESOUDER",AQ1564="VT REJETÉ – À REPRENDRE")),MAX(0,'PROGRAMME RT'!$C$4-U1564),"")</f>
        <v/>
      </c>
      <c r="AS1564" s="82" t="n">
        <f aca="false">IF(AND(OR(AQ1564="À RADIOGRAPHIER",AQ1564="RÉPARÉ – À RADIOGRAPHIER",AQ1564="NX – RT À REFAIRE"),OR('PROGRAMME RT'!$D$5="TOUTES",B1564='PROGRAMME RT'!$D$5)),1,0)</f>
        <v>0</v>
      </c>
      <c r="AT1564" s="82" t="str">
        <f aca="false">IF(AS1564=1,SUM(AS$7:AS1564),"")</f>
        <v/>
      </c>
      <c r="AU1564" s="82" t="n">
        <f aca="false">IF(AND(OR(AA1564="R",AA1564="NX",AA1564="NT",AA1564="CO"),OR('JOINTS DE RÉPARATION'!$D$5="TOUTES",B1564='JOINTS DE RÉPARATION'!$D$5),OR('JOINTS DE RÉPARATION'!$L$4="TOUS",AQ1564&lt;&gt;"ACCEPTÉ")),1,0)</f>
        <v>0</v>
      </c>
      <c r="AV1564" s="82" t="str">
        <f aca="false">IF(AU1564=1,SUM(AU$7:AU1564),"")</f>
        <v/>
      </c>
      <c r="AW1564" s="82" t="str">
        <f aca="false">IF(E1564="","",B1564&amp;"|"&amp;E1564)</f>
        <v>MFD-ISW → MFD-CPF|DJ°245</v>
      </c>
    </row>
    <row r="1565" customFormat="false" ht="74.6" hidden="false" customHeight="false" outlineLevel="0" collapsed="false">
      <c r="A1565" s="79" t="n">
        <f aca="false">IF(E1565="","",ROW()-6)</f>
        <v>1559</v>
      </c>
      <c r="B1565" s="80" t="s">
        <v>110</v>
      </c>
      <c r="C1565" s="81" t="s">
        <v>1842</v>
      </c>
      <c r="D1565" s="81" t="n">
        <v>13</v>
      </c>
      <c r="E1565" s="81" t="s">
        <v>1877</v>
      </c>
      <c r="F1565" s="82" t="str">
        <f aca="false">IF(E1565="","",IF(LEFT(E1565,2)="DJ","DJ","JN"))</f>
        <v>JN</v>
      </c>
      <c r="G1565" s="81" t="s">
        <v>1504</v>
      </c>
      <c r="H1565" s="81" t="s">
        <v>871</v>
      </c>
      <c r="I1565" s="81" t="n">
        <v>9.53</v>
      </c>
      <c r="J1565" s="81" t="s">
        <v>872</v>
      </c>
      <c r="K1565" s="81" t="s">
        <v>1861</v>
      </c>
      <c r="L1565" s="81" t="n">
        <v>2080600</v>
      </c>
      <c r="M1565" s="81" t="n">
        <v>15421103</v>
      </c>
      <c r="N1565" s="81" t="n">
        <v>11.94</v>
      </c>
      <c r="O1565" s="81" t="n">
        <v>2090070</v>
      </c>
      <c r="P1565" s="81" t="n">
        <v>15421109</v>
      </c>
      <c r="Q1565" s="81" t="n">
        <v>11.94</v>
      </c>
      <c r="R1565" s="81" t="s">
        <v>1862</v>
      </c>
      <c r="S1565" s="81"/>
      <c r="T1565" s="81"/>
      <c r="U1565" s="83" t="n">
        <v>46291</v>
      </c>
      <c r="V1565" s="83" t="n">
        <v>46291</v>
      </c>
      <c r="W1565" s="81" t="s">
        <v>1878</v>
      </c>
      <c r="X1565" s="81" t="s">
        <v>876</v>
      </c>
      <c r="Y1565" s="83"/>
      <c r="Z1565" s="81"/>
      <c r="AA1565" s="81"/>
      <c r="AB1565" s="81" t="s">
        <v>1879</v>
      </c>
      <c r="AC1565" s="81"/>
      <c r="AD1565" s="81"/>
      <c r="AE1565" s="83"/>
      <c r="AF1565" s="81"/>
      <c r="AG1565" s="81"/>
      <c r="AH1565" s="81"/>
      <c r="AI1565" s="81"/>
      <c r="AJ1565" s="83"/>
      <c r="AK1565" s="81"/>
      <c r="AL1565" s="81"/>
      <c r="AM1565" s="83"/>
      <c r="AN1565" s="80"/>
      <c r="AO1565" s="82" t="n">
        <f aca="false">IF(E1565="","",(AA1565&lt;&gt;"")+(AG1565&lt;&gt;"")+(AL1565&lt;&gt;""))</f>
        <v>0</v>
      </c>
      <c r="AP1565" s="82" t="str">
        <f aca="false">IF(AL1565&lt;&gt;"",AL1565,IF(AG1565&lt;&gt;"",AG1565,IF(AA1565&lt;&gt;"",AA1565,"")))</f>
        <v/>
      </c>
      <c r="AQ1565" s="84" t="str">
        <f aca="false">IF(E1565="","",IF(U1565="","À SOUDER",IF(X1565="","VT EN ATTENTE",IF(X1565="R","VT REJETÉ – À REPRENDRE",IF(AP1565="","À RADIOGRAPHIER",IF(AP1565="A","ACCEPTÉ",IF(AP1565="NX","NX – RT À REFAIRE",IF(IF(AO1565=1,AD1565,IF(AO1565=2,AI1565,""))="A","RÉPARÉ – À RADIOGRAPHIER",IF(IF(AO1565=1,AD1565,IF(AO1565=2,AI1565,""))="R","VT REJETÉ – À REPRENDRE",IF(OR(AP1565="CO",AP1565="NT"),"COUPE – À RESOUDER","À RÉPARER"))))))))))</f>
        <v>À RADIOGRAPHIER</v>
      </c>
      <c r="AR1565" s="82" t="n">
        <f aca="false">IF(AND(ISNUMBER(U1565),OR(AQ1565="À RADIOGRAPHIER",AQ1565="RÉPARÉ – À RADIOGRAPHIER",AQ1565="NX – RT À REFAIRE",AQ1565="À RÉPARER",AQ1565="COUPE – À RESOUDER",AQ1565="VT REJETÉ – À REPRENDRE")),MAX(0,'PROGRAMME RT'!$C$4-U1565),"")</f>
        <v>2</v>
      </c>
      <c r="AS1565" s="82" t="n">
        <f aca="false">IF(AND(OR(AQ1565="À RADIOGRAPHIER",AQ1565="RÉPARÉ – À RADIOGRAPHIER",AQ1565="NX – RT À REFAIRE"),OR('PROGRAMME RT'!$D$5="TOUTES",B1565='PROGRAMME RT'!$D$5)),1,0)</f>
        <v>1</v>
      </c>
      <c r="AT1565" s="82" t="n">
        <f aca="false">IF(AS1565=1,SUM(AS$7:AS1565),"")</f>
        <v>75</v>
      </c>
      <c r="AU1565" s="82" t="n">
        <f aca="false">IF(AND(OR(AA1565="R",AA1565="NX",AA1565="NT",AA1565="CO"),OR('JOINTS DE RÉPARATION'!$D$5="TOUTES",B1565='JOINTS DE RÉPARATION'!$D$5),OR('JOINTS DE RÉPARATION'!$L$4="TOUS",AQ1565&lt;&gt;"ACCEPTÉ")),1,0)</f>
        <v>0</v>
      </c>
      <c r="AV1565" s="82" t="str">
        <f aca="false">IF(AU1565=1,SUM(AU$7:AU1565),"")</f>
        <v/>
      </c>
      <c r="AW1565" s="82" t="str">
        <f aca="false">IF(E1565="","",B1565&amp;"|"&amp;E1565)</f>
        <v>MFD-ISW → MFD-CPF|JN°1288R</v>
      </c>
    </row>
    <row r="1566" customFormat="false" ht="74.6" hidden="false" customHeight="false" outlineLevel="0" collapsed="false">
      <c r="A1566" s="79" t="n">
        <f aca="false">IF(E1566="","",ROW()-6)</f>
        <v>1560</v>
      </c>
      <c r="B1566" s="80" t="s">
        <v>110</v>
      </c>
      <c r="C1566" s="81" t="s">
        <v>1842</v>
      </c>
      <c r="D1566" s="81" t="n">
        <v>13</v>
      </c>
      <c r="E1566" s="81" t="s">
        <v>1880</v>
      </c>
      <c r="F1566" s="82" t="str">
        <f aca="false">IF(E1566="","",IF(LEFT(E1566,2)="DJ","DJ","JN"))</f>
        <v>DJ</v>
      </c>
      <c r="G1566" s="81"/>
      <c r="H1566" s="81" t="s">
        <v>871</v>
      </c>
      <c r="I1566" s="81" t="n">
        <v>9.53</v>
      </c>
      <c r="J1566" s="81" t="s">
        <v>872</v>
      </c>
      <c r="K1566" s="81" t="s">
        <v>873</v>
      </c>
      <c r="L1566" s="81" t="n">
        <v>2090070</v>
      </c>
      <c r="M1566" s="81" t="n">
        <v>15421109</v>
      </c>
      <c r="N1566" s="81" t="n">
        <v>11.94</v>
      </c>
      <c r="O1566" s="81" t="n">
        <v>2078950</v>
      </c>
      <c r="P1566" s="81" t="n">
        <v>15421101</v>
      </c>
      <c r="Q1566" s="81" t="n">
        <v>11.94</v>
      </c>
      <c r="R1566" s="81" t="s">
        <v>1135</v>
      </c>
      <c r="S1566" s="81"/>
      <c r="T1566" s="81"/>
      <c r="U1566" s="83" t="n">
        <v>46267</v>
      </c>
      <c r="V1566" s="83" t="n">
        <v>46267</v>
      </c>
      <c r="W1566" s="81" t="s">
        <v>1760</v>
      </c>
      <c r="X1566" s="81" t="s">
        <v>876</v>
      </c>
      <c r="Y1566" s="83" t="n">
        <v>46269</v>
      </c>
      <c r="Z1566" s="81" t="s">
        <v>1761</v>
      </c>
      <c r="AA1566" s="81" t="s">
        <v>876</v>
      </c>
      <c r="AB1566" s="81"/>
      <c r="AC1566" s="81"/>
      <c r="AD1566" s="81"/>
      <c r="AE1566" s="83"/>
      <c r="AF1566" s="81"/>
      <c r="AG1566" s="81"/>
      <c r="AH1566" s="81"/>
      <c r="AI1566" s="81"/>
      <c r="AJ1566" s="83"/>
      <c r="AK1566" s="81"/>
      <c r="AL1566" s="81"/>
      <c r="AM1566" s="83"/>
      <c r="AN1566" s="80"/>
      <c r="AO1566" s="82" t="n">
        <f aca="false">IF(E1566="","",(AA1566&lt;&gt;"")+(AG1566&lt;&gt;"")+(AL1566&lt;&gt;""))</f>
        <v>1</v>
      </c>
      <c r="AP1566" s="82" t="str">
        <f aca="false">IF(AL1566&lt;&gt;"",AL1566,IF(AG1566&lt;&gt;"",AG1566,IF(AA1566&lt;&gt;"",AA1566,"")))</f>
        <v>A</v>
      </c>
      <c r="AQ1566" s="84" t="str">
        <f aca="false">IF(E1566="","",IF(U1566="","À SOUDER",IF(X1566="","VT EN ATTENTE",IF(X1566="R","VT REJETÉ – À REPRENDRE",IF(AP1566="","À RADIOGRAPHIER",IF(AP1566="A","ACCEPTÉ",IF(AP1566="NX","NX – RT À REFAIRE",IF(IF(AO1566=1,AD1566,IF(AO1566=2,AI1566,""))="A","RÉPARÉ – À RADIOGRAPHIER",IF(IF(AO1566=1,AD1566,IF(AO1566=2,AI1566,""))="R","VT REJETÉ – À REPRENDRE",IF(OR(AP1566="CO",AP1566="NT"),"COUPE – À RESOUDER","À RÉPARER"))))))))))</f>
        <v>ACCEPTÉ</v>
      </c>
      <c r="AR1566" s="82" t="str">
        <f aca="false">IF(AND(ISNUMBER(U1566),OR(AQ1566="À RADIOGRAPHIER",AQ1566="RÉPARÉ – À RADIOGRAPHIER",AQ1566="NX – RT À REFAIRE",AQ1566="À RÉPARER",AQ1566="COUPE – À RESOUDER",AQ1566="VT REJETÉ – À REPRENDRE")),MAX(0,'PROGRAMME RT'!$C$4-U1566),"")</f>
        <v/>
      </c>
      <c r="AS1566" s="82" t="n">
        <f aca="false">IF(AND(OR(AQ1566="À RADIOGRAPHIER",AQ1566="RÉPARÉ – À RADIOGRAPHIER",AQ1566="NX – RT À REFAIRE"),OR('PROGRAMME RT'!$D$5="TOUTES",B1566='PROGRAMME RT'!$D$5)),1,0)</f>
        <v>0</v>
      </c>
      <c r="AT1566" s="82" t="str">
        <f aca="false">IF(AS1566=1,SUM(AS$7:AS1566),"")</f>
        <v/>
      </c>
      <c r="AU1566" s="82" t="n">
        <f aca="false">IF(AND(OR(AA1566="R",AA1566="NX",AA1566="NT",AA1566="CO"),OR('JOINTS DE RÉPARATION'!$D$5="TOUTES",B1566='JOINTS DE RÉPARATION'!$D$5),OR('JOINTS DE RÉPARATION'!$L$4="TOUS",AQ1566&lt;&gt;"ACCEPTÉ")),1,0)</f>
        <v>0</v>
      </c>
      <c r="AV1566" s="82" t="str">
        <f aca="false">IF(AU1566=1,SUM(AU$7:AU1566),"")</f>
        <v/>
      </c>
      <c r="AW1566" s="82" t="str">
        <f aca="false">IF(E1566="","",B1566&amp;"|"&amp;E1566)</f>
        <v>MFD-ISW → MFD-CPF|DJ°240</v>
      </c>
    </row>
    <row r="1567" customFormat="false" ht="74.6" hidden="false" customHeight="false" outlineLevel="0" collapsed="false">
      <c r="A1567" s="79" t="n">
        <f aca="false">IF(E1567="","",ROW()-6)</f>
        <v>1561</v>
      </c>
      <c r="B1567" s="80" t="s">
        <v>110</v>
      </c>
      <c r="C1567" s="81" t="s">
        <v>1842</v>
      </c>
      <c r="D1567" s="81" t="n">
        <v>13</v>
      </c>
      <c r="E1567" s="81" t="s">
        <v>1881</v>
      </c>
      <c r="F1567" s="82" t="str">
        <f aca="false">IF(E1567="","",IF(LEFT(E1567,2)="DJ","DJ","JN"))</f>
        <v>JN</v>
      </c>
      <c r="G1567" s="81" t="s">
        <v>1504</v>
      </c>
      <c r="H1567" s="81" t="s">
        <v>871</v>
      </c>
      <c r="I1567" s="81" t="n">
        <v>9.53</v>
      </c>
      <c r="J1567" s="81" t="s">
        <v>872</v>
      </c>
      <c r="K1567" s="81" t="s">
        <v>879</v>
      </c>
      <c r="L1567" s="81" t="n">
        <v>2078950</v>
      </c>
      <c r="M1567" s="81" t="n">
        <v>15421101</v>
      </c>
      <c r="N1567" s="81" t="n">
        <v>11.94</v>
      </c>
      <c r="O1567" s="81" t="n">
        <v>2098530</v>
      </c>
      <c r="P1567" s="81" t="n">
        <v>15421112</v>
      </c>
      <c r="Q1567" s="81" t="n">
        <v>11.94</v>
      </c>
      <c r="R1567" s="81" t="s">
        <v>1795</v>
      </c>
      <c r="S1567" s="81"/>
      <c r="T1567" s="81"/>
      <c r="U1567" s="83" t="n">
        <v>46275</v>
      </c>
      <c r="V1567" s="83" t="n">
        <v>46275</v>
      </c>
      <c r="W1567" s="81" t="s">
        <v>1875</v>
      </c>
      <c r="X1567" s="81" t="s">
        <v>876</v>
      </c>
      <c r="Y1567" s="83" t="n">
        <v>46280</v>
      </c>
      <c r="Z1567" s="81" t="s">
        <v>1858</v>
      </c>
      <c r="AA1567" s="81" t="s">
        <v>876</v>
      </c>
      <c r="AB1567" s="81"/>
      <c r="AC1567" s="81"/>
      <c r="AD1567" s="81"/>
      <c r="AE1567" s="83"/>
      <c r="AF1567" s="81"/>
      <c r="AG1567" s="81"/>
      <c r="AH1567" s="81"/>
      <c r="AI1567" s="81"/>
      <c r="AJ1567" s="83"/>
      <c r="AK1567" s="81"/>
      <c r="AL1567" s="81"/>
      <c r="AM1567" s="83"/>
      <c r="AN1567" s="80"/>
      <c r="AO1567" s="82" t="n">
        <f aca="false">IF(E1567="","",(AA1567&lt;&gt;"")+(AG1567&lt;&gt;"")+(AL1567&lt;&gt;""))</f>
        <v>1</v>
      </c>
      <c r="AP1567" s="82" t="str">
        <f aca="false">IF(AL1567&lt;&gt;"",AL1567,IF(AG1567&lt;&gt;"",AG1567,IF(AA1567&lt;&gt;"",AA1567,"")))</f>
        <v>A</v>
      </c>
      <c r="AQ1567" s="84" t="str">
        <f aca="false">IF(E1567="","",IF(U1567="","À SOUDER",IF(X1567="","VT EN ATTENTE",IF(X1567="R","VT REJETÉ – À REPRENDRE",IF(AP1567="","À RADIOGRAPHIER",IF(AP1567="A","ACCEPTÉ",IF(AP1567="NX","NX – RT À REFAIRE",IF(IF(AO1567=1,AD1567,IF(AO1567=2,AI1567,""))="A","RÉPARÉ – À RADIOGRAPHIER",IF(IF(AO1567=1,AD1567,IF(AO1567=2,AI1567,""))="R","VT REJETÉ – À REPRENDRE",IF(OR(AP1567="CO",AP1567="NT"),"COUPE – À RESOUDER","À RÉPARER"))))))))))</f>
        <v>ACCEPTÉ</v>
      </c>
      <c r="AR1567" s="82" t="str">
        <f aca="false">IF(AND(ISNUMBER(U1567),OR(AQ1567="À RADIOGRAPHIER",AQ1567="RÉPARÉ – À RADIOGRAPHIER",AQ1567="NX – RT À REFAIRE",AQ1567="À RÉPARER",AQ1567="COUPE – À RESOUDER",AQ1567="VT REJETÉ – À REPRENDRE")),MAX(0,'PROGRAMME RT'!$C$4-U1567),"")</f>
        <v/>
      </c>
      <c r="AS1567" s="82" t="n">
        <f aca="false">IF(AND(OR(AQ1567="À RADIOGRAPHIER",AQ1567="RÉPARÉ – À RADIOGRAPHIER",AQ1567="NX – RT À REFAIRE"),OR('PROGRAMME RT'!$D$5="TOUTES",B1567='PROGRAMME RT'!$D$5)),1,0)</f>
        <v>0</v>
      </c>
      <c r="AT1567" s="82" t="str">
        <f aca="false">IF(AS1567=1,SUM(AS$7:AS1567),"")</f>
        <v/>
      </c>
      <c r="AU1567" s="82" t="n">
        <f aca="false">IF(AND(OR(AA1567="R",AA1567="NX",AA1567="NT",AA1567="CO"),OR('JOINTS DE RÉPARATION'!$D$5="TOUTES",B1567='JOINTS DE RÉPARATION'!$D$5),OR('JOINTS DE RÉPARATION'!$L$4="TOUS",AQ1567&lt;&gt;"ACCEPTÉ")),1,0)</f>
        <v>0</v>
      </c>
      <c r="AV1567" s="82" t="str">
        <f aca="false">IF(AU1567=1,SUM(AU$7:AU1567),"")</f>
        <v/>
      </c>
      <c r="AW1567" s="82" t="str">
        <f aca="false">IF(E1567="","",B1567&amp;"|"&amp;E1567)</f>
        <v>MFD-ISW → MFD-CPF|JN°1289</v>
      </c>
    </row>
    <row r="1568" customFormat="false" ht="74.6" hidden="false" customHeight="false" outlineLevel="0" collapsed="false">
      <c r="A1568" s="79" t="n">
        <f aca="false">IF(E1568="","",ROW()-6)</f>
        <v>1562</v>
      </c>
      <c r="B1568" s="80" t="s">
        <v>110</v>
      </c>
      <c r="C1568" s="81" t="s">
        <v>1842</v>
      </c>
      <c r="D1568" s="81" t="n">
        <v>13</v>
      </c>
      <c r="E1568" s="81" t="s">
        <v>1882</v>
      </c>
      <c r="F1568" s="82" t="str">
        <f aca="false">IF(E1568="","",IF(LEFT(E1568,2)="DJ","DJ","JN"))</f>
        <v>DJ</v>
      </c>
      <c r="G1568" s="81"/>
      <c r="H1568" s="81" t="s">
        <v>871</v>
      </c>
      <c r="I1568" s="81" t="n">
        <v>9.53</v>
      </c>
      <c r="J1568" s="81" t="s">
        <v>872</v>
      </c>
      <c r="K1568" s="81" t="s">
        <v>873</v>
      </c>
      <c r="L1568" s="81" t="n">
        <v>2098530</v>
      </c>
      <c r="M1568" s="81" t="n">
        <v>15421112</v>
      </c>
      <c r="N1568" s="81" t="n">
        <v>11.94</v>
      </c>
      <c r="O1568" s="81" t="n">
        <v>2083210</v>
      </c>
      <c r="P1568" s="81" t="n">
        <v>15421105</v>
      </c>
      <c r="Q1568" s="81" t="n">
        <v>11.94</v>
      </c>
      <c r="R1568" s="81" t="s">
        <v>1517</v>
      </c>
      <c r="S1568" s="81"/>
      <c r="T1568" s="81"/>
      <c r="U1568" s="83" t="n">
        <v>46267</v>
      </c>
      <c r="V1568" s="83" t="n">
        <v>46267</v>
      </c>
      <c r="W1568" s="81" t="s">
        <v>1760</v>
      </c>
      <c r="X1568" s="81" t="s">
        <v>876</v>
      </c>
      <c r="Y1568" s="83" t="n">
        <v>46269</v>
      </c>
      <c r="Z1568" s="81" t="s">
        <v>1761</v>
      </c>
      <c r="AA1568" s="81" t="s">
        <v>876</v>
      </c>
      <c r="AB1568" s="81"/>
      <c r="AC1568" s="81"/>
      <c r="AD1568" s="81"/>
      <c r="AE1568" s="83"/>
      <c r="AF1568" s="81"/>
      <c r="AG1568" s="81"/>
      <c r="AH1568" s="81"/>
      <c r="AI1568" s="81"/>
      <c r="AJ1568" s="83"/>
      <c r="AK1568" s="81"/>
      <c r="AL1568" s="81"/>
      <c r="AM1568" s="83"/>
      <c r="AN1568" s="80"/>
      <c r="AO1568" s="82" t="n">
        <f aca="false">IF(E1568="","",(AA1568&lt;&gt;"")+(AG1568&lt;&gt;"")+(AL1568&lt;&gt;""))</f>
        <v>1</v>
      </c>
      <c r="AP1568" s="82" t="str">
        <f aca="false">IF(AL1568&lt;&gt;"",AL1568,IF(AG1568&lt;&gt;"",AG1568,IF(AA1568&lt;&gt;"",AA1568,"")))</f>
        <v>A</v>
      </c>
      <c r="AQ1568" s="84" t="str">
        <f aca="false">IF(E1568="","",IF(U1568="","À SOUDER",IF(X1568="","VT EN ATTENTE",IF(X1568="R","VT REJETÉ – À REPRENDRE",IF(AP1568="","À RADIOGRAPHIER",IF(AP1568="A","ACCEPTÉ",IF(AP1568="NX","NX – RT À REFAIRE",IF(IF(AO1568=1,AD1568,IF(AO1568=2,AI1568,""))="A","RÉPARÉ – À RADIOGRAPHIER",IF(IF(AO1568=1,AD1568,IF(AO1568=2,AI1568,""))="R","VT REJETÉ – À REPRENDRE",IF(OR(AP1568="CO",AP1568="NT"),"COUPE – À RESOUDER","À RÉPARER"))))))))))</f>
        <v>ACCEPTÉ</v>
      </c>
      <c r="AR1568" s="82" t="str">
        <f aca="false">IF(AND(ISNUMBER(U1568),OR(AQ1568="À RADIOGRAPHIER",AQ1568="RÉPARÉ – À RADIOGRAPHIER",AQ1568="NX – RT À REFAIRE",AQ1568="À RÉPARER",AQ1568="COUPE – À RESOUDER",AQ1568="VT REJETÉ – À REPRENDRE")),MAX(0,'PROGRAMME RT'!$C$4-U1568),"")</f>
        <v/>
      </c>
      <c r="AS1568" s="82" t="n">
        <f aca="false">IF(AND(OR(AQ1568="À RADIOGRAPHIER",AQ1568="RÉPARÉ – À RADIOGRAPHIER",AQ1568="NX – RT À REFAIRE"),OR('PROGRAMME RT'!$D$5="TOUTES",B1568='PROGRAMME RT'!$D$5)),1,0)</f>
        <v>0</v>
      </c>
      <c r="AT1568" s="82" t="str">
        <f aca="false">IF(AS1568=1,SUM(AS$7:AS1568),"")</f>
        <v/>
      </c>
      <c r="AU1568" s="82" t="n">
        <f aca="false">IF(AND(OR(AA1568="R",AA1568="NX",AA1568="NT",AA1568="CO"),OR('JOINTS DE RÉPARATION'!$D$5="TOUTES",B1568='JOINTS DE RÉPARATION'!$D$5),OR('JOINTS DE RÉPARATION'!$L$4="TOUS",AQ1568&lt;&gt;"ACCEPTÉ")),1,0)</f>
        <v>0</v>
      </c>
      <c r="AV1568" s="82" t="str">
        <f aca="false">IF(AU1568=1,SUM(AU$7:AU1568),"")</f>
        <v/>
      </c>
      <c r="AW1568" s="82" t="str">
        <f aca="false">IF(E1568="","",B1568&amp;"|"&amp;E1568)</f>
        <v>MFD-ISW → MFD-CPF|DJ°248</v>
      </c>
    </row>
    <row r="1569" customFormat="false" ht="74.6" hidden="false" customHeight="false" outlineLevel="0" collapsed="false">
      <c r="A1569" s="79" t="n">
        <f aca="false">IF(E1569="","",ROW()-6)</f>
        <v>1563</v>
      </c>
      <c r="B1569" s="80" t="s">
        <v>110</v>
      </c>
      <c r="C1569" s="81" t="s">
        <v>1842</v>
      </c>
      <c r="D1569" s="81" t="n">
        <v>13</v>
      </c>
      <c r="E1569" s="81" t="s">
        <v>1883</v>
      </c>
      <c r="F1569" s="82" t="str">
        <f aca="false">IF(E1569="","",IF(LEFT(E1569,2)="DJ","DJ","JN"))</f>
        <v>JN</v>
      </c>
      <c r="G1569" s="81" t="s">
        <v>1504</v>
      </c>
      <c r="H1569" s="81" t="s">
        <v>871</v>
      </c>
      <c r="I1569" s="81" t="n">
        <v>9.53</v>
      </c>
      <c r="J1569" s="81" t="s">
        <v>872</v>
      </c>
      <c r="K1569" s="81" t="s">
        <v>1861</v>
      </c>
      <c r="L1569" s="81" t="n">
        <v>2083210</v>
      </c>
      <c r="M1569" s="81" t="n">
        <v>15421105</v>
      </c>
      <c r="N1569" s="81" t="n">
        <v>11.94</v>
      </c>
      <c r="O1569" s="81" t="n">
        <v>2091160</v>
      </c>
      <c r="P1569" s="81" t="n">
        <v>15421109</v>
      </c>
      <c r="Q1569" s="81" t="n">
        <v>11.94</v>
      </c>
      <c r="R1569" s="81" t="s">
        <v>1884</v>
      </c>
      <c r="S1569" s="81"/>
      <c r="T1569" s="81"/>
      <c r="U1569" s="83" t="n">
        <v>46291</v>
      </c>
      <c r="V1569" s="83" t="n">
        <v>46291</v>
      </c>
      <c r="W1569" s="81" t="s">
        <v>1878</v>
      </c>
      <c r="X1569" s="81" t="s">
        <v>876</v>
      </c>
      <c r="Y1569" s="83"/>
      <c r="Z1569" s="81"/>
      <c r="AA1569" s="81"/>
      <c r="AB1569" s="81" t="s">
        <v>1885</v>
      </c>
      <c r="AC1569" s="81"/>
      <c r="AD1569" s="81"/>
      <c r="AE1569" s="83"/>
      <c r="AF1569" s="81"/>
      <c r="AG1569" s="81"/>
      <c r="AH1569" s="81"/>
      <c r="AI1569" s="81"/>
      <c r="AJ1569" s="83"/>
      <c r="AK1569" s="81"/>
      <c r="AL1569" s="81"/>
      <c r="AM1569" s="83"/>
      <c r="AN1569" s="80"/>
      <c r="AO1569" s="82" t="n">
        <f aca="false">IF(E1569="","",(AA1569&lt;&gt;"")+(AG1569&lt;&gt;"")+(AL1569&lt;&gt;""))</f>
        <v>0</v>
      </c>
      <c r="AP1569" s="82" t="str">
        <f aca="false">IF(AL1569&lt;&gt;"",AL1569,IF(AG1569&lt;&gt;"",AG1569,IF(AA1569&lt;&gt;"",AA1569,"")))</f>
        <v/>
      </c>
      <c r="AQ1569" s="84" t="str">
        <f aca="false">IF(E1569="","",IF(U1569="","À SOUDER",IF(X1569="","VT EN ATTENTE",IF(X1569="R","VT REJETÉ – À REPRENDRE",IF(AP1569="","À RADIOGRAPHIER",IF(AP1569="A","ACCEPTÉ",IF(AP1569="NX","NX – RT À REFAIRE",IF(IF(AO1569=1,AD1569,IF(AO1569=2,AI1569,""))="A","RÉPARÉ – À RADIOGRAPHIER",IF(IF(AO1569=1,AD1569,IF(AO1569=2,AI1569,""))="R","VT REJETÉ – À REPRENDRE",IF(OR(AP1569="CO",AP1569="NT"),"COUPE – À RESOUDER","À RÉPARER"))))))))))</f>
        <v>À RADIOGRAPHIER</v>
      </c>
      <c r="AR1569" s="82" t="n">
        <f aca="false">IF(AND(ISNUMBER(U1569),OR(AQ1569="À RADIOGRAPHIER",AQ1569="RÉPARÉ – À RADIOGRAPHIER",AQ1569="NX – RT À REFAIRE",AQ1569="À RÉPARER",AQ1569="COUPE – À RESOUDER",AQ1569="VT REJETÉ – À REPRENDRE")),MAX(0,'PROGRAMME RT'!$C$4-U1569),"")</f>
        <v>2</v>
      </c>
      <c r="AS1569" s="82" t="n">
        <f aca="false">IF(AND(OR(AQ1569="À RADIOGRAPHIER",AQ1569="RÉPARÉ – À RADIOGRAPHIER",AQ1569="NX – RT À REFAIRE"),OR('PROGRAMME RT'!$D$5="TOUTES",B1569='PROGRAMME RT'!$D$5)),1,0)</f>
        <v>1</v>
      </c>
      <c r="AT1569" s="82" t="n">
        <f aca="false">IF(AS1569=1,SUM(AS$7:AS1569),"")</f>
        <v>76</v>
      </c>
      <c r="AU1569" s="82" t="n">
        <f aca="false">IF(AND(OR(AA1569="R",AA1569="NX",AA1569="NT",AA1569="CO"),OR('JOINTS DE RÉPARATION'!$D$5="TOUTES",B1569='JOINTS DE RÉPARATION'!$D$5),OR('JOINTS DE RÉPARATION'!$L$4="TOUS",AQ1569&lt;&gt;"ACCEPTÉ")),1,0)</f>
        <v>0</v>
      </c>
      <c r="AV1569" s="82" t="str">
        <f aca="false">IF(AU1569=1,SUM(AU$7:AU1569),"")</f>
        <v/>
      </c>
      <c r="AW1569" s="82" t="str">
        <f aca="false">IF(E1569="","",B1569&amp;"|"&amp;E1569)</f>
        <v>MFD-ISW → MFD-CPF|JN°1290R</v>
      </c>
    </row>
    <row r="1570" customFormat="false" ht="74.6" hidden="false" customHeight="false" outlineLevel="0" collapsed="false">
      <c r="A1570" s="79" t="n">
        <f aca="false">IF(E1570="","",ROW()-6)</f>
        <v>1564</v>
      </c>
      <c r="B1570" s="80" t="s">
        <v>110</v>
      </c>
      <c r="C1570" s="81" t="s">
        <v>1842</v>
      </c>
      <c r="D1570" s="81" t="n">
        <v>13</v>
      </c>
      <c r="E1570" s="81" t="s">
        <v>1886</v>
      </c>
      <c r="F1570" s="82" t="str">
        <f aca="false">IF(E1570="","",IF(LEFT(E1570,2)="DJ","DJ","JN"))</f>
        <v>DJ</v>
      </c>
      <c r="G1570" s="81"/>
      <c r="H1570" s="81" t="s">
        <v>871</v>
      </c>
      <c r="I1570" s="81" t="n">
        <v>9.53</v>
      </c>
      <c r="J1570" s="81" t="s">
        <v>872</v>
      </c>
      <c r="K1570" s="81" t="s">
        <v>873</v>
      </c>
      <c r="L1570" s="81" t="n">
        <v>2091160</v>
      </c>
      <c r="M1570" s="81" t="n">
        <v>15421109</v>
      </c>
      <c r="N1570" s="81" t="n">
        <v>11.94</v>
      </c>
      <c r="O1570" s="81" t="n">
        <v>2088670</v>
      </c>
      <c r="P1570" s="81" t="n">
        <v>154211008</v>
      </c>
      <c r="Q1570" s="81" t="n">
        <v>11.94</v>
      </c>
      <c r="R1570" s="81" t="s">
        <v>963</v>
      </c>
      <c r="S1570" s="81"/>
      <c r="T1570" s="81"/>
      <c r="U1570" s="83" t="n">
        <v>46267</v>
      </c>
      <c r="V1570" s="83" t="n">
        <v>46267</v>
      </c>
      <c r="W1570" s="81" t="s">
        <v>1760</v>
      </c>
      <c r="X1570" s="81" t="s">
        <v>876</v>
      </c>
      <c r="Y1570" s="83" t="n">
        <v>46269</v>
      </c>
      <c r="Z1570" s="81" t="s">
        <v>1761</v>
      </c>
      <c r="AA1570" s="81" t="s">
        <v>876</v>
      </c>
      <c r="AB1570" s="81"/>
      <c r="AC1570" s="81"/>
      <c r="AD1570" s="81"/>
      <c r="AE1570" s="83"/>
      <c r="AF1570" s="81"/>
      <c r="AG1570" s="81"/>
      <c r="AH1570" s="81"/>
      <c r="AI1570" s="81"/>
      <c r="AJ1570" s="83"/>
      <c r="AK1570" s="81"/>
      <c r="AL1570" s="81"/>
      <c r="AM1570" s="83"/>
      <c r="AN1570" s="80"/>
      <c r="AO1570" s="82" t="n">
        <f aca="false">IF(E1570="","",(AA1570&lt;&gt;"")+(AG1570&lt;&gt;"")+(AL1570&lt;&gt;""))</f>
        <v>1</v>
      </c>
      <c r="AP1570" s="82" t="str">
        <f aca="false">IF(AL1570&lt;&gt;"",AL1570,IF(AG1570&lt;&gt;"",AG1570,IF(AA1570&lt;&gt;"",AA1570,"")))</f>
        <v>A</v>
      </c>
      <c r="AQ1570" s="84" t="str">
        <f aca="false">IF(E1570="","",IF(U1570="","À SOUDER",IF(X1570="","VT EN ATTENTE",IF(X1570="R","VT REJETÉ – À REPRENDRE",IF(AP1570="","À RADIOGRAPHIER",IF(AP1570="A","ACCEPTÉ",IF(AP1570="NX","NX – RT À REFAIRE",IF(IF(AO1570=1,AD1570,IF(AO1570=2,AI1570,""))="A","RÉPARÉ – À RADIOGRAPHIER",IF(IF(AO1570=1,AD1570,IF(AO1570=2,AI1570,""))="R","VT REJETÉ – À REPRENDRE",IF(OR(AP1570="CO",AP1570="NT"),"COUPE – À RESOUDER","À RÉPARER"))))))))))</f>
        <v>ACCEPTÉ</v>
      </c>
      <c r="AR1570" s="82" t="str">
        <f aca="false">IF(AND(ISNUMBER(U1570),OR(AQ1570="À RADIOGRAPHIER",AQ1570="RÉPARÉ – À RADIOGRAPHIER",AQ1570="NX – RT À REFAIRE",AQ1570="À RÉPARER",AQ1570="COUPE – À RESOUDER",AQ1570="VT REJETÉ – À REPRENDRE")),MAX(0,'PROGRAMME RT'!$C$4-U1570),"")</f>
        <v/>
      </c>
      <c r="AS1570" s="82" t="n">
        <f aca="false">IF(AND(OR(AQ1570="À RADIOGRAPHIER",AQ1570="RÉPARÉ – À RADIOGRAPHIER",AQ1570="NX – RT À REFAIRE"),OR('PROGRAMME RT'!$D$5="TOUTES",B1570='PROGRAMME RT'!$D$5)),1,0)</f>
        <v>0</v>
      </c>
      <c r="AT1570" s="82" t="str">
        <f aca="false">IF(AS1570=1,SUM(AS$7:AS1570),"")</f>
        <v/>
      </c>
      <c r="AU1570" s="82" t="n">
        <f aca="false">IF(AND(OR(AA1570="R",AA1570="NX",AA1570="NT",AA1570="CO"),OR('JOINTS DE RÉPARATION'!$D$5="TOUTES",B1570='JOINTS DE RÉPARATION'!$D$5),OR('JOINTS DE RÉPARATION'!$L$4="TOUS",AQ1570&lt;&gt;"ACCEPTÉ")),1,0)</f>
        <v>0</v>
      </c>
      <c r="AV1570" s="82" t="str">
        <f aca="false">IF(AU1570=1,SUM(AU$7:AU1570),"")</f>
        <v/>
      </c>
      <c r="AW1570" s="82" t="str">
        <f aca="false">IF(E1570="","",B1570&amp;"|"&amp;E1570)</f>
        <v>MFD-ISW → MFD-CPF|DJ°241</v>
      </c>
    </row>
    <row r="1571" customFormat="false" ht="74.6" hidden="false" customHeight="false" outlineLevel="0" collapsed="false">
      <c r="A1571" s="79" t="n">
        <f aca="false">IF(E1571="","",ROW()-6)</f>
        <v>1565</v>
      </c>
      <c r="B1571" s="80" t="s">
        <v>110</v>
      </c>
      <c r="C1571" s="81" t="s">
        <v>1842</v>
      </c>
      <c r="D1571" s="81" t="n">
        <v>13</v>
      </c>
      <c r="E1571" s="81" t="s">
        <v>1887</v>
      </c>
      <c r="F1571" s="82" t="str">
        <f aca="false">IF(E1571="","",IF(LEFT(E1571,2)="DJ","DJ","JN"))</f>
        <v>JN</v>
      </c>
      <c r="G1571" s="81" t="s">
        <v>1504</v>
      </c>
      <c r="H1571" s="81" t="s">
        <v>871</v>
      </c>
      <c r="I1571" s="81" t="n">
        <v>9.53</v>
      </c>
      <c r="J1571" s="81" t="s">
        <v>872</v>
      </c>
      <c r="K1571" s="81" t="s">
        <v>879</v>
      </c>
      <c r="L1571" s="81" t="n">
        <v>2088670</v>
      </c>
      <c r="M1571" s="81" t="n">
        <v>154211008</v>
      </c>
      <c r="N1571" s="81" t="n">
        <v>11.94</v>
      </c>
      <c r="O1571" s="81" t="n">
        <v>2084430</v>
      </c>
      <c r="P1571" s="81" t="n">
        <v>15421106</v>
      </c>
      <c r="Q1571" s="81" t="n">
        <v>11.94</v>
      </c>
      <c r="R1571" s="81" t="s">
        <v>1795</v>
      </c>
      <c r="S1571" s="81"/>
      <c r="T1571" s="81"/>
      <c r="U1571" s="83" t="n">
        <v>46275</v>
      </c>
      <c r="V1571" s="83" t="n">
        <v>46275</v>
      </c>
      <c r="W1571" s="81" t="s">
        <v>1875</v>
      </c>
      <c r="X1571" s="81" t="s">
        <v>876</v>
      </c>
      <c r="Y1571" s="83" t="n">
        <v>46280</v>
      </c>
      <c r="Z1571" s="81" t="s">
        <v>1858</v>
      </c>
      <c r="AA1571" s="81" t="s">
        <v>876</v>
      </c>
      <c r="AB1571" s="81"/>
      <c r="AC1571" s="81"/>
      <c r="AD1571" s="81"/>
      <c r="AE1571" s="83"/>
      <c r="AF1571" s="81"/>
      <c r="AG1571" s="81"/>
      <c r="AH1571" s="81"/>
      <c r="AI1571" s="81"/>
      <c r="AJ1571" s="83"/>
      <c r="AK1571" s="81"/>
      <c r="AL1571" s="81"/>
      <c r="AM1571" s="83"/>
      <c r="AN1571" s="80"/>
      <c r="AO1571" s="82" t="n">
        <f aca="false">IF(E1571="","",(AA1571&lt;&gt;"")+(AG1571&lt;&gt;"")+(AL1571&lt;&gt;""))</f>
        <v>1</v>
      </c>
      <c r="AP1571" s="82" t="str">
        <f aca="false">IF(AL1571&lt;&gt;"",AL1571,IF(AG1571&lt;&gt;"",AG1571,IF(AA1571&lt;&gt;"",AA1571,"")))</f>
        <v>A</v>
      </c>
      <c r="AQ1571" s="84" t="str">
        <f aca="false">IF(E1571="","",IF(U1571="","À SOUDER",IF(X1571="","VT EN ATTENTE",IF(X1571="R","VT REJETÉ – À REPRENDRE",IF(AP1571="","À RADIOGRAPHIER",IF(AP1571="A","ACCEPTÉ",IF(AP1571="NX","NX – RT À REFAIRE",IF(IF(AO1571=1,AD1571,IF(AO1571=2,AI1571,""))="A","RÉPARÉ – À RADIOGRAPHIER",IF(IF(AO1571=1,AD1571,IF(AO1571=2,AI1571,""))="R","VT REJETÉ – À REPRENDRE",IF(OR(AP1571="CO",AP1571="NT"),"COUPE – À RESOUDER","À RÉPARER"))))))))))</f>
        <v>ACCEPTÉ</v>
      </c>
      <c r="AR1571" s="82" t="str">
        <f aca="false">IF(AND(ISNUMBER(U1571),OR(AQ1571="À RADIOGRAPHIER",AQ1571="RÉPARÉ – À RADIOGRAPHIER",AQ1571="NX – RT À REFAIRE",AQ1571="À RÉPARER",AQ1571="COUPE – À RESOUDER",AQ1571="VT REJETÉ – À REPRENDRE")),MAX(0,'PROGRAMME RT'!$C$4-U1571),"")</f>
        <v/>
      </c>
      <c r="AS1571" s="82" t="n">
        <f aca="false">IF(AND(OR(AQ1571="À RADIOGRAPHIER",AQ1571="RÉPARÉ – À RADIOGRAPHIER",AQ1571="NX – RT À REFAIRE"),OR('PROGRAMME RT'!$D$5="TOUTES",B1571='PROGRAMME RT'!$D$5)),1,0)</f>
        <v>0</v>
      </c>
      <c r="AT1571" s="82" t="str">
        <f aca="false">IF(AS1571=1,SUM(AS$7:AS1571),"")</f>
        <v/>
      </c>
      <c r="AU1571" s="82" t="n">
        <f aca="false">IF(AND(OR(AA1571="R",AA1571="NX",AA1571="NT",AA1571="CO"),OR('JOINTS DE RÉPARATION'!$D$5="TOUTES",B1571='JOINTS DE RÉPARATION'!$D$5),OR('JOINTS DE RÉPARATION'!$L$4="TOUS",AQ1571&lt;&gt;"ACCEPTÉ")),1,0)</f>
        <v>0</v>
      </c>
      <c r="AV1571" s="82" t="str">
        <f aca="false">IF(AU1571=1,SUM(AU$7:AU1571),"")</f>
        <v/>
      </c>
      <c r="AW1571" s="82" t="str">
        <f aca="false">IF(E1571="","",B1571&amp;"|"&amp;E1571)</f>
        <v>MFD-ISW → MFD-CPF|JN°1291</v>
      </c>
    </row>
    <row r="1572" customFormat="false" ht="74.6" hidden="false" customHeight="false" outlineLevel="0" collapsed="false">
      <c r="A1572" s="79" t="n">
        <f aca="false">IF(E1572="","",ROW()-6)</f>
        <v>1566</v>
      </c>
      <c r="B1572" s="80" t="s">
        <v>110</v>
      </c>
      <c r="C1572" s="81" t="s">
        <v>1842</v>
      </c>
      <c r="D1572" s="81" t="n">
        <v>13</v>
      </c>
      <c r="E1572" s="81" t="s">
        <v>1888</v>
      </c>
      <c r="F1572" s="82" t="str">
        <f aca="false">IF(E1572="","",IF(LEFT(E1572,2)="DJ","DJ","JN"))</f>
        <v>DJ</v>
      </c>
      <c r="G1572" s="81"/>
      <c r="H1572" s="81" t="s">
        <v>871</v>
      </c>
      <c r="I1572" s="81" t="n">
        <v>9.53</v>
      </c>
      <c r="J1572" s="81" t="s">
        <v>872</v>
      </c>
      <c r="K1572" s="81" t="s">
        <v>873</v>
      </c>
      <c r="L1572" s="81" t="n">
        <v>2084430</v>
      </c>
      <c r="M1572" s="81" t="n">
        <v>15421106</v>
      </c>
      <c r="N1572" s="81" t="n">
        <v>11.94</v>
      </c>
      <c r="O1572" s="81" t="n">
        <v>2088170</v>
      </c>
      <c r="P1572" s="81" t="n">
        <v>15421108</v>
      </c>
      <c r="Q1572" s="81" t="n">
        <v>11.94</v>
      </c>
      <c r="R1572" s="81" t="s">
        <v>963</v>
      </c>
      <c r="S1572" s="81"/>
      <c r="T1572" s="81"/>
      <c r="U1572" s="83" t="n">
        <v>46267</v>
      </c>
      <c r="V1572" s="83" t="n">
        <v>46267</v>
      </c>
      <c r="W1572" s="81" t="s">
        <v>1760</v>
      </c>
      <c r="X1572" s="81" t="s">
        <v>876</v>
      </c>
      <c r="Y1572" s="83" t="n">
        <v>46269</v>
      </c>
      <c r="Z1572" s="81" t="s">
        <v>1761</v>
      </c>
      <c r="AA1572" s="81" t="s">
        <v>876</v>
      </c>
      <c r="AB1572" s="81"/>
      <c r="AC1572" s="81"/>
      <c r="AD1572" s="81"/>
      <c r="AE1572" s="83"/>
      <c r="AF1572" s="81"/>
      <c r="AG1572" s="81"/>
      <c r="AH1572" s="81"/>
      <c r="AI1572" s="81"/>
      <c r="AJ1572" s="83"/>
      <c r="AK1572" s="81"/>
      <c r="AL1572" s="81"/>
      <c r="AM1572" s="83"/>
      <c r="AN1572" s="80"/>
      <c r="AO1572" s="82" t="n">
        <f aca="false">IF(E1572="","",(AA1572&lt;&gt;"")+(AG1572&lt;&gt;"")+(AL1572&lt;&gt;""))</f>
        <v>1</v>
      </c>
      <c r="AP1572" s="82" t="str">
        <f aca="false">IF(AL1572&lt;&gt;"",AL1572,IF(AG1572&lt;&gt;"",AG1572,IF(AA1572&lt;&gt;"",AA1572,"")))</f>
        <v>A</v>
      </c>
      <c r="AQ1572" s="84" t="str">
        <f aca="false">IF(E1572="","",IF(U1572="","À SOUDER",IF(X1572="","VT EN ATTENTE",IF(X1572="R","VT REJETÉ – À REPRENDRE",IF(AP1572="","À RADIOGRAPHIER",IF(AP1572="A","ACCEPTÉ",IF(AP1572="NX","NX – RT À REFAIRE",IF(IF(AO1572=1,AD1572,IF(AO1572=2,AI1572,""))="A","RÉPARÉ – À RADIOGRAPHIER",IF(IF(AO1572=1,AD1572,IF(AO1572=2,AI1572,""))="R","VT REJETÉ – À REPRENDRE",IF(OR(AP1572="CO",AP1572="NT"),"COUPE – À RESOUDER","À RÉPARER"))))))))))</f>
        <v>ACCEPTÉ</v>
      </c>
      <c r="AR1572" s="82" t="str">
        <f aca="false">IF(AND(ISNUMBER(U1572),OR(AQ1572="À RADIOGRAPHIER",AQ1572="RÉPARÉ – À RADIOGRAPHIER",AQ1572="NX – RT À REFAIRE",AQ1572="À RÉPARER",AQ1572="COUPE – À RESOUDER",AQ1572="VT REJETÉ – À REPRENDRE")),MAX(0,'PROGRAMME RT'!$C$4-U1572),"")</f>
        <v/>
      </c>
      <c r="AS1572" s="82" t="n">
        <f aca="false">IF(AND(OR(AQ1572="À RADIOGRAPHIER",AQ1572="RÉPARÉ – À RADIOGRAPHIER",AQ1572="NX – RT À REFAIRE"),OR('PROGRAMME RT'!$D$5="TOUTES",B1572='PROGRAMME RT'!$D$5)),1,0)</f>
        <v>0</v>
      </c>
      <c r="AT1572" s="82" t="str">
        <f aca="false">IF(AS1572=1,SUM(AS$7:AS1572),"")</f>
        <v/>
      </c>
      <c r="AU1572" s="82" t="n">
        <f aca="false">IF(AND(OR(AA1572="R",AA1572="NX",AA1572="NT",AA1572="CO"),OR('JOINTS DE RÉPARATION'!$D$5="TOUTES",B1572='JOINTS DE RÉPARATION'!$D$5),OR('JOINTS DE RÉPARATION'!$L$4="TOUS",AQ1572&lt;&gt;"ACCEPTÉ")),1,0)</f>
        <v>0</v>
      </c>
      <c r="AV1572" s="82" t="str">
        <f aca="false">IF(AU1572=1,SUM(AU$7:AU1572),"")</f>
        <v/>
      </c>
      <c r="AW1572" s="82" t="str">
        <f aca="false">IF(E1572="","",B1572&amp;"|"&amp;E1572)</f>
        <v>MFD-ISW → MFD-CPF|DJ°239</v>
      </c>
    </row>
    <row r="1573" customFormat="false" ht="74.6" hidden="false" customHeight="false" outlineLevel="0" collapsed="false">
      <c r="A1573" s="79" t="n">
        <f aca="false">IF(E1573="","",ROW()-6)</f>
        <v>1567</v>
      </c>
      <c r="B1573" s="80" t="s">
        <v>110</v>
      </c>
      <c r="C1573" s="81" t="s">
        <v>1842</v>
      </c>
      <c r="D1573" s="81" t="n">
        <v>13</v>
      </c>
      <c r="E1573" s="81" t="s">
        <v>1889</v>
      </c>
      <c r="F1573" s="82" t="str">
        <f aca="false">IF(E1573="","",IF(LEFT(E1573,2)="DJ","DJ","JN"))</f>
        <v>JN</v>
      </c>
      <c r="G1573" s="81" t="s">
        <v>1504</v>
      </c>
      <c r="H1573" s="81" t="s">
        <v>871</v>
      </c>
      <c r="I1573" s="81" t="n">
        <v>9.53</v>
      </c>
      <c r="J1573" s="81" t="s">
        <v>872</v>
      </c>
      <c r="K1573" s="81" t="s">
        <v>879</v>
      </c>
      <c r="L1573" s="81" t="n">
        <v>2088170</v>
      </c>
      <c r="M1573" s="81" t="n">
        <v>15421108</v>
      </c>
      <c r="N1573" s="81" t="n">
        <v>11.94</v>
      </c>
      <c r="O1573" s="81" t="n">
        <v>2096210</v>
      </c>
      <c r="P1573" s="81" t="n">
        <v>15421111</v>
      </c>
      <c r="Q1573" s="81" t="n">
        <v>11.94</v>
      </c>
      <c r="R1573" s="81" t="s">
        <v>1795</v>
      </c>
      <c r="S1573" s="81"/>
      <c r="T1573" s="81"/>
      <c r="U1573" s="83" t="n">
        <v>46275</v>
      </c>
      <c r="V1573" s="83" t="n">
        <v>46275</v>
      </c>
      <c r="W1573" s="81" t="s">
        <v>1875</v>
      </c>
      <c r="X1573" s="81" t="s">
        <v>876</v>
      </c>
      <c r="Y1573" s="83" t="n">
        <v>46280</v>
      </c>
      <c r="Z1573" s="81" t="s">
        <v>1858</v>
      </c>
      <c r="AA1573" s="81" t="s">
        <v>876</v>
      </c>
      <c r="AB1573" s="81"/>
      <c r="AC1573" s="81"/>
      <c r="AD1573" s="81"/>
      <c r="AE1573" s="83"/>
      <c r="AF1573" s="81"/>
      <c r="AG1573" s="81"/>
      <c r="AH1573" s="81"/>
      <c r="AI1573" s="81"/>
      <c r="AJ1573" s="83"/>
      <c r="AK1573" s="81"/>
      <c r="AL1573" s="81"/>
      <c r="AM1573" s="83"/>
      <c r="AN1573" s="80"/>
      <c r="AO1573" s="82" t="n">
        <f aca="false">IF(E1573="","",(AA1573&lt;&gt;"")+(AG1573&lt;&gt;"")+(AL1573&lt;&gt;""))</f>
        <v>1</v>
      </c>
      <c r="AP1573" s="82" t="str">
        <f aca="false">IF(AL1573&lt;&gt;"",AL1573,IF(AG1573&lt;&gt;"",AG1573,IF(AA1573&lt;&gt;"",AA1573,"")))</f>
        <v>A</v>
      </c>
      <c r="AQ1573" s="84" t="str">
        <f aca="false">IF(E1573="","",IF(U1573="","À SOUDER",IF(X1573="","VT EN ATTENTE",IF(X1573="R","VT REJETÉ – À REPRENDRE",IF(AP1573="","À RADIOGRAPHIER",IF(AP1573="A","ACCEPTÉ",IF(AP1573="NX","NX – RT À REFAIRE",IF(IF(AO1573=1,AD1573,IF(AO1573=2,AI1573,""))="A","RÉPARÉ – À RADIOGRAPHIER",IF(IF(AO1573=1,AD1573,IF(AO1573=2,AI1573,""))="R","VT REJETÉ – À REPRENDRE",IF(OR(AP1573="CO",AP1573="NT"),"COUPE – À RESOUDER","À RÉPARER"))))))))))</f>
        <v>ACCEPTÉ</v>
      </c>
      <c r="AR1573" s="82" t="str">
        <f aca="false">IF(AND(ISNUMBER(U1573),OR(AQ1573="À RADIOGRAPHIER",AQ1573="RÉPARÉ – À RADIOGRAPHIER",AQ1573="NX – RT À REFAIRE",AQ1573="À RÉPARER",AQ1573="COUPE – À RESOUDER",AQ1573="VT REJETÉ – À REPRENDRE")),MAX(0,'PROGRAMME RT'!$C$4-U1573),"")</f>
        <v/>
      </c>
      <c r="AS1573" s="82" t="n">
        <f aca="false">IF(AND(OR(AQ1573="À RADIOGRAPHIER",AQ1573="RÉPARÉ – À RADIOGRAPHIER",AQ1573="NX – RT À REFAIRE"),OR('PROGRAMME RT'!$D$5="TOUTES",B1573='PROGRAMME RT'!$D$5)),1,0)</f>
        <v>0</v>
      </c>
      <c r="AT1573" s="82" t="str">
        <f aca="false">IF(AS1573=1,SUM(AS$7:AS1573),"")</f>
        <v/>
      </c>
      <c r="AU1573" s="82" t="n">
        <f aca="false">IF(AND(OR(AA1573="R",AA1573="NX",AA1573="NT",AA1573="CO"),OR('JOINTS DE RÉPARATION'!$D$5="TOUTES",B1573='JOINTS DE RÉPARATION'!$D$5),OR('JOINTS DE RÉPARATION'!$L$4="TOUS",AQ1573&lt;&gt;"ACCEPTÉ")),1,0)</f>
        <v>0</v>
      </c>
      <c r="AV1573" s="82" t="str">
        <f aca="false">IF(AU1573=1,SUM(AU$7:AU1573),"")</f>
        <v/>
      </c>
      <c r="AW1573" s="82" t="str">
        <f aca="false">IF(E1573="","",B1573&amp;"|"&amp;E1573)</f>
        <v>MFD-ISW → MFD-CPF|JN°1292</v>
      </c>
    </row>
    <row r="1574" customFormat="false" ht="74.6" hidden="false" customHeight="false" outlineLevel="0" collapsed="false">
      <c r="A1574" s="79" t="n">
        <f aca="false">IF(E1574="","",ROW()-6)</f>
        <v>1568</v>
      </c>
      <c r="B1574" s="80" t="s">
        <v>110</v>
      </c>
      <c r="C1574" s="81" t="s">
        <v>1842</v>
      </c>
      <c r="D1574" s="81" t="n">
        <v>13</v>
      </c>
      <c r="E1574" s="81" t="s">
        <v>1890</v>
      </c>
      <c r="F1574" s="82" t="str">
        <f aca="false">IF(E1574="","",IF(LEFT(E1574,2)="DJ","DJ","JN"))</f>
        <v>DJ</v>
      </c>
      <c r="G1574" s="81"/>
      <c r="H1574" s="81" t="s">
        <v>871</v>
      </c>
      <c r="I1574" s="81" t="n">
        <v>9.53</v>
      </c>
      <c r="J1574" s="81" t="s">
        <v>872</v>
      </c>
      <c r="K1574" s="81" t="s">
        <v>873</v>
      </c>
      <c r="L1574" s="81" t="n">
        <v>2096210</v>
      </c>
      <c r="M1574" s="81" t="n">
        <v>15421111</v>
      </c>
      <c r="N1574" s="81" t="n">
        <v>11.94</v>
      </c>
      <c r="O1574" s="81" t="n">
        <v>2079980</v>
      </c>
      <c r="P1574" s="81" t="n">
        <v>15421102</v>
      </c>
      <c r="Q1574" s="81" t="n">
        <v>11.94</v>
      </c>
      <c r="R1574" s="81" t="s">
        <v>963</v>
      </c>
      <c r="S1574" s="81"/>
      <c r="T1574" s="81"/>
      <c r="U1574" s="83" t="n">
        <v>46265</v>
      </c>
      <c r="V1574" s="83" t="n">
        <v>46265</v>
      </c>
      <c r="W1574" s="81" t="s">
        <v>1891</v>
      </c>
      <c r="X1574" s="81" t="s">
        <v>876</v>
      </c>
      <c r="Y1574" s="83" t="n">
        <v>46267</v>
      </c>
      <c r="Z1574" s="81" t="s">
        <v>1754</v>
      </c>
      <c r="AA1574" s="81" t="s">
        <v>876</v>
      </c>
      <c r="AB1574" s="81"/>
      <c r="AC1574" s="81"/>
      <c r="AD1574" s="81"/>
      <c r="AE1574" s="83"/>
      <c r="AF1574" s="81"/>
      <c r="AG1574" s="81"/>
      <c r="AH1574" s="81"/>
      <c r="AI1574" s="81"/>
      <c r="AJ1574" s="83"/>
      <c r="AK1574" s="81"/>
      <c r="AL1574" s="81"/>
      <c r="AM1574" s="83"/>
      <c r="AN1574" s="80"/>
      <c r="AO1574" s="82" t="n">
        <f aca="false">IF(E1574="","",(AA1574&lt;&gt;"")+(AG1574&lt;&gt;"")+(AL1574&lt;&gt;""))</f>
        <v>1</v>
      </c>
      <c r="AP1574" s="82" t="str">
        <f aca="false">IF(AL1574&lt;&gt;"",AL1574,IF(AG1574&lt;&gt;"",AG1574,IF(AA1574&lt;&gt;"",AA1574,"")))</f>
        <v>A</v>
      </c>
      <c r="AQ1574" s="84" t="str">
        <f aca="false">IF(E1574="","",IF(U1574="","À SOUDER",IF(X1574="","VT EN ATTENTE",IF(X1574="R","VT REJETÉ – À REPRENDRE",IF(AP1574="","À RADIOGRAPHIER",IF(AP1574="A","ACCEPTÉ",IF(AP1574="NX","NX – RT À REFAIRE",IF(IF(AO1574=1,AD1574,IF(AO1574=2,AI1574,""))="A","RÉPARÉ – À RADIOGRAPHIER",IF(IF(AO1574=1,AD1574,IF(AO1574=2,AI1574,""))="R","VT REJETÉ – À REPRENDRE",IF(OR(AP1574="CO",AP1574="NT"),"COUPE – À RESOUDER","À RÉPARER"))))))))))</f>
        <v>ACCEPTÉ</v>
      </c>
      <c r="AR1574" s="82" t="str">
        <f aca="false">IF(AND(ISNUMBER(U1574),OR(AQ1574="À RADIOGRAPHIER",AQ1574="RÉPARÉ – À RADIOGRAPHIER",AQ1574="NX – RT À REFAIRE",AQ1574="À RÉPARER",AQ1574="COUPE – À RESOUDER",AQ1574="VT REJETÉ – À REPRENDRE")),MAX(0,'PROGRAMME RT'!$C$4-U1574),"")</f>
        <v/>
      </c>
      <c r="AS1574" s="82" t="n">
        <f aca="false">IF(AND(OR(AQ1574="À RADIOGRAPHIER",AQ1574="RÉPARÉ – À RADIOGRAPHIER",AQ1574="NX – RT À REFAIRE"),OR('PROGRAMME RT'!$D$5="TOUTES",B1574='PROGRAMME RT'!$D$5)),1,0)</f>
        <v>0</v>
      </c>
      <c r="AT1574" s="82" t="str">
        <f aca="false">IF(AS1574=1,SUM(AS$7:AS1574),"")</f>
        <v/>
      </c>
      <c r="AU1574" s="82" t="n">
        <f aca="false">IF(AND(OR(AA1574="R",AA1574="NX",AA1574="NT",AA1574="CO"),OR('JOINTS DE RÉPARATION'!$D$5="TOUTES",B1574='JOINTS DE RÉPARATION'!$D$5),OR('JOINTS DE RÉPARATION'!$L$4="TOUS",AQ1574&lt;&gt;"ACCEPTÉ")),1,0)</f>
        <v>0</v>
      </c>
      <c r="AV1574" s="82" t="str">
        <f aca="false">IF(AU1574=1,SUM(AU$7:AU1574),"")</f>
        <v/>
      </c>
      <c r="AW1574" s="82" t="str">
        <f aca="false">IF(E1574="","",B1574&amp;"|"&amp;E1574)</f>
        <v>MFD-ISW → MFD-CPF|DJ°217</v>
      </c>
    </row>
    <row r="1575" customFormat="false" ht="74.6" hidden="false" customHeight="false" outlineLevel="0" collapsed="false">
      <c r="A1575" s="79" t="n">
        <f aca="false">IF(E1575="","",ROW()-6)</f>
        <v>1569</v>
      </c>
      <c r="B1575" s="80" t="s">
        <v>110</v>
      </c>
      <c r="C1575" s="81" t="s">
        <v>1842</v>
      </c>
      <c r="D1575" s="81" t="n">
        <v>13</v>
      </c>
      <c r="E1575" s="81" t="s">
        <v>1892</v>
      </c>
      <c r="F1575" s="82" t="str">
        <f aca="false">IF(E1575="","",IF(LEFT(E1575,2)="DJ","DJ","JN"))</f>
        <v>JN</v>
      </c>
      <c r="G1575" s="81" t="s">
        <v>1504</v>
      </c>
      <c r="H1575" s="81" t="s">
        <v>871</v>
      </c>
      <c r="I1575" s="81" t="n">
        <v>9.53</v>
      </c>
      <c r="J1575" s="81" t="s">
        <v>872</v>
      </c>
      <c r="K1575" s="81" t="s">
        <v>1861</v>
      </c>
      <c r="L1575" s="81" t="n">
        <v>2079980</v>
      </c>
      <c r="M1575" s="81" t="n">
        <v>15421102</v>
      </c>
      <c r="N1575" s="81" t="n">
        <v>11.94</v>
      </c>
      <c r="O1575" s="81" t="n">
        <v>2085030</v>
      </c>
      <c r="P1575" s="81" t="n">
        <v>15421105</v>
      </c>
      <c r="Q1575" s="81" t="n">
        <v>11.94</v>
      </c>
      <c r="R1575" s="81" t="s">
        <v>1862</v>
      </c>
      <c r="S1575" s="81"/>
      <c r="T1575" s="81"/>
      <c r="U1575" s="83" t="n">
        <v>46291</v>
      </c>
      <c r="V1575" s="83" t="n">
        <v>46291</v>
      </c>
      <c r="W1575" s="81" t="s">
        <v>1878</v>
      </c>
      <c r="X1575" s="81" t="s">
        <v>876</v>
      </c>
      <c r="Y1575" s="83"/>
      <c r="Z1575" s="81"/>
      <c r="AA1575" s="81"/>
      <c r="AB1575" s="81" t="s">
        <v>1893</v>
      </c>
      <c r="AC1575" s="81"/>
      <c r="AD1575" s="81"/>
      <c r="AE1575" s="83"/>
      <c r="AF1575" s="81"/>
      <c r="AG1575" s="81"/>
      <c r="AH1575" s="81"/>
      <c r="AI1575" s="81"/>
      <c r="AJ1575" s="83"/>
      <c r="AK1575" s="81"/>
      <c r="AL1575" s="81"/>
      <c r="AM1575" s="83"/>
      <c r="AN1575" s="80"/>
      <c r="AO1575" s="82" t="n">
        <f aca="false">IF(E1575="","",(AA1575&lt;&gt;"")+(AG1575&lt;&gt;"")+(AL1575&lt;&gt;""))</f>
        <v>0</v>
      </c>
      <c r="AP1575" s="82" t="str">
        <f aca="false">IF(AL1575&lt;&gt;"",AL1575,IF(AG1575&lt;&gt;"",AG1575,IF(AA1575&lt;&gt;"",AA1575,"")))</f>
        <v/>
      </c>
      <c r="AQ1575" s="84" t="str">
        <f aca="false">IF(E1575="","",IF(U1575="","À SOUDER",IF(X1575="","VT EN ATTENTE",IF(X1575="R","VT REJETÉ – À REPRENDRE",IF(AP1575="","À RADIOGRAPHIER",IF(AP1575="A","ACCEPTÉ",IF(AP1575="NX","NX – RT À REFAIRE",IF(IF(AO1575=1,AD1575,IF(AO1575=2,AI1575,""))="A","RÉPARÉ – À RADIOGRAPHIER",IF(IF(AO1575=1,AD1575,IF(AO1575=2,AI1575,""))="R","VT REJETÉ – À REPRENDRE",IF(OR(AP1575="CO",AP1575="NT"),"COUPE – À RESOUDER","À RÉPARER"))))))))))</f>
        <v>À RADIOGRAPHIER</v>
      </c>
      <c r="AR1575" s="82" t="n">
        <f aca="false">IF(AND(ISNUMBER(U1575),OR(AQ1575="À RADIOGRAPHIER",AQ1575="RÉPARÉ – À RADIOGRAPHIER",AQ1575="NX – RT À REFAIRE",AQ1575="À RÉPARER",AQ1575="COUPE – À RESOUDER",AQ1575="VT REJETÉ – À REPRENDRE")),MAX(0,'PROGRAMME RT'!$C$4-U1575),"")</f>
        <v>2</v>
      </c>
      <c r="AS1575" s="82" t="n">
        <f aca="false">IF(AND(OR(AQ1575="À RADIOGRAPHIER",AQ1575="RÉPARÉ – À RADIOGRAPHIER",AQ1575="NX – RT À REFAIRE"),OR('PROGRAMME RT'!$D$5="TOUTES",B1575='PROGRAMME RT'!$D$5)),1,0)</f>
        <v>1</v>
      </c>
      <c r="AT1575" s="82" t="n">
        <f aca="false">IF(AS1575=1,SUM(AS$7:AS1575),"")</f>
        <v>77</v>
      </c>
      <c r="AU1575" s="82" t="n">
        <f aca="false">IF(AND(OR(AA1575="R",AA1575="NX",AA1575="NT",AA1575="CO"),OR('JOINTS DE RÉPARATION'!$D$5="TOUTES",B1575='JOINTS DE RÉPARATION'!$D$5),OR('JOINTS DE RÉPARATION'!$L$4="TOUS",AQ1575&lt;&gt;"ACCEPTÉ")),1,0)</f>
        <v>0</v>
      </c>
      <c r="AV1575" s="82" t="str">
        <f aca="false">IF(AU1575=1,SUM(AU$7:AU1575),"")</f>
        <v/>
      </c>
      <c r="AW1575" s="82" t="str">
        <f aca="false">IF(E1575="","",B1575&amp;"|"&amp;E1575)</f>
        <v>MFD-ISW → MFD-CPF|JN°1293R</v>
      </c>
    </row>
    <row r="1576" customFormat="false" ht="74.6" hidden="false" customHeight="false" outlineLevel="0" collapsed="false">
      <c r="A1576" s="79" t="n">
        <f aca="false">IF(E1576="","",ROW()-6)</f>
        <v>1570</v>
      </c>
      <c r="B1576" s="80" t="s">
        <v>110</v>
      </c>
      <c r="C1576" s="81" t="s">
        <v>1842</v>
      </c>
      <c r="D1576" s="81" t="n">
        <v>13</v>
      </c>
      <c r="E1576" s="81" t="s">
        <v>1894</v>
      </c>
      <c r="F1576" s="82" t="str">
        <f aca="false">IF(E1576="","",IF(LEFT(E1576,2)="DJ","DJ","JN"))</f>
        <v>DJ</v>
      </c>
      <c r="G1576" s="81"/>
      <c r="H1576" s="81" t="s">
        <v>871</v>
      </c>
      <c r="I1576" s="81" t="n">
        <v>9.53</v>
      </c>
      <c r="J1576" s="81" t="s">
        <v>872</v>
      </c>
      <c r="K1576" s="81" t="s">
        <v>873</v>
      </c>
      <c r="L1576" s="81" t="n">
        <v>2085030</v>
      </c>
      <c r="M1576" s="81" t="n">
        <v>15421105</v>
      </c>
      <c r="N1576" s="81" t="n">
        <v>11.94</v>
      </c>
      <c r="O1576" s="81" t="n">
        <v>2080200</v>
      </c>
      <c r="P1576" s="81" t="n">
        <v>15421102</v>
      </c>
      <c r="Q1576" s="81" t="n">
        <v>11.94</v>
      </c>
      <c r="R1576" s="81" t="s">
        <v>963</v>
      </c>
      <c r="S1576" s="81"/>
      <c r="T1576" s="81"/>
      <c r="U1576" s="83" t="n">
        <v>46264</v>
      </c>
      <c r="V1576" s="83" t="n">
        <v>46264</v>
      </c>
      <c r="W1576" s="81" t="s">
        <v>1895</v>
      </c>
      <c r="X1576" s="81" t="s">
        <v>876</v>
      </c>
      <c r="Y1576" s="83" t="n">
        <v>46267</v>
      </c>
      <c r="Z1576" s="81" t="s">
        <v>1754</v>
      </c>
      <c r="AA1576" s="81" t="s">
        <v>876</v>
      </c>
      <c r="AB1576" s="81"/>
      <c r="AC1576" s="81"/>
      <c r="AD1576" s="81"/>
      <c r="AE1576" s="83"/>
      <c r="AF1576" s="81"/>
      <c r="AG1576" s="81"/>
      <c r="AH1576" s="81"/>
      <c r="AI1576" s="81"/>
      <c r="AJ1576" s="83"/>
      <c r="AK1576" s="81"/>
      <c r="AL1576" s="81"/>
      <c r="AM1576" s="83"/>
      <c r="AN1576" s="80"/>
      <c r="AO1576" s="82" t="n">
        <f aca="false">IF(E1576="","",(AA1576&lt;&gt;"")+(AG1576&lt;&gt;"")+(AL1576&lt;&gt;""))</f>
        <v>1</v>
      </c>
      <c r="AP1576" s="82" t="str">
        <f aca="false">IF(AL1576&lt;&gt;"",AL1576,IF(AG1576&lt;&gt;"",AG1576,IF(AA1576&lt;&gt;"",AA1576,"")))</f>
        <v>A</v>
      </c>
      <c r="AQ1576" s="84" t="str">
        <f aca="false">IF(E1576="","",IF(U1576="","À SOUDER",IF(X1576="","VT EN ATTENTE",IF(X1576="R","VT REJETÉ – À REPRENDRE",IF(AP1576="","À RADIOGRAPHIER",IF(AP1576="A","ACCEPTÉ",IF(AP1576="NX","NX – RT À REFAIRE",IF(IF(AO1576=1,AD1576,IF(AO1576=2,AI1576,""))="A","RÉPARÉ – À RADIOGRAPHIER",IF(IF(AO1576=1,AD1576,IF(AO1576=2,AI1576,""))="R","VT REJETÉ – À REPRENDRE",IF(OR(AP1576="CO",AP1576="NT"),"COUPE – À RESOUDER","À RÉPARER"))))))))))</f>
        <v>ACCEPTÉ</v>
      </c>
      <c r="AR1576" s="82" t="str">
        <f aca="false">IF(AND(ISNUMBER(U1576),OR(AQ1576="À RADIOGRAPHIER",AQ1576="RÉPARÉ – À RADIOGRAPHIER",AQ1576="NX – RT À REFAIRE",AQ1576="À RÉPARER",AQ1576="COUPE – À RESOUDER",AQ1576="VT REJETÉ – À REPRENDRE")),MAX(0,'PROGRAMME RT'!$C$4-U1576),"")</f>
        <v/>
      </c>
      <c r="AS1576" s="82" t="n">
        <f aca="false">IF(AND(OR(AQ1576="À RADIOGRAPHIER",AQ1576="RÉPARÉ – À RADIOGRAPHIER",AQ1576="NX – RT À REFAIRE"),OR('PROGRAMME RT'!$D$5="TOUTES",B1576='PROGRAMME RT'!$D$5)),1,0)</f>
        <v>0</v>
      </c>
      <c r="AT1576" s="82" t="str">
        <f aca="false">IF(AS1576=1,SUM(AS$7:AS1576),"")</f>
        <v/>
      </c>
      <c r="AU1576" s="82" t="n">
        <f aca="false">IF(AND(OR(AA1576="R",AA1576="NX",AA1576="NT",AA1576="CO"),OR('JOINTS DE RÉPARATION'!$D$5="TOUTES",B1576='JOINTS DE RÉPARATION'!$D$5),OR('JOINTS DE RÉPARATION'!$L$4="TOUS",AQ1576&lt;&gt;"ACCEPTÉ")),1,0)</f>
        <v>0</v>
      </c>
      <c r="AV1576" s="82" t="str">
        <f aca="false">IF(AU1576=1,SUM(AU$7:AU1576),"")</f>
        <v/>
      </c>
      <c r="AW1576" s="82" t="str">
        <f aca="false">IF(E1576="","",B1576&amp;"|"&amp;E1576)</f>
        <v>MFD-ISW → MFD-CPF|DJ°199</v>
      </c>
    </row>
    <row r="1577" customFormat="false" ht="74.6" hidden="false" customHeight="false" outlineLevel="0" collapsed="false">
      <c r="A1577" s="79" t="n">
        <f aca="false">IF(E1577="","",ROW()-6)</f>
        <v>1571</v>
      </c>
      <c r="B1577" s="80" t="s">
        <v>110</v>
      </c>
      <c r="C1577" s="81" t="s">
        <v>1842</v>
      </c>
      <c r="D1577" s="81" t="n">
        <v>13</v>
      </c>
      <c r="E1577" s="81" t="s">
        <v>1896</v>
      </c>
      <c r="F1577" s="82" t="str">
        <f aca="false">IF(E1577="","",IF(LEFT(E1577,2)="DJ","DJ","JN"))</f>
        <v>JN</v>
      </c>
      <c r="G1577" s="81" t="s">
        <v>1504</v>
      </c>
      <c r="H1577" s="81" t="s">
        <v>871</v>
      </c>
      <c r="I1577" s="81" t="n">
        <v>9.53</v>
      </c>
      <c r="J1577" s="81" t="s">
        <v>872</v>
      </c>
      <c r="K1577" s="81" t="s">
        <v>1861</v>
      </c>
      <c r="L1577" s="81" t="n">
        <v>2080200</v>
      </c>
      <c r="M1577" s="81" t="n">
        <v>15421102</v>
      </c>
      <c r="N1577" s="81" t="n">
        <v>11.94</v>
      </c>
      <c r="O1577" s="81" t="n">
        <v>2088290</v>
      </c>
      <c r="P1577" s="81" t="n">
        <v>15421108</v>
      </c>
      <c r="Q1577" s="81" t="n">
        <v>11.94</v>
      </c>
      <c r="R1577" s="81" t="s">
        <v>1862</v>
      </c>
      <c r="S1577" s="81"/>
      <c r="T1577" s="81"/>
      <c r="U1577" s="83" t="n">
        <v>46292</v>
      </c>
      <c r="V1577" s="83" t="n">
        <v>46292</v>
      </c>
      <c r="W1577" s="81"/>
      <c r="X1577" s="81" t="s">
        <v>876</v>
      </c>
      <c r="Y1577" s="83"/>
      <c r="Z1577" s="81"/>
      <c r="AA1577" s="81"/>
      <c r="AB1577" s="81" t="s">
        <v>1897</v>
      </c>
      <c r="AC1577" s="81"/>
      <c r="AD1577" s="81"/>
      <c r="AE1577" s="83"/>
      <c r="AF1577" s="81"/>
      <c r="AG1577" s="81"/>
      <c r="AH1577" s="81"/>
      <c r="AI1577" s="81"/>
      <c r="AJ1577" s="83"/>
      <c r="AK1577" s="81"/>
      <c r="AL1577" s="81"/>
      <c r="AM1577" s="83"/>
      <c r="AN1577" s="80"/>
      <c r="AO1577" s="82" t="n">
        <f aca="false">IF(E1577="","",(AA1577&lt;&gt;"")+(AG1577&lt;&gt;"")+(AL1577&lt;&gt;""))</f>
        <v>0</v>
      </c>
      <c r="AP1577" s="82" t="str">
        <f aca="false">IF(AL1577&lt;&gt;"",AL1577,IF(AG1577&lt;&gt;"",AG1577,IF(AA1577&lt;&gt;"",AA1577,"")))</f>
        <v/>
      </c>
      <c r="AQ1577" s="84" t="str">
        <f aca="false">IF(E1577="","",IF(U1577="","À SOUDER",IF(X1577="","VT EN ATTENTE",IF(X1577="R","VT REJETÉ – À REPRENDRE",IF(AP1577="","À RADIOGRAPHIER",IF(AP1577="A","ACCEPTÉ",IF(AP1577="NX","NX – RT À REFAIRE",IF(IF(AO1577=1,AD1577,IF(AO1577=2,AI1577,""))="A","RÉPARÉ – À RADIOGRAPHIER",IF(IF(AO1577=1,AD1577,IF(AO1577=2,AI1577,""))="R","VT REJETÉ – À REPRENDRE",IF(OR(AP1577="CO",AP1577="NT"),"COUPE – À RESOUDER","À RÉPARER"))))))))))</f>
        <v>À RADIOGRAPHIER</v>
      </c>
      <c r="AR1577" s="82" t="n">
        <f aca="false">IF(AND(ISNUMBER(U1577),OR(AQ1577="À RADIOGRAPHIER",AQ1577="RÉPARÉ – À RADIOGRAPHIER",AQ1577="NX – RT À REFAIRE",AQ1577="À RÉPARER",AQ1577="COUPE – À RESOUDER",AQ1577="VT REJETÉ – À REPRENDRE")),MAX(0,'PROGRAMME RT'!$C$4-U1577),"")</f>
        <v>1</v>
      </c>
      <c r="AS1577" s="82" t="n">
        <f aca="false">IF(AND(OR(AQ1577="À RADIOGRAPHIER",AQ1577="RÉPARÉ – À RADIOGRAPHIER",AQ1577="NX – RT À REFAIRE"),OR('PROGRAMME RT'!$D$5="TOUTES",B1577='PROGRAMME RT'!$D$5)),1,0)</f>
        <v>1</v>
      </c>
      <c r="AT1577" s="82" t="n">
        <f aca="false">IF(AS1577=1,SUM(AS$7:AS1577),"")</f>
        <v>78</v>
      </c>
      <c r="AU1577" s="82" t="n">
        <f aca="false">IF(AND(OR(AA1577="R",AA1577="NX",AA1577="NT",AA1577="CO"),OR('JOINTS DE RÉPARATION'!$D$5="TOUTES",B1577='JOINTS DE RÉPARATION'!$D$5),OR('JOINTS DE RÉPARATION'!$L$4="TOUS",AQ1577&lt;&gt;"ACCEPTÉ")),1,0)</f>
        <v>0</v>
      </c>
      <c r="AV1577" s="82" t="str">
        <f aca="false">IF(AU1577=1,SUM(AU$7:AU1577),"")</f>
        <v/>
      </c>
      <c r="AW1577" s="82" t="str">
        <f aca="false">IF(E1577="","",B1577&amp;"|"&amp;E1577)</f>
        <v>MFD-ISW → MFD-CPF|JN°1294R</v>
      </c>
    </row>
    <row r="1578" customFormat="false" ht="74.6" hidden="false" customHeight="false" outlineLevel="0" collapsed="false">
      <c r="A1578" s="79" t="n">
        <f aca="false">IF(E1578="","",ROW()-6)</f>
        <v>1572</v>
      </c>
      <c r="B1578" s="80" t="s">
        <v>110</v>
      </c>
      <c r="C1578" s="81" t="s">
        <v>1842</v>
      </c>
      <c r="D1578" s="81" t="n">
        <v>13</v>
      </c>
      <c r="E1578" s="81" t="s">
        <v>1898</v>
      </c>
      <c r="F1578" s="82" t="str">
        <f aca="false">IF(E1578="","",IF(LEFT(E1578,2)="DJ","DJ","JN"))</f>
        <v>DJ</v>
      </c>
      <c r="G1578" s="81"/>
      <c r="H1578" s="81" t="s">
        <v>871</v>
      </c>
      <c r="I1578" s="81" t="n">
        <v>9.53</v>
      </c>
      <c r="J1578" s="81" t="s">
        <v>872</v>
      </c>
      <c r="K1578" s="81" t="s">
        <v>873</v>
      </c>
      <c r="L1578" s="81" t="n">
        <v>2088290</v>
      </c>
      <c r="M1578" s="81" t="n">
        <v>15421108</v>
      </c>
      <c r="N1578" s="81" t="n">
        <v>11.94</v>
      </c>
      <c r="O1578" s="81" t="n">
        <v>2082500</v>
      </c>
      <c r="P1578" s="81" t="n">
        <v>15421104</v>
      </c>
      <c r="Q1578" s="81" t="n">
        <v>11.94</v>
      </c>
      <c r="R1578" s="81" t="s">
        <v>1517</v>
      </c>
      <c r="S1578" s="81"/>
      <c r="T1578" s="81"/>
      <c r="U1578" s="83" t="n">
        <v>46266</v>
      </c>
      <c r="V1578" s="83" t="n">
        <v>46266</v>
      </c>
      <c r="W1578" s="81" t="s">
        <v>1753</v>
      </c>
      <c r="X1578" s="81" t="s">
        <v>876</v>
      </c>
      <c r="Y1578" s="83" t="n">
        <v>46267</v>
      </c>
      <c r="Z1578" s="81" t="s">
        <v>1754</v>
      </c>
      <c r="AA1578" s="81" t="s">
        <v>876</v>
      </c>
      <c r="AB1578" s="81"/>
      <c r="AC1578" s="81"/>
      <c r="AD1578" s="81"/>
      <c r="AE1578" s="83"/>
      <c r="AF1578" s="81"/>
      <c r="AG1578" s="81"/>
      <c r="AH1578" s="81"/>
      <c r="AI1578" s="81"/>
      <c r="AJ1578" s="83"/>
      <c r="AK1578" s="81"/>
      <c r="AL1578" s="81"/>
      <c r="AM1578" s="83"/>
      <c r="AN1578" s="80"/>
      <c r="AO1578" s="82" t="n">
        <f aca="false">IF(E1578="","",(AA1578&lt;&gt;"")+(AG1578&lt;&gt;"")+(AL1578&lt;&gt;""))</f>
        <v>1</v>
      </c>
      <c r="AP1578" s="82" t="str">
        <f aca="false">IF(AL1578&lt;&gt;"",AL1578,IF(AG1578&lt;&gt;"",AG1578,IF(AA1578&lt;&gt;"",AA1578,"")))</f>
        <v>A</v>
      </c>
      <c r="AQ1578" s="84" t="str">
        <f aca="false">IF(E1578="","",IF(U1578="","À SOUDER",IF(X1578="","VT EN ATTENTE",IF(X1578="R","VT REJETÉ – À REPRENDRE",IF(AP1578="","À RADIOGRAPHIER",IF(AP1578="A","ACCEPTÉ",IF(AP1578="NX","NX – RT À REFAIRE",IF(IF(AO1578=1,AD1578,IF(AO1578=2,AI1578,""))="A","RÉPARÉ – À RADIOGRAPHIER",IF(IF(AO1578=1,AD1578,IF(AO1578=2,AI1578,""))="R","VT REJETÉ – À REPRENDRE",IF(OR(AP1578="CO",AP1578="NT"),"COUPE – À RESOUDER","À RÉPARER"))))))))))</f>
        <v>ACCEPTÉ</v>
      </c>
      <c r="AR1578" s="82" t="str">
        <f aca="false">IF(AND(ISNUMBER(U1578),OR(AQ1578="À RADIOGRAPHIER",AQ1578="RÉPARÉ – À RADIOGRAPHIER",AQ1578="NX – RT À REFAIRE",AQ1578="À RÉPARER",AQ1578="COUPE – À RESOUDER",AQ1578="VT REJETÉ – À REPRENDRE")),MAX(0,'PROGRAMME RT'!$C$4-U1578),"")</f>
        <v/>
      </c>
      <c r="AS1578" s="82" t="n">
        <f aca="false">IF(AND(OR(AQ1578="À RADIOGRAPHIER",AQ1578="RÉPARÉ – À RADIOGRAPHIER",AQ1578="NX – RT À REFAIRE"),OR('PROGRAMME RT'!$D$5="TOUTES",B1578='PROGRAMME RT'!$D$5)),1,0)</f>
        <v>0</v>
      </c>
      <c r="AT1578" s="82" t="str">
        <f aca="false">IF(AS1578=1,SUM(AS$7:AS1578),"")</f>
        <v/>
      </c>
      <c r="AU1578" s="82" t="n">
        <f aca="false">IF(AND(OR(AA1578="R",AA1578="NX",AA1578="NT",AA1578="CO"),OR('JOINTS DE RÉPARATION'!$D$5="TOUTES",B1578='JOINTS DE RÉPARATION'!$D$5),OR('JOINTS DE RÉPARATION'!$L$4="TOUS",AQ1578&lt;&gt;"ACCEPTÉ")),1,0)</f>
        <v>0</v>
      </c>
      <c r="AV1578" s="82" t="str">
        <f aca="false">IF(AU1578=1,SUM(AU$7:AU1578),"")</f>
        <v/>
      </c>
      <c r="AW1578" s="82" t="str">
        <f aca="false">IF(E1578="","",B1578&amp;"|"&amp;E1578)</f>
        <v>MFD-ISW → MFD-CPF|DJ°232</v>
      </c>
    </row>
    <row r="1579" customFormat="false" ht="74.6" hidden="false" customHeight="false" outlineLevel="0" collapsed="false">
      <c r="A1579" s="79" t="n">
        <f aca="false">IF(E1579="","",ROW()-6)</f>
        <v>1573</v>
      </c>
      <c r="B1579" s="80" t="s">
        <v>110</v>
      </c>
      <c r="C1579" s="81" t="s">
        <v>1842</v>
      </c>
      <c r="D1579" s="81" t="n">
        <v>13</v>
      </c>
      <c r="E1579" s="81" t="s">
        <v>1899</v>
      </c>
      <c r="F1579" s="82" t="str">
        <f aca="false">IF(E1579="","",IF(LEFT(E1579,2)="DJ","DJ","JN"))</f>
        <v>JN</v>
      </c>
      <c r="G1579" s="81" t="s">
        <v>1504</v>
      </c>
      <c r="H1579" s="81" t="s">
        <v>871</v>
      </c>
      <c r="I1579" s="81" t="n">
        <v>9.53</v>
      </c>
      <c r="J1579" s="81" t="s">
        <v>872</v>
      </c>
      <c r="K1579" s="81" t="s">
        <v>879</v>
      </c>
      <c r="L1579" s="81" t="n">
        <v>2082500</v>
      </c>
      <c r="M1579" s="81" t="n">
        <v>15421104</v>
      </c>
      <c r="N1579" s="81" t="n">
        <v>11.94</v>
      </c>
      <c r="O1579" s="81" t="n">
        <v>2087170</v>
      </c>
      <c r="P1579" s="81" t="n">
        <v>15421107</v>
      </c>
      <c r="Q1579" s="81" t="n">
        <v>11.94</v>
      </c>
      <c r="R1579" s="81" t="s">
        <v>1795</v>
      </c>
      <c r="S1579" s="81"/>
      <c r="T1579" s="81"/>
      <c r="U1579" s="83" t="n">
        <v>46275</v>
      </c>
      <c r="V1579" s="83" t="n">
        <v>46275</v>
      </c>
      <c r="W1579" s="81" t="s">
        <v>1875</v>
      </c>
      <c r="X1579" s="81" t="s">
        <v>876</v>
      </c>
      <c r="Y1579" s="83" t="n">
        <v>46280</v>
      </c>
      <c r="Z1579" s="81" t="s">
        <v>1858</v>
      </c>
      <c r="AA1579" s="81" t="s">
        <v>1073</v>
      </c>
      <c r="AB1579" s="81" t="s">
        <v>1900</v>
      </c>
      <c r="AC1579" s="81"/>
      <c r="AD1579" s="81"/>
      <c r="AE1579" s="83"/>
      <c r="AF1579" s="81"/>
      <c r="AG1579" s="81"/>
      <c r="AH1579" s="81"/>
      <c r="AI1579" s="81"/>
      <c r="AJ1579" s="83"/>
      <c r="AK1579" s="81"/>
      <c r="AL1579" s="81"/>
      <c r="AM1579" s="83"/>
      <c r="AN1579" s="80"/>
      <c r="AO1579" s="82" t="n">
        <f aca="false">IF(E1579="","",(AA1579&lt;&gt;"")+(AG1579&lt;&gt;"")+(AL1579&lt;&gt;""))</f>
        <v>1</v>
      </c>
      <c r="AP1579" s="82" t="str">
        <f aca="false">IF(AL1579&lt;&gt;"",AL1579,IF(AG1579&lt;&gt;"",AG1579,IF(AA1579&lt;&gt;"",AA1579,"")))</f>
        <v>R</v>
      </c>
      <c r="AQ1579" s="84" t="str">
        <f aca="false">IF(E1579="","",IF(U1579="","À SOUDER",IF(X1579="","VT EN ATTENTE",IF(X1579="R","VT REJETÉ – À REPRENDRE",IF(AP1579="","À RADIOGRAPHIER",IF(AP1579="A","ACCEPTÉ",IF(AP1579="NX","NX – RT À REFAIRE",IF(IF(AO1579=1,AD1579,IF(AO1579=2,AI1579,""))="A","RÉPARÉ – À RADIOGRAPHIER",IF(IF(AO1579=1,AD1579,IF(AO1579=2,AI1579,""))="R","VT REJETÉ – À REPRENDRE",IF(OR(AP1579="CO",AP1579="NT"),"COUPE – À RESOUDER","À RÉPARER"))))))))))</f>
        <v>À RÉPARER</v>
      </c>
      <c r="AR1579" s="82" t="n">
        <f aca="false">IF(AND(ISNUMBER(U1579),OR(AQ1579="À RADIOGRAPHIER",AQ1579="RÉPARÉ – À RADIOGRAPHIER",AQ1579="NX – RT À REFAIRE",AQ1579="À RÉPARER",AQ1579="COUPE – À RESOUDER",AQ1579="VT REJETÉ – À REPRENDRE")),MAX(0,'PROGRAMME RT'!$C$4-U1579),"")</f>
        <v>18</v>
      </c>
      <c r="AS1579" s="82" t="n">
        <f aca="false">IF(AND(OR(AQ1579="À RADIOGRAPHIER",AQ1579="RÉPARÉ – À RADIOGRAPHIER",AQ1579="NX – RT À REFAIRE"),OR('PROGRAMME RT'!$D$5="TOUTES",B1579='PROGRAMME RT'!$D$5)),1,0)</f>
        <v>0</v>
      </c>
      <c r="AT1579" s="82" t="str">
        <f aca="false">IF(AS1579=1,SUM(AS$7:AS1579),"")</f>
        <v/>
      </c>
      <c r="AU1579" s="82" t="n">
        <f aca="false">IF(AND(OR(AA1579="R",AA1579="NX",AA1579="NT",AA1579="CO"),OR('JOINTS DE RÉPARATION'!$D$5="TOUTES",B1579='JOINTS DE RÉPARATION'!$D$5),OR('JOINTS DE RÉPARATION'!$L$4="TOUS",AQ1579&lt;&gt;"ACCEPTÉ")),1,0)</f>
        <v>1</v>
      </c>
      <c r="AV1579" s="82" t="n">
        <f aca="false">IF(AU1579=1,SUM(AU$7:AU1579),"")</f>
        <v>42</v>
      </c>
      <c r="AW1579" s="82" t="str">
        <f aca="false">IF(E1579="","",B1579&amp;"|"&amp;E1579)</f>
        <v>MFD-ISW → MFD-CPF|JN°1295</v>
      </c>
    </row>
    <row r="1580" customFormat="false" ht="74.6" hidden="false" customHeight="false" outlineLevel="0" collapsed="false">
      <c r="A1580" s="79" t="n">
        <f aca="false">IF(E1580="","",ROW()-6)</f>
        <v>1574</v>
      </c>
      <c r="B1580" s="80" t="s">
        <v>110</v>
      </c>
      <c r="C1580" s="81" t="s">
        <v>1842</v>
      </c>
      <c r="D1580" s="81" t="n">
        <v>13</v>
      </c>
      <c r="E1580" s="81" t="s">
        <v>1901</v>
      </c>
      <c r="F1580" s="82" t="str">
        <f aca="false">IF(E1580="","",IF(LEFT(E1580,2)="DJ","DJ","JN"))</f>
        <v>DJ</v>
      </c>
      <c r="G1580" s="81"/>
      <c r="H1580" s="81" t="s">
        <v>871</v>
      </c>
      <c r="I1580" s="81" t="n">
        <v>9.53</v>
      </c>
      <c r="J1580" s="81" t="s">
        <v>872</v>
      </c>
      <c r="K1580" s="81" t="s">
        <v>873</v>
      </c>
      <c r="L1580" s="81" t="n">
        <v>2087170</v>
      </c>
      <c r="M1580" s="81" t="n">
        <v>15421107</v>
      </c>
      <c r="N1580" s="81" t="n">
        <v>11.94</v>
      </c>
      <c r="O1580" s="81" t="n">
        <v>2079390</v>
      </c>
      <c r="P1580" s="81" t="n">
        <v>15421102</v>
      </c>
      <c r="Q1580" s="81" t="n">
        <v>11.94</v>
      </c>
      <c r="R1580" s="81" t="s">
        <v>1147</v>
      </c>
      <c r="S1580" s="81"/>
      <c r="T1580" s="81"/>
      <c r="U1580" s="83" t="n">
        <v>46266</v>
      </c>
      <c r="V1580" s="83" t="n">
        <v>46266</v>
      </c>
      <c r="W1580" s="81" t="s">
        <v>1753</v>
      </c>
      <c r="X1580" s="81" t="s">
        <v>876</v>
      </c>
      <c r="Y1580" s="83" t="n">
        <v>46267</v>
      </c>
      <c r="Z1580" s="81" t="s">
        <v>1754</v>
      </c>
      <c r="AA1580" s="81" t="s">
        <v>876</v>
      </c>
      <c r="AB1580" s="81"/>
      <c r="AC1580" s="81"/>
      <c r="AD1580" s="81"/>
      <c r="AE1580" s="83"/>
      <c r="AF1580" s="81"/>
      <c r="AG1580" s="81"/>
      <c r="AH1580" s="81"/>
      <c r="AI1580" s="81"/>
      <c r="AJ1580" s="83"/>
      <c r="AK1580" s="81"/>
      <c r="AL1580" s="81"/>
      <c r="AM1580" s="83"/>
      <c r="AN1580" s="80"/>
      <c r="AO1580" s="82" t="n">
        <f aca="false">IF(E1580="","",(AA1580&lt;&gt;"")+(AG1580&lt;&gt;"")+(AL1580&lt;&gt;""))</f>
        <v>1</v>
      </c>
      <c r="AP1580" s="82" t="str">
        <f aca="false">IF(AL1580&lt;&gt;"",AL1580,IF(AG1580&lt;&gt;"",AG1580,IF(AA1580&lt;&gt;"",AA1580,"")))</f>
        <v>A</v>
      </c>
      <c r="AQ1580" s="84" t="str">
        <f aca="false">IF(E1580="","",IF(U1580="","À SOUDER",IF(X1580="","VT EN ATTENTE",IF(X1580="R","VT REJETÉ – À REPRENDRE",IF(AP1580="","À RADIOGRAPHIER",IF(AP1580="A","ACCEPTÉ",IF(AP1580="NX","NX – RT À REFAIRE",IF(IF(AO1580=1,AD1580,IF(AO1580=2,AI1580,""))="A","RÉPARÉ – À RADIOGRAPHIER",IF(IF(AO1580=1,AD1580,IF(AO1580=2,AI1580,""))="R","VT REJETÉ – À REPRENDRE",IF(OR(AP1580="CO",AP1580="NT"),"COUPE – À RESOUDER","À RÉPARER"))))))))))</f>
        <v>ACCEPTÉ</v>
      </c>
      <c r="AR1580" s="82" t="str">
        <f aca="false">IF(AND(ISNUMBER(U1580),OR(AQ1580="À RADIOGRAPHIER",AQ1580="RÉPARÉ – À RADIOGRAPHIER",AQ1580="NX – RT À REFAIRE",AQ1580="À RÉPARER",AQ1580="COUPE – À RESOUDER",AQ1580="VT REJETÉ – À REPRENDRE")),MAX(0,'PROGRAMME RT'!$C$4-U1580),"")</f>
        <v/>
      </c>
      <c r="AS1580" s="82" t="n">
        <f aca="false">IF(AND(OR(AQ1580="À RADIOGRAPHIER",AQ1580="RÉPARÉ – À RADIOGRAPHIER",AQ1580="NX – RT À REFAIRE"),OR('PROGRAMME RT'!$D$5="TOUTES",B1580='PROGRAMME RT'!$D$5)),1,0)</f>
        <v>0</v>
      </c>
      <c r="AT1580" s="82" t="str">
        <f aca="false">IF(AS1580=1,SUM(AS$7:AS1580),"")</f>
        <v/>
      </c>
      <c r="AU1580" s="82" t="n">
        <f aca="false">IF(AND(OR(AA1580="R",AA1580="NX",AA1580="NT",AA1580="CO"),OR('JOINTS DE RÉPARATION'!$D$5="TOUTES",B1580='JOINTS DE RÉPARATION'!$D$5),OR('JOINTS DE RÉPARATION'!$L$4="TOUS",AQ1580&lt;&gt;"ACCEPTÉ")),1,0)</f>
        <v>0</v>
      </c>
      <c r="AV1580" s="82" t="str">
        <f aca="false">IF(AU1580=1,SUM(AU$7:AU1580),"")</f>
        <v/>
      </c>
      <c r="AW1580" s="82" t="str">
        <f aca="false">IF(E1580="","",B1580&amp;"|"&amp;E1580)</f>
        <v>MFD-ISW → MFD-CPF|DJ°233</v>
      </c>
    </row>
    <row r="1581" customFormat="false" ht="74.6" hidden="false" customHeight="false" outlineLevel="0" collapsed="false">
      <c r="A1581" s="79" t="n">
        <f aca="false">IF(E1581="","",ROW()-6)</f>
        <v>1575</v>
      </c>
      <c r="B1581" s="80" t="s">
        <v>110</v>
      </c>
      <c r="C1581" s="81" t="s">
        <v>1842</v>
      </c>
      <c r="D1581" s="81" t="n">
        <v>13</v>
      </c>
      <c r="E1581" s="81" t="s">
        <v>1902</v>
      </c>
      <c r="F1581" s="82" t="str">
        <f aca="false">IF(E1581="","",IF(LEFT(E1581,2)="DJ","DJ","JN"))</f>
        <v>JN</v>
      </c>
      <c r="G1581" s="81" t="s">
        <v>1504</v>
      </c>
      <c r="H1581" s="81" t="s">
        <v>871</v>
      </c>
      <c r="I1581" s="81" t="n">
        <v>9.53</v>
      </c>
      <c r="J1581" s="81" t="s">
        <v>872</v>
      </c>
      <c r="K1581" s="81" t="s">
        <v>879</v>
      </c>
      <c r="L1581" s="81" t="n">
        <v>2079390</v>
      </c>
      <c r="M1581" s="81" t="n">
        <v>15421102</v>
      </c>
      <c r="N1581" s="81" t="n">
        <v>11.94</v>
      </c>
      <c r="O1581" s="81" t="n">
        <v>2095420</v>
      </c>
      <c r="P1581" s="81" t="n">
        <v>15421111</v>
      </c>
      <c r="Q1581" s="81" t="n">
        <v>11.94</v>
      </c>
      <c r="R1581" s="81" t="s">
        <v>1795</v>
      </c>
      <c r="S1581" s="81"/>
      <c r="T1581" s="81"/>
      <c r="U1581" s="83" t="n">
        <v>46275</v>
      </c>
      <c r="V1581" s="83" t="n">
        <v>46275</v>
      </c>
      <c r="W1581" s="81" t="s">
        <v>1875</v>
      </c>
      <c r="X1581" s="81" t="s">
        <v>876</v>
      </c>
      <c r="Y1581" s="83" t="n">
        <v>46280</v>
      </c>
      <c r="Z1581" s="81" t="s">
        <v>1903</v>
      </c>
      <c r="AA1581" s="81" t="s">
        <v>876</v>
      </c>
      <c r="AB1581" s="81"/>
      <c r="AC1581" s="81"/>
      <c r="AD1581" s="81"/>
      <c r="AE1581" s="83"/>
      <c r="AF1581" s="81"/>
      <c r="AG1581" s="81"/>
      <c r="AH1581" s="81"/>
      <c r="AI1581" s="81"/>
      <c r="AJ1581" s="83"/>
      <c r="AK1581" s="81"/>
      <c r="AL1581" s="81"/>
      <c r="AM1581" s="83"/>
      <c r="AN1581" s="80"/>
      <c r="AO1581" s="82" t="n">
        <f aca="false">IF(E1581="","",(AA1581&lt;&gt;"")+(AG1581&lt;&gt;"")+(AL1581&lt;&gt;""))</f>
        <v>1</v>
      </c>
      <c r="AP1581" s="82" t="str">
        <f aca="false">IF(AL1581&lt;&gt;"",AL1581,IF(AG1581&lt;&gt;"",AG1581,IF(AA1581&lt;&gt;"",AA1581,"")))</f>
        <v>A</v>
      </c>
      <c r="AQ1581" s="84" t="str">
        <f aca="false">IF(E1581="","",IF(U1581="","À SOUDER",IF(X1581="","VT EN ATTENTE",IF(X1581="R","VT REJETÉ – À REPRENDRE",IF(AP1581="","À RADIOGRAPHIER",IF(AP1581="A","ACCEPTÉ",IF(AP1581="NX","NX – RT À REFAIRE",IF(IF(AO1581=1,AD1581,IF(AO1581=2,AI1581,""))="A","RÉPARÉ – À RADIOGRAPHIER",IF(IF(AO1581=1,AD1581,IF(AO1581=2,AI1581,""))="R","VT REJETÉ – À REPRENDRE",IF(OR(AP1581="CO",AP1581="NT"),"COUPE – À RESOUDER","À RÉPARER"))))))))))</f>
        <v>ACCEPTÉ</v>
      </c>
      <c r="AR1581" s="82" t="str">
        <f aca="false">IF(AND(ISNUMBER(U1581),OR(AQ1581="À RADIOGRAPHIER",AQ1581="RÉPARÉ – À RADIOGRAPHIER",AQ1581="NX – RT À REFAIRE",AQ1581="À RÉPARER",AQ1581="COUPE – À RESOUDER",AQ1581="VT REJETÉ – À REPRENDRE")),MAX(0,'PROGRAMME RT'!$C$4-U1581),"")</f>
        <v/>
      </c>
      <c r="AS1581" s="82" t="n">
        <f aca="false">IF(AND(OR(AQ1581="À RADIOGRAPHIER",AQ1581="RÉPARÉ – À RADIOGRAPHIER",AQ1581="NX – RT À REFAIRE"),OR('PROGRAMME RT'!$D$5="TOUTES",B1581='PROGRAMME RT'!$D$5)),1,0)</f>
        <v>0</v>
      </c>
      <c r="AT1581" s="82" t="str">
        <f aca="false">IF(AS1581=1,SUM(AS$7:AS1581),"")</f>
        <v/>
      </c>
      <c r="AU1581" s="82" t="n">
        <f aca="false">IF(AND(OR(AA1581="R",AA1581="NX",AA1581="NT",AA1581="CO"),OR('JOINTS DE RÉPARATION'!$D$5="TOUTES",B1581='JOINTS DE RÉPARATION'!$D$5),OR('JOINTS DE RÉPARATION'!$L$4="TOUS",AQ1581&lt;&gt;"ACCEPTÉ")),1,0)</f>
        <v>0</v>
      </c>
      <c r="AV1581" s="82" t="str">
        <f aca="false">IF(AU1581=1,SUM(AU$7:AU1581),"")</f>
        <v/>
      </c>
      <c r="AW1581" s="82" t="str">
        <f aca="false">IF(E1581="","",B1581&amp;"|"&amp;E1581)</f>
        <v>MFD-ISW → MFD-CPF|JN°1296</v>
      </c>
    </row>
    <row r="1582" customFormat="false" ht="74.6" hidden="false" customHeight="false" outlineLevel="0" collapsed="false">
      <c r="A1582" s="79" t="n">
        <f aca="false">IF(E1582="","",ROW()-6)</f>
        <v>1576</v>
      </c>
      <c r="B1582" s="80" t="s">
        <v>110</v>
      </c>
      <c r="C1582" s="81" t="s">
        <v>1842</v>
      </c>
      <c r="D1582" s="81" t="n">
        <v>13</v>
      </c>
      <c r="E1582" s="81" t="s">
        <v>1904</v>
      </c>
      <c r="F1582" s="82" t="str">
        <f aca="false">IF(E1582="","",IF(LEFT(E1582,2)="DJ","DJ","JN"))</f>
        <v>DJ</v>
      </c>
      <c r="G1582" s="81"/>
      <c r="H1582" s="81" t="s">
        <v>871</v>
      </c>
      <c r="I1582" s="81" t="n">
        <v>9.53</v>
      </c>
      <c r="J1582" s="81" t="s">
        <v>872</v>
      </c>
      <c r="K1582" s="81" t="s">
        <v>873</v>
      </c>
      <c r="L1582" s="81" t="n">
        <v>2095420</v>
      </c>
      <c r="M1582" s="81" t="n">
        <v>15421111</v>
      </c>
      <c r="N1582" s="81" t="n">
        <v>11.94</v>
      </c>
      <c r="O1582" s="81" t="n">
        <v>2081510</v>
      </c>
      <c r="P1582" s="81" t="n">
        <v>15421105</v>
      </c>
      <c r="Q1582" s="81" t="n">
        <v>11.94</v>
      </c>
      <c r="R1582" s="81" t="s">
        <v>1517</v>
      </c>
      <c r="S1582" s="81"/>
      <c r="T1582" s="81"/>
      <c r="U1582" s="83" t="n">
        <v>46266</v>
      </c>
      <c r="V1582" s="83" t="n">
        <v>46266</v>
      </c>
      <c r="W1582" s="81" t="s">
        <v>1753</v>
      </c>
      <c r="X1582" s="81" t="s">
        <v>876</v>
      </c>
      <c r="Y1582" s="83" t="n">
        <v>46267</v>
      </c>
      <c r="Z1582" s="81" t="s">
        <v>1754</v>
      </c>
      <c r="AA1582" s="81" t="s">
        <v>876</v>
      </c>
      <c r="AB1582" s="81"/>
      <c r="AC1582" s="81"/>
      <c r="AD1582" s="81"/>
      <c r="AE1582" s="83"/>
      <c r="AF1582" s="81"/>
      <c r="AG1582" s="81"/>
      <c r="AH1582" s="81"/>
      <c r="AI1582" s="81"/>
      <c r="AJ1582" s="83"/>
      <c r="AK1582" s="81"/>
      <c r="AL1582" s="81"/>
      <c r="AM1582" s="83"/>
      <c r="AN1582" s="80"/>
      <c r="AO1582" s="82" t="n">
        <f aca="false">IF(E1582="","",(AA1582&lt;&gt;"")+(AG1582&lt;&gt;"")+(AL1582&lt;&gt;""))</f>
        <v>1</v>
      </c>
      <c r="AP1582" s="82" t="str">
        <f aca="false">IF(AL1582&lt;&gt;"",AL1582,IF(AG1582&lt;&gt;"",AG1582,IF(AA1582&lt;&gt;"",AA1582,"")))</f>
        <v>A</v>
      </c>
      <c r="AQ1582" s="84" t="str">
        <f aca="false">IF(E1582="","",IF(U1582="","À SOUDER",IF(X1582="","VT EN ATTENTE",IF(X1582="R","VT REJETÉ – À REPRENDRE",IF(AP1582="","À RADIOGRAPHIER",IF(AP1582="A","ACCEPTÉ",IF(AP1582="NX","NX – RT À REFAIRE",IF(IF(AO1582=1,AD1582,IF(AO1582=2,AI1582,""))="A","RÉPARÉ – À RADIOGRAPHIER",IF(IF(AO1582=1,AD1582,IF(AO1582=2,AI1582,""))="R","VT REJETÉ – À REPRENDRE",IF(OR(AP1582="CO",AP1582="NT"),"COUPE – À RESOUDER","À RÉPARER"))))))))))</f>
        <v>ACCEPTÉ</v>
      </c>
      <c r="AR1582" s="82" t="str">
        <f aca="false">IF(AND(ISNUMBER(U1582),OR(AQ1582="À RADIOGRAPHIER",AQ1582="RÉPARÉ – À RADIOGRAPHIER",AQ1582="NX – RT À REFAIRE",AQ1582="À RÉPARER",AQ1582="COUPE – À RESOUDER",AQ1582="VT REJETÉ – À REPRENDRE")),MAX(0,'PROGRAMME RT'!$C$4-U1582),"")</f>
        <v/>
      </c>
      <c r="AS1582" s="82" t="n">
        <f aca="false">IF(AND(OR(AQ1582="À RADIOGRAPHIER",AQ1582="RÉPARÉ – À RADIOGRAPHIER",AQ1582="NX – RT À REFAIRE"),OR('PROGRAMME RT'!$D$5="TOUTES",B1582='PROGRAMME RT'!$D$5)),1,0)</f>
        <v>0</v>
      </c>
      <c r="AT1582" s="82" t="str">
        <f aca="false">IF(AS1582=1,SUM(AS$7:AS1582),"")</f>
        <v/>
      </c>
      <c r="AU1582" s="82" t="n">
        <f aca="false">IF(AND(OR(AA1582="R",AA1582="NX",AA1582="NT",AA1582="CO"),OR('JOINTS DE RÉPARATION'!$D$5="TOUTES",B1582='JOINTS DE RÉPARATION'!$D$5),OR('JOINTS DE RÉPARATION'!$L$4="TOUS",AQ1582&lt;&gt;"ACCEPTÉ")),1,0)</f>
        <v>0</v>
      </c>
      <c r="AV1582" s="82" t="str">
        <f aca="false">IF(AU1582=1,SUM(AU$7:AU1582),"")</f>
        <v/>
      </c>
      <c r="AW1582" s="82" t="str">
        <f aca="false">IF(E1582="","",B1582&amp;"|"&amp;E1582)</f>
        <v>MFD-ISW → MFD-CPF|DJ°234</v>
      </c>
    </row>
    <row r="1583" customFormat="false" ht="74.6" hidden="false" customHeight="false" outlineLevel="0" collapsed="false">
      <c r="A1583" s="79" t="n">
        <f aca="false">IF(E1583="","",ROW()-6)</f>
        <v>1577</v>
      </c>
      <c r="B1583" s="80" t="s">
        <v>110</v>
      </c>
      <c r="C1583" s="81" t="s">
        <v>1842</v>
      </c>
      <c r="D1583" s="81" t="n">
        <v>13</v>
      </c>
      <c r="E1583" s="81" t="s">
        <v>1905</v>
      </c>
      <c r="F1583" s="82" t="str">
        <f aca="false">IF(E1583="","",IF(LEFT(E1583,2)="DJ","DJ","JN"))</f>
        <v>JN</v>
      </c>
      <c r="G1583" s="81" t="s">
        <v>1504</v>
      </c>
      <c r="H1583" s="81" t="s">
        <v>871</v>
      </c>
      <c r="I1583" s="81" t="n">
        <v>9.53</v>
      </c>
      <c r="J1583" s="81" t="s">
        <v>872</v>
      </c>
      <c r="K1583" s="81" t="s">
        <v>1861</v>
      </c>
      <c r="L1583" s="81" t="n">
        <v>2081510</v>
      </c>
      <c r="M1583" s="81" t="n">
        <v>15421105</v>
      </c>
      <c r="N1583" s="81" t="n">
        <v>11.94</v>
      </c>
      <c r="O1583" s="81" t="n">
        <v>2082220</v>
      </c>
      <c r="P1583" s="81" t="n">
        <v>15421104</v>
      </c>
      <c r="Q1583" s="81" t="n">
        <v>11.94</v>
      </c>
      <c r="R1583" s="81" t="s">
        <v>1884</v>
      </c>
      <c r="S1583" s="81"/>
      <c r="T1583" s="81"/>
      <c r="U1583" s="83" t="n">
        <v>46291</v>
      </c>
      <c r="V1583" s="83" t="n">
        <v>46291</v>
      </c>
      <c r="W1583" s="81" t="s">
        <v>1878</v>
      </c>
      <c r="X1583" s="81" t="s">
        <v>876</v>
      </c>
      <c r="Y1583" s="83"/>
      <c r="Z1583" s="81"/>
      <c r="AA1583" s="81"/>
      <c r="AB1583" s="81" t="s">
        <v>1906</v>
      </c>
      <c r="AC1583" s="81"/>
      <c r="AD1583" s="81"/>
      <c r="AE1583" s="83"/>
      <c r="AF1583" s="81"/>
      <c r="AG1583" s="81"/>
      <c r="AH1583" s="81"/>
      <c r="AI1583" s="81"/>
      <c r="AJ1583" s="83"/>
      <c r="AK1583" s="81"/>
      <c r="AL1583" s="81"/>
      <c r="AM1583" s="83"/>
      <c r="AN1583" s="80"/>
      <c r="AO1583" s="82" t="n">
        <f aca="false">IF(E1583="","",(AA1583&lt;&gt;"")+(AG1583&lt;&gt;"")+(AL1583&lt;&gt;""))</f>
        <v>0</v>
      </c>
      <c r="AP1583" s="82" t="str">
        <f aca="false">IF(AL1583&lt;&gt;"",AL1583,IF(AG1583&lt;&gt;"",AG1583,IF(AA1583&lt;&gt;"",AA1583,"")))</f>
        <v/>
      </c>
      <c r="AQ1583" s="84" t="str">
        <f aca="false">IF(E1583="","",IF(U1583="","À SOUDER",IF(X1583="","VT EN ATTENTE",IF(X1583="R","VT REJETÉ – À REPRENDRE",IF(AP1583="","À RADIOGRAPHIER",IF(AP1583="A","ACCEPTÉ",IF(AP1583="NX","NX – RT À REFAIRE",IF(IF(AO1583=1,AD1583,IF(AO1583=2,AI1583,""))="A","RÉPARÉ – À RADIOGRAPHIER",IF(IF(AO1583=1,AD1583,IF(AO1583=2,AI1583,""))="R","VT REJETÉ – À REPRENDRE",IF(OR(AP1583="CO",AP1583="NT"),"COUPE – À RESOUDER","À RÉPARER"))))))))))</f>
        <v>À RADIOGRAPHIER</v>
      </c>
      <c r="AR1583" s="82" t="n">
        <f aca="false">IF(AND(ISNUMBER(U1583),OR(AQ1583="À RADIOGRAPHIER",AQ1583="RÉPARÉ – À RADIOGRAPHIER",AQ1583="NX – RT À REFAIRE",AQ1583="À RÉPARER",AQ1583="COUPE – À RESOUDER",AQ1583="VT REJETÉ – À REPRENDRE")),MAX(0,'PROGRAMME RT'!$C$4-U1583),"")</f>
        <v>2</v>
      </c>
      <c r="AS1583" s="82" t="n">
        <f aca="false">IF(AND(OR(AQ1583="À RADIOGRAPHIER",AQ1583="RÉPARÉ – À RADIOGRAPHIER",AQ1583="NX – RT À REFAIRE"),OR('PROGRAMME RT'!$D$5="TOUTES",B1583='PROGRAMME RT'!$D$5)),1,0)</f>
        <v>1</v>
      </c>
      <c r="AT1583" s="82" t="n">
        <f aca="false">IF(AS1583=1,SUM(AS$7:AS1583),"")</f>
        <v>79</v>
      </c>
      <c r="AU1583" s="82" t="n">
        <f aca="false">IF(AND(OR(AA1583="R",AA1583="NX",AA1583="NT",AA1583="CO"),OR('JOINTS DE RÉPARATION'!$D$5="TOUTES",B1583='JOINTS DE RÉPARATION'!$D$5),OR('JOINTS DE RÉPARATION'!$L$4="TOUS",AQ1583&lt;&gt;"ACCEPTÉ")),1,0)</f>
        <v>0</v>
      </c>
      <c r="AV1583" s="82" t="str">
        <f aca="false">IF(AU1583=1,SUM(AU$7:AU1583),"")</f>
        <v/>
      </c>
      <c r="AW1583" s="82" t="str">
        <f aca="false">IF(E1583="","",B1583&amp;"|"&amp;E1583)</f>
        <v>MFD-ISW → MFD-CPF|JN°1297R</v>
      </c>
    </row>
    <row r="1584" customFormat="false" ht="74.6" hidden="false" customHeight="false" outlineLevel="0" collapsed="false">
      <c r="A1584" s="79" t="n">
        <f aca="false">IF(E1584="","",ROW()-6)</f>
        <v>1578</v>
      </c>
      <c r="B1584" s="80" t="s">
        <v>110</v>
      </c>
      <c r="C1584" s="81" t="s">
        <v>1842</v>
      </c>
      <c r="D1584" s="81" t="n">
        <v>13</v>
      </c>
      <c r="E1584" s="81" t="s">
        <v>1907</v>
      </c>
      <c r="F1584" s="82" t="str">
        <f aca="false">IF(E1584="","",IF(LEFT(E1584,2)="DJ","DJ","JN"))</f>
        <v>DJ</v>
      </c>
      <c r="G1584" s="81"/>
      <c r="H1584" s="81" t="s">
        <v>871</v>
      </c>
      <c r="I1584" s="81" t="n">
        <v>9.53</v>
      </c>
      <c r="J1584" s="81" t="s">
        <v>872</v>
      </c>
      <c r="K1584" s="81" t="s">
        <v>873</v>
      </c>
      <c r="L1584" s="81" t="n">
        <v>2082220</v>
      </c>
      <c r="M1584" s="81" t="n">
        <v>15421104</v>
      </c>
      <c r="N1584" s="81" t="n">
        <v>11.94</v>
      </c>
      <c r="O1584" s="81" t="n">
        <v>2081620</v>
      </c>
      <c r="P1584" s="81" t="n">
        <v>15421109</v>
      </c>
      <c r="Q1584" s="81" t="n">
        <v>11.94</v>
      </c>
      <c r="R1584" s="81" t="s">
        <v>1147</v>
      </c>
      <c r="S1584" s="81"/>
      <c r="T1584" s="81"/>
      <c r="U1584" s="83" t="n">
        <v>46266</v>
      </c>
      <c r="V1584" s="83" t="n">
        <v>46266</v>
      </c>
      <c r="W1584" s="81" t="s">
        <v>1753</v>
      </c>
      <c r="X1584" s="81" t="s">
        <v>876</v>
      </c>
      <c r="Y1584" s="83" t="n">
        <v>46267</v>
      </c>
      <c r="Z1584" s="81" t="s">
        <v>1754</v>
      </c>
      <c r="AA1584" s="81" t="s">
        <v>876</v>
      </c>
      <c r="AB1584" s="81"/>
      <c r="AC1584" s="81"/>
      <c r="AD1584" s="81"/>
      <c r="AE1584" s="83"/>
      <c r="AF1584" s="81"/>
      <c r="AG1584" s="81"/>
      <c r="AH1584" s="81"/>
      <c r="AI1584" s="81"/>
      <c r="AJ1584" s="83"/>
      <c r="AK1584" s="81"/>
      <c r="AL1584" s="81"/>
      <c r="AM1584" s="83"/>
      <c r="AN1584" s="80"/>
      <c r="AO1584" s="82" t="n">
        <f aca="false">IF(E1584="","",(AA1584&lt;&gt;"")+(AG1584&lt;&gt;"")+(AL1584&lt;&gt;""))</f>
        <v>1</v>
      </c>
      <c r="AP1584" s="82" t="str">
        <f aca="false">IF(AL1584&lt;&gt;"",AL1584,IF(AG1584&lt;&gt;"",AG1584,IF(AA1584&lt;&gt;"",AA1584,"")))</f>
        <v>A</v>
      </c>
      <c r="AQ1584" s="84" t="str">
        <f aca="false">IF(E1584="","",IF(U1584="","À SOUDER",IF(X1584="","VT EN ATTENTE",IF(X1584="R","VT REJETÉ – À REPRENDRE",IF(AP1584="","À RADIOGRAPHIER",IF(AP1584="A","ACCEPTÉ",IF(AP1584="NX","NX – RT À REFAIRE",IF(IF(AO1584=1,AD1584,IF(AO1584=2,AI1584,""))="A","RÉPARÉ – À RADIOGRAPHIER",IF(IF(AO1584=1,AD1584,IF(AO1584=2,AI1584,""))="R","VT REJETÉ – À REPRENDRE",IF(OR(AP1584="CO",AP1584="NT"),"COUPE – À RESOUDER","À RÉPARER"))))))))))</f>
        <v>ACCEPTÉ</v>
      </c>
      <c r="AR1584" s="82" t="str">
        <f aca="false">IF(AND(ISNUMBER(U1584),OR(AQ1584="À RADIOGRAPHIER",AQ1584="RÉPARÉ – À RADIOGRAPHIER",AQ1584="NX – RT À REFAIRE",AQ1584="À RÉPARER",AQ1584="COUPE – À RESOUDER",AQ1584="VT REJETÉ – À REPRENDRE")),MAX(0,'PROGRAMME RT'!$C$4-U1584),"")</f>
        <v/>
      </c>
      <c r="AS1584" s="82" t="n">
        <f aca="false">IF(AND(OR(AQ1584="À RADIOGRAPHIER",AQ1584="RÉPARÉ – À RADIOGRAPHIER",AQ1584="NX – RT À REFAIRE"),OR('PROGRAMME RT'!$D$5="TOUTES",B1584='PROGRAMME RT'!$D$5)),1,0)</f>
        <v>0</v>
      </c>
      <c r="AT1584" s="82" t="str">
        <f aca="false">IF(AS1584=1,SUM(AS$7:AS1584),"")</f>
        <v/>
      </c>
      <c r="AU1584" s="82" t="n">
        <f aca="false">IF(AND(OR(AA1584="R",AA1584="NX",AA1584="NT",AA1584="CO"),OR('JOINTS DE RÉPARATION'!$D$5="TOUTES",B1584='JOINTS DE RÉPARATION'!$D$5),OR('JOINTS DE RÉPARATION'!$L$4="TOUS",AQ1584&lt;&gt;"ACCEPTÉ")),1,0)</f>
        <v>0</v>
      </c>
      <c r="AV1584" s="82" t="str">
        <f aca="false">IF(AU1584=1,SUM(AU$7:AU1584),"")</f>
        <v/>
      </c>
      <c r="AW1584" s="82" t="str">
        <f aca="false">IF(E1584="","",B1584&amp;"|"&amp;E1584)</f>
        <v>MFD-ISW → MFD-CPF|DJ°230</v>
      </c>
    </row>
    <row r="1585" customFormat="false" ht="74.6" hidden="false" customHeight="false" outlineLevel="0" collapsed="false">
      <c r="A1585" s="79" t="n">
        <f aca="false">IF(E1585="","",ROW()-6)</f>
        <v>1579</v>
      </c>
      <c r="B1585" s="80" t="s">
        <v>110</v>
      </c>
      <c r="C1585" s="81" t="s">
        <v>1842</v>
      </c>
      <c r="D1585" s="81" t="n">
        <v>13</v>
      </c>
      <c r="E1585" s="81" t="s">
        <v>1908</v>
      </c>
      <c r="F1585" s="82" t="str">
        <f aca="false">IF(E1585="","",IF(LEFT(E1585,2)="DJ","DJ","JN"))</f>
        <v>JN</v>
      </c>
      <c r="G1585" s="81" t="s">
        <v>1504</v>
      </c>
      <c r="H1585" s="81" t="s">
        <v>871</v>
      </c>
      <c r="I1585" s="81" t="n">
        <v>9.53</v>
      </c>
      <c r="J1585" s="81" t="s">
        <v>872</v>
      </c>
      <c r="K1585" s="81" t="s">
        <v>1861</v>
      </c>
      <c r="L1585" s="81" t="n">
        <v>2081620</v>
      </c>
      <c r="M1585" s="81" t="n">
        <v>15421109</v>
      </c>
      <c r="N1585" s="81" t="n">
        <v>11.94</v>
      </c>
      <c r="O1585" s="81" t="n">
        <v>2095890</v>
      </c>
      <c r="P1585" s="81" t="n">
        <v>15421111</v>
      </c>
      <c r="Q1585" s="81" t="n">
        <v>11.94</v>
      </c>
      <c r="R1585" s="81" t="s">
        <v>1862</v>
      </c>
      <c r="S1585" s="81"/>
      <c r="T1585" s="81"/>
      <c r="U1585" s="83" t="n">
        <v>46291</v>
      </c>
      <c r="V1585" s="83" t="n">
        <v>46291</v>
      </c>
      <c r="W1585" s="81" t="s">
        <v>1878</v>
      </c>
      <c r="X1585" s="81" t="s">
        <v>876</v>
      </c>
      <c r="Y1585" s="83"/>
      <c r="Z1585" s="81"/>
      <c r="AA1585" s="81"/>
      <c r="AB1585" s="81" t="s">
        <v>1909</v>
      </c>
      <c r="AC1585" s="81"/>
      <c r="AD1585" s="81"/>
      <c r="AE1585" s="83"/>
      <c r="AF1585" s="81"/>
      <c r="AG1585" s="81"/>
      <c r="AH1585" s="81"/>
      <c r="AI1585" s="81"/>
      <c r="AJ1585" s="83"/>
      <c r="AK1585" s="81"/>
      <c r="AL1585" s="81"/>
      <c r="AM1585" s="83"/>
      <c r="AN1585" s="80"/>
      <c r="AO1585" s="82" t="n">
        <f aca="false">IF(E1585="","",(AA1585&lt;&gt;"")+(AG1585&lt;&gt;"")+(AL1585&lt;&gt;""))</f>
        <v>0</v>
      </c>
      <c r="AP1585" s="82" t="str">
        <f aca="false">IF(AL1585&lt;&gt;"",AL1585,IF(AG1585&lt;&gt;"",AG1585,IF(AA1585&lt;&gt;"",AA1585,"")))</f>
        <v/>
      </c>
      <c r="AQ1585" s="84" t="str">
        <f aca="false">IF(E1585="","",IF(U1585="","À SOUDER",IF(X1585="","VT EN ATTENTE",IF(X1585="R","VT REJETÉ – À REPRENDRE",IF(AP1585="","À RADIOGRAPHIER",IF(AP1585="A","ACCEPTÉ",IF(AP1585="NX","NX – RT À REFAIRE",IF(IF(AO1585=1,AD1585,IF(AO1585=2,AI1585,""))="A","RÉPARÉ – À RADIOGRAPHIER",IF(IF(AO1585=1,AD1585,IF(AO1585=2,AI1585,""))="R","VT REJETÉ – À REPRENDRE",IF(OR(AP1585="CO",AP1585="NT"),"COUPE – À RESOUDER","À RÉPARER"))))))))))</f>
        <v>À RADIOGRAPHIER</v>
      </c>
      <c r="AR1585" s="82" t="n">
        <f aca="false">IF(AND(ISNUMBER(U1585),OR(AQ1585="À RADIOGRAPHIER",AQ1585="RÉPARÉ – À RADIOGRAPHIER",AQ1585="NX – RT À REFAIRE",AQ1585="À RÉPARER",AQ1585="COUPE – À RESOUDER",AQ1585="VT REJETÉ – À REPRENDRE")),MAX(0,'PROGRAMME RT'!$C$4-U1585),"")</f>
        <v>2</v>
      </c>
      <c r="AS1585" s="82" t="n">
        <f aca="false">IF(AND(OR(AQ1585="À RADIOGRAPHIER",AQ1585="RÉPARÉ – À RADIOGRAPHIER",AQ1585="NX – RT À REFAIRE"),OR('PROGRAMME RT'!$D$5="TOUTES",B1585='PROGRAMME RT'!$D$5)),1,0)</f>
        <v>1</v>
      </c>
      <c r="AT1585" s="82" t="n">
        <f aca="false">IF(AS1585=1,SUM(AS$7:AS1585),"")</f>
        <v>80</v>
      </c>
      <c r="AU1585" s="82" t="n">
        <f aca="false">IF(AND(OR(AA1585="R",AA1585="NX",AA1585="NT",AA1585="CO"),OR('JOINTS DE RÉPARATION'!$D$5="TOUTES",B1585='JOINTS DE RÉPARATION'!$D$5),OR('JOINTS DE RÉPARATION'!$L$4="TOUS",AQ1585&lt;&gt;"ACCEPTÉ")),1,0)</f>
        <v>0</v>
      </c>
      <c r="AV1585" s="82" t="str">
        <f aca="false">IF(AU1585=1,SUM(AU$7:AU1585),"")</f>
        <v/>
      </c>
      <c r="AW1585" s="82" t="str">
        <f aca="false">IF(E1585="","",B1585&amp;"|"&amp;E1585)</f>
        <v>MFD-ISW → MFD-CPF|JN°1298R</v>
      </c>
    </row>
    <row r="1586" customFormat="false" ht="74.6" hidden="false" customHeight="false" outlineLevel="0" collapsed="false">
      <c r="A1586" s="79" t="n">
        <f aca="false">IF(E1586="","",ROW()-6)</f>
        <v>1580</v>
      </c>
      <c r="B1586" s="80" t="s">
        <v>110</v>
      </c>
      <c r="C1586" s="81" t="s">
        <v>1842</v>
      </c>
      <c r="D1586" s="81" t="n">
        <v>13</v>
      </c>
      <c r="E1586" s="81" t="s">
        <v>1910</v>
      </c>
      <c r="F1586" s="82" t="str">
        <f aca="false">IF(E1586="","",IF(LEFT(E1586,2)="DJ","DJ","JN"))</f>
        <v>DJ</v>
      </c>
      <c r="G1586" s="81"/>
      <c r="H1586" s="81" t="s">
        <v>871</v>
      </c>
      <c r="I1586" s="81" t="n">
        <v>9.53</v>
      </c>
      <c r="J1586" s="81" t="s">
        <v>872</v>
      </c>
      <c r="K1586" s="81" t="s">
        <v>873</v>
      </c>
      <c r="L1586" s="81" t="n">
        <v>2095890</v>
      </c>
      <c r="M1586" s="81" t="n">
        <v>15421111</v>
      </c>
      <c r="N1586" s="81" t="n">
        <v>11.94</v>
      </c>
      <c r="O1586" s="81" t="n">
        <v>2097810</v>
      </c>
      <c r="P1586" s="81" t="n">
        <v>15421112</v>
      </c>
      <c r="Q1586" s="81" t="n">
        <v>11.94</v>
      </c>
      <c r="R1586" s="81" t="s">
        <v>1135</v>
      </c>
      <c r="S1586" s="81"/>
      <c r="T1586" s="81"/>
      <c r="U1586" s="83" t="n">
        <v>46265</v>
      </c>
      <c r="V1586" s="83" t="n">
        <v>46265</v>
      </c>
      <c r="W1586" s="81" t="s">
        <v>1891</v>
      </c>
      <c r="X1586" s="81" t="s">
        <v>876</v>
      </c>
      <c r="Y1586" s="83" t="n">
        <v>46266</v>
      </c>
      <c r="Z1586" s="81" t="s">
        <v>1911</v>
      </c>
      <c r="AA1586" s="81" t="s">
        <v>876</v>
      </c>
      <c r="AB1586" s="81"/>
      <c r="AC1586" s="81"/>
      <c r="AD1586" s="81"/>
      <c r="AE1586" s="83"/>
      <c r="AF1586" s="81"/>
      <c r="AG1586" s="81"/>
      <c r="AH1586" s="81"/>
      <c r="AI1586" s="81"/>
      <c r="AJ1586" s="83"/>
      <c r="AK1586" s="81"/>
      <c r="AL1586" s="81"/>
      <c r="AM1586" s="83"/>
      <c r="AN1586" s="80"/>
      <c r="AO1586" s="82" t="n">
        <f aca="false">IF(E1586="","",(AA1586&lt;&gt;"")+(AG1586&lt;&gt;"")+(AL1586&lt;&gt;""))</f>
        <v>1</v>
      </c>
      <c r="AP1586" s="82" t="str">
        <f aca="false">IF(AL1586&lt;&gt;"",AL1586,IF(AG1586&lt;&gt;"",AG1586,IF(AA1586&lt;&gt;"",AA1586,"")))</f>
        <v>A</v>
      </c>
      <c r="AQ1586" s="84" t="str">
        <f aca="false">IF(E1586="","",IF(U1586="","À SOUDER",IF(X1586="","VT EN ATTENTE",IF(X1586="R","VT REJETÉ – À REPRENDRE",IF(AP1586="","À RADIOGRAPHIER",IF(AP1586="A","ACCEPTÉ",IF(AP1586="NX","NX – RT À REFAIRE",IF(IF(AO1586=1,AD1586,IF(AO1586=2,AI1586,""))="A","RÉPARÉ – À RADIOGRAPHIER",IF(IF(AO1586=1,AD1586,IF(AO1586=2,AI1586,""))="R","VT REJETÉ – À REPRENDRE",IF(OR(AP1586="CO",AP1586="NT"),"COUPE – À RESOUDER","À RÉPARER"))))))))))</f>
        <v>ACCEPTÉ</v>
      </c>
      <c r="AR1586" s="82" t="str">
        <f aca="false">IF(AND(ISNUMBER(U1586),OR(AQ1586="À RADIOGRAPHIER",AQ1586="RÉPARÉ – À RADIOGRAPHIER",AQ1586="NX – RT À REFAIRE",AQ1586="À RÉPARER",AQ1586="COUPE – À RESOUDER",AQ1586="VT REJETÉ – À REPRENDRE")),MAX(0,'PROGRAMME RT'!$C$4-U1586),"")</f>
        <v/>
      </c>
      <c r="AS1586" s="82" t="n">
        <f aca="false">IF(AND(OR(AQ1586="À RADIOGRAPHIER",AQ1586="RÉPARÉ – À RADIOGRAPHIER",AQ1586="NX – RT À REFAIRE"),OR('PROGRAMME RT'!$D$5="TOUTES",B1586='PROGRAMME RT'!$D$5)),1,0)</f>
        <v>0</v>
      </c>
      <c r="AT1586" s="82" t="str">
        <f aca="false">IF(AS1586=1,SUM(AS$7:AS1586),"")</f>
        <v/>
      </c>
      <c r="AU1586" s="82" t="n">
        <f aca="false">IF(AND(OR(AA1586="R",AA1586="NX",AA1586="NT",AA1586="CO"),OR('JOINTS DE RÉPARATION'!$D$5="TOUTES",B1586='JOINTS DE RÉPARATION'!$D$5),OR('JOINTS DE RÉPARATION'!$L$4="TOUS",AQ1586&lt;&gt;"ACCEPTÉ")),1,0)</f>
        <v>0</v>
      </c>
      <c r="AV1586" s="82" t="str">
        <f aca="false">IF(AU1586=1,SUM(AU$7:AU1586),"")</f>
        <v/>
      </c>
      <c r="AW1586" s="82" t="str">
        <f aca="false">IF(E1586="","",B1586&amp;"|"&amp;E1586)</f>
        <v>MFD-ISW → MFD-CPF|DJ°215</v>
      </c>
    </row>
    <row r="1587" customFormat="false" ht="74.6" hidden="false" customHeight="false" outlineLevel="0" collapsed="false">
      <c r="A1587" s="79" t="n">
        <f aca="false">IF(E1587="","",ROW()-6)</f>
        <v>1581</v>
      </c>
      <c r="B1587" s="80" t="s">
        <v>110</v>
      </c>
      <c r="C1587" s="81" t="s">
        <v>1842</v>
      </c>
      <c r="D1587" s="81" t="n">
        <v>13</v>
      </c>
      <c r="E1587" s="81" t="s">
        <v>1912</v>
      </c>
      <c r="F1587" s="82" t="str">
        <f aca="false">IF(E1587="","",IF(LEFT(E1587,2)="DJ","DJ","JN"))</f>
        <v>JN</v>
      </c>
      <c r="G1587" s="81" t="s">
        <v>1504</v>
      </c>
      <c r="H1587" s="81" t="s">
        <v>871</v>
      </c>
      <c r="I1587" s="81" t="n">
        <v>9.53</v>
      </c>
      <c r="J1587" s="81" t="s">
        <v>872</v>
      </c>
      <c r="K1587" s="81" t="s">
        <v>879</v>
      </c>
      <c r="L1587" s="81" t="n">
        <v>2097810</v>
      </c>
      <c r="M1587" s="81" t="n">
        <v>15421112</v>
      </c>
      <c r="N1587" s="81" t="n">
        <v>11.94</v>
      </c>
      <c r="O1587" s="81" t="n">
        <v>2092660</v>
      </c>
      <c r="P1587" s="81" t="n">
        <v>15421110</v>
      </c>
      <c r="Q1587" s="81" t="n">
        <v>11.94</v>
      </c>
      <c r="R1587" s="81" t="s">
        <v>1795</v>
      </c>
      <c r="S1587" s="81"/>
      <c r="T1587" s="81"/>
      <c r="U1587" s="83" t="n">
        <v>46275</v>
      </c>
      <c r="V1587" s="83" t="n">
        <v>46275</v>
      </c>
      <c r="W1587" s="81" t="s">
        <v>1875</v>
      </c>
      <c r="X1587" s="81" t="s">
        <v>876</v>
      </c>
      <c r="Y1587" s="83" t="n">
        <v>46280</v>
      </c>
      <c r="Z1587" s="81" t="s">
        <v>1903</v>
      </c>
      <c r="AA1587" s="81" t="s">
        <v>876</v>
      </c>
      <c r="AB1587" s="81"/>
      <c r="AC1587" s="81"/>
      <c r="AD1587" s="81"/>
      <c r="AE1587" s="83"/>
      <c r="AF1587" s="81"/>
      <c r="AG1587" s="81"/>
      <c r="AH1587" s="81"/>
      <c r="AI1587" s="81"/>
      <c r="AJ1587" s="83"/>
      <c r="AK1587" s="81"/>
      <c r="AL1587" s="81"/>
      <c r="AM1587" s="83"/>
      <c r="AN1587" s="80"/>
      <c r="AO1587" s="82" t="n">
        <f aca="false">IF(E1587="","",(AA1587&lt;&gt;"")+(AG1587&lt;&gt;"")+(AL1587&lt;&gt;""))</f>
        <v>1</v>
      </c>
      <c r="AP1587" s="82" t="str">
        <f aca="false">IF(AL1587&lt;&gt;"",AL1587,IF(AG1587&lt;&gt;"",AG1587,IF(AA1587&lt;&gt;"",AA1587,"")))</f>
        <v>A</v>
      </c>
      <c r="AQ1587" s="84" t="str">
        <f aca="false">IF(E1587="","",IF(U1587="","À SOUDER",IF(X1587="","VT EN ATTENTE",IF(X1587="R","VT REJETÉ – À REPRENDRE",IF(AP1587="","À RADIOGRAPHIER",IF(AP1587="A","ACCEPTÉ",IF(AP1587="NX","NX – RT À REFAIRE",IF(IF(AO1587=1,AD1587,IF(AO1587=2,AI1587,""))="A","RÉPARÉ – À RADIOGRAPHIER",IF(IF(AO1587=1,AD1587,IF(AO1587=2,AI1587,""))="R","VT REJETÉ – À REPRENDRE",IF(OR(AP1587="CO",AP1587="NT"),"COUPE – À RESOUDER","À RÉPARER"))))))))))</f>
        <v>ACCEPTÉ</v>
      </c>
      <c r="AR1587" s="82" t="str">
        <f aca="false">IF(AND(ISNUMBER(U1587),OR(AQ1587="À RADIOGRAPHIER",AQ1587="RÉPARÉ – À RADIOGRAPHIER",AQ1587="NX – RT À REFAIRE",AQ1587="À RÉPARER",AQ1587="COUPE – À RESOUDER",AQ1587="VT REJETÉ – À REPRENDRE")),MAX(0,'PROGRAMME RT'!$C$4-U1587),"")</f>
        <v/>
      </c>
      <c r="AS1587" s="82" t="n">
        <f aca="false">IF(AND(OR(AQ1587="À RADIOGRAPHIER",AQ1587="RÉPARÉ – À RADIOGRAPHIER",AQ1587="NX – RT À REFAIRE"),OR('PROGRAMME RT'!$D$5="TOUTES",B1587='PROGRAMME RT'!$D$5)),1,0)</f>
        <v>0</v>
      </c>
      <c r="AT1587" s="82" t="str">
        <f aca="false">IF(AS1587=1,SUM(AS$7:AS1587),"")</f>
        <v/>
      </c>
      <c r="AU1587" s="82" t="n">
        <f aca="false">IF(AND(OR(AA1587="R",AA1587="NX",AA1587="NT",AA1587="CO"),OR('JOINTS DE RÉPARATION'!$D$5="TOUTES",B1587='JOINTS DE RÉPARATION'!$D$5),OR('JOINTS DE RÉPARATION'!$L$4="TOUS",AQ1587&lt;&gt;"ACCEPTÉ")),1,0)</f>
        <v>0</v>
      </c>
      <c r="AV1587" s="82" t="str">
        <f aca="false">IF(AU1587=1,SUM(AU$7:AU1587),"")</f>
        <v/>
      </c>
      <c r="AW1587" s="82" t="str">
        <f aca="false">IF(E1587="","",B1587&amp;"|"&amp;E1587)</f>
        <v>MFD-ISW → MFD-CPF|JN°1299</v>
      </c>
    </row>
    <row r="1588" customFormat="false" ht="74.6" hidden="false" customHeight="false" outlineLevel="0" collapsed="false">
      <c r="A1588" s="79" t="n">
        <f aca="false">IF(E1588="","",ROW()-6)</f>
        <v>1582</v>
      </c>
      <c r="B1588" s="80" t="s">
        <v>110</v>
      </c>
      <c r="C1588" s="81" t="s">
        <v>1842</v>
      </c>
      <c r="D1588" s="81" t="n">
        <v>13</v>
      </c>
      <c r="E1588" s="81" t="s">
        <v>1913</v>
      </c>
      <c r="F1588" s="82" t="str">
        <f aca="false">IF(E1588="","",IF(LEFT(E1588,2)="DJ","DJ","JN"))</f>
        <v>DJ</v>
      </c>
      <c r="G1588" s="81"/>
      <c r="H1588" s="81" t="s">
        <v>871</v>
      </c>
      <c r="I1588" s="81" t="n">
        <v>9.53</v>
      </c>
      <c r="J1588" s="81" t="s">
        <v>872</v>
      </c>
      <c r="K1588" s="81" t="s">
        <v>873</v>
      </c>
      <c r="L1588" s="81" t="n">
        <v>2092660</v>
      </c>
      <c r="M1588" s="81" t="n">
        <v>15421110</v>
      </c>
      <c r="N1588" s="81" t="n">
        <v>11.94</v>
      </c>
      <c r="O1588" s="81" t="n">
        <v>2090110</v>
      </c>
      <c r="P1588" s="81" t="n">
        <v>15421109</v>
      </c>
      <c r="Q1588" s="81" t="n">
        <v>11.94</v>
      </c>
      <c r="R1588" s="81" t="s">
        <v>1517</v>
      </c>
      <c r="S1588" s="81"/>
      <c r="T1588" s="81"/>
      <c r="U1588" s="83" t="n">
        <v>46266</v>
      </c>
      <c r="V1588" s="83" t="n">
        <v>46266</v>
      </c>
      <c r="W1588" s="81" t="s">
        <v>1753</v>
      </c>
      <c r="X1588" s="81" t="s">
        <v>876</v>
      </c>
      <c r="Y1588" s="83" t="n">
        <v>46267</v>
      </c>
      <c r="Z1588" s="81" t="s">
        <v>1754</v>
      </c>
      <c r="AA1588" s="81" t="s">
        <v>876</v>
      </c>
      <c r="AB1588" s="81"/>
      <c r="AC1588" s="81"/>
      <c r="AD1588" s="81"/>
      <c r="AE1588" s="83"/>
      <c r="AF1588" s="81"/>
      <c r="AG1588" s="81"/>
      <c r="AH1588" s="81"/>
      <c r="AI1588" s="81"/>
      <c r="AJ1588" s="83"/>
      <c r="AK1588" s="81"/>
      <c r="AL1588" s="81"/>
      <c r="AM1588" s="83"/>
      <c r="AN1588" s="80"/>
      <c r="AO1588" s="82" t="n">
        <f aca="false">IF(E1588="","",(AA1588&lt;&gt;"")+(AG1588&lt;&gt;"")+(AL1588&lt;&gt;""))</f>
        <v>1</v>
      </c>
      <c r="AP1588" s="82" t="str">
        <f aca="false">IF(AL1588&lt;&gt;"",AL1588,IF(AG1588&lt;&gt;"",AG1588,IF(AA1588&lt;&gt;"",AA1588,"")))</f>
        <v>A</v>
      </c>
      <c r="AQ1588" s="84" t="str">
        <f aca="false">IF(E1588="","",IF(U1588="","À SOUDER",IF(X1588="","VT EN ATTENTE",IF(X1588="R","VT REJETÉ – À REPRENDRE",IF(AP1588="","À RADIOGRAPHIER",IF(AP1588="A","ACCEPTÉ",IF(AP1588="NX","NX – RT À REFAIRE",IF(IF(AO1588=1,AD1588,IF(AO1588=2,AI1588,""))="A","RÉPARÉ – À RADIOGRAPHIER",IF(IF(AO1588=1,AD1588,IF(AO1588=2,AI1588,""))="R","VT REJETÉ – À REPRENDRE",IF(OR(AP1588="CO",AP1588="NT"),"COUPE – À RESOUDER","À RÉPARER"))))))))))</f>
        <v>ACCEPTÉ</v>
      </c>
      <c r="AR1588" s="82" t="str">
        <f aca="false">IF(AND(ISNUMBER(U1588),OR(AQ1588="À RADIOGRAPHIER",AQ1588="RÉPARÉ – À RADIOGRAPHIER",AQ1588="NX – RT À REFAIRE",AQ1588="À RÉPARER",AQ1588="COUPE – À RESOUDER",AQ1588="VT REJETÉ – À REPRENDRE")),MAX(0,'PROGRAMME RT'!$C$4-U1588),"")</f>
        <v/>
      </c>
      <c r="AS1588" s="82" t="n">
        <f aca="false">IF(AND(OR(AQ1588="À RADIOGRAPHIER",AQ1588="RÉPARÉ – À RADIOGRAPHIER",AQ1588="NX – RT À REFAIRE"),OR('PROGRAMME RT'!$D$5="TOUTES",B1588='PROGRAMME RT'!$D$5)),1,0)</f>
        <v>0</v>
      </c>
      <c r="AT1588" s="82" t="str">
        <f aca="false">IF(AS1588=1,SUM(AS$7:AS1588),"")</f>
        <v/>
      </c>
      <c r="AU1588" s="82" t="n">
        <f aca="false">IF(AND(OR(AA1588="R",AA1588="NX",AA1588="NT",AA1588="CO"),OR('JOINTS DE RÉPARATION'!$D$5="TOUTES",B1588='JOINTS DE RÉPARATION'!$D$5),OR('JOINTS DE RÉPARATION'!$L$4="TOUS",AQ1588&lt;&gt;"ACCEPTÉ")),1,0)</f>
        <v>0</v>
      </c>
      <c r="AV1588" s="82" t="str">
        <f aca="false">IF(AU1588=1,SUM(AU$7:AU1588),"")</f>
        <v/>
      </c>
      <c r="AW1588" s="82" t="str">
        <f aca="false">IF(E1588="","",B1588&amp;"|"&amp;E1588)</f>
        <v>MFD-ISW → MFD-CPF|DJ°229</v>
      </c>
    </row>
    <row r="1589" customFormat="false" ht="74.6" hidden="false" customHeight="false" outlineLevel="0" collapsed="false">
      <c r="A1589" s="79" t="n">
        <f aca="false">IF(E1589="","",ROW()-6)</f>
        <v>1583</v>
      </c>
      <c r="B1589" s="80" t="s">
        <v>110</v>
      </c>
      <c r="C1589" s="81" t="s">
        <v>926</v>
      </c>
      <c r="D1589" s="81" t="n">
        <v>13</v>
      </c>
      <c r="E1589" s="81" t="s">
        <v>1914</v>
      </c>
      <c r="F1589" s="82" t="str">
        <f aca="false">IF(E1589="","",IF(LEFT(E1589,2)="DJ","DJ","JN"))</f>
        <v>JN</v>
      </c>
      <c r="G1589" s="81"/>
      <c r="H1589" s="81"/>
      <c r="I1589" s="81"/>
      <c r="J1589" s="81"/>
      <c r="K1589" s="81"/>
      <c r="L1589" s="81" t="n">
        <v>2090110</v>
      </c>
      <c r="M1589" s="81" t="n">
        <v>15421109</v>
      </c>
      <c r="N1589" s="81" t="n">
        <v>11.94</v>
      </c>
      <c r="O1589" s="81"/>
      <c r="P1589" s="81"/>
      <c r="Q1589" s="81"/>
      <c r="R1589" s="81"/>
      <c r="S1589" s="81"/>
      <c r="T1589" s="81"/>
      <c r="U1589" s="83"/>
      <c r="V1589" s="83"/>
      <c r="W1589" s="81"/>
      <c r="X1589" s="81"/>
      <c r="Y1589" s="83"/>
      <c r="Z1589" s="81"/>
      <c r="AA1589" s="81"/>
      <c r="AB1589" s="81"/>
      <c r="AC1589" s="81"/>
      <c r="AD1589" s="81"/>
      <c r="AE1589" s="83"/>
      <c r="AF1589" s="81"/>
      <c r="AG1589" s="81"/>
      <c r="AH1589" s="81"/>
      <c r="AI1589" s="81"/>
      <c r="AJ1589" s="83"/>
      <c r="AK1589" s="81"/>
      <c r="AL1589" s="81"/>
      <c r="AM1589" s="83"/>
      <c r="AN1589" s="80"/>
      <c r="AO1589" s="82" t="n">
        <f aca="false">IF(E1589="","",(AA1589&lt;&gt;"")+(AG1589&lt;&gt;"")+(AL1589&lt;&gt;""))</f>
        <v>0</v>
      </c>
      <c r="AP1589" s="82" t="str">
        <f aca="false">IF(AL1589&lt;&gt;"",AL1589,IF(AG1589&lt;&gt;"",AG1589,IF(AA1589&lt;&gt;"",AA1589,"")))</f>
        <v/>
      </c>
      <c r="AQ1589" s="84" t="str">
        <f aca="false">IF(E1589="","",IF(U1589="","À SOUDER",IF(X1589="","VT EN ATTENTE",IF(X1589="R","VT REJETÉ – À REPRENDRE",IF(AP1589="","À RADIOGRAPHIER",IF(AP1589="A","ACCEPTÉ",IF(AP1589="NX","NX – RT À REFAIRE",IF(IF(AO1589=1,AD1589,IF(AO1589=2,AI1589,""))="A","RÉPARÉ – À RADIOGRAPHIER",IF(IF(AO1589=1,AD1589,IF(AO1589=2,AI1589,""))="R","VT REJETÉ – À REPRENDRE",IF(OR(AP1589="CO",AP1589="NT"),"COUPE – À RESOUDER","À RÉPARER"))))))))))</f>
        <v>À SOUDER</v>
      </c>
      <c r="AR1589" s="82" t="str">
        <f aca="false">IF(AND(ISNUMBER(U1589),OR(AQ1589="À RADIOGRAPHIER",AQ1589="RÉPARÉ – À RADIOGRAPHIER",AQ1589="NX – RT À REFAIRE",AQ1589="À RÉPARER",AQ1589="COUPE – À RESOUDER",AQ1589="VT REJETÉ – À REPRENDRE")),MAX(0,'PROGRAMME RT'!$C$4-U1589),"")</f>
        <v/>
      </c>
      <c r="AS1589" s="82" t="n">
        <f aca="false">IF(AND(OR(AQ1589="À RADIOGRAPHIER",AQ1589="RÉPARÉ – À RADIOGRAPHIER",AQ1589="NX – RT À REFAIRE"),OR('PROGRAMME RT'!$D$5="TOUTES",B1589='PROGRAMME RT'!$D$5)),1,0)</f>
        <v>0</v>
      </c>
      <c r="AT1589" s="82" t="str">
        <f aca="false">IF(AS1589=1,SUM(AS$7:AS1589),"")</f>
        <v/>
      </c>
      <c r="AU1589" s="82" t="n">
        <f aca="false">IF(AND(OR(AA1589="R",AA1589="NX",AA1589="NT",AA1589="CO"),OR('JOINTS DE RÉPARATION'!$D$5="TOUTES",B1589='JOINTS DE RÉPARATION'!$D$5),OR('JOINTS DE RÉPARATION'!$L$4="TOUS",AQ1589&lt;&gt;"ACCEPTÉ")),1,0)</f>
        <v>0</v>
      </c>
      <c r="AV1589" s="82" t="str">
        <f aca="false">IF(AU1589=1,SUM(AU$7:AU1589),"")</f>
        <v/>
      </c>
      <c r="AW1589" s="82" t="str">
        <f aca="false">IF(E1589="","",B1589&amp;"|"&amp;E1589)</f>
        <v>MFD-ISW → MFD-CPF|JN°1300</v>
      </c>
    </row>
    <row r="1590" customFormat="false" ht="74.6" hidden="false" customHeight="false" outlineLevel="0" collapsed="false">
      <c r="A1590" s="79" t="n">
        <f aca="false">IF(E1590="","",ROW()-6)</f>
        <v>1584</v>
      </c>
      <c r="B1590" s="80" t="s">
        <v>110</v>
      </c>
      <c r="C1590" s="81" t="s">
        <v>926</v>
      </c>
      <c r="D1590" s="81" t="n">
        <v>13</v>
      </c>
      <c r="E1590" s="81" t="s">
        <v>1915</v>
      </c>
      <c r="F1590" s="82" t="str">
        <f aca="false">IF(E1590="","",IF(LEFT(E1590,2)="DJ","DJ","JN"))</f>
        <v>JN</v>
      </c>
      <c r="G1590" s="81"/>
      <c r="H1590" s="81"/>
      <c r="I1590" s="81"/>
      <c r="J1590" s="81"/>
      <c r="K1590" s="81"/>
      <c r="L1590" s="81" t="s">
        <v>1268</v>
      </c>
      <c r="M1590" s="81"/>
      <c r="N1590" s="81"/>
      <c r="O1590" s="81"/>
      <c r="P1590" s="81"/>
      <c r="Q1590" s="81"/>
      <c r="R1590" s="81"/>
      <c r="S1590" s="81"/>
      <c r="T1590" s="81"/>
      <c r="U1590" s="83"/>
      <c r="V1590" s="83"/>
      <c r="W1590" s="81"/>
      <c r="X1590" s="81"/>
      <c r="Y1590" s="83"/>
      <c r="Z1590" s="81"/>
      <c r="AA1590" s="81"/>
      <c r="AB1590" s="81"/>
      <c r="AC1590" s="81"/>
      <c r="AD1590" s="81"/>
      <c r="AE1590" s="83"/>
      <c r="AF1590" s="81"/>
      <c r="AG1590" s="81"/>
      <c r="AH1590" s="81"/>
      <c r="AI1590" s="81"/>
      <c r="AJ1590" s="83"/>
      <c r="AK1590" s="81"/>
      <c r="AL1590" s="81"/>
      <c r="AM1590" s="83"/>
      <c r="AN1590" s="80"/>
      <c r="AO1590" s="82" t="n">
        <f aca="false">IF(E1590="","",(AA1590&lt;&gt;"")+(AG1590&lt;&gt;"")+(AL1590&lt;&gt;""))</f>
        <v>0</v>
      </c>
      <c r="AP1590" s="82" t="str">
        <f aca="false">IF(AL1590&lt;&gt;"",AL1590,IF(AG1590&lt;&gt;"",AG1590,IF(AA1590&lt;&gt;"",AA1590,"")))</f>
        <v/>
      </c>
      <c r="AQ1590" s="84" t="str">
        <f aca="false">IF(E1590="","",IF(U1590="","À SOUDER",IF(X1590="","VT EN ATTENTE",IF(X1590="R","VT REJETÉ – À REPRENDRE",IF(AP1590="","À RADIOGRAPHIER",IF(AP1590="A","ACCEPTÉ",IF(AP1590="NX","NX – RT À REFAIRE",IF(IF(AO1590=1,AD1590,IF(AO1590=2,AI1590,""))="A","RÉPARÉ – À RADIOGRAPHIER",IF(IF(AO1590=1,AD1590,IF(AO1590=2,AI1590,""))="R","VT REJETÉ – À REPRENDRE",IF(OR(AP1590="CO",AP1590="NT"),"COUPE – À RESOUDER","À RÉPARER"))))))))))</f>
        <v>À SOUDER</v>
      </c>
      <c r="AR1590" s="82" t="str">
        <f aca="false">IF(AND(ISNUMBER(U1590),OR(AQ1590="À RADIOGRAPHIER",AQ1590="RÉPARÉ – À RADIOGRAPHIER",AQ1590="NX – RT À REFAIRE",AQ1590="À RÉPARER",AQ1590="COUPE – À RESOUDER",AQ1590="VT REJETÉ – À REPRENDRE")),MAX(0,'PROGRAMME RT'!$C$4-U1590),"")</f>
        <v/>
      </c>
      <c r="AS1590" s="82" t="n">
        <f aca="false">IF(AND(OR(AQ1590="À RADIOGRAPHIER",AQ1590="RÉPARÉ – À RADIOGRAPHIER",AQ1590="NX – RT À REFAIRE"),OR('PROGRAMME RT'!$D$5="TOUTES",B1590='PROGRAMME RT'!$D$5)),1,0)</f>
        <v>0</v>
      </c>
      <c r="AT1590" s="82" t="str">
        <f aca="false">IF(AS1590=1,SUM(AS$7:AS1590),"")</f>
        <v/>
      </c>
      <c r="AU1590" s="82" t="n">
        <f aca="false">IF(AND(OR(AA1590="R",AA1590="NX",AA1590="NT",AA1590="CO"),OR('JOINTS DE RÉPARATION'!$D$5="TOUTES",B1590='JOINTS DE RÉPARATION'!$D$5),OR('JOINTS DE RÉPARATION'!$L$4="TOUS",AQ1590&lt;&gt;"ACCEPTÉ")),1,0)</f>
        <v>0</v>
      </c>
      <c r="AV1590" s="82" t="str">
        <f aca="false">IF(AU1590=1,SUM(AU$7:AU1590),"")</f>
        <v/>
      </c>
      <c r="AW1590" s="82" t="str">
        <f aca="false">IF(E1590="","",B1590&amp;"|"&amp;E1590)</f>
        <v>MFD-ISW → MFD-CPF|JN°1301</v>
      </c>
    </row>
    <row r="1591" customFormat="false" ht="74.6" hidden="false" customHeight="false" outlineLevel="0" collapsed="false">
      <c r="A1591" s="79" t="n">
        <f aca="false">IF(E1591="","",ROW()-6)</f>
        <v>1585</v>
      </c>
      <c r="B1591" s="80" t="s">
        <v>110</v>
      </c>
      <c r="C1591" s="81" t="s">
        <v>926</v>
      </c>
      <c r="D1591" s="81" t="n">
        <v>13</v>
      </c>
      <c r="E1591" s="81" t="s">
        <v>1916</v>
      </c>
      <c r="F1591" s="82" t="str">
        <f aca="false">IF(E1591="","",IF(LEFT(E1591,2)="DJ","DJ","JN"))</f>
        <v>JN</v>
      </c>
      <c r="G1591" s="81"/>
      <c r="H1591" s="81"/>
      <c r="I1591" s="81"/>
      <c r="J1591" s="81"/>
      <c r="K1591" s="81"/>
      <c r="L1591" s="81" t="s">
        <v>1268</v>
      </c>
      <c r="M1591" s="81"/>
      <c r="N1591" s="81"/>
      <c r="O1591" s="81" t="n">
        <v>2095750</v>
      </c>
      <c r="P1591" s="81" t="n">
        <v>15421111</v>
      </c>
      <c r="Q1591" s="81" t="n">
        <v>11.94</v>
      </c>
      <c r="R1591" s="81"/>
      <c r="S1591" s="81"/>
      <c r="T1591" s="81"/>
      <c r="U1591" s="83"/>
      <c r="V1591" s="83"/>
      <c r="W1591" s="81"/>
      <c r="X1591" s="81"/>
      <c r="Y1591" s="83"/>
      <c r="Z1591" s="81"/>
      <c r="AA1591" s="81"/>
      <c r="AB1591" s="81"/>
      <c r="AC1591" s="81"/>
      <c r="AD1591" s="81"/>
      <c r="AE1591" s="83"/>
      <c r="AF1591" s="81"/>
      <c r="AG1591" s="81"/>
      <c r="AH1591" s="81"/>
      <c r="AI1591" s="81"/>
      <c r="AJ1591" s="83"/>
      <c r="AK1591" s="81"/>
      <c r="AL1591" s="81"/>
      <c r="AM1591" s="83"/>
      <c r="AN1591" s="80"/>
      <c r="AO1591" s="82" t="n">
        <f aca="false">IF(E1591="","",(AA1591&lt;&gt;"")+(AG1591&lt;&gt;"")+(AL1591&lt;&gt;""))</f>
        <v>0</v>
      </c>
      <c r="AP1591" s="82" t="str">
        <f aca="false">IF(AL1591&lt;&gt;"",AL1591,IF(AG1591&lt;&gt;"",AG1591,IF(AA1591&lt;&gt;"",AA1591,"")))</f>
        <v/>
      </c>
      <c r="AQ1591" s="84" t="str">
        <f aca="false">IF(E1591="","",IF(U1591="","À SOUDER",IF(X1591="","VT EN ATTENTE",IF(X1591="R","VT REJETÉ – À REPRENDRE",IF(AP1591="","À RADIOGRAPHIER",IF(AP1591="A","ACCEPTÉ",IF(AP1591="NX","NX – RT À REFAIRE",IF(IF(AO1591=1,AD1591,IF(AO1591=2,AI1591,""))="A","RÉPARÉ – À RADIOGRAPHIER",IF(IF(AO1591=1,AD1591,IF(AO1591=2,AI1591,""))="R","VT REJETÉ – À REPRENDRE",IF(OR(AP1591="CO",AP1591="NT"),"COUPE – À RESOUDER","À RÉPARER"))))))))))</f>
        <v>À SOUDER</v>
      </c>
      <c r="AR1591" s="82" t="str">
        <f aca="false">IF(AND(ISNUMBER(U1591),OR(AQ1591="À RADIOGRAPHIER",AQ1591="RÉPARÉ – À RADIOGRAPHIER",AQ1591="NX – RT À REFAIRE",AQ1591="À RÉPARER",AQ1591="COUPE – À RESOUDER",AQ1591="VT REJETÉ – À REPRENDRE")),MAX(0,'PROGRAMME RT'!$C$4-U1591),"")</f>
        <v/>
      </c>
      <c r="AS1591" s="82" t="n">
        <f aca="false">IF(AND(OR(AQ1591="À RADIOGRAPHIER",AQ1591="RÉPARÉ – À RADIOGRAPHIER",AQ1591="NX – RT À REFAIRE"),OR('PROGRAMME RT'!$D$5="TOUTES",B1591='PROGRAMME RT'!$D$5)),1,0)</f>
        <v>0</v>
      </c>
      <c r="AT1591" s="82" t="str">
        <f aca="false">IF(AS1591=1,SUM(AS$7:AS1591),"")</f>
        <v/>
      </c>
      <c r="AU1591" s="82" t="n">
        <f aca="false">IF(AND(OR(AA1591="R",AA1591="NX",AA1591="NT",AA1591="CO"),OR('JOINTS DE RÉPARATION'!$D$5="TOUTES",B1591='JOINTS DE RÉPARATION'!$D$5),OR('JOINTS DE RÉPARATION'!$L$4="TOUS",AQ1591&lt;&gt;"ACCEPTÉ")),1,0)</f>
        <v>0</v>
      </c>
      <c r="AV1591" s="82" t="str">
        <f aca="false">IF(AU1591=1,SUM(AU$7:AU1591),"")</f>
        <v/>
      </c>
      <c r="AW1591" s="82" t="str">
        <f aca="false">IF(E1591="","",B1591&amp;"|"&amp;E1591)</f>
        <v>MFD-ISW → MFD-CPF|JN°1302</v>
      </c>
    </row>
    <row r="1592" customFormat="false" ht="74.6" hidden="false" customHeight="false" outlineLevel="0" collapsed="false">
      <c r="A1592" s="79" t="n">
        <f aca="false">IF(E1592="","",ROW()-6)</f>
        <v>1586</v>
      </c>
      <c r="B1592" s="80" t="s">
        <v>110</v>
      </c>
      <c r="C1592" s="81" t="s">
        <v>1917</v>
      </c>
      <c r="D1592" s="81" t="n">
        <v>13</v>
      </c>
      <c r="E1592" s="81" t="s">
        <v>1918</v>
      </c>
      <c r="F1592" s="82" t="str">
        <f aca="false">IF(E1592="","",IF(LEFT(E1592,2)="DJ","DJ","JN"))</f>
        <v>DJ</v>
      </c>
      <c r="G1592" s="81"/>
      <c r="H1592" s="81" t="s">
        <v>871</v>
      </c>
      <c r="I1592" s="81" t="n">
        <v>9.53</v>
      </c>
      <c r="J1592" s="81" t="s">
        <v>872</v>
      </c>
      <c r="K1592" s="81" t="s">
        <v>873</v>
      </c>
      <c r="L1592" s="81" t="n">
        <v>2095750</v>
      </c>
      <c r="M1592" s="81" t="n">
        <v>15421111</v>
      </c>
      <c r="N1592" s="81" t="n">
        <v>11.94</v>
      </c>
      <c r="O1592" s="81" t="n">
        <v>2094580</v>
      </c>
      <c r="P1592" s="81" t="n">
        <v>15421111</v>
      </c>
      <c r="Q1592" s="81" t="n">
        <v>11.94</v>
      </c>
      <c r="R1592" s="81" t="s">
        <v>963</v>
      </c>
      <c r="S1592" s="81"/>
      <c r="T1592" s="81"/>
      <c r="U1592" s="83" t="n">
        <v>46265</v>
      </c>
      <c r="V1592" s="83" t="n">
        <v>46265</v>
      </c>
      <c r="W1592" s="81" t="s">
        <v>1891</v>
      </c>
      <c r="X1592" s="81" t="s">
        <v>876</v>
      </c>
      <c r="Y1592" s="83" t="n">
        <v>46266</v>
      </c>
      <c r="Z1592" s="81" t="s">
        <v>1911</v>
      </c>
      <c r="AA1592" s="81" t="s">
        <v>876</v>
      </c>
      <c r="AB1592" s="81"/>
      <c r="AC1592" s="81"/>
      <c r="AD1592" s="81"/>
      <c r="AE1592" s="83"/>
      <c r="AF1592" s="81"/>
      <c r="AG1592" s="81"/>
      <c r="AH1592" s="81"/>
      <c r="AI1592" s="81"/>
      <c r="AJ1592" s="83"/>
      <c r="AK1592" s="81"/>
      <c r="AL1592" s="81"/>
      <c r="AM1592" s="83"/>
      <c r="AN1592" s="80"/>
      <c r="AO1592" s="82" t="n">
        <f aca="false">IF(E1592="","",(AA1592&lt;&gt;"")+(AG1592&lt;&gt;"")+(AL1592&lt;&gt;""))</f>
        <v>1</v>
      </c>
      <c r="AP1592" s="82" t="str">
        <f aca="false">IF(AL1592&lt;&gt;"",AL1592,IF(AG1592&lt;&gt;"",AG1592,IF(AA1592&lt;&gt;"",AA1592,"")))</f>
        <v>A</v>
      </c>
      <c r="AQ1592" s="84" t="str">
        <f aca="false">IF(E1592="","",IF(U1592="","À SOUDER",IF(X1592="","VT EN ATTENTE",IF(X1592="R","VT REJETÉ – À REPRENDRE",IF(AP1592="","À RADIOGRAPHIER",IF(AP1592="A","ACCEPTÉ",IF(AP1592="NX","NX – RT À REFAIRE",IF(IF(AO1592=1,AD1592,IF(AO1592=2,AI1592,""))="A","RÉPARÉ – À RADIOGRAPHIER",IF(IF(AO1592=1,AD1592,IF(AO1592=2,AI1592,""))="R","VT REJETÉ – À REPRENDRE",IF(OR(AP1592="CO",AP1592="NT"),"COUPE – À RESOUDER","À RÉPARER"))))))))))</f>
        <v>ACCEPTÉ</v>
      </c>
      <c r="AR1592" s="82" t="str">
        <f aca="false">IF(AND(ISNUMBER(U1592),OR(AQ1592="À RADIOGRAPHIER",AQ1592="RÉPARÉ – À RADIOGRAPHIER",AQ1592="NX – RT À REFAIRE",AQ1592="À RÉPARER",AQ1592="COUPE – À RESOUDER",AQ1592="VT REJETÉ – À REPRENDRE")),MAX(0,'PROGRAMME RT'!$C$4-U1592),"")</f>
        <v/>
      </c>
      <c r="AS1592" s="82" t="n">
        <f aca="false">IF(AND(OR(AQ1592="À RADIOGRAPHIER",AQ1592="RÉPARÉ – À RADIOGRAPHIER",AQ1592="NX – RT À REFAIRE"),OR('PROGRAMME RT'!$D$5="TOUTES",B1592='PROGRAMME RT'!$D$5)),1,0)</f>
        <v>0</v>
      </c>
      <c r="AT1592" s="82" t="str">
        <f aca="false">IF(AS1592=1,SUM(AS$7:AS1592),"")</f>
        <v/>
      </c>
      <c r="AU1592" s="82" t="n">
        <f aca="false">IF(AND(OR(AA1592="R",AA1592="NX",AA1592="NT",AA1592="CO"),OR('JOINTS DE RÉPARATION'!$D$5="TOUTES",B1592='JOINTS DE RÉPARATION'!$D$5),OR('JOINTS DE RÉPARATION'!$L$4="TOUS",AQ1592&lt;&gt;"ACCEPTÉ")),1,0)</f>
        <v>0</v>
      </c>
      <c r="AV1592" s="82" t="str">
        <f aca="false">IF(AU1592=1,SUM(AU$7:AU1592),"")</f>
        <v/>
      </c>
      <c r="AW1592" s="82" t="str">
        <f aca="false">IF(E1592="","",B1592&amp;"|"&amp;E1592)</f>
        <v>MFD-ISW → MFD-CPF|DJ°213</v>
      </c>
    </row>
    <row r="1593" customFormat="false" ht="74.6" hidden="false" customHeight="false" outlineLevel="0" collapsed="false">
      <c r="A1593" s="79" t="n">
        <f aca="false">IF(E1593="","",ROW()-6)</f>
        <v>1587</v>
      </c>
      <c r="B1593" s="80" t="s">
        <v>110</v>
      </c>
      <c r="C1593" s="81" t="s">
        <v>1917</v>
      </c>
      <c r="D1593" s="81" t="n">
        <v>13</v>
      </c>
      <c r="E1593" s="81" t="s">
        <v>1919</v>
      </c>
      <c r="F1593" s="82" t="str">
        <f aca="false">IF(E1593="","",IF(LEFT(E1593,2)="DJ","DJ","JN"))</f>
        <v>JN</v>
      </c>
      <c r="G1593" s="81" t="s">
        <v>1504</v>
      </c>
      <c r="H1593" s="81" t="s">
        <v>871</v>
      </c>
      <c r="I1593" s="81" t="n">
        <v>9.53</v>
      </c>
      <c r="J1593" s="81" t="s">
        <v>872</v>
      </c>
      <c r="K1593" s="81" t="s">
        <v>879</v>
      </c>
      <c r="L1593" s="81" t="n">
        <v>2094580</v>
      </c>
      <c r="M1593" s="81" t="n">
        <v>15421111</v>
      </c>
      <c r="N1593" s="81" t="n">
        <v>11.94</v>
      </c>
      <c r="O1593" s="81" t="n">
        <v>2087320</v>
      </c>
      <c r="P1593" s="81" t="n">
        <v>15421107</v>
      </c>
      <c r="Q1593" s="81" t="n">
        <v>11.94</v>
      </c>
      <c r="R1593" s="81" t="s">
        <v>1795</v>
      </c>
      <c r="S1593" s="81"/>
      <c r="T1593" s="81"/>
      <c r="U1593" s="83" t="n">
        <v>46275</v>
      </c>
      <c r="V1593" s="83" t="n">
        <v>46275</v>
      </c>
      <c r="W1593" s="81" t="s">
        <v>1875</v>
      </c>
      <c r="X1593" s="81" t="s">
        <v>876</v>
      </c>
      <c r="Y1593" s="83" t="n">
        <v>46279</v>
      </c>
      <c r="Z1593" s="81" t="s">
        <v>1920</v>
      </c>
      <c r="AA1593" s="81" t="s">
        <v>876</v>
      </c>
      <c r="AB1593" s="81"/>
      <c r="AC1593" s="81"/>
      <c r="AD1593" s="81"/>
      <c r="AE1593" s="83"/>
      <c r="AF1593" s="81"/>
      <c r="AG1593" s="81"/>
      <c r="AH1593" s="81"/>
      <c r="AI1593" s="81"/>
      <c r="AJ1593" s="83"/>
      <c r="AK1593" s="81"/>
      <c r="AL1593" s="81"/>
      <c r="AM1593" s="83"/>
      <c r="AN1593" s="80"/>
      <c r="AO1593" s="82" t="n">
        <f aca="false">IF(E1593="","",(AA1593&lt;&gt;"")+(AG1593&lt;&gt;"")+(AL1593&lt;&gt;""))</f>
        <v>1</v>
      </c>
      <c r="AP1593" s="82" t="str">
        <f aca="false">IF(AL1593&lt;&gt;"",AL1593,IF(AG1593&lt;&gt;"",AG1593,IF(AA1593&lt;&gt;"",AA1593,"")))</f>
        <v>A</v>
      </c>
      <c r="AQ1593" s="84" t="str">
        <f aca="false">IF(E1593="","",IF(U1593="","À SOUDER",IF(X1593="","VT EN ATTENTE",IF(X1593="R","VT REJETÉ – À REPRENDRE",IF(AP1593="","À RADIOGRAPHIER",IF(AP1593="A","ACCEPTÉ",IF(AP1593="NX","NX – RT À REFAIRE",IF(IF(AO1593=1,AD1593,IF(AO1593=2,AI1593,""))="A","RÉPARÉ – À RADIOGRAPHIER",IF(IF(AO1593=1,AD1593,IF(AO1593=2,AI1593,""))="R","VT REJETÉ – À REPRENDRE",IF(OR(AP1593="CO",AP1593="NT"),"COUPE – À RESOUDER","À RÉPARER"))))))))))</f>
        <v>ACCEPTÉ</v>
      </c>
      <c r="AR1593" s="82" t="str">
        <f aca="false">IF(AND(ISNUMBER(U1593),OR(AQ1593="À RADIOGRAPHIER",AQ1593="RÉPARÉ – À RADIOGRAPHIER",AQ1593="NX – RT À REFAIRE",AQ1593="À RÉPARER",AQ1593="COUPE – À RESOUDER",AQ1593="VT REJETÉ – À REPRENDRE")),MAX(0,'PROGRAMME RT'!$C$4-U1593),"")</f>
        <v/>
      </c>
      <c r="AS1593" s="82" t="n">
        <f aca="false">IF(AND(OR(AQ1593="À RADIOGRAPHIER",AQ1593="RÉPARÉ – À RADIOGRAPHIER",AQ1593="NX – RT À REFAIRE"),OR('PROGRAMME RT'!$D$5="TOUTES",B1593='PROGRAMME RT'!$D$5)),1,0)</f>
        <v>0</v>
      </c>
      <c r="AT1593" s="82" t="str">
        <f aca="false">IF(AS1593=1,SUM(AS$7:AS1593),"")</f>
        <v/>
      </c>
      <c r="AU1593" s="82" t="n">
        <f aca="false">IF(AND(OR(AA1593="R",AA1593="NX",AA1593="NT",AA1593="CO"),OR('JOINTS DE RÉPARATION'!$D$5="TOUTES",B1593='JOINTS DE RÉPARATION'!$D$5),OR('JOINTS DE RÉPARATION'!$L$4="TOUS",AQ1593&lt;&gt;"ACCEPTÉ")),1,0)</f>
        <v>0</v>
      </c>
      <c r="AV1593" s="82" t="str">
        <f aca="false">IF(AU1593=1,SUM(AU$7:AU1593),"")</f>
        <v/>
      </c>
      <c r="AW1593" s="82" t="str">
        <f aca="false">IF(E1593="","",B1593&amp;"|"&amp;E1593)</f>
        <v>MFD-ISW → MFD-CPF|JN°1303</v>
      </c>
    </row>
    <row r="1594" customFormat="false" ht="74.6" hidden="false" customHeight="false" outlineLevel="0" collapsed="false">
      <c r="A1594" s="79" t="n">
        <f aca="false">IF(E1594="","",ROW()-6)</f>
        <v>1588</v>
      </c>
      <c r="B1594" s="80" t="s">
        <v>110</v>
      </c>
      <c r="C1594" s="81" t="s">
        <v>1917</v>
      </c>
      <c r="D1594" s="81" t="n">
        <v>13</v>
      </c>
      <c r="E1594" s="81" t="s">
        <v>1921</v>
      </c>
      <c r="F1594" s="82" t="str">
        <f aca="false">IF(E1594="","",IF(LEFT(E1594,2)="DJ","DJ","JN"))</f>
        <v>DJ</v>
      </c>
      <c r="G1594" s="81"/>
      <c r="H1594" s="81" t="s">
        <v>871</v>
      </c>
      <c r="I1594" s="81" t="n">
        <v>9.53</v>
      </c>
      <c r="J1594" s="81" t="s">
        <v>872</v>
      </c>
      <c r="K1594" s="81" t="s">
        <v>873</v>
      </c>
      <c r="L1594" s="81" t="n">
        <v>2087320</v>
      </c>
      <c r="M1594" s="81" t="n">
        <v>15421107</v>
      </c>
      <c r="N1594" s="81" t="n">
        <v>11.94</v>
      </c>
      <c r="O1594" s="81" t="n">
        <v>2082670</v>
      </c>
      <c r="P1594" s="81" t="n">
        <v>15421104</v>
      </c>
      <c r="Q1594" s="81" t="n">
        <v>11.94</v>
      </c>
      <c r="R1594" s="81" t="s">
        <v>963</v>
      </c>
      <c r="S1594" s="81"/>
      <c r="T1594" s="81"/>
      <c r="U1594" s="83" t="n">
        <v>46263</v>
      </c>
      <c r="V1594" s="83" t="n">
        <v>46263</v>
      </c>
      <c r="W1594" s="81" t="s">
        <v>1922</v>
      </c>
      <c r="X1594" s="81" t="s">
        <v>876</v>
      </c>
      <c r="Y1594" s="83" t="n">
        <v>46266</v>
      </c>
      <c r="Z1594" s="81" t="s">
        <v>1911</v>
      </c>
      <c r="AA1594" s="81" t="s">
        <v>876</v>
      </c>
      <c r="AB1594" s="81"/>
      <c r="AC1594" s="81"/>
      <c r="AD1594" s="81"/>
      <c r="AE1594" s="83"/>
      <c r="AF1594" s="81"/>
      <c r="AG1594" s="81"/>
      <c r="AH1594" s="81"/>
      <c r="AI1594" s="81"/>
      <c r="AJ1594" s="83"/>
      <c r="AK1594" s="81"/>
      <c r="AL1594" s="81"/>
      <c r="AM1594" s="83"/>
      <c r="AN1594" s="80"/>
      <c r="AO1594" s="82" t="n">
        <f aca="false">IF(E1594="","",(AA1594&lt;&gt;"")+(AG1594&lt;&gt;"")+(AL1594&lt;&gt;""))</f>
        <v>1</v>
      </c>
      <c r="AP1594" s="82" t="str">
        <f aca="false">IF(AL1594&lt;&gt;"",AL1594,IF(AG1594&lt;&gt;"",AG1594,IF(AA1594&lt;&gt;"",AA1594,"")))</f>
        <v>A</v>
      </c>
      <c r="AQ1594" s="84" t="str">
        <f aca="false">IF(E1594="","",IF(U1594="","À SOUDER",IF(X1594="","VT EN ATTENTE",IF(X1594="R","VT REJETÉ – À REPRENDRE",IF(AP1594="","À RADIOGRAPHIER",IF(AP1594="A","ACCEPTÉ",IF(AP1594="NX","NX – RT À REFAIRE",IF(IF(AO1594=1,AD1594,IF(AO1594=2,AI1594,""))="A","RÉPARÉ – À RADIOGRAPHIER",IF(IF(AO1594=1,AD1594,IF(AO1594=2,AI1594,""))="R","VT REJETÉ – À REPRENDRE",IF(OR(AP1594="CO",AP1594="NT"),"COUPE – À RESOUDER","À RÉPARER"))))))))))</f>
        <v>ACCEPTÉ</v>
      </c>
      <c r="AR1594" s="82" t="str">
        <f aca="false">IF(AND(ISNUMBER(U1594),OR(AQ1594="À RADIOGRAPHIER",AQ1594="RÉPARÉ – À RADIOGRAPHIER",AQ1594="NX – RT À REFAIRE",AQ1594="À RÉPARER",AQ1594="COUPE – À RESOUDER",AQ1594="VT REJETÉ – À REPRENDRE")),MAX(0,'PROGRAMME RT'!$C$4-U1594),"")</f>
        <v/>
      </c>
      <c r="AS1594" s="82" t="n">
        <f aca="false">IF(AND(OR(AQ1594="À RADIOGRAPHIER",AQ1594="RÉPARÉ – À RADIOGRAPHIER",AQ1594="NX – RT À REFAIRE"),OR('PROGRAMME RT'!$D$5="TOUTES",B1594='PROGRAMME RT'!$D$5)),1,0)</f>
        <v>0</v>
      </c>
      <c r="AT1594" s="82" t="str">
        <f aca="false">IF(AS1594=1,SUM(AS$7:AS1594),"")</f>
        <v/>
      </c>
      <c r="AU1594" s="82" t="n">
        <f aca="false">IF(AND(OR(AA1594="R",AA1594="NX",AA1594="NT",AA1594="CO"),OR('JOINTS DE RÉPARATION'!$D$5="TOUTES",B1594='JOINTS DE RÉPARATION'!$D$5),OR('JOINTS DE RÉPARATION'!$L$4="TOUS",AQ1594&lt;&gt;"ACCEPTÉ")),1,0)</f>
        <v>0</v>
      </c>
      <c r="AV1594" s="82" t="str">
        <f aca="false">IF(AU1594=1,SUM(AU$7:AU1594),"")</f>
        <v/>
      </c>
      <c r="AW1594" s="82" t="str">
        <f aca="false">IF(E1594="","",B1594&amp;"|"&amp;E1594)</f>
        <v>MFD-ISW → MFD-CPF|DJ°187</v>
      </c>
    </row>
    <row r="1595" customFormat="false" ht="74.6" hidden="false" customHeight="false" outlineLevel="0" collapsed="false">
      <c r="A1595" s="79" t="n">
        <f aca="false">IF(E1595="","",ROW()-6)</f>
        <v>1589</v>
      </c>
      <c r="B1595" s="80" t="s">
        <v>110</v>
      </c>
      <c r="C1595" s="81" t="s">
        <v>1917</v>
      </c>
      <c r="D1595" s="81" t="n">
        <v>13</v>
      </c>
      <c r="E1595" s="81" t="s">
        <v>1923</v>
      </c>
      <c r="F1595" s="82" t="str">
        <f aca="false">IF(E1595="","",IF(LEFT(E1595,2)="DJ","DJ","JN"))</f>
        <v>JN</v>
      </c>
      <c r="G1595" s="81" t="s">
        <v>1504</v>
      </c>
      <c r="H1595" s="81" t="s">
        <v>871</v>
      </c>
      <c r="I1595" s="81" t="n">
        <v>9.53</v>
      </c>
      <c r="J1595" s="81" t="s">
        <v>872</v>
      </c>
      <c r="K1595" s="81" t="s">
        <v>879</v>
      </c>
      <c r="L1595" s="81" t="n">
        <v>2082670</v>
      </c>
      <c r="M1595" s="81" t="n">
        <v>15421104</v>
      </c>
      <c r="N1595" s="81" t="n">
        <v>11.94</v>
      </c>
      <c r="O1595" s="81" t="n">
        <v>2091870</v>
      </c>
      <c r="P1595" s="81" t="n">
        <v>15421112</v>
      </c>
      <c r="Q1595" s="81" t="n">
        <v>11.94</v>
      </c>
      <c r="R1595" s="81" t="s">
        <v>1795</v>
      </c>
      <c r="S1595" s="81"/>
      <c r="T1595" s="81"/>
      <c r="U1595" s="83" t="n">
        <v>46275</v>
      </c>
      <c r="V1595" s="83" t="n">
        <v>46275</v>
      </c>
      <c r="W1595" s="81" t="s">
        <v>1875</v>
      </c>
      <c r="X1595" s="81" t="s">
        <v>876</v>
      </c>
      <c r="Y1595" s="83" t="n">
        <v>46279</v>
      </c>
      <c r="Z1595" s="81" t="s">
        <v>1920</v>
      </c>
      <c r="AA1595" s="81" t="s">
        <v>876</v>
      </c>
      <c r="AB1595" s="81"/>
      <c r="AC1595" s="81"/>
      <c r="AD1595" s="81"/>
      <c r="AE1595" s="83"/>
      <c r="AF1595" s="81"/>
      <c r="AG1595" s="81"/>
      <c r="AH1595" s="81"/>
      <c r="AI1595" s="81"/>
      <c r="AJ1595" s="83"/>
      <c r="AK1595" s="81"/>
      <c r="AL1595" s="81"/>
      <c r="AM1595" s="83"/>
      <c r="AN1595" s="80"/>
      <c r="AO1595" s="82" t="n">
        <f aca="false">IF(E1595="","",(AA1595&lt;&gt;"")+(AG1595&lt;&gt;"")+(AL1595&lt;&gt;""))</f>
        <v>1</v>
      </c>
      <c r="AP1595" s="82" t="str">
        <f aca="false">IF(AL1595&lt;&gt;"",AL1595,IF(AG1595&lt;&gt;"",AG1595,IF(AA1595&lt;&gt;"",AA1595,"")))</f>
        <v>A</v>
      </c>
      <c r="AQ1595" s="84" t="str">
        <f aca="false">IF(E1595="","",IF(U1595="","À SOUDER",IF(X1595="","VT EN ATTENTE",IF(X1595="R","VT REJETÉ – À REPRENDRE",IF(AP1595="","À RADIOGRAPHIER",IF(AP1595="A","ACCEPTÉ",IF(AP1595="NX","NX – RT À REFAIRE",IF(IF(AO1595=1,AD1595,IF(AO1595=2,AI1595,""))="A","RÉPARÉ – À RADIOGRAPHIER",IF(IF(AO1595=1,AD1595,IF(AO1595=2,AI1595,""))="R","VT REJETÉ – À REPRENDRE",IF(OR(AP1595="CO",AP1595="NT"),"COUPE – À RESOUDER","À RÉPARER"))))))))))</f>
        <v>ACCEPTÉ</v>
      </c>
      <c r="AR1595" s="82" t="str">
        <f aca="false">IF(AND(ISNUMBER(U1595),OR(AQ1595="À RADIOGRAPHIER",AQ1595="RÉPARÉ – À RADIOGRAPHIER",AQ1595="NX – RT À REFAIRE",AQ1595="À RÉPARER",AQ1595="COUPE – À RESOUDER",AQ1595="VT REJETÉ – À REPRENDRE")),MAX(0,'PROGRAMME RT'!$C$4-U1595),"")</f>
        <v/>
      </c>
      <c r="AS1595" s="82" t="n">
        <f aca="false">IF(AND(OR(AQ1595="À RADIOGRAPHIER",AQ1595="RÉPARÉ – À RADIOGRAPHIER",AQ1595="NX – RT À REFAIRE"),OR('PROGRAMME RT'!$D$5="TOUTES",B1595='PROGRAMME RT'!$D$5)),1,0)</f>
        <v>0</v>
      </c>
      <c r="AT1595" s="82" t="str">
        <f aca="false">IF(AS1595=1,SUM(AS$7:AS1595),"")</f>
        <v/>
      </c>
      <c r="AU1595" s="82" t="n">
        <f aca="false">IF(AND(OR(AA1595="R",AA1595="NX",AA1595="NT",AA1595="CO"),OR('JOINTS DE RÉPARATION'!$D$5="TOUTES",B1595='JOINTS DE RÉPARATION'!$D$5),OR('JOINTS DE RÉPARATION'!$L$4="TOUS",AQ1595&lt;&gt;"ACCEPTÉ")),1,0)</f>
        <v>0</v>
      </c>
      <c r="AV1595" s="82" t="str">
        <f aca="false">IF(AU1595=1,SUM(AU$7:AU1595),"")</f>
        <v/>
      </c>
      <c r="AW1595" s="82" t="str">
        <f aca="false">IF(E1595="","",B1595&amp;"|"&amp;E1595)</f>
        <v>MFD-ISW → MFD-CPF|JN°1304</v>
      </c>
    </row>
    <row r="1596" customFormat="false" ht="74.6" hidden="false" customHeight="false" outlineLevel="0" collapsed="false">
      <c r="A1596" s="79" t="n">
        <f aca="false">IF(E1596="","",ROW()-6)</f>
        <v>1590</v>
      </c>
      <c r="B1596" s="80" t="s">
        <v>110</v>
      </c>
      <c r="C1596" s="81" t="s">
        <v>1917</v>
      </c>
      <c r="D1596" s="81" t="n">
        <v>14</v>
      </c>
      <c r="E1596" s="81" t="s">
        <v>1924</v>
      </c>
      <c r="F1596" s="82" t="str">
        <f aca="false">IF(E1596="","",IF(LEFT(E1596,2)="DJ","DJ","JN"))</f>
        <v>DJ</v>
      </c>
      <c r="G1596" s="81"/>
      <c r="H1596" s="81" t="s">
        <v>871</v>
      </c>
      <c r="I1596" s="81" t="n">
        <v>9.53</v>
      </c>
      <c r="J1596" s="81" t="s">
        <v>872</v>
      </c>
      <c r="K1596" s="81" t="s">
        <v>873</v>
      </c>
      <c r="L1596" s="81" t="n">
        <v>2091870</v>
      </c>
      <c r="M1596" s="81" t="n">
        <v>15421112</v>
      </c>
      <c r="N1596" s="81" t="n">
        <v>11.94</v>
      </c>
      <c r="O1596" s="81" t="n">
        <v>2078610</v>
      </c>
      <c r="P1596" s="81" t="n">
        <v>15421101</v>
      </c>
      <c r="Q1596" s="81" t="n">
        <v>11.94</v>
      </c>
      <c r="R1596" s="81" t="s">
        <v>963</v>
      </c>
      <c r="S1596" s="81"/>
      <c r="T1596" s="81"/>
      <c r="U1596" s="83" t="n">
        <v>46265</v>
      </c>
      <c r="V1596" s="83" t="n">
        <v>46265</v>
      </c>
      <c r="W1596" s="81" t="s">
        <v>1891</v>
      </c>
      <c r="X1596" s="81" t="s">
        <v>876</v>
      </c>
      <c r="Y1596" s="83" t="n">
        <v>46266</v>
      </c>
      <c r="Z1596" s="81" t="s">
        <v>1911</v>
      </c>
      <c r="AA1596" s="81" t="s">
        <v>876</v>
      </c>
      <c r="AB1596" s="81"/>
      <c r="AC1596" s="81"/>
      <c r="AD1596" s="81"/>
      <c r="AE1596" s="83"/>
      <c r="AF1596" s="81"/>
      <c r="AG1596" s="81"/>
      <c r="AH1596" s="81"/>
      <c r="AI1596" s="81"/>
      <c r="AJ1596" s="83"/>
      <c r="AK1596" s="81"/>
      <c r="AL1596" s="81"/>
      <c r="AM1596" s="83"/>
      <c r="AN1596" s="80"/>
      <c r="AO1596" s="82" t="n">
        <f aca="false">IF(E1596="","",(AA1596&lt;&gt;"")+(AG1596&lt;&gt;"")+(AL1596&lt;&gt;""))</f>
        <v>1</v>
      </c>
      <c r="AP1596" s="82" t="str">
        <f aca="false">IF(AL1596&lt;&gt;"",AL1596,IF(AG1596&lt;&gt;"",AG1596,IF(AA1596&lt;&gt;"",AA1596,"")))</f>
        <v>A</v>
      </c>
      <c r="AQ1596" s="84" t="str">
        <f aca="false">IF(E1596="","",IF(U1596="","À SOUDER",IF(X1596="","VT EN ATTENTE",IF(X1596="R","VT REJETÉ – À REPRENDRE",IF(AP1596="","À RADIOGRAPHIER",IF(AP1596="A","ACCEPTÉ",IF(AP1596="NX","NX – RT À REFAIRE",IF(IF(AO1596=1,AD1596,IF(AO1596=2,AI1596,""))="A","RÉPARÉ – À RADIOGRAPHIER",IF(IF(AO1596=1,AD1596,IF(AO1596=2,AI1596,""))="R","VT REJETÉ – À REPRENDRE",IF(OR(AP1596="CO",AP1596="NT"),"COUPE – À RESOUDER","À RÉPARER"))))))))))</f>
        <v>ACCEPTÉ</v>
      </c>
      <c r="AR1596" s="82" t="str">
        <f aca="false">IF(AND(ISNUMBER(U1596),OR(AQ1596="À RADIOGRAPHIER",AQ1596="RÉPARÉ – À RADIOGRAPHIER",AQ1596="NX – RT À REFAIRE",AQ1596="À RÉPARER",AQ1596="COUPE – À RESOUDER",AQ1596="VT REJETÉ – À REPRENDRE")),MAX(0,'PROGRAMME RT'!$C$4-U1596),"")</f>
        <v/>
      </c>
      <c r="AS1596" s="82" t="n">
        <f aca="false">IF(AND(OR(AQ1596="À RADIOGRAPHIER",AQ1596="RÉPARÉ – À RADIOGRAPHIER",AQ1596="NX – RT À REFAIRE"),OR('PROGRAMME RT'!$D$5="TOUTES",B1596='PROGRAMME RT'!$D$5)),1,0)</f>
        <v>0</v>
      </c>
      <c r="AT1596" s="82" t="str">
        <f aca="false">IF(AS1596=1,SUM(AS$7:AS1596),"")</f>
        <v/>
      </c>
      <c r="AU1596" s="82" t="n">
        <f aca="false">IF(AND(OR(AA1596="R",AA1596="NX",AA1596="NT",AA1596="CO"),OR('JOINTS DE RÉPARATION'!$D$5="TOUTES",B1596='JOINTS DE RÉPARATION'!$D$5),OR('JOINTS DE RÉPARATION'!$L$4="TOUS",AQ1596&lt;&gt;"ACCEPTÉ")),1,0)</f>
        <v>0</v>
      </c>
      <c r="AV1596" s="82" t="str">
        <f aca="false">IF(AU1596=1,SUM(AU$7:AU1596),"")</f>
        <v/>
      </c>
      <c r="AW1596" s="82" t="str">
        <f aca="false">IF(E1596="","",B1596&amp;"|"&amp;E1596)</f>
        <v>MFD-ISW → MFD-CPF|DJ°221</v>
      </c>
    </row>
    <row r="1597" customFormat="false" ht="74.6" hidden="false" customHeight="false" outlineLevel="0" collapsed="false">
      <c r="A1597" s="79" t="n">
        <f aca="false">IF(E1597="","",ROW()-6)</f>
        <v>1591</v>
      </c>
      <c r="B1597" s="80" t="s">
        <v>110</v>
      </c>
      <c r="C1597" s="81" t="s">
        <v>1917</v>
      </c>
      <c r="D1597" s="81" t="n">
        <v>14</v>
      </c>
      <c r="E1597" s="81" t="s">
        <v>1925</v>
      </c>
      <c r="F1597" s="82" t="str">
        <f aca="false">IF(E1597="","",IF(LEFT(E1597,2)="DJ","DJ","JN"))</f>
        <v>JN</v>
      </c>
      <c r="G1597" s="81" t="s">
        <v>1504</v>
      </c>
      <c r="H1597" s="81" t="s">
        <v>871</v>
      </c>
      <c r="I1597" s="81" t="n">
        <v>9.53</v>
      </c>
      <c r="J1597" s="81" t="s">
        <v>872</v>
      </c>
      <c r="K1597" s="81" t="s">
        <v>879</v>
      </c>
      <c r="L1597" s="81" t="n">
        <v>2078610</v>
      </c>
      <c r="M1597" s="81" t="n">
        <v>15421101</v>
      </c>
      <c r="N1597" s="81" t="n">
        <v>11.94</v>
      </c>
      <c r="O1597" s="81" t="n">
        <v>2079470</v>
      </c>
      <c r="P1597" s="81" t="n">
        <v>15421112</v>
      </c>
      <c r="Q1597" s="81" t="n">
        <v>11.94</v>
      </c>
      <c r="R1597" s="81" t="s">
        <v>1795</v>
      </c>
      <c r="S1597" s="81"/>
      <c r="T1597" s="81"/>
      <c r="U1597" s="83" t="n">
        <v>46275</v>
      </c>
      <c r="V1597" s="83" t="n">
        <v>46275</v>
      </c>
      <c r="W1597" s="81" t="s">
        <v>1875</v>
      </c>
      <c r="X1597" s="81" t="s">
        <v>876</v>
      </c>
      <c r="Y1597" s="83" t="n">
        <v>46279</v>
      </c>
      <c r="Z1597" s="81" t="s">
        <v>1920</v>
      </c>
      <c r="AA1597" s="81" t="s">
        <v>876</v>
      </c>
      <c r="AB1597" s="81"/>
      <c r="AC1597" s="81"/>
      <c r="AD1597" s="81"/>
      <c r="AE1597" s="83"/>
      <c r="AF1597" s="81"/>
      <c r="AG1597" s="81"/>
      <c r="AH1597" s="81"/>
      <c r="AI1597" s="81"/>
      <c r="AJ1597" s="83"/>
      <c r="AK1597" s="81"/>
      <c r="AL1597" s="81"/>
      <c r="AM1597" s="83"/>
      <c r="AN1597" s="80"/>
      <c r="AO1597" s="82" t="n">
        <f aca="false">IF(E1597="","",(AA1597&lt;&gt;"")+(AG1597&lt;&gt;"")+(AL1597&lt;&gt;""))</f>
        <v>1</v>
      </c>
      <c r="AP1597" s="82" t="str">
        <f aca="false">IF(AL1597&lt;&gt;"",AL1597,IF(AG1597&lt;&gt;"",AG1597,IF(AA1597&lt;&gt;"",AA1597,"")))</f>
        <v>A</v>
      </c>
      <c r="AQ1597" s="84" t="str">
        <f aca="false">IF(E1597="","",IF(U1597="","À SOUDER",IF(X1597="","VT EN ATTENTE",IF(X1597="R","VT REJETÉ – À REPRENDRE",IF(AP1597="","À RADIOGRAPHIER",IF(AP1597="A","ACCEPTÉ",IF(AP1597="NX","NX – RT À REFAIRE",IF(IF(AO1597=1,AD1597,IF(AO1597=2,AI1597,""))="A","RÉPARÉ – À RADIOGRAPHIER",IF(IF(AO1597=1,AD1597,IF(AO1597=2,AI1597,""))="R","VT REJETÉ – À REPRENDRE",IF(OR(AP1597="CO",AP1597="NT"),"COUPE – À RESOUDER","À RÉPARER"))))))))))</f>
        <v>ACCEPTÉ</v>
      </c>
      <c r="AR1597" s="82" t="str">
        <f aca="false">IF(AND(ISNUMBER(U1597),OR(AQ1597="À RADIOGRAPHIER",AQ1597="RÉPARÉ – À RADIOGRAPHIER",AQ1597="NX – RT À REFAIRE",AQ1597="À RÉPARER",AQ1597="COUPE – À RESOUDER",AQ1597="VT REJETÉ – À REPRENDRE")),MAX(0,'PROGRAMME RT'!$C$4-U1597),"")</f>
        <v/>
      </c>
      <c r="AS1597" s="82" t="n">
        <f aca="false">IF(AND(OR(AQ1597="À RADIOGRAPHIER",AQ1597="RÉPARÉ – À RADIOGRAPHIER",AQ1597="NX – RT À REFAIRE"),OR('PROGRAMME RT'!$D$5="TOUTES",B1597='PROGRAMME RT'!$D$5)),1,0)</f>
        <v>0</v>
      </c>
      <c r="AT1597" s="82" t="str">
        <f aca="false">IF(AS1597=1,SUM(AS$7:AS1597),"")</f>
        <v/>
      </c>
      <c r="AU1597" s="82" t="n">
        <f aca="false">IF(AND(OR(AA1597="R",AA1597="NX",AA1597="NT",AA1597="CO"),OR('JOINTS DE RÉPARATION'!$D$5="TOUTES",B1597='JOINTS DE RÉPARATION'!$D$5),OR('JOINTS DE RÉPARATION'!$L$4="TOUS",AQ1597&lt;&gt;"ACCEPTÉ")),1,0)</f>
        <v>0</v>
      </c>
      <c r="AV1597" s="82" t="str">
        <f aca="false">IF(AU1597=1,SUM(AU$7:AU1597),"")</f>
        <v/>
      </c>
      <c r="AW1597" s="82" t="str">
        <f aca="false">IF(E1597="","",B1597&amp;"|"&amp;E1597)</f>
        <v>MFD-ISW → MFD-CPF|JN°1305</v>
      </c>
    </row>
    <row r="1598" customFormat="false" ht="74.6" hidden="false" customHeight="false" outlineLevel="0" collapsed="false">
      <c r="A1598" s="79" t="n">
        <f aca="false">IF(E1598="","",ROW()-6)</f>
        <v>1592</v>
      </c>
      <c r="B1598" s="80" t="s">
        <v>110</v>
      </c>
      <c r="C1598" s="81" t="s">
        <v>1917</v>
      </c>
      <c r="D1598" s="81" t="n">
        <v>14</v>
      </c>
      <c r="E1598" s="81" t="s">
        <v>1926</v>
      </c>
      <c r="F1598" s="82" t="str">
        <f aca="false">IF(E1598="","",IF(LEFT(E1598,2)="DJ","DJ","JN"))</f>
        <v>DJ</v>
      </c>
      <c r="G1598" s="81"/>
      <c r="H1598" s="81" t="s">
        <v>871</v>
      </c>
      <c r="I1598" s="81" t="n">
        <v>9.53</v>
      </c>
      <c r="J1598" s="81" t="s">
        <v>872</v>
      </c>
      <c r="K1598" s="81" t="s">
        <v>873</v>
      </c>
      <c r="L1598" s="81" t="n">
        <v>2079470</v>
      </c>
      <c r="M1598" s="81" t="n">
        <v>15421112</v>
      </c>
      <c r="N1598" s="81" t="n">
        <v>11.94</v>
      </c>
      <c r="O1598" s="81" t="n">
        <v>2097270</v>
      </c>
      <c r="P1598" s="81" t="n">
        <v>15421112</v>
      </c>
      <c r="Q1598" s="81" t="n">
        <v>11.94</v>
      </c>
      <c r="R1598" s="81" t="s">
        <v>963</v>
      </c>
      <c r="S1598" s="81"/>
      <c r="T1598" s="81"/>
      <c r="U1598" s="83" t="n">
        <v>46265</v>
      </c>
      <c r="V1598" s="83" t="n">
        <v>46265</v>
      </c>
      <c r="W1598" s="81" t="s">
        <v>1891</v>
      </c>
      <c r="X1598" s="81" t="s">
        <v>876</v>
      </c>
      <c r="Y1598" s="83" t="n">
        <v>46266</v>
      </c>
      <c r="Z1598" s="81" t="s">
        <v>1927</v>
      </c>
      <c r="AA1598" s="81" t="s">
        <v>876</v>
      </c>
      <c r="AB1598" s="81"/>
      <c r="AC1598" s="81"/>
      <c r="AD1598" s="81"/>
      <c r="AE1598" s="83"/>
      <c r="AF1598" s="81"/>
      <c r="AG1598" s="81"/>
      <c r="AH1598" s="81"/>
      <c r="AI1598" s="81"/>
      <c r="AJ1598" s="83"/>
      <c r="AK1598" s="81"/>
      <c r="AL1598" s="81"/>
      <c r="AM1598" s="83"/>
      <c r="AN1598" s="80"/>
      <c r="AO1598" s="82" t="n">
        <f aca="false">IF(E1598="","",(AA1598&lt;&gt;"")+(AG1598&lt;&gt;"")+(AL1598&lt;&gt;""))</f>
        <v>1</v>
      </c>
      <c r="AP1598" s="82" t="str">
        <f aca="false">IF(AL1598&lt;&gt;"",AL1598,IF(AG1598&lt;&gt;"",AG1598,IF(AA1598&lt;&gt;"",AA1598,"")))</f>
        <v>A</v>
      </c>
      <c r="AQ1598" s="84" t="str">
        <f aca="false">IF(E1598="","",IF(U1598="","À SOUDER",IF(X1598="","VT EN ATTENTE",IF(X1598="R","VT REJETÉ – À REPRENDRE",IF(AP1598="","À RADIOGRAPHIER",IF(AP1598="A","ACCEPTÉ",IF(AP1598="NX","NX – RT À REFAIRE",IF(IF(AO1598=1,AD1598,IF(AO1598=2,AI1598,""))="A","RÉPARÉ – À RADIOGRAPHIER",IF(IF(AO1598=1,AD1598,IF(AO1598=2,AI1598,""))="R","VT REJETÉ – À REPRENDRE",IF(OR(AP1598="CO",AP1598="NT"),"COUPE – À RESOUDER","À RÉPARER"))))))))))</f>
        <v>ACCEPTÉ</v>
      </c>
      <c r="AR1598" s="82" t="str">
        <f aca="false">IF(AND(ISNUMBER(U1598),OR(AQ1598="À RADIOGRAPHIER",AQ1598="RÉPARÉ – À RADIOGRAPHIER",AQ1598="NX – RT À REFAIRE",AQ1598="À RÉPARER",AQ1598="COUPE – À RESOUDER",AQ1598="VT REJETÉ – À REPRENDRE")),MAX(0,'PROGRAMME RT'!$C$4-U1598),"")</f>
        <v/>
      </c>
      <c r="AS1598" s="82" t="n">
        <f aca="false">IF(AND(OR(AQ1598="À RADIOGRAPHIER",AQ1598="RÉPARÉ – À RADIOGRAPHIER",AQ1598="NX – RT À REFAIRE"),OR('PROGRAMME RT'!$D$5="TOUTES",B1598='PROGRAMME RT'!$D$5)),1,0)</f>
        <v>0</v>
      </c>
      <c r="AT1598" s="82" t="str">
        <f aca="false">IF(AS1598=1,SUM(AS$7:AS1598),"")</f>
        <v/>
      </c>
      <c r="AU1598" s="82" t="n">
        <f aca="false">IF(AND(OR(AA1598="R",AA1598="NX",AA1598="NT",AA1598="CO"),OR('JOINTS DE RÉPARATION'!$D$5="TOUTES",B1598='JOINTS DE RÉPARATION'!$D$5),OR('JOINTS DE RÉPARATION'!$L$4="TOUS",AQ1598&lt;&gt;"ACCEPTÉ")),1,0)</f>
        <v>0</v>
      </c>
      <c r="AV1598" s="82" t="str">
        <f aca="false">IF(AU1598=1,SUM(AU$7:AU1598),"")</f>
        <v/>
      </c>
      <c r="AW1598" s="82" t="str">
        <f aca="false">IF(E1598="","",B1598&amp;"|"&amp;E1598)</f>
        <v>MFD-ISW → MFD-CPF|DJ°224</v>
      </c>
    </row>
    <row r="1599" customFormat="false" ht="74.6" hidden="false" customHeight="false" outlineLevel="0" collapsed="false">
      <c r="A1599" s="79" t="n">
        <f aca="false">IF(E1599="","",ROW()-6)</f>
        <v>1593</v>
      </c>
      <c r="B1599" s="80" t="s">
        <v>110</v>
      </c>
      <c r="C1599" s="81" t="s">
        <v>1917</v>
      </c>
      <c r="D1599" s="81" t="n">
        <v>14</v>
      </c>
      <c r="E1599" s="81" t="s">
        <v>1928</v>
      </c>
      <c r="F1599" s="82" t="str">
        <f aca="false">IF(E1599="","",IF(LEFT(E1599,2)="DJ","DJ","JN"))</f>
        <v>JN</v>
      </c>
      <c r="G1599" s="81" t="s">
        <v>1504</v>
      </c>
      <c r="H1599" s="81" t="s">
        <v>871</v>
      </c>
      <c r="I1599" s="81" t="n">
        <v>9.53</v>
      </c>
      <c r="J1599" s="81" t="s">
        <v>872</v>
      </c>
      <c r="K1599" s="81" t="s">
        <v>879</v>
      </c>
      <c r="L1599" s="81" t="n">
        <v>2097270</v>
      </c>
      <c r="M1599" s="81" t="n">
        <v>15421112</v>
      </c>
      <c r="N1599" s="81" t="n">
        <v>11.94</v>
      </c>
      <c r="O1599" s="81" t="n">
        <v>2095670</v>
      </c>
      <c r="P1599" s="81" t="n">
        <v>15421111</v>
      </c>
      <c r="Q1599" s="81" t="n">
        <v>11.94</v>
      </c>
      <c r="R1599" s="81" t="s">
        <v>1795</v>
      </c>
      <c r="S1599" s="81"/>
      <c r="T1599" s="81"/>
      <c r="U1599" s="83" t="n">
        <v>46275</v>
      </c>
      <c r="V1599" s="83" t="n">
        <v>46275</v>
      </c>
      <c r="W1599" s="81" t="s">
        <v>1875</v>
      </c>
      <c r="X1599" s="81" t="s">
        <v>876</v>
      </c>
      <c r="Y1599" s="83" t="n">
        <v>46279</v>
      </c>
      <c r="Z1599" s="81" t="s">
        <v>1920</v>
      </c>
      <c r="AA1599" s="81" t="s">
        <v>876</v>
      </c>
      <c r="AB1599" s="81"/>
      <c r="AC1599" s="81"/>
      <c r="AD1599" s="81"/>
      <c r="AE1599" s="83"/>
      <c r="AF1599" s="81"/>
      <c r="AG1599" s="81"/>
      <c r="AH1599" s="81"/>
      <c r="AI1599" s="81"/>
      <c r="AJ1599" s="83"/>
      <c r="AK1599" s="81"/>
      <c r="AL1599" s="81"/>
      <c r="AM1599" s="83"/>
      <c r="AN1599" s="80"/>
      <c r="AO1599" s="82" t="n">
        <f aca="false">IF(E1599="","",(AA1599&lt;&gt;"")+(AG1599&lt;&gt;"")+(AL1599&lt;&gt;""))</f>
        <v>1</v>
      </c>
      <c r="AP1599" s="82" t="str">
        <f aca="false">IF(AL1599&lt;&gt;"",AL1599,IF(AG1599&lt;&gt;"",AG1599,IF(AA1599&lt;&gt;"",AA1599,"")))</f>
        <v>A</v>
      </c>
      <c r="AQ1599" s="84" t="str">
        <f aca="false">IF(E1599="","",IF(U1599="","À SOUDER",IF(X1599="","VT EN ATTENTE",IF(X1599="R","VT REJETÉ – À REPRENDRE",IF(AP1599="","À RADIOGRAPHIER",IF(AP1599="A","ACCEPTÉ",IF(AP1599="NX","NX – RT À REFAIRE",IF(IF(AO1599=1,AD1599,IF(AO1599=2,AI1599,""))="A","RÉPARÉ – À RADIOGRAPHIER",IF(IF(AO1599=1,AD1599,IF(AO1599=2,AI1599,""))="R","VT REJETÉ – À REPRENDRE",IF(OR(AP1599="CO",AP1599="NT"),"COUPE – À RESOUDER","À RÉPARER"))))))))))</f>
        <v>ACCEPTÉ</v>
      </c>
      <c r="AR1599" s="82" t="str">
        <f aca="false">IF(AND(ISNUMBER(U1599),OR(AQ1599="À RADIOGRAPHIER",AQ1599="RÉPARÉ – À RADIOGRAPHIER",AQ1599="NX – RT À REFAIRE",AQ1599="À RÉPARER",AQ1599="COUPE – À RESOUDER",AQ1599="VT REJETÉ – À REPRENDRE")),MAX(0,'PROGRAMME RT'!$C$4-U1599),"")</f>
        <v/>
      </c>
      <c r="AS1599" s="82" t="n">
        <f aca="false">IF(AND(OR(AQ1599="À RADIOGRAPHIER",AQ1599="RÉPARÉ – À RADIOGRAPHIER",AQ1599="NX – RT À REFAIRE"),OR('PROGRAMME RT'!$D$5="TOUTES",B1599='PROGRAMME RT'!$D$5)),1,0)</f>
        <v>0</v>
      </c>
      <c r="AT1599" s="82" t="str">
        <f aca="false">IF(AS1599=1,SUM(AS$7:AS1599),"")</f>
        <v/>
      </c>
      <c r="AU1599" s="82" t="n">
        <f aca="false">IF(AND(OR(AA1599="R",AA1599="NX",AA1599="NT",AA1599="CO"),OR('JOINTS DE RÉPARATION'!$D$5="TOUTES",B1599='JOINTS DE RÉPARATION'!$D$5),OR('JOINTS DE RÉPARATION'!$L$4="TOUS",AQ1599&lt;&gt;"ACCEPTÉ")),1,0)</f>
        <v>0</v>
      </c>
      <c r="AV1599" s="82" t="str">
        <f aca="false">IF(AU1599=1,SUM(AU$7:AU1599),"")</f>
        <v/>
      </c>
      <c r="AW1599" s="82" t="str">
        <f aca="false">IF(E1599="","",B1599&amp;"|"&amp;E1599)</f>
        <v>MFD-ISW → MFD-CPF|JN°1306</v>
      </c>
    </row>
    <row r="1600" customFormat="false" ht="74.6" hidden="false" customHeight="false" outlineLevel="0" collapsed="false">
      <c r="A1600" s="79" t="n">
        <f aca="false">IF(E1600="","",ROW()-6)</f>
        <v>1594</v>
      </c>
      <c r="B1600" s="80" t="s">
        <v>110</v>
      </c>
      <c r="C1600" s="81" t="s">
        <v>1917</v>
      </c>
      <c r="D1600" s="81" t="n">
        <v>14</v>
      </c>
      <c r="E1600" s="81" t="s">
        <v>1929</v>
      </c>
      <c r="F1600" s="82" t="str">
        <f aca="false">IF(E1600="","",IF(LEFT(E1600,2)="DJ","DJ","JN"))</f>
        <v>DJ</v>
      </c>
      <c r="G1600" s="81"/>
      <c r="H1600" s="81" t="s">
        <v>871</v>
      </c>
      <c r="I1600" s="81" t="n">
        <v>9.53</v>
      </c>
      <c r="J1600" s="81" t="s">
        <v>872</v>
      </c>
      <c r="K1600" s="81" t="s">
        <v>873</v>
      </c>
      <c r="L1600" s="81" t="n">
        <v>2095670</v>
      </c>
      <c r="M1600" s="81" t="n">
        <v>15421111</v>
      </c>
      <c r="N1600" s="81" t="n">
        <v>11.94</v>
      </c>
      <c r="O1600" s="81" t="n">
        <v>2097170</v>
      </c>
      <c r="P1600" s="81" t="n">
        <v>15421112</v>
      </c>
      <c r="Q1600" s="81" t="n">
        <v>11.94</v>
      </c>
      <c r="R1600" s="81" t="s">
        <v>963</v>
      </c>
      <c r="S1600" s="81"/>
      <c r="T1600" s="81"/>
      <c r="U1600" s="83" t="n">
        <v>46262</v>
      </c>
      <c r="V1600" s="83" t="n">
        <v>46262</v>
      </c>
      <c r="W1600" s="81" t="s">
        <v>1930</v>
      </c>
      <c r="X1600" s="81" t="s">
        <v>876</v>
      </c>
      <c r="Y1600" s="83" t="n">
        <v>46266</v>
      </c>
      <c r="Z1600" s="81" t="s">
        <v>1911</v>
      </c>
      <c r="AA1600" s="81" t="s">
        <v>876</v>
      </c>
      <c r="AB1600" s="81"/>
      <c r="AC1600" s="81"/>
      <c r="AD1600" s="81"/>
      <c r="AE1600" s="83"/>
      <c r="AF1600" s="81"/>
      <c r="AG1600" s="81"/>
      <c r="AH1600" s="81"/>
      <c r="AI1600" s="81"/>
      <c r="AJ1600" s="83"/>
      <c r="AK1600" s="81"/>
      <c r="AL1600" s="81"/>
      <c r="AM1600" s="83"/>
      <c r="AN1600" s="80"/>
      <c r="AO1600" s="82" t="n">
        <f aca="false">IF(E1600="","",(AA1600&lt;&gt;"")+(AG1600&lt;&gt;"")+(AL1600&lt;&gt;""))</f>
        <v>1</v>
      </c>
      <c r="AP1600" s="82" t="str">
        <f aca="false">IF(AL1600&lt;&gt;"",AL1600,IF(AG1600&lt;&gt;"",AG1600,IF(AA1600&lt;&gt;"",AA1600,"")))</f>
        <v>A</v>
      </c>
      <c r="AQ1600" s="84" t="str">
        <f aca="false">IF(E1600="","",IF(U1600="","À SOUDER",IF(X1600="","VT EN ATTENTE",IF(X1600="R","VT REJETÉ – À REPRENDRE",IF(AP1600="","À RADIOGRAPHIER",IF(AP1600="A","ACCEPTÉ",IF(AP1600="NX","NX – RT À REFAIRE",IF(IF(AO1600=1,AD1600,IF(AO1600=2,AI1600,""))="A","RÉPARÉ – À RADIOGRAPHIER",IF(IF(AO1600=1,AD1600,IF(AO1600=2,AI1600,""))="R","VT REJETÉ – À REPRENDRE",IF(OR(AP1600="CO",AP1600="NT"),"COUPE – À RESOUDER","À RÉPARER"))))))))))</f>
        <v>ACCEPTÉ</v>
      </c>
      <c r="AR1600" s="82" t="str">
        <f aca="false">IF(AND(ISNUMBER(U1600),OR(AQ1600="À RADIOGRAPHIER",AQ1600="RÉPARÉ – À RADIOGRAPHIER",AQ1600="NX – RT À REFAIRE",AQ1600="À RÉPARER",AQ1600="COUPE – À RESOUDER",AQ1600="VT REJETÉ – À REPRENDRE")),MAX(0,'PROGRAMME RT'!$C$4-U1600),"")</f>
        <v/>
      </c>
      <c r="AS1600" s="82" t="n">
        <f aca="false">IF(AND(OR(AQ1600="À RADIOGRAPHIER",AQ1600="RÉPARÉ – À RADIOGRAPHIER",AQ1600="NX – RT À REFAIRE"),OR('PROGRAMME RT'!$D$5="TOUTES",B1600='PROGRAMME RT'!$D$5)),1,0)</f>
        <v>0</v>
      </c>
      <c r="AT1600" s="82" t="str">
        <f aca="false">IF(AS1600=1,SUM(AS$7:AS1600),"")</f>
        <v/>
      </c>
      <c r="AU1600" s="82" t="n">
        <f aca="false">IF(AND(OR(AA1600="R",AA1600="NX",AA1600="NT",AA1600="CO"),OR('JOINTS DE RÉPARATION'!$D$5="TOUTES",B1600='JOINTS DE RÉPARATION'!$D$5),OR('JOINTS DE RÉPARATION'!$L$4="TOUS",AQ1600&lt;&gt;"ACCEPTÉ")),1,0)</f>
        <v>0</v>
      </c>
      <c r="AV1600" s="82" t="str">
        <f aca="false">IF(AU1600=1,SUM(AU$7:AU1600),"")</f>
        <v/>
      </c>
      <c r="AW1600" s="82" t="str">
        <f aca="false">IF(E1600="","",B1600&amp;"|"&amp;E1600)</f>
        <v>MFD-ISW → MFD-CPF|DJ°181</v>
      </c>
    </row>
    <row r="1601" customFormat="false" ht="74.6" hidden="false" customHeight="false" outlineLevel="0" collapsed="false">
      <c r="A1601" s="79" t="n">
        <f aca="false">IF(E1601="","",ROW()-6)</f>
        <v>1595</v>
      </c>
      <c r="B1601" s="80" t="s">
        <v>110</v>
      </c>
      <c r="C1601" s="81" t="s">
        <v>1917</v>
      </c>
      <c r="D1601" s="81" t="n">
        <v>14</v>
      </c>
      <c r="E1601" s="81" t="s">
        <v>1931</v>
      </c>
      <c r="F1601" s="82" t="str">
        <f aca="false">IF(E1601="","",IF(LEFT(E1601,2)="DJ","DJ","JN"))</f>
        <v>JN</v>
      </c>
      <c r="G1601" s="81" t="s">
        <v>1504</v>
      </c>
      <c r="H1601" s="81" t="s">
        <v>871</v>
      </c>
      <c r="I1601" s="81" t="n">
        <v>9.53</v>
      </c>
      <c r="J1601" s="81" t="s">
        <v>872</v>
      </c>
      <c r="K1601" s="81" t="s">
        <v>1861</v>
      </c>
      <c r="L1601" s="81" t="n">
        <v>2097170</v>
      </c>
      <c r="M1601" s="81" t="n">
        <v>15421112</v>
      </c>
      <c r="N1601" s="81" t="n">
        <v>11.94</v>
      </c>
      <c r="O1601" s="81" t="n">
        <v>2094480</v>
      </c>
      <c r="P1601" s="81" t="n">
        <v>15421111</v>
      </c>
      <c r="Q1601" s="81" t="n">
        <v>11.94</v>
      </c>
      <c r="R1601" s="81" t="s">
        <v>1884</v>
      </c>
      <c r="S1601" s="81"/>
      <c r="T1601" s="81"/>
      <c r="U1601" s="83" t="n">
        <v>46291</v>
      </c>
      <c r="V1601" s="83" t="n">
        <v>46291</v>
      </c>
      <c r="W1601" s="81" t="s">
        <v>1878</v>
      </c>
      <c r="X1601" s="81" t="s">
        <v>876</v>
      </c>
      <c r="Y1601" s="83"/>
      <c r="Z1601" s="81"/>
      <c r="AA1601" s="81"/>
      <c r="AB1601" s="81" t="s">
        <v>1932</v>
      </c>
      <c r="AC1601" s="81"/>
      <c r="AD1601" s="81"/>
      <c r="AE1601" s="83"/>
      <c r="AF1601" s="81"/>
      <c r="AG1601" s="81"/>
      <c r="AH1601" s="81"/>
      <c r="AI1601" s="81"/>
      <c r="AJ1601" s="83"/>
      <c r="AK1601" s="81"/>
      <c r="AL1601" s="81"/>
      <c r="AM1601" s="83"/>
      <c r="AN1601" s="80"/>
      <c r="AO1601" s="82" t="n">
        <f aca="false">IF(E1601="","",(AA1601&lt;&gt;"")+(AG1601&lt;&gt;"")+(AL1601&lt;&gt;""))</f>
        <v>0</v>
      </c>
      <c r="AP1601" s="82" t="str">
        <f aca="false">IF(AL1601&lt;&gt;"",AL1601,IF(AG1601&lt;&gt;"",AG1601,IF(AA1601&lt;&gt;"",AA1601,"")))</f>
        <v/>
      </c>
      <c r="AQ1601" s="84" t="str">
        <f aca="false">IF(E1601="","",IF(U1601="","À SOUDER",IF(X1601="","VT EN ATTENTE",IF(X1601="R","VT REJETÉ – À REPRENDRE",IF(AP1601="","À RADIOGRAPHIER",IF(AP1601="A","ACCEPTÉ",IF(AP1601="NX","NX – RT À REFAIRE",IF(IF(AO1601=1,AD1601,IF(AO1601=2,AI1601,""))="A","RÉPARÉ – À RADIOGRAPHIER",IF(IF(AO1601=1,AD1601,IF(AO1601=2,AI1601,""))="R","VT REJETÉ – À REPRENDRE",IF(OR(AP1601="CO",AP1601="NT"),"COUPE – À RESOUDER","À RÉPARER"))))))))))</f>
        <v>À RADIOGRAPHIER</v>
      </c>
      <c r="AR1601" s="82" t="n">
        <f aca="false">IF(AND(ISNUMBER(U1601),OR(AQ1601="À RADIOGRAPHIER",AQ1601="RÉPARÉ – À RADIOGRAPHIER",AQ1601="NX – RT À REFAIRE",AQ1601="À RÉPARER",AQ1601="COUPE – À RESOUDER",AQ1601="VT REJETÉ – À REPRENDRE")),MAX(0,'PROGRAMME RT'!$C$4-U1601),"")</f>
        <v>2</v>
      </c>
      <c r="AS1601" s="82" t="n">
        <f aca="false">IF(AND(OR(AQ1601="À RADIOGRAPHIER",AQ1601="RÉPARÉ – À RADIOGRAPHIER",AQ1601="NX – RT À REFAIRE"),OR('PROGRAMME RT'!$D$5="TOUTES",B1601='PROGRAMME RT'!$D$5)),1,0)</f>
        <v>1</v>
      </c>
      <c r="AT1601" s="82" t="n">
        <f aca="false">IF(AS1601=1,SUM(AS$7:AS1601),"")</f>
        <v>81</v>
      </c>
      <c r="AU1601" s="82" t="n">
        <f aca="false">IF(AND(OR(AA1601="R",AA1601="NX",AA1601="NT",AA1601="CO"),OR('JOINTS DE RÉPARATION'!$D$5="TOUTES",B1601='JOINTS DE RÉPARATION'!$D$5),OR('JOINTS DE RÉPARATION'!$L$4="TOUS",AQ1601&lt;&gt;"ACCEPTÉ")),1,0)</f>
        <v>0</v>
      </c>
      <c r="AV1601" s="82" t="str">
        <f aca="false">IF(AU1601=1,SUM(AU$7:AU1601),"")</f>
        <v/>
      </c>
      <c r="AW1601" s="82" t="str">
        <f aca="false">IF(E1601="","",B1601&amp;"|"&amp;E1601)</f>
        <v>MFD-ISW → MFD-CPF|JN°1307R</v>
      </c>
    </row>
    <row r="1602" customFormat="false" ht="74.6" hidden="false" customHeight="false" outlineLevel="0" collapsed="false">
      <c r="A1602" s="79" t="n">
        <f aca="false">IF(E1602="","",ROW()-6)</f>
        <v>1596</v>
      </c>
      <c r="B1602" s="80" t="s">
        <v>110</v>
      </c>
      <c r="C1602" s="81" t="s">
        <v>1917</v>
      </c>
      <c r="D1602" s="81" t="n">
        <v>14</v>
      </c>
      <c r="E1602" s="81" t="s">
        <v>1933</v>
      </c>
      <c r="F1602" s="82" t="str">
        <f aca="false">IF(E1602="","",IF(LEFT(E1602,2)="DJ","DJ","JN"))</f>
        <v>DJ</v>
      </c>
      <c r="G1602" s="81"/>
      <c r="H1602" s="81" t="s">
        <v>871</v>
      </c>
      <c r="I1602" s="81" t="n">
        <v>9.53</v>
      </c>
      <c r="J1602" s="81" t="s">
        <v>872</v>
      </c>
      <c r="K1602" s="81" t="s">
        <v>873</v>
      </c>
      <c r="L1602" s="81" t="n">
        <v>2094480</v>
      </c>
      <c r="M1602" s="81" t="n">
        <v>15421111</v>
      </c>
      <c r="N1602" s="81" t="n">
        <v>11.94</v>
      </c>
      <c r="O1602" s="81" t="n">
        <v>2080020</v>
      </c>
      <c r="P1602" s="81" t="n">
        <v>15421102</v>
      </c>
      <c r="Q1602" s="81" t="n">
        <v>11.94</v>
      </c>
      <c r="R1602" s="81" t="s">
        <v>1862</v>
      </c>
      <c r="S1602" s="81"/>
      <c r="T1602" s="81"/>
      <c r="U1602" s="83" t="n">
        <v>46265</v>
      </c>
      <c r="V1602" s="83" t="n">
        <v>46265</v>
      </c>
      <c r="W1602" s="81" t="s">
        <v>1891</v>
      </c>
      <c r="X1602" s="81" t="s">
        <v>876</v>
      </c>
      <c r="Y1602" s="83" t="n">
        <v>46266</v>
      </c>
      <c r="Z1602" s="81" t="s">
        <v>1927</v>
      </c>
      <c r="AA1602" s="81" t="s">
        <v>876</v>
      </c>
      <c r="AB1602" s="81"/>
      <c r="AC1602" s="81"/>
      <c r="AD1602" s="81"/>
      <c r="AE1602" s="83"/>
      <c r="AF1602" s="81"/>
      <c r="AG1602" s="81"/>
      <c r="AH1602" s="81"/>
      <c r="AI1602" s="81"/>
      <c r="AJ1602" s="83"/>
      <c r="AK1602" s="81"/>
      <c r="AL1602" s="81"/>
      <c r="AM1602" s="83"/>
      <c r="AN1602" s="80"/>
      <c r="AO1602" s="82" t="n">
        <f aca="false">IF(E1602="","",(AA1602&lt;&gt;"")+(AG1602&lt;&gt;"")+(AL1602&lt;&gt;""))</f>
        <v>1</v>
      </c>
      <c r="AP1602" s="82" t="str">
        <f aca="false">IF(AL1602&lt;&gt;"",AL1602,IF(AG1602&lt;&gt;"",AG1602,IF(AA1602&lt;&gt;"",AA1602,"")))</f>
        <v>A</v>
      </c>
      <c r="AQ1602" s="84" t="str">
        <f aca="false">IF(E1602="","",IF(U1602="","À SOUDER",IF(X1602="","VT EN ATTENTE",IF(X1602="R","VT REJETÉ – À REPRENDRE",IF(AP1602="","À RADIOGRAPHIER",IF(AP1602="A","ACCEPTÉ",IF(AP1602="NX","NX – RT À REFAIRE",IF(IF(AO1602=1,AD1602,IF(AO1602=2,AI1602,""))="A","RÉPARÉ – À RADIOGRAPHIER",IF(IF(AO1602=1,AD1602,IF(AO1602=2,AI1602,""))="R","VT REJETÉ – À REPRENDRE",IF(OR(AP1602="CO",AP1602="NT"),"COUPE – À RESOUDER","À RÉPARER"))))))))))</f>
        <v>ACCEPTÉ</v>
      </c>
      <c r="AR1602" s="82" t="str">
        <f aca="false">IF(AND(ISNUMBER(U1602),OR(AQ1602="À RADIOGRAPHIER",AQ1602="RÉPARÉ – À RADIOGRAPHIER",AQ1602="NX – RT À REFAIRE",AQ1602="À RÉPARER",AQ1602="COUPE – À RESOUDER",AQ1602="VT REJETÉ – À REPRENDRE")),MAX(0,'PROGRAMME RT'!$C$4-U1602),"")</f>
        <v/>
      </c>
      <c r="AS1602" s="82" t="n">
        <f aca="false">IF(AND(OR(AQ1602="À RADIOGRAPHIER",AQ1602="RÉPARÉ – À RADIOGRAPHIER",AQ1602="NX – RT À REFAIRE"),OR('PROGRAMME RT'!$D$5="TOUTES",B1602='PROGRAMME RT'!$D$5)),1,0)</f>
        <v>0</v>
      </c>
      <c r="AT1602" s="82" t="str">
        <f aca="false">IF(AS1602=1,SUM(AS$7:AS1602),"")</f>
        <v/>
      </c>
      <c r="AU1602" s="82" t="n">
        <f aca="false">IF(AND(OR(AA1602="R",AA1602="NX",AA1602="NT",AA1602="CO"),OR('JOINTS DE RÉPARATION'!$D$5="TOUTES",B1602='JOINTS DE RÉPARATION'!$D$5),OR('JOINTS DE RÉPARATION'!$L$4="TOUS",AQ1602&lt;&gt;"ACCEPTÉ")),1,0)</f>
        <v>0</v>
      </c>
      <c r="AV1602" s="82" t="str">
        <f aca="false">IF(AU1602=1,SUM(AU$7:AU1602),"")</f>
        <v/>
      </c>
      <c r="AW1602" s="82" t="str">
        <f aca="false">IF(E1602="","",B1602&amp;"|"&amp;E1602)</f>
        <v>MFD-ISW → MFD-CPF|DJ°223</v>
      </c>
    </row>
    <row r="1603" customFormat="false" ht="74.6" hidden="false" customHeight="false" outlineLevel="0" collapsed="false">
      <c r="A1603" s="79" t="n">
        <f aca="false">IF(E1603="","",ROW()-6)</f>
        <v>1597</v>
      </c>
      <c r="B1603" s="80" t="s">
        <v>110</v>
      </c>
      <c r="C1603" s="81" t="s">
        <v>1917</v>
      </c>
      <c r="D1603" s="81" t="n">
        <v>14</v>
      </c>
      <c r="E1603" s="81" t="s">
        <v>1934</v>
      </c>
      <c r="F1603" s="82" t="str">
        <f aca="false">IF(E1603="","",IF(LEFT(E1603,2)="DJ","DJ","JN"))</f>
        <v>JN</v>
      </c>
      <c r="G1603" s="81" t="s">
        <v>1504</v>
      </c>
      <c r="H1603" s="81" t="s">
        <v>871</v>
      </c>
      <c r="I1603" s="81" t="n">
        <v>9.53</v>
      </c>
      <c r="J1603" s="81" t="s">
        <v>872</v>
      </c>
      <c r="K1603" s="81" t="s">
        <v>1861</v>
      </c>
      <c r="L1603" s="81" t="n">
        <v>2080020</v>
      </c>
      <c r="M1603" s="81" t="n">
        <v>15421102</v>
      </c>
      <c r="N1603" s="81" t="n">
        <v>11.94</v>
      </c>
      <c r="O1603" s="81" t="n">
        <v>2096390</v>
      </c>
      <c r="P1603" s="81" t="n">
        <v>15421111</v>
      </c>
      <c r="Q1603" s="81" t="n">
        <v>11.94</v>
      </c>
      <c r="R1603" s="81" t="s">
        <v>1862</v>
      </c>
      <c r="S1603" s="81"/>
      <c r="T1603" s="81"/>
      <c r="U1603" s="83" t="n">
        <v>46291</v>
      </c>
      <c r="V1603" s="83" t="n">
        <v>46291</v>
      </c>
      <c r="W1603" s="81" t="s">
        <v>1878</v>
      </c>
      <c r="X1603" s="81" t="s">
        <v>876</v>
      </c>
      <c r="Y1603" s="83"/>
      <c r="Z1603" s="81"/>
      <c r="AA1603" s="81"/>
      <c r="AB1603" s="81" t="s">
        <v>1935</v>
      </c>
      <c r="AC1603" s="81"/>
      <c r="AD1603" s="81"/>
      <c r="AE1603" s="83"/>
      <c r="AF1603" s="81"/>
      <c r="AG1603" s="81"/>
      <c r="AH1603" s="81"/>
      <c r="AI1603" s="81"/>
      <c r="AJ1603" s="83"/>
      <c r="AK1603" s="81"/>
      <c r="AL1603" s="81"/>
      <c r="AM1603" s="83"/>
      <c r="AN1603" s="80"/>
      <c r="AO1603" s="82" t="n">
        <f aca="false">IF(E1603="","",(AA1603&lt;&gt;"")+(AG1603&lt;&gt;"")+(AL1603&lt;&gt;""))</f>
        <v>0</v>
      </c>
      <c r="AP1603" s="82" t="str">
        <f aca="false">IF(AL1603&lt;&gt;"",AL1603,IF(AG1603&lt;&gt;"",AG1603,IF(AA1603&lt;&gt;"",AA1603,"")))</f>
        <v/>
      </c>
      <c r="AQ1603" s="84" t="str">
        <f aca="false">IF(E1603="","",IF(U1603="","À SOUDER",IF(X1603="","VT EN ATTENTE",IF(X1603="R","VT REJETÉ – À REPRENDRE",IF(AP1603="","À RADIOGRAPHIER",IF(AP1603="A","ACCEPTÉ",IF(AP1603="NX","NX – RT À REFAIRE",IF(IF(AO1603=1,AD1603,IF(AO1603=2,AI1603,""))="A","RÉPARÉ – À RADIOGRAPHIER",IF(IF(AO1603=1,AD1603,IF(AO1603=2,AI1603,""))="R","VT REJETÉ – À REPRENDRE",IF(OR(AP1603="CO",AP1603="NT"),"COUPE – À RESOUDER","À RÉPARER"))))))))))</f>
        <v>À RADIOGRAPHIER</v>
      </c>
      <c r="AR1603" s="82" t="n">
        <f aca="false">IF(AND(ISNUMBER(U1603),OR(AQ1603="À RADIOGRAPHIER",AQ1603="RÉPARÉ – À RADIOGRAPHIER",AQ1603="NX – RT À REFAIRE",AQ1603="À RÉPARER",AQ1603="COUPE – À RESOUDER",AQ1603="VT REJETÉ – À REPRENDRE")),MAX(0,'PROGRAMME RT'!$C$4-U1603),"")</f>
        <v>2</v>
      </c>
      <c r="AS1603" s="82" t="n">
        <f aca="false">IF(AND(OR(AQ1603="À RADIOGRAPHIER",AQ1603="RÉPARÉ – À RADIOGRAPHIER",AQ1603="NX – RT À REFAIRE"),OR('PROGRAMME RT'!$D$5="TOUTES",B1603='PROGRAMME RT'!$D$5)),1,0)</f>
        <v>1</v>
      </c>
      <c r="AT1603" s="82" t="n">
        <f aca="false">IF(AS1603=1,SUM(AS$7:AS1603),"")</f>
        <v>82</v>
      </c>
      <c r="AU1603" s="82" t="n">
        <f aca="false">IF(AND(OR(AA1603="R",AA1603="NX",AA1603="NT",AA1603="CO"),OR('JOINTS DE RÉPARATION'!$D$5="TOUTES",B1603='JOINTS DE RÉPARATION'!$D$5),OR('JOINTS DE RÉPARATION'!$L$4="TOUS",AQ1603&lt;&gt;"ACCEPTÉ")),1,0)</f>
        <v>0</v>
      </c>
      <c r="AV1603" s="82" t="str">
        <f aca="false">IF(AU1603=1,SUM(AU$7:AU1603),"")</f>
        <v/>
      </c>
      <c r="AW1603" s="82" t="str">
        <f aca="false">IF(E1603="","",B1603&amp;"|"&amp;E1603)</f>
        <v>MFD-ISW → MFD-CPF|JN°1308R</v>
      </c>
    </row>
    <row r="1604" customFormat="false" ht="74.6" hidden="false" customHeight="false" outlineLevel="0" collapsed="false">
      <c r="A1604" s="79" t="n">
        <f aca="false">IF(E1604="","",ROW()-6)</f>
        <v>1598</v>
      </c>
      <c r="B1604" s="80" t="s">
        <v>110</v>
      </c>
      <c r="C1604" s="81" t="s">
        <v>1917</v>
      </c>
      <c r="D1604" s="81" t="n">
        <v>14</v>
      </c>
      <c r="E1604" s="81" t="s">
        <v>1936</v>
      </c>
      <c r="F1604" s="82" t="str">
        <f aca="false">IF(E1604="","",IF(LEFT(E1604,2)="DJ","DJ","JN"))</f>
        <v>DJ</v>
      </c>
      <c r="G1604" s="81"/>
      <c r="H1604" s="81" t="s">
        <v>871</v>
      </c>
      <c r="I1604" s="81" t="n">
        <v>9.53</v>
      </c>
      <c r="J1604" s="81" t="s">
        <v>872</v>
      </c>
      <c r="K1604" s="81" t="s">
        <v>873</v>
      </c>
      <c r="L1604" s="81" t="n">
        <v>2096390</v>
      </c>
      <c r="M1604" s="81" t="n">
        <v>15421111</v>
      </c>
      <c r="N1604" s="81" t="n">
        <v>11.94</v>
      </c>
      <c r="O1604" s="81" t="n">
        <v>2082470</v>
      </c>
      <c r="P1604" s="81" t="n">
        <v>15421104</v>
      </c>
      <c r="Q1604" s="81" t="n">
        <v>11.94</v>
      </c>
      <c r="R1604" s="81" t="s">
        <v>1135</v>
      </c>
      <c r="S1604" s="81"/>
      <c r="T1604" s="81"/>
      <c r="U1604" s="83" t="n">
        <v>46262</v>
      </c>
      <c r="V1604" s="83" t="n">
        <v>46262</v>
      </c>
      <c r="W1604" s="81" t="s">
        <v>1930</v>
      </c>
      <c r="X1604" s="81" t="s">
        <v>876</v>
      </c>
      <c r="Y1604" s="83" t="n">
        <v>46266</v>
      </c>
      <c r="Z1604" s="81" t="s">
        <v>1911</v>
      </c>
      <c r="AA1604" s="81" t="s">
        <v>876</v>
      </c>
      <c r="AB1604" s="81"/>
      <c r="AC1604" s="81"/>
      <c r="AD1604" s="81"/>
      <c r="AE1604" s="83"/>
      <c r="AF1604" s="81"/>
      <c r="AG1604" s="81"/>
      <c r="AH1604" s="81"/>
      <c r="AI1604" s="81"/>
      <c r="AJ1604" s="83"/>
      <c r="AK1604" s="81"/>
      <c r="AL1604" s="81"/>
      <c r="AM1604" s="83"/>
      <c r="AN1604" s="80"/>
      <c r="AO1604" s="82" t="n">
        <f aca="false">IF(E1604="","",(AA1604&lt;&gt;"")+(AG1604&lt;&gt;"")+(AL1604&lt;&gt;""))</f>
        <v>1</v>
      </c>
      <c r="AP1604" s="82" t="str">
        <f aca="false">IF(AL1604&lt;&gt;"",AL1604,IF(AG1604&lt;&gt;"",AG1604,IF(AA1604&lt;&gt;"",AA1604,"")))</f>
        <v>A</v>
      </c>
      <c r="AQ1604" s="84" t="str">
        <f aca="false">IF(E1604="","",IF(U1604="","À SOUDER",IF(X1604="","VT EN ATTENTE",IF(X1604="R","VT REJETÉ – À REPRENDRE",IF(AP1604="","À RADIOGRAPHIER",IF(AP1604="A","ACCEPTÉ",IF(AP1604="NX","NX – RT À REFAIRE",IF(IF(AO1604=1,AD1604,IF(AO1604=2,AI1604,""))="A","RÉPARÉ – À RADIOGRAPHIER",IF(IF(AO1604=1,AD1604,IF(AO1604=2,AI1604,""))="R","VT REJETÉ – À REPRENDRE",IF(OR(AP1604="CO",AP1604="NT"),"COUPE – À RESOUDER","À RÉPARER"))))))))))</f>
        <v>ACCEPTÉ</v>
      </c>
      <c r="AR1604" s="82" t="str">
        <f aca="false">IF(AND(ISNUMBER(U1604),OR(AQ1604="À RADIOGRAPHIER",AQ1604="RÉPARÉ – À RADIOGRAPHIER",AQ1604="NX – RT À REFAIRE",AQ1604="À RÉPARER",AQ1604="COUPE – À RESOUDER",AQ1604="VT REJETÉ – À REPRENDRE")),MAX(0,'PROGRAMME RT'!$C$4-U1604),"")</f>
        <v/>
      </c>
      <c r="AS1604" s="82" t="n">
        <f aca="false">IF(AND(OR(AQ1604="À RADIOGRAPHIER",AQ1604="RÉPARÉ – À RADIOGRAPHIER",AQ1604="NX – RT À REFAIRE"),OR('PROGRAMME RT'!$D$5="TOUTES",B1604='PROGRAMME RT'!$D$5)),1,0)</f>
        <v>0</v>
      </c>
      <c r="AT1604" s="82" t="str">
        <f aca="false">IF(AS1604=1,SUM(AS$7:AS1604),"")</f>
        <v/>
      </c>
      <c r="AU1604" s="82" t="n">
        <f aca="false">IF(AND(OR(AA1604="R",AA1604="NX",AA1604="NT",AA1604="CO"),OR('JOINTS DE RÉPARATION'!$D$5="TOUTES",B1604='JOINTS DE RÉPARATION'!$D$5),OR('JOINTS DE RÉPARATION'!$L$4="TOUS",AQ1604&lt;&gt;"ACCEPTÉ")),1,0)</f>
        <v>0</v>
      </c>
      <c r="AV1604" s="82" t="str">
        <f aca="false">IF(AU1604=1,SUM(AU$7:AU1604),"")</f>
        <v/>
      </c>
      <c r="AW1604" s="82" t="str">
        <f aca="false">IF(E1604="","",B1604&amp;"|"&amp;E1604)</f>
        <v>MFD-ISW → MFD-CPF|DJ°179</v>
      </c>
    </row>
    <row r="1605" customFormat="false" ht="74.6" hidden="false" customHeight="false" outlineLevel="0" collapsed="false">
      <c r="A1605" s="79" t="n">
        <f aca="false">IF(E1605="","",ROW()-6)</f>
        <v>1599</v>
      </c>
      <c r="B1605" s="80" t="s">
        <v>110</v>
      </c>
      <c r="C1605" s="81" t="s">
        <v>1917</v>
      </c>
      <c r="D1605" s="81" t="n">
        <v>14</v>
      </c>
      <c r="E1605" s="81" t="s">
        <v>1937</v>
      </c>
      <c r="F1605" s="82" t="str">
        <f aca="false">IF(E1605="","",IF(LEFT(E1605,2)="DJ","DJ","JN"))</f>
        <v>JN</v>
      </c>
      <c r="G1605" s="81" t="s">
        <v>1504</v>
      </c>
      <c r="H1605" s="81" t="s">
        <v>871</v>
      </c>
      <c r="I1605" s="81" t="n">
        <v>9.53</v>
      </c>
      <c r="J1605" s="81" t="s">
        <v>872</v>
      </c>
      <c r="K1605" s="81" t="s">
        <v>879</v>
      </c>
      <c r="L1605" s="81" t="n">
        <v>2082470</v>
      </c>
      <c r="M1605" s="81" t="n">
        <v>15421104</v>
      </c>
      <c r="N1605" s="81" t="n">
        <v>11.94</v>
      </c>
      <c r="O1605" s="81" t="n">
        <v>2079880</v>
      </c>
      <c r="P1605" s="81" t="n">
        <v>15421102</v>
      </c>
      <c r="Q1605" s="81" t="n">
        <v>11.94</v>
      </c>
      <c r="R1605" s="81" t="s">
        <v>1938</v>
      </c>
      <c r="S1605" s="81"/>
      <c r="T1605" s="81"/>
      <c r="U1605" s="83" t="n">
        <v>46274</v>
      </c>
      <c r="V1605" s="83" t="n">
        <v>46274</v>
      </c>
      <c r="W1605" s="81" t="s">
        <v>1939</v>
      </c>
      <c r="X1605" s="81" t="s">
        <v>876</v>
      </c>
      <c r="Y1605" s="83" t="n">
        <v>46279</v>
      </c>
      <c r="Z1605" s="81" t="s">
        <v>1920</v>
      </c>
      <c r="AA1605" s="81" t="s">
        <v>876</v>
      </c>
      <c r="AB1605" s="81"/>
      <c r="AC1605" s="81"/>
      <c r="AD1605" s="81"/>
      <c r="AE1605" s="83"/>
      <c r="AF1605" s="81"/>
      <c r="AG1605" s="81"/>
      <c r="AH1605" s="81"/>
      <c r="AI1605" s="81"/>
      <c r="AJ1605" s="83"/>
      <c r="AK1605" s="81"/>
      <c r="AL1605" s="81"/>
      <c r="AM1605" s="83"/>
      <c r="AN1605" s="80"/>
      <c r="AO1605" s="82" t="n">
        <f aca="false">IF(E1605="","",(AA1605&lt;&gt;"")+(AG1605&lt;&gt;"")+(AL1605&lt;&gt;""))</f>
        <v>1</v>
      </c>
      <c r="AP1605" s="82" t="str">
        <f aca="false">IF(AL1605&lt;&gt;"",AL1605,IF(AG1605&lt;&gt;"",AG1605,IF(AA1605&lt;&gt;"",AA1605,"")))</f>
        <v>A</v>
      </c>
      <c r="AQ1605" s="84" t="str">
        <f aca="false">IF(E1605="","",IF(U1605="","À SOUDER",IF(X1605="","VT EN ATTENTE",IF(X1605="R","VT REJETÉ – À REPRENDRE",IF(AP1605="","À RADIOGRAPHIER",IF(AP1605="A","ACCEPTÉ",IF(AP1605="NX","NX – RT À REFAIRE",IF(IF(AO1605=1,AD1605,IF(AO1605=2,AI1605,""))="A","RÉPARÉ – À RADIOGRAPHIER",IF(IF(AO1605=1,AD1605,IF(AO1605=2,AI1605,""))="R","VT REJETÉ – À REPRENDRE",IF(OR(AP1605="CO",AP1605="NT"),"COUPE – À RESOUDER","À RÉPARER"))))))))))</f>
        <v>ACCEPTÉ</v>
      </c>
      <c r="AR1605" s="82" t="str">
        <f aca="false">IF(AND(ISNUMBER(U1605),OR(AQ1605="À RADIOGRAPHIER",AQ1605="RÉPARÉ – À RADIOGRAPHIER",AQ1605="NX – RT À REFAIRE",AQ1605="À RÉPARER",AQ1605="COUPE – À RESOUDER",AQ1605="VT REJETÉ – À REPRENDRE")),MAX(0,'PROGRAMME RT'!$C$4-U1605),"")</f>
        <v/>
      </c>
      <c r="AS1605" s="82" t="n">
        <f aca="false">IF(AND(OR(AQ1605="À RADIOGRAPHIER",AQ1605="RÉPARÉ – À RADIOGRAPHIER",AQ1605="NX – RT À REFAIRE"),OR('PROGRAMME RT'!$D$5="TOUTES",B1605='PROGRAMME RT'!$D$5)),1,0)</f>
        <v>0</v>
      </c>
      <c r="AT1605" s="82" t="str">
        <f aca="false">IF(AS1605=1,SUM(AS$7:AS1605),"")</f>
        <v/>
      </c>
      <c r="AU1605" s="82" t="n">
        <f aca="false">IF(AND(OR(AA1605="R",AA1605="NX",AA1605="NT",AA1605="CO"),OR('JOINTS DE RÉPARATION'!$D$5="TOUTES",B1605='JOINTS DE RÉPARATION'!$D$5),OR('JOINTS DE RÉPARATION'!$L$4="TOUS",AQ1605&lt;&gt;"ACCEPTÉ")),1,0)</f>
        <v>0</v>
      </c>
      <c r="AV1605" s="82" t="str">
        <f aca="false">IF(AU1605=1,SUM(AU$7:AU1605),"")</f>
        <v/>
      </c>
      <c r="AW1605" s="82" t="str">
        <f aca="false">IF(E1605="","",B1605&amp;"|"&amp;E1605)</f>
        <v>MFD-ISW → MFD-CPF|JN°1309</v>
      </c>
    </row>
    <row r="1606" customFormat="false" ht="74.6" hidden="false" customHeight="false" outlineLevel="0" collapsed="false">
      <c r="A1606" s="79" t="n">
        <f aca="false">IF(E1606="","",ROW()-6)</f>
        <v>1600</v>
      </c>
      <c r="B1606" s="80" t="s">
        <v>110</v>
      </c>
      <c r="C1606" s="81" t="s">
        <v>1917</v>
      </c>
      <c r="D1606" s="81" t="n">
        <v>14</v>
      </c>
      <c r="E1606" s="81" t="s">
        <v>1940</v>
      </c>
      <c r="F1606" s="82" t="str">
        <f aca="false">IF(E1606="","",IF(LEFT(E1606,2)="DJ","DJ","JN"))</f>
        <v>DJ</v>
      </c>
      <c r="G1606" s="81"/>
      <c r="H1606" s="81" t="s">
        <v>871</v>
      </c>
      <c r="I1606" s="81" t="n">
        <v>9.53</v>
      </c>
      <c r="J1606" s="81" t="s">
        <v>872</v>
      </c>
      <c r="K1606" s="81" t="s">
        <v>873</v>
      </c>
      <c r="L1606" s="81" t="n">
        <v>2079880</v>
      </c>
      <c r="M1606" s="81" t="n">
        <v>15421102</v>
      </c>
      <c r="N1606" s="81" t="n">
        <v>11.94</v>
      </c>
      <c r="O1606" s="81" t="n">
        <v>2097160</v>
      </c>
      <c r="P1606" s="81" t="n">
        <v>15421112</v>
      </c>
      <c r="Q1606" s="81" t="n">
        <v>11.94</v>
      </c>
      <c r="R1606" s="81" t="s">
        <v>1135</v>
      </c>
      <c r="S1606" s="81"/>
      <c r="T1606" s="81"/>
      <c r="U1606" s="83" t="n">
        <v>46265</v>
      </c>
      <c r="V1606" s="83" t="n">
        <v>46265</v>
      </c>
      <c r="W1606" s="81" t="s">
        <v>1891</v>
      </c>
      <c r="X1606" s="81" t="s">
        <v>876</v>
      </c>
      <c r="Y1606" s="83" t="n">
        <v>46266</v>
      </c>
      <c r="Z1606" s="81" t="s">
        <v>1911</v>
      </c>
      <c r="AA1606" s="81" t="s">
        <v>876</v>
      </c>
      <c r="AB1606" s="81"/>
      <c r="AC1606" s="81"/>
      <c r="AD1606" s="81"/>
      <c r="AE1606" s="83"/>
      <c r="AF1606" s="81"/>
      <c r="AG1606" s="81"/>
      <c r="AH1606" s="81"/>
      <c r="AI1606" s="81"/>
      <c r="AJ1606" s="83"/>
      <c r="AK1606" s="81"/>
      <c r="AL1606" s="81"/>
      <c r="AM1606" s="83"/>
      <c r="AN1606" s="80"/>
      <c r="AO1606" s="82" t="n">
        <f aca="false">IF(E1606="","",(AA1606&lt;&gt;"")+(AG1606&lt;&gt;"")+(AL1606&lt;&gt;""))</f>
        <v>1</v>
      </c>
      <c r="AP1606" s="82" t="str">
        <f aca="false">IF(AL1606&lt;&gt;"",AL1606,IF(AG1606&lt;&gt;"",AG1606,IF(AA1606&lt;&gt;"",AA1606,"")))</f>
        <v>A</v>
      </c>
      <c r="AQ1606" s="84" t="str">
        <f aca="false">IF(E1606="","",IF(U1606="","À SOUDER",IF(X1606="","VT EN ATTENTE",IF(X1606="R","VT REJETÉ – À REPRENDRE",IF(AP1606="","À RADIOGRAPHIER",IF(AP1606="A","ACCEPTÉ",IF(AP1606="NX","NX – RT À REFAIRE",IF(IF(AO1606=1,AD1606,IF(AO1606=2,AI1606,""))="A","RÉPARÉ – À RADIOGRAPHIER",IF(IF(AO1606=1,AD1606,IF(AO1606=2,AI1606,""))="R","VT REJETÉ – À REPRENDRE",IF(OR(AP1606="CO",AP1606="NT"),"COUPE – À RESOUDER","À RÉPARER"))))))))))</f>
        <v>ACCEPTÉ</v>
      </c>
      <c r="AR1606" s="82" t="str">
        <f aca="false">IF(AND(ISNUMBER(U1606),OR(AQ1606="À RADIOGRAPHIER",AQ1606="RÉPARÉ – À RADIOGRAPHIER",AQ1606="NX – RT À REFAIRE",AQ1606="À RÉPARER",AQ1606="COUPE – À RESOUDER",AQ1606="VT REJETÉ – À REPRENDRE")),MAX(0,'PROGRAMME RT'!$C$4-U1606),"")</f>
        <v/>
      </c>
      <c r="AS1606" s="82" t="n">
        <f aca="false">IF(AND(OR(AQ1606="À RADIOGRAPHIER",AQ1606="RÉPARÉ – À RADIOGRAPHIER",AQ1606="NX – RT À REFAIRE"),OR('PROGRAMME RT'!$D$5="TOUTES",B1606='PROGRAMME RT'!$D$5)),1,0)</f>
        <v>0</v>
      </c>
      <c r="AT1606" s="82" t="str">
        <f aca="false">IF(AS1606=1,SUM(AS$7:AS1606),"")</f>
        <v/>
      </c>
      <c r="AU1606" s="82" t="n">
        <f aca="false">IF(AND(OR(AA1606="R",AA1606="NX",AA1606="NT",AA1606="CO"),OR('JOINTS DE RÉPARATION'!$D$5="TOUTES",B1606='JOINTS DE RÉPARATION'!$D$5),OR('JOINTS DE RÉPARATION'!$L$4="TOUS",AQ1606&lt;&gt;"ACCEPTÉ")),1,0)</f>
        <v>0</v>
      </c>
      <c r="AV1606" s="82" t="str">
        <f aca="false">IF(AU1606=1,SUM(AU$7:AU1606),"")</f>
        <v/>
      </c>
      <c r="AW1606" s="82" t="str">
        <f aca="false">IF(E1606="","",B1606&amp;"|"&amp;E1606)</f>
        <v>MFD-ISW → MFD-CPF|DJ°212</v>
      </c>
    </row>
    <row r="1607" customFormat="false" ht="74.6" hidden="false" customHeight="false" outlineLevel="0" collapsed="false">
      <c r="A1607" s="79" t="n">
        <f aca="false">IF(E1607="","",ROW()-6)</f>
        <v>1601</v>
      </c>
      <c r="B1607" s="80" t="s">
        <v>110</v>
      </c>
      <c r="C1607" s="81" t="s">
        <v>1917</v>
      </c>
      <c r="D1607" s="81" t="n">
        <v>14</v>
      </c>
      <c r="E1607" s="81" t="s">
        <v>1941</v>
      </c>
      <c r="F1607" s="82" t="str">
        <f aca="false">IF(E1607="","",IF(LEFT(E1607,2)="DJ","DJ","JN"))</f>
        <v>JN</v>
      </c>
      <c r="G1607" s="81" t="s">
        <v>1504</v>
      </c>
      <c r="H1607" s="81" t="s">
        <v>871</v>
      </c>
      <c r="I1607" s="81" t="n">
        <v>9.53</v>
      </c>
      <c r="J1607" s="81" t="s">
        <v>872</v>
      </c>
      <c r="K1607" s="81" t="s">
        <v>879</v>
      </c>
      <c r="L1607" s="81" t="n">
        <v>2097160</v>
      </c>
      <c r="M1607" s="81" t="n">
        <v>15421112</v>
      </c>
      <c r="N1607" s="81" t="n">
        <v>11.94</v>
      </c>
      <c r="O1607" s="81" t="n">
        <v>2096660</v>
      </c>
      <c r="P1607" s="81" t="n">
        <v>15421111</v>
      </c>
      <c r="Q1607" s="81" t="n">
        <v>11.94</v>
      </c>
      <c r="R1607" s="81" t="s">
        <v>1938</v>
      </c>
      <c r="S1607" s="81"/>
      <c r="T1607" s="81"/>
      <c r="U1607" s="83" t="n">
        <v>46274</v>
      </c>
      <c r="V1607" s="83" t="n">
        <v>46274</v>
      </c>
      <c r="W1607" s="81" t="s">
        <v>1939</v>
      </c>
      <c r="X1607" s="81" t="s">
        <v>876</v>
      </c>
      <c r="Y1607" s="83" t="n">
        <v>46279</v>
      </c>
      <c r="Z1607" s="81" t="s">
        <v>1920</v>
      </c>
      <c r="AA1607" s="81" t="s">
        <v>876</v>
      </c>
      <c r="AB1607" s="81"/>
      <c r="AC1607" s="81"/>
      <c r="AD1607" s="81"/>
      <c r="AE1607" s="83"/>
      <c r="AF1607" s="81"/>
      <c r="AG1607" s="81"/>
      <c r="AH1607" s="81"/>
      <c r="AI1607" s="81"/>
      <c r="AJ1607" s="83"/>
      <c r="AK1607" s="81"/>
      <c r="AL1607" s="81"/>
      <c r="AM1607" s="83"/>
      <c r="AN1607" s="80"/>
      <c r="AO1607" s="82" t="n">
        <f aca="false">IF(E1607="","",(AA1607&lt;&gt;"")+(AG1607&lt;&gt;"")+(AL1607&lt;&gt;""))</f>
        <v>1</v>
      </c>
      <c r="AP1607" s="82" t="str">
        <f aca="false">IF(AL1607&lt;&gt;"",AL1607,IF(AG1607&lt;&gt;"",AG1607,IF(AA1607&lt;&gt;"",AA1607,"")))</f>
        <v>A</v>
      </c>
      <c r="AQ1607" s="84" t="str">
        <f aca="false">IF(E1607="","",IF(U1607="","À SOUDER",IF(X1607="","VT EN ATTENTE",IF(X1607="R","VT REJETÉ – À REPRENDRE",IF(AP1607="","À RADIOGRAPHIER",IF(AP1607="A","ACCEPTÉ",IF(AP1607="NX","NX – RT À REFAIRE",IF(IF(AO1607=1,AD1607,IF(AO1607=2,AI1607,""))="A","RÉPARÉ – À RADIOGRAPHIER",IF(IF(AO1607=1,AD1607,IF(AO1607=2,AI1607,""))="R","VT REJETÉ – À REPRENDRE",IF(OR(AP1607="CO",AP1607="NT"),"COUPE – À RESOUDER","À RÉPARER"))))))))))</f>
        <v>ACCEPTÉ</v>
      </c>
      <c r="AR1607" s="82" t="str">
        <f aca="false">IF(AND(ISNUMBER(U1607),OR(AQ1607="À RADIOGRAPHIER",AQ1607="RÉPARÉ – À RADIOGRAPHIER",AQ1607="NX – RT À REFAIRE",AQ1607="À RÉPARER",AQ1607="COUPE – À RESOUDER",AQ1607="VT REJETÉ – À REPRENDRE")),MAX(0,'PROGRAMME RT'!$C$4-U1607),"")</f>
        <v/>
      </c>
      <c r="AS1607" s="82" t="n">
        <f aca="false">IF(AND(OR(AQ1607="À RADIOGRAPHIER",AQ1607="RÉPARÉ – À RADIOGRAPHIER",AQ1607="NX – RT À REFAIRE"),OR('PROGRAMME RT'!$D$5="TOUTES",B1607='PROGRAMME RT'!$D$5)),1,0)</f>
        <v>0</v>
      </c>
      <c r="AT1607" s="82" t="str">
        <f aca="false">IF(AS1607=1,SUM(AS$7:AS1607),"")</f>
        <v/>
      </c>
      <c r="AU1607" s="82" t="n">
        <f aca="false">IF(AND(OR(AA1607="R",AA1607="NX",AA1607="NT",AA1607="CO"),OR('JOINTS DE RÉPARATION'!$D$5="TOUTES",B1607='JOINTS DE RÉPARATION'!$D$5),OR('JOINTS DE RÉPARATION'!$L$4="TOUS",AQ1607&lt;&gt;"ACCEPTÉ")),1,0)</f>
        <v>0</v>
      </c>
      <c r="AV1607" s="82" t="str">
        <f aca="false">IF(AU1607=1,SUM(AU$7:AU1607),"")</f>
        <v/>
      </c>
      <c r="AW1607" s="82" t="str">
        <f aca="false">IF(E1607="","",B1607&amp;"|"&amp;E1607)</f>
        <v>MFD-ISW → MFD-CPF|JN°1310</v>
      </c>
    </row>
    <row r="1608" customFormat="false" ht="74.6" hidden="false" customHeight="false" outlineLevel="0" collapsed="false">
      <c r="A1608" s="79" t="n">
        <f aca="false">IF(E1608="","",ROW()-6)</f>
        <v>1602</v>
      </c>
      <c r="B1608" s="80" t="s">
        <v>110</v>
      </c>
      <c r="C1608" s="81" t="s">
        <v>1917</v>
      </c>
      <c r="D1608" s="81" t="n">
        <v>14</v>
      </c>
      <c r="E1608" s="81" t="s">
        <v>1942</v>
      </c>
      <c r="F1608" s="82" t="str">
        <f aca="false">IF(E1608="","",IF(LEFT(E1608,2)="DJ","DJ","JN"))</f>
        <v>DJ</v>
      </c>
      <c r="G1608" s="81"/>
      <c r="H1608" s="81" t="s">
        <v>871</v>
      </c>
      <c r="I1608" s="81" t="n">
        <v>9.53</v>
      </c>
      <c r="J1608" s="81" t="s">
        <v>872</v>
      </c>
      <c r="K1608" s="81" t="s">
        <v>873</v>
      </c>
      <c r="L1608" s="81" t="n">
        <v>2096660</v>
      </c>
      <c r="M1608" s="81" t="n">
        <v>15421111</v>
      </c>
      <c r="N1608" s="81" t="n">
        <v>11.94</v>
      </c>
      <c r="O1608" s="81" t="n">
        <v>2093800</v>
      </c>
      <c r="P1608" s="81" t="n">
        <v>15421110</v>
      </c>
      <c r="Q1608" s="81" t="n">
        <v>11.94</v>
      </c>
      <c r="R1608" s="81" t="s">
        <v>1135</v>
      </c>
      <c r="S1608" s="81"/>
      <c r="T1608" s="81"/>
      <c r="U1608" s="83" t="n">
        <v>46265</v>
      </c>
      <c r="V1608" s="83" t="n">
        <v>46265</v>
      </c>
      <c r="W1608" s="81" t="s">
        <v>1891</v>
      </c>
      <c r="X1608" s="81" t="s">
        <v>876</v>
      </c>
      <c r="Y1608" s="83" t="n">
        <v>46266</v>
      </c>
      <c r="Z1608" s="81" t="s">
        <v>1911</v>
      </c>
      <c r="AA1608" s="81" t="s">
        <v>876</v>
      </c>
      <c r="AB1608" s="81"/>
      <c r="AC1608" s="81"/>
      <c r="AD1608" s="81"/>
      <c r="AE1608" s="83"/>
      <c r="AF1608" s="81"/>
      <c r="AG1608" s="81"/>
      <c r="AH1608" s="81"/>
      <c r="AI1608" s="81"/>
      <c r="AJ1608" s="83"/>
      <c r="AK1608" s="81"/>
      <c r="AL1608" s="81"/>
      <c r="AM1608" s="83"/>
      <c r="AN1608" s="80"/>
      <c r="AO1608" s="82" t="n">
        <f aca="false">IF(E1608="","",(AA1608&lt;&gt;"")+(AG1608&lt;&gt;"")+(AL1608&lt;&gt;""))</f>
        <v>1</v>
      </c>
      <c r="AP1608" s="82" t="str">
        <f aca="false">IF(AL1608&lt;&gt;"",AL1608,IF(AG1608&lt;&gt;"",AG1608,IF(AA1608&lt;&gt;"",AA1608,"")))</f>
        <v>A</v>
      </c>
      <c r="AQ1608" s="84" t="str">
        <f aca="false">IF(E1608="","",IF(U1608="","À SOUDER",IF(X1608="","VT EN ATTENTE",IF(X1608="R","VT REJETÉ – À REPRENDRE",IF(AP1608="","À RADIOGRAPHIER",IF(AP1608="A","ACCEPTÉ",IF(AP1608="NX","NX – RT À REFAIRE",IF(IF(AO1608=1,AD1608,IF(AO1608=2,AI1608,""))="A","RÉPARÉ – À RADIOGRAPHIER",IF(IF(AO1608=1,AD1608,IF(AO1608=2,AI1608,""))="R","VT REJETÉ – À REPRENDRE",IF(OR(AP1608="CO",AP1608="NT"),"COUPE – À RESOUDER","À RÉPARER"))))))))))</f>
        <v>ACCEPTÉ</v>
      </c>
      <c r="AR1608" s="82" t="str">
        <f aca="false">IF(AND(ISNUMBER(U1608),OR(AQ1608="À RADIOGRAPHIER",AQ1608="RÉPARÉ – À RADIOGRAPHIER",AQ1608="NX – RT À REFAIRE",AQ1608="À RÉPARER",AQ1608="COUPE – À RESOUDER",AQ1608="VT REJETÉ – À REPRENDRE")),MAX(0,'PROGRAMME RT'!$C$4-U1608),"")</f>
        <v/>
      </c>
      <c r="AS1608" s="82" t="n">
        <f aca="false">IF(AND(OR(AQ1608="À RADIOGRAPHIER",AQ1608="RÉPARÉ – À RADIOGRAPHIER",AQ1608="NX – RT À REFAIRE"),OR('PROGRAMME RT'!$D$5="TOUTES",B1608='PROGRAMME RT'!$D$5)),1,0)</f>
        <v>0</v>
      </c>
      <c r="AT1608" s="82" t="str">
        <f aca="false">IF(AS1608=1,SUM(AS$7:AS1608),"")</f>
        <v/>
      </c>
      <c r="AU1608" s="82" t="n">
        <f aca="false">IF(AND(OR(AA1608="R",AA1608="NX",AA1608="NT",AA1608="CO"),OR('JOINTS DE RÉPARATION'!$D$5="TOUTES",B1608='JOINTS DE RÉPARATION'!$D$5),OR('JOINTS DE RÉPARATION'!$L$4="TOUS",AQ1608&lt;&gt;"ACCEPTÉ")),1,0)</f>
        <v>0</v>
      </c>
      <c r="AV1608" s="82" t="str">
        <f aca="false">IF(AU1608=1,SUM(AU$7:AU1608),"")</f>
        <v/>
      </c>
      <c r="AW1608" s="82" t="str">
        <f aca="false">IF(E1608="","",B1608&amp;"|"&amp;E1608)</f>
        <v>MFD-ISW → MFD-CPF|DJ°218</v>
      </c>
    </row>
    <row r="1609" customFormat="false" ht="74.6" hidden="false" customHeight="false" outlineLevel="0" collapsed="false">
      <c r="A1609" s="79" t="n">
        <f aca="false">IF(E1609="","",ROW()-6)</f>
        <v>1603</v>
      </c>
      <c r="B1609" s="80" t="s">
        <v>110</v>
      </c>
      <c r="C1609" s="81" t="s">
        <v>1917</v>
      </c>
      <c r="D1609" s="81" t="n">
        <v>14</v>
      </c>
      <c r="E1609" s="81" t="s">
        <v>1943</v>
      </c>
      <c r="F1609" s="82" t="str">
        <f aca="false">IF(E1609="","",IF(LEFT(E1609,2)="DJ","DJ","JN"))</f>
        <v>JN</v>
      </c>
      <c r="G1609" s="81" t="s">
        <v>1504</v>
      </c>
      <c r="H1609" s="81" t="s">
        <v>871</v>
      </c>
      <c r="I1609" s="81" t="n">
        <v>9.53</v>
      </c>
      <c r="J1609" s="81" t="s">
        <v>872</v>
      </c>
      <c r="K1609" s="81" t="s">
        <v>1861</v>
      </c>
      <c r="L1609" s="81" t="n">
        <v>2093800</v>
      </c>
      <c r="M1609" s="81" t="n">
        <v>15421110</v>
      </c>
      <c r="N1609" s="81" t="n">
        <v>11.94</v>
      </c>
      <c r="O1609" s="81" t="n">
        <v>2092480</v>
      </c>
      <c r="P1609" s="81" t="n">
        <v>15421110</v>
      </c>
      <c r="Q1609" s="81" t="n">
        <v>11.94</v>
      </c>
      <c r="R1609" s="81" t="s">
        <v>1884</v>
      </c>
      <c r="S1609" s="81"/>
      <c r="T1609" s="81"/>
      <c r="U1609" s="83" t="n">
        <v>46291</v>
      </c>
      <c r="V1609" s="83" t="n">
        <v>46291</v>
      </c>
      <c r="W1609" s="81" t="s">
        <v>1878</v>
      </c>
      <c r="X1609" s="81" t="s">
        <v>876</v>
      </c>
      <c r="Y1609" s="83"/>
      <c r="Z1609" s="81"/>
      <c r="AA1609" s="81"/>
      <c r="AB1609" s="81" t="s">
        <v>1944</v>
      </c>
      <c r="AC1609" s="81"/>
      <c r="AD1609" s="81"/>
      <c r="AE1609" s="83"/>
      <c r="AF1609" s="81"/>
      <c r="AG1609" s="81"/>
      <c r="AH1609" s="81"/>
      <c r="AI1609" s="81"/>
      <c r="AJ1609" s="83"/>
      <c r="AK1609" s="81"/>
      <c r="AL1609" s="81"/>
      <c r="AM1609" s="83"/>
      <c r="AN1609" s="80"/>
      <c r="AO1609" s="82" t="n">
        <f aca="false">IF(E1609="","",(AA1609&lt;&gt;"")+(AG1609&lt;&gt;"")+(AL1609&lt;&gt;""))</f>
        <v>0</v>
      </c>
      <c r="AP1609" s="82" t="str">
        <f aca="false">IF(AL1609&lt;&gt;"",AL1609,IF(AG1609&lt;&gt;"",AG1609,IF(AA1609&lt;&gt;"",AA1609,"")))</f>
        <v/>
      </c>
      <c r="AQ1609" s="84" t="str">
        <f aca="false">IF(E1609="","",IF(U1609="","À SOUDER",IF(X1609="","VT EN ATTENTE",IF(X1609="R","VT REJETÉ – À REPRENDRE",IF(AP1609="","À RADIOGRAPHIER",IF(AP1609="A","ACCEPTÉ",IF(AP1609="NX","NX – RT À REFAIRE",IF(IF(AO1609=1,AD1609,IF(AO1609=2,AI1609,""))="A","RÉPARÉ – À RADIOGRAPHIER",IF(IF(AO1609=1,AD1609,IF(AO1609=2,AI1609,""))="R","VT REJETÉ – À REPRENDRE",IF(OR(AP1609="CO",AP1609="NT"),"COUPE – À RESOUDER","À RÉPARER"))))))))))</f>
        <v>À RADIOGRAPHIER</v>
      </c>
      <c r="AR1609" s="82" t="n">
        <f aca="false">IF(AND(ISNUMBER(U1609),OR(AQ1609="À RADIOGRAPHIER",AQ1609="RÉPARÉ – À RADIOGRAPHIER",AQ1609="NX – RT À REFAIRE",AQ1609="À RÉPARER",AQ1609="COUPE – À RESOUDER",AQ1609="VT REJETÉ – À REPRENDRE")),MAX(0,'PROGRAMME RT'!$C$4-U1609),"")</f>
        <v>2</v>
      </c>
      <c r="AS1609" s="82" t="n">
        <f aca="false">IF(AND(OR(AQ1609="À RADIOGRAPHIER",AQ1609="RÉPARÉ – À RADIOGRAPHIER",AQ1609="NX – RT À REFAIRE"),OR('PROGRAMME RT'!$D$5="TOUTES",B1609='PROGRAMME RT'!$D$5)),1,0)</f>
        <v>1</v>
      </c>
      <c r="AT1609" s="82" t="n">
        <f aca="false">IF(AS1609=1,SUM(AS$7:AS1609),"")</f>
        <v>83</v>
      </c>
      <c r="AU1609" s="82" t="n">
        <f aca="false">IF(AND(OR(AA1609="R",AA1609="NX",AA1609="NT",AA1609="CO"),OR('JOINTS DE RÉPARATION'!$D$5="TOUTES",B1609='JOINTS DE RÉPARATION'!$D$5),OR('JOINTS DE RÉPARATION'!$L$4="TOUS",AQ1609&lt;&gt;"ACCEPTÉ")),1,0)</f>
        <v>0</v>
      </c>
      <c r="AV1609" s="82" t="str">
        <f aca="false">IF(AU1609=1,SUM(AU$7:AU1609),"")</f>
        <v/>
      </c>
      <c r="AW1609" s="82" t="str">
        <f aca="false">IF(E1609="","",B1609&amp;"|"&amp;E1609)</f>
        <v>MFD-ISW → MFD-CPF|JN°1311R</v>
      </c>
    </row>
    <row r="1610" customFormat="false" ht="74.6" hidden="false" customHeight="false" outlineLevel="0" collapsed="false">
      <c r="A1610" s="79" t="n">
        <f aca="false">IF(E1610="","",ROW()-6)</f>
        <v>1604</v>
      </c>
      <c r="B1610" s="80" t="s">
        <v>110</v>
      </c>
      <c r="C1610" s="81" t="s">
        <v>1917</v>
      </c>
      <c r="D1610" s="81" t="n">
        <v>14</v>
      </c>
      <c r="E1610" s="81" t="s">
        <v>1945</v>
      </c>
      <c r="F1610" s="82" t="str">
        <f aca="false">IF(E1610="","",IF(LEFT(E1610,2)="DJ","DJ","JN"))</f>
        <v>DJ</v>
      </c>
      <c r="G1610" s="81"/>
      <c r="H1610" s="81" t="s">
        <v>871</v>
      </c>
      <c r="I1610" s="81" t="n">
        <v>9.53</v>
      </c>
      <c r="J1610" s="81" t="s">
        <v>872</v>
      </c>
      <c r="K1610" s="81" t="s">
        <v>873</v>
      </c>
      <c r="L1610" s="81" t="n">
        <v>2092480</v>
      </c>
      <c r="M1610" s="81" t="n">
        <v>15421110</v>
      </c>
      <c r="N1610" s="81" t="n">
        <v>11.94</v>
      </c>
      <c r="O1610" s="81" t="n">
        <v>2088990</v>
      </c>
      <c r="P1610" s="81" t="n">
        <v>15421108</v>
      </c>
      <c r="Q1610" s="81" t="n">
        <v>11.94</v>
      </c>
      <c r="R1610" s="81" t="s">
        <v>1517</v>
      </c>
      <c r="S1610" s="81"/>
      <c r="T1610" s="81"/>
      <c r="U1610" s="83" t="n">
        <v>46264</v>
      </c>
      <c r="V1610" s="83" t="n">
        <v>46264</v>
      </c>
      <c r="W1610" s="81" t="s">
        <v>1895</v>
      </c>
      <c r="X1610" s="81" t="s">
        <v>876</v>
      </c>
      <c r="Y1610" s="83" t="n">
        <v>46266</v>
      </c>
      <c r="Z1610" s="81" t="s">
        <v>1911</v>
      </c>
      <c r="AA1610" s="81" t="s">
        <v>876</v>
      </c>
      <c r="AB1610" s="81"/>
      <c r="AC1610" s="81"/>
      <c r="AD1610" s="81"/>
      <c r="AE1610" s="83"/>
      <c r="AF1610" s="81"/>
      <c r="AG1610" s="81"/>
      <c r="AH1610" s="81"/>
      <c r="AI1610" s="81"/>
      <c r="AJ1610" s="83"/>
      <c r="AK1610" s="81"/>
      <c r="AL1610" s="81"/>
      <c r="AM1610" s="83"/>
      <c r="AN1610" s="80"/>
      <c r="AO1610" s="82" t="n">
        <f aca="false">IF(E1610="","",(AA1610&lt;&gt;"")+(AG1610&lt;&gt;"")+(AL1610&lt;&gt;""))</f>
        <v>1</v>
      </c>
      <c r="AP1610" s="82" t="str">
        <f aca="false">IF(AL1610&lt;&gt;"",AL1610,IF(AG1610&lt;&gt;"",AG1610,IF(AA1610&lt;&gt;"",AA1610,"")))</f>
        <v>A</v>
      </c>
      <c r="AQ1610" s="84" t="str">
        <f aca="false">IF(E1610="","",IF(U1610="","À SOUDER",IF(X1610="","VT EN ATTENTE",IF(X1610="R","VT REJETÉ – À REPRENDRE",IF(AP1610="","À RADIOGRAPHIER",IF(AP1610="A","ACCEPTÉ",IF(AP1610="NX","NX – RT À REFAIRE",IF(IF(AO1610=1,AD1610,IF(AO1610=2,AI1610,""))="A","RÉPARÉ – À RADIOGRAPHIER",IF(IF(AO1610=1,AD1610,IF(AO1610=2,AI1610,""))="R","VT REJETÉ – À REPRENDRE",IF(OR(AP1610="CO",AP1610="NT"),"COUPE – À RESOUDER","À RÉPARER"))))))))))</f>
        <v>ACCEPTÉ</v>
      </c>
      <c r="AR1610" s="82" t="str">
        <f aca="false">IF(AND(ISNUMBER(U1610),OR(AQ1610="À RADIOGRAPHIER",AQ1610="RÉPARÉ – À RADIOGRAPHIER",AQ1610="NX – RT À REFAIRE",AQ1610="À RÉPARER",AQ1610="COUPE – À RESOUDER",AQ1610="VT REJETÉ – À REPRENDRE")),MAX(0,'PROGRAMME RT'!$C$4-U1610),"")</f>
        <v/>
      </c>
      <c r="AS1610" s="82" t="n">
        <f aca="false">IF(AND(OR(AQ1610="À RADIOGRAPHIER",AQ1610="RÉPARÉ – À RADIOGRAPHIER",AQ1610="NX – RT À REFAIRE"),OR('PROGRAMME RT'!$D$5="TOUTES",B1610='PROGRAMME RT'!$D$5)),1,0)</f>
        <v>0</v>
      </c>
      <c r="AT1610" s="82" t="str">
        <f aca="false">IF(AS1610=1,SUM(AS$7:AS1610),"")</f>
        <v/>
      </c>
      <c r="AU1610" s="82" t="n">
        <f aca="false">IF(AND(OR(AA1610="R",AA1610="NX",AA1610="NT",AA1610="CO"),OR('JOINTS DE RÉPARATION'!$D$5="TOUTES",B1610='JOINTS DE RÉPARATION'!$D$5),OR('JOINTS DE RÉPARATION'!$L$4="TOUS",AQ1610&lt;&gt;"ACCEPTÉ")),1,0)</f>
        <v>0</v>
      </c>
      <c r="AV1610" s="82" t="str">
        <f aca="false">IF(AU1610=1,SUM(AU$7:AU1610),"")</f>
        <v/>
      </c>
      <c r="AW1610" s="82" t="str">
        <f aca="false">IF(E1610="","",B1610&amp;"|"&amp;E1610)</f>
        <v>MFD-ISW → MFD-CPF|DJ°210</v>
      </c>
    </row>
    <row r="1611" customFormat="false" ht="74.6" hidden="false" customHeight="false" outlineLevel="0" collapsed="false">
      <c r="A1611" s="79" t="n">
        <f aca="false">IF(E1611="","",ROW()-6)</f>
        <v>1605</v>
      </c>
      <c r="B1611" s="80" t="s">
        <v>110</v>
      </c>
      <c r="C1611" s="81" t="s">
        <v>1917</v>
      </c>
      <c r="D1611" s="81" t="n">
        <v>14</v>
      </c>
      <c r="E1611" s="81" t="s">
        <v>1946</v>
      </c>
      <c r="F1611" s="82" t="str">
        <f aca="false">IF(E1611="","",IF(LEFT(E1611,2)="DJ","DJ","JN"))</f>
        <v>JN</v>
      </c>
      <c r="G1611" s="81" t="s">
        <v>1504</v>
      </c>
      <c r="H1611" s="81" t="s">
        <v>871</v>
      </c>
      <c r="I1611" s="81" t="n">
        <v>9.53</v>
      </c>
      <c r="J1611" s="81" t="s">
        <v>872</v>
      </c>
      <c r="K1611" s="81" t="s">
        <v>879</v>
      </c>
      <c r="L1611" s="81" t="n">
        <v>2088990</v>
      </c>
      <c r="M1611" s="81" t="n">
        <v>15421108</v>
      </c>
      <c r="N1611" s="81" t="n">
        <v>11.94</v>
      </c>
      <c r="O1611" s="81" t="n">
        <v>2085040</v>
      </c>
      <c r="P1611" s="81" t="n">
        <v>15421106</v>
      </c>
      <c r="Q1611" s="81" t="n">
        <v>11.94</v>
      </c>
      <c r="R1611" s="81" t="s">
        <v>1938</v>
      </c>
      <c r="S1611" s="81"/>
      <c r="T1611" s="81"/>
      <c r="U1611" s="83" t="n">
        <v>46274</v>
      </c>
      <c r="V1611" s="83" t="n">
        <v>46274</v>
      </c>
      <c r="W1611" s="81" t="s">
        <v>1939</v>
      </c>
      <c r="X1611" s="81" t="s">
        <v>876</v>
      </c>
      <c r="Y1611" s="83" t="n">
        <v>46279</v>
      </c>
      <c r="Z1611" s="81" t="s">
        <v>1920</v>
      </c>
      <c r="AA1611" s="81" t="s">
        <v>876</v>
      </c>
      <c r="AB1611" s="81"/>
      <c r="AC1611" s="81"/>
      <c r="AD1611" s="81"/>
      <c r="AE1611" s="83"/>
      <c r="AF1611" s="81"/>
      <c r="AG1611" s="81"/>
      <c r="AH1611" s="81"/>
      <c r="AI1611" s="81"/>
      <c r="AJ1611" s="83"/>
      <c r="AK1611" s="81"/>
      <c r="AL1611" s="81"/>
      <c r="AM1611" s="83"/>
      <c r="AN1611" s="80"/>
      <c r="AO1611" s="82" t="n">
        <f aca="false">IF(E1611="","",(AA1611&lt;&gt;"")+(AG1611&lt;&gt;"")+(AL1611&lt;&gt;""))</f>
        <v>1</v>
      </c>
      <c r="AP1611" s="82" t="str">
        <f aca="false">IF(AL1611&lt;&gt;"",AL1611,IF(AG1611&lt;&gt;"",AG1611,IF(AA1611&lt;&gt;"",AA1611,"")))</f>
        <v>A</v>
      </c>
      <c r="AQ1611" s="84" t="str">
        <f aca="false">IF(E1611="","",IF(U1611="","À SOUDER",IF(X1611="","VT EN ATTENTE",IF(X1611="R","VT REJETÉ – À REPRENDRE",IF(AP1611="","À RADIOGRAPHIER",IF(AP1611="A","ACCEPTÉ",IF(AP1611="NX","NX – RT À REFAIRE",IF(IF(AO1611=1,AD1611,IF(AO1611=2,AI1611,""))="A","RÉPARÉ – À RADIOGRAPHIER",IF(IF(AO1611=1,AD1611,IF(AO1611=2,AI1611,""))="R","VT REJETÉ – À REPRENDRE",IF(OR(AP1611="CO",AP1611="NT"),"COUPE – À RESOUDER","À RÉPARER"))))))))))</f>
        <v>ACCEPTÉ</v>
      </c>
      <c r="AR1611" s="82" t="str">
        <f aca="false">IF(AND(ISNUMBER(U1611),OR(AQ1611="À RADIOGRAPHIER",AQ1611="RÉPARÉ – À RADIOGRAPHIER",AQ1611="NX – RT À REFAIRE",AQ1611="À RÉPARER",AQ1611="COUPE – À RESOUDER",AQ1611="VT REJETÉ – À REPRENDRE")),MAX(0,'PROGRAMME RT'!$C$4-U1611),"")</f>
        <v/>
      </c>
      <c r="AS1611" s="82" t="n">
        <f aca="false">IF(AND(OR(AQ1611="À RADIOGRAPHIER",AQ1611="RÉPARÉ – À RADIOGRAPHIER",AQ1611="NX – RT À REFAIRE"),OR('PROGRAMME RT'!$D$5="TOUTES",B1611='PROGRAMME RT'!$D$5)),1,0)</f>
        <v>0</v>
      </c>
      <c r="AT1611" s="82" t="str">
        <f aca="false">IF(AS1611=1,SUM(AS$7:AS1611),"")</f>
        <v/>
      </c>
      <c r="AU1611" s="82" t="n">
        <f aca="false">IF(AND(OR(AA1611="R",AA1611="NX",AA1611="NT",AA1611="CO"),OR('JOINTS DE RÉPARATION'!$D$5="TOUTES",B1611='JOINTS DE RÉPARATION'!$D$5),OR('JOINTS DE RÉPARATION'!$L$4="TOUS",AQ1611&lt;&gt;"ACCEPTÉ")),1,0)</f>
        <v>0</v>
      </c>
      <c r="AV1611" s="82" t="str">
        <f aca="false">IF(AU1611=1,SUM(AU$7:AU1611),"")</f>
        <v/>
      </c>
      <c r="AW1611" s="82" t="str">
        <f aca="false">IF(E1611="","",B1611&amp;"|"&amp;E1611)</f>
        <v>MFD-ISW → MFD-CPF|JN°1312</v>
      </c>
    </row>
    <row r="1612" customFormat="false" ht="74.6" hidden="false" customHeight="false" outlineLevel="0" collapsed="false">
      <c r="A1612" s="79" t="n">
        <f aca="false">IF(E1612="","",ROW()-6)</f>
        <v>1606</v>
      </c>
      <c r="B1612" s="80" t="s">
        <v>110</v>
      </c>
      <c r="C1612" s="81" t="s">
        <v>1917</v>
      </c>
      <c r="D1612" s="81" t="n">
        <v>14</v>
      </c>
      <c r="E1612" s="81" t="s">
        <v>1947</v>
      </c>
      <c r="F1612" s="82" t="str">
        <f aca="false">IF(E1612="","",IF(LEFT(E1612,2)="DJ","DJ","JN"))</f>
        <v>DJ</v>
      </c>
      <c r="G1612" s="81"/>
      <c r="H1612" s="81" t="s">
        <v>871</v>
      </c>
      <c r="I1612" s="81" t="n">
        <v>9.53</v>
      </c>
      <c r="J1612" s="81" t="s">
        <v>872</v>
      </c>
      <c r="K1612" s="81" t="s">
        <v>873</v>
      </c>
      <c r="L1612" s="81" t="n">
        <v>2085040</v>
      </c>
      <c r="M1612" s="81" t="n">
        <v>15421106</v>
      </c>
      <c r="N1612" s="81" t="n">
        <v>11.94</v>
      </c>
      <c r="O1612" s="81" t="n">
        <v>2081990</v>
      </c>
      <c r="P1612" s="81" t="n">
        <v>15421104</v>
      </c>
      <c r="Q1612" s="81" t="n">
        <v>11.94</v>
      </c>
      <c r="R1612" s="81" t="s">
        <v>1147</v>
      </c>
      <c r="S1612" s="81"/>
      <c r="T1612" s="81"/>
      <c r="U1612" s="83" t="n">
        <v>46265</v>
      </c>
      <c r="V1612" s="83" t="n">
        <v>46265</v>
      </c>
      <c r="W1612" s="81" t="s">
        <v>1891</v>
      </c>
      <c r="X1612" s="81" t="s">
        <v>876</v>
      </c>
      <c r="Y1612" s="83" t="n">
        <v>46266</v>
      </c>
      <c r="Z1612" s="81" t="s">
        <v>1927</v>
      </c>
      <c r="AA1612" s="81" t="s">
        <v>876</v>
      </c>
      <c r="AB1612" s="81"/>
      <c r="AC1612" s="81"/>
      <c r="AD1612" s="81"/>
      <c r="AE1612" s="83"/>
      <c r="AF1612" s="81"/>
      <c r="AG1612" s="81"/>
      <c r="AH1612" s="81"/>
      <c r="AI1612" s="81"/>
      <c r="AJ1612" s="83"/>
      <c r="AK1612" s="81"/>
      <c r="AL1612" s="81"/>
      <c r="AM1612" s="83"/>
      <c r="AN1612" s="80"/>
      <c r="AO1612" s="82" t="n">
        <f aca="false">IF(E1612="","",(AA1612&lt;&gt;"")+(AG1612&lt;&gt;"")+(AL1612&lt;&gt;""))</f>
        <v>1</v>
      </c>
      <c r="AP1612" s="82" t="str">
        <f aca="false">IF(AL1612&lt;&gt;"",AL1612,IF(AG1612&lt;&gt;"",AG1612,IF(AA1612&lt;&gt;"",AA1612,"")))</f>
        <v>A</v>
      </c>
      <c r="AQ1612" s="84" t="str">
        <f aca="false">IF(E1612="","",IF(U1612="","À SOUDER",IF(X1612="","VT EN ATTENTE",IF(X1612="R","VT REJETÉ – À REPRENDRE",IF(AP1612="","À RADIOGRAPHIER",IF(AP1612="A","ACCEPTÉ",IF(AP1612="NX","NX – RT À REFAIRE",IF(IF(AO1612=1,AD1612,IF(AO1612=2,AI1612,""))="A","RÉPARÉ – À RADIOGRAPHIER",IF(IF(AO1612=1,AD1612,IF(AO1612=2,AI1612,""))="R","VT REJETÉ – À REPRENDRE",IF(OR(AP1612="CO",AP1612="NT"),"COUPE – À RESOUDER","À RÉPARER"))))))))))</f>
        <v>ACCEPTÉ</v>
      </c>
      <c r="AR1612" s="82" t="str">
        <f aca="false">IF(AND(ISNUMBER(U1612),OR(AQ1612="À RADIOGRAPHIER",AQ1612="RÉPARÉ – À RADIOGRAPHIER",AQ1612="NX – RT À REFAIRE",AQ1612="À RÉPARER",AQ1612="COUPE – À RESOUDER",AQ1612="VT REJETÉ – À REPRENDRE")),MAX(0,'PROGRAMME RT'!$C$4-U1612),"")</f>
        <v/>
      </c>
      <c r="AS1612" s="82" t="n">
        <f aca="false">IF(AND(OR(AQ1612="À RADIOGRAPHIER",AQ1612="RÉPARÉ – À RADIOGRAPHIER",AQ1612="NX – RT À REFAIRE"),OR('PROGRAMME RT'!$D$5="TOUTES",B1612='PROGRAMME RT'!$D$5)),1,0)</f>
        <v>0</v>
      </c>
      <c r="AT1612" s="82" t="str">
        <f aca="false">IF(AS1612=1,SUM(AS$7:AS1612),"")</f>
        <v/>
      </c>
      <c r="AU1612" s="82" t="n">
        <f aca="false">IF(AND(OR(AA1612="R",AA1612="NX",AA1612="NT",AA1612="CO"),OR('JOINTS DE RÉPARATION'!$D$5="TOUTES",B1612='JOINTS DE RÉPARATION'!$D$5),OR('JOINTS DE RÉPARATION'!$L$4="TOUS",AQ1612&lt;&gt;"ACCEPTÉ")),1,0)</f>
        <v>0</v>
      </c>
      <c r="AV1612" s="82" t="str">
        <f aca="false">IF(AU1612=1,SUM(AU$7:AU1612),"")</f>
        <v/>
      </c>
      <c r="AW1612" s="82" t="str">
        <f aca="false">IF(E1612="","",B1612&amp;"|"&amp;E1612)</f>
        <v>MFD-ISW → MFD-CPF|DJ°222</v>
      </c>
    </row>
    <row r="1613" customFormat="false" ht="74.6" hidden="false" customHeight="false" outlineLevel="0" collapsed="false">
      <c r="A1613" s="79" t="n">
        <f aca="false">IF(E1613="","",ROW()-6)</f>
        <v>1607</v>
      </c>
      <c r="B1613" s="80" t="s">
        <v>110</v>
      </c>
      <c r="C1613" s="81" t="s">
        <v>1917</v>
      </c>
      <c r="D1613" s="81" t="n">
        <v>14</v>
      </c>
      <c r="E1613" s="81" t="s">
        <v>1948</v>
      </c>
      <c r="F1613" s="82" t="str">
        <f aca="false">IF(E1613="","",IF(LEFT(E1613,2)="DJ","DJ","JN"))</f>
        <v>JN</v>
      </c>
      <c r="G1613" s="81" t="s">
        <v>1504</v>
      </c>
      <c r="H1613" s="81" t="s">
        <v>871</v>
      </c>
      <c r="I1613" s="81" t="n">
        <v>9.53</v>
      </c>
      <c r="J1613" s="81" t="s">
        <v>872</v>
      </c>
      <c r="K1613" s="81" t="s">
        <v>879</v>
      </c>
      <c r="L1613" s="81" t="n">
        <v>2081990</v>
      </c>
      <c r="M1613" s="81" t="n">
        <v>15421104</v>
      </c>
      <c r="N1613" s="81" t="n">
        <v>11.94</v>
      </c>
      <c r="O1613" s="81" t="n">
        <v>2094250</v>
      </c>
      <c r="P1613" s="81" t="n">
        <v>15421110</v>
      </c>
      <c r="Q1613" s="81" t="n">
        <v>11.94</v>
      </c>
      <c r="R1613" s="81" t="s">
        <v>1938</v>
      </c>
      <c r="S1613" s="81"/>
      <c r="T1613" s="81"/>
      <c r="U1613" s="83" t="n">
        <v>46274</v>
      </c>
      <c r="V1613" s="83" t="n">
        <v>46274</v>
      </c>
      <c r="W1613" s="81" t="s">
        <v>1939</v>
      </c>
      <c r="X1613" s="81" t="s">
        <v>876</v>
      </c>
      <c r="Y1613" s="83" t="n">
        <v>46279</v>
      </c>
      <c r="Z1613" s="81" t="s">
        <v>1920</v>
      </c>
      <c r="AA1613" s="81" t="s">
        <v>876</v>
      </c>
      <c r="AB1613" s="81"/>
      <c r="AC1613" s="81"/>
      <c r="AD1613" s="81"/>
      <c r="AE1613" s="83"/>
      <c r="AF1613" s="81"/>
      <c r="AG1613" s="81"/>
      <c r="AH1613" s="81"/>
      <c r="AI1613" s="81"/>
      <c r="AJ1613" s="83"/>
      <c r="AK1613" s="81"/>
      <c r="AL1613" s="81"/>
      <c r="AM1613" s="83"/>
      <c r="AN1613" s="80"/>
      <c r="AO1613" s="82" t="n">
        <f aca="false">IF(E1613="","",(AA1613&lt;&gt;"")+(AG1613&lt;&gt;"")+(AL1613&lt;&gt;""))</f>
        <v>1</v>
      </c>
      <c r="AP1613" s="82" t="str">
        <f aca="false">IF(AL1613&lt;&gt;"",AL1613,IF(AG1613&lt;&gt;"",AG1613,IF(AA1613&lt;&gt;"",AA1613,"")))</f>
        <v>A</v>
      </c>
      <c r="AQ1613" s="84" t="str">
        <f aca="false">IF(E1613="","",IF(U1613="","À SOUDER",IF(X1613="","VT EN ATTENTE",IF(X1613="R","VT REJETÉ – À REPRENDRE",IF(AP1613="","À RADIOGRAPHIER",IF(AP1613="A","ACCEPTÉ",IF(AP1613="NX","NX – RT À REFAIRE",IF(IF(AO1613=1,AD1613,IF(AO1613=2,AI1613,""))="A","RÉPARÉ – À RADIOGRAPHIER",IF(IF(AO1613=1,AD1613,IF(AO1613=2,AI1613,""))="R","VT REJETÉ – À REPRENDRE",IF(OR(AP1613="CO",AP1613="NT"),"COUPE – À RESOUDER","À RÉPARER"))))))))))</f>
        <v>ACCEPTÉ</v>
      </c>
      <c r="AR1613" s="82" t="str">
        <f aca="false">IF(AND(ISNUMBER(U1613),OR(AQ1613="À RADIOGRAPHIER",AQ1613="RÉPARÉ – À RADIOGRAPHIER",AQ1613="NX – RT À REFAIRE",AQ1613="À RÉPARER",AQ1613="COUPE – À RESOUDER",AQ1613="VT REJETÉ – À REPRENDRE")),MAX(0,'PROGRAMME RT'!$C$4-U1613),"")</f>
        <v/>
      </c>
      <c r="AS1613" s="82" t="n">
        <f aca="false">IF(AND(OR(AQ1613="À RADIOGRAPHIER",AQ1613="RÉPARÉ – À RADIOGRAPHIER",AQ1613="NX – RT À REFAIRE"),OR('PROGRAMME RT'!$D$5="TOUTES",B1613='PROGRAMME RT'!$D$5)),1,0)</f>
        <v>0</v>
      </c>
      <c r="AT1613" s="82" t="str">
        <f aca="false">IF(AS1613=1,SUM(AS$7:AS1613),"")</f>
        <v/>
      </c>
      <c r="AU1613" s="82" t="n">
        <f aca="false">IF(AND(OR(AA1613="R",AA1613="NX",AA1613="NT",AA1613="CO"),OR('JOINTS DE RÉPARATION'!$D$5="TOUTES",B1613='JOINTS DE RÉPARATION'!$D$5),OR('JOINTS DE RÉPARATION'!$L$4="TOUS",AQ1613&lt;&gt;"ACCEPTÉ")),1,0)</f>
        <v>0</v>
      </c>
      <c r="AV1613" s="82" t="str">
        <f aca="false">IF(AU1613=1,SUM(AU$7:AU1613),"")</f>
        <v/>
      </c>
      <c r="AW1613" s="82" t="str">
        <f aca="false">IF(E1613="","",B1613&amp;"|"&amp;E1613)</f>
        <v>MFD-ISW → MFD-CPF|JN°1313</v>
      </c>
    </row>
    <row r="1614" customFormat="false" ht="74.6" hidden="false" customHeight="false" outlineLevel="0" collapsed="false">
      <c r="A1614" s="79" t="n">
        <f aca="false">IF(E1614="","",ROW()-6)</f>
        <v>1608</v>
      </c>
      <c r="B1614" s="80" t="s">
        <v>110</v>
      </c>
      <c r="C1614" s="81" t="s">
        <v>1917</v>
      </c>
      <c r="D1614" s="81" t="n">
        <v>14</v>
      </c>
      <c r="E1614" s="81" t="s">
        <v>1949</v>
      </c>
      <c r="F1614" s="82" t="str">
        <f aca="false">IF(E1614="","",IF(LEFT(E1614,2)="DJ","DJ","JN"))</f>
        <v>DJ</v>
      </c>
      <c r="G1614" s="81"/>
      <c r="H1614" s="81" t="s">
        <v>871</v>
      </c>
      <c r="I1614" s="81" t="n">
        <v>9.53</v>
      </c>
      <c r="J1614" s="81" t="s">
        <v>872</v>
      </c>
      <c r="K1614" s="81" t="s">
        <v>873</v>
      </c>
      <c r="L1614" s="81" t="n">
        <v>2094250</v>
      </c>
      <c r="M1614" s="81" t="n">
        <v>15421110</v>
      </c>
      <c r="N1614" s="81" t="n">
        <v>11.94</v>
      </c>
      <c r="O1614" s="81" t="n">
        <v>2097490</v>
      </c>
      <c r="P1614" s="81" t="n">
        <v>15421112</v>
      </c>
      <c r="Q1614" s="81" t="n">
        <v>11.94</v>
      </c>
      <c r="R1614" s="81" t="s">
        <v>1147</v>
      </c>
      <c r="S1614" s="81"/>
      <c r="T1614" s="81"/>
      <c r="U1614" s="83" t="n">
        <v>46264</v>
      </c>
      <c r="V1614" s="83" t="n">
        <v>46264</v>
      </c>
      <c r="W1614" s="81" t="s">
        <v>1895</v>
      </c>
      <c r="X1614" s="81" t="s">
        <v>876</v>
      </c>
      <c r="Y1614" s="83" t="n">
        <v>46266</v>
      </c>
      <c r="Z1614" s="81" t="s">
        <v>1911</v>
      </c>
      <c r="AA1614" s="81" t="s">
        <v>876</v>
      </c>
      <c r="AB1614" s="81"/>
      <c r="AC1614" s="81"/>
      <c r="AD1614" s="81"/>
      <c r="AE1614" s="83"/>
      <c r="AF1614" s="81"/>
      <c r="AG1614" s="81"/>
      <c r="AH1614" s="81"/>
      <c r="AI1614" s="81"/>
      <c r="AJ1614" s="83"/>
      <c r="AK1614" s="81"/>
      <c r="AL1614" s="81"/>
      <c r="AM1614" s="83"/>
      <c r="AN1614" s="80"/>
      <c r="AO1614" s="82" t="n">
        <f aca="false">IF(E1614="","",(AA1614&lt;&gt;"")+(AG1614&lt;&gt;"")+(AL1614&lt;&gt;""))</f>
        <v>1</v>
      </c>
      <c r="AP1614" s="82" t="str">
        <f aca="false">IF(AL1614&lt;&gt;"",AL1614,IF(AG1614&lt;&gt;"",AG1614,IF(AA1614&lt;&gt;"",AA1614,"")))</f>
        <v>A</v>
      </c>
      <c r="AQ1614" s="84" t="str">
        <f aca="false">IF(E1614="","",IF(U1614="","À SOUDER",IF(X1614="","VT EN ATTENTE",IF(X1614="R","VT REJETÉ – À REPRENDRE",IF(AP1614="","À RADIOGRAPHIER",IF(AP1614="A","ACCEPTÉ",IF(AP1614="NX","NX – RT À REFAIRE",IF(IF(AO1614=1,AD1614,IF(AO1614=2,AI1614,""))="A","RÉPARÉ – À RADIOGRAPHIER",IF(IF(AO1614=1,AD1614,IF(AO1614=2,AI1614,""))="R","VT REJETÉ – À REPRENDRE",IF(OR(AP1614="CO",AP1614="NT"),"COUPE – À RESOUDER","À RÉPARER"))))))))))</f>
        <v>ACCEPTÉ</v>
      </c>
      <c r="AR1614" s="82" t="str">
        <f aca="false">IF(AND(ISNUMBER(U1614),OR(AQ1614="À RADIOGRAPHIER",AQ1614="RÉPARÉ – À RADIOGRAPHIER",AQ1614="NX – RT À REFAIRE",AQ1614="À RÉPARER",AQ1614="COUPE – À RESOUDER",AQ1614="VT REJETÉ – À REPRENDRE")),MAX(0,'PROGRAMME RT'!$C$4-U1614),"")</f>
        <v/>
      </c>
      <c r="AS1614" s="82" t="n">
        <f aca="false">IF(AND(OR(AQ1614="À RADIOGRAPHIER",AQ1614="RÉPARÉ – À RADIOGRAPHIER",AQ1614="NX – RT À REFAIRE"),OR('PROGRAMME RT'!$D$5="TOUTES",B1614='PROGRAMME RT'!$D$5)),1,0)</f>
        <v>0</v>
      </c>
      <c r="AT1614" s="82" t="str">
        <f aca="false">IF(AS1614=1,SUM(AS$7:AS1614),"")</f>
        <v/>
      </c>
      <c r="AU1614" s="82" t="n">
        <f aca="false">IF(AND(OR(AA1614="R",AA1614="NX",AA1614="NT",AA1614="CO"),OR('JOINTS DE RÉPARATION'!$D$5="TOUTES",B1614='JOINTS DE RÉPARATION'!$D$5),OR('JOINTS DE RÉPARATION'!$L$4="TOUS",AQ1614&lt;&gt;"ACCEPTÉ")),1,0)</f>
        <v>0</v>
      </c>
      <c r="AV1614" s="82" t="str">
        <f aca="false">IF(AU1614=1,SUM(AU$7:AU1614),"")</f>
        <v/>
      </c>
      <c r="AW1614" s="82" t="str">
        <f aca="false">IF(E1614="","",B1614&amp;"|"&amp;E1614)</f>
        <v>MFD-ISW → MFD-CPF|DJ°204</v>
      </c>
    </row>
    <row r="1615" customFormat="false" ht="74.6" hidden="false" customHeight="false" outlineLevel="0" collapsed="false">
      <c r="A1615" s="79" t="n">
        <f aca="false">IF(E1615="","",ROW()-6)</f>
        <v>1609</v>
      </c>
      <c r="B1615" s="80" t="s">
        <v>110</v>
      </c>
      <c r="C1615" s="81" t="s">
        <v>1917</v>
      </c>
      <c r="D1615" s="81" t="n">
        <v>14</v>
      </c>
      <c r="E1615" s="81" t="s">
        <v>1950</v>
      </c>
      <c r="F1615" s="82" t="str">
        <f aca="false">IF(E1615="","",IF(LEFT(E1615,2)="DJ","DJ","JN"))</f>
        <v>JN</v>
      </c>
      <c r="G1615" s="81" t="s">
        <v>1504</v>
      </c>
      <c r="H1615" s="81" t="s">
        <v>871</v>
      </c>
      <c r="I1615" s="81" t="n">
        <v>9.53</v>
      </c>
      <c r="J1615" s="81" t="s">
        <v>872</v>
      </c>
      <c r="K1615" s="81" t="s">
        <v>879</v>
      </c>
      <c r="L1615" s="81" t="n">
        <v>2097490</v>
      </c>
      <c r="M1615" s="81" t="n">
        <v>15421112</v>
      </c>
      <c r="N1615" s="81" t="n">
        <v>11.94</v>
      </c>
      <c r="O1615" s="81" t="n">
        <v>2095440</v>
      </c>
      <c r="P1615" s="81" t="n">
        <v>15421111</v>
      </c>
      <c r="Q1615" s="81" t="n">
        <v>11.94</v>
      </c>
      <c r="R1615" s="81" t="s">
        <v>1938</v>
      </c>
      <c r="S1615" s="81"/>
      <c r="T1615" s="81"/>
      <c r="U1615" s="83" t="n">
        <v>46274</v>
      </c>
      <c r="V1615" s="83" t="n">
        <v>46274</v>
      </c>
      <c r="W1615" s="81" t="s">
        <v>1939</v>
      </c>
      <c r="X1615" s="81" t="s">
        <v>876</v>
      </c>
      <c r="Y1615" s="83" t="n">
        <v>46279</v>
      </c>
      <c r="Z1615" s="81" t="s">
        <v>1920</v>
      </c>
      <c r="AA1615" s="81" t="s">
        <v>876</v>
      </c>
      <c r="AB1615" s="81"/>
      <c r="AC1615" s="81"/>
      <c r="AD1615" s="81"/>
      <c r="AE1615" s="83"/>
      <c r="AF1615" s="81"/>
      <c r="AG1615" s="81"/>
      <c r="AH1615" s="81"/>
      <c r="AI1615" s="81"/>
      <c r="AJ1615" s="83"/>
      <c r="AK1615" s="81"/>
      <c r="AL1615" s="81"/>
      <c r="AM1615" s="83"/>
      <c r="AN1615" s="80"/>
      <c r="AO1615" s="82" t="n">
        <f aca="false">IF(E1615="","",(AA1615&lt;&gt;"")+(AG1615&lt;&gt;"")+(AL1615&lt;&gt;""))</f>
        <v>1</v>
      </c>
      <c r="AP1615" s="82" t="str">
        <f aca="false">IF(AL1615&lt;&gt;"",AL1615,IF(AG1615&lt;&gt;"",AG1615,IF(AA1615&lt;&gt;"",AA1615,"")))</f>
        <v>A</v>
      </c>
      <c r="AQ1615" s="84" t="str">
        <f aca="false">IF(E1615="","",IF(U1615="","À SOUDER",IF(X1615="","VT EN ATTENTE",IF(X1615="R","VT REJETÉ – À REPRENDRE",IF(AP1615="","À RADIOGRAPHIER",IF(AP1615="A","ACCEPTÉ",IF(AP1615="NX","NX – RT À REFAIRE",IF(IF(AO1615=1,AD1615,IF(AO1615=2,AI1615,""))="A","RÉPARÉ – À RADIOGRAPHIER",IF(IF(AO1615=1,AD1615,IF(AO1615=2,AI1615,""))="R","VT REJETÉ – À REPRENDRE",IF(OR(AP1615="CO",AP1615="NT"),"COUPE – À RESOUDER","À RÉPARER"))))))))))</f>
        <v>ACCEPTÉ</v>
      </c>
      <c r="AR1615" s="82" t="str">
        <f aca="false">IF(AND(ISNUMBER(U1615),OR(AQ1615="À RADIOGRAPHIER",AQ1615="RÉPARÉ – À RADIOGRAPHIER",AQ1615="NX – RT À REFAIRE",AQ1615="À RÉPARER",AQ1615="COUPE – À RESOUDER",AQ1615="VT REJETÉ – À REPRENDRE")),MAX(0,'PROGRAMME RT'!$C$4-U1615),"")</f>
        <v/>
      </c>
      <c r="AS1615" s="82" t="n">
        <f aca="false">IF(AND(OR(AQ1615="À RADIOGRAPHIER",AQ1615="RÉPARÉ – À RADIOGRAPHIER",AQ1615="NX – RT À REFAIRE"),OR('PROGRAMME RT'!$D$5="TOUTES",B1615='PROGRAMME RT'!$D$5)),1,0)</f>
        <v>0</v>
      </c>
      <c r="AT1615" s="82" t="str">
        <f aca="false">IF(AS1615=1,SUM(AS$7:AS1615),"")</f>
        <v/>
      </c>
      <c r="AU1615" s="82" t="n">
        <f aca="false">IF(AND(OR(AA1615="R",AA1615="NX",AA1615="NT",AA1615="CO"),OR('JOINTS DE RÉPARATION'!$D$5="TOUTES",B1615='JOINTS DE RÉPARATION'!$D$5),OR('JOINTS DE RÉPARATION'!$L$4="TOUS",AQ1615&lt;&gt;"ACCEPTÉ")),1,0)</f>
        <v>0</v>
      </c>
      <c r="AV1615" s="82" t="str">
        <f aca="false">IF(AU1615=1,SUM(AU$7:AU1615),"")</f>
        <v/>
      </c>
      <c r="AW1615" s="82" t="str">
        <f aca="false">IF(E1615="","",B1615&amp;"|"&amp;E1615)</f>
        <v>MFD-ISW → MFD-CPF|JN°1314</v>
      </c>
    </row>
    <row r="1616" customFormat="false" ht="74.6" hidden="false" customHeight="false" outlineLevel="0" collapsed="false">
      <c r="A1616" s="79" t="n">
        <f aca="false">IF(E1616="","",ROW()-6)</f>
        <v>1610</v>
      </c>
      <c r="B1616" s="80" t="s">
        <v>110</v>
      </c>
      <c r="C1616" s="81" t="s">
        <v>1917</v>
      </c>
      <c r="D1616" s="81" t="n">
        <v>14</v>
      </c>
      <c r="E1616" s="81" t="s">
        <v>1951</v>
      </c>
      <c r="F1616" s="82" t="str">
        <f aca="false">IF(E1616="","",IF(LEFT(E1616,2)="DJ","DJ","JN"))</f>
        <v>DJ</v>
      </c>
      <c r="G1616" s="81"/>
      <c r="H1616" s="81" t="s">
        <v>871</v>
      </c>
      <c r="I1616" s="81" t="n">
        <v>9.53</v>
      </c>
      <c r="J1616" s="81" t="s">
        <v>872</v>
      </c>
      <c r="K1616" s="81" t="s">
        <v>873</v>
      </c>
      <c r="L1616" s="81" t="n">
        <v>2095440</v>
      </c>
      <c r="M1616" s="81" t="n">
        <v>15421111</v>
      </c>
      <c r="N1616" s="81" t="n">
        <v>11.94</v>
      </c>
      <c r="O1616" s="81" t="n">
        <v>2079800</v>
      </c>
      <c r="P1616" s="81" t="n">
        <v>15421102</v>
      </c>
      <c r="Q1616" s="81" t="n">
        <v>11.94</v>
      </c>
      <c r="R1616" s="81" t="s">
        <v>963</v>
      </c>
      <c r="S1616" s="81"/>
      <c r="T1616" s="81"/>
      <c r="U1616" s="83" t="n">
        <v>46261</v>
      </c>
      <c r="V1616" s="83" t="n">
        <v>46261</v>
      </c>
      <c r="W1616" s="81" t="s">
        <v>1952</v>
      </c>
      <c r="X1616" s="81" t="s">
        <v>876</v>
      </c>
      <c r="Y1616" s="83" t="n">
        <v>46266</v>
      </c>
      <c r="Z1616" s="81" t="s">
        <v>1911</v>
      </c>
      <c r="AA1616" s="81" t="s">
        <v>876</v>
      </c>
      <c r="AB1616" s="81"/>
      <c r="AC1616" s="81"/>
      <c r="AD1616" s="81"/>
      <c r="AE1616" s="83"/>
      <c r="AF1616" s="81"/>
      <c r="AG1616" s="81"/>
      <c r="AH1616" s="81"/>
      <c r="AI1616" s="81"/>
      <c r="AJ1616" s="83"/>
      <c r="AK1616" s="81"/>
      <c r="AL1616" s="81"/>
      <c r="AM1616" s="83"/>
      <c r="AN1616" s="80"/>
      <c r="AO1616" s="82" t="n">
        <f aca="false">IF(E1616="","",(AA1616&lt;&gt;"")+(AG1616&lt;&gt;"")+(AL1616&lt;&gt;""))</f>
        <v>1</v>
      </c>
      <c r="AP1616" s="82" t="str">
        <f aca="false">IF(AL1616&lt;&gt;"",AL1616,IF(AG1616&lt;&gt;"",AG1616,IF(AA1616&lt;&gt;"",AA1616,"")))</f>
        <v>A</v>
      </c>
      <c r="AQ1616" s="84" t="str">
        <f aca="false">IF(E1616="","",IF(U1616="","À SOUDER",IF(X1616="","VT EN ATTENTE",IF(X1616="R","VT REJETÉ – À REPRENDRE",IF(AP1616="","À RADIOGRAPHIER",IF(AP1616="A","ACCEPTÉ",IF(AP1616="NX","NX – RT À REFAIRE",IF(IF(AO1616=1,AD1616,IF(AO1616=2,AI1616,""))="A","RÉPARÉ – À RADIOGRAPHIER",IF(IF(AO1616=1,AD1616,IF(AO1616=2,AI1616,""))="R","VT REJETÉ – À REPRENDRE",IF(OR(AP1616="CO",AP1616="NT"),"COUPE – À RESOUDER","À RÉPARER"))))))))))</f>
        <v>ACCEPTÉ</v>
      </c>
      <c r="AR1616" s="82" t="str">
        <f aca="false">IF(AND(ISNUMBER(U1616),OR(AQ1616="À RADIOGRAPHIER",AQ1616="RÉPARÉ – À RADIOGRAPHIER",AQ1616="NX – RT À REFAIRE",AQ1616="À RÉPARER",AQ1616="COUPE – À RESOUDER",AQ1616="VT REJETÉ – À REPRENDRE")),MAX(0,'PROGRAMME RT'!$C$4-U1616),"")</f>
        <v/>
      </c>
      <c r="AS1616" s="82" t="n">
        <f aca="false">IF(AND(OR(AQ1616="À RADIOGRAPHIER",AQ1616="RÉPARÉ – À RADIOGRAPHIER",AQ1616="NX – RT À REFAIRE"),OR('PROGRAMME RT'!$D$5="TOUTES",B1616='PROGRAMME RT'!$D$5)),1,0)</f>
        <v>0</v>
      </c>
      <c r="AT1616" s="82" t="str">
        <f aca="false">IF(AS1616=1,SUM(AS$7:AS1616),"")</f>
        <v/>
      </c>
      <c r="AU1616" s="82" t="n">
        <f aca="false">IF(AND(OR(AA1616="R",AA1616="NX",AA1616="NT",AA1616="CO"),OR('JOINTS DE RÉPARATION'!$D$5="TOUTES",B1616='JOINTS DE RÉPARATION'!$D$5),OR('JOINTS DE RÉPARATION'!$L$4="TOUS",AQ1616&lt;&gt;"ACCEPTÉ")),1,0)</f>
        <v>0</v>
      </c>
      <c r="AV1616" s="82" t="str">
        <f aca="false">IF(AU1616=1,SUM(AU$7:AU1616),"")</f>
        <v/>
      </c>
      <c r="AW1616" s="82" t="str">
        <f aca="false">IF(E1616="","",B1616&amp;"|"&amp;E1616)</f>
        <v>MFD-ISW → MFD-CPF|DJ°164</v>
      </c>
    </row>
    <row r="1617" customFormat="false" ht="74.6" hidden="false" customHeight="false" outlineLevel="0" collapsed="false">
      <c r="A1617" s="79" t="n">
        <f aca="false">IF(E1617="","",ROW()-6)</f>
        <v>1611</v>
      </c>
      <c r="B1617" s="80" t="s">
        <v>110</v>
      </c>
      <c r="C1617" s="81" t="s">
        <v>1917</v>
      </c>
      <c r="D1617" s="81" t="n">
        <v>14</v>
      </c>
      <c r="E1617" s="81" t="s">
        <v>1953</v>
      </c>
      <c r="F1617" s="82" t="str">
        <f aca="false">IF(E1617="","",IF(LEFT(E1617,2)="DJ","DJ","JN"))</f>
        <v>JN</v>
      </c>
      <c r="G1617" s="81" t="s">
        <v>1504</v>
      </c>
      <c r="H1617" s="81" t="s">
        <v>871</v>
      </c>
      <c r="I1617" s="81" t="n">
        <v>9.53</v>
      </c>
      <c r="J1617" s="81" t="s">
        <v>872</v>
      </c>
      <c r="K1617" s="81" t="s">
        <v>1861</v>
      </c>
      <c r="L1617" s="81" t="n">
        <v>2079800</v>
      </c>
      <c r="M1617" s="81" t="n">
        <v>15421102</v>
      </c>
      <c r="N1617" s="81" t="n">
        <v>11.94</v>
      </c>
      <c r="O1617" s="81" t="n">
        <v>2088830</v>
      </c>
      <c r="P1617" s="81" t="n">
        <v>15421108</v>
      </c>
      <c r="Q1617" s="81" t="n">
        <v>11.94</v>
      </c>
      <c r="R1617" s="81" t="s">
        <v>1862</v>
      </c>
      <c r="S1617" s="81"/>
      <c r="T1617" s="81"/>
      <c r="U1617" s="83" t="n">
        <v>46291</v>
      </c>
      <c r="V1617" s="83" t="n">
        <v>46291</v>
      </c>
      <c r="W1617" s="81" t="s">
        <v>1878</v>
      </c>
      <c r="X1617" s="81" t="s">
        <v>876</v>
      </c>
      <c r="Y1617" s="83"/>
      <c r="Z1617" s="81"/>
      <c r="AA1617" s="81"/>
      <c r="AB1617" s="81" t="s">
        <v>1954</v>
      </c>
      <c r="AC1617" s="81"/>
      <c r="AD1617" s="81"/>
      <c r="AE1617" s="83"/>
      <c r="AF1617" s="81"/>
      <c r="AG1617" s="81"/>
      <c r="AH1617" s="81"/>
      <c r="AI1617" s="81"/>
      <c r="AJ1617" s="83"/>
      <c r="AK1617" s="81"/>
      <c r="AL1617" s="81"/>
      <c r="AM1617" s="83"/>
      <c r="AN1617" s="80"/>
      <c r="AO1617" s="82" t="n">
        <f aca="false">IF(E1617="","",(AA1617&lt;&gt;"")+(AG1617&lt;&gt;"")+(AL1617&lt;&gt;""))</f>
        <v>0</v>
      </c>
      <c r="AP1617" s="82" t="str">
        <f aca="false">IF(AL1617&lt;&gt;"",AL1617,IF(AG1617&lt;&gt;"",AG1617,IF(AA1617&lt;&gt;"",AA1617,"")))</f>
        <v/>
      </c>
      <c r="AQ1617" s="84" t="str">
        <f aca="false">IF(E1617="","",IF(U1617="","À SOUDER",IF(X1617="","VT EN ATTENTE",IF(X1617="R","VT REJETÉ – À REPRENDRE",IF(AP1617="","À RADIOGRAPHIER",IF(AP1617="A","ACCEPTÉ",IF(AP1617="NX","NX – RT À REFAIRE",IF(IF(AO1617=1,AD1617,IF(AO1617=2,AI1617,""))="A","RÉPARÉ – À RADIOGRAPHIER",IF(IF(AO1617=1,AD1617,IF(AO1617=2,AI1617,""))="R","VT REJETÉ – À REPRENDRE",IF(OR(AP1617="CO",AP1617="NT"),"COUPE – À RESOUDER","À RÉPARER"))))))))))</f>
        <v>À RADIOGRAPHIER</v>
      </c>
      <c r="AR1617" s="82" t="n">
        <f aca="false">IF(AND(ISNUMBER(U1617),OR(AQ1617="À RADIOGRAPHIER",AQ1617="RÉPARÉ – À RADIOGRAPHIER",AQ1617="NX – RT À REFAIRE",AQ1617="À RÉPARER",AQ1617="COUPE – À RESOUDER",AQ1617="VT REJETÉ – À REPRENDRE")),MAX(0,'PROGRAMME RT'!$C$4-U1617),"")</f>
        <v>2</v>
      </c>
      <c r="AS1617" s="82" t="n">
        <f aca="false">IF(AND(OR(AQ1617="À RADIOGRAPHIER",AQ1617="RÉPARÉ – À RADIOGRAPHIER",AQ1617="NX – RT À REFAIRE"),OR('PROGRAMME RT'!$D$5="TOUTES",B1617='PROGRAMME RT'!$D$5)),1,0)</f>
        <v>1</v>
      </c>
      <c r="AT1617" s="82" t="n">
        <f aca="false">IF(AS1617=1,SUM(AS$7:AS1617),"")</f>
        <v>84</v>
      </c>
      <c r="AU1617" s="82" t="n">
        <f aca="false">IF(AND(OR(AA1617="R",AA1617="NX",AA1617="NT",AA1617="CO"),OR('JOINTS DE RÉPARATION'!$D$5="TOUTES",B1617='JOINTS DE RÉPARATION'!$D$5),OR('JOINTS DE RÉPARATION'!$L$4="TOUS",AQ1617&lt;&gt;"ACCEPTÉ")),1,0)</f>
        <v>0</v>
      </c>
      <c r="AV1617" s="82" t="str">
        <f aca="false">IF(AU1617=1,SUM(AU$7:AU1617),"")</f>
        <v/>
      </c>
      <c r="AW1617" s="82" t="str">
        <f aca="false">IF(E1617="","",B1617&amp;"|"&amp;E1617)</f>
        <v>MFD-ISW → MFD-CPF|JN°1315R</v>
      </c>
    </row>
    <row r="1618" customFormat="false" ht="74.6" hidden="false" customHeight="false" outlineLevel="0" collapsed="false">
      <c r="A1618" s="79" t="n">
        <f aca="false">IF(E1618="","",ROW()-6)</f>
        <v>1612</v>
      </c>
      <c r="B1618" s="80" t="s">
        <v>110</v>
      </c>
      <c r="C1618" s="81" t="s">
        <v>1917</v>
      </c>
      <c r="D1618" s="81" t="n">
        <v>14</v>
      </c>
      <c r="E1618" s="81" t="s">
        <v>1955</v>
      </c>
      <c r="F1618" s="82" t="str">
        <f aca="false">IF(E1618="","",IF(LEFT(E1618,2)="DJ","DJ","JN"))</f>
        <v>DJ</v>
      </c>
      <c r="G1618" s="81"/>
      <c r="H1618" s="81" t="s">
        <v>871</v>
      </c>
      <c r="I1618" s="81" t="n">
        <v>9.53</v>
      </c>
      <c r="J1618" s="81" t="s">
        <v>872</v>
      </c>
      <c r="K1618" s="81" t="s">
        <v>873</v>
      </c>
      <c r="L1618" s="81" t="n">
        <v>2088830</v>
      </c>
      <c r="M1618" s="81" t="n">
        <v>15421108</v>
      </c>
      <c r="N1618" s="81" t="n">
        <v>11.94</v>
      </c>
      <c r="O1618" s="81" t="n">
        <v>2096340</v>
      </c>
      <c r="P1618" s="81" t="n">
        <v>15421111</v>
      </c>
      <c r="Q1618" s="81" t="n">
        <v>11.94</v>
      </c>
      <c r="R1618" s="81" t="s">
        <v>1147</v>
      </c>
      <c r="S1618" s="81"/>
      <c r="T1618" s="81"/>
      <c r="U1618" s="83" t="n">
        <v>46265</v>
      </c>
      <c r="V1618" s="83" t="n">
        <v>46265</v>
      </c>
      <c r="W1618" s="81" t="s">
        <v>1891</v>
      </c>
      <c r="X1618" s="81" t="s">
        <v>876</v>
      </c>
      <c r="Y1618" s="83" t="n">
        <v>46266</v>
      </c>
      <c r="Z1618" s="81" t="s">
        <v>1911</v>
      </c>
      <c r="AA1618" s="81" t="s">
        <v>876</v>
      </c>
      <c r="AB1618" s="81"/>
      <c r="AC1618" s="81"/>
      <c r="AD1618" s="81"/>
      <c r="AE1618" s="83"/>
      <c r="AF1618" s="81"/>
      <c r="AG1618" s="81"/>
      <c r="AH1618" s="81"/>
      <c r="AI1618" s="81"/>
      <c r="AJ1618" s="83"/>
      <c r="AK1618" s="81"/>
      <c r="AL1618" s="81"/>
      <c r="AM1618" s="83"/>
      <c r="AN1618" s="80"/>
      <c r="AO1618" s="82" t="n">
        <f aca="false">IF(E1618="","",(AA1618&lt;&gt;"")+(AG1618&lt;&gt;"")+(AL1618&lt;&gt;""))</f>
        <v>1</v>
      </c>
      <c r="AP1618" s="82" t="str">
        <f aca="false">IF(AL1618&lt;&gt;"",AL1618,IF(AG1618&lt;&gt;"",AG1618,IF(AA1618&lt;&gt;"",AA1618,"")))</f>
        <v>A</v>
      </c>
      <c r="AQ1618" s="84" t="str">
        <f aca="false">IF(E1618="","",IF(U1618="","À SOUDER",IF(X1618="","VT EN ATTENTE",IF(X1618="R","VT REJETÉ – À REPRENDRE",IF(AP1618="","À RADIOGRAPHIER",IF(AP1618="A","ACCEPTÉ",IF(AP1618="NX","NX – RT À REFAIRE",IF(IF(AO1618=1,AD1618,IF(AO1618=2,AI1618,""))="A","RÉPARÉ – À RADIOGRAPHIER",IF(IF(AO1618=1,AD1618,IF(AO1618=2,AI1618,""))="R","VT REJETÉ – À REPRENDRE",IF(OR(AP1618="CO",AP1618="NT"),"COUPE – À RESOUDER","À RÉPARER"))))))))))</f>
        <v>ACCEPTÉ</v>
      </c>
      <c r="AR1618" s="82" t="str">
        <f aca="false">IF(AND(ISNUMBER(U1618),OR(AQ1618="À RADIOGRAPHIER",AQ1618="RÉPARÉ – À RADIOGRAPHIER",AQ1618="NX – RT À REFAIRE",AQ1618="À RÉPARER",AQ1618="COUPE – À RESOUDER",AQ1618="VT REJETÉ – À REPRENDRE")),MAX(0,'PROGRAMME RT'!$C$4-U1618),"")</f>
        <v/>
      </c>
      <c r="AS1618" s="82" t="n">
        <f aca="false">IF(AND(OR(AQ1618="À RADIOGRAPHIER",AQ1618="RÉPARÉ – À RADIOGRAPHIER",AQ1618="NX – RT À REFAIRE"),OR('PROGRAMME RT'!$D$5="TOUTES",B1618='PROGRAMME RT'!$D$5)),1,0)</f>
        <v>0</v>
      </c>
      <c r="AT1618" s="82" t="str">
        <f aca="false">IF(AS1618=1,SUM(AS$7:AS1618),"")</f>
        <v/>
      </c>
      <c r="AU1618" s="82" t="n">
        <f aca="false">IF(AND(OR(AA1618="R",AA1618="NX",AA1618="NT",AA1618="CO"),OR('JOINTS DE RÉPARATION'!$D$5="TOUTES",B1618='JOINTS DE RÉPARATION'!$D$5),OR('JOINTS DE RÉPARATION'!$L$4="TOUS",AQ1618&lt;&gt;"ACCEPTÉ")),1,0)</f>
        <v>0</v>
      </c>
      <c r="AV1618" s="82" t="str">
        <f aca="false">IF(AU1618=1,SUM(AU$7:AU1618),"")</f>
        <v/>
      </c>
      <c r="AW1618" s="82" t="str">
        <f aca="false">IF(E1618="","",B1618&amp;"|"&amp;E1618)</f>
        <v>MFD-ISW → MFD-CPF|DJ°219</v>
      </c>
    </row>
    <row r="1619" customFormat="false" ht="74.6" hidden="false" customHeight="false" outlineLevel="0" collapsed="false">
      <c r="A1619" s="79" t="n">
        <f aca="false">IF(E1619="","",ROW()-6)</f>
        <v>1613</v>
      </c>
      <c r="B1619" s="80" t="s">
        <v>110</v>
      </c>
      <c r="C1619" s="81" t="s">
        <v>1917</v>
      </c>
      <c r="D1619" s="81" t="n">
        <v>14</v>
      </c>
      <c r="E1619" s="81" t="s">
        <v>1956</v>
      </c>
      <c r="F1619" s="82" t="str">
        <f aca="false">IF(E1619="","",IF(LEFT(E1619,2)="DJ","DJ","JN"))</f>
        <v>JN</v>
      </c>
      <c r="G1619" s="81" t="s">
        <v>1504</v>
      </c>
      <c r="H1619" s="81" t="s">
        <v>871</v>
      </c>
      <c r="I1619" s="81" t="n">
        <v>9.53</v>
      </c>
      <c r="J1619" s="81" t="s">
        <v>872</v>
      </c>
      <c r="K1619" s="81" t="s">
        <v>1861</v>
      </c>
      <c r="L1619" s="81" t="n">
        <v>2096340</v>
      </c>
      <c r="M1619" s="81" t="n">
        <v>15421111</v>
      </c>
      <c r="N1619" s="81" t="n">
        <v>11.94</v>
      </c>
      <c r="O1619" s="81" t="n">
        <v>2091020</v>
      </c>
      <c r="P1619" s="81" t="n">
        <v>15421109</v>
      </c>
      <c r="Q1619" s="81" t="n">
        <v>11.94</v>
      </c>
      <c r="R1619" s="81" t="s">
        <v>1884</v>
      </c>
      <c r="S1619" s="81"/>
      <c r="T1619" s="81"/>
      <c r="U1619" s="83" t="n">
        <v>46291</v>
      </c>
      <c r="V1619" s="83" t="n">
        <v>46291</v>
      </c>
      <c r="W1619" s="81" t="s">
        <v>1878</v>
      </c>
      <c r="X1619" s="81" t="s">
        <v>876</v>
      </c>
      <c r="Y1619" s="83"/>
      <c r="Z1619" s="81"/>
      <c r="AA1619" s="81"/>
      <c r="AB1619" s="81" t="s">
        <v>1957</v>
      </c>
      <c r="AC1619" s="81"/>
      <c r="AD1619" s="81"/>
      <c r="AE1619" s="83"/>
      <c r="AF1619" s="81"/>
      <c r="AG1619" s="81"/>
      <c r="AH1619" s="81"/>
      <c r="AI1619" s="81"/>
      <c r="AJ1619" s="83"/>
      <c r="AK1619" s="81"/>
      <c r="AL1619" s="81"/>
      <c r="AM1619" s="83"/>
      <c r="AN1619" s="80"/>
      <c r="AO1619" s="82" t="n">
        <f aca="false">IF(E1619="","",(AA1619&lt;&gt;"")+(AG1619&lt;&gt;"")+(AL1619&lt;&gt;""))</f>
        <v>0</v>
      </c>
      <c r="AP1619" s="82" t="str">
        <f aca="false">IF(AL1619&lt;&gt;"",AL1619,IF(AG1619&lt;&gt;"",AG1619,IF(AA1619&lt;&gt;"",AA1619,"")))</f>
        <v/>
      </c>
      <c r="AQ1619" s="84" t="str">
        <f aca="false">IF(E1619="","",IF(U1619="","À SOUDER",IF(X1619="","VT EN ATTENTE",IF(X1619="R","VT REJETÉ – À REPRENDRE",IF(AP1619="","À RADIOGRAPHIER",IF(AP1619="A","ACCEPTÉ",IF(AP1619="NX","NX – RT À REFAIRE",IF(IF(AO1619=1,AD1619,IF(AO1619=2,AI1619,""))="A","RÉPARÉ – À RADIOGRAPHIER",IF(IF(AO1619=1,AD1619,IF(AO1619=2,AI1619,""))="R","VT REJETÉ – À REPRENDRE",IF(OR(AP1619="CO",AP1619="NT"),"COUPE – À RESOUDER","À RÉPARER"))))))))))</f>
        <v>À RADIOGRAPHIER</v>
      </c>
      <c r="AR1619" s="82" t="n">
        <f aca="false">IF(AND(ISNUMBER(U1619),OR(AQ1619="À RADIOGRAPHIER",AQ1619="RÉPARÉ – À RADIOGRAPHIER",AQ1619="NX – RT À REFAIRE",AQ1619="À RÉPARER",AQ1619="COUPE – À RESOUDER",AQ1619="VT REJETÉ – À REPRENDRE")),MAX(0,'PROGRAMME RT'!$C$4-U1619),"")</f>
        <v>2</v>
      </c>
      <c r="AS1619" s="82" t="n">
        <f aca="false">IF(AND(OR(AQ1619="À RADIOGRAPHIER",AQ1619="RÉPARÉ – À RADIOGRAPHIER",AQ1619="NX – RT À REFAIRE"),OR('PROGRAMME RT'!$D$5="TOUTES",B1619='PROGRAMME RT'!$D$5)),1,0)</f>
        <v>1</v>
      </c>
      <c r="AT1619" s="82" t="n">
        <f aca="false">IF(AS1619=1,SUM(AS$7:AS1619),"")</f>
        <v>85</v>
      </c>
      <c r="AU1619" s="82" t="n">
        <f aca="false">IF(AND(OR(AA1619="R",AA1619="NX",AA1619="NT",AA1619="CO"),OR('JOINTS DE RÉPARATION'!$D$5="TOUTES",B1619='JOINTS DE RÉPARATION'!$D$5),OR('JOINTS DE RÉPARATION'!$L$4="TOUS",AQ1619&lt;&gt;"ACCEPTÉ")),1,0)</f>
        <v>0</v>
      </c>
      <c r="AV1619" s="82" t="str">
        <f aca="false">IF(AU1619=1,SUM(AU$7:AU1619),"")</f>
        <v/>
      </c>
      <c r="AW1619" s="82" t="str">
        <f aca="false">IF(E1619="","",B1619&amp;"|"&amp;E1619)</f>
        <v>MFD-ISW → MFD-CPF|JN°1316R</v>
      </c>
    </row>
    <row r="1620" customFormat="false" ht="74.6" hidden="false" customHeight="false" outlineLevel="0" collapsed="false">
      <c r="A1620" s="79" t="n">
        <f aca="false">IF(E1620="","",ROW()-6)</f>
        <v>1614</v>
      </c>
      <c r="B1620" s="80" t="s">
        <v>110</v>
      </c>
      <c r="C1620" s="81" t="s">
        <v>1917</v>
      </c>
      <c r="D1620" s="81" t="n">
        <v>14</v>
      </c>
      <c r="E1620" s="81" t="s">
        <v>1958</v>
      </c>
      <c r="F1620" s="82" t="str">
        <f aca="false">IF(E1620="","",IF(LEFT(E1620,2)="DJ","DJ","JN"))</f>
        <v>DJ</v>
      </c>
      <c r="G1620" s="81"/>
      <c r="H1620" s="81" t="s">
        <v>871</v>
      </c>
      <c r="I1620" s="81" t="n">
        <v>9.53</v>
      </c>
      <c r="J1620" s="81" t="s">
        <v>872</v>
      </c>
      <c r="K1620" s="81" t="s">
        <v>873</v>
      </c>
      <c r="L1620" s="81" t="n">
        <v>2091020</v>
      </c>
      <c r="M1620" s="81" t="n">
        <v>15421109</v>
      </c>
      <c r="N1620" s="81" t="n">
        <v>11.94</v>
      </c>
      <c r="O1620" s="81" t="n">
        <v>2079070</v>
      </c>
      <c r="P1620" s="81" t="n">
        <v>15421102</v>
      </c>
      <c r="Q1620" s="81" t="n">
        <v>11.94</v>
      </c>
      <c r="R1620" s="81" t="s">
        <v>1517</v>
      </c>
      <c r="S1620" s="81"/>
      <c r="T1620" s="81"/>
      <c r="U1620" s="83" t="n">
        <v>46265</v>
      </c>
      <c r="V1620" s="83" t="n">
        <v>46265</v>
      </c>
      <c r="W1620" s="81" t="s">
        <v>1891</v>
      </c>
      <c r="X1620" s="81" t="s">
        <v>876</v>
      </c>
      <c r="Y1620" s="83" t="n">
        <v>46266</v>
      </c>
      <c r="Z1620" s="81" t="s">
        <v>1927</v>
      </c>
      <c r="AA1620" s="81" t="s">
        <v>876</v>
      </c>
      <c r="AB1620" s="81"/>
      <c r="AC1620" s="81"/>
      <c r="AD1620" s="81"/>
      <c r="AE1620" s="83"/>
      <c r="AF1620" s="81"/>
      <c r="AG1620" s="81"/>
      <c r="AH1620" s="81"/>
      <c r="AI1620" s="81"/>
      <c r="AJ1620" s="83"/>
      <c r="AK1620" s="81"/>
      <c r="AL1620" s="81"/>
      <c r="AM1620" s="83"/>
      <c r="AN1620" s="80"/>
      <c r="AO1620" s="82" t="n">
        <f aca="false">IF(E1620="","",(AA1620&lt;&gt;"")+(AG1620&lt;&gt;"")+(AL1620&lt;&gt;""))</f>
        <v>1</v>
      </c>
      <c r="AP1620" s="82" t="str">
        <f aca="false">IF(AL1620&lt;&gt;"",AL1620,IF(AG1620&lt;&gt;"",AG1620,IF(AA1620&lt;&gt;"",AA1620,"")))</f>
        <v>A</v>
      </c>
      <c r="AQ1620" s="84" t="str">
        <f aca="false">IF(E1620="","",IF(U1620="","À SOUDER",IF(X1620="","VT EN ATTENTE",IF(X1620="R","VT REJETÉ – À REPRENDRE",IF(AP1620="","À RADIOGRAPHIER",IF(AP1620="A","ACCEPTÉ",IF(AP1620="NX","NX – RT À REFAIRE",IF(IF(AO1620=1,AD1620,IF(AO1620=2,AI1620,""))="A","RÉPARÉ – À RADIOGRAPHIER",IF(IF(AO1620=1,AD1620,IF(AO1620=2,AI1620,""))="R","VT REJETÉ – À REPRENDRE",IF(OR(AP1620="CO",AP1620="NT"),"COUPE – À RESOUDER","À RÉPARER"))))))))))</f>
        <v>ACCEPTÉ</v>
      </c>
      <c r="AR1620" s="82" t="str">
        <f aca="false">IF(AND(ISNUMBER(U1620),OR(AQ1620="À RADIOGRAPHIER",AQ1620="RÉPARÉ – À RADIOGRAPHIER",AQ1620="NX – RT À REFAIRE",AQ1620="À RÉPARER",AQ1620="COUPE – À RESOUDER",AQ1620="VT REJETÉ – À REPRENDRE")),MAX(0,'PROGRAMME RT'!$C$4-U1620),"")</f>
        <v/>
      </c>
      <c r="AS1620" s="82" t="n">
        <f aca="false">IF(AND(OR(AQ1620="À RADIOGRAPHIER",AQ1620="RÉPARÉ – À RADIOGRAPHIER",AQ1620="NX – RT À REFAIRE"),OR('PROGRAMME RT'!$D$5="TOUTES",B1620='PROGRAMME RT'!$D$5)),1,0)</f>
        <v>0</v>
      </c>
      <c r="AT1620" s="82" t="str">
        <f aca="false">IF(AS1620=1,SUM(AS$7:AS1620),"")</f>
        <v/>
      </c>
      <c r="AU1620" s="82" t="n">
        <f aca="false">IF(AND(OR(AA1620="R",AA1620="NX",AA1620="NT",AA1620="CO"),OR('JOINTS DE RÉPARATION'!$D$5="TOUTES",B1620='JOINTS DE RÉPARATION'!$D$5),OR('JOINTS DE RÉPARATION'!$L$4="TOUS",AQ1620&lt;&gt;"ACCEPTÉ")),1,0)</f>
        <v>0</v>
      </c>
      <c r="AV1620" s="82" t="str">
        <f aca="false">IF(AU1620=1,SUM(AU$7:AU1620),"")</f>
        <v/>
      </c>
      <c r="AW1620" s="82" t="str">
        <f aca="false">IF(E1620="","",B1620&amp;"|"&amp;E1620)</f>
        <v>MFD-ISW → MFD-CPF|DJ°226</v>
      </c>
    </row>
    <row r="1621" customFormat="false" ht="74.6" hidden="false" customHeight="false" outlineLevel="0" collapsed="false">
      <c r="A1621" s="79" t="n">
        <f aca="false">IF(E1621="","",ROW()-6)</f>
        <v>1615</v>
      </c>
      <c r="B1621" s="80" t="s">
        <v>110</v>
      </c>
      <c r="C1621" s="81" t="s">
        <v>1917</v>
      </c>
      <c r="D1621" s="81" t="n">
        <v>14</v>
      </c>
      <c r="E1621" s="81" t="s">
        <v>1959</v>
      </c>
      <c r="F1621" s="82" t="str">
        <f aca="false">IF(E1621="","",IF(LEFT(E1621,2)="DJ","DJ","JN"))</f>
        <v>JN</v>
      </c>
      <c r="G1621" s="81" t="s">
        <v>1504</v>
      </c>
      <c r="H1621" s="81" t="s">
        <v>871</v>
      </c>
      <c r="I1621" s="81" t="n">
        <v>9.53</v>
      </c>
      <c r="J1621" s="81" t="s">
        <v>872</v>
      </c>
      <c r="K1621" s="81" t="s">
        <v>879</v>
      </c>
      <c r="L1621" s="81" t="n">
        <v>2079070</v>
      </c>
      <c r="M1621" s="81" t="n">
        <v>15421102</v>
      </c>
      <c r="N1621" s="81" t="n">
        <v>11.94</v>
      </c>
      <c r="O1621" s="81" t="n">
        <v>2088360</v>
      </c>
      <c r="P1621" s="81" t="n">
        <v>15421108</v>
      </c>
      <c r="Q1621" s="81" t="n">
        <v>11.94</v>
      </c>
      <c r="R1621" s="81" t="s">
        <v>1938</v>
      </c>
      <c r="S1621" s="81"/>
      <c r="T1621" s="81"/>
      <c r="U1621" s="83" t="n">
        <v>46274</v>
      </c>
      <c r="V1621" s="83" t="n">
        <v>46274</v>
      </c>
      <c r="W1621" s="81" t="s">
        <v>1939</v>
      </c>
      <c r="X1621" s="81" t="s">
        <v>876</v>
      </c>
      <c r="Y1621" s="83" t="n">
        <v>46279</v>
      </c>
      <c r="Z1621" s="81" t="s">
        <v>1920</v>
      </c>
      <c r="AA1621" s="81" t="s">
        <v>1073</v>
      </c>
      <c r="AB1621" s="81" t="s">
        <v>1960</v>
      </c>
      <c r="AC1621" s="81"/>
      <c r="AD1621" s="81"/>
      <c r="AE1621" s="83"/>
      <c r="AF1621" s="81"/>
      <c r="AG1621" s="81"/>
      <c r="AH1621" s="81"/>
      <c r="AI1621" s="81"/>
      <c r="AJ1621" s="83"/>
      <c r="AK1621" s="81"/>
      <c r="AL1621" s="81"/>
      <c r="AM1621" s="83"/>
      <c r="AN1621" s="80"/>
      <c r="AO1621" s="82" t="n">
        <f aca="false">IF(E1621="","",(AA1621&lt;&gt;"")+(AG1621&lt;&gt;"")+(AL1621&lt;&gt;""))</f>
        <v>1</v>
      </c>
      <c r="AP1621" s="82" t="str">
        <f aca="false">IF(AL1621&lt;&gt;"",AL1621,IF(AG1621&lt;&gt;"",AG1621,IF(AA1621&lt;&gt;"",AA1621,"")))</f>
        <v>R</v>
      </c>
      <c r="AQ1621" s="84" t="str">
        <f aca="false">IF(E1621="","",IF(U1621="","À SOUDER",IF(X1621="","VT EN ATTENTE",IF(X1621="R","VT REJETÉ – À REPRENDRE",IF(AP1621="","À RADIOGRAPHIER",IF(AP1621="A","ACCEPTÉ",IF(AP1621="NX","NX – RT À REFAIRE",IF(IF(AO1621=1,AD1621,IF(AO1621=2,AI1621,""))="A","RÉPARÉ – À RADIOGRAPHIER",IF(IF(AO1621=1,AD1621,IF(AO1621=2,AI1621,""))="R","VT REJETÉ – À REPRENDRE",IF(OR(AP1621="CO",AP1621="NT"),"COUPE – À RESOUDER","À RÉPARER"))))))))))</f>
        <v>À RÉPARER</v>
      </c>
      <c r="AR1621" s="82" t="n">
        <f aca="false">IF(AND(ISNUMBER(U1621),OR(AQ1621="À RADIOGRAPHIER",AQ1621="RÉPARÉ – À RADIOGRAPHIER",AQ1621="NX – RT À REFAIRE",AQ1621="À RÉPARER",AQ1621="COUPE – À RESOUDER",AQ1621="VT REJETÉ – À REPRENDRE")),MAX(0,'PROGRAMME RT'!$C$4-U1621),"")</f>
        <v>19</v>
      </c>
      <c r="AS1621" s="82" t="n">
        <f aca="false">IF(AND(OR(AQ1621="À RADIOGRAPHIER",AQ1621="RÉPARÉ – À RADIOGRAPHIER",AQ1621="NX – RT À REFAIRE"),OR('PROGRAMME RT'!$D$5="TOUTES",B1621='PROGRAMME RT'!$D$5)),1,0)</f>
        <v>0</v>
      </c>
      <c r="AT1621" s="82" t="str">
        <f aca="false">IF(AS1621=1,SUM(AS$7:AS1621),"")</f>
        <v/>
      </c>
      <c r="AU1621" s="82" t="n">
        <f aca="false">IF(AND(OR(AA1621="R",AA1621="NX",AA1621="NT",AA1621="CO"),OR('JOINTS DE RÉPARATION'!$D$5="TOUTES",B1621='JOINTS DE RÉPARATION'!$D$5),OR('JOINTS DE RÉPARATION'!$L$4="TOUS",AQ1621&lt;&gt;"ACCEPTÉ")),1,0)</f>
        <v>1</v>
      </c>
      <c r="AV1621" s="82" t="n">
        <f aca="false">IF(AU1621=1,SUM(AU$7:AU1621),"")</f>
        <v>43</v>
      </c>
      <c r="AW1621" s="82" t="str">
        <f aca="false">IF(E1621="","",B1621&amp;"|"&amp;E1621)</f>
        <v>MFD-ISW → MFD-CPF|JN°1317</v>
      </c>
    </row>
    <row r="1622" customFormat="false" ht="74.6" hidden="false" customHeight="false" outlineLevel="0" collapsed="false">
      <c r="A1622" s="79" t="n">
        <f aca="false">IF(E1622="","",ROW()-6)</f>
        <v>1616</v>
      </c>
      <c r="B1622" s="80" t="s">
        <v>110</v>
      </c>
      <c r="C1622" s="81" t="s">
        <v>1917</v>
      </c>
      <c r="D1622" s="81" t="n">
        <v>14</v>
      </c>
      <c r="E1622" s="81" t="s">
        <v>1961</v>
      </c>
      <c r="F1622" s="82" t="str">
        <f aca="false">IF(E1622="","",IF(LEFT(E1622,2)="DJ","DJ","JN"))</f>
        <v>DJ</v>
      </c>
      <c r="G1622" s="81"/>
      <c r="H1622" s="81" t="s">
        <v>871</v>
      </c>
      <c r="I1622" s="81" t="n">
        <v>9.53</v>
      </c>
      <c r="J1622" s="81" t="s">
        <v>872</v>
      </c>
      <c r="K1622" s="81" t="s">
        <v>873</v>
      </c>
      <c r="L1622" s="81" t="n">
        <v>2088360</v>
      </c>
      <c r="M1622" s="81" t="n">
        <v>15421108</v>
      </c>
      <c r="N1622" s="81" t="n">
        <v>11.94</v>
      </c>
      <c r="O1622" s="81" t="n">
        <v>2093210</v>
      </c>
      <c r="P1622" s="81" t="n">
        <v>15421110</v>
      </c>
      <c r="Q1622" s="81" t="n">
        <v>11.94</v>
      </c>
      <c r="R1622" s="81" t="s">
        <v>1135</v>
      </c>
      <c r="S1622" s="81"/>
      <c r="T1622" s="81"/>
      <c r="U1622" s="83" t="n">
        <v>46265</v>
      </c>
      <c r="V1622" s="83" t="n">
        <v>46265</v>
      </c>
      <c r="W1622" s="81" t="s">
        <v>1891</v>
      </c>
      <c r="X1622" s="81" t="s">
        <v>876</v>
      </c>
      <c r="Y1622" s="83" t="n">
        <v>46266</v>
      </c>
      <c r="Z1622" s="81" t="s">
        <v>1911</v>
      </c>
      <c r="AA1622" s="81" t="s">
        <v>876</v>
      </c>
      <c r="AB1622" s="81"/>
      <c r="AC1622" s="81"/>
      <c r="AD1622" s="81"/>
      <c r="AE1622" s="83"/>
      <c r="AF1622" s="81"/>
      <c r="AG1622" s="81"/>
      <c r="AH1622" s="81"/>
      <c r="AI1622" s="81"/>
      <c r="AJ1622" s="83"/>
      <c r="AK1622" s="81"/>
      <c r="AL1622" s="81"/>
      <c r="AM1622" s="83"/>
      <c r="AN1622" s="80"/>
      <c r="AO1622" s="82" t="n">
        <f aca="false">IF(E1622="","",(AA1622&lt;&gt;"")+(AG1622&lt;&gt;"")+(AL1622&lt;&gt;""))</f>
        <v>1</v>
      </c>
      <c r="AP1622" s="82" t="str">
        <f aca="false">IF(AL1622&lt;&gt;"",AL1622,IF(AG1622&lt;&gt;"",AG1622,IF(AA1622&lt;&gt;"",AA1622,"")))</f>
        <v>A</v>
      </c>
      <c r="AQ1622" s="84" t="str">
        <f aca="false">IF(E1622="","",IF(U1622="","À SOUDER",IF(X1622="","VT EN ATTENTE",IF(X1622="R","VT REJETÉ – À REPRENDRE",IF(AP1622="","À RADIOGRAPHIER",IF(AP1622="A","ACCEPTÉ",IF(AP1622="NX","NX – RT À REFAIRE",IF(IF(AO1622=1,AD1622,IF(AO1622=2,AI1622,""))="A","RÉPARÉ – À RADIOGRAPHIER",IF(IF(AO1622=1,AD1622,IF(AO1622=2,AI1622,""))="R","VT REJETÉ – À REPRENDRE",IF(OR(AP1622="CO",AP1622="NT"),"COUPE – À RESOUDER","À RÉPARER"))))))))))</f>
        <v>ACCEPTÉ</v>
      </c>
      <c r="AR1622" s="82" t="str">
        <f aca="false">IF(AND(ISNUMBER(U1622),OR(AQ1622="À RADIOGRAPHIER",AQ1622="RÉPARÉ – À RADIOGRAPHIER",AQ1622="NX – RT À REFAIRE",AQ1622="À RÉPARER",AQ1622="COUPE – À RESOUDER",AQ1622="VT REJETÉ – À REPRENDRE")),MAX(0,'PROGRAMME RT'!$C$4-U1622),"")</f>
        <v/>
      </c>
      <c r="AS1622" s="82" t="n">
        <f aca="false">IF(AND(OR(AQ1622="À RADIOGRAPHIER",AQ1622="RÉPARÉ – À RADIOGRAPHIER",AQ1622="NX – RT À REFAIRE"),OR('PROGRAMME RT'!$D$5="TOUTES",B1622='PROGRAMME RT'!$D$5)),1,0)</f>
        <v>0</v>
      </c>
      <c r="AT1622" s="82" t="str">
        <f aca="false">IF(AS1622=1,SUM(AS$7:AS1622),"")</f>
        <v/>
      </c>
      <c r="AU1622" s="82" t="n">
        <f aca="false">IF(AND(OR(AA1622="R",AA1622="NX",AA1622="NT",AA1622="CO"),OR('JOINTS DE RÉPARATION'!$D$5="TOUTES",B1622='JOINTS DE RÉPARATION'!$D$5),OR('JOINTS DE RÉPARATION'!$L$4="TOUS",AQ1622&lt;&gt;"ACCEPTÉ")),1,0)</f>
        <v>0</v>
      </c>
      <c r="AV1622" s="82" t="str">
        <f aca="false">IF(AU1622=1,SUM(AU$7:AU1622),"")</f>
        <v/>
      </c>
      <c r="AW1622" s="82" t="str">
        <f aca="false">IF(E1622="","",B1622&amp;"|"&amp;E1622)</f>
        <v>MFD-ISW → MFD-CPF|DJ°220</v>
      </c>
    </row>
    <row r="1623" customFormat="false" ht="74.6" hidden="false" customHeight="false" outlineLevel="0" collapsed="false">
      <c r="A1623" s="79" t="n">
        <f aca="false">IF(E1623="","",ROW()-6)</f>
        <v>1617</v>
      </c>
      <c r="B1623" s="80" t="s">
        <v>110</v>
      </c>
      <c r="C1623" s="81" t="s">
        <v>1917</v>
      </c>
      <c r="D1623" s="81" t="n">
        <v>14</v>
      </c>
      <c r="E1623" s="81" t="s">
        <v>1962</v>
      </c>
      <c r="F1623" s="82" t="str">
        <f aca="false">IF(E1623="","",IF(LEFT(E1623,2)="DJ","DJ","JN"))</f>
        <v>JN</v>
      </c>
      <c r="G1623" s="81" t="s">
        <v>1504</v>
      </c>
      <c r="H1623" s="81" t="s">
        <v>871</v>
      </c>
      <c r="I1623" s="81" t="n">
        <v>9.53</v>
      </c>
      <c r="J1623" s="81" t="s">
        <v>872</v>
      </c>
      <c r="K1623" s="81" t="s">
        <v>879</v>
      </c>
      <c r="L1623" s="81" t="n">
        <v>2093210</v>
      </c>
      <c r="M1623" s="81" t="n">
        <v>15421110</v>
      </c>
      <c r="N1623" s="81" t="n">
        <v>11.94</v>
      </c>
      <c r="O1623" s="81" t="n">
        <v>2095760</v>
      </c>
      <c r="P1623" s="81" t="n">
        <v>15421111</v>
      </c>
      <c r="Q1623" s="81" t="n">
        <v>11.94</v>
      </c>
      <c r="R1623" s="81" t="s">
        <v>1938</v>
      </c>
      <c r="S1623" s="81"/>
      <c r="T1623" s="81"/>
      <c r="U1623" s="83" t="n">
        <v>46274</v>
      </c>
      <c r="V1623" s="83" t="n">
        <v>46274</v>
      </c>
      <c r="W1623" s="81" t="s">
        <v>1939</v>
      </c>
      <c r="X1623" s="81" t="s">
        <v>876</v>
      </c>
      <c r="Y1623" s="83" t="n">
        <v>46279</v>
      </c>
      <c r="Z1623" s="81" t="s">
        <v>1963</v>
      </c>
      <c r="AA1623" s="81" t="s">
        <v>876</v>
      </c>
      <c r="AB1623" s="81"/>
      <c r="AC1623" s="81"/>
      <c r="AD1623" s="81"/>
      <c r="AE1623" s="83"/>
      <c r="AF1623" s="81"/>
      <c r="AG1623" s="81"/>
      <c r="AH1623" s="81"/>
      <c r="AI1623" s="81"/>
      <c r="AJ1623" s="83"/>
      <c r="AK1623" s="81"/>
      <c r="AL1623" s="81"/>
      <c r="AM1623" s="83"/>
      <c r="AN1623" s="80"/>
      <c r="AO1623" s="82" t="n">
        <f aca="false">IF(E1623="","",(AA1623&lt;&gt;"")+(AG1623&lt;&gt;"")+(AL1623&lt;&gt;""))</f>
        <v>1</v>
      </c>
      <c r="AP1623" s="82" t="str">
        <f aca="false">IF(AL1623&lt;&gt;"",AL1623,IF(AG1623&lt;&gt;"",AG1623,IF(AA1623&lt;&gt;"",AA1623,"")))</f>
        <v>A</v>
      </c>
      <c r="AQ1623" s="84" t="str">
        <f aca="false">IF(E1623="","",IF(U1623="","À SOUDER",IF(X1623="","VT EN ATTENTE",IF(X1623="R","VT REJETÉ – À REPRENDRE",IF(AP1623="","À RADIOGRAPHIER",IF(AP1623="A","ACCEPTÉ",IF(AP1623="NX","NX – RT À REFAIRE",IF(IF(AO1623=1,AD1623,IF(AO1623=2,AI1623,""))="A","RÉPARÉ – À RADIOGRAPHIER",IF(IF(AO1623=1,AD1623,IF(AO1623=2,AI1623,""))="R","VT REJETÉ – À REPRENDRE",IF(OR(AP1623="CO",AP1623="NT"),"COUPE – À RESOUDER","À RÉPARER"))))))))))</f>
        <v>ACCEPTÉ</v>
      </c>
      <c r="AR1623" s="82" t="str">
        <f aca="false">IF(AND(ISNUMBER(U1623),OR(AQ1623="À RADIOGRAPHIER",AQ1623="RÉPARÉ – À RADIOGRAPHIER",AQ1623="NX – RT À REFAIRE",AQ1623="À RÉPARER",AQ1623="COUPE – À RESOUDER",AQ1623="VT REJETÉ – À REPRENDRE")),MAX(0,'PROGRAMME RT'!$C$4-U1623),"")</f>
        <v/>
      </c>
      <c r="AS1623" s="82" t="n">
        <f aca="false">IF(AND(OR(AQ1623="À RADIOGRAPHIER",AQ1623="RÉPARÉ – À RADIOGRAPHIER",AQ1623="NX – RT À REFAIRE"),OR('PROGRAMME RT'!$D$5="TOUTES",B1623='PROGRAMME RT'!$D$5)),1,0)</f>
        <v>0</v>
      </c>
      <c r="AT1623" s="82" t="str">
        <f aca="false">IF(AS1623=1,SUM(AS$7:AS1623),"")</f>
        <v/>
      </c>
      <c r="AU1623" s="82" t="n">
        <f aca="false">IF(AND(OR(AA1623="R",AA1623="NX",AA1623="NT",AA1623="CO"),OR('JOINTS DE RÉPARATION'!$D$5="TOUTES",B1623='JOINTS DE RÉPARATION'!$D$5),OR('JOINTS DE RÉPARATION'!$L$4="TOUS",AQ1623&lt;&gt;"ACCEPTÉ")),1,0)</f>
        <v>0</v>
      </c>
      <c r="AV1623" s="82" t="str">
        <f aca="false">IF(AU1623=1,SUM(AU$7:AU1623),"")</f>
        <v/>
      </c>
      <c r="AW1623" s="82" t="str">
        <f aca="false">IF(E1623="","",B1623&amp;"|"&amp;E1623)</f>
        <v>MFD-ISW → MFD-CPF|JN°1318</v>
      </c>
    </row>
    <row r="1624" customFormat="false" ht="74.6" hidden="false" customHeight="false" outlineLevel="0" collapsed="false">
      <c r="A1624" s="79" t="n">
        <f aca="false">IF(E1624="","",ROW()-6)</f>
        <v>1618</v>
      </c>
      <c r="B1624" s="80" t="s">
        <v>110</v>
      </c>
      <c r="C1624" s="81" t="s">
        <v>1917</v>
      </c>
      <c r="D1624" s="81" t="n">
        <v>14</v>
      </c>
      <c r="E1624" s="81" t="s">
        <v>1964</v>
      </c>
      <c r="F1624" s="82" t="str">
        <f aca="false">IF(E1624="","",IF(LEFT(E1624,2)="DJ","DJ","JN"))</f>
        <v>DJ</v>
      </c>
      <c r="G1624" s="81"/>
      <c r="H1624" s="81" t="s">
        <v>871</v>
      </c>
      <c r="I1624" s="81" t="n">
        <v>9.53</v>
      </c>
      <c r="J1624" s="81" t="s">
        <v>872</v>
      </c>
      <c r="K1624" s="81" t="s">
        <v>873</v>
      </c>
      <c r="L1624" s="81" t="n">
        <v>2095760</v>
      </c>
      <c r="M1624" s="81" t="n">
        <v>15421111</v>
      </c>
      <c r="N1624" s="81" t="n">
        <v>11.94</v>
      </c>
      <c r="O1624" s="81" t="n">
        <v>2088590</v>
      </c>
      <c r="P1624" s="81" t="n">
        <v>15421108</v>
      </c>
      <c r="Q1624" s="81" t="n">
        <v>11.94</v>
      </c>
      <c r="R1624" s="81" t="s">
        <v>1517</v>
      </c>
      <c r="S1624" s="81"/>
      <c r="T1624" s="81"/>
      <c r="U1624" s="83" t="n">
        <v>46264</v>
      </c>
      <c r="V1624" s="83" t="n">
        <v>46264</v>
      </c>
      <c r="W1624" s="81" t="s">
        <v>1895</v>
      </c>
      <c r="X1624" s="81" t="s">
        <v>876</v>
      </c>
      <c r="Y1624" s="83" t="n">
        <v>46265</v>
      </c>
      <c r="Z1624" s="81" t="s">
        <v>1965</v>
      </c>
      <c r="AA1624" s="81" t="s">
        <v>876</v>
      </c>
      <c r="AB1624" s="81"/>
      <c r="AC1624" s="81"/>
      <c r="AD1624" s="81"/>
      <c r="AE1624" s="83"/>
      <c r="AF1624" s="81"/>
      <c r="AG1624" s="81"/>
      <c r="AH1624" s="81"/>
      <c r="AI1624" s="81"/>
      <c r="AJ1624" s="83"/>
      <c r="AK1624" s="81"/>
      <c r="AL1624" s="81"/>
      <c r="AM1624" s="83"/>
      <c r="AN1624" s="80"/>
      <c r="AO1624" s="82" t="n">
        <f aca="false">IF(E1624="","",(AA1624&lt;&gt;"")+(AG1624&lt;&gt;"")+(AL1624&lt;&gt;""))</f>
        <v>1</v>
      </c>
      <c r="AP1624" s="82" t="str">
        <f aca="false">IF(AL1624&lt;&gt;"",AL1624,IF(AG1624&lt;&gt;"",AG1624,IF(AA1624&lt;&gt;"",AA1624,"")))</f>
        <v>A</v>
      </c>
      <c r="AQ1624" s="84" t="str">
        <f aca="false">IF(E1624="","",IF(U1624="","À SOUDER",IF(X1624="","VT EN ATTENTE",IF(X1624="R","VT REJETÉ – À REPRENDRE",IF(AP1624="","À RADIOGRAPHIER",IF(AP1624="A","ACCEPTÉ",IF(AP1624="NX","NX – RT À REFAIRE",IF(IF(AO1624=1,AD1624,IF(AO1624=2,AI1624,""))="A","RÉPARÉ – À RADIOGRAPHIER",IF(IF(AO1624=1,AD1624,IF(AO1624=2,AI1624,""))="R","VT REJETÉ – À REPRENDRE",IF(OR(AP1624="CO",AP1624="NT"),"COUPE – À RESOUDER","À RÉPARER"))))))))))</f>
        <v>ACCEPTÉ</v>
      </c>
      <c r="AR1624" s="82" t="str">
        <f aca="false">IF(AND(ISNUMBER(U1624),OR(AQ1624="À RADIOGRAPHIER",AQ1624="RÉPARÉ – À RADIOGRAPHIER",AQ1624="NX – RT À REFAIRE",AQ1624="À RÉPARER",AQ1624="COUPE – À RESOUDER",AQ1624="VT REJETÉ – À REPRENDRE")),MAX(0,'PROGRAMME RT'!$C$4-U1624),"")</f>
        <v/>
      </c>
      <c r="AS1624" s="82" t="n">
        <f aca="false">IF(AND(OR(AQ1624="À RADIOGRAPHIER",AQ1624="RÉPARÉ – À RADIOGRAPHIER",AQ1624="NX – RT À REFAIRE"),OR('PROGRAMME RT'!$D$5="TOUTES",B1624='PROGRAMME RT'!$D$5)),1,0)</f>
        <v>0</v>
      </c>
      <c r="AT1624" s="82" t="str">
        <f aca="false">IF(AS1624=1,SUM(AS$7:AS1624),"")</f>
        <v/>
      </c>
      <c r="AU1624" s="82" t="n">
        <f aca="false">IF(AND(OR(AA1624="R",AA1624="NX",AA1624="NT",AA1624="CO"),OR('JOINTS DE RÉPARATION'!$D$5="TOUTES",B1624='JOINTS DE RÉPARATION'!$D$5),OR('JOINTS DE RÉPARATION'!$L$4="TOUS",AQ1624&lt;&gt;"ACCEPTÉ")),1,0)</f>
        <v>0</v>
      </c>
      <c r="AV1624" s="82" t="str">
        <f aca="false">IF(AU1624=1,SUM(AU$7:AU1624),"")</f>
        <v/>
      </c>
      <c r="AW1624" s="82" t="str">
        <f aca="false">IF(E1624="","",B1624&amp;"|"&amp;E1624)</f>
        <v>MFD-ISW → MFD-CPF|DJ°211</v>
      </c>
    </row>
    <row r="1625" customFormat="false" ht="74.6" hidden="false" customHeight="false" outlineLevel="0" collapsed="false">
      <c r="A1625" s="79" t="n">
        <f aca="false">IF(E1625="","",ROW()-6)</f>
        <v>1619</v>
      </c>
      <c r="B1625" s="80" t="s">
        <v>110</v>
      </c>
      <c r="C1625" s="81" t="s">
        <v>1917</v>
      </c>
      <c r="D1625" s="81" t="n">
        <v>14</v>
      </c>
      <c r="E1625" s="81" t="s">
        <v>1966</v>
      </c>
      <c r="F1625" s="82" t="str">
        <f aca="false">IF(E1625="","",IF(LEFT(E1625,2)="DJ","DJ","JN"))</f>
        <v>JN</v>
      </c>
      <c r="G1625" s="81" t="s">
        <v>1504</v>
      </c>
      <c r="H1625" s="81" t="s">
        <v>871</v>
      </c>
      <c r="I1625" s="81" t="n">
        <v>9.53</v>
      </c>
      <c r="J1625" s="81" t="s">
        <v>872</v>
      </c>
      <c r="K1625" s="81" t="s">
        <v>879</v>
      </c>
      <c r="L1625" s="81" t="n">
        <v>2088590</v>
      </c>
      <c r="M1625" s="81" t="n">
        <v>15421108</v>
      </c>
      <c r="N1625" s="81" t="n">
        <v>11.94</v>
      </c>
      <c r="O1625" s="81" t="n">
        <v>2081830</v>
      </c>
      <c r="P1625" s="81" t="n">
        <v>15421104</v>
      </c>
      <c r="Q1625" s="81" t="n">
        <v>11.94</v>
      </c>
      <c r="R1625" s="81" t="s">
        <v>1938</v>
      </c>
      <c r="S1625" s="81"/>
      <c r="T1625" s="81"/>
      <c r="U1625" s="83" t="n">
        <v>46274</v>
      </c>
      <c r="V1625" s="83" t="n">
        <v>46274</v>
      </c>
      <c r="W1625" s="81" t="s">
        <v>1939</v>
      </c>
      <c r="X1625" s="81" t="s">
        <v>876</v>
      </c>
      <c r="Y1625" s="83" t="n">
        <v>46279</v>
      </c>
      <c r="Z1625" s="81" t="s">
        <v>1963</v>
      </c>
      <c r="AA1625" s="81" t="s">
        <v>876</v>
      </c>
      <c r="AB1625" s="81"/>
      <c r="AC1625" s="81"/>
      <c r="AD1625" s="81"/>
      <c r="AE1625" s="83"/>
      <c r="AF1625" s="81"/>
      <c r="AG1625" s="81"/>
      <c r="AH1625" s="81"/>
      <c r="AI1625" s="81"/>
      <c r="AJ1625" s="83"/>
      <c r="AK1625" s="81"/>
      <c r="AL1625" s="81"/>
      <c r="AM1625" s="83"/>
      <c r="AN1625" s="80"/>
      <c r="AO1625" s="82" t="n">
        <f aca="false">IF(E1625="","",(AA1625&lt;&gt;"")+(AG1625&lt;&gt;"")+(AL1625&lt;&gt;""))</f>
        <v>1</v>
      </c>
      <c r="AP1625" s="82" t="str">
        <f aca="false">IF(AL1625&lt;&gt;"",AL1625,IF(AG1625&lt;&gt;"",AG1625,IF(AA1625&lt;&gt;"",AA1625,"")))</f>
        <v>A</v>
      </c>
      <c r="AQ1625" s="84" t="str">
        <f aca="false">IF(E1625="","",IF(U1625="","À SOUDER",IF(X1625="","VT EN ATTENTE",IF(X1625="R","VT REJETÉ – À REPRENDRE",IF(AP1625="","À RADIOGRAPHIER",IF(AP1625="A","ACCEPTÉ",IF(AP1625="NX","NX – RT À REFAIRE",IF(IF(AO1625=1,AD1625,IF(AO1625=2,AI1625,""))="A","RÉPARÉ – À RADIOGRAPHIER",IF(IF(AO1625=1,AD1625,IF(AO1625=2,AI1625,""))="R","VT REJETÉ – À REPRENDRE",IF(OR(AP1625="CO",AP1625="NT"),"COUPE – À RESOUDER","À RÉPARER"))))))))))</f>
        <v>ACCEPTÉ</v>
      </c>
      <c r="AR1625" s="82" t="str">
        <f aca="false">IF(AND(ISNUMBER(U1625),OR(AQ1625="À RADIOGRAPHIER",AQ1625="RÉPARÉ – À RADIOGRAPHIER",AQ1625="NX – RT À REFAIRE",AQ1625="À RÉPARER",AQ1625="COUPE – À RESOUDER",AQ1625="VT REJETÉ – À REPRENDRE")),MAX(0,'PROGRAMME RT'!$C$4-U1625),"")</f>
        <v/>
      </c>
      <c r="AS1625" s="82" t="n">
        <f aca="false">IF(AND(OR(AQ1625="À RADIOGRAPHIER",AQ1625="RÉPARÉ – À RADIOGRAPHIER",AQ1625="NX – RT À REFAIRE"),OR('PROGRAMME RT'!$D$5="TOUTES",B1625='PROGRAMME RT'!$D$5)),1,0)</f>
        <v>0</v>
      </c>
      <c r="AT1625" s="82" t="str">
        <f aca="false">IF(AS1625=1,SUM(AS$7:AS1625),"")</f>
        <v/>
      </c>
      <c r="AU1625" s="82" t="n">
        <f aca="false">IF(AND(OR(AA1625="R",AA1625="NX",AA1625="NT",AA1625="CO"),OR('JOINTS DE RÉPARATION'!$D$5="TOUTES",B1625='JOINTS DE RÉPARATION'!$D$5),OR('JOINTS DE RÉPARATION'!$L$4="TOUS",AQ1625&lt;&gt;"ACCEPTÉ")),1,0)</f>
        <v>0</v>
      </c>
      <c r="AV1625" s="82" t="str">
        <f aca="false">IF(AU1625=1,SUM(AU$7:AU1625),"")</f>
        <v/>
      </c>
      <c r="AW1625" s="82" t="str">
        <f aca="false">IF(E1625="","",B1625&amp;"|"&amp;E1625)</f>
        <v>MFD-ISW → MFD-CPF|JN°1319</v>
      </c>
    </row>
    <row r="1626" customFormat="false" ht="74.6" hidden="false" customHeight="false" outlineLevel="0" collapsed="false">
      <c r="A1626" s="79" t="n">
        <f aca="false">IF(E1626="","",ROW()-6)</f>
        <v>1620</v>
      </c>
      <c r="B1626" s="80" t="s">
        <v>110</v>
      </c>
      <c r="C1626" s="81" t="s">
        <v>1917</v>
      </c>
      <c r="D1626" s="81" t="n">
        <v>14</v>
      </c>
      <c r="E1626" s="81" t="s">
        <v>1967</v>
      </c>
      <c r="F1626" s="82" t="str">
        <f aca="false">IF(E1626="","",IF(LEFT(E1626,2)="DJ","DJ","JN"))</f>
        <v>DJ</v>
      </c>
      <c r="G1626" s="81"/>
      <c r="H1626" s="81" t="s">
        <v>871</v>
      </c>
      <c r="I1626" s="81" t="n">
        <v>9.53</v>
      </c>
      <c r="J1626" s="81" t="s">
        <v>872</v>
      </c>
      <c r="K1626" s="81" t="s">
        <v>873</v>
      </c>
      <c r="L1626" s="81" t="n">
        <v>2081830</v>
      </c>
      <c r="M1626" s="81" t="n">
        <v>15421104</v>
      </c>
      <c r="N1626" s="81" t="n">
        <v>11.94</v>
      </c>
      <c r="O1626" s="81" t="n">
        <v>2093340</v>
      </c>
      <c r="P1626" s="81" t="n">
        <v>15421110</v>
      </c>
      <c r="Q1626" s="81" t="n">
        <v>11.94</v>
      </c>
      <c r="R1626" s="81" t="s">
        <v>963</v>
      </c>
      <c r="S1626" s="81"/>
      <c r="T1626" s="81"/>
      <c r="U1626" s="83" t="n">
        <v>46264</v>
      </c>
      <c r="V1626" s="83" t="n">
        <v>46264</v>
      </c>
      <c r="W1626" s="81" t="s">
        <v>1895</v>
      </c>
      <c r="X1626" s="81" t="s">
        <v>876</v>
      </c>
      <c r="Y1626" s="83" t="n">
        <v>46265</v>
      </c>
      <c r="Z1626" s="81" t="s">
        <v>1968</v>
      </c>
      <c r="AA1626" s="81" t="s">
        <v>876</v>
      </c>
      <c r="AB1626" s="81"/>
      <c r="AC1626" s="81"/>
      <c r="AD1626" s="81"/>
      <c r="AE1626" s="83"/>
      <c r="AF1626" s="81"/>
      <c r="AG1626" s="81"/>
      <c r="AH1626" s="81"/>
      <c r="AI1626" s="81"/>
      <c r="AJ1626" s="83"/>
      <c r="AK1626" s="81"/>
      <c r="AL1626" s="81"/>
      <c r="AM1626" s="83"/>
      <c r="AN1626" s="80"/>
      <c r="AO1626" s="82" t="n">
        <f aca="false">IF(E1626="","",(AA1626&lt;&gt;"")+(AG1626&lt;&gt;"")+(AL1626&lt;&gt;""))</f>
        <v>1</v>
      </c>
      <c r="AP1626" s="82" t="str">
        <f aca="false">IF(AL1626&lt;&gt;"",AL1626,IF(AG1626&lt;&gt;"",AG1626,IF(AA1626&lt;&gt;"",AA1626,"")))</f>
        <v>A</v>
      </c>
      <c r="AQ1626" s="84" t="str">
        <f aca="false">IF(E1626="","",IF(U1626="","À SOUDER",IF(X1626="","VT EN ATTENTE",IF(X1626="R","VT REJETÉ – À REPRENDRE",IF(AP1626="","À RADIOGRAPHIER",IF(AP1626="A","ACCEPTÉ",IF(AP1626="NX","NX – RT À REFAIRE",IF(IF(AO1626=1,AD1626,IF(AO1626=2,AI1626,""))="A","RÉPARÉ – À RADIOGRAPHIER",IF(IF(AO1626=1,AD1626,IF(AO1626=2,AI1626,""))="R","VT REJETÉ – À REPRENDRE",IF(OR(AP1626="CO",AP1626="NT"),"COUPE – À RESOUDER","À RÉPARER"))))))))))</f>
        <v>ACCEPTÉ</v>
      </c>
      <c r="AR1626" s="82" t="str">
        <f aca="false">IF(AND(ISNUMBER(U1626),OR(AQ1626="À RADIOGRAPHIER",AQ1626="RÉPARÉ – À RADIOGRAPHIER",AQ1626="NX – RT À REFAIRE",AQ1626="À RÉPARER",AQ1626="COUPE – À RESOUDER",AQ1626="VT REJETÉ – À REPRENDRE")),MAX(0,'PROGRAMME RT'!$C$4-U1626),"")</f>
        <v/>
      </c>
      <c r="AS1626" s="82" t="n">
        <f aca="false">IF(AND(OR(AQ1626="À RADIOGRAPHIER",AQ1626="RÉPARÉ – À RADIOGRAPHIER",AQ1626="NX – RT À REFAIRE"),OR('PROGRAMME RT'!$D$5="TOUTES",B1626='PROGRAMME RT'!$D$5)),1,0)</f>
        <v>0</v>
      </c>
      <c r="AT1626" s="82" t="str">
        <f aca="false">IF(AS1626=1,SUM(AS$7:AS1626),"")</f>
        <v/>
      </c>
      <c r="AU1626" s="82" t="n">
        <f aca="false">IF(AND(OR(AA1626="R",AA1626="NX",AA1626="NT",AA1626="CO"),OR('JOINTS DE RÉPARATION'!$D$5="TOUTES",B1626='JOINTS DE RÉPARATION'!$D$5),OR('JOINTS DE RÉPARATION'!$L$4="TOUS",AQ1626&lt;&gt;"ACCEPTÉ")),1,0)</f>
        <v>0</v>
      </c>
      <c r="AV1626" s="82" t="str">
        <f aca="false">IF(AU1626=1,SUM(AU$7:AU1626),"")</f>
        <v/>
      </c>
      <c r="AW1626" s="82" t="str">
        <f aca="false">IF(E1626="","",B1626&amp;"|"&amp;E1626)</f>
        <v>MFD-ISW → MFD-CPF|DJ°205</v>
      </c>
    </row>
    <row r="1627" customFormat="false" ht="74.6" hidden="false" customHeight="false" outlineLevel="0" collapsed="false">
      <c r="A1627" s="79" t="n">
        <f aca="false">IF(E1627="","",ROW()-6)</f>
        <v>1621</v>
      </c>
      <c r="B1627" s="80" t="s">
        <v>110</v>
      </c>
      <c r="C1627" s="81" t="s">
        <v>926</v>
      </c>
      <c r="D1627" s="81" t="n">
        <v>14</v>
      </c>
      <c r="E1627" s="81" t="s">
        <v>1969</v>
      </c>
      <c r="F1627" s="82" t="str">
        <f aca="false">IF(E1627="","",IF(LEFT(E1627,2)="DJ","DJ","JN"))</f>
        <v>JN</v>
      </c>
      <c r="G1627" s="81"/>
      <c r="H1627" s="81"/>
      <c r="I1627" s="81"/>
      <c r="J1627" s="81"/>
      <c r="K1627" s="81"/>
      <c r="L1627" s="81" t="n">
        <v>2093340</v>
      </c>
      <c r="M1627" s="81" t="n">
        <v>15421110</v>
      </c>
      <c r="N1627" s="81" t="n">
        <v>11.94</v>
      </c>
      <c r="O1627" s="81"/>
      <c r="P1627" s="81"/>
      <c r="Q1627" s="81"/>
      <c r="R1627" s="81"/>
      <c r="S1627" s="81"/>
      <c r="T1627" s="81"/>
      <c r="U1627" s="83"/>
      <c r="V1627" s="83"/>
      <c r="W1627" s="81"/>
      <c r="X1627" s="81"/>
      <c r="Y1627" s="83"/>
      <c r="Z1627" s="81"/>
      <c r="AA1627" s="81"/>
      <c r="AB1627" s="81"/>
      <c r="AC1627" s="81"/>
      <c r="AD1627" s="81"/>
      <c r="AE1627" s="83"/>
      <c r="AF1627" s="81"/>
      <c r="AG1627" s="81"/>
      <c r="AH1627" s="81"/>
      <c r="AI1627" s="81"/>
      <c r="AJ1627" s="83"/>
      <c r="AK1627" s="81"/>
      <c r="AL1627" s="81"/>
      <c r="AM1627" s="83"/>
      <c r="AN1627" s="80"/>
      <c r="AO1627" s="82" t="n">
        <f aca="false">IF(E1627="","",(AA1627&lt;&gt;"")+(AG1627&lt;&gt;"")+(AL1627&lt;&gt;""))</f>
        <v>0</v>
      </c>
      <c r="AP1627" s="82" t="str">
        <f aca="false">IF(AL1627&lt;&gt;"",AL1627,IF(AG1627&lt;&gt;"",AG1627,IF(AA1627&lt;&gt;"",AA1627,"")))</f>
        <v/>
      </c>
      <c r="AQ1627" s="84" t="str">
        <f aca="false">IF(E1627="","",IF(U1627="","À SOUDER",IF(X1627="","VT EN ATTENTE",IF(X1627="R","VT REJETÉ – À REPRENDRE",IF(AP1627="","À RADIOGRAPHIER",IF(AP1627="A","ACCEPTÉ",IF(AP1627="NX","NX – RT À REFAIRE",IF(IF(AO1627=1,AD1627,IF(AO1627=2,AI1627,""))="A","RÉPARÉ – À RADIOGRAPHIER",IF(IF(AO1627=1,AD1627,IF(AO1627=2,AI1627,""))="R","VT REJETÉ – À REPRENDRE",IF(OR(AP1627="CO",AP1627="NT"),"COUPE – À RESOUDER","À RÉPARER"))))))))))</f>
        <v>À SOUDER</v>
      </c>
      <c r="AR1627" s="82" t="str">
        <f aca="false">IF(AND(ISNUMBER(U1627),OR(AQ1627="À RADIOGRAPHIER",AQ1627="RÉPARÉ – À RADIOGRAPHIER",AQ1627="NX – RT À REFAIRE",AQ1627="À RÉPARER",AQ1627="COUPE – À RESOUDER",AQ1627="VT REJETÉ – À REPRENDRE")),MAX(0,'PROGRAMME RT'!$C$4-U1627),"")</f>
        <v/>
      </c>
      <c r="AS1627" s="82" t="n">
        <f aca="false">IF(AND(OR(AQ1627="À RADIOGRAPHIER",AQ1627="RÉPARÉ – À RADIOGRAPHIER",AQ1627="NX – RT À REFAIRE"),OR('PROGRAMME RT'!$D$5="TOUTES",B1627='PROGRAMME RT'!$D$5)),1,0)</f>
        <v>0</v>
      </c>
      <c r="AT1627" s="82" t="str">
        <f aca="false">IF(AS1627=1,SUM(AS$7:AS1627),"")</f>
        <v/>
      </c>
      <c r="AU1627" s="82" t="n">
        <f aca="false">IF(AND(OR(AA1627="R",AA1627="NX",AA1627="NT",AA1627="CO"),OR('JOINTS DE RÉPARATION'!$D$5="TOUTES",B1627='JOINTS DE RÉPARATION'!$D$5),OR('JOINTS DE RÉPARATION'!$L$4="TOUS",AQ1627&lt;&gt;"ACCEPTÉ")),1,0)</f>
        <v>0</v>
      </c>
      <c r="AV1627" s="82" t="str">
        <f aca="false">IF(AU1627=1,SUM(AU$7:AU1627),"")</f>
        <v/>
      </c>
      <c r="AW1627" s="82" t="str">
        <f aca="false">IF(E1627="","",B1627&amp;"|"&amp;E1627)</f>
        <v>MFD-ISW → MFD-CPF|JN°1320</v>
      </c>
    </row>
    <row r="1628" customFormat="false" ht="74.6" hidden="false" customHeight="false" outlineLevel="0" collapsed="false">
      <c r="A1628" s="79" t="n">
        <f aca="false">IF(E1628="","",ROW()-6)</f>
        <v>1622</v>
      </c>
      <c r="B1628" s="80" t="s">
        <v>110</v>
      </c>
      <c r="C1628" s="81" t="s">
        <v>926</v>
      </c>
      <c r="D1628" s="81" t="n">
        <v>14</v>
      </c>
      <c r="E1628" s="81" t="s">
        <v>1970</v>
      </c>
      <c r="F1628" s="82" t="str">
        <f aca="false">IF(E1628="","",IF(LEFT(E1628,2)="DJ","DJ","JN"))</f>
        <v>JN</v>
      </c>
      <c r="G1628" s="81"/>
      <c r="H1628" s="81"/>
      <c r="I1628" s="81"/>
      <c r="J1628" s="81"/>
      <c r="K1628" s="81"/>
      <c r="L1628" s="81"/>
      <c r="M1628" s="81"/>
      <c r="N1628" s="81"/>
      <c r="O1628" s="81" t="n">
        <v>2096930</v>
      </c>
      <c r="P1628" s="81" t="n">
        <v>15421111</v>
      </c>
      <c r="Q1628" s="81" t="n">
        <v>11.94</v>
      </c>
      <c r="R1628" s="81"/>
      <c r="S1628" s="81"/>
      <c r="T1628" s="81"/>
      <c r="U1628" s="83"/>
      <c r="V1628" s="83"/>
      <c r="W1628" s="81"/>
      <c r="X1628" s="81"/>
      <c r="Y1628" s="83"/>
      <c r="Z1628" s="81"/>
      <c r="AA1628" s="81"/>
      <c r="AB1628" s="81"/>
      <c r="AC1628" s="81"/>
      <c r="AD1628" s="81"/>
      <c r="AE1628" s="83"/>
      <c r="AF1628" s="81"/>
      <c r="AG1628" s="81"/>
      <c r="AH1628" s="81"/>
      <c r="AI1628" s="81"/>
      <c r="AJ1628" s="83"/>
      <c r="AK1628" s="81"/>
      <c r="AL1628" s="81"/>
      <c r="AM1628" s="83"/>
      <c r="AN1628" s="80"/>
      <c r="AO1628" s="82" t="n">
        <f aca="false">IF(E1628="","",(AA1628&lt;&gt;"")+(AG1628&lt;&gt;"")+(AL1628&lt;&gt;""))</f>
        <v>0</v>
      </c>
      <c r="AP1628" s="82" t="str">
        <f aca="false">IF(AL1628&lt;&gt;"",AL1628,IF(AG1628&lt;&gt;"",AG1628,IF(AA1628&lt;&gt;"",AA1628,"")))</f>
        <v/>
      </c>
      <c r="AQ1628" s="84" t="str">
        <f aca="false">IF(E1628="","",IF(U1628="","À SOUDER",IF(X1628="","VT EN ATTENTE",IF(X1628="R","VT REJETÉ – À REPRENDRE",IF(AP1628="","À RADIOGRAPHIER",IF(AP1628="A","ACCEPTÉ",IF(AP1628="NX","NX – RT À REFAIRE",IF(IF(AO1628=1,AD1628,IF(AO1628=2,AI1628,""))="A","RÉPARÉ – À RADIOGRAPHIER",IF(IF(AO1628=1,AD1628,IF(AO1628=2,AI1628,""))="R","VT REJETÉ – À REPRENDRE",IF(OR(AP1628="CO",AP1628="NT"),"COUPE – À RESOUDER","À RÉPARER"))))))))))</f>
        <v>À SOUDER</v>
      </c>
      <c r="AR1628" s="82" t="str">
        <f aca="false">IF(AND(ISNUMBER(U1628),OR(AQ1628="À RADIOGRAPHIER",AQ1628="RÉPARÉ – À RADIOGRAPHIER",AQ1628="NX – RT À REFAIRE",AQ1628="À RÉPARER",AQ1628="COUPE – À RESOUDER",AQ1628="VT REJETÉ – À REPRENDRE")),MAX(0,'PROGRAMME RT'!$C$4-U1628),"")</f>
        <v/>
      </c>
      <c r="AS1628" s="82" t="n">
        <f aca="false">IF(AND(OR(AQ1628="À RADIOGRAPHIER",AQ1628="RÉPARÉ – À RADIOGRAPHIER",AQ1628="NX – RT À REFAIRE"),OR('PROGRAMME RT'!$D$5="TOUTES",B1628='PROGRAMME RT'!$D$5)),1,0)</f>
        <v>0</v>
      </c>
      <c r="AT1628" s="82" t="str">
        <f aca="false">IF(AS1628=1,SUM(AS$7:AS1628),"")</f>
        <v/>
      </c>
      <c r="AU1628" s="82" t="n">
        <f aca="false">IF(AND(OR(AA1628="R",AA1628="NX",AA1628="NT",AA1628="CO"),OR('JOINTS DE RÉPARATION'!$D$5="TOUTES",B1628='JOINTS DE RÉPARATION'!$D$5),OR('JOINTS DE RÉPARATION'!$L$4="TOUS",AQ1628&lt;&gt;"ACCEPTÉ")),1,0)</f>
        <v>0</v>
      </c>
      <c r="AV1628" s="82" t="str">
        <f aca="false">IF(AU1628=1,SUM(AU$7:AU1628),"")</f>
        <v/>
      </c>
      <c r="AW1628" s="82" t="str">
        <f aca="false">IF(E1628="","",B1628&amp;"|"&amp;E1628)</f>
        <v>MFD-ISW → MFD-CPF|JN°1321</v>
      </c>
    </row>
    <row r="1629" customFormat="false" ht="74.6" hidden="false" customHeight="false" outlineLevel="0" collapsed="false">
      <c r="A1629" s="79" t="n">
        <f aca="false">IF(E1629="","",ROW()-6)</f>
        <v>1623</v>
      </c>
      <c r="B1629" s="80" t="s">
        <v>110</v>
      </c>
      <c r="C1629" s="81" t="s">
        <v>1971</v>
      </c>
      <c r="D1629" s="81" t="n">
        <v>14</v>
      </c>
      <c r="E1629" s="81" t="s">
        <v>1972</v>
      </c>
      <c r="F1629" s="82" t="str">
        <f aca="false">IF(E1629="","",IF(LEFT(E1629,2)="DJ","DJ","JN"))</f>
        <v>DJ</v>
      </c>
      <c r="G1629" s="81"/>
      <c r="H1629" s="81" t="s">
        <v>871</v>
      </c>
      <c r="I1629" s="81" t="n">
        <v>9.53</v>
      </c>
      <c r="J1629" s="81" t="s">
        <v>872</v>
      </c>
      <c r="K1629" s="81" t="s">
        <v>873</v>
      </c>
      <c r="L1629" s="81" t="n">
        <v>2096930</v>
      </c>
      <c r="M1629" s="81" t="n">
        <v>15421111</v>
      </c>
      <c r="N1629" s="81" t="n">
        <v>11.94</v>
      </c>
      <c r="O1629" s="81" t="n">
        <v>2091260</v>
      </c>
      <c r="P1629" s="81" t="n">
        <v>15421109</v>
      </c>
      <c r="Q1629" s="81" t="n">
        <v>11.94</v>
      </c>
      <c r="R1629" s="81" t="s">
        <v>1147</v>
      </c>
      <c r="S1629" s="81"/>
      <c r="T1629" s="81"/>
      <c r="U1629" s="83" t="n">
        <v>46265</v>
      </c>
      <c r="V1629" s="83" t="n">
        <v>46265</v>
      </c>
      <c r="W1629" s="81" t="s">
        <v>1891</v>
      </c>
      <c r="X1629" s="81" t="s">
        <v>876</v>
      </c>
      <c r="Y1629" s="83" t="n">
        <v>46266</v>
      </c>
      <c r="Z1629" s="81" t="s">
        <v>1911</v>
      </c>
      <c r="AA1629" s="81" t="s">
        <v>876</v>
      </c>
      <c r="AB1629" s="81"/>
      <c r="AC1629" s="81"/>
      <c r="AD1629" s="81"/>
      <c r="AE1629" s="83"/>
      <c r="AF1629" s="81"/>
      <c r="AG1629" s="81"/>
      <c r="AH1629" s="81"/>
      <c r="AI1629" s="81"/>
      <c r="AJ1629" s="83"/>
      <c r="AK1629" s="81"/>
      <c r="AL1629" s="81"/>
      <c r="AM1629" s="83"/>
      <c r="AN1629" s="80"/>
      <c r="AO1629" s="82" t="n">
        <f aca="false">IF(E1629="","",(AA1629&lt;&gt;"")+(AG1629&lt;&gt;"")+(AL1629&lt;&gt;""))</f>
        <v>1</v>
      </c>
      <c r="AP1629" s="82" t="str">
        <f aca="false">IF(AL1629&lt;&gt;"",AL1629,IF(AG1629&lt;&gt;"",AG1629,IF(AA1629&lt;&gt;"",AA1629,"")))</f>
        <v>A</v>
      </c>
      <c r="AQ1629" s="84" t="str">
        <f aca="false">IF(E1629="","",IF(U1629="","À SOUDER",IF(X1629="","VT EN ATTENTE",IF(X1629="R","VT REJETÉ – À REPRENDRE",IF(AP1629="","À RADIOGRAPHIER",IF(AP1629="A","ACCEPTÉ",IF(AP1629="NX","NX – RT À REFAIRE",IF(IF(AO1629=1,AD1629,IF(AO1629=2,AI1629,""))="A","RÉPARÉ – À RADIOGRAPHIER",IF(IF(AO1629=1,AD1629,IF(AO1629=2,AI1629,""))="R","VT REJETÉ – À REPRENDRE",IF(OR(AP1629="CO",AP1629="NT"),"COUPE – À RESOUDER","À RÉPARER"))))))))))</f>
        <v>ACCEPTÉ</v>
      </c>
      <c r="AR1629" s="82" t="str">
        <f aca="false">IF(AND(ISNUMBER(U1629),OR(AQ1629="À RADIOGRAPHIER",AQ1629="RÉPARÉ – À RADIOGRAPHIER",AQ1629="NX – RT À REFAIRE",AQ1629="À RÉPARER",AQ1629="COUPE – À RESOUDER",AQ1629="VT REJETÉ – À REPRENDRE")),MAX(0,'PROGRAMME RT'!$C$4-U1629),"")</f>
        <v/>
      </c>
      <c r="AS1629" s="82" t="n">
        <f aca="false">IF(AND(OR(AQ1629="À RADIOGRAPHIER",AQ1629="RÉPARÉ – À RADIOGRAPHIER",AQ1629="NX – RT À REFAIRE"),OR('PROGRAMME RT'!$D$5="TOUTES",B1629='PROGRAMME RT'!$D$5)),1,0)</f>
        <v>0</v>
      </c>
      <c r="AT1629" s="82" t="str">
        <f aca="false">IF(AS1629=1,SUM(AS$7:AS1629),"")</f>
        <v/>
      </c>
      <c r="AU1629" s="82" t="n">
        <f aca="false">IF(AND(OR(AA1629="R",AA1629="NX",AA1629="NT",AA1629="CO"),OR('JOINTS DE RÉPARATION'!$D$5="TOUTES",B1629='JOINTS DE RÉPARATION'!$D$5),OR('JOINTS DE RÉPARATION'!$L$4="TOUS",AQ1629&lt;&gt;"ACCEPTÉ")),1,0)</f>
        <v>0</v>
      </c>
      <c r="AV1629" s="82" t="str">
        <f aca="false">IF(AU1629=1,SUM(AU$7:AU1629),"")</f>
        <v/>
      </c>
      <c r="AW1629" s="82" t="str">
        <f aca="false">IF(E1629="","",B1629&amp;"|"&amp;E1629)</f>
        <v>MFD-ISW → MFD-CPF|DJ°214</v>
      </c>
    </row>
    <row r="1630" customFormat="false" ht="74.6" hidden="false" customHeight="false" outlineLevel="0" collapsed="false">
      <c r="A1630" s="79" t="n">
        <f aca="false">IF(E1630="","",ROW()-6)</f>
        <v>1624</v>
      </c>
      <c r="B1630" s="80" t="s">
        <v>110</v>
      </c>
      <c r="C1630" s="81" t="s">
        <v>1971</v>
      </c>
      <c r="D1630" s="81" t="n">
        <v>14</v>
      </c>
      <c r="E1630" s="81" t="s">
        <v>1973</v>
      </c>
      <c r="F1630" s="82" t="str">
        <f aca="false">IF(E1630="","",IF(LEFT(E1630,2)="DJ","DJ","JN"))</f>
        <v>JN</v>
      </c>
      <c r="G1630" s="81" t="s">
        <v>1504</v>
      </c>
      <c r="H1630" s="81" t="s">
        <v>871</v>
      </c>
      <c r="I1630" s="81" t="n">
        <v>9.53</v>
      </c>
      <c r="J1630" s="81" t="s">
        <v>872</v>
      </c>
      <c r="K1630" s="81" t="s">
        <v>879</v>
      </c>
      <c r="L1630" s="81" t="n">
        <v>2091260</v>
      </c>
      <c r="M1630" s="81" t="n">
        <v>15421109</v>
      </c>
      <c r="N1630" s="81" t="n">
        <v>11.94</v>
      </c>
      <c r="O1630" s="81" t="n">
        <v>2088050</v>
      </c>
      <c r="P1630" s="81" t="n">
        <v>15421108</v>
      </c>
      <c r="Q1630" s="81" t="n">
        <v>11.94</v>
      </c>
      <c r="R1630" s="81" t="s">
        <v>1938</v>
      </c>
      <c r="S1630" s="81"/>
      <c r="T1630" s="81"/>
      <c r="U1630" s="83" t="n">
        <v>46274</v>
      </c>
      <c r="V1630" s="83" t="n">
        <v>46274</v>
      </c>
      <c r="W1630" s="81" t="s">
        <v>1939</v>
      </c>
      <c r="X1630" s="81" t="s">
        <v>876</v>
      </c>
      <c r="Y1630" s="83" t="n">
        <v>46279</v>
      </c>
      <c r="Z1630" s="81" t="s">
        <v>1963</v>
      </c>
      <c r="AA1630" s="81" t="s">
        <v>876</v>
      </c>
      <c r="AB1630" s="81"/>
      <c r="AC1630" s="81"/>
      <c r="AD1630" s="81"/>
      <c r="AE1630" s="83"/>
      <c r="AF1630" s="81"/>
      <c r="AG1630" s="81"/>
      <c r="AH1630" s="81"/>
      <c r="AI1630" s="81"/>
      <c r="AJ1630" s="83"/>
      <c r="AK1630" s="81"/>
      <c r="AL1630" s="81"/>
      <c r="AM1630" s="83"/>
      <c r="AN1630" s="80"/>
      <c r="AO1630" s="82" t="n">
        <f aca="false">IF(E1630="","",(AA1630&lt;&gt;"")+(AG1630&lt;&gt;"")+(AL1630&lt;&gt;""))</f>
        <v>1</v>
      </c>
      <c r="AP1630" s="82" t="str">
        <f aca="false">IF(AL1630&lt;&gt;"",AL1630,IF(AG1630&lt;&gt;"",AG1630,IF(AA1630&lt;&gt;"",AA1630,"")))</f>
        <v>A</v>
      </c>
      <c r="AQ1630" s="84" t="str">
        <f aca="false">IF(E1630="","",IF(U1630="","À SOUDER",IF(X1630="","VT EN ATTENTE",IF(X1630="R","VT REJETÉ – À REPRENDRE",IF(AP1630="","À RADIOGRAPHIER",IF(AP1630="A","ACCEPTÉ",IF(AP1630="NX","NX – RT À REFAIRE",IF(IF(AO1630=1,AD1630,IF(AO1630=2,AI1630,""))="A","RÉPARÉ – À RADIOGRAPHIER",IF(IF(AO1630=1,AD1630,IF(AO1630=2,AI1630,""))="R","VT REJETÉ – À REPRENDRE",IF(OR(AP1630="CO",AP1630="NT"),"COUPE – À RESOUDER","À RÉPARER"))))))))))</f>
        <v>ACCEPTÉ</v>
      </c>
      <c r="AR1630" s="82" t="str">
        <f aca="false">IF(AND(ISNUMBER(U1630),OR(AQ1630="À RADIOGRAPHIER",AQ1630="RÉPARÉ – À RADIOGRAPHIER",AQ1630="NX – RT À REFAIRE",AQ1630="À RÉPARER",AQ1630="COUPE – À RESOUDER",AQ1630="VT REJETÉ – À REPRENDRE")),MAX(0,'PROGRAMME RT'!$C$4-U1630),"")</f>
        <v/>
      </c>
      <c r="AS1630" s="82" t="n">
        <f aca="false">IF(AND(OR(AQ1630="À RADIOGRAPHIER",AQ1630="RÉPARÉ – À RADIOGRAPHIER",AQ1630="NX – RT À REFAIRE"),OR('PROGRAMME RT'!$D$5="TOUTES",B1630='PROGRAMME RT'!$D$5)),1,0)</f>
        <v>0</v>
      </c>
      <c r="AT1630" s="82" t="str">
        <f aca="false">IF(AS1630=1,SUM(AS$7:AS1630),"")</f>
        <v/>
      </c>
      <c r="AU1630" s="82" t="n">
        <f aca="false">IF(AND(OR(AA1630="R",AA1630="NX",AA1630="NT",AA1630="CO"),OR('JOINTS DE RÉPARATION'!$D$5="TOUTES",B1630='JOINTS DE RÉPARATION'!$D$5),OR('JOINTS DE RÉPARATION'!$L$4="TOUS",AQ1630&lt;&gt;"ACCEPTÉ")),1,0)</f>
        <v>0</v>
      </c>
      <c r="AV1630" s="82" t="str">
        <f aca="false">IF(AU1630=1,SUM(AU$7:AU1630),"")</f>
        <v/>
      </c>
      <c r="AW1630" s="82" t="str">
        <f aca="false">IF(E1630="","",B1630&amp;"|"&amp;E1630)</f>
        <v>MFD-ISW → MFD-CPF|JN°1322</v>
      </c>
    </row>
    <row r="1631" customFormat="false" ht="74.6" hidden="false" customHeight="false" outlineLevel="0" collapsed="false">
      <c r="A1631" s="79" t="n">
        <f aca="false">IF(E1631="","",ROW()-6)</f>
        <v>1625</v>
      </c>
      <c r="B1631" s="80" t="s">
        <v>110</v>
      </c>
      <c r="C1631" s="81" t="s">
        <v>1971</v>
      </c>
      <c r="D1631" s="81" t="n">
        <v>14</v>
      </c>
      <c r="E1631" s="81" t="s">
        <v>1974</v>
      </c>
      <c r="F1631" s="82" t="str">
        <f aca="false">IF(E1631="","",IF(LEFT(E1631,2)="DJ","DJ","JN"))</f>
        <v>DJ</v>
      </c>
      <c r="G1631" s="81"/>
      <c r="H1631" s="81" t="s">
        <v>871</v>
      </c>
      <c r="I1631" s="81" t="n">
        <v>9.53</v>
      </c>
      <c r="J1631" s="81" t="s">
        <v>872</v>
      </c>
      <c r="K1631" s="81" t="s">
        <v>873</v>
      </c>
      <c r="L1631" s="81" t="n">
        <v>2088050</v>
      </c>
      <c r="M1631" s="81" t="n">
        <v>15421108</v>
      </c>
      <c r="N1631" s="81" t="n">
        <v>11.94</v>
      </c>
      <c r="O1631" s="81" t="n">
        <v>2093810</v>
      </c>
      <c r="P1631" s="81" t="n">
        <v>15421110</v>
      </c>
      <c r="Q1631" s="81" t="n">
        <v>11.94</v>
      </c>
      <c r="R1631" s="81" t="s">
        <v>1517</v>
      </c>
      <c r="S1631" s="81"/>
      <c r="T1631" s="81"/>
      <c r="U1631" s="83" t="n">
        <v>46265</v>
      </c>
      <c r="V1631" s="83" t="n">
        <v>46265</v>
      </c>
      <c r="W1631" s="81" t="s">
        <v>1891</v>
      </c>
      <c r="X1631" s="81" t="s">
        <v>876</v>
      </c>
      <c r="Y1631" s="83" t="n">
        <v>46266</v>
      </c>
      <c r="Z1631" s="81" t="s">
        <v>1927</v>
      </c>
      <c r="AA1631" s="81" t="s">
        <v>876</v>
      </c>
      <c r="AB1631" s="81"/>
      <c r="AC1631" s="81"/>
      <c r="AD1631" s="81"/>
      <c r="AE1631" s="83"/>
      <c r="AF1631" s="81"/>
      <c r="AG1631" s="81"/>
      <c r="AH1631" s="81"/>
      <c r="AI1631" s="81"/>
      <c r="AJ1631" s="83"/>
      <c r="AK1631" s="81"/>
      <c r="AL1631" s="81"/>
      <c r="AM1631" s="83"/>
      <c r="AN1631" s="80"/>
      <c r="AO1631" s="82" t="n">
        <f aca="false">IF(E1631="","",(AA1631&lt;&gt;"")+(AG1631&lt;&gt;"")+(AL1631&lt;&gt;""))</f>
        <v>1</v>
      </c>
      <c r="AP1631" s="82" t="str">
        <f aca="false">IF(AL1631&lt;&gt;"",AL1631,IF(AG1631&lt;&gt;"",AG1631,IF(AA1631&lt;&gt;"",AA1631,"")))</f>
        <v>A</v>
      </c>
      <c r="AQ1631" s="84" t="str">
        <f aca="false">IF(E1631="","",IF(U1631="","À SOUDER",IF(X1631="","VT EN ATTENTE",IF(X1631="R","VT REJETÉ – À REPRENDRE",IF(AP1631="","À RADIOGRAPHIER",IF(AP1631="A","ACCEPTÉ",IF(AP1631="NX","NX – RT À REFAIRE",IF(IF(AO1631=1,AD1631,IF(AO1631=2,AI1631,""))="A","RÉPARÉ – À RADIOGRAPHIER",IF(IF(AO1631=1,AD1631,IF(AO1631=2,AI1631,""))="R","VT REJETÉ – À REPRENDRE",IF(OR(AP1631="CO",AP1631="NT"),"COUPE – À RESOUDER","À RÉPARER"))))))))))</f>
        <v>ACCEPTÉ</v>
      </c>
      <c r="AR1631" s="82" t="str">
        <f aca="false">IF(AND(ISNUMBER(U1631),OR(AQ1631="À RADIOGRAPHIER",AQ1631="RÉPARÉ – À RADIOGRAPHIER",AQ1631="NX – RT À REFAIRE",AQ1631="À RÉPARER",AQ1631="COUPE – À RESOUDER",AQ1631="VT REJETÉ – À REPRENDRE")),MAX(0,'PROGRAMME RT'!$C$4-U1631),"")</f>
        <v/>
      </c>
      <c r="AS1631" s="82" t="n">
        <f aca="false">IF(AND(OR(AQ1631="À RADIOGRAPHIER",AQ1631="RÉPARÉ – À RADIOGRAPHIER",AQ1631="NX – RT À REFAIRE"),OR('PROGRAMME RT'!$D$5="TOUTES",B1631='PROGRAMME RT'!$D$5)),1,0)</f>
        <v>0</v>
      </c>
      <c r="AT1631" s="82" t="str">
        <f aca="false">IF(AS1631=1,SUM(AS$7:AS1631),"")</f>
        <v/>
      </c>
      <c r="AU1631" s="82" t="n">
        <f aca="false">IF(AND(OR(AA1631="R",AA1631="NX",AA1631="NT",AA1631="CO"),OR('JOINTS DE RÉPARATION'!$D$5="TOUTES",B1631='JOINTS DE RÉPARATION'!$D$5),OR('JOINTS DE RÉPARATION'!$L$4="TOUS",AQ1631&lt;&gt;"ACCEPTÉ")),1,0)</f>
        <v>0</v>
      </c>
      <c r="AV1631" s="82" t="str">
        <f aca="false">IF(AU1631=1,SUM(AU$7:AU1631),"")</f>
        <v/>
      </c>
      <c r="AW1631" s="82" t="str">
        <f aca="false">IF(E1631="","",B1631&amp;"|"&amp;E1631)</f>
        <v>MFD-ISW → MFD-CPF|DJ°225</v>
      </c>
    </row>
    <row r="1632" customFormat="false" ht="74.6" hidden="false" customHeight="false" outlineLevel="0" collapsed="false">
      <c r="A1632" s="79" t="n">
        <f aca="false">IF(E1632="","",ROW()-6)</f>
        <v>1626</v>
      </c>
      <c r="B1632" s="80" t="s">
        <v>110</v>
      </c>
      <c r="C1632" s="81" t="s">
        <v>1971</v>
      </c>
      <c r="D1632" s="81" t="n">
        <v>14</v>
      </c>
      <c r="E1632" s="81" t="s">
        <v>1975</v>
      </c>
      <c r="F1632" s="82" t="str">
        <f aca="false">IF(E1632="","",IF(LEFT(E1632,2)="DJ","DJ","JN"))</f>
        <v>JN</v>
      </c>
      <c r="G1632" s="81" t="s">
        <v>1504</v>
      </c>
      <c r="H1632" s="81" t="s">
        <v>871</v>
      </c>
      <c r="I1632" s="81" t="n">
        <v>9.53</v>
      </c>
      <c r="J1632" s="81" t="s">
        <v>872</v>
      </c>
      <c r="K1632" s="81" t="s">
        <v>879</v>
      </c>
      <c r="L1632" s="81" t="n">
        <v>2093810</v>
      </c>
      <c r="M1632" s="81" t="n">
        <v>15421110</v>
      </c>
      <c r="N1632" s="81" t="n">
        <v>11.94</v>
      </c>
      <c r="O1632" s="81" t="n">
        <v>2088840</v>
      </c>
      <c r="P1632" s="81" t="n">
        <v>15421108</v>
      </c>
      <c r="Q1632" s="81" t="n">
        <v>11.94</v>
      </c>
      <c r="R1632" s="81" t="s">
        <v>1938</v>
      </c>
      <c r="S1632" s="81"/>
      <c r="T1632" s="81"/>
      <c r="U1632" s="83" t="n">
        <v>46274</v>
      </c>
      <c r="V1632" s="83" t="n">
        <v>46274</v>
      </c>
      <c r="W1632" s="81" t="s">
        <v>1939</v>
      </c>
      <c r="X1632" s="81" t="s">
        <v>876</v>
      </c>
      <c r="Y1632" s="83" t="n">
        <v>46279</v>
      </c>
      <c r="Z1632" s="81" t="s">
        <v>1963</v>
      </c>
      <c r="AA1632" s="81" t="s">
        <v>876</v>
      </c>
      <c r="AB1632" s="81"/>
      <c r="AC1632" s="81"/>
      <c r="AD1632" s="81"/>
      <c r="AE1632" s="83"/>
      <c r="AF1632" s="81"/>
      <c r="AG1632" s="81"/>
      <c r="AH1632" s="81"/>
      <c r="AI1632" s="81"/>
      <c r="AJ1632" s="83"/>
      <c r="AK1632" s="81"/>
      <c r="AL1632" s="81"/>
      <c r="AM1632" s="83"/>
      <c r="AN1632" s="80"/>
      <c r="AO1632" s="82" t="n">
        <f aca="false">IF(E1632="","",(AA1632&lt;&gt;"")+(AG1632&lt;&gt;"")+(AL1632&lt;&gt;""))</f>
        <v>1</v>
      </c>
      <c r="AP1632" s="82" t="str">
        <f aca="false">IF(AL1632&lt;&gt;"",AL1632,IF(AG1632&lt;&gt;"",AG1632,IF(AA1632&lt;&gt;"",AA1632,"")))</f>
        <v>A</v>
      </c>
      <c r="AQ1632" s="84" t="str">
        <f aca="false">IF(E1632="","",IF(U1632="","À SOUDER",IF(X1632="","VT EN ATTENTE",IF(X1632="R","VT REJETÉ – À REPRENDRE",IF(AP1632="","À RADIOGRAPHIER",IF(AP1632="A","ACCEPTÉ",IF(AP1632="NX","NX – RT À REFAIRE",IF(IF(AO1632=1,AD1632,IF(AO1632=2,AI1632,""))="A","RÉPARÉ – À RADIOGRAPHIER",IF(IF(AO1632=1,AD1632,IF(AO1632=2,AI1632,""))="R","VT REJETÉ – À REPRENDRE",IF(OR(AP1632="CO",AP1632="NT"),"COUPE – À RESOUDER","À RÉPARER"))))))))))</f>
        <v>ACCEPTÉ</v>
      </c>
      <c r="AR1632" s="82" t="str">
        <f aca="false">IF(AND(ISNUMBER(U1632),OR(AQ1632="À RADIOGRAPHIER",AQ1632="RÉPARÉ – À RADIOGRAPHIER",AQ1632="NX – RT À REFAIRE",AQ1632="À RÉPARER",AQ1632="COUPE – À RESOUDER",AQ1632="VT REJETÉ – À REPRENDRE")),MAX(0,'PROGRAMME RT'!$C$4-U1632),"")</f>
        <v/>
      </c>
      <c r="AS1632" s="82" t="n">
        <f aca="false">IF(AND(OR(AQ1632="À RADIOGRAPHIER",AQ1632="RÉPARÉ – À RADIOGRAPHIER",AQ1632="NX – RT À REFAIRE"),OR('PROGRAMME RT'!$D$5="TOUTES",B1632='PROGRAMME RT'!$D$5)),1,0)</f>
        <v>0</v>
      </c>
      <c r="AT1632" s="82" t="str">
        <f aca="false">IF(AS1632=1,SUM(AS$7:AS1632),"")</f>
        <v/>
      </c>
      <c r="AU1632" s="82" t="n">
        <f aca="false">IF(AND(OR(AA1632="R",AA1632="NX",AA1632="NT",AA1632="CO"),OR('JOINTS DE RÉPARATION'!$D$5="TOUTES",B1632='JOINTS DE RÉPARATION'!$D$5),OR('JOINTS DE RÉPARATION'!$L$4="TOUS",AQ1632&lt;&gt;"ACCEPTÉ")),1,0)</f>
        <v>0</v>
      </c>
      <c r="AV1632" s="82" t="str">
        <f aca="false">IF(AU1632=1,SUM(AU$7:AU1632),"")</f>
        <v/>
      </c>
      <c r="AW1632" s="82" t="str">
        <f aca="false">IF(E1632="","",B1632&amp;"|"&amp;E1632)</f>
        <v>MFD-ISW → MFD-CPF|JN°1323</v>
      </c>
    </row>
    <row r="1633" customFormat="false" ht="74.6" hidden="false" customHeight="false" outlineLevel="0" collapsed="false">
      <c r="A1633" s="79" t="n">
        <f aca="false">IF(E1633="","",ROW()-6)</f>
        <v>1627</v>
      </c>
      <c r="B1633" s="80" t="s">
        <v>110</v>
      </c>
      <c r="C1633" s="81" t="s">
        <v>1971</v>
      </c>
      <c r="D1633" s="81" t="n">
        <v>14</v>
      </c>
      <c r="E1633" s="81" t="s">
        <v>1976</v>
      </c>
      <c r="F1633" s="82" t="str">
        <f aca="false">IF(E1633="","",IF(LEFT(E1633,2)="DJ","DJ","JN"))</f>
        <v>DJ</v>
      </c>
      <c r="G1633" s="81"/>
      <c r="H1633" s="81" t="s">
        <v>871</v>
      </c>
      <c r="I1633" s="81" t="n">
        <v>9.53</v>
      </c>
      <c r="J1633" s="81" t="s">
        <v>872</v>
      </c>
      <c r="K1633" s="81" t="s">
        <v>873</v>
      </c>
      <c r="L1633" s="81" t="n">
        <v>2088840</v>
      </c>
      <c r="M1633" s="81" t="n">
        <v>15421108</v>
      </c>
      <c r="N1633" s="81" t="n">
        <v>11.94</v>
      </c>
      <c r="O1633" s="81" t="n">
        <v>2089620</v>
      </c>
      <c r="P1633" s="81" t="n">
        <v>15421109</v>
      </c>
      <c r="Q1633" s="81" t="n">
        <v>11.94</v>
      </c>
      <c r="R1633" s="81" t="s">
        <v>1517</v>
      </c>
      <c r="S1633" s="81"/>
      <c r="T1633" s="81"/>
      <c r="U1633" s="83" t="n">
        <v>46264</v>
      </c>
      <c r="V1633" s="83" t="n">
        <v>46264</v>
      </c>
      <c r="W1633" s="81" t="s">
        <v>1895</v>
      </c>
      <c r="X1633" s="81" t="s">
        <v>876</v>
      </c>
      <c r="Y1633" s="83" t="n">
        <v>46265</v>
      </c>
      <c r="Z1633" s="81" t="s">
        <v>1965</v>
      </c>
      <c r="AA1633" s="81" t="s">
        <v>876</v>
      </c>
      <c r="AB1633" s="81"/>
      <c r="AC1633" s="81"/>
      <c r="AD1633" s="81"/>
      <c r="AE1633" s="83"/>
      <c r="AF1633" s="81"/>
      <c r="AG1633" s="81"/>
      <c r="AH1633" s="81"/>
      <c r="AI1633" s="81"/>
      <c r="AJ1633" s="83"/>
      <c r="AK1633" s="81"/>
      <c r="AL1633" s="81"/>
      <c r="AM1633" s="83"/>
      <c r="AN1633" s="80"/>
      <c r="AO1633" s="82" t="n">
        <f aca="false">IF(E1633="","",(AA1633&lt;&gt;"")+(AG1633&lt;&gt;"")+(AL1633&lt;&gt;""))</f>
        <v>1</v>
      </c>
      <c r="AP1633" s="82" t="str">
        <f aca="false">IF(AL1633&lt;&gt;"",AL1633,IF(AG1633&lt;&gt;"",AG1633,IF(AA1633&lt;&gt;"",AA1633,"")))</f>
        <v>A</v>
      </c>
      <c r="AQ1633" s="84" t="str">
        <f aca="false">IF(E1633="","",IF(U1633="","À SOUDER",IF(X1633="","VT EN ATTENTE",IF(X1633="R","VT REJETÉ – À REPRENDRE",IF(AP1633="","À RADIOGRAPHIER",IF(AP1633="A","ACCEPTÉ",IF(AP1633="NX","NX – RT À REFAIRE",IF(IF(AO1633=1,AD1633,IF(AO1633=2,AI1633,""))="A","RÉPARÉ – À RADIOGRAPHIER",IF(IF(AO1633=1,AD1633,IF(AO1633=2,AI1633,""))="R","VT REJETÉ – À REPRENDRE",IF(OR(AP1633="CO",AP1633="NT"),"COUPE – À RESOUDER","À RÉPARER"))))))))))</f>
        <v>ACCEPTÉ</v>
      </c>
      <c r="AR1633" s="82" t="str">
        <f aca="false">IF(AND(ISNUMBER(U1633),OR(AQ1633="À RADIOGRAPHIER",AQ1633="RÉPARÉ – À RADIOGRAPHIER",AQ1633="NX – RT À REFAIRE",AQ1633="À RÉPARER",AQ1633="COUPE – À RESOUDER",AQ1633="VT REJETÉ – À REPRENDRE")),MAX(0,'PROGRAMME RT'!$C$4-U1633),"")</f>
        <v/>
      </c>
      <c r="AS1633" s="82" t="n">
        <f aca="false">IF(AND(OR(AQ1633="À RADIOGRAPHIER",AQ1633="RÉPARÉ – À RADIOGRAPHIER",AQ1633="NX – RT À REFAIRE"),OR('PROGRAMME RT'!$D$5="TOUTES",B1633='PROGRAMME RT'!$D$5)),1,0)</f>
        <v>0</v>
      </c>
      <c r="AT1633" s="82" t="str">
        <f aca="false">IF(AS1633=1,SUM(AS$7:AS1633),"")</f>
        <v/>
      </c>
      <c r="AU1633" s="82" t="n">
        <f aca="false">IF(AND(OR(AA1633="R",AA1633="NX",AA1633="NT",AA1633="CO"),OR('JOINTS DE RÉPARATION'!$D$5="TOUTES",B1633='JOINTS DE RÉPARATION'!$D$5),OR('JOINTS DE RÉPARATION'!$L$4="TOUS",AQ1633&lt;&gt;"ACCEPTÉ")),1,0)</f>
        <v>0</v>
      </c>
      <c r="AV1633" s="82" t="str">
        <f aca="false">IF(AU1633=1,SUM(AU$7:AU1633),"")</f>
        <v/>
      </c>
      <c r="AW1633" s="82" t="str">
        <f aca="false">IF(E1633="","",B1633&amp;"|"&amp;E1633)</f>
        <v>MFD-ISW → MFD-CPF|DJ°208</v>
      </c>
    </row>
    <row r="1634" customFormat="false" ht="74.6" hidden="false" customHeight="false" outlineLevel="0" collapsed="false">
      <c r="A1634" s="79" t="n">
        <f aca="false">IF(E1634="","",ROW()-6)</f>
        <v>1628</v>
      </c>
      <c r="B1634" s="80" t="s">
        <v>110</v>
      </c>
      <c r="C1634" s="81" t="s">
        <v>1971</v>
      </c>
      <c r="D1634" s="81" t="n">
        <v>14</v>
      </c>
      <c r="E1634" s="81" t="s">
        <v>1977</v>
      </c>
      <c r="F1634" s="82" t="str">
        <f aca="false">IF(E1634="","",IF(LEFT(E1634,2)="DJ","DJ","JN"))</f>
        <v>JN</v>
      </c>
      <c r="G1634" s="81" t="s">
        <v>1504</v>
      </c>
      <c r="H1634" s="81" t="s">
        <v>871</v>
      </c>
      <c r="I1634" s="81" t="n">
        <v>9.53</v>
      </c>
      <c r="J1634" s="81" t="s">
        <v>872</v>
      </c>
      <c r="K1634" s="81" t="s">
        <v>1861</v>
      </c>
      <c r="L1634" s="81" t="n">
        <v>2089620</v>
      </c>
      <c r="M1634" s="81" t="n">
        <v>15421109</v>
      </c>
      <c r="N1634" s="81" t="n">
        <v>11.94</v>
      </c>
      <c r="O1634" s="81" t="n">
        <v>2091920</v>
      </c>
      <c r="P1634" s="81" t="n">
        <v>15421109</v>
      </c>
      <c r="Q1634" s="81" t="n">
        <v>11.94</v>
      </c>
      <c r="R1634" s="81" t="s">
        <v>1884</v>
      </c>
      <c r="S1634" s="81"/>
      <c r="T1634" s="81"/>
      <c r="U1634" s="83" t="n">
        <v>46291</v>
      </c>
      <c r="V1634" s="83" t="n">
        <v>46291</v>
      </c>
      <c r="W1634" s="81" t="s">
        <v>1878</v>
      </c>
      <c r="X1634" s="81" t="s">
        <v>876</v>
      </c>
      <c r="Y1634" s="83"/>
      <c r="Z1634" s="81"/>
      <c r="AA1634" s="81"/>
      <c r="AB1634" s="81" t="s">
        <v>1978</v>
      </c>
      <c r="AC1634" s="81"/>
      <c r="AD1634" s="81"/>
      <c r="AE1634" s="83"/>
      <c r="AF1634" s="81"/>
      <c r="AG1634" s="81"/>
      <c r="AH1634" s="81"/>
      <c r="AI1634" s="81"/>
      <c r="AJ1634" s="83"/>
      <c r="AK1634" s="81"/>
      <c r="AL1634" s="81"/>
      <c r="AM1634" s="83"/>
      <c r="AN1634" s="80"/>
      <c r="AO1634" s="82" t="n">
        <f aca="false">IF(E1634="","",(AA1634&lt;&gt;"")+(AG1634&lt;&gt;"")+(AL1634&lt;&gt;""))</f>
        <v>0</v>
      </c>
      <c r="AP1634" s="82" t="str">
        <f aca="false">IF(AL1634&lt;&gt;"",AL1634,IF(AG1634&lt;&gt;"",AG1634,IF(AA1634&lt;&gt;"",AA1634,"")))</f>
        <v/>
      </c>
      <c r="AQ1634" s="84" t="str">
        <f aca="false">IF(E1634="","",IF(U1634="","À SOUDER",IF(X1634="","VT EN ATTENTE",IF(X1634="R","VT REJETÉ – À REPRENDRE",IF(AP1634="","À RADIOGRAPHIER",IF(AP1634="A","ACCEPTÉ",IF(AP1634="NX","NX – RT À REFAIRE",IF(IF(AO1634=1,AD1634,IF(AO1634=2,AI1634,""))="A","RÉPARÉ – À RADIOGRAPHIER",IF(IF(AO1634=1,AD1634,IF(AO1634=2,AI1634,""))="R","VT REJETÉ – À REPRENDRE",IF(OR(AP1634="CO",AP1634="NT"),"COUPE – À RESOUDER","À RÉPARER"))))))))))</f>
        <v>À RADIOGRAPHIER</v>
      </c>
      <c r="AR1634" s="82" t="n">
        <f aca="false">IF(AND(ISNUMBER(U1634),OR(AQ1634="À RADIOGRAPHIER",AQ1634="RÉPARÉ – À RADIOGRAPHIER",AQ1634="NX – RT À REFAIRE",AQ1634="À RÉPARER",AQ1634="COUPE – À RESOUDER",AQ1634="VT REJETÉ – À REPRENDRE")),MAX(0,'PROGRAMME RT'!$C$4-U1634),"")</f>
        <v>2</v>
      </c>
      <c r="AS1634" s="82" t="n">
        <f aca="false">IF(AND(OR(AQ1634="À RADIOGRAPHIER",AQ1634="RÉPARÉ – À RADIOGRAPHIER",AQ1634="NX – RT À REFAIRE"),OR('PROGRAMME RT'!$D$5="TOUTES",B1634='PROGRAMME RT'!$D$5)),1,0)</f>
        <v>1</v>
      </c>
      <c r="AT1634" s="82" t="n">
        <f aca="false">IF(AS1634=1,SUM(AS$7:AS1634),"")</f>
        <v>86</v>
      </c>
      <c r="AU1634" s="82" t="n">
        <f aca="false">IF(AND(OR(AA1634="R",AA1634="NX",AA1634="NT",AA1634="CO"),OR('JOINTS DE RÉPARATION'!$D$5="TOUTES",B1634='JOINTS DE RÉPARATION'!$D$5),OR('JOINTS DE RÉPARATION'!$L$4="TOUS",AQ1634&lt;&gt;"ACCEPTÉ")),1,0)</f>
        <v>0</v>
      </c>
      <c r="AV1634" s="82" t="str">
        <f aca="false">IF(AU1634=1,SUM(AU$7:AU1634),"")</f>
        <v/>
      </c>
      <c r="AW1634" s="82" t="str">
        <f aca="false">IF(E1634="","",B1634&amp;"|"&amp;E1634)</f>
        <v>MFD-ISW → MFD-CPF|JN°1324R</v>
      </c>
    </row>
    <row r="1635" customFormat="false" ht="74.6" hidden="false" customHeight="false" outlineLevel="0" collapsed="false">
      <c r="A1635" s="79" t="n">
        <f aca="false">IF(E1635="","",ROW()-6)</f>
        <v>1629</v>
      </c>
      <c r="B1635" s="80" t="s">
        <v>110</v>
      </c>
      <c r="C1635" s="81" t="s">
        <v>1971</v>
      </c>
      <c r="D1635" s="81" t="n">
        <v>14</v>
      </c>
      <c r="E1635" s="81" t="s">
        <v>1979</v>
      </c>
      <c r="F1635" s="82" t="str">
        <f aca="false">IF(E1635="","",IF(LEFT(E1635,2)="DJ","DJ","JN"))</f>
        <v>DJ</v>
      </c>
      <c r="G1635" s="81"/>
      <c r="H1635" s="81" t="s">
        <v>871</v>
      </c>
      <c r="I1635" s="81" t="n">
        <v>9.53</v>
      </c>
      <c r="J1635" s="81" t="s">
        <v>872</v>
      </c>
      <c r="K1635" s="81" t="s">
        <v>873</v>
      </c>
      <c r="L1635" s="81" t="n">
        <v>2091920</v>
      </c>
      <c r="M1635" s="81" t="n">
        <v>15421109</v>
      </c>
      <c r="N1635" s="81" t="n">
        <v>11.94</v>
      </c>
      <c r="O1635" s="81" t="n">
        <v>2090420</v>
      </c>
      <c r="P1635" s="81" t="n">
        <v>15421109</v>
      </c>
      <c r="Q1635" s="81" t="n">
        <v>11.94</v>
      </c>
      <c r="R1635" s="81" t="s">
        <v>1135</v>
      </c>
      <c r="S1635" s="81"/>
      <c r="T1635" s="81"/>
      <c r="U1635" s="83" t="n">
        <v>46264</v>
      </c>
      <c r="V1635" s="83" t="n">
        <v>46264</v>
      </c>
      <c r="W1635" s="81" t="s">
        <v>1895</v>
      </c>
      <c r="X1635" s="81" t="s">
        <v>876</v>
      </c>
      <c r="Y1635" s="83" t="n">
        <v>46265</v>
      </c>
      <c r="Z1635" s="81" t="s">
        <v>1968</v>
      </c>
      <c r="AA1635" s="81" t="s">
        <v>876</v>
      </c>
      <c r="AB1635" s="81"/>
      <c r="AC1635" s="81"/>
      <c r="AD1635" s="81"/>
      <c r="AE1635" s="83"/>
      <c r="AF1635" s="81"/>
      <c r="AG1635" s="81"/>
      <c r="AH1635" s="81"/>
      <c r="AI1635" s="81"/>
      <c r="AJ1635" s="83"/>
      <c r="AK1635" s="81"/>
      <c r="AL1635" s="81"/>
      <c r="AM1635" s="83"/>
      <c r="AN1635" s="80"/>
      <c r="AO1635" s="82" t="n">
        <f aca="false">IF(E1635="","",(AA1635&lt;&gt;"")+(AG1635&lt;&gt;"")+(AL1635&lt;&gt;""))</f>
        <v>1</v>
      </c>
      <c r="AP1635" s="82" t="str">
        <f aca="false">IF(AL1635&lt;&gt;"",AL1635,IF(AG1635&lt;&gt;"",AG1635,IF(AA1635&lt;&gt;"",AA1635,"")))</f>
        <v>A</v>
      </c>
      <c r="AQ1635" s="84" t="str">
        <f aca="false">IF(E1635="","",IF(U1635="","À SOUDER",IF(X1635="","VT EN ATTENTE",IF(X1635="R","VT REJETÉ – À REPRENDRE",IF(AP1635="","À RADIOGRAPHIER",IF(AP1635="A","ACCEPTÉ",IF(AP1635="NX","NX – RT À REFAIRE",IF(IF(AO1635=1,AD1635,IF(AO1635=2,AI1635,""))="A","RÉPARÉ – À RADIOGRAPHIER",IF(IF(AO1635=1,AD1635,IF(AO1635=2,AI1635,""))="R","VT REJETÉ – À REPRENDRE",IF(OR(AP1635="CO",AP1635="NT"),"COUPE – À RESOUDER","À RÉPARER"))))))))))</f>
        <v>ACCEPTÉ</v>
      </c>
      <c r="AR1635" s="82" t="str">
        <f aca="false">IF(AND(ISNUMBER(U1635),OR(AQ1635="À RADIOGRAPHIER",AQ1635="RÉPARÉ – À RADIOGRAPHIER",AQ1635="NX – RT À REFAIRE",AQ1635="À RÉPARER",AQ1635="COUPE – À RESOUDER",AQ1635="VT REJETÉ – À REPRENDRE")),MAX(0,'PROGRAMME RT'!$C$4-U1635),"")</f>
        <v/>
      </c>
      <c r="AS1635" s="82" t="n">
        <f aca="false">IF(AND(OR(AQ1635="À RADIOGRAPHIER",AQ1635="RÉPARÉ – À RADIOGRAPHIER",AQ1635="NX – RT À REFAIRE"),OR('PROGRAMME RT'!$D$5="TOUTES",B1635='PROGRAMME RT'!$D$5)),1,0)</f>
        <v>0</v>
      </c>
      <c r="AT1635" s="82" t="str">
        <f aca="false">IF(AS1635=1,SUM(AS$7:AS1635),"")</f>
        <v/>
      </c>
      <c r="AU1635" s="82" t="n">
        <f aca="false">IF(AND(OR(AA1635="R",AA1635="NX",AA1635="NT",AA1635="CO"),OR('JOINTS DE RÉPARATION'!$D$5="TOUTES",B1635='JOINTS DE RÉPARATION'!$D$5),OR('JOINTS DE RÉPARATION'!$L$4="TOUS",AQ1635&lt;&gt;"ACCEPTÉ")),1,0)</f>
        <v>0</v>
      </c>
      <c r="AV1635" s="82" t="str">
        <f aca="false">IF(AU1635=1,SUM(AU$7:AU1635),"")</f>
        <v/>
      </c>
      <c r="AW1635" s="82" t="str">
        <f aca="false">IF(E1635="","",B1635&amp;"|"&amp;E1635)</f>
        <v>MFD-ISW → MFD-CPF|DJ°201</v>
      </c>
    </row>
    <row r="1636" customFormat="false" ht="74.6" hidden="false" customHeight="false" outlineLevel="0" collapsed="false">
      <c r="A1636" s="79" t="n">
        <f aca="false">IF(E1636="","",ROW()-6)</f>
        <v>1630</v>
      </c>
      <c r="B1636" s="80" t="s">
        <v>110</v>
      </c>
      <c r="C1636" s="81" t="s">
        <v>1971</v>
      </c>
      <c r="D1636" s="81" t="n">
        <v>14</v>
      </c>
      <c r="E1636" s="81" t="s">
        <v>1980</v>
      </c>
      <c r="F1636" s="82" t="str">
        <f aca="false">IF(E1636="","",IF(LEFT(E1636,2)="DJ","DJ","JN"))</f>
        <v>JN</v>
      </c>
      <c r="G1636" s="81" t="s">
        <v>1504</v>
      </c>
      <c r="H1636" s="81" t="s">
        <v>871</v>
      </c>
      <c r="I1636" s="81" t="n">
        <v>9.53</v>
      </c>
      <c r="J1636" s="81" t="s">
        <v>872</v>
      </c>
      <c r="K1636" s="81" t="s">
        <v>1861</v>
      </c>
      <c r="L1636" s="81" t="n">
        <v>2090420</v>
      </c>
      <c r="M1636" s="81" t="n">
        <v>15421109</v>
      </c>
      <c r="N1636" s="81" t="n">
        <v>11.94</v>
      </c>
      <c r="O1636" s="81" t="n">
        <v>2083840</v>
      </c>
      <c r="P1636" s="81" t="n">
        <v>15421105</v>
      </c>
      <c r="Q1636" s="81" t="n">
        <v>11.94</v>
      </c>
      <c r="R1636" s="81" t="s">
        <v>1862</v>
      </c>
      <c r="S1636" s="81"/>
      <c r="T1636" s="81"/>
      <c r="U1636" s="83" t="n">
        <v>46291</v>
      </c>
      <c r="V1636" s="83" t="n">
        <v>46291</v>
      </c>
      <c r="W1636" s="81" t="s">
        <v>1878</v>
      </c>
      <c r="X1636" s="81" t="s">
        <v>876</v>
      </c>
      <c r="Y1636" s="83"/>
      <c r="Z1636" s="81"/>
      <c r="AA1636" s="81"/>
      <c r="AB1636" s="81" t="s">
        <v>1981</v>
      </c>
      <c r="AC1636" s="81"/>
      <c r="AD1636" s="81"/>
      <c r="AE1636" s="83"/>
      <c r="AF1636" s="81"/>
      <c r="AG1636" s="81"/>
      <c r="AH1636" s="81"/>
      <c r="AI1636" s="81"/>
      <c r="AJ1636" s="83"/>
      <c r="AK1636" s="81"/>
      <c r="AL1636" s="81"/>
      <c r="AM1636" s="83"/>
      <c r="AN1636" s="80"/>
      <c r="AO1636" s="82" t="n">
        <f aca="false">IF(E1636="","",(AA1636&lt;&gt;"")+(AG1636&lt;&gt;"")+(AL1636&lt;&gt;""))</f>
        <v>0</v>
      </c>
      <c r="AP1636" s="82" t="str">
        <f aca="false">IF(AL1636&lt;&gt;"",AL1636,IF(AG1636&lt;&gt;"",AG1636,IF(AA1636&lt;&gt;"",AA1636,"")))</f>
        <v/>
      </c>
      <c r="AQ1636" s="84" t="str">
        <f aca="false">IF(E1636="","",IF(U1636="","À SOUDER",IF(X1636="","VT EN ATTENTE",IF(X1636="R","VT REJETÉ – À REPRENDRE",IF(AP1636="","À RADIOGRAPHIER",IF(AP1636="A","ACCEPTÉ",IF(AP1636="NX","NX – RT À REFAIRE",IF(IF(AO1636=1,AD1636,IF(AO1636=2,AI1636,""))="A","RÉPARÉ – À RADIOGRAPHIER",IF(IF(AO1636=1,AD1636,IF(AO1636=2,AI1636,""))="R","VT REJETÉ – À REPRENDRE",IF(OR(AP1636="CO",AP1636="NT"),"COUPE – À RESOUDER","À RÉPARER"))))))))))</f>
        <v>À RADIOGRAPHIER</v>
      </c>
      <c r="AR1636" s="82" t="n">
        <f aca="false">IF(AND(ISNUMBER(U1636),OR(AQ1636="À RADIOGRAPHIER",AQ1636="RÉPARÉ – À RADIOGRAPHIER",AQ1636="NX – RT À REFAIRE",AQ1636="À RÉPARER",AQ1636="COUPE – À RESOUDER",AQ1636="VT REJETÉ – À REPRENDRE")),MAX(0,'PROGRAMME RT'!$C$4-U1636),"")</f>
        <v>2</v>
      </c>
      <c r="AS1636" s="82" t="n">
        <f aca="false">IF(AND(OR(AQ1636="À RADIOGRAPHIER",AQ1636="RÉPARÉ – À RADIOGRAPHIER",AQ1636="NX – RT À REFAIRE"),OR('PROGRAMME RT'!$D$5="TOUTES",B1636='PROGRAMME RT'!$D$5)),1,0)</f>
        <v>1</v>
      </c>
      <c r="AT1636" s="82" t="n">
        <f aca="false">IF(AS1636=1,SUM(AS$7:AS1636),"")</f>
        <v>87</v>
      </c>
      <c r="AU1636" s="82" t="n">
        <f aca="false">IF(AND(OR(AA1636="R",AA1636="NX",AA1636="NT",AA1636="CO"),OR('JOINTS DE RÉPARATION'!$D$5="TOUTES",B1636='JOINTS DE RÉPARATION'!$D$5),OR('JOINTS DE RÉPARATION'!$L$4="TOUS",AQ1636&lt;&gt;"ACCEPTÉ")),1,0)</f>
        <v>0</v>
      </c>
      <c r="AV1636" s="82" t="str">
        <f aca="false">IF(AU1636=1,SUM(AU$7:AU1636),"")</f>
        <v/>
      </c>
      <c r="AW1636" s="82" t="str">
        <f aca="false">IF(E1636="","",B1636&amp;"|"&amp;E1636)</f>
        <v>MFD-ISW → MFD-CPF|JN°1325R</v>
      </c>
    </row>
    <row r="1637" customFormat="false" ht="74.6" hidden="false" customHeight="false" outlineLevel="0" collapsed="false">
      <c r="A1637" s="79" t="n">
        <f aca="false">IF(E1637="","",ROW()-6)</f>
        <v>1631</v>
      </c>
      <c r="B1637" s="80" t="s">
        <v>110</v>
      </c>
      <c r="C1637" s="81" t="s">
        <v>1971</v>
      </c>
      <c r="D1637" s="81" t="n">
        <v>14</v>
      </c>
      <c r="E1637" s="81" t="s">
        <v>1982</v>
      </c>
      <c r="F1637" s="82" t="str">
        <f aca="false">IF(E1637="","",IF(LEFT(E1637,2)="DJ","DJ","JN"))</f>
        <v>DJ</v>
      </c>
      <c r="G1637" s="81"/>
      <c r="H1637" s="81" t="s">
        <v>871</v>
      </c>
      <c r="I1637" s="81" t="n">
        <v>9.53</v>
      </c>
      <c r="J1637" s="81" t="s">
        <v>872</v>
      </c>
      <c r="K1637" s="81" t="s">
        <v>873</v>
      </c>
      <c r="L1637" s="81" t="n">
        <v>2083840</v>
      </c>
      <c r="M1637" s="81" t="n">
        <v>15421105</v>
      </c>
      <c r="N1637" s="81" t="n">
        <v>11.94</v>
      </c>
      <c r="O1637" s="81" t="n">
        <v>2080830</v>
      </c>
      <c r="P1637" s="81" t="n">
        <v>15421103</v>
      </c>
      <c r="Q1637" s="81" t="n">
        <v>11.94</v>
      </c>
      <c r="R1637" s="81" t="s">
        <v>963</v>
      </c>
      <c r="S1637" s="81"/>
      <c r="T1637" s="81"/>
      <c r="U1637" s="83" t="n">
        <v>46263</v>
      </c>
      <c r="V1637" s="83" t="n">
        <v>46263</v>
      </c>
      <c r="W1637" s="81" t="s">
        <v>1922</v>
      </c>
      <c r="X1637" s="81" t="s">
        <v>876</v>
      </c>
      <c r="Y1637" s="83" t="n">
        <v>46265</v>
      </c>
      <c r="Z1637" s="81" t="s">
        <v>1968</v>
      </c>
      <c r="AA1637" s="81" t="s">
        <v>876</v>
      </c>
      <c r="AB1637" s="81"/>
      <c r="AC1637" s="81"/>
      <c r="AD1637" s="81"/>
      <c r="AE1637" s="83"/>
      <c r="AF1637" s="81"/>
      <c r="AG1637" s="81"/>
      <c r="AH1637" s="81"/>
      <c r="AI1637" s="81"/>
      <c r="AJ1637" s="83"/>
      <c r="AK1637" s="81"/>
      <c r="AL1637" s="81"/>
      <c r="AM1637" s="83"/>
      <c r="AN1637" s="80"/>
      <c r="AO1637" s="82" t="n">
        <f aca="false">IF(E1637="","",(AA1637&lt;&gt;"")+(AG1637&lt;&gt;"")+(AL1637&lt;&gt;""))</f>
        <v>1</v>
      </c>
      <c r="AP1637" s="82" t="str">
        <f aca="false">IF(AL1637&lt;&gt;"",AL1637,IF(AG1637&lt;&gt;"",AG1637,IF(AA1637&lt;&gt;"",AA1637,"")))</f>
        <v>A</v>
      </c>
      <c r="AQ1637" s="84" t="str">
        <f aca="false">IF(E1637="","",IF(U1637="","À SOUDER",IF(X1637="","VT EN ATTENTE",IF(X1637="R","VT REJETÉ – À REPRENDRE",IF(AP1637="","À RADIOGRAPHIER",IF(AP1637="A","ACCEPTÉ",IF(AP1637="NX","NX – RT À REFAIRE",IF(IF(AO1637=1,AD1637,IF(AO1637=2,AI1637,""))="A","RÉPARÉ – À RADIOGRAPHIER",IF(IF(AO1637=1,AD1637,IF(AO1637=2,AI1637,""))="R","VT REJETÉ – À REPRENDRE",IF(OR(AP1637="CO",AP1637="NT"),"COUPE – À RESOUDER","À RÉPARER"))))))))))</f>
        <v>ACCEPTÉ</v>
      </c>
      <c r="AR1637" s="82" t="str">
        <f aca="false">IF(AND(ISNUMBER(U1637),OR(AQ1637="À RADIOGRAPHIER",AQ1637="RÉPARÉ – À RADIOGRAPHIER",AQ1637="NX – RT À REFAIRE",AQ1637="À RÉPARER",AQ1637="COUPE – À RESOUDER",AQ1637="VT REJETÉ – À REPRENDRE")),MAX(0,'PROGRAMME RT'!$C$4-U1637),"")</f>
        <v/>
      </c>
      <c r="AS1637" s="82" t="n">
        <f aca="false">IF(AND(OR(AQ1637="À RADIOGRAPHIER",AQ1637="RÉPARÉ – À RADIOGRAPHIER",AQ1637="NX – RT À REFAIRE"),OR('PROGRAMME RT'!$D$5="TOUTES",B1637='PROGRAMME RT'!$D$5)),1,0)</f>
        <v>0</v>
      </c>
      <c r="AT1637" s="82" t="str">
        <f aca="false">IF(AS1637=1,SUM(AS$7:AS1637),"")</f>
        <v/>
      </c>
      <c r="AU1637" s="82" t="n">
        <f aca="false">IF(AND(OR(AA1637="R",AA1637="NX",AA1637="NT",AA1637="CO"),OR('JOINTS DE RÉPARATION'!$D$5="TOUTES",B1637='JOINTS DE RÉPARATION'!$D$5),OR('JOINTS DE RÉPARATION'!$L$4="TOUS",AQ1637&lt;&gt;"ACCEPTÉ")),1,0)</f>
        <v>0</v>
      </c>
      <c r="AV1637" s="82" t="str">
        <f aca="false">IF(AU1637=1,SUM(AU$7:AU1637),"")</f>
        <v/>
      </c>
      <c r="AW1637" s="82" t="str">
        <f aca="false">IF(E1637="","",B1637&amp;"|"&amp;E1637)</f>
        <v>MFD-ISW → MFD-CPF|DJ°196</v>
      </c>
    </row>
    <row r="1638" customFormat="false" ht="74.6" hidden="false" customHeight="false" outlineLevel="0" collapsed="false">
      <c r="A1638" s="79" t="n">
        <f aca="false">IF(E1638="","",ROW()-6)</f>
        <v>1632</v>
      </c>
      <c r="B1638" s="80" t="s">
        <v>110</v>
      </c>
      <c r="C1638" s="81" t="s">
        <v>1971</v>
      </c>
      <c r="D1638" s="81" t="n">
        <v>14</v>
      </c>
      <c r="E1638" s="81" t="s">
        <v>1983</v>
      </c>
      <c r="F1638" s="82" t="str">
        <f aca="false">IF(E1638="","",IF(LEFT(E1638,2)="DJ","DJ","JN"))</f>
        <v>JN</v>
      </c>
      <c r="G1638" s="81" t="s">
        <v>1504</v>
      </c>
      <c r="H1638" s="81" t="s">
        <v>871</v>
      </c>
      <c r="I1638" s="81" t="n">
        <v>9.53</v>
      </c>
      <c r="J1638" s="81" t="s">
        <v>872</v>
      </c>
      <c r="K1638" s="81" t="s">
        <v>1861</v>
      </c>
      <c r="L1638" s="81" t="n">
        <v>2080830</v>
      </c>
      <c r="M1638" s="81" t="n">
        <v>15421103</v>
      </c>
      <c r="N1638" s="81" t="n">
        <v>11.94</v>
      </c>
      <c r="O1638" s="81" t="n">
        <v>2088760</v>
      </c>
      <c r="P1638" s="81" t="n">
        <v>15421108</v>
      </c>
      <c r="Q1638" s="81" t="n">
        <v>11.94</v>
      </c>
      <c r="R1638" s="81" t="s">
        <v>1884</v>
      </c>
      <c r="S1638" s="81"/>
      <c r="T1638" s="81"/>
      <c r="U1638" s="83" t="n">
        <v>46290</v>
      </c>
      <c r="V1638" s="83" t="n">
        <v>46290</v>
      </c>
      <c r="W1638" s="81" t="s">
        <v>1984</v>
      </c>
      <c r="X1638" s="81" t="s">
        <v>876</v>
      </c>
      <c r="Y1638" s="83"/>
      <c r="Z1638" s="81"/>
      <c r="AA1638" s="81"/>
      <c r="AB1638" s="81" t="s">
        <v>1985</v>
      </c>
      <c r="AC1638" s="81"/>
      <c r="AD1638" s="81"/>
      <c r="AE1638" s="83"/>
      <c r="AF1638" s="81"/>
      <c r="AG1638" s="81"/>
      <c r="AH1638" s="81"/>
      <c r="AI1638" s="81"/>
      <c r="AJ1638" s="83"/>
      <c r="AK1638" s="81"/>
      <c r="AL1638" s="81"/>
      <c r="AM1638" s="83"/>
      <c r="AN1638" s="80"/>
      <c r="AO1638" s="82" t="n">
        <f aca="false">IF(E1638="","",(AA1638&lt;&gt;"")+(AG1638&lt;&gt;"")+(AL1638&lt;&gt;""))</f>
        <v>0</v>
      </c>
      <c r="AP1638" s="82" t="str">
        <f aca="false">IF(AL1638&lt;&gt;"",AL1638,IF(AG1638&lt;&gt;"",AG1638,IF(AA1638&lt;&gt;"",AA1638,"")))</f>
        <v/>
      </c>
      <c r="AQ1638" s="84" t="str">
        <f aca="false">IF(E1638="","",IF(U1638="","À SOUDER",IF(X1638="","VT EN ATTENTE",IF(X1638="R","VT REJETÉ – À REPRENDRE",IF(AP1638="","À RADIOGRAPHIER",IF(AP1638="A","ACCEPTÉ",IF(AP1638="NX","NX – RT À REFAIRE",IF(IF(AO1638=1,AD1638,IF(AO1638=2,AI1638,""))="A","RÉPARÉ – À RADIOGRAPHIER",IF(IF(AO1638=1,AD1638,IF(AO1638=2,AI1638,""))="R","VT REJETÉ – À REPRENDRE",IF(OR(AP1638="CO",AP1638="NT"),"COUPE – À RESOUDER","À RÉPARER"))))))))))</f>
        <v>À RADIOGRAPHIER</v>
      </c>
      <c r="AR1638" s="82" t="n">
        <f aca="false">IF(AND(ISNUMBER(U1638),OR(AQ1638="À RADIOGRAPHIER",AQ1638="RÉPARÉ – À RADIOGRAPHIER",AQ1638="NX – RT À REFAIRE",AQ1638="À RÉPARER",AQ1638="COUPE – À RESOUDER",AQ1638="VT REJETÉ – À REPRENDRE")),MAX(0,'PROGRAMME RT'!$C$4-U1638),"")</f>
        <v>3</v>
      </c>
      <c r="AS1638" s="82" t="n">
        <f aca="false">IF(AND(OR(AQ1638="À RADIOGRAPHIER",AQ1638="RÉPARÉ – À RADIOGRAPHIER",AQ1638="NX – RT À REFAIRE"),OR('PROGRAMME RT'!$D$5="TOUTES",B1638='PROGRAMME RT'!$D$5)),1,0)</f>
        <v>1</v>
      </c>
      <c r="AT1638" s="82" t="n">
        <f aca="false">IF(AS1638=1,SUM(AS$7:AS1638),"")</f>
        <v>88</v>
      </c>
      <c r="AU1638" s="82" t="n">
        <f aca="false">IF(AND(OR(AA1638="R",AA1638="NX",AA1638="NT",AA1638="CO"),OR('JOINTS DE RÉPARATION'!$D$5="TOUTES",B1638='JOINTS DE RÉPARATION'!$D$5),OR('JOINTS DE RÉPARATION'!$L$4="TOUS",AQ1638&lt;&gt;"ACCEPTÉ")),1,0)</f>
        <v>0</v>
      </c>
      <c r="AV1638" s="82" t="str">
        <f aca="false">IF(AU1638=1,SUM(AU$7:AU1638),"")</f>
        <v/>
      </c>
      <c r="AW1638" s="82" t="str">
        <f aca="false">IF(E1638="","",B1638&amp;"|"&amp;E1638)</f>
        <v>MFD-ISW → MFD-CPF|JN°1326R</v>
      </c>
    </row>
    <row r="1639" customFormat="false" ht="74.6" hidden="false" customHeight="false" outlineLevel="0" collapsed="false">
      <c r="A1639" s="79" t="n">
        <f aca="false">IF(E1639="","",ROW()-6)</f>
        <v>1633</v>
      </c>
      <c r="B1639" s="80" t="s">
        <v>110</v>
      </c>
      <c r="C1639" s="81" t="s">
        <v>1971</v>
      </c>
      <c r="D1639" s="81" t="n">
        <v>14</v>
      </c>
      <c r="E1639" s="81" t="s">
        <v>1986</v>
      </c>
      <c r="F1639" s="82" t="str">
        <f aca="false">IF(E1639="","",IF(LEFT(E1639,2)="DJ","DJ","JN"))</f>
        <v>DJ</v>
      </c>
      <c r="G1639" s="81"/>
      <c r="H1639" s="81" t="s">
        <v>871</v>
      </c>
      <c r="I1639" s="81" t="n">
        <v>9.53</v>
      </c>
      <c r="J1639" s="81" t="s">
        <v>872</v>
      </c>
      <c r="K1639" s="81" t="s">
        <v>873</v>
      </c>
      <c r="L1639" s="81" t="n">
        <v>2088760</v>
      </c>
      <c r="M1639" s="81" t="n">
        <v>15421108</v>
      </c>
      <c r="N1639" s="81" t="n">
        <v>11.94</v>
      </c>
      <c r="O1639" s="81" t="n">
        <v>2091540</v>
      </c>
      <c r="P1639" s="81" t="n">
        <v>15421109</v>
      </c>
      <c r="Q1639" s="81" t="n">
        <v>11.94</v>
      </c>
      <c r="R1639" s="81" t="s">
        <v>963</v>
      </c>
      <c r="S1639" s="81"/>
      <c r="T1639" s="81"/>
      <c r="U1639" s="83" t="n">
        <v>46261</v>
      </c>
      <c r="V1639" s="83" t="n">
        <v>46261</v>
      </c>
      <c r="W1639" s="81" t="s">
        <v>1952</v>
      </c>
      <c r="X1639" s="81" t="s">
        <v>876</v>
      </c>
      <c r="Y1639" s="83" t="n">
        <v>46265</v>
      </c>
      <c r="Z1639" s="81" t="s">
        <v>1968</v>
      </c>
      <c r="AA1639" s="81" t="s">
        <v>876</v>
      </c>
      <c r="AB1639" s="81"/>
      <c r="AC1639" s="81"/>
      <c r="AD1639" s="81"/>
      <c r="AE1639" s="83"/>
      <c r="AF1639" s="81"/>
      <c r="AG1639" s="81"/>
      <c r="AH1639" s="81"/>
      <c r="AI1639" s="81"/>
      <c r="AJ1639" s="83"/>
      <c r="AK1639" s="81"/>
      <c r="AL1639" s="81"/>
      <c r="AM1639" s="83"/>
      <c r="AN1639" s="80"/>
      <c r="AO1639" s="82" t="n">
        <f aca="false">IF(E1639="","",(AA1639&lt;&gt;"")+(AG1639&lt;&gt;"")+(AL1639&lt;&gt;""))</f>
        <v>1</v>
      </c>
      <c r="AP1639" s="82" t="str">
        <f aca="false">IF(AL1639&lt;&gt;"",AL1639,IF(AG1639&lt;&gt;"",AG1639,IF(AA1639&lt;&gt;"",AA1639,"")))</f>
        <v>A</v>
      </c>
      <c r="AQ1639" s="84" t="str">
        <f aca="false">IF(E1639="","",IF(U1639="","À SOUDER",IF(X1639="","VT EN ATTENTE",IF(X1639="R","VT REJETÉ – À REPRENDRE",IF(AP1639="","À RADIOGRAPHIER",IF(AP1639="A","ACCEPTÉ",IF(AP1639="NX","NX – RT À REFAIRE",IF(IF(AO1639=1,AD1639,IF(AO1639=2,AI1639,""))="A","RÉPARÉ – À RADIOGRAPHIER",IF(IF(AO1639=1,AD1639,IF(AO1639=2,AI1639,""))="R","VT REJETÉ – À REPRENDRE",IF(OR(AP1639="CO",AP1639="NT"),"COUPE – À RESOUDER","À RÉPARER"))))))))))</f>
        <v>ACCEPTÉ</v>
      </c>
      <c r="AR1639" s="82" t="str">
        <f aca="false">IF(AND(ISNUMBER(U1639),OR(AQ1639="À RADIOGRAPHIER",AQ1639="RÉPARÉ – À RADIOGRAPHIER",AQ1639="NX – RT À REFAIRE",AQ1639="À RÉPARER",AQ1639="COUPE – À RESOUDER",AQ1639="VT REJETÉ – À REPRENDRE")),MAX(0,'PROGRAMME RT'!$C$4-U1639),"")</f>
        <v/>
      </c>
      <c r="AS1639" s="82" t="n">
        <f aca="false">IF(AND(OR(AQ1639="À RADIOGRAPHIER",AQ1639="RÉPARÉ – À RADIOGRAPHIER",AQ1639="NX – RT À REFAIRE"),OR('PROGRAMME RT'!$D$5="TOUTES",B1639='PROGRAMME RT'!$D$5)),1,0)</f>
        <v>0</v>
      </c>
      <c r="AT1639" s="82" t="str">
        <f aca="false">IF(AS1639=1,SUM(AS$7:AS1639),"")</f>
        <v/>
      </c>
      <c r="AU1639" s="82" t="n">
        <f aca="false">IF(AND(OR(AA1639="R",AA1639="NX",AA1639="NT",AA1639="CO"),OR('JOINTS DE RÉPARATION'!$D$5="TOUTES",B1639='JOINTS DE RÉPARATION'!$D$5),OR('JOINTS DE RÉPARATION'!$L$4="TOUS",AQ1639&lt;&gt;"ACCEPTÉ")),1,0)</f>
        <v>0</v>
      </c>
      <c r="AV1639" s="82" t="str">
        <f aca="false">IF(AU1639=1,SUM(AU$7:AU1639),"")</f>
        <v/>
      </c>
      <c r="AW1639" s="82" t="str">
        <f aca="false">IF(E1639="","",B1639&amp;"|"&amp;E1639)</f>
        <v>MFD-ISW → MFD-CPF|DJ°174</v>
      </c>
    </row>
    <row r="1640" customFormat="false" ht="74.6" hidden="false" customHeight="false" outlineLevel="0" collapsed="false">
      <c r="A1640" s="79" t="n">
        <f aca="false">IF(E1640="","",ROW()-6)</f>
        <v>1634</v>
      </c>
      <c r="B1640" s="80" t="s">
        <v>110</v>
      </c>
      <c r="C1640" s="81" t="s">
        <v>1971</v>
      </c>
      <c r="D1640" s="81" t="n">
        <v>14</v>
      </c>
      <c r="E1640" s="81" t="s">
        <v>1987</v>
      </c>
      <c r="F1640" s="82" t="str">
        <f aca="false">IF(E1640="","",IF(LEFT(E1640,2)="DJ","DJ","JN"))</f>
        <v>JN</v>
      </c>
      <c r="G1640" s="81" t="s">
        <v>1504</v>
      </c>
      <c r="H1640" s="81" t="s">
        <v>871</v>
      </c>
      <c r="I1640" s="81" t="n">
        <v>9.53</v>
      </c>
      <c r="J1640" s="81" t="s">
        <v>872</v>
      </c>
      <c r="K1640" s="81" t="s">
        <v>1861</v>
      </c>
      <c r="L1640" s="81" t="n">
        <v>2091540</v>
      </c>
      <c r="M1640" s="81" t="n">
        <v>15421109</v>
      </c>
      <c r="N1640" s="81" t="n">
        <v>11.94</v>
      </c>
      <c r="O1640" s="81" t="n">
        <v>2081940</v>
      </c>
      <c r="P1640" s="81" t="n">
        <v>15421104</v>
      </c>
      <c r="Q1640" s="81" t="n">
        <v>11.94</v>
      </c>
      <c r="R1640" s="81" t="s">
        <v>1884</v>
      </c>
      <c r="S1640" s="81"/>
      <c r="T1640" s="81"/>
      <c r="U1640" s="83" t="n">
        <v>46290</v>
      </c>
      <c r="V1640" s="83" t="n">
        <v>46290</v>
      </c>
      <c r="W1640" s="81" t="s">
        <v>1984</v>
      </c>
      <c r="X1640" s="81" t="s">
        <v>876</v>
      </c>
      <c r="Y1640" s="83"/>
      <c r="Z1640" s="81"/>
      <c r="AA1640" s="81"/>
      <c r="AB1640" s="81" t="s">
        <v>1988</v>
      </c>
      <c r="AC1640" s="81"/>
      <c r="AD1640" s="81"/>
      <c r="AE1640" s="83"/>
      <c r="AF1640" s="81"/>
      <c r="AG1640" s="81"/>
      <c r="AH1640" s="81"/>
      <c r="AI1640" s="81"/>
      <c r="AJ1640" s="83"/>
      <c r="AK1640" s="81"/>
      <c r="AL1640" s="81"/>
      <c r="AM1640" s="83"/>
      <c r="AN1640" s="80"/>
      <c r="AO1640" s="82" t="n">
        <f aca="false">IF(E1640="","",(AA1640&lt;&gt;"")+(AG1640&lt;&gt;"")+(AL1640&lt;&gt;""))</f>
        <v>0</v>
      </c>
      <c r="AP1640" s="82" t="str">
        <f aca="false">IF(AL1640&lt;&gt;"",AL1640,IF(AG1640&lt;&gt;"",AG1640,IF(AA1640&lt;&gt;"",AA1640,"")))</f>
        <v/>
      </c>
      <c r="AQ1640" s="84" t="str">
        <f aca="false">IF(E1640="","",IF(U1640="","À SOUDER",IF(X1640="","VT EN ATTENTE",IF(X1640="R","VT REJETÉ – À REPRENDRE",IF(AP1640="","À RADIOGRAPHIER",IF(AP1640="A","ACCEPTÉ",IF(AP1640="NX","NX – RT À REFAIRE",IF(IF(AO1640=1,AD1640,IF(AO1640=2,AI1640,""))="A","RÉPARÉ – À RADIOGRAPHIER",IF(IF(AO1640=1,AD1640,IF(AO1640=2,AI1640,""))="R","VT REJETÉ – À REPRENDRE",IF(OR(AP1640="CO",AP1640="NT"),"COUPE – À RESOUDER","À RÉPARER"))))))))))</f>
        <v>À RADIOGRAPHIER</v>
      </c>
      <c r="AR1640" s="82" t="n">
        <f aca="false">IF(AND(ISNUMBER(U1640),OR(AQ1640="À RADIOGRAPHIER",AQ1640="RÉPARÉ – À RADIOGRAPHIER",AQ1640="NX – RT À REFAIRE",AQ1640="À RÉPARER",AQ1640="COUPE – À RESOUDER",AQ1640="VT REJETÉ – À REPRENDRE")),MAX(0,'PROGRAMME RT'!$C$4-U1640),"")</f>
        <v>3</v>
      </c>
      <c r="AS1640" s="82" t="n">
        <f aca="false">IF(AND(OR(AQ1640="À RADIOGRAPHIER",AQ1640="RÉPARÉ – À RADIOGRAPHIER",AQ1640="NX – RT À REFAIRE"),OR('PROGRAMME RT'!$D$5="TOUTES",B1640='PROGRAMME RT'!$D$5)),1,0)</f>
        <v>1</v>
      </c>
      <c r="AT1640" s="82" t="n">
        <f aca="false">IF(AS1640=1,SUM(AS$7:AS1640),"")</f>
        <v>89</v>
      </c>
      <c r="AU1640" s="82" t="n">
        <f aca="false">IF(AND(OR(AA1640="R",AA1640="NX",AA1640="NT",AA1640="CO"),OR('JOINTS DE RÉPARATION'!$D$5="TOUTES",B1640='JOINTS DE RÉPARATION'!$D$5),OR('JOINTS DE RÉPARATION'!$L$4="TOUS",AQ1640&lt;&gt;"ACCEPTÉ")),1,0)</f>
        <v>0</v>
      </c>
      <c r="AV1640" s="82" t="str">
        <f aca="false">IF(AU1640=1,SUM(AU$7:AU1640),"")</f>
        <v/>
      </c>
      <c r="AW1640" s="82" t="str">
        <f aca="false">IF(E1640="","",B1640&amp;"|"&amp;E1640)</f>
        <v>MFD-ISW → MFD-CPF|JN°1327R</v>
      </c>
    </row>
    <row r="1641" customFormat="false" ht="74.6" hidden="false" customHeight="false" outlineLevel="0" collapsed="false">
      <c r="A1641" s="79" t="n">
        <f aca="false">IF(E1641="","",ROW()-6)</f>
        <v>1635</v>
      </c>
      <c r="B1641" s="80" t="s">
        <v>110</v>
      </c>
      <c r="C1641" s="81" t="s">
        <v>1971</v>
      </c>
      <c r="D1641" s="81" t="n">
        <v>14</v>
      </c>
      <c r="E1641" s="81" t="s">
        <v>1989</v>
      </c>
      <c r="F1641" s="82" t="str">
        <f aca="false">IF(E1641="","",IF(LEFT(E1641,2)="DJ","DJ","JN"))</f>
        <v>DJ</v>
      </c>
      <c r="G1641" s="81"/>
      <c r="H1641" s="81" t="s">
        <v>871</v>
      </c>
      <c r="I1641" s="81" t="n">
        <v>9.53</v>
      </c>
      <c r="J1641" s="81" t="s">
        <v>872</v>
      </c>
      <c r="K1641" s="81" t="s">
        <v>873</v>
      </c>
      <c r="L1641" s="81" t="n">
        <v>2081940</v>
      </c>
      <c r="M1641" s="81" t="n">
        <v>15421104</v>
      </c>
      <c r="N1641" s="81" t="n">
        <v>11.94</v>
      </c>
      <c r="O1641" s="81" t="n">
        <v>2094800</v>
      </c>
      <c r="P1641" s="81" t="n">
        <v>15421111</v>
      </c>
      <c r="Q1641" s="81" t="n">
        <v>11.94</v>
      </c>
      <c r="R1641" s="81" t="s">
        <v>963</v>
      </c>
      <c r="S1641" s="81"/>
      <c r="T1641" s="81"/>
      <c r="U1641" s="83" t="n">
        <v>46261</v>
      </c>
      <c r="V1641" s="83" t="n">
        <v>46261</v>
      </c>
      <c r="W1641" s="81" t="s">
        <v>1952</v>
      </c>
      <c r="X1641" s="81" t="s">
        <v>876</v>
      </c>
      <c r="Y1641" s="83" t="n">
        <v>46265</v>
      </c>
      <c r="Z1641" s="81" t="s">
        <v>1968</v>
      </c>
      <c r="AA1641" s="81" t="s">
        <v>876</v>
      </c>
      <c r="AB1641" s="81"/>
      <c r="AC1641" s="81"/>
      <c r="AD1641" s="81"/>
      <c r="AE1641" s="83"/>
      <c r="AF1641" s="81"/>
      <c r="AG1641" s="81"/>
      <c r="AH1641" s="81"/>
      <c r="AI1641" s="81"/>
      <c r="AJ1641" s="83"/>
      <c r="AK1641" s="81"/>
      <c r="AL1641" s="81"/>
      <c r="AM1641" s="83"/>
      <c r="AN1641" s="80"/>
      <c r="AO1641" s="82" t="n">
        <f aca="false">IF(E1641="","",(AA1641&lt;&gt;"")+(AG1641&lt;&gt;"")+(AL1641&lt;&gt;""))</f>
        <v>1</v>
      </c>
      <c r="AP1641" s="82" t="str">
        <f aca="false">IF(AL1641&lt;&gt;"",AL1641,IF(AG1641&lt;&gt;"",AG1641,IF(AA1641&lt;&gt;"",AA1641,"")))</f>
        <v>A</v>
      </c>
      <c r="AQ1641" s="84" t="str">
        <f aca="false">IF(E1641="","",IF(U1641="","À SOUDER",IF(X1641="","VT EN ATTENTE",IF(X1641="R","VT REJETÉ – À REPRENDRE",IF(AP1641="","À RADIOGRAPHIER",IF(AP1641="A","ACCEPTÉ",IF(AP1641="NX","NX – RT À REFAIRE",IF(IF(AO1641=1,AD1641,IF(AO1641=2,AI1641,""))="A","RÉPARÉ – À RADIOGRAPHIER",IF(IF(AO1641=1,AD1641,IF(AO1641=2,AI1641,""))="R","VT REJETÉ – À REPRENDRE",IF(OR(AP1641="CO",AP1641="NT"),"COUPE – À RESOUDER","À RÉPARER"))))))))))</f>
        <v>ACCEPTÉ</v>
      </c>
      <c r="AR1641" s="82" t="str">
        <f aca="false">IF(AND(ISNUMBER(U1641),OR(AQ1641="À RADIOGRAPHIER",AQ1641="RÉPARÉ – À RADIOGRAPHIER",AQ1641="NX – RT À REFAIRE",AQ1641="À RÉPARER",AQ1641="COUPE – À RESOUDER",AQ1641="VT REJETÉ – À REPRENDRE")),MAX(0,'PROGRAMME RT'!$C$4-U1641),"")</f>
        <v/>
      </c>
      <c r="AS1641" s="82" t="n">
        <f aca="false">IF(AND(OR(AQ1641="À RADIOGRAPHIER",AQ1641="RÉPARÉ – À RADIOGRAPHIER",AQ1641="NX – RT À REFAIRE"),OR('PROGRAMME RT'!$D$5="TOUTES",B1641='PROGRAMME RT'!$D$5)),1,0)</f>
        <v>0</v>
      </c>
      <c r="AT1641" s="82" t="str">
        <f aca="false">IF(AS1641=1,SUM(AS$7:AS1641),"")</f>
        <v/>
      </c>
      <c r="AU1641" s="82" t="n">
        <f aca="false">IF(AND(OR(AA1641="R",AA1641="NX",AA1641="NT",AA1641="CO"),OR('JOINTS DE RÉPARATION'!$D$5="TOUTES",B1641='JOINTS DE RÉPARATION'!$D$5),OR('JOINTS DE RÉPARATION'!$L$4="TOUS",AQ1641&lt;&gt;"ACCEPTÉ")),1,0)</f>
        <v>0</v>
      </c>
      <c r="AV1641" s="82" t="str">
        <f aca="false">IF(AU1641=1,SUM(AU$7:AU1641),"")</f>
        <v/>
      </c>
      <c r="AW1641" s="82" t="str">
        <f aca="false">IF(E1641="","",B1641&amp;"|"&amp;E1641)</f>
        <v>MFD-ISW → MFD-CPF|DJ°171</v>
      </c>
    </row>
    <row r="1642" customFormat="false" ht="74.6" hidden="false" customHeight="false" outlineLevel="0" collapsed="false">
      <c r="A1642" s="79" t="n">
        <f aca="false">IF(E1642="","",ROW()-6)</f>
        <v>1636</v>
      </c>
      <c r="B1642" s="80" t="s">
        <v>110</v>
      </c>
      <c r="C1642" s="81" t="s">
        <v>1971</v>
      </c>
      <c r="D1642" s="81" t="n">
        <v>14</v>
      </c>
      <c r="E1642" s="81" t="s">
        <v>1990</v>
      </c>
      <c r="F1642" s="82" t="str">
        <f aca="false">IF(E1642="","",IF(LEFT(E1642,2)="DJ","DJ","JN"))</f>
        <v>JN</v>
      </c>
      <c r="G1642" s="81" t="s">
        <v>1504</v>
      </c>
      <c r="H1642" s="81" t="s">
        <v>871</v>
      </c>
      <c r="I1642" s="81" t="n">
        <v>9.53</v>
      </c>
      <c r="J1642" s="81" t="s">
        <v>872</v>
      </c>
      <c r="K1642" s="81" t="s">
        <v>879</v>
      </c>
      <c r="L1642" s="81" t="n">
        <v>2094800</v>
      </c>
      <c r="M1642" s="81" t="n">
        <v>15421111</v>
      </c>
      <c r="N1642" s="81" t="n">
        <v>11.94</v>
      </c>
      <c r="O1642" s="81" t="n">
        <v>2086060</v>
      </c>
      <c r="P1642" s="81" t="n">
        <v>15421107</v>
      </c>
      <c r="Q1642" s="81" t="n">
        <v>11.94</v>
      </c>
      <c r="R1642" s="81" t="s">
        <v>1938</v>
      </c>
      <c r="S1642" s="81"/>
      <c r="T1642" s="81"/>
      <c r="U1642" s="83" t="n">
        <v>46274</v>
      </c>
      <c r="V1642" s="83" t="n">
        <v>46274</v>
      </c>
      <c r="W1642" s="81" t="s">
        <v>1991</v>
      </c>
      <c r="X1642" s="81" t="s">
        <v>876</v>
      </c>
      <c r="Y1642" s="83" t="n">
        <v>46279</v>
      </c>
      <c r="Z1642" s="81" t="s">
        <v>1963</v>
      </c>
      <c r="AA1642" s="81" t="s">
        <v>876</v>
      </c>
      <c r="AB1642" s="81"/>
      <c r="AC1642" s="81"/>
      <c r="AD1642" s="81"/>
      <c r="AE1642" s="83"/>
      <c r="AF1642" s="81"/>
      <c r="AG1642" s="81"/>
      <c r="AH1642" s="81"/>
      <c r="AI1642" s="81"/>
      <c r="AJ1642" s="83"/>
      <c r="AK1642" s="81"/>
      <c r="AL1642" s="81"/>
      <c r="AM1642" s="83"/>
      <c r="AN1642" s="80"/>
      <c r="AO1642" s="82" t="n">
        <f aca="false">IF(E1642="","",(AA1642&lt;&gt;"")+(AG1642&lt;&gt;"")+(AL1642&lt;&gt;""))</f>
        <v>1</v>
      </c>
      <c r="AP1642" s="82" t="str">
        <f aca="false">IF(AL1642&lt;&gt;"",AL1642,IF(AG1642&lt;&gt;"",AG1642,IF(AA1642&lt;&gt;"",AA1642,"")))</f>
        <v>A</v>
      </c>
      <c r="AQ1642" s="84" t="str">
        <f aca="false">IF(E1642="","",IF(U1642="","À SOUDER",IF(X1642="","VT EN ATTENTE",IF(X1642="R","VT REJETÉ – À REPRENDRE",IF(AP1642="","À RADIOGRAPHIER",IF(AP1642="A","ACCEPTÉ",IF(AP1642="NX","NX – RT À REFAIRE",IF(IF(AO1642=1,AD1642,IF(AO1642=2,AI1642,""))="A","RÉPARÉ – À RADIOGRAPHIER",IF(IF(AO1642=1,AD1642,IF(AO1642=2,AI1642,""))="R","VT REJETÉ – À REPRENDRE",IF(OR(AP1642="CO",AP1642="NT"),"COUPE – À RESOUDER","À RÉPARER"))))))))))</f>
        <v>ACCEPTÉ</v>
      </c>
      <c r="AR1642" s="82" t="str">
        <f aca="false">IF(AND(ISNUMBER(U1642),OR(AQ1642="À RADIOGRAPHIER",AQ1642="RÉPARÉ – À RADIOGRAPHIER",AQ1642="NX – RT À REFAIRE",AQ1642="À RÉPARER",AQ1642="COUPE – À RESOUDER",AQ1642="VT REJETÉ – À REPRENDRE")),MAX(0,'PROGRAMME RT'!$C$4-U1642),"")</f>
        <v/>
      </c>
      <c r="AS1642" s="82" t="n">
        <f aca="false">IF(AND(OR(AQ1642="À RADIOGRAPHIER",AQ1642="RÉPARÉ – À RADIOGRAPHIER",AQ1642="NX – RT À REFAIRE"),OR('PROGRAMME RT'!$D$5="TOUTES",B1642='PROGRAMME RT'!$D$5)),1,0)</f>
        <v>0</v>
      </c>
      <c r="AT1642" s="82" t="str">
        <f aca="false">IF(AS1642=1,SUM(AS$7:AS1642),"")</f>
        <v/>
      </c>
      <c r="AU1642" s="82" t="n">
        <f aca="false">IF(AND(OR(AA1642="R",AA1642="NX",AA1642="NT",AA1642="CO"),OR('JOINTS DE RÉPARATION'!$D$5="TOUTES",B1642='JOINTS DE RÉPARATION'!$D$5),OR('JOINTS DE RÉPARATION'!$L$4="TOUS",AQ1642&lt;&gt;"ACCEPTÉ")),1,0)</f>
        <v>0</v>
      </c>
      <c r="AV1642" s="82" t="str">
        <f aca="false">IF(AU1642=1,SUM(AU$7:AU1642),"")</f>
        <v/>
      </c>
      <c r="AW1642" s="82" t="str">
        <f aca="false">IF(E1642="","",B1642&amp;"|"&amp;E1642)</f>
        <v>MFD-ISW → MFD-CPF|JN°1328</v>
      </c>
    </row>
    <row r="1643" customFormat="false" ht="74.6" hidden="false" customHeight="false" outlineLevel="0" collapsed="false">
      <c r="A1643" s="79" t="n">
        <f aca="false">IF(E1643="","",ROW()-6)</f>
        <v>1637</v>
      </c>
      <c r="B1643" s="80" t="s">
        <v>110</v>
      </c>
      <c r="C1643" s="81" t="s">
        <v>1971</v>
      </c>
      <c r="D1643" s="81" t="n">
        <v>14</v>
      </c>
      <c r="E1643" s="81" t="s">
        <v>1992</v>
      </c>
      <c r="F1643" s="82" t="str">
        <f aca="false">IF(E1643="","",IF(LEFT(E1643,2)="DJ","DJ","JN"))</f>
        <v>DJ</v>
      </c>
      <c r="G1643" s="81"/>
      <c r="H1643" s="81" t="s">
        <v>871</v>
      </c>
      <c r="I1643" s="81" t="n">
        <v>9.53</v>
      </c>
      <c r="J1643" s="81" t="s">
        <v>872</v>
      </c>
      <c r="K1643" s="81" t="s">
        <v>873</v>
      </c>
      <c r="L1643" s="81" t="n">
        <v>2086060</v>
      </c>
      <c r="M1643" s="81" t="n">
        <v>15421107</v>
      </c>
      <c r="N1643" s="81" t="n">
        <v>11.94</v>
      </c>
      <c r="O1643" s="81" t="n">
        <v>2089880</v>
      </c>
      <c r="P1643" s="81" t="n">
        <v>15421111</v>
      </c>
      <c r="Q1643" s="81" t="n">
        <v>11.94</v>
      </c>
      <c r="R1643" s="81" t="s">
        <v>1147</v>
      </c>
      <c r="S1643" s="81"/>
      <c r="T1643" s="81"/>
      <c r="U1643" s="83" t="n">
        <v>46262</v>
      </c>
      <c r="V1643" s="83" t="n">
        <v>46262</v>
      </c>
      <c r="W1643" s="81" t="s">
        <v>1930</v>
      </c>
      <c r="X1643" s="81" t="s">
        <v>876</v>
      </c>
      <c r="Y1643" s="83" t="n">
        <v>46265</v>
      </c>
      <c r="Z1643" s="81" t="s">
        <v>1968</v>
      </c>
      <c r="AA1643" s="81" t="s">
        <v>876</v>
      </c>
      <c r="AB1643" s="81"/>
      <c r="AC1643" s="81"/>
      <c r="AD1643" s="81"/>
      <c r="AE1643" s="83"/>
      <c r="AF1643" s="81"/>
      <c r="AG1643" s="81"/>
      <c r="AH1643" s="81"/>
      <c r="AI1643" s="81"/>
      <c r="AJ1643" s="83"/>
      <c r="AK1643" s="81"/>
      <c r="AL1643" s="81"/>
      <c r="AM1643" s="83"/>
      <c r="AN1643" s="80"/>
      <c r="AO1643" s="82" t="n">
        <f aca="false">IF(E1643="","",(AA1643&lt;&gt;"")+(AG1643&lt;&gt;"")+(AL1643&lt;&gt;""))</f>
        <v>1</v>
      </c>
      <c r="AP1643" s="82" t="str">
        <f aca="false">IF(AL1643&lt;&gt;"",AL1643,IF(AG1643&lt;&gt;"",AG1643,IF(AA1643&lt;&gt;"",AA1643,"")))</f>
        <v>A</v>
      </c>
      <c r="AQ1643" s="84" t="str">
        <f aca="false">IF(E1643="","",IF(U1643="","À SOUDER",IF(X1643="","VT EN ATTENTE",IF(X1643="R","VT REJETÉ – À REPRENDRE",IF(AP1643="","À RADIOGRAPHIER",IF(AP1643="A","ACCEPTÉ",IF(AP1643="NX","NX – RT À REFAIRE",IF(IF(AO1643=1,AD1643,IF(AO1643=2,AI1643,""))="A","RÉPARÉ – À RADIOGRAPHIER",IF(IF(AO1643=1,AD1643,IF(AO1643=2,AI1643,""))="R","VT REJETÉ – À REPRENDRE",IF(OR(AP1643="CO",AP1643="NT"),"COUPE – À RESOUDER","À RÉPARER"))))))))))</f>
        <v>ACCEPTÉ</v>
      </c>
      <c r="AR1643" s="82" t="str">
        <f aca="false">IF(AND(ISNUMBER(U1643),OR(AQ1643="À RADIOGRAPHIER",AQ1643="RÉPARÉ – À RADIOGRAPHIER",AQ1643="NX – RT À REFAIRE",AQ1643="À RÉPARER",AQ1643="COUPE – À RESOUDER",AQ1643="VT REJETÉ – À REPRENDRE")),MAX(0,'PROGRAMME RT'!$C$4-U1643),"")</f>
        <v/>
      </c>
      <c r="AS1643" s="82" t="n">
        <f aca="false">IF(AND(OR(AQ1643="À RADIOGRAPHIER",AQ1643="RÉPARÉ – À RADIOGRAPHIER",AQ1643="NX – RT À REFAIRE"),OR('PROGRAMME RT'!$D$5="TOUTES",B1643='PROGRAMME RT'!$D$5)),1,0)</f>
        <v>0</v>
      </c>
      <c r="AT1643" s="82" t="str">
        <f aca="false">IF(AS1643=1,SUM(AS$7:AS1643),"")</f>
        <v/>
      </c>
      <c r="AU1643" s="82" t="n">
        <f aca="false">IF(AND(OR(AA1643="R",AA1643="NX",AA1643="NT",AA1643="CO"),OR('JOINTS DE RÉPARATION'!$D$5="TOUTES",B1643='JOINTS DE RÉPARATION'!$D$5),OR('JOINTS DE RÉPARATION'!$L$4="TOUS",AQ1643&lt;&gt;"ACCEPTÉ")),1,0)</f>
        <v>0</v>
      </c>
      <c r="AV1643" s="82" t="str">
        <f aca="false">IF(AU1643=1,SUM(AU$7:AU1643),"")</f>
        <v/>
      </c>
      <c r="AW1643" s="82" t="str">
        <f aca="false">IF(E1643="","",B1643&amp;"|"&amp;E1643)</f>
        <v>MFD-ISW → MFD-CPF|DJ°177</v>
      </c>
    </row>
    <row r="1644" customFormat="false" ht="74.6" hidden="false" customHeight="false" outlineLevel="0" collapsed="false">
      <c r="A1644" s="79" t="n">
        <f aca="false">IF(E1644="","",ROW()-6)</f>
        <v>1638</v>
      </c>
      <c r="B1644" s="80" t="s">
        <v>110</v>
      </c>
      <c r="C1644" s="81" t="s">
        <v>1971</v>
      </c>
      <c r="D1644" s="81" t="n">
        <v>14</v>
      </c>
      <c r="E1644" s="81" t="s">
        <v>1993</v>
      </c>
      <c r="F1644" s="82" t="str">
        <f aca="false">IF(E1644="","",IF(LEFT(E1644,2)="DJ","DJ","JN"))</f>
        <v>JN</v>
      </c>
      <c r="G1644" s="81" t="s">
        <v>1504</v>
      </c>
      <c r="H1644" s="81" t="s">
        <v>871</v>
      </c>
      <c r="I1644" s="81" t="n">
        <v>9.53</v>
      </c>
      <c r="J1644" s="81" t="s">
        <v>872</v>
      </c>
      <c r="K1644" s="81" t="s">
        <v>879</v>
      </c>
      <c r="L1644" s="81" t="n">
        <v>2089880</v>
      </c>
      <c r="M1644" s="81" t="n">
        <v>15421111</v>
      </c>
      <c r="N1644" s="81" t="n">
        <v>11.94</v>
      </c>
      <c r="O1644" s="81" t="n">
        <v>2080410</v>
      </c>
      <c r="P1644" s="81" t="n">
        <v>15421102</v>
      </c>
      <c r="Q1644" s="81" t="n">
        <v>11.94</v>
      </c>
      <c r="R1644" s="81" t="s">
        <v>1938</v>
      </c>
      <c r="S1644" s="81"/>
      <c r="T1644" s="81"/>
      <c r="U1644" s="83" t="n">
        <v>46274</v>
      </c>
      <c r="V1644" s="83" t="n">
        <v>46274</v>
      </c>
      <c r="W1644" s="81" t="s">
        <v>1991</v>
      </c>
      <c r="X1644" s="81" t="s">
        <v>876</v>
      </c>
      <c r="Y1644" s="83" t="n">
        <v>46279</v>
      </c>
      <c r="Z1644" s="81" t="s">
        <v>1963</v>
      </c>
      <c r="AA1644" s="81" t="s">
        <v>876</v>
      </c>
      <c r="AB1644" s="81"/>
      <c r="AC1644" s="81"/>
      <c r="AD1644" s="81"/>
      <c r="AE1644" s="83"/>
      <c r="AF1644" s="81"/>
      <c r="AG1644" s="81"/>
      <c r="AH1644" s="81"/>
      <c r="AI1644" s="81"/>
      <c r="AJ1644" s="83"/>
      <c r="AK1644" s="81"/>
      <c r="AL1644" s="81"/>
      <c r="AM1644" s="83"/>
      <c r="AN1644" s="80"/>
      <c r="AO1644" s="82" t="n">
        <f aca="false">IF(E1644="","",(AA1644&lt;&gt;"")+(AG1644&lt;&gt;"")+(AL1644&lt;&gt;""))</f>
        <v>1</v>
      </c>
      <c r="AP1644" s="82" t="str">
        <f aca="false">IF(AL1644&lt;&gt;"",AL1644,IF(AG1644&lt;&gt;"",AG1644,IF(AA1644&lt;&gt;"",AA1644,"")))</f>
        <v>A</v>
      </c>
      <c r="AQ1644" s="84" t="str">
        <f aca="false">IF(E1644="","",IF(U1644="","À SOUDER",IF(X1644="","VT EN ATTENTE",IF(X1644="R","VT REJETÉ – À REPRENDRE",IF(AP1644="","À RADIOGRAPHIER",IF(AP1644="A","ACCEPTÉ",IF(AP1644="NX","NX – RT À REFAIRE",IF(IF(AO1644=1,AD1644,IF(AO1644=2,AI1644,""))="A","RÉPARÉ – À RADIOGRAPHIER",IF(IF(AO1644=1,AD1644,IF(AO1644=2,AI1644,""))="R","VT REJETÉ – À REPRENDRE",IF(OR(AP1644="CO",AP1644="NT"),"COUPE – À RESOUDER","À RÉPARER"))))))))))</f>
        <v>ACCEPTÉ</v>
      </c>
      <c r="AR1644" s="82" t="str">
        <f aca="false">IF(AND(ISNUMBER(U1644),OR(AQ1644="À RADIOGRAPHIER",AQ1644="RÉPARÉ – À RADIOGRAPHIER",AQ1644="NX – RT À REFAIRE",AQ1644="À RÉPARER",AQ1644="COUPE – À RESOUDER",AQ1644="VT REJETÉ – À REPRENDRE")),MAX(0,'PROGRAMME RT'!$C$4-U1644),"")</f>
        <v/>
      </c>
      <c r="AS1644" s="82" t="n">
        <f aca="false">IF(AND(OR(AQ1644="À RADIOGRAPHIER",AQ1644="RÉPARÉ – À RADIOGRAPHIER",AQ1644="NX – RT À REFAIRE"),OR('PROGRAMME RT'!$D$5="TOUTES",B1644='PROGRAMME RT'!$D$5)),1,0)</f>
        <v>0</v>
      </c>
      <c r="AT1644" s="82" t="str">
        <f aca="false">IF(AS1644=1,SUM(AS$7:AS1644),"")</f>
        <v/>
      </c>
      <c r="AU1644" s="82" t="n">
        <f aca="false">IF(AND(OR(AA1644="R",AA1644="NX",AA1644="NT",AA1644="CO"),OR('JOINTS DE RÉPARATION'!$D$5="TOUTES",B1644='JOINTS DE RÉPARATION'!$D$5),OR('JOINTS DE RÉPARATION'!$L$4="TOUS",AQ1644&lt;&gt;"ACCEPTÉ")),1,0)</f>
        <v>0</v>
      </c>
      <c r="AV1644" s="82" t="str">
        <f aca="false">IF(AU1644=1,SUM(AU$7:AU1644),"")</f>
        <v/>
      </c>
      <c r="AW1644" s="82" t="str">
        <f aca="false">IF(E1644="","",B1644&amp;"|"&amp;E1644)</f>
        <v>MFD-ISW → MFD-CPF|JN°1329</v>
      </c>
    </row>
    <row r="1645" customFormat="false" ht="74.6" hidden="false" customHeight="false" outlineLevel="0" collapsed="false">
      <c r="A1645" s="79" t="n">
        <f aca="false">IF(E1645="","",ROW()-6)</f>
        <v>1639</v>
      </c>
      <c r="B1645" s="80" t="s">
        <v>110</v>
      </c>
      <c r="C1645" s="81" t="s">
        <v>1971</v>
      </c>
      <c r="D1645" s="81" t="n">
        <v>14</v>
      </c>
      <c r="E1645" s="81" t="s">
        <v>1994</v>
      </c>
      <c r="F1645" s="82" t="str">
        <f aca="false">IF(E1645="","",IF(LEFT(E1645,2)="DJ","DJ","JN"))</f>
        <v>DJ</v>
      </c>
      <c r="G1645" s="81"/>
      <c r="H1645" s="81" t="s">
        <v>871</v>
      </c>
      <c r="I1645" s="81" t="n">
        <v>9.53</v>
      </c>
      <c r="J1645" s="81" t="s">
        <v>872</v>
      </c>
      <c r="K1645" s="81" t="s">
        <v>873</v>
      </c>
      <c r="L1645" s="81" t="n">
        <v>2080410</v>
      </c>
      <c r="M1645" s="81" t="n">
        <v>15421102</v>
      </c>
      <c r="N1645" s="81" t="n">
        <v>11.94</v>
      </c>
      <c r="O1645" s="81" t="n">
        <v>2094240</v>
      </c>
      <c r="P1645" s="81" t="n">
        <v>15421110</v>
      </c>
      <c r="Q1645" s="81" t="n">
        <v>11.94</v>
      </c>
      <c r="R1645" s="81" t="s">
        <v>963</v>
      </c>
      <c r="S1645" s="81"/>
      <c r="T1645" s="81"/>
      <c r="U1645" s="83" t="n">
        <v>46261</v>
      </c>
      <c r="V1645" s="83" t="n">
        <v>46261</v>
      </c>
      <c r="W1645" s="81" t="s">
        <v>1952</v>
      </c>
      <c r="X1645" s="81" t="s">
        <v>876</v>
      </c>
      <c r="Y1645" s="83" t="n">
        <v>46265</v>
      </c>
      <c r="Z1645" s="81" t="s">
        <v>1968</v>
      </c>
      <c r="AA1645" s="81" t="s">
        <v>876</v>
      </c>
      <c r="AB1645" s="81"/>
      <c r="AC1645" s="81"/>
      <c r="AD1645" s="81"/>
      <c r="AE1645" s="83"/>
      <c r="AF1645" s="81"/>
      <c r="AG1645" s="81"/>
      <c r="AH1645" s="81"/>
      <c r="AI1645" s="81"/>
      <c r="AJ1645" s="83"/>
      <c r="AK1645" s="81"/>
      <c r="AL1645" s="81"/>
      <c r="AM1645" s="83"/>
      <c r="AN1645" s="80"/>
      <c r="AO1645" s="82" t="n">
        <f aca="false">IF(E1645="","",(AA1645&lt;&gt;"")+(AG1645&lt;&gt;"")+(AL1645&lt;&gt;""))</f>
        <v>1</v>
      </c>
      <c r="AP1645" s="82" t="str">
        <f aca="false">IF(AL1645&lt;&gt;"",AL1645,IF(AG1645&lt;&gt;"",AG1645,IF(AA1645&lt;&gt;"",AA1645,"")))</f>
        <v>A</v>
      </c>
      <c r="AQ1645" s="84" t="str">
        <f aca="false">IF(E1645="","",IF(U1645="","À SOUDER",IF(X1645="","VT EN ATTENTE",IF(X1645="R","VT REJETÉ – À REPRENDRE",IF(AP1645="","À RADIOGRAPHIER",IF(AP1645="A","ACCEPTÉ",IF(AP1645="NX","NX – RT À REFAIRE",IF(IF(AO1645=1,AD1645,IF(AO1645=2,AI1645,""))="A","RÉPARÉ – À RADIOGRAPHIER",IF(IF(AO1645=1,AD1645,IF(AO1645=2,AI1645,""))="R","VT REJETÉ – À REPRENDRE",IF(OR(AP1645="CO",AP1645="NT"),"COUPE – À RESOUDER","À RÉPARER"))))))))))</f>
        <v>ACCEPTÉ</v>
      </c>
      <c r="AR1645" s="82" t="str">
        <f aca="false">IF(AND(ISNUMBER(U1645),OR(AQ1645="À RADIOGRAPHIER",AQ1645="RÉPARÉ – À RADIOGRAPHIER",AQ1645="NX – RT À REFAIRE",AQ1645="À RÉPARER",AQ1645="COUPE – À RESOUDER",AQ1645="VT REJETÉ – À REPRENDRE")),MAX(0,'PROGRAMME RT'!$C$4-U1645),"")</f>
        <v/>
      </c>
      <c r="AS1645" s="82" t="n">
        <f aca="false">IF(AND(OR(AQ1645="À RADIOGRAPHIER",AQ1645="RÉPARÉ – À RADIOGRAPHIER",AQ1645="NX – RT À REFAIRE"),OR('PROGRAMME RT'!$D$5="TOUTES",B1645='PROGRAMME RT'!$D$5)),1,0)</f>
        <v>0</v>
      </c>
      <c r="AT1645" s="82" t="str">
        <f aca="false">IF(AS1645=1,SUM(AS$7:AS1645),"")</f>
        <v/>
      </c>
      <c r="AU1645" s="82" t="n">
        <f aca="false">IF(AND(OR(AA1645="R",AA1645="NX",AA1645="NT",AA1645="CO"),OR('JOINTS DE RÉPARATION'!$D$5="TOUTES",B1645='JOINTS DE RÉPARATION'!$D$5),OR('JOINTS DE RÉPARATION'!$L$4="TOUS",AQ1645&lt;&gt;"ACCEPTÉ")),1,0)</f>
        <v>0</v>
      </c>
      <c r="AV1645" s="82" t="str">
        <f aca="false">IF(AU1645=1,SUM(AU$7:AU1645),"")</f>
        <v/>
      </c>
      <c r="AW1645" s="82" t="str">
        <f aca="false">IF(E1645="","",B1645&amp;"|"&amp;E1645)</f>
        <v>MFD-ISW → MFD-CPF|DJ°166</v>
      </c>
    </row>
    <row r="1646" customFormat="false" ht="74.6" hidden="false" customHeight="false" outlineLevel="0" collapsed="false">
      <c r="A1646" s="79" t="n">
        <f aca="false">IF(E1646="","",ROW()-6)</f>
        <v>1640</v>
      </c>
      <c r="B1646" s="80" t="s">
        <v>110</v>
      </c>
      <c r="C1646" s="81" t="s">
        <v>1971</v>
      </c>
      <c r="D1646" s="81" t="n">
        <v>14</v>
      </c>
      <c r="E1646" s="81" t="s">
        <v>1995</v>
      </c>
      <c r="F1646" s="82" t="str">
        <f aca="false">IF(E1646="","",IF(LEFT(E1646,2)="DJ","DJ","JN"))</f>
        <v>JN</v>
      </c>
      <c r="G1646" s="81" t="s">
        <v>1504</v>
      </c>
      <c r="H1646" s="81" t="s">
        <v>871</v>
      </c>
      <c r="I1646" s="81" t="n">
        <v>9.53</v>
      </c>
      <c r="J1646" s="81" t="s">
        <v>872</v>
      </c>
      <c r="K1646" s="81" t="s">
        <v>879</v>
      </c>
      <c r="L1646" s="81" t="n">
        <v>2094240</v>
      </c>
      <c r="M1646" s="81" t="n">
        <v>15421110</v>
      </c>
      <c r="N1646" s="81" t="n">
        <v>11.94</v>
      </c>
      <c r="O1646" s="81" t="n">
        <v>2079760</v>
      </c>
      <c r="P1646" s="81" t="n">
        <v>15421112</v>
      </c>
      <c r="Q1646" s="81" t="n">
        <v>11.94</v>
      </c>
      <c r="R1646" s="81" t="s">
        <v>1938</v>
      </c>
      <c r="S1646" s="81"/>
      <c r="T1646" s="81"/>
      <c r="U1646" s="83" t="n">
        <v>46274</v>
      </c>
      <c r="V1646" s="83" t="n">
        <v>46274</v>
      </c>
      <c r="W1646" s="81" t="s">
        <v>1991</v>
      </c>
      <c r="X1646" s="81" t="s">
        <v>876</v>
      </c>
      <c r="Y1646" s="83" t="n">
        <v>46279</v>
      </c>
      <c r="Z1646" s="81" t="s">
        <v>1963</v>
      </c>
      <c r="AA1646" s="81" t="s">
        <v>876</v>
      </c>
      <c r="AB1646" s="81"/>
      <c r="AC1646" s="81"/>
      <c r="AD1646" s="81"/>
      <c r="AE1646" s="83"/>
      <c r="AF1646" s="81"/>
      <c r="AG1646" s="81"/>
      <c r="AH1646" s="81"/>
      <c r="AI1646" s="81"/>
      <c r="AJ1646" s="83"/>
      <c r="AK1646" s="81"/>
      <c r="AL1646" s="81"/>
      <c r="AM1646" s="83"/>
      <c r="AN1646" s="80"/>
      <c r="AO1646" s="82" t="n">
        <f aca="false">IF(E1646="","",(AA1646&lt;&gt;"")+(AG1646&lt;&gt;"")+(AL1646&lt;&gt;""))</f>
        <v>1</v>
      </c>
      <c r="AP1646" s="82" t="str">
        <f aca="false">IF(AL1646&lt;&gt;"",AL1646,IF(AG1646&lt;&gt;"",AG1646,IF(AA1646&lt;&gt;"",AA1646,"")))</f>
        <v>A</v>
      </c>
      <c r="AQ1646" s="84" t="str">
        <f aca="false">IF(E1646="","",IF(U1646="","À SOUDER",IF(X1646="","VT EN ATTENTE",IF(X1646="R","VT REJETÉ – À REPRENDRE",IF(AP1646="","À RADIOGRAPHIER",IF(AP1646="A","ACCEPTÉ",IF(AP1646="NX","NX – RT À REFAIRE",IF(IF(AO1646=1,AD1646,IF(AO1646=2,AI1646,""))="A","RÉPARÉ – À RADIOGRAPHIER",IF(IF(AO1646=1,AD1646,IF(AO1646=2,AI1646,""))="R","VT REJETÉ – À REPRENDRE",IF(OR(AP1646="CO",AP1646="NT"),"COUPE – À RESOUDER","À RÉPARER"))))))))))</f>
        <v>ACCEPTÉ</v>
      </c>
      <c r="AR1646" s="82" t="str">
        <f aca="false">IF(AND(ISNUMBER(U1646),OR(AQ1646="À RADIOGRAPHIER",AQ1646="RÉPARÉ – À RADIOGRAPHIER",AQ1646="NX – RT À REFAIRE",AQ1646="À RÉPARER",AQ1646="COUPE – À RESOUDER",AQ1646="VT REJETÉ – À REPRENDRE")),MAX(0,'PROGRAMME RT'!$C$4-U1646),"")</f>
        <v/>
      </c>
      <c r="AS1646" s="82" t="n">
        <f aca="false">IF(AND(OR(AQ1646="À RADIOGRAPHIER",AQ1646="RÉPARÉ – À RADIOGRAPHIER",AQ1646="NX – RT À REFAIRE"),OR('PROGRAMME RT'!$D$5="TOUTES",B1646='PROGRAMME RT'!$D$5)),1,0)</f>
        <v>0</v>
      </c>
      <c r="AT1646" s="82" t="str">
        <f aca="false">IF(AS1646=1,SUM(AS$7:AS1646),"")</f>
        <v/>
      </c>
      <c r="AU1646" s="82" t="n">
        <f aca="false">IF(AND(OR(AA1646="R",AA1646="NX",AA1646="NT",AA1646="CO"),OR('JOINTS DE RÉPARATION'!$D$5="TOUTES",B1646='JOINTS DE RÉPARATION'!$D$5),OR('JOINTS DE RÉPARATION'!$L$4="TOUS",AQ1646&lt;&gt;"ACCEPTÉ")),1,0)</f>
        <v>0</v>
      </c>
      <c r="AV1646" s="82" t="str">
        <f aca="false">IF(AU1646=1,SUM(AU$7:AU1646),"")</f>
        <v/>
      </c>
      <c r="AW1646" s="82" t="str">
        <f aca="false">IF(E1646="","",B1646&amp;"|"&amp;E1646)</f>
        <v>MFD-ISW → MFD-CPF|JN°1330</v>
      </c>
    </row>
    <row r="1647" customFormat="false" ht="74.6" hidden="false" customHeight="false" outlineLevel="0" collapsed="false">
      <c r="A1647" s="79" t="n">
        <f aca="false">IF(E1647="","",ROW()-6)</f>
        <v>1641</v>
      </c>
      <c r="B1647" s="80" t="s">
        <v>110</v>
      </c>
      <c r="C1647" s="81" t="s">
        <v>1971</v>
      </c>
      <c r="D1647" s="81" t="n">
        <v>14</v>
      </c>
      <c r="E1647" s="81" t="s">
        <v>1996</v>
      </c>
      <c r="F1647" s="82" t="str">
        <f aca="false">IF(E1647="","",IF(LEFT(E1647,2)="DJ","DJ","JN"))</f>
        <v>DJ</v>
      </c>
      <c r="G1647" s="81"/>
      <c r="H1647" s="81" t="s">
        <v>871</v>
      </c>
      <c r="I1647" s="81" t="n">
        <v>9.53</v>
      </c>
      <c r="J1647" s="81" t="s">
        <v>872</v>
      </c>
      <c r="K1647" s="81" t="s">
        <v>873</v>
      </c>
      <c r="L1647" s="81" t="n">
        <v>2079760</v>
      </c>
      <c r="M1647" s="81" t="n">
        <v>15421112</v>
      </c>
      <c r="N1647" s="81" t="n">
        <v>11.94</v>
      </c>
      <c r="O1647" s="81" t="n">
        <v>2096170</v>
      </c>
      <c r="P1647" s="81" t="n">
        <v>15421111</v>
      </c>
      <c r="Q1647" s="81" t="n">
        <v>11.94</v>
      </c>
      <c r="R1647" s="81" t="s">
        <v>963</v>
      </c>
      <c r="S1647" s="81"/>
      <c r="T1647" s="81"/>
      <c r="U1647" s="83" t="n">
        <v>46264</v>
      </c>
      <c r="V1647" s="83" t="n">
        <v>46264</v>
      </c>
      <c r="W1647" s="81" t="s">
        <v>1895</v>
      </c>
      <c r="X1647" s="81" t="s">
        <v>876</v>
      </c>
      <c r="Y1647" s="83" t="n">
        <v>46265</v>
      </c>
      <c r="Z1647" s="81" t="s">
        <v>1965</v>
      </c>
      <c r="AA1647" s="81" t="s">
        <v>876</v>
      </c>
      <c r="AB1647" s="81"/>
      <c r="AC1647" s="81"/>
      <c r="AD1647" s="81"/>
      <c r="AE1647" s="83"/>
      <c r="AF1647" s="81"/>
      <c r="AG1647" s="81"/>
      <c r="AH1647" s="81"/>
      <c r="AI1647" s="81"/>
      <c r="AJ1647" s="83"/>
      <c r="AK1647" s="81"/>
      <c r="AL1647" s="81"/>
      <c r="AM1647" s="83"/>
      <c r="AN1647" s="80"/>
      <c r="AO1647" s="82" t="n">
        <f aca="false">IF(E1647="","",(AA1647&lt;&gt;"")+(AG1647&lt;&gt;"")+(AL1647&lt;&gt;""))</f>
        <v>1</v>
      </c>
      <c r="AP1647" s="82" t="str">
        <f aca="false">IF(AL1647&lt;&gt;"",AL1647,IF(AG1647&lt;&gt;"",AG1647,IF(AA1647&lt;&gt;"",AA1647,"")))</f>
        <v>A</v>
      </c>
      <c r="AQ1647" s="84" t="str">
        <f aca="false">IF(E1647="","",IF(U1647="","À SOUDER",IF(X1647="","VT EN ATTENTE",IF(X1647="R","VT REJETÉ – À REPRENDRE",IF(AP1647="","À RADIOGRAPHIER",IF(AP1647="A","ACCEPTÉ",IF(AP1647="NX","NX – RT À REFAIRE",IF(IF(AO1647=1,AD1647,IF(AO1647=2,AI1647,""))="A","RÉPARÉ – À RADIOGRAPHIER",IF(IF(AO1647=1,AD1647,IF(AO1647=2,AI1647,""))="R","VT REJETÉ – À REPRENDRE",IF(OR(AP1647="CO",AP1647="NT"),"COUPE – À RESOUDER","À RÉPARER"))))))))))</f>
        <v>ACCEPTÉ</v>
      </c>
      <c r="AR1647" s="82" t="str">
        <f aca="false">IF(AND(ISNUMBER(U1647),OR(AQ1647="À RADIOGRAPHIER",AQ1647="RÉPARÉ – À RADIOGRAPHIER",AQ1647="NX – RT À REFAIRE",AQ1647="À RÉPARER",AQ1647="COUPE – À RESOUDER",AQ1647="VT REJETÉ – À REPRENDRE")),MAX(0,'PROGRAMME RT'!$C$4-U1647),"")</f>
        <v/>
      </c>
      <c r="AS1647" s="82" t="n">
        <f aca="false">IF(AND(OR(AQ1647="À RADIOGRAPHIER",AQ1647="RÉPARÉ – À RADIOGRAPHIER",AQ1647="NX – RT À REFAIRE"),OR('PROGRAMME RT'!$D$5="TOUTES",B1647='PROGRAMME RT'!$D$5)),1,0)</f>
        <v>0</v>
      </c>
      <c r="AT1647" s="82" t="str">
        <f aca="false">IF(AS1647=1,SUM(AS$7:AS1647),"")</f>
        <v/>
      </c>
      <c r="AU1647" s="82" t="n">
        <f aca="false">IF(AND(OR(AA1647="R",AA1647="NX",AA1647="NT",AA1647="CO"),OR('JOINTS DE RÉPARATION'!$D$5="TOUTES",B1647='JOINTS DE RÉPARATION'!$D$5),OR('JOINTS DE RÉPARATION'!$L$4="TOUS",AQ1647&lt;&gt;"ACCEPTÉ")),1,0)</f>
        <v>0</v>
      </c>
      <c r="AV1647" s="82" t="str">
        <f aca="false">IF(AU1647=1,SUM(AU$7:AU1647),"")</f>
        <v/>
      </c>
      <c r="AW1647" s="82" t="str">
        <f aca="false">IF(E1647="","",B1647&amp;"|"&amp;E1647)</f>
        <v>MFD-ISW → MFD-CPF|DJ°207</v>
      </c>
    </row>
    <row r="1648" customFormat="false" ht="74.6" hidden="false" customHeight="false" outlineLevel="0" collapsed="false">
      <c r="A1648" s="79" t="n">
        <f aca="false">IF(E1648="","",ROW()-6)</f>
        <v>1642</v>
      </c>
      <c r="B1648" s="80" t="s">
        <v>110</v>
      </c>
      <c r="C1648" s="81" t="s">
        <v>1971</v>
      </c>
      <c r="D1648" s="81" t="n">
        <v>14</v>
      </c>
      <c r="E1648" s="81" t="s">
        <v>1997</v>
      </c>
      <c r="F1648" s="82" t="str">
        <f aca="false">IF(E1648="","",IF(LEFT(E1648,2)="DJ","DJ","JN"))</f>
        <v>JN</v>
      </c>
      <c r="G1648" s="81" t="s">
        <v>1504</v>
      </c>
      <c r="H1648" s="81" t="s">
        <v>871</v>
      </c>
      <c r="I1648" s="81" t="n">
        <v>9.53</v>
      </c>
      <c r="J1648" s="81" t="s">
        <v>872</v>
      </c>
      <c r="K1648" s="81" t="s">
        <v>879</v>
      </c>
      <c r="L1648" s="81" t="n">
        <v>2096170</v>
      </c>
      <c r="M1648" s="81" t="n">
        <v>15421111</v>
      </c>
      <c r="N1648" s="81" t="n">
        <v>11.94</v>
      </c>
      <c r="O1648" s="81" t="n">
        <v>2092510</v>
      </c>
      <c r="P1648" s="81" t="n">
        <v>15421110</v>
      </c>
      <c r="Q1648" s="81" t="n">
        <v>11.94</v>
      </c>
      <c r="R1648" s="81" t="s">
        <v>1938</v>
      </c>
      <c r="S1648" s="81"/>
      <c r="T1648" s="81"/>
      <c r="U1648" s="83" t="n">
        <v>46274</v>
      </c>
      <c r="V1648" s="83" t="n">
        <v>46274</v>
      </c>
      <c r="W1648" s="81" t="s">
        <v>1991</v>
      </c>
      <c r="X1648" s="81" t="s">
        <v>876</v>
      </c>
      <c r="Y1648" s="83" t="n">
        <v>46279</v>
      </c>
      <c r="Z1648" s="81" t="s">
        <v>1963</v>
      </c>
      <c r="AA1648" s="81" t="s">
        <v>876</v>
      </c>
      <c r="AB1648" s="81"/>
      <c r="AC1648" s="81"/>
      <c r="AD1648" s="81"/>
      <c r="AE1648" s="83"/>
      <c r="AF1648" s="81"/>
      <c r="AG1648" s="81"/>
      <c r="AH1648" s="81"/>
      <c r="AI1648" s="81"/>
      <c r="AJ1648" s="83"/>
      <c r="AK1648" s="81"/>
      <c r="AL1648" s="81"/>
      <c r="AM1648" s="83"/>
      <c r="AN1648" s="80"/>
      <c r="AO1648" s="82" t="n">
        <f aca="false">IF(E1648="","",(AA1648&lt;&gt;"")+(AG1648&lt;&gt;"")+(AL1648&lt;&gt;""))</f>
        <v>1</v>
      </c>
      <c r="AP1648" s="82" t="str">
        <f aca="false">IF(AL1648&lt;&gt;"",AL1648,IF(AG1648&lt;&gt;"",AG1648,IF(AA1648&lt;&gt;"",AA1648,"")))</f>
        <v>A</v>
      </c>
      <c r="AQ1648" s="84" t="str">
        <f aca="false">IF(E1648="","",IF(U1648="","À SOUDER",IF(X1648="","VT EN ATTENTE",IF(X1648="R","VT REJETÉ – À REPRENDRE",IF(AP1648="","À RADIOGRAPHIER",IF(AP1648="A","ACCEPTÉ",IF(AP1648="NX","NX – RT À REFAIRE",IF(IF(AO1648=1,AD1648,IF(AO1648=2,AI1648,""))="A","RÉPARÉ – À RADIOGRAPHIER",IF(IF(AO1648=1,AD1648,IF(AO1648=2,AI1648,""))="R","VT REJETÉ – À REPRENDRE",IF(OR(AP1648="CO",AP1648="NT"),"COUPE – À RESOUDER","À RÉPARER"))))))))))</f>
        <v>ACCEPTÉ</v>
      </c>
      <c r="AR1648" s="82" t="str">
        <f aca="false">IF(AND(ISNUMBER(U1648),OR(AQ1648="À RADIOGRAPHIER",AQ1648="RÉPARÉ – À RADIOGRAPHIER",AQ1648="NX – RT À REFAIRE",AQ1648="À RÉPARER",AQ1648="COUPE – À RESOUDER",AQ1648="VT REJETÉ – À REPRENDRE")),MAX(0,'PROGRAMME RT'!$C$4-U1648),"")</f>
        <v/>
      </c>
      <c r="AS1648" s="82" t="n">
        <f aca="false">IF(AND(OR(AQ1648="À RADIOGRAPHIER",AQ1648="RÉPARÉ – À RADIOGRAPHIER",AQ1648="NX – RT À REFAIRE"),OR('PROGRAMME RT'!$D$5="TOUTES",B1648='PROGRAMME RT'!$D$5)),1,0)</f>
        <v>0</v>
      </c>
      <c r="AT1648" s="82" t="str">
        <f aca="false">IF(AS1648=1,SUM(AS$7:AS1648),"")</f>
        <v/>
      </c>
      <c r="AU1648" s="82" t="n">
        <f aca="false">IF(AND(OR(AA1648="R",AA1648="NX",AA1648="NT",AA1648="CO"),OR('JOINTS DE RÉPARATION'!$D$5="TOUTES",B1648='JOINTS DE RÉPARATION'!$D$5),OR('JOINTS DE RÉPARATION'!$L$4="TOUS",AQ1648&lt;&gt;"ACCEPTÉ")),1,0)</f>
        <v>0</v>
      </c>
      <c r="AV1648" s="82" t="str">
        <f aca="false">IF(AU1648=1,SUM(AU$7:AU1648),"")</f>
        <v/>
      </c>
      <c r="AW1648" s="82" t="str">
        <f aca="false">IF(E1648="","",B1648&amp;"|"&amp;E1648)</f>
        <v>MFD-ISW → MFD-CPF|JN°1331</v>
      </c>
    </row>
    <row r="1649" customFormat="false" ht="74.6" hidden="false" customHeight="false" outlineLevel="0" collapsed="false">
      <c r="A1649" s="79" t="n">
        <f aca="false">IF(E1649="","",ROW()-6)</f>
        <v>1643</v>
      </c>
      <c r="B1649" s="80" t="s">
        <v>110</v>
      </c>
      <c r="C1649" s="81" t="s">
        <v>1971</v>
      </c>
      <c r="D1649" s="81" t="n">
        <v>14</v>
      </c>
      <c r="E1649" s="81" t="s">
        <v>1998</v>
      </c>
      <c r="F1649" s="82" t="str">
        <f aca="false">IF(E1649="","",IF(LEFT(E1649,2)="DJ","DJ","JN"))</f>
        <v>DJ</v>
      </c>
      <c r="G1649" s="81"/>
      <c r="H1649" s="81" t="s">
        <v>871</v>
      </c>
      <c r="I1649" s="81" t="n">
        <v>9.53</v>
      </c>
      <c r="J1649" s="81" t="s">
        <v>872</v>
      </c>
      <c r="K1649" s="81" t="s">
        <v>873</v>
      </c>
      <c r="L1649" s="81" t="n">
        <v>2092510</v>
      </c>
      <c r="M1649" s="81" t="n">
        <v>15421110</v>
      </c>
      <c r="N1649" s="81" t="n">
        <v>11.94</v>
      </c>
      <c r="O1649" s="81" t="n">
        <v>2098560</v>
      </c>
      <c r="P1649" s="81" t="n">
        <v>15421112</v>
      </c>
      <c r="Q1649" s="81" t="n">
        <v>11.94</v>
      </c>
      <c r="R1649" s="81" t="s">
        <v>1135</v>
      </c>
      <c r="S1649" s="81"/>
      <c r="T1649" s="81"/>
      <c r="U1649" s="83" t="n">
        <v>46264</v>
      </c>
      <c r="V1649" s="83" t="n">
        <v>46264</v>
      </c>
      <c r="W1649" s="81" t="s">
        <v>1895</v>
      </c>
      <c r="X1649" s="81" t="s">
        <v>876</v>
      </c>
      <c r="Y1649" s="83" t="n">
        <v>46265</v>
      </c>
      <c r="Z1649" s="81" t="s">
        <v>1968</v>
      </c>
      <c r="AA1649" s="81" t="s">
        <v>876</v>
      </c>
      <c r="AB1649" s="81"/>
      <c r="AC1649" s="81"/>
      <c r="AD1649" s="81"/>
      <c r="AE1649" s="83"/>
      <c r="AF1649" s="81"/>
      <c r="AG1649" s="81"/>
      <c r="AH1649" s="81"/>
      <c r="AI1649" s="81"/>
      <c r="AJ1649" s="83"/>
      <c r="AK1649" s="81"/>
      <c r="AL1649" s="81"/>
      <c r="AM1649" s="83"/>
      <c r="AN1649" s="80"/>
      <c r="AO1649" s="82" t="n">
        <f aca="false">IF(E1649="","",(AA1649&lt;&gt;"")+(AG1649&lt;&gt;"")+(AL1649&lt;&gt;""))</f>
        <v>1</v>
      </c>
      <c r="AP1649" s="82" t="str">
        <f aca="false">IF(AL1649&lt;&gt;"",AL1649,IF(AG1649&lt;&gt;"",AG1649,IF(AA1649&lt;&gt;"",AA1649,"")))</f>
        <v>A</v>
      </c>
      <c r="AQ1649" s="84" t="str">
        <f aca="false">IF(E1649="","",IF(U1649="","À SOUDER",IF(X1649="","VT EN ATTENTE",IF(X1649="R","VT REJETÉ – À REPRENDRE",IF(AP1649="","À RADIOGRAPHIER",IF(AP1649="A","ACCEPTÉ",IF(AP1649="NX","NX – RT À REFAIRE",IF(IF(AO1649=1,AD1649,IF(AO1649=2,AI1649,""))="A","RÉPARÉ – À RADIOGRAPHIER",IF(IF(AO1649=1,AD1649,IF(AO1649=2,AI1649,""))="R","VT REJETÉ – À REPRENDRE",IF(OR(AP1649="CO",AP1649="NT"),"COUPE – À RESOUDER","À RÉPARER"))))))))))</f>
        <v>ACCEPTÉ</v>
      </c>
      <c r="AR1649" s="82" t="str">
        <f aca="false">IF(AND(ISNUMBER(U1649),OR(AQ1649="À RADIOGRAPHIER",AQ1649="RÉPARÉ – À RADIOGRAPHIER",AQ1649="NX – RT À REFAIRE",AQ1649="À RÉPARER",AQ1649="COUPE – À RESOUDER",AQ1649="VT REJETÉ – À REPRENDRE")),MAX(0,'PROGRAMME RT'!$C$4-U1649),"")</f>
        <v/>
      </c>
      <c r="AS1649" s="82" t="n">
        <f aca="false">IF(AND(OR(AQ1649="À RADIOGRAPHIER",AQ1649="RÉPARÉ – À RADIOGRAPHIER",AQ1649="NX – RT À REFAIRE"),OR('PROGRAMME RT'!$D$5="TOUTES",B1649='PROGRAMME RT'!$D$5)),1,0)</f>
        <v>0</v>
      </c>
      <c r="AT1649" s="82" t="str">
        <f aca="false">IF(AS1649=1,SUM(AS$7:AS1649),"")</f>
        <v/>
      </c>
      <c r="AU1649" s="82" t="n">
        <f aca="false">IF(AND(OR(AA1649="R",AA1649="NX",AA1649="NT",AA1649="CO"),OR('JOINTS DE RÉPARATION'!$D$5="TOUTES",B1649='JOINTS DE RÉPARATION'!$D$5),OR('JOINTS DE RÉPARATION'!$L$4="TOUS",AQ1649&lt;&gt;"ACCEPTÉ")),1,0)</f>
        <v>0</v>
      </c>
      <c r="AV1649" s="82" t="str">
        <f aca="false">IF(AU1649=1,SUM(AU$7:AU1649),"")</f>
        <v/>
      </c>
      <c r="AW1649" s="82" t="str">
        <f aca="false">IF(E1649="","",B1649&amp;"|"&amp;E1649)</f>
        <v>MFD-ISW → MFD-CPF|DJ°203</v>
      </c>
    </row>
    <row r="1650" customFormat="false" ht="74.6" hidden="false" customHeight="false" outlineLevel="0" collapsed="false">
      <c r="A1650" s="79" t="n">
        <f aca="false">IF(E1650="","",ROW()-6)</f>
        <v>1644</v>
      </c>
      <c r="B1650" s="80" t="s">
        <v>110</v>
      </c>
      <c r="C1650" s="81" t="s">
        <v>1971</v>
      </c>
      <c r="D1650" s="81" t="n">
        <v>14</v>
      </c>
      <c r="E1650" s="81" t="s">
        <v>1999</v>
      </c>
      <c r="F1650" s="82" t="str">
        <f aca="false">IF(E1650="","",IF(LEFT(E1650,2)="DJ","DJ","JN"))</f>
        <v>JN</v>
      </c>
      <c r="G1650" s="81" t="s">
        <v>1504</v>
      </c>
      <c r="H1650" s="81" t="s">
        <v>871</v>
      </c>
      <c r="I1650" s="81" t="n">
        <v>9.53</v>
      </c>
      <c r="J1650" s="81" t="s">
        <v>872</v>
      </c>
      <c r="K1650" s="81" t="s">
        <v>1861</v>
      </c>
      <c r="L1650" s="81" t="n">
        <v>2098560</v>
      </c>
      <c r="M1650" s="81" t="n">
        <v>15421112</v>
      </c>
      <c r="N1650" s="81" t="n">
        <v>11.94</v>
      </c>
      <c r="O1650" s="81" t="n">
        <v>2092490</v>
      </c>
      <c r="P1650" s="81" t="n">
        <v>15421110</v>
      </c>
      <c r="Q1650" s="81" t="n">
        <v>11.94</v>
      </c>
      <c r="R1650" s="81" t="s">
        <v>1884</v>
      </c>
      <c r="S1650" s="81"/>
      <c r="T1650" s="81"/>
      <c r="U1650" s="83" t="n">
        <v>46290</v>
      </c>
      <c r="V1650" s="83" t="n">
        <v>46290</v>
      </c>
      <c r="W1650" s="81" t="s">
        <v>1984</v>
      </c>
      <c r="X1650" s="81" t="s">
        <v>876</v>
      </c>
      <c r="Y1650" s="83"/>
      <c r="Z1650" s="81"/>
      <c r="AA1650" s="81"/>
      <c r="AB1650" s="81" t="s">
        <v>1985</v>
      </c>
      <c r="AC1650" s="81"/>
      <c r="AD1650" s="81"/>
      <c r="AE1650" s="83"/>
      <c r="AF1650" s="81"/>
      <c r="AG1650" s="81"/>
      <c r="AH1650" s="81"/>
      <c r="AI1650" s="81"/>
      <c r="AJ1650" s="83"/>
      <c r="AK1650" s="81"/>
      <c r="AL1650" s="81"/>
      <c r="AM1650" s="83"/>
      <c r="AN1650" s="80"/>
      <c r="AO1650" s="82" t="n">
        <f aca="false">IF(E1650="","",(AA1650&lt;&gt;"")+(AG1650&lt;&gt;"")+(AL1650&lt;&gt;""))</f>
        <v>0</v>
      </c>
      <c r="AP1650" s="82" t="str">
        <f aca="false">IF(AL1650&lt;&gt;"",AL1650,IF(AG1650&lt;&gt;"",AG1650,IF(AA1650&lt;&gt;"",AA1650,"")))</f>
        <v/>
      </c>
      <c r="AQ1650" s="84" t="str">
        <f aca="false">IF(E1650="","",IF(U1650="","À SOUDER",IF(X1650="","VT EN ATTENTE",IF(X1650="R","VT REJETÉ – À REPRENDRE",IF(AP1650="","À RADIOGRAPHIER",IF(AP1650="A","ACCEPTÉ",IF(AP1650="NX","NX – RT À REFAIRE",IF(IF(AO1650=1,AD1650,IF(AO1650=2,AI1650,""))="A","RÉPARÉ – À RADIOGRAPHIER",IF(IF(AO1650=1,AD1650,IF(AO1650=2,AI1650,""))="R","VT REJETÉ – À REPRENDRE",IF(OR(AP1650="CO",AP1650="NT"),"COUPE – À RESOUDER","À RÉPARER"))))))))))</f>
        <v>À RADIOGRAPHIER</v>
      </c>
      <c r="AR1650" s="82" t="n">
        <f aca="false">IF(AND(ISNUMBER(U1650),OR(AQ1650="À RADIOGRAPHIER",AQ1650="RÉPARÉ – À RADIOGRAPHIER",AQ1650="NX – RT À REFAIRE",AQ1650="À RÉPARER",AQ1650="COUPE – À RESOUDER",AQ1650="VT REJETÉ – À REPRENDRE")),MAX(0,'PROGRAMME RT'!$C$4-U1650),"")</f>
        <v>3</v>
      </c>
      <c r="AS1650" s="82" t="n">
        <f aca="false">IF(AND(OR(AQ1650="À RADIOGRAPHIER",AQ1650="RÉPARÉ – À RADIOGRAPHIER",AQ1650="NX – RT À REFAIRE"),OR('PROGRAMME RT'!$D$5="TOUTES",B1650='PROGRAMME RT'!$D$5)),1,0)</f>
        <v>1</v>
      </c>
      <c r="AT1650" s="82" t="n">
        <f aca="false">IF(AS1650=1,SUM(AS$7:AS1650),"")</f>
        <v>90</v>
      </c>
      <c r="AU1650" s="82" t="n">
        <f aca="false">IF(AND(OR(AA1650="R",AA1650="NX",AA1650="NT",AA1650="CO"),OR('JOINTS DE RÉPARATION'!$D$5="TOUTES",B1650='JOINTS DE RÉPARATION'!$D$5),OR('JOINTS DE RÉPARATION'!$L$4="TOUS",AQ1650&lt;&gt;"ACCEPTÉ")),1,0)</f>
        <v>0</v>
      </c>
      <c r="AV1650" s="82" t="str">
        <f aca="false">IF(AU1650=1,SUM(AU$7:AU1650),"")</f>
        <v/>
      </c>
      <c r="AW1650" s="82" t="str">
        <f aca="false">IF(E1650="","",B1650&amp;"|"&amp;E1650)</f>
        <v>MFD-ISW → MFD-CPF|JN°1332R</v>
      </c>
    </row>
    <row r="1651" customFormat="false" ht="74.6" hidden="false" customHeight="false" outlineLevel="0" collapsed="false">
      <c r="A1651" s="79" t="n">
        <f aca="false">IF(E1651="","",ROW()-6)</f>
        <v>1645</v>
      </c>
      <c r="B1651" s="80" t="s">
        <v>110</v>
      </c>
      <c r="C1651" s="81" t="s">
        <v>1971</v>
      </c>
      <c r="D1651" s="81" t="n">
        <v>14</v>
      </c>
      <c r="E1651" s="81" t="s">
        <v>2000</v>
      </c>
      <c r="F1651" s="82" t="str">
        <f aca="false">IF(E1651="","",IF(LEFT(E1651,2)="DJ","DJ","JN"))</f>
        <v>DJ</v>
      </c>
      <c r="G1651" s="81"/>
      <c r="H1651" s="81" t="s">
        <v>871</v>
      </c>
      <c r="I1651" s="81" t="n">
        <v>9.53</v>
      </c>
      <c r="J1651" s="81" t="s">
        <v>872</v>
      </c>
      <c r="K1651" s="81" t="s">
        <v>873</v>
      </c>
      <c r="L1651" s="81" t="n">
        <v>2092490</v>
      </c>
      <c r="M1651" s="81" t="n">
        <v>15421110</v>
      </c>
      <c r="N1651" s="81" t="n">
        <v>11.94</v>
      </c>
      <c r="O1651" s="81" t="n">
        <v>2098770</v>
      </c>
      <c r="P1651" s="81" t="n">
        <v>15421112</v>
      </c>
      <c r="Q1651" s="81" t="n">
        <v>11.94</v>
      </c>
      <c r="R1651" s="81" t="s">
        <v>1135</v>
      </c>
      <c r="S1651" s="81"/>
      <c r="T1651" s="81"/>
      <c r="U1651" s="83" t="n">
        <v>46264</v>
      </c>
      <c r="V1651" s="83" t="n">
        <v>46264</v>
      </c>
      <c r="W1651" s="81" t="s">
        <v>1895</v>
      </c>
      <c r="X1651" s="81" t="s">
        <v>876</v>
      </c>
      <c r="Y1651" s="83" t="n">
        <v>46265</v>
      </c>
      <c r="Z1651" s="81" t="s">
        <v>1968</v>
      </c>
      <c r="AA1651" s="81" t="s">
        <v>876</v>
      </c>
      <c r="AB1651" s="81"/>
      <c r="AC1651" s="81"/>
      <c r="AD1651" s="81"/>
      <c r="AE1651" s="83"/>
      <c r="AF1651" s="81"/>
      <c r="AG1651" s="81"/>
      <c r="AH1651" s="81"/>
      <c r="AI1651" s="81"/>
      <c r="AJ1651" s="83"/>
      <c r="AK1651" s="81"/>
      <c r="AL1651" s="81"/>
      <c r="AM1651" s="83"/>
      <c r="AN1651" s="80"/>
      <c r="AO1651" s="82" t="n">
        <f aca="false">IF(E1651="","",(AA1651&lt;&gt;"")+(AG1651&lt;&gt;"")+(AL1651&lt;&gt;""))</f>
        <v>1</v>
      </c>
      <c r="AP1651" s="82" t="str">
        <f aca="false">IF(AL1651&lt;&gt;"",AL1651,IF(AG1651&lt;&gt;"",AG1651,IF(AA1651&lt;&gt;"",AA1651,"")))</f>
        <v>A</v>
      </c>
      <c r="AQ1651" s="84" t="str">
        <f aca="false">IF(E1651="","",IF(U1651="","À SOUDER",IF(X1651="","VT EN ATTENTE",IF(X1651="R","VT REJETÉ – À REPRENDRE",IF(AP1651="","À RADIOGRAPHIER",IF(AP1651="A","ACCEPTÉ",IF(AP1651="NX","NX – RT À REFAIRE",IF(IF(AO1651=1,AD1651,IF(AO1651=2,AI1651,""))="A","RÉPARÉ – À RADIOGRAPHIER",IF(IF(AO1651=1,AD1651,IF(AO1651=2,AI1651,""))="R","VT REJETÉ – À REPRENDRE",IF(OR(AP1651="CO",AP1651="NT"),"COUPE – À RESOUDER","À RÉPARER"))))))))))</f>
        <v>ACCEPTÉ</v>
      </c>
      <c r="AR1651" s="82" t="str">
        <f aca="false">IF(AND(ISNUMBER(U1651),OR(AQ1651="À RADIOGRAPHIER",AQ1651="RÉPARÉ – À RADIOGRAPHIER",AQ1651="NX – RT À REFAIRE",AQ1651="À RÉPARER",AQ1651="COUPE – À RESOUDER",AQ1651="VT REJETÉ – À REPRENDRE")),MAX(0,'PROGRAMME RT'!$C$4-U1651),"")</f>
        <v/>
      </c>
      <c r="AS1651" s="82" t="n">
        <f aca="false">IF(AND(OR(AQ1651="À RADIOGRAPHIER",AQ1651="RÉPARÉ – À RADIOGRAPHIER",AQ1651="NX – RT À REFAIRE"),OR('PROGRAMME RT'!$D$5="TOUTES",B1651='PROGRAMME RT'!$D$5)),1,0)</f>
        <v>0</v>
      </c>
      <c r="AT1651" s="82" t="str">
        <f aca="false">IF(AS1651=1,SUM(AS$7:AS1651),"")</f>
        <v/>
      </c>
      <c r="AU1651" s="82" t="n">
        <f aca="false">IF(AND(OR(AA1651="R",AA1651="NX",AA1651="NT",AA1651="CO"),OR('JOINTS DE RÉPARATION'!$D$5="TOUTES",B1651='JOINTS DE RÉPARATION'!$D$5),OR('JOINTS DE RÉPARATION'!$L$4="TOUS",AQ1651&lt;&gt;"ACCEPTÉ")),1,0)</f>
        <v>0</v>
      </c>
      <c r="AV1651" s="82" t="str">
        <f aca="false">IF(AU1651=1,SUM(AU$7:AU1651),"")</f>
        <v/>
      </c>
      <c r="AW1651" s="82" t="str">
        <f aca="false">IF(E1651="","",B1651&amp;"|"&amp;E1651)</f>
        <v>MFD-ISW → MFD-CPF|DJ°206</v>
      </c>
    </row>
    <row r="1652" customFormat="false" ht="74.6" hidden="false" customHeight="false" outlineLevel="0" collapsed="false">
      <c r="A1652" s="79" t="n">
        <f aca="false">IF(E1652="","",ROW()-6)</f>
        <v>1646</v>
      </c>
      <c r="B1652" s="80" t="s">
        <v>110</v>
      </c>
      <c r="C1652" s="81" t="s">
        <v>1971</v>
      </c>
      <c r="D1652" s="81" t="n">
        <v>14</v>
      </c>
      <c r="E1652" s="81" t="s">
        <v>2001</v>
      </c>
      <c r="F1652" s="82" t="str">
        <f aca="false">IF(E1652="","",IF(LEFT(E1652,2)="DJ","DJ","JN"))</f>
        <v>JN</v>
      </c>
      <c r="G1652" s="81" t="s">
        <v>1504</v>
      </c>
      <c r="H1652" s="81" t="s">
        <v>871</v>
      </c>
      <c r="I1652" s="81" t="n">
        <v>9.53</v>
      </c>
      <c r="J1652" s="81" t="s">
        <v>872</v>
      </c>
      <c r="K1652" s="81" t="s">
        <v>879</v>
      </c>
      <c r="L1652" s="81" t="n">
        <v>2098770</v>
      </c>
      <c r="M1652" s="81" t="n">
        <v>15421112</v>
      </c>
      <c r="N1652" s="81" t="n">
        <v>11.94</v>
      </c>
      <c r="O1652" s="81" t="n">
        <v>2083480</v>
      </c>
      <c r="P1652" s="81" t="n">
        <v>15421105</v>
      </c>
      <c r="Q1652" s="81" t="n">
        <v>11.94</v>
      </c>
      <c r="R1652" s="81" t="s">
        <v>1938</v>
      </c>
      <c r="S1652" s="81"/>
      <c r="T1652" s="81"/>
      <c r="U1652" s="83" t="n">
        <v>46274</v>
      </c>
      <c r="V1652" s="83" t="n">
        <v>46274</v>
      </c>
      <c r="W1652" s="81" t="s">
        <v>1991</v>
      </c>
      <c r="X1652" s="81" t="s">
        <v>876</v>
      </c>
      <c r="Y1652" s="83" t="n">
        <v>46279</v>
      </c>
      <c r="Z1652" s="81" t="s">
        <v>1963</v>
      </c>
      <c r="AA1652" s="81" t="s">
        <v>1073</v>
      </c>
      <c r="AB1652" s="81" t="s">
        <v>2002</v>
      </c>
      <c r="AC1652" s="81"/>
      <c r="AD1652" s="81"/>
      <c r="AE1652" s="83"/>
      <c r="AF1652" s="81"/>
      <c r="AG1652" s="81"/>
      <c r="AH1652" s="81"/>
      <c r="AI1652" s="81"/>
      <c r="AJ1652" s="83"/>
      <c r="AK1652" s="81"/>
      <c r="AL1652" s="81"/>
      <c r="AM1652" s="83"/>
      <c r="AN1652" s="80"/>
      <c r="AO1652" s="82" t="n">
        <f aca="false">IF(E1652="","",(AA1652&lt;&gt;"")+(AG1652&lt;&gt;"")+(AL1652&lt;&gt;""))</f>
        <v>1</v>
      </c>
      <c r="AP1652" s="82" t="str">
        <f aca="false">IF(AL1652&lt;&gt;"",AL1652,IF(AG1652&lt;&gt;"",AG1652,IF(AA1652&lt;&gt;"",AA1652,"")))</f>
        <v>R</v>
      </c>
      <c r="AQ1652" s="84" t="str">
        <f aca="false">IF(E1652="","",IF(U1652="","À SOUDER",IF(X1652="","VT EN ATTENTE",IF(X1652="R","VT REJETÉ – À REPRENDRE",IF(AP1652="","À RADIOGRAPHIER",IF(AP1652="A","ACCEPTÉ",IF(AP1652="NX","NX – RT À REFAIRE",IF(IF(AO1652=1,AD1652,IF(AO1652=2,AI1652,""))="A","RÉPARÉ – À RADIOGRAPHIER",IF(IF(AO1652=1,AD1652,IF(AO1652=2,AI1652,""))="R","VT REJETÉ – À REPRENDRE",IF(OR(AP1652="CO",AP1652="NT"),"COUPE – À RESOUDER","À RÉPARER"))))))))))</f>
        <v>À RÉPARER</v>
      </c>
      <c r="AR1652" s="82" t="n">
        <f aca="false">IF(AND(ISNUMBER(U1652),OR(AQ1652="À RADIOGRAPHIER",AQ1652="RÉPARÉ – À RADIOGRAPHIER",AQ1652="NX – RT À REFAIRE",AQ1652="À RÉPARER",AQ1652="COUPE – À RESOUDER",AQ1652="VT REJETÉ – À REPRENDRE")),MAX(0,'PROGRAMME RT'!$C$4-U1652),"")</f>
        <v>19</v>
      </c>
      <c r="AS1652" s="82" t="n">
        <f aca="false">IF(AND(OR(AQ1652="À RADIOGRAPHIER",AQ1652="RÉPARÉ – À RADIOGRAPHIER",AQ1652="NX – RT À REFAIRE"),OR('PROGRAMME RT'!$D$5="TOUTES",B1652='PROGRAMME RT'!$D$5)),1,0)</f>
        <v>0</v>
      </c>
      <c r="AT1652" s="82" t="str">
        <f aca="false">IF(AS1652=1,SUM(AS$7:AS1652),"")</f>
        <v/>
      </c>
      <c r="AU1652" s="82" t="n">
        <f aca="false">IF(AND(OR(AA1652="R",AA1652="NX",AA1652="NT",AA1652="CO"),OR('JOINTS DE RÉPARATION'!$D$5="TOUTES",B1652='JOINTS DE RÉPARATION'!$D$5),OR('JOINTS DE RÉPARATION'!$L$4="TOUS",AQ1652&lt;&gt;"ACCEPTÉ")),1,0)</f>
        <v>1</v>
      </c>
      <c r="AV1652" s="82" t="n">
        <f aca="false">IF(AU1652=1,SUM(AU$7:AU1652),"")</f>
        <v>44</v>
      </c>
      <c r="AW1652" s="82" t="str">
        <f aca="false">IF(E1652="","",B1652&amp;"|"&amp;E1652)</f>
        <v>MFD-ISW → MFD-CPF|JN°1333</v>
      </c>
    </row>
    <row r="1653" customFormat="false" ht="74.6" hidden="false" customHeight="false" outlineLevel="0" collapsed="false">
      <c r="A1653" s="79" t="n">
        <f aca="false">IF(E1653="","",ROW()-6)</f>
        <v>1647</v>
      </c>
      <c r="B1653" s="80" t="s">
        <v>110</v>
      </c>
      <c r="C1653" s="81" t="s">
        <v>1971</v>
      </c>
      <c r="D1653" s="81" t="n">
        <v>14</v>
      </c>
      <c r="E1653" s="81" t="s">
        <v>2003</v>
      </c>
      <c r="F1653" s="82" t="str">
        <f aca="false">IF(E1653="","",IF(LEFT(E1653,2)="DJ","DJ","JN"))</f>
        <v>DJ</v>
      </c>
      <c r="G1653" s="81"/>
      <c r="H1653" s="81" t="s">
        <v>871</v>
      </c>
      <c r="I1653" s="81" t="n">
        <v>9.53</v>
      </c>
      <c r="J1653" s="81" t="s">
        <v>872</v>
      </c>
      <c r="K1653" s="81" t="s">
        <v>873</v>
      </c>
      <c r="L1653" s="81" t="n">
        <v>2083480</v>
      </c>
      <c r="M1653" s="81" t="n">
        <v>15421105</v>
      </c>
      <c r="N1653" s="81" t="n">
        <v>11.94</v>
      </c>
      <c r="O1653" s="81" t="n">
        <v>2091800</v>
      </c>
      <c r="P1653" s="81" t="n">
        <v>15421109</v>
      </c>
      <c r="Q1653" s="81" t="n">
        <v>11.94</v>
      </c>
      <c r="R1653" s="81" t="s">
        <v>1147</v>
      </c>
      <c r="S1653" s="81"/>
      <c r="T1653" s="81"/>
      <c r="U1653" s="83" t="n">
        <v>46264</v>
      </c>
      <c r="V1653" s="83" t="n">
        <v>46264</v>
      </c>
      <c r="W1653" s="81" t="s">
        <v>1895</v>
      </c>
      <c r="X1653" s="81" t="s">
        <v>876</v>
      </c>
      <c r="Y1653" s="83" t="n">
        <v>46265</v>
      </c>
      <c r="Z1653" s="81" t="s">
        <v>1968</v>
      </c>
      <c r="AA1653" s="81" t="s">
        <v>876</v>
      </c>
      <c r="AB1653" s="81"/>
      <c r="AC1653" s="81"/>
      <c r="AD1653" s="81"/>
      <c r="AE1653" s="83"/>
      <c r="AF1653" s="81"/>
      <c r="AG1653" s="81"/>
      <c r="AH1653" s="81"/>
      <c r="AI1653" s="81"/>
      <c r="AJ1653" s="83"/>
      <c r="AK1653" s="81"/>
      <c r="AL1653" s="81"/>
      <c r="AM1653" s="83"/>
      <c r="AN1653" s="80"/>
      <c r="AO1653" s="82" t="n">
        <f aca="false">IF(E1653="","",(AA1653&lt;&gt;"")+(AG1653&lt;&gt;"")+(AL1653&lt;&gt;""))</f>
        <v>1</v>
      </c>
      <c r="AP1653" s="82" t="str">
        <f aca="false">IF(AL1653&lt;&gt;"",AL1653,IF(AG1653&lt;&gt;"",AG1653,IF(AA1653&lt;&gt;"",AA1653,"")))</f>
        <v>A</v>
      </c>
      <c r="AQ1653" s="84" t="str">
        <f aca="false">IF(E1653="","",IF(U1653="","À SOUDER",IF(X1653="","VT EN ATTENTE",IF(X1653="R","VT REJETÉ – À REPRENDRE",IF(AP1653="","À RADIOGRAPHIER",IF(AP1653="A","ACCEPTÉ",IF(AP1653="NX","NX – RT À REFAIRE",IF(IF(AO1653=1,AD1653,IF(AO1653=2,AI1653,""))="A","RÉPARÉ – À RADIOGRAPHIER",IF(IF(AO1653=1,AD1653,IF(AO1653=2,AI1653,""))="R","VT REJETÉ – À REPRENDRE",IF(OR(AP1653="CO",AP1653="NT"),"COUPE – À RESOUDER","À RÉPARER"))))))))))</f>
        <v>ACCEPTÉ</v>
      </c>
      <c r="AR1653" s="82" t="str">
        <f aca="false">IF(AND(ISNUMBER(U1653),OR(AQ1653="À RADIOGRAPHIER",AQ1653="RÉPARÉ – À RADIOGRAPHIER",AQ1653="NX – RT À REFAIRE",AQ1653="À RÉPARER",AQ1653="COUPE – À RESOUDER",AQ1653="VT REJETÉ – À REPRENDRE")),MAX(0,'PROGRAMME RT'!$C$4-U1653),"")</f>
        <v/>
      </c>
      <c r="AS1653" s="82" t="n">
        <f aca="false">IF(AND(OR(AQ1653="À RADIOGRAPHIER",AQ1653="RÉPARÉ – À RADIOGRAPHIER",AQ1653="NX – RT À REFAIRE"),OR('PROGRAMME RT'!$D$5="TOUTES",B1653='PROGRAMME RT'!$D$5)),1,0)</f>
        <v>0</v>
      </c>
      <c r="AT1653" s="82" t="str">
        <f aca="false">IF(AS1653=1,SUM(AS$7:AS1653),"")</f>
        <v/>
      </c>
      <c r="AU1653" s="82" t="n">
        <f aca="false">IF(AND(OR(AA1653="R",AA1653="NX",AA1653="NT",AA1653="CO"),OR('JOINTS DE RÉPARATION'!$D$5="TOUTES",B1653='JOINTS DE RÉPARATION'!$D$5),OR('JOINTS DE RÉPARATION'!$L$4="TOUS",AQ1653&lt;&gt;"ACCEPTÉ")),1,0)</f>
        <v>0</v>
      </c>
      <c r="AV1653" s="82" t="str">
        <f aca="false">IF(AU1653=1,SUM(AU$7:AU1653),"")</f>
        <v/>
      </c>
      <c r="AW1653" s="82" t="str">
        <f aca="false">IF(E1653="","",B1653&amp;"|"&amp;E1653)</f>
        <v>MFD-ISW → MFD-CPF|DJ°197</v>
      </c>
    </row>
    <row r="1654" customFormat="false" ht="74.6" hidden="false" customHeight="false" outlineLevel="0" collapsed="false">
      <c r="A1654" s="79" t="n">
        <f aca="false">IF(E1654="","",ROW()-6)</f>
        <v>1648</v>
      </c>
      <c r="B1654" s="80" t="s">
        <v>110</v>
      </c>
      <c r="C1654" s="81" t="s">
        <v>926</v>
      </c>
      <c r="D1654" s="81" t="n">
        <v>14</v>
      </c>
      <c r="E1654" s="81" t="s">
        <v>2004</v>
      </c>
      <c r="F1654" s="82" t="str">
        <f aca="false">IF(E1654="","",IF(LEFT(E1654,2)="DJ","DJ","JN"))</f>
        <v>JN</v>
      </c>
      <c r="G1654" s="81"/>
      <c r="H1654" s="81"/>
      <c r="I1654" s="81"/>
      <c r="J1654" s="81"/>
      <c r="K1654" s="81"/>
      <c r="L1654" s="81" t="n">
        <v>2091800</v>
      </c>
      <c r="M1654" s="81" t="n">
        <v>15421109</v>
      </c>
      <c r="N1654" s="81" t="n">
        <v>11.94</v>
      </c>
      <c r="O1654" s="81"/>
      <c r="P1654" s="81"/>
      <c r="Q1654" s="81"/>
      <c r="R1654" s="81"/>
      <c r="S1654" s="81"/>
      <c r="T1654" s="81"/>
      <c r="U1654" s="83"/>
      <c r="V1654" s="83"/>
      <c r="W1654" s="81"/>
      <c r="X1654" s="81"/>
      <c r="Y1654" s="83"/>
      <c r="Z1654" s="81"/>
      <c r="AA1654" s="81"/>
      <c r="AB1654" s="81"/>
      <c r="AC1654" s="81"/>
      <c r="AD1654" s="81"/>
      <c r="AE1654" s="83"/>
      <c r="AF1654" s="81"/>
      <c r="AG1654" s="81"/>
      <c r="AH1654" s="81"/>
      <c r="AI1654" s="81"/>
      <c r="AJ1654" s="83"/>
      <c r="AK1654" s="81"/>
      <c r="AL1654" s="81"/>
      <c r="AM1654" s="83"/>
      <c r="AN1654" s="80"/>
      <c r="AO1654" s="82" t="n">
        <f aca="false">IF(E1654="","",(AA1654&lt;&gt;"")+(AG1654&lt;&gt;"")+(AL1654&lt;&gt;""))</f>
        <v>0</v>
      </c>
      <c r="AP1654" s="82" t="str">
        <f aca="false">IF(AL1654&lt;&gt;"",AL1654,IF(AG1654&lt;&gt;"",AG1654,IF(AA1654&lt;&gt;"",AA1654,"")))</f>
        <v/>
      </c>
      <c r="AQ1654" s="84" t="str">
        <f aca="false">IF(E1654="","",IF(U1654="","À SOUDER",IF(X1654="","VT EN ATTENTE",IF(X1654="R","VT REJETÉ – À REPRENDRE",IF(AP1654="","À RADIOGRAPHIER",IF(AP1654="A","ACCEPTÉ",IF(AP1654="NX","NX – RT À REFAIRE",IF(IF(AO1654=1,AD1654,IF(AO1654=2,AI1654,""))="A","RÉPARÉ – À RADIOGRAPHIER",IF(IF(AO1654=1,AD1654,IF(AO1654=2,AI1654,""))="R","VT REJETÉ – À REPRENDRE",IF(OR(AP1654="CO",AP1654="NT"),"COUPE – À RESOUDER","À RÉPARER"))))))))))</f>
        <v>À SOUDER</v>
      </c>
      <c r="AR1654" s="82" t="str">
        <f aca="false">IF(AND(ISNUMBER(U1654),OR(AQ1654="À RADIOGRAPHIER",AQ1654="RÉPARÉ – À RADIOGRAPHIER",AQ1654="NX – RT À REFAIRE",AQ1654="À RÉPARER",AQ1654="COUPE – À RESOUDER",AQ1654="VT REJETÉ – À REPRENDRE")),MAX(0,'PROGRAMME RT'!$C$4-U1654),"")</f>
        <v/>
      </c>
      <c r="AS1654" s="82" t="n">
        <f aca="false">IF(AND(OR(AQ1654="À RADIOGRAPHIER",AQ1654="RÉPARÉ – À RADIOGRAPHIER",AQ1654="NX – RT À REFAIRE"),OR('PROGRAMME RT'!$D$5="TOUTES",B1654='PROGRAMME RT'!$D$5)),1,0)</f>
        <v>0</v>
      </c>
      <c r="AT1654" s="82" t="str">
        <f aca="false">IF(AS1654=1,SUM(AS$7:AS1654),"")</f>
        <v/>
      </c>
      <c r="AU1654" s="82" t="n">
        <f aca="false">IF(AND(OR(AA1654="R",AA1654="NX",AA1654="NT",AA1654="CO"),OR('JOINTS DE RÉPARATION'!$D$5="TOUTES",B1654='JOINTS DE RÉPARATION'!$D$5),OR('JOINTS DE RÉPARATION'!$L$4="TOUS",AQ1654&lt;&gt;"ACCEPTÉ")),1,0)</f>
        <v>0</v>
      </c>
      <c r="AV1654" s="82" t="str">
        <f aca="false">IF(AU1654=1,SUM(AU$7:AU1654),"")</f>
        <v/>
      </c>
      <c r="AW1654" s="82" t="str">
        <f aca="false">IF(E1654="","",B1654&amp;"|"&amp;E1654)</f>
        <v>MFD-ISW → MFD-CPF|JN°1334</v>
      </c>
    </row>
    <row r="1655" customFormat="false" ht="74.6" hidden="false" customHeight="false" outlineLevel="0" collapsed="false">
      <c r="A1655" s="79" t="n">
        <f aca="false">IF(E1655="","",ROW()-6)</f>
        <v>1649</v>
      </c>
      <c r="B1655" s="80" t="s">
        <v>110</v>
      </c>
      <c r="C1655" s="81" t="s">
        <v>926</v>
      </c>
      <c r="D1655" s="81" t="n">
        <v>14</v>
      </c>
      <c r="E1655" s="81" t="s">
        <v>2005</v>
      </c>
      <c r="F1655" s="82" t="str">
        <f aca="false">IF(E1655="","",IF(LEFT(E1655,2)="DJ","DJ","JN"))</f>
        <v>JN</v>
      </c>
      <c r="G1655" s="81"/>
      <c r="H1655" s="81"/>
      <c r="I1655" s="81"/>
      <c r="J1655" s="81"/>
      <c r="K1655" s="81"/>
      <c r="L1655" s="81"/>
      <c r="M1655" s="81"/>
      <c r="N1655" s="81"/>
      <c r="O1655" s="81"/>
      <c r="P1655" s="81"/>
      <c r="Q1655" s="81"/>
      <c r="R1655" s="81"/>
      <c r="S1655" s="81"/>
      <c r="T1655" s="81"/>
      <c r="U1655" s="83"/>
      <c r="V1655" s="83"/>
      <c r="W1655" s="81"/>
      <c r="X1655" s="81"/>
      <c r="Y1655" s="83"/>
      <c r="Z1655" s="81"/>
      <c r="AA1655" s="81"/>
      <c r="AB1655" s="81"/>
      <c r="AC1655" s="81"/>
      <c r="AD1655" s="81"/>
      <c r="AE1655" s="83"/>
      <c r="AF1655" s="81"/>
      <c r="AG1655" s="81"/>
      <c r="AH1655" s="81"/>
      <c r="AI1655" s="81"/>
      <c r="AJ1655" s="83"/>
      <c r="AK1655" s="81"/>
      <c r="AL1655" s="81"/>
      <c r="AM1655" s="83"/>
      <c r="AN1655" s="80"/>
      <c r="AO1655" s="82" t="n">
        <f aca="false">IF(E1655="","",(AA1655&lt;&gt;"")+(AG1655&lt;&gt;"")+(AL1655&lt;&gt;""))</f>
        <v>0</v>
      </c>
      <c r="AP1655" s="82" t="str">
        <f aca="false">IF(AL1655&lt;&gt;"",AL1655,IF(AG1655&lt;&gt;"",AG1655,IF(AA1655&lt;&gt;"",AA1655,"")))</f>
        <v/>
      </c>
      <c r="AQ1655" s="84" t="str">
        <f aca="false">IF(E1655="","",IF(U1655="","À SOUDER",IF(X1655="","VT EN ATTENTE",IF(X1655="R","VT REJETÉ – À REPRENDRE",IF(AP1655="","À RADIOGRAPHIER",IF(AP1655="A","ACCEPTÉ",IF(AP1655="NX","NX – RT À REFAIRE",IF(IF(AO1655=1,AD1655,IF(AO1655=2,AI1655,""))="A","RÉPARÉ – À RADIOGRAPHIER",IF(IF(AO1655=1,AD1655,IF(AO1655=2,AI1655,""))="R","VT REJETÉ – À REPRENDRE",IF(OR(AP1655="CO",AP1655="NT"),"COUPE – À RESOUDER","À RÉPARER"))))))))))</f>
        <v>À SOUDER</v>
      </c>
      <c r="AR1655" s="82" t="str">
        <f aca="false">IF(AND(ISNUMBER(U1655),OR(AQ1655="À RADIOGRAPHIER",AQ1655="RÉPARÉ – À RADIOGRAPHIER",AQ1655="NX – RT À REFAIRE",AQ1655="À RÉPARER",AQ1655="COUPE – À RESOUDER",AQ1655="VT REJETÉ – À REPRENDRE")),MAX(0,'PROGRAMME RT'!$C$4-U1655),"")</f>
        <v/>
      </c>
      <c r="AS1655" s="82" t="n">
        <f aca="false">IF(AND(OR(AQ1655="À RADIOGRAPHIER",AQ1655="RÉPARÉ – À RADIOGRAPHIER",AQ1655="NX – RT À REFAIRE"),OR('PROGRAMME RT'!$D$5="TOUTES",B1655='PROGRAMME RT'!$D$5)),1,0)</f>
        <v>0</v>
      </c>
      <c r="AT1655" s="82" t="str">
        <f aca="false">IF(AS1655=1,SUM(AS$7:AS1655),"")</f>
        <v/>
      </c>
      <c r="AU1655" s="82" t="n">
        <f aca="false">IF(AND(OR(AA1655="R",AA1655="NX",AA1655="NT",AA1655="CO"),OR('JOINTS DE RÉPARATION'!$D$5="TOUTES",B1655='JOINTS DE RÉPARATION'!$D$5),OR('JOINTS DE RÉPARATION'!$L$4="TOUS",AQ1655&lt;&gt;"ACCEPTÉ")),1,0)</f>
        <v>0</v>
      </c>
      <c r="AV1655" s="82" t="str">
        <f aca="false">IF(AU1655=1,SUM(AU$7:AU1655),"")</f>
        <v/>
      </c>
      <c r="AW1655" s="82" t="str">
        <f aca="false">IF(E1655="","",B1655&amp;"|"&amp;E1655)</f>
        <v>MFD-ISW → MFD-CPF|JN°1335</v>
      </c>
    </row>
    <row r="1656" customFormat="false" ht="74.6" hidden="false" customHeight="false" outlineLevel="0" collapsed="false">
      <c r="A1656" s="79" t="n">
        <f aca="false">IF(E1656="","",ROW()-6)</f>
        <v>1650</v>
      </c>
      <c r="B1656" s="80" t="s">
        <v>110</v>
      </c>
      <c r="C1656" s="81" t="s">
        <v>926</v>
      </c>
      <c r="D1656" s="81" t="n">
        <v>14</v>
      </c>
      <c r="E1656" s="81" t="s">
        <v>2006</v>
      </c>
      <c r="F1656" s="82" t="str">
        <f aca="false">IF(E1656="","",IF(LEFT(E1656,2)="DJ","DJ","JN"))</f>
        <v>JN</v>
      </c>
      <c r="G1656" s="81"/>
      <c r="H1656" s="81"/>
      <c r="I1656" s="81"/>
      <c r="J1656" s="81"/>
      <c r="K1656" s="81"/>
      <c r="L1656" s="81"/>
      <c r="M1656" s="81"/>
      <c r="N1656" s="81"/>
      <c r="O1656" s="81"/>
      <c r="P1656" s="81"/>
      <c r="Q1656" s="81"/>
      <c r="R1656" s="81"/>
      <c r="S1656" s="81"/>
      <c r="T1656" s="81"/>
      <c r="U1656" s="83"/>
      <c r="V1656" s="83"/>
      <c r="W1656" s="81"/>
      <c r="X1656" s="81"/>
      <c r="Y1656" s="83"/>
      <c r="Z1656" s="81"/>
      <c r="AA1656" s="81"/>
      <c r="AB1656" s="81"/>
      <c r="AC1656" s="81"/>
      <c r="AD1656" s="81"/>
      <c r="AE1656" s="83"/>
      <c r="AF1656" s="81"/>
      <c r="AG1656" s="81"/>
      <c r="AH1656" s="81"/>
      <c r="AI1656" s="81"/>
      <c r="AJ1656" s="83"/>
      <c r="AK1656" s="81"/>
      <c r="AL1656" s="81"/>
      <c r="AM1656" s="83"/>
      <c r="AN1656" s="80"/>
      <c r="AO1656" s="82" t="n">
        <f aca="false">IF(E1656="","",(AA1656&lt;&gt;"")+(AG1656&lt;&gt;"")+(AL1656&lt;&gt;""))</f>
        <v>0</v>
      </c>
      <c r="AP1656" s="82" t="str">
        <f aca="false">IF(AL1656&lt;&gt;"",AL1656,IF(AG1656&lt;&gt;"",AG1656,IF(AA1656&lt;&gt;"",AA1656,"")))</f>
        <v/>
      </c>
      <c r="AQ1656" s="84" t="str">
        <f aca="false">IF(E1656="","",IF(U1656="","À SOUDER",IF(X1656="","VT EN ATTENTE",IF(X1656="R","VT REJETÉ – À REPRENDRE",IF(AP1656="","À RADIOGRAPHIER",IF(AP1656="A","ACCEPTÉ",IF(AP1656="NX","NX – RT À REFAIRE",IF(IF(AO1656=1,AD1656,IF(AO1656=2,AI1656,""))="A","RÉPARÉ – À RADIOGRAPHIER",IF(IF(AO1656=1,AD1656,IF(AO1656=2,AI1656,""))="R","VT REJETÉ – À REPRENDRE",IF(OR(AP1656="CO",AP1656="NT"),"COUPE – À RESOUDER","À RÉPARER"))))))))))</f>
        <v>À SOUDER</v>
      </c>
      <c r="AR1656" s="82" t="str">
        <f aca="false">IF(AND(ISNUMBER(U1656),OR(AQ1656="À RADIOGRAPHIER",AQ1656="RÉPARÉ – À RADIOGRAPHIER",AQ1656="NX – RT À REFAIRE",AQ1656="À RÉPARER",AQ1656="COUPE – À RESOUDER",AQ1656="VT REJETÉ – À REPRENDRE")),MAX(0,'PROGRAMME RT'!$C$4-U1656),"")</f>
        <v/>
      </c>
      <c r="AS1656" s="82" t="n">
        <f aca="false">IF(AND(OR(AQ1656="À RADIOGRAPHIER",AQ1656="RÉPARÉ – À RADIOGRAPHIER",AQ1656="NX – RT À REFAIRE"),OR('PROGRAMME RT'!$D$5="TOUTES",B1656='PROGRAMME RT'!$D$5)),1,0)</f>
        <v>0</v>
      </c>
      <c r="AT1656" s="82" t="str">
        <f aca="false">IF(AS1656=1,SUM(AS$7:AS1656),"")</f>
        <v/>
      </c>
      <c r="AU1656" s="82" t="n">
        <f aca="false">IF(AND(OR(AA1656="R",AA1656="NX",AA1656="NT",AA1656="CO"),OR('JOINTS DE RÉPARATION'!$D$5="TOUTES",B1656='JOINTS DE RÉPARATION'!$D$5),OR('JOINTS DE RÉPARATION'!$L$4="TOUS",AQ1656&lt;&gt;"ACCEPTÉ")),1,0)</f>
        <v>0</v>
      </c>
      <c r="AV1656" s="82" t="str">
        <f aca="false">IF(AU1656=1,SUM(AU$7:AU1656),"")</f>
        <v/>
      </c>
      <c r="AW1656" s="82" t="str">
        <f aca="false">IF(E1656="","",B1656&amp;"|"&amp;E1656)</f>
        <v>MFD-ISW → MFD-CPF|JN°1336</v>
      </c>
    </row>
    <row r="1657" customFormat="false" ht="74.6" hidden="false" customHeight="false" outlineLevel="0" collapsed="false">
      <c r="A1657" s="79" t="n">
        <f aca="false">IF(E1657="","",ROW()-6)</f>
        <v>1651</v>
      </c>
      <c r="B1657" s="80" t="s">
        <v>110</v>
      </c>
      <c r="C1657" s="81" t="s">
        <v>926</v>
      </c>
      <c r="D1657" s="81" t="n">
        <v>14</v>
      </c>
      <c r="E1657" s="81" t="s">
        <v>2007</v>
      </c>
      <c r="F1657" s="82" t="str">
        <f aca="false">IF(E1657="","",IF(LEFT(E1657,2)="DJ","DJ","JN"))</f>
        <v>JN</v>
      </c>
      <c r="G1657" s="81"/>
      <c r="H1657" s="81"/>
      <c r="I1657" s="81"/>
      <c r="J1657" s="81"/>
      <c r="K1657" s="81"/>
      <c r="L1657" s="81"/>
      <c r="M1657" s="81"/>
      <c r="N1657" s="81"/>
      <c r="O1657" s="81"/>
      <c r="P1657" s="81"/>
      <c r="Q1657" s="81"/>
      <c r="R1657" s="81"/>
      <c r="S1657" s="81"/>
      <c r="T1657" s="81"/>
      <c r="U1657" s="83"/>
      <c r="V1657" s="83"/>
      <c r="W1657" s="81"/>
      <c r="X1657" s="81"/>
      <c r="Y1657" s="83"/>
      <c r="Z1657" s="81"/>
      <c r="AA1657" s="81"/>
      <c r="AB1657" s="81"/>
      <c r="AC1657" s="81"/>
      <c r="AD1657" s="81"/>
      <c r="AE1657" s="83"/>
      <c r="AF1657" s="81"/>
      <c r="AG1657" s="81"/>
      <c r="AH1657" s="81"/>
      <c r="AI1657" s="81"/>
      <c r="AJ1657" s="83"/>
      <c r="AK1657" s="81"/>
      <c r="AL1657" s="81"/>
      <c r="AM1657" s="83"/>
      <c r="AN1657" s="80"/>
      <c r="AO1657" s="82" t="n">
        <f aca="false">IF(E1657="","",(AA1657&lt;&gt;"")+(AG1657&lt;&gt;"")+(AL1657&lt;&gt;""))</f>
        <v>0</v>
      </c>
      <c r="AP1657" s="82" t="str">
        <f aca="false">IF(AL1657&lt;&gt;"",AL1657,IF(AG1657&lt;&gt;"",AG1657,IF(AA1657&lt;&gt;"",AA1657,"")))</f>
        <v/>
      </c>
      <c r="AQ1657" s="84" t="str">
        <f aca="false">IF(E1657="","",IF(U1657="","À SOUDER",IF(X1657="","VT EN ATTENTE",IF(X1657="R","VT REJETÉ – À REPRENDRE",IF(AP1657="","À RADIOGRAPHIER",IF(AP1657="A","ACCEPTÉ",IF(AP1657="NX","NX – RT À REFAIRE",IF(IF(AO1657=1,AD1657,IF(AO1657=2,AI1657,""))="A","RÉPARÉ – À RADIOGRAPHIER",IF(IF(AO1657=1,AD1657,IF(AO1657=2,AI1657,""))="R","VT REJETÉ – À REPRENDRE",IF(OR(AP1657="CO",AP1657="NT"),"COUPE – À RESOUDER","À RÉPARER"))))))))))</f>
        <v>À SOUDER</v>
      </c>
      <c r="AR1657" s="82" t="str">
        <f aca="false">IF(AND(ISNUMBER(U1657),OR(AQ1657="À RADIOGRAPHIER",AQ1657="RÉPARÉ – À RADIOGRAPHIER",AQ1657="NX – RT À REFAIRE",AQ1657="À RÉPARER",AQ1657="COUPE – À RESOUDER",AQ1657="VT REJETÉ – À REPRENDRE")),MAX(0,'PROGRAMME RT'!$C$4-U1657),"")</f>
        <v/>
      </c>
      <c r="AS1657" s="82" t="n">
        <f aca="false">IF(AND(OR(AQ1657="À RADIOGRAPHIER",AQ1657="RÉPARÉ – À RADIOGRAPHIER",AQ1657="NX – RT À REFAIRE"),OR('PROGRAMME RT'!$D$5="TOUTES",B1657='PROGRAMME RT'!$D$5)),1,0)</f>
        <v>0</v>
      </c>
      <c r="AT1657" s="82" t="str">
        <f aca="false">IF(AS1657=1,SUM(AS$7:AS1657),"")</f>
        <v/>
      </c>
      <c r="AU1657" s="82" t="n">
        <f aca="false">IF(AND(OR(AA1657="R",AA1657="NX",AA1657="NT",AA1657="CO"),OR('JOINTS DE RÉPARATION'!$D$5="TOUTES",B1657='JOINTS DE RÉPARATION'!$D$5),OR('JOINTS DE RÉPARATION'!$L$4="TOUS",AQ1657&lt;&gt;"ACCEPTÉ")),1,0)</f>
        <v>0</v>
      </c>
      <c r="AV1657" s="82" t="str">
        <f aca="false">IF(AU1657=1,SUM(AU$7:AU1657),"")</f>
        <v/>
      </c>
      <c r="AW1657" s="82" t="str">
        <f aca="false">IF(E1657="","",B1657&amp;"|"&amp;E1657)</f>
        <v>MFD-ISW → MFD-CPF|JN°1337</v>
      </c>
    </row>
    <row r="1658" customFormat="false" ht="74.6" hidden="false" customHeight="false" outlineLevel="0" collapsed="false">
      <c r="A1658" s="79" t="n">
        <f aca="false">IF(E1658="","",ROW()-6)</f>
        <v>1652</v>
      </c>
      <c r="B1658" s="80" t="s">
        <v>110</v>
      </c>
      <c r="C1658" s="81" t="s">
        <v>926</v>
      </c>
      <c r="D1658" s="81" t="n">
        <v>14</v>
      </c>
      <c r="E1658" s="81" t="s">
        <v>2008</v>
      </c>
      <c r="F1658" s="82" t="str">
        <f aca="false">IF(E1658="","",IF(LEFT(E1658,2)="DJ","DJ","JN"))</f>
        <v>JN</v>
      </c>
      <c r="G1658" s="81"/>
      <c r="H1658" s="81"/>
      <c r="I1658" s="81"/>
      <c r="J1658" s="81"/>
      <c r="K1658" s="81"/>
      <c r="L1658" s="81"/>
      <c r="M1658" s="81"/>
      <c r="N1658" s="81"/>
      <c r="O1658" s="81"/>
      <c r="P1658" s="81"/>
      <c r="Q1658" s="81"/>
      <c r="R1658" s="81"/>
      <c r="S1658" s="81"/>
      <c r="T1658" s="81"/>
      <c r="U1658" s="83"/>
      <c r="V1658" s="83"/>
      <c r="W1658" s="81"/>
      <c r="X1658" s="81"/>
      <c r="Y1658" s="83"/>
      <c r="Z1658" s="81"/>
      <c r="AA1658" s="81"/>
      <c r="AB1658" s="81"/>
      <c r="AC1658" s="81"/>
      <c r="AD1658" s="81"/>
      <c r="AE1658" s="83"/>
      <c r="AF1658" s="81"/>
      <c r="AG1658" s="81"/>
      <c r="AH1658" s="81"/>
      <c r="AI1658" s="81"/>
      <c r="AJ1658" s="83"/>
      <c r="AK1658" s="81"/>
      <c r="AL1658" s="81"/>
      <c r="AM1658" s="83"/>
      <c r="AN1658" s="80"/>
      <c r="AO1658" s="82" t="n">
        <f aca="false">IF(E1658="","",(AA1658&lt;&gt;"")+(AG1658&lt;&gt;"")+(AL1658&lt;&gt;""))</f>
        <v>0</v>
      </c>
      <c r="AP1658" s="82" t="str">
        <f aca="false">IF(AL1658&lt;&gt;"",AL1658,IF(AG1658&lt;&gt;"",AG1658,IF(AA1658&lt;&gt;"",AA1658,"")))</f>
        <v/>
      </c>
      <c r="AQ1658" s="84" t="str">
        <f aca="false">IF(E1658="","",IF(U1658="","À SOUDER",IF(X1658="","VT EN ATTENTE",IF(X1658="R","VT REJETÉ – À REPRENDRE",IF(AP1658="","À RADIOGRAPHIER",IF(AP1658="A","ACCEPTÉ",IF(AP1658="NX","NX – RT À REFAIRE",IF(IF(AO1658=1,AD1658,IF(AO1658=2,AI1658,""))="A","RÉPARÉ – À RADIOGRAPHIER",IF(IF(AO1658=1,AD1658,IF(AO1658=2,AI1658,""))="R","VT REJETÉ – À REPRENDRE",IF(OR(AP1658="CO",AP1658="NT"),"COUPE – À RESOUDER","À RÉPARER"))))))))))</f>
        <v>À SOUDER</v>
      </c>
      <c r="AR1658" s="82" t="str">
        <f aca="false">IF(AND(ISNUMBER(U1658),OR(AQ1658="À RADIOGRAPHIER",AQ1658="RÉPARÉ – À RADIOGRAPHIER",AQ1658="NX – RT À REFAIRE",AQ1658="À RÉPARER",AQ1658="COUPE – À RESOUDER",AQ1658="VT REJETÉ – À REPRENDRE")),MAX(0,'PROGRAMME RT'!$C$4-U1658),"")</f>
        <v/>
      </c>
      <c r="AS1658" s="82" t="n">
        <f aca="false">IF(AND(OR(AQ1658="À RADIOGRAPHIER",AQ1658="RÉPARÉ – À RADIOGRAPHIER",AQ1658="NX – RT À REFAIRE"),OR('PROGRAMME RT'!$D$5="TOUTES",B1658='PROGRAMME RT'!$D$5)),1,0)</f>
        <v>0</v>
      </c>
      <c r="AT1658" s="82" t="str">
        <f aca="false">IF(AS1658=1,SUM(AS$7:AS1658),"")</f>
        <v/>
      </c>
      <c r="AU1658" s="82" t="n">
        <f aca="false">IF(AND(OR(AA1658="R",AA1658="NX",AA1658="NT",AA1658="CO"),OR('JOINTS DE RÉPARATION'!$D$5="TOUTES",B1658='JOINTS DE RÉPARATION'!$D$5),OR('JOINTS DE RÉPARATION'!$L$4="TOUS",AQ1658&lt;&gt;"ACCEPTÉ")),1,0)</f>
        <v>0</v>
      </c>
      <c r="AV1658" s="82" t="str">
        <f aca="false">IF(AU1658=1,SUM(AU$7:AU1658),"")</f>
        <v/>
      </c>
      <c r="AW1658" s="82" t="str">
        <f aca="false">IF(E1658="","",B1658&amp;"|"&amp;E1658)</f>
        <v>MFD-ISW → MFD-CPF|JN°1338</v>
      </c>
    </row>
    <row r="1659" customFormat="false" ht="74.6" hidden="false" customHeight="false" outlineLevel="0" collapsed="false">
      <c r="A1659" s="79" t="n">
        <f aca="false">IF(E1659="","",ROW()-6)</f>
        <v>1653</v>
      </c>
      <c r="B1659" s="80" t="s">
        <v>110</v>
      </c>
      <c r="C1659" s="81" t="s">
        <v>926</v>
      </c>
      <c r="D1659" s="81" t="n">
        <v>14</v>
      </c>
      <c r="E1659" s="81" t="s">
        <v>2009</v>
      </c>
      <c r="F1659" s="82" t="str">
        <f aca="false">IF(E1659="","",IF(LEFT(E1659,2)="DJ","DJ","JN"))</f>
        <v>JN</v>
      </c>
      <c r="G1659" s="81"/>
      <c r="H1659" s="81"/>
      <c r="I1659" s="81"/>
      <c r="J1659" s="81"/>
      <c r="K1659" s="81"/>
      <c r="L1659" s="81"/>
      <c r="M1659" s="81"/>
      <c r="N1659" s="81"/>
      <c r="O1659" s="81"/>
      <c r="P1659" s="81"/>
      <c r="Q1659" s="81"/>
      <c r="R1659" s="81"/>
      <c r="S1659" s="81"/>
      <c r="T1659" s="81"/>
      <c r="U1659" s="83"/>
      <c r="V1659" s="83"/>
      <c r="W1659" s="81"/>
      <c r="X1659" s="81"/>
      <c r="Y1659" s="83"/>
      <c r="Z1659" s="81"/>
      <c r="AA1659" s="81"/>
      <c r="AB1659" s="81"/>
      <c r="AC1659" s="81"/>
      <c r="AD1659" s="81"/>
      <c r="AE1659" s="83"/>
      <c r="AF1659" s="81"/>
      <c r="AG1659" s="81"/>
      <c r="AH1659" s="81"/>
      <c r="AI1659" s="81"/>
      <c r="AJ1659" s="83"/>
      <c r="AK1659" s="81"/>
      <c r="AL1659" s="81"/>
      <c r="AM1659" s="83"/>
      <c r="AN1659" s="80"/>
      <c r="AO1659" s="82" t="n">
        <f aca="false">IF(E1659="","",(AA1659&lt;&gt;"")+(AG1659&lt;&gt;"")+(AL1659&lt;&gt;""))</f>
        <v>0</v>
      </c>
      <c r="AP1659" s="82" t="str">
        <f aca="false">IF(AL1659&lt;&gt;"",AL1659,IF(AG1659&lt;&gt;"",AG1659,IF(AA1659&lt;&gt;"",AA1659,"")))</f>
        <v/>
      </c>
      <c r="AQ1659" s="84" t="str">
        <f aca="false">IF(E1659="","",IF(U1659="","À SOUDER",IF(X1659="","VT EN ATTENTE",IF(X1659="R","VT REJETÉ – À REPRENDRE",IF(AP1659="","À RADIOGRAPHIER",IF(AP1659="A","ACCEPTÉ",IF(AP1659="NX","NX – RT À REFAIRE",IF(IF(AO1659=1,AD1659,IF(AO1659=2,AI1659,""))="A","RÉPARÉ – À RADIOGRAPHIER",IF(IF(AO1659=1,AD1659,IF(AO1659=2,AI1659,""))="R","VT REJETÉ – À REPRENDRE",IF(OR(AP1659="CO",AP1659="NT"),"COUPE – À RESOUDER","À RÉPARER"))))))))))</f>
        <v>À SOUDER</v>
      </c>
      <c r="AR1659" s="82" t="str">
        <f aca="false">IF(AND(ISNUMBER(U1659),OR(AQ1659="À RADIOGRAPHIER",AQ1659="RÉPARÉ – À RADIOGRAPHIER",AQ1659="NX – RT À REFAIRE",AQ1659="À RÉPARER",AQ1659="COUPE – À RESOUDER",AQ1659="VT REJETÉ – À REPRENDRE")),MAX(0,'PROGRAMME RT'!$C$4-U1659),"")</f>
        <v/>
      </c>
      <c r="AS1659" s="82" t="n">
        <f aca="false">IF(AND(OR(AQ1659="À RADIOGRAPHIER",AQ1659="RÉPARÉ – À RADIOGRAPHIER",AQ1659="NX – RT À REFAIRE"),OR('PROGRAMME RT'!$D$5="TOUTES",B1659='PROGRAMME RT'!$D$5)),1,0)</f>
        <v>0</v>
      </c>
      <c r="AT1659" s="82" t="str">
        <f aca="false">IF(AS1659=1,SUM(AS$7:AS1659),"")</f>
        <v/>
      </c>
      <c r="AU1659" s="82" t="n">
        <f aca="false">IF(AND(OR(AA1659="R",AA1659="NX",AA1659="NT",AA1659="CO"),OR('JOINTS DE RÉPARATION'!$D$5="TOUTES",B1659='JOINTS DE RÉPARATION'!$D$5),OR('JOINTS DE RÉPARATION'!$L$4="TOUS",AQ1659&lt;&gt;"ACCEPTÉ")),1,0)</f>
        <v>0</v>
      </c>
      <c r="AV1659" s="82" t="str">
        <f aca="false">IF(AU1659=1,SUM(AU$7:AU1659),"")</f>
        <v/>
      </c>
      <c r="AW1659" s="82" t="str">
        <f aca="false">IF(E1659="","",B1659&amp;"|"&amp;E1659)</f>
        <v>MFD-ISW → MFD-CPF|JN°1339</v>
      </c>
    </row>
    <row r="1660" customFormat="false" ht="74.6" hidden="false" customHeight="false" outlineLevel="0" collapsed="false">
      <c r="A1660" s="79" t="n">
        <f aca="false">IF(E1660="","",ROW()-6)</f>
        <v>1654</v>
      </c>
      <c r="B1660" s="80" t="s">
        <v>110</v>
      </c>
      <c r="C1660" s="81" t="s">
        <v>926</v>
      </c>
      <c r="D1660" s="81" t="n">
        <v>14</v>
      </c>
      <c r="E1660" s="81" t="s">
        <v>2010</v>
      </c>
      <c r="F1660" s="82" t="str">
        <f aca="false">IF(E1660="","",IF(LEFT(E1660,2)="DJ","DJ","JN"))</f>
        <v>JN</v>
      </c>
      <c r="G1660" s="81"/>
      <c r="H1660" s="81"/>
      <c r="I1660" s="81"/>
      <c r="J1660" s="81"/>
      <c r="K1660" s="81"/>
      <c r="L1660" s="81"/>
      <c r="M1660" s="81"/>
      <c r="N1660" s="81"/>
      <c r="O1660" s="81"/>
      <c r="P1660" s="81"/>
      <c r="Q1660" s="81"/>
      <c r="R1660" s="81"/>
      <c r="S1660" s="81"/>
      <c r="T1660" s="81"/>
      <c r="U1660" s="83"/>
      <c r="V1660" s="83"/>
      <c r="W1660" s="81"/>
      <c r="X1660" s="81"/>
      <c r="Y1660" s="83"/>
      <c r="Z1660" s="81"/>
      <c r="AA1660" s="81"/>
      <c r="AB1660" s="81"/>
      <c r="AC1660" s="81"/>
      <c r="AD1660" s="81"/>
      <c r="AE1660" s="83"/>
      <c r="AF1660" s="81"/>
      <c r="AG1660" s="81"/>
      <c r="AH1660" s="81"/>
      <c r="AI1660" s="81"/>
      <c r="AJ1660" s="83"/>
      <c r="AK1660" s="81"/>
      <c r="AL1660" s="81"/>
      <c r="AM1660" s="83"/>
      <c r="AN1660" s="80"/>
      <c r="AO1660" s="82" t="n">
        <f aca="false">IF(E1660="","",(AA1660&lt;&gt;"")+(AG1660&lt;&gt;"")+(AL1660&lt;&gt;""))</f>
        <v>0</v>
      </c>
      <c r="AP1660" s="82" t="str">
        <f aca="false">IF(AL1660&lt;&gt;"",AL1660,IF(AG1660&lt;&gt;"",AG1660,IF(AA1660&lt;&gt;"",AA1660,"")))</f>
        <v/>
      </c>
      <c r="AQ1660" s="84" t="str">
        <f aca="false">IF(E1660="","",IF(U1660="","À SOUDER",IF(X1660="","VT EN ATTENTE",IF(X1660="R","VT REJETÉ – À REPRENDRE",IF(AP1660="","À RADIOGRAPHIER",IF(AP1660="A","ACCEPTÉ",IF(AP1660="NX","NX – RT À REFAIRE",IF(IF(AO1660=1,AD1660,IF(AO1660=2,AI1660,""))="A","RÉPARÉ – À RADIOGRAPHIER",IF(IF(AO1660=1,AD1660,IF(AO1660=2,AI1660,""))="R","VT REJETÉ – À REPRENDRE",IF(OR(AP1660="CO",AP1660="NT"),"COUPE – À RESOUDER","À RÉPARER"))))))))))</f>
        <v>À SOUDER</v>
      </c>
      <c r="AR1660" s="82" t="str">
        <f aca="false">IF(AND(ISNUMBER(U1660),OR(AQ1660="À RADIOGRAPHIER",AQ1660="RÉPARÉ – À RADIOGRAPHIER",AQ1660="NX – RT À REFAIRE",AQ1660="À RÉPARER",AQ1660="COUPE – À RESOUDER",AQ1660="VT REJETÉ – À REPRENDRE")),MAX(0,'PROGRAMME RT'!$C$4-U1660),"")</f>
        <v/>
      </c>
      <c r="AS1660" s="82" t="n">
        <f aca="false">IF(AND(OR(AQ1660="À RADIOGRAPHIER",AQ1660="RÉPARÉ – À RADIOGRAPHIER",AQ1660="NX – RT À REFAIRE"),OR('PROGRAMME RT'!$D$5="TOUTES",B1660='PROGRAMME RT'!$D$5)),1,0)</f>
        <v>0</v>
      </c>
      <c r="AT1660" s="82" t="str">
        <f aca="false">IF(AS1660=1,SUM(AS$7:AS1660),"")</f>
        <v/>
      </c>
      <c r="AU1660" s="82" t="n">
        <f aca="false">IF(AND(OR(AA1660="R",AA1660="NX",AA1660="NT",AA1660="CO"),OR('JOINTS DE RÉPARATION'!$D$5="TOUTES",B1660='JOINTS DE RÉPARATION'!$D$5),OR('JOINTS DE RÉPARATION'!$L$4="TOUS",AQ1660&lt;&gt;"ACCEPTÉ")),1,0)</f>
        <v>0</v>
      </c>
      <c r="AV1660" s="82" t="str">
        <f aca="false">IF(AU1660=1,SUM(AU$7:AU1660),"")</f>
        <v/>
      </c>
      <c r="AW1660" s="82" t="str">
        <f aca="false">IF(E1660="","",B1660&amp;"|"&amp;E1660)</f>
        <v>MFD-ISW → MFD-CPF|JN°1340</v>
      </c>
    </row>
    <row r="1661" customFormat="false" ht="74.6" hidden="false" customHeight="false" outlineLevel="0" collapsed="false">
      <c r="A1661" s="79" t="n">
        <f aca="false">IF(E1661="","",ROW()-6)</f>
        <v>1655</v>
      </c>
      <c r="B1661" s="80" t="s">
        <v>110</v>
      </c>
      <c r="C1661" s="81" t="s">
        <v>926</v>
      </c>
      <c r="D1661" s="81" t="n">
        <v>14</v>
      </c>
      <c r="E1661" s="81" t="s">
        <v>2011</v>
      </c>
      <c r="F1661" s="82" t="str">
        <f aca="false">IF(E1661="","",IF(LEFT(E1661,2)="DJ","DJ","JN"))</f>
        <v>JN</v>
      </c>
      <c r="G1661" s="81"/>
      <c r="H1661" s="81"/>
      <c r="I1661" s="81"/>
      <c r="J1661" s="81"/>
      <c r="K1661" s="81"/>
      <c r="L1661" s="81"/>
      <c r="M1661" s="81"/>
      <c r="N1661" s="81"/>
      <c r="O1661" s="81"/>
      <c r="P1661" s="81"/>
      <c r="Q1661" s="81"/>
      <c r="R1661" s="81"/>
      <c r="S1661" s="81"/>
      <c r="T1661" s="81"/>
      <c r="U1661" s="83"/>
      <c r="V1661" s="83"/>
      <c r="W1661" s="81"/>
      <c r="X1661" s="81"/>
      <c r="Y1661" s="83"/>
      <c r="Z1661" s="81"/>
      <c r="AA1661" s="81"/>
      <c r="AB1661" s="81"/>
      <c r="AC1661" s="81"/>
      <c r="AD1661" s="81"/>
      <c r="AE1661" s="83"/>
      <c r="AF1661" s="81"/>
      <c r="AG1661" s="81"/>
      <c r="AH1661" s="81"/>
      <c r="AI1661" s="81"/>
      <c r="AJ1661" s="83"/>
      <c r="AK1661" s="81"/>
      <c r="AL1661" s="81"/>
      <c r="AM1661" s="83"/>
      <c r="AN1661" s="80"/>
      <c r="AO1661" s="82" t="n">
        <f aca="false">IF(E1661="","",(AA1661&lt;&gt;"")+(AG1661&lt;&gt;"")+(AL1661&lt;&gt;""))</f>
        <v>0</v>
      </c>
      <c r="AP1661" s="82" t="str">
        <f aca="false">IF(AL1661&lt;&gt;"",AL1661,IF(AG1661&lt;&gt;"",AG1661,IF(AA1661&lt;&gt;"",AA1661,"")))</f>
        <v/>
      </c>
      <c r="AQ1661" s="84" t="str">
        <f aca="false">IF(E1661="","",IF(U1661="","À SOUDER",IF(X1661="","VT EN ATTENTE",IF(X1661="R","VT REJETÉ – À REPRENDRE",IF(AP1661="","À RADIOGRAPHIER",IF(AP1661="A","ACCEPTÉ",IF(AP1661="NX","NX – RT À REFAIRE",IF(IF(AO1661=1,AD1661,IF(AO1661=2,AI1661,""))="A","RÉPARÉ – À RADIOGRAPHIER",IF(IF(AO1661=1,AD1661,IF(AO1661=2,AI1661,""))="R","VT REJETÉ – À REPRENDRE",IF(OR(AP1661="CO",AP1661="NT"),"COUPE – À RESOUDER","À RÉPARER"))))))))))</f>
        <v>À SOUDER</v>
      </c>
      <c r="AR1661" s="82" t="str">
        <f aca="false">IF(AND(ISNUMBER(U1661),OR(AQ1661="À RADIOGRAPHIER",AQ1661="RÉPARÉ – À RADIOGRAPHIER",AQ1661="NX – RT À REFAIRE",AQ1661="À RÉPARER",AQ1661="COUPE – À RESOUDER",AQ1661="VT REJETÉ – À REPRENDRE")),MAX(0,'PROGRAMME RT'!$C$4-U1661),"")</f>
        <v/>
      </c>
      <c r="AS1661" s="82" t="n">
        <f aca="false">IF(AND(OR(AQ1661="À RADIOGRAPHIER",AQ1661="RÉPARÉ – À RADIOGRAPHIER",AQ1661="NX – RT À REFAIRE"),OR('PROGRAMME RT'!$D$5="TOUTES",B1661='PROGRAMME RT'!$D$5)),1,0)</f>
        <v>0</v>
      </c>
      <c r="AT1661" s="82" t="str">
        <f aca="false">IF(AS1661=1,SUM(AS$7:AS1661),"")</f>
        <v/>
      </c>
      <c r="AU1661" s="82" t="n">
        <f aca="false">IF(AND(OR(AA1661="R",AA1661="NX",AA1661="NT",AA1661="CO"),OR('JOINTS DE RÉPARATION'!$D$5="TOUTES",B1661='JOINTS DE RÉPARATION'!$D$5),OR('JOINTS DE RÉPARATION'!$L$4="TOUS",AQ1661&lt;&gt;"ACCEPTÉ")),1,0)</f>
        <v>0</v>
      </c>
      <c r="AV1661" s="82" t="str">
        <f aca="false">IF(AU1661=1,SUM(AU$7:AU1661),"")</f>
        <v/>
      </c>
      <c r="AW1661" s="82" t="str">
        <f aca="false">IF(E1661="","",B1661&amp;"|"&amp;E1661)</f>
        <v>MFD-ISW → MFD-CPF|JN°1341</v>
      </c>
    </row>
    <row r="1662" customFormat="false" ht="74.6" hidden="false" customHeight="false" outlineLevel="0" collapsed="false">
      <c r="A1662" s="79" t="n">
        <f aca="false">IF(E1662="","",ROW()-6)</f>
        <v>1656</v>
      </c>
      <c r="B1662" s="80" t="s">
        <v>110</v>
      </c>
      <c r="C1662" s="81" t="s">
        <v>926</v>
      </c>
      <c r="D1662" s="81" t="n">
        <v>14</v>
      </c>
      <c r="E1662" s="81" t="s">
        <v>2012</v>
      </c>
      <c r="F1662" s="82" t="str">
        <f aca="false">IF(E1662="","",IF(LEFT(E1662,2)="DJ","DJ","JN"))</f>
        <v>JN</v>
      </c>
      <c r="G1662" s="81"/>
      <c r="H1662" s="81"/>
      <c r="I1662" s="81"/>
      <c r="J1662" s="81"/>
      <c r="K1662" s="81"/>
      <c r="L1662" s="81"/>
      <c r="M1662" s="81"/>
      <c r="N1662" s="81"/>
      <c r="O1662" s="81"/>
      <c r="P1662" s="81"/>
      <c r="Q1662" s="81"/>
      <c r="R1662" s="81"/>
      <c r="S1662" s="81"/>
      <c r="T1662" s="81"/>
      <c r="U1662" s="83"/>
      <c r="V1662" s="83"/>
      <c r="W1662" s="81"/>
      <c r="X1662" s="81"/>
      <c r="Y1662" s="83"/>
      <c r="Z1662" s="81"/>
      <c r="AA1662" s="81"/>
      <c r="AB1662" s="81"/>
      <c r="AC1662" s="81"/>
      <c r="AD1662" s="81"/>
      <c r="AE1662" s="83"/>
      <c r="AF1662" s="81"/>
      <c r="AG1662" s="81"/>
      <c r="AH1662" s="81"/>
      <c r="AI1662" s="81"/>
      <c r="AJ1662" s="83"/>
      <c r="AK1662" s="81"/>
      <c r="AL1662" s="81"/>
      <c r="AM1662" s="83"/>
      <c r="AN1662" s="80"/>
      <c r="AO1662" s="82" t="n">
        <f aca="false">IF(E1662="","",(AA1662&lt;&gt;"")+(AG1662&lt;&gt;"")+(AL1662&lt;&gt;""))</f>
        <v>0</v>
      </c>
      <c r="AP1662" s="82" t="str">
        <f aca="false">IF(AL1662&lt;&gt;"",AL1662,IF(AG1662&lt;&gt;"",AG1662,IF(AA1662&lt;&gt;"",AA1662,"")))</f>
        <v/>
      </c>
      <c r="AQ1662" s="84" t="str">
        <f aca="false">IF(E1662="","",IF(U1662="","À SOUDER",IF(X1662="","VT EN ATTENTE",IF(X1662="R","VT REJETÉ – À REPRENDRE",IF(AP1662="","À RADIOGRAPHIER",IF(AP1662="A","ACCEPTÉ",IF(AP1662="NX","NX – RT À REFAIRE",IF(IF(AO1662=1,AD1662,IF(AO1662=2,AI1662,""))="A","RÉPARÉ – À RADIOGRAPHIER",IF(IF(AO1662=1,AD1662,IF(AO1662=2,AI1662,""))="R","VT REJETÉ – À REPRENDRE",IF(OR(AP1662="CO",AP1662="NT"),"COUPE – À RESOUDER","À RÉPARER"))))))))))</f>
        <v>À SOUDER</v>
      </c>
      <c r="AR1662" s="82" t="str">
        <f aca="false">IF(AND(ISNUMBER(U1662),OR(AQ1662="À RADIOGRAPHIER",AQ1662="RÉPARÉ – À RADIOGRAPHIER",AQ1662="NX – RT À REFAIRE",AQ1662="À RÉPARER",AQ1662="COUPE – À RESOUDER",AQ1662="VT REJETÉ – À REPRENDRE")),MAX(0,'PROGRAMME RT'!$C$4-U1662),"")</f>
        <v/>
      </c>
      <c r="AS1662" s="82" t="n">
        <f aca="false">IF(AND(OR(AQ1662="À RADIOGRAPHIER",AQ1662="RÉPARÉ – À RADIOGRAPHIER",AQ1662="NX – RT À REFAIRE"),OR('PROGRAMME RT'!$D$5="TOUTES",B1662='PROGRAMME RT'!$D$5)),1,0)</f>
        <v>0</v>
      </c>
      <c r="AT1662" s="82" t="str">
        <f aca="false">IF(AS1662=1,SUM(AS$7:AS1662),"")</f>
        <v/>
      </c>
      <c r="AU1662" s="82" t="n">
        <f aca="false">IF(AND(OR(AA1662="R",AA1662="NX",AA1662="NT",AA1662="CO"),OR('JOINTS DE RÉPARATION'!$D$5="TOUTES",B1662='JOINTS DE RÉPARATION'!$D$5),OR('JOINTS DE RÉPARATION'!$L$4="TOUS",AQ1662&lt;&gt;"ACCEPTÉ")),1,0)</f>
        <v>0</v>
      </c>
      <c r="AV1662" s="82" t="str">
        <f aca="false">IF(AU1662=1,SUM(AU$7:AU1662),"")</f>
        <v/>
      </c>
      <c r="AW1662" s="82" t="str">
        <f aca="false">IF(E1662="","",B1662&amp;"|"&amp;E1662)</f>
        <v>MFD-ISW → MFD-CPF|JN°1342</v>
      </c>
    </row>
    <row r="1663" customFormat="false" ht="74.6" hidden="false" customHeight="false" outlineLevel="0" collapsed="false">
      <c r="A1663" s="79" t="n">
        <f aca="false">IF(E1663="","",ROW()-6)</f>
        <v>1657</v>
      </c>
      <c r="B1663" s="80" t="s">
        <v>110</v>
      </c>
      <c r="C1663" s="81" t="s">
        <v>926</v>
      </c>
      <c r="D1663" s="81" t="n">
        <v>14</v>
      </c>
      <c r="E1663" s="81" t="s">
        <v>2013</v>
      </c>
      <c r="F1663" s="82" t="str">
        <f aca="false">IF(E1663="","",IF(LEFT(E1663,2)="DJ","DJ","JN"))</f>
        <v>JN</v>
      </c>
      <c r="G1663" s="81"/>
      <c r="H1663" s="81"/>
      <c r="I1663" s="81"/>
      <c r="J1663" s="81"/>
      <c r="K1663" s="81"/>
      <c r="L1663" s="81"/>
      <c r="M1663" s="81"/>
      <c r="N1663" s="81"/>
      <c r="O1663" s="81"/>
      <c r="P1663" s="81"/>
      <c r="Q1663" s="81"/>
      <c r="R1663" s="81"/>
      <c r="S1663" s="81"/>
      <c r="T1663" s="81"/>
      <c r="U1663" s="83"/>
      <c r="V1663" s="83"/>
      <c r="W1663" s="81"/>
      <c r="X1663" s="81"/>
      <c r="Y1663" s="83"/>
      <c r="Z1663" s="81"/>
      <c r="AA1663" s="81"/>
      <c r="AB1663" s="81"/>
      <c r="AC1663" s="81"/>
      <c r="AD1663" s="81"/>
      <c r="AE1663" s="83"/>
      <c r="AF1663" s="81"/>
      <c r="AG1663" s="81"/>
      <c r="AH1663" s="81"/>
      <c r="AI1663" s="81"/>
      <c r="AJ1663" s="83"/>
      <c r="AK1663" s="81"/>
      <c r="AL1663" s="81"/>
      <c r="AM1663" s="83"/>
      <c r="AN1663" s="80"/>
      <c r="AO1663" s="82" t="n">
        <f aca="false">IF(E1663="","",(AA1663&lt;&gt;"")+(AG1663&lt;&gt;"")+(AL1663&lt;&gt;""))</f>
        <v>0</v>
      </c>
      <c r="AP1663" s="82" t="str">
        <f aca="false">IF(AL1663&lt;&gt;"",AL1663,IF(AG1663&lt;&gt;"",AG1663,IF(AA1663&lt;&gt;"",AA1663,"")))</f>
        <v/>
      </c>
      <c r="AQ1663" s="84" t="str">
        <f aca="false">IF(E1663="","",IF(U1663="","À SOUDER",IF(X1663="","VT EN ATTENTE",IF(X1663="R","VT REJETÉ – À REPRENDRE",IF(AP1663="","À RADIOGRAPHIER",IF(AP1663="A","ACCEPTÉ",IF(AP1663="NX","NX – RT À REFAIRE",IF(IF(AO1663=1,AD1663,IF(AO1663=2,AI1663,""))="A","RÉPARÉ – À RADIOGRAPHIER",IF(IF(AO1663=1,AD1663,IF(AO1663=2,AI1663,""))="R","VT REJETÉ – À REPRENDRE",IF(OR(AP1663="CO",AP1663="NT"),"COUPE – À RESOUDER","À RÉPARER"))))))))))</f>
        <v>À SOUDER</v>
      </c>
      <c r="AR1663" s="82" t="str">
        <f aca="false">IF(AND(ISNUMBER(U1663),OR(AQ1663="À RADIOGRAPHIER",AQ1663="RÉPARÉ – À RADIOGRAPHIER",AQ1663="NX – RT À REFAIRE",AQ1663="À RÉPARER",AQ1663="COUPE – À RESOUDER",AQ1663="VT REJETÉ – À REPRENDRE")),MAX(0,'PROGRAMME RT'!$C$4-U1663),"")</f>
        <v/>
      </c>
      <c r="AS1663" s="82" t="n">
        <f aca="false">IF(AND(OR(AQ1663="À RADIOGRAPHIER",AQ1663="RÉPARÉ – À RADIOGRAPHIER",AQ1663="NX – RT À REFAIRE"),OR('PROGRAMME RT'!$D$5="TOUTES",B1663='PROGRAMME RT'!$D$5)),1,0)</f>
        <v>0</v>
      </c>
      <c r="AT1663" s="82" t="str">
        <f aca="false">IF(AS1663=1,SUM(AS$7:AS1663),"")</f>
        <v/>
      </c>
      <c r="AU1663" s="82" t="n">
        <f aca="false">IF(AND(OR(AA1663="R",AA1663="NX",AA1663="NT",AA1663="CO"),OR('JOINTS DE RÉPARATION'!$D$5="TOUTES",B1663='JOINTS DE RÉPARATION'!$D$5),OR('JOINTS DE RÉPARATION'!$L$4="TOUS",AQ1663&lt;&gt;"ACCEPTÉ")),1,0)</f>
        <v>0</v>
      </c>
      <c r="AV1663" s="82" t="str">
        <f aca="false">IF(AU1663=1,SUM(AU$7:AU1663),"")</f>
        <v/>
      </c>
      <c r="AW1663" s="82" t="str">
        <f aca="false">IF(E1663="","",B1663&amp;"|"&amp;E1663)</f>
        <v>MFD-ISW → MFD-CPF|JN°1343</v>
      </c>
    </row>
    <row r="1664" customFormat="false" ht="74.6" hidden="false" customHeight="false" outlineLevel="0" collapsed="false">
      <c r="A1664" s="79" t="n">
        <f aca="false">IF(E1664="","",ROW()-6)</f>
        <v>1658</v>
      </c>
      <c r="B1664" s="80" t="s">
        <v>110</v>
      </c>
      <c r="C1664" s="81" t="s">
        <v>926</v>
      </c>
      <c r="D1664" s="81" t="n">
        <v>14</v>
      </c>
      <c r="E1664" s="81" t="s">
        <v>2014</v>
      </c>
      <c r="F1664" s="82" t="str">
        <f aca="false">IF(E1664="","",IF(LEFT(E1664,2)="DJ","DJ","JN"))</f>
        <v>JN</v>
      </c>
      <c r="G1664" s="81"/>
      <c r="H1664" s="81"/>
      <c r="I1664" s="81"/>
      <c r="J1664" s="81"/>
      <c r="K1664" s="81"/>
      <c r="L1664" s="81"/>
      <c r="M1664" s="81"/>
      <c r="N1664" s="81"/>
      <c r="O1664" s="81"/>
      <c r="P1664" s="81"/>
      <c r="Q1664" s="81"/>
      <c r="R1664" s="81"/>
      <c r="S1664" s="81"/>
      <c r="T1664" s="81"/>
      <c r="U1664" s="83"/>
      <c r="V1664" s="83"/>
      <c r="W1664" s="81"/>
      <c r="X1664" s="81"/>
      <c r="Y1664" s="83"/>
      <c r="Z1664" s="81"/>
      <c r="AA1664" s="81"/>
      <c r="AB1664" s="81"/>
      <c r="AC1664" s="81"/>
      <c r="AD1664" s="81"/>
      <c r="AE1664" s="83"/>
      <c r="AF1664" s="81"/>
      <c r="AG1664" s="81"/>
      <c r="AH1664" s="81"/>
      <c r="AI1664" s="81"/>
      <c r="AJ1664" s="83"/>
      <c r="AK1664" s="81"/>
      <c r="AL1664" s="81"/>
      <c r="AM1664" s="83"/>
      <c r="AN1664" s="80"/>
      <c r="AO1664" s="82" t="n">
        <f aca="false">IF(E1664="","",(AA1664&lt;&gt;"")+(AG1664&lt;&gt;"")+(AL1664&lt;&gt;""))</f>
        <v>0</v>
      </c>
      <c r="AP1664" s="82" t="str">
        <f aca="false">IF(AL1664&lt;&gt;"",AL1664,IF(AG1664&lt;&gt;"",AG1664,IF(AA1664&lt;&gt;"",AA1664,"")))</f>
        <v/>
      </c>
      <c r="AQ1664" s="84" t="str">
        <f aca="false">IF(E1664="","",IF(U1664="","À SOUDER",IF(X1664="","VT EN ATTENTE",IF(X1664="R","VT REJETÉ – À REPRENDRE",IF(AP1664="","À RADIOGRAPHIER",IF(AP1664="A","ACCEPTÉ",IF(AP1664="NX","NX – RT À REFAIRE",IF(IF(AO1664=1,AD1664,IF(AO1664=2,AI1664,""))="A","RÉPARÉ – À RADIOGRAPHIER",IF(IF(AO1664=1,AD1664,IF(AO1664=2,AI1664,""))="R","VT REJETÉ – À REPRENDRE",IF(OR(AP1664="CO",AP1664="NT"),"COUPE – À RESOUDER","À RÉPARER"))))))))))</f>
        <v>À SOUDER</v>
      </c>
      <c r="AR1664" s="82" t="str">
        <f aca="false">IF(AND(ISNUMBER(U1664),OR(AQ1664="À RADIOGRAPHIER",AQ1664="RÉPARÉ – À RADIOGRAPHIER",AQ1664="NX – RT À REFAIRE",AQ1664="À RÉPARER",AQ1664="COUPE – À RESOUDER",AQ1664="VT REJETÉ – À REPRENDRE")),MAX(0,'PROGRAMME RT'!$C$4-U1664),"")</f>
        <v/>
      </c>
      <c r="AS1664" s="82" t="n">
        <f aca="false">IF(AND(OR(AQ1664="À RADIOGRAPHIER",AQ1664="RÉPARÉ – À RADIOGRAPHIER",AQ1664="NX – RT À REFAIRE"),OR('PROGRAMME RT'!$D$5="TOUTES",B1664='PROGRAMME RT'!$D$5)),1,0)</f>
        <v>0</v>
      </c>
      <c r="AT1664" s="82" t="str">
        <f aca="false">IF(AS1664=1,SUM(AS$7:AS1664),"")</f>
        <v/>
      </c>
      <c r="AU1664" s="82" t="n">
        <f aca="false">IF(AND(OR(AA1664="R",AA1664="NX",AA1664="NT",AA1664="CO"),OR('JOINTS DE RÉPARATION'!$D$5="TOUTES",B1664='JOINTS DE RÉPARATION'!$D$5),OR('JOINTS DE RÉPARATION'!$L$4="TOUS",AQ1664&lt;&gt;"ACCEPTÉ")),1,0)</f>
        <v>0</v>
      </c>
      <c r="AV1664" s="82" t="str">
        <f aca="false">IF(AU1664=1,SUM(AU$7:AU1664),"")</f>
        <v/>
      </c>
      <c r="AW1664" s="82" t="str">
        <f aca="false">IF(E1664="","",B1664&amp;"|"&amp;E1664)</f>
        <v>MFD-ISW → MFD-CPF|JN°1344</v>
      </c>
    </row>
    <row r="1665" customFormat="false" ht="74.6" hidden="false" customHeight="false" outlineLevel="0" collapsed="false">
      <c r="A1665" s="79" t="n">
        <f aca="false">IF(E1665="","",ROW()-6)</f>
        <v>1659</v>
      </c>
      <c r="B1665" s="80" t="s">
        <v>110</v>
      </c>
      <c r="C1665" s="81" t="s">
        <v>926</v>
      </c>
      <c r="D1665" s="81" t="n">
        <v>14</v>
      </c>
      <c r="E1665" s="81" t="s">
        <v>2015</v>
      </c>
      <c r="F1665" s="82" t="str">
        <f aca="false">IF(E1665="","",IF(LEFT(E1665,2)="DJ","DJ","JN"))</f>
        <v>JN</v>
      </c>
      <c r="G1665" s="81"/>
      <c r="H1665" s="81"/>
      <c r="I1665" s="81"/>
      <c r="J1665" s="81"/>
      <c r="K1665" s="81"/>
      <c r="L1665" s="81"/>
      <c r="M1665" s="81"/>
      <c r="N1665" s="81"/>
      <c r="O1665" s="81" t="n">
        <v>2082700</v>
      </c>
      <c r="P1665" s="81" t="n">
        <v>15421104</v>
      </c>
      <c r="Q1665" s="81" t="n">
        <v>11.94</v>
      </c>
      <c r="R1665" s="81"/>
      <c r="S1665" s="81"/>
      <c r="T1665" s="81"/>
      <c r="U1665" s="83"/>
      <c r="V1665" s="83"/>
      <c r="W1665" s="81"/>
      <c r="X1665" s="81"/>
      <c r="Y1665" s="83"/>
      <c r="Z1665" s="81"/>
      <c r="AA1665" s="81"/>
      <c r="AB1665" s="81"/>
      <c r="AC1665" s="81"/>
      <c r="AD1665" s="81"/>
      <c r="AE1665" s="83"/>
      <c r="AF1665" s="81"/>
      <c r="AG1665" s="81"/>
      <c r="AH1665" s="81"/>
      <c r="AI1665" s="81"/>
      <c r="AJ1665" s="83"/>
      <c r="AK1665" s="81"/>
      <c r="AL1665" s="81"/>
      <c r="AM1665" s="83"/>
      <c r="AN1665" s="80"/>
      <c r="AO1665" s="82" t="n">
        <f aca="false">IF(E1665="","",(AA1665&lt;&gt;"")+(AG1665&lt;&gt;"")+(AL1665&lt;&gt;""))</f>
        <v>0</v>
      </c>
      <c r="AP1665" s="82" t="str">
        <f aca="false">IF(AL1665&lt;&gt;"",AL1665,IF(AG1665&lt;&gt;"",AG1665,IF(AA1665&lt;&gt;"",AA1665,"")))</f>
        <v/>
      </c>
      <c r="AQ1665" s="84" t="str">
        <f aca="false">IF(E1665="","",IF(U1665="","À SOUDER",IF(X1665="","VT EN ATTENTE",IF(X1665="R","VT REJETÉ – À REPRENDRE",IF(AP1665="","À RADIOGRAPHIER",IF(AP1665="A","ACCEPTÉ",IF(AP1665="NX","NX – RT À REFAIRE",IF(IF(AO1665=1,AD1665,IF(AO1665=2,AI1665,""))="A","RÉPARÉ – À RADIOGRAPHIER",IF(IF(AO1665=1,AD1665,IF(AO1665=2,AI1665,""))="R","VT REJETÉ – À REPRENDRE",IF(OR(AP1665="CO",AP1665="NT"),"COUPE – À RESOUDER","À RÉPARER"))))))))))</f>
        <v>À SOUDER</v>
      </c>
      <c r="AR1665" s="82" t="str">
        <f aca="false">IF(AND(ISNUMBER(U1665),OR(AQ1665="À RADIOGRAPHIER",AQ1665="RÉPARÉ – À RADIOGRAPHIER",AQ1665="NX – RT À REFAIRE",AQ1665="À RÉPARER",AQ1665="COUPE – À RESOUDER",AQ1665="VT REJETÉ – À REPRENDRE")),MAX(0,'PROGRAMME RT'!$C$4-U1665),"")</f>
        <v/>
      </c>
      <c r="AS1665" s="82" t="n">
        <f aca="false">IF(AND(OR(AQ1665="À RADIOGRAPHIER",AQ1665="RÉPARÉ – À RADIOGRAPHIER",AQ1665="NX – RT À REFAIRE"),OR('PROGRAMME RT'!$D$5="TOUTES",B1665='PROGRAMME RT'!$D$5)),1,0)</f>
        <v>0</v>
      </c>
      <c r="AT1665" s="82" t="str">
        <f aca="false">IF(AS1665=1,SUM(AS$7:AS1665),"")</f>
        <v/>
      </c>
      <c r="AU1665" s="82" t="n">
        <f aca="false">IF(AND(OR(AA1665="R",AA1665="NX",AA1665="NT",AA1665="CO"),OR('JOINTS DE RÉPARATION'!$D$5="TOUTES",B1665='JOINTS DE RÉPARATION'!$D$5),OR('JOINTS DE RÉPARATION'!$L$4="TOUS",AQ1665&lt;&gt;"ACCEPTÉ")),1,0)</f>
        <v>0</v>
      </c>
      <c r="AV1665" s="82" t="str">
        <f aca="false">IF(AU1665=1,SUM(AU$7:AU1665),"")</f>
        <v/>
      </c>
      <c r="AW1665" s="82" t="str">
        <f aca="false">IF(E1665="","",B1665&amp;"|"&amp;E1665)</f>
        <v>MFD-ISW → MFD-CPF|JN°1345</v>
      </c>
    </row>
    <row r="1666" customFormat="false" ht="74.6" hidden="false" customHeight="false" outlineLevel="0" collapsed="false">
      <c r="A1666" s="79" t="n">
        <f aca="false">IF(E1666="","",ROW()-6)</f>
        <v>1660</v>
      </c>
      <c r="B1666" s="80" t="s">
        <v>110</v>
      </c>
      <c r="C1666" s="81" t="s">
        <v>2016</v>
      </c>
      <c r="D1666" s="81" t="n">
        <v>14</v>
      </c>
      <c r="E1666" s="81" t="s">
        <v>2017</v>
      </c>
      <c r="F1666" s="82" t="str">
        <f aca="false">IF(E1666="","",IF(LEFT(E1666,2)="DJ","DJ","JN"))</f>
        <v>DJ</v>
      </c>
      <c r="G1666" s="81"/>
      <c r="H1666" s="81" t="s">
        <v>871</v>
      </c>
      <c r="I1666" s="81" t="n">
        <v>9.53</v>
      </c>
      <c r="J1666" s="81" t="s">
        <v>872</v>
      </c>
      <c r="K1666" s="81" t="s">
        <v>873</v>
      </c>
      <c r="L1666" s="81" t="n">
        <v>2082700</v>
      </c>
      <c r="M1666" s="81" t="n">
        <v>15421104</v>
      </c>
      <c r="N1666" s="81" t="n">
        <v>11.94</v>
      </c>
      <c r="O1666" s="81" t="n">
        <v>2082690</v>
      </c>
      <c r="P1666" s="81" t="n">
        <v>15421104</v>
      </c>
      <c r="Q1666" s="81" t="n">
        <v>11.94</v>
      </c>
      <c r="R1666" s="81" t="s">
        <v>1147</v>
      </c>
      <c r="S1666" s="81"/>
      <c r="T1666" s="81"/>
      <c r="U1666" s="83" t="n">
        <v>46264</v>
      </c>
      <c r="V1666" s="83" t="n">
        <v>46264</v>
      </c>
      <c r="W1666" s="81" t="s">
        <v>1895</v>
      </c>
      <c r="X1666" s="81" t="s">
        <v>876</v>
      </c>
      <c r="Y1666" s="83" t="n">
        <v>46265</v>
      </c>
      <c r="Z1666" s="81" t="s">
        <v>1968</v>
      </c>
      <c r="AA1666" s="81" t="s">
        <v>876</v>
      </c>
      <c r="AB1666" s="81"/>
      <c r="AC1666" s="81"/>
      <c r="AD1666" s="81"/>
      <c r="AE1666" s="83"/>
      <c r="AF1666" s="81"/>
      <c r="AG1666" s="81"/>
      <c r="AH1666" s="81"/>
      <c r="AI1666" s="81"/>
      <c r="AJ1666" s="83"/>
      <c r="AK1666" s="81"/>
      <c r="AL1666" s="81"/>
      <c r="AM1666" s="83"/>
      <c r="AN1666" s="80"/>
      <c r="AO1666" s="82" t="n">
        <f aca="false">IF(E1666="","",(AA1666&lt;&gt;"")+(AG1666&lt;&gt;"")+(AL1666&lt;&gt;""))</f>
        <v>1</v>
      </c>
      <c r="AP1666" s="82" t="str">
        <f aca="false">IF(AL1666&lt;&gt;"",AL1666,IF(AG1666&lt;&gt;"",AG1666,IF(AA1666&lt;&gt;"",AA1666,"")))</f>
        <v>A</v>
      </c>
      <c r="AQ1666" s="84" t="str">
        <f aca="false">IF(E1666="","",IF(U1666="","À SOUDER",IF(X1666="","VT EN ATTENTE",IF(X1666="R","VT REJETÉ – À REPRENDRE",IF(AP1666="","À RADIOGRAPHIER",IF(AP1666="A","ACCEPTÉ",IF(AP1666="NX","NX – RT À REFAIRE",IF(IF(AO1666=1,AD1666,IF(AO1666=2,AI1666,""))="A","RÉPARÉ – À RADIOGRAPHIER",IF(IF(AO1666=1,AD1666,IF(AO1666=2,AI1666,""))="R","VT REJETÉ – À REPRENDRE",IF(OR(AP1666="CO",AP1666="NT"),"COUPE – À RESOUDER","À RÉPARER"))))))))))</f>
        <v>ACCEPTÉ</v>
      </c>
      <c r="AR1666" s="82" t="str">
        <f aca="false">IF(AND(ISNUMBER(U1666),OR(AQ1666="À RADIOGRAPHIER",AQ1666="RÉPARÉ – À RADIOGRAPHIER",AQ1666="NX – RT À REFAIRE",AQ1666="À RÉPARER",AQ1666="COUPE – À RESOUDER",AQ1666="VT REJETÉ – À REPRENDRE")),MAX(0,'PROGRAMME RT'!$C$4-U1666),"")</f>
        <v/>
      </c>
      <c r="AS1666" s="82" t="n">
        <f aca="false">IF(AND(OR(AQ1666="À RADIOGRAPHIER",AQ1666="RÉPARÉ – À RADIOGRAPHIER",AQ1666="NX – RT À REFAIRE"),OR('PROGRAMME RT'!$D$5="TOUTES",B1666='PROGRAMME RT'!$D$5)),1,0)</f>
        <v>0</v>
      </c>
      <c r="AT1666" s="82" t="str">
        <f aca="false">IF(AS1666=1,SUM(AS$7:AS1666),"")</f>
        <v/>
      </c>
      <c r="AU1666" s="82" t="n">
        <f aca="false">IF(AND(OR(AA1666="R",AA1666="NX",AA1666="NT",AA1666="CO"),OR('JOINTS DE RÉPARATION'!$D$5="TOUTES",B1666='JOINTS DE RÉPARATION'!$D$5),OR('JOINTS DE RÉPARATION'!$L$4="TOUS",AQ1666&lt;&gt;"ACCEPTÉ")),1,0)</f>
        <v>0</v>
      </c>
      <c r="AV1666" s="82" t="str">
        <f aca="false">IF(AU1666=1,SUM(AU$7:AU1666),"")</f>
        <v/>
      </c>
      <c r="AW1666" s="82" t="str">
        <f aca="false">IF(E1666="","",B1666&amp;"|"&amp;E1666)</f>
        <v>MFD-ISW → MFD-CPF|DJ°200</v>
      </c>
    </row>
    <row r="1667" customFormat="false" ht="74.6" hidden="false" customHeight="false" outlineLevel="0" collapsed="false">
      <c r="A1667" s="79" t="n">
        <f aca="false">IF(E1667="","",ROW()-6)</f>
        <v>1661</v>
      </c>
      <c r="B1667" s="80" t="s">
        <v>110</v>
      </c>
      <c r="C1667" s="81" t="s">
        <v>2016</v>
      </c>
      <c r="D1667" s="81" t="n">
        <v>14</v>
      </c>
      <c r="E1667" s="81" t="s">
        <v>2018</v>
      </c>
      <c r="F1667" s="82" t="str">
        <f aca="false">IF(E1667="","",IF(LEFT(E1667,2)="DJ","DJ","JN"))</f>
        <v>JN</v>
      </c>
      <c r="G1667" s="81" t="s">
        <v>1504</v>
      </c>
      <c r="H1667" s="81" t="s">
        <v>871</v>
      </c>
      <c r="I1667" s="81" t="n">
        <v>9.53</v>
      </c>
      <c r="J1667" s="81" t="s">
        <v>872</v>
      </c>
      <c r="K1667" s="81" t="s">
        <v>879</v>
      </c>
      <c r="L1667" s="81" t="n">
        <v>2082690</v>
      </c>
      <c r="M1667" s="81" t="n">
        <v>15421104</v>
      </c>
      <c r="N1667" s="81" t="n">
        <v>11.94</v>
      </c>
      <c r="O1667" s="81" t="n">
        <v>2082720</v>
      </c>
      <c r="P1667" s="81" t="n">
        <v>15421104</v>
      </c>
      <c r="Q1667" s="81" t="n">
        <v>11.94</v>
      </c>
      <c r="R1667" s="81" t="s">
        <v>1938</v>
      </c>
      <c r="S1667" s="81"/>
      <c r="T1667" s="81"/>
      <c r="U1667" s="83" t="n">
        <v>46274</v>
      </c>
      <c r="V1667" s="83" t="n">
        <v>46274</v>
      </c>
      <c r="W1667" s="81" t="s">
        <v>1991</v>
      </c>
      <c r="X1667" s="81" t="s">
        <v>876</v>
      </c>
      <c r="Y1667" s="83" t="n">
        <v>46279</v>
      </c>
      <c r="Z1667" s="81" t="s">
        <v>1963</v>
      </c>
      <c r="AA1667" s="81" t="s">
        <v>876</v>
      </c>
      <c r="AB1667" s="81"/>
      <c r="AC1667" s="81"/>
      <c r="AD1667" s="81"/>
      <c r="AE1667" s="83"/>
      <c r="AF1667" s="81"/>
      <c r="AG1667" s="81"/>
      <c r="AH1667" s="81"/>
      <c r="AI1667" s="81"/>
      <c r="AJ1667" s="83"/>
      <c r="AK1667" s="81"/>
      <c r="AL1667" s="81"/>
      <c r="AM1667" s="83"/>
      <c r="AN1667" s="80"/>
      <c r="AO1667" s="82" t="n">
        <f aca="false">IF(E1667="","",(AA1667&lt;&gt;"")+(AG1667&lt;&gt;"")+(AL1667&lt;&gt;""))</f>
        <v>1</v>
      </c>
      <c r="AP1667" s="82" t="str">
        <f aca="false">IF(AL1667&lt;&gt;"",AL1667,IF(AG1667&lt;&gt;"",AG1667,IF(AA1667&lt;&gt;"",AA1667,"")))</f>
        <v>A</v>
      </c>
      <c r="AQ1667" s="84" t="str">
        <f aca="false">IF(E1667="","",IF(U1667="","À SOUDER",IF(X1667="","VT EN ATTENTE",IF(X1667="R","VT REJETÉ – À REPRENDRE",IF(AP1667="","À RADIOGRAPHIER",IF(AP1667="A","ACCEPTÉ",IF(AP1667="NX","NX – RT À REFAIRE",IF(IF(AO1667=1,AD1667,IF(AO1667=2,AI1667,""))="A","RÉPARÉ – À RADIOGRAPHIER",IF(IF(AO1667=1,AD1667,IF(AO1667=2,AI1667,""))="R","VT REJETÉ – À REPRENDRE",IF(OR(AP1667="CO",AP1667="NT"),"COUPE – À RESOUDER","À RÉPARER"))))))))))</f>
        <v>ACCEPTÉ</v>
      </c>
      <c r="AR1667" s="82" t="str">
        <f aca="false">IF(AND(ISNUMBER(U1667),OR(AQ1667="À RADIOGRAPHIER",AQ1667="RÉPARÉ – À RADIOGRAPHIER",AQ1667="NX – RT À REFAIRE",AQ1667="À RÉPARER",AQ1667="COUPE – À RESOUDER",AQ1667="VT REJETÉ – À REPRENDRE")),MAX(0,'PROGRAMME RT'!$C$4-U1667),"")</f>
        <v/>
      </c>
      <c r="AS1667" s="82" t="n">
        <f aca="false">IF(AND(OR(AQ1667="À RADIOGRAPHIER",AQ1667="RÉPARÉ – À RADIOGRAPHIER",AQ1667="NX – RT À REFAIRE"),OR('PROGRAMME RT'!$D$5="TOUTES",B1667='PROGRAMME RT'!$D$5)),1,0)</f>
        <v>0</v>
      </c>
      <c r="AT1667" s="82" t="str">
        <f aca="false">IF(AS1667=1,SUM(AS$7:AS1667),"")</f>
        <v/>
      </c>
      <c r="AU1667" s="82" t="n">
        <f aca="false">IF(AND(OR(AA1667="R",AA1667="NX",AA1667="NT",AA1667="CO"),OR('JOINTS DE RÉPARATION'!$D$5="TOUTES",B1667='JOINTS DE RÉPARATION'!$D$5),OR('JOINTS DE RÉPARATION'!$L$4="TOUS",AQ1667&lt;&gt;"ACCEPTÉ")),1,0)</f>
        <v>0</v>
      </c>
      <c r="AV1667" s="82" t="str">
        <f aca="false">IF(AU1667=1,SUM(AU$7:AU1667),"")</f>
        <v/>
      </c>
      <c r="AW1667" s="82" t="str">
        <f aca="false">IF(E1667="","",B1667&amp;"|"&amp;E1667)</f>
        <v>MFD-ISW → MFD-CPF|JN°1346</v>
      </c>
    </row>
    <row r="1668" customFormat="false" ht="74.6" hidden="false" customHeight="false" outlineLevel="0" collapsed="false">
      <c r="A1668" s="79" t="n">
        <f aca="false">IF(E1668="","",ROW()-6)</f>
        <v>1662</v>
      </c>
      <c r="B1668" s="80" t="s">
        <v>110</v>
      </c>
      <c r="C1668" s="81" t="s">
        <v>2016</v>
      </c>
      <c r="D1668" s="81" t="n">
        <v>14</v>
      </c>
      <c r="E1668" s="81" t="s">
        <v>2019</v>
      </c>
      <c r="F1668" s="82" t="str">
        <f aca="false">IF(E1668="","",IF(LEFT(E1668,2)="DJ","DJ","JN"))</f>
        <v>DJ</v>
      </c>
      <c r="G1668" s="81"/>
      <c r="H1668" s="81" t="s">
        <v>871</v>
      </c>
      <c r="I1668" s="81" t="n">
        <v>9.53</v>
      </c>
      <c r="J1668" s="81" t="s">
        <v>872</v>
      </c>
      <c r="K1668" s="81" t="s">
        <v>873</v>
      </c>
      <c r="L1668" s="81" t="n">
        <v>2082720</v>
      </c>
      <c r="M1668" s="81" t="n">
        <v>15421104</v>
      </c>
      <c r="N1668" s="81" t="n">
        <v>11.94</v>
      </c>
      <c r="O1668" s="81" t="n">
        <v>2096640</v>
      </c>
      <c r="P1668" s="81" t="n">
        <v>15421111</v>
      </c>
      <c r="Q1668" s="81" t="n">
        <v>11.94</v>
      </c>
      <c r="R1668" s="81" t="s">
        <v>1147</v>
      </c>
      <c r="S1668" s="81"/>
      <c r="T1668" s="81"/>
      <c r="U1668" s="83" t="n">
        <v>46264</v>
      </c>
      <c r="V1668" s="83" t="n">
        <v>46264</v>
      </c>
      <c r="W1668" s="81" t="s">
        <v>1895</v>
      </c>
      <c r="X1668" s="81" t="s">
        <v>876</v>
      </c>
      <c r="Y1668" s="83" t="n">
        <v>46265</v>
      </c>
      <c r="Z1668" s="81" t="s">
        <v>1968</v>
      </c>
      <c r="AA1668" s="81" t="s">
        <v>876</v>
      </c>
      <c r="AB1668" s="81"/>
      <c r="AC1668" s="81"/>
      <c r="AD1668" s="81"/>
      <c r="AE1668" s="83"/>
      <c r="AF1668" s="81"/>
      <c r="AG1668" s="81"/>
      <c r="AH1668" s="81"/>
      <c r="AI1668" s="81"/>
      <c r="AJ1668" s="83"/>
      <c r="AK1668" s="81"/>
      <c r="AL1668" s="81"/>
      <c r="AM1668" s="83"/>
      <c r="AN1668" s="80"/>
      <c r="AO1668" s="82" t="n">
        <f aca="false">IF(E1668="","",(AA1668&lt;&gt;"")+(AG1668&lt;&gt;"")+(AL1668&lt;&gt;""))</f>
        <v>1</v>
      </c>
      <c r="AP1668" s="82" t="str">
        <f aca="false">IF(AL1668&lt;&gt;"",AL1668,IF(AG1668&lt;&gt;"",AG1668,IF(AA1668&lt;&gt;"",AA1668,"")))</f>
        <v>A</v>
      </c>
      <c r="AQ1668" s="84" t="str">
        <f aca="false">IF(E1668="","",IF(U1668="","À SOUDER",IF(X1668="","VT EN ATTENTE",IF(X1668="R","VT REJETÉ – À REPRENDRE",IF(AP1668="","À RADIOGRAPHIER",IF(AP1668="A","ACCEPTÉ",IF(AP1668="NX","NX – RT À REFAIRE",IF(IF(AO1668=1,AD1668,IF(AO1668=2,AI1668,""))="A","RÉPARÉ – À RADIOGRAPHIER",IF(IF(AO1668=1,AD1668,IF(AO1668=2,AI1668,""))="R","VT REJETÉ – À REPRENDRE",IF(OR(AP1668="CO",AP1668="NT"),"COUPE – À RESOUDER","À RÉPARER"))))))))))</f>
        <v>ACCEPTÉ</v>
      </c>
      <c r="AR1668" s="82" t="str">
        <f aca="false">IF(AND(ISNUMBER(U1668),OR(AQ1668="À RADIOGRAPHIER",AQ1668="RÉPARÉ – À RADIOGRAPHIER",AQ1668="NX – RT À REFAIRE",AQ1668="À RÉPARER",AQ1668="COUPE – À RESOUDER",AQ1668="VT REJETÉ – À REPRENDRE")),MAX(0,'PROGRAMME RT'!$C$4-U1668),"")</f>
        <v/>
      </c>
      <c r="AS1668" s="82" t="n">
        <f aca="false">IF(AND(OR(AQ1668="À RADIOGRAPHIER",AQ1668="RÉPARÉ – À RADIOGRAPHIER",AQ1668="NX – RT À REFAIRE"),OR('PROGRAMME RT'!$D$5="TOUTES",B1668='PROGRAMME RT'!$D$5)),1,0)</f>
        <v>0</v>
      </c>
      <c r="AT1668" s="82" t="str">
        <f aca="false">IF(AS1668=1,SUM(AS$7:AS1668),"")</f>
        <v/>
      </c>
      <c r="AU1668" s="82" t="n">
        <f aca="false">IF(AND(OR(AA1668="R",AA1668="NX",AA1668="NT",AA1668="CO"),OR('JOINTS DE RÉPARATION'!$D$5="TOUTES",B1668='JOINTS DE RÉPARATION'!$D$5),OR('JOINTS DE RÉPARATION'!$L$4="TOUS",AQ1668&lt;&gt;"ACCEPTÉ")),1,0)</f>
        <v>0</v>
      </c>
      <c r="AV1668" s="82" t="str">
        <f aca="false">IF(AU1668=1,SUM(AU$7:AU1668),"")</f>
        <v/>
      </c>
      <c r="AW1668" s="82" t="str">
        <f aca="false">IF(E1668="","",B1668&amp;"|"&amp;E1668)</f>
        <v>MFD-ISW → MFD-CPF|DJ°202</v>
      </c>
    </row>
    <row r="1669" customFormat="false" ht="74.6" hidden="false" customHeight="false" outlineLevel="0" collapsed="false">
      <c r="A1669" s="79" t="n">
        <f aca="false">IF(E1669="","",ROW()-6)</f>
        <v>1663</v>
      </c>
      <c r="B1669" s="80" t="s">
        <v>110</v>
      </c>
      <c r="C1669" s="81" t="s">
        <v>2016</v>
      </c>
      <c r="D1669" s="81" t="n">
        <v>14</v>
      </c>
      <c r="E1669" s="81" t="s">
        <v>2020</v>
      </c>
      <c r="F1669" s="82" t="str">
        <f aca="false">IF(E1669="","",IF(LEFT(E1669,2)="DJ","DJ","JN"))</f>
        <v>JN</v>
      </c>
      <c r="G1669" s="81" t="s">
        <v>1504</v>
      </c>
      <c r="H1669" s="81" t="s">
        <v>871</v>
      </c>
      <c r="I1669" s="81" t="n">
        <v>9.53</v>
      </c>
      <c r="J1669" s="81" t="s">
        <v>872</v>
      </c>
      <c r="K1669" s="81" t="s">
        <v>1861</v>
      </c>
      <c r="L1669" s="81" t="n">
        <v>2096640</v>
      </c>
      <c r="M1669" s="81" t="n">
        <v>15421111</v>
      </c>
      <c r="N1669" s="81" t="n">
        <v>11.94</v>
      </c>
      <c r="O1669" s="81" t="n">
        <v>2081690</v>
      </c>
      <c r="P1669" s="81" t="n">
        <v>15421103</v>
      </c>
      <c r="Q1669" s="81" t="n">
        <v>11.94</v>
      </c>
      <c r="R1669" s="81" t="s">
        <v>1884</v>
      </c>
      <c r="S1669" s="81"/>
      <c r="T1669" s="81"/>
      <c r="U1669" s="83" t="n">
        <v>46290</v>
      </c>
      <c r="V1669" s="83" t="n">
        <v>46290</v>
      </c>
      <c r="W1669" s="81" t="s">
        <v>1984</v>
      </c>
      <c r="X1669" s="81" t="s">
        <v>876</v>
      </c>
      <c r="Y1669" s="83"/>
      <c r="Z1669" s="81"/>
      <c r="AA1669" s="81"/>
      <c r="AB1669" s="81" t="s">
        <v>2021</v>
      </c>
      <c r="AC1669" s="81"/>
      <c r="AD1669" s="81"/>
      <c r="AE1669" s="83"/>
      <c r="AF1669" s="81"/>
      <c r="AG1669" s="81"/>
      <c r="AH1669" s="81"/>
      <c r="AI1669" s="81"/>
      <c r="AJ1669" s="83"/>
      <c r="AK1669" s="81"/>
      <c r="AL1669" s="81"/>
      <c r="AM1669" s="83"/>
      <c r="AN1669" s="80"/>
      <c r="AO1669" s="82" t="n">
        <f aca="false">IF(E1669="","",(AA1669&lt;&gt;"")+(AG1669&lt;&gt;"")+(AL1669&lt;&gt;""))</f>
        <v>0</v>
      </c>
      <c r="AP1669" s="82" t="str">
        <f aca="false">IF(AL1669&lt;&gt;"",AL1669,IF(AG1669&lt;&gt;"",AG1669,IF(AA1669&lt;&gt;"",AA1669,"")))</f>
        <v/>
      </c>
      <c r="AQ1669" s="84" t="str">
        <f aca="false">IF(E1669="","",IF(U1669="","À SOUDER",IF(X1669="","VT EN ATTENTE",IF(X1669="R","VT REJETÉ – À REPRENDRE",IF(AP1669="","À RADIOGRAPHIER",IF(AP1669="A","ACCEPTÉ",IF(AP1669="NX","NX – RT À REFAIRE",IF(IF(AO1669=1,AD1669,IF(AO1669=2,AI1669,""))="A","RÉPARÉ – À RADIOGRAPHIER",IF(IF(AO1669=1,AD1669,IF(AO1669=2,AI1669,""))="R","VT REJETÉ – À REPRENDRE",IF(OR(AP1669="CO",AP1669="NT"),"COUPE – À RESOUDER","À RÉPARER"))))))))))</f>
        <v>À RADIOGRAPHIER</v>
      </c>
      <c r="AR1669" s="82" t="n">
        <f aca="false">IF(AND(ISNUMBER(U1669),OR(AQ1669="À RADIOGRAPHIER",AQ1669="RÉPARÉ – À RADIOGRAPHIER",AQ1669="NX – RT À REFAIRE",AQ1669="À RÉPARER",AQ1669="COUPE – À RESOUDER",AQ1669="VT REJETÉ – À REPRENDRE")),MAX(0,'PROGRAMME RT'!$C$4-U1669),"")</f>
        <v>3</v>
      </c>
      <c r="AS1669" s="82" t="n">
        <f aca="false">IF(AND(OR(AQ1669="À RADIOGRAPHIER",AQ1669="RÉPARÉ – À RADIOGRAPHIER",AQ1669="NX – RT À REFAIRE"),OR('PROGRAMME RT'!$D$5="TOUTES",B1669='PROGRAMME RT'!$D$5)),1,0)</f>
        <v>1</v>
      </c>
      <c r="AT1669" s="82" t="n">
        <f aca="false">IF(AS1669=1,SUM(AS$7:AS1669),"")</f>
        <v>91</v>
      </c>
      <c r="AU1669" s="82" t="n">
        <f aca="false">IF(AND(OR(AA1669="R",AA1669="NX",AA1669="NT",AA1669="CO"),OR('JOINTS DE RÉPARATION'!$D$5="TOUTES",B1669='JOINTS DE RÉPARATION'!$D$5),OR('JOINTS DE RÉPARATION'!$L$4="TOUS",AQ1669&lt;&gt;"ACCEPTÉ")),1,0)</f>
        <v>0</v>
      </c>
      <c r="AV1669" s="82" t="str">
        <f aca="false">IF(AU1669=1,SUM(AU$7:AU1669),"")</f>
        <v/>
      </c>
      <c r="AW1669" s="82" t="str">
        <f aca="false">IF(E1669="","",B1669&amp;"|"&amp;E1669)</f>
        <v>MFD-ISW → MFD-CPF|JN°1347R</v>
      </c>
    </row>
    <row r="1670" customFormat="false" ht="74.6" hidden="false" customHeight="false" outlineLevel="0" collapsed="false">
      <c r="A1670" s="79" t="n">
        <f aca="false">IF(E1670="","",ROW()-6)</f>
        <v>1664</v>
      </c>
      <c r="B1670" s="80" t="s">
        <v>110</v>
      </c>
      <c r="C1670" s="81" t="s">
        <v>2016</v>
      </c>
      <c r="D1670" s="81" t="n">
        <v>14</v>
      </c>
      <c r="E1670" s="81" t="s">
        <v>2022</v>
      </c>
      <c r="F1670" s="82" t="str">
        <f aca="false">IF(E1670="","",IF(LEFT(E1670,2)="DJ","DJ","JN"))</f>
        <v>DJ</v>
      </c>
      <c r="G1670" s="81"/>
      <c r="H1670" s="81" t="s">
        <v>871</v>
      </c>
      <c r="I1670" s="81" t="n">
        <v>9.53</v>
      </c>
      <c r="J1670" s="81" t="s">
        <v>872</v>
      </c>
      <c r="K1670" s="81" t="s">
        <v>873</v>
      </c>
      <c r="L1670" s="81" t="n">
        <v>2081690</v>
      </c>
      <c r="M1670" s="81" t="n">
        <v>15421103</v>
      </c>
      <c r="N1670" s="81" t="n">
        <v>11.94</v>
      </c>
      <c r="O1670" s="81" t="n">
        <v>2095290</v>
      </c>
      <c r="P1670" s="81" t="n">
        <v>15421111</v>
      </c>
      <c r="Q1670" s="81" t="n">
        <v>11.94</v>
      </c>
      <c r="R1670" s="81" t="s">
        <v>1517</v>
      </c>
      <c r="S1670" s="81"/>
      <c r="T1670" s="81"/>
      <c r="U1670" s="83" t="n">
        <v>46263</v>
      </c>
      <c r="V1670" s="83" t="n">
        <v>46263</v>
      </c>
      <c r="W1670" s="81" t="s">
        <v>1922</v>
      </c>
      <c r="X1670" s="81" t="s">
        <v>876</v>
      </c>
      <c r="Y1670" s="83" t="n">
        <v>46265</v>
      </c>
      <c r="Z1670" s="81" t="s">
        <v>1968</v>
      </c>
      <c r="AA1670" s="81" t="s">
        <v>876</v>
      </c>
      <c r="AB1670" s="81"/>
      <c r="AC1670" s="81"/>
      <c r="AD1670" s="81"/>
      <c r="AE1670" s="83"/>
      <c r="AF1670" s="81"/>
      <c r="AG1670" s="81"/>
      <c r="AH1670" s="81"/>
      <c r="AI1670" s="81"/>
      <c r="AJ1670" s="83"/>
      <c r="AK1670" s="81"/>
      <c r="AL1670" s="81"/>
      <c r="AM1670" s="83"/>
      <c r="AN1670" s="80"/>
      <c r="AO1670" s="82" t="n">
        <f aca="false">IF(E1670="","",(AA1670&lt;&gt;"")+(AG1670&lt;&gt;"")+(AL1670&lt;&gt;""))</f>
        <v>1</v>
      </c>
      <c r="AP1670" s="82" t="str">
        <f aca="false">IF(AL1670&lt;&gt;"",AL1670,IF(AG1670&lt;&gt;"",AG1670,IF(AA1670&lt;&gt;"",AA1670,"")))</f>
        <v>A</v>
      </c>
      <c r="AQ1670" s="84" t="str">
        <f aca="false">IF(E1670="","",IF(U1670="","À SOUDER",IF(X1670="","VT EN ATTENTE",IF(X1670="R","VT REJETÉ – À REPRENDRE",IF(AP1670="","À RADIOGRAPHIER",IF(AP1670="A","ACCEPTÉ",IF(AP1670="NX","NX – RT À REFAIRE",IF(IF(AO1670=1,AD1670,IF(AO1670=2,AI1670,""))="A","RÉPARÉ – À RADIOGRAPHIER",IF(IF(AO1670=1,AD1670,IF(AO1670=2,AI1670,""))="R","VT REJETÉ – À REPRENDRE",IF(OR(AP1670="CO",AP1670="NT"),"COUPE – À RESOUDER","À RÉPARER"))))))))))</f>
        <v>ACCEPTÉ</v>
      </c>
      <c r="AR1670" s="82" t="str">
        <f aca="false">IF(AND(ISNUMBER(U1670),OR(AQ1670="À RADIOGRAPHIER",AQ1670="RÉPARÉ – À RADIOGRAPHIER",AQ1670="NX – RT À REFAIRE",AQ1670="À RÉPARER",AQ1670="COUPE – À RESOUDER",AQ1670="VT REJETÉ – À REPRENDRE")),MAX(0,'PROGRAMME RT'!$C$4-U1670),"")</f>
        <v/>
      </c>
      <c r="AS1670" s="82" t="n">
        <f aca="false">IF(AND(OR(AQ1670="À RADIOGRAPHIER",AQ1670="RÉPARÉ – À RADIOGRAPHIER",AQ1670="NX – RT À REFAIRE"),OR('PROGRAMME RT'!$D$5="TOUTES",B1670='PROGRAMME RT'!$D$5)),1,0)</f>
        <v>0</v>
      </c>
      <c r="AT1670" s="82" t="str">
        <f aca="false">IF(AS1670=1,SUM(AS$7:AS1670),"")</f>
        <v/>
      </c>
      <c r="AU1670" s="82" t="n">
        <f aca="false">IF(AND(OR(AA1670="R",AA1670="NX",AA1670="NT",AA1670="CO"),OR('JOINTS DE RÉPARATION'!$D$5="TOUTES",B1670='JOINTS DE RÉPARATION'!$D$5),OR('JOINTS DE RÉPARATION'!$L$4="TOUS",AQ1670&lt;&gt;"ACCEPTÉ")),1,0)</f>
        <v>0</v>
      </c>
      <c r="AV1670" s="82" t="str">
        <f aca="false">IF(AU1670=1,SUM(AU$7:AU1670),"")</f>
        <v/>
      </c>
      <c r="AW1670" s="82" t="str">
        <f aca="false">IF(E1670="","",B1670&amp;"|"&amp;E1670)</f>
        <v>MFD-ISW → MFD-CPF|DJ°194</v>
      </c>
    </row>
    <row r="1671" customFormat="false" ht="74.6" hidden="false" customHeight="false" outlineLevel="0" collapsed="false">
      <c r="A1671" s="79" t="n">
        <f aca="false">IF(E1671="","",ROW()-6)</f>
        <v>1665</v>
      </c>
      <c r="B1671" s="80" t="s">
        <v>110</v>
      </c>
      <c r="C1671" s="81" t="s">
        <v>2016</v>
      </c>
      <c r="D1671" s="81" t="n">
        <v>14</v>
      </c>
      <c r="E1671" s="81" t="s">
        <v>2023</v>
      </c>
      <c r="F1671" s="82" t="str">
        <f aca="false">IF(E1671="","",IF(LEFT(E1671,2)="DJ","DJ","JN"))</f>
        <v>JN</v>
      </c>
      <c r="G1671" s="81" t="s">
        <v>1504</v>
      </c>
      <c r="H1671" s="81" t="s">
        <v>871</v>
      </c>
      <c r="I1671" s="81" t="n">
        <v>9.53</v>
      </c>
      <c r="J1671" s="81" t="s">
        <v>872</v>
      </c>
      <c r="K1671" s="81" t="s">
        <v>879</v>
      </c>
      <c r="L1671" s="81" t="n">
        <v>2095290</v>
      </c>
      <c r="M1671" s="81" t="n">
        <v>15421111</v>
      </c>
      <c r="N1671" s="81" t="n">
        <v>11.94</v>
      </c>
      <c r="O1671" s="81" t="n">
        <v>2096010</v>
      </c>
      <c r="P1671" s="81" t="n">
        <v>15421111</v>
      </c>
      <c r="Q1671" s="81" t="n">
        <v>11.94</v>
      </c>
      <c r="R1671" s="81" t="s">
        <v>1938</v>
      </c>
      <c r="S1671" s="81"/>
      <c r="T1671" s="81"/>
      <c r="U1671" s="83" t="n">
        <v>46274</v>
      </c>
      <c r="V1671" s="83" t="n">
        <v>46274</v>
      </c>
      <c r="W1671" s="81" t="s">
        <v>1991</v>
      </c>
      <c r="X1671" s="81" t="s">
        <v>876</v>
      </c>
      <c r="Y1671" s="83" t="n">
        <v>46279</v>
      </c>
      <c r="Z1671" s="81" t="s">
        <v>2024</v>
      </c>
      <c r="AA1671" s="81" t="s">
        <v>876</v>
      </c>
      <c r="AB1671" s="81"/>
      <c r="AC1671" s="81"/>
      <c r="AD1671" s="81"/>
      <c r="AE1671" s="83"/>
      <c r="AF1671" s="81"/>
      <c r="AG1671" s="81"/>
      <c r="AH1671" s="81"/>
      <c r="AI1671" s="81"/>
      <c r="AJ1671" s="83"/>
      <c r="AK1671" s="81"/>
      <c r="AL1671" s="81"/>
      <c r="AM1671" s="83"/>
      <c r="AN1671" s="80"/>
      <c r="AO1671" s="82" t="n">
        <f aca="false">IF(E1671="","",(AA1671&lt;&gt;"")+(AG1671&lt;&gt;"")+(AL1671&lt;&gt;""))</f>
        <v>1</v>
      </c>
      <c r="AP1671" s="82" t="str">
        <f aca="false">IF(AL1671&lt;&gt;"",AL1671,IF(AG1671&lt;&gt;"",AG1671,IF(AA1671&lt;&gt;"",AA1671,"")))</f>
        <v>A</v>
      </c>
      <c r="AQ1671" s="84" t="str">
        <f aca="false">IF(E1671="","",IF(U1671="","À SOUDER",IF(X1671="","VT EN ATTENTE",IF(X1671="R","VT REJETÉ – À REPRENDRE",IF(AP1671="","À RADIOGRAPHIER",IF(AP1671="A","ACCEPTÉ",IF(AP1671="NX","NX – RT À REFAIRE",IF(IF(AO1671=1,AD1671,IF(AO1671=2,AI1671,""))="A","RÉPARÉ – À RADIOGRAPHIER",IF(IF(AO1671=1,AD1671,IF(AO1671=2,AI1671,""))="R","VT REJETÉ – À REPRENDRE",IF(OR(AP1671="CO",AP1671="NT"),"COUPE – À RESOUDER","À RÉPARER"))))))))))</f>
        <v>ACCEPTÉ</v>
      </c>
      <c r="AR1671" s="82" t="str">
        <f aca="false">IF(AND(ISNUMBER(U1671),OR(AQ1671="À RADIOGRAPHIER",AQ1671="RÉPARÉ – À RADIOGRAPHIER",AQ1671="NX – RT À REFAIRE",AQ1671="À RÉPARER",AQ1671="COUPE – À RESOUDER",AQ1671="VT REJETÉ – À REPRENDRE")),MAX(0,'PROGRAMME RT'!$C$4-U1671),"")</f>
        <v/>
      </c>
      <c r="AS1671" s="82" t="n">
        <f aca="false">IF(AND(OR(AQ1671="À RADIOGRAPHIER",AQ1671="RÉPARÉ – À RADIOGRAPHIER",AQ1671="NX – RT À REFAIRE"),OR('PROGRAMME RT'!$D$5="TOUTES",B1671='PROGRAMME RT'!$D$5)),1,0)</f>
        <v>0</v>
      </c>
      <c r="AT1671" s="82" t="str">
        <f aca="false">IF(AS1671=1,SUM(AS$7:AS1671),"")</f>
        <v/>
      </c>
      <c r="AU1671" s="82" t="n">
        <f aca="false">IF(AND(OR(AA1671="R",AA1671="NX",AA1671="NT",AA1671="CO"),OR('JOINTS DE RÉPARATION'!$D$5="TOUTES",B1671='JOINTS DE RÉPARATION'!$D$5),OR('JOINTS DE RÉPARATION'!$L$4="TOUS",AQ1671&lt;&gt;"ACCEPTÉ")),1,0)</f>
        <v>0</v>
      </c>
      <c r="AV1671" s="82" t="str">
        <f aca="false">IF(AU1671=1,SUM(AU$7:AU1671),"")</f>
        <v/>
      </c>
      <c r="AW1671" s="82" t="str">
        <f aca="false">IF(E1671="","",B1671&amp;"|"&amp;E1671)</f>
        <v>MFD-ISW → MFD-CPF|JN°1348</v>
      </c>
    </row>
    <row r="1672" customFormat="false" ht="74.6" hidden="false" customHeight="false" outlineLevel="0" collapsed="false">
      <c r="A1672" s="79" t="n">
        <f aca="false">IF(E1672="","",ROW()-6)</f>
        <v>1666</v>
      </c>
      <c r="B1672" s="80" t="s">
        <v>110</v>
      </c>
      <c r="C1672" s="81" t="s">
        <v>2016</v>
      </c>
      <c r="D1672" s="81" t="n">
        <v>14</v>
      </c>
      <c r="E1672" s="81" t="s">
        <v>2025</v>
      </c>
      <c r="F1672" s="82" t="str">
        <f aca="false">IF(E1672="","",IF(LEFT(E1672,2)="DJ","DJ","JN"))</f>
        <v>DJ</v>
      </c>
      <c r="G1672" s="81"/>
      <c r="H1672" s="81" t="s">
        <v>871</v>
      </c>
      <c r="I1672" s="81" t="n">
        <v>9.53</v>
      </c>
      <c r="J1672" s="81" t="s">
        <v>872</v>
      </c>
      <c r="K1672" s="81" t="s">
        <v>873</v>
      </c>
      <c r="L1672" s="81" t="n">
        <v>2096010</v>
      </c>
      <c r="M1672" s="81" t="n">
        <v>15421111</v>
      </c>
      <c r="N1672" s="81" t="n">
        <v>11.94</v>
      </c>
      <c r="O1672" s="81" t="n">
        <v>2098290</v>
      </c>
      <c r="P1672" s="81" t="n">
        <v>15421112</v>
      </c>
      <c r="Q1672" s="81" t="n">
        <v>11.94</v>
      </c>
      <c r="R1672" s="81" t="s">
        <v>1135</v>
      </c>
      <c r="S1672" s="81"/>
      <c r="T1672" s="81"/>
      <c r="U1672" s="83" t="n">
        <v>46264</v>
      </c>
      <c r="V1672" s="83" t="n">
        <v>46264</v>
      </c>
      <c r="W1672" s="81" t="s">
        <v>1895</v>
      </c>
      <c r="X1672" s="81" t="s">
        <v>876</v>
      </c>
      <c r="Y1672" s="83" t="n">
        <v>46265</v>
      </c>
      <c r="Z1672" s="81" t="s">
        <v>1968</v>
      </c>
      <c r="AA1672" s="81" t="s">
        <v>876</v>
      </c>
      <c r="AB1672" s="81"/>
      <c r="AC1672" s="81"/>
      <c r="AD1672" s="81"/>
      <c r="AE1672" s="83"/>
      <c r="AF1672" s="81"/>
      <c r="AG1672" s="81"/>
      <c r="AH1672" s="81"/>
      <c r="AI1672" s="81"/>
      <c r="AJ1672" s="83"/>
      <c r="AK1672" s="81"/>
      <c r="AL1672" s="81"/>
      <c r="AM1672" s="83"/>
      <c r="AN1672" s="80"/>
      <c r="AO1672" s="82" t="n">
        <f aca="false">IF(E1672="","",(AA1672&lt;&gt;"")+(AG1672&lt;&gt;"")+(AL1672&lt;&gt;""))</f>
        <v>1</v>
      </c>
      <c r="AP1672" s="82" t="str">
        <f aca="false">IF(AL1672&lt;&gt;"",AL1672,IF(AG1672&lt;&gt;"",AG1672,IF(AA1672&lt;&gt;"",AA1672,"")))</f>
        <v>A</v>
      </c>
      <c r="AQ1672" s="84" t="str">
        <f aca="false">IF(E1672="","",IF(U1672="","À SOUDER",IF(X1672="","VT EN ATTENTE",IF(X1672="R","VT REJETÉ – À REPRENDRE",IF(AP1672="","À RADIOGRAPHIER",IF(AP1672="A","ACCEPTÉ",IF(AP1672="NX","NX – RT À REFAIRE",IF(IF(AO1672=1,AD1672,IF(AO1672=2,AI1672,""))="A","RÉPARÉ – À RADIOGRAPHIER",IF(IF(AO1672=1,AD1672,IF(AO1672=2,AI1672,""))="R","VT REJETÉ – À REPRENDRE",IF(OR(AP1672="CO",AP1672="NT"),"COUPE – À RESOUDER","À RÉPARER"))))))))))</f>
        <v>ACCEPTÉ</v>
      </c>
      <c r="AR1672" s="82" t="str">
        <f aca="false">IF(AND(ISNUMBER(U1672),OR(AQ1672="À RADIOGRAPHIER",AQ1672="RÉPARÉ – À RADIOGRAPHIER",AQ1672="NX – RT À REFAIRE",AQ1672="À RÉPARER",AQ1672="COUPE – À RESOUDER",AQ1672="VT REJETÉ – À REPRENDRE")),MAX(0,'PROGRAMME RT'!$C$4-U1672),"")</f>
        <v/>
      </c>
      <c r="AS1672" s="82" t="n">
        <f aca="false">IF(AND(OR(AQ1672="À RADIOGRAPHIER",AQ1672="RÉPARÉ – À RADIOGRAPHIER",AQ1672="NX – RT À REFAIRE"),OR('PROGRAMME RT'!$D$5="TOUTES",B1672='PROGRAMME RT'!$D$5)),1,0)</f>
        <v>0</v>
      </c>
      <c r="AT1672" s="82" t="str">
        <f aca="false">IF(AS1672=1,SUM(AS$7:AS1672),"")</f>
        <v/>
      </c>
      <c r="AU1672" s="82" t="n">
        <f aca="false">IF(AND(OR(AA1672="R",AA1672="NX",AA1672="NT",AA1672="CO"),OR('JOINTS DE RÉPARATION'!$D$5="TOUTES",B1672='JOINTS DE RÉPARATION'!$D$5),OR('JOINTS DE RÉPARATION'!$L$4="TOUS",AQ1672&lt;&gt;"ACCEPTÉ")),1,0)</f>
        <v>0</v>
      </c>
      <c r="AV1672" s="82" t="str">
        <f aca="false">IF(AU1672=1,SUM(AU$7:AU1672),"")</f>
        <v/>
      </c>
      <c r="AW1672" s="82" t="str">
        <f aca="false">IF(E1672="","",B1672&amp;"|"&amp;E1672)</f>
        <v>MFD-ISW → MFD-CPF|DJ°198</v>
      </c>
    </row>
    <row r="1673" customFormat="false" ht="74.6" hidden="false" customHeight="false" outlineLevel="0" collapsed="false">
      <c r="A1673" s="79" t="n">
        <f aca="false">IF(E1673="","",ROW()-6)</f>
        <v>1667</v>
      </c>
      <c r="B1673" s="80" t="s">
        <v>110</v>
      </c>
      <c r="C1673" s="81" t="s">
        <v>2016</v>
      </c>
      <c r="D1673" s="81" t="n">
        <v>14</v>
      </c>
      <c r="E1673" s="81" t="s">
        <v>2026</v>
      </c>
      <c r="F1673" s="82" t="str">
        <f aca="false">IF(E1673="","",IF(LEFT(E1673,2)="DJ","DJ","JN"))</f>
        <v>JN</v>
      </c>
      <c r="G1673" s="81" t="s">
        <v>1504</v>
      </c>
      <c r="H1673" s="81" t="s">
        <v>871</v>
      </c>
      <c r="I1673" s="81" t="n">
        <v>9.53</v>
      </c>
      <c r="J1673" s="81" t="s">
        <v>872</v>
      </c>
      <c r="K1673" s="81" t="s">
        <v>879</v>
      </c>
      <c r="L1673" s="81" t="n">
        <v>2098290</v>
      </c>
      <c r="M1673" s="81" t="n">
        <v>15421112</v>
      </c>
      <c r="N1673" s="81" t="n">
        <v>11.94</v>
      </c>
      <c r="O1673" s="81" t="n">
        <v>2089020</v>
      </c>
      <c r="P1673" s="81" t="n">
        <v>15421108</v>
      </c>
      <c r="Q1673" s="81" t="n">
        <v>11.94</v>
      </c>
      <c r="R1673" s="81" t="s">
        <v>1938</v>
      </c>
      <c r="S1673" s="81"/>
      <c r="T1673" s="81"/>
      <c r="U1673" s="83" t="n">
        <v>46274</v>
      </c>
      <c r="V1673" s="83" t="n">
        <v>46274</v>
      </c>
      <c r="W1673" s="81" t="s">
        <v>1991</v>
      </c>
      <c r="X1673" s="81" t="s">
        <v>876</v>
      </c>
      <c r="Y1673" s="83" t="n">
        <v>46279</v>
      </c>
      <c r="Z1673" s="81" t="s">
        <v>2024</v>
      </c>
      <c r="AA1673" s="81" t="s">
        <v>876</v>
      </c>
      <c r="AB1673" s="81"/>
      <c r="AC1673" s="81"/>
      <c r="AD1673" s="81"/>
      <c r="AE1673" s="83"/>
      <c r="AF1673" s="81"/>
      <c r="AG1673" s="81"/>
      <c r="AH1673" s="81"/>
      <c r="AI1673" s="81"/>
      <c r="AJ1673" s="83"/>
      <c r="AK1673" s="81"/>
      <c r="AL1673" s="81"/>
      <c r="AM1673" s="83"/>
      <c r="AN1673" s="80"/>
      <c r="AO1673" s="82" t="n">
        <f aca="false">IF(E1673="","",(AA1673&lt;&gt;"")+(AG1673&lt;&gt;"")+(AL1673&lt;&gt;""))</f>
        <v>1</v>
      </c>
      <c r="AP1673" s="82" t="str">
        <f aca="false">IF(AL1673&lt;&gt;"",AL1673,IF(AG1673&lt;&gt;"",AG1673,IF(AA1673&lt;&gt;"",AA1673,"")))</f>
        <v>A</v>
      </c>
      <c r="AQ1673" s="84" t="str">
        <f aca="false">IF(E1673="","",IF(U1673="","À SOUDER",IF(X1673="","VT EN ATTENTE",IF(X1673="R","VT REJETÉ – À REPRENDRE",IF(AP1673="","À RADIOGRAPHIER",IF(AP1673="A","ACCEPTÉ",IF(AP1673="NX","NX – RT À REFAIRE",IF(IF(AO1673=1,AD1673,IF(AO1673=2,AI1673,""))="A","RÉPARÉ – À RADIOGRAPHIER",IF(IF(AO1673=1,AD1673,IF(AO1673=2,AI1673,""))="R","VT REJETÉ – À REPRENDRE",IF(OR(AP1673="CO",AP1673="NT"),"COUPE – À RESOUDER","À RÉPARER"))))))))))</f>
        <v>ACCEPTÉ</v>
      </c>
      <c r="AR1673" s="82" t="str">
        <f aca="false">IF(AND(ISNUMBER(U1673),OR(AQ1673="À RADIOGRAPHIER",AQ1673="RÉPARÉ – À RADIOGRAPHIER",AQ1673="NX – RT À REFAIRE",AQ1673="À RÉPARER",AQ1673="COUPE – À RESOUDER",AQ1673="VT REJETÉ – À REPRENDRE")),MAX(0,'PROGRAMME RT'!$C$4-U1673),"")</f>
        <v/>
      </c>
      <c r="AS1673" s="82" t="n">
        <f aca="false">IF(AND(OR(AQ1673="À RADIOGRAPHIER",AQ1673="RÉPARÉ – À RADIOGRAPHIER",AQ1673="NX – RT À REFAIRE"),OR('PROGRAMME RT'!$D$5="TOUTES",B1673='PROGRAMME RT'!$D$5)),1,0)</f>
        <v>0</v>
      </c>
      <c r="AT1673" s="82" t="str">
        <f aca="false">IF(AS1673=1,SUM(AS$7:AS1673),"")</f>
        <v/>
      </c>
      <c r="AU1673" s="82" t="n">
        <f aca="false">IF(AND(OR(AA1673="R",AA1673="NX",AA1673="NT",AA1673="CO"),OR('JOINTS DE RÉPARATION'!$D$5="TOUTES",B1673='JOINTS DE RÉPARATION'!$D$5),OR('JOINTS DE RÉPARATION'!$L$4="TOUS",AQ1673&lt;&gt;"ACCEPTÉ")),1,0)</f>
        <v>0</v>
      </c>
      <c r="AV1673" s="82" t="str">
        <f aca="false">IF(AU1673=1,SUM(AU$7:AU1673),"")</f>
        <v/>
      </c>
      <c r="AW1673" s="82" t="str">
        <f aca="false">IF(E1673="","",B1673&amp;"|"&amp;E1673)</f>
        <v>MFD-ISW → MFD-CPF|JN°1349</v>
      </c>
    </row>
    <row r="1674" customFormat="false" ht="74.6" hidden="false" customHeight="false" outlineLevel="0" collapsed="false">
      <c r="A1674" s="79" t="n">
        <f aca="false">IF(E1674="","",ROW()-6)</f>
        <v>1668</v>
      </c>
      <c r="B1674" s="80" t="s">
        <v>110</v>
      </c>
      <c r="C1674" s="81" t="s">
        <v>2016</v>
      </c>
      <c r="D1674" s="81" t="n">
        <v>14</v>
      </c>
      <c r="E1674" s="81" t="s">
        <v>2027</v>
      </c>
      <c r="F1674" s="82" t="str">
        <f aca="false">IF(E1674="","",IF(LEFT(E1674,2)="DJ","DJ","JN"))</f>
        <v>DJ</v>
      </c>
      <c r="G1674" s="81"/>
      <c r="H1674" s="81" t="s">
        <v>871</v>
      </c>
      <c r="I1674" s="81" t="n">
        <v>9.53</v>
      </c>
      <c r="J1674" s="81" t="s">
        <v>872</v>
      </c>
      <c r="K1674" s="81" t="s">
        <v>873</v>
      </c>
      <c r="L1674" s="81" t="n">
        <v>2089020</v>
      </c>
      <c r="M1674" s="81" t="n">
        <v>15421108</v>
      </c>
      <c r="N1674" s="81" t="n">
        <v>11.94</v>
      </c>
      <c r="O1674" s="81" t="n">
        <v>2096810</v>
      </c>
      <c r="P1674" s="81" t="n">
        <v>15421111</v>
      </c>
      <c r="Q1674" s="81" t="n">
        <v>11.94</v>
      </c>
      <c r="R1674" s="81" t="s">
        <v>963</v>
      </c>
      <c r="S1674" s="81"/>
      <c r="T1674" s="81"/>
      <c r="U1674" s="83" t="n">
        <v>46263</v>
      </c>
      <c r="V1674" s="83" t="n">
        <v>46263</v>
      </c>
      <c r="W1674" s="81" t="s">
        <v>1922</v>
      </c>
      <c r="X1674" s="81" t="s">
        <v>876</v>
      </c>
      <c r="Y1674" s="83" t="n">
        <v>46265</v>
      </c>
      <c r="Z1674" s="81" t="s">
        <v>1968</v>
      </c>
      <c r="AA1674" s="81" t="s">
        <v>876</v>
      </c>
      <c r="AB1674" s="81"/>
      <c r="AC1674" s="81"/>
      <c r="AD1674" s="81"/>
      <c r="AE1674" s="83"/>
      <c r="AF1674" s="81"/>
      <c r="AG1674" s="81"/>
      <c r="AH1674" s="81"/>
      <c r="AI1674" s="81"/>
      <c r="AJ1674" s="83"/>
      <c r="AK1674" s="81"/>
      <c r="AL1674" s="81"/>
      <c r="AM1674" s="83"/>
      <c r="AN1674" s="80"/>
      <c r="AO1674" s="82" t="n">
        <f aca="false">IF(E1674="","",(AA1674&lt;&gt;"")+(AG1674&lt;&gt;"")+(AL1674&lt;&gt;""))</f>
        <v>1</v>
      </c>
      <c r="AP1674" s="82" t="str">
        <f aca="false">IF(AL1674&lt;&gt;"",AL1674,IF(AG1674&lt;&gt;"",AG1674,IF(AA1674&lt;&gt;"",AA1674,"")))</f>
        <v>A</v>
      </c>
      <c r="AQ1674" s="84" t="str">
        <f aca="false">IF(E1674="","",IF(U1674="","À SOUDER",IF(X1674="","VT EN ATTENTE",IF(X1674="R","VT REJETÉ – À REPRENDRE",IF(AP1674="","À RADIOGRAPHIER",IF(AP1674="A","ACCEPTÉ",IF(AP1674="NX","NX – RT À REFAIRE",IF(IF(AO1674=1,AD1674,IF(AO1674=2,AI1674,""))="A","RÉPARÉ – À RADIOGRAPHIER",IF(IF(AO1674=1,AD1674,IF(AO1674=2,AI1674,""))="R","VT REJETÉ – À REPRENDRE",IF(OR(AP1674="CO",AP1674="NT"),"COUPE – À RESOUDER","À RÉPARER"))))))))))</f>
        <v>ACCEPTÉ</v>
      </c>
      <c r="AR1674" s="82" t="str">
        <f aca="false">IF(AND(ISNUMBER(U1674),OR(AQ1674="À RADIOGRAPHIER",AQ1674="RÉPARÉ – À RADIOGRAPHIER",AQ1674="NX – RT À REFAIRE",AQ1674="À RÉPARER",AQ1674="COUPE – À RESOUDER",AQ1674="VT REJETÉ – À REPRENDRE")),MAX(0,'PROGRAMME RT'!$C$4-U1674),"")</f>
        <v/>
      </c>
      <c r="AS1674" s="82" t="n">
        <f aca="false">IF(AND(OR(AQ1674="À RADIOGRAPHIER",AQ1674="RÉPARÉ – À RADIOGRAPHIER",AQ1674="NX – RT À REFAIRE"),OR('PROGRAMME RT'!$D$5="TOUTES",B1674='PROGRAMME RT'!$D$5)),1,0)</f>
        <v>0</v>
      </c>
      <c r="AT1674" s="82" t="str">
        <f aca="false">IF(AS1674=1,SUM(AS$7:AS1674),"")</f>
        <v/>
      </c>
      <c r="AU1674" s="82" t="n">
        <f aca="false">IF(AND(OR(AA1674="R",AA1674="NX",AA1674="NT",AA1674="CO"),OR('JOINTS DE RÉPARATION'!$D$5="TOUTES",B1674='JOINTS DE RÉPARATION'!$D$5),OR('JOINTS DE RÉPARATION'!$L$4="TOUS",AQ1674&lt;&gt;"ACCEPTÉ")),1,0)</f>
        <v>0</v>
      </c>
      <c r="AV1674" s="82" t="str">
        <f aca="false">IF(AU1674=1,SUM(AU$7:AU1674),"")</f>
        <v/>
      </c>
      <c r="AW1674" s="82" t="str">
        <f aca="false">IF(E1674="","",B1674&amp;"|"&amp;E1674)</f>
        <v>MFD-ISW → MFD-CPF|DJ°193</v>
      </c>
    </row>
    <row r="1675" customFormat="false" ht="74.6" hidden="false" customHeight="false" outlineLevel="0" collapsed="false">
      <c r="A1675" s="79" t="n">
        <f aca="false">IF(E1675="","",ROW()-6)</f>
        <v>1669</v>
      </c>
      <c r="B1675" s="80" t="s">
        <v>110</v>
      </c>
      <c r="C1675" s="81" t="s">
        <v>2016</v>
      </c>
      <c r="D1675" s="81" t="n">
        <v>14</v>
      </c>
      <c r="E1675" s="81" t="s">
        <v>2028</v>
      </c>
      <c r="F1675" s="82" t="str">
        <f aca="false">IF(E1675="","",IF(LEFT(E1675,2)="DJ","DJ","JN"))</f>
        <v>JN</v>
      </c>
      <c r="G1675" s="81" t="s">
        <v>1504</v>
      </c>
      <c r="H1675" s="81" t="s">
        <v>871</v>
      </c>
      <c r="I1675" s="81" t="n">
        <v>9.53</v>
      </c>
      <c r="J1675" s="81" t="s">
        <v>872</v>
      </c>
      <c r="K1675" s="81" t="s">
        <v>879</v>
      </c>
      <c r="L1675" s="81" t="n">
        <v>2096810</v>
      </c>
      <c r="M1675" s="81" t="n">
        <v>15421111</v>
      </c>
      <c r="N1675" s="81" t="n">
        <v>11.94</v>
      </c>
      <c r="O1675" s="81" t="n">
        <v>2080010</v>
      </c>
      <c r="P1675" s="81" t="n">
        <v>15421102</v>
      </c>
      <c r="Q1675" s="81" t="n">
        <v>11.94</v>
      </c>
      <c r="R1675" s="81" t="s">
        <v>1938</v>
      </c>
      <c r="S1675" s="81"/>
      <c r="T1675" s="81"/>
      <c r="U1675" s="83" t="n">
        <v>46274</v>
      </c>
      <c r="V1675" s="83" t="n">
        <v>46274</v>
      </c>
      <c r="W1675" s="81" t="s">
        <v>1991</v>
      </c>
      <c r="X1675" s="81" t="s">
        <v>876</v>
      </c>
      <c r="Y1675" s="83" t="n">
        <v>46279</v>
      </c>
      <c r="Z1675" s="81" t="s">
        <v>2024</v>
      </c>
      <c r="AA1675" s="81" t="s">
        <v>876</v>
      </c>
      <c r="AB1675" s="81"/>
      <c r="AC1675" s="81"/>
      <c r="AD1675" s="81"/>
      <c r="AE1675" s="83"/>
      <c r="AF1675" s="81"/>
      <c r="AG1675" s="81"/>
      <c r="AH1675" s="81"/>
      <c r="AI1675" s="81"/>
      <c r="AJ1675" s="83"/>
      <c r="AK1675" s="81"/>
      <c r="AL1675" s="81"/>
      <c r="AM1675" s="83"/>
      <c r="AN1675" s="80"/>
      <c r="AO1675" s="82" t="n">
        <f aca="false">IF(E1675="","",(AA1675&lt;&gt;"")+(AG1675&lt;&gt;"")+(AL1675&lt;&gt;""))</f>
        <v>1</v>
      </c>
      <c r="AP1675" s="82" t="str">
        <f aca="false">IF(AL1675&lt;&gt;"",AL1675,IF(AG1675&lt;&gt;"",AG1675,IF(AA1675&lt;&gt;"",AA1675,"")))</f>
        <v>A</v>
      </c>
      <c r="AQ1675" s="84" t="str">
        <f aca="false">IF(E1675="","",IF(U1675="","À SOUDER",IF(X1675="","VT EN ATTENTE",IF(X1675="R","VT REJETÉ – À REPRENDRE",IF(AP1675="","À RADIOGRAPHIER",IF(AP1675="A","ACCEPTÉ",IF(AP1675="NX","NX – RT À REFAIRE",IF(IF(AO1675=1,AD1675,IF(AO1675=2,AI1675,""))="A","RÉPARÉ – À RADIOGRAPHIER",IF(IF(AO1675=1,AD1675,IF(AO1675=2,AI1675,""))="R","VT REJETÉ – À REPRENDRE",IF(OR(AP1675="CO",AP1675="NT"),"COUPE – À RESOUDER","À RÉPARER"))))))))))</f>
        <v>ACCEPTÉ</v>
      </c>
      <c r="AR1675" s="82" t="str">
        <f aca="false">IF(AND(ISNUMBER(U1675),OR(AQ1675="À RADIOGRAPHIER",AQ1675="RÉPARÉ – À RADIOGRAPHIER",AQ1675="NX – RT À REFAIRE",AQ1675="À RÉPARER",AQ1675="COUPE – À RESOUDER",AQ1675="VT REJETÉ – À REPRENDRE")),MAX(0,'PROGRAMME RT'!$C$4-U1675),"")</f>
        <v/>
      </c>
      <c r="AS1675" s="82" t="n">
        <f aca="false">IF(AND(OR(AQ1675="À RADIOGRAPHIER",AQ1675="RÉPARÉ – À RADIOGRAPHIER",AQ1675="NX – RT À REFAIRE"),OR('PROGRAMME RT'!$D$5="TOUTES",B1675='PROGRAMME RT'!$D$5)),1,0)</f>
        <v>0</v>
      </c>
      <c r="AT1675" s="82" t="str">
        <f aca="false">IF(AS1675=1,SUM(AS$7:AS1675),"")</f>
        <v/>
      </c>
      <c r="AU1675" s="82" t="n">
        <f aca="false">IF(AND(OR(AA1675="R",AA1675="NX",AA1675="NT",AA1675="CO"),OR('JOINTS DE RÉPARATION'!$D$5="TOUTES",B1675='JOINTS DE RÉPARATION'!$D$5),OR('JOINTS DE RÉPARATION'!$L$4="TOUS",AQ1675&lt;&gt;"ACCEPTÉ")),1,0)</f>
        <v>0</v>
      </c>
      <c r="AV1675" s="82" t="str">
        <f aca="false">IF(AU1675=1,SUM(AU$7:AU1675),"")</f>
        <v/>
      </c>
      <c r="AW1675" s="82" t="str">
        <f aca="false">IF(E1675="","",B1675&amp;"|"&amp;E1675)</f>
        <v>MFD-ISW → MFD-CPF|JN°1350</v>
      </c>
    </row>
    <row r="1676" customFormat="false" ht="74.6" hidden="false" customHeight="false" outlineLevel="0" collapsed="false">
      <c r="A1676" s="79" t="n">
        <f aca="false">IF(E1676="","",ROW()-6)</f>
        <v>1670</v>
      </c>
      <c r="B1676" s="80" t="s">
        <v>110</v>
      </c>
      <c r="C1676" s="81" t="s">
        <v>2016</v>
      </c>
      <c r="D1676" s="81" t="n">
        <v>14</v>
      </c>
      <c r="E1676" s="81" t="s">
        <v>2029</v>
      </c>
      <c r="F1676" s="82" t="str">
        <f aca="false">IF(E1676="","",IF(LEFT(E1676,2)="DJ","DJ","JN"))</f>
        <v>DJ</v>
      </c>
      <c r="G1676" s="81"/>
      <c r="H1676" s="81" t="s">
        <v>871</v>
      </c>
      <c r="I1676" s="81" t="n">
        <v>9.53</v>
      </c>
      <c r="J1676" s="81" t="s">
        <v>872</v>
      </c>
      <c r="K1676" s="81" t="s">
        <v>873</v>
      </c>
      <c r="L1676" s="81" t="n">
        <v>2080010</v>
      </c>
      <c r="M1676" s="81" t="n">
        <v>15421102</v>
      </c>
      <c r="N1676" s="81" t="n">
        <v>11.94</v>
      </c>
      <c r="O1676" s="81" t="n">
        <v>2091070</v>
      </c>
      <c r="P1676" s="81" t="n">
        <v>15421109</v>
      </c>
      <c r="Q1676" s="81" t="n">
        <v>11.94</v>
      </c>
      <c r="R1676" s="81" t="s">
        <v>1517</v>
      </c>
      <c r="S1676" s="81"/>
      <c r="T1676" s="81"/>
      <c r="U1676" s="83" t="n">
        <v>46260</v>
      </c>
      <c r="V1676" s="83" t="n">
        <v>46260</v>
      </c>
      <c r="W1676" s="81" t="s">
        <v>2030</v>
      </c>
      <c r="X1676" s="81" t="s">
        <v>876</v>
      </c>
      <c r="Y1676" s="83" t="n">
        <v>46264</v>
      </c>
      <c r="Z1676" s="81" t="s">
        <v>2031</v>
      </c>
      <c r="AA1676" s="81" t="s">
        <v>876</v>
      </c>
      <c r="AB1676" s="81"/>
      <c r="AC1676" s="81"/>
      <c r="AD1676" s="81"/>
      <c r="AE1676" s="83"/>
      <c r="AF1676" s="81"/>
      <c r="AG1676" s="81"/>
      <c r="AH1676" s="81"/>
      <c r="AI1676" s="81"/>
      <c r="AJ1676" s="83"/>
      <c r="AK1676" s="81"/>
      <c r="AL1676" s="81"/>
      <c r="AM1676" s="83"/>
      <c r="AN1676" s="80"/>
      <c r="AO1676" s="82" t="n">
        <f aca="false">IF(E1676="","",(AA1676&lt;&gt;"")+(AG1676&lt;&gt;"")+(AL1676&lt;&gt;""))</f>
        <v>1</v>
      </c>
      <c r="AP1676" s="82" t="str">
        <f aca="false">IF(AL1676&lt;&gt;"",AL1676,IF(AG1676&lt;&gt;"",AG1676,IF(AA1676&lt;&gt;"",AA1676,"")))</f>
        <v>A</v>
      </c>
      <c r="AQ1676" s="84" t="str">
        <f aca="false">IF(E1676="","",IF(U1676="","À SOUDER",IF(X1676="","VT EN ATTENTE",IF(X1676="R","VT REJETÉ – À REPRENDRE",IF(AP1676="","À RADIOGRAPHIER",IF(AP1676="A","ACCEPTÉ",IF(AP1676="NX","NX – RT À REFAIRE",IF(IF(AO1676=1,AD1676,IF(AO1676=2,AI1676,""))="A","RÉPARÉ – À RADIOGRAPHIER",IF(IF(AO1676=1,AD1676,IF(AO1676=2,AI1676,""))="R","VT REJETÉ – À REPRENDRE",IF(OR(AP1676="CO",AP1676="NT"),"COUPE – À RESOUDER","À RÉPARER"))))))))))</f>
        <v>ACCEPTÉ</v>
      </c>
      <c r="AR1676" s="82" t="str">
        <f aca="false">IF(AND(ISNUMBER(U1676),OR(AQ1676="À RADIOGRAPHIER",AQ1676="RÉPARÉ – À RADIOGRAPHIER",AQ1676="NX – RT À REFAIRE",AQ1676="À RÉPARER",AQ1676="COUPE – À RESOUDER",AQ1676="VT REJETÉ – À REPRENDRE")),MAX(0,'PROGRAMME RT'!$C$4-U1676),"")</f>
        <v/>
      </c>
      <c r="AS1676" s="82" t="n">
        <f aca="false">IF(AND(OR(AQ1676="À RADIOGRAPHIER",AQ1676="RÉPARÉ – À RADIOGRAPHIER",AQ1676="NX – RT À REFAIRE"),OR('PROGRAMME RT'!$D$5="TOUTES",B1676='PROGRAMME RT'!$D$5)),1,0)</f>
        <v>0</v>
      </c>
      <c r="AT1676" s="82" t="str">
        <f aca="false">IF(AS1676=1,SUM(AS$7:AS1676),"")</f>
        <v/>
      </c>
      <c r="AU1676" s="82" t="n">
        <f aca="false">IF(AND(OR(AA1676="R",AA1676="NX",AA1676="NT",AA1676="CO"),OR('JOINTS DE RÉPARATION'!$D$5="TOUTES",B1676='JOINTS DE RÉPARATION'!$D$5),OR('JOINTS DE RÉPARATION'!$L$4="TOUS",AQ1676&lt;&gt;"ACCEPTÉ")),1,0)</f>
        <v>0</v>
      </c>
      <c r="AV1676" s="82" t="str">
        <f aca="false">IF(AU1676=1,SUM(AU$7:AU1676),"")</f>
        <v/>
      </c>
      <c r="AW1676" s="82" t="str">
        <f aca="false">IF(E1676="","",B1676&amp;"|"&amp;E1676)</f>
        <v>MFD-ISW → MFD-CPF|DJ°162</v>
      </c>
    </row>
    <row r="1677" customFormat="false" ht="74.6" hidden="false" customHeight="false" outlineLevel="0" collapsed="false">
      <c r="A1677" s="79" t="n">
        <f aca="false">IF(E1677="","",ROW()-6)</f>
        <v>1671</v>
      </c>
      <c r="B1677" s="80" t="s">
        <v>110</v>
      </c>
      <c r="C1677" s="81" t="s">
        <v>926</v>
      </c>
      <c r="D1677" s="81" t="n">
        <v>14</v>
      </c>
      <c r="E1677" s="81" t="s">
        <v>2032</v>
      </c>
      <c r="F1677" s="82" t="str">
        <f aca="false">IF(E1677="","",IF(LEFT(E1677,2)="DJ","DJ","JN"))</f>
        <v>JN</v>
      </c>
      <c r="G1677" s="81"/>
      <c r="H1677" s="81"/>
      <c r="I1677" s="81"/>
      <c r="J1677" s="81"/>
      <c r="K1677" s="81"/>
      <c r="L1677" s="81" t="n">
        <v>2091070</v>
      </c>
      <c r="M1677" s="81" t="n">
        <v>15421109</v>
      </c>
      <c r="N1677" s="81" t="n">
        <v>11.94</v>
      </c>
      <c r="O1677" s="81"/>
      <c r="P1677" s="81"/>
      <c r="Q1677" s="81"/>
      <c r="R1677" s="81"/>
      <c r="S1677" s="81"/>
      <c r="T1677" s="81"/>
      <c r="U1677" s="83"/>
      <c r="V1677" s="83"/>
      <c r="W1677" s="81"/>
      <c r="X1677" s="81"/>
      <c r="Y1677" s="83"/>
      <c r="Z1677" s="81"/>
      <c r="AA1677" s="81"/>
      <c r="AB1677" s="81"/>
      <c r="AC1677" s="81"/>
      <c r="AD1677" s="81"/>
      <c r="AE1677" s="83"/>
      <c r="AF1677" s="81"/>
      <c r="AG1677" s="81"/>
      <c r="AH1677" s="81"/>
      <c r="AI1677" s="81"/>
      <c r="AJ1677" s="83"/>
      <c r="AK1677" s="81"/>
      <c r="AL1677" s="81"/>
      <c r="AM1677" s="83"/>
      <c r="AN1677" s="80"/>
      <c r="AO1677" s="82" t="n">
        <f aca="false">IF(E1677="","",(AA1677&lt;&gt;"")+(AG1677&lt;&gt;"")+(AL1677&lt;&gt;""))</f>
        <v>0</v>
      </c>
      <c r="AP1677" s="82" t="str">
        <f aca="false">IF(AL1677&lt;&gt;"",AL1677,IF(AG1677&lt;&gt;"",AG1677,IF(AA1677&lt;&gt;"",AA1677,"")))</f>
        <v/>
      </c>
      <c r="AQ1677" s="84" t="str">
        <f aca="false">IF(E1677="","",IF(U1677="","À SOUDER",IF(X1677="","VT EN ATTENTE",IF(X1677="R","VT REJETÉ – À REPRENDRE",IF(AP1677="","À RADIOGRAPHIER",IF(AP1677="A","ACCEPTÉ",IF(AP1677="NX","NX – RT À REFAIRE",IF(IF(AO1677=1,AD1677,IF(AO1677=2,AI1677,""))="A","RÉPARÉ – À RADIOGRAPHIER",IF(IF(AO1677=1,AD1677,IF(AO1677=2,AI1677,""))="R","VT REJETÉ – À REPRENDRE",IF(OR(AP1677="CO",AP1677="NT"),"COUPE – À RESOUDER","À RÉPARER"))))))))))</f>
        <v>À SOUDER</v>
      </c>
      <c r="AR1677" s="82" t="str">
        <f aca="false">IF(AND(ISNUMBER(U1677),OR(AQ1677="À RADIOGRAPHIER",AQ1677="RÉPARÉ – À RADIOGRAPHIER",AQ1677="NX – RT À REFAIRE",AQ1677="À RÉPARER",AQ1677="COUPE – À RESOUDER",AQ1677="VT REJETÉ – À REPRENDRE")),MAX(0,'PROGRAMME RT'!$C$4-U1677),"")</f>
        <v/>
      </c>
      <c r="AS1677" s="82" t="n">
        <f aca="false">IF(AND(OR(AQ1677="À RADIOGRAPHIER",AQ1677="RÉPARÉ – À RADIOGRAPHIER",AQ1677="NX – RT À REFAIRE"),OR('PROGRAMME RT'!$D$5="TOUTES",B1677='PROGRAMME RT'!$D$5)),1,0)</f>
        <v>0</v>
      </c>
      <c r="AT1677" s="82" t="str">
        <f aca="false">IF(AS1677=1,SUM(AS$7:AS1677),"")</f>
        <v/>
      </c>
      <c r="AU1677" s="82" t="n">
        <f aca="false">IF(AND(OR(AA1677="R",AA1677="NX",AA1677="NT",AA1677="CO"),OR('JOINTS DE RÉPARATION'!$D$5="TOUTES",B1677='JOINTS DE RÉPARATION'!$D$5),OR('JOINTS DE RÉPARATION'!$L$4="TOUS",AQ1677&lt;&gt;"ACCEPTÉ")),1,0)</f>
        <v>0</v>
      </c>
      <c r="AV1677" s="82" t="str">
        <f aca="false">IF(AU1677=1,SUM(AU$7:AU1677),"")</f>
        <v/>
      </c>
      <c r="AW1677" s="82" t="str">
        <f aca="false">IF(E1677="","",B1677&amp;"|"&amp;E1677)</f>
        <v>MFD-ISW → MFD-CPF|JN°1351</v>
      </c>
    </row>
    <row r="1678" customFormat="false" ht="74.6" hidden="false" customHeight="false" outlineLevel="0" collapsed="false">
      <c r="A1678" s="79" t="n">
        <f aca="false">IF(E1678="","",ROW()-6)</f>
        <v>1672</v>
      </c>
      <c r="B1678" s="80" t="s">
        <v>110</v>
      </c>
      <c r="C1678" s="81" t="s">
        <v>926</v>
      </c>
      <c r="D1678" s="81" t="n">
        <v>14</v>
      </c>
      <c r="E1678" s="81" t="s">
        <v>2033</v>
      </c>
      <c r="F1678" s="82" t="str">
        <f aca="false">IF(E1678="","",IF(LEFT(E1678,2)="DJ","DJ","JN"))</f>
        <v>JN</v>
      </c>
      <c r="G1678" s="81"/>
      <c r="H1678" s="81"/>
      <c r="I1678" s="81"/>
      <c r="J1678" s="81"/>
      <c r="K1678" s="81"/>
      <c r="L1678" s="81"/>
      <c r="M1678" s="81"/>
      <c r="N1678" s="81"/>
      <c r="O1678" s="81"/>
      <c r="P1678" s="81"/>
      <c r="Q1678" s="81"/>
      <c r="R1678" s="81"/>
      <c r="S1678" s="81"/>
      <c r="T1678" s="81"/>
      <c r="U1678" s="83"/>
      <c r="V1678" s="83"/>
      <c r="W1678" s="81"/>
      <c r="X1678" s="81"/>
      <c r="Y1678" s="83"/>
      <c r="Z1678" s="81"/>
      <c r="AA1678" s="81"/>
      <c r="AB1678" s="81"/>
      <c r="AC1678" s="81"/>
      <c r="AD1678" s="81"/>
      <c r="AE1678" s="83"/>
      <c r="AF1678" s="81"/>
      <c r="AG1678" s="81"/>
      <c r="AH1678" s="81"/>
      <c r="AI1678" s="81"/>
      <c r="AJ1678" s="83"/>
      <c r="AK1678" s="81"/>
      <c r="AL1678" s="81"/>
      <c r="AM1678" s="83"/>
      <c r="AN1678" s="80"/>
      <c r="AO1678" s="82" t="n">
        <f aca="false">IF(E1678="","",(AA1678&lt;&gt;"")+(AG1678&lt;&gt;"")+(AL1678&lt;&gt;""))</f>
        <v>0</v>
      </c>
      <c r="AP1678" s="82" t="str">
        <f aca="false">IF(AL1678&lt;&gt;"",AL1678,IF(AG1678&lt;&gt;"",AG1678,IF(AA1678&lt;&gt;"",AA1678,"")))</f>
        <v/>
      </c>
      <c r="AQ1678" s="84" t="str">
        <f aca="false">IF(E1678="","",IF(U1678="","À SOUDER",IF(X1678="","VT EN ATTENTE",IF(X1678="R","VT REJETÉ – À REPRENDRE",IF(AP1678="","À RADIOGRAPHIER",IF(AP1678="A","ACCEPTÉ",IF(AP1678="NX","NX – RT À REFAIRE",IF(IF(AO1678=1,AD1678,IF(AO1678=2,AI1678,""))="A","RÉPARÉ – À RADIOGRAPHIER",IF(IF(AO1678=1,AD1678,IF(AO1678=2,AI1678,""))="R","VT REJETÉ – À REPRENDRE",IF(OR(AP1678="CO",AP1678="NT"),"COUPE – À RESOUDER","À RÉPARER"))))))))))</f>
        <v>À SOUDER</v>
      </c>
      <c r="AR1678" s="82" t="str">
        <f aca="false">IF(AND(ISNUMBER(U1678),OR(AQ1678="À RADIOGRAPHIER",AQ1678="RÉPARÉ – À RADIOGRAPHIER",AQ1678="NX – RT À REFAIRE",AQ1678="À RÉPARER",AQ1678="COUPE – À RESOUDER",AQ1678="VT REJETÉ – À REPRENDRE")),MAX(0,'PROGRAMME RT'!$C$4-U1678),"")</f>
        <v/>
      </c>
      <c r="AS1678" s="82" t="n">
        <f aca="false">IF(AND(OR(AQ1678="À RADIOGRAPHIER",AQ1678="RÉPARÉ – À RADIOGRAPHIER",AQ1678="NX – RT À REFAIRE"),OR('PROGRAMME RT'!$D$5="TOUTES",B1678='PROGRAMME RT'!$D$5)),1,0)</f>
        <v>0</v>
      </c>
      <c r="AT1678" s="82" t="str">
        <f aca="false">IF(AS1678=1,SUM(AS$7:AS1678),"")</f>
        <v/>
      </c>
      <c r="AU1678" s="82" t="n">
        <f aca="false">IF(AND(OR(AA1678="R",AA1678="NX",AA1678="NT",AA1678="CO"),OR('JOINTS DE RÉPARATION'!$D$5="TOUTES",B1678='JOINTS DE RÉPARATION'!$D$5),OR('JOINTS DE RÉPARATION'!$L$4="TOUS",AQ1678&lt;&gt;"ACCEPTÉ")),1,0)</f>
        <v>0</v>
      </c>
      <c r="AV1678" s="82" t="str">
        <f aca="false">IF(AU1678=1,SUM(AU$7:AU1678),"")</f>
        <v/>
      </c>
      <c r="AW1678" s="82" t="str">
        <f aca="false">IF(E1678="","",B1678&amp;"|"&amp;E1678)</f>
        <v>MFD-ISW → MFD-CPF|JN°1352</v>
      </c>
    </row>
    <row r="1679" customFormat="false" ht="74.6" hidden="false" customHeight="false" outlineLevel="0" collapsed="false">
      <c r="A1679" s="79" t="n">
        <f aca="false">IF(E1679="","",ROW()-6)</f>
        <v>1673</v>
      </c>
      <c r="B1679" s="80" t="s">
        <v>110</v>
      </c>
      <c r="C1679" s="81" t="s">
        <v>926</v>
      </c>
      <c r="D1679" s="81" t="n">
        <v>14</v>
      </c>
      <c r="E1679" s="81" t="s">
        <v>2034</v>
      </c>
      <c r="F1679" s="82" t="str">
        <f aca="false">IF(E1679="","",IF(LEFT(E1679,2)="DJ","DJ","JN"))</f>
        <v>JN</v>
      </c>
      <c r="G1679" s="81"/>
      <c r="H1679" s="81"/>
      <c r="I1679" s="81"/>
      <c r="J1679" s="81"/>
      <c r="K1679" s="81"/>
      <c r="L1679" s="81"/>
      <c r="M1679" s="81"/>
      <c r="N1679" s="81"/>
      <c r="O1679" s="81"/>
      <c r="P1679" s="81"/>
      <c r="Q1679" s="81"/>
      <c r="R1679" s="81"/>
      <c r="S1679" s="81"/>
      <c r="T1679" s="81"/>
      <c r="U1679" s="83"/>
      <c r="V1679" s="83"/>
      <c r="W1679" s="81"/>
      <c r="X1679" s="81"/>
      <c r="Y1679" s="83"/>
      <c r="Z1679" s="81"/>
      <c r="AA1679" s="81"/>
      <c r="AB1679" s="81"/>
      <c r="AC1679" s="81"/>
      <c r="AD1679" s="81"/>
      <c r="AE1679" s="83"/>
      <c r="AF1679" s="81"/>
      <c r="AG1679" s="81"/>
      <c r="AH1679" s="81"/>
      <c r="AI1679" s="81"/>
      <c r="AJ1679" s="83"/>
      <c r="AK1679" s="81"/>
      <c r="AL1679" s="81"/>
      <c r="AM1679" s="83"/>
      <c r="AN1679" s="80"/>
      <c r="AO1679" s="82" t="n">
        <f aca="false">IF(E1679="","",(AA1679&lt;&gt;"")+(AG1679&lt;&gt;"")+(AL1679&lt;&gt;""))</f>
        <v>0</v>
      </c>
      <c r="AP1679" s="82" t="str">
        <f aca="false">IF(AL1679&lt;&gt;"",AL1679,IF(AG1679&lt;&gt;"",AG1679,IF(AA1679&lt;&gt;"",AA1679,"")))</f>
        <v/>
      </c>
      <c r="AQ1679" s="84" t="str">
        <f aca="false">IF(E1679="","",IF(U1679="","À SOUDER",IF(X1679="","VT EN ATTENTE",IF(X1679="R","VT REJETÉ – À REPRENDRE",IF(AP1679="","À RADIOGRAPHIER",IF(AP1679="A","ACCEPTÉ",IF(AP1679="NX","NX – RT À REFAIRE",IF(IF(AO1679=1,AD1679,IF(AO1679=2,AI1679,""))="A","RÉPARÉ – À RADIOGRAPHIER",IF(IF(AO1679=1,AD1679,IF(AO1679=2,AI1679,""))="R","VT REJETÉ – À REPRENDRE",IF(OR(AP1679="CO",AP1679="NT"),"COUPE – À RESOUDER","À RÉPARER"))))))))))</f>
        <v>À SOUDER</v>
      </c>
      <c r="AR1679" s="82" t="str">
        <f aca="false">IF(AND(ISNUMBER(U1679),OR(AQ1679="À RADIOGRAPHIER",AQ1679="RÉPARÉ – À RADIOGRAPHIER",AQ1679="NX – RT À REFAIRE",AQ1679="À RÉPARER",AQ1679="COUPE – À RESOUDER",AQ1679="VT REJETÉ – À REPRENDRE")),MAX(0,'PROGRAMME RT'!$C$4-U1679),"")</f>
        <v/>
      </c>
      <c r="AS1679" s="82" t="n">
        <f aca="false">IF(AND(OR(AQ1679="À RADIOGRAPHIER",AQ1679="RÉPARÉ – À RADIOGRAPHIER",AQ1679="NX – RT À REFAIRE"),OR('PROGRAMME RT'!$D$5="TOUTES",B1679='PROGRAMME RT'!$D$5)),1,0)</f>
        <v>0</v>
      </c>
      <c r="AT1679" s="82" t="str">
        <f aca="false">IF(AS1679=1,SUM(AS$7:AS1679),"")</f>
        <v/>
      </c>
      <c r="AU1679" s="82" t="n">
        <f aca="false">IF(AND(OR(AA1679="R",AA1679="NX",AA1679="NT",AA1679="CO"),OR('JOINTS DE RÉPARATION'!$D$5="TOUTES",B1679='JOINTS DE RÉPARATION'!$D$5),OR('JOINTS DE RÉPARATION'!$L$4="TOUS",AQ1679&lt;&gt;"ACCEPTÉ")),1,0)</f>
        <v>0</v>
      </c>
      <c r="AV1679" s="82" t="str">
        <f aca="false">IF(AU1679=1,SUM(AU$7:AU1679),"")</f>
        <v/>
      </c>
      <c r="AW1679" s="82" t="str">
        <f aca="false">IF(E1679="","",B1679&amp;"|"&amp;E1679)</f>
        <v>MFD-ISW → MFD-CPF|JN°1353</v>
      </c>
    </row>
    <row r="1680" customFormat="false" ht="74.6" hidden="false" customHeight="false" outlineLevel="0" collapsed="false">
      <c r="A1680" s="79" t="n">
        <f aca="false">IF(E1680="","",ROW()-6)</f>
        <v>1674</v>
      </c>
      <c r="B1680" s="80" t="s">
        <v>110</v>
      </c>
      <c r="C1680" s="81" t="s">
        <v>926</v>
      </c>
      <c r="D1680" s="81" t="n">
        <v>14</v>
      </c>
      <c r="E1680" s="81" t="s">
        <v>2035</v>
      </c>
      <c r="F1680" s="82" t="str">
        <f aca="false">IF(E1680="","",IF(LEFT(E1680,2)="DJ","DJ","JN"))</f>
        <v>JN</v>
      </c>
      <c r="G1680" s="81"/>
      <c r="H1680" s="81"/>
      <c r="I1680" s="81"/>
      <c r="J1680" s="81"/>
      <c r="K1680" s="81"/>
      <c r="L1680" s="81"/>
      <c r="M1680" s="81"/>
      <c r="N1680" s="81"/>
      <c r="O1680" s="81" t="n">
        <v>2083390</v>
      </c>
      <c r="P1680" s="81" t="n">
        <v>15421105</v>
      </c>
      <c r="Q1680" s="81" t="n">
        <v>11.94</v>
      </c>
      <c r="R1680" s="81"/>
      <c r="S1680" s="81"/>
      <c r="T1680" s="81"/>
      <c r="U1680" s="83"/>
      <c r="V1680" s="83"/>
      <c r="W1680" s="81"/>
      <c r="X1680" s="81"/>
      <c r="Y1680" s="83"/>
      <c r="Z1680" s="81"/>
      <c r="AA1680" s="81"/>
      <c r="AB1680" s="81"/>
      <c r="AC1680" s="81"/>
      <c r="AD1680" s="81"/>
      <c r="AE1680" s="83"/>
      <c r="AF1680" s="81"/>
      <c r="AG1680" s="81"/>
      <c r="AH1680" s="81"/>
      <c r="AI1680" s="81"/>
      <c r="AJ1680" s="83"/>
      <c r="AK1680" s="81"/>
      <c r="AL1680" s="81"/>
      <c r="AM1680" s="83"/>
      <c r="AN1680" s="80"/>
      <c r="AO1680" s="82" t="n">
        <f aca="false">IF(E1680="","",(AA1680&lt;&gt;"")+(AG1680&lt;&gt;"")+(AL1680&lt;&gt;""))</f>
        <v>0</v>
      </c>
      <c r="AP1680" s="82" t="str">
        <f aca="false">IF(AL1680&lt;&gt;"",AL1680,IF(AG1680&lt;&gt;"",AG1680,IF(AA1680&lt;&gt;"",AA1680,"")))</f>
        <v/>
      </c>
      <c r="AQ1680" s="84" t="str">
        <f aca="false">IF(E1680="","",IF(U1680="","À SOUDER",IF(X1680="","VT EN ATTENTE",IF(X1680="R","VT REJETÉ – À REPRENDRE",IF(AP1680="","À RADIOGRAPHIER",IF(AP1680="A","ACCEPTÉ",IF(AP1680="NX","NX – RT À REFAIRE",IF(IF(AO1680=1,AD1680,IF(AO1680=2,AI1680,""))="A","RÉPARÉ – À RADIOGRAPHIER",IF(IF(AO1680=1,AD1680,IF(AO1680=2,AI1680,""))="R","VT REJETÉ – À REPRENDRE",IF(OR(AP1680="CO",AP1680="NT"),"COUPE – À RESOUDER","À RÉPARER"))))))))))</f>
        <v>À SOUDER</v>
      </c>
      <c r="AR1680" s="82" t="str">
        <f aca="false">IF(AND(ISNUMBER(U1680),OR(AQ1680="À RADIOGRAPHIER",AQ1680="RÉPARÉ – À RADIOGRAPHIER",AQ1680="NX – RT À REFAIRE",AQ1680="À RÉPARER",AQ1680="COUPE – À RESOUDER",AQ1680="VT REJETÉ – À REPRENDRE")),MAX(0,'PROGRAMME RT'!$C$4-U1680),"")</f>
        <v/>
      </c>
      <c r="AS1680" s="82" t="n">
        <f aca="false">IF(AND(OR(AQ1680="À RADIOGRAPHIER",AQ1680="RÉPARÉ – À RADIOGRAPHIER",AQ1680="NX – RT À REFAIRE"),OR('PROGRAMME RT'!$D$5="TOUTES",B1680='PROGRAMME RT'!$D$5)),1,0)</f>
        <v>0</v>
      </c>
      <c r="AT1680" s="82" t="str">
        <f aca="false">IF(AS1680=1,SUM(AS$7:AS1680),"")</f>
        <v/>
      </c>
      <c r="AU1680" s="82" t="n">
        <f aca="false">IF(AND(OR(AA1680="R",AA1680="NX",AA1680="NT",AA1680="CO"),OR('JOINTS DE RÉPARATION'!$D$5="TOUTES",B1680='JOINTS DE RÉPARATION'!$D$5),OR('JOINTS DE RÉPARATION'!$L$4="TOUS",AQ1680&lt;&gt;"ACCEPTÉ")),1,0)</f>
        <v>0</v>
      </c>
      <c r="AV1680" s="82" t="str">
        <f aca="false">IF(AU1680=1,SUM(AU$7:AU1680),"")</f>
        <v/>
      </c>
      <c r="AW1680" s="82" t="str">
        <f aca="false">IF(E1680="","",B1680&amp;"|"&amp;E1680)</f>
        <v>MFD-ISW → MFD-CPF|JN°1354</v>
      </c>
    </row>
    <row r="1681" customFormat="false" ht="74.6" hidden="false" customHeight="false" outlineLevel="0" collapsed="false">
      <c r="A1681" s="79" t="n">
        <f aca="false">IF(E1681="","",ROW()-6)</f>
        <v>1675</v>
      </c>
      <c r="B1681" s="80" t="s">
        <v>110</v>
      </c>
      <c r="C1681" s="81" t="s">
        <v>2036</v>
      </c>
      <c r="D1681" s="81" t="n">
        <v>15</v>
      </c>
      <c r="E1681" s="81" t="s">
        <v>2037</v>
      </c>
      <c r="F1681" s="82" t="str">
        <f aca="false">IF(E1681="","",IF(LEFT(E1681,2)="DJ","DJ","JN"))</f>
        <v>DJ</v>
      </c>
      <c r="G1681" s="81" t="s">
        <v>1504</v>
      </c>
      <c r="H1681" s="81" t="s">
        <v>871</v>
      </c>
      <c r="I1681" s="81" t="n">
        <v>9.53</v>
      </c>
      <c r="J1681" s="81" t="s">
        <v>872</v>
      </c>
      <c r="K1681" s="81" t="s">
        <v>873</v>
      </c>
      <c r="L1681" s="81" t="n">
        <v>2083390</v>
      </c>
      <c r="M1681" s="81" t="n">
        <v>15421105</v>
      </c>
      <c r="N1681" s="81" t="n">
        <v>11.94</v>
      </c>
      <c r="O1681" s="81" t="n">
        <v>2097060</v>
      </c>
      <c r="P1681" s="81" t="n">
        <v>15421111</v>
      </c>
      <c r="Q1681" s="81" t="n">
        <v>11.94</v>
      </c>
      <c r="R1681" s="81" t="s">
        <v>1147</v>
      </c>
      <c r="S1681" s="81"/>
      <c r="T1681" s="81"/>
      <c r="U1681" s="83" t="n">
        <v>46262</v>
      </c>
      <c r="V1681" s="83" t="n">
        <v>46262</v>
      </c>
      <c r="W1681" s="81" t="s">
        <v>1930</v>
      </c>
      <c r="X1681" s="81" t="s">
        <v>876</v>
      </c>
      <c r="Y1681" s="83" t="n">
        <v>46264</v>
      </c>
      <c r="Z1681" s="81" t="s">
        <v>2031</v>
      </c>
      <c r="AA1681" s="81" t="s">
        <v>876</v>
      </c>
      <c r="AB1681" s="81"/>
      <c r="AC1681" s="81"/>
      <c r="AD1681" s="81"/>
      <c r="AE1681" s="83"/>
      <c r="AF1681" s="81"/>
      <c r="AG1681" s="81"/>
      <c r="AH1681" s="81"/>
      <c r="AI1681" s="81"/>
      <c r="AJ1681" s="83"/>
      <c r="AK1681" s="81"/>
      <c r="AL1681" s="81"/>
      <c r="AM1681" s="83"/>
      <c r="AN1681" s="80"/>
      <c r="AO1681" s="82" t="n">
        <f aca="false">IF(E1681="","",(AA1681&lt;&gt;"")+(AG1681&lt;&gt;"")+(AL1681&lt;&gt;""))</f>
        <v>1</v>
      </c>
      <c r="AP1681" s="82" t="str">
        <f aca="false">IF(AL1681&lt;&gt;"",AL1681,IF(AG1681&lt;&gt;"",AG1681,IF(AA1681&lt;&gt;"",AA1681,"")))</f>
        <v>A</v>
      </c>
      <c r="AQ1681" s="84" t="str">
        <f aca="false">IF(E1681="","",IF(U1681="","À SOUDER",IF(X1681="","VT EN ATTENTE",IF(X1681="R","VT REJETÉ – À REPRENDRE",IF(AP1681="","À RADIOGRAPHIER",IF(AP1681="A","ACCEPTÉ",IF(AP1681="NX","NX – RT À REFAIRE",IF(IF(AO1681=1,AD1681,IF(AO1681=2,AI1681,""))="A","RÉPARÉ – À RADIOGRAPHIER",IF(IF(AO1681=1,AD1681,IF(AO1681=2,AI1681,""))="R","VT REJETÉ – À REPRENDRE",IF(OR(AP1681="CO",AP1681="NT"),"COUPE – À RESOUDER","À RÉPARER"))))))))))</f>
        <v>ACCEPTÉ</v>
      </c>
      <c r="AR1681" s="82" t="str">
        <f aca="false">IF(AND(ISNUMBER(U1681),OR(AQ1681="À RADIOGRAPHIER",AQ1681="RÉPARÉ – À RADIOGRAPHIER",AQ1681="NX – RT À REFAIRE",AQ1681="À RÉPARER",AQ1681="COUPE – À RESOUDER",AQ1681="VT REJETÉ – À REPRENDRE")),MAX(0,'PROGRAMME RT'!$C$4-U1681),"")</f>
        <v/>
      </c>
      <c r="AS1681" s="82" t="n">
        <f aca="false">IF(AND(OR(AQ1681="À RADIOGRAPHIER",AQ1681="RÉPARÉ – À RADIOGRAPHIER",AQ1681="NX – RT À REFAIRE"),OR('PROGRAMME RT'!$D$5="TOUTES",B1681='PROGRAMME RT'!$D$5)),1,0)</f>
        <v>0</v>
      </c>
      <c r="AT1681" s="82" t="str">
        <f aca="false">IF(AS1681=1,SUM(AS$7:AS1681),"")</f>
        <v/>
      </c>
      <c r="AU1681" s="82" t="n">
        <f aca="false">IF(AND(OR(AA1681="R",AA1681="NX",AA1681="NT",AA1681="CO"),OR('JOINTS DE RÉPARATION'!$D$5="TOUTES",B1681='JOINTS DE RÉPARATION'!$D$5),OR('JOINTS DE RÉPARATION'!$L$4="TOUS",AQ1681&lt;&gt;"ACCEPTÉ")),1,0)</f>
        <v>0</v>
      </c>
      <c r="AV1681" s="82" t="str">
        <f aca="false">IF(AU1681=1,SUM(AU$7:AU1681),"")</f>
        <v/>
      </c>
      <c r="AW1681" s="82" t="str">
        <f aca="false">IF(E1681="","",B1681&amp;"|"&amp;E1681)</f>
        <v>MFD-ISW → MFD-CPF|DJ°180</v>
      </c>
    </row>
    <row r="1682" customFormat="false" ht="74.6" hidden="false" customHeight="false" outlineLevel="0" collapsed="false">
      <c r="A1682" s="79" t="n">
        <f aca="false">IF(E1682="","",ROW()-6)</f>
        <v>1676</v>
      </c>
      <c r="B1682" s="80" t="s">
        <v>110</v>
      </c>
      <c r="C1682" s="81" t="s">
        <v>2036</v>
      </c>
      <c r="D1682" s="81" t="n">
        <v>15</v>
      </c>
      <c r="E1682" s="81" t="s">
        <v>2038</v>
      </c>
      <c r="F1682" s="82" t="str">
        <f aca="false">IF(E1682="","",IF(LEFT(E1682,2)="DJ","DJ","JN"))</f>
        <v>JN</v>
      </c>
      <c r="G1682" s="81" t="s">
        <v>1504</v>
      </c>
      <c r="H1682" s="81" t="s">
        <v>871</v>
      </c>
      <c r="I1682" s="81" t="n">
        <v>9.53</v>
      </c>
      <c r="J1682" s="81" t="s">
        <v>872</v>
      </c>
      <c r="K1682" s="81" t="s">
        <v>879</v>
      </c>
      <c r="L1682" s="81" t="n">
        <v>2097060</v>
      </c>
      <c r="M1682" s="81" t="n">
        <v>15421111</v>
      </c>
      <c r="N1682" s="81" t="n">
        <v>11.94</v>
      </c>
      <c r="O1682" s="81" t="n">
        <v>2082490</v>
      </c>
      <c r="P1682" s="81" t="n">
        <v>15421109</v>
      </c>
      <c r="Q1682" s="81" t="n">
        <v>11.94</v>
      </c>
      <c r="R1682" s="81" t="s">
        <v>2039</v>
      </c>
      <c r="S1682" s="81"/>
      <c r="T1682" s="81"/>
      <c r="U1682" s="83" t="n">
        <v>46273</v>
      </c>
      <c r="V1682" s="83" t="n">
        <v>46273</v>
      </c>
      <c r="W1682" s="81" t="s">
        <v>2040</v>
      </c>
      <c r="X1682" s="81" t="s">
        <v>876</v>
      </c>
      <c r="Y1682" s="83" t="n">
        <v>46289</v>
      </c>
      <c r="Z1682" s="81" t="s">
        <v>2041</v>
      </c>
      <c r="AA1682" s="81" t="s">
        <v>876</v>
      </c>
      <c r="AB1682" s="81"/>
      <c r="AC1682" s="81"/>
      <c r="AD1682" s="81"/>
      <c r="AE1682" s="83"/>
      <c r="AF1682" s="81"/>
      <c r="AG1682" s="81"/>
      <c r="AH1682" s="81"/>
      <c r="AI1682" s="81"/>
      <c r="AJ1682" s="83"/>
      <c r="AK1682" s="81"/>
      <c r="AL1682" s="81"/>
      <c r="AM1682" s="83"/>
      <c r="AN1682" s="80"/>
      <c r="AO1682" s="82" t="n">
        <f aca="false">IF(E1682="","",(AA1682&lt;&gt;"")+(AG1682&lt;&gt;"")+(AL1682&lt;&gt;""))</f>
        <v>1</v>
      </c>
      <c r="AP1682" s="82" t="str">
        <f aca="false">IF(AL1682&lt;&gt;"",AL1682,IF(AG1682&lt;&gt;"",AG1682,IF(AA1682&lt;&gt;"",AA1682,"")))</f>
        <v>A</v>
      </c>
      <c r="AQ1682" s="84" t="str">
        <f aca="false">IF(E1682="","",IF(U1682="","À SOUDER",IF(X1682="","VT EN ATTENTE",IF(X1682="R","VT REJETÉ – À REPRENDRE",IF(AP1682="","À RADIOGRAPHIER",IF(AP1682="A","ACCEPTÉ",IF(AP1682="NX","NX – RT À REFAIRE",IF(IF(AO1682=1,AD1682,IF(AO1682=2,AI1682,""))="A","RÉPARÉ – À RADIOGRAPHIER",IF(IF(AO1682=1,AD1682,IF(AO1682=2,AI1682,""))="R","VT REJETÉ – À REPRENDRE",IF(OR(AP1682="CO",AP1682="NT"),"COUPE – À RESOUDER","À RÉPARER"))))))))))</f>
        <v>ACCEPTÉ</v>
      </c>
      <c r="AR1682" s="82" t="str">
        <f aca="false">IF(AND(ISNUMBER(U1682),OR(AQ1682="À RADIOGRAPHIER",AQ1682="RÉPARÉ – À RADIOGRAPHIER",AQ1682="NX – RT À REFAIRE",AQ1682="À RÉPARER",AQ1682="COUPE – À RESOUDER",AQ1682="VT REJETÉ – À REPRENDRE")),MAX(0,'PROGRAMME RT'!$C$4-U1682),"")</f>
        <v/>
      </c>
      <c r="AS1682" s="82" t="n">
        <f aca="false">IF(AND(OR(AQ1682="À RADIOGRAPHIER",AQ1682="RÉPARÉ – À RADIOGRAPHIER",AQ1682="NX – RT À REFAIRE"),OR('PROGRAMME RT'!$D$5="TOUTES",B1682='PROGRAMME RT'!$D$5)),1,0)</f>
        <v>0</v>
      </c>
      <c r="AT1682" s="82" t="str">
        <f aca="false">IF(AS1682=1,SUM(AS$7:AS1682),"")</f>
        <v/>
      </c>
      <c r="AU1682" s="82" t="n">
        <f aca="false">IF(AND(OR(AA1682="R",AA1682="NX",AA1682="NT",AA1682="CO"),OR('JOINTS DE RÉPARATION'!$D$5="TOUTES",B1682='JOINTS DE RÉPARATION'!$D$5),OR('JOINTS DE RÉPARATION'!$L$4="TOUS",AQ1682&lt;&gt;"ACCEPTÉ")),1,0)</f>
        <v>0</v>
      </c>
      <c r="AV1682" s="82" t="str">
        <f aca="false">IF(AU1682=1,SUM(AU$7:AU1682),"")</f>
        <v/>
      </c>
      <c r="AW1682" s="82" t="str">
        <f aca="false">IF(E1682="","",B1682&amp;"|"&amp;E1682)</f>
        <v>MFD-ISW → MFD-CPF|JN°1355</v>
      </c>
    </row>
    <row r="1683" customFormat="false" ht="74.6" hidden="false" customHeight="false" outlineLevel="0" collapsed="false">
      <c r="A1683" s="79" t="n">
        <f aca="false">IF(E1683="","",ROW()-6)</f>
        <v>1677</v>
      </c>
      <c r="B1683" s="80" t="s">
        <v>110</v>
      </c>
      <c r="C1683" s="81" t="s">
        <v>2036</v>
      </c>
      <c r="D1683" s="81" t="n">
        <v>15</v>
      </c>
      <c r="E1683" s="81" t="s">
        <v>2042</v>
      </c>
      <c r="F1683" s="82" t="str">
        <f aca="false">IF(E1683="","",IF(LEFT(E1683,2)="DJ","DJ","JN"))</f>
        <v>DJ</v>
      </c>
      <c r="G1683" s="81"/>
      <c r="H1683" s="81" t="s">
        <v>871</v>
      </c>
      <c r="I1683" s="81" t="n">
        <v>9.53</v>
      </c>
      <c r="J1683" s="81" t="s">
        <v>872</v>
      </c>
      <c r="K1683" s="81" t="s">
        <v>873</v>
      </c>
      <c r="L1683" s="81" t="n">
        <v>2082490</v>
      </c>
      <c r="M1683" s="81" t="n">
        <v>15421109</v>
      </c>
      <c r="N1683" s="81" t="n">
        <v>11.94</v>
      </c>
      <c r="O1683" s="81" t="n">
        <v>2080000</v>
      </c>
      <c r="P1683" s="81" t="n">
        <v>15421102</v>
      </c>
      <c r="Q1683" s="81" t="n">
        <v>11.94</v>
      </c>
      <c r="R1683" s="81" t="s">
        <v>963</v>
      </c>
      <c r="S1683" s="81"/>
      <c r="T1683" s="81"/>
      <c r="U1683" s="83" t="n">
        <v>46263</v>
      </c>
      <c r="V1683" s="83" t="n">
        <v>46263</v>
      </c>
      <c r="W1683" s="81" t="s">
        <v>1922</v>
      </c>
      <c r="X1683" s="81" t="s">
        <v>876</v>
      </c>
      <c r="Y1683" s="83" t="n">
        <v>46264</v>
      </c>
      <c r="Z1683" s="81" t="s">
        <v>2043</v>
      </c>
      <c r="AA1683" s="81" t="s">
        <v>876</v>
      </c>
      <c r="AB1683" s="81"/>
      <c r="AC1683" s="81"/>
      <c r="AD1683" s="81"/>
      <c r="AE1683" s="83"/>
      <c r="AF1683" s="81"/>
      <c r="AG1683" s="81"/>
      <c r="AH1683" s="81"/>
      <c r="AI1683" s="81"/>
      <c r="AJ1683" s="83"/>
      <c r="AK1683" s="81"/>
      <c r="AL1683" s="81"/>
      <c r="AM1683" s="83"/>
      <c r="AN1683" s="80"/>
      <c r="AO1683" s="82" t="n">
        <f aca="false">IF(E1683="","",(AA1683&lt;&gt;"")+(AG1683&lt;&gt;"")+(AL1683&lt;&gt;""))</f>
        <v>1</v>
      </c>
      <c r="AP1683" s="82" t="str">
        <f aca="false">IF(AL1683&lt;&gt;"",AL1683,IF(AG1683&lt;&gt;"",AG1683,IF(AA1683&lt;&gt;"",AA1683,"")))</f>
        <v>A</v>
      </c>
      <c r="AQ1683" s="84" t="str">
        <f aca="false">IF(E1683="","",IF(U1683="","À SOUDER",IF(X1683="","VT EN ATTENTE",IF(X1683="R","VT REJETÉ – À REPRENDRE",IF(AP1683="","À RADIOGRAPHIER",IF(AP1683="A","ACCEPTÉ",IF(AP1683="NX","NX – RT À REFAIRE",IF(IF(AO1683=1,AD1683,IF(AO1683=2,AI1683,""))="A","RÉPARÉ – À RADIOGRAPHIER",IF(IF(AO1683=1,AD1683,IF(AO1683=2,AI1683,""))="R","VT REJETÉ – À REPRENDRE",IF(OR(AP1683="CO",AP1683="NT"),"COUPE – À RESOUDER","À RÉPARER"))))))))))</f>
        <v>ACCEPTÉ</v>
      </c>
      <c r="AR1683" s="82" t="str">
        <f aca="false">IF(AND(ISNUMBER(U1683),OR(AQ1683="À RADIOGRAPHIER",AQ1683="RÉPARÉ – À RADIOGRAPHIER",AQ1683="NX – RT À REFAIRE",AQ1683="À RÉPARER",AQ1683="COUPE – À RESOUDER",AQ1683="VT REJETÉ – À REPRENDRE")),MAX(0,'PROGRAMME RT'!$C$4-U1683),"")</f>
        <v/>
      </c>
      <c r="AS1683" s="82" t="n">
        <f aca="false">IF(AND(OR(AQ1683="À RADIOGRAPHIER",AQ1683="RÉPARÉ – À RADIOGRAPHIER",AQ1683="NX – RT À REFAIRE"),OR('PROGRAMME RT'!$D$5="TOUTES",B1683='PROGRAMME RT'!$D$5)),1,0)</f>
        <v>0</v>
      </c>
      <c r="AT1683" s="82" t="str">
        <f aca="false">IF(AS1683=1,SUM(AS$7:AS1683),"")</f>
        <v/>
      </c>
      <c r="AU1683" s="82" t="n">
        <f aca="false">IF(AND(OR(AA1683="R",AA1683="NX",AA1683="NT",AA1683="CO"),OR('JOINTS DE RÉPARATION'!$D$5="TOUTES",B1683='JOINTS DE RÉPARATION'!$D$5),OR('JOINTS DE RÉPARATION'!$L$4="TOUS",AQ1683&lt;&gt;"ACCEPTÉ")),1,0)</f>
        <v>0</v>
      </c>
      <c r="AV1683" s="82" t="str">
        <f aca="false">IF(AU1683=1,SUM(AU$7:AU1683),"")</f>
        <v/>
      </c>
      <c r="AW1683" s="82" t="str">
        <f aca="false">IF(E1683="","",B1683&amp;"|"&amp;E1683)</f>
        <v>MFD-ISW → MFD-CPF|DJ°189</v>
      </c>
    </row>
    <row r="1684" customFormat="false" ht="74.6" hidden="false" customHeight="false" outlineLevel="0" collapsed="false">
      <c r="A1684" s="79" t="n">
        <f aca="false">IF(E1684="","",ROW()-6)</f>
        <v>1678</v>
      </c>
      <c r="B1684" s="80" t="s">
        <v>110</v>
      </c>
      <c r="C1684" s="81" t="s">
        <v>2036</v>
      </c>
      <c r="D1684" s="81" t="n">
        <v>15</v>
      </c>
      <c r="E1684" s="81" t="s">
        <v>2044</v>
      </c>
      <c r="F1684" s="82" t="str">
        <f aca="false">IF(E1684="","",IF(LEFT(E1684,2)="DJ","DJ","JN"))</f>
        <v>JN</v>
      </c>
      <c r="G1684" s="81" t="s">
        <v>1504</v>
      </c>
      <c r="H1684" s="81" t="s">
        <v>871</v>
      </c>
      <c r="I1684" s="81" t="n">
        <v>9.53</v>
      </c>
      <c r="J1684" s="81" t="s">
        <v>872</v>
      </c>
      <c r="K1684" s="81" t="s">
        <v>879</v>
      </c>
      <c r="L1684" s="81" t="n">
        <v>2080000</v>
      </c>
      <c r="M1684" s="81" t="n">
        <v>15421102</v>
      </c>
      <c r="N1684" s="81" t="n">
        <v>11.94</v>
      </c>
      <c r="O1684" s="81" t="n">
        <v>2079510</v>
      </c>
      <c r="P1684" s="81" t="n">
        <v>15421102</v>
      </c>
      <c r="Q1684" s="81" t="n">
        <v>11.94</v>
      </c>
      <c r="R1684" s="81" t="s">
        <v>2039</v>
      </c>
      <c r="S1684" s="81"/>
      <c r="T1684" s="81"/>
      <c r="U1684" s="83" t="n">
        <v>46273</v>
      </c>
      <c r="V1684" s="83" t="n">
        <v>46273</v>
      </c>
      <c r="W1684" s="81" t="s">
        <v>2040</v>
      </c>
      <c r="X1684" s="81" t="s">
        <v>876</v>
      </c>
      <c r="Y1684" s="83" t="n">
        <v>46289</v>
      </c>
      <c r="Z1684" s="81" t="s">
        <v>2041</v>
      </c>
      <c r="AA1684" s="81" t="s">
        <v>876</v>
      </c>
      <c r="AB1684" s="81"/>
      <c r="AC1684" s="81"/>
      <c r="AD1684" s="81"/>
      <c r="AE1684" s="83"/>
      <c r="AF1684" s="81"/>
      <c r="AG1684" s="81"/>
      <c r="AH1684" s="81"/>
      <c r="AI1684" s="81"/>
      <c r="AJ1684" s="83"/>
      <c r="AK1684" s="81"/>
      <c r="AL1684" s="81"/>
      <c r="AM1684" s="83"/>
      <c r="AN1684" s="80"/>
      <c r="AO1684" s="82" t="n">
        <f aca="false">IF(E1684="","",(AA1684&lt;&gt;"")+(AG1684&lt;&gt;"")+(AL1684&lt;&gt;""))</f>
        <v>1</v>
      </c>
      <c r="AP1684" s="82" t="str">
        <f aca="false">IF(AL1684&lt;&gt;"",AL1684,IF(AG1684&lt;&gt;"",AG1684,IF(AA1684&lt;&gt;"",AA1684,"")))</f>
        <v>A</v>
      </c>
      <c r="AQ1684" s="84" t="str">
        <f aca="false">IF(E1684="","",IF(U1684="","À SOUDER",IF(X1684="","VT EN ATTENTE",IF(X1684="R","VT REJETÉ – À REPRENDRE",IF(AP1684="","À RADIOGRAPHIER",IF(AP1684="A","ACCEPTÉ",IF(AP1684="NX","NX – RT À REFAIRE",IF(IF(AO1684=1,AD1684,IF(AO1684=2,AI1684,""))="A","RÉPARÉ – À RADIOGRAPHIER",IF(IF(AO1684=1,AD1684,IF(AO1684=2,AI1684,""))="R","VT REJETÉ – À REPRENDRE",IF(OR(AP1684="CO",AP1684="NT"),"COUPE – À RESOUDER","À RÉPARER"))))))))))</f>
        <v>ACCEPTÉ</v>
      </c>
      <c r="AR1684" s="82" t="str">
        <f aca="false">IF(AND(ISNUMBER(U1684),OR(AQ1684="À RADIOGRAPHIER",AQ1684="RÉPARÉ – À RADIOGRAPHIER",AQ1684="NX – RT À REFAIRE",AQ1684="À RÉPARER",AQ1684="COUPE – À RESOUDER",AQ1684="VT REJETÉ – À REPRENDRE")),MAX(0,'PROGRAMME RT'!$C$4-U1684),"")</f>
        <v/>
      </c>
      <c r="AS1684" s="82" t="n">
        <f aca="false">IF(AND(OR(AQ1684="À RADIOGRAPHIER",AQ1684="RÉPARÉ – À RADIOGRAPHIER",AQ1684="NX – RT À REFAIRE"),OR('PROGRAMME RT'!$D$5="TOUTES",B1684='PROGRAMME RT'!$D$5)),1,0)</f>
        <v>0</v>
      </c>
      <c r="AT1684" s="82" t="str">
        <f aca="false">IF(AS1684=1,SUM(AS$7:AS1684),"")</f>
        <v/>
      </c>
      <c r="AU1684" s="82" t="n">
        <f aca="false">IF(AND(OR(AA1684="R",AA1684="NX",AA1684="NT",AA1684="CO"),OR('JOINTS DE RÉPARATION'!$D$5="TOUTES",B1684='JOINTS DE RÉPARATION'!$D$5),OR('JOINTS DE RÉPARATION'!$L$4="TOUS",AQ1684&lt;&gt;"ACCEPTÉ")),1,0)</f>
        <v>0</v>
      </c>
      <c r="AV1684" s="82" t="str">
        <f aca="false">IF(AU1684=1,SUM(AU$7:AU1684),"")</f>
        <v/>
      </c>
      <c r="AW1684" s="82" t="str">
        <f aca="false">IF(E1684="","",B1684&amp;"|"&amp;E1684)</f>
        <v>MFD-ISW → MFD-CPF|JN°1356</v>
      </c>
    </row>
    <row r="1685" customFormat="false" ht="74.6" hidden="false" customHeight="false" outlineLevel="0" collapsed="false">
      <c r="A1685" s="79" t="n">
        <f aca="false">IF(E1685="","",ROW()-6)</f>
        <v>1679</v>
      </c>
      <c r="B1685" s="80" t="s">
        <v>110</v>
      </c>
      <c r="C1685" s="81" t="s">
        <v>2036</v>
      </c>
      <c r="D1685" s="81" t="n">
        <v>15</v>
      </c>
      <c r="E1685" s="81" t="s">
        <v>2045</v>
      </c>
      <c r="F1685" s="82" t="str">
        <f aca="false">IF(E1685="","",IF(LEFT(E1685,2)="DJ","DJ","JN"))</f>
        <v>DJ</v>
      </c>
      <c r="G1685" s="81"/>
      <c r="H1685" s="81" t="s">
        <v>871</v>
      </c>
      <c r="I1685" s="81" t="n">
        <v>9.53</v>
      </c>
      <c r="J1685" s="81" t="s">
        <v>872</v>
      </c>
      <c r="K1685" s="81" t="s">
        <v>873</v>
      </c>
      <c r="L1685" s="81" t="n">
        <v>2079510</v>
      </c>
      <c r="M1685" s="81" t="n">
        <v>15421102</v>
      </c>
      <c r="N1685" s="81" t="n">
        <v>11.94</v>
      </c>
      <c r="O1685" s="81" t="n">
        <v>2089910</v>
      </c>
      <c r="P1685" s="81" t="n">
        <v>15421109</v>
      </c>
      <c r="Q1685" s="81" t="n">
        <v>11.94</v>
      </c>
      <c r="R1685" s="81" t="s">
        <v>1147</v>
      </c>
      <c r="S1685" s="81"/>
      <c r="T1685" s="81"/>
      <c r="U1685" s="83" t="n">
        <v>46261</v>
      </c>
      <c r="V1685" s="83" t="n">
        <v>46261</v>
      </c>
      <c r="W1685" s="81" t="s">
        <v>1952</v>
      </c>
      <c r="X1685" s="81" t="s">
        <v>876</v>
      </c>
      <c r="Y1685" s="83" t="n">
        <v>46264</v>
      </c>
      <c r="Z1685" s="81" t="s">
        <v>2031</v>
      </c>
      <c r="AA1685" s="81" t="s">
        <v>876</v>
      </c>
      <c r="AB1685" s="81"/>
      <c r="AC1685" s="81"/>
      <c r="AD1685" s="81"/>
      <c r="AE1685" s="83"/>
      <c r="AF1685" s="81"/>
      <c r="AG1685" s="81"/>
      <c r="AH1685" s="81"/>
      <c r="AI1685" s="81"/>
      <c r="AJ1685" s="83"/>
      <c r="AK1685" s="81"/>
      <c r="AL1685" s="81"/>
      <c r="AM1685" s="83"/>
      <c r="AN1685" s="80"/>
      <c r="AO1685" s="82" t="n">
        <f aca="false">IF(E1685="","",(AA1685&lt;&gt;"")+(AG1685&lt;&gt;"")+(AL1685&lt;&gt;""))</f>
        <v>1</v>
      </c>
      <c r="AP1685" s="82" t="str">
        <f aca="false">IF(AL1685&lt;&gt;"",AL1685,IF(AG1685&lt;&gt;"",AG1685,IF(AA1685&lt;&gt;"",AA1685,"")))</f>
        <v>A</v>
      </c>
      <c r="AQ1685" s="84" t="str">
        <f aca="false">IF(E1685="","",IF(U1685="","À SOUDER",IF(X1685="","VT EN ATTENTE",IF(X1685="R","VT REJETÉ – À REPRENDRE",IF(AP1685="","À RADIOGRAPHIER",IF(AP1685="A","ACCEPTÉ",IF(AP1685="NX","NX – RT À REFAIRE",IF(IF(AO1685=1,AD1685,IF(AO1685=2,AI1685,""))="A","RÉPARÉ – À RADIOGRAPHIER",IF(IF(AO1685=1,AD1685,IF(AO1685=2,AI1685,""))="R","VT REJETÉ – À REPRENDRE",IF(OR(AP1685="CO",AP1685="NT"),"COUPE – À RESOUDER","À RÉPARER"))))))))))</f>
        <v>ACCEPTÉ</v>
      </c>
      <c r="AR1685" s="82" t="str">
        <f aca="false">IF(AND(ISNUMBER(U1685),OR(AQ1685="À RADIOGRAPHIER",AQ1685="RÉPARÉ – À RADIOGRAPHIER",AQ1685="NX – RT À REFAIRE",AQ1685="À RÉPARER",AQ1685="COUPE – À RESOUDER",AQ1685="VT REJETÉ – À REPRENDRE")),MAX(0,'PROGRAMME RT'!$C$4-U1685),"")</f>
        <v/>
      </c>
      <c r="AS1685" s="82" t="n">
        <f aca="false">IF(AND(OR(AQ1685="À RADIOGRAPHIER",AQ1685="RÉPARÉ – À RADIOGRAPHIER",AQ1685="NX – RT À REFAIRE"),OR('PROGRAMME RT'!$D$5="TOUTES",B1685='PROGRAMME RT'!$D$5)),1,0)</f>
        <v>0</v>
      </c>
      <c r="AT1685" s="82" t="str">
        <f aca="false">IF(AS1685=1,SUM(AS$7:AS1685),"")</f>
        <v/>
      </c>
      <c r="AU1685" s="82" t="n">
        <f aca="false">IF(AND(OR(AA1685="R",AA1685="NX",AA1685="NT",AA1685="CO"),OR('JOINTS DE RÉPARATION'!$D$5="TOUTES",B1685='JOINTS DE RÉPARATION'!$D$5),OR('JOINTS DE RÉPARATION'!$L$4="TOUS",AQ1685&lt;&gt;"ACCEPTÉ")),1,0)</f>
        <v>0</v>
      </c>
      <c r="AV1685" s="82" t="str">
        <f aca="false">IF(AU1685=1,SUM(AU$7:AU1685),"")</f>
        <v/>
      </c>
      <c r="AW1685" s="82" t="str">
        <f aca="false">IF(E1685="","",B1685&amp;"|"&amp;E1685)</f>
        <v>MFD-ISW → MFD-CPF|DJ°173</v>
      </c>
    </row>
    <row r="1686" customFormat="false" ht="74.6" hidden="false" customHeight="false" outlineLevel="0" collapsed="false">
      <c r="A1686" s="79" t="n">
        <f aca="false">IF(E1686="","",ROW()-6)</f>
        <v>1680</v>
      </c>
      <c r="B1686" s="80" t="s">
        <v>110</v>
      </c>
      <c r="C1686" s="81" t="s">
        <v>2036</v>
      </c>
      <c r="D1686" s="81" t="n">
        <v>15</v>
      </c>
      <c r="E1686" s="81" t="s">
        <v>2046</v>
      </c>
      <c r="F1686" s="82" t="str">
        <f aca="false">IF(E1686="","",IF(LEFT(E1686,2)="DJ","DJ","JN"))</f>
        <v>JN</v>
      </c>
      <c r="G1686" s="81" t="s">
        <v>1504</v>
      </c>
      <c r="H1686" s="81" t="s">
        <v>871</v>
      </c>
      <c r="I1686" s="81" t="n">
        <v>9.53</v>
      </c>
      <c r="J1686" s="81" t="s">
        <v>872</v>
      </c>
      <c r="K1686" s="81" t="s">
        <v>879</v>
      </c>
      <c r="L1686" s="81" t="n">
        <v>2089910</v>
      </c>
      <c r="M1686" s="81" t="n">
        <v>15421109</v>
      </c>
      <c r="N1686" s="81" t="n">
        <v>11.94</v>
      </c>
      <c r="O1686" s="81" t="n">
        <v>2079940</v>
      </c>
      <c r="P1686" s="81" t="n">
        <v>15421102</v>
      </c>
      <c r="Q1686" s="81" t="n">
        <v>11.94</v>
      </c>
      <c r="R1686" s="81" t="s">
        <v>2039</v>
      </c>
      <c r="S1686" s="81"/>
      <c r="T1686" s="81"/>
      <c r="U1686" s="83" t="n">
        <v>46273</v>
      </c>
      <c r="V1686" s="83" t="n">
        <v>46273</v>
      </c>
      <c r="W1686" s="81" t="s">
        <v>2040</v>
      </c>
      <c r="X1686" s="81" t="s">
        <v>876</v>
      </c>
      <c r="Y1686" s="83" t="n">
        <v>46289</v>
      </c>
      <c r="Z1686" s="81" t="s">
        <v>2041</v>
      </c>
      <c r="AA1686" s="81" t="s">
        <v>1073</v>
      </c>
      <c r="AB1686" s="81" t="s">
        <v>2047</v>
      </c>
      <c r="AC1686" s="81"/>
      <c r="AD1686" s="81"/>
      <c r="AE1686" s="83"/>
      <c r="AF1686" s="81"/>
      <c r="AG1686" s="81"/>
      <c r="AH1686" s="81"/>
      <c r="AI1686" s="81"/>
      <c r="AJ1686" s="83"/>
      <c r="AK1686" s="81"/>
      <c r="AL1686" s="81"/>
      <c r="AM1686" s="83"/>
      <c r="AN1686" s="80"/>
      <c r="AO1686" s="82" t="n">
        <f aca="false">IF(E1686="","",(AA1686&lt;&gt;"")+(AG1686&lt;&gt;"")+(AL1686&lt;&gt;""))</f>
        <v>1</v>
      </c>
      <c r="AP1686" s="82" t="str">
        <f aca="false">IF(AL1686&lt;&gt;"",AL1686,IF(AG1686&lt;&gt;"",AG1686,IF(AA1686&lt;&gt;"",AA1686,"")))</f>
        <v>R</v>
      </c>
      <c r="AQ1686" s="84" t="str">
        <f aca="false">IF(E1686="","",IF(U1686="","À SOUDER",IF(X1686="","VT EN ATTENTE",IF(X1686="R","VT REJETÉ – À REPRENDRE",IF(AP1686="","À RADIOGRAPHIER",IF(AP1686="A","ACCEPTÉ",IF(AP1686="NX","NX – RT À REFAIRE",IF(IF(AO1686=1,AD1686,IF(AO1686=2,AI1686,""))="A","RÉPARÉ – À RADIOGRAPHIER",IF(IF(AO1686=1,AD1686,IF(AO1686=2,AI1686,""))="R","VT REJETÉ – À REPRENDRE",IF(OR(AP1686="CO",AP1686="NT"),"COUPE – À RESOUDER","À RÉPARER"))))))))))</f>
        <v>À RÉPARER</v>
      </c>
      <c r="AR1686" s="82" t="n">
        <f aca="false">IF(AND(ISNUMBER(U1686),OR(AQ1686="À RADIOGRAPHIER",AQ1686="RÉPARÉ – À RADIOGRAPHIER",AQ1686="NX – RT À REFAIRE",AQ1686="À RÉPARER",AQ1686="COUPE – À RESOUDER",AQ1686="VT REJETÉ – À REPRENDRE")),MAX(0,'PROGRAMME RT'!$C$4-U1686),"")</f>
        <v>20</v>
      </c>
      <c r="AS1686" s="82" t="n">
        <f aca="false">IF(AND(OR(AQ1686="À RADIOGRAPHIER",AQ1686="RÉPARÉ – À RADIOGRAPHIER",AQ1686="NX – RT À REFAIRE"),OR('PROGRAMME RT'!$D$5="TOUTES",B1686='PROGRAMME RT'!$D$5)),1,0)</f>
        <v>0</v>
      </c>
      <c r="AT1686" s="82" t="str">
        <f aca="false">IF(AS1686=1,SUM(AS$7:AS1686),"")</f>
        <v/>
      </c>
      <c r="AU1686" s="82" t="n">
        <f aca="false">IF(AND(OR(AA1686="R",AA1686="NX",AA1686="NT",AA1686="CO"),OR('JOINTS DE RÉPARATION'!$D$5="TOUTES",B1686='JOINTS DE RÉPARATION'!$D$5),OR('JOINTS DE RÉPARATION'!$L$4="TOUS",AQ1686&lt;&gt;"ACCEPTÉ")),1,0)</f>
        <v>1</v>
      </c>
      <c r="AV1686" s="82" t="n">
        <f aca="false">IF(AU1686=1,SUM(AU$7:AU1686),"")</f>
        <v>45</v>
      </c>
      <c r="AW1686" s="82" t="str">
        <f aca="false">IF(E1686="","",B1686&amp;"|"&amp;E1686)</f>
        <v>MFD-ISW → MFD-CPF|JN°1357</v>
      </c>
    </row>
    <row r="1687" customFormat="false" ht="74.6" hidden="false" customHeight="false" outlineLevel="0" collapsed="false">
      <c r="A1687" s="79" t="n">
        <f aca="false">IF(E1687="","",ROW()-6)</f>
        <v>1681</v>
      </c>
      <c r="B1687" s="80" t="s">
        <v>110</v>
      </c>
      <c r="C1687" s="81" t="s">
        <v>2036</v>
      </c>
      <c r="D1687" s="81" t="n">
        <v>15</v>
      </c>
      <c r="E1687" s="81" t="s">
        <v>2048</v>
      </c>
      <c r="F1687" s="82" t="str">
        <f aca="false">IF(E1687="","",IF(LEFT(E1687,2)="DJ","DJ","JN"))</f>
        <v>DJ</v>
      </c>
      <c r="G1687" s="81"/>
      <c r="H1687" s="81" t="s">
        <v>871</v>
      </c>
      <c r="I1687" s="81" t="n">
        <v>9.53</v>
      </c>
      <c r="J1687" s="81" t="s">
        <v>872</v>
      </c>
      <c r="K1687" s="81" t="s">
        <v>873</v>
      </c>
      <c r="L1687" s="81" t="n">
        <v>2079940</v>
      </c>
      <c r="M1687" s="81" t="n">
        <v>15421102</v>
      </c>
      <c r="N1687" s="81" t="n">
        <v>11.94</v>
      </c>
      <c r="O1687" s="81" t="n">
        <v>2095660</v>
      </c>
      <c r="P1687" s="81" t="n">
        <v>154211</v>
      </c>
      <c r="Q1687" s="81" t="n">
        <v>11.94</v>
      </c>
      <c r="R1687" s="81" t="s">
        <v>963</v>
      </c>
      <c r="S1687" s="81"/>
      <c r="T1687" s="81"/>
      <c r="U1687" s="83" t="n">
        <v>46262</v>
      </c>
      <c r="V1687" s="83" t="n">
        <v>46262</v>
      </c>
      <c r="W1687" s="81" t="s">
        <v>1930</v>
      </c>
      <c r="X1687" s="81" t="s">
        <v>876</v>
      </c>
      <c r="Y1687" s="83" t="n">
        <v>46264</v>
      </c>
      <c r="Z1687" s="81" t="s">
        <v>2031</v>
      </c>
      <c r="AA1687" s="81" t="s">
        <v>876</v>
      </c>
      <c r="AB1687" s="81"/>
      <c r="AC1687" s="81"/>
      <c r="AD1687" s="81"/>
      <c r="AE1687" s="83"/>
      <c r="AF1687" s="81"/>
      <c r="AG1687" s="81"/>
      <c r="AH1687" s="81"/>
      <c r="AI1687" s="81"/>
      <c r="AJ1687" s="83"/>
      <c r="AK1687" s="81"/>
      <c r="AL1687" s="81"/>
      <c r="AM1687" s="83"/>
      <c r="AN1687" s="80"/>
      <c r="AO1687" s="82" t="n">
        <f aca="false">IF(E1687="","",(AA1687&lt;&gt;"")+(AG1687&lt;&gt;"")+(AL1687&lt;&gt;""))</f>
        <v>1</v>
      </c>
      <c r="AP1687" s="82" t="str">
        <f aca="false">IF(AL1687&lt;&gt;"",AL1687,IF(AG1687&lt;&gt;"",AG1687,IF(AA1687&lt;&gt;"",AA1687,"")))</f>
        <v>A</v>
      </c>
      <c r="AQ1687" s="84" t="str">
        <f aca="false">IF(E1687="","",IF(U1687="","À SOUDER",IF(X1687="","VT EN ATTENTE",IF(X1687="R","VT REJETÉ – À REPRENDRE",IF(AP1687="","À RADIOGRAPHIER",IF(AP1687="A","ACCEPTÉ",IF(AP1687="NX","NX – RT À REFAIRE",IF(IF(AO1687=1,AD1687,IF(AO1687=2,AI1687,""))="A","RÉPARÉ – À RADIOGRAPHIER",IF(IF(AO1687=1,AD1687,IF(AO1687=2,AI1687,""))="R","VT REJETÉ – À REPRENDRE",IF(OR(AP1687="CO",AP1687="NT"),"COUPE – À RESOUDER","À RÉPARER"))))))))))</f>
        <v>ACCEPTÉ</v>
      </c>
      <c r="AR1687" s="82" t="str">
        <f aca="false">IF(AND(ISNUMBER(U1687),OR(AQ1687="À RADIOGRAPHIER",AQ1687="RÉPARÉ – À RADIOGRAPHIER",AQ1687="NX – RT À REFAIRE",AQ1687="À RÉPARER",AQ1687="COUPE – À RESOUDER",AQ1687="VT REJETÉ – À REPRENDRE")),MAX(0,'PROGRAMME RT'!$C$4-U1687),"")</f>
        <v/>
      </c>
      <c r="AS1687" s="82" t="n">
        <f aca="false">IF(AND(OR(AQ1687="À RADIOGRAPHIER",AQ1687="RÉPARÉ – À RADIOGRAPHIER",AQ1687="NX – RT À REFAIRE"),OR('PROGRAMME RT'!$D$5="TOUTES",B1687='PROGRAMME RT'!$D$5)),1,0)</f>
        <v>0</v>
      </c>
      <c r="AT1687" s="82" t="str">
        <f aca="false">IF(AS1687=1,SUM(AS$7:AS1687),"")</f>
        <v/>
      </c>
      <c r="AU1687" s="82" t="n">
        <f aca="false">IF(AND(OR(AA1687="R",AA1687="NX",AA1687="NT",AA1687="CO"),OR('JOINTS DE RÉPARATION'!$D$5="TOUTES",B1687='JOINTS DE RÉPARATION'!$D$5),OR('JOINTS DE RÉPARATION'!$L$4="TOUS",AQ1687&lt;&gt;"ACCEPTÉ")),1,0)</f>
        <v>0</v>
      </c>
      <c r="AV1687" s="82" t="str">
        <f aca="false">IF(AU1687=1,SUM(AU$7:AU1687),"")</f>
        <v/>
      </c>
      <c r="AW1687" s="82" t="str">
        <f aca="false">IF(E1687="","",B1687&amp;"|"&amp;E1687)</f>
        <v>MFD-ISW → MFD-CPF|DJ°178</v>
      </c>
    </row>
    <row r="1688" customFormat="false" ht="74.6" hidden="false" customHeight="false" outlineLevel="0" collapsed="false">
      <c r="A1688" s="79" t="n">
        <f aca="false">IF(E1688="","",ROW()-6)</f>
        <v>1682</v>
      </c>
      <c r="B1688" s="80" t="s">
        <v>110</v>
      </c>
      <c r="C1688" s="81" t="s">
        <v>2036</v>
      </c>
      <c r="D1688" s="81" t="n">
        <v>15</v>
      </c>
      <c r="E1688" s="81" t="s">
        <v>2049</v>
      </c>
      <c r="F1688" s="82" t="str">
        <f aca="false">IF(E1688="","",IF(LEFT(E1688,2)="DJ","DJ","JN"))</f>
        <v>JN</v>
      </c>
      <c r="G1688" s="81" t="s">
        <v>1504</v>
      </c>
      <c r="H1688" s="81" t="s">
        <v>871</v>
      </c>
      <c r="I1688" s="81" t="n">
        <v>9.53</v>
      </c>
      <c r="J1688" s="81" t="s">
        <v>872</v>
      </c>
      <c r="K1688" s="81" t="s">
        <v>879</v>
      </c>
      <c r="L1688" s="81" t="n">
        <v>2095660</v>
      </c>
      <c r="M1688" s="81" t="n">
        <v>154211</v>
      </c>
      <c r="N1688" s="81" t="n">
        <v>11.94</v>
      </c>
      <c r="O1688" s="81" t="n">
        <v>2089080</v>
      </c>
      <c r="P1688" s="81" t="n">
        <v>15421108</v>
      </c>
      <c r="Q1688" s="81" t="n">
        <v>11.94</v>
      </c>
      <c r="R1688" s="81" t="s">
        <v>2039</v>
      </c>
      <c r="S1688" s="81"/>
      <c r="T1688" s="81"/>
      <c r="U1688" s="83" t="n">
        <v>46273</v>
      </c>
      <c r="V1688" s="83" t="n">
        <v>46273</v>
      </c>
      <c r="W1688" s="81" t="s">
        <v>2040</v>
      </c>
      <c r="X1688" s="81" t="s">
        <v>876</v>
      </c>
      <c r="Y1688" s="83" t="n">
        <v>46289</v>
      </c>
      <c r="Z1688" s="81" t="s">
        <v>2041</v>
      </c>
      <c r="AA1688" s="81" t="s">
        <v>1073</v>
      </c>
      <c r="AB1688" s="81" t="s">
        <v>2050</v>
      </c>
      <c r="AC1688" s="81"/>
      <c r="AD1688" s="81"/>
      <c r="AE1688" s="83"/>
      <c r="AF1688" s="81"/>
      <c r="AG1688" s="81"/>
      <c r="AH1688" s="81"/>
      <c r="AI1688" s="81"/>
      <c r="AJ1688" s="83"/>
      <c r="AK1688" s="81"/>
      <c r="AL1688" s="81"/>
      <c r="AM1688" s="83"/>
      <c r="AN1688" s="80"/>
      <c r="AO1688" s="82" t="n">
        <f aca="false">IF(E1688="","",(AA1688&lt;&gt;"")+(AG1688&lt;&gt;"")+(AL1688&lt;&gt;""))</f>
        <v>1</v>
      </c>
      <c r="AP1688" s="82" t="str">
        <f aca="false">IF(AL1688&lt;&gt;"",AL1688,IF(AG1688&lt;&gt;"",AG1688,IF(AA1688&lt;&gt;"",AA1688,"")))</f>
        <v>R</v>
      </c>
      <c r="AQ1688" s="84" t="str">
        <f aca="false">IF(E1688="","",IF(U1688="","À SOUDER",IF(X1688="","VT EN ATTENTE",IF(X1688="R","VT REJETÉ – À REPRENDRE",IF(AP1688="","À RADIOGRAPHIER",IF(AP1688="A","ACCEPTÉ",IF(AP1688="NX","NX – RT À REFAIRE",IF(IF(AO1688=1,AD1688,IF(AO1688=2,AI1688,""))="A","RÉPARÉ – À RADIOGRAPHIER",IF(IF(AO1688=1,AD1688,IF(AO1688=2,AI1688,""))="R","VT REJETÉ – À REPRENDRE",IF(OR(AP1688="CO",AP1688="NT"),"COUPE – À RESOUDER","À RÉPARER"))))))))))</f>
        <v>À RÉPARER</v>
      </c>
      <c r="AR1688" s="82" t="n">
        <f aca="false">IF(AND(ISNUMBER(U1688),OR(AQ1688="À RADIOGRAPHIER",AQ1688="RÉPARÉ – À RADIOGRAPHIER",AQ1688="NX – RT À REFAIRE",AQ1688="À RÉPARER",AQ1688="COUPE – À RESOUDER",AQ1688="VT REJETÉ – À REPRENDRE")),MAX(0,'PROGRAMME RT'!$C$4-U1688),"")</f>
        <v>20</v>
      </c>
      <c r="AS1688" s="82" t="n">
        <f aca="false">IF(AND(OR(AQ1688="À RADIOGRAPHIER",AQ1688="RÉPARÉ – À RADIOGRAPHIER",AQ1688="NX – RT À REFAIRE"),OR('PROGRAMME RT'!$D$5="TOUTES",B1688='PROGRAMME RT'!$D$5)),1,0)</f>
        <v>0</v>
      </c>
      <c r="AT1688" s="82" t="str">
        <f aca="false">IF(AS1688=1,SUM(AS$7:AS1688),"")</f>
        <v/>
      </c>
      <c r="AU1688" s="82" t="n">
        <f aca="false">IF(AND(OR(AA1688="R",AA1688="NX",AA1688="NT",AA1688="CO"),OR('JOINTS DE RÉPARATION'!$D$5="TOUTES",B1688='JOINTS DE RÉPARATION'!$D$5),OR('JOINTS DE RÉPARATION'!$L$4="TOUS",AQ1688&lt;&gt;"ACCEPTÉ")),1,0)</f>
        <v>1</v>
      </c>
      <c r="AV1688" s="82" t="n">
        <f aca="false">IF(AU1688=1,SUM(AU$7:AU1688),"")</f>
        <v>46</v>
      </c>
      <c r="AW1688" s="82" t="str">
        <f aca="false">IF(E1688="","",B1688&amp;"|"&amp;E1688)</f>
        <v>MFD-ISW → MFD-CPF|JN°1358</v>
      </c>
    </row>
    <row r="1689" customFormat="false" ht="74.6" hidden="false" customHeight="false" outlineLevel="0" collapsed="false">
      <c r="A1689" s="79" t="n">
        <f aca="false">IF(E1689="","",ROW()-6)</f>
        <v>1683</v>
      </c>
      <c r="B1689" s="80" t="s">
        <v>110</v>
      </c>
      <c r="C1689" s="81" t="s">
        <v>2036</v>
      </c>
      <c r="D1689" s="81" t="n">
        <v>15</v>
      </c>
      <c r="E1689" s="81" t="s">
        <v>2051</v>
      </c>
      <c r="F1689" s="82" t="str">
        <f aca="false">IF(E1689="","",IF(LEFT(E1689,2)="DJ","DJ","JN"))</f>
        <v>DJ</v>
      </c>
      <c r="G1689" s="81"/>
      <c r="H1689" s="81" t="s">
        <v>871</v>
      </c>
      <c r="I1689" s="81" t="n">
        <v>9.53</v>
      </c>
      <c r="J1689" s="81" t="s">
        <v>872</v>
      </c>
      <c r="K1689" s="81" t="s">
        <v>873</v>
      </c>
      <c r="L1689" s="81" t="n">
        <v>2089080</v>
      </c>
      <c r="M1689" s="81" t="n">
        <v>15421108</v>
      </c>
      <c r="N1689" s="81" t="n">
        <v>11.94</v>
      </c>
      <c r="O1689" s="81" t="n">
        <v>2098300</v>
      </c>
      <c r="P1689" s="81" t="n">
        <v>15421112</v>
      </c>
      <c r="Q1689" s="81" t="n">
        <v>11.94</v>
      </c>
      <c r="R1689" s="81" t="s">
        <v>1517</v>
      </c>
      <c r="S1689" s="81"/>
      <c r="T1689" s="81"/>
      <c r="U1689" s="83" t="n">
        <v>46262</v>
      </c>
      <c r="V1689" s="83" t="n">
        <v>46262</v>
      </c>
      <c r="W1689" s="81" t="s">
        <v>1930</v>
      </c>
      <c r="X1689" s="81" t="s">
        <v>876</v>
      </c>
      <c r="Y1689" s="83" t="n">
        <v>46264</v>
      </c>
      <c r="Z1689" s="81" t="s">
        <v>2031</v>
      </c>
      <c r="AA1689" s="81" t="s">
        <v>876</v>
      </c>
      <c r="AB1689" s="81"/>
      <c r="AC1689" s="81"/>
      <c r="AD1689" s="81"/>
      <c r="AE1689" s="83"/>
      <c r="AF1689" s="81"/>
      <c r="AG1689" s="81"/>
      <c r="AH1689" s="81"/>
      <c r="AI1689" s="81"/>
      <c r="AJ1689" s="83"/>
      <c r="AK1689" s="81"/>
      <c r="AL1689" s="81"/>
      <c r="AM1689" s="83"/>
      <c r="AN1689" s="80"/>
      <c r="AO1689" s="82" t="n">
        <f aca="false">IF(E1689="","",(AA1689&lt;&gt;"")+(AG1689&lt;&gt;"")+(AL1689&lt;&gt;""))</f>
        <v>1</v>
      </c>
      <c r="AP1689" s="82" t="str">
        <f aca="false">IF(AL1689&lt;&gt;"",AL1689,IF(AG1689&lt;&gt;"",AG1689,IF(AA1689&lt;&gt;"",AA1689,"")))</f>
        <v>A</v>
      </c>
      <c r="AQ1689" s="84" t="str">
        <f aca="false">IF(E1689="","",IF(U1689="","À SOUDER",IF(X1689="","VT EN ATTENTE",IF(X1689="R","VT REJETÉ – À REPRENDRE",IF(AP1689="","À RADIOGRAPHIER",IF(AP1689="A","ACCEPTÉ",IF(AP1689="NX","NX – RT À REFAIRE",IF(IF(AO1689=1,AD1689,IF(AO1689=2,AI1689,""))="A","RÉPARÉ – À RADIOGRAPHIER",IF(IF(AO1689=1,AD1689,IF(AO1689=2,AI1689,""))="R","VT REJETÉ – À REPRENDRE",IF(OR(AP1689="CO",AP1689="NT"),"COUPE – À RESOUDER","À RÉPARER"))))))))))</f>
        <v>ACCEPTÉ</v>
      </c>
      <c r="AR1689" s="82" t="str">
        <f aca="false">IF(AND(ISNUMBER(U1689),OR(AQ1689="À RADIOGRAPHIER",AQ1689="RÉPARÉ – À RADIOGRAPHIER",AQ1689="NX – RT À REFAIRE",AQ1689="À RÉPARER",AQ1689="COUPE – À RESOUDER",AQ1689="VT REJETÉ – À REPRENDRE")),MAX(0,'PROGRAMME RT'!$C$4-U1689),"")</f>
        <v/>
      </c>
      <c r="AS1689" s="82" t="n">
        <f aca="false">IF(AND(OR(AQ1689="À RADIOGRAPHIER",AQ1689="RÉPARÉ – À RADIOGRAPHIER",AQ1689="NX – RT À REFAIRE"),OR('PROGRAMME RT'!$D$5="TOUTES",B1689='PROGRAMME RT'!$D$5)),1,0)</f>
        <v>0</v>
      </c>
      <c r="AT1689" s="82" t="str">
        <f aca="false">IF(AS1689=1,SUM(AS$7:AS1689),"")</f>
        <v/>
      </c>
      <c r="AU1689" s="82" t="n">
        <f aca="false">IF(AND(OR(AA1689="R",AA1689="NX",AA1689="NT",AA1689="CO"),OR('JOINTS DE RÉPARATION'!$D$5="TOUTES",B1689='JOINTS DE RÉPARATION'!$D$5),OR('JOINTS DE RÉPARATION'!$L$4="TOUS",AQ1689&lt;&gt;"ACCEPTÉ")),1,0)</f>
        <v>0</v>
      </c>
      <c r="AV1689" s="82" t="str">
        <f aca="false">IF(AU1689=1,SUM(AU$7:AU1689),"")</f>
        <v/>
      </c>
      <c r="AW1689" s="82" t="str">
        <f aca="false">IF(E1689="","",B1689&amp;"|"&amp;E1689)</f>
        <v>MFD-ISW → MFD-CPF|DJ°183</v>
      </c>
    </row>
    <row r="1690" customFormat="false" ht="74.6" hidden="false" customHeight="false" outlineLevel="0" collapsed="false">
      <c r="A1690" s="79" t="n">
        <f aca="false">IF(E1690="","",ROW()-6)</f>
        <v>1684</v>
      </c>
      <c r="B1690" s="80" t="s">
        <v>110</v>
      </c>
      <c r="C1690" s="81" t="s">
        <v>2036</v>
      </c>
      <c r="D1690" s="81" t="n">
        <v>15</v>
      </c>
      <c r="E1690" s="81" t="s">
        <v>2052</v>
      </c>
      <c r="F1690" s="82" t="str">
        <f aca="false">IF(E1690="","",IF(LEFT(E1690,2)="DJ","DJ","JN"))</f>
        <v>JN</v>
      </c>
      <c r="G1690" s="81" t="s">
        <v>1504</v>
      </c>
      <c r="H1690" s="81" t="s">
        <v>871</v>
      </c>
      <c r="I1690" s="81" t="n">
        <v>9.53</v>
      </c>
      <c r="J1690" s="81" t="s">
        <v>872</v>
      </c>
      <c r="K1690" s="81" t="s">
        <v>879</v>
      </c>
      <c r="L1690" s="81" t="n">
        <v>2098300</v>
      </c>
      <c r="M1690" s="81" t="n">
        <v>15421112</v>
      </c>
      <c r="N1690" s="81" t="n">
        <v>11.94</v>
      </c>
      <c r="O1690" s="81" t="n">
        <v>2087880</v>
      </c>
      <c r="P1690" s="81" t="n">
        <v>15421108</v>
      </c>
      <c r="Q1690" s="81" t="n">
        <v>11.94</v>
      </c>
      <c r="R1690" s="81" t="s">
        <v>2039</v>
      </c>
      <c r="S1690" s="81"/>
      <c r="T1690" s="81"/>
      <c r="U1690" s="83" t="n">
        <v>46273</v>
      </c>
      <c r="V1690" s="83" t="n">
        <v>46273</v>
      </c>
      <c r="W1690" s="81" t="s">
        <v>2040</v>
      </c>
      <c r="X1690" s="81" t="s">
        <v>876</v>
      </c>
      <c r="Y1690" s="83" t="n">
        <v>46289</v>
      </c>
      <c r="Z1690" s="81" t="s">
        <v>2041</v>
      </c>
      <c r="AA1690" s="81" t="s">
        <v>876</v>
      </c>
      <c r="AB1690" s="81"/>
      <c r="AC1690" s="81"/>
      <c r="AD1690" s="81"/>
      <c r="AE1690" s="83"/>
      <c r="AF1690" s="81"/>
      <c r="AG1690" s="81"/>
      <c r="AH1690" s="81"/>
      <c r="AI1690" s="81"/>
      <c r="AJ1690" s="83"/>
      <c r="AK1690" s="81"/>
      <c r="AL1690" s="81"/>
      <c r="AM1690" s="83"/>
      <c r="AN1690" s="80"/>
      <c r="AO1690" s="82" t="n">
        <f aca="false">IF(E1690="","",(AA1690&lt;&gt;"")+(AG1690&lt;&gt;"")+(AL1690&lt;&gt;""))</f>
        <v>1</v>
      </c>
      <c r="AP1690" s="82" t="str">
        <f aca="false">IF(AL1690&lt;&gt;"",AL1690,IF(AG1690&lt;&gt;"",AG1690,IF(AA1690&lt;&gt;"",AA1690,"")))</f>
        <v>A</v>
      </c>
      <c r="AQ1690" s="84" t="str">
        <f aca="false">IF(E1690="","",IF(U1690="","À SOUDER",IF(X1690="","VT EN ATTENTE",IF(X1690="R","VT REJETÉ – À REPRENDRE",IF(AP1690="","À RADIOGRAPHIER",IF(AP1690="A","ACCEPTÉ",IF(AP1690="NX","NX – RT À REFAIRE",IF(IF(AO1690=1,AD1690,IF(AO1690=2,AI1690,""))="A","RÉPARÉ – À RADIOGRAPHIER",IF(IF(AO1690=1,AD1690,IF(AO1690=2,AI1690,""))="R","VT REJETÉ – À REPRENDRE",IF(OR(AP1690="CO",AP1690="NT"),"COUPE – À RESOUDER","À RÉPARER"))))))))))</f>
        <v>ACCEPTÉ</v>
      </c>
      <c r="AR1690" s="82" t="str">
        <f aca="false">IF(AND(ISNUMBER(U1690),OR(AQ1690="À RADIOGRAPHIER",AQ1690="RÉPARÉ – À RADIOGRAPHIER",AQ1690="NX – RT À REFAIRE",AQ1690="À RÉPARER",AQ1690="COUPE – À RESOUDER",AQ1690="VT REJETÉ – À REPRENDRE")),MAX(0,'PROGRAMME RT'!$C$4-U1690),"")</f>
        <v/>
      </c>
      <c r="AS1690" s="82" t="n">
        <f aca="false">IF(AND(OR(AQ1690="À RADIOGRAPHIER",AQ1690="RÉPARÉ – À RADIOGRAPHIER",AQ1690="NX – RT À REFAIRE"),OR('PROGRAMME RT'!$D$5="TOUTES",B1690='PROGRAMME RT'!$D$5)),1,0)</f>
        <v>0</v>
      </c>
      <c r="AT1690" s="82" t="str">
        <f aca="false">IF(AS1690=1,SUM(AS$7:AS1690),"")</f>
        <v/>
      </c>
      <c r="AU1690" s="82" t="n">
        <f aca="false">IF(AND(OR(AA1690="R",AA1690="NX",AA1690="NT",AA1690="CO"),OR('JOINTS DE RÉPARATION'!$D$5="TOUTES",B1690='JOINTS DE RÉPARATION'!$D$5),OR('JOINTS DE RÉPARATION'!$L$4="TOUS",AQ1690&lt;&gt;"ACCEPTÉ")),1,0)</f>
        <v>0</v>
      </c>
      <c r="AV1690" s="82" t="str">
        <f aca="false">IF(AU1690=1,SUM(AU$7:AU1690),"")</f>
        <v/>
      </c>
      <c r="AW1690" s="82" t="str">
        <f aca="false">IF(E1690="","",B1690&amp;"|"&amp;E1690)</f>
        <v>MFD-ISW → MFD-CPF|JN°1359</v>
      </c>
    </row>
    <row r="1691" customFormat="false" ht="74.6" hidden="false" customHeight="false" outlineLevel="0" collapsed="false">
      <c r="A1691" s="79" t="n">
        <f aca="false">IF(E1691="","",ROW()-6)</f>
        <v>1685</v>
      </c>
      <c r="B1691" s="80" t="s">
        <v>110</v>
      </c>
      <c r="C1691" s="81" t="s">
        <v>2036</v>
      </c>
      <c r="D1691" s="81" t="n">
        <v>15</v>
      </c>
      <c r="E1691" s="81" t="s">
        <v>2053</v>
      </c>
      <c r="F1691" s="82" t="str">
        <f aca="false">IF(E1691="","",IF(LEFT(E1691,2)="DJ","DJ","JN"))</f>
        <v>DJ</v>
      </c>
      <c r="G1691" s="81"/>
      <c r="H1691" s="81" t="s">
        <v>871</v>
      </c>
      <c r="I1691" s="81" t="n">
        <v>9.53</v>
      </c>
      <c r="J1691" s="81" t="s">
        <v>872</v>
      </c>
      <c r="K1691" s="81" t="s">
        <v>873</v>
      </c>
      <c r="L1691" s="81" t="n">
        <v>2087880</v>
      </c>
      <c r="M1691" s="81" t="n">
        <v>15421108</v>
      </c>
      <c r="N1691" s="81" t="n">
        <v>11.94</v>
      </c>
      <c r="O1691" s="81" t="n">
        <v>2088700</v>
      </c>
      <c r="P1691" s="81" t="n">
        <v>15421103</v>
      </c>
      <c r="Q1691" s="81" t="n">
        <v>11.94</v>
      </c>
      <c r="R1691" s="81" t="s">
        <v>1517</v>
      </c>
      <c r="S1691" s="81"/>
      <c r="T1691" s="81"/>
      <c r="U1691" s="83" t="n">
        <v>46261</v>
      </c>
      <c r="V1691" s="83" t="n">
        <v>46261</v>
      </c>
      <c r="W1691" s="81" t="s">
        <v>1952</v>
      </c>
      <c r="X1691" s="81" t="s">
        <v>876</v>
      </c>
      <c r="Y1691" s="83" t="n">
        <v>46264</v>
      </c>
      <c r="Z1691" s="81" t="s">
        <v>2031</v>
      </c>
      <c r="AA1691" s="81" t="s">
        <v>876</v>
      </c>
      <c r="AB1691" s="81"/>
      <c r="AC1691" s="81"/>
      <c r="AD1691" s="81"/>
      <c r="AE1691" s="83"/>
      <c r="AF1691" s="81"/>
      <c r="AG1691" s="81"/>
      <c r="AH1691" s="81"/>
      <c r="AI1691" s="81"/>
      <c r="AJ1691" s="83"/>
      <c r="AK1691" s="81"/>
      <c r="AL1691" s="81"/>
      <c r="AM1691" s="83"/>
      <c r="AN1691" s="80"/>
      <c r="AO1691" s="82" t="n">
        <f aca="false">IF(E1691="","",(AA1691&lt;&gt;"")+(AG1691&lt;&gt;"")+(AL1691&lt;&gt;""))</f>
        <v>1</v>
      </c>
      <c r="AP1691" s="82" t="str">
        <f aca="false">IF(AL1691&lt;&gt;"",AL1691,IF(AG1691&lt;&gt;"",AG1691,IF(AA1691&lt;&gt;"",AA1691,"")))</f>
        <v>A</v>
      </c>
      <c r="AQ1691" s="84" t="str">
        <f aca="false">IF(E1691="","",IF(U1691="","À SOUDER",IF(X1691="","VT EN ATTENTE",IF(X1691="R","VT REJETÉ – À REPRENDRE",IF(AP1691="","À RADIOGRAPHIER",IF(AP1691="A","ACCEPTÉ",IF(AP1691="NX","NX – RT À REFAIRE",IF(IF(AO1691=1,AD1691,IF(AO1691=2,AI1691,""))="A","RÉPARÉ – À RADIOGRAPHIER",IF(IF(AO1691=1,AD1691,IF(AO1691=2,AI1691,""))="R","VT REJETÉ – À REPRENDRE",IF(OR(AP1691="CO",AP1691="NT"),"COUPE – À RESOUDER","À RÉPARER"))))))))))</f>
        <v>ACCEPTÉ</v>
      </c>
      <c r="AR1691" s="82" t="str">
        <f aca="false">IF(AND(ISNUMBER(U1691),OR(AQ1691="À RADIOGRAPHIER",AQ1691="RÉPARÉ – À RADIOGRAPHIER",AQ1691="NX – RT À REFAIRE",AQ1691="À RÉPARER",AQ1691="COUPE – À RESOUDER",AQ1691="VT REJETÉ – À REPRENDRE")),MAX(0,'PROGRAMME RT'!$C$4-U1691),"")</f>
        <v/>
      </c>
      <c r="AS1691" s="82" t="n">
        <f aca="false">IF(AND(OR(AQ1691="À RADIOGRAPHIER",AQ1691="RÉPARÉ – À RADIOGRAPHIER",AQ1691="NX – RT À REFAIRE"),OR('PROGRAMME RT'!$D$5="TOUTES",B1691='PROGRAMME RT'!$D$5)),1,0)</f>
        <v>0</v>
      </c>
      <c r="AT1691" s="82" t="str">
        <f aca="false">IF(AS1691=1,SUM(AS$7:AS1691),"")</f>
        <v/>
      </c>
      <c r="AU1691" s="82" t="n">
        <f aca="false">IF(AND(OR(AA1691="R",AA1691="NX",AA1691="NT",AA1691="CO"),OR('JOINTS DE RÉPARATION'!$D$5="TOUTES",B1691='JOINTS DE RÉPARATION'!$D$5),OR('JOINTS DE RÉPARATION'!$L$4="TOUS",AQ1691&lt;&gt;"ACCEPTÉ")),1,0)</f>
        <v>0</v>
      </c>
      <c r="AV1691" s="82" t="str">
        <f aca="false">IF(AU1691=1,SUM(AU$7:AU1691),"")</f>
        <v/>
      </c>
      <c r="AW1691" s="82" t="str">
        <f aca="false">IF(E1691="","",B1691&amp;"|"&amp;E1691)</f>
        <v>MFD-ISW → MFD-CPF|DJ°175</v>
      </c>
    </row>
    <row r="1692" customFormat="false" ht="74.6" hidden="false" customHeight="false" outlineLevel="0" collapsed="false">
      <c r="A1692" s="79" t="n">
        <f aca="false">IF(E1692="","",ROW()-6)</f>
        <v>1686</v>
      </c>
      <c r="B1692" s="80" t="s">
        <v>110</v>
      </c>
      <c r="C1692" s="81" t="s">
        <v>2036</v>
      </c>
      <c r="D1692" s="81" t="n">
        <v>15</v>
      </c>
      <c r="E1692" s="81" t="s">
        <v>2054</v>
      </c>
      <c r="F1692" s="82" t="str">
        <f aca="false">IF(E1692="","",IF(LEFT(E1692,2)="DJ","DJ","JN"))</f>
        <v>JN</v>
      </c>
      <c r="G1692" s="81" t="s">
        <v>1504</v>
      </c>
      <c r="H1692" s="81" t="s">
        <v>871</v>
      </c>
      <c r="I1692" s="81" t="n">
        <v>9.53</v>
      </c>
      <c r="J1692" s="81" t="s">
        <v>872</v>
      </c>
      <c r="K1692" s="81" t="s">
        <v>879</v>
      </c>
      <c r="L1692" s="81" t="n">
        <v>2088700</v>
      </c>
      <c r="M1692" s="81" t="n">
        <v>15421103</v>
      </c>
      <c r="N1692" s="81" t="n">
        <v>11.94</v>
      </c>
      <c r="O1692" s="81" t="n">
        <v>2083250</v>
      </c>
      <c r="P1692" s="81" t="n">
        <v>15421105</v>
      </c>
      <c r="Q1692" s="81" t="n">
        <v>11.94</v>
      </c>
      <c r="R1692" s="81" t="s">
        <v>2039</v>
      </c>
      <c r="S1692" s="81"/>
      <c r="T1692" s="81"/>
      <c r="U1692" s="83" t="n">
        <v>46273</v>
      </c>
      <c r="V1692" s="83" t="n">
        <v>46273</v>
      </c>
      <c r="W1692" s="81" t="s">
        <v>2040</v>
      </c>
      <c r="X1692" s="81" t="s">
        <v>876</v>
      </c>
      <c r="Y1692" s="83" t="n">
        <v>46289</v>
      </c>
      <c r="Z1692" s="81" t="s">
        <v>2041</v>
      </c>
      <c r="AA1692" s="81" t="s">
        <v>876</v>
      </c>
      <c r="AB1692" s="81"/>
      <c r="AC1692" s="81"/>
      <c r="AD1692" s="81"/>
      <c r="AE1692" s="83"/>
      <c r="AF1692" s="81"/>
      <c r="AG1692" s="81"/>
      <c r="AH1692" s="81"/>
      <c r="AI1692" s="81"/>
      <c r="AJ1692" s="83"/>
      <c r="AK1692" s="81"/>
      <c r="AL1692" s="81"/>
      <c r="AM1692" s="83"/>
      <c r="AN1692" s="80"/>
      <c r="AO1692" s="82" t="n">
        <f aca="false">IF(E1692="","",(AA1692&lt;&gt;"")+(AG1692&lt;&gt;"")+(AL1692&lt;&gt;""))</f>
        <v>1</v>
      </c>
      <c r="AP1692" s="82" t="str">
        <f aca="false">IF(AL1692&lt;&gt;"",AL1692,IF(AG1692&lt;&gt;"",AG1692,IF(AA1692&lt;&gt;"",AA1692,"")))</f>
        <v>A</v>
      </c>
      <c r="AQ1692" s="84" t="str">
        <f aca="false">IF(E1692="","",IF(U1692="","À SOUDER",IF(X1692="","VT EN ATTENTE",IF(X1692="R","VT REJETÉ – À REPRENDRE",IF(AP1692="","À RADIOGRAPHIER",IF(AP1692="A","ACCEPTÉ",IF(AP1692="NX","NX – RT À REFAIRE",IF(IF(AO1692=1,AD1692,IF(AO1692=2,AI1692,""))="A","RÉPARÉ – À RADIOGRAPHIER",IF(IF(AO1692=1,AD1692,IF(AO1692=2,AI1692,""))="R","VT REJETÉ – À REPRENDRE",IF(OR(AP1692="CO",AP1692="NT"),"COUPE – À RESOUDER","À RÉPARER"))))))))))</f>
        <v>ACCEPTÉ</v>
      </c>
      <c r="AR1692" s="82" t="str">
        <f aca="false">IF(AND(ISNUMBER(U1692),OR(AQ1692="À RADIOGRAPHIER",AQ1692="RÉPARÉ – À RADIOGRAPHIER",AQ1692="NX – RT À REFAIRE",AQ1692="À RÉPARER",AQ1692="COUPE – À RESOUDER",AQ1692="VT REJETÉ – À REPRENDRE")),MAX(0,'PROGRAMME RT'!$C$4-U1692),"")</f>
        <v/>
      </c>
      <c r="AS1692" s="82" t="n">
        <f aca="false">IF(AND(OR(AQ1692="À RADIOGRAPHIER",AQ1692="RÉPARÉ – À RADIOGRAPHIER",AQ1692="NX – RT À REFAIRE"),OR('PROGRAMME RT'!$D$5="TOUTES",B1692='PROGRAMME RT'!$D$5)),1,0)</f>
        <v>0</v>
      </c>
      <c r="AT1692" s="82" t="str">
        <f aca="false">IF(AS1692=1,SUM(AS$7:AS1692),"")</f>
        <v/>
      </c>
      <c r="AU1692" s="82" t="n">
        <f aca="false">IF(AND(OR(AA1692="R",AA1692="NX",AA1692="NT",AA1692="CO"),OR('JOINTS DE RÉPARATION'!$D$5="TOUTES",B1692='JOINTS DE RÉPARATION'!$D$5),OR('JOINTS DE RÉPARATION'!$L$4="TOUS",AQ1692&lt;&gt;"ACCEPTÉ")),1,0)</f>
        <v>0</v>
      </c>
      <c r="AV1692" s="82" t="str">
        <f aca="false">IF(AU1692=1,SUM(AU$7:AU1692),"")</f>
        <v/>
      </c>
      <c r="AW1692" s="82" t="str">
        <f aca="false">IF(E1692="","",B1692&amp;"|"&amp;E1692)</f>
        <v>MFD-ISW → MFD-CPF|JN°1360</v>
      </c>
    </row>
    <row r="1693" customFormat="false" ht="74.6" hidden="false" customHeight="false" outlineLevel="0" collapsed="false">
      <c r="A1693" s="79" t="n">
        <f aca="false">IF(E1693="","",ROW()-6)</f>
        <v>1687</v>
      </c>
      <c r="B1693" s="80" t="s">
        <v>110</v>
      </c>
      <c r="C1693" s="81" t="s">
        <v>2036</v>
      </c>
      <c r="D1693" s="81" t="n">
        <v>15</v>
      </c>
      <c r="E1693" s="81" t="s">
        <v>2055</v>
      </c>
      <c r="F1693" s="82" t="str">
        <f aca="false">IF(E1693="","",IF(LEFT(E1693,2)="DJ","DJ","JN"))</f>
        <v>DJ</v>
      </c>
      <c r="G1693" s="81"/>
      <c r="H1693" s="81" t="s">
        <v>871</v>
      </c>
      <c r="I1693" s="81" t="n">
        <v>9.53</v>
      </c>
      <c r="J1693" s="81" t="s">
        <v>872</v>
      </c>
      <c r="K1693" s="81" t="s">
        <v>873</v>
      </c>
      <c r="L1693" s="81" t="n">
        <v>2083250</v>
      </c>
      <c r="M1693" s="81" t="n">
        <v>15421105</v>
      </c>
      <c r="N1693" s="81" t="n">
        <v>11.94</v>
      </c>
      <c r="O1693" s="81" t="n">
        <v>2094730</v>
      </c>
      <c r="P1693" s="81" t="n">
        <v>15421104</v>
      </c>
      <c r="Q1693" s="81" t="n">
        <v>11.94</v>
      </c>
      <c r="R1693" s="81" t="s">
        <v>1147</v>
      </c>
      <c r="S1693" s="81"/>
      <c r="T1693" s="81"/>
      <c r="U1693" s="83" t="n">
        <v>46263</v>
      </c>
      <c r="V1693" s="83" t="n">
        <v>46263</v>
      </c>
      <c r="W1693" s="81" t="s">
        <v>1922</v>
      </c>
      <c r="X1693" s="81" t="s">
        <v>876</v>
      </c>
      <c r="Y1693" s="83" t="n">
        <v>46264</v>
      </c>
      <c r="Z1693" s="81" t="s">
        <v>2043</v>
      </c>
      <c r="AA1693" s="81" t="s">
        <v>876</v>
      </c>
      <c r="AB1693" s="81"/>
      <c r="AC1693" s="81"/>
      <c r="AD1693" s="81"/>
      <c r="AE1693" s="83"/>
      <c r="AF1693" s="81"/>
      <c r="AG1693" s="81"/>
      <c r="AH1693" s="81"/>
      <c r="AI1693" s="81"/>
      <c r="AJ1693" s="83"/>
      <c r="AK1693" s="81"/>
      <c r="AL1693" s="81"/>
      <c r="AM1693" s="83"/>
      <c r="AN1693" s="80"/>
      <c r="AO1693" s="82" t="n">
        <f aca="false">IF(E1693="","",(AA1693&lt;&gt;"")+(AG1693&lt;&gt;"")+(AL1693&lt;&gt;""))</f>
        <v>1</v>
      </c>
      <c r="AP1693" s="82" t="str">
        <f aca="false">IF(AL1693&lt;&gt;"",AL1693,IF(AG1693&lt;&gt;"",AG1693,IF(AA1693&lt;&gt;"",AA1693,"")))</f>
        <v>A</v>
      </c>
      <c r="AQ1693" s="84" t="str">
        <f aca="false">IF(E1693="","",IF(U1693="","À SOUDER",IF(X1693="","VT EN ATTENTE",IF(X1693="R","VT REJETÉ – À REPRENDRE",IF(AP1693="","À RADIOGRAPHIER",IF(AP1693="A","ACCEPTÉ",IF(AP1693="NX","NX – RT À REFAIRE",IF(IF(AO1693=1,AD1693,IF(AO1693=2,AI1693,""))="A","RÉPARÉ – À RADIOGRAPHIER",IF(IF(AO1693=1,AD1693,IF(AO1693=2,AI1693,""))="R","VT REJETÉ – À REPRENDRE",IF(OR(AP1693="CO",AP1693="NT"),"COUPE – À RESOUDER","À RÉPARER"))))))))))</f>
        <v>ACCEPTÉ</v>
      </c>
      <c r="AR1693" s="82" t="str">
        <f aca="false">IF(AND(ISNUMBER(U1693),OR(AQ1693="À RADIOGRAPHIER",AQ1693="RÉPARÉ – À RADIOGRAPHIER",AQ1693="NX – RT À REFAIRE",AQ1693="À RÉPARER",AQ1693="COUPE – À RESOUDER",AQ1693="VT REJETÉ – À REPRENDRE")),MAX(0,'PROGRAMME RT'!$C$4-U1693),"")</f>
        <v/>
      </c>
      <c r="AS1693" s="82" t="n">
        <f aca="false">IF(AND(OR(AQ1693="À RADIOGRAPHIER",AQ1693="RÉPARÉ – À RADIOGRAPHIER",AQ1693="NX – RT À REFAIRE"),OR('PROGRAMME RT'!$D$5="TOUTES",B1693='PROGRAMME RT'!$D$5)),1,0)</f>
        <v>0</v>
      </c>
      <c r="AT1693" s="82" t="str">
        <f aca="false">IF(AS1693=1,SUM(AS$7:AS1693),"")</f>
        <v/>
      </c>
      <c r="AU1693" s="82" t="n">
        <f aca="false">IF(AND(OR(AA1693="R",AA1693="NX",AA1693="NT",AA1693="CO"),OR('JOINTS DE RÉPARATION'!$D$5="TOUTES",B1693='JOINTS DE RÉPARATION'!$D$5),OR('JOINTS DE RÉPARATION'!$L$4="TOUS",AQ1693&lt;&gt;"ACCEPTÉ")),1,0)</f>
        <v>0</v>
      </c>
      <c r="AV1693" s="82" t="str">
        <f aca="false">IF(AU1693=1,SUM(AU$7:AU1693),"")</f>
        <v/>
      </c>
      <c r="AW1693" s="82" t="str">
        <f aca="false">IF(E1693="","",B1693&amp;"|"&amp;E1693)</f>
        <v>MFD-ISW → MFD-CPF|DJ°188</v>
      </c>
    </row>
    <row r="1694" customFormat="false" ht="74.6" hidden="false" customHeight="false" outlineLevel="0" collapsed="false">
      <c r="A1694" s="79" t="n">
        <f aca="false">IF(E1694="","",ROW()-6)</f>
        <v>1688</v>
      </c>
      <c r="B1694" s="80" t="s">
        <v>110</v>
      </c>
      <c r="C1694" s="81" t="s">
        <v>2036</v>
      </c>
      <c r="D1694" s="81" t="n">
        <v>15</v>
      </c>
      <c r="E1694" s="81" t="s">
        <v>2056</v>
      </c>
      <c r="F1694" s="82" t="str">
        <f aca="false">IF(E1694="","",IF(LEFT(E1694,2)="DJ","DJ","JN"))</f>
        <v>JN</v>
      </c>
      <c r="G1694" s="81" t="s">
        <v>1504</v>
      </c>
      <c r="H1694" s="81" t="s">
        <v>871</v>
      </c>
      <c r="I1694" s="81" t="n">
        <v>9.53</v>
      </c>
      <c r="J1694" s="81" t="s">
        <v>872</v>
      </c>
      <c r="K1694" s="81" t="s">
        <v>879</v>
      </c>
      <c r="L1694" s="81" t="n">
        <v>2094730</v>
      </c>
      <c r="M1694" s="81" t="n">
        <v>15421104</v>
      </c>
      <c r="N1694" s="81" t="n">
        <v>11.94</v>
      </c>
      <c r="O1694" s="81" t="n">
        <v>2094890</v>
      </c>
      <c r="P1694" s="81" t="n">
        <v>15421111</v>
      </c>
      <c r="Q1694" s="81" t="n">
        <v>11.94</v>
      </c>
      <c r="R1694" s="81" t="s">
        <v>2039</v>
      </c>
      <c r="S1694" s="81"/>
      <c r="T1694" s="81"/>
      <c r="U1694" s="83" t="n">
        <v>46273</v>
      </c>
      <c r="V1694" s="83" t="n">
        <v>46273</v>
      </c>
      <c r="W1694" s="81" t="s">
        <v>2040</v>
      </c>
      <c r="X1694" s="81" t="s">
        <v>876</v>
      </c>
      <c r="Y1694" s="83" t="n">
        <v>46289</v>
      </c>
      <c r="Z1694" s="81" t="s">
        <v>2041</v>
      </c>
      <c r="AA1694" s="81" t="s">
        <v>876</v>
      </c>
      <c r="AB1694" s="81"/>
      <c r="AC1694" s="81"/>
      <c r="AD1694" s="81"/>
      <c r="AE1694" s="83"/>
      <c r="AF1694" s="81"/>
      <c r="AG1694" s="81"/>
      <c r="AH1694" s="81"/>
      <c r="AI1694" s="81"/>
      <c r="AJ1694" s="83"/>
      <c r="AK1694" s="81"/>
      <c r="AL1694" s="81"/>
      <c r="AM1694" s="83"/>
      <c r="AN1694" s="80"/>
      <c r="AO1694" s="82" t="n">
        <f aca="false">IF(E1694="","",(AA1694&lt;&gt;"")+(AG1694&lt;&gt;"")+(AL1694&lt;&gt;""))</f>
        <v>1</v>
      </c>
      <c r="AP1694" s="82" t="str">
        <f aca="false">IF(AL1694&lt;&gt;"",AL1694,IF(AG1694&lt;&gt;"",AG1694,IF(AA1694&lt;&gt;"",AA1694,"")))</f>
        <v>A</v>
      </c>
      <c r="AQ1694" s="84" t="str">
        <f aca="false">IF(E1694="","",IF(U1694="","À SOUDER",IF(X1694="","VT EN ATTENTE",IF(X1694="R","VT REJETÉ – À REPRENDRE",IF(AP1694="","À RADIOGRAPHIER",IF(AP1694="A","ACCEPTÉ",IF(AP1694="NX","NX – RT À REFAIRE",IF(IF(AO1694=1,AD1694,IF(AO1694=2,AI1694,""))="A","RÉPARÉ – À RADIOGRAPHIER",IF(IF(AO1694=1,AD1694,IF(AO1694=2,AI1694,""))="R","VT REJETÉ – À REPRENDRE",IF(OR(AP1694="CO",AP1694="NT"),"COUPE – À RESOUDER","À RÉPARER"))))))))))</f>
        <v>ACCEPTÉ</v>
      </c>
      <c r="AR1694" s="82" t="str">
        <f aca="false">IF(AND(ISNUMBER(U1694),OR(AQ1694="À RADIOGRAPHIER",AQ1694="RÉPARÉ – À RADIOGRAPHIER",AQ1694="NX – RT À REFAIRE",AQ1694="À RÉPARER",AQ1694="COUPE – À RESOUDER",AQ1694="VT REJETÉ – À REPRENDRE")),MAX(0,'PROGRAMME RT'!$C$4-U1694),"")</f>
        <v/>
      </c>
      <c r="AS1694" s="82" t="n">
        <f aca="false">IF(AND(OR(AQ1694="À RADIOGRAPHIER",AQ1694="RÉPARÉ – À RADIOGRAPHIER",AQ1694="NX – RT À REFAIRE"),OR('PROGRAMME RT'!$D$5="TOUTES",B1694='PROGRAMME RT'!$D$5)),1,0)</f>
        <v>0</v>
      </c>
      <c r="AT1694" s="82" t="str">
        <f aca="false">IF(AS1694=1,SUM(AS$7:AS1694),"")</f>
        <v/>
      </c>
      <c r="AU1694" s="82" t="n">
        <f aca="false">IF(AND(OR(AA1694="R",AA1694="NX",AA1694="NT",AA1694="CO"),OR('JOINTS DE RÉPARATION'!$D$5="TOUTES",B1694='JOINTS DE RÉPARATION'!$D$5),OR('JOINTS DE RÉPARATION'!$L$4="TOUS",AQ1694&lt;&gt;"ACCEPTÉ")),1,0)</f>
        <v>0</v>
      </c>
      <c r="AV1694" s="82" t="str">
        <f aca="false">IF(AU1694=1,SUM(AU$7:AU1694),"")</f>
        <v/>
      </c>
      <c r="AW1694" s="82" t="str">
        <f aca="false">IF(E1694="","",B1694&amp;"|"&amp;E1694)</f>
        <v>MFD-ISW → MFD-CPF|JN°1361</v>
      </c>
    </row>
    <row r="1695" customFormat="false" ht="74.6" hidden="false" customHeight="false" outlineLevel="0" collapsed="false">
      <c r="A1695" s="79" t="n">
        <f aca="false">IF(E1695="","",ROW()-6)</f>
        <v>1689</v>
      </c>
      <c r="B1695" s="80" t="s">
        <v>110</v>
      </c>
      <c r="C1695" s="81" t="s">
        <v>2036</v>
      </c>
      <c r="D1695" s="81" t="n">
        <v>15</v>
      </c>
      <c r="E1695" s="81" t="s">
        <v>2057</v>
      </c>
      <c r="F1695" s="82" t="str">
        <f aca="false">IF(E1695="","",IF(LEFT(E1695,2)="DJ","DJ","JN"))</f>
        <v>DJ</v>
      </c>
      <c r="G1695" s="81"/>
      <c r="H1695" s="81" t="s">
        <v>871</v>
      </c>
      <c r="I1695" s="81" t="n">
        <v>9.53</v>
      </c>
      <c r="J1695" s="81" t="s">
        <v>872</v>
      </c>
      <c r="K1695" s="81" t="s">
        <v>873</v>
      </c>
      <c r="L1695" s="81" t="n">
        <v>2094890</v>
      </c>
      <c r="M1695" s="81" t="n">
        <v>15421111</v>
      </c>
      <c r="N1695" s="81" t="n">
        <v>11.94</v>
      </c>
      <c r="O1695" s="81" t="n">
        <v>2096780</v>
      </c>
      <c r="P1695" s="81" t="n">
        <v>15421111</v>
      </c>
      <c r="Q1695" s="81" t="n">
        <v>11.94</v>
      </c>
      <c r="R1695" s="81" t="s">
        <v>1135</v>
      </c>
      <c r="S1695" s="81"/>
      <c r="T1695" s="81"/>
      <c r="U1695" s="83" t="n">
        <v>46263</v>
      </c>
      <c r="V1695" s="83" t="n">
        <v>46263</v>
      </c>
      <c r="W1695" s="81" t="s">
        <v>1922</v>
      </c>
      <c r="X1695" s="81" t="s">
        <v>876</v>
      </c>
      <c r="Y1695" s="83" t="n">
        <v>46264</v>
      </c>
      <c r="Z1695" s="81" t="s">
        <v>2043</v>
      </c>
      <c r="AA1695" s="81" t="s">
        <v>876</v>
      </c>
      <c r="AB1695" s="81"/>
      <c r="AC1695" s="81"/>
      <c r="AD1695" s="81"/>
      <c r="AE1695" s="83"/>
      <c r="AF1695" s="81"/>
      <c r="AG1695" s="81"/>
      <c r="AH1695" s="81"/>
      <c r="AI1695" s="81"/>
      <c r="AJ1695" s="83"/>
      <c r="AK1695" s="81"/>
      <c r="AL1695" s="81"/>
      <c r="AM1695" s="83"/>
      <c r="AN1695" s="80"/>
      <c r="AO1695" s="82" t="n">
        <f aca="false">IF(E1695="","",(AA1695&lt;&gt;"")+(AG1695&lt;&gt;"")+(AL1695&lt;&gt;""))</f>
        <v>1</v>
      </c>
      <c r="AP1695" s="82" t="str">
        <f aca="false">IF(AL1695&lt;&gt;"",AL1695,IF(AG1695&lt;&gt;"",AG1695,IF(AA1695&lt;&gt;"",AA1695,"")))</f>
        <v>A</v>
      </c>
      <c r="AQ1695" s="84" t="str">
        <f aca="false">IF(E1695="","",IF(U1695="","À SOUDER",IF(X1695="","VT EN ATTENTE",IF(X1695="R","VT REJETÉ – À REPRENDRE",IF(AP1695="","À RADIOGRAPHIER",IF(AP1695="A","ACCEPTÉ",IF(AP1695="NX","NX – RT À REFAIRE",IF(IF(AO1695=1,AD1695,IF(AO1695=2,AI1695,""))="A","RÉPARÉ – À RADIOGRAPHIER",IF(IF(AO1695=1,AD1695,IF(AO1695=2,AI1695,""))="R","VT REJETÉ – À REPRENDRE",IF(OR(AP1695="CO",AP1695="NT"),"COUPE – À RESOUDER","À RÉPARER"))))))))))</f>
        <v>ACCEPTÉ</v>
      </c>
      <c r="AR1695" s="82" t="str">
        <f aca="false">IF(AND(ISNUMBER(U1695),OR(AQ1695="À RADIOGRAPHIER",AQ1695="RÉPARÉ – À RADIOGRAPHIER",AQ1695="NX – RT À REFAIRE",AQ1695="À RÉPARER",AQ1695="COUPE – À RESOUDER",AQ1695="VT REJETÉ – À REPRENDRE")),MAX(0,'PROGRAMME RT'!$C$4-U1695),"")</f>
        <v/>
      </c>
      <c r="AS1695" s="82" t="n">
        <f aca="false">IF(AND(OR(AQ1695="À RADIOGRAPHIER",AQ1695="RÉPARÉ – À RADIOGRAPHIER",AQ1695="NX – RT À REFAIRE"),OR('PROGRAMME RT'!$D$5="TOUTES",B1695='PROGRAMME RT'!$D$5)),1,0)</f>
        <v>0</v>
      </c>
      <c r="AT1695" s="82" t="str">
        <f aca="false">IF(AS1695=1,SUM(AS$7:AS1695),"")</f>
        <v/>
      </c>
      <c r="AU1695" s="82" t="n">
        <f aca="false">IF(AND(OR(AA1695="R",AA1695="NX",AA1695="NT",AA1695="CO"),OR('JOINTS DE RÉPARATION'!$D$5="TOUTES",B1695='JOINTS DE RÉPARATION'!$D$5),OR('JOINTS DE RÉPARATION'!$L$4="TOUS",AQ1695&lt;&gt;"ACCEPTÉ")),1,0)</f>
        <v>0</v>
      </c>
      <c r="AV1695" s="82" t="str">
        <f aca="false">IF(AU1695=1,SUM(AU$7:AU1695),"")</f>
        <v/>
      </c>
      <c r="AW1695" s="82" t="str">
        <f aca="false">IF(E1695="","",B1695&amp;"|"&amp;E1695)</f>
        <v>MFD-ISW → MFD-CPF|DJ°195</v>
      </c>
    </row>
    <row r="1696" customFormat="false" ht="74.6" hidden="false" customHeight="false" outlineLevel="0" collapsed="false">
      <c r="A1696" s="79" t="n">
        <f aca="false">IF(E1696="","",ROW()-6)</f>
        <v>1690</v>
      </c>
      <c r="B1696" s="80" t="s">
        <v>110</v>
      </c>
      <c r="C1696" s="81" t="s">
        <v>2036</v>
      </c>
      <c r="D1696" s="81" t="n">
        <v>15</v>
      </c>
      <c r="E1696" s="81" t="s">
        <v>2058</v>
      </c>
      <c r="F1696" s="82" t="str">
        <f aca="false">IF(E1696="","",IF(LEFT(E1696,2)="DJ","DJ","JN"))</f>
        <v>JN</v>
      </c>
      <c r="G1696" s="81" t="s">
        <v>1504</v>
      </c>
      <c r="H1696" s="81" t="s">
        <v>871</v>
      </c>
      <c r="I1696" s="81" t="n">
        <v>9.53</v>
      </c>
      <c r="J1696" s="81" t="s">
        <v>872</v>
      </c>
      <c r="K1696" s="81" t="s">
        <v>879</v>
      </c>
      <c r="L1696" s="81" t="n">
        <v>2096780</v>
      </c>
      <c r="M1696" s="81" t="n">
        <v>15421111</v>
      </c>
      <c r="N1696" s="81" t="n">
        <v>11.94</v>
      </c>
      <c r="O1696" s="81" t="n">
        <v>2080700</v>
      </c>
      <c r="P1696" s="81" t="n">
        <v>15421103</v>
      </c>
      <c r="Q1696" s="81" t="n">
        <v>11.94</v>
      </c>
      <c r="R1696" s="81" t="s">
        <v>2039</v>
      </c>
      <c r="S1696" s="81"/>
      <c r="T1696" s="81"/>
      <c r="U1696" s="83" t="n">
        <v>46273</v>
      </c>
      <c r="V1696" s="83" t="n">
        <v>46273</v>
      </c>
      <c r="W1696" s="81" t="s">
        <v>2040</v>
      </c>
      <c r="X1696" s="81" t="s">
        <v>876</v>
      </c>
      <c r="Y1696" s="83" t="n">
        <v>46289</v>
      </c>
      <c r="Z1696" s="81" t="s">
        <v>2041</v>
      </c>
      <c r="AA1696" s="81" t="s">
        <v>876</v>
      </c>
      <c r="AB1696" s="81"/>
      <c r="AC1696" s="81"/>
      <c r="AD1696" s="81"/>
      <c r="AE1696" s="83"/>
      <c r="AF1696" s="81"/>
      <c r="AG1696" s="81"/>
      <c r="AH1696" s="81"/>
      <c r="AI1696" s="81"/>
      <c r="AJ1696" s="83"/>
      <c r="AK1696" s="81"/>
      <c r="AL1696" s="81"/>
      <c r="AM1696" s="83"/>
      <c r="AN1696" s="80"/>
      <c r="AO1696" s="82" t="n">
        <f aca="false">IF(E1696="","",(AA1696&lt;&gt;"")+(AG1696&lt;&gt;"")+(AL1696&lt;&gt;""))</f>
        <v>1</v>
      </c>
      <c r="AP1696" s="82" t="str">
        <f aca="false">IF(AL1696&lt;&gt;"",AL1696,IF(AG1696&lt;&gt;"",AG1696,IF(AA1696&lt;&gt;"",AA1696,"")))</f>
        <v>A</v>
      </c>
      <c r="AQ1696" s="84" t="str">
        <f aca="false">IF(E1696="","",IF(U1696="","À SOUDER",IF(X1696="","VT EN ATTENTE",IF(X1696="R","VT REJETÉ – À REPRENDRE",IF(AP1696="","À RADIOGRAPHIER",IF(AP1696="A","ACCEPTÉ",IF(AP1696="NX","NX – RT À REFAIRE",IF(IF(AO1696=1,AD1696,IF(AO1696=2,AI1696,""))="A","RÉPARÉ – À RADIOGRAPHIER",IF(IF(AO1696=1,AD1696,IF(AO1696=2,AI1696,""))="R","VT REJETÉ – À REPRENDRE",IF(OR(AP1696="CO",AP1696="NT"),"COUPE – À RESOUDER","À RÉPARER"))))))))))</f>
        <v>ACCEPTÉ</v>
      </c>
      <c r="AR1696" s="82" t="str">
        <f aca="false">IF(AND(ISNUMBER(U1696),OR(AQ1696="À RADIOGRAPHIER",AQ1696="RÉPARÉ – À RADIOGRAPHIER",AQ1696="NX – RT À REFAIRE",AQ1696="À RÉPARER",AQ1696="COUPE – À RESOUDER",AQ1696="VT REJETÉ – À REPRENDRE")),MAX(0,'PROGRAMME RT'!$C$4-U1696),"")</f>
        <v/>
      </c>
      <c r="AS1696" s="82" t="n">
        <f aca="false">IF(AND(OR(AQ1696="À RADIOGRAPHIER",AQ1696="RÉPARÉ – À RADIOGRAPHIER",AQ1696="NX – RT À REFAIRE"),OR('PROGRAMME RT'!$D$5="TOUTES",B1696='PROGRAMME RT'!$D$5)),1,0)</f>
        <v>0</v>
      </c>
      <c r="AT1696" s="82" t="str">
        <f aca="false">IF(AS1696=1,SUM(AS$7:AS1696),"")</f>
        <v/>
      </c>
      <c r="AU1696" s="82" t="n">
        <f aca="false">IF(AND(OR(AA1696="R",AA1696="NX",AA1696="NT",AA1696="CO"),OR('JOINTS DE RÉPARATION'!$D$5="TOUTES",B1696='JOINTS DE RÉPARATION'!$D$5),OR('JOINTS DE RÉPARATION'!$L$4="TOUS",AQ1696&lt;&gt;"ACCEPTÉ")),1,0)</f>
        <v>0</v>
      </c>
      <c r="AV1696" s="82" t="str">
        <f aca="false">IF(AU1696=1,SUM(AU$7:AU1696),"")</f>
        <v/>
      </c>
      <c r="AW1696" s="82" t="str">
        <f aca="false">IF(E1696="","",B1696&amp;"|"&amp;E1696)</f>
        <v>MFD-ISW → MFD-CPF|JN°1362</v>
      </c>
    </row>
    <row r="1697" customFormat="false" ht="74.6" hidden="false" customHeight="false" outlineLevel="0" collapsed="false">
      <c r="A1697" s="79" t="n">
        <f aca="false">IF(E1697="","",ROW()-6)</f>
        <v>1691</v>
      </c>
      <c r="B1697" s="80" t="s">
        <v>110</v>
      </c>
      <c r="C1697" s="81" t="s">
        <v>2036</v>
      </c>
      <c r="D1697" s="81" t="n">
        <v>15</v>
      </c>
      <c r="E1697" s="81" t="s">
        <v>2059</v>
      </c>
      <c r="F1697" s="82" t="str">
        <f aca="false">IF(E1697="","",IF(LEFT(E1697,2)="DJ","DJ","JN"))</f>
        <v>DJ</v>
      </c>
      <c r="G1697" s="81"/>
      <c r="H1697" s="81" t="s">
        <v>871</v>
      </c>
      <c r="I1697" s="81" t="n">
        <v>9.53</v>
      </c>
      <c r="J1697" s="81" t="s">
        <v>872</v>
      </c>
      <c r="K1697" s="81" t="s">
        <v>873</v>
      </c>
      <c r="L1697" s="81" t="n">
        <v>2080700</v>
      </c>
      <c r="M1697" s="81" t="n">
        <v>15421103</v>
      </c>
      <c r="N1697" s="81" t="n">
        <v>11.94</v>
      </c>
      <c r="O1697" s="81" t="n">
        <v>2080870</v>
      </c>
      <c r="P1697" s="81" t="n">
        <v>15421103</v>
      </c>
      <c r="Q1697" s="81" t="n">
        <v>11.94</v>
      </c>
      <c r="R1697" s="81" t="s">
        <v>1147</v>
      </c>
      <c r="S1697" s="81"/>
      <c r="T1697" s="81"/>
      <c r="U1697" s="83" t="n">
        <v>46263</v>
      </c>
      <c r="V1697" s="83" t="n">
        <v>46263</v>
      </c>
      <c r="W1697" s="81" t="s">
        <v>1922</v>
      </c>
      <c r="X1697" s="81" t="s">
        <v>876</v>
      </c>
      <c r="Y1697" s="83" t="n">
        <v>46264</v>
      </c>
      <c r="Z1697" s="81" t="s">
        <v>2043</v>
      </c>
      <c r="AA1697" s="81" t="s">
        <v>876</v>
      </c>
      <c r="AB1697" s="81"/>
      <c r="AC1697" s="81"/>
      <c r="AD1697" s="81"/>
      <c r="AE1697" s="83"/>
      <c r="AF1697" s="81"/>
      <c r="AG1697" s="81"/>
      <c r="AH1697" s="81"/>
      <c r="AI1697" s="81"/>
      <c r="AJ1697" s="83"/>
      <c r="AK1697" s="81"/>
      <c r="AL1697" s="81"/>
      <c r="AM1697" s="83"/>
      <c r="AN1697" s="80"/>
      <c r="AO1697" s="82" t="n">
        <f aca="false">IF(E1697="","",(AA1697&lt;&gt;"")+(AG1697&lt;&gt;"")+(AL1697&lt;&gt;""))</f>
        <v>1</v>
      </c>
      <c r="AP1697" s="82" t="str">
        <f aca="false">IF(AL1697&lt;&gt;"",AL1697,IF(AG1697&lt;&gt;"",AG1697,IF(AA1697&lt;&gt;"",AA1697,"")))</f>
        <v>A</v>
      </c>
      <c r="AQ1697" s="84" t="str">
        <f aca="false">IF(E1697="","",IF(U1697="","À SOUDER",IF(X1697="","VT EN ATTENTE",IF(X1697="R","VT REJETÉ – À REPRENDRE",IF(AP1697="","À RADIOGRAPHIER",IF(AP1697="A","ACCEPTÉ",IF(AP1697="NX","NX – RT À REFAIRE",IF(IF(AO1697=1,AD1697,IF(AO1697=2,AI1697,""))="A","RÉPARÉ – À RADIOGRAPHIER",IF(IF(AO1697=1,AD1697,IF(AO1697=2,AI1697,""))="R","VT REJETÉ – À REPRENDRE",IF(OR(AP1697="CO",AP1697="NT"),"COUPE – À RESOUDER","À RÉPARER"))))))))))</f>
        <v>ACCEPTÉ</v>
      </c>
      <c r="AR1697" s="82" t="str">
        <f aca="false">IF(AND(ISNUMBER(U1697),OR(AQ1697="À RADIOGRAPHIER",AQ1697="RÉPARÉ – À RADIOGRAPHIER",AQ1697="NX – RT À REFAIRE",AQ1697="À RÉPARER",AQ1697="COUPE – À RESOUDER",AQ1697="VT REJETÉ – À REPRENDRE")),MAX(0,'PROGRAMME RT'!$C$4-U1697),"")</f>
        <v/>
      </c>
      <c r="AS1697" s="82" t="n">
        <f aca="false">IF(AND(OR(AQ1697="À RADIOGRAPHIER",AQ1697="RÉPARÉ – À RADIOGRAPHIER",AQ1697="NX – RT À REFAIRE"),OR('PROGRAMME RT'!$D$5="TOUTES",B1697='PROGRAMME RT'!$D$5)),1,0)</f>
        <v>0</v>
      </c>
      <c r="AT1697" s="82" t="str">
        <f aca="false">IF(AS1697=1,SUM(AS$7:AS1697),"")</f>
        <v/>
      </c>
      <c r="AU1697" s="82" t="n">
        <f aca="false">IF(AND(OR(AA1697="R",AA1697="NX",AA1697="NT",AA1697="CO"),OR('JOINTS DE RÉPARATION'!$D$5="TOUTES",B1697='JOINTS DE RÉPARATION'!$D$5),OR('JOINTS DE RÉPARATION'!$L$4="TOUS",AQ1697&lt;&gt;"ACCEPTÉ")),1,0)</f>
        <v>0</v>
      </c>
      <c r="AV1697" s="82" t="str">
        <f aca="false">IF(AU1697=1,SUM(AU$7:AU1697),"")</f>
        <v/>
      </c>
      <c r="AW1697" s="82" t="str">
        <f aca="false">IF(E1697="","",B1697&amp;"|"&amp;E1697)</f>
        <v>MFD-ISW → MFD-CPF|DJ°186</v>
      </c>
    </row>
    <row r="1698" customFormat="false" ht="74.6" hidden="false" customHeight="false" outlineLevel="0" collapsed="false">
      <c r="A1698" s="79" t="n">
        <f aca="false">IF(E1698="","",ROW()-6)</f>
        <v>1692</v>
      </c>
      <c r="B1698" s="80" t="s">
        <v>110</v>
      </c>
      <c r="C1698" s="81" t="s">
        <v>2036</v>
      </c>
      <c r="D1698" s="81" t="n">
        <v>15</v>
      </c>
      <c r="E1698" s="81" t="s">
        <v>2060</v>
      </c>
      <c r="F1698" s="82" t="str">
        <f aca="false">IF(E1698="","",IF(LEFT(E1698,2)="DJ","DJ","JN"))</f>
        <v>JN</v>
      </c>
      <c r="G1698" s="81" t="s">
        <v>1504</v>
      </c>
      <c r="H1698" s="81" t="s">
        <v>871</v>
      </c>
      <c r="I1698" s="81" t="n">
        <v>9.53</v>
      </c>
      <c r="J1698" s="81" t="s">
        <v>872</v>
      </c>
      <c r="K1698" s="81" t="s">
        <v>879</v>
      </c>
      <c r="L1698" s="81" t="n">
        <v>2080870</v>
      </c>
      <c r="M1698" s="81" t="n">
        <v>15421103</v>
      </c>
      <c r="N1698" s="81" t="n">
        <v>11.94</v>
      </c>
      <c r="O1698" s="81" t="n">
        <v>2087900</v>
      </c>
      <c r="P1698" s="81" t="n">
        <v>15421108</v>
      </c>
      <c r="Q1698" s="81" t="n">
        <v>11.94</v>
      </c>
      <c r="R1698" s="81" t="s">
        <v>2039</v>
      </c>
      <c r="S1698" s="81"/>
      <c r="T1698" s="81"/>
      <c r="U1698" s="83" t="n">
        <v>46273</v>
      </c>
      <c r="V1698" s="83" t="n">
        <v>46273</v>
      </c>
      <c r="W1698" s="81" t="s">
        <v>2040</v>
      </c>
      <c r="X1698" s="81" t="s">
        <v>876</v>
      </c>
      <c r="Y1698" s="83" t="n">
        <v>46289</v>
      </c>
      <c r="Z1698" s="81" t="s">
        <v>2041</v>
      </c>
      <c r="AA1698" s="81" t="s">
        <v>1073</v>
      </c>
      <c r="AB1698" s="81" t="s">
        <v>2061</v>
      </c>
      <c r="AC1698" s="81"/>
      <c r="AD1698" s="81"/>
      <c r="AE1698" s="83"/>
      <c r="AF1698" s="81"/>
      <c r="AG1698" s="81"/>
      <c r="AH1698" s="81"/>
      <c r="AI1698" s="81"/>
      <c r="AJ1698" s="83"/>
      <c r="AK1698" s="81"/>
      <c r="AL1698" s="81"/>
      <c r="AM1698" s="83"/>
      <c r="AN1698" s="80"/>
      <c r="AO1698" s="82" t="n">
        <f aca="false">IF(E1698="","",(AA1698&lt;&gt;"")+(AG1698&lt;&gt;"")+(AL1698&lt;&gt;""))</f>
        <v>1</v>
      </c>
      <c r="AP1698" s="82" t="str">
        <f aca="false">IF(AL1698&lt;&gt;"",AL1698,IF(AG1698&lt;&gt;"",AG1698,IF(AA1698&lt;&gt;"",AA1698,"")))</f>
        <v>R</v>
      </c>
      <c r="AQ1698" s="84" t="str">
        <f aca="false">IF(E1698="","",IF(U1698="","À SOUDER",IF(X1698="","VT EN ATTENTE",IF(X1698="R","VT REJETÉ – À REPRENDRE",IF(AP1698="","À RADIOGRAPHIER",IF(AP1698="A","ACCEPTÉ",IF(AP1698="NX","NX – RT À REFAIRE",IF(IF(AO1698=1,AD1698,IF(AO1698=2,AI1698,""))="A","RÉPARÉ – À RADIOGRAPHIER",IF(IF(AO1698=1,AD1698,IF(AO1698=2,AI1698,""))="R","VT REJETÉ – À REPRENDRE",IF(OR(AP1698="CO",AP1698="NT"),"COUPE – À RESOUDER","À RÉPARER"))))))))))</f>
        <v>À RÉPARER</v>
      </c>
      <c r="AR1698" s="82" t="n">
        <f aca="false">IF(AND(ISNUMBER(U1698),OR(AQ1698="À RADIOGRAPHIER",AQ1698="RÉPARÉ – À RADIOGRAPHIER",AQ1698="NX – RT À REFAIRE",AQ1698="À RÉPARER",AQ1698="COUPE – À RESOUDER",AQ1698="VT REJETÉ – À REPRENDRE")),MAX(0,'PROGRAMME RT'!$C$4-U1698),"")</f>
        <v>20</v>
      </c>
      <c r="AS1698" s="82" t="n">
        <f aca="false">IF(AND(OR(AQ1698="À RADIOGRAPHIER",AQ1698="RÉPARÉ – À RADIOGRAPHIER",AQ1698="NX – RT À REFAIRE"),OR('PROGRAMME RT'!$D$5="TOUTES",B1698='PROGRAMME RT'!$D$5)),1,0)</f>
        <v>0</v>
      </c>
      <c r="AT1698" s="82" t="str">
        <f aca="false">IF(AS1698=1,SUM(AS$7:AS1698),"")</f>
        <v/>
      </c>
      <c r="AU1698" s="82" t="n">
        <f aca="false">IF(AND(OR(AA1698="R",AA1698="NX",AA1698="NT",AA1698="CO"),OR('JOINTS DE RÉPARATION'!$D$5="TOUTES",B1698='JOINTS DE RÉPARATION'!$D$5),OR('JOINTS DE RÉPARATION'!$L$4="TOUS",AQ1698&lt;&gt;"ACCEPTÉ")),1,0)</f>
        <v>1</v>
      </c>
      <c r="AV1698" s="82" t="n">
        <f aca="false">IF(AU1698=1,SUM(AU$7:AU1698),"")</f>
        <v>47</v>
      </c>
      <c r="AW1698" s="82" t="str">
        <f aca="false">IF(E1698="","",B1698&amp;"|"&amp;E1698)</f>
        <v>MFD-ISW → MFD-CPF|JN°1363</v>
      </c>
    </row>
    <row r="1699" customFormat="false" ht="74.6" hidden="false" customHeight="false" outlineLevel="0" collapsed="false">
      <c r="A1699" s="79" t="n">
        <f aca="false">IF(E1699="","",ROW()-6)</f>
        <v>1693</v>
      </c>
      <c r="B1699" s="80" t="s">
        <v>110</v>
      </c>
      <c r="C1699" s="81" t="s">
        <v>2036</v>
      </c>
      <c r="D1699" s="81" t="n">
        <v>15</v>
      </c>
      <c r="E1699" s="81" t="s">
        <v>2062</v>
      </c>
      <c r="F1699" s="82" t="str">
        <f aca="false">IF(E1699="","",IF(LEFT(E1699,2)="DJ","DJ","JN"))</f>
        <v>DJ</v>
      </c>
      <c r="G1699" s="81"/>
      <c r="H1699" s="81" t="s">
        <v>871</v>
      </c>
      <c r="I1699" s="81" t="n">
        <v>9.53</v>
      </c>
      <c r="J1699" s="81" t="s">
        <v>872</v>
      </c>
      <c r="K1699" s="81" t="s">
        <v>873</v>
      </c>
      <c r="L1699" s="81" t="n">
        <v>2087900</v>
      </c>
      <c r="M1699" s="81" t="n">
        <v>15421108</v>
      </c>
      <c r="N1699" s="81" t="n">
        <v>11.94</v>
      </c>
      <c r="O1699" s="81" t="n">
        <v>2097740</v>
      </c>
      <c r="P1699" s="81" t="n">
        <v>1542112</v>
      </c>
      <c r="Q1699" s="81" t="n">
        <v>11.94</v>
      </c>
      <c r="R1699" s="81" t="s">
        <v>1135</v>
      </c>
      <c r="S1699" s="81"/>
      <c r="T1699" s="81"/>
      <c r="U1699" s="83" t="n">
        <v>46263</v>
      </c>
      <c r="V1699" s="83" t="n">
        <v>46263</v>
      </c>
      <c r="W1699" s="81" t="s">
        <v>1922</v>
      </c>
      <c r="X1699" s="81" t="s">
        <v>876</v>
      </c>
      <c r="Y1699" s="83" t="n">
        <v>46264</v>
      </c>
      <c r="Z1699" s="81" t="s">
        <v>2031</v>
      </c>
      <c r="AA1699" s="81" t="s">
        <v>876</v>
      </c>
      <c r="AB1699" s="81"/>
      <c r="AC1699" s="81"/>
      <c r="AD1699" s="81"/>
      <c r="AE1699" s="83"/>
      <c r="AF1699" s="81"/>
      <c r="AG1699" s="81"/>
      <c r="AH1699" s="81"/>
      <c r="AI1699" s="81"/>
      <c r="AJ1699" s="83"/>
      <c r="AK1699" s="81"/>
      <c r="AL1699" s="81"/>
      <c r="AM1699" s="83"/>
      <c r="AN1699" s="80"/>
      <c r="AO1699" s="82" t="n">
        <f aca="false">IF(E1699="","",(AA1699&lt;&gt;"")+(AG1699&lt;&gt;"")+(AL1699&lt;&gt;""))</f>
        <v>1</v>
      </c>
      <c r="AP1699" s="82" t="str">
        <f aca="false">IF(AL1699&lt;&gt;"",AL1699,IF(AG1699&lt;&gt;"",AG1699,IF(AA1699&lt;&gt;"",AA1699,"")))</f>
        <v>A</v>
      </c>
      <c r="AQ1699" s="84" t="str">
        <f aca="false">IF(E1699="","",IF(U1699="","À SOUDER",IF(X1699="","VT EN ATTENTE",IF(X1699="R","VT REJETÉ – À REPRENDRE",IF(AP1699="","À RADIOGRAPHIER",IF(AP1699="A","ACCEPTÉ",IF(AP1699="NX","NX – RT À REFAIRE",IF(IF(AO1699=1,AD1699,IF(AO1699=2,AI1699,""))="A","RÉPARÉ – À RADIOGRAPHIER",IF(IF(AO1699=1,AD1699,IF(AO1699=2,AI1699,""))="R","VT REJETÉ – À REPRENDRE",IF(OR(AP1699="CO",AP1699="NT"),"COUPE – À RESOUDER","À RÉPARER"))))))))))</f>
        <v>ACCEPTÉ</v>
      </c>
      <c r="AR1699" s="82" t="str">
        <f aca="false">IF(AND(ISNUMBER(U1699),OR(AQ1699="À RADIOGRAPHIER",AQ1699="RÉPARÉ – À RADIOGRAPHIER",AQ1699="NX – RT À REFAIRE",AQ1699="À RÉPARER",AQ1699="COUPE – À RESOUDER",AQ1699="VT REJETÉ – À REPRENDRE")),MAX(0,'PROGRAMME RT'!$C$4-U1699),"")</f>
        <v/>
      </c>
      <c r="AS1699" s="82" t="n">
        <f aca="false">IF(AND(OR(AQ1699="À RADIOGRAPHIER",AQ1699="RÉPARÉ – À RADIOGRAPHIER",AQ1699="NX – RT À REFAIRE"),OR('PROGRAMME RT'!$D$5="TOUTES",B1699='PROGRAMME RT'!$D$5)),1,0)</f>
        <v>0</v>
      </c>
      <c r="AT1699" s="82" t="str">
        <f aca="false">IF(AS1699=1,SUM(AS$7:AS1699),"")</f>
        <v/>
      </c>
      <c r="AU1699" s="82" t="n">
        <f aca="false">IF(AND(OR(AA1699="R",AA1699="NX",AA1699="NT",AA1699="CO"),OR('JOINTS DE RÉPARATION'!$D$5="TOUTES",B1699='JOINTS DE RÉPARATION'!$D$5),OR('JOINTS DE RÉPARATION'!$L$4="TOUS",AQ1699&lt;&gt;"ACCEPTÉ")),1,0)</f>
        <v>0</v>
      </c>
      <c r="AV1699" s="82" t="str">
        <f aca="false">IF(AU1699=1,SUM(AU$7:AU1699),"")</f>
        <v/>
      </c>
      <c r="AW1699" s="82" t="str">
        <f aca="false">IF(E1699="","",B1699&amp;"|"&amp;E1699)</f>
        <v>MFD-ISW → MFD-CPF|DJ°185</v>
      </c>
    </row>
    <row r="1700" customFormat="false" ht="74.6" hidden="false" customHeight="false" outlineLevel="0" collapsed="false">
      <c r="A1700" s="79" t="n">
        <f aca="false">IF(E1700="","",ROW()-6)</f>
        <v>1694</v>
      </c>
      <c r="B1700" s="80" t="s">
        <v>110</v>
      </c>
      <c r="C1700" s="81" t="s">
        <v>2036</v>
      </c>
      <c r="D1700" s="81" t="n">
        <v>15</v>
      </c>
      <c r="E1700" s="81" t="s">
        <v>2063</v>
      </c>
      <c r="F1700" s="82" t="str">
        <f aca="false">IF(E1700="","",IF(LEFT(E1700,2)="DJ","DJ","JN"))</f>
        <v>JN</v>
      </c>
      <c r="G1700" s="81" t="s">
        <v>1504</v>
      </c>
      <c r="H1700" s="81" t="s">
        <v>871</v>
      </c>
      <c r="I1700" s="81" t="n">
        <v>9.53</v>
      </c>
      <c r="J1700" s="81" t="s">
        <v>872</v>
      </c>
      <c r="K1700" s="81" t="s">
        <v>879</v>
      </c>
      <c r="L1700" s="81" t="n">
        <v>2097740</v>
      </c>
      <c r="M1700" s="81" t="n">
        <v>1542112</v>
      </c>
      <c r="N1700" s="81" t="n">
        <v>11.94</v>
      </c>
      <c r="O1700" s="81" t="n">
        <v>2086930</v>
      </c>
      <c r="P1700" s="81" t="n">
        <v>15421107</v>
      </c>
      <c r="Q1700" s="81" t="n">
        <v>11.94</v>
      </c>
      <c r="R1700" s="81" t="s">
        <v>2039</v>
      </c>
      <c r="S1700" s="81"/>
      <c r="T1700" s="81"/>
      <c r="U1700" s="83" t="n">
        <v>46273</v>
      </c>
      <c r="V1700" s="83" t="n">
        <v>46273</v>
      </c>
      <c r="W1700" s="81" t="s">
        <v>2040</v>
      </c>
      <c r="X1700" s="81" t="s">
        <v>876</v>
      </c>
      <c r="Y1700" s="83" t="n">
        <v>46289</v>
      </c>
      <c r="Z1700" s="81" t="s">
        <v>2041</v>
      </c>
      <c r="AA1700" s="81" t="s">
        <v>1073</v>
      </c>
      <c r="AB1700" s="81" t="s">
        <v>2064</v>
      </c>
      <c r="AC1700" s="81"/>
      <c r="AD1700" s="81"/>
      <c r="AE1700" s="83"/>
      <c r="AF1700" s="81"/>
      <c r="AG1700" s="81"/>
      <c r="AH1700" s="81"/>
      <c r="AI1700" s="81"/>
      <c r="AJ1700" s="83"/>
      <c r="AK1700" s="81"/>
      <c r="AL1700" s="81"/>
      <c r="AM1700" s="83"/>
      <c r="AN1700" s="80"/>
      <c r="AO1700" s="82" t="n">
        <f aca="false">IF(E1700="","",(AA1700&lt;&gt;"")+(AG1700&lt;&gt;"")+(AL1700&lt;&gt;""))</f>
        <v>1</v>
      </c>
      <c r="AP1700" s="82" t="str">
        <f aca="false">IF(AL1700&lt;&gt;"",AL1700,IF(AG1700&lt;&gt;"",AG1700,IF(AA1700&lt;&gt;"",AA1700,"")))</f>
        <v>R</v>
      </c>
      <c r="AQ1700" s="84" t="str">
        <f aca="false">IF(E1700="","",IF(U1700="","À SOUDER",IF(X1700="","VT EN ATTENTE",IF(X1700="R","VT REJETÉ – À REPRENDRE",IF(AP1700="","À RADIOGRAPHIER",IF(AP1700="A","ACCEPTÉ",IF(AP1700="NX","NX – RT À REFAIRE",IF(IF(AO1700=1,AD1700,IF(AO1700=2,AI1700,""))="A","RÉPARÉ – À RADIOGRAPHIER",IF(IF(AO1700=1,AD1700,IF(AO1700=2,AI1700,""))="R","VT REJETÉ – À REPRENDRE",IF(OR(AP1700="CO",AP1700="NT"),"COUPE – À RESOUDER","À RÉPARER"))))))))))</f>
        <v>À RÉPARER</v>
      </c>
      <c r="AR1700" s="82" t="n">
        <f aca="false">IF(AND(ISNUMBER(U1700),OR(AQ1700="À RADIOGRAPHIER",AQ1700="RÉPARÉ – À RADIOGRAPHIER",AQ1700="NX – RT À REFAIRE",AQ1700="À RÉPARER",AQ1700="COUPE – À RESOUDER",AQ1700="VT REJETÉ – À REPRENDRE")),MAX(0,'PROGRAMME RT'!$C$4-U1700),"")</f>
        <v>20</v>
      </c>
      <c r="AS1700" s="82" t="n">
        <f aca="false">IF(AND(OR(AQ1700="À RADIOGRAPHIER",AQ1700="RÉPARÉ – À RADIOGRAPHIER",AQ1700="NX – RT À REFAIRE"),OR('PROGRAMME RT'!$D$5="TOUTES",B1700='PROGRAMME RT'!$D$5)),1,0)</f>
        <v>0</v>
      </c>
      <c r="AT1700" s="82" t="str">
        <f aca="false">IF(AS1700=1,SUM(AS$7:AS1700),"")</f>
        <v/>
      </c>
      <c r="AU1700" s="82" t="n">
        <f aca="false">IF(AND(OR(AA1700="R",AA1700="NX",AA1700="NT",AA1700="CO"),OR('JOINTS DE RÉPARATION'!$D$5="TOUTES",B1700='JOINTS DE RÉPARATION'!$D$5),OR('JOINTS DE RÉPARATION'!$L$4="TOUS",AQ1700&lt;&gt;"ACCEPTÉ")),1,0)</f>
        <v>1</v>
      </c>
      <c r="AV1700" s="82" t="n">
        <f aca="false">IF(AU1700=1,SUM(AU$7:AU1700),"")</f>
        <v>48</v>
      </c>
      <c r="AW1700" s="82" t="str">
        <f aca="false">IF(E1700="","",B1700&amp;"|"&amp;E1700)</f>
        <v>MFD-ISW → MFD-CPF|JN°1364</v>
      </c>
    </row>
    <row r="1701" customFormat="false" ht="74.6" hidden="false" customHeight="false" outlineLevel="0" collapsed="false">
      <c r="A1701" s="79" t="n">
        <f aca="false">IF(E1701="","",ROW()-6)</f>
        <v>1695</v>
      </c>
      <c r="B1701" s="80" t="s">
        <v>110</v>
      </c>
      <c r="C1701" s="81" t="s">
        <v>2036</v>
      </c>
      <c r="D1701" s="81" t="n">
        <v>15</v>
      </c>
      <c r="E1701" s="81" t="s">
        <v>2065</v>
      </c>
      <c r="F1701" s="82" t="str">
        <f aca="false">IF(E1701="","",IF(LEFT(E1701,2)="DJ","DJ","JN"))</f>
        <v>DJ</v>
      </c>
      <c r="G1701" s="81"/>
      <c r="H1701" s="81" t="s">
        <v>871</v>
      </c>
      <c r="I1701" s="81" t="n">
        <v>9.53</v>
      </c>
      <c r="J1701" s="81" t="s">
        <v>872</v>
      </c>
      <c r="K1701" s="81" t="s">
        <v>873</v>
      </c>
      <c r="L1701" s="81" t="n">
        <v>2086930</v>
      </c>
      <c r="M1701" s="81" t="n">
        <v>15421107</v>
      </c>
      <c r="N1701" s="81" t="n">
        <v>11.94</v>
      </c>
      <c r="O1701" s="81" t="n">
        <v>2091140</v>
      </c>
      <c r="P1701" s="81" t="n">
        <v>1542</v>
      </c>
      <c r="Q1701" s="81" t="n">
        <v>11.94</v>
      </c>
      <c r="R1701" s="81" t="s">
        <v>1135</v>
      </c>
      <c r="S1701" s="81"/>
      <c r="T1701" s="81"/>
      <c r="U1701" s="83" t="n">
        <v>46263</v>
      </c>
      <c r="V1701" s="83" t="n">
        <v>46263</v>
      </c>
      <c r="W1701" s="81" t="s">
        <v>1922</v>
      </c>
      <c r="X1701" s="81" t="s">
        <v>876</v>
      </c>
      <c r="Y1701" s="83" t="n">
        <v>46264</v>
      </c>
      <c r="Z1701" s="81" t="s">
        <v>2043</v>
      </c>
      <c r="AA1701" s="81" t="s">
        <v>876</v>
      </c>
      <c r="AB1701" s="81"/>
      <c r="AC1701" s="81"/>
      <c r="AD1701" s="81"/>
      <c r="AE1701" s="83"/>
      <c r="AF1701" s="81"/>
      <c r="AG1701" s="81"/>
      <c r="AH1701" s="81"/>
      <c r="AI1701" s="81"/>
      <c r="AJ1701" s="83"/>
      <c r="AK1701" s="81"/>
      <c r="AL1701" s="81"/>
      <c r="AM1701" s="83"/>
      <c r="AN1701" s="80"/>
      <c r="AO1701" s="82" t="n">
        <f aca="false">IF(E1701="","",(AA1701&lt;&gt;"")+(AG1701&lt;&gt;"")+(AL1701&lt;&gt;""))</f>
        <v>1</v>
      </c>
      <c r="AP1701" s="82" t="str">
        <f aca="false">IF(AL1701&lt;&gt;"",AL1701,IF(AG1701&lt;&gt;"",AG1701,IF(AA1701&lt;&gt;"",AA1701,"")))</f>
        <v>A</v>
      </c>
      <c r="AQ1701" s="84" t="str">
        <f aca="false">IF(E1701="","",IF(U1701="","À SOUDER",IF(X1701="","VT EN ATTENTE",IF(X1701="R","VT REJETÉ – À REPRENDRE",IF(AP1701="","À RADIOGRAPHIER",IF(AP1701="A","ACCEPTÉ",IF(AP1701="NX","NX – RT À REFAIRE",IF(IF(AO1701=1,AD1701,IF(AO1701=2,AI1701,""))="A","RÉPARÉ – À RADIOGRAPHIER",IF(IF(AO1701=1,AD1701,IF(AO1701=2,AI1701,""))="R","VT REJETÉ – À REPRENDRE",IF(OR(AP1701="CO",AP1701="NT"),"COUPE – À RESOUDER","À RÉPARER"))))))))))</f>
        <v>ACCEPTÉ</v>
      </c>
      <c r="AR1701" s="82" t="str">
        <f aca="false">IF(AND(ISNUMBER(U1701),OR(AQ1701="À RADIOGRAPHIER",AQ1701="RÉPARÉ – À RADIOGRAPHIER",AQ1701="NX – RT À REFAIRE",AQ1701="À RÉPARER",AQ1701="COUPE – À RESOUDER",AQ1701="VT REJETÉ – À REPRENDRE")),MAX(0,'PROGRAMME RT'!$C$4-U1701),"")</f>
        <v/>
      </c>
      <c r="AS1701" s="82" t="n">
        <f aca="false">IF(AND(OR(AQ1701="À RADIOGRAPHIER",AQ1701="RÉPARÉ – À RADIOGRAPHIER",AQ1701="NX – RT À REFAIRE"),OR('PROGRAMME RT'!$D$5="TOUTES",B1701='PROGRAMME RT'!$D$5)),1,0)</f>
        <v>0</v>
      </c>
      <c r="AT1701" s="82" t="str">
        <f aca="false">IF(AS1701=1,SUM(AS$7:AS1701),"")</f>
        <v/>
      </c>
      <c r="AU1701" s="82" t="n">
        <f aca="false">IF(AND(OR(AA1701="R",AA1701="NX",AA1701="NT",AA1701="CO"),OR('JOINTS DE RÉPARATION'!$D$5="TOUTES",B1701='JOINTS DE RÉPARATION'!$D$5),OR('JOINTS DE RÉPARATION'!$L$4="TOUS",AQ1701&lt;&gt;"ACCEPTÉ")),1,0)</f>
        <v>0</v>
      </c>
      <c r="AV1701" s="82" t="str">
        <f aca="false">IF(AU1701=1,SUM(AU$7:AU1701),"")</f>
        <v/>
      </c>
      <c r="AW1701" s="82" t="str">
        <f aca="false">IF(E1701="","",B1701&amp;"|"&amp;E1701)</f>
        <v>MFD-ISW → MFD-CPF|DJ°190</v>
      </c>
    </row>
    <row r="1702" customFormat="false" ht="74.6" hidden="false" customHeight="false" outlineLevel="0" collapsed="false">
      <c r="A1702" s="79" t="n">
        <f aca="false">IF(E1702="","",ROW()-6)</f>
        <v>1696</v>
      </c>
      <c r="B1702" s="80" t="s">
        <v>110</v>
      </c>
      <c r="C1702" s="81" t="s">
        <v>2036</v>
      </c>
      <c r="D1702" s="81" t="n">
        <v>15</v>
      </c>
      <c r="E1702" s="81" t="s">
        <v>2066</v>
      </c>
      <c r="F1702" s="82" t="str">
        <f aca="false">IF(E1702="","",IF(LEFT(E1702,2)="DJ","DJ","JN"))</f>
        <v>JN</v>
      </c>
      <c r="G1702" s="81" t="s">
        <v>1504</v>
      </c>
      <c r="H1702" s="81" t="s">
        <v>871</v>
      </c>
      <c r="I1702" s="81" t="n">
        <v>9.53</v>
      </c>
      <c r="J1702" s="81" t="s">
        <v>872</v>
      </c>
      <c r="K1702" s="81" t="s">
        <v>879</v>
      </c>
      <c r="L1702" s="81" t="n">
        <v>2091140</v>
      </c>
      <c r="M1702" s="81" t="n">
        <v>1542</v>
      </c>
      <c r="N1702" s="81" t="n">
        <v>11.94</v>
      </c>
      <c r="O1702" s="81" t="n">
        <v>2080390</v>
      </c>
      <c r="P1702" s="81" t="n">
        <v>15421102</v>
      </c>
      <c r="Q1702" s="81" t="n">
        <v>11.94</v>
      </c>
      <c r="R1702" s="81" t="s">
        <v>2039</v>
      </c>
      <c r="S1702" s="81"/>
      <c r="T1702" s="81"/>
      <c r="U1702" s="83" t="n">
        <v>46273</v>
      </c>
      <c r="V1702" s="83" t="n">
        <v>46273</v>
      </c>
      <c r="W1702" s="81" t="s">
        <v>2040</v>
      </c>
      <c r="X1702" s="81" t="s">
        <v>876</v>
      </c>
      <c r="Y1702" s="83" t="n">
        <v>46289</v>
      </c>
      <c r="Z1702" s="81" t="s">
        <v>2041</v>
      </c>
      <c r="AA1702" s="81" t="s">
        <v>876</v>
      </c>
      <c r="AB1702" s="81"/>
      <c r="AC1702" s="81"/>
      <c r="AD1702" s="81"/>
      <c r="AE1702" s="83"/>
      <c r="AF1702" s="81"/>
      <c r="AG1702" s="81"/>
      <c r="AH1702" s="81"/>
      <c r="AI1702" s="81"/>
      <c r="AJ1702" s="83"/>
      <c r="AK1702" s="81"/>
      <c r="AL1702" s="81"/>
      <c r="AM1702" s="83"/>
      <c r="AN1702" s="80"/>
      <c r="AO1702" s="82" t="n">
        <f aca="false">IF(E1702="","",(AA1702&lt;&gt;"")+(AG1702&lt;&gt;"")+(AL1702&lt;&gt;""))</f>
        <v>1</v>
      </c>
      <c r="AP1702" s="82" t="str">
        <f aca="false">IF(AL1702&lt;&gt;"",AL1702,IF(AG1702&lt;&gt;"",AG1702,IF(AA1702&lt;&gt;"",AA1702,"")))</f>
        <v>A</v>
      </c>
      <c r="AQ1702" s="84" t="str">
        <f aca="false">IF(E1702="","",IF(U1702="","À SOUDER",IF(X1702="","VT EN ATTENTE",IF(X1702="R","VT REJETÉ – À REPRENDRE",IF(AP1702="","À RADIOGRAPHIER",IF(AP1702="A","ACCEPTÉ",IF(AP1702="NX","NX – RT À REFAIRE",IF(IF(AO1702=1,AD1702,IF(AO1702=2,AI1702,""))="A","RÉPARÉ – À RADIOGRAPHIER",IF(IF(AO1702=1,AD1702,IF(AO1702=2,AI1702,""))="R","VT REJETÉ – À REPRENDRE",IF(OR(AP1702="CO",AP1702="NT"),"COUPE – À RESOUDER","À RÉPARER"))))))))))</f>
        <v>ACCEPTÉ</v>
      </c>
      <c r="AR1702" s="82" t="str">
        <f aca="false">IF(AND(ISNUMBER(U1702),OR(AQ1702="À RADIOGRAPHIER",AQ1702="RÉPARÉ – À RADIOGRAPHIER",AQ1702="NX – RT À REFAIRE",AQ1702="À RÉPARER",AQ1702="COUPE – À RESOUDER",AQ1702="VT REJETÉ – À REPRENDRE")),MAX(0,'PROGRAMME RT'!$C$4-U1702),"")</f>
        <v/>
      </c>
      <c r="AS1702" s="82" t="n">
        <f aca="false">IF(AND(OR(AQ1702="À RADIOGRAPHIER",AQ1702="RÉPARÉ – À RADIOGRAPHIER",AQ1702="NX – RT À REFAIRE"),OR('PROGRAMME RT'!$D$5="TOUTES",B1702='PROGRAMME RT'!$D$5)),1,0)</f>
        <v>0</v>
      </c>
      <c r="AT1702" s="82" t="str">
        <f aca="false">IF(AS1702=1,SUM(AS$7:AS1702),"")</f>
        <v/>
      </c>
      <c r="AU1702" s="82" t="n">
        <f aca="false">IF(AND(OR(AA1702="R",AA1702="NX",AA1702="NT",AA1702="CO"),OR('JOINTS DE RÉPARATION'!$D$5="TOUTES",B1702='JOINTS DE RÉPARATION'!$D$5),OR('JOINTS DE RÉPARATION'!$L$4="TOUS",AQ1702&lt;&gt;"ACCEPTÉ")),1,0)</f>
        <v>0</v>
      </c>
      <c r="AV1702" s="82" t="str">
        <f aca="false">IF(AU1702=1,SUM(AU$7:AU1702),"")</f>
        <v/>
      </c>
      <c r="AW1702" s="82" t="str">
        <f aca="false">IF(E1702="","",B1702&amp;"|"&amp;E1702)</f>
        <v>MFD-ISW → MFD-CPF|JN°1365</v>
      </c>
    </row>
    <row r="1703" customFormat="false" ht="74.6" hidden="false" customHeight="false" outlineLevel="0" collapsed="false">
      <c r="A1703" s="79" t="n">
        <f aca="false">IF(E1703="","",ROW()-6)</f>
        <v>1697</v>
      </c>
      <c r="B1703" s="80" t="s">
        <v>110</v>
      </c>
      <c r="C1703" s="81" t="s">
        <v>2036</v>
      </c>
      <c r="D1703" s="81" t="n">
        <v>15</v>
      </c>
      <c r="E1703" s="81" t="s">
        <v>2067</v>
      </c>
      <c r="F1703" s="82" t="str">
        <f aca="false">IF(E1703="","",IF(LEFT(E1703,2)="DJ","DJ","JN"))</f>
        <v>DJ</v>
      </c>
      <c r="G1703" s="81"/>
      <c r="H1703" s="81" t="s">
        <v>871</v>
      </c>
      <c r="I1703" s="81" t="n">
        <v>9.53</v>
      </c>
      <c r="J1703" s="81" t="s">
        <v>872</v>
      </c>
      <c r="K1703" s="81" t="s">
        <v>873</v>
      </c>
      <c r="L1703" s="81" t="n">
        <v>2080390</v>
      </c>
      <c r="M1703" s="81" t="n">
        <v>15421102</v>
      </c>
      <c r="N1703" s="81" t="n">
        <v>11.94</v>
      </c>
      <c r="O1703" s="81" t="n">
        <v>2084540</v>
      </c>
      <c r="P1703" s="81" t="n">
        <v>15421111</v>
      </c>
      <c r="Q1703" s="81" t="n">
        <v>11.94</v>
      </c>
      <c r="R1703" s="81" t="s">
        <v>1147</v>
      </c>
      <c r="S1703" s="81"/>
      <c r="T1703" s="81"/>
      <c r="U1703" s="83" t="n">
        <v>46263</v>
      </c>
      <c r="V1703" s="83" t="n">
        <v>46263</v>
      </c>
      <c r="W1703" s="81" t="s">
        <v>1922</v>
      </c>
      <c r="X1703" s="81" t="s">
        <v>876</v>
      </c>
      <c r="Y1703" s="83" t="n">
        <v>46264</v>
      </c>
      <c r="Z1703" s="81" t="s">
        <v>2043</v>
      </c>
      <c r="AA1703" s="81" t="s">
        <v>876</v>
      </c>
      <c r="AB1703" s="81"/>
      <c r="AC1703" s="81"/>
      <c r="AD1703" s="81"/>
      <c r="AE1703" s="83"/>
      <c r="AF1703" s="81"/>
      <c r="AG1703" s="81"/>
      <c r="AH1703" s="81"/>
      <c r="AI1703" s="81"/>
      <c r="AJ1703" s="83"/>
      <c r="AK1703" s="81"/>
      <c r="AL1703" s="81"/>
      <c r="AM1703" s="83"/>
      <c r="AN1703" s="80"/>
      <c r="AO1703" s="82" t="n">
        <f aca="false">IF(E1703="","",(AA1703&lt;&gt;"")+(AG1703&lt;&gt;"")+(AL1703&lt;&gt;""))</f>
        <v>1</v>
      </c>
      <c r="AP1703" s="82" t="str">
        <f aca="false">IF(AL1703&lt;&gt;"",AL1703,IF(AG1703&lt;&gt;"",AG1703,IF(AA1703&lt;&gt;"",AA1703,"")))</f>
        <v>A</v>
      </c>
      <c r="AQ1703" s="84" t="str">
        <f aca="false">IF(E1703="","",IF(U1703="","À SOUDER",IF(X1703="","VT EN ATTENTE",IF(X1703="R","VT REJETÉ – À REPRENDRE",IF(AP1703="","À RADIOGRAPHIER",IF(AP1703="A","ACCEPTÉ",IF(AP1703="NX","NX – RT À REFAIRE",IF(IF(AO1703=1,AD1703,IF(AO1703=2,AI1703,""))="A","RÉPARÉ – À RADIOGRAPHIER",IF(IF(AO1703=1,AD1703,IF(AO1703=2,AI1703,""))="R","VT REJETÉ – À REPRENDRE",IF(OR(AP1703="CO",AP1703="NT"),"COUPE – À RESOUDER","À RÉPARER"))))))))))</f>
        <v>ACCEPTÉ</v>
      </c>
      <c r="AR1703" s="82" t="str">
        <f aca="false">IF(AND(ISNUMBER(U1703),OR(AQ1703="À RADIOGRAPHIER",AQ1703="RÉPARÉ – À RADIOGRAPHIER",AQ1703="NX – RT À REFAIRE",AQ1703="À RÉPARER",AQ1703="COUPE – À RESOUDER",AQ1703="VT REJETÉ – À REPRENDRE")),MAX(0,'PROGRAMME RT'!$C$4-U1703),"")</f>
        <v/>
      </c>
      <c r="AS1703" s="82" t="n">
        <f aca="false">IF(AND(OR(AQ1703="À RADIOGRAPHIER",AQ1703="RÉPARÉ – À RADIOGRAPHIER",AQ1703="NX – RT À REFAIRE"),OR('PROGRAMME RT'!$D$5="TOUTES",B1703='PROGRAMME RT'!$D$5)),1,0)</f>
        <v>0</v>
      </c>
      <c r="AT1703" s="82" t="str">
        <f aca="false">IF(AS1703=1,SUM(AS$7:AS1703),"")</f>
        <v/>
      </c>
      <c r="AU1703" s="82" t="n">
        <f aca="false">IF(AND(OR(AA1703="R",AA1703="NX",AA1703="NT",AA1703="CO"),OR('JOINTS DE RÉPARATION'!$D$5="TOUTES",B1703='JOINTS DE RÉPARATION'!$D$5),OR('JOINTS DE RÉPARATION'!$L$4="TOUS",AQ1703&lt;&gt;"ACCEPTÉ")),1,0)</f>
        <v>0</v>
      </c>
      <c r="AV1703" s="82" t="str">
        <f aca="false">IF(AU1703=1,SUM(AU$7:AU1703),"")</f>
        <v/>
      </c>
      <c r="AW1703" s="82" t="str">
        <f aca="false">IF(E1703="","",B1703&amp;"|"&amp;E1703)</f>
        <v>MFD-ISW → MFD-CPF|DJ°191</v>
      </c>
    </row>
    <row r="1704" customFormat="false" ht="74.6" hidden="false" customHeight="false" outlineLevel="0" collapsed="false">
      <c r="A1704" s="79" t="n">
        <f aca="false">IF(E1704="","",ROW()-6)</f>
        <v>1698</v>
      </c>
      <c r="B1704" s="80" t="s">
        <v>110</v>
      </c>
      <c r="C1704" s="81" t="s">
        <v>2036</v>
      </c>
      <c r="D1704" s="81" t="n">
        <v>15</v>
      </c>
      <c r="E1704" s="81" t="s">
        <v>2068</v>
      </c>
      <c r="F1704" s="82" t="str">
        <f aca="false">IF(E1704="","",IF(LEFT(E1704,2)="DJ","DJ","JN"))</f>
        <v>JN</v>
      </c>
      <c r="G1704" s="81" t="s">
        <v>1504</v>
      </c>
      <c r="H1704" s="81" t="s">
        <v>871</v>
      </c>
      <c r="I1704" s="81" t="n">
        <v>9.53</v>
      </c>
      <c r="J1704" s="81" t="s">
        <v>872</v>
      </c>
      <c r="K1704" s="81" t="s">
        <v>879</v>
      </c>
      <c r="L1704" s="81" t="n">
        <v>2084540</v>
      </c>
      <c r="M1704" s="81" t="n">
        <v>15421111</v>
      </c>
      <c r="N1704" s="81" t="n">
        <v>11.94</v>
      </c>
      <c r="O1704" s="81" t="n">
        <v>2080470</v>
      </c>
      <c r="P1704" s="81" t="n">
        <v>15421102</v>
      </c>
      <c r="Q1704" s="81" t="n">
        <v>11.94</v>
      </c>
      <c r="R1704" s="81" t="s">
        <v>2039</v>
      </c>
      <c r="S1704" s="81"/>
      <c r="T1704" s="81"/>
      <c r="U1704" s="83" t="n">
        <v>46273</v>
      </c>
      <c r="V1704" s="83" t="n">
        <v>46273</v>
      </c>
      <c r="W1704" s="81" t="s">
        <v>2040</v>
      </c>
      <c r="X1704" s="81" t="s">
        <v>876</v>
      </c>
      <c r="Y1704" s="83" t="n">
        <v>46289</v>
      </c>
      <c r="Z1704" s="81" t="s">
        <v>2041</v>
      </c>
      <c r="AA1704" s="81" t="s">
        <v>876</v>
      </c>
      <c r="AB1704" s="81"/>
      <c r="AC1704" s="81"/>
      <c r="AD1704" s="81"/>
      <c r="AE1704" s="83"/>
      <c r="AF1704" s="81"/>
      <c r="AG1704" s="81"/>
      <c r="AH1704" s="81"/>
      <c r="AI1704" s="81"/>
      <c r="AJ1704" s="83"/>
      <c r="AK1704" s="81"/>
      <c r="AL1704" s="81"/>
      <c r="AM1704" s="83"/>
      <c r="AN1704" s="80"/>
      <c r="AO1704" s="82" t="n">
        <f aca="false">IF(E1704="","",(AA1704&lt;&gt;"")+(AG1704&lt;&gt;"")+(AL1704&lt;&gt;""))</f>
        <v>1</v>
      </c>
      <c r="AP1704" s="82" t="str">
        <f aca="false">IF(AL1704&lt;&gt;"",AL1704,IF(AG1704&lt;&gt;"",AG1704,IF(AA1704&lt;&gt;"",AA1704,"")))</f>
        <v>A</v>
      </c>
      <c r="AQ1704" s="84" t="str">
        <f aca="false">IF(E1704="","",IF(U1704="","À SOUDER",IF(X1704="","VT EN ATTENTE",IF(X1704="R","VT REJETÉ – À REPRENDRE",IF(AP1704="","À RADIOGRAPHIER",IF(AP1704="A","ACCEPTÉ",IF(AP1704="NX","NX – RT À REFAIRE",IF(IF(AO1704=1,AD1704,IF(AO1704=2,AI1704,""))="A","RÉPARÉ – À RADIOGRAPHIER",IF(IF(AO1704=1,AD1704,IF(AO1704=2,AI1704,""))="R","VT REJETÉ – À REPRENDRE",IF(OR(AP1704="CO",AP1704="NT"),"COUPE – À RESOUDER","À RÉPARER"))))))))))</f>
        <v>ACCEPTÉ</v>
      </c>
      <c r="AR1704" s="82" t="str">
        <f aca="false">IF(AND(ISNUMBER(U1704),OR(AQ1704="À RADIOGRAPHIER",AQ1704="RÉPARÉ – À RADIOGRAPHIER",AQ1704="NX – RT À REFAIRE",AQ1704="À RÉPARER",AQ1704="COUPE – À RESOUDER",AQ1704="VT REJETÉ – À REPRENDRE")),MAX(0,'PROGRAMME RT'!$C$4-U1704),"")</f>
        <v/>
      </c>
      <c r="AS1704" s="82" t="n">
        <f aca="false">IF(AND(OR(AQ1704="À RADIOGRAPHIER",AQ1704="RÉPARÉ – À RADIOGRAPHIER",AQ1704="NX – RT À REFAIRE"),OR('PROGRAMME RT'!$D$5="TOUTES",B1704='PROGRAMME RT'!$D$5)),1,0)</f>
        <v>0</v>
      </c>
      <c r="AT1704" s="82" t="str">
        <f aca="false">IF(AS1704=1,SUM(AS$7:AS1704),"")</f>
        <v/>
      </c>
      <c r="AU1704" s="82" t="n">
        <f aca="false">IF(AND(OR(AA1704="R",AA1704="NX",AA1704="NT",AA1704="CO"),OR('JOINTS DE RÉPARATION'!$D$5="TOUTES",B1704='JOINTS DE RÉPARATION'!$D$5),OR('JOINTS DE RÉPARATION'!$L$4="TOUS",AQ1704&lt;&gt;"ACCEPTÉ")),1,0)</f>
        <v>0</v>
      </c>
      <c r="AV1704" s="82" t="str">
        <f aca="false">IF(AU1704=1,SUM(AU$7:AU1704),"")</f>
        <v/>
      </c>
      <c r="AW1704" s="82" t="str">
        <f aca="false">IF(E1704="","",B1704&amp;"|"&amp;E1704)</f>
        <v>MFD-ISW → MFD-CPF|JN°1366</v>
      </c>
    </row>
    <row r="1705" customFormat="false" ht="74.6" hidden="false" customHeight="false" outlineLevel="0" collapsed="false">
      <c r="A1705" s="79" t="n">
        <f aca="false">IF(E1705="","",ROW()-6)</f>
        <v>1699</v>
      </c>
      <c r="B1705" s="80" t="s">
        <v>110</v>
      </c>
      <c r="C1705" s="81" t="s">
        <v>2036</v>
      </c>
      <c r="D1705" s="81" t="n">
        <v>15</v>
      </c>
      <c r="E1705" s="81" t="s">
        <v>2069</v>
      </c>
      <c r="F1705" s="82" t="str">
        <f aca="false">IF(E1705="","",IF(LEFT(E1705,2)="DJ","DJ","JN"))</f>
        <v>DJ</v>
      </c>
      <c r="G1705" s="81"/>
      <c r="H1705" s="81" t="s">
        <v>871</v>
      </c>
      <c r="I1705" s="81" t="n">
        <v>9.53</v>
      </c>
      <c r="J1705" s="81" t="s">
        <v>872</v>
      </c>
      <c r="K1705" s="81" t="s">
        <v>873</v>
      </c>
      <c r="L1705" s="81" t="n">
        <v>2080470</v>
      </c>
      <c r="M1705" s="81" t="n">
        <v>15421102</v>
      </c>
      <c r="N1705" s="81" t="n">
        <v>11.94</v>
      </c>
      <c r="O1705" s="81" t="n">
        <v>2093400</v>
      </c>
      <c r="P1705" s="81" t="n">
        <v>15421110</v>
      </c>
      <c r="Q1705" s="81" t="n">
        <v>11.94</v>
      </c>
      <c r="R1705" s="81" t="s">
        <v>1147</v>
      </c>
      <c r="S1705" s="81"/>
      <c r="T1705" s="81"/>
      <c r="U1705" s="83" t="n">
        <v>46263</v>
      </c>
      <c r="V1705" s="83" t="n">
        <v>46263</v>
      </c>
      <c r="W1705" s="81" t="s">
        <v>1922</v>
      </c>
      <c r="X1705" s="81" t="s">
        <v>876</v>
      </c>
      <c r="Y1705" s="83" t="n">
        <v>46264</v>
      </c>
      <c r="Z1705" s="81" t="s">
        <v>2043</v>
      </c>
      <c r="AA1705" s="81" t="s">
        <v>876</v>
      </c>
      <c r="AB1705" s="81"/>
      <c r="AC1705" s="81"/>
      <c r="AD1705" s="81"/>
      <c r="AE1705" s="83"/>
      <c r="AF1705" s="81"/>
      <c r="AG1705" s="81"/>
      <c r="AH1705" s="81"/>
      <c r="AI1705" s="81"/>
      <c r="AJ1705" s="83"/>
      <c r="AK1705" s="81"/>
      <c r="AL1705" s="81"/>
      <c r="AM1705" s="83"/>
      <c r="AN1705" s="80"/>
      <c r="AO1705" s="82" t="n">
        <f aca="false">IF(E1705="","",(AA1705&lt;&gt;"")+(AG1705&lt;&gt;"")+(AL1705&lt;&gt;""))</f>
        <v>1</v>
      </c>
      <c r="AP1705" s="82" t="str">
        <f aca="false">IF(AL1705&lt;&gt;"",AL1705,IF(AG1705&lt;&gt;"",AG1705,IF(AA1705&lt;&gt;"",AA1705,"")))</f>
        <v>A</v>
      </c>
      <c r="AQ1705" s="84" t="str">
        <f aca="false">IF(E1705="","",IF(U1705="","À SOUDER",IF(X1705="","VT EN ATTENTE",IF(X1705="R","VT REJETÉ – À REPRENDRE",IF(AP1705="","À RADIOGRAPHIER",IF(AP1705="A","ACCEPTÉ",IF(AP1705="NX","NX – RT À REFAIRE",IF(IF(AO1705=1,AD1705,IF(AO1705=2,AI1705,""))="A","RÉPARÉ – À RADIOGRAPHIER",IF(IF(AO1705=1,AD1705,IF(AO1705=2,AI1705,""))="R","VT REJETÉ – À REPRENDRE",IF(OR(AP1705="CO",AP1705="NT"),"COUPE – À RESOUDER","À RÉPARER"))))))))))</f>
        <v>ACCEPTÉ</v>
      </c>
      <c r="AR1705" s="82" t="str">
        <f aca="false">IF(AND(ISNUMBER(U1705),OR(AQ1705="À RADIOGRAPHIER",AQ1705="RÉPARÉ – À RADIOGRAPHIER",AQ1705="NX – RT À REFAIRE",AQ1705="À RÉPARER",AQ1705="COUPE – À RESOUDER",AQ1705="VT REJETÉ – À REPRENDRE")),MAX(0,'PROGRAMME RT'!$C$4-U1705),"")</f>
        <v/>
      </c>
      <c r="AS1705" s="82" t="n">
        <f aca="false">IF(AND(OR(AQ1705="À RADIOGRAPHIER",AQ1705="RÉPARÉ – À RADIOGRAPHIER",AQ1705="NX – RT À REFAIRE"),OR('PROGRAMME RT'!$D$5="TOUTES",B1705='PROGRAMME RT'!$D$5)),1,0)</f>
        <v>0</v>
      </c>
      <c r="AT1705" s="82" t="str">
        <f aca="false">IF(AS1705=1,SUM(AS$7:AS1705),"")</f>
        <v/>
      </c>
      <c r="AU1705" s="82" t="n">
        <f aca="false">IF(AND(OR(AA1705="R",AA1705="NX",AA1705="NT",AA1705="CO"),OR('JOINTS DE RÉPARATION'!$D$5="TOUTES",B1705='JOINTS DE RÉPARATION'!$D$5),OR('JOINTS DE RÉPARATION'!$L$4="TOUS",AQ1705&lt;&gt;"ACCEPTÉ")),1,0)</f>
        <v>0</v>
      </c>
      <c r="AV1705" s="82" t="str">
        <f aca="false">IF(AU1705=1,SUM(AU$7:AU1705),"")</f>
        <v/>
      </c>
      <c r="AW1705" s="82" t="str">
        <f aca="false">IF(E1705="","",B1705&amp;"|"&amp;E1705)</f>
        <v>MFD-ISW → MFD-CPF|DJ°192</v>
      </c>
    </row>
    <row r="1706" customFormat="false" ht="74.6" hidden="false" customHeight="false" outlineLevel="0" collapsed="false">
      <c r="A1706" s="79" t="n">
        <f aca="false">IF(E1706="","",ROW()-6)</f>
        <v>1700</v>
      </c>
      <c r="B1706" s="80" t="s">
        <v>110</v>
      </c>
      <c r="C1706" s="81" t="s">
        <v>2036</v>
      </c>
      <c r="D1706" s="81" t="n">
        <v>15</v>
      </c>
      <c r="E1706" s="81" t="s">
        <v>2070</v>
      </c>
      <c r="F1706" s="82" t="str">
        <f aca="false">IF(E1706="","",IF(LEFT(E1706,2)="DJ","DJ","JN"))</f>
        <v>JN</v>
      </c>
      <c r="G1706" s="81" t="s">
        <v>1504</v>
      </c>
      <c r="H1706" s="81" t="s">
        <v>871</v>
      </c>
      <c r="I1706" s="81" t="n">
        <v>9.53</v>
      </c>
      <c r="J1706" s="81" t="s">
        <v>872</v>
      </c>
      <c r="K1706" s="81" t="s">
        <v>879</v>
      </c>
      <c r="L1706" s="81" t="n">
        <v>2093400</v>
      </c>
      <c r="M1706" s="81" t="n">
        <v>15421110</v>
      </c>
      <c r="N1706" s="81" t="n">
        <v>11.94</v>
      </c>
      <c r="O1706" s="81" t="n">
        <v>2078850</v>
      </c>
      <c r="P1706" s="81" t="n">
        <v>15421101</v>
      </c>
      <c r="Q1706" s="81" t="n">
        <v>11.94</v>
      </c>
      <c r="R1706" s="81" t="s">
        <v>2039</v>
      </c>
      <c r="S1706" s="81"/>
      <c r="T1706" s="81"/>
      <c r="U1706" s="83" t="n">
        <v>46273</v>
      </c>
      <c r="V1706" s="83" t="n">
        <v>46273</v>
      </c>
      <c r="W1706" s="81" t="s">
        <v>2040</v>
      </c>
      <c r="X1706" s="81" t="s">
        <v>876</v>
      </c>
      <c r="Y1706" s="83" t="n">
        <v>46289</v>
      </c>
      <c r="Z1706" s="81" t="s">
        <v>2041</v>
      </c>
      <c r="AA1706" s="81" t="s">
        <v>876</v>
      </c>
      <c r="AB1706" s="81"/>
      <c r="AC1706" s="81"/>
      <c r="AD1706" s="81"/>
      <c r="AE1706" s="83"/>
      <c r="AF1706" s="81"/>
      <c r="AG1706" s="81"/>
      <c r="AH1706" s="81"/>
      <c r="AI1706" s="81"/>
      <c r="AJ1706" s="83"/>
      <c r="AK1706" s="81"/>
      <c r="AL1706" s="81"/>
      <c r="AM1706" s="83"/>
      <c r="AN1706" s="80"/>
      <c r="AO1706" s="82" t="n">
        <f aca="false">IF(E1706="","",(AA1706&lt;&gt;"")+(AG1706&lt;&gt;"")+(AL1706&lt;&gt;""))</f>
        <v>1</v>
      </c>
      <c r="AP1706" s="82" t="str">
        <f aca="false">IF(AL1706&lt;&gt;"",AL1706,IF(AG1706&lt;&gt;"",AG1706,IF(AA1706&lt;&gt;"",AA1706,"")))</f>
        <v>A</v>
      </c>
      <c r="AQ1706" s="84" t="str">
        <f aca="false">IF(E1706="","",IF(U1706="","À SOUDER",IF(X1706="","VT EN ATTENTE",IF(X1706="R","VT REJETÉ – À REPRENDRE",IF(AP1706="","À RADIOGRAPHIER",IF(AP1706="A","ACCEPTÉ",IF(AP1706="NX","NX – RT À REFAIRE",IF(IF(AO1706=1,AD1706,IF(AO1706=2,AI1706,""))="A","RÉPARÉ – À RADIOGRAPHIER",IF(IF(AO1706=1,AD1706,IF(AO1706=2,AI1706,""))="R","VT REJETÉ – À REPRENDRE",IF(OR(AP1706="CO",AP1706="NT"),"COUPE – À RESOUDER","À RÉPARER"))))))))))</f>
        <v>ACCEPTÉ</v>
      </c>
      <c r="AR1706" s="82" t="str">
        <f aca="false">IF(AND(ISNUMBER(U1706),OR(AQ1706="À RADIOGRAPHIER",AQ1706="RÉPARÉ – À RADIOGRAPHIER",AQ1706="NX – RT À REFAIRE",AQ1706="À RÉPARER",AQ1706="COUPE – À RESOUDER",AQ1706="VT REJETÉ – À REPRENDRE")),MAX(0,'PROGRAMME RT'!$C$4-U1706),"")</f>
        <v/>
      </c>
      <c r="AS1706" s="82" t="n">
        <f aca="false">IF(AND(OR(AQ1706="À RADIOGRAPHIER",AQ1706="RÉPARÉ – À RADIOGRAPHIER",AQ1706="NX – RT À REFAIRE"),OR('PROGRAMME RT'!$D$5="TOUTES",B1706='PROGRAMME RT'!$D$5)),1,0)</f>
        <v>0</v>
      </c>
      <c r="AT1706" s="82" t="str">
        <f aca="false">IF(AS1706=1,SUM(AS$7:AS1706),"")</f>
        <v/>
      </c>
      <c r="AU1706" s="82" t="n">
        <f aca="false">IF(AND(OR(AA1706="R",AA1706="NX",AA1706="NT",AA1706="CO"),OR('JOINTS DE RÉPARATION'!$D$5="TOUTES",B1706='JOINTS DE RÉPARATION'!$D$5),OR('JOINTS DE RÉPARATION'!$L$4="TOUS",AQ1706&lt;&gt;"ACCEPTÉ")),1,0)</f>
        <v>0</v>
      </c>
      <c r="AV1706" s="82" t="str">
        <f aca="false">IF(AU1706=1,SUM(AU$7:AU1706),"")</f>
        <v/>
      </c>
      <c r="AW1706" s="82" t="str">
        <f aca="false">IF(E1706="","",B1706&amp;"|"&amp;E1706)</f>
        <v>MFD-ISW → MFD-CPF|JN°1367</v>
      </c>
    </row>
    <row r="1707" customFormat="false" ht="74.6" hidden="false" customHeight="false" outlineLevel="0" collapsed="false">
      <c r="A1707" s="79" t="n">
        <f aca="false">IF(E1707="","",ROW()-6)</f>
        <v>1701</v>
      </c>
      <c r="B1707" s="80" t="s">
        <v>110</v>
      </c>
      <c r="C1707" s="81" t="s">
        <v>2036</v>
      </c>
      <c r="D1707" s="81" t="n">
        <v>15</v>
      </c>
      <c r="E1707" s="81" t="s">
        <v>2071</v>
      </c>
      <c r="F1707" s="82" t="str">
        <f aca="false">IF(E1707="","",IF(LEFT(E1707,2)="DJ","DJ","JN"))</f>
        <v>DJ</v>
      </c>
      <c r="G1707" s="81"/>
      <c r="H1707" s="81" t="s">
        <v>871</v>
      </c>
      <c r="I1707" s="81" t="n">
        <v>9.53</v>
      </c>
      <c r="J1707" s="81" t="s">
        <v>872</v>
      </c>
      <c r="K1707" s="81" t="s">
        <v>873</v>
      </c>
      <c r="L1707" s="81" t="n">
        <v>2078850</v>
      </c>
      <c r="M1707" s="81" t="n">
        <v>15421101</v>
      </c>
      <c r="N1707" s="81" t="n">
        <v>11.94</v>
      </c>
      <c r="O1707" s="81" t="n">
        <v>2094160</v>
      </c>
      <c r="P1707" s="81" t="n">
        <v>15421110</v>
      </c>
      <c r="Q1707" s="81" t="n">
        <v>11.94</v>
      </c>
      <c r="R1707" s="81" t="s">
        <v>1517</v>
      </c>
      <c r="S1707" s="81"/>
      <c r="T1707" s="81"/>
      <c r="U1707" s="83" t="n">
        <v>46262</v>
      </c>
      <c r="V1707" s="83" t="n">
        <v>46262</v>
      </c>
      <c r="W1707" s="81" t="s">
        <v>1930</v>
      </c>
      <c r="X1707" s="81" t="s">
        <v>876</v>
      </c>
      <c r="Y1707" s="83" t="n">
        <v>46264</v>
      </c>
      <c r="Z1707" s="81" t="s">
        <v>2031</v>
      </c>
      <c r="AA1707" s="81" t="s">
        <v>876</v>
      </c>
      <c r="AB1707" s="81"/>
      <c r="AC1707" s="81"/>
      <c r="AD1707" s="81"/>
      <c r="AE1707" s="83"/>
      <c r="AF1707" s="81"/>
      <c r="AG1707" s="81"/>
      <c r="AH1707" s="81"/>
      <c r="AI1707" s="81"/>
      <c r="AJ1707" s="83"/>
      <c r="AK1707" s="81"/>
      <c r="AL1707" s="81"/>
      <c r="AM1707" s="83"/>
      <c r="AN1707" s="80"/>
      <c r="AO1707" s="82" t="n">
        <f aca="false">IF(E1707="","",(AA1707&lt;&gt;"")+(AG1707&lt;&gt;"")+(AL1707&lt;&gt;""))</f>
        <v>1</v>
      </c>
      <c r="AP1707" s="82" t="str">
        <f aca="false">IF(AL1707&lt;&gt;"",AL1707,IF(AG1707&lt;&gt;"",AG1707,IF(AA1707&lt;&gt;"",AA1707,"")))</f>
        <v>A</v>
      </c>
      <c r="AQ1707" s="84" t="str">
        <f aca="false">IF(E1707="","",IF(U1707="","À SOUDER",IF(X1707="","VT EN ATTENTE",IF(X1707="R","VT REJETÉ – À REPRENDRE",IF(AP1707="","À RADIOGRAPHIER",IF(AP1707="A","ACCEPTÉ",IF(AP1707="NX","NX – RT À REFAIRE",IF(IF(AO1707=1,AD1707,IF(AO1707=2,AI1707,""))="A","RÉPARÉ – À RADIOGRAPHIER",IF(IF(AO1707=1,AD1707,IF(AO1707=2,AI1707,""))="R","VT REJETÉ – À REPRENDRE",IF(OR(AP1707="CO",AP1707="NT"),"COUPE – À RESOUDER","À RÉPARER"))))))))))</f>
        <v>ACCEPTÉ</v>
      </c>
      <c r="AR1707" s="82" t="str">
        <f aca="false">IF(AND(ISNUMBER(U1707),OR(AQ1707="À RADIOGRAPHIER",AQ1707="RÉPARÉ – À RADIOGRAPHIER",AQ1707="NX – RT À REFAIRE",AQ1707="À RÉPARER",AQ1707="COUPE – À RESOUDER",AQ1707="VT REJETÉ – À REPRENDRE")),MAX(0,'PROGRAMME RT'!$C$4-U1707),"")</f>
        <v/>
      </c>
      <c r="AS1707" s="82" t="n">
        <f aca="false">IF(AND(OR(AQ1707="À RADIOGRAPHIER",AQ1707="RÉPARÉ – À RADIOGRAPHIER",AQ1707="NX – RT À REFAIRE"),OR('PROGRAMME RT'!$D$5="TOUTES",B1707='PROGRAMME RT'!$D$5)),1,0)</f>
        <v>0</v>
      </c>
      <c r="AT1707" s="82" t="str">
        <f aca="false">IF(AS1707=1,SUM(AS$7:AS1707),"")</f>
        <v/>
      </c>
      <c r="AU1707" s="82" t="n">
        <f aca="false">IF(AND(OR(AA1707="R",AA1707="NX",AA1707="NT",AA1707="CO"),OR('JOINTS DE RÉPARATION'!$D$5="TOUTES",B1707='JOINTS DE RÉPARATION'!$D$5),OR('JOINTS DE RÉPARATION'!$L$4="TOUS",AQ1707&lt;&gt;"ACCEPTÉ")),1,0)</f>
        <v>0</v>
      </c>
      <c r="AV1707" s="82" t="str">
        <f aca="false">IF(AU1707=1,SUM(AU$7:AU1707),"")</f>
        <v/>
      </c>
      <c r="AW1707" s="82" t="str">
        <f aca="false">IF(E1707="","",B1707&amp;"|"&amp;E1707)</f>
        <v>MFD-ISW → MFD-CPF|DJ°184</v>
      </c>
    </row>
    <row r="1708" customFormat="false" ht="74.6" hidden="false" customHeight="false" outlineLevel="0" collapsed="false">
      <c r="A1708" s="79" t="n">
        <f aca="false">IF(E1708="","",ROW()-6)</f>
        <v>1702</v>
      </c>
      <c r="B1708" s="80" t="s">
        <v>110</v>
      </c>
      <c r="C1708" s="81" t="s">
        <v>2036</v>
      </c>
      <c r="D1708" s="81" t="n">
        <v>15</v>
      </c>
      <c r="E1708" s="81" t="s">
        <v>2072</v>
      </c>
      <c r="F1708" s="82" t="str">
        <f aca="false">IF(E1708="","",IF(LEFT(E1708,2)="DJ","DJ","JN"))</f>
        <v>JN</v>
      </c>
      <c r="G1708" s="81" t="s">
        <v>1504</v>
      </c>
      <c r="H1708" s="81" t="s">
        <v>871</v>
      </c>
      <c r="I1708" s="81" t="n">
        <v>9.53</v>
      </c>
      <c r="J1708" s="81" t="s">
        <v>872</v>
      </c>
      <c r="K1708" s="81" t="s">
        <v>879</v>
      </c>
      <c r="L1708" s="81" t="n">
        <v>2094160</v>
      </c>
      <c r="M1708" s="81" t="n">
        <v>15421110</v>
      </c>
      <c r="N1708" s="81" t="n">
        <v>11.94</v>
      </c>
      <c r="O1708" s="81" t="n">
        <v>2090460</v>
      </c>
      <c r="P1708" s="81" t="n">
        <v>15421109</v>
      </c>
      <c r="Q1708" s="81" t="n">
        <v>11.94</v>
      </c>
      <c r="R1708" s="81" t="s">
        <v>2039</v>
      </c>
      <c r="S1708" s="81"/>
      <c r="T1708" s="81"/>
      <c r="U1708" s="83" t="n">
        <v>46273</v>
      </c>
      <c r="V1708" s="83" t="n">
        <v>46273</v>
      </c>
      <c r="W1708" s="81" t="s">
        <v>2040</v>
      </c>
      <c r="X1708" s="81" t="s">
        <v>876</v>
      </c>
      <c r="Y1708" s="83" t="n">
        <v>46289</v>
      </c>
      <c r="Z1708" s="81" t="s">
        <v>2041</v>
      </c>
      <c r="AA1708" s="81" t="s">
        <v>876</v>
      </c>
      <c r="AB1708" s="81"/>
      <c r="AC1708" s="81"/>
      <c r="AD1708" s="81"/>
      <c r="AE1708" s="83"/>
      <c r="AF1708" s="81"/>
      <c r="AG1708" s="81"/>
      <c r="AH1708" s="81"/>
      <c r="AI1708" s="81"/>
      <c r="AJ1708" s="83"/>
      <c r="AK1708" s="81"/>
      <c r="AL1708" s="81"/>
      <c r="AM1708" s="83"/>
      <c r="AN1708" s="80"/>
      <c r="AO1708" s="82" t="n">
        <f aca="false">IF(E1708="","",(AA1708&lt;&gt;"")+(AG1708&lt;&gt;"")+(AL1708&lt;&gt;""))</f>
        <v>1</v>
      </c>
      <c r="AP1708" s="82" t="str">
        <f aca="false">IF(AL1708&lt;&gt;"",AL1708,IF(AG1708&lt;&gt;"",AG1708,IF(AA1708&lt;&gt;"",AA1708,"")))</f>
        <v>A</v>
      </c>
      <c r="AQ1708" s="84" t="str">
        <f aca="false">IF(E1708="","",IF(U1708="","À SOUDER",IF(X1708="","VT EN ATTENTE",IF(X1708="R","VT REJETÉ – À REPRENDRE",IF(AP1708="","À RADIOGRAPHIER",IF(AP1708="A","ACCEPTÉ",IF(AP1708="NX","NX – RT À REFAIRE",IF(IF(AO1708=1,AD1708,IF(AO1708=2,AI1708,""))="A","RÉPARÉ – À RADIOGRAPHIER",IF(IF(AO1708=1,AD1708,IF(AO1708=2,AI1708,""))="R","VT REJETÉ – À REPRENDRE",IF(OR(AP1708="CO",AP1708="NT"),"COUPE – À RESOUDER","À RÉPARER"))))))))))</f>
        <v>ACCEPTÉ</v>
      </c>
      <c r="AR1708" s="82" t="str">
        <f aca="false">IF(AND(ISNUMBER(U1708),OR(AQ1708="À RADIOGRAPHIER",AQ1708="RÉPARÉ – À RADIOGRAPHIER",AQ1708="NX – RT À REFAIRE",AQ1708="À RÉPARER",AQ1708="COUPE – À RESOUDER",AQ1708="VT REJETÉ – À REPRENDRE")),MAX(0,'PROGRAMME RT'!$C$4-U1708),"")</f>
        <v/>
      </c>
      <c r="AS1708" s="82" t="n">
        <f aca="false">IF(AND(OR(AQ1708="À RADIOGRAPHIER",AQ1708="RÉPARÉ – À RADIOGRAPHIER",AQ1708="NX – RT À REFAIRE"),OR('PROGRAMME RT'!$D$5="TOUTES",B1708='PROGRAMME RT'!$D$5)),1,0)</f>
        <v>0</v>
      </c>
      <c r="AT1708" s="82" t="str">
        <f aca="false">IF(AS1708=1,SUM(AS$7:AS1708),"")</f>
        <v/>
      </c>
      <c r="AU1708" s="82" t="n">
        <f aca="false">IF(AND(OR(AA1708="R",AA1708="NX",AA1708="NT",AA1708="CO"),OR('JOINTS DE RÉPARATION'!$D$5="TOUTES",B1708='JOINTS DE RÉPARATION'!$D$5),OR('JOINTS DE RÉPARATION'!$L$4="TOUS",AQ1708&lt;&gt;"ACCEPTÉ")),1,0)</f>
        <v>0</v>
      </c>
      <c r="AV1708" s="82" t="str">
        <f aca="false">IF(AU1708=1,SUM(AU$7:AU1708),"")</f>
        <v/>
      </c>
      <c r="AW1708" s="82" t="str">
        <f aca="false">IF(E1708="","",B1708&amp;"|"&amp;E1708)</f>
        <v>MFD-ISW → MFD-CPF|JN°1368</v>
      </c>
    </row>
    <row r="1709" customFormat="false" ht="74.6" hidden="false" customHeight="false" outlineLevel="0" collapsed="false">
      <c r="A1709" s="79" t="n">
        <f aca="false">IF(E1709="","",ROW()-6)</f>
        <v>1703</v>
      </c>
      <c r="B1709" s="80" t="s">
        <v>110</v>
      </c>
      <c r="C1709" s="81" t="s">
        <v>2036</v>
      </c>
      <c r="D1709" s="81" t="n">
        <v>15</v>
      </c>
      <c r="E1709" s="81" t="s">
        <v>2073</v>
      </c>
      <c r="F1709" s="82" t="str">
        <f aca="false">IF(E1709="","",IF(LEFT(E1709,2)="DJ","DJ","JN"))</f>
        <v>DJ</v>
      </c>
      <c r="G1709" s="81"/>
      <c r="H1709" s="81" t="s">
        <v>871</v>
      </c>
      <c r="I1709" s="81" t="n">
        <v>9.53</v>
      </c>
      <c r="J1709" s="81" t="s">
        <v>872</v>
      </c>
      <c r="K1709" s="81" t="s">
        <v>873</v>
      </c>
      <c r="L1709" s="81" t="n">
        <v>2090460</v>
      </c>
      <c r="M1709" s="81" t="n">
        <v>15421109</v>
      </c>
      <c r="N1709" s="81" t="n">
        <v>11.94</v>
      </c>
      <c r="O1709" s="81" t="n">
        <v>2089320</v>
      </c>
      <c r="P1709" s="81" t="n">
        <v>15421108</v>
      </c>
      <c r="Q1709" s="81" t="n">
        <v>11.94</v>
      </c>
      <c r="R1709" s="81" t="s">
        <v>1147</v>
      </c>
      <c r="S1709" s="81"/>
      <c r="T1709" s="81"/>
      <c r="U1709" s="83" t="n">
        <v>46261</v>
      </c>
      <c r="V1709" s="83" t="n">
        <v>46261</v>
      </c>
      <c r="W1709" s="81" t="s">
        <v>1952</v>
      </c>
      <c r="X1709" s="81" t="s">
        <v>876</v>
      </c>
      <c r="Y1709" s="83" t="n">
        <v>46264</v>
      </c>
      <c r="Z1709" s="81" t="s">
        <v>2031</v>
      </c>
      <c r="AA1709" s="81" t="s">
        <v>876</v>
      </c>
      <c r="AB1709" s="81"/>
      <c r="AC1709" s="81"/>
      <c r="AD1709" s="81"/>
      <c r="AE1709" s="83"/>
      <c r="AF1709" s="81"/>
      <c r="AG1709" s="81"/>
      <c r="AH1709" s="81"/>
      <c r="AI1709" s="81"/>
      <c r="AJ1709" s="83"/>
      <c r="AK1709" s="81"/>
      <c r="AL1709" s="81"/>
      <c r="AM1709" s="83"/>
      <c r="AN1709" s="80"/>
      <c r="AO1709" s="82" t="n">
        <f aca="false">IF(E1709="","",(AA1709&lt;&gt;"")+(AG1709&lt;&gt;"")+(AL1709&lt;&gt;""))</f>
        <v>1</v>
      </c>
      <c r="AP1709" s="82" t="str">
        <f aca="false">IF(AL1709&lt;&gt;"",AL1709,IF(AG1709&lt;&gt;"",AG1709,IF(AA1709&lt;&gt;"",AA1709,"")))</f>
        <v>A</v>
      </c>
      <c r="AQ1709" s="84" t="str">
        <f aca="false">IF(E1709="","",IF(U1709="","À SOUDER",IF(X1709="","VT EN ATTENTE",IF(X1709="R","VT REJETÉ – À REPRENDRE",IF(AP1709="","À RADIOGRAPHIER",IF(AP1709="A","ACCEPTÉ",IF(AP1709="NX","NX – RT À REFAIRE",IF(IF(AO1709=1,AD1709,IF(AO1709=2,AI1709,""))="A","RÉPARÉ – À RADIOGRAPHIER",IF(IF(AO1709=1,AD1709,IF(AO1709=2,AI1709,""))="R","VT REJETÉ – À REPRENDRE",IF(OR(AP1709="CO",AP1709="NT"),"COUPE – À RESOUDER","À RÉPARER"))))))))))</f>
        <v>ACCEPTÉ</v>
      </c>
      <c r="AR1709" s="82" t="str">
        <f aca="false">IF(AND(ISNUMBER(U1709),OR(AQ1709="À RADIOGRAPHIER",AQ1709="RÉPARÉ – À RADIOGRAPHIER",AQ1709="NX – RT À REFAIRE",AQ1709="À RÉPARER",AQ1709="COUPE – À RESOUDER",AQ1709="VT REJETÉ – À REPRENDRE")),MAX(0,'PROGRAMME RT'!$C$4-U1709),"")</f>
        <v/>
      </c>
      <c r="AS1709" s="82" t="n">
        <f aca="false">IF(AND(OR(AQ1709="À RADIOGRAPHIER",AQ1709="RÉPARÉ – À RADIOGRAPHIER",AQ1709="NX – RT À REFAIRE"),OR('PROGRAMME RT'!$D$5="TOUTES",B1709='PROGRAMME RT'!$D$5)),1,0)</f>
        <v>0</v>
      </c>
      <c r="AT1709" s="82" t="str">
        <f aca="false">IF(AS1709=1,SUM(AS$7:AS1709),"")</f>
        <v/>
      </c>
      <c r="AU1709" s="82" t="n">
        <f aca="false">IF(AND(OR(AA1709="R",AA1709="NX",AA1709="NT",AA1709="CO"),OR('JOINTS DE RÉPARATION'!$D$5="TOUTES",B1709='JOINTS DE RÉPARATION'!$D$5),OR('JOINTS DE RÉPARATION'!$L$4="TOUS",AQ1709&lt;&gt;"ACCEPTÉ")),1,0)</f>
        <v>0</v>
      </c>
      <c r="AV1709" s="82" t="str">
        <f aca="false">IF(AU1709=1,SUM(AU$7:AU1709),"")</f>
        <v/>
      </c>
      <c r="AW1709" s="82" t="str">
        <f aca="false">IF(E1709="","",B1709&amp;"|"&amp;E1709)</f>
        <v>MFD-ISW → MFD-CPF|DJ°170</v>
      </c>
    </row>
    <row r="1710" customFormat="false" ht="74.6" hidden="false" customHeight="false" outlineLevel="0" collapsed="false">
      <c r="A1710" s="79" t="n">
        <f aca="false">IF(E1710="","",ROW()-6)</f>
        <v>1704</v>
      </c>
      <c r="B1710" s="80" t="s">
        <v>110</v>
      </c>
      <c r="C1710" s="81" t="s">
        <v>2036</v>
      </c>
      <c r="D1710" s="81" t="n">
        <v>15</v>
      </c>
      <c r="E1710" s="81" t="s">
        <v>2074</v>
      </c>
      <c r="F1710" s="82" t="str">
        <f aca="false">IF(E1710="","",IF(LEFT(E1710,2)="DJ","DJ","JN"))</f>
        <v>JN</v>
      </c>
      <c r="G1710" s="81" t="s">
        <v>1504</v>
      </c>
      <c r="H1710" s="81" t="s">
        <v>871</v>
      </c>
      <c r="I1710" s="81" t="n">
        <v>9.53</v>
      </c>
      <c r="J1710" s="81" t="s">
        <v>872</v>
      </c>
      <c r="K1710" s="81" t="s">
        <v>879</v>
      </c>
      <c r="L1710" s="81" t="n">
        <v>2089320</v>
      </c>
      <c r="M1710" s="81" t="n">
        <v>15421108</v>
      </c>
      <c r="N1710" s="81" t="n">
        <v>11.94</v>
      </c>
      <c r="O1710" s="81" t="n">
        <v>2081370</v>
      </c>
      <c r="P1710" s="81" t="n">
        <v>15421103</v>
      </c>
      <c r="Q1710" s="81" t="n">
        <v>11.94</v>
      </c>
      <c r="R1710" s="81" t="s">
        <v>2039</v>
      </c>
      <c r="S1710" s="81"/>
      <c r="T1710" s="81"/>
      <c r="U1710" s="83" t="n">
        <v>46273</v>
      </c>
      <c r="V1710" s="83" t="n">
        <v>46273</v>
      </c>
      <c r="W1710" s="81" t="s">
        <v>2040</v>
      </c>
      <c r="X1710" s="81" t="s">
        <v>876</v>
      </c>
      <c r="Y1710" s="83" t="n">
        <v>46289</v>
      </c>
      <c r="Z1710" s="81" t="s">
        <v>2041</v>
      </c>
      <c r="AA1710" s="81" t="s">
        <v>876</v>
      </c>
      <c r="AB1710" s="81"/>
      <c r="AC1710" s="81"/>
      <c r="AD1710" s="81"/>
      <c r="AE1710" s="83"/>
      <c r="AF1710" s="81"/>
      <c r="AG1710" s="81"/>
      <c r="AH1710" s="81"/>
      <c r="AI1710" s="81"/>
      <c r="AJ1710" s="83"/>
      <c r="AK1710" s="81"/>
      <c r="AL1710" s="81"/>
      <c r="AM1710" s="83"/>
      <c r="AN1710" s="80"/>
      <c r="AO1710" s="82" t="n">
        <f aca="false">IF(E1710="","",(AA1710&lt;&gt;"")+(AG1710&lt;&gt;"")+(AL1710&lt;&gt;""))</f>
        <v>1</v>
      </c>
      <c r="AP1710" s="82" t="str">
        <f aca="false">IF(AL1710&lt;&gt;"",AL1710,IF(AG1710&lt;&gt;"",AG1710,IF(AA1710&lt;&gt;"",AA1710,"")))</f>
        <v>A</v>
      </c>
      <c r="AQ1710" s="84" t="str">
        <f aca="false">IF(E1710="","",IF(U1710="","À SOUDER",IF(X1710="","VT EN ATTENTE",IF(X1710="R","VT REJETÉ – À REPRENDRE",IF(AP1710="","À RADIOGRAPHIER",IF(AP1710="A","ACCEPTÉ",IF(AP1710="NX","NX – RT À REFAIRE",IF(IF(AO1710=1,AD1710,IF(AO1710=2,AI1710,""))="A","RÉPARÉ – À RADIOGRAPHIER",IF(IF(AO1710=1,AD1710,IF(AO1710=2,AI1710,""))="R","VT REJETÉ – À REPRENDRE",IF(OR(AP1710="CO",AP1710="NT"),"COUPE – À RESOUDER","À RÉPARER"))))))))))</f>
        <v>ACCEPTÉ</v>
      </c>
      <c r="AR1710" s="82" t="str">
        <f aca="false">IF(AND(ISNUMBER(U1710),OR(AQ1710="À RADIOGRAPHIER",AQ1710="RÉPARÉ – À RADIOGRAPHIER",AQ1710="NX – RT À REFAIRE",AQ1710="À RÉPARER",AQ1710="COUPE – À RESOUDER",AQ1710="VT REJETÉ – À REPRENDRE")),MAX(0,'PROGRAMME RT'!$C$4-U1710),"")</f>
        <v/>
      </c>
      <c r="AS1710" s="82" t="n">
        <f aca="false">IF(AND(OR(AQ1710="À RADIOGRAPHIER",AQ1710="RÉPARÉ – À RADIOGRAPHIER",AQ1710="NX – RT À REFAIRE"),OR('PROGRAMME RT'!$D$5="TOUTES",B1710='PROGRAMME RT'!$D$5)),1,0)</f>
        <v>0</v>
      </c>
      <c r="AT1710" s="82" t="str">
        <f aca="false">IF(AS1710=1,SUM(AS$7:AS1710),"")</f>
        <v/>
      </c>
      <c r="AU1710" s="82" t="n">
        <f aca="false">IF(AND(OR(AA1710="R",AA1710="NX",AA1710="NT",AA1710="CO"),OR('JOINTS DE RÉPARATION'!$D$5="TOUTES",B1710='JOINTS DE RÉPARATION'!$D$5),OR('JOINTS DE RÉPARATION'!$L$4="TOUS",AQ1710&lt;&gt;"ACCEPTÉ")),1,0)</f>
        <v>0</v>
      </c>
      <c r="AV1710" s="82" t="str">
        <f aca="false">IF(AU1710=1,SUM(AU$7:AU1710),"")</f>
        <v/>
      </c>
      <c r="AW1710" s="82" t="str">
        <f aca="false">IF(E1710="","",B1710&amp;"|"&amp;E1710)</f>
        <v>MFD-ISW → MFD-CPF|JN°1369</v>
      </c>
    </row>
    <row r="1711" customFormat="false" ht="74.6" hidden="false" customHeight="false" outlineLevel="0" collapsed="false">
      <c r="A1711" s="79" t="n">
        <f aca="false">IF(E1711="","",ROW()-6)</f>
        <v>1705</v>
      </c>
      <c r="B1711" s="80" t="s">
        <v>110</v>
      </c>
      <c r="C1711" s="81" t="s">
        <v>2036</v>
      </c>
      <c r="D1711" s="81" t="n">
        <v>15</v>
      </c>
      <c r="E1711" s="81" t="s">
        <v>2075</v>
      </c>
      <c r="F1711" s="82" t="str">
        <f aca="false">IF(E1711="","",IF(LEFT(E1711,2)="DJ","DJ","JN"))</f>
        <v>DJ</v>
      </c>
      <c r="G1711" s="81"/>
      <c r="H1711" s="81" t="s">
        <v>871</v>
      </c>
      <c r="I1711" s="81" t="n">
        <v>9.53</v>
      </c>
      <c r="J1711" s="81" t="s">
        <v>872</v>
      </c>
      <c r="K1711" s="81" t="s">
        <v>873</v>
      </c>
      <c r="L1711" s="81" t="n">
        <v>2081370</v>
      </c>
      <c r="M1711" s="81" t="n">
        <v>15421103</v>
      </c>
      <c r="N1711" s="81" t="n">
        <v>11.94</v>
      </c>
      <c r="O1711" s="81" t="n">
        <v>2091120</v>
      </c>
      <c r="P1711" s="81" t="n">
        <v>15421109</v>
      </c>
      <c r="Q1711" s="81" t="n">
        <v>11.94</v>
      </c>
      <c r="R1711" s="81" t="s">
        <v>1135</v>
      </c>
      <c r="S1711" s="81"/>
      <c r="T1711" s="81"/>
      <c r="U1711" s="83" t="n">
        <v>46261</v>
      </c>
      <c r="V1711" s="83" t="n">
        <v>46261</v>
      </c>
      <c r="W1711" s="81" t="s">
        <v>1952</v>
      </c>
      <c r="X1711" s="81" t="s">
        <v>876</v>
      </c>
      <c r="Y1711" s="83" t="n">
        <v>46264</v>
      </c>
      <c r="Z1711" s="81" t="s">
        <v>2031</v>
      </c>
      <c r="AA1711" s="81" t="s">
        <v>876</v>
      </c>
      <c r="AB1711" s="81"/>
      <c r="AC1711" s="81"/>
      <c r="AD1711" s="81"/>
      <c r="AE1711" s="83"/>
      <c r="AF1711" s="81"/>
      <c r="AG1711" s="81"/>
      <c r="AH1711" s="81"/>
      <c r="AI1711" s="81"/>
      <c r="AJ1711" s="83"/>
      <c r="AK1711" s="81"/>
      <c r="AL1711" s="81"/>
      <c r="AM1711" s="83"/>
      <c r="AN1711" s="80"/>
      <c r="AO1711" s="82" t="n">
        <f aca="false">IF(E1711="","",(AA1711&lt;&gt;"")+(AG1711&lt;&gt;"")+(AL1711&lt;&gt;""))</f>
        <v>1</v>
      </c>
      <c r="AP1711" s="82" t="str">
        <f aca="false">IF(AL1711&lt;&gt;"",AL1711,IF(AG1711&lt;&gt;"",AG1711,IF(AA1711&lt;&gt;"",AA1711,"")))</f>
        <v>A</v>
      </c>
      <c r="AQ1711" s="84" t="str">
        <f aca="false">IF(E1711="","",IF(U1711="","À SOUDER",IF(X1711="","VT EN ATTENTE",IF(X1711="R","VT REJETÉ – À REPRENDRE",IF(AP1711="","À RADIOGRAPHIER",IF(AP1711="A","ACCEPTÉ",IF(AP1711="NX","NX – RT À REFAIRE",IF(IF(AO1711=1,AD1711,IF(AO1711=2,AI1711,""))="A","RÉPARÉ – À RADIOGRAPHIER",IF(IF(AO1711=1,AD1711,IF(AO1711=2,AI1711,""))="R","VT REJETÉ – À REPRENDRE",IF(OR(AP1711="CO",AP1711="NT"),"COUPE – À RESOUDER","À RÉPARER"))))))))))</f>
        <v>ACCEPTÉ</v>
      </c>
      <c r="AR1711" s="82" t="str">
        <f aca="false">IF(AND(ISNUMBER(U1711),OR(AQ1711="À RADIOGRAPHIER",AQ1711="RÉPARÉ – À RADIOGRAPHIER",AQ1711="NX – RT À REFAIRE",AQ1711="À RÉPARER",AQ1711="COUPE – À RESOUDER",AQ1711="VT REJETÉ – À REPRENDRE")),MAX(0,'PROGRAMME RT'!$C$4-U1711),"")</f>
        <v/>
      </c>
      <c r="AS1711" s="82" t="n">
        <f aca="false">IF(AND(OR(AQ1711="À RADIOGRAPHIER",AQ1711="RÉPARÉ – À RADIOGRAPHIER",AQ1711="NX – RT À REFAIRE"),OR('PROGRAMME RT'!$D$5="TOUTES",B1711='PROGRAMME RT'!$D$5)),1,0)</f>
        <v>0</v>
      </c>
      <c r="AT1711" s="82" t="str">
        <f aca="false">IF(AS1711=1,SUM(AS$7:AS1711),"")</f>
        <v/>
      </c>
      <c r="AU1711" s="82" t="n">
        <f aca="false">IF(AND(OR(AA1711="R",AA1711="NX",AA1711="NT",AA1711="CO"),OR('JOINTS DE RÉPARATION'!$D$5="TOUTES",B1711='JOINTS DE RÉPARATION'!$D$5),OR('JOINTS DE RÉPARATION'!$L$4="TOUS",AQ1711&lt;&gt;"ACCEPTÉ")),1,0)</f>
        <v>0</v>
      </c>
      <c r="AV1711" s="82" t="str">
        <f aca="false">IF(AU1711=1,SUM(AU$7:AU1711),"")</f>
        <v/>
      </c>
      <c r="AW1711" s="82" t="str">
        <f aca="false">IF(E1711="","",B1711&amp;"|"&amp;E1711)</f>
        <v>MFD-ISW → MFD-CPF|DJ°167</v>
      </c>
    </row>
    <row r="1712" customFormat="false" ht="74.6" hidden="false" customHeight="false" outlineLevel="0" collapsed="false">
      <c r="A1712" s="79" t="n">
        <f aca="false">IF(E1712="","",ROW()-6)</f>
        <v>1706</v>
      </c>
      <c r="B1712" s="80" t="s">
        <v>110</v>
      </c>
      <c r="C1712" s="81" t="s">
        <v>2036</v>
      </c>
      <c r="D1712" s="81" t="n">
        <v>15</v>
      </c>
      <c r="E1712" s="81" t="s">
        <v>2076</v>
      </c>
      <c r="F1712" s="82" t="str">
        <f aca="false">IF(E1712="","",IF(LEFT(E1712,2)="DJ","DJ","JN"))</f>
        <v>JN</v>
      </c>
      <c r="G1712" s="81" t="s">
        <v>1504</v>
      </c>
      <c r="H1712" s="81" t="s">
        <v>871</v>
      </c>
      <c r="I1712" s="81" t="n">
        <v>9.53</v>
      </c>
      <c r="J1712" s="81" t="s">
        <v>872</v>
      </c>
      <c r="K1712" s="81" t="s">
        <v>879</v>
      </c>
      <c r="L1712" s="81" t="n">
        <v>2091120</v>
      </c>
      <c r="M1712" s="81" t="n">
        <v>15421109</v>
      </c>
      <c r="N1712" s="81" t="n">
        <v>11.94</v>
      </c>
      <c r="O1712" s="81" t="n">
        <v>2088620</v>
      </c>
      <c r="P1712" s="81" t="n">
        <v>15421108</v>
      </c>
      <c r="Q1712" s="81" t="n">
        <v>11.94</v>
      </c>
      <c r="R1712" s="81" t="s">
        <v>2039</v>
      </c>
      <c r="S1712" s="81"/>
      <c r="T1712" s="81"/>
      <c r="U1712" s="83" t="n">
        <v>46273</v>
      </c>
      <c r="V1712" s="83" t="n">
        <v>46273</v>
      </c>
      <c r="W1712" s="81" t="s">
        <v>2040</v>
      </c>
      <c r="X1712" s="81" t="s">
        <v>876</v>
      </c>
      <c r="Y1712" s="83" t="n">
        <v>46289</v>
      </c>
      <c r="Z1712" s="81" t="s">
        <v>2077</v>
      </c>
      <c r="AA1712" s="81" t="s">
        <v>876</v>
      </c>
      <c r="AB1712" s="81"/>
      <c r="AC1712" s="81"/>
      <c r="AD1712" s="81"/>
      <c r="AE1712" s="83"/>
      <c r="AF1712" s="81"/>
      <c r="AG1712" s="81"/>
      <c r="AH1712" s="81"/>
      <c r="AI1712" s="81"/>
      <c r="AJ1712" s="83"/>
      <c r="AK1712" s="81"/>
      <c r="AL1712" s="81"/>
      <c r="AM1712" s="83"/>
      <c r="AN1712" s="80"/>
      <c r="AO1712" s="82" t="n">
        <f aca="false">IF(E1712="","",(AA1712&lt;&gt;"")+(AG1712&lt;&gt;"")+(AL1712&lt;&gt;""))</f>
        <v>1</v>
      </c>
      <c r="AP1712" s="82" t="str">
        <f aca="false">IF(AL1712&lt;&gt;"",AL1712,IF(AG1712&lt;&gt;"",AG1712,IF(AA1712&lt;&gt;"",AA1712,"")))</f>
        <v>A</v>
      </c>
      <c r="AQ1712" s="84" t="str">
        <f aca="false">IF(E1712="","",IF(U1712="","À SOUDER",IF(X1712="","VT EN ATTENTE",IF(X1712="R","VT REJETÉ – À REPRENDRE",IF(AP1712="","À RADIOGRAPHIER",IF(AP1712="A","ACCEPTÉ",IF(AP1712="NX","NX – RT À REFAIRE",IF(IF(AO1712=1,AD1712,IF(AO1712=2,AI1712,""))="A","RÉPARÉ – À RADIOGRAPHIER",IF(IF(AO1712=1,AD1712,IF(AO1712=2,AI1712,""))="R","VT REJETÉ – À REPRENDRE",IF(OR(AP1712="CO",AP1712="NT"),"COUPE – À RESOUDER","À RÉPARER"))))))))))</f>
        <v>ACCEPTÉ</v>
      </c>
      <c r="AR1712" s="82" t="str">
        <f aca="false">IF(AND(ISNUMBER(U1712),OR(AQ1712="À RADIOGRAPHIER",AQ1712="RÉPARÉ – À RADIOGRAPHIER",AQ1712="NX – RT À REFAIRE",AQ1712="À RÉPARER",AQ1712="COUPE – À RESOUDER",AQ1712="VT REJETÉ – À REPRENDRE")),MAX(0,'PROGRAMME RT'!$C$4-U1712),"")</f>
        <v/>
      </c>
      <c r="AS1712" s="82" t="n">
        <f aca="false">IF(AND(OR(AQ1712="À RADIOGRAPHIER",AQ1712="RÉPARÉ – À RADIOGRAPHIER",AQ1712="NX – RT À REFAIRE"),OR('PROGRAMME RT'!$D$5="TOUTES",B1712='PROGRAMME RT'!$D$5)),1,0)</f>
        <v>0</v>
      </c>
      <c r="AT1712" s="82" t="str">
        <f aca="false">IF(AS1712=1,SUM(AS$7:AS1712),"")</f>
        <v/>
      </c>
      <c r="AU1712" s="82" t="n">
        <f aca="false">IF(AND(OR(AA1712="R",AA1712="NX",AA1712="NT",AA1712="CO"),OR('JOINTS DE RÉPARATION'!$D$5="TOUTES",B1712='JOINTS DE RÉPARATION'!$D$5),OR('JOINTS DE RÉPARATION'!$L$4="TOUS",AQ1712&lt;&gt;"ACCEPTÉ")),1,0)</f>
        <v>0</v>
      </c>
      <c r="AV1712" s="82" t="str">
        <f aca="false">IF(AU1712=1,SUM(AU$7:AU1712),"")</f>
        <v/>
      </c>
      <c r="AW1712" s="82" t="str">
        <f aca="false">IF(E1712="","",B1712&amp;"|"&amp;E1712)</f>
        <v>MFD-ISW → MFD-CPF|JN°1370</v>
      </c>
    </row>
    <row r="1713" customFormat="false" ht="74.6" hidden="false" customHeight="false" outlineLevel="0" collapsed="false">
      <c r="A1713" s="79" t="n">
        <f aca="false">IF(E1713="","",ROW()-6)</f>
        <v>1707</v>
      </c>
      <c r="B1713" s="80" t="s">
        <v>110</v>
      </c>
      <c r="C1713" s="81" t="s">
        <v>2036</v>
      </c>
      <c r="D1713" s="81" t="n">
        <v>15</v>
      </c>
      <c r="E1713" s="81" t="s">
        <v>2078</v>
      </c>
      <c r="F1713" s="82" t="str">
        <f aca="false">IF(E1713="","",IF(LEFT(E1713,2)="DJ","DJ","JN"))</f>
        <v>DJ</v>
      </c>
      <c r="G1713" s="81"/>
      <c r="H1713" s="81" t="s">
        <v>871</v>
      </c>
      <c r="I1713" s="81" t="n">
        <v>9.53</v>
      </c>
      <c r="J1713" s="81" t="s">
        <v>872</v>
      </c>
      <c r="K1713" s="81" t="s">
        <v>873</v>
      </c>
      <c r="L1713" s="81" t="n">
        <v>2088620</v>
      </c>
      <c r="M1713" s="81" t="n">
        <v>15421108</v>
      </c>
      <c r="N1713" s="81" t="n">
        <v>11.94</v>
      </c>
      <c r="O1713" s="81" t="n">
        <v>2083340</v>
      </c>
      <c r="P1713" s="81" t="n">
        <v>15421105</v>
      </c>
      <c r="Q1713" s="81" t="n">
        <v>11.94</v>
      </c>
      <c r="R1713" s="81" t="s">
        <v>1147</v>
      </c>
      <c r="S1713" s="81"/>
      <c r="T1713" s="81"/>
      <c r="U1713" s="83" t="n">
        <v>46261</v>
      </c>
      <c r="V1713" s="83" t="n">
        <v>46261</v>
      </c>
      <c r="W1713" s="81" t="s">
        <v>1952</v>
      </c>
      <c r="X1713" s="81" t="s">
        <v>876</v>
      </c>
      <c r="Y1713" s="83" t="n">
        <v>46264</v>
      </c>
      <c r="Z1713" s="81" t="s">
        <v>2031</v>
      </c>
      <c r="AA1713" s="81" t="s">
        <v>876</v>
      </c>
      <c r="AB1713" s="81"/>
      <c r="AC1713" s="81"/>
      <c r="AD1713" s="81"/>
      <c r="AE1713" s="83"/>
      <c r="AF1713" s="81"/>
      <c r="AG1713" s="81"/>
      <c r="AH1713" s="81"/>
      <c r="AI1713" s="81"/>
      <c r="AJ1713" s="83"/>
      <c r="AK1713" s="81"/>
      <c r="AL1713" s="81"/>
      <c r="AM1713" s="83"/>
      <c r="AN1713" s="80"/>
      <c r="AO1713" s="82" t="n">
        <f aca="false">IF(E1713="","",(AA1713&lt;&gt;"")+(AG1713&lt;&gt;"")+(AL1713&lt;&gt;""))</f>
        <v>1</v>
      </c>
      <c r="AP1713" s="82" t="str">
        <f aca="false">IF(AL1713&lt;&gt;"",AL1713,IF(AG1713&lt;&gt;"",AG1713,IF(AA1713&lt;&gt;"",AA1713,"")))</f>
        <v>A</v>
      </c>
      <c r="AQ1713" s="84" t="str">
        <f aca="false">IF(E1713="","",IF(U1713="","À SOUDER",IF(X1713="","VT EN ATTENTE",IF(X1713="R","VT REJETÉ – À REPRENDRE",IF(AP1713="","À RADIOGRAPHIER",IF(AP1713="A","ACCEPTÉ",IF(AP1713="NX","NX – RT À REFAIRE",IF(IF(AO1713=1,AD1713,IF(AO1713=2,AI1713,""))="A","RÉPARÉ – À RADIOGRAPHIER",IF(IF(AO1713=1,AD1713,IF(AO1713=2,AI1713,""))="R","VT REJETÉ – À REPRENDRE",IF(OR(AP1713="CO",AP1713="NT"),"COUPE – À RESOUDER","À RÉPARER"))))))))))</f>
        <v>ACCEPTÉ</v>
      </c>
      <c r="AR1713" s="82" t="str">
        <f aca="false">IF(AND(ISNUMBER(U1713),OR(AQ1713="À RADIOGRAPHIER",AQ1713="RÉPARÉ – À RADIOGRAPHIER",AQ1713="NX – RT À REFAIRE",AQ1713="À RÉPARER",AQ1713="COUPE – À RESOUDER",AQ1713="VT REJETÉ – À REPRENDRE")),MAX(0,'PROGRAMME RT'!$C$4-U1713),"")</f>
        <v/>
      </c>
      <c r="AS1713" s="82" t="n">
        <f aca="false">IF(AND(OR(AQ1713="À RADIOGRAPHIER",AQ1713="RÉPARÉ – À RADIOGRAPHIER",AQ1713="NX – RT À REFAIRE"),OR('PROGRAMME RT'!$D$5="TOUTES",B1713='PROGRAMME RT'!$D$5)),1,0)</f>
        <v>0</v>
      </c>
      <c r="AT1713" s="82" t="str">
        <f aca="false">IF(AS1713=1,SUM(AS$7:AS1713),"")</f>
        <v/>
      </c>
      <c r="AU1713" s="82" t="n">
        <f aca="false">IF(AND(OR(AA1713="R",AA1713="NX",AA1713="NT",AA1713="CO"),OR('JOINTS DE RÉPARATION'!$D$5="TOUTES",B1713='JOINTS DE RÉPARATION'!$D$5),OR('JOINTS DE RÉPARATION'!$L$4="TOUS",AQ1713&lt;&gt;"ACCEPTÉ")),1,0)</f>
        <v>0</v>
      </c>
      <c r="AV1713" s="82" t="str">
        <f aca="false">IF(AU1713=1,SUM(AU$7:AU1713),"")</f>
        <v/>
      </c>
      <c r="AW1713" s="82" t="str">
        <f aca="false">IF(E1713="","",B1713&amp;"|"&amp;E1713)</f>
        <v>MFD-ISW → MFD-CPF|DJ°168</v>
      </c>
    </row>
    <row r="1714" customFormat="false" ht="74.6" hidden="false" customHeight="false" outlineLevel="0" collapsed="false">
      <c r="A1714" s="79" t="n">
        <f aca="false">IF(E1714="","",ROW()-6)</f>
        <v>1708</v>
      </c>
      <c r="B1714" s="80" t="s">
        <v>110</v>
      </c>
      <c r="C1714" s="81" t="s">
        <v>2036</v>
      </c>
      <c r="D1714" s="81" t="n">
        <v>15</v>
      </c>
      <c r="E1714" s="81" t="s">
        <v>2079</v>
      </c>
      <c r="F1714" s="82" t="str">
        <f aca="false">IF(E1714="","",IF(LEFT(E1714,2)="DJ","DJ","JN"))</f>
        <v>JN</v>
      </c>
      <c r="G1714" s="81" t="s">
        <v>1504</v>
      </c>
      <c r="H1714" s="81" t="s">
        <v>871</v>
      </c>
      <c r="I1714" s="81" t="n">
        <v>9.53</v>
      </c>
      <c r="J1714" s="81" t="s">
        <v>872</v>
      </c>
      <c r="K1714" s="81" t="s">
        <v>879</v>
      </c>
      <c r="L1714" s="81" t="n">
        <v>2083340</v>
      </c>
      <c r="M1714" s="81" t="n">
        <v>15421105</v>
      </c>
      <c r="N1714" s="81" t="n">
        <v>11.94</v>
      </c>
      <c r="O1714" s="81" t="n">
        <v>2083280</v>
      </c>
      <c r="P1714" s="81" t="n">
        <v>15421105</v>
      </c>
      <c r="Q1714" s="81" t="n">
        <v>11.94</v>
      </c>
      <c r="R1714" s="81" t="s">
        <v>2039</v>
      </c>
      <c r="S1714" s="81"/>
      <c r="T1714" s="81"/>
      <c r="U1714" s="83" t="n">
        <v>46273</v>
      </c>
      <c r="V1714" s="83" t="n">
        <v>46273</v>
      </c>
      <c r="W1714" s="81" t="s">
        <v>2040</v>
      </c>
      <c r="X1714" s="81" t="s">
        <v>876</v>
      </c>
      <c r="Y1714" s="83" t="n">
        <v>46289</v>
      </c>
      <c r="Z1714" s="81" t="s">
        <v>2077</v>
      </c>
      <c r="AA1714" s="81" t="s">
        <v>876</v>
      </c>
      <c r="AB1714" s="81"/>
      <c r="AC1714" s="81"/>
      <c r="AD1714" s="81"/>
      <c r="AE1714" s="83"/>
      <c r="AF1714" s="81"/>
      <c r="AG1714" s="81"/>
      <c r="AH1714" s="81"/>
      <c r="AI1714" s="81"/>
      <c r="AJ1714" s="83"/>
      <c r="AK1714" s="81"/>
      <c r="AL1714" s="81"/>
      <c r="AM1714" s="83"/>
      <c r="AN1714" s="80"/>
      <c r="AO1714" s="82" t="n">
        <f aca="false">IF(E1714="","",(AA1714&lt;&gt;"")+(AG1714&lt;&gt;"")+(AL1714&lt;&gt;""))</f>
        <v>1</v>
      </c>
      <c r="AP1714" s="82" t="str">
        <f aca="false">IF(AL1714&lt;&gt;"",AL1714,IF(AG1714&lt;&gt;"",AG1714,IF(AA1714&lt;&gt;"",AA1714,"")))</f>
        <v>A</v>
      </c>
      <c r="AQ1714" s="84" t="str">
        <f aca="false">IF(E1714="","",IF(U1714="","À SOUDER",IF(X1714="","VT EN ATTENTE",IF(X1714="R","VT REJETÉ – À REPRENDRE",IF(AP1714="","À RADIOGRAPHIER",IF(AP1714="A","ACCEPTÉ",IF(AP1714="NX","NX – RT À REFAIRE",IF(IF(AO1714=1,AD1714,IF(AO1714=2,AI1714,""))="A","RÉPARÉ – À RADIOGRAPHIER",IF(IF(AO1714=1,AD1714,IF(AO1714=2,AI1714,""))="R","VT REJETÉ – À REPRENDRE",IF(OR(AP1714="CO",AP1714="NT"),"COUPE – À RESOUDER","À RÉPARER"))))))))))</f>
        <v>ACCEPTÉ</v>
      </c>
      <c r="AR1714" s="82" t="str">
        <f aca="false">IF(AND(ISNUMBER(U1714),OR(AQ1714="À RADIOGRAPHIER",AQ1714="RÉPARÉ – À RADIOGRAPHIER",AQ1714="NX – RT À REFAIRE",AQ1714="À RÉPARER",AQ1714="COUPE – À RESOUDER",AQ1714="VT REJETÉ – À REPRENDRE")),MAX(0,'PROGRAMME RT'!$C$4-U1714),"")</f>
        <v/>
      </c>
      <c r="AS1714" s="82" t="n">
        <f aca="false">IF(AND(OR(AQ1714="À RADIOGRAPHIER",AQ1714="RÉPARÉ – À RADIOGRAPHIER",AQ1714="NX – RT À REFAIRE"),OR('PROGRAMME RT'!$D$5="TOUTES",B1714='PROGRAMME RT'!$D$5)),1,0)</f>
        <v>0</v>
      </c>
      <c r="AT1714" s="82" t="str">
        <f aca="false">IF(AS1714=1,SUM(AS$7:AS1714),"")</f>
        <v/>
      </c>
      <c r="AU1714" s="82" t="n">
        <f aca="false">IF(AND(OR(AA1714="R",AA1714="NX",AA1714="NT",AA1714="CO"),OR('JOINTS DE RÉPARATION'!$D$5="TOUTES",B1714='JOINTS DE RÉPARATION'!$D$5),OR('JOINTS DE RÉPARATION'!$L$4="TOUS",AQ1714&lt;&gt;"ACCEPTÉ")),1,0)</f>
        <v>0</v>
      </c>
      <c r="AV1714" s="82" t="str">
        <f aca="false">IF(AU1714=1,SUM(AU$7:AU1714),"")</f>
        <v/>
      </c>
      <c r="AW1714" s="82" t="str">
        <f aca="false">IF(E1714="","",B1714&amp;"|"&amp;E1714)</f>
        <v>MFD-ISW → MFD-CPF|JN°1371</v>
      </c>
    </row>
    <row r="1715" customFormat="false" ht="74.6" hidden="false" customHeight="false" outlineLevel="0" collapsed="false">
      <c r="A1715" s="79" t="n">
        <f aca="false">IF(E1715="","",ROW()-6)</f>
        <v>1709</v>
      </c>
      <c r="B1715" s="80" t="s">
        <v>110</v>
      </c>
      <c r="C1715" s="81" t="s">
        <v>2036</v>
      </c>
      <c r="D1715" s="81" t="n">
        <v>15</v>
      </c>
      <c r="E1715" s="81" t="s">
        <v>2080</v>
      </c>
      <c r="F1715" s="82" t="str">
        <f aca="false">IF(E1715="","",IF(LEFT(E1715,2)="DJ","DJ","JN"))</f>
        <v>DJ</v>
      </c>
      <c r="G1715" s="81"/>
      <c r="H1715" s="81" t="s">
        <v>871</v>
      </c>
      <c r="I1715" s="81" t="n">
        <v>9.53</v>
      </c>
      <c r="J1715" s="81" t="s">
        <v>872</v>
      </c>
      <c r="K1715" s="81" t="s">
        <v>873</v>
      </c>
      <c r="L1715" s="81" t="n">
        <v>2083280</v>
      </c>
      <c r="M1715" s="81" t="n">
        <v>15421105</v>
      </c>
      <c r="N1715" s="81" t="n">
        <v>11.94</v>
      </c>
      <c r="O1715" s="81" t="n">
        <v>2083290</v>
      </c>
      <c r="P1715" s="81" t="n">
        <v>15421105</v>
      </c>
      <c r="Q1715" s="81" t="n">
        <v>11.94</v>
      </c>
      <c r="R1715" s="81" t="s">
        <v>1517</v>
      </c>
      <c r="S1715" s="81"/>
      <c r="T1715" s="81"/>
      <c r="U1715" s="83" t="n">
        <v>46261</v>
      </c>
      <c r="V1715" s="83" t="n">
        <v>46261</v>
      </c>
      <c r="W1715" s="81" t="s">
        <v>1952</v>
      </c>
      <c r="X1715" s="81" t="s">
        <v>876</v>
      </c>
      <c r="Y1715" s="83" t="n">
        <v>46264</v>
      </c>
      <c r="Z1715" s="81" t="s">
        <v>2031</v>
      </c>
      <c r="AA1715" s="81" t="s">
        <v>876</v>
      </c>
      <c r="AB1715" s="81"/>
      <c r="AC1715" s="81"/>
      <c r="AD1715" s="81"/>
      <c r="AE1715" s="83"/>
      <c r="AF1715" s="81"/>
      <c r="AG1715" s="81"/>
      <c r="AH1715" s="81"/>
      <c r="AI1715" s="81"/>
      <c r="AJ1715" s="83"/>
      <c r="AK1715" s="81"/>
      <c r="AL1715" s="81"/>
      <c r="AM1715" s="83"/>
      <c r="AN1715" s="80"/>
      <c r="AO1715" s="82" t="n">
        <f aca="false">IF(E1715="","",(AA1715&lt;&gt;"")+(AG1715&lt;&gt;"")+(AL1715&lt;&gt;""))</f>
        <v>1</v>
      </c>
      <c r="AP1715" s="82" t="str">
        <f aca="false">IF(AL1715&lt;&gt;"",AL1715,IF(AG1715&lt;&gt;"",AG1715,IF(AA1715&lt;&gt;"",AA1715,"")))</f>
        <v>A</v>
      </c>
      <c r="AQ1715" s="84" t="str">
        <f aca="false">IF(E1715="","",IF(U1715="","À SOUDER",IF(X1715="","VT EN ATTENTE",IF(X1715="R","VT REJETÉ – À REPRENDRE",IF(AP1715="","À RADIOGRAPHIER",IF(AP1715="A","ACCEPTÉ",IF(AP1715="NX","NX – RT À REFAIRE",IF(IF(AO1715=1,AD1715,IF(AO1715=2,AI1715,""))="A","RÉPARÉ – À RADIOGRAPHIER",IF(IF(AO1715=1,AD1715,IF(AO1715=2,AI1715,""))="R","VT REJETÉ – À REPRENDRE",IF(OR(AP1715="CO",AP1715="NT"),"COUPE – À RESOUDER","À RÉPARER"))))))))))</f>
        <v>ACCEPTÉ</v>
      </c>
      <c r="AR1715" s="82" t="str">
        <f aca="false">IF(AND(ISNUMBER(U1715),OR(AQ1715="À RADIOGRAPHIER",AQ1715="RÉPARÉ – À RADIOGRAPHIER",AQ1715="NX – RT À REFAIRE",AQ1715="À RÉPARER",AQ1715="COUPE – À RESOUDER",AQ1715="VT REJETÉ – À REPRENDRE")),MAX(0,'PROGRAMME RT'!$C$4-U1715),"")</f>
        <v/>
      </c>
      <c r="AS1715" s="82" t="n">
        <f aca="false">IF(AND(OR(AQ1715="À RADIOGRAPHIER",AQ1715="RÉPARÉ – À RADIOGRAPHIER",AQ1715="NX – RT À REFAIRE"),OR('PROGRAMME RT'!$D$5="TOUTES",B1715='PROGRAMME RT'!$D$5)),1,0)</f>
        <v>0</v>
      </c>
      <c r="AT1715" s="82" t="str">
        <f aca="false">IF(AS1715=1,SUM(AS$7:AS1715),"")</f>
        <v/>
      </c>
      <c r="AU1715" s="82" t="n">
        <f aca="false">IF(AND(OR(AA1715="R",AA1715="NX",AA1715="NT",AA1715="CO"),OR('JOINTS DE RÉPARATION'!$D$5="TOUTES",B1715='JOINTS DE RÉPARATION'!$D$5),OR('JOINTS DE RÉPARATION'!$L$4="TOUS",AQ1715&lt;&gt;"ACCEPTÉ")),1,0)</f>
        <v>0</v>
      </c>
      <c r="AV1715" s="82" t="str">
        <f aca="false">IF(AU1715=1,SUM(AU$7:AU1715),"")</f>
        <v/>
      </c>
      <c r="AW1715" s="82" t="str">
        <f aca="false">IF(E1715="","",B1715&amp;"|"&amp;E1715)</f>
        <v>MFD-ISW → MFD-CPF|DJ°172</v>
      </c>
    </row>
    <row r="1716" customFormat="false" ht="74.6" hidden="false" customHeight="false" outlineLevel="0" collapsed="false">
      <c r="A1716" s="79" t="n">
        <f aca="false">IF(E1716="","",ROW()-6)</f>
        <v>1710</v>
      </c>
      <c r="B1716" s="80" t="s">
        <v>110</v>
      </c>
      <c r="C1716" s="81" t="s">
        <v>2036</v>
      </c>
      <c r="D1716" s="81" t="n">
        <v>15</v>
      </c>
      <c r="E1716" s="81" t="s">
        <v>2081</v>
      </c>
      <c r="F1716" s="82" t="str">
        <f aca="false">IF(E1716="","",IF(LEFT(E1716,2)="DJ","DJ","JN"))</f>
        <v>JN</v>
      </c>
      <c r="G1716" s="81" t="s">
        <v>1504</v>
      </c>
      <c r="H1716" s="81" t="s">
        <v>871</v>
      </c>
      <c r="I1716" s="81" t="n">
        <v>9.53</v>
      </c>
      <c r="J1716" s="81" t="s">
        <v>872</v>
      </c>
      <c r="K1716" s="81" t="s">
        <v>879</v>
      </c>
      <c r="L1716" s="81" t="n">
        <v>2083290</v>
      </c>
      <c r="M1716" s="81" t="n">
        <v>15421105</v>
      </c>
      <c r="N1716" s="81" t="n">
        <v>11.94</v>
      </c>
      <c r="O1716" s="81" t="n">
        <v>2096770</v>
      </c>
      <c r="P1716" s="81" t="n">
        <v>15421111</v>
      </c>
      <c r="Q1716" s="81"/>
      <c r="R1716" s="81" t="s">
        <v>2039</v>
      </c>
      <c r="S1716" s="81"/>
      <c r="T1716" s="81"/>
      <c r="U1716" s="83" t="n">
        <v>46273</v>
      </c>
      <c r="V1716" s="83" t="n">
        <v>46273</v>
      </c>
      <c r="W1716" s="81" t="s">
        <v>2082</v>
      </c>
      <c r="X1716" s="81" t="s">
        <v>876</v>
      </c>
      <c r="Y1716" s="83" t="n">
        <v>46289</v>
      </c>
      <c r="Z1716" s="81" t="s">
        <v>2077</v>
      </c>
      <c r="AA1716" s="81" t="s">
        <v>876</v>
      </c>
      <c r="AB1716" s="81"/>
      <c r="AC1716" s="81"/>
      <c r="AD1716" s="81"/>
      <c r="AE1716" s="83"/>
      <c r="AF1716" s="81"/>
      <c r="AG1716" s="81"/>
      <c r="AH1716" s="81"/>
      <c r="AI1716" s="81"/>
      <c r="AJ1716" s="83"/>
      <c r="AK1716" s="81"/>
      <c r="AL1716" s="81"/>
      <c r="AM1716" s="83"/>
      <c r="AN1716" s="80"/>
      <c r="AO1716" s="82" t="n">
        <f aca="false">IF(E1716="","",(AA1716&lt;&gt;"")+(AG1716&lt;&gt;"")+(AL1716&lt;&gt;""))</f>
        <v>1</v>
      </c>
      <c r="AP1716" s="82" t="str">
        <f aca="false">IF(AL1716&lt;&gt;"",AL1716,IF(AG1716&lt;&gt;"",AG1716,IF(AA1716&lt;&gt;"",AA1716,"")))</f>
        <v>A</v>
      </c>
      <c r="AQ1716" s="84" t="str">
        <f aca="false">IF(E1716="","",IF(U1716="","À SOUDER",IF(X1716="","VT EN ATTENTE",IF(X1716="R","VT REJETÉ – À REPRENDRE",IF(AP1716="","À RADIOGRAPHIER",IF(AP1716="A","ACCEPTÉ",IF(AP1716="NX","NX – RT À REFAIRE",IF(IF(AO1716=1,AD1716,IF(AO1716=2,AI1716,""))="A","RÉPARÉ – À RADIOGRAPHIER",IF(IF(AO1716=1,AD1716,IF(AO1716=2,AI1716,""))="R","VT REJETÉ – À REPRENDRE",IF(OR(AP1716="CO",AP1716="NT"),"COUPE – À RESOUDER","À RÉPARER"))))))))))</f>
        <v>ACCEPTÉ</v>
      </c>
      <c r="AR1716" s="82" t="str">
        <f aca="false">IF(AND(ISNUMBER(U1716),OR(AQ1716="À RADIOGRAPHIER",AQ1716="RÉPARÉ – À RADIOGRAPHIER",AQ1716="NX – RT À REFAIRE",AQ1716="À RÉPARER",AQ1716="COUPE – À RESOUDER",AQ1716="VT REJETÉ – À REPRENDRE")),MAX(0,'PROGRAMME RT'!$C$4-U1716),"")</f>
        <v/>
      </c>
      <c r="AS1716" s="82" t="n">
        <f aca="false">IF(AND(OR(AQ1716="À RADIOGRAPHIER",AQ1716="RÉPARÉ – À RADIOGRAPHIER",AQ1716="NX – RT À REFAIRE"),OR('PROGRAMME RT'!$D$5="TOUTES",B1716='PROGRAMME RT'!$D$5)),1,0)</f>
        <v>0</v>
      </c>
      <c r="AT1716" s="82" t="str">
        <f aca="false">IF(AS1716=1,SUM(AS$7:AS1716),"")</f>
        <v/>
      </c>
      <c r="AU1716" s="82" t="n">
        <f aca="false">IF(AND(OR(AA1716="R",AA1716="NX",AA1716="NT",AA1716="CO"),OR('JOINTS DE RÉPARATION'!$D$5="TOUTES",B1716='JOINTS DE RÉPARATION'!$D$5),OR('JOINTS DE RÉPARATION'!$L$4="TOUS",AQ1716&lt;&gt;"ACCEPTÉ")),1,0)</f>
        <v>0</v>
      </c>
      <c r="AV1716" s="82" t="str">
        <f aca="false">IF(AU1716=1,SUM(AU$7:AU1716),"")</f>
        <v/>
      </c>
      <c r="AW1716" s="82" t="str">
        <f aca="false">IF(E1716="","",B1716&amp;"|"&amp;E1716)</f>
        <v>MFD-ISW → MFD-CPF|JN°1372</v>
      </c>
    </row>
    <row r="1717" customFormat="false" ht="74.6" hidden="false" customHeight="false" outlineLevel="0" collapsed="false">
      <c r="A1717" s="79" t="n">
        <f aca="false">IF(E1717="","",ROW()-6)</f>
        <v>1711</v>
      </c>
      <c r="B1717" s="80" t="s">
        <v>110</v>
      </c>
      <c r="C1717" s="81" t="s">
        <v>2036</v>
      </c>
      <c r="D1717" s="81" t="n">
        <v>15</v>
      </c>
      <c r="E1717" s="81" t="s">
        <v>2083</v>
      </c>
      <c r="F1717" s="82" t="str">
        <f aca="false">IF(E1717="","",IF(LEFT(E1717,2)="DJ","DJ","JN"))</f>
        <v>DJ</v>
      </c>
      <c r="G1717" s="81"/>
      <c r="H1717" s="81" t="s">
        <v>871</v>
      </c>
      <c r="I1717" s="81" t="n">
        <v>9.53</v>
      </c>
      <c r="J1717" s="81" t="s">
        <v>872</v>
      </c>
      <c r="K1717" s="81" t="s">
        <v>873</v>
      </c>
      <c r="L1717" s="81" t="n">
        <v>2096770</v>
      </c>
      <c r="M1717" s="81" t="n">
        <v>15421111</v>
      </c>
      <c r="N1717" s="81"/>
      <c r="O1717" s="81" t="n">
        <v>2094630</v>
      </c>
      <c r="P1717" s="81" t="n">
        <v>15421111</v>
      </c>
      <c r="Q1717" s="81" t="n">
        <v>11.94</v>
      </c>
      <c r="R1717" s="81" t="s">
        <v>1517</v>
      </c>
      <c r="S1717" s="81"/>
      <c r="T1717" s="81"/>
      <c r="U1717" s="83" t="n">
        <v>46261</v>
      </c>
      <c r="V1717" s="83" t="n">
        <v>46261</v>
      </c>
      <c r="W1717" s="81" t="s">
        <v>1952</v>
      </c>
      <c r="X1717" s="81" t="s">
        <v>876</v>
      </c>
      <c r="Y1717" s="83" t="n">
        <v>46264</v>
      </c>
      <c r="Z1717" s="81" t="s">
        <v>2031</v>
      </c>
      <c r="AA1717" s="81" t="s">
        <v>876</v>
      </c>
      <c r="AB1717" s="81"/>
      <c r="AC1717" s="81"/>
      <c r="AD1717" s="81"/>
      <c r="AE1717" s="83"/>
      <c r="AF1717" s="81"/>
      <c r="AG1717" s="81"/>
      <c r="AH1717" s="81"/>
      <c r="AI1717" s="81"/>
      <c r="AJ1717" s="83"/>
      <c r="AK1717" s="81"/>
      <c r="AL1717" s="81"/>
      <c r="AM1717" s="83"/>
      <c r="AN1717" s="80"/>
      <c r="AO1717" s="82" t="n">
        <f aca="false">IF(E1717="","",(AA1717&lt;&gt;"")+(AG1717&lt;&gt;"")+(AL1717&lt;&gt;""))</f>
        <v>1</v>
      </c>
      <c r="AP1717" s="82" t="str">
        <f aca="false">IF(AL1717&lt;&gt;"",AL1717,IF(AG1717&lt;&gt;"",AG1717,IF(AA1717&lt;&gt;"",AA1717,"")))</f>
        <v>A</v>
      </c>
      <c r="AQ1717" s="84" t="str">
        <f aca="false">IF(E1717="","",IF(U1717="","À SOUDER",IF(X1717="","VT EN ATTENTE",IF(X1717="R","VT REJETÉ – À REPRENDRE",IF(AP1717="","À RADIOGRAPHIER",IF(AP1717="A","ACCEPTÉ",IF(AP1717="NX","NX – RT À REFAIRE",IF(IF(AO1717=1,AD1717,IF(AO1717=2,AI1717,""))="A","RÉPARÉ – À RADIOGRAPHIER",IF(IF(AO1717=1,AD1717,IF(AO1717=2,AI1717,""))="R","VT REJETÉ – À REPRENDRE",IF(OR(AP1717="CO",AP1717="NT"),"COUPE – À RESOUDER","À RÉPARER"))))))))))</f>
        <v>ACCEPTÉ</v>
      </c>
      <c r="AR1717" s="82" t="str">
        <f aca="false">IF(AND(ISNUMBER(U1717),OR(AQ1717="À RADIOGRAPHIER",AQ1717="RÉPARÉ – À RADIOGRAPHIER",AQ1717="NX – RT À REFAIRE",AQ1717="À RÉPARER",AQ1717="COUPE – À RESOUDER",AQ1717="VT REJETÉ – À REPRENDRE")),MAX(0,'PROGRAMME RT'!$C$4-U1717),"")</f>
        <v/>
      </c>
      <c r="AS1717" s="82" t="n">
        <f aca="false">IF(AND(OR(AQ1717="À RADIOGRAPHIER",AQ1717="RÉPARÉ – À RADIOGRAPHIER",AQ1717="NX – RT À REFAIRE"),OR('PROGRAMME RT'!$D$5="TOUTES",B1717='PROGRAMME RT'!$D$5)),1,0)</f>
        <v>0</v>
      </c>
      <c r="AT1717" s="82" t="str">
        <f aca="false">IF(AS1717=1,SUM(AS$7:AS1717),"")</f>
        <v/>
      </c>
      <c r="AU1717" s="82" t="n">
        <f aca="false">IF(AND(OR(AA1717="R",AA1717="NX",AA1717="NT",AA1717="CO"),OR('JOINTS DE RÉPARATION'!$D$5="TOUTES",B1717='JOINTS DE RÉPARATION'!$D$5),OR('JOINTS DE RÉPARATION'!$L$4="TOUS",AQ1717&lt;&gt;"ACCEPTÉ")),1,0)</f>
        <v>0</v>
      </c>
      <c r="AV1717" s="82" t="str">
        <f aca="false">IF(AU1717=1,SUM(AU$7:AU1717),"")</f>
        <v/>
      </c>
      <c r="AW1717" s="82" t="str">
        <f aca="false">IF(E1717="","",B1717&amp;"|"&amp;E1717)</f>
        <v>MFD-ISW → MFD-CPF|DJ°176</v>
      </c>
    </row>
    <row r="1718" customFormat="false" ht="74.6" hidden="false" customHeight="false" outlineLevel="0" collapsed="false">
      <c r="A1718" s="79" t="n">
        <f aca="false">IF(E1718="","",ROW()-6)</f>
        <v>1712</v>
      </c>
      <c r="B1718" s="80" t="s">
        <v>110</v>
      </c>
      <c r="C1718" s="81" t="s">
        <v>2036</v>
      </c>
      <c r="D1718" s="81" t="n">
        <v>15</v>
      </c>
      <c r="E1718" s="81" t="s">
        <v>2084</v>
      </c>
      <c r="F1718" s="82" t="str">
        <f aca="false">IF(E1718="","",IF(LEFT(E1718,2)="DJ","DJ","JN"))</f>
        <v>JN</v>
      </c>
      <c r="G1718" s="81" t="s">
        <v>1504</v>
      </c>
      <c r="H1718" s="81" t="s">
        <v>871</v>
      </c>
      <c r="I1718" s="81" t="n">
        <v>9.53</v>
      </c>
      <c r="J1718" s="81" t="s">
        <v>872</v>
      </c>
      <c r="K1718" s="81" t="s">
        <v>879</v>
      </c>
      <c r="L1718" s="81" t="n">
        <v>2094630</v>
      </c>
      <c r="M1718" s="81" t="n">
        <v>15421111</v>
      </c>
      <c r="N1718" s="81" t="n">
        <v>11.94</v>
      </c>
      <c r="O1718" s="81" t="n">
        <v>2080110</v>
      </c>
      <c r="P1718" s="81" t="n">
        <v>15421102</v>
      </c>
      <c r="Q1718" s="81" t="n">
        <v>11.94</v>
      </c>
      <c r="R1718" s="81" t="s">
        <v>2039</v>
      </c>
      <c r="S1718" s="81"/>
      <c r="T1718" s="81"/>
      <c r="U1718" s="83" t="n">
        <v>46273</v>
      </c>
      <c r="V1718" s="83" t="n">
        <v>46273</v>
      </c>
      <c r="W1718" s="81" t="s">
        <v>2082</v>
      </c>
      <c r="X1718" s="81" t="s">
        <v>876</v>
      </c>
      <c r="Y1718" s="83" t="n">
        <v>46289</v>
      </c>
      <c r="Z1718" s="81" t="s">
        <v>2077</v>
      </c>
      <c r="AA1718" s="81" t="s">
        <v>876</v>
      </c>
      <c r="AB1718" s="81"/>
      <c r="AC1718" s="81"/>
      <c r="AD1718" s="81"/>
      <c r="AE1718" s="83"/>
      <c r="AF1718" s="81"/>
      <c r="AG1718" s="81"/>
      <c r="AH1718" s="81"/>
      <c r="AI1718" s="81"/>
      <c r="AJ1718" s="83"/>
      <c r="AK1718" s="81"/>
      <c r="AL1718" s="81"/>
      <c r="AM1718" s="83"/>
      <c r="AN1718" s="80"/>
      <c r="AO1718" s="82" t="n">
        <f aca="false">IF(E1718="","",(AA1718&lt;&gt;"")+(AG1718&lt;&gt;"")+(AL1718&lt;&gt;""))</f>
        <v>1</v>
      </c>
      <c r="AP1718" s="82" t="str">
        <f aca="false">IF(AL1718&lt;&gt;"",AL1718,IF(AG1718&lt;&gt;"",AG1718,IF(AA1718&lt;&gt;"",AA1718,"")))</f>
        <v>A</v>
      </c>
      <c r="AQ1718" s="84" t="str">
        <f aca="false">IF(E1718="","",IF(U1718="","À SOUDER",IF(X1718="","VT EN ATTENTE",IF(X1718="R","VT REJETÉ – À REPRENDRE",IF(AP1718="","À RADIOGRAPHIER",IF(AP1718="A","ACCEPTÉ",IF(AP1718="NX","NX – RT À REFAIRE",IF(IF(AO1718=1,AD1718,IF(AO1718=2,AI1718,""))="A","RÉPARÉ – À RADIOGRAPHIER",IF(IF(AO1718=1,AD1718,IF(AO1718=2,AI1718,""))="R","VT REJETÉ – À REPRENDRE",IF(OR(AP1718="CO",AP1718="NT"),"COUPE – À RESOUDER","À RÉPARER"))))))))))</f>
        <v>ACCEPTÉ</v>
      </c>
      <c r="AR1718" s="82" t="str">
        <f aca="false">IF(AND(ISNUMBER(U1718),OR(AQ1718="À RADIOGRAPHIER",AQ1718="RÉPARÉ – À RADIOGRAPHIER",AQ1718="NX – RT À REFAIRE",AQ1718="À RÉPARER",AQ1718="COUPE – À RESOUDER",AQ1718="VT REJETÉ – À REPRENDRE")),MAX(0,'PROGRAMME RT'!$C$4-U1718),"")</f>
        <v/>
      </c>
      <c r="AS1718" s="82" t="n">
        <f aca="false">IF(AND(OR(AQ1718="À RADIOGRAPHIER",AQ1718="RÉPARÉ – À RADIOGRAPHIER",AQ1718="NX – RT À REFAIRE"),OR('PROGRAMME RT'!$D$5="TOUTES",B1718='PROGRAMME RT'!$D$5)),1,0)</f>
        <v>0</v>
      </c>
      <c r="AT1718" s="82" t="str">
        <f aca="false">IF(AS1718=1,SUM(AS$7:AS1718),"")</f>
        <v/>
      </c>
      <c r="AU1718" s="82" t="n">
        <f aca="false">IF(AND(OR(AA1718="R",AA1718="NX",AA1718="NT",AA1718="CO"),OR('JOINTS DE RÉPARATION'!$D$5="TOUTES",B1718='JOINTS DE RÉPARATION'!$D$5),OR('JOINTS DE RÉPARATION'!$L$4="TOUS",AQ1718&lt;&gt;"ACCEPTÉ")),1,0)</f>
        <v>0</v>
      </c>
      <c r="AV1718" s="82" t="str">
        <f aca="false">IF(AU1718=1,SUM(AU$7:AU1718),"")</f>
        <v/>
      </c>
      <c r="AW1718" s="82" t="str">
        <f aca="false">IF(E1718="","",B1718&amp;"|"&amp;E1718)</f>
        <v>MFD-ISW → MFD-CPF|JN°1373</v>
      </c>
    </row>
    <row r="1719" customFormat="false" ht="74.6" hidden="false" customHeight="false" outlineLevel="0" collapsed="false">
      <c r="A1719" s="79" t="n">
        <f aca="false">IF(E1719="","",ROW()-6)</f>
        <v>1713</v>
      </c>
      <c r="B1719" s="80" t="s">
        <v>110</v>
      </c>
      <c r="C1719" s="81" t="s">
        <v>2036</v>
      </c>
      <c r="D1719" s="81" t="n">
        <v>15</v>
      </c>
      <c r="E1719" s="81" t="s">
        <v>2085</v>
      </c>
      <c r="F1719" s="82" t="str">
        <f aca="false">IF(E1719="","",IF(LEFT(E1719,2)="DJ","DJ","JN"))</f>
        <v>DJ</v>
      </c>
      <c r="G1719" s="81"/>
      <c r="H1719" s="81" t="s">
        <v>871</v>
      </c>
      <c r="I1719" s="81" t="n">
        <v>9.53</v>
      </c>
      <c r="J1719" s="81" t="s">
        <v>872</v>
      </c>
      <c r="K1719" s="81" t="s">
        <v>873</v>
      </c>
      <c r="L1719" s="81" t="n">
        <v>2080110</v>
      </c>
      <c r="M1719" s="81" t="n">
        <v>15421102</v>
      </c>
      <c r="N1719" s="81" t="n">
        <v>11.94</v>
      </c>
      <c r="O1719" s="81" t="n">
        <v>2095410</v>
      </c>
      <c r="P1719" s="81" t="n">
        <v>15421102</v>
      </c>
      <c r="Q1719" s="81" t="n">
        <v>11.94</v>
      </c>
      <c r="R1719" s="81" t="s">
        <v>1517</v>
      </c>
      <c r="S1719" s="81"/>
      <c r="T1719" s="81"/>
      <c r="U1719" s="83" t="n">
        <v>46260</v>
      </c>
      <c r="V1719" s="83" t="n">
        <v>46260</v>
      </c>
      <c r="W1719" s="81" t="s">
        <v>2030</v>
      </c>
      <c r="X1719" s="81" t="s">
        <v>876</v>
      </c>
      <c r="Y1719" s="83" t="n">
        <v>46264</v>
      </c>
      <c r="Z1719" s="81" t="s">
        <v>2031</v>
      </c>
      <c r="AA1719" s="81" t="s">
        <v>876</v>
      </c>
      <c r="AB1719" s="81"/>
      <c r="AC1719" s="81"/>
      <c r="AD1719" s="81"/>
      <c r="AE1719" s="83"/>
      <c r="AF1719" s="81"/>
      <c r="AG1719" s="81"/>
      <c r="AH1719" s="81"/>
      <c r="AI1719" s="81"/>
      <c r="AJ1719" s="83"/>
      <c r="AK1719" s="81"/>
      <c r="AL1719" s="81"/>
      <c r="AM1719" s="83"/>
      <c r="AN1719" s="80"/>
      <c r="AO1719" s="82" t="n">
        <f aca="false">IF(E1719="","",(AA1719&lt;&gt;"")+(AG1719&lt;&gt;"")+(AL1719&lt;&gt;""))</f>
        <v>1</v>
      </c>
      <c r="AP1719" s="82" t="str">
        <f aca="false">IF(AL1719&lt;&gt;"",AL1719,IF(AG1719&lt;&gt;"",AG1719,IF(AA1719&lt;&gt;"",AA1719,"")))</f>
        <v>A</v>
      </c>
      <c r="AQ1719" s="84" t="str">
        <f aca="false">IF(E1719="","",IF(U1719="","À SOUDER",IF(X1719="","VT EN ATTENTE",IF(X1719="R","VT REJETÉ – À REPRENDRE",IF(AP1719="","À RADIOGRAPHIER",IF(AP1719="A","ACCEPTÉ",IF(AP1719="NX","NX – RT À REFAIRE",IF(IF(AO1719=1,AD1719,IF(AO1719=2,AI1719,""))="A","RÉPARÉ – À RADIOGRAPHIER",IF(IF(AO1719=1,AD1719,IF(AO1719=2,AI1719,""))="R","VT REJETÉ – À REPRENDRE",IF(OR(AP1719="CO",AP1719="NT"),"COUPE – À RESOUDER","À RÉPARER"))))))))))</f>
        <v>ACCEPTÉ</v>
      </c>
      <c r="AR1719" s="82" t="str">
        <f aca="false">IF(AND(ISNUMBER(U1719),OR(AQ1719="À RADIOGRAPHIER",AQ1719="RÉPARÉ – À RADIOGRAPHIER",AQ1719="NX – RT À REFAIRE",AQ1719="À RÉPARER",AQ1719="COUPE – À RESOUDER",AQ1719="VT REJETÉ – À REPRENDRE")),MAX(0,'PROGRAMME RT'!$C$4-U1719),"")</f>
        <v/>
      </c>
      <c r="AS1719" s="82" t="n">
        <f aca="false">IF(AND(OR(AQ1719="À RADIOGRAPHIER",AQ1719="RÉPARÉ – À RADIOGRAPHIER",AQ1719="NX – RT À REFAIRE"),OR('PROGRAMME RT'!$D$5="TOUTES",B1719='PROGRAMME RT'!$D$5)),1,0)</f>
        <v>0</v>
      </c>
      <c r="AT1719" s="82" t="str">
        <f aca="false">IF(AS1719=1,SUM(AS$7:AS1719),"")</f>
        <v/>
      </c>
      <c r="AU1719" s="82" t="n">
        <f aca="false">IF(AND(OR(AA1719="R",AA1719="NX",AA1719="NT",AA1719="CO"),OR('JOINTS DE RÉPARATION'!$D$5="TOUTES",B1719='JOINTS DE RÉPARATION'!$D$5),OR('JOINTS DE RÉPARATION'!$L$4="TOUS",AQ1719&lt;&gt;"ACCEPTÉ")),1,0)</f>
        <v>0</v>
      </c>
      <c r="AV1719" s="82" t="str">
        <f aca="false">IF(AU1719=1,SUM(AU$7:AU1719),"")</f>
        <v/>
      </c>
      <c r="AW1719" s="82" t="str">
        <f aca="false">IF(E1719="","",B1719&amp;"|"&amp;E1719)</f>
        <v>MFD-ISW → MFD-CPF|DJ°161</v>
      </c>
    </row>
    <row r="1720" customFormat="false" ht="74.6" hidden="false" customHeight="false" outlineLevel="0" collapsed="false">
      <c r="A1720" s="79" t="n">
        <f aca="false">IF(E1720="","",ROW()-6)</f>
        <v>1714</v>
      </c>
      <c r="B1720" s="80" t="s">
        <v>110</v>
      </c>
      <c r="C1720" s="81" t="s">
        <v>2036</v>
      </c>
      <c r="D1720" s="81" t="n">
        <v>15</v>
      </c>
      <c r="E1720" s="81" t="s">
        <v>2086</v>
      </c>
      <c r="F1720" s="82" t="str">
        <f aca="false">IF(E1720="","",IF(LEFT(E1720,2)="DJ","DJ","JN"))</f>
        <v>JN</v>
      </c>
      <c r="G1720" s="81" t="s">
        <v>1504</v>
      </c>
      <c r="H1720" s="81" t="s">
        <v>871</v>
      </c>
      <c r="I1720" s="81" t="n">
        <v>9.53</v>
      </c>
      <c r="J1720" s="81" t="s">
        <v>872</v>
      </c>
      <c r="K1720" s="81" t="s">
        <v>879</v>
      </c>
      <c r="L1720" s="81" t="n">
        <v>2095410</v>
      </c>
      <c r="M1720" s="81" t="n">
        <v>15421102</v>
      </c>
      <c r="N1720" s="81" t="n">
        <v>11.94</v>
      </c>
      <c r="O1720" s="81" t="n">
        <v>2085600</v>
      </c>
      <c r="P1720" s="81" t="n">
        <v>15421107</v>
      </c>
      <c r="Q1720" s="81" t="n">
        <v>11.94</v>
      </c>
      <c r="R1720" s="81" t="s">
        <v>2039</v>
      </c>
      <c r="S1720" s="81"/>
      <c r="T1720" s="81"/>
      <c r="U1720" s="83" t="n">
        <v>46273</v>
      </c>
      <c r="V1720" s="83" t="n">
        <v>46273</v>
      </c>
      <c r="W1720" s="81" t="s">
        <v>2082</v>
      </c>
      <c r="X1720" s="81" t="s">
        <v>876</v>
      </c>
      <c r="Y1720" s="83" t="n">
        <v>46289</v>
      </c>
      <c r="Z1720" s="81" t="s">
        <v>2077</v>
      </c>
      <c r="AA1720" s="81" t="s">
        <v>876</v>
      </c>
      <c r="AB1720" s="81"/>
      <c r="AC1720" s="81"/>
      <c r="AD1720" s="81"/>
      <c r="AE1720" s="83"/>
      <c r="AF1720" s="81"/>
      <c r="AG1720" s="81"/>
      <c r="AH1720" s="81"/>
      <c r="AI1720" s="81"/>
      <c r="AJ1720" s="83"/>
      <c r="AK1720" s="81"/>
      <c r="AL1720" s="81"/>
      <c r="AM1720" s="83"/>
      <c r="AN1720" s="80"/>
      <c r="AO1720" s="82" t="n">
        <f aca="false">IF(E1720="","",(AA1720&lt;&gt;"")+(AG1720&lt;&gt;"")+(AL1720&lt;&gt;""))</f>
        <v>1</v>
      </c>
      <c r="AP1720" s="82" t="str">
        <f aca="false">IF(AL1720&lt;&gt;"",AL1720,IF(AG1720&lt;&gt;"",AG1720,IF(AA1720&lt;&gt;"",AA1720,"")))</f>
        <v>A</v>
      </c>
      <c r="AQ1720" s="84" t="str">
        <f aca="false">IF(E1720="","",IF(U1720="","À SOUDER",IF(X1720="","VT EN ATTENTE",IF(X1720="R","VT REJETÉ – À REPRENDRE",IF(AP1720="","À RADIOGRAPHIER",IF(AP1720="A","ACCEPTÉ",IF(AP1720="NX","NX – RT À REFAIRE",IF(IF(AO1720=1,AD1720,IF(AO1720=2,AI1720,""))="A","RÉPARÉ – À RADIOGRAPHIER",IF(IF(AO1720=1,AD1720,IF(AO1720=2,AI1720,""))="R","VT REJETÉ – À REPRENDRE",IF(OR(AP1720="CO",AP1720="NT"),"COUPE – À RESOUDER","À RÉPARER"))))))))))</f>
        <v>ACCEPTÉ</v>
      </c>
      <c r="AR1720" s="82" t="str">
        <f aca="false">IF(AND(ISNUMBER(U1720),OR(AQ1720="À RADIOGRAPHIER",AQ1720="RÉPARÉ – À RADIOGRAPHIER",AQ1720="NX – RT À REFAIRE",AQ1720="À RÉPARER",AQ1720="COUPE – À RESOUDER",AQ1720="VT REJETÉ – À REPRENDRE")),MAX(0,'PROGRAMME RT'!$C$4-U1720),"")</f>
        <v/>
      </c>
      <c r="AS1720" s="82" t="n">
        <f aca="false">IF(AND(OR(AQ1720="À RADIOGRAPHIER",AQ1720="RÉPARÉ – À RADIOGRAPHIER",AQ1720="NX – RT À REFAIRE"),OR('PROGRAMME RT'!$D$5="TOUTES",B1720='PROGRAMME RT'!$D$5)),1,0)</f>
        <v>0</v>
      </c>
      <c r="AT1720" s="82" t="str">
        <f aca="false">IF(AS1720=1,SUM(AS$7:AS1720),"")</f>
        <v/>
      </c>
      <c r="AU1720" s="82" t="n">
        <f aca="false">IF(AND(OR(AA1720="R",AA1720="NX",AA1720="NT",AA1720="CO"),OR('JOINTS DE RÉPARATION'!$D$5="TOUTES",B1720='JOINTS DE RÉPARATION'!$D$5),OR('JOINTS DE RÉPARATION'!$L$4="TOUS",AQ1720&lt;&gt;"ACCEPTÉ")),1,0)</f>
        <v>0</v>
      </c>
      <c r="AV1720" s="82" t="str">
        <f aca="false">IF(AU1720=1,SUM(AU$7:AU1720),"")</f>
        <v/>
      </c>
      <c r="AW1720" s="82" t="str">
        <f aca="false">IF(E1720="","",B1720&amp;"|"&amp;E1720)</f>
        <v>MFD-ISW → MFD-CPF|JN°1374</v>
      </c>
    </row>
    <row r="1721" customFormat="false" ht="74.6" hidden="false" customHeight="false" outlineLevel="0" collapsed="false">
      <c r="A1721" s="79" t="n">
        <f aca="false">IF(E1721="","",ROW()-6)</f>
        <v>1715</v>
      </c>
      <c r="B1721" s="80" t="s">
        <v>110</v>
      </c>
      <c r="C1721" s="81" t="s">
        <v>2036</v>
      </c>
      <c r="D1721" s="81" t="n">
        <v>15</v>
      </c>
      <c r="E1721" s="81" t="s">
        <v>2087</v>
      </c>
      <c r="F1721" s="82" t="str">
        <f aca="false">IF(E1721="","",IF(LEFT(E1721,2)="DJ","DJ","JN"))</f>
        <v>DJ</v>
      </c>
      <c r="G1721" s="81"/>
      <c r="H1721" s="81" t="s">
        <v>871</v>
      </c>
      <c r="I1721" s="81" t="n">
        <v>9.53</v>
      </c>
      <c r="J1721" s="81" t="s">
        <v>872</v>
      </c>
      <c r="K1721" s="81" t="s">
        <v>873</v>
      </c>
      <c r="L1721" s="81" t="n">
        <v>2082210</v>
      </c>
      <c r="M1721" s="81" t="n">
        <v>15421104</v>
      </c>
      <c r="N1721" s="81" t="n">
        <v>11.94</v>
      </c>
      <c r="O1721" s="81" t="n">
        <v>2085600</v>
      </c>
      <c r="P1721" s="81" t="n">
        <v>15421107</v>
      </c>
      <c r="Q1721" s="81" t="n">
        <v>11.94</v>
      </c>
      <c r="R1721" s="81" t="s">
        <v>1135</v>
      </c>
      <c r="S1721" s="81"/>
      <c r="T1721" s="81"/>
      <c r="U1721" s="83" t="n">
        <v>46262</v>
      </c>
      <c r="V1721" s="83" t="n">
        <v>46262</v>
      </c>
      <c r="W1721" s="81" t="s">
        <v>1930</v>
      </c>
      <c r="X1721" s="81" t="s">
        <v>876</v>
      </c>
      <c r="Y1721" s="83" t="n">
        <v>46264</v>
      </c>
      <c r="Z1721" s="81" t="s">
        <v>2031</v>
      </c>
      <c r="AA1721" s="81" t="s">
        <v>876</v>
      </c>
      <c r="AB1721" s="81"/>
      <c r="AC1721" s="81"/>
      <c r="AD1721" s="81"/>
      <c r="AE1721" s="83"/>
      <c r="AF1721" s="81"/>
      <c r="AG1721" s="81"/>
      <c r="AH1721" s="81"/>
      <c r="AI1721" s="81"/>
      <c r="AJ1721" s="83"/>
      <c r="AK1721" s="81"/>
      <c r="AL1721" s="81"/>
      <c r="AM1721" s="83"/>
      <c r="AN1721" s="80"/>
      <c r="AO1721" s="82" t="n">
        <f aca="false">IF(E1721="","",(AA1721&lt;&gt;"")+(AG1721&lt;&gt;"")+(AL1721&lt;&gt;""))</f>
        <v>1</v>
      </c>
      <c r="AP1721" s="82" t="str">
        <f aca="false">IF(AL1721&lt;&gt;"",AL1721,IF(AG1721&lt;&gt;"",AG1721,IF(AA1721&lt;&gt;"",AA1721,"")))</f>
        <v>A</v>
      </c>
      <c r="AQ1721" s="84" t="str">
        <f aca="false">IF(E1721="","",IF(U1721="","À SOUDER",IF(X1721="","VT EN ATTENTE",IF(X1721="R","VT REJETÉ – À REPRENDRE",IF(AP1721="","À RADIOGRAPHIER",IF(AP1721="A","ACCEPTÉ",IF(AP1721="NX","NX – RT À REFAIRE",IF(IF(AO1721=1,AD1721,IF(AO1721=2,AI1721,""))="A","RÉPARÉ – À RADIOGRAPHIER",IF(IF(AO1721=1,AD1721,IF(AO1721=2,AI1721,""))="R","VT REJETÉ – À REPRENDRE",IF(OR(AP1721="CO",AP1721="NT"),"COUPE – À RESOUDER","À RÉPARER"))))))))))</f>
        <v>ACCEPTÉ</v>
      </c>
      <c r="AR1721" s="82" t="str">
        <f aca="false">IF(AND(ISNUMBER(U1721),OR(AQ1721="À RADIOGRAPHIER",AQ1721="RÉPARÉ – À RADIOGRAPHIER",AQ1721="NX – RT À REFAIRE",AQ1721="À RÉPARER",AQ1721="COUPE – À RESOUDER",AQ1721="VT REJETÉ – À REPRENDRE")),MAX(0,'PROGRAMME RT'!$C$4-U1721),"")</f>
        <v/>
      </c>
      <c r="AS1721" s="82" t="n">
        <f aca="false">IF(AND(OR(AQ1721="À RADIOGRAPHIER",AQ1721="RÉPARÉ – À RADIOGRAPHIER",AQ1721="NX – RT À REFAIRE"),OR('PROGRAMME RT'!$D$5="TOUTES",B1721='PROGRAMME RT'!$D$5)),1,0)</f>
        <v>0</v>
      </c>
      <c r="AT1721" s="82" t="str">
        <f aca="false">IF(AS1721=1,SUM(AS$7:AS1721),"")</f>
        <v/>
      </c>
      <c r="AU1721" s="82" t="n">
        <f aca="false">IF(AND(OR(AA1721="R",AA1721="NX",AA1721="NT",AA1721="CO"),OR('JOINTS DE RÉPARATION'!$D$5="TOUTES",B1721='JOINTS DE RÉPARATION'!$D$5),OR('JOINTS DE RÉPARATION'!$L$4="TOUS",AQ1721&lt;&gt;"ACCEPTÉ")),1,0)</f>
        <v>0</v>
      </c>
      <c r="AV1721" s="82" t="str">
        <f aca="false">IF(AU1721=1,SUM(AU$7:AU1721),"")</f>
        <v/>
      </c>
      <c r="AW1721" s="82" t="str">
        <f aca="false">IF(E1721="","",B1721&amp;"|"&amp;E1721)</f>
        <v>MFD-ISW → MFD-CPF|DJ°182</v>
      </c>
    </row>
    <row r="1722" customFormat="false" ht="74.6" hidden="false" customHeight="false" outlineLevel="0" collapsed="false">
      <c r="A1722" s="79" t="n">
        <f aca="false">IF(E1722="","",ROW()-6)</f>
        <v>1716</v>
      </c>
      <c r="B1722" s="80" t="s">
        <v>110</v>
      </c>
      <c r="C1722" s="81" t="s">
        <v>2036</v>
      </c>
      <c r="D1722" s="81" t="n">
        <v>15</v>
      </c>
      <c r="E1722" s="81" t="s">
        <v>2088</v>
      </c>
      <c r="F1722" s="82" t="str">
        <f aca="false">IF(E1722="","",IF(LEFT(E1722,2)="DJ","DJ","JN"))</f>
        <v>JN</v>
      </c>
      <c r="G1722" s="81" t="s">
        <v>1504</v>
      </c>
      <c r="H1722" s="81" t="s">
        <v>871</v>
      </c>
      <c r="I1722" s="81" t="n">
        <v>9.53</v>
      </c>
      <c r="J1722" s="81" t="s">
        <v>872</v>
      </c>
      <c r="K1722" s="81" t="s">
        <v>879</v>
      </c>
      <c r="L1722" s="81" t="n">
        <v>2082210</v>
      </c>
      <c r="M1722" s="81" t="n">
        <v>15421104</v>
      </c>
      <c r="N1722" s="81" t="n">
        <v>11.94</v>
      </c>
      <c r="O1722" s="81" t="n">
        <v>2087860</v>
      </c>
      <c r="P1722" s="81" t="n">
        <v>15421108</v>
      </c>
      <c r="Q1722" s="81" t="n">
        <v>11.94</v>
      </c>
      <c r="R1722" s="81" t="s">
        <v>2039</v>
      </c>
      <c r="S1722" s="81"/>
      <c r="T1722" s="81"/>
      <c r="U1722" s="83" t="n">
        <v>46273</v>
      </c>
      <c r="V1722" s="83" t="n">
        <v>46273</v>
      </c>
      <c r="W1722" s="81" t="s">
        <v>2082</v>
      </c>
      <c r="X1722" s="81" t="s">
        <v>876</v>
      </c>
      <c r="Y1722" s="83" t="n">
        <v>46289</v>
      </c>
      <c r="Z1722" s="81" t="s">
        <v>2077</v>
      </c>
      <c r="AA1722" s="81" t="s">
        <v>876</v>
      </c>
      <c r="AB1722" s="81"/>
      <c r="AC1722" s="81"/>
      <c r="AD1722" s="81"/>
      <c r="AE1722" s="83"/>
      <c r="AF1722" s="81"/>
      <c r="AG1722" s="81"/>
      <c r="AH1722" s="81"/>
      <c r="AI1722" s="81"/>
      <c r="AJ1722" s="83"/>
      <c r="AK1722" s="81"/>
      <c r="AL1722" s="81"/>
      <c r="AM1722" s="83"/>
      <c r="AN1722" s="80"/>
      <c r="AO1722" s="82" t="n">
        <f aca="false">IF(E1722="","",(AA1722&lt;&gt;"")+(AG1722&lt;&gt;"")+(AL1722&lt;&gt;""))</f>
        <v>1</v>
      </c>
      <c r="AP1722" s="82" t="str">
        <f aca="false">IF(AL1722&lt;&gt;"",AL1722,IF(AG1722&lt;&gt;"",AG1722,IF(AA1722&lt;&gt;"",AA1722,"")))</f>
        <v>A</v>
      </c>
      <c r="AQ1722" s="84" t="str">
        <f aca="false">IF(E1722="","",IF(U1722="","À SOUDER",IF(X1722="","VT EN ATTENTE",IF(X1722="R","VT REJETÉ – À REPRENDRE",IF(AP1722="","À RADIOGRAPHIER",IF(AP1722="A","ACCEPTÉ",IF(AP1722="NX","NX – RT À REFAIRE",IF(IF(AO1722=1,AD1722,IF(AO1722=2,AI1722,""))="A","RÉPARÉ – À RADIOGRAPHIER",IF(IF(AO1722=1,AD1722,IF(AO1722=2,AI1722,""))="R","VT REJETÉ – À REPRENDRE",IF(OR(AP1722="CO",AP1722="NT"),"COUPE – À RESOUDER","À RÉPARER"))))))))))</f>
        <v>ACCEPTÉ</v>
      </c>
      <c r="AR1722" s="82" t="str">
        <f aca="false">IF(AND(ISNUMBER(U1722),OR(AQ1722="À RADIOGRAPHIER",AQ1722="RÉPARÉ – À RADIOGRAPHIER",AQ1722="NX – RT À REFAIRE",AQ1722="À RÉPARER",AQ1722="COUPE – À RESOUDER",AQ1722="VT REJETÉ – À REPRENDRE")),MAX(0,'PROGRAMME RT'!$C$4-U1722),"")</f>
        <v/>
      </c>
      <c r="AS1722" s="82" t="n">
        <f aca="false">IF(AND(OR(AQ1722="À RADIOGRAPHIER",AQ1722="RÉPARÉ – À RADIOGRAPHIER",AQ1722="NX – RT À REFAIRE"),OR('PROGRAMME RT'!$D$5="TOUTES",B1722='PROGRAMME RT'!$D$5)),1,0)</f>
        <v>0</v>
      </c>
      <c r="AT1722" s="82" t="str">
        <f aca="false">IF(AS1722=1,SUM(AS$7:AS1722),"")</f>
        <v/>
      </c>
      <c r="AU1722" s="82" t="n">
        <f aca="false">IF(AND(OR(AA1722="R",AA1722="NX",AA1722="NT",AA1722="CO"),OR('JOINTS DE RÉPARATION'!$D$5="TOUTES",B1722='JOINTS DE RÉPARATION'!$D$5),OR('JOINTS DE RÉPARATION'!$L$4="TOUS",AQ1722&lt;&gt;"ACCEPTÉ")),1,0)</f>
        <v>0</v>
      </c>
      <c r="AV1722" s="82" t="str">
        <f aca="false">IF(AU1722=1,SUM(AU$7:AU1722),"")</f>
        <v/>
      </c>
      <c r="AW1722" s="82" t="str">
        <f aca="false">IF(E1722="","",B1722&amp;"|"&amp;E1722)</f>
        <v>MFD-ISW → MFD-CPF|JN°1375</v>
      </c>
    </row>
    <row r="1723" customFormat="false" ht="74.6" hidden="false" customHeight="false" outlineLevel="0" collapsed="false">
      <c r="A1723" s="79" t="n">
        <f aca="false">IF(E1723="","",ROW()-6)</f>
        <v>1717</v>
      </c>
      <c r="B1723" s="80" t="s">
        <v>110</v>
      </c>
      <c r="C1723" s="81" t="s">
        <v>2036</v>
      </c>
      <c r="D1723" s="81" t="n">
        <v>15</v>
      </c>
      <c r="E1723" s="81" t="s">
        <v>2089</v>
      </c>
      <c r="F1723" s="82" t="str">
        <f aca="false">IF(E1723="","",IF(LEFT(E1723,2)="DJ","DJ","JN"))</f>
        <v>DJ</v>
      </c>
      <c r="G1723" s="81"/>
      <c r="H1723" s="81" t="s">
        <v>871</v>
      </c>
      <c r="I1723" s="81" t="n">
        <v>9.53</v>
      </c>
      <c r="J1723" s="81" t="s">
        <v>872</v>
      </c>
      <c r="K1723" s="81" t="s">
        <v>873</v>
      </c>
      <c r="L1723" s="81" t="n">
        <v>2087860</v>
      </c>
      <c r="M1723" s="81" t="n">
        <v>15421108</v>
      </c>
      <c r="N1723" s="81" t="n">
        <v>11.94</v>
      </c>
      <c r="O1723" s="81" t="n">
        <v>2053440</v>
      </c>
      <c r="P1723" s="81" t="n">
        <v>15421110</v>
      </c>
      <c r="Q1723" s="81" t="n">
        <v>11.94</v>
      </c>
      <c r="R1723" s="81" t="s">
        <v>963</v>
      </c>
      <c r="S1723" s="81"/>
      <c r="T1723" s="81"/>
      <c r="U1723" s="83" t="n">
        <v>46260</v>
      </c>
      <c r="V1723" s="83" t="n">
        <v>46260</v>
      </c>
      <c r="W1723" s="81" t="s">
        <v>2030</v>
      </c>
      <c r="X1723" s="81" t="s">
        <v>876</v>
      </c>
      <c r="Y1723" s="83" t="n">
        <v>46262</v>
      </c>
      <c r="Z1723" s="81" t="s">
        <v>2090</v>
      </c>
      <c r="AA1723" s="81" t="s">
        <v>876</v>
      </c>
      <c r="AB1723" s="81"/>
      <c r="AC1723" s="81"/>
      <c r="AD1723" s="81"/>
      <c r="AE1723" s="83"/>
      <c r="AF1723" s="81"/>
      <c r="AG1723" s="81"/>
      <c r="AH1723" s="81"/>
      <c r="AI1723" s="81"/>
      <c r="AJ1723" s="83"/>
      <c r="AK1723" s="81"/>
      <c r="AL1723" s="81"/>
      <c r="AM1723" s="83"/>
      <c r="AN1723" s="80"/>
      <c r="AO1723" s="82" t="n">
        <f aca="false">IF(E1723="","",(AA1723&lt;&gt;"")+(AG1723&lt;&gt;"")+(AL1723&lt;&gt;""))</f>
        <v>1</v>
      </c>
      <c r="AP1723" s="82" t="str">
        <f aca="false">IF(AL1723&lt;&gt;"",AL1723,IF(AG1723&lt;&gt;"",AG1723,IF(AA1723&lt;&gt;"",AA1723,"")))</f>
        <v>A</v>
      </c>
      <c r="AQ1723" s="84" t="str">
        <f aca="false">IF(E1723="","",IF(U1723="","À SOUDER",IF(X1723="","VT EN ATTENTE",IF(X1723="R","VT REJETÉ – À REPRENDRE",IF(AP1723="","À RADIOGRAPHIER",IF(AP1723="A","ACCEPTÉ",IF(AP1723="NX","NX – RT À REFAIRE",IF(IF(AO1723=1,AD1723,IF(AO1723=2,AI1723,""))="A","RÉPARÉ – À RADIOGRAPHIER",IF(IF(AO1723=1,AD1723,IF(AO1723=2,AI1723,""))="R","VT REJETÉ – À REPRENDRE",IF(OR(AP1723="CO",AP1723="NT"),"COUPE – À RESOUDER","À RÉPARER"))))))))))</f>
        <v>ACCEPTÉ</v>
      </c>
      <c r="AR1723" s="82" t="str">
        <f aca="false">IF(AND(ISNUMBER(U1723),OR(AQ1723="À RADIOGRAPHIER",AQ1723="RÉPARÉ – À RADIOGRAPHIER",AQ1723="NX – RT À REFAIRE",AQ1723="À RÉPARER",AQ1723="COUPE – À RESOUDER",AQ1723="VT REJETÉ – À REPRENDRE")),MAX(0,'PROGRAMME RT'!$C$4-U1723),"")</f>
        <v/>
      </c>
      <c r="AS1723" s="82" t="n">
        <f aca="false">IF(AND(OR(AQ1723="À RADIOGRAPHIER",AQ1723="RÉPARÉ – À RADIOGRAPHIER",AQ1723="NX – RT À REFAIRE"),OR('PROGRAMME RT'!$D$5="TOUTES",B1723='PROGRAMME RT'!$D$5)),1,0)</f>
        <v>0</v>
      </c>
      <c r="AT1723" s="82" t="str">
        <f aca="false">IF(AS1723=1,SUM(AS$7:AS1723),"")</f>
        <v/>
      </c>
      <c r="AU1723" s="82" t="n">
        <f aca="false">IF(AND(OR(AA1723="R",AA1723="NX",AA1723="NT",AA1723="CO"),OR('JOINTS DE RÉPARATION'!$D$5="TOUTES",B1723='JOINTS DE RÉPARATION'!$D$5),OR('JOINTS DE RÉPARATION'!$L$4="TOUS",AQ1723&lt;&gt;"ACCEPTÉ")),1,0)</f>
        <v>0</v>
      </c>
      <c r="AV1723" s="82" t="str">
        <f aca="false">IF(AU1723=1,SUM(AU$7:AU1723),"")</f>
        <v/>
      </c>
      <c r="AW1723" s="82" t="str">
        <f aca="false">IF(E1723="","",B1723&amp;"|"&amp;E1723)</f>
        <v>MFD-ISW → MFD-CPF|DJ°158</v>
      </c>
    </row>
    <row r="1724" customFormat="false" ht="74.6" hidden="false" customHeight="false" outlineLevel="0" collapsed="false">
      <c r="A1724" s="79" t="n">
        <f aca="false">IF(E1724="","",ROW()-6)</f>
        <v>1718</v>
      </c>
      <c r="B1724" s="80" t="s">
        <v>110</v>
      </c>
      <c r="C1724" s="81" t="s">
        <v>2036</v>
      </c>
      <c r="D1724" s="81" t="n">
        <v>15</v>
      </c>
      <c r="E1724" s="81" t="s">
        <v>2091</v>
      </c>
      <c r="F1724" s="82" t="str">
        <f aca="false">IF(E1724="","",IF(LEFT(E1724,2)="DJ","DJ","JN"))</f>
        <v>JN</v>
      </c>
      <c r="G1724" s="81" t="s">
        <v>1504</v>
      </c>
      <c r="H1724" s="81" t="s">
        <v>871</v>
      </c>
      <c r="I1724" s="81" t="n">
        <v>9.53</v>
      </c>
      <c r="J1724" s="81" t="s">
        <v>872</v>
      </c>
      <c r="K1724" s="81" t="s">
        <v>879</v>
      </c>
      <c r="L1724" s="81" t="n">
        <v>2053440</v>
      </c>
      <c r="M1724" s="81" t="n">
        <v>15421110</v>
      </c>
      <c r="N1724" s="81" t="n">
        <v>11.94</v>
      </c>
      <c r="O1724" s="81" t="n">
        <v>2096290</v>
      </c>
      <c r="P1724" s="81" t="n">
        <v>15421111</v>
      </c>
      <c r="Q1724" s="81" t="n">
        <v>11.94</v>
      </c>
      <c r="R1724" s="81" t="s">
        <v>2039</v>
      </c>
      <c r="S1724" s="81"/>
      <c r="T1724" s="81"/>
      <c r="U1724" s="83" t="n">
        <v>46273</v>
      </c>
      <c r="V1724" s="83" t="n">
        <v>46273</v>
      </c>
      <c r="W1724" s="81" t="s">
        <v>2082</v>
      </c>
      <c r="X1724" s="81" t="s">
        <v>876</v>
      </c>
      <c r="Y1724" s="83" t="n">
        <v>46289</v>
      </c>
      <c r="Z1724" s="81" t="s">
        <v>2077</v>
      </c>
      <c r="AA1724" s="81" t="s">
        <v>1073</v>
      </c>
      <c r="AB1724" s="81" t="s">
        <v>2092</v>
      </c>
      <c r="AC1724" s="81"/>
      <c r="AD1724" s="81"/>
      <c r="AE1724" s="83"/>
      <c r="AF1724" s="81"/>
      <c r="AG1724" s="81"/>
      <c r="AH1724" s="81"/>
      <c r="AI1724" s="81"/>
      <c r="AJ1724" s="83"/>
      <c r="AK1724" s="81"/>
      <c r="AL1724" s="81"/>
      <c r="AM1724" s="83"/>
      <c r="AN1724" s="80"/>
      <c r="AO1724" s="82" t="n">
        <f aca="false">IF(E1724="","",(AA1724&lt;&gt;"")+(AG1724&lt;&gt;"")+(AL1724&lt;&gt;""))</f>
        <v>1</v>
      </c>
      <c r="AP1724" s="82" t="str">
        <f aca="false">IF(AL1724&lt;&gt;"",AL1724,IF(AG1724&lt;&gt;"",AG1724,IF(AA1724&lt;&gt;"",AA1724,"")))</f>
        <v>R</v>
      </c>
      <c r="AQ1724" s="84" t="str">
        <f aca="false">IF(E1724="","",IF(U1724="","À SOUDER",IF(X1724="","VT EN ATTENTE",IF(X1724="R","VT REJETÉ – À REPRENDRE",IF(AP1724="","À RADIOGRAPHIER",IF(AP1724="A","ACCEPTÉ",IF(AP1724="NX","NX – RT À REFAIRE",IF(IF(AO1724=1,AD1724,IF(AO1724=2,AI1724,""))="A","RÉPARÉ – À RADIOGRAPHIER",IF(IF(AO1724=1,AD1724,IF(AO1724=2,AI1724,""))="R","VT REJETÉ – À REPRENDRE",IF(OR(AP1724="CO",AP1724="NT"),"COUPE – À RESOUDER","À RÉPARER"))))))))))</f>
        <v>À RÉPARER</v>
      </c>
      <c r="AR1724" s="82" t="n">
        <f aca="false">IF(AND(ISNUMBER(U1724),OR(AQ1724="À RADIOGRAPHIER",AQ1724="RÉPARÉ – À RADIOGRAPHIER",AQ1724="NX – RT À REFAIRE",AQ1724="À RÉPARER",AQ1724="COUPE – À RESOUDER",AQ1724="VT REJETÉ – À REPRENDRE")),MAX(0,'PROGRAMME RT'!$C$4-U1724),"")</f>
        <v>20</v>
      </c>
      <c r="AS1724" s="82" t="n">
        <f aca="false">IF(AND(OR(AQ1724="À RADIOGRAPHIER",AQ1724="RÉPARÉ – À RADIOGRAPHIER",AQ1724="NX – RT À REFAIRE"),OR('PROGRAMME RT'!$D$5="TOUTES",B1724='PROGRAMME RT'!$D$5)),1,0)</f>
        <v>0</v>
      </c>
      <c r="AT1724" s="82" t="str">
        <f aca="false">IF(AS1724=1,SUM(AS$7:AS1724),"")</f>
        <v/>
      </c>
      <c r="AU1724" s="82" t="n">
        <f aca="false">IF(AND(OR(AA1724="R",AA1724="NX",AA1724="NT",AA1724="CO"),OR('JOINTS DE RÉPARATION'!$D$5="TOUTES",B1724='JOINTS DE RÉPARATION'!$D$5),OR('JOINTS DE RÉPARATION'!$L$4="TOUS",AQ1724&lt;&gt;"ACCEPTÉ")),1,0)</f>
        <v>1</v>
      </c>
      <c r="AV1724" s="82" t="n">
        <f aca="false">IF(AU1724=1,SUM(AU$7:AU1724),"")</f>
        <v>49</v>
      </c>
      <c r="AW1724" s="82" t="str">
        <f aca="false">IF(E1724="","",B1724&amp;"|"&amp;E1724)</f>
        <v>MFD-ISW → MFD-CPF|JN°1376</v>
      </c>
    </row>
    <row r="1725" customFormat="false" ht="74.6" hidden="false" customHeight="false" outlineLevel="0" collapsed="false">
      <c r="A1725" s="79" t="n">
        <f aca="false">IF(E1725="","",ROW()-6)</f>
        <v>1719</v>
      </c>
      <c r="B1725" s="80" t="s">
        <v>110</v>
      </c>
      <c r="C1725" s="81" t="s">
        <v>2036</v>
      </c>
      <c r="D1725" s="81" t="n">
        <v>15</v>
      </c>
      <c r="E1725" s="81" t="s">
        <v>2093</v>
      </c>
      <c r="F1725" s="82" t="str">
        <f aca="false">IF(E1725="","",IF(LEFT(E1725,2)="DJ","DJ","JN"))</f>
        <v>DJ</v>
      </c>
      <c r="G1725" s="81"/>
      <c r="H1725" s="81" t="s">
        <v>871</v>
      </c>
      <c r="I1725" s="81" t="n">
        <v>9.53</v>
      </c>
      <c r="J1725" s="81" t="s">
        <v>872</v>
      </c>
      <c r="K1725" s="81" t="s">
        <v>873</v>
      </c>
      <c r="L1725" s="81" t="n">
        <v>2096290</v>
      </c>
      <c r="M1725" s="81" t="n">
        <v>15421111</v>
      </c>
      <c r="N1725" s="81" t="n">
        <v>11.94</v>
      </c>
      <c r="O1725" s="81" t="n">
        <v>2083830</v>
      </c>
      <c r="P1725" s="81" t="n">
        <v>15421105</v>
      </c>
      <c r="Q1725" s="81" t="n">
        <v>11.94</v>
      </c>
      <c r="R1725" s="81" t="s">
        <v>874</v>
      </c>
      <c r="S1725" s="81"/>
      <c r="T1725" s="81"/>
      <c r="U1725" s="83" t="n">
        <v>46259</v>
      </c>
      <c r="V1725" s="83" t="n">
        <v>46259</v>
      </c>
      <c r="W1725" s="81" t="s">
        <v>2094</v>
      </c>
      <c r="X1725" s="81" t="s">
        <v>876</v>
      </c>
      <c r="Y1725" s="83" t="n">
        <v>46261</v>
      </c>
      <c r="Z1725" s="81" t="s">
        <v>2095</v>
      </c>
      <c r="AA1725" s="81" t="s">
        <v>876</v>
      </c>
      <c r="AB1725" s="81"/>
      <c r="AC1725" s="81"/>
      <c r="AD1725" s="81"/>
      <c r="AE1725" s="83"/>
      <c r="AF1725" s="81"/>
      <c r="AG1725" s="81"/>
      <c r="AH1725" s="81"/>
      <c r="AI1725" s="81"/>
      <c r="AJ1725" s="83"/>
      <c r="AK1725" s="81"/>
      <c r="AL1725" s="81"/>
      <c r="AM1725" s="83"/>
      <c r="AN1725" s="80"/>
      <c r="AO1725" s="82" t="n">
        <f aca="false">IF(E1725="","",(AA1725&lt;&gt;"")+(AG1725&lt;&gt;"")+(AL1725&lt;&gt;""))</f>
        <v>1</v>
      </c>
      <c r="AP1725" s="82" t="str">
        <f aca="false">IF(AL1725&lt;&gt;"",AL1725,IF(AG1725&lt;&gt;"",AG1725,IF(AA1725&lt;&gt;"",AA1725,"")))</f>
        <v>A</v>
      </c>
      <c r="AQ1725" s="84" t="str">
        <f aca="false">IF(E1725="","",IF(U1725="","À SOUDER",IF(X1725="","VT EN ATTENTE",IF(X1725="R","VT REJETÉ – À REPRENDRE",IF(AP1725="","À RADIOGRAPHIER",IF(AP1725="A","ACCEPTÉ",IF(AP1725="NX","NX – RT À REFAIRE",IF(IF(AO1725=1,AD1725,IF(AO1725=2,AI1725,""))="A","RÉPARÉ – À RADIOGRAPHIER",IF(IF(AO1725=1,AD1725,IF(AO1725=2,AI1725,""))="R","VT REJETÉ – À REPRENDRE",IF(OR(AP1725="CO",AP1725="NT"),"COUPE – À RESOUDER","À RÉPARER"))))))))))</f>
        <v>ACCEPTÉ</v>
      </c>
      <c r="AR1725" s="82" t="str">
        <f aca="false">IF(AND(ISNUMBER(U1725),OR(AQ1725="À RADIOGRAPHIER",AQ1725="RÉPARÉ – À RADIOGRAPHIER",AQ1725="NX – RT À REFAIRE",AQ1725="À RÉPARER",AQ1725="COUPE – À RESOUDER",AQ1725="VT REJETÉ – À REPRENDRE")),MAX(0,'PROGRAMME RT'!$C$4-U1725),"")</f>
        <v/>
      </c>
      <c r="AS1725" s="82" t="n">
        <f aca="false">IF(AND(OR(AQ1725="À RADIOGRAPHIER",AQ1725="RÉPARÉ – À RADIOGRAPHIER",AQ1725="NX – RT À REFAIRE"),OR('PROGRAMME RT'!$D$5="TOUTES",B1725='PROGRAMME RT'!$D$5)),1,0)</f>
        <v>0</v>
      </c>
      <c r="AT1725" s="82" t="str">
        <f aca="false">IF(AS1725=1,SUM(AS$7:AS1725),"")</f>
        <v/>
      </c>
      <c r="AU1725" s="82" t="n">
        <f aca="false">IF(AND(OR(AA1725="R",AA1725="NX",AA1725="NT",AA1725="CO"),OR('JOINTS DE RÉPARATION'!$D$5="TOUTES",B1725='JOINTS DE RÉPARATION'!$D$5),OR('JOINTS DE RÉPARATION'!$L$4="TOUS",AQ1725&lt;&gt;"ACCEPTÉ")),1,0)</f>
        <v>0</v>
      </c>
      <c r="AV1725" s="82" t="str">
        <f aca="false">IF(AU1725=1,SUM(AU$7:AU1725),"")</f>
        <v/>
      </c>
      <c r="AW1725" s="82" t="str">
        <f aca="false">IF(E1725="","",B1725&amp;"|"&amp;E1725)</f>
        <v>MFD-ISW → MFD-CPF|DJ°141</v>
      </c>
    </row>
    <row r="1726" customFormat="false" ht="74.6" hidden="false" customHeight="false" outlineLevel="0" collapsed="false">
      <c r="A1726" s="79" t="n">
        <f aca="false">IF(E1726="","",ROW()-6)</f>
        <v>1720</v>
      </c>
      <c r="B1726" s="80" t="s">
        <v>110</v>
      </c>
      <c r="C1726" s="81" t="s">
        <v>2036</v>
      </c>
      <c r="D1726" s="81" t="n">
        <v>15</v>
      </c>
      <c r="E1726" s="81" t="s">
        <v>2096</v>
      </c>
      <c r="F1726" s="82" t="str">
        <f aca="false">IF(E1726="","",IF(LEFT(E1726,2)="DJ","DJ","JN"))</f>
        <v>JN</v>
      </c>
      <c r="G1726" s="81" t="s">
        <v>1504</v>
      </c>
      <c r="H1726" s="81" t="s">
        <v>871</v>
      </c>
      <c r="I1726" s="81" t="n">
        <v>9.53</v>
      </c>
      <c r="J1726" s="81" t="s">
        <v>872</v>
      </c>
      <c r="K1726" s="81" t="s">
        <v>879</v>
      </c>
      <c r="L1726" s="81" t="n">
        <v>2083830</v>
      </c>
      <c r="M1726" s="81" t="n">
        <v>15421105</v>
      </c>
      <c r="N1726" s="81" t="n">
        <v>11.94</v>
      </c>
      <c r="O1726" s="81" t="n">
        <v>2095430</v>
      </c>
      <c r="P1726" s="81" t="n">
        <v>15421111</v>
      </c>
      <c r="Q1726" s="81" t="n">
        <v>11.94</v>
      </c>
      <c r="R1726" s="81" t="s">
        <v>2097</v>
      </c>
      <c r="S1726" s="81"/>
      <c r="T1726" s="81"/>
      <c r="U1726" s="83" t="n">
        <v>46272</v>
      </c>
      <c r="V1726" s="83" t="n">
        <v>46272</v>
      </c>
      <c r="W1726" s="81" t="s">
        <v>2098</v>
      </c>
      <c r="X1726" s="81" t="s">
        <v>876</v>
      </c>
      <c r="Y1726" s="83" t="n">
        <v>46289</v>
      </c>
      <c r="Z1726" s="81" t="s">
        <v>2077</v>
      </c>
      <c r="AA1726" s="81" t="s">
        <v>876</v>
      </c>
      <c r="AB1726" s="81"/>
      <c r="AC1726" s="81"/>
      <c r="AD1726" s="81"/>
      <c r="AE1726" s="83"/>
      <c r="AF1726" s="81"/>
      <c r="AG1726" s="81"/>
      <c r="AH1726" s="81"/>
      <c r="AI1726" s="81"/>
      <c r="AJ1726" s="83"/>
      <c r="AK1726" s="81"/>
      <c r="AL1726" s="81"/>
      <c r="AM1726" s="83"/>
      <c r="AN1726" s="80"/>
      <c r="AO1726" s="82" t="n">
        <f aca="false">IF(E1726="","",(AA1726&lt;&gt;"")+(AG1726&lt;&gt;"")+(AL1726&lt;&gt;""))</f>
        <v>1</v>
      </c>
      <c r="AP1726" s="82" t="str">
        <f aca="false">IF(AL1726&lt;&gt;"",AL1726,IF(AG1726&lt;&gt;"",AG1726,IF(AA1726&lt;&gt;"",AA1726,"")))</f>
        <v>A</v>
      </c>
      <c r="AQ1726" s="84" t="str">
        <f aca="false">IF(E1726="","",IF(U1726="","À SOUDER",IF(X1726="","VT EN ATTENTE",IF(X1726="R","VT REJETÉ – À REPRENDRE",IF(AP1726="","À RADIOGRAPHIER",IF(AP1726="A","ACCEPTÉ",IF(AP1726="NX","NX – RT À REFAIRE",IF(IF(AO1726=1,AD1726,IF(AO1726=2,AI1726,""))="A","RÉPARÉ – À RADIOGRAPHIER",IF(IF(AO1726=1,AD1726,IF(AO1726=2,AI1726,""))="R","VT REJETÉ – À REPRENDRE",IF(OR(AP1726="CO",AP1726="NT"),"COUPE – À RESOUDER","À RÉPARER"))))))))))</f>
        <v>ACCEPTÉ</v>
      </c>
      <c r="AR1726" s="82" t="str">
        <f aca="false">IF(AND(ISNUMBER(U1726),OR(AQ1726="À RADIOGRAPHIER",AQ1726="RÉPARÉ – À RADIOGRAPHIER",AQ1726="NX – RT À REFAIRE",AQ1726="À RÉPARER",AQ1726="COUPE – À RESOUDER",AQ1726="VT REJETÉ – À REPRENDRE")),MAX(0,'PROGRAMME RT'!$C$4-U1726),"")</f>
        <v/>
      </c>
      <c r="AS1726" s="82" t="n">
        <f aca="false">IF(AND(OR(AQ1726="À RADIOGRAPHIER",AQ1726="RÉPARÉ – À RADIOGRAPHIER",AQ1726="NX – RT À REFAIRE"),OR('PROGRAMME RT'!$D$5="TOUTES",B1726='PROGRAMME RT'!$D$5)),1,0)</f>
        <v>0</v>
      </c>
      <c r="AT1726" s="82" t="str">
        <f aca="false">IF(AS1726=1,SUM(AS$7:AS1726),"")</f>
        <v/>
      </c>
      <c r="AU1726" s="82" t="n">
        <f aca="false">IF(AND(OR(AA1726="R",AA1726="NX",AA1726="NT",AA1726="CO"),OR('JOINTS DE RÉPARATION'!$D$5="TOUTES",B1726='JOINTS DE RÉPARATION'!$D$5),OR('JOINTS DE RÉPARATION'!$L$4="TOUS",AQ1726&lt;&gt;"ACCEPTÉ")),1,0)</f>
        <v>0</v>
      </c>
      <c r="AV1726" s="82" t="str">
        <f aca="false">IF(AU1726=1,SUM(AU$7:AU1726),"")</f>
        <v/>
      </c>
      <c r="AW1726" s="82" t="str">
        <f aca="false">IF(E1726="","",B1726&amp;"|"&amp;E1726)</f>
        <v>MFD-ISW → MFD-CPF|JN°1377</v>
      </c>
    </row>
    <row r="1727" customFormat="false" ht="74.6" hidden="false" customHeight="false" outlineLevel="0" collapsed="false">
      <c r="A1727" s="79" t="n">
        <f aca="false">IF(E1727="","",ROW()-6)</f>
        <v>1721</v>
      </c>
      <c r="B1727" s="80" t="s">
        <v>110</v>
      </c>
      <c r="C1727" s="81" t="s">
        <v>2036</v>
      </c>
      <c r="D1727" s="81" t="n">
        <v>15</v>
      </c>
      <c r="E1727" s="81" t="s">
        <v>2099</v>
      </c>
      <c r="F1727" s="82" t="str">
        <f aca="false">IF(E1727="","",IF(LEFT(E1727,2)="DJ","DJ","JN"))</f>
        <v>DJ</v>
      </c>
      <c r="G1727" s="81"/>
      <c r="H1727" s="81" t="s">
        <v>871</v>
      </c>
      <c r="I1727" s="81" t="n">
        <v>9.53</v>
      </c>
      <c r="J1727" s="81" t="s">
        <v>872</v>
      </c>
      <c r="K1727" s="81" t="s">
        <v>873</v>
      </c>
      <c r="L1727" s="81" t="n">
        <v>2095430</v>
      </c>
      <c r="M1727" s="81" t="n">
        <v>15421111</v>
      </c>
      <c r="N1727" s="81" t="n">
        <v>11.94</v>
      </c>
      <c r="O1727" s="81" t="n">
        <v>2095430</v>
      </c>
      <c r="P1727" s="81" t="n">
        <v>15421111</v>
      </c>
      <c r="Q1727" s="81" t="n">
        <v>11.94</v>
      </c>
      <c r="R1727" s="81" t="s">
        <v>1135</v>
      </c>
      <c r="S1727" s="81"/>
      <c r="T1727" s="81"/>
      <c r="U1727" s="83" t="n">
        <v>46259</v>
      </c>
      <c r="V1727" s="83" t="n">
        <v>46259</v>
      </c>
      <c r="W1727" s="81" t="s">
        <v>2094</v>
      </c>
      <c r="X1727" s="81" t="s">
        <v>876</v>
      </c>
      <c r="Y1727" s="83" t="n">
        <v>46261</v>
      </c>
      <c r="Z1727" s="81" t="s">
        <v>2095</v>
      </c>
      <c r="AA1727" s="81" t="s">
        <v>876</v>
      </c>
      <c r="AB1727" s="81"/>
      <c r="AC1727" s="81"/>
      <c r="AD1727" s="81"/>
      <c r="AE1727" s="83"/>
      <c r="AF1727" s="81"/>
      <c r="AG1727" s="81"/>
      <c r="AH1727" s="81"/>
      <c r="AI1727" s="81"/>
      <c r="AJ1727" s="83"/>
      <c r="AK1727" s="81"/>
      <c r="AL1727" s="81"/>
      <c r="AM1727" s="83"/>
      <c r="AN1727" s="80"/>
      <c r="AO1727" s="82" t="n">
        <f aca="false">IF(E1727="","",(AA1727&lt;&gt;"")+(AG1727&lt;&gt;"")+(AL1727&lt;&gt;""))</f>
        <v>1</v>
      </c>
      <c r="AP1727" s="82" t="str">
        <f aca="false">IF(AL1727&lt;&gt;"",AL1727,IF(AG1727&lt;&gt;"",AG1727,IF(AA1727&lt;&gt;"",AA1727,"")))</f>
        <v>A</v>
      </c>
      <c r="AQ1727" s="84" t="str">
        <f aca="false">IF(E1727="","",IF(U1727="","À SOUDER",IF(X1727="","VT EN ATTENTE",IF(X1727="R","VT REJETÉ – À REPRENDRE",IF(AP1727="","À RADIOGRAPHIER",IF(AP1727="A","ACCEPTÉ",IF(AP1727="NX","NX – RT À REFAIRE",IF(IF(AO1727=1,AD1727,IF(AO1727=2,AI1727,""))="A","RÉPARÉ – À RADIOGRAPHIER",IF(IF(AO1727=1,AD1727,IF(AO1727=2,AI1727,""))="R","VT REJETÉ – À REPRENDRE",IF(OR(AP1727="CO",AP1727="NT"),"COUPE – À RESOUDER","À RÉPARER"))))))))))</f>
        <v>ACCEPTÉ</v>
      </c>
      <c r="AR1727" s="82" t="str">
        <f aca="false">IF(AND(ISNUMBER(U1727),OR(AQ1727="À RADIOGRAPHIER",AQ1727="RÉPARÉ – À RADIOGRAPHIER",AQ1727="NX – RT À REFAIRE",AQ1727="À RÉPARER",AQ1727="COUPE – À RESOUDER",AQ1727="VT REJETÉ – À REPRENDRE")),MAX(0,'PROGRAMME RT'!$C$4-U1727),"")</f>
        <v/>
      </c>
      <c r="AS1727" s="82" t="n">
        <f aca="false">IF(AND(OR(AQ1727="À RADIOGRAPHIER",AQ1727="RÉPARÉ – À RADIOGRAPHIER",AQ1727="NX – RT À REFAIRE"),OR('PROGRAMME RT'!$D$5="TOUTES",B1727='PROGRAMME RT'!$D$5)),1,0)</f>
        <v>0</v>
      </c>
      <c r="AT1727" s="82" t="str">
        <f aca="false">IF(AS1727=1,SUM(AS$7:AS1727),"")</f>
        <v/>
      </c>
      <c r="AU1727" s="82" t="n">
        <f aca="false">IF(AND(OR(AA1727="R",AA1727="NX",AA1727="NT",AA1727="CO"),OR('JOINTS DE RÉPARATION'!$D$5="TOUTES",B1727='JOINTS DE RÉPARATION'!$D$5),OR('JOINTS DE RÉPARATION'!$L$4="TOUS",AQ1727&lt;&gt;"ACCEPTÉ")),1,0)</f>
        <v>0</v>
      </c>
      <c r="AV1727" s="82" t="str">
        <f aca="false">IF(AU1727=1,SUM(AU$7:AU1727),"")</f>
        <v/>
      </c>
      <c r="AW1727" s="82" t="str">
        <f aca="false">IF(E1727="","",B1727&amp;"|"&amp;E1727)</f>
        <v>MFD-ISW → MFD-CPF|DJ°146</v>
      </c>
    </row>
    <row r="1728" customFormat="false" ht="74.6" hidden="false" customHeight="false" outlineLevel="0" collapsed="false">
      <c r="A1728" s="79" t="n">
        <f aca="false">IF(E1728="","",ROW()-6)</f>
        <v>1722</v>
      </c>
      <c r="B1728" s="80" t="s">
        <v>110</v>
      </c>
      <c r="C1728" s="81" t="s">
        <v>2036</v>
      </c>
      <c r="D1728" s="81" t="n">
        <v>15</v>
      </c>
      <c r="E1728" s="81" t="s">
        <v>2100</v>
      </c>
      <c r="F1728" s="82" t="str">
        <f aca="false">IF(E1728="","",IF(LEFT(E1728,2)="DJ","DJ","JN"))</f>
        <v>JN</v>
      </c>
      <c r="G1728" s="81" t="s">
        <v>1504</v>
      </c>
      <c r="H1728" s="81" t="s">
        <v>871</v>
      </c>
      <c r="I1728" s="81" t="n">
        <v>9.53</v>
      </c>
      <c r="J1728" s="81" t="s">
        <v>872</v>
      </c>
      <c r="K1728" s="81" t="s">
        <v>879</v>
      </c>
      <c r="L1728" s="81" t="n">
        <v>2095430</v>
      </c>
      <c r="M1728" s="81" t="n">
        <v>15421111</v>
      </c>
      <c r="N1728" s="81" t="n">
        <v>11.94</v>
      </c>
      <c r="O1728" s="81" t="n">
        <v>2092530</v>
      </c>
      <c r="P1728" s="81" t="n">
        <v>15421110</v>
      </c>
      <c r="Q1728" s="81" t="n">
        <v>11.94</v>
      </c>
      <c r="R1728" s="81" t="s">
        <v>2097</v>
      </c>
      <c r="S1728" s="81"/>
      <c r="T1728" s="81"/>
      <c r="U1728" s="83" t="n">
        <v>46272</v>
      </c>
      <c r="V1728" s="83" t="n">
        <v>46272</v>
      </c>
      <c r="W1728" s="81" t="s">
        <v>2098</v>
      </c>
      <c r="X1728" s="81" t="s">
        <v>876</v>
      </c>
      <c r="Y1728" s="83" t="n">
        <v>46289</v>
      </c>
      <c r="Z1728" s="81" t="s">
        <v>2077</v>
      </c>
      <c r="AA1728" s="81" t="s">
        <v>876</v>
      </c>
      <c r="AB1728" s="81"/>
      <c r="AC1728" s="81"/>
      <c r="AD1728" s="81"/>
      <c r="AE1728" s="83"/>
      <c r="AF1728" s="81"/>
      <c r="AG1728" s="81"/>
      <c r="AH1728" s="81"/>
      <c r="AI1728" s="81"/>
      <c r="AJ1728" s="83"/>
      <c r="AK1728" s="81"/>
      <c r="AL1728" s="81"/>
      <c r="AM1728" s="83"/>
      <c r="AN1728" s="80"/>
      <c r="AO1728" s="82" t="n">
        <f aca="false">IF(E1728="","",(AA1728&lt;&gt;"")+(AG1728&lt;&gt;"")+(AL1728&lt;&gt;""))</f>
        <v>1</v>
      </c>
      <c r="AP1728" s="82" t="str">
        <f aca="false">IF(AL1728&lt;&gt;"",AL1728,IF(AG1728&lt;&gt;"",AG1728,IF(AA1728&lt;&gt;"",AA1728,"")))</f>
        <v>A</v>
      </c>
      <c r="AQ1728" s="84" t="str">
        <f aca="false">IF(E1728="","",IF(U1728="","À SOUDER",IF(X1728="","VT EN ATTENTE",IF(X1728="R","VT REJETÉ – À REPRENDRE",IF(AP1728="","À RADIOGRAPHIER",IF(AP1728="A","ACCEPTÉ",IF(AP1728="NX","NX – RT À REFAIRE",IF(IF(AO1728=1,AD1728,IF(AO1728=2,AI1728,""))="A","RÉPARÉ – À RADIOGRAPHIER",IF(IF(AO1728=1,AD1728,IF(AO1728=2,AI1728,""))="R","VT REJETÉ – À REPRENDRE",IF(OR(AP1728="CO",AP1728="NT"),"COUPE – À RESOUDER","À RÉPARER"))))))))))</f>
        <v>ACCEPTÉ</v>
      </c>
      <c r="AR1728" s="82" t="str">
        <f aca="false">IF(AND(ISNUMBER(U1728),OR(AQ1728="À RADIOGRAPHIER",AQ1728="RÉPARÉ – À RADIOGRAPHIER",AQ1728="NX – RT À REFAIRE",AQ1728="À RÉPARER",AQ1728="COUPE – À RESOUDER",AQ1728="VT REJETÉ – À REPRENDRE")),MAX(0,'PROGRAMME RT'!$C$4-U1728),"")</f>
        <v/>
      </c>
      <c r="AS1728" s="82" t="n">
        <f aca="false">IF(AND(OR(AQ1728="À RADIOGRAPHIER",AQ1728="RÉPARÉ – À RADIOGRAPHIER",AQ1728="NX – RT À REFAIRE"),OR('PROGRAMME RT'!$D$5="TOUTES",B1728='PROGRAMME RT'!$D$5)),1,0)</f>
        <v>0</v>
      </c>
      <c r="AT1728" s="82" t="str">
        <f aca="false">IF(AS1728=1,SUM(AS$7:AS1728),"")</f>
        <v/>
      </c>
      <c r="AU1728" s="82" t="n">
        <f aca="false">IF(AND(OR(AA1728="R",AA1728="NX",AA1728="NT",AA1728="CO"),OR('JOINTS DE RÉPARATION'!$D$5="TOUTES",B1728='JOINTS DE RÉPARATION'!$D$5),OR('JOINTS DE RÉPARATION'!$L$4="TOUS",AQ1728&lt;&gt;"ACCEPTÉ")),1,0)</f>
        <v>0</v>
      </c>
      <c r="AV1728" s="82" t="str">
        <f aca="false">IF(AU1728=1,SUM(AU$7:AU1728),"")</f>
        <v/>
      </c>
      <c r="AW1728" s="82" t="str">
        <f aca="false">IF(E1728="","",B1728&amp;"|"&amp;E1728)</f>
        <v>MFD-ISW → MFD-CPF|JN°1378</v>
      </c>
    </row>
    <row r="1729" customFormat="false" ht="74.6" hidden="false" customHeight="false" outlineLevel="0" collapsed="false">
      <c r="A1729" s="79" t="n">
        <f aca="false">IF(E1729="","",ROW()-6)</f>
        <v>1723</v>
      </c>
      <c r="B1729" s="80" t="s">
        <v>110</v>
      </c>
      <c r="C1729" s="81" t="s">
        <v>2036</v>
      </c>
      <c r="D1729" s="81" t="n">
        <v>15</v>
      </c>
      <c r="E1729" s="81" t="s">
        <v>2101</v>
      </c>
      <c r="F1729" s="82" t="str">
        <f aca="false">IF(E1729="","",IF(LEFT(E1729,2)="DJ","DJ","JN"))</f>
        <v>DJ</v>
      </c>
      <c r="G1729" s="81"/>
      <c r="H1729" s="81" t="s">
        <v>871</v>
      </c>
      <c r="I1729" s="81" t="n">
        <v>9.53</v>
      </c>
      <c r="J1729" s="81" t="s">
        <v>872</v>
      </c>
      <c r="K1729" s="81" t="s">
        <v>873</v>
      </c>
      <c r="L1729" s="81" t="n">
        <v>2092530</v>
      </c>
      <c r="M1729" s="81" t="n">
        <v>15421110</v>
      </c>
      <c r="N1729" s="81" t="n">
        <v>11.94</v>
      </c>
      <c r="O1729" s="81" t="n">
        <v>2091770</v>
      </c>
      <c r="P1729" s="81" t="n">
        <v>15421109</v>
      </c>
      <c r="Q1729" s="81" t="n">
        <v>11.94</v>
      </c>
      <c r="R1729" s="81" t="s">
        <v>1147</v>
      </c>
      <c r="S1729" s="81"/>
      <c r="T1729" s="81"/>
      <c r="U1729" s="83" t="n">
        <v>46259</v>
      </c>
      <c r="V1729" s="83" t="n">
        <v>46259</v>
      </c>
      <c r="W1729" s="81" t="s">
        <v>2094</v>
      </c>
      <c r="X1729" s="81" t="s">
        <v>876</v>
      </c>
      <c r="Y1729" s="83" t="n">
        <v>46262</v>
      </c>
      <c r="Z1729" s="81" t="s">
        <v>2090</v>
      </c>
      <c r="AA1729" s="81" t="s">
        <v>876</v>
      </c>
      <c r="AB1729" s="81"/>
      <c r="AC1729" s="81"/>
      <c r="AD1729" s="81"/>
      <c r="AE1729" s="83"/>
      <c r="AF1729" s="81"/>
      <c r="AG1729" s="81"/>
      <c r="AH1729" s="81"/>
      <c r="AI1729" s="81"/>
      <c r="AJ1729" s="83"/>
      <c r="AK1729" s="81"/>
      <c r="AL1729" s="81"/>
      <c r="AM1729" s="83"/>
      <c r="AN1729" s="80"/>
      <c r="AO1729" s="82" t="n">
        <f aca="false">IF(E1729="","",(AA1729&lt;&gt;"")+(AG1729&lt;&gt;"")+(AL1729&lt;&gt;""))</f>
        <v>1</v>
      </c>
      <c r="AP1729" s="82" t="str">
        <f aca="false">IF(AL1729&lt;&gt;"",AL1729,IF(AG1729&lt;&gt;"",AG1729,IF(AA1729&lt;&gt;"",AA1729,"")))</f>
        <v>A</v>
      </c>
      <c r="AQ1729" s="84" t="str">
        <f aca="false">IF(E1729="","",IF(U1729="","À SOUDER",IF(X1729="","VT EN ATTENTE",IF(X1729="R","VT REJETÉ – À REPRENDRE",IF(AP1729="","À RADIOGRAPHIER",IF(AP1729="A","ACCEPTÉ",IF(AP1729="NX","NX – RT À REFAIRE",IF(IF(AO1729=1,AD1729,IF(AO1729=2,AI1729,""))="A","RÉPARÉ – À RADIOGRAPHIER",IF(IF(AO1729=1,AD1729,IF(AO1729=2,AI1729,""))="R","VT REJETÉ – À REPRENDRE",IF(OR(AP1729="CO",AP1729="NT"),"COUPE – À RESOUDER","À RÉPARER"))))))))))</f>
        <v>ACCEPTÉ</v>
      </c>
      <c r="AR1729" s="82" t="str">
        <f aca="false">IF(AND(ISNUMBER(U1729),OR(AQ1729="À RADIOGRAPHIER",AQ1729="RÉPARÉ – À RADIOGRAPHIER",AQ1729="NX – RT À REFAIRE",AQ1729="À RÉPARER",AQ1729="COUPE – À RESOUDER",AQ1729="VT REJETÉ – À REPRENDRE")),MAX(0,'PROGRAMME RT'!$C$4-U1729),"")</f>
        <v/>
      </c>
      <c r="AS1729" s="82" t="n">
        <f aca="false">IF(AND(OR(AQ1729="À RADIOGRAPHIER",AQ1729="RÉPARÉ – À RADIOGRAPHIER",AQ1729="NX – RT À REFAIRE"),OR('PROGRAMME RT'!$D$5="TOUTES",B1729='PROGRAMME RT'!$D$5)),1,0)</f>
        <v>0</v>
      </c>
      <c r="AT1729" s="82" t="str">
        <f aca="false">IF(AS1729=1,SUM(AS$7:AS1729),"")</f>
        <v/>
      </c>
      <c r="AU1729" s="82" t="n">
        <f aca="false">IF(AND(OR(AA1729="R",AA1729="NX",AA1729="NT",AA1729="CO"),OR('JOINTS DE RÉPARATION'!$D$5="TOUTES",B1729='JOINTS DE RÉPARATION'!$D$5),OR('JOINTS DE RÉPARATION'!$L$4="TOUS",AQ1729&lt;&gt;"ACCEPTÉ")),1,0)</f>
        <v>0</v>
      </c>
      <c r="AV1729" s="82" t="str">
        <f aca="false">IF(AU1729=1,SUM(AU$7:AU1729),"")</f>
        <v/>
      </c>
      <c r="AW1729" s="82" t="str">
        <f aca="false">IF(E1729="","",B1729&amp;"|"&amp;E1729)</f>
        <v>MFD-ISW → MFD-CPF|DJ°135</v>
      </c>
    </row>
    <row r="1730" customFormat="false" ht="74.6" hidden="false" customHeight="false" outlineLevel="0" collapsed="false">
      <c r="A1730" s="79" t="n">
        <f aca="false">IF(E1730="","",ROW()-6)</f>
        <v>1724</v>
      </c>
      <c r="B1730" s="80" t="s">
        <v>110</v>
      </c>
      <c r="C1730" s="81" t="s">
        <v>2036</v>
      </c>
      <c r="D1730" s="81" t="n">
        <v>15</v>
      </c>
      <c r="E1730" s="81" t="s">
        <v>2102</v>
      </c>
      <c r="F1730" s="82" t="str">
        <f aca="false">IF(E1730="","",IF(LEFT(E1730,2)="DJ","DJ","JN"))</f>
        <v>JN</v>
      </c>
      <c r="G1730" s="81" t="s">
        <v>1504</v>
      </c>
      <c r="H1730" s="81" t="s">
        <v>871</v>
      </c>
      <c r="I1730" s="81" t="n">
        <v>9.53</v>
      </c>
      <c r="J1730" s="81" t="s">
        <v>872</v>
      </c>
      <c r="K1730" s="81" t="s">
        <v>879</v>
      </c>
      <c r="L1730" s="81" t="n">
        <v>2091770</v>
      </c>
      <c r="M1730" s="81" t="n">
        <v>15421109</v>
      </c>
      <c r="N1730" s="81" t="n">
        <v>11.94</v>
      </c>
      <c r="O1730" s="81" t="n">
        <v>2091890</v>
      </c>
      <c r="P1730" s="81" t="n">
        <v>15421109</v>
      </c>
      <c r="Q1730" s="81" t="n">
        <v>11.94</v>
      </c>
      <c r="R1730" s="81" t="s">
        <v>2097</v>
      </c>
      <c r="S1730" s="81"/>
      <c r="T1730" s="81"/>
      <c r="U1730" s="83" t="n">
        <v>46272</v>
      </c>
      <c r="V1730" s="83" t="n">
        <v>46272</v>
      </c>
      <c r="W1730" s="81" t="s">
        <v>2098</v>
      </c>
      <c r="X1730" s="81" t="s">
        <v>876</v>
      </c>
      <c r="Y1730" s="83" t="n">
        <v>46289</v>
      </c>
      <c r="Z1730" s="81" t="s">
        <v>2077</v>
      </c>
      <c r="AA1730" s="81" t="s">
        <v>2103</v>
      </c>
      <c r="AB1730" s="81"/>
      <c r="AC1730" s="81"/>
      <c r="AD1730" s="81"/>
      <c r="AE1730" s="83"/>
      <c r="AF1730" s="81"/>
      <c r="AG1730" s="81"/>
      <c r="AH1730" s="81"/>
      <c r="AI1730" s="81"/>
      <c r="AJ1730" s="83"/>
      <c r="AK1730" s="81"/>
      <c r="AL1730" s="81"/>
      <c r="AM1730" s="83"/>
      <c r="AN1730" s="80"/>
      <c r="AO1730" s="82" t="n">
        <f aca="false">IF(E1730="","",(AA1730&lt;&gt;"")+(AG1730&lt;&gt;"")+(AL1730&lt;&gt;""))</f>
        <v>1</v>
      </c>
      <c r="AP1730" s="82" t="str">
        <f aca="false">IF(AL1730&lt;&gt;"",AL1730,IF(AG1730&lt;&gt;"",AG1730,IF(AA1730&lt;&gt;"",AA1730,"")))</f>
        <v>NT</v>
      </c>
      <c r="AQ1730" s="84" t="str">
        <f aca="false">IF(E1730="","",IF(U1730="","À SOUDER",IF(X1730="","VT EN ATTENTE",IF(X1730="R","VT REJETÉ – À REPRENDRE",IF(AP1730="","À RADIOGRAPHIER",IF(AP1730="A","ACCEPTÉ",IF(AP1730="NX","NX – RT À REFAIRE",IF(IF(AO1730=1,AD1730,IF(AO1730=2,AI1730,""))="A","RÉPARÉ – À RADIOGRAPHIER",IF(IF(AO1730=1,AD1730,IF(AO1730=2,AI1730,""))="R","VT REJETÉ – À REPRENDRE",IF(OR(AP1730="CO",AP1730="NT"),"COUPE – À RESOUDER","À RÉPARER"))))))))))</f>
        <v>COUPE – À RESOUDER</v>
      </c>
      <c r="AR1730" s="82" t="n">
        <f aca="false">IF(AND(ISNUMBER(U1730),OR(AQ1730="À RADIOGRAPHIER",AQ1730="RÉPARÉ – À RADIOGRAPHIER",AQ1730="NX – RT À REFAIRE",AQ1730="À RÉPARER",AQ1730="COUPE – À RESOUDER",AQ1730="VT REJETÉ – À REPRENDRE")),MAX(0,'PROGRAMME RT'!$C$4-U1730),"")</f>
        <v>21</v>
      </c>
      <c r="AS1730" s="82" t="n">
        <f aca="false">IF(AND(OR(AQ1730="À RADIOGRAPHIER",AQ1730="RÉPARÉ – À RADIOGRAPHIER",AQ1730="NX – RT À REFAIRE"),OR('PROGRAMME RT'!$D$5="TOUTES",B1730='PROGRAMME RT'!$D$5)),1,0)</f>
        <v>0</v>
      </c>
      <c r="AT1730" s="82" t="str">
        <f aca="false">IF(AS1730=1,SUM(AS$7:AS1730),"")</f>
        <v/>
      </c>
      <c r="AU1730" s="82" t="n">
        <f aca="false">IF(AND(OR(AA1730="R",AA1730="NX",AA1730="NT",AA1730="CO"),OR('JOINTS DE RÉPARATION'!$D$5="TOUTES",B1730='JOINTS DE RÉPARATION'!$D$5),OR('JOINTS DE RÉPARATION'!$L$4="TOUS",AQ1730&lt;&gt;"ACCEPTÉ")),1,0)</f>
        <v>1</v>
      </c>
      <c r="AV1730" s="82" t="n">
        <f aca="false">IF(AU1730=1,SUM(AU$7:AU1730),"")</f>
        <v>50</v>
      </c>
      <c r="AW1730" s="82" t="str">
        <f aca="false">IF(E1730="","",B1730&amp;"|"&amp;E1730)</f>
        <v>MFD-ISW → MFD-CPF|JN°1379</v>
      </c>
    </row>
    <row r="1731" customFormat="false" ht="74.6" hidden="false" customHeight="false" outlineLevel="0" collapsed="false">
      <c r="A1731" s="79" t="n">
        <f aca="false">IF(E1731="","",ROW()-6)</f>
        <v>1725</v>
      </c>
      <c r="B1731" s="80" t="s">
        <v>110</v>
      </c>
      <c r="C1731" s="81" t="s">
        <v>2036</v>
      </c>
      <c r="D1731" s="81" t="n">
        <v>15</v>
      </c>
      <c r="E1731" s="81" t="s">
        <v>2104</v>
      </c>
      <c r="F1731" s="82" t="str">
        <f aca="false">IF(E1731="","",IF(LEFT(E1731,2)="DJ","DJ","JN"))</f>
        <v>DJ</v>
      </c>
      <c r="G1731" s="81"/>
      <c r="H1731" s="81" t="s">
        <v>871</v>
      </c>
      <c r="I1731" s="81" t="n">
        <v>9.53</v>
      </c>
      <c r="J1731" s="81" t="s">
        <v>872</v>
      </c>
      <c r="K1731" s="81" t="s">
        <v>873</v>
      </c>
      <c r="L1731" s="81" t="n">
        <v>2091890</v>
      </c>
      <c r="M1731" s="81" t="n">
        <v>15421109</v>
      </c>
      <c r="N1731" s="81" t="n">
        <v>11.94</v>
      </c>
      <c r="O1731" s="81" t="n">
        <v>2094650</v>
      </c>
      <c r="P1731" s="81" t="n">
        <v>15421111</v>
      </c>
      <c r="Q1731" s="81" t="n">
        <v>11.94</v>
      </c>
      <c r="R1731" s="81" t="s">
        <v>874</v>
      </c>
      <c r="S1731" s="81"/>
      <c r="T1731" s="81"/>
      <c r="U1731" s="83" t="n">
        <v>46259</v>
      </c>
      <c r="V1731" s="83" t="n">
        <v>46259</v>
      </c>
      <c r="W1731" s="81" t="s">
        <v>2094</v>
      </c>
      <c r="X1731" s="81" t="s">
        <v>876</v>
      </c>
      <c r="Y1731" s="83" t="n">
        <v>46261</v>
      </c>
      <c r="Z1731" s="81" t="s">
        <v>2095</v>
      </c>
      <c r="AA1731" s="81" t="s">
        <v>876</v>
      </c>
      <c r="AB1731" s="81"/>
      <c r="AC1731" s="81"/>
      <c r="AD1731" s="81"/>
      <c r="AE1731" s="83"/>
      <c r="AF1731" s="81"/>
      <c r="AG1731" s="81"/>
      <c r="AH1731" s="81"/>
      <c r="AI1731" s="81"/>
      <c r="AJ1731" s="83"/>
      <c r="AK1731" s="81"/>
      <c r="AL1731" s="81"/>
      <c r="AM1731" s="83"/>
      <c r="AN1731" s="80"/>
      <c r="AO1731" s="82" t="n">
        <f aca="false">IF(E1731="","",(AA1731&lt;&gt;"")+(AG1731&lt;&gt;"")+(AL1731&lt;&gt;""))</f>
        <v>1</v>
      </c>
      <c r="AP1731" s="82" t="str">
        <f aca="false">IF(AL1731&lt;&gt;"",AL1731,IF(AG1731&lt;&gt;"",AG1731,IF(AA1731&lt;&gt;"",AA1731,"")))</f>
        <v>A</v>
      </c>
      <c r="AQ1731" s="84" t="str">
        <f aca="false">IF(E1731="","",IF(U1731="","À SOUDER",IF(X1731="","VT EN ATTENTE",IF(X1731="R","VT REJETÉ – À REPRENDRE",IF(AP1731="","À RADIOGRAPHIER",IF(AP1731="A","ACCEPTÉ",IF(AP1731="NX","NX – RT À REFAIRE",IF(IF(AO1731=1,AD1731,IF(AO1731=2,AI1731,""))="A","RÉPARÉ – À RADIOGRAPHIER",IF(IF(AO1731=1,AD1731,IF(AO1731=2,AI1731,""))="R","VT REJETÉ – À REPRENDRE",IF(OR(AP1731="CO",AP1731="NT"),"COUPE – À RESOUDER","À RÉPARER"))))))))))</f>
        <v>ACCEPTÉ</v>
      </c>
      <c r="AR1731" s="82" t="str">
        <f aca="false">IF(AND(ISNUMBER(U1731),OR(AQ1731="À RADIOGRAPHIER",AQ1731="RÉPARÉ – À RADIOGRAPHIER",AQ1731="NX – RT À REFAIRE",AQ1731="À RÉPARER",AQ1731="COUPE – À RESOUDER",AQ1731="VT REJETÉ – À REPRENDRE")),MAX(0,'PROGRAMME RT'!$C$4-U1731),"")</f>
        <v/>
      </c>
      <c r="AS1731" s="82" t="n">
        <f aca="false">IF(AND(OR(AQ1731="À RADIOGRAPHIER",AQ1731="RÉPARÉ – À RADIOGRAPHIER",AQ1731="NX – RT À REFAIRE"),OR('PROGRAMME RT'!$D$5="TOUTES",B1731='PROGRAMME RT'!$D$5)),1,0)</f>
        <v>0</v>
      </c>
      <c r="AT1731" s="82" t="str">
        <f aca="false">IF(AS1731=1,SUM(AS$7:AS1731),"")</f>
        <v/>
      </c>
      <c r="AU1731" s="82" t="n">
        <f aca="false">IF(AND(OR(AA1731="R",AA1731="NX",AA1731="NT",AA1731="CO"),OR('JOINTS DE RÉPARATION'!$D$5="TOUTES",B1731='JOINTS DE RÉPARATION'!$D$5),OR('JOINTS DE RÉPARATION'!$L$4="TOUS",AQ1731&lt;&gt;"ACCEPTÉ")),1,0)</f>
        <v>0</v>
      </c>
      <c r="AV1731" s="82" t="str">
        <f aca="false">IF(AU1731=1,SUM(AU$7:AU1731),"")</f>
        <v/>
      </c>
      <c r="AW1731" s="82" t="str">
        <f aca="false">IF(E1731="","",B1731&amp;"|"&amp;E1731)</f>
        <v>MFD-ISW → MFD-CPF|DJ°144</v>
      </c>
    </row>
    <row r="1732" customFormat="false" ht="74.6" hidden="false" customHeight="false" outlineLevel="0" collapsed="false">
      <c r="A1732" s="79" t="n">
        <f aca="false">IF(E1732="","",ROW()-6)</f>
        <v>1726</v>
      </c>
      <c r="B1732" s="80" t="s">
        <v>110</v>
      </c>
      <c r="C1732" s="81" t="s">
        <v>2036</v>
      </c>
      <c r="D1732" s="81" t="n">
        <v>15</v>
      </c>
      <c r="E1732" s="81" t="s">
        <v>2105</v>
      </c>
      <c r="F1732" s="82" t="str">
        <f aca="false">IF(E1732="","",IF(LEFT(E1732,2)="DJ","DJ","JN"))</f>
        <v>JN</v>
      </c>
      <c r="G1732" s="81" t="s">
        <v>1504</v>
      </c>
      <c r="H1732" s="81" t="s">
        <v>871</v>
      </c>
      <c r="I1732" s="81" t="n">
        <v>9.53</v>
      </c>
      <c r="J1732" s="81" t="s">
        <v>872</v>
      </c>
      <c r="K1732" s="81" t="s">
        <v>879</v>
      </c>
      <c r="L1732" s="81" t="n">
        <v>2094650</v>
      </c>
      <c r="M1732" s="81" t="n">
        <v>15421111</v>
      </c>
      <c r="N1732" s="81" t="n">
        <v>11.94</v>
      </c>
      <c r="O1732" s="81" t="n">
        <v>2093070</v>
      </c>
      <c r="P1732" s="81" t="n">
        <v>15421110</v>
      </c>
      <c r="Q1732" s="81" t="n">
        <v>11.94</v>
      </c>
      <c r="R1732" s="81" t="s">
        <v>2097</v>
      </c>
      <c r="S1732" s="81"/>
      <c r="T1732" s="81"/>
      <c r="U1732" s="83" t="n">
        <v>46272</v>
      </c>
      <c r="V1732" s="83" t="n">
        <v>46272</v>
      </c>
      <c r="W1732" s="81" t="s">
        <v>2098</v>
      </c>
      <c r="X1732" s="81" t="s">
        <v>876</v>
      </c>
      <c r="Y1732" s="83" t="n">
        <v>46289</v>
      </c>
      <c r="Z1732" s="81" t="s">
        <v>2077</v>
      </c>
      <c r="AA1732" s="81" t="s">
        <v>876</v>
      </c>
      <c r="AB1732" s="81"/>
      <c r="AC1732" s="81"/>
      <c r="AD1732" s="81"/>
      <c r="AE1732" s="83"/>
      <c r="AF1732" s="81"/>
      <c r="AG1732" s="81"/>
      <c r="AH1732" s="81"/>
      <c r="AI1732" s="81"/>
      <c r="AJ1732" s="83"/>
      <c r="AK1732" s="81"/>
      <c r="AL1732" s="81"/>
      <c r="AM1732" s="83"/>
      <c r="AN1732" s="80"/>
      <c r="AO1732" s="82" t="n">
        <f aca="false">IF(E1732="","",(AA1732&lt;&gt;"")+(AG1732&lt;&gt;"")+(AL1732&lt;&gt;""))</f>
        <v>1</v>
      </c>
      <c r="AP1732" s="82" t="str">
        <f aca="false">IF(AL1732&lt;&gt;"",AL1732,IF(AG1732&lt;&gt;"",AG1732,IF(AA1732&lt;&gt;"",AA1732,"")))</f>
        <v>A</v>
      </c>
      <c r="AQ1732" s="84" t="str">
        <f aca="false">IF(E1732="","",IF(U1732="","À SOUDER",IF(X1732="","VT EN ATTENTE",IF(X1732="R","VT REJETÉ – À REPRENDRE",IF(AP1732="","À RADIOGRAPHIER",IF(AP1732="A","ACCEPTÉ",IF(AP1732="NX","NX – RT À REFAIRE",IF(IF(AO1732=1,AD1732,IF(AO1732=2,AI1732,""))="A","RÉPARÉ – À RADIOGRAPHIER",IF(IF(AO1732=1,AD1732,IF(AO1732=2,AI1732,""))="R","VT REJETÉ – À REPRENDRE",IF(OR(AP1732="CO",AP1732="NT"),"COUPE – À RESOUDER","À RÉPARER"))))))))))</f>
        <v>ACCEPTÉ</v>
      </c>
      <c r="AR1732" s="82" t="str">
        <f aca="false">IF(AND(ISNUMBER(U1732),OR(AQ1732="À RADIOGRAPHIER",AQ1732="RÉPARÉ – À RADIOGRAPHIER",AQ1732="NX – RT À REFAIRE",AQ1732="À RÉPARER",AQ1732="COUPE – À RESOUDER",AQ1732="VT REJETÉ – À REPRENDRE")),MAX(0,'PROGRAMME RT'!$C$4-U1732),"")</f>
        <v/>
      </c>
      <c r="AS1732" s="82" t="n">
        <f aca="false">IF(AND(OR(AQ1732="À RADIOGRAPHIER",AQ1732="RÉPARÉ – À RADIOGRAPHIER",AQ1732="NX – RT À REFAIRE"),OR('PROGRAMME RT'!$D$5="TOUTES",B1732='PROGRAMME RT'!$D$5)),1,0)</f>
        <v>0</v>
      </c>
      <c r="AT1732" s="82" t="str">
        <f aca="false">IF(AS1732=1,SUM(AS$7:AS1732),"")</f>
        <v/>
      </c>
      <c r="AU1732" s="82" t="n">
        <f aca="false">IF(AND(OR(AA1732="R",AA1732="NX",AA1732="NT",AA1732="CO"),OR('JOINTS DE RÉPARATION'!$D$5="TOUTES",B1732='JOINTS DE RÉPARATION'!$D$5),OR('JOINTS DE RÉPARATION'!$L$4="TOUS",AQ1732&lt;&gt;"ACCEPTÉ")),1,0)</f>
        <v>0</v>
      </c>
      <c r="AV1732" s="82" t="str">
        <f aca="false">IF(AU1732=1,SUM(AU$7:AU1732),"")</f>
        <v/>
      </c>
      <c r="AW1732" s="82" t="str">
        <f aca="false">IF(E1732="","",B1732&amp;"|"&amp;E1732)</f>
        <v>MFD-ISW → MFD-CPF|JN°1380</v>
      </c>
    </row>
    <row r="1733" customFormat="false" ht="74.6" hidden="false" customHeight="false" outlineLevel="0" collapsed="false">
      <c r="A1733" s="79" t="n">
        <f aca="false">IF(E1733="","",ROW()-6)</f>
        <v>1727</v>
      </c>
      <c r="B1733" s="80" t="s">
        <v>110</v>
      </c>
      <c r="C1733" s="81" t="s">
        <v>2036</v>
      </c>
      <c r="D1733" s="81" t="n">
        <v>15</v>
      </c>
      <c r="E1733" s="81" t="s">
        <v>2106</v>
      </c>
      <c r="F1733" s="82" t="str">
        <f aca="false">IF(E1733="","",IF(LEFT(E1733,2)="DJ","DJ","JN"))</f>
        <v>DJ</v>
      </c>
      <c r="G1733" s="81"/>
      <c r="H1733" s="81" t="s">
        <v>871</v>
      </c>
      <c r="I1733" s="81" t="n">
        <v>9.53</v>
      </c>
      <c r="J1733" s="81" t="s">
        <v>872</v>
      </c>
      <c r="K1733" s="81" t="s">
        <v>873</v>
      </c>
      <c r="L1733" s="81" t="n">
        <v>2093070</v>
      </c>
      <c r="M1733" s="81" t="n">
        <v>15421110</v>
      </c>
      <c r="N1733" s="81" t="n">
        <v>11.94</v>
      </c>
      <c r="O1733" s="81" t="n">
        <v>2083470</v>
      </c>
      <c r="P1733" s="81" t="n">
        <v>15421105</v>
      </c>
      <c r="Q1733" s="81" t="n">
        <v>11.94</v>
      </c>
      <c r="R1733" s="81" t="s">
        <v>1135</v>
      </c>
      <c r="S1733" s="81"/>
      <c r="T1733" s="81"/>
      <c r="U1733" s="83" t="n">
        <v>46259</v>
      </c>
      <c r="V1733" s="83" t="n">
        <v>46259</v>
      </c>
      <c r="W1733" s="81" t="s">
        <v>2094</v>
      </c>
      <c r="X1733" s="81" t="s">
        <v>876</v>
      </c>
      <c r="Y1733" s="83" t="n">
        <v>46261</v>
      </c>
      <c r="Z1733" s="81" t="s">
        <v>2095</v>
      </c>
      <c r="AA1733" s="81" t="s">
        <v>876</v>
      </c>
      <c r="AB1733" s="81"/>
      <c r="AC1733" s="81"/>
      <c r="AD1733" s="81"/>
      <c r="AE1733" s="83"/>
      <c r="AF1733" s="81"/>
      <c r="AG1733" s="81"/>
      <c r="AH1733" s="81"/>
      <c r="AI1733" s="81"/>
      <c r="AJ1733" s="83"/>
      <c r="AK1733" s="81"/>
      <c r="AL1733" s="81"/>
      <c r="AM1733" s="83"/>
      <c r="AN1733" s="80"/>
      <c r="AO1733" s="82" t="n">
        <f aca="false">IF(E1733="","",(AA1733&lt;&gt;"")+(AG1733&lt;&gt;"")+(AL1733&lt;&gt;""))</f>
        <v>1</v>
      </c>
      <c r="AP1733" s="82" t="str">
        <f aca="false">IF(AL1733&lt;&gt;"",AL1733,IF(AG1733&lt;&gt;"",AG1733,IF(AA1733&lt;&gt;"",AA1733,"")))</f>
        <v>A</v>
      </c>
      <c r="AQ1733" s="84" t="str">
        <f aca="false">IF(E1733="","",IF(U1733="","À SOUDER",IF(X1733="","VT EN ATTENTE",IF(X1733="R","VT REJETÉ – À REPRENDRE",IF(AP1733="","À RADIOGRAPHIER",IF(AP1733="A","ACCEPTÉ",IF(AP1733="NX","NX – RT À REFAIRE",IF(IF(AO1733=1,AD1733,IF(AO1733=2,AI1733,""))="A","RÉPARÉ – À RADIOGRAPHIER",IF(IF(AO1733=1,AD1733,IF(AO1733=2,AI1733,""))="R","VT REJETÉ – À REPRENDRE",IF(OR(AP1733="CO",AP1733="NT"),"COUPE – À RESOUDER","À RÉPARER"))))))))))</f>
        <v>ACCEPTÉ</v>
      </c>
      <c r="AR1733" s="82" t="str">
        <f aca="false">IF(AND(ISNUMBER(U1733),OR(AQ1733="À RADIOGRAPHIER",AQ1733="RÉPARÉ – À RADIOGRAPHIER",AQ1733="NX – RT À REFAIRE",AQ1733="À RÉPARER",AQ1733="COUPE – À RESOUDER",AQ1733="VT REJETÉ – À REPRENDRE")),MAX(0,'PROGRAMME RT'!$C$4-U1733),"")</f>
        <v/>
      </c>
      <c r="AS1733" s="82" t="n">
        <f aca="false">IF(AND(OR(AQ1733="À RADIOGRAPHIER",AQ1733="RÉPARÉ – À RADIOGRAPHIER",AQ1733="NX – RT À REFAIRE"),OR('PROGRAMME RT'!$D$5="TOUTES",B1733='PROGRAMME RT'!$D$5)),1,0)</f>
        <v>0</v>
      </c>
      <c r="AT1733" s="82" t="str">
        <f aca="false">IF(AS1733=1,SUM(AS$7:AS1733),"")</f>
        <v/>
      </c>
      <c r="AU1733" s="82" t="n">
        <f aca="false">IF(AND(OR(AA1733="R",AA1733="NX",AA1733="NT",AA1733="CO"),OR('JOINTS DE RÉPARATION'!$D$5="TOUTES",B1733='JOINTS DE RÉPARATION'!$D$5),OR('JOINTS DE RÉPARATION'!$L$4="TOUS",AQ1733&lt;&gt;"ACCEPTÉ")),1,0)</f>
        <v>0</v>
      </c>
      <c r="AV1733" s="82" t="str">
        <f aca="false">IF(AU1733=1,SUM(AU$7:AU1733),"")</f>
        <v/>
      </c>
      <c r="AW1733" s="82" t="str">
        <f aca="false">IF(E1733="","",B1733&amp;"|"&amp;E1733)</f>
        <v>MFD-ISW → MFD-CPF|DJ°142</v>
      </c>
    </row>
    <row r="1734" customFormat="false" ht="74.6" hidden="false" customHeight="false" outlineLevel="0" collapsed="false">
      <c r="A1734" s="79" t="n">
        <f aca="false">IF(E1734="","",ROW()-6)</f>
        <v>1728</v>
      </c>
      <c r="B1734" s="80" t="s">
        <v>110</v>
      </c>
      <c r="C1734" s="81" t="s">
        <v>2036</v>
      </c>
      <c r="D1734" s="81" t="n">
        <v>15</v>
      </c>
      <c r="E1734" s="81" t="s">
        <v>2107</v>
      </c>
      <c r="F1734" s="82" t="str">
        <f aca="false">IF(E1734="","",IF(LEFT(E1734,2)="DJ","DJ","JN"))</f>
        <v>JN</v>
      </c>
      <c r="G1734" s="81" t="s">
        <v>1504</v>
      </c>
      <c r="H1734" s="81" t="s">
        <v>871</v>
      </c>
      <c r="I1734" s="81" t="n">
        <v>9.53</v>
      </c>
      <c r="J1734" s="81" t="s">
        <v>872</v>
      </c>
      <c r="K1734" s="81" t="s">
        <v>879</v>
      </c>
      <c r="L1734" s="81" t="n">
        <v>2083470</v>
      </c>
      <c r="M1734" s="81" t="n">
        <v>15421105</v>
      </c>
      <c r="N1734" s="81" t="n">
        <v>11.94</v>
      </c>
      <c r="O1734" s="81" t="n">
        <v>2097400</v>
      </c>
      <c r="P1734" s="81" t="n">
        <v>15421112</v>
      </c>
      <c r="Q1734" s="81" t="n">
        <v>11.94</v>
      </c>
      <c r="R1734" s="81" t="s">
        <v>2097</v>
      </c>
      <c r="S1734" s="81"/>
      <c r="T1734" s="81"/>
      <c r="U1734" s="83" t="n">
        <v>46272</v>
      </c>
      <c r="V1734" s="83" t="n">
        <v>46272</v>
      </c>
      <c r="W1734" s="81" t="s">
        <v>2098</v>
      </c>
      <c r="X1734" s="81" t="s">
        <v>876</v>
      </c>
      <c r="Y1734" s="83" t="n">
        <v>46289</v>
      </c>
      <c r="Z1734" s="81" t="s">
        <v>2077</v>
      </c>
      <c r="AA1734" s="81" t="s">
        <v>1073</v>
      </c>
      <c r="AB1734" s="81" t="s">
        <v>2108</v>
      </c>
      <c r="AC1734" s="81"/>
      <c r="AD1734" s="81"/>
      <c r="AE1734" s="83"/>
      <c r="AF1734" s="81"/>
      <c r="AG1734" s="81"/>
      <c r="AH1734" s="81"/>
      <c r="AI1734" s="81"/>
      <c r="AJ1734" s="83"/>
      <c r="AK1734" s="81"/>
      <c r="AL1734" s="81"/>
      <c r="AM1734" s="83"/>
      <c r="AN1734" s="80"/>
      <c r="AO1734" s="82" t="n">
        <f aca="false">IF(E1734="","",(AA1734&lt;&gt;"")+(AG1734&lt;&gt;"")+(AL1734&lt;&gt;""))</f>
        <v>1</v>
      </c>
      <c r="AP1734" s="82" t="str">
        <f aca="false">IF(AL1734&lt;&gt;"",AL1734,IF(AG1734&lt;&gt;"",AG1734,IF(AA1734&lt;&gt;"",AA1734,"")))</f>
        <v>R</v>
      </c>
      <c r="AQ1734" s="84" t="str">
        <f aca="false">IF(E1734="","",IF(U1734="","À SOUDER",IF(X1734="","VT EN ATTENTE",IF(X1734="R","VT REJETÉ – À REPRENDRE",IF(AP1734="","À RADIOGRAPHIER",IF(AP1734="A","ACCEPTÉ",IF(AP1734="NX","NX – RT À REFAIRE",IF(IF(AO1734=1,AD1734,IF(AO1734=2,AI1734,""))="A","RÉPARÉ – À RADIOGRAPHIER",IF(IF(AO1734=1,AD1734,IF(AO1734=2,AI1734,""))="R","VT REJETÉ – À REPRENDRE",IF(OR(AP1734="CO",AP1734="NT"),"COUPE – À RESOUDER","À RÉPARER"))))))))))</f>
        <v>À RÉPARER</v>
      </c>
      <c r="AR1734" s="82" t="n">
        <f aca="false">IF(AND(ISNUMBER(U1734),OR(AQ1734="À RADIOGRAPHIER",AQ1734="RÉPARÉ – À RADIOGRAPHIER",AQ1734="NX – RT À REFAIRE",AQ1734="À RÉPARER",AQ1734="COUPE – À RESOUDER",AQ1734="VT REJETÉ – À REPRENDRE")),MAX(0,'PROGRAMME RT'!$C$4-U1734),"")</f>
        <v>21</v>
      </c>
      <c r="AS1734" s="82" t="n">
        <f aca="false">IF(AND(OR(AQ1734="À RADIOGRAPHIER",AQ1734="RÉPARÉ – À RADIOGRAPHIER",AQ1734="NX – RT À REFAIRE"),OR('PROGRAMME RT'!$D$5="TOUTES",B1734='PROGRAMME RT'!$D$5)),1,0)</f>
        <v>0</v>
      </c>
      <c r="AT1734" s="82" t="str">
        <f aca="false">IF(AS1734=1,SUM(AS$7:AS1734),"")</f>
        <v/>
      </c>
      <c r="AU1734" s="82" t="n">
        <f aca="false">IF(AND(OR(AA1734="R",AA1734="NX",AA1734="NT",AA1734="CO"),OR('JOINTS DE RÉPARATION'!$D$5="TOUTES",B1734='JOINTS DE RÉPARATION'!$D$5),OR('JOINTS DE RÉPARATION'!$L$4="TOUS",AQ1734&lt;&gt;"ACCEPTÉ")),1,0)</f>
        <v>1</v>
      </c>
      <c r="AV1734" s="82" t="n">
        <f aca="false">IF(AU1734=1,SUM(AU$7:AU1734),"")</f>
        <v>51</v>
      </c>
      <c r="AW1734" s="82" t="str">
        <f aca="false">IF(E1734="","",B1734&amp;"|"&amp;E1734)</f>
        <v>MFD-ISW → MFD-CPF|JN°1381</v>
      </c>
    </row>
    <row r="1735" customFormat="false" ht="74.6" hidden="false" customHeight="false" outlineLevel="0" collapsed="false">
      <c r="A1735" s="79" t="n">
        <f aca="false">IF(E1735="","",ROW()-6)</f>
        <v>1729</v>
      </c>
      <c r="B1735" s="80" t="s">
        <v>110</v>
      </c>
      <c r="C1735" s="81" t="s">
        <v>2036</v>
      </c>
      <c r="D1735" s="81" t="n">
        <v>15</v>
      </c>
      <c r="E1735" s="81" t="s">
        <v>2109</v>
      </c>
      <c r="F1735" s="82" t="str">
        <f aca="false">IF(E1735="","",IF(LEFT(E1735,2)="DJ","DJ","JN"))</f>
        <v>DJ</v>
      </c>
      <c r="G1735" s="81"/>
      <c r="H1735" s="81" t="s">
        <v>871</v>
      </c>
      <c r="I1735" s="81" t="n">
        <v>9.53</v>
      </c>
      <c r="J1735" s="81" t="s">
        <v>872</v>
      </c>
      <c r="K1735" s="81" t="s">
        <v>873</v>
      </c>
      <c r="L1735" s="81" t="n">
        <v>2097400</v>
      </c>
      <c r="M1735" s="81" t="n">
        <v>15421112</v>
      </c>
      <c r="N1735" s="81" t="n">
        <v>11.94</v>
      </c>
      <c r="O1735" s="81" t="n">
        <v>2083240</v>
      </c>
      <c r="P1735" s="81" t="n">
        <v>15421105</v>
      </c>
      <c r="Q1735" s="81" t="n">
        <v>11.94</v>
      </c>
      <c r="R1735" s="81" t="s">
        <v>1517</v>
      </c>
      <c r="S1735" s="81"/>
      <c r="T1735" s="81"/>
      <c r="U1735" s="83" t="n">
        <v>46259</v>
      </c>
      <c r="V1735" s="83" t="n">
        <v>46259</v>
      </c>
      <c r="W1735" s="81" t="s">
        <v>2094</v>
      </c>
      <c r="X1735" s="81" t="s">
        <v>876</v>
      </c>
      <c r="Y1735" s="83" t="n">
        <v>46261</v>
      </c>
      <c r="Z1735" s="81" t="s">
        <v>2095</v>
      </c>
      <c r="AA1735" s="81" t="s">
        <v>876</v>
      </c>
      <c r="AB1735" s="81"/>
      <c r="AC1735" s="81"/>
      <c r="AD1735" s="81"/>
      <c r="AE1735" s="83"/>
      <c r="AF1735" s="81"/>
      <c r="AG1735" s="81"/>
      <c r="AH1735" s="81"/>
      <c r="AI1735" s="81"/>
      <c r="AJ1735" s="83"/>
      <c r="AK1735" s="81"/>
      <c r="AL1735" s="81"/>
      <c r="AM1735" s="83"/>
      <c r="AN1735" s="80"/>
      <c r="AO1735" s="82" t="n">
        <f aca="false">IF(E1735="","",(AA1735&lt;&gt;"")+(AG1735&lt;&gt;"")+(AL1735&lt;&gt;""))</f>
        <v>1</v>
      </c>
      <c r="AP1735" s="82" t="str">
        <f aca="false">IF(AL1735&lt;&gt;"",AL1735,IF(AG1735&lt;&gt;"",AG1735,IF(AA1735&lt;&gt;"",AA1735,"")))</f>
        <v>A</v>
      </c>
      <c r="AQ1735" s="84" t="str">
        <f aca="false">IF(E1735="","",IF(U1735="","À SOUDER",IF(X1735="","VT EN ATTENTE",IF(X1735="R","VT REJETÉ – À REPRENDRE",IF(AP1735="","À RADIOGRAPHIER",IF(AP1735="A","ACCEPTÉ",IF(AP1735="NX","NX – RT À REFAIRE",IF(IF(AO1735=1,AD1735,IF(AO1735=2,AI1735,""))="A","RÉPARÉ – À RADIOGRAPHIER",IF(IF(AO1735=1,AD1735,IF(AO1735=2,AI1735,""))="R","VT REJETÉ – À REPRENDRE",IF(OR(AP1735="CO",AP1735="NT"),"COUPE – À RESOUDER","À RÉPARER"))))))))))</f>
        <v>ACCEPTÉ</v>
      </c>
      <c r="AR1735" s="82" t="str">
        <f aca="false">IF(AND(ISNUMBER(U1735),OR(AQ1735="À RADIOGRAPHIER",AQ1735="RÉPARÉ – À RADIOGRAPHIER",AQ1735="NX – RT À REFAIRE",AQ1735="À RÉPARER",AQ1735="COUPE – À RESOUDER",AQ1735="VT REJETÉ – À REPRENDRE")),MAX(0,'PROGRAMME RT'!$C$4-U1735),"")</f>
        <v/>
      </c>
      <c r="AS1735" s="82" t="n">
        <f aca="false">IF(AND(OR(AQ1735="À RADIOGRAPHIER",AQ1735="RÉPARÉ – À RADIOGRAPHIER",AQ1735="NX – RT À REFAIRE"),OR('PROGRAMME RT'!$D$5="TOUTES",B1735='PROGRAMME RT'!$D$5)),1,0)</f>
        <v>0</v>
      </c>
      <c r="AT1735" s="82" t="str">
        <f aca="false">IF(AS1735=1,SUM(AS$7:AS1735),"")</f>
        <v/>
      </c>
      <c r="AU1735" s="82" t="n">
        <f aca="false">IF(AND(OR(AA1735="R",AA1735="NX",AA1735="NT",AA1735="CO"),OR('JOINTS DE RÉPARATION'!$D$5="TOUTES",B1735='JOINTS DE RÉPARATION'!$D$5),OR('JOINTS DE RÉPARATION'!$L$4="TOUS",AQ1735&lt;&gt;"ACCEPTÉ")),1,0)</f>
        <v>0</v>
      </c>
      <c r="AV1735" s="82" t="str">
        <f aca="false">IF(AU1735=1,SUM(AU$7:AU1735),"")</f>
        <v/>
      </c>
      <c r="AW1735" s="82" t="str">
        <f aca="false">IF(E1735="","",B1735&amp;"|"&amp;E1735)</f>
        <v>MFD-ISW → MFD-CPF|DJ°143</v>
      </c>
    </row>
    <row r="1736" customFormat="false" ht="74.6" hidden="false" customHeight="false" outlineLevel="0" collapsed="false">
      <c r="A1736" s="79" t="n">
        <f aca="false">IF(E1736="","",ROW()-6)</f>
        <v>1730</v>
      </c>
      <c r="B1736" s="80" t="s">
        <v>110</v>
      </c>
      <c r="C1736" s="81" t="s">
        <v>2036</v>
      </c>
      <c r="D1736" s="81" t="n">
        <v>15</v>
      </c>
      <c r="E1736" s="81" t="s">
        <v>2110</v>
      </c>
      <c r="F1736" s="82" t="str">
        <f aca="false">IF(E1736="","",IF(LEFT(E1736,2)="DJ","DJ","JN"))</f>
        <v>JN</v>
      </c>
      <c r="G1736" s="81" t="s">
        <v>1504</v>
      </c>
      <c r="H1736" s="81" t="s">
        <v>871</v>
      </c>
      <c r="I1736" s="81" t="n">
        <v>9.53</v>
      </c>
      <c r="J1736" s="81" t="s">
        <v>872</v>
      </c>
      <c r="K1736" s="81" t="s">
        <v>879</v>
      </c>
      <c r="L1736" s="81" t="n">
        <v>2083240</v>
      </c>
      <c r="M1736" s="81" t="n">
        <v>15421105</v>
      </c>
      <c r="N1736" s="81" t="n">
        <v>11.94</v>
      </c>
      <c r="O1736" s="81" t="n">
        <v>2078790</v>
      </c>
      <c r="P1736" s="81" t="n">
        <v>15421101</v>
      </c>
      <c r="Q1736" s="81" t="n">
        <v>11.94</v>
      </c>
      <c r="R1736" s="81" t="s">
        <v>2097</v>
      </c>
      <c r="S1736" s="81"/>
      <c r="T1736" s="81"/>
      <c r="U1736" s="83" t="n">
        <v>46272</v>
      </c>
      <c r="V1736" s="83" t="n">
        <v>46272</v>
      </c>
      <c r="W1736" s="81" t="s">
        <v>2098</v>
      </c>
      <c r="X1736" s="81" t="s">
        <v>876</v>
      </c>
      <c r="Y1736" s="83" t="n">
        <v>46289</v>
      </c>
      <c r="Z1736" s="81" t="s">
        <v>2077</v>
      </c>
      <c r="AA1736" s="81" t="s">
        <v>876</v>
      </c>
      <c r="AB1736" s="81"/>
      <c r="AC1736" s="81"/>
      <c r="AD1736" s="81"/>
      <c r="AE1736" s="83"/>
      <c r="AF1736" s="81"/>
      <c r="AG1736" s="81"/>
      <c r="AH1736" s="81"/>
      <c r="AI1736" s="81"/>
      <c r="AJ1736" s="83"/>
      <c r="AK1736" s="81"/>
      <c r="AL1736" s="81"/>
      <c r="AM1736" s="83"/>
      <c r="AN1736" s="80"/>
      <c r="AO1736" s="82" t="n">
        <f aca="false">IF(E1736="","",(AA1736&lt;&gt;"")+(AG1736&lt;&gt;"")+(AL1736&lt;&gt;""))</f>
        <v>1</v>
      </c>
      <c r="AP1736" s="82" t="str">
        <f aca="false">IF(AL1736&lt;&gt;"",AL1736,IF(AG1736&lt;&gt;"",AG1736,IF(AA1736&lt;&gt;"",AA1736,"")))</f>
        <v>A</v>
      </c>
      <c r="AQ1736" s="84" t="str">
        <f aca="false">IF(E1736="","",IF(U1736="","À SOUDER",IF(X1736="","VT EN ATTENTE",IF(X1736="R","VT REJETÉ – À REPRENDRE",IF(AP1736="","À RADIOGRAPHIER",IF(AP1736="A","ACCEPTÉ",IF(AP1736="NX","NX – RT À REFAIRE",IF(IF(AO1736=1,AD1736,IF(AO1736=2,AI1736,""))="A","RÉPARÉ – À RADIOGRAPHIER",IF(IF(AO1736=1,AD1736,IF(AO1736=2,AI1736,""))="R","VT REJETÉ – À REPRENDRE",IF(OR(AP1736="CO",AP1736="NT"),"COUPE – À RESOUDER","À RÉPARER"))))))))))</f>
        <v>ACCEPTÉ</v>
      </c>
      <c r="AR1736" s="82" t="str">
        <f aca="false">IF(AND(ISNUMBER(U1736),OR(AQ1736="À RADIOGRAPHIER",AQ1736="RÉPARÉ – À RADIOGRAPHIER",AQ1736="NX – RT À REFAIRE",AQ1736="À RÉPARER",AQ1736="COUPE – À RESOUDER",AQ1736="VT REJETÉ – À REPRENDRE")),MAX(0,'PROGRAMME RT'!$C$4-U1736),"")</f>
        <v/>
      </c>
      <c r="AS1736" s="82" t="n">
        <f aca="false">IF(AND(OR(AQ1736="À RADIOGRAPHIER",AQ1736="RÉPARÉ – À RADIOGRAPHIER",AQ1736="NX – RT À REFAIRE"),OR('PROGRAMME RT'!$D$5="TOUTES",B1736='PROGRAMME RT'!$D$5)),1,0)</f>
        <v>0</v>
      </c>
      <c r="AT1736" s="82" t="str">
        <f aca="false">IF(AS1736=1,SUM(AS$7:AS1736),"")</f>
        <v/>
      </c>
      <c r="AU1736" s="82" t="n">
        <f aca="false">IF(AND(OR(AA1736="R",AA1736="NX",AA1736="NT",AA1736="CO"),OR('JOINTS DE RÉPARATION'!$D$5="TOUTES",B1736='JOINTS DE RÉPARATION'!$D$5),OR('JOINTS DE RÉPARATION'!$L$4="TOUS",AQ1736&lt;&gt;"ACCEPTÉ")),1,0)</f>
        <v>0</v>
      </c>
      <c r="AV1736" s="82" t="str">
        <f aca="false">IF(AU1736=1,SUM(AU$7:AU1736),"")</f>
        <v/>
      </c>
      <c r="AW1736" s="82" t="str">
        <f aca="false">IF(E1736="","",B1736&amp;"|"&amp;E1736)</f>
        <v>MFD-ISW → MFD-CPF|JN°1382</v>
      </c>
    </row>
    <row r="1737" customFormat="false" ht="74.6" hidden="false" customHeight="false" outlineLevel="0" collapsed="false">
      <c r="A1737" s="79" t="n">
        <f aca="false">IF(E1737="","",ROW()-6)</f>
        <v>1731</v>
      </c>
      <c r="B1737" s="80" t="s">
        <v>110</v>
      </c>
      <c r="C1737" s="81" t="s">
        <v>2036</v>
      </c>
      <c r="D1737" s="81" t="n">
        <v>15</v>
      </c>
      <c r="E1737" s="81" t="s">
        <v>2111</v>
      </c>
      <c r="F1737" s="82" t="str">
        <f aca="false">IF(E1737="","",IF(LEFT(E1737,2)="DJ","DJ","JN"))</f>
        <v>DJ</v>
      </c>
      <c r="G1737" s="81"/>
      <c r="H1737" s="81" t="s">
        <v>871</v>
      </c>
      <c r="I1737" s="81" t="n">
        <v>9.53</v>
      </c>
      <c r="J1737" s="81" t="s">
        <v>872</v>
      </c>
      <c r="K1737" s="81" t="s">
        <v>873</v>
      </c>
      <c r="L1737" s="81" t="n">
        <v>2078790</v>
      </c>
      <c r="M1737" s="81" t="n">
        <v>15421101</v>
      </c>
      <c r="N1737" s="81" t="n">
        <v>11.94</v>
      </c>
      <c r="O1737" s="81" t="n">
        <v>2080160</v>
      </c>
      <c r="P1737" s="81" t="n">
        <v>15421102</v>
      </c>
      <c r="Q1737" s="81" t="n">
        <v>11.94</v>
      </c>
      <c r="R1737" s="81" t="s">
        <v>1135</v>
      </c>
      <c r="S1737" s="81"/>
      <c r="T1737" s="81"/>
      <c r="U1737" s="83" t="n">
        <v>46254</v>
      </c>
      <c r="V1737" s="83" t="n">
        <v>46254</v>
      </c>
      <c r="W1737" s="81" t="s">
        <v>1578</v>
      </c>
      <c r="X1737" s="81" t="s">
        <v>876</v>
      </c>
      <c r="Y1737" s="83" t="n">
        <v>46260</v>
      </c>
      <c r="Z1737" s="81" t="s">
        <v>2112</v>
      </c>
      <c r="AA1737" s="81" t="s">
        <v>876</v>
      </c>
      <c r="AB1737" s="81"/>
      <c r="AC1737" s="81"/>
      <c r="AD1737" s="81"/>
      <c r="AE1737" s="83"/>
      <c r="AF1737" s="81"/>
      <c r="AG1737" s="81"/>
      <c r="AH1737" s="81"/>
      <c r="AI1737" s="81"/>
      <c r="AJ1737" s="83"/>
      <c r="AK1737" s="81"/>
      <c r="AL1737" s="81"/>
      <c r="AM1737" s="83"/>
      <c r="AN1737" s="80"/>
      <c r="AO1737" s="82" t="n">
        <f aca="false">IF(E1737="","",(AA1737&lt;&gt;"")+(AG1737&lt;&gt;"")+(AL1737&lt;&gt;""))</f>
        <v>1</v>
      </c>
      <c r="AP1737" s="82" t="str">
        <f aca="false">IF(AL1737&lt;&gt;"",AL1737,IF(AG1737&lt;&gt;"",AG1737,IF(AA1737&lt;&gt;"",AA1737,"")))</f>
        <v>A</v>
      </c>
      <c r="AQ1737" s="84" t="str">
        <f aca="false">IF(E1737="","",IF(U1737="","À SOUDER",IF(X1737="","VT EN ATTENTE",IF(X1737="R","VT REJETÉ – À REPRENDRE",IF(AP1737="","À RADIOGRAPHIER",IF(AP1737="A","ACCEPTÉ",IF(AP1737="NX","NX – RT À REFAIRE",IF(IF(AO1737=1,AD1737,IF(AO1737=2,AI1737,""))="A","RÉPARÉ – À RADIOGRAPHIER",IF(IF(AO1737=1,AD1737,IF(AO1737=2,AI1737,""))="R","VT REJETÉ – À REPRENDRE",IF(OR(AP1737="CO",AP1737="NT"),"COUPE – À RESOUDER","À RÉPARER"))))))))))</f>
        <v>ACCEPTÉ</v>
      </c>
      <c r="AR1737" s="82" t="str">
        <f aca="false">IF(AND(ISNUMBER(U1737),OR(AQ1737="À RADIOGRAPHIER",AQ1737="RÉPARÉ – À RADIOGRAPHIER",AQ1737="NX – RT À REFAIRE",AQ1737="À RÉPARER",AQ1737="COUPE – À RESOUDER",AQ1737="VT REJETÉ – À REPRENDRE")),MAX(0,'PROGRAMME RT'!$C$4-U1737),"")</f>
        <v/>
      </c>
      <c r="AS1737" s="82" t="n">
        <f aca="false">IF(AND(OR(AQ1737="À RADIOGRAPHIER",AQ1737="RÉPARÉ – À RADIOGRAPHIER",AQ1737="NX – RT À REFAIRE"),OR('PROGRAMME RT'!$D$5="TOUTES",B1737='PROGRAMME RT'!$D$5)),1,0)</f>
        <v>0</v>
      </c>
      <c r="AT1737" s="82" t="str">
        <f aca="false">IF(AS1737=1,SUM(AS$7:AS1737),"")</f>
        <v/>
      </c>
      <c r="AU1737" s="82" t="n">
        <f aca="false">IF(AND(OR(AA1737="R",AA1737="NX",AA1737="NT",AA1737="CO"),OR('JOINTS DE RÉPARATION'!$D$5="TOUTES",B1737='JOINTS DE RÉPARATION'!$D$5),OR('JOINTS DE RÉPARATION'!$L$4="TOUS",AQ1737&lt;&gt;"ACCEPTÉ")),1,0)</f>
        <v>0</v>
      </c>
      <c r="AV1737" s="82" t="str">
        <f aca="false">IF(AU1737=1,SUM(AU$7:AU1737),"")</f>
        <v/>
      </c>
      <c r="AW1737" s="82" t="str">
        <f aca="false">IF(E1737="","",B1737&amp;"|"&amp;E1737)</f>
        <v>MFD-ISW → MFD-CPF|DJ°067</v>
      </c>
    </row>
    <row r="1738" customFormat="false" ht="74.6" hidden="false" customHeight="false" outlineLevel="0" collapsed="false">
      <c r="A1738" s="79" t="n">
        <f aca="false">IF(E1738="","",ROW()-6)</f>
        <v>1732</v>
      </c>
      <c r="B1738" s="80" t="s">
        <v>110</v>
      </c>
      <c r="C1738" s="81" t="s">
        <v>2036</v>
      </c>
      <c r="D1738" s="81" t="n">
        <v>15</v>
      </c>
      <c r="E1738" s="81" t="s">
        <v>2113</v>
      </c>
      <c r="F1738" s="82" t="str">
        <f aca="false">IF(E1738="","",IF(LEFT(E1738,2)="DJ","DJ","JN"))</f>
        <v>JN</v>
      </c>
      <c r="G1738" s="81" t="s">
        <v>1504</v>
      </c>
      <c r="H1738" s="81" t="s">
        <v>871</v>
      </c>
      <c r="I1738" s="81" t="n">
        <v>9.53</v>
      </c>
      <c r="J1738" s="81" t="s">
        <v>872</v>
      </c>
      <c r="K1738" s="81" t="s">
        <v>879</v>
      </c>
      <c r="L1738" s="81" t="n">
        <v>2080160</v>
      </c>
      <c r="M1738" s="81" t="n">
        <v>15421102</v>
      </c>
      <c r="N1738" s="81" t="n">
        <v>11.94</v>
      </c>
      <c r="O1738" s="81" t="n">
        <v>2078530</v>
      </c>
      <c r="P1738" s="81" t="n">
        <v>15421101</v>
      </c>
      <c r="Q1738" s="81" t="n">
        <v>11.94</v>
      </c>
      <c r="R1738" s="81" t="s">
        <v>2097</v>
      </c>
      <c r="S1738" s="81"/>
      <c r="T1738" s="81"/>
      <c r="U1738" s="83" t="n">
        <v>46272</v>
      </c>
      <c r="V1738" s="83" t="n">
        <v>46272</v>
      </c>
      <c r="W1738" s="81" t="s">
        <v>2098</v>
      </c>
      <c r="X1738" s="81" t="s">
        <v>876</v>
      </c>
      <c r="Y1738" s="83" t="n">
        <v>46289</v>
      </c>
      <c r="Z1738" s="81" t="s">
        <v>2077</v>
      </c>
      <c r="AA1738" s="81" t="s">
        <v>876</v>
      </c>
      <c r="AB1738" s="81"/>
      <c r="AC1738" s="81"/>
      <c r="AD1738" s="81"/>
      <c r="AE1738" s="83"/>
      <c r="AF1738" s="81"/>
      <c r="AG1738" s="81"/>
      <c r="AH1738" s="81"/>
      <c r="AI1738" s="81"/>
      <c r="AJ1738" s="83"/>
      <c r="AK1738" s="81"/>
      <c r="AL1738" s="81"/>
      <c r="AM1738" s="83"/>
      <c r="AN1738" s="80"/>
      <c r="AO1738" s="82" t="n">
        <f aca="false">IF(E1738="","",(AA1738&lt;&gt;"")+(AG1738&lt;&gt;"")+(AL1738&lt;&gt;""))</f>
        <v>1</v>
      </c>
      <c r="AP1738" s="82" t="str">
        <f aca="false">IF(AL1738&lt;&gt;"",AL1738,IF(AG1738&lt;&gt;"",AG1738,IF(AA1738&lt;&gt;"",AA1738,"")))</f>
        <v>A</v>
      </c>
      <c r="AQ1738" s="84" t="str">
        <f aca="false">IF(E1738="","",IF(U1738="","À SOUDER",IF(X1738="","VT EN ATTENTE",IF(X1738="R","VT REJETÉ – À REPRENDRE",IF(AP1738="","À RADIOGRAPHIER",IF(AP1738="A","ACCEPTÉ",IF(AP1738="NX","NX – RT À REFAIRE",IF(IF(AO1738=1,AD1738,IF(AO1738=2,AI1738,""))="A","RÉPARÉ – À RADIOGRAPHIER",IF(IF(AO1738=1,AD1738,IF(AO1738=2,AI1738,""))="R","VT REJETÉ – À REPRENDRE",IF(OR(AP1738="CO",AP1738="NT"),"COUPE – À RESOUDER","À RÉPARER"))))))))))</f>
        <v>ACCEPTÉ</v>
      </c>
      <c r="AR1738" s="82" t="str">
        <f aca="false">IF(AND(ISNUMBER(U1738),OR(AQ1738="À RADIOGRAPHIER",AQ1738="RÉPARÉ – À RADIOGRAPHIER",AQ1738="NX – RT À REFAIRE",AQ1738="À RÉPARER",AQ1738="COUPE – À RESOUDER",AQ1738="VT REJETÉ – À REPRENDRE")),MAX(0,'PROGRAMME RT'!$C$4-U1738),"")</f>
        <v/>
      </c>
      <c r="AS1738" s="82" t="n">
        <f aca="false">IF(AND(OR(AQ1738="À RADIOGRAPHIER",AQ1738="RÉPARÉ – À RADIOGRAPHIER",AQ1738="NX – RT À REFAIRE"),OR('PROGRAMME RT'!$D$5="TOUTES",B1738='PROGRAMME RT'!$D$5)),1,0)</f>
        <v>0</v>
      </c>
      <c r="AT1738" s="82" t="str">
        <f aca="false">IF(AS1738=1,SUM(AS$7:AS1738),"")</f>
        <v/>
      </c>
      <c r="AU1738" s="82" t="n">
        <f aca="false">IF(AND(OR(AA1738="R",AA1738="NX",AA1738="NT",AA1738="CO"),OR('JOINTS DE RÉPARATION'!$D$5="TOUTES",B1738='JOINTS DE RÉPARATION'!$D$5),OR('JOINTS DE RÉPARATION'!$L$4="TOUS",AQ1738&lt;&gt;"ACCEPTÉ")),1,0)</f>
        <v>0</v>
      </c>
      <c r="AV1738" s="82" t="str">
        <f aca="false">IF(AU1738=1,SUM(AU$7:AU1738),"")</f>
        <v/>
      </c>
      <c r="AW1738" s="82" t="str">
        <f aca="false">IF(E1738="","",B1738&amp;"|"&amp;E1738)</f>
        <v>MFD-ISW → MFD-CPF|JN°1383</v>
      </c>
    </row>
    <row r="1739" customFormat="false" ht="74.6" hidden="false" customHeight="false" outlineLevel="0" collapsed="false">
      <c r="A1739" s="79" t="n">
        <f aca="false">IF(E1739="","",ROW()-6)</f>
        <v>1733</v>
      </c>
      <c r="B1739" s="80" t="s">
        <v>110</v>
      </c>
      <c r="C1739" s="81" t="s">
        <v>2036</v>
      </c>
      <c r="D1739" s="81" t="n">
        <v>15</v>
      </c>
      <c r="E1739" s="81" t="s">
        <v>2114</v>
      </c>
      <c r="F1739" s="82" t="str">
        <f aca="false">IF(E1739="","",IF(LEFT(E1739,2)="DJ","DJ","JN"))</f>
        <v>DJ</v>
      </c>
      <c r="G1739" s="81"/>
      <c r="H1739" s="81" t="s">
        <v>871</v>
      </c>
      <c r="I1739" s="81" t="n">
        <v>9.53</v>
      </c>
      <c r="J1739" s="81" t="s">
        <v>872</v>
      </c>
      <c r="K1739" s="81" t="s">
        <v>873</v>
      </c>
      <c r="L1739" s="81" t="n">
        <v>2078530</v>
      </c>
      <c r="M1739" s="81" t="n">
        <v>15421101</v>
      </c>
      <c r="N1739" s="81" t="n">
        <v>11.94</v>
      </c>
      <c r="O1739" s="81" t="n">
        <v>2049380</v>
      </c>
      <c r="P1739" s="81" t="n">
        <v>15421102</v>
      </c>
      <c r="Q1739" s="81" t="n">
        <v>11.94</v>
      </c>
      <c r="R1739" s="81" t="s">
        <v>1517</v>
      </c>
      <c r="S1739" s="81"/>
      <c r="T1739" s="81"/>
      <c r="U1739" s="83" t="n">
        <v>46260</v>
      </c>
      <c r="V1739" s="83" t="n">
        <v>46260</v>
      </c>
      <c r="W1739" s="81" t="s">
        <v>2030</v>
      </c>
      <c r="X1739" s="81" t="s">
        <v>876</v>
      </c>
      <c r="Y1739" s="83" t="n">
        <v>46262</v>
      </c>
      <c r="Z1739" s="81" t="s">
        <v>2090</v>
      </c>
      <c r="AA1739" s="81" t="s">
        <v>876</v>
      </c>
      <c r="AB1739" s="81"/>
      <c r="AC1739" s="81"/>
      <c r="AD1739" s="81"/>
      <c r="AE1739" s="83"/>
      <c r="AF1739" s="81"/>
      <c r="AG1739" s="81"/>
      <c r="AH1739" s="81"/>
      <c r="AI1739" s="81"/>
      <c r="AJ1739" s="83"/>
      <c r="AK1739" s="81"/>
      <c r="AL1739" s="81"/>
      <c r="AM1739" s="83"/>
      <c r="AN1739" s="80"/>
      <c r="AO1739" s="82" t="n">
        <f aca="false">IF(E1739="","",(AA1739&lt;&gt;"")+(AG1739&lt;&gt;"")+(AL1739&lt;&gt;""))</f>
        <v>1</v>
      </c>
      <c r="AP1739" s="82" t="str">
        <f aca="false">IF(AL1739&lt;&gt;"",AL1739,IF(AG1739&lt;&gt;"",AG1739,IF(AA1739&lt;&gt;"",AA1739,"")))</f>
        <v>A</v>
      </c>
      <c r="AQ1739" s="84" t="str">
        <f aca="false">IF(E1739="","",IF(U1739="","À SOUDER",IF(X1739="","VT EN ATTENTE",IF(X1739="R","VT REJETÉ – À REPRENDRE",IF(AP1739="","À RADIOGRAPHIER",IF(AP1739="A","ACCEPTÉ",IF(AP1739="NX","NX – RT À REFAIRE",IF(IF(AO1739=1,AD1739,IF(AO1739=2,AI1739,""))="A","RÉPARÉ – À RADIOGRAPHIER",IF(IF(AO1739=1,AD1739,IF(AO1739=2,AI1739,""))="R","VT REJETÉ – À REPRENDRE",IF(OR(AP1739="CO",AP1739="NT"),"COUPE – À RESOUDER","À RÉPARER"))))))))))</f>
        <v>ACCEPTÉ</v>
      </c>
      <c r="AR1739" s="82" t="str">
        <f aca="false">IF(AND(ISNUMBER(U1739),OR(AQ1739="À RADIOGRAPHIER",AQ1739="RÉPARÉ – À RADIOGRAPHIER",AQ1739="NX – RT À REFAIRE",AQ1739="À RÉPARER",AQ1739="COUPE – À RESOUDER",AQ1739="VT REJETÉ – À REPRENDRE")),MAX(0,'PROGRAMME RT'!$C$4-U1739),"")</f>
        <v/>
      </c>
      <c r="AS1739" s="82" t="n">
        <f aca="false">IF(AND(OR(AQ1739="À RADIOGRAPHIER",AQ1739="RÉPARÉ – À RADIOGRAPHIER",AQ1739="NX – RT À REFAIRE"),OR('PROGRAMME RT'!$D$5="TOUTES",B1739='PROGRAMME RT'!$D$5)),1,0)</f>
        <v>0</v>
      </c>
      <c r="AT1739" s="82" t="str">
        <f aca="false">IF(AS1739=1,SUM(AS$7:AS1739),"")</f>
        <v/>
      </c>
      <c r="AU1739" s="82" t="n">
        <f aca="false">IF(AND(OR(AA1739="R",AA1739="NX",AA1739="NT",AA1739="CO"),OR('JOINTS DE RÉPARATION'!$D$5="TOUTES",B1739='JOINTS DE RÉPARATION'!$D$5),OR('JOINTS DE RÉPARATION'!$L$4="TOUS",AQ1739&lt;&gt;"ACCEPTÉ")),1,0)</f>
        <v>0</v>
      </c>
      <c r="AV1739" s="82" t="str">
        <f aca="false">IF(AU1739=1,SUM(AU$7:AU1739),"")</f>
        <v/>
      </c>
      <c r="AW1739" s="82" t="str">
        <f aca="false">IF(E1739="","",B1739&amp;"|"&amp;E1739)</f>
        <v>MFD-ISW → MFD-CPF|DJ°160</v>
      </c>
    </row>
    <row r="1740" customFormat="false" ht="74.6" hidden="false" customHeight="false" outlineLevel="0" collapsed="false">
      <c r="A1740" s="79" t="n">
        <f aca="false">IF(E1740="","",ROW()-6)</f>
        <v>1734</v>
      </c>
      <c r="B1740" s="80" t="s">
        <v>110</v>
      </c>
      <c r="C1740" s="81" t="s">
        <v>2036</v>
      </c>
      <c r="D1740" s="81" t="n">
        <v>15</v>
      </c>
      <c r="E1740" s="81" t="s">
        <v>2115</v>
      </c>
      <c r="F1740" s="82" t="str">
        <f aca="false">IF(E1740="","",IF(LEFT(E1740,2)="DJ","DJ","JN"))</f>
        <v>JN</v>
      </c>
      <c r="G1740" s="81" t="s">
        <v>1504</v>
      </c>
      <c r="H1740" s="81" t="s">
        <v>871</v>
      </c>
      <c r="I1740" s="81" t="n">
        <v>9.53</v>
      </c>
      <c r="J1740" s="81" t="s">
        <v>872</v>
      </c>
      <c r="K1740" s="81" t="s">
        <v>879</v>
      </c>
      <c r="L1740" s="81" t="n">
        <v>2049380</v>
      </c>
      <c r="M1740" s="81" t="n">
        <v>15421102</v>
      </c>
      <c r="N1740" s="81" t="n">
        <v>11.94</v>
      </c>
      <c r="O1740" s="81" t="n">
        <v>2090000</v>
      </c>
      <c r="P1740" s="81" t="n">
        <v>15421109</v>
      </c>
      <c r="Q1740" s="81" t="n">
        <v>11.94</v>
      </c>
      <c r="R1740" s="81" t="s">
        <v>2097</v>
      </c>
      <c r="S1740" s="81"/>
      <c r="T1740" s="81"/>
      <c r="U1740" s="83" t="n">
        <v>46272</v>
      </c>
      <c r="V1740" s="83" t="n">
        <v>46272</v>
      </c>
      <c r="W1740" s="81" t="s">
        <v>2098</v>
      </c>
      <c r="X1740" s="81" t="s">
        <v>876</v>
      </c>
      <c r="Y1740" s="83" t="n">
        <v>46289</v>
      </c>
      <c r="Z1740" s="81" t="s">
        <v>2077</v>
      </c>
      <c r="AA1740" s="81" t="s">
        <v>1073</v>
      </c>
      <c r="AB1740" s="81" t="s">
        <v>2116</v>
      </c>
      <c r="AC1740" s="81"/>
      <c r="AD1740" s="81"/>
      <c r="AE1740" s="83"/>
      <c r="AF1740" s="81"/>
      <c r="AG1740" s="81"/>
      <c r="AH1740" s="81"/>
      <c r="AI1740" s="81"/>
      <c r="AJ1740" s="83"/>
      <c r="AK1740" s="81"/>
      <c r="AL1740" s="81"/>
      <c r="AM1740" s="83"/>
      <c r="AN1740" s="80"/>
      <c r="AO1740" s="82" t="n">
        <f aca="false">IF(E1740="","",(AA1740&lt;&gt;"")+(AG1740&lt;&gt;"")+(AL1740&lt;&gt;""))</f>
        <v>1</v>
      </c>
      <c r="AP1740" s="82" t="str">
        <f aca="false">IF(AL1740&lt;&gt;"",AL1740,IF(AG1740&lt;&gt;"",AG1740,IF(AA1740&lt;&gt;"",AA1740,"")))</f>
        <v>R</v>
      </c>
      <c r="AQ1740" s="84" t="str">
        <f aca="false">IF(E1740="","",IF(U1740="","À SOUDER",IF(X1740="","VT EN ATTENTE",IF(X1740="R","VT REJETÉ – À REPRENDRE",IF(AP1740="","À RADIOGRAPHIER",IF(AP1740="A","ACCEPTÉ",IF(AP1740="NX","NX – RT À REFAIRE",IF(IF(AO1740=1,AD1740,IF(AO1740=2,AI1740,""))="A","RÉPARÉ – À RADIOGRAPHIER",IF(IF(AO1740=1,AD1740,IF(AO1740=2,AI1740,""))="R","VT REJETÉ – À REPRENDRE",IF(OR(AP1740="CO",AP1740="NT"),"COUPE – À RESOUDER","À RÉPARER"))))))))))</f>
        <v>À RÉPARER</v>
      </c>
      <c r="AR1740" s="82" t="n">
        <f aca="false">IF(AND(ISNUMBER(U1740),OR(AQ1740="À RADIOGRAPHIER",AQ1740="RÉPARÉ – À RADIOGRAPHIER",AQ1740="NX – RT À REFAIRE",AQ1740="À RÉPARER",AQ1740="COUPE – À RESOUDER",AQ1740="VT REJETÉ – À REPRENDRE")),MAX(0,'PROGRAMME RT'!$C$4-U1740),"")</f>
        <v>21</v>
      </c>
      <c r="AS1740" s="82" t="n">
        <f aca="false">IF(AND(OR(AQ1740="À RADIOGRAPHIER",AQ1740="RÉPARÉ – À RADIOGRAPHIER",AQ1740="NX – RT À REFAIRE"),OR('PROGRAMME RT'!$D$5="TOUTES",B1740='PROGRAMME RT'!$D$5)),1,0)</f>
        <v>0</v>
      </c>
      <c r="AT1740" s="82" t="str">
        <f aca="false">IF(AS1740=1,SUM(AS$7:AS1740),"")</f>
        <v/>
      </c>
      <c r="AU1740" s="82" t="n">
        <f aca="false">IF(AND(OR(AA1740="R",AA1740="NX",AA1740="NT",AA1740="CO"),OR('JOINTS DE RÉPARATION'!$D$5="TOUTES",B1740='JOINTS DE RÉPARATION'!$D$5),OR('JOINTS DE RÉPARATION'!$L$4="TOUS",AQ1740&lt;&gt;"ACCEPTÉ")),1,0)</f>
        <v>1</v>
      </c>
      <c r="AV1740" s="82" t="n">
        <f aca="false">IF(AU1740=1,SUM(AU$7:AU1740),"")</f>
        <v>52</v>
      </c>
      <c r="AW1740" s="82" t="str">
        <f aca="false">IF(E1740="","",B1740&amp;"|"&amp;E1740)</f>
        <v>MFD-ISW → MFD-CPF|JN°1384</v>
      </c>
    </row>
    <row r="1741" customFormat="false" ht="74.6" hidden="false" customHeight="false" outlineLevel="0" collapsed="false">
      <c r="A1741" s="79" t="n">
        <f aca="false">IF(E1741="","",ROW()-6)</f>
        <v>1735</v>
      </c>
      <c r="B1741" s="80" t="s">
        <v>110</v>
      </c>
      <c r="C1741" s="81" t="s">
        <v>2036</v>
      </c>
      <c r="D1741" s="81" t="n">
        <v>15</v>
      </c>
      <c r="E1741" s="81" t="s">
        <v>2117</v>
      </c>
      <c r="F1741" s="82" t="str">
        <f aca="false">IF(E1741="","",IF(LEFT(E1741,2)="DJ","DJ","JN"))</f>
        <v>DJ</v>
      </c>
      <c r="G1741" s="81"/>
      <c r="H1741" s="81" t="s">
        <v>871</v>
      </c>
      <c r="I1741" s="81" t="n">
        <v>9.53</v>
      </c>
      <c r="J1741" s="81" t="s">
        <v>872</v>
      </c>
      <c r="K1741" s="81" t="s">
        <v>873</v>
      </c>
      <c r="L1741" s="81" t="n">
        <v>2090000</v>
      </c>
      <c r="M1741" s="81" t="n">
        <v>15421109</v>
      </c>
      <c r="N1741" s="81" t="n">
        <v>11.94</v>
      </c>
      <c r="O1741" s="81" t="n">
        <v>2093690</v>
      </c>
      <c r="P1741" s="81" t="n">
        <v>15421110</v>
      </c>
      <c r="Q1741" s="81" t="n">
        <v>11.94</v>
      </c>
      <c r="R1741" s="81" t="s">
        <v>963</v>
      </c>
      <c r="S1741" s="81"/>
      <c r="T1741" s="81"/>
      <c r="U1741" s="83" t="n">
        <v>46260</v>
      </c>
      <c r="V1741" s="83" t="n">
        <v>46260</v>
      </c>
      <c r="W1741" s="81" t="s">
        <v>2030</v>
      </c>
      <c r="X1741" s="81" t="s">
        <v>876</v>
      </c>
      <c r="Y1741" s="83" t="n">
        <v>46262</v>
      </c>
      <c r="Z1741" s="81" t="s">
        <v>2090</v>
      </c>
      <c r="AA1741" s="81" t="s">
        <v>876</v>
      </c>
      <c r="AB1741" s="81"/>
      <c r="AC1741" s="81"/>
      <c r="AD1741" s="81"/>
      <c r="AE1741" s="83"/>
      <c r="AF1741" s="81"/>
      <c r="AG1741" s="81"/>
      <c r="AH1741" s="81"/>
      <c r="AI1741" s="81"/>
      <c r="AJ1741" s="83"/>
      <c r="AK1741" s="81"/>
      <c r="AL1741" s="81"/>
      <c r="AM1741" s="83"/>
      <c r="AN1741" s="80"/>
      <c r="AO1741" s="82" t="n">
        <f aca="false">IF(E1741="","",(AA1741&lt;&gt;"")+(AG1741&lt;&gt;"")+(AL1741&lt;&gt;""))</f>
        <v>1</v>
      </c>
      <c r="AP1741" s="82" t="str">
        <f aca="false">IF(AL1741&lt;&gt;"",AL1741,IF(AG1741&lt;&gt;"",AG1741,IF(AA1741&lt;&gt;"",AA1741,"")))</f>
        <v>A</v>
      </c>
      <c r="AQ1741" s="84" t="str">
        <f aca="false">IF(E1741="","",IF(U1741="","À SOUDER",IF(X1741="","VT EN ATTENTE",IF(X1741="R","VT REJETÉ – À REPRENDRE",IF(AP1741="","À RADIOGRAPHIER",IF(AP1741="A","ACCEPTÉ",IF(AP1741="NX","NX – RT À REFAIRE",IF(IF(AO1741=1,AD1741,IF(AO1741=2,AI1741,""))="A","RÉPARÉ – À RADIOGRAPHIER",IF(IF(AO1741=1,AD1741,IF(AO1741=2,AI1741,""))="R","VT REJETÉ – À REPRENDRE",IF(OR(AP1741="CO",AP1741="NT"),"COUPE – À RESOUDER","À RÉPARER"))))))))))</f>
        <v>ACCEPTÉ</v>
      </c>
      <c r="AR1741" s="82" t="str">
        <f aca="false">IF(AND(ISNUMBER(U1741),OR(AQ1741="À RADIOGRAPHIER",AQ1741="RÉPARÉ – À RADIOGRAPHIER",AQ1741="NX – RT À REFAIRE",AQ1741="À RÉPARER",AQ1741="COUPE – À RESOUDER",AQ1741="VT REJETÉ – À REPRENDRE")),MAX(0,'PROGRAMME RT'!$C$4-U1741),"")</f>
        <v/>
      </c>
      <c r="AS1741" s="82" t="n">
        <f aca="false">IF(AND(OR(AQ1741="À RADIOGRAPHIER",AQ1741="RÉPARÉ – À RADIOGRAPHIER",AQ1741="NX – RT À REFAIRE"),OR('PROGRAMME RT'!$D$5="TOUTES",B1741='PROGRAMME RT'!$D$5)),1,0)</f>
        <v>0</v>
      </c>
      <c r="AT1741" s="82" t="str">
        <f aca="false">IF(AS1741=1,SUM(AS$7:AS1741),"")</f>
        <v/>
      </c>
      <c r="AU1741" s="82" t="n">
        <f aca="false">IF(AND(OR(AA1741="R",AA1741="NX",AA1741="NT",AA1741="CO"),OR('JOINTS DE RÉPARATION'!$D$5="TOUTES",B1741='JOINTS DE RÉPARATION'!$D$5),OR('JOINTS DE RÉPARATION'!$L$4="TOUS",AQ1741&lt;&gt;"ACCEPTÉ")),1,0)</f>
        <v>0</v>
      </c>
      <c r="AV1741" s="82" t="str">
        <f aca="false">IF(AU1741=1,SUM(AU$7:AU1741),"")</f>
        <v/>
      </c>
      <c r="AW1741" s="82" t="str">
        <f aca="false">IF(E1741="","",B1741&amp;"|"&amp;E1741)</f>
        <v>MFD-ISW → MFD-CPF|DJ°154</v>
      </c>
    </row>
    <row r="1742" customFormat="false" ht="74.6" hidden="false" customHeight="false" outlineLevel="0" collapsed="false">
      <c r="A1742" s="79" t="n">
        <f aca="false">IF(E1742="","",ROW()-6)</f>
        <v>1736</v>
      </c>
      <c r="B1742" s="80" t="s">
        <v>110</v>
      </c>
      <c r="C1742" s="81"/>
      <c r="D1742" s="81" t="n">
        <v>15</v>
      </c>
      <c r="E1742" s="81" t="s">
        <v>2118</v>
      </c>
      <c r="F1742" s="82" t="str">
        <f aca="false">IF(E1742="","",IF(LEFT(E1742,2)="DJ","DJ","JN"))</f>
        <v>JN</v>
      </c>
      <c r="G1742" s="81" t="s">
        <v>1504</v>
      </c>
      <c r="H1742" s="81" t="s">
        <v>871</v>
      </c>
      <c r="I1742" s="81" t="n">
        <v>9.53</v>
      </c>
      <c r="J1742" s="81" t="s">
        <v>872</v>
      </c>
      <c r="K1742" s="81"/>
      <c r="L1742" s="81" t="n">
        <v>2093690</v>
      </c>
      <c r="M1742" s="81" t="n">
        <v>15421110</v>
      </c>
      <c r="N1742" s="81" t="n">
        <v>11.94</v>
      </c>
      <c r="O1742" s="81" t="n">
        <v>2087470</v>
      </c>
      <c r="P1742" s="81" t="n">
        <v>15421116</v>
      </c>
      <c r="Q1742" s="81" t="n">
        <v>11.94</v>
      </c>
      <c r="R1742" s="81"/>
      <c r="S1742" s="81"/>
      <c r="T1742" s="81"/>
      <c r="U1742" s="83"/>
      <c r="V1742" s="83"/>
      <c r="W1742" s="81"/>
      <c r="X1742" s="81"/>
      <c r="Y1742" s="83"/>
      <c r="Z1742" s="81"/>
      <c r="AA1742" s="81"/>
      <c r="AB1742" s="81"/>
      <c r="AC1742" s="81"/>
      <c r="AD1742" s="81"/>
      <c r="AE1742" s="83"/>
      <c r="AF1742" s="81"/>
      <c r="AG1742" s="81"/>
      <c r="AH1742" s="81"/>
      <c r="AI1742" s="81"/>
      <c r="AJ1742" s="83"/>
      <c r="AK1742" s="81"/>
      <c r="AL1742" s="81"/>
      <c r="AM1742" s="83"/>
      <c r="AN1742" s="80"/>
      <c r="AO1742" s="82" t="n">
        <f aca="false">IF(E1742="","",(AA1742&lt;&gt;"")+(AG1742&lt;&gt;"")+(AL1742&lt;&gt;""))</f>
        <v>0</v>
      </c>
      <c r="AP1742" s="82" t="str">
        <f aca="false">IF(AL1742&lt;&gt;"",AL1742,IF(AG1742&lt;&gt;"",AG1742,IF(AA1742&lt;&gt;"",AA1742,"")))</f>
        <v/>
      </c>
      <c r="AQ1742" s="84" t="str">
        <f aca="false">IF(E1742="","",IF(U1742="","À SOUDER",IF(X1742="","VT EN ATTENTE",IF(X1742="R","VT REJETÉ – À REPRENDRE",IF(AP1742="","À RADIOGRAPHIER",IF(AP1742="A","ACCEPTÉ",IF(AP1742="NX","NX – RT À REFAIRE",IF(IF(AO1742=1,AD1742,IF(AO1742=2,AI1742,""))="A","RÉPARÉ – À RADIOGRAPHIER",IF(IF(AO1742=1,AD1742,IF(AO1742=2,AI1742,""))="R","VT REJETÉ – À REPRENDRE",IF(OR(AP1742="CO",AP1742="NT"),"COUPE – À RESOUDER","À RÉPARER"))))))))))</f>
        <v>À SOUDER</v>
      </c>
      <c r="AR1742" s="82" t="str">
        <f aca="false">IF(AND(ISNUMBER(U1742),OR(AQ1742="À RADIOGRAPHIER",AQ1742="RÉPARÉ – À RADIOGRAPHIER",AQ1742="NX – RT À REFAIRE",AQ1742="À RÉPARER",AQ1742="COUPE – À RESOUDER",AQ1742="VT REJETÉ – À REPRENDRE")),MAX(0,'PROGRAMME RT'!$C$4-U1742),"")</f>
        <v/>
      </c>
      <c r="AS1742" s="82" t="n">
        <f aca="false">IF(AND(OR(AQ1742="À RADIOGRAPHIER",AQ1742="RÉPARÉ – À RADIOGRAPHIER",AQ1742="NX – RT À REFAIRE"),OR('PROGRAMME RT'!$D$5="TOUTES",B1742='PROGRAMME RT'!$D$5)),1,0)</f>
        <v>0</v>
      </c>
      <c r="AT1742" s="82" t="str">
        <f aca="false">IF(AS1742=1,SUM(AS$7:AS1742),"")</f>
        <v/>
      </c>
      <c r="AU1742" s="82" t="n">
        <f aca="false">IF(AND(OR(AA1742="R",AA1742="NX",AA1742="NT",AA1742="CO"),OR('JOINTS DE RÉPARATION'!$D$5="TOUTES",B1742='JOINTS DE RÉPARATION'!$D$5),OR('JOINTS DE RÉPARATION'!$L$4="TOUS",AQ1742&lt;&gt;"ACCEPTÉ")),1,0)</f>
        <v>0</v>
      </c>
      <c r="AV1742" s="82" t="str">
        <f aca="false">IF(AU1742=1,SUM(AU$7:AU1742),"")</f>
        <v/>
      </c>
      <c r="AW1742" s="82" t="str">
        <f aca="false">IF(E1742="","",B1742&amp;"|"&amp;E1742)</f>
        <v>MFD-ISW → MFD-CPF|JN°1385CT</v>
      </c>
    </row>
    <row r="1743" customFormat="false" ht="74.6" hidden="false" customHeight="false" outlineLevel="0" collapsed="false">
      <c r="A1743" s="79" t="n">
        <f aca="false">IF(E1743="","",ROW()-6)</f>
        <v>1737</v>
      </c>
      <c r="B1743" s="80" t="s">
        <v>110</v>
      </c>
      <c r="C1743" s="81" t="s">
        <v>2119</v>
      </c>
      <c r="D1743" s="81" t="n">
        <v>15</v>
      </c>
      <c r="E1743" s="81" t="s">
        <v>2120</v>
      </c>
      <c r="F1743" s="82" t="str">
        <f aca="false">IF(E1743="","",IF(LEFT(E1743,2)="DJ","DJ","JN"))</f>
        <v>DJ</v>
      </c>
      <c r="G1743" s="81"/>
      <c r="H1743" s="81" t="s">
        <v>871</v>
      </c>
      <c r="I1743" s="81" t="n">
        <v>9.53</v>
      </c>
      <c r="J1743" s="81" t="s">
        <v>872</v>
      </c>
      <c r="K1743" s="81" t="s">
        <v>873</v>
      </c>
      <c r="L1743" s="81" t="n">
        <v>2087470</v>
      </c>
      <c r="M1743" s="81" t="n">
        <v>15421116</v>
      </c>
      <c r="N1743" s="81" t="n">
        <v>11.94</v>
      </c>
      <c r="O1743" s="81" t="n">
        <v>2086620</v>
      </c>
      <c r="P1743" s="81" t="n">
        <v>15421107</v>
      </c>
      <c r="Q1743" s="81" t="n">
        <v>11.94</v>
      </c>
      <c r="R1743" s="81" t="s">
        <v>1135</v>
      </c>
      <c r="S1743" s="81"/>
      <c r="T1743" s="81"/>
      <c r="U1743" s="83" t="n">
        <v>46260</v>
      </c>
      <c r="V1743" s="83" t="n">
        <v>46260</v>
      </c>
      <c r="W1743" s="81" t="s">
        <v>2030</v>
      </c>
      <c r="X1743" s="81" t="s">
        <v>876</v>
      </c>
      <c r="Y1743" s="83" t="n">
        <v>46262</v>
      </c>
      <c r="Z1743" s="81" t="s">
        <v>2090</v>
      </c>
      <c r="AA1743" s="81" t="s">
        <v>876</v>
      </c>
      <c r="AB1743" s="81"/>
      <c r="AC1743" s="81"/>
      <c r="AD1743" s="81"/>
      <c r="AE1743" s="83"/>
      <c r="AF1743" s="81"/>
      <c r="AG1743" s="81"/>
      <c r="AH1743" s="81"/>
      <c r="AI1743" s="81"/>
      <c r="AJ1743" s="83"/>
      <c r="AK1743" s="81"/>
      <c r="AL1743" s="81"/>
      <c r="AM1743" s="83"/>
      <c r="AN1743" s="80"/>
      <c r="AO1743" s="82" t="n">
        <f aca="false">IF(E1743="","",(AA1743&lt;&gt;"")+(AG1743&lt;&gt;"")+(AL1743&lt;&gt;""))</f>
        <v>1</v>
      </c>
      <c r="AP1743" s="82" t="str">
        <f aca="false">IF(AL1743&lt;&gt;"",AL1743,IF(AG1743&lt;&gt;"",AG1743,IF(AA1743&lt;&gt;"",AA1743,"")))</f>
        <v>A</v>
      </c>
      <c r="AQ1743" s="84" t="str">
        <f aca="false">IF(E1743="","",IF(U1743="","À SOUDER",IF(X1743="","VT EN ATTENTE",IF(X1743="R","VT REJETÉ – À REPRENDRE",IF(AP1743="","À RADIOGRAPHIER",IF(AP1743="A","ACCEPTÉ",IF(AP1743="NX","NX – RT À REFAIRE",IF(IF(AO1743=1,AD1743,IF(AO1743=2,AI1743,""))="A","RÉPARÉ – À RADIOGRAPHIER",IF(IF(AO1743=1,AD1743,IF(AO1743=2,AI1743,""))="R","VT REJETÉ – À REPRENDRE",IF(OR(AP1743="CO",AP1743="NT"),"COUPE – À RESOUDER","À RÉPARER"))))))))))</f>
        <v>ACCEPTÉ</v>
      </c>
      <c r="AR1743" s="82" t="str">
        <f aca="false">IF(AND(ISNUMBER(U1743),OR(AQ1743="À RADIOGRAPHIER",AQ1743="RÉPARÉ – À RADIOGRAPHIER",AQ1743="NX – RT À REFAIRE",AQ1743="À RÉPARER",AQ1743="COUPE – À RESOUDER",AQ1743="VT REJETÉ – À REPRENDRE")),MAX(0,'PROGRAMME RT'!$C$4-U1743),"")</f>
        <v/>
      </c>
      <c r="AS1743" s="82" t="n">
        <f aca="false">IF(AND(OR(AQ1743="À RADIOGRAPHIER",AQ1743="RÉPARÉ – À RADIOGRAPHIER",AQ1743="NX – RT À REFAIRE"),OR('PROGRAMME RT'!$D$5="TOUTES",B1743='PROGRAMME RT'!$D$5)),1,0)</f>
        <v>0</v>
      </c>
      <c r="AT1743" s="82" t="str">
        <f aca="false">IF(AS1743=1,SUM(AS$7:AS1743),"")</f>
        <v/>
      </c>
      <c r="AU1743" s="82" t="n">
        <f aca="false">IF(AND(OR(AA1743="R",AA1743="NX",AA1743="NT",AA1743="CO"),OR('JOINTS DE RÉPARATION'!$D$5="TOUTES",B1743='JOINTS DE RÉPARATION'!$D$5),OR('JOINTS DE RÉPARATION'!$L$4="TOUS",AQ1743&lt;&gt;"ACCEPTÉ")),1,0)</f>
        <v>0</v>
      </c>
      <c r="AV1743" s="82" t="str">
        <f aca="false">IF(AU1743=1,SUM(AU$7:AU1743),"")</f>
        <v/>
      </c>
      <c r="AW1743" s="82" t="str">
        <f aca="false">IF(E1743="","",B1743&amp;"|"&amp;E1743)</f>
        <v>MFD-ISW → MFD-CPF|DJ°155</v>
      </c>
    </row>
    <row r="1744" customFormat="false" ht="74.6" hidden="false" customHeight="false" outlineLevel="0" collapsed="false">
      <c r="A1744" s="79" t="n">
        <f aca="false">IF(E1744="","",ROW()-6)</f>
        <v>1738</v>
      </c>
      <c r="B1744" s="80" t="s">
        <v>110</v>
      </c>
      <c r="C1744" s="81" t="s">
        <v>2119</v>
      </c>
      <c r="D1744" s="81" t="n">
        <v>15</v>
      </c>
      <c r="E1744" s="81" t="s">
        <v>2121</v>
      </c>
      <c r="F1744" s="82" t="str">
        <f aca="false">IF(E1744="","",IF(LEFT(E1744,2)="DJ","DJ","JN"))</f>
        <v>JN</v>
      </c>
      <c r="G1744" s="81" t="s">
        <v>1504</v>
      </c>
      <c r="H1744" s="81" t="s">
        <v>871</v>
      </c>
      <c r="I1744" s="81" t="n">
        <v>9.53</v>
      </c>
      <c r="J1744" s="81" t="s">
        <v>872</v>
      </c>
      <c r="K1744" s="81" t="s">
        <v>879</v>
      </c>
      <c r="L1744" s="81" t="n">
        <v>2086620</v>
      </c>
      <c r="M1744" s="81" t="n">
        <v>15421107</v>
      </c>
      <c r="N1744" s="81" t="n">
        <v>11.94</v>
      </c>
      <c r="O1744" s="81" t="n">
        <v>2091640</v>
      </c>
      <c r="P1744" s="81" t="n">
        <v>15421109</v>
      </c>
      <c r="Q1744" s="81" t="n">
        <v>11.94</v>
      </c>
      <c r="R1744" s="81" t="s">
        <v>2097</v>
      </c>
      <c r="S1744" s="81"/>
      <c r="T1744" s="81"/>
      <c r="U1744" s="83" t="n">
        <v>46272</v>
      </c>
      <c r="V1744" s="83" t="n">
        <v>46272</v>
      </c>
      <c r="W1744" s="81" t="s">
        <v>2098</v>
      </c>
      <c r="X1744" s="81" t="s">
        <v>876</v>
      </c>
      <c r="Y1744" s="83" t="n">
        <v>46288</v>
      </c>
      <c r="Z1744" s="81" t="s">
        <v>2122</v>
      </c>
      <c r="AA1744" s="81" t="s">
        <v>876</v>
      </c>
      <c r="AB1744" s="81"/>
      <c r="AC1744" s="81"/>
      <c r="AD1744" s="81"/>
      <c r="AE1744" s="83"/>
      <c r="AF1744" s="81"/>
      <c r="AG1744" s="81"/>
      <c r="AH1744" s="81"/>
      <c r="AI1744" s="81"/>
      <c r="AJ1744" s="83"/>
      <c r="AK1744" s="81"/>
      <c r="AL1744" s="81"/>
      <c r="AM1744" s="83"/>
      <c r="AN1744" s="80"/>
      <c r="AO1744" s="82" t="n">
        <f aca="false">IF(E1744="","",(AA1744&lt;&gt;"")+(AG1744&lt;&gt;"")+(AL1744&lt;&gt;""))</f>
        <v>1</v>
      </c>
      <c r="AP1744" s="82" t="str">
        <f aca="false">IF(AL1744&lt;&gt;"",AL1744,IF(AG1744&lt;&gt;"",AG1744,IF(AA1744&lt;&gt;"",AA1744,"")))</f>
        <v>A</v>
      </c>
      <c r="AQ1744" s="84" t="str">
        <f aca="false">IF(E1744="","",IF(U1744="","À SOUDER",IF(X1744="","VT EN ATTENTE",IF(X1744="R","VT REJETÉ – À REPRENDRE",IF(AP1744="","À RADIOGRAPHIER",IF(AP1744="A","ACCEPTÉ",IF(AP1744="NX","NX – RT À REFAIRE",IF(IF(AO1744=1,AD1744,IF(AO1744=2,AI1744,""))="A","RÉPARÉ – À RADIOGRAPHIER",IF(IF(AO1744=1,AD1744,IF(AO1744=2,AI1744,""))="R","VT REJETÉ – À REPRENDRE",IF(OR(AP1744="CO",AP1744="NT"),"COUPE – À RESOUDER","À RÉPARER"))))))))))</f>
        <v>ACCEPTÉ</v>
      </c>
      <c r="AR1744" s="82" t="str">
        <f aca="false">IF(AND(ISNUMBER(U1744),OR(AQ1744="À RADIOGRAPHIER",AQ1744="RÉPARÉ – À RADIOGRAPHIER",AQ1744="NX – RT À REFAIRE",AQ1744="À RÉPARER",AQ1744="COUPE – À RESOUDER",AQ1744="VT REJETÉ – À REPRENDRE")),MAX(0,'PROGRAMME RT'!$C$4-U1744),"")</f>
        <v/>
      </c>
      <c r="AS1744" s="82" t="n">
        <f aca="false">IF(AND(OR(AQ1744="À RADIOGRAPHIER",AQ1744="RÉPARÉ – À RADIOGRAPHIER",AQ1744="NX – RT À REFAIRE"),OR('PROGRAMME RT'!$D$5="TOUTES",B1744='PROGRAMME RT'!$D$5)),1,0)</f>
        <v>0</v>
      </c>
      <c r="AT1744" s="82" t="str">
        <f aca="false">IF(AS1744=1,SUM(AS$7:AS1744),"")</f>
        <v/>
      </c>
      <c r="AU1744" s="82" t="n">
        <f aca="false">IF(AND(OR(AA1744="R",AA1744="NX",AA1744="NT",AA1744="CO"),OR('JOINTS DE RÉPARATION'!$D$5="TOUTES",B1744='JOINTS DE RÉPARATION'!$D$5),OR('JOINTS DE RÉPARATION'!$L$4="TOUS",AQ1744&lt;&gt;"ACCEPTÉ")),1,0)</f>
        <v>0</v>
      </c>
      <c r="AV1744" s="82" t="str">
        <f aca="false">IF(AU1744=1,SUM(AU$7:AU1744),"")</f>
        <v/>
      </c>
      <c r="AW1744" s="82" t="str">
        <f aca="false">IF(E1744="","",B1744&amp;"|"&amp;E1744)</f>
        <v>MFD-ISW → MFD-CPF|JN°1386</v>
      </c>
    </row>
    <row r="1745" customFormat="false" ht="74.6" hidden="false" customHeight="false" outlineLevel="0" collapsed="false">
      <c r="A1745" s="79" t="n">
        <f aca="false">IF(E1745="","",ROW()-6)</f>
        <v>1739</v>
      </c>
      <c r="B1745" s="80" t="s">
        <v>110</v>
      </c>
      <c r="C1745" s="81" t="s">
        <v>2119</v>
      </c>
      <c r="D1745" s="81" t="n">
        <v>15</v>
      </c>
      <c r="E1745" s="81" t="s">
        <v>2123</v>
      </c>
      <c r="F1745" s="82" t="str">
        <f aca="false">IF(E1745="","",IF(LEFT(E1745,2)="DJ","DJ","JN"))</f>
        <v>DJ</v>
      </c>
      <c r="G1745" s="81"/>
      <c r="H1745" s="81" t="s">
        <v>871</v>
      </c>
      <c r="I1745" s="81" t="n">
        <v>9.53</v>
      </c>
      <c r="J1745" s="81" t="s">
        <v>872</v>
      </c>
      <c r="K1745" s="81" t="s">
        <v>873</v>
      </c>
      <c r="L1745" s="81" t="n">
        <v>2091640</v>
      </c>
      <c r="M1745" s="81" t="n">
        <v>15421109</v>
      </c>
      <c r="N1745" s="81" t="n">
        <v>11.94</v>
      </c>
      <c r="O1745" s="81" t="n">
        <v>2096270</v>
      </c>
      <c r="P1745" s="81" t="n">
        <v>15421111</v>
      </c>
      <c r="Q1745" s="81" t="n">
        <v>11.94</v>
      </c>
      <c r="R1745" s="81" t="s">
        <v>1147</v>
      </c>
      <c r="S1745" s="81"/>
      <c r="T1745" s="81"/>
      <c r="U1745" s="83" t="n">
        <v>46261</v>
      </c>
      <c r="V1745" s="83" t="n">
        <v>46261</v>
      </c>
      <c r="W1745" s="81" t="s">
        <v>1952</v>
      </c>
      <c r="X1745" s="81" t="s">
        <v>876</v>
      </c>
      <c r="Y1745" s="83" t="n">
        <v>46263</v>
      </c>
      <c r="Z1745" s="81" t="s">
        <v>2124</v>
      </c>
      <c r="AA1745" s="81" t="s">
        <v>876</v>
      </c>
      <c r="AB1745" s="81"/>
      <c r="AC1745" s="81"/>
      <c r="AD1745" s="81"/>
      <c r="AE1745" s="83"/>
      <c r="AF1745" s="81"/>
      <c r="AG1745" s="81"/>
      <c r="AH1745" s="81"/>
      <c r="AI1745" s="81"/>
      <c r="AJ1745" s="83"/>
      <c r="AK1745" s="81"/>
      <c r="AL1745" s="81"/>
      <c r="AM1745" s="83"/>
      <c r="AN1745" s="80"/>
      <c r="AO1745" s="82" t="n">
        <f aca="false">IF(E1745="","",(AA1745&lt;&gt;"")+(AG1745&lt;&gt;"")+(AL1745&lt;&gt;""))</f>
        <v>1</v>
      </c>
      <c r="AP1745" s="82" t="str">
        <f aca="false">IF(AL1745&lt;&gt;"",AL1745,IF(AG1745&lt;&gt;"",AG1745,IF(AA1745&lt;&gt;"",AA1745,"")))</f>
        <v>A</v>
      </c>
      <c r="AQ1745" s="84" t="str">
        <f aca="false">IF(E1745="","",IF(U1745="","À SOUDER",IF(X1745="","VT EN ATTENTE",IF(X1745="R","VT REJETÉ – À REPRENDRE",IF(AP1745="","À RADIOGRAPHIER",IF(AP1745="A","ACCEPTÉ",IF(AP1745="NX","NX – RT À REFAIRE",IF(IF(AO1745=1,AD1745,IF(AO1745=2,AI1745,""))="A","RÉPARÉ – À RADIOGRAPHIER",IF(IF(AO1745=1,AD1745,IF(AO1745=2,AI1745,""))="R","VT REJETÉ – À REPRENDRE",IF(OR(AP1745="CO",AP1745="NT"),"COUPE – À RESOUDER","À RÉPARER"))))))))))</f>
        <v>ACCEPTÉ</v>
      </c>
      <c r="AR1745" s="82" t="str">
        <f aca="false">IF(AND(ISNUMBER(U1745),OR(AQ1745="À RADIOGRAPHIER",AQ1745="RÉPARÉ – À RADIOGRAPHIER",AQ1745="NX – RT À REFAIRE",AQ1745="À RÉPARER",AQ1745="COUPE – À RESOUDER",AQ1745="VT REJETÉ – À REPRENDRE")),MAX(0,'PROGRAMME RT'!$C$4-U1745),"")</f>
        <v/>
      </c>
      <c r="AS1745" s="82" t="n">
        <f aca="false">IF(AND(OR(AQ1745="À RADIOGRAPHIER",AQ1745="RÉPARÉ – À RADIOGRAPHIER",AQ1745="NX – RT À REFAIRE"),OR('PROGRAMME RT'!$D$5="TOUTES",B1745='PROGRAMME RT'!$D$5)),1,0)</f>
        <v>0</v>
      </c>
      <c r="AT1745" s="82" t="str">
        <f aca="false">IF(AS1745=1,SUM(AS$7:AS1745),"")</f>
        <v/>
      </c>
      <c r="AU1745" s="82" t="n">
        <f aca="false">IF(AND(OR(AA1745="R",AA1745="NX",AA1745="NT",AA1745="CO"),OR('JOINTS DE RÉPARATION'!$D$5="TOUTES",B1745='JOINTS DE RÉPARATION'!$D$5),OR('JOINTS DE RÉPARATION'!$L$4="TOUS",AQ1745&lt;&gt;"ACCEPTÉ")),1,0)</f>
        <v>0</v>
      </c>
      <c r="AV1745" s="82" t="str">
        <f aca="false">IF(AU1745=1,SUM(AU$7:AU1745),"")</f>
        <v/>
      </c>
      <c r="AW1745" s="82" t="str">
        <f aca="false">IF(E1745="","",B1745&amp;"|"&amp;E1745)</f>
        <v>MFD-ISW → MFD-CPF|DJ°165</v>
      </c>
    </row>
    <row r="1746" customFormat="false" ht="74.6" hidden="false" customHeight="false" outlineLevel="0" collapsed="false">
      <c r="A1746" s="79" t="n">
        <f aca="false">IF(E1746="","",ROW()-6)</f>
        <v>1740</v>
      </c>
      <c r="B1746" s="80" t="s">
        <v>110</v>
      </c>
      <c r="C1746" s="81" t="s">
        <v>2119</v>
      </c>
      <c r="D1746" s="81" t="n">
        <v>15</v>
      </c>
      <c r="E1746" s="81" t="s">
        <v>2125</v>
      </c>
      <c r="F1746" s="82" t="str">
        <f aca="false">IF(E1746="","",IF(LEFT(E1746,2)="DJ","DJ","JN"))</f>
        <v>JN</v>
      </c>
      <c r="G1746" s="81" t="s">
        <v>1504</v>
      </c>
      <c r="H1746" s="81" t="s">
        <v>871</v>
      </c>
      <c r="I1746" s="81" t="n">
        <v>9.53</v>
      </c>
      <c r="J1746" s="81" t="s">
        <v>872</v>
      </c>
      <c r="K1746" s="81" t="s">
        <v>879</v>
      </c>
      <c r="L1746" s="81" t="n">
        <v>2096270</v>
      </c>
      <c r="M1746" s="81" t="n">
        <v>15421111</v>
      </c>
      <c r="N1746" s="81" t="n">
        <v>11.94</v>
      </c>
      <c r="O1746" s="81" t="n">
        <v>2082000</v>
      </c>
      <c r="P1746" s="81" t="n">
        <v>15421104</v>
      </c>
      <c r="Q1746" s="81" t="n">
        <v>11.94</v>
      </c>
      <c r="R1746" s="81" t="s">
        <v>2097</v>
      </c>
      <c r="S1746" s="81"/>
      <c r="T1746" s="81"/>
      <c r="U1746" s="83" t="n">
        <v>46272</v>
      </c>
      <c r="V1746" s="83" t="n">
        <v>46272</v>
      </c>
      <c r="W1746" s="81" t="s">
        <v>2098</v>
      </c>
      <c r="X1746" s="81" t="s">
        <v>876</v>
      </c>
      <c r="Y1746" s="83" t="n">
        <v>46288</v>
      </c>
      <c r="Z1746" s="81" t="s">
        <v>2122</v>
      </c>
      <c r="AA1746" s="81" t="s">
        <v>876</v>
      </c>
      <c r="AB1746" s="81"/>
      <c r="AC1746" s="81"/>
      <c r="AD1746" s="81"/>
      <c r="AE1746" s="83"/>
      <c r="AF1746" s="81"/>
      <c r="AG1746" s="81"/>
      <c r="AH1746" s="81"/>
      <c r="AI1746" s="81"/>
      <c r="AJ1746" s="83"/>
      <c r="AK1746" s="81"/>
      <c r="AL1746" s="81"/>
      <c r="AM1746" s="83"/>
      <c r="AN1746" s="80"/>
      <c r="AO1746" s="82" t="n">
        <f aca="false">IF(E1746="","",(AA1746&lt;&gt;"")+(AG1746&lt;&gt;"")+(AL1746&lt;&gt;""))</f>
        <v>1</v>
      </c>
      <c r="AP1746" s="82" t="str">
        <f aca="false">IF(AL1746&lt;&gt;"",AL1746,IF(AG1746&lt;&gt;"",AG1746,IF(AA1746&lt;&gt;"",AA1746,"")))</f>
        <v>A</v>
      </c>
      <c r="AQ1746" s="84" t="str">
        <f aca="false">IF(E1746="","",IF(U1746="","À SOUDER",IF(X1746="","VT EN ATTENTE",IF(X1746="R","VT REJETÉ – À REPRENDRE",IF(AP1746="","À RADIOGRAPHIER",IF(AP1746="A","ACCEPTÉ",IF(AP1746="NX","NX – RT À REFAIRE",IF(IF(AO1746=1,AD1746,IF(AO1746=2,AI1746,""))="A","RÉPARÉ – À RADIOGRAPHIER",IF(IF(AO1746=1,AD1746,IF(AO1746=2,AI1746,""))="R","VT REJETÉ – À REPRENDRE",IF(OR(AP1746="CO",AP1746="NT"),"COUPE – À RESOUDER","À RÉPARER"))))))))))</f>
        <v>ACCEPTÉ</v>
      </c>
      <c r="AR1746" s="82" t="str">
        <f aca="false">IF(AND(ISNUMBER(U1746),OR(AQ1746="À RADIOGRAPHIER",AQ1746="RÉPARÉ – À RADIOGRAPHIER",AQ1746="NX – RT À REFAIRE",AQ1746="À RÉPARER",AQ1746="COUPE – À RESOUDER",AQ1746="VT REJETÉ – À REPRENDRE")),MAX(0,'PROGRAMME RT'!$C$4-U1746),"")</f>
        <v/>
      </c>
      <c r="AS1746" s="82" t="n">
        <f aca="false">IF(AND(OR(AQ1746="À RADIOGRAPHIER",AQ1746="RÉPARÉ – À RADIOGRAPHIER",AQ1746="NX – RT À REFAIRE"),OR('PROGRAMME RT'!$D$5="TOUTES",B1746='PROGRAMME RT'!$D$5)),1,0)</f>
        <v>0</v>
      </c>
      <c r="AT1746" s="82" t="str">
        <f aca="false">IF(AS1746=1,SUM(AS$7:AS1746),"")</f>
        <v/>
      </c>
      <c r="AU1746" s="82" t="n">
        <f aca="false">IF(AND(OR(AA1746="R",AA1746="NX",AA1746="NT",AA1746="CO"),OR('JOINTS DE RÉPARATION'!$D$5="TOUTES",B1746='JOINTS DE RÉPARATION'!$D$5),OR('JOINTS DE RÉPARATION'!$L$4="TOUS",AQ1746&lt;&gt;"ACCEPTÉ")),1,0)</f>
        <v>0</v>
      </c>
      <c r="AV1746" s="82" t="str">
        <f aca="false">IF(AU1746=1,SUM(AU$7:AU1746),"")</f>
        <v/>
      </c>
      <c r="AW1746" s="82" t="str">
        <f aca="false">IF(E1746="","",B1746&amp;"|"&amp;E1746)</f>
        <v>MFD-ISW → MFD-CPF|JN°1387</v>
      </c>
    </row>
    <row r="1747" customFormat="false" ht="74.6" hidden="false" customHeight="false" outlineLevel="0" collapsed="false">
      <c r="A1747" s="79" t="n">
        <f aca="false">IF(E1747="","",ROW()-6)</f>
        <v>1741</v>
      </c>
      <c r="B1747" s="80" t="s">
        <v>110</v>
      </c>
      <c r="C1747" s="81" t="s">
        <v>2119</v>
      </c>
      <c r="D1747" s="81" t="n">
        <v>15</v>
      </c>
      <c r="E1747" s="81" t="s">
        <v>2126</v>
      </c>
      <c r="F1747" s="82" t="str">
        <f aca="false">IF(E1747="","",IF(LEFT(E1747,2)="DJ","DJ","JN"))</f>
        <v>DJ</v>
      </c>
      <c r="G1747" s="81"/>
      <c r="H1747" s="81" t="s">
        <v>871</v>
      </c>
      <c r="I1747" s="81" t="n">
        <v>9.53</v>
      </c>
      <c r="J1747" s="81" t="s">
        <v>872</v>
      </c>
      <c r="K1747" s="81" t="s">
        <v>873</v>
      </c>
      <c r="L1747" s="81" t="n">
        <v>2082000</v>
      </c>
      <c r="M1747" s="81" t="n">
        <v>15421104</v>
      </c>
      <c r="N1747" s="81" t="n">
        <v>11.94</v>
      </c>
      <c r="O1747" s="81" t="n">
        <v>2094500</v>
      </c>
      <c r="P1747" s="81" t="n">
        <v>15421111</v>
      </c>
      <c r="Q1747" s="81" t="n">
        <v>11.94</v>
      </c>
      <c r="R1747" s="81" t="s">
        <v>1135</v>
      </c>
      <c r="S1747" s="81"/>
      <c r="T1747" s="81"/>
      <c r="U1747" s="83" t="n">
        <v>46261</v>
      </c>
      <c r="V1747" s="83" t="n">
        <v>46261</v>
      </c>
      <c r="W1747" s="81" t="s">
        <v>1952</v>
      </c>
      <c r="X1747" s="81" t="s">
        <v>876</v>
      </c>
      <c r="Y1747" s="83" t="n">
        <v>46263</v>
      </c>
      <c r="Z1747" s="81" t="s">
        <v>2124</v>
      </c>
      <c r="AA1747" s="81" t="s">
        <v>876</v>
      </c>
      <c r="AB1747" s="81"/>
      <c r="AC1747" s="81"/>
      <c r="AD1747" s="81"/>
      <c r="AE1747" s="83"/>
      <c r="AF1747" s="81"/>
      <c r="AG1747" s="81"/>
      <c r="AH1747" s="81"/>
      <c r="AI1747" s="81"/>
      <c r="AJ1747" s="83"/>
      <c r="AK1747" s="81"/>
      <c r="AL1747" s="81"/>
      <c r="AM1747" s="83"/>
      <c r="AN1747" s="80"/>
      <c r="AO1747" s="82" t="n">
        <f aca="false">IF(E1747="","",(AA1747&lt;&gt;"")+(AG1747&lt;&gt;"")+(AL1747&lt;&gt;""))</f>
        <v>1</v>
      </c>
      <c r="AP1747" s="82" t="str">
        <f aca="false">IF(AL1747&lt;&gt;"",AL1747,IF(AG1747&lt;&gt;"",AG1747,IF(AA1747&lt;&gt;"",AA1747,"")))</f>
        <v>A</v>
      </c>
      <c r="AQ1747" s="84" t="str">
        <f aca="false">IF(E1747="","",IF(U1747="","À SOUDER",IF(X1747="","VT EN ATTENTE",IF(X1747="R","VT REJETÉ – À REPRENDRE",IF(AP1747="","À RADIOGRAPHIER",IF(AP1747="A","ACCEPTÉ",IF(AP1747="NX","NX – RT À REFAIRE",IF(IF(AO1747=1,AD1747,IF(AO1747=2,AI1747,""))="A","RÉPARÉ – À RADIOGRAPHIER",IF(IF(AO1747=1,AD1747,IF(AO1747=2,AI1747,""))="R","VT REJETÉ – À REPRENDRE",IF(OR(AP1747="CO",AP1747="NT"),"COUPE – À RESOUDER","À RÉPARER"))))))))))</f>
        <v>ACCEPTÉ</v>
      </c>
      <c r="AR1747" s="82" t="str">
        <f aca="false">IF(AND(ISNUMBER(U1747),OR(AQ1747="À RADIOGRAPHIER",AQ1747="RÉPARÉ – À RADIOGRAPHIER",AQ1747="NX – RT À REFAIRE",AQ1747="À RÉPARER",AQ1747="COUPE – À RESOUDER",AQ1747="VT REJETÉ – À REPRENDRE")),MAX(0,'PROGRAMME RT'!$C$4-U1747),"")</f>
        <v/>
      </c>
      <c r="AS1747" s="82" t="n">
        <f aca="false">IF(AND(OR(AQ1747="À RADIOGRAPHIER",AQ1747="RÉPARÉ – À RADIOGRAPHIER",AQ1747="NX – RT À REFAIRE"),OR('PROGRAMME RT'!$D$5="TOUTES",B1747='PROGRAMME RT'!$D$5)),1,0)</f>
        <v>0</v>
      </c>
      <c r="AT1747" s="82" t="str">
        <f aca="false">IF(AS1747=1,SUM(AS$7:AS1747),"")</f>
        <v/>
      </c>
      <c r="AU1747" s="82" t="n">
        <f aca="false">IF(AND(OR(AA1747="R",AA1747="NX",AA1747="NT",AA1747="CO"),OR('JOINTS DE RÉPARATION'!$D$5="TOUTES",B1747='JOINTS DE RÉPARATION'!$D$5),OR('JOINTS DE RÉPARATION'!$L$4="TOUS",AQ1747&lt;&gt;"ACCEPTÉ")),1,0)</f>
        <v>0</v>
      </c>
      <c r="AV1747" s="82" t="str">
        <f aca="false">IF(AU1747=1,SUM(AU$7:AU1747),"")</f>
        <v/>
      </c>
      <c r="AW1747" s="82" t="str">
        <f aca="false">IF(E1747="","",B1747&amp;"|"&amp;E1747)</f>
        <v>MFD-ISW → MFD-CPF|DJ°163</v>
      </c>
    </row>
    <row r="1748" customFormat="false" ht="74.6" hidden="false" customHeight="false" outlineLevel="0" collapsed="false">
      <c r="A1748" s="79" t="n">
        <f aca="false">IF(E1748="","",ROW()-6)</f>
        <v>1742</v>
      </c>
      <c r="B1748" s="80" t="s">
        <v>110</v>
      </c>
      <c r="C1748" s="81" t="s">
        <v>2119</v>
      </c>
      <c r="D1748" s="81" t="n">
        <v>15</v>
      </c>
      <c r="E1748" s="81" t="s">
        <v>2127</v>
      </c>
      <c r="F1748" s="82" t="str">
        <f aca="false">IF(E1748="","",IF(LEFT(E1748,2)="DJ","DJ","JN"))</f>
        <v>JN</v>
      </c>
      <c r="G1748" s="81" t="s">
        <v>1504</v>
      </c>
      <c r="H1748" s="81" t="s">
        <v>871</v>
      </c>
      <c r="I1748" s="81" t="n">
        <v>9.53</v>
      </c>
      <c r="J1748" s="81" t="s">
        <v>872</v>
      </c>
      <c r="K1748" s="81" t="s">
        <v>879</v>
      </c>
      <c r="L1748" s="81" t="n">
        <v>2094500</v>
      </c>
      <c r="M1748" s="81" t="n">
        <v>15421111</v>
      </c>
      <c r="N1748" s="81" t="n">
        <v>11.94</v>
      </c>
      <c r="O1748" s="81" t="n">
        <v>2082010</v>
      </c>
      <c r="P1748" s="81" t="n">
        <v>15421104</v>
      </c>
      <c r="Q1748" s="81" t="n">
        <v>11.94</v>
      </c>
      <c r="R1748" s="81" t="s">
        <v>2097</v>
      </c>
      <c r="S1748" s="81"/>
      <c r="T1748" s="81"/>
      <c r="U1748" s="83" t="n">
        <v>46272</v>
      </c>
      <c r="V1748" s="83" t="n">
        <v>46272</v>
      </c>
      <c r="W1748" s="81" t="s">
        <v>2098</v>
      </c>
      <c r="X1748" s="81" t="s">
        <v>876</v>
      </c>
      <c r="Y1748" s="83" t="n">
        <v>46288</v>
      </c>
      <c r="Z1748" s="81" t="s">
        <v>2122</v>
      </c>
      <c r="AA1748" s="81" t="s">
        <v>876</v>
      </c>
      <c r="AB1748" s="81"/>
      <c r="AC1748" s="81"/>
      <c r="AD1748" s="81"/>
      <c r="AE1748" s="83"/>
      <c r="AF1748" s="81"/>
      <c r="AG1748" s="81"/>
      <c r="AH1748" s="81"/>
      <c r="AI1748" s="81"/>
      <c r="AJ1748" s="83"/>
      <c r="AK1748" s="81"/>
      <c r="AL1748" s="81"/>
      <c r="AM1748" s="83"/>
      <c r="AN1748" s="80"/>
      <c r="AO1748" s="82" t="n">
        <f aca="false">IF(E1748="","",(AA1748&lt;&gt;"")+(AG1748&lt;&gt;"")+(AL1748&lt;&gt;""))</f>
        <v>1</v>
      </c>
      <c r="AP1748" s="82" t="str">
        <f aca="false">IF(AL1748&lt;&gt;"",AL1748,IF(AG1748&lt;&gt;"",AG1748,IF(AA1748&lt;&gt;"",AA1748,"")))</f>
        <v>A</v>
      </c>
      <c r="AQ1748" s="84" t="str">
        <f aca="false">IF(E1748="","",IF(U1748="","À SOUDER",IF(X1748="","VT EN ATTENTE",IF(X1748="R","VT REJETÉ – À REPRENDRE",IF(AP1748="","À RADIOGRAPHIER",IF(AP1748="A","ACCEPTÉ",IF(AP1748="NX","NX – RT À REFAIRE",IF(IF(AO1748=1,AD1748,IF(AO1748=2,AI1748,""))="A","RÉPARÉ – À RADIOGRAPHIER",IF(IF(AO1748=1,AD1748,IF(AO1748=2,AI1748,""))="R","VT REJETÉ – À REPRENDRE",IF(OR(AP1748="CO",AP1748="NT"),"COUPE – À RESOUDER","À RÉPARER"))))))))))</f>
        <v>ACCEPTÉ</v>
      </c>
      <c r="AR1748" s="82" t="str">
        <f aca="false">IF(AND(ISNUMBER(U1748),OR(AQ1748="À RADIOGRAPHIER",AQ1748="RÉPARÉ – À RADIOGRAPHIER",AQ1748="NX – RT À REFAIRE",AQ1748="À RÉPARER",AQ1748="COUPE – À RESOUDER",AQ1748="VT REJETÉ – À REPRENDRE")),MAX(0,'PROGRAMME RT'!$C$4-U1748),"")</f>
        <v/>
      </c>
      <c r="AS1748" s="82" t="n">
        <f aca="false">IF(AND(OR(AQ1748="À RADIOGRAPHIER",AQ1748="RÉPARÉ – À RADIOGRAPHIER",AQ1748="NX – RT À REFAIRE"),OR('PROGRAMME RT'!$D$5="TOUTES",B1748='PROGRAMME RT'!$D$5)),1,0)</f>
        <v>0</v>
      </c>
      <c r="AT1748" s="82" t="str">
        <f aca="false">IF(AS1748=1,SUM(AS$7:AS1748),"")</f>
        <v/>
      </c>
      <c r="AU1748" s="82" t="n">
        <f aca="false">IF(AND(OR(AA1748="R",AA1748="NX",AA1748="NT",AA1748="CO"),OR('JOINTS DE RÉPARATION'!$D$5="TOUTES",B1748='JOINTS DE RÉPARATION'!$D$5),OR('JOINTS DE RÉPARATION'!$L$4="TOUS",AQ1748&lt;&gt;"ACCEPTÉ")),1,0)</f>
        <v>0</v>
      </c>
      <c r="AV1748" s="82" t="str">
        <f aca="false">IF(AU1748=1,SUM(AU$7:AU1748),"")</f>
        <v/>
      </c>
      <c r="AW1748" s="82" t="str">
        <f aca="false">IF(E1748="","",B1748&amp;"|"&amp;E1748)</f>
        <v>MFD-ISW → MFD-CPF|JN°1388</v>
      </c>
    </row>
    <row r="1749" customFormat="false" ht="74.6" hidden="false" customHeight="false" outlineLevel="0" collapsed="false">
      <c r="A1749" s="79" t="n">
        <f aca="false">IF(E1749="","",ROW()-6)</f>
        <v>1743</v>
      </c>
      <c r="B1749" s="80" t="s">
        <v>110</v>
      </c>
      <c r="C1749" s="81" t="s">
        <v>2119</v>
      </c>
      <c r="D1749" s="81" t="n">
        <v>16</v>
      </c>
      <c r="E1749" s="81" t="s">
        <v>2128</v>
      </c>
      <c r="F1749" s="82" t="str">
        <f aca="false">IF(E1749="","",IF(LEFT(E1749,2)="DJ","DJ","JN"))</f>
        <v>DJ</v>
      </c>
      <c r="G1749" s="81"/>
      <c r="H1749" s="81" t="s">
        <v>871</v>
      </c>
      <c r="I1749" s="81" t="n">
        <v>9.53</v>
      </c>
      <c r="J1749" s="81" t="s">
        <v>872</v>
      </c>
      <c r="K1749" s="81" t="s">
        <v>873</v>
      </c>
      <c r="L1749" s="81" t="n">
        <v>2082010</v>
      </c>
      <c r="M1749" s="81" t="n">
        <v>15421104</v>
      </c>
      <c r="N1749" s="81" t="n">
        <v>11.94</v>
      </c>
      <c r="O1749" s="81" t="n">
        <v>2081490</v>
      </c>
      <c r="P1749" s="81" t="n">
        <v>15421103</v>
      </c>
      <c r="Q1749" s="81" t="n">
        <v>11.94</v>
      </c>
      <c r="R1749" s="81" t="s">
        <v>1147</v>
      </c>
      <c r="S1749" s="81"/>
      <c r="T1749" s="81"/>
      <c r="U1749" s="83" t="n">
        <v>46260</v>
      </c>
      <c r="V1749" s="83" t="n">
        <v>46260</v>
      </c>
      <c r="W1749" s="81" t="s">
        <v>2030</v>
      </c>
      <c r="X1749" s="81" t="s">
        <v>876</v>
      </c>
      <c r="Y1749" s="83" t="n">
        <v>46262</v>
      </c>
      <c r="Z1749" s="81" t="s">
        <v>2090</v>
      </c>
      <c r="AA1749" s="81" t="s">
        <v>876</v>
      </c>
      <c r="AB1749" s="81"/>
      <c r="AC1749" s="81"/>
      <c r="AD1749" s="81"/>
      <c r="AE1749" s="83"/>
      <c r="AF1749" s="81"/>
      <c r="AG1749" s="81"/>
      <c r="AH1749" s="81"/>
      <c r="AI1749" s="81"/>
      <c r="AJ1749" s="83"/>
      <c r="AK1749" s="81"/>
      <c r="AL1749" s="81"/>
      <c r="AM1749" s="83"/>
      <c r="AN1749" s="80"/>
      <c r="AO1749" s="82" t="n">
        <f aca="false">IF(E1749="","",(AA1749&lt;&gt;"")+(AG1749&lt;&gt;"")+(AL1749&lt;&gt;""))</f>
        <v>1</v>
      </c>
      <c r="AP1749" s="82" t="str">
        <f aca="false">IF(AL1749&lt;&gt;"",AL1749,IF(AG1749&lt;&gt;"",AG1749,IF(AA1749&lt;&gt;"",AA1749,"")))</f>
        <v>A</v>
      </c>
      <c r="AQ1749" s="84" t="str">
        <f aca="false">IF(E1749="","",IF(U1749="","À SOUDER",IF(X1749="","VT EN ATTENTE",IF(X1749="R","VT REJETÉ – À REPRENDRE",IF(AP1749="","À RADIOGRAPHIER",IF(AP1749="A","ACCEPTÉ",IF(AP1749="NX","NX – RT À REFAIRE",IF(IF(AO1749=1,AD1749,IF(AO1749=2,AI1749,""))="A","RÉPARÉ – À RADIOGRAPHIER",IF(IF(AO1749=1,AD1749,IF(AO1749=2,AI1749,""))="R","VT REJETÉ – À REPRENDRE",IF(OR(AP1749="CO",AP1749="NT"),"COUPE – À RESOUDER","À RÉPARER"))))))))))</f>
        <v>ACCEPTÉ</v>
      </c>
      <c r="AR1749" s="82" t="str">
        <f aca="false">IF(AND(ISNUMBER(U1749),OR(AQ1749="À RADIOGRAPHIER",AQ1749="RÉPARÉ – À RADIOGRAPHIER",AQ1749="NX – RT À REFAIRE",AQ1749="À RÉPARER",AQ1749="COUPE – À RESOUDER",AQ1749="VT REJETÉ – À REPRENDRE")),MAX(0,'PROGRAMME RT'!$C$4-U1749),"")</f>
        <v/>
      </c>
      <c r="AS1749" s="82" t="n">
        <f aca="false">IF(AND(OR(AQ1749="À RADIOGRAPHIER",AQ1749="RÉPARÉ – À RADIOGRAPHIER",AQ1749="NX – RT À REFAIRE"),OR('PROGRAMME RT'!$D$5="TOUTES",B1749='PROGRAMME RT'!$D$5)),1,0)</f>
        <v>0</v>
      </c>
      <c r="AT1749" s="82" t="str">
        <f aca="false">IF(AS1749=1,SUM(AS$7:AS1749),"")</f>
        <v/>
      </c>
      <c r="AU1749" s="82" t="n">
        <f aca="false">IF(AND(OR(AA1749="R",AA1749="NX",AA1749="NT",AA1749="CO"),OR('JOINTS DE RÉPARATION'!$D$5="TOUTES",B1749='JOINTS DE RÉPARATION'!$D$5),OR('JOINTS DE RÉPARATION'!$L$4="TOUS",AQ1749&lt;&gt;"ACCEPTÉ")),1,0)</f>
        <v>0</v>
      </c>
      <c r="AV1749" s="82" t="str">
        <f aca="false">IF(AU1749=1,SUM(AU$7:AU1749),"")</f>
        <v/>
      </c>
      <c r="AW1749" s="82" t="str">
        <f aca="false">IF(E1749="","",B1749&amp;"|"&amp;E1749)</f>
        <v>MFD-ISW → MFD-CPF|DJ°156</v>
      </c>
    </row>
    <row r="1750" customFormat="false" ht="74.6" hidden="false" customHeight="false" outlineLevel="0" collapsed="false">
      <c r="A1750" s="79" t="n">
        <f aca="false">IF(E1750="","",ROW()-6)</f>
        <v>1744</v>
      </c>
      <c r="B1750" s="80" t="s">
        <v>110</v>
      </c>
      <c r="C1750" s="81" t="s">
        <v>2119</v>
      </c>
      <c r="D1750" s="81" t="n">
        <v>16</v>
      </c>
      <c r="E1750" s="81" t="s">
        <v>2129</v>
      </c>
      <c r="F1750" s="82" t="str">
        <f aca="false">IF(E1750="","",IF(LEFT(E1750,2)="DJ","DJ","JN"))</f>
        <v>JN</v>
      </c>
      <c r="G1750" s="81" t="s">
        <v>1504</v>
      </c>
      <c r="H1750" s="81" t="s">
        <v>871</v>
      </c>
      <c r="I1750" s="81" t="n">
        <v>9.53</v>
      </c>
      <c r="J1750" s="81" t="s">
        <v>872</v>
      </c>
      <c r="K1750" s="81" t="s">
        <v>879</v>
      </c>
      <c r="L1750" s="81" t="n">
        <v>2081490</v>
      </c>
      <c r="M1750" s="81" t="n">
        <v>15421103</v>
      </c>
      <c r="N1750" s="81" t="n">
        <v>11.94</v>
      </c>
      <c r="O1750" s="81" t="n">
        <v>2093280</v>
      </c>
      <c r="P1750" s="81" t="n">
        <v>15421110</v>
      </c>
      <c r="Q1750" s="81" t="n">
        <v>11.94</v>
      </c>
      <c r="R1750" s="81" t="s">
        <v>2097</v>
      </c>
      <c r="S1750" s="81"/>
      <c r="T1750" s="81"/>
      <c r="U1750" s="83" t="n">
        <v>46272</v>
      </c>
      <c r="V1750" s="83" t="n">
        <v>46272</v>
      </c>
      <c r="W1750" s="81" t="s">
        <v>2098</v>
      </c>
      <c r="X1750" s="81" t="s">
        <v>876</v>
      </c>
      <c r="Y1750" s="83" t="n">
        <v>46288</v>
      </c>
      <c r="Z1750" s="81" t="s">
        <v>2122</v>
      </c>
      <c r="AA1750" s="81" t="s">
        <v>876</v>
      </c>
      <c r="AB1750" s="81"/>
      <c r="AC1750" s="81"/>
      <c r="AD1750" s="81"/>
      <c r="AE1750" s="83"/>
      <c r="AF1750" s="81"/>
      <c r="AG1750" s="81"/>
      <c r="AH1750" s="81"/>
      <c r="AI1750" s="81"/>
      <c r="AJ1750" s="83"/>
      <c r="AK1750" s="81"/>
      <c r="AL1750" s="81"/>
      <c r="AM1750" s="83"/>
      <c r="AN1750" s="80"/>
      <c r="AO1750" s="82" t="n">
        <f aca="false">IF(E1750="","",(AA1750&lt;&gt;"")+(AG1750&lt;&gt;"")+(AL1750&lt;&gt;""))</f>
        <v>1</v>
      </c>
      <c r="AP1750" s="82" t="str">
        <f aca="false">IF(AL1750&lt;&gt;"",AL1750,IF(AG1750&lt;&gt;"",AG1750,IF(AA1750&lt;&gt;"",AA1750,"")))</f>
        <v>A</v>
      </c>
      <c r="AQ1750" s="84" t="str">
        <f aca="false">IF(E1750="","",IF(U1750="","À SOUDER",IF(X1750="","VT EN ATTENTE",IF(X1750="R","VT REJETÉ – À REPRENDRE",IF(AP1750="","À RADIOGRAPHIER",IF(AP1750="A","ACCEPTÉ",IF(AP1750="NX","NX – RT À REFAIRE",IF(IF(AO1750=1,AD1750,IF(AO1750=2,AI1750,""))="A","RÉPARÉ – À RADIOGRAPHIER",IF(IF(AO1750=1,AD1750,IF(AO1750=2,AI1750,""))="R","VT REJETÉ – À REPRENDRE",IF(OR(AP1750="CO",AP1750="NT"),"COUPE – À RESOUDER","À RÉPARER"))))))))))</f>
        <v>ACCEPTÉ</v>
      </c>
      <c r="AR1750" s="82" t="str">
        <f aca="false">IF(AND(ISNUMBER(U1750),OR(AQ1750="À RADIOGRAPHIER",AQ1750="RÉPARÉ – À RADIOGRAPHIER",AQ1750="NX – RT À REFAIRE",AQ1750="À RÉPARER",AQ1750="COUPE – À RESOUDER",AQ1750="VT REJETÉ – À REPRENDRE")),MAX(0,'PROGRAMME RT'!$C$4-U1750),"")</f>
        <v/>
      </c>
      <c r="AS1750" s="82" t="n">
        <f aca="false">IF(AND(OR(AQ1750="À RADIOGRAPHIER",AQ1750="RÉPARÉ – À RADIOGRAPHIER",AQ1750="NX – RT À REFAIRE"),OR('PROGRAMME RT'!$D$5="TOUTES",B1750='PROGRAMME RT'!$D$5)),1,0)</f>
        <v>0</v>
      </c>
      <c r="AT1750" s="82" t="str">
        <f aca="false">IF(AS1750=1,SUM(AS$7:AS1750),"")</f>
        <v/>
      </c>
      <c r="AU1750" s="82" t="n">
        <f aca="false">IF(AND(OR(AA1750="R",AA1750="NX",AA1750="NT",AA1750="CO"),OR('JOINTS DE RÉPARATION'!$D$5="TOUTES",B1750='JOINTS DE RÉPARATION'!$D$5),OR('JOINTS DE RÉPARATION'!$L$4="TOUS",AQ1750&lt;&gt;"ACCEPTÉ")),1,0)</f>
        <v>0</v>
      </c>
      <c r="AV1750" s="82" t="str">
        <f aca="false">IF(AU1750=1,SUM(AU$7:AU1750),"")</f>
        <v/>
      </c>
      <c r="AW1750" s="82" t="str">
        <f aca="false">IF(E1750="","",B1750&amp;"|"&amp;E1750)</f>
        <v>MFD-ISW → MFD-CPF|JN°1389</v>
      </c>
    </row>
    <row r="1751" customFormat="false" ht="74.6" hidden="false" customHeight="false" outlineLevel="0" collapsed="false">
      <c r="A1751" s="79" t="n">
        <f aca="false">IF(E1751="","",ROW()-6)</f>
        <v>1745</v>
      </c>
      <c r="B1751" s="80" t="s">
        <v>110</v>
      </c>
      <c r="C1751" s="81" t="s">
        <v>2119</v>
      </c>
      <c r="D1751" s="81" t="n">
        <v>16</v>
      </c>
      <c r="E1751" s="81" t="s">
        <v>2130</v>
      </c>
      <c r="F1751" s="82" t="str">
        <f aca="false">IF(E1751="","",IF(LEFT(E1751,2)="DJ","DJ","JN"))</f>
        <v>DJ</v>
      </c>
      <c r="G1751" s="81"/>
      <c r="H1751" s="81" t="s">
        <v>871</v>
      </c>
      <c r="I1751" s="81" t="n">
        <v>9.53</v>
      </c>
      <c r="J1751" s="81" t="s">
        <v>872</v>
      </c>
      <c r="K1751" s="81" t="s">
        <v>873</v>
      </c>
      <c r="L1751" s="81" t="n">
        <v>2093280</v>
      </c>
      <c r="M1751" s="81" t="n">
        <v>15421110</v>
      </c>
      <c r="N1751" s="81" t="n">
        <v>11.94</v>
      </c>
      <c r="O1751" s="81" t="n">
        <v>2098430</v>
      </c>
      <c r="P1751" s="81" t="n">
        <v>15421102</v>
      </c>
      <c r="Q1751" s="81" t="n">
        <v>11.94</v>
      </c>
      <c r="R1751" s="81" t="s">
        <v>1135</v>
      </c>
      <c r="S1751" s="81"/>
      <c r="T1751" s="81"/>
      <c r="U1751" s="83" t="n">
        <v>46260</v>
      </c>
      <c r="V1751" s="83" t="n">
        <v>46260</v>
      </c>
      <c r="W1751" s="81" t="s">
        <v>2030</v>
      </c>
      <c r="X1751" s="81" t="s">
        <v>876</v>
      </c>
      <c r="Y1751" s="83" t="n">
        <v>46262</v>
      </c>
      <c r="Z1751" s="81" t="s">
        <v>2090</v>
      </c>
      <c r="AA1751" s="81" t="s">
        <v>876</v>
      </c>
      <c r="AB1751" s="81"/>
      <c r="AC1751" s="81"/>
      <c r="AD1751" s="81"/>
      <c r="AE1751" s="83"/>
      <c r="AF1751" s="81"/>
      <c r="AG1751" s="81"/>
      <c r="AH1751" s="81"/>
      <c r="AI1751" s="81"/>
      <c r="AJ1751" s="83"/>
      <c r="AK1751" s="81"/>
      <c r="AL1751" s="81"/>
      <c r="AM1751" s="83"/>
      <c r="AN1751" s="80"/>
      <c r="AO1751" s="82" t="n">
        <f aca="false">IF(E1751="","",(AA1751&lt;&gt;"")+(AG1751&lt;&gt;"")+(AL1751&lt;&gt;""))</f>
        <v>1</v>
      </c>
      <c r="AP1751" s="82" t="str">
        <f aca="false">IF(AL1751&lt;&gt;"",AL1751,IF(AG1751&lt;&gt;"",AG1751,IF(AA1751&lt;&gt;"",AA1751,"")))</f>
        <v>A</v>
      </c>
      <c r="AQ1751" s="84" t="str">
        <f aca="false">IF(E1751="","",IF(U1751="","À SOUDER",IF(X1751="","VT EN ATTENTE",IF(X1751="R","VT REJETÉ – À REPRENDRE",IF(AP1751="","À RADIOGRAPHIER",IF(AP1751="A","ACCEPTÉ",IF(AP1751="NX","NX – RT À REFAIRE",IF(IF(AO1751=1,AD1751,IF(AO1751=2,AI1751,""))="A","RÉPARÉ – À RADIOGRAPHIER",IF(IF(AO1751=1,AD1751,IF(AO1751=2,AI1751,""))="R","VT REJETÉ – À REPRENDRE",IF(OR(AP1751="CO",AP1751="NT"),"COUPE – À RESOUDER","À RÉPARER"))))))))))</f>
        <v>ACCEPTÉ</v>
      </c>
      <c r="AR1751" s="82" t="str">
        <f aca="false">IF(AND(ISNUMBER(U1751),OR(AQ1751="À RADIOGRAPHIER",AQ1751="RÉPARÉ – À RADIOGRAPHIER",AQ1751="NX – RT À REFAIRE",AQ1751="À RÉPARER",AQ1751="COUPE – À RESOUDER",AQ1751="VT REJETÉ – À REPRENDRE")),MAX(0,'PROGRAMME RT'!$C$4-U1751),"")</f>
        <v/>
      </c>
      <c r="AS1751" s="82" t="n">
        <f aca="false">IF(AND(OR(AQ1751="À RADIOGRAPHIER",AQ1751="RÉPARÉ – À RADIOGRAPHIER",AQ1751="NX – RT À REFAIRE"),OR('PROGRAMME RT'!$D$5="TOUTES",B1751='PROGRAMME RT'!$D$5)),1,0)</f>
        <v>0</v>
      </c>
      <c r="AT1751" s="82" t="str">
        <f aca="false">IF(AS1751=1,SUM(AS$7:AS1751),"")</f>
        <v/>
      </c>
      <c r="AU1751" s="82" t="n">
        <f aca="false">IF(AND(OR(AA1751="R",AA1751="NX",AA1751="NT",AA1751="CO"),OR('JOINTS DE RÉPARATION'!$D$5="TOUTES",B1751='JOINTS DE RÉPARATION'!$D$5),OR('JOINTS DE RÉPARATION'!$L$4="TOUS",AQ1751&lt;&gt;"ACCEPTÉ")),1,0)</f>
        <v>0</v>
      </c>
      <c r="AV1751" s="82" t="str">
        <f aca="false">IF(AU1751=1,SUM(AU$7:AU1751),"")</f>
        <v/>
      </c>
      <c r="AW1751" s="82" t="str">
        <f aca="false">IF(E1751="","",B1751&amp;"|"&amp;E1751)</f>
        <v>MFD-ISW → MFD-CPF|DJ°157</v>
      </c>
    </row>
    <row r="1752" customFormat="false" ht="74.6" hidden="false" customHeight="false" outlineLevel="0" collapsed="false">
      <c r="A1752" s="79" t="n">
        <f aca="false">IF(E1752="","",ROW()-6)</f>
        <v>1746</v>
      </c>
      <c r="B1752" s="80" t="s">
        <v>110</v>
      </c>
      <c r="C1752" s="81" t="s">
        <v>2119</v>
      </c>
      <c r="D1752" s="81" t="n">
        <v>16</v>
      </c>
      <c r="E1752" s="81" t="s">
        <v>2131</v>
      </c>
      <c r="F1752" s="82" t="str">
        <f aca="false">IF(E1752="","",IF(LEFT(E1752,2)="DJ","DJ","JN"))</f>
        <v>JN</v>
      </c>
      <c r="G1752" s="81" t="s">
        <v>1504</v>
      </c>
      <c r="H1752" s="81" t="s">
        <v>871</v>
      </c>
      <c r="I1752" s="81" t="n">
        <v>9.53</v>
      </c>
      <c r="J1752" s="81" t="s">
        <v>872</v>
      </c>
      <c r="K1752" s="81" t="s">
        <v>879</v>
      </c>
      <c r="L1752" s="81" t="n">
        <v>2098430</v>
      </c>
      <c r="M1752" s="81" t="n">
        <v>15421102</v>
      </c>
      <c r="N1752" s="81" t="n">
        <v>11.94</v>
      </c>
      <c r="O1752" s="81" t="n">
        <v>2095610</v>
      </c>
      <c r="P1752" s="81" t="n">
        <v>15421111</v>
      </c>
      <c r="Q1752" s="81" t="n">
        <v>11.94</v>
      </c>
      <c r="R1752" s="81" t="s">
        <v>2097</v>
      </c>
      <c r="S1752" s="81"/>
      <c r="T1752" s="81"/>
      <c r="U1752" s="83" t="n">
        <v>46272</v>
      </c>
      <c r="V1752" s="83" t="n">
        <v>46272</v>
      </c>
      <c r="W1752" s="81" t="s">
        <v>2098</v>
      </c>
      <c r="X1752" s="81" t="s">
        <v>876</v>
      </c>
      <c r="Y1752" s="83" t="n">
        <v>46288</v>
      </c>
      <c r="Z1752" s="81" t="s">
        <v>2122</v>
      </c>
      <c r="AA1752" s="81" t="s">
        <v>876</v>
      </c>
      <c r="AB1752" s="81"/>
      <c r="AC1752" s="81"/>
      <c r="AD1752" s="81"/>
      <c r="AE1752" s="83"/>
      <c r="AF1752" s="81"/>
      <c r="AG1752" s="81"/>
      <c r="AH1752" s="81"/>
      <c r="AI1752" s="81"/>
      <c r="AJ1752" s="83"/>
      <c r="AK1752" s="81"/>
      <c r="AL1752" s="81"/>
      <c r="AM1752" s="83"/>
      <c r="AN1752" s="80"/>
      <c r="AO1752" s="82" t="n">
        <f aca="false">IF(E1752="","",(AA1752&lt;&gt;"")+(AG1752&lt;&gt;"")+(AL1752&lt;&gt;""))</f>
        <v>1</v>
      </c>
      <c r="AP1752" s="82" t="str">
        <f aca="false">IF(AL1752&lt;&gt;"",AL1752,IF(AG1752&lt;&gt;"",AG1752,IF(AA1752&lt;&gt;"",AA1752,"")))</f>
        <v>A</v>
      </c>
      <c r="AQ1752" s="84" t="str">
        <f aca="false">IF(E1752="","",IF(U1752="","À SOUDER",IF(X1752="","VT EN ATTENTE",IF(X1752="R","VT REJETÉ – À REPRENDRE",IF(AP1752="","À RADIOGRAPHIER",IF(AP1752="A","ACCEPTÉ",IF(AP1752="NX","NX – RT À REFAIRE",IF(IF(AO1752=1,AD1752,IF(AO1752=2,AI1752,""))="A","RÉPARÉ – À RADIOGRAPHIER",IF(IF(AO1752=1,AD1752,IF(AO1752=2,AI1752,""))="R","VT REJETÉ – À REPRENDRE",IF(OR(AP1752="CO",AP1752="NT"),"COUPE – À RESOUDER","À RÉPARER"))))))))))</f>
        <v>ACCEPTÉ</v>
      </c>
      <c r="AR1752" s="82" t="str">
        <f aca="false">IF(AND(ISNUMBER(U1752),OR(AQ1752="À RADIOGRAPHIER",AQ1752="RÉPARÉ – À RADIOGRAPHIER",AQ1752="NX – RT À REFAIRE",AQ1752="À RÉPARER",AQ1752="COUPE – À RESOUDER",AQ1752="VT REJETÉ – À REPRENDRE")),MAX(0,'PROGRAMME RT'!$C$4-U1752),"")</f>
        <v/>
      </c>
      <c r="AS1752" s="82" t="n">
        <f aca="false">IF(AND(OR(AQ1752="À RADIOGRAPHIER",AQ1752="RÉPARÉ – À RADIOGRAPHIER",AQ1752="NX – RT À REFAIRE"),OR('PROGRAMME RT'!$D$5="TOUTES",B1752='PROGRAMME RT'!$D$5)),1,0)</f>
        <v>0</v>
      </c>
      <c r="AT1752" s="82" t="str">
        <f aca="false">IF(AS1752=1,SUM(AS$7:AS1752),"")</f>
        <v/>
      </c>
      <c r="AU1752" s="82" t="n">
        <f aca="false">IF(AND(OR(AA1752="R",AA1752="NX",AA1752="NT",AA1752="CO"),OR('JOINTS DE RÉPARATION'!$D$5="TOUTES",B1752='JOINTS DE RÉPARATION'!$D$5),OR('JOINTS DE RÉPARATION'!$L$4="TOUS",AQ1752&lt;&gt;"ACCEPTÉ")),1,0)</f>
        <v>0</v>
      </c>
      <c r="AV1752" s="82" t="str">
        <f aca="false">IF(AU1752=1,SUM(AU$7:AU1752),"")</f>
        <v/>
      </c>
      <c r="AW1752" s="82" t="str">
        <f aca="false">IF(E1752="","",B1752&amp;"|"&amp;E1752)</f>
        <v>MFD-ISW → MFD-CPF|JN°1390</v>
      </c>
    </row>
    <row r="1753" customFormat="false" ht="74.6" hidden="false" customHeight="false" outlineLevel="0" collapsed="false">
      <c r="A1753" s="79" t="n">
        <f aca="false">IF(E1753="","",ROW()-6)</f>
        <v>1747</v>
      </c>
      <c r="B1753" s="80" t="s">
        <v>110</v>
      </c>
      <c r="C1753" s="81" t="s">
        <v>2119</v>
      </c>
      <c r="D1753" s="81" t="n">
        <v>16</v>
      </c>
      <c r="E1753" s="81" t="s">
        <v>2132</v>
      </c>
      <c r="F1753" s="82" t="str">
        <f aca="false">IF(E1753="","",IF(LEFT(E1753,2)="DJ","DJ","JN"))</f>
        <v>DJ</v>
      </c>
      <c r="G1753" s="81"/>
      <c r="H1753" s="81" t="s">
        <v>871</v>
      </c>
      <c r="I1753" s="81" t="n">
        <v>9.53</v>
      </c>
      <c r="J1753" s="81" t="s">
        <v>872</v>
      </c>
      <c r="K1753" s="81" t="s">
        <v>873</v>
      </c>
      <c r="L1753" s="81" t="n">
        <v>2095610</v>
      </c>
      <c r="M1753" s="81" t="n">
        <v>15421111</v>
      </c>
      <c r="N1753" s="81" t="n">
        <v>11.94</v>
      </c>
      <c r="O1753" s="81" t="n">
        <v>2097670</v>
      </c>
      <c r="P1753" s="81" t="n">
        <v>15421112</v>
      </c>
      <c r="Q1753" s="81" t="n">
        <v>11.94</v>
      </c>
      <c r="R1753" s="81" t="s">
        <v>874</v>
      </c>
      <c r="S1753" s="81"/>
      <c r="T1753" s="81"/>
      <c r="U1753" s="83" t="n">
        <v>46256</v>
      </c>
      <c r="V1753" s="83" t="n">
        <v>46256</v>
      </c>
      <c r="W1753" s="81" t="s">
        <v>1565</v>
      </c>
      <c r="X1753" s="81" t="s">
        <v>876</v>
      </c>
      <c r="Y1753" s="83" t="n">
        <v>46261</v>
      </c>
      <c r="Z1753" s="81" t="s">
        <v>2095</v>
      </c>
      <c r="AA1753" s="81" t="s">
        <v>876</v>
      </c>
      <c r="AB1753" s="81"/>
      <c r="AC1753" s="81"/>
      <c r="AD1753" s="81"/>
      <c r="AE1753" s="83"/>
      <c r="AF1753" s="81"/>
      <c r="AG1753" s="81"/>
      <c r="AH1753" s="81"/>
      <c r="AI1753" s="81"/>
      <c r="AJ1753" s="83"/>
      <c r="AK1753" s="81"/>
      <c r="AL1753" s="81"/>
      <c r="AM1753" s="83"/>
      <c r="AN1753" s="80"/>
      <c r="AO1753" s="82" t="n">
        <f aca="false">IF(E1753="","",(AA1753&lt;&gt;"")+(AG1753&lt;&gt;"")+(AL1753&lt;&gt;""))</f>
        <v>1</v>
      </c>
      <c r="AP1753" s="82" t="str">
        <f aca="false">IF(AL1753&lt;&gt;"",AL1753,IF(AG1753&lt;&gt;"",AG1753,IF(AA1753&lt;&gt;"",AA1753,"")))</f>
        <v>A</v>
      </c>
      <c r="AQ1753" s="84" t="str">
        <f aca="false">IF(E1753="","",IF(U1753="","À SOUDER",IF(X1753="","VT EN ATTENTE",IF(X1753="R","VT REJETÉ – À REPRENDRE",IF(AP1753="","À RADIOGRAPHIER",IF(AP1753="A","ACCEPTÉ",IF(AP1753="NX","NX – RT À REFAIRE",IF(IF(AO1753=1,AD1753,IF(AO1753=2,AI1753,""))="A","RÉPARÉ – À RADIOGRAPHIER",IF(IF(AO1753=1,AD1753,IF(AO1753=2,AI1753,""))="R","VT REJETÉ – À REPRENDRE",IF(OR(AP1753="CO",AP1753="NT"),"COUPE – À RESOUDER","À RÉPARER"))))))))))</f>
        <v>ACCEPTÉ</v>
      </c>
      <c r="AR1753" s="82" t="str">
        <f aca="false">IF(AND(ISNUMBER(U1753),OR(AQ1753="À RADIOGRAPHIER",AQ1753="RÉPARÉ – À RADIOGRAPHIER",AQ1753="NX – RT À REFAIRE",AQ1753="À RÉPARER",AQ1753="COUPE – À RESOUDER",AQ1753="VT REJETÉ – À REPRENDRE")),MAX(0,'PROGRAMME RT'!$C$4-U1753),"")</f>
        <v/>
      </c>
      <c r="AS1753" s="82" t="n">
        <f aca="false">IF(AND(OR(AQ1753="À RADIOGRAPHIER",AQ1753="RÉPARÉ – À RADIOGRAPHIER",AQ1753="NX – RT À REFAIRE"),OR('PROGRAMME RT'!$D$5="TOUTES",B1753='PROGRAMME RT'!$D$5)),1,0)</f>
        <v>0</v>
      </c>
      <c r="AT1753" s="82" t="str">
        <f aca="false">IF(AS1753=1,SUM(AS$7:AS1753),"")</f>
        <v/>
      </c>
      <c r="AU1753" s="82" t="n">
        <f aca="false">IF(AND(OR(AA1753="R",AA1753="NX",AA1753="NT",AA1753="CO"),OR('JOINTS DE RÉPARATION'!$D$5="TOUTES",B1753='JOINTS DE RÉPARATION'!$D$5),OR('JOINTS DE RÉPARATION'!$L$4="TOUS",AQ1753&lt;&gt;"ACCEPTÉ")),1,0)</f>
        <v>0</v>
      </c>
      <c r="AV1753" s="82" t="str">
        <f aca="false">IF(AU1753=1,SUM(AU$7:AU1753),"")</f>
        <v/>
      </c>
      <c r="AW1753" s="82" t="str">
        <f aca="false">IF(E1753="","",B1753&amp;"|"&amp;E1753)</f>
        <v>MFD-ISW → MFD-CPF|DJ°089</v>
      </c>
    </row>
    <row r="1754" customFormat="false" ht="74.6" hidden="false" customHeight="false" outlineLevel="0" collapsed="false">
      <c r="A1754" s="79" t="n">
        <f aca="false">IF(E1754="","",ROW()-6)</f>
        <v>1748</v>
      </c>
      <c r="B1754" s="80" t="s">
        <v>110</v>
      </c>
      <c r="C1754" s="81" t="s">
        <v>2119</v>
      </c>
      <c r="D1754" s="81" t="n">
        <v>16</v>
      </c>
      <c r="E1754" s="81" t="s">
        <v>2133</v>
      </c>
      <c r="F1754" s="82" t="str">
        <f aca="false">IF(E1754="","",IF(LEFT(E1754,2)="DJ","DJ","JN"))</f>
        <v>JN</v>
      </c>
      <c r="G1754" s="81" t="s">
        <v>1504</v>
      </c>
      <c r="H1754" s="81" t="s">
        <v>871</v>
      </c>
      <c r="I1754" s="81" t="n">
        <v>9.53</v>
      </c>
      <c r="J1754" s="81" t="s">
        <v>872</v>
      </c>
      <c r="K1754" s="81" t="s">
        <v>879</v>
      </c>
      <c r="L1754" s="81" t="n">
        <v>2097670</v>
      </c>
      <c r="M1754" s="81" t="n">
        <v>15421112</v>
      </c>
      <c r="N1754" s="81" t="n">
        <v>11.94</v>
      </c>
      <c r="O1754" s="81" t="n">
        <v>2090010</v>
      </c>
      <c r="P1754" s="81" t="n">
        <v>15421109</v>
      </c>
      <c r="Q1754" s="81" t="n">
        <v>11.94</v>
      </c>
      <c r="R1754" s="81" t="s">
        <v>2097</v>
      </c>
      <c r="S1754" s="81"/>
      <c r="T1754" s="81"/>
      <c r="U1754" s="83" t="n">
        <v>46272</v>
      </c>
      <c r="V1754" s="83" t="n">
        <v>46272</v>
      </c>
      <c r="W1754" s="81" t="s">
        <v>2098</v>
      </c>
      <c r="X1754" s="81" t="s">
        <v>876</v>
      </c>
      <c r="Y1754" s="83" t="n">
        <v>46288</v>
      </c>
      <c r="Z1754" s="81" t="s">
        <v>2122</v>
      </c>
      <c r="AA1754" s="81" t="s">
        <v>876</v>
      </c>
      <c r="AB1754" s="81"/>
      <c r="AC1754" s="81"/>
      <c r="AD1754" s="81"/>
      <c r="AE1754" s="83"/>
      <c r="AF1754" s="81"/>
      <c r="AG1754" s="81"/>
      <c r="AH1754" s="81"/>
      <c r="AI1754" s="81"/>
      <c r="AJ1754" s="83"/>
      <c r="AK1754" s="81"/>
      <c r="AL1754" s="81"/>
      <c r="AM1754" s="83"/>
      <c r="AN1754" s="80"/>
      <c r="AO1754" s="82" t="n">
        <f aca="false">IF(E1754="","",(AA1754&lt;&gt;"")+(AG1754&lt;&gt;"")+(AL1754&lt;&gt;""))</f>
        <v>1</v>
      </c>
      <c r="AP1754" s="82" t="str">
        <f aca="false">IF(AL1754&lt;&gt;"",AL1754,IF(AG1754&lt;&gt;"",AG1754,IF(AA1754&lt;&gt;"",AA1754,"")))</f>
        <v>A</v>
      </c>
      <c r="AQ1754" s="84" t="str">
        <f aca="false">IF(E1754="","",IF(U1754="","À SOUDER",IF(X1754="","VT EN ATTENTE",IF(X1754="R","VT REJETÉ – À REPRENDRE",IF(AP1754="","À RADIOGRAPHIER",IF(AP1754="A","ACCEPTÉ",IF(AP1754="NX","NX – RT À REFAIRE",IF(IF(AO1754=1,AD1754,IF(AO1754=2,AI1754,""))="A","RÉPARÉ – À RADIOGRAPHIER",IF(IF(AO1754=1,AD1754,IF(AO1754=2,AI1754,""))="R","VT REJETÉ – À REPRENDRE",IF(OR(AP1754="CO",AP1754="NT"),"COUPE – À RESOUDER","À RÉPARER"))))))))))</f>
        <v>ACCEPTÉ</v>
      </c>
      <c r="AR1754" s="82" t="str">
        <f aca="false">IF(AND(ISNUMBER(U1754),OR(AQ1754="À RADIOGRAPHIER",AQ1754="RÉPARÉ – À RADIOGRAPHIER",AQ1754="NX – RT À REFAIRE",AQ1754="À RÉPARER",AQ1754="COUPE – À RESOUDER",AQ1754="VT REJETÉ – À REPRENDRE")),MAX(0,'PROGRAMME RT'!$C$4-U1754),"")</f>
        <v/>
      </c>
      <c r="AS1754" s="82" t="n">
        <f aca="false">IF(AND(OR(AQ1754="À RADIOGRAPHIER",AQ1754="RÉPARÉ – À RADIOGRAPHIER",AQ1754="NX – RT À REFAIRE"),OR('PROGRAMME RT'!$D$5="TOUTES",B1754='PROGRAMME RT'!$D$5)),1,0)</f>
        <v>0</v>
      </c>
      <c r="AT1754" s="82" t="str">
        <f aca="false">IF(AS1754=1,SUM(AS$7:AS1754),"")</f>
        <v/>
      </c>
      <c r="AU1754" s="82" t="n">
        <f aca="false">IF(AND(OR(AA1754="R",AA1754="NX",AA1754="NT",AA1754="CO"),OR('JOINTS DE RÉPARATION'!$D$5="TOUTES",B1754='JOINTS DE RÉPARATION'!$D$5),OR('JOINTS DE RÉPARATION'!$L$4="TOUS",AQ1754&lt;&gt;"ACCEPTÉ")),1,0)</f>
        <v>0</v>
      </c>
      <c r="AV1754" s="82" t="str">
        <f aca="false">IF(AU1754=1,SUM(AU$7:AU1754),"")</f>
        <v/>
      </c>
      <c r="AW1754" s="82" t="str">
        <f aca="false">IF(E1754="","",B1754&amp;"|"&amp;E1754)</f>
        <v>MFD-ISW → MFD-CPF|JN°1391</v>
      </c>
    </row>
    <row r="1755" customFormat="false" ht="74.6" hidden="false" customHeight="false" outlineLevel="0" collapsed="false">
      <c r="A1755" s="79" t="n">
        <f aca="false">IF(E1755="","",ROW()-6)</f>
        <v>1749</v>
      </c>
      <c r="B1755" s="80" t="s">
        <v>110</v>
      </c>
      <c r="C1755" s="81" t="s">
        <v>2119</v>
      </c>
      <c r="D1755" s="81" t="n">
        <v>16</v>
      </c>
      <c r="E1755" s="81" t="s">
        <v>2134</v>
      </c>
      <c r="F1755" s="82" t="str">
        <f aca="false">IF(E1755="","",IF(LEFT(E1755,2)="DJ","DJ","JN"))</f>
        <v>DJ</v>
      </c>
      <c r="G1755" s="81"/>
      <c r="H1755" s="81" t="s">
        <v>871</v>
      </c>
      <c r="I1755" s="81" t="n">
        <v>9.53</v>
      </c>
      <c r="J1755" s="81" t="s">
        <v>872</v>
      </c>
      <c r="K1755" s="81" t="s">
        <v>873</v>
      </c>
      <c r="L1755" s="81" t="n">
        <v>2090010</v>
      </c>
      <c r="M1755" s="81" t="n">
        <v>15421109</v>
      </c>
      <c r="N1755" s="81" t="n">
        <v>11.94</v>
      </c>
      <c r="O1755" s="81" t="n">
        <v>2098470</v>
      </c>
      <c r="P1755" s="81" t="n">
        <v>15421112</v>
      </c>
      <c r="Q1755" s="81" t="n">
        <v>11.94</v>
      </c>
      <c r="R1755" s="81" t="s">
        <v>874</v>
      </c>
      <c r="S1755" s="81"/>
      <c r="T1755" s="81"/>
      <c r="U1755" s="83" t="n">
        <v>46254</v>
      </c>
      <c r="V1755" s="83" t="n">
        <v>46254</v>
      </c>
      <c r="W1755" s="81" t="s">
        <v>1578</v>
      </c>
      <c r="X1755" s="81" t="s">
        <v>876</v>
      </c>
      <c r="Y1755" s="83" t="n">
        <v>46260</v>
      </c>
      <c r="Z1755" s="81" t="s">
        <v>2112</v>
      </c>
      <c r="AA1755" s="81" t="s">
        <v>876</v>
      </c>
      <c r="AB1755" s="81"/>
      <c r="AC1755" s="81"/>
      <c r="AD1755" s="81"/>
      <c r="AE1755" s="83"/>
      <c r="AF1755" s="81"/>
      <c r="AG1755" s="81"/>
      <c r="AH1755" s="81"/>
      <c r="AI1755" s="81"/>
      <c r="AJ1755" s="83"/>
      <c r="AK1755" s="81"/>
      <c r="AL1755" s="81"/>
      <c r="AM1755" s="83"/>
      <c r="AN1755" s="80"/>
      <c r="AO1755" s="82" t="n">
        <f aca="false">IF(E1755="","",(AA1755&lt;&gt;"")+(AG1755&lt;&gt;"")+(AL1755&lt;&gt;""))</f>
        <v>1</v>
      </c>
      <c r="AP1755" s="82" t="str">
        <f aca="false">IF(AL1755&lt;&gt;"",AL1755,IF(AG1755&lt;&gt;"",AG1755,IF(AA1755&lt;&gt;"",AA1755,"")))</f>
        <v>A</v>
      </c>
      <c r="AQ1755" s="84" t="str">
        <f aca="false">IF(E1755="","",IF(U1755="","À SOUDER",IF(X1755="","VT EN ATTENTE",IF(X1755="R","VT REJETÉ – À REPRENDRE",IF(AP1755="","À RADIOGRAPHIER",IF(AP1755="A","ACCEPTÉ",IF(AP1755="NX","NX – RT À REFAIRE",IF(IF(AO1755=1,AD1755,IF(AO1755=2,AI1755,""))="A","RÉPARÉ – À RADIOGRAPHIER",IF(IF(AO1755=1,AD1755,IF(AO1755=2,AI1755,""))="R","VT REJETÉ – À REPRENDRE",IF(OR(AP1755="CO",AP1755="NT"),"COUPE – À RESOUDER","À RÉPARER"))))))))))</f>
        <v>ACCEPTÉ</v>
      </c>
      <c r="AR1755" s="82" t="str">
        <f aca="false">IF(AND(ISNUMBER(U1755),OR(AQ1755="À RADIOGRAPHIER",AQ1755="RÉPARÉ – À RADIOGRAPHIER",AQ1755="NX – RT À REFAIRE",AQ1755="À RÉPARER",AQ1755="COUPE – À RESOUDER",AQ1755="VT REJETÉ – À REPRENDRE")),MAX(0,'PROGRAMME RT'!$C$4-U1755),"")</f>
        <v/>
      </c>
      <c r="AS1755" s="82" t="n">
        <f aca="false">IF(AND(OR(AQ1755="À RADIOGRAPHIER",AQ1755="RÉPARÉ – À RADIOGRAPHIER",AQ1755="NX – RT À REFAIRE"),OR('PROGRAMME RT'!$D$5="TOUTES",B1755='PROGRAMME RT'!$D$5)),1,0)</f>
        <v>0</v>
      </c>
      <c r="AT1755" s="82" t="str">
        <f aca="false">IF(AS1755=1,SUM(AS$7:AS1755),"")</f>
        <v/>
      </c>
      <c r="AU1755" s="82" t="n">
        <f aca="false">IF(AND(OR(AA1755="R",AA1755="NX",AA1755="NT",AA1755="CO"),OR('JOINTS DE RÉPARATION'!$D$5="TOUTES",B1755='JOINTS DE RÉPARATION'!$D$5),OR('JOINTS DE RÉPARATION'!$L$4="TOUS",AQ1755&lt;&gt;"ACCEPTÉ")),1,0)</f>
        <v>0</v>
      </c>
      <c r="AV1755" s="82" t="str">
        <f aca="false">IF(AU1755=1,SUM(AU$7:AU1755),"")</f>
        <v/>
      </c>
      <c r="AW1755" s="82" t="str">
        <f aca="false">IF(E1755="","",B1755&amp;"|"&amp;E1755)</f>
        <v>MFD-ISW → MFD-CPF|DJ°068</v>
      </c>
    </row>
    <row r="1756" customFormat="false" ht="74.6" hidden="false" customHeight="false" outlineLevel="0" collapsed="false">
      <c r="A1756" s="79" t="n">
        <f aca="false">IF(E1756="","",ROW()-6)</f>
        <v>1750</v>
      </c>
      <c r="B1756" s="80" t="s">
        <v>110</v>
      </c>
      <c r="C1756" s="81" t="s">
        <v>2119</v>
      </c>
      <c r="D1756" s="81" t="n">
        <v>16</v>
      </c>
      <c r="E1756" s="81" t="s">
        <v>2135</v>
      </c>
      <c r="F1756" s="82" t="str">
        <f aca="false">IF(E1756="","",IF(LEFT(E1756,2)="DJ","DJ","JN"))</f>
        <v>JN</v>
      </c>
      <c r="G1756" s="81" t="s">
        <v>1504</v>
      </c>
      <c r="H1756" s="81" t="s">
        <v>871</v>
      </c>
      <c r="I1756" s="81" t="n">
        <v>9.53</v>
      </c>
      <c r="J1756" s="81" t="s">
        <v>872</v>
      </c>
      <c r="K1756" s="81" t="s">
        <v>879</v>
      </c>
      <c r="L1756" s="81" t="n">
        <v>2098470</v>
      </c>
      <c r="M1756" s="81" t="n">
        <v>15421112</v>
      </c>
      <c r="N1756" s="81" t="n">
        <v>11.94</v>
      </c>
      <c r="O1756" s="81" t="n">
        <v>2097500</v>
      </c>
      <c r="P1756" s="81" t="n">
        <v>15421112</v>
      </c>
      <c r="Q1756" s="81" t="n">
        <v>11.94</v>
      </c>
      <c r="R1756" s="81" t="s">
        <v>2097</v>
      </c>
      <c r="S1756" s="81"/>
      <c r="T1756" s="81"/>
      <c r="U1756" s="83" t="n">
        <v>46272</v>
      </c>
      <c r="V1756" s="83" t="n">
        <v>46272</v>
      </c>
      <c r="W1756" s="81" t="s">
        <v>2098</v>
      </c>
      <c r="X1756" s="81" t="s">
        <v>876</v>
      </c>
      <c r="Y1756" s="83" t="n">
        <v>46288</v>
      </c>
      <c r="Z1756" s="81" t="s">
        <v>2122</v>
      </c>
      <c r="AA1756" s="81" t="s">
        <v>876</v>
      </c>
      <c r="AB1756" s="81"/>
      <c r="AC1756" s="81"/>
      <c r="AD1756" s="81"/>
      <c r="AE1756" s="83"/>
      <c r="AF1756" s="81"/>
      <c r="AG1756" s="81"/>
      <c r="AH1756" s="81"/>
      <c r="AI1756" s="81"/>
      <c r="AJ1756" s="83"/>
      <c r="AK1756" s="81"/>
      <c r="AL1756" s="81"/>
      <c r="AM1756" s="83"/>
      <c r="AN1756" s="80"/>
      <c r="AO1756" s="82" t="n">
        <f aca="false">IF(E1756="","",(AA1756&lt;&gt;"")+(AG1756&lt;&gt;"")+(AL1756&lt;&gt;""))</f>
        <v>1</v>
      </c>
      <c r="AP1756" s="82" t="str">
        <f aca="false">IF(AL1756&lt;&gt;"",AL1756,IF(AG1756&lt;&gt;"",AG1756,IF(AA1756&lt;&gt;"",AA1756,"")))</f>
        <v>A</v>
      </c>
      <c r="AQ1756" s="84" t="str">
        <f aca="false">IF(E1756="","",IF(U1756="","À SOUDER",IF(X1756="","VT EN ATTENTE",IF(X1756="R","VT REJETÉ – À REPRENDRE",IF(AP1756="","À RADIOGRAPHIER",IF(AP1756="A","ACCEPTÉ",IF(AP1756="NX","NX – RT À REFAIRE",IF(IF(AO1756=1,AD1756,IF(AO1756=2,AI1756,""))="A","RÉPARÉ – À RADIOGRAPHIER",IF(IF(AO1756=1,AD1756,IF(AO1756=2,AI1756,""))="R","VT REJETÉ – À REPRENDRE",IF(OR(AP1756="CO",AP1756="NT"),"COUPE – À RESOUDER","À RÉPARER"))))))))))</f>
        <v>ACCEPTÉ</v>
      </c>
      <c r="AR1756" s="82" t="str">
        <f aca="false">IF(AND(ISNUMBER(U1756),OR(AQ1756="À RADIOGRAPHIER",AQ1756="RÉPARÉ – À RADIOGRAPHIER",AQ1756="NX – RT À REFAIRE",AQ1756="À RÉPARER",AQ1756="COUPE – À RESOUDER",AQ1756="VT REJETÉ – À REPRENDRE")),MAX(0,'PROGRAMME RT'!$C$4-U1756),"")</f>
        <v/>
      </c>
      <c r="AS1756" s="82" t="n">
        <f aca="false">IF(AND(OR(AQ1756="À RADIOGRAPHIER",AQ1756="RÉPARÉ – À RADIOGRAPHIER",AQ1756="NX – RT À REFAIRE"),OR('PROGRAMME RT'!$D$5="TOUTES",B1756='PROGRAMME RT'!$D$5)),1,0)</f>
        <v>0</v>
      </c>
      <c r="AT1756" s="82" t="str">
        <f aca="false">IF(AS1756=1,SUM(AS$7:AS1756),"")</f>
        <v/>
      </c>
      <c r="AU1756" s="82" t="n">
        <f aca="false">IF(AND(OR(AA1756="R",AA1756="NX",AA1756="NT",AA1756="CO"),OR('JOINTS DE RÉPARATION'!$D$5="TOUTES",B1756='JOINTS DE RÉPARATION'!$D$5),OR('JOINTS DE RÉPARATION'!$L$4="TOUS",AQ1756&lt;&gt;"ACCEPTÉ")),1,0)</f>
        <v>0</v>
      </c>
      <c r="AV1756" s="82" t="str">
        <f aca="false">IF(AU1756=1,SUM(AU$7:AU1756),"")</f>
        <v/>
      </c>
      <c r="AW1756" s="82" t="str">
        <f aca="false">IF(E1756="","",B1756&amp;"|"&amp;E1756)</f>
        <v>MFD-ISW → MFD-CPF|JN°1392</v>
      </c>
    </row>
    <row r="1757" customFormat="false" ht="74.6" hidden="false" customHeight="false" outlineLevel="0" collapsed="false">
      <c r="A1757" s="79" t="n">
        <f aca="false">IF(E1757="","",ROW()-6)</f>
        <v>1751</v>
      </c>
      <c r="B1757" s="80" t="s">
        <v>110</v>
      </c>
      <c r="C1757" s="81" t="s">
        <v>2119</v>
      </c>
      <c r="D1757" s="81" t="n">
        <v>16</v>
      </c>
      <c r="E1757" s="81" t="s">
        <v>2136</v>
      </c>
      <c r="F1757" s="82" t="str">
        <f aca="false">IF(E1757="","",IF(LEFT(E1757,2)="DJ","DJ","JN"))</f>
        <v>DJ</v>
      </c>
      <c r="G1757" s="81"/>
      <c r="H1757" s="81" t="s">
        <v>871</v>
      </c>
      <c r="I1757" s="81" t="n">
        <v>9.53</v>
      </c>
      <c r="J1757" s="81" t="s">
        <v>872</v>
      </c>
      <c r="K1757" s="81" t="s">
        <v>873</v>
      </c>
      <c r="L1757" s="81" t="n">
        <v>2097500</v>
      </c>
      <c r="M1757" s="81" t="n">
        <v>15421112</v>
      </c>
      <c r="N1757" s="81" t="n">
        <v>11.94</v>
      </c>
      <c r="O1757" s="81" t="n">
        <v>2083710</v>
      </c>
      <c r="P1757" s="81" t="n">
        <v>15421112</v>
      </c>
      <c r="Q1757" s="81" t="n">
        <v>11.94</v>
      </c>
      <c r="R1757" s="81" t="s">
        <v>874</v>
      </c>
      <c r="S1757" s="81"/>
      <c r="T1757" s="81"/>
      <c r="U1757" s="83" t="n">
        <v>46258</v>
      </c>
      <c r="V1757" s="83" t="n">
        <v>46258</v>
      </c>
      <c r="W1757" s="81" t="s">
        <v>2137</v>
      </c>
      <c r="X1757" s="81" t="s">
        <v>876</v>
      </c>
      <c r="Y1757" s="83" t="n">
        <v>46260</v>
      </c>
      <c r="Z1757" s="81" t="s">
        <v>2112</v>
      </c>
      <c r="AA1757" s="81" t="s">
        <v>876</v>
      </c>
      <c r="AB1757" s="81"/>
      <c r="AC1757" s="81"/>
      <c r="AD1757" s="81"/>
      <c r="AE1757" s="83"/>
      <c r="AF1757" s="81"/>
      <c r="AG1757" s="81"/>
      <c r="AH1757" s="81"/>
      <c r="AI1757" s="81"/>
      <c r="AJ1757" s="83"/>
      <c r="AK1757" s="81"/>
      <c r="AL1757" s="81"/>
      <c r="AM1757" s="83"/>
      <c r="AN1757" s="80"/>
      <c r="AO1757" s="82" t="n">
        <f aca="false">IF(E1757="","",(AA1757&lt;&gt;"")+(AG1757&lt;&gt;"")+(AL1757&lt;&gt;""))</f>
        <v>1</v>
      </c>
      <c r="AP1757" s="82" t="str">
        <f aca="false">IF(AL1757&lt;&gt;"",AL1757,IF(AG1757&lt;&gt;"",AG1757,IF(AA1757&lt;&gt;"",AA1757,"")))</f>
        <v>A</v>
      </c>
      <c r="AQ1757" s="84" t="str">
        <f aca="false">IF(E1757="","",IF(U1757="","À SOUDER",IF(X1757="","VT EN ATTENTE",IF(X1757="R","VT REJETÉ – À REPRENDRE",IF(AP1757="","À RADIOGRAPHIER",IF(AP1757="A","ACCEPTÉ",IF(AP1757="NX","NX – RT À REFAIRE",IF(IF(AO1757=1,AD1757,IF(AO1757=2,AI1757,""))="A","RÉPARÉ – À RADIOGRAPHIER",IF(IF(AO1757=1,AD1757,IF(AO1757=2,AI1757,""))="R","VT REJETÉ – À REPRENDRE",IF(OR(AP1757="CO",AP1757="NT"),"COUPE – À RESOUDER","À RÉPARER"))))))))))</f>
        <v>ACCEPTÉ</v>
      </c>
      <c r="AR1757" s="82" t="str">
        <f aca="false">IF(AND(ISNUMBER(U1757),OR(AQ1757="À RADIOGRAPHIER",AQ1757="RÉPARÉ – À RADIOGRAPHIER",AQ1757="NX – RT À REFAIRE",AQ1757="À RÉPARER",AQ1757="COUPE – À RESOUDER",AQ1757="VT REJETÉ – À REPRENDRE")),MAX(0,'PROGRAMME RT'!$C$4-U1757),"")</f>
        <v/>
      </c>
      <c r="AS1757" s="82" t="n">
        <f aca="false">IF(AND(OR(AQ1757="À RADIOGRAPHIER",AQ1757="RÉPARÉ – À RADIOGRAPHIER",AQ1757="NX – RT À REFAIRE"),OR('PROGRAMME RT'!$D$5="TOUTES",B1757='PROGRAMME RT'!$D$5)),1,0)</f>
        <v>0</v>
      </c>
      <c r="AT1757" s="82" t="str">
        <f aca="false">IF(AS1757=1,SUM(AS$7:AS1757),"")</f>
        <v/>
      </c>
      <c r="AU1757" s="82" t="n">
        <f aca="false">IF(AND(OR(AA1757="R",AA1757="NX",AA1757="NT",AA1757="CO"),OR('JOINTS DE RÉPARATION'!$D$5="TOUTES",B1757='JOINTS DE RÉPARATION'!$D$5),OR('JOINTS DE RÉPARATION'!$L$4="TOUS",AQ1757&lt;&gt;"ACCEPTÉ")),1,0)</f>
        <v>0</v>
      </c>
      <c r="AV1757" s="82" t="str">
        <f aca="false">IF(AU1757=1,SUM(AU$7:AU1757),"")</f>
        <v/>
      </c>
      <c r="AW1757" s="82" t="str">
        <f aca="false">IF(E1757="","",B1757&amp;"|"&amp;E1757)</f>
        <v>MFD-ISW → MFD-CPF|DJ°123</v>
      </c>
    </row>
    <row r="1758" customFormat="false" ht="74.6" hidden="false" customHeight="false" outlineLevel="0" collapsed="false">
      <c r="A1758" s="79" t="n">
        <f aca="false">IF(E1758="","",ROW()-6)</f>
        <v>1752</v>
      </c>
      <c r="B1758" s="80" t="s">
        <v>110</v>
      </c>
      <c r="C1758" s="81" t="s">
        <v>2119</v>
      </c>
      <c r="D1758" s="81" t="n">
        <v>16</v>
      </c>
      <c r="E1758" s="81" t="s">
        <v>2138</v>
      </c>
      <c r="F1758" s="82" t="str">
        <f aca="false">IF(E1758="","",IF(LEFT(E1758,2)="DJ","DJ","JN"))</f>
        <v>JN</v>
      </c>
      <c r="G1758" s="81" t="s">
        <v>1504</v>
      </c>
      <c r="H1758" s="81" t="s">
        <v>871</v>
      </c>
      <c r="I1758" s="81" t="n">
        <v>9.53</v>
      </c>
      <c r="J1758" s="81" t="s">
        <v>872</v>
      </c>
      <c r="K1758" s="81" t="s">
        <v>879</v>
      </c>
      <c r="L1758" s="81" t="n">
        <v>2083710</v>
      </c>
      <c r="M1758" s="81" t="n">
        <v>15421112</v>
      </c>
      <c r="N1758" s="81" t="n">
        <v>11.94</v>
      </c>
      <c r="O1758" s="81" t="n">
        <v>2088060</v>
      </c>
      <c r="P1758" s="81" t="n">
        <v>15421105</v>
      </c>
      <c r="Q1758" s="81" t="n">
        <v>11.94</v>
      </c>
      <c r="R1758" s="81" t="s">
        <v>2097</v>
      </c>
      <c r="S1758" s="81"/>
      <c r="T1758" s="81"/>
      <c r="U1758" s="83" t="n">
        <v>46272</v>
      </c>
      <c r="V1758" s="83" t="n">
        <v>46272</v>
      </c>
      <c r="W1758" s="81" t="s">
        <v>2098</v>
      </c>
      <c r="X1758" s="81" t="s">
        <v>876</v>
      </c>
      <c r="Y1758" s="83" t="n">
        <v>46288</v>
      </c>
      <c r="Z1758" s="81" t="s">
        <v>2122</v>
      </c>
      <c r="AA1758" s="81" t="s">
        <v>876</v>
      </c>
      <c r="AB1758" s="81"/>
      <c r="AC1758" s="81"/>
      <c r="AD1758" s="81"/>
      <c r="AE1758" s="83"/>
      <c r="AF1758" s="81"/>
      <c r="AG1758" s="81"/>
      <c r="AH1758" s="81"/>
      <c r="AI1758" s="81"/>
      <c r="AJ1758" s="83"/>
      <c r="AK1758" s="81"/>
      <c r="AL1758" s="81"/>
      <c r="AM1758" s="83"/>
      <c r="AN1758" s="80"/>
      <c r="AO1758" s="82" t="n">
        <f aca="false">IF(E1758="","",(AA1758&lt;&gt;"")+(AG1758&lt;&gt;"")+(AL1758&lt;&gt;""))</f>
        <v>1</v>
      </c>
      <c r="AP1758" s="82" t="str">
        <f aca="false">IF(AL1758&lt;&gt;"",AL1758,IF(AG1758&lt;&gt;"",AG1758,IF(AA1758&lt;&gt;"",AA1758,"")))</f>
        <v>A</v>
      </c>
      <c r="AQ1758" s="84" t="str">
        <f aca="false">IF(E1758="","",IF(U1758="","À SOUDER",IF(X1758="","VT EN ATTENTE",IF(X1758="R","VT REJETÉ – À REPRENDRE",IF(AP1758="","À RADIOGRAPHIER",IF(AP1758="A","ACCEPTÉ",IF(AP1758="NX","NX – RT À REFAIRE",IF(IF(AO1758=1,AD1758,IF(AO1758=2,AI1758,""))="A","RÉPARÉ – À RADIOGRAPHIER",IF(IF(AO1758=1,AD1758,IF(AO1758=2,AI1758,""))="R","VT REJETÉ – À REPRENDRE",IF(OR(AP1758="CO",AP1758="NT"),"COUPE – À RESOUDER","À RÉPARER"))))))))))</f>
        <v>ACCEPTÉ</v>
      </c>
      <c r="AR1758" s="82" t="str">
        <f aca="false">IF(AND(ISNUMBER(U1758),OR(AQ1758="À RADIOGRAPHIER",AQ1758="RÉPARÉ – À RADIOGRAPHIER",AQ1758="NX – RT À REFAIRE",AQ1758="À RÉPARER",AQ1758="COUPE – À RESOUDER",AQ1758="VT REJETÉ – À REPRENDRE")),MAX(0,'PROGRAMME RT'!$C$4-U1758),"")</f>
        <v/>
      </c>
      <c r="AS1758" s="82" t="n">
        <f aca="false">IF(AND(OR(AQ1758="À RADIOGRAPHIER",AQ1758="RÉPARÉ – À RADIOGRAPHIER",AQ1758="NX – RT À REFAIRE"),OR('PROGRAMME RT'!$D$5="TOUTES",B1758='PROGRAMME RT'!$D$5)),1,0)</f>
        <v>0</v>
      </c>
      <c r="AT1758" s="82" t="str">
        <f aca="false">IF(AS1758=1,SUM(AS$7:AS1758),"")</f>
        <v/>
      </c>
      <c r="AU1758" s="82" t="n">
        <f aca="false">IF(AND(OR(AA1758="R",AA1758="NX",AA1758="NT",AA1758="CO"),OR('JOINTS DE RÉPARATION'!$D$5="TOUTES",B1758='JOINTS DE RÉPARATION'!$D$5),OR('JOINTS DE RÉPARATION'!$L$4="TOUS",AQ1758&lt;&gt;"ACCEPTÉ")),1,0)</f>
        <v>0</v>
      </c>
      <c r="AV1758" s="82" t="str">
        <f aca="false">IF(AU1758=1,SUM(AU$7:AU1758),"")</f>
        <v/>
      </c>
      <c r="AW1758" s="82" t="str">
        <f aca="false">IF(E1758="","",B1758&amp;"|"&amp;E1758)</f>
        <v>MFD-ISW → MFD-CPF|JN°1393</v>
      </c>
    </row>
    <row r="1759" customFormat="false" ht="74.6" hidden="false" customHeight="false" outlineLevel="0" collapsed="false">
      <c r="A1759" s="79" t="n">
        <f aca="false">IF(E1759="","",ROW()-6)</f>
        <v>1753</v>
      </c>
      <c r="B1759" s="80" t="s">
        <v>110</v>
      </c>
      <c r="C1759" s="81" t="s">
        <v>2119</v>
      </c>
      <c r="D1759" s="81" t="n">
        <v>16</v>
      </c>
      <c r="E1759" s="81" t="s">
        <v>2139</v>
      </c>
      <c r="F1759" s="82" t="str">
        <f aca="false">IF(E1759="","",IF(LEFT(E1759,2)="DJ","DJ","JN"))</f>
        <v>DJ</v>
      </c>
      <c r="G1759" s="81"/>
      <c r="H1759" s="81" t="s">
        <v>871</v>
      </c>
      <c r="I1759" s="81" t="n">
        <v>9.53</v>
      </c>
      <c r="J1759" s="81" t="s">
        <v>872</v>
      </c>
      <c r="K1759" s="81" t="s">
        <v>873</v>
      </c>
      <c r="L1759" s="81" t="n">
        <v>2088060</v>
      </c>
      <c r="M1759" s="81" t="n">
        <v>15421105</v>
      </c>
      <c r="N1759" s="81" t="n">
        <v>11.94</v>
      </c>
      <c r="O1759" s="81" t="n">
        <v>2086830</v>
      </c>
      <c r="P1759" s="81" t="n">
        <v>15421108</v>
      </c>
      <c r="Q1759" s="81" t="n">
        <v>11.94</v>
      </c>
      <c r="R1759" s="81" t="s">
        <v>1147</v>
      </c>
      <c r="S1759" s="81"/>
      <c r="T1759" s="81"/>
      <c r="U1759" s="83" t="n">
        <v>46251</v>
      </c>
      <c r="V1759" s="83" t="n">
        <v>46251</v>
      </c>
      <c r="W1759" s="81" t="s">
        <v>2140</v>
      </c>
      <c r="X1759" s="81" t="s">
        <v>876</v>
      </c>
      <c r="Y1759" s="83" t="n">
        <v>46254</v>
      </c>
      <c r="Z1759" s="81" t="s">
        <v>2141</v>
      </c>
      <c r="AA1759" s="81" t="s">
        <v>876</v>
      </c>
      <c r="AB1759" s="81"/>
      <c r="AC1759" s="81"/>
      <c r="AD1759" s="81"/>
      <c r="AE1759" s="83"/>
      <c r="AF1759" s="81"/>
      <c r="AG1759" s="81"/>
      <c r="AH1759" s="81"/>
      <c r="AI1759" s="81"/>
      <c r="AJ1759" s="83"/>
      <c r="AK1759" s="81"/>
      <c r="AL1759" s="81"/>
      <c r="AM1759" s="83"/>
      <c r="AN1759" s="80"/>
      <c r="AO1759" s="82" t="n">
        <f aca="false">IF(E1759="","",(AA1759&lt;&gt;"")+(AG1759&lt;&gt;"")+(AL1759&lt;&gt;""))</f>
        <v>1</v>
      </c>
      <c r="AP1759" s="82" t="str">
        <f aca="false">IF(AL1759&lt;&gt;"",AL1759,IF(AG1759&lt;&gt;"",AG1759,IF(AA1759&lt;&gt;"",AA1759,"")))</f>
        <v>A</v>
      </c>
      <c r="AQ1759" s="84" t="str">
        <f aca="false">IF(E1759="","",IF(U1759="","À SOUDER",IF(X1759="","VT EN ATTENTE",IF(X1759="R","VT REJETÉ – À REPRENDRE",IF(AP1759="","À RADIOGRAPHIER",IF(AP1759="A","ACCEPTÉ",IF(AP1759="NX","NX – RT À REFAIRE",IF(IF(AO1759=1,AD1759,IF(AO1759=2,AI1759,""))="A","RÉPARÉ – À RADIOGRAPHIER",IF(IF(AO1759=1,AD1759,IF(AO1759=2,AI1759,""))="R","VT REJETÉ – À REPRENDRE",IF(OR(AP1759="CO",AP1759="NT"),"COUPE – À RESOUDER","À RÉPARER"))))))))))</f>
        <v>ACCEPTÉ</v>
      </c>
      <c r="AR1759" s="82" t="str">
        <f aca="false">IF(AND(ISNUMBER(U1759),OR(AQ1759="À RADIOGRAPHIER",AQ1759="RÉPARÉ – À RADIOGRAPHIER",AQ1759="NX – RT À REFAIRE",AQ1759="À RÉPARER",AQ1759="COUPE – À RESOUDER",AQ1759="VT REJETÉ – À REPRENDRE")),MAX(0,'PROGRAMME RT'!$C$4-U1759),"")</f>
        <v/>
      </c>
      <c r="AS1759" s="82" t="n">
        <f aca="false">IF(AND(OR(AQ1759="À RADIOGRAPHIER",AQ1759="RÉPARÉ – À RADIOGRAPHIER",AQ1759="NX – RT À REFAIRE"),OR('PROGRAMME RT'!$D$5="TOUTES",B1759='PROGRAMME RT'!$D$5)),1,0)</f>
        <v>0</v>
      </c>
      <c r="AT1759" s="82" t="str">
        <f aca="false">IF(AS1759=1,SUM(AS$7:AS1759),"")</f>
        <v/>
      </c>
      <c r="AU1759" s="82" t="n">
        <f aca="false">IF(AND(OR(AA1759="R",AA1759="NX",AA1759="NT",AA1759="CO"),OR('JOINTS DE RÉPARATION'!$D$5="TOUTES",B1759='JOINTS DE RÉPARATION'!$D$5),OR('JOINTS DE RÉPARATION'!$L$4="TOUS",AQ1759&lt;&gt;"ACCEPTÉ")),1,0)</f>
        <v>0</v>
      </c>
      <c r="AV1759" s="82" t="str">
        <f aca="false">IF(AU1759=1,SUM(AU$7:AU1759),"")</f>
        <v/>
      </c>
      <c r="AW1759" s="82" t="str">
        <f aca="false">IF(E1759="","",B1759&amp;"|"&amp;E1759)</f>
        <v>MFD-ISW → MFD-CPF|DJ°032</v>
      </c>
    </row>
    <row r="1760" customFormat="false" ht="74.6" hidden="false" customHeight="false" outlineLevel="0" collapsed="false">
      <c r="A1760" s="79" t="n">
        <f aca="false">IF(E1760="","",ROW()-6)</f>
        <v>1754</v>
      </c>
      <c r="B1760" s="80" t="s">
        <v>110</v>
      </c>
      <c r="C1760" s="81" t="s">
        <v>2119</v>
      </c>
      <c r="D1760" s="81" t="n">
        <v>16</v>
      </c>
      <c r="E1760" s="81" t="s">
        <v>2142</v>
      </c>
      <c r="F1760" s="82" t="str">
        <f aca="false">IF(E1760="","",IF(LEFT(E1760,2)="DJ","DJ","JN"))</f>
        <v>JN</v>
      </c>
      <c r="G1760" s="81" t="s">
        <v>1504</v>
      </c>
      <c r="H1760" s="81" t="s">
        <v>871</v>
      </c>
      <c r="I1760" s="81" t="n">
        <v>9.53</v>
      </c>
      <c r="J1760" s="81" t="s">
        <v>872</v>
      </c>
      <c r="K1760" s="81" t="s">
        <v>879</v>
      </c>
      <c r="L1760" s="81" t="n">
        <v>2086830</v>
      </c>
      <c r="M1760" s="81" t="n">
        <v>15421108</v>
      </c>
      <c r="N1760" s="81" t="n">
        <v>11.94</v>
      </c>
      <c r="O1760" s="81" t="n">
        <v>2090430</v>
      </c>
      <c r="P1760" s="81" t="n">
        <v>15421107</v>
      </c>
      <c r="Q1760" s="81" t="n">
        <v>11.94</v>
      </c>
      <c r="R1760" s="81" t="s">
        <v>2097</v>
      </c>
      <c r="S1760" s="81"/>
      <c r="T1760" s="81"/>
      <c r="U1760" s="83" t="n">
        <v>46272</v>
      </c>
      <c r="V1760" s="83" t="n">
        <v>46272</v>
      </c>
      <c r="W1760" s="81" t="s">
        <v>2143</v>
      </c>
      <c r="X1760" s="81" t="s">
        <v>876</v>
      </c>
      <c r="Y1760" s="83" t="n">
        <v>46288</v>
      </c>
      <c r="Z1760" s="81" t="s">
        <v>2122</v>
      </c>
      <c r="AA1760" s="81" t="s">
        <v>876</v>
      </c>
      <c r="AB1760" s="81"/>
      <c r="AC1760" s="81"/>
      <c r="AD1760" s="81"/>
      <c r="AE1760" s="83"/>
      <c r="AF1760" s="81"/>
      <c r="AG1760" s="81"/>
      <c r="AH1760" s="81"/>
      <c r="AI1760" s="81"/>
      <c r="AJ1760" s="83"/>
      <c r="AK1760" s="81"/>
      <c r="AL1760" s="81"/>
      <c r="AM1760" s="83"/>
      <c r="AN1760" s="80"/>
      <c r="AO1760" s="82" t="n">
        <f aca="false">IF(E1760="","",(AA1760&lt;&gt;"")+(AG1760&lt;&gt;"")+(AL1760&lt;&gt;""))</f>
        <v>1</v>
      </c>
      <c r="AP1760" s="82" t="str">
        <f aca="false">IF(AL1760&lt;&gt;"",AL1760,IF(AG1760&lt;&gt;"",AG1760,IF(AA1760&lt;&gt;"",AA1760,"")))</f>
        <v>A</v>
      </c>
      <c r="AQ1760" s="84" t="str">
        <f aca="false">IF(E1760="","",IF(U1760="","À SOUDER",IF(X1760="","VT EN ATTENTE",IF(X1760="R","VT REJETÉ – À REPRENDRE",IF(AP1760="","À RADIOGRAPHIER",IF(AP1760="A","ACCEPTÉ",IF(AP1760="NX","NX – RT À REFAIRE",IF(IF(AO1760=1,AD1760,IF(AO1760=2,AI1760,""))="A","RÉPARÉ – À RADIOGRAPHIER",IF(IF(AO1760=1,AD1760,IF(AO1760=2,AI1760,""))="R","VT REJETÉ – À REPRENDRE",IF(OR(AP1760="CO",AP1760="NT"),"COUPE – À RESOUDER","À RÉPARER"))))))))))</f>
        <v>ACCEPTÉ</v>
      </c>
      <c r="AR1760" s="82" t="str">
        <f aca="false">IF(AND(ISNUMBER(U1760),OR(AQ1760="À RADIOGRAPHIER",AQ1760="RÉPARÉ – À RADIOGRAPHIER",AQ1760="NX – RT À REFAIRE",AQ1760="À RÉPARER",AQ1760="COUPE – À RESOUDER",AQ1760="VT REJETÉ – À REPRENDRE")),MAX(0,'PROGRAMME RT'!$C$4-U1760),"")</f>
        <v/>
      </c>
      <c r="AS1760" s="82" t="n">
        <f aca="false">IF(AND(OR(AQ1760="À RADIOGRAPHIER",AQ1760="RÉPARÉ – À RADIOGRAPHIER",AQ1760="NX – RT À REFAIRE"),OR('PROGRAMME RT'!$D$5="TOUTES",B1760='PROGRAMME RT'!$D$5)),1,0)</f>
        <v>0</v>
      </c>
      <c r="AT1760" s="82" t="str">
        <f aca="false">IF(AS1760=1,SUM(AS$7:AS1760),"")</f>
        <v/>
      </c>
      <c r="AU1760" s="82" t="n">
        <f aca="false">IF(AND(OR(AA1760="R",AA1760="NX",AA1760="NT",AA1760="CO"),OR('JOINTS DE RÉPARATION'!$D$5="TOUTES",B1760='JOINTS DE RÉPARATION'!$D$5),OR('JOINTS DE RÉPARATION'!$L$4="TOUS",AQ1760&lt;&gt;"ACCEPTÉ")),1,0)</f>
        <v>0</v>
      </c>
      <c r="AV1760" s="82" t="str">
        <f aca="false">IF(AU1760=1,SUM(AU$7:AU1760),"")</f>
        <v/>
      </c>
      <c r="AW1760" s="82" t="str">
        <f aca="false">IF(E1760="","",B1760&amp;"|"&amp;E1760)</f>
        <v>MFD-ISW → MFD-CPF|JN°1394</v>
      </c>
    </row>
    <row r="1761" customFormat="false" ht="74.6" hidden="false" customHeight="false" outlineLevel="0" collapsed="false">
      <c r="A1761" s="79" t="n">
        <f aca="false">IF(E1761="","",ROW()-6)</f>
        <v>1755</v>
      </c>
      <c r="B1761" s="80" t="s">
        <v>110</v>
      </c>
      <c r="C1761" s="81" t="s">
        <v>2119</v>
      </c>
      <c r="D1761" s="81" t="n">
        <v>16</v>
      </c>
      <c r="E1761" s="81" t="s">
        <v>2144</v>
      </c>
      <c r="F1761" s="82" t="str">
        <f aca="false">IF(E1761="","",IF(LEFT(E1761,2)="DJ","DJ","JN"))</f>
        <v>DJ</v>
      </c>
      <c r="G1761" s="81"/>
      <c r="H1761" s="81" t="s">
        <v>871</v>
      </c>
      <c r="I1761" s="81" t="n">
        <v>9.53</v>
      </c>
      <c r="J1761" s="81" t="s">
        <v>872</v>
      </c>
      <c r="K1761" s="81" t="s">
        <v>873</v>
      </c>
      <c r="L1761" s="81" t="n">
        <v>2090430</v>
      </c>
      <c r="M1761" s="81" t="n">
        <v>15421107</v>
      </c>
      <c r="N1761" s="81" t="n">
        <v>11.94</v>
      </c>
      <c r="O1761" s="81" t="n">
        <v>2094440</v>
      </c>
      <c r="P1761" s="81" t="n">
        <v>15421109</v>
      </c>
      <c r="Q1761" s="81" t="n">
        <v>11.94</v>
      </c>
      <c r="R1761" s="81" t="s">
        <v>920</v>
      </c>
      <c r="S1761" s="81"/>
      <c r="T1761" s="81"/>
      <c r="U1761" s="83" t="n">
        <v>46258</v>
      </c>
      <c r="V1761" s="83" t="n">
        <v>46258</v>
      </c>
      <c r="W1761" s="81" t="s">
        <v>2137</v>
      </c>
      <c r="X1761" s="81" t="s">
        <v>876</v>
      </c>
      <c r="Y1761" s="83" t="n">
        <v>46261</v>
      </c>
      <c r="Z1761" s="81" t="s">
        <v>2095</v>
      </c>
      <c r="AA1761" s="81" t="s">
        <v>876</v>
      </c>
      <c r="AB1761" s="81"/>
      <c r="AC1761" s="81"/>
      <c r="AD1761" s="81"/>
      <c r="AE1761" s="83"/>
      <c r="AF1761" s="81"/>
      <c r="AG1761" s="81"/>
      <c r="AH1761" s="81"/>
      <c r="AI1761" s="81"/>
      <c r="AJ1761" s="83"/>
      <c r="AK1761" s="81"/>
      <c r="AL1761" s="81"/>
      <c r="AM1761" s="83"/>
      <c r="AN1761" s="80"/>
      <c r="AO1761" s="82" t="n">
        <f aca="false">IF(E1761="","",(AA1761&lt;&gt;"")+(AG1761&lt;&gt;"")+(AL1761&lt;&gt;""))</f>
        <v>1</v>
      </c>
      <c r="AP1761" s="82" t="str">
        <f aca="false">IF(AL1761&lt;&gt;"",AL1761,IF(AG1761&lt;&gt;"",AG1761,IF(AA1761&lt;&gt;"",AA1761,"")))</f>
        <v>A</v>
      </c>
      <c r="AQ1761" s="84" t="str">
        <f aca="false">IF(E1761="","",IF(U1761="","À SOUDER",IF(X1761="","VT EN ATTENTE",IF(X1761="R","VT REJETÉ – À REPRENDRE",IF(AP1761="","À RADIOGRAPHIER",IF(AP1761="A","ACCEPTÉ",IF(AP1761="NX","NX – RT À REFAIRE",IF(IF(AO1761=1,AD1761,IF(AO1761=2,AI1761,""))="A","RÉPARÉ – À RADIOGRAPHIER",IF(IF(AO1761=1,AD1761,IF(AO1761=2,AI1761,""))="R","VT REJETÉ – À REPRENDRE",IF(OR(AP1761="CO",AP1761="NT"),"COUPE – À RESOUDER","À RÉPARER"))))))))))</f>
        <v>ACCEPTÉ</v>
      </c>
      <c r="AR1761" s="82" t="str">
        <f aca="false">IF(AND(ISNUMBER(U1761),OR(AQ1761="À RADIOGRAPHIER",AQ1761="RÉPARÉ – À RADIOGRAPHIER",AQ1761="NX – RT À REFAIRE",AQ1761="À RÉPARER",AQ1761="COUPE – À RESOUDER",AQ1761="VT REJETÉ – À REPRENDRE")),MAX(0,'PROGRAMME RT'!$C$4-U1761),"")</f>
        <v/>
      </c>
      <c r="AS1761" s="82" t="n">
        <f aca="false">IF(AND(OR(AQ1761="À RADIOGRAPHIER",AQ1761="RÉPARÉ – À RADIOGRAPHIER",AQ1761="NX – RT À REFAIRE"),OR('PROGRAMME RT'!$D$5="TOUTES",B1761='PROGRAMME RT'!$D$5)),1,0)</f>
        <v>0</v>
      </c>
      <c r="AT1761" s="82" t="str">
        <f aca="false">IF(AS1761=1,SUM(AS$7:AS1761),"")</f>
        <v/>
      </c>
      <c r="AU1761" s="82" t="n">
        <f aca="false">IF(AND(OR(AA1761="R",AA1761="NX",AA1761="NT",AA1761="CO"),OR('JOINTS DE RÉPARATION'!$D$5="TOUTES",B1761='JOINTS DE RÉPARATION'!$D$5),OR('JOINTS DE RÉPARATION'!$L$4="TOUS",AQ1761&lt;&gt;"ACCEPTÉ")),1,0)</f>
        <v>0</v>
      </c>
      <c r="AV1761" s="82" t="str">
        <f aca="false">IF(AU1761=1,SUM(AU$7:AU1761),"")</f>
        <v/>
      </c>
      <c r="AW1761" s="82" t="str">
        <f aca="false">IF(E1761="","",B1761&amp;"|"&amp;E1761)</f>
        <v>MFD-ISW → MFD-CPF|DJ°122</v>
      </c>
    </row>
    <row r="1762" customFormat="false" ht="74.6" hidden="false" customHeight="false" outlineLevel="0" collapsed="false">
      <c r="A1762" s="79" t="n">
        <f aca="false">IF(E1762="","",ROW()-6)</f>
        <v>1756</v>
      </c>
      <c r="B1762" s="80" t="s">
        <v>110</v>
      </c>
      <c r="C1762" s="81" t="s">
        <v>2119</v>
      </c>
      <c r="D1762" s="81" t="n">
        <v>16</v>
      </c>
      <c r="E1762" s="81" t="s">
        <v>2145</v>
      </c>
      <c r="F1762" s="82" t="str">
        <f aca="false">IF(E1762="","",IF(LEFT(E1762,2)="DJ","DJ","JN"))</f>
        <v>JN</v>
      </c>
      <c r="G1762" s="81" t="s">
        <v>1504</v>
      </c>
      <c r="H1762" s="81" t="s">
        <v>871</v>
      </c>
      <c r="I1762" s="81" t="n">
        <v>9.53</v>
      </c>
      <c r="J1762" s="81" t="s">
        <v>872</v>
      </c>
      <c r="K1762" s="81" t="s">
        <v>879</v>
      </c>
      <c r="L1762" s="81" t="n">
        <v>2094440</v>
      </c>
      <c r="M1762" s="81" t="n">
        <v>15421109</v>
      </c>
      <c r="N1762" s="81" t="n">
        <v>11.94</v>
      </c>
      <c r="O1762" s="81" t="n">
        <v>2091780</v>
      </c>
      <c r="P1762" s="81" t="n">
        <v>15421111</v>
      </c>
      <c r="Q1762" s="81" t="n">
        <v>11.94</v>
      </c>
      <c r="R1762" s="81" t="s">
        <v>2097</v>
      </c>
      <c r="S1762" s="81"/>
      <c r="T1762" s="81"/>
      <c r="U1762" s="83" t="n">
        <v>46272</v>
      </c>
      <c r="V1762" s="83" t="n">
        <v>46272</v>
      </c>
      <c r="W1762" s="81" t="s">
        <v>2143</v>
      </c>
      <c r="X1762" s="81" t="s">
        <v>876</v>
      </c>
      <c r="Y1762" s="83" t="n">
        <v>46288</v>
      </c>
      <c r="Z1762" s="81" t="s">
        <v>2122</v>
      </c>
      <c r="AA1762" s="81" t="s">
        <v>876</v>
      </c>
      <c r="AB1762" s="81"/>
      <c r="AC1762" s="81"/>
      <c r="AD1762" s="81"/>
      <c r="AE1762" s="83"/>
      <c r="AF1762" s="81"/>
      <c r="AG1762" s="81"/>
      <c r="AH1762" s="81"/>
      <c r="AI1762" s="81"/>
      <c r="AJ1762" s="83"/>
      <c r="AK1762" s="81"/>
      <c r="AL1762" s="81"/>
      <c r="AM1762" s="83"/>
      <c r="AN1762" s="80"/>
      <c r="AO1762" s="82" t="n">
        <f aca="false">IF(E1762="","",(AA1762&lt;&gt;"")+(AG1762&lt;&gt;"")+(AL1762&lt;&gt;""))</f>
        <v>1</v>
      </c>
      <c r="AP1762" s="82" t="str">
        <f aca="false">IF(AL1762&lt;&gt;"",AL1762,IF(AG1762&lt;&gt;"",AG1762,IF(AA1762&lt;&gt;"",AA1762,"")))</f>
        <v>A</v>
      </c>
      <c r="AQ1762" s="84" t="str">
        <f aca="false">IF(E1762="","",IF(U1762="","À SOUDER",IF(X1762="","VT EN ATTENTE",IF(X1762="R","VT REJETÉ – À REPRENDRE",IF(AP1762="","À RADIOGRAPHIER",IF(AP1762="A","ACCEPTÉ",IF(AP1762="NX","NX – RT À REFAIRE",IF(IF(AO1762=1,AD1762,IF(AO1762=2,AI1762,""))="A","RÉPARÉ – À RADIOGRAPHIER",IF(IF(AO1762=1,AD1762,IF(AO1762=2,AI1762,""))="R","VT REJETÉ – À REPRENDRE",IF(OR(AP1762="CO",AP1762="NT"),"COUPE – À RESOUDER","À RÉPARER"))))))))))</f>
        <v>ACCEPTÉ</v>
      </c>
      <c r="AR1762" s="82" t="str">
        <f aca="false">IF(AND(ISNUMBER(U1762),OR(AQ1762="À RADIOGRAPHIER",AQ1762="RÉPARÉ – À RADIOGRAPHIER",AQ1762="NX – RT À REFAIRE",AQ1762="À RÉPARER",AQ1762="COUPE – À RESOUDER",AQ1762="VT REJETÉ – À REPRENDRE")),MAX(0,'PROGRAMME RT'!$C$4-U1762),"")</f>
        <v/>
      </c>
      <c r="AS1762" s="82" t="n">
        <f aca="false">IF(AND(OR(AQ1762="À RADIOGRAPHIER",AQ1762="RÉPARÉ – À RADIOGRAPHIER",AQ1762="NX – RT À REFAIRE"),OR('PROGRAMME RT'!$D$5="TOUTES",B1762='PROGRAMME RT'!$D$5)),1,0)</f>
        <v>0</v>
      </c>
      <c r="AT1762" s="82" t="str">
        <f aca="false">IF(AS1762=1,SUM(AS$7:AS1762),"")</f>
        <v/>
      </c>
      <c r="AU1762" s="82" t="n">
        <f aca="false">IF(AND(OR(AA1762="R",AA1762="NX",AA1762="NT",AA1762="CO"),OR('JOINTS DE RÉPARATION'!$D$5="TOUTES",B1762='JOINTS DE RÉPARATION'!$D$5),OR('JOINTS DE RÉPARATION'!$L$4="TOUS",AQ1762&lt;&gt;"ACCEPTÉ")),1,0)</f>
        <v>0</v>
      </c>
      <c r="AV1762" s="82" t="str">
        <f aca="false">IF(AU1762=1,SUM(AU$7:AU1762),"")</f>
        <v/>
      </c>
      <c r="AW1762" s="82" t="str">
        <f aca="false">IF(E1762="","",B1762&amp;"|"&amp;E1762)</f>
        <v>MFD-ISW → MFD-CPF|JN°1395</v>
      </c>
    </row>
    <row r="1763" customFormat="false" ht="74.6" hidden="false" customHeight="false" outlineLevel="0" collapsed="false">
      <c r="A1763" s="79" t="n">
        <f aca="false">IF(E1763="","",ROW()-6)</f>
        <v>1757</v>
      </c>
      <c r="B1763" s="80" t="s">
        <v>110</v>
      </c>
      <c r="C1763" s="81" t="s">
        <v>2119</v>
      </c>
      <c r="D1763" s="81" t="n">
        <v>16</v>
      </c>
      <c r="E1763" s="81" t="s">
        <v>2146</v>
      </c>
      <c r="F1763" s="82" t="str">
        <f aca="false">IF(E1763="","",IF(LEFT(E1763,2)="DJ","DJ","JN"))</f>
        <v>DJ</v>
      </c>
      <c r="G1763" s="81"/>
      <c r="H1763" s="81" t="s">
        <v>871</v>
      </c>
      <c r="I1763" s="81" t="n">
        <v>9.53</v>
      </c>
      <c r="J1763" s="81" t="s">
        <v>872</v>
      </c>
      <c r="K1763" s="81" t="s">
        <v>873</v>
      </c>
      <c r="L1763" s="81" t="n">
        <v>2091780</v>
      </c>
      <c r="M1763" s="81" t="n">
        <v>15421111</v>
      </c>
      <c r="N1763" s="81" t="n">
        <v>11.94</v>
      </c>
      <c r="O1763" s="81" t="n">
        <v>2083900</v>
      </c>
      <c r="P1763" s="81" t="n">
        <v>15421106</v>
      </c>
      <c r="Q1763" s="81" t="n">
        <v>11.94</v>
      </c>
      <c r="R1763" s="81" t="s">
        <v>1517</v>
      </c>
      <c r="S1763" s="81"/>
      <c r="T1763" s="81"/>
      <c r="U1763" s="83" t="n">
        <v>46257</v>
      </c>
      <c r="V1763" s="83" t="n">
        <v>46257</v>
      </c>
      <c r="W1763" s="81" t="s">
        <v>1560</v>
      </c>
      <c r="X1763" s="81" t="s">
        <v>876</v>
      </c>
      <c r="Y1763" s="83" t="n">
        <v>46260</v>
      </c>
      <c r="Z1763" s="81" t="s">
        <v>2112</v>
      </c>
      <c r="AA1763" s="81" t="s">
        <v>876</v>
      </c>
      <c r="AB1763" s="81"/>
      <c r="AC1763" s="81"/>
      <c r="AD1763" s="81"/>
      <c r="AE1763" s="83"/>
      <c r="AF1763" s="81"/>
      <c r="AG1763" s="81"/>
      <c r="AH1763" s="81"/>
      <c r="AI1763" s="81"/>
      <c r="AJ1763" s="83"/>
      <c r="AK1763" s="81"/>
      <c r="AL1763" s="81"/>
      <c r="AM1763" s="83"/>
      <c r="AN1763" s="80"/>
      <c r="AO1763" s="82" t="n">
        <f aca="false">IF(E1763="","",(AA1763&lt;&gt;"")+(AG1763&lt;&gt;"")+(AL1763&lt;&gt;""))</f>
        <v>1</v>
      </c>
      <c r="AP1763" s="82" t="str">
        <f aca="false">IF(AL1763&lt;&gt;"",AL1763,IF(AG1763&lt;&gt;"",AG1763,IF(AA1763&lt;&gt;"",AA1763,"")))</f>
        <v>A</v>
      </c>
      <c r="AQ1763" s="84" t="str">
        <f aca="false">IF(E1763="","",IF(U1763="","À SOUDER",IF(X1763="","VT EN ATTENTE",IF(X1763="R","VT REJETÉ – À REPRENDRE",IF(AP1763="","À RADIOGRAPHIER",IF(AP1763="A","ACCEPTÉ",IF(AP1763="NX","NX – RT À REFAIRE",IF(IF(AO1763=1,AD1763,IF(AO1763=2,AI1763,""))="A","RÉPARÉ – À RADIOGRAPHIER",IF(IF(AO1763=1,AD1763,IF(AO1763=2,AI1763,""))="R","VT REJETÉ – À REPRENDRE",IF(OR(AP1763="CO",AP1763="NT"),"COUPE – À RESOUDER","À RÉPARER"))))))))))</f>
        <v>ACCEPTÉ</v>
      </c>
      <c r="AR1763" s="82" t="str">
        <f aca="false">IF(AND(ISNUMBER(U1763),OR(AQ1763="À RADIOGRAPHIER",AQ1763="RÉPARÉ – À RADIOGRAPHIER",AQ1763="NX – RT À REFAIRE",AQ1763="À RÉPARER",AQ1763="COUPE – À RESOUDER",AQ1763="VT REJETÉ – À REPRENDRE")),MAX(0,'PROGRAMME RT'!$C$4-U1763),"")</f>
        <v/>
      </c>
      <c r="AS1763" s="82" t="n">
        <f aca="false">IF(AND(OR(AQ1763="À RADIOGRAPHIER",AQ1763="RÉPARÉ – À RADIOGRAPHIER",AQ1763="NX – RT À REFAIRE"),OR('PROGRAMME RT'!$D$5="TOUTES",B1763='PROGRAMME RT'!$D$5)),1,0)</f>
        <v>0</v>
      </c>
      <c r="AT1763" s="82" t="str">
        <f aca="false">IF(AS1763=1,SUM(AS$7:AS1763),"")</f>
        <v/>
      </c>
      <c r="AU1763" s="82" t="n">
        <f aca="false">IF(AND(OR(AA1763="R",AA1763="NX",AA1763="NT",AA1763="CO"),OR('JOINTS DE RÉPARATION'!$D$5="TOUTES",B1763='JOINTS DE RÉPARATION'!$D$5),OR('JOINTS DE RÉPARATION'!$L$4="TOUS",AQ1763&lt;&gt;"ACCEPTÉ")),1,0)</f>
        <v>0</v>
      </c>
      <c r="AV1763" s="82" t="str">
        <f aca="false">IF(AU1763=1,SUM(AU$7:AU1763),"")</f>
        <v/>
      </c>
      <c r="AW1763" s="82" t="str">
        <f aca="false">IF(E1763="","",B1763&amp;"|"&amp;E1763)</f>
        <v>MFD-ISW → MFD-CPF|DJ°104</v>
      </c>
    </row>
    <row r="1764" customFormat="false" ht="74.6" hidden="false" customHeight="false" outlineLevel="0" collapsed="false">
      <c r="A1764" s="79" t="n">
        <f aca="false">IF(E1764="","",ROW()-6)</f>
        <v>1758</v>
      </c>
      <c r="B1764" s="80" t="s">
        <v>110</v>
      </c>
      <c r="C1764" s="81" t="s">
        <v>2119</v>
      </c>
      <c r="D1764" s="81" t="n">
        <v>16</v>
      </c>
      <c r="E1764" s="81" t="s">
        <v>2147</v>
      </c>
      <c r="F1764" s="82" t="str">
        <f aca="false">IF(E1764="","",IF(LEFT(E1764,2)="DJ","DJ","JN"))</f>
        <v>JN</v>
      </c>
      <c r="G1764" s="81" t="s">
        <v>1504</v>
      </c>
      <c r="H1764" s="81" t="s">
        <v>871</v>
      </c>
      <c r="I1764" s="81" t="n">
        <v>9.53</v>
      </c>
      <c r="J1764" s="81" t="s">
        <v>872</v>
      </c>
      <c r="K1764" s="81" t="s">
        <v>879</v>
      </c>
      <c r="L1764" s="81" t="n">
        <v>2083900</v>
      </c>
      <c r="M1764" s="81" t="n">
        <v>15421106</v>
      </c>
      <c r="N1764" s="81" t="n">
        <v>11.94</v>
      </c>
      <c r="O1764" s="81" t="n">
        <v>2089500</v>
      </c>
      <c r="P1764" s="81" t="n">
        <v>15421109</v>
      </c>
      <c r="Q1764" s="81" t="n">
        <v>11.94</v>
      </c>
      <c r="R1764" s="81" t="s">
        <v>2097</v>
      </c>
      <c r="S1764" s="81"/>
      <c r="T1764" s="81"/>
      <c r="U1764" s="83" t="n">
        <v>46272</v>
      </c>
      <c r="V1764" s="83" t="n">
        <v>46272</v>
      </c>
      <c r="W1764" s="81" t="s">
        <v>2143</v>
      </c>
      <c r="X1764" s="81" t="s">
        <v>876</v>
      </c>
      <c r="Y1764" s="83" t="n">
        <v>46288</v>
      </c>
      <c r="Z1764" s="81" t="s">
        <v>2122</v>
      </c>
      <c r="AA1764" s="81" t="s">
        <v>876</v>
      </c>
      <c r="AB1764" s="81"/>
      <c r="AC1764" s="81"/>
      <c r="AD1764" s="81"/>
      <c r="AE1764" s="83"/>
      <c r="AF1764" s="81"/>
      <c r="AG1764" s="81"/>
      <c r="AH1764" s="81"/>
      <c r="AI1764" s="81"/>
      <c r="AJ1764" s="83"/>
      <c r="AK1764" s="81"/>
      <c r="AL1764" s="81"/>
      <c r="AM1764" s="83"/>
      <c r="AN1764" s="80"/>
      <c r="AO1764" s="82" t="n">
        <f aca="false">IF(E1764="","",(AA1764&lt;&gt;"")+(AG1764&lt;&gt;"")+(AL1764&lt;&gt;""))</f>
        <v>1</v>
      </c>
      <c r="AP1764" s="82" t="str">
        <f aca="false">IF(AL1764&lt;&gt;"",AL1764,IF(AG1764&lt;&gt;"",AG1764,IF(AA1764&lt;&gt;"",AA1764,"")))</f>
        <v>A</v>
      </c>
      <c r="AQ1764" s="84" t="str">
        <f aca="false">IF(E1764="","",IF(U1764="","À SOUDER",IF(X1764="","VT EN ATTENTE",IF(X1764="R","VT REJETÉ – À REPRENDRE",IF(AP1764="","À RADIOGRAPHIER",IF(AP1764="A","ACCEPTÉ",IF(AP1764="NX","NX – RT À REFAIRE",IF(IF(AO1764=1,AD1764,IF(AO1764=2,AI1764,""))="A","RÉPARÉ – À RADIOGRAPHIER",IF(IF(AO1764=1,AD1764,IF(AO1764=2,AI1764,""))="R","VT REJETÉ – À REPRENDRE",IF(OR(AP1764="CO",AP1764="NT"),"COUPE – À RESOUDER","À RÉPARER"))))))))))</f>
        <v>ACCEPTÉ</v>
      </c>
      <c r="AR1764" s="82" t="str">
        <f aca="false">IF(AND(ISNUMBER(U1764),OR(AQ1764="À RADIOGRAPHIER",AQ1764="RÉPARÉ – À RADIOGRAPHIER",AQ1764="NX – RT À REFAIRE",AQ1764="À RÉPARER",AQ1764="COUPE – À RESOUDER",AQ1764="VT REJETÉ – À REPRENDRE")),MAX(0,'PROGRAMME RT'!$C$4-U1764),"")</f>
        <v/>
      </c>
      <c r="AS1764" s="82" t="n">
        <f aca="false">IF(AND(OR(AQ1764="À RADIOGRAPHIER",AQ1764="RÉPARÉ – À RADIOGRAPHIER",AQ1764="NX – RT À REFAIRE"),OR('PROGRAMME RT'!$D$5="TOUTES",B1764='PROGRAMME RT'!$D$5)),1,0)</f>
        <v>0</v>
      </c>
      <c r="AT1764" s="82" t="str">
        <f aca="false">IF(AS1764=1,SUM(AS$7:AS1764),"")</f>
        <v/>
      </c>
      <c r="AU1764" s="82" t="n">
        <f aca="false">IF(AND(OR(AA1764="R",AA1764="NX",AA1764="NT",AA1764="CO"),OR('JOINTS DE RÉPARATION'!$D$5="TOUTES",B1764='JOINTS DE RÉPARATION'!$D$5),OR('JOINTS DE RÉPARATION'!$L$4="TOUS",AQ1764&lt;&gt;"ACCEPTÉ")),1,0)</f>
        <v>0</v>
      </c>
      <c r="AV1764" s="82" t="str">
        <f aca="false">IF(AU1764=1,SUM(AU$7:AU1764),"")</f>
        <v/>
      </c>
      <c r="AW1764" s="82" t="str">
        <f aca="false">IF(E1764="","",B1764&amp;"|"&amp;E1764)</f>
        <v>MFD-ISW → MFD-CPF|JN°1396</v>
      </c>
    </row>
    <row r="1765" customFormat="false" ht="74.6" hidden="false" customHeight="false" outlineLevel="0" collapsed="false">
      <c r="A1765" s="79" t="n">
        <f aca="false">IF(E1765="","",ROW()-6)</f>
        <v>1759</v>
      </c>
      <c r="B1765" s="80" t="s">
        <v>110</v>
      </c>
      <c r="C1765" s="81" t="s">
        <v>2119</v>
      </c>
      <c r="D1765" s="81" t="n">
        <v>16</v>
      </c>
      <c r="E1765" s="81" t="s">
        <v>2148</v>
      </c>
      <c r="F1765" s="82" t="str">
        <f aca="false">IF(E1765="","",IF(LEFT(E1765,2)="DJ","DJ","JN"))</f>
        <v>DJ</v>
      </c>
      <c r="G1765" s="81" t="s">
        <v>1504</v>
      </c>
      <c r="H1765" s="81" t="s">
        <v>871</v>
      </c>
      <c r="I1765" s="81" t="n">
        <v>9.53</v>
      </c>
      <c r="J1765" s="81" t="s">
        <v>872</v>
      </c>
      <c r="K1765" s="81" t="s">
        <v>873</v>
      </c>
      <c r="L1765" s="81" t="n">
        <v>2089500</v>
      </c>
      <c r="M1765" s="81" t="n">
        <v>15421109</v>
      </c>
      <c r="N1765" s="81" t="n">
        <v>11.94</v>
      </c>
      <c r="O1765" s="81" t="n">
        <v>2090520</v>
      </c>
      <c r="P1765" s="81" t="n">
        <v>15421109</v>
      </c>
      <c r="Q1765" s="81" t="n">
        <v>11.94</v>
      </c>
      <c r="R1765" s="81" t="s">
        <v>1147</v>
      </c>
      <c r="S1765" s="81"/>
      <c r="T1765" s="81"/>
      <c r="U1765" s="83" t="n">
        <v>46260</v>
      </c>
      <c r="V1765" s="83" t="n">
        <v>46260</v>
      </c>
      <c r="W1765" s="81" t="s">
        <v>2030</v>
      </c>
      <c r="X1765" s="81" t="s">
        <v>876</v>
      </c>
      <c r="Y1765" s="83" t="n">
        <v>46261</v>
      </c>
      <c r="Z1765" s="81" t="s">
        <v>2095</v>
      </c>
      <c r="AA1765" s="81" t="s">
        <v>876</v>
      </c>
      <c r="AB1765" s="81"/>
      <c r="AC1765" s="81"/>
      <c r="AD1765" s="81"/>
      <c r="AE1765" s="83"/>
      <c r="AF1765" s="81"/>
      <c r="AG1765" s="81"/>
      <c r="AH1765" s="81"/>
      <c r="AI1765" s="81"/>
      <c r="AJ1765" s="83"/>
      <c r="AK1765" s="81"/>
      <c r="AL1765" s="81"/>
      <c r="AM1765" s="83"/>
      <c r="AN1765" s="80"/>
      <c r="AO1765" s="82" t="n">
        <f aca="false">IF(E1765="","",(AA1765&lt;&gt;"")+(AG1765&lt;&gt;"")+(AL1765&lt;&gt;""))</f>
        <v>1</v>
      </c>
      <c r="AP1765" s="82" t="str">
        <f aca="false">IF(AL1765&lt;&gt;"",AL1765,IF(AG1765&lt;&gt;"",AG1765,IF(AA1765&lt;&gt;"",AA1765,"")))</f>
        <v>A</v>
      </c>
      <c r="AQ1765" s="84" t="str">
        <f aca="false">IF(E1765="","",IF(U1765="","À SOUDER",IF(X1765="","VT EN ATTENTE",IF(X1765="R","VT REJETÉ – À REPRENDRE",IF(AP1765="","À RADIOGRAPHIER",IF(AP1765="A","ACCEPTÉ",IF(AP1765="NX","NX – RT À REFAIRE",IF(IF(AO1765=1,AD1765,IF(AO1765=2,AI1765,""))="A","RÉPARÉ – À RADIOGRAPHIER",IF(IF(AO1765=1,AD1765,IF(AO1765=2,AI1765,""))="R","VT REJETÉ – À REPRENDRE",IF(OR(AP1765="CO",AP1765="NT"),"COUPE – À RESOUDER","À RÉPARER"))))))))))</f>
        <v>ACCEPTÉ</v>
      </c>
      <c r="AR1765" s="82" t="str">
        <f aca="false">IF(AND(ISNUMBER(U1765),OR(AQ1765="À RADIOGRAPHIER",AQ1765="RÉPARÉ – À RADIOGRAPHIER",AQ1765="NX – RT À REFAIRE",AQ1765="À RÉPARER",AQ1765="COUPE – À RESOUDER",AQ1765="VT REJETÉ – À REPRENDRE")),MAX(0,'PROGRAMME RT'!$C$4-U1765),"")</f>
        <v/>
      </c>
      <c r="AS1765" s="82" t="n">
        <f aca="false">IF(AND(OR(AQ1765="À RADIOGRAPHIER",AQ1765="RÉPARÉ – À RADIOGRAPHIER",AQ1765="NX – RT À REFAIRE"),OR('PROGRAMME RT'!$D$5="TOUTES",B1765='PROGRAMME RT'!$D$5)),1,0)</f>
        <v>0</v>
      </c>
      <c r="AT1765" s="82" t="str">
        <f aca="false">IF(AS1765=1,SUM(AS$7:AS1765),"")</f>
        <v/>
      </c>
      <c r="AU1765" s="82" t="n">
        <f aca="false">IF(AND(OR(AA1765="R",AA1765="NX",AA1765="NT",AA1765="CO"),OR('JOINTS DE RÉPARATION'!$D$5="TOUTES",B1765='JOINTS DE RÉPARATION'!$D$5),OR('JOINTS DE RÉPARATION'!$L$4="TOUS",AQ1765&lt;&gt;"ACCEPTÉ")),1,0)</f>
        <v>0</v>
      </c>
      <c r="AV1765" s="82" t="str">
        <f aca="false">IF(AU1765=1,SUM(AU$7:AU1765),"")</f>
        <v/>
      </c>
      <c r="AW1765" s="82" t="str">
        <f aca="false">IF(E1765="","",B1765&amp;"|"&amp;E1765)</f>
        <v>MFD-ISW → MFD-CPF|DJ°150</v>
      </c>
    </row>
    <row r="1766" customFormat="false" ht="74.6" hidden="false" customHeight="false" outlineLevel="0" collapsed="false">
      <c r="A1766" s="79" t="n">
        <f aca="false">IF(E1766="","",ROW()-6)</f>
        <v>1760</v>
      </c>
      <c r="B1766" s="80" t="s">
        <v>110</v>
      </c>
      <c r="C1766" s="81" t="s">
        <v>2119</v>
      </c>
      <c r="D1766" s="81" t="n">
        <v>16</v>
      </c>
      <c r="E1766" s="81" t="s">
        <v>2149</v>
      </c>
      <c r="F1766" s="82" t="str">
        <f aca="false">IF(E1766="","",IF(LEFT(E1766,2)="DJ","DJ","JN"))</f>
        <v>JN</v>
      </c>
      <c r="G1766" s="81" t="s">
        <v>1504</v>
      </c>
      <c r="H1766" s="81" t="s">
        <v>871</v>
      </c>
      <c r="I1766" s="81" t="n">
        <v>9.53</v>
      </c>
      <c r="J1766" s="81" t="s">
        <v>872</v>
      </c>
      <c r="K1766" s="81" t="s">
        <v>879</v>
      </c>
      <c r="L1766" s="81" t="n">
        <v>2090520</v>
      </c>
      <c r="M1766" s="81" t="n">
        <v>15421109</v>
      </c>
      <c r="N1766" s="81" t="n">
        <v>11.94</v>
      </c>
      <c r="O1766" s="81" t="n">
        <v>2083590</v>
      </c>
      <c r="P1766" s="81" t="n">
        <v>15421105</v>
      </c>
      <c r="Q1766" s="81" t="n">
        <v>11.94</v>
      </c>
      <c r="R1766" s="81" t="s">
        <v>2097</v>
      </c>
      <c r="S1766" s="81"/>
      <c r="T1766" s="81"/>
      <c r="U1766" s="83" t="n">
        <v>46271</v>
      </c>
      <c r="V1766" s="83" t="n">
        <v>46271</v>
      </c>
      <c r="W1766" s="81" t="s">
        <v>2150</v>
      </c>
      <c r="X1766" s="81" t="s">
        <v>876</v>
      </c>
      <c r="Y1766" s="83" t="n">
        <v>46288</v>
      </c>
      <c r="Z1766" s="81" t="s">
        <v>2122</v>
      </c>
      <c r="AA1766" s="81" t="s">
        <v>876</v>
      </c>
      <c r="AB1766" s="81"/>
      <c r="AC1766" s="81"/>
      <c r="AD1766" s="81"/>
      <c r="AE1766" s="83"/>
      <c r="AF1766" s="81"/>
      <c r="AG1766" s="81"/>
      <c r="AH1766" s="81"/>
      <c r="AI1766" s="81"/>
      <c r="AJ1766" s="83"/>
      <c r="AK1766" s="81"/>
      <c r="AL1766" s="81"/>
      <c r="AM1766" s="83"/>
      <c r="AN1766" s="80"/>
      <c r="AO1766" s="82" t="n">
        <f aca="false">IF(E1766="","",(AA1766&lt;&gt;"")+(AG1766&lt;&gt;"")+(AL1766&lt;&gt;""))</f>
        <v>1</v>
      </c>
      <c r="AP1766" s="82" t="str">
        <f aca="false">IF(AL1766&lt;&gt;"",AL1766,IF(AG1766&lt;&gt;"",AG1766,IF(AA1766&lt;&gt;"",AA1766,"")))</f>
        <v>A</v>
      </c>
      <c r="AQ1766" s="84" t="str">
        <f aca="false">IF(E1766="","",IF(U1766="","À SOUDER",IF(X1766="","VT EN ATTENTE",IF(X1766="R","VT REJETÉ – À REPRENDRE",IF(AP1766="","À RADIOGRAPHIER",IF(AP1766="A","ACCEPTÉ",IF(AP1766="NX","NX – RT À REFAIRE",IF(IF(AO1766=1,AD1766,IF(AO1766=2,AI1766,""))="A","RÉPARÉ – À RADIOGRAPHIER",IF(IF(AO1766=1,AD1766,IF(AO1766=2,AI1766,""))="R","VT REJETÉ – À REPRENDRE",IF(OR(AP1766="CO",AP1766="NT"),"COUPE – À RESOUDER","À RÉPARER"))))))))))</f>
        <v>ACCEPTÉ</v>
      </c>
      <c r="AR1766" s="82" t="str">
        <f aca="false">IF(AND(ISNUMBER(U1766),OR(AQ1766="À RADIOGRAPHIER",AQ1766="RÉPARÉ – À RADIOGRAPHIER",AQ1766="NX – RT À REFAIRE",AQ1766="À RÉPARER",AQ1766="COUPE – À RESOUDER",AQ1766="VT REJETÉ – À REPRENDRE")),MAX(0,'PROGRAMME RT'!$C$4-U1766),"")</f>
        <v/>
      </c>
      <c r="AS1766" s="82" t="n">
        <f aca="false">IF(AND(OR(AQ1766="À RADIOGRAPHIER",AQ1766="RÉPARÉ – À RADIOGRAPHIER",AQ1766="NX – RT À REFAIRE"),OR('PROGRAMME RT'!$D$5="TOUTES",B1766='PROGRAMME RT'!$D$5)),1,0)</f>
        <v>0</v>
      </c>
      <c r="AT1766" s="82" t="str">
        <f aca="false">IF(AS1766=1,SUM(AS$7:AS1766),"")</f>
        <v/>
      </c>
      <c r="AU1766" s="82" t="n">
        <f aca="false">IF(AND(OR(AA1766="R",AA1766="NX",AA1766="NT",AA1766="CO"),OR('JOINTS DE RÉPARATION'!$D$5="TOUTES",B1766='JOINTS DE RÉPARATION'!$D$5),OR('JOINTS DE RÉPARATION'!$L$4="TOUS",AQ1766&lt;&gt;"ACCEPTÉ")),1,0)</f>
        <v>0</v>
      </c>
      <c r="AV1766" s="82" t="str">
        <f aca="false">IF(AU1766=1,SUM(AU$7:AU1766),"")</f>
        <v/>
      </c>
      <c r="AW1766" s="82" t="str">
        <f aca="false">IF(E1766="","",B1766&amp;"|"&amp;E1766)</f>
        <v>MFD-ISW → MFD-CPF|JN°1397</v>
      </c>
    </row>
    <row r="1767" customFormat="false" ht="74.6" hidden="false" customHeight="false" outlineLevel="0" collapsed="false">
      <c r="A1767" s="79" t="n">
        <f aca="false">IF(E1767="","",ROW()-6)</f>
        <v>1761</v>
      </c>
      <c r="B1767" s="80" t="s">
        <v>110</v>
      </c>
      <c r="C1767" s="81" t="s">
        <v>2119</v>
      </c>
      <c r="D1767" s="81" t="n">
        <v>16</v>
      </c>
      <c r="E1767" s="81" t="s">
        <v>2151</v>
      </c>
      <c r="F1767" s="82" t="str">
        <f aca="false">IF(E1767="","",IF(LEFT(E1767,2)="DJ","DJ","JN"))</f>
        <v>DJ</v>
      </c>
      <c r="G1767" s="81" t="s">
        <v>1504</v>
      </c>
      <c r="H1767" s="81" t="s">
        <v>871</v>
      </c>
      <c r="I1767" s="81" t="n">
        <v>9.53</v>
      </c>
      <c r="J1767" s="81" t="s">
        <v>872</v>
      </c>
      <c r="K1767" s="81" t="s">
        <v>873</v>
      </c>
      <c r="L1767" s="81" t="n">
        <v>2083590</v>
      </c>
      <c r="M1767" s="81" t="n">
        <v>15421105</v>
      </c>
      <c r="N1767" s="81" t="n">
        <v>11.94</v>
      </c>
      <c r="O1767" s="81" t="n">
        <v>2094640</v>
      </c>
      <c r="P1767" s="81" t="n">
        <v>15421111</v>
      </c>
      <c r="Q1767" s="81" t="n">
        <v>11.94</v>
      </c>
      <c r="R1767" s="81" t="s">
        <v>963</v>
      </c>
      <c r="S1767" s="81"/>
      <c r="T1767" s="81"/>
      <c r="U1767" s="83" t="n">
        <v>46260</v>
      </c>
      <c r="V1767" s="83" t="n">
        <v>46260</v>
      </c>
      <c r="W1767" s="81" t="s">
        <v>2030</v>
      </c>
      <c r="X1767" s="81" t="s">
        <v>876</v>
      </c>
      <c r="Y1767" s="83" t="n">
        <v>46261</v>
      </c>
      <c r="Z1767" s="81" t="s">
        <v>2095</v>
      </c>
      <c r="AA1767" s="81" t="s">
        <v>876</v>
      </c>
      <c r="AB1767" s="81"/>
      <c r="AC1767" s="81"/>
      <c r="AD1767" s="81"/>
      <c r="AE1767" s="83"/>
      <c r="AF1767" s="81"/>
      <c r="AG1767" s="81"/>
      <c r="AH1767" s="81"/>
      <c r="AI1767" s="81"/>
      <c r="AJ1767" s="83"/>
      <c r="AK1767" s="81"/>
      <c r="AL1767" s="81"/>
      <c r="AM1767" s="83"/>
      <c r="AN1767" s="80"/>
      <c r="AO1767" s="82" t="n">
        <f aca="false">IF(E1767="","",(AA1767&lt;&gt;"")+(AG1767&lt;&gt;"")+(AL1767&lt;&gt;""))</f>
        <v>1</v>
      </c>
      <c r="AP1767" s="82" t="str">
        <f aca="false">IF(AL1767&lt;&gt;"",AL1767,IF(AG1767&lt;&gt;"",AG1767,IF(AA1767&lt;&gt;"",AA1767,"")))</f>
        <v>A</v>
      </c>
      <c r="AQ1767" s="84" t="str">
        <f aca="false">IF(E1767="","",IF(U1767="","À SOUDER",IF(X1767="","VT EN ATTENTE",IF(X1767="R","VT REJETÉ – À REPRENDRE",IF(AP1767="","À RADIOGRAPHIER",IF(AP1767="A","ACCEPTÉ",IF(AP1767="NX","NX – RT À REFAIRE",IF(IF(AO1767=1,AD1767,IF(AO1767=2,AI1767,""))="A","RÉPARÉ – À RADIOGRAPHIER",IF(IF(AO1767=1,AD1767,IF(AO1767=2,AI1767,""))="R","VT REJETÉ – À REPRENDRE",IF(OR(AP1767="CO",AP1767="NT"),"COUPE – À RESOUDER","À RÉPARER"))))))))))</f>
        <v>ACCEPTÉ</v>
      </c>
      <c r="AR1767" s="82" t="str">
        <f aca="false">IF(AND(ISNUMBER(U1767),OR(AQ1767="À RADIOGRAPHIER",AQ1767="RÉPARÉ – À RADIOGRAPHIER",AQ1767="NX – RT À REFAIRE",AQ1767="À RÉPARER",AQ1767="COUPE – À RESOUDER",AQ1767="VT REJETÉ – À REPRENDRE")),MAX(0,'PROGRAMME RT'!$C$4-U1767),"")</f>
        <v/>
      </c>
      <c r="AS1767" s="82" t="n">
        <f aca="false">IF(AND(OR(AQ1767="À RADIOGRAPHIER",AQ1767="RÉPARÉ – À RADIOGRAPHIER",AQ1767="NX – RT À REFAIRE"),OR('PROGRAMME RT'!$D$5="TOUTES",B1767='PROGRAMME RT'!$D$5)),1,0)</f>
        <v>0</v>
      </c>
      <c r="AT1767" s="82" t="str">
        <f aca="false">IF(AS1767=1,SUM(AS$7:AS1767),"")</f>
        <v/>
      </c>
      <c r="AU1767" s="82" t="n">
        <f aca="false">IF(AND(OR(AA1767="R",AA1767="NX",AA1767="NT",AA1767="CO"),OR('JOINTS DE RÉPARATION'!$D$5="TOUTES",B1767='JOINTS DE RÉPARATION'!$D$5),OR('JOINTS DE RÉPARATION'!$L$4="TOUS",AQ1767&lt;&gt;"ACCEPTÉ")),1,0)</f>
        <v>0</v>
      </c>
      <c r="AV1767" s="82" t="str">
        <f aca="false">IF(AU1767=1,SUM(AU$7:AU1767),"")</f>
        <v/>
      </c>
      <c r="AW1767" s="82" t="str">
        <f aca="false">IF(E1767="","",B1767&amp;"|"&amp;E1767)</f>
        <v>MFD-ISW → MFD-CPF|DJ°151</v>
      </c>
    </row>
    <row r="1768" customFormat="false" ht="74.6" hidden="false" customHeight="false" outlineLevel="0" collapsed="false">
      <c r="A1768" s="79" t="n">
        <f aca="false">IF(E1768="","",ROW()-6)</f>
        <v>1762</v>
      </c>
      <c r="B1768" s="80" t="s">
        <v>110</v>
      </c>
      <c r="C1768" s="81" t="s">
        <v>2119</v>
      </c>
      <c r="D1768" s="81" t="n">
        <v>16</v>
      </c>
      <c r="E1768" s="81" t="s">
        <v>2152</v>
      </c>
      <c r="F1768" s="82" t="str">
        <f aca="false">IF(E1768="","",IF(LEFT(E1768,2)="DJ","DJ","JN"))</f>
        <v>JN</v>
      </c>
      <c r="G1768" s="81" t="s">
        <v>1504</v>
      </c>
      <c r="H1768" s="81" t="s">
        <v>871</v>
      </c>
      <c r="I1768" s="81" t="n">
        <v>9.53</v>
      </c>
      <c r="J1768" s="81" t="s">
        <v>872</v>
      </c>
      <c r="K1768" s="81" t="s">
        <v>879</v>
      </c>
      <c r="L1768" s="81" t="n">
        <v>2094640</v>
      </c>
      <c r="M1768" s="81" t="n">
        <v>15421111</v>
      </c>
      <c r="N1768" s="81" t="n">
        <v>11.94</v>
      </c>
      <c r="O1768" s="81" t="n">
        <v>2084790</v>
      </c>
      <c r="P1768" s="81" t="n">
        <v>15421106</v>
      </c>
      <c r="Q1768" s="81" t="n">
        <v>11.94</v>
      </c>
      <c r="R1768" s="81" t="s">
        <v>2097</v>
      </c>
      <c r="S1768" s="81"/>
      <c r="T1768" s="81"/>
      <c r="U1768" s="83" t="n">
        <v>46271</v>
      </c>
      <c r="V1768" s="83" t="n">
        <v>46271</v>
      </c>
      <c r="W1768" s="81" t="s">
        <v>2150</v>
      </c>
      <c r="X1768" s="81" t="s">
        <v>876</v>
      </c>
      <c r="Y1768" s="83" t="n">
        <v>46288</v>
      </c>
      <c r="Z1768" s="81" t="s">
        <v>2122</v>
      </c>
      <c r="AA1768" s="81" t="s">
        <v>876</v>
      </c>
      <c r="AB1768" s="81"/>
      <c r="AC1768" s="81"/>
      <c r="AD1768" s="81"/>
      <c r="AE1768" s="83"/>
      <c r="AF1768" s="81"/>
      <c r="AG1768" s="81"/>
      <c r="AH1768" s="81"/>
      <c r="AI1768" s="81"/>
      <c r="AJ1768" s="83"/>
      <c r="AK1768" s="81"/>
      <c r="AL1768" s="81"/>
      <c r="AM1768" s="83"/>
      <c r="AN1768" s="80"/>
      <c r="AO1768" s="82" t="n">
        <f aca="false">IF(E1768="","",(AA1768&lt;&gt;"")+(AG1768&lt;&gt;"")+(AL1768&lt;&gt;""))</f>
        <v>1</v>
      </c>
      <c r="AP1768" s="82" t="str">
        <f aca="false">IF(AL1768&lt;&gt;"",AL1768,IF(AG1768&lt;&gt;"",AG1768,IF(AA1768&lt;&gt;"",AA1768,"")))</f>
        <v>A</v>
      </c>
      <c r="AQ1768" s="84" t="str">
        <f aca="false">IF(E1768="","",IF(U1768="","À SOUDER",IF(X1768="","VT EN ATTENTE",IF(X1768="R","VT REJETÉ – À REPRENDRE",IF(AP1768="","À RADIOGRAPHIER",IF(AP1768="A","ACCEPTÉ",IF(AP1768="NX","NX – RT À REFAIRE",IF(IF(AO1768=1,AD1768,IF(AO1768=2,AI1768,""))="A","RÉPARÉ – À RADIOGRAPHIER",IF(IF(AO1768=1,AD1768,IF(AO1768=2,AI1768,""))="R","VT REJETÉ – À REPRENDRE",IF(OR(AP1768="CO",AP1768="NT"),"COUPE – À RESOUDER","À RÉPARER"))))))))))</f>
        <v>ACCEPTÉ</v>
      </c>
      <c r="AR1768" s="82" t="str">
        <f aca="false">IF(AND(ISNUMBER(U1768),OR(AQ1768="À RADIOGRAPHIER",AQ1768="RÉPARÉ – À RADIOGRAPHIER",AQ1768="NX – RT À REFAIRE",AQ1768="À RÉPARER",AQ1768="COUPE – À RESOUDER",AQ1768="VT REJETÉ – À REPRENDRE")),MAX(0,'PROGRAMME RT'!$C$4-U1768),"")</f>
        <v/>
      </c>
      <c r="AS1768" s="82" t="n">
        <f aca="false">IF(AND(OR(AQ1768="À RADIOGRAPHIER",AQ1768="RÉPARÉ – À RADIOGRAPHIER",AQ1768="NX – RT À REFAIRE"),OR('PROGRAMME RT'!$D$5="TOUTES",B1768='PROGRAMME RT'!$D$5)),1,0)</f>
        <v>0</v>
      </c>
      <c r="AT1768" s="82" t="str">
        <f aca="false">IF(AS1768=1,SUM(AS$7:AS1768),"")</f>
        <v/>
      </c>
      <c r="AU1768" s="82" t="n">
        <f aca="false">IF(AND(OR(AA1768="R",AA1768="NX",AA1768="NT",AA1768="CO"),OR('JOINTS DE RÉPARATION'!$D$5="TOUTES",B1768='JOINTS DE RÉPARATION'!$D$5),OR('JOINTS DE RÉPARATION'!$L$4="TOUS",AQ1768&lt;&gt;"ACCEPTÉ")),1,0)</f>
        <v>0</v>
      </c>
      <c r="AV1768" s="82" t="str">
        <f aca="false">IF(AU1768=1,SUM(AU$7:AU1768),"")</f>
        <v/>
      </c>
      <c r="AW1768" s="82" t="str">
        <f aca="false">IF(E1768="","",B1768&amp;"|"&amp;E1768)</f>
        <v>MFD-ISW → MFD-CPF|JN°1398</v>
      </c>
    </row>
    <row r="1769" customFormat="false" ht="74.6" hidden="false" customHeight="false" outlineLevel="0" collapsed="false">
      <c r="A1769" s="79" t="n">
        <f aca="false">IF(E1769="","",ROW()-6)</f>
        <v>1763</v>
      </c>
      <c r="B1769" s="80" t="s">
        <v>110</v>
      </c>
      <c r="C1769" s="81" t="s">
        <v>2119</v>
      </c>
      <c r="D1769" s="81" t="n">
        <v>16</v>
      </c>
      <c r="E1769" s="81" t="s">
        <v>2153</v>
      </c>
      <c r="F1769" s="82" t="str">
        <f aca="false">IF(E1769="","",IF(LEFT(E1769,2)="DJ","DJ","JN"))</f>
        <v>DJ</v>
      </c>
      <c r="G1769" s="81" t="s">
        <v>1504</v>
      </c>
      <c r="H1769" s="81" t="s">
        <v>871</v>
      </c>
      <c r="I1769" s="81" t="n">
        <v>9.53</v>
      </c>
      <c r="J1769" s="81" t="s">
        <v>872</v>
      </c>
      <c r="K1769" s="81" t="s">
        <v>873</v>
      </c>
      <c r="L1769" s="81" t="n">
        <v>2084790</v>
      </c>
      <c r="M1769" s="81" t="n">
        <v>15421106</v>
      </c>
      <c r="N1769" s="81" t="n">
        <v>11.94</v>
      </c>
      <c r="O1769" s="81" t="n">
        <v>2090820</v>
      </c>
      <c r="P1769" s="81" t="n">
        <v>15421109</v>
      </c>
      <c r="Q1769" s="81" t="n">
        <v>11.94</v>
      </c>
      <c r="R1769" s="81" t="s">
        <v>1147</v>
      </c>
      <c r="S1769" s="81"/>
      <c r="T1769" s="81"/>
      <c r="U1769" s="83" t="n">
        <v>46260</v>
      </c>
      <c r="V1769" s="83" t="n">
        <v>46260</v>
      </c>
      <c r="W1769" s="81" t="s">
        <v>2030</v>
      </c>
      <c r="X1769" s="81" t="s">
        <v>876</v>
      </c>
      <c r="Y1769" s="83" t="n">
        <v>46262</v>
      </c>
      <c r="Z1769" s="81" t="s">
        <v>2090</v>
      </c>
      <c r="AA1769" s="81" t="s">
        <v>876</v>
      </c>
      <c r="AB1769" s="81"/>
      <c r="AC1769" s="81"/>
      <c r="AD1769" s="81"/>
      <c r="AE1769" s="83"/>
      <c r="AF1769" s="81"/>
      <c r="AG1769" s="81"/>
      <c r="AH1769" s="81"/>
      <c r="AI1769" s="81"/>
      <c r="AJ1769" s="83"/>
      <c r="AK1769" s="81"/>
      <c r="AL1769" s="81"/>
      <c r="AM1769" s="83"/>
      <c r="AN1769" s="80"/>
      <c r="AO1769" s="82" t="n">
        <f aca="false">IF(E1769="","",(AA1769&lt;&gt;"")+(AG1769&lt;&gt;"")+(AL1769&lt;&gt;""))</f>
        <v>1</v>
      </c>
      <c r="AP1769" s="82" t="str">
        <f aca="false">IF(AL1769&lt;&gt;"",AL1769,IF(AG1769&lt;&gt;"",AG1769,IF(AA1769&lt;&gt;"",AA1769,"")))</f>
        <v>A</v>
      </c>
      <c r="AQ1769" s="84" t="str">
        <f aca="false">IF(E1769="","",IF(U1769="","À SOUDER",IF(X1769="","VT EN ATTENTE",IF(X1769="R","VT REJETÉ – À REPRENDRE",IF(AP1769="","À RADIOGRAPHIER",IF(AP1769="A","ACCEPTÉ",IF(AP1769="NX","NX – RT À REFAIRE",IF(IF(AO1769=1,AD1769,IF(AO1769=2,AI1769,""))="A","RÉPARÉ – À RADIOGRAPHIER",IF(IF(AO1769=1,AD1769,IF(AO1769=2,AI1769,""))="R","VT REJETÉ – À REPRENDRE",IF(OR(AP1769="CO",AP1769="NT"),"COUPE – À RESOUDER","À RÉPARER"))))))))))</f>
        <v>ACCEPTÉ</v>
      </c>
      <c r="AR1769" s="82" t="str">
        <f aca="false">IF(AND(ISNUMBER(U1769),OR(AQ1769="À RADIOGRAPHIER",AQ1769="RÉPARÉ – À RADIOGRAPHIER",AQ1769="NX – RT À REFAIRE",AQ1769="À RÉPARER",AQ1769="COUPE – À RESOUDER",AQ1769="VT REJETÉ – À REPRENDRE")),MAX(0,'PROGRAMME RT'!$C$4-U1769),"")</f>
        <v/>
      </c>
      <c r="AS1769" s="82" t="n">
        <f aca="false">IF(AND(OR(AQ1769="À RADIOGRAPHIER",AQ1769="RÉPARÉ – À RADIOGRAPHIER",AQ1769="NX – RT À REFAIRE"),OR('PROGRAMME RT'!$D$5="TOUTES",B1769='PROGRAMME RT'!$D$5)),1,0)</f>
        <v>0</v>
      </c>
      <c r="AT1769" s="82" t="str">
        <f aca="false">IF(AS1769=1,SUM(AS$7:AS1769),"")</f>
        <v/>
      </c>
      <c r="AU1769" s="82" t="n">
        <f aca="false">IF(AND(OR(AA1769="R",AA1769="NX",AA1769="NT",AA1769="CO"),OR('JOINTS DE RÉPARATION'!$D$5="TOUTES",B1769='JOINTS DE RÉPARATION'!$D$5),OR('JOINTS DE RÉPARATION'!$L$4="TOUS",AQ1769&lt;&gt;"ACCEPTÉ")),1,0)</f>
        <v>0</v>
      </c>
      <c r="AV1769" s="82" t="str">
        <f aca="false">IF(AU1769=1,SUM(AU$7:AU1769),"")</f>
        <v/>
      </c>
      <c r="AW1769" s="82" t="str">
        <f aca="false">IF(E1769="","",B1769&amp;"|"&amp;E1769)</f>
        <v>MFD-ISW → MFD-CPF|DJ°153</v>
      </c>
    </row>
    <row r="1770" customFormat="false" ht="74.6" hidden="false" customHeight="false" outlineLevel="0" collapsed="false">
      <c r="A1770" s="79" t="n">
        <f aca="false">IF(E1770="","",ROW()-6)</f>
        <v>1764</v>
      </c>
      <c r="B1770" s="80" t="s">
        <v>110</v>
      </c>
      <c r="C1770" s="81" t="s">
        <v>2119</v>
      </c>
      <c r="D1770" s="81" t="n">
        <v>16</v>
      </c>
      <c r="E1770" s="81" t="s">
        <v>2154</v>
      </c>
      <c r="F1770" s="82" t="str">
        <f aca="false">IF(E1770="","",IF(LEFT(E1770,2)="DJ","DJ","JN"))</f>
        <v>JN</v>
      </c>
      <c r="G1770" s="81" t="s">
        <v>1504</v>
      </c>
      <c r="H1770" s="81" t="s">
        <v>871</v>
      </c>
      <c r="I1770" s="81" t="n">
        <v>9.53</v>
      </c>
      <c r="J1770" s="81" t="s">
        <v>872</v>
      </c>
      <c r="K1770" s="81" t="s">
        <v>879</v>
      </c>
      <c r="L1770" s="81" t="n">
        <v>2090820</v>
      </c>
      <c r="M1770" s="81" t="n">
        <v>15421109</v>
      </c>
      <c r="N1770" s="81" t="n">
        <v>11.94</v>
      </c>
      <c r="O1770" s="81" t="n">
        <v>2080030</v>
      </c>
      <c r="P1770" s="81" t="n">
        <v>15421102</v>
      </c>
      <c r="Q1770" s="81" t="n">
        <v>11.94</v>
      </c>
      <c r="R1770" s="81" t="s">
        <v>2097</v>
      </c>
      <c r="S1770" s="81"/>
      <c r="T1770" s="81"/>
      <c r="U1770" s="83" t="n">
        <v>46271</v>
      </c>
      <c r="V1770" s="83" t="n">
        <v>46271</v>
      </c>
      <c r="W1770" s="81" t="s">
        <v>2150</v>
      </c>
      <c r="X1770" s="81" t="s">
        <v>876</v>
      </c>
      <c r="Y1770" s="83" t="n">
        <v>46288</v>
      </c>
      <c r="Z1770" s="81" t="s">
        <v>2122</v>
      </c>
      <c r="AA1770" s="81" t="s">
        <v>876</v>
      </c>
      <c r="AB1770" s="81"/>
      <c r="AC1770" s="81"/>
      <c r="AD1770" s="81"/>
      <c r="AE1770" s="83"/>
      <c r="AF1770" s="81"/>
      <c r="AG1770" s="81"/>
      <c r="AH1770" s="81"/>
      <c r="AI1770" s="81"/>
      <c r="AJ1770" s="83"/>
      <c r="AK1770" s="81"/>
      <c r="AL1770" s="81"/>
      <c r="AM1770" s="83"/>
      <c r="AN1770" s="80"/>
      <c r="AO1770" s="82" t="n">
        <f aca="false">IF(E1770="","",(AA1770&lt;&gt;"")+(AG1770&lt;&gt;"")+(AL1770&lt;&gt;""))</f>
        <v>1</v>
      </c>
      <c r="AP1770" s="82" t="str">
        <f aca="false">IF(AL1770&lt;&gt;"",AL1770,IF(AG1770&lt;&gt;"",AG1770,IF(AA1770&lt;&gt;"",AA1770,"")))</f>
        <v>A</v>
      </c>
      <c r="AQ1770" s="84" t="str">
        <f aca="false">IF(E1770="","",IF(U1770="","À SOUDER",IF(X1770="","VT EN ATTENTE",IF(X1770="R","VT REJETÉ – À REPRENDRE",IF(AP1770="","À RADIOGRAPHIER",IF(AP1770="A","ACCEPTÉ",IF(AP1770="NX","NX – RT À REFAIRE",IF(IF(AO1770=1,AD1770,IF(AO1770=2,AI1770,""))="A","RÉPARÉ – À RADIOGRAPHIER",IF(IF(AO1770=1,AD1770,IF(AO1770=2,AI1770,""))="R","VT REJETÉ – À REPRENDRE",IF(OR(AP1770="CO",AP1770="NT"),"COUPE – À RESOUDER","À RÉPARER"))))))))))</f>
        <v>ACCEPTÉ</v>
      </c>
      <c r="AR1770" s="82" t="str">
        <f aca="false">IF(AND(ISNUMBER(U1770),OR(AQ1770="À RADIOGRAPHIER",AQ1770="RÉPARÉ – À RADIOGRAPHIER",AQ1770="NX – RT À REFAIRE",AQ1770="À RÉPARER",AQ1770="COUPE – À RESOUDER",AQ1770="VT REJETÉ – À REPRENDRE")),MAX(0,'PROGRAMME RT'!$C$4-U1770),"")</f>
        <v/>
      </c>
      <c r="AS1770" s="82" t="n">
        <f aca="false">IF(AND(OR(AQ1770="À RADIOGRAPHIER",AQ1770="RÉPARÉ – À RADIOGRAPHIER",AQ1770="NX – RT À REFAIRE"),OR('PROGRAMME RT'!$D$5="TOUTES",B1770='PROGRAMME RT'!$D$5)),1,0)</f>
        <v>0</v>
      </c>
      <c r="AT1770" s="82" t="str">
        <f aca="false">IF(AS1770=1,SUM(AS$7:AS1770),"")</f>
        <v/>
      </c>
      <c r="AU1770" s="82" t="n">
        <f aca="false">IF(AND(OR(AA1770="R",AA1770="NX",AA1770="NT",AA1770="CO"),OR('JOINTS DE RÉPARATION'!$D$5="TOUTES",B1770='JOINTS DE RÉPARATION'!$D$5),OR('JOINTS DE RÉPARATION'!$L$4="TOUS",AQ1770&lt;&gt;"ACCEPTÉ")),1,0)</f>
        <v>0</v>
      </c>
      <c r="AV1770" s="82" t="str">
        <f aca="false">IF(AU1770=1,SUM(AU$7:AU1770),"")</f>
        <v/>
      </c>
      <c r="AW1770" s="82" t="str">
        <f aca="false">IF(E1770="","",B1770&amp;"|"&amp;E1770)</f>
        <v>MFD-ISW → MFD-CPF|JN°1399</v>
      </c>
    </row>
    <row r="1771" customFormat="false" ht="74.6" hidden="false" customHeight="false" outlineLevel="0" collapsed="false">
      <c r="A1771" s="79" t="n">
        <f aca="false">IF(E1771="","",ROW()-6)</f>
        <v>1765</v>
      </c>
      <c r="B1771" s="80" t="s">
        <v>110</v>
      </c>
      <c r="C1771" s="81" t="s">
        <v>2119</v>
      </c>
      <c r="D1771" s="81" t="n">
        <v>16</v>
      </c>
      <c r="E1771" s="81" t="s">
        <v>2155</v>
      </c>
      <c r="F1771" s="82" t="str">
        <f aca="false">IF(E1771="","",IF(LEFT(E1771,2)="DJ","DJ","JN"))</f>
        <v>DJ</v>
      </c>
      <c r="G1771" s="81" t="s">
        <v>1504</v>
      </c>
      <c r="H1771" s="81" t="s">
        <v>871</v>
      </c>
      <c r="I1771" s="81" t="n">
        <v>9.53</v>
      </c>
      <c r="J1771" s="81" t="s">
        <v>872</v>
      </c>
      <c r="K1771" s="81" t="s">
        <v>873</v>
      </c>
      <c r="L1771" s="81" t="n">
        <v>2080030</v>
      </c>
      <c r="M1771" s="81" t="n">
        <v>15421102</v>
      </c>
      <c r="N1771" s="81" t="n">
        <v>11.94</v>
      </c>
      <c r="O1771" s="81" t="n">
        <v>2089050</v>
      </c>
      <c r="P1771" s="81" t="n">
        <v>15421108</v>
      </c>
      <c r="Q1771" s="81" t="n">
        <v>11.94</v>
      </c>
      <c r="R1771" s="81" t="s">
        <v>1135</v>
      </c>
      <c r="S1771" s="81"/>
      <c r="T1771" s="81"/>
      <c r="U1771" s="83" t="n">
        <v>46260</v>
      </c>
      <c r="V1771" s="83" t="n">
        <v>46260</v>
      </c>
      <c r="W1771" s="81" t="s">
        <v>2030</v>
      </c>
      <c r="X1771" s="81" t="s">
        <v>876</v>
      </c>
      <c r="Y1771" s="83" t="n">
        <v>46261</v>
      </c>
      <c r="Z1771" s="81" t="s">
        <v>2095</v>
      </c>
      <c r="AA1771" s="81" t="s">
        <v>876</v>
      </c>
      <c r="AB1771" s="81"/>
      <c r="AC1771" s="81"/>
      <c r="AD1771" s="81"/>
      <c r="AE1771" s="83"/>
      <c r="AF1771" s="81"/>
      <c r="AG1771" s="81"/>
      <c r="AH1771" s="81"/>
      <c r="AI1771" s="81"/>
      <c r="AJ1771" s="83"/>
      <c r="AK1771" s="81"/>
      <c r="AL1771" s="81"/>
      <c r="AM1771" s="83"/>
      <c r="AN1771" s="80"/>
      <c r="AO1771" s="82" t="n">
        <f aca="false">IF(E1771="","",(AA1771&lt;&gt;"")+(AG1771&lt;&gt;"")+(AL1771&lt;&gt;""))</f>
        <v>1</v>
      </c>
      <c r="AP1771" s="82" t="str">
        <f aca="false">IF(AL1771&lt;&gt;"",AL1771,IF(AG1771&lt;&gt;"",AG1771,IF(AA1771&lt;&gt;"",AA1771,"")))</f>
        <v>A</v>
      </c>
      <c r="AQ1771" s="84" t="str">
        <f aca="false">IF(E1771="","",IF(U1771="","À SOUDER",IF(X1771="","VT EN ATTENTE",IF(X1771="R","VT REJETÉ – À REPRENDRE",IF(AP1771="","À RADIOGRAPHIER",IF(AP1771="A","ACCEPTÉ",IF(AP1771="NX","NX – RT À REFAIRE",IF(IF(AO1771=1,AD1771,IF(AO1771=2,AI1771,""))="A","RÉPARÉ – À RADIOGRAPHIER",IF(IF(AO1771=1,AD1771,IF(AO1771=2,AI1771,""))="R","VT REJETÉ – À REPRENDRE",IF(OR(AP1771="CO",AP1771="NT"),"COUPE – À RESOUDER","À RÉPARER"))))))))))</f>
        <v>ACCEPTÉ</v>
      </c>
      <c r="AR1771" s="82" t="str">
        <f aca="false">IF(AND(ISNUMBER(U1771),OR(AQ1771="À RADIOGRAPHIER",AQ1771="RÉPARÉ – À RADIOGRAPHIER",AQ1771="NX – RT À REFAIRE",AQ1771="À RÉPARER",AQ1771="COUPE – À RESOUDER",AQ1771="VT REJETÉ – À REPRENDRE")),MAX(0,'PROGRAMME RT'!$C$4-U1771),"")</f>
        <v/>
      </c>
      <c r="AS1771" s="82" t="n">
        <f aca="false">IF(AND(OR(AQ1771="À RADIOGRAPHIER",AQ1771="RÉPARÉ – À RADIOGRAPHIER",AQ1771="NX – RT À REFAIRE"),OR('PROGRAMME RT'!$D$5="TOUTES",B1771='PROGRAMME RT'!$D$5)),1,0)</f>
        <v>0</v>
      </c>
      <c r="AT1771" s="82" t="str">
        <f aca="false">IF(AS1771=1,SUM(AS$7:AS1771),"")</f>
        <v/>
      </c>
      <c r="AU1771" s="82" t="n">
        <f aca="false">IF(AND(OR(AA1771="R",AA1771="NX",AA1771="NT",AA1771="CO"),OR('JOINTS DE RÉPARATION'!$D$5="TOUTES",B1771='JOINTS DE RÉPARATION'!$D$5),OR('JOINTS DE RÉPARATION'!$L$4="TOUS",AQ1771&lt;&gt;"ACCEPTÉ")),1,0)</f>
        <v>0</v>
      </c>
      <c r="AV1771" s="82" t="str">
        <f aca="false">IF(AU1771=1,SUM(AU$7:AU1771),"")</f>
        <v/>
      </c>
      <c r="AW1771" s="82" t="str">
        <f aca="false">IF(E1771="","",B1771&amp;"|"&amp;E1771)</f>
        <v>MFD-ISW → MFD-CPF|DJ°152</v>
      </c>
    </row>
    <row r="1772" customFormat="false" ht="74.6" hidden="false" customHeight="false" outlineLevel="0" collapsed="false">
      <c r="A1772" s="79" t="n">
        <f aca="false">IF(E1772="","",ROW()-6)</f>
        <v>1766</v>
      </c>
      <c r="B1772" s="80" t="s">
        <v>110</v>
      </c>
      <c r="C1772" s="81" t="s">
        <v>2119</v>
      </c>
      <c r="D1772" s="81" t="n">
        <v>16</v>
      </c>
      <c r="E1772" s="81" t="s">
        <v>2156</v>
      </c>
      <c r="F1772" s="82" t="str">
        <f aca="false">IF(E1772="","",IF(LEFT(E1772,2)="DJ","DJ","JN"))</f>
        <v>JN</v>
      </c>
      <c r="G1772" s="81" t="s">
        <v>1504</v>
      </c>
      <c r="H1772" s="81" t="s">
        <v>871</v>
      </c>
      <c r="I1772" s="81" t="n">
        <v>9.53</v>
      </c>
      <c r="J1772" s="81" t="s">
        <v>872</v>
      </c>
      <c r="K1772" s="81" t="s">
        <v>879</v>
      </c>
      <c r="L1772" s="81" t="n">
        <v>2089050</v>
      </c>
      <c r="M1772" s="81" t="n">
        <v>15421108</v>
      </c>
      <c r="N1772" s="81" t="n">
        <v>11.94</v>
      </c>
      <c r="O1772" s="81" t="n">
        <v>2097150</v>
      </c>
      <c r="P1772" s="81" t="n">
        <v>15421102</v>
      </c>
      <c r="Q1772" s="81" t="n">
        <v>11.94</v>
      </c>
      <c r="R1772" s="81" t="s">
        <v>2097</v>
      </c>
      <c r="S1772" s="81"/>
      <c r="T1772" s="81"/>
      <c r="U1772" s="83" t="n">
        <v>46271</v>
      </c>
      <c r="V1772" s="83" t="n">
        <v>46271</v>
      </c>
      <c r="W1772" s="81" t="s">
        <v>2150</v>
      </c>
      <c r="X1772" s="81" t="s">
        <v>876</v>
      </c>
      <c r="Y1772" s="83" t="n">
        <v>46288</v>
      </c>
      <c r="Z1772" s="81" t="s">
        <v>2122</v>
      </c>
      <c r="AA1772" s="81" t="s">
        <v>876</v>
      </c>
      <c r="AB1772" s="81"/>
      <c r="AC1772" s="81"/>
      <c r="AD1772" s="81"/>
      <c r="AE1772" s="83"/>
      <c r="AF1772" s="81"/>
      <c r="AG1772" s="81"/>
      <c r="AH1772" s="81"/>
      <c r="AI1772" s="81"/>
      <c r="AJ1772" s="83"/>
      <c r="AK1772" s="81"/>
      <c r="AL1772" s="81"/>
      <c r="AM1772" s="83"/>
      <c r="AN1772" s="80"/>
      <c r="AO1772" s="82" t="n">
        <f aca="false">IF(E1772="","",(AA1772&lt;&gt;"")+(AG1772&lt;&gt;"")+(AL1772&lt;&gt;""))</f>
        <v>1</v>
      </c>
      <c r="AP1772" s="82" t="str">
        <f aca="false">IF(AL1772&lt;&gt;"",AL1772,IF(AG1772&lt;&gt;"",AG1772,IF(AA1772&lt;&gt;"",AA1772,"")))</f>
        <v>A</v>
      </c>
      <c r="AQ1772" s="84" t="str">
        <f aca="false">IF(E1772="","",IF(U1772="","À SOUDER",IF(X1772="","VT EN ATTENTE",IF(X1772="R","VT REJETÉ – À REPRENDRE",IF(AP1772="","À RADIOGRAPHIER",IF(AP1772="A","ACCEPTÉ",IF(AP1772="NX","NX – RT À REFAIRE",IF(IF(AO1772=1,AD1772,IF(AO1772=2,AI1772,""))="A","RÉPARÉ – À RADIOGRAPHIER",IF(IF(AO1772=1,AD1772,IF(AO1772=2,AI1772,""))="R","VT REJETÉ – À REPRENDRE",IF(OR(AP1772="CO",AP1772="NT"),"COUPE – À RESOUDER","À RÉPARER"))))))))))</f>
        <v>ACCEPTÉ</v>
      </c>
      <c r="AR1772" s="82" t="str">
        <f aca="false">IF(AND(ISNUMBER(U1772),OR(AQ1772="À RADIOGRAPHIER",AQ1772="RÉPARÉ – À RADIOGRAPHIER",AQ1772="NX – RT À REFAIRE",AQ1772="À RÉPARER",AQ1772="COUPE – À RESOUDER",AQ1772="VT REJETÉ – À REPRENDRE")),MAX(0,'PROGRAMME RT'!$C$4-U1772),"")</f>
        <v/>
      </c>
      <c r="AS1772" s="82" t="n">
        <f aca="false">IF(AND(OR(AQ1772="À RADIOGRAPHIER",AQ1772="RÉPARÉ – À RADIOGRAPHIER",AQ1772="NX – RT À REFAIRE"),OR('PROGRAMME RT'!$D$5="TOUTES",B1772='PROGRAMME RT'!$D$5)),1,0)</f>
        <v>0</v>
      </c>
      <c r="AT1772" s="82" t="str">
        <f aca="false">IF(AS1772=1,SUM(AS$7:AS1772),"")</f>
        <v/>
      </c>
      <c r="AU1772" s="82" t="n">
        <f aca="false">IF(AND(OR(AA1772="R",AA1772="NX",AA1772="NT",AA1772="CO"),OR('JOINTS DE RÉPARATION'!$D$5="TOUTES",B1772='JOINTS DE RÉPARATION'!$D$5),OR('JOINTS DE RÉPARATION'!$L$4="TOUS",AQ1772&lt;&gt;"ACCEPTÉ")),1,0)</f>
        <v>0</v>
      </c>
      <c r="AV1772" s="82" t="str">
        <f aca="false">IF(AU1772=1,SUM(AU$7:AU1772),"")</f>
        <v/>
      </c>
      <c r="AW1772" s="82" t="str">
        <f aca="false">IF(E1772="","",B1772&amp;"|"&amp;E1772)</f>
        <v>MFD-ISW → MFD-CPF|JN°1400</v>
      </c>
    </row>
    <row r="1773" customFormat="false" ht="74.6" hidden="false" customHeight="false" outlineLevel="0" collapsed="false">
      <c r="A1773" s="79" t="n">
        <f aca="false">IF(E1773="","",ROW()-6)</f>
        <v>1767</v>
      </c>
      <c r="B1773" s="80" t="s">
        <v>110</v>
      </c>
      <c r="C1773" s="81" t="s">
        <v>2119</v>
      </c>
      <c r="D1773" s="81" t="n">
        <v>16</v>
      </c>
      <c r="E1773" s="81" t="s">
        <v>2157</v>
      </c>
      <c r="F1773" s="82" t="str">
        <f aca="false">IF(E1773="","",IF(LEFT(E1773,2)="DJ","DJ","JN"))</f>
        <v>DJ</v>
      </c>
      <c r="G1773" s="81" t="s">
        <v>1504</v>
      </c>
      <c r="H1773" s="81" t="s">
        <v>871</v>
      </c>
      <c r="I1773" s="81" t="n">
        <v>9.53</v>
      </c>
      <c r="J1773" s="81" t="s">
        <v>872</v>
      </c>
      <c r="K1773" s="81" t="s">
        <v>873</v>
      </c>
      <c r="L1773" s="81" t="n">
        <v>2097150</v>
      </c>
      <c r="M1773" s="81" t="n">
        <v>15421102</v>
      </c>
      <c r="N1773" s="81" t="n">
        <v>11.94</v>
      </c>
      <c r="O1773" s="81" t="n">
        <v>2088880</v>
      </c>
      <c r="P1773" s="81" t="n">
        <v>15421102</v>
      </c>
      <c r="Q1773" s="81" t="n">
        <v>11.94</v>
      </c>
      <c r="R1773" s="81" t="s">
        <v>1135</v>
      </c>
      <c r="S1773" s="81"/>
      <c r="T1773" s="81"/>
      <c r="U1773" s="83" t="n">
        <v>46260</v>
      </c>
      <c r="V1773" s="83" t="n">
        <v>46260</v>
      </c>
      <c r="W1773" s="81" t="s">
        <v>2030</v>
      </c>
      <c r="X1773" s="81" t="s">
        <v>876</v>
      </c>
      <c r="Y1773" s="83" t="n">
        <v>46261</v>
      </c>
      <c r="Z1773" s="81" t="s">
        <v>2095</v>
      </c>
      <c r="AA1773" s="81" t="s">
        <v>876</v>
      </c>
      <c r="AB1773" s="81"/>
      <c r="AC1773" s="81"/>
      <c r="AD1773" s="81"/>
      <c r="AE1773" s="83"/>
      <c r="AF1773" s="81"/>
      <c r="AG1773" s="81"/>
      <c r="AH1773" s="81"/>
      <c r="AI1773" s="81"/>
      <c r="AJ1773" s="83"/>
      <c r="AK1773" s="81"/>
      <c r="AL1773" s="81"/>
      <c r="AM1773" s="83"/>
      <c r="AN1773" s="80"/>
      <c r="AO1773" s="82" t="n">
        <f aca="false">IF(E1773="","",(AA1773&lt;&gt;"")+(AG1773&lt;&gt;"")+(AL1773&lt;&gt;""))</f>
        <v>1</v>
      </c>
      <c r="AP1773" s="82" t="str">
        <f aca="false">IF(AL1773&lt;&gt;"",AL1773,IF(AG1773&lt;&gt;"",AG1773,IF(AA1773&lt;&gt;"",AA1773,"")))</f>
        <v>A</v>
      </c>
      <c r="AQ1773" s="84" t="str">
        <f aca="false">IF(E1773="","",IF(U1773="","À SOUDER",IF(X1773="","VT EN ATTENTE",IF(X1773="R","VT REJETÉ – À REPRENDRE",IF(AP1773="","À RADIOGRAPHIER",IF(AP1773="A","ACCEPTÉ",IF(AP1773="NX","NX – RT À REFAIRE",IF(IF(AO1773=1,AD1773,IF(AO1773=2,AI1773,""))="A","RÉPARÉ – À RADIOGRAPHIER",IF(IF(AO1773=1,AD1773,IF(AO1773=2,AI1773,""))="R","VT REJETÉ – À REPRENDRE",IF(OR(AP1773="CO",AP1773="NT"),"COUPE – À RESOUDER","À RÉPARER"))))))))))</f>
        <v>ACCEPTÉ</v>
      </c>
      <c r="AR1773" s="82" t="str">
        <f aca="false">IF(AND(ISNUMBER(U1773),OR(AQ1773="À RADIOGRAPHIER",AQ1773="RÉPARÉ – À RADIOGRAPHIER",AQ1773="NX – RT À REFAIRE",AQ1773="À RÉPARER",AQ1773="COUPE – À RESOUDER",AQ1773="VT REJETÉ – À REPRENDRE")),MAX(0,'PROGRAMME RT'!$C$4-U1773),"")</f>
        <v/>
      </c>
      <c r="AS1773" s="82" t="n">
        <f aca="false">IF(AND(OR(AQ1773="À RADIOGRAPHIER",AQ1773="RÉPARÉ – À RADIOGRAPHIER",AQ1773="NX – RT À REFAIRE"),OR('PROGRAMME RT'!$D$5="TOUTES",B1773='PROGRAMME RT'!$D$5)),1,0)</f>
        <v>0</v>
      </c>
      <c r="AT1773" s="82" t="str">
        <f aca="false">IF(AS1773=1,SUM(AS$7:AS1773),"")</f>
        <v/>
      </c>
      <c r="AU1773" s="82" t="n">
        <f aca="false">IF(AND(OR(AA1773="R",AA1773="NX",AA1773="NT",AA1773="CO"),OR('JOINTS DE RÉPARATION'!$D$5="TOUTES",B1773='JOINTS DE RÉPARATION'!$D$5),OR('JOINTS DE RÉPARATION'!$L$4="TOUS",AQ1773&lt;&gt;"ACCEPTÉ")),1,0)</f>
        <v>0</v>
      </c>
      <c r="AV1773" s="82" t="str">
        <f aca="false">IF(AU1773=1,SUM(AU$7:AU1773),"")</f>
        <v/>
      </c>
      <c r="AW1773" s="82" t="str">
        <f aca="false">IF(E1773="","",B1773&amp;"|"&amp;E1773)</f>
        <v>MFD-ISW → MFD-CPF|DJ°147</v>
      </c>
    </row>
    <row r="1774" customFormat="false" ht="74.6" hidden="false" customHeight="false" outlineLevel="0" collapsed="false">
      <c r="A1774" s="79" t="n">
        <f aca="false">IF(E1774="","",ROW()-6)</f>
        <v>1768</v>
      </c>
      <c r="B1774" s="80" t="s">
        <v>110</v>
      </c>
      <c r="C1774" s="81" t="s">
        <v>2119</v>
      </c>
      <c r="D1774" s="81" t="n">
        <v>16</v>
      </c>
      <c r="E1774" s="81" t="s">
        <v>2158</v>
      </c>
      <c r="F1774" s="82" t="str">
        <f aca="false">IF(E1774="","",IF(LEFT(E1774,2)="DJ","DJ","JN"))</f>
        <v>JN</v>
      </c>
      <c r="G1774" s="81" t="s">
        <v>1504</v>
      </c>
      <c r="H1774" s="81" t="s">
        <v>871</v>
      </c>
      <c r="I1774" s="81" t="n">
        <v>9.53</v>
      </c>
      <c r="J1774" s="81" t="s">
        <v>872</v>
      </c>
      <c r="K1774" s="81" t="s">
        <v>879</v>
      </c>
      <c r="L1774" s="81" t="n">
        <v>2088880</v>
      </c>
      <c r="M1774" s="81" t="n">
        <v>15421102</v>
      </c>
      <c r="N1774" s="81" t="n">
        <v>11.94</v>
      </c>
      <c r="O1774" s="81" t="n">
        <v>2081350</v>
      </c>
      <c r="P1774" s="81" t="n">
        <v>15421109</v>
      </c>
      <c r="Q1774" s="81" t="n">
        <v>11.94</v>
      </c>
      <c r="R1774" s="81" t="s">
        <v>2097</v>
      </c>
      <c r="S1774" s="81"/>
      <c r="T1774" s="81"/>
      <c r="U1774" s="83" t="n">
        <v>46271</v>
      </c>
      <c r="V1774" s="83" t="n">
        <v>46271</v>
      </c>
      <c r="W1774" s="81" t="s">
        <v>2150</v>
      </c>
      <c r="X1774" s="81" t="s">
        <v>876</v>
      </c>
      <c r="Y1774" s="83" t="n">
        <v>46288</v>
      </c>
      <c r="Z1774" s="81" t="s">
        <v>2159</v>
      </c>
      <c r="AA1774" s="81" t="s">
        <v>876</v>
      </c>
      <c r="AB1774" s="81"/>
      <c r="AC1774" s="81"/>
      <c r="AD1774" s="81"/>
      <c r="AE1774" s="83"/>
      <c r="AF1774" s="81"/>
      <c r="AG1774" s="81"/>
      <c r="AH1774" s="81"/>
      <c r="AI1774" s="81"/>
      <c r="AJ1774" s="83"/>
      <c r="AK1774" s="81"/>
      <c r="AL1774" s="81"/>
      <c r="AM1774" s="83"/>
      <c r="AN1774" s="80"/>
      <c r="AO1774" s="82" t="n">
        <f aca="false">IF(E1774="","",(AA1774&lt;&gt;"")+(AG1774&lt;&gt;"")+(AL1774&lt;&gt;""))</f>
        <v>1</v>
      </c>
      <c r="AP1774" s="82" t="str">
        <f aca="false">IF(AL1774&lt;&gt;"",AL1774,IF(AG1774&lt;&gt;"",AG1774,IF(AA1774&lt;&gt;"",AA1774,"")))</f>
        <v>A</v>
      </c>
      <c r="AQ1774" s="84" t="str">
        <f aca="false">IF(E1774="","",IF(U1774="","À SOUDER",IF(X1774="","VT EN ATTENTE",IF(X1774="R","VT REJETÉ – À REPRENDRE",IF(AP1774="","À RADIOGRAPHIER",IF(AP1774="A","ACCEPTÉ",IF(AP1774="NX","NX – RT À REFAIRE",IF(IF(AO1774=1,AD1774,IF(AO1774=2,AI1774,""))="A","RÉPARÉ – À RADIOGRAPHIER",IF(IF(AO1774=1,AD1774,IF(AO1774=2,AI1774,""))="R","VT REJETÉ – À REPRENDRE",IF(OR(AP1774="CO",AP1774="NT"),"COUPE – À RESOUDER","À RÉPARER"))))))))))</f>
        <v>ACCEPTÉ</v>
      </c>
      <c r="AR1774" s="82" t="str">
        <f aca="false">IF(AND(ISNUMBER(U1774),OR(AQ1774="À RADIOGRAPHIER",AQ1774="RÉPARÉ – À RADIOGRAPHIER",AQ1774="NX – RT À REFAIRE",AQ1774="À RÉPARER",AQ1774="COUPE – À RESOUDER",AQ1774="VT REJETÉ – À REPRENDRE")),MAX(0,'PROGRAMME RT'!$C$4-U1774),"")</f>
        <v/>
      </c>
      <c r="AS1774" s="82" t="n">
        <f aca="false">IF(AND(OR(AQ1774="À RADIOGRAPHIER",AQ1774="RÉPARÉ – À RADIOGRAPHIER",AQ1774="NX – RT À REFAIRE"),OR('PROGRAMME RT'!$D$5="TOUTES",B1774='PROGRAMME RT'!$D$5)),1,0)</f>
        <v>0</v>
      </c>
      <c r="AT1774" s="82" t="str">
        <f aca="false">IF(AS1774=1,SUM(AS$7:AS1774),"")</f>
        <v/>
      </c>
      <c r="AU1774" s="82" t="n">
        <f aca="false">IF(AND(OR(AA1774="R",AA1774="NX",AA1774="NT",AA1774="CO"),OR('JOINTS DE RÉPARATION'!$D$5="TOUTES",B1774='JOINTS DE RÉPARATION'!$D$5),OR('JOINTS DE RÉPARATION'!$L$4="TOUS",AQ1774&lt;&gt;"ACCEPTÉ")),1,0)</f>
        <v>0</v>
      </c>
      <c r="AV1774" s="82" t="str">
        <f aca="false">IF(AU1774=1,SUM(AU$7:AU1774),"")</f>
        <v/>
      </c>
      <c r="AW1774" s="82" t="str">
        <f aca="false">IF(E1774="","",B1774&amp;"|"&amp;E1774)</f>
        <v>MFD-ISW → MFD-CPF|JN°1401</v>
      </c>
    </row>
    <row r="1775" customFormat="false" ht="74.6" hidden="false" customHeight="false" outlineLevel="0" collapsed="false">
      <c r="A1775" s="79" t="n">
        <f aca="false">IF(E1775="","",ROW()-6)</f>
        <v>1769</v>
      </c>
      <c r="B1775" s="80" t="s">
        <v>110</v>
      </c>
      <c r="C1775" s="81" t="s">
        <v>2119</v>
      </c>
      <c r="D1775" s="81" t="n">
        <v>16</v>
      </c>
      <c r="E1775" s="81" t="s">
        <v>2160</v>
      </c>
      <c r="F1775" s="82" t="str">
        <f aca="false">IF(E1775="","",IF(LEFT(E1775,2)="DJ","DJ","JN"))</f>
        <v>DJ</v>
      </c>
      <c r="G1775" s="81" t="s">
        <v>1504</v>
      </c>
      <c r="H1775" s="81" t="s">
        <v>871</v>
      </c>
      <c r="I1775" s="81" t="n">
        <v>9.53</v>
      </c>
      <c r="J1775" s="81" t="s">
        <v>872</v>
      </c>
      <c r="K1775" s="81" t="s">
        <v>873</v>
      </c>
      <c r="L1775" s="81" t="n">
        <v>2081350</v>
      </c>
      <c r="M1775" s="81" t="n">
        <v>15421109</v>
      </c>
      <c r="N1775" s="81" t="n">
        <v>11.94</v>
      </c>
      <c r="O1775" s="81" t="n">
        <v>2097850</v>
      </c>
      <c r="P1775" s="81" t="n">
        <v>15421112</v>
      </c>
      <c r="Q1775" s="81" t="n">
        <v>11.94</v>
      </c>
      <c r="R1775" s="81" t="s">
        <v>1135</v>
      </c>
      <c r="S1775" s="81"/>
      <c r="T1775" s="81"/>
      <c r="U1775" s="83" t="n">
        <v>46257</v>
      </c>
      <c r="V1775" s="83" t="n">
        <v>46257</v>
      </c>
      <c r="W1775" s="81" t="s">
        <v>1560</v>
      </c>
      <c r="X1775" s="81" t="s">
        <v>876</v>
      </c>
      <c r="Y1775" s="83" t="n">
        <v>46261</v>
      </c>
      <c r="Z1775" s="81" t="s">
        <v>2095</v>
      </c>
      <c r="AA1775" s="81" t="s">
        <v>876</v>
      </c>
      <c r="AB1775" s="81"/>
      <c r="AC1775" s="81"/>
      <c r="AD1775" s="81"/>
      <c r="AE1775" s="83"/>
      <c r="AF1775" s="81"/>
      <c r="AG1775" s="81"/>
      <c r="AH1775" s="81"/>
      <c r="AI1775" s="81"/>
      <c r="AJ1775" s="83"/>
      <c r="AK1775" s="81"/>
      <c r="AL1775" s="81"/>
      <c r="AM1775" s="83"/>
      <c r="AN1775" s="80"/>
      <c r="AO1775" s="82" t="n">
        <f aca="false">IF(E1775="","",(AA1775&lt;&gt;"")+(AG1775&lt;&gt;"")+(AL1775&lt;&gt;""))</f>
        <v>1</v>
      </c>
      <c r="AP1775" s="82" t="str">
        <f aca="false">IF(AL1775&lt;&gt;"",AL1775,IF(AG1775&lt;&gt;"",AG1775,IF(AA1775&lt;&gt;"",AA1775,"")))</f>
        <v>A</v>
      </c>
      <c r="AQ1775" s="84" t="str">
        <f aca="false">IF(E1775="","",IF(U1775="","À SOUDER",IF(X1775="","VT EN ATTENTE",IF(X1775="R","VT REJETÉ – À REPRENDRE",IF(AP1775="","À RADIOGRAPHIER",IF(AP1775="A","ACCEPTÉ",IF(AP1775="NX","NX – RT À REFAIRE",IF(IF(AO1775=1,AD1775,IF(AO1775=2,AI1775,""))="A","RÉPARÉ – À RADIOGRAPHIER",IF(IF(AO1775=1,AD1775,IF(AO1775=2,AI1775,""))="R","VT REJETÉ – À REPRENDRE",IF(OR(AP1775="CO",AP1775="NT"),"COUPE – À RESOUDER","À RÉPARER"))))))))))</f>
        <v>ACCEPTÉ</v>
      </c>
      <c r="AR1775" s="82" t="str">
        <f aca="false">IF(AND(ISNUMBER(U1775),OR(AQ1775="À RADIOGRAPHIER",AQ1775="RÉPARÉ – À RADIOGRAPHIER",AQ1775="NX – RT À REFAIRE",AQ1775="À RÉPARER",AQ1775="COUPE – À RESOUDER",AQ1775="VT REJETÉ – À REPRENDRE")),MAX(0,'PROGRAMME RT'!$C$4-U1775),"")</f>
        <v/>
      </c>
      <c r="AS1775" s="82" t="n">
        <f aca="false">IF(AND(OR(AQ1775="À RADIOGRAPHIER",AQ1775="RÉPARÉ – À RADIOGRAPHIER",AQ1775="NX – RT À REFAIRE"),OR('PROGRAMME RT'!$D$5="TOUTES",B1775='PROGRAMME RT'!$D$5)),1,0)</f>
        <v>0</v>
      </c>
      <c r="AT1775" s="82" t="str">
        <f aca="false">IF(AS1775=1,SUM(AS$7:AS1775),"")</f>
        <v/>
      </c>
      <c r="AU1775" s="82" t="n">
        <f aca="false">IF(AND(OR(AA1775="R",AA1775="NX",AA1775="NT",AA1775="CO"),OR('JOINTS DE RÉPARATION'!$D$5="TOUTES",B1775='JOINTS DE RÉPARATION'!$D$5),OR('JOINTS DE RÉPARATION'!$L$4="TOUS",AQ1775&lt;&gt;"ACCEPTÉ")),1,0)</f>
        <v>0</v>
      </c>
      <c r="AV1775" s="82" t="str">
        <f aca="false">IF(AU1775=1,SUM(AU$7:AU1775),"")</f>
        <v/>
      </c>
      <c r="AW1775" s="82" t="str">
        <f aca="false">IF(E1775="","",B1775&amp;"|"&amp;E1775)</f>
        <v>MFD-ISW → MFD-CPF|DJ°111</v>
      </c>
    </row>
    <row r="1776" customFormat="false" ht="74.6" hidden="false" customHeight="false" outlineLevel="0" collapsed="false">
      <c r="A1776" s="79" t="n">
        <f aca="false">IF(E1776="","",ROW()-6)</f>
        <v>1770</v>
      </c>
      <c r="B1776" s="80" t="s">
        <v>110</v>
      </c>
      <c r="C1776" s="81" t="s">
        <v>2119</v>
      </c>
      <c r="D1776" s="81" t="n">
        <v>16</v>
      </c>
      <c r="E1776" s="81" t="s">
        <v>2161</v>
      </c>
      <c r="F1776" s="82" t="str">
        <f aca="false">IF(E1776="","",IF(LEFT(E1776,2)="DJ","DJ","JN"))</f>
        <v>JN</v>
      </c>
      <c r="G1776" s="81" t="s">
        <v>1504</v>
      </c>
      <c r="H1776" s="81" t="s">
        <v>871</v>
      </c>
      <c r="I1776" s="81" t="n">
        <v>9.53</v>
      </c>
      <c r="J1776" s="81" t="s">
        <v>872</v>
      </c>
      <c r="K1776" s="81" t="s">
        <v>879</v>
      </c>
      <c r="L1776" s="81" t="n">
        <v>2097850</v>
      </c>
      <c r="M1776" s="81" t="n">
        <v>15421112</v>
      </c>
      <c r="N1776" s="81" t="n">
        <v>11.94</v>
      </c>
      <c r="O1776" s="81" t="n">
        <v>2091230</v>
      </c>
      <c r="P1776" s="81" t="n">
        <v>15421109</v>
      </c>
      <c r="Q1776" s="81" t="n">
        <v>11.94</v>
      </c>
      <c r="R1776" s="81" t="s">
        <v>2097</v>
      </c>
      <c r="S1776" s="81"/>
      <c r="T1776" s="81"/>
      <c r="U1776" s="83" t="n">
        <v>46271</v>
      </c>
      <c r="V1776" s="83" t="n">
        <v>46271</v>
      </c>
      <c r="W1776" s="81" t="s">
        <v>2150</v>
      </c>
      <c r="X1776" s="81" t="s">
        <v>876</v>
      </c>
      <c r="Y1776" s="83" t="n">
        <v>46288</v>
      </c>
      <c r="Z1776" s="81" t="s">
        <v>2159</v>
      </c>
      <c r="AA1776" s="81" t="s">
        <v>876</v>
      </c>
      <c r="AB1776" s="81"/>
      <c r="AC1776" s="81"/>
      <c r="AD1776" s="81"/>
      <c r="AE1776" s="83"/>
      <c r="AF1776" s="81"/>
      <c r="AG1776" s="81"/>
      <c r="AH1776" s="81"/>
      <c r="AI1776" s="81"/>
      <c r="AJ1776" s="83"/>
      <c r="AK1776" s="81"/>
      <c r="AL1776" s="81"/>
      <c r="AM1776" s="83"/>
      <c r="AN1776" s="80"/>
      <c r="AO1776" s="82" t="n">
        <f aca="false">IF(E1776="","",(AA1776&lt;&gt;"")+(AG1776&lt;&gt;"")+(AL1776&lt;&gt;""))</f>
        <v>1</v>
      </c>
      <c r="AP1776" s="82" t="str">
        <f aca="false">IF(AL1776&lt;&gt;"",AL1776,IF(AG1776&lt;&gt;"",AG1776,IF(AA1776&lt;&gt;"",AA1776,"")))</f>
        <v>A</v>
      </c>
      <c r="AQ1776" s="84" t="str">
        <f aca="false">IF(E1776="","",IF(U1776="","À SOUDER",IF(X1776="","VT EN ATTENTE",IF(X1776="R","VT REJETÉ – À REPRENDRE",IF(AP1776="","À RADIOGRAPHIER",IF(AP1776="A","ACCEPTÉ",IF(AP1776="NX","NX – RT À REFAIRE",IF(IF(AO1776=1,AD1776,IF(AO1776=2,AI1776,""))="A","RÉPARÉ – À RADIOGRAPHIER",IF(IF(AO1776=1,AD1776,IF(AO1776=2,AI1776,""))="R","VT REJETÉ – À REPRENDRE",IF(OR(AP1776="CO",AP1776="NT"),"COUPE – À RESOUDER","À RÉPARER"))))))))))</f>
        <v>ACCEPTÉ</v>
      </c>
      <c r="AR1776" s="82" t="str">
        <f aca="false">IF(AND(ISNUMBER(U1776),OR(AQ1776="À RADIOGRAPHIER",AQ1776="RÉPARÉ – À RADIOGRAPHIER",AQ1776="NX – RT À REFAIRE",AQ1776="À RÉPARER",AQ1776="COUPE – À RESOUDER",AQ1776="VT REJETÉ – À REPRENDRE")),MAX(0,'PROGRAMME RT'!$C$4-U1776),"")</f>
        <v/>
      </c>
      <c r="AS1776" s="82" t="n">
        <f aca="false">IF(AND(OR(AQ1776="À RADIOGRAPHIER",AQ1776="RÉPARÉ – À RADIOGRAPHIER",AQ1776="NX – RT À REFAIRE"),OR('PROGRAMME RT'!$D$5="TOUTES",B1776='PROGRAMME RT'!$D$5)),1,0)</f>
        <v>0</v>
      </c>
      <c r="AT1776" s="82" t="str">
        <f aca="false">IF(AS1776=1,SUM(AS$7:AS1776),"")</f>
        <v/>
      </c>
      <c r="AU1776" s="82" t="n">
        <f aca="false">IF(AND(OR(AA1776="R",AA1776="NX",AA1776="NT",AA1776="CO"),OR('JOINTS DE RÉPARATION'!$D$5="TOUTES",B1776='JOINTS DE RÉPARATION'!$D$5),OR('JOINTS DE RÉPARATION'!$L$4="TOUS",AQ1776&lt;&gt;"ACCEPTÉ")),1,0)</f>
        <v>0</v>
      </c>
      <c r="AV1776" s="82" t="str">
        <f aca="false">IF(AU1776=1,SUM(AU$7:AU1776),"")</f>
        <v/>
      </c>
      <c r="AW1776" s="82" t="str">
        <f aca="false">IF(E1776="","",B1776&amp;"|"&amp;E1776)</f>
        <v>MFD-ISW → MFD-CPF|JN°1402</v>
      </c>
    </row>
    <row r="1777" customFormat="false" ht="74.6" hidden="false" customHeight="false" outlineLevel="0" collapsed="false">
      <c r="A1777" s="79" t="n">
        <f aca="false">IF(E1777="","",ROW()-6)</f>
        <v>1771</v>
      </c>
      <c r="B1777" s="80" t="s">
        <v>110</v>
      </c>
      <c r="C1777" s="81" t="s">
        <v>2119</v>
      </c>
      <c r="D1777" s="81" t="n">
        <v>16</v>
      </c>
      <c r="E1777" s="81" t="s">
        <v>2162</v>
      </c>
      <c r="F1777" s="82" t="str">
        <f aca="false">IF(E1777="","",IF(LEFT(E1777,2)="DJ","DJ","JN"))</f>
        <v>DJ</v>
      </c>
      <c r="G1777" s="81" t="s">
        <v>1504</v>
      </c>
      <c r="H1777" s="81" t="s">
        <v>871</v>
      </c>
      <c r="I1777" s="81" t="n">
        <v>9.53</v>
      </c>
      <c r="J1777" s="81" t="s">
        <v>872</v>
      </c>
      <c r="K1777" s="81" t="s">
        <v>873</v>
      </c>
      <c r="L1777" s="81" t="n">
        <v>2091230</v>
      </c>
      <c r="M1777" s="81" t="n">
        <v>15421109</v>
      </c>
      <c r="N1777" s="81" t="n">
        <v>11.94</v>
      </c>
      <c r="O1777" s="81" t="n">
        <v>2089550</v>
      </c>
      <c r="P1777" s="81" t="n">
        <v>15421109</v>
      </c>
      <c r="Q1777" s="81" t="n">
        <v>11.94</v>
      </c>
      <c r="R1777" s="81" t="s">
        <v>1147</v>
      </c>
      <c r="S1777" s="81"/>
      <c r="T1777" s="81"/>
      <c r="U1777" s="83" t="n">
        <v>46260</v>
      </c>
      <c r="V1777" s="83" t="n">
        <v>46260</v>
      </c>
      <c r="W1777" s="81" t="s">
        <v>2030</v>
      </c>
      <c r="X1777" s="81" t="s">
        <v>876</v>
      </c>
      <c r="Y1777" s="83" t="n">
        <v>46261</v>
      </c>
      <c r="Z1777" s="81" t="s">
        <v>2095</v>
      </c>
      <c r="AA1777" s="81" t="s">
        <v>876</v>
      </c>
      <c r="AB1777" s="81"/>
      <c r="AC1777" s="81"/>
      <c r="AD1777" s="81"/>
      <c r="AE1777" s="83"/>
      <c r="AF1777" s="81"/>
      <c r="AG1777" s="81"/>
      <c r="AH1777" s="81"/>
      <c r="AI1777" s="81"/>
      <c r="AJ1777" s="83"/>
      <c r="AK1777" s="81"/>
      <c r="AL1777" s="81"/>
      <c r="AM1777" s="83"/>
      <c r="AN1777" s="80"/>
      <c r="AO1777" s="82" t="n">
        <f aca="false">IF(E1777="","",(AA1777&lt;&gt;"")+(AG1777&lt;&gt;"")+(AL1777&lt;&gt;""))</f>
        <v>1</v>
      </c>
      <c r="AP1777" s="82" t="str">
        <f aca="false">IF(AL1777&lt;&gt;"",AL1777,IF(AG1777&lt;&gt;"",AG1777,IF(AA1777&lt;&gt;"",AA1777,"")))</f>
        <v>A</v>
      </c>
      <c r="AQ1777" s="84" t="str">
        <f aca="false">IF(E1777="","",IF(U1777="","À SOUDER",IF(X1777="","VT EN ATTENTE",IF(X1777="R","VT REJETÉ – À REPRENDRE",IF(AP1777="","À RADIOGRAPHIER",IF(AP1777="A","ACCEPTÉ",IF(AP1777="NX","NX – RT À REFAIRE",IF(IF(AO1777=1,AD1777,IF(AO1777=2,AI1777,""))="A","RÉPARÉ – À RADIOGRAPHIER",IF(IF(AO1777=1,AD1777,IF(AO1777=2,AI1777,""))="R","VT REJETÉ – À REPRENDRE",IF(OR(AP1777="CO",AP1777="NT"),"COUPE – À RESOUDER","À RÉPARER"))))))))))</f>
        <v>ACCEPTÉ</v>
      </c>
      <c r="AR1777" s="82" t="str">
        <f aca="false">IF(AND(ISNUMBER(U1777),OR(AQ1777="À RADIOGRAPHIER",AQ1777="RÉPARÉ – À RADIOGRAPHIER",AQ1777="NX – RT À REFAIRE",AQ1777="À RÉPARER",AQ1777="COUPE – À RESOUDER",AQ1777="VT REJETÉ – À REPRENDRE")),MAX(0,'PROGRAMME RT'!$C$4-U1777),"")</f>
        <v/>
      </c>
      <c r="AS1777" s="82" t="n">
        <f aca="false">IF(AND(OR(AQ1777="À RADIOGRAPHIER",AQ1777="RÉPARÉ – À RADIOGRAPHIER",AQ1777="NX – RT À REFAIRE"),OR('PROGRAMME RT'!$D$5="TOUTES",B1777='PROGRAMME RT'!$D$5)),1,0)</f>
        <v>0</v>
      </c>
      <c r="AT1777" s="82" t="str">
        <f aca="false">IF(AS1777=1,SUM(AS$7:AS1777),"")</f>
        <v/>
      </c>
      <c r="AU1777" s="82" t="n">
        <f aca="false">IF(AND(OR(AA1777="R",AA1777="NX",AA1777="NT",AA1777="CO"),OR('JOINTS DE RÉPARATION'!$D$5="TOUTES",B1777='JOINTS DE RÉPARATION'!$D$5),OR('JOINTS DE RÉPARATION'!$L$4="TOUS",AQ1777&lt;&gt;"ACCEPTÉ")),1,0)</f>
        <v>0</v>
      </c>
      <c r="AV1777" s="82" t="str">
        <f aca="false">IF(AU1777=1,SUM(AU$7:AU1777),"")</f>
        <v/>
      </c>
      <c r="AW1777" s="82" t="str">
        <f aca="false">IF(E1777="","",B1777&amp;"|"&amp;E1777)</f>
        <v>MFD-ISW → MFD-CPF|DJ°148</v>
      </c>
    </row>
    <row r="1778" customFormat="false" ht="74.6" hidden="false" customHeight="false" outlineLevel="0" collapsed="false">
      <c r="A1778" s="79" t="n">
        <f aca="false">IF(E1778="","",ROW()-6)</f>
        <v>1772</v>
      </c>
      <c r="B1778" s="80" t="s">
        <v>110</v>
      </c>
      <c r="C1778" s="81" t="s">
        <v>2119</v>
      </c>
      <c r="D1778" s="81" t="n">
        <v>16</v>
      </c>
      <c r="E1778" s="81" t="s">
        <v>2163</v>
      </c>
      <c r="F1778" s="82" t="str">
        <f aca="false">IF(E1778="","",IF(LEFT(E1778,2)="DJ","DJ","JN"))</f>
        <v>JN</v>
      </c>
      <c r="G1778" s="81" t="s">
        <v>1504</v>
      </c>
      <c r="H1778" s="81" t="s">
        <v>871</v>
      </c>
      <c r="I1778" s="81" t="n">
        <v>9.53</v>
      </c>
      <c r="J1778" s="81" t="s">
        <v>872</v>
      </c>
      <c r="K1778" s="81" t="s">
        <v>879</v>
      </c>
      <c r="L1778" s="81" t="n">
        <v>2089550</v>
      </c>
      <c r="M1778" s="81" t="n">
        <v>15421109</v>
      </c>
      <c r="N1778" s="81" t="n">
        <v>11.94</v>
      </c>
      <c r="O1778" s="81" t="n">
        <v>2087400</v>
      </c>
      <c r="P1778" s="81" t="n">
        <v>15421107</v>
      </c>
      <c r="Q1778" s="81" t="n">
        <v>11.94</v>
      </c>
      <c r="R1778" s="81" t="s">
        <v>2097</v>
      </c>
      <c r="S1778" s="81"/>
      <c r="T1778" s="81"/>
      <c r="U1778" s="83" t="n">
        <v>46271</v>
      </c>
      <c r="V1778" s="83" t="n">
        <v>46271</v>
      </c>
      <c r="W1778" s="81" t="s">
        <v>2150</v>
      </c>
      <c r="X1778" s="81" t="s">
        <v>876</v>
      </c>
      <c r="Y1778" s="83" t="n">
        <v>46288</v>
      </c>
      <c r="Z1778" s="81" t="s">
        <v>2159</v>
      </c>
      <c r="AA1778" s="81" t="s">
        <v>876</v>
      </c>
      <c r="AB1778" s="81"/>
      <c r="AC1778" s="81"/>
      <c r="AD1778" s="81"/>
      <c r="AE1778" s="83"/>
      <c r="AF1778" s="81"/>
      <c r="AG1778" s="81"/>
      <c r="AH1778" s="81"/>
      <c r="AI1778" s="81"/>
      <c r="AJ1778" s="83"/>
      <c r="AK1778" s="81"/>
      <c r="AL1778" s="81"/>
      <c r="AM1778" s="83"/>
      <c r="AN1778" s="80"/>
      <c r="AO1778" s="82" t="n">
        <f aca="false">IF(E1778="","",(AA1778&lt;&gt;"")+(AG1778&lt;&gt;"")+(AL1778&lt;&gt;""))</f>
        <v>1</v>
      </c>
      <c r="AP1778" s="82" t="str">
        <f aca="false">IF(AL1778&lt;&gt;"",AL1778,IF(AG1778&lt;&gt;"",AG1778,IF(AA1778&lt;&gt;"",AA1778,"")))</f>
        <v>A</v>
      </c>
      <c r="AQ1778" s="84" t="str">
        <f aca="false">IF(E1778="","",IF(U1778="","À SOUDER",IF(X1778="","VT EN ATTENTE",IF(X1778="R","VT REJETÉ – À REPRENDRE",IF(AP1778="","À RADIOGRAPHIER",IF(AP1778="A","ACCEPTÉ",IF(AP1778="NX","NX – RT À REFAIRE",IF(IF(AO1778=1,AD1778,IF(AO1778=2,AI1778,""))="A","RÉPARÉ – À RADIOGRAPHIER",IF(IF(AO1778=1,AD1778,IF(AO1778=2,AI1778,""))="R","VT REJETÉ – À REPRENDRE",IF(OR(AP1778="CO",AP1778="NT"),"COUPE – À RESOUDER","À RÉPARER"))))))))))</f>
        <v>ACCEPTÉ</v>
      </c>
      <c r="AR1778" s="82" t="str">
        <f aca="false">IF(AND(ISNUMBER(U1778),OR(AQ1778="À RADIOGRAPHIER",AQ1778="RÉPARÉ – À RADIOGRAPHIER",AQ1778="NX – RT À REFAIRE",AQ1778="À RÉPARER",AQ1778="COUPE – À RESOUDER",AQ1778="VT REJETÉ – À REPRENDRE")),MAX(0,'PROGRAMME RT'!$C$4-U1778),"")</f>
        <v/>
      </c>
      <c r="AS1778" s="82" t="n">
        <f aca="false">IF(AND(OR(AQ1778="À RADIOGRAPHIER",AQ1778="RÉPARÉ – À RADIOGRAPHIER",AQ1778="NX – RT À REFAIRE"),OR('PROGRAMME RT'!$D$5="TOUTES",B1778='PROGRAMME RT'!$D$5)),1,0)</f>
        <v>0</v>
      </c>
      <c r="AT1778" s="82" t="str">
        <f aca="false">IF(AS1778=1,SUM(AS$7:AS1778),"")</f>
        <v/>
      </c>
      <c r="AU1778" s="82" t="n">
        <f aca="false">IF(AND(OR(AA1778="R",AA1778="NX",AA1778="NT",AA1778="CO"),OR('JOINTS DE RÉPARATION'!$D$5="TOUTES",B1778='JOINTS DE RÉPARATION'!$D$5),OR('JOINTS DE RÉPARATION'!$L$4="TOUS",AQ1778&lt;&gt;"ACCEPTÉ")),1,0)</f>
        <v>0</v>
      </c>
      <c r="AV1778" s="82" t="str">
        <f aca="false">IF(AU1778=1,SUM(AU$7:AU1778),"")</f>
        <v/>
      </c>
      <c r="AW1778" s="82" t="str">
        <f aca="false">IF(E1778="","",B1778&amp;"|"&amp;E1778)</f>
        <v>MFD-ISW → MFD-CPF|JN°1403</v>
      </c>
    </row>
    <row r="1779" customFormat="false" ht="74.6" hidden="false" customHeight="false" outlineLevel="0" collapsed="false">
      <c r="A1779" s="79" t="n">
        <f aca="false">IF(E1779="","",ROW()-6)</f>
        <v>1773</v>
      </c>
      <c r="B1779" s="80" t="s">
        <v>110</v>
      </c>
      <c r="C1779" s="81" t="s">
        <v>2119</v>
      </c>
      <c r="D1779" s="81" t="n">
        <v>16</v>
      </c>
      <c r="E1779" s="81" t="s">
        <v>2164</v>
      </c>
      <c r="F1779" s="82" t="str">
        <f aca="false">IF(E1779="","",IF(LEFT(E1779,2)="DJ","DJ","JN"))</f>
        <v>DJ</v>
      </c>
      <c r="G1779" s="81" t="s">
        <v>1504</v>
      </c>
      <c r="H1779" s="81" t="s">
        <v>871</v>
      </c>
      <c r="I1779" s="81" t="n">
        <v>9.53</v>
      </c>
      <c r="J1779" s="81" t="s">
        <v>872</v>
      </c>
      <c r="K1779" s="81" t="s">
        <v>873</v>
      </c>
      <c r="L1779" s="81" t="n">
        <v>2087400</v>
      </c>
      <c r="M1779" s="81" t="n">
        <v>15421107</v>
      </c>
      <c r="N1779" s="81" t="n">
        <v>11.94</v>
      </c>
      <c r="O1779" s="81" t="n">
        <v>2093640</v>
      </c>
      <c r="P1779" s="81" t="n">
        <v>15421110</v>
      </c>
      <c r="Q1779" s="81" t="n">
        <v>11.94</v>
      </c>
      <c r="R1779" s="81" t="s">
        <v>963</v>
      </c>
      <c r="S1779" s="81"/>
      <c r="T1779" s="81"/>
      <c r="U1779" s="83" t="n">
        <v>46260</v>
      </c>
      <c r="V1779" s="83" t="n">
        <v>46260</v>
      </c>
      <c r="W1779" s="81" t="s">
        <v>2030</v>
      </c>
      <c r="X1779" s="81" t="s">
        <v>876</v>
      </c>
      <c r="Y1779" s="83" t="n">
        <v>46261</v>
      </c>
      <c r="Z1779" s="81" t="s">
        <v>2095</v>
      </c>
      <c r="AA1779" s="81" t="s">
        <v>876</v>
      </c>
      <c r="AB1779" s="81"/>
      <c r="AC1779" s="81"/>
      <c r="AD1779" s="81"/>
      <c r="AE1779" s="83"/>
      <c r="AF1779" s="81"/>
      <c r="AG1779" s="81"/>
      <c r="AH1779" s="81"/>
      <c r="AI1779" s="81"/>
      <c r="AJ1779" s="83"/>
      <c r="AK1779" s="81"/>
      <c r="AL1779" s="81"/>
      <c r="AM1779" s="83"/>
      <c r="AN1779" s="80"/>
      <c r="AO1779" s="82" t="n">
        <f aca="false">IF(E1779="","",(AA1779&lt;&gt;"")+(AG1779&lt;&gt;"")+(AL1779&lt;&gt;""))</f>
        <v>1</v>
      </c>
      <c r="AP1779" s="82" t="str">
        <f aca="false">IF(AL1779&lt;&gt;"",AL1779,IF(AG1779&lt;&gt;"",AG1779,IF(AA1779&lt;&gt;"",AA1779,"")))</f>
        <v>A</v>
      </c>
      <c r="AQ1779" s="84" t="str">
        <f aca="false">IF(E1779="","",IF(U1779="","À SOUDER",IF(X1779="","VT EN ATTENTE",IF(X1779="R","VT REJETÉ – À REPRENDRE",IF(AP1779="","À RADIOGRAPHIER",IF(AP1779="A","ACCEPTÉ",IF(AP1779="NX","NX – RT À REFAIRE",IF(IF(AO1779=1,AD1779,IF(AO1779=2,AI1779,""))="A","RÉPARÉ – À RADIOGRAPHIER",IF(IF(AO1779=1,AD1779,IF(AO1779=2,AI1779,""))="R","VT REJETÉ – À REPRENDRE",IF(OR(AP1779="CO",AP1779="NT"),"COUPE – À RESOUDER","À RÉPARER"))))))))))</f>
        <v>ACCEPTÉ</v>
      </c>
      <c r="AR1779" s="82" t="str">
        <f aca="false">IF(AND(ISNUMBER(U1779),OR(AQ1779="À RADIOGRAPHIER",AQ1779="RÉPARÉ – À RADIOGRAPHIER",AQ1779="NX – RT À REFAIRE",AQ1779="À RÉPARER",AQ1779="COUPE – À RESOUDER",AQ1779="VT REJETÉ – À REPRENDRE")),MAX(0,'PROGRAMME RT'!$C$4-U1779),"")</f>
        <v/>
      </c>
      <c r="AS1779" s="82" t="n">
        <f aca="false">IF(AND(OR(AQ1779="À RADIOGRAPHIER",AQ1779="RÉPARÉ – À RADIOGRAPHIER",AQ1779="NX – RT À REFAIRE"),OR('PROGRAMME RT'!$D$5="TOUTES",B1779='PROGRAMME RT'!$D$5)),1,0)</f>
        <v>0</v>
      </c>
      <c r="AT1779" s="82" t="str">
        <f aca="false">IF(AS1779=1,SUM(AS$7:AS1779),"")</f>
        <v/>
      </c>
      <c r="AU1779" s="82" t="n">
        <f aca="false">IF(AND(OR(AA1779="R",AA1779="NX",AA1779="NT",AA1779="CO"),OR('JOINTS DE RÉPARATION'!$D$5="TOUTES",B1779='JOINTS DE RÉPARATION'!$D$5),OR('JOINTS DE RÉPARATION'!$L$4="TOUS",AQ1779&lt;&gt;"ACCEPTÉ")),1,0)</f>
        <v>0</v>
      </c>
      <c r="AV1779" s="82" t="str">
        <f aca="false">IF(AU1779=1,SUM(AU$7:AU1779),"")</f>
        <v/>
      </c>
      <c r="AW1779" s="82" t="str">
        <f aca="false">IF(E1779="","",B1779&amp;"|"&amp;E1779)</f>
        <v>MFD-ISW → MFD-CPF|DJ°149</v>
      </c>
    </row>
    <row r="1780" customFormat="false" ht="74.6" hidden="false" customHeight="false" outlineLevel="0" collapsed="false">
      <c r="A1780" s="79" t="n">
        <f aca="false">IF(E1780="","",ROW()-6)</f>
        <v>1774</v>
      </c>
      <c r="B1780" s="80" t="s">
        <v>110</v>
      </c>
      <c r="C1780" s="81" t="s">
        <v>2119</v>
      </c>
      <c r="D1780" s="81" t="n">
        <v>16</v>
      </c>
      <c r="E1780" s="81" t="s">
        <v>2165</v>
      </c>
      <c r="F1780" s="82" t="str">
        <f aca="false">IF(E1780="","",IF(LEFT(E1780,2)="DJ","DJ","JN"))</f>
        <v>JN</v>
      </c>
      <c r="G1780" s="81" t="s">
        <v>1504</v>
      </c>
      <c r="H1780" s="81" t="s">
        <v>871</v>
      </c>
      <c r="I1780" s="81" t="n">
        <v>9.53</v>
      </c>
      <c r="J1780" s="81" t="s">
        <v>872</v>
      </c>
      <c r="K1780" s="81" t="s">
        <v>879</v>
      </c>
      <c r="L1780" s="81" t="n">
        <v>2093640</v>
      </c>
      <c r="M1780" s="81" t="n">
        <v>15421110</v>
      </c>
      <c r="N1780" s="81" t="n">
        <v>11.94</v>
      </c>
      <c r="O1780" s="81" t="n">
        <v>2096260</v>
      </c>
      <c r="P1780" s="81" t="n">
        <v>15421111</v>
      </c>
      <c r="Q1780" s="81" t="n">
        <v>11.94</v>
      </c>
      <c r="R1780" s="81" t="s">
        <v>2097</v>
      </c>
      <c r="S1780" s="81"/>
      <c r="T1780" s="81"/>
      <c r="U1780" s="83" t="n">
        <v>46271</v>
      </c>
      <c r="V1780" s="83" t="n">
        <v>46271</v>
      </c>
      <c r="W1780" s="81" t="s">
        <v>2150</v>
      </c>
      <c r="X1780" s="81" t="s">
        <v>876</v>
      </c>
      <c r="Y1780" s="83" t="n">
        <v>46288</v>
      </c>
      <c r="Z1780" s="81" t="s">
        <v>2159</v>
      </c>
      <c r="AA1780" s="81" t="s">
        <v>1073</v>
      </c>
      <c r="AB1780" s="81" t="s">
        <v>2166</v>
      </c>
      <c r="AC1780" s="81"/>
      <c r="AD1780" s="81"/>
      <c r="AE1780" s="83"/>
      <c r="AF1780" s="81"/>
      <c r="AG1780" s="81"/>
      <c r="AH1780" s="81"/>
      <c r="AI1780" s="81"/>
      <c r="AJ1780" s="83"/>
      <c r="AK1780" s="81"/>
      <c r="AL1780" s="81"/>
      <c r="AM1780" s="83"/>
      <c r="AN1780" s="80"/>
      <c r="AO1780" s="82" t="n">
        <f aca="false">IF(E1780="","",(AA1780&lt;&gt;"")+(AG1780&lt;&gt;"")+(AL1780&lt;&gt;""))</f>
        <v>1</v>
      </c>
      <c r="AP1780" s="82" t="str">
        <f aca="false">IF(AL1780&lt;&gt;"",AL1780,IF(AG1780&lt;&gt;"",AG1780,IF(AA1780&lt;&gt;"",AA1780,"")))</f>
        <v>R</v>
      </c>
      <c r="AQ1780" s="84" t="str">
        <f aca="false">IF(E1780="","",IF(U1780="","À SOUDER",IF(X1780="","VT EN ATTENTE",IF(X1780="R","VT REJETÉ – À REPRENDRE",IF(AP1780="","À RADIOGRAPHIER",IF(AP1780="A","ACCEPTÉ",IF(AP1780="NX","NX – RT À REFAIRE",IF(IF(AO1780=1,AD1780,IF(AO1780=2,AI1780,""))="A","RÉPARÉ – À RADIOGRAPHIER",IF(IF(AO1780=1,AD1780,IF(AO1780=2,AI1780,""))="R","VT REJETÉ – À REPRENDRE",IF(OR(AP1780="CO",AP1780="NT"),"COUPE – À RESOUDER","À RÉPARER"))))))))))</f>
        <v>À RÉPARER</v>
      </c>
      <c r="AR1780" s="82" t="n">
        <f aca="false">IF(AND(ISNUMBER(U1780),OR(AQ1780="À RADIOGRAPHIER",AQ1780="RÉPARÉ – À RADIOGRAPHIER",AQ1780="NX – RT À REFAIRE",AQ1780="À RÉPARER",AQ1780="COUPE – À RESOUDER",AQ1780="VT REJETÉ – À REPRENDRE")),MAX(0,'PROGRAMME RT'!$C$4-U1780),"")</f>
        <v>22</v>
      </c>
      <c r="AS1780" s="82" t="n">
        <f aca="false">IF(AND(OR(AQ1780="À RADIOGRAPHIER",AQ1780="RÉPARÉ – À RADIOGRAPHIER",AQ1780="NX – RT À REFAIRE"),OR('PROGRAMME RT'!$D$5="TOUTES",B1780='PROGRAMME RT'!$D$5)),1,0)</f>
        <v>0</v>
      </c>
      <c r="AT1780" s="82" t="str">
        <f aca="false">IF(AS1780=1,SUM(AS$7:AS1780),"")</f>
        <v/>
      </c>
      <c r="AU1780" s="82" t="n">
        <f aca="false">IF(AND(OR(AA1780="R",AA1780="NX",AA1780="NT",AA1780="CO"),OR('JOINTS DE RÉPARATION'!$D$5="TOUTES",B1780='JOINTS DE RÉPARATION'!$D$5),OR('JOINTS DE RÉPARATION'!$L$4="TOUS",AQ1780&lt;&gt;"ACCEPTÉ")),1,0)</f>
        <v>1</v>
      </c>
      <c r="AV1780" s="82" t="n">
        <f aca="false">IF(AU1780=1,SUM(AU$7:AU1780),"")</f>
        <v>53</v>
      </c>
      <c r="AW1780" s="82" t="str">
        <f aca="false">IF(E1780="","",B1780&amp;"|"&amp;E1780)</f>
        <v>MFD-ISW → MFD-CPF|JN°1404</v>
      </c>
    </row>
    <row r="1781" customFormat="false" ht="74.6" hidden="false" customHeight="false" outlineLevel="0" collapsed="false">
      <c r="A1781" s="79" t="n">
        <f aca="false">IF(E1781="","",ROW()-6)</f>
        <v>1775</v>
      </c>
      <c r="B1781" s="80" t="s">
        <v>110</v>
      </c>
      <c r="C1781" s="81" t="s">
        <v>2119</v>
      </c>
      <c r="D1781" s="81" t="n">
        <v>16</v>
      </c>
      <c r="E1781" s="81" t="s">
        <v>2167</v>
      </c>
      <c r="F1781" s="82" t="str">
        <f aca="false">IF(E1781="","",IF(LEFT(E1781,2)="DJ","DJ","JN"))</f>
        <v>DJ</v>
      </c>
      <c r="G1781" s="81" t="s">
        <v>1504</v>
      </c>
      <c r="H1781" s="81" t="s">
        <v>871</v>
      </c>
      <c r="I1781" s="81" t="n">
        <v>9.53</v>
      </c>
      <c r="J1781" s="81" t="s">
        <v>872</v>
      </c>
      <c r="K1781" s="81" t="s">
        <v>873</v>
      </c>
      <c r="L1781" s="81" t="n">
        <v>2096260</v>
      </c>
      <c r="M1781" s="81" t="n">
        <v>15421111</v>
      </c>
      <c r="N1781" s="81" t="n">
        <v>11.94</v>
      </c>
      <c r="O1781" s="81" t="n">
        <v>2081820</v>
      </c>
      <c r="P1781" s="81" t="n">
        <v>15421104</v>
      </c>
      <c r="Q1781" s="81" t="n">
        <v>11.94</v>
      </c>
      <c r="R1781" s="81" t="s">
        <v>963</v>
      </c>
      <c r="S1781" s="81"/>
      <c r="T1781" s="81"/>
      <c r="U1781" s="83" t="n">
        <v>46259</v>
      </c>
      <c r="V1781" s="83" t="n">
        <v>46259</v>
      </c>
      <c r="W1781" s="81" t="s">
        <v>2094</v>
      </c>
      <c r="X1781" s="81" t="s">
        <v>876</v>
      </c>
      <c r="Y1781" s="83" t="n">
        <v>46260</v>
      </c>
      <c r="Z1781" s="81" t="s">
        <v>2168</v>
      </c>
      <c r="AA1781" s="81" t="s">
        <v>876</v>
      </c>
      <c r="AB1781" s="81"/>
      <c r="AC1781" s="81"/>
      <c r="AD1781" s="81"/>
      <c r="AE1781" s="83"/>
      <c r="AF1781" s="81"/>
      <c r="AG1781" s="81"/>
      <c r="AH1781" s="81"/>
      <c r="AI1781" s="81"/>
      <c r="AJ1781" s="83"/>
      <c r="AK1781" s="81"/>
      <c r="AL1781" s="81"/>
      <c r="AM1781" s="83"/>
      <c r="AN1781" s="80"/>
      <c r="AO1781" s="82" t="n">
        <f aca="false">IF(E1781="","",(AA1781&lt;&gt;"")+(AG1781&lt;&gt;"")+(AL1781&lt;&gt;""))</f>
        <v>1</v>
      </c>
      <c r="AP1781" s="82" t="str">
        <f aca="false">IF(AL1781&lt;&gt;"",AL1781,IF(AG1781&lt;&gt;"",AG1781,IF(AA1781&lt;&gt;"",AA1781,"")))</f>
        <v>A</v>
      </c>
      <c r="AQ1781" s="84" t="str">
        <f aca="false">IF(E1781="","",IF(U1781="","À SOUDER",IF(X1781="","VT EN ATTENTE",IF(X1781="R","VT REJETÉ – À REPRENDRE",IF(AP1781="","À RADIOGRAPHIER",IF(AP1781="A","ACCEPTÉ",IF(AP1781="NX","NX – RT À REFAIRE",IF(IF(AO1781=1,AD1781,IF(AO1781=2,AI1781,""))="A","RÉPARÉ – À RADIOGRAPHIER",IF(IF(AO1781=1,AD1781,IF(AO1781=2,AI1781,""))="R","VT REJETÉ – À REPRENDRE",IF(OR(AP1781="CO",AP1781="NT"),"COUPE – À RESOUDER","À RÉPARER"))))))))))</f>
        <v>ACCEPTÉ</v>
      </c>
      <c r="AR1781" s="82" t="str">
        <f aca="false">IF(AND(ISNUMBER(U1781),OR(AQ1781="À RADIOGRAPHIER",AQ1781="RÉPARÉ – À RADIOGRAPHIER",AQ1781="NX – RT À REFAIRE",AQ1781="À RÉPARER",AQ1781="COUPE – À RESOUDER",AQ1781="VT REJETÉ – À REPRENDRE")),MAX(0,'PROGRAMME RT'!$C$4-U1781),"")</f>
        <v/>
      </c>
      <c r="AS1781" s="82" t="n">
        <f aca="false">IF(AND(OR(AQ1781="À RADIOGRAPHIER",AQ1781="RÉPARÉ – À RADIOGRAPHIER",AQ1781="NX – RT À REFAIRE"),OR('PROGRAMME RT'!$D$5="TOUTES",B1781='PROGRAMME RT'!$D$5)),1,0)</f>
        <v>0</v>
      </c>
      <c r="AT1781" s="82" t="str">
        <f aca="false">IF(AS1781=1,SUM(AS$7:AS1781),"")</f>
        <v/>
      </c>
      <c r="AU1781" s="82" t="n">
        <f aca="false">IF(AND(OR(AA1781="R",AA1781="NX",AA1781="NT",AA1781="CO"),OR('JOINTS DE RÉPARATION'!$D$5="TOUTES",B1781='JOINTS DE RÉPARATION'!$D$5),OR('JOINTS DE RÉPARATION'!$L$4="TOUS",AQ1781&lt;&gt;"ACCEPTÉ")),1,0)</f>
        <v>0</v>
      </c>
      <c r="AV1781" s="82" t="str">
        <f aca="false">IF(AU1781=1,SUM(AU$7:AU1781),"")</f>
        <v/>
      </c>
      <c r="AW1781" s="82" t="str">
        <f aca="false">IF(E1781="","",B1781&amp;"|"&amp;E1781)</f>
        <v>MFD-ISW → MFD-CPF|DJ°134</v>
      </c>
    </row>
    <row r="1782" customFormat="false" ht="74.6" hidden="false" customHeight="false" outlineLevel="0" collapsed="false">
      <c r="A1782" s="79" t="n">
        <f aca="false">IF(E1782="","",ROW()-6)</f>
        <v>1776</v>
      </c>
      <c r="B1782" s="80" t="s">
        <v>110</v>
      </c>
      <c r="C1782" s="81" t="s">
        <v>2119</v>
      </c>
      <c r="D1782" s="81" t="n">
        <v>16</v>
      </c>
      <c r="E1782" s="81" t="s">
        <v>2169</v>
      </c>
      <c r="F1782" s="82" t="str">
        <f aca="false">IF(E1782="","",IF(LEFT(E1782,2)="DJ","DJ","JN"))</f>
        <v>JN</v>
      </c>
      <c r="G1782" s="81" t="s">
        <v>1504</v>
      </c>
      <c r="H1782" s="81" t="s">
        <v>871</v>
      </c>
      <c r="I1782" s="81" t="n">
        <v>9.53</v>
      </c>
      <c r="J1782" s="81" t="s">
        <v>872</v>
      </c>
      <c r="K1782" s="81" t="s">
        <v>879</v>
      </c>
      <c r="L1782" s="81" t="n">
        <v>2081820</v>
      </c>
      <c r="M1782" s="81" t="n">
        <v>15421104</v>
      </c>
      <c r="N1782" s="81" t="n">
        <v>11.94</v>
      </c>
      <c r="O1782" s="81" t="n">
        <v>2084600</v>
      </c>
      <c r="P1782" s="81" t="n">
        <v>15421106</v>
      </c>
      <c r="Q1782" s="81" t="n">
        <v>11.94</v>
      </c>
      <c r="R1782" s="81" t="s">
        <v>2097</v>
      </c>
      <c r="S1782" s="81"/>
      <c r="T1782" s="81"/>
      <c r="U1782" s="83" t="n">
        <v>46271</v>
      </c>
      <c r="V1782" s="83" t="n">
        <v>46271</v>
      </c>
      <c r="W1782" s="81" t="s">
        <v>2150</v>
      </c>
      <c r="X1782" s="81" t="s">
        <v>876</v>
      </c>
      <c r="Y1782" s="83" t="n">
        <v>46288</v>
      </c>
      <c r="Z1782" s="81" t="s">
        <v>2159</v>
      </c>
      <c r="AA1782" s="81" t="s">
        <v>1073</v>
      </c>
      <c r="AB1782" s="81" t="s">
        <v>2170</v>
      </c>
      <c r="AC1782" s="81"/>
      <c r="AD1782" s="81"/>
      <c r="AE1782" s="83"/>
      <c r="AF1782" s="81"/>
      <c r="AG1782" s="81"/>
      <c r="AH1782" s="81"/>
      <c r="AI1782" s="81"/>
      <c r="AJ1782" s="83"/>
      <c r="AK1782" s="81"/>
      <c r="AL1782" s="81"/>
      <c r="AM1782" s="83"/>
      <c r="AN1782" s="80"/>
      <c r="AO1782" s="82" t="n">
        <f aca="false">IF(E1782="","",(AA1782&lt;&gt;"")+(AG1782&lt;&gt;"")+(AL1782&lt;&gt;""))</f>
        <v>1</v>
      </c>
      <c r="AP1782" s="82" t="str">
        <f aca="false">IF(AL1782&lt;&gt;"",AL1782,IF(AG1782&lt;&gt;"",AG1782,IF(AA1782&lt;&gt;"",AA1782,"")))</f>
        <v>R</v>
      </c>
      <c r="AQ1782" s="84" t="str">
        <f aca="false">IF(E1782="","",IF(U1782="","À SOUDER",IF(X1782="","VT EN ATTENTE",IF(X1782="R","VT REJETÉ – À REPRENDRE",IF(AP1782="","À RADIOGRAPHIER",IF(AP1782="A","ACCEPTÉ",IF(AP1782="NX","NX – RT À REFAIRE",IF(IF(AO1782=1,AD1782,IF(AO1782=2,AI1782,""))="A","RÉPARÉ – À RADIOGRAPHIER",IF(IF(AO1782=1,AD1782,IF(AO1782=2,AI1782,""))="R","VT REJETÉ – À REPRENDRE",IF(OR(AP1782="CO",AP1782="NT"),"COUPE – À RESOUDER","À RÉPARER"))))))))))</f>
        <v>À RÉPARER</v>
      </c>
      <c r="AR1782" s="82" t="n">
        <f aca="false">IF(AND(ISNUMBER(U1782),OR(AQ1782="À RADIOGRAPHIER",AQ1782="RÉPARÉ – À RADIOGRAPHIER",AQ1782="NX – RT À REFAIRE",AQ1782="À RÉPARER",AQ1782="COUPE – À RESOUDER",AQ1782="VT REJETÉ – À REPRENDRE")),MAX(0,'PROGRAMME RT'!$C$4-U1782),"")</f>
        <v>22</v>
      </c>
      <c r="AS1782" s="82" t="n">
        <f aca="false">IF(AND(OR(AQ1782="À RADIOGRAPHIER",AQ1782="RÉPARÉ – À RADIOGRAPHIER",AQ1782="NX – RT À REFAIRE"),OR('PROGRAMME RT'!$D$5="TOUTES",B1782='PROGRAMME RT'!$D$5)),1,0)</f>
        <v>0</v>
      </c>
      <c r="AT1782" s="82" t="str">
        <f aca="false">IF(AS1782=1,SUM(AS$7:AS1782),"")</f>
        <v/>
      </c>
      <c r="AU1782" s="82" t="n">
        <f aca="false">IF(AND(OR(AA1782="R",AA1782="NX",AA1782="NT",AA1782="CO"),OR('JOINTS DE RÉPARATION'!$D$5="TOUTES",B1782='JOINTS DE RÉPARATION'!$D$5),OR('JOINTS DE RÉPARATION'!$L$4="TOUS",AQ1782&lt;&gt;"ACCEPTÉ")),1,0)</f>
        <v>1</v>
      </c>
      <c r="AV1782" s="82" t="n">
        <f aca="false">IF(AU1782=1,SUM(AU$7:AU1782),"")</f>
        <v>54</v>
      </c>
      <c r="AW1782" s="82" t="str">
        <f aca="false">IF(E1782="","",B1782&amp;"|"&amp;E1782)</f>
        <v>MFD-ISW → MFD-CPF|JN°1405</v>
      </c>
    </row>
    <row r="1783" customFormat="false" ht="74.6" hidden="false" customHeight="false" outlineLevel="0" collapsed="false">
      <c r="A1783" s="79" t="n">
        <f aca="false">IF(E1783="","",ROW()-6)</f>
        <v>1777</v>
      </c>
      <c r="B1783" s="80" t="s">
        <v>110</v>
      </c>
      <c r="C1783" s="81" t="s">
        <v>2119</v>
      </c>
      <c r="D1783" s="81" t="n">
        <v>16</v>
      </c>
      <c r="E1783" s="81" t="s">
        <v>2171</v>
      </c>
      <c r="F1783" s="82" t="str">
        <f aca="false">IF(E1783="","",IF(LEFT(E1783,2)="DJ","DJ","JN"))</f>
        <v>DJ</v>
      </c>
      <c r="G1783" s="81" t="s">
        <v>1504</v>
      </c>
      <c r="H1783" s="81" t="s">
        <v>871</v>
      </c>
      <c r="I1783" s="81" t="n">
        <v>9.53</v>
      </c>
      <c r="J1783" s="81" t="s">
        <v>872</v>
      </c>
      <c r="K1783" s="81" t="s">
        <v>873</v>
      </c>
      <c r="L1783" s="81" t="n">
        <v>2084600</v>
      </c>
      <c r="M1783" s="81" t="n">
        <v>15421106</v>
      </c>
      <c r="N1783" s="81" t="n">
        <v>11.94</v>
      </c>
      <c r="O1783" s="81" t="n">
        <v>2087330</v>
      </c>
      <c r="P1783" s="81" t="n">
        <v>15421107</v>
      </c>
      <c r="Q1783" s="81" t="n">
        <v>11.94</v>
      </c>
      <c r="R1783" s="81" t="s">
        <v>899</v>
      </c>
      <c r="S1783" s="81"/>
      <c r="T1783" s="81"/>
      <c r="U1783" s="83" t="n">
        <v>46259</v>
      </c>
      <c r="V1783" s="83" t="n">
        <v>46259</v>
      </c>
      <c r="W1783" s="81" t="s">
        <v>2094</v>
      </c>
      <c r="X1783" s="81" t="s">
        <v>876</v>
      </c>
      <c r="Y1783" s="83" t="n">
        <v>46260</v>
      </c>
      <c r="Z1783" s="81" t="s">
        <v>2168</v>
      </c>
      <c r="AA1783" s="81" t="s">
        <v>876</v>
      </c>
      <c r="AB1783" s="81"/>
      <c r="AC1783" s="81"/>
      <c r="AD1783" s="81"/>
      <c r="AE1783" s="83"/>
      <c r="AF1783" s="81"/>
      <c r="AG1783" s="81"/>
      <c r="AH1783" s="81"/>
      <c r="AI1783" s="81"/>
      <c r="AJ1783" s="83"/>
      <c r="AK1783" s="81"/>
      <c r="AL1783" s="81"/>
      <c r="AM1783" s="83"/>
      <c r="AN1783" s="80"/>
      <c r="AO1783" s="82" t="n">
        <f aca="false">IF(E1783="","",(AA1783&lt;&gt;"")+(AG1783&lt;&gt;"")+(AL1783&lt;&gt;""))</f>
        <v>1</v>
      </c>
      <c r="AP1783" s="82" t="str">
        <f aca="false">IF(AL1783&lt;&gt;"",AL1783,IF(AG1783&lt;&gt;"",AG1783,IF(AA1783&lt;&gt;"",AA1783,"")))</f>
        <v>A</v>
      </c>
      <c r="AQ1783" s="84" t="str">
        <f aca="false">IF(E1783="","",IF(U1783="","À SOUDER",IF(X1783="","VT EN ATTENTE",IF(X1783="R","VT REJETÉ – À REPRENDRE",IF(AP1783="","À RADIOGRAPHIER",IF(AP1783="A","ACCEPTÉ",IF(AP1783="NX","NX – RT À REFAIRE",IF(IF(AO1783=1,AD1783,IF(AO1783=2,AI1783,""))="A","RÉPARÉ – À RADIOGRAPHIER",IF(IF(AO1783=1,AD1783,IF(AO1783=2,AI1783,""))="R","VT REJETÉ – À REPRENDRE",IF(OR(AP1783="CO",AP1783="NT"),"COUPE – À RESOUDER","À RÉPARER"))))))))))</f>
        <v>ACCEPTÉ</v>
      </c>
      <c r="AR1783" s="82" t="str">
        <f aca="false">IF(AND(ISNUMBER(U1783),OR(AQ1783="À RADIOGRAPHIER",AQ1783="RÉPARÉ – À RADIOGRAPHIER",AQ1783="NX – RT À REFAIRE",AQ1783="À RÉPARER",AQ1783="COUPE – À RESOUDER",AQ1783="VT REJETÉ – À REPRENDRE")),MAX(0,'PROGRAMME RT'!$C$4-U1783),"")</f>
        <v/>
      </c>
      <c r="AS1783" s="82" t="n">
        <f aca="false">IF(AND(OR(AQ1783="À RADIOGRAPHIER",AQ1783="RÉPARÉ – À RADIOGRAPHIER",AQ1783="NX – RT À REFAIRE"),OR('PROGRAMME RT'!$D$5="TOUTES",B1783='PROGRAMME RT'!$D$5)),1,0)</f>
        <v>0</v>
      </c>
      <c r="AT1783" s="82" t="str">
        <f aca="false">IF(AS1783=1,SUM(AS$7:AS1783),"")</f>
        <v/>
      </c>
      <c r="AU1783" s="82" t="n">
        <f aca="false">IF(AND(OR(AA1783="R",AA1783="NX",AA1783="NT",AA1783="CO"),OR('JOINTS DE RÉPARATION'!$D$5="TOUTES",B1783='JOINTS DE RÉPARATION'!$D$5),OR('JOINTS DE RÉPARATION'!$L$4="TOUS",AQ1783&lt;&gt;"ACCEPTÉ")),1,0)</f>
        <v>0</v>
      </c>
      <c r="AV1783" s="82" t="str">
        <f aca="false">IF(AU1783=1,SUM(AU$7:AU1783),"")</f>
        <v/>
      </c>
      <c r="AW1783" s="82" t="str">
        <f aca="false">IF(E1783="","",B1783&amp;"|"&amp;E1783)</f>
        <v>MFD-ISW → MFD-CPF|DJ°133</v>
      </c>
    </row>
    <row r="1784" customFormat="false" ht="74.6" hidden="false" customHeight="false" outlineLevel="0" collapsed="false">
      <c r="A1784" s="79" t="n">
        <f aca="false">IF(E1784="","",ROW()-6)</f>
        <v>1778</v>
      </c>
      <c r="B1784" s="80" t="s">
        <v>110</v>
      </c>
      <c r="C1784" s="81" t="s">
        <v>2119</v>
      </c>
      <c r="D1784" s="81" t="n">
        <v>16</v>
      </c>
      <c r="E1784" s="81" t="s">
        <v>2172</v>
      </c>
      <c r="F1784" s="82" t="str">
        <f aca="false">IF(E1784="","",IF(LEFT(E1784,2)="DJ","DJ","JN"))</f>
        <v>JN</v>
      </c>
      <c r="G1784" s="81" t="s">
        <v>1504</v>
      </c>
      <c r="H1784" s="81" t="s">
        <v>871</v>
      </c>
      <c r="I1784" s="81" t="n">
        <v>9.53</v>
      </c>
      <c r="J1784" s="81" t="s">
        <v>872</v>
      </c>
      <c r="K1784" s="81" t="s">
        <v>879</v>
      </c>
      <c r="L1784" s="81" t="n">
        <v>2087330</v>
      </c>
      <c r="M1784" s="81" t="n">
        <v>15421107</v>
      </c>
      <c r="N1784" s="81" t="n">
        <v>11.94</v>
      </c>
      <c r="O1784" s="81" t="n">
        <v>2087340</v>
      </c>
      <c r="P1784" s="81" t="n">
        <v>15421107</v>
      </c>
      <c r="Q1784" s="81" t="n">
        <v>11.94</v>
      </c>
      <c r="R1784" s="81" t="s">
        <v>2097</v>
      </c>
      <c r="S1784" s="81"/>
      <c r="T1784" s="81"/>
      <c r="U1784" s="83" t="n">
        <v>46271</v>
      </c>
      <c r="V1784" s="83" t="n">
        <v>46271</v>
      </c>
      <c r="W1784" s="81" t="s">
        <v>2150</v>
      </c>
      <c r="X1784" s="81" t="s">
        <v>876</v>
      </c>
      <c r="Y1784" s="83" t="n">
        <v>46288</v>
      </c>
      <c r="Z1784" s="81" t="s">
        <v>2159</v>
      </c>
      <c r="AA1784" s="81" t="s">
        <v>876</v>
      </c>
      <c r="AB1784" s="81"/>
      <c r="AC1784" s="81"/>
      <c r="AD1784" s="81"/>
      <c r="AE1784" s="83"/>
      <c r="AF1784" s="81"/>
      <c r="AG1784" s="81"/>
      <c r="AH1784" s="81"/>
      <c r="AI1784" s="81"/>
      <c r="AJ1784" s="83"/>
      <c r="AK1784" s="81"/>
      <c r="AL1784" s="81"/>
      <c r="AM1784" s="83"/>
      <c r="AN1784" s="80"/>
      <c r="AO1784" s="82" t="n">
        <f aca="false">IF(E1784="","",(AA1784&lt;&gt;"")+(AG1784&lt;&gt;"")+(AL1784&lt;&gt;""))</f>
        <v>1</v>
      </c>
      <c r="AP1784" s="82" t="str">
        <f aca="false">IF(AL1784&lt;&gt;"",AL1784,IF(AG1784&lt;&gt;"",AG1784,IF(AA1784&lt;&gt;"",AA1784,"")))</f>
        <v>A</v>
      </c>
      <c r="AQ1784" s="84" t="str">
        <f aca="false">IF(E1784="","",IF(U1784="","À SOUDER",IF(X1784="","VT EN ATTENTE",IF(X1784="R","VT REJETÉ – À REPRENDRE",IF(AP1784="","À RADIOGRAPHIER",IF(AP1784="A","ACCEPTÉ",IF(AP1784="NX","NX – RT À REFAIRE",IF(IF(AO1784=1,AD1784,IF(AO1784=2,AI1784,""))="A","RÉPARÉ – À RADIOGRAPHIER",IF(IF(AO1784=1,AD1784,IF(AO1784=2,AI1784,""))="R","VT REJETÉ – À REPRENDRE",IF(OR(AP1784="CO",AP1784="NT"),"COUPE – À RESOUDER","À RÉPARER"))))))))))</f>
        <v>ACCEPTÉ</v>
      </c>
      <c r="AR1784" s="82" t="str">
        <f aca="false">IF(AND(ISNUMBER(U1784),OR(AQ1784="À RADIOGRAPHIER",AQ1784="RÉPARÉ – À RADIOGRAPHIER",AQ1784="NX – RT À REFAIRE",AQ1784="À RÉPARER",AQ1784="COUPE – À RESOUDER",AQ1784="VT REJETÉ – À REPRENDRE")),MAX(0,'PROGRAMME RT'!$C$4-U1784),"")</f>
        <v/>
      </c>
      <c r="AS1784" s="82" t="n">
        <f aca="false">IF(AND(OR(AQ1784="À RADIOGRAPHIER",AQ1784="RÉPARÉ – À RADIOGRAPHIER",AQ1784="NX – RT À REFAIRE"),OR('PROGRAMME RT'!$D$5="TOUTES",B1784='PROGRAMME RT'!$D$5)),1,0)</f>
        <v>0</v>
      </c>
      <c r="AT1784" s="82" t="str">
        <f aca="false">IF(AS1784=1,SUM(AS$7:AS1784),"")</f>
        <v/>
      </c>
      <c r="AU1784" s="82" t="n">
        <f aca="false">IF(AND(OR(AA1784="R",AA1784="NX",AA1784="NT",AA1784="CO"),OR('JOINTS DE RÉPARATION'!$D$5="TOUTES",B1784='JOINTS DE RÉPARATION'!$D$5),OR('JOINTS DE RÉPARATION'!$L$4="TOUS",AQ1784&lt;&gt;"ACCEPTÉ")),1,0)</f>
        <v>0</v>
      </c>
      <c r="AV1784" s="82" t="str">
        <f aca="false">IF(AU1784=1,SUM(AU$7:AU1784),"")</f>
        <v/>
      </c>
      <c r="AW1784" s="82" t="str">
        <f aca="false">IF(E1784="","",B1784&amp;"|"&amp;E1784)</f>
        <v>MFD-ISW → MFD-CPF|JN°1406</v>
      </c>
    </row>
    <row r="1785" customFormat="false" ht="74.6" hidden="false" customHeight="false" outlineLevel="0" collapsed="false">
      <c r="A1785" s="79" t="n">
        <f aca="false">IF(E1785="","",ROW()-6)</f>
        <v>1779</v>
      </c>
      <c r="B1785" s="80" t="s">
        <v>110</v>
      </c>
      <c r="C1785" s="81" t="s">
        <v>2119</v>
      </c>
      <c r="D1785" s="81" t="n">
        <v>16</v>
      </c>
      <c r="E1785" s="81" t="s">
        <v>2173</v>
      </c>
      <c r="F1785" s="82" t="str">
        <f aca="false">IF(E1785="","",IF(LEFT(E1785,2)="DJ","DJ","JN"))</f>
        <v>DJ</v>
      </c>
      <c r="G1785" s="81" t="s">
        <v>1504</v>
      </c>
      <c r="H1785" s="81" t="s">
        <v>871</v>
      </c>
      <c r="I1785" s="81" t="n">
        <v>9.53</v>
      </c>
      <c r="J1785" s="81" t="s">
        <v>872</v>
      </c>
      <c r="K1785" s="81" t="s">
        <v>873</v>
      </c>
      <c r="L1785" s="81" t="n">
        <v>2087340</v>
      </c>
      <c r="M1785" s="81" t="n">
        <v>15421107</v>
      </c>
      <c r="N1785" s="81" t="n">
        <v>11.94</v>
      </c>
      <c r="O1785" s="81" t="n">
        <v>2098220</v>
      </c>
      <c r="P1785" s="81" t="n">
        <v>15421112</v>
      </c>
      <c r="Q1785" s="81" t="n">
        <v>11.94</v>
      </c>
      <c r="R1785" s="81" t="s">
        <v>963</v>
      </c>
      <c r="S1785" s="81"/>
      <c r="T1785" s="81"/>
      <c r="U1785" s="83" t="n">
        <v>46259</v>
      </c>
      <c r="V1785" s="83" t="n">
        <v>46259</v>
      </c>
      <c r="W1785" s="81" t="s">
        <v>2094</v>
      </c>
      <c r="X1785" s="81" t="s">
        <v>876</v>
      </c>
      <c r="Y1785" s="83" t="n">
        <v>46260</v>
      </c>
      <c r="Z1785" s="81" t="s">
        <v>2168</v>
      </c>
      <c r="AA1785" s="81" t="s">
        <v>876</v>
      </c>
      <c r="AB1785" s="81"/>
      <c r="AC1785" s="81"/>
      <c r="AD1785" s="81"/>
      <c r="AE1785" s="83"/>
      <c r="AF1785" s="81"/>
      <c r="AG1785" s="81"/>
      <c r="AH1785" s="81"/>
      <c r="AI1785" s="81"/>
      <c r="AJ1785" s="83"/>
      <c r="AK1785" s="81"/>
      <c r="AL1785" s="81"/>
      <c r="AM1785" s="83"/>
      <c r="AN1785" s="80"/>
      <c r="AO1785" s="82" t="n">
        <f aca="false">IF(E1785="","",(AA1785&lt;&gt;"")+(AG1785&lt;&gt;"")+(AL1785&lt;&gt;""))</f>
        <v>1</v>
      </c>
      <c r="AP1785" s="82" t="str">
        <f aca="false">IF(AL1785&lt;&gt;"",AL1785,IF(AG1785&lt;&gt;"",AG1785,IF(AA1785&lt;&gt;"",AA1785,"")))</f>
        <v>A</v>
      </c>
      <c r="AQ1785" s="84" t="str">
        <f aca="false">IF(E1785="","",IF(U1785="","À SOUDER",IF(X1785="","VT EN ATTENTE",IF(X1785="R","VT REJETÉ – À REPRENDRE",IF(AP1785="","À RADIOGRAPHIER",IF(AP1785="A","ACCEPTÉ",IF(AP1785="NX","NX – RT À REFAIRE",IF(IF(AO1785=1,AD1785,IF(AO1785=2,AI1785,""))="A","RÉPARÉ – À RADIOGRAPHIER",IF(IF(AO1785=1,AD1785,IF(AO1785=2,AI1785,""))="R","VT REJETÉ – À REPRENDRE",IF(OR(AP1785="CO",AP1785="NT"),"COUPE – À RESOUDER","À RÉPARER"))))))))))</f>
        <v>ACCEPTÉ</v>
      </c>
      <c r="AR1785" s="82" t="str">
        <f aca="false">IF(AND(ISNUMBER(U1785),OR(AQ1785="À RADIOGRAPHIER",AQ1785="RÉPARÉ – À RADIOGRAPHIER",AQ1785="NX – RT À REFAIRE",AQ1785="À RÉPARER",AQ1785="COUPE – À RESOUDER",AQ1785="VT REJETÉ – À REPRENDRE")),MAX(0,'PROGRAMME RT'!$C$4-U1785),"")</f>
        <v/>
      </c>
      <c r="AS1785" s="82" t="n">
        <f aca="false">IF(AND(OR(AQ1785="À RADIOGRAPHIER",AQ1785="RÉPARÉ – À RADIOGRAPHIER",AQ1785="NX – RT À REFAIRE"),OR('PROGRAMME RT'!$D$5="TOUTES",B1785='PROGRAMME RT'!$D$5)),1,0)</f>
        <v>0</v>
      </c>
      <c r="AT1785" s="82" t="str">
        <f aca="false">IF(AS1785=1,SUM(AS$7:AS1785),"")</f>
        <v/>
      </c>
      <c r="AU1785" s="82" t="n">
        <f aca="false">IF(AND(OR(AA1785="R",AA1785="NX",AA1785="NT",AA1785="CO"),OR('JOINTS DE RÉPARATION'!$D$5="TOUTES",B1785='JOINTS DE RÉPARATION'!$D$5),OR('JOINTS DE RÉPARATION'!$L$4="TOUS",AQ1785&lt;&gt;"ACCEPTÉ")),1,0)</f>
        <v>0</v>
      </c>
      <c r="AV1785" s="82" t="str">
        <f aca="false">IF(AU1785=1,SUM(AU$7:AU1785),"")</f>
        <v/>
      </c>
      <c r="AW1785" s="82" t="str">
        <f aca="false">IF(E1785="","",B1785&amp;"|"&amp;E1785)</f>
        <v>MFD-ISW → MFD-CPF|DJ°137</v>
      </c>
    </row>
    <row r="1786" customFormat="false" ht="74.6" hidden="false" customHeight="false" outlineLevel="0" collapsed="false">
      <c r="A1786" s="79" t="n">
        <f aca="false">IF(E1786="","",ROW()-6)</f>
        <v>1780</v>
      </c>
      <c r="B1786" s="80" t="s">
        <v>110</v>
      </c>
      <c r="C1786" s="81" t="s">
        <v>2119</v>
      </c>
      <c r="D1786" s="81" t="n">
        <v>16</v>
      </c>
      <c r="E1786" s="81" t="s">
        <v>2174</v>
      </c>
      <c r="F1786" s="82" t="str">
        <f aca="false">IF(E1786="","",IF(LEFT(E1786,2)="DJ","DJ","JN"))</f>
        <v>JN</v>
      </c>
      <c r="G1786" s="81" t="s">
        <v>1504</v>
      </c>
      <c r="H1786" s="81" t="s">
        <v>871</v>
      </c>
      <c r="I1786" s="81" t="n">
        <v>9.53</v>
      </c>
      <c r="J1786" s="81" t="s">
        <v>872</v>
      </c>
      <c r="K1786" s="81" t="s">
        <v>879</v>
      </c>
      <c r="L1786" s="81" t="n">
        <v>2098220</v>
      </c>
      <c r="M1786" s="81" t="n">
        <v>15421112</v>
      </c>
      <c r="N1786" s="81" t="n">
        <v>11.94</v>
      </c>
      <c r="O1786" s="81" t="n">
        <v>2096820</v>
      </c>
      <c r="P1786" s="81" t="n">
        <v>15421111</v>
      </c>
      <c r="Q1786" s="81" t="n">
        <v>11.94</v>
      </c>
      <c r="R1786" s="81" t="s">
        <v>2097</v>
      </c>
      <c r="S1786" s="81"/>
      <c r="T1786" s="81"/>
      <c r="U1786" s="83" t="n">
        <v>46271</v>
      </c>
      <c r="V1786" s="83" t="n">
        <v>46271</v>
      </c>
      <c r="W1786" s="81" t="s">
        <v>2150</v>
      </c>
      <c r="X1786" s="81" t="s">
        <v>876</v>
      </c>
      <c r="Y1786" s="83" t="n">
        <v>46288</v>
      </c>
      <c r="Z1786" s="81" t="s">
        <v>2159</v>
      </c>
      <c r="AA1786" s="81" t="s">
        <v>876</v>
      </c>
      <c r="AB1786" s="81"/>
      <c r="AC1786" s="81"/>
      <c r="AD1786" s="81"/>
      <c r="AE1786" s="83"/>
      <c r="AF1786" s="81"/>
      <c r="AG1786" s="81"/>
      <c r="AH1786" s="81"/>
      <c r="AI1786" s="81"/>
      <c r="AJ1786" s="83"/>
      <c r="AK1786" s="81"/>
      <c r="AL1786" s="81"/>
      <c r="AM1786" s="83"/>
      <c r="AN1786" s="80"/>
      <c r="AO1786" s="82" t="n">
        <f aca="false">IF(E1786="","",(AA1786&lt;&gt;"")+(AG1786&lt;&gt;"")+(AL1786&lt;&gt;""))</f>
        <v>1</v>
      </c>
      <c r="AP1786" s="82" t="str">
        <f aca="false">IF(AL1786&lt;&gt;"",AL1786,IF(AG1786&lt;&gt;"",AG1786,IF(AA1786&lt;&gt;"",AA1786,"")))</f>
        <v>A</v>
      </c>
      <c r="AQ1786" s="84" t="str">
        <f aca="false">IF(E1786="","",IF(U1786="","À SOUDER",IF(X1786="","VT EN ATTENTE",IF(X1786="R","VT REJETÉ – À REPRENDRE",IF(AP1786="","À RADIOGRAPHIER",IF(AP1786="A","ACCEPTÉ",IF(AP1786="NX","NX – RT À REFAIRE",IF(IF(AO1786=1,AD1786,IF(AO1786=2,AI1786,""))="A","RÉPARÉ – À RADIOGRAPHIER",IF(IF(AO1786=1,AD1786,IF(AO1786=2,AI1786,""))="R","VT REJETÉ – À REPRENDRE",IF(OR(AP1786="CO",AP1786="NT"),"COUPE – À RESOUDER","À RÉPARER"))))))))))</f>
        <v>ACCEPTÉ</v>
      </c>
      <c r="AR1786" s="82" t="str">
        <f aca="false">IF(AND(ISNUMBER(U1786),OR(AQ1786="À RADIOGRAPHIER",AQ1786="RÉPARÉ – À RADIOGRAPHIER",AQ1786="NX – RT À REFAIRE",AQ1786="À RÉPARER",AQ1786="COUPE – À RESOUDER",AQ1786="VT REJETÉ – À REPRENDRE")),MAX(0,'PROGRAMME RT'!$C$4-U1786),"")</f>
        <v/>
      </c>
      <c r="AS1786" s="82" t="n">
        <f aca="false">IF(AND(OR(AQ1786="À RADIOGRAPHIER",AQ1786="RÉPARÉ – À RADIOGRAPHIER",AQ1786="NX – RT À REFAIRE"),OR('PROGRAMME RT'!$D$5="TOUTES",B1786='PROGRAMME RT'!$D$5)),1,0)</f>
        <v>0</v>
      </c>
      <c r="AT1786" s="82" t="str">
        <f aca="false">IF(AS1786=1,SUM(AS$7:AS1786),"")</f>
        <v/>
      </c>
      <c r="AU1786" s="82" t="n">
        <f aca="false">IF(AND(OR(AA1786="R",AA1786="NX",AA1786="NT",AA1786="CO"),OR('JOINTS DE RÉPARATION'!$D$5="TOUTES",B1786='JOINTS DE RÉPARATION'!$D$5),OR('JOINTS DE RÉPARATION'!$L$4="TOUS",AQ1786&lt;&gt;"ACCEPTÉ")),1,0)</f>
        <v>0</v>
      </c>
      <c r="AV1786" s="82" t="str">
        <f aca="false">IF(AU1786=1,SUM(AU$7:AU1786),"")</f>
        <v/>
      </c>
      <c r="AW1786" s="82" t="str">
        <f aca="false">IF(E1786="","",B1786&amp;"|"&amp;E1786)</f>
        <v>MFD-ISW → MFD-CPF|JN°1407</v>
      </c>
    </row>
    <row r="1787" customFormat="false" ht="74.6" hidden="false" customHeight="false" outlineLevel="0" collapsed="false">
      <c r="A1787" s="79" t="n">
        <f aca="false">IF(E1787="","",ROW()-6)</f>
        <v>1781</v>
      </c>
      <c r="B1787" s="80" t="s">
        <v>110</v>
      </c>
      <c r="C1787" s="81" t="s">
        <v>2119</v>
      </c>
      <c r="D1787" s="81" t="n">
        <v>16</v>
      </c>
      <c r="E1787" s="81" t="s">
        <v>2175</v>
      </c>
      <c r="F1787" s="82" t="str">
        <f aca="false">IF(E1787="","",IF(LEFT(E1787,2)="DJ","DJ","JN"))</f>
        <v>DJ</v>
      </c>
      <c r="G1787" s="81" t="s">
        <v>1504</v>
      </c>
      <c r="H1787" s="81" t="s">
        <v>871</v>
      </c>
      <c r="I1787" s="81" t="n">
        <v>9.53</v>
      </c>
      <c r="J1787" s="81" t="s">
        <v>872</v>
      </c>
      <c r="K1787" s="81" t="s">
        <v>873</v>
      </c>
      <c r="L1787" s="81" t="n">
        <v>2096820</v>
      </c>
      <c r="M1787" s="81" t="n">
        <v>15421111</v>
      </c>
      <c r="N1787" s="81" t="n">
        <v>11.94</v>
      </c>
      <c r="O1787" s="81" t="n">
        <v>2088350</v>
      </c>
      <c r="P1787" s="81" t="n">
        <v>15421108</v>
      </c>
      <c r="Q1787" s="81" t="n">
        <v>11.94</v>
      </c>
      <c r="R1787" s="81" t="s">
        <v>899</v>
      </c>
      <c r="S1787" s="81"/>
      <c r="T1787" s="81"/>
      <c r="U1787" s="83" t="n">
        <v>46259</v>
      </c>
      <c r="V1787" s="83" t="n">
        <v>46259</v>
      </c>
      <c r="W1787" s="81" t="s">
        <v>2094</v>
      </c>
      <c r="X1787" s="81" t="s">
        <v>876</v>
      </c>
      <c r="Y1787" s="83" t="n">
        <v>46260</v>
      </c>
      <c r="Z1787" s="81" t="s">
        <v>2168</v>
      </c>
      <c r="AA1787" s="81" t="s">
        <v>876</v>
      </c>
      <c r="AB1787" s="81"/>
      <c r="AC1787" s="81"/>
      <c r="AD1787" s="81"/>
      <c r="AE1787" s="83"/>
      <c r="AF1787" s="81"/>
      <c r="AG1787" s="81"/>
      <c r="AH1787" s="81"/>
      <c r="AI1787" s="81"/>
      <c r="AJ1787" s="83"/>
      <c r="AK1787" s="81"/>
      <c r="AL1787" s="81"/>
      <c r="AM1787" s="83"/>
      <c r="AN1787" s="80"/>
      <c r="AO1787" s="82" t="n">
        <f aca="false">IF(E1787="","",(AA1787&lt;&gt;"")+(AG1787&lt;&gt;"")+(AL1787&lt;&gt;""))</f>
        <v>1</v>
      </c>
      <c r="AP1787" s="82" t="str">
        <f aca="false">IF(AL1787&lt;&gt;"",AL1787,IF(AG1787&lt;&gt;"",AG1787,IF(AA1787&lt;&gt;"",AA1787,"")))</f>
        <v>A</v>
      </c>
      <c r="AQ1787" s="84" t="str">
        <f aca="false">IF(E1787="","",IF(U1787="","À SOUDER",IF(X1787="","VT EN ATTENTE",IF(X1787="R","VT REJETÉ – À REPRENDRE",IF(AP1787="","À RADIOGRAPHIER",IF(AP1787="A","ACCEPTÉ",IF(AP1787="NX","NX – RT À REFAIRE",IF(IF(AO1787=1,AD1787,IF(AO1787=2,AI1787,""))="A","RÉPARÉ – À RADIOGRAPHIER",IF(IF(AO1787=1,AD1787,IF(AO1787=2,AI1787,""))="R","VT REJETÉ – À REPRENDRE",IF(OR(AP1787="CO",AP1787="NT"),"COUPE – À RESOUDER","À RÉPARER"))))))))))</f>
        <v>ACCEPTÉ</v>
      </c>
      <c r="AR1787" s="82" t="str">
        <f aca="false">IF(AND(ISNUMBER(U1787),OR(AQ1787="À RADIOGRAPHIER",AQ1787="RÉPARÉ – À RADIOGRAPHIER",AQ1787="NX – RT À REFAIRE",AQ1787="À RÉPARER",AQ1787="COUPE – À RESOUDER",AQ1787="VT REJETÉ – À REPRENDRE")),MAX(0,'PROGRAMME RT'!$C$4-U1787),"")</f>
        <v/>
      </c>
      <c r="AS1787" s="82" t="n">
        <f aca="false">IF(AND(OR(AQ1787="À RADIOGRAPHIER",AQ1787="RÉPARÉ – À RADIOGRAPHIER",AQ1787="NX – RT À REFAIRE"),OR('PROGRAMME RT'!$D$5="TOUTES",B1787='PROGRAMME RT'!$D$5)),1,0)</f>
        <v>0</v>
      </c>
      <c r="AT1787" s="82" t="str">
        <f aca="false">IF(AS1787=1,SUM(AS$7:AS1787),"")</f>
        <v/>
      </c>
      <c r="AU1787" s="82" t="n">
        <f aca="false">IF(AND(OR(AA1787="R",AA1787="NX",AA1787="NT",AA1787="CO"),OR('JOINTS DE RÉPARATION'!$D$5="TOUTES",B1787='JOINTS DE RÉPARATION'!$D$5),OR('JOINTS DE RÉPARATION'!$L$4="TOUS",AQ1787&lt;&gt;"ACCEPTÉ")),1,0)</f>
        <v>0</v>
      </c>
      <c r="AV1787" s="82" t="str">
        <f aca="false">IF(AU1787=1,SUM(AU$7:AU1787),"")</f>
        <v/>
      </c>
      <c r="AW1787" s="82" t="str">
        <f aca="false">IF(E1787="","",B1787&amp;"|"&amp;E1787)</f>
        <v>MFD-ISW → MFD-CPF|DJ°136</v>
      </c>
    </row>
    <row r="1788" customFormat="false" ht="74.6" hidden="false" customHeight="false" outlineLevel="0" collapsed="false">
      <c r="A1788" s="79" t="n">
        <f aca="false">IF(E1788="","",ROW()-6)</f>
        <v>1782</v>
      </c>
      <c r="B1788" s="80" t="s">
        <v>110</v>
      </c>
      <c r="C1788" s="81" t="s">
        <v>2119</v>
      </c>
      <c r="D1788" s="81" t="n">
        <v>16</v>
      </c>
      <c r="E1788" s="81" t="s">
        <v>2176</v>
      </c>
      <c r="F1788" s="82" t="str">
        <f aca="false">IF(E1788="","",IF(LEFT(E1788,2)="DJ","DJ","JN"))</f>
        <v>JN</v>
      </c>
      <c r="G1788" s="81" t="s">
        <v>1504</v>
      </c>
      <c r="H1788" s="81" t="s">
        <v>871</v>
      </c>
      <c r="I1788" s="81" t="n">
        <v>9.53</v>
      </c>
      <c r="J1788" s="81" t="s">
        <v>872</v>
      </c>
      <c r="K1788" s="81" t="s">
        <v>879</v>
      </c>
      <c r="L1788" s="81" t="n">
        <v>2088350</v>
      </c>
      <c r="M1788" s="81" t="n">
        <v>15421108</v>
      </c>
      <c r="N1788" s="81" t="n">
        <v>11.94</v>
      </c>
      <c r="O1788" s="81" t="n">
        <v>2095560</v>
      </c>
      <c r="P1788" s="81" t="n">
        <v>15421111</v>
      </c>
      <c r="Q1788" s="81" t="n">
        <v>11.94</v>
      </c>
      <c r="R1788" s="81" t="s">
        <v>2097</v>
      </c>
      <c r="S1788" s="81"/>
      <c r="T1788" s="81"/>
      <c r="U1788" s="83" t="n">
        <v>46271</v>
      </c>
      <c r="V1788" s="83" t="n">
        <v>46271</v>
      </c>
      <c r="W1788" s="81" t="s">
        <v>2150</v>
      </c>
      <c r="X1788" s="81" t="s">
        <v>876</v>
      </c>
      <c r="Y1788" s="83" t="n">
        <v>46288</v>
      </c>
      <c r="Z1788" s="81" t="s">
        <v>2159</v>
      </c>
      <c r="AA1788" s="81" t="s">
        <v>876</v>
      </c>
      <c r="AB1788" s="81"/>
      <c r="AC1788" s="81"/>
      <c r="AD1788" s="81"/>
      <c r="AE1788" s="83"/>
      <c r="AF1788" s="81"/>
      <c r="AG1788" s="81"/>
      <c r="AH1788" s="81"/>
      <c r="AI1788" s="81"/>
      <c r="AJ1788" s="83"/>
      <c r="AK1788" s="81"/>
      <c r="AL1788" s="81"/>
      <c r="AM1788" s="83"/>
      <c r="AN1788" s="80"/>
      <c r="AO1788" s="82" t="n">
        <f aca="false">IF(E1788="","",(AA1788&lt;&gt;"")+(AG1788&lt;&gt;"")+(AL1788&lt;&gt;""))</f>
        <v>1</v>
      </c>
      <c r="AP1788" s="82" t="str">
        <f aca="false">IF(AL1788&lt;&gt;"",AL1788,IF(AG1788&lt;&gt;"",AG1788,IF(AA1788&lt;&gt;"",AA1788,"")))</f>
        <v>A</v>
      </c>
      <c r="AQ1788" s="84" t="str">
        <f aca="false">IF(E1788="","",IF(U1788="","À SOUDER",IF(X1788="","VT EN ATTENTE",IF(X1788="R","VT REJETÉ – À REPRENDRE",IF(AP1788="","À RADIOGRAPHIER",IF(AP1788="A","ACCEPTÉ",IF(AP1788="NX","NX – RT À REFAIRE",IF(IF(AO1788=1,AD1788,IF(AO1788=2,AI1788,""))="A","RÉPARÉ – À RADIOGRAPHIER",IF(IF(AO1788=1,AD1788,IF(AO1788=2,AI1788,""))="R","VT REJETÉ – À REPRENDRE",IF(OR(AP1788="CO",AP1788="NT"),"COUPE – À RESOUDER","À RÉPARER"))))))))))</f>
        <v>ACCEPTÉ</v>
      </c>
      <c r="AR1788" s="82" t="str">
        <f aca="false">IF(AND(ISNUMBER(U1788),OR(AQ1788="À RADIOGRAPHIER",AQ1788="RÉPARÉ – À RADIOGRAPHIER",AQ1788="NX – RT À REFAIRE",AQ1788="À RÉPARER",AQ1788="COUPE – À RESOUDER",AQ1788="VT REJETÉ – À REPRENDRE")),MAX(0,'PROGRAMME RT'!$C$4-U1788),"")</f>
        <v/>
      </c>
      <c r="AS1788" s="82" t="n">
        <f aca="false">IF(AND(OR(AQ1788="À RADIOGRAPHIER",AQ1788="RÉPARÉ – À RADIOGRAPHIER",AQ1788="NX – RT À REFAIRE"),OR('PROGRAMME RT'!$D$5="TOUTES",B1788='PROGRAMME RT'!$D$5)),1,0)</f>
        <v>0</v>
      </c>
      <c r="AT1788" s="82" t="str">
        <f aca="false">IF(AS1788=1,SUM(AS$7:AS1788),"")</f>
        <v/>
      </c>
      <c r="AU1788" s="82" t="n">
        <f aca="false">IF(AND(OR(AA1788="R",AA1788="NX",AA1788="NT",AA1788="CO"),OR('JOINTS DE RÉPARATION'!$D$5="TOUTES",B1788='JOINTS DE RÉPARATION'!$D$5),OR('JOINTS DE RÉPARATION'!$L$4="TOUS",AQ1788&lt;&gt;"ACCEPTÉ")),1,0)</f>
        <v>0</v>
      </c>
      <c r="AV1788" s="82" t="str">
        <f aca="false">IF(AU1788=1,SUM(AU$7:AU1788),"")</f>
        <v/>
      </c>
      <c r="AW1788" s="82" t="str">
        <f aca="false">IF(E1788="","",B1788&amp;"|"&amp;E1788)</f>
        <v>MFD-ISW → MFD-CPF|JN°1408</v>
      </c>
    </row>
    <row r="1789" customFormat="false" ht="74.6" hidden="false" customHeight="false" outlineLevel="0" collapsed="false">
      <c r="A1789" s="79" t="n">
        <f aca="false">IF(E1789="","",ROW()-6)</f>
        <v>1783</v>
      </c>
      <c r="B1789" s="80" t="s">
        <v>110</v>
      </c>
      <c r="C1789" s="81" t="s">
        <v>2119</v>
      </c>
      <c r="D1789" s="81" t="n">
        <v>16</v>
      </c>
      <c r="E1789" s="81" t="s">
        <v>2177</v>
      </c>
      <c r="F1789" s="82" t="str">
        <f aca="false">IF(E1789="","",IF(LEFT(E1789,2)="DJ","DJ","JN"))</f>
        <v>DJ</v>
      </c>
      <c r="G1789" s="81" t="s">
        <v>1504</v>
      </c>
      <c r="H1789" s="81" t="s">
        <v>871</v>
      </c>
      <c r="I1789" s="81" t="n">
        <v>9.53</v>
      </c>
      <c r="J1789" s="81" t="s">
        <v>872</v>
      </c>
      <c r="K1789" s="81" t="s">
        <v>873</v>
      </c>
      <c r="L1789" s="81" t="n">
        <v>2095560</v>
      </c>
      <c r="M1789" s="81" t="n">
        <v>15421111</v>
      </c>
      <c r="N1789" s="81" t="n">
        <v>11.94</v>
      </c>
      <c r="O1789" s="81" t="n">
        <v>2089990</v>
      </c>
      <c r="P1789" s="81" t="n">
        <v>15421109</v>
      </c>
      <c r="Q1789" s="81" t="n">
        <v>11.94</v>
      </c>
      <c r="R1789" s="81" t="s">
        <v>1517</v>
      </c>
      <c r="S1789" s="81"/>
      <c r="T1789" s="81"/>
      <c r="U1789" s="83" t="n">
        <v>46257</v>
      </c>
      <c r="V1789" s="83" t="n">
        <v>46257</v>
      </c>
      <c r="W1789" s="81" t="s">
        <v>1560</v>
      </c>
      <c r="X1789" s="81" t="s">
        <v>876</v>
      </c>
      <c r="Y1789" s="83" t="n">
        <v>46257</v>
      </c>
      <c r="Z1789" s="81" t="s">
        <v>1561</v>
      </c>
      <c r="AA1789" s="81" t="s">
        <v>876</v>
      </c>
      <c r="AB1789" s="81"/>
      <c r="AC1789" s="81"/>
      <c r="AD1789" s="81"/>
      <c r="AE1789" s="83"/>
      <c r="AF1789" s="81"/>
      <c r="AG1789" s="81"/>
      <c r="AH1789" s="81"/>
      <c r="AI1789" s="81"/>
      <c r="AJ1789" s="83"/>
      <c r="AK1789" s="81"/>
      <c r="AL1789" s="81"/>
      <c r="AM1789" s="83"/>
      <c r="AN1789" s="80"/>
      <c r="AO1789" s="82" t="n">
        <f aca="false">IF(E1789="","",(AA1789&lt;&gt;"")+(AG1789&lt;&gt;"")+(AL1789&lt;&gt;""))</f>
        <v>1</v>
      </c>
      <c r="AP1789" s="82" t="str">
        <f aca="false">IF(AL1789&lt;&gt;"",AL1789,IF(AG1789&lt;&gt;"",AG1789,IF(AA1789&lt;&gt;"",AA1789,"")))</f>
        <v>A</v>
      </c>
      <c r="AQ1789" s="84" t="str">
        <f aca="false">IF(E1789="","",IF(U1789="","À SOUDER",IF(X1789="","VT EN ATTENTE",IF(X1789="R","VT REJETÉ – À REPRENDRE",IF(AP1789="","À RADIOGRAPHIER",IF(AP1789="A","ACCEPTÉ",IF(AP1789="NX","NX – RT À REFAIRE",IF(IF(AO1789=1,AD1789,IF(AO1789=2,AI1789,""))="A","RÉPARÉ – À RADIOGRAPHIER",IF(IF(AO1789=1,AD1789,IF(AO1789=2,AI1789,""))="R","VT REJETÉ – À REPRENDRE",IF(OR(AP1789="CO",AP1789="NT"),"COUPE – À RESOUDER","À RÉPARER"))))))))))</f>
        <v>ACCEPTÉ</v>
      </c>
      <c r="AR1789" s="82" t="str">
        <f aca="false">IF(AND(ISNUMBER(U1789),OR(AQ1789="À RADIOGRAPHIER",AQ1789="RÉPARÉ – À RADIOGRAPHIER",AQ1789="NX – RT À REFAIRE",AQ1789="À RÉPARER",AQ1789="COUPE – À RESOUDER",AQ1789="VT REJETÉ – À REPRENDRE")),MAX(0,'PROGRAMME RT'!$C$4-U1789),"")</f>
        <v/>
      </c>
      <c r="AS1789" s="82" t="n">
        <f aca="false">IF(AND(OR(AQ1789="À RADIOGRAPHIER",AQ1789="RÉPARÉ – À RADIOGRAPHIER",AQ1789="NX – RT À REFAIRE"),OR('PROGRAMME RT'!$D$5="TOUTES",B1789='PROGRAMME RT'!$D$5)),1,0)</f>
        <v>0</v>
      </c>
      <c r="AT1789" s="82" t="str">
        <f aca="false">IF(AS1789=1,SUM(AS$7:AS1789),"")</f>
        <v/>
      </c>
      <c r="AU1789" s="82" t="n">
        <f aca="false">IF(AND(OR(AA1789="R",AA1789="NX",AA1789="NT",AA1789="CO"),OR('JOINTS DE RÉPARATION'!$D$5="TOUTES",B1789='JOINTS DE RÉPARATION'!$D$5),OR('JOINTS DE RÉPARATION'!$L$4="TOUS",AQ1789&lt;&gt;"ACCEPTÉ")),1,0)</f>
        <v>0</v>
      </c>
      <c r="AV1789" s="82" t="str">
        <f aca="false">IF(AU1789=1,SUM(AU$7:AU1789),"")</f>
        <v/>
      </c>
      <c r="AW1789" s="82" t="str">
        <f aca="false">IF(E1789="","",B1789&amp;"|"&amp;E1789)</f>
        <v>MFD-ISW → MFD-CPF|DJ°108</v>
      </c>
    </row>
    <row r="1790" customFormat="false" ht="74.6" hidden="false" customHeight="false" outlineLevel="0" collapsed="false">
      <c r="A1790" s="79" t="n">
        <f aca="false">IF(E1790="","",ROW()-6)</f>
        <v>1784</v>
      </c>
      <c r="B1790" s="80" t="s">
        <v>110</v>
      </c>
      <c r="C1790" s="81" t="s">
        <v>2119</v>
      </c>
      <c r="D1790" s="81" t="n">
        <v>16</v>
      </c>
      <c r="E1790" s="81" t="s">
        <v>2178</v>
      </c>
      <c r="F1790" s="82" t="str">
        <f aca="false">IF(E1790="","",IF(LEFT(E1790,2)="DJ","DJ","JN"))</f>
        <v>JN</v>
      </c>
      <c r="G1790" s="81" t="s">
        <v>1504</v>
      </c>
      <c r="H1790" s="81" t="s">
        <v>871</v>
      </c>
      <c r="I1790" s="81" t="n">
        <v>9.53</v>
      </c>
      <c r="J1790" s="81" t="s">
        <v>872</v>
      </c>
      <c r="K1790" s="81" t="s">
        <v>879</v>
      </c>
      <c r="L1790" s="81" t="n">
        <v>2089990</v>
      </c>
      <c r="M1790" s="81" t="n">
        <v>15421109</v>
      </c>
      <c r="N1790" s="81" t="n">
        <v>11.94</v>
      </c>
      <c r="O1790" s="81" t="n">
        <v>2088690</v>
      </c>
      <c r="P1790" s="81" t="n">
        <v>15421108</v>
      </c>
      <c r="Q1790" s="81" t="n">
        <v>11.94</v>
      </c>
      <c r="R1790" s="81" t="s">
        <v>2097</v>
      </c>
      <c r="S1790" s="81"/>
      <c r="T1790" s="81"/>
      <c r="U1790" s="83" t="n">
        <v>46271</v>
      </c>
      <c r="V1790" s="83" t="n">
        <v>46271</v>
      </c>
      <c r="W1790" s="81" t="s">
        <v>2150</v>
      </c>
      <c r="X1790" s="81" t="s">
        <v>876</v>
      </c>
      <c r="Y1790" s="83" t="n">
        <v>46288</v>
      </c>
      <c r="Z1790" s="81" t="s">
        <v>2159</v>
      </c>
      <c r="AA1790" s="81" t="s">
        <v>876</v>
      </c>
      <c r="AB1790" s="81"/>
      <c r="AC1790" s="81"/>
      <c r="AD1790" s="81"/>
      <c r="AE1790" s="83"/>
      <c r="AF1790" s="81"/>
      <c r="AG1790" s="81"/>
      <c r="AH1790" s="81"/>
      <c r="AI1790" s="81"/>
      <c r="AJ1790" s="83"/>
      <c r="AK1790" s="81"/>
      <c r="AL1790" s="81"/>
      <c r="AM1790" s="83"/>
      <c r="AN1790" s="80"/>
      <c r="AO1790" s="82" t="n">
        <f aca="false">IF(E1790="","",(AA1790&lt;&gt;"")+(AG1790&lt;&gt;"")+(AL1790&lt;&gt;""))</f>
        <v>1</v>
      </c>
      <c r="AP1790" s="82" t="str">
        <f aca="false">IF(AL1790&lt;&gt;"",AL1790,IF(AG1790&lt;&gt;"",AG1790,IF(AA1790&lt;&gt;"",AA1790,"")))</f>
        <v>A</v>
      </c>
      <c r="AQ1790" s="84" t="str">
        <f aca="false">IF(E1790="","",IF(U1790="","À SOUDER",IF(X1790="","VT EN ATTENTE",IF(X1790="R","VT REJETÉ – À REPRENDRE",IF(AP1790="","À RADIOGRAPHIER",IF(AP1790="A","ACCEPTÉ",IF(AP1790="NX","NX – RT À REFAIRE",IF(IF(AO1790=1,AD1790,IF(AO1790=2,AI1790,""))="A","RÉPARÉ – À RADIOGRAPHIER",IF(IF(AO1790=1,AD1790,IF(AO1790=2,AI1790,""))="R","VT REJETÉ – À REPRENDRE",IF(OR(AP1790="CO",AP1790="NT"),"COUPE – À RESOUDER","À RÉPARER"))))))))))</f>
        <v>ACCEPTÉ</v>
      </c>
      <c r="AR1790" s="82" t="str">
        <f aca="false">IF(AND(ISNUMBER(U1790),OR(AQ1790="À RADIOGRAPHIER",AQ1790="RÉPARÉ – À RADIOGRAPHIER",AQ1790="NX – RT À REFAIRE",AQ1790="À RÉPARER",AQ1790="COUPE – À RESOUDER",AQ1790="VT REJETÉ – À REPRENDRE")),MAX(0,'PROGRAMME RT'!$C$4-U1790),"")</f>
        <v/>
      </c>
      <c r="AS1790" s="82" t="n">
        <f aca="false">IF(AND(OR(AQ1790="À RADIOGRAPHIER",AQ1790="RÉPARÉ – À RADIOGRAPHIER",AQ1790="NX – RT À REFAIRE"),OR('PROGRAMME RT'!$D$5="TOUTES",B1790='PROGRAMME RT'!$D$5)),1,0)</f>
        <v>0</v>
      </c>
      <c r="AT1790" s="82" t="str">
        <f aca="false">IF(AS1790=1,SUM(AS$7:AS1790),"")</f>
        <v/>
      </c>
      <c r="AU1790" s="82" t="n">
        <f aca="false">IF(AND(OR(AA1790="R",AA1790="NX",AA1790="NT",AA1790="CO"),OR('JOINTS DE RÉPARATION'!$D$5="TOUTES",B1790='JOINTS DE RÉPARATION'!$D$5),OR('JOINTS DE RÉPARATION'!$L$4="TOUS",AQ1790&lt;&gt;"ACCEPTÉ")),1,0)</f>
        <v>0</v>
      </c>
      <c r="AV1790" s="82" t="str">
        <f aca="false">IF(AU1790=1,SUM(AU$7:AU1790),"")</f>
        <v/>
      </c>
      <c r="AW1790" s="82" t="str">
        <f aca="false">IF(E1790="","",B1790&amp;"|"&amp;E1790)</f>
        <v>MFD-ISW → MFD-CPF|JN°1409</v>
      </c>
    </row>
    <row r="1791" customFormat="false" ht="74.6" hidden="false" customHeight="false" outlineLevel="0" collapsed="false">
      <c r="A1791" s="79" t="n">
        <f aca="false">IF(E1791="","",ROW()-6)</f>
        <v>1785</v>
      </c>
      <c r="B1791" s="80" t="s">
        <v>110</v>
      </c>
      <c r="C1791" s="81" t="s">
        <v>2119</v>
      </c>
      <c r="D1791" s="81" t="n">
        <v>16</v>
      </c>
      <c r="E1791" s="81" t="s">
        <v>2179</v>
      </c>
      <c r="F1791" s="82" t="str">
        <f aca="false">IF(E1791="","",IF(LEFT(E1791,2)="DJ","DJ","JN"))</f>
        <v>DJ</v>
      </c>
      <c r="G1791" s="81" t="s">
        <v>1504</v>
      </c>
      <c r="H1791" s="81" t="s">
        <v>871</v>
      </c>
      <c r="I1791" s="81" t="n">
        <v>9.53</v>
      </c>
      <c r="J1791" s="81" t="s">
        <v>872</v>
      </c>
      <c r="K1791" s="81" t="s">
        <v>873</v>
      </c>
      <c r="L1791" s="81" t="n">
        <v>2088690</v>
      </c>
      <c r="M1791" s="81" t="n">
        <v>15421108</v>
      </c>
      <c r="N1791" s="81" t="n">
        <v>11.94</v>
      </c>
      <c r="O1791" s="81" t="n">
        <v>2096160</v>
      </c>
      <c r="P1791" s="81" t="n">
        <v>15421111</v>
      </c>
      <c r="Q1791" s="81" t="n">
        <v>11.94</v>
      </c>
      <c r="R1791" s="81" t="s">
        <v>1135</v>
      </c>
      <c r="S1791" s="81"/>
      <c r="T1791" s="81"/>
      <c r="U1791" s="83" t="n">
        <v>46257</v>
      </c>
      <c r="V1791" s="83" t="n">
        <v>46257</v>
      </c>
      <c r="W1791" s="81" t="s">
        <v>1560</v>
      </c>
      <c r="X1791" s="81" t="s">
        <v>876</v>
      </c>
      <c r="Y1791" s="83" t="n">
        <v>46257</v>
      </c>
      <c r="Z1791" s="81" t="s">
        <v>1561</v>
      </c>
      <c r="AA1791" s="81" t="s">
        <v>876</v>
      </c>
      <c r="AB1791" s="81"/>
      <c r="AC1791" s="81"/>
      <c r="AD1791" s="81"/>
      <c r="AE1791" s="83"/>
      <c r="AF1791" s="81"/>
      <c r="AG1791" s="81"/>
      <c r="AH1791" s="81"/>
      <c r="AI1791" s="81"/>
      <c r="AJ1791" s="83"/>
      <c r="AK1791" s="81"/>
      <c r="AL1791" s="81"/>
      <c r="AM1791" s="83"/>
      <c r="AN1791" s="80"/>
      <c r="AO1791" s="82" t="n">
        <f aca="false">IF(E1791="","",(AA1791&lt;&gt;"")+(AG1791&lt;&gt;"")+(AL1791&lt;&gt;""))</f>
        <v>1</v>
      </c>
      <c r="AP1791" s="82" t="str">
        <f aca="false">IF(AL1791&lt;&gt;"",AL1791,IF(AG1791&lt;&gt;"",AG1791,IF(AA1791&lt;&gt;"",AA1791,"")))</f>
        <v>A</v>
      </c>
      <c r="AQ1791" s="84" t="str">
        <f aca="false">IF(E1791="","",IF(U1791="","À SOUDER",IF(X1791="","VT EN ATTENTE",IF(X1791="R","VT REJETÉ – À REPRENDRE",IF(AP1791="","À RADIOGRAPHIER",IF(AP1791="A","ACCEPTÉ",IF(AP1791="NX","NX – RT À REFAIRE",IF(IF(AO1791=1,AD1791,IF(AO1791=2,AI1791,""))="A","RÉPARÉ – À RADIOGRAPHIER",IF(IF(AO1791=1,AD1791,IF(AO1791=2,AI1791,""))="R","VT REJETÉ – À REPRENDRE",IF(OR(AP1791="CO",AP1791="NT"),"COUPE – À RESOUDER","À RÉPARER"))))))))))</f>
        <v>ACCEPTÉ</v>
      </c>
      <c r="AR1791" s="82" t="str">
        <f aca="false">IF(AND(ISNUMBER(U1791),OR(AQ1791="À RADIOGRAPHIER",AQ1791="RÉPARÉ – À RADIOGRAPHIER",AQ1791="NX – RT À REFAIRE",AQ1791="À RÉPARER",AQ1791="COUPE – À RESOUDER",AQ1791="VT REJETÉ – À REPRENDRE")),MAX(0,'PROGRAMME RT'!$C$4-U1791),"")</f>
        <v/>
      </c>
      <c r="AS1791" s="82" t="n">
        <f aca="false">IF(AND(OR(AQ1791="À RADIOGRAPHIER",AQ1791="RÉPARÉ – À RADIOGRAPHIER",AQ1791="NX – RT À REFAIRE"),OR('PROGRAMME RT'!$D$5="TOUTES",B1791='PROGRAMME RT'!$D$5)),1,0)</f>
        <v>0</v>
      </c>
      <c r="AT1791" s="82" t="str">
        <f aca="false">IF(AS1791=1,SUM(AS$7:AS1791),"")</f>
        <v/>
      </c>
      <c r="AU1791" s="82" t="n">
        <f aca="false">IF(AND(OR(AA1791="R",AA1791="NX",AA1791="NT",AA1791="CO"),OR('JOINTS DE RÉPARATION'!$D$5="TOUTES",B1791='JOINTS DE RÉPARATION'!$D$5),OR('JOINTS DE RÉPARATION'!$L$4="TOUS",AQ1791&lt;&gt;"ACCEPTÉ")),1,0)</f>
        <v>0</v>
      </c>
      <c r="AV1791" s="82" t="str">
        <f aca="false">IF(AU1791=1,SUM(AU$7:AU1791),"")</f>
        <v/>
      </c>
      <c r="AW1791" s="82" t="str">
        <f aca="false">IF(E1791="","",B1791&amp;"|"&amp;E1791)</f>
        <v>MFD-ISW → MFD-CPF|DJ°105</v>
      </c>
    </row>
    <row r="1792" customFormat="false" ht="74.6" hidden="false" customHeight="false" outlineLevel="0" collapsed="false">
      <c r="A1792" s="79" t="n">
        <f aca="false">IF(E1792="","",ROW()-6)</f>
        <v>1786</v>
      </c>
      <c r="B1792" s="80" t="s">
        <v>110</v>
      </c>
      <c r="C1792" s="81" t="s">
        <v>2119</v>
      </c>
      <c r="D1792" s="81" t="n">
        <v>16</v>
      </c>
      <c r="E1792" s="81" t="s">
        <v>2180</v>
      </c>
      <c r="F1792" s="82" t="str">
        <f aca="false">IF(E1792="","",IF(LEFT(E1792,2)="DJ","DJ","JN"))</f>
        <v>JN</v>
      </c>
      <c r="G1792" s="81" t="s">
        <v>1504</v>
      </c>
      <c r="H1792" s="81" t="s">
        <v>871</v>
      </c>
      <c r="I1792" s="81" t="n">
        <v>9.53</v>
      </c>
      <c r="J1792" s="81" t="s">
        <v>872</v>
      </c>
      <c r="K1792" s="81" t="s">
        <v>879</v>
      </c>
      <c r="L1792" s="81" t="n">
        <v>2096160</v>
      </c>
      <c r="M1792" s="81" t="n">
        <v>15421111</v>
      </c>
      <c r="N1792" s="81" t="n">
        <v>11.94</v>
      </c>
      <c r="O1792" s="81" t="n">
        <v>2088300</v>
      </c>
      <c r="P1792" s="81" t="n">
        <v>15421108</v>
      </c>
      <c r="Q1792" s="81" t="n">
        <v>11.94</v>
      </c>
      <c r="R1792" s="81" t="s">
        <v>2097</v>
      </c>
      <c r="S1792" s="81"/>
      <c r="T1792" s="81"/>
      <c r="U1792" s="83" t="n">
        <v>46271</v>
      </c>
      <c r="V1792" s="83" t="n">
        <v>46271</v>
      </c>
      <c r="W1792" s="81" t="s">
        <v>2150</v>
      </c>
      <c r="X1792" s="81" t="s">
        <v>876</v>
      </c>
      <c r="Y1792" s="83" t="n">
        <v>46288</v>
      </c>
      <c r="Z1792" s="81" t="s">
        <v>2159</v>
      </c>
      <c r="AA1792" s="81" t="s">
        <v>876</v>
      </c>
      <c r="AB1792" s="81"/>
      <c r="AC1792" s="81"/>
      <c r="AD1792" s="81"/>
      <c r="AE1792" s="83"/>
      <c r="AF1792" s="81"/>
      <c r="AG1792" s="81"/>
      <c r="AH1792" s="81"/>
      <c r="AI1792" s="81"/>
      <c r="AJ1792" s="83"/>
      <c r="AK1792" s="81"/>
      <c r="AL1792" s="81"/>
      <c r="AM1792" s="83"/>
      <c r="AN1792" s="80"/>
      <c r="AO1792" s="82" t="n">
        <f aca="false">IF(E1792="","",(AA1792&lt;&gt;"")+(AG1792&lt;&gt;"")+(AL1792&lt;&gt;""))</f>
        <v>1</v>
      </c>
      <c r="AP1792" s="82" t="str">
        <f aca="false">IF(AL1792&lt;&gt;"",AL1792,IF(AG1792&lt;&gt;"",AG1792,IF(AA1792&lt;&gt;"",AA1792,"")))</f>
        <v>A</v>
      </c>
      <c r="AQ1792" s="84" t="str">
        <f aca="false">IF(E1792="","",IF(U1792="","À SOUDER",IF(X1792="","VT EN ATTENTE",IF(X1792="R","VT REJETÉ – À REPRENDRE",IF(AP1792="","À RADIOGRAPHIER",IF(AP1792="A","ACCEPTÉ",IF(AP1792="NX","NX – RT À REFAIRE",IF(IF(AO1792=1,AD1792,IF(AO1792=2,AI1792,""))="A","RÉPARÉ – À RADIOGRAPHIER",IF(IF(AO1792=1,AD1792,IF(AO1792=2,AI1792,""))="R","VT REJETÉ – À REPRENDRE",IF(OR(AP1792="CO",AP1792="NT"),"COUPE – À RESOUDER","À RÉPARER"))))))))))</f>
        <v>ACCEPTÉ</v>
      </c>
      <c r="AR1792" s="82" t="str">
        <f aca="false">IF(AND(ISNUMBER(U1792),OR(AQ1792="À RADIOGRAPHIER",AQ1792="RÉPARÉ – À RADIOGRAPHIER",AQ1792="NX – RT À REFAIRE",AQ1792="À RÉPARER",AQ1792="COUPE – À RESOUDER",AQ1792="VT REJETÉ – À REPRENDRE")),MAX(0,'PROGRAMME RT'!$C$4-U1792),"")</f>
        <v/>
      </c>
      <c r="AS1792" s="82" t="n">
        <f aca="false">IF(AND(OR(AQ1792="À RADIOGRAPHIER",AQ1792="RÉPARÉ – À RADIOGRAPHIER",AQ1792="NX – RT À REFAIRE"),OR('PROGRAMME RT'!$D$5="TOUTES",B1792='PROGRAMME RT'!$D$5)),1,0)</f>
        <v>0</v>
      </c>
      <c r="AT1792" s="82" t="str">
        <f aca="false">IF(AS1792=1,SUM(AS$7:AS1792),"")</f>
        <v/>
      </c>
      <c r="AU1792" s="82" t="n">
        <f aca="false">IF(AND(OR(AA1792="R",AA1792="NX",AA1792="NT",AA1792="CO"),OR('JOINTS DE RÉPARATION'!$D$5="TOUTES",B1792='JOINTS DE RÉPARATION'!$D$5),OR('JOINTS DE RÉPARATION'!$L$4="TOUS",AQ1792&lt;&gt;"ACCEPTÉ")),1,0)</f>
        <v>0</v>
      </c>
      <c r="AV1792" s="82" t="str">
        <f aca="false">IF(AU1792=1,SUM(AU$7:AU1792),"")</f>
        <v/>
      </c>
      <c r="AW1792" s="82" t="str">
        <f aca="false">IF(E1792="","",B1792&amp;"|"&amp;E1792)</f>
        <v>MFD-ISW → MFD-CPF|JN°1410</v>
      </c>
    </row>
    <row r="1793" customFormat="false" ht="74.6" hidden="false" customHeight="false" outlineLevel="0" collapsed="false">
      <c r="A1793" s="79" t="n">
        <f aca="false">IF(E1793="","",ROW()-6)</f>
        <v>1787</v>
      </c>
      <c r="B1793" s="80" t="s">
        <v>110</v>
      </c>
      <c r="C1793" s="81" t="s">
        <v>2119</v>
      </c>
      <c r="D1793" s="81" t="n">
        <v>16</v>
      </c>
      <c r="E1793" s="81" t="s">
        <v>2181</v>
      </c>
      <c r="F1793" s="82" t="str">
        <f aca="false">IF(E1793="","",IF(LEFT(E1793,2)="DJ","DJ","JN"))</f>
        <v>DJ</v>
      </c>
      <c r="G1793" s="81" t="s">
        <v>1504</v>
      </c>
      <c r="H1793" s="81" t="s">
        <v>871</v>
      </c>
      <c r="I1793" s="81" t="n">
        <v>9.53</v>
      </c>
      <c r="J1793" s="81" t="s">
        <v>872</v>
      </c>
      <c r="K1793" s="81" t="s">
        <v>873</v>
      </c>
      <c r="L1793" s="81" t="n">
        <v>2088300</v>
      </c>
      <c r="M1793" s="81" t="n">
        <v>15421108</v>
      </c>
      <c r="N1793" s="81" t="n">
        <v>11.94</v>
      </c>
      <c r="O1793" s="81" t="n">
        <v>2082620</v>
      </c>
      <c r="P1793" s="81" t="n">
        <v>15421104</v>
      </c>
      <c r="Q1793" s="81" t="n">
        <v>11.94</v>
      </c>
      <c r="R1793" s="81" t="s">
        <v>874</v>
      </c>
      <c r="S1793" s="81"/>
      <c r="T1793" s="81"/>
      <c r="U1793" s="83" t="n">
        <v>46257</v>
      </c>
      <c r="V1793" s="83" t="n">
        <v>46257</v>
      </c>
      <c r="W1793" s="81" t="s">
        <v>1560</v>
      </c>
      <c r="X1793" s="81" t="s">
        <v>876</v>
      </c>
      <c r="Y1793" s="83" t="n">
        <v>46259</v>
      </c>
      <c r="Z1793" s="81" t="s">
        <v>1569</v>
      </c>
      <c r="AA1793" s="81" t="s">
        <v>876</v>
      </c>
      <c r="AB1793" s="81"/>
      <c r="AC1793" s="81"/>
      <c r="AD1793" s="81"/>
      <c r="AE1793" s="83"/>
      <c r="AF1793" s="81"/>
      <c r="AG1793" s="81"/>
      <c r="AH1793" s="81"/>
      <c r="AI1793" s="81"/>
      <c r="AJ1793" s="83"/>
      <c r="AK1793" s="81"/>
      <c r="AL1793" s="81"/>
      <c r="AM1793" s="83"/>
      <c r="AN1793" s="80"/>
      <c r="AO1793" s="82" t="n">
        <f aca="false">IF(E1793="","",(AA1793&lt;&gt;"")+(AG1793&lt;&gt;"")+(AL1793&lt;&gt;""))</f>
        <v>1</v>
      </c>
      <c r="AP1793" s="82" t="str">
        <f aca="false">IF(AL1793&lt;&gt;"",AL1793,IF(AG1793&lt;&gt;"",AG1793,IF(AA1793&lt;&gt;"",AA1793,"")))</f>
        <v>A</v>
      </c>
      <c r="AQ1793" s="84" t="str">
        <f aca="false">IF(E1793="","",IF(U1793="","À SOUDER",IF(X1793="","VT EN ATTENTE",IF(X1793="R","VT REJETÉ – À REPRENDRE",IF(AP1793="","À RADIOGRAPHIER",IF(AP1793="A","ACCEPTÉ",IF(AP1793="NX","NX – RT À REFAIRE",IF(IF(AO1793=1,AD1793,IF(AO1793=2,AI1793,""))="A","RÉPARÉ – À RADIOGRAPHIER",IF(IF(AO1793=1,AD1793,IF(AO1793=2,AI1793,""))="R","VT REJETÉ – À REPRENDRE",IF(OR(AP1793="CO",AP1793="NT"),"COUPE – À RESOUDER","À RÉPARER"))))))))))</f>
        <v>ACCEPTÉ</v>
      </c>
      <c r="AR1793" s="82" t="str">
        <f aca="false">IF(AND(ISNUMBER(U1793),OR(AQ1793="À RADIOGRAPHIER",AQ1793="RÉPARÉ – À RADIOGRAPHIER",AQ1793="NX – RT À REFAIRE",AQ1793="À RÉPARER",AQ1793="COUPE – À RESOUDER",AQ1793="VT REJETÉ – À REPRENDRE")),MAX(0,'PROGRAMME RT'!$C$4-U1793),"")</f>
        <v/>
      </c>
      <c r="AS1793" s="82" t="n">
        <f aca="false">IF(AND(OR(AQ1793="À RADIOGRAPHIER",AQ1793="RÉPARÉ – À RADIOGRAPHIER",AQ1793="NX – RT À REFAIRE"),OR('PROGRAMME RT'!$D$5="TOUTES",B1793='PROGRAMME RT'!$D$5)),1,0)</f>
        <v>0</v>
      </c>
      <c r="AT1793" s="82" t="str">
        <f aca="false">IF(AS1793=1,SUM(AS$7:AS1793),"")</f>
        <v/>
      </c>
      <c r="AU1793" s="82" t="n">
        <f aca="false">IF(AND(OR(AA1793="R",AA1793="NX",AA1793="NT",AA1793="CO"),OR('JOINTS DE RÉPARATION'!$D$5="TOUTES",B1793='JOINTS DE RÉPARATION'!$D$5),OR('JOINTS DE RÉPARATION'!$L$4="TOUS",AQ1793&lt;&gt;"ACCEPTÉ")),1,0)</f>
        <v>0</v>
      </c>
      <c r="AV1793" s="82" t="str">
        <f aca="false">IF(AU1793=1,SUM(AU$7:AU1793),"")</f>
        <v/>
      </c>
      <c r="AW1793" s="82" t="str">
        <f aca="false">IF(E1793="","",B1793&amp;"|"&amp;E1793)</f>
        <v>MFD-ISW → MFD-CPF|DJ°110</v>
      </c>
    </row>
    <row r="1794" customFormat="false" ht="74.6" hidden="false" customHeight="false" outlineLevel="0" collapsed="false">
      <c r="A1794" s="79" t="n">
        <f aca="false">IF(E1794="","",ROW()-6)</f>
        <v>1788</v>
      </c>
      <c r="B1794" s="80" t="s">
        <v>110</v>
      </c>
      <c r="C1794" s="81" t="s">
        <v>2119</v>
      </c>
      <c r="D1794" s="81" t="n">
        <v>16</v>
      </c>
      <c r="E1794" s="81" t="s">
        <v>2182</v>
      </c>
      <c r="F1794" s="82" t="str">
        <f aca="false">IF(E1794="","",IF(LEFT(E1794,2)="DJ","DJ","JN"))</f>
        <v>JN</v>
      </c>
      <c r="G1794" s="81" t="s">
        <v>1504</v>
      </c>
      <c r="H1794" s="81" t="s">
        <v>871</v>
      </c>
      <c r="I1794" s="81" t="n">
        <v>9.53</v>
      </c>
      <c r="J1794" s="81" t="s">
        <v>872</v>
      </c>
      <c r="K1794" s="81" t="s">
        <v>879</v>
      </c>
      <c r="L1794" s="81" t="n">
        <v>2082620</v>
      </c>
      <c r="M1794" s="81" t="n">
        <v>15421104</v>
      </c>
      <c r="N1794" s="81" t="n">
        <v>11.94</v>
      </c>
      <c r="O1794" s="81" t="n">
        <v>2090290</v>
      </c>
      <c r="P1794" s="81" t="n">
        <v>15421109</v>
      </c>
      <c r="Q1794" s="81" t="n">
        <v>11.94</v>
      </c>
      <c r="R1794" s="81" t="s">
        <v>2097</v>
      </c>
      <c r="S1794" s="81"/>
      <c r="T1794" s="81"/>
      <c r="U1794" s="83" t="n">
        <v>46271</v>
      </c>
      <c r="V1794" s="83" t="n">
        <v>46271</v>
      </c>
      <c r="W1794" s="81" t="s">
        <v>2150</v>
      </c>
      <c r="X1794" s="81" t="s">
        <v>876</v>
      </c>
      <c r="Y1794" s="83" t="n">
        <v>46288</v>
      </c>
      <c r="Z1794" s="81" t="s">
        <v>2159</v>
      </c>
      <c r="AA1794" s="81" t="s">
        <v>876</v>
      </c>
      <c r="AB1794" s="81"/>
      <c r="AC1794" s="81"/>
      <c r="AD1794" s="81"/>
      <c r="AE1794" s="83"/>
      <c r="AF1794" s="81"/>
      <c r="AG1794" s="81"/>
      <c r="AH1794" s="81"/>
      <c r="AI1794" s="81"/>
      <c r="AJ1794" s="83"/>
      <c r="AK1794" s="81"/>
      <c r="AL1794" s="81"/>
      <c r="AM1794" s="83"/>
      <c r="AN1794" s="80"/>
      <c r="AO1794" s="82" t="n">
        <f aca="false">IF(E1794="","",(AA1794&lt;&gt;"")+(AG1794&lt;&gt;"")+(AL1794&lt;&gt;""))</f>
        <v>1</v>
      </c>
      <c r="AP1794" s="82" t="str">
        <f aca="false">IF(AL1794&lt;&gt;"",AL1794,IF(AG1794&lt;&gt;"",AG1794,IF(AA1794&lt;&gt;"",AA1794,"")))</f>
        <v>A</v>
      </c>
      <c r="AQ1794" s="84" t="str">
        <f aca="false">IF(E1794="","",IF(U1794="","À SOUDER",IF(X1794="","VT EN ATTENTE",IF(X1794="R","VT REJETÉ – À REPRENDRE",IF(AP1794="","À RADIOGRAPHIER",IF(AP1794="A","ACCEPTÉ",IF(AP1794="NX","NX – RT À REFAIRE",IF(IF(AO1794=1,AD1794,IF(AO1794=2,AI1794,""))="A","RÉPARÉ – À RADIOGRAPHIER",IF(IF(AO1794=1,AD1794,IF(AO1794=2,AI1794,""))="R","VT REJETÉ – À REPRENDRE",IF(OR(AP1794="CO",AP1794="NT"),"COUPE – À RESOUDER","À RÉPARER"))))))))))</f>
        <v>ACCEPTÉ</v>
      </c>
      <c r="AR1794" s="82" t="str">
        <f aca="false">IF(AND(ISNUMBER(U1794),OR(AQ1794="À RADIOGRAPHIER",AQ1794="RÉPARÉ – À RADIOGRAPHIER",AQ1794="NX – RT À REFAIRE",AQ1794="À RÉPARER",AQ1794="COUPE – À RESOUDER",AQ1794="VT REJETÉ – À REPRENDRE")),MAX(0,'PROGRAMME RT'!$C$4-U1794),"")</f>
        <v/>
      </c>
      <c r="AS1794" s="82" t="n">
        <f aca="false">IF(AND(OR(AQ1794="À RADIOGRAPHIER",AQ1794="RÉPARÉ – À RADIOGRAPHIER",AQ1794="NX – RT À REFAIRE"),OR('PROGRAMME RT'!$D$5="TOUTES",B1794='PROGRAMME RT'!$D$5)),1,0)</f>
        <v>0</v>
      </c>
      <c r="AT1794" s="82" t="str">
        <f aca="false">IF(AS1794=1,SUM(AS$7:AS1794),"")</f>
        <v/>
      </c>
      <c r="AU1794" s="82" t="n">
        <f aca="false">IF(AND(OR(AA1794="R",AA1794="NX",AA1794="NT",AA1794="CO"),OR('JOINTS DE RÉPARATION'!$D$5="TOUTES",B1794='JOINTS DE RÉPARATION'!$D$5),OR('JOINTS DE RÉPARATION'!$L$4="TOUS",AQ1794&lt;&gt;"ACCEPTÉ")),1,0)</f>
        <v>0</v>
      </c>
      <c r="AV1794" s="82" t="str">
        <f aca="false">IF(AU1794=1,SUM(AU$7:AU1794),"")</f>
        <v/>
      </c>
      <c r="AW1794" s="82" t="str">
        <f aca="false">IF(E1794="","",B1794&amp;"|"&amp;E1794)</f>
        <v>MFD-ISW → MFD-CPF|JN°1411</v>
      </c>
    </row>
    <row r="1795" customFormat="false" ht="74.6" hidden="false" customHeight="false" outlineLevel="0" collapsed="false">
      <c r="A1795" s="79" t="n">
        <f aca="false">IF(E1795="","",ROW()-6)</f>
        <v>1789</v>
      </c>
      <c r="B1795" s="80" t="s">
        <v>110</v>
      </c>
      <c r="C1795" s="81" t="s">
        <v>2119</v>
      </c>
      <c r="D1795" s="81" t="n">
        <v>16</v>
      </c>
      <c r="E1795" s="81" t="s">
        <v>2183</v>
      </c>
      <c r="F1795" s="82" t="str">
        <f aca="false">IF(E1795="","",IF(LEFT(E1795,2)="DJ","DJ","JN"))</f>
        <v>DJ</v>
      </c>
      <c r="G1795" s="81" t="s">
        <v>1504</v>
      </c>
      <c r="H1795" s="81" t="s">
        <v>871</v>
      </c>
      <c r="I1795" s="81" t="n">
        <v>9.53</v>
      </c>
      <c r="J1795" s="81" t="s">
        <v>872</v>
      </c>
      <c r="K1795" s="81" t="s">
        <v>873</v>
      </c>
      <c r="L1795" s="81" t="n">
        <v>2090290</v>
      </c>
      <c r="M1795" s="81" t="n">
        <v>15421109</v>
      </c>
      <c r="N1795" s="81" t="n">
        <v>11.94</v>
      </c>
      <c r="O1795" s="81" t="n">
        <v>2081140</v>
      </c>
      <c r="P1795" s="81" t="n">
        <v>15421109</v>
      </c>
      <c r="Q1795" s="81" t="n">
        <v>11.94</v>
      </c>
      <c r="R1795" s="81" t="s">
        <v>874</v>
      </c>
      <c r="S1795" s="81"/>
      <c r="T1795" s="81"/>
      <c r="U1795" s="83" t="n">
        <v>46257</v>
      </c>
      <c r="V1795" s="83" t="n">
        <v>46257</v>
      </c>
      <c r="W1795" s="81" t="s">
        <v>1560</v>
      </c>
      <c r="X1795" s="81" t="s">
        <v>876</v>
      </c>
      <c r="Y1795" s="83" t="n">
        <v>46257</v>
      </c>
      <c r="Z1795" s="81" t="s">
        <v>1561</v>
      </c>
      <c r="AA1795" s="81" t="s">
        <v>876</v>
      </c>
      <c r="AB1795" s="81"/>
      <c r="AC1795" s="81"/>
      <c r="AD1795" s="81"/>
      <c r="AE1795" s="83"/>
      <c r="AF1795" s="81"/>
      <c r="AG1795" s="81"/>
      <c r="AH1795" s="81"/>
      <c r="AI1795" s="81"/>
      <c r="AJ1795" s="83"/>
      <c r="AK1795" s="81"/>
      <c r="AL1795" s="81"/>
      <c r="AM1795" s="83"/>
      <c r="AN1795" s="80"/>
      <c r="AO1795" s="82" t="n">
        <f aca="false">IF(E1795="","",(AA1795&lt;&gt;"")+(AG1795&lt;&gt;"")+(AL1795&lt;&gt;""))</f>
        <v>1</v>
      </c>
      <c r="AP1795" s="82" t="str">
        <f aca="false">IF(AL1795&lt;&gt;"",AL1795,IF(AG1795&lt;&gt;"",AG1795,IF(AA1795&lt;&gt;"",AA1795,"")))</f>
        <v>A</v>
      </c>
      <c r="AQ1795" s="84" t="str">
        <f aca="false">IF(E1795="","",IF(U1795="","À SOUDER",IF(X1795="","VT EN ATTENTE",IF(X1795="R","VT REJETÉ – À REPRENDRE",IF(AP1795="","À RADIOGRAPHIER",IF(AP1795="A","ACCEPTÉ",IF(AP1795="NX","NX – RT À REFAIRE",IF(IF(AO1795=1,AD1795,IF(AO1795=2,AI1795,""))="A","RÉPARÉ – À RADIOGRAPHIER",IF(IF(AO1795=1,AD1795,IF(AO1795=2,AI1795,""))="R","VT REJETÉ – À REPRENDRE",IF(OR(AP1795="CO",AP1795="NT"),"COUPE – À RESOUDER","À RÉPARER"))))))))))</f>
        <v>ACCEPTÉ</v>
      </c>
      <c r="AR1795" s="82" t="str">
        <f aca="false">IF(AND(ISNUMBER(U1795),OR(AQ1795="À RADIOGRAPHIER",AQ1795="RÉPARÉ – À RADIOGRAPHIER",AQ1795="NX – RT À REFAIRE",AQ1795="À RÉPARER",AQ1795="COUPE – À RESOUDER",AQ1795="VT REJETÉ – À REPRENDRE")),MAX(0,'PROGRAMME RT'!$C$4-U1795),"")</f>
        <v/>
      </c>
      <c r="AS1795" s="82" t="n">
        <f aca="false">IF(AND(OR(AQ1795="À RADIOGRAPHIER",AQ1795="RÉPARÉ – À RADIOGRAPHIER",AQ1795="NX – RT À REFAIRE"),OR('PROGRAMME RT'!$D$5="TOUTES",B1795='PROGRAMME RT'!$D$5)),1,0)</f>
        <v>0</v>
      </c>
      <c r="AT1795" s="82" t="str">
        <f aca="false">IF(AS1795=1,SUM(AS$7:AS1795),"")</f>
        <v/>
      </c>
      <c r="AU1795" s="82" t="n">
        <f aca="false">IF(AND(OR(AA1795="R",AA1795="NX",AA1795="NT",AA1795="CO"),OR('JOINTS DE RÉPARATION'!$D$5="TOUTES",B1795='JOINTS DE RÉPARATION'!$D$5),OR('JOINTS DE RÉPARATION'!$L$4="TOUS",AQ1795&lt;&gt;"ACCEPTÉ")),1,0)</f>
        <v>0</v>
      </c>
      <c r="AV1795" s="82" t="str">
        <f aca="false">IF(AU1795=1,SUM(AU$7:AU1795),"")</f>
        <v/>
      </c>
      <c r="AW1795" s="82" t="str">
        <f aca="false">IF(E1795="","",B1795&amp;"|"&amp;E1795)</f>
        <v>MFD-ISW → MFD-CPF|DJ°106</v>
      </c>
    </row>
    <row r="1796" customFormat="false" ht="74.6" hidden="false" customHeight="false" outlineLevel="0" collapsed="false">
      <c r="A1796" s="79" t="n">
        <f aca="false">IF(E1796="","",ROW()-6)</f>
        <v>1790</v>
      </c>
      <c r="B1796" s="80" t="s">
        <v>110</v>
      </c>
      <c r="C1796" s="81" t="s">
        <v>2119</v>
      </c>
      <c r="D1796" s="81" t="n">
        <v>16</v>
      </c>
      <c r="E1796" s="81" t="s">
        <v>2184</v>
      </c>
      <c r="F1796" s="82" t="str">
        <f aca="false">IF(E1796="","",IF(LEFT(E1796,2)="DJ","DJ","JN"))</f>
        <v>JN</v>
      </c>
      <c r="G1796" s="81" t="s">
        <v>1504</v>
      </c>
      <c r="H1796" s="81" t="s">
        <v>871</v>
      </c>
      <c r="I1796" s="81" t="n">
        <v>9.53</v>
      </c>
      <c r="J1796" s="81" t="s">
        <v>872</v>
      </c>
      <c r="K1796" s="81" t="s">
        <v>879</v>
      </c>
      <c r="L1796" s="81" t="n">
        <v>2081140</v>
      </c>
      <c r="M1796" s="81" t="n">
        <v>15421109</v>
      </c>
      <c r="N1796" s="81" t="n">
        <v>11.94</v>
      </c>
      <c r="O1796" s="81" t="n">
        <v>2088940</v>
      </c>
      <c r="P1796" s="81" t="n">
        <v>15421108</v>
      </c>
      <c r="Q1796" s="81" t="n">
        <v>11.94</v>
      </c>
      <c r="R1796" s="81" t="s">
        <v>2097</v>
      </c>
      <c r="S1796" s="81"/>
      <c r="T1796" s="81"/>
      <c r="U1796" s="83" t="n">
        <v>46271</v>
      </c>
      <c r="V1796" s="83" t="n">
        <v>46271</v>
      </c>
      <c r="W1796" s="81" t="s">
        <v>2150</v>
      </c>
      <c r="X1796" s="81" t="s">
        <v>876</v>
      </c>
      <c r="Y1796" s="83" t="n">
        <v>46288</v>
      </c>
      <c r="Z1796" s="81" t="s">
        <v>2159</v>
      </c>
      <c r="AA1796" s="81" t="s">
        <v>876</v>
      </c>
      <c r="AB1796" s="81"/>
      <c r="AC1796" s="81"/>
      <c r="AD1796" s="81"/>
      <c r="AE1796" s="83"/>
      <c r="AF1796" s="81"/>
      <c r="AG1796" s="81"/>
      <c r="AH1796" s="81"/>
      <c r="AI1796" s="81"/>
      <c r="AJ1796" s="83"/>
      <c r="AK1796" s="81"/>
      <c r="AL1796" s="81"/>
      <c r="AM1796" s="83"/>
      <c r="AN1796" s="80"/>
      <c r="AO1796" s="82" t="n">
        <f aca="false">IF(E1796="","",(AA1796&lt;&gt;"")+(AG1796&lt;&gt;"")+(AL1796&lt;&gt;""))</f>
        <v>1</v>
      </c>
      <c r="AP1796" s="82" t="str">
        <f aca="false">IF(AL1796&lt;&gt;"",AL1796,IF(AG1796&lt;&gt;"",AG1796,IF(AA1796&lt;&gt;"",AA1796,"")))</f>
        <v>A</v>
      </c>
      <c r="AQ1796" s="84" t="str">
        <f aca="false">IF(E1796="","",IF(U1796="","À SOUDER",IF(X1796="","VT EN ATTENTE",IF(X1796="R","VT REJETÉ – À REPRENDRE",IF(AP1796="","À RADIOGRAPHIER",IF(AP1796="A","ACCEPTÉ",IF(AP1796="NX","NX – RT À REFAIRE",IF(IF(AO1796=1,AD1796,IF(AO1796=2,AI1796,""))="A","RÉPARÉ – À RADIOGRAPHIER",IF(IF(AO1796=1,AD1796,IF(AO1796=2,AI1796,""))="R","VT REJETÉ – À REPRENDRE",IF(OR(AP1796="CO",AP1796="NT"),"COUPE – À RESOUDER","À RÉPARER"))))))))))</f>
        <v>ACCEPTÉ</v>
      </c>
      <c r="AR1796" s="82" t="str">
        <f aca="false">IF(AND(ISNUMBER(U1796),OR(AQ1796="À RADIOGRAPHIER",AQ1796="RÉPARÉ – À RADIOGRAPHIER",AQ1796="NX – RT À REFAIRE",AQ1796="À RÉPARER",AQ1796="COUPE – À RESOUDER",AQ1796="VT REJETÉ – À REPRENDRE")),MAX(0,'PROGRAMME RT'!$C$4-U1796),"")</f>
        <v/>
      </c>
      <c r="AS1796" s="82" t="n">
        <f aca="false">IF(AND(OR(AQ1796="À RADIOGRAPHIER",AQ1796="RÉPARÉ – À RADIOGRAPHIER",AQ1796="NX – RT À REFAIRE"),OR('PROGRAMME RT'!$D$5="TOUTES",B1796='PROGRAMME RT'!$D$5)),1,0)</f>
        <v>0</v>
      </c>
      <c r="AT1796" s="82" t="str">
        <f aca="false">IF(AS1796=1,SUM(AS$7:AS1796),"")</f>
        <v/>
      </c>
      <c r="AU1796" s="82" t="n">
        <f aca="false">IF(AND(OR(AA1796="R",AA1796="NX",AA1796="NT",AA1796="CO"),OR('JOINTS DE RÉPARATION'!$D$5="TOUTES",B1796='JOINTS DE RÉPARATION'!$D$5),OR('JOINTS DE RÉPARATION'!$L$4="TOUS",AQ1796&lt;&gt;"ACCEPTÉ")),1,0)</f>
        <v>0</v>
      </c>
      <c r="AV1796" s="82" t="str">
        <f aca="false">IF(AU1796=1,SUM(AU$7:AU1796),"")</f>
        <v/>
      </c>
      <c r="AW1796" s="82" t="str">
        <f aca="false">IF(E1796="","",B1796&amp;"|"&amp;E1796)</f>
        <v>MFD-ISW → MFD-CPF|JN°1412</v>
      </c>
    </row>
    <row r="1797" customFormat="false" ht="74.6" hidden="false" customHeight="false" outlineLevel="0" collapsed="false">
      <c r="A1797" s="79" t="n">
        <f aca="false">IF(E1797="","",ROW()-6)</f>
        <v>1791</v>
      </c>
      <c r="B1797" s="80" t="s">
        <v>110</v>
      </c>
      <c r="C1797" s="81" t="s">
        <v>2119</v>
      </c>
      <c r="D1797" s="81" t="n">
        <v>16</v>
      </c>
      <c r="E1797" s="81" t="s">
        <v>2185</v>
      </c>
      <c r="F1797" s="82" t="str">
        <f aca="false">IF(E1797="","",IF(LEFT(E1797,2)="DJ","DJ","JN"))</f>
        <v>DJ</v>
      </c>
      <c r="G1797" s="81" t="s">
        <v>1504</v>
      </c>
      <c r="H1797" s="81" t="s">
        <v>871</v>
      </c>
      <c r="I1797" s="81" t="n">
        <v>9.53</v>
      </c>
      <c r="J1797" s="81" t="s">
        <v>872</v>
      </c>
      <c r="K1797" s="81" t="s">
        <v>873</v>
      </c>
      <c r="L1797" s="81" t="n">
        <v>2088940</v>
      </c>
      <c r="M1797" s="81" t="n">
        <v>15421108</v>
      </c>
      <c r="N1797" s="81" t="n">
        <v>11.94</v>
      </c>
      <c r="O1797" s="81" t="n">
        <v>2091590</v>
      </c>
      <c r="P1797" s="81" t="n">
        <v>15421109</v>
      </c>
      <c r="Q1797" s="81" t="n">
        <v>11.94</v>
      </c>
      <c r="R1797" s="81" t="s">
        <v>963</v>
      </c>
      <c r="S1797" s="81"/>
      <c r="T1797" s="81"/>
      <c r="U1797" s="83" t="n">
        <v>46259</v>
      </c>
      <c r="V1797" s="83" t="n">
        <v>46259</v>
      </c>
      <c r="W1797" s="81" t="s">
        <v>2094</v>
      </c>
      <c r="X1797" s="81" t="s">
        <v>876</v>
      </c>
      <c r="Y1797" s="83" t="n">
        <v>46260</v>
      </c>
      <c r="Z1797" s="81" t="s">
        <v>2168</v>
      </c>
      <c r="AA1797" s="81" t="s">
        <v>876</v>
      </c>
      <c r="AB1797" s="81"/>
      <c r="AC1797" s="81"/>
      <c r="AD1797" s="81"/>
      <c r="AE1797" s="83"/>
      <c r="AF1797" s="81"/>
      <c r="AG1797" s="81"/>
      <c r="AH1797" s="81"/>
      <c r="AI1797" s="81"/>
      <c r="AJ1797" s="83"/>
      <c r="AK1797" s="81"/>
      <c r="AL1797" s="81"/>
      <c r="AM1797" s="83"/>
      <c r="AN1797" s="80"/>
      <c r="AO1797" s="82" t="n">
        <f aca="false">IF(E1797="","",(AA1797&lt;&gt;"")+(AG1797&lt;&gt;"")+(AL1797&lt;&gt;""))</f>
        <v>1</v>
      </c>
      <c r="AP1797" s="82" t="str">
        <f aca="false">IF(AL1797&lt;&gt;"",AL1797,IF(AG1797&lt;&gt;"",AG1797,IF(AA1797&lt;&gt;"",AA1797,"")))</f>
        <v>A</v>
      </c>
      <c r="AQ1797" s="84" t="str">
        <f aca="false">IF(E1797="","",IF(U1797="","À SOUDER",IF(X1797="","VT EN ATTENTE",IF(X1797="R","VT REJETÉ – À REPRENDRE",IF(AP1797="","À RADIOGRAPHIER",IF(AP1797="A","ACCEPTÉ",IF(AP1797="NX","NX – RT À REFAIRE",IF(IF(AO1797=1,AD1797,IF(AO1797=2,AI1797,""))="A","RÉPARÉ – À RADIOGRAPHIER",IF(IF(AO1797=1,AD1797,IF(AO1797=2,AI1797,""))="R","VT REJETÉ – À REPRENDRE",IF(OR(AP1797="CO",AP1797="NT"),"COUPE – À RESOUDER","À RÉPARER"))))))))))</f>
        <v>ACCEPTÉ</v>
      </c>
      <c r="AR1797" s="82" t="str">
        <f aca="false">IF(AND(ISNUMBER(U1797),OR(AQ1797="À RADIOGRAPHIER",AQ1797="RÉPARÉ – À RADIOGRAPHIER",AQ1797="NX – RT À REFAIRE",AQ1797="À RÉPARER",AQ1797="COUPE – À RESOUDER",AQ1797="VT REJETÉ – À REPRENDRE")),MAX(0,'PROGRAMME RT'!$C$4-U1797),"")</f>
        <v/>
      </c>
      <c r="AS1797" s="82" t="n">
        <f aca="false">IF(AND(OR(AQ1797="À RADIOGRAPHIER",AQ1797="RÉPARÉ – À RADIOGRAPHIER",AQ1797="NX – RT À REFAIRE"),OR('PROGRAMME RT'!$D$5="TOUTES",B1797='PROGRAMME RT'!$D$5)),1,0)</f>
        <v>0</v>
      </c>
      <c r="AT1797" s="82" t="str">
        <f aca="false">IF(AS1797=1,SUM(AS$7:AS1797),"")</f>
        <v/>
      </c>
      <c r="AU1797" s="82" t="n">
        <f aca="false">IF(AND(OR(AA1797="R",AA1797="NX",AA1797="NT",AA1797="CO"),OR('JOINTS DE RÉPARATION'!$D$5="TOUTES",B1797='JOINTS DE RÉPARATION'!$D$5),OR('JOINTS DE RÉPARATION'!$L$4="TOUS",AQ1797&lt;&gt;"ACCEPTÉ")),1,0)</f>
        <v>0</v>
      </c>
      <c r="AV1797" s="82" t="str">
        <f aca="false">IF(AU1797=1,SUM(AU$7:AU1797),"")</f>
        <v/>
      </c>
      <c r="AW1797" s="82" t="str">
        <f aca="false">IF(E1797="","",B1797&amp;"|"&amp;E1797)</f>
        <v>MFD-ISW → MFD-CPF|DJ°131</v>
      </c>
    </row>
    <row r="1798" customFormat="false" ht="74.6" hidden="false" customHeight="false" outlineLevel="0" collapsed="false">
      <c r="A1798" s="79" t="n">
        <f aca="false">IF(E1798="","",ROW()-6)</f>
        <v>1792</v>
      </c>
      <c r="B1798" s="80" t="s">
        <v>110</v>
      </c>
      <c r="C1798" s="81" t="s">
        <v>2119</v>
      </c>
      <c r="D1798" s="81" t="n">
        <v>16</v>
      </c>
      <c r="E1798" s="81" t="s">
        <v>2186</v>
      </c>
      <c r="F1798" s="82" t="str">
        <f aca="false">IF(E1798="","",IF(LEFT(E1798,2)="DJ","DJ","JN"))</f>
        <v>JN</v>
      </c>
      <c r="G1798" s="81" t="s">
        <v>1504</v>
      </c>
      <c r="H1798" s="81" t="s">
        <v>871</v>
      </c>
      <c r="I1798" s="81" t="n">
        <v>9.53</v>
      </c>
      <c r="J1798" s="81" t="s">
        <v>872</v>
      </c>
      <c r="K1798" s="81" t="s">
        <v>879</v>
      </c>
      <c r="L1798" s="81" t="n">
        <v>2091590</v>
      </c>
      <c r="M1798" s="81" t="n">
        <v>15421109</v>
      </c>
      <c r="N1798" s="81" t="n">
        <v>11.94</v>
      </c>
      <c r="O1798" s="81" t="n">
        <v>2087950</v>
      </c>
      <c r="P1798" s="81" t="n">
        <v>15421108</v>
      </c>
      <c r="Q1798" s="81" t="n">
        <v>11.94</v>
      </c>
      <c r="R1798" s="81" t="s">
        <v>2097</v>
      </c>
      <c r="S1798" s="81"/>
      <c r="T1798" s="81"/>
      <c r="U1798" s="83" t="n">
        <v>46271</v>
      </c>
      <c r="V1798" s="83" t="n">
        <v>46271</v>
      </c>
      <c r="W1798" s="81" t="s">
        <v>2150</v>
      </c>
      <c r="X1798" s="81" t="s">
        <v>876</v>
      </c>
      <c r="Y1798" s="83" t="n">
        <v>46288</v>
      </c>
      <c r="Z1798" s="81" t="s">
        <v>2159</v>
      </c>
      <c r="AA1798" s="81" t="s">
        <v>876</v>
      </c>
      <c r="AB1798" s="81"/>
      <c r="AC1798" s="81"/>
      <c r="AD1798" s="81"/>
      <c r="AE1798" s="83"/>
      <c r="AF1798" s="81"/>
      <c r="AG1798" s="81"/>
      <c r="AH1798" s="81"/>
      <c r="AI1798" s="81"/>
      <c r="AJ1798" s="83"/>
      <c r="AK1798" s="81"/>
      <c r="AL1798" s="81"/>
      <c r="AM1798" s="83"/>
      <c r="AN1798" s="80"/>
      <c r="AO1798" s="82" t="n">
        <f aca="false">IF(E1798="","",(AA1798&lt;&gt;"")+(AG1798&lt;&gt;"")+(AL1798&lt;&gt;""))</f>
        <v>1</v>
      </c>
      <c r="AP1798" s="82" t="str">
        <f aca="false">IF(AL1798&lt;&gt;"",AL1798,IF(AG1798&lt;&gt;"",AG1798,IF(AA1798&lt;&gt;"",AA1798,"")))</f>
        <v>A</v>
      </c>
      <c r="AQ1798" s="84" t="str">
        <f aca="false">IF(E1798="","",IF(U1798="","À SOUDER",IF(X1798="","VT EN ATTENTE",IF(X1798="R","VT REJETÉ – À REPRENDRE",IF(AP1798="","À RADIOGRAPHIER",IF(AP1798="A","ACCEPTÉ",IF(AP1798="NX","NX – RT À REFAIRE",IF(IF(AO1798=1,AD1798,IF(AO1798=2,AI1798,""))="A","RÉPARÉ – À RADIOGRAPHIER",IF(IF(AO1798=1,AD1798,IF(AO1798=2,AI1798,""))="R","VT REJETÉ – À REPRENDRE",IF(OR(AP1798="CO",AP1798="NT"),"COUPE – À RESOUDER","À RÉPARER"))))))))))</f>
        <v>ACCEPTÉ</v>
      </c>
      <c r="AR1798" s="82" t="str">
        <f aca="false">IF(AND(ISNUMBER(U1798),OR(AQ1798="À RADIOGRAPHIER",AQ1798="RÉPARÉ – À RADIOGRAPHIER",AQ1798="NX – RT À REFAIRE",AQ1798="À RÉPARER",AQ1798="COUPE – À RESOUDER",AQ1798="VT REJETÉ – À REPRENDRE")),MAX(0,'PROGRAMME RT'!$C$4-U1798),"")</f>
        <v/>
      </c>
      <c r="AS1798" s="82" t="n">
        <f aca="false">IF(AND(OR(AQ1798="À RADIOGRAPHIER",AQ1798="RÉPARÉ – À RADIOGRAPHIER",AQ1798="NX – RT À REFAIRE"),OR('PROGRAMME RT'!$D$5="TOUTES",B1798='PROGRAMME RT'!$D$5)),1,0)</f>
        <v>0</v>
      </c>
      <c r="AT1798" s="82" t="str">
        <f aca="false">IF(AS1798=1,SUM(AS$7:AS1798),"")</f>
        <v/>
      </c>
      <c r="AU1798" s="82" t="n">
        <f aca="false">IF(AND(OR(AA1798="R",AA1798="NX",AA1798="NT",AA1798="CO"),OR('JOINTS DE RÉPARATION'!$D$5="TOUTES",B1798='JOINTS DE RÉPARATION'!$D$5),OR('JOINTS DE RÉPARATION'!$L$4="TOUS",AQ1798&lt;&gt;"ACCEPTÉ")),1,0)</f>
        <v>0</v>
      </c>
      <c r="AV1798" s="82" t="str">
        <f aca="false">IF(AU1798=1,SUM(AU$7:AU1798),"")</f>
        <v/>
      </c>
      <c r="AW1798" s="82" t="str">
        <f aca="false">IF(E1798="","",B1798&amp;"|"&amp;E1798)</f>
        <v>MFD-ISW → MFD-CPF|JN°1413</v>
      </c>
    </row>
    <row r="1799" customFormat="false" ht="74.6" hidden="false" customHeight="false" outlineLevel="0" collapsed="false">
      <c r="A1799" s="79" t="n">
        <f aca="false">IF(E1799="","",ROW()-6)</f>
        <v>1793</v>
      </c>
      <c r="B1799" s="80" t="s">
        <v>110</v>
      </c>
      <c r="C1799" s="81" t="s">
        <v>2119</v>
      </c>
      <c r="D1799" s="81" t="n">
        <v>16</v>
      </c>
      <c r="E1799" s="81" t="s">
        <v>2187</v>
      </c>
      <c r="F1799" s="82" t="str">
        <f aca="false">IF(E1799="","",IF(LEFT(E1799,2)="DJ","DJ","JN"))</f>
        <v>DJ</v>
      </c>
      <c r="G1799" s="81" t="s">
        <v>1504</v>
      </c>
      <c r="H1799" s="81" t="s">
        <v>871</v>
      </c>
      <c r="I1799" s="81" t="n">
        <v>9.53</v>
      </c>
      <c r="J1799" s="81" t="s">
        <v>872</v>
      </c>
      <c r="K1799" s="81" t="s">
        <v>873</v>
      </c>
      <c r="L1799" s="81" t="n">
        <v>2087950</v>
      </c>
      <c r="M1799" s="81" t="n">
        <v>15421108</v>
      </c>
      <c r="N1799" s="81" t="n">
        <v>11.94</v>
      </c>
      <c r="O1799" s="81" t="n">
        <v>2083170</v>
      </c>
      <c r="P1799" s="81" t="n">
        <v>15421105</v>
      </c>
      <c r="Q1799" s="81" t="n">
        <v>11.94</v>
      </c>
      <c r="R1799" s="81" t="s">
        <v>899</v>
      </c>
      <c r="S1799" s="81"/>
      <c r="T1799" s="81"/>
      <c r="U1799" s="83" t="n">
        <v>46257</v>
      </c>
      <c r="V1799" s="83" t="n">
        <v>46257</v>
      </c>
      <c r="W1799" s="81" t="s">
        <v>1560</v>
      </c>
      <c r="X1799" s="81" t="s">
        <v>876</v>
      </c>
      <c r="Y1799" s="83" t="n">
        <v>46260</v>
      </c>
      <c r="Z1799" s="81" t="s">
        <v>2112</v>
      </c>
      <c r="AA1799" s="81" t="s">
        <v>876</v>
      </c>
      <c r="AB1799" s="81"/>
      <c r="AC1799" s="81"/>
      <c r="AD1799" s="81"/>
      <c r="AE1799" s="83"/>
      <c r="AF1799" s="81"/>
      <c r="AG1799" s="81"/>
      <c r="AH1799" s="81"/>
      <c r="AI1799" s="81"/>
      <c r="AJ1799" s="83"/>
      <c r="AK1799" s="81"/>
      <c r="AL1799" s="81"/>
      <c r="AM1799" s="83"/>
      <c r="AN1799" s="80"/>
      <c r="AO1799" s="82" t="n">
        <f aca="false">IF(E1799="","",(AA1799&lt;&gt;"")+(AG1799&lt;&gt;"")+(AL1799&lt;&gt;""))</f>
        <v>1</v>
      </c>
      <c r="AP1799" s="82" t="str">
        <f aca="false">IF(AL1799&lt;&gt;"",AL1799,IF(AG1799&lt;&gt;"",AG1799,IF(AA1799&lt;&gt;"",AA1799,"")))</f>
        <v>A</v>
      </c>
      <c r="AQ1799" s="84" t="str">
        <f aca="false">IF(E1799="","",IF(U1799="","À SOUDER",IF(X1799="","VT EN ATTENTE",IF(X1799="R","VT REJETÉ – À REPRENDRE",IF(AP1799="","À RADIOGRAPHIER",IF(AP1799="A","ACCEPTÉ",IF(AP1799="NX","NX – RT À REFAIRE",IF(IF(AO1799=1,AD1799,IF(AO1799=2,AI1799,""))="A","RÉPARÉ – À RADIOGRAPHIER",IF(IF(AO1799=1,AD1799,IF(AO1799=2,AI1799,""))="R","VT REJETÉ – À REPRENDRE",IF(OR(AP1799="CO",AP1799="NT"),"COUPE – À RESOUDER","À RÉPARER"))))))))))</f>
        <v>ACCEPTÉ</v>
      </c>
      <c r="AR1799" s="82" t="str">
        <f aca="false">IF(AND(ISNUMBER(U1799),OR(AQ1799="À RADIOGRAPHIER",AQ1799="RÉPARÉ – À RADIOGRAPHIER",AQ1799="NX – RT À REFAIRE",AQ1799="À RÉPARER",AQ1799="COUPE – À RESOUDER",AQ1799="VT REJETÉ – À REPRENDRE")),MAX(0,'PROGRAMME RT'!$C$4-U1799),"")</f>
        <v/>
      </c>
      <c r="AS1799" s="82" t="n">
        <f aca="false">IF(AND(OR(AQ1799="À RADIOGRAPHIER",AQ1799="RÉPARÉ – À RADIOGRAPHIER",AQ1799="NX – RT À REFAIRE"),OR('PROGRAMME RT'!$D$5="TOUTES",B1799='PROGRAMME RT'!$D$5)),1,0)</f>
        <v>0</v>
      </c>
      <c r="AT1799" s="82" t="str">
        <f aca="false">IF(AS1799=1,SUM(AS$7:AS1799),"")</f>
        <v/>
      </c>
      <c r="AU1799" s="82" t="n">
        <f aca="false">IF(AND(OR(AA1799="R",AA1799="NX",AA1799="NT",AA1799="CO"),OR('JOINTS DE RÉPARATION'!$D$5="TOUTES",B1799='JOINTS DE RÉPARATION'!$D$5),OR('JOINTS DE RÉPARATION'!$L$4="TOUS",AQ1799&lt;&gt;"ACCEPTÉ")),1,0)</f>
        <v>0</v>
      </c>
      <c r="AV1799" s="82" t="str">
        <f aca="false">IF(AU1799=1,SUM(AU$7:AU1799),"")</f>
        <v/>
      </c>
      <c r="AW1799" s="82" t="str">
        <f aca="false">IF(E1799="","",B1799&amp;"|"&amp;E1799)</f>
        <v>MFD-ISW → MFD-CPF|DJ°097</v>
      </c>
    </row>
    <row r="1800" customFormat="false" ht="74.6" hidden="false" customHeight="false" outlineLevel="0" collapsed="false">
      <c r="A1800" s="79" t="n">
        <f aca="false">IF(E1800="","",ROW()-6)</f>
        <v>1794</v>
      </c>
      <c r="B1800" s="80" t="s">
        <v>110</v>
      </c>
      <c r="C1800" s="81" t="s">
        <v>2119</v>
      </c>
      <c r="D1800" s="81" t="n">
        <v>16</v>
      </c>
      <c r="E1800" s="81" t="s">
        <v>2188</v>
      </c>
      <c r="F1800" s="82" t="str">
        <f aca="false">IF(E1800="","",IF(LEFT(E1800,2)="DJ","DJ","JN"))</f>
        <v>JN</v>
      </c>
      <c r="G1800" s="81" t="s">
        <v>1504</v>
      </c>
      <c r="H1800" s="81" t="s">
        <v>871</v>
      </c>
      <c r="I1800" s="81" t="n">
        <v>9.53</v>
      </c>
      <c r="J1800" s="81" t="s">
        <v>872</v>
      </c>
      <c r="K1800" s="81" t="s">
        <v>879</v>
      </c>
      <c r="L1800" s="81" t="n">
        <v>2083170</v>
      </c>
      <c r="M1800" s="81" t="n">
        <v>15421105</v>
      </c>
      <c r="N1800" s="81" t="n">
        <v>11.94</v>
      </c>
      <c r="O1800" s="81" t="n">
        <v>2089060</v>
      </c>
      <c r="P1800" s="81" t="n">
        <v>15421108</v>
      </c>
      <c r="Q1800" s="81" t="n">
        <v>11.94</v>
      </c>
      <c r="R1800" s="81" t="s">
        <v>2097</v>
      </c>
      <c r="S1800" s="81"/>
      <c r="T1800" s="81"/>
      <c r="U1800" s="83" t="n">
        <v>46268</v>
      </c>
      <c r="V1800" s="83" t="n">
        <v>46270</v>
      </c>
      <c r="W1800" s="81" t="s">
        <v>2189</v>
      </c>
      <c r="X1800" s="81" t="s">
        <v>876</v>
      </c>
      <c r="Y1800" s="83" t="n">
        <v>46288</v>
      </c>
      <c r="Z1800" s="81" t="s">
        <v>2159</v>
      </c>
      <c r="AA1800" s="81" t="s">
        <v>876</v>
      </c>
      <c r="AB1800" s="81"/>
      <c r="AC1800" s="81"/>
      <c r="AD1800" s="81"/>
      <c r="AE1800" s="83"/>
      <c r="AF1800" s="81"/>
      <c r="AG1800" s="81"/>
      <c r="AH1800" s="81"/>
      <c r="AI1800" s="81"/>
      <c r="AJ1800" s="83"/>
      <c r="AK1800" s="81"/>
      <c r="AL1800" s="81"/>
      <c r="AM1800" s="83"/>
      <c r="AN1800" s="80"/>
      <c r="AO1800" s="82" t="n">
        <f aca="false">IF(E1800="","",(AA1800&lt;&gt;"")+(AG1800&lt;&gt;"")+(AL1800&lt;&gt;""))</f>
        <v>1</v>
      </c>
      <c r="AP1800" s="82" t="str">
        <f aca="false">IF(AL1800&lt;&gt;"",AL1800,IF(AG1800&lt;&gt;"",AG1800,IF(AA1800&lt;&gt;"",AA1800,"")))</f>
        <v>A</v>
      </c>
      <c r="AQ1800" s="84" t="str">
        <f aca="false">IF(E1800="","",IF(U1800="","À SOUDER",IF(X1800="","VT EN ATTENTE",IF(X1800="R","VT REJETÉ – À REPRENDRE",IF(AP1800="","À RADIOGRAPHIER",IF(AP1800="A","ACCEPTÉ",IF(AP1800="NX","NX – RT À REFAIRE",IF(IF(AO1800=1,AD1800,IF(AO1800=2,AI1800,""))="A","RÉPARÉ – À RADIOGRAPHIER",IF(IF(AO1800=1,AD1800,IF(AO1800=2,AI1800,""))="R","VT REJETÉ – À REPRENDRE",IF(OR(AP1800="CO",AP1800="NT"),"COUPE – À RESOUDER","À RÉPARER"))))))))))</f>
        <v>ACCEPTÉ</v>
      </c>
      <c r="AR1800" s="82" t="str">
        <f aca="false">IF(AND(ISNUMBER(U1800),OR(AQ1800="À RADIOGRAPHIER",AQ1800="RÉPARÉ – À RADIOGRAPHIER",AQ1800="NX – RT À REFAIRE",AQ1800="À RÉPARER",AQ1800="COUPE – À RESOUDER",AQ1800="VT REJETÉ – À REPRENDRE")),MAX(0,'PROGRAMME RT'!$C$4-U1800),"")</f>
        <v/>
      </c>
      <c r="AS1800" s="82" t="n">
        <f aca="false">IF(AND(OR(AQ1800="À RADIOGRAPHIER",AQ1800="RÉPARÉ – À RADIOGRAPHIER",AQ1800="NX – RT À REFAIRE"),OR('PROGRAMME RT'!$D$5="TOUTES",B1800='PROGRAMME RT'!$D$5)),1,0)</f>
        <v>0</v>
      </c>
      <c r="AT1800" s="82" t="str">
        <f aca="false">IF(AS1800=1,SUM(AS$7:AS1800),"")</f>
        <v/>
      </c>
      <c r="AU1800" s="82" t="n">
        <f aca="false">IF(AND(OR(AA1800="R",AA1800="NX",AA1800="NT",AA1800="CO"),OR('JOINTS DE RÉPARATION'!$D$5="TOUTES",B1800='JOINTS DE RÉPARATION'!$D$5),OR('JOINTS DE RÉPARATION'!$L$4="TOUS",AQ1800&lt;&gt;"ACCEPTÉ")),1,0)</f>
        <v>0</v>
      </c>
      <c r="AV1800" s="82" t="str">
        <f aca="false">IF(AU1800=1,SUM(AU$7:AU1800),"")</f>
        <v/>
      </c>
      <c r="AW1800" s="82" t="str">
        <f aca="false">IF(E1800="","",B1800&amp;"|"&amp;E1800)</f>
        <v>MFD-ISW → MFD-CPF|JN°1414</v>
      </c>
    </row>
    <row r="1801" customFormat="false" ht="74.6" hidden="false" customHeight="false" outlineLevel="0" collapsed="false">
      <c r="A1801" s="79" t="n">
        <f aca="false">IF(E1801="","",ROW()-6)</f>
        <v>1795</v>
      </c>
      <c r="B1801" s="80" t="s">
        <v>110</v>
      </c>
      <c r="C1801" s="81" t="s">
        <v>2119</v>
      </c>
      <c r="D1801" s="81" t="s">
        <v>869</v>
      </c>
      <c r="E1801" s="81" t="s">
        <v>2190</v>
      </c>
      <c r="F1801" s="82" t="str">
        <f aca="false">IF(E1801="","",IF(LEFT(E1801,2)="DJ","DJ","JN"))</f>
        <v>DJ</v>
      </c>
      <c r="G1801" s="81"/>
      <c r="H1801" s="81" t="s">
        <v>871</v>
      </c>
      <c r="I1801" s="81" t="n">
        <v>9.53</v>
      </c>
      <c r="J1801" s="81" t="s">
        <v>872</v>
      </c>
      <c r="K1801" s="81" t="s">
        <v>873</v>
      </c>
      <c r="L1801" s="81" t="n">
        <v>2089060</v>
      </c>
      <c r="M1801" s="81" t="n">
        <v>15421108</v>
      </c>
      <c r="N1801" s="81" t="n">
        <v>11.94</v>
      </c>
      <c r="O1801" s="81" t="n">
        <v>2093660</v>
      </c>
      <c r="P1801" s="81" t="n">
        <v>15421110</v>
      </c>
      <c r="Q1801" s="81" t="n">
        <v>11.94</v>
      </c>
      <c r="R1801" s="81" t="s">
        <v>1147</v>
      </c>
      <c r="S1801" s="81"/>
      <c r="T1801" s="81"/>
      <c r="U1801" s="83" t="n">
        <v>46257</v>
      </c>
      <c r="V1801" s="83" t="n">
        <v>46257</v>
      </c>
      <c r="W1801" s="81" t="s">
        <v>1560</v>
      </c>
      <c r="X1801" s="81" t="s">
        <v>876</v>
      </c>
      <c r="Y1801" s="83" t="n">
        <v>46260</v>
      </c>
      <c r="Z1801" s="81" t="s">
        <v>2112</v>
      </c>
      <c r="AA1801" s="81" t="s">
        <v>876</v>
      </c>
      <c r="AB1801" s="81"/>
      <c r="AC1801" s="81"/>
      <c r="AD1801" s="81"/>
      <c r="AE1801" s="83"/>
      <c r="AF1801" s="81"/>
      <c r="AG1801" s="81"/>
      <c r="AH1801" s="81"/>
      <c r="AI1801" s="81"/>
      <c r="AJ1801" s="83"/>
      <c r="AK1801" s="81"/>
      <c r="AL1801" s="81"/>
      <c r="AM1801" s="83"/>
      <c r="AN1801" s="80"/>
      <c r="AO1801" s="82" t="n">
        <f aca="false">IF(E1801="","",(AA1801&lt;&gt;"")+(AG1801&lt;&gt;"")+(AL1801&lt;&gt;""))</f>
        <v>1</v>
      </c>
      <c r="AP1801" s="82" t="str">
        <f aca="false">IF(AL1801&lt;&gt;"",AL1801,IF(AG1801&lt;&gt;"",AG1801,IF(AA1801&lt;&gt;"",AA1801,"")))</f>
        <v>A</v>
      </c>
      <c r="AQ1801" s="84" t="str">
        <f aca="false">IF(E1801="","",IF(U1801="","À SOUDER",IF(X1801="","VT EN ATTENTE",IF(X1801="R","VT REJETÉ – À REPRENDRE",IF(AP1801="","À RADIOGRAPHIER",IF(AP1801="A","ACCEPTÉ",IF(AP1801="NX","NX – RT À REFAIRE",IF(IF(AO1801=1,AD1801,IF(AO1801=2,AI1801,""))="A","RÉPARÉ – À RADIOGRAPHIER",IF(IF(AO1801=1,AD1801,IF(AO1801=2,AI1801,""))="R","VT REJETÉ – À REPRENDRE",IF(OR(AP1801="CO",AP1801="NT"),"COUPE – À RESOUDER","À RÉPARER"))))))))))</f>
        <v>ACCEPTÉ</v>
      </c>
      <c r="AR1801" s="82" t="str">
        <f aca="false">IF(AND(ISNUMBER(U1801),OR(AQ1801="À RADIOGRAPHIER",AQ1801="RÉPARÉ – À RADIOGRAPHIER",AQ1801="NX – RT À REFAIRE",AQ1801="À RÉPARER",AQ1801="COUPE – À RESOUDER",AQ1801="VT REJETÉ – À REPRENDRE")),MAX(0,'PROGRAMME RT'!$C$4-U1801),"")</f>
        <v/>
      </c>
      <c r="AS1801" s="82" t="n">
        <f aca="false">IF(AND(OR(AQ1801="À RADIOGRAPHIER",AQ1801="RÉPARÉ – À RADIOGRAPHIER",AQ1801="NX – RT À REFAIRE"),OR('PROGRAMME RT'!$D$5="TOUTES",B1801='PROGRAMME RT'!$D$5)),1,0)</f>
        <v>0</v>
      </c>
      <c r="AT1801" s="82" t="str">
        <f aca="false">IF(AS1801=1,SUM(AS$7:AS1801),"")</f>
        <v/>
      </c>
      <c r="AU1801" s="82" t="n">
        <f aca="false">IF(AND(OR(AA1801="R",AA1801="NX",AA1801="NT",AA1801="CO"),OR('JOINTS DE RÉPARATION'!$D$5="TOUTES",B1801='JOINTS DE RÉPARATION'!$D$5),OR('JOINTS DE RÉPARATION'!$L$4="TOUS",AQ1801&lt;&gt;"ACCEPTÉ")),1,0)</f>
        <v>0</v>
      </c>
      <c r="AV1801" s="82" t="str">
        <f aca="false">IF(AU1801=1,SUM(AU$7:AU1801),"")</f>
        <v/>
      </c>
      <c r="AW1801" s="82" t="str">
        <f aca="false">IF(E1801="","",B1801&amp;"|"&amp;E1801)</f>
        <v>MFD-ISW → MFD-CPF|DJ°098</v>
      </c>
    </row>
    <row r="1802" customFormat="false" ht="74.6" hidden="false" customHeight="false" outlineLevel="0" collapsed="false">
      <c r="A1802" s="79" t="n">
        <f aca="false">IF(E1802="","",ROW()-6)</f>
        <v>1796</v>
      </c>
      <c r="B1802" s="80" t="s">
        <v>110</v>
      </c>
      <c r="C1802" s="81" t="s">
        <v>2119</v>
      </c>
      <c r="D1802" s="81" t="n">
        <v>16</v>
      </c>
      <c r="E1802" s="81" t="s">
        <v>2191</v>
      </c>
      <c r="F1802" s="82" t="str">
        <f aca="false">IF(E1802="","",IF(LEFT(E1802,2)="DJ","DJ","JN"))</f>
        <v>JN</v>
      </c>
      <c r="G1802" s="81" t="s">
        <v>1504</v>
      </c>
      <c r="H1802" s="81" t="s">
        <v>871</v>
      </c>
      <c r="I1802" s="81" t="n">
        <v>9.53</v>
      </c>
      <c r="J1802" s="81" t="s">
        <v>872</v>
      </c>
      <c r="K1802" s="81" t="s">
        <v>879</v>
      </c>
      <c r="L1802" s="81" t="n">
        <v>2093636</v>
      </c>
      <c r="M1802" s="81" t="n">
        <v>15421110</v>
      </c>
      <c r="N1802" s="81" t="n">
        <v>11.94</v>
      </c>
      <c r="O1802" s="81" t="n">
        <v>2093030</v>
      </c>
      <c r="P1802" s="81" t="n">
        <v>15421110</v>
      </c>
      <c r="Q1802" s="81" t="n">
        <v>11.94</v>
      </c>
      <c r="R1802" s="81" t="s">
        <v>2097</v>
      </c>
      <c r="S1802" s="81"/>
      <c r="T1802" s="81"/>
      <c r="U1802" s="83" t="n">
        <v>46268</v>
      </c>
      <c r="V1802" s="83" t="n">
        <v>46270</v>
      </c>
      <c r="W1802" s="81" t="s">
        <v>2189</v>
      </c>
      <c r="X1802" s="81" t="s">
        <v>876</v>
      </c>
      <c r="Y1802" s="83" t="n">
        <v>46288</v>
      </c>
      <c r="Z1802" s="81" t="s">
        <v>2159</v>
      </c>
      <c r="AA1802" s="81" t="s">
        <v>876</v>
      </c>
      <c r="AB1802" s="81"/>
      <c r="AC1802" s="81"/>
      <c r="AD1802" s="81"/>
      <c r="AE1802" s="83"/>
      <c r="AF1802" s="81"/>
      <c r="AG1802" s="81"/>
      <c r="AH1802" s="81"/>
      <c r="AI1802" s="81"/>
      <c r="AJ1802" s="83"/>
      <c r="AK1802" s="81"/>
      <c r="AL1802" s="81"/>
      <c r="AM1802" s="83"/>
      <c r="AN1802" s="80"/>
      <c r="AO1802" s="82" t="n">
        <f aca="false">IF(E1802="","",(AA1802&lt;&gt;"")+(AG1802&lt;&gt;"")+(AL1802&lt;&gt;""))</f>
        <v>1</v>
      </c>
      <c r="AP1802" s="82" t="str">
        <f aca="false">IF(AL1802&lt;&gt;"",AL1802,IF(AG1802&lt;&gt;"",AG1802,IF(AA1802&lt;&gt;"",AA1802,"")))</f>
        <v>A</v>
      </c>
      <c r="AQ1802" s="84" t="str">
        <f aca="false">IF(E1802="","",IF(U1802="","À SOUDER",IF(X1802="","VT EN ATTENTE",IF(X1802="R","VT REJETÉ – À REPRENDRE",IF(AP1802="","À RADIOGRAPHIER",IF(AP1802="A","ACCEPTÉ",IF(AP1802="NX","NX – RT À REFAIRE",IF(IF(AO1802=1,AD1802,IF(AO1802=2,AI1802,""))="A","RÉPARÉ – À RADIOGRAPHIER",IF(IF(AO1802=1,AD1802,IF(AO1802=2,AI1802,""))="R","VT REJETÉ – À REPRENDRE",IF(OR(AP1802="CO",AP1802="NT"),"COUPE – À RESOUDER","À RÉPARER"))))))))))</f>
        <v>ACCEPTÉ</v>
      </c>
      <c r="AR1802" s="82" t="str">
        <f aca="false">IF(AND(ISNUMBER(U1802),OR(AQ1802="À RADIOGRAPHIER",AQ1802="RÉPARÉ – À RADIOGRAPHIER",AQ1802="NX – RT À REFAIRE",AQ1802="À RÉPARER",AQ1802="COUPE – À RESOUDER",AQ1802="VT REJETÉ – À REPRENDRE")),MAX(0,'PROGRAMME RT'!$C$4-U1802),"")</f>
        <v/>
      </c>
      <c r="AS1802" s="82" t="n">
        <f aca="false">IF(AND(OR(AQ1802="À RADIOGRAPHIER",AQ1802="RÉPARÉ – À RADIOGRAPHIER",AQ1802="NX – RT À REFAIRE"),OR('PROGRAMME RT'!$D$5="TOUTES",B1802='PROGRAMME RT'!$D$5)),1,0)</f>
        <v>0</v>
      </c>
      <c r="AT1802" s="82" t="str">
        <f aca="false">IF(AS1802=1,SUM(AS$7:AS1802),"")</f>
        <v/>
      </c>
      <c r="AU1802" s="82" t="n">
        <f aca="false">IF(AND(OR(AA1802="R",AA1802="NX",AA1802="NT",AA1802="CO"),OR('JOINTS DE RÉPARATION'!$D$5="TOUTES",B1802='JOINTS DE RÉPARATION'!$D$5),OR('JOINTS DE RÉPARATION'!$L$4="TOUS",AQ1802&lt;&gt;"ACCEPTÉ")),1,0)</f>
        <v>0</v>
      </c>
      <c r="AV1802" s="82" t="str">
        <f aca="false">IF(AU1802=1,SUM(AU$7:AU1802),"")</f>
        <v/>
      </c>
      <c r="AW1802" s="82" t="str">
        <f aca="false">IF(E1802="","",B1802&amp;"|"&amp;E1802)</f>
        <v>MFD-ISW → MFD-CPF|JN°1415</v>
      </c>
    </row>
    <row r="1803" customFormat="false" ht="74.6" hidden="false" customHeight="false" outlineLevel="0" collapsed="false">
      <c r="A1803" s="79" t="n">
        <f aca="false">IF(E1803="","",ROW()-6)</f>
        <v>1797</v>
      </c>
      <c r="B1803" s="80" t="s">
        <v>110</v>
      </c>
      <c r="C1803" s="81" t="s">
        <v>2119</v>
      </c>
      <c r="D1803" s="81" t="s">
        <v>869</v>
      </c>
      <c r="E1803" s="81" t="s">
        <v>2192</v>
      </c>
      <c r="F1803" s="82" t="str">
        <f aca="false">IF(E1803="","",IF(LEFT(E1803,2)="DJ","DJ","JN"))</f>
        <v>DJ</v>
      </c>
      <c r="G1803" s="81"/>
      <c r="H1803" s="81" t="s">
        <v>871</v>
      </c>
      <c r="I1803" s="81" t="n">
        <v>9.53</v>
      </c>
      <c r="J1803" s="81" t="s">
        <v>872</v>
      </c>
      <c r="K1803" s="81" t="s">
        <v>873</v>
      </c>
      <c r="L1803" s="81" t="n">
        <v>2093030</v>
      </c>
      <c r="M1803" s="81" t="n">
        <v>15421110</v>
      </c>
      <c r="N1803" s="81" t="n">
        <v>11.94</v>
      </c>
      <c r="O1803" s="81" t="n">
        <v>2095580</v>
      </c>
      <c r="P1803" s="81" t="n">
        <v>15421111</v>
      </c>
      <c r="Q1803" s="81" t="n">
        <v>11.94</v>
      </c>
      <c r="R1803" s="81" t="s">
        <v>1147</v>
      </c>
      <c r="S1803" s="81"/>
      <c r="T1803" s="81"/>
      <c r="U1803" s="83" t="n">
        <v>46257</v>
      </c>
      <c r="V1803" s="83" t="n">
        <v>46257</v>
      </c>
      <c r="W1803" s="81" t="s">
        <v>1560</v>
      </c>
      <c r="X1803" s="81" t="s">
        <v>876</v>
      </c>
      <c r="Y1803" s="83" t="n">
        <v>46260</v>
      </c>
      <c r="Z1803" s="81" t="s">
        <v>2112</v>
      </c>
      <c r="AA1803" s="81" t="s">
        <v>876</v>
      </c>
      <c r="AB1803" s="81"/>
      <c r="AC1803" s="81"/>
      <c r="AD1803" s="81"/>
      <c r="AE1803" s="83"/>
      <c r="AF1803" s="81"/>
      <c r="AG1803" s="81"/>
      <c r="AH1803" s="81"/>
      <c r="AI1803" s="81"/>
      <c r="AJ1803" s="83"/>
      <c r="AK1803" s="81"/>
      <c r="AL1803" s="81"/>
      <c r="AM1803" s="83"/>
      <c r="AN1803" s="80"/>
      <c r="AO1803" s="82" t="n">
        <f aca="false">IF(E1803="","",(AA1803&lt;&gt;"")+(AG1803&lt;&gt;"")+(AL1803&lt;&gt;""))</f>
        <v>1</v>
      </c>
      <c r="AP1803" s="82" t="str">
        <f aca="false">IF(AL1803&lt;&gt;"",AL1803,IF(AG1803&lt;&gt;"",AG1803,IF(AA1803&lt;&gt;"",AA1803,"")))</f>
        <v>A</v>
      </c>
      <c r="AQ1803" s="84" t="str">
        <f aca="false">IF(E1803="","",IF(U1803="","À SOUDER",IF(X1803="","VT EN ATTENTE",IF(X1803="R","VT REJETÉ – À REPRENDRE",IF(AP1803="","À RADIOGRAPHIER",IF(AP1803="A","ACCEPTÉ",IF(AP1803="NX","NX – RT À REFAIRE",IF(IF(AO1803=1,AD1803,IF(AO1803=2,AI1803,""))="A","RÉPARÉ – À RADIOGRAPHIER",IF(IF(AO1803=1,AD1803,IF(AO1803=2,AI1803,""))="R","VT REJETÉ – À REPRENDRE",IF(OR(AP1803="CO",AP1803="NT"),"COUPE – À RESOUDER","À RÉPARER"))))))))))</f>
        <v>ACCEPTÉ</v>
      </c>
      <c r="AR1803" s="82" t="str">
        <f aca="false">IF(AND(ISNUMBER(U1803),OR(AQ1803="À RADIOGRAPHIER",AQ1803="RÉPARÉ – À RADIOGRAPHIER",AQ1803="NX – RT À REFAIRE",AQ1803="À RÉPARER",AQ1803="COUPE – À RESOUDER",AQ1803="VT REJETÉ – À REPRENDRE")),MAX(0,'PROGRAMME RT'!$C$4-U1803),"")</f>
        <v/>
      </c>
      <c r="AS1803" s="82" t="n">
        <f aca="false">IF(AND(OR(AQ1803="À RADIOGRAPHIER",AQ1803="RÉPARÉ – À RADIOGRAPHIER",AQ1803="NX – RT À REFAIRE"),OR('PROGRAMME RT'!$D$5="TOUTES",B1803='PROGRAMME RT'!$D$5)),1,0)</f>
        <v>0</v>
      </c>
      <c r="AT1803" s="82" t="str">
        <f aca="false">IF(AS1803=1,SUM(AS$7:AS1803),"")</f>
        <v/>
      </c>
      <c r="AU1803" s="82" t="n">
        <f aca="false">IF(AND(OR(AA1803="R",AA1803="NX",AA1803="NT",AA1803="CO"),OR('JOINTS DE RÉPARATION'!$D$5="TOUTES",B1803='JOINTS DE RÉPARATION'!$D$5),OR('JOINTS DE RÉPARATION'!$L$4="TOUS",AQ1803&lt;&gt;"ACCEPTÉ")),1,0)</f>
        <v>0</v>
      </c>
      <c r="AV1803" s="82" t="str">
        <f aca="false">IF(AU1803=1,SUM(AU$7:AU1803),"")</f>
        <v/>
      </c>
      <c r="AW1803" s="82" t="str">
        <f aca="false">IF(E1803="","",B1803&amp;"|"&amp;E1803)</f>
        <v>MFD-ISW → MFD-CPF|DJ°095</v>
      </c>
    </row>
    <row r="1804" customFormat="false" ht="74.6" hidden="false" customHeight="false" outlineLevel="0" collapsed="false">
      <c r="A1804" s="79" t="n">
        <f aca="false">IF(E1804="","",ROW()-6)</f>
        <v>1798</v>
      </c>
      <c r="B1804" s="80" t="s">
        <v>110</v>
      </c>
      <c r="C1804" s="81" t="s">
        <v>2119</v>
      </c>
      <c r="D1804" s="81" t="n">
        <v>16</v>
      </c>
      <c r="E1804" s="81" t="s">
        <v>2193</v>
      </c>
      <c r="F1804" s="82" t="str">
        <f aca="false">IF(E1804="","",IF(LEFT(E1804,2)="DJ","DJ","JN"))</f>
        <v>JN</v>
      </c>
      <c r="G1804" s="81" t="s">
        <v>1504</v>
      </c>
      <c r="H1804" s="81" t="s">
        <v>871</v>
      </c>
      <c r="I1804" s="81" t="n">
        <v>9.53</v>
      </c>
      <c r="J1804" s="81" t="s">
        <v>872</v>
      </c>
      <c r="K1804" s="81" t="s">
        <v>879</v>
      </c>
      <c r="L1804" s="81" t="n">
        <v>2095580</v>
      </c>
      <c r="M1804" s="81" t="n">
        <v>15421111</v>
      </c>
      <c r="N1804" s="81" t="n">
        <v>11.94</v>
      </c>
      <c r="O1804" s="81" t="n">
        <v>2091450</v>
      </c>
      <c r="P1804" s="81" t="n">
        <v>15421110</v>
      </c>
      <c r="Q1804" s="81" t="n">
        <v>11.94</v>
      </c>
      <c r="R1804" s="81" t="s">
        <v>2097</v>
      </c>
      <c r="S1804" s="81"/>
      <c r="T1804" s="81"/>
      <c r="U1804" s="83" t="n">
        <v>46268</v>
      </c>
      <c r="V1804" s="83" t="n">
        <v>46270</v>
      </c>
      <c r="W1804" s="81" t="s">
        <v>2189</v>
      </c>
      <c r="X1804" s="81" t="s">
        <v>876</v>
      </c>
      <c r="Y1804" s="83" t="n">
        <v>46288</v>
      </c>
      <c r="Z1804" s="81" t="s">
        <v>2194</v>
      </c>
      <c r="AA1804" s="81" t="s">
        <v>876</v>
      </c>
      <c r="AB1804" s="81"/>
      <c r="AC1804" s="81"/>
      <c r="AD1804" s="81"/>
      <c r="AE1804" s="83"/>
      <c r="AF1804" s="81"/>
      <c r="AG1804" s="81"/>
      <c r="AH1804" s="81"/>
      <c r="AI1804" s="81"/>
      <c r="AJ1804" s="83"/>
      <c r="AK1804" s="81"/>
      <c r="AL1804" s="81"/>
      <c r="AM1804" s="83"/>
      <c r="AN1804" s="80"/>
      <c r="AO1804" s="82" t="n">
        <f aca="false">IF(E1804="","",(AA1804&lt;&gt;"")+(AG1804&lt;&gt;"")+(AL1804&lt;&gt;""))</f>
        <v>1</v>
      </c>
      <c r="AP1804" s="82" t="str">
        <f aca="false">IF(AL1804&lt;&gt;"",AL1804,IF(AG1804&lt;&gt;"",AG1804,IF(AA1804&lt;&gt;"",AA1804,"")))</f>
        <v>A</v>
      </c>
      <c r="AQ1804" s="84" t="str">
        <f aca="false">IF(E1804="","",IF(U1804="","À SOUDER",IF(X1804="","VT EN ATTENTE",IF(X1804="R","VT REJETÉ – À REPRENDRE",IF(AP1804="","À RADIOGRAPHIER",IF(AP1804="A","ACCEPTÉ",IF(AP1804="NX","NX – RT À REFAIRE",IF(IF(AO1804=1,AD1804,IF(AO1804=2,AI1804,""))="A","RÉPARÉ – À RADIOGRAPHIER",IF(IF(AO1804=1,AD1804,IF(AO1804=2,AI1804,""))="R","VT REJETÉ – À REPRENDRE",IF(OR(AP1804="CO",AP1804="NT"),"COUPE – À RESOUDER","À RÉPARER"))))))))))</f>
        <v>ACCEPTÉ</v>
      </c>
      <c r="AR1804" s="82" t="str">
        <f aca="false">IF(AND(ISNUMBER(U1804),OR(AQ1804="À RADIOGRAPHIER",AQ1804="RÉPARÉ – À RADIOGRAPHIER",AQ1804="NX – RT À REFAIRE",AQ1804="À RÉPARER",AQ1804="COUPE – À RESOUDER",AQ1804="VT REJETÉ – À REPRENDRE")),MAX(0,'PROGRAMME RT'!$C$4-U1804),"")</f>
        <v/>
      </c>
      <c r="AS1804" s="82" t="n">
        <f aca="false">IF(AND(OR(AQ1804="À RADIOGRAPHIER",AQ1804="RÉPARÉ – À RADIOGRAPHIER",AQ1804="NX – RT À REFAIRE"),OR('PROGRAMME RT'!$D$5="TOUTES",B1804='PROGRAMME RT'!$D$5)),1,0)</f>
        <v>0</v>
      </c>
      <c r="AT1804" s="82" t="str">
        <f aca="false">IF(AS1804=1,SUM(AS$7:AS1804),"")</f>
        <v/>
      </c>
      <c r="AU1804" s="82" t="n">
        <f aca="false">IF(AND(OR(AA1804="R",AA1804="NX",AA1804="NT",AA1804="CO"),OR('JOINTS DE RÉPARATION'!$D$5="TOUTES",B1804='JOINTS DE RÉPARATION'!$D$5),OR('JOINTS DE RÉPARATION'!$L$4="TOUS",AQ1804&lt;&gt;"ACCEPTÉ")),1,0)</f>
        <v>0</v>
      </c>
      <c r="AV1804" s="82" t="str">
        <f aca="false">IF(AU1804=1,SUM(AU$7:AU1804),"")</f>
        <v/>
      </c>
      <c r="AW1804" s="82" t="str">
        <f aca="false">IF(E1804="","",B1804&amp;"|"&amp;E1804)</f>
        <v>MFD-ISW → MFD-CPF|JN°1416</v>
      </c>
    </row>
    <row r="1805" customFormat="false" ht="74.6" hidden="false" customHeight="false" outlineLevel="0" collapsed="false">
      <c r="A1805" s="79" t="n">
        <f aca="false">IF(E1805="","",ROW()-6)</f>
        <v>1799</v>
      </c>
      <c r="B1805" s="80" t="s">
        <v>110</v>
      </c>
      <c r="C1805" s="81" t="s">
        <v>2119</v>
      </c>
      <c r="D1805" s="81" t="s">
        <v>869</v>
      </c>
      <c r="E1805" s="81" t="s">
        <v>2195</v>
      </c>
      <c r="F1805" s="82" t="str">
        <f aca="false">IF(E1805="","",IF(LEFT(E1805,2)="DJ","DJ","JN"))</f>
        <v>DJ</v>
      </c>
      <c r="G1805" s="81"/>
      <c r="H1805" s="81" t="s">
        <v>871</v>
      </c>
      <c r="I1805" s="81" t="n">
        <v>9.53</v>
      </c>
      <c r="J1805" s="81" t="s">
        <v>872</v>
      </c>
      <c r="K1805" s="81" t="s">
        <v>873</v>
      </c>
      <c r="L1805" s="81" t="n">
        <v>2093450</v>
      </c>
      <c r="M1805" s="81" t="n">
        <v>15421110</v>
      </c>
      <c r="N1805" s="81" t="n">
        <v>11.94</v>
      </c>
      <c r="O1805" s="81" t="n">
        <v>2089350</v>
      </c>
      <c r="P1805" s="81" t="n">
        <v>15421111</v>
      </c>
      <c r="Q1805" s="81" t="n">
        <v>11.94</v>
      </c>
      <c r="R1805" s="81" t="s">
        <v>963</v>
      </c>
      <c r="S1805" s="81"/>
      <c r="T1805" s="81"/>
      <c r="U1805" s="83" t="n">
        <v>46257</v>
      </c>
      <c r="V1805" s="83" t="n">
        <v>46257</v>
      </c>
      <c r="W1805" s="81" t="s">
        <v>1560</v>
      </c>
      <c r="X1805" s="81" t="s">
        <v>876</v>
      </c>
      <c r="Y1805" s="83" t="n">
        <v>46260</v>
      </c>
      <c r="Z1805" s="81" t="s">
        <v>2112</v>
      </c>
      <c r="AA1805" s="81" t="s">
        <v>876</v>
      </c>
      <c r="AB1805" s="81"/>
      <c r="AC1805" s="81"/>
      <c r="AD1805" s="81"/>
      <c r="AE1805" s="83"/>
      <c r="AF1805" s="81"/>
      <c r="AG1805" s="81"/>
      <c r="AH1805" s="81"/>
      <c r="AI1805" s="81"/>
      <c r="AJ1805" s="83"/>
      <c r="AK1805" s="81"/>
      <c r="AL1805" s="81"/>
      <c r="AM1805" s="83"/>
      <c r="AN1805" s="80"/>
      <c r="AO1805" s="82" t="n">
        <f aca="false">IF(E1805="","",(AA1805&lt;&gt;"")+(AG1805&lt;&gt;"")+(AL1805&lt;&gt;""))</f>
        <v>1</v>
      </c>
      <c r="AP1805" s="82" t="str">
        <f aca="false">IF(AL1805&lt;&gt;"",AL1805,IF(AG1805&lt;&gt;"",AG1805,IF(AA1805&lt;&gt;"",AA1805,"")))</f>
        <v>A</v>
      </c>
      <c r="AQ1805" s="84" t="str">
        <f aca="false">IF(E1805="","",IF(U1805="","À SOUDER",IF(X1805="","VT EN ATTENTE",IF(X1805="R","VT REJETÉ – À REPRENDRE",IF(AP1805="","À RADIOGRAPHIER",IF(AP1805="A","ACCEPTÉ",IF(AP1805="NX","NX – RT À REFAIRE",IF(IF(AO1805=1,AD1805,IF(AO1805=2,AI1805,""))="A","RÉPARÉ – À RADIOGRAPHIER",IF(IF(AO1805=1,AD1805,IF(AO1805=2,AI1805,""))="R","VT REJETÉ – À REPRENDRE",IF(OR(AP1805="CO",AP1805="NT"),"COUPE – À RESOUDER","À RÉPARER"))))))))))</f>
        <v>ACCEPTÉ</v>
      </c>
      <c r="AR1805" s="82" t="str">
        <f aca="false">IF(AND(ISNUMBER(U1805),OR(AQ1805="À RADIOGRAPHIER",AQ1805="RÉPARÉ – À RADIOGRAPHIER",AQ1805="NX – RT À REFAIRE",AQ1805="À RÉPARER",AQ1805="COUPE – À RESOUDER",AQ1805="VT REJETÉ – À REPRENDRE")),MAX(0,'PROGRAMME RT'!$C$4-U1805),"")</f>
        <v/>
      </c>
      <c r="AS1805" s="82" t="n">
        <f aca="false">IF(AND(OR(AQ1805="À RADIOGRAPHIER",AQ1805="RÉPARÉ – À RADIOGRAPHIER",AQ1805="NX – RT À REFAIRE"),OR('PROGRAMME RT'!$D$5="TOUTES",B1805='PROGRAMME RT'!$D$5)),1,0)</f>
        <v>0</v>
      </c>
      <c r="AT1805" s="82" t="str">
        <f aca="false">IF(AS1805=1,SUM(AS$7:AS1805),"")</f>
        <v/>
      </c>
      <c r="AU1805" s="82" t="n">
        <f aca="false">IF(AND(OR(AA1805="R",AA1805="NX",AA1805="NT",AA1805="CO"),OR('JOINTS DE RÉPARATION'!$D$5="TOUTES",B1805='JOINTS DE RÉPARATION'!$D$5),OR('JOINTS DE RÉPARATION'!$L$4="TOUS",AQ1805&lt;&gt;"ACCEPTÉ")),1,0)</f>
        <v>0</v>
      </c>
      <c r="AV1805" s="82" t="str">
        <f aca="false">IF(AU1805=1,SUM(AU$7:AU1805),"")</f>
        <v/>
      </c>
      <c r="AW1805" s="82" t="str">
        <f aca="false">IF(E1805="","",B1805&amp;"|"&amp;E1805)</f>
        <v>MFD-ISW → MFD-CPF|DJ°096</v>
      </c>
    </row>
    <row r="1806" customFormat="false" ht="74.6" hidden="false" customHeight="false" outlineLevel="0" collapsed="false">
      <c r="A1806" s="79" t="n">
        <f aca="false">IF(E1806="","",ROW()-6)</f>
        <v>1800</v>
      </c>
      <c r="B1806" s="80" t="s">
        <v>110</v>
      </c>
      <c r="C1806" s="81"/>
      <c r="D1806" s="81" t="n">
        <v>16</v>
      </c>
      <c r="E1806" s="81" t="s">
        <v>2196</v>
      </c>
      <c r="F1806" s="82" t="str">
        <f aca="false">IF(E1806="","",IF(LEFT(E1806,2)="DJ","DJ","JN"))</f>
        <v>JN</v>
      </c>
      <c r="G1806" s="81"/>
      <c r="H1806" s="81"/>
      <c r="I1806" s="81"/>
      <c r="J1806" s="81"/>
      <c r="K1806" s="81"/>
      <c r="L1806" s="81"/>
      <c r="M1806" s="81"/>
      <c r="N1806" s="81"/>
      <c r="O1806" s="81"/>
      <c r="P1806" s="81"/>
      <c r="Q1806" s="81"/>
      <c r="R1806" s="81"/>
      <c r="S1806" s="81"/>
      <c r="T1806" s="81"/>
      <c r="U1806" s="83"/>
      <c r="V1806" s="83"/>
      <c r="W1806" s="81"/>
      <c r="X1806" s="81"/>
      <c r="Y1806" s="83"/>
      <c r="Z1806" s="81"/>
      <c r="AA1806" s="81"/>
      <c r="AB1806" s="81"/>
      <c r="AC1806" s="81"/>
      <c r="AD1806" s="81"/>
      <c r="AE1806" s="83"/>
      <c r="AF1806" s="81"/>
      <c r="AG1806" s="81"/>
      <c r="AH1806" s="81"/>
      <c r="AI1806" s="81"/>
      <c r="AJ1806" s="83"/>
      <c r="AK1806" s="81"/>
      <c r="AL1806" s="81"/>
      <c r="AM1806" s="83"/>
      <c r="AN1806" s="80"/>
      <c r="AO1806" s="82" t="n">
        <f aca="false">IF(E1806="","",(AA1806&lt;&gt;"")+(AG1806&lt;&gt;"")+(AL1806&lt;&gt;""))</f>
        <v>0</v>
      </c>
      <c r="AP1806" s="82" t="str">
        <f aca="false">IF(AL1806&lt;&gt;"",AL1806,IF(AG1806&lt;&gt;"",AG1806,IF(AA1806&lt;&gt;"",AA1806,"")))</f>
        <v/>
      </c>
      <c r="AQ1806" s="84" t="str">
        <f aca="false">IF(E1806="","",IF(U1806="","À SOUDER",IF(X1806="","VT EN ATTENTE",IF(X1806="R","VT REJETÉ – À REPRENDRE",IF(AP1806="","À RADIOGRAPHIER",IF(AP1806="A","ACCEPTÉ",IF(AP1806="NX","NX – RT À REFAIRE",IF(IF(AO1806=1,AD1806,IF(AO1806=2,AI1806,""))="A","RÉPARÉ – À RADIOGRAPHIER",IF(IF(AO1806=1,AD1806,IF(AO1806=2,AI1806,""))="R","VT REJETÉ – À REPRENDRE",IF(OR(AP1806="CO",AP1806="NT"),"COUPE – À RESOUDER","À RÉPARER"))))))))))</f>
        <v>À SOUDER</v>
      </c>
      <c r="AR1806" s="82" t="str">
        <f aca="false">IF(AND(ISNUMBER(U1806),OR(AQ1806="À RADIOGRAPHIER",AQ1806="RÉPARÉ – À RADIOGRAPHIER",AQ1806="NX – RT À REFAIRE",AQ1806="À RÉPARER",AQ1806="COUPE – À RESOUDER",AQ1806="VT REJETÉ – À REPRENDRE")),MAX(0,'PROGRAMME RT'!$C$4-U1806),"")</f>
        <v/>
      </c>
      <c r="AS1806" s="82" t="n">
        <f aca="false">IF(AND(OR(AQ1806="À RADIOGRAPHIER",AQ1806="RÉPARÉ – À RADIOGRAPHIER",AQ1806="NX – RT À REFAIRE"),OR('PROGRAMME RT'!$D$5="TOUTES",B1806='PROGRAMME RT'!$D$5)),1,0)</f>
        <v>0</v>
      </c>
      <c r="AT1806" s="82" t="str">
        <f aca="false">IF(AS1806=1,SUM(AS$7:AS1806),"")</f>
        <v/>
      </c>
      <c r="AU1806" s="82" t="n">
        <f aca="false">IF(AND(OR(AA1806="R",AA1806="NX",AA1806="NT",AA1806="CO"),OR('JOINTS DE RÉPARATION'!$D$5="TOUTES",B1806='JOINTS DE RÉPARATION'!$D$5),OR('JOINTS DE RÉPARATION'!$L$4="TOUS",AQ1806&lt;&gt;"ACCEPTÉ")),1,0)</f>
        <v>0</v>
      </c>
      <c r="AV1806" s="82" t="str">
        <f aca="false">IF(AU1806=1,SUM(AU$7:AU1806),"")</f>
        <v/>
      </c>
      <c r="AW1806" s="82" t="str">
        <f aca="false">IF(E1806="","",B1806&amp;"|"&amp;E1806)</f>
        <v>MFD-ISW → MFD-CPF|JN°1417</v>
      </c>
    </row>
    <row r="1807" customFormat="false" ht="74.6" hidden="false" customHeight="false" outlineLevel="0" collapsed="false">
      <c r="A1807" s="79" t="n">
        <f aca="false">IF(E1807="","",ROW()-6)</f>
        <v>1801</v>
      </c>
      <c r="B1807" s="80" t="s">
        <v>110</v>
      </c>
      <c r="C1807" s="81" t="s">
        <v>2197</v>
      </c>
      <c r="D1807" s="81" t="s">
        <v>869</v>
      </c>
      <c r="E1807" s="81" t="s">
        <v>2198</v>
      </c>
      <c r="F1807" s="82" t="str">
        <f aca="false">IF(E1807="","",IF(LEFT(E1807,2)="DJ","DJ","JN"))</f>
        <v>DJ</v>
      </c>
      <c r="G1807" s="81"/>
      <c r="H1807" s="81" t="s">
        <v>871</v>
      </c>
      <c r="I1807" s="81" t="n">
        <v>9.53</v>
      </c>
      <c r="J1807" s="81" t="s">
        <v>872</v>
      </c>
      <c r="K1807" s="81" t="s">
        <v>873</v>
      </c>
      <c r="L1807" s="81" t="n">
        <v>2089250</v>
      </c>
      <c r="M1807" s="81" t="n">
        <v>15421108</v>
      </c>
      <c r="N1807" s="81" t="n">
        <v>11.94</v>
      </c>
      <c r="O1807" s="81" t="n">
        <v>2084660</v>
      </c>
      <c r="P1807" s="81" t="n">
        <v>15421106</v>
      </c>
      <c r="Q1807" s="81" t="n">
        <v>11.94</v>
      </c>
      <c r="R1807" s="81" t="s">
        <v>1517</v>
      </c>
      <c r="S1807" s="81"/>
      <c r="T1807" s="81"/>
      <c r="U1807" s="83" t="n">
        <v>46259</v>
      </c>
      <c r="V1807" s="83" t="n">
        <v>46259</v>
      </c>
      <c r="W1807" s="81" t="s">
        <v>2094</v>
      </c>
      <c r="X1807" s="81" t="s">
        <v>876</v>
      </c>
      <c r="Y1807" s="83" t="n">
        <v>46260</v>
      </c>
      <c r="Z1807" s="81" t="s">
        <v>2168</v>
      </c>
      <c r="AA1807" s="81" t="s">
        <v>876</v>
      </c>
      <c r="AB1807" s="81"/>
      <c r="AC1807" s="81"/>
      <c r="AD1807" s="81"/>
      <c r="AE1807" s="83"/>
      <c r="AF1807" s="81"/>
      <c r="AG1807" s="81"/>
      <c r="AH1807" s="81"/>
      <c r="AI1807" s="81"/>
      <c r="AJ1807" s="83"/>
      <c r="AK1807" s="81"/>
      <c r="AL1807" s="81"/>
      <c r="AM1807" s="83"/>
      <c r="AN1807" s="80"/>
      <c r="AO1807" s="82" t="n">
        <f aca="false">IF(E1807="","",(AA1807&lt;&gt;"")+(AG1807&lt;&gt;"")+(AL1807&lt;&gt;""))</f>
        <v>1</v>
      </c>
      <c r="AP1807" s="82" t="str">
        <f aca="false">IF(AL1807&lt;&gt;"",AL1807,IF(AG1807&lt;&gt;"",AG1807,IF(AA1807&lt;&gt;"",AA1807,"")))</f>
        <v>A</v>
      </c>
      <c r="AQ1807" s="84" t="str">
        <f aca="false">IF(E1807="","",IF(U1807="","À SOUDER",IF(X1807="","VT EN ATTENTE",IF(X1807="R","VT REJETÉ – À REPRENDRE",IF(AP1807="","À RADIOGRAPHIER",IF(AP1807="A","ACCEPTÉ",IF(AP1807="NX","NX – RT À REFAIRE",IF(IF(AO1807=1,AD1807,IF(AO1807=2,AI1807,""))="A","RÉPARÉ – À RADIOGRAPHIER",IF(IF(AO1807=1,AD1807,IF(AO1807=2,AI1807,""))="R","VT REJETÉ – À REPRENDRE",IF(OR(AP1807="CO",AP1807="NT"),"COUPE – À RESOUDER","À RÉPARER"))))))))))</f>
        <v>ACCEPTÉ</v>
      </c>
      <c r="AR1807" s="82" t="str">
        <f aca="false">IF(AND(ISNUMBER(U1807),OR(AQ1807="À RADIOGRAPHIER",AQ1807="RÉPARÉ – À RADIOGRAPHIER",AQ1807="NX – RT À REFAIRE",AQ1807="À RÉPARER",AQ1807="COUPE – À RESOUDER",AQ1807="VT REJETÉ – À REPRENDRE")),MAX(0,'PROGRAMME RT'!$C$4-U1807),"")</f>
        <v/>
      </c>
      <c r="AS1807" s="82" t="n">
        <f aca="false">IF(AND(OR(AQ1807="À RADIOGRAPHIER",AQ1807="RÉPARÉ – À RADIOGRAPHIER",AQ1807="NX – RT À REFAIRE"),OR('PROGRAMME RT'!$D$5="TOUTES",B1807='PROGRAMME RT'!$D$5)),1,0)</f>
        <v>0</v>
      </c>
      <c r="AT1807" s="82" t="str">
        <f aca="false">IF(AS1807=1,SUM(AS$7:AS1807),"")</f>
        <v/>
      </c>
      <c r="AU1807" s="82" t="n">
        <f aca="false">IF(AND(OR(AA1807="R",AA1807="NX",AA1807="NT",AA1807="CO"),OR('JOINTS DE RÉPARATION'!$D$5="TOUTES",B1807='JOINTS DE RÉPARATION'!$D$5),OR('JOINTS DE RÉPARATION'!$L$4="TOUS",AQ1807&lt;&gt;"ACCEPTÉ")),1,0)</f>
        <v>0</v>
      </c>
      <c r="AV1807" s="82" t="str">
        <f aca="false">IF(AU1807=1,SUM(AU$7:AU1807),"")</f>
        <v/>
      </c>
      <c r="AW1807" s="82" t="str">
        <f aca="false">IF(E1807="","",B1807&amp;"|"&amp;E1807)</f>
        <v>MFD-ISW → MFD-CPF|DJ°138</v>
      </c>
    </row>
    <row r="1808" customFormat="false" ht="74.6" hidden="false" customHeight="false" outlineLevel="0" collapsed="false">
      <c r="A1808" s="79" t="n">
        <f aca="false">IF(E1808="","",ROW()-6)</f>
        <v>1802</v>
      </c>
      <c r="B1808" s="80" t="s">
        <v>110</v>
      </c>
      <c r="C1808" s="81" t="s">
        <v>926</v>
      </c>
      <c r="D1808" s="81" t="n">
        <v>16</v>
      </c>
      <c r="E1808" s="81" t="s">
        <v>2199</v>
      </c>
      <c r="F1808" s="82" t="str">
        <f aca="false">IF(E1808="","",IF(LEFT(E1808,2)="DJ","DJ","JN"))</f>
        <v>JN</v>
      </c>
      <c r="G1808" s="81"/>
      <c r="H1808" s="81"/>
      <c r="I1808" s="81"/>
      <c r="J1808" s="81"/>
      <c r="K1808" s="81"/>
      <c r="L1808" s="81" t="s">
        <v>1268</v>
      </c>
      <c r="M1808" s="81"/>
      <c r="N1808" s="81"/>
      <c r="O1808" s="81"/>
      <c r="P1808" s="81"/>
      <c r="Q1808" s="81"/>
      <c r="R1808" s="81"/>
      <c r="S1808" s="81"/>
      <c r="T1808" s="81"/>
      <c r="U1808" s="83"/>
      <c r="V1808" s="83"/>
      <c r="W1808" s="81"/>
      <c r="X1808" s="81"/>
      <c r="Y1808" s="83"/>
      <c r="Z1808" s="81"/>
      <c r="AA1808" s="81"/>
      <c r="AB1808" s="81"/>
      <c r="AC1808" s="81"/>
      <c r="AD1808" s="81"/>
      <c r="AE1808" s="83"/>
      <c r="AF1808" s="81"/>
      <c r="AG1808" s="81"/>
      <c r="AH1808" s="81"/>
      <c r="AI1808" s="81"/>
      <c r="AJ1808" s="83"/>
      <c r="AK1808" s="81"/>
      <c r="AL1808" s="81"/>
      <c r="AM1808" s="83"/>
      <c r="AN1808" s="80"/>
      <c r="AO1808" s="82" t="n">
        <f aca="false">IF(E1808="","",(AA1808&lt;&gt;"")+(AG1808&lt;&gt;"")+(AL1808&lt;&gt;""))</f>
        <v>0</v>
      </c>
      <c r="AP1808" s="82" t="str">
        <f aca="false">IF(AL1808&lt;&gt;"",AL1808,IF(AG1808&lt;&gt;"",AG1808,IF(AA1808&lt;&gt;"",AA1808,"")))</f>
        <v/>
      </c>
      <c r="AQ1808" s="84" t="str">
        <f aca="false">IF(E1808="","",IF(U1808="","À SOUDER",IF(X1808="","VT EN ATTENTE",IF(X1808="R","VT REJETÉ – À REPRENDRE",IF(AP1808="","À RADIOGRAPHIER",IF(AP1808="A","ACCEPTÉ",IF(AP1808="NX","NX – RT À REFAIRE",IF(IF(AO1808=1,AD1808,IF(AO1808=2,AI1808,""))="A","RÉPARÉ – À RADIOGRAPHIER",IF(IF(AO1808=1,AD1808,IF(AO1808=2,AI1808,""))="R","VT REJETÉ – À REPRENDRE",IF(OR(AP1808="CO",AP1808="NT"),"COUPE – À RESOUDER","À RÉPARER"))))))))))</f>
        <v>À SOUDER</v>
      </c>
      <c r="AR1808" s="82" t="str">
        <f aca="false">IF(AND(ISNUMBER(U1808),OR(AQ1808="À RADIOGRAPHIER",AQ1808="RÉPARÉ – À RADIOGRAPHIER",AQ1808="NX – RT À REFAIRE",AQ1808="À RÉPARER",AQ1808="COUPE – À RESOUDER",AQ1808="VT REJETÉ – À REPRENDRE")),MAX(0,'PROGRAMME RT'!$C$4-U1808),"")</f>
        <v/>
      </c>
      <c r="AS1808" s="82" t="n">
        <f aca="false">IF(AND(OR(AQ1808="À RADIOGRAPHIER",AQ1808="RÉPARÉ – À RADIOGRAPHIER",AQ1808="NX – RT À REFAIRE"),OR('PROGRAMME RT'!$D$5="TOUTES",B1808='PROGRAMME RT'!$D$5)),1,0)</f>
        <v>0</v>
      </c>
      <c r="AT1808" s="82" t="str">
        <f aca="false">IF(AS1808=1,SUM(AS$7:AS1808),"")</f>
        <v/>
      </c>
      <c r="AU1808" s="82" t="n">
        <f aca="false">IF(AND(OR(AA1808="R",AA1808="NX",AA1808="NT",AA1808="CO"),OR('JOINTS DE RÉPARATION'!$D$5="TOUTES",B1808='JOINTS DE RÉPARATION'!$D$5),OR('JOINTS DE RÉPARATION'!$L$4="TOUS",AQ1808&lt;&gt;"ACCEPTÉ")),1,0)</f>
        <v>0</v>
      </c>
      <c r="AV1808" s="82" t="str">
        <f aca="false">IF(AU1808=1,SUM(AU$7:AU1808),"")</f>
        <v/>
      </c>
      <c r="AW1808" s="82" t="str">
        <f aca="false">IF(E1808="","",B1808&amp;"|"&amp;E1808)</f>
        <v>MFD-ISW → MFD-CPF|JN°1418</v>
      </c>
    </row>
    <row r="1809" customFormat="false" ht="74.6" hidden="false" customHeight="false" outlineLevel="0" collapsed="false">
      <c r="A1809" s="79" t="n">
        <f aca="false">IF(E1809="","",ROW()-6)</f>
        <v>1803</v>
      </c>
      <c r="B1809" s="80" t="s">
        <v>110</v>
      </c>
      <c r="C1809" s="81" t="s">
        <v>926</v>
      </c>
      <c r="D1809" s="81" t="n">
        <v>16</v>
      </c>
      <c r="E1809" s="81" t="s">
        <v>2200</v>
      </c>
      <c r="F1809" s="82" t="str">
        <f aca="false">IF(E1809="","",IF(LEFT(E1809,2)="DJ","DJ","JN"))</f>
        <v>JN</v>
      </c>
      <c r="G1809" s="81"/>
      <c r="H1809" s="81"/>
      <c r="I1809" s="81"/>
      <c r="J1809" s="81"/>
      <c r="K1809" s="81"/>
      <c r="L1809" s="81" t="s">
        <v>1268</v>
      </c>
      <c r="M1809" s="81"/>
      <c r="N1809" s="81"/>
      <c r="O1809" s="81"/>
      <c r="P1809" s="81"/>
      <c r="Q1809" s="81"/>
      <c r="R1809" s="81"/>
      <c r="S1809" s="81"/>
      <c r="T1809" s="81"/>
      <c r="U1809" s="83"/>
      <c r="V1809" s="83"/>
      <c r="W1809" s="81"/>
      <c r="X1809" s="81"/>
      <c r="Y1809" s="83"/>
      <c r="Z1809" s="81"/>
      <c r="AA1809" s="81"/>
      <c r="AB1809" s="81"/>
      <c r="AC1809" s="81"/>
      <c r="AD1809" s="81"/>
      <c r="AE1809" s="83"/>
      <c r="AF1809" s="81"/>
      <c r="AG1809" s="81"/>
      <c r="AH1809" s="81"/>
      <c r="AI1809" s="81"/>
      <c r="AJ1809" s="83"/>
      <c r="AK1809" s="81"/>
      <c r="AL1809" s="81"/>
      <c r="AM1809" s="83"/>
      <c r="AN1809" s="80"/>
      <c r="AO1809" s="82" t="n">
        <f aca="false">IF(E1809="","",(AA1809&lt;&gt;"")+(AG1809&lt;&gt;"")+(AL1809&lt;&gt;""))</f>
        <v>0</v>
      </c>
      <c r="AP1809" s="82" t="str">
        <f aca="false">IF(AL1809&lt;&gt;"",AL1809,IF(AG1809&lt;&gt;"",AG1809,IF(AA1809&lt;&gt;"",AA1809,"")))</f>
        <v/>
      </c>
      <c r="AQ1809" s="84" t="str">
        <f aca="false">IF(E1809="","",IF(U1809="","À SOUDER",IF(X1809="","VT EN ATTENTE",IF(X1809="R","VT REJETÉ – À REPRENDRE",IF(AP1809="","À RADIOGRAPHIER",IF(AP1809="A","ACCEPTÉ",IF(AP1809="NX","NX – RT À REFAIRE",IF(IF(AO1809=1,AD1809,IF(AO1809=2,AI1809,""))="A","RÉPARÉ – À RADIOGRAPHIER",IF(IF(AO1809=1,AD1809,IF(AO1809=2,AI1809,""))="R","VT REJETÉ – À REPRENDRE",IF(OR(AP1809="CO",AP1809="NT"),"COUPE – À RESOUDER","À RÉPARER"))))))))))</f>
        <v>À SOUDER</v>
      </c>
      <c r="AR1809" s="82" t="str">
        <f aca="false">IF(AND(ISNUMBER(U1809),OR(AQ1809="À RADIOGRAPHIER",AQ1809="RÉPARÉ – À RADIOGRAPHIER",AQ1809="NX – RT À REFAIRE",AQ1809="À RÉPARER",AQ1809="COUPE – À RESOUDER",AQ1809="VT REJETÉ – À REPRENDRE")),MAX(0,'PROGRAMME RT'!$C$4-U1809),"")</f>
        <v/>
      </c>
      <c r="AS1809" s="82" t="n">
        <f aca="false">IF(AND(OR(AQ1809="À RADIOGRAPHIER",AQ1809="RÉPARÉ – À RADIOGRAPHIER",AQ1809="NX – RT À REFAIRE"),OR('PROGRAMME RT'!$D$5="TOUTES",B1809='PROGRAMME RT'!$D$5)),1,0)</f>
        <v>0</v>
      </c>
      <c r="AT1809" s="82" t="str">
        <f aca="false">IF(AS1809=1,SUM(AS$7:AS1809),"")</f>
        <v/>
      </c>
      <c r="AU1809" s="82" t="n">
        <f aca="false">IF(AND(OR(AA1809="R",AA1809="NX",AA1809="NT",AA1809="CO"),OR('JOINTS DE RÉPARATION'!$D$5="TOUTES",B1809='JOINTS DE RÉPARATION'!$D$5),OR('JOINTS DE RÉPARATION'!$L$4="TOUS",AQ1809&lt;&gt;"ACCEPTÉ")),1,0)</f>
        <v>0</v>
      </c>
      <c r="AV1809" s="82" t="str">
        <f aca="false">IF(AU1809=1,SUM(AU$7:AU1809),"")</f>
        <v/>
      </c>
      <c r="AW1809" s="82" t="str">
        <f aca="false">IF(E1809="","",B1809&amp;"|"&amp;E1809)</f>
        <v>MFD-ISW → MFD-CPF|JN°1419</v>
      </c>
    </row>
    <row r="1810" customFormat="false" ht="74.6" hidden="false" customHeight="false" outlineLevel="0" collapsed="false">
      <c r="A1810" s="79" t="n">
        <f aca="false">IF(E1810="","",ROW()-6)</f>
        <v>1804</v>
      </c>
      <c r="B1810" s="80" t="s">
        <v>110</v>
      </c>
      <c r="C1810" s="81" t="s">
        <v>926</v>
      </c>
      <c r="D1810" s="81" t="n">
        <v>16</v>
      </c>
      <c r="E1810" s="81" t="s">
        <v>2201</v>
      </c>
      <c r="F1810" s="82" t="str">
        <f aca="false">IF(E1810="","",IF(LEFT(E1810,2)="DJ","DJ","JN"))</f>
        <v>JN</v>
      </c>
      <c r="G1810" s="81"/>
      <c r="H1810" s="81"/>
      <c r="I1810" s="81"/>
      <c r="J1810" s="81"/>
      <c r="K1810" s="81"/>
      <c r="L1810" s="81" t="s">
        <v>1268</v>
      </c>
      <c r="M1810" s="81"/>
      <c r="N1810" s="81"/>
      <c r="O1810" s="81"/>
      <c r="P1810" s="81"/>
      <c r="Q1810" s="81"/>
      <c r="R1810" s="81"/>
      <c r="S1810" s="81"/>
      <c r="T1810" s="81"/>
      <c r="U1810" s="83"/>
      <c r="V1810" s="83"/>
      <c r="W1810" s="81"/>
      <c r="X1810" s="81"/>
      <c r="Y1810" s="83"/>
      <c r="Z1810" s="81"/>
      <c r="AA1810" s="81"/>
      <c r="AB1810" s="81"/>
      <c r="AC1810" s="81"/>
      <c r="AD1810" s="81"/>
      <c r="AE1810" s="83"/>
      <c r="AF1810" s="81"/>
      <c r="AG1810" s="81"/>
      <c r="AH1810" s="81"/>
      <c r="AI1810" s="81"/>
      <c r="AJ1810" s="83"/>
      <c r="AK1810" s="81"/>
      <c r="AL1810" s="81"/>
      <c r="AM1810" s="83"/>
      <c r="AN1810" s="80"/>
      <c r="AO1810" s="82" t="n">
        <f aca="false">IF(E1810="","",(AA1810&lt;&gt;"")+(AG1810&lt;&gt;"")+(AL1810&lt;&gt;""))</f>
        <v>0</v>
      </c>
      <c r="AP1810" s="82" t="str">
        <f aca="false">IF(AL1810&lt;&gt;"",AL1810,IF(AG1810&lt;&gt;"",AG1810,IF(AA1810&lt;&gt;"",AA1810,"")))</f>
        <v/>
      </c>
      <c r="AQ1810" s="84" t="str">
        <f aca="false">IF(E1810="","",IF(U1810="","À SOUDER",IF(X1810="","VT EN ATTENTE",IF(X1810="R","VT REJETÉ – À REPRENDRE",IF(AP1810="","À RADIOGRAPHIER",IF(AP1810="A","ACCEPTÉ",IF(AP1810="NX","NX – RT À REFAIRE",IF(IF(AO1810=1,AD1810,IF(AO1810=2,AI1810,""))="A","RÉPARÉ – À RADIOGRAPHIER",IF(IF(AO1810=1,AD1810,IF(AO1810=2,AI1810,""))="R","VT REJETÉ – À REPRENDRE",IF(OR(AP1810="CO",AP1810="NT"),"COUPE – À RESOUDER","À RÉPARER"))))))))))</f>
        <v>À SOUDER</v>
      </c>
      <c r="AR1810" s="82" t="str">
        <f aca="false">IF(AND(ISNUMBER(U1810),OR(AQ1810="À RADIOGRAPHIER",AQ1810="RÉPARÉ – À RADIOGRAPHIER",AQ1810="NX – RT À REFAIRE",AQ1810="À RÉPARER",AQ1810="COUPE – À RESOUDER",AQ1810="VT REJETÉ – À REPRENDRE")),MAX(0,'PROGRAMME RT'!$C$4-U1810),"")</f>
        <v/>
      </c>
      <c r="AS1810" s="82" t="n">
        <f aca="false">IF(AND(OR(AQ1810="À RADIOGRAPHIER",AQ1810="RÉPARÉ – À RADIOGRAPHIER",AQ1810="NX – RT À REFAIRE"),OR('PROGRAMME RT'!$D$5="TOUTES",B1810='PROGRAMME RT'!$D$5)),1,0)</f>
        <v>0</v>
      </c>
      <c r="AT1810" s="82" t="str">
        <f aca="false">IF(AS1810=1,SUM(AS$7:AS1810),"")</f>
        <v/>
      </c>
      <c r="AU1810" s="82" t="n">
        <f aca="false">IF(AND(OR(AA1810="R",AA1810="NX",AA1810="NT",AA1810="CO"),OR('JOINTS DE RÉPARATION'!$D$5="TOUTES",B1810='JOINTS DE RÉPARATION'!$D$5),OR('JOINTS DE RÉPARATION'!$L$4="TOUS",AQ1810&lt;&gt;"ACCEPTÉ")),1,0)</f>
        <v>0</v>
      </c>
      <c r="AV1810" s="82" t="str">
        <f aca="false">IF(AU1810=1,SUM(AU$7:AU1810),"")</f>
        <v/>
      </c>
      <c r="AW1810" s="82" t="str">
        <f aca="false">IF(E1810="","",B1810&amp;"|"&amp;E1810)</f>
        <v>MFD-ISW → MFD-CPF|JN°1420</v>
      </c>
    </row>
    <row r="1811" customFormat="false" ht="74.6" hidden="false" customHeight="false" outlineLevel="0" collapsed="false">
      <c r="A1811" s="79" t="n">
        <f aca="false">IF(E1811="","",ROW()-6)</f>
        <v>1805</v>
      </c>
      <c r="B1811" s="80" t="s">
        <v>110</v>
      </c>
      <c r="C1811" s="81" t="s">
        <v>2202</v>
      </c>
      <c r="D1811" s="81" t="n">
        <v>16</v>
      </c>
      <c r="E1811" s="81" t="s">
        <v>2203</v>
      </c>
      <c r="F1811" s="82" t="str">
        <f aca="false">IF(E1811="","",IF(LEFT(E1811,2)="DJ","DJ","JN"))</f>
        <v>DJ</v>
      </c>
      <c r="G1811" s="81"/>
      <c r="H1811" s="81" t="s">
        <v>871</v>
      </c>
      <c r="I1811" s="81" t="n">
        <v>9.53</v>
      </c>
      <c r="J1811" s="81" t="s">
        <v>872</v>
      </c>
      <c r="K1811" s="81" t="s">
        <v>873</v>
      </c>
      <c r="L1811" s="81" t="n">
        <v>2089670</v>
      </c>
      <c r="M1811" s="81" t="n">
        <v>15421109</v>
      </c>
      <c r="N1811" s="81" t="n">
        <v>11.94</v>
      </c>
      <c r="O1811" s="81" t="n">
        <v>2088190</v>
      </c>
      <c r="P1811" s="81" t="n">
        <v>15421108</v>
      </c>
      <c r="Q1811" s="81" t="n">
        <v>11.94</v>
      </c>
      <c r="R1811" s="81" t="s">
        <v>874</v>
      </c>
      <c r="S1811" s="81"/>
      <c r="T1811" s="81"/>
      <c r="U1811" s="83" t="n">
        <v>46259</v>
      </c>
      <c r="V1811" s="83" t="n">
        <v>46259</v>
      </c>
      <c r="W1811" s="81" t="s">
        <v>2094</v>
      </c>
      <c r="X1811" s="81" t="s">
        <v>876</v>
      </c>
      <c r="Y1811" s="83" t="n">
        <v>46260</v>
      </c>
      <c r="Z1811" s="81" t="s">
        <v>2168</v>
      </c>
      <c r="AA1811" s="81" t="s">
        <v>876</v>
      </c>
      <c r="AB1811" s="81"/>
      <c r="AC1811" s="81"/>
      <c r="AD1811" s="81"/>
      <c r="AE1811" s="83"/>
      <c r="AF1811" s="81"/>
      <c r="AG1811" s="81"/>
      <c r="AH1811" s="81"/>
      <c r="AI1811" s="81"/>
      <c r="AJ1811" s="83"/>
      <c r="AK1811" s="81"/>
      <c r="AL1811" s="81"/>
      <c r="AM1811" s="83"/>
      <c r="AN1811" s="80"/>
      <c r="AO1811" s="82" t="n">
        <f aca="false">IF(E1811="","",(AA1811&lt;&gt;"")+(AG1811&lt;&gt;"")+(AL1811&lt;&gt;""))</f>
        <v>1</v>
      </c>
      <c r="AP1811" s="82" t="str">
        <f aca="false">IF(AL1811&lt;&gt;"",AL1811,IF(AG1811&lt;&gt;"",AG1811,IF(AA1811&lt;&gt;"",AA1811,"")))</f>
        <v>A</v>
      </c>
      <c r="AQ1811" s="84" t="str">
        <f aca="false">IF(E1811="","",IF(U1811="","À SOUDER",IF(X1811="","VT EN ATTENTE",IF(X1811="R","VT REJETÉ – À REPRENDRE",IF(AP1811="","À RADIOGRAPHIER",IF(AP1811="A","ACCEPTÉ",IF(AP1811="NX","NX – RT À REFAIRE",IF(IF(AO1811=1,AD1811,IF(AO1811=2,AI1811,""))="A","RÉPARÉ – À RADIOGRAPHIER",IF(IF(AO1811=1,AD1811,IF(AO1811=2,AI1811,""))="R","VT REJETÉ – À REPRENDRE",IF(OR(AP1811="CO",AP1811="NT"),"COUPE – À RESOUDER","À RÉPARER"))))))))))</f>
        <v>ACCEPTÉ</v>
      </c>
      <c r="AR1811" s="82" t="str">
        <f aca="false">IF(AND(ISNUMBER(U1811),OR(AQ1811="À RADIOGRAPHIER",AQ1811="RÉPARÉ – À RADIOGRAPHIER",AQ1811="NX – RT À REFAIRE",AQ1811="À RÉPARER",AQ1811="COUPE – À RESOUDER",AQ1811="VT REJETÉ – À REPRENDRE")),MAX(0,'PROGRAMME RT'!$C$4-U1811),"")</f>
        <v/>
      </c>
      <c r="AS1811" s="82" t="n">
        <f aca="false">IF(AND(OR(AQ1811="À RADIOGRAPHIER",AQ1811="RÉPARÉ – À RADIOGRAPHIER",AQ1811="NX – RT À REFAIRE"),OR('PROGRAMME RT'!$D$5="TOUTES",B1811='PROGRAMME RT'!$D$5)),1,0)</f>
        <v>0</v>
      </c>
      <c r="AT1811" s="82" t="str">
        <f aca="false">IF(AS1811=1,SUM(AS$7:AS1811),"")</f>
        <v/>
      </c>
      <c r="AU1811" s="82" t="n">
        <f aca="false">IF(AND(OR(AA1811="R",AA1811="NX",AA1811="NT",AA1811="CO"),OR('JOINTS DE RÉPARATION'!$D$5="TOUTES",B1811='JOINTS DE RÉPARATION'!$D$5),OR('JOINTS DE RÉPARATION'!$L$4="TOUS",AQ1811&lt;&gt;"ACCEPTÉ")),1,0)</f>
        <v>0</v>
      </c>
      <c r="AV1811" s="82" t="str">
        <f aca="false">IF(AU1811=1,SUM(AU$7:AU1811),"")</f>
        <v/>
      </c>
      <c r="AW1811" s="82" t="str">
        <f aca="false">IF(E1811="","",B1811&amp;"|"&amp;E1811)</f>
        <v>MFD-ISW → MFD-CPF|DJ°139</v>
      </c>
    </row>
    <row r="1812" customFormat="false" ht="74.6" hidden="false" customHeight="false" outlineLevel="0" collapsed="false">
      <c r="A1812" s="79" t="n">
        <f aca="false">IF(E1812="","",ROW()-6)</f>
        <v>1806</v>
      </c>
      <c r="B1812" s="80" t="s">
        <v>110</v>
      </c>
      <c r="C1812" s="81" t="s">
        <v>2202</v>
      </c>
      <c r="D1812" s="81" t="n">
        <v>16</v>
      </c>
      <c r="E1812" s="81" t="s">
        <v>2204</v>
      </c>
      <c r="F1812" s="82" t="str">
        <f aca="false">IF(E1812="","",IF(LEFT(E1812,2)="DJ","DJ","JN"))</f>
        <v>JN</v>
      </c>
      <c r="G1812" s="81" t="s">
        <v>1504</v>
      </c>
      <c r="H1812" s="81" t="s">
        <v>871</v>
      </c>
      <c r="I1812" s="81" t="n">
        <v>9.53</v>
      </c>
      <c r="J1812" s="81" t="s">
        <v>872</v>
      </c>
      <c r="K1812" s="81" t="s">
        <v>2205</v>
      </c>
      <c r="L1812" s="81" t="n">
        <v>2088130</v>
      </c>
      <c r="M1812" s="81" t="n">
        <v>15421108</v>
      </c>
      <c r="N1812" s="81" t="n">
        <v>11.94</v>
      </c>
      <c r="O1812" s="81" t="n">
        <v>2089670</v>
      </c>
      <c r="P1812" s="81" t="n">
        <v>15421109</v>
      </c>
      <c r="Q1812" s="81" t="n">
        <v>11.94</v>
      </c>
      <c r="R1812" s="81" t="s">
        <v>1884</v>
      </c>
      <c r="S1812" s="81"/>
      <c r="T1812" s="81"/>
      <c r="U1812" s="83" t="n">
        <v>46289</v>
      </c>
      <c r="V1812" s="83" t="n">
        <v>46289</v>
      </c>
      <c r="W1812" s="81" t="s">
        <v>1984</v>
      </c>
      <c r="X1812" s="81" t="s">
        <v>876</v>
      </c>
      <c r="Y1812" s="83"/>
      <c r="Z1812" s="81"/>
      <c r="AA1812" s="81"/>
      <c r="AB1812" s="81" t="s">
        <v>2206</v>
      </c>
      <c r="AC1812" s="81"/>
      <c r="AD1812" s="81"/>
      <c r="AE1812" s="83"/>
      <c r="AF1812" s="81"/>
      <c r="AG1812" s="81"/>
      <c r="AH1812" s="81"/>
      <c r="AI1812" s="81"/>
      <c r="AJ1812" s="83"/>
      <c r="AK1812" s="81"/>
      <c r="AL1812" s="81"/>
      <c r="AM1812" s="83"/>
      <c r="AN1812" s="80"/>
      <c r="AO1812" s="82" t="n">
        <f aca="false">IF(E1812="","",(AA1812&lt;&gt;"")+(AG1812&lt;&gt;"")+(AL1812&lt;&gt;""))</f>
        <v>0</v>
      </c>
      <c r="AP1812" s="82" t="str">
        <f aca="false">IF(AL1812&lt;&gt;"",AL1812,IF(AG1812&lt;&gt;"",AG1812,IF(AA1812&lt;&gt;"",AA1812,"")))</f>
        <v/>
      </c>
      <c r="AQ1812" s="84" t="str">
        <f aca="false">IF(E1812="","",IF(U1812="","À SOUDER",IF(X1812="","VT EN ATTENTE",IF(X1812="R","VT REJETÉ – À REPRENDRE",IF(AP1812="","À RADIOGRAPHIER",IF(AP1812="A","ACCEPTÉ",IF(AP1812="NX","NX – RT À REFAIRE",IF(IF(AO1812=1,AD1812,IF(AO1812=2,AI1812,""))="A","RÉPARÉ – À RADIOGRAPHIER",IF(IF(AO1812=1,AD1812,IF(AO1812=2,AI1812,""))="R","VT REJETÉ – À REPRENDRE",IF(OR(AP1812="CO",AP1812="NT"),"COUPE – À RESOUDER","À RÉPARER"))))))))))</f>
        <v>À RADIOGRAPHIER</v>
      </c>
      <c r="AR1812" s="82" t="n">
        <f aca="false">IF(AND(ISNUMBER(U1812),OR(AQ1812="À RADIOGRAPHIER",AQ1812="RÉPARÉ – À RADIOGRAPHIER",AQ1812="NX – RT À REFAIRE",AQ1812="À RÉPARER",AQ1812="COUPE – À RESOUDER",AQ1812="VT REJETÉ – À REPRENDRE")),MAX(0,'PROGRAMME RT'!$C$4-U1812),"")</f>
        <v>4</v>
      </c>
      <c r="AS1812" s="82" t="n">
        <f aca="false">IF(AND(OR(AQ1812="À RADIOGRAPHIER",AQ1812="RÉPARÉ – À RADIOGRAPHIER",AQ1812="NX – RT À REFAIRE"),OR('PROGRAMME RT'!$D$5="TOUTES",B1812='PROGRAMME RT'!$D$5)),1,0)</f>
        <v>1</v>
      </c>
      <c r="AT1812" s="82" t="n">
        <f aca="false">IF(AS1812=1,SUM(AS$7:AS1812),"")</f>
        <v>92</v>
      </c>
      <c r="AU1812" s="82" t="n">
        <f aca="false">IF(AND(OR(AA1812="R",AA1812="NX",AA1812="NT",AA1812="CO"),OR('JOINTS DE RÉPARATION'!$D$5="TOUTES",B1812='JOINTS DE RÉPARATION'!$D$5),OR('JOINTS DE RÉPARATION'!$L$4="TOUS",AQ1812&lt;&gt;"ACCEPTÉ")),1,0)</f>
        <v>0</v>
      </c>
      <c r="AV1812" s="82" t="str">
        <f aca="false">IF(AU1812=1,SUM(AU$7:AU1812),"")</f>
        <v/>
      </c>
      <c r="AW1812" s="82" t="str">
        <f aca="false">IF(E1812="","",B1812&amp;"|"&amp;E1812)</f>
        <v>MFD-ISW → MFD-CPF|JN°1421R</v>
      </c>
    </row>
    <row r="1813" customFormat="false" ht="74.6" hidden="false" customHeight="false" outlineLevel="0" collapsed="false">
      <c r="A1813" s="79" t="n">
        <f aca="false">IF(E1813="","",ROW()-6)</f>
        <v>1807</v>
      </c>
      <c r="B1813" s="80" t="s">
        <v>110</v>
      </c>
      <c r="C1813" s="81" t="s">
        <v>2202</v>
      </c>
      <c r="D1813" s="81" t="n">
        <v>16</v>
      </c>
      <c r="E1813" s="81" t="s">
        <v>2207</v>
      </c>
      <c r="F1813" s="82" t="str">
        <f aca="false">IF(E1813="","",IF(LEFT(E1813,2)="DJ","DJ","JN"))</f>
        <v>DJ</v>
      </c>
      <c r="G1813" s="81"/>
      <c r="H1813" s="81" t="s">
        <v>871</v>
      </c>
      <c r="I1813" s="81" t="n">
        <v>9.53</v>
      </c>
      <c r="J1813" s="81" t="s">
        <v>872</v>
      </c>
      <c r="K1813" s="81" t="s">
        <v>873</v>
      </c>
      <c r="L1813" s="81" t="n">
        <v>2094530</v>
      </c>
      <c r="M1813" s="81" t="n">
        <v>15421111</v>
      </c>
      <c r="N1813" s="81" t="n">
        <v>11.94</v>
      </c>
      <c r="O1813" s="81" t="n">
        <v>2097790</v>
      </c>
      <c r="P1813" s="81" t="n">
        <v>15421112</v>
      </c>
      <c r="Q1813" s="81" t="n">
        <v>11.94</v>
      </c>
      <c r="R1813" s="81" t="s">
        <v>1135</v>
      </c>
      <c r="S1813" s="81"/>
      <c r="T1813" s="81"/>
      <c r="U1813" s="83" t="n">
        <v>46259</v>
      </c>
      <c r="V1813" s="83" t="n">
        <v>46259</v>
      </c>
      <c r="W1813" s="81" t="s">
        <v>2094</v>
      </c>
      <c r="X1813" s="81" t="s">
        <v>876</v>
      </c>
      <c r="Y1813" s="83" t="n">
        <v>46260</v>
      </c>
      <c r="Z1813" s="81" t="s">
        <v>2168</v>
      </c>
      <c r="AA1813" s="81" t="s">
        <v>876</v>
      </c>
      <c r="AB1813" s="81"/>
      <c r="AC1813" s="81"/>
      <c r="AD1813" s="81"/>
      <c r="AE1813" s="83"/>
      <c r="AF1813" s="81"/>
      <c r="AG1813" s="81"/>
      <c r="AH1813" s="81"/>
      <c r="AI1813" s="81"/>
      <c r="AJ1813" s="83"/>
      <c r="AK1813" s="81"/>
      <c r="AL1813" s="81"/>
      <c r="AM1813" s="83"/>
      <c r="AN1813" s="80"/>
      <c r="AO1813" s="82" t="n">
        <f aca="false">IF(E1813="","",(AA1813&lt;&gt;"")+(AG1813&lt;&gt;"")+(AL1813&lt;&gt;""))</f>
        <v>1</v>
      </c>
      <c r="AP1813" s="82" t="str">
        <f aca="false">IF(AL1813&lt;&gt;"",AL1813,IF(AG1813&lt;&gt;"",AG1813,IF(AA1813&lt;&gt;"",AA1813,"")))</f>
        <v>A</v>
      </c>
      <c r="AQ1813" s="84" t="str">
        <f aca="false">IF(E1813="","",IF(U1813="","À SOUDER",IF(X1813="","VT EN ATTENTE",IF(X1813="R","VT REJETÉ – À REPRENDRE",IF(AP1813="","À RADIOGRAPHIER",IF(AP1813="A","ACCEPTÉ",IF(AP1813="NX","NX – RT À REFAIRE",IF(IF(AO1813=1,AD1813,IF(AO1813=2,AI1813,""))="A","RÉPARÉ – À RADIOGRAPHIER",IF(IF(AO1813=1,AD1813,IF(AO1813=2,AI1813,""))="R","VT REJETÉ – À REPRENDRE",IF(OR(AP1813="CO",AP1813="NT"),"COUPE – À RESOUDER","À RÉPARER"))))))))))</f>
        <v>ACCEPTÉ</v>
      </c>
      <c r="AR1813" s="82" t="str">
        <f aca="false">IF(AND(ISNUMBER(U1813),OR(AQ1813="À RADIOGRAPHIER",AQ1813="RÉPARÉ – À RADIOGRAPHIER",AQ1813="NX – RT À REFAIRE",AQ1813="À RÉPARER",AQ1813="COUPE – À RESOUDER",AQ1813="VT REJETÉ – À REPRENDRE")),MAX(0,'PROGRAMME RT'!$C$4-U1813),"")</f>
        <v/>
      </c>
      <c r="AS1813" s="82" t="n">
        <f aca="false">IF(AND(OR(AQ1813="À RADIOGRAPHIER",AQ1813="RÉPARÉ – À RADIOGRAPHIER",AQ1813="NX – RT À REFAIRE"),OR('PROGRAMME RT'!$D$5="TOUTES",B1813='PROGRAMME RT'!$D$5)),1,0)</f>
        <v>0</v>
      </c>
      <c r="AT1813" s="82" t="str">
        <f aca="false">IF(AS1813=1,SUM(AS$7:AS1813),"")</f>
        <v/>
      </c>
      <c r="AU1813" s="82" t="n">
        <f aca="false">IF(AND(OR(AA1813="R",AA1813="NX",AA1813="NT",AA1813="CO"),OR('JOINTS DE RÉPARATION'!$D$5="TOUTES",B1813='JOINTS DE RÉPARATION'!$D$5),OR('JOINTS DE RÉPARATION'!$L$4="TOUS",AQ1813&lt;&gt;"ACCEPTÉ")),1,0)</f>
        <v>0</v>
      </c>
      <c r="AV1813" s="82" t="str">
        <f aca="false">IF(AU1813=1,SUM(AU$7:AU1813),"")</f>
        <v/>
      </c>
      <c r="AW1813" s="82" t="str">
        <f aca="false">IF(E1813="","",B1813&amp;"|"&amp;E1813)</f>
        <v>MFD-ISW → MFD-CPF|DJ°140</v>
      </c>
    </row>
    <row r="1814" customFormat="false" ht="74.6" hidden="false" customHeight="false" outlineLevel="0" collapsed="false">
      <c r="A1814" s="79" t="n">
        <f aca="false">IF(E1814="","",ROW()-6)</f>
        <v>1808</v>
      </c>
      <c r="B1814" s="80" t="s">
        <v>110</v>
      </c>
      <c r="C1814" s="81" t="s">
        <v>2202</v>
      </c>
      <c r="D1814" s="81" t="n">
        <v>16</v>
      </c>
      <c r="E1814" s="81" t="s">
        <v>2208</v>
      </c>
      <c r="F1814" s="82" t="str">
        <f aca="false">IF(E1814="","",IF(LEFT(E1814,2)="DJ","DJ","JN"))</f>
        <v>JN</v>
      </c>
      <c r="G1814" s="81" t="s">
        <v>1504</v>
      </c>
      <c r="H1814" s="81" t="s">
        <v>871</v>
      </c>
      <c r="I1814" s="81" t="n">
        <v>9.53</v>
      </c>
      <c r="J1814" s="81" t="s">
        <v>872</v>
      </c>
      <c r="K1814" s="81" t="s">
        <v>879</v>
      </c>
      <c r="L1814" s="81" t="n">
        <v>2094530</v>
      </c>
      <c r="M1814" s="81" t="n">
        <v>15421111</v>
      </c>
      <c r="N1814" s="81" t="n">
        <v>11.94</v>
      </c>
      <c r="O1814" s="81" t="n">
        <v>2094620</v>
      </c>
      <c r="P1814" s="81" t="n">
        <v>15421111</v>
      </c>
      <c r="Q1814" s="81" t="n">
        <v>11.94</v>
      </c>
      <c r="R1814" s="81" t="s">
        <v>2097</v>
      </c>
      <c r="S1814" s="81"/>
      <c r="T1814" s="81"/>
      <c r="U1814" s="83" t="n">
        <v>46268</v>
      </c>
      <c r="V1814" s="83" t="n">
        <v>46270</v>
      </c>
      <c r="W1814" s="81" t="s">
        <v>2189</v>
      </c>
      <c r="X1814" s="81" t="s">
        <v>876</v>
      </c>
      <c r="Y1814" s="83" t="n">
        <v>46278</v>
      </c>
      <c r="Z1814" s="81" t="s">
        <v>2209</v>
      </c>
      <c r="AA1814" s="81" t="s">
        <v>876</v>
      </c>
      <c r="AB1814" s="81"/>
      <c r="AC1814" s="81"/>
      <c r="AD1814" s="81"/>
      <c r="AE1814" s="83"/>
      <c r="AF1814" s="81"/>
      <c r="AG1814" s="81"/>
      <c r="AH1814" s="81"/>
      <c r="AI1814" s="81"/>
      <c r="AJ1814" s="83"/>
      <c r="AK1814" s="81"/>
      <c r="AL1814" s="81"/>
      <c r="AM1814" s="83"/>
      <c r="AN1814" s="80"/>
      <c r="AO1814" s="82" t="n">
        <f aca="false">IF(E1814="","",(AA1814&lt;&gt;"")+(AG1814&lt;&gt;"")+(AL1814&lt;&gt;""))</f>
        <v>1</v>
      </c>
      <c r="AP1814" s="82" t="str">
        <f aca="false">IF(AL1814&lt;&gt;"",AL1814,IF(AG1814&lt;&gt;"",AG1814,IF(AA1814&lt;&gt;"",AA1814,"")))</f>
        <v>A</v>
      </c>
      <c r="AQ1814" s="84" t="str">
        <f aca="false">IF(E1814="","",IF(U1814="","À SOUDER",IF(X1814="","VT EN ATTENTE",IF(X1814="R","VT REJETÉ – À REPRENDRE",IF(AP1814="","À RADIOGRAPHIER",IF(AP1814="A","ACCEPTÉ",IF(AP1814="NX","NX – RT À REFAIRE",IF(IF(AO1814=1,AD1814,IF(AO1814=2,AI1814,""))="A","RÉPARÉ – À RADIOGRAPHIER",IF(IF(AO1814=1,AD1814,IF(AO1814=2,AI1814,""))="R","VT REJETÉ – À REPRENDRE",IF(OR(AP1814="CO",AP1814="NT"),"COUPE – À RESOUDER","À RÉPARER"))))))))))</f>
        <v>ACCEPTÉ</v>
      </c>
      <c r="AR1814" s="82" t="str">
        <f aca="false">IF(AND(ISNUMBER(U1814),OR(AQ1814="À RADIOGRAPHIER",AQ1814="RÉPARÉ – À RADIOGRAPHIER",AQ1814="NX – RT À REFAIRE",AQ1814="À RÉPARER",AQ1814="COUPE – À RESOUDER",AQ1814="VT REJETÉ – À REPRENDRE")),MAX(0,'PROGRAMME RT'!$C$4-U1814),"")</f>
        <v/>
      </c>
      <c r="AS1814" s="82" t="n">
        <f aca="false">IF(AND(OR(AQ1814="À RADIOGRAPHIER",AQ1814="RÉPARÉ – À RADIOGRAPHIER",AQ1814="NX – RT À REFAIRE"),OR('PROGRAMME RT'!$D$5="TOUTES",B1814='PROGRAMME RT'!$D$5)),1,0)</f>
        <v>0</v>
      </c>
      <c r="AT1814" s="82" t="str">
        <f aca="false">IF(AS1814=1,SUM(AS$7:AS1814),"")</f>
        <v/>
      </c>
      <c r="AU1814" s="82" t="n">
        <f aca="false">IF(AND(OR(AA1814="R",AA1814="NX",AA1814="NT",AA1814="CO"),OR('JOINTS DE RÉPARATION'!$D$5="TOUTES",B1814='JOINTS DE RÉPARATION'!$D$5),OR('JOINTS DE RÉPARATION'!$L$4="TOUS",AQ1814&lt;&gt;"ACCEPTÉ")),1,0)</f>
        <v>0</v>
      </c>
      <c r="AV1814" s="82" t="str">
        <f aca="false">IF(AU1814=1,SUM(AU$7:AU1814),"")</f>
        <v/>
      </c>
      <c r="AW1814" s="82" t="str">
        <f aca="false">IF(E1814="","",B1814&amp;"|"&amp;E1814)</f>
        <v>MFD-ISW → MFD-CPF|JN°1422</v>
      </c>
    </row>
    <row r="1815" customFormat="false" ht="74.6" hidden="false" customHeight="false" outlineLevel="0" collapsed="false">
      <c r="A1815" s="79" t="n">
        <f aca="false">IF(E1815="","",ROW()-6)</f>
        <v>1809</v>
      </c>
      <c r="B1815" s="80" t="s">
        <v>110</v>
      </c>
      <c r="C1815" s="81" t="s">
        <v>2202</v>
      </c>
      <c r="D1815" s="81" t="n">
        <v>16</v>
      </c>
      <c r="E1815" s="81" t="s">
        <v>2210</v>
      </c>
      <c r="F1815" s="82" t="str">
        <f aca="false">IF(E1815="","",IF(LEFT(E1815,2)="DJ","DJ","JN"))</f>
        <v>DJ</v>
      </c>
      <c r="G1815" s="81"/>
      <c r="H1815" s="81" t="s">
        <v>871</v>
      </c>
      <c r="I1815" s="81" t="n">
        <v>9.53</v>
      </c>
      <c r="J1815" s="81" t="s">
        <v>872</v>
      </c>
      <c r="K1815" s="81" t="s">
        <v>873</v>
      </c>
      <c r="L1815" s="81" t="n">
        <v>2093</v>
      </c>
      <c r="M1815" s="81" t="n">
        <v>15421110</v>
      </c>
      <c r="N1815" s="81" t="n">
        <v>11.94</v>
      </c>
      <c r="O1815" s="81" t="n">
        <v>2094620</v>
      </c>
      <c r="P1815" s="81" t="n">
        <v>15421111</v>
      </c>
      <c r="Q1815" s="81" t="n">
        <v>11.94</v>
      </c>
      <c r="R1815" s="81" t="s">
        <v>1147</v>
      </c>
      <c r="S1815" s="81"/>
      <c r="T1815" s="81"/>
      <c r="U1815" s="83" t="n">
        <v>46259</v>
      </c>
      <c r="V1815" s="83" t="n">
        <v>46259</v>
      </c>
      <c r="W1815" s="81" t="s">
        <v>2094</v>
      </c>
      <c r="X1815" s="81" t="s">
        <v>876</v>
      </c>
      <c r="Y1815" s="83" t="n">
        <v>46260</v>
      </c>
      <c r="Z1815" s="81" t="s">
        <v>2168</v>
      </c>
      <c r="AA1815" s="81" t="s">
        <v>876</v>
      </c>
      <c r="AB1815" s="81"/>
      <c r="AC1815" s="81"/>
      <c r="AD1815" s="81"/>
      <c r="AE1815" s="83"/>
      <c r="AF1815" s="81"/>
      <c r="AG1815" s="81"/>
      <c r="AH1815" s="81"/>
      <c r="AI1815" s="81"/>
      <c r="AJ1815" s="83"/>
      <c r="AK1815" s="81"/>
      <c r="AL1815" s="81"/>
      <c r="AM1815" s="83"/>
      <c r="AN1815" s="80"/>
      <c r="AO1815" s="82" t="n">
        <f aca="false">IF(E1815="","",(AA1815&lt;&gt;"")+(AG1815&lt;&gt;"")+(AL1815&lt;&gt;""))</f>
        <v>1</v>
      </c>
      <c r="AP1815" s="82" t="str">
        <f aca="false">IF(AL1815&lt;&gt;"",AL1815,IF(AG1815&lt;&gt;"",AG1815,IF(AA1815&lt;&gt;"",AA1815,"")))</f>
        <v>A</v>
      </c>
      <c r="AQ1815" s="84" t="str">
        <f aca="false">IF(E1815="","",IF(U1815="","À SOUDER",IF(X1815="","VT EN ATTENTE",IF(X1815="R","VT REJETÉ – À REPRENDRE",IF(AP1815="","À RADIOGRAPHIER",IF(AP1815="A","ACCEPTÉ",IF(AP1815="NX","NX – RT À REFAIRE",IF(IF(AO1815=1,AD1815,IF(AO1815=2,AI1815,""))="A","RÉPARÉ – À RADIOGRAPHIER",IF(IF(AO1815=1,AD1815,IF(AO1815=2,AI1815,""))="R","VT REJETÉ – À REPRENDRE",IF(OR(AP1815="CO",AP1815="NT"),"COUPE – À RESOUDER","À RÉPARER"))))))))))</f>
        <v>ACCEPTÉ</v>
      </c>
      <c r="AR1815" s="82" t="str">
        <f aca="false">IF(AND(ISNUMBER(U1815),OR(AQ1815="À RADIOGRAPHIER",AQ1815="RÉPARÉ – À RADIOGRAPHIER",AQ1815="NX – RT À REFAIRE",AQ1815="À RÉPARER",AQ1815="COUPE – À RESOUDER",AQ1815="VT REJETÉ – À REPRENDRE")),MAX(0,'PROGRAMME RT'!$C$4-U1815),"")</f>
        <v/>
      </c>
      <c r="AS1815" s="82" t="n">
        <f aca="false">IF(AND(OR(AQ1815="À RADIOGRAPHIER",AQ1815="RÉPARÉ – À RADIOGRAPHIER",AQ1815="NX – RT À REFAIRE"),OR('PROGRAMME RT'!$D$5="TOUTES",B1815='PROGRAMME RT'!$D$5)),1,0)</f>
        <v>0</v>
      </c>
      <c r="AT1815" s="82" t="str">
        <f aca="false">IF(AS1815=1,SUM(AS$7:AS1815),"")</f>
        <v/>
      </c>
      <c r="AU1815" s="82" t="n">
        <f aca="false">IF(AND(OR(AA1815="R",AA1815="NX",AA1815="NT",AA1815="CO"),OR('JOINTS DE RÉPARATION'!$D$5="TOUTES",B1815='JOINTS DE RÉPARATION'!$D$5),OR('JOINTS DE RÉPARATION'!$L$4="TOUS",AQ1815&lt;&gt;"ACCEPTÉ")),1,0)</f>
        <v>0</v>
      </c>
      <c r="AV1815" s="82" t="str">
        <f aca="false">IF(AU1815=1,SUM(AU$7:AU1815),"")</f>
        <v/>
      </c>
      <c r="AW1815" s="82" t="str">
        <f aca="false">IF(E1815="","",B1815&amp;"|"&amp;E1815)</f>
        <v>MFD-ISW → MFD-CPF|DJ°132</v>
      </c>
    </row>
    <row r="1816" customFormat="false" ht="74.6" hidden="false" customHeight="false" outlineLevel="0" collapsed="false">
      <c r="A1816" s="79" t="n">
        <f aca="false">IF(E1816="","",ROW()-6)</f>
        <v>1810</v>
      </c>
      <c r="B1816" s="80" t="s">
        <v>110</v>
      </c>
      <c r="C1816" s="81" t="s">
        <v>2202</v>
      </c>
      <c r="D1816" s="81" t="n">
        <v>16</v>
      </c>
      <c r="E1816" s="81" t="s">
        <v>2211</v>
      </c>
      <c r="F1816" s="82" t="str">
        <f aca="false">IF(E1816="","",IF(LEFT(E1816,2)="DJ","DJ","JN"))</f>
        <v>JN</v>
      </c>
      <c r="G1816" s="81" t="s">
        <v>1504</v>
      </c>
      <c r="H1816" s="81" t="s">
        <v>871</v>
      </c>
      <c r="I1816" s="81" t="n">
        <v>9.53</v>
      </c>
      <c r="J1816" s="81" t="s">
        <v>872</v>
      </c>
      <c r="K1816" s="81" t="s">
        <v>879</v>
      </c>
      <c r="L1816" s="81" t="n">
        <v>2093160</v>
      </c>
      <c r="M1816" s="81" t="n">
        <v>15421110</v>
      </c>
      <c r="N1816" s="81" t="n">
        <v>11.94</v>
      </c>
      <c r="O1816" s="81" t="n">
        <v>2081360</v>
      </c>
      <c r="P1816" s="81" t="n">
        <v>15421103</v>
      </c>
      <c r="Q1816" s="81" t="n">
        <v>11.94</v>
      </c>
      <c r="R1816" s="81" t="s">
        <v>2097</v>
      </c>
      <c r="S1816" s="81"/>
      <c r="T1816" s="81"/>
      <c r="U1816" s="83" t="n">
        <v>46268</v>
      </c>
      <c r="V1816" s="83" t="n">
        <v>46270</v>
      </c>
      <c r="W1816" s="81" t="s">
        <v>2189</v>
      </c>
      <c r="X1816" s="81" t="s">
        <v>876</v>
      </c>
      <c r="Y1816" s="83" t="n">
        <v>46278</v>
      </c>
      <c r="Z1816" s="81" t="s">
        <v>2209</v>
      </c>
      <c r="AA1816" s="81" t="s">
        <v>876</v>
      </c>
      <c r="AB1816" s="81"/>
      <c r="AC1816" s="81"/>
      <c r="AD1816" s="81"/>
      <c r="AE1816" s="83"/>
      <c r="AF1816" s="81"/>
      <c r="AG1816" s="81"/>
      <c r="AH1816" s="81"/>
      <c r="AI1816" s="81"/>
      <c r="AJ1816" s="83"/>
      <c r="AK1816" s="81"/>
      <c r="AL1816" s="81"/>
      <c r="AM1816" s="83"/>
      <c r="AN1816" s="80"/>
      <c r="AO1816" s="82" t="n">
        <f aca="false">IF(E1816="","",(AA1816&lt;&gt;"")+(AG1816&lt;&gt;"")+(AL1816&lt;&gt;""))</f>
        <v>1</v>
      </c>
      <c r="AP1816" s="82" t="str">
        <f aca="false">IF(AL1816&lt;&gt;"",AL1816,IF(AG1816&lt;&gt;"",AG1816,IF(AA1816&lt;&gt;"",AA1816,"")))</f>
        <v>A</v>
      </c>
      <c r="AQ1816" s="84" t="str">
        <f aca="false">IF(E1816="","",IF(U1816="","À SOUDER",IF(X1816="","VT EN ATTENTE",IF(X1816="R","VT REJETÉ – À REPRENDRE",IF(AP1816="","À RADIOGRAPHIER",IF(AP1816="A","ACCEPTÉ",IF(AP1816="NX","NX – RT À REFAIRE",IF(IF(AO1816=1,AD1816,IF(AO1816=2,AI1816,""))="A","RÉPARÉ – À RADIOGRAPHIER",IF(IF(AO1816=1,AD1816,IF(AO1816=2,AI1816,""))="R","VT REJETÉ – À REPRENDRE",IF(OR(AP1816="CO",AP1816="NT"),"COUPE – À RESOUDER","À RÉPARER"))))))))))</f>
        <v>ACCEPTÉ</v>
      </c>
      <c r="AR1816" s="82" t="str">
        <f aca="false">IF(AND(ISNUMBER(U1816),OR(AQ1816="À RADIOGRAPHIER",AQ1816="RÉPARÉ – À RADIOGRAPHIER",AQ1816="NX – RT À REFAIRE",AQ1816="À RÉPARER",AQ1816="COUPE – À RESOUDER",AQ1816="VT REJETÉ – À REPRENDRE")),MAX(0,'PROGRAMME RT'!$C$4-U1816),"")</f>
        <v/>
      </c>
      <c r="AS1816" s="82" t="n">
        <f aca="false">IF(AND(OR(AQ1816="À RADIOGRAPHIER",AQ1816="RÉPARÉ – À RADIOGRAPHIER",AQ1816="NX – RT À REFAIRE"),OR('PROGRAMME RT'!$D$5="TOUTES",B1816='PROGRAMME RT'!$D$5)),1,0)</f>
        <v>0</v>
      </c>
      <c r="AT1816" s="82" t="str">
        <f aca="false">IF(AS1816=1,SUM(AS$7:AS1816),"")</f>
        <v/>
      </c>
      <c r="AU1816" s="82" t="n">
        <f aca="false">IF(AND(OR(AA1816="R",AA1816="NX",AA1816="NT",AA1816="CO"),OR('JOINTS DE RÉPARATION'!$D$5="TOUTES",B1816='JOINTS DE RÉPARATION'!$D$5),OR('JOINTS DE RÉPARATION'!$L$4="TOUS",AQ1816&lt;&gt;"ACCEPTÉ")),1,0)</f>
        <v>0</v>
      </c>
      <c r="AV1816" s="82" t="str">
        <f aca="false">IF(AU1816=1,SUM(AU$7:AU1816),"")</f>
        <v/>
      </c>
      <c r="AW1816" s="82" t="str">
        <f aca="false">IF(E1816="","",B1816&amp;"|"&amp;E1816)</f>
        <v>MFD-ISW → MFD-CPF|JN°1423</v>
      </c>
    </row>
    <row r="1817" customFormat="false" ht="74.6" hidden="false" customHeight="false" outlineLevel="0" collapsed="false">
      <c r="A1817" s="79" t="n">
        <f aca="false">IF(E1817="","",ROW()-6)</f>
        <v>1811</v>
      </c>
      <c r="B1817" s="80" t="s">
        <v>110</v>
      </c>
      <c r="C1817" s="81" t="s">
        <v>2202</v>
      </c>
      <c r="D1817" s="81" t="n">
        <v>16</v>
      </c>
      <c r="E1817" s="81" t="s">
        <v>2212</v>
      </c>
      <c r="F1817" s="82" t="str">
        <f aca="false">IF(E1817="","",IF(LEFT(E1817,2)="DJ","DJ","JN"))</f>
        <v>DJ</v>
      </c>
      <c r="G1817" s="81"/>
      <c r="H1817" s="81" t="s">
        <v>871</v>
      </c>
      <c r="I1817" s="81" t="n">
        <v>9.53</v>
      </c>
      <c r="J1817" s="81" t="s">
        <v>872</v>
      </c>
      <c r="K1817" s="81" t="s">
        <v>873</v>
      </c>
      <c r="L1817" s="81" t="n">
        <v>2092670</v>
      </c>
      <c r="M1817" s="81" t="n">
        <v>15421110</v>
      </c>
      <c r="N1817" s="81" t="n">
        <v>11.94</v>
      </c>
      <c r="O1817" s="81" t="n">
        <v>2081360</v>
      </c>
      <c r="P1817" s="81" t="n">
        <v>15421103</v>
      </c>
      <c r="Q1817" s="81" t="n">
        <v>11.94</v>
      </c>
      <c r="R1817" s="81" t="s">
        <v>1147</v>
      </c>
      <c r="S1817" s="81"/>
      <c r="T1817" s="81"/>
      <c r="U1817" s="83" t="n">
        <v>46259</v>
      </c>
      <c r="V1817" s="83" t="n">
        <v>46259</v>
      </c>
      <c r="W1817" s="81" t="s">
        <v>2094</v>
      </c>
      <c r="X1817" s="81" t="s">
        <v>876</v>
      </c>
      <c r="Y1817" s="83" t="n">
        <v>46260</v>
      </c>
      <c r="Z1817" s="81" t="s">
        <v>2168</v>
      </c>
      <c r="AA1817" s="81" t="s">
        <v>876</v>
      </c>
      <c r="AB1817" s="81"/>
      <c r="AC1817" s="81"/>
      <c r="AD1817" s="81"/>
      <c r="AE1817" s="83"/>
      <c r="AF1817" s="81"/>
      <c r="AG1817" s="81"/>
      <c r="AH1817" s="81"/>
      <c r="AI1817" s="81"/>
      <c r="AJ1817" s="83"/>
      <c r="AK1817" s="81"/>
      <c r="AL1817" s="81"/>
      <c r="AM1817" s="83"/>
      <c r="AN1817" s="80"/>
      <c r="AO1817" s="82" t="n">
        <f aca="false">IF(E1817="","",(AA1817&lt;&gt;"")+(AG1817&lt;&gt;"")+(AL1817&lt;&gt;""))</f>
        <v>1</v>
      </c>
      <c r="AP1817" s="82" t="str">
        <f aca="false">IF(AL1817&lt;&gt;"",AL1817,IF(AG1817&lt;&gt;"",AG1817,IF(AA1817&lt;&gt;"",AA1817,"")))</f>
        <v>A</v>
      </c>
      <c r="AQ1817" s="84" t="str">
        <f aca="false">IF(E1817="","",IF(U1817="","À SOUDER",IF(X1817="","VT EN ATTENTE",IF(X1817="R","VT REJETÉ – À REPRENDRE",IF(AP1817="","À RADIOGRAPHIER",IF(AP1817="A","ACCEPTÉ",IF(AP1817="NX","NX – RT À REFAIRE",IF(IF(AO1817=1,AD1817,IF(AO1817=2,AI1817,""))="A","RÉPARÉ – À RADIOGRAPHIER",IF(IF(AO1817=1,AD1817,IF(AO1817=2,AI1817,""))="R","VT REJETÉ – À REPRENDRE",IF(OR(AP1817="CO",AP1817="NT"),"COUPE – À RESOUDER","À RÉPARER"))))))))))</f>
        <v>ACCEPTÉ</v>
      </c>
      <c r="AR1817" s="82" t="str">
        <f aca="false">IF(AND(ISNUMBER(U1817),OR(AQ1817="À RADIOGRAPHIER",AQ1817="RÉPARÉ – À RADIOGRAPHIER",AQ1817="NX – RT À REFAIRE",AQ1817="À RÉPARER",AQ1817="COUPE – À RESOUDER",AQ1817="VT REJETÉ – À REPRENDRE")),MAX(0,'PROGRAMME RT'!$C$4-U1817),"")</f>
        <v/>
      </c>
      <c r="AS1817" s="82" t="n">
        <f aca="false">IF(AND(OR(AQ1817="À RADIOGRAPHIER",AQ1817="RÉPARÉ – À RADIOGRAPHIER",AQ1817="NX – RT À REFAIRE"),OR('PROGRAMME RT'!$D$5="TOUTES",B1817='PROGRAMME RT'!$D$5)),1,0)</f>
        <v>0</v>
      </c>
      <c r="AT1817" s="82" t="str">
        <f aca="false">IF(AS1817=1,SUM(AS$7:AS1817),"")</f>
        <v/>
      </c>
      <c r="AU1817" s="82" t="n">
        <f aca="false">IF(AND(OR(AA1817="R",AA1817="NX",AA1817="NT",AA1817="CO"),OR('JOINTS DE RÉPARATION'!$D$5="TOUTES",B1817='JOINTS DE RÉPARATION'!$D$5),OR('JOINTS DE RÉPARATION'!$L$4="TOUS",AQ1817&lt;&gt;"ACCEPTÉ")),1,0)</f>
        <v>0</v>
      </c>
      <c r="AV1817" s="82" t="str">
        <f aca="false">IF(AU1817=1,SUM(AU$7:AU1817),"")</f>
        <v/>
      </c>
      <c r="AW1817" s="82" t="str">
        <f aca="false">IF(E1817="","",B1817&amp;"|"&amp;E1817)</f>
        <v>MFD-ISW → MFD-CPF|DJ°129</v>
      </c>
    </row>
    <row r="1818" customFormat="false" ht="74.6" hidden="false" customHeight="false" outlineLevel="0" collapsed="false">
      <c r="A1818" s="79" t="n">
        <f aca="false">IF(E1818="","",ROW()-6)</f>
        <v>1812</v>
      </c>
      <c r="B1818" s="80" t="s">
        <v>110</v>
      </c>
      <c r="C1818" s="81" t="s">
        <v>2202</v>
      </c>
      <c r="D1818" s="81" t="n">
        <v>16</v>
      </c>
      <c r="E1818" s="81" t="s">
        <v>2213</v>
      </c>
      <c r="F1818" s="82" t="str">
        <f aca="false">IF(E1818="","",IF(LEFT(E1818,2)="DJ","DJ","JN"))</f>
        <v>JN</v>
      </c>
      <c r="G1818" s="81" t="s">
        <v>1504</v>
      </c>
      <c r="H1818" s="81" t="s">
        <v>871</v>
      </c>
      <c r="I1818" s="81" t="n">
        <v>9.53</v>
      </c>
      <c r="J1818" s="81" t="s">
        <v>872</v>
      </c>
      <c r="K1818" s="81" t="s">
        <v>879</v>
      </c>
      <c r="L1818" s="81" t="n">
        <v>2092670</v>
      </c>
      <c r="M1818" s="81" t="n">
        <v>15421110</v>
      </c>
      <c r="N1818" s="81" t="n">
        <v>11.94</v>
      </c>
      <c r="O1818" s="81" t="n">
        <v>2098030</v>
      </c>
      <c r="P1818" s="81" t="n">
        <v>15421112</v>
      </c>
      <c r="Q1818" s="81" t="n">
        <v>11.94</v>
      </c>
      <c r="R1818" s="81" t="s">
        <v>2097</v>
      </c>
      <c r="S1818" s="81"/>
      <c r="T1818" s="81"/>
      <c r="U1818" s="83" t="n">
        <v>46268</v>
      </c>
      <c r="V1818" s="83" t="n">
        <v>46270</v>
      </c>
      <c r="W1818" s="81" t="s">
        <v>2189</v>
      </c>
      <c r="X1818" s="81" t="s">
        <v>876</v>
      </c>
      <c r="Y1818" s="83" t="n">
        <v>46278</v>
      </c>
      <c r="Z1818" s="81" t="s">
        <v>2209</v>
      </c>
      <c r="AA1818" s="81" t="s">
        <v>876</v>
      </c>
      <c r="AB1818" s="81"/>
      <c r="AC1818" s="81"/>
      <c r="AD1818" s="81"/>
      <c r="AE1818" s="83"/>
      <c r="AF1818" s="81"/>
      <c r="AG1818" s="81"/>
      <c r="AH1818" s="81"/>
      <c r="AI1818" s="81"/>
      <c r="AJ1818" s="83"/>
      <c r="AK1818" s="81"/>
      <c r="AL1818" s="81"/>
      <c r="AM1818" s="83"/>
      <c r="AN1818" s="80"/>
      <c r="AO1818" s="82" t="n">
        <f aca="false">IF(E1818="","",(AA1818&lt;&gt;"")+(AG1818&lt;&gt;"")+(AL1818&lt;&gt;""))</f>
        <v>1</v>
      </c>
      <c r="AP1818" s="82" t="str">
        <f aca="false">IF(AL1818&lt;&gt;"",AL1818,IF(AG1818&lt;&gt;"",AG1818,IF(AA1818&lt;&gt;"",AA1818,"")))</f>
        <v>A</v>
      </c>
      <c r="AQ1818" s="84" t="str">
        <f aca="false">IF(E1818="","",IF(U1818="","À SOUDER",IF(X1818="","VT EN ATTENTE",IF(X1818="R","VT REJETÉ – À REPRENDRE",IF(AP1818="","À RADIOGRAPHIER",IF(AP1818="A","ACCEPTÉ",IF(AP1818="NX","NX – RT À REFAIRE",IF(IF(AO1818=1,AD1818,IF(AO1818=2,AI1818,""))="A","RÉPARÉ – À RADIOGRAPHIER",IF(IF(AO1818=1,AD1818,IF(AO1818=2,AI1818,""))="R","VT REJETÉ – À REPRENDRE",IF(OR(AP1818="CO",AP1818="NT"),"COUPE – À RESOUDER","À RÉPARER"))))))))))</f>
        <v>ACCEPTÉ</v>
      </c>
      <c r="AR1818" s="82" t="str">
        <f aca="false">IF(AND(ISNUMBER(U1818),OR(AQ1818="À RADIOGRAPHIER",AQ1818="RÉPARÉ – À RADIOGRAPHIER",AQ1818="NX – RT À REFAIRE",AQ1818="À RÉPARER",AQ1818="COUPE – À RESOUDER",AQ1818="VT REJETÉ – À REPRENDRE")),MAX(0,'PROGRAMME RT'!$C$4-U1818),"")</f>
        <v/>
      </c>
      <c r="AS1818" s="82" t="n">
        <f aca="false">IF(AND(OR(AQ1818="À RADIOGRAPHIER",AQ1818="RÉPARÉ – À RADIOGRAPHIER",AQ1818="NX – RT À REFAIRE"),OR('PROGRAMME RT'!$D$5="TOUTES",B1818='PROGRAMME RT'!$D$5)),1,0)</f>
        <v>0</v>
      </c>
      <c r="AT1818" s="82" t="str">
        <f aca="false">IF(AS1818=1,SUM(AS$7:AS1818),"")</f>
        <v/>
      </c>
      <c r="AU1818" s="82" t="n">
        <f aca="false">IF(AND(OR(AA1818="R",AA1818="NX",AA1818="NT",AA1818="CO"),OR('JOINTS DE RÉPARATION'!$D$5="TOUTES",B1818='JOINTS DE RÉPARATION'!$D$5),OR('JOINTS DE RÉPARATION'!$L$4="TOUS",AQ1818&lt;&gt;"ACCEPTÉ")),1,0)</f>
        <v>0</v>
      </c>
      <c r="AV1818" s="82" t="str">
        <f aca="false">IF(AU1818=1,SUM(AU$7:AU1818),"")</f>
        <v/>
      </c>
      <c r="AW1818" s="82" t="str">
        <f aca="false">IF(E1818="","",B1818&amp;"|"&amp;E1818)</f>
        <v>MFD-ISW → MFD-CPF|JN°1424</v>
      </c>
    </row>
    <row r="1819" customFormat="false" ht="74.6" hidden="false" customHeight="false" outlineLevel="0" collapsed="false">
      <c r="A1819" s="79" t="n">
        <f aca="false">IF(E1819="","",ROW()-6)</f>
        <v>1813</v>
      </c>
      <c r="B1819" s="80" t="s">
        <v>110</v>
      </c>
      <c r="C1819" s="81" t="s">
        <v>2202</v>
      </c>
      <c r="D1819" s="81" t="n">
        <v>16</v>
      </c>
      <c r="E1819" s="81" t="s">
        <v>2214</v>
      </c>
      <c r="F1819" s="82" t="str">
        <f aca="false">IF(E1819="","",IF(LEFT(E1819,2)="DJ","DJ","JN"))</f>
        <v>DJ</v>
      </c>
      <c r="G1819" s="81"/>
      <c r="H1819" s="81" t="s">
        <v>871</v>
      </c>
      <c r="I1819" s="81" t="n">
        <v>9.53</v>
      </c>
      <c r="J1819" s="81" t="s">
        <v>872</v>
      </c>
      <c r="K1819" s="81" t="s">
        <v>873</v>
      </c>
      <c r="L1819" s="81" t="n">
        <v>2098030</v>
      </c>
      <c r="M1819" s="81" t="n">
        <v>15421112</v>
      </c>
      <c r="N1819" s="81" t="n">
        <v>11.94</v>
      </c>
      <c r="O1819" s="81" t="n">
        <v>2094030</v>
      </c>
      <c r="P1819" s="81" t="n">
        <v>15421110</v>
      </c>
      <c r="Q1819" s="81" t="n">
        <v>11.94</v>
      </c>
      <c r="R1819" s="81" t="s">
        <v>899</v>
      </c>
      <c r="S1819" s="81"/>
      <c r="T1819" s="81"/>
      <c r="U1819" s="83" t="n">
        <v>46259</v>
      </c>
      <c r="V1819" s="83" t="n">
        <v>46259</v>
      </c>
      <c r="W1819" s="81" t="s">
        <v>2094</v>
      </c>
      <c r="X1819" s="81" t="s">
        <v>876</v>
      </c>
      <c r="Y1819" s="83" t="n">
        <v>46260</v>
      </c>
      <c r="Z1819" s="81" t="s">
        <v>2168</v>
      </c>
      <c r="AA1819" s="81" t="s">
        <v>876</v>
      </c>
      <c r="AB1819" s="81"/>
      <c r="AC1819" s="81"/>
      <c r="AD1819" s="81"/>
      <c r="AE1819" s="83"/>
      <c r="AF1819" s="81"/>
      <c r="AG1819" s="81"/>
      <c r="AH1819" s="81"/>
      <c r="AI1819" s="81"/>
      <c r="AJ1819" s="83"/>
      <c r="AK1819" s="81"/>
      <c r="AL1819" s="81"/>
      <c r="AM1819" s="83"/>
      <c r="AN1819" s="80"/>
      <c r="AO1819" s="82" t="n">
        <f aca="false">IF(E1819="","",(AA1819&lt;&gt;"")+(AG1819&lt;&gt;"")+(AL1819&lt;&gt;""))</f>
        <v>1</v>
      </c>
      <c r="AP1819" s="82" t="str">
        <f aca="false">IF(AL1819&lt;&gt;"",AL1819,IF(AG1819&lt;&gt;"",AG1819,IF(AA1819&lt;&gt;"",AA1819,"")))</f>
        <v>A</v>
      </c>
      <c r="AQ1819" s="84" t="str">
        <f aca="false">IF(E1819="","",IF(U1819="","À SOUDER",IF(X1819="","VT EN ATTENTE",IF(X1819="R","VT REJETÉ – À REPRENDRE",IF(AP1819="","À RADIOGRAPHIER",IF(AP1819="A","ACCEPTÉ",IF(AP1819="NX","NX – RT À REFAIRE",IF(IF(AO1819=1,AD1819,IF(AO1819=2,AI1819,""))="A","RÉPARÉ – À RADIOGRAPHIER",IF(IF(AO1819=1,AD1819,IF(AO1819=2,AI1819,""))="R","VT REJETÉ – À REPRENDRE",IF(OR(AP1819="CO",AP1819="NT"),"COUPE – À RESOUDER","À RÉPARER"))))))))))</f>
        <v>ACCEPTÉ</v>
      </c>
      <c r="AR1819" s="82" t="str">
        <f aca="false">IF(AND(ISNUMBER(U1819),OR(AQ1819="À RADIOGRAPHIER",AQ1819="RÉPARÉ – À RADIOGRAPHIER",AQ1819="NX – RT À REFAIRE",AQ1819="À RÉPARER",AQ1819="COUPE – À RESOUDER",AQ1819="VT REJETÉ – À REPRENDRE")),MAX(0,'PROGRAMME RT'!$C$4-U1819),"")</f>
        <v/>
      </c>
      <c r="AS1819" s="82" t="n">
        <f aca="false">IF(AND(OR(AQ1819="À RADIOGRAPHIER",AQ1819="RÉPARÉ – À RADIOGRAPHIER",AQ1819="NX – RT À REFAIRE"),OR('PROGRAMME RT'!$D$5="TOUTES",B1819='PROGRAMME RT'!$D$5)),1,0)</f>
        <v>0</v>
      </c>
      <c r="AT1819" s="82" t="str">
        <f aca="false">IF(AS1819=1,SUM(AS$7:AS1819),"")</f>
        <v/>
      </c>
      <c r="AU1819" s="82" t="n">
        <f aca="false">IF(AND(OR(AA1819="R",AA1819="NX",AA1819="NT",AA1819="CO"),OR('JOINTS DE RÉPARATION'!$D$5="TOUTES",B1819='JOINTS DE RÉPARATION'!$D$5),OR('JOINTS DE RÉPARATION'!$L$4="TOUS",AQ1819&lt;&gt;"ACCEPTÉ")),1,0)</f>
        <v>0</v>
      </c>
      <c r="AV1819" s="82" t="str">
        <f aca="false">IF(AU1819=1,SUM(AU$7:AU1819),"")</f>
        <v/>
      </c>
      <c r="AW1819" s="82" t="str">
        <f aca="false">IF(E1819="","",B1819&amp;"|"&amp;E1819)</f>
        <v>MFD-ISW → MFD-CPF|DJ°130</v>
      </c>
    </row>
    <row r="1820" customFormat="false" ht="74.6" hidden="false" customHeight="false" outlineLevel="0" collapsed="false">
      <c r="A1820" s="79" t="n">
        <f aca="false">IF(E1820="","",ROW()-6)</f>
        <v>1814</v>
      </c>
      <c r="B1820" s="80" t="s">
        <v>110</v>
      </c>
      <c r="C1820" s="81" t="s">
        <v>2202</v>
      </c>
      <c r="D1820" s="81" t="n">
        <v>16</v>
      </c>
      <c r="E1820" s="81" t="s">
        <v>2215</v>
      </c>
      <c r="F1820" s="82" t="str">
        <f aca="false">IF(E1820="","",IF(LEFT(E1820,2)="DJ","DJ","JN"))</f>
        <v>JN</v>
      </c>
      <c r="G1820" s="81" t="s">
        <v>1504</v>
      </c>
      <c r="H1820" s="81" t="s">
        <v>871</v>
      </c>
      <c r="I1820" s="81" t="n">
        <v>9.53</v>
      </c>
      <c r="J1820" s="81" t="s">
        <v>872</v>
      </c>
      <c r="K1820" s="81" t="s">
        <v>879</v>
      </c>
      <c r="L1820" s="81" t="n">
        <v>2094030</v>
      </c>
      <c r="M1820" s="81" t="n">
        <v>15421110</v>
      </c>
      <c r="N1820" s="81" t="n">
        <v>11.94</v>
      </c>
      <c r="O1820" s="81" t="n">
        <v>2078730</v>
      </c>
      <c r="P1820" s="81" t="n">
        <v>15421101</v>
      </c>
      <c r="Q1820" s="81" t="n">
        <v>11.94</v>
      </c>
      <c r="R1820" s="81" t="s">
        <v>2097</v>
      </c>
      <c r="S1820" s="81"/>
      <c r="T1820" s="81"/>
      <c r="U1820" s="83" t="n">
        <v>46268</v>
      </c>
      <c r="V1820" s="83" t="n">
        <v>46270</v>
      </c>
      <c r="W1820" s="81" t="s">
        <v>2189</v>
      </c>
      <c r="X1820" s="81" t="s">
        <v>876</v>
      </c>
      <c r="Y1820" s="83" t="n">
        <v>46278</v>
      </c>
      <c r="Z1820" s="81" t="s">
        <v>2209</v>
      </c>
      <c r="AA1820" s="81" t="s">
        <v>876</v>
      </c>
      <c r="AB1820" s="81"/>
      <c r="AC1820" s="81"/>
      <c r="AD1820" s="81"/>
      <c r="AE1820" s="83"/>
      <c r="AF1820" s="81"/>
      <c r="AG1820" s="81"/>
      <c r="AH1820" s="81"/>
      <c r="AI1820" s="81"/>
      <c r="AJ1820" s="83"/>
      <c r="AK1820" s="81"/>
      <c r="AL1820" s="81"/>
      <c r="AM1820" s="83"/>
      <c r="AN1820" s="80"/>
      <c r="AO1820" s="82" t="n">
        <f aca="false">IF(E1820="","",(AA1820&lt;&gt;"")+(AG1820&lt;&gt;"")+(AL1820&lt;&gt;""))</f>
        <v>1</v>
      </c>
      <c r="AP1820" s="82" t="str">
        <f aca="false">IF(AL1820&lt;&gt;"",AL1820,IF(AG1820&lt;&gt;"",AG1820,IF(AA1820&lt;&gt;"",AA1820,"")))</f>
        <v>A</v>
      </c>
      <c r="AQ1820" s="84" t="str">
        <f aca="false">IF(E1820="","",IF(U1820="","À SOUDER",IF(X1820="","VT EN ATTENTE",IF(X1820="R","VT REJETÉ – À REPRENDRE",IF(AP1820="","À RADIOGRAPHIER",IF(AP1820="A","ACCEPTÉ",IF(AP1820="NX","NX – RT À REFAIRE",IF(IF(AO1820=1,AD1820,IF(AO1820=2,AI1820,""))="A","RÉPARÉ – À RADIOGRAPHIER",IF(IF(AO1820=1,AD1820,IF(AO1820=2,AI1820,""))="R","VT REJETÉ – À REPRENDRE",IF(OR(AP1820="CO",AP1820="NT"),"COUPE – À RESOUDER","À RÉPARER"))))))))))</f>
        <v>ACCEPTÉ</v>
      </c>
      <c r="AR1820" s="82" t="str">
        <f aca="false">IF(AND(ISNUMBER(U1820),OR(AQ1820="À RADIOGRAPHIER",AQ1820="RÉPARÉ – À RADIOGRAPHIER",AQ1820="NX – RT À REFAIRE",AQ1820="À RÉPARER",AQ1820="COUPE – À RESOUDER",AQ1820="VT REJETÉ – À REPRENDRE")),MAX(0,'PROGRAMME RT'!$C$4-U1820),"")</f>
        <v/>
      </c>
      <c r="AS1820" s="82" t="n">
        <f aca="false">IF(AND(OR(AQ1820="À RADIOGRAPHIER",AQ1820="RÉPARÉ – À RADIOGRAPHIER",AQ1820="NX – RT À REFAIRE"),OR('PROGRAMME RT'!$D$5="TOUTES",B1820='PROGRAMME RT'!$D$5)),1,0)</f>
        <v>0</v>
      </c>
      <c r="AT1820" s="82" t="str">
        <f aca="false">IF(AS1820=1,SUM(AS$7:AS1820),"")</f>
        <v/>
      </c>
      <c r="AU1820" s="82" t="n">
        <f aca="false">IF(AND(OR(AA1820="R",AA1820="NX",AA1820="NT",AA1820="CO"),OR('JOINTS DE RÉPARATION'!$D$5="TOUTES",B1820='JOINTS DE RÉPARATION'!$D$5),OR('JOINTS DE RÉPARATION'!$L$4="TOUS",AQ1820&lt;&gt;"ACCEPTÉ")),1,0)</f>
        <v>0</v>
      </c>
      <c r="AV1820" s="82" t="str">
        <f aca="false">IF(AU1820=1,SUM(AU$7:AU1820),"")</f>
        <v/>
      </c>
      <c r="AW1820" s="82" t="str">
        <f aca="false">IF(E1820="","",B1820&amp;"|"&amp;E1820)</f>
        <v>MFD-ISW → MFD-CPF|JN°1425</v>
      </c>
    </row>
    <row r="1821" customFormat="false" ht="74.6" hidden="false" customHeight="false" outlineLevel="0" collapsed="false">
      <c r="A1821" s="79" t="n">
        <f aca="false">IF(E1821="","",ROW()-6)</f>
        <v>1815</v>
      </c>
      <c r="B1821" s="80" t="s">
        <v>110</v>
      </c>
      <c r="C1821" s="81" t="s">
        <v>2202</v>
      </c>
      <c r="D1821" s="81" t="n">
        <v>16</v>
      </c>
      <c r="E1821" s="81" t="s">
        <v>2216</v>
      </c>
      <c r="F1821" s="82" t="str">
        <f aca="false">IF(E1821="","",IF(LEFT(E1821,2)="DJ","DJ","JN"))</f>
        <v>DJ</v>
      </c>
      <c r="G1821" s="81"/>
      <c r="H1821" s="81" t="s">
        <v>871</v>
      </c>
      <c r="I1821" s="81" t="n">
        <v>9.53</v>
      </c>
      <c r="J1821" s="81" t="s">
        <v>872</v>
      </c>
      <c r="K1821" s="81" t="s">
        <v>873</v>
      </c>
      <c r="L1821" s="81" t="n">
        <v>2078730</v>
      </c>
      <c r="M1821" s="81" t="n">
        <v>15421101</v>
      </c>
      <c r="N1821" s="81" t="n">
        <v>11.94</v>
      </c>
      <c r="O1821" s="81" t="n">
        <v>2089980</v>
      </c>
      <c r="P1821" s="81" t="n">
        <v>15421105</v>
      </c>
      <c r="Q1821" s="81" t="n">
        <v>11.94</v>
      </c>
      <c r="R1821" s="81" t="s">
        <v>899</v>
      </c>
      <c r="S1821" s="81"/>
      <c r="T1821" s="81"/>
      <c r="U1821" s="83" t="n">
        <v>46249</v>
      </c>
      <c r="V1821" s="83" t="n">
        <v>46249</v>
      </c>
      <c r="W1821" s="81" t="s">
        <v>2217</v>
      </c>
      <c r="X1821" s="81" t="s">
        <v>876</v>
      </c>
      <c r="Y1821" s="83" t="n">
        <v>46250</v>
      </c>
      <c r="Z1821" s="81" t="s">
        <v>2218</v>
      </c>
      <c r="AA1821" s="81" t="s">
        <v>876</v>
      </c>
      <c r="AB1821" s="81"/>
      <c r="AC1821" s="81"/>
      <c r="AD1821" s="81"/>
      <c r="AE1821" s="83"/>
      <c r="AF1821" s="81"/>
      <c r="AG1821" s="81"/>
      <c r="AH1821" s="81"/>
      <c r="AI1821" s="81"/>
      <c r="AJ1821" s="83"/>
      <c r="AK1821" s="81"/>
      <c r="AL1821" s="81"/>
      <c r="AM1821" s="83"/>
      <c r="AN1821" s="80"/>
      <c r="AO1821" s="82" t="n">
        <f aca="false">IF(E1821="","",(AA1821&lt;&gt;"")+(AG1821&lt;&gt;"")+(AL1821&lt;&gt;""))</f>
        <v>1</v>
      </c>
      <c r="AP1821" s="82" t="str">
        <f aca="false">IF(AL1821&lt;&gt;"",AL1821,IF(AG1821&lt;&gt;"",AG1821,IF(AA1821&lt;&gt;"",AA1821,"")))</f>
        <v>A</v>
      </c>
      <c r="AQ1821" s="84" t="str">
        <f aca="false">IF(E1821="","",IF(U1821="","À SOUDER",IF(X1821="","VT EN ATTENTE",IF(X1821="R","VT REJETÉ – À REPRENDRE",IF(AP1821="","À RADIOGRAPHIER",IF(AP1821="A","ACCEPTÉ",IF(AP1821="NX","NX – RT À REFAIRE",IF(IF(AO1821=1,AD1821,IF(AO1821=2,AI1821,""))="A","RÉPARÉ – À RADIOGRAPHIER",IF(IF(AO1821=1,AD1821,IF(AO1821=2,AI1821,""))="R","VT REJETÉ – À REPRENDRE",IF(OR(AP1821="CO",AP1821="NT"),"COUPE – À RESOUDER","À RÉPARER"))))))))))</f>
        <v>ACCEPTÉ</v>
      </c>
      <c r="AR1821" s="82" t="str">
        <f aca="false">IF(AND(ISNUMBER(U1821),OR(AQ1821="À RADIOGRAPHIER",AQ1821="RÉPARÉ – À RADIOGRAPHIER",AQ1821="NX – RT À REFAIRE",AQ1821="À RÉPARER",AQ1821="COUPE – À RESOUDER",AQ1821="VT REJETÉ – À REPRENDRE")),MAX(0,'PROGRAMME RT'!$C$4-U1821),"")</f>
        <v/>
      </c>
      <c r="AS1821" s="82" t="n">
        <f aca="false">IF(AND(OR(AQ1821="À RADIOGRAPHIER",AQ1821="RÉPARÉ – À RADIOGRAPHIER",AQ1821="NX – RT À REFAIRE"),OR('PROGRAMME RT'!$D$5="TOUTES",B1821='PROGRAMME RT'!$D$5)),1,0)</f>
        <v>0</v>
      </c>
      <c r="AT1821" s="82" t="str">
        <f aca="false">IF(AS1821=1,SUM(AS$7:AS1821),"")</f>
        <v/>
      </c>
      <c r="AU1821" s="82" t="n">
        <f aca="false">IF(AND(OR(AA1821="R",AA1821="NX",AA1821="NT",AA1821="CO"),OR('JOINTS DE RÉPARATION'!$D$5="TOUTES",B1821='JOINTS DE RÉPARATION'!$D$5),OR('JOINTS DE RÉPARATION'!$L$4="TOUS",AQ1821&lt;&gt;"ACCEPTÉ")),1,0)</f>
        <v>0</v>
      </c>
      <c r="AV1821" s="82" t="str">
        <f aca="false">IF(AU1821=1,SUM(AU$7:AU1821),"")</f>
        <v/>
      </c>
      <c r="AW1821" s="82" t="str">
        <f aca="false">IF(E1821="","",B1821&amp;"|"&amp;E1821)</f>
        <v>MFD-ISW → MFD-CPF|DJ°016</v>
      </c>
    </row>
    <row r="1822" customFormat="false" ht="74.6" hidden="false" customHeight="false" outlineLevel="0" collapsed="false">
      <c r="A1822" s="79" t="n">
        <f aca="false">IF(E1822="","",ROW()-6)</f>
        <v>1816</v>
      </c>
      <c r="B1822" s="80" t="s">
        <v>110</v>
      </c>
      <c r="C1822" s="81" t="s">
        <v>2202</v>
      </c>
      <c r="D1822" s="81" t="n">
        <v>16</v>
      </c>
      <c r="E1822" s="81" t="s">
        <v>2219</v>
      </c>
      <c r="F1822" s="82" t="str">
        <f aca="false">IF(E1822="","",IF(LEFT(E1822,2)="DJ","DJ","JN"))</f>
        <v>JN</v>
      </c>
      <c r="G1822" s="81" t="s">
        <v>1504</v>
      </c>
      <c r="H1822" s="81" t="s">
        <v>871</v>
      </c>
      <c r="I1822" s="81" t="n">
        <v>9.53</v>
      </c>
      <c r="J1822" s="81" t="s">
        <v>872</v>
      </c>
      <c r="K1822" s="81" t="s">
        <v>879</v>
      </c>
      <c r="L1822" s="81" t="n">
        <v>2089980</v>
      </c>
      <c r="M1822" s="81" t="n">
        <v>15421109</v>
      </c>
      <c r="N1822" s="81" t="n">
        <v>11.94</v>
      </c>
      <c r="O1822" s="81" t="n">
        <v>2087680</v>
      </c>
      <c r="P1822" s="81" t="n">
        <v>15421108</v>
      </c>
      <c r="Q1822" s="81" t="n">
        <v>11.94</v>
      </c>
      <c r="R1822" s="81" t="s">
        <v>2097</v>
      </c>
      <c r="S1822" s="81"/>
      <c r="T1822" s="81"/>
      <c r="U1822" s="83" t="n">
        <v>46268</v>
      </c>
      <c r="V1822" s="83" t="n">
        <v>46270</v>
      </c>
      <c r="W1822" s="81" t="s">
        <v>2189</v>
      </c>
      <c r="X1822" s="81" t="s">
        <v>876</v>
      </c>
      <c r="Y1822" s="83" t="n">
        <v>46278</v>
      </c>
      <c r="Z1822" s="81" t="s">
        <v>2209</v>
      </c>
      <c r="AA1822" s="81" t="s">
        <v>876</v>
      </c>
      <c r="AB1822" s="81"/>
      <c r="AC1822" s="81"/>
      <c r="AD1822" s="81"/>
      <c r="AE1822" s="83"/>
      <c r="AF1822" s="81"/>
      <c r="AG1822" s="81"/>
      <c r="AH1822" s="81"/>
      <c r="AI1822" s="81"/>
      <c r="AJ1822" s="83"/>
      <c r="AK1822" s="81"/>
      <c r="AL1822" s="81"/>
      <c r="AM1822" s="83"/>
      <c r="AN1822" s="80"/>
      <c r="AO1822" s="82" t="n">
        <f aca="false">IF(E1822="","",(AA1822&lt;&gt;"")+(AG1822&lt;&gt;"")+(AL1822&lt;&gt;""))</f>
        <v>1</v>
      </c>
      <c r="AP1822" s="82" t="str">
        <f aca="false">IF(AL1822&lt;&gt;"",AL1822,IF(AG1822&lt;&gt;"",AG1822,IF(AA1822&lt;&gt;"",AA1822,"")))</f>
        <v>A</v>
      </c>
      <c r="AQ1822" s="84" t="str">
        <f aca="false">IF(E1822="","",IF(U1822="","À SOUDER",IF(X1822="","VT EN ATTENTE",IF(X1822="R","VT REJETÉ – À REPRENDRE",IF(AP1822="","À RADIOGRAPHIER",IF(AP1822="A","ACCEPTÉ",IF(AP1822="NX","NX – RT À REFAIRE",IF(IF(AO1822=1,AD1822,IF(AO1822=2,AI1822,""))="A","RÉPARÉ – À RADIOGRAPHIER",IF(IF(AO1822=1,AD1822,IF(AO1822=2,AI1822,""))="R","VT REJETÉ – À REPRENDRE",IF(OR(AP1822="CO",AP1822="NT"),"COUPE – À RESOUDER","À RÉPARER"))))))))))</f>
        <v>ACCEPTÉ</v>
      </c>
      <c r="AR1822" s="82" t="str">
        <f aca="false">IF(AND(ISNUMBER(U1822),OR(AQ1822="À RADIOGRAPHIER",AQ1822="RÉPARÉ – À RADIOGRAPHIER",AQ1822="NX – RT À REFAIRE",AQ1822="À RÉPARER",AQ1822="COUPE – À RESOUDER",AQ1822="VT REJETÉ – À REPRENDRE")),MAX(0,'PROGRAMME RT'!$C$4-U1822),"")</f>
        <v/>
      </c>
      <c r="AS1822" s="82" t="n">
        <f aca="false">IF(AND(OR(AQ1822="À RADIOGRAPHIER",AQ1822="RÉPARÉ – À RADIOGRAPHIER",AQ1822="NX – RT À REFAIRE"),OR('PROGRAMME RT'!$D$5="TOUTES",B1822='PROGRAMME RT'!$D$5)),1,0)</f>
        <v>0</v>
      </c>
      <c r="AT1822" s="82" t="str">
        <f aca="false">IF(AS1822=1,SUM(AS$7:AS1822),"")</f>
        <v/>
      </c>
      <c r="AU1822" s="82" t="n">
        <f aca="false">IF(AND(OR(AA1822="R",AA1822="NX",AA1822="NT",AA1822="CO"),OR('JOINTS DE RÉPARATION'!$D$5="TOUTES",B1822='JOINTS DE RÉPARATION'!$D$5),OR('JOINTS DE RÉPARATION'!$L$4="TOUS",AQ1822&lt;&gt;"ACCEPTÉ")),1,0)</f>
        <v>0</v>
      </c>
      <c r="AV1822" s="82" t="str">
        <f aca="false">IF(AU1822=1,SUM(AU$7:AU1822),"")</f>
        <v/>
      </c>
      <c r="AW1822" s="82" t="str">
        <f aca="false">IF(E1822="","",B1822&amp;"|"&amp;E1822)</f>
        <v>MFD-ISW → MFD-CPF|JN°1426</v>
      </c>
    </row>
    <row r="1823" customFormat="false" ht="74.6" hidden="false" customHeight="false" outlineLevel="0" collapsed="false">
      <c r="A1823" s="79" t="n">
        <f aca="false">IF(E1823="","",ROW()-6)</f>
        <v>1817</v>
      </c>
      <c r="B1823" s="80" t="s">
        <v>110</v>
      </c>
      <c r="C1823" s="81" t="s">
        <v>2202</v>
      </c>
      <c r="D1823" s="81" t="n">
        <v>16</v>
      </c>
      <c r="E1823" s="81" t="s">
        <v>2220</v>
      </c>
      <c r="F1823" s="82" t="str">
        <f aca="false">IF(E1823="","",IF(LEFT(E1823,2)="DJ","DJ","JN"))</f>
        <v>DJ</v>
      </c>
      <c r="G1823" s="81"/>
      <c r="H1823" s="81" t="s">
        <v>871</v>
      </c>
      <c r="I1823" s="81" t="n">
        <v>9.53</v>
      </c>
      <c r="J1823" s="81" t="s">
        <v>872</v>
      </c>
      <c r="K1823" s="81" t="s">
        <v>873</v>
      </c>
      <c r="L1823" s="81" t="n">
        <v>2094990</v>
      </c>
      <c r="M1823" s="81" t="n">
        <v>15421111</v>
      </c>
      <c r="N1823" s="81" t="n">
        <v>11.94</v>
      </c>
      <c r="O1823" s="81" t="n">
        <v>2087680</v>
      </c>
      <c r="P1823" s="81" t="n">
        <v>15421108</v>
      </c>
      <c r="Q1823" s="81" t="n">
        <v>11.94</v>
      </c>
      <c r="R1823" s="81" t="s">
        <v>874</v>
      </c>
      <c r="S1823" s="81"/>
      <c r="T1823" s="81"/>
      <c r="U1823" s="83" t="n">
        <v>46250</v>
      </c>
      <c r="V1823" s="83" t="n">
        <v>46250</v>
      </c>
      <c r="W1823" s="81" t="s">
        <v>2221</v>
      </c>
      <c r="X1823" s="81" t="s">
        <v>876</v>
      </c>
      <c r="Y1823" s="83" t="n">
        <v>46252</v>
      </c>
      <c r="Z1823" s="81" t="s">
        <v>2222</v>
      </c>
      <c r="AA1823" s="81" t="s">
        <v>876</v>
      </c>
      <c r="AB1823" s="81"/>
      <c r="AC1823" s="81"/>
      <c r="AD1823" s="81"/>
      <c r="AE1823" s="83"/>
      <c r="AF1823" s="81"/>
      <c r="AG1823" s="81"/>
      <c r="AH1823" s="81"/>
      <c r="AI1823" s="81"/>
      <c r="AJ1823" s="83"/>
      <c r="AK1823" s="81"/>
      <c r="AL1823" s="81"/>
      <c r="AM1823" s="83"/>
      <c r="AN1823" s="80"/>
      <c r="AO1823" s="82" t="n">
        <f aca="false">IF(E1823="","",(AA1823&lt;&gt;"")+(AG1823&lt;&gt;"")+(AL1823&lt;&gt;""))</f>
        <v>1</v>
      </c>
      <c r="AP1823" s="82" t="str">
        <f aca="false">IF(AL1823&lt;&gt;"",AL1823,IF(AG1823&lt;&gt;"",AG1823,IF(AA1823&lt;&gt;"",AA1823,"")))</f>
        <v>A</v>
      </c>
      <c r="AQ1823" s="84" t="str">
        <f aca="false">IF(E1823="","",IF(U1823="","À SOUDER",IF(X1823="","VT EN ATTENTE",IF(X1823="R","VT REJETÉ – À REPRENDRE",IF(AP1823="","À RADIOGRAPHIER",IF(AP1823="A","ACCEPTÉ",IF(AP1823="NX","NX – RT À REFAIRE",IF(IF(AO1823=1,AD1823,IF(AO1823=2,AI1823,""))="A","RÉPARÉ – À RADIOGRAPHIER",IF(IF(AO1823=1,AD1823,IF(AO1823=2,AI1823,""))="R","VT REJETÉ – À REPRENDRE",IF(OR(AP1823="CO",AP1823="NT"),"COUPE – À RESOUDER","À RÉPARER"))))))))))</f>
        <v>ACCEPTÉ</v>
      </c>
      <c r="AR1823" s="82" t="str">
        <f aca="false">IF(AND(ISNUMBER(U1823),OR(AQ1823="À RADIOGRAPHIER",AQ1823="RÉPARÉ – À RADIOGRAPHIER",AQ1823="NX – RT À REFAIRE",AQ1823="À RÉPARER",AQ1823="COUPE – À RESOUDER",AQ1823="VT REJETÉ – À REPRENDRE")),MAX(0,'PROGRAMME RT'!$C$4-U1823),"")</f>
        <v/>
      </c>
      <c r="AS1823" s="82" t="n">
        <f aca="false">IF(AND(OR(AQ1823="À RADIOGRAPHIER",AQ1823="RÉPARÉ – À RADIOGRAPHIER",AQ1823="NX – RT À REFAIRE"),OR('PROGRAMME RT'!$D$5="TOUTES",B1823='PROGRAMME RT'!$D$5)),1,0)</f>
        <v>0</v>
      </c>
      <c r="AT1823" s="82" t="str">
        <f aca="false">IF(AS1823=1,SUM(AS$7:AS1823),"")</f>
        <v/>
      </c>
      <c r="AU1823" s="82" t="n">
        <f aca="false">IF(AND(OR(AA1823="R",AA1823="NX",AA1823="NT",AA1823="CO"),OR('JOINTS DE RÉPARATION'!$D$5="TOUTES",B1823='JOINTS DE RÉPARATION'!$D$5),OR('JOINTS DE RÉPARATION'!$L$4="TOUS",AQ1823&lt;&gt;"ACCEPTÉ")),1,0)</f>
        <v>0</v>
      </c>
      <c r="AV1823" s="82" t="str">
        <f aca="false">IF(AU1823=1,SUM(AU$7:AU1823),"")</f>
        <v/>
      </c>
      <c r="AW1823" s="82" t="str">
        <f aca="false">IF(E1823="","",B1823&amp;"|"&amp;E1823)</f>
        <v>MFD-ISW → MFD-CPF|DJ°023</v>
      </c>
    </row>
    <row r="1824" customFormat="false" ht="74.6" hidden="false" customHeight="false" outlineLevel="0" collapsed="false">
      <c r="A1824" s="79" t="n">
        <f aca="false">IF(E1824="","",ROW()-6)</f>
        <v>1818</v>
      </c>
      <c r="B1824" s="80" t="s">
        <v>110</v>
      </c>
      <c r="C1824" s="81" t="s">
        <v>2202</v>
      </c>
      <c r="D1824" s="81" t="n">
        <v>16</v>
      </c>
      <c r="E1824" s="81" t="s">
        <v>2223</v>
      </c>
      <c r="F1824" s="82" t="str">
        <f aca="false">IF(E1824="","",IF(LEFT(E1824,2)="DJ","DJ","JN"))</f>
        <v>JN</v>
      </c>
      <c r="G1824" s="81" t="s">
        <v>1504</v>
      </c>
      <c r="H1824" s="81" t="s">
        <v>871</v>
      </c>
      <c r="I1824" s="81" t="n">
        <v>9.53</v>
      </c>
      <c r="J1824" s="81" t="s">
        <v>872</v>
      </c>
      <c r="K1824" s="81" t="s">
        <v>879</v>
      </c>
      <c r="L1824" s="81" t="n">
        <v>2094990</v>
      </c>
      <c r="M1824" s="81" t="n">
        <v>15421111</v>
      </c>
      <c r="N1824" s="81" t="n">
        <v>11.94</v>
      </c>
      <c r="O1824" s="81" t="n">
        <v>2098210</v>
      </c>
      <c r="P1824" s="81" t="n">
        <v>15421112</v>
      </c>
      <c r="Q1824" s="81" t="n">
        <v>11.94</v>
      </c>
      <c r="R1824" s="81" t="s">
        <v>2097</v>
      </c>
      <c r="S1824" s="81"/>
      <c r="T1824" s="81"/>
      <c r="U1824" s="83" t="n">
        <v>46268</v>
      </c>
      <c r="V1824" s="83" t="n">
        <v>46270</v>
      </c>
      <c r="W1824" s="81" t="s">
        <v>2189</v>
      </c>
      <c r="X1824" s="81" t="s">
        <v>876</v>
      </c>
      <c r="Y1824" s="83" t="n">
        <v>46278</v>
      </c>
      <c r="Z1824" s="81" t="s">
        <v>2209</v>
      </c>
      <c r="AA1824" s="81" t="s">
        <v>876</v>
      </c>
      <c r="AB1824" s="81"/>
      <c r="AC1824" s="81"/>
      <c r="AD1824" s="81"/>
      <c r="AE1824" s="83"/>
      <c r="AF1824" s="81"/>
      <c r="AG1824" s="81"/>
      <c r="AH1824" s="81"/>
      <c r="AI1824" s="81"/>
      <c r="AJ1824" s="83"/>
      <c r="AK1824" s="81"/>
      <c r="AL1824" s="81"/>
      <c r="AM1824" s="83"/>
      <c r="AN1824" s="80"/>
      <c r="AO1824" s="82" t="n">
        <f aca="false">IF(E1824="","",(AA1824&lt;&gt;"")+(AG1824&lt;&gt;"")+(AL1824&lt;&gt;""))</f>
        <v>1</v>
      </c>
      <c r="AP1824" s="82" t="str">
        <f aca="false">IF(AL1824&lt;&gt;"",AL1824,IF(AG1824&lt;&gt;"",AG1824,IF(AA1824&lt;&gt;"",AA1824,"")))</f>
        <v>A</v>
      </c>
      <c r="AQ1824" s="84" t="str">
        <f aca="false">IF(E1824="","",IF(U1824="","À SOUDER",IF(X1824="","VT EN ATTENTE",IF(X1824="R","VT REJETÉ – À REPRENDRE",IF(AP1824="","À RADIOGRAPHIER",IF(AP1824="A","ACCEPTÉ",IF(AP1824="NX","NX – RT À REFAIRE",IF(IF(AO1824=1,AD1824,IF(AO1824=2,AI1824,""))="A","RÉPARÉ – À RADIOGRAPHIER",IF(IF(AO1824=1,AD1824,IF(AO1824=2,AI1824,""))="R","VT REJETÉ – À REPRENDRE",IF(OR(AP1824="CO",AP1824="NT"),"COUPE – À RESOUDER","À RÉPARER"))))))))))</f>
        <v>ACCEPTÉ</v>
      </c>
      <c r="AR1824" s="82" t="str">
        <f aca="false">IF(AND(ISNUMBER(U1824),OR(AQ1824="À RADIOGRAPHIER",AQ1824="RÉPARÉ – À RADIOGRAPHIER",AQ1824="NX – RT À REFAIRE",AQ1824="À RÉPARER",AQ1824="COUPE – À RESOUDER",AQ1824="VT REJETÉ – À REPRENDRE")),MAX(0,'PROGRAMME RT'!$C$4-U1824),"")</f>
        <v/>
      </c>
      <c r="AS1824" s="82" t="n">
        <f aca="false">IF(AND(OR(AQ1824="À RADIOGRAPHIER",AQ1824="RÉPARÉ – À RADIOGRAPHIER",AQ1824="NX – RT À REFAIRE"),OR('PROGRAMME RT'!$D$5="TOUTES",B1824='PROGRAMME RT'!$D$5)),1,0)</f>
        <v>0</v>
      </c>
      <c r="AT1824" s="82" t="str">
        <f aca="false">IF(AS1824=1,SUM(AS$7:AS1824),"")</f>
        <v/>
      </c>
      <c r="AU1824" s="82" t="n">
        <f aca="false">IF(AND(OR(AA1824="R",AA1824="NX",AA1824="NT",AA1824="CO"),OR('JOINTS DE RÉPARATION'!$D$5="TOUTES",B1824='JOINTS DE RÉPARATION'!$D$5),OR('JOINTS DE RÉPARATION'!$L$4="TOUS",AQ1824&lt;&gt;"ACCEPTÉ")),1,0)</f>
        <v>0</v>
      </c>
      <c r="AV1824" s="82" t="str">
        <f aca="false">IF(AU1824=1,SUM(AU$7:AU1824),"")</f>
        <v/>
      </c>
      <c r="AW1824" s="82" t="str">
        <f aca="false">IF(E1824="","",B1824&amp;"|"&amp;E1824)</f>
        <v>MFD-ISW → MFD-CPF|JN°1427</v>
      </c>
    </row>
    <row r="1825" customFormat="false" ht="74.6" hidden="false" customHeight="false" outlineLevel="0" collapsed="false">
      <c r="A1825" s="79" t="n">
        <f aca="false">IF(E1825="","",ROW()-6)</f>
        <v>1819</v>
      </c>
      <c r="B1825" s="80" t="s">
        <v>110</v>
      </c>
      <c r="C1825" s="81" t="s">
        <v>2202</v>
      </c>
      <c r="D1825" s="81" t="n">
        <v>16</v>
      </c>
      <c r="E1825" s="81" t="s">
        <v>2224</v>
      </c>
      <c r="F1825" s="82" t="str">
        <f aca="false">IF(E1825="","",IF(LEFT(E1825,2)="DJ","DJ","JN"))</f>
        <v>DJ</v>
      </c>
      <c r="G1825" s="81"/>
      <c r="H1825" s="81" t="s">
        <v>871</v>
      </c>
      <c r="I1825" s="81" t="n">
        <v>9.53</v>
      </c>
      <c r="J1825" s="81" t="s">
        <v>872</v>
      </c>
      <c r="K1825" s="81" t="s">
        <v>873</v>
      </c>
      <c r="L1825" s="81" t="n">
        <v>2085190</v>
      </c>
      <c r="M1825" s="81" t="n">
        <v>15421106</v>
      </c>
      <c r="N1825" s="81" t="n">
        <v>11.94</v>
      </c>
      <c r="O1825" s="81" t="n">
        <v>2098210</v>
      </c>
      <c r="P1825" s="81" t="n">
        <v>15421112</v>
      </c>
      <c r="Q1825" s="81" t="n">
        <v>11.94</v>
      </c>
      <c r="R1825" s="81" t="s">
        <v>963</v>
      </c>
      <c r="S1825" s="81"/>
      <c r="T1825" s="81"/>
      <c r="U1825" s="83" t="n">
        <v>46250</v>
      </c>
      <c r="V1825" s="83" t="n">
        <v>46250</v>
      </c>
      <c r="W1825" s="81" t="s">
        <v>2221</v>
      </c>
      <c r="X1825" s="81" t="s">
        <v>876</v>
      </c>
      <c r="Y1825" s="83" t="n">
        <v>46252</v>
      </c>
      <c r="Z1825" s="81" t="s">
        <v>2222</v>
      </c>
      <c r="AA1825" s="81" t="s">
        <v>876</v>
      </c>
      <c r="AB1825" s="81"/>
      <c r="AC1825" s="81"/>
      <c r="AD1825" s="81"/>
      <c r="AE1825" s="83"/>
      <c r="AF1825" s="81"/>
      <c r="AG1825" s="81"/>
      <c r="AH1825" s="81"/>
      <c r="AI1825" s="81"/>
      <c r="AJ1825" s="83"/>
      <c r="AK1825" s="81"/>
      <c r="AL1825" s="81"/>
      <c r="AM1825" s="83"/>
      <c r="AN1825" s="80"/>
      <c r="AO1825" s="82" t="n">
        <f aca="false">IF(E1825="","",(AA1825&lt;&gt;"")+(AG1825&lt;&gt;"")+(AL1825&lt;&gt;""))</f>
        <v>1</v>
      </c>
      <c r="AP1825" s="82" t="str">
        <f aca="false">IF(AL1825&lt;&gt;"",AL1825,IF(AG1825&lt;&gt;"",AG1825,IF(AA1825&lt;&gt;"",AA1825,"")))</f>
        <v>A</v>
      </c>
      <c r="AQ1825" s="84" t="str">
        <f aca="false">IF(E1825="","",IF(U1825="","À SOUDER",IF(X1825="","VT EN ATTENTE",IF(X1825="R","VT REJETÉ – À REPRENDRE",IF(AP1825="","À RADIOGRAPHIER",IF(AP1825="A","ACCEPTÉ",IF(AP1825="NX","NX – RT À REFAIRE",IF(IF(AO1825=1,AD1825,IF(AO1825=2,AI1825,""))="A","RÉPARÉ – À RADIOGRAPHIER",IF(IF(AO1825=1,AD1825,IF(AO1825=2,AI1825,""))="R","VT REJETÉ – À REPRENDRE",IF(OR(AP1825="CO",AP1825="NT"),"COUPE – À RESOUDER","À RÉPARER"))))))))))</f>
        <v>ACCEPTÉ</v>
      </c>
      <c r="AR1825" s="82" t="str">
        <f aca="false">IF(AND(ISNUMBER(U1825),OR(AQ1825="À RADIOGRAPHIER",AQ1825="RÉPARÉ – À RADIOGRAPHIER",AQ1825="NX – RT À REFAIRE",AQ1825="À RÉPARER",AQ1825="COUPE – À RESOUDER",AQ1825="VT REJETÉ – À REPRENDRE")),MAX(0,'PROGRAMME RT'!$C$4-U1825),"")</f>
        <v/>
      </c>
      <c r="AS1825" s="82" t="n">
        <f aca="false">IF(AND(OR(AQ1825="À RADIOGRAPHIER",AQ1825="RÉPARÉ – À RADIOGRAPHIER",AQ1825="NX – RT À REFAIRE"),OR('PROGRAMME RT'!$D$5="TOUTES",B1825='PROGRAMME RT'!$D$5)),1,0)</f>
        <v>0</v>
      </c>
      <c r="AT1825" s="82" t="str">
        <f aca="false">IF(AS1825=1,SUM(AS$7:AS1825),"")</f>
        <v/>
      </c>
      <c r="AU1825" s="82" t="n">
        <f aca="false">IF(AND(OR(AA1825="R",AA1825="NX",AA1825="NT",AA1825="CO"),OR('JOINTS DE RÉPARATION'!$D$5="TOUTES",B1825='JOINTS DE RÉPARATION'!$D$5),OR('JOINTS DE RÉPARATION'!$L$4="TOUS",AQ1825&lt;&gt;"ACCEPTÉ")),1,0)</f>
        <v>0</v>
      </c>
      <c r="AV1825" s="82" t="str">
        <f aca="false">IF(AU1825=1,SUM(AU$7:AU1825),"")</f>
        <v/>
      </c>
      <c r="AW1825" s="82" t="str">
        <f aca="false">IF(E1825="","",B1825&amp;"|"&amp;E1825)</f>
        <v>MFD-ISW → MFD-CPF|DJ°018</v>
      </c>
    </row>
    <row r="1826" customFormat="false" ht="74.6" hidden="false" customHeight="false" outlineLevel="0" collapsed="false">
      <c r="A1826" s="79" t="n">
        <f aca="false">IF(E1826="","",ROW()-6)</f>
        <v>1820</v>
      </c>
      <c r="B1826" s="80" t="s">
        <v>110</v>
      </c>
      <c r="C1826" s="81" t="s">
        <v>2202</v>
      </c>
      <c r="D1826" s="81" t="n">
        <v>16</v>
      </c>
      <c r="E1826" s="81" t="s">
        <v>2225</v>
      </c>
      <c r="F1826" s="82" t="str">
        <f aca="false">IF(E1826="","",IF(LEFT(E1826,2)="DJ","DJ","JN"))</f>
        <v>JN</v>
      </c>
      <c r="G1826" s="81" t="s">
        <v>1504</v>
      </c>
      <c r="H1826" s="81" t="s">
        <v>871</v>
      </c>
      <c r="I1826" s="81" t="n">
        <v>9.53</v>
      </c>
      <c r="J1826" s="81" t="s">
        <v>872</v>
      </c>
      <c r="K1826" s="81" t="s">
        <v>879</v>
      </c>
      <c r="L1826" s="81" t="n">
        <v>2085190</v>
      </c>
      <c r="M1826" s="81" t="n">
        <v>15421106</v>
      </c>
      <c r="N1826" s="81" t="n">
        <v>11.94</v>
      </c>
      <c r="O1826" s="81" t="n">
        <v>2079170</v>
      </c>
      <c r="P1826" s="81" t="n">
        <v>15421102</v>
      </c>
      <c r="Q1826" s="81" t="n">
        <v>11.94</v>
      </c>
      <c r="R1826" s="81" t="s">
        <v>2097</v>
      </c>
      <c r="S1826" s="81"/>
      <c r="T1826" s="81"/>
      <c r="U1826" s="83" t="n">
        <v>46268</v>
      </c>
      <c r="V1826" s="83" t="n">
        <v>46270</v>
      </c>
      <c r="W1826" s="81" t="s">
        <v>2189</v>
      </c>
      <c r="X1826" s="81" t="s">
        <v>876</v>
      </c>
      <c r="Y1826" s="83" t="n">
        <v>46278</v>
      </c>
      <c r="Z1826" s="81" t="s">
        <v>2209</v>
      </c>
      <c r="AA1826" s="81" t="s">
        <v>876</v>
      </c>
      <c r="AB1826" s="81"/>
      <c r="AC1826" s="81"/>
      <c r="AD1826" s="81"/>
      <c r="AE1826" s="83"/>
      <c r="AF1826" s="81"/>
      <c r="AG1826" s="81"/>
      <c r="AH1826" s="81"/>
      <c r="AI1826" s="81"/>
      <c r="AJ1826" s="83"/>
      <c r="AK1826" s="81"/>
      <c r="AL1826" s="81"/>
      <c r="AM1826" s="83"/>
      <c r="AN1826" s="80"/>
      <c r="AO1826" s="82" t="n">
        <f aca="false">IF(E1826="","",(AA1826&lt;&gt;"")+(AG1826&lt;&gt;"")+(AL1826&lt;&gt;""))</f>
        <v>1</v>
      </c>
      <c r="AP1826" s="82" t="str">
        <f aca="false">IF(AL1826&lt;&gt;"",AL1826,IF(AG1826&lt;&gt;"",AG1826,IF(AA1826&lt;&gt;"",AA1826,"")))</f>
        <v>A</v>
      </c>
      <c r="AQ1826" s="84" t="str">
        <f aca="false">IF(E1826="","",IF(U1826="","À SOUDER",IF(X1826="","VT EN ATTENTE",IF(X1826="R","VT REJETÉ – À REPRENDRE",IF(AP1826="","À RADIOGRAPHIER",IF(AP1826="A","ACCEPTÉ",IF(AP1826="NX","NX – RT À REFAIRE",IF(IF(AO1826=1,AD1826,IF(AO1826=2,AI1826,""))="A","RÉPARÉ – À RADIOGRAPHIER",IF(IF(AO1826=1,AD1826,IF(AO1826=2,AI1826,""))="R","VT REJETÉ – À REPRENDRE",IF(OR(AP1826="CO",AP1826="NT"),"COUPE – À RESOUDER","À RÉPARER"))))))))))</f>
        <v>ACCEPTÉ</v>
      </c>
      <c r="AR1826" s="82" t="str">
        <f aca="false">IF(AND(ISNUMBER(U1826),OR(AQ1826="À RADIOGRAPHIER",AQ1826="RÉPARÉ – À RADIOGRAPHIER",AQ1826="NX – RT À REFAIRE",AQ1826="À RÉPARER",AQ1826="COUPE – À RESOUDER",AQ1826="VT REJETÉ – À REPRENDRE")),MAX(0,'PROGRAMME RT'!$C$4-U1826),"")</f>
        <v/>
      </c>
      <c r="AS1826" s="82" t="n">
        <f aca="false">IF(AND(OR(AQ1826="À RADIOGRAPHIER",AQ1826="RÉPARÉ – À RADIOGRAPHIER",AQ1826="NX – RT À REFAIRE"),OR('PROGRAMME RT'!$D$5="TOUTES",B1826='PROGRAMME RT'!$D$5)),1,0)</f>
        <v>0</v>
      </c>
      <c r="AT1826" s="82" t="str">
        <f aca="false">IF(AS1826=1,SUM(AS$7:AS1826),"")</f>
        <v/>
      </c>
      <c r="AU1826" s="82" t="n">
        <f aca="false">IF(AND(OR(AA1826="R",AA1826="NX",AA1826="NT",AA1826="CO"),OR('JOINTS DE RÉPARATION'!$D$5="TOUTES",B1826='JOINTS DE RÉPARATION'!$D$5),OR('JOINTS DE RÉPARATION'!$L$4="TOUS",AQ1826&lt;&gt;"ACCEPTÉ")),1,0)</f>
        <v>0</v>
      </c>
      <c r="AV1826" s="82" t="str">
        <f aca="false">IF(AU1826=1,SUM(AU$7:AU1826),"")</f>
        <v/>
      </c>
      <c r="AW1826" s="82" t="str">
        <f aca="false">IF(E1826="","",B1826&amp;"|"&amp;E1826)</f>
        <v>MFD-ISW → MFD-CPF|JN°1428</v>
      </c>
    </row>
    <row r="1827" customFormat="false" ht="74.6" hidden="false" customHeight="false" outlineLevel="0" collapsed="false">
      <c r="A1827" s="79" t="n">
        <f aca="false">IF(E1827="","",ROW()-6)</f>
        <v>1821</v>
      </c>
      <c r="B1827" s="80" t="s">
        <v>110</v>
      </c>
      <c r="C1827" s="81" t="s">
        <v>2202</v>
      </c>
      <c r="D1827" s="81" t="n">
        <v>16</v>
      </c>
      <c r="E1827" s="81" t="s">
        <v>2226</v>
      </c>
      <c r="F1827" s="82" t="str">
        <f aca="false">IF(E1827="","",IF(LEFT(E1827,2)="DJ","DJ","JN"))</f>
        <v>DJ</v>
      </c>
      <c r="G1827" s="81"/>
      <c r="H1827" s="81" t="s">
        <v>871</v>
      </c>
      <c r="I1827" s="81" t="n">
        <v>9.53</v>
      </c>
      <c r="J1827" s="81" t="s">
        <v>872</v>
      </c>
      <c r="K1827" s="81" t="s">
        <v>873</v>
      </c>
      <c r="L1827" s="81" t="n">
        <v>2079170</v>
      </c>
      <c r="M1827" s="81" t="n">
        <v>15421102</v>
      </c>
      <c r="N1827" s="81" t="n">
        <v>11.94</v>
      </c>
      <c r="O1827" s="81" t="n">
        <v>2088950</v>
      </c>
      <c r="P1827" s="81" t="n">
        <v>15421108</v>
      </c>
      <c r="Q1827" s="81" t="n">
        <v>11.94</v>
      </c>
      <c r="R1827" s="81" t="s">
        <v>1517</v>
      </c>
      <c r="S1827" s="81"/>
      <c r="T1827" s="81"/>
      <c r="U1827" s="83" t="n">
        <v>46250</v>
      </c>
      <c r="V1827" s="83" t="n">
        <v>46250</v>
      </c>
      <c r="W1827" s="81" t="s">
        <v>2221</v>
      </c>
      <c r="X1827" s="81" t="s">
        <v>876</v>
      </c>
      <c r="Y1827" s="83" t="n">
        <v>46252</v>
      </c>
      <c r="Z1827" s="81" t="s">
        <v>2222</v>
      </c>
      <c r="AA1827" s="81" t="s">
        <v>876</v>
      </c>
      <c r="AB1827" s="81"/>
      <c r="AC1827" s="81"/>
      <c r="AD1827" s="81"/>
      <c r="AE1827" s="83"/>
      <c r="AF1827" s="81"/>
      <c r="AG1827" s="81"/>
      <c r="AH1827" s="81"/>
      <c r="AI1827" s="81"/>
      <c r="AJ1827" s="83"/>
      <c r="AK1827" s="81"/>
      <c r="AL1827" s="81"/>
      <c r="AM1827" s="83"/>
      <c r="AN1827" s="80"/>
      <c r="AO1827" s="82" t="n">
        <f aca="false">IF(E1827="","",(AA1827&lt;&gt;"")+(AG1827&lt;&gt;"")+(AL1827&lt;&gt;""))</f>
        <v>1</v>
      </c>
      <c r="AP1827" s="82" t="str">
        <f aca="false">IF(AL1827&lt;&gt;"",AL1827,IF(AG1827&lt;&gt;"",AG1827,IF(AA1827&lt;&gt;"",AA1827,"")))</f>
        <v>A</v>
      </c>
      <c r="AQ1827" s="84" t="str">
        <f aca="false">IF(E1827="","",IF(U1827="","À SOUDER",IF(X1827="","VT EN ATTENTE",IF(X1827="R","VT REJETÉ – À REPRENDRE",IF(AP1827="","À RADIOGRAPHIER",IF(AP1827="A","ACCEPTÉ",IF(AP1827="NX","NX – RT À REFAIRE",IF(IF(AO1827=1,AD1827,IF(AO1827=2,AI1827,""))="A","RÉPARÉ – À RADIOGRAPHIER",IF(IF(AO1827=1,AD1827,IF(AO1827=2,AI1827,""))="R","VT REJETÉ – À REPRENDRE",IF(OR(AP1827="CO",AP1827="NT"),"COUPE – À RESOUDER","À RÉPARER"))))))))))</f>
        <v>ACCEPTÉ</v>
      </c>
      <c r="AR1827" s="82" t="str">
        <f aca="false">IF(AND(ISNUMBER(U1827),OR(AQ1827="À RADIOGRAPHIER",AQ1827="RÉPARÉ – À RADIOGRAPHIER",AQ1827="NX – RT À REFAIRE",AQ1827="À RÉPARER",AQ1827="COUPE – À RESOUDER",AQ1827="VT REJETÉ – À REPRENDRE")),MAX(0,'PROGRAMME RT'!$C$4-U1827),"")</f>
        <v/>
      </c>
      <c r="AS1827" s="82" t="n">
        <f aca="false">IF(AND(OR(AQ1827="À RADIOGRAPHIER",AQ1827="RÉPARÉ – À RADIOGRAPHIER",AQ1827="NX – RT À REFAIRE"),OR('PROGRAMME RT'!$D$5="TOUTES",B1827='PROGRAMME RT'!$D$5)),1,0)</f>
        <v>0</v>
      </c>
      <c r="AT1827" s="82" t="str">
        <f aca="false">IF(AS1827=1,SUM(AS$7:AS1827),"")</f>
        <v/>
      </c>
      <c r="AU1827" s="82" t="n">
        <f aca="false">IF(AND(OR(AA1827="R",AA1827="NX",AA1827="NT",AA1827="CO"),OR('JOINTS DE RÉPARATION'!$D$5="TOUTES",B1827='JOINTS DE RÉPARATION'!$D$5),OR('JOINTS DE RÉPARATION'!$L$4="TOUS",AQ1827&lt;&gt;"ACCEPTÉ")),1,0)</f>
        <v>0</v>
      </c>
      <c r="AV1827" s="82" t="str">
        <f aca="false">IF(AU1827=1,SUM(AU$7:AU1827),"")</f>
        <v/>
      </c>
      <c r="AW1827" s="82" t="str">
        <f aca="false">IF(E1827="","",B1827&amp;"|"&amp;E1827)</f>
        <v>MFD-ISW → MFD-CPF|DJ°027</v>
      </c>
    </row>
    <row r="1828" customFormat="false" ht="74.6" hidden="false" customHeight="false" outlineLevel="0" collapsed="false">
      <c r="A1828" s="79" t="n">
        <f aca="false">IF(E1828="","",ROW()-6)</f>
        <v>1822</v>
      </c>
      <c r="B1828" s="80" t="s">
        <v>110</v>
      </c>
      <c r="C1828" s="81" t="s">
        <v>2202</v>
      </c>
      <c r="D1828" s="81" t="n">
        <v>16</v>
      </c>
      <c r="E1828" s="81" t="s">
        <v>2227</v>
      </c>
      <c r="F1828" s="82" t="str">
        <f aca="false">IF(E1828="","",IF(LEFT(E1828,2)="DJ","DJ","JN"))</f>
        <v>JN</v>
      </c>
      <c r="G1828" s="81" t="s">
        <v>1504</v>
      </c>
      <c r="H1828" s="81" t="s">
        <v>871</v>
      </c>
      <c r="I1828" s="81" t="n">
        <v>9.53</v>
      </c>
      <c r="J1828" s="81" t="s">
        <v>872</v>
      </c>
      <c r="K1828" s="81" t="s">
        <v>879</v>
      </c>
      <c r="L1828" s="81" t="n">
        <v>2088950</v>
      </c>
      <c r="M1828" s="81" t="n">
        <v>15421108</v>
      </c>
      <c r="N1828" s="81" t="n">
        <v>11.94</v>
      </c>
      <c r="O1828" s="81" t="n">
        <v>2095730</v>
      </c>
      <c r="P1828" s="81" t="n">
        <v>15421111</v>
      </c>
      <c r="Q1828" s="81" t="n">
        <v>11.94</v>
      </c>
      <c r="R1828" s="81" t="s">
        <v>2097</v>
      </c>
      <c r="S1828" s="81"/>
      <c r="T1828" s="81"/>
      <c r="U1828" s="83" t="n">
        <v>46268</v>
      </c>
      <c r="V1828" s="83" t="n">
        <v>46270</v>
      </c>
      <c r="W1828" s="81" t="s">
        <v>2189</v>
      </c>
      <c r="X1828" s="81" t="s">
        <v>876</v>
      </c>
      <c r="Y1828" s="83" t="n">
        <v>46278</v>
      </c>
      <c r="Z1828" s="81" t="s">
        <v>2209</v>
      </c>
      <c r="AA1828" s="81" t="s">
        <v>876</v>
      </c>
      <c r="AB1828" s="81"/>
      <c r="AC1828" s="81"/>
      <c r="AD1828" s="81"/>
      <c r="AE1828" s="83"/>
      <c r="AF1828" s="81"/>
      <c r="AG1828" s="81"/>
      <c r="AH1828" s="81"/>
      <c r="AI1828" s="81"/>
      <c r="AJ1828" s="83"/>
      <c r="AK1828" s="81"/>
      <c r="AL1828" s="81"/>
      <c r="AM1828" s="83"/>
      <c r="AN1828" s="80"/>
      <c r="AO1828" s="82" t="n">
        <f aca="false">IF(E1828="","",(AA1828&lt;&gt;"")+(AG1828&lt;&gt;"")+(AL1828&lt;&gt;""))</f>
        <v>1</v>
      </c>
      <c r="AP1828" s="82" t="str">
        <f aca="false">IF(AL1828&lt;&gt;"",AL1828,IF(AG1828&lt;&gt;"",AG1828,IF(AA1828&lt;&gt;"",AA1828,"")))</f>
        <v>A</v>
      </c>
      <c r="AQ1828" s="84" t="str">
        <f aca="false">IF(E1828="","",IF(U1828="","À SOUDER",IF(X1828="","VT EN ATTENTE",IF(X1828="R","VT REJETÉ – À REPRENDRE",IF(AP1828="","À RADIOGRAPHIER",IF(AP1828="A","ACCEPTÉ",IF(AP1828="NX","NX – RT À REFAIRE",IF(IF(AO1828=1,AD1828,IF(AO1828=2,AI1828,""))="A","RÉPARÉ – À RADIOGRAPHIER",IF(IF(AO1828=1,AD1828,IF(AO1828=2,AI1828,""))="R","VT REJETÉ – À REPRENDRE",IF(OR(AP1828="CO",AP1828="NT"),"COUPE – À RESOUDER","À RÉPARER"))))))))))</f>
        <v>ACCEPTÉ</v>
      </c>
      <c r="AR1828" s="82" t="str">
        <f aca="false">IF(AND(ISNUMBER(U1828),OR(AQ1828="À RADIOGRAPHIER",AQ1828="RÉPARÉ – À RADIOGRAPHIER",AQ1828="NX – RT À REFAIRE",AQ1828="À RÉPARER",AQ1828="COUPE – À RESOUDER",AQ1828="VT REJETÉ – À REPRENDRE")),MAX(0,'PROGRAMME RT'!$C$4-U1828),"")</f>
        <v/>
      </c>
      <c r="AS1828" s="82" t="n">
        <f aca="false">IF(AND(OR(AQ1828="À RADIOGRAPHIER",AQ1828="RÉPARÉ – À RADIOGRAPHIER",AQ1828="NX – RT À REFAIRE"),OR('PROGRAMME RT'!$D$5="TOUTES",B1828='PROGRAMME RT'!$D$5)),1,0)</f>
        <v>0</v>
      </c>
      <c r="AT1828" s="82" t="str">
        <f aca="false">IF(AS1828=1,SUM(AS$7:AS1828),"")</f>
        <v/>
      </c>
      <c r="AU1828" s="82" t="n">
        <f aca="false">IF(AND(OR(AA1828="R",AA1828="NX",AA1828="NT",AA1828="CO"),OR('JOINTS DE RÉPARATION'!$D$5="TOUTES",B1828='JOINTS DE RÉPARATION'!$D$5),OR('JOINTS DE RÉPARATION'!$L$4="TOUS",AQ1828&lt;&gt;"ACCEPTÉ")),1,0)</f>
        <v>0</v>
      </c>
      <c r="AV1828" s="82" t="str">
        <f aca="false">IF(AU1828=1,SUM(AU$7:AU1828),"")</f>
        <v/>
      </c>
      <c r="AW1828" s="82" t="str">
        <f aca="false">IF(E1828="","",B1828&amp;"|"&amp;E1828)</f>
        <v>MFD-ISW → MFD-CPF|JN°1429</v>
      </c>
    </row>
    <row r="1829" customFormat="false" ht="74.6" hidden="false" customHeight="false" outlineLevel="0" collapsed="false">
      <c r="A1829" s="79" t="n">
        <f aca="false">IF(E1829="","",ROW()-6)</f>
        <v>1823</v>
      </c>
      <c r="B1829" s="80" t="s">
        <v>110</v>
      </c>
      <c r="C1829" s="81" t="s">
        <v>2202</v>
      </c>
      <c r="D1829" s="81" t="n">
        <v>16</v>
      </c>
      <c r="E1829" s="81" t="s">
        <v>2228</v>
      </c>
      <c r="F1829" s="82" t="str">
        <f aca="false">IF(E1829="","",IF(LEFT(E1829,2)="DJ","DJ","JN"))</f>
        <v>DJ</v>
      </c>
      <c r="G1829" s="81"/>
      <c r="H1829" s="81" t="s">
        <v>871</v>
      </c>
      <c r="I1829" s="81" t="n">
        <v>9.53</v>
      </c>
      <c r="J1829" s="81" t="s">
        <v>872</v>
      </c>
      <c r="K1829" s="81" t="s">
        <v>873</v>
      </c>
      <c r="L1829" s="81" t="n">
        <v>2078900</v>
      </c>
      <c r="M1829" s="81" t="n">
        <v>15421110</v>
      </c>
      <c r="N1829" s="81" t="n">
        <v>11.94</v>
      </c>
      <c r="O1829" s="81" t="n">
        <v>2095730</v>
      </c>
      <c r="P1829" s="81" t="n">
        <v>15421111</v>
      </c>
      <c r="Q1829" s="81" t="n">
        <v>11.94</v>
      </c>
      <c r="R1829" s="81" t="s">
        <v>874</v>
      </c>
      <c r="S1829" s="81"/>
      <c r="T1829" s="81"/>
      <c r="U1829" s="83" t="n">
        <v>46249</v>
      </c>
      <c r="V1829" s="83" t="n">
        <v>46249</v>
      </c>
      <c r="W1829" s="81" t="s">
        <v>2217</v>
      </c>
      <c r="X1829" s="81" t="s">
        <v>876</v>
      </c>
      <c r="Y1829" s="83" t="n">
        <v>46250</v>
      </c>
      <c r="Z1829" s="81" t="s">
        <v>2218</v>
      </c>
      <c r="AA1829" s="81" t="s">
        <v>876</v>
      </c>
      <c r="AB1829" s="81"/>
      <c r="AC1829" s="81"/>
      <c r="AD1829" s="81"/>
      <c r="AE1829" s="83"/>
      <c r="AF1829" s="81"/>
      <c r="AG1829" s="81"/>
      <c r="AH1829" s="81"/>
      <c r="AI1829" s="81"/>
      <c r="AJ1829" s="83"/>
      <c r="AK1829" s="81"/>
      <c r="AL1829" s="81"/>
      <c r="AM1829" s="83"/>
      <c r="AN1829" s="80"/>
      <c r="AO1829" s="82" t="n">
        <f aca="false">IF(E1829="","",(AA1829&lt;&gt;"")+(AG1829&lt;&gt;"")+(AL1829&lt;&gt;""))</f>
        <v>1</v>
      </c>
      <c r="AP1829" s="82" t="str">
        <f aca="false">IF(AL1829&lt;&gt;"",AL1829,IF(AG1829&lt;&gt;"",AG1829,IF(AA1829&lt;&gt;"",AA1829,"")))</f>
        <v>A</v>
      </c>
      <c r="AQ1829" s="84" t="str">
        <f aca="false">IF(E1829="","",IF(U1829="","À SOUDER",IF(X1829="","VT EN ATTENTE",IF(X1829="R","VT REJETÉ – À REPRENDRE",IF(AP1829="","À RADIOGRAPHIER",IF(AP1829="A","ACCEPTÉ",IF(AP1829="NX","NX – RT À REFAIRE",IF(IF(AO1829=1,AD1829,IF(AO1829=2,AI1829,""))="A","RÉPARÉ – À RADIOGRAPHIER",IF(IF(AO1829=1,AD1829,IF(AO1829=2,AI1829,""))="R","VT REJETÉ – À REPRENDRE",IF(OR(AP1829="CO",AP1829="NT"),"COUPE – À RESOUDER","À RÉPARER"))))))))))</f>
        <v>ACCEPTÉ</v>
      </c>
      <c r="AR1829" s="82" t="str">
        <f aca="false">IF(AND(ISNUMBER(U1829),OR(AQ1829="À RADIOGRAPHIER",AQ1829="RÉPARÉ – À RADIOGRAPHIER",AQ1829="NX – RT À REFAIRE",AQ1829="À RÉPARER",AQ1829="COUPE – À RESOUDER",AQ1829="VT REJETÉ – À REPRENDRE")),MAX(0,'PROGRAMME RT'!$C$4-U1829),"")</f>
        <v/>
      </c>
      <c r="AS1829" s="82" t="n">
        <f aca="false">IF(AND(OR(AQ1829="À RADIOGRAPHIER",AQ1829="RÉPARÉ – À RADIOGRAPHIER",AQ1829="NX – RT À REFAIRE"),OR('PROGRAMME RT'!$D$5="TOUTES",B1829='PROGRAMME RT'!$D$5)),1,0)</f>
        <v>0</v>
      </c>
      <c r="AT1829" s="82" t="str">
        <f aca="false">IF(AS1829=1,SUM(AS$7:AS1829),"")</f>
        <v/>
      </c>
      <c r="AU1829" s="82" t="n">
        <f aca="false">IF(AND(OR(AA1829="R",AA1829="NX",AA1829="NT",AA1829="CO"),OR('JOINTS DE RÉPARATION'!$D$5="TOUTES",B1829='JOINTS DE RÉPARATION'!$D$5),OR('JOINTS DE RÉPARATION'!$L$4="TOUS",AQ1829&lt;&gt;"ACCEPTÉ")),1,0)</f>
        <v>0</v>
      </c>
      <c r="AV1829" s="82" t="str">
        <f aca="false">IF(AU1829=1,SUM(AU$7:AU1829),"")</f>
        <v/>
      </c>
      <c r="AW1829" s="82" t="str">
        <f aca="false">IF(E1829="","",B1829&amp;"|"&amp;E1829)</f>
        <v>MFD-ISW → MFD-CPF|DJ°013</v>
      </c>
    </row>
    <row r="1830" customFormat="false" ht="74.6" hidden="false" customHeight="false" outlineLevel="0" collapsed="false">
      <c r="A1830" s="79" t="n">
        <f aca="false">IF(E1830="","",ROW()-6)</f>
        <v>1824</v>
      </c>
      <c r="B1830" s="80" t="s">
        <v>110</v>
      </c>
      <c r="C1830" s="81" t="s">
        <v>2202</v>
      </c>
      <c r="D1830" s="81" t="n">
        <v>17</v>
      </c>
      <c r="E1830" s="81" t="s">
        <v>2229</v>
      </c>
      <c r="F1830" s="82" t="str">
        <f aca="false">IF(E1830="","",IF(LEFT(E1830,2)="DJ","DJ","JN"))</f>
        <v>JN</v>
      </c>
      <c r="G1830" s="81" t="s">
        <v>1504</v>
      </c>
      <c r="H1830" s="81" t="s">
        <v>871</v>
      </c>
      <c r="I1830" s="81" t="n">
        <v>9.53</v>
      </c>
      <c r="J1830" s="81" t="s">
        <v>872</v>
      </c>
      <c r="K1830" s="81" t="s">
        <v>879</v>
      </c>
      <c r="L1830" s="81" t="n">
        <v>2078900</v>
      </c>
      <c r="M1830" s="81" t="n">
        <v>15421101</v>
      </c>
      <c r="N1830" s="81" t="n">
        <v>11.94</v>
      </c>
      <c r="O1830" s="81" t="n">
        <v>2095900</v>
      </c>
      <c r="P1830" s="81" t="n">
        <v>15421111</v>
      </c>
      <c r="Q1830" s="81" t="n">
        <v>11.94</v>
      </c>
      <c r="R1830" s="81" t="s">
        <v>2097</v>
      </c>
      <c r="S1830" s="81"/>
      <c r="T1830" s="81"/>
      <c r="U1830" s="83" t="n">
        <v>46268</v>
      </c>
      <c r="V1830" s="83" t="n">
        <v>46270</v>
      </c>
      <c r="W1830" s="81" t="s">
        <v>2189</v>
      </c>
      <c r="X1830" s="81" t="s">
        <v>876</v>
      </c>
      <c r="Y1830" s="83" t="n">
        <v>46278</v>
      </c>
      <c r="Z1830" s="81" t="s">
        <v>2209</v>
      </c>
      <c r="AA1830" s="81" t="s">
        <v>876</v>
      </c>
      <c r="AB1830" s="81"/>
      <c r="AC1830" s="81"/>
      <c r="AD1830" s="81"/>
      <c r="AE1830" s="83"/>
      <c r="AF1830" s="81"/>
      <c r="AG1830" s="81"/>
      <c r="AH1830" s="81"/>
      <c r="AI1830" s="81"/>
      <c r="AJ1830" s="83"/>
      <c r="AK1830" s="81"/>
      <c r="AL1830" s="81"/>
      <c r="AM1830" s="83"/>
      <c r="AN1830" s="80"/>
      <c r="AO1830" s="82" t="n">
        <f aca="false">IF(E1830="","",(AA1830&lt;&gt;"")+(AG1830&lt;&gt;"")+(AL1830&lt;&gt;""))</f>
        <v>1</v>
      </c>
      <c r="AP1830" s="82" t="str">
        <f aca="false">IF(AL1830&lt;&gt;"",AL1830,IF(AG1830&lt;&gt;"",AG1830,IF(AA1830&lt;&gt;"",AA1830,"")))</f>
        <v>A</v>
      </c>
      <c r="AQ1830" s="84" t="str">
        <f aca="false">IF(E1830="","",IF(U1830="","À SOUDER",IF(X1830="","VT EN ATTENTE",IF(X1830="R","VT REJETÉ – À REPRENDRE",IF(AP1830="","À RADIOGRAPHIER",IF(AP1830="A","ACCEPTÉ",IF(AP1830="NX","NX – RT À REFAIRE",IF(IF(AO1830=1,AD1830,IF(AO1830=2,AI1830,""))="A","RÉPARÉ – À RADIOGRAPHIER",IF(IF(AO1830=1,AD1830,IF(AO1830=2,AI1830,""))="R","VT REJETÉ – À REPRENDRE",IF(OR(AP1830="CO",AP1830="NT"),"COUPE – À RESOUDER","À RÉPARER"))))))))))</f>
        <v>ACCEPTÉ</v>
      </c>
      <c r="AR1830" s="82" t="str">
        <f aca="false">IF(AND(ISNUMBER(U1830),OR(AQ1830="À RADIOGRAPHIER",AQ1830="RÉPARÉ – À RADIOGRAPHIER",AQ1830="NX – RT À REFAIRE",AQ1830="À RÉPARER",AQ1830="COUPE – À RESOUDER",AQ1830="VT REJETÉ – À REPRENDRE")),MAX(0,'PROGRAMME RT'!$C$4-U1830),"")</f>
        <v/>
      </c>
      <c r="AS1830" s="82" t="n">
        <f aca="false">IF(AND(OR(AQ1830="À RADIOGRAPHIER",AQ1830="RÉPARÉ – À RADIOGRAPHIER",AQ1830="NX – RT À REFAIRE"),OR('PROGRAMME RT'!$D$5="TOUTES",B1830='PROGRAMME RT'!$D$5)),1,0)</f>
        <v>0</v>
      </c>
      <c r="AT1830" s="82" t="str">
        <f aca="false">IF(AS1830=1,SUM(AS$7:AS1830),"")</f>
        <v/>
      </c>
      <c r="AU1830" s="82" t="n">
        <f aca="false">IF(AND(OR(AA1830="R",AA1830="NX",AA1830="NT",AA1830="CO"),OR('JOINTS DE RÉPARATION'!$D$5="TOUTES",B1830='JOINTS DE RÉPARATION'!$D$5),OR('JOINTS DE RÉPARATION'!$L$4="TOUS",AQ1830&lt;&gt;"ACCEPTÉ")),1,0)</f>
        <v>0</v>
      </c>
      <c r="AV1830" s="82" t="str">
        <f aca="false">IF(AU1830=1,SUM(AU$7:AU1830),"")</f>
        <v/>
      </c>
      <c r="AW1830" s="82" t="str">
        <f aca="false">IF(E1830="","",B1830&amp;"|"&amp;E1830)</f>
        <v>MFD-ISW → MFD-CPF|JN°1430</v>
      </c>
    </row>
    <row r="1831" customFormat="false" ht="74.6" hidden="false" customHeight="false" outlineLevel="0" collapsed="false">
      <c r="A1831" s="79" t="n">
        <f aca="false">IF(E1831="","",ROW()-6)</f>
        <v>1825</v>
      </c>
      <c r="B1831" s="80" t="s">
        <v>110</v>
      </c>
      <c r="C1831" s="81" t="s">
        <v>2202</v>
      </c>
      <c r="D1831" s="81" t="n">
        <v>17</v>
      </c>
      <c r="E1831" s="81" t="s">
        <v>2230</v>
      </c>
      <c r="F1831" s="82" t="str">
        <f aca="false">IF(E1831="","",IF(LEFT(E1831,2)="DJ","DJ","JN"))</f>
        <v>DJ</v>
      </c>
      <c r="G1831" s="81"/>
      <c r="H1831" s="81" t="s">
        <v>871</v>
      </c>
      <c r="I1831" s="81" t="n">
        <v>9.53</v>
      </c>
      <c r="J1831" s="81" t="s">
        <v>872</v>
      </c>
      <c r="K1831" s="81" t="s">
        <v>873</v>
      </c>
      <c r="L1831" s="81" t="n">
        <v>2095900</v>
      </c>
      <c r="M1831" s="81" t="n">
        <v>15421111</v>
      </c>
      <c r="N1831" s="81" t="n">
        <v>11.94</v>
      </c>
      <c r="O1831" s="81" t="n">
        <v>2089970</v>
      </c>
      <c r="P1831" s="81" t="n">
        <v>15421109</v>
      </c>
      <c r="Q1831" s="81" t="n">
        <v>11.94</v>
      </c>
      <c r="R1831" s="81" t="s">
        <v>963</v>
      </c>
      <c r="S1831" s="81"/>
      <c r="T1831" s="81"/>
      <c r="U1831" s="83" t="n">
        <v>46250</v>
      </c>
      <c r="V1831" s="83" t="n">
        <v>46250</v>
      </c>
      <c r="W1831" s="81" t="s">
        <v>2221</v>
      </c>
      <c r="X1831" s="81" t="s">
        <v>876</v>
      </c>
      <c r="Y1831" s="83" t="n">
        <v>46252</v>
      </c>
      <c r="Z1831" s="81" t="s">
        <v>2222</v>
      </c>
      <c r="AA1831" s="81" t="s">
        <v>876</v>
      </c>
      <c r="AB1831" s="81"/>
      <c r="AC1831" s="81"/>
      <c r="AD1831" s="81"/>
      <c r="AE1831" s="83"/>
      <c r="AF1831" s="81"/>
      <c r="AG1831" s="81"/>
      <c r="AH1831" s="81"/>
      <c r="AI1831" s="81"/>
      <c r="AJ1831" s="83"/>
      <c r="AK1831" s="81"/>
      <c r="AL1831" s="81"/>
      <c r="AM1831" s="83"/>
      <c r="AN1831" s="80"/>
      <c r="AO1831" s="82" t="n">
        <f aca="false">IF(E1831="","",(AA1831&lt;&gt;"")+(AG1831&lt;&gt;"")+(AL1831&lt;&gt;""))</f>
        <v>1</v>
      </c>
      <c r="AP1831" s="82" t="str">
        <f aca="false">IF(AL1831&lt;&gt;"",AL1831,IF(AG1831&lt;&gt;"",AG1831,IF(AA1831&lt;&gt;"",AA1831,"")))</f>
        <v>A</v>
      </c>
      <c r="AQ1831" s="84" t="str">
        <f aca="false">IF(E1831="","",IF(U1831="","À SOUDER",IF(X1831="","VT EN ATTENTE",IF(X1831="R","VT REJETÉ – À REPRENDRE",IF(AP1831="","À RADIOGRAPHIER",IF(AP1831="A","ACCEPTÉ",IF(AP1831="NX","NX – RT À REFAIRE",IF(IF(AO1831=1,AD1831,IF(AO1831=2,AI1831,""))="A","RÉPARÉ – À RADIOGRAPHIER",IF(IF(AO1831=1,AD1831,IF(AO1831=2,AI1831,""))="R","VT REJETÉ – À REPRENDRE",IF(OR(AP1831="CO",AP1831="NT"),"COUPE – À RESOUDER","À RÉPARER"))))))))))</f>
        <v>ACCEPTÉ</v>
      </c>
      <c r="AR1831" s="82" t="str">
        <f aca="false">IF(AND(ISNUMBER(U1831),OR(AQ1831="À RADIOGRAPHIER",AQ1831="RÉPARÉ – À RADIOGRAPHIER",AQ1831="NX – RT À REFAIRE",AQ1831="À RÉPARER",AQ1831="COUPE – À RESOUDER",AQ1831="VT REJETÉ – À REPRENDRE")),MAX(0,'PROGRAMME RT'!$C$4-U1831),"")</f>
        <v/>
      </c>
      <c r="AS1831" s="82" t="n">
        <f aca="false">IF(AND(OR(AQ1831="À RADIOGRAPHIER",AQ1831="RÉPARÉ – À RADIOGRAPHIER",AQ1831="NX – RT À REFAIRE"),OR('PROGRAMME RT'!$D$5="TOUTES",B1831='PROGRAMME RT'!$D$5)),1,0)</f>
        <v>0</v>
      </c>
      <c r="AT1831" s="82" t="str">
        <f aca="false">IF(AS1831=1,SUM(AS$7:AS1831),"")</f>
        <v/>
      </c>
      <c r="AU1831" s="82" t="n">
        <f aca="false">IF(AND(OR(AA1831="R",AA1831="NX",AA1831="NT",AA1831="CO"),OR('JOINTS DE RÉPARATION'!$D$5="TOUTES",B1831='JOINTS DE RÉPARATION'!$D$5),OR('JOINTS DE RÉPARATION'!$L$4="TOUS",AQ1831&lt;&gt;"ACCEPTÉ")),1,0)</f>
        <v>0</v>
      </c>
      <c r="AV1831" s="82" t="str">
        <f aca="false">IF(AU1831=1,SUM(AU$7:AU1831),"")</f>
        <v/>
      </c>
      <c r="AW1831" s="82" t="str">
        <f aca="false">IF(E1831="","",B1831&amp;"|"&amp;E1831)</f>
        <v>MFD-ISW → MFD-CPF|DJ°020</v>
      </c>
    </row>
    <row r="1832" customFormat="false" ht="74.6" hidden="false" customHeight="false" outlineLevel="0" collapsed="false">
      <c r="A1832" s="79" t="n">
        <f aca="false">IF(E1832="","",ROW()-6)</f>
        <v>1826</v>
      </c>
      <c r="B1832" s="80" t="s">
        <v>110</v>
      </c>
      <c r="C1832" s="81" t="s">
        <v>2202</v>
      </c>
      <c r="D1832" s="81" t="n">
        <v>17</v>
      </c>
      <c r="E1832" s="81" t="s">
        <v>2231</v>
      </c>
      <c r="F1832" s="82" t="str">
        <f aca="false">IF(E1832="","",IF(LEFT(E1832,2)="DJ","DJ","JN"))</f>
        <v>JN</v>
      </c>
      <c r="G1832" s="81" t="s">
        <v>1504</v>
      </c>
      <c r="H1832" s="81" t="s">
        <v>871</v>
      </c>
      <c r="I1832" s="81" t="n">
        <v>9.53</v>
      </c>
      <c r="J1832" s="81" t="s">
        <v>872</v>
      </c>
      <c r="K1832" s="81" t="s">
        <v>879</v>
      </c>
      <c r="L1832" s="81" t="n">
        <v>2089970</v>
      </c>
      <c r="M1832" s="81" t="n">
        <v>15421109</v>
      </c>
      <c r="N1832" s="81" t="n">
        <v>11.94</v>
      </c>
      <c r="O1832" s="81" t="n">
        <v>2096680</v>
      </c>
      <c r="P1832" s="81" t="n">
        <v>15421111</v>
      </c>
      <c r="Q1832" s="81" t="n">
        <v>11.94</v>
      </c>
      <c r="R1832" s="81" t="s">
        <v>2097</v>
      </c>
      <c r="S1832" s="81"/>
      <c r="T1832" s="81"/>
      <c r="U1832" s="83" t="n">
        <v>46268</v>
      </c>
      <c r="V1832" s="83" t="n">
        <v>46270</v>
      </c>
      <c r="W1832" s="81" t="s">
        <v>2189</v>
      </c>
      <c r="X1832" s="81" t="s">
        <v>876</v>
      </c>
      <c r="Y1832" s="83" t="n">
        <v>46278</v>
      </c>
      <c r="Z1832" s="81" t="s">
        <v>2209</v>
      </c>
      <c r="AA1832" s="81" t="s">
        <v>876</v>
      </c>
      <c r="AB1832" s="81"/>
      <c r="AC1832" s="81"/>
      <c r="AD1832" s="81"/>
      <c r="AE1832" s="83"/>
      <c r="AF1832" s="81"/>
      <c r="AG1832" s="81"/>
      <c r="AH1832" s="81"/>
      <c r="AI1832" s="81"/>
      <c r="AJ1832" s="83"/>
      <c r="AK1832" s="81"/>
      <c r="AL1832" s="81"/>
      <c r="AM1832" s="83"/>
      <c r="AN1832" s="80"/>
      <c r="AO1832" s="82" t="n">
        <f aca="false">IF(E1832="","",(AA1832&lt;&gt;"")+(AG1832&lt;&gt;"")+(AL1832&lt;&gt;""))</f>
        <v>1</v>
      </c>
      <c r="AP1832" s="82" t="str">
        <f aca="false">IF(AL1832&lt;&gt;"",AL1832,IF(AG1832&lt;&gt;"",AG1832,IF(AA1832&lt;&gt;"",AA1832,"")))</f>
        <v>A</v>
      </c>
      <c r="AQ1832" s="84" t="str">
        <f aca="false">IF(E1832="","",IF(U1832="","À SOUDER",IF(X1832="","VT EN ATTENTE",IF(X1832="R","VT REJETÉ – À REPRENDRE",IF(AP1832="","À RADIOGRAPHIER",IF(AP1832="A","ACCEPTÉ",IF(AP1832="NX","NX – RT À REFAIRE",IF(IF(AO1832=1,AD1832,IF(AO1832=2,AI1832,""))="A","RÉPARÉ – À RADIOGRAPHIER",IF(IF(AO1832=1,AD1832,IF(AO1832=2,AI1832,""))="R","VT REJETÉ – À REPRENDRE",IF(OR(AP1832="CO",AP1832="NT"),"COUPE – À RESOUDER","À RÉPARER"))))))))))</f>
        <v>ACCEPTÉ</v>
      </c>
      <c r="AR1832" s="82" t="str">
        <f aca="false">IF(AND(ISNUMBER(U1832),OR(AQ1832="À RADIOGRAPHIER",AQ1832="RÉPARÉ – À RADIOGRAPHIER",AQ1832="NX – RT À REFAIRE",AQ1832="À RÉPARER",AQ1832="COUPE – À RESOUDER",AQ1832="VT REJETÉ – À REPRENDRE")),MAX(0,'PROGRAMME RT'!$C$4-U1832),"")</f>
        <v/>
      </c>
      <c r="AS1832" s="82" t="n">
        <f aca="false">IF(AND(OR(AQ1832="À RADIOGRAPHIER",AQ1832="RÉPARÉ – À RADIOGRAPHIER",AQ1832="NX – RT À REFAIRE"),OR('PROGRAMME RT'!$D$5="TOUTES",B1832='PROGRAMME RT'!$D$5)),1,0)</f>
        <v>0</v>
      </c>
      <c r="AT1832" s="82" t="str">
        <f aca="false">IF(AS1832=1,SUM(AS$7:AS1832),"")</f>
        <v/>
      </c>
      <c r="AU1832" s="82" t="n">
        <f aca="false">IF(AND(OR(AA1832="R",AA1832="NX",AA1832="NT",AA1832="CO"),OR('JOINTS DE RÉPARATION'!$D$5="TOUTES",B1832='JOINTS DE RÉPARATION'!$D$5),OR('JOINTS DE RÉPARATION'!$L$4="TOUS",AQ1832&lt;&gt;"ACCEPTÉ")),1,0)</f>
        <v>0</v>
      </c>
      <c r="AV1832" s="82" t="str">
        <f aca="false">IF(AU1832=1,SUM(AU$7:AU1832),"")</f>
        <v/>
      </c>
      <c r="AW1832" s="82" t="str">
        <f aca="false">IF(E1832="","",B1832&amp;"|"&amp;E1832)</f>
        <v>MFD-ISW → MFD-CPF|JN°1431</v>
      </c>
    </row>
    <row r="1833" customFormat="false" ht="74.6" hidden="false" customHeight="false" outlineLevel="0" collapsed="false">
      <c r="A1833" s="79" t="n">
        <f aca="false">IF(E1833="","",ROW()-6)</f>
        <v>1827</v>
      </c>
      <c r="B1833" s="80" t="s">
        <v>110</v>
      </c>
      <c r="C1833" s="81" t="s">
        <v>2202</v>
      </c>
      <c r="D1833" s="81" t="n">
        <v>17</v>
      </c>
      <c r="E1833" s="81" t="s">
        <v>2232</v>
      </c>
      <c r="F1833" s="82" t="str">
        <f aca="false">IF(E1833="","",IF(LEFT(E1833,2)="DJ","DJ","JN"))</f>
        <v>DJ</v>
      </c>
      <c r="G1833" s="81"/>
      <c r="H1833" s="81" t="s">
        <v>871</v>
      </c>
      <c r="I1833" s="81" t="n">
        <v>9.53</v>
      </c>
      <c r="J1833" s="81" t="s">
        <v>872</v>
      </c>
      <c r="K1833" s="81" t="s">
        <v>873</v>
      </c>
      <c r="L1833" s="81" t="n">
        <v>2092900</v>
      </c>
      <c r="M1833" s="81" t="n">
        <v>15421110</v>
      </c>
      <c r="N1833" s="81" t="n">
        <v>11.94</v>
      </c>
      <c r="O1833" s="81" t="n">
        <v>2096680</v>
      </c>
      <c r="P1833" s="81" t="n">
        <v>15421111</v>
      </c>
      <c r="Q1833" s="81" t="n">
        <v>11.94</v>
      </c>
      <c r="R1833" s="81" t="s">
        <v>963</v>
      </c>
      <c r="S1833" s="81"/>
      <c r="T1833" s="81"/>
      <c r="U1833" s="83" t="n">
        <v>46249</v>
      </c>
      <c r="V1833" s="83" t="n">
        <v>46249</v>
      </c>
      <c r="W1833" s="81" t="s">
        <v>2217</v>
      </c>
      <c r="X1833" s="81" t="s">
        <v>876</v>
      </c>
      <c r="Y1833" s="83" t="n">
        <v>46250</v>
      </c>
      <c r="Z1833" s="81" t="s">
        <v>2218</v>
      </c>
      <c r="AA1833" s="81" t="s">
        <v>876</v>
      </c>
      <c r="AB1833" s="81"/>
      <c r="AC1833" s="81"/>
      <c r="AD1833" s="81"/>
      <c r="AE1833" s="83"/>
      <c r="AF1833" s="81"/>
      <c r="AG1833" s="81"/>
      <c r="AH1833" s="81"/>
      <c r="AI1833" s="81"/>
      <c r="AJ1833" s="83"/>
      <c r="AK1833" s="81"/>
      <c r="AL1833" s="81"/>
      <c r="AM1833" s="83"/>
      <c r="AN1833" s="80"/>
      <c r="AO1833" s="82" t="n">
        <f aca="false">IF(E1833="","",(AA1833&lt;&gt;"")+(AG1833&lt;&gt;"")+(AL1833&lt;&gt;""))</f>
        <v>1</v>
      </c>
      <c r="AP1833" s="82" t="str">
        <f aca="false">IF(AL1833&lt;&gt;"",AL1833,IF(AG1833&lt;&gt;"",AG1833,IF(AA1833&lt;&gt;"",AA1833,"")))</f>
        <v>A</v>
      </c>
      <c r="AQ1833" s="84" t="str">
        <f aca="false">IF(E1833="","",IF(U1833="","À SOUDER",IF(X1833="","VT EN ATTENTE",IF(X1833="R","VT REJETÉ – À REPRENDRE",IF(AP1833="","À RADIOGRAPHIER",IF(AP1833="A","ACCEPTÉ",IF(AP1833="NX","NX – RT À REFAIRE",IF(IF(AO1833=1,AD1833,IF(AO1833=2,AI1833,""))="A","RÉPARÉ – À RADIOGRAPHIER",IF(IF(AO1833=1,AD1833,IF(AO1833=2,AI1833,""))="R","VT REJETÉ – À REPRENDRE",IF(OR(AP1833="CO",AP1833="NT"),"COUPE – À RESOUDER","À RÉPARER"))))))))))</f>
        <v>ACCEPTÉ</v>
      </c>
      <c r="AR1833" s="82" t="str">
        <f aca="false">IF(AND(ISNUMBER(U1833),OR(AQ1833="À RADIOGRAPHIER",AQ1833="RÉPARÉ – À RADIOGRAPHIER",AQ1833="NX – RT À REFAIRE",AQ1833="À RÉPARER",AQ1833="COUPE – À RESOUDER",AQ1833="VT REJETÉ – À REPRENDRE")),MAX(0,'PROGRAMME RT'!$C$4-U1833),"")</f>
        <v/>
      </c>
      <c r="AS1833" s="82" t="n">
        <f aca="false">IF(AND(OR(AQ1833="À RADIOGRAPHIER",AQ1833="RÉPARÉ – À RADIOGRAPHIER",AQ1833="NX – RT À REFAIRE"),OR('PROGRAMME RT'!$D$5="TOUTES",B1833='PROGRAMME RT'!$D$5)),1,0)</f>
        <v>0</v>
      </c>
      <c r="AT1833" s="82" t="str">
        <f aca="false">IF(AS1833=1,SUM(AS$7:AS1833),"")</f>
        <v/>
      </c>
      <c r="AU1833" s="82" t="n">
        <f aca="false">IF(AND(OR(AA1833="R",AA1833="NX",AA1833="NT",AA1833="CO"),OR('JOINTS DE RÉPARATION'!$D$5="TOUTES",B1833='JOINTS DE RÉPARATION'!$D$5),OR('JOINTS DE RÉPARATION'!$L$4="TOUS",AQ1833&lt;&gt;"ACCEPTÉ")),1,0)</f>
        <v>0</v>
      </c>
      <c r="AV1833" s="82" t="str">
        <f aca="false">IF(AU1833=1,SUM(AU$7:AU1833),"")</f>
        <v/>
      </c>
      <c r="AW1833" s="82" t="str">
        <f aca="false">IF(E1833="","",B1833&amp;"|"&amp;E1833)</f>
        <v>MFD-ISW → MFD-CPF|DJ°009</v>
      </c>
    </row>
    <row r="1834" customFormat="false" ht="74.6" hidden="false" customHeight="false" outlineLevel="0" collapsed="false">
      <c r="A1834" s="79" t="n">
        <f aca="false">IF(E1834="","",ROW()-6)</f>
        <v>1828</v>
      </c>
      <c r="B1834" s="80" t="s">
        <v>110</v>
      </c>
      <c r="C1834" s="81" t="s">
        <v>2202</v>
      </c>
      <c r="D1834" s="81" t="n">
        <v>17</v>
      </c>
      <c r="E1834" s="81" t="s">
        <v>2233</v>
      </c>
      <c r="F1834" s="82" t="str">
        <f aca="false">IF(E1834="","",IF(LEFT(E1834,2)="DJ","DJ","JN"))</f>
        <v>JN</v>
      </c>
      <c r="G1834" s="81" t="s">
        <v>1504</v>
      </c>
      <c r="H1834" s="81" t="s">
        <v>871</v>
      </c>
      <c r="I1834" s="81" t="n">
        <v>9.53</v>
      </c>
      <c r="J1834" s="81" t="s">
        <v>872</v>
      </c>
      <c r="K1834" s="81" t="s">
        <v>879</v>
      </c>
      <c r="L1834" s="81" t="n">
        <v>9092900</v>
      </c>
      <c r="M1834" s="81" t="n">
        <v>15421110</v>
      </c>
      <c r="N1834" s="81" t="n">
        <v>11.94</v>
      </c>
      <c r="O1834" s="81" t="n">
        <v>2080460</v>
      </c>
      <c r="P1834" s="81" t="n">
        <v>15421102</v>
      </c>
      <c r="Q1834" s="81" t="n">
        <v>11.94</v>
      </c>
      <c r="R1834" s="81" t="s">
        <v>2097</v>
      </c>
      <c r="S1834" s="81"/>
      <c r="T1834" s="81"/>
      <c r="U1834" s="83" t="n">
        <v>46268</v>
      </c>
      <c r="V1834" s="83" t="n">
        <v>46270</v>
      </c>
      <c r="W1834" s="81" t="s">
        <v>2189</v>
      </c>
      <c r="X1834" s="81" t="s">
        <v>876</v>
      </c>
      <c r="Y1834" s="83" t="n">
        <v>46278</v>
      </c>
      <c r="Z1834" s="81" t="s">
        <v>2209</v>
      </c>
      <c r="AA1834" s="81" t="s">
        <v>876</v>
      </c>
      <c r="AB1834" s="81"/>
      <c r="AC1834" s="81"/>
      <c r="AD1834" s="81"/>
      <c r="AE1834" s="83"/>
      <c r="AF1834" s="81"/>
      <c r="AG1834" s="81"/>
      <c r="AH1834" s="81"/>
      <c r="AI1834" s="81"/>
      <c r="AJ1834" s="83"/>
      <c r="AK1834" s="81"/>
      <c r="AL1834" s="81"/>
      <c r="AM1834" s="83"/>
      <c r="AN1834" s="80"/>
      <c r="AO1834" s="82" t="n">
        <f aca="false">IF(E1834="","",(AA1834&lt;&gt;"")+(AG1834&lt;&gt;"")+(AL1834&lt;&gt;""))</f>
        <v>1</v>
      </c>
      <c r="AP1834" s="82" t="str">
        <f aca="false">IF(AL1834&lt;&gt;"",AL1834,IF(AG1834&lt;&gt;"",AG1834,IF(AA1834&lt;&gt;"",AA1834,"")))</f>
        <v>A</v>
      </c>
      <c r="AQ1834" s="84" t="str">
        <f aca="false">IF(E1834="","",IF(U1834="","À SOUDER",IF(X1834="","VT EN ATTENTE",IF(X1834="R","VT REJETÉ – À REPRENDRE",IF(AP1834="","À RADIOGRAPHIER",IF(AP1834="A","ACCEPTÉ",IF(AP1834="NX","NX – RT À REFAIRE",IF(IF(AO1834=1,AD1834,IF(AO1834=2,AI1834,""))="A","RÉPARÉ – À RADIOGRAPHIER",IF(IF(AO1834=1,AD1834,IF(AO1834=2,AI1834,""))="R","VT REJETÉ – À REPRENDRE",IF(OR(AP1834="CO",AP1834="NT"),"COUPE – À RESOUDER","À RÉPARER"))))))))))</f>
        <v>ACCEPTÉ</v>
      </c>
      <c r="AR1834" s="82" t="str">
        <f aca="false">IF(AND(ISNUMBER(U1834),OR(AQ1834="À RADIOGRAPHIER",AQ1834="RÉPARÉ – À RADIOGRAPHIER",AQ1834="NX – RT À REFAIRE",AQ1834="À RÉPARER",AQ1834="COUPE – À RESOUDER",AQ1834="VT REJETÉ – À REPRENDRE")),MAX(0,'PROGRAMME RT'!$C$4-U1834),"")</f>
        <v/>
      </c>
      <c r="AS1834" s="82" t="n">
        <f aca="false">IF(AND(OR(AQ1834="À RADIOGRAPHIER",AQ1834="RÉPARÉ – À RADIOGRAPHIER",AQ1834="NX – RT À REFAIRE"),OR('PROGRAMME RT'!$D$5="TOUTES",B1834='PROGRAMME RT'!$D$5)),1,0)</f>
        <v>0</v>
      </c>
      <c r="AT1834" s="82" t="str">
        <f aca="false">IF(AS1834=1,SUM(AS$7:AS1834),"")</f>
        <v/>
      </c>
      <c r="AU1834" s="82" t="n">
        <f aca="false">IF(AND(OR(AA1834="R",AA1834="NX",AA1834="NT",AA1834="CO"),OR('JOINTS DE RÉPARATION'!$D$5="TOUTES",B1834='JOINTS DE RÉPARATION'!$D$5),OR('JOINTS DE RÉPARATION'!$L$4="TOUS",AQ1834&lt;&gt;"ACCEPTÉ")),1,0)</f>
        <v>0</v>
      </c>
      <c r="AV1834" s="82" t="str">
        <f aca="false">IF(AU1834=1,SUM(AU$7:AU1834),"")</f>
        <v/>
      </c>
      <c r="AW1834" s="82" t="str">
        <f aca="false">IF(E1834="","",B1834&amp;"|"&amp;E1834)</f>
        <v>MFD-ISW → MFD-CPF|JN°1432</v>
      </c>
    </row>
    <row r="1835" customFormat="false" ht="74.6" hidden="false" customHeight="false" outlineLevel="0" collapsed="false">
      <c r="A1835" s="79" t="n">
        <f aca="false">IF(E1835="","",ROW()-6)</f>
        <v>1829</v>
      </c>
      <c r="B1835" s="80" t="s">
        <v>110</v>
      </c>
      <c r="C1835" s="81" t="s">
        <v>2202</v>
      </c>
      <c r="D1835" s="81" t="n">
        <v>17</v>
      </c>
      <c r="E1835" s="81" t="s">
        <v>2234</v>
      </c>
      <c r="F1835" s="82" t="str">
        <f aca="false">IF(E1835="","",IF(LEFT(E1835,2)="DJ","DJ","JN"))</f>
        <v>DJ</v>
      </c>
      <c r="G1835" s="81"/>
      <c r="H1835" s="81" t="s">
        <v>871</v>
      </c>
      <c r="I1835" s="81" t="n">
        <v>9.53</v>
      </c>
      <c r="J1835" s="81" t="s">
        <v>872</v>
      </c>
      <c r="K1835" s="81" t="s">
        <v>873</v>
      </c>
      <c r="L1835" s="81" t="n">
        <v>2081960</v>
      </c>
      <c r="M1835" s="81" t="n">
        <v>15421104</v>
      </c>
      <c r="N1835" s="81" t="n">
        <v>11.94</v>
      </c>
      <c r="O1835" s="81" t="n">
        <v>2080460</v>
      </c>
      <c r="P1835" s="81" t="n">
        <v>15421102</v>
      </c>
      <c r="Q1835" s="81" t="n">
        <v>11.94</v>
      </c>
      <c r="R1835" s="81" t="s">
        <v>1147</v>
      </c>
      <c r="S1835" s="81"/>
      <c r="T1835" s="81"/>
      <c r="U1835" s="83" t="n">
        <v>46249</v>
      </c>
      <c r="V1835" s="83" t="n">
        <v>46249</v>
      </c>
      <c r="W1835" s="81" t="s">
        <v>2217</v>
      </c>
      <c r="X1835" s="81" t="s">
        <v>876</v>
      </c>
      <c r="Y1835" s="83" t="n">
        <v>46250</v>
      </c>
      <c r="Z1835" s="81" t="s">
        <v>2218</v>
      </c>
      <c r="AA1835" s="81" t="s">
        <v>876</v>
      </c>
      <c r="AB1835" s="81"/>
      <c r="AC1835" s="81"/>
      <c r="AD1835" s="81"/>
      <c r="AE1835" s="83"/>
      <c r="AF1835" s="81"/>
      <c r="AG1835" s="81"/>
      <c r="AH1835" s="81"/>
      <c r="AI1835" s="81"/>
      <c r="AJ1835" s="83"/>
      <c r="AK1835" s="81"/>
      <c r="AL1835" s="81"/>
      <c r="AM1835" s="83"/>
      <c r="AN1835" s="80"/>
      <c r="AO1835" s="82" t="n">
        <f aca="false">IF(E1835="","",(AA1835&lt;&gt;"")+(AG1835&lt;&gt;"")+(AL1835&lt;&gt;""))</f>
        <v>1</v>
      </c>
      <c r="AP1835" s="82" t="str">
        <f aca="false">IF(AL1835&lt;&gt;"",AL1835,IF(AG1835&lt;&gt;"",AG1835,IF(AA1835&lt;&gt;"",AA1835,"")))</f>
        <v>A</v>
      </c>
      <c r="AQ1835" s="84" t="str">
        <f aca="false">IF(E1835="","",IF(U1835="","À SOUDER",IF(X1835="","VT EN ATTENTE",IF(X1835="R","VT REJETÉ – À REPRENDRE",IF(AP1835="","À RADIOGRAPHIER",IF(AP1835="A","ACCEPTÉ",IF(AP1835="NX","NX – RT À REFAIRE",IF(IF(AO1835=1,AD1835,IF(AO1835=2,AI1835,""))="A","RÉPARÉ – À RADIOGRAPHIER",IF(IF(AO1835=1,AD1835,IF(AO1835=2,AI1835,""))="R","VT REJETÉ – À REPRENDRE",IF(OR(AP1835="CO",AP1835="NT"),"COUPE – À RESOUDER","À RÉPARER"))))))))))</f>
        <v>ACCEPTÉ</v>
      </c>
      <c r="AR1835" s="82" t="str">
        <f aca="false">IF(AND(ISNUMBER(U1835),OR(AQ1835="À RADIOGRAPHIER",AQ1835="RÉPARÉ – À RADIOGRAPHIER",AQ1835="NX – RT À REFAIRE",AQ1835="À RÉPARER",AQ1835="COUPE – À RESOUDER",AQ1835="VT REJETÉ – À REPRENDRE")),MAX(0,'PROGRAMME RT'!$C$4-U1835),"")</f>
        <v/>
      </c>
      <c r="AS1835" s="82" t="n">
        <f aca="false">IF(AND(OR(AQ1835="À RADIOGRAPHIER",AQ1835="RÉPARÉ – À RADIOGRAPHIER",AQ1835="NX – RT À REFAIRE"),OR('PROGRAMME RT'!$D$5="TOUTES",B1835='PROGRAMME RT'!$D$5)),1,0)</f>
        <v>0</v>
      </c>
      <c r="AT1835" s="82" t="str">
        <f aca="false">IF(AS1835=1,SUM(AS$7:AS1835),"")</f>
        <v/>
      </c>
      <c r="AU1835" s="82" t="n">
        <f aca="false">IF(AND(OR(AA1835="R",AA1835="NX",AA1835="NT",AA1835="CO"),OR('JOINTS DE RÉPARATION'!$D$5="TOUTES",B1835='JOINTS DE RÉPARATION'!$D$5),OR('JOINTS DE RÉPARATION'!$L$4="TOUS",AQ1835&lt;&gt;"ACCEPTÉ")),1,0)</f>
        <v>0</v>
      </c>
      <c r="AV1835" s="82" t="str">
        <f aca="false">IF(AU1835=1,SUM(AU$7:AU1835),"")</f>
        <v/>
      </c>
      <c r="AW1835" s="82" t="str">
        <f aca="false">IF(E1835="","",B1835&amp;"|"&amp;E1835)</f>
        <v>MFD-ISW → MFD-CPF|DJ°008</v>
      </c>
    </row>
    <row r="1836" customFormat="false" ht="74.6" hidden="false" customHeight="false" outlineLevel="0" collapsed="false">
      <c r="A1836" s="79" t="n">
        <f aca="false">IF(E1836="","",ROW()-6)</f>
        <v>1830</v>
      </c>
      <c r="B1836" s="80" t="s">
        <v>110</v>
      </c>
      <c r="C1836" s="81" t="s">
        <v>2202</v>
      </c>
      <c r="D1836" s="81" t="n">
        <v>17</v>
      </c>
      <c r="E1836" s="81" t="s">
        <v>2235</v>
      </c>
      <c r="F1836" s="82" t="str">
        <f aca="false">IF(E1836="","",IF(LEFT(E1836,2)="DJ","DJ","JN"))</f>
        <v>JN</v>
      </c>
      <c r="G1836" s="81" t="s">
        <v>1504</v>
      </c>
      <c r="H1836" s="81" t="s">
        <v>871</v>
      </c>
      <c r="I1836" s="81" t="n">
        <v>9.53</v>
      </c>
      <c r="J1836" s="81" t="s">
        <v>872</v>
      </c>
      <c r="K1836" s="81" t="s">
        <v>879</v>
      </c>
      <c r="L1836" s="81" t="n">
        <v>2081960</v>
      </c>
      <c r="M1836" s="81" t="n">
        <v>15421104</v>
      </c>
      <c r="N1836" s="81" t="n">
        <v>11.94</v>
      </c>
      <c r="O1836" s="81" t="n">
        <v>2090850</v>
      </c>
      <c r="P1836" s="81" t="n">
        <v>15421109</v>
      </c>
      <c r="Q1836" s="81" t="n">
        <v>11.94</v>
      </c>
      <c r="R1836" s="81" t="s">
        <v>2097</v>
      </c>
      <c r="S1836" s="81"/>
      <c r="T1836" s="81"/>
      <c r="U1836" s="83" t="n">
        <v>46268</v>
      </c>
      <c r="V1836" s="83" t="n">
        <v>46270</v>
      </c>
      <c r="W1836" s="81" t="s">
        <v>2189</v>
      </c>
      <c r="X1836" s="81" t="s">
        <v>876</v>
      </c>
      <c r="Y1836" s="83" t="n">
        <v>46278</v>
      </c>
      <c r="Z1836" s="81" t="s">
        <v>2209</v>
      </c>
      <c r="AA1836" s="81" t="s">
        <v>876</v>
      </c>
      <c r="AB1836" s="81"/>
      <c r="AC1836" s="81"/>
      <c r="AD1836" s="81"/>
      <c r="AE1836" s="83"/>
      <c r="AF1836" s="81"/>
      <c r="AG1836" s="81"/>
      <c r="AH1836" s="81"/>
      <c r="AI1836" s="81"/>
      <c r="AJ1836" s="83"/>
      <c r="AK1836" s="81"/>
      <c r="AL1836" s="81"/>
      <c r="AM1836" s="83"/>
      <c r="AN1836" s="80"/>
      <c r="AO1836" s="82" t="n">
        <f aca="false">IF(E1836="","",(AA1836&lt;&gt;"")+(AG1836&lt;&gt;"")+(AL1836&lt;&gt;""))</f>
        <v>1</v>
      </c>
      <c r="AP1836" s="82" t="str">
        <f aca="false">IF(AL1836&lt;&gt;"",AL1836,IF(AG1836&lt;&gt;"",AG1836,IF(AA1836&lt;&gt;"",AA1836,"")))</f>
        <v>A</v>
      </c>
      <c r="AQ1836" s="84" t="str">
        <f aca="false">IF(E1836="","",IF(U1836="","À SOUDER",IF(X1836="","VT EN ATTENTE",IF(X1836="R","VT REJETÉ – À REPRENDRE",IF(AP1836="","À RADIOGRAPHIER",IF(AP1836="A","ACCEPTÉ",IF(AP1836="NX","NX – RT À REFAIRE",IF(IF(AO1836=1,AD1836,IF(AO1836=2,AI1836,""))="A","RÉPARÉ – À RADIOGRAPHIER",IF(IF(AO1836=1,AD1836,IF(AO1836=2,AI1836,""))="R","VT REJETÉ – À REPRENDRE",IF(OR(AP1836="CO",AP1836="NT"),"COUPE – À RESOUDER","À RÉPARER"))))))))))</f>
        <v>ACCEPTÉ</v>
      </c>
      <c r="AR1836" s="82" t="str">
        <f aca="false">IF(AND(ISNUMBER(U1836),OR(AQ1836="À RADIOGRAPHIER",AQ1836="RÉPARÉ – À RADIOGRAPHIER",AQ1836="NX – RT À REFAIRE",AQ1836="À RÉPARER",AQ1836="COUPE – À RESOUDER",AQ1836="VT REJETÉ – À REPRENDRE")),MAX(0,'PROGRAMME RT'!$C$4-U1836),"")</f>
        <v/>
      </c>
      <c r="AS1836" s="82" t="n">
        <f aca="false">IF(AND(OR(AQ1836="À RADIOGRAPHIER",AQ1836="RÉPARÉ – À RADIOGRAPHIER",AQ1836="NX – RT À REFAIRE"),OR('PROGRAMME RT'!$D$5="TOUTES",B1836='PROGRAMME RT'!$D$5)),1,0)</f>
        <v>0</v>
      </c>
      <c r="AT1836" s="82" t="str">
        <f aca="false">IF(AS1836=1,SUM(AS$7:AS1836),"")</f>
        <v/>
      </c>
      <c r="AU1836" s="82" t="n">
        <f aca="false">IF(AND(OR(AA1836="R",AA1836="NX",AA1836="NT",AA1836="CO"),OR('JOINTS DE RÉPARATION'!$D$5="TOUTES",B1836='JOINTS DE RÉPARATION'!$D$5),OR('JOINTS DE RÉPARATION'!$L$4="TOUS",AQ1836&lt;&gt;"ACCEPTÉ")),1,0)</f>
        <v>0</v>
      </c>
      <c r="AV1836" s="82" t="str">
        <f aca="false">IF(AU1836=1,SUM(AU$7:AU1836),"")</f>
        <v/>
      </c>
      <c r="AW1836" s="82" t="str">
        <f aca="false">IF(E1836="","",B1836&amp;"|"&amp;E1836)</f>
        <v>MFD-ISW → MFD-CPF|JN°1433</v>
      </c>
    </row>
    <row r="1837" customFormat="false" ht="74.6" hidden="false" customHeight="false" outlineLevel="0" collapsed="false">
      <c r="A1837" s="79" t="n">
        <f aca="false">IF(E1837="","",ROW()-6)</f>
        <v>1831</v>
      </c>
      <c r="B1837" s="80" t="s">
        <v>110</v>
      </c>
      <c r="C1837" s="81" t="s">
        <v>2202</v>
      </c>
      <c r="D1837" s="81" t="n">
        <v>17</v>
      </c>
      <c r="E1837" s="81" t="s">
        <v>2236</v>
      </c>
      <c r="F1837" s="82" t="str">
        <f aca="false">IF(E1837="","",IF(LEFT(E1837,2)="DJ","DJ","JN"))</f>
        <v>DJ</v>
      </c>
      <c r="G1837" s="81"/>
      <c r="H1837" s="81" t="s">
        <v>871</v>
      </c>
      <c r="I1837" s="81" t="n">
        <v>9.53</v>
      </c>
      <c r="J1837" s="81" t="s">
        <v>872</v>
      </c>
      <c r="K1837" s="81" t="s">
        <v>873</v>
      </c>
      <c r="L1837" s="81" t="n">
        <v>2079370</v>
      </c>
      <c r="M1837" s="81" t="n">
        <v>15421102</v>
      </c>
      <c r="N1837" s="81" t="n">
        <v>11.94</v>
      </c>
      <c r="O1837" s="81" t="n">
        <v>2090850</v>
      </c>
      <c r="P1837" s="81" t="n">
        <v>15421109</v>
      </c>
      <c r="Q1837" s="81" t="n">
        <v>11.94</v>
      </c>
      <c r="R1837" s="81" t="s">
        <v>1135</v>
      </c>
      <c r="S1837" s="81"/>
      <c r="T1837" s="81"/>
      <c r="U1837" s="83" t="n">
        <v>46256</v>
      </c>
      <c r="V1837" s="83" t="n">
        <v>46256</v>
      </c>
      <c r="W1837" s="81" t="s">
        <v>1565</v>
      </c>
      <c r="X1837" s="81" t="s">
        <v>876</v>
      </c>
      <c r="Y1837" s="83" t="n">
        <v>46260</v>
      </c>
      <c r="Z1837" s="81" t="s">
        <v>2112</v>
      </c>
      <c r="AA1837" s="81" t="s">
        <v>876</v>
      </c>
      <c r="AB1837" s="81"/>
      <c r="AC1837" s="81"/>
      <c r="AD1837" s="81"/>
      <c r="AE1837" s="83"/>
      <c r="AF1837" s="81"/>
      <c r="AG1837" s="81"/>
      <c r="AH1837" s="81"/>
      <c r="AI1837" s="81"/>
      <c r="AJ1837" s="83"/>
      <c r="AK1837" s="81"/>
      <c r="AL1837" s="81"/>
      <c r="AM1837" s="83"/>
      <c r="AN1837" s="80"/>
      <c r="AO1837" s="82" t="n">
        <f aca="false">IF(E1837="","",(AA1837&lt;&gt;"")+(AG1837&lt;&gt;"")+(AL1837&lt;&gt;""))</f>
        <v>1</v>
      </c>
      <c r="AP1837" s="82" t="str">
        <f aca="false">IF(AL1837&lt;&gt;"",AL1837,IF(AG1837&lt;&gt;"",AG1837,IF(AA1837&lt;&gt;"",AA1837,"")))</f>
        <v>A</v>
      </c>
      <c r="AQ1837" s="84" t="str">
        <f aca="false">IF(E1837="","",IF(U1837="","À SOUDER",IF(X1837="","VT EN ATTENTE",IF(X1837="R","VT REJETÉ – À REPRENDRE",IF(AP1837="","À RADIOGRAPHIER",IF(AP1837="A","ACCEPTÉ",IF(AP1837="NX","NX – RT À REFAIRE",IF(IF(AO1837=1,AD1837,IF(AO1837=2,AI1837,""))="A","RÉPARÉ – À RADIOGRAPHIER",IF(IF(AO1837=1,AD1837,IF(AO1837=2,AI1837,""))="R","VT REJETÉ – À REPRENDRE",IF(OR(AP1837="CO",AP1837="NT"),"COUPE – À RESOUDER","À RÉPARER"))))))))))</f>
        <v>ACCEPTÉ</v>
      </c>
      <c r="AR1837" s="82" t="str">
        <f aca="false">IF(AND(ISNUMBER(U1837),OR(AQ1837="À RADIOGRAPHIER",AQ1837="RÉPARÉ – À RADIOGRAPHIER",AQ1837="NX – RT À REFAIRE",AQ1837="À RÉPARER",AQ1837="COUPE – À RESOUDER",AQ1837="VT REJETÉ – À REPRENDRE")),MAX(0,'PROGRAMME RT'!$C$4-U1837),"")</f>
        <v/>
      </c>
      <c r="AS1837" s="82" t="n">
        <f aca="false">IF(AND(OR(AQ1837="À RADIOGRAPHIER",AQ1837="RÉPARÉ – À RADIOGRAPHIER",AQ1837="NX – RT À REFAIRE"),OR('PROGRAMME RT'!$D$5="TOUTES",B1837='PROGRAMME RT'!$D$5)),1,0)</f>
        <v>0</v>
      </c>
      <c r="AT1837" s="82" t="str">
        <f aca="false">IF(AS1837=1,SUM(AS$7:AS1837),"")</f>
        <v/>
      </c>
      <c r="AU1837" s="82" t="n">
        <f aca="false">IF(AND(OR(AA1837="R",AA1837="NX",AA1837="NT",AA1837="CO"),OR('JOINTS DE RÉPARATION'!$D$5="TOUTES",B1837='JOINTS DE RÉPARATION'!$D$5),OR('JOINTS DE RÉPARATION'!$L$4="TOUS",AQ1837&lt;&gt;"ACCEPTÉ")),1,0)</f>
        <v>0</v>
      </c>
      <c r="AV1837" s="82" t="str">
        <f aca="false">IF(AU1837=1,SUM(AU$7:AU1837),"")</f>
        <v/>
      </c>
      <c r="AW1837" s="82" t="str">
        <f aca="false">IF(E1837="","",B1837&amp;"|"&amp;E1837)</f>
        <v>MFD-ISW → MFD-CPF|DJ°088</v>
      </c>
    </row>
    <row r="1838" customFormat="false" ht="74.6" hidden="false" customHeight="false" outlineLevel="0" collapsed="false">
      <c r="A1838" s="79" t="n">
        <f aca="false">IF(E1838="","",ROW()-6)</f>
        <v>1832</v>
      </c>
      <c r="B1838" s="80" t="s">
        <v>110</v>
      </c>
      <c r="C1838" s="81" t="s">
        <v>2202</v>
      </c>
      <c r="D1838" s="81" t="n">
        <v>17</v>
      </c>
      <c r="E1838" s="81" t="s">
        <v>2237</v>
      </c>
      <c r="F1838" s="82" t="str">
        <f aca="false">IF(E1838="","",IF(LEFT(E1838,2)="DJ","DJ","JN"))</f>
        <v>JN</v>
      </c>
      <c r="G1838" s="81" t="s">
        <v>1504</v>
      </c>
      <c r="H1838" s="81" t="s">
        <v>871</v>
      </c>
      <c r="I1838" s="81" t="n">
        <v>9.53</v>
      </c>
      <c r="J1838" s="81" t="s">
        <v>872</v>
      </c>
      <c r="K1838" s="81" t="s">
        <v>879</v>
      </c>
      <c r="L1838" s="81" t="n">
        <v>2079370</v>
      </c>
      <c r="M1838" s="81" t="n">
        <v>15421102</v>
      </c>
      <c r="N1838" s="81" t="n">
        <v>11.94</v>
      </c>
      <c r="O1838" s="81" t="n">
        <v>2091740</v>
      </c>
      <c r="P1838" s="81" t="n">
        <v>15421109</v>
      </c>
      <c r="Q1838" s="81" t="n">
        <v>11.94</v>
      </c>
      <c r="R1838" s="81" t="s">
        <v>2097</v>
      </c>
      <c r="S1838" s="81"/>
      <c r="T1838" s="81"/>
      <c r="U1838" s="83" t="n">
        <v>46270</v>
      </c>
      <c r="V1838" s="83" t="n">
        <v>46270</v>
      </c>
      <c r="W1838" s="81" t="s">
        <v>2238</v>
      </c>
      <c r="X1838" s="81" t="s">
        <v>876</v>
      </c>
      <c r="Y1838" s="83" t="n">
        <v>46278</v>
      </c>
      <c r="Z1838" s="81" t="s">
        <v>2209</v>
      </c>
      <c r="AA1838" s="81" t="s">
        <v>876</v>
      </c>
      <c r="AB1838" s="81"/>
      <c r="AC1838" s="81"/>
      <c r="AD1838" s="81"/>
      <c r="AE1838" s="83"/>
      <c r="AF1838" s="81"/>
      <c r="AG1838" s="81"/>
      <c r="AH1838" s="81"/>
      <c r="AI1838" s="81"/>
      <c r="AJ1838" s="83"/>
      <c r="AK1838" s="81"/>
      <c r="AL1838" s="81"/>
      <c r="AM1838" s="83"/>
      <c r="AN1838" s="80"/>
      <c r="AO1838" s="82" t="n">
        <f aca="false">IF(E1838="","",(AA1838&lt;&gt;"")+(AG1838&lt;&gt;"")+(AL1838&lt;&gt;""))</f>
        <v>1</v>
      </c>
      <c r="AP1838" s="82" t="str">
        <f aca="false">IF(AL1838&lt;&gt;"",AL1838,IF(AG1838&lt;&gt;"",AG1838,IF(AA1838&lt;&gt;"",AA1838,"")))</f>
        <v>A</v>
      </c>
      <c r="AQ1838" s="84" t="str">
        <f aca="false">IF(E1838="","",IF(U1838="","À SOUDER",IF(X1838="","VT EN ATTENTE",IF(X1838="R","VT REJETÉ – À REPRENDRE",IF(AP1838="","À RADIOGRAPHIER",IF(AP1838="A","ACCEPTÉ",IF(AP1838="NX","NX – RT À REFAIRE",IF(IF(AO1838=1,AD1838,IF(AO1838=2,AI1838,""))="A","RÉPARÉ – À RADIOGRAPHIER",IF(IF(AO1838=1,AD1838,IF(AO1838=2,AI1838,""))="R","VT REJETÉ – À REPRENDRE",IF(OR(AP1838="CO",AP1838="NT"),"COUPE – À RESOUDER","À RÉPARER"))))))))))</f>
        <v>ACCEPTÉ</v>
      </c>
      <c r="AR1838" s="82" t="str">
        <f aca="false">IF(AND(ISNUMBER(U1838),OR(AQ1838="À RADIOGRAPHIER",AQ1838="RÉPARÉ – À RADIOGRAPHIER",AQ1838="NX – RT À REFAIRE",AQ1838="À RÉPARER",AQ1838="COUPE – À RESOUDER",AQ1838="VT REJETÉ – À REPRENDRE")),MAX(0,'PROGRAMME RT'!$C$4-U1838),"")</f>
        <v/>
      </c>
      <c r="AS1838" s="82" t="n">
        <f aca="false">IF(AND(OR(AQ1838="À RADIOGRAPHIER",AQ1838="RÉPARÉ – À RADIOGRAPHIER",AQ1838="NX – RT À REFAIRE"),OR('PROGRAMME RT'!$D$5="TOUTES",B1838='PROGRAMME RT'!$D$5)),1,0)</f>
        <v>0</v>
      </c>
      <c r="AT1838" s="82" t="str">
        <f aca="false">IF(AS1838=1,SUM(AS$7:AS1838),"")</f>
        <v/>
      </c>
      <c r="AU1838" s="82" t="n">
        <f aca="false">IF(AND(OR(AA1838="R",AA1838="NX",AA1838="NT",AA1838="CO"),OR('JOINTS DE RÉPARATION'!$D$5="TOUTES",B1838='JOINTS DE RÉPARATION'!$D$5),OR('JOINTS DE RÉPARATION'!$L$4="TOUS",AQ1838&lt;&gt;"ACCEPTÉ")),1,0)</f>
        <v>0</v>
      </c>
      <c r="AV1838" s="82" t="str">
        <f aca="false">IF(AU1838=1,SUM(AU$7:AU1838),"")</f>
        <v/>
      </c>
      <c r="AW1838" s="82" t="str">
        <f aca="false">IF(E1838="","",B1838&amp;"|"&amp;E1838)</f>
        <v>MFD-ISW → MFD-CPF|JN°1434</v>
      </c>
    </row>
    <row r="1839" customFormat="false" ht="74.6" hidden="false" customHeight="false" outlineLevel="0" collapsed="false">
      <c r="A1839" s="79" t="n">
        <f aca="false">IF(E1839="","",ROW()-6)</f>
        <v>1833</v>
      </c>
      <c r="B1839" s="80" t="s">
        <v>110</v>
      </c>
      <c r="C1839" s="81" t="s">
        <v>2202</v>
      </c>
      <c r="D1839" s="81" t="n">
        <v>17</v>
      </c>
      <c r="E1839" s="81" t="s">
        <v>2239</v>
      </c>
      <c r="F1839" s="82" t="str">
        <f aca="false">IF(E1839="","",IF(LEFT(E1839,2)="DJ","DJ","JN"))</f>
        <v>DJ</v>
      </c>
      <c r="G1839" s="81"/>
      <c r="H1839" s="81" t="s">
        <v>871</v>
      </c>
      <c r="I1839" s="81" t="n">
        <v>9.53</v>
      </c>
      <c r="J1839" s="81" t="s">
        <v>872</v>
      </c>
      <c r="K1839" s="81" t="s">
        <v>873</v>
      </c>
      <c r="L1839" s="81" t="n">
        <v>2091740</v>
      </c>
      <c r="M1839" s="81" t="n">
        <v>15421109</v>
      </c>
      <c r="N1839" s="81" t="n">
        <v>11.94</v>
      </c>
      <c r="O1839" s="81" t="n">
        <v>2094720</v>
      </c>
      <c r="P1839" s="81" t="n">
        <v>15421111</v>
      </c>
      <c r="Q1839" s="81" t="n">
        <v>11.94</v>
      </c>
      <c r="R1839" s="81" t="s">
        <v>1147</v>
      </c>
      <c r="S1839" s="81"/>
      <c r="T1839" s="81"/>
      <c r="U1839" s="83" t="n">
        <v>46253</v>
      </c>
      <c r="V1839" s="83" t="n">
        <v>46253</v>
      </c>
      <c r="W1839" s="81" t="s">
        <v>2240</v>
      </c>
      <c r="X1839" s="81" t="s">
        <v>876</v>
      </c>
      <c r="Y1839" s="83" t="n">
        <v>46260</v>
      </c>
      <c r="Z1839" s="81" t="s">
        <v>2112</v>
      </c>
      <c r="AA1839" s="81" t="s">
        <v>876</v>
      </c>
      <c r="AB1839" s="81"/>
      <c r="AC1839" s="81"/>
      <c r="AD1839" s="81"/>
      <c r="AE1839" s="83"/>
      <c r="AF1839" s="81"/>
      <c r="AG1839" s="81"/>
      <c r="AH1839" s="81"/>
      <c r="AI1839" s="81"/>
      <c r="AJ1839" s="83"/>
      <c r="AK1839" s="81"/>
      <c r="AL1839" s="81"/>
      <c r="AM1839" s="83"/>
      <c r="AN1839" s="80"/>
      <c r="AO1839" s="82" t="n">
        <f aca="false">IF(E1839="","",(AA1839&lt;&gt;"")+(AG1839&lt;&gt;"")+(AL1839&lt;&gt;""))</f>
        <v>1</v>
      </c>
      <c r="AP1839" s="82" t="str">
        <f aca="false">IF(AL1839&lt;&gt;"",AL1839,IF(AG1839&lt;&gt;"",AG1839,IF(AA1839&lt;&gt;"",AA1839,"")))</f>
        <v>A</v>
      </c>
      <c r="AQ1839" s="84" t="str">
        <f aca="false">IF(E1839="","",IF(U1839="","À SOUDER",IF(X1839="","VT EN ATTENTE",IF(X1839="R","VT REJETÉ – À REPRENDRE",IF(AP1839="","À RADIOGRAPHIER",IF(AP1839="A","ACCEPTÉ",IF(AP1839="NX","NX – RT À REFAIRE",IF(IF(AO1839=1,AD1839,IF(AO1839=2,AI1839,""))="A","RÉPARÉ – À RADIOGRAPHIER",IF(IF(AO1839=1,AD1839,IF(AO1839=2,AI1839,""))="R","VT REJETÉ – À REPRENDRE",IF(OR(AP1839="CO",AP1839="NT"),"COUPE – À RESOUDER","À RÉPARER"))))))))))</f>
        <v>ACCEPTÉ</v>
      </c>
      <c r="AR1839" s="82" t="str">
        <f aca="false">IF(AND(ISNUMBER(U1839),OR(AQ1839="À RADIOGRAPHIER",AQ1839="RÉPARÉ – À RADIOGRAPHIER",AQ1839="NX – RT À REFAIRE",AQ1839="À RÉPARER",AQ1839="COUPE – À RESOUDER",AQ1839="VT REJETÉ – À REPRENDRE")),MAX(0,'PROGRAMME RT'!$C$4-U1839),"")</f>
        <v/>
      </c>
      <c r="AS1839" s="82" t="n">
        <f aca="false">IF(AND(OR(AQ1839="À RADIOGRAPHIER",AQ1839="RÉPARÉ – À RADIOGRAPHIER",AQ1839="NX – RT À REFAIRE"),OR('PROGRAMME RT'!$D$5="TOUTES",B1839='PROGRAMME RT'!$D$5)),1,0)</f>
        <v>0</v>
      </c>
      <c r="AT1839" s="82" t="str">
        <f aca="false">IF(AS1839=1,SUM(AS$7:AS1839),"")</f>
        <v/>
      </c>
      <c r="AU1839" s="82" t="n">
        <f aca="false">IF(AND(OR(AA1839="R",AA1839="NX",AA1839="NT",AA1839="CO"),OR('JOINTS DE RÉPARATION'!$D$5="TOUTES",B1839='JOINTS DE RÉPARATION'!$D$5),OR('JOINTS DE RÉPARATION'!$L$4="TOUS",AQ1839&lt;&gt;"ACCEPTÉ")),1,0)</f>
        <v>0</v>
      </c>
      <c r="AV1839" s="82" t="str">
        <f aca="false">IF(AU1839=1,SUM(AU$7:AU1839),"")</f>
        <v/>
      </c>
      <c r="AW1839" s="82" t="str">
        <f aca="false">IF(E1839="","",B1839&amp;"|"&amp;E1839)</f>
        <v>MFD-ISW → MFD-CPF|DJ°051</v>
      </c>
    </row>
    <row r="1840" customFormat="false" ht="74.6" hidden="false" customHeight="false" outlineLevel="0" collapsed="false">
      <c r="A1840" s="79" t="n">
        <f aca="false">IF(E1840="","",ROW()-6)</f>
        <v>1834</v>
      </c>
      <c r="B1840" s="80" t="s">
        <v>110</v>
      </c>
      <c r="C1840" s="81" t="s">
        <v>2202</v>
      </c>
      <c r="D1840" s="81" t="n">
        <v>17</v>
      </c>
      <c r="E1840" s="81" t="s">
        <v>2241</v>
      </c>
      <c r="F1840" s="82" t="str">
        <f aca="false">IF(E1840="","",IF(LEFT(E1840,2)="DJ","DJ","JN"))</f>
        <v>JN</v>
      </c>
      <c r="G1840" s="81" t="s">
        <v>1504</v>
      </c>
      <c r="H1840" s="81" t="s">
        <v>871</v>
      </c>
      <c r="I1840" s="81" t="n">
        <v>9.53</v>
      </c>
      <c r="J1840" s="81" t="s">
        <v>872</v>
      </c>
      <c r="K1840" s="81" t="s">
        <v>879</v>
      </c>
      <c r="L1840" s="81" t="n">
        <v>2094720</v>
      </c>
      <c r="M1840" s="81" t="n">
        <v>15421111</v>
      </c>
      <c r="N1840" s="81" t="n">
        <v>11.94</v>
      </c>
      <c r="O1840" s="81" t="n">
        <v>2091310</v>
      </c>
      <c r="P1840" s="81" t="n">
        <v>15421109</v>
      </c>
      <c r="Q1840" s="81" t="n">
        <v>11.94</v>
      </c>
      <c r="R1840" s="81" t="s">
        <v>2097</v>
      </c>
      <c r="S1840" s="81"/>
      <c r="T1840" s="81"/>
      <c r="U1840" s="83" t="n">
        <v>46270</v>
      </c>
      <c r="V1840" s="83" t="n">
        <v>46270</v>
      </c>
      <c r="W1840" s="81" t="s">
        <v>2238</v>
      </c>
      <c r="X1840" s="81" t="s">
        <v>876</v>
      </c>
      <c r="Y1840" s="83" t="n">
        <v>46278</v>
      </c>
      <c r="Z1840" s="81" t="s">
        <v>2209</v>
      </c>
      <c r="AA1840" s="81" t="s">
        <v>876</v>
      </c>
      <c r="AB1840" s="81"/>
      <c r="AC1840" s="81"/>
      <c r="AD1840" s="81"/>
      <c r="AE1840" s="83"/>
      <c r="AF1840" s="81"/>
      <c r="AG1840" s="81"/>
      <c r="AH1840" s="81"/>
      <c r="AI1840" s="81"/>
      <c r="AJ1840" s="83"/>
      <c r="AK1840" s="81"/>
      <c r="AL1840" s="81"/>
      <c r="AM1840" s="83"/>
      <c r="AN1840" s="80"/>
      <c r="AO1840" s="82" t="n">
        <f aca="false">IF(E1840="","",(AA1840&lt;&gt;"")+(AG1840&lt;&gt;"")+(AL1840&lt;&gt;""))</f>
        <v>1</v>
      </c>
      <c r="AP1840" s="82" t="str">
        <f aca="false">IF(AL1840&lt;&gt;"",AL1840,IF(AG1840&lt;&gt;"",AG1840,IF(AA1840&lt;&gt;"",AA1840,"")))</f>
        <v>A</v>
      </c>
      <c r="AQ1840" s="84" t="str">
        <f aca="false">IF(E1840="","",IF(U1840="","À SOUDER",IF(X1840="","VT EN ATTENTE",IF(X1840="R","VT REJETÉ – À REPRENDRE",IF(AP1840="","À RADIOGRAPHIER",IF(AP1840="A","ACCEPTÉ",IF(AP1840="NX","NX – RT À REFAIRE",IF(IF(AO1840=1,AD1840,IF(AO1840=2,AI1840,""))="A","RÉPARÉ – À RADIOGRAPHIER",IF(IF(AO1840=1,AD1840,IF(AO1840=2,AI1840,""))="R","VT REJETÉ – À REPRENDRE",IF(OR(AP1840="CO",AP1840="NT"),"COUPE – À RESOUDER","À RÉPARER"))))))))))</f>
        <v>ACCEPTÉ</v>
      </c>
      <c r="AR1840" s="82" t="str">
        <f aca="false">IF(AND(ISNUMBER(U1840),OR(AQ1840="À RADIOGRAPHIER",AQ1840="RÉPARÉ – À RADIOGRAPHIER",AQ1840="NX – RT À REFAIRE",AQ1840="À RÉPARER",AQ1840="COUPE – À RESOUDER",AQ1840="VT REJETÉ – À REPRENDRE")),MAX(0,'PROGRAMME RT'!$C$4-U1840),"")</f>
        <v/>
      </c>
      <c r="AS1840" s="82" t="n">
        <f aca="false">IF(AND(OR(AQ1840="À RADIOGRAPHIER",AQ1840="RÉPARÉ – À RADIOGRAPHIER",AQ1840="NX – RT À REFAIRE"),OR('PROGRAMME RT'!$D$5="TOUTES",B1840='PROGRAMME RT'!$D$5)),1,0)</f>
        <v>0</v>
      </c>
      <c r="AT1840" s="82" t="str">
        <f aca="false">IF(AS1840=1,SUM(AS$7:AS1840),"")</f>
        <v/>
      </c>
      <c r="AU1840" s="82" t="n">
        <f aca="false">IF(AND(OR(AA1840="R",AA1840="NX",AA1840="NT",AA1840="CO"),OR('JOINTS DE RÉPARATION'!$D$5="TOUTES",B1840='JOINTS DE RÉPARATION'!$D$5),OR('JOINTS DE RÉPARATION'!$L$4="TOUS",AQ1840&lt;&gt;"ACCEPTÉ")),1,0)</f>
        <v>0</v>
      </c>
      <c r="AV1840" s="82" t="str">
        <f aca="false">IF(AU1840=1,SUM(AU$7:AU1840),"")</f>
        <v/>
      </c>
      <c r="AW1840" s="82" t="str">
        <f aca="false">IF(E1840="","",B1840&amp;"|"&amp;E1840)</f>
        <v>MFD-ISW → MFD-CPF|JN°1435</v>
      </c>
    </row>
    <row r="1841" customFormat="false" ht="74.6" hidden="false" customHeight="false" outlineLevel="0" collapsed="false">
      <c r="A1841" s="79" t="n">
        <f aca="false">IF(E1841="","",ROW()-6)</f>
        <v>1835</v>
      </c>
      <c r="B1841" s="80" t="s">
        <v>110</v>
      </c>
      <c r="C1841" s="81" t="s">
        <v>2202</v>
      </c>
      <c r="D1841" s="81" t="n">
        <v>17</v>
      </c>
      <c r="E1841" s="81" t="s">
        <v>2242</v>
      </c>
      <c r="F1841" s="82" t="str">
        <f aca="false">IF(E1841="","",IF(LEFT(E1841,2)="DJ","DJ","JN"))</f>
        <v>DJ</v>
      </c>
      <c r="G1841" s="81"/>
      <c r="H1841" s="81" t="s">
        <v>871</v>
      </c>
      <c r="I1841" s="81" t="n">
        <v>9.53</v>
      </c>
      <c r="J1841" s="81" t="s">
        <v>872</v>
      </c>
      <c r="K1841" s="81" t="s">
        <v>873</v>
      </c>
      <c r="L1841" s="81" t="n">
        <v>2088630</v>
      </c>
      <c r="M1841" s="81" t="n">
        <v>15421108</v>
      </c>
      <c r="N1841" s="81" t="n">
        <v>11.95</v>
      </c>
      <c r="O1841" s="81" t="n">
        <v>2091310</v>
      </c>
      <c r="P1841" s="81" t="n">
        <v>15421109</v>
      </c>
      <c r="Q1841" s="81" t="n">
        <v>11.94</v>
      </c>
      <c r="R1841" s="81" t="s">
        <v>1135</v>
      </c>
      <c r="S1841" s="81"/>
      <c r="T1841" s="81"/>
      <c r="U1841" s="83" t="n">
        <v>46248</v>
      </c>
      <c r="V1841" s="83" t="n">
        <v>46248</v>
      </c>
      <c r="W1841" s="81" t="s">
        <v>2243</v>
      </c>
      <c r="X1841" s="81" t="s">
        <v>876</v>
      </c>
      <c r="Y1841" s="83" t="n">
        <v>46249</v>
      </c>
      <c r="Z1841" s="81" t="s">
        <v>2244</v>
      </c>
      <c r="AA1841" s="81" t="s">
        <v>876</v>
      </c>
      <c r="AB1841" s="81"/>
      <c r="AC1841" s="81"/>
      <c r="AD1841" s="81"/>
      <c r="AE1841" s="83"/>
      <c r="AF1841" s="81"/>
      <c r="AG1841" s="81"/>
      <c r="AH1841" s="81"/>
      <c r="AI1841" s="81"/>
      <c r="AJ1841" s="83"/>
      <c r="AK1841" s="81"/>
      <c r="AL1841" s="81"/>
      <c r="AM1841" s="83"/>
      <c r="AN1841" s="80"/>
      <c r="AO1841" s="82" t="n">
        <f aca="false">IF(E1841="","",(AA1841&lt;&gt;"")+(AG1841&lt;&gt;"")+(AL1841&lt;&gt;""))</f>
        <v>1</v>
      </c>
      <c r="AP1841" s="82" t="str">
        <f aca="false">IF(AL1841&lt;&gt;"",AL1841,IF(AG1841&lt;&gt;"",AG1841,IF(AA1841&lt;&gt;"",AA1841,"")))</f>
        <v>A</v>
      </c>
      <c r="AQ1841" s="84" t="str">
        <f aca="false">IF(E1841="","",IF(U1841="","À SOUDER",IF(X1841="","VT EN ATTENTE",IF(X1841="R","VT REJETÉ – À REPRENDRE",IF(AP1841="","À RADIOGRAPHIER",IF(AP1841="A","ACCEPTÉ",IF(AP1841="NX","NX – RT À REFAIRE",IF(IF(AO1841=1,AD1841,IF(AO1841=2,AI1841,""))="A","RÉPARÉ – À RADIOGRAPHIER",IF(IF(AO1841=1,AD1841,IF(AO1841=2,AI1841,""))="R","VT REJETÉ – À REPRENDRE",IF(OR(AP1841="CO",AP1841="NT"),"COUPE – À RESOUDER","À RÉPARER"))))))))))</f>
        <v>ACCEPTÉ</v>
      </c>
      <c r="AR1841" s="82" t="str">
        <f aca="false">IF(AND(ISNUMBER(U1841),OR(AQ1841="À RADIOGRAPHIER",AQ1841="RÉPARÉ – À RADIOGRAPHIER",AQ1841="NX – RT À REFAIRE",AQ1841="À RÉPARER",AQ1841="COUPE – À RESOUDER",AQ1841="VT REJETÉ – À REPRENDRE")),MAX(0,'PROGRAMME RT'!$C$4-U1841),"")</f>
        <v/>
      </c>
      <c r="AS1841" s="82" t="n">
        <f aca="false">IF(AND(OR(AQ1841="À RADIOGRAPHIER",AQ1841="RÉPARÉ – À RADIOGRAPHIER",AQ1841="NX – RT À REFAIRE"),OR('PROGRAMME RT'!$D$5="TOUTES",B1841='PROGRAMME RT'!$D$5)),1,0)</f>
        <v>0</v>
      </c>
      <c r="AT1841" s="82" t="str">
        <f aca="false">IF(AS1841=1,SUM(AS$7:AS1841),"")</f>
        <v/>
      </c>
      <c r="AU1841" s="82" t="n">
        <f aca="false">IF(AND(OR(AA1841="R",AA1841="NX",AA1841="NT",AA1841="CO"),OR('JOINTS DE RÉPARATION'!$D$5="TOUTES",B1841='JOINTS DE RÉPARATION'!$D$5),OR('JOINTS DE RÉPARATION'!$L$4="TOUS",AQ1841&lt;&gt;"ACCEPTÉ")),1,0)</f>
        <v>0</v>
      </c>
      <c r="AV1841" s="82" t="str">
        <f aca="false">IF(AU1841=1,SUM(AU$7:AU1841),"")</f>
        <v/>
      </c>
      <c r="AW1841" s="82" t="str">
        <f aca="false">IF(E1841="","",B1841&amp;"|"&amp;E1841)</f>
        <v>MFD-ISW → MFD-CPF|DJ°004</v>
      </c>
    </row>
    <row r="1842" customFormat="false" ht="74.6" hidden="false" customHeight="false" outlineLevel="0" collapsed="false">
      <c r="A1842" s="79" t="n">
        <f aca="false">IF(E1842="","",ROW()-6)</f>
        <v>1836</v>
      </c>
      <c r="B1842" s="80" t="s">
        <v>110</v>
      </c>
      <c r="C1842" s="81" t="s">
        <v>2202</v>
      </c>
      <c r="D1842" s="81" t="n">
        <v>17</v>
      </c>
      <c r="E1842" s="81" t="s">
        <v>2245</v>
      </c>
      <c r="F1842" s="82" t="str">
        <f aca="false">IF(E1842="","",IF(LEFT(E1842,2)="DJ","DJ","JN"))</f>
        <v>JN</v>
      </c>
      <c r="G1842" s="81" t="s">
        <v>1504</v>
      </c>
      <c r="H1842" s="81" t="s">
        <v>871</v>
      </c>
      <c r="I1842" s="81" t="n">
        <v>9.53</v>
      </c>
      <c r="J1842" s="81" t="s">
        <v>872</v>
      </c>
      <c r="K1842" s="81" t="s">
        <v>879</v>
      </c>
      <c r="L1842" s="81" t="n">
        <v>2088630</v>
      </c>
      <c r="M1842" s="81" t="n">
        <v>15421108</v>
      </c>
      <c r="N1842" s="81" t="n">
        <v>11.94</v>
      </c>
      <c r="O1842" s="81" t="n">
        <v>2085110</v>
      </c>
      <c r="P1842" s="81" t="n">
        <v>15421106</v>
      </c>
      <c r="Q1842" s="81" t="n">
        <v>11.94</v>
      </c>
      <c r="R1842" s="81" t="s">
        <v>2097</v>
      </c>
      <c r="S1842" s="81"/>
      <c r="T1842" s="81"/>
      <c r="U1842" s="83" t="n">
        <v>46270</v>
      </c>
      <c r="V1842" s="83" t="n">
        <v>46270</v>
      </c>
      <c r="W1842" s="81" t="s">
        <v>2238</v>
      </c>
      <c r="X1842" s="81" t="s">
        <v>876</v>
      </c>
      <c r="Y1842" s="83" t="n">
        <v>46278</v>
      </c>
      <c r="Z1842" s="81" t="s">
        <v>2246</v>
      </c>
      <c r="AA1842" s="81" t="s">
        <v>876</v>
      </c>
      <c r="AB1842" s="81"/>
      <c r="AC1842" s="81"/>
      <c r="AD1842" s="81"/>
      <c r="AE1842" s="83"/>
      <c r="AF1842" s="81"/>
      <c r="AG1842" s="81"/>
      <c r="AH1842" s="81"/>
      <c r="AI1842" s="81"/>
      <c r="AJ1842" s="83"/>
      <c r="AK1842" s="81"/>
      <c r="AL1842" s="81"/>
      <c r="AM1842" s="83"/>
      <c r="AN1842" s="80"/>
      <c r="AO1842" s="82" t="n">
        <f aca="false">IF(E1842="","",(AA1842&lt;&gt;"")+(AG1842&lt;&gt;"")+(AL1842&lt;&gt;""))</f>
        <v>1</v>
      </c>
      <c r="AP1842" s="82" t="str">
        <f aca="false">IF(AL1842&lt;&gt;"",AL1842,IF(AG1842&lt;&gt;"",AG1842,IF(AA1842&lt;&gt;"",AA1842,"")))</f>
        <v>A</v>
      </c>
      <c r="AQ1842" s="84" t="str">
        <f aca="false">IF(E1842="","",IF(U1842="","À SOUDER",IF(X1842="","VT EN ATTENTE",IF(X1842="R","VT REJETÉ – À REPRENDRE",IF(AP1842="","À RADIOGRAPHIER",IF(AP1842="A","ACCEPTÉ",IF(AP1842="NX","NX – RT À REFAIRE",IF(IF(AO1842=1,AD1842,IF(AO1842=2,AI1842,""))="A","RÉPARÉ – À RADIOGRAPHIER",IF(IF(AO1842=1,AD1842,IF(AO1842=2,AI1842,""))="R","VT REJETÉ – À REPRENDRE",IF(OR(AP1842="CO",AP1842="NT"),"COUPE – À RESOUDER","À RÉPARER"))))))))))</f>
        <v>ACCEPTÉ</v>
      </c>
      <c r="AR1842" s="82" t="str">
        <f aca="false">IF(AND(ISNUMBER(U1842),OR(AQ1842="À RADIOGRAPHIER",AQ1842="RÉPARÉ – À RADIOGRAPHIER",AQ1842="NX – RT À REFAIRE",AQ1842="À RÉPARER",AQ1842="COUPE – À RESOUDER",AQ1842="VT REJETÉ – À REPRENDRE")),MAX(0,'PROGRAMME RT'!$C$4-U1842),"")</f>
        <v/>
      </c>
      <c r="AS1842" s="82" t="n">
        <f aca="false">IF(AND(OR(AQ1842="À RADIOGRAPHIER",AQ1842="RÉPARÉ – À RADIOGRAPHIER",AQ1842="NX – RT À REFAIRE"),OR('PROGRAMME RT'!$D$5="TOUTES",B1842='PROGRAMME RT'!$D$5)),1,0)</f>
        <v>0</v>
      </c>
      <c r="AT1842" s="82" t="str">
        <f aca="false">IF(AS1842=1,SUM(AS$7:AS1842),"")</f>
        <v/>
      </c>
      <c r="AU1842" s="82" t="n">
        <f aca="false">IF(AND(OR(AA1842="R",AA1842="NX",AA1842="NT",AA1842="CO"),OR('JOINTS DE RÉPARATION'!$D$5="TOUTES",B1842='JOINTS DE RÉPARATION'!$D$5),OR('JOINTS DE RÉPARATION'!$L$4="TOUS",AQ1842&lt;&gt;"ACCEPTÉ")),1,0)</f>
        <v>0</v>
      </c>
      <c r="AV1842" s="82" t="str">
        <f aca="false">IF(AU1842=1,SUM(AU$7:AU1842),"")</f>
        <v/>
      </c>
      <c r="AW1842" s="82" t="str">
        <f aca="false">IF(E1842="","",B1842&amp;"|"&amp;E1842)</f>
        <v>MFD-ISW → MFD-CPF|JN°1436</v>
      </c>
    </row>
    <row r="1843" customFormat="false" ht="74.6" hidden="false" customHeight="false" outlineLevel="0" collapsed="false">
      <c r="A1843" s="79" t="n">
        <f aca="false">IF(E1843="","",ROW()-6)</f>
        <v>1837</v>
      </c>
      <c r="B1843" s="80" t="s">
        <v>110</v>
      </c>
      <c r="C1843" s="81" t="s">
        <v>2202</v>
      </c>
      <c r="D1843" s="81" t="n">
        <v>17</v>
      </c>
      <c r="E1843" s="81" t="s">
        <v>2247</v>
      </c>
      <c r="F1843" s="82" t="str">
        <f aca="false">IF(E1843="","",IF(LEFT(E1843,2)="DJ","DJ","JN"))</f>
        <v>DJ</v>
      </c>
      <c r="G1843" s="81"/>
      <c r="H1843" s="81" t="s">
        <v>871</v>
      </c>
      <c r="I1843" s="81" t="n">
        <v>9.53</v>
      </c>
      <c r="J1843" s="81" t="s">
        <v>872</v>
      </c>
      <c r="K1843" s="81" t="s">
        <v>873</v>
      </c>
      <c r="L1843" s="81" t="n">
        <v>2084740</v>
      </c>
      <c r="M1843" s="81" t="n">
        <v>15421106</v>
      </c>
      <c r="N1843" s="81" t="n">
        <v>11.94</v>
      </c>
      <c r="O1843" s="81" t="n">
        <v>2085110</v>
      </c>
      <c r="P1843" s="81" t="n">
        <v>15421106</v>
      </c>
      <c r="Q1843" s="81" t="n">
        <v>11.94</v>
      </c>
      <c r="R1843" s="81" t="s">
        <v>899</v>
      </c>
      <c r="S1843" s="81"/>
      <c r="T1843" s="81"/>
      <c r="U1843" s="83" t="n">
        <v>46250</v>
      </c>
      <c r="V1843" s="83" t="n">
        <v>46250</v>
      </c>
      <c r="W1843" s="81" t="s">
        <v>2221</v>
      </c>
      <c r="X1843" s="81" t="s">
        <v>876</v>
      </c>
      <c r="Y1843" s="83" t="n">
        <v>46252</v>
      </c>
      <c r="Z1843" s="81" t="s">
        <v>2222</v>
      </c>
      <c r="AA1843" s="81" t="s">
        <v>876</v>
      </c>
      <c r="AB1843" s="81"/>
      <c r="AC1843" s="81"/>
      <c r="AD1843" s="81"/>
      <c r="AE1843" s="83"/>
      <c r="AF1843" s="81"/>
      <c r="AG1843" s="81"/>
      <c r="AH1843" s="81"/>
      <c r="AI1843" s="81"/>
      <c r="AJ1843" s="83"/>
      <c r="AK1843" s="81"/>
      <c r="AL1843" s="81"/>
      <c r="AM1843" s="83"/>
      <c r="AN1843" s="80"/>
      <c r="AO1843" s="82" t="n">
        <f aca="false">IF(E1843="","",(AA1843&lt;&gt;"")+(AG1843&lt;&gt;"")+(AL1843&lt;&gt;""))</f>
        <v>1</v>
      </c>
      <c r="AP1843" s="82" t="str">
        <f aca="false">IF(AL1843&lt;&gt;"",AL1843,IF(AG1843&lt;&gt;"",AG1843,IF(AA1843&lt;&gt;"",AA1843,"")))</f>
        <v>A</v>
      </c>
      <c r="AQ1843" s="84" t="str">
        <f aca="false">IF(E1843="","",IF(U1843="","À SOUDER",IF(X1843="","VT EN ATTENTE",IF(X1843="R","VT REJETÉ – À REPRENDRE",IF(AP1843="","À RADIOGRAPHIER",IF(AP1843="A","ACCEPTÉ",IF(AP1843="NX","NX – RT À REFAIRE",IF(IF(AO1843=1,AD1843,IF(AO1843=2,AI1843,""))="A","RÉPARÉ – À RADIOGRAPHIER",IF(IF(AO1843=1,AD1843,IF(AO1843=2,AI1843,""))="R","VT REJETÉ – À REPRENDRE",IF(OR(AP1843="CO",AP1843="NT"),"COUPE – À RESOUDER","À RÉPARER"))))))))))</f>
        <v>ACCEPTÉ</v>
      </c>
      <c r="AR1843" s="82" t="str">
        <f aca="false">IF(AND(ISNUMBER(U1843),OR(AQ1843="À RADIOGRAPHIER",AQ1843="RÉPARÉ – À RADIOGRAPHIER",AQ1843="NX – RT À REFAIRE",AQ1843="À RÉPARER",AQ1843="COUPE – À RESOUDER",AQ1843="VT REJETÉ – À REPRENDRE")),MAX(0,'PROGRAMME RT'!$C$4-U1843),"")</f>
        <v/>
      </c>
      <c r="AS1843" s="82" t="n">
        <f aca="false">IF(AND(OR(AQ1843="À RADIOGRAPHIER",AQ1843="RÉPARÉ – À RADIOGRAPHIER",AQ1843="NX – RT À REFAIRE"),OR('PROGRAMME RT'!$D$5="TOUTES",B1843='PROGRAMME RT'!$D$5)),1,0)</f>
        <v>0</v>
      </c>
      <c r="AT1843" s="82" t="str">
        <f aca="false">IF(AS1843=1,SUM(AS$7:AS1843),"")</f>
        <v/>
      </c>
      <c r="AU1843" s="82" t="n">
        <f aca="false">IF(AND(OR(AA1843="R",AA1843="NX",AA1843="NT",AA1843="CO"),OR('JOINTS DE RÉPARATION'!$D$5="TOUTES",B1843='JOINTS DE RÉPARATION'!$D$5),OR('JOINTS DE RÉPARATION'!$L$4="TOUS",AQ1843&lt;&gt;"ACCEPTÉ")),1,0)</f>
        <v>0</v>
      </c>
      <c r="AV1843" s="82" t="str">
        <f aca="false">IF(AU1843=1,SUM(AU$7:AU1843),"")</f>
        <v/>
      </c>
      <c r="AW1843" s="82" t="str">
        <f aca="false">IF(E1843="","",B1843&amp;"|"&amp;E1843)</f>
        <v>MFD-ISW → MFD-CPF|DJ°026</v>
      </c>
    </row>
    <row r="1844" customFormat="false" ht="74.6" hidden="false" customHeight="false" outlineLevel="0" collapsed="false">
      <c r="A1844" s="79" t="n">
        <f aca="false">IF(E1844="","",ROW()-6)</f>
        <v>1838</v>
      </c>
      <c r="B1844" s="80" t="s">
        <v>110</v>
      </c>
      <c r="C1844" s="81" t="s">
        <v>2202</v>
      </c>
      <c r="D1844" s="81" t="n">
        <v>17</v>
      </c>
      <c r="E1844" s="81" t="s">
        <v>2248</v>
      </c>
      <c r="F1844" s="82" t="str">
        <f aca="false">IF(E1844="","",IF(LEFT(E1844,2)="DJ","DJ","JN"))</f>
        <v>JN</v>
      </c>
      <c r="G1844" s="81" t="s">
        <v>1504</v>
      </c>
      <c r="H1844" s="81" t="s">
        <v>871</v>
      </c>
      <c r="I1844" s="81" t="n">
        <v>9.53</v>
      </c>
      <c r="J1844" s="81" t="s">
        <v>872</v>
      </c>
      <c r="K1844" s="81" t="s">
        <v>2205</v>
      </c>
      <c r="L1844" s="81" t="n">
        <v>2084740</v>
      </c>
      <c r="M1844" s="81" t="n">
        <v>15421106</v>
      </c>
      <c r="N1844" s="81" t="n">
        <v>11.94</v>
      </c>
      <c r="O1844" s="81" t="n">
        <v>2079900</v>
      </c>
      <c r="P1844" s="81" t="n">
        <v>15421102</v>
      </c>
      <c r="Q1844" s="81" t="n">
        <v>11.94</v>
      </c>
      <c r="R1844" s="81" t="s">
        <v>1884</v>
      </c>
      <c r="S1844" s="81"/>
      <c r="T1844" s="81"/>
      <c r="U1844" s="83" t="n">
        <v>46289</v>
      </c>
      <c r="V1844" s="83" t="n">
        <v>46289</v>
      </c>
      <c r="W1844" s="81" t="s">
        <v>1984</v>
      </c>
      <c r="X1844" s="81" t="s">
        <v>876</v>
      </c>
      <c r="Y1844" s="83"/>
      <c r="Z1844" s="81"/>
      <c r="AA1844" s="81"/>
      <c r="AB1844" s="81" t="s">
        <v>2249</v>
      </c>
      <c r="AC1844" s="81"/>
      <c r="AD1844" s="81"/>
      <c r="AE1844" s="83"/>
      <c r="AF1844" s="81"/>
      <c r="AG1844" s="81"/>
      <c r="AH1844" s="81"/>
      <c r="AI1844" s="81"/>
      <c r="AJ1844" s="83"/>
      <c r="AK1844" s="81"/>
      <c r="AL1844" s="81"/>
      <c r="AM1844" s="83"/>
      <c r="AN1844" s="80"/>
      <c r="AO1844" s="82" t="n">
        <f aca="false">IF(E1844="","",(AA1844&lt;&gt;"")+(AG1844&lt;&gt;"")+(AL1844&lt;&gt;""))</f>
        <v>0</v>
      </c>
      <c r="AP1844" s="82" t="str">
        <f aca="false">IF(AL1844&lt;&gt;"",AL1844,IF(AG1844&lt;&gt;"",AG1844,IF(AA1844&lt;&gt;"",AA1844,"")))</f>
        <v/>
      </c>
      <c r="AQ1844" s="84" t="str">
        <f aca="false">IF(E1844="","",IF(U1844="","À SOUDER",IF(X1844="","VT EN ATTENTE",IF(X1844="R","VT REJETÉ – À REPRENDRE",IF(AP1844="","À RADIOGRAPHIER",IF(AP1844="A","ACCEPTÉ",IF(AP1844="NX","NX – RT À REFAIRE",IF(IF(AO1844=1,AD1844,IF(AO1844=2,AI1844,""))="A","RÉPARÉ – À RADIOGRAPHIER",IF(IF(AO1844=1,AD1844,IF(AO1844=2,AI1844,""))="R","VT REJETÉ – À REPRENDRE",IF(OR(AP1844="CO",AP1844="NT"),"COUPE – À RESOUDER","À RÉPARER"))))))))))</f>
        <v>À RADIOGRAPHIER</v>
      </c>
      <c r="AR1844" s="82" t="n">
        <f aca="false">IF(AND(ISNUMBER(U1844),OR(AQ1844="À RADIOGRAPHIER",AQ1844="RÉPARÉ – À RADIOGRAPHIER",AQ1844="NX – RT À REFAIRE",AQ1844="À RÉPARER",AQ1844="COUPE – À RESOUDER",AQ1844="VT REJETÉ – À REPRENDRE")),MAX(0,'PROGRAMME RT'!$C$4-U1844),"")</f>
        <v>4</v>
      </c>
      <c r="AS1844" s="82" t="n">
        <f aca="false">IF(AND(OR(AQ1844="À RADIOGRAPHIER",AQ1844="RÉPARÉ – À RADIOGRAPHIER",AQ1844="NX – RT À REFAIRE"),OR('PROGRAMME RT'!$D$5="TOUTES",B1844='PROGRAMME RT'!$D$5)),1,0)</f>
        <v>1</v>
      </c>
      <c r="AT1844" s="82" t="n">
        <f aca="false">IF(AS1844=1,SUM(AS$7:AS1844),"")</f>
        <v>93</v>
      </c>
      <c r="AU1844" s="82" t="n">
        <f aca="false">IF(AND(OR(AA1844="R",AA1844="NX",AA1844="NT",AA1844="CO"),OR('JOINTS DE RÉPARATION'!$D$5="TOUTES",B1844='JOINTS DE RÉPARATION'!$D$5),OR('JOINTS DE RÉPARATION'!$L$4="TOUS",AQ1844&lt;&gt;"ACCEPTÉ")),1,0)</f>
        <v>0</v>
      </c>
      <c r="AV1844" s="82" t="str">
        <f aca="false">IF(AU1844=1,SUM(AU$7:AU1844),"")</f>
        <v/>
      </c>
      <c r="AW1844" s="82" t="str">
        <f aca="false">IF(E1844="","",B1844&amp;"|"&amp;E1844)</f>
        <v>MFD-ISW → MFD-CPF|JN°1437R</v>
      </c>
    </row>
    <row r="1845" customFormat="false" ht="74.6" hidden="false" customHeight="false" outlineLevel="0" collapsed="false">
      <c r="A1845" s="79" t="n">
        <f aca="false">IF(E1845="","",ROW()-6)</f>
        <v>1839</v>
      </c>
      <c r="B1845" s="80" t="s">
        <v>110</v>
      </c>
      <c r="C1845" s="81" t="s">
        <v>2202</v>
      </c>
      <c r="D1845" s="81" t="n">
        <v>17</v>
      </c>
      <c r="E1845" s="81" t="s">
        <v>2250</v>
      </c>
      <c r="F1845" s="82" t="str">
        <f aca="false">IF(E1845="","",IF(LEFT(E1845,2)="DJ","DJ","JN"))</f>
        <v>DJ</v>
      </c>
      <c r="G1845" s="81"/>
      <c r="H1845" s="81" t="s">
        <v>871</v>
      </c>
      <c r="I1845" s="81" t="n">
        <v>9.53</v>
      </c>
      <c r="J1845" s="81" t="s">
        <v>872</v>
      </c>
      <c r="K1845" s="81" t="s">
        <v>873</v>
      </c>
      <c r="L1845" s="81" t="n">
        <v>2079900</v>
      </c>
      <c r="M1845" s="81" t="n">
        <v>15421102</v>
      </c>
      <c r="N1845" s="81" t="n">
        <v>11.94</v>
      </c>
      <c r="O1845" s="81" t="n">
        <v>2095390</v>
      </c>
      <c r="P1845" s="81" t="n">
        <v>15421111</v>
      </c>
      <c r="Q1845" s="81" t="n">
        <v>11.94</v>
      </c>
      <c r="R1845" s="81" t="s">
        <v>1147</v>
      </c>
      <c r="S1845" s="81"/>
      <c r="T1845" s="81"/>
      <c r="U1845" s="83" t="n">
        <v>46250</v>
      </c>
      <c r="V1845" s="83" t="n">
        <v>46250</v>
      </c>
      <c r="W1845" s="81" t="s">
        <v>2221</v>
      </c>
      <c r="X1845" s="81" t="s">
        <v>876</v>
      </c>
      <c r="Y1845" s="83" t="n">
        <v>46252</v>
      </c>
      <c r="Z1845" s="81" t="s">
        <v>2222</v>
      </c>
      <c r="AA1845" s="81" t="s">
        <v>876</v>
      </c>
      <c r="AB1845" s="81"/>
      <c r="AC1845" s="81"/>
      <c r="AD1845" s="81"/>
      <c r="AE1845" s="83"/>
      <c r="AF1845" s="81"/>
      <c r="AG1845" s="81"/>
      <c r="AH1845" s="81"/>
      <c r="AI1845" s="81"/>
      <c r="AJ1845" s="83"/>
      <c r="AK1845" s="81"/>
      <c r="AL1845" s="81"/>
      <c r="AM1845" s="83"/>
      <c r="AN1845" s="80"/>
      <c r="AO1845" s="82" t="n">
        <f aca="false">IF(E1845="","",(AA1845&lt;&gt;"")+(AG1845&lt;&gt;"")+(AL1845&lt;&gt;""))</f>
        <v>1</v>
      </c>
      <c r="AP1845" s="82" t="str">
        <f aca="false">IF(AL1845&lt;&gt;"",AL1845,IF(AG1845&lt;&gt;"",AG1845,IF(AA1845&lt;&gt;"",AA1845,"")))</f>
        <v>A</v>
      </c>
      <c r="AQ1845" s="84" t="str">
        <f aca="false">IF(E1845="","",IF(U1845="","À SOUDER",IF(X1845="","VT EN ATTENTE",IF(X1845="R","VT REJETÉ – À REPRENDRE",IF(AP1845="","À RADIOGRAPHIER",IF(AP1845="A","ACCEPTÉ",IF(AP1845="NX","NX – RT À REFAIRE",IF(IF(AO1845=1,AD1845,IF(AO1845=2,AI1845,""))="A","RÉPARÉ – À RADIOGRAPHIER",IF(IF(AO1845=1,AD1845,IF(AO1845=2,AI1845,""))="R","VT REJETÉ – À REPRENDRE",IF(OR(AP1845="CO",AP1845="NT"),"COUPE – À RESOUDER","À RÉPARER"))))))))))</f>
        <v>ACCEPTÉ</v>
      </c>
      <c r="AR1845" s="82" t="str">
        <f aca="false">IF(AND(ISNUMBER(U1845),OR(AQ1845="À RADIOGRAPHIER",AQ1845="RÉPARÉ – À RADIOGRAPHIER",AQ1845="NX – RT À REFAIRE",AQ1845="À RÉPARER",AQ1845="COUPE – À RESOUDER",AQ1845="VT REJETÉ – À REPRENDRE")),MAX(0,'PROGRAMME RT'!$C$4-U1845),"")</f>
        <v/>
      </c>
      <c r="AS1845" s="82" t="n">
        <f aca="false">IF(AND(OR(AQ1845="À RADIOGRAPHIER",AQ1845="RÉPARÉ – À RADIOGRAPHIER",AQ1845="NX – RT À REFAIRE"),OR('PROGRAMME RT'!$D$5="TOUTES",B1845='PROGRAMME RT'!$D$5)),1,0)</f>
        <v>0</v>
      </c>
      <c r="AT1845" s="82" t="str">
        <f aca="false">IF(AS1845=1,SUM(AS$7:AS1845),"")</f>
        <v/>
      </c>
      <c r="AU1845" s="82" t="n">
        <f aca="false">IF(AND(OR(AA1845="R",AA1845="NX",AA1845="NT",AA1845="CO"),OR('JOINTS DE RÉPARATION'!$D$5="TOUTES",B1845='JOINTS DE RÉPARATION'!$D$5),OR('JOINTS DE RÉPARATION'!$L$4="TOUS",AQ1845&lt;&gt;"ACCEPTÉ")),1,0)</f>
        <v>0</v>
      </c>
      <c r="AV1845" s="82" t="str">
        <f aca="false">IF(AU1845=1,SUM(AU$7:AU1845),"")</f>
        <v/>
      </c>
      <c r="AW1845" s="82" t="str">
        <f aca="false">IF(E1845="","",B1845&amp;"|"&amp;E1845)</f>
        <v>MFD-ISW → MFD-CPF|DJ°021</v>
      </c>
    </row>
    <row r="1846" customFormat="false" ht="74.6" hidden="false" customHeight="false" outlineLevel="0" collapsed="false">
      <c r="A1846" s="79" t="n">
        <f aca="false">IF(E1846="","",ROW()-6)</f>
        <v>1840</v>
      </c>
      <c r="B1846" s="80" t="s">
        <v>110</v>
      </c>
      <c r="C1846" s="81" t="s">
        <v>926</v>
      </c>
      <c r="D1846" s="81" t="n">
        <v>17</v>
      </c>
      <c r="E1846" s="81" t="s">
        <v>2251</v>
      </c>
      <c r="F1846" s="82" t="str">
        <f aca="false">IF(E1846="","",IF(LEFT(E1846,2)="DJ","DJ","JN"))</f>
        <v>JN</v>
      </c>
      <c r="G1846" s="81"/>
      <c r="H1846" s="81"/>
      <c r="I1846" s="81"/>
      <c r="J1846" s="81"/>
      <c r="K1846" s="81"/>
      <c r="L1846" s="81" t="s">
        <v>1270</v>
      </c>
      <c r="M1846" s="81"/>
      <c r="N1846" s="81"/>
      <c r="O1846" s="81"/>
      <c r="P1846" s="81"/>
      <c r="Q1846" s="81"/>
      <c r="R1846" s="81"/>
      <c r="S1846" s="81"/>
      <c r="T1846" s="81"/>
      <c r="U1846" s="83"/>
      <c r="V1846" s="83"/>
      <c r="W1846" s="81"/>
      <c r="X1846" s="81"/>
      <c r="Y1846" s="83"/>
      <c r="Z1846" s="81"/>
      <c r="AA1846" s="81"/>
      <c r="AB1846" s="81"/>
      <c r="AC1846" s="81"/>
      <c r="AD1846" s="81"/>
      <c r="AE1846" s="83"/>
      <c r="AF1846" s="81"/>
      <c r="AG1846" s="81"/>
      <c r="AH1846" s="81"/>
      <c r="AI1846" s="81"/>
      <c r="AJ1846" s="83"/>
      <c r="AK1846" s="81"/>
      <c r="AL1846" s="81"/>
      <c r="AM1846" s="83"/>
      <c r="AN1846" s="80"/>
      <c r="AO1846" s="82" t="n">
        <f aca="false">IF(E1846="","",(AA1846&lt;&gt;"")+(AG1846&lt;&gt;"")+(AL1846&lt;&gt;""))</f>
        <v>0</v>
      </c>
      <c r="AP1846" s="82" t="str">
        <f aca="false">IF(AL1846&lt;&gt;"",AL1846,IF(AG1846&lt;&gt;"",AG1846,IF(AA1846&lt;&gt;"",AA1846,"")))</f>
        <v/>
      </c>
      <c r="AQ1846" s="84" t="str">
        <f aca="false">IF(E1846="","",IF(U1846="","À SOUDER",IF(X1846="","VT EN ATTENTE",IF(X1846="R","VT REJETÉ – À REPRENDRE",IF(AP1846="","À RADIOGRAPHIER",IF(AP1846="A","ACCEPTÉ",IF(AP1846="NX","NX – RT À REFAIRE",IF(IF(AO1846=1,AD1846,IF(AO1846=2,AI1846,""))="A","RÉPARÉ – À RADIOGRAPHIER",IF(IF(AO1846=1,AD1846,IF(AO1846=2,AI1846,""))="R","VT REJETÉ – À REPRENDRE",IF(OR(AP1846="CO",AP1846="NT"),"COUPE – À RESOUDER","À RÉPARER"))))))))))</f>
        <v>À SOUDER</v>
      </c>
      <c r="AR1846" s="82" t="str">
        <f aca="false">IF(AND(ISNUMBER(U1846),OR(AQ1846="À RADIOGRAPHIER",AQ1846="RÉPARÉ – À RADIOGRAPHIER",AQ1846="NX – RT À REFAIRE",AQ1846="À RÉPARER",AQ1846="COUPE – À RESOUDER",AQ1846="VT REJETÉ – À REPRENDRE")),MAX(0,'PROGRAMME RT'!$C$4-U1846),"")</f>
        <v/>
      </c>
      <c r="AS1846" s="82" t="n">
        <f aca="false">IF(AND(OR(AQ1846="À RADIOGRAPHIER",AQ1846="RÉPARÉ – À RADIOGRAPHIER",AQ1846="NX – RT À REFAIRE"),OR('PROGRAMME RT'!$D$5="TOUTES",B1846='PROGRAMME RT'!$D$5)),1,0)</f>
        <v>0</v>
      </c>
      <c r="AT1846" s="82" t="str">
        <f aca="false">IF(AS1846=1,SUM(AS$7:AS1846),"")</f>
        <v/>
      </c>
      <c r="AU1846" s="82" t="n">
        <f aca="false">IF(AND(OR(AA1846="R",AA1846="NX",AA1846="NT",AA1846="CO"),OR('JOINTS DE RÉPARATION'!$D$5="TOUTES",B1846='JOINTS DE RÉPARATION'!$D$5),OR('JOINTS DE RÉPARATION'!$L$4="TOUS",AQ1846&lt;&gt;"ACCEPTÉ")),1,0)</f>
        <v>0</v>
      </c>
      <c r="AV1846" s="82" t="str">
        <f aca="false">IF(AU1846=1,SUM(AU$7:AU1846),"")</f>
        <v/>
      </c>
      <c r="AW1846" s="82" t="str">
        <f aca="false">IF(E1846="","",B1846&amp;"|"&amp;E1846)</f>
        <v>MFD-ISW → MFD-CPF|JN°1438</v>
      </c>
    </row>
    <row r="1847" customFormat="false" ht="74.6" hidden="false" customHeight="false" outlineLevel="0" collapsed="false">
      <c r="A1847" s="79" t="n">
        <f aca="false">IF(E1847="","",ROW()-6)</f>
        <v>1841</v>
      </c>
      <c r="B1847" s="80" t="s">
        <v>110</v>
      </c>
      <c r="C1847" s="81" t="s">
        <v>926</v>
      </c>
      <c r="D1847" s="81" t="n">
        <v>17</v>
      </c>
      <c r="E1847" s="81" t="s">
        <v>2252</v>
      </c>
      <c r="F1847" s="82" t="str">
        <f aca="false">IF(E1847="","",IF(LEFT(E1847,2)="DJ","DJ","JN"))</f>
        <v>JN</v>
      </c>
      <c r="G1847" s="81"/>
      <c r="H1847" s="81"/>
      <c r="I1847" s="81"/>
      <c r="J1847" s="81"/>
      <c r="K1847" s="81"/>
      <c r="L1847" s="81" t="s">
        <v>1270</v>
      </c>
      <c r="M1847" s="81"/>
      <c r="N1847" s="81"/>
      <c r="O1847" s="81"/>
      <c r="P1847" s="81"/>
      <c r="Q1847" s="81"/>
      <c r="R1847" s="81"/>
      <c r="S1847" s="81"/>
      <c r="T1847" s="81"/>
      <c r="U1847" s="83"/>
      <c r="V1847" s="83"/>
      <c r="W1847" s="81"/>
      <c r="X1847" s="81"/>
      <c r="Y1847" s="83"/>
      <c r="Z1847" s="81"/>
      <c r="AA1847" s="81"/>
      <c r="AB1847" s="81"/>
      <c r="AC1847" s="81"/>
      <c r="AD1847" s="81"/>
      <c r="AE1847" s="83"/>
      <c r="AF1847" s="81"/>
      <c r="AG1847" s="81"/>
      <c r="AH1847" s="81"/>
      <c r="AI1847" s="81"/>
      <c r="AJ1847" s="83"/>
      <c r="AK1847" s="81"/>
      <c r="AL1847" s="81"/>
      <c r="AM1847" s="83"/>
      <c r="AN1847" s="80"/>
      <c r="AO1847" s="82" t="n">
        <f aca="false">IF(E1847="","",(AA1847&lt;&gt;"")+(AG1847&lt;&gt;"")+(AL1847&lt;&gt;""))</f>
        <v>0</v>
      </c>
      <c r="AP1847" s="82" t="str">
        <f aca="false">IF(AL1847&lt;&gt;"",AL1847,IF(AG1847&lt;&gt;"",AG1847,IF(AA1847&lt;&gt;"",AA1847,"")))</f>
        <v/>
      </c>
      <c r="AQ1847" s="84" t="str">
        <f aca="false">IF(E1847="","",IF(U1847="","À SOUDER",IF(X1847="","VT EN ATTENTE",IF(X1847="R","VT REJETÉ – À REPRENDRE",IF(AP1847="","À RADIOGRAPHIER",IF(AP1847="A","ACCEPTÉ",IF(AP1847="NX","NX – RT À REFAIRE",IF(IF(AO1847=1,AD1847,IF(AO1847=2,AI1847,""))="A","RÉPARÉ – À RADIOGRAPHIER",IF(IF(AO1847=1,AD1847,IF(AO1847=2,AI1847,""))="R","VT REJETÉ – À REPRENDRE",IF(OR(AP1847="CO",AP1847="NT"),"COUPE – À RESOUDER","À RÉPARER"))))))))))</f>
        <v>À SOUDER</v>
      </c>
      <c r="AR1847" s="82" t="str">
        <f aca="false">IF(AND(ISNUMBER(U1847),OR(AQ1847="À RADIOGRAPHIER",AQ1847="RÉPARÉ – À RADIOGRAPHIER",AQ1847="NX – RT À REFAIRE",AQ1847="À RÉPARER",AQ1847="COUPE – À RESOUDER",AQ1847="VT REJETÉ – À REPRENDRE")),MAX(0,'PROGRAMME RT'!$C$4-U1847),"")</f>
        <v/>
      </c>
      <c r="AS1847" s="82" t="n">
        <f aca="false">IF(AND(OR(AQ1847="À RADIOGRAPHIER",AQ1847="RÉPARÉ – À RADIOGRAPHIER",AQ1847="NX – RT À REFAIRE"),OR('PROGRAMME RT'!$D$5="TOUTES",B1847='PROGRAMME RT'!$D$5)),1,0)</f>
        <v>0</v>
      </c>
      <c r="AT1847" s="82" t="str">
        <f aca="false">IF(AS1847=1,SUM(AS$7:AS1847),"")</f>
        <v/>
      </c>
      <c r="AU1847" s="82" t="n">
        <f aca="false">IF(AND(OR(AA1847="R",AA1847="NX",AA1847="NT",AA1847="CO"),OR('JOINTS DE RÉPARATION'!$D$5="TOUTES",B1847='JOINTS DE RÉPARATION'!$D$5),OR('JOINTS DE RÉPARATION'!$L$4="TOUS",AQ1847&lt;&gt;"ACCEPTÉ")),1,0)</f>
        <v>0</v>
      </c>
      <c r="AV1847" s="82" t="str">
        <f aca="false">IF(AU1847=1,SUM(AU$7:AU1847),"")</f>
        <v/>
      </c>
      <c r="AW1847" s="82" t="str">
        <f aca="false">IF(E1847="","",B1847&amp;"|"&amp;E1847)</f>
        <v>MFD-ISW → MFD-CPF|JN°1439</v>
      </c>
    </row>
    <row r="1848" customFormat="false" ht="74.6" hidden="false" customHeight="false" outlineLevel="0" collapsed="false">
      <c r="A1848" s="79" t="n">
        <f aca="false">IF(E1848="","",ROW()-6)</f>
        <v>1842</v>
      </c>
      <c r="B1848" s="80" t="s">
        <v>110</v>
      </c>
      <c r="C1848" s="81" t="s">
        <v>926</v>
      </c>
      <c r="D1848" s="81" t="n">
        <v>17</v>
      </c>
      <c r="E1848" s="81" t="s">
        <v>2253</v>
      </c>
      <c r="F1848" s="82" t="str">
        <f aca="false">IF(E1848="","",IF(LEFT(E1848,2)="DJ","DJ","JN"))</f>
        <v>JN</v>
      </c>
      <c r="G1848" s="81"/>
      <c r="H1848" s="81"/>
      <c r="I1848" s="81"/>
      <c r="J1848" s="81"/>
      <c r="K1848" s="81"/>
      <c r="L1848" s="81" t="s">
        <v>1270</v>
      </c>
      <c r="M1848" s="81"/>
      <c r="N1848" s="81"/>
      <c r="O1848" s="81"/>
      <c r="P1848" s="81"/>
      <c r="Q1848" s="81"/>
      <c r="R1848" s="81"/>
      <c r="S1848" s="81"/>
      <c r="T1848" s="81"/>
      <c r="U1848" s="83"/>
      <c r="V1848" s="83"/>
      <c r="W1848" s="81"/>
      <c r="X1848" s="81"/>
      <c r="Y1848" s="83"/>
      <c r="Z1848" s="81"/>
      <c r="AA1848" s="81"/>
      <c r="AB1848" s="81"/>
      <c r="AC1848" s="81"/>
      <c r="AD1848" s="81"/>
      <c r="AE1848" s="83"/>
      <c r="AF1848" s="81"/>
      <c r="AG1848" s="81"/>
      <c r="AH1848" s="81"/>
      <c r="AI1848" s="81"/>
      <c r="AJ1848" s="83"/>
      <c r="AK1848" s="81"/>
      <c r="AL1848" s="81"/>
      <c r="AM1848" s="83"/>
      <c r="AN1848" s="80"/>
      <c r="AO1848" s="82" t="n">
        <f aca="false">IF(E1848="","",(AA1848&lt;&gt;"")+(AG1848&lt;&gt;"")+(AL1848&lt;&gt;""))</f>
        <v>0</v>
      </c>
      <c r="AP1848" s="82" t="str">
        <f aca="false">IF(AL1848&lt;&gt;"",AL1848,IF(AG1848&lt;&gt;"",AG1848,IF(AA1848&lt;&gt;"",AA1848,"")))</f>
        <v/>
      </c>
      <c r="AQ1848" s="84" t="str">
        <f aca="false">IF(E1848="","",IF(U1848="","À SOUDER",IF(X1848="","VT EN ATTENTE",IF(X1848="R","VT REJETÉ – À REPRENDRE",IF(AP1848="","À RADIOGRAPHIER",IF(AP1848="A","ACCEPTÉ",IF(AP1848="NX","NX – RT À REFAIRE",IF(IF(AO1848=1,AD1848,IF(AO1848=2,AI1848,""))="A","RÉPARÉ – À RADIOGRAPHIER",IF(IF(AO1848=1,AD1848,IF(AO1848=2,AI1848,""))="R","VT REJETÉ – À REPRENDRE",IF(OR(AP1848="CO",AP1848="NT"),"COUPE – À RESOUDER","À RÉPARER"))))))))))</f>
        <v>À SOUDER</v>
      </c>
      <c r="AR1848" s="82" t="str">
        <f aca="false">IF(AND(ISNUMBER(U1848),OR(AQ1848="À RADIOGRAPHIER",AQ1848="RÉPARÉ – À RADIOGRAPHIER",AQ1848="NX – RT À REFAIRE",AQ1848="À RÉPARER",AQ1848="COUPE – À RESOUDER",AQ1848="VT REJETÉ – À REPRENDRE")),MAX(0,'PROGRAMME RT'!$C$4-U1848),"")</f>
        <v/>
      </c>
      <c r="AS1848" s="82" t="n">
        <f aca="false">IF(AND(OR(AQ1848="À RADIOGRAPHIER",AQ1848="RÉPARÉ – À RADIOGRAPHIER",AQ1848="NX – RT À REFAIRE"),OR('PROGRAMME RT'!$D$5="TOUTES",B1848='PROGRAMME RT'!$D$5)),1,0)</f>
        <v>0</v>
      </c>
      <c r="AT1848" s="82" t="str">
        <f aca="false">IF(AS1848=1,SUM(AS$7:AS1848),"")</f>
        <v/>
      </c>
      <c r="AU1848" s="82" t="n">
        <f aca="false">IF(AND(OR(AA1848="R",AA1848="NX",AA1848="NT",AA1848="CO"),OR('JOINTS DE RÉPARATION'!$D$5="TOUTES",B1848='JOINTS DE RÉPARATION'!$D$5),OR('JOINTS DE RÉPARATION'!$L$4="TOUS",AQ1848&lt;&gt;"ACCEPTÉ")),1,0)</f>
        <v>0</v>
      </c>
      <c r="AV1848" s="82" t="str">
        <f aca="false">IF(AU1848=1,SUM(AU$7:AU1848),"")</f>
        <v/>
      </c>
      <c r="AW1848" s="82" t="str">
        <f aca="false">IF(E1848="","",B1848&amp;"|"&amp;E1848)</f>
        <v>MFD-ISW → MFD-CPF|JN°1440</v>
      </c>
    </row>
    <row r="1849" customFormat="false" ht="74.6" hidden="false" customHeight="false" outlineLevel="0" collapsed="false">
      <c r="A1849" s="79" t="n">
        <f aca="false">IF(E1849="","",ROW()-6)</f>
        <v>1843</v>
      </c>
      <c r="B1849" s="80" t="s">
        <v>110</v>
      </c>
      <c r="C1849" s="81" t="s">
        <v>926</v>
      </c>
      <c r="D1849" s="81" t="n">
        <v>17</v>
      </c>
      <c r="E1849" s="81" t="s">
        <v>2254</v>
      </c>
      <c r="F1849" s="82" t="str">
        <f aca="false">IF(E1849="","",IF(LEFT(E1849,2)="DJ","DJ","JN"))</f>
        <v>JN</v>
      </c>
      <c r="G1849" s="81"/>
      <c r="H1849" s="81"/>
      <c r="I1849" s="81"/>
      <c r="J1849" s="81"/>
      <c r="K1849" s="81"/>
      <c r="L1849" s="81" t="s">
        <v>1270</v>
      </c>
      <c r="M1849" s="81"/>
      <c r="N1849" s="81"/>
      <c r="O1849" s="81"/>
      <c r="P1849" s="81"/>
      <c r="Q1849" s="81"/>
      <c r="R1849" s="81"/>
      <c r="S1849" s="81"/>
      <c r="T1849" s="81"/>
      <c r="U1849" s="83"/>
      <c r="V1849" s="83"/>
      <c r="W1849" s="81"/>
      <c r="X1849" s="81"/>
      <c r="Y1849" s="83"/>
      <c r="Z1849" s="81"/>
      <c r="AA1849" s="81"/>
      <c r="AB1849" s="81"/>
      <c r="AC1849" s="81"/>
      <c r="AD1849" s="81"/>
      <c r="AE1849" s="83"/>
      <c r="AF1849" s="81"/>
      <c r="AG1849" s="81"/>
      <c r="AH1849" s="81"/>
      <c r="AI1849" s="81"/>
      <c r="AJ1849" s="83"/>
      <c r="AK1849" s="81"/>
      <c r="AL1849" s="81"/>
      <c r="AM1849" s="83"/>
      <c r="AN1849" s="80"/>
      <c r="AO1849" s="82" t="n">
        <f aca="false">IF(E1849="","",(AA1849&lt;&gt;"")+(AG1849&lt;&gt;"")+(AL1849&lt;&gt;""))</f>
        <v>0</v>
      </c>
      <c r="AP1849" s="82" t="str">
        <f aca="false">IF(AL1849&lt;&gt;"",AL1849,IF(AG1849&lt;&gt;"",AG1849,IF(AA1849&lt;&gt;"",AA1849,"")))</f>
        <v/>
      </c>
      <c r="AQ1849" s="84" t="str">
        <f aca="false">IF(E1849="","",IF(U1849="","À SOUDER",IF(X1849="","VT EN ATTENTE",IF(X1849="R","VT REJETÉ – À REPRENDRE",IF(AP1849="","À RADIOGRAPHIER",IF(AP1849="A","ACCEPTÉ",IF(AP1849="NX","NX – RT À REFAIRE",IF(IF(AO1849=1,AD1849,IF(AO1849=2,AI1849,""))="A","RÉPARÉ – À RADIOGRAPHIER",IF(IF(AO1849=1,AD1849,IF(AO1849=2,AI1849,""))="R","VT REJETÉ – À REPRENDRE",IF(OR(AP1849="CO",AP1849="NT"),"COUPE – À RESOUDER","À RÉPARER"))))))))))</f>
        <v>À SOUDER</v>
      </c>
      <c r="AR1849" s="82" t="str">
        <f aca="false">IF(AND(ISNUMBER(U1849),OR(AQ1849="À RADIOGRAPHIER",AQ1849="RÉPARÉ – À RADIOGRAPHIER",AQ1849="NX – RT À REFAIRE",AQ1849="À RÉPARER",AQ1849="COUPE – À RESOUDER",AQ1849="VT REJETÉ – À REPRENDRE")),MAX(0,'PROGRAMME RT'!$C$4-U1849),"")</f>
        <v/>
      </c>
      <c r="AS1849" s="82" t="n">
        <f aca="false">IF(AND(OR(AQ1849="À RADIOGRAPHIER",AQ1849="RÉPARÉ – À RADIOGRAPHIER",AQ1849="NX – RT À REFAIRE"),OR('PROGRAMME RT'!$D$5="TOUTES",B1849='PROGRAMME RT'!$D$5)),1,0)</f>
        <v>0</v>
      </c>
      <c r="AT1849" s="82" t="str">
        <f aca="false">IF(AS1849=1,SUM(AS$7:AS1849),"")</f>
        <v/>
      </c>
      <c r="AU1849" s="82" t="n">
        <f aca="false">IF(AND(OR(AA1849="R",AA1849="NX",AA1849="NT",AA1849="CO"),OR('JOINTS DE RÉPARATION'!$D$5="TOUTES",B1849='JOINTS DE RÉPARATION'!$D$5),OR('JOINTS DE RÉPARATION'!$L$4="TOUS",AQ1849&lt;&gt;"ACCEPTÉ")),1,0)</f>
        <v>0</v>
      </c>
      <c r="AV1849" s="82" t="str">
        <f aca="false">IF(AU1849=1,SUM(AU$7:AU1849),"")</f>
        <v/>
      </c>
      <c r="AW1849" s="82" t="str">
        <f aca="false">IF(E1849="","",B1849&amp;"|"&amp;E1849)</f>
        <v>MFD-ISW → MFD-CPF|JN°1441</v>
      </c>
    </row>
    <row r="1850" customFormat="false" ht="74.6" hidden="false" customHeight="false" outlineLevel="0" collapsed="false">
      <c r="A1850" s="79" t="n">
        <f aca="false">IF(E1850="","",ROW()-6)</f>
        <v>1844</v>
      </c>
      <c r="B1850" s="80" t="s">
        <v>110</v>
      </c>
      <c r="C1850" s="81" t="s">
        <v>926</v>
      </c>
      <c r="D1850" s="81" t="n">
        <v>17</v>
      </c>
      <c r="E1850" s="81" t="s">
        <v>2255</v>
      </c>
      <c r="F1850" s="82" t="str">
        <f aca="false">IF(E1850="","",IF(LEFT(E1850,2)="DJ","DJ","JN"))</f>
        <v>JN</v>
      </c>
      <c r="G1850" s="81"/>
      <c r="H1850" s="81"/>
      <c r="I1850" s="81"/>
      <c r="J1850" s="81"/>
      <c r="K1850" s="81"/>
      <c r="L1850" s="81" t="s">
        <v>1270</v>
      </c>
      <c r="M1850" s="81"/>
      <c r="N1850" s="81"/>
      <c r="O1850" s="81"/>
      <c r="P1850" s="81"/>
      <c r="Q1850" s="81"/>
      <c r="R1850" s="81"/>
      <c r="S1850" s="81"/>
      <c r="T1850" s="81"/>
      <c r="U1850" s="83"/>
      <c r="V1850" s="83"/>
      <c r="W1850" s="81"/>
      <c r="X1850" s="81"/>
      <c r="Y1850" s="83"/>
      <c r="Z1850" s="81"/>
      <c r="AA1850" s="81"/>
      <c r="AB1850" s="81"/>
      <c r="AC1850" s="81"/>
      <c r="AD1850" s="81"/>
      <c r="AE1850" s="83"/>
      <c r="AF1850" s="81"/>
      <c r="AG1850" s="81"/>
      <c r="AH1850" s="81"/>
      <c r="AI1850" s="81"/>
      <c r="AJ1850" s="83"/>
      <c r="AK1850" s="81"/>
      <c r="AL1850" s="81"/>
      <c r="AM1850" s="83"/>
      <c r="AN1850" s="80"/>
      <c r="AO1850" s="82" t="n">
        <f aca="false">IF(E1850="","",(AA1850&lt;&gt;"")+(AG1850&lt;&gt;"")+(AL1850&lt;&gt;""))</f>
        <v>0</v>
      </c>
      <c r="AP1850" s="82" t="str">
        <f aca="false">IF(AL1850&lt;&gt;"",AL1850,IF(AG1850&lt;&gt;"",AG1850,IF(AA1850&lt;&gt;"",AA1850,"")))</f>
        <v/>
      </c>
      <c r="AQ1850" s="84" t="str">
        <f aca="false">IF(E1850="","",IF(U1850="","À SOUDER",IF(X1850="","VT EN ATTENTE",IF(X1850="R","VT REJETÉ – À REPRENDRE",IF(AP1850="","À RADIOGRAPHIER",IF(AP1850="A","ACCEPTÉ",IF(AP1850="NX","NX – RT À REFAIRE",IF(IF(AO1850=1,AD1850,IF(AO1850=2,AI1850,""))="A","RÉPARÉ – À RADIOGRAPHIER",IF(IF(AO1850=1,AD1850,IF(AO1850=2,AI1850,""))="R","VT REJETÉ – À REPRENDRE",IF(OR(AP1850="CO",AP1850="NT"),"COUPE – À RESOUDER","À RÉPARER"))))))))))</f>
        <v>À SOUDER</v>
      </c>
      <c r="AR1850" s="82" t="str">
        <f aca="false">IF(AND(ISNUMBER(U1850),OR(AQ1850="À RADIOGRAPHIER",AQ1850="RÉPARÉ – À RADIOGRAPHIER",AQ1850="NX – RT À REFAIRE",AQ1850="À RÉPARER",AQ1850="COUPE – À RESOUDER",AQ1850="VT REJETÉ – À REPRENDRE")),MAX(0,'PROGRAMME RT'!$C$4-U1850),"")</f>
        <v/>
      </c>
      <c r="AS1850" s="82" t="n">
        <f aca="false">IF(AND(OR(AQ1850="À RADIOGRAPHIER",AQ1850="RÉPARÉ – À RADIOGRAPHIER",AQ1850="NX – RT À REFAIRE"),OR('PROGRAMME RT'!$D$5="TOUTES",B1850='PROGRAMME RT'!$D$5)),1,0)</f>
        <v>0</v>
      </c>
      <c r="AT1850" s="82" t="str">
        <f aca="false">IF(AS1850=1,SUM(AS$7:AS1850),"")</f>
        <v/>
      </c>
      <c r="AU1850" s="82" t="n">
        <f aca="false">IF(AND(OR(AA1850="R",AA1850="NX",AA1850="NT",AA1850="CO"),OR('JOINTS DE RÉPARATION'!$D$5="TOUTES",B1850='JOINTS DE RÉPARATION'!$D$5),OR('JOINTS DE RÉPARATION'!$L$4="TOUS",AQ1850&lt;&gt;"ACCEPTÉ")),1,0)</f>
        <v>0</v>
      </c>
      <c r="AV1850" s="82" t="str">
        <f aca="false">IF(AU1850=1,SUM(AU$7:AU1850),"")</f>
        <v/>
      </c>
      <c r="AW1850" s="82" t="str">
        <f aca="false">IF(E1850="","",B1850&amp;"|"&amp;E1850)</f>
        <v>MFD-ISW → MFD-CPF|JN°1442</v>
      </c>
    </row>
    <row r="1851" customFormat="false" ht="74.6" hidden="false" customHeight="false" outlineLevel="0" collapsed="false">
      <c r="A1851" s="79" t="n">
        <f aca="false">IF(E1851="","",ROW()-6)</f>
        <v>1845</v>
      </c>
      <c r="B1851" s="80" t="s">
        <v>110</v>
      </c>
      <c r="C1851" s="81" t="s">
        <v>926</v>
      </c>
      <c r="D1851" s="81" t="n">
        <v>17</v>
      </c>
      <c r="E1851" s="81" t="s">
        <v>2256</v>
      </c>
      <c r="F1851" s="82" t="str">
        <f aca="false">IF(E1851="","",IF(LEFT(E1851,2)="DJ","DJ","JN"))</f>
        <v>JN</v>
      </c>
      <c r="G1851" s="81"/>
      <c r="H1851" s="81"/>
      <c r="I1851" s="81"/>
      <c r="J1851" s="81"/>
      <c r="K1851" s="81"/>
      <c r="L1851" s="81" t="s">
        <v>1270</v>
      </c>
      <c r="M1851" s="81"/>
      <c r="N1851" s="81"/>
      <c r="O1851" s="81"/>
      <c r="P1851" s="81"/>
      <c r="Q1851" s="81"/>
      <c r="R1851" s="81"/>
      <c r="S1851" s="81"/>
      <c r="T1851" s="81"/>
      <c r="U1851" s="83"/>
      <c r="V1851" s="83"/>
      <c r="W1851" s="81"/>
      <c r="X1851" s="81"/>
      <c r="Y1851" s="83"/>
      <c r="Z1851" s="81"/>
      <c r="AA1851" s="81"/>
      <c r="AB1851" s="81"/>
      <c r="AC1851" s="81"/>
      <c r="AD1851" s="81"/>
      <c r="AE1851" s="83"/>
      <c r="AF1851" s="81"/>
      <c r="AG1851" s="81"/>
      <c r="AH1851" s="81"/>
      <c r="AI1851" s="81"/>
      <c r="AJ1851" s="83"/>
      <c r="AK1851" s="81"/>
      <c r="AL1851" s="81"/>
      <c r="AM1851" s="83"/>
      <c r="AN1851" s="80"/>
      <c r="AO1851" s="82" t="n">
        <f aca="false">IF(E1851="","",(AA1851&lt;&gt;"")+(AG1851&lt;&gt;"")+(AL1851&lt;&gt;""))</f>
        <v>0</v>
      </c>
      <c r="AP1851" s="82" t="str">
        <f aca="false">IF(AL1851&lt;&gt;"",AL1851,IF(AG1851&lt;&gt;"",AG1851,IF(AA1851&lt;&gt;"",AA1851,"")))</f>
        <v/>
      </c>
      <c r="AQ1851" s="84" t="str">
        <f aca="false">IF(E1851="","",IF(U1851="","À SOUDER",IF(X1851="","VT EN ATTENTE",IF(X1851="R","VT REJETÉ – À REPRENDRE",IF(AP1851="","À RADIOGRAPHIER",IF(AP1851="A","ACCEPTÉ",IF(AP1851="NX","NX – RT À REFAIRE",IF(IF(AO1851=1,AD1851,IF(AO1851=2,AI1851,""))="A","RÉPARÉ – À RADIOGRAPHIER",IF(IF(AO1851=1,AD1851,IF(AO1851=2,AI1851,""))="R","VT REJETÉ – À REPRENDRE",IF(OR(AP1851="CO",AP1851="NT"),"COUPE – À RESOUDER","À RÉPARER"))))))))))</f>
        <v>À SOUDER</v>
      </c>
      <c r="AR1851" s="82" t="str">
        <f aca="false">IF(AND(ISNUMBER(U1851),OR(AQ1851="À RADIOGRAPHIER",AQ1851="RÉPARÉ – À RADIOGRAPHIER",AQ1851="NX – RT À REFAIRE",AQ1851="À RÉPARER",AQ1851="COUPE – À RESOUDER",AQ1851="VT REJETÉ – À REPRENDRE")),MAX(0,'PROGRAMME RT'!$C$4-U1851),"")</f>
        <v/>
      </c>
      <c r="AS1851" s="82" t="n">
        <f aca="false">IF(AND(OR(AQ1851="À RADIOGRAPHIER",AQ1851="RÉPARÉ – À RADIOGRAPHIER",AQ1851="NX – RT À REFAIRE"),OR('PROGRAMME RT'!$D$5="TOUTES",B1851='PROGRAMME RT'!$D$5)),1,0)</f>
        <v>0</v>
      </c>
      <c r="AT1851" s="82" t="str">
        <f aca="false">IF(AS1851=1,SUM(AS$7:AS1851),"")</f>
        <v/>
      </c>
      <c r="AU1851" s="82" t="n">
        <f aca="false">IF(AND(OR(AA1851="R",AA1851="NX",AA1851="NT",AA1851="CO"),OR('JOINTS DE RÉPARATION'!$D$5="TOUTES",B1851='JOINTS DE RÉPARATION'!$D$5),OR('JOINTS DE RÉPARATION'!$L$4="TOUS",AQ1851&lt;&gt;"ACCEPTÉ")),1,0)</f>
        <v>0</v>
      </c>
      <c r="AV1851" s="82" t="str">
        <f aca="false">IF(AU1851=1,SUM(AU$7:AU1851),"")</f>
        <v/>
      </c>
      <c r="AW1851" s="82" t="str">
        <f aca="false">IF(E1851="","",B1851&amp;"|"&amp;E1851)</f>
        <v>MFD-ISW → MFD-CPF|JN°1443</v>
      </c>
    </row>
    <row r="1852" customFormat="false" ht="74.6" hidden="false" customHeight="false" outlineLevel="0" collapsed="false">
      <c r="A1852" s="79" t="n">
        <f aca="false">IF(E1852="","",ROW()-6)</f>
        <v>1846</v>
      </c>
      <c r="B1852" s="80" t="s">
        <v>110</v>
      </c>
      <c r="C1852" s="81" t="s">
        <v>926</v>
      </c>
      <c r="D1852" s="81" t="n">
        <v>17</v>
      </c>
      <c r="E1852" s="81" t="s">
        <v>2257</v>
      </c>
      <c r="F1852" s="82" t="str">
        <f aca="false">IF(E1852="","",IF(LEFT(E1852,2)="DJ","DJ","JN"))</f>
        <v>JN</v>
      </c>
      <c r="G1852" s="81"/>
      <c r="H1852" s="81"/>
      <c r="I1852" s="81"/>
      <c r="J1852" s="81"/>
      <c r="K1852" s="81"/>
      <c r="L1852" s="81" t="s">
        <v>1270</v>
      </c>
      <c r="M1852" s="81"/>
      <c r="N1852" s="81"/>
      <c r="O1852" s="81"/>
      <c r="P1852" s="81"/>
      <c r="Q1852" s="81"/>
      <c r="R1852" s="81"/>
      <c r="S1852" s="81"/>
      <c r="T1852" s="81"/>
      <c r="U1852" s="83"/>
      <c r="V1852" s="83"/>
      <c r="W1852" s="81"/>
      <c r="X1852" s="81"/>
      <c r="Y1852" s="83"/>
      <c r="Z1852" s="81"/>
      <c r="AA1852" s="81"/>
      <c r="AB1852" s="81"/>
      <c r="AC1852" s="81"/>
      <c r="AD1852" s="81"/>
      <c r="AE1852" s="83"/>
      <c r="AF1852" s="81"/>
      <c r="AG1852" s="81"/>
      <c r="AH1852" s="81"/>
      <c r="AI1852" s="81"/>
      <c r="AJ1852" s="83"/>
      <c r="AK1852" s="81"/>
      <c r="AL1852" s="81"/>
      <c r="AM1852" s="83"/>
      <c r="AN1852" s="80"/>
      <c r="AO1852" s="82" t="n">
        <f aca="false">IF(E1852="","",(AA1852&lt;&gt;"")+(AG1852&lt;&gt;"")+(AL1852&lt;&gt;""))</f>
        <v>0</v>
      </c>
      <c r="AP1852" s="82" t="str">
        <f aca="false">IF(AL1852&lt;&gt;"",AL1852,IF(AG1852&lt;&gt;"",AG1852,IF(AA1852&lt;&gt;"",AA1852,"")))</f>
        <v/>
      </c>
      <c r="AQ1852" s="84" t="str">
        <f aca="false">IF(E1852="","",IF(U1852="","À SOUDER",IF(X1852="","VT EN ATTENTE",IF(X1852="R","VT REJETÉ – À REPRENDRE",IF(AP1852="","À RADIOGRAPHIER",IF(AP1852="A","ACCEPTÉ",IF(AP1852="NX","NX – RT À REFAIRE",IF(IF(AO1852=1,AD1852,IF(AO1852=2,AI1852,""))="A","RÉPARÉ – À RADIOGRAPHIER",IF(IF(AO1852=1,AD1852,IF(AO1852=2,AI1852,""))="R","VT REJETÉ – À REPRENDRE",IF(OR(AP1852="CO",AP1852="NT"),"COUPE – À RESOUDER","À RÉPARER"))))))))))</f>
        <v>À SOUDER</v>
      </c>
      <c r="AR1852" s="82" t="str">
        <f aca="false">IF(AND(ISNUMBER(U1852),OR(AQ1852="À RADIOGRAPHIER",AQ1852="RÉPARÉ – À RADIOGRAPHIER",AQ1852="NX – RT À REFAIRE",AQ1852="À RÉPARER",AQ1852="COUPE – À RESOUDER",AQ1852="VT REJETÉ – À REPRENDRE")),MAX(0,'PROGRAMME RT'!$C$4-U1852),"")</f>
        <v/>
      </c>
      <c r="AS1852" s="82" t="n">
        <f aca="false">IF(AND(OR(AQ1852="À RADIOGRAPHIER",AQ1852="RÉPARÉ – À RADIOGRAPHIER",AQ1852="NX – RT À REFAIRE"),OR('PROGRAMME RT'!$D$5="TOUTES",B1852='PROGRAMME RT'!$D$5)),1,0)</f>
        <v>0</v>
      </c>
      <c r="AT1852" s="82" t="str">
        <f aca="false">IF(AS1852=1,SUM(AS$7:AS1852),"")</f>
        <v/>
      </c>
      <c r="AU1852" s="82" t="n">
        <f aca="false">IF(AND(OR(AA1852="R",AA1852="NX",AA1852="NT",AA1852="CO"),OR('JOINTS DE RÉPARATION'!$D$5="TOUTES",B1852='JOINTS DE RÉPARATION'!$D$5),OR('JOINTS DE RÉPARATION'!$L$4="TOUS",AQ1852&lt;&gt;"ACCEPTÉ")),1,0)</f>
        <v>0</v>
      </c>
      <c r="AV1852" s="82" t="str">
        <f aca="false">IF(AU1852=1,SUM(AU$7:AU1852),"")</f>
        <v/>
      </c>
      <c r="AW1852" s="82" t="str">
        <f aca="false">IF(E1852="","",B1852&amp;"|"&amp;E1852)</f>
        <v>MFD-ISW → MFD-CPF|JN°1444</v>
      </c>
    </row>
    <row r="1853" customFormat="false" ht="74.6" hidden="false" customHeight="false" outlineLevel="0" collapsed="false">
      <c r="A1853" s="79" t="n">
        <f aca="false">IF(E1853="","",ROW()-6)</f>
        <v>1847</v>
      </c>
      <c r="B1853" s="80" t="s">
        <v>110</v>
      </c>
      <c r="C1853" s="81" t="s">
        <v>926</v>
      </c>
      <c r="D1853" s="81" t="n">
        <v>17</v>
      </c>
      <c r="E1853" s="81" t="s">
        <v>2258</v>
      </c>
      <c r="F1853" s="82" t="str">
        <f aca="false">IF(E1853="","",IF(LEFT(E1853,2)="DJ","DJ","JN"))</f>
        <v>JN</v>
      </c>
      <c r="G1853" s="81"/>
      <c r="H1853" s="81"/>
      <c r="I1853" s="81"/>
      <c r="J1853" s="81"/>
      <c r="K1853" s="81"/>
      <c r="L1853" s="81" t="s">
        <v>1270</v>
      </c>
      <c r="M1853" s="81"/>
      <c r="N1853" s="81"/>
      <c r="O1853" s="81"/>
      <c r="P1853" s="81"/>
      <c r="Q1853" s="81"/>
      <c r="R1853" s="81"/>
      <c r="S1853" s="81"/>
      <c r="T1853" s="81"/>
      <c r="U1853" s="83"/>
      <c r="V1853" s="83"/>
      <c r="W1853" s="81"/>
      <c r="X1853" s="81"/>
      <c r="Y1853" s="83"/>
      <c r="Z1853" s="81"/>
      <c r="AA1853" s="81"/>
      <c r="AB1853" s="81"/>
      <c r="AC1853" s="81"/>
      <c r="AD1853" s="81"/>
      <c r="AE1853" s="83"/>
      <c r="AF1853" s="81"/>
      <c r="AG1853" s="81"/>
      <c r="AH1853" s="81"/>
      <c r="AI1853" s="81"/>
      <c r="AJ1853" s="83"/>
      <c r="AK1853" s="81"/>
      <c r="AL1853" s="81"/>
      <c r="AM1853" s="83"/>
      <c r="AN1853" s="80"/>
      <c r="AO1853" s="82" t="n">
        <f aca="false">IF(E1853="","",(AA1853&lt;&gt;"")+(AG1853&lt;&gt;"")+(AL1853&lt;&gt;""))</f>
        <v>0</v>
      </c>
      <c r="AP1853" s="82" t="str">
        <f aca="false">IF(AL1853&lt;&gt;"",AL1853,IF(AG1853&lt;&gt;"",AG1853,IF(AA1853&lt;&gt;"",AA1853,"")))</f>
        <v/>
      </c>
      <c r="AQ1853" s="84" t="str">
        <f aca="false">IF(E1853="","",IF(U1853="","À SOUDER",IF(X1853="","VT EN ATTENTE",IF(X1853="R","VT REJETÉ – À REPRENDRE",IF(AP1853="","À RADIOGRAPHIER",IF(AP1853="A","ACCEPTÉ",IF(AP1853="NX","NX – RT À REFAIRE",IF(IF(AO1853=1,AD1853,IF(AO1853=2,AI1853,""))="A","RÉPARÉ – À RADIOGRAPHIER",IF(IF(AO1853=1,AD1853,IF(AO1853=2,AI1853,""))="R","VT REJETÉ – À REPRENDRE",IF(OR(AP1853="CO",AP1853="NT"),"COUPE – À RESOUDER","À RÉPARER"))))))))))</f>
        <v>À SOUDER</v>
      </c>
      <c r="AR1853" s="82" t="str">
        <f aca="false">IF(AND(ISNUMBER(U1853),OR(AQ1853="À RADIOGRAPHIER",AQ1853="RÉPARÉ – À RADIOGRAPHIER",AQ1853="NX – RT À REFAIRE",AQ1853="À RÉPARER",AQ1853="COUPE – À RESOUDER",AQ1853="VT REJETÉ – À REPRENDRE")),MAX(0,'PROGRAMME RT'!$C$4-U1853),"")</f>
        <v/>
      </c>
      <c r="AS1853" s="82" t="n">
        <f aca="false">IF(AND(OR(AQ1853="À RADIOGRAPHIER",AQ1853="RÉPARÉ – À RADIOGRAPHIER",AQ1853="NX – RT À REFAIRE"),OR('PROGRAMME RT'!$D$5="TOUTES",B1853='PROGRAMME RT'!$D$5)),1,0)</f>
        <v>0</v>
      </c>
      <c r="AT1853" s="82" t="str">
        <f aca="false">IF(AS1853=1,SUM(AS$7:AS1853),"")</f>
        <v/>
      </c>
      <c r="AU1853" s="82" t="n">
        <f aca="false">IF(AND(OR(AA1853="R",AA1853="NX",AA1853="NT",AA1853="CO"),OR('JOINTS DE RÉPARATION'!$D$5="TOUTES",B1853='JOINTS DE RÉPARATION'!$D$5),OR('JOINTS DE RÉPARATION'!$L$4="TOUS",AQ1853&lt;&gt;"ACCEPTÉ")),1,0)</f>
        <v>0</v>
      </c>
      <c r="AV1853" s="82" t="str">
        <f aca="false">IF(AU1853=1,SUM(AU$7:AU1853),"")</f>
        <v/>
      </c>
      <c r="AW1853" s="82" t="str">
        <f aca="false">IF(E1853="","",B1853&amp;"|"&amp;E1853)</f>
        <v>MFD-ISW → MFD-CPF|JN°1445</v>
      </c>
    </row>
    <row r="1854" customFormat="false" ht="74.6" hidden="false" customHeight="false" outlineLevel="0" collapsed="false">
      <c r="A1854" s="79" t="n">
        <f aca="false">IF(E1854="","",ROW()-6)</f>
        <v>1848</v>
      </c>
      <c r="B1854" s="80" t="s">
        <v>110</v>
      </c>
      <c r="C1854" s="81" t="s">
        <v>926</v>
      </c>
      <c r="D1854" s="81" t="n">
        <v>17</v>
      </c>
      <c r="E1854" s="81" t="s">
        <v>2259</v>
      </c>
      <c r="F1854" s="82" t="str">
        <f aca="false">IF(E1854="","",IF(LEFT(E1854,2)="DJ","DJ","JN"))</f>
        <v>JN</v>
      </c>
      <c r="G1854" s="81"/>
      <c r="H1854" s="81"/>
      <c r="I1854" s="81"/>
      <c r="J1854" s="81"/>
      <c r="K1854" s="81"/>
      <c r="L1854" s="81" t="s">
        <v>1270</v>
      </c>
      <c r="M1854" s="81"/>
      <c r="N1854" s="81"/>
      <c r="O1854" s="81"/>
      <c r="P1854" s="81"/>
      <c r="Q1854" s="81"/>
      <c r="R1854" s="81"/>
      <c r="S1854" s="81"/>
      <c r="T1854" s="81"/>
      <c r="U1854" s="83"/>
      <c r="V1854" s="83"/>
      <c r="W1854" s="81"/>
      <c r="X1854" s="81"/>
      <c r="Y1854" s="83"/>
      <c r="Z1854" s="81"/>
      <c r="AA1854" s="81"/>
      <c r="AB1854" s="81"/>
      <c r="AC1854" s="81"/>
      <c r="AD1854" s="81"/>
      <c r="AE1854" s="83"/>
      <c r="AF1854" s="81"/>
      <c r="AG1854" s="81"/>
      <c r="AH1854" s="81"/>
      <c r="AI1854" s="81"/>
      <c r="AJ1854" s="83"/>
      <c r="AK1854" s="81"/>
      <c r="AL1854" s="81"/>
      <c r="AM1854" s="83"/>
      <c r="AN1854" s="80"/>
      <c r="AO1854" s="82" t="n">
        <f aca="false">IF(E1854="","",(AA1854&lt;&gt;"")+(AG1854&lt;&gt;"")+(AL1854&lt;&gt;""))</f>
        <v>0</v>
      </c>
      <c r="AP1854" s="82" t="str">
        <f aca="false">IF(AL1854&lt;&gt;"",AL1854,IF(AG1854&lt;&gt;"",AG1854,IF(AA1854&lt;&gt;"",AA1854,"")))</f>
        <v/>
      </c>
      <c r="AQ1854" s="84" t="str">
        <f aca="false">IF(E1854="","",IF(U1854="","À SOUDER",IF(X1854="","VT EN ATTENTE",IF(X1854="R","VT REJETÉ – À REPRENDRE",IF(AP1854="","À RADIOGRAPHIER",IF(AP1854="A","ACCEPTÉ",IF(AP1854="NX","NX – RT À REFAIRE",IF(IF(AO1854=1,AD1854,IF(AO1854=2,AI1854,""))="A","RÉPARÉ – À RADIOGRAPHIER",IF(IF(AO1854=1,AD1854,IF(AO1854=2,AI1854,""))="R","VT REJETÉ – À REPRENDRE",IF(OR(AP1854="CO",AP1854="NT"),"COUPE – À RESOUDER","À RÉPARER"))))))))))</f>
        <v>À SOUDER</v>
      </c>
      <c r="AR1854" s="82" t="str">
        <f aca="false">IF(AND(ISNUMBER(U1854),OR(AQ1854="À RADIOGRAPHIER",AQ1854="RÉPARÉ – À RADIOGRAPHIER",AQ1854="NX – RT À REFAIRE",AQ1854="À RÉPARER",AQ1854="COUPE – À RESOUDER",AQ1854="VT REJETÉ – À REPRENDRE")),MAX(0,'PROGRAMME RT'!$C$4-U1854),"")</f>
        <v/>
      </c>
      <c r="AS1854" s="82" t="n">
        <f aca="false">IF(AND(OR(AQ1854="À RADIOGRAPHIER",AQ1854="RÉPARÉ – À RADIOGRAPHIER",AQ1854="NX – RT À REFAIRE"),OR('PROGRAMME RT'!$D$5="TOUTES",B1854='PROGRAMME RT'!$D$5)),1,0)</f>
        <v>0</v>
      </c>
      <c r="AT1854" s="82" t="str">
        <f aca="false">IF(AS1854=1,SUM(AS$7:AS1854),"")</f>
        <v/>
      </c>
      <c r="AU1854" s="82" t="n">
        <f aca="false">IF(AND(OR(AA1854="R",AA1854="NX",AA1854="NT",AA1854="CO"),OR('JOINTS DE RÉPARATION'!$D$5="TOUTES",B1854='JOINTS DE RÉPARATION'!$D$5),OR('JOINTS DE RÉPARATION'!$L$4="TOUS",AQ1854&lt;&gt;"ACCEPTÉ")),1,0)</f>
        <v>0</v>
      </c>
      <c r="AV1854" s="82" t="str">
        <f aca="false">IF(AU1854=1,SUM(AU$7:AU1854),"")</f>
        <v/>
      </c>
      <c r="AW1854" s="82" t="str">
        <f aca="false">IF(E1854="","",B1854&amp;"|"&amp;E1854)</f>
        <v>MFD-ISW → MFD-CPF|JN°1446</v>
      </c>
    </row>
    <row r="1855" customFormat="false" ht="74.6" hidden="false" customHeight="false" outlineLevel="0" collapsed="false">
      <c r="A1855" s="79" t="n">
        <f aca="false">IF(E1855="","",ROW()-6)</f>
        <v>1849</v>
      </c>
      <c r="B1855" s="80" t="s">
        <v>110</v>
      </c>
      <c r="C1855" s="81" t="s">
        <v>926</v>
      </c>
      <c r="D1855" s="81" t="n">
        <v>17</v>
      </c>
      <c r="E1855" s="81" t="s">
        <v>2260</v>
      </c>
      <c r="F1855" s="82" t="str">
        <f aca="false">IF(E1855="","",IF(LEFT(E1855,2)="DJ","DJ","JN"))</f>
        <v>JN</v>
      </c>
      <c r="G1855" s="81"/>
      <c r="H1855" s="81"/>
      <c r="I1855" s="81"/>
      <c r="J1855" s="81"/>
      <c r="K1855" s="81"/>
      <c r="L1855" s="81" t="s">
        <v>1270</v>
      </c>
      <c r="M1855" s="81"/>
      <c r="N1855" s="81"/>
      <c r="O1855" s="81"/>
      <c r="P1855" s="81"/>
      <c r="Q1855" s="81"/>
      <c r="R1855" s="81"/>
      <c r="S1855" s="81"/>
      <c r="T1855" s="81"/>
      <c r="U1855" s="83"/>
      <c r="V1855" s="83"/>
      <c r="W1855" s="81"/>
      <c r="X1855" s="81"/>
      <c r="Y1855" s="83"/>
      <c r="Z1855" s="81"/>
      <c r="AA1855" s="81"/>
      <c r="AB1855" s="81"/>
      <c r="AC1855" s="81"/>
      <c r="AD1855" s="81"/>
      <c r="AE1855" s="83"/>
      <c r="AF1855" s="81"/>
      <c r="AG1855" s="81"/>
      <c r="AH1855" s="81"/>
      <c r="AI1855" s="81"/>
      <c r="AJ1855" s="83"/>
      <c r="AK1855" s="81"/>
      <c r="AL1855" s="81"/>
      <c r="AM1855" s="83"/>
      <c r="AN1855" s="80"/>
      <c r="AO1855" s="82" t="n">
        <f aca="false">IF(E1855="","",(AA1855&lt;&gt;"")+(AG1855&lt;&gt;"")+(AL1855&lt;&gt;""))</f>
        <v>0</v>
      </c>
      <c r="AP1855" s="82" t="str">
        <f aca="false">IF(AL1855&lt;&gt;"",AL1855,IF(AG1855&lt;&gt;"",AG1855,IF(AA1855&lt;&gt;"",AA1855,"")))</f>
        <v/>
      </c>
      <c r="AQ1855" s="84" t="str">
        <f aca="false">IF(E1855="","",IF(U1855="","À SOUDER",IF(X1855="","VT EN ATTENTE",IF(X1855="R","VT REJETÉ – À REPRENDRE",IF(AP1855="","À RADIOGRAPHIER",IF(AP1855="A","ACCEPTÉ",IF(AP1855="NX","NX – RT À REFAIRE",IF(IF(AO1855=1,AD1855,IF(AO1855=2,AI1855,""))="A","RÉPARÉ – À RADIOGRAPHIER",IF(IF(AO1855=1,AD1855,IF(AO1855=2,AI1855,""))="R","VT REJETÉ – À REPRENDRE",IF(OR(AP1855="CO",AP1855="NT"),"COUPE – À RESOUDER","À RÉPARER"))))))))))</f>
        <v>À SOUDER</v>
      </c>
      <c r="AR1855" s="82" t="str">
        <f aca="false">IF(AND(ISNUMBER(U1855),OR(AQ1855="À RADIOGRAPHIER",AQ1855="RÉPARÉ – À RADIOGRAPHIER",AQ1855="NX – RT À REFAIRE",AQ1855="À RÉPARER",AQ1855="COUPE – À RESOUDER",AQ1855="VT REJETÉ – À REPRENDRE")),MAX(0,'PROGRAMME RT'!$C$4-U1855),"")</f>
        <v/>
      </c>
      <c r="AS1855" s="82" t="n">
        <f aca="false">IF(AND(OR(AQ1855="À RADIOGRAPHIER",AQ1855="RÉPARÉ – À RADIOGRAPHIER",AQ1855="NX – RT À REFAIRE"),OR('PROGRAMME RT'!$D$5="TOUTES",B1855='PROGRAMME RT'!$D$5)),1,0)</f>
        <v>0</v>
      </c>
      <c r="AT1855" s="82" t="str">
        <f aca="false">IF(AS1855=1,SUM(AS$7:AS1855),"")</f>
        <v/>
      </c>
      <c r="AU1855" s="82" t="n">
        <f aca="false">IF(AND(OR(AA1855="R",AA1855="NX",AA1855="NT",AA1855="CO"),OR('JOINTS DE RÉPARATION'!$D$5="TOUTES",B1855='JOINTS DE RÉPARATION'!$D$5),OR('JOINTS DE RÉPARATION'!$L$4="TOUS",AQ1855&lt;&gt;"ACCEPTÉ")),1,0)</f>
        <v>0</v>
      </c>
      <c r="AV1855" s="82" t="str">
        <f aca="false">IF(AU1855=1,SUM(AU$7:AU1855),"")</f>
        <v/>
      </c>
      <c r="AW1855" s="82" t="str">
        <f aca="false">IF(E1855="","",B1855&amp;"|"&amp;E1855)</f>
        <v>MFD-ISW → MFD-CPF|JN°1447</v>
      </c>
    </row>
    <row r="1856" customFormat="false" ht="74.6" hidden="false" customHeight="false" outlineLevel="0" collapsed="false">
      <c r="A1856" s="79" t="n">
        <f aca="false">IF(E1856="","",ROW()-6)</f>
        <v>1850</v>
      </c>
      <c r="B1856" s="80" t="s">
        <v>110</v>
      </c>
      <c r="C1856" s="81" t="s">
        <v>926</v>
      </c>
      <c r="D1856" s="81" t="n">
        <v>17</v>
      </c>
      <c r="E1856" s="81" t="s">
        <v>2261</v>
      </c>
      <c r="F1856" s="82" t="str">
        <f aca="false">IF(E1856="","",IF(LEFT(E1856,2)="DJ","DJ","JN"))</f>
        <v>JN</v>
      </c>
      <c r="G1856" s="81"/>
      <c r="H1856" s="81"/>
      <c r="I1856" s="81"/>
      <c r="J1856" s="81"/>
      <c r="K1856" s="81"/>
      <c r="L1856" s="81" t="s">
        <v>1270</v>
      </c>
      <c r="M1856" s="81"/>
      <c r="N1856" s="81"/>
      <c r="O1856" s="81"/>
      <c r="P1856" s="81"/>
      <c r="Q1856" s="81"/>
      <c r="R1856" s="81"/>
      <c r="S1856" s="81"/>
      <c r="T1856" s="81"/>
      <c r="U1856" s="83"/>
      <c r="V1856" s="83"/>
      <c r="W1856" s="81"/>
      <c r="X1856" s="81"/>
      <c r="Y1856" s="83"/>
      <c r="Z1856" s="81"/>
      <c r="AA1856" s="81"/>
      <c r="AB1856" s="81"/>
      <c r="AC1856" s="81"/>
      <c r="AD1856" s="81"/>
      <c r="AE1856" s="83"/>
      <c r="AF1856" s="81"/>
      <c r="AG1856" s="81"/>
      <c r="AH1856" s="81"/>
      <c r="AI1856" s="81"/>
      <c r="AJ1856" s="83"/>
      <c r="AK1856" s="81"/>
      <c r="AL1856" s="81"/>
      <c r="AM1856" s="83"/>
      <c r="AN1856" s="80"/>
      <c r="AO1856" s="82" t="n">
        <f aca="false">IF(E1856="","",(AA1856&lt;&gt;"")+(AG1856&lt;&gt;"")+(AL1856&lt;&gt;""))</f>
        <v>0</v>
      </c>
      <c r="AP1856" s="82" t="str">
        <f aca="false">IF(AL1856&lt;&gt;"",AL1856,IF(AG1856&lt;&gt;"",AG1856,IF(AA1856&lt;&gt;"",AA1856,"")))</f>
        <v/>
      </c>
      <c r="AQ1856" s="84" t="str">
        <f aca="false">IF(E1856="","",IF(U1856="","À SOUDER",IF(X1856="","VT EN ATTENTE",IF(X1856="R","VT REJETÉ – À REPRENDRE",IF(AP1856="","À RADIOGRAPHIER",IF(AP1856="A","ACCEPTÉ",IF(AP1856="NX","NX – RT À REFAIRE",IF(IF(AO1856=1,AD1856,IF(AO1856=2,AI1856,""))="A","RÉPARÉ – À RADIOGRAPHIER",IF(IF(AO1856=1,AD1856,IF(AO1856=2,AI1856,""))="R","VT REJETÉ – À REPRENDRE",IF(OR(AP1856="CO",AP1856="NT"),"COUPE – À RESOUDER","À RÉPARER"))))))))))</f>
        <v>À SOUDER</v>
      </c>
      <c r="AR1856" s="82" t="str">
        <f aca="false">IF(AND(ISNUMBER(U1856),OR(AQ1856="À RADIOGRAPHIER",AQ1856="RÉPARÉ – À RADIOGRAPHIER",AQ1856="NX – RT À REFAIRE",AQ1856="À RÉPARER",AQ1856="COUPE – À RESOUDER",AQ1856="VT REJETÉ – À REPRENDRE")),MAX(0,'PROGRAMME RT'!$C$4-U1856),"")</f>
        <v/>
      </c>
      <c r="AS1856" s="82" t="n">
        <f aca="false">IF(AND(OR(AQ1856="À RADIOGRAPHIER",AQ1856="RÉPARÉ – À RADIOGRAPHIER",AQ1856="NX – RT À REFAIRE"),OR('PROGRAMME RT'!$D$5="TOUTES",B1856='PROGRAMME RT'!$D$5)),1,0)</f>
        <v>0</v>
      </c>
      <c r="AT1856" s="82" t="str">
        <f aca="false">IF(AS1856=1,SUM(AS$7:AS1856),"")</f>
        <v/>
      </c>
      <c r="AU1856" s="82" t="n">
        <f aca="false">IF(AND(OR(AA1856="R",AA1856="NX",AA1856="NT",AA1856="CO"),OR('JOINTS DE RÉPARATION'!$D$5="TOUTES",B1856='JOINTS DE RÉPARATION'!$D$5),OR('JOINTS DE RÉPARATION'!$L$4="TOUS",AQ1856&lt;&gt;"ACCEPTÉ")),1,0)</f>
        <v>0</v>
      </c>
      <c r="AV1856" s="82" t="str">
        <f aca="false">IF(AU1856=1,SUM(AU$7:AU1856),"")</f>
        <v/>
      </c>
      <c r="AW1856" s="82" t="str">
        <f aca="false">IF(E1856="","",B1856&amp;"|"&amp;E1856)</f>
        <v>MFD-ISW → MFD-CPF|JN°1448</v>
      </c>
    </row>
    <row r="1857" customFormat="false" ht="74.6" hidden="false" customHeight="false" outlineLevel="0" collapsed="false">
      <c r="A1857" s="79" t="n">
        <f aca="false">IF(E1857="","",ROW()-6)</f>
        <v>1851</v>
      </c>
      <c r="B1857" s="80" t="s">
        <v>110</v>
      </c>
      <c r="C1857" s="81" t="s">
        <v>926</v>
      </c>
      <c r="D1857" s="81" t="n">
        <v>17</v>
      </c>
      <c r="E1857" s="81" t="s">
        <v>2262</v>
      </c>
      <c r="F1857" s="82" t="str">
        <f aca="false">IF(E1857="","",IF(LEFT(E1857,2)="DJ","DJ","JN"))</f>
        <v>JN</v>
      </c>
      <c r="G1857" s="81"/>
      <c r="H1857" s="81"/>
      <c r="I1857" s="81"/>
      <c r="J1857" s="81"/>
      <c r="K1857" s="81"/>
      <c r="L1857" s="81" t="s">
        <v>1270</v>
      </c>
      <c r="M1857" s="81"/>
      <c r="N1857" s="81"/>
      <c r="O1857" s="81"/>
      <c r="P1857" s="81"/>
      <c r="Q1857" s="81"/>
      <c r="R1857" s="81"/>
      <c r="S1857" s="81"/>
      <c r="T1857" s="81"/>
      <c r="U1857" s="83"/>
      <c r="V1857" s="83"/>
      <c r="W1857" s="81"/>
      <c r="X1857" s="81"/>
      <c r="Y1857" s="83"/>
      <c r="Z1857" s="81"/>
      <c r="AA1857" s="81"/>
      <c r="AB1857" s="81"/>
      <c r="AC1857" s="81"/>
      <c r="AD1857" s="81"/>
      <c r="AE1857" s="83"/>
      <c r="AF1857" s="81"/>
      <c r="AG1857" s="81"/>
      <c r="AH1857" s="81"/>
      <c r="AI1857" s="81"/>
      <c r="AJ1857" s="83"/>
      <c r="AK1857" s="81"/>
      <c r="AL1857" s="81"/>
      <c r="AM1857" s="83"/>
      <c r="AN1857" s="80"/>
      <c r="AO1857" s="82" t="n">
        <f aca="false">IF(E1857="","",(AA1857&lt;&gt;"")+(AG1857&lt;&gt;"")+(AL1857&lt;&gt;""))</f>
        <v>0</v>
      </c>
      <c r="AP1857" s="82" t="str">
        <f aca="false">IF(AL1857&lt;&gt;"",AL1857,IF(AG1857&lt;&gt;"",AG1857,IF(AA1857&lt;&gt;"",AA1857,"")))</f>
        <v/>
      </c>
      <c r="AQ1857" s="84" t="str">
        <f aca="false">IF(E1857="","",IF(U1857="","À SOUDER",IF(X1857="","VT EN ATTENTE",IF(X1857="R","VT REJETÉ – À REPRENDRE",IF(AP1857="","À RADIOGRAPHIER",IF(AP1857="A","ACCEPTÉ",IF(AP1857="NX","NX – RT À REFAIRE",IF(IF(AO1857=1,AD1857,IF(AO1857=2,AI1857,""))="A","RÉPARÉ – À RADIOGRAPHIER",IF(IF(AO1857=1,AD1857,IF(AO1857=2,AI1857,""))="R","VT REJETÉ – À REPRENDRE",IF(OR(AP1857="CO",AP1857="NT"),"COUPE – À RESOUDER","À RÉPARER"))))))))))</f>
        <v>À SOUDER</v>
      </c>
      <c r="AR1857" s="82" t="str">
        <f aca="false">IF(AND(ISNUMBER(U1857),OR(AQ1857="À RADIOGRAPHIER",AQ1857="RÉPARÉ – À RADIOGRAPHIER",AQ1857="NX – RT À REFAIRE",AQ1857="À RÉPARER",AQ1857="COUPE – À RESOUDER",AQ1857="VT REJETÉ – À REPRENDRE")),MAX(0,'PROGRAMME RT'!$C$4-U1857),"")</f>
        <v/>
      </c>
      <c r="AS1857" s="82" t="n">
        <f aca="false">IF(AND(OR(AQ1857="À RADIOGRAPHIER",AQ1857="RÉPARÉ – À RADIOGRAPHIER",AQ1857="NX – RT À REFAIRE"),OR('PROGRAMME RT'!$D$5="TOUTES",B1857='PROGRAMME RT'!$D$5)),1,0)</f>
        <v>0</v>
      </c>
      <c r="AT1857" s="82" t="str">
        <f aca="false">IF(AS1857=1,SUM(AS$7:AS1857),"")</f>
        <v/>
      </c>
      <c r="AU1857" s="82" t="n">
        <f aca="false">IF(AND(OR(AA1857="R",AA1857="NX",AA1857="NT",AA1857="CO"),OR('JOINTS DE RÉPARATION'!$D$5="TOUTES",B1857='JOINTS DE RÉPARATION'!$D$5),OR('JOINTS DE RÉPARATION'!$L$4="TOUS",AQ1857&lt;&gt;"ACCEPTÉ")),1,0)</f>
        <v>0</v>
      </c>
      <c r="AV1857" s="82" t="str">
        <f aca="false">IF(AU1857=1,SUM(AU$7:AU1857),"")</f>
        <v/>
      </c>
      <c r="AW1857" s="82" t="str">
        <f aca="false">IF(E1857="","",B1857&amp;"|"&amp;E1857)</f>
        <v>MFD-ISW → MFD-CPF|JN°1449</v>
      </c>
    </row>
    <row r="1858" customFormat="false" ht="74.6" hidden="false" customHeight="false" outlineLevel="0" collapsed="false">
      <c r="A1858" s="79" t="n">
        <f aca="false">IF(E1858="","",ROW()-6)</f>
        <v>1852</v>
      </c>
      <c r="B1858" s="80" t="s">
        <v>110</v>
      </c>
      <c r="C1858" s="81" t="s">
        <v>2263</v>
      </c>
      <c r="D1858" s="81" t="n">
        <v>17</v>
      </c>
      <c r="E1858" s="81" t="s">
        <v>2264</v>
      </c>
      <c r="F1858" s="82" t="str">
        <f aca="false">IF(E1858="","",IF(LEFT(E1858,2)="DJ","DJ","JN"))</f>
        <v>JN</v>
      </c>
      <c r="G1858" s="81" t="s">
        <v>1504</v>
      </c>
      <c r="H1858" s="81" t="s">
        <v>871</v>
      </c>
      <c r="I1858" s="81" t="n">
        <v>9.53</v>
      </c>
      <c r="J1858" s="81" t="s">
        <v>872</v>
      </c>
      <c r="K1858" s="81" t="s">
        <v>879</v>
      </c>
      <c r="L1858" s="81" t="n">
        <v>9097450</v>
      </c>
      <c r="M1858" s="81" t="n">
        <v>15421112</v>
      </c>
      <c r="N1858" s="81" t="n">
        <v>11.94</v>
      </c>
      <c r="O1858" s="81" t="n">
        <v>2085470</v>
      </c>
      <c r="P1858" s="81" t="n">
        <v>15421107</v>
      </c>
      <c r="Q1858" s="81" t="n">
        <v>11.94</v>
      </c>
      <c r="R1858" s="81" t="s">
        <v>2097</v>
      </c>
      <c r="S1858" s="81"/>
      <c r="T1858" s="81"/>
      <c r="U1858" s="83" t="n">
        <v>46270</v>
      </c>
      <c r="V1858" s="83" t="n">
        <v>46270</v>
      </c>
      <c r="W1858" s="81" t="s">
        <v>2238</v>
      </c>
      <c r="X1858" s="81" t="s">
        <v>876</v>
      </c>
      <c r="Y1858" s="83"/>
      <c r="Z1858" s="81"/>
      <c r="AA1858" s="81"/>
      <c r="AB1858" s="81"/>
      <c r="AC1858" s="81"/>
      <c r="AD1858" s="81"/>
      <c r="AE1858" s="83"/>
      <c r="AF1858" s="81"/>
      <c r="AG1858" s="81"/>
      <c r="AH1858" s="81"/>
      <c r="AI1858" s="81"/>
      <c r="AJ1858" s="83"/>
      <c r="AK1858" s="81"/>
      <c r="AL1858" s="81"/>
      <c r="AM1858" s="83"/>
      <c r="AN1858" s="80"/>
      <c r="AO1858" s="82" t="n">
        <f aca="false">IF(E1858="","",(AA1858&lt;&gt;"")+(AG1858&lt;&gt;"")+(AL1858&lt;&gt;""))</f>
        <v>0</v>
      </c>
      <c r="AP1858" s="82" t="str">
        <f aca="false">IF(AL1858&lt;&gt;"",AL1858,IF(AG1858&lt;&gt;"",AG1858,IF(AA1858&lt;&gt;"",AA1858,"")))</f>
        <v/>
      </c>
      <c r="AQ1858" s="84" t="str">
        <f aca="false">IF(E1858="","",IF(U1858="","À SOUDER",IF(X1858="","VT EN ATTENTE",IF(X1858="R","VT REJETÉ – À REPRENDRE",IF(AP1858="","À RADIOGRAPHIER",IF(AP1858="A","ACCEPTÉ",IF(AP1858="NX","NX – RT À REFAIRE",IF(IF(AO1858=1,AD1858,IF(AO1858=2,AI1858,""))="A","RÉPARÉ – À RADIOGRAPHIER",IF(IF(AO1858=1,AD1858,IF(AO1858=2,AI1858,""))="R","VT REJETÉ – À REPRENDRE",IF(OR(AP1858="CO",AP1858="NT"),"COUPE – À RESOUDER","À RÉPARER"))))))))))</f>
        <v>À RADIOGRAPHIER</v>
      </c>
      <c r="AR1858" s="82" t="n">
        <f aca="false">IF(AND(ISNUMBER(U1858),OR(AQ1858="À RADIOGRAPHIER",AQ1858="RÉPARÉ – À RADIOGRAPHIER",AQ1858="NX – RT À REFAIRE",AQ1858="À RÉPARER",AQ1858="COUPE – À RESOUDER",AQ1858="VT REJETÉ – À REPRENDRE")),MAX(0,'PROGRAMME RT'!$C$4-U1858),"")</f>
        <v>23</v>
      </c>
      <c r="AS1858" s="82" t="n">
        <f aca="false">IF(AND(OR(AQ1858="À RADIOGRAPHIER",AQ1858="RÉPARÉ – À RADIOGRAPHIER",AQ1858="NX – RT À REFAIRE"),OR('PROGRAMME RT'!$D$5="TOUTES",B1858='PROGRAMME RT'!$D$5)),1,0)</f>
        <v>1</v>
      </c>
      <c r="AT1858" s="82" t="n">
        <f aca="false">IF(AS1858=1,SUM(AS$7:AS1858),"")</f>
        <v>94</v>
      </c>
      <c r="AU1858" s="82" t="n">
        <f aca="false">IF(AND(OR(AA1858="R",AA1858="NX",AA1858="NT",AA1858="CO"),OR('JOINTS DE RÉPARATION'!$D$5="TOUTES",B1858='JOINTS DE RÉPARATION'!$D$5),OR('JOINTS DE RÉPARATION'!$L$4="TOUS",AQ1858&lt;&gt;"ACCEPTÉ")),1,0)</f>
        <v>0</v>
      </c>
      <c r="AV1858" s="82" t="str">
        <f aca="false">IF(AU1858=1,SUM(AU$7:AU1858),"")</f>
        <v/>
      </c>
      <c r="AW1858" s="82" t="str">
        <f aca="false">IF(E1858="","",B1858&amp;"|"&amp;E1858)</f>
        <v>MFD-ISW → MFD-CPF|JN°1450</v>
      </c>
    </row>
    <row r="1859" customFormat="false" ht="74.6" hidden="false" customHeight="false" outlineLevel="0" collapsed="false">
      <c r="A1859" s="79" t="n">
        <f aca="false">IF(E1859="","",ROW()-6)</f>
        <v>1853</v>
      </c>
      <c r="B1859" s="80" t="s">
        <v>110</v>
      </c>
      <c r="C1859" s="81" t="s">
        <v>2263</v>
      </c>
      <c r="D1859" s="81" t="n">
        <v>17</v>
      </c>
      <c r="E1859" s="81" t="s">
        <v>2265</v>
      </c>
      <c r="F1859" s="82" t="str">
        <f aca="false">IF(E1859="","",IF(LEFT(E1859,2)="DJ","DJ","JN"))</f>
        <v>JN</v>
      </c>
      <c r="G1859" s="81" t="s">
        <v>1504</v>
      </c>
      <c r="H1859" s="81" t="s">
        <v>871</v>
      </c>
      <c r="I1859" s="81" t="n">
        <v>9.53</v>
      </c>
      <c r="J1859" s="81" t="s">
        <v>872</v>
      </c>
      <c r="K1859" s="81" t="s">
        <v>879</v>
      </c>
      <c r="L1859" s="81" t="n">
        <v>2080860</v>
      </c>
      <c r="M1859" s="81" t="n">
        <v>15421103</v>
      </c>
      <c r="N1859" s="81" t="n">
        <v>11.94</v>
      </c>
      <c r="O1859" s="81" t="n">
        <v>2089360</v>
      </c>
      <c r="P1859" s="81" t="n">
        <v>15421108</v>
      </c>
      <c r="Q1859" s="81" t="n">
        <v>11.94</v>
      </c>
      <c r="R1859" s="81" t="s">
        <v>2097</v>
      </c>
      <c r="S1859" s="81"/>
      <c r="T1859" s="81"/>
      <c r="U1859" s="83" t="n">
        <v>46270</v>
      </c>
      <c r="V1859" s="83" t="n">
        <v>46270</v>
      </c>
      <c r="W1859" s="81" t="s">
        <v>2238</v>
      </c>
      <c r="X1859" s="81" t="s">
        <v>876</v>
      </c>
      <c r="Y1859" s="83"/>
      <c r="Z1859" s="81"/>
      <c r="AA1859" s="81"/>
      <c r="AB1859" s="81"/>
      <c r="AC1859" s="81"/>
      <c r="AD1859" s="81"/>
      <c r="AE1859" s="83"/>
      <c r="AF1859" s="81"/>
      <c r="AG1859" s="81"/>
      <c r="AH1859" s="81"/>
      <c r="AI1859" s="81"/>
      <c r="AJ1859" s="83"/>
      <c r="AK1859" s="81"/>
      <c r="AL1859" s="81"/>
      <c r="AM1859" s="83"/>
      <c r="AN1859" s="80"/>
      <c r="AO1859" s="82" t="n">
        <f aca="false">IF(E1859="","",(AA1859&lt;&gt;"")+(AG1859&lt;&gt;"")+(AL1859&lt;&gt;""))</f>
        <v>0</v>
      </c>
      <c r="AP1859" s="82" t="str">
        <f aca="false">IF(AL1859&lt;&gt;"",AL1859,IF(AG1859&lt;&gt;"",AG1859,IF(AA1859&lt;&gt;"",AA1859,"")))</f>
        <v/>
      </c>
      <c r="AQ1859" s="84" t="str">
        <f aca="false">IF(E1859="","",IF(U1859="","À SOUDER",IF(X1859="","VT EN ATTENTE",IF(X1859="R","VT REJETÉ – À REPRENDRE",IF(AP1859="","À RADIOGRAPHIER",IF(AP1859="A","ACCEPTÉ",IF(AP1859="NX","NX – RT À REFAIRE",IF(IF(AO1859=1,AD1859,IF(AO1859=2,AI1859,""))="A","RÉPARÉ – À RADIOGRAPHIER",IF(IF(AO1859=1,AD1859,IF(AO1859=2,AI1859,""))="R","VT REJETÉ – À REPRENDRE",IF(OR(AP1859="CO",AP1859="NT"),"COUPE – À RESOUDER","À RÉPARER"))))))))))</f>
        <v>À RADIOGRAPHIER</v>
      </c>
      <c r="AR1859" s="82" t="n">
        <f aca="false">IF(AND(ISNUMBER(U1859),OR(AQ1859="À RADIOGRAPHIER",AQ1859="RÉPARÉ – À RADIOGRAPHIER",AQ1859="NX – RT À REFAIRE",AQ1859="À RÉPARER",AQ1859="COUPE – À RESOUDER",AQ1859="VT REJETÉ – À REPRENDRE")),MAX(0,'PROGRAMME RT'!$C$4-U1859),"")</f>
        <v>23</v>
      </c>
      <c r="AS1859" s="82" t="n">
        <f aca="false">IF(AND(OR(AQ1859="À RADIOGRAPHIER",AQ1859="RÉPARÉ – À RADIOGRAPHIER",AQ1859="NX – RT À REFAIRE"),OR('PROGRAMME RT'!$D$5="TOUTES",B1859='PROGRAMME RT'!$D$5)),1,0)</f>
        <v>1</v>
      </c>
      <c r="AT1859" s="82" t="n">
        <f aca="false">IF(AS1859=1,SUM(AS$7:AS1859),"")</f>
        <v>95</v>
      </c>
      <c r="AU1859" s="82" t="n">
        <f aca="false">IF(AND(OR(AA1859="R",AA1859="NX",AA1859="NT",AA1859="CO"),OR('JOINTS DE RÉPARATION'!$D$5="TOUTES",B1859='JOINTS DE RÉPARATION'!$D$5),OR('JOINTS DE RÉPARATION'!$L$4="TOUS",AQ1859&lt;&gt;"ACCEPTÉ")),1,0)</f>
        <v>0</v>
      </c>
      <c r="AV1859" s="82" t="str">
        <f aca="false">IF(AU1859=1,SUM(AU$7:AU1859),"")</f>
        <v/>
      </c>
      <c r="AW1859" s="82" t="str">
        <f aca="false">IF(E1859="","",B1859&amp;"|"&amp;E1859)</f>
        <v>MFD-ISW → MFD-CPF|JN°1451</v>
      </c>
    </row>
    <row r="1860" customFormat="false" ht="74.6" hidden="false" customHeight="false" outlineLevel="0" collapsed="false">
      <c r="A1860" s="79" t="n">
        <f aca="false">IF(E1860="","",ROW()-6)</f>
        <v>1854</v>
      </c>
      <c r="B1860" s="80" t="s">
        <v>110</v>
      </c>
      <c r="C1860" s="81" t="s">
        <v>2263</v>
      </c>
      <c r="D1860" s="81" t="n">
        <v>17</v>
      </c>
      <c r="E1860" s="81" t="s">
        <v>2266</v>
      </c>
      <c r="F1860" s="82" t="str">
        <f aca="false">IF(E1860="","",IF(LEFT(E1860,2)="DJ","DJ","JN"))</f>
        <v>JN</v>
      </c>
      <c r="G1860" s="81" t="s">
        <v>1504</v>
      </c>
      <c r="H1860" s="81" t="s">
        <v>871</v>
      </c>
      <c r="I1860" s="81" t="n">
        <v>9.53</v>
      </c>
      <c r="J1860" s="81" t="s">
        <v>872</v>
      </c>
      <c r="K1860" s="81" t="s">
        <v>879</v>
      </c>
      <c r="L1860" s="81" t="n">
        <v>2090580</v>
      </c>
      <c r="M1860" s="81" t="n">
        <v>15421109</v>
      </c>
      <c r="N1860" s="81" t="n">
        <v>11.94</v>
      </c>
      <c r="O1860" s="81" t="n">
        <v>2098480</v>
      </c>
      <c r="P1860" s="81" t="n">
        <v>15421112</v>
      </c>
      <c r="Q1860" s="81" t="n">
        <v>11.94</v>
      </c>
      <c r="R1860" s="81" t="s">
        <v>2097</v>
      </c>
      <c r="S1860" s="81"/>
      <c r="T1860" s="81"/>
      <c r="U1860" s="83" t="n">
        <v>46270</v>
      </c>
      <c r="V1860" s="83" t="n">
        <v>46270</v>
      </c>
      <c r="W1860" s="81" t="s">
        <v>2238</v>
      </c>
      <c r="X1860" s="81" t="s">
        <v>876</v>
      </c>
      <c r="Y1860" s="83"/>
      <c r="Z1860" s="81"/>
      <c r="AA1860" s="81"/>
      <c r="AB1860" s="81"/>
      <c r="AC1860" s="81"/>
      <c r="AD1860" s="81"/>
      <c r="AE1860" s="83"/>
      <c r="AF1860" s="81"/>
      <c r="AG1860" s="81"/>
      <c r="AH1860" s="81"/>
      <c r="AI1860" s="81"/>
      <c r="AJ1860" s="83"/>
      <c r="AK1860" s="81"/>
      <c r="AL1860" s="81"/>
      <c r="AM1860" s="83"/>
      <c r="AN1860" s="80"/>
      <c r="AO1860" s="82" t="n">
        <f aca="false">IF(E1860="","",(AA1860&lt;&gt;"")+(AG1860&lt;&gt;"")+(AL1860&lt;&gt;""))</f>
        <v>0</v>
      </c>
      <c r="AP1860" s="82" t="str">
        <f aca="false">IF(AL1860&lt;&gt;"",AL1860,IF(AG1860&lt;&gt;"",AG1860,IF(AA1860&lt;&gt;"",AA1860,"")))</f>
        <v/>
      </c>
      <c r="AQ1860" s="84" t="str">
        <f aca="false">IF(E1860="","",IF(U1860="","À SOUDER",IF(X1860="","VT EN ATTENTE",IF(X1860="R","VT REJETÉ – À REPRENDRE",IF(AP1860="","À RADIOGRAPHIER",IF(AP1860="A","ACCEPTÉ",IF(AP1860="NX","NX – RT À REFAIRE",IF(IF(AO1860=1,AD1860,IF(AO1860=2,AI1860,""))="A","RÉPARÉ – À RADIOGRAPHIER",IF(IF(AO1860=1,AD1860,IF(AO1860=2,AI1860,""))="R","VT REJETÉ – À REPRENDRE",IF(OR(AP1860="CO",AP1860="NT"),"COUPE – À RESOUDER","À RÉPARER"))))))))))</f>
        <v>À RADIOGRAPHIER</v>
      </c>
      <c r="AR1860" s="82" t="n">
        <f aca="false">IF(AND(ISNUMBER(U1860),OR(AQ1860="À RADIOGRAPHIER",AQ1860="RÉPARÉ – À RADIOGRAPHIER",AQ1860="NX – RT À REFAIRE",AQ1860="À RÉPARER",AQ1860="COUPE – À RESOUDER",AQ1860="VT REJETÉ – À REPRENDRE")),MAX(0,'PROGRAMME RT'!$C$4-U1860),"")</f>
        <v>23</v>
      </c>
      <c r="AS1860" s="82" t="n">
        <f aca="false">IF(AND(OR(AQ1860="À RADIOGRAPHIER",AQ1860="RÉPARÉ – À RADIOGRAPHIER",AQ1860="NX – RT À REFAIRE"),OR('PROGRAMME RT'!$D$5="TOUTES",B1860='PROGRAMME RT'!$D$5)),1,0)</f>
        <v>1</v>
      </c>
      <c r="AT1860" s="82" t="n">
        <f aca="false">IF(AS1860=1,SUM(AS$7:AS1860),"")</f>
        <v>96</v>
      </c>
      <c r="AU1860" s="82" t="n">
        <f aca="false">IF(AND(OR(AA1860="R",AA1860="NX",AA1860="NT",AA1860="CO"),OR('JOINTS DE RÉPARATION'!$D$5="TOUTES",B1860='JOINTS DE RÉPARATION'!$D$5),OR('JOINTS DE RÉPARATION'!$L$4="TOUS",AQ1860&lt;&gt;"ACCEPTÉ")),1,0)</f>
        <v>0</v>
      </c>
      <c r="AV1860" s="82" t="str">
        <f aca="false">IF(AU1860=1,SUM(AU$7:AU1860),"")</f>
        <v/>
      </c>
      <c r="AW1860" s="82" t="str">
        <f aca="false">IF(E1860="","",B1860&amp;"|"&amp;E1860)</f>
        <v>MFD-ISW → MFD-CPF|JN°1452</v>
      </c>
    </row>
    <row r="1861" customFormat="false" ht="74.6" hidden="false" customHeight="false" outlineLevel="0" collapsed="false">
      <c r="A1861" s="79" t="n">
        <f aca="false">IF(E1861="","",ROW()-6)</f>
        <v>1855</v>
      </c>
      <c r="B1861" s="80" t="s">
        <v>110</v>
      </c>
      <c r="C1861" s="81" t="s">
        <v>2263</v>
      </c>
      <c r="D1861" s="81" t="n">
        <v>17</v>
      </c>
      <c r="E1861" s="81" t="s">
        <v>2267</v>
      </c>
      <c r="F1861" s="82" t="str">
        <f aca="false">IF(E1861="","",IF(LEFT(E1861,2)="DJ","DJ","JN"))</f>
        <v>JN</v>
      </c>
      <c r="G1861" s="81" t="s">
        <v>1504</v>
      </c>
      <c r="H1861" s="81" t="s">
        <v>871</v>
      </c>
      <c r="I1861" s="81" t="n">
        <v>9.53</v>
      </c>
      <c r="J1861" s="81" t="s">
        <v>872</v>
      </c>
      <c r="K1861" s="81" t="s">
        <v>879</v>
      </c>
      <c r="L1861" s="81" t="n">
        <v>2086750</v>
      </c>
      <c r="M1861" s="81" t="n">
        <v>15421107</v>
      </c>
      <c r="N1861" s="81" t="n">
        <v>11.94</v>
      </c>
      <c r="O1861" s="81" t="n">
        <v>2083760</v>
      </c>
      <c r="P1861" s="81" t="n">
        <v>15421105</v>
      </c>
      <c r="Q1861" s="81" t="n">
        <v>11.94</v>
      </c>
      <c r="R1861" s="81" t="s">
        <v>2097</v>
      </c>
      <c r="S1861" s="81"/>
      <c r="T1861" s="81"/>
      <c r="U1861" s="83" t="n">
        <v>46270</v>
      </c>
      <c r="V1861" s="83" t="n">
        <v>46270</v>
      </c>
      <c r="W1861" s="81" t="s">
        <v>2238</v>
      </c>
      <c r="X1861" s="81" t="s">
        <v>876</v>
      </c>
      <c r="Y1861" s="83" t="n">
        <v>46276</v>
      </c>
      <c r="Z1861" s="81" t="s">
        <v>2268</v>
      </c>
      <c r="AA1861" s="81" t="s">
        <v>876</v>
      </c>
      <c r="AB1861" s="81"/>
      <c r="AC1861" s="81"/>
      <c r="AD1861" s="81"/>
      <c r="AE1861" s="83"/>
      <c r="AF1861" s="81"/>
      <c r="AG1861" s="81"/>
      <c r="AH1861" s="81"/>
      <c r="AI1861" s="81"/>
      <c r="AJ1861" s="83"/>
      <c r="AK1861" s="81"/>
      <c r="AL1861" s="81"/>
      <c r="AM1861" s="83"/>
      <c r="AN1861" s="80"/>
      <c r="AO1861" s="82" t="n">
        <f aca="false">IF(E1861="","",(AA1861&lt;&gt;"")+(AG1861&lt;&gt;"")+(AL1861&lt;&gt;""))</f>
        <v>1</v>
      </c>
      <c r="AP1861" s="82" t="str">
        <f aca="false">IF(AL1861&lt;&gt;"",AL1861,IF(AG1861&lt;&gt;"",AG1861,IF(AA1861&lt;&gt;"",AA1861,"")))</f>
        <v>A</v>
      </c>
      <c r="AQ1861" s="84" t="str">
        <f aca="false">IF(E1861="","",IF(U1861="","À SOUDER",IF(X1861="","VT EN ATTENTE",IF(X1861="R","VT REJETÉ – À REPRENDRE",IF(AP1861="","À RADIOGRAPHIER",IF(AP1861="A","ACCEPTÉ",IF(AP1861="NX","NX – RT À REFAIRE",IF(IF(AO1861=1,AD1861,IF(AO1861=2,AI1861,""))="A","RÉPARÉ – À RADIOGRAPHIER",IF(IF(AO1861=1,AD1861,IF(AO1861=2,AI1861,""))="R","VT REJETÉ – À REPRENDRE",IF(OR(AP1861="CO",AP1861="NT"),"COUPE – À RESOUDER","À RÉPARER"))))))))))</f>
        <v>ACCEPTÉ</v>
      </c>
      <c r="AR1861" s="82" t="str">
        <f aca="false">IF(AND(ISNUMBER(U1861),OR(AQ1861="À RADIOGRAPHIER",AQ1861="RÉPARÉ – À RADIOGRAPHIER",AQ1861="NX – RT À REFAIRE",AQ1861="À RÉPARER",AQ1861="COUPE – À RESOUDER",AQ1861="VT REJETÉ – À REPRENDRE")),MAX(0,'PROGRAMME RT'!$C$4-U1861),"")</f>
        <v/>
      </c>
      <c r="AS1861" s="82" t="n">
        <f aca="false">IF(AND(OR(AQ1861="À RADIOGRAPHIER",AQ1861="RÉPARÉ – À RADIOGRAPHIER",AQ1861="NX – RT À REFAIRE"),OR('PROGRAMME RT'!$D$5="TOUTES",B1861='PROGRAMME RT'!$D$5)),1,0)</f>
        <v>0</v>
      </c>
      <c r="AT1861" s="82" t="str">
        <f aca="false">IF(AS1861=1,SUM(AS$7:AS1861),"")</f>
        <v/>
      </c>
      <c r="AU1861" s="82" t="n">
        <f aca="false">IF(AND(OR(AA1861="R",AA1861="NX",AA1861="NT",AA1861="CO"),OR('JOINTS DE RÉPARATION'!$D$5="TOUTES",B1861='JOINTS DE RÉPARATION'!$D$5),OR('JOINTS DE RÉPARATION'!$L$4="TOUS",AQ1861&lt;&gt;"ACCEPTÉ")),1,0)</f>
        <v>0</v>
      </c>
      <c r="AV1861" s="82" t="str">
        <f aca="false">IF(AU1861=1,SUM(AU$7:AU1861),"")</f>
        <v/>
      </c>
      <c r="AW1861" s="82" t="str">
        <f aca="false">IF(E1861="","",B1861&amp;"|"&amp;E1861)</f>
        <v>MFD-ISW → MFD-CPF|JN°1453</v>
      </c>
    </row>
    <row r="1862" customFormat="false" ht="74.6" hidden="false" customHeight="false" outlineLevel="0" collapsed="false">
      <c r="A1862" s="79" t="n">
        <f aca="false">IF(E1862="","",ROW()-6)</f>
        <v>1856</v>
      </c>
      <c r="B1862" s="80" t="s">
        <v>110</v>
      </c>
      <c r="C1862" s="81" t="s">
        <v>2263</v>
      </c>
      <c r="D1862" s="81" t="n">
        <v>17</v>
      </c>
      <c r="E1862" s="81" t="s">
        <v>2269</v>
      </c>
      <c r="F1862" s="82" t="str">
        <f aca="false">IF(E1862="","",IF(LEFT(E1862,2)="DJ","DJ","JN"))</f>
        <v>JN</v>
      </c>
      <c r="G1862" s="81" t="s">
        <v>1504</v>
      </c>
      <c r="H1862" s="81" t="s">
        <v>871</v>
      </c>
      <c r="I1862" s="81" t="n">
        <v>9.53</v>
      </c>
      <c r="J1862" s="81" t="s">
        <v>872</v>
      </c>
      <c r="K1862" s="81" t="s">
        <v>879</v>
      </c>
      <c r="L1862" s="81" t="n">
        <v>2097100</v>
      </c>
      <c r="M1862" s="81" t="n">
        <v>15421112</v>
      </c>
      <c r="N1862" s="81" t="n">
        <v>11.94</v>
      </c>
      <c r="O1862" s="81" t="n">
        <v>2089430</v>
      </c>
      <c r="P1862" s="81" t="n">
        <v>15421109</v>
      </c>
      <c r="Q1862" s="81" t="n">
        <v>11.94</v>
      </c>
      <c r="R1862" s="81" t="s">
        <v>2097</v>
      </c>
      <c r="S1862" s="81"/>
      <c r="T1862" s="81"/>
      <c r="U1862" s="83" t="n">
        <v>46270</v>
      </c>
      <c r="V1862" s="83" t="n">
        <v>46270</v>
      </c>
      <c r="W1862" s="81" t="s">
        <v>2238</v>
      </c>
      <c r="X1862" s="81" t="s">
        <v>876</v>
      </c>
      <c r="Y1862" s="83" t="n">
        <v>46276</v>
      </c>
      <c r="Z1862" s="81" t="s">
        <v>2268</v>
      </c>
      <c r="AA1862" s="81" t="s">
        <v>876</v>
      </c>
      <c r="AB1862" s="81"/>
      <c r="AC1862" s="81"/>
      <c r="AD1862" s="81"/>
      <c r="AE1862" s="83"/>
      <c r="AF1862" s="81"/>
      <c r="AG1862" s="81"/>
      <c r="AH1862" s="81"/>
      <c r="AI1862" s="81"/>
      <c r="AJ1862" s="83"/>
      <c r="AK1862" s="81"/>
      <c r="AL1862" s="81"/>
      <c r="AM1862" s="83"/>
      <c r="AN1862" s="80"/>
      <c r="AO1862" s="82" t="n">
        <f aca="false">IF(E1862="","",(AA1862&lt;&gt;"")+(AG1862&lt;&gt;"")+(AL1862&lt;&gt;""))</f>
        <v>1</v>
      </c>
      <c r="AP1862" s="82" t="str">
        <f aca="false">IF(AL1862&lt;&gt;"",AL1862,IF(AG1862&lt;&gt;"",AG1862,IF(AA1862&lt;&gt;"",AA1862,"")))</f>
        <v>A</v>
      </c>
      <c r="AQ1862" s="84" t="str">
        <f aca="false">IF(E1862="","",IF(U1862="","À SOUDER",IF(X1862="","VT EN ATTENTE",IF(X1862="R","VT REJETÉ – À REPRENDRE",IF(AP1862="","À RADIOGRAPHIER",IF(AP1862="A","ACCEPTÉ",IF(AP1862="NX","NX – RT À REFAIRE",IF(IF(AO1862=1,AD1862,IF(AO1862=2,AI1862,""))="A","RÉPARÉ – À RADIOGRAPHIER",IF(IF(AO1862=1,AD1862,IF(AO1862=2,AI1862,""))="R","VT REJETÉ – À REPRENDRE",IF(OR(AP1862="CO",AP1862="NT"),"COUPE – À RESOUDER","À RÉPARER"))))))))))</f>
        <v>ACCEPTÉ</v>
      </c>
      <c r="AR1862" s="82" t="str">
        <f aca="false">IF(AND(ISNUMBER(U1862),OR(AQ1862="À RADIOGRAPHIER",AQ1862="RÉPARÉ – À RADIOGRAPHIER",AQ1862="NX – RT À REFAIRE",AQ1862="À RÉPARER",AQ1862="COUPE – À RESOUDER",AQ1862="VT REJETÉ – À REPRENDRE")),MAX(0,'PROGRAMME RT'!$C$4-U1862),"")</f>
        <v/>
      </c>
      <c r="AS1862" s="82" t="n">
        <f aca="false">IF(AND(OR(AQ1862="À RADIOGRAPHIER",AQ1862="RÉPARÉ – À RADIOGRAPHIER",AQ1862="NX – RT À REFAIRE"),OR('PROGRAMME RT'!$D$5="TOUTES",B1862='PROGRAMME RT'!$D$5)),1,0)</f>
        <v>0</v>
      </c>
      <c r="AT1862" s="82" t="str">
        <f aca="false">IF(AS1862=1,SUM(AS$7:AS1862),"")</f>
        <v/>
      </c>
      <c r="AU1862" s="82" t="n">
        <f aca="false">IF(AND(OR(AA1862="R",AA1862="NX",AA1862="NT",AA1862="CO"),OR('JOINTS DE RÉPARATION'!$D$5="TOUTES",B1862='JOINTS DE RÉPARATION'!$D$5),OR('JOINTS DE RÉPARATION'!$L$4="TOUS",AQ1862&lt;&gt;"ACCEPTÉ")),1,0)</f>
        <v>0</v>
      </c>
      <c r="AV1862" s="82" t="str">
        <f aca="false">IF(AU1862=1,SUM(AU$7:AU1862),"")</f>
        <v/>
      </c>
      <c r="AW1862" s="82" t="str">
        <f aca="false">IF(E1862="","",B1862&amp;"|"&amp;E1862)</f>
        <v>MFD-ISW → MFD-CPF|JN°1454</v>
      </c>
    </row>
    <row r="1863" customFormat="false" ht="74.6" hidden="false" customHeight="false" outlineLevel="0" collapsed="false">
      <c r="A1863" s="79" t="n">
        <f aca="false">IF(E1863="","",ROW()-6)</f>
        <v>1857</v>
      </c>
      <c r="B1863" s="80" t="s">
        <v>110</v>
      </c>
      <c r="C1863" s="81" t="s">
        <v>2263</v>
      </c>
      <c r="D1863" s="81" t="n">
        <v>17</v>
      </c>
      <c r="E1863" s="81" t="s">
        <v>2270</v>
      </c>
      <c r="F1863" s="82" t="str">
        <f aca="false">IF(E1863="","",IF(LEFT(E1863,2)="DJ","DJ","JN"))</f>
        <v>JN</v>
      </c>
      <c r="G1863" s="81" t="s">
        <v>1504</v>
      </c>
      <c r="H1863" s="81" t="s">
        <v>871</v>
      </c>
      <c r="I1863" s="81" t="n">
        <v>9.53</v>
      </c>
      <c r="J1863" s="81" t="s">
        <v>872</v>
      </c>
      <c r="K1863" s="81" t="s">
        <v>879</v>
      </c>
      <c r="L1863" s="81" t="n">
        <v>2084090</v>
      </c>
      <c r="M1863" s="81" t="n">
        <v>15421106</v>
      </c>
      <c r="N1863" s="81" t="n">
        <v>11.94</v>
      </c>
      <c r="O1863" s="81" t="n">
        <v>2097730</v>
      </c>
      <c r="P1863" s="81" t="n">
        <v>15421112</v>
      </c>
      <c r="Q1863" s="81" t="n">
        <v>11.94</v>
      </c>
      <c r="R1863" s="81" t="s">
        <v>2097</v>
      </c>
      <c r="S1863" s="81"/>
      <c r="T1863" s="81"/>
      <c r="U1863" s="83" t="n">
        <v>46270</v>
      </c>
      <c r="V1863" s="83" t="n">
        <v>46270</v>
      </c>
      <c r="W1863" s="81" t="s">
        <v>2238</v>
      </c>
      <c r="X1863" s="81" t="s">
        <v>876</v>
      </c>
      <c r="Y1863" s="83" t="n">
        <v>46276</v>
      </c>
      <c r="Z1863" s="81" t="s">
        <v>2268</v>
      </c>
      <c r="AA1863" s="81" t="s">
        <v>876</v>
      </c>
      <c r="AB1863" s="81"/>
      <c r="AC1863" s="81"/>
      <c r="AD1863" s="81"/>
      <c r="AE1863" s="83"/>
      <c r="AF1863" s="81"/>
      <c r="AG1863" s="81"/>
      <c r="AH1863" s="81"/>
      <c r="AI1863" s="81"/>
      <c r="AJ1863" s="83"/>
      <c r="AK1863" s="81"/>
      <c r="AL1863" s="81"/>
      <c r="AM1863" s="83"/>
      <c r="AN1863" s="80"/>
      <c r="AO1863" s="82" t="n">
        <f aca="false">IF(E1863="","",(AA1863&lt;&gt;"")+(AG1863&lt;&gt;"")+(AL1863&lt;&gt;""))</f>
        <v>1</v>
      </c>
      <c r="AP1863" s="82" t="str">
        <f aca="false">IF(AL1863&lt;&gt;"",AL1863,IF(AG1863&lt;&gt;"",AG1863,IF(AA1863&lt;&gt;"",AA1863,"")))</f>
        <v>A</v>
      </c>
      <c r="AQ1863" s="84" t="str">
        <f aca="false">IF(E1863="","",IF(U1863="","À SOUDER",IF(X1863="","VT EN ATTENTE",IF(X1863="R","VT REJETÉ – À REPRENDRE",IF(AP1863="","À RADIOGRAPHIER",IF(AP1863="A","ACCEPTÉ",IF(AP1863="NX","NX – RT À REFAIRE",IF(IF(AO1863=1,AD1863,IF(AO1863=2,AI1863,""))="A","RÉPARÉ – À RADIOGRAPHIER",IF(IF(AO1863=1,AD1863,IF(AO1863=2,AI1863,""))="R","VT REJETÉ – À REPRENDRE",IF(OR(AP1863="CO",AP1863="NT"),"COUPE – À RESOUDER","À RÉPARER"))))))))))</f>
        <v>ACCEPTÉ</v>
      </c>
      <c r="AR1863" s="82" t="str">
        <f aca="false">IF(AND(ISNUMBER(U1863),OR(AQ1863="À RADIOGRAPHIER",AQ1863="RÉPARÉ – À RADIOGRAPHIER",AQ1863="NX – RT À REFAIRE",AQ1863="À RÉPARER",AQ1863="COUPE – À RESOUDER",AQ1863="VT REJETÉ – À REPRENDRE")),MAX(0,'PROGRAMME RT'!$C$4-U1863),"")</f>
        <v/>
      </c>
      <c r="AS1863" s="82" t="n">
        <f aca="false">IF(AND(OR(AQ1863="À RADIOGRAPHIER",AQ1863="RÉPARÉ – À RADIOGRAPHIER",AQ1863="NX – RT À REFAIRE"),OR('PROGRAMME RT'!$D$5="TOUTES",B1863='PROGRAMME RT'!$D$5)),1,0)</f>
        <v>0</v>
      </c>
      <c r="AT1863" s="82" t="str">
        <f aca="false">IF(AS1863=1,SUM(AS$7:AS1863),"")</f>
        <v/>
      </c>
      <c r="AU1863" s="82" t="n">
        <f aca="false">IF(AND(OR(AA1863="R",AA1863="NX",AA1863="NT",AA1863="CO"),OR('JOINTS DE RÉPARATION'!$D$5="TOUTES",B1863='JOINTS DE RÉPARATION'!$D$5),OR('JOINTS DE RÉPARATION'!$L$4="TOUS",AQ1863&lt;&gt;"ACCEPTÉ")),1,0)</f>
        <v>0</v>
      </c>
      <c r="AV1863" s="82" t="str">
        <f aca="false">IF(AU1863=1,SUM(AU$7:AU1863),"")</f>
        <v/>
      </c>
      <c r="AW1863" s="82" t="str">
        <f aca="false">IF(E1863="","",B1863&amp;"|"&amp;E1863)</f>
        <v>MFD-ISW → MFD-CPF|JN°1455</v>
      </c>
    </row>
    <row r="1864" customFormat="false" ht="74.6" hidden="false" customHeight="false" outlineLevel="0" collapsed="false">
      <c r="A1864" s="79" t="n">
        <f aca="false">IF(E1864="","",ROW()-6)</f>
        <v>1858</v>
      </c>
      <c r="B1864" s="80" t="s">
        <v>110</v>
      </c>
      <c r="C1864" s="81" t="s">
        <v>2263</v>
      </c>
      <c r="D1864" s="81" t="n">
        <v>17</v>
      </c>
      <c r="E1864" s="81" t="s">
        <v>2271</v>
      </c>
      <c r="F1864" s="82" t="str">
        <f aca="false">IF(E1864="","",IF(LEFT(E1864,2)="DJ","DJ","JN"))</f>
        <v>JN</v>
      </c>
      <c r="G1864" s="81" t="s">
        <v>1504</v>
      </c>
      <c r="H1864" s="81" t="s">
        <v>871</v>
      </c>
      <c r="I1864" s="81" t="n">
        <v>9.53</v>
      </c>
      <c r="J1864" s="81" t="s">
        <v>872</v>
      </c>
      <c r="K1864" s="81" t="s">
        <v>879</v>
      </c>
      <c r="L1864" s="81" t="n">
        <v>2096440</v>
      </c>
      <c r="M1864" s="81" t="n">
        <v>15421111</v>
      </c>
      <c r="N1864" s="81" t="n">
        <v>11.94</v>
      </c>
      <c r="O1864" s="81" t="n">
        <v>2081760</v>
      </c>
      <c r="P1864" s="81" t="n">
        <v>15421103</v>
      </c>
      <c r="Q1864" s="81" t="n">
        <v>11.94</v>
      </c>
      <c r="R1864" s="81" t="s">
        <v>2097</v>
      </c>
      <c r="S1864" s="81"/>
      <c r="T1864" s="81"/>
      <c r="U1864" s="83" t="n">
        <v>46270</v>
      </c>
      <c r="V1864" s="83" t="n">
        <v>46270</v>
      </c>
      <c r="W1864" s="81" t="s">
        <v>2238</v>
      </c>
      <c r="X1864" s="81" t="s">
        <v>876</v>
      </c>
      <c r="Y1864" s="83" t="n">
        <v>46276</v>
      </c>
      <c r="Z1864" s="81" t="s">
        <v>2268</v>
      </c>
      <c r="AA1864" s="81" t="s">
        <v>876</v>
      </c>
      <c r="AB1864" s="81"/>
      <c r="AC1864" s="81"/>
      <c r="AD1864" s="81"/>
      <c r="AE1864" s="83"/>
      <c r="AF1864" s="81"/>
      <c r="AG1864" s="81"/>
      <c r="AH1864" s="81"/>
      <c r="AI1864" s="81"/>
      <c r="AJ1864" s="83"/>
      <c r="AK1864" s="81"/>
      <c r="AL1864" s="81"/>
      <c r="AM1864" s="83"/>
      <c r="AN1864" s="80"/>
      <c r="AO1864" s="82" t="n">
        <f aca="false">IF(E1864="","",(AA1864&lt;&gt;"")+(AG1864&lt;&gt;"")+(AL1864&lt;&gt;""))</f>
        <v>1</v>
      </c>
      <c r="AP1864" s="82" t="str">
        <f aca="false">IF(AL1864&lt;&gt;"",AL1864,IF(AG1864&lt;&gt;"",AG1864,IF(AA1864&lt;&gt;"",AA1864,"")))</f>
        <v>A</v>
      </c>
      <c r="AQ1864" s="84" t="str">
        <f aca="false">IF(E1864="","",IF(U1864="","À SOUDER",IF(X1864="","VT EN ATTENTE",IF(X1864="R","VT REJETÉ – À REPRENDRE",IF(AP1864="","À RADIOGRAPHIER",IF(AP1864="A","ACCEPTÉ",IF(AP1864="NX","NX – RT À REFAIRE",IF(IF(AO1864=1,AD1864,IF(AO1864=2,AI1864,""))="A","RÉPARÉ – À RADIOGRAPHIER",IF(IF(AO1864=1,AD1864,IF(AO1864=2,AI1864,""))="R","VT REJETÉ – À REPRENDRE",IF(OR(AP1864="CO",AP1864="NT"),"COUPE – À RESOUDER","À RÉPARER"))))))))))</f>
        <v>ACCEPTÉ</v>
      </c>
      <c r="AR1864" s="82" t="str">
        <f aca="false">IF(AND(ISNUMBER(U1864),OR(AQ1864="À RADIOGRAPHIER",AQ1864="RÉPARÉ – À RADIOGRAPHIER",AQ1864="NX – RT À REFAIRE",AQ1864="À RÉPARER",AQ1864="COUPE – À RESOUDER",AQ1864="VT REJETÉ – À REPRENDRE")),MAX(0,'PROGRAMME RT'!$C$4-U1864),"")</f>
        <v/>
      </c>
      <c r="AS1864" s="82" t="n">
        <f aca="false">IF(AND(OR(AQ1864="À RADIOGRAPHIER",AQ1864="RÉPARÉ – À RADIOGRAPHIER",AQ1864="NX – RT À REFAIRE"),OR('PROGRAMME RT'!$D$5="TOUTES",B1864='PROGRAMME RT'!$D$5)),1,0)</f>
        <v>0</v>
      </c>
      <c r="AT1864" s="82" t="str">
        <f aca="false">IF(AS1864=1,SUM(AS$7:AS1864),"")</f>
        <v/>
      </c>
      <c r="AU1864" s="82" t="n">
        <f aca="false">IF(AND(OR(AA1864="R",AA1864="NX",AA1864="NT",AA1864="CO"),OR('JOINTS DE RÉPARATION'!$D$5="TOUTES",B1864='JOINTS DE RÉPARATION'!$D$5),OR('JOINTS DE RÉPARATION'!$L$4="TOUS",AQ1864&lt;&gt;"ACCEPTÉ")),1,0)</f>
        <v>0</v>
      </c>
      <c r="AV1864" s="82" t="str">
        <f aca="false">IF(AU1864=1,SUM(AU$7:AU1864),"")</f>
        <v/>
      </c>
      <c r="AW1864" s="82" t="str">
        <f aca="false">IF(E1864="","",B1864&amp;"|"&amp;E1864)</f>
        <v>MFD-ISW → MFD-CPF|JN°1456</v>
      </c>
    </row>
    <row r="1865" customFormat="false" ht="74.6" hidden="false" customHeight="false" outlineLevel="0" collapsed="false">
      <c r="A1865" s="79" t="n">
        <f aca="false">IF(E1865="","",ROW()-6)</f>
        <v>1859</v>
      </c>
      <c r="B1865" s="80" t="s">
        <v>110</v>
      </c>
      <c r="C1865" s="81" t="s">
        <v>2263</v>
      </c>
      <c r="D1865" s="81" t="n">
        <v>17</v>
      </c>
      <c r="E1865" s="81" t="s">
        <v>2272</v>
      </c>
      <c r="F1865" s="82" t="str">
        <f aca="false">IF(E1865="","",IF(LEFT(E1865,2)="DJ","DJ","JN"))</f>
        <v>JN</v>
      </c>
      <c r="G1865" s="81" t="s">
        <v>1504</v>
      </c>
      <c r="H1865" s="81" t="s">
        <v>871</v>
      </c>
      <c r="I1865" s="81" t="n">
        <v>9.53</v>
      </c>
      <c r="J1865" s="81" t="s">
        <v>872</v>
      </c>
      <c r="K1865" s="81" t="s">
        <v>879</v>
      </c>
      <c r="L1865" s="81" t="n">
        <v>2097340</v>
      </c>
      <c r="M1865" s="81" t="n">
        <v>15421111</v>
      </c>
      <c r="N1865" s="81" t="n">
        <v>11.94</v>
      </c>
      <c r="O1865" s="81" t="n">
        <v>2090670</v>
      </c>
      <c r="P1865" s="81" t="n">
        <v>15421109</v>
      </c>
      <c r="Q1865" s="81" t="n">
        <v>11.94</v>
      </c>
      <c r="R1865" s="81" t="s">
        <v>2273</v>
      </c>
      <c r="S1865" s="81"/>
      <c r="T1865" s="81"/>
      <c r="U1865" s="83" t="n">
        <v>46269</v>
      </c>
      <c r="V1865" s="83" t="n">
        <v>46269</v>
      </c>
      <c r="W1865" s="81" t="s">
        <v>2238</v>
      </c>
      <c r="X1865" s="81" t="s">
        <v>876</v>
      </c>
      <c r="Y1865" s="83" t="n">
        <v>46276</v>
      </c>
      <c r="Z1865" s="81" t="s">
        <v>2268</v>
      </c>
      <c r="AA1865" s="81" t="s">
        <v>876</v>
      </c>
      <c r="AB1865" s="81"/>
      <c r="AC1865" s="81"/>
      <c r="AD1865" s="81"/>
      <c r="AE1865" s="83"/>
      <c r="AF1865" s="81"/>
      <c r="AG1865" s="81"/>
      <c r="AH1865" s="81"/>
      <c r="AI1865" s="81"/>
      <c r="AJ1865" s="83"/>
      <c r="AK1865" s="81"/>
      <c r="AL1865" s="81"/>
      <c r="AM1865" s="83"/>
      <c r="AN1865" s="80"/>
      <c r="AO1865" s="82" t="n">
        <f aca="false">IF(E1865="","",(AA1865&lt;&gt;"")+(AG1865&lt;&gt;"")+(AL1865&lt;&gt;""))</f>
        <v>1</v>
      </c>
      <c r="AP1865" s="82" t="str">
        <f aca="false">IF(AL1865&lt;&gt;"",AL1865,IF(AG1865&lt;&gt;"",AG1865,IF(AA1865&lt;&gt;"",AA1865,"")))</f>
        <v>A</v>
      </c>
      <c r="AQ1865" s="84" t="str">
        <f aca="false">IF(E1865="","",IF(U1865="","À SOUDER",IF(X1865="","VT EN ATTENTE",IF(X1865="R","VT REJETÉ – À REPRENDRE",IF(AP1865="","À RADIOGRAPHIER",IF(AP1865="A","ACCEPTÉ",IF(AP1865="NX","NX – RT À REFAIRE",IF(IF(AO1865=1,AD1865,IF(AO1865=2,AI1865,""))="A","RÉPARÉ – À RADIOGRAPHIER",IF(IF(AO1865=1,AD1865,IF(AO1865=2,AI1865,""))="R","VT REJETÉ – À REPRENDRE",IF(OR(AP1865="CO",AP1865="NT"),"COUPE – À RESOUDER","À RÉPARER"))))))))))</f>
        <v>ACCEPTÉ</v>
      </c>
      <c r="AR1865" s="82" t="str">
        <f aca="false">IF(AND(ISNUMBER(U1865),OR(AQ1865="À RADIOGRAPHIER",AQ1865="RÉPARÉ – À RADIOGRAPHIER",AQ1865="NX – RT À REFAIRE",AQ1865="À RÉPARER",AQ1865="COUPE – À RESOUDER",AQ1865="VT REJETÉ – À REPRENDRE")),MAX(0,'PROGRAMME RT'!$C$4-U1865),"")</f>
        <v/>
      </c>
      <c r="AS1865" s="82" t="n">
        <f aca="false">IF(AND(OR(AQ1865="À RADIOGRAPHIER",AQ1865="RÉPARÉ – À RADIOGRAPHIER",AQ1865="NX – RT À REFAIRE"),OR('PROGRAMME RT'!$D$5="TOUTES",B1865='PROGRAMME RT'!$D$5)),1,0)</f>
        <v>0</v>
      </c>
      <c r="AT1865" s="82" t="str">
        <f aca="false">IF(AS1865=1,SUM(AS$7:AS1865),"")</f>
        <v/>
      </c>
      <c r="AU1865" s="82" t="n">
        <f aca="false">IF(AND(OR(AA1865="R",AA1865="NX",AA1865="NT",AA1865="CO"),OR('JOINTS DE RÉPARATION'!$D$5="TOUTES",B1865='JOINTS DE RÉPARATION'!$D$5),OR('JOINTS DE RÉPARATION'!$L$4="TOUS",AQ1865&lt;&gt;"ACCEPTÉ")),1,0)</f>
        <v>0</v>
      </c>
      <c r="AV1865" s="82" t="str">
        <f aca="false">IF(AU1865=1,SUM(AU$7:AU1865),"")</f>
        <v/>
      </c>
      <c r="AW1865" s="82" t="str">
        <f aca="false">IF(E1865="","",B1865&amp;"|"&amp;E1865)</f>
        <v>MFD-ISW → MFD-CPF|JN°1457</v>
      </c>
    </row>
    <row r="1866" customFormat="false" ht="74.6" hidden="false" customHeight="false" outlineLevel="0" collapsed="false">
      <c r="A1866" s="79" t="n">
        <f aca="false">IF(E1866="","",ROW()-6)</f>
        <v>1860</v>
      </c>
      <c r="B1866" s="80" t="s">
        <v>110</v>
      </c>
      <c r="C1866" s="81" t="s">
        <v>2263</v>
      </c>
      <c r="D1866" s="81" t="n">
        <v>17</v>
      </c>
      <c r="E1866" s="81" t="s">
        <v>2274</v>
      </c>
      <c r="F1866" s="82" t="str">
        <f aca="false">IF(E1866="","",IF(LEFT(E1866,2)="DJ","DJ","JN"))</f>
        <v>DJ</v>
      </c>
      <c r="G1866" s="81"/>
      <c r="H1866" s="81" t="s">
        <v>871</v>
      </c>
      <c r="I1866" s="81" t="n">
        <v>9.53</v>
      </c>
      <c r="J1866" s="81" t="s">
        <v>872</v>
      </c>
      <c r="K1866" s="81" t="s">
        <v>873</v>
      </c>
      <c r="L1866" s="81" t="n">
        <v>2085560</v>
      </c>
      <c r="M1866" s="81" t="n">
        <v>15421107</v>
      </c>
      <c r="N1866" s="81" t="n">
        <v>11.94</v>
      </c>
      <c r="O1866" s="81" t="n">
        <v>2090670</v>
      </c>
      <c r="P1866" s="81" t="n">
        <v>15421109</v>
      </c>
      <c r="Q1866" s="81" t="n">
        <v>11.94</v>
      </c>
      <c r="R1866" s="81" t="s">
        <v>963</v>
      </c>
      <c r="S1866" s="81"/>
      <c r="T1866" s="81"/>
      <c r="U1866" s="83" t="n">
        <v>46252</v>
      </c>
      <c r="V1866" s="83" t="n">
        <v>46252</v>
      </c>
      <c r="W1866" s="81" t="s">
        <v>2275</v>
      </c>
      <c r="X1866" s="81" t="s">
        <v>876</v>
      </c>
      <c r="Y1866" s="83" t="n">
        <v>46254</v>
      </c>
      <c r="Z1866" s="81" t="s">
        <v>2141</v>
      </c>
      <c r="AA1866" s="81" t="s">
        <v>876</v>
      </c>
      <c r="AB1866" s="81"/>
      <c r="AC1866" s="81"/>
      <c r="AD1866" s="81"/>
      <c r="AE1866" s="83"/>
      <c r="AF1866" s="81"/>
      <c r="AG1866" s="81"/>
      <c r="AH1866" s="81"/>
      <c r="AI1866" s="81"/>
      <c r="AJ1866" s="83"/>
      <c r="AK1866" s="81"/>
      <c r="AL1866" s="81"/>
      <c r="AM1866" s="83"/>
      <c r="AN1866" s="80"/>
      <c r="AO1866" s="82" t="n">
        <f aca="false">IF(E1866="","",(AA1866&lt;&gt;"")+(AG1866&lt;&gt;"")+(AL1866&lt;&gt;""))</f>
        <v>1</v>
      </c>
      <c r="AP1866" s="82" t="str">
        <f aca="false">IF(AL1866&lt;&gt;"",AL1866,IF(AG1866&lt;&gt;"",AG1866,IF(AA1866&lt;&gt;"",AA1866,"")))</f>
        <v>A</v>
      </c>
      <c r="AQ1866" s="84" t="str">
        <f aca="false">IF(E1866="","",IF(U1866="","À SOUDER",IF(X1866="","VT EN ATTENTE",IF(X1866="R","VT REJETÉ – À REPRENDRE",IF(AP1866="","À RADIOGRAPHIER",IF(AP1866="A","ACCEPTÉ",IF(AP1866="NX","NX – RT À REFAIRE",IF(IF(AO1866=1,AD1866,IF(AO1866=2,AI1866,""))="A","RÉPARÉ – À RADIOGRAPHIER",IF(IF(AO1866=1,AD1866,IF(AO1866=2,AI1866,""))="R","VT REJETÉ – À REPRENDRE",IF(OR(AP1866="CO",AP1866="NT"),"COUPE – À RESOUDER","À RÉPARER"))))))))))</f>
        <v>ACCEPTÉ</v>
      </c>
      <c r="AR1866" s="82" t="str">
        <f aca="false">IF(AND(ISNUMBER(U1866),OR(AQ1866="À RADIOGRAPHIER",AQ1866="RÉPARÉ – À RADIOGRAPHIER",AQ1866="NX – RT À REFAIRE",AQ1866="À RÉPARER",AQ1866="COUPE – À RESOUDER",AQ1866="VT REJETÉ – À REPRENDRE")),MAX(0,'PROGRAMME RT'!$C$4-U1866),"")</f>
        <v/>
      </c>
      <c r="AS1866" s="82" t="n">
        <f aca="false">IF(AND(OR(AQ1866="À RADIOGRAPHIER",AQ1866="RÉPARÉ – À RADIOGRAPHIER",AQ1866="NX – RT À REFAIRE"),OR('PROGRAMME RT'!$D$5="TOUTES",B1866='PROGRAMME RT'!$D$5)),1,0)</f>
        <v>0</v>
      </c>
      <c r="AT1866" s="82" t="str">
        <f aca="false">IF(AS1866=1,SUM(AS$7:AS1866),"")</f>
        <v/>
      </c>
      <c r="AU1866" s="82" t="n">
        <f aca="false">IF(AND(OR(AA1866="R",AA1866="NX",AA1866="NT",AA1866="CO"),OR('JOINTS DE RÉPARATION'!$D$5="TOUTES",B1866='JOINTS DE RÉPARATION'!$D$5),OR('JOINTS DE RÉPARATION'!$L$4="TOUS",AQ1866&lt;&gt;"ACCEPTÉ")),1,0)</f>
        <v>0</v>
      </c>
      <c r="AV1866" s="82" t="str">
        <f aca="false">IF(AU1866=1,SUM(AU$7:AU1866),"")</f>
        <v/>
      </c>
      <c r="AW1866" s="82" t="str">
        <f aca="false">IF(E1866="","",B1866&amp;"|"&amp;E1866)</f>
        <v>MFD-ISW → MFD-CPF|DJ°040</v>
      </c>
    </row>
    <row r="1867" customFormat="false" ht="74.6" hidden="false" customHeight="false" outlineLevel="0" collapsed="false">
      <c r="A1867" s="79" t="n">
        <f aca="false">IF(E1867="","",ROW()-6)</f>
        <v>1861</v>
      </c>
      <c r="B1867" s="80" t="s">
        <v>110</v>
      </c>
      <c r="C1867" s="81" t="s">
        <v>2263</v>
      </c>
      <c r="D1867" s="81" t="n">
        <v>17</v>
      </c>
      <c r="E1867" s="81" t="s">
        <v>2276</v>
      </c>
      <c r="F1867" s="82" t="str">
        <f aca="false">IF(E1867="","",IF(LEFT(E1867,2)="DJ","DJ","JN"))</f>
        <v>JN</v>
      </c>
      <c r="G1867" s="81" t="s">
        <v>1504</v>
      </c>
      <c r="H1867" s="81" t="s">
        <v>871</v>
      </c>
      <c r="I1867" s="81" t="n">
        <v>9.53</v>
      </c>
      <c r="J1867" s="81" t="s">
        <v>872</v>
      </c>
      <c r="K1867" s="81" t="s">
        <v>879</v>
      </c>
      <c r="L1867" s="81" t="n">
        <v>2085560</v>
      </c>
      <c r="M1867" s="81" t="n">
        <v>15421144</v>
      </c>
      <c r="N1867" s="81" t="n">
        <v>11.94</v>
      </c>
      <c r="O1867" s="81" t="n">
        <v>2085880</v>
      </c>
      <c r="P1867" s="81" t="n">
        <v>15421107</v>
      </c>
      <c r="Q1867" s="81" t="n">
        <v>11.94</v>
      </c>
      <c r="R1867" s="81" t="s">
        <v>2273</v>
      </c>
      <c r="S1867" s="81"/>
      <c r="T1867" s="81"/>
      <c r="U1867" s="83" t="n">
        <v>46269</v>
      </c>
      <c r="V1867" s="83" t="n">
        <v>46269</v>
      </c>
      <c r="W1867" s="81" t="s">
        <v>2238</v>
      </c>
      <c r="X1867" s="81" t="s">
        <v>876</v>
      </c>
      <c r="Y1867" s="83" t="n">
        <v>46276</v>
      </c>
      <c r="Z1867" s="81" t="s">
        <v>2268</v>
      </c>
      <c r="AA1867" s="81" t="s">
        <v>876</v>
      </c>
      <c r="AB1867" s="81"/>
      <c r="AC1867" s="81"/>
      <c r="AD1867" s="81"/>
      <c r="AE1867" s="83"/>
      <c r="AF1867" s="81"/>
      <c r="AG1867" s="81"/>
      <c r="AH1867" s="81"/>
      <c r="AI1867" s="81"/>
      <c r="AJ1867" s="83"/>
      <c r="AK1867" s="81"/>
      <c r="AL1867" s="81"/>
      <c r="AM1867" s="83"/>
      <c r="AN1867" s="80"/>
      <c r="AO1867" s="82" t="n">
        <f aca="false">IF(E1867="","",(AA1867&lt;&gt;"")+(AG1867&lt;&gt;"")+(AL1867&lt;&gt;""))</f>
        <v>1</v>
      </c>
      <c r="AP1867" s="82" t="str">
        <f aca="false">IF(AL1867&lt;&gt;"",AL1867,IF(AG1867&lt;&gt;"",AG1867,IF(AA1867&lt;&gt;"",AA1867,"")))</f>
        <v>A</v>
      </c>
      <c r="AQ1867" s="84" t="str">
        <f aca="false">IF(E1867="","",IF(U1867="","À SOUDER",IF(X1867="","VT EN ATTENTE",IF(X1867="R","VT REJETÉ – À REPRENDRE",IF(AP1867="","À RADIOGRAPHIER",IF(AP1867="A","ACCEPTÉ",IF(AP1867="NX","NX – RT À REFAIRE",IF(IF(AO1867=1,AD1867,IF(AO1867=2,AI1867,""))="A","RÉPARÉ – À RADIOGRAPHIER",IF(IF(AO1867=1,AD1867,IF(AO1867=2,AI1867,""))="R","VT REJETÉ – À REPRENDRE",IF(OR(AP1867="CO",AP1867="NT"),"COUPE – À RESOUDER","À RÉPARER"))))))))))</f>
        <v>ACCEPTÉ</v>
      </c>
      <c r="AR1867" s="82" t="str">
        <f aca="false">IF(AND(ISNUMBER(U1867),OR(AQ1867="À RADIOGRAPHIER",AQ1867="RÉPARÉ – À RADIOGRAPHIER",AQ1867="NX – RT À REFAIRE",AQ1867="À RÉPARER",AQ1867="COUPE – À RESOUDER",AQ1867="VT REJETÉ – À REPRENDRE")),MAX(0,'PROGRAMME RT'!$C$4-U1867),"")</f>
        <v/>
      </c>
      <c r="AS1867" s="82" t="n">
        <f aca="false">IF(AND(OR(AQ1867="À RADIOGRAPHIER",AQ1867="RÉPARÉ – À RADIOGRAPHIER",AQ1867="NX – RT À REFAIRE"),OR('PROGRAMME RT'!$D$5="TOUTES",B1867='PROGRAMME RT'!$D$5)),1,0)</f>
        <v>0</v>
      </c>
      <c r="AT1867" s="82" t="str">
        <f aca="false">IF(AS1867=1,SUM(AS$7:AS1867),"")</f>
        <v/>
      </c>
      <c r="AU1867" s="82" t="n">
        <f aca="false">IF(AND(OR(AA1867="R",AA1867="NX",AA1867="NT",AA1867="CO"),OR('JOINTS DE RÉPARATION'!$D$5="TOUTES",B1867='JOINTS DE RÉPARATION'!$D$5),OR('JOINTS DE RÉPARATION'!$L$4="TOUS",AQ1867&lt;&gt;"ACCEPTÉ")),1,0)</f>
        <v>0</v>
      </c>
      <c r="AV1867" s="82" t="str">
        <f aca="false">IF(AU1867=1,SUM(AU$7:AU1867),"")</f>
        <v/>
      </c>
      <c r="AW1867" s="82" t="str">
        <f aca="false">IF(E1867="","",B1867&amp;"|"&amp;E1867)</f>
        <v>MFD-ISW → MFD-CPF|JN°1458</v>
      </c>
    </row>
    <row r="1868" customFormat="false" ht="74.6" hidden="false" customHeight="false" outlineLevel="0" collapsed="false">
      <c r="A1868" s="79" t="n">
        <f aca="false">IF(E1868="","",ROW()-6)</f>
        <v>1862</v>
      </c>
      <c r="B1868" s="80" t="s">
        <v>110</v>
      </c>
      <c r="C1868" s="81" t="s">
        <v>2263</v>
      </c>
      <c r="D1868" s="81" t="n">
        <v>17</v>
      </c>
      <c r="E1868" s="81" t="s">
        <v>2277</v>
      </c>
      <c r="F1868" s="82" t="str">
        <f aca="false">IF(E1868="","",IF(LEFT(E1868,2)="DJ","DJ","JN"))</f>
        <v>DJ</v>
      </c>
      <c r="G1868" s="81"/>
      <c r="H1868" s="81" t="s">
        <v>871</v>
      </c>
      <c r="I1868" s="81" t="n">
        <v>9.53</v>
      </c>
      <c r="J1868" s="81" t="s">
        <v>872</v>
      </c>
      <c r="K1868" s="81" t="s">
        <v>873</v>
      </c>
      <c r="L1868" s="81" t="n">
        <v>2085880</v>
      </c>
      <c r="M1868" s="81" t="n">
        <v>15421107</v>
      </c>
      <c r="N1868" s="81" t="n">
        <v>11.94</v>
      </c>
      <c r="O1868" s="81" t="n">
        <v>2085540</v>
      </c>
      <c r="P1868" s="81" t="n">
        <v>15421107</v>
      </c>
      <c r="Q1868" s="81" t="n">
        <v>11.94</v>
      </c>
      <c r="R1868" s="81" t="s">
        <v>963</v>
      </c>
      <c r="S1868" s="81"/>
      <c r="T1868" s="81"/>
      <c r="U1868" s="83" t="n">
        <v>46251</v>
      </c>
      <c r="V1868" s="83" t="n">
        <v>46251</v>
      </c>
      <c r="W1868" s="81" t="s">
        <v>2140</v>
      </c>
      <c r="X1868" s="81" t="s">
        <v>876</v>
      </c>
      <c r="Y1868" s="83" t="n">
        <v>46252</v>
      </c>
      <c r="Z1868" s="81" t="s">
        <v>2278</v>
      </c>
      <c r="AA1868" s="81" t="s">
        <v>876</v>
      </c>
      <c r="AB1868" s="81"/>
      <c r="AC1868" s="81"/>
      <c r="AD1868" s="81"/>
      <c r="AE1868" s="83"/>
      <c r="AF1868" s="81"/>
      <c r="AG1868" s="81"/>
      <c r="AH1868" s="81"/>
      <c r="AI1868" s="81"/>
      <c r="AJ1868" s="83"/>
      <c r="AK1868" s="81"/>
      <c r="AL1868" s="81"/>
      <c r="AM1868" s="83"/>
      <c r="AN1868" s="80"/>
      <c r="AO1868" s="82" t="n">
        <f aca="false">IF(E1868="","",(AA1868&lt;&gt;"")+(AG1868&lt;&gt;"")+(AL1868&lt;&gt;""))</f>
        <v>1</v>
      </c>
      <c r="AP1868" s="82" t="str">
        <f aca="false">IF(AL1868&lt;&gt;"",AL1868,IF(AG1868&lt;&gt;"",AG1868,IF(AA1868&lt;&gt;"",AA1868,"")))</f>
        <v>A</v>
      </c>
      <c r="AQ1868" s="84" t="str">
        <f aca="false">IF(E1868="","",IF(U1868="","À SOUDER",IF(X1868="","VT EN ATTENTE",IF(X1868="R","VT REJETÉ – À REPRENDRE",IF(AP1868="","À RADIOGRAPHIER",IF(AP1868="A","ACCEPTÉ",IF(AP1868="NX","NX – RT À REFAIRE",IF(IF(AO1868=1,AD1868,IF(AO1868=2,AI1868,""))="A","RÉPARÉ – À RADIOGRAPHIER",IF(IF(AO1868=1,AD1868,IF(AO1868=2,AI1868,""))="R","VT REJETÉ – À REPRENDRE",IF(OR(AP1868="CO",AP1868="NT"),"COUPE – À RESOUDER","À RÉPARER"))))))))))</f>
        <v>ACCEPTÉ</v>
      </c>
      <c r="AR1868" s="82" t="str">
        <f aca="false">IF(AND(ISNUMBER(U1868),OR(AQ1868="À RADIOGRAPHIER",AQ1868="RÉPARÉ – À RADIOGRAPHIER",AQ1868="NX – RT À REFAIRE",AQ1868="À RÉPARER",AQ1868="COUPE – À RESOUDER",AQ1868="VT REJETÉ – À REPRENDRE")),MAX(0,'PROGRAMME RT'!$C$4-U1868),"")</f>
        <v/>
      </c>
      <c r="AS1868" s="82" t="n">
        <f aca="false">IF(AND(OR(AQ1868="À RADIOGRAPHIER",AQ1868="RÉPARÉ – À RADIOGRAPHIER",AQ1868="NX – RT À REFAIRE"),OR('PROGRAMME RT'!$D$5="TOUTES",B1868='PROGRAMME RT'!$D$5)),1,0)</f>
        <v>0</v>
      </c>
      <c r="AT1868" s="82" t="str">
        <f aca="false">IF(AS1868=1,SUM(AS$7:AS1868),"")</f>
        <v/>
      </c>
      <c r="AU1868" s="82" t="n">
        <f aca="false">IF(AND(OR(AA1868="R",AA1868="NX",AA1868="NT",AA1868="CO"),OR('JOINTS DE RÉPARATION'!$D$5="TOUTES",B1868='JOINTS DE RÉPARATION'!$D$5),OR('JOINTS DE RÉPARATION'!$L$4="TOUS",AQ1868&lt;&gt;"ACCEPTÉ")),1,0)</f>
        <v>0</v>
      </c>
      <c r="AV1868" s="82" t="str">
        <f aca="false">IF(AU1868=1,SUM(AU$7:AU1868),"")</f>
        <v/>
      </c>
      <c r="AW1868" s="82" t="str">
        <f aca="false">IF(E1868="","",B1868&amp;"|"&amp;E1868)</f>
        <v>MFD-ISW → MFD-CPF|DJ°031</v>
      </c>
    </row>
    <row r="1869" customFormat="false" ht="74.6" hidden="false" customHeight="false" outlineLevel="0" collapsed="false">
      <c r="A1869" s="79" t="n">
        <f aca="false">IF(E1869="","",ROW()-6)</f>
        <v>1863</v>
      </c>
      <c r="B1869" s="80" t="s">
        <v>110</v>
      </c>
      <c r="C1869" s="81" t="s">
        <v>2263</v>
      </c>
      <c r="D1869" s="81" t="n">
        <v>17</v>
      </c>
      <c r="E1869" s="81" t="s">
        <v>2279</v>
      </c>
      <c r="F1869" s="82" t="str">
        <f aca="false">IF(E1869="","",IF(LEFT(E1869,2)="DJ","DJ","JN"))</f>
        <v>JN</v>
      </c>
      <c r="G1869" s="81" t="s">
        <v>1504</v>
      </c>
      <c r="H1869" s="81" t="s">
        <v>871</v>
      </c>
      <c r="I1869" s="81" t="n">
        <v>9.53</v>
      </c>
      <c r="J1869" s="81" t="s">
        <v>872</v>
      </c>
      <c r="K1869" s="81" t="s">
        <v>879</v>
      </c>
      <c r="L1869" s="81" t="n">
        <v>2085540</v>
      </c>
      <c r="M1869" s="81" t="n">
        <v>15421107</v>
      </c>
      <c r="N1869" s="81" t="n">
        <v>11.94</v>
      </c>
      <c r="O1869" s="81" t="n">
        <v>2095870</v>
      </c>
      <c r="P1869" s="81" t="n">
        <v>15421111</v>
      </c>
      <c r="Q1869" s="81" t="n">
        <v>11.94</v>
      </c>
      <c r="R1869" s="81" t="s">
        <v>2273</v>
      </c>
      <c r="S1869" s="81"/>
      <c r="T1869" s="81"/>
      <c r="U1869" s="83" t="n">
        <v>46269</v>
      </c>
      <c r="V1869" s="83" t="n">
        <v>46269</v>
      </c>
      <c r="W1869" s="81" t="s">
        <v>2280</v>
      </c>
      <c r="X1869" s="81" t="s">
        <v>876</v>
      </c>
      <c r="Y1869" s="83" t="n">
        <v>46276</v>
      </c>
      <c r="Z1869" s="81" t="s">
        <v>2268</v>
      </c>
      <c r="AA1869" s="81" t="s">
        <v>876</v>
      </c>
      <c r="AB1869" s="81"/>
      <c r="AC1869" s="81"/>
      <c r="AD1869" s="81"/>
      <c r="AE1869" s="83"/>
      <c r="AF1869" s="81"/>
      <c r="AG1869" s="81"/>
      <c r="AH1869" s="81"/>
      <c r="AI1869" s="81"/>
      <c r="AJ1869" s="83"/>
      <c r="AK1869" s="81"/>
      <c r="AL1869" s="81"/>
      <c r="AM1869" s="83"/>
      <c r="AN1869" s="80"/>
      <c r="AO1869" s="82" t="n">
        <f aca="false">IF(E1869="","",(AA1869&lt;&gt;"")+(AG1869&lt;&gt;"")+(AL1869&lt;&gt;""))</f>
        <v>1</v>
      </c>
      <c r="AP1869" s="82" t="str">
        <f aca="false">IF(AL1869&lt;&gt;"",AL1869,IF(AG1869&lt;&gt;"",AG1869,IF(AA1869&lt;&gt;"",AA1869,"")))</f>
        <v>A</v>
      </c>
      <c r="AQ1869" s="84" t="str">
        <f aca="false">IF(E1869="","",IF(U1869="","À SOUDER",IF(X1869="","VT EN ATTENTE",IF(X1869="R","VT REJETÉ – À REPRENDRE",IF(AP1869="","À RADIOGRAPHIER",IF(AP1869="A","ACCEPTÉ",IF(AP1869="NX","NX – RT À REFAIRE",IF(IF(AO1869=1,AD1869,IF(AO1869=2,AI1869,""))="A","RÉPARÉ – À RADIOGRAPHIER",IF(IF(AO1869=1,AD1869,IF(AO1869=2,AI1869,""))="R","VT REJETÉ – À REPRENDRE",IF(OR(AP1869="CO",AP1869="NT"),"COUPE – À RESOUDER","À RÉPARER"))))))))))</f>
        <v>ACCEPTÉ</v>
      </c>
      <c r="AR1869" s="82" t="str">
        <f aca="false">IF(AND(ISNUMBER(U1869),OR(AQ1869="À RADIOGRAPHIER",AQ1869="RÉPARÉ – À RADIOGRAPHIER",AQ1869="NX – RT À REFAIRE",AQ1869="À RÉPARER",AQ1869="COUPE – À RESOUDER",AQ1869="VT REJETÉ – À REPRENDRE")),MAX(0,'PROGRAMME RT'!$C$4-U1869),"")</f>
        <v/>
      </c>
      <c r="AS1869" s="82" t="n">
        <f aca="false">IF(AND(OR(AQ1869="À RADIOGRAPHIER",AQ1869="RÉPARÉ – À RADIOGRAPHIER",AQ1869="NX – RT À REFAIRE"),OR('PROGRAMME RT'!$D$5="TOUTES",B1869='PROGRAMME RT'!$D$5)),1,0)</f>
        <v>0</v>
      </c>
      <c r="AT1869" s="82" t="str">
        <f aca="false">IF(AS1869=1,SUM(AS$7:AS1869),"")</f>
        <v/>
      </c>
      <c r="AU1869" s="82" t="n">
        <f aca="false">IF(AND(OR(AA1869="R",AA1869="NX",AA1869="NT",AA1869="CO"),OR('JOINTS DE RÉPARATION'!$D$5="TOUTES",B1869='JOINTS DE RÉPARATION'!$D$5),OR('JOINTS DE RÉPARATION'!$L$4="TOUS",AQ1869&lt;&gt;"ACCEPTÉ")),1,0)</f>
        <v>0</v>
      </c>
      <c r="AV1869" s="82" t="str">
        <f aca="false">IF(AU1869=1,SUM(AU$7:AU1869),"")</f>
        <v/>
      </c>
      <c r="AW1869" s="82" t="str">
        <f aca="false">IF(E1869="","",B1869&amp;"|"&amp;E1869)</f>
        <v>MFD-ISW → MFD-CPF|JN°1459</v>
      </c>
    </row>
    <row r="1870" customFormat="false" ht="74.6" hidden="false" customHeight="false" outlineLevel="0" collapsed="false">
      <c r="A1870" s="79" t="n">
        <f aca="false">IF(E1870="","",ROW()-6)</f>
        <v>1864</v>
      </c>
      <c r="B1870" s="80" t="s">
        <v>110</v>
      </c>
      <c r="C1870" s="81" t="s">
        <v>2263</v>
      </c>
      <c r="D1870" s="81" t="n">
        <v>17</v>
      </c>
      <c r="E1870" s="81" t="s">
        <v>2281</v>
      </c>
      <c r="F1870" s="82" t="str">
        <f aca="false">IF(E1870="","",IF(LEFT(E1870,2)="DJ","DJ","JN"))</f>
        <v>DJ</v>
      </c>
      <c r="G1870" s="81"/>
      <c r="H1870" s="81" t="s">
        <v>871</v>
      </c>
      <c r="I1870" s="81" t="n">
        <v>9.53</v>
      </c>
      <c r="J1870" s="81" t="s">
        <v>872</v>
      </c>
      <c r="K1870" s="81" t="s">
        <v>873</v>
      </c>
      <c r="L1870" s="81" t="n">
        <v>2095400</v>
      </c>
      <c r="M1870" s="81" t="n">
        <v>15421111</v>
      </c>
      <c r="N1870" s="81" t="n">
        <v>11.94</v>
      </c>
      <c r="O1870" s="81" t="n">
        <v>2095870</v>
      </c>
      <c r="P1870" s="81" t="n">
        <v>15421111</v>
      </c>
      <c r="Q1870" s="81" t="n">
        <v>11.94</v>
      </c>
      <c r="R1870" s="81" t="s">
        <v>1135</v>
      </c>
      <c r="S1870" s="81"/>
      <c r="T1870" s="81"/>
      <c r="U1870" s="83" t="n">
        <v>46249</v>
      </c>
      <c r="V1870" s="83" t="n">
        <v>46249</v>
      </c>
      <c r="W1870" s="81" t="s">
        <v>2217</v>
      </c>
      <c r="X1870" s="81" t="s">
        <v>876</v>
      </c>
      <c r="Y1870" s="83" t="n">
        <v>46250</v>
      </c>
      <c r="Z1870" s="81" t="s">
        <v>2218</v>
      </c>
      <c r="AA1870" s="81" t="s">
        <v>876</v>
      </c>
      <c r="AB1870" s="81"/>
      <c r="AC1870" s="81"/>
      <c r="AD1870" s="81"/>
      <c r="AE1870" s="83"/>
      <c r="AF1870" s="81"/>
      <c r="AG1870" s="81"/>
      <c r="AH1870" s="81"/>
      <c r="AI1870" s="81"/>
      <c r="AJ1870" s="83"/>
      <c r="AK1870" s="81"/>
      <c r="AL1870" s="81"/>
      <c r="AM1870" s="83"/>
      <c r="AN1870" s="80"/>
      <c r="AO1870" s="82" t="n">
        <f aca="false">IF(E1870="","",(AA1870&lt;&gt;"")+(AG1870&lt;&gt;"")+(AL1870&lt;&gt;""))</f>
        <v>1</v>
      </c>
      <c r="AP1870" s="82" t="str">
        <f aca="false">IF(AL1870&lt;&gt;"",AL1870,IF(AG1870&lt;&gt;"",AG1870,IF(AA1870&lt;&gt;"",AA1870,"")))</f>
        <v>A</v>
      </c>
      <c r="AQ1870" s="84" t="str">
        <f aca="false">IF(E1870="","",IF(U1870="","À SOUDER",IF(X1870="","VT EN ATTENTE",IF(X1870="R","VT REJETÉ – À REPRENDRE",IF(AP1870="","À RADIOGRAPHIER",IF(AP1870="A","ACCEPTÉ",IF(AP1870="NX","NX – RT À REFAIRE",IF(IF(AO1870=1,AD1870,IF(AO1870=2,AI1870,""))="A","RÉPARÉ – À RADIOGRAPHIER",IF(IF(AO1870=1,AD1870,IF(AO1870=2,AI1870,""))="R","VT REJETÉ – À REPRENDRE",IF(OR(AP1870="CO",AP1870="NT"),"COUPE – À RESOUDER","À RÉPARER"))))))))))</f>
        <v>ACCEPTÉ</v>
      </c>
      <c r="AR1870" s="82" t="str">
        <f aca="false">IF(AND(ISNUMBER(U1870),OR(AQ1870="À RADIOGRAPHIER",AQ1870="RÉPARÉ – À RADIOGRAPHIER",AQ1870="NX – RT À REFAIRE",AQ1870="À RÉPARER",AQ1870="COUPE – À RESOUDER",AQ1870="VT REJETÉ – À REPRENDRE")),MAX(0,'PROGRAMME RT'!$C$4-U1870),"")</f>
        <v/>
      </c>
      <c r="AS1870" s="82" t="n">
        <f aca="false">IF(AND(OR(AQ1870="À RADIOGRAPHIER",AQ1870="RÉPARÉ – À RADIOGRAPHIER",AQ1870="NX – RT À REFAIRE"),OR('PROGRAMME RT'!$D$5="TOUTES",B1870='PROGRAMME RT'!$D$5)),1,0)</f>
        <v>0</v>
      </c>
      <c r="AT1870" s="82" t="str">
        <f aca="false">IF(AS1870=1,SUM(AS$7:AS1870),"")</f>
        <v/>
      </c>
      <c r="AU1870" s="82" t="n">
        <f aca="false">IF(AND(OR(AA1870="R",AA1870="NX",AA1870="NT",AA1870="CO"),OR('JOINTS DE RÉPARATION'!$D$5="TOUTES",B1870='JOINTS DE RÉPARATION'!$D$5),OR('JOINTS DE RÉPARATION'!$L$4="TOUS",AQ1870&lt;&gt;"ACCEPTÉ")),1,0)</f>
        <v>0</v>
      </c>
      <c r="AV1870" s="82" t="str">
        <f aca="false">IF(AU1870=1,SUM(AU$7:AU1870),"")</f>
        <v/>
      </c>
      <c r="AW1870" s="82" t="str">
        <f aca="false">IF(E1870="","",B1870&amp;"|"&amp;E1870)</f>
        <v>MFD-ISW → MFD-CPF|DJ°012</v>
      </c>
    </row>
    <row r="1871" customFormat="false" ht="74.6" hidden="false" customHeight="false" outlineLevel="0" collapsed="false">
      <c r="A1871" s="79" t="n">
        <f aca="false">IF(E1871="","",ROW()-6)</f>
        <v>1865</v>
      </c>
      <c r="B1871" s="80" t="s">
        <v>110</v>
      </c>
      <c r="C1871" s="81" t="s">
        <v>2263</v>
      </c>
      <c r="D1871" s="81" t="n">
        <v>17</v>
      </c>
      <c r="E1871" s="81" t="s">
        <v>2282</v>
      </c>
      <c r="F1871" s="82" t="str">
        <f aca="false">IF(E1871="","",IF(LEFT(E1871,2)="DJ","DJ","JN"))</f>
        <v>JN</v>
      </c>
      <c r="G1871" s="81" t="s">
        <v>1504</v>
      </c>
      <c r="H1871" s="81" t="s">
        <v>871</v>
      </c>
      <c r="I1871" s="81" t="n">
        <v>9.53</v>
      </c>
      <c r="J1871" s="81" t="s">
        <v>872</v>
      </c>
      <c r="K1871" s="81" t="s">
        <v>879</v>
      </c>
      <c r="L1871" s="81" t="n">
        <v>2095400</v>
      </c>
      <c r="M1871" s="81" t="n">
        <v>15421111</v>
      </c>
      <c r="N1871" s="81" t="n">
        <v>11.94</v>
      </c>
      <c r="O1871" s="81" t="n">
        <v>2088230</v>
      </c>
      <c r="P1871" s="81" t="n">
        <v>15421108</v>
      </c>
      <c r="Q1871" s="81" t="n">
        <v>11.94</v>
      </c>
      <c r="R1871" s="81" t="s">
        <v>2273</v>
      </c>
      <c r="S1871" s="81"/>
      <c r="T1871" s="81"/>
      <c r="U1871" s="83" t="n">
        <v>46269</v>
      </c>
      <c r="V1871" s="83" t="n">
        <v>46269</v>
      </c>
      <c r="W1871" s="81" t="s">
        <v>2280</v>
      </c>
      <c r="X1871" s="81" t="s">
        <v>876</v>
      </c>
      <c r="Y1871" s="83" t="n">
        <v>46276</v>
      </c>
      <c r="Z1871" s="81" t="s">
        <v>2268</v>
      </c>
      <c r="AA1871" s="81" t="s">
        <v>876</v>
      </c>
      <c r="AB1871" s="81"/>
      <c r="AC1871" s="81"/>
      <c r="AD1871" s="81"/>
      <c r="AE1871" s="83"/>
      <c r="AF1871" s="81"/>
      <c r="AG1871" s="81"/>
      <c r="AH1871" s="81"/>
      <c r="AI1871" s="81"/>
      <c r="AJ1871" s="83"/>
      <c r="AK1871" s="81"/>
      <c r="AL1871" s="81"/>
      <c r="AM1871" s="83"/>
      <c r="AN1871" s="80"/>
      <c r="AO1871" s="82" t="n">
        <f aca="false">IF(E1871="","",(AA1871&lt;&gt;"")+(AG1871&lt;&gt;"")+(AL1871&lt;&gt;""))</f>
        <v>1</v>
      </c>
      <c r="AP1871" s="82" t="str">
        <f aca="false">IF(AL1871&lt;&gt;"",AL1871,IF(AG1871&lt;&gt;"",AG1871,IF(AA1871&lt;&gt;"",AA1871,"")))</f>
        <v>A</v>
      </c>
      <c r="AQ1871" s="84" t="str">
        <f aca="false">IF(E1871="","",IF(U1871="","À SOUDER",IF(X1871="","VT EN ATTENTE",IF(X1871="R","VT REJETÉ – À REPRENDRE",IF(AP1871="","À RADIOGRAPHIER",IF(AP1871="A","ACCEPTÉ",IF(AP1871="NX","NX – RT À REFAIRE",IF(IF(AO1871=1,AD1871,IF(AO1871=2,AI1871,""))="A","RÉPARÉ – À RADIOGRAPHIER",IF(IF(AO1871=1,AD1871,IF(AO1871=2,AI1871,""))="R","VT REJETÉ – À REPRENDRE",IF(OR(AP1871="CO",AP1871="NT"),"COUPE – À RESOUDER","À RÉPARER"))))))))))</f>
        <v>ACCEPTÉ</v>
      </c>
      <c r="AR1871" s="82" t="str">
        <f aca="false">IF(AND(ISNUMBER(U1871),OR(AQ1871="À RADIOGRAPHIER",AQ1871="RÉPARÉ – À RADIOGRAPHIER",AQ1871="NX – RT À REFAIRE",AQ1871="À RÉPARER",AQ1871="COUPE – À RESOUDER",AQ1871="VT REJETÉ – À REPRENDRE")),MAX(0,'PROGRAMME RT'!$C$4-U1871),"")</f>
        <v/>
      </c>
      <c r="AS1871" s="82" t="n">
        <f aca="false">IF(AND(OR(AQ1871="À RADIOGRAPHIER",AQ1871="RÉPARÉ – À RADIOGRAPHIER",AQ1871="NX – RT À REFAIRE"),OR('PROGRAMME RT'!$D$5="TOUTES",B1871='PROGRAMME RT'!$D$5)),1,0)</f>
        <v>0</v>
      </c>
      <c r="AT1871" s="82" t="str">
        <f aca="false">IF(AS1871=1,SUM(AS$7:AS1871),"")</f>
        <v/>
      </c>
      <c r="AU1871" s="82" t="n">
        <f aca="false">IF(AND(OR(AA1871="R",AA1871="NX",AA1871="NT",AA1871="CO"),OR('JOINTS DE RÉPARATION'!$D$5="TOUTES",B1871='JOINTS DE RÉPARATION'!$D$5),OR('JOINTS DE RÉPARATION'!$L$4="TOUS",AQ1871&lt;&gt;"ACCEPTÉ")),1,0)</f>
        <v>0</v>
      </c>
      <c r="AV1871" s="82" t="str">
        <f aca="false">IF(AU1871=1,SUM(AU$7:AU1871),"")</f>
        <v/>
      </c>
      <c r="AW1871" s="82" t="str">
        <f aca="false">IF(E1871="","",B1871&amp;"|"&amp;E1871)</f>
        <v>MFD-ISW → MFD-CPF|JN°1460</v>
      </c>
    </row>
    <row r="1872" customFormat="false" ht="74.6" hidden="false" customHeight="false" outlineLevel="0" collapsed="false">
      <c r="A1872" s="79" t="n">
        <f aca="false">IF(E1872="","",ROW()-6)</f>
        <v>1866</v>
      </c>
      <c r="B1872" s="80" t="s">
        <v>110</v>
      </c>
      <c r="C1872" s="81" t="s">
        <v>2263</v>
      </c>
      <c r="D1872" s="81" t="n">
        <v>17</v>
      </c>
      <c r="E1872" s="81" t="s">
        <v>2283</v>
      </c>
      <c r="F1872" s="82" t="str">
        <f aca="false">IF(E1872="","",IF(LEFT(E1872,2)="DJ","DJ","JN"))</f>
        <v>DJ</v>
      </c>
      <c r="G1872" s="81"/>
      <c r="H1872" s="81" t="s">
        <v>871</v>
      </c>
      <c r="I1872" s="81" t="n">
        <v>9.53</v>
      </c>
      <c r="J1872" s="81" t="s">
        <v>872</v>
      </c>
      <c r="K1872" s="81" t="s">
        <v>873</v>
      </c>
      <c r="L1872" s="81" t="n">
        <v>2088230</v>
      </c>
      <c r="M1872" s="81" t="n">
        <v>15421108</v>
      </c>
      <c r="N1872" s="81" t="n">
        <v>11.94</v>
      </c>
      <c r="O1872" s="81" t="n">
        <v>2085170</v>
      </c>
      <c r="P1872" s="81" t="n">
        <v>15421106</v>
      </c>
      <c r="Q1872" s="81" t="n">
        <v>11.94</v>
      </c>
      <c r="R1872" s="81" t="s">
        <v>899</v>
      </c>
      <c r="S1872" s="81"/>
      <c r="T1872" s="81"/>
      <c r="U1872" s="83" t="n">
        <v>46249</v>
      </c>
      <c r="V1872" s="83" t="n">
        <v>46249</v>
      </c>
      <c r="W1872" s="81" t="s">
        <v>2217</v>
      </c>
      <c r="X1872" s="81" t="s">
        <v>876</v>
      </c>
      <c r="Y1872" s="83" t="n">
        <v>46250</v>
      </c>
      <c r="Z1872" s="81" t="s">
        <v>2218</v>
      </c>
      <c r="AA1872" s="81" t="s">
        <v>876</v>
      </c>
      <c r="AB1872" s="81"/>
      <c r="AC1872" s="81"/>
      <c r="AD1872" s="81"/>
      <c r="AE1872" s="83"/>
      <c r="AF1872" s="81"/>
      <c r="AG1872" s="81"/>
      <c r="AH1872" s="81"/>
      <c r="AI1872" s="81"/>
      <c r="AJ1872" s="83"/>
      <c r="AK1872" s="81"/>
      <c r="AL1872" s="81"/>
      <c r="AM1872" s="83"/>
      <c r="AN1872" s="80"/>
      <c r="AO1872" s="82" t="n">
        <f aca="false">IF(E1872="","",(AA1872&lt;&gt;"")+(AG1872&lt;&gt;"")+(AL1872&lt;&gt;""))</f>
        <v>1</v>
      </c>
      <c r="AP1872" s="82" t="str">
        <f aca="false">IF(AL1872&lt;&gt;"",AL1872,IF(AG1872&lt;&gt;"",AG1872,IF(AA1872&lt;&gt;"",AA1872,"")))</f>
        <v>A</v>
      </c>
      <c r="AQ1872" s="84" t="str">
        <f aca="false">IF(E1872="","",IF(U1872="","À SOUDER",IF(X1872="","VT EN ATTENTE",IF(X1872="R","VT REJETÉ – À REPRENDRE",IF(AP1872="","À RADIOGRAPHIER",IF(AP1872="A","ACCEPTÉ",IF(AP1872="NX","NX – RT À REFAIRE",IF(IF(AO1872=1,AD1872,IF(AO1872=2,AI1872,""))="A","RÉPARÉ – À RADIOGRAPHIER",IF(IF(AO1872=1,AD1872,IF(AO1872=2,AI1872,""))="R","VT REJETÉ – À REPRENDRE",IF(OR(AP1872="CO",AP1872="NT"),"COUPE – À RESOUDER","À RÉPARER"))))))))))</f>
        <v>ACCEPTÉ</v>
      </c>
      <c r="AR1872" s="82" t="str">
        <f aca="false">IF(AND(ISNUMBER(U1872),OR(AQ1872="À RADIOGRAPHIER",AQ1872="RÉPARÉ – À RADIOGRAPHIER",AQ1872="NX – RT À REFAIRE",AQ1872="À RÉPARER",AQ1872="COUPE – À RESOUDER",AQ1872="VT REJETÉ – À REPRENDRE")),MAX(0,'PROGRAMME RT'!$C$4-U1872),"")</f>
        <v/>
      </c>
      <c r="AS1872" s="82" t="n">
        <f aca="false">IF(AND(OR(AQ1872="À RADIOGRAPHIER",AQ1872="RÉPARÉ – À RADIOGRAPHIER",AQ1872="NX – RT À REFAIRE"),OR('PROGRAMME RT'!$D$5="TOUTES",B1872='PROGRAMME RT'!$D$5)),1,0)</f>
        <v>0</v>
      </c>
      <c r="AT1872" s="82" t="str">
        <f aca="false">IF(AS1872=1,SUM(AS$7:AS1872),"")</f>
        <v/>
      </c>
      <c r="AU1872" s="82" t="n">
        <f aca="false">IF(AND(OR(AA1872="R",AA1872="NX",AA1872="NT",AA1872="CO"),OR('JOINTS DE RÉPARATION'!$D$5="TOUTES",B1872='JOINTS DE RÉPARATION'!$D$5),OR('JOINTS DE RÉPARATION'!$L$4="TOUS",AQ1872&lt;&gt;"ACCEPTÉ")),1,0)</f>
        <v>0</v>
      </c>
      <c r="AV1872" s="82" t="str">
        <f aca="false">IF(AU1872=1,SUM(AU$7:AU1872),"")</f>
        <v/>
      </c>
      <c r="AW1872" s="82" t="str">
        <f aca="false">IF(E1872="","",B1872&amp;"|"&amp;E1872)</f>
        <v>MFD-ISW → MFD-CPF|DJ°015</v>
      </c>
    </row>
    <row r="1873" customFormat="false" ht="74.6" hidden="false" customHeight="false" outlineLevel="0" collapsed="false">
      <c r="A1873" s="79" t="n">
        <f aca="false">IF(E1873="","",ROW()-6)</f>
        <v>1867</v>
      </c>
      <c r="B1873" s="80" t="s">
        <v>110</v>
      </c>
      <c r="C1873" s="81" t="s">
        <v>2263</v>
      </c>
      <c r="D1873" s="81" t="n">
        <v>17</v>
      </c>
      <c r="E1873" s="81" t="s">
        <v>2284</v>
      </c>
      <c r="F1873" s="82" t="str">
        <f aca="false">IF(E1873="","",IF(LEFT(E1873,2)="DJ","DJ","JN"))</f>
        <v>JN</v>
      </c>
      <c r="G1873" s="81" t="s">
        <v>1504</v>
      </c>
      <c r="H1873" s="81" t="s">
        <v>871</v>
      </c>
      <c r="I1873" s="81" t="n">
        <v>9.53</v>
      </c>
      <c r="J1873" s="81" t="s">
        <v>872</v>
      </c>
      <c r="K1873" s="81" t="s">
        <v>879</v>
      </c>
      <c r="L1873" s="81" t="n">
        <v>2085170</v>
      </c>
      <c r="M1873" s="81" t="n">
        <v>15421106</v>
      </c>
      <c r="N1873" s="81" t="n">
        <v>11.94</v>
      </c>
      <c r="O1873" s="81" t="n">
        <v>2088860</v>
      </c>
      <c r="P1873" s="81" t="n">
        <v>15421108</v>
      </c>
      <c r="Q1873" s="81" t="n">
        <v>11.94</v>
      </c>
      <c r="R1873" s="81" t="s">
        <v>2273</v>
      </c>
      <c r="S1873" s="81"/>
      <c r="T1873" s="81"/>
      <c r="U1873" s="83" t="n">
        <v>46269</v>
      </c>
      <c r="V1873" s="83" t="n">
        <v>46269</v>
      </c>
      <c r="W1873" s="81" t="s">
        <v>2280</v>
      </c>
      <c r="X1873" s="81" t="s">
        <v>876</v>
      </c>
      <c r="Y1873" s="83" t="n">
        <v>46276</v>
      </c>
      <c r="Z1873" s="81" t="s">
        <v>2268</v>
      </c>
      <c r="AA1873" s="81" t="s">
        <v>876</v>
      </c>
      <c r="AB1873" s="81"/>
      <c r="AC1873" s="81"/>
      <c r="AD1873" s="81"/>
      <c r="AE1873" s="83"/>
      <c r="AF1873" s="81"/>
      <c r="AG1873" s="81"/>
      <c r="AH1873" s="81"/>
      <c r="AI1873" s="81"/>
      <c r="AJ1873" s="83"/>
      <c r="AK1873" s="81"/>
      <c r="AL1873" s="81"/>
      <c r="AM1873" s="83"/>
      <c r="AN1873" s="80"/>
      <c r="AO1873" s="82" t="n">
        <f aca="false">IF(E1873="","",(AA1873&lt;&gt;"")+(AG1873&lt;&gt;"")+(AL1873&lt;&gt;""))</f>
        <v>1</v>
      </c>
      <c r="AP1873" s="82" t="str">
        <f aca="false">IF(AL1873&lt;&gt;"",AL1873,IF(AG1873&lt;&gt;"",AG1873,IF(AA1873&lt;&gt;"",AA1873,"")))</f>
        <v>A</v>
      </c>
      <c r="AQ1873" s="84" t="str">
        <f aca="false">IF(E1873="","",IF(U1873="","À SOUDER",IF(X1873="","VT EN ATTENTE",IF(X1873="R","VT REJETÉ – À REPRENDRE",IF(AP1873="","À RADIOGRAPHIER",IF(AP1873="A","ACCEPTÉ",IF(AP1873="NX","NX – RT À REFAIRE",IF(IF(AO1873=1,AD1873,IF(AO1873=2,AI1873,""))="A","RÉPARÉ – À RADIOGRAPHIER",IF(IF(AO1873=1,AD1873,IF(AO1873=2,AI1873,""))="R","VT REJETÉ – À REPRENDRE",IF(OR(AP1873="CO",AP1873="NT"),"COUPE – À RESOUDER","À RÉPARER"))))))))))</f>
        <v>ACCEPTÉ</v>
      </c>
      <c r="AR1873" s="82" t="str">
        <f aca="false">IF(AND(ISNUMBER(U1873),OR(AQ1873="À RADIOGRAPHIER",AQ1873="RÉPARÉ – À RADIOGRAPHIER",AQ1873="NX – RT À REFAIRE",AQ1873="À RÉPARER",AQ1873="COUPE – À RESOUDER",AQ1873="VT REJETÉ – À REPRENDRE")),MAX(0,'PROGRAMME RT'!$C$4-U1873),"")</f>
        <v/>
      </c>
      <c r="AS1873" s="82" t="n">
        <f aca="false">IF(AND(OR(AQ1873="À RADIOGRAPHIER",AQ1873="RÉPARÉ – À RADIOGRAPHIER",AQ1873="NX – RT À REFAIRE"),OR('PROGRAMME RT'!$D$5="TOUTES",B1873='PROGRAMME RT'!$D$5)),1,0)</f>
        <v>0</v>
      </c>
      <c r="AT1873" s="82" t="str">
        <f aca="false">IF(AS1873=1,SUM(AS$7:AS1873),"")</f>
        <v/>
      </c>
      <c r="AU1873" s="82" t="n">
        <f aca="false">IF(AND(OR(AA1873="R",AA1873="NX",AA1873="NT",AA1873="CO"),OR('JOINTS DE RÉPARATION'!$D$5="TOUTES",B1873='JOINTS DE RÉPARATION'!$D$5),OR('JOINTS DE RÉPARATION'!$L$4="TOUS",AQ1873&lt;&gt;"ACCEPTÉ")),1,0)</f>
        <v>0</v>
      </c>
      <c r="AV1873" s="82" t="str">
        <f aca="false">IF(AU1873=1,SUM(AU$7:AU1873),"")</f>
        <v/>
      </c>
      <c r="AW1873" s="82" t="str">
        <f aca="false">IF(E1873="","",B1873&amp;"|"&amp;E1873)</f>
        <v>MFD-ISW → MFD-CPF|JN°1461</v>
      </c>
    </row>
    <row r="1874" customFormat="false" ht="74.6" hidden="false" customHeight="false" outlineLevel="0" collapsed="false">
      <c r="A1874" s="79" t="n">
        <f aca="false">IF(E1874="","",ROW()-6)</f>
        <v>1868</v>
      </c>
      <c r="B1874" s="80" t="s">
        <v>110</v>
      </c>
      <c r="C1874" s="81" t="s">
        <v>2263</v>
      </c>
      <c r="D1874" s="81" t="n">
        <v>17</v>
      </c>
      <c r="E1874" s="81" t="s">
        <v>2285</v>
      </c>
      <c r="F1874" s="82" t="str">
        <f aca="false">IF(E1874="","",IF(LEFT(E1874,2)="DJ","DJ","JN"))</f>
        <v>DJ</v>
      </c>
      <c r="G1874" s="81"/>
      <c r="H1874" s="81" t="s">
        <v>871</v>
      </c>
      <c r="I1874" s="81" t="n">
        <v>9.53</v>
      </c>
      <c r="J1874" s="81" t="s">
        <v>872</v>
      </c>
      <c r="K1874" s="81" t="s">
        <v>873</v>
      </c>
      <c r="L1874" s="81" t="n">
        <v>2082110</v>
      </c>
      <c r="M1874" s="81" t="n">
        <v>15421104</v>
      </c>
      <c r="N1874" s="81" t="n">
        <v>11.94</v>
      </c>
      <c r="O1874" s="81" t="n">
        <v>2088860</v>
      </c>
      <c r="P1874" s="81" t="n">
        <v>15421108</v>
      </c>
      <c r="Q1874" s="81" t="n">
        <v>11.94</v>
      </c>
      <c r="R1874" s="81" t="s">
        <v>1135</v>
      </c>
      <c r="S1874" s="81"/>
      <c r="T1874" s="81"/>
      <c r="U1874" s="83" t="n">
        <v>46252</v>
      </c>
      <c r="V1874" s="83" t="n">
        <v>46252</v>
      </c>
      <c r="W1874" s="81" t="s">
        <v>2275</v>
      </c>
      <c r="X1874" s="81" t="s">
        <v>876</v>
      </c>
      <c r="Y1874" s="83" t="n">
        <v>46254</v>
      </c>
      <c r="Z1874" s="81" t="s">
        <v>2286</v>
      </c>
      <c r="AA1874" s="81" t="s">
        <v>876</v>
      </c>
      <c r="AB1874" s="81"/>
      <c r="AC1874" s="81"/>
      <c r="AD1874" s="81"/>
      <c r="AE1874" s="83"/>
      <c r="AF1874" s="81"/>
      <c r="AG1874" s="81"/>
      <c r="AH1874" s="81"/>
      <c r="AI1874" s="81"/>
      <c r="AJ1874" s="83"/>
      <c r="AK1874" s="81"/>
      <c r="AL1874" s="81"/>
      <c r="AM1874" s="83"/>
      <c r="AN1874" s="80"/>
      <c r="AO1874" s="82" t="n">
        <f aca="false">IF(E1874="","",(AA1874&lt;&gt;"")+(AG1874&lt;&gt;"")+(AL1874&lt;&gt;""))</f>
        <v>1</v>
      </c>
      <c r="AP1874" s="82" t="str">
        <f aca="false">IF(AL1874&lt;&gt;"",AL1874,IF(AG1874&lt;&gt;"",AG1874,IF(AA1874&lt;&gt;"",AA1874,"")))</f>
        <v>A</v>
      </c>
      <c r="AQ1874" s="84" t="str">
        <f aca="false">IF(E1874="","",IF(U1874="","À SOUDER",IF(X1874="","VT EN ATTENTE",IF(X1874="R","VT REJETÉ – À REPRENDRE",IF(AP1874="","À RADIOGRAPHIER",IF(AP1874="A","ACCEPTÉ",IF(AP1874="NX","NX – RT À REFAIRE",IF(IF(AO1874=1,AD1874,IF(AO1874=2,AI1874,""))="A","RÉPARÉ – À RADIOGRAPHIER",IF(IF(AO1874=1,AD1874,IF(AO1874=2,AI1874,""))="R","VT REJETÉ – À REPRENDRE",IF(OR(AP1874="CO",AP1874="NT"),"COUPE – À RESOUDER","À RÉPARER"))))))))))</f>
        <v>ACCEPTÉ</v>
      </c>
      <c r="AR1874" s="82" t="str">
        <f aca="false">IF(AND(ISNUMBER(U1874),OR(AQ1874="À RADIOGRAPHIER",AQ1874="RÉPARÉ – À RADIOGRAPHIER",AQ1874="NX – RT À REFAIRE",AQ1874="À RÉPARER",AQ1874="COUPE – À RESOUDER",AQ1874="VT REJETÉ – À REPRENDRE")),MAX(0,'PROGRAMME RT'!$C$4-U1874),"")</f>
        <v/>
      </c>
      <c r="AS1874" s="82" t="n">
        <f aca="false">IF(AND(OR(AQ1874="À RADIOGRAPHIER",AQ1874="RÉPARÉ – À RADIOGRAPHIER",AQ1874="NX – RT À REFAIRE"),OR('PROGRAMME RT'!$D$5="TOUTES",B1874='PROGRAMME RT'!$D$5)),1,0)</f>
        <v>0</v>
      </c>
      <c r="AT1874" s="82" t="str">
        <f aca="false">IF(AS1874=1,SUM(AS$7:AS1874),"")</f>
        <v/>
      </c>
      <c r="AU1874" s="82" t="n">
        <f aca="false">IF(AND(OR(AA1874="R",AA1874="NX",AA1874="NT",AA1874="CO"),OR('JOINTS DE RÉPARATION'!$D$5="TOUTES",B1874='JOINTS DE RÉPARATION'!$D$5),OR('JOINTS DE RÉPARATION'!$L$4="TOUS",AQ1874&lt;&gt;"ACCEPTÉ")),1,0)</f>
        <v>0</v>
      </c>
      <c r="AV1874" s="82" t="str">
        <f aca="false">IF(AU1874=1,SUM(AU$7:AU1874),"")</f>
        <v/>
      </c>
      <c r="AW1874" s="82" t="str">
        <f aca="false">IF(E1874="","",B1874&amp;"|"&amp;E1874)</f>
        <v>MFD-ISW → MFD-CPF|DJ°044</v>
      </c>
    </row>
    <row r="1875" customFormat="false" ht="74.6" hidden="false" customHeight="false" outlineLevel="0" collapsed="false">
      <c r="A1875" s="79" t="n">
        <f aca="false">IF(E1875="","",ROW()-6)</f>
        <v>1869</v>
      </c>
      <c r="B1875" s="80" t="s">
        <v>110</v>
      </c>
      <c r="C1875" s="81" t="s">
        <v>2263</v>
      </c>
      <c r="D1875" s="81" t="n">
        <v>17</v>
      </c>
      <c r="E1875" s="81" t="s">
        <v>2287</v>
      </c>
      <c r="F1875" s="82" t="str">
        <f aca="false">IF(E1875="","",IF(LEFT(E1875,2)="DJ","DJ","JN"))</f>
        <v>JN</v>
      </c>
      <c r="G1875" s="81" t="s">
        <v>1504</v>
      </c>
      <c r="H1875" s="81" t="s">
        <v>871</v>
      </c>
      <c r="I1875" s="81" t="n">
        <v>9.53</v>
      </c>
      <c r="J1875" s="81" t="s">
        <v>872</v>
      </c>
      <c r="K1875" s="81" t="s">
        <v>2205</v>
      </c>
      <c r="L1875" s="81" t="n">
        <v>2082110</v>
      </c>
      <c r="M1875" s="81" t="n">
        <v>15421104</v>
      </c>
      <c r="N1875" s="81" t="n">
        <v>11.94</v>
      </c>
      <c r="O1875" s="81" t="n">
        <v>2088580</v>
      </c>
      <c r="P1875" s="81" t="n">
        <v>15421107</v>
      </c>
      <c r="Q1875" s="81" t="n">
        <v>11.94</v>
      </c>
      <c r="R1875" s="81" t="s">
        <v>1884</v>
      </c>
      <c r="S1875" s="81"/>
      <c r="T1875" s="81"/>
      <c r="U1875" s="83" t="n">
        <v>46289</v>
      </c>
      <c r="V1875" s="83" t="n">
        <v>46289</v>
      </c>
      <c r="W1875" s="81" t="s">
        <v>1984</v>
      </c>
      <c r="X1875" s="81" t="s">
        <v>876</v>
      </c>
      <c r="Y1875" s="83"/>
      <c r="Z1875" s="81"/>
      <c r="AA1875" s="81"/>
      <c r="AB1875" s="81" t="s">
        <v>2288</v>
      </c>
      <c r="AC1875" s="81"/>
      <c r="AD1875" s="81"/>
      <c r="AE1875" s="83"/>
      <c r="AF1875" s="81"/>
      <c r="AG1875" s="81"/>
      <c r="AH1875" s="81"/>
      <c r="AI1875" s="81"/>
      <c r="AJ1875" s="83"/>
      <c r="AK1875" s="81"/>
      <c r="AL1875" s="81"/>
      <c r="AM1875" s="83"/>
      <c r="AN1875" s="80"/>
      <c r="AO1875" s="82" t="n">
        <f aca="false">IF(E1875="","",(AA1875&lt;&gt;"")+(AG1875&lt;&gt;"")+(AL1875&lt;&gt;""))</f>
        <v>0</v>
      </c>
      <c r="AP1875" s="82" t="str">
        <f aca="false">IF(AL1875&lt;&gt;"",AL1875,IF(AG1875&lt;&gt;"",AG1875,IF(AA1875&lt;&gt;"",AA1875,"")))</f>
        <v/>
      </c>
      <c r="AQ1875" s="84" t="str">
        <f aca="false">IF(E1875="","",IF(U1875="","À SOUDER",IF(X1875="","VT EN ATTENTE",IF(X1875="R","VT REJETÉ – À REPRENDRE",IF(AP1875="","À RADIOGRAPHIER",IF(AP1875="A","ACCEPTÉ",IF(AP1875="NX","NX – RT À REFAIRE",IF(IF(AO1875=1,AD1875,IF(AO1875=2,AI1875,""))="A","RÉPARÉ – À RADIOGRAPHIER",IF(IF(AO1875=1,AD1875,IF(AO1875=2,AI1875,""))="R","VT REJETÉ – À REPRENDRE",IF(OR(AP1875="CO",AP1875="NT"),"COUPE – À RESOUDER","À RÉPARER"))))))))))</f>
        <v>À RADIOGRAPHIER</v>
      </c>
      <c r="AR1875" s="82" t="n">
        <f aca="false">IF(AND(ISNUMBER(U1875),OR(AQ1875="À RADIOGRAPHIER",AQ1875="RÉPARÉ – À RADIOGRAPHIER",AQ1875="NX – RT À REFAIRE",AQ1875="À RÉPARER",AQ1875="COUPE – À RESOUDER",AQ1875="VT REJETÉ – À REPRENDRE")),MAX(0,'PROGRAMME RT'!$C$4-U1875),"")</f>
        <v>4</v>
      </c>
      <c r="AS1875" s="82" t="n">
        <f aca="false">IF(AND(OR(AQ1875="À RADIOGRAPHIER",AQ1875="RÉPARÉ – À RADIOGRAPHIER",AQ1875="NX – RT À REFAIRE"),OR('PROGRAMME RT'!$D$5="TOUTES",B1875='PROGRAMME RT'!$D$5)),1,0)</f>
        <v>1</v>
      </c>
      <c r="AT1875" s="82" t="n">
        <f aca="false">IF(AS1875=1,SUM(AS$7:AS1875),"")</f>
        <v>97</v>
      </c>
      <c r="AU1875" s="82" t="n">
        <f aca="false">IF(AND(OR(AA1875="R",AA1875="NX",AA1875="NT",AA1875="CO"),OR('JOINTS DE RÉPARATION'!$D$5="TOUTES",B1875='JOINTS DE RÉPARATION'!$D$5),OR('JOINTS DE RÉPARATION'!$L$4="TOUS",AQ1875&lt;&gt;"ACCEPTÉ")),1,0)</f>
        <v>0</v>
      </c>
      <c r="AV1875" s="82" t="str">
        <f aca="false">IF(AU1875=1,SUM(AU$7:AU1875),"")</f>
        <v/>
      </c>
      <c r="AW1875" s="82" t="str">
        <f aca="false">IF(E1875="","",B1875&amp;"|"&amp;E1875)</f>
        <v>MFD-ISW → MFD-CPF|JN°1462R</v>
      </c>
    </row>
    <row r="1876" customFormat="false" ht="74.6" hidden="false" customHeight="false" outlineLevel="0" collapsed="false">
      <c r="A1876" s="79" t="n">
        <f aca="false">IF(E1876="","",ROW()-6)</f>
        <v>1870</v>
      </c>
      <c r="B1876" s="80" t="s">
        <v>110</v>
      </c>
      <c r="C1876" s="81" t="s">
        <v>2263</v>
      </c>
      <c r="D1876" s="81" t="n">
        <v>17</v>
      </c>
      <c r="E1876" s="81" t="s">
        <v>2289</v>
      </c>
      <c r="F1876" s="82" t="str">
        <f aca="false">IF(E1876="","",IF(LEFT(E1876,2)="DJ","DJ","JN"))</f>
        <v>DJ</v>
      </c>
      <c r="G1876" s="81"/>
      <c r="H1876" s="81" t="s">
        <v>871</v>
      </c>
      <c r="I1876" s="81" t="n">
        <v>9.53</v>
      </c>
      <c r="J1876" s="81" t="s">
        <v>872</v>
      </c>
      <c r="K1876" s="81" t="s">
        <v>873</v>
      </c>
      <c r="L1876" s="81" t="n">
        <v>2085580</v>
      </c>
      <c r="M1876" s="81" t="n">
        <v>15421107</v>
      </c>
      <c r="N1876" s="81" t="n">
        <v>11.94</v>
      </c>
      <c r="O1876" s="81" t="n">
        <v>2055530</v>
      </c>
      <c r="P1876" s="81" t="n">
        <v>15421111</v>
      </c>
      <c r="Q1876" s="81" t="n">
        <v>11.94</v>
      </c>
      <c r="R1876" s="81" t="s">
        <v>874</v>
      </c>
      <c r="S1876" s="81"/>
      <c r="T1876" s="81"/>
      <c r="U1876" s="83" t="n">
        <v>46252</v>
      </c>
      <c r="V1876" s="83" t="n">
        <v>46252</v>
      </c>
      <c r="W1876" s="81" t="s">
        <v>2275</v>
      </c>
      <c r="X1876" s="81" t="s">
        <v>876</v>
      </c>
      <c r="Y1876" s="83" t="n">
        <v>46254</v>
      </c>
      <c r="Z1876" s="81" t="s">
        <v>2286</v>
      </c>
      <c r="AA1876" s="81" t="s">
        <v>876</v>
      </c>
      <c r="AB1876" s="81"/>
      <c r="AC1876" s="81"/>
      <c r="AD1876" s="81"/>
      <c r="AE1876" s="83"/>
      <c r="AF1876" s="81"/>
      <c r="AG1876" s="81"/>
      <c r="AH1876" s="81"/>
      <c r="AI1876" s="81"/>
      <c r="AJ1876" s="83"/>
      <c r="AK1876" s="81"/>
      <c r="AL1876" s="81"/>
      <c r="AM1876" s="83"/>
      <c r="AN1876" s="80"/>
      <c r="AO1876" s="82" t="n">
        <f aca="false">IF(E1876="","",(AA1876&lt;&gt;"")+(AG1876&lt;&gt;"")+(AL1876&lt;&gt;""))</f>
        <v>1</v>
      </c>
      <c r="AP1876" s="82" t="str">
        <f aca="false">IF(AL1876&lt;&gt;"",AL1876,IF(AG1876&lt;&gt;"",AG1876,IF(AA1876&lt;&gt;"",AA1876,"")))</f>
        <v>A</v>
      </c>
      <c r="AQ1876" s="84" t="str">
        <f aca="false">IF(E1876="","",IF(U1876="","À SOUDER",IF(X1876="","VT EN ATTENTE",IF(X1876="R","VT REJETÉ – À REPRENDRE",IF(AP1876="","À RADIOGRAPHIER",IF(AP1876="A","ACCEPTÉ",IF(AP1876="NX","NX – RT À REFAIRE",IF(IF(AO1876=1,AD1876,IF(AO1876=2,AI1876,""))="A","RÉPARÉ – À RADIOGRAPHIER",IF(IF(AO1876=1,AD1876,IF(AO1876=2,AI1876,""))="R","VT REJETÉ – À REPRENDRE",IF(OR(AP1876="CO",AP1876="NT"),"COUPE – À RESOUDER","À RÉPARER"))))))))))</f>
        <v>ACCEPTÉ</v>
      </c>
      <c r="AR1876" s="82" t="str">
        <f aca="false">IF(AND(ISNUMBER(U1876),OR(AQ1876="À RADIOGRAPHIER",AQ1876="RÉPARÉ – À RADIOGRAPHIER",AQ1876="NX – RT À REFAIRE",AQ1876="À RÉPARER",AQ1876="COUPE – À RESOUDER",AQ1876="VT REJETÉ – À REPRENDRE")),MAX(0,'PROGRAMME RT'!$C$4-U1876),"")</f>
        <v/>
      </c>
      <c r="AS1876" s="82" t="n">
        <f aca="false">IF(AND(OR(AQ1876="À RADIOGRAPHIER",AQ1876="RÉPARÉ – À RADIOGRAPHIER",AQ1876="NX – RT À REFAIRE"),OR('PROGRAMME RT'!$D$5="TOUTES",B1876='PROGRAMME RT'!$D$5)),1,0)</f>
        <v>0</v>
      </c>
      <c r="AT1876" s="82" t="str">
        <f aca="false">IF(AS1876=1,SUM(AS$7:AS1876),"")</f>
        <v/>
      </c>
      <c r="AU1876" s="82" t="n">
        <f aca="false">IF(AND(OR(AA1876="R",AA1876="NX",AA1876="NT",AA1876="CO"),OR('JOINTS DE RÉPARATION'!$D$5="TOUTES",B1876='JOINTS DE RÉPARATION'!$D$5),OR('JOINTS DE RÉPARATION'!$L$4="TOUS",AQ1876&lt;&gt;"ACCEPTÉ")),1,0)</f>
        <v>0</v>
      </c>
      <c r="AV1876" s="82" t="str">
        <f aca="false">IF(AU1876=1,SUM(AU$7:AU1876),"")</f>
        <v/>
      </c>
      <c r="AW1876" s="82" t="str">
        <f aca="false">IF(E1876="","",B1876&amp;"|"&amp;E1876)</f>
        <v>MFD-ISW → MFD-CPF|DJ°045</v>
      </c>
    </row>
    <row r="1877" customFormat="false" ht="74.6" hidden="false" customHeight="false" outlineLevel="0" collapsed="false">
      <c r="A1877" s="79" t="n">
        <f aca="false">IF(E1877="","",ROW()-6)</f>
        <v>1871</v>
      </c>
      <c r="B1877" s="80" t="s">
        <v>110</v>
      </c>
      <c r="C1877" s="81" t="s">
        <v>2263</v>
      </c>
      <c r="D1877" s="81" t="n">
        <v>17</v>
      </c>
      <c r="E1877" s="81" t="s">
        <v>2290</v>
      </c>
      <c r="F1877" s="82" t="str">
        <f aca="false">IF(E1877="","",IF(LEFT(E1877,2)="DJ","DJ","JN"))</f>
        <v>JN</v>
      </c>
      <c r="G1877" s="81" t="s">
        <v>1504</v>
      </c>
      <c r="H1877" s="81" t="s">
        <v>871</v>
      </c>
      <c r="I1877" s="81" t="n">
        <v>9.53</v>
      </c>
      <c r="J1877" s="81" t="s">
        <v>872</v>
      </c>
      <c r="K1877" s="81" t="s">
        <v>879</v>
      </c>
      <c r="L1877" s="81" t="n">
        <v>2095530</v>
      </c>
      <c r="M1877" s="81" t="n">
        <v>15421111</v>
      </c>
      <c r="N1877" s="81" t="n">
        <v>11.94</v>
      </c>
      <c r="O1877" s="81" t="n">
        <v>2093670</v>
      </c>
      <c r="P1877" s="81" t="n">
        <v>15421110</v>
      </c>
      <c r="Q1877" s="81" t="n">
        <v>11.94</v>
      </c>
      <c r="R1877" s="81" t="s">
        <v>2273</v>
      </c>
      <c r="S1877" s="81"/>
      <c r="T1877" s="81"/>
      <c r="U1877" s="83" t="n">
        <v>46269</v>
      </c>
      <c r="V1877" s="83" t="n">
        <v>46269</v>
      </c>
      <c r="W1877" s="81" t="s">
        <v>2280</v>
      </c>
      <c r="X1877" s="81" t="s">
        <v>876</v>
      </c>
      <c r="Y1877" s="83" t="n">
        <v>46276</v>
      </c>
      <c r="Z1877" s="81" t="s">
        <v>2268</v>
      </c>
      <c r="AA1877" s="81" t="s">
        <v>876</v>
      </c>
      <c r="AB1877" s="81"/>
      <c r="AC1877" s="81"/>
      <c r="AD1877" s="81"/>
      <c r="AE1877" s="83"/>
      <c r="AF1877" s="81"/>
      <c r="AG1877" s="81"/>
      <c r="AH1877" s="81"/>
      <c r="AI1877" s="81"/>
      <c r="AJ1877" s="83"/>
      <c r="AK1877" s="81"/>
      <c r="AL1877" s="81"/>
      <c r="AM1877" s="83"/>
      <c r="AN1877" s="80"/>
      <c r="AO1877" s="82" t="n">
        <f aca="false">IF(E1877="","",(AA1877&lt;&gt;"")+(AG1877&lt;&gt;"")+(AL1877&lt;&gt;""))</f>
        <v>1</v>
      </c>
      <c r="AP1877" s="82" t="str">
        <f aca="false">IF(AL1877&lt;&gt;"",AL1877,IF(AG1877&lt;&gt;"",AG1877,IF(AA1877&lt;&gt;"",AA1877,"")))</f>
        <v>A</v>
      </c>
      <c r="AQ1877" s="84" t="str">
        <f aca="false">IF(E1877="","",IF(U1877="","À SOUDER",IF(X1877="","VT EN ATTENTE",IF(X1877="R","VT REJETÉ – À REPRENDRE",IF(AP1877="","À RADIOGRAPHIER",IF(AP1877="A","ACCEPTÉ",IF(AP1877="NX","NX – RT À REFAIRE",IF(IF(AO1877=1,AD1877,IF(AO1877=2,AI1877,""))="A","RÉPARÉ – À RADIOGRAPHIER",IF(IF(AO1877=1,AD1877,IF(AO1877=2,AI1877,""))="R","VT REJETÉ – À REPRENDRE",IF(OR(AP1877="CO",AP1877="NT"),"COUPE – À RESOUDER","À RÉPARER"))))))))))</f>
        <v>ACCEPTÉ</v>
      </c>
      <c r="AR1877" s="82" t="str">
        <f aca="false">IF(AND(ISNUMBER(U1877),OR(AQ1877="À RADIOGRAPHIER",AQ1877="RÉPARÉ – À RADIOGRAPHIER",AQ1877="NX – RT À REFAIRE",AQ1877="À RÉPARER",AQ1877="COUPE – À RESOUDER",AQ1877="VT REJETÉ – À REPRENDRE")),MAX(0,'PROGRAMME RT'!$C$4-U1877),"")</f>
        <v/>
      </c>
      <c r="AS1877" s="82" t="n">
        <f aca="false">IF(AND(OR(AQ1877="À RADIOGRAPHIER",AQ1877="RÉPARÉ – À RADIOGRAPHIER",AQ1877="NX – RT À REFAIRE"),OR('PROGRAMME RT'!$D$5="TOUTES",B1877='PROGRAMME RT'!$D$5)),1,0)</f>
        <v>0</v>
      </c>
      <c r="AT1877" s="82" t="str">
        <f aca="false">IF(AS1877=1,SUM(AS$7:AS1877),"")</f>
        <v/>
      </c>
      <c r="AU1877" s="82" t="n">
        <f aca="false">IF(AND(OR(AA1877="R",AA1877="NX",AA1877="NT",AA1877="CO"),OR('JOINTS DE RÉPARATION'!$D$5="TOUTES",B1877='JOINTS DE RÉPARATION'!$D$5),OR('JOINTS DE RÉPARATION'!$L$4="TOUS",AQ1877&lt;&gt;"ACCEPTÉ")),1,0)</f>
        <v>0</v>
      </c>
      <c r="AV1877" s="82" t="str">
        <f aca="false">IF(AU1877=1,SUM(AU$7:AU1877),"")</f>
        <v/>
      </c>
      <c r="AW1877" s="82" t="str">
        <f aca="false">IF(E1877="","",B1877&amp;"|"&amp;E1877)</f>
        <v>MFD-ISW → MFD-CPF|JN°1463</v>
      </c>
    </row>
    <row r="1878" customFormat="false" ht="74.6" hidden="false" customHeight="false" outlineLevel="0" collapsed="false">
      <c r="A1878" s="79" t="n">
        <f aca="false">IF(E1878="","",ROW()-6)</f>
        <v>1872</v>
      </c>
      <c r="B1878" s="80" t="s">
        <v>110</v>
      </c>
      <c r="C1878" s="81" t="s">
        <v>2263</v>
      </c>
      <c r="D1878" s="81" t="n">
        <v>17</v>
      </c>
      <c r="E1878" s="81" t="s">
        <v>2291</v>
      </c>
      <c r="F1878" s="82" t="str">
        <f aca="false">IF(E1878="","",IF(LEFT(E1878,2)="DJ","DJ","JN"))</f>
        <v>DJ</v>
      </c>
      <c r="G1878" s="81"/>
      <c r="H1878" s="81" t="s">
        <v>871</v>
      </c>
      <c r="I1878" s="81" t="n">
        <v>9.53</v>
      </c>
      <c r="J1878" s="81" t="s">
        <v>872</v>
      </c>
      <c r="K1878" s="81" t="s">
        <v>873</v>
      </c>
      <c r="L1878" s="81" t="n">
        <v>2093670</v>
      </c>
      <c r="M1878" s="81" t="n">
        <v>15421110</v>
      </c>
      <c r="N1878" s="81" t="n">
        <v>11.94</v>
      </c>
      <c r="O1878" s="81" t="n">
        <v>2093190</v>
      </c>
      <c r="P1878" s="81" t="n">
        <v>15421110</v>
      </c>
      <c r="Q1878" s="81" t="n">
        <v>11.94</v>
      </c>
      <c r="R1878" s="81" t="s">
        <v>963</v>
      </c>
      <c r="S1878" s="81"/>
      <c r="T1878" s="81"/>
      <c r="U1878" s="83" t="n">
        <v>46249</v>
      </c>
      <c r="V1878" s="83" t="n">
        <v>46249</v>
      </c>
      <c r="W1878" s="81" t="s">
        <v>2217</v>
      </c>
      <c r="X1878" s="81" t="s">
        <v>876</v>
      </c>
      <c r="Y1878" s="83" t="n">
        <v>46250</v>
      </c>
      <c r="Z1878" s="81" t="s">
        <v>2218</v>
      </c>
      <c r="AA1878" s="81" t="s">
        <v>876</v>
      </c>
      <c r="AB1878" s="81"/>
      <c r="AC1878" s="81"/>
      <c r="AD1878" s="81"/>
      <c r="AE1878" s="83"/>
      <c r="AF1878" s="81"/>
      <c r="AG1878" s="81"/>
      <c r="AH1878" s="81"/>
      <c r="AI1878" s="81"/>
      <c r="AJ1878" s="83"/>
      <c r="AK1878" s="81"/>
      <c r="AL1878" s="81"/>
      <c r="AM1878" s="83"/>
      <c r="AN1878" s="80"/>
      <c r="AO1878" s="82" t="n">
        <f aca="false">IF(E1878="","",(AA1878&lt;&gt;"")+(AG1878&lt;&gt;"")+(AL1878&lt;&gt;""))</f>
        <v>1</v>
      </c>
      <c r="AP1878" s="82" t="str">
        <f aca="false">IF(AL1878&lt;&gt;"",AL1878,IF(AG1878&lt;&gt;"",AG1878,IF(AA1878&lt;&gt;"",AA1878,"")))</f>
        <v>A</v>
      </c>
      <c r="AQ1878" s="84" t="str">
        <f aca="false">IF(E1878="","",IF(U1878="","À SOUDER",IF(X1878="","VT EN ATTENTE",IF(X1878="R","VT REJETÉ – À REPRENDRE",IF(AP1878="","À RADIOGRAPHIER",IF(AP1878="A","ACCEPTÉ",IF(AP1878="NX","NX – RT À REFAIRE",IF(IF(AO1878=1,AD1878,IF(AO1878=2,AI1878,""))="A","RÉPARÉ – À RADIOGRAPHIER",IF(IF(AO1878=1,AD1878,IF(AO1878=2,AI1878,""))="R","VT REJETÉ – À REPRENDRE",IF(OR(AP1878="CO",AP1878="NT"),"COUPE – À RESOUDER","À RÉPARER"))))))))))</f>
        <v>ACCEPTÉ</v>
      </c>
      <c r="AR1878" s="82" t="str">
        <f aca="false">IF(AND(ISNUMBER(U1878),OR(AQ1878="À RADIOGRAPHIER",AQ1878="RÉPARÉ – À RADIOGRAPHIER",AQ1878="NX – RT À REFAIRE",AQ1878="À RÉPARER",AQ1878="COUPE – À RESOUDER",AQ1878="VT REJETÉ – À REPRENDRE")),MAX(0,'PROGRAMME RT'!$C$4-U1878),"")</f>
        <v/>
      </c>
      <c r="AS1878" s="82" t="n">
        <f aca="false">IF(AND(OR(AQ1878="À RADIOGRAPHIER",AQ1878="RÉPARÉ – À RADIOGRAPHIER",AQ1878="NX – RT À REFAIRE"),OR('PROGRAMME RT'!$D$5="TOUTES",B1878='PROGRAMME RT'!$D$5)),1,0)</f>
        <v>0</v>
      </c>
      <c r="AT1878" s="82" t="str">
        <f aca="false">IF(AS1878=1,SUM(AS$7:AS1878),"")</f>
        <v/>
      </c>
      <c r="AU1878" s="82" t="n">
        <f aca="false">IF(AND(OR(AA1878="R",AA1878="NX",AA1878="NT",AA1878="CO"),OR('JOINTS DE RÉPARATION'!$D$5="TOUTES",B1878='JOINTS DE RÉPARATION'!$D$5),OR('JOINTS DE RÉPARATION'!$L$4="TOUS",AQ1878&lt;&gt;"ACCEPTÉ")),1,0)</f>
        <v>0</v>
      </c>
      <c r="AV1878" s="82" t="str">
        <f aca="false">IF(AU1878=1,SUM(AU$7:AU1878),"")</f>
        <v/>
      </c>
      <c r="AW1878" s="82" t="str">
        <f aca="false">IF(E1878="","",B1878&amp;"|"&amp;E1878)</f>
        <v>MFD-ISW → MFD-CPF|DJ°006</v>
      </c>
    </row>
    <row r="1879" customFormat="false" ht="74.6" hidden="false" customHeight="false" outlineLevel="0" collapsed="false">
      <c r="A1879" s="79" t="n">
        <f aca="false">IF(E1879="","",ROW()-6)</f>
        <v>1873</v>
      </c>
      <c r="B1879" s="80" t="s">
        <v>110</v>
      </c>
      <c r="C1879" s="81" t="s">
        <v>2263</v>
      </c>
      <c r="D1879" s="81" t="n">
        <v>17</v>
      </c>
      <c r="E1879" s="81" t="s">
        <v>2292</v>
      </c>
      <c r="F1879" s="82" t="str">
        <f aca="false">IF(E1879="","",IF(LEFT(E1879,2)="DJ","DJ","JN"))</f>
        <v>JN</v>
      </c>
      <c r="G1879" s="81" t="s">
        <v>1504</v>
      </c>
      <c r="H1879" s="81" t="s">
        <v>871</v>
      </c>
      <c r="I1879" s="81" t="n">
        <v>9.53</v>
      </c>
      <c r="J1879" s="81" t="s">
        <v>872</v>
      </c>
      <c r="K1879" s="81" t="s">
        <v>879</v>
      </c>
      <c r="L1879" s="81" t="n">
        <v>2099190</v>
      </c>
      <c r="M1879" s="81" t="n">
        <v>15421110</v>
      </c>
      <c r="N1879" s="81" t="n">
        <v>11.94</v>
      </c>
      <c r="O1879" s="81" t="n">
        <v>2091220</v>
      </c>
      <c r="P1879" s="81" t="n">
        <v>15421109</v>
      </c>
      <c r="Q1879" s="81" t="n">
        <v>11.94</v>
      </c>
      <c r="R1879" s="81" t="s">
        <v>2273</v>
      </c>
      <c r="S1879" s="81"/>
      <c r="T1879" s="81"/>
      <c r="U1879" s="83" t="n">
        <v>46269</v>
      </c>
      <c r="V1879" s="83" t="n">
        <v>46269</v>
      </c>
      <c r="W1879" s="81" t="s">
        <v>2280</v>
      </c>
      <c r="X1879" s="81" t="s">
        <v>876</v>
      </c>
      <c r="Y1879" s="83" t="n">
        <v>46276</v>
      </c>
      <c r="Z1879" s="81" t="s">
        <v>2268</v>
      </c>
      <c r="AA1879" s="81" t="s">
        <v>876</v>
      </c>
      <c r="AB1879" s="81"/>
      <c r="AC1879" s="81"/>
      <c r="AD1879" s="81"/>
      <c r="AE1879" s="83"/>
      <c r="AF1879" s="81"/>
      <c r="AG1879" s="81"/>
      <c r="AH1879" s="81"/>
      <c r="AI1879" s="81"/>
      <c r="AJ1879" s="83"/>
      <c r="AK1879" s="81"/>
      <c r="AL1879" s="81"/>
      <c r="AM1879" s="83"/>
      <c r="AN1879" s="80"/>
      <c r="AO1879" s="82" t="n">
        <f aca="false">IF(E1879="","",(AA1879&lt;&gt;"")+(AG1879&lt;&gt;"")+(AL1879&lt;&gt;""))</f>
        <v>1</v>
      </c>
      <c r="AP1879" s="82" t="str">
        <f aca="false">IF(AL1879&lt;&gt;"",AL1879,IF(AG1879&lt;&gt;"",AG1879,IF(AA1879&lt;&gt;"",AA1879,"")))</f>
        <v>A</v>
      </c>
      <c r="AQ1879" s="84" t="str">
        <f aca="false">IF(E1879="","",IF(U1879="","À SOUDER",IF(X1879="","VT EN ATTENTE",IF(X1879="R","VT REJETÉ – À REPRENDRE",IF(AP1879="","À RADIOGRAPHIER",IF(AP1879="A","ACCEPTÉ",IF(AP1879="NX","NX – RT À REFAIRE",IF(IF(AO1879=1,AD1879,IF(AO1879=2,AI1879,""))="A","RÉPARÉ – À RADIOGRAPHIER",IF(IF(AO1879=1,AD1879,IF(AO1879=2,AI1879,""))="R","VT REJETÉ – À REPRENDRE",IF(OR(AP1879="CO",AP1879="NT"),"COUPE – À RESOUDER","À RÉPARER"))))))))))</f>
        <v>ACCEPTÉ</v>
      </c>
      <c r="AR1879" s="82" t="str">
        <f aca="false">IF(AND(ISNUMBER(U1879),OR(AQ1879="À RADIOGRAPHIER",AQ1879="RÉPARÉ – À RADIOGRAPHIER",AQ1879="NX – RT À REFAIRE",AQ1879="À RÉPARER",AQ1879="COUPE – À RESOUDER",AQ1879="VT REJETÉ – À REPRENDRE")),MAX(0,'PROGRAMME RT'!$C$4-U1879),"")</f>
        <v/>
      </c>
      <c r="AS1879" s="82" t="n">
        <f aca="false">IF(AND(OR(AQ1879="À RADIOGRAPHIER",AQ1879="RÉPARÉ – À RADIOGRAPHIER",AQ1879="NX – RT À REFAIRE"),OR('PROGRAMME RT'!$D$5="TOUTES",B1879='PROGRAMME RT'!$D$5)),1,0)</f>
        <v>0</v>
      </c>
      <c r="AT1879" s="82" t="str">
        <f aca="false">IF(AS1879=1,SUM(AS$7:AS1879),"")</f>
        <v/>
      </c>
      <c r="AU1879" s="82" t="n">
        <f aca="false">IF(AND(OR(AA1879="R",AA1879="NX",AA1879="NT",AA1879="CO"),OR('JOINTS DE RÉPARATION'!$D$5="TOUTES",B1879='JOINTS DE RÉPARATION'!$D$5),OR('JOINTS DE RÉPARATION'!$L$4="TOUS",AQ1879&lt;&gt;"ACCEPTÉ")),1,0)</f>
        <v>0</v>
      </c>
      <c r="AV1879" s="82" t="str">
        <f aca="false">IF(AU1879=1,SUM(AU$7:AU1879),"")</f>
        <v/>
      </c>
      <c r="AW1879" s="82" t="str">
        <f aca="false">IF(E1879="","",B1879&amp;"|"&amp;E1879)</f>
        <v>MFD-ISW → MFD-CPF|JN°1464</v>
      </c>
    </row>
    <row r="1880" customFormat="false" ht="74.6" hidden="false" customHeight="false" outlineLevel="0" collapsed="false">
      <c r="A1880" s="79" t="n">
        <f aca="false">IF(E1880="","",ROW()-6)</f>
        <v>1874</v>
      </c>
      <c r="B1880" s="80" t="s">
        <v>110</v>
      </c>
      <c r="C1880" s="81" t="s">
        <v>2263</v>
      </c>
      <c r="D1880" s="81" t="n">
        <v>17</v>
      </c>
      <c r="E1880" s="81" t="s">
        <v>2293</v>
      </c>
      <c r="F1880" s="82" t="str">
        <f aca="false">IF(E1880="","",IF(LEFT(E1880,2)="DJ","DJ","JN"))</f>
        <v>DJ</v>
      </c>
      <c r="G1880" s="81"/>
      <c r="H1880" s="81" t="s">
        <v>871</v>
      </c>
      <c r="I1880" s="81" t="n">
        <v>9.53</v>
      </c>
      <c r="J1880" s="81" t="s">
        <v>872</v>
      </c>
      <c r="K1880" s="81" t="s">
        <v>873</v>
      </c>
      <c r="L1880" s="81" t="n">
        <v>2099420</v>
      </c>
      <c r="M1880" s="81" t="n">
        <v>15421109</v>
      </c>
      <c r="N1880" s="81" t="n">
        <v>11.94</v>
      </c>
      <c r="O1880" s="81" t="n">
        <v>2085130</v>
      </c>
      <c r="P1880" s="81" t="n">
        <v>15421106</v>
      </c>
      <c r="Q1880" s="81" t="n">
        <v>11.94</v>
      </c>
      <c r="R1880" s="81" t="s">
        <v>874</v>
      </c>
      <c r="S1880" s="81"/>
      <c r="T1880" s="81"/>
      <c r="U1880" s="83" t="n">
        <v>46253</v>
      </c>
      <c r="V1880" s="83" t="n">
        <v>46253</v>
      </c>
      <c r="W1880" s="81" t="s">
        <v>2240</v>
      </c>
      <c r="X1880" s="81" t="s">
        <v>876</v>
      </c>
      <c r="Y1880" s="83" t="n">
        <v>46254</v>
      </c>
      <c r="Z1880" s="81" t="s">
        <v>2286</v>
      </c>
      <c r="AA1880" s="81" t="s">
        <v>876</v>
      </c>
      <c r="AB1880" s="81"/>
      <c r="AC1880" s="81"/>
      <c r="AD1880" s="81"/>
      <c r="AE1880" s="83"/>
      <c r="AF1880" s="81"/>
      <c r="AG1880" s="81"/>
      <c r="AH1880" s="81"/>
      <c r="AI1880" s="81"/>
      <c r="AJ1880" s="83"/>
      <c r="AK1880" s="81"/>
      <c r="AL1880" s="81"/>
      <c r="AM1880" s="83"/>
      <c r="AN1880" s="80"/>
      <c r="AO1880" s="82" t="n">
        <f aca="false">IF(E1880="","",(AA1880&lt;&gt;"")+(AG1880&lt;&gt;"")+(AL1880&lt;&gt;""))</f>
        <v>1</v>
      </c>
      <c r="AP1880" s="82" t="str">
        <f aca="false">IF(AL1880&lt;&gt;"",AL1880,IF(AG1880&lt;&gt;"",AG1880,IF(AA1880&lt;&gt;"",AA1880,"")))</f>
        <v>A</v>
      </c>
      <c r="AQ1880" s="84" t="str">
        <f aca="false">IF(E1880="","",IF(U1880="","À SOUDER",IF(X1880="","VT EN ATTENTE",IF(X1880="R","VT REJETÉ – À REPRENDRE",IF(AP1880="","À RADIOGRAPHIER",IF(AP1880="A","ACCEPTÉ",IF(AP1880="NX","NX – RT À REFAIRE",IF(IF(AO1880=1,AD1880,IF(AO1880=2,AI1880,""))="A","RÉPARÉ – À RADIOGRAPHIER",IF(IF(AO1880=1,AD1880,IF(AO1880=2,AI1880,""))="R","VT REJETÉ – À REPRENDRE",IF(OR(AP1880="CO",AP1880="NT"),"COUPE – À RESOUDER","À RÉPARER"))))))))))</f>
        <v>ACCEPTÉ</v>
      </c>
      <c r="AR1880" s="82" t="str">
        <f aca="false">IF(AND(ISNUMBER(U1880),OR(AQ1880="À RADIOGRAPHIER",AQ1880="RÉPARÉ – À RADIOGRAPHIER",AQ1880="NX – RT À REFAIRE",AQ1880="À RÉPARER",AQ1880="COUPE – À RESOUDER",AQ1880="VT REJETÉ – À REPRENDRE")),MAX(0,'PROGRAMME RT'!$C$4-U1880),"")</f>
        <v/>
      </c>
      <c r="AS1880" s="82" t="n">
        <f aca="false">IF(AND(OR(AQ1880="À RADIOGRAPHIER",AQ1880="RÉPARÉ – À RADIOGRAPHIER",AQ1880="NX – RT À REFAIRE"),OR('PROGRAMME RT'!$D$5="TOUTES",B1880='PROGRAMME RT'!$D$5)),1,0)</f>
        <v>0</v>
      </c>
      <c r="AT1880" s="82" t="str">
        <f aca="false">IF(AS1880=1,SUM(AS$7:AS1880),"")</f>
        <v/>
      </c>
      <c r="AU1880" s="82" t="n">
        <f aca="false">IF(AND(OR(AA1880="R",AA1880="NX",AA1880="NT",AA1880="CO"),OR('JOINTS DE RÉPARATION'!$D$5="TOUTES",B1880='JOINTS DE RÉPARATION'!$D$5),OR('JOINTS DE RÉPARATION'!$L$4="TOUS",AQ1880&lt;&gt;"ACCEPTÉ")),1,0)</f>
        <v>0</v>
      </c>
      <c r="AV1880" s="82" t="str">
        <f aca="false">IF(AU1880=1,SUM(AU$7:AU1880),"")</f>
        <v/>
      </c>
      <c r="AW1880" s="82" t="str">
        <f aca="false">IF(E1880="","",B1880&amp;"|"&amp;E1880)</f>
        <v>MFD-ISW → MFD-CPF|DJ°058</v>
      </c>
    </row>
    <row r="1881" customFormat="false" ht="74.6" hidden="false" customHeight="false" outlineLevel="0" collapsed="false">
      <c r="A1881" s="79" t="n">
        <f aca="false">IF(E1881="","",ROW()-6)</f>
        <v>1875</v>
      </c>
      <c r="B1881" s="80" t="s">
        <v>110</v>
      </c>
      <c r="C1881" s="81" t="s">
        <v>2263</v>
      </c>
      <c r="D1881" s="81" t="n">
        <v>17</v>
      </c>
      <c r="E1881" s="81" t="s">
        <v>2294</v>
      </c>
      <c r="F1881" s="82" t="str">
        <f aca="false">IF(E1881="","",IF(LEFT(E1881,2)="DJ","DJ","JN"))</f>
        <v>JN</v>
      </c>
      <c r="G1881" s="81" t="s">
        <v>1504</v>
      </c>
      <c r="H1881" s="81" t="s">
        <v>871</v>
      </c>
      <c r="I1881" s="81" t="n">
        <v>9.53</v>
      </c>
      <c r="J1881" s="81" t="s">
        <v>872</v>
      </c>
      <c r="K1881" s="81" t="s">
        <v>879</v>
      </c>
      <c r="L1881" s="81" t="n">
        <v>2085130</v>
      </c>
      <c r="M1881" s="81" t="n">
        <v>15421124</v>
      </c>
      <c r="N1881" s="81" t="n">
        <v>11.94</v>
      </c>
      <c r="O1881" s="81" t="n">
        <v>2091360</v>
      </c>
      <c r="P1881" s="81" t="n">
        <v>15421109</v>
      </c>
      <c r="Q1881" s="81" t="n">
        <v>11.94</v>
      </c>
      <c r="R1881" s="81" t="s">
        <v>2273</v>
      </c>
      <c r="S1881" s="81"/>
      <c r="T1881" s="81"/>
      <c r="U1881" s="83" t="n">
        <v>46269</v>
      </c>
      <c r="V1881" s="83" t="n">
        <v>46269</v>
      </c>
      <c r="W1881" s="81" t="s">
        <v>2280</v>
      </c>
      <c r="X1881" s="81" t="s">
        <v>876</v>
      </c>
      <c r="Y1881" s="83" t="n">
        <v>46276</v>
      </c>
      <c r="Z1881" s="81" t="s">
        <v>2268</v>
      </c>
      <c r="AA1881" s="81" t="s">
        <v>876</v>
      </c>
      <c r="AB1881" s="81"/>
      <c r="AC1881" s="81"/>
      <c r="AD1881" s="81"/>
      <c r="AE1881" s="83"/>
      <c r="AF1881" s="81"/>
      <c r="AG1881" s="81"/>
      <c r="AH1881" s="81"/>
      <c r="AI1881" s="81"/>
      <c r="AJ1881" s="83"/>
      <c r="AK1881" s="81"/>
      <c r="AL1881" s="81"/>
      <c r="AM1881" s="83"/>
      <c r="AN1881" s="80"/>
      <c r="AO1881" s="82" t="n">
        <f aca="false">IF(E1881="","",(AA1881&lt;&gt;"")+(AG1881&lt;&gt;"")+(AL1881&lt;&gt;""))</f>
        <v>1</v>
      </c>
      <c r="AP1881" s="82" t="str">
        <f aca="false">IF(AL1881&lt;&gt;"",AL1881,IF(AG1881&lt;&gt;"",AG1881,IF(AA1881&lt;&gt;"",AA1881,"")))</f>
        <v>A</v>
      </c>
      <c r="AQ1881" s="84" t="str">
        <f aca="false">IF(E1881="","",IF(U1881="","À SOUDER",IF(X1881="","VT EN ATTENTE",IF(X1881="R","VT REJETÉ – À REPRENDRE",IF(AP1881="","À RADIOGRAPHIER",IF(AP1881="A","ACCEPTÉ",IF(AP1881="NX","NX – RT À REFAIRE",IF(IF(AO1881=1,AD1881,IF(AO1881=2,AI1881,""))="A","RÉPARÉ – À RADIOGRAPHIER",IF(IF(AO1881=1,AD1881,IF(AO1881=2,AI1881,""))="R","VT REJETÉ – À REPRENDRE",IF(OR(AP1881="CO",AP1881="NT"),"COUPE – À RESOUDER","À RÉPARER"))))))))))</f>
        <v>ACCEPTÉ</v>
      </c>
      <c r="AR1881" s="82" t="str">
        <f aca="false">IF(AND(ISNUMBER(U1881),OR(AQ1881="À RADIOGRAPHIER",AQ1881="RÉPARÉ – À RADIOGRAPHIER",AQ1881="NX – RT À REFAIRE",AQ1881="À RÉPARER",AQ1881="COUPE – À RESOUDER",AQ1881="VT REJETÉ – À REPRENDRE")),MAX(0,'PROGRAMME RT'!$C$4-U1881),"")</f>
        <v/>
      </c>
      <c r="AS1881" s="82" t="n">
        <f aca="false">IF(AND(OR(AQ1881="À RADIOGRAPHIER",AQ1881="RÉPARÉ – À RADIOGRAPHIER",AQ1881="NX – RT À REFAIRE"),OR('PROGRAMME RT'!$D$5="TOUTES",B1881='PROGRAMME RT'!$D$5)),1,0)</f>
        <v>0</v>
      </c>
      <c r="AT1881" s="82" t="str">
        <f aca="false">IF(AS1881=1,SUM(AS$7:AS1881),"")</f>
        <v/>
      </c>
      <c r="AU1881" s="82" t="n">
        <f aca="false">IF(AND(OR(AA1881="R",AA1881="NX",AA1881="NT",AA1881="CO"),OR('JOINTS DE RÉPARATION'!$D$5="TOUTES",B1881='JOINTS DE RÉPARATION'!$D$5),OR('JOINTS DE RÉPARATION'!$L$4="TOUS",AQ1881&lt;&gt;"ACCEPTÉ")),1,0)</f>
        <v>0</v>
      </c>
      <c r="AV1881" s="82" t="str">
        <f aca="false">IF(AU1881=1,SUM(AU$7:AU1881),"")</f>
        <v/>
      </c>
      <c r="AW1881" s="82" t="str">
        <f aca="false">IF(E1881="","",B1881&amp;"|"&amp;E1881)</f>
        <v>MFD-ISW → MFD-CPF|JN°1465</v>
      </c>
    </row>
    <row r="1882" customFormat="false" ht="74.6" hidden="false" customHeight="false" outlineLevel="0" collapsed="false">
      <c r="A1882" s="79" t="n">
        <f aca="false">IF(E1882="","",ROW()-6)</f>
        <v>1876</v>
      </c>
      <c r="B1882" s="80" t="s">
        <v>110</v>
      </c>
      <c r="C1882" s="81" t="s">
        <v>2263</v>
      </c>
      <c r="D1882" s="81" t="n">
        <v>17</v>
      </c>
      <c r="E1882" s="81" t="s">
        <v>2295</v>
      </c>
      <c r="F1882" s="82" t="str">
        <f aca="false">IF(E1882="","",IF(LEFT(E1882,2)="DJ","DJ","JN"))</f>
        <v>DJ</v>
      </c>
      <c r="G1882" s="81"/>
      <c r="H1882" s="81" t="s">
        <v>871</v>
      </c>
      <c r="I1882" s="81" t="n">
        <v>9.53</v>
      </c>
      <c r="J1882" s="81" t="s">
        <v>872</v>
      </c>
      <c r="K1882" s="81" t="s">
        <v>873</v>
      </c>
      <c r="L1882" s="81" t="n">
        <v>2091360</v>
      </c>
      <c r="M1882" s="81" t="n">
        <v>15421109</v>
      </c>
      <c r="N1882" s="81" t="n">
        <v>11.94</v>
      </c>
      <c r="O1882" s="81" t="n">
        <v>2093960</v>
      </c>
      <c r="P1882" s="81" t="n">
        <v>15421110</v>
      </c>
      <c r="Q1882" s="81" t="n">
        <v>11.94</v>
      </c>
      <c r="R1882" s="81" t="s">
        <v>1147</v>
      </c>
      <c r="S1882" s="81"/>
      <c r="T1882" s="81"/>
      <c r="U1882" s="83" t="n">
        <v>46249</v>
      </c>
      <c r="V1882" s="83" t="n">
        <v>46249</v>
      </c>
      <c r="W1882" s="81" t="s">
        <v>2217</v>
      </c>
      <c r="X1882" s="81" t="s">
        <v>876</v>
      </c>
      <c r="Y1882" s="83" t="n">
        <v>46250</v>
      </c>
      <c r="Z1882" s="81" t="s">
        <v>2218</v>
      </c>
      <c r="AA1882" s="81" t="s">
        <v>876</v>
      </c>
      <c r="AB1882" s="81"/>
      <c r="AC1882" s="81"/>
      <c r="AD1882" s="81"/>
      <c r="AE1882" s="83"/>
      <c r="AF1882" s="81"/>
      <c r="AG1882" s="81"/>
      <c r="AH1882" s="81"/>
      <c r="AI1882" s="81"/>
      <c r="AJ1882" s="83"/>
      <c r="AK1882" s="81"/>
      <c r="AL1882" s="81"/>
      <c r="AM1882" s="83"/>
      <c r="AN1882" s="80"/>
      <c r="AO1882" s="82" t="n">
        <f aca="false">IF(E1882="","",(AA1882&lt;&gt;"")+(AG1882&lt;&gt;"")+(AL1882&lt;&gt;""))</f>
        <v>1</v>
      </c>
      <c r="AP1882" s="82" t="str">
        <f aca="false">IF(AL1882&lt;&gt;"",AL1882,IF(AG1882&lt;&gt;"",AG1882,IF(AA1882&lt;&gt;"",AA1882,"")))</f>
        <v>A</v>
      </c>
      <c r="AQ1882" s="84" t="str">
        <f aca="false">IF(E1882="","",IF(U1882="","À SOUDER",IF(X1882="","VT EN ATTENTE",IF(X1882="R","VT REJETÉ – À REPRENDRE",IF(AP1882="","À RADIOGRAPHIER",IF(AP1882="A","ACCEPTÉ",IF(AP1882="NX","NX – RT À REFAIRE",IF(IF(AO1882=1,AD1882,IF(AO1882=2,AI1882,""))="A","RÉPARÉ – À RADIOGRAPHIER",IF(IF(AO1882=1,AD1882,IF(AO1882=2,AI1882,""))="R","VT REJETÉ – À REPRENDRE",IF(OR(AP1882="CO",AP1882="NT"),"COUPE – À RESOUDER","À RÉPARER"))))))))))</f>
        <v>ACCEPTÉ</v>
      </c>
      <c r="AR1882" s="82" t="str">
        <f aca="false">IF(AND(ISNUMBER(U1882),OR(AQ1882="À RADIOGRAPHIER",AQ1882="RÉPARÉ – À RADIOGRAPHIER",AQ1882="NX – RT À REFAIRE",AQ1882="À RÉPARER",AQ1882="COUPE – À RESOUDER",AQ1882="VT REJETÉ – À REPRENDRE")),MAX(0,'PROGRAMME RT'!$C$4-U1882),"")</f>
        <v/>
      </c>
      <c r="AS1882" s="82" t="n">
        <f aca="false">IF(AND(OR(AQ1882="À RADIOGRAPHIER",AQ1882="RÉPARÉ – À RADIOGRAPHIER",AQ1882="NX – RT À REFAIRE"),OR('PROGRAMME RT'!$D$5="TOUTES",B1882='PROGRAMME RT'!$D$5)),1,0)</f>
        <v>0</v>
      </c>
      <c r="AT1882" s="82" t="str">
        <f aca="false">IF(AS1882=1,SUM(AS$7:AS1882),"")</f>
        <v/>
      </c>
      <c r="AU1882" s="82" t="n">
        <f aca="false">IF(AND(OR(AA1882="R",AA1882="NX",AA1882="NT",AA1882="CO"),OR('JOINTS DE RÉPARATION'!$D$5="TOUTES",B1882='JOINTS DE RÉPARATION'!$D$5),OR('JOINTS DE RÉPARATION'!$L$4="TOUS",AQ1882&lt;&gt;"ACCEPTÉ")),1,0)</f>
        <v>0</v>
      </c>
      <c r="AV1882" s="82" t="str">
        <f aca="false">IF(AU1882=1,SUM(AU$7:AU1882),"")</f>
        <v/>
      </c>
      <c r="AW1882" s="82" t="str">
        <f aca="false">IF(E1882="","",B1882&amp;"|"&amp;E1882)</f>
        <v>MFD-ISW → MFD-CPF|DJ°007</v>
      </c>
    </row>
    <row r="1883" customFormat="false" ht="74.6" hidden="false" customHeight="false" outlineLevel="0" collapsed="false">
      <c r="A1883" s="79" t="n">
        <f aca="false">IF(E1883="","",ROW()-6)</f>
        <v>1877</v>
      </c>
      <c r="B1883" s="80" t="s">
        <v>110</v>
      </c>
      <c r="C1883" s="81" t="s">
        <v>2263</v>
      </c>
      <c r="D1883" s="81" t="n">
        <v>17</v>
      </c>
      <c r="E1883" s="81" t="s">
        <v>2296</v>
      </c>
      <c r="F1883" s="82" t="str">
        <f aca="false">IF(E1883="","",IF(LEFT(E1883,2)="DJ","DJ","JN"))</f>
        <v>JN</v>
      </c>
      <c r="G1883" s="81" t="s">
        <v>1504</v>
      </c>
      <c r="H1883" s="81" t="s">
        <v>871</v>
      </c>
      <c r="I1883" s="81" t="n">
        <v>9.53</v>
      </c>
      <c r="J1883" s="81" t="s">
        <v>872</v>
      </c>
      <c r="K1883" s="81" t="s">
        <v>879</v>
      </c>
      <c r="L1883" s="81" t="n">
        <v>2093960</v>
      </c>
      <c r="M1883" s="81" t="n">
        <v>15421110</v>
      </c>
      <c r="N1883" s="81" t="n">
        <v>11.94</v>
      </c>
      <c r="O1883" s="81" t="n">
        <v>2094680</v>
      </c>
      <c r="P1883" s="81" t="n">
        <v>15421111</v>
      </c>
      <c r="Q1883" s="81" t="n">
        <v>11.94</v>
      </c>
      <c r="R1883" s="81" t="s">
        <v>2273</v>
      </c>
      <c r="S1883" s="81"/>
      <c r="T1883" s="81"/>
      <c r="U1883" s="83" t="n">
        <v>46269</v>
      </c>
      <c r="V1883" s="83" t="n">
        <v>46269</v>
      </c>
      <c r="W1883" s="81" t="s">
        <v>2280</v>
      </c>
      <c r="X1883" s="81" t="s">
        <v>876</v>
      </c>
      <c r="Y1883" s="83" t="n">
        <v>46277</v>
      </c>
      <c r="Z1883" s="81" t="s">
        <v>2297</v>
      </c>
      <c r="AA1883" s="81" t="s">
        <v>876</v>
      </c>
      <c r="AB1883" s="81"/>
      <c r="AC1883" s="81"/>
      <c r="AD1883" s="81"/>
      <c r="AE1883" s="83"/>
      <c r="AF1883" s="81"/>
      <c r="AG1883" s="81"/>
      <c r="AH1883" s="81"/>
      <c r="AI1883" s="81"/>
      <c r="AJ1883" s="83"/>
      <c r="AK1883" s="81"/>
      <c r="AL1883" s="81"/>
      <c r="AM1883" s="83"/>
      <c r="AN1883" s="80"/>
      <c r="AO1883" s="82" t="n">
        <f aca="false">IF(E1883="","",(AA1883&lt;&gt;"")+(AG1883&lt;&gt;"")+(AL1883&lt;&gt;""))</f>
        <v>1</v>
      </c>
      <c r="AP1883" s="82" t="str">
        <f aca="false">IF(AL1883&lt;&gt;"",AL1883,IF(AG1883&lt;&gt;"",AG1883,IF(AA1883&lt;&gt;"",AA1883,"")))</f>
        <v>A</v>
      </c>
      <c r="AQ1883" s="84" t="str">
        <f aca="false">IF(E1883="","",IF(U1883="","À SOUDER",IF(X1883="","VT EN ATTENTE",IF(X1883="R","VT REJETÉ – À REPRENDRE",IF(AP1883="","À RADIOGRAPHIER",IF(AP1883="A","ACCEPTÉ",IF(AP1883="NX","NX – RT À REFAIRE",IF(IF(AO1883=1,AD1883,IF(AO1883=2,AI1883,""))="A","RÉPARÉ – À RADIOGRAPHIER",IF(IF(AO1883=1,AD1883,IF(AO1883=2,AI1883,""))="R","VT REJETÉ – À REPRENDRE",IF(OR(AP1883="CO",AP1883="NT"),"COUPE – À RESOUDER","À RÉPARER"))))))))))</f>
        <v>ACCEPTÉ</v>
      </c>
      <c r="AR1883" s="82" t="str">
        <f aca="false">IF(AND(ISNUMBER(U1883),OR(AQ1883="À RADIOGRAPHIER",AQ1883="RÉPARÉ – À RADIOGRAPHIER",AQ1883="NX – RT À REFAIRE",AQ1883="À RÉPARER",AQ1883="COUPE – À RESOUDER",AQ1883="VT REJETÉ – À REPRENDRE")),MAX(0,'PROGRAMME RT'!$C$4-U1883),"")</f>
        <v/>
      </c>
      <c r="AS1883" s="82" t="n">
        <f aca="false">IF(AND(OR(AQ1883="À RADIOGRAPHIER",AQ1883="RÉPARÉ – À RADIOGRAPHIER",AQ1883="NX – RT À REFAIRE"),OR('PROGRAMME RT'!$D$5="TOUTES",B1883='PROGRAMME RT'!$D$5)),1,0)</f>
        <v>0</v>
      </c>
      <c r="AT1883" s="82" t="str">
        <f aca="false">IF(AS1883=1,SUM(AS$7:AS1883),"")</f>
        <v/>
      </c>
      <c r="AU1883" s="82" t="n">
        <f aca="false">IF(AND(OR(AA1883="R",AA1883="NX",AA1883="NT",AA1883="CO"),OR('JOINTS DE RÉPARATION'!$D$5="TOUTES",B1883='JOINTS DE RÉPARATION'!$D$5),OR('JOINTS DE RÉPARATION'!$L$4="TOUS",AQ1883&lt;&gt;"ACCEPTÉ")),1,0)</f>
        <v>0</v>
      </c>
      <c r="AV1883" s="82" t="str">
        <f aca="false">IF(AU1883=1,SUM(AU$7:AU1883),"")</f>
        <v/>
      </c>
      <c r="AW1883" s="82" t="str">
        <f aca="false">IF(E1883="","",B1883&amp;"|"&amp;E1883)</f>
        <v>MFD-ISW → MFD-CPF|JN°1466</v>
      </c>
    </row>
    <row r="1884" customFormat="false" ht="74.6" hidden="false" customHeight="false" outlineLevel="0" collapsed="false">
      <c r="A1884" s="79" t="n">
        <f aca="false">IF(E1884="","",ROW()-6)</f>
        <v>1878</v>
      </c>
      <c r="B1884" s="80" t="s">
        <v>110</v>
      </c>
      <c r="C1884" s="81" t="s">
        <v>2263</v>
      </c>
      <c r="D1884" s="81" t="n">
        <v>17</v>
      </c>
      <c r="E1884" s="81" t="s">
        <v>2298</v>
      </c>
      <c r="F1884" s="82" t="str">
        <f aca="false">IF(E1884="","",IF(LEFT(E1884,2)="DJ","DJ","JN"))</f>
        <v>DJ</v>
      </c>
      <c r="G1884" s="81"/>
      <c r="H1884" s="81" t="s">
        <v>871</v>
      </c>
      <c r="I1884" s="81" t="n">
        <v>9.53</v>
      </c>
      <c r="J1884" s="81" t="s">
        <v>872</v>
      </c>
      <c r="K1884" s="81" t="s">
        <v>873</v>
      </c>
      <c r="L1884" s="81" t="n">
        <v>2094680</v>
      </c>
      <c r="M1884" s="81" t="n">
        <v>15421111</v>
      </c>
      <c r="N1884" s="81" t="n">
        <v>11.94</v>
      </c>
      <c r="O1884" s="81" t="n">
        <v>2092980</v>
      </c>
      <c r="P1884" s="81" t="n">
        <v>15421110</v>
      </c>
      <c r="Q1884" s="81" t="n">
        <v>11.94</v>
      </c>
      <c r="R1884" s="81" t="s">
        <v>1135</v>
      </c>
      <c r="S1884" s="81"/>
      <c r="T1884" s="81"/>
      <c r="U1884" s="83" t="n">
        <v>46255</v>
      </c>
      <c r="V1884" s="83" t="n">
        <v>46255</v>
      </c>
      <c r="W1884" s="81" t="s">
        <v>2299</v>
      </c>
      <c r="X1884" s="81" t="s">
        <v>876</v>
      </c>
      <c r="Y1884" s="83" t="n">
        <v>46257</v>
      </c>
      <c r="Z1884" s="81" t="s">
        <v>2300</v>
      </c>
      <c r="AA1884" s="81" t="s">
        <v>876</v>
      </c>
      <c r="AB1884" s="81"/>
      <c r="AC1884" s="81"/>
      <c r="AD1884" s="81"/>
      <c r="AE1884" s="83"/>
      <c r="AF1884" s="81"/>
      <c r="AG1884" s="81"/>
      <c r="AH1884" s="81"/>
      <c r="AI1884" s="81"/>
      <c r="AJ1884" s="83"/>
      <c r="AK1884" s="81"/>
      <c r="AL1884" s="81"/>
      <c r="AM1884" s="83"/>
      <c r="AN1884" s="80"/>
      <c r="AO1884" s="82" t="n">
        <f aca="false">IF(E1884="","",(AA1884&lt;&gt;"")+(AG1884&lt;&gt;"")+(AL1884&lt;&gt;""))</f>
        <v>1</v>
      </c>
      <c r="AP1884" s="82" t="str">
        <f aca="false">IF(AL1884&lt;&gt;"",AL1884,IF(AG1884&lt;&gt;"",AG1884,IF(AA1884&lt;&gt;"",AA1884,"")))</f>
        <v>A</v>
      </c>
      <c r="AQ1884" s="84" t="str">
        <f aca="false">IF(E1884="","",IF(U1884="","À SOUDER",IF(X1884="","VT EN ATTENTE",IF(X1884="R","VT REJETÉ – À REPRENDRE",IF(AP1884="","À RADIOGRAPHIER",IF(AP1884="A","ACCEPTÉ",IF(AP1884="NX","NX – RT À REFAIRE",IF(IF(AO1884=1,AD1884,IF(AO1884=2,AI1884,""))="A","RÉPARÉ – À RADIOGRAPHIER",IF(IF(AO1884=1,AD1884,IF(AO1884=2,AI1884,""))="R","VT REJETÉ – À REPRENDRE",IF(OR(AP1884="CO",AP1884="NT"),"COUPE – À RESOUDER","À RÉPARER"))))))))))</f>
        <v>ACCEPTÉ</v>
      </c>
      <c r="AR1884" s="82" t="str">
        <f aca="false">IF(AND(ISNUMBER(U1884),OR(AQ1884="À RADIOGRAPHIER",AQ1884="RÉPARÉ – À RADIOGRAPHIER",AQ1884="NX – RT À REFAIRE",AQ1884="À RÉPARER",AQ1884="COUPE – À RESOUDER",AQ1884="VT REJETÉ – À REPRENDRE")),MAX(0,'PROGRAMME RT'!$C$4-U1884),"")</f>
        <v/>
      </c>
      <c r="AS1884" s="82" t="n">
        <f aca="false">IF(AND(OR(AQ1884="À RADIOGRAPHIER",AQ1884="RÉPARÉ – À RADIOGRAPHIER",AQ1884="NX – RT À REFAIRE"),OR('PROGRAMME RT'!$D$5="TOUTES",B1884='PROGRAMME RT'!$D$5)),1,0)</f>
        <v>0</v>
      </c>
      <c r="AT1884" s="82" t="str">
        <f aca="false">IF(AS1884=1,SUM(AS$7:AS1884),"")</f>
        <v/>
      </c>
      <c r="AU1884" s="82" t="n">
        <f aca="false">IF(AND(OR(AA1884="R",AA1884="NX",AA1884="NT",AA1884="CO"),OR('JOINTS DE RÉPARATION'!$D$5="TOUTES",B1884='JOINTS DE RÉPARATION'!$D$5),OR('JOINTS DE RÉPARATION'!$L$4="TOUS",AQ1884&lt;&gt;"ACCEPTÉ")),1,0)</f>
        <v>0</v>
      </c>
      <c r="AV1884" s="82" t="str">
        <f aca="false">IF(AU1884=1,SUM(AU$7:AU1884),"")</f>
        <v/>
      </c>
      <c r="AW1884" s="82" t="str">
        <f aca="false">IF(E1884="","",B1884&amp;"|"&amp;E1884)</f>
        <v>MFD-ISW → MFD-CPF|DJ°078</v>
      </c>
    </row>
    <row r="1885" customFormat="false" ht="74.6" hidden="false" customHeight="false" outlineLevel="0" collapsed="false">
      <c r="A1885" s="79" t="n">
        <f aca="false">IF(E1885="","",ROW()-6)</f>
        <v>1879</v>
      </c>
      <c r="B1885" s="80" t="s">
        <v>110</v>
      </c>
      <c r="C1885" s="81" t="s">
        <v>2263</v>
      </c>
      <c r="D1885" s="81" t="n">
        <v>17</v>
      </c>
      <c r="E1885" s="81" t="s">
        <v>2301</v>
      </c>
      <c r="F1885" s="82" t="str">
        <f aca="false">IF(E1885="","",IF(LEFT(E1885,2)="DJ","DJ","JN"))</f>
        <v>JN</v>
      </c>
      <c r="G1885" s="81" t="s">
        <v>1504</v>
      </c>
      <c r="H1885" s="81" t="s">
        <v>871</v>
      </c>
      <c r="I1885" s="81" t="n">
        <v>9.53</v>
      </c>
      <c r="J1885" s="81" t="s">
        <v>872</v>
      </c>
      <c r="K1885" s="81" t="s">
        <v>879</v>
      </c>
      <c r="L1885" s="81" t="n">
        <v>2092980</v>
      </c>
      <c r="M1885" s="81" t="n">
        <v>15421110</v>
      </c>
      <c r="N1885" s="81" t="n">
        <v>11.94</v>
      </c>
      <c r="O1885" s="81" t="n">
        <v>2090770</v>
      </c>
      <c r="P1885" s="81" t="n">
        <v>15421109</v>
      </c>
      <c r="Q1885" s="81" t="n">
        <v>11.94</v>
      </c>
      <c r="R1885" s="81" t="s">
        <v>2273</v>
      </c>
      <c r="S1885" s="81"/>
      <c r="T1885" s="81"/>
      <c r="U1885" s="83" t="n">
        <v>46269</v>
      </c>
      <c r="V1885" s="83" t="n">
        <v>46269</v>
      </c>
      <c r="W1885" s="81" t="s">
        <v>2280</v>
      </c>
      <c r="X1885" s="81" t="s">
        <v>876</v>
      </c>
      <c r="Y1885" s="83" t="n">
        <v>46277</v>
      </c>
      <c r="Z1885" s="81" t="s">
        <v>2297</v>
      </c>
      <c r="AA1885" s="81" t="s">
        <v>876</v>
      </c>
      <c r="AB1885" s="81"/>
      <c r="AC1885" s="81"/>
      <c r="AD1885" s="81"/>
      <c r="AE1885" s="83"/>
      <c r="AF1885" s="81"/>
      <c r="AG1885" s="81"/>
      <c r="AH1885" s="81"/>
      <c r="AI1885" s="81"/>
      <c r="AJ1885" s="83"/>
      <c r="AK1885" s="81"/>
      <c r="AL1885" s="81"/>
      <c r="AM1885" s="83"/>
      <c r="AN1885" s="80"/>
      <c r="AO1885" s="82" t="n">
        <f aca="false">IF(E1885="","",(AA1885&lt;&gt;"")+(AG1885&lt;&gt;"")+(AL1885&lt;&gt;""))</f>
        <v>1</v>
      </c>
      <c r="AP1885" s="82" t="str">
        <f aca="false">IF(AL1885&lt;&gt;"",AL1885,IF(AG1885&lt;&gt;"",AG1885,IF(AA1885&lt;&gt;"",AA1885,"")))</f>
        <v>A</v>
      </c>
      <c r="AQ1885" s="84" t="str">
        <f aca="false">IF(E1885="","",IF(U1885="","À SOUDER",IF(X1885="","VT EN ATTENTE",IF(X1885="R","VT REJETÉ – À REPRENDRE",IF(AP1885="","À RADIOGRAPHIER",IF(AP1885="A","ACCEPTÉ",IF(AP1885="NX","NX – RT À REFAIRE",IF(IF(AO1885=1,AD1885,IF(AO1885=2,AI1885,""))="A","RÉPARÉ – À RADIOGRAPHIER",IF(IF(AO1885=1,AD1885,IF(AO1885=2,AI1885,""))="R","VT REJETÉ – À REPRENDRE",IF(OR(AP1885="CO",AP1885="NT"),"COUPE – À RESOUDER","À RÉPARER"))))))))))</f>
        <v>ACCEPTÉ</v>
      </c>
      <c r="AR1885" s="82" t="str">
        <f aca="false">IF(AND(ISNUMBER(U1885),OR(AQ1885="À RADIOGRAPHIER",AQ1885="RÉPARÉ – À RADIOGRAPHIER",AQ1885="NX – RT À REFAIRE",AQ1885="À RÉPARER",AQ1885="COUPE – À RESOUDER",AQ1885="VT REJETÉ – À REPRENDRE")),MAX(0,'PROGRAMME RT'!$C$4-U1885),"")</f>
        <v/>
      </c>
      <c r="AS1885" s="82" t="n">
        <f aca="false">IF(AND(OR(AQ1885="À RADIOGRAPHIER",AQ1885="RÉPARÉ – À RADIOGRAPHIER",AQ1885="NX – RT À REFAIRE"),OR('PROGRAMME RT'!$D$5="TOUTES",B1885='PROGRAMME RT'!$D$5)),1,0)</f>
        <v>0</v>
      </c>
      <c r="AT1885" s="82" t="str">
        <f aca="false">IF(AS1885=1,SUM(AS$7:AS1885),"")</f>
        <v/>
      </c>
      <c r="AU1885" s="82" t="n">
        <f aca="false">IF(AND(OR(AA1885="R",AA1885="NX",AA1885="NT",AA1885="CO"),OR('JOINTS DE RÉPARATION'!$D$5="TOUTES",B1885='JOINTS DE RÉPARATION'!$D$5),OR('JOINTS DE RÉPARATION'!$L$4="TOUS",AQ1885&lt;&gt;"ACCEPTÉ")),1,0)</f>
        <v>0</v>
      </c>
      <c r="AV1885" s="82" t="str">
        <f aca="false">IF(AU1885=1,SUM(AU$7:AU1885),"")</f>
        <v/>
      </c>
      <c r="AW1885" s="82" t="str">
        <f aca="false">IF(E1885="","",B1885&amp;"|"&amp;E1885)</f>
        <v>MFD-ISW → MFD-CPF|JN°1467</v>
      </c>
    </row>
    <row r="1886" customFormat="false" ht="74.6" hidden="false" customHeight="false" outlineLevel="0" collapsed="false">
      <c r="A1886" s="79" t="n">
        <f aca="false">IF(E1886="","",ROW()-6)</f>
        <v>1880</v>
      </c>
      <c r="B1886" s="80" t="s">
        <v>110</v>
      </c>
      <c r="C1886" s="81" t="s">
        <v>2263</v>
      </c>
      <c r="D1886" s="81" t="n">
        <v>17</v>
      </c>
      <c r="E1886" s="81" t="s">
        <v>2302</v>
      </c>
      <c r="F1886" s="82" t="str">
        <f aca="false">IF(E1886="","",IF(LEFT(E1886,2)="DJ","DJ","JN"))</f>
        <v>DJ</v>
      </c>
      <c r="G1886" s="81"/>
      <c r="H1886" s="81" t="s">
        <v>871</v>
      </c>
      <c r="I1886" s="81" t="n">
        <v>9.53</v>
      </c>
      <c r="J1886" s="81" t="s">
        <v>872</v>
      </c>
      <c r="K1886" s="81" t="s">
        <v>873</v>
      </c>
      <c r="L1886" s="81" t="n">
        <v>2084</v>
      </c>
      <c r="M1886" s="81" t="n">
        <v>15421106</v>
      </c>
      <c r="N1886" s="81" t="n">
        <v>11.94</v>
      </c>
      <c r="O1886" s="81" t="n">
        <v>2090770</v>
      </c>
      <c r="P1886" s="81" t="n">
        <v>15421109</v>
      </c>
      <c r="Q1886" s="81" t="n">
        <v>11.94</v>
      </c>
      <c r="R1886" s="81" t="s">
        <v>1517</v>
      </c>
      <c r="S1886" s="81"/>
      <c r="T1886" s="81"/>
      <c r="U1886" s="83" t="n">
        <v>46257</v>
      </c>
      <c r="V1886" s="83" t="n">
        <v>46257</v>
      </c>
      <c r="W1886" s="81" t="s">
        <v>1560</v>
      </c>
      <c r="X1886" s="81" t="s">
        <v>876</v>
      </c>
      <c r="Y1886" s="83" t="n">
        <v>46259</v>
      </c>
      <c r="Z1886" s="81" t="s">
        <v>1569</v>
      </c>
      <c r="AA1886" s="81" t="s">
        <v>876</v>
      </c>
      <c r="AB1886" s="81"/>
      <c r="AC1886" s="81"/>
      <c r="AD1886" s="81"/>
      <c r="AE1886" s="83"/>
      <c r="AF1886" s="81"/>
      <c r="AG1886" s="81"/>
      <c r="AH1886" s="81"/>
      <c r="AI1886" s="81"/>
      <c r="AJ1886" s="83"/>
      <c r="AK1886" s="81"/>
      <c r="AL1886" s="81"/>
      <c r="AM1886" s="83"/>
      <c r="AN1886" s="80"/>
      <c r="AO1886" s="82" t="n">
        <f aca="false">IF(E1886="","",(AA1886&lt;&gt;"")+(AG1886&lt;&gt;"")+(AL1886&lt;&gt;""))</f>
        <v>1</v>
      </c>
      <c r="AP1886" s="82" t="str">
        <f aca="false">IF(AL1886&lt;&gt;"",AL1886,IF(AG1886&lt;&gt;"",AG1886,IF(AA1886&lt;&gt;"",AA1886,"")))</f>
        <v>A</v>
      </c>
      <c r="AQ1886" s="84" t="str">
        <f aca="false">IF(E1886="","",IF(U1886="","À SOUDER",IF(X1886="","VT EN ATTENTE",IF(X1886="R","VT REJETÉ – À REPRENDRE",IF(AP1886="","À RADIOGRAPHIER",IF(AP1886="A","ACCEPTÉ",IF(AP1886="NX","NX – RT À REFAIRE",IF(IF(AO1886=1,AD1886,IF(AO1886=2,AI1886,""))="A","RÉPARÉ – À RADIOGRAPHIER",IF(IF(AO1886=1,AD1886,IF(AO1886=2,AI1886,""))="R","VT REJETÉ – À REPRENDRE",IF(OR(AP1886="CO",AP1886="NT"),"COUPE – À RESOUDER","À RÉPARER"))))))))))</f>
        <v>ACCEPTÉ</v>
      </c>
      <c r="AR1886" s="82" t="str">
        <f aca="false">IF(AND(ISNUMBER(U1886),OR(AQ1886="À RADIOGRAPHIER",AQ1886="RÉPARÉ – À RADIOGRAPHIER",AQ1886="NX – RT À REFAIRE",AQ1886="À RÉPARER",AQ1886="COUPE – À RESOUDER",AQ1886="VT REJETÉ – À REPRENDRE")),MAX(0,'PROGRAMME RT'!$C$4-U1886),"")</f>
        <v/>
      </c>
      <c r="AS1886" s="82" t="n">
        <f aca="false">IF(AND(OR(AQ1886="À RADIOGRAPHIER",AQ1886="RÉPARÉ – À RADIOGRAPHIER",AQ1886="NX – RT À REFAIRE"),OR('PROGRAMME RT'!$D$5="TOUTES",B1886='PROGRAMME RT'!$D$5)),1,0)</f>
        <v>0</v>
      </c>
      <c r="AT1886" s="82" t="str">
        <f aca="false">IF(AS1886=1,SUM(AS$7:AS1886),"")</f>
        <v/>
      </c>
      <c r="AU1886" s="82" t="n">
        <f aca="false">IF(AND(OR(AA1886="R",AA1886="NX",AA1886="NT",AA1886="CO"),OR('JOINTS DE RÉPARATION'!$D$5="TOUTES",B1886='JOINTS DE RÉPARATION'!$D$5),OR('JOINTS DE RÉPARATION'!$L$4="TOUS",AQ1886&lt;&gt;"ACCEPTÉ")),1,0)</f>
        <v>0</v>
      </c>
      <c r="AV1886" s="82" t="str">
        <f aca="false">IF(AU1886=1,SUM(AU$7:AU1886),"")</f>
        <v/>
      </c>
      <c r="AW1886" s="82" t="str">
        <f aca="false">IF(E1886="","",B1886&amp;"|"&amp;E1886)</f>
        <v>MFD-ISW → MFD-CPF|DJ°109</v>
      </c>
    </row>
    <row r="1887" customFormat="false" ht="74.6" hidden="false" customHeight="false" outlineLevel="0" collapsed="false">
      <c r="A1887" s="79" t="n">
        <f aca="false">IF(E1887="","",ROW()-6)</f>
        <v>1881</v>
      </c>
      <c r="B1887" s="80" t="s">
        <v>110</v>
      </c>
      <c r="C1887" s="81" t="s">
        <v>2263</v>
      </c>
      <c r="D1887" s="81" t="n">
        <v>17</v>
      </c>
      <c r="E1887" s="81" t="s">
        <v>2303</v>
      </c>
      <c r="F1887" s="82" t="str">
        <f aca="false">IF(E1887="","",IF(LEFT(E1887,2)="DJ","DJ","JN"))</f>
        <v>JN</v>
      </c>
      <c r="G1887" s="81" t="s">
        <v>1504</v>
      </c>
      <c r="H1887" s="81" t="s">
        <v>871</v>
      </c>
      <c r="I1887" s="81" t="n">
        <v>9.53</v>
      </c>
      <c r="J1887" s="81" t="s">
        <v>872</v>
      </c>
      <c r="K1887" s="81" t="s">
        <v>879</v>
      </c>
      <c r="L1887" s="81" t="n">
        <v>2046610</v>
      </c>
      <c r="M1887" s="81" t="n">
        <v>15421109</v>
      </c>
      <c r="N1887" s="81" t="n">
        <v>11.94</v>
      </c>
      <c r="O1887" s="81" t="n">
        <v>2090610</v>
      </c>
      <c r="P1887" s="81" t="n">
        <v>15421109</v>
      </c>
      <c r="Q1887" s="81" t="n">
        <v>11.94</v>
      </c>
      <c r="R1887" s="81" t="s">
        <v>2273</v>
      </c>
      <c r="S1887" s="81"/>
      <c r="T1887" s="81"/>
      <c r="U1887" s="83" t="n">
        <v>46269</v>
      </c>
      <c r="V1887" s="83" t="n">
        <v>46269</v>
      </c>
      <c r="W1887" s="81" t="s">
        <v>2280</v>
      </c>
      <c r="X1887" s="81" t="s">
        <v>876</v>
      </c>
      <c r="Y1887" s="83" t="n">
        <v>46277</v>
      </c>
      <c r="Z1887" s="81" t="s">
        <v>2297</v>
      </c>
      <c r="AA1887" s="81" t="s">
        <v>876</v>
      </c>
      <c r="AB1887" s="81"/>
      <c r="AC1887" s="81"/>
      <c r="AD1887" s="81"/>
      <c r="AE1887" s="83"/>
      <c r="AF1887" s="81"/>
      <c r="AG1887" s="81"/>
      <c r="AH1887" s="81"/>
      <c r="AI1887" s="81"/>
      <c r="AJ1887" s="83"/>
      <c r="AK1887" s="81"/>
      <c r="AL1887" s="81"/>
      <c r="AM1887" s="83"/>
      <c r="AN1887" s="80"/>
      <c r="AO1887" s="82" t="n">
        <f aca="false">IF(E1887="","",(AA1887&lt;&gt;"")+(AG1887&lt;&gt;"")+(AL1887&lt;&gt;""))</f>
        <v>1</v>
      </c>
      <c r="AP1887" s="82" t="str">
        <f aca="false">IF(AL1887&lt;&gt;"",AL1887,IF(AG1887&lt;&gt;"",AG1887,IF(AA1887&lt;&gt;"",AA1887,"")))</f>
        <v>A</v>
      </c>
      <c r="AQ1887" s="84" t="str">
        <f aca="false">IF(E1887="","",IF(U1887="","À SOUDER",IF(X1887="","VT EN ATTENTE",IF(X1887="R","VT REJETÉ – À REPRENDRE",IF(AP1887="","À RADIOGRAPHIER",IF(AP1887="A","ACCEPTÉ",IF(AP1887="NX","NX – RT À REFAIRE",IF(IF(AO1887=1,AD1887,IF(AO1887=2,AI1887,""))="A","RÉPARÉ – À RADIOGRAPHIER",IF(IF(AO1887=1,AD1887,IF(AO1887=2,AI1887,""))="R","VT REJETÉ – À REPRENDRE",IF(OR(AP1887="CO",AP1887="NT"),"COUPE – À RESOUDER","À RÉPARER"))))))))))</f>
        <v>ACCEPTÉ</v>
      </c>
      <c r="AR1887" s="82" t="str">
        <f aca="false">IF(AND(ISNUMBER(U1887),OR(AQ1887="À RADIOGRAPHIER",AQ1887="RÉPARÉ – À RADIOGRAPHIER",AQ1887="NX – RT À REFAIRE",AQ1887="À RÉPARER",AQ1887="COUPE – À RESOUDER",AQ1887="VT REJETÉ – À REPRENDRE")),MAX(0,'PROGRAMME RT'!$C$4-U1887),"")</f>
        <v/>
      </c>
      <c r="AS1887" s="82" t="n">
        <f aca="false">IF(AND(OR(AQ1887="À RADIOGRAPHIER",AQ1887="RÉPARÉ – À RADIOGRAPHIER",AQ1887="NX – RT À REFAIRE"),OR('PROGRAMME RT'!$D$5="TOUTES",B1887='PROGRAMME RT'!$D$5)),1,0)</f>
        <v>0</v>
      </c>
      <c r="AT1887" s="82" t="str">
        <f aca="false">IF(AS1887=1,SUM(AS$7:AS1887),"")</f>
        <v/>
      </c>
      <c r="AU1887" s="82" t="n">
        <f aca="false">IF(AND(OR(AA1887="R",AA1887="NX",AA1887="NT",AA1887="CO"),OR('JOINTS DE RÉPARATION'!$D$5="TOUTES",B1887='JOINTS DE RÉPARATION'!$D$5),OR('JOINTS DE RÉPARATION'!$L$4="TOUS",AQ1887&lt;&gt;"ACCEPTÉ")),1,0)</f>
        <v>0</v>
      </c>
      <c r="AV1887" s="82" t="str">
        <f aca="false">IF(AU1887=1,SUM(AU$7:AU1887),"")</f>
        <v/>
      </c>
      <c r="AW1887" s="82" t="str">
        <f aca="false">IF(E1887="","",B1887&amp;"|"&amp;E1887)</f>
        <v>MFD-ISW → MFD-CPF|JN°1468</v>
      </c>
    </row>
    <row r="1888" customFormat="false" ht="74.6" hidden="false" customHeight="false" outlineLevel="0" collapsed="false">
      <c r="A1888" s="79" t="n">
        <f aca="false">IF(E1888="","",ROW()-6)</f>
        <v>1882</v>
      </c>
      <c r="B1888" s="80" t="s">
        <v>110</v>
      </c>
      <c r="C1888" s="81" t="s">
        <v>2263</v>
      </c>
      <c r="D1888" s="81" t="n">
        <v>17</v>
      </c>
      <c r="E1888" s="81" t="s">
        <v>2304</v>
      </c>
      <c r="F1888" s="82" t="str">
        <f aca="false">IF(E1888="","",IF(LEFT(E1888,2)="DJ","DJ","JN"))</f>
        <v>DJ</v>
      </c>
      <c r="G1888" s="81"/>
      <c r="H1888" s="81" t="s">
        <v>871</v>
      </c>
      <c r="I1888" s="81" t="n">
        <v>9.53</v>
      </c>
      <c r="J1888" s="81" t="s">
        <v>872</v>
      </c>
      <c r="K1888" s="81" t="s">
        <v>873</v>
      </c>
      <c r="L1888" s="81" t="n">
        <v>2088190</v>
      </c>
      <c r="M1888" s="81" t="n">
        <v>15421108</v>
      </c>
      <c r="N1888" s="81" t="n">
        <v>11.94</v>
      </c>
      <c r="O1888" s="81" t="n">
        <v>2090610</v>
      </c>
      <c r="P1888" s="81" t="n">
        <v>15421109</v>
      </c>
      <c r="Q1888" s="81" t="n">
        <v>11.94</v>
      </c>
      <c r="R1888" s="81" t="s">
        <v>1147</v>
      </c>
      <c r="S1888" s="81"/>
      <c r="T1888" s="81"/>
      <c r="U1888" s="83" t="n">
        <v>46258</v>
      </c>
      <c r="V1888" s="83" t="n">
        <v>46258</v>
      </c>
      <c r="W1888" s="81" t="s">
        <v>2137</v>
      </c>
      <c r="X1888" s="81" t="s">
        <v>876</v>
      </c>
      <c r="Y1888" s="83" t="n">
        <v>46259</v>
      </c>
      <c r="Z1888" s="81" t="s">
        <v>2305</v>
      </c>
      <c r="AA1888" s="81" t="s">
        <v>876</v>
      </c>
      <c r="AB1888" s="81"/>
      <c r="AC1888" s="81"/>
      <c r="AD1888" s="81"/>
      <c r="AE1888" s="83"/>
      <c r="AF1888" s="81"/>
      <c r="AG1888" s="81"/>
      <c r="AH1888" s="81"/>
      <c r="AI1888" s="81"/>
      <c r="AJ1888" s="83"/>
      <c r="AK1888" s="81"/>
      <c r="AL1888" s="81"/>
      <c r="AM1888" s="83"/>
      <c r="AN1888" s="80"/>
      <c r="AO1888" s="82" t="n">
        <f aca="false">IF(E1888="","",(AA1888&lt;&gt;"")+(AG1888&lt;&gt;"")+(AL1888&lt;&gt;""))</f>
        <v>1</v>
      </c>
      <c r="AP1888" s="82" t="str">
        <f aca="false">IF(AL1888&lt;&gt;"",AL1888,IF(AG1888&lt;&gt;"",AG1888,IF(AA1888&lt;&gt;"",AA1888,"")))</f>
        <v>A</v>
      </c>
      <c r="AQ1888" s="84" t="str">
        <f aca="false">IF(E1888="","",IF(U1888="","À SOUDER",IF(X1888="","VT EN ATTENTE",IF(X1888="R","VT REJETÉ – À REPRENDRE",IF(AP1888="","À RADIOGRAPHIER",IF(AP1888="A","ACCEPTÉ",IF(AP1888="NX","NX – RT À REFAIRE",IF(IF(AO1888=1,AD1888,IF(AO1888=2,AI1888,""))="A","RÉPARÉ – À RADIOGRAPHIER",IF(IF(AO1888=1,AD1888,IF(AO1888=2,AI1888,""))="R","VT REJETÉ – À REPRENDRE",IF(OR(AP1888="CO",AP1888="NT"),"COUPE – À RESOUDER","À RÉPARER"))))))))))</f>
        <v>ACCEPTÉ</v>
      </c>
      <c r="AR1888" s="82" t="str">
        <f aca="false">IF(AND(ISNUMBER(U1888),OR(AQ1888="À RADIOGRAPHIER",AQ1888="RÉPARÉ – À RADIOGRAPHIER",AQ1888="NX – RT À REFAIRE",AQ1888="À RÉPARER",AQ1888="COUPE – À RESOUDER",AQ1888="VT REJETÉ – À REPRENDRE")),MAX(0,'PROGRAMME RT'!$C$4-U1888),"")</f>
        <v/>
      </c>
      <c r="AS1888" s="82" t="n">
        <f aca="false">IF(AND(OR(AQ1888="À RADIOGRAPHIER",AQ1888="RÉPARÉ – À RADIOGRAPHIER",AQ1888="NX – RT À REFAIRE"),OR('PROGRAMME RT'!$D$5="TOUTES",B1888='PROGRAMME RT'!$D$5)),1,0)</f>
        <v>0</v>
      </c>
      <c r="AT1888" s="82" t="str">
        <f aca="false">IF(AS1888=1,SUM(AS$7:AS1888),"")</f>
        <v/>
      </c>
      <c r="AU1888" s="82" t="n">
        <f aca="false">IF(AND(OR(AA1888="R",AA1888="NX",AA1888="NT",AA1888="CO"),OR('JOINTS DE RÉPARATION'!$D$5="TOUTES",B1888='JOINTS DE RÉPARATION'!$D$5),OR('JOINTS DE RÉPARATION'!$L$4="TOUS",AQ1888&lt;&gt;"ACCEPTÉ")),1,0)</f>
        <v>0</v>
      </c>
      <c r="AV1888" s="82" t="str">
        <f aca="false">IF(AU1888=1,SUM(AU$7:AU1888),"")</f>
        <v/>
      </c>
      <c r="AW1888" s="82" t="str">
        <f aca="false">IF(E1888="","",B1888&amp;"|"&amp;E1888)</f>
        <v>MFD-ISW → MFD-CPF|DJ°118</v>
      </c>
    </row>
    <row r="1889" customFormat="false" ht="74.6" hidden="false" customHeight="false" outlineLevel="0" collapsed="false">
      <c r="A1889" s="79" t="n">
        <f aca="false">IF(E1889="","",ROW()-6)</f>
        <v>1883</v>
      </c>
      <c r="B1889" s="80" t="s">
        <v>110</v>
      </c>
      <c r="C1889" s="81" t="s">
        <v>2263</v>
      </c>
      <c r="D1889" s="81" t="n">
        <v>17</v>
      </c>
      <c r="E1889" s="81" t="s">
        <v>2306</v>
      </c>
      <c r="F1889" s="82" t="str">
        <f aca="false">IF(E1889="","",IF(LEFT(E1889,2)="DJ","DJ","JN"))</f>
        <v>JN</v>
      </c>
      <c r="G1889" s="81" t="s">
        <v>1504</v>
      </c>
      <c r="H1889" s="81" t="s">
        <v>871</v>
      </c>
      <c r="I1889" s="81" t="n">
        <v>9.53</v>
      </c>
      <c r="J1889" s="81" t="s">
        <v>872</v>
      </c>
      <c r="K1889" s="81" t="s">
        <v>879</v>
      </c>
      <c r="L1889" s="81" t="n">
        <v>2088190</v>
      </c>
      <c r="M1889" s="81" t="n">
        <v>15421108</v>
      </c>
      <c r="N1889" s="81" t="n">
        <v>11.94</v>
      </c>
      <c r="O1889" s="81" t="n">
        <v>2091800</v>
      </c>
      <c r="P1889" s="81" t="n">
        <v>15421112</v>
      </c>
      <c r="Q1889" s="81" t="n">
        <v>11.94</v>
      </c>
      <c r="R1889" s="81" t="s">
        <v>2273</v>
      </c>
      <c r="S1889" s="81"/>
      <c r="T1889" s="81"/>
      <c r="U1889" s="83" t="n">
        <v>46269</v>
      </c>
      <c r="V1889" s="83" t="n">
        <v>46269</v>
      </c>
      <c r="W1889" s="81" t="s">
        <v>2280</v>
      </c>
      <c r="X1889" s="81" t="s">
        <v>876</v>
      </c>
      <c r="Y1889" s="83" t="n">
        <v>46277</v>
      </c>
      <c r="Z1889" s="81" t="s">
        <v>2297</v>
      </c>
      <c r="AA1889" s="81" t="s">
        <v>876</v>
      </c>
      <c r="AB1889" s="81"/>
      <c r="AC1889" s="81"/>
      <c r="AD1889" s="81"/>
      <c r="AE1889" s="83"/>
      <c r="AF1889" s="81"/>
      <c r="AG1889" s="81"/>
      <c r="AH1889" s="81"/>
      <c r="AI1889" s="81"/>
      <c r="AJ1889" s="83"/>
      <c r="AK1889" s="81"/>
      <c r="AL1889" s="81"/>
      <c r="AM1889" s="83"/>
      <c r="AN1889" s="80"/>
      <c r="AO1889" s="82" t="n">
        <f aca="false">IF(E1889="","",(AA1889&lt;&gt;"")+(AG1889&lt;&gt;"")+(AL1889&lt;&gt;""))</f>
        <v>1</v>
      </c>
      <c r="AP1889" s="82" t="str">
        <f aca="false">IF(AL1889&lt;&gt;"",AL1889,IF(AG1889&lt;&gt;"",AG1889,IF(AA1889&lt;&gt;"",AA1889,"")))</f>
        <v>A</v>
      </c>
      <c r="AQ1889" s="84" t="str">
        <f aca="false">IF(E1889="","",IF(U1889="","À SOUDER",IF(X1889="","VT EN ATTENTE",IF(X1889="R","VT REJETÉ – À REPRENDRE",IF(AP1889="","À RADIOGRAPHIER",IF(AP1889="A","ACCEPTÉ",IF(AP1889="NX","NX – RT À REFAIRE",IF(IF(AO1889=1,AD1889,IF(AO1889=2,AI1889,""))="A","RÉPARÉ – À RADIOGRAPHIER",IF(IF(AO1889=1,AD1889,IF(AO1889=2,AI1889,""))="R","VT REJETÉ – À REPRENDRE",IF(OR(AP1889="CO",AP1889="NT"),"COUPE – À RESOUDER","À RÉPARER"))))))))))</f>
        <v>ACCEPTÉ</v>
      </c>
      <c r="AR1889" s="82" t="str">
        <f aca="false">IF(AND(ISNUMBER(U1889),OR(AQ1889="À RADIOGRAPHIER",AQ1889="RÉPARÉ – À RADIOGRAPHIER",AQ1889="NX – RT À REFAIRE",AQ1889="À RÉPARER",AQ1889="COUPE – À RESOUDER",AQ1889="VT REJETÉ – À REPRENDRE")),MAX(0,'PROGRAMME RT'!$C$4-U1889),"")</f>
        <v/>
      </c>
      <c r="AS1889" s="82" t="n">
        <f aca="false">IF(AND(OR(AQ1889="À RADIOGRAPHIER",AQ1889="RÉPARÉ – À RADIOGRAPHIER",AQ1889="NX – RT À REFAIRE"),OR('PROGRAMME RT'!$D$5="TOUTES",B1889='PROGRAMME RT'!$D$5)),1,0)</f>
        <v>0</v>
      </c>
      <c r="AT1889" s="82" t="str">
        <f aca="false">IF(AS1889=1,SUM(AS$7:AS1889),"")</f>
        <v/>
      </c>
      <c r="AU1889" s="82" t="n">
        <f aca="false">IF(AND(OR(AA1889="R",AA1889="NX",AA1889="NT",AA1889="CO"),OR('JOINTS DE RÉPARATION'!$D$5="TOUTES",B1889='JOINTS DE RÉPARATION'!$D$5),OR('JOINTS DE RÉPARATION'!$L$4="TOUS",AQ1889&lt;&gt;"ACCEPTÉ")),1,0)</f>
        <v>0</v>
      </c>
      <c r="AV1889" s="82" t="str">
        <f aca="false">IF(AU1889=1,SUM(AU$7:AU1889),"")</f>
        <v/>
      </c>
      <c r="AW1889" s="82" t="str">
        <f aca="false">IF(E1889="","",B1889&amp;"|"&amp;E1889)</f>
        <v>MFD-ISW → MFD-CPF|JN°1469</v>
      </c>
    </row>
    <row r="1890" customFormat="false" ht="74.6" hidden="false" customHeight="false" outlineLevel="0" collapsed="false">
      <c r="A1890" s="79" t="n">
        <f aca="false">IF(E1890="","",ROW()-6)</f>
        <v>1884</v>
      </c>
      <c r="B1890" s="80" t="s">
        <v>110</v>
      </c>
      <c r="C1890" s="81" t="s">
        <v>2263</v>
      </c>
      <c r="D1890" s="81" t="n">
        <v>17</v>
      </c>
      <c r="E1890" s="81" t="s">
        <v>2307</v>
      </c>
      <c r="F1890" s="82" t="str">
        <f aca="false">IF(E1890="","",IF(LEFT(E1890,2)="DJ","DJ","JN"))</f>
        <v>DJ</v>
      </c>
      <c r="G1890" s="81"/>
      <c r="H1890" s="81" t="s">
        <v>871</v>
      </c>
      <c r="I1890" s="81" t="n">
        <v>9.53</v>
      </c>
      <c r="J1890" s="81" t="s">
        <v>872</v>
      </c>
      <c r="K1890" s="81" t="s">
        <v>873</v>
      </c>
      <c r="L1890" s="81" t="n">
        <v>2097800</v>
      </c>
      <c r="M1890" s="81" t="n">
        <v>15421112</v>
      </c>
      <c r="N1890" s="81" t="n">
        <v>11.94</v>
      </c>
      <c r="O1890" s="81" t="n">
        <v>2088070</v>
      </c>
      <c r="P1890" s="81" t="n">
        <v>15421108</v>
      </c>
      <c r="Q1890" s="81" t="n">
        <v>11.94</v>
      </c>
      <c r="R1890" s="81" t="s">
        <v>1135</v>
      </c>
      <c r="S1890" s="81"/>
      <c r="T1890" s="81"/>
      <c r="U1890" s="83" t="n">
        <v>46248</v>
      </c>
      <c r="V1890" s="83" t="n">
        <v>46248</v>
      </c>
      <c r="W1890" s="81" t="s">
        <v>2243</v>
      </c>
      <c r="X1890" s="81" t="s">
        <v>876</v>
      </c>
      <c r="Y1890" s="83" t="n">
        <v>46252</v>
      </c>
      <c r="Z1890" s="81" t="s">
        <v>2222</v>
      </c>
      <c r="AA1890" s="81" t="s">
        <v>876</v>
      </c>
      <c r="AB1890" s="81"/>
      <c r="AC1890" s="81"/>
      <c r="AD1890" s="81"/>
      <c r="AE1890" s="83"/>
      <c r="AF1890" s="81"/>
      <c r="AG1890" s="81"/>
      <c r="AH1890" s="81"/>
      <c r="AI1890" s="81"/>
      <c r="AJ1890" s="83"/>
      <c r="AK1890" s="81"/>
      <c r="AL1890" s="81"/>
      <c r="AM1890" s="83"/>
      <c r="AN1890" s="80"/>
      <c r="AO1890" s="82" t="n">
        <f aca="false">IF(E1890="","",(AA1890&lt;&gt;"")+(AG1890&lt;&gt;"")+(AL1890&lt;&gt;""))</f>
        <v>1</v>
      </c>
      <c r="AP1890" s="82" t="str">
        <f aca="false">IF(AL1890&lt;&gt;"",AL1890,IF(AG1890&lt;&gt;"",AG1890,IF(AA1890&lt;&gt;"",AA1890,"")))</f>
        <v>A</v>
      </c>
      <c r="AQ1890" s="84" t="str">
        <f aca="false">IF(E1890="","",IF(U1890="","À SOUDER",IF(X1890="","VT EN ATTENTE",IF(X1890="R","VT REJETÉ – À REPRENDRE",IF(AP1890="","À RADIOGRAPHIER",IF(AP1890="A","ACCEPTÉ",IF(AP1890="NX","NX – RT À REFAIRE",IF(IF(AO1890=1,AD1890,IF(AO1890=2,AI1890,""))="A","RÉPARÉ – À RADIOGRAPHIER",IF(IF(AO1890=1,AD1890,IF(AO1890=2,AI1890,""))="R","VT REJETÉ – À REPRENDRE",IF(OR(AP1890="CO",AP1890="NT"),"COUPE – À RESOUDER","À RÉPARER"))))))))))</f>
        <v>ACCEPTÉ</v>
      </c>
      <c r="AR1890" s="82" t="str">
        <f aca="false">IF(AND(ISNUMBER(U1890),OR(AQ1890="À RADIOGRAPHIER",AQ1890="RÉPARÉ – À RADIOGRAPHIER",AQ1890="NX – RT À REFAIRE",AQ1890="À RÉPARER",AQ1890="COUPE – À RESOUDER",AQ1890="VT REJETÉ – À REPRENDRE")),MAX(0,'PROGRAMME RT'!$C$4-U1890),"")</f>
        <v/>
      </c>
      <c r="AS1890" s="82" t="n">
        <f aca="false">IF(AND(OR(AQ1890="À RADIOGRAPHIER",AQ1890="RÉPARÉ – À RADIOGRAPHIER",AQ1890="NX – RT À REFAIRE"),OR('PROGRAMME RT'!$D$5="TOUTES",B1890='PROGRAMME RT'!$D$5)),1,0)</f>
        <v>0</v>
      </c>
      <c r="AT1890" s="82" t="str">
        <f aca="false">IF(AS1890=1,SUM(AS$7:AS1890),"")</f>
        <v/>
      </c>
      <c r="AU1890" s="82" t="n">
        <f aca="false">IF(AND(OR(AA1890="R",AA1890="NX",AA1890="NT",AA1890="CO"),OR('JOINTS DE RÉPARATION'!$D$5="TOUTES",B1890='JOINTS DE RÉPARATION'!$D$5),OR('JOINTS DE RÉPARATION'!$L$4="TOUS",AQ1890&lt;&gt;"ACCEPTÉ")),1,0)</f>
        <v>0</v>
      </c>
      <c r="AV1890" s="82" t="str">
        <f aca="false">IF(AU1890=1,SUM(AU$7:AU1890),"")</f>
        <v/>
      </c>
      <c r="AW1890" s="82" t="str">
        <f aca="false">IF(E1890="","",B1890&amp;"|"&amp;E1890)</f>
        <v>MFD-ISW → MFD-CPF|DJ°001</v>
      </c>
    </row>
    <row r="1891" customFormat="false" ht="74.6" hidden="false" customHeight="false" outlineLevel="0" collapsed="false">
      <c r="A1891" s="79" t="n">
        <f aca="false">IF(E1891="","",ROW()-6)</f>
        <v>1885</v>
      </c>
      <c r="B1891" s="80" t="s">
        <v>110</v>
      </c>
      <c r="C1891" s="81" t="s">
        <v>2263</v>
      </c>
      <c r="D1891" s="81" t="n">
        <v>17</v>
      </c>
      <c r="E1891" s="81" t="s">
        <v>2308</v>
      </c>
      <c r="F1891" s="82" t="str">
        <f aca="false">IF(E1891="","",IF(LEFT(E1891,2)="DJ","DJ","JN"))</f>
        <v>JN</v>
      </c>
      <c r="G1891" s="81" t="s">
        <v>1504</v>
      </c>
      <c r="H1891" s="81" t="s">
        <v>871</v>
      </c>
      <c r="I1891" s="81" t="n">
        <v>9.53</v>
      </c>
      <c r="J1891" s="81" t="s">
        <v>872</v>
      </c>
      <c r="K1891" s="81" t="s">
        <v>879</v>
      </c>
      <c r="L1891" s="81" t="n">
        <v>2088010</v>
      </c>
      <c r="M1891" s="81" t="n">
        <v>15421108</v>
      </c>
      <c r="N1891" s="81" t="n">
        <v>11.94</v>
      </c>
      <c r="O1891" s="81" t="n">
        <v>2088160</v>
      </c>
      <c r="P1891" s="81" t="n">
        <v>15421108</v>
      </c>
      <c r="Q1891" s="81" t="n">
        <v>11.94</v>
      </c>
      <c r="R1891" s="81" t="s">
        <v>2273</v>
      </c>
      <c r="S1891" s="81"/>
      <c r="T1891" s="81"/>
      <c r="U1891" s="83" t="n">
        <v>46269</v>
      </c>
      <c r="V1891" s="83" t="n">
        <v>46269</v>
      </c>
      <c r="W1891" s="81" t="s">
        <v>2280</v>
      </c>
      <c r="X1891" s="81" t="s">
        <v>876</v>
      </c>
      <c r="Y1891" s="83" t="n">
        <v>46277</v>
      </c>
      <c r="Z1891" s="81" t="s">
        <v>2297</v>
      </c>
      <c r="AA1891" s="81" t="s">
        <v>876</v>
      </c>
      <c r="AB1891" s="81"/>
      <c r="AC1891" s="81"/>
      <c r="AD1891" s="81"/>
      <c r="AE1891" s="83"/>
      <c r="AF1891" s="81"/>
      <c r="AG1891" s="81"/>
      <c r="AH1891" s="81"/>
      <c r="AI1891" s="81"/>
      <c r="AJ1891" s="83"/>
      <c r="AK1891" s="81"/>
      <c r="AL1891" s="81"/>
      <c r="AM1891" s="83"/>
      <c r="AN1891" s="80"/>
      <c r="AO1891" s="82" t="n">
        <f aca="false">IF(E1891="","",(AA1891&lt;&gt;"")+(AG1891&lt;&gt;"")+(AL1891&lt;&gt;""))</f>
        <v>1</v>
      </c>
      <c r="AP1891" s="82" t="str">
        <f aca="false">IF(AL1891&lt;&gt;"",AL1891,IF(AG1891&lt;&gt;"",AG1891,IF(AA1891&lt;&gt;"",AA1891,"")))</f>
        <v>A</v>
      </c>
      <c r="AQ1891" s="84" t="str">
        <f aca="false">IF(E1891="","",IF(U1891="","À SOUDER",IF(X1891="","VT EN ATTENTE",IF(X1891="R","VT REJETÉ – À REPRENDRE",IF(AP1891="","À RADIOGRAPHIER",IF(AP1891="A","ACCEPTÉ",IF(AP1891="NX","NX – RT À REFAIRE",IF(IF(AO1891=1,AD1891,IF(AO1891=2,AI1891,""))="A","RÉPARÉ – À RADIOGRAPHIER",IF(IF(AO1891=1,AD1891,IF(AO1891=2,AI1891,""))="R","VT REJETÉ – À REPRENDRE",IF(OR(AP1891="CO",AP1891="NT"),"COUPE – À RESOUDER","À RÉPARER"))))))))))</f>
        <v>ACCEPTÉ</v>
      </c>
      <c r="AR1891" s="82" t="str">
        <f aca="false">IF(AND(ISNUMBER(U1891),OR(AQ1891="À RADIOGRAPHIER",AQ1891="RÉPARÉ – À RADIOGRAPHIER",AQ1891="NX – RT À REFAIRE",AQ1891="À RÉPARER",AQ1891="COUPE – À RESOUDER",AQ1891="VT REJETÉ – À REPRENDRE")),MAX(0,'PROGRAMME RT'!$C$4-U1891),"")</f>
        <v/>
      </c>
      <c r="AS1891" s="82" t="n">
        <f aca="false">IF(AND(OR(AQ1891="À RADIOGRAPHIER",AQ1891="RÉPARÉ – À RADIOGRAPHIER",AQ1891="NX – RT À REFAIRE"),OR('PROGRAMME RT'!$D$5="TOUTES",B1891='PROGRAMME RT'!$D$5)),1,0)</f>
        <v>0</v>
      </c>
      <c r="AT1891" s="82" t="str">
        <f aca="false">IF(AS1891=1,SUM(AS$7:AS1891),"")</f>
        <v/>
      </c>
      <c r="AU1891" s="82" t="n">
        <f aca="false">IF(AND(OR(AA1891="R",AA1891="NX",AA1891="NT",AA1891="CO"),OR('JOINTS DE RÉPARATION'!$D$5="TOUTES",B1891='JOINTS DE RÉPARATION'!$D$5),OR('JOINTS DE RÉPARATION'!$L$4="TOUS",AQ1891&lt;&gt;"ACCEPTÉ")),1,0)</f>
        <v>0</v>
      </c>
      <c r="AV1891" s="82" t="str">
        <f aca="false">IF(AU1891=1,SUM(AU$7:AU1891),"")</f>
        <v/>
      </c>
      <c r="AW1891" s="82" t="str">
        <f aca="false">IF(E1891="","",B1891&amp;"|"&amp;E1891)</f>
        <v>MFD-ISW → MFD-CPF|JN°1470</v>
      </c>
    </row>
    <row r="1892" customFormat="false" ht="74.6" hidden="false" customHeight="false" outlineLevel="0" collapsed="false">
      <c r="A1892" s="79" t="n">
        <f aca="false">IF(E1892="","",ROW()-6)</f>
        <v>1886</v>
      </c>
      <c r="B1892" s="80" t="s">
        <v>110</v>
      </c>
      <c r="C1892" s="81" t="s">
        <v>2263</v>
      </c>
      <c r="D1892" s="81" t="n">
        <v>17</v>
      </c>
      <c r="E1892" s="81" t="s">
        <v>2309</v>
      </c>
      <c r="F1892" s="82" t="str">
        <f aca="false">IF(E1892="","",IF(LEFT(E1892,2)="DJ","DJ","JN"))</f>
        <v>DJ</v>
      </c>
      <c r="G1892" s="81"/>
      <c r="H1892" s="81" t="s">
        <v>871</v>
      </c>
      <c r="I1892" s="81" t="n">
        <v>9.53</v>
      </c>
      <c r="J1892" s="81" t="s">
        <v>872</v>
      </c>
      <c r="K1892" s="81" t="s">
        <v>873</v>
      </c>
      <c r="L1892" s="81" t="n">
        <v>2084700</v>
      </c>
      <c r="M1892" s="81" t="n">
        <v>15421106</v>
      </c>
      <c r="N1892" s="81" t="n">
        <v>11.94</v>
      </c>
      <c r="O1892" s="81" t="n">
        <v>2088160</v>
      </c>
      <c r="P1892" s="81" t="n">
        <v>15421108</v>
      </c>
      <c r="Q1892" s="81" t="n">
        <v>11.94</v>
      </c>
      <c r="R1892" s="81" t="s">
        <v>963</v>
      </c>
      <c r="S1892" s="81"/>
      <c r="T1892" s="81"/>
      <c r="U1892" s="83" t="n">
        <v>46257</v>
      </c>
      <c r="V1892" s="83" t="n">
        <v>46257</v>
      </c>
      <c r="W1892" s="81" t="s">
        <v>1560</v>
      </c>
      <c r="X1892" s="81" t="s">
        <v>876</v>
      </c>
      <c r="Y1892" s="83" t="n">
        <v>46259</v>
      </c>
      <c r="Z1892" s="81" t="s">
        <v>1569</v>
      </c>
      <c r="AA1892" s="81" t="s">
        <v>876</v>
      </c>
      <c r="AB1892" s="81"/>
      <c r="AC1892" s="81"/>
      <c r="AD1892" s="81"/>
      <c r="AE1892" s="83"/>
      <c r="AF1892" s="81"/>
      <c r="AG1892" s="81"/>
      <c r="AH1892" s="81"/>
      <c r="AI1892" s="81"/>
      <c r="AJ1892" s="83"/>
      <c r="AK1892" s="81"/>
      <c r="AL1892" s="81"/>
      <c r="AM1892" s="83"/>
      <c r="AN1892" s="80"/>
      <c r="AO1892" s="82" t="n">
        <f aca="false">IF(E1892="","",(AA1892&lt;&gt;"")+(AG1892&lt;&gt;"")+(AL1892&lt;&gt;""))</f>
        <v>1</v>
      </c>
      <c r="AP1892" s="82" t="str">
        <f aca="false">IF(AL1892&lt;&gt;"",AL1892,IF(AG1892&lt;&gt;"",AG1892,IF(AA1892&lt;&gt;"",AA1892,"")))</f>
        <v>A</v>
      </c>
      <c r="AQ1892" s="84" t="str">
        <f aca="false">IF(E1892="","",IF(U1892="","À SOUDER",IF(X1892="","VT EN ATTENTE",IF(X1892="R","VT REJETÉ – À REPRENDRE",IF(AP1892="","À RADIOGRAPHIER",IF(AP1892="A","ACCEPTÉ",IF(AP1892="NX","NX – RT À REFAIRE",IF(IF(AO1892=1,AD1892,IF(AO1892=2,AI1892,""))="A","RÉPARÉ – À RADIOGRAPHIER",IF(IF(AO1892=1,AD1892,IF(AO1892=2,AI1892,""))="R","VT REJETÉ – À REPRENDRE",IF(OR(AP1892="CO",AP1892="NT"),"COUPE – À RESOUDER","À RÉPARER"))))))))))</f>
        <v>ACCEPTÉ</v>
      </c>
      <c r="AR1892" s="82" t="str">
        <f aca="false">IF(AND(ISNUMBER(U1892),OR(AQ1892="À RADIOGRAPHIER",AQ1892="RÉPARÉ – À RADIOGRAPHIER",AQ1892="NX – RT À REFAIRE",AQ1892="À RÉPARER",AQ1892="COUPE – À RESOUDER",AQ1892="VT REJETÉ – À REPRENDRE")),MAX(0,'PROGRAMME RT'!$C$4-U1892),"")</f>
        <v/>
      </c>
      <c r="AS1892" s="82" t="n">
        <f aca="false">IF(AND(OR(AQ1892="À RADIOGRAPHIER",AQ1892="RÉPARÉ – À RADIOGRAPHIER",AQ1892="NX – RT À REFAIRE"),OR('PROGRAMME RT'!$D$5="TOUTES",B1892='PROGRAMME RT'!$D$5)),1,0)</f>
        <v>0</v>
      </c>
      <c r="AT1892" s="82" t="str">
        <f aca="false">IF(AS1892=1,SUM(AS$7:AS1892),"")</f>
        <v/>
      </c>
      <c r="AU1892" s="82" t="n">
        <f aca="false">IF(AND(OR(AA1892="R",AA1892="NX",AA1892="NT",AA1892="CO"),OR('JOINTS DE RÉPARATION'!$D$5="TOUTES",B1892='JOINTS DE RÉPARATION'!$D$5),OR('JOINTS DE RÉPARATION'!$L$4="TOUS",AQ1892&lt;&gt;"ACCEPTÉ")),1,0)</f>
        <v>0</v>
      </c>
      <c r="AV1892" s="82" t="str">
        <f aca="false">IF(AU1892=1,SUM(AU$7:AU1892),"")</f>
        <v/>
      </c>
      <c r="AW1892" s="82" t="str">
        <f aca="false">IF(E1892="","",B1892&amp;"|"&amp;E1892)</f>
        <v>MFD-ISW → MFD-CPF|DJ°102</v>
      </c>
    </row>
    <row r="1893" customFormat="false" ht="74.6" hidden="false" customHeight="false" outlineLevel="0" collapsed="false">
      <c r="A1893" s="79" t="n">
        <f aca="false">IF(E1893="","",ROW()-6)</f>
        <v>1887</v>
      </c>
      <c r="B1893" s="80" t="s">
        <v>110</v>
      </c>
      <c r="C1893" s="81" t="s">
        <v>2263</v>
      </c>
      <c r="D1893" s="81" t="n">
        <v>17</v>
      </c>
      <c r="E1893" s="81" t="s">
        <v>2310</v>
      </c>
      <c r="F1893" s="82" t="str">
        <f aca="false">IF(E1893="","",IF(LEFT(E1893,2)="DJ","DJ","JN"))</f>
        <v>JN</v>
      </c>
      <c r="G1893" s="81" t="s">
        <v>1504</v>
      </c>
      <c r="H1893" s="81" t="s">
        <v>871</v>
      </c>
      <c r="I1893" s="81" t="n">
        <v>9.53</v>
      </c>
      <c r="J1893" s="81" t="s">
        <v>872</v>
      </c>
      <c r="K1893" s="81" t="s">
        <v>879</v>
      </c>
      <c r="L1893" s="81" t="n">
        <v>2084100</v>
      </c>
      <c r="M1893" s="81" t="n">
        <v>15421106</v>
      </c>
      <c r="N1893" s="81" t="n">
        <v>11.94</v>
      </c>
      <c r="O1893" s="81" t="n">
        <v>2081190</v>
      </c>
      <c r="P1893" s="81" t="n">
        <v>15421103</v>
      </c>
      <c r="Q1893" s="81" t="n">
        <v>11.94</v>
      </c>
      <c r="R1893" s="81" t="s">
        <v>2273</v>
      </c>
      <c r="S1893" s="81"/>
      <c r="T1893" s="81"/>
      <c r="U1893" s="83" t="n">
        <v>46269</v>
      </c>
      <c r="V1893" s="83" t="n">
        <v>46269</v>
      </c>
      <c r="W1893" s="81" t="s">
        <v>2280</v>
      </c>
      <c r="X1893" s="81" t="s">
        <v>876</v>
      </c>
      <c r="Y1893" s="83" t="n">
        <v>46277</v>
      </c>
      <c r="Z1893" s="81" t="s">
        <v>2297</v>
      </c>
      <c r="AA1893" s="81" t="s">
        <v>876</v>
      </c>
      <c r="AB1893" s="81"/>
      <c r="AC1893" s="81"/>
      <c r="AD1893" s="81"/>
      <c r="AE1893" s="83"/>
      <c r="AF1893" s="81"/>
      <c r="AG1893" s="81"/>
      <c r="AH1893" s="81"/>
      <c r="AI1893" s="81"/>
      <c r="AJ1893" s="83"/>
      <c r="AK1893" s="81"/>
      <c r="AL1893" s="81"/>
      <c r="AM1893" s="83"/>
      <c r="AN1893" s="80"/>
      <c r="AO1893" s="82" t="n">
        <f aca="false">IF(E1893="","",(AA1893&lt;&gt;"")+(AG1893&lt;&gt;"")+(AL1893&lt;&gt;""))</f>
        <v>1</v>
      </c>
      <c r="AP1893" s="82" t="str">
        <f aca="false">IF(AL1893&lt;&gt;"",AL1893,IF(AG1893&lt;&gt;"",AG1893,IF(AA1893&lt;&gt;"",AA1893,"")))</f>
        <v>A</v>
      </c>
      <c r="AQ1893" s="84" t="str">
        <f aca="false">IF(E1893="","",IF(U1893="","À SOUDER",IF(X1893="","VT EN ATTENTE",IF(X1893="R","VT REJETÉ – À REPRENDRE",IF(AP1893="","À RADIOGRAPHIER",IF(AP1893="A","ACCEPTÉ",IF(AP1893="NX","NX – RT À REFAIRE",IF(IF(AO1893=1,AD1893,IF(AO1893=2,AI1893,""))="A","RÉPARÉ – À RADIOGRAPHIER",IF(IF(AO1893=1,AD1893,IF(AO1893=2,AI1893,""))="R","VT REJETÉ – À REPRENDRE",IF(OR(AP1893="CO",AP1893="NT"),"COUPE – À RESOUDER","À RÉPARER"))))))))))</f>
        <v>ACCEPTÉ</v>
      </c>
      <c r="AR1893" s="82" t="str">
        <f aca="false">IF(AND(ISNUMBER(U1893),OR(AQ1893="À RADIOGRAPHIER",AQ1893="RÉPARÉ – À RADIOGRAPHIER",AQ1893="NX – RT À REFAIRE",AQ1893="À RÉPARER",AQ1893="COUPE – À RESOUDER",AQ1893="VT REJETÉ – À REPRENDRE")),MAX(0,'PROGRAMME RT'!$C$4-U1893),"")</f>
        <v/>
      </c>
      <c r="AS1893" s="82" t="n">
        <f aca="false">IF(AND(OR(AQ1893="À RADIOGRAPHIER",AQ1893="RÉPARÉ – À RADIOGRAPHIER",AQ1893="NX – RT À REFAIRE"),OR('PROGRAMME RT'!$D$5="TOUTES",B1893='PROGRAMME RT'!$D$5)),1,0)</f>
        <v>0</v>
      </c>
      <c r="AT1893" s="82" t="str">
        <f aca="false">IF(AS1893=1,SUM(AS$7:AS1893),"")</f>
        <v/>
      </c>
      <c r="AU1893" s="82" t="n">
        <f aca="false">IF(AND(OR(AA1893="R",AA1893="NX",AA1893="NT",AA1893="CO"),OR('JOINTS DE RÉPARATION'!$D$5="TOUTES",B1893='JOINTS DE RÉPARATION'!$D$5),OR('JOINTS DE RÉPARATION'!$L$4="TOUS",AQ1893&lt;&gt;"ACCEPTÉ")),1,0)</f>
        <v>0</v>
      </c>
      <c r="AV1893" s="82" t="str">
        <f aca="false">IF(AU1893=1,SUM(AU$7:AU1893),"")</f>
        <v/>
      </c>
      <c r="AW1893" s="82" t="str">
        <f aca="false">IF(E1893="","",B1893&amp;"|"&amp;E1893)</f>
        <v>MFD-ISW → MFD-CPF|JN°1471</v>
      </c>
    </row>
    <row r="1894" customFormat="false" ht="74.6" hidden="false" customHeight="false" outlineLevel="0" collapsed="false">
      <c r="A1894" s="79" t="n">
        <f aca="false">IF(E1894="","",ROW()-6)</f>
        <v>1888</v>
      </c>
      <c r="B1894" s="80" t="s">
        <v>110</v>
      </c>
      <c r="C1894" s="81" t="s">
        <v>2263</v>
      </c>
      <c r="D1894" s="81" t="n">
        <v>17</v>
      </c>
      <c r="E1894" s="81" t="s">
        <v>2311</v>
      </c>
      <c r="F1894" s="82" t="str">
        <f aca="false">IF(E1894="","",IF(LEFT(E1894,2)="DJ","DJ","JN"))</f>
        <v>DJ</v>
      </c>
      <c r="G1894" s="81"/>
      <c r="H1894" s="81" t="s">
        <v>871</v>
      </c>
      <c r="I1894" s="81" t="n">
        <v>9.53</v>
      </c>
      <c r="J1894" s="81" t="s">
        <v>872</v>
      </c>
      <c r="K1894" s="81" t="s">
        <v>873</v>
      </c>
      <c r="L1894" s="81" t="n">
        <v>2090600</v>
      </c>
      <c r="M1894" s="81" t="n">
        <v>15421109</v>
      </c>
      <c r="N1894" s="81" t="n">
        <v>11.94</v>
      </c>
      <c r="O1894" s="81" t="n">
        <v>2081190</v>
      </c>
      <c r="P1894" s="81" t="n">
        <v>15421109</v>
      </c>
      <c r="Q1894" s="81" t="n">
        <v>11.94</v>
      </c>
      <c r="R1894" s="81" t="s">
        <v>899</v>
      </c>
      <c r="S1894" s="81"/>
      <c r="T1894" s="81"/>
      <c r="U1894" s="83" t="n">
        <v>46257</v>
      </c>
      <c r="V1894" s="83" t="n">
        <v>46257</v>
      </c>
      <c r="W1894" s="81" t="s">
        <v>1560</v>
      </c>
      <c r="X1894" s="81" t="s">
        <v>876</v>
      </c>
      <c r="Y1894" s="83" t="n">
        <v>46259</v>
      </c>
      <c r="Z1894" s="81" t="s">
        <v>1569</v>
      </c>
      <c r="AA1894" s="81" t="s">
        <v>876</v>
      </c>
      <c r="AB1894" s="81"/>
      <c r="AC1894" s="81"/>
      <c r="AD1894" s="81"/>
      <c r="AE1894" s="83"/>
      <c r="AF1894" s="81"/>
      <c r="AG1894" s="81"/>
      <c r="AH1894" s="81"/>
      <c r="AI1894" s="81"/>
      <c r="AJ1894" s="83"/>
      <c r="AK1894" s="81"/>
      <c r="AL1894" s="81"/>
      <c r="AM1894" s="83"/>
      <c r="AN1894" s="80"/>
      <c r="AO1894" s="82" t="n">
        <f aca="false">IF(E1894="","",(AA1894&lt;&gt;"")+(AG1894&lt;&gt;"")+(AL1894&lt;&gt;""))</f>
        <v>1</v>
      </c>
      <c r="AP1894" s="82" t="str">
        <f aca="false">IF(AL1894&lt;&gt;"",AL1894,IF(AG1894&lt;&gt;"",AG1894,IF(AA1894&lt;&gt;"",AA1894,"")))</f>
        <v>A</v>
      </c>
      <c r="AQ1894" s="84" t="str">
        <f aca="false">IF(E1894="","",IF(U1894="","À SOUDER",IF(X1894="","VT EN ATTENTE",IF(X1894="R","VT REJETÉ – À REPRENDRE",IF(AP1894="","À RADIOGRAPHIER",IF(AP1894="A","ACCEPTÉ",IF(AP1894="NX","NX – RT À REFAIRE",IF(IF(AO1894=1,AD1894,IF(AO1894=2,AI1894,""))="A","RÉPARÉ – À RADIOGRAPHIER",IF(IF(AO1894=1,AD1894,IF(AO1894=2,AI1894,""))="R","VT REJETÉ – À REPRENDRE",IF(OR(AP1894="CO",AP1894="NT"),"COUPE – À RESOUDER","À RÉPARER"))))))))))</f>
        <v>ACCEPTÉ</v>
      </c>
      <c r="AR1894" s="82" t="str">
        <f aca="false">IF(AND(ISNUMBER(U1894),OR(AQ1894="À RADIOGRAPHIER",AQ1894="RÉPARÉ – À RADIOGRAPHIER",AQ1894="NX – RT À REFAIRE",AQ1894="À RÉPARER",AQ1894="COUPE – À RESOUDER",AQ1894="VT REJETÉ – À REPRENDRE")),MAX(0,'PROGRAMME RT'!$C$4-U1894),"")</f>
        <v/>
      </c>
      <c r="AS1894" s="82" t="n">
        <f aca="false">IF(AND(OR(AQ1894="À RADIOGRAPHIER",AQ1894="RÉPARÉ – À RADIOGRAPHIER",AQ1894="NX – RT À REFAIRE"),OR('PROGRAMME RT'!$D$5="TOUTES",B1894='PROGRAMME RT'!$D$5)),1,0)</f>
        <v>0</v>
      </c>
      <c r="AT1894" s="82" t="str">
        <f aca="false">IF(AS1894=1,SUM(AS$7:AS1894),"")</f>
        <v/>
      </c>
      <c r="AU1894" s="82" t="n">
        <f aca="false">IF(AND(OR(AA1894="R",AA1894="NX",AA1894="NT",AA1894="CO"),OR('JOINTS DE RÉPARATION'!$D$5="TOUTES",B1894='JOINTS DE RÉPARATION'!$D$5),OR('JOINTS DE RÉPARATION'!$L$4="TOUS",AQ1894&lt;&gt;"ACCEPTÉ")),1,0)</f>
        <v>0</v>
      </c>
      <c r="AV1894" s="82" t="str">
        <f aca="false">IF(AU1894=1,SUM(AU$7:AU1894),"")</f>
        <v/>
      </c>
      <c r="AW1894" s="82" t="str">
        <f aca="false">IF(E1894="","",B1894&amp;"|"&amp;E1894)</f>
        <v>MFD-ISW → MFD-CPF|DJ°100</v>
      </c>
    </row>
    <row r="1895" customFormat="false" ht="74.6" hidden="false" customHeight="false" outlineLevel="0" collapsed="false">
      <c r="A1895" s="79" t="n">
        <f aca="false">IF(E1895="","",ROW()-6)</f>
        <v>1889</v>
      </c>
      <c r="B1895" s="80" t="s">
        <v>110</v>
      </c>
      <c r="C1895" s="81" t="s">
        <v>2263</v>
      </c>
      <c r="D1895" s="81" t="n">
        <v>17</v>
      </c>
      <c r="E1895" s="81" t="s">
        <v>2312</v>
      </c>
      <c r="F1895" s="82" t="str">
        <f aca="false">IF(E1895="","",IF(LEFT(E1895,2)="DJ","DJ","JN"))</f>
        <v>JN</v>
      </c>
      <c r="G1895" s="81" t="s">
        <v>1504</v>
      </c>
      <c r="H1895" s="81" t="s">
        <v>871</v>
      </c>
      <c r="I1895" s="81" t="n">
        <v>9.53</v>
      </c>
      <c r="J1895" s="81" t="s">
        <v>872</v>
      </c>
      <c r="K1895" s="81" t="s">
        <v>879</v>
      </c>
      <c r="L1895" s="81" t="n">
        <v>2090600</v>
      </c>
      <c r="M1895" s="81" t="n">
        <v>15421109</v>
      </c>
      <c r="N1895" s="81" t="n">
        <v>11.94</v>
      </c>
      <c r="O1895" s="81" t="n">
        <v>2097150</v>
      </c>
      <c r="P1895" s="81" t="n">
        <v>15421112</v>
      </c>
      <c r="Q1895" s="81" t="n">
        <v>11.94</v>
      </c>
      <c r="R1895" s="81" t="s">
        <v>2273</v>
      </c>
      <c r="S1895" s="81"/>
      <c r="T1895" s="81"/>
      <c r="U1895" s="83" t="n">
        <v>46269</v>
      </c>
      <c r="V1895" s="83" t="n">
        <v>46269</v>
      </c>
      <c r="W1895" s="81" t="s">
        <v>2280</v>
      </c>
      <c r="X1895" s="81" t="s">
        <v>876</v>
      </c>
      <c r="Y1895" s="83" t="n">
        <v>46277</v>
      </c>
      <c r="Z1895" s="81" t="s">
        <v>2297</v>
      </c>
      <c r="AA1895" s="81" t="s">
        <v>876</v>
      </c>
      <c r="AB1895" s="81"/>
      <c r="AC1895" s="81"/>
      <c r="AD1895" s="81"/>
      <c r="AE1895" s="83"/>
      <c r="AF1895" s="81"/>
      <c r="AG1895" s="81"/>
      <c r="AH1895" s="81"/>
      <c r="AI1895" s="81"/>
      <c r="AJ1895" s="83"/>
      <c r="AK1895" s="81"/>
      <c r="AL1895" s="81"/>
      <c r="AM1895" s="83"/>
      <c r="AN1895" s="80"/>
      <c r="AO1895" s="82" t="n">
        <f aca="false">IF(E1895="","",(AA1895&lt;&gt;"")+(AG1895&lt;&gt;"")+(AL1895&lt;&gt;""))</f>
        <v>1</v>
      </c>
      <c r="AP1895" s="82" t="str">
        <f aca="false">IF(AL1895&lt;&gt;"",AL1895,IF(AG1895&lt;&gt;"",AG1895,IF(AA1895&lt;&gt;"",AA1895,"")))</f>
        <v>A</v>
      </c>
      <c r="AQ1895" s="84" t="str">
        <f aca="false">IF(E1895="","",IF(U1895="","À SOUDER",IF(X1895="","VT EN ATTENTE",IF(X1895="R","VT REJETÉ – À REPRENDRE",IF(AP1895="","À RADIOGRAPHIER",IF(AP1895="A","ACCEPTÉ",IF(AP1895="NX","NX – RT À REFAIRE",IF(IF(AO1895=1,AD1895,IF(AO1895=2,AI1895,""))="A","RÉPARÉ – À RADIOGRAPHIER",IF(IF(AO1895=1,AD1895,IF(AO1895=2,AI1895,""))="R","VT REJETÉ – À REPRENDRE",IF(OR(AP1895="CO",AP1895="NT"),"COUPE – À RESOUDER","À RÉPARER"))))))))))</f>
        <v>ACCEPTÉ</v>
      </c>
      <c r="AR1895" s="82" t="str">
        <f aca="false">IF(AND(ISNUMBER(U1895),OR(AQ1895="À RADIOGRAPHIER",AQ1895="RÉPARÉ – À RADIOGRAPHIER",AQ1895="NX – RT À REFAIRE",AQ1895="À RÉPARER",AQ1895="COUPE – À RESOUDER",AQ1895="VT REJETÉ – À REPRENDRE")),MAX(0,'PROGRAMME RT'!$C$4-U1895),"")</f>
        <v/>
      </c>
      <c r="AS1895" s="82" t="n">
        <f aca="false">IF(AND(OR(AQ1895="À RADIOGRAPHIER",AQ1895="RÉPARÉ – À RADIOGRAPHIER",AQ1895="NX – RT À REFAIRE"),OR('PROGRAMME RT'!$D$5="TOUTES",B1895='PROGRAMME RT'!$D$5)),1,0)</f>
        <v>0</v>
      </c>
      <c r="AT1895" s="82" t="str">
        <f aca="false">IF(AS1895=1,SUM(AS$7:AS1895),"")</f>
        <v/>
      </c>
      <c r="AU1895" s="82" t="n">
        <f aca="false">IF(AND(OR(AA1895="R",AA1895="NX",AA1895="NT",AA1895="CO"),OR('JOINTS DE RÉPARATION'!$D$5="TOUTES",B1895='JOINTS DE RÉPARATION'!$D$5),OR('JOINTS DE RÉPARATION'!$L$4="TOUS",AQ1895&lt;&gt;"ACCEPTÉ")),1,0)</f>
        <v>0</v>
      </c>
      <c r="AV1895" s="82" t="str">
        <f aca="false">IF(AU1895=1,SUM(AU$7:AU1895),"")</f>
        <v/>
      </c>
      <c r="AW1895" s="82" t="str">
        <f aca="false">IF(E1895="","",B1895&amp;"|"&amp;E1895)</f>
        <v>MFD-ISW → MFD-CPF|JN°1472</v>
      </c>
    </row>
    <row r="1896" customFormat="false" ht="74.6" hidden="false" customHeight="false" outlineLevel="0" collapsed="false">
      <c r="A1896" s="79" t="n">
        <f aca="false">IF(E1896="","",ROW()-6)</f>
        <v>1890</v>
      </c>
      <c r="B1896" s="80" t="s">
        <v>110</v>
      </c>
      <c r="C1896" s="81" t="s">
        <v>2263</v>
      </c>
      <c r="D1896" s="81" t="n">
        <v>17</v>
      </c>
      <c r="E1896" s="81" t="s">
        <v>2313</v>
      </c>
      <c r="F1896" s="82" t="str">
        <f aca="false">IF(E1896="","",IF(LEFT(E1896,2)="DJ","DJ","JN"))</f>
        <v>DJ</v>
      </c>
      <c r="G1896" s="81"/>
      <c r="H1896" s="81" t="s">
        <v>871</v>
      </c>
      <c r="I1896" s="81" t="n">
        <v>9.53</v>
      </c>
      <c r="J1896" s="81" t="s">
        <v>872</v>
      </c>
      <c r="K1896" s="81" t="s">
        <v>873</v>
      </c>
      <c r="L1896" s="81" t="n">
        <v>2097150</v>
      </c>
      <c r="M1896" s="81" t="n">
        <v>15421112</v>
      </c>
      <c r="N1896" s="81" t="n">
        <v>11.94</v>
      </c>
      <c r="O1896" s="81" t="n">
        <v>2094320</v>
      </c>
      <c r="P1896" s="81" t="n">
        <v>15421110</v>
      </c>
      <c r="Q1896" s="81" t="n">
        <v>11.94</v>
      </c>
      <c r="R1896" s="81" t="s">
        <v>963</v>
      </c>
      <c r="S1896" s="81"/>
      <c r="T1896" s="81"/>
      <c r="U1896" s="83" t="n">
        <v>46257</v>
      </c>
      <c r="V1896" s="83" t="n">
        <v>46257</v>
      </c>
      <c r="W1896" s="81" t="s">
        <v>1560</v>
      </c>
      <c r="X1896" s="81" t="s">
        <v>876</v>
      </c>
      <c r="Y1896" s="83" t="n">
        <v>46259</v>
      </c>
      <c r="Z1896" s="81" t="s">
        <v>1569</v>
      </c>
      <c r="AA1896" s="81" t="s">
        <v>876</v>
      </c>
      <c r="AB1896" s="81"/>
      <c r="AC1896" s="81"/>
      <c r="AD1896" s="81"/>
      <c r="AE1896" s="83"/>
      <c r="AF1896" s="81"/>
      <c r="AG1896" s="81"/>
      <c r="AH1896" s="81"/>
      <c r="AI1896" s="81"/>
      <c r="AJ1896" s="83"/>
      <c r="AK1896" s="81"/>
      <c r="AL1896" s="81"/>
      <c r="AM1896" s="83"/>
      <c r="AN1896" s="80"/>
      <c r="AO1896" s="82" t="n">
        <f aca="false">IF(E1896="","",(AA1896&lt;&gt;"")+(AG1896&lt;&gt;"")+(AL1896&lt;&gt;""))</f>
        <v>1</v>
      </c>
      <c r="AP1896" s="82" t="str">
        <f aca="false">IF(AL1896&lt;&gt;"",AL1896,IF(AG1896&lt;&gt;"",AG1896,IF(AA1896&lt;&gt;"",AA1896,"")))</f>
        <v>A</v>
      </c>
      <c r="AQ1896" s="84" t="str">
        <f aca="false">IF(E1896="","",IF(U1896="","À SOUDER",IF(X1896="","VT EN ATTENTE",IF(X1896="R","VT REJETÉ – À REPRENDRE",IF(AP1896="","À RADIOGRAPHIER",IF(AP1896="A","ACCEPTÉ",IF(AP1896="NX","NX – RT À REFAIRE",IF(IF(AO1896=1,AD1896,IF(AO1896=2,AI1896,""))="A","RÉPARÉ – À RADIOGRAPHIER",IF(IF(AO1896=1,AD1896,IF(AO1896=2,AI1896,""))="R","VT REJETÉ – À REPRENDRE",IF(OR(AP1896="CO",AP1896="NT"),"COUPE – À RESOUDER","À RÉPARER"))))))))))</f>
        <v>ACCEPTÉ</v>
      </c>
      <c r="AR1896" s="82" t="str">
        <f aca="false">IF(AND(ISNUMBER(U1896),OR(AQ1896="À RADIOGRAPHIER",AQ1896="RÉPARÉ – À RADIOGRAPHIER",AQ1896="NX – RT À REFAIRE",AQ1896="À RÉPARER",AQ1896="COUPE – À RESOUDER",AQ1896="VT REJETÉ – À REPRENDRE")),MAX(0,'PROGRAMME RT'!$C$4-U1896),"")</f>
        <v/>
      </c>
      <c r="AS1896" s="82" t="n">
        <f aca="false">IF(AND(OR(AQ1896="À RADIOGRAPHIER",AQ1896="RÉPARÉ – À RADIOGRAPHIER",AQ1896="NX – RT À REFAIRE"),OR('PROGRAMME RT'!$D$5="TOUTES",B1896='PROGRAMME RT'!$D$5)),1,0)</f>
        <v>0</v>
      </c>
      <c r="AT1896" s="82" t="str">
        <f aca="false">IF(AS1896=1,SUM(AS$7:AS1896),"")</f>
        <v/>
      </c>
      <c r="AU1896" s="82" t="n">
        <f aca="false">IF(AND(OR(AA1896="R",AA1896="NX",AA1896="NT",AA1896="CO"),OR('JOINTS DE RÉPARATION'!$D$5="TOUTES",B1896='JOINTS DE RÉPARATION'!$D$5),OR('JOINTS DE RÉPARATION'!$L$4="TOUS",AQ1896&lt;&gt;"ACCEPTÉ")),1,0)</f>
        <v>0</v>
      </c>
      <c r="AV1896" s="82" t="str">
        <f aca="false">IF(AU1896=1,SUM(AU$7:AU1896),"")</f>
        <v/>
      </c>
      <c r="AW1896" s="82" t="str">
        <f aca="false">IF(E1896="","",B1896&amp;"|"&amp;E1896)</f>
        <v>MFD-ISW → MFD-CPF|DJ°099</v>
      </c>
    </row>
    <row r="1897" customFormat="false" ht="74.6" hidden="false" customHeight="false" outlineLevel="0" collapsed="false">
      <c r="A1897" s="79" t="n">
        <f aca="false">IF(E1897="","",ROW()-6)</f>
        <v>1891</v>
      </c>
      <c r="B1897" s="80" t="s">
        <v>110</v>
      </c>
      <c r="C1897" s="81" t="s">
        <v>2263</v>
      </c>
      <c r="D1897" s="81" t="n">
        <v>17</v>
      </c>
      <c r="E1897" s="81" t="s">
        <v>2314</v>
      </c>
      <c r="F1897" s="82" t="str">
        <f aca="false">IF(E1897="","",IF(LEFT(E1897,2)="DJ","DJ","JN"))</f>
        <v>JN</v>
      </c>
      <c r="G1897" s="81" t="s">
        <v>1504</v>
      </c>
      <c r="H1897" s="81" t="s">
        <v>871</v>
      </c>
      <c r="I1897" s="81" t="n">
        <v>9.53</v>
      </c>
      <c r="J1897" s="81" t="s">
        <v>872</v>
      </c>
      <c r="K1897" s="81" t="s">
        <v>879</v>
      </c>
      <c r="L1897" s="81" t="n">
        <v>2094320</v>
      </c>
      <c r="M1897" s="81" t="n">
        <v>15421112</v>
      </c>
      <c r="N1897" s="81" t="n">
        <v>11.94</v>
      </c>
      <c r="O1897" s="81" t="n">
        <v>2092770</v>
      </c>
      <c r="P1897" s="81" t="n">
        <v>15421110</v>
      </c>
      <c r="Q1897" s="81" t="n">
        <v>11.94</v>
      </c>
      <c r="R1897" s="81" t="s">
        <v>2273</v>
      </c>
      <c r="S1897" s="81"/>
      <c r="T1897" s="81"/>
      <c r="U1897" s="83" t="n">
        <v>46269</v>
      </c>
      <c r="V1897" s="83" t="n">
        <v>46269</v>
      </c>
      <c r="W1897" s="81" t="s">
        <v>2280</v>
      </c>
      <c r="X1897" s="81" t="s">
        <v>876</v>
      </c>
      <c r="Y1897" s="83" t="n">
        <v>46277</v>
      </c>
      <c r="Z1897" s="81" t="s">
        <v>2297</v>
      </c>
      <c r="AA1897" s="81" t="s">
        <v>876</v>
      </c>
      <c r="AB1897" s="81"/>
      <c r="AC1897" s="81"/>
      <c r="AD1897" s="81"/>
      <c r="AE1897" s="83"/>
      <c r="AF1897" s="81"/>
      <c r="AG1897" s="81"/>
      <c r="AH1897" s="81"/>
      <c r="AI1897" s="81"/>
      <c r="AJ1897" s="83"/>
      <c r="AK1897" s="81"/>
      <c r="AL1897" s="81"/>
      <c r="AM1897" s="83"/>
      <c r="AN1897" s="80"/>
      <c r="AO1897" s="82" t="n">
        <f aca="false">IF(E1897="","",(AA1897&lt;&gt;"")+(AG1897&lt;&gt;"")+(AL1897&lt;&gt;""))</f>
        <v>1</v>
      </c>
      <c r="AP1897" s="82" t="str">
        <f aca="false">IF(AL1897&lt;&gt;"",AL1897,IF(AG1897&lt;&gt;"",AG1897,IF(AA1897&lt;&gt;"",AA1897,"")))</f>
        <v>A</v>
      </c>
      <c r="AQ1897" s="84" t="str">
        <f aca="false">IF(E1897="","",IF(U1897="","À SOUDER",IF(X1897="","VT EN ATTENTE",IF(X1897="R","VT REJETÉ – À REPRENDRE",IF(AP1897="","À RADIOGRAPHIER",IF(AP1897="A","ACCEPTÉ",IF(AP1897="NX","NX – RT À REFAIRE",IF(IF(AO1897=1,AD1897,IF(AO1897=2,AI1897,""))="A","RÉPARÉ – À RADIOGRAPHIER",IF(IF(AO1897=1,AD1897,IF(AO1897=2,AI1897,""))="R","VT REJETÉ – À REPRENDRE",IF(OR(AP1897="CO",AP1897="NT"),"COUPE – À RESOUDER","À RÉPARER"))))))))))</f>
        <v>ACCEPTÉ</v>
      </c>
      <c r="AR1897" s="82" t="str">
        <f aca="false">IF(AND(ISNUMBER(U1897),OR(AQ1897="À RADIOGRAPHIER",AQ1897="RÉPARÉ – À RADIOGRAPHIER",AQ1897="NX – RT À REFAIRE",AQ1897="À RÉPARER",AQ1897="COUPE – À RESOUDER",AQ1897="VT REJETÉ – À REPRENDRE")),MAX(0,'PROGRAMME RT'!$C$4-U1897),"")</f>
        <v/>
      </c>
      <c r="AS1897" s="82" t="n">
        <f aca="false">IF(AND(OR(AQ1897="À RADIOGRAPHIER",AQ1897="RÉPARÉ – À RADIOGRAPHIER",AQ1897="NX – RT À REFAIRE"),OR('PROGRAMME RT'!$D$5="TOUTES",B1897='PROGRAMME RT'!$D$5)),1,0)</f>
        <v>0</v>
      </c>
      <c r="AT1897" s="82" t="str">
        <f aca="false">IF(AS1897=1,SUM(AS$7:AS1897),"")</f>
        <v/>
      </c>
      <c r="AU1897" s="82" t="n">
        <f aca="false">IF(AND(OR(AA1897="R",AA1897="NX",AA1897="NT",AA1897="CO"),OR('JOINTS DE RÉPARATION'!$D$5="TOUTES",B1897='JOINTS DE RÉPARATION'!$D$5),OR('JOINTS DE RÉPARATION'!$L$4="TOUS",AQ1897&lt;&gt;"ACCEPTÉ")),1,0)</f>
        <v>0</v>
      </c>
      <c r="AV1897" s="82" t="str">
        <f aca="false">IF(AU1897=1,SUM(AU$7:AU1897),"")</f>
        <v/>
      </c>
      <c r="AW1897" s="82" t="str">
        <f aca="false">IF(E1897="","",B1897&amp;"|"&amp;E1897)</f>
        <v>MFD-ISW → MFD-CPF|JN°1473</v>
      </c>
    </row>
    <row r="1898" customFormat="false" ht="74.6" hidden="false" customHeight="false" outlineLevel="0" collapsed="false">
      <c r="A1898" s="79" t="n">
        <f aca="false">IF(E1898="","",ROW()-6)</f>
        <v>1892</v>
      </c>
      <c r="B1898" s="80" t="s">
        <v>110</v>
      </c>
      <c r="C1898" s="81" t="s">
        <v>2263</v>
      </c>
      <c r="D1898" s="81" t="n">
        <v>17</v>
      </c>
      <c r="E1898" s="81" t="s">
        <v>2315</v>
      </c>
      <c r="F1898" s="82" t="str">
        <f aca="false">IF(E1898="","",IF(LEFT(E1898,2)="DJ","DJ","JN"))</f>
        <v>DJ</v>
      </c>
      <c r="G1898" s="81"/>
      <c r="H1898" s="81" t="s">
        <v>871</v>
      </c>
      <c r="I1898" s="81" t="n">
        <v>9.53</v>
      </c>
      <c r="J1898" s="81" t="s">
        <v>872</v>
      </c>
      <c r="K1898" s="81" t="s">
        <v>873</v>
      </c>
      <c r="L1898" s="81" t="n">
        <v>2084700</v>
      </c>
      <c r="M1898" s="81" t="n">
        <v>15421106</v>
      </c>
      <c r="N1898" s="81" t="n">
        <v>11.94</v>
      </c>
      <c r="O1898" s="81" t="n">
        <v>2089870</v>
      </c>
      <c r="P1898" s="81" t="n">
        <v>15421109</v>
      </c>
      <c r="Q1898" s="81" t="n">
        <v>11.94</v>
      </c>
      <c r="R1898" s="81" t="s">
        <v>1147</v>
      </c>
      <c r="S1898" s="81"/>
      <c r="T1898" s="81"/>
      <c r="U1898" s="83" t="n">
        <v>46257</v>
      </c>
      <c r="V1898" s="83" t="n">
        <v>46257</v>
      </c>
      <c r="W1898" s="81" t="s">
        <v>1560</v>
      </c>
      <c r="X1898" s="81" t="s">
        <v>876</v>
      </c>
      <c r="Y1898" s="83" t="n">
        <v>46259</v>
      </c>
      <c r="Z1898" s="81" t="s">
        <v>1569</v>
      </c>
      <c r="AA1898" s="81" t="s">
        <v>876</v>
      </c>
      <c r="AB1898" s="81"/>
      <c r="AC1898" s="81"/>
      <c r="AD1898" s="81"/>
      <c r="AE1898" s="83"/>
      <c r="AF1898" s="81"/>
      <c r="AG1898" s="81"/>
      <c r="AH1898" s="81"/>
      <c r="AI1898" s="81"/>
      <c r="AJ1898" s="83"/>
      <c r="AK1898" s="81"/>
      <c r="AL1898" s="81"/>
      <c r="AM1898" s="83"/>
      <c r="AN1898" s="80"/>
      <c r="AO1898" s="82" t="n">
        <f aca="false">IF(E1898="","",(AA1898&lt;&gt;"")+(AG1898&lt;&gt;"")+(AL1898&lt;&gt;""))</f>
        <v>1</v>
      </c>
      <c r="AP1898" s="82" t="str">
        <f aca="false">IF(AL1898&lt;&gt;"",AL1898,IF(AG1898&lt;&gt;"",AG1898,IF(AA1898&lt;&gt;"",AA1898,"")))</f>
        <v>A</v>
      </c>
      <c r="AQ1898" s="84" t="str">
        <f aca="false">IF(E1898="","",IF(U1898="","À SOUDER",IF(X1898="","VT EN ATTENTE",IF(X1898="R","VT REJETÉ – À REPRENDRE",IF(AP1898="","À RADIOGRAPHIER",IF(AP1898="A","ACCEPTÉ",IF(AP1898="NX","NX – RT À REFAIRE",IF(IF(AO1898=1,AD1898,IF(AO1898=2,AI1898,""))="A","RÉPARÉ – À RADIOGRAPHIER",IF(IF(AO1898=1,AD1898,IF(AO1898=2,AI1898,""))="R","VT REJETÉ – À REPRENDRE",IF(OR(AP1898="CO",AP1898="NT"),"COUPE – À RESOUDER","À RÉPARER"))))))))))</f>
        <v>ACCEPTÉ</v>
      </c>
      <c r="AR1898" s="82" t="str">
        <f aca="false">IF(AND(ISNUMBER(U1898),OR(AQ1898="À RADIOGRAPHIER",AQ1898="RÉPARÉ – À RADIOGRAPHIER",AQ1898="NX – RT À REFAIRE",AQ1898="À RÉPARER",AQ1898="COUPE – À RESOUDER",AQ1898="VT REJETÉ – À REPRENDRE")),MAX(0,'PROGRAMME RT'!$C$4-U1898),"")</f>
        <v/>
      </c>
      <c r="AS1898" s="82" t="n">
        <f aca="false">IF(AND(OR(AQ1898="À RADIOGRAPHIER",AQ1898="RÉPARÉ – À RADIOGRAPHIER",AQ1898="NX – RT À REFAIRE"),OR('PROGRAMME RT'!$D$5="TOUTES",B1898='PROGRAMME RT'!$D$5)),1,0)</f>
        <v>0</v>
      </c>
      <c r="AT1898" s="82" t="str">
        <f aca="false">IF(AS1898=1,SUM(AS$7:AS1898),"")</f>
        <v/>
      </c>
      <c r="AU1898" s="82" t="n">
        <f aca="false">IF(AND(OR(AA1898="R",AA1898="NX",AA1898="NT",AA1898="CO"),OR('JOINTS DE RÉPARATION'!$D$5="TOUTES",B1898='JOINTS DE RÉPARATION'!$D$5),OR('JOINTS DE RÉPARATION'!$L$4="TOUS",AQ1898&lt;&gt;"ACCEPTÉ")),1,0)</f>
        <v>0</v>
      </c>
      <c r="AV1898" s="82" t="str">
        <f aca="false">IF(AU1898=1,SUM(AU$7:AU1898),"")</f>
        <v/>
      </c>
      <c r="AW1898" s="82" t="str">
        <f aca="false">IF(E1898="","",B1898&amp;"|"&amp;E1898)</f>
        <v>MFD-ISW → MFD-CPF|DJ°101</v>
      </c>
    </row>
    <row r="1899" customFormat="false" ht="74.6" hidden="false" customHeight="false" outlineLevel="0" collapsed="false">
      <c r="A1899" s="79" t="n">
        <f aca="false">IF(E1899="","",ROW()-6)</f>
        <v>1893</v>
      </c>
      <c r="B1899" s="80" t="s">
        <v>110</v>
      </c>
      <c r="C1899" s="81" t="s">
        <v>2263</v>
      </c>
      <c r="D1899" s="81" t="n">
        <v>17</v>
      </c>
      <c r="E1899" s="81" t="s">
        <v>2316</v>
      </c>
      <c r="F1899" s="82" t="str">
        <f aca="false">IF(E1899="","",IF(LEFT(E1899,2)="DJ","DJ","JN"))</f>
        <v>JN</v>
      </c>
      <c r="G1899" s="81" t="s">
        <v>1504</v>
      </c>
      <c r="H1899" s="81" t="s">
        <v>871</v>
      </c>
      <c r="I1899" s="81" t="n">
        <v>9.53</v>
      </c>
      <c r="J1899" s="81" t="s">
        <v>872</v>
      </c>
      <c r="K1899" s="81" t="s">
        <v>879</v>
      </c>
      <c r="L1899" s="81" t="n">
        <v>2089870</v>
      </c>
      <c r="M1899" s="81" t="n">
        <v>15421109</v>
      </c>
      <c r="N1899" s="81" t="n">
        <v>11.94</v>
      </c>
      <c r="O1899" s="81" t="n">
        <v>2096970</v>
      </c>
      <c r="P1899" s="81" t="n">
        <v>15421111</v>
      </c>
      <c r="Q1899" s="81" t="n">
        <v>11.94</v>
      </c>
      <c r="R1899" s="81" t="s">
        <v>2273</v>
      </c>
      <c r="S1899" s="81"/>
      <c r="T1899" s="81"/>
      <c r="U1899" s="83" t="n">
        <v>46269</v>
      </c>
      <c r="V1899" s="83" t="n">
        <v>46269</v>
      </c>
      <c r="W1899" s="81" t="s">
        <v>2280</v>
      </c>
      <c r="X1899" s="81" t="s">
        <v>876</v>
      </c>
      <c r="Y1899" s="83" t="n">
        <v>46277</v>
      </c>
      <c r="Z1899" s="81" t="s">
        <v>2297</v>
      </c>
      <c r="AA1899" s="81" t="s">
        <v>876</v>
      </c>
      <c r="AB1899" s="81"/>
      <c r="AC1899" s="81"/>
      <c r="AD1899" s="81"/>
      <c r="AE1899" s="83"/>
      <c r="AF1899" s="81"/>
      <c r="AG1899" s="81"/>
      <c r="AH1899" s="81"/>
      <c r="AI1899" s="81"/>
      <c r="AJ1899" s="83"/>
      <c r="AK1899" s="81"/>
      <c r="AL1899" s="81"/>
      <c r="AM1899" s="83"/>
      <c r="AN1899" s="80"/>
      <c r="AO1899" s="82" t="n">
        <f aca="false">IF(E1899="","",(AA1899&lt;&gt;"")+(AG1899&lt;&gt;"")+(AL1899&lt;&gt;""))</f>
        <v>1</v>
      </c>
      <c r="AP1899" s="82" t="str">
        <f aca="false">IF(AL1899&lt;&gt;"",AL1899,IF(AG1899&lt;&gt;"",AG1899,IF(AA1899&lt;&gt;"",AA1899,"")))</f>
        <v>A</v>
      </c>
      <c r="AQ1899" s="84" t="str">
        <f aca="false">IF(E1899="","",IF(U1899="","À SOUDER",IF(X1899="","VT EN ATTENTE",IF(X1899="R","VT REJETÉ – À REPRENDRE",IF(AP1899="","À RADIOGRAPHIER",IF(AP1899="A","ACCEPTÉ",IF(AP1899="NX","NX – RT À REFAIRE",IF(IF(AO1899=1,AD1899,IF(AO1899=2,AI1899,""))="A","RÉPARÉ – À RADIOGRAPHIER",IF(IF(AO1899=1,AD1899,IF(AO1899=2,AI1899,""))="R","VT REJETÉ – À REPRENDRE",IF(OR(AP1899="CO",AP1899="NT"),"COUPE – À RESOUDER","À RÉPARER"))))))))))</f>
        <v>ACCEPTÉ</v>
      </c>
      <c r="AR1899" s="82" t="str">
        <f aca="false">IF(AND(ISNUMBER(U1899),OR(AQ1899="À RADIOGRAPHIER",AQ1899="RÉPARÉ – À RADIOGRAPHIER",AQ1899="NX – RT À REFAIRE",AQ1899="À RÉPARER",AQ1899="COUPE – À RESOUDER",AQ1899="VT REJETÉ – À REPRENDRE")),MAX(0,'PROGRAMME RT'!$C$4-U1899),"")</f>
        <v/>
      </c>
      <c r="AS1899" s="82" t="n">
        <f aca="false">IF(AND(OR(AQ1899="À RADIOGRAPHIER",AQ1899="RÉPARÉ – À RADIOGRAPHIER",AQ1899="NX – RT À REFAIRE"),OR('PROGRAMME RT'!$D$5="TOUTES",B1899='PROGRAMME RT'!$D$5)),1,0)</f>
        <v>0</v>
      </c>
      <c r="AT1899" s="82" t="str">
        <f aca="false">IF(AS1899=1,SUM(AS$7:AS1899),"")</f>
        <v/>
      </c>
      <c r="AU1899" s="82" t="n">
        <f aca="false">IF(AND(OR(AA1899="R",AA1899="NX",AA1899="NT",AA1899="CO"),OR('JOINTS DE RÉPARATION'!$D$5="TOUTES",B1899='JOINTS DE RÉPARATION'!$D$5),OR('JOINTS DE RÉPARATION'!$L$4="TOUS",AQ1899&lt;&gt;"ACCEPTÉ")),1,0)</f>
        <v>0</v>
      </c>
      <c r="AV1899" s="82" t="str">
        <f aca="false">IF(AU1899=1,SUM(AU$7:AU1899),"")</f>
        <v/>
      </c>
      <c r="AW1899" s="82" t="str">
        <f aca="false">IF(E1899="","",B1899&amp;"|"&amp;E1899)</f>
        <v>MFD-ISW → MFD-CPF|JN°1474</v>
      </c>
    </row>
    <row r="1900" customFormat="false" ht="74.6" hidden="false" customHeight="false" outlineLevel="0" collapsed="false">
      <c r="A1900" s="79" t="n">
        <f aca="false">IF(E1900="","",ROW()-6)</f>
        <v>1894</v>
      </c>
      <c r="B1900" s="80" t="s">
        <v>110</v>
      </c>
      <c r="C1900" s="81" t="s">
        <v>2263</v>
      </c>
      <c r="D1900" s="81" t="n">
        <v>17</v>
      </c>
      <c r="E1900" s="81" t="s">
        <v>2317</v>
      </c>
      <c r="F1900" s="82" t="str">
        <f aca="false">IF(E1900="","",IF(LEFT(E1900,2)="DJ","DJ","JN"))</f>
        <v>DJ</v>
      </c>
      <c r="G1900" s="81"/>
      <c r="H1900" s="81" t="s">
        <v>871</v>
      </c>
      <c r="I1900" s="81" t="n">
        <v>9.53</v>
      </c>
      <c r="J1900" s="81" t="s">
        <v>872</v>
      </c>
      <c r="K1900" s="81" t="s">
        <v>873</v>
      </c>
      <c r="L1900" s="81" t="n">
        <v>2096970</v>
      </c>
      <c r="M1900" s="81" t="n">
        <v>15421111</v>
      </c>
      <c r="N1900" s="81" t="n">
        <v>11.94</v>
      </c>
      <c r="O1900" s="81" t="n">
        <v>2089330</v>
      </c>
      <c r="P1900" s="81" t="n">
        <v>15421108</v>
      </c>
      <c r="Q1900" s="81" t="n">
        <v>11.94</v>
      </c>
      <c r="R1900" s="81" t="s">
        <v>874</v>
      </c>
      <c r="S1900" s="81"/>
      <c r="T1900" s="81"/>
      <c r="U1900" s="83" t="n">
        <v>46249</v>
      </c>
      <c r="V1900" s="83" t="n">
        <v>46249</v>
      </c>
      <c r="W1900" s="81" t="s">
        <v>2217</v>
      </c>
      <c r="X1900" s="81" t="s">
        <v>876</v>
      </c>
      <c r="Y1900" s="83" t="n">
        <v>46250</v>
      </c>
      <c r="Z1900" s="81" t="s">
        <v>2218</v>
      </c>
      <c r="AA1900" s="81" t="s">
        <v>876</v>
      </c>
      <c r="AB1900" s="81"/>
      <c r="AC1900" s="81"/>
      <c r="AD1900" s="81"/>
      <c r="AE1900" s="83"/>
      <c r="AF1900" s="81"/>
      <c r="AG1900" s="81"/>
      <c r="AH1900" s="81"/>
      <c r="AI1900" s="81"/>
      <c r="AJ1900" s="83"/>
      <c r="AK1900" s="81"/>
      <c r="AL1900" s="81"/>
      <c r="AM1900" s="83"/>
      <c r="AN1900" s="80"/>
      <c r="AO1900" s="82" t="n">
        <f aca="false">IF(E1900="","",(AA1900&lt;&gt;"")+(AG1900&lt;&gt;"")+(AL1900&lt;&gt;""))</f>
        <v>1</v>
      </c>
      <c r="AP1900" s="82" t="str">
        <f aca="false">IF(AL1900&lt;&gt;"",AL1900,IF(AG1900&lt;&gt;"",AG1900,IF(AA1900&lt;&gt;"",AA1900,"")))</f>
        <v>A</v>
      </c>
      <c r="AQ1900" s="84" t="str">
        <f aca="false">IF(E1900="","",IF(U1900="","À SOUDER",IF(X1900="","VT EN ATTENTE",IF(X1900="R","VT REJETÉ – À REPRENDRE",IF(AP1900="","À RADIOGRAPHIER",IF(AP1900="A","ACCEPTÉ",IF(AP1900="NX","NX – RT À REFAIRE",IF(IF(AO1900=1,AD1900,IF(AO1900=2,AI1900,""))="A","RÉPARÉ – À RADIOGRAPHIER",IF(IF(AO1900=1,AD1900,IF(AO1900=2,AI1900,""))="R","VT REJETÉ – À REPRENDRE",IF(OR(AP1900="CO",AP1900="NT"),"COUPE – À RESOUDER","À RÉPARER"))))))))))</f>
        <v>ACCEPTÉ</v>
      </c>
      <c r="AR1900" s="82" t="str">
        <f aca="false">IF(AND(ISNUMBER(U1900),OR(AQ1900="À RADIOGRAPHIER",AQ1900="RÉPARÉ – À RADIOGRAPHIER",AQ1900="NX – RT À REFAIRE",AQ1900="À RÉPARER",AQ1900="COUPE – À RESOUDER",AQ1900="VT REJETÉ – À REPRENDRE")),MAX(0,'PROGRAMME RT'!$C$4-U1900),"")</f>
        <v/>
      </c>
      <c r="AS1900" s="82" t="n">
        <f aca="false">IF(AND(OR(AQ1900="À RADIOGRAPHIER",AQ1900="RÉPARÉ – À RADIOGRAPHIER",AQ1900="NX – RT À REFAIRE"),OR('PROGRAMME RT'!$D$5="TOUTES",B1900='PROGRAMME RT'!$D$5)),1,0)</f>
        <v>0</v>
      </c>
      <c r="AT1900" s="82" t="str">
        <f aca="false">IF(AS1900=1,SUM(AS$7:AS1900),"")</f>
        <v/>
      </c>
      <c r="AU1900" s="82" t="n">
        <f aca="false">IF(AND(OR(AA1900="R",AA1900="NX",AA1900="NT",AA1900="CO"),OR('JOINTS DE RÉPARATION'!$D$5="TOUTES",B1900='JOINTS DE RÉPARATION'!$D$5),OR('JOINTS DE RÉPARATION'!$L$4="TOUS",AQ1900&lt;&gt;"ACCEPTÉ")),1,0)</f>
        <v>0</v>
      </c>
      <c r="AV1900" s="82" t="str">
        <f aca="false">IF(AU1900=1,SUM(AU$7:AU1900),"")</f>
        <v/>
      </c>
      <c r="AW1900" s="82" t="str">
        <f aca="false">IF(E1900="","",B1900&amp;"|"&amp;E1900)</f>
        <v>MFD-ISW → MFD-CPF|DJ°011</v>
      </c>
    </row>
    <row r="1901" customFormat="false" ht="74.6" hidden="false" customHeight="false" outlineLevel="0" collapsed="false">
      <c r="A1901" s="79" t="n">
        <f aca="false">IF(E1901="","",ROW()-6)</f>
        <v>1895</v>
      </c>
      <c r="B1901" s="80" t="s">
        <v>110</v>
      </c>
      <c r="C1901" s="81" t="s">
        <v>2263</v>
      </c>
      <c r="D1901" s="81" t="n">
        <v>17</v>
      </c>
      <c r="E1901" s="81" t="s">
        <v>2318</v>
      </c>
      <c r="F1901" s="82" t="str">
        <f aca="false">IF(E1901="","",IF(LEFT(E1901,2)="DJ","DJ","JN"))</f>
        <v>JN</v>
      </c>
      <c r="G1901" s="81" t="s">
        <v>1504</v>
      </c>
      <c r="H1901" s="81" t="s">
        <v>871</v>
      </c>
      <c r="I1901" s="81" t="n">
        <v>9.53</v>
      </c>
      <c r="J1901" s="81" t="s">
        <v>872</v>
      </c>
      <c r="K1901" s="81" t="s">
        <v>879</v>
      </c>
      <c r="L1901" s="81" t="n">
        <v>2089330</v>
      </c>
      <c r="M1901" s="81" t="n">
        <v>15421108</v>
      </c>
      <c r="N1901" s="81" t="n">
        <v>11.94</v>
      </c>
      <c r="O1901" s="81" t="n">
        <v>2081910</v>
      </c>
      <c r="P1901" s="81" t="n">
        <v>15421104</v>
      </c>
      <c r="Q1901" s="81" t="n">
        <v>11.94</v>
      </c>
      <c r="R1901" s="81" t="s">
        <v>2273</v>
      </c>
      <c r="S1901" s="81"/>
      <c r="T1901" s="81"/>
      <c r="U1901" s="83" t="n">
        <v>46269</v>
      </c>
      <c r="V1901" s="83" t="n">
        <v>46269</v>
      </c>
      <c r="W1901" s="81" t="s">
        <v>2280</v>
      </c>
      <c r="X1901" s="81" t="s">
        <v>876</v>
      </c>
      <c r="Y1901" s="83" t="n">
        <v>46277</v>
      </c>
      <c r="Z1901" s="81" t="s">
        <v>2297</v>
      </c>
      <c r="AA1901" s="81" t="s">
        <v>876</v>
      </c>
      <c r="AB1901" s="81"/>
      <c r="AC1901" s="81"/>
      <c r="AD1901" s="81"/>
      <c r="AE1901" s="83"/>
      <c r="AF1901" s="81"/>
      <c r="AG1901" s="81"/>
      <c r="AH1901" s="81"/>
      <c r="AI1901" s="81"/>
      <c r="AJ1901" s="83"/>
      <c r="AK1901" s="81"/>
      <c r="AL1901" s="81"/>
      <c r="AM1901" s="83"/>
      <c r="AN1901" s="80"/>
      <c r="AO1901" s="82" t="n">
        <f aca="false">IF(E1901="","",(AA1901&lt;&gt;"")+(AG1901&lt;&gt;"")+(AL1901&lt;&gt;""))</f>
        <v>1</v>
      </c>
      <c r="AP1901" s="82" t="str">
        <f aca="false">IF(AL1901&lt;&gt;"",AL1901,IF(AG1901&lt;&gt;"",AG1901,IF(AA1901&lt;&gt;"",AA1901,"")))</f>
        <v>A</v>
      </c>
      <c r="AQ1901" s="84" t="str">
        <f aca="false">IF(E1901="","",IF(U1901="","À SOUDER",IF(X1901="","VT EN ATTENTE",IF(X1901="R","VT REJETÉ – À REPRENDRE",IF(AP1901="","À RADIOGRAPHIER",IF(AP1901="A","ACCEPTÉ",IF(AP1901="NX","NX – RT À REFAIRE",IF(IF(AO1901=1,AD1901,IF(AO1901=2,AI1901,""))="A","RÉPARÉ – À RADIOGRAPHIER",IF(IF(AO1901=1,AD1901,IF(AO1901=2,AI1901,""))="R","VT REJETÉ – À REPRENDRE",IF(OR(AP1901="CO",AP1901="NT"),"COUPE – À RESOUDER","À RÉPARER"))))))))))</f>
        <v>ACCEPTÉ</v>
      </c>
      <c r="AR1901" s="82" t="str">
        <f aca="false">IF(AND(ISNUMBER(U1901),OR(AQ1901="À RADIOGRAPHIER",AQ1901="RÉPARÉ – À RADIOGRAPHIER",AQ1901="NX – RT À REFAIRE",AQ1901="À RÉPARER",AQ1901="COUPE – À RESOUDER",AQ1901="VT REJETÉ – À REPRENDRE")),MAX(0,'PROGRAMME RT'!$C$4-U1901),"")</f>
        <v/>
      </c>
      <c r="AS1901" s="82" t="n">
        <f aca="false">IF(AND(OR(AQ1901="À RADIOGRAPHIER",AQ1901="RÉPARÉ – À RADIOGRAPHIER",AQ1901="NX – RT À REFAIRE"),OR('PROGRAMME RT'!$D$5="TOUTES",B1901='PROGRAMME RT'!$D$5)),1,0)</f>
        <v>0</v>
      </c>
      <c r="AT1901" s="82" t="str">
        <f aca="false">IF(AS1901=1,SUM(AS$7:AS1901),"")</f>
        <v/>
      </c>
      <c r="AU1901" s="82" t="n">
        <f aca="false">IF(AND(OR(AA1901="R",AA1901="NX",AA1901="NT",AA1901="CO"),OR('JOINTS DE RÉPARATION'!$D$5="TOUTES",B1901='JOINTS DE RÉPARATION'!$D$5),OR('JOINTS DE RÉPARATION'!$L$4="TOUS",AQ1901&lt;&gt;"ACCEPTÉ")),1,0)</f>
        <v>0</v>
      </c>
      <c r="AV1901" s="82" t="str">
        <f aca="false">IF(AU1901=1,SUM(AU$7:AU1901),"")</f>
        <v/>
      </c>
      <c r="AW1901" s="82" t="str">
        <f aca="false">IF(E1901="","",B1901&amp;"|"&amp;E1901)</f>
        <v>MFD-ISW → MFD-CPF|JN°1475</v>
      </c>
    </row>
    <row r="1902" customFormat="false" ht="74.6" hidden="false" customHeight="false" outlineLevel="0" collapsed="false">
      <c r="A1902" s="79" t="n">
        <f aca="false">IF(E1902="","",ROW()-6)</f>
        <v>1896</v>
      </c>
      <c r="B1902" s="80" t="s">
        <v>110</v>
      </c>
      <c r="C1902" s="81" t="s">
        <v>2263</v>
      </c>
      <c r="D1902" s="81" t="n">
        <v>17</v>
      </c>
      <c r="E1902" s="81" t="s">
        <v>2319</v>
      </c>
      <c r="F1902" s="82" t="str">
        <f aca="false">IF(E1902="","",IF(LEFT(E1902,2)="DJ","DJ","JN"))</f>
        <v>DJ</v>
      </c>
      <c r="G1902" s="81" t="s">
        <v>1504</v>
      </c>
      <c r="H1902" s="81" t="s">
        <v>871</v>
      </c>
      <c r="I1902" s="81" t="n">
        <v>9.53</v>
      </c>
      <c r="J1902" s="81" t="s">
        <v>872</v>
      </c>
      <c r="K1902" s="81" t="s">
        <v>873</v>
      </c>
      <c r="L1902" s="81" t="n">
        <v>2081910</v>
      </c>
      <c r="M1902" s="81" t="n">
        <v>15421104</v>
      </c>
      <c r="N1902" s="81" t="n">
        <v>11.94</v>
      </c>
      <c r="O1902" s="81" t="n">
        <v>2082310</v>
      </c>
      <c r="P1902" s="81" t="n">
        <v>15421104</v>
      </c>
      <c r="Q1902" s="81" t="n">
        <v>11.94</v>
      </c>
      <c r="R1902" s="81" t="s">
        <v>874</v>
      </c>
      <c r="S1902" s="81"/>
      <c r="T1902" s="81"/>
      <c r="U1902" s="83" t="n">
        <v>46250</v>
      </c>
      <c r="V1902" s="83" t="n">
        <v>46250</v>
      </c>
      <c r="W1902" s="81" t="s">
        <v>2221</v>
      </c>
      <c r="X1902" s="81" t="s">
        <v>876</v>
      </c>
      <c r="Y1902" s="83" t="n">
        <v>46252</v>
      </c>
      <c r="Z1902" s="81" t="s">
        <v>2222</v>
      </c>
      <c r="AA1902" s="81" t="s">
        <v>876</v>
      </c>
      <c r="AB1902" s="81"/>
      <c r="AC1902" s="81"/>
      <c r="AD1902" s="81"/>
      <c r="AE1902" s="83"/>
      <c r="AF1902" s="81"/>
      <c r="AG1902" s="81"/>
      <c r="AH1902" s="81"/>
      <c r="AI1902" s="81"/>
      <c r="AJ1902" s="83"/>
      <c r="AK1902" s="81"/>
      <c r="AL1902" s="81"/>
      <c r="AM1902" s="83"/>
      <c r="AN1902" s="80"/>
      <c r="AO1902" s="82" t="n">
        <f aca="false">IF(E1902="","",(AA1902&lt;&gt;"")+(AG1902&lt;&gt;"")+(AL1902&lt;&gt;""))</f>
        <v>1</v>
      </c>
      <c r="AP1902" s="82" t="str">
        <f aca="false">IF(AL1902&lt;&gt;"",AL1902,IF(AG1902&lt;&gt;"",AG1902,IF(AA1902&lt;&gt;"",AA1902,"")))</f>
        <v>A</v>
      </c>
      <c r="AQ1902" s="84" t="str">
        <f aca="false">IF(E1902="","",IF(U1902="","À SOUDER",IF(X1902="","VT EN ATTENTE",IF(X1902="R","VT REJETÉ – À REPRENDRE",IF(AP1902="","À RADIOGRAPHIER",IF(AP1902="A","ACCEPTÉ",IF(AP1902="NX","NX – RT À REFAIRE",IF(IF(AO1902=1,AD1902,IF(AO1902=2,AI1902,""))="A","RÉPARÉ – À RADIOGRAPHIER",IF(IF(AO1902=1,AD1902,IF(AO1902=2,AI1902,""))="R","VT REJETÉ – À REPRENDRE",IF(OR(AP1902="CO",AP1902="NT"),"COUPE – À RESOUDER","À RÉPARER"))))))))))</f>
        <v>ACCEPTÉ</v>
      </c>
      <c r="AR1902" s="82" t="str">
        <f aca="false">IF(AND(ISNUMBER(U1902),OR(AQ1902="À RADIOGRAPHIER",AQ1902="RÉPARÉ – À RADIOGRAPHIER",AQ1902="NX – RT À REFAIRE",AQ1902="À RÉPARER",AQ1902="COUPE – À RESOUDER",AQ1902="VT REJETÉ – À REPRENDRE")),MAX(0,'PROGRAMME RT'!$C$4-U1902),"")</f>
        <v/>
      </c>
      <c r="AS1902" s="82" t="n">
        <f aca="false">IF(AND(OR(AQ1902="À RADIOGRAPHIER",AQ1902="RÉPARÉ – À RADIOGRAPHIER",AQ1902="NX – RT À REFAIRE"),OR('PROGRAMME RT'!$D$5="TOUTES",B1902='PROGRAMME RT'!$D$5)),1,0)</f>
        <v>0</v>
      </c>
      <c r="AT1902" s="82" t="str">
        <f aca="false">IF(AS1902=1,SUM(AS$7:AS1902),"")</f>
        <v/>
      </c>
      <c r="AU1902" s="82" t="n">
        <f aca="false">IF(AND(OR(AA1902="R",AA1902="NX",AA1902="NT",AA1902="CO"),OR('JOINTS DE RÉPARATION'!$D$5="TOUTES",B1902='JOINTS DE RÉPARATION'!$D$5),OR('JOINTS DE RÉPARATION'!$L$4="TOUS",AQ1902&lt;&gt;"ACCEPTÉ")),1,0)</f>
        <v>0</v>
      </c>
      <c r="AV1902" s="82" t="str">
        <f aca="false">IF(AU1902=1,SUM(AU$7:AU1902),"")</f>
        <v/>
      </c>
      <c r="AW1902" s="82" t="str">
        <f aca="false">IF(E1902="","",B1902&amp;"|"&amp;E1902)</f>
        <v>MFD-ISW → MFD-CPF|DJ°025</v>
      </c>
    </row>
    <row r="1903" customFormat="false" ht="74.6" hidden="false" customHeight="false" outlineLevel="0" collapsed="false">
      <c r="A1903" s="79" t="n">
        <f aca="false">IF(E1903="","",ROW()-6)</f>
        <v>1897</v>
      </c>
      <c r="B1903" s="80" t="s">
        <v>110</v>
      </c>
      <c r="C1903" s="81" t="s">
        <v>2263</v>
      </c>
      <c r="D1903" s="81" t="n">
        <v>17</v>
      </c>
      <c r="E1903" s="81" t="s">
        <v>2320</v>
      </c>
      <c r="F1903" s="82" t="str">
        <f aca="false">IF(E1903="","",IF(LEFT(E1903,2)="DJ","DJ","JN"))</f>
        <v>JN</v>
      </c>
      <c r="G1903" s="81" t="s">
        <v>1504</v>
      </c>
      <c r="H1903" s="81" t="s">
        <v>871</v>
      </c>
      <c r="I1903" s="81" t="n">
        <v>9.53</v>
      </c>
      <c r="J1903" s="81" t="s">
        <v>872</v>
      </c>
      <c r="K1903" s="81" t="s">
        <v>2205</v>
      </c>
      <c r="L1903" s="81" t="n">
        <v>2082310</v>
      </c>
      <c r="M1903" s="81" t="n">
        <v>15421104</v>
      </c>
      <c r="N1903" s="81" t="n">
        <v>11.94</v>
      </c>
      <c r="O1903" s="81" t="n">
        <v>2083460</v>
      </c>
      <c r="P1903" s="81" t="n">
        <v>15421105</v>
      </c>
      <c r="Q1903" s="81" t="n">
        <v>11.94</v>
      </c>
      <c r="R1903" s="81" t="s">
        <v>1884</v>
      </c>
      <c r="S1903" s="81"/>
      <c r="T1903" s="81"/>
      <c r="U1903" s="83" t="n">
        <v>46289</v>
      </c>
      <c r="V1903" s="83" t="n">
        <v>46289</v>
      </c>
      <c r="W1903" s="81" t="s">
        <v>1984</v>
      </c>
      <c r="X1903" s="81" t="s">
        <v>876</v>
      </c>
      <c r="Y1903" s="83"/>
      <c r="Z1903" s="81"/>
      <c r="AA1903" s="81"/>
      <c r="AB1903" s="81" t="s">
        <v>2321</v>
      </c>
      <c r="AC1903" s="81"/>
      <c r="AD1903" s="81"/>
      <c r="AE1903" s="83"/>
      <c r="AF1903" s="81"/>
      <c r="AG1903" s="81"/>
      <c r="AH1903" s="81"/>
      <c r="AI1903" s="81"/>
      <c r="AJ1903" s="83"/>
      <c r="AK1903" s="81"/>
      <c r="AL1903" s="81"/>
      <c r="AM1903" s="83"/>
      <c r="AN1903" s="80"/>
      <c r="AO1903" s="82" t="n">
        <f aca="false">IF(E1903="","",(AA1903&lt;&gt;"")+(AG1903&lt;&gt;"")+(AL1903&lt;&gt;""))</f>
        <v>0</v>
      </c>
      <c r="AP1903" s="82" t="str">
        <f aca="false">IF(AL1903&lt;&gt;"",AL1903,IF(AG1903&lt;&gt;"",AG1903,IF(AA1903&lt;&gt;"",AA1903,"")))</f>
        <v/>
      </c>
      <c r="AQ1903" s="84" t="str">
        <f aca="false">IF(E1903="","",IF(U1903="","À SOUDER",IF(X1903="","VT EN ATTENTE",IF(X1903="R","VT REJETÉ – À REPRENDRE",IF(AP1903="","À RADIOGRAPHIER",IF(AP1903="A","ACCEPTÉ",IF(AP1903="NX","NX – RT À REFAIRE",IF(IF(AO1903=1,AD1903,IF(AO1903=2,AI1903,""))="A","RÉPARÉ – À RADIOGRAPHIER",IF(IF(AO1903=1,AD1903,IF(AO1903=2,AI1903,""))="R","VT REJETÉ – À REPRENDRE",IF(OR(AP1903="CO",AP1903="NT"),"COUPE – À RESOUDER","À RÉPARER"))))))))))</f>
        <v>À RADIOGRAPHIER</v>
      </c>
      <c r="AR1903" s="82" t="n">
        <f aca="false">IF(AND(ISNUMBER(U1903),OR(AQ1903="À RADIOGRAPHIER",AQ1903="RÉPARÉ – À RADIOGRAPHIER",AQ1903="NX – RT À REFAIRE",AQ1903="À RÉPARER",AQ1903="COUPE – À RESOUDER",AQ1903="VT REJETÉ – À REPRENDRE")),MAX(0,'PROGRAMME RT'!$C$4-U1903),"")</f>
        <v>4</v>
      </c>
      <c r="AS1903" s="82" t="n">
        <f aca="false">IF(AND(OR(AQ1903="À RADIOGRAPHIER",AQ1903="RÉPARÉ – À RADIOGRAPHIER",AQ1903="NX – RT À REFAIRE"),OR('PROGRAMME RT'!$D$5="TOUTES",B1903='PROGRAMME RT'!$D$5)),1,0)</f>
        <v>1</v>
      </c>
      <c r="AT1903" s="82" t="n">
        <f aca="false">IF(AS1903=1,SUM(AS$7:AS1903),"")</f>
        <v>98</v>
      </c>
      <c r="AU1903" s="82" t="n">
        <f aca="false">IF(AND(OR(AA1903="R",AA1903="NX",AA1903="NT",AA1903="CO"),OR('JOINTS DE RÉPARATION'!$D$5="TOUTES",B1903='JOINTS DE RÉPARATION'!$D$5),OR('JOINTS DE RÉPARATION'!$L$4="TOUS",AQ1903&lt;&gt;"ACCEPTÉ")),1,0)</f>
        <v>0</v>
      </c>
      <c r="AV1903" s="82" t="str">
        <f aca="false">IF(AU1903=1,SUM(AU$7:AU1903),"")</f>
        <v/>
      </c>
      <c r="AW1903" s="82" t="str">
        <f aca="false">IF(E1903="","",B1903&amp;"|"&amp;E1903)</f>
        <v>MFD-ISW → MFD-CPF|JN°1476R</v>
      </c>
    </row>
    <row r="1904" customFormat="false" ht="74.6" hidden="false" customHeight="false" outlineLevel="0" collapsed="false">
      <c r="A1904" s="79" t="n">
        <f aca="false">IF(E1904="","",ROW()-6)</f>
        <v>1898</v>
      </c>
      <c r="B1904" s="80" t="s">
        <v>110</v>
      </c>
      <c r="C1904" s="81" t="s">
        <v>2263</v>
      </c>
      <c r="D1904" s="81" t="n">
        <v>17</v>
      </c>
      <c r="E1904" s="81" t="s">
        <v>2322</v>
      </c>
      <c r="F1904" s="82" t="str">
        <f aca="false">IF(E1904="","",IF(LEFT(E1904,2)="DJ","DJ","JN"))</f>
        <v>DJ</v>
      </c>
      <c r="G1904" s="81" t="s">
        <v>1504</v>
      </c>
      <c r="H1904" s="81" t="s">
        <v>871</v>
      </c>
      <c r="I1904" s="81" t="n">
        <v>9.53</v>
      </c>
      <c r="J1904" s="81" t="s">
        <v>872</v>
      </c>
      <c r="K1904" s="81" t="s">
        <v>873</v>
      </c>
      <c r="L1904" s="81" t="n">
        <v>2083460</v>
      </c>
      <c r="M1904" s="81" t="n">
        <v>15421105</v>
      </c>
      <c r="N1904" s="81" t="n">
        <v>11.94</v>
      </c>
      <c r="O1904" s="81" t="n">
        <v>2085280</v>
      </c>
      <c r="P1904" s="81" t="n">
        <v>15421106</v>
      </c>
      <c r="Q1904" s="81" t="n">
        <v>11.94</v>
      </c>
      <c r="R1904" s="81" t="s">
        <v>1147</v>
      </c>
      <c r="S1904" s="81"/>
      <c r="T1904" s="81"/>
      <c r="U1904" s="83" t="n">
        <v>46255</v>
      </c>
      <c r="V1904" s="83" t="n">
        <v>46255</v>
      </c>
      <c r="W1904" s="81" t="s">
        <v>2299</v>
      </c>
      <c r="X1904" s="81" t="s">
        <v>876</v>
      </c>
      <c r="Y1904" s="83" t="n">
        <v>46257</v>
      </c>
      <c r="Z1904" s="81" t="s">
        <v>2300</v>
      </c>
      <c r="AA1904" s="81" t="s">
        <v>876</v>
      </c>
      <c r="AB1904" s="81"/>
      <c r="AC1904" s="81"/>
      <c r="AD1904" s="81"/>
      <c r="AE1904" s="83"/>
      <c r="AF1904" s="81"/>
      <c r="AG1904" s="81"/>
      <c r="AH1904" s="81"/>
      <c r="AI1904" s="81"/>
      <c r="AJ1904" s="83"/>
      <c r="AK1904" s="81"/>
      <c r="AL1904" s="81"/>
      <c r="AM1904" s="83"/>
      <c r="AN1904" s="80"/>
      <c r="AO1904" s="82" t="n">
        <f aca="false">IF(E1904="","",(AA1904&lt;&gt;"")+(AG1904&lt;&gt;"")+(AL1904&lt;&gt;""))</f>
        <v>1</v>
      </c>
      <c r="AP1904" s="82" t="str">
        <f aca="false">IF(AL1904&lt;&gt;"",AL1904,IF(AG1904&lt;&gt;"",AG1904,IF(AA1904&lt;&gt;"",AA1904,"")))</f>
        <v>A</v>
      </c>
      <c r="AQ1904" s="84" t="str">
        <f aca="false">IF(E1904="","",IF(U1904="","À SOUDER",IF(X1904="","VT EN ATTENTE",IF(X1904="R","VT REJETÉ – À REPRENDRE",IF(AP1904="","À RADIOGRAPHIER",IF(AP1904="A","ACCEPTÉ",IF(AP1904="NX","NX – RT À REFAIRE",IF(IF(AO1904=1,AD1904,IF(AO1904=2,AI1904,""))="A","RÉPARÉ – À RADIOGRAPHIER",IF(IF(AO1904=1,AD1904,IF(AO1904=2,AI1904,""))="R","VT REJETÉ – À REPRENDRE",IF(OR(AP1904="CO",AP1904="NT"),"COUPE – À RESOUDER","À RÉPARER"))))))))))</f>
        <v>ACCEPTÉ</v>
      </c>
      <c r="AR1904" s="82" t="str">
        <f aca="false">IF(AND(ISNUMBER(U1904),OR(AQ1904="À RADIOGRAPHIER",AQ1904="RÉPARÉ – À RADIOGRAPHIER",AQ1904="NX – RT À REFAIRE",AQ1904="À RÉPARER",AQ1904="COUPE – À RESOUDER",AQ1904="VT REJETÉ – À REPRENDRE")),MAX(0,'PROGRAMME RT'!$C$4-U1904),"")</f>
        <v/>
      </c>
      <c r="AS1904" s="82" t="n">
        <f aca="false">IF(AND(OR(AQ1904="À RADIOGRAPHIER",AQ1904="RÉPARÉ – À RADIOGRAPHIER",AQ1904="NX – RT À REFAIRE"),OR('PROGRAMME RT'!$D$5="TOUTES",B1904='PROGRAMME RT'!$D$5)),1,0)</f>
        <v>0</v>
      </c>
      <c r="AT1904" s="82" t="str">
        <f aca="false">IF(AS1904=1,SUM(AS$7:AS1904),"")</f>
        <v/>
      </c>
      <c r="AU1904" s="82" t="n">
        <f aca="false">IF(AND(OR(AA1904="R",AA1904="NX",AA1904="NT",AA1904="CO"),OR('JOINTS DE RÉPARATION'!$D$5="TOUTES",B1904='JOINTS DE RÉPARATION'!$D$5),OR('JOINTS DE RÉPARATION'!$L$4="TOUS",AQ1904&lt;&gt;"ACCEPTÉ")),1,0)</f>
        <v>0</v>
      </c>
      <c r="AV1904" s="82" t="str">
        <f aca="false">IF(AU1904=1,SUM(AU$7:AU1904),"")</f>
        <v/>
      </c>
      <c r="AW1904" s="82" t="str">
        <f aca="false">IF(E1904="","",B1904&amp;"|"&amp;E1904)</f>
        <v>MFD-ISW → MFD-CPF|DJ°076</v>
      </c>
    </row>
    <row r="1905" customFormat="false" ht="74.6" hidden="false" customHeight="false" outlineLevel="0" collapsed="false">
      <c r="A1905" s="79" t="n">
        <f aca="false">IF(E1905="","",ROW()-6)</f>
        <v>1899</v>
      </c>
      <c r="B1905" s="80" t="s">
        <v>110</v>
      </c>
      <c r="C1905" s="81" t="s">
        <v>2263</v>
      </c>
      <c r="D1905" s="81" t="n">
        <v>17</v>
      </c>
      <c r="E1905" s="81" t="s">
        <v>2323</v>
      </c>
      <c r="F1905" s="82" t="str">
        <f aca="false">IF(E1905="","",IF(LEFT(E1905,2)="DJ","DJ","JN"))</f>
        <v>JN</v>
      </c>
      <c r="G1905" s="81" t="s">
        <v>1504</v>
      </c>
      <c r="H1905" s="81" t="s">
        <v>871</v>
      </c>
      <c r="I1905" s="81" t="n">
        <v>9.53</v>
      </c>
      <c r="J1905" s="81" t="s">
        <v>872</v>
      </c>
      <c r="K1905" s="81" t="s">
        <v>879</v>
      </c>
      <c r="L1905" s="81" t="n">
        <v>2085280</v>
      </c>
      <c r="M1905" s="81" t="n">
        <v>15421106</v>
      </c>
      <c r="N1905" s="81" t="n">
        <v>11.94</v>
      </c>
      <c r="O1905" s="81" t="n">
        <v>2081580</v>
      </c>
      <c r="P1905" s="81" t="n">
        <v>15421109</v>
      </c>
      <c r="Q1905" s="81" t="n">
        <v>11.94</v>
      </c>
      <c r="R1905" s="81" t="s">
        <v>2273</v>
      </c>
      <c r="S1905" s="81"/>
      <c r="T1905" s="81"/>
      <c r="U1905" s="83" t="n">
        <v>46268</v>
      </c>
      <c r="V1905" s="83" t="n">
        <v>46268</v>
      </c>
      <c r="W1905" s="81" t="s">
        <v>2324</v>
      </c>
      <c r="X1905" s="81" t="s">
        <v>876</v>
      </c>
      <c r="Y1905" s="83" t="n">
        <v>46277</v>
      </c>
      <c r="Z1905" s="81" t="s">
        <v>2297</v>
      </c>
      <c r="AA1905" s="81" t="s">
        <v>876</v>
      </c>
      <c r="AB1905" s="81"/>
      <c r="AC1905" s="81"/>
      <c r="AD1905" s="81"/>
      <c r="AE1905" s="83"/>
      <c r="AF1905" s="81"/>
      <c r="AG1905" s="81"/>
      <c r="AH1905" s="81"/>
      <c r="AI1905" s="81"/>
      <c r="AJ1905" s="83"/>
      <c r="AK1905" s="81"/>
      <c r="AL1905" s="81"/>
      <c r="AM1905" s="83"/>
      <c r="AN1905" s="80"/>
      <c r="AO1905" s="82" t="n">
        <f aca="false">IF(E1905="","",(AA1905&lt;&gt;"")+(AG1905&lt;&gt;"")+(AL1905&lt;&gt;""))</f>
        <v>1</v>
      </c>
      <c r="AP1905" s="82" t="str">
        <f aca="false">IF(AL1905&lt;&gt;"",AL1905,IF(AG1905&lt;&gt;"",AG1905,IF(AA1905&lt;&gt;"",AA1905,"")))</f>
        <v>A</v>
      </c>
      <c r="AQ1905" s="84" t="str">
        <f aca="false">IF(E1905="","",IF(U1905="","À SOUDER",IF(X1905="","VT EN ATTENTE",IF(X1905="R","VT REJETÉ – À REPRENDRE",IF(AP1905="","À RADIOGRAPHIER",IF(AP1905="A","ACCEPTÉ",IF(AP1905="NX","NX – RT À REFAIRE",IF(IF(AO1905=1,AD1905,IF(AO1905=2,AI1905,""))="A","RÉPARÉ – À RADIOGRAPHIER",IF(IF(AO1905=1,AD1905,IF(AO1905=2,AI1905,""))="R","VT REJETÉ – À REPRENDRE",IF(OR(AP1905="CO",AP1905="NT"),"COUPE – À RESOUDER","À RÉPARER"))))))))))</f>
        <v>ACCEPTÉ</v>
      </c>
      <c r="AR1905" s="82" t="str">
        <f aca="false">IF(AND(ISNUMBER(U1905),OR(AQ1905="À RADIOGRAPHIER",AQ1905="RÉPARÉ – À RADIOGRAPHIER",AQ1905="NX – RT À REFAIRE",AQ1905="À RÉPARER",AQ1905="COUPE – À RESOUDER",AQ1905="VT REJETÉ – À REPRENDRE")),MAX(0,'PROGRAMME RT'!$C$4-U1905),"")</f>
        <v/>
      </c>
      <c r="AS1905" s="82" t="n">
        <f aca="false">IF(AND(OR(AQ1905="À RADIOGRAPHIER",AQ1905="RÉPARÉ – À RADIOGRAPHIER",AQ1905="NX – RT À REFAIRE"),OR('PROGRAMME RT'!$D$5="TOUTES",B1905='PROGRAMME RT'!$D$5)),1,0)</f>
        <v>0</v>
      </c>
      <c r="AT1905" s="82" t="str">
        <f aca="false">IF(AS1905=1,SUM(AS$7:AS1905),"")</f>
        <v/>
      </c>
      <c r="AU1905" s="82" t="n">
        <f aca="false">IF(AND(OR(AA1905="R",AA1905="NX",AA1905="NT",AA1905="CO"),OR('JOINTS DE RÉPARATION'!$D$5="TOUTES",B1905='JOINTS DE RÉPARATION'!$D$5),OR('JOINTS DE RÉPARATION'!$L$4="TOUS",AQ1905&lt;&gt;"ACCEPTÉ")),1,0)</f>
        <v>0</v>
      </c>
      <c r="AV1905" s="82" t="str">
        <f aca="false">IF(AU1905=1,SUM(AU$7:AU1905),"")</f>
        <v/>
      </c>
      <c r="AW1905" s="82" t="str">
        <f aca="false">IF(E1905="","",B1905&amp;"|"&amp;E1905)</f>
        <v>MFD-ISW → MFD-CPF|JN°1477</v>
      </c>
    </row>
    <row r="1906" customFormat="false" ht="74.6" hidden="false" customHeight="false" outlineLevel="0" collapsed="false">
      <c r="A1906" s="79" t="n">
        <f aca="false">IF(E1906="","",ROW()-6)</f>
        <v>1900</v>
      </c>
      <c r="B1906" s="80" t="s">
        <v>110</v>
      </c>
      <c r="C1906" s="81" t="s">
        <v>2263</v>
      </c>
      <c r="D1906" s="81" t="n">
        <v>17</v>
      </c>
      <c r="E1906" s="81" t="s">
        <v>2325</v>
      </c>
      <c r="F1906" s="82" t="str">
        <f aca="false">IF(E1906="","",IF(LEFT(E1906,2)="DJ","DJ","JN"))</f>
        <v>JN</v>
      </c>
      <c r="G1906" s="81" t="s">
        <v>1504</v>
      </c>
      <c r="H1906" s="81" t="s">
        <v>871</v>
      </c>
      <c r="I1906" s="81" t="n">
        <v>9.53</v>
      </c>
      <c r="J1906" s="81" t="s">
        <v>872</v>
      </c>
      <c r="K1906" s="81" t="s">
        <v>879</v>
      </c>
      <c r="L1906" s="81" t="n">
        <v>2081580</v>
      </c>
      <c r="M1906" s="81" t="n">
        <v>15421109</v>
      </c>
      <c r="N1906" s="81" t="n">
        <v>11.94</v>
      </c>
      <c r="O1906" s="81" t="n">
        <v>2081270</v>
      </c>
      <c r="P1906" s="81" t="n">
        <v>15421103</v>
      </c>
      <c r="Q1906" s="81" t="n">
        <v>11.94</v>
      </c>
      <c r="R1906" s="81" t="s">
        <v>2273</v>
      </c>
      <c r="S1906" s="81"/>
      <c r="T1906" s="81"/>
      <c r="U1906" s="83" t="n">
        <v>46268</v>
      </c>
      <c r="V1906" s="83" t="n">
        <v>46268</v>
      </c>
      <c r="W1906" s="81" t="s">
        <v>2324</v>
      </c>
      <c r="X1906" s="81" t="s">
        <v>876</v>
      </c>
      <c r="Y1906" s="83" t="n">
        <v>46277</v>
      </c>
      <c r="Z1906" s="81" t="s">
        <v>2297</v>
      </c>
      <c r="AA1906" s="81" t="s">
        <v>876</v>
      </c>
      <c r="AB1906" s="81"/>
      <c r="AC1906" s="81"/>
      <c r="AD1906" s="81"/>
      <c r="AE1906" s="83"/>
      <c r="AF1906" s="81"/>
      <c r="AG1906" s="81"/>
      <c r="AH1906" s="81"/>
      <c r="AI1906" s="81"/>
      <c r="AJ1906" s="83"/>
      <c r="AK1906" s="81"/>
      <c r="AL1906" s="81"/>
      <c r="AM1906" s="83"/>
      <c r="AN1906" s="80"/>
      <c r="AO1906" s="82" t="n">
        <f aca="false">IF(E1906="","",(AA1906&lt;&gt;"")+(AG1906&lt;&gt;"")+(AL1906&lt;&gt;""))</f>
        <v>1</v>
      </c>
      <c r="AP1906" s="82" t="str">
        <f aca="false">IF(AL1906&lt;&gt;"",AL1906,IF(AG1906&lt;&gt;"",AG1906,IF(AA1906&lt;&gt;"",AA1906,"")))</f>
        <v>A</v>
      </c>
      <c r="AQ1906" s="84" t="str">
        <f aca="false">IF(E1906="","",IF(U1906="","À SOUDER",IF(X1906="","VT EN ATTENTE",IF(X1906="R","VT REJETÉ – À REPRENDRE",IF(AP1906="","À RADIOGRAPHIER",IF(AP1906="A","ACCEPTÉ",IF(AP1906="NX","NX – RT À REFAIRE",IF(IF(AO1906=1,AD1906,IF(AO1906=2,AI1906,""))="A","RÉPARÉ – À RADIOGRAPHIER",IF(IF(AO1906=1,AD1906,IF(AO1906=2,AI1906,""))="R","VT REJETÉ – À REPRENDRE",IF(OR(AP1906="CO",AP1906="NT"),"COUPE – À RESOUDER","À RÉPARER"))))))))))</f>
        <v>ACCEPTÉ</v>
      </c>
      <c r="AR1906" s="82" t="str">
        <f aca="false">IF(AND(ISNUMBER(U1906),OR(AQ1906="À RADIOGRAPHIER",AQ1906="RÉPARÉ – À RADIOGRAPHIER",AQ1906="NX – RT À REFAIRE",AQ1906="À RÉPARER",AQ1906="COUPE – À RESOUDER",AQ1906="VT REJETÉ – À REPRENDRE")),MAX(0,'PROGRAMME RT'!$C$4-U1906),"")</f>
        <v/>
      </c>
      <c r="AS1906" s="82" t="n">
        <f aca="false">IF(AND(OR(AQ1906="À RADIOGRAPHIER",AQ1906="RÉPARÉ – À RADIOGRAPHIER",AQ1906="NX – RT À REFAIRE"),OR('PROGRAMME RT'!$D$5="TOUTES",B1906='PROGRAMME RT'!$D$5)),1,0)</f>
        <v>0</v>
      </c>
      <c r="AT1906" s="82" t="str">
        <f aca="false">IF(AS1906=1,SUM(AS$7:AS1906),"")</f>
        <v/>
      </c>
      <c r="AU1906" s="82" t="n">
        <f aca="false">IF(AND(OR(AA1906="R",AA1906="NX",AA1906="NT",AA1906="CO"),OR('JOINTS DE RÉPARATION'!$D$5="TOUTES",B1906='JOINTS DE RÉPARATION'!$D$5),OR('JOINTS DE RÉPARATION'!$L$4="TOUS",AQ1906&lt;&gt;"ACCEPTÉ")),1,0)</f>
        <v>0</v>
      </c>
      <c r="AV1906" s="82" t="str">
        <f aca="false">IF(AU1906=1,SUM(AU$7:AU1906),"")</f>
        <v/>
      </c>
      <c r="AW1906" s="82" t="str">
        <f aca="false">IF(E1906="","",B1906&amp;"|"&amp;E1906)</f>
        <v>MFD-ISW → MFD-CPF|JN°1478</v>
      </c>
    </row>
    <row r="1907" customFormat="false" ht="74.6" hidden="false" customHeight="false" outlineLevel="0" collapsed="false">
      <c r="A1907" s="79" t="n">
        <f aca="false">IF(E1907="","",ROW()-6)</f>
        <v>1901</v>
      </c>
      <c r="B1907" s="80" t="s">
        <v>110</v>
      </c>
      <c r="C1907" s="81" t="s">
        <v>2263</v>
      </c>
      <c r="D1907" s="81" t="n">
        <v>17</v>
      </c>
      <c r="E1907" s="81" t="s">
        <v>2326</v>
      </c>
      <c r="F1907" s="82" t="str">
        <f aca="false">IF(E1907="","",IF(LEFT(E1907,2)="DJ","DJ","JN"))</f>
        <v>JN</v>
      </c>
      <c r="G1907" s="81" t="s">
        <v>1504</v>
      </c>
      <c r="H1907" s="81" t="s">
        <v>871</v>
      </c>
      <c r="I1907" s="81" t="n">
        <v>9.53</v>
      </c>
      <c r="J1907" s="81" t="s">
        <v>872</v>
      </c>
      <c r="K1907" s="81" t="s">
        <v>2205</v>
      </c>
      <c r="L1907" s="81" t="n">
        <v>2081270</v>
      </c>
      <c r="M1907" s="81" t="n">
        <v>15421103</v>
      </c>
      <c r="N1907" s="81" t="n">
        <v>11.94</v>
      </c>
      <c r="O1907" s="81" t="n">
        <v>2088280</v>
      </c>
      <c r="P1907" s="81" t="n">
        <v>15421108</v>
      </c>
      <c r="Q1907" s="81" t="n">
        <v>11.94</v>
      </c>
      <c r="R1907" s="81" t="s">
        <v>1884</v>
      </c>
      <c r="S1907" s="81"/>
      <c r="T1907" s="81"/>
      <c r="U1907" s="83" t="n">
        <v>46289</v>
      </c>
      <c r="V1907" s="83" t="n">
        <v>46289</v>
      </c>
      <c r="W1907" s="81" t="s">
        <v>1984</v>
      </c>
      <c r="X1907" s="81" t="s">
        <v>876</v>
      </c>
      <c r="Y1907" s="83"/>
      <c r="Z1907" s="81"/>
      <c r="AA1907" s="81"/>
      <c r="AB1907" s="81" t="s">
        <v>2327</v>
      </c>
      <c r="AC1907" s="81"/>
      <c r="AD1907" s="81"/>
      <c r="AE1907" s="83"/>
      <c r="AF1907" s="81"/>
      <c r="AG1907" s="81"/>
      <c r="AH1907" s="81"/>
      <c r="AI1907" s="81"/>
      <c r="AJ1907" s="83"/>
      <c r="AK1907" s="81"/>
      <c r="AL1907" s="81"/>
      <c r="AM1907" s="83"/>
      <c r="AN1907" s="80"/>
      <c r="AO1907" s="82" t="n">
        <f aca="false">IF(E1907="","",(AA1907&lt;&gt;"")+(AG1907&lt;&gt;"")+(AL1907&lt;&gt;""))</f>
        <v>0</v>
      </c>
      <c r="AP1907" s="82" t="str">
        <f aca="false">IF(AL1907&lt;&gt;"",AL1907,IF(AG1907&lt;&gt;"",AG1907,IF(AA1907&lt;&gt;"",AA1907,"")))</f>
        <v/>
      </c>
      <c r="AQ1907" s="84" t="str">
        <f aca="false">IF(E1907="","",IF(U1907="","À SOUDER",IF(X1907="","VT EN ATTENTE",IF(X1907="R","VT REJETÉ – À REPRENDRE",IF(AP1907="","À RADIOGRAPHIER",IF(AP1907="A","ACCEPTÉ",IF(AP1907="NX","NX – RT À REFAIRE",IF(IF(AO1907=1,AD1907,IF(AO1907=2,AI1907,""))="A","RÉPARÉ – À RADIOGRAPHIER",IF(IF(AO1907=1,AD1907,IF(AO1907=2,AI1907,""))="R","VT REJETÉ – À REPRENDRE",IF(OR(AP1907="CO",AP1907="NT"),"COUPE – À RESOUDER","À RÉPARER"))))))))))</f>
        <v>À RADIOGRAPHIER</v>
      </c>
      <c r="AR1907" s="82" t="n">
        <f aca="false">IF(AND(ISNUMBER(U1907),OR(AQ1907="À RADIOGRAPHIER",AQ1907="RÉPARÉ – À RADIOGRAPHIER",AQ1907="NX – RT À REFAIRE",AQ1907="À RÉPARER",AQ1907="COUPE – À RESOUDER",AQ1907="VT REJETÉ – À REPRENDRE")),MAX(0,'PROGRAMME RT'!$C$4-U1907),"")</f>
        <v>4</v>
      </c>
      <c r="AS1907" s="82" t="n">
        <f aca="false">IF(AND(OR(AQ1907="À RADIOGRAPHIER",AQ1907="RÉPARÉ – À RADIOGRAPHIER",AQ1907="NX – RT À REFAIRE"),OR('PROGRAMME RT'!$D$5="TOUTES",B1907='PROGRAMME RT'!$D$5)),1,0)</f>
        <v>1</v>
      </c>
      <c r="AT1907" s="82" t="n">
        <f aca="false">IF(AS1907=1,SUM(AS$7:AS1907),"")</f>
        <v>99</v>
      </c>
      <c r="AU1907" s="82" t="n">
        <f aca="false">IF(AND(OR(AA1907="R",AA1907="NX",AA1907="NT",AA1907="CO"),OR('JOINTS DE RÉPARATION'!$D$5="TOUTES",B1907='JOINTS DE RÉPARATION'!$D$5),OR('JOINTS DE RÉPARATION'!$L$4="TOUS",AQ1907&lt;&gt;"ACCEPTÉ")),1,0)</f>
        <v>0</v>
      </c>
      <c r="AV1907" s="82" t="str">
        <f aca="false">IF(AU1907=1,SUM(AU$7:AU1907),"")</f>
        <v/>
      </c>
      <c r="AW1907" s="82" t="str">
        <f aca="false">IF(E1907="","",B1907&amp;"|"&amp;E1907)</f>
        <v>MFD-ISW → MFD-CPF|JN°1479R</v>
      </c>
    </row>
    <row r="1908" customFormat="false" ht="74.6" hidden="false" customHeight="false" outlineLevel="0" collapsed="false">
      <c r="A1908" s="79" t="n">
        <f aca="false">IF(E1908="","",ROW()-6)</f>
        <v>1902</v>
      </c>
      <c r="B1908" s="80" t="s">
        <v>110</v>
      </c>
      <c r="C1908" s="81" t="s">
        <v>2263</v>
      </c>
      <c r="D1908" s="81" t="n">
        <v>17</v>
      </c>
      <c r="E1908" s="81" t="s">
        <v>2328</v>
      </c>
      <c r="F1908" s="82" t="str">
        <f aca="false">IF(E1908="","",IF(LEFT(E1908,2)="DJ","DJ","JN"))</f>
        <v>JN</v>
      </c>
      <c r="G1908" s="81" t="s">
        <v>1504</v>
      </c>
      <c r="H1908" s="81" t="s">
        <v>871</v>
      </c>
      <c r="I1908" s="81" t="n">
        <v>9.53</v>
      </c>
      <c r="J1908" s="81" t="s">
        <v>872</v>
      </c>
      <c r="K1908" s="81" t="s">
        <v>879</v>
      </c>
      <c r="L1908" s="81" t="n">
        <v>2088280</v>
      </c>
      <c r="M1908" s="81" t="n">
        <v>15421108</v>
      </c>
      <c r="N1908" s="81" t="n">
        <v>11.94</v>
      </c>
      <c r="O1908" s="81" t="n">
        <v>2098190</v>
      </c>
      <c r="P1908" s="81" t="n">
        <v>15421112</v>
      </c>
      <c r="Q1908" s="81" t="n">
        <v>11.94</v>
      </c>
      <c r="R1908" s="81" t="s">
        <v>2273</v>
      </c>
      <c r="S1908" s="81"/>
      <c r="T1908" s="81"/>
      <c r="U1908" s="83" t="n">
        <v>46268</v>
      </c>
      <c r="V1908" s="83" t="n">
        <v>46268</v>
      </c>
      <c r="W1908" s="81" t="s">
        <v>2324</v>
      </c>
      <c r="X1908" s="81" t="s">
        <v>876</v>
      </c>
      <c r="Y1908" s="83" t="n">
        <v>46277</v>
      </c>
      <c r="Z1908" s="81" t="s">
        <v>2297</v>
      </c>
      <c r="AA1908" s="81" t="s">
        <v>876</v>
      </c>
      <c r="AB1908" s="81"/>
      <c r="AC1908" s="81"/>
      <c r="AD1908" s="81"/>
      <c r="AE1908" s="83"/>
      <c r="AF1908" s="81"/>
      <c r="AG1908" s="81"/>
      <c r="AH1908" s="81"/>
      <c r="AI1908" s="81"/>
      <c r="AJ1908" s="83"/>
      <c r="AK1908" s="81"/>
      <c r="AL1908" s="81"/>
      <c r="AM1908" s="83"/>
      <c r="AN1908" s="80"/>
      <c r="AO1908" s="82" t="n">
        <f aca="false">IF(E1908="","",(AA1908&lt;&gt;"")+(AG1908&lt;&gt;"")+(AL1908&lt;&gt;""))</f>
        <v>1</v>
      </c>
      <c r="AP1908" s="82" t="str">
        <f aca="false">IF(AL1908&lt;&gt;"",AL1908,IF(AG1908&lt;&gt;"",AG1908,IF(AA1908&lt;&gt;"",AA1908,"")))</f>
        <v>A</v>
      </c>
      <c r="AQ1908" s="84" t="str">
        <f aca="false">IF(E1908="","",IF(U1908="","À SOUDER",IF(X1908="","VT EN ATTENTE",IF(X1908="R","VT REJETÉ – À REPRENDRE",IF(AP1908="","À RADIOGRAPHIER",IF(AP1908="A","ACCEPTÉ",IF(AP1908="NX","NX – RT À REFAIRE",IF(IF(AO1908=1,AD1908,IF(AO1908=2,AI1908,""))="A","RÉPARÉ – À RADIOGRAPHIER",IF(IF(AO1908=1,AD1908,IF(AO1908=2,AI1908,""))="R","VT REJETÉ – À REPRENDRE",IF(OR(AP1908="CO",AP1908="NT"),"COUPE – À RESOUDER","À RÉPARER"))))))))))</f>
        <v>ACCEPTÉ</v>
      </c>
      <c r="AR1908" s="82" t="str">
        <f aca="false">IF(AND(ISNUMBER(U1908),OR(AQ1908="À RADIOGRAPHIER",AQ1908="RÉPARÉ – À RADIOGRAPHIER",AQ1908="NX – RT À REFAIRE",AQ1908="À RÉPARER",AQ1908="COUPE – À RESOUDER",AQ1908="VT REJETÉ – À REPRENDRE")),MAX(0,'PROGRAMME RT'!$C$4-U1908),"")</f>
        <v/>
      </c>
      <c r="AS1908" s="82" t="n">
        <f aca="false">IF(AND(OR(AQ1908="À RADIOGRAPHIER",AQ1908="RÉPARÉ – À RADIOGRAPHIER",AQ1908="NX – RT À REFAIRE"),OR('PROGRAMME RT'!$D$5="TOUTES",B1908='PROGRAMME RT'!$D$5)),1,0)</f>
        <v>0</v>
      </c>
      <c r="AT1908" s="82" t="str">
        <f aca="false">IF(AS1908=1,SUM(AS$7:AS1908),"")</f>
        <v/>
      </c>
      <c r="AU1908" s="82" t="n">
        <f aca="false">IF(AND(OR(AA1908="R",AA1908="NX",AA1908="NT",AA1908="CO"),OR('JOINTS DE RÉPARATION'!$D$5="TOUTES",B1908='JOINTS DE RÉPARATION'!$D$5),OR('JOINTS DE RÉPARATION'!$L$4="TOUS",AQ1908&lt;&gt;"ACCEPTÉ")),1,0)</f>
        <v>0</v>
      </c>
      <c r="AV1908" s="82" t="str">
        <f aca="false">IF(AU1908=1,SUM(AU$7:AU1908),"")</f>
        <v/>
      </c>
      <c r="AW1908" s="82" t="str">
        <f aca="false">IF(E1908="","",B1908&amp;"|"&amp;E1908)</f>
        <v>MFD-ISW → MFD-CPF|JN°1480</v>
      </c>
    </row>
    <row r="1909" customFormat="false" ht="74.6" hidden="false" customHeight="false" outlineLevel="0" collapsed="false">
      <c r="A1909" s="79" t="n">
        <f aca="false">IF(E1909="","",ROW()-6)</f>
        <v>1903</v>
      </c>
      <c r="B1909" s="80" t="s">
        <v>110</v>
      </c>
      <c r="C1909" s="81" t="s">
        <v>2263</v>
      </c>
      <c r="D1909" s="81" t="n">
        <v>17</v>
      </c>
      <c r="E1909" s="81" t="s">
        <v>2329</v>
      </c>
      <c r="F1909" s="82" t="str">
        <f aca="false">IF(E1909="","",IF(LEFT(E1909,2)="DJ","DJ","JN"))</f>
        <v>JN</v>
      </c>
      <c r="G1909" s="81" t="s">
        <v>1504</v>
      </c>
      <c r="H1909" s="81" t="s">
        <v>871</v>
      </c>
      <c r="I1909" s="81" t="n">
        <v>9.53</v>
      </c>
      <c r="J1909" s="81" t="s">
        <v>872</v>
      </c>
      <c r="K1909" s="81" t="s">
        <v>879</v>
      </c>
      <c r="L1909" s="81" t="n">
        <v>2098190</v>
      </c>
      <c r="M1909" s="81" t="n">
        <v>15421112</v>
      </c>
      <c r="N1909" s="81" t="n">
        <v>11.94</v>
      </c>
      <c r="O1909" s="81" t="n">
        <v>2086090</v>
      </c>
      <c r="P1909" s="81" t="n">
        <v>15421107</v>
      </c>
      <c r="Q1909" s="81" t="n">
        <v>11.94</v>
      </c>
      <c r="R1909" s="81" t="s">
        <v>2273</v>
      </c>
      <c r="S1909" s="81"/>
      <c r="T1909" s="81"/>
      <c r="U1909" s="83" t="n">
        <v>46268</v>
      </c>
      <c r="V1909" s="83" t="n">
        <v>46268</v>
      </c>
      <c r="W1909" s="81" t="s">
        <v>2324</v>
      </c>
      <c r="X1909" s="81" t="s">
        <v>876</v>
      </c>
      <c r="Y1909" s="83" t="n">
        <v>46277</v>
      </c>
      <c r="Z1909" s="81" t="s">
        <v>2330</v>
      </c>
      <c r="AA1909" s="81" t="s">
        <v>876</v>
      </c>
      <c r="AB1909" s="81"/>
      <c r="AC1909" s="81"/>
      <c r="AD1909" s="81"/>
      <c r="AE1909" s="83"/>
      <c r="AF1909" s="81"/>
      <c r="AG1909" s="81"/>
      <c r="AH1909" s="81"/>
      <c r="AI1909" s="81"/>
      <c r="AJ1909" s="83"/>
      <c r="AK1909" s="81"/>
      <c r="AL1909" s="81"/>
      <c r="AM1909" s="83"/>
      <c r="AN1909" s="80"/>
      <c r="AO1909" s="82" t="n">
        <f aca="false">IF(E1909="","",(AA1909&lt;&gt;"")+(AG1909&lt;&gt;"")+(AL1909&lt;&gt;""))</f>
        <v>1</v>
      </c>
      <c r="AP1909" s="82" t="str">
        <f aca="false">IF(AL1909&lt;&gt;"",AL1909,IF(AG1909&lt;&gt;"",AG1909,IF(AA1909&lt;&gt;"",AA1909,"")))</f>
        <v>A</v>
      </c>
      <c r="AQ1909" s="84" t="str">
        <f aca="false">IF(E1909="","",IF(U1909="","À SOUDER",IF(X1909="","VT EN ATTENTE",IF(X1909="R","VT REJETÉ – À REPRENDRE",IF(AP1909="","À RADIOGRAPHIER",IF(AP1909="A","ACCEPTÉ",IF(AP1909="NX","NX – RT À REFAIRE",IF(IF(AO1909=1,AD1909,IF(AO1909=2,AI1909,""))="A","RÉPARÉ – À RADIOGRAPHIER",IF(IF(AO1909=1,AD1909,IF(AO1909=2,AI1909,""))="R","VT REJETÉ – À REPRENDRE",IF(OR(AP1909="CO",AP1909="NT"),"COUPE – À RESOUDER","À RÉPARER"))))))))))</f>
        <v>ACCEPTÉ</v>
      </c>
      <c r="AR1909" s="82" t="str">
        <f aca="false">IF(AND(ISNUMBER(U1909),OR(AQ1909="À RADIOGRAPHIER",AQ1909="RÉPARÉ – À RADIOGRAPHIER",AQ1909="NX – RT À REFAIRE",AQ1909="À RÉPARER",AQ1909="COUPE – À RESOUDER",AQ1909="VT REJETÉ – À REPRENDRE")),MAX(0,'PROGRAMME RT'!$C$4-U1909),"")</f>
        <v/>
      </c>
      <c r="AS1909" s="82" t="n">
        <f aca="false">IF(AND(OR(AQ1909="À RADIOGRAPHIER",AQ1909="RÉPARÉ – À RADIOGRAPHIER",AQ1909="NX – RT À REFAIRE"),OR('PROGRAMME RT'!$D$5="TOUTES",B1909='PROGRAMME RT'!$D$5)),1,0)</f>
        <v>0</v>
      </c>
      <c r="AT1909" s="82" t="str">
        <f aca="false">IF(AS1909=1,SUM(AS$7:AS1909),"")</f>
        <v/>
      </c>
      <c r="AU1909" s="82" t="n">
        <f aca="false">IF(AND(OR(AA1909="R",AA1909="NX",AA1909="NT",AA1909="CO"),OR('JOINTS DE RÉPARATION'!$D$5="TOUTES",B1909='JOINTS DE RÉPARATION'!$D$5),OR('JOINTS DE RÉPARATION'!$L$4="TOUS",AQ1909&lt;&gt;"ACCEPTÉ")),1,0)</f>
        <v>0</v>
      </c>
      <c r="AV1909" s="82" t="str">
        <f aca="false">IF(AU1909=1,SUM(AU$7:AU1909),"")</f>
        <v/>
      </c>
      <c r="AW1909" s="82" t="str">
        <f aca="false">IF(E1909="","",B1909&amp;"|"&amp;E1909)</f>
        <v>MFD-ISW → MFD-CPF|JN°1481</v>
      </c>
    </row>
    <row r="1910" customFormat="false" ht="74.6" hidden="false" customHeight="false" outlineLevel="0" collapsed="false">
      <c r="A1910" s="79" t="n">
        <f aca="false">IF(E1910="","",ROW()-6)</f>
        <v>1904</v>
      </c>
      <c r="B1910" s="80" t="s">
        <v>110</v>
      </c>
      <c r="C1910" s="81" t="s">
        <v>2263</v>
      </c>
      <c r="D1910" s="81" t="n">
        <v>17</v>
      </c>
      <c r="E1910" s="81" t="s">
        <v>2331</v>
      </c>
      <c r="F1910" s="82" t="str">
        <f aca="false">IF(E1910="","",IF(LEFT(E1910,2)="DJ","DJ","JN"))</f>
        <v>JN</v>
      </c>
      <c r="G1910" s="81" t="s">
        <v>1504</v>
      </c>
      <c r="H1910" s="81" t="s">
        <v>871</v>
      </c>
      <c r="I1910" s="81" t="n">
        <v>9.53</v>
      </c>
      <c r="J1910" s="81" t="s">
        <v>872</v>
      </c>
      <c r="K1910" s="81" t="s">
        <v>879</v>
      </c>
      <c r="L1910" s="81" t="n">
        <v>2086090</v>
      </c>
      <c r="M1910" s="81" t="n">
        <v>15421107</v>
      </c>
      <c r="N1910" s="81" t="n">
        <v>11.94</v>
      </c>
      <c r="O1910" s="81" t="n">
        <v>2080690</v>
      </c>
      <c r="P1910" s="81" t="n">
        <v>15421103</v>
      </c>
      <c r="Q1910" s="81" t="n">
        <v>11.94</v>
      </c>
      <c r="R1910" s="81" t="s">
        <v>2273</v>
      </c>
      <c r="S1910" s="81"/>
      <c r="T1910" s="81"/>
      <c r="U1910" s="83" t="n">
        <v>46268</v>
      </c>
      <c r="V1910" s="83" t="n">
        <v>46268</v>
      </c>
      <c r="W1910" s="81" t="s">
        <v>2324</v>
      </c>
      <c r="X1910" s="81" t="s">
        <v>876</v>
      </c>
      <c r="Y1910" s="83" t="n">
        <v>46277</v>
      </c>
      <c r="Z1910" s="81" t="s">
        <v>2330</v>
      </c>
      <c r="AA1910" s="81" t="s">
        <v>876</v>
      </c>
      <c r="AB1910" s="81"/>
      <c r="AC1910" s="81"/>
      <c r="AD1910" s="81"/>
      <c r="AE1910" s="83"/>
      <c r="AF1910" s="81"/>
      <c r="AG1910" s="81"/>
      <c r="AH1910" s="81"/>
      <c r="AI1910" s="81"/>
      <c r="AJ1910" s="83"/>
      <c r="AK1910" s="81"/>
      <c r="AL1910" s="81"/>
      <c r="AM1910" s="83"/>
      <c r="AN1910" s="80"/>
      <c r="AO1910" s="82" t="n">
        <f aca="false">IF(E1910="","",(AA1910&lt;&gt;"")+(AG1910&lt;&gt;"")+(AL1910&lt;&gt;""))</f>
        <v>1</v>
      </c>
      <c r="AP1910" s="82" t="str">
        <f aca="false">IF(AL1910&lt;&gt;"",AL1910,IF(AG1910&lt;&gt;"",AG1910,IF(AA1910&lt;&gt;"",AA1910,"")))</f>
        <v>A</v>
      </c>
      <c r="AQ1910" s="84" t="str">
        <f aca="false">IF(E1910="","",IF(U1910="","À SOUDER",IF(X1910="","VT EN ATTENTE",IF(X1910="R","VT REJETÉ – À REPRENDRE",IF(AP1910="","À RADIOGRAPHIER",IF(AP1910="A","ACCEPTÉ",IF(AP1910="NX","NX – RT À REFAIRE",IF(IF(AO1910=1,AD1910,IF(AO1910=2,AI1910,""))="A","RÉPARÉ – À RADIOGRAPHIER",IF(IF(AO1910=1,AD1910,IF(AO1910=2,AI1910,""))="R","VT REJETÉ – À REPRENDRE",IF(OR(AP1910="CO",AP1910="NT"),"COUPE – À RESOUDER","À RÉPARER"))))))))))</f>
        <v>ACCEPTÉ</v>
      </c>
      <c r="AR1910" s="82" t="str">
        <f aca="false">IF(AND(ISNUMBER(U1910),OR(AQ1910="À RADIOGRAPHIER",AQ1910="RÉPARÉ – À RADIOGRAPHIER",AQ1910="NX – RT À REFAIRE",AQ1910="À RÉPARER",AQ1910="COUPE – À RESOUDER",AQ1910="VT REJETÉ – À REPRENDRE")),MAX(0,'PROGRAMME RT'!$C$4-U1910),"")</f>
        <v/>
      </c>
      <c r="AS1910" s="82" t="n">
        <f aca="false">IF(AND(OR(AQ1910="À RADIOGRAPHIER",AQ1910="RÉPARÉ – À RADIOGRAPHIER",AQ1910="NX – RT À REFAIRE"),OR('PROGRAMME RT'!$D$5="TOUTES",B1910='PROGRAMME RT'!$D$5)),1,0)</f>
        <v>0</v>
      </c>
      <c r="AT1910" s="82" t="str">
        <f aca="false">IF(AS1910=1,SUM(AS$7:AS1910),"")</f>
        <v/>
      </c>
      <c r="AU1910" s="82" t="n">
        <f aca="false">IF(AND(OR(AA1910="R",AA1910="NX",AA1910="NT",AA1910="CO"),OR('JOINTS DE RÉPARATION'!$D$5="TOUTES",B1910='JOINTS DE RÉPARATION'!$D$5),OR('JOINTS DE RÉPARATION'!$L$4="TOUS",AQ1910&lt;&gt;"ACCEPTÉ")),1,0)</f>
        <v>0</v>
      </c>
      <c r="AV1910" s="82" t="str">
        <f aca="false">IF(AU1910=1,SUM(AU$7:AU1910),"")</f>
        <v/>
      </c>
      <c r="AW1910" s="82" t="str">
        <f aca="false">IF(E1910="","",B1910&amp;"|"&amp;E1910)</f>
        <v>MFD-ISW → MFD-CPF|JN°1482</v>
      </c>
    </row>
    <row r="1911" customFormat="false" ht="74.6" hidden="false" customHeight="false" outlineLevel="0" collapsed="false">
      <c r="A1911" s="79" t="n">
        <f aca="false">IF(E1911="","",ROW()-6)</f>
        <v>1905</v>
      </c>
      <c r="B1911" s="80" t="s">
        <v>110</v>
      </c>
      <c r="C1911" s="81" t="s">
        <v>2263</v>
      </c>
      <c r="D1911" s="81" t="n">
        <v>17</v>
      </c>
      <c r="E1911" s="81" t="s">
        <v>2332</v>
      </c>
      <c r="F1911" s="82" t="str">
        <f aca="false">IF(E1911="","",IF(LEFT(E1911,2)="DJ","DJ","JN"))</f>
        <v>JN</v>
      </c>
      <c r="G1911" s="81" t="s">
        <v>1504</v>
      </c>
      <c r="H1911" s="81" t="s">
        <v>871</v>
      </c>
      <c r="I1911" s="81" t="n">
        <v>9.53</v>
      </c>
      <c r="J1911" s="81" t="s">
        <v>872</v>
      </c>
      <c r="K1911" s="81" t="s">
        <v>879</v>
      </c>
      <c r="L1911" s="81" t="n">
        <v>2080690</v>
      </c>
      <c r="M1911" s="81" t="n">
        <v>15421103</v>
      </c>
      <c r="N1911" s="81" t="n">
        <v>11.94</v>
      </c>
      <c r="O1911" s="81" t="n">
        <v>2083230</v>
      </c>
      <c r="P1911" s="81" t="n">
        <v>15421119</v>
      </c>
      <c r="Q1911" s="81" t="n">
        <v>11.94</v>
      </c>
      <c r="R1911" s="81" t="s">
        <v>2273</v>
      </c>
      <c r="S1911" s="81"/>
      <c r="T1911" s="81"/>
      <c r="U1911" s="83" t="n">
        <v>46268</v>
      </c>
      <c r="V1911" s="83" t="n">
        <v>46268</v>
      </c>
      <c r="W1911" s="81" t="s">
        <v>2324</v>
      </c>
      <c r="X1911" s="81" t="s">
        <v>876</v>
      </c>
      <c r="Y1911" s="83" t="n">
        <v>46277</v>
      </c>
      <c r="Z1911" s="81" t="s">
        <v>2330</v>
      </c>
      <c r="AA1911" s="81" t="s">
        <v>876</v>
      </c>
      <c r="AB1911" s="81"/>
      <c r="AC1911" s="81"/>
      <c r="AD1911" s="81"/>
      <c r="AE1911" s="83"/>
      <c r="AF1911" s="81"/>
      <c r="AG1911" s="81"/>
      <c r="AH1911" s="81"/>
      <c r="AI1911" s="81"/>
      <c r="AJ1911" s="83"/>
      <c r="AK1911" s="81"/>
      <c r="AL1911" s="81"/>
      <c r="AM1911" s="83"/>
      <c r="AN1911" s="80"/>
      <c r="AO1911" s="82" t="n">
        <f aca="false">IF(E1911="","",(AA1911&lt;&gt;"")+(AG1911&lt;&gt;"")+(AL1911&lt;&gt;""))</f>
        <v>1</v>
      </c>
      <c r="AP1911" s="82" t="str">
        <f aca="false">IF(AL1911&lt;&gt;"",AL1911,IF(AG1911&lt;&gt;"",AG1911,IF(AA1911&lt;&gt;"",AA1911,"")))</f>
        <v>A</v>
      </c>
      <c r="AQ1911" s="84" t="str">
        <f aca="false">IF(E1911="","",IF(U1911="","À SOUDER",IF(X1911="","VT EN ATTENTE",IF(X1911="R","VT REJETÉ – À REPRENDRE",IF(AP1911="","À RADIOGRAPHIER",IF(AP1911="A","ACCEPTÉ",IF(AP1911="NX","NX – RT À REFAIRE",IF(IF(AO1911=1,AD1911,IF(AO1911=2,AI1911,""))="A","RÉPARÉ – À RADIOGRAPHIER",IF(IF(AO1911=1,AD1911,IF(AO1911=2,AI1911,""))="R","VT REJETÉ – À REPRENDRE",IF(OR(AP1911="CO",AP1911="NT"),"COUPE – À RESOUDER","À RÉPARER"))))))))))</f>
        <v>ACCEPTÉ</v>
      </c>
      <c r="AR1911" s="82" t="str">
        <f aca="false">IF(AND(ISNUMBER(U1911),OR(AQ1911="À RADIOGRAPHIER",AQ1911="RÉPARÉ – À RADIOGRAPHIER",AQ1911="NX – RT À REFAIRE",AQ1911="À RÉPARER",AQ1911="COUPE – À RESOUDER",AQ1911="VT REJETÉ – À REPRENDRE")),MAX(0,'PROGRAMME RT'!$C$4-U1911),"")</f>
        <v/>
      </c>
      <c r="AS1911" s="82" t="n">
        <f aca="false">IF(AND(OR(AQ1911="À RADIOGRAPHIER",AQ1911="RÉPARÉ – À RADIOGRAPHIER",AQ1911="NX – RT À REFAIRE"),OR('PROGRAMME RT'!$D$5="TOUTES",B1911='PROGRAMME RT'!$D$5)),1,0)</f>
        <v>0</v>
      </c>
      <c r="AT1911" s="82" t="str">
        <f aca="false">IF(AS1911=1,SUM(AS$7:AS1911),"")</f>
        <v/>
      </c>
      <c r="AU1911" s="82" t="n">
        <f aca="false">IF(AND(OR(AA1911="R",AA1911="NX",AA1911="NT",AA1911="CO"),OR('JOINTS DE RÉPARATION'!$D$5="TOUTES",B1911='JOINTS DE RÉPARATION'!$D$5),OR('JOINTS DE RÉPARATION'!$L$4="TOUS",AQ1911&lt;&gt;"ACCEPTÉ")),1,0)</f>
        <v>0</v>
      </c>
      <c r="AV1911" s="82" t="str">
        <f aca="false">IF(AU1911=1,SUM(AU$7:AU1911),"")</f>
        <v/>
      </c>
      <c r="AW1911" s="82" t="str">
        <f aca="false">IF(E1911="","",B1911&amp;"|"&amp;E1911)</f>
        <v>MFD-ISW → MFD-CPF|JN°1483</v>
      </c>
    </row>
    <row r="1912" customFormat="false" ht="74.6" hidden="false" customHeight="false" outlineLevel="0" collapsed="false">
      <c r="A1912" s="79" t="n">
        <f aca="false">IF(E1912="","",ROW()-6)</f>
        <v>1906</v>
      </c>
      <c r="B1912" s="80" t="s">
        <v>110</v>
      </c>
      <c r="C1912" s="81" t="s">
        <v>2263</v>
      </c>
      <c r="D1912" s="81" t="n">
        <v>17</v>
      </c>
      <c r="E1912" s="81" t="s">
        <v>2333</v>
      </c>
      <c r="F1912" s="82" t="str">
        <f aca="false">IF(E1912="","",IF(LEFT(E1912,2)="DJ","DJ","JN"))</f>
        <v>JN</v>
      </c>
      <c r="G1912" s="81" t="s">
        <v>1504</v>
      </c>
      <c r="H1912" s="81" t="s">
        <v>871</v>
      </c>
      <c r="I1912" s="81" t="n">
        <v>9.53</v>
      </c>
      <c r="J1912" s="81" t="s">
        <v>872</v>
      </c>
      <c r="K1912" s="81" t="s">
        <v>879</v>
      </c>
      <c r="L1912" s="81" t="n">
        <v>2083230</v>
      </c>
      <c r="M1912" s="81" t="n">
        <v>15421119</v>
      </c>
      <c r="N1912" s="81" t="n">
        <v>11.94</v>
      </c>
      <c r="O1912" s="81" t="n">
        <v>2088390</v>
      </c>
      <c r="P1912" s="81" t="n">
        <v>15421108</v>
      </c>
      <c r="Q1912" s="81" t="n">
        <v>11.94</v>
      </c>
      <c r="R1912" s="81" t="s">
        <v>2273</v>
      </c>
      <c r="S1912" s="81"/>
      <c r="T1912" s="81"/>
      <c r="U1912" s="83" t="n">
        <v>46268</v>
      </c>
      <c r="V1912" s="83" t="n">
        <v>46268</v>
      </c>
      <c r="W1912" s="81" t="s">
        <v>2324</v>
      </c>
      <c r="X1912" s="81" t="s">
        <v>876</v>
      </c>
      <c r="Y1912" s="83" t="n">
        <v>46277</v>
      </c>
      <c r="Z1912" s="81" t="s">
        <v>2330</v>
      </c>
      <c r="AA1912" s="81" t="s">
        <v>876</v>
      </c>
      <c r="AB1912" s="81"/>
      <c r="AC1912" s="81"/>
      <c r="AD1912" s="81"/>
      <c r="AE1912" s="83"/>
      <c r="AF1912" s="81"/>
      <c r="AG1912" s="81"/>
      <c r="AH1912" s="81"/>
      <c r="AI1912" s="81"/>
      <c r="AJ1912" s="83"/>
      <c r="AK1912" s="81"/>
      <c r="AL1912" s="81"/>
      <c r="AM1912" s="83"/>
      <c r="AN1912" s="80"/>
      <c r="AO1912" s="82" t="n">
        <f aca="false">IF(E1912="","",(AA1912&lt;&gt;"")+(AG1912&lt;&gt;"")+(AL1912&lt;&gt;""))</f>
        <v>1</v>
      </c>
      <c r="AP1912" s="82" t="str">
        <f aca="false">IF(AL1912&lt;&gt;"",AL1912,IF(AG1912&lt;&gt;"",AG1912,IF(AA1912&lt;&gt;"",AA1912,"")))</f>
        <v>A</v>
      </c>
      <c r="AQ1912" s="84" t="str">
        <f aca="false">IF(E1912="","",IF(U1912="","À SOUDER",IF(X1912="","VT EN ATTENTE",IF(X1912="R","VT REJETÉ – À REPRENDRE",IF(AP1912="","À RADIOGRAPHIER",IF(AP1912="A","ACCEPTÉ",IF(AP1912="NX","NX – RT À REFAIRE",IF(IF(AO1912=1,AD1912,IF(AO1912=2,AI1912,""))="A","RÉPARÉ – À RADIOGRAPHIER",IF(IF(AO1912=1,AD1912,IF(AO1912=2,AI1912,""))="R","VT REJETÉ – À REPRENDRE",IF(OR(AP1912="CO",AP1912="NT"),"COUPE – À RESOUDER","À RÉPARER"))))))))))</f>
        <v>ACCEPTÉ</v>
      </c>
      <c r="AR1912" s="82" t="str">
        <f aca="false">IF(AND(ISNUMBER(U1912),OR(AQ1912="À RADIOGRAPHIER",AQ1912="RÉPARÉ – À RADIOGRAPHIER",AQ1912="NX – RT À REFAIRE",AQ1912="À RÉPARER",AQ1912="COUPE – À RESOUDER",AQ1912="VT REJETÉ – À REPRENDRE")),MAX(0,'PROGRAMME RT'!$C$4-U1912),"")</f>
        <v/>
      </c>
      <c r="AS1912" s="82" t="n">
        <f aca="false">IF(AND(OR(AQ1912="À RADIOGRAPHIER",AQ1912="RÉPARÉ – À RADIOGRAPHIER",AQ1912="NX – RT À REFAIRE"),OR('PROGRAMME RT'!$D$5="TOUTES",B1912='PROGRAMME RT'!$D$5)),1,0)</f>
        <v>0</v>
      </c>
      <c r="AT1912" s="82" t="str">
        <f aca="false">IF(AS1912=1,SUM(AS$7:AS1912),"")</f>
        <v/>
      </c>
      <c r="AU1912" s="82" t="n">
        <f aca="false">IF(AND(OR(AA1912="R",AA1912="NX",AA1912="NT",AA1912="CO"),OR('JOINTS DE RÉPARATION'!$D$5="TOUTES",B1912='JOINTS DE RÉPARATION'!$D$5),OR('JOINTS DE RÉPARATION'!$L$4="TOUS",AQ1912&lt;&gt;"ACCEPTÉ")),1,0)</f>
        <v>0</v>
      </c>
      <c r="AV1912" s="82" t="str">
        <f aca="false">IF(AU1912=1,SUM(AU$7:AU1912),"")</f>
        <v/>
      </c>
      <c r="AW1912" s="82" t="str">
        <f aca="false">IF(E1912="","",B1912&amp;"|"&amp;E1912)</f>
        <v>MFD-ISW → MFD-CPF|JN°1484</v>
      </c>
    </row>
    <row r="1913" customFormat="false" ht="74.6" hidden="false" customHeight="false" outlineLevel="0" collapsed="false">
      <c r="A1913" s="79" t="n">
        <f aca="false">IF(E1913="","",ROW()-6)</f>
        <v>1907</v>
      </c>
      <c r="B1913" s="80" t="s">
        <v>110</v>
      </c>
      <c r="C1913" s="81" t="s">
        <v>2263</v>
      </c>
      <c r="D1913" s="81" t="n">
        <v>17</v>
      </c>
      <c r="E1913" s="81" t="s">
        <v>2334</v>
      </c>
      <c r="F1913" s="82" t="str">
        <f aca="false">IF(E1913="","",IF(LEFT(E1913,2)="DJ","DJ","JN"))</f>
        <v>JN</v>
      </c>
      <c r="G1913" s="81" t="s">
        <v>1504</v>
      </c>
      <c r="H1913" s="81" t="s">
        <v>871</v>
      </c>
      <c r="I1913" s="81" t="n">
        <v>9.53</v>
      </c>
      <c r="J1913" s="81" t="s">
        <v>872</v>
      </c>
      <c r="K1913" s="81" t="s">
        <v>879</v>
      </c>
      <c r="L1913" s="81" t="n">
        <v>2088390</v>
      </c>
      <c r="M1913" s="81" t="n">
        <v>15421108</v>
      </c>
      <c r="N1913" s="81" t="n">
        <v>11.94</v>
      </c>
      <c r="O1913" s="81" t="n">
        <v>2091280</v>
      </c>
      <c r="P1913" s="81" t="n">
        <v>15421111</v>
      </c>
      <c r="Q1913" s="81" t="n">
        <v>11.94</v>
      </c>
      <c r="R1913" s="81" t="s">
        <v>2273</v>
      </c>
      <c r="S1913" s="81"/>
      <c r="T1913" s="81"/>
      <c r="U1913" s="83" t="n">
        <v>46268</v>
      </c>
      <c r="V1913" s="83" t="n">
        <v>46268</v>
      </c>
      <c r="W1913" s="81" t="s">
        <v>2324</v>
      </c>
      <c r="X1913" s="81" t="s">
        <v>876</v>
      </c>
      <c r="Y1913" s="83" t="n">
        <v>46277</v>
      </c>
      <c r="Z1913" s="81" t="s">
        <v>2330</v>
      </c>
      <c r="AA1913" s="81" t="s">
        <v>876</v>
      </c>
      <c r="AB1913" s="81"/>
      <c r="AC1913" s="81"/>
      <c r="AD1913" s="81"/>
      <c r="AE1913" s="83"/>
      <c r="AF1913" s="81"/>
      <c r="AG1913" s="81"/>
      <c r="AH1913" s="81"/>
      <c r="AI1913" s="81"/>
      <c r="AJ1913" s="83"/>
      <c r="AK1913" s="81"/>
      <c r="AL1913" s="81"/>
      <c r="AM1913" s="83"/>
      <c r="AN1913" s="80"/>
      <c r="AO1913" s="82" t="n">
        <f aca="false">IF(E1913="","",(AA1913&lt;&gt;"")+(AG1913&lt;&gt;"")+(AL1913&lt;&gt;""))</f>
        <v>1</v>
      </c>
      <c r="AP1913" s="82" t="str">
        <f aca="false">IF(AL1913&lt;&gt;"",AL1913,IF(AG1913&lt;&gt;"",AG1913,IF(AA1913&lt;&gt;"",AA1913,"")))</f>
        <v>A</v>
      </c>
      <c r="AQ1913" s="84" t="str">
        <f aca="false">IF(E1913="","",IF(U1913="","À SOUDER",IF(X1913="","VT EN ATTENTE",IF(X1913="R","VT REJETÉ – À REPRENDRE",IF(AP1913="","À RADIOGRAPHIER",IF(AP1913="A","ACCEPTÉ",IF(AP1913="NX","NX – RT À REFAIRE",IF(IF(AO1913=1,AD1913,IF(AO1913=2,AI1913,""))="A","RÉPARÉ – À RADIOGRAPHIER",IF(IF(AO1913=1,AD1913,IF(AO1913=2,AI1913,""))="R","VT REJETÉ – À REPRENDRE",IF(OR(AP1913="CO",AP1913="NT"),"COUPE – À RESOUDER","À RÉPARER"))))))))))</f>
        <v>ACCEPTÉ</v>
      </c>
      <c r="AR1913" s="82" t="str">
        <f aca="false">IF(AND(ISNUMBER(U1913),OR(AQ1913="À RADIOGRAPHIER",AQ1913="RÉPARÉ – À RADIOGRAPHIER",AQ1913="NX – RT À REFAIRE",AQ1913="À RÉPARER",AQ1913="COUPE – À RESOUDER",AQ1913="VT REJETÉ – À REPRENDRE")),MAX(0,'PROGRAMME RT'!$C$4-U1913),"")</f>
        <v/>
      </c>
      <c r="AS1913" s="82" t="n">
        <f aca="false">IF(AND(OR(AQ1913="À RADIOGRAPHIER",AQ1913="RÉPARÉ – À RADIOGRAPHIER",AQ1913="NX – RT À REFAIRE"),OR('PROGRAMME RT'!$D$5="TOUTES",B1913='PROGRAMME RT'!$D$5)),1,0)</f>
        <v>0</v>
      </c>
      <c r="AT1913" s="82" t="str">
        <f aca="false">IF(AS1913=1,SUM(AS$7:AS1913),"")</f>
        <v/>
      </c>
      <c r="AU1913" s="82" t="n">
        <f aca="false">IF(AND(OR(AA1913="R",AA1913="NX",AA1913="NT",AA1913="CO"),OR('JOINTS DE RÉPARATION'!$D$5="TOUTES",B1913='JOINTS DE RÉPARATION'!$D$5),OR('JOINTS DE RÉPARATION'!$L$4="TOUS",AQ1913&lt;&gt;"ACCEPTÉ")),1,0)</f>
        <v>0</v>
      </c>
      <c r="AV1913" s="82" t="str">
        <f aca="false">IF(AU1913=1,SUM(AU$7:AU1913),"")</f>
        <v/>
      </c>
      <c r="AW1913" s="82" t="str">
        <f aca="false">IF(E1913="","",B1913&amp;"|"&amp;E1913)</f>
        <v>MFD-ISW → MFD-CPF|JN°1485</v>
      </c>
    </row>
    <row r="1914" customFormat="false" ht="74.6" hidden="false" customHeight="false" outlineLevel="0" collapsed="false">
      <c r="A1914" s="79" t="n">
        <f aca="false">IF(E1914="","",ROW()-6)</f>
        <v>1908</v>
      </c>
      <c r="B1914" s="80" t="s">
        <v>110</v>
      </c>
      <c r="C1914" s="81" t="s">
        <v>2263</v>
      </c>
      <c r="D1914" s="81" t="n">
        <v>17</v>
      </c>
      <c r="E1914" s="81" t="s">
        <v>2335</v>
      </c>
      <c r="F1914" s="82" t="str">
        <f aca="false">IF(E1914="","",IF(LEFT(E1914,2)="DJ","DJ","JN"))</f>
        <v>JN</v>
      </c>
      <c r="G1914" s="81" t="s">
        <v>1504</v>
      </c>
      <c r="H1914" s="81" t="s">
        <v>871</v>
      </c>
      <c r="I1914" s="81" t="n">
        <v>9.53</v>
      </c>
      <c r="J1914" s="81" t="s">
        <v>872</v>
      </c>
      <c r="K1914" s="81" t="s">
        <v>879</v>
      </c>
      <c r="L1914" s="81" t="n">
        <v>2091280</v>
      </c>
      <c r="M1914" s="81" t="n">
        <v>15421111</v>
      </c>
      <c r="N1914" s="81" t="n">
        <v>11.94</v>
      </c>
      <c r="O1914" s="81" t="n">
        <v>2097240</v>
      </c>
      <c r="P1914" s="81" t="n">
        <v>15421112</v>
      </c>
      <c r="Q1914" s="81" t="n">
        <v>11.94</v>
      </c>
      <c r="R1914" s="81" t="s">
        <v>2273</v>
      </c>
      <c r="S1914" s="81"/>
      <c r="T1914" s="81"/>
      <c r="U1914" s="83" t="n">
        <v>46268</v>
      </c>
      <c r="V1914" s="83" t="n">
        <v>46268</v>
      </c>
      <c r="W1914" s="81" t="s">
        <v>2324</v>
      </c>
      <c r="X1914" s="81" t="s">
        <v>876</v>
      </c>
      <c r="Y1914" s="83" t="n">
        <v>46277</v>
      </c>
      <c r="Z1914" s="81" t="s">
        <v>2330</v>
      </c>
      <c r="AA1914" s="81" t="s">
        <v>876</v>
      </c>
      <c r="AB1914" s="81"/>
      <c r="AC1914" s="81"/>
      <c r="AD1914" s="81"/>
      <c r="AE1914" s="83"/>
      <c r="AF1914" s="81"/>
      <c r="AG1914" s="81"/>
      <c r="AH1914" s="81"/>
      <c r="AI1914" s="81"/>
      <c r="AJ1914" s="83"/>
      <c r="AK1914" s="81"/>
      <c r="AL1914" s="81"/>
      <c r="AM1914" s="83"/>
      <c r="AN1914" s="80"/>
      <c r="AO1914" s="82" t="n">
        <f aca="false">IF(E1914="","",(AA1914&lt;&gt;"")+(AG1914&lt;&gt;"")+(AL1914&lt;&gt;""))</f>
        <v>1</v>
      </c>
      <c r="AP1914" s="82" t="str">
        <f aca="false">IF(AL1914&lt;&gt;"",AL1914,IF(AG1914&lt;&gt;"",AG1914,IF(AA1914&lt;&gt;"",AA1914,"")))</f>
        <v>A</v>
      </c>
      <c r="AQ1914" s="84" t="str">
        <f aca="false">IF(E1914="","",IF(U1914="","À SOUDER",IF(X1914="","VT EN ATTENTE",IF(X1914="R","VT REJETÉ – À REPRENDRE",IF(AP1914="","À RADIOGRAPHIER",IF(AP1914="A","ACCEPTÉ",IF(AP1914="NX","NX – RT À REFAIRE",IF(IF(AO1914=1,AD1914,IF(AO1914=2,AI1914,""))="A","RÉPARÉ – À RADIOGRAPHIER",IF(IF(AO1914=1,AD1914,IF(AO1914=2,AI1914,""))="R","VT REJETÉ – À REPRENDRE",IF(OR(AP1914="CO",AP1914="NT"),"COUPE – À RESOUDER","À RÉPARER"))))))))))</f>
        <v>ACCEPTÉ</v>
      </c>
      <c r="AR1914" s="82" t="str">
        <f aca="false">IF(AND(ISNUMBER(U1914),OR(AQ1914="À RADIOGRAPHIER",AQ1914="RÉPARÉ – À RADIOGRAPHIER",AQ1914="NX – RT À REFAIRE",AQ1914="À RÉPARER",AQ1914="COUPE – À RESOUDER",AQ1914="VT REJETÉ – À REPRENDRE")),MAX(0,'PROGRAMME RT'!$C$4-U1914),"")</f>
        <v/>
      </c>
      <c r="AS1914" s="82" t="n">
        <f aca="false">IF(AND(OR(AQ1914="À RADIOGRAPHIER",AQ1914="RÉPARÉ – À RADIOGRAPHIER",AQ1914="NX – RT À REFAIRE"),OR('PROGRAMME RT'!$D$5="TOUTES",B1914='PROGRAMME RT'!$D$5)),1,0)</f>
        <v>0</v>
      </c>
      <c r="AT1914" s="82" t="str">
        <f aca="false">IF(AS1914=1,SUM(AS$7:AS1914),"")</f>
        <v/>
      </c>
      <c r="AU1914" s="82" t="n">
        <f aca="false">IF(AND(OR(AA1914="R",AA1914="NX",AA1914="NT",AA1914="CO"),OR('JOINTS DE RÉPARATION'!$D$5="TOUTES",B1914='JOINTS DE RÉPARATION'!$D$5),OR('JOINTS DE RÉPARATION'!$L$4="TOUS",AQ1914&lt;&gt;"ACCEPTÉ")),1,0)</f>
        <v>0</v>
      </c>
      <c r="AV1914" s="82" t="str">
        <f aca="false">IF(AU1914=1,SUM(AU$7:AU1914),"")</f>
        <v/>
      </c>
      <c r="AW1914" s="82" t="str">
        <f aca="false">IF(E1914="","",B1914&amp;"|"&amp;E1914)</f>
        <v>MFD-ISW → MFD-CPF|JN°1486</v>
      </c>
    </row>
    <row r="1915" customFormat="false" ht="74.6" hidden="false" customHeight="false" outlineLevel="0" collapsed="false">
      <c r="A1915" s="79" t="n">
        <f aca="false">IF(E1915="","",ROW()-6)</f>
        <v>1909</v>
      </c>
      <c r="B1915" s="80" t="s">
        <v>110</v>
      </c>
      <c r="C1915" s="81" t="s">
        <v>2263</v>
      </c>
      <c r="D1915" s="81" t="n">
        <v>17</v>
      </c>
      <c r="E1915" s="81" t="s">
        <v>2336</v>
      </c>
      <c r="F1915" s="82" t="str">
        <f aca="false">IF(E1915="","",IF(LEFT(E1915,2)="DJ","DJ","JN"))</f>
        <v>JN</v>
      </c>
      <c r="G1915" s="81" t="s">
        <v>1504</v>
      </c>
      <c r="H1915" s="81" t="s">
        <v>871</v>
      </c>
      <c r="I1915" s="81" t="n">
        <v>9.53</v>
      </c>
      <c r="J1915" s="81" t="s">
        <v>872</v>
      </c>
      <c r="K1915" s="81" t="s">
        <v>879</v>
      </c>
      <c r="L1915" s="81" t="n">
        <v>2097240</v>
      </c>
      <c r="M1915" s="81" t="n">
        <v>15421112</v>
      </c>
      <c r="N1915" s="81" t="n">
        <v>11.94</v>
      </c>
      <c r="O1915" s="81" t="n">
        <v>2084450</v>
      </c>
      <c r="P1915" s="81" t="n">
        <v>15421106</v>
      </c>
      <c r="Q1915" s="81" t="n">
        <v>11.94</v>
      </c>
      <c r="R1915" s="81" t="s">
        <v>2273</v>
      </c>
      <c r="S1915" s="81"/>
      <c r="T1915" s="81"/>
      <c r="U1915" s="83" t="n">
        <v>46268</v>
      </c>
      <c r="V1915" s="83" t="n">
        <v>46268</v>
      </c>
      <c r="W1915" s="81" t="s">
        <v>2324</v>
      </c>
      <c r="X1915" s="81" t="s">
        <v>876</v>
      </c>
      <c r="Y1915" s="83" t="n">
        <v>46277</v>
      </c>
      <c r="Z1915" s="81" t="s">
        <v>2330</v>
      </c>
      <c r="AA1915" s="81" t="s">
        <v>876</v>
      </c>
      <c r="AB1915" s="81"/>
      <c r="AC1915" s="81"/>
      <c r="AD1915" s="81"/>
      <c r="AE1915" s="83"/>
      <c r="AF1915" s="81"/>
      <c r="AG1915" s="81"/>
      <c r="AH1915" s="81"/>
      <c r="AI1915" s="81"/>
      <c r="AJ1915" s="83"/>
      <c r="AK1915" s="81"/>
      <c r="AL1915" s="81"/>
      <c r="AM1915" s="83"/>
      <c r="AN1915" s="80"/>
      <c r="AO1915" s="82" t="n">
        <f aca="false">IF(E1915="","",(AA1915&lt;&gt;"")+(AG1915&lt;&gt;"")+(AL1915&lt;&gt;""))</f>
        <v>1</v>
      </c>
      <c r="AP1915" s="82" t="str">
        <f aca="false">IF(AL1915&lt;&gt;"",AL1915,IF(AG1915&lt;&gt;"",AG1915,IF(AA1915&lt;&gt;"",AA1915,"")))</f>
        <v>A</v>
      </c>
      <c r="AQ1915" s="84" t="str">
        <f aca="false">IF(E1915="","",IF(U1915="","À SOUDER",IF(X1915="","VT EN ATTENTE",IF(X1915="R","VT REJETÉ – À REPRENDRE",IF(AP1915="","À RADIOGRAPHIER",IF(AP1915="A","ACCEPTÉ",IF(AP1915="NX","NX – RT À REFAIRE",IF(IF(AO1915=1,AD1915,IF(AO1915=2,AI1915,""))="A","RÉPARÉ – À RADIOGRAPHIER",IF(IF(AO1915=1,AD1915,IF(AO1915=2,AI1915,""))="R","VT REJETÉ – À REPRENDRE",IF(OR(AP1915="CO",AP1915="NT"),"COUPE – À RESOUDER","À RÉPARER"))))))))))</f>
        <v>ACCEPTÉ</v>
      </c>
      <c r="AR1915" s="82" t="str">
        <f aca="false">IF(AND(ISNUMBER(U1915),OR(AQ1915="À RADIOGRAPHIER",AQ1915="RÉPARÉ – À RADIOGRAPHIER",AQ1915="NX – RT À REFAIRE",AQ1915="À RÉPARER",AQ1915="COUPE – À RESOUDER",AQ1915="VT REJETÉ – À REPRENDRE")),MAX(0,'PROGRAMME RT'!$C$4-U1915),"")</f>
        <v/>
      </c>
      <c r="AS1915" s="82" t="n">
        <f aca="false">IF(AND(OR(AQ1915="À RADIOGRAPHIER",AQ1915="RÉPARÉ – À RADIOGRAPHIER",AQ1915="NX – RT À REFAIRE"),OR('PROGRAMME RT'!$D$5="TOUTES",B1915='PROGRAMME RT'!$D$5)),1,0)</f>
        <v>0</v>
      </c>
      <c r="AT1915" s="82" t="str">
        <f aca="false">IF(AS1915=1,SUM(AS$7:AS1915),"")</f>
        <v/>
      </c>
      <c r="AU1915" s="82" t="n">
        <f aca="false">IF(AND(OR(AA1915="R",AA1915="NX",AA1915="NT",AA1915="CO"),OR('JOINTS DE RÉPARATION'!$D$5="TOUTES",B1915='JOINTS DE RÉPARATION'!$D$5),OR('JOINTS DE RÉPARATION'!$L$4="TOUS",AQ1915&lt;&gt;"ACCEPTÉ")),1,0)</f>
        <v>0</v>
      </c>
      <c r="AV1915" s="82" t="str">
        <f aca="false">IF(AU1915=1,SUM(AU$7:AU1915),"")</f>
        <v/>
      </c>
      <c r="AW1915" s="82" t="str">
        <f aca="false">IF(E1915="","",B1915&amp;"|"&amp;E1915)</f>
        <v>MFD-ISW → MFD-CPF|JN°1487</v>
      </c>
    </row>
    <row r="1916" customFormat="false" ht="74.6" hidden="false" customHeight="false" outlineLevel="0" collapsed="false">
      <c r="A1916" s="79" t="n">
        <f aca="false">IF(E1916="","",ROW()-6)</f>
        <v>1910</v>
      </c>
      <c r="B1916" s="80" t="s">
        <v>110</v>
      </c>
      <c r="C1916" s="81" t="s">
        <v>2263</v>
      </c>
      <c r="D1916" s="81" t="n">
        <v>17</v>
      </c>
      <c r="E1916" s="81" t="s">
        <v>2337</v>
      </c>
      <c r="F1916" s="82" t="str">
        <f aca="false">IF(E1916="","",IF(LEFT(E1916,2)="DJ","DJ","JN"))</f>
        <v>DJ</v>
      </c>
      <c r="G1916" s="81"/>
      <c r="H1916" s="81" t="s">
        <v>871</v>
      </c>
      <c r="I1916" s="81" t="n">
        <v>9.53</v>
      </c>
      <c r="J1916" s="81" t="s">
        <v>872</v>
      </c>
      <c r="K1916" s="81" t="s">
        <v>873</v>
      </c>
      <c r="L1916" s="81" t="n">
        <v>2084450</v>
      </c>
      <c r="M1916" s="81" t="n">
        <v>15421106</v>
      </c>
      <c r="N1916" s="81" t="n">
        <v>11.94</v>
      </c>
      <c r="O1916" s="81" t="n">
        <v>2098280</v>
      </c>
      <c r="P1916" s="81" t="n">
        <v>15421112</v>
      </c>
      <c r="Q1916" s="81" t="n">
        <v>11.94</v>
      </c>
      <c r="R1916" s="81" t="s">
        <v>920</v>
      </c>
      <c r="S1916" s="81"/>
      <c r="T1916" s="81"/>
      <c r="U1916" s="83" t="n">
        <v>46255</v>
      </c>
      <c r="V1916" s="83" t="n">
        <v>46255</v>
      </c>
      <c r="W1916" s="81" t="s">
        <v>2299</v>
      </c>
      <c r="X1916" s="81" t="s">
        <v>876</v>
      </c>
      <c r="Y1916" s="83" t="n">
        <v>46257</v>
      </c>
      <c r="Z1916" s="81" t="s">
        <v>2300</v>
      </c>
      <c r="AA1916" s="81" t="s">
        <v>876</v>
      </c>
      <c r="AB1916" s="81"/>
      <c r="AC1916" s="81"/>
      <c r="AD1916" s="81"/>
      <c r="AE1916" s="83"/>
      <c r="AF1916" s="81"/>
      <c r="AG1916" s="81"/>
      <c r="AH1916" s="81"/>
      <c r="AI1916" s="81"/>
      <c r="AJ1916" s="83"/>
      <c r="AK1916" s="81"/>
      <c r="AL1916" s="81"/>
      <c r="AM1916" s="83"/>
      <c r="AN1916" s="80"/>
      <c r="AO1916" s="82" t="n">
        <f aca="false">IF(E1916="","",(AA1916&lt;&gt;"")+(AG1916&lt;&gt;"")+(AL1916&lt;&gt;""))</f>
        <v>1</v>
      </c>
      <c r="AP1916" s="82" t="str">
        <f aca="false">IF(AL1916&lt;&gt;"",AL1916,IF(AG1916&lt;&gt;"",AG1916,IF(AA1916&lt;&gt;"",AA1916,"")))</f>
        <v>A</v>
      </c>
      <c r="AQ1916" s="84" t="str">
        <f aca="false">IF(E1916="","",IF(U1916="","À SOUDER",IF(X1916="","VT EN ATTENTE",IF(X1916="R","VT REJETÉ – À REPRENDRE",IF(AP1916="","À RADIOGRAPHIER",IF(AP1916="A","ACCEPTÉ",IF(AP1916="NX","NX – RT À REFAIRE",IF(IF(AO1916=1,AD1916,IF(AO1916=2,AI1916,""))="A","RÉPARÉ – À RADIOGRAPHIER",IF(IF(AO1916=1,AD1916,IF(AO1916=2,AI1916,""))="R","VT REJETÉ – À REPRENDRE",IF(OR(AP1916="CO",AP1916="NT"),"COUPE – À RESOUDER","À RÉPARER"))))))))))</f>
        <v>ACCEPTÉ</v>
      </c>
      <c r="AR1916" s="82" t="str">
        <f aca="false">IF(AND(ISNUMBER(U1916),OR(AQ1916="À RADIOGRAPHIER",AQ1916="RÉPARÉ – À RADIOGRAPHIER",AQ1916="NX – RT À REFAIRE",AQ1916="À RÉPARER",AQ1916="COUPE – À RESOUDER",AQ1916="VT REJETÉ – À REPRENDRE")),MAX(0,'PROGRAMME RT'!$C$4-U1916),"")</f>
        <v/>
      </c>
      <c r="AS1916" s="82" t="n">
        <f aca="false">IF(AND(OR(AQ1916="À RADIOGRAPHIER",AQ1916="RÉPARÉ – À RADIOGRAPHIER",AQ1916="NX – RT À REFAIRE"),OR('PROGRAMME RT'!$D$5="TOUTES",B1916='PROGRAMME RT'!$D$5)),1,0)</f>
        <v>0</v>
      </c>
      <c r="AT1916" s="82" t="str">
        <f aca="false">IF(AS1916=1,SUM(AS$7:AS1916),"")</f>
        <v/>
      </c>
      <c r="AU1916" s="82" t="n">
        <f aca="false">IF(AND(OR(AA1916="R",AA1916="NX",AA1916="NT",AA1916="CO"),OR('JOINTS DE RÉPARATION'!$D$5="TOUTES",B1916='JOINTS DE RÉPARATION'!$D$5),OR('JOINTS DE RÉPARATION'!$L$4="TOUS",AQ1916&lt;&gt;"ACCEPTÉ")),1,0)</f>
        <v>0</v>
      </c>
      <c r="AV1916" s="82" t="str">
        <f aca="false">IF(AU1916=1,SUM(AU$7:AU1916),"")</f>
        <v/>
      </c>
      <c r="AW1916" s="82" t="str">
        <f aca="false">IF(E1916="","",B1916&amp;"|"&amp;E1916)</f>
        <v>MFD-ISW → MFD-CPF|DJ°081</v>
      </c>
    </row>
    <row r="1917" customFormat="false" ht="74.6" hidden="false" customHeight="false" outlineLevel="0" collapsed="false">
      <c r="A1917" s="79" t="n">
        <f aca="false">IF(E1917="","",ROW()-6)</f>
        <v>1911</v>
      </c>
      <c r="B1917" s="80" t="s">
        <v>110</v>
      </c>
      <c r="C1917" s="81" t="s">
        <v>2263</v>
      </c>
      <c r="D1917" s="81" t="n">
        <v>17</v>
      </c>
      <c r="E1917" s="81" t="s">
        <v>2338</v>
      </c>
      <c r="F1917" s="82" t="str">
        <f aca="false">IF(E1917="","",IF(LEFT(E1917,2)="DJ","DJ","JN"))</f>
        <v>JN</v>
      </c>
      <c r="G1917" s="81" t="s">
        <v>1504</v>
      </c>
      <c r="H1917" s="81" t="s">
        <v>871</v>
      </c>
      <c r="I1917" s="81" t="n">
        <v>9.53</v>
      </c>
      <c r="J1917" s="81" t="s">
        <v>872</v>
      </c>
      <c r="K1917" s="81" t="s">
        <v>879</v>
      </c>
      <c r="L1917" s="81" t="n">
        <v>2098280</v>
      </c>
      <c r="M1917" s="81" t="n">
        <v>15421112</v>
      </c>
      <c r="N1917" s="81" t="n">
        <v>11.94</v>
      </c>
      <c r="O1917" s="81" t="n">
        <v>2089070</v>
      </c>
      <c r="P1917" s="81" t="n">
        <v>15421108</v>
      </c>
      <c r="Q1917" s="81" t="n">
        <v>11.94</v>
      </c>
      <c r="R1917" s="81" t="s">
        <v>2273</v>
      </c>
      <c r="S1917" s="81"/>
      <c r="T1917" s="81"/>
      <c r="U1917" s="83" t="n">
        <v>46268</v>
      </c>
      <c r="V1917" s="83" t="n">
        <v>46268</v>
      </c>
      <c r="W1917" s="81" t="s">
        <v>2324</v>
      </c>
      <c r="X1917" s="81" t="s">
        <v>876</v>
      </c>
      <c r="Y1917" s="83" t="n">
        <v>46277</v>
      </c>
      <c r="Z1917" s="81" t="s">
        <v>2330</v>
      </c>
      <c r="AA1917" s="81" t="s">
        <v>876</v>
      </c>
      <c r="AB1917" s="81"/>
      <c r="AC1917" s="81"/>
      <c r="AD1917" s="81"/>
      <c r="AE1917" s="83"/>
      <c r="AF1917" s="81"/>
      <c r="AG1917" s="81"/>
      <c r="AH1917" s="81"/>
      <c r="AI1917" s="81"/>
      <c r="AJ1917" s="83"/>
      <c r="AK1917" s="81"/>
      <c r="AL1917" s="81"/>
      <c r="AM1917" s="83"/>
      <c r="AN1917" s="80"/>
      <c r="AO1917" s="82" t="n">
        <f aca="false">IF(E1917="","",(AA1917&lt;&gt;"")+(AG1917&lt;&gt;"")+(AL1917&lt;&gt;""))</f>
        <v>1</v>
      </c>
      <c r="AP1917" s="82" t="str">
        <f aca="false">IF(AL1917&lt;&gt;"",AL1917,IF(AG1917&lt;&gt;"",AG1917,IF(AA1917&lt;&gt;"",AA1917,"")))</f>
        <v>A</v>
      </c>
      <c r="AQ1917" s="84" t="str">
        <f aca="false">IF(E1917="","",IF(U1917="","À SOUDER",IF(X1917="","VT EN ATTENTE",IF(X1917="R","VT REJETÉ – À REPRENDRE",IF(AP1917="","À RADIOGRAPHIER",IF(AP1917="A","ACCEPTÉ",IF(AP1917="NX","NX – RT À REFAIRE",IF(IF(AO1917=1,AD1917,IF(AO1917=2,AI1917,""))="A","RÉPARÉ – À RADIOGRAPHIER",IF(IF(AO1917=1,AD1917,IF(AO1917=2,AI1917,""))="R","VT REJETÉ – À REPRENDRE",IF(OR(AP1917="CO",AP1917="NT"),"COUPE – À RESOUDER","À RÉPARER"))))))))))</f>
        <v>ACCEPTÉ</v>
      </c>
      <c r="AR1917" s="82" t="str">
        <f aca="false">IF(AND(ISNUMBER(U1917),OR(AQ1917="À RADIOGRAPHIER",AQ1917="RÉPARÉ – À RADIOGRAPHIER",AQ1917="NX – RT À REFAIRE",AQ1917="À RÉPARER",AQ1917="COUPE – À RESOUDER",AQ1917="VT REJETÉ – À REPRENDRE")),MAX(0,'PROGRAMME RT'!$C$4-U1917),"")</f>
        <v/>
      </c>
      <c r="AS1917" s="82" t="n">
        <f aca="false">IF(AND(OR(AQ1917="À RADIOGRAPHIER",AQ1917="RÉPARÉ – À RADIOGRAPHIER",AQ1917="NX – RT À REFAIRE"),OR('PROGRAMME RT'!$D$5="TOUTES",B1917='PROGRAMME RT'!$D$5)),1,0)</f>
        <v>0</v>
      </c>
      <c r="AT1917" s="82" t="str">
        <f aca="false">IF(AS1917=1,SUM(AS$7:AS1917),"")</f>
        <v/>
      </c>
      <c r="AU1917" s="82" t="n">
        <f aca="false">IF(AND(OR(AA1917="R",AA1917="NX",AA1917="NT",AA1917="CO"),OR('JOINTS DE RÉPARATION'!$D$5="TOUTES",B1917='JOINTS DE RÉPARATION'!$D$5),OR('JOINTS DE RÉPARATION'!$L$4="TOUS",AQ1917&lt;&gt;"ACCEPTÉ")),1,0)</f>
        <v>0</v>
      </c>
      <c r="AV1917" s="82" t="str">
        <f aca="false">IF(AU1917=1,SUM(AU$7:AU1917),"")</f>
        <v/>
      </c>
      <c r="AW1917" s="82" t="str">
        <f aca="false">IF(E1917="","",B1917&amp;"|"&amp;E1917)</f>
        <v>MFD-ISW → MFD-CPF|JN°1488</v>
      </c>
    </row>
    <row r="1918" customFormat="false" ht="74.6" hidden="false" customHeight="false" outlineLevel="0" collapsed="false">
      <c r="A1918" s="79" t="n">
        <f aca="false">IF(E1918="","",ROW()-6)</f>
        <v>1912</v>
      </c>
      <c r="B1918" s="80" t="s">
        <v>110</v>
      </c>
      <c r="C1918" s="81" t="s">
        <v>2263</v>
      </c>
      <c r="D1918" s="81" t="n">
        <v>17</v>
      </c>
      <c r="E1918" s="81" t="s">
        <v>2339</v>
      </c>
      <c r="F1918" s="82" t="str">
        <f aca="false">IF(E1918="","",IF(LEFT(E1918,2)="DJ","DJ","JN"))</f>
        <v>DJ</v>
      </c>
      <c r="G1918" s="81"/>
      <c r="H1918" s="81" t="s">
        <v>871</v>
      </c>
      <c r="I1918" s="81" t="n">
        <v>9.53</v>
      </c>
      <c r="J1918" s="81" t="s">
        <v>872</v>
      </c>
      <c r="K1918" s="81" t="s">
        <v>873</v>
      </c>
      <c r="L1918" s="81" t="n">
        <v>2089070</v>
      </c>
      <c r="M1918" s="81" t="n">
        <v>15421108</v>
      </c>
      <c r="N1918" s="81" t="n">
        <v>11.94</v>
      </c>
      <c r="O1918" s="81" t="n">
        <v>2095300</v>
      </c>
      <c r="P1918" s="81" t="n">
        <v>15421111</v>
      </c>
      <c r="Q1918" s="81" t="n">
        <v>11.94</v>
      </c>
      <c r="R1918" s="81" t="s">
        <v>920</v>
      </c>
      <c r="S1918" s="81"/>
      <c r="T1918" s="81"/>
      <c r="U1918" s="83" t="n">
        <v>46252</v>
      </c>
      <c r="V1918" s="83" t="n">
        <v>46252</v>
      </c>
      <c r="W1918" s="81" t="s">
        <v>2275</v>
      </c>
      <c r="X1918" s="81" t="s">
        <v>876</v>
      </c>
      <c r="Y1918" s="83" t="n">
        <v>46257</v>
      </c>
      <c r="Z1918" s="81" t="s">
        <v>1561</v>
      </c>
      <c r="AA1918" s="81" t="s">
        <v>876</v>
      </c>
      <c r="AB1918" s="81"/>
      <c r="AC1918" s="81"/>
      <c r="AD1918" s="81"/>
      <c r="AE1918" s="83"/>
      <c r="AF1918" s="81"/>
      <c r="AG1918" s="81"/>
      <c r="AH1918" s="81"/>
      <c r="AI1918" s="81"/>
      <c r="AJ1918" s="83"/>
      <c r="AK1918" s="81"/>
      <c r="AL1918" s="81"/>
      <c r="AM1918" s="83"/>
      <c r="AN1918" s="80"/>
      <c r="AO1918" s="82" t="n">
        <f aca="false">IF(E1918="","",(AA1918&lt;&gt;"")+(AG1918&lt;&gt;"")+(AL1918&lt;&gt;""))</f>
        <v>1</v>
      </c>
      <c r="AP1918" s="82" t="str">
        <f aca="false">IF(AL1918&lt;&gt;"",AL1918,IF(AG1918&lt;&gt;"",AG1918,IF(AA1918&lt;&gt;"",AA1918,"")))</f>
        <v>A</v>
      </c>
      <c r="AQ1918" s="84" t="str">
        <f aca="false">IF(E1918="","",IF(U1918="","À SOUDER",IF(X1918="","VT EN ATTENTE",IF(X1918="R","VT REJETÉ – À REPRENDRE",IF(AP1918="","À RADIOGRAPHIER",IF(AP1918="A","ACCEPTÉ",IF(AP1918="NX","NX – RT À REFAIRE",IF(IF(AO1918=1,AD1918,IF(AO1918=2,AI1918,""))="A","RÉPARÉ – À RADIOGRAPHIER",IF(IF(AO1918=1,AD1918,IF(AO1918=2,AI1918,""))="R","VT REJETÉ – À REPRENDRE",IF(OR(AP1918="CO",AP1918="NT"),"COUPE – À RESOUDER","À RÉPARER"))))))))))</f>
        <v>ACCEPTÉ</v>
      </c>
      <c r="AR1918" s="82" t="str">
        <f aca="false">IF(AND(ISNUMBER(U1918),OR(AQ1918="À RADIOGRAPHIER",AQ1918="RÉPARÉ – À RADIOGRAPHIER",AQ1918="NX – RT À REFAIRE",AQ1918="À RÉPARER",AQ1918="COUPE – À RESOUDER",AQ1918="VT REJETÉ – À REPRENDRE")),MAX(0,'PROGRAMME RT'!$C$4-U1918),"")</f>
        <v/>
      </c>
      <c r="AS1918" s="82" t="n">
        <f aca="false">IF(AND(OR(AQ1918="À RADIOGRAPHIER",AQ1918="RÉPARÉ – À RADIOGRAPHIER",AQ1918="NX – RT À REFAIRE"),OR('PROGRAMME RT'!$D$5="TOUTES",B1918='PROGRAMME RT'!$D$5)),1,0)</f>
        <v>0</v>
      </c>
      <c r="AT1918" s="82" t="str">
        <f aca="false">IF(AS1918=1,SUM(AS$7:AS1918),"")</f>
        <v/>
      </c>
      <c r="AU1918" s="82" t="n">
        <f aca="false">IF(AND(OR(AA1918="R",AA1918="NX",AA1918="NT",AA1918="CO"),OR('JOINTS DE RÉPARATION'!$D$5="TOUTES",B1918='JOINTS DE RÉPARATION'!$D$5),OR('JOINTS DE RÉPARATION'!$L$4="TOUS",AQ1918&lt;&gt;"ACCEPTÉ")),1,0)</f>
        <v>0</v>
      </c>
      <c r="AV1918" s="82" t="str">
        <f aca="false">IF(AU1918=1,SUM(AU$7:AU1918),"")</f>
        <v/>
      </c>
      <c r="AW1918" s="82" t="str">
        <f aca="false">IF(E1918="","",B1918&amp;"|"&amp;E1918)</f>
        <v>MFD-ISW → MFD-CPF|DJ°050</v>
      </c>
    </row>
    <row r="1919" customFormat="false" ht="74.6" hidden="false" customHeight="false" outlineLevel="0" collapsed="false">
      <c r="A1919" s="79" t="n">
        <f aca="false">IF(E1919="","",ROW()-6)</f>
        <v>1913</v>
      </c>
      <c r="B1919" s="80" t="s">
        <v>110</v>
      </c>
      <c r="C1919" s="81" t="s">
        <v>2263</v>
      </c>
      <c r="D1919" s="81" t="n">
        <v>17</v>
      </c>
      <c r="E1919" s="81" t="s">
        <v>2340</v>
      </c>
      <c r="F1919" s="82" t="str">
        <f aca="false">IF(E1919="","",IF(LEFT(E1919,2)="DJ","DJ","JN"))</f>
        <v>JN</v>
      </c>
      <c r="G1919" s="81" t="s">
        <v>1504</v>
      </c>
      <c r="H1919" s="81" t="s">
        <v>871</v>
      </c>
      <c r="I1919" s="81" t="n">
        <v>9.53</v>
      </c>
      <c r="J1919" s="81" t="s">
        <v>872</v>
      </c>
      <c r="K1919" s="81" t="s">
        <v>879</v>
      </c>
      <c r="L1919" s="81" t="n">
        <v>2095300</v>
      </c>
      <c r="M1919" s="81" t="n">
        <v>15421111</v>
      </c>
      <c r="N1919" s="81" t="n">
        <v>11.94</v>
      </c>
      <c r="O1919" s="81" t="n">
        <v>2094750</v>
      </c>
      <c r="P1919" s="81" t="n">
        <v>15421111</v>
      </c>
      <c r="Q1919" s="81" t="n">
        <v>11.94</v>
      </c>
      <c r="R1919" s="81" t="s">
        <v>2273</v>
      </c>
      <c r="S1919" s="81"/>
      <c r="T1919" s="81"/>
      <c r="U1919" s="83" t="n">
        <v>46268</v>
      </c>
      <c r="V1919" s="83" t="n">
        <v>46268</v>
      </c>
      <c r="W1919" s="81" t="s">
        <v>2324</v>
      </c>
      <c r="X1919" s="81" t="s">
        <v>876</v>
      </c>
      <c r="Y1919" s="83" t="n">
        <v>46277</v>
      </c>
      <c r="Z1919" s="81" t="s">
        <v>2330</v>
      </c>
      <c r="AA1919" s="81" t="s">
        <v>876</v>
      </c>
      <c r="AB1919" s="81"/>
      <c r="AC1919" s="81"/>
      <c r="AD1919" s="81"/>
      <c r="AE1919" s="83"/>
      <c r="AF1919" s="81"/>
      <c r="AG1919" s="81"/>
      <c r="AH1919" s="81"/>
      <c r="AI1919" s="81"/>
      <c r="AJ1919" s="83"/>
      <c r="AK1919" s="81"/>
      <c r="AL1919" s="81"/>
      <c r="AM1919" s="83"/>
      <c r="AN1919" s="80"/>
      <c r="AO1919" s="82" t="n">
        <f aca="false">IF(E1919="","",(AA1919&lt;&gt;"")+(AG1919&lt;&gt;"")+(AL1919&lt;&gt;""))</f>
        <v>1</v>
      </c>
      <c r="AP1919" s="82" t="str">
        <f aca="false">IF(AL1919&lt;&gt;"",AL1919,IF(AG1919&lt;&gt;"",AG1919,IF(AA1919&lt;&gt;"",AA1919,"")))</f>
        <v>A</v>
      </c>
      <c r="AQ1919" s="84" t="str">
        <f aca="false">IF(E1919="","",IF(U1919="","À SOUDER",IF(X1919="","VT EN ATTENTE",IF(X1919="R","VT REJETÉ – À REPRENDRE",IF(AP1919="","À RADIOGRAPHIER",IF(AP1919="A","ACCEPTÉ",IF(AP1919="NX","NX – RT À REFAIRE",IF(IF(AO1919=1,AD1919,IF(AO1919=2,AI1919,""))="A","RÉPARÉ – À RADIOGRAPHIER",IF(IF(AO1919=1,AD1919,IF(AO1919=2,AI1919,""))="R","VT REJETÉ – À REPRENDRE",IF(OR(AP1919="CO",AP1919="NT"),"COUPE – À RESOUDER","À RÉPARER"))))))))))</f>
        <v>ACCEPTÉ</v>
      </c>
      <c r="AR1919" s="82" t="str">
        <f aca="false">IF(AND(ISNUMBER(U1919),OR(AQ1919="À RADIOGRAPHIER",AQ1919="RÉPARÉ – À RADIOGRAPHIER",AQ1919="NX – RT À REFAIRE",AQ1919="À RÉPARER",AQ1919="COUPE – À RESOUDER",AQ1919="VT REJETÉ – À REPRENDRE")),MAX(0,'PROGRAMME RT'!$C$4-U1919),"")</f>
        <v/>
      </c>
      <c r="AS1919" s="82" t="n">
        <f aca="false">IF(AND(OR(AQ1919="À RADIOGRAPHIER",AQ1919="RÉPARÉ – À RADIOGRAPHIER",AQ1919="NX – RT À REFAIRE"),OR('PROGRAMME RT'!$D$5="TOUTES",B1919='PROGRAMME RT'!$D$5)),1,0)</f>
        <v>0</v>
      </c>
      <c r="AT1919" s="82" t="str">
        <f aca="false">IF(AS1919=1,SUM(AS$7:AS1919),"")</f>
        <v/>
      </c>
      <c r="AU1919" s="82" t="n">
        <f aca="false">IF(AND(OR(AA1919="R",AA1919="NX",AA1919="NT",AA1919="CO"),OR('JOINTS DE RÉPARATION'!$D$5="TOUTES",B1919='JOINTS DE RÉPARATION'!$D$5),OR('JOINTS DE RÉPARATION'!$L$4="TOUS",AQ1919&lt;&gt;"ACCEPTÉ")),1,0)</f>
        <v>0</v>
      </c>
      <c r="AV1919" s="82" t="str">
        <f aca="false">IF(AU1919=1,SUM(AU$7:AU1919),"")</f>
        <v/>
      </c>
      <c r="AW1919" s="82" t="str">
        <f aca="false">IF(E1919="","",B1919&amp;"|"&amp;E1919)</f>
        <v>MFD-ISW → MFD-CPF|JN°1489</v>
      </c>
    </row>
    <row r="1920" customFormat="false" ht="74.6" hidden="false" customHeight="false" outlineLevel="0" collapsed="false">
      <c r="A1920" s="79" t="n">
        <f aca="false">IF(E1920="","",ROW()-6)</f>
        <v>1914</v>
      </c>
      <c r="B1920" s="80" t="s">
        <v>110</v>
      </c>
      <c r="C1920" s="81" t="s">
        <v>2263</v>
      </c>
      <c r="D1920" s="81" t="n">
        <v>17</v>
      </c>
      <c r="E1920" s="81" t="s">
        <v>2341</v>
      </c>
      <c r="F1920" s="82" t="str">
        <f aca="false">IF(E1920="","",IF(LEFT(E1920,2)="DJ","DJ","JN"))</f>
        <v>DJ</v>
      </c>
      <c r="G1920" s="81"/>
      <c r="H1920" s="81" t="s">
        <v>871</v>
      </c>
      <c r="I1920" s="81" t="n">
        <v>9.53</v>
      </c>
      <c r="J1920" s="81" t="s">
        <v>872</v>
      </c>
      <c r="K1920" s="81" t="s">
        <v>873</v>
      </c>
      <c r="L1920" s="81" t="n">
        <v>2094750</v>
      </c>
      <c r="M1920" s="81" t="n">
        <v>15421111</v>
      </c>
      <c r="N1920" s="81" t="n">
        <v>11.94</v>
      </c>
      <c r="O1920" s="81" t="n">
        <v>2098060</v>
      </c>
      <c r="P1920" s="81" t="n">
        <v>15421112</v>
      </c>
      <c r="Q1920" s="81" t="n">
        <v>11.94</v>
      </c>
      <c r="R1920" s="81" t="s">
        <v>899</v>
      </c>
      <c r="S1920" s="81"/>
      <c r="T1920" s="81"/>
      <c r="U1920" s="83" t="n">
        <v>46255</v>
      </c>
      <c r="V1920" s="83" t="n">
        <v>46255</v>
      </c>
      <c r="W1920" s="81" t="s">
        <v>2299</v>
      </c>
      <c r="X1920" s="81" t="s">
        <v>876</v>
      </c>
      <c r="Y1920" s="83" t="n">
        <v>46257</v>
      </c>
      <c r="Z1920" s="81" t="s">
        <v>2300</v>
      </c>
      <c r="AA1920" s="81" t="s">
        <v>876</v>
      </c>
      <c r="AB1920" s="81"/>
      <c r="AC1920" s="81"/>
      <c r="AD1920" s="81"/>
      <c r="AE1920" s="83"/>
      <c r="AF1920" s="81"/>
      <c r="AG1920" s="81"/>
      <c r="AH1920" s="81"/>
      <c r="AI1920" s="81"/>
      <c r="AJ1920" s="83"/>
      <c r="AK1920" s="81"/>
      <c r="AL1920" s="81"/>
      <c r="AM1920" s="83"/>
      <c r="AN1920" s="80"/>
      <c r="AO1920" s="82" t="n">
        <f aca="false">IF(E1920="","",(AA1920&lt;&gt;"")+(AG1920&lt;&gt;"")+(AL1920&lt;&gt;""))</f>
        <v>1</v>
      </c>
      <c r="AP1920" s="82" t="str">
        <f aca="false">IF(AL1920&lt;&gt;"",AL1920,IF(AG1920&lt;&gt;"",AG1920,IF(AA1920&lt;&gt;"",AA1920,"")))</f>
        <v>A</v>
      </c>
      <c r="AQ1920" s="84" t="str">
        <f aca="false">IF(E1920="","",IF(U1920="","À SOUDER",IF(X1920="","VT EN ATTENTE",IF(X1920="R","VT REJETÉ – À REPRENDRE",IF(AP1920="","À RADIOGRAPHIER",IF(AP1920="A","ACCEPTÉ",IF(AP1920="NX","NX – RT À REFAIRE",IF(IF(AO1920=1,AD1920,IF(AO1920=2,AI1920,""))="A","RÉPARÉ – À RADIOGRAPHIER",IF(IF(AO1920=1,AD1920,IF(AO1920=2,AI1920,""))="R","VT REJETÉ – À REPRENDRE",IF(OR(AP1920="CO",AP1920="NT"),"COUPE – À RESOUDER","À RÉPARER"))))))))))</f>
        <v>ACCEPTÉ</v>
      </c>
      <c r="AR1920" s="82" t="str">
        <f aca="false">IF(AND(ISNUMBER(U1920),OR(AQ1920="À RADIOGRAPHIER",AQ1920="RÉPARÉ – À RADIOGRAPHIER",AQ1920="NX – RT À REFAIRE",AQ1920="À RÉPARER",AQ1920="COUPE – À RESOUDER",AQ1920="VT REJETÉ – À REPRENDRE")),MAX(0,'PROGRAMME RT'!$C$4-U1920),"")</f>
        <v/>
      </c>
      <c r="AS1920" s="82" t="n">
        <f aca="false">IF(AND(OR(AQ1920="À RADIOGRAPHIER",AQ1920="RÉPARÉ – À RADIOGRAPHIER",AQ1920="NX – RT À REFAIRE"),OR('PROGRAMME RT'!$D$5="TOUTES",B1920='PROGRAMME RT'!$D$5)),1,0)</f>
        <v>0</v>
      </c>
      <c r="AT1920" s="82" t="str">
        <f aca="false">IF(AS1920=1,SUM(AS$7:AS1920),"")</f>
        <v/>
      </c>
      <c r="AU1920" s="82" t="n">
        <f aca="false">IF(AND(OR(AA1920="R",AA1920="NX",AA1920="NT",AA1920="CO"),OR('JOINTS DE RÉPARATION'!$D$5="TOUTES",B1920='JOINTS DE RÉPARATION'!$D$5),OR('JOINTS DE RÉPARATION'!$L$4="TOUS",AQ1920&lt;&gt;"ACCEPTÉ")),1,0)</f>
        <v>0</v>
      </c>
      <c r="AV1920" s="82" t="str">
        <f aca="false">IF(AU1920=1,SUM(AU$7:AU1920),"")</f>
        <v/>
      </c>
      <c r="AW1920" s="82" t="str">
        <f aca="false">IF(E1920="","",B1920&amp;"|"&amp;E1920)</f>
        <v>MFD-ISW → MFD-CPF|DJ°080</v>
      </c>
    </row>
    <row r="1921" customFormat="false" ht="74.6" hidden="false" customHeight="false" outlineLevel="0" collapsed="false">
      <c r="A1921" s="79" t="n">
        <f aca="false">IF(E1921="","",ROW()-6)</f>
        <v>1915</v>
      </c>
      <c r="B1921" s="80" t="s">
        <v>110</v>
      </c>
      <c r="C1921" s="81" t="s">
        <v>2263</v>
      </c>
      <c r="D1921" s="81" t="n">
        <v>18</v>
      </c>
      <c r="E1921" s="81" t="s">
        <v>2342</v>
      </c>
      <c r="F1921" s="82" t="str">
        <f aca="false">IF(E1921="","",IF(LEFT(E1921,2)="DJ","DJ","JN"))</f>
        <v>JN</v>
      </c>
      <c r="G1921" s="81" t="s">
        <v>1504</v>
      </c>
      <c r="H1921" s="81" t="s">
        <v>871</v>
      </c>
      <c r="I1921" s="81" t="n">
        <v>9.53</v>
      </c>
      <c r="J1921" s="81" t="s">
        <v>872</v>
      </c>
      <c r="K1921" s="81" t="s">
        <v>879</v>
      </c>
      <c r="L1921" s="81" t="n">
        <v>2098060</v>
      </c>
      <c r="M1921" s="81" t="n">
        <v>15421112</v>
      </c>
      <c r="N1921" s="81" t="n">
        <v>11.94</v>
      </c>
      <c r="O1921" s="81" t="n">
        <v>2080070</v>
      </c>
      <c r="P1921" s="81" t="n">
        <v>15421103</v>
      </c>
      <c r="Q1921" s="81" t="n">
        <v>11.94</v>
      </c>
      <c r="R1921" s="81" t="s">
        <v>2273</v>
      </c>
      <c r="S1921" s="81"/>
      <c r="T1921" s="81"/>
      <c r="U1921" s="83" t="n">
        <v>46268</v>
      </c>
      <c r="V1921" s="83" t="n">
        <v>46268</v>
      </c>
      <c r="W1921" s="81" t="s">
        <v>2324</v>
      </c>
      <c r="X1921" s="81" t="s">
        <v>876</v>
      </c>
      <c r="Y1921" s="83" t="n">
        <v>46277</v>
      </c>
      <c r="Z1921" s="81" t="s">
        <v>2330</v>
      </c>
      <c r="AA1921" s="81" t="s">
        <v>876</v>
      </c>
      <c r="AB1921" s="81"/>
      <c r="AC1921" s="81"/>
      <c r="AD1921" s="81"/>
      <c r="AE1921" s="83"/>
      <c r="AF1921" s="81"/>
      <c r="AG1921" s="81"/>
      <c r="AH1921" s="81"/>
      <c r="AI1921" s="81"/>
      <c r="AJ1921" s="83"/>
      <c r="AK1921" s="81"/>
      <c r="AL1921" s="81"/>
      <c r="AM1921" s="83"/>
      <c r="AN1921" s="80"/>
      <c r="AO1921" s="82" t="n">
        <f aca="false">IF(E1921="","",(AA1921&lt;&gt;"")+(AG1921&lt;&gt;"")+(AL1921&lt;&gt;""))</f>
        <v>1</v>
      </c>
      <c r="AP1921" s="82" t="str">
        <f aca="false">IF(AL1921&lt;&gt;"",AL1921,IF(AG1921&lt;&gt;"",AG1921,IF(AA1921&lt;&gt;"",AA1921,"")))</f>
        <v>A</v>
      </c>
      <c r="AQ1921" s="84" t="str">
        <f aca="false">IF(E1921="","",IF(U1921="","À SOUDER",IF(X1921="","VT EN ATTENTE",IF(X1921="R","VT REJETÉ – À REPRENDRE",IF(AP1921="","À RADIOGRAPHIER",IF(AP1921="A","ACCEPTÉ",IF(AP1921="NX","NX – RT À REFAIRE",IF(IF(AO1921=1,AD1921,IF(AO1921=2,AI1921,""))="A","RÉPARÉ – À RADIOGRAPHIER",IF(IF(AO1921=1,AD1921,IF(AO1921=2,AI1921,""))="R","VT REJETÉ – À REPRENDRE",IF(OR(AP1921="CO",AP1921="NT"),"COUPE – À RESOUDER","À RÉPARER"))))))))))</f>
        <v>ACCEPTÉ</v>
      </c>
      <c r="AR1921" s="82" t="str">
        <f aca="false">IF(AND(ISNUMBER(U1921),OR(AQ1921="À RADIOGRAPHIER",AQ1921="RÉPARÉ – À RADIOGRAPHIER",AQ1921="NX – RT À REFAIRE",AQ1921="À RÉPARER",AQ1921="COUPE – À RESOUDER",AQ1921="VT REJETÉ – À REPRENDRE")),MAX(0,'PROGRAMME RT'!$C$4-U1921),"")</f>
        <v/>
      </c>
      <c r="AS1921" s="82" t="n">
        <f aca="false">IF(AND(OR(AQ1921="À RADIOGRAPHIER",AQ1921="RÉPARÉ – À RADIOGRAPHIER",AQ1921="NX – RT À REFAIRE"),OR('PROGRAMME RT'!$D$5="TOUTES",B1921='PROGRAMME RT'!$D$5)),1,0)</f>
        <v>0</v>
      </c>
      <c r="AT1921" s="82" t="str">
        <f aca="false">IF(AS1921=1,SUM(AS$7:AS1921),"")</f>
        <v/>
      </c>
      <c r="AU1921" s="82" t="n">
        <f aca="false">IF(AND(OR(AA1921="R",AA1921="NX",AA1921="NT",AA1921="CO"),OR('JOINTS DE RÉPARATION'!$D$5="TOUTES",B1921='JOINTS DE RÉPARATION'!$D$5),OR('JOINTS DE RÉPARATION'!$L$4="TOUS",AQ1921&lt;&gt;"ACCEPTÉ")),1,0)</f>
        <v>0</v>
      </c>
      <c r="AV1921" s="82" t="str">
        <f aca="false">IF(AU1921=1,SUM(AU$7:AU1921),"")</f>
        <v/>
      </c>
      <c r="AW1921" s="82" t="str">
        <f aca="false">IF(E1921="","",B1921&amp;"|"&amp;E1921)</f>
        <v>MFD-ISW → MFD-CPF|JN°1490</v>
      </c>
    </row>
    <row r="1922" customFormat="false" ht="74.6" hidden="false" customHeight="false" outlineLevel="0" collapsed="false">
      <c r="A1922" s="79" t="n">
        <f aca="false">IF(E1922="","",ROW()-6)</f>
        <v>1916</v>
      </c>
      <c r="B1922" s="80" t="s">
        <v>110</v>
      </c>
      <c r="C1922" s="81" t="s">
        <v>2263</v>
      </c>
      <c r="D1922" s="81" t="n">
        <v>18</v>
      </c>
      <c r="E1922" s="81" t="s">
        <v>2343</v>
      </c>
      <c r="F1922" s="82" t="str">
        <f aca="false">IF(E1922="","",IF(LEFT(E1922,2)="DJ","DJ","JN"))</f>
        <v>DJ</v>
      </c>
      <c r="G1922" s="81"/>
      <c r="H1922" s="81" t="s">
        <v>871</v>
      </c>
      <c r="I1922" s="81" t="n">
        <v>9.53</v>
      </c>
      <c r="J1922" s="81" t="s">
        <v>872</v>
      </c>
      <c r="K1922" s="81" t="s">
        <v>873</v>
      </c>
      <c r="L1922" s="81" t="n">
        <v>2080070</v>
      </c>
      <c r="M1922" s="81" t="n">
        <v>15421103</v>
      </c>
      <c r="N1922" s="81" t="n">
        <v>11.94</v>
      </c>
      <c r="O1922" s="81" t="n">
        <v>2081170</v>
      </c>
      <c r="P1922" s="81" t="n">
        <v>15421110</v>
      </c>
      <c r="Q1922" s="81" t="n">
        <v>11.94</v>
      </c>
      <c r="R1922" s="81" t="s">
        <v>1517</v>
      </c>
      <c r="S1922" s="81"/>
      <c r="T1922" s="81"/>
      <c r="U1922" s="83" t="n">
        <v>46254</v>
      </c>
      <c r="V1922" s="83" t="n">
        <v>46254</v>
      </c>
      <c r="W1922" s="81" t="s">
        <v>1578</v>
      </c>
      <c r="X1922" s="81" t="s">
        <v>876</v>
      </c>
      <c r="Y1922" s="83" t="n">
        <v>46256</v>
      </c>
      <c r="Z1922" s="81" t="s">
        <v>2344</v>
      </c>
      <c r="AA1922" s="81" t="s">
        <v>876</v>
      </c>
      <c r="AB1922" s="81"/>
      <c r="AC1922" s="81"/>
      <c r="AD1922" s="81"/>
      <c r="AE1922" s="83"/>
      <c r="AF1922" s="81"/>
      <c r="AG1922" s="81"/>
      <c r="AH1922" s="81"/>
      <c r="AI1922" s="81"/>
      <c r="AJ1922" s="83"/>
      <c r="AK1922" s="81"/>
      <c r="AL1922" s="81"/>
      <c r="AM1922" s="83"/>
      <c r="AN1922" s="80"/>
      <c r="AO1922" s="82" t="n">
        <f aca="false">IF(E1922="","",(AA1922&lt;&gt;"")+(AG1922&lt;&gt;"")+(AL1922&lt;&gt;""))</f>
        <v>1</v>
      </c>
      <c r="AP1922" s="82" t="str">
        <f aca="false">IF(AL1922&lt;&gt;"",AL1922,IF(AG1922&lt;&gt;"",AG1922,IF(AA1922&lt;&gt;"",AA1922,"")))</f>
        <v>A</v>
      </c>
      <c r="AQ1922" s="84" t="str">
        <f aca="false">IF(E1922="","",IF(U1922="","À SOUDER",IF(X1922="","VT EN ATTENTE",IF(X1922="R","VT REJETÉ – À REPRENDRE",IF(AP1922="","À RADIOGRAPHIER",IF(AP1922="A","ACCEPTÉ",IF(AP1922="NX","NX – RT À REFAIRE",IF(IF(AO1922=1,AD1922,IF(AO1922=2,AI1922,""))="A","RÉPARÉ – À RADIOGRAPHIER",IF(IF(AO1922=1,AD1922,IF(AO1922=2,AI1922,""))="R","VT REJETÉ – À REPRENDRE",IF(OR(AP1922="CO",AP1922="NT"),"COUPE – À RESOUDER","À RÉPARER"))))))))))</f>
        <v>ACCEPTÉ</v>
      </c>
      <c r="AR1922" s="82" t="str">
        <f aca="false">IF(AND(ISNUMBER(U1922),OR(AQ1922="À RADIOGRAPHIER",AQ1922="RÉPARÉ – À RADIOGRAPHIER",AQ1922="NX – RT À REFAIRE",AQ1922="À RÉPARER",AQ1922="COUPE – À RESOUDER",AQ1922="VT REJETÉ – À REPRENDRE")),MAX(0,'PROGRAMME RT'!$C$4-U1922),"")</f>
        <v/>
      </c>
      <c r="AS1922" s="82" t="n">
        <f aca="false">IF(AND(OR(AQ1922="À RADIOGRAPHIER",AQ1922="RÉPARÉ – À RADIOGRAPHIER",AQ1922="NX – RT À REFAIRE"),OR('PROGRAMME RT'!$D$5="TOUTES",B1922='PROGRAMME RT'!$D$5)),1,0)</f>
        <v>0</v>
      </c>
      <c r="AT1922" s="82" t="str">
        <f aca="false">IF(AS1922=1,SUM(AS$7:AS1922),"")</f>
        <v/>
      </c>
      <c r="AU1922" s="82" t="n">
        <f aca="false">IF(AND(OR(AA1922="R",AA1922="NX",AA1922="NT",AA1922="CO"),OR('JOINTS DE RÉPARATION'!$D$5="TOUTES",B1922='JOINTS DE RÉPARATION'!$D$5),OR('JOINTS DE RÉPARATION'!$L$4="TOUS",AQ1922&lt;&gt;"ACCEPTÉ")),1,0)</f>
        <v>0</v>
      </c>
      <c r="AV1922" s="82" t="str">
        <f aca="false">IF(AU1922=1,SUM(AU$7:AU1922),"")</f>
        <v/>
      </c>
      <c r="AW1922" s="82" t="str">
        <f aca="false">IF(E1922="","",B1922&amp;"|"&amp;E1922)</f>
        <v>MFD-ISW → MFD-CPF|DJ°071</v>
      </c>
    </row>
    <row r="1923" customFormat="false" ht="74.6" hidden="false" customHeight="false" outlineLevel="0" collapsed="false">
      <c r="A1923" s="79" t="n">
        <f aca="false">IF(E1923="","",ROW()-6)</f>
        <v>1917</v>
      </c>
      <c r="B1923" s="80" t="s">
        <v>110</v>
      </c>
      <c r="C1923" s="81" t="s">
        <v>2263</v>
      </c>
      <c r="D1923" s="81" t="n">
        <v>18</v>
      </c>
      <c r="E1923" s="81" t="s">
        <v>2345</v>
      </c>
      <c r="F1923" s="82" t="str">
        <f aca="false">IF(E1923="","",IF(LEFT(E1923,2)="DJ","DJ","JN"))</f>
        <v>JN</v>
      </c>
      <c r="G1923" s="81" t="s">
        <v>1504</v>
      </c>
      <c r="H1923" s="81" t="s">
        <v>871</v>
      </c>
      <c r="I1923" s="81" t="n">
        <v>9.53</v>
      </c>
      <c r="J1923" s="81" t="s">
        <v>872</v>
      </c>
      <c r="K1923" s="81" t="s">
        <v>1861</v>
      </c>
      <c r="L1923" s="81" t="n">
        <v>2081170</v>
      </c>
      <c r="M1923" s="81" t="n">
        <v>15421110</v>
      </c>
      <c r="N1923" s="81" t="n">
        <v>11.94</v>
      </c>
      <c r="O1923" s="81" t="n">
        <v>2086760</v>
      </c>
      <c r="P1923" s="81" t="n">
        <v>15421107</v>
      </c>
      <c r="Q1923" s="81" t="n">
        <v>11.94</v>
      </c>
      <c r="R1923" s="81" t="s">
        <v>1884</v>
      </c>
      <c r="S1923" s="81"/>
      <c r="T1923" s="81"/>
      <c r="U1923" s="83" t="n">
        <v>46287</v>
      </c>
      <c r="V1923" s="83" t="n">
        <v>46287</v>
      </c>
      <c r="W1923" s="81" t="s">
        <v>2346</v>
      </c>
      <c r="X1923" s="81" t="s">
        <v>876</v>
      </c>
      <c r="Y1923" s="83"/>
      <c r="Z1923" s="81"/>
      <c r="AA1923" s="81"/>
      <c r="AB1923" s="81"/>
      <c r="AC1923" s="81"/>
      <c r="AD1923" s="81"/>
      <c r="AE1923" s="83"/>
      <c r="AF1923" s="81"/>
      <c r="AG1923" s="81"/>
      <c r="AH1923" s="81"/>
      <c r="AI1923" s="81"/>
      <c r="AJ1923" s="83"/>
      <c r="AK1923" s="81"/>
      <c r="AL1923" s="81"/>
      <c r="AM1923" s="83"/>
      <c r="AN1923" s="80"/>
      <c r="AO1923" s="82" t="n">
        <f aca="false">IF(E1923="","",(AA1923&lt;&gt;"")+(AG1923&lt;&gt;"")+(AL1923&lt;&gt;""))</f>
        <v>0</v>
      </c>
      <c r="AP1923" s="82" t="str">
        <f aca="false">IF(AL1923&lt;&gt;"",AL1923,IF(AG1923&lt;&gt;"",AG1923,IF(AA1923&lt;&gt;"",AA1923,"")))</f>
        <v/>
      </c>
      <c r="AQ1923" s="84" t="str">
        <f aca="false">IF(E1923="","",IF(U1923="","À SOUDER",IF(X1923="","VT EN ATTENTE",IF(X1923="R","VT REJETÉ – À REPRENDRE",IF(AP1923="","À RADIOGRAPHIER",IF(AP1923="A","ACCEPTÉ",IF(AP1923="NX","NX – RT À REFAIRE",IF(IF(AO1923=1,AD1923,IF(AO1923=2,AI1923,""))="A","RÉPARÉ – À RADIOGRAPHIER",IF(IF(AO1923=1,AD1923,IF(AO1923=2,AI1923,""))="R","VT REJETÉ – À REPRENDRE",IF(OR(AP1923="CO",AP1923="NT"),"COUPE – À RESOUDER","À RÉPARER"))))))))))</f>
        <v>À RADIOGRAPHIER</v>
      </c>
      <c r="AR1923" s="82" t="n">
        <f aca="false">IF(AND(ISNUMBER(U1923),OR(AQ1923="À RADIOGRAPHIER",AQ1923="RÉPARÉ – À RADIOGRAPHIER",AQ1923="NX – RT À REFAIRE",AQ1923="À RÉPARER",AQ1923="COUPE – À RESOUDER",AQ1923="VT REJETÉ – À REPRENDRE")),MAX(0,'PROGRAMME RT'!$C$4-U1923),"")</f>
        <v>6</v>
      </c>
      <c r="AS1923" s="82" t="n">
        <f aca="false">IF(AND(OR(AQ1923="À RADIOGRAPHIER",AQ1923="RÉPARÉ – À RADIOGRAPHIER",AQ1923="NX – RT À REFAIRE"),OR('PROGRAMME RT'!$D$5="TOUTES",B1923='PROGRAMME RT'!$D$5)),1,0)</f>
        <v>1</v>
      </c>
      <c r="AT1923" s="82" t="n">
        <f aca="false">IF(AS1923=1,SUM(AS$7:AS1923),"")</f>
        <v>100</v>
      </c>
      <c r="AU1923" s="82" t="n">
        <f aca="false">IF(AND(OR(AA1923="R",AA1923="NX",AA1923="NT",AA1923="CO"),OR('JOINTS DE RÉPARATION'!$D$5="TOUTES",B1923='JOINTS DE RÉPARATION'!$D$5),OR('JOINTS DE RÉPARATION'!$L$4="TOUS",AQ1923&lt;&gt;"ACCEPTÉ")),1,0)</f>
        <v>0</v>
      </c>
      <c r="AV1923" s="82" t="str">
        <f aca="false">IF(AU1923=1,SUM(AU$7:AU1923),"")</f>
        <v/>
      </c>
      <c r="AW1923" s="82" t="str">
        <f aca="false">IF(E1923="","",B1923&amp;"|"&amp;E1923)</f>
        <v>MFD-ISW → MFD-CPF|JN°1491R</v>
      </c>
    </row>
    <row r="1924" customFormat="false" ht="74.6" hidden="false" customHeight="false" outlineLevel="0" collapsed="false">
      <c r="A1924" s="79" t="n">
        <f aca="false">IF(E1924="","",ROW()-6)</f>
        <v>1918</v>
      </c>
      <c r="B1924" s="80" t="s">
        <v>110</v>
      </c>
      <c r="C1924" s="81" t="s">
        <v>2263</v>
      </c>
      <c r="D1924" s="81" t="n">
        <v>18</v>
      </c>
      <c r="E1924" s="81" t="s">
        <v>2347</v>
      </c>
      <c r="F1924" s="82" t="str">
        <f aca="false">IF(E1924="","",IF(LEFT(E1924,2)="DJ","DJ","JN"))</f>
        <v>DJ</v>
      </c>
      <c r="G1924" s="81"/>
      <c r="H1924" s="81" t="s">
        <v>871</v>
      </c>
      <c r="I1924" s="81" t="n">
        <v>9.53</v>
      </c>
      <c r="J1924" s="81" t="s">
        <v>872</v>
      </c>
      <c r="K1924" s="81" t="s">
        <v>873</v>
      </c>
      <c r="L1924" s="81" t="n">
        <v>2086760</v>
      </c>
      <c r="M1924" s="81" t="n">
        <v>15421107</v>
      </c>
      <c r="N1924" s="81" t="n">
        <v>11.94</v>
      </c>
      <c r="O1924" s="81" t="n">
        <v>2092580</v>
      </c>
      <c r="P1924" s="81" t="n">
        <v>15421110</v>
      </c>
      <c r="Q1924" s="81" t="n">
        <v>11.94</v>
      </c>
      <c r="R1924" s="81" t="s">
        <v>1517</v>
      </c>
      <c r="S1924" s="81"/>
      <c r="T1924" s="81"/>
      <c r="U1924" s="83" t="n">
        <v>46255</v>
      </c>
      <c r="V1924" s="83" t="n">
        <v>46255</v>
      </c>
      <c r="W1924" s="81" t="s">
        <v>2299</v>
      </c>
      <c r="X1924" s="81" t="s">
        <v>876</v>
      </c>
      <c r="Y1924" s="83" t="n">
        <v>46257</v>
      </c>
      <c r="Z1924" s="81" t="s">
        <v>2300</v>
      </c>
      <c r="AA1924" s="81" t="s">
        <v>876</v>
      </c>
      <c r="AB1924" s="81"/>
      <c r="AC1924" s="81"/>
      <c r="AD1924" s="81"/>
      <c r="AE1924" s="83"/>
      <c r="AF1924" s="81"/>
      <c r="AG1924" s="81"/>
      <c r="AH1924" s="81"/>
      <c r="AI1924" s="81"/>
      <c r="AJ1924" s="83"/>
      <c r="AK1924" s="81"/>
      <c r="AL1924" s="81"/>
      <c r="AM1924" s="83"/>
      <c r="AN1924" s="80"/>
      <c r="AO1924" s="82" t="n">
        <f aca="false">IF(E1924="","",(AA1924&lt;&gt;"")+(AG1924&lt;&gt;"")+(AL1924&lt;&gt;""))</f>
        <v>1</v>
      </c>
      <c r="AP1924" s="82" t="str">
        <f aca="false">IF(AL1924&lt;&gt;"",AL1924,IF(AG1924&lt;&gt;"",AG1924,IF(AA1924&lt;&gt;"",AA1924,"")))</f>
        <v>A</v>
      </c>
      <c r="AQ1924" s="84" t="str">
        <f aca="false">IF(E1924="","",IF(U1924="","À SOUDER",IF(X1924="","VT EN ATTENTE",IF(X1924="R","VT REJETÉ – À REPRENDRE",IF(AP1924="","À RADIOGRAPHIER",IF(AP1924="A","ACCEPTÉ",IF(AP1924="NX","NX – RT À REFAIRE",IF(IF(AO1924=1,AD1924,IF(AO1924=2,AI1924,""))="A","RÉPARÉ – À RADIOGRAPHIER",IF(IF(AO1924=1,AD1924,IF(AO1924=2,AI1924,""))="R","VT REJETÉ – À REPRENDRE",IF(OR(AP1924="CO",AP1924="NT"),"COUPE – À RESOUDER","À RÉPARER"))))))))))</f>
        <v>ACCEPTÉ</v>
      </c>
      <c r="AR1924" s="82" t="str">
        <f aca="false">IF(AND(ISNUMBER(U1924),OR(AQ1924="À RADIOGRAPHIER",AQ1924="RÉPARÉ – À RADIOGRAPHIER",AQ1924="NX – RT À REFAIRE",AQ1924="À RÉPARER",AQ1924="COUPE – À RESOUDER",AQ1924="VT REJETÉ – À REPRENDRE")),MAX(0,'PROGRAMME RT'!$C$4-U1924),"")</f>
        <v/>
      </c>
      <c r="AS1924" s="82" t="n">
        <f aca="false">IF(AND(OR(AQ1924="À RADIOGRAPHIER",AQ1924="RÉPARÉ – À RADIOGRAPHIER",AQ1924="NX – RT À REFAIRE"),OR('PROGRAMME RT'!$D$5="TOUTES",B1924='PROGRAMME RT'!$D$5)),1,0)</f>
        <v>0</v>
      </c>
      <c r="AT1924" s="82" t="str">
        <f aca="false">IF(AS1924=1,SUM(AS$7:AS1924),"")</f>
        <v/>
      </c>
      <c r="AU1924" s="82" t="n">
        <f aca="false">IF(AND(OR(AA1924="R",AA1924="NX",AA1924="NT",AA1924="CO"),OR('JOINTS DE RÉPARATION'!$D$5="TOUTES",B1924='JOINTS DE RÉPARATION'!$D$5),OR('JOINTS DE RÉPARATION'!$L$4="TOUS",AQ1924&lt;&gt;"ACCEPTÉ")),1,0)</f>
        <v>0</v>
      </c>
      <c r="AV1924" s="82" t="str">
        <f aca="false">IF(AU1924=1,SUM(AU$7:AU1924),"")</f>
        <v/>
      </c>
      <c r="AW1924" s="82" t="str">
        <f aca="false">IF(E1924="","",B1924&amp;"|"&amp;E1924)</f>
        <v>MFD-ISW → MFD-CPF|DJ°079</v>
      </c>
    </row>
    <row r="1925" customFormat="false" ht="74.6" hidden="false" customHeight="false" outlineLevel="0" collapsed="false">
      <c r="A1925" s="79" t="n">
        <f aca="false">IF(E1925="","",ROW()-6)</f>
        <v>1919</v>
      </c>
      <c r="B1925" s="80" t="s">
        <v>110</v>
      </c>
      <c r="C1925" s="81" t="s">
        <v>2263</v>
      </c>
      <c r="D1925" s="81" t="n">
        <v>18</v>
      </c>
      <c r="E1925" s="81" t="s">
        <v>2348</v>
      </c>
      <c r="F1925" s="82" t="str">
        <f aca="false">IF(E1925="","",IF(LEFT(E1925,2)="DJ","DJ","JN"))</f>
        <v>JN</v>
      </c>
      <c r="G1925" s="81" t="s">
        <v>1504</v>
      </c>
      <c r="H1925" s="81" t="s">
        <v>871</v>
      </c>
      <c r="I1925" s="81" t="n">
        <v>9.53</v>
      </c>
      <c r="J1925" s="81" t="s">
        <v>872</v>
      </c>
      <c r="K1925" s="81" t="s">
        <v>879</v>
      </c>
      <c r="L1925" s="81" t="n">
        <v>2092580</v>
      </c>
      <c r="M1925" s="81" t="n">
        <v>15421110</v>
      </c>
      <c r="N1925" s="81" t="n">
        <v>11.94</v>
      </c>
      <c r="O1925" s="81" t="n">
        <v>2085570</v>
      </c>
      <c r="P1925" s="81" t="n">
        <v>15421107</v>
      </c>
      <c r="Q1925" s="81" t="n">
        <v>11.94</v>
      </c>
      <c r="R1925" s="81" t="s">
        <v>2273</v>
      </c>
      <c r="S1925" s="81"/>
      <c r="T1925" s="81"/>
      <c r="U1925" s="83" t="n">
        <v>46268</v>
      </c>
      <c r="V1925" s="83" t="n">
        <v>46268</v>
      </c>
      <c r="W1925" s="81" t="s">
        <v>2324</v>
      </c>
      <c r="X1925" s="81" t="s">
        <v>876</v>
      </c>
      <c r="Y1925" s="83" t="n">
        <v>46277</v>
      </c>
      <c r="Z1925" s="81" t="s">
        <v>2330</v>
      </c>
      <c r="AA1925" s="81" t="s">
        <v>876</v>
      </c>
      <c r="AB1925" s="81"/>
      <c r="AC1925" s="81"/>
      <c r="AD1925" s="81"/>
      <c r="AE1925" s="83"/>
      <c r="AF1925" s="81"/>
      <c r="AG1925" s="81"/>
      <c r="AH1925" s="81"/>
      <c r="AI1925" s="81"/>
      <c r="AJ1925" s="83"/>
      <c r="AK1925" s="81"/>
      <c r="AL1925" s="81"/>
      <c r="AM1925" s="83"/>
      <c r="AN1925" s="80"/>
      <c r="AO1925" s="82" t="n">
        <f aca="false">IF(E1925="","",(AA1925&lt;&gt;"")+(AG1925&lt;&gt;"")+(AL1925&lt;&gt;""))</f>
        <v>1</v>
      </c>
      <c r="AP1925" s="82" t="str">
        <f aca="false">IF(AL1925&lt;&gt;"",AL1925,IF(AG1925&lt;&gt;"",AG1925,IF(AA1925&lt;&gt;"",AA1925,"")))</f>
        <v>A</v>
      </c>
      <c r="AQ1925" s="84" t="str">
        <f aca="false">IF(E1925="","",IF(U1925="","À SOUDER",IF(X1925="","VT EN ATTENTE",IF(X1925="R","VT REJETÉ – À REPRENDRE",IF(AP1925="","À RADIOGRAPHIER",IF(AP1925="A","ACCEPTÉ",IF(AP1925="NX","NX – RT À REFAIRE",IF(IF(AO1925=1,AD1925,IF(AO1925=2,AI1925,""))="A","RÉPARÉ – À RADIOGRAPHIER",IF(IF(AO1925=1,AD1925,IF(AO1925=2,AI1925,""))="R","VT REJETÉ – À REPRENDRE",IF(OR(AP1925="CO",AP1925="NT"),"COUPE – À RESOUDER","À RÉPARER"))))))))))</f>
        <v>ACCEPTÉ</v>
      </c>
      <c r="AR1925" s="82" t="str">
        <f aca="false">IF(AND(ISNUMBER(U1925),OR(AQ1925="À RADIOGRAPHIER",AQ1925="RÉPARÉ – À RADIOGRAPHIER",AQ1925="NX – RT À REFAIRE",AQ1925="À RÉPARER",AQ1925="COUPE – À RESOUDER",AQ1925="VT REJETÉ – À REPRENDRE")),MAX(0,'PROGRAMME RT'!$C$4-U1925),"")</f>
        <v/>
      </c>
      <c r="AS1925" s="82" t="n">
        <f aca="false">IF(AND(OR(AQ1925="À RADIOGRAPHIER",AQ1925="RÉPARÉ – À RADIOGRAPHIER",AQ1925="NX – RT À REFAIRE"),OR('PROGRAMME RT'!$D$5="TOUTES",B1925='PROGRAMME RT'!$D$5)),1,0)</f>
        <v>0</v>
      </c>
      <c r="AT1925" s="82" t="str">
        <f aca="false">IF(AS1925=1,SUM(AS$7:AS1925),"")</f>
        <v/>
      </c>
      <c r="AU1925" s="82" t="n">
        <f aca="false">IF(AND(OR(AA1925="R",AA1925="NX",AA1925="NT",AA1925="CO"),OR('JOINTS DE RÉPARATION'!$D$5="TOUTES",B1925='JOINTS DE RÉPARATION'!$D$5),OR('JOINTS DE RÉPARATION'!$L$4="TOUS",AQ1925&lt;&gt;"ACCEPTÉ")),1,0)</f>
        <v>0</v>
      </c>
      <c r="AV1925" s="82" t="str">
        <f aca="false">IF(AU1925=1,SUM(AU$7:AU1925),"")</f>
        <v/>
      </c>
      <c r="AW1925" s="82" t="str">
        <f aca="false">IF(E1925="","",B1925&amp;"|"&amp;E1925)</f>
        <v>MFD-ISW → MFD-CPF|JN°1492</v>
      </c>
    </row>
    <row r="1926" customFormat="false" ht="74.6" hidden="false" customHeight="false" outlineLevel="0" collapsed="false">
      <c r="A1926" s="79" t="n">
        <f aca="false">IF(E1926="","",ROW()-6)</f>
        <v>1920</v>
      </c>
      <c r="B1926" s="80" t="s">
        <v>110</v>
      </c>
      <c r="C1926" s="81" t="s">
        <v>2263</v>
      </c>
      <c r="D1926" s="81" t="n">
        <v>18</v>
      </c>
      <c r="E1926" s="81" t="s">
        <v>2349</v>
      </c>
      <c r="F1926" s="82" t="str">
        <f aca="false">IF(E1926="","",IF(LEFT(E1926,2)="DJ","DJ","JN"))</f>
        <v>DJ</v>
      </c>
      <c r="G1926" s="81"/>
      <c r="H1926" s="81" t="s">
        <v>871</v>
      </c>
      <c r="I1926" s="81" t="n">
        <v>9.53</v>
      </c>
      <c r="J1926" s="81" t="s">
        <v>872</v>
      </c>
      <c r="K1926" s="81" t="s">
        <v>873</v>
      </c>
      <c r="L1926" s="81" t="n">
        <v>2085570</v>
      </c>
      <c r="M1926" s="81" t="n">
        <v>15421107</v>
      </c>
      <c r="N1926" s="81" t="n">
        <v>11.94</v>
      </c>
      <c r="O1926" s="81" t="n">
        <v>2094390</v>
      </c>
      <c r="P1926" s="81" t="n">
        <v>15421111</v>
      </c>
      <c r="Q1926" s="81" t="n">
        <v>11.94</v>
      </c>
      <c r="R1926" s="81" t="s">
        <v>899</v>
      </c>
      <c r="S1926" s="81"/>
      <c r="T1926" s="81"/>
      <c r="U1926" s="83" t="n">
        <v>46253</v>
      </c>
      <c r="V1926" s="83" t="n">
        <v>46253</v>
      </c>
      <c r="W1926" s="81" t="s">
        <v>2240</v>
      </c>
      <c r="X1926" s="81" t="s">
        <v>876</v>
      </c>
      <c r="Y1926" s="83" t="n">
        <v>46257</v>
      </c>
      <c r="Z1926" s="81" t="s">
        <v>2300</v>
      </c>
      <c r="AA1926" s="81" t="s">
        <v>876</v>
      </c>
      <c r="AB1926" s="81"/>
      <c r="AC1926" s="81"/>
      <c r="AD1926" s="81"/>
      <c r="AE1926" s="83"/>
      <c r="AF1926" s="81"/>
      <c r="AG1926" s="81"/>
      <c r="AH1926" s="81"/>
      <c r="AI1926" s="81"/>
      <c r="AJ1926" s="83"/>
      <c r="AK1926" s="81"/>
      <c r="AL1926" s="81"/>
      <c r="AM1926" s="83"/>
      <c r="AN1926" s="80"/>
      <c r="AO1926" s="82" t="n">
        <f aca="false">IF(E1926="","",(AA1926&lt;&gt;"")+(AG1926&lt;&gt;"")+(AL1926&lt;&gt;""))</f>
        <v>1</v>
      </c>
      <c r="AP1926" s="82" t="str">
        <f aca="false">IF(AL1926&lt;&gt;"",AL1926,IF(AG1926&lt;&gt;"",AG1926,IF(AA1926&lt;&gt;"",AA1926,"")))</f>
        <v>A</v>
      </c>
      <c r="AQ1926" s="84" t="str">
        <f aca="false">IF(E1926="","",IF(U1926="","À SOUDER",IF(X1926="","VT EN ATTENTE",IF(X1926="R","VT REJETÉ – À REPRENDRE",IF(AP1926="","À RADIOGRAPHIER",IF(AP1926="A","ACCEPTÉ",IF(AP1926="NX","NX – RT À REFAIRE",IF(IF(AO1926=1,AD1926,IF(AO1926=2,AI1926,""))="A","RÉPARÉ – À RADIOGRAPHIER",IF(IF(AO1926=1,AD1926,IF(AO1926=2,AI1926,""))="R","VT REJETÉ – À REPRENDRE",IF(OR(AP1926="CO",AP1926="NT"),"COUPE – À RESOUDER","À RÉPARER"))))))))))</f>
        <v>ACCEPTÉ</v>
      </c>
      <c r="AR1926" s="82" t="str">
        <f aca="false">IF(AND(ISNUMBER(U1926),OR(AQ1926="À RADIOGRAPHIER",AQ1926="RÉPARÉ – À RADIOGRAPHIER",AQ1926="NX – RT À REFAIRE",AQ1926="À RÉPARER",AQ1926="COUPE – À RESOUDER",AQ1926="VT REJETÉ – À REPRENDRE")),MAX(0,'PROGRAMME RT'!$C$4-U1926),"")</f>
        <v/>
      </c>
      <c r="AS1926" s="82" t="n">
        <f aca="false">IF(AND(OR(AQ1926="À RADIOGRAPHIER",AQ1926="RÉPARÉ – À RADIOGRAPHIER",AQ1926="NX – RT À REFAIRE"),OR('PROGRAMME RT'!$D$5="TOUTES",B1926='PROGRAMME RT'!$D$5)),1,0)</f>
        <v>0</v>
      </c>
      <c r="AT1926" s="82" t="str">
        <f aca="false">IF(AS1926=1,SUM(AS$7:AS1926),"")</f>
        <v/>
      </c>
      <c r="AU1926" s="82" t="n">
        <f aca="false">IF(AND(OR(AA1926="R",AA1926="NX",AA1926="NT",AA1926="CO"),OR('JOINTS DE RÉPARATION'!$D$5="TOUTES",B1926='JOINTS DE RÉPARATION'!$D$5),OR('JOINTS DE RÉPARATION'!$L$4="TOUS",AQ1926&lt;&gt;"ACCEPTÉ")),1,0)</f>
        <v>0</v>
      </c>
      <c r="AV1926" s="82" t="str">
        <f aca="false">IF(AU1926=1,SUM(AU$7:AU1926),"")</f>
        <v/>
      </c>
      <c r="AW1926" s="82" t="str">
        <f aca="false">IF(E1926="","",B1926&amp;"|"&amp;E1926)</f>
        <v>MFD-ISW → MFD-CPF|DJ°061</v>
      </c>
    </row>
    <row r="1927" customFormat="false" ht="74.6" hidden="false" customHeight="false" outlineLevel="0" collapsed="false">
      <c r="A1927" s="79" t="n">
        <f aca="false">IF(E1927="","",ROW()-6)</f>
        <v>1921</v>
      </c>
      <c r="B1927" s="80" t="s">
        <v>110</v>
      </c>
      <c r="C1927" s="81" t="s">
        <v>2263</v>
      </c>
      <c r="D1927" s="81" t="n">
        <v>18</v>
      </c>
      <c r="E1927" s="81" t="s">
        <v>2350</v>
      </c>
      <c r="F1927" s="82" t="str">
        <f aca="false">IF(E1927="","",IF(LEFT(E1927,2)="DJ","DJ","JN"))</f>
        <v>JN</v>
      </c>
      <c r="G1927" s="81" t="s">
        <v>1504</v>
      </c>
      <c r="H1927" s="81" t="s">
        <v>871</v>
      </c>
      <c r="I1927" s="81" t="n">
        <v>9.53</v>
      </c>
      <c r="J1927" s="81" t="s">
        <v>872</v>
      </c>
      <c r="K1927" s="81" t="s">
        <v>879</v>
      </c>
      <c r="L1927" s="81" t="n">
        <v>2094390</v>
      </c>
      <c r="M1927" s="81" t="n">
        <v>15421111</v>
      </c>
      <c r="N1927" s="81" t="n">
        <v>11.94</v>
      </c>
      <c r="O1927" s="81" t="n">
        <v>2098340</v>
      </c>
      <c r="P1927" s="81" t="n">
        <v>15421112</v>
      </c>
      <c r="Q1927" s="81" t="n">
        <v>11.94</v>
      </c>
      <c r="R1927" s="81" t="s">
        <v>2273</v>
      </c>
      <c r="S1927" s="81"/>
      <c r="T1927" s="81"/>
      <c r="U1927" s="83" t="n">
        <v>46268</v>
      </c>
      <c r="V1927" s="83" t="n">
        <v>46268</v>
      </c>
      <c r="W1927" s="81" t="s">
        <v>2351</v>
      </c>
      <c r="X1927" s="81" t="s">
        <v>876</v>
      </c>
      <c r="Y1927" s="83" t="n">
        <v>46277</v>
      </c>
      <c r="Z1927" s="81" t="s">
        <v>2330</v>
      </c>
      <c r="AA1927" s="81" t="s">
        <v>876</v>
      </c>
      <c r="AB1927" s="81"/>
      <c r="AC1927" s="81"/>
      <c r="AD1927" s="81"/>
      <c r="AE1927" s="83"/>
      <c r="AF1927" s="81"/>
      <c r="AG1927" s="81"/>
      <c r="AH1927" s="81"/>
      <c r="AI1927" s="81"/>
      <c r="AJ1927" s="83"/>
      <c r="AK1927" s="81"/>
      <c r="AL1927" s="81"/>
      <c r="AM1927" s="83"/>
      <c r="AN1927" s="80"/>
      <c r="AO1927" s="82" t="n">
        <f aca="false">IF(E1927="","",(AA1927&lt;&gt;"")+(AG1927&lt;&gt;"")+(AL1927&lt;&gt;""))</f>
        <v>1</v>
      </c>
      <c r="AP1927" s="82" t="str">
        <f aca="false">IF(AL1927&lt;&gt;"",AL1927,IF(AG1927&lt;&gt;"",AG1927,IF(AA1927&lt;&gt;"",AA1927,"")))</f>
        <v>A</v>
      </c>
      <c r="AQ1927" s="84" t="str">
        <f aca="false">IF(E1927="","",IF(U1927="","À SOUDER",IF(X1927="","VT EN ATTENTE",IF(X1927="R","VT REJETÉ – À REPRENDRE",IF(AP1927="","À RADIOGRAPHIER",IF(AP1927="A","ACCEPTÉ",IF(AP1927="NX","NX – RT À REFAIRE",IF(IF(AO1927=1,AD1927,IF(AO1927=2,AI1927,""))="A","RÉPARÉ – À RADIOGRAPHIER",IF(IF(AO1927=1,AD1927,IF(AO1927=2,AI1927,""))="R","VT REJETÉ – À REPRENDRE",IF(OR(AP1927="CO",AP1927="NT"),"COUPE – À RESOUDER","À RÉPARER"))))))))))</f>
        <v>ACCEPTÉ</v>
      </c>
      <c r="AR1927" s="82" t="str">
        <f aca="false">IF(AND(ISNUMBER(U1927),OR(AQ1927="À RADIOGRAPHIER",AQ1927="RÉPARÉ – À RADIOGRAPHIER",AQ1927="NX – RT À REFAIRE",AQ1927="À RÉPARER",AQ1927="COUPE – À RESOUDER",AQ1927="VT REJETÉ – À REPRENDRE")),MAX(0,'PROGRAMME RT'!$C$4-U1927),"")</f>
        <v/>
      </c>
      <c r="AS1927" s="82" t="n">
        <f aca="false">IF(AND(OR(AQ1927="À RADIOGRAPHIER",AQ1927="RÉPARÉ – À RADIOGRAPHIER",AQ1927="NX – RT À REFAIRE"),OR('PROGRAMME RT'!$D$5="TOUTES",B1927='PROGRAMME RT'!$D$5)),1,0)</f>
        <v>0</v>
      </c>
      <c r="AT1927" s="82" t="str">
        <f aca="false">IF(AS1927=1,SUM(AS$7:AS1927),"")</f>
        <v/>
      </c>
      <c r="AU1927" s="82" t="n">
        <f aca="false">IF(AND(OR(AA1927="R",AA1927="NX",AA1927="NT",AA1927="CO"),OR('JOINTS DE RÉPARATION'!$D$5="TOUTES",B1927='JOINTS DE RÉPARATION'!$D$5),OR('JOINTS DE RÉPARATION'!$L$4="TOUS",AQ1927&lt;&gt;"ACCEPTÉ")),1,0)</f>
        <v>0</v>
      </c>
      <c r="AV1927" s="82" t="str">
        <f aca="false">IF(AU1927=1,SUM(AU$7:AU1927),"")</f>
        <v/>
      </c>
      <c r="AW1927" s="82" t="str">
        <f aca="false">IF(E1927="","",B1927&amp;"|"&amp;E1927)</f>
        <v>MFD-ISW → MFD-CPF|JN°1493</v>
      </c>
    </row>
    <row r="1928" customFormat="false" ht="74.6" hidden="false" customHeight="false" outlineLevel="0" collapsed="false">
      <c r="A1928" s="79" t="n">
        <f aca="false">IF(E1928="","",ROW()-6)</f>
        <v>1922</v>
      </c>
      <c r="B1928" s="80" t="s">
        <v>110</v>
      </c>
      <c r="C1928" s="81" t="s">
        <v>2263</v>
      </c>
      <c r="D1928" s="81" t="n">
        <v>18</v>
      </c>
      <c r="E1928" s="81" t="s">
        <v>2352</v>
      </c>
      <c r="F1928" s="82" t="str">
        <f aca="false">IF(E1928="","",IF(LEFT(E1928,2)="DJ","DJ","JN"))</f>
        <v>DJ</v>
      </c>
      <c r="G1928" s="81"/>
      <c r="H1928" s="81" t="s">
        <v>871</v>
      </c>
      <c r="I1928" s="81" t="n">
        <v>9.53</v>
      </c>
      <c r="J1928" s="81" t="s">
        <v>872</v>
      </c>
      <c r="K1928" s="81" t="s">
        <v>873</v>
      </c>
      <c r="L1928" s="81" t="n">
        <v>2098340</v>
      </c>
      <c r="M1928" s="81" t="n">
        <v>15421112</v>
      </c>
      <c r="N1928" s="81" t="n">
        <v>11.94</v>
      </c>
      <c r="O1928" s="81" t="n">
        <v>2086860</v>
      </c>
      <c r="P1928" s="81" t="n">
        <v>15421107</v>
      </c>
      <c r="Q1928" s="81" t="n">
        <v>11.94</v>
      </c>
      <c r="R1928" s="81" t="s">
        <v>874</v>
      </c>
      <c r="S1928" s="81"/>
      <c r="T1928" s="81"/>
      <c r="U1928" s="83" t="n">
        <v>46255</v>
      </c>
      <c r="V1928" s="83" t="n">
        <v>46255</v>
      </c>
      <c r="W1928" s="81" t="s">
        <v>2299</v>
      </c>
      <c r="X1928" s="81" t="s">
        <v>876</v>
      </c>
      <c r="Y1928" s="83" t="n">
        <v>46257</v>
      </c>
      <c r="Z1928" s="81" t="s">
        <v>2300</v>
      </c>
      <c r="AA1928" s="81" t="s">
        <v>876</v>
      </c>
      <c r="AB1928" s="81"/>
      <c r="AC1928" s="81"/>
      <c r="AD1928" s="81"/>
      <c r="AE1928" s="83"/>
      <c r="AF1928" s="81"/>
      <c r="AG1928" s="81"/>
      <c r="AH1928" s="81"/>
      <c r="AI1928" s="81"/>
      <c r="AJ1928" s="83"/>
      <c r="AK1928" s="81"/>
      <c r="AL1928" s="81"/>
      <c r="AM1928" s="83"/>
      <c r="AN1928" s="80"/>
      <c r="AO1928" s="82" t="n">
        <f aca="false">IF(E1928="","",(AA1928&lt;&gt;"")+(AG1928&lt;&gt;"")+(AL1928&lt;&gt;""))</f>
        <v>1</v>
      </c>
      <c r="AP1928" s="82" t="str">
        <f aca="false">IF(AL1928&lt;&gt;"",AL1928,IF(AG1928&lt;&gt;"",AG1928,IF(AA1928&lt;&gt;"",AA1928,"")))</f>
        <v>A</v>
      </c>
      <c r="AQ1928" s="84" t="str">
        <f aca="false">IF(E1928="","",IF(U1928="","À SOUDER",IF(X1928="","VT EN ATTENTE",IF(X1928="R","VT REJETÉ – À REPRENDRE",IF(AP1928="","À RADIOGRAPHIER",IF(AP1928="A","ACCEPTÉ",IF(AP1928="NX","NX – RT À REFAIRE",IF(IF(AO1928=1,AD1928,IF(AO1928=2,AI1928,""))="A","RÉPARÉ – À RADIOGRAPHIER",IF(IF(AO1928=1,AD1928,IF(AO1928=2,AI1928,""))="R","VT REJETÉ – À REPRENDRE",IF(OR(AP1928="CO",AP1928="NT"),"COUPE – À RESOUDER","À RÉPARER"))))))))))</f>
        <v>ACCEPTÉ</v>
      </c>
      <c r="AR1928" s="82" t="str">
        <f aca="false">IF(AND(ISNUMBER(U1928),OR(AQ1928="À RADIOGRAPHIER",AQ1928="RÉPARÉ – À RADIOGRAPHIER",AQ1928="NX – RT À REFAIRE",AQ1928="À RÉPARER",AQ1928="COUPE – À RESOUDER",AQ1928="VT REJETÉ – À REPRENDRE")),MAX(0,'PROGRAMME RT'!$C$4-U1928),"")</f>
        <v/>
      </c>
      <c r="AS1928" s="82" t="n">
        <f aca="false">IF(AND(OR(AQ1928="À RADIOGRAPHIER",AQ1928="RÉPARÉ – À RADIOGRAPHIER",AQ1928="NX – RT À REFAIRE"),OR('PROGRAMME RT'!$D$5="TOUTES",B1928='PROGRAMME RT'!$D$5)),1,0)</f>
        <v>0</v>
      </c>
      <c r="AT1928" s="82" t="str">
        <f aca="false">IF(AS1928=1,SUM(AS$7:AS1928),"")</f>
        <v/>
      </c>
      <c r="AU1928" s="82" t="n">
        <f aca="false">IF(AND(OR(AA1928="R",AA1928="NX",AA1928="NT",AA1928="CO"),OR('JOINTS DE RÉPARATION'!$D$5="TOUTES",B1928='JOINTS DE RÉPARATION'!$D$5),OR('JOINTS DE RÉPARATION'!$L$4="TOUS",AQ1928&lt;&gt;"ACCEPTÉ")),1,0)</f>
        <v>0</v>
      </c>
      <c r="AV1928" s="82" t="str">
        <f aca="false">IF(AU1928=1,SUM(AU$7:AU1928),"")</f>
        <v/>
      </c>
      <c r="AW1928" s="82" t="str">
        <f aca="false">IF(E1928="","",B1928&amp;"|"&amp;E1928)</f>
        <v>MFD-ISW → MFD-CPF|DJ°077</v>
      </c>
    </row>
    <row r="1929" customFormat="false" ht="74.6" hidden="false" customHeight="false" outlineLevel="0" collapsed="false">
      <c r="A1929" s="79" t="n">
        <f aca="false">IF(E1929="","",ROW()-6)</f>
        <v>1923</v>
      </c>
      <c r="B1929" s="80" t="s">
        <v>110</v>
      </c>
      <c r="C1929" s="81" t="s">
        <v>2263</v>
      </c>
      <c r="D1929" s="81" t="n">
        <v>18</v>
      </c>
      <c r="E1929" s="81" t="s">
        <v>2353</v>
      </c>
      <c r="F1929" s="82" t="str">
        <f aca="false">IF(E1929="","",IF(LEFT(E1929,2)="DJ","DJ","JN"))</f>
        <v>JN</v>
      </c>
      <c r="G1929" s="81" t="s">
        <v>1504</v>
      </c>
      <c r="H1929" s="81" t="s">
        <v>871</v>
      </c>
      <c r="I1929" s="81" t="n">
        <v>9.53</v>
      </c>
      <c r="J1929" s="81" t="s">
        <v>872</v>
      </c>
      <c r="K1929" s="81" t="s">
        <v>879</v>
      </c>
      <c r="L1929" s="81" t="n">
        <v>2086860</v>
      </c>
      <c r="M1929" s="81" t="n">
        <v>15421107</v>
      </c>
      <c r="N1929" s="81" t="n">
        <v>11.94</v>
      </c>
      <c r="O1929" s="81" t="n">
        <v>2088510</v>
      </c>
      <c r="P1929" s="81" t="n">
        <v>15421108</v>
      </c>
      <c r="Q1929" s="81" t="n">
        <v>11.94</v>
      </c>
      <c r="R1929" s="81" t="s">
        <v>2273</v>
      </c>
      <c r="S1929" s="81"/>
      <c r="T1929" s="81"/>
      <c r="U1929" s="83" t="n">
        <v>46268</v>
      </c>
      <c r="V1929" s="83" t="n">
        <v>46268</v>
      </c>
      <c r="W1929" s="81" t="s">
        <v>2351</v>
      </c>
      <c r="X1929" s="81" t="s">
        <v>876</v>
      </c>
      <c r="Y1929" s="83" t="n">
        <v>46277</v>
      </c>
      <c r="Z1929" s="81" t="s">
        <v>2330</v>
      </c>
      <c r="AA1929" s="81" t="s">
        <v>876</v>
      </c>
      <c r="AB1929" s="81"/>
      <c r="AC1929" s="81"/>
      <c r="AD1929" s="81"/>
      <c r="AE1929" s="83"/>
      <c r="AF1929" s="81"/>
      <c r="AG1929" s="81"/>
      <c r="AH1929" s="81"/>
      <c r="AI1929" s="81"/>
      <c r="AJ1929" s="83"/>
      <c r="AK1929" s="81"/>
      <c r="AL1929" s="81"/>
      <c r="AM1929" s="83"/>
      <c r="AN1929" s="80"/>
      <c r="AO1929" s="82" t="n">
        <f aca="false">IF(E1929="","",(AA1929&lt;&gt;"")+(AG1929&lt;&gt;"")+(AL1929&lt;&gt;""))</f>
        <v>1</v>
      </c>
      <c r="AP1929" s="82" t="str">
        <f aca="false">IF(AL1929&lt;&gt;"",AL1929,IF(AG1929&lt;&gt;"",AG1929,IF(AA1929&lt;&gt;"",AA1929,"")))</f>
        <v>A</v>
      </c>
      <c r="AQ1929" s="84" t="str">
        <f aca="false">IF(E1929="","",IF(U1929="","À SOUDER",IF(X1929="","VT EN ATTENTE",IF(X1929="R","VT REJETÉ – À REPRENDRE",IF(AP1929="","À RADIOGRAPHIER",IF(AP1929="A","ACCEPTÉ",IF(AP1929="NX","NX – RT À REFAIRE",IF(IF(AO1929=1,AD1929,IF(AO1929=2,AI1929,""))="A","RÉPARÉ – À RADIOGRAPHIER",IF(IF(AO1929=1,AD1929,IF(AO1929=2,AI1929,""))="R","VT REJETÉ – À REPRENDRE",IF(OR(AP1929="CO",AP1929="NT"),"COUPE – À RESOUDER","À RÉPARER"))))))))))</f>
        <v>ACCEPTÉ</v>
      </c>
      <c r="AR1929" s="82" t="str">
        <f aca="false">IF(AND(ISNUMBER(U1929),OR(AQ1929="À RADIOGRAPHIER",AQ1929="RÉPARÉ – À RADIOGRAPHIER",AQ1929="NX – RT À REFAIRE",AQ1929="À RÉPARER",AQ1929="COUPE – À RESOUDER",AQ1929="VT REJETÉ – À REPRENDRE")),MAX(0,'PROGRAMME RT'!$C$4-U1929),"")</f>
        <v/>
      </c>
      <c r="AS1929" s="82" t="n">
        <f aca="false">IF(AND(OR(AQ1929="À RADIOGRAPHIER",AQ1929="RÉPARÉ – À RADIOGRAPHIER",AQ1929="NX – RT À REFAIRE"),OR('PROGRAMME RT'!$D$5="TOUTES",B1929='PROGRAMME RT'!$D$5)),1,0)</f>
        <v>0</v>
      </c>
      <c r="AT1929" s="82" t="str">
        <f aca="false">IF(AS1929=1,SUM(AS$7:AS1929),"")</f>
        <v/>
      </c>
      <c r="AU1929" s="82" t="n">
        <f aca="false">IF(AND(OR(AA1929="R",AA1929="NX",AA1929="NT",AA1929="CO"),OR('JOINTS DE RÉPARATION'!$D$5="TOUTES",B1929='JOINTS DE RÉPARATION'!$D$5),OR('JOINTS DE RÉPARATION'!$L$4="TOUS",AQ1929&lt;&gt;"ACCEPTÉ")),1,0)</f>
        <v>0</v>
      </c>
      <c r="AV1929" s="82" t="str">
        <f aca="false">IF(AU1929=1,SUM(AU$7:AU1929),"")</f>
        <v/>
      </c>
      <c r="AW1929" s="82" t="str">
        <f aca="false">IF(E1929="","",B1929&amp;"|"&amp;E1929)</f>
        <v>MFD-ISW → MFD-CPF|JN°1494</v>
      </c>
    </row>
    <row r="1930" customFormat="false" ht="74.6" hidden="false" customHeight="false" outlineLevel="0" collapsed="false">
      <c r="A1930" s="79" t="n">
        <f aca="false">IF(E1930="","",ROW()-6)</f>
        <v>1924</v>
      </c>
      <c r="B1930" s="80" t="s">
        <v>110</v>
      </c>
      <c r="C1930" s="81" t="s">
        <v>2263</v>
      </c>
      <c r="D1930" s="81" t="n">
        <v>18</v>
      </c>
      <c r="E1930" s="81" t="s">
        <v>2354</v>
      </c>
      <c r="F1930" s="82" t="str">
        <f aca="false">IF(E1930="","",IF(LEFT(E1930,2)="DJ","DJ","JN"))</f>
        <v>DJ</v>
      </c>
      <c r="G1930" s="81"/>
      <c r="H1930" s="81" t="s">
        <v>871</v>
      </c>
      <c r="I1930" s="81" t="n">
        <v>9.53</v>
      </c>
      <c r="J1930" s="81" t="s">
        <v>872</v>
      </c>
      <c r="K1930" s="81" t="s">
        <v>873</v>
      </c>
      <c r="L1930" s="81" t="n">
        <v>2088510</v>
      </c>
      <c r="M1930" s="81" t="n">
        <v>15421108</v>
      </c>
      <c r="N1930" s="81" t="n">
        <v>11.94</v>
      </c>
      <c r="O1930" s="81" t="n">
        <v>2095220</v>
      </c>
      <c r="P1930" s="81" t="n">
        <v>15421111</v>
      </c>
      <c r="Q1930" s="81" t="n">
        <v>11.94</v>
      </c>
      <c r="R1930" s="81" t="s">
        <v>1517</v>
      </c>
      <c r="S1930" s="81"/>
      <c r="T1930" s="81"/>
      <c r="U1930" s="83" t="n">
        <v>46252</v>
      </c>
      <c r="V1930" s="83" t="n">
        <v>46252</v>
      </c>
      <c r="W1930" s="81" t="s">
        <v>2275</v>
      </c>
      <c r="X1930" s="81" t="s">
        <v>876</v>
      </c>
      <c r="Y1930" s="83" t="n">
        <v>46257</v>
      </c>
      <c r="Z1930" s="81" t="s">
        <v>2300</v>
      </c>
      <c r="AA1930" s="81" t="s">
        <v>876</v>
      </c>
      <c r="AB1930" s="81"/>
      <c r="AC1930" s="81"/>
      <c r="AD1930" s="81"/>
      <c r="AE1930" s="83"/>
      <c r="AF1930" s="81"/>
      <c r="AG1930" s="81"/>
      <c r="AH1930" s="81"/>
      <c r="AI1930" s="81"/>
      <c r="AJ1930" s="83"/>
      <c r="AK1930" s="81"/>
      <c r="AL1930" s="81"/>
      <c r="AM1930" s="83"/>
      <c r="AN1930" s="80"/>
      <c r="AO1930" s="82" t="n">
        <f aca="false">IF(E1930="","",(AA1930&lt;&gt;"")+(AG1930&lt;&gt;"")+(AL1930&lt;&gt;""))</f>
        <v>1</v>
      </c>
      <c r="AP1930" s="82" t="str">
        <f aca="false">IF(AL1930&lt;&gt;"",AL1930,IF(AG1930&lt;&gt;"",AG1930,IF(AA1930&lt;&gt;"",AA1930,"")))</f>
        <v>A</v>
      </c>
      <c r="AQ1930" s="84" t="str">
        <f aca="false">IF(E1930="","",IF(U1930="","À SOUDER",IF(X1930="","VT EN ATTENTE",IF(X1930="R","VT REJETÉ – À REPRENDRE",IF(AP1930="","À RADIOGRAPHIER",IF(AP1930="A","ACCEPTÉ",IF(AP1930="NX","NX – RT À REFAIRE",IF(IF(AO1930=1,AD1930,IF(AO1930=2,AI1930,""))="A","RÉPARÉ – À RADIOGRAPHIER",IF(IF(AO1930=1,AD1930,IF(AO1930=2,AI1930,""))="R","VT REJETÉ – À REPRENDRE",IF(OR(AP1930="CO",AP1930="NT"),"COUPE – À RESOUDER","À RÉPARER"))))))))))</f>
        <v>ACCEPTÉ</v>
      </c>
      <c r="AR1930" s="82" t="str">
        <f aca="false">IF(AND(ISNUMBER(U1930),OR(AQ1930="À RADIOGRAPHIER",AQ1930="RÉPARÉ – À RADIOGRAPHIER",AQ1930="NX – RT À REFAIRE",AQ1930="À RÉPARER",AQ1930="COUPE – À RESOUDER",AQ1930="VT REJETÉ – À REPRENDRE")),MAX(0,'PROGRAMME RT'!$C$4-U1930),"")</f>
        <v/>
      </c>
      <c r="AS1930" s="82" t="n">
        <f aca="false">IF(AND(OR(AQ1930="À RADIOGRAPHIER",AQ1930="RÉPARÉ – À RADIOGRAPHIER",AQ1930="NX – RT À REFAIRE"),OR('PROGRAMME RT'!$D$5="TOUTES",B1930='PROGRAMME RT'!$D$5)),1,0)</f>
        <v>0</v>
      </c>
      <c r="AT1930" s="82" t="str">
        <f aca="false">IF(AS1930=1,SUM(AS$7:AS1930),"")</f>
        <v/>
      </c>
      <c r="AU1930" s="82" t="n">
        <f aca="false">IF(AND(OR(AA1930="R",AA1930="NX",AA1930="NT",AA1930="CO"),OR('JOINTS DE RÉPARATION'!$D$5="TOUTES",B1930='JOINTS DE RÉPARATION'!$D$5),OR('JOINTS DE RÉPARATION'!$L$4="TOUS",AQ1930&lt;&gt;"ACCEPTÉ")),1,0)</f>
        <v>0</v>
      </c>
      <c r="AV1930" s="82" t="str">
        <f aca="false">IF(AU1930=1,SUM(AU$7:AU1930),"")</f>
        <v/>
      </c>
      <c r="AW1930" s="82" t="str">
        <f aca="false">IF(E1930="","",B1930&amp;"|"&amp;E1930)</f>
        <v>MFD-ISW → MFD-CPF|DJ°047</v>
      </c>
    </row>
    <row r="1931" customFormat="false" ht="74.6" hidden="false" customHeight="false" outlineLevel="0" collapsed="false">
      <c r="A1931" s="79" t="n">
        <f aca="false">IF(E1931="","",ROW()-6)</f>
        <v>1925</v>
      </c>
      <c r="B1931" s="80" t="s">
        <v>110</v>
      </c>
      <c r="C1931" s="81" t="s">
        <v>2263</v>
      </c>
      <c r="D1931" s="81" t="n">
        <v>18</v>
      </c>
      <c r="E1931" s="81" t="s">
        <v>2355</v>
      </c>
      <c r="F1931" s="82" t="str">
        <f aca="false">IF(E1931="","",IF(LEFT(E1931,2)="DJ","DJ","JN"))</f>
        <v>JN</v>
      </c>
      <c r="G1931" s="81" t="s">
        <v>1504</v>
      </c>
      <c r="H1931" s="81" t="s">
        <v>871</v>
      </c>
      <c r="I1931" s="81" t="n">
        <v>9.53</v>
      </c>
      <c r="J1931" s="81" t="s">
        <v>872</v>
      </c>
      <c r="K1931" s="81" t="s">
        <v>879</v>
      </c>
      <c r="L1931" s="81" t="n">
        <v>2095220</v>
      </c>
      <c r="M1931" s="81" t="n">
        <v>15421111</v>
      </c>
      <c r="N1931" s="81" t="n">
        <v>11.94</v>
      </c>
      <c r="O1931" s="81" t="n">
        <v>2097530</v>
      </c>
      <c r="P1931" s="81" t="n">
        <v>15421112</v>
      </c>
      <c r="Q1931" s="81" t="n">
        <v>11.94</v>
      </c>
      <c r="R1931" s="81" t="s">
        <v>2273</v>
      </c>
      <c r="S1931" s="81"/>
      <c r="T1931" s="81"/>
      <c r="U1931" s="83" t="n">
        <v>46268</v>
      </c>
      <c r="V1931" s="83" t="n">
        <v>46268</v>
      </c>
      <c r="W1931" s="81" t="s">
        <v>2351</v>
      </c>
      <c r="X1931" s="81" t="s">
        <v>876</v>
      </c>
      <c r="Y1931" s="83" t="n">
        <v>46277</v>
      </c>
      <c r="Z1931" s="81" t="s">
        <v>2330</v>
      </c>
      <c r="AA1931" s="81" t="s">
        <v>876</v>
      </c>
      <c r="AB1931" s="81"/>
      <c r="AC1931" s="81"/>
      <c r="AD1931" s="81"/>
      <c r="AE1931" s="83"/>
      <c r="AF1931" s="81"/>
      <c r="AG1931" s="81"/>
      <c r="AH1931" s="81"/>
      <c r="AI1931" s="81"/>
      <c r="AJ1931" s="83"/>
      <c r="AK1931" s="81"/>
      <c r="AL1931" s="81"/>
      <c r="AM1931" s="83"/>
      <c r="AN1931" s="80"/>
      <c r="AO1931" s="82" t="n">
        <f aca="false">IF(E1931="","",(AA1931&lt;&gt;"")+(AG1931&lt;&gt;"")+(AL1931&lt;&gt;""))</f>
        <v>1</v>
      </c>
      <c r="AP1931" s="82" t="str">
        <f aca="false">IF(AL1931&lt;&gt;"",AL1931,IF(AG1931&lt;&gt;"",AG1931,IF(AA1931&lt;&gt;"",AA1931,"")))</f>
        <v>A</v>
      </c>
      <c r="AQ1931" s="84" t="str">
        <f aca="false">IF(E1931="","",IF(U1931="","À SOUDER",IF(X1931="","VT EN ATTENTE",IF(X1931="R","VT REJETÉ – À REPRENDRE",IF(AP1931="","À RADIOGRAPHIER",IF(AP1931="A","ACCEPTÉ",IF(AP1931="NX","NX – RT À REFAIRE",IF(IF(AO1931=1,AD1931,IF(AO1931=2,AI1931,""))="A","RÉPARÉ – À RADIOGRAPHIER",IF(IF(AO1931=1,AD1931,IF(AO1931=2,AI1931,""))="R","VT REJETÉ – À REPRENDRE",IF(OR(AP1931="CO",AP1931="NT"),"COUPE – À RESOUDER","À RÉPARER"))))))))))</f>
        <v>ACCEPTÉ</v>
      </c>
      <c r="AR1931" s="82" t="str">
        <f aca="false">IF(AND(ISNUMBER(U1931),OR(AQ1931="À RADIOGRAPHIER",AQ1931="RÉPARÉ – À RADIOGRAPHIER",AQ1931="NX – RT À REFAIRE",AQ1931="À RÉPARER",AQ1931="COUPE – À RESOUDER",AQ1931="VT REJETÉ – À REPRENDRE")),MAX(0,'PROGRAMME RT'!$C$4-U1931),"")</f>
        <v/>
      </c>
      <c r="AS1931" s="82" t="n">
        <f aca="false">IF(AND(OR(AQ1931="À RADIOGRAPHIER",AQ1931="RÉPARÉ – À RADIOGRAPHIER",AQ1931="NX – RT À REFAIRE"),OR('PROGRAMME RT'!$D$5="TOUTES",B1931='PROGRAMME RT'!$D$5)),1,0)</f>
        <v>0</v>
      </c>
      <c r="AT1931" s="82" t="str">
        <f aca="false">IF(AS1931=1,SUM(AS$7:AS1931),"")</f>
        <v/>
      </c>
      <c r="AU1931" s="82" t="n">
        <f aca="false">IF(AND(OR(AA1931="R",AA1931="NX",AA1931="NT",AA1931="CO"),OR('JOINTS DE RÉPARATION'!$D$5="TOUTES",B1931='JOINTS DE RÉPARATION'!$D$5),OR('JOINTS DE RÉPARATION'!$L$4="TOUS",AQ1931&lt;&gt;"ACCEPTÉ")),1,0)</f>
        <v>0</v>
      </c>
      <c r="AV1931" s="82" t="str">
        <f aca="false">IF(AU1931=1,SUM(AU$7:AU1931),"")</f>
        <v/>
      </c>
      <c r="AW1931" s="82" t="str">
        <f aca="false">IF(E1931="","",B1931&amp;"|"&amp;E1931)</f>
        <v>MFD-ISW → MFD-CPF|JN°1495</v>
      </c>
    </row>
    <row r="1932" customFormat="false" ht="74.6" hidden="false" customHeight="false" outlineLevel="0" collapsed="false">
      <c r="A1932" s="79" t="n">
        <f aca="false">IF(E1932="","",ROW()-6)</f>
        <v>1926</v>
      </c>
      <c r="B1932" s="80" t="s">
        <v>110</v>
      </c>
      <c r="C1932" s="81" t="s">
        <v>2263</v>
      </c>
      <c r="D1932" s="81" t="n">
        <v>18</v>
      </c>
      <c r="E1932" s="81" t="s">
        <v>2356</v>
      </c>
      <c r="F1932" s="82" t="str">
        <f aca="false">IF(E1932="","",IF(LEFT(E1932,2)="DJ","DJ","JN"))</f>
        <v>DJ</v>
      </c>
      <c r="G1932" s="81"/>
      <c r="H1932" s="81" t="s">
        <v>871</v>
      </c>
      <c r="I1932" s="81" t="n">
        <v>9.53</v>
      </c>
      <c r="J1932" s="81" t="s">
        <v>872</v>
      </c>
      <c r="K1932" s="81" t="s">
        <v>873</v>
      </c>
      <c r="L1932" s="81" t="n">
        <v>2097530</v>
      </c>
      <c r="M1932" s="81" t="n">
        <v>15421112</v>
      </c>
      <c r="N1932" s="81" t="n">
        <v>11.94</v>
      </c>
      <c r="O1932" s="81" t="n">
        <v>2081050</v>
      </c>
      <c r="P1932" s="81" t="n">
        <v>15421103</v>
      </c>
      <c r="Q1932" s="81" t="n">
        <v>11.94</v>
      </c>
      <c r="R1932" s="81" t="s">
        <v>920</v>
      </c>
      <c r="S1932" s="81"/>
      <c r="T1932" s="81"/>
      <c r="U1932" s="83" t="n">
        <v>46258</v>
      </c>
      <c r="V1932" s="83" t="n">
        <v>46258</v>
      </c>
      <c r="W1932" s="81" t="s">
        <v>2137</v>
      </c>
      <c r="X1932" s="81" t="s">
        <v>876</v>
      </c>
      <c r="Y1932" s="83" t="n">
        <v>46259</v>
      </c>
      <c r="Z1932" s="81" t="s">
        <v>2305</v>
      </c>
      <c r="AA1932" s="81" t="s">
        <v>876</v>
      </c>
      <c r="AB1932" s="81"/>
      <c r="AC1932" s="81"/>
      <c r="AD1932" s="81"/>
      <c r="AE1932" s="83"/>
      <c r="AF1932" s="81"/>
      <c r="AG1932" s="81"/>
      <c r="AH1932" s="81"/>
      <c r="AI1932" s="81"/>
      <c r="AJ1932" s="83"/>
      <c r="AK1932" s="81"/>
      <c r="AL1932" s="81"/>
      <c r="AM1932" s="83"/>
      <c r="AN1932" s="80"/>
      <c r="AO1932" s="82" t="n">
        <f aca="false">IF(E1932="","",(AA1932&lt;&gt;"")+(AG1932&lt;&gt;"")+(AL1932&lt;&gt;""))</f>
        <v>1</v>
      </c>
      <c r="AP1932" s="82" t="str">
        <f aca="false">IF(AL1932&lt;&gt;"",AL1932,IF(AG1932&lt;&gt;"",AG1932,IF(AA1932&lt;&gt;"",AA1932,"")))</f>
        <v>A</v>
      </c>
      <c r="AQ1932" s="84" t="str">
        <f aca="false">IF(E1932="","",IF(U1932="","À SOUDER",IF(X1932="","VT EN ATTENTE",IF(X1932="R","VT REJETÉ – À REPRENDRE",IF(AP1932="","À RADIOGRAPHIER",IF(AP1932="A","ACCEPTÉ",IF(AP1932="NX","NX – RT À REFAIRE",IF(IF(AO1932=1,AD1932,IF(AO1932=2,AI1932,""))="A","RÉPARÉ – À RADIOGRAPHIER",IF(IF(AO1932=1,AD1932,IF(AO1932=2,AI1932,""))="R","VT REJETÉ – À REPRENDRE",IF(OR(AP1932="CO",AP1932="NT"),"COUPE – À RESOUDER","À RÉPARER"))))))))))</f>
        <v>ACCEPTÉ</v>
      </c>
      <c r="AR1932" s="82" t="str">
        <f aca="false">IF(AND(ISNUMBER(U1932),OR(AQ1932="À RADIOGRAPHIER",AQ1932="RÉPARÉ – À RADIOGRAPHIER",AQ1932="NX – RT À REFAIRE",AQ1932="À RÉPARER",AQ1932="COUPE – À RESOUDER",AQ1932="VT REJETÉ – À REPRENDRE")),MAX(0,'PROGRAMME RT'!$C$4-U1932),"")</f>
        <v/>
      </c>
      <c r="AS1932" s="82" t="n">
        <f aca="false">IF(AND(OR(AQ1932="À RADIOGRAPHIER",AQ1932="RÉPARÉ – À RADIOGRAPHIER",AQ1932="NX – RT À REFAIRE"),OR('PROGRAMME RT'!$D$5="TOUTES",B1932='PROGRAMME RT'!$D$5)),1,0)</f>
        <v>0</v>
      </c>
      <c r="AT1932" s="82" t="str">
        <f aca="false">IF(AS1932=1,SUM(AS$7:AS1932),"")</f>
        <v/>
      </c>
      <c r="AU1932" s="82" t="n">
        <f aca="false">IF(AND(OR(AA1932="R",AA1932="NX",AA1932="NT",AA1932="CO"),OR('JOINTS DE RÉPARATION'!$D$5="TOUTES",B1932='JOINTS DE RÉPARATION'!$D$5),OR('JOINTS DE RÉPARATION'!$L$4="TOUS",AQ1932&lt;&gt;"ACCEPTÉ")),1,0)</f>
        <v>0</v>
      </c>
      <c r="AV1932" s="82" t="str">
        <f aca="false">IF(AU1932=1,SUM(AU$7:AU1932),"")</f>
        <v/>
      </c>
      <c r="AW1932" s="82" t="str">
        <f aca="false">IF(E1932="","",B1932&amp;"|"&amp;E1932)</f>
        <v>MFD-ISW → MFD-CPF|DJ°125</v>
      </c>
    </row>
    <row r="1933" customFormat="false" ht="74.6" hidden="false" customHeight="false" outlineLevel="0" collapsed="false">
      <c r="A1933" s="79" t="n">
        <f aca="false">IF(E1933="","",ROW()-6)</f>
        <v>1927</v>
      </c>
      <c r="B1933" s="80" t="s">
        <v>110</v>
      </c>
      <c r="C1933" s="81" t="s">
        <v>2263</v>
      </c>
      <c r="D1933" s="81" t="n">
        <v>18</v>
      </c>
      <c r="E1933" s="81" t="s">
        <v>2357</v>
      </c>
      <c r="F1933" s="82" t="str">
        <f aca="false">IF(E1933="","",IF(LEFT(E1933,2)="DJ","DJ","JN"))</f>
        <v>JN</v>
      </c>
      <c r="G1933" s="81" t="s">
        <v>1504</v>
      </c>
      <c r="H1933" s="81" t="s">
        <v>871</v>
      </c>
      <c r="I1933" s="81" t="n">
        <v>9.53</v>
      </c>
      <c r="J1933" s="81" t="s">
        <v>872</v>
      </c>
      <c r="K1933" s="81" t="s">
        <v>1861</v>
      </c>
      <c r="L1933" s="81" t="n">
        <v>2081050</v>
      </c>
      <c r="M1933" s="81" t="n">
        <v>15421103</v>
      </c>
      <c r="N1933" s="81" t="n">
        <v>11.94</v>
      </c>
      <c r="O1933" s="81" t="n">
        <v>2082770</v>
      </c>
      <c r="P1933" s="81" t="n">
        <v>15421104</v>
      </c>
      <c r="Q1933" s="81" t="n">
        <v>11.94</v>
      </c>
      <c r="R1933" s="81" t="s">
        <v>1884</v>
      </c>
      <c r="S1933" s="81"/>
      <c r="T1933" s="81"/>
      <c r="U1933" s="83" t="n">
        <v>46287</v>
      </c>
      <c r="V1933" s="83" t="n">
        <v>46287</v>
      </c>
      <c r="W1933" s="81" t="s">
        <v>2346</v>
      </c>
      <c r="X1933" s="81" t="s">
        <v>876</v>
      </c>
      <c r="Y1933" s="83"/>
      <c r="Z1933" s="81"/>
      <c r="AA1933" s="81"/>
      <c r="AB1933" s="81"/>
      <c r="AC1933" s="81"/>
      <c r="AD1933" s="81"/>
      <c r="AE1933" s="83"/>
      <c r="AF1933" s="81"/>
      <c r="AG1933" s="81"/>
      <c r="AH1933" s="81"/>
      <c r="AI1933" s="81"/>
      <c r="AJ1933" s="83"/>
      <c r="AK1933" s="81"/>
      <c r="AL1933" s="81"/>
      <c r="AM1933" s="83"/>
      <c r="AN1933" s="80"/>
      <c r="AO1933" s="82" t="n">
        <f aca="false">IF(E1933="","",(AA1933&lt;&gt;"")+(AG1933&lt;&gt;"")+(AL1933&lt;&gt;""))</f>
        <v>0</v>
      </c>
      <c r="AP1933" s="82" t="str">
        <f aca="false">IF(AL1933&lt;&gt;"",AL1933,IF(AG1933&lt;&gt;"",AG1933,IF(AA1933&lt;&gt;"",AA1933,"")))</f>
        <v/>
      </c>
      <c r="AQ1933" s="84" t="str">
        <f aca="false">IF(E1933="","",IF(U1933="","À SOUDER",IF(X1933="","VT EN ATTENTE",IF(X1933="R","VT REJETÉ – À REPRENDRE",IF(AP1933="","À RADIOGRAPHIER",IF(AP1933="A","ACCEPTÉ",IF(AP1933="NX","NX – RT À REFAIRE",IF(IF(AO1933=1,AD1933,IF(AO1933=2,AI1933,""))="A","RÉPARÉ – À RADIOGRAPHIER",IF(IF(AO1933=1,AD1933,IF(AO1933=2,AI1933,""))="R","VT REJETÉ – À REPRENDRE",IF(OR(AP1933="CO",AP1933="NT"),"COUPE – À RESOUDER","À RÉPARER"))))))))))</f>
        <v>À RADIOGRAPHIER</v>
      </c>
      <c r="AR1933" s="82" t="n">
        <f aca="false">IF(AND(ISNUMBER(U1933),OR(AQ1933="À RADIOGRAPHIER",AQ1933="RÉPARÉ – À RADIOGRAPHIER",AQ1933="NX – RT À REFAIRE",AQ1933="À RÉPARER",AQ1933="COUPE – À RESOUDER",AQ1933="VT REJETÉ – À REPRENDRE")),MAX(0,'PROGRAMME RT'!$C$4-U1933),"")</f>
        <v>6</v>
      </c>
      <c r="AS1933" s="82" t="n">
        <f aca="false">IF(AND(OR(AQ1933="À RADIOGRAPHIER",AQ1933="RÉPARÉ – À RADIOGRAPHIER",AQ1933="NX – RT À REFAIRE"),OR('PROGRAMME RT'!$D$5="TOUTES",B1933='PROGRAMME RT'!$D$5)),1,0)</f>
        <v>1</v>
      </c>
      <c r="AT1933" s="82" t="n">
        <f aca="false">IF(AS1933=1,SUM(AS$7:AS1933),"")</f>
        <v>101</v>
      </c>
      <c r="AU1933" s="82" t="n">
        <f aca="false">IF(AND(OR(AA1933="R",AA1933="NX",AA1933="NT",AA1933="CO"),OR('JOINTS DE RÉPARATION'!$D$5="TOUTES",B1933='JOINTS DE RÉPARATION'!$D$5),OR('JOINTS DE RÉPARATION'!$L$4="TOUS",AQ1933&lt;&gt;"ACCEPTÉ")),1,0)</f>
        <v>0</v>
      </c>
      <c r="AV1933" s="82" t="str">
        <f aca="false">IF(AU1933=1,SUM(AU$7:AU1933),"")</f>
        <v/>
      </c>
      <c r="AW1933" s="82" t="str">
        <f aca="false">IF(E1933="","",B1933&amp;"|"&amp;E1933)</f>
        <v>MFD-ISW → MFD-CPF|JN°1496R</v>
      </c>
    </row>
    <row r="1934" customFormat="false" ht="74.6" hidden="false" customHeight="false" outlineLevel="0" collapsed="false">
      <c r="A1934" s="79" t="n">
        <f aca="false">IF(E1934="","",ROW()-6)</f>
        <v>1928</v>
      </c>
      <c r="B1934" s="80" t="s">
        <v>110</v>
      </c>
      <c r="C1934" s="81" t="s">
        <v>2263</v>
      </c>
      <c r="D1934" s="81" t="n">
        <v>18</v>
      </c>
      <c r="E1934" s="81" t="s">
        <v>2358</v>
      </c>
      <c r="F1934" s="82" t="str">
        <f aca="false">IF(E1934="","",IF(LEFT(E1934,2)="DJ","DJ","JN"))</f>
        <v>DJ</v>
      </c>
      <c r="G1934" s="81"/>
      <c r="H1934" s="81" t="s">
        <v>871</v>
      </c>
      <c r="I1934" s="81" t="n">
        <v>9.53</v>
      </c>
      <c r="J1934" s="81" t="s">
        <v>872</v>
      </c>
      <c r="K1934" s="81" t="s">
        <v>873</v>
      </c>
      <c r="L1934" s="81" t="n">
        <v>2082770</v>
      </c>
      <c r="M1934" s="81" t="n">
        <v>15421104</v>
      </c>
      <c r="N1934" s="81" t="n">
        <v>11.94</v>
      </c>
      <c r="O1934" s="81" t="n">
        <v>2084890</v>
      </c>
      <c r="P1934" s="81" t="n">
        <v>15421101</v>
      </c>
      <c r="Q1934" s="81" t="n">
        <v>11.94</v>
      </c>
      <c r="R1934" s="81" t="s">
        <v>1517</v>
      </c>
      <c r="S1934" s="81"/>
      <c r="T1934" s="81"/>
      <c r="U1934" s="83" t="n">
        <v>46258</v>
      </c>
      <c r="V1934" s="83" t="n">
        <v>46258</v>
      </c>
      <c r="W1934" s="81" t="s">
        <v>2137</v>
      </c>
      <c r="X1934" s="81" t="s">
        <v>876</v>
      </c>
      <c r="Y1934" s="83" t="n">
        <v>46259</v>
      </c>
      <c r="Z1934" s="81" t="s">
        <v>2305</v>
      </c>
      <c r="AA1934" s="81" t="s">
        <v>876</v>
      </c>
      <c r="AB1934" s="81"/>
      <c r="AC1934" s="81"/>
      <c r="AD1934" s="81"/>
      <c r="AE1934" s="83"/>
      <c r="AF1934" s="81"/>
      <c r="AG1934" s="81"/>
      <c r="AH1934" s="81"/>
      <c r="AI1934" s="81"/>
      <c r="AJ1934" s="83"/>
      <c r="AK1934" s="81"/>
      <c r="AL1934" s="81"/>
      <c r="AM1934" s="83"/>
      <c r="AN1934" s="80"/>
      <c r="AO1934" s="82" t="n">
        <f aca="false">IF(E1934="","",(AA1934&lt;&gt;"")+(AG1934&lt;&gt;"")+(AL1934&lt;&gt;""))</f>
        <v>1</v>
      </c>
      <c r="AP1934" s="82" t="str">
        <f aca="false">IF(AL1934&lt;&gt;"",AL1934,IF(AG1934&lt;&gt;"",AG1934,IF(AA1934&lt;&gt;"",AA1934,"")))</f>
        <v>A</v>
      </c>
      <c r="AQ1934" s="84" t="str">
        <f aca="false">IF(E1934="","",IF(U1934="","À SOUDER",IF(X1934="","VT EN ATTENTE",IF(X1934="R","VT REJETÉ – À REPRENDRE",IF(AP1934="","À RADIOGRAPHIER",IF(AP1934="A","ACCEPTÉ",IF(AP1934="NX","NX – RT À REFAIRE",IF(IF(AO1934=1,AD1934,IF(AO1934=2,AI1934,""))="A","RÉPARÉ – À RADIOGRAPHIER",IF(IF(AO1934=1,AD1934,IF(AO1934=2,AI1934,""))="R","VT REJETÉ – À REPRENDRE",IF(OR(AP1934="CO",AP1934="NT"),"COUPE – À RESOUDER","À RÉPARER"))))))))))</f>
        <v>ACCEPTÉ</v>
      </c>
      <c r="AR1934" s="82" t="str">
        <f aca="false">IF(AND(ISNUMBER(U1934),OR(AQ1934="À RADIOGRAPHIER",AQ1934="RÉPARÉ – À RADIOGRAPHIER",AQ1934="NX – RT À REFAIRE",AQ1934="À RÉPARER",AQ1934="COUPE – À RESOUDER",AQ1934="VT REJETÉ – À REPRENDRE")),MAX(0,'PROGRAMME RT'!$C$4-U1934),"")</f>
        <v/>
      </c>
      <c r="AS1934" s="82" t="n">
        <f aca="false">IF(AND(OR(AQ1934="À RADIOGRAPHIER",AQ1934="RÉPARÉ – À RADIOGRAPHIER",AQ1934="NX – RT À REFAIRE"),OR('PROGRAMME RT'!$D$5="TOUTES",B1934='PROGRAMME RT'!$D$5)),1,0)</f>
        <v>0</v>
      </c>
      <c r="AT1934" s="82" t="str">
        <f aca="false">IF(AS1934=1,SUM(AS$7:AS1934),"")</f>
        <v/>
      </c>
      <c r="AU1934" s="82" t="n">
        <f aca="false">IF(AND(OR(AA1934="R",AA1934="NX",AA1934="NT",AA1934="CO"),OR('JOINTS DE RÉPARATION'!$D$5="TOUTES",B1934='JOINTS DE RÉPARATION'!$D$5),OR('JOINTS DE RÉPARATION'!$L$4="TOUS",AQ1934&lt;&gt;"ACCEPTÉ")),1,0)</f>
        <v>0</v>
      </c>
      <c r="AV1934" s="82" t="str">
        <f aca="false">IF(AU1934=1,SUM(AU$7:AU1934),"")</f>
        <v/>
      </c>
      <c r="AW1934" s="82" t="str">
        <f aca="false">IF(E1934="","",B1934&amp;"|"&amp;E1934)</f>
        <v>MFD-ISW → MFD-CPF|DJ°120</v>
      </c>
    </row>
    <row r="1935" customFormat="false" ht="74.6" hidden="false" customHeight="false" outlineLevel="0" collapsed="false">
      <c r="A1935" s="79" t="n">
        <f aca="false">IF(E1935="","",ROW()-6)</f>
        <v>1929</v>
      </c>
      <c r="B1935" s="80" t="s">
        <v>110</v>
      </c>
      <c r="C1935" s="81" t="s">
        <v>2263</v>
      </c>
      <c r="D1935" s="81" t="n">
        <v>18</v>
      </c>
      <c r="E1935" s="81" t="s">
        <v>2359</v>
      </c>
      <c r="F1935" s="82" t="str">
        <f aca="false">IF(E1935="","",IF(LEFT(E1935,2)="DJ","DJ","JN"))</f>
        <v>JN</v>
      </c>
      <c r="G1935" s="81" t="s">
        <v>1504</v>
      </c>
      <c r="H1935" s="81" t="s">
        <v>871</v>
      </c>
      <c r="I1935" s="81" t="n">
        <v>9.53</v>
      </c>
      <c r="J1935" s="81" t="s">
        <v>872</v>
      </c>
      <c r="K1935" s="81" t="s">
        <v>1861</v>
      </c>
      <c r="L1935" s="81" t="n">
        <v>2084890</v>
      </c>
      <c r="M1935" s="81" t="n">
        <v>15421101</v>
      </c>
      <c r="N1935" s="81" t="n">
        <v>11.94</v>
      </c>
      <c r="O1935" s="81" t="n">
        <v>2092610</v>
      </c>
      <c r="P1935" s="81" t="n">
        <v>15421110</v>
      </c>
      <c r="Q1935" s="81" t="n">
        <v>11.94</v>
      </c>
      <c r="R1935" s="81" t="s">
        <v>1884</v>
      </c>
      <c r="S1935" s="81"/>
      <c r="T1935" s="81"/>
      <c r="U1935" s="83" t="n">
        <v>46287</v>
      </c>
      <c r="V1935" s="83" t="n">
        <v>46287</v>
      </c>
      <c r="W1935" s="81" t="s">
        <v>2346</v>
      </c>
      <c r="X1935" s="81" t="s">
        <v>876</v>
      </c>
      <c r="Y1935" s="83"/>
      <c r="Z1935" s="81"/>
      <c r="AA1935" s="81"/>
      <c r="AB1935" s="81"/>
      <c r="AC1935" s="81"/>
      <c r="AD1935" s="81"/>
      <c r="AE1935" s="83"/>
      <c r="AF1935" s="81"/>
      <c r="AG1935" s="81"/>
      <c r="AH1935" s="81"/>
      <c r="AI1935" s="81"/>
      <c r="AJ1935" s="83"/>
      <c r="AK1935" s="81"/>
      <c r="AL1935" s="81"/>
      <c r="AM1935" s="83"/>
      <c r="AN1935" s="80"/>
      <c r="AO1935" s="82" t="n">
        <f aca="false">IF(E1935="","",(AA1935&lt;&gt;"")+(AG1935&lt;&gt;"")+(AL1935&lt;&gt;""))</f>
        <v>0</v>
      </c>
      <c r="AP1935" s="82" t="str">
        <f aca="false">IF(AL1935&lt;&gt;"",AL1935,IF(AG1935&lt;&gt;"",AG1935,IF(AA1935&lt;&gt;"",AA1935,"")))</f>
        <v/>
      </c>
      <c r="AQ1935" s="84" t="str">
        <f aca="false">IF(E1935="","",IF(U1935="","À SOUDER",IF(X1935="","VT EN ATTENTE",IF(X1935="R","VT REJETÉ – À REPRENDRE",IF(AP1935="","À RADIOGRAPHIER",IF(AP1935="A","ACCEPTÉ",IF(AP1935="NX","NX – RT À REFAIRE",IF(IF(AO1935=1,AD1935,IF(AO1935=2,AI1935,""))="A","RÉPARÉ – À RADIOGRAPHIER",IF(IF(AO1935=1,AD1935,IF(AO1935=2,AI1935,""))="R","VT REJETÉ – À REPRENDRE",IF(OR(AP1935="CO",AP1935="NT"),"COUPE – À RESOUDER","À RÉPARER"))))))))))</f>
        <v>À RADIOGRAPHIER</v>
      </c>
      <c r="AR1935" s="82" t="n">
        <f aca="false">IF(AND(ISNUMBER(U1935),OR(AQ1935="À RADIOGRAPHIER",AQ1935="RÉPARÉ – À RADIOGRAPHIER",AQ1935="NX – RT À REFAIRE",AQ1935="À RÉPARER",AQ1935="COUPE – À RESOUDER",AQ1935="VT REJETÉ – À REPRENDRE")),MAX(0,'PROGRAMME RT'!$C$4-U1935),"")</f>
        <v>6</v>
      </c>
      <c r="AS1935" s="82" t="n">
        <f aca="false">IF(AND(OR(AQ1935="À RADIOGRAPHIER",AQ1935="RÉPARÉ – À RADIOGRAPHIER",AQ1935="NX – RT À REFAIRE"),OR('PROGRAMME RT'!$D$5="TOUTES",B1935='PROGRAMME RT'!$D$5)),1,0)</f>
        <v>1</v>
      </c>
      <c r="AT1935" s="82" t="n">
        <f aca="false">IF(AS1935=1,SUM(AS$7:AS1935),"")</f>
        <v>102</v>
      </c>
      <c r="AU1935" s="82" t="n">
        <f aca="false">IF(AND(OR(AA1935="R",AA1935="NX",AA1935="NT",AA1935="CO"),OR('JOINTS DE RÉPARATION'!$D$5="TOUTES",B1935='JOINTS DE RÉPARATION'!$D$5),OR('JOINTS DE RÉPARATION'!$L$4="TOUS",AQ1935&lt;&gt;"ACCEPTÉ")),1,0)</f>
        <v>0</v>
      </c>
      <c r="AV1935" s="82" t="str">
        <f aca="false">IF(AU1935=1,SUM(AU$7:AU1935),"")</f>
        <v/>
      </c>
      <c r="AW1935" s="82" t="str">
        <f aca="false">IF(E1935="","",B1935&amp;"|"&amp;E1935)</f>
        <v>MFD-ISW → MFD-CPF|JN°1497R</v>
      </c>
    </row>
    <row r="1936" customFormat="false" ht="74.6" hidden="false" customHeight="false" outlineLevel="0" collapsed="false">
      <c r="A1936" s="79" t="n">
        <f aca="false">IF(E1936="","",ROW()-6)</f>
        <v>1930</v>
      </c>
      <c r="B1936" s="80" t="s">
        <v>110</v>
      </c>
      <c r="C1936" s="81" t="s">
        <v>2263</v>
      </c>
      <c r="D1936" s="81" t="n">
        <v>18</v>
      </c>
      <c r="E1936" s="81" t="s">
        <v>2360</v>
      </c>
      <c r="F1936" s="82" t="str">
        <f aca="false">IF(E1936="","",IF(LEFT(E1936,2)="DJ","DJ","JN"))</f>
        <v>DJ</v>
      </c>
      <c r="G1936" s="81"/>
      <c r="H1936" s="81" t="s">
        <v>871</v>
      </c>
      <c r="I1936" s="81" t="n">
        <v>9.53</v>
      </c>
      <c r="J1936" s="81" t="s">
        <v>872</v>
      </c>
      <c r="K1936" s="81" t="s">
        <v>873</v>
      </c>
      <c r="L1936" s="81" t="n">
        <v>2092610</v>
      </c>
      <c r="M1936" s="81" t="n">
        <v>15421110</v>
      </c>
      <c r="N1936" s="81" t="n">
        <v>11.94</v>
      </c>
      <c r="O1936" s="81" t="n">
        <v>2089860</v>
      </c>
      <c r="P1936" s="81" t="n">
        <v>15421109</v>
      </c>
      <c r="Q1936" s="81" t="n">
        <v>11.94</v>
      </c>
      <c r="R1936" s="81" t="s">
        <v>1517</v>
      </c>
      <c r="S1936" s="81"/>
      <c r="T1936" s="81"/>
      <c r="U1936" s="83" t="n">
        <v>46253</v>
      </c>
      <c r="V1936" s="83" t="n">
        <v>46254</v>
      </c>
      <c r="W1936" s="81" t="s">
        <v>2240</v>
      </c>
      <c r="X1936" s="81" t="s">
        <v>876</v>
      </c>
      <c r="Y1936" s="83" t="n">
        <v>46259</v>
      </c>
      <c r="Z1936" s="81" t="s">
        <v>1569</v>
      </c>
      <c r="AA1936" s="81" t="s">
        <v>1073</v>
      </c>
      <c r="AB1936" s="81" t="s">
        <v>2361</v>
      </c>
      <c r="AC1936" s="81"/>
      <c r="AD1936" s="81"/>
      <c r="AE1936" s="83"/>
      <c r="AF1936" s="81"/>
      <c r="AG1936" s="81"/>
      <c r="AH1936" s="81"/>
      <c r="AI1936" s="81"/>
      <c r="AJ1936" s="83"/>
      <c r="AK1936" s="81"/>
      <c r="AL1936" s="81"/>
      <c r="AM1936" s="83"/>
      <c r="AN1936" s="80"/>
      <c r="AO1936" s="82" t="n">
        <f aca="false">IF(E1936="","",(AA1936&lt;&gt;"")+(AG1936&lt;&gt;"")+(AL1936&lt;&gt;""))</f>
        <v>1</v>
      </c>
      <c r="AP1936" s="82" t="str">
        <f aca="false">IF(AL1936&lt;&gt;"",AL1936,IF(AG1936&lt;&gt;"",AG1936,IF(AA1936&lt;&gt;"",AA1936,"")))</f>
        <v>R</v>
      </c>
      <c r="AQ1936" s="84" t="str">
        <f aca="false">IF(E1936="","",IF(U1936="","À SOUDER",IF(X1936="","VT EN ATTENTE",IF(X1936="R","VT REJETÉ – À REPRENDRE",IF(AP1936="","À RADIOGRAPHIER",IF(AP1936="A","ACCEPTÉ",IF(AP1936="NX","NX – RT À REFAIRE",IF(IF(AO1936=1,AD1936,IF(AO1936=2,AI1936,""))="A","RÉPARÉ – À RADIOGRAPHIER",IF(IF(AO1936=1,AD1936,IF(AO1936=2,AI1936,""))="R","VT REJETÉ – À REPRENDRE",IF(OR(AP1936="CO",AP1936="NT"),"COUPE – À RESOUDER","À RÉPARER"))))))))))</f>
        <v>À RÉPARER</v>
      </c>
      <c r="AR1936" s="82" t="n">
        <f aca="false">IF(AND(ISNUMBER(U1936),OR(AQ1936="À RADIOGRAPHIER",AQ1936="RÉPARÉ – À RADIOGRAPHIER",AQ1936="NX – RT À REFAIRE",AQ1936="À RÉPARER",AQ1936="COUPE – À RESOUDER",AQ1936="VT REJETÉ – À REPRENDRE")),MAX(0,'PROGRAMME RT'!$C$4-U1936),"")</f>
        <v>40</v>
      </c>
      <c r="AS1936" s="82" t="n">
        <f aca="false">IF(AND(OR(AQ1936="À RADIOGRAPHIER",AQ1936="RÉPARÉ – À RADIOGRAPHIER",AQ1936="NX – RT À REFAIRE"),OR('PROGRAMME RT'!$D$5="TOUTES",B1936='PROGRAMME RT'!$D$5)),1,0)</f>
        <v>0</v>
      </c>
      <c r="AT1936" s="82" t="str">
        <f aca="false">IF(AS1936=1,SUM(AS$7:AS1936),"")</f>
        <v/>
      </c>
      <c r="AU1936" s="82" t="n">
        <f aca="false">IF(AND(OR(AA1936="R",AA1936="NX",AA1936="NT",AA1936="CO"),OR('JOINTS DE RÉPARATION'!$D$5="TOUTES",B1936='JOINTS DE RÉPARATION'!$D$5),OR('JOINTS DE RÉPARATION'!$L$4="TOUS",AQ1936&lt;&gt;"ACCEPTÉ")),1,0)</f>
        <v>1</v>
      </c>
      <c r="AV1936" s="82" t="n">
        <f aca="false">IF(AU1936=1,SUM(AU$7:AU1936),"")</f>
        <v>55</v>
      </c>
      <c r="AW1936" s="82" t="str">
        <f aca="false">IF(E1936="","",B1936&amp;"|"&amp;E1936)</f>
        <v>MFD-ISW → MFD-CPF|DJ°062</v>
      </c>
    </row>
    <row r="1937" customFormat="false" ht="74.6" hidden="false" customHeight="false" outlineLevel="0" collapsed="false">
      <c r="A1937" s="79" t="n">
        <f aca="false">IF(E1937="","",ROW()-6)</f>
        <v>1931</v>
      </c>
      <c r="B1937" s="80" t="s">
        <v>110</v>
      </c>
      <c r="C1937" s="81" t="s">
        <v>2263</v>
      </c>
      <c r="D1937" s="81" t="n">
        <v>18</v>
      </c>
      <c r="E1937" s="81" t="s">
        <v>2362</v>
      </c>
      <c r="F1937" s="82" t="str">
        <f aca="false">IF(E1937="","",IF(LEFT(E1937,2)="DJ","DJ","JN"))</f>
        <v>JN</v>
      </c>
      <c r="G1937" s="81" t="s">
        <v>1504</v>
      </c>
      <c r="H1937" s="81" t="s">
        <v>871</v>
      </c>
      <c r="I1937" s="81" t="n">
        <v>9.53</v>
      </c>
      <c r="J1937" s="81" t="s">
        <v>872</v>
      </c>
      <c r="K1937" s="81" t="s">
        <v>879</v>
      </c>
      <c r="L1937" s="81" t="n">
        <v>2089860</v>
      </c>
      <c r="M1937" s="81" t="n">
        <v>15421109</v>
      </c>
      <c r="N1937" s="81" t="n">
        <v>11.94</v>
      </c>
      <c r="O1937" s="81" t="n">
        <v>2096090</v>
      </c>
      <c r="P1937" s="81" t="n">
        <v>15421111</v>
      </c>
      <c r="Q1937" s="81" t="n">
        <v>11.94</v>
      </c>
      <c r="R1937" s="81" t="s">
        <v>2273</v>
      </c>
      <c r="S1937" s="81"/>
      <c r="T1937" s="81"/>
      <c r="U1937" s="83" t="n">
        <v>46268</v>
      </c>
      <c r="V1937" s="83" t="n">
        <v>46268</v>
      </c>
      <c r="W1937" s="81" t="s">
        <v>2351</v>
      </c>
      <c r="X1937" s="81" t="s">
        <v>876</v>
      </c>
      <c r="Y1937" s="83" t="n">
        <v>46277</v>
      </c>
      <c r="Z1937" s="81" t="s">
        <v>2363</v>
      </c>
      <c r="AA1937" s="81" t="s">
        <v>876</v>
      </c>
      <c r="AB1937" s="81"/>
      <c r="AC1937" s="81"/>
      <c r="AD1937" s="81"/>
      <c r="AE1937" s="83"/>
      <c r="AF1937" s="81"/>
      <c r="AG1937" s="81"/>
      <c r="AH1937" s="81"/>
      <c r="AI1937" s="81"/>
      <c r="AJ1937" s="83"/>
      <c r="AK1937" s="81"/>
      <c r="AL1937" s="81"/>
      <c r="AM1937" s="83"/>
      <c r="AN1937" s="80"/>
      <c r="AO1937" s="82" t="n">
        <f aca="false">IF(E1937="","",(AA1937&lt;&gt;"")+(AG1937&lt;&gt;"")+(AL1937&lt;&gt;""))</f>
        <v>1</v>
      </c>
      <c r="AP1937" s="82" t="str">
        <f aca="false">IF(AL1937&lt;&gt;"",AL1937,IF(AG1937&lt;&gt;"",AG1937,IF(AA1937&lt;&gt;"",AA1937,"")))</f>
        <v>A</v>
      </c>
      <c r="AQ1937" s="84" t="str">
        <f aca="false">IF(E1937="","",IF(U1937="","À SOUDER",IF(X1937="","VT EN ATTENTE",IF(X1937="R","VT REJETÉ – À REPRENDRE",IF(AP1937="","À RADIOGRAPHIER",IF(AP1937="A","ACCEPTÉ",IF(AP1937="NX","NX – RT À REFAIRE",IF(IF(AO1937=1,AD1937,IF(AO1937=2,AI1937,""))="A","RÉPARÉ – À RADIOGRAPHIER",IF(IF(AO1937=1,AD1937,IF(AO1937=2,AI1937,""))="R","VT REJETÉ – À REPRENDRE",IF(OR(AP1937="CO",AP1937="NT"),"COUPE – À RESOUDER","À RÉPARER"))))))))))</f>
        <v>ACCEPTÉ</v>
      </c>
      <c r="AR1937" s="82" t="str">
        <f aca="false">IF(AND(ISNUMBER(U1937),OR(AQ1937="À RADIOGRAPHIER",AQ1937="RÉPARÉ – À RADIOGRAPHIER",AQ1937="NX – RT À REFAIRE",AQ1937="À RÉPARER",AQ1937="COUPE – À RESOUDER",AQ1937="VT REJETÉ – À REPRENDRE")),MAX(0,'PROGRAMME RT'!$C$4-U1937),"")</f>
        <v/>
      </c>
      <c r="AS1937" s="82" t="n">
        <f aca="false">IF(AND(OR(AQ1937="À RADIOGRAPHIER",AQ1937="RÉPARÉ – À RADIOGRAPHIER",AQ1937="NX – RT À REFAIRE"),OR('PROGRAMME RT'!$D$5="TOUTES",B1937='PROGRAMME RT'!$D$5)),1,0)</f>
        <v>0</v>
      </c>
      <c r="AT1937" s="82" t="str">
        <f aca="false">IF(AS1937=1,SUM(AS$7:AS1937),"")</f>
        <v/>
      </c>
      <c r="AU1937" s="82" t="n">
        <f aca="false">IF(AND(OR(AA1937="R",AA1937="NX",AA1937="NT",AA1937="CO"),OR('JOINTS DE RÉPARATION'!$D$5="TOUTES",B1937='JOINTS DE RÉPARATION'!$D$5),OR('JOINTS DE RÉPARATION'!$L$4="TOUS",AQ1937&lt;&gt;"ACCEPTÉ")),1,0)</f>
        <v>0</v>
      </c>
      <c r="AV1937" s="82" t="str">
        <f aca="false">IF(AU1937=1,SUM(AU$7:AU1937),"")</f>
        <v/>
      </c>
      <c r="AW1937" s="82" t="str">
        <f aca="false">IF(E1937="","",B1937&amp;"|"&amp;E1937)</f>
        <v>MFD-ISW → MFD-CPF|JN°1498</v>
      </c>
    </row>
    <row r="1938" customFormat="false" ht="74.6" hidden="false" customHeight="false" outlineLevel="0" collapsed="false">
      <c r="A1938" s="79" t="n">
        <f aca="false">IF(E1938="","",ROW()-6)</f>
        <v>1932</v>
      </c>
      <c r="B1938" s="80" t="s">
        <v>110</v>
      </c>
      <c r="C1938" s="81" t="s">
        <v>2263</v>
      </c>
      <c r="D1938" s="81" t="n">
        <v>18</v>
      </c>
      <c r="E1938" s="81" t="s">
        <v>2364</v>
      </c>
      <c r="F1938" s="82" t="str">
        <f aca="false">IF(E1938="","",IF(LEFT(E1938,2)="DJ","DJ","JN"))</f>
        <v>DJ</v>
      </c>
      <c r="G1938" s="81"/>
      <c r="H1938" s="81" t="s">
        <v>871</v>
      </c>
      <c r="I1938" s="81" t="n">
        <v>9.53</v>
      </c>
      <c r="J1938" s="81" t="s">
        <v>872</v>
      </c>
      <c r="K1938" s="81" t="s">
        <v>873</v>
      </c>
      <c r="L1938" s="81" t="n">
        <v>2096090</v>
      </c>
      <c r="M1938" s="81" t="n">
        <v>15421111</v>
      </c>
      <c r="N1938" s="81" t="n">
        <v>11.94</v>
      </c>
      <c r="O1938" s="81" t="n">
        <v>2093260</v>
      </c>
      <c r="P1938" s="81" t="n">
        <v>15421111</v>
      </c>
      <c r="Q1938" s="81" t="n">
        <v>11.94</v>
      </c>
      <c r="R1938" s="81" t="s">
        <v>920</v>
      </c>
      <c r="S1938" s="81"/>
      <c r="T1938" s="81"/>
      <c r="U1938" s="83" t="n">
        <v>46258</v>
      </c>
      <c r="V1938" s="83" t="n">
        <v>46258</v>
      </c>
      <c r="W1938" s="81" t="s">
        <v>2137</v>
      </c>
      <c r="X1938" s="81" t="s">
        <v>876</v>
      </c>
      <c r="Y1938" s="83" t="n">
        <v>46259</v>
      </c>
      <c r="Z1938" s="81" t="s">
        <v>2305</v>
      </c>
      <c r="AA1938" s="81" t="s">
        <v>876</v>
      </c>
      <c r="AB1938" s="81"/>
      <c r="AC1938" s="81"/>
      <c r="AD1938" s="81"/>
      <c r="AE1938" s="83"/>
      <c r="AF1938" s="81"/>
      <c r="AG1938" s="81"/>
      <c r="AH1938" s="81"/>
      <c r="AI1938" s="81"/>
      <c r="AJ1938" s="83"/>
      <c r="AK1938" s="81"/>
      <c r="AL1938" s="81"/>
      <c r="AM1938" s="83"/>
      <c r="AN1938" s="80"/>
      <c r="AO1938" s="82" t="n">
        <f aca="false">IF(E1938="","",(AA1938&lt;&gt;"")+(AG1938&lt;&gt;"")+(AL1938&lt;&gt;""))</f>
        <v>1</v>
      </c>
      <c r="AP1938" s="82" t="str">
        <f aca="false">IF(AL1938&lt;&gt;"",AL1938,IF(AG1938&lt;&gt;"",AG1938,IF(AA1938&lt;&gt;"",AA1938,"")))</f>
        <v>A</v>
      </c>
      <c r="AQ1938" s="84" t="str">
        <f aca="false">IF(E1938="","",IF(U1938="","À SOUDER",IF(X1938="","VT EN ATTENTE",IF(X1938="R","VT REJETÉ – À REPRENDRE",IF(AP1938="","À RADIOGRAPHIER",IF(AP1938="A","ACCEPTÉ",IF(AP1938="NX","NX – RT À REFAIRE",IF(IF(AO1938=1,AD1938,IF(AO1938=2,AI1938,""))="A","RÉPARÉ – À RADIOGRAPHIER",IF(IF(AO1938=1,AD1938,IF(AO1938=2,AI1938,""))="R","VT REJETÉ – À REPRENDRE",IF(OR(AP1938="CO",AP1938="NT"),"COUPE – À RESOUDER","À RÉPARER"))))))))))</f>
        <v>ACCEPTÉ</v>
      </c>
      <c r="AR1938" s="82" t="str">
        <f aca="false">IF(AND(ISNUMBER(U1938),OR(AQ1938="À RADIOGRAPHIER",AQ1938="RÉPARÉ – À RADIOGRAPHIER",AQ1938="NX – RT À REFAIRE",AQ1938="À RÉPARER",AQ1938="COUPE – À RESOUDER",AQ1938="VT REJETÉ – À REPRENDRE")),MAX(0,'PROGRAMME RT'!$C$4-U1938),"")</f>
        <v/>
      </c>
      <c r="AS1938" s="82" t="n">
        <f aca="false">IF(AND(OR(AQ1938="À RADIOGRAPHIER",AQ1938="RÉPARÉ – À RADIOGRAPHIER",AQ1938="NX – RT À REFAIRE"),OR('PROGRAMME RT'!$D$5="TOUTES",B1938='PROGRAMME RT'!$D$5)),1,0)</f>
        <v>0</v>
      </c>
      <c r="AT1938" s="82" t="str">
        <f aca="false">IF(AS1938=1,SUM(AS$7:AS1938),"")</f>
        <v/>
      </c>
      <c r="AU1938" s="82" t="n">
        <f aca="false">IF(AND(OR(AA1938="R",AA1938="NX",AA1938="NT",AA1938="CO"),OR('JOINTS DE RÉPARATION'!$D$5="TOUTES",B1938='JOINTS DE RÉPARATION'!$D$5),OR('JOINTS DE RÉPARATION'!$L$4="TOUS",AQ1938&lt;&gt;"ACCEPTÉ")),1,0)</f>
        <v>0</v>
      </c>
      <c r="AV1938" s="82" t="str">
        <f aca="false">IF(AU1938=1,SUM(AU$7:AU1938),"")</f>
        <v/>
      </c>
      <c r="AW1938" s="82" t="str">
        <f aca="false">IF(E1938="","",B1938&amp;"|"&amp;E1938)</f>
        <v>MFD-ISW → MFD-CPF|DJ°119</v>
      </c>
    </row>
    <row r="1939" customFormat="false" ht="74.6" hidden="false" customHeight="false" outlineLevel="0" collapsed="false">
      <c r="A1939" s="79" t="n">
        <f aca="false">IF(E1939="","",ROW()-6)</f>
        <v>1933</v>
      </c>
      <c r="B1939" s="80" t="s">
        <v>110</v>
      </c>
      <c r="C1939" s="81" t="s">
        <v>2263</v>
      </c>
      <c r="D1939" s="81" t="n">
        <v>18</v>
      </c>
      <c r="E1939" s="81" t="s">
        <v>2365</v>
      </c>
      <c r="F1939" s="82" t="str">
        <f aca="false">IF(E1939="","",IF(LEFT(E1939,2)="DJ","DJ","JN"))</f>
        <v>JN</v>
      </c>
      <c r="G1939" s="81" t="s">
        <v>1504</v>
      </c>
      <c r="H1939" s="81" t="s">
        <v>871</v>
      </c>
      <c r="I1939" s="81" t="n">
        <v>9.53</v>
      </c>
      <c r="J1939" s="81" t="s">
        <v>872</v>
      </c>
      <c r="K1939" s="81" t="s">
        <v>879</v>
      </c>
      <c r="L1939" s="81" t="n">
        <v>2093260</v>
      </c>
      <c r="M1939" s="81" t="n">
        <v>15421111</v>
      </c>
      <c r="N1939" s="81" t="n">
        <v>11.94</v>
      </c>
      <c r="O1939" s="81" t="n">
        <v>2081290</v>
      </c>
      <c r="P1939" s="81" t="n">
        <v>15421103</v>
      </c>
      <c r="Q1939" s="81" t="n">
        <v>11.94</v>
      </c>
      <c r="R1939" s="81" t="s">
        <v>2273</v>
      </c>
      <c r="S1939" s="81"/>
      <c r="T1939" s="81"/>
      <c r="U1939" s="83" t="n">
        <v>46268</v>
      </c>
      <c r="V1939" s="83" t="n">
        <v>46268</v>
      </c>
      <c r="W1939" s="81" t="s">
        <v>2351</v>
      </c>
      <c r="X1939" s="81" t="s">
        <v>876</v>
      </c>
      <c r="Y1939" s="83" t="n">
        <v>46277</v>
      </c>
      <c r="Z1939" s="81" t="s">
        <v>2363</v>
      </c>
      <c r="AA1939" s="81" t="s">
        <v>876</v>
      </c>
      <c r="AB1939" s="81"/>
      <c r="AC1939" s="81"/>
      <c r="AD1939" s="81"/>
      <c r="AE1939" s="83"/>
      <c r="AF1939" s="81"/>
      <c r="AG1939" s="81"/>
      <c r="AH1939" s="81"/>
      <c r="AI1939" s="81"/>
      <c r="AJ1939" s="83"/>
      <c r="AK1939" s="81"/>
      <c r="AL1939" s="81"/>
      <c r="AM1939" s="83"/>
      <c r="AN1939" s="80"/>
      <c r="AO1939" s="82" t="n">
        <f aca="false">IF(E1939="","",(AA1939&lt;&gt;"")+(AG1939&lt;&gt;"")+(AL1939&lt;&gt;""))</f>
        <v>1</v>
      </c>
      <c r="AP1939" s="82" t="str">
        <f aca="false">IF(AL1939&lt;&gt;"",AL1939,IF(AG1939&lt;&gt;"",AG1939,IF(AA1939&lt;&gt;"",AA1939,"")))</f>
        <v>A</v>
      </c>
      <c r="AQ1939" s="84" t="str">
        <f aca="false">IF(E1939="","",IF(U1939="","À SOUDER",IF(X1939="","VT EN ATTENTE",IF(X1939="R","VT REJETÉ – À REPRENDRE",IF(AP1939="","À RADIOGRAPHIER",IF(AP1939="A","ACCEPTÉ",IF(AP1939="NX","NX – RT À REFAIRE",IF(IF(AO1939=1,AD1939,IF(AO1939=2,AI1939,""))="A","RÉPARÉ – À RADIOGRAPHIER",IF(IF(AO1939=1,AD1939,IF(AO1939=2,AI1939,""))="R","VT REJETÉ – À REPRENDRE",IF(OR(AP1939="CO",AP1939="NT"),"COUPE – À RESOUDER","À RÉPARER"))))))))))</f>
        <v>ACCEPTÉ</v>
      </c>
      <c r="AR1939" s="82" t="str">
        <f aca="false">IF(AND(ISNUMBER(U1939),OR(AQ1939="À RADIOGRAPHIER",AQ1939="RÉPARÉ – À RADIOGRAPHIER",AQ1939="NX – RT À REFAIRE",AQ1939="À RÉPARER",AQ1939="COUPE – À RESOUDER",AQ1939="VT REJETÉ – À REPRENDRE")),MAX(0,'PROGRAMME RT'!$C$4-U1939),"")</f>
        <v/>
      </c>
      <c r="AS1939" s="82" t="n">
        <f aca="false">IF(AND(OR(AQ1939="À RADIOGRAPHIER",AQ1939="RÉPARÉ – À RADIOGRAPHIER",AQ1939="NX – RT À REFAIRE"),OR('PROGRAMME RT'!$D$5="TOUTES",B1939='PROGRAMME RT'!$D$5)),1,0)</f>
        <v>0</v>
      </c>
      <c r="AT1939" s="82" t="str">
        <f aca="false">IF(AS1939=1,SUM(AS$7:AS1939),"")</f>
        <v/>
      </c>
      <c r="AU1939" s="82" t="n">
        <f aca="false">IF(AND(OR(AA1939="R",AA1939="NX",AA1939="NT",AA1939="CO"),OR('JOINTS DE RÉPARATION'!$D$5="TOUTES",B1939='JOINTS DE RÉPARATION'!$D$5),OR('JOINTS DE RÉPARATION'!$L$4="TOUS",AQ1939&lt;&gt;"ACCEPTÉ")),1,0)</f>
        <v>0</v>
      </c>
      <c r="AV1939" s="82" t="str">
        <f aca="false">IF(AU1939=1,SUM(AU$7:AU1939),"")</f>
        <v/>
      </c>
      <c r="AW1939" s="82" t="str">
        <f aca="false">IF(E1939="","",B1939&amp;"|"&amp;E1939)</f>
        <v>MFD-ISW → MFD-CPF|JN°1499</v>
      </c>
    </row>
    <row r="1940" customFormat="false" ht="74.6" hidden="false" customHeight="false" outlineLevel="0" collapsed="false">
      <c r="A1940" s="79" t="n">
        <f aca="false">IF(E1940="","",ROW()-6)</f>
        <v>1934</v>
      </c>
      <c r="B1940" s="80" t="s">
        <v>110</v>
      </c>
      <c r="C1940" s="81" t="s">
        <v>2263</v>
      </c>
      <c r="D1940" s="81" t="n">
        <v>18</v>
      </c>
      <c r="E1940" s="81" t="s">
        <v>2366</v>
      </c>
      <c r="F1940" s="82" t="str">
        <f aca="false">IF(E1940="","",IF(LEFT(E1940,2)="DJ","DJ","JN"))</f>
        <v>DJ</v>
      </c>
      <c r="G1940" s="81"/>
      <c r="H1940" s="81" t="s">
        <v>871</v>
      </c>
      <c r="I1940" s="81" t="n">
        <v>9.53</v>
      </c>
      <c r="J1940" s="81" t="s">
        <v>872</v>
      </c>
      <c r="K1940" s="81" t="s">
        <v>873</v>
      </c>
      <c r="L1940" s="81" t="n">
        <v>2081290</v>
      </c>
      <c r="M1940" s="81" t="n">
        <v>15421103</v>
      </c>
      <c r="N1940" s="81" t="n">
        <v>11.94</v>
      </c>
      <c r="O1940" s="81" t="n">
        <v>2082140</v>
      </c>
      <c r="P1940" s="81" t="n">
        <v>15421104</v>
      </c>
      <c r="Q1940" s="81" t="n">
        <v>11.94</v>
      </c>
      <c r="R1940" s="81" t="s">
        <v>874</v>
      </c>
      <c r="S1940" s="81"/>
      <c r="T1940" s="81"/>
      <c r="U1940" s="83" t="n">
        <v>46254</v>
      </c>
      <c r="V1940" s="83" t="n">
        <v>46254</v>
      </c>
      <c r="W1940" s="81" t="s">
        <v>1578</v>
      </c>
      <c r="X1940" s="81" t="s">
        <v>876</v>
      </c>
      <c r="Y1940" s="83" t="n">
        <v>46259</v>
      </c>
      <c r="Z1940" s="81" t="s">
        <v>1569</v>
      </c>
      <c r="AA1940" s="81" t="s">
        <v>876</v>
      </c>
      <c r="AB1940" s="81"/>
      <c r="AC1940" s="81"/>
      <c r="AD1940" s="81"/>
      <c r="AE1940" s="83"/>
      <c r="AF1940" s="81"/>
      <c r="AG1940" s="81"/>
      <c r="AH1940" s="81"/>
      <c r="AI1940" s="81"/>
      <c r="AJ1940" s="83"/>
      <c r="AK1940" s="81"/>
      <c r="AL1940" s="81"/>
      <c r="AM1940" s="83"/>
      <c r="AN1940" s="80"/>
      <c r="AO1940" s="82" t="n">
        <f aca="false">IF(E1940="","",(AA1940&lt;&gt;"")+(AG1940&lt;&gt;"")+(AL1940&lt;&gt;""))</f>
        <v>1</v>
      </c>
      <c r="AP1940" s="82" t="str">
        <f aca="false">IF(AL1940&lt;&gt;"",AL1940,IF(AG1940&lt;&gt;"",AG1940,IF(AA1940&lt;&gt;"",AA1940,"")))</f>
        <v>A</v>
      </c>
      <c r="AQ1940" s="84" t="str">
        <f aca="false">IF(E1940="","",IF(U1940="","À SOUDER",IF(X1940="","VT EN ATTENTE",IF(X1940="R","VT REJETÉ – À REPRENDRE",IF(AP1940="","À RADIOGRAPHIER",IF(AP1940="A","ACCEPTÉ",IF(AP1940="NX","NX – RT À REFAIRE",IF(IF(AO1940=1,AD1940,IF(AO1940=2,AI1940,""))="A","RÉPARÉ – À RADIOGRAPHIER",IF(IF(AO1940=1,AD1940,IF(AO1940=2,AI1940,""))="R","VT REJETÉ – À REPRENDRE",IF(OR(AP1940="CO",AP1940="NT"),"COUPE – À RESOUDER","À RÉPARER"))))))))))</f>
        <v>ACCEPTÉ</v>
      </c>
      <c r="AR1940" s="82" t="str">
        <f aca="false">IF(AND(ISNUMBER(U1940),OR(AQ1940="À RADIOGRAPHIER",AQ1940="RÉPARÉ – À RADIOGRAPHIER",AQ1940="NX – RT À REFAIRE",AQ1940="À RÉPARER",AQ1940="COUPE – À RESOUDER",AQ1940="VT REJETÉ – À REPRENDRE")),MAX(0,'PROGRAMME RT'!$C$4-U1940),"")</f>
        <v/>
      </c>
      <c r="AS1940" s="82" t="n">
        <f aca="false">IF(AND(OR(AQ1940="À RADIOGRAPHIER",AQ1940="RÉPARÉ – À RADIOGRAPHIER",AQ1940="NX – RT À REFAIRE"),OR('PROGRAMME RT'!$D$5="TOUTES",B1940='PROGRAMME RT'!$D$5)),1,0)</f>
        <v>0</v>
      </c>
      <c r="AT1940" s="82" t="str">
        <f aca="false">IF(AS1940=1,SUM(AS$7:AS1940),"")</f>
        <v/>
      </c>
      <c r="AU1940" s="82" t="n">
        <f aca="false">IF(AND(OR(AA1940="R",AA1940="NX",AA1940="NT",AA1940="CO"),OR('JOINTS DE RÉPARATION'!$D$5="TOUTES",B1940='JOINTS DE RÉPARATION'!$D$5),OR('JOINTS DE RÉPARATION'!$L$4="TOUS",AQ1940&lt;&gt;"ACCEPTÉ")),1,0)</f>
        <v>0</v>
      </c>
      <c r="AV1940" s="82" t="str">
        <f aca="false">IF(AU1940=1,SUM(AU$7:AU1940),"")</f>
        <v/>
      </c>
      <c r="AW1940" s="82" t="str">
        <f aca="false">IF(E1940="","",B1940&amp;"|"&amp;E1940)</f>
        <v>MFD-ISW → MFD-CPF|DJ°070</v>
      </c>
    </row>
    <row r="1941" customFormat="false" ht="74.6" hidden="false" customHeight="false" outlineLevel="0" collapsed="false">
      <c r="A1941" s="79" t="n">
        <f aca="false">IF(E1941="","",ROW()-6)</f>
        <v>1935</v>
      </c>
      <c r="B1941" s="80" t="s">
        <v>110</v>
      </c>
      <c r="C1941" s="81" t="s">
        <v>926</v>
      </c>
      <c r="D1941" s="81" t="n">
        <v>18</v>
      </c>
      <c r="E1941" s="81" t="s">
        <v>2367</v>
      </c>
      <c r="F1941" s="82" t="str">
        <f aca="false">IF(E1941="","",IF(LEFT(E1941,2)="DJ","DJ","JN"))</f>
        <v>JN</v>
      </c>
      <c r="G1941" s="81"/>
      <c r="H1941" s="81"/>
      <c r="I1941" s="81"/>
      <c r="J1941" s="81"/>
      <c r="K1941" s="81"/>
      <c r="L1941" s="81" t="n">
        <v>2082140</v>
      </c>
      <c r="M1941" s="81" t="n">
        <v>15421104</v>
      </c>
      <c r="N1941" s="81" t="n">
        <v>11.94</v>
      </c>
      <c r="O1941" s="81"/>
      <c r="P1941" s="81"/>
      <c r="Q1941" s="81"/>
      <c r="R1941" s="81"/>
      <c r="S1941" s="81"/>
      <c r="T1941" s="81"/>
      <c r="U1941" s="83"/>
      <c r="V1941" s="83"/>
      <c r="W1941" s="81"/>
      <c r="X1941" s="81"/>
      <c r="Y1941" s="83"/>
      <c r="Z1941" s="81"/>
      <c r="AA1941" s="81"/>
      <c r="AB1941" s="81"/>
      <c r="AC1941" s="81"/>
      <c r="AD1941" s="81"/>
      <c r="AE1941" s="83"/>
      <c r="AF1941" s="81"/>
      <c r="AG1941" s="81"/>
      <c r="AH1941" s="81"/>
      <c r="AI1941" s="81"/>
      <c r="AJ1941" s="83"/>
      <c r="AK1941" s="81"/>
      <c r="AL1941" s="81"/>
      <c r="AM1941" s="83"/>
      <c r="AN1941" s="80"/>
      <c r="AO1941" s="82" t="n">
        <f aca="false">IF(E1941="","",(AA1941&lt;&gt;"")+(AG1941&lt;&gt;"")+(AL1941&lt;&gt;""))</f>
        <v>0</v>
      </c>
      <c r="AP1941" s="82" t="str">
        <f aca="false">IF(AL1941&lt;&gt;"",AL1941,IF(AG1941&lt;&gt;"",AG1941,IF(AA1941&lt;&gt;"",AA1941,"")))</f>
        <v/>
      </c>
      <c r="AQ1941" s="84" t="str">
        <f aca="false">IF(E1941="","",IF(U1941="","À SOUDER",IF(X1941="","VT EN ATTENTE",IF(X1941="R","VT REJETÉ – À REPRENDRE",IF(AP1941="","À RADIOGRAPHIER",IF(AP1941="A","ACCEPTÉ",IF(AP1941="NX","NX – RT À REFAIRE",IF(IF(AO1941=1,AD1941,IF(AO1941=2,AI1941,""))="A","RÉPARÉ – À RADIOGRAPHIER",IF(IF(AO1941=1,AD1941,IF(AO1941=2,AI1941,""))="R","VT REJETÉ – À REPRENDRE",IF(OR(AP1941="CO",AP1941="NT"),"COUPE – À RESOUDER","À RÉPARER"))))))))))</f>
        <v>À SOUDER</v>
      </c>
      <c r="AR1941" s="82" t="str">
        <f aca="false">IF(AND(ISNUMBER(U1941),OR(AQ1941="À RADIOGRAPHIER",AQ1941="RÉPARÉ – À RADIOGRAPHIER",AQ1941="NX – RT À REFAIRE",AQ1941="À RÉPARER",AQ1941="COUPE – À RESOUDER",AQ1941="VT REJETÉ – À REPRENDRE")),MAX(0,'PROGRAMME RT'!$C$4-U1941),"")</f>
        <v/>
      </c>
      <c r="AS1941" s="82" t="n">
        <f aca="false">IF(AND(OR(AQ1941="À RADIOGRAPHIER",AQ1941="RÉPARÉ – À RADIOGRAPHIER",AQ1941="NX – RT À REFAIRE"),OR('PROGRAMME RT'!$D$5="TOUTES",B1941='PROGRAMME RT'!$D$5)),1,0)</f>
        <v>0</v>
      </c>
      <c r="AT1941" s="82" t="str">
        <f aca="false">IF(AS1941=1,SUM(AS$7:AS1941),"")</f>
        <v/>
      </c>
      <c r="AU1941" s="82" t="n">
        <f aca="false">IF(AND(OR(AA1941="R",AA1941="NX",AA1941="NT",AA1941="CO"),OR('JOINTS DE RÉPARATION'!$D$5="TOUTES",B1941='JOINTS DE RÉPARATION'!$D$5),OR('JOINTS DE RÉPARATION'!$L$4="TOUS",AQ1941&lt;&gt;"ACCEPTÉ")),1,0)</f>
        <v>0</v>
      </c>
      <c r="AV1941" s="82" t="str">
        <f aca="false">IF(AU1941=1,SUM(AU$7:AU1941),"")</f>
        <v/>
      </c>
      <c r="AW1941" s="82" t="str">
        <f aca="false">IF(E1941="","",B1941&amp;"|"&amp;E1941)</f>
        <v>MFD-ISW → MFD-CPF|JN°1500</v>
      </c>
    </row>
    <row r="1942" customFormat="false" ht="74.6" hidden="false" customHeight="false" outlineLevel="0" collapsed="false">
      <c r="A1942" s="79" t="n">
        <f aca="false">IF(E1942="","",ROW()-6)</f>
        <v>1936</v>
      </c>
      <c r="B1942" s="80" t="s">
        <v>110</v>
      </c>
      <c r="C1942" s="81" t="s">
        <v>926</v>
      </c>
      <c r="D1942" s="81" t="n">
        <v>18</v>
      </c>
      <c r="E1942" s="81" t="s">
        <v>2368</v>
      </c>
      <c r="F1942" s="82" t="str">
        <f aca="false">IF(E1942="","",IF(LEFT(E1942,2)="DJ","DJ","JN"))</f>
        <v>JN</v>
      </c>
      <c r="G1942" s="81"/>
      <c r="H1942" s="81"/>
      <c r="I1942" s="81"/>
      <c r="J1942" s="81"/>
      <c r="K1942" s="81"/>
      <c r="L1942" s="81"/>
      <c r="M1942" s="81"/>
      <c r="N1942" s="81"/>
      <c r="O1942" s="81" t="n">
        <v>2079910</v>
      </c>
      <c r="P1942" s="81" t="n">
        <v>15421102</v>
      </c>
      <c r="Q1942" s="81" t="n">
        <v>11.94</v>
      </c>
      <c r="R1942" s="81"/>
      <c r="S1942" s="81"/>
      <c r="T1942" s="81"/>
      <c r="U1942" s="83"/>
      <c r="V1942" s="83"/>
      <c r="W1942" s="81"/>
      <c r="X1942" s="81"/>
      <c r="Y1942" s="83"/>
      <c r="Z1942" s="81"/>
      <c r="AA1942" s="81"/>
      <c r="AB1942" s="81"/>
      <c r="AC1942" s="81"/>
      <c r="AD1942" s="81"/>
      <c r="AE1942" s="83"/>
      <c r="AF1942" s="81"/>
      <c r="AG1942" s="81"/>
      <c r="AH1942" s="81"/>
      <c r="AI1942" s="81"/>
      <c r="AJ1942" s="83"/>
      <c r="AK1942" s="81"/>
      <c r="AL1942" s="81"/>
      <c r="AM1942" s="83"/>
      <c r="AN1942" s="80"/>
      <c r="AO1942" s="82" t="n">
        <f aca="false">IF(E1942="","",(AA1942&lt;&gt;"")+(AG1942&lt;&gt;"")+(AL1942&lt;&gt;""))</f>
        <v>0</v>
      </c>
      <c r="AP1942" s="82" t="str">
        <f aca="false">IF(AL1942&lt;&gt;"",AL1942,IF(AG1942&lt;&gt;"",AG1942,IF(AA1942&lt;&gt;"",AA1942,"")))</f>
        <v/>
      </c>
      <c r="AQ1942" s="84" t="str">
        <f aca="false">IF(E1942="","",IF(U1942="","À SOUDER",IF(X1942="","VT EN ATTENTE",IF(X1942="R","VT REJETÉ – À REPRENDRE",IF(AP1942="","À RADIOGRAPHIER",IF(AP1942="A","ACCEPTÉ",IF(AP1942="NX","NX – RT À REFAIRE",IF(IF(AO1942=1,AD1942,IF(AO1942=2,AI1942,""))="A","RÉPARÉ – À RADIOGRAPHIER",IF(IF(AO1942=1,AD1942,IF(AO1942=2,AI1942,""))="R","VT REJETÉ – À REPRENDRE",IF(OR(AP1942="CO",AP1942="NT"),"COUPE – À RESOUDER","À RÉPARER"))))))))))</f>
        <v>À SOUDER</v>
      </c>
      <c r="AR1942" s="82" t="str">
        <f aca="false">IF(AND(ISNUMBER(U1942),OR(AQ1942="À RADIOGRAPHIER",AQ1942="RÉPARÉ – À RADIOGRAPHIER",AQ1942="NX – RT À REFAIRE",AQ1942="À RÉPARER",AQ1942="COUPE – À RESOUDER",AQ1942="VT REJETÉ – À REPRENDRE")),MAX(0,'PROGRAMME RT'!$C$4-U1942),"")</f>
        <v/>
      </c>
      <c r="AS1942" s="82" t="n">
        <f aca="false">IF(AND(OR(AQ1942="À RADIOGRAPHIER",AQ1942="RÉPARÉ – À RADIOGRAPHIER",AQ1942="NX – RT À REFAIRE"),OR('PROGRAMME RT'!$D$5="TOUTES",B1942='PROGRAMME RT'!$D$5)),1,0)</f>
        <v>0</v>
      </c>
      <c r="AT1942" s="82" t="str">
        <f aca="false">IF(AS1942=1,SUM(AS$7:AS1942),"")</f>
        <v/>
      </c>
      <c r="AU1942" s="82" t="n">
        <f aca="false">IF(AND(OR(AA1942="R",AA1942="NX",AA1942="NT",AA1942="CO"),OR('JOINTS DE RÉPARATION'!$D$5="TOUTES",B1942='JOINTS DE RÉPARATION'!$D$5),OR('JOINTS DE RÉPARATION'!$L$4="TOUS",AQ1942&lt;&gt;"ACCEPTÉ")),1,0)</f>
        <v>0</v>
      </c>
      <c r="AV1942" s="82" t="str">
        <f aca="false">IF(AU1942=1,SUM(AU$7:AU1942),"")</f>
        <v/>
      </c>
      <c r="AW1942" s="82" t="str">
        <f aca="false">IF(E1942="","",B1942&amp;"|"&amp;E1942)</f>
        <v>MFD-ISW → MFD-CPF|JN°1501</v>
      </c>
    </row>
    <row r="1943" customFormat="false" ht="74.6" hidden="false" customHeight="false" outlineLevel="0" collapsed="false">
      <c r="A1943" s="79" t="n">
        <f aca="false">IF(E1943="","",ROW()-6)</f>
        <v>1937</v>
      </c>
      <c r="B1943" s="80" t="s">
        <v>110</v>
      </c>
      <c r="C1943" s="81" t="s">
        <v>2369</v>
      </c>
      <c r="D1943" s="81" t="n">
        <v>18</v>
      </c>
      <c r="E1943" s="81" t="s">
        <v>2370</v>
      </c>
      <c r="F1943" s="82" t="str">
        <f aca="false">IF(E1943="","",IF(LEFT(E1943,2)="DJ","DJ","JN"))</f>
        <v>DJ</v>
      </c>
      <c r="G1943" s="81"/>
      <c r="H1943" s="81" t="s">
        <v>871</v>
      </c>
      <c r="I1943" s="81" t="n">
        <v>9.53</v>
      </c>
      <c r="J1943" s="81" t="s">
        <v>872</v>
      </c>
      <c r="K1943" s="81" t="s">
        <v>873</v>
      </c>
      <c r="L1943" s="81" t="n">
        <v>2079910</v>
      </c>
      <c r="M1943" s="81" t="n">
        <v>15421102</v>
      </c>
      <c r="N1943" s="81" t="n">
        <v>11.94</v>
      </c>
      <c r="O1943" s="81" t="n">
        <v>2090610</v>
      </c>
      <c r="P1943" s="81" t="n">
        <v>15421109</v>
      </c>
      <c r="Q1943" s="81" t="n">
        <v>11.94</v>
      </c>
      <c r="R1943" s="81" t="s">
        <v>874</v>
      </c>
      <c r="S1943" s="81"/>
      <c r="T1943" s="81"/>
      <c r="U1943" s="83" t="n">
        <v>46258</v>
      </c>
      <c r="V1943" s="83" t="n">
        <v>46258</v>
      </c>
      <c r="W1943" s="81" t="s">
        <v>2137</v>
      </c>
      <c r="X1943" s="81" t="s">
        <v>876</v>
      </c>
      <c r="Y1943" s="83" t="n">
        <v>46259</v>
      </c>
      <c r="Z1943" s="81" t="s">
        <v>2305</v>
      </c>
      <c r="AA1943" s="81" t="s">
        <v>876</v>
      </c>
      <c r="AB1943" s="81"/>
      <c r="AC1943" s="81"/>
      <c r="AD1943" s="81"/>
      <c r="AE1943" s="83"/>
      <c r="AF1943" s="81"/>
      <c r="AG1943" s="81"/>
      <c r="AH1943" s="81"/>
      <c r="AI1943" s="81"/>
      <c r="AJ1943" s="83"/>
      <c r="AK1943" s="81"/>
      <c r="AL1943" s="81"/>
      <c r="AM1943" s="83"/>
      <c r="AN1943" s="80"/>
      <c r="AO1943" s="82" t="n">
        <f aca="false">IF(E1943="","",(AA1943&lt;&gt;"")+(AG1943&lt;&gt;"")+(AL1943&lt;&gt;""))</f>
        <v>1</v>
      </c>
      <c r="AP1943" s="82" t="str">
        <f aca="false">IF(AL1943&lt;&gt;"",AL1943,IF(AG1943&lt;&gt;"",AG1943,IF(AA1943&lt;&gt;"",AA1943,"")))</f>
        <v>A</v>
      </c>
      <c r="AQ1943" s="84" t="str">
        <f aca="false">IF(E1943="","",IF(U1943="","À SOUDER",IF(X1943="","VT EN ATTENTE",IF(X1943="R","VT REJETÉ – À REPRENDRE",IF(AP1943="","À RADIOGRAPHIER",IF(AP1943="A","ACCEPTÉ",IF(AP1943="NX","NX – RT À REFAIRE",IF(IF(AO1943=1,AD1943,IF(AO1943=2,AI1943,""))="A","RÉPARÉ – À RADIOGRAPHIER",IF(IF(AO1943=1,AD1943,IF(AO1943=2,AI1943,""))="R","VT REJETÉ – À REPRENDRE",IF(OR(AP1943="CO",AP1943="NT"),"COUPE – À RESOUDER","À RÉPARER"))))))))))</f>
        <v>ACCEPTÉ</v>
      </c>
      <c r="AR1943" s="82" t="str">
        <f aca="false">IF(AND(ISNUMBER(U1943),OR(AQ1943="À RADIOGRAPHIER",AQ1943="RÉPARÉ – À RADIOGRAPHIER",AQ1943="NX – RT À REFAIRE",AQ1943="À RÉPARER",AQ1943="COUPE – À RESOUDER",AQ1943="VT REJETÉ – À REPRENDRE")),MAX(0,'PROGRAMME RT'!$C$4-U1943),"")</f>
        <v/>
      </c>
      <c r="AS1943" s="82" t="n">
        <f aca="false">IF(AND(OR(AQ1943="À RADIOGRAPHIER",AQ1943="RÉPARÉ – À RADIOGRAPHIER",AQ1943="NX – RT À REFAIRE"),OR('PROGRAMME RT'!$D$5="TOUTES",B1943='PROGRAMME RT'!$D$5)),1,0)</f>
        <v>0</v>
      </c>
      <c r="AT1943" s="82" t="str">
        <f aca="false">IF(AS1943=1,SUM(AS$7:AS1943),"")</f>
        <v/>
      </c>
      <c r="AU1943" s="82" t="n">
        <f aca="false">IF(AND(OR(AA1943="R",AA1943="NX",AA1943="NT",AA1943="CO"),OR('JOINTS DE RÉPARATION'!$D$5="TOUTES",B1943='JOINTS DE RÉPARATION'!$D$5),OR('JOINTS DE RÉPARATION'!$L$4="TOUS",AQ1943&lt;&gt;"ACCEPTÉ")),1,0)</f>
        <v>0</v>
      </c>
      <c r="AV1943" s="82" t="str">
        <f aca="false">IF(AU1943=1,SUM(AU$7:AU1943),"")</f>
        <v/>
      </c>
      <c r="AW1943" s="82" t="str">
        <f aca="false">IF(E1943="","",B1943&amp;"|"&amp;E1943)</f>
        <v>MFD-ISW → MFD-CPF|DJ°121</v>
      </c>
    </row>
    <row r="1944" customFormat="false" ht="74.6" hidden="false" customHeight="false" outlineLevel="0" collapsed="false">
      <c r="A1944" s="79" t="n">
        <f aca="false">IF(E1944="","",ROW()-6)</f>
        <v>1938</v>
      </c>
      <c r="B1944" s="80" t="s">
        <v>110</v>
      </c>
      <c r="C1944" s="81" t="s">
        <v>2369</v>
      </c>
      <c r="D1944" s="81" t="n">
        <v>18</v>
      </c>
      <c r="E1944" s="81" t="s">
        <v>2371</v>
      </c>
      <c r="F1944" s="82" t="str">
        <f aca="false">IF(E1944="","",IF(LEFT(E1944,2)="DJ","DJ","JN"))</f>
        <v>JN</v>
      </c>
      <c r="G1944" s="81" t="s">
        <v>1504</v>
      </c>
      <c r="H1944" s="81" t="s">
        <v>871</v>
      </c>
      <c r="I1944" s="81" t="n">
        <v>9.53</v>
      </c>
      <c r="J1944" s="81" t="s">
        <v>872</v>
      </c>
      <c r="K1944" s="81" t="s">
        <v>879</v>
      </c>
      <c r="L1944" s="81" t="n">
        <v>2090610</v>
      </c>
      <c r="M1944" s="81" t="n">
        <v>15421109</v>
      </c>
      <c r="N1944" s="81" t="n">
        <v>11.94</v>
      </c>
      <c r="O1944" s="81" t="n">
        <v>2097000</v>
      </c>
      <c r="P1944" s="81" t="n">
        <v>15421111</v>
      </c>
      <c r="Q1944" s="81" t="n">
        <v>11.94</v>
      </c>
      <c r="R1944" s="81" t="s">
        <v>2273</v>
      </c>
      <c r="S1944" s="81"/>
      <c r="T1944" s="81"/>
      <c r="U1944" s="83" t="n">
        <v>46268</v>
      </c>
      <c r="V1944" s="83" t="n">
        <v>46268</v>
      </c>
      <c r="W1944" s="81" t="s">
        <v>2351</v>
      </c>
      <c r="X1944" s="81" t="s">
        <v>876</v>
      </c>
      <c r="Y1944" s="83" t="n">
        <v>46276</v>
      </c>
      <c r="Z1944" s="81" t="s">
        <v>2268</v>
      </c>
      <c r="AA1944" s="81" t="s">
        <v>876</v>
      </c>
      <c r="AB1944" s="81"/>
      <c r="AC1944" s="81"/>
      <c r="AD1944" s="81"/>
      <c r="AE1944" s="83"/>
      <c r="AF1944" s="81"/>
      <c r="AG1944" s="81"/>
      <c r="AH1944" s="81"/>
      <c r="AI1944" s="81"/>
      <c r="AJ1944" s="83"/>
      <c r="AK1944" s="81"/>
      <c r="AL1944" s="81"/>
      <c r="AM1944" s="83"/>
      <c r="AN1944" s="80"/>
      <c r="AO1944" s="82" t="n">
        <f aca="false">IF(E1944="","",(AA1944&lt;&gt;"")+(AG1944&lt;&gt;"")+(AL1944&lt;&gt;""))</f>
        <v>1</v>
      </c>
      <c r="AP1944" s="82" t="str">
        <f aca="false">IF(AL1944&lt;&gt;"",AL1944,IF(AG1944&lt;&gt;"",AG1944,IF(AA1944&lt;&gt;"",AA1944,"")))</f>
        <v>A</v>
      </c>
      <c r="AQ1944" s="84" t="str">
        <f aca="false">IF(E1944="","",IF(U1944="","À SOUDER",IF(X1944="","VT EN ATTENTE",IF(X1944="R","VT REJETÉ – À REPRENDRE",IF(AP1944="","À RADIOGRAPHIER",IF(AP1944="A","ACCEPTÉ",IF(AP1944="NX","NX – RT À REFAIRE",IF(IF(AO1944=1,AD1944,IF(AO1944=2,AI1944,""))="A","RÉPARÉ – À RADIOGRAPHIER",IF(IF(AO1944=1,AD1944,IF(AO1944=2,AI1944,""))="R","VT REJETÉ – À REPRENDRE",IF(OR(AP1944="CO",AP1944="NT"),"COUPE – À RESOUDER","À RÉPARER"))))))))))</f>
        <v>ACCEPTÉ</v>
      </c>
      <c r="AR1944" s="82" t="str">
        <f aca="false">IF(AND(ISNUMBER(U1944),OR(AQ1944="À RADIOGRAPHIER",AQ1944="RÉPARÉ – À RADIOGRAPHIER",AQ1944="NX – RT À REFAIRE",AQ1944="À RÉPARER",AQ1944="COUPE – À RESOUDER",AQ1944="VT REJETÉ – À REPRENDRE")),MAX(0,'PROGRAMME RT'!$C$4-U1944),"")</f>
        <v/>
      </c>
      <c r="AS1944" s="82" t="n">
        <f aca="false">IF(AND(OR(AQ1944="À RADIOGRAPHIER",AQ1944="RÉPARÉ – À RADIOGRAPHIER",AQ1944="NX – RT À REFAIRE"),OR('PROGRAMME RT'!$D$5="TOUTES",B1944='PROGRAMME RT'!$D$5)),1,0)</f>
        <v>0</v>
      </c>
      <c r="AT1944" s="82" t="str">
        <f aca="false">IF(AS1944=1,SUM(AS$7:AS1944),"")</f>
        <v/>
      </c>
      <c r="AU1944" s="82" t="n">
        <f aca="false">IF(AND(OR(AA1944="R",AA1944="NX",AA1944="NT",AA1944="CO"),OR('JOINTS DE RÉPARATION'!$D$5="TOUTES",B1944='JOINTS DE RÉPARATION'!$D$5),OR('JOINTS DE RÉPARATION'!$L$4="TOUS",AQ1944&lt;&gt;"ACCEPTÉ")),1,0)</f>
        <v>0</v>
      </c>
      <c r="AV1944" s="82" t="str">
        <f aca="false">IF(AU1944=1,SUM(AU$7:AU1944),"")</f>
        <v/>
      </c>
      <c r="AW1944" s="82" t="str">
        <f aca="false">IF(E1944="","",B1944&amp;"|"&amp;E1944)</f>
        <v>MFD-ISW → MFD-CPF|JN°1502</v>
      </c>
    </row>
    <row r="1945" customFormat="false" ht="74.6" hidden="false" customHeight="false" outlineLevel="0" collapsed="false">
      <c r="A1945" s="79" t="n">
        <f aca="false">IF(E1945="","",ROW()-6)</f>
        <v>1939</v>
      </c>
      <c r="B1945" s="80" t="s">
        <v>110</v>
      </c>
      <c r="C1945" s="81" t="s">
        <v>2369</v>
      </c>
      <c r="D1945" s="81" t="n">
        <v>18</v>
      </c>
      <c r="E1945" s="81" t="s">
        <v>2372</v>
      </c>
      <c r="F1945" s="82" t="str">
        <f aca="false">IF(E1945="","",IF(LEFT(E1945,2)="DJ","DJ","JN"))</f>
        <v>DJ</v>
      </c>
      <c r="G1945" s="81"/>
      <c r="H1945" s="81" t="s">
        <v>871</v>
      </c>
      <c r="I1945" s="81" t="n">
        <v>9.53</v>
      </c>
      <c r="J1945" s="81" t="s">
        <v>872</v>
      </c>
      <c r="K1945" s="81" t="s">
        <v>873</v>
      </c>
      <c r="L1945" s="81" t="n">
        <v>2097000</v>
      </c>
      <c r="M1945" s="81" t="n">
        <v>15421111</v>
      </c>
      <c r="N1945" s="81" t="n">
        <v>11.94</v>
      </c>
      <c r="O1945" s="81" t="n">
        <v>2088200</v>
      </c>
      <c r="P1945" s="81" t="n">
        <v>15421108</v>
      </c>
      <c r="Q1945" s="81" t="n">
        <v>11.94</v>
      </c>
      <c r="R1945" s="81" t="s">
        <v>1147</v>
      </c>
      <c r="S1945" s="81"/>
      <c r="T1945" s="81"/>
      <c r="U1945" s="83" t="n">
        <v>46258</v>
      </c>
      <c r="V1945" s="83" t="n">
        <v>46258</v>
      </c>
      <c r="W1945" s="81" t="s">
        <v>2137</v>
      </c>
      <c r="X1945" s="81" t="s">
        <v>876</v>
      </c>
      <c r="Y1945" s="83" t="n">
        <v>46259</v>
      </c>
      <c r="Z1945" s="81" t="s">
        <v>2305</v>
      </c>
      <c r="AA1945" s="81" t="s">
        <v>876</v>
      </c>
      <c r="AB1945" s="81"/>
      <c r="AC1945" s="81"/>
      <c r="AD1945" s="81"/>
      <c r="AE1945" s="83"/>
      <c r="AF1945" s="81"/>
      <c r="AG1945" s="81"/>
      <c r="AH1945" s="81"/>
      <c r="AI1945" s="81"/>
      <c r="AJ1945" s="83"/>
      <c r="AK1945" s="81"/>
      <c r="AL1945" s="81"/>
      <c r="AM1945" s="83"/>
      <c r="AN1945" s="80"/>
      <c r="AO1945" s="82" t="n">
        <f aca="false">IF(E1945="","",(AA1945&lt;&gt;"")+(AG1945&lt;&gt;"")+(AL1945&lt;&gt;""))</f>
        <v>1</v>
      </c>
      <c r="AP1945" s="82" t="str">
        <f aca="false">IF(AL1945&lt;&gt;"",AL1945,IF(AG1945&lt;&gt;"",AG1945,IF(AA1945&lt;&gt;"",AA1945,"")))</f>
        <v>A</v>
      </c>
      <c r="AQ1945" s="84" t="str">
        <f aca="false">IF(E1945="","",IF(U1945="","À SOUDER",IF(X1945="","VT EN ATTENTE",IF(X1945="R","VT REJETÉ – À REPRENDRE",IF(AP1945="","À RADIOGRAPHIER",IF(AP1945="A","ACCEPTÉ",IF(AP1945="NX","NX – RT À REFAIRE",IF(IF(AO1945=1,AD1945,IF(AO1945=2,AI1945,""))="A","RÉPARÉ – À RADIOGRAPHIER",IF(IF(AO1945=1,AD1945,IF(AO1945=2,AI1945,""))="R","VT REJETÉ – À REPRENDRE",IF(OR(AP1945="CO",AP1945="NT"),"COUPE – À RESOUDER","À RÉPARER"))))))))))</f>
        <v>ACCEPTÉ</v>
      </c>
      <c r="AR1945" s="82" t="str">
        <f aca="false">IF(AND(ISNUMBER(U1945),OR(AQ1945="À RADIOGRAPHIER",AQ1945="RÉPARÉ – À RADIOGRAPHIER",AQ1945="NX – RT À REFAIRE",AQ1945="À RÉPARER",AQ1945="COUPE – À RESOUDER",AQ1945="VT REJETÉ – À REPRENDRE")),MAX(0,'PROGRAMME RT'!$C$4-U1945),"")</f>
        <v/>
      </c>
      <c r="AS1945" s="82" t="n">
        <f aca="false">IF(AND(OR(AQ1945="À RADIOGRAPHIER",AQ1945="RÉPARÉ – À RADIOGRAPHIER",AQ1945="NX – RT À REFAIRE"),OR('PROGRAMME RT'!$D$5="TOUTES",B1945='PROGRAMME RT'!$D$5)),1,0)</f>
        <v>0</v>
      </c>
      <c r="AT1945" s="82" t="str">
        <f aca="false">IF(AS1945=1,SUM(AS$7:AS1945),"")</f>
        <v/>
      </c>
      <c r="AU1945" s="82" t="n">
        <f aca="false">IF(AND(OR(AA1945="R",AA1945="NX",AA1945="NT",AA1945="CO"),OR('JOINTS DE RÉPARATION'!$D$5="TOUTES",B1945='JOINTS DE RÉPARATION'!$D$5),OR('JOINTS DE RÉPARATION'!$L$4="TOUS",AQ1945&lt;&gt;"ACCEPTÉ")),1,0)</f>
        <v>0</v>
      </c>
      <c r="AV1945" s="82" t="str">
        <f aca="false">IF(AU1945=1,SUM(AU$7:AU1945),"")</f>
        <v/>
      </c>
      <c r="AW1945" s="82" t="str">
        <f aca="false">IF(E1945="","",B1945&amp;"|"&amp;E1945)</f>
        <v>MFD-ISW → MFD-CPF|DJ°115</v>
      </c>
    </row>
    <row r="1946" customFormat="false" ht="74.6" hidden="false" customHeight="false" outlineLevel="0" collapsed="false">
      <c r="A1946" s="79" t="n">
        <f aca="false">IF(E1946="","",ROW()-6)</f>
        <v>1940</v>
      </c>
      <c r="B1946" s="80" t="s">
        <v>110</v>
      </c>
      <c r="C1946" s="81" t="s">
        <v>2369</v>
      </c>
      <c r="D1946" s="81" t="n">
        <v>18</v>
      </c>
      <c r="E1946" s="81" t="s">
        <v>2373</v>
      </c>
      <c r="F1946" s="82" t="str">
        <f aca="false">IF(E1946="","",IF(LEFT(E1946,2)="DJ","DJ","JN"))</f>
        <v>JN</v>
      </c>
      <c r="G1946" s="81" t="s">
        <v>1504</v>
      </c>
      <c r="H1946" s="81" t="s">
        <v>871</v>
      </c>
      <c r="I1946" s="81" t="n">
        <v>9.53</v>
      </c>
      <c r="J1946" s="81" t="s">
        <v>872</v>
      </c>
      <c r="K1946" s="81" t="s">
        <v>879</v>
      </c>
      <c r="L1946" s="81" t="n">
        <v>2088200</v>
      </c>
      <c r="M1946" s="81" t="n">
        <v>15421108</v>
      </c>
      <c r="N1946" s="81" t="n">
        <v>11.94</v>
      </c>
      <c r="O1946" s="81" t="n">
        <v>2079280</v>
      </c>
      <c r="P1946" s="81" t="n">
        <v>15421112</v>
      </c>
      <c r="Q1946" s="81" t="n">
        <v>11.94</v>
      </c>
      <c r="R1946" s="81" t="s">
        <v>2273</v>
      </c>
      <c r="S1946" s="81"/>
      <c r="T1946" s="81"/>
      <c r="U1946" s="83" t="n">
        <v>46268</v>
      </c>
      <c r="V1946" s="83" t="n">
        <v>46268</v>
      </c>
      <c r="W1946" s="81" t="s">
        <v>2351</v>
      </c>
      <c r="X1946" s="81" t="s">
        <v>876</v>
      </c>
      <c r="Y1946" s="83" t="n">
        <v>46276</v>
      </c>
      <c r="Z1946" s="81" t="s">
        <v>2268</v>
      </c>
      <c r="AA1946" s="81" t="s">
        <v>876</v>
      </c>
      <c r="AB1946" s="81"/>
      <c r="AC1946" s="81"/>
      <c r="AD1946" s="81"/>
      <c r="AE1946" s="83"/>
      <c r="AF1946" s="81"/>
      <c r="AG1946" s="81"/>
      <c r="AH1946" s="81"/>
      <c r="AI1946" s="81"/>
      <c r="AJ1946" s="83"/>
      <c r="AK1946" s="81"/>
      <c r="AL1946" s="81"/>
      <c r="AM1946" s="83"/>
      <c r="AN1946" s="80"/>
      <c r="AO1946" s="82" t="n">
        <f aca="false">IF(E1946="","",(AA1946&lt;&gt;"")+(AG1946&lt;&gt;"")+(AL1946&lt;&gt;""))</f>
        <v>1</v>
      </c>
      <c r="AP1946" s="82" t="str">
        <f aca="false">IF(AL1946&lt;&gt;"",AL1946,IF(AG1946&lt;&gt;"",AG1946,IF(AA1946&lt;&gt;"",AA1946,"")))</f>
        <v>A</v>
      </c>
      <c r="AQ1946" s="84" t="str">
        <f aca="false">IF(E1946="","",IF(U1946="","À SOUDER",IF(X1946="","VT EN ATTENTE",IF(X1946="R","VT REJETÉ – À REPRENDRE",IF(AP1946="","À RADIOGRAPHIER",IF(AP1946="A","ACCEPTÉ",IF(AP1946="NX","NX – RT À REFAIRE",IF(IF(AO1946=1,AD1946,IF(AO1946=2,AI1946,""))="A","RÉPARÉ – À RADIOGRAPHIER",IF(IF(AO1946=1,AD1946,IF(AO1946=2,AI1946,""))="R","VT REJETÉ – À REPRENDRE",IF(OR(AP1946="CO",AP1946="NT"),"COUPE – À RESOUDER","À RÉPARER"))))))))))</f>
        <v>ACCEPTÉ</v>
      </c>
      <c r="AR1946" s="82" t="str">
        <f aca="false">IF(AND(ISNUMBER(U1946),OR(AQ1946="À RADIOGRAPHIER",AQ1946="RÉPARÉ – À RADIOGRAPHIER",AQ1946="NX – RT À REFAIRE",AQ1946="À RÉPARER",AQ1946="COUPE – À RESOUDER",AQ1946="VT REJETÉ – À REPRENDRE")),MAX(0,'PROGRAMME RT'!$C$4-U1946),"")</f>
        <v/>
      </c>
      <c r="AS1946" s="82" t="n">
        <f aca="false">IF(AND(OR(AQ1946="À RADIOGRAPHIER",AQ1946="RÉPARÉ – À RADIOGRAPHIER",AQ1946="NX – RT À REFAIRE"),OR('PROGRAMME RT'!$D$5="TOUTES",B1946='PROGRAMME RT'!$D$5)),1,0)</f>
        <v>0</v>
      </c>
      <c r="AT1946" s="82" t="str">
        <f aca="false">IF(AS1946=1,SUM(AS$7:AS1946),"")</f>
        <v/>
      </c>
      <c r="AU1946" s="82" t="n">
        <f aca="false">IF(AND(OR(AA1946="R",AA1946="NX",AA1946="NT",AA1946="CO"),OR('JOINTS DE RÉPARATION'!$D$5="TOUTES",B1946='JOINTS DE RÉPARATION'!$D$5),OR('JOINTS DE RÉPARATION'!$L$4="TOUS",AQ1946&lt;&gt;"ACCEPTÉ")),1,0)</f>
        <v>0</v>
      </c>
      <c r="AV1946" s="82" t="str">
        <f aca="false">IF(AU1946=1,SUM(AU$7:AU1946),"")</f>
        <v/>
      </c>
      <c r="AW1946" s="82" t="str">
        <f aca="false">IF(E1946="","",B1946&amp;"|"&amp;E1946)</f>
        <v>MFD-ISW → MFD-CPF|JN°1503</v>
      </c>
    </row>
    <row r="1947" customFormat="false" ht="74.6" hidden="false" customHeight="false" outlineLevel="0" collapsed="false">
      <c r="A1947" s="79" t="n">
        <f aca="false">IF(E1947="","",ROW()-6)</f>
        <v>1941</v>
      </c>
      <c r="B1947" s="80" t="s">
        <v>110</v>
      </c>
      <c r="C1947" s="81" t="s">
        <v>2369</v>
      </c>
      <c r="D1947" s="81" t="n">
        <v>18</v>
      </c>
      <c r="E1947" s="81" t="s">
        <v>2374</v>
      </c>
      <c r="F1947" s="82" t="str">
        <f aca="false">IF(E1947="","",IF(LEFT(E1947,2)="DJ","DJ","JN"))</f>
        <v>DJ</v>
      </c>
      <c r="G1947" s="81"/>
      <c r="H1947" s="81" t="s">
        <v>871</v>
      </c>
      <c r="I1947" s="81" t="n">
        <v>9.53</v>
      </c>
      <c r="J1947" s="81" t="s">
        <v>872</v>
      </c>
      <c r="K1947" s="81" t="s">
        <v>873</v>
      </c>
      <c r="L1947" s="81" t="n">
        <v>2079280</v>
      </c>
      <c r="M1947" s="81" t="n">
        <v>15421112</v>
      </c>
      <c r="N1947" s="81" t="n">
        <v>11.94</v>
      </c>
      <c r="O1947" s="81" t="n">
        <v>2097090</v>
      </c>
      <c r="P1947" s="81" t="n">
        <v>15421102</v>
      </c>
      <c r="Q1947" s="81" t="n">
        <v>11.94</v>
      </c>
      <c r="R1947" s="81" t="s">
        <v>899</v>
      </c>
      <c r="S1947" s="81"/>
      <c r="T1947" s="81"/>
      <c r="U1947" s="83" t="n">
        <v>46258</v>
      </c>
      <c r="V1947" s="83" t="n">
        <v>46258</v>
      </c>
      <c r="W1947" s="81" t="s">
        <v>2137</v>
      </c>
      <c r="X1947" s="81" t="s">
        <v>876</v>
      </c>
      <c r="Y1947" s="83" t="n">
        <v>46259</v>
      </c>
      <c r="Z1947" s="81" t="s">
        <v>2305</v>
      </c>
      <c r="AA1947" s="81" t="s">
        <v>876</v>
      </c>
      <c r="AB1947" s="81"/>
      <c r="AC1947" s="81"/>
      <c r="AD1947" s="81"/>
      <c r="AE1947" s="83"/>
      <c r="AF1947" s="81"/>
      <c r="AG1947" s="81"/>
      <c r="AH1947" s="81"/>
      <c r="AI1947" s="81"/>
      <c r="AJ1947" s="83"/>
      <c r="AK1947" s="81"/>
      <c r="AL1947" s="81"/>
      <c r="AM1947" s="83"/>
      <c r="AN1947" s="80"/>
      <c r="AO1947" s="82" t="n">
        <f aca="false">IF(E1947="","",(AA1947&lt;&gt;"")+(AG1947&lt;&gt;"")+(AL1947&lt;&gt;""))</f>
        <v>1</v>
      </c>
      <c r="AP1947" s="82" t="str">
        <f aca="false">IF(AL1947&lt;&gt;"",AL1947,IF(AG1947&lt;&gt;"",AG1947,IF(AA1947&lt;&gt;"",AA1947,"")))</f>
        <v>A</v>
      </c>
      <c r="AQ1947" s="84" t="str">
        <f aca="false">IF(E1947="","",IF(U1947="","À SOUDER",IF(X1947="","VT EN ATTENTE",IF(X1947="R","VT REJETÉ – À REPRENDRE",IF(AP1947="","À RADIOGRAPHIER",IF(AP1947="A","ACCEPTÉ",IF(AP1947="NX","NX – RT À REFAIRE",IF(IF(AO1947=1,AD1947,IF(AO1947=2,AI1947,""))="A","RÉPARÉ – À RADIOGRAPHIER",IF(IF(AO1947=1,AD1947,IF(AO1947=2,AI1947,""))="R","VT REJETÉ – À REPRENDRE",IF(OR(AP1947="CO",AP1947="NT"),"COUPE – À RESOUDER","À RÉPARER"))))))))))</f>
        <v>ACCEPTÉ</v>
      </c>
      <c r="AR1947" s="82" t="str">
        <f aca="false">IF(AND(ISNUMBER(U1947),OR(AQ1947="À RADIOGRAPHIER",AQ1947="RÉPARÉ – À RADIOGRAPHIER",AQ1947="NX – RT À REFAIRE",AQ1947="À RÉPARER",AQ1947="COUPE – À RESOUDER",AQ1947="VT REJETÉ – À REPRENDRE")),MAX(0,'PROGRAMME RT'!$C$4-U1947),"")</f>
        <v/>
      </c>
      <c r="AS1947" s="82" t="n">
        <f aca="false">IF(AND(OR(AQ1947="À RADIOGRAPHIER",AQ1947="RÉPARÉ – À RADIOGRAPHIER",AQ1947="NX – RT À REFAIRE"),OR('PROGRAMME RT'!$D$5="TOUTES",B1947='PROGRAMME RT'!$D$5)),1,0)</f>
        <v>0</v>
      </c>
      <c r="AT1947" s="82" t="str">
        <f aca="false">IF(AS1947=1,SUM(AS$7:AS1947),"")</f>
        <v/>
      </c>
      <c r="AU1947" s="82" t="n">
        <f aca="false">IF(AND(OR(AA1947="R",AA1947="NX",AA1947="NT",AA1947="CO"),OR('JOINTS DE RÉPARATION'!$D$5="TOUTES",B1947='JOINTS DE RÉPARATION'!$D$5),OR('JOINTS DE RÉPARATION'!$L$4="TOUS",AQ1947&lt;&gt;"ACCEPTÉ")),1,0)</f>
        <v>0</v>
      </c>
      <c r="AV1947" s="82" t="str">
        <f aca="false">IF(AU1947=1,SUM(AU$7:AU1947),"")</f>
        <v/>
      </c>
      <c r="AW1947" s="82" t="str">
        <f aca="false">IF(E1947="","",B1947&amp;"|"&amp;E1947)</f>
        <v>MFD-ISW → MFD-CPF|DJ°117</v>
      </c>
    </row>
    <row r="1948" customFormat="false" ht="74.6" hidden="false" customHeight="false" outlineLevel="0" collapsed="false">
      <c r="A1948" s="79" t="n">
        <f aca="false">IF(E1948="","",ROW()-6)</f>
        <v>1942</v>
      </c>
      <c r="B1948" s="80" t="s">
        <v>110</v>
      </c>
      <c r="C1948" s="81" t="s">
        <v>2369</v>
      </c>
      <c r="D1948" s="81" t="n">
        <v>18</v>
      </c>
      <c r="E1948" s="81" t="s">
        <v>2375</v>
      </c>
      <c r="F1948" s="82" t="str">
        <f aca="false">IF(E1948="","",IF(LEFT(E1948,2)="DJ","DJ","JN"))</f>
        <v>JN</v>
      </c>
      <c r="G1948" s="81" t="s">
        <v>1504</v>
      </c>
      <c r="H1948" s="81" t="s">
        <v>871</v>
      </c>
      <c r="I1948" s="81" t="n">
        <v>9.53</v>
      </c>
      <c r="J1948" s="81" t="s">
        <v>872</v>
      </c>
      <c r="K1948" s="81" t="s">
        <v>879</v>
      </c>
      <c r="L1948" s="81" t="n">
        <v>2097090</v>
      </c>
      <c r="M1948" s="81" t="n">
        <v>15421102</v>
      </c>
      <c r="N1948" s="81" t="n">
        <v>11.94</v>
      </c>
      <c r="O1948" s="81" t="n">
        <v>2097380</v>
      </c>
      <c r="P1948" s="81" t="n">
        <v>15421112</v>
      </c>
      <c r="Q1948" s="81" t="n">
        <v>11.94</v>
      </c>
      <c r="R1948" s="81" t="s">
        <v>2273</v>
      </c>
      <c r="S1948" s="81"/>
      <c r="T1948" s="81"/>
      <c r="U1948" s="83" t="n">
        <v>46268</v>
      </c>
      <c r="V1948" s="83" t="n">
        <v>46268</v>
      </c>
      <c r="W1948" s="81" t="s">
        <v>2351</v>
      </c>
      <c r="X1948" s="81" t="s">
        <v>876</v>
      </c>
      <c r="Y1948" s="83" t="n">
        <v>46276</v>
      </c>
      <c r="Z1948" s="81" t="s">
        <v>2376</v>
      </c>
      <c r="AA1948" s="81" t="s">
        <v>876</v>
      </c>
      <c r="AB1948" s="81"/>
      <c r="AC1948" s="81"/>
      <c r="AD1948" s="81"/>
      <c r="AE1948" s="83"/>
      <c r="AF1948" s="81"/>
      <c r="AG1948" s="81"/>
      <c r="AH1948" s="81"/>
      <c r="AI1948" s="81"/>
      <c r="AJ1948" s="83"/>
      <c r="AK1948" s="81"/>
      <c r="AL1948" s="81"/>
      <c r="AM1948" s="83"/>
      <c r="AN1948" s="80"/>
      <c r="AO1948" s="82" t="n">
        <f aca="false">IF(E1948="","",(AA1948&lt;&gt;"")+(AG1948&lt;&gt;"")+(AL1948&lt;&gt;""))</f>
        <v>1</v>
      </c>
      <c r="AP1948" s="82" t="str">
        <f aca="false">IF(AL1948&lt;&gt;"",AL1948,IF(AG1948&lt;&gt;"",AG1948,IF(AA1948&lt;&gt;"",AA1948,"")))</f>
        <v>A</v>
      </c>
      <c r="AQ1948" s="84" t="str">
        <f aca="false">IF(E1948="","",IF(U1948="","À SOUDER",IF(X1948="","VT EN ATTENTE",IF(X1948="R","VT REJETÉ – À REPRENDRE",IF(AP1948="","À RADIOGRAPHIER",IF(AP1948="A","ACCEPTÉ",IF(AP1948="NX","NX – RT À REFAIRE",IF(IF(AO1948=1,AD1948,IF(AO1948=2,AI1948,""))="A","RÉPARÉ – À RADIOGRAPHIER",IF(IF(AO1948=1,AD1948,IF(AO1948=2,AI1948,""))="R","VT REJETÉ – À REPRENDRE",IF(OR(AP1948="CO",AP1948="NT"),"COUPE – À RESOUDER","À RÉPARER"))))))))))</f>
        <v>ACCEPTÉ</v>
      </c>
      <c r="AR1948" s="82" t="str">
        <f aca="false">IF(AND(ISNUMBER(U1948),OR(AQ1948="À RADIOGRAPHIER",AQ1948="RÉPARÉ – À RADIOGRAPHIER",AQ1948="NX – RT À REFAIRE",AQ1948="À RÉPARER",AQ1948="COUPE – À RESOUDER",AQ1948="VT REJETÉ – À REPRENDRE")),MAX(0,'PROGRAMME RT'!$C$4-U1948),"")</f>
        <v/>
      </c>
      <c r="AS1948" s="82" t="n">
        <f aca="false">IF(AND(OR(AQ1948="À RADIOGRAPHIER",AQ1948="RÉPARÉ – À RADIOGRAPHIER",AQ1948="NX – RT À REFAIRE"),OR('PROGRAMME RT'!$D$5="TOUTES",B1948='PROGRAMME RT'!$D$5)),1,0)</f>
        <v>0</v>
      </c>
      <c r="AT1948" s="82" t="str">
        <f aca="false">IF(AS1948=1,SUM(AS$7:AS1948),"")</f>
        <v/>
      </c>
      <c r="AU1948" s="82" t="n">
        <f aca="false">IF(AND(OR(AA1948="R",AA1948="NX",AA1948="NT",AA1948="CO"),OR('JOINTS DE RÉPARATION'!$D$5="TOUTES",B1948='JOINTS DE RÉPARATION'!$D$5),OR('JOINTS DE RÉPARATION'!$L$4="TOUS",AQ1948&lt;&gt;"ACCEPTÉ")),1,0)</f>
        <v>0</v>
      </c>
      <c r="AV1948" s="82" t="str">
        <f aca="false">IF(AU1948=1,SUM(AU$7:AU1948),"")</f>
        <v/>
      </c>
      <c r="AW1948" s="82" t="str">
        <f aca="false">IF(E1948="","",B1948&amp;"|"&amp;E1948)</f>
        <v>MFD-ISW → MFD-CPF|JN°1504</v>
      </c>
    </row>
    <row r="1949" customFormat="false" ht="74.6" hidden="false" customHeight="false" outlineLevel="0" collapsed="false">
      <c r="A1949" s="79" t="n">
        <f aca="false">IF(E1949="","",ROW()-6)</f>
        <v>1943</v>
      </c>
      <c r="B1949" s="80" t="s">
        <v>110</v>
      </c>
      <c r="C1949" s="81" t="s">
        <v>2369</v>
      </c>
      <c r="D1949" s="81" t="n">
        <v>18</v>
      </c>
      <c r="E1949" s="81" t="s">
        <v>2377</v>
      </c>
      <c r="F1949" s="82" t="str">
        <f aca="false">IF(E1949="","",IF(LEFT(E1949,2)="DJ","DJ","JN"))</f>
        <v>DJ</v>
      </c>
      <c r="G1949" s="81"/>
      <c r="H1949" s="81" t="s">
        <v>871</v>
      </c>
      <c r="I1949" s="81" t="n">
        <v>9.53</v>
      </c>
      <c r="J1949" s="81" t="s">
        <v>872</v>
      </c>
      <c r="K1949" s="81" t="s">
        <v>873</v>
      </c>
      <c r="L1949" s="81" t="n">
        <v>2097380</v>
      </c>
      <c r="M1949" s="81" t="n">
        <v>15421112</v>
      </c>
      <c r="N1949" s="81" t="n">
        <v>11.94</v>
      </c>
      <c r="O1949" s="81" t="n">
        <v>20911730</v>
      </c>
      <c r="P1949" s="81" t="n">
        <v>15421109</v>
      </c>
      <c r="Q1949" s="81" t="n">
        <v>11.94</v>
      </c>
      <c r="R1949" s="81" t="s">
        <v>1147</v>
      </c>
      <c r="S1949" s="81"/>
      <c r="T1949" s="81"/>
      <c r="U1949" s="83" t="n">
        <v>46258</v>
      </c>
      <c r="V1949" s="83" t="n">
        <v>46258</v>
      </c>
      <c r="W1949" s="81" t="s">
        <v>2137</v>
      </c>
      <c r="X1949" s="81" t="s">
        <v>876</v>
      </c>
      <c r="Y1949" s="83" t="n">
        <v>46259</v>
      </c>
      <c r="Z1949" s="81" t="s">
        <v>1569</v>
      </c>
      <c r="AA1949" s="81" t="s">
        <v>876</v>
      </c>
      <c r="AB1949" s="81"/>
      <c r="AC1949" s="81"/>
      <c r="AD1949" s="81"/>
      <c r="AE1949" s="83"/>
      <c r="AF1949" s="81"/>
      <c r="AG1949" s="81"/>
      <c r="AH1949" s="81"/>
      <c r="AI1949" s="81"/>
      <c r="AJ1949" s="83"/>
      <c r="AK1949" s="81"/>
      <c r="AL1949" s="81"/>
      <c r="AM1949" s="83"/>
      <c r="AN1949" s="80"/>
      <c r="AO1949" s="82" t="n">
        <f aca="false">IF(E1949="","",(AA1949&lt;&gt;"")+(AG1949&lt;&gt;"")+(AL1949&lt;&gt;""))</f>
        <v>1</v>
      </c>
      <c r="AP1949" s="82" t="str">
        <f aca="false">IF(AL1949&lt;&gt;"",AL1949,IF(AG1949&lt;&gt;"",AG1949,IF(AA1949&lt;&gt;"",AA1949,"")))</f>
        <v>A</v>
      </c>
      <c r="AQ1949" s="84" t="str">
        <f aca="false">IF(E1949="","",IF(U1949="","À SOUDER",IF(X1949="","VT EN ATTENTE",IF(X1949="R","VT REJETÉ – À REPRENDRE",IF(AP1949="","À RADIOGRAPHIER",IF(AP1949="A","ACCEPTÉ",IF(AP1949="NX","NX – RT À REFAIRE",IF(IF(AO1949=1,AD1949,IF(AO1949=2,AI1949,""))="A","RÉPARÉ – À RADIOGRAPHIER",IF(IF(AO1949=1,AD1949,IF(AO1949=2,AI1949,""))="R","VT REJETÉ – À REPRENDRE",IF(OR(AP1949="CO",AP1949="NT"),"COUPE – À RESOUDER","À RÉPARER"))))))))))</f>
        <v>ACCEPTÉ</v>
      </c>
      <c r="AR1949" s="82" t="str">
        <f aca="false">IF(AND(ISNUMBER(U1949),OR(AQ1949="À RADIOGRAPHIER",AQ1949="RÉPARÉ – À RADIOGRAPHIER",AQ1949="NX – RT À REFAIRE",AQ1949="À RÉPARER",AQ1949="COUPE – À RESOUDER",AQ1949="VT REJETÉ – À REPRENDRE")),MAX(0,'PROGRAMME RT'!$C$4-U1949),"")</f>
        <v/>
      </c>
      <c r="AS1949" s="82" t="n">
        <f aca="false">IF(AND(OR(AQ1949="À RADIOGRAPHIER",AQ1949="RÉPARÉ – À RADIOGRAPHIER",AQ1949="NX – RT À REFAIRE"),OR('PROGRAMME RT'!$D$5="TOUTES",B1949='PROGRAMME RT'!$D$5)),1,0)</f>
        <v>0</v>
      </c>
      <c r="AT1949" s="82" t="str">
        <f aca="false">IF(AS1949=1,SUM(AS$7:AS1949),"")</f>
        <v/>
      </c>
      <c r="AU1949" s="82" t="n">
        <f aca="false">IF(AND(OR(AA1949="R",AA1949="NX",AA1949="NT",AA1949="CO"),OR('JOINTS DE RÉPARATION'!$D$5="TOUTES",B1949='JOINTS DE RÉPARATION'!$D$5),OR('JOINTS DE RÉPARATION'!$L$4="TOUS",AQ1949&lt;&gt;"ACCEPTÉ")),1,0)</f>
        <v>0</v>
      </c>
      <c r="AV1949" s="82" t="str">
        <f aca="false">IF(AU1949=1,SUM(AU$7:AU1949),"")</f>
        <v/>
      </c>
      <c r="AW1949" s="82" t="str">
        <f aca="false">IF(E1949="","",B1949&amp;"|"&amp;E1949)</f>
        <v>MFD-ISW → MFD-CPF|DJ°113</v>
      </c>
    </row>
    <row r="1950" customFormat="false" ht="74.6" hidden="false" customHeight="false" outlineLevel="0" collapsed="false">
      <c r="A1950" s="79" t="n">
        <f aca="false">IF(E1950="","",ROW()-6)</f>
        <v>1944</v>
      </c>
      <c r="B1950" s="80" t="s">
        <v>110</v>
      </c>
      <c r="C1950" s="81" t="s">
        <v>2369</v>
      </c>
      <c r="D1950" s="81" t="n">
        <v>18</v>
      </c>
      <c r="E1950" s="81" t="s">
        <v>2378</v>
      </c>
      <c r="F1950" s="82" t="str">
        <f aca="false">IF(E1950="","",IF(LEFT(E1950,2)="DJ","DJ","JN"))</f>
        <v>JN</v>
      </c>
      <c r="G1950" s="81" t="s">
        <v>1504</v>
      </c>
      <c r="H1950" s="81" t="s">
        <v>871</v>
      </c>
      <c r="I1950" s="81" t="n">
        <v>9.53</v>
      </c>
      <c r="J1950" s="81" t="s">
        <v>872</v>
      </c>
      <c r="K1950" s="81" t="s">
        <v>879</v>
      </c>
      <c r="L1950" s="81" t="n">
        <v>2091730</v>
      </c>
      <c r="M1950" s="81" t="n">
        <v>15421109</v>
      </c>
      <c r="N1950" s="81" t="n">
        <v>11.94</v>
      </c>
      <c r="O1950" s="81" t="n">
        <v>2088210</v>
      </c>
      <c r="P1950" s="81" t="n">
        <v>15421108</v>
      </c>
      <c r="Q1950" s="81" t="n">
        <v>11.94</v>
      </c>
      <c r="R1950" s="81" t="s">
        <v>2273</v>
      </c>
      <c r="S1950" s="81"/>
      <c r="T1950" s="81"/>
      <c r="U1950" s="83" t="n">
        <v>46268</v>
      </c>
      <c r="V1950" s="83" t="n">
        <v>46268</v>
      </c>
      <c r="W1950" s="81" t="s">
        <v>2351</v>
      </c>
      <c r="X1950" s="81" t="s">
        <v>876</v>
      </c>
      <c r="Y1950" s="83" t="n">
        <v>46276</v>
      </c>
      <c r="Z1950" s="81" t="s">
        <v>2376</v>
      </c>
      <c r="AA1950" s="81" t="s">
        <v>876</v>
      </c>
      <c r="AB1950" s="81"/>
      <c r="AC1950" s="81"/>
      <c r="AD1950" s="81"/>
      <c r="AE1950" s="83"/>
      <c r="AF1950" s="81"/>
      <c r="AG1950" s="81"/>
      <c r="AH1950" s="81"/>
      <c r="AI1950" s="81"/>
      <c r="AJ1950" s="83"/>
      <c r="AK1950" s="81"/>
      <c r="AL1950" s="81"/>
      <c r="AM1950" s="83"/>
      <c r="AN1950" s="80"/>
      <c r="AO1950" s="82" t="n">
        <f aca="false">IF(E1950="","",(AA1950&lt;&gt;"")+(AG1950&lt;&gt;"")+(AL1950&lt;&gt;""))</f>
        <v>1</v>
      </c>
      <c r="AP1950" s="82" t="str">
        <f aca="false">IF(AL1950&lt;&gt;"",AL1950,IF(AG1950&lt;&gt;"",AG1950,IF(AA1950&lt;&gt;"",AA1950,"")))</f>
        <v>A</v>
      </c>
      <c r="AQ1950" s="84" t="str">
        <f aca="false">IF(E1950="","",IF(U1950="","À SOUDER",IF(X1950="","VT EN ATTENTE",IF(X1950="R","VT REJETÉ – À REPRENDRE",IF(AP1950="","À RADIOGRAPHIER",IF(AP1950="A","ACCEPTÉ",IF(AP1950="NX","NX – RT À REFAIRE",IF(IF(AO1950=1,AD1950,IF(AO1950=2,AI1950,""))="A","RÉPARÉ – À RADIOGRAPHIER",IF(IF(AO1950=1,AD1950,IF(AO1950=2,AI1950,""))="R","VT REJETÉ – À REPRENDRE",IF(OR(AP1950="CO",AP1950="NT"),"COUPE – À RESOUDER","À RÉPARER"))))))))))</f>
        <v>ACCEPTÉ</v>
      </c>
      <c r="AR1950" s="82" t="str">
        <f aca="false">IF(AND(ISNUMBER(U1950),OR(AQ1950="À RADIOGRAPHIER",AQ1950="RÉPARÉ – À RADIOGRAPHIER",AQ1950="NX – RT À REFAIRE",AQ1950="À RÉPARER",AQ1950="COUPE – À RESOUDER",AQ1950="VT REJETÉ – À REPRENDRE")),MAX(0,'PROGRAMME RT'!$C$4-U1950),"")</f>
        <v/>
      </c>
      <c r="AS1950" s="82" t="n">
        <f aca="false">IF(AND(OR(AQ1950="À RADIOGRAPHIER",AQ1950="RÉPARÉ – À RADIOGRAPHIER",AQ1950="NX – RT À REFAIRE"),OR('PROGRAMME RT'!$D$5="TOUTES",B1950='PROGRAMME RT'!$D$5)),1,0)</f>
        <v>0</v>
      </c>
      <c r="AT1950" s="82" t="str">
        <f aca="false">IF(AS1950=1,SUM(AS$7:AS1950),"")</f>
        <v/>
      </c>
      <c r="AU1950" s="82" t="n">
        <f aca="false">IF(AND(OR(AA1950="R",AA1950="NX",AA1950="NT",AA1950="CO"),OR('JOINTS DE RÉPARATION'!$D$5="TOUTES",B1950='JOINTS DE RÉPARATION'!$D$5),OR('JOINTS DE RÉPARATION'!$L$4="TOUS",AQ1950&lt;&gt;"ACCEPTÉ")),1,0)</f>
        <v>0</v>
      </c>
      <c r="AV1950" s="82" t="str">
        <f aca="false">IF(AU1950=1,SUM(AU$7:AU1950),"")</f>
        <v/>
      </c>
      <c r="AW1950" s="82" t="str">
        <f aca="false">IF(E1950="","",B1950&amp;"|"&amp;E1950)</f>
        <v>MFD-ISW → MFD-CPF|JN°1505</v>
      </c>
    </row>
    <row r="1951" customFormat="false" ht="74.6" hidden="false" customHeight="false" outlineLevel="0" collapsed="false">
      <c r="A1951" s="79" t="n">
        <f aca="false">IF(E1951="","",ROW()-6)</f>
        <v>1945</v>
      </c>
      <c r="B1951" s="80" t="s">
        <v>110</v>
      </c>
      <c r="C1951" s="81" t="s">
        <v>2369</v>
      </c>
      <c r="D1951" s="81" t="n">
        <v>18</v>
      </c>
      <c r="E1951" s="81" t="s">
        <v>2379</v>
      </c>
      <c r="F1951" s="82" t="str">
        <f aca="false">IF(E1951="","",IF(LEFT(E1951,2)="DJ","DJ","JN"))</f>
        <v>DJ</v>
      </c>
      <c r="G1951" s="81"/>
      <c r="H1951" s="81" t="s">
        <v>871</v>
      </c>
      <c r="I1951" s="81" t="n">
        <v>9.53</v>
      </c>
      <c r="J1951" s="81" t="s">
        <v>872</v>
      </c>
      <c r="K1951" s="81" t="s">
        <v>873</v>
      </c>
      <c r="L1951" s="81" t="n">
        <v>2088210</v>
      </c>
      <c r="M1951" s="81" t="n">
        <v>15421108</v>
      </c>
      <c r="N1951" s="81" t="n">
        <v>11.94</v>
      </c>
      <c r="O1951" s="81" t="n">
        <v>2095270</v>
      </c>
      <c r="P1951" s="81" t="n">
        <v>15421111</v>
      </c>
      <c r="Q1951" s="81" t="n">
        <v>11.94</v>
      </c>
      <c r="R1951" s="81" t="s">
        <v>963</v>
      </c>
      <c r="S1951" s="81"/>
      <c r="T1951" s="81"/>
      <c r="U1951" s="83" t="n">
        <v>46258</v>
      </c>
      <c r="V1951" s="83" t="n">
        <v>46258</v>
      </c>
      <c r="W1951" s="81" t="s">
        <v>2137</v>
      </c>
      <c r="X1951" s="81" t="s">
        <v>876</v>
      </c>
      <c r="Y1951" s="83" t="n">
        <v>46259</v>
      </c>
      <c r="Z1951" s="81" t="s">
        <v>1569</v>
      </c>
      <c r="AA1951" s="81" t="s">
        <v>876</v>
      </c>
      <c r="AB1951" s="81"/>
      <c r="AC1951" s="81"/>
      <c r="AD1951" s="81"/>
      <c r="AE1951" s="83"/>
      <c r="AF1951" s="81"/>
      <c r="AG1951" s="81"/>
      <c r="AH1951" s="81"/>
      <c r="AI1951" s="81"/>
      <c r="AJ1951" s="83"/>
      <c r="AK1951" s="81"/>
      <c r="AL1951" s="81"/>
      <c r="AM1951" s="83"/>
      <c r="AN1951" s="80"/>
      <c r="AO1951" s="82" t="n">
        <f aca="false">IF(E1951="","",(AA1951&lt;&gt;"")+(AG1951&lt;&gt;"")+(AL1951&lt;&gt;""))</f>
        <v>1</v>
      </c>
      <c r="AP1951" s="82" t="str">
        <f aca="false">IF(AL1951&lt;&gt;"",AL1951,IF(AG1951&lt;&gt;"",AG1951,IF(AA1951&lt;&gt;"",AA1951,"")))</f>
        <v>A</v>
      </c>
      <c r="AQ1951" s="84" t="str">
        <f aca="false">IF(E1951="","",IF(U1951="","À SOUDER",IF(X1951="","VT EN ATTENTE",IF(X1951="R","VT REJETÉ – À REPRENDRE",IF(AP1951="","À RADIOGRAPHIER",IF(AP1951="A","ACCEPTÉ",IF(AP1951="NX","NX – RT À REFAIRE",IF(IF(AO1951=1,AD1951,IF(AO1951=2,AI1951,""))="A","RÉPARÉ – À RADIOGRAPHIER",IF(IF(AO1951=1,AD1951,IF(AO1951=2,AI1951,""))="R","VT REJETÉ – À REPRENDRE",IF(OR(AP1951="CO",AP1951="NT"),"COUPE – À RESOUDER","À RÉPARER"))))))))))</f>
        <v>ACCEPTÉ</v>
      </c>
      <c r="AR1951" s="82" t="str">
        <f aca="false">IF(AND(ISNUMBER(U1951),OR(AQ1951="À RADIOGRAPHIER",AQ1951="RÉPARÉ – À RADIOGRAPHIER",AQ1951="NX – RT À REFAIRE",AQ1951="À RÉPARER",AQ1951="COUPE – À RESOUDER",AQ1951="VT REJETÉ – À REPRENDRE")),MAX(0,'PROGRAMME RT'!$C$4-U1951),"")</f>
        <v/>
      </c>
      <c r="AS1951" s="82" t="n">
        <f aca="false">IF(AND(OR(AQ1951="À RADIOGRAPHIER",AQ1951="RÉPARÉ – À RADIOGRAPHIER",AQ1951="NX – RT À REFAIRE"),OR('PROGRAMME RT'!$D$5="TOUTES",B1951='PROGRAMME RT'!$D$5)),1,0)</f>
        <v>0</v>
      </c>
      <c r="AT1951" s="82" t="str">
        <f aca="false">IF(AS1951=1,SUM(AS$7:AS1951),"")</f>
        <v/>
      </c>
      <c r="AU1951" s="82" t="n">
        <f aca="false">IF(AND(OR(AA1951="R",AA1951="NX",AA1951="NT",AA1951="CO"),OR('JOINTS DE RÉPARATION'!$D$5="TOUTES",B1951='JOINTS DE RÉPARATION'!$D$5),OR('JOINTS DE RÉPARATION'!$L$4="TOUS",AQ1951&lt;&gt;"ACCEPTÉ")),1,0)</f>
        <v>0</v>
      </c>
      <c r="AV1951" s="82" t="str">
        <f aca="false">IF(AU1951=1,SUM(AU$7:AU1951),"")</f>
        <v/>
      </c>
      <c r="AW1951" s="82" t="str">
        <f aca="false">IF(E1951="","",B1951&amp;"|"&amp;E1951)</f>
        <v>MFD-ISW → MFD-CPF|DJ°112</v>
      </c>
    </row>
    <row r="1952" customFormat="false" ht="74.6" hidden="false" customHeight="false" outlineLevel="0" collapsed="false">
      <c r="A1952" s="79" t="n">
        <f aca="false">IF(E1952="","",ROW()-6)</f>
        <v>1946</v>
      </c>
      <c r="B1952" s="80" t="s">
        <v>110</v>
      </c>
      <c r="C1952" s="81" t="s">
        <v>2369</v>
      </c>
      <c r="D1952" s="81" t="n">
        <v>18</v>
      </c>
      <c r="E1952" s="81" t="s">
        <v>2380</v>
      </c>
      <c r="F1952" s="82" t="str">
        <f aca="false">IF(E1952="","",IF(LEFT(E1952,2)="DJ","DJ","JN"))</f>
        <v>JN</v>
      </c>
      <c r="G1952" s="81" t="s">
        <v>1504</v>
      </c>
      <c r="H1952" s="81" t="s">
        <v>871</v>
      </c>
      <c r="I1952" s="81" t="n">
        <v>9.53</v>
      </c>
      <c r="J1952" s="81" t="s">
        <v>872</v>
      </c>
      <c r="K1952" s="81" t="s">
        <v>879</v>
      </c>
      <c r="L1952" s="81" t="n">
        <v>2095270</v>
      </c>
      <c r="M1952" s="81" t="n">
        <v>15421111</v>
      </c>
      <c r="N1952" s="81" t="n">
        <v>11.94</v>
      </c>
      <c r="O1952" s="81" t="n">
        <v>2091180</v>
      </c>
      <c r="P1952" s="81" t="n">
        <v>15421109</v>
      </c>
      <c r="Q1952" s="81" t="n">
        <v>11.94</v>
      </c>
      <c r="R1952" s="81" t="s">
        <v>2273</v>
      </c>
      <c r="S1952" s="81"/>
      <c r="T1952" s="81"/>
      <c r="U1952" s="83" t="n">
        <v>46268</v>
      </c>
      <c r="V1952" s="83" t="n">
        <v>46268</v>
      </c>
      <c r="W1952" s="81" t="s">
        <v>2351</v>
      </c>
      <c r="X1952" s="81" t="s">
        <v>876</v>
      </c>
      <c r="Y1952" s="83" t="n">
        <v>46276</v>
      </c>
      <c r="Z1952" s="81" t="s">
        <v>2376</v>
      </c>
      <c r="AA1952" s="81" t="s">
        <v>876</v>
      </c>
      <c r="AB1952" s="81"/>
      <c r="AC1952" s="81"/>
      <c r="AD1952" s="81"/>
      <c r="AE1952" s="83"/>
      <c r="AF1952" s="81"/>
      <c r="AG1952" s="81"/>
      <c r="AH1952" s="81"/>
      <c r="AI1952" s="81"/>
      <c r="AJ1952" s="83"/>
      <c r="AK1952" s="81"/>
      <c r="AL1952" s="81"/>
      <c r="AM1952" s="83"/>
      <c r="AN1952" s="80"/>
      <c r="AO1952" s="82" t="n">
        <f aca="false">IF(E1952="","",(AA1952&lt;&gt;"")+(AG1952&lt;&gt;"")+(AL1952&lt;&gt;""))</f>
        <v>1</v>
      </c>
      <c r="AP1952" s="82" t="str">
        <f aca="false">IF(AL1952&lt;&gt;"",AL1952,IF(AG1952&lt;&gt;"",AG1952,IF(AA1952&lt;&gt;"",AA1952,"")))</f>
        <v>A</v>
      </c>
      <c r="AQ1952" s="84" t="str">
        <f aca="false">IF(E1952="","",IF(U1952="","À SOUDER",IF(X1952="","VT EN ATTENTE",IF(X1952="R","VT REJETÉ – À REPRENDRE",IF(AP1952="","À RADIOGRAPHIER",IF(AP1952="A","ACCEPTÉ",IF(AP1952="NX","NX – RT À REFAIRE",IF(IF(AO1952=1,AD1952,IF(AO1952=2,AI1952,""))="A","RÉPARÉ – À RADIOGRAPHIER",IF(IF(AO1952=1,AD1952,IF(AO1952=2,AI1952,""))="R","VT REJETÉ – À REPRENDRE",IF(OR(AP1952="CO",AP1952="NT"),"COUPE – À RESOUDER","À RÉPARER"))))))))))</f>
        <v>ACCEPTÉ</v>
      </c>
      <c r="AR1952" s="82" t="str">
        <f aca="false">IF(AND(ISNUMBER(U1952),OR(AQ1952="À RADIOGRAPHIER",AQ1952="RÉPARÉ – À RADIOGRAPHIER",AQ1952="NX – RT À REFAIRE",AQ1952="À RÉPARER",AQ1952="COUPE – À RESOUDER",AQ1952="VT REJETÉ – À REPRENDRE")),MAX(0,'PROGRAMME RT'!$C$4-U1952),"")</f>
        <v/>
      </c>
      <c r="AS1952" s="82" t="n">
        <f aca="false">IF(AND(OR(AQ1952="À RADIOGRAPHIER",AQ1952="RÉPARÉ – À RADIOGRAPHIER",AQ1952="NX – RT À REFAIRE"),OR('PROGRAMME RT'!$D$5="TOUTES",B1952='PROGRAMME RT'!$D$5)),1,0)</f>
        <v>0</v>
      </c>
      <c r="AT1952" s="82" t="str">
        <f aca="false">IF(AS1952=1,SUM(AS$7:AS1952),"")</f>
        <v/>
      </c>
      <c r="AU1952" s="82" t="n">
        <f aca="false">IF(AND(OR(AA1952="R",AA1952="NX",AA1952="NT",AA1952="CO"),OR('JOINTS DE RÉPARATION'!$D$5="TOUTES",B1952='JOINTS DE RÉPARATION'!$D$5),OR('JOINTS DE RÉPARATION'!$L$4="TOUS",AQ1952&lt;&gt;"ACCEPTÉ")),1,0)</f>
        <v>0</v>
      </c>
      <c r="AV1952" s="82" t="str">
        <f aca="false">IF(AU1952=1,SUM(AU$7:AU1952),"")</f>
        <v/>
      </c>
      <c r="AW1952" s="82" t="str">
        <f aca="false">IF(E1952="","",B1952&amp;"|"&amp;E1952)</f>
        <v>MFD-ISW → MFD-CPF|JN°1506</v>
      </c>
    </row>
    <row r="1953" customFormat="false" ht="74.6" hidden="false" customHeight="false" outlineLevel="0" collapsed="false">
      <c r="A1953" s="79" t="n">
        <f aca="false">IF(E1953="","",ROW()-6)</f>
        <v>1947</v>
      </c>
      <c r="B1953" s="80" t="s">
        <v>110</v>
      </c>
      <c r="C1953" s="81" t="s">
        <v>2369</v>
      </c>
      <c r="D1953" s="81" t="n">
        <v>18</v>
      </c>
      <c r="E1953" s="81" t="s">
        <v>2381</v>
      </c>
      <c r="F1953" s="82" t="str">
        <f aca="false">IF(E1953="","",IF(LEFT(E1953,2)="DJ","DJ","JN"))</f>
        <v>DJ</v>
      </c>
      <c r="G1953" s="81"/>
      <c r="H1953" s="81" t="s">
        <v>871</v>
      </c>
      <c r="I1953" s="81" t="n">
        <v>9.53</v>
      </c>
      <c r="J1953" s="81" t="s">
        <v>872</v>
      </c>
      <c r="K1953" s="81" t="s">
        <v>873</v>
      </c>
      <c r="L1953" s="81" t="n">
        <v>2091180</v>
      </c>
      <c r="M1953" s="81" t="n">
        <v>15421109</v>
      </c>
      <c r="N1953" s="81" t="n">
        <v>11.94</v>
      </c>
      <c r="O1953" s="81" t="n">
        <v>2095540</v>
      </c>
      <c r="P1953" s="81" t="n">
        <v>15421111</v>
      </c>
      <c r="Q1953" s="81" t="n">
        <v>11.94</v>
      </c>
      <c r="R1953" s="81" t="s">
        <v>899</v>
      </c>
      <c r="S1953" s="81"/>
      <c r="T1953" s="81"/>
      <c r="U1953" s="83" t="n">
        <v>46258</v>
      </c>
      <c r="V1953" s="83" t="n">
        <v>46258</v>
      </c>
      <c r="W1953" s="81" t="s">
        <v>2137</v>
      </c>
      <c r="X1953" s="81" t="s">
        <v>876</v>
      </c>
      <c r="Y1953" s="83" t="n">
        <v>46259</v>
      </c>
      <c r="Z1953" s="81" t="s">
        <v>2305</v>
      </c>
      <c r="AA1953" s="81" t="s">
        <v>876</v>
      </c>
      <c r="AB1953" s="81"/>
      <c r="AC1953" s="81"/>
      <c r="AD1953" s="81"/>
      <c r="AE1953" s="83"/>
      <c r="AF1953" s="81"/>
      <c r="AG1953" s="81"/>
      <c r="AH1953" s="81"/>
      <c r="AI1953" s="81"/>
      <c r="AJ1953" s="83"/>
      <c r="AK1953" s="81"/>
      <c r="AL1953" s="81"/>
      <c r="AM1953" s="83"/>
      <c r="AN1953" s="80"/>
      <c r="AO1953" s="82" t="n">
        <f aca="false">IF(E1953="","",(AA1953&lt;&gt;"")+(AG1953&lt;&gt;"")+(AL1953&lt;&gt;""))</f>
        <v>1</v>
      </c>
      <c r="AP1953" s="82" t="str">
        <f aca="false">IF(AL1953&lt;&gt;"",AL1953,IF(AG1953&lt;&gt;"",AG1953,IF(AA1953&lt;&gt;"",AA1953,"")))</f>
        <v>A</v>
      </c>
      <c r="AQ1953" s="84" t="str">
        <f aca="false">IF(E1953="","",IF(U1953="","À SOUDER",IF(X1953="","VT EN ATTENTE",IF(X1953="R","VT REJETÉ – À REPRENDRE",IF(AP1953="","À RADIOGRAPHIER",IF(AP1953="A","ACCEPTÉ",IF(AP1953="NX","NX – RT À REFAIRE",IF(IF(AO1953=1,AD1953,IF(AO1953=2,AI1953,""))="A","RÉPARÉ – À RADIOGRAPHIER",IF(IF(AO1953=1,AD1953,IF(AO1953=2,AI1953,""))="R","VT REJETÉ – À REPRENDRE",IF(OR(AP1953="CO",AP1953="NT"),"COUPE – À RESOUDER","À RÉPARER"))))))))))</f>
        <v>ACCEPTÉ</v>
      </c>
      <c r="AR1953" s="82" t="str">
        <f aca="false">IF(AND(ISNUMBER(U1953),OR(AQ1953="À RADIOGRAPHIER",AQ1953="RÉPARÉ – À RADIOGRAPHIER",AQ1953="NX – RT À REFAIRE",AQ1953="À RÉPARER",AQ1953="COUPE – À RESOUDER",AQ1953="VT REJETÉ – À REPRENDRE")),MAX(0,'PROGRAMME RT'!$C$4-U1953),"")</f>
        <v/>
      </c>
      <c r="AS1953" s="82" t="n">
        <f aca="false">IF(AND(OR(AQ1953="À RADIOGRAPHIER",AQ1953="RÉPARÉ – À RADIOGRAPHIER",AQ1953="NX – RT À REFAIRE"),OR('PROGRAMME RT'!$D$5="TOUTES",B1953='PROGRAMME RT'!$D$5)),1,0)</f>
        <v>0</v>
      </c>
      <c r="AT1953" s="82" t="str">
        <f aca="false">IF(AS1953=1,SUM(AS$7:AS1953),"")</f>
        <v/>
      </c>
      <c r="AU1953" s="82" t="n">
        <f aca="false">IF(AND(OR(AA1953="R",AA1953="NX",AA1953="NT",AA1953="CO"),OR('JOINTS DE RÉPARATION'!$D$5="TOUTES",B1953='JOINTS DE RÉPARATION'!$D$5),OR('JOINTS DE RÉPARATION'!$L$4="TOUS",AQ1953&lt;&gt;"ACCEPTÉ")),1,0)</f>
        <v>0</v>
      </c>
      <c r="AV1953" s="82" t="str">
        <f aca="false">IF(AU1953=1,SUM(AU$7:AU1953),"")</f>
        <v/>
      </c>
      <c r="AW1953" s="82" t="str">
        <f aca="false">IF(E1953="","",B1953&amp;"|"&amp;E1953)</f>
        <v>MFD-ISW → MFD-CPF|DJ°114</v>
      </c>
    </row>
    <row r="1954" customFormat="false" ht="74.6" hidden="false" customHeight="false" outlineLevel="0" collapsed="false">
      <c r="A1954" s="79" t="n">
        <f aca="false">IF(E1954="","",ROW()-6)</f>
        <v>1948</v>
      </c>
      <c r="B1954" s="80" t="s">
        <v>110</v>
      </c>
      <c r="C1954" s="81" t="s">
        <v>926</v>
      </c>
      <c r="D1954" s="81" t="n">
        <v>18</v>
      </c>
      <c r="E1954" s="81" t="s">
        <v>2382</v>
      </c>
      <c r="F1954" s="82" t="str">
        <f aca="false">IF(E1954="","",IF(LEFT(E1954,2)="DJ","DJ","JN"))</f>
        <v>JN</v>
      </c>
      <c r="G1954" s="81"/>
      <c r="H1954" s="81"/>
      <c r="I1954" s="81"/>
      <c r="J1954" s="81"/>
      <c r="K1954" s="81"/>
      <c r="L1954" s="81" t="n">
        <v>2095540</v>
      </c>
      <c r="M1954" s="81" t="n">
        <v>15421111</v>
      </c>
      <c r="N1954" s="81" t="n">
        <v>11.94</v>
      </c>
      <c r="O1954" s="81"/>
      <c r="P1954" s="81"/>
      <c r="Q1954" s="81"/>
      <c r="R1954" s="81"/>
      <c r="S1954" s="81"/>
      <c r="T1954" s="81"/>
      <c r="U1954" s="83"/>
      <c r="V1954" s="83"/>
      <c r="W1954" s="81"/>
      <c r="X1954" s="81"/>
      <c r="Y1954" s="83"/>
      <c r="Z1954" s="81"/>
      <c r="AA1954" s="81"/>
      <c r="AB1954" s="81"/>
      <c r="AC1954" s="81"/>
      <c r="AD1954" s="81"/>
      <c r="AE1954" s="83"/>
      <c r="AF1954" s="81"/>
      <c r="AG1954" s="81"/>
      <c r="AH1954" s="81"/>
      <c r="AI1954" s="81"/>
      <c r="AJ1954" s="83"/>
      <c r="AK1954" s="81"/>
      <c r="AL1954" s="81"/>
      <c r="AM1954" s="83"/>
      <c r="AN1954" s="80"/>
      <c r="AO1954" s="82" t="n">
        <f aca="false">IF(E1954="","",(AA1954&lt;&gt;"")+(AG1954&lt;&gt;"")+(AL1954&lt;&gt;""))</f>
        <v>0</v>
      </c>
      <c r="AP1954" s="82" t="str">
        <f aca="false">IF(AL1954&lt;&gt;"",AL1954,IF(AG1954&lt;&gt;"",AG1954,IF(AA1954&lt;&gt;"",AA1954,"")))</f>
        <v/>
      </c>
      <c r="AQ1954" s="84" t="str">
        <f aca="false">IF(E1954="","",IF(U1954="","À SOUDER",IF(X1954="","VT EN ATTENTE",IF(X1954="R","VT REJETÉ – À REPRENDRE",IF(AP1954="","À RADIOGRAPHIER",IF(AP1954="A","ACCEPTÉ",IF(AP1954="NX","NX – RT À REFAIRE",IF(IF(AO1954=1,AD1954,IF(AO1954=2,AI1954,""))="A","RÉPARÉ – À RADIOGRAPHIER",IF(IF(AO1954=1,AD1954,IF(AO1954=2,AI1954,""))="R","VT REJETÉ – À REPRENDRE",IF(OR(AP1954="CO",AP1954="NT"),"COUPE – À RESOUDER","À RÉPARER"))))))))))</f>
        <v>À SOUDER</v>
      </c>
      <c r="AR1954" s="82" t="str">
        <f aca="false">IF(AND(ISNUMBER(U1954),OR(AQ1954="À RADIOGRAPHIER",AQ1954="RÉPARÉ – À RADIOGRAPHIER",AQ1954="NX – RT À REFAIRE",AQ1954="À RÉPARER",AQ1954="COUPE – À RESOUDER",AQ1954="VT REJETÉ – À REPRENDRE")),MAX(0,'PROGRAMME RT'!$C$4-U1954),"")</f>
        <v/>
      </c>
      <c r="AS1954" s="82" t="n">
        <f aca="false">IF(AND(OR(AQ1954="À RADIOGRAPHIER",AQ1954="RÉPARÉ – À RADIOGRAPHIER",AQ1954="NX – RT À REFAIRE"),OR('PROGRAMME RT'!$D$5="TOUTES",B1954='PROGRAMME RT'!$D$5)),1,0)</f>
        <v>0</v>
      </c>
      <c r="AT1954" s="82" t="str">
        <f aca="false">IF(AS1954=1,SUM(AS$7:AS1954),"")</f>
        <v/>
      </c>
      <c r="AU1954" s="82" t="n">
        <f aca="false">IF(AND(OR(AA1954="R",AA1954="NX",AA1954="NT",AA1954="CO"),OR('JOINTS DE RÉPARATION'!$D$5="TOUTES",B1954='JOINTS DE RÉPARATION'!$D$5),OR('JOINTS DE RÉPARATION'!$L$4="TOUS",AQ1954&lt;&gt;"ACCEPTÉ")),1,0)</f>
        <v>0</v>
      </c>
      <c r="AV1954" s="82" t="str">
        <f aca="false">IF(AU1954=1,SUM(AU$7:AU1954),"")</f>
        <v/>
      </c>
      <c r="AW1954" s="82" t="str">
        <f aca="false">IF(E1954="","",B1954&amp;"|"&amp;E1954)</f>
        <v>MFD-ISW → MFD-CPF|JN°1507</v>
      </c>
    </row>
    <row r="1955" customFormat="false" ht="74.6" hidden="false" customHeight="false" outlineLevel="0" collapsed="false">
      <c r="A1955" s="79" t="n">
        <f aca="false">IF(E1955="","",ROW()-6)</f>
        <v>1949</v>
      </c>
      <c r="B1955" s="80" t="s">
        <v>110</v>
      </c>
      <c r="C1955" s="81" t="s">
        <v>926</v>
      </c>
      <c r="D1955" s="81" t="n">
        <v>18</v>
      </c>
      <c r="E1955" s="81" t="s">
        <v>2383</v>
      </c>
      <c r="F1955" s="82" t="str">
        <f aca="false">IF(E1955="","",IF(LEFT(E1955,2)="DJ","DJ","JN"))</f>
        <v>JN</v>
      </c>
      <c r="G1955" s="81"/>
      <c r="H1955" s="81"/>
      <c r="I1955" s="81"/>
      <c r="J1955" s="81"/>
      <c r="K1955" s="81"/>
      <c r="L1955" s="81"/>
      <c r="M1955" s="81"/>
      <c r="N1955" s="81"/>
      <c r="O1955" s="81"/>
      <c r="P1955" s="81"/>
      <c r="Q1955" s="81"/>
      <c r="R1955" s="81"/>
      <c r="S1955" s="81"/>
      <c r="T1955" s="81"/>
      <c r="U1955" s="83"/>
      <c r="V1955" s="83"/>
      <c r="W1955" s="81"/>
      <c r="X1955" s="81"/>
      <c r="Y1955" s="83"/>
      <c r="Z1955" s="81"/>
      <c r="AA1955" s="81"/>
      <c r="AB1955" s="81"/>
      <c r="AC1955" s="81"/>
      <c r="AD1955" s="81"/>
      <c r="AE1955" s="83"/>
      <c r="AF1955" s="81"/>
      <c r="AG1955" s="81"/>
      <c r="AH1955" s="81"/>
      <c r="AI1955" s="81"/>
      <c r="AJ1955" s="83"/>
      <c r="AK1955" s="81"/>
      <c r="AL1955" s="81"/>
      <c r="AM1955" s="83"/>
      <c r="AN1955" s="80"/>
      <c r="AO1955" s="82" t="n">
        <f aca="false">IF(E1955="","",(AA1955&lt;&gt;"")+(AG1955&lt;&gt;"")+(AL1955&lt;&gt;""))</f>
        <v>0</v>
      </c>
      <c r="AP1955" s="82" t="str">
        <f aca="false">IF(AL1955&lt;&gt;"",AL1955,IF(AG1955&lt;&gt;"",AG1955,IF(AA1955&lt;&gt;"",AA1955,"")))</f>
        <v/>
      </c>
      <c r="AQ1955" s="84" t="str">
        <f aca="false">IF(E1955="","",IF(U1955="","À SOUDER",IF(X1955="","VT EN ATTENTE",IF(X1955="R","VT REJETÉ – À REPRENDRE",IF(AP1955="","À RADIOGRAPHIER",IF(AP1955="A","ACCEPTÉ",IF(AP1955="NX","NX – RT À REFAIRE",IF(IF(AO1955=1,AD1955,IF(AO1955=2,AI1955,""))="A","RÉPARÉ – À RADIOGRAPHIER",IF(IF(AO1955=1,AD1955,IF(AO1955=2,AI1955,""))="R","VT REJETÉ – À REPRENDRE",IF(OR(AP1955="CO",AP1955="NT"),"COUPE – À RESOUDER","À RÉPARER"))))))))))</f>
        <v>À SOUDER</v>
      </c>
      <c r="AR1955" s="82" t="str">
        <f aca="false">IF(AND(ISNUMBER(U1955),OR(AQ1955="À RADIOGRAPHIER",AQ1955="RÉPARÉ – À RADIOGRAPHIER",AQ1955="NX – RT À REFAIRE",AQ1955="À RÉPARER",AQ1955="COUPE – À RESOUDER",AQ1955="VT REJETÉ – À REPRENDRE")),MAX(0,'PROGRAMME RT'!$C$4-U1955),"")</f>
        <v/>
      </c>
      <c r="AS1955" s="82" t="n">
        <f aca="false">IF(AND(OR(AQ1955="À RADIOGRAPHIER",AQ1955="RÉPARÉ – À RADIOGRAPHIER",AQ1955="NX – RT À REFAIRE"),OR('PROGRAMME RT'!$D$5="TOUTES",B1955='PROGRAMME RT'!$D$5)),1,0)</f>
        <v>0</v>
      </c>
      <c r="AT1955" s="82" t="str">
        <f aca="false">IF(AS1955=1,SUM(AS$7:AS1955),"")</f>
        <v/>
      </c>
      <c r="AU1955" s="82" t="n">
        <f aca="false">IF(AND(OR(AA1955="R",AA1955="NX",AA1955="NT",AA1955="CO"),OR('JOINTS DE RÉPARATION'!$D$5="TOUTES",B1955='JOINTS DE RÉPARATION'!$D$5),OR('JOINTS DE RÉPARATION'!$L$4="TOUS",AQ1955&lt;&gt;"ACCEPTÉ")),1,0)</f>
        <v>0</v>
      </c>
      <c r="AV1955" s="82" t="str">
        <f aca="false">IF(AU1955=1,SUM(AU$7:AU1955),"")</f>
        <v/>
      </c>
      <c r="AW1955" s="82" t="str">
        <f aca="false">IF(E1955="","",B1955&amp;"|"&amp;E1955)</f>
        <v>MFD-ISW → MFD-CPF|JN°1508</v>
      </c>
    </row>
    <row r="1956" customFormat="false" ht="74.6" hidden="false" customHeight="false" outlineLevel="0" collapsed="false">
      <c r="A1956" s="79" t="n">
        <f aca="false">IF(E1956="","",ROW()-6)</f>
        <v>1950</v>
      </c>
      <c r="B1956" s="80" t="s">
        <v>110</v>
      </c>
      <c r="C1956" s="81" t="s">
        <v>926</v>
      </c>
      <c r="D1956" s="81" t="n">
        <v>18</v>
      </c>
      <c r="E1956" s="81" t="s">
        <v>2384</v>
      </c>
      <c r="F1956" s="82" t="str">
        <f aca="false">IF(E1956="","",IF(LEFT(E1956,2)="DJ","DJ","JN"))</f>
        <v>JN</v>
      </c>
      <c r="G1956" s="81"/>
      <c r="H1956" s="81"/>
      <c r="I1956" s="81"/>
      <c r="J1956" s="81"/>
      <c r="K1956" s="81"/>
      <c r="L1956" s="81"/>
      <c r="M1956" s="81"/>
      <c r="N1956" s="81"/>
      <c r="O1956" s="81" t="n">
        <v>2086030</v>
      </c>
      <c r="P1956" s="81" t="n">
        <v>15421102</v>
      </c>
      <c r="Q1956" s="81" t="n">
        <v>11.94</v>
      </c>
      <c r="R1956" s="81"/>
      <c r="S1956" s="81"/>
      <c r="T1956" s="81"/>
      <c r="U1956" s="83"/>
      <c r="V1956" s="83"/>
      <c r="W1956" s="81"/>
      <c r="X1956" s="81"/>
      <c r="Y1956" s="83"/>
      <c r="Z1956" s="81"/>
      <c r="AA1956" s="81"/>
      <c r="AB1956" s="81"/>
      <c r="AC1956" s="81"/>
      <c r="AD1956" s="81"/>
      <c r="AE1956" s="83"/>
      <c r="AF1956" s="81"/>
      <c r="AG1956" s="81"/>
      <c r="AH1956" s="81"/>
      <c r="AI1956" s="81"/>
      <c r="AJ1956" s="83"/>
      <c r="AK1956" s="81"/>
      <c r="AL1956" s="81"/>
      <c r="AM1956" s="83"/>
      <c r="AN1956" s="80"/>
      <c r="AO1956" s="82" t="n">
        <f aca="false">IF(E1956="","",(AA1956&lt;&gt;"")+(AG1956&lt;&gt;"")+(AL1956&lt;&gt;""))</f>
        <v>0</v>
      </c>
      <c r="AP1956" s="82" t="str">
        <f aca="false">IF(AL1956&lt;&gt;"",AL1956,IF(AG1956&lt;&gt;"",AG1956,IF(AA1956&lt;&gt;"",AA1956,"")))</f>
        <v/>
      </c>
      <c r="AQ1956" s="84" t="str">
        <f aca="false">IF(E1956="","",IF(U1956="","À SOUDER",IF(X1956="","VT EN ATTENTE",IF(X1956="R","VT REJETÉ – À REPRENDRE",IF(AP1956="","À RADIOGRAPHIER",IF(AP1956="A","ACCEPTÉ",IF(AP1956="NX","NX – RT À REFAIRE",IF(IF(AO1956=1,AD1956,IF(AO1956=2,AI1956,""))="A","RÉPARÉ – À RADIOGRAPHIER",IF(IF(AO1956=1,AD1956,IF(AO1956=2,AI1956,""))="R","VT REJETÉ – À REPRENDRE",IF(OR(AP1956="CO",AP1956="NT"),"COUPE – À RESOUDER","À RÉPARER"))))))))))</f>
        <v>À SOUDER</v>
      </c>
      <c r="AR1956" s="82" t="str">
        <f aca="false">IF(AND(ISNUMBER(U1956),OR(AQ1956="À RADIOGRAPHIER",AQ1956="RÉPARÉ – À RADIOGRAPHIER",AQ1956="NX – RT À REFAIRE",AQ1956="À RÉPARER",AQ1956="COUPE – À RESOUDER",AQ1956="VT REJETÉ – À REPRENDRE")),MAX(0,'PROGRAMME RT'!$C$4-U1956),"")</f>
        <v/>
      </c>
      <c r="AS1956" s="82" t="n">
        <f aca="false">IF(AND(OR(AQ1956="À RADIOGRAPHIER",AQ1956="RÉPARÉ – À RADIOGRAPHIER",AQ1956="NX – RT À REFAIRE"),OR('PROGRAMME RT'!$D$5="TOUTES",B1956='PROGRAMME RT'!$D$5)),1,0)</f>
        <v>0</v>
      </c>
      <c r="AT1956" s="82" t="str">
        <f aca="false">IF(AS1956=1,SUM(AS$7:AS1956),"")</f>
        <v/>
      </c>
      <c r="AU1956" s="82" t="n">
        <f aca="false">IF(AND(OR(AA1956="R",AA1956="NX",AA1956="NT",AA1956="CO"),OR('JOINTS DE RÉPARATION'!$D$5="TOUTES",B1956='JOINTS DE RÉPARATION'!$D$5),OR('JOINTS DE RÉPARATION'!$L$4="TOUS",AQ1956&lt;&gt;"ACCEPTÉ")),1,0)</f>
        <v>0</v>
      </c>
      <c r="AV1956" s="82" t="str">
        <f aca="false">IF(AU1956=1,SUM(AU$7:AU1956),"")</f>
        <v/>
      </c>
      <c r="AW1956" s="82" t="str">
        <f aca="false">IF(E1956="","",B1956&amp;"|"&amp;E1956)</f>
        <v>MFD-ISW → MFD-CPF|JN°1509</v>
      </c>
    </row>
    <row r="1957" customFormat="false" ht="74.6" hidden="false" customHeight="false" outlineLevel="0" collapsed="false">
      <c r="A1957" s="79" t="n">
        <f aca="false">IF(E1957="","",ROW()-6)</f>
        <v>1951</v>
      </c>
      <c r="B1957" s="80" t="s">
        <v>110</v>
      </c>
      <c r="C1957" s="81" t="s">
        <v>2385</v>
      </c>
      <c r="D1957" s="81" t="n">
        <v>18</v>
      </c>
      <c r="E1957" s="81" t="s">
        <v>2386</v>
      </c>
      <c r="F1957" s="82" t="str">
        <f aca="false">IF(E1957="","",IF(LEFT(E1957,2)="DJ","DJ","JN"))</f>
        <v>DJ</v>
      </c>
      <c r="G1957" s="81"/>
      <c r="H1957" s="81" t="s">
        <v>871</v>
      </c>
      <c r="I1957" s="81" t="n">
        <v>9.53</v>
      </c>
      <c r="J1957" s="81" t="s">
        <v>872</v>
      </c>
      <c r="K1957" s="81" t="s">
        <v>873</v>
      </c>
      <c r="L1957" s="81" t="n">
        <v>2086030</v>
      </c>
      <c r="M1957" s="81" t="n">
        <v>15421102</v>
      </c>
      <c r="N1957" s="81" t="n">
        <v>11.94</v>
      </c>
      <c r="O1957" s="81" t="n">
        <v>2097960</v>
      </c>
      <c r="P1957" s="81" t="n">
        <v>15421102</v>
      </c>
      <c r="Q1957" s="81" t="n">
        <v>11.94</v>
      </c>
      <c r="R1957" s="81" t="s">
        <v>899</v>
      </c>
      <c r="S1957" s="81"/>
      <c r="T1957" s="81"/>
      <c r="U1957" s="83" t="n">
        <v>46258</v>
      </c>
      <c r="V1957" s="83" t="n">
        <v>46258</v>
      </c>
      <c r="W1957" s="81" t="s">
        <v>2137</v>
      </c>
      <c r="X1957" s="81" t="s">
        <v>876</v>
      </c>
      <c r="Y1957" s="83" t="n">
        <v>46259</v>
      </c>
      <c r="Z1957" s="81" t="s">
        <v>2305</v>
      </c>
      <c r="AA1957" s="81" t="s">
        <v>876</v>
      </c>
      <c r="AB1957" s="81"/>
      <c r="AC1957" s="81"/>
      <c r="AD1957" s="81"/>
      <c r="AE1957" s="83"/>
      <c r="AF1957" s="81"/>
      <c r="AG1957" s="81"/>
      <c r="AH1957" s="81"/>
      <c r="AI1957" s="81"/>
      <c r="AJ1957" s="83"/>
      <c r="AK1957" s="81"/>
      <c r="AL1957" s="81"/>
      <c r="AM1957" s="83"/>
      <c r="AN1957" s="80"/>
      <c r="AO1957" s="82" t="n">
        <f aca="false">IF(E1957="","",(AA1957&lt;&gt;"")+(AG1957&lt;&gt;"")+(AL1957&lt;&gt;""))</f>
        <v>1</v>
      </c>
      <c r="AP1957" s="82" t="str">
        <f aca="false">IF(AL1957&lt;&gt;"",AL1957,IF(AG1957&lt;&gt;"",AG1957,IF(AA1957&lt;&gt;"",AA1957,"")))</f>
        <v>A</v>
      </c>
      <c r="AQ1957" s="84" t="str">
        <f aca="false">IF(E1957="","",IF(U1957="","À SOUDER",IF(X1957="","VT EN ATTENTE",IF(X1957="R","VT REJETÉ – À REPRENDRE",IF(AP1957="","À RADIOGRAPHIER",IF(AP1957="A","ACCEPTÉ",IF(AP1957="NX","NX – RT À REFAIRE",IF(IF(AO1957=1,AD1957,IF(AO1957=2,AI1957,""))="A","RÉPARÉ – À RADIOGRAPHIER",IF(IF(AO1957=1,AD1957,IF(AO1957=2,AI1957,""))="R","VT REJETÉ – À REPRENDRE",IF(OR(AP1957="CO",AP1957="NT"),"COUPE – À RESOUDER","À RÉPARER"))))))))))</f>
        <v>ACCEPTÉ</v>
      </c>
      <c r="AR1957" s="82" t="str">
        <f aca="false">IF(AND(ISNUMBER(U1957),OR(AQ1957="À RADIOGRAPHIER",AQ1957="RÉPARÉ – À RADIOGRAPHIER",AQ1957="NX – RT À REFAIRE",AQ1957="À RÉPARER",AQ1957="COUPE – À RESOUDER",AQ1957="VT REJETÉ – À REPRENDRE")),MAX(0,'PROGRAMME RT'!$C$4-U1957),"")</f>
        <v/>
      </c>
      <c r="AS1957" s="82" t="n">
        <f aca="false">IF(AND(OR(AQ1957="À RADIOGRAPHIER",AQ1957="RÉPARÉ – À RADIOGRAPHIER",AQ1957="NX – RT À REFAIRE"),OR('PROGRAMME RT'!$D$5="TOUTES",B1957='PROGRAMME RT'!$D$5)),1,0)</f>
        <v>0</v>
      </c>
      <c r="AT1957" s="82" t="str">
        <f aca="false">IF(AS1957=1,SUM(AS$7:AS1957),"")</f>
        <v/>
      </c>
      <c r="AU1957" s="82" t="n">
        <f aca="false">IF(AND(OR(AA1957="R",AA1957="NX",AA1957="NT",AA1957="CO"),OR('JOINTS DE RÉPARATION'!$D$5="TOUTES",B1957='JOINTS DE RÉPARATION'!$D$5),OR('JOINTS DE RÉPARATION'!$L$4="TOUS",AQ1957&lt;&gt;"ACCEPTÉ")),1,0)</f>
        <v>0</v>
      </c>
      <c r="AV1957" s="82" t="str">
        <f aca="false">IF(AU1957=1,SUM(AU$7:AU1957),"")</f>
        <v/>
      </c>
      <c r="AW1957" s="82" t="str">
        <f aca="false">IF(E1957="","",B1957&amp;"|"&amp;E1957)</f>
        <v>MFD-ISW → MFD-CPF|DJ°116</v>
      </c>
    </row>
    <row r="1958" customFormat="false" ht="74.6" hidden="false" customHeight="false" outlineLevel="0" collapsed="false">
      <c r="A1958" s="79" t="n">
        <f aca="false">IF(E1958="","",ROW()-6)</f>
        <v>1952</v>
      </c>
      <c r="B1958" s="80" t="s">
        <v>110</v>
      </c>
      <c r="C1958" s="81" t="s">
        <v>2385</v>
      </c>
      <c r="D1958" s="81" t="n">
        <v>18</v>
      </c>
      <c r="E1958" s="81" t="s">
        <v>2387</v>
      </c>
      <c r="F1958" s="82" t="str">
        <f aca="false">IF(E1958="","",IF(LEFT(E1958,2)="DJ","DJ","JN"))</f>
        <v>JN</v>
      </c>
      <c r="G1958" s="81" t="s">
        <v>1504</v>
      </c>
      <c r="H1958" s="81" t="s">
        <v>871</v>
      </c>
      <c r="I1958" s="81" t="n">
        <v>9.53</v>
      </c>
      <c r="J1958" s="81" t="s">
        <v>872</v>
      </c>
      <c r="K1958" s="81" t="s">
        <v>879</v>
      </c>
      <c r="L1958" s="81" t="n">
        <v>2097960</v>
      </c>
      <c r="M1958" s="81" t="n">
        <v>15421102</v>
      </c>
      <c r="N1958" s="81" t="n">
        <v>11.94</v>
      </c>
      <c r="O1958" s="81" t="n">
        <v>2086690</v>
      </c>
      <c r="P1958" s="81" t="n">
        <v>15421107</v>
      </c>
      <c r="Q1958" s="81" t="n">
        <v>11.94</v>
      </c>
      <c r="R1958" s="81" t="s">
        <v>2273</v>
      </c>
      <c r="S1958" s="81"/>
      <c r="T1958" s="81"/>
      <c r="U1958" s="83" t="n">
        <v>46268</v>
      </c>
      <c r="V1958" s="83" t="n">
        <v>46268</v>
      </c>
      <c r="W1958" s="81" t="s">
        <v>2351</v>
      </c>
      <c r="X1958" s="81" t="s">
        <v>876</v>
      </c>
      <c r="Y1958" s="83" t="n">
        <v>46276</v>
      </c>
      <c r="Z1958" s="81" t="s">
        <v>2376</v>
      </c>
      <c r="AA1958" s="81" t="s">
        <v>876</v>
      </c>
      <c r="AB1958" s="81"/>
      <c r="AC1958" s="81"/>
      <c r="AD1958" s="81"/>
      <c r="AE1958" s="83"/>
      <c r="AF1958" s="81"/>
      <c r="AG1958" s="81"/>
      <c r="AH1958" s="81"/>
      <c r="AI1958" s="81"/>
      <c r="AJ1958" s="83"/>
      <c r="AK1958" s="81"/>
      <c r="AL1958" s="81"/>
      <c r="AM1958" s="83"/>
      <c r="AN1958" s="80"/>
      <c r="AO1958" s="82" t="n">
        <f aca="false">IF(E1958="","",(AA1958&lt;&gt;"")+(AG1958&lt;&gt;"")+(AL1958&lt;&gt;""))</f>
        <v>1</v>
      </c>
      <c r="AP1958" s="82" t="str">
        <f aca="false">IF(AL1958&lt;&gt;"",AL1958,IF(AG1958&lt;&gt;"",AG1958,IF(AA1958&lt;&gt;"",AA1958,"")))</f>
        <v>A</v>
      </c>
      <c r="AQ1958" s="84" t="str">
        <f aca="false">IF(E1958="","",IF(U1958="","À SOUDER",IF(X1958="","VT EN ATTENTE",IF(X1958="R","VT REJETÉ – À REPRENDRE",IF(AP1958="","À RADIOGRAPHIER",IF(AP1958="A","ACCEPTÉ",IF(AP1958="NX","NX – RT À REFAIRE",IF(IF(AO1958=1,AD1958,IF(AO1958=2,AI1958,""))="A","RÉPARÉ – À RADIOGRAPHIER",IF(IF(AO1958=1,AD1958,IF(AO1958=2,AI1958,""))="R","VT REJETÉ – À REPRENDRE",IF(OR(AP1958="CO",AP1958="NT"),"COUPE – À RESOUDER","À RÉPARER"))))))))))</f>
        <v>ACCEPTÉ</v>
      </c>
      <c r="AR1958" s="82" t="str">
        <f aca="false">IF(AND(ISNUMBER(U1958),OR(AQ1958="À RADIOGRAPHIER",AQ1958="RÉPARÉ – À RADIOGRAPHIER",AQ1958="NX – RT À REFAIRE",AQ1958="À RÉPARER",AQ1958="COUPE – À RESOUDER",AQ1958="VT REJETÉ – À REPRENDRE")),MAX(0,'PROGRAMME RT'!$C$4-U1958),"")</f>
        <v/>
      </c>
      <c r="AS1958" s="82" t="n">
        <f aca="false">IF(AND(OR(AQ1958="À RADIOGRAPHIER",AQ1958="RÉPARÉ – À RADIOGRAPHIER",AQ1958="NX – RT À REFAIRE"),OR('PROGRAMME RT'!$D$5="TOUTES",B1958='PROGRAMME RT'!$D$5)),1,0)</f>
        <v>0</v>
      </c>
      <c r="AT1958" s="82" t="str">
        <f aca="false">IF(AS1958=1,SUM(AS$7:AS1958),"")</f>
        <v/>
      </c>
      <c r="AU1958" s="82" t="n">
        <f aca="false">IF(AND(OR(AA1958="R",AA1958="NX",AA1958="NT",AA1958="CO"),OR('JOINTS DE RÉPARATION'!$D$5="TOUTES",B1958='JOINTS DE RÉPARATION'!$D$5),OR('JOINTS DE RÉPARATION'!$L$4="TOUS",AQ1958&lt;&gt;"ACCEPTÉ")),1,0)</f>
        <v>0</v>
      </c>
      <c r="AV1958" s="82" t="str">
        <f aca="false">IF(AU1958=1,SUM(AU$7:AU1958),"")</f>
        <v/>
      </c>
      <c r="AW1958" s="82" t="str">
        <f aca="false">IF(E1958="","",B1958&amp;"|"&amp;E1958)</f>
        <v>MFD-ISW → MFD-CPF|JN°1510</v>
      </c>
    </row>
    <row r="1959" customFormat="false" ht="74.6" hidden="false" customHeight="false" outlineLevel="0" collapsed="false">
      <c r="A1959" s="79" t="n">
        <f aca="false">IF(E1959="","",ROW()-6)</f>
        <v>1953</v>
      </c>
      <c r="B1959" s="80" t="s">
        <v>110</v>
      </c>
      <c r="C1959" s="81" t="s">
        <v>2385</v>
      </c>
      <c r="D1959" s="81" t="n">
        <v>18</v>
      </c>
      <c r="E1959" s="81" t="s">
        <v>2388</v>
      </c>
      <c r="F1959" s="82" t="str">
        <f aca="false">IF(E1959="","",IF(LEFT(E1959,2)="DJ","DJ","JN"))</f>
        <v>DJ</v>
      </c>
      <c r="G1959" s="81"/>
      <c r="H1959" s="81" t="s">
        <v>871</v>
      </c>
      <c r="I1959" s="81" t="n">
        <v>9.53</v>
      </c>
      <c r="J1959" s="81" t="s">
        <v>872</v>
      </c>
      <c r="K1959" s="81" t="s">
        <v>873</v>
      </c>
      <c r="L1959" s="81" t="n">
        <v>2086690</v>
      </c>
      <c r="M1959" s="81" t="n">
        <v>15421107</v>
      </c>
      <c r="N1959" s="81" t="n">
        <v>11.94</v>
      </c>
      <c r="O1959" s="81" t="n">
        <v>2087370</v>
      </c>
      <c r="P1959" s="81" t="n">
        <v>15421107</v>
      </c>
      <c r="Q1959" s="81" t="n">
        <v>11.94</v>
      </c>
      <c r="R1959" s="81" t="s">
        <v>963</v>
      </c>
      <c r="S1959" s="81"/>
      <c r="T1959" s="81"/>
      <c r="U1959" s="83" t="n">
        <v>46253</v>
      </c>
      <c r="V1959" s="83" t="n">
        <v>46253</v>
      </c>
      <c r="W1959" s="81" t="s">
        <v>2240</v>
      </c>
      <c r="X1959" s="81" t="s">
        <v>876</v>
      </c>
      <c r="Y1959" s="83" t="n">
        <v>46255</v>
      </c>
      <c r="Z1959" s="81" t="s">
        <v>2389</v>
      </c>
      <c r="AA1959" s="81" t="s">
        <v>876</v>
      </c>
      <c r="AB1959" s="81"/>
      <c r="AC1959" s="81"/>
      <c r="AD1959" s="81"/>
      <c r="AE1959" s="83"/>
      <c r="AF1959" s="81"/>
      <c r="AG1959" s="81"/>
      <c r="AH1959" s="81"/>
      <c r="AI1959" s="81"/>
      <c r="AJ1959" s="83"/>
      <c r="AK1959" s="81"/>
      <c r="AL1959" s="81"/>
      <c r="AM1959" s="83"/>
      <c r="AN1959" s="80"/>
      <c r="AO1959" s="82" t="n">
        <f aca="false">IF(E1959="","",(AA1959&lt;&gt;"")+(AG1959&lt;&gt;"")+(AL1959&lt;&gt;""))</f>
        <v>1</v>
      </c>
      <c r="AP1959" s="82" t="str">
        <f aca="false">IF(AL1959&lt;&gt;"",AL1959,IF(AG1959&lt;&gt;"",AG1959,IF(AA1959&lt;&gt;"",AA1959,"")))</f>
        <v>A</v>
      </c>
      <c r="AQ1959" s="84" t="str">
        <f aca="false">IF(E1959="","",IF(U1959="","À SOUDER",IF(X1959="","VT EN ATTENTE",IF(X1959="R","VT REJETÉ – À REPRENDRE",IF(AP1959="","À RADIOGRAPHIER",IF(AP1959="A","ACCEPTÉ",IF(AP1959="NX","NX – RT À REFAIRE",IF(IF(AO1959=1,AD1959,IF(AO1959=2,AI1959,""))="A","RÉPARÉ – À RADIOGRAPHIER",IF(IF(AO1959=1,AD1959,IF(AO1959=2,AI1959,""))="R","VT REJETÉ – À REPRENDRE",IF(OR(AP1959="CO",AP1959="NT"),"COUPE – À RESOUDER","À RÉPARER"))))))))))</f>
        <v>ACCEPTÉ</v>
      </c>
      <c r="AR1959" s="82" t="str">
        <f aca="false">IF(AND(ISNUMBER(U1959),OR(AQ1959="À RADIOGRAPHIER",AQ1959="RÉPARÉ – À RADIOGRAPHIER",AQ1959="NX – RT À REFAIRE",AQ1959="À RÉPARER",AQ1959="COUPE – À RESOUDER",AQ1959="VT REJETÉ – À REPRENDRE")),MAX(0,'PROGRAMME RT'!$C$4-U1959),"")</f>
        <v/>
      </c>
      <c r="AS1959" s="82" t="n">
        <f aca="false">IF(AND(OR(AQ1959="À RADIOGRAPHIER",AQ1959="RÉPARÉ – À RADIOGRAPHIER",AQ1959="NX – RT À REFAIRE"),OR('PROGRAMME RT'!$D$5="TOUTES",B1959='PROGRAMME RT'!$D$5)),1,0)</f>
        <v>0</v>
      </c>
      <c r="AT1959" s="82" t="str">
        <f aca="false">IF(AS1959=1,SUM(AS$7:AS1959),"")</f>
        <v/>
      </c>
      <c r="AU1959" s="82" t="n">
        <f aca="false">IF(AND(OR(AA1959="R",AA1959="NX",AA1959="NT",AA1959="CO"),OR('JOINTS DE RÉPARATION'!$D$5="TOUTES",B1959='JOINTS DE RÉPARATION'!$D$5),OR('JOINTS DE RÉPARATION'!$L$4="TOUS",AQ1959&lt;&gt;"ACCEPTÉ")),1,0)</f>
        <v>0</v>
      </c>
      <c r="AV1959" s="82" t="str">
        <f aca="false">IF(AU1959=1,SUM(AU$7:AU1959),"")</f>
        <v/>
      </c>
      <c r="AW1959" s="82" t="str">
        <f aca="false">IF(E1959="","",B1959&amp;"|"&amp;E1959)</f>
        <v>MFD-ISW → MFD-CPF|DJ°053</v>
      </c>
    </row>
    <row r="1960" customFormat="false" ht="74.6" hidden="false" customHeight="false" outlineLevel="0" collapsed="false">
      <c r="A1960" s="79" t="n">
        <f aca="false">IF(E1960="","",ROW()-6)</f>
        <v>1954</v>
      </c>
      <c r="B1960" s="80" t="s">
        <v>110</v>
      </c>
      <c r="C1960" s="81" t="s">
        <v>2385</v>
      </c>
      <c r="D1960" s="81" t="n">
        <v>18</v>
      </c>
      <c r="E1960" s="81" t="s">
        <v>2390</v>
      </c>
      <c r="F1960" s="82" t="str">
        <f aca="false">IF(E1960="","",IF(LEFT(E1960,2)="DJ","DJ","JN"))</f>
        <v>JN</v>
      </c>
      <c r="G1960" s="81" t="s">
        <v>1504</v>
      </c>
      <c r="H1960" s="81" t="s">
        <v>871</v>
      </c>
      <c r="I1960" s="81" t="n">
        <v>9.53</v>
      </c>
      <c r="J1960" s="81" t="s">
        <v>872</v>
      </c>
      <c r="K1960" s="81" t="s">
        <v>879</v>
      </c>
      <c r="L1960" s="81" t="n">
        <v>2087370</v>
      </c>
      <c r="M1960" s="81" t="n">
        <v>15421107</v>
      </c>
      <c r="N1960" s="81" t="n">
        <v>11.94</v>
      </c>
      <c r="O1960" s="81" t="n">
        <v>2083580</v>
      </c>
      <c r="P1960" s="81" t="n">
        <v>15421105</v>
      </c>
      <c r="Q1960" s="81" t="n">
        <v>11.94</v>
      </c>
      <c r="R1960" s="81" t="s">
        <v>2273</v>
      </c>
      <c r="S1960" s="81"/>
      <c r="T1960" s="81"/>
      <c r="U1960" s="83" t="n">
        <v>46268</v>
      </c>
      <c r="V1960" s="83" t="n">
        <v>46268</v>
      </c>
      <c r="W1960" s="81" t="s">
        <v>2351</v>
      </c>
      <c r="X1960" s="81" t="s">
        <v>876</v>
      </c>
      <c r="Y1960" s="83" t="n">
        <v>46276</v>
      </c>
      <c r="Z1960" s="81" t="s">
        <v>2376</v>
      </c>
      <c r="AA1960" s="81" t="s">
        <v>876</v>
      </c>
      <c r="AB1960" s="81"/>
      <c r="AC1960" s="81"/>
      <c r="AD1960" s="81"/>
      <c r="AE1960" s="83"/>
      <c r="AF1960" s="81"/>
      <c r="AG1960" s="81"/>
      <c r="AH1960" s="81"/>
      <c r="AI1960" s="81"/>
      <c r="AJ1960" s="83"/>
      <c r="AK1960" s="81"/>
      <c r="AL1960" s="81"/>
      <c r="AM1960" s="83"/>
      <c r="AN1960" s="80"/>
      <c r="AO1960" s="82" t="n">
        <f aca="false">IF(E1960="","",(AA1960&lt;&gt;"")+(AG1960&lt;&gt;"")+(AL1960&lt;&gt;""))</f>
        <v>1</v>
      </c>
      <c r="AP1960" s="82" t="str">
        <f aca="false">IF(AL1960&lt;&gt;"",AL1960,IF(AG1960&lt;&gt;"",AG1960,IF(AA1960&lt;&gt;"",AA1960,"")))</f>
        <v>A</v>
      </c>
      <c r="AQ1960" s="84" t="str">
        <f aca="false">IF(E1960="","",IF(U1960="","À SOUDER",IF(X1960="","VT EN ATTENTE",IF(X1960="R","VT REJETÉ – À REPRENDRE",IF(AP1960="","À RADIOGRAPHIER",IF(AP1960="A","ACCEPTÉ",IF(AP1960="NX","NX – RT À REFAIRE",IF(IF(AO1960=1,AD1960,IF(AO1960=2,AI1960,""))="A","RÉPARÉ – À RADIOGRAPHIER",IF(IF(AO1960=1,AD1960,IF(AO1960=2,AI1960,""))="R","VT REJETÉ – À REPRENDRE",IF(OR(AP1960="CO",AP1960="NT"),"COUPE – À RESOUDER","À RÉPARER"))))))))))</f>
        <v>ACCEPTÉ</v>
      </c>
      <c r="AR1960" s="82" t="str">
        <f aca="false">IF(AND(ISNUMBER(U1960),OR(AQ1960="À RADIOGRAPHIER",AQ1960="RÉPARÉ – À RADIOGRAPHIER",AQ1960="NX – RT À REFAIRE",AQ1960="À RÉPARER",AQ1960="COUPE – À RESOUDER",AQ1960="VT REJETÉ – À REPRENDRE")),MAX(0,'PROGRAMME RT'!$C$4-U1960),"")</f>
        <v/>
      </c>
      <c r="AS1960" s="82" t="n">
        <f aca="false">IF(AND(OR(AQ1960="À RADIOGRAPHIER",AQ1960="RÉPARÉ – À RADIOGRAPHIER",AQ1960="NX – RT À REFAIRE"),OR('PROGRAMME RT'!$D$5="TOUTES",B1960='PROGRAMME RT'!$D$5)),1,0)</f>
        <v>0</v>
      </c>
      <c r="AT1960" s="82" t="str">
        <f aca="false">IF(AS1960=1,SUM(AS$7:AS1960),"")</f>
        <v/>
      </c>
      <c r="AU1960" s="82" t="n">
        <f aca="false">IF(AND(OR(AA1960="R",AA1960="NX",AA1960="NT",AA1960="CO"),OR('JOINTS DE RÉPARATION'!$D$5="TOUTES",B1960='JOINTS DE RÉPARATION'!$D$5),OR('JOINTS DE RÉPARATION'!$L$4="TOUS",AQ1960&lt;&gt;"ACCEPTÉ")),1,0)</f>
        <v>0</v>
      </c>
      <c r="AV1960" s="82" t="str">
        <f aca="false">IF(AU1960=1,SUM(AU$7:AU1960),"")</f>
        <v/>
      </c>
      <c r="AW1960" s="82" t="str">
        <f aca="false">IF(E1960="","",B1960&amp;"|"&amp;E1960)</f>
        <v>MFD-ISW → MFD-CPF|JN°1511</v>
      </c>
    </row>
    <row r="1961" customFormat="false" ht="74.6" hidden="false" customHeight="false" outlineLevel="0" collapsed="false">
      <c r="A1961" s="79" t="n">
        <f aca="false">IF(E1961="","",ROW()-6)</f>
        <v>1955</v>
      </c>
      <c r="B1961" s="80" t="s">
        <v>110</v>
      </c>
      <c r="C1961" s="81" t="s">
        <v>2385</v>
      </c>
      <c r="D1961" s="81" t="n">
        <v>18</v>
      </c>
      <c r="E1961" s="81" t="s">
        <v>2391</v>
      </c>
      <c r="F1961" s="82" t="str">
        <f aca="false">IF(E1961="","",IF(LEFT(E1961,2)="DJ","DJ","JN"))</f>
        <v>DJ</v>
      </c>
      <c r="G1961" s="81"/>
      <c r="H1961" s="81" t="s">
        <v>871</v>
      </c>
      <c r="I1961" s="81" t="n">
        <v>9.53</v>
      </c>
      <c r="J1961" s="81" t="s">
        <v>872</v>
      </c>
      <c r="K1961" s="81" t="s">
        <v>873</v>
      </c>
      <c r="L1961" s="81" t="n">
        <v>2083580</v>
      </c>
      <c r="M1961" s="81" t="n">
        <v>15421105</v>
      </c>
      <c r="N1961" s="81" t="n">
        <v>11.94</v>
      </c>
      <c r="O1961" s="81" t="n">
        <v>2088560</v>
      </c>
      <c r="P1961" s="81" t="n">
        <v>15421108</v>
      </c>
      <c r="Q1961" s="81" t="n">
        <v>11.94</v>
      </c>
      <c r="R1961" s="81" t="s">
        <v>920</v>
      </c>
      <c r="S1961" s="81"/>
      <c r="T1961" s="81"/>
      <c r="U1961" s="83" t="n">
        <v>46252</v>
      </c>
      <c r="V1961" s="83" t="n">
        <v>46252</v>
      </c>
      <c r="W1961" s="81" t="s">
        <v>2275</v>
      </c>
      <c r="X1961" s="81" t="s">
        <v>876</v>
      </c>
      <c r="Y1961" s="83" t="n">
        <v>46255</v>
      </c>
      <c r="Z1961" s="81" t="s">
        <v>2389</v>
      </c>
      <c r="AA1961" s="81" t="s">
        <v>876</v>
      </c>
      <c r="AB1961" s="81"/>
      <c r="AC1961" s="81"/>
      <c r="AD1961" s="81"/>
      <c r="AE1961" s="83"/>
      <c r="AF1961" s="81"/>
      <c r="AG1961" s="81"/>
      <c r="AH1961" s="81"/>
      <c r="AI1961" s="81"/>
      <c r="AJ1961" s="83"/>
      <c r="AK1961" s="81"/>
      <c r="AL1961" s="81"/>
      <c r="AM1961" s="83"/>
      <c r="AN1961" s="80"/>
      <c r="AO1961" s="82" t="n">
        <f aca="false">IF(E1961="","",(AA1961&lt;&gt;"")+(AG1961&lt;&gt;"")+(AL1961&lt;&gt;""))</f>
        <v>1</v>
      </c>
      <c r="AP1961" s="82" t="str">
        <f aca="false">IF(AL1961&lt;&gt;"",AL1961,IF(AG1961&lt;&gt;"",AG1961,IF(AA1961&lt;&gt;"",AA1961,"")))</f>
        <v>A</v>
      </c>
      <c r="AQ1961" s="84" t="str">
        <f aca="false">IF(E1961="","",IF(U1961="","À SOUDER",IF(X1961="","VT EN ATTENTE",IF(X1961="R","VT REJETÉ – À REPRENDRE",IF(AP1961="","À RADIOGRAPHIER",IF(AP1961="A","ACCEPTÉ",IF(AP1961="NX","NX – RT À REFAIRE",IF(IF(AO1961=1,AD1961,IF(AO1961=2,AI1961,""))="A","RÉPARÉ – À RADIOGRAPHIER",IF(IF(AO1961=1,AD1961,IF(AO1961=2,AI1961,""))="R","VT REJETÉ – À REPRENDRE",IF(OR(AP1961="CO",AP1961="NT"),"COUPE – À RESOUDER","À RÉPARER"))))))))))</f>
        <v>ACCEPTÉ</v>
      </c>
      <c r="AR1961" s="82" t="str">
        <f aca="false">IF(AND(ISNUMBER(U1961),OR(AQ1961="À RADIOGRAPHIER",AQ1961="RÉPARÉ – À RADIOGRAPHIER",AQ1961="NX – RT À REFAIRE",AQ1961="À RÉPARER",AQ1961="COUPE – À RESOUDER",AQ1961="VT REJETÉ – À REPRENDRE")),MAX(0,'PROGRAMME RT'!$C$4-U1961),"")</f>
        <v/>
      </c>
      <c r="AS1961" s="82" t="n">
        <f aca="false">IF(AND(OR(AQ1961="À RADIOGRAPHIER",AQ1961="RÉPARÉ – À RADIOGRAPHIER",AQ1961="NX – RT À REFAIRE"),OR('PROGRAMME RT'!$D$5="TOUTES",B1961='PROGRAMME RT'!$D$5)),1,0)</f>
        <v>0</v>
      </c>
      <c r="AT1961" s="82" t="str">
        <f aca="false">IF(AS1961=1,SUM(AS$7:AS1961),"")</f>
        <v/>
      </c>
      <c r="AU1961" s="82" t="n">
        <f aca="false">IF(AND(OR(AA1961="R",AA1961="NX",AA1961="NT",AA1961="CO"),OR('JOINTS DE RÉPARATION'!$D$5="TOUTES",B1961='JOINTS DE RÉPARATION'!$D$5),OR('JOINTS DE RÉPARATION'!$L$4="TOUS",AQ1961&lt;&gt;"ACCEPTÉ")),1,0)</f>
        <v>0</v>
      </c>
      <c r="AV1961" s="82" t="str">
        <f aca="false">IF(AU1961=1,SUM(AU$7:AU1961),"")</f>
        <v/>
      </c>
      <c r="AW1961" s="82" t="str">
        <f aca="false">IF(E1961="","",B1961&amp;"|"&amp;E1961)</f>
        <v>MFD-ISW → MFD-CPF|DJ°048</v>
      </c>
    </row>
    <row r="1962" customFormat="false" ht="74.6" hidden="false" customHeight="false" outlineLevel="0" collapsed="false">
      <c r="A1962" s="79" t="n">
        <f aca="false">IF(E1962="","",ROW()-6)</f>
        <v>1956</v>
      </c>
      <c r="B1962" s="80" t="s">
        <v>110</v>
      </c>
      <c r="C1962" s="81" t="s">
        <v>2385</v>
      </c>
      <c r="D1962" s="81" t="n">
        <v>18</v>
      </c>
      <c r="E1962" s="81" t="s">
        <v>2392</v>
      </c>
      <c r="F1962" s="82" t="str">
        <f aca="false">IF(E1962="","",IF(LEFT(E1962,2)="DJ","DJ","JN"))</f>
        <v>JN</v>
      </c>
      <c r="G1962" s="81" t="s">
        <v>1504</v>
      </c>
      <c r="H1962" s="81" t="s">
        <v>871</v>
      </c>
      <c r="I1962" s="81" t="n">
        <v>9.53</v>
      </c>
      <c r="J1962" s="81" t="s">
        <v>872</v>
      </c>
      <c r="K1962" s="81" t="s">
        <v>879</v>
      </c>
      <c r="L1962" s="81" t="n">
        <v>2088560</v>
      </c>
      <c r="M1962" s="81" t="n">
        <v>15421108</v>
      </c>
      <c r="N1962" s="81" t="n">
        <v>11.94</v>
      </c>
      <c r="O1962" s="81" t="n">
        <v>2087690</v>
      </c>
      <c r="P1962" s="81" t="n">
        <v>15421108</v>
      </c>
      <c r="Q1962" s="81" t="n">
        <v>11.94</v>
      </c>
      <c r="R1962" s="81" t="s">
        <v>2273</v>
      </c>
      <c r="S1962" s="81"/>
      <c r="T1962" s="81"/>
      <c r="U1962" s="83" t="n">
        <v>46268</v>
      </c>
      <c r="V1962" s="83" t="n">
        <v>46268</v>
      </c>
      <c r="W1962" s="81" t="s">
        <v>2351</v>
      </c>
      <c r="X1962" s="81" t="s">
        <v>876</v>
      </c>
      <c r="Y1962" s="83" t="n">
        <v>46276</v>
      </c>
      <c r="Z1962" s="81" t="s">
        <v>2376</v>
      </c>
      <c r="AA1962" s="81" t="s">
        <v>876</v>
      </c>
      <c r="AB1962" s="81"/>
      <c r="AC1962" s="81"/>
      <c r="AD1962" s="81"/>
      <c r="AE1962" s="83"/>
      <c r="AF1962" s="81"/>
      <c r="AG1962" s="81"/>
      <c r="AH1962" s="81"/>
      <c r="AI1962" s="81"/>
      <c r="AJ1962" s="83"/>
      <c r="AK1962" s="81"/>
      <c r="AL1962" s="81"/>
      <c r="AM1962" s="83"/>
      <c r="AN1962" s="80"/>
      <c r="AO1962" s="82" t="n">
        <f aca="false">IF(E1962="","",(AA1962&lt;&gt;"")+(AG1962&lt;&gt;"")+(AL1962&lt;&gt;""))</f>
        <v>1</v>
      </c>
      <c r="AP1962" s="82" t="str">
        <f aca="false">IF(AL1962&lt;&gt;"",AL1962,IF(AG1962&lt;&gt;"",AG1962,IF(AA1962&lt;&gt;"",AA1962,"")))</f>
        <v>A</v>
      </c>
      <c r="AQ1962" s="84" t="str">
        <f aca="false">IF(E1962="","",IF(U1962="","À SOUDER",IF(X1962="","VT EN ATTENTE",IF(X1962="R","VT REJETÉ – À REPRENDRE",IF(AP1962="","À RADIOGRAPHIER",IF(AP1962="A","ACCEPTÉ",IF(AP1962="NX","NX – RT À REFAIRE",IF(IF(AO1962=1,AD1962,IF(AO1962=2,AI1962,""))="A","RÉPARÉ – À RADIOGRAPHIER",IF(IF(AO1962=1,AD1962,IF(AO1962=2,AI1962,""))="R","VT REJETÉ – À REPRENDRE",IF(OR(AP1962="CO",AP1962="NT"),"COUPE – À RESOUDER","À RÉPARER"))))))))))</f>
        <v>ACCEPTÉ</v>
      </c>
      <c r="AR1962" s="82" t="str">
        <f aca="false">IF(AND(ISNUMBER(U1962),OR(AQ1962="À RADIOGRAPHIER",AQ1962="RÉPARÉ – À RADIOGRAPHIER",AQ1962="NX – RT À REFAIRE",AQ1962="À RÉPARER",AQ1962="COUPE – À RESOUDER",AQ1962="VT REJETÉ – À REPRENDRE")),MAX(0,'PROGRAMME RT'!$C$4-U1962),"")</f>
        <v/>
      </c>
      <c r="AS1962" s="82" t="n">
        <f aca="false">IF(AND(OR(AQ1962="À RADIOGRAPHIER",AQ1962="RÉPARÉ – À RADIOGRAPHIER",AQ1962="NX – RT À REFAIRE"),OR('PROGRAMME RT'!$D$5="TOUTES",B1962='PROGRAMME RT'!$D$5)),1,0)</f>
        <v>0</v>
      </c>
      <c r="AT1962" s="82" t="str">
        <f aca="false">IF(AS1962=1,SUM(AS$7:AS1962),"")</f>
        <v/>
      </c>
      <c r="AU1962" s="82" t="n">
        <f aca="false">IF(AND(OR(AA1962="R",AA1962="NX",AA1962="NT",AA1962="CO"),OR('JOINTS DE RÉPARATION'!$D$5="TOUTES",B1962='JOINTS DE RÉPARATION'!$D$5),OR('JOINTS DE RÉPARATION'!$L$4="TOUS",AQ1962&lt;&gt;"ACCEPTÉ")),1,0)</f>
        <v>0</v>
      </c>
      <c r="AV1962" s="82" t="str">
        <f aca="false">IF(AU1962=1,SUM(AU$7:AU1962),"")</f>
        <v/>
      </c>
      <c r="AW1962" s="82" t="str">
        <f aca="false">IF(E1962="","",B1962&amp;"|"&amp;E1962)</f>
        <v>MFD-ISW → MFD-CPF|JN°1512</v>
      </c>
    </row>
    <row r="1963" customFormat="false" ht="74.6" hidden="false" customHeight="false" outlineLevel="0" collapsed="false">
      <c r="A1963" s="79" t="n">
        <f aca="false">IF(E1963="","",ROW()-6)</f>
        <v>1957</v>
      </c>
      <c r="B1963" s="80" t="s">
        <v>110</v>
      </c>
      <c r="C1963" s="81" t="s">
        <v>2385</v>
      </c>
      <c r="D1963" s="81" t="n">
        <v>18</v>
      </c>
      <c r="E1963" s="81" t="s">
        <v>2393</v>
      </c>
      <c r="F1963" s="82" t="str">
        <f aca="false">IF(E1963="","",IF(LEFT(E1963,2)="DJ","DJ","JN"))</f>
        <v>DJ</v>
      </c>
      <c r="G1963" s="81"/>
      <c r="H1963" s="81" t="s">
        <v>871</v>
      </c>
      <c r="I1963" s="81" t="n">
        <v>9.53</v>
      </c>
      <c r="J1963" s="81" t="s">
        <v>872</v>
      </c>
      <c r="K1963" s="81" t="s">
        <v>873</v>
      </c>
      <c r="L1963" s="81" t="n">
        <v>2087690</v>
      </c>
      <c r="M1963" s="81" t="n">
        <v>15421108</v>
      </c>
      <c r="N1963" s="81" t="n">
        <v>11.94</v>
      </c>
      <c r="O1963" s="81" t="n">
        <v>2092410</v>
      </c>
      <c r="P1963" s="81" t="n">
        <v>15421110</v>
      </c>
      <c r="Q1963" s="81" t="n">
        <v>11.94</v>
      </c>
      <c r="R1963" s="81" t="s">
        <v>1135</v>
      </c>
      <c r="S1963" s="81"/>
      <c r="T1963" s="81"/>
      <c r="U1963" s="83" t="n">
        <v>46253</v>
      </c>
      <c r="V1963" s="83" t="n">
        <v>46253</v>
      </c>
      <c r="W1963" s="81" t="s">
        <v>2240</v>
      </c>
      <c r="X1963" s="81" t="s">
        <v>876</v>
      </c>
      <c r="Y1963" s="83" t="n">
        <v>46255</v>
      </c>
      <c r="Z1963" s="81" t="s">
        <v>2389</v>
      </c>
      <c r="AA1963" s="81" t="s">
        <v>876</v>
      </c>
      <c r="AB1963" s="81"/>
      <c r="AC1963" s="81"/>
      <c r="AD1963" s="81"/>
      <c r="AE1963" s="83"/>
      <c r="AF1963" s="81"/>
      <c r="AG1963" s="81"/>
      <c r="AH1963" s="81"/>
      <c r="AI1963" s="81"/>
      <c r="AJ1963" s="83"/>
      <c r="AK1963" s="81"/>
      <c r="AL1963" s="81"/>
      <c r="AM1963" s="83"/>
      <c r="AN1963" s="80"/>
      <c r="AO1963" s="82" t="n">
        <f aca="false">IF(E1963="","",(AA1963&lt;&gt;"")+(AG1963&lt;&gt;"")+(AL1963&lt;&gt;""))</f>
        <v>1</v>
      </c>
      <c r="AP1963" s="82" t="str">
        <f aca="false">IF(AL1963&lt;&gt;"",AL1963,IF(AG1963&lt;&gt;"",AG1963,IF(AA1963&lt;&gt;"",AA1963,"")))</f>
        <v>A</v>
      </c>
      <c r="AQ1963" s="84" t="str">
        <f aca="false">IF(E1963="","",IF(U1963="","À SOUDER",IF(X1963="","VT EN ATTENTE",IF(X1963="R","VT REJETÉ – À REPRENDRE",IF(AP1963="","À RADIOGRAPHIER",IF(AP1963="A","ACCEPTÉ",IF(AP1963="NX","NX – RT À REFAIRE",IF(IF(AO1963=1,AD1963,IF(AO1963=2,AI1963,""))="A","RÉPARÉ – À RADIOGRAPHIER",IF(IF(AO1963=1,AD1963,IF(AO1963=2,AI1963,""))="R","VT REJETÉ – À REPRENDRE",IF(OR(AP1963="CO",AP1963="NT"),"COUPE – À RESOUDER","À RÉPARER"))))))))))</f>
        <v>ACCEPTÉ</v>
      </c>
      <c r="AR1963" s="82" t="str">
        <f aca="false">IF(AND(ISNUMBER(U1963),OR(AQ1963="À RADIOGRAPHIER",AQ1963="RÉPARÉ – À RADIOGRAPHIER",AQ1963="NX – RT À REFAIRE",AQ1963="À RÉPARER",AQ1963="COUPE – À RESOUDER",AQ1963="VT REJETÉ – À REPRENDRE")),MAX(0,'PROGRAMME RT'!$C$4-U1963),"")</f>
        <v/>
      </c>
      <c r="AS1963" s="82" t="n">
        <f aca="false">IF(AND(OR(AQ1963="À RADIOGRAPHIER",AQ1963="RÉPARÉ – À RADIOGRAPHIER",AQ1963="NX – RT À REFAIRE"),OR('PROGRAMME RT'!$D$5="TOUTES",B1963='PROGRAMME RT'!$D$5)),1,0)</f>
        <v>0</v>
      </c>
      <c r="AT1963" s="82" t="str">
        <f aca="false">IF(AS1963=1,SUM(AS$7:AS1963),"")</f>
        <v/>
      </c>
      <c r="AU1963" s="82" t="n">
        <f aca="false">IF(AND(OR(AA1963="R",AA1963="NX",AA1963="NT",AA1963="CO"),OR('JOINTS DE RÉPARATION'!$D$5="TOUTES",B1963='JOINTS DE RÉPARATION'!$D$5),OR('JOINTS DE RÉPARATION'!$L$4="TOUS",AQ1963&lt;&gt;"ACCEPTÉ")),1,0)</f>
        <v>0</v>
      </c>
      <c r="AV1963" s="82" t="str">
        <f aca="false">IF(AU1963=1,SUM(AU$7:AU1963),"")</f>
        <v/>
      </c>
      <c r="AW1963" s="82" t="str">
        <f aca="false">IF(E1963="","",B1963&amp;"|"&amp;E1963)</f>
        <v>MFD-ISW → MFD-CPF|DJ°057</v>
      </c>
    </row>
    <row r="1964" customFormat="false" ht="74.6" hidden="false" customHeight="false" outlineLevel="0" collapsed="false">
      <c r="A1964" s="79" t="n">
        <f aca="false">IF(E1964="","",ROW()-6)</f>
        <v>1958</v>
      </c>
      <c r="B1964" s="80" t="s">
        <v>110</v>
      </c>
      <c r="C1964" s="81" t="s">
        <v>926</v>
      </c>
      <c r="D1964" s="81" t="n">
        <v>18</v>
      </c>
      <c r="E1964" s="81" t="s">
        <v>2394</v>
      </c>
      <c r="F1964" s="82" t="str">
        <f aca="false">IF(E1964="","",IF(LEFT(E1964,2)="DJ","DJ","JN"))</f>
        <v>JN</v>
      </c>
      <c r="G1964" s="81"/>
      <c r="H1964" s="81"/>
      <c r="I1964" s="81"/>
      <c r="J1964" s="81"/>
      <c r="K1964" s="81"/>
      <c r="L1964" s="81" t="n">
        <v>2092410</v>
      </c>
      <c r="M1964" s="81" t="n">
        <v>15421110</v>
      </c>
      <c r="N1964" s="81" t="n">
        <v>11.94</v>
      </c>
      <c r="O1964" s="81"/>
      <c r="P1964" s="81"/>
      <c r="Q1964" s="81"/>
      <c r="R1964" s="81"/>
      <c r="S1964" s="81"/>
      <c r="T1964" s="81"/>
      <c r="U1964" s="83"/>
      <c r="V1964" s="83"/>
      <c r="W1964" s="81"/>
      <c r="X1964" s="81"/>
      <c r="Y1964" s="83"/>
      <c r="Z1964" s="81"/>
      <c r="AA1964" s="81"/>
      <c r="AB1964" s="81"/>
      <c r="AC1964" s="81"/>
      <c r="AD1964" s="81"/>
      <c r="AE1964" s="83"/>
      <c r="AF1964" s="81"/>
      <c r="AG1964" s="81"/>
      <c r="AH1964" s="81"/>
      <c r="AI1964" s="81"/>
      <c r="AJ1964" s="83"/>
      <c r="AK1964" s="81"/>
      <c r="AL1964" s="81"/>
      <c r="AM1964" s="83"/>
      <c r="AN1964" s="80"/>
      <c r="AO1964" s="82" t="n">
        <f aca="false">IF(E1964="","",(AA1964&lt;&gt;"")+(AG1964&lt;&gt;"")+(AL1964&lt;&gt;""))</f>
        <v>0</v>
      </c>
      <c r="AP1964" s="82" t="str">
        <f aca="false">IF(AL1964&lt;&gt;"",AL1964,IF(AG1964&lt;&gt;"",AG1964,IF(AA1964&lt;&gt;"",AA1964,"")))</f>
        <v/>
      </c>
      <c r="AQ1964" s="84" t="str">
        <f aca="false">IF(E1964="","",IF(U1964="","À SOUDER",IF(X1964="","VT EN ATTENTE",IF(X1964="R","VT REJETÉ – À REPRENDRE",IF(AP1964="","À RADIOGRAPHIER",IF(AP1964="A","ACCEPTÉ",IF(AP1964="NX","NX – RT À REFAIRE",IF(IF(AO1964=1,AD1964,IF(AO1964=2,AI1964,""))="A","RÉPARÉ – À RADIOGRAPHIER",IF(IF(AO1964=1,AD1964,IF(AO1964=2,AI1964,""))="R","VT REJETÉ – À REPRENDRE",IF(OR(AP1964="CO",AP1964="NT"),"COUPE – À RESOUDER","À RÉPARER"))))))))))</f>
        <v>À SOUDER</v>
      </c>
      <c r="AR1964" s="82" t="str">
        <f aca="false">IF(AND(ISNUMBER(U1964),OR(AQ1964="À RADIOGRAPHIER",AQ1964="RÉPARÉ – À RADIOGRAPHIER",AQ1964="NX – RT À REFAIRE",AQ1964="À RÉPARER",AQ1964="COUPE – À RESOUDER",AQ1964="VT REJETÉ – À REPRENDRE")),MAX(0,'PROGRAMME RT'!$C$4-U1964),"")</f>
        <v/>
      </c>
      <c r="AS1964" s="82" t="n">
        <f aca="false">IF(AND(OR(AQ1964="À RADIOGRAPHIER",AQ1964="RÉPARÉ – À RADIOGRAPHIER",AQ1964="NX – RT À REFAIRE"),OR('PROGRAMME RT'!$D$5="TOUTES",B1964='PROGRAMME RT'!$D$5)),1,0)</f>
        <v>0</v>
      </c>
      <c r="AT1964" s="82" t="str">
        <f aca="false">IF(AS1964=1,SUM(AS$7:AS1964),"")</f>
        <v/>
      </c>
      <c r="AU1964" s="82" t="n">
        <f aca="false">IF(AND(OR(AA1964="R",AA1964="NX",AA1964="NT",AA1964="CO"),OR('JOINTS DE RÉPARATION'!$D$5="TOUTES",B1964='JOINTS DE RÉPARATION'!$D$5),OR('JOINTS DE RÉPARATION'!$L$4="TOUS",AQ1964&lt;&gt;"ACCEPTÉ")),1,0)</f>
        <v>0</v>
      </c>
      <c r="AV1964" s="82" t="str">
        <f aca="false">IF(AU1964=1,SUM(AU$7:AU1964),"")</f>
        <v/>
      </c>
      <c r="AW1964" s="82" t="str">
        <f aca="false">IF(E1964="","",B1964&amp;"|"&amp;E1964)</f>
        <v>MFD-ISW → MFD-CPF|JN°1513</v>
      </c>
    </row>
    <row r="1965" customFormat="false" ht="74.6" hidden="false" customHeight="false" outlineLevel="0" collapsed="false">
      <c r="A1965" s="79" t="n">
        <f aca="false">IF(E1965="","",ROW()-6)</f>
        <v>1959</v>
      </c>
      <c r="B1965" s="80" t="s">
        <v>110</v>
      </c>
      <c r="C1965" s="81" t="s">
        <v>926</v>
      </c>
      <c r="D1965" s="81" t="n">
        <v>18</v>
      </c>
      <c r="E1965" s="81" t="s">
        <v>2395</v>
      </c>
      <c r="F1965" s="82" t="str">
        <f aca="false">IF(E1965="","",IF(LEFT(E1965,2)="DJ","DJ","JN"))</f>
        <v>JN</v>
      </c>
      <c r="G1965" s="81"/>
      <c r="H1965" s="81"/>
      <c r="I1965" s="81"/>
      <c r="J1965" s="81"/>
      <c r="K1965" s="81"/>
      <c r="L1965" s="81"/>
      <c r="M1965" s="81"/>
      <c r="N1965" s="81"/>
      <c r="O1965" s="81" t="n">
        <v>2087040</v>
      </c>
      <c r="P1965" s="81" t="n">
        <v>15421107</v>
      </c>
      <c r="Q1965" s="81" t="n">
        <v>11.94</v>
      </c>
      <c r="R1965" s="81"/>
      <c r="S1965" s="81"/>
      <c r="T1965" s="81"/>
      <c r="U1965" s="83"/>
      <c r="V1965" s="83"/>
      <c r="W1965" s="81"/>
      <c r="X1965" s="81"/>
      <c r="Y1965" s="83"/>
      <c r="Z1965" s="81"/>
      <c r="AA1965" s="81"/>
      <c r="AB1965" s="81"/>
      <c r="AC1965" s="81"/>
      <c r="AD1965" s="81"/>
      <c r="AE1965" s="83"/>
      <c r="AF1965" s="81"/>
      <c r="AG1965" s="81"/>
      <c r="AH1965" s="81"/>
      <c r="AI1965" s="81"/>
      <c r="AJ1965" s="83"/>
      <c r="AK1965" s="81"/>
      <c r="AL1965" s="81"/>
      <c r="AM1965" s="83"/>
      <c r="AN1965" s="80"/>
      <c r="AO1965" s="82" t="n">
        <f aca="false">IF(E1965="","",(AA1965&lt;&gt;"")+(AG1965&lt;&gt;"")+(AL1965&lt;&gt;""))</f>
        <v>0</v>
      </c>
      <c r="AP1965" s="82" t="str">
        <f aca="false">IF(AL1965&lt;&gt;"",AL1965,IF(AG1965&lt;&gt;"",AG1965,IF(AA1965&lt;&gt;"",AA1965,"")))</f>
        <v/>
      </c>
      <c r="AQ1965" s="84" t="str">
        <f aca="false">IF(E1965="","",IF(U1965="","À SOUDER",IF(X1965="","VT EN ATTENTE",IF(X1965="R","VT REJETÉ – À REPRENDRE",IF(AP1965="","À RADIOGRAPHIER",IF(AP1965="A","ACCEPTÉ",IF(AP1965="NX","NX – RT À REFAIRE",IF(IF(AO1965=1,AD1965,IF(AO1965=2,AI1965,""))="A","RÉPARÉ – À RADIOGRAPHIER",IF(IF(AO1965=1,AD1965,IF(AO1965=2,AI1965,""))="R","VT REJETÉ – À REPRENDRE",IF(OR(AP1965="CO",AP1965="NT"),"COUPE – À RESOUDER","À RÉPARER"))))))))))</f>
        <v>À SOUDER</v>
      </c>
      <c r="AR1965" s="82" t="str">
        <f aca="false">IF(AND(ISNUMBER(U1965),OR(AQ1965="À RADIOGRAPHIER",AQ1965="RÉPARÉ – À RADIOGRAPHIER",AQ1965="NX – RT À REFAIRE",AQ1965="À RÉPARER",AQ1965="COUPE – À RESOUDER",AQ1965="VT REJETÉ – À REPRENDRE")),MAX(0,'PROGRAMME RT'!$C$4-U1965),"")</f>
        <v/>
      </c>
      <c r="AS1965" s="82" t="n">
        <f aca="false">IF(AND(OR(AQ1965="À RADIOGRAPHIER",AQ1965="RÉPARÉ – À RADIOGRAPHIER",AQ1965="NX – RT À REFAIRE"),OR('PROGRAMME RT'!$D$5="TOUTES",B1965='PROGRAMME RT'!$D$5)),1,0)</f>
        <v>0</v>
      </c>
      <c r="AT1965" s="82" t="str">
        <f aca="false">IF(AS1965=1,SUM(AS$7:AS1965),"")</f>
        <v/>
      </c>
      <c r="AU1965" s="82" t="n">
        <f aca="false">IF(AND(OR(AA1965="R",AA1965="NX",AA1965="NT",AA1965="CO"),OR('JOINTS DE RÉPARATION'!$D$5="TOUTES",B1965='JOINTS DE RÉPARATION'!$D$5),OR('JOINTS DE RÉPARATION'!$L$4="TOUS",AQ1965&lt;&gt;"ACCEPTÉ")),1,0)</f>
        <v>0</v>
      </c>
      <c r="AV1965" s="82" t="str">
        <f aca="false">IF(AU1965=1,SUM(AU$7:AU1965),"")</f>
        <v/>
      </c>
      <c r="AW1965" s="82" t="str">
        <f aca="false">IF(E1965="","",B1965&amp;"|"&amp;E1965)</f>
        <v>MFD-ISW → MFD-CPF|JN°1514</v>
      </c>
    </row>
    <row r="1966" customFormat="false" ht="74.6" hidden="false" customHeight="false" outlineLevel="0" collapsed="false">
      <c r="A1966" s="79" t="n">
        <f aca="false">IF(E1966="","",ROW()-6)</f>
        <v>1960</v>
      </c>
      <c r="B1966" s="80" t="s">
        <v>110</v>
      </c>
      <c r="C1966" s="81" t="s">
        <v>2396</v>
      </c>
      <c r="D1966" s="81" t="n">
        <v>18</v>
      </c>
      <c r="E1966" s="81" t="s">
        <v>2397</v>
      </c>
      <c r="F1966" s="82" t="str">
        <f aca="false">IF(E1966="","",IF(LEFT(E1966,2)="DJ","DJ","JN"))</f>
        <v>DJ</v>
      </c>
      <c r="G1966" s="81"/>
      <c r="H1966" s="81" t="s">
        <v>871</v>
      </c>
      <c r="I1966" s="81" t="n">
        <v>9.53</v>
      </c>
      <c r="J1966" s="81" t="s">
        <v>872</v>
      </c>
      <c r="K1966" s="81" t="s">
        <v>873</v>
      </c>
      <c r="L1966" s="81" t="n">
        <v>2087040</v>
      </c>
      <c r="M1966" s="81" t="n">
        <v>15421107</v>
      </c>
      <c r="N1966" s="81" t="n">
        <v>11.94</v>
      </c>
      <c r="O1966" s="81" t="n">
        <v>2088820</v>
      </c>
      <c r="P1966" s="81" t="n">
        <v>15421108</v>
      </c>
      <c r="Q1966" s="81" t="n">
        <v>11.94</v>
      </c>
      <c r="R1966" s="81" t="s">
        <v>1135</v>
      </c>
      <c r="S1966" s="81"/>
      <c r="T1966" s="81"/>
      <c r="U1966" s="83" t="n">
        <v>46252</v>
      </c>
      <c r="V1966" s="83" t="n">
        <v>46252</v>
      </c>
      <c r="W1966" s="81" t="s">
        <v>2275</v>
      </c>
      <c r="X1966" s="81" t="s">
        <v>876</v>
      </c>
      <c r="Y1966" s="83" t="n">
        <v>46255</v>
      </c>
      <c r="Z1966" s="81" t="s">
        <v>2389</v>
      </c>
      <c r="AA1966" s="81" t="s">
        <v>876</v>
      </c>
      <c r="AB1966" s="81"/>
      <c r="AC1966" s="81"/>
      <c r="AD1966" s="81"/>
      <c r="AE1966" s="83"/>
      <c r="AF1966" s="81"/>
      <c r="AG1966" s="81"/>
      <c r="AH1966" s="81"/>
      <c r="AI1966" s="81"/>
      <c r="AJ1966" s="83"/>
      <c r="AK1966" s="81"/>
      <c r="AL1966" s="81"/>
      <c r="AM1966" s="83"/>
      <c r="AN1966" s="80"/>
      <c r="AO1966" s="82" t="n">
        <f aca="false">IF(E1966="","",(AA1966&lt;&gt;"")+(AG1966&lt;&gt;"")+(AL1966&lt;&gt;""))</f>
        <v>1</v>
      </c>
      <c r="AP1966" s="82" t="str">
        <f aca="false">IF(AL1966&lt;&gt;"",AL1966,IF(AG1966&lt;&gt;"",AG1966,IF(AA1966&lt;&gt;"",AA1966,"")))</f>
        <v>A</v>
      </c>
      <c r="AQ1966" s="84" t="str">
        <f aca="false">IF(E1966="","",IF(U1966="","À SOUDER",IF(X1966="","VT EN ATTENTE",IF(X1966="R","VT REJETÉ – À REPRENDRE",IF(AP1966="","À RADIOGRAPHIER",IF(AP1966="A","ACCEPTÉ",IF(AP1966="NX","NX – RT À REFAIRE",IF(IF(AO1966=1,AD1966,IF(AO1966=2,AI1966,""))="A","RÉPARÉ – À RADIOGRAPHIER",IF(IF(AO1966=1,AD1966,IF(AO1966=2,AI1966,""))="R","VT REJETÉ – À REPRENDRE",IF(OR(AP1966="CO",AP1966="NT"),"COUPE – À RESOUDER","À RÉPARER"))))))))))</f>
        <v>ACCEPTÉ</v>
      </c>
      <c r="AR1966" s="82" t="str">
        <f aca="false">IF(AND(ISNUMBER(U1966),OR(AQ1966="À RADIOGRAPHIER",AQ1966="RÉPARÉ – À RADIOGRAPHIER",AQ1966="NX – RT À REFAIRE",AQ1966="À RÉPARER",AQ1966="COUPE – À RESOUDER",AQ1966="VT REJETÉ – À REPRENDRE")),MAX(0,'PROGRAMME RT'!$C$4-U1966),"")</f>
        <v/>
      </c>
      <c r="AS1966" s="82" t="n">
        <f aca="false">IF(AND(OR(AQ1966="À RADIOGRAPHIER",AQ1966="RÉPARÉ – À RADIOGRAPHIER",AQ1966="NX – RT À REFAIRE"),OR('PROGRAMME RT'!$D$5="TOUTES",B1966='PROGRAMME RT'!$D$5)),1,0)</f>
        <v>0</v>
      </c>
      <c r="AT1966" s="82" t="str">
        <f aca="false">IF(AS1966=1,SUM(AS$7:AS1966),"")</f>
        <v/>
      </c>
      <c r="AU1966" s="82" t="n">
        <f aca="false">IF(AND(OR(AA1966="R",AA1966="NX",AA1966="NT",AA1966="CO"),OR('JOINTS DE RÉPARATION'!$D$5="TOUTES",B1966='JOINTS DE RÉPARATION'!$D$5),OR('JOINTS DE RÉPARATION'!$L$4="TOUS",AQ1966&lt;&gt;"ACCEPTÉ")),1,0)</f>
        <v>0</v>
      </c>
      <c r="AV1966" s="82" t="str">
        <f aca="false">IF(AU1966=1,SUM(AU$7:AU1966),"")</f>
        <v/>
      </c>
      <c r="AW1966" s="82" t="str">
        <f aca="false">IF(E1966="","",B1966&amp;"|"&amp;E1966)</f>
        <v>MFD-ISW → MFD-CPF|DJ°046</v>
      </c>
    </row>
    <row r="1967" customFormat="false" ht="74.6" hidden="false" customHeight="false" outlineLevel="0" collapsed="false">
      <c r="A1967" s="79" t="n">
        <f aca="false">IF(E1967="","",ROW()-6)</f>
        <v>1961</v>
      </c>
      <c r="B1967" s="80" t="s">
        <v>110</v>
      </c>
      <c r="C1967" s="81" t="s">
        <v>2396</v>
      </c>
      <c r="D1967" s="81" t="n">
        <v>18</v>
      </c>
      <c r="E1967" s="81" t="s">
        <v>2398</v>
      </c>
      <c r="F1967" s="82" t="str">
        <f aca="false">IF(E1967="","",IF(LEFT(E1967,2)="DJ","DJ","JN"))</f>
        <v>JN</v>
      </c>
      <c r="G1967" s="81" t="s">
        <v>1504</v>
      </c>
      <c r="H1967" s="81" t="s">
        <v>871</v>
      </c>
      <c r="I1967" s="81" t="n">
        <v>9.53</v>
      </c>
      <c r="J1967" s="81" t="s">
        <v>872</v>
      </c>
      <c r="K1967" s="81" t="s">
        <v>879</v>
      </c>
      <c r="L1967" s="81" t="n">
        <v>2088820</v>
      </c>
      <c r="M1967" s="81" t="n">
        <v>15421108</v>
      </c>
      <c r="N1967" s="81" t="n">
        <v>11.94</v>
      </c>
      <c r="O1967" s="81" t="n">
        <v>2085950</v>
      </c>
      <c r="P1967" s="81" t="n">
        <v>15421106</v>
      </c>
      <c r="Q1967" s="81" t="n">
        <v>11.94</v>
      </c>
      <c r="R1967" s="81" t="s">
        <v>2273</v>
      </c>
      <c r="S1967" s="81"/>
      <c r="T1967" s="81"/>
      <c r="U1967" s="83" t="n">
        <v>46268</v>
      </c>
      <c r="V1967" s="83" t="n">
        <v>46268</v>
      </c>
      <c r="W1967" s="81" t="s">
        <v>2351</v>
      </c>
      <c r="X1967" s="81" t="s">
        <v>876</v>
      </c>
      <c r="Y1967" s="83" t="n">
        <v>46276</v>
      </c>
      <c r="Z1967" s="81" t="s">
        <v>2376</v>
      </c>
      <c r="AA1967" s="81" t="s">
        <v>876</v>
      </c>
      <c r="AB1967" s="81"/>
      <c r="AC1967" s="81"/>
      <c r="AD1967" s="81"/>
      <c r="AE1967" s="83"/>
      <c r="AF1967" s="81"/>
      <c r="AG1967" s="81"/>
      <c r="AH1967" s="81"/>
      <c r="AI1967" s="81"/>
      <c r="AJ1967" s="83"/>
      <c r="AK1967" s="81"/>
      <c r="AL1967" s="81"/>
      <c r="AM1967" s="83"/>
      <c r="AN1967" s="80"/>
      <c r="AO1967" s="82" t="n">
        <f aca="false">IF(E1967="","",(AA1967&lt;&gt;"")+(AG1967&lt;&gt;"")+(AL1967&lt;&gt;""))</f>
        <v>1</v>
      </c>
      <c r="AP1967" s="82" t="str">
        <f aca="false">IF(AL1967&lt;&gt;"",AL1967,IF(AG1967&lt;&gt;"",AG1967,IF(AA1967&lt;&gt;"",AA1967,"")))</f>
        <v>A</v>
      </c>
      <c r="AQ1967" s="84" t="str">
        <f aca="false">IF(E1967="","",IF(U1967="","À SOUDER",IF(X1967="","VT EN ATTENTE",IF(X1967="R","VT REJETÉ – À REPRENDRE",IF(AP1967="","À RADIOGRAPHIER",IF(AP1967="A","ACCEPTÉ",IF(AP1967="NX","NX – RT À REFAIRE",IF(IF(AO1967=1,AD1967,IF(AO1967=2,AI1967,""))="A","RÉPARÉ – À RADIOGRAPHIER",IF(IF(AO1967=1,AD1967,IF(AO1967=2,AI1967,""))="R","VT REJETÉ – À REPRENDRE",IF(OR(AP1967="CO",AP1967="NT"),"COUPE – À RESOUDER","À RÉPARER"))))))))))</f>
        <v>ACCEPTÉ</v>
      </c>
      <c r="AR1967" s="82" t="str">
        <f aca="false">IF(AND(ISNUMBER(U1967),OR(AQ1967="À RADIOGRAPHIER",AQ1967="RÉPARÉ – À RADIOGRAPHIER",AQ1967="NX – RT À REFAIRE",AQ1967="À RÉPARER",AQ1967="COUPE – À RESOUDER",AQ1967="VT REJETÉ – À REPRENDRE")),MAX(0,'PROGRAMME RT'!$C$4-U1967),"")</f>
        <v/>
      </c>
      <c r="AS1967" s="82" t="n">
        <f aca="false">IF(AND(OR(AQ1967="À RADIOGRAPHIER",AQ1967="RÉPARÉ – À RADIOGRAPHIER",AQ1967="NX – RT À REFAIRE"),OR('PROGRAMME RT'!$D$5="TOUTES",B1967='PROGRAMME RT'!$D$5)),1,0)</f>
        <v>0</v>
      </c>
      <c r="AT1967" s="82" t="str">
        <f aca="false">IF(AS1967=1,SUM(AS$7:AS1967),"")</f>
        <v/>
      </c>
      <c r="AU1967" s="82" t="n">
        <f aca="false">IF(AND(OR(AA1967="R",AA1967="NX",AA1967="NT",AA1967="CO"),OR('JOINTS DE RÉPARATION'!$D$5="TOUTES",B1967='JOINTS DE RÉPARATION'!$D$5),OR('JOINTS DE RÉPARATION'!$L$4="TOUS",AQ1967&lt;&gt;"ACCEPTÉ")),1,0)</f>
        <v>0</v>
      </c>
      <c r="AV1967" s="82" t="str">
        <f aca="false">IF(AU1967=1,SUM(AU$7:AU1967),"")</f>
        <v/>
      </c>
      <c r="AW1967" s="82" t="str">
        <f aca="false">IF(E1967="","",B1967&amp;"|"&amp;E1967)</f>
        <v>MFD-ISW → MFD-CPF|JN°1515</v>
      </c>
    </row>
    <row r="1968" customFormat="false" ht="74.6" hidden="false" customHeight="false" outlineLevel="0" collapsed="false">
      <c r="A1968" s="79" t="n">
        <f aca="false">IF(E1968="","",ROW()-6)</f>
        <v>1962</v>
      </c>
      <c r="B1968" s="80" t="s">
        <v>110</v>
      </c>
      <c r="C1968" s="81" t="s">
        <v>2396</v>
      </c>
      <c r="D1968" s="81" t="n">
        <v>18</v>
      </c>
      <c r="E1968" s="81" t="s">
        <v>2399</v>
      </c>
      <c r="F1968" s="82" t="str">
        <f aca="false">IF(E1968="","",IF(LEFT(E1968,2)="DJ","DJ","JN"))</f>
        <v>DJ</v>
      </c>
      <c r="G1968" s="81"/>
      <c r="H1968" s="81" t="s">
        <v>871</v>
      </c>
      <c r="I1968" s="81" t="n">
        <v>9.53</v>
      </c>
      <c r="J1968" s="81" t="s">
        <v>872</v>
      </c>
      <c r="K1968" s="81" t="s">
        <v>873</v>
      </c>
      <c r="L1968" s="81" t="n">
        <v>2085950</v>
      </c>
      <c r="M1968" s="81" t="n">
        <v>15421106</v>
      </c>
      <c r="N1968" s="81" t="n">
        <v>11.94</v>
      </c>
      <c r="O1968" s="81" t="n">
        <v>2090620</v>
      </c>
      <c r="P1968" s="81" t="n">
        <v>15421109</v>
      </c>
      <c r="Q1968" s="81" t="n">
        <v>11.94</v>
      </c>
      <c r="R1968" s="81" t="s">
        <v>920</v>
      </c>
      <c r="S1968" s="81"/>
      <c r="T1968" s="81"/>
      <c r="U1968" s="83" t="n">
        <v>46251</v>
      </c>
      <c r="V1968" s="83" t="n">
        <v>46251</v>
      </c>
      <c r="W1968" s="81" t="s">
        <v>2140</v>
      </c>
      <c r="X1968" s="81" t="s">
        <v>876</v>
      </c>
      <c r="Y1968" s="83" t="n">
        <v>46255</v>
      </c>
      <c r="Z1968" s="81" t="s">
        <v>2389</v>
      </c>
      <c r="AA1968" s="81" t="s">
        <v>876</v>
      </c>
      <c r="AB1968" s="81"/>
      <c r="AC1968" s="81"/>
      <c r="AD1968" s="81"/>
      <c r="AE1968" s="83"/>
      <c r="AF1968" s="81"/>
      <c r="AG1968" s="81"/>
      <c r="AH1968" s="81"/>
      <c r="AI1968" s="81"/>
      <c r="AJ1968" s="83"/>
      <c r="AK1968" s="81"/>
      <c r="AL1968" s="81"/>
      <c r="AM1968" s="83"/>
      <c r="AN1968" s="80"/>
      <c r="AO1968" s="82" t="n">
        <f aca="false">IF(E1968="","",(AA1968&lt;&gt;"")+(AG1968&lt;&gt;"")+(AL1968&lt;&gt;""))</f>
        <v>1</v>
      </c>
      <c r="AP1968" s="82" t="str">
        <f aca="false">IF(AL1968&lt;&gt;"",AL1968,IF(AG1968&lt;&gt;"",AG1968,IF(AA1968&lt;&gt;"",AA1968,"")))</f>
        <v>A</v>
      </c>
      <c r="AQ1968" s="84" t="str">
        <f aca="false">IF(E1968="","",IF(U1968="","À SOUDER",IF(X1968="","VT EN ATTENTE",IF(X1968="R","VT REJETÉ – À REPRENDRE",IF(AP1968="","À RADIOGRAPHIER",IF(AP1968="A","ACCEPTÉ",IF(AP1968="NX","NX – RT À REFAIRE",IF(IF(AO1968=1,AD1968,IF(AO1968=2,AI1968,""))="A","RÉPARÉ – À RADIOGRAPHIER",IF(IF(AO1968=1,AD1968,IF(AO1968=2,AI1968,""))="R","VT REJETÉ – À REPRENDRE",IF(OR(AP1968="CO",AP1968="NT"),"COUPE – À RESOUDER","À RÉPARER"))))))))))</f>
        <v>ACCEPTÉ</v>
      </c>
      <c r="AR1968" s="82" t="str">
        <f aca="false">IF(AND(ISNUMBER(U1968),OR(AQ1968="À RADIOGRAPHIER",AQ1968="RÉPARÉ – À RADIOGRAPHIER",AQ1968="NX – RT À REFAIRE",AQ1968="À RÉPARER",AQ1968="COUPE – À RESOUDER",AQ1968="VT REJETÉ – À REPRENDRE")),MAX(0,'PROGRAMME RT'!$C$4-U1968),"")</f>
        <v/>
      </c>
      <c r="AS1968" s="82" t="n">
        <f aca="false">IF(AND(OR(AQ1968="À RADIOGRAPHIER",AQ1968="RÉPARÉ – À RADIOGRAPHIER",AQ1968="NX – RT À REFAIRE"),OR('PROGRAMME RT'!$D$5="TOUTES",B1968='PROGRAMME RT'!$D$5)),1,0)</f>
        <v>0</v>
      </c>
      <c r="AT1968" s="82" t="str">
        <f aca="false">IF(AS1968=1,SUM(AS$7:AS1968),"")</f>
        <v/>
      </c>
      <c r="AU1968" s="82" t="n">
        <f aca="false">IF(AND(OR(AA1968="R",AA1968="NX",AA1968="NT",AA1968="CO"),OR('JOINTS DE RÉPARATION'!$D$5="TOUTES",B1968='JOINTS DE RÉPARATION'!$D$5),OR('JOINTS DE RÉPARATION'!$L$4="TOUS",AQ1968&lt;&gt;"ACCEPTÉ")),1,0)</f>
        <v>0</v>
      </c>
      <c r="AV1968" s="82" t="str">
        <f aca="false">IF(AU1968=1,SUM(AU$7:AU1968),"")</f>
        <v/>
      </c>
      <c r="AW1968" s="82" t="str">
        <f aca="false">IF(E1968="","",B1968&amp;"|"&amp;E1968)</f>
        <v>MFD-ISW → MFD-CPF|DJ°037</v>
      </c>
    </row>
    <row r="1969" customFormat="false" ht="74.6" hidden="false" customHeight="false" outlineLevel="0" collapsed="false">
      <c r="A1969" s="79" t="n">
        <f aca="false">IF(E1969="","",ROW()-6)</f>
        <v>1963</v>
      </c>
      <c r="B1969" s="80" t="s">
        <v>110</v>
      </c>
      <c r="C1969" s="81" t="s">
        <v>2396</v>
      </c>
      <c r="D1969" s="81" t="n">
        <v>18</v>
      </c>
      <c r="E1969" s="81" t="s">
        <v>2400</v>
      </c>
      <c r="F1969" s="82" t="str">
        <f aca="false">IF(E1969="","",IF(LEFT(E1969,2)="DJ","DJ","JN"))</f>
        <v>JN</v>
      </c>
      <c r="G1969" s="81" t="s">
        <v>1504</v>
      </c>
      <c r="H1969" s="81" t="s">
        <v>871</v>
      </c>
      <c r="I1969" s="81" t="n">
        <v>9.53</v>
      </c>
      <c r="J1969" s="81" t="s">
        <v>872</v>
      </c>
      <c r="K1969" s="81" t="s">
        <v>879</v>
      </c>
      <c r="L1969" s="81" t="n">
        <v>2090620</v>
      </c>
      <c r="M1969" s="81" t="n">
        <v>15421109</v>
      </c>
      <c r="N1969" s="81" t="n">
        <v>11.94</v>
      </c>
      <c r="O1969" s="81" t="n">
        <v>2087490</v>
      </c>
      <c r="P1969" s="81" t="n">
        <v>15421104</v>
      </c>
      <c r="Q1969" s="81" t="n">
        <v>11.94</v>
      </c>
      <c r="R1969" s="81" t="s">
        <v>2273</v>
      </c>
      <c r="S1969" s="81"/>
      <c r="T1969" s="81"/>
      <c r="U1969" s="83" t="n">
        <v>46268</v>
      </c>
      <c r="V1969" s="83" t="n">
        <v>46268</v>
      </c>
      <c r="W1969" s="81" t="s">
        <v>2351</v>
      </c>
      <c r="X1969" s="81" t="s">
        <v>876</v>
      </c>
      <c r="Y1969" s="83" t="n">
        <v>46276</v>
      </c>
      <c r="Z1969" s="81" t="s">
        <v>2376</v>
      </c>
      <c r="AA1969" s="81" t="s">
        <v>876</v>
      </c>
      <c r="AB1969" s="81"/>
      <c r="AC1969" s="81"/>
      <c r="AD1969" s="81"/>
      <c r="AE1969" s="83"/>
      <c r="AF1969" s="81"/>
      <c r="AG1969" s="81"/>
      <c r="AH1969" s="81"/>
      <c r="AI1969" s="81"/>
      <c r="AJ1969" s="83"/>
      <c r="AK1969" s="81"/>
      <c r="AL1969" s="81"/>
      <c r="AM1969" s="83"/>
      <c r="AN1969" s="80"/>
      <c r="AO1969" s="82" t="n">
        <f aca="false">IF(E1969="","",(AA1969&lt;&gt;"")+(AG1969&lt;&gt;"")+(AL1969&lt;&gt;""))</f>
        <v>1</v>
      </c>
      <c r="AP1969" s="82" t="str">
        <f aca="false">IF(AL1969&lt;&gt;"",AL1969,IF(AG1969&lt;&gt;"",AG1969,IF(AA1969&lt;&gt;"",AA1969,"")))</f>
        <v>A</v>
      </c>
      <c r="AQ1969" s="84" t="str">
        <f aca="false">IF(E1969="","",IF(U1969="","À SOUDER",IF(X1969="","VT EN ATTENTE",IF(X1969="R","VT REJETÉ – À REPRENDRE",IF(AP1969="","À RADIOGRAPHIER",IF(AP1969="A","ACCEPTÉ",IF(AP1969="NX","NX – RT À REFAIRE",IF(IF(AO1969=1,AD1969,IF(AO1969=2,AI1969,""))="A","RÉPARÉ – À RADIOGRAPHIER",IF(IF(AO1969=1,AD1969,IF(AO1969=2,AI1969,""))="R","VT REJETÉ – À REPRENDRE",IF(OR(AP1969="CO",AP1969="NT"),"COUPE – À RESOUDER","À RÉPARER"))))))))))</f>
        <v>ACCEPTÉ</v>
      </c>
      <c r="AR1969" s="82" t="str">
        <f aca="false">IF(AND(ISNUMBER(U1969),OR(AQ1969="À RADIOGRAPHIER",AQ1969="RÉPARÉ – À RADIOGRAPHIER",AQ1969="NX – RT À REFAIRE",AQ1969="À RÉPARER",AQ1969="COUPE – À RESOUDER",AQ1969="VT REJETÉ – À REPRENDRE")),MAX(0,'PROGRAMME RT'!$C$4-U1969),"")</f>
        <v/>
      </c>
      <c r="AS1969" s="82" t="n">
        <f aca="false">IF(AND(OR(AQ1969="À RADIOGRAPHIER",AQ1969="RÉPARÉ – À RADIOGRAPHIER",AQ1969="NX – RT À REFAIRE"),OR('PROGRAMME RT'!$D$5="TOUTES",B1969='PROGRAMME RT'!$D$5)),1,0)</f>
        <v>0</v>
      </c>
      <c r="AT1969" s="82" t="str">
        <f aca="false">IF(AS1969=1,SUM(AS$7:AS1969),"")</f>
        <v/>
      </c>
      <c r="AU1969" s="82" t="n">
        <f aca="false">IF(AND(OR(AA1969="R",AA1969="NX",AA1969="NT",AA1969="CO"),OR('JOINTS DE RÉPARATION'!$D$5="TOUTES",B1969='JOINTS DE RÉPARATION'!$D$5),OR('JOINTS DE RÉPARATION'!$L$4="TOUS",AQ1969&lt;&gt;"ACCEPTÉ")),1,0)</f>
        <v>0</v>
      </c>
      <c r="AV1969" s="82" t="str">
        <f aca="false">IF(AU1969=1,SUM(AU$7:AU1969),"")</f>
        <v/>
      </c>
      <c r="AW1969" s="82" t="str">
        <f aca="false">IF(E1969="","",B1969&amp;"|"&amp;E1969)</f>
        <v>MFD-ISW → MFD-CPF|JN°1516</v>
      </c>
    </row>
    <row r="1970" customFormat="false" ht="74.6" hidden="false" customHeight="false" outlineLevel="0" collapsed="false">
      <c r="A1970" s="79" t="n">
        <f aca="false">IF(E1970="","",ROW()-6)</f>
        <v>1964</v>
      </c>
      <c r="B1970" s="80" t="s">
        <v>110</v>
      </c>
      <c r="C1970" s="81" t="s">
        <v>2396</v>
      </c>
      <c r="D1970" s="81" t="n">
        <v>18</v>
      </c>
      <c r="E1970" s="81" t="s">
        <v>2401</v>
      </c>
      <c r="F1970" s="82" t="str">
        <f aca="false">IF(E1970="","",IF(LEFT(E1970,2)="DJ","DJ","JN"))</f>
        <v>DJ</v>
      </c>
      <c r="G1970" s="81"/>
      <c r="H1970" s="81" t="s">
        <v>871</v>
      </c>
      <c r="I1970" s="81" t="n">
        <v>9.53</v>
      </c>
      <c r="J1970" s="81" t="s">
        <v>872</v>
      </c>
      <c r="K1970" s="81" t="s">
        <v>873</v>
      </c>
      <c r="L1970" s="81" t="n">
        <v>2087490</v>
      </c>
      <c r="M1970" s="81" t="n">
        <v>15421104</v>
      </c>
      <c r="N1970" s="81" t="n">
        <v>11.94</v>
      </c>
      <c r="O1970" s="81" t="n">
        <v>2089220</v>
      </c>
      <c r="P1970" s="81" t="n">
        <v>15421108</v>
      </c>
      <c r="Q1970" s="81" t="n">
        <v>11.94</v>
      </c>
      <c r="R1970" s="81" t="s">
        <v>899</v>
      </c>
      <c r="S1970" s="81"/>
      <c r="T1970" s="81"/>
      <c r="U1970" s="83" t="n">
        <v>46253</v>
      </c>
      <c r="V1970" s="83" t="n">
        <v>46253</v>
      </c>
      <c r="W1970" s="81" t="s">
        <v>2240</v>
      </c>
      <c r="X1970" s="81" t="s">
        <v>876</v>
      </c>
      <c r="Y1970" s="83" t="n">
        <v>46255</v>
      </c>
      <c r="Z1970" s="81" t="s">
        <v>2389</v>
      </c>
      <c r="AA1970" s="81" t="s">
        <v>876</v>
      </c>
      <c r="AB1970" s="81"/>
      <c r="AC1970" s="81"/>
      <c r="AD1970" s="81"/>
      <c r="AE1970" s="83"/>
      <c r="AF1970" s="81"/>
      <c r="AG1970" s="81"/>
      <c r="AH1970" s="81"/>
      <c r="AI1970" s="81"/>
      <c r="AJ1970" s="83"/>
      <c r="AK1970" s="81"/>
      <c r="AL1970" s="81"/>
      <c r="AM1970" s="83"/>
      <c r="AN1970" s="80"/>
      <c r="AO1970" s="82" t="n">
        <f aca="false">IF(E1970="","",(AA1970&lt;&gt;"")+(AG1970&lt;&gt;"")+(AL1970&lt;&gt;""))</f>
        <v>1</v>
      </c>
      <c r="AP1970" s="82" t="str">
        <f aca="false">IF(AL1970&lt;&gt;"",AL1970,IF(AG1970&lt;&gt;"",AG1970,IF(AA1970&lt;&gt;"",AA1970,"")))</f>
        <v>A</v>
      </c>
      <c r="AQ1970" s="84" t="str">
        <f aca="false">IF(E1970="","",IF(U1970="","À SOUDER",IF(X1970="","VT EN ATTENTE",IF(X1970="R","VT REJETÉ – À REPRENDRE",IF(AP1970="","À RADIOGRAPHIER",IF(AP1970="A","ACCEPTÉ",IF(AP1970="NX","NX – RT À REFAIRE",IF(IF(AO1970=1,AD1970,IF(AO1970=2,AI1970,""))="A","RÉPARÉ – À RADIOGRAPHIER",IF(IF(AO1970=1,AD1970,IF(AO1970=2,AI1970,""))="R","VT REJETÉ – À REPRENDRE",IF(OR(AP1970="CO",AP1970="NT"),"COUPE – À RESOUDER","À RÉPARER"))))))))))</f>
        <v>ACCEPTÉ</v>
      </c>
      <c r="AR1970" s="82" t="str">
        <f aca="false">IF(AND(ISNUMBER(U1970),OR(AQ1970="À RADIOGRAPHIER",AQ1970="RÉPARÉ – À RADIOGRAPHIER",AQ1970="NX – RT À REFAIRE",AQ1970="À RÉPARER",AQ1970="COUPE – À RESOUDER",AQ1970="VT REJETÉ – À REPRENDRE")),MAX(0,'PROGRAMME RT'!$C$4-U1970),"")</f>
        <v/>
      </c>
      <c r="AS1970" s="82" t="n">
        <f aca="false">IF(AND(OR(AQ1970="À RADIOGRAPHIER",AQ1970="RÉPARÉ – À RADIOGRAPHIER",AQ1970="NX – RT À REFAIRE"),OR('PROGRAMME RT'!$D$5="TOUTES",B1970='PROGRAMME RT'!$D$5)),1,0)</f>
        <v>0</v>
      </c>
      <c r="AT1970" s="82" t="str">
        <f aca="false">IF(AS1970=1,SUM(AS$7:AS1970),"")</f>
        <v/>
      </c>
      <c r="AU1970" s="82" t="n">
        <f aca="false">IF(AND(OR(AA1970="R",AA1970="NX",AA1970="NT",AA1970="CO"),OR('JOINTS DE RÉPARATION'!$D$5="TOUTES",B1970='JOINTS DE RÉPARATION'!$D$5),OR('JOINTS DE RÉPARATION'!$L$4="TOUS",AQ1970&lt;&gt;"ACCEPTÉ")),1,0)</f>
        <v>0</v>
      </c>
      <c r="AV1970" s="82" t="str">
        <f aca="false">IF(AU1970=1,SUM(AU$7:AU1970),"")</f>
        <v/>
      </c>
      <c r="AW1970" s="82" t="str">
        <f aca="false">IF(E1970="","",B1970&amp;"|"&amp;E1970)</f>
        <v>MFD-ISW → MFD-CPF|DJ°059</v>
      </c>
    </row>
    <row r="1971" customFormat="false" ht="74.6" hidden="false" customHeight="false" outlineLevel="0" collapsed="false">
      <c r="A1971" s="79" t="n">
        <f aca="false">IF(E1971="","",ROW()-6)</f>
        <v>1965</v>
      </c>
      <c r="B1971" s="80" t="s">
        <v>110</v>
      </c>
      <c r="C1971" s="81" t="s">
        <v>2396</v>
      </c>
      <c r="D1971" s="81" t="n">
        <v>18</v>
      </c>
      <c r="E1971" s="81" t="s">
        <v>2402</v>
      </c>
      <c r="F1971" s="82" t="str">
        <f aca="false">IF(E1971="","",IF(LEFT(E1971,2)="DJ","DJ","JN"))</f>
        <v>JN</v>
      </c>
      <c r="G1971" s="81" t="s">
        <v>1504</v>
      </c>
      <c r="H1971" s="81" t="s">
        <v>871</v>
      </c>
      <c r="I1971" s="81" t="n">
        <v>9.53</v>
      </c>
      <c r="J1971" s="81" t="s">
        <v>872</v>
      </c>
      <c r="K1971" s="81" t="s">
        <v>879</v>
      </c>
      <c r="L1971" s="81" t="n">
        <v>2089220</v>
      </c>
      <c r="M1971" s="81" t="n">
        <v>15421108</v>
      </c>
      <c r="N1971" s="81" t="n">
        <v>11.94</v>
      </c>
      <c r="O1971" s="81" t="n">
        <v>2084340</v>
      </c>
      <c r="P1971" s="81" t="n">
        <v>15421106</v>
      </c>
      <c r="Q1971" s="81" t="n">
        <v>11.94</v>
      </c>
      <c r="R1971" s="81" t="s">
        <v>2273</v>
      </c>
      <c r="S1971" s="81"/>
      <c r="T1971" s="81"/>
      <c r="U1971" s="83" t="n">
        <v>46268</v>
      </c>
      <c r="V1971" s="83" t="n">
        <v>46268</v>
      </c>
      <c r="W1971" s="81" t="s">
        <v>2403</v>
      </c>
      <c r="X1971" s="81" t="s">
        <v>876</v>
      </c>
      <c r="Y1971" s="83" t="n">
        <v>46276</v>
      </c>
      <c r="Z1971" s="81" t="s">
        <v>2376</v>
      </c>
      <c r="AA1971" s="81" t="s">
        <v>876</v>
      </c>
      <c r="AB1971" s="81"/>
      <c r="AC1971" s="81"/>
      <c r="AD1971" s="81"/>
      <c r="AE1971" s="83"/>
      <c r="AF1971" s="81"/>
      <c r="AG1971" s="81"/>
      <c r="AH1971" s="81"/>
      <c r="AI1971" s="81"/>
      <c r="AJ1971" s="83"/>
      <c r="AK1971" s="81"/>
      <c r="AL1971" s="81"/>
      <c r="AM1971" s="83"/>
      <c r="AN1971" s="80"/>
      <c r="AO1971" s="82" t="n">
        <f aca="false">IF(E1971="","",(AA1971&lt;&gt;"")+(AG1971&lt;&gt;"")+(AL1971&lt;&gt;""))</f>
        <v>1</v>
      </c>
      <c r="AP1971" s="82" t="str">
        <f aca="false">IF(AL1971&lt;&gt;"",AL1971,IF(AG1971&lt;&gt;"",AG1971,IF(AA1971&lt;&gt;"",AA1971,"")))</f>
        <v>A</v>
      </c>
      <c r="AQ1971" s="84" t="str">
        <f aca="false">IF(E1971="","",IF(U1971="","À SOUDER",IF(X1971="","VT EN ATTENTE",IF(X1971="R","VT REJETÉ – À REPRENDRE",IF(AP1971="","À RADIOGRAPHIER",IF(AP1971="A","ACCEPTÉ",IF(AP1971="NX","NX – RT À REFAIRE",IF(IF(AO1971=1,AD1971,IF(AO1971=2,AI1971,""))="A","RÉPARÉ – À RADIOGRAPHIER",IF(IF(AO1971=1,AD1971,IF(AO1971=2,AI1971,""))="R","VT REJETÉ – À REPRENDRE",IF(OR(AP1971="CO",AP1971="NT"),"COUPE – À RESOUDER","À RÉPARER"))))))))))</f>
        <v>ACCEPTÉ</v>
      </c>
      <c r="AR1971" s="82" t="str">
        <f aca="false">IF(AND(ISNUMBER(U1971),OR(AQ1971="À RADIOGRAPHIER",AQ1971="RÉPARÉ – À RADIOGRAPHIER",AQ1971="NX – RT À REFAIRE",AQ1971="À RÉPARER",AQ1971="COUPE – À RESOUDER",AQ1971="VT REJETÉ – À REPRENDRE")),MAX(0,'PROGRAMME RT'!$C$4-U1971),"")</f>
        <v/>
      </c>
      <c r="AS1971" s="82" t="n">
        <f aca="false">IF(AND(OR(AQ1971="À RADIOGRAPHIER",AQ1971="RÉPARÉ – À RADIOGRAPHIER",AQ1971="NX – RT À REFAIRE"),OR('PROGRAMME RT'!$D$5="TOUTES",B1971='PROGRAMME RT'!$D$5)),1,0)</f>
        <v>0</v>
      </c>
      <c r="AT1971" s="82" t="str">
        <f aca="false">IF(AS1971=1,SUM(AS$7:AS1971),"")</f>
        <v/>
      </c>
      <c r="AU1971" s="82" t="n">
        <f aca="false">IF(AND(OR(AA1971="R",AA1971="NX",AA1971="NT",AA1971="CO"),OR('JOINTS DE RÉPARATION'!$D$5="TOUTES",B1971='JOINTS DE RÉPARATION'!$D$5),OR('JOINTS DE RÉPARATION'!$L$4="TOUS",AQ1971&lt;&gt;"ACCEPTÉ")),1,0)</f>
        <v>0</v>
      </c>
      <c r="AV1971" s="82" t="str">
        <f aca="false">IF(AU1971=1,SUM(AU$7:AU1971),"")</f>
        <v/>
      </c>
      <c r="AW1971" s="82" t="str">
        <f aca="false">IF(E1971="","",B1971&amp;"|"&amp;E1971)</f>
        <v>MFD-ISW → MFD-CPF|JN°1517</v>
      </c>
    </row>
    <row r="1972" customFormat="false" ht="74.6" hidden="false" customHeight="false" outlineLevel="0" collapsed="false">
      <c r="A1972" s="79" t="n">
        <f aca="false">IF(E1972="","",ROW()-6)</f>
        <v>1966</v>
      </c>
      <c r="B1972" s="80" t="s">
        <v>110</v>
      </c>
      <c r="C1972" s="81" t="s">
        <v>2396</v>
      </c>
      <c r="D1972" s="81" t="n">
        <v>18</v>
      </c>
      <c r="E1972" s="81" t="s">
        <v>2404</v>
      </c>
      <c r="F1972" s="82" t="str">
        <f aca="false">IF(E1972="","",IF(LEFT(E1972,2)="DJ","DJ","JN"))</f>
        <v>DJ</v>
      </c>
      <c r="G1972" s="81"/>
      <c r="H1972" s="81" t="s">
        <v>871</v>
      </c>
      <c r="I1972" s="81" t="n">
        <v>9.53</v>
      </c>
      <c r="J1972" s="81" t="s">
        <v>872</v>
      </c>
      <c r="K1972" s="81" t="s">
        <v>873</v>
      </c>
      <c r="L1972" s="81" t="n">
        <v>2084110</v>
      </c>
      <c r="M1972" s="81" t="n">
        <v>15421106</v>
      </c>
      <c r="N1972" s="81" t="n">
        <v>11.94</v>
      </c>
      <c r="O1972" s="81" t="n">
        <v>2084110</v>
      </c>
      <c r="P1972" s="81" t="n">
        <v>15421106</v>
      </c>
      <c r="Q1972" s="81" t="n">
        <v>11.94</v>
      </c>
      <c r="R1972" s="81" t="s">
        <v>1147</v>
      </c>
      <c r="S1972" s="81"/>
      <c r="T1972" s="81"/>
      <c r="U1972" s="83" t="n">
        <v>46253</v>
      </c>
      <c r="V1972" s="83" t="n">
        <v>46253</v>
      </c>
      <c r="W1972" s="81" t="s">
        <v>2240</v>
      </c>
      <c r="X1972" s="81" t="s">
        <v>876</v>
      </c>
      <c r="Y1972" s="83" t="n">
        <v>46254</v>
      </c>
      <c r="Z1972" s="81" t="s">
        <v>2286</v>
      </c>
      <c r="AA1972" s="81" t="s">
        <v>876</v>
      </c>
      <c r="AB1972" s="81"/>
      <c r="AC1972" s="81"/>
      <c r="AD1972" s="81"/>
      <c r="AE1972" s="83"/>
      <c r="AF1972" s="81"/>
      <c r="AG1972" s="81"/>
      <c r="AH1972" s="81"/>
      <c r="AI1972" s="81"/>
      <c r="AJ1972" s="83"/>
      <c r="AK1972" s="81"/>
      <c r="AL1972" s="81"/>
      <c r="AM1972" s="83"/>
      <c r="AN1972" s="80"/>
      <c r="AO1972" s="82" t="n">
        <f aca="false">IF(E1972="","",(AA1972&lt;&gt;"")+(AG1972&lt;&gt;"")+(AL1972&lt;&gt;""))</f>
        <v>1</v>
      </c>
      <c r="AP1972" s="82" t="str">
        <f aca="false">IF(AL1972&lt;&gt;"",AL1972,IF(AG1972&lt;&gt;"",AG1972,IF(AA1972&lt;&gt;"",AA1972,"")))</f>
        <v>A</v>
      </c>
      <c r="AQ1972" s="84" t="str">
        <f aca="false">IF(E1972="","",IF(U1972="","À SOUDER",IF(X1972="","VT EN ATTENTE",IF(X1972="R","VT REJETÉ – À REPRENDRE",IF(AP1972="","À RADIOGRAPHIER",IF(AP1972="A","ACCEPTÉ",IF(AP1972="NX","NX – RT À REFAIRE",IF(IF(AO1972=1,AD1972,IF(AO1972=2,AI1972,""))="A","RÉPARÉ – À RADIOGRAPHIER",IF(IF(AO1972=1,AD1972,IF(AO1972=2,AI1972,""))="R","VT REJETÉ – À REPRENDRE",IF(OR(AP1972="CO",AP1972="NT"),"COUPE – À RESOUDER","À RÉPARER"))))))))))</f>
        <v>ACCEPTÉ</v>
      </c>
      <c r="AR1972" s="82" t="str">
        <f aca="false">IF(AND(ISNUMBER(U1972),OR(AQ1972="À RADIOGRAPHIER",AQ1972="RÉPARÉ – À RADIOGRAPHIER",AQ1972="NX – RT À REFAIRE",AQ1972="À RÉPARER",AQ1972="COUPE – À RESOUDER",AQ1972="VT REJETÉ – À REPRENDRE")),MAX(0,'PROGRAMME RT'!$C$4-U1972),"")</f>
        <v/>
      </c>
      <c r="AS1972" s="82" t="n">
        <f aca="false">IF(AND(OR(AQ1972="À RADIOGRAPHIER",AQ1972="RÉPARÉ – À RADIOGRAPHIER",AQ1972="NX – RT À REFAIRE"),OR('PROGRAMME RT'!$D$5="TOUTES",B1972='PROGRAMME RT'!$D$5)),1,0)</f>
        <v>0</v>
      </c>
      <c r="AT1972" s="82" t="str">
        <f aca="false">IF(AS1972=1,SUM(AS$7:AS1972),"")</f>
        <v/>
      </c>
      <c r="AU1972" s="82" t="n">
        <f aca="false">IF(AND(OR(AA1972="R",AA1972="NX",AA1972="NT",AA1972="CO"),OR('JOINTS DE RÉPARATION'!$D$5="TOUTES",B1972='JOINTS DE RÉPARATION'!$D$5),OR('JOINTS DE RÉPARATION'!$L$4="TOUS",AQ1972&lt;&gt;"ACCEPTÉ")),1,0)</f>
        <v>0</v>
      </c>
      <c r="AV1972" s="82" t="str">
        <f aca="false">IF(AU1972=1,SUM(AU$7:AU1972),"")</f>
        <v/>
      </c>
      <c r="AW1972" s="82" t="str">
        <f aca="false">IF(E1972="","",B1972&amp;"|"&amp;E1972)</f>
        <v>MFD-ISW → MFD-CPF|DJ°054</v>
      </c>
    </row>
    <row r="1973" customFormat="false" ht="74.6" hidden="false" customHeight="false" outlineLevel="0" collapsed="false">
      <c r="A1973" s="79" t="n">
        <f aca="false">IF(E1973="","",ROW()-6)</f>
        <v>1967</v>
      </c>
      <c r="B1973" s="80" t="s">
        <v>110</v>
      </c>
      <c r="C1973" s="81" t="s">
        <v>2396</v>
      </c>
      <c r="D1973" s="81" t="n">
        <v>18</v>
      </c>
      <c r="E1973" s="81" t="s">
        <v>2405</v>
      </c>
      <c r="F1973" s="82" t="str">
        <f aca="false">IF(E1973="","",IF(LEFT(E1973,2)="DJ","DJ","JN"))</f>
        <v>JN</v>
      </c>
      <c r="G1973" s="81" t="s">
        <v>1504</v>
      </c>
      <c r="H1973" s="81" t="s">
        <v>871</v>
      </c>
      <c r="I1973" s="81" t="n">
        <v>9.53</v>
      </c>
      <c r="J1973" s="81" t="s">
        <v>872</v>
      </c>
      <c r="K1973" s="81" t="s">
        <v>879</v>
      </c>
      <c r="L1973" s="81" t="n">
        <v>2084110</v>
      </c>
      <c r="M1973" s="81" t="n">
        <v>15421106</v>
      </c>
      <c r="N1973" s="81" t="n">
        <v>11.94</v>
      </c>
      <c r="O1973" s="81" t="n">
        <v>2084030</v>
      </c>
      <c r="P1973" s="81" t="n">
        <v>15421106</v>
      </c>
      <c r="Q1973" s="81" t="n">
        <v>11.94</v>
      </c>
      <c r="R1973" s="81" t="s">
        <v>2273</v>
      </c>
      <c r="S1973" s="81"/>
      <c r="T1973" s="81"/>
      <c r="U1973" s="83" t="n">
        <v>46268</v>
      </c>
      <c r="V1973" s="83" t="n">
        <v>46268</v>
      </c>
      <c r="W1973" s="81" t="s">
        <v>2403</v>
      </c>
      <c r="X1973" s="81" t="s">
        <v>876</v>
      </c>
      <c r="Y1973" s="83" t="n">
        <v>46276</v>
      </c>
      <c r="Z1973" s="81" t="s">
        <v>2376</v>
      </c>
      <c r="AA1973" s="81" t="s">
        <v>876</v>
      </c>
      <c r="AB1973" s="81"/>
      <c r="AC1973" s="81"/>
      <c r="AD1973" s="81"/>
      <c r="AE1973" s="83"/>
      <c r="AF1973" s="81"/>
      <c r="AG1973" s="81"/>
      <c r="AH1973" s="81"/>
      <c r="AI1973" s="81"/>
      <c r="AJ1973" s="83"/>
      <c r="AK1973" s="81"/>
      <c r="AL1973" s="81"/>
      <c r="AM1973" s="83"/>
      <c r="AN1973" s="80"/>
      <c r="AO1973" s="82" t="n">
        <f aca="false">IF(E1973="","",(AA1973&lt;&gt;"")+(AG1973&lt;&gt;"")+(AL1973&lt;&gt;""))</f>
        <v>1</v>
      </c>
      <c r="AP1973" s="82" t="str">
        <f aca="false">IF(AL1973&lt;&gt;"",AL1973,IF(AG1973&lt;&gt;"",AG1973,IF(AA1973&lt;&gt;"",AA1973,"")))</f>
        <v>A</v>
      </c>
      <c r="AQ1973" s="84" t="str">
        <f aca="false">IF(E1973="","",IF(U1973="","À SOUDER",IF(X1973="","VT EN ATTENTE",IF(X1973="R","VT REJETÉ – À REPRENDRE",IF(AP1973="","À RADIOGRAPHIER",IF(AP1973="A","ACCEPTÉ",IF(AP1973="NX","NX – RT À REFAIRE",IF(IF(AO1973=1,AD1973,IF(AO1973=2,AI1973,""))="A","RÉPARÉ – À RADIOGRAPHIER",IF(IF(AO1973=1,AD1973,IF(AO1973=2,AI1973,""))="R","VT REJETÉ – À REPRENDRE",IF(OR(AP1973="CO",AP1973="NT"),"COUPE – À RESOUDER","À RÉPARER"))))))))))</f>
        <v>ACCEPTÉ</v>
      </c>
      <c r="AR1973" s="82" t="str">
        <f aca="false">IF(AND(ISNUMBER(U1973),OR(AQ1973="À RADIOGRAPHIER",AQ1973="RÉPARÉ – À RADIOGRAPHIER",AQ1973="NX – RT À REFAIRE",AQ1973="À RÉPARER",AQ1973="COUPE – À RESOUDER",AQ1973="VT REJETÉ – À REPRENDRE")),MAX(0,'PROGRAMME RT'!$C$4-U1973),"")</f>
        <v/>
      </c>
      <c r="AS1973" s="82" t="n">
        <f aca="false">IF(AND(OR(AQ1973="À RADIOGRAPHIER",AQ1973="RÉPARÉ – À RADIOGRAPHIER",AQ1973="NX – RT À REFAIRE"),OR('PROGRAMME RT'!$D$5="TOUTES",B1973='PROGRAMME RT'!$D$5)),1,0)</f>
        <v>0</v>
      </c>
      <c r="AT1973" s="82" t="str">
        <f aca="false">IF(AS1973=1,SUM(AS$7:AS1973),"")</f>
        <v/>
      </c>
      <c r="AU1973" s="82" t="n">
        <f aca="false">IF(AND(OR(AA1973="R",AA1973="NX",AA1973="NT",AA1973="CO"),OR('JOINTS DE RÉPARATION'!$D$5="TOUTES",B1973='JOINTS DE RÉPARATION'!$D$5),OR('JOINTS DE RÉPARATION'!$L$4="TOUS",AQ1973&lt;&gt;"ACCEPTÉ")),1,0)</f>
        <v>0</v>
      </c>
      <c r="AV1973" s="82" t="str">
        <f aca="false">IF(AU1973=1,SUM(AU$7:AU1973),"")</f>
        <v/>
      </c>
      <c r="AW1973" s="82" t="str">
        <f aca="false">IF(E1973="","",B1973&amp;"|"&amp;E1973)</f>
        <v>MFD-ISW → MFD-CPF|JN°1518</v>
      </c>
    </row>
    <row r="1974" customFormat="false" ht="74.6" hidden="false" customHeight="false" outlineLevel="0" collapsed="false">
      <c r="A1974" s="79" t="n">
        <f aca="false">IF(E1974="","",ROW()-6)</f>
        <v>1968</v>
      </c>
      <c r="B1974" s="80" t="s">
        <v>110</v>
      </c>
      <c r="C1974" s="81" t="s">
        <v>2396</v>
      </c>
      <c r="D1974" s="81" t="n">
        <v>18</v>
      </c>
      <c r="E1974" s="81" t="s">
        <v>2406</v>
      </c>
      <c r="F1974" s="82" t="str">
        <f aca="false">IF(E1974="","",IF(LEFT(E1974,2)="DJ","DJ","JN"))</f>
        <v>DJ</v>
      </c>
      <c r="G1974" s="81"/>
      <c r="H1974" s="81" t="s">
        <v>871</v>
      </c>
      <c r="I1974" s="81" t="n">
        <v>9.53</v>
      </c>
      <c r="J1974" s="81" t="s">
        <v>872</v>
      </c>
      <c r="K1974" s="81" t="s">
        <v>873</v>
      </c>
      <c r="L1974" s="81" t="n">
        <v>2084030</v>
      </c>
      <c r="M1974" s="81" t="n">
        <v>15421106</v>
      </c>
      <c r="N1974" s="81" t="n">
        <v>11.94</v>
      </c>
      <c r="O1974" s="81" t="n">
        <v>2082340</v>
      </c>
      <c r="P1974" s="81" t="n">
        <v>15421105</v>
      </c>
      <c r="Q1974" s="81" t="n">
        <v>11.94</v>
      </c>
      <c r="R1974" s="81" t="s">
        <v>874</v>
      </c>
      <c r="S1974" s="81"/>
      <c r="T1974" s="81"/>
      <c r="U1974" s="83" t="n">
        <v>46253</v>
      </c>
      <c r="V1974" s="83" t="n">
        <v>46253</v>
      </c>
      <c r="W1974" s="81" t="s">
        <v>2240</v>
      </c>
      <c r="X1974" s="81" t="s">
        <v>876</v>
      </c>
      <c r="Y1974" s="83" t="n">
        <v>46254</v>
      </c>
      <c r="Z1974" s="81" t="s">
        <v>2286</v>
      </c>
      <c r="AA1974" s="81" t="s">
        <v>876</v>
      </c>
      <c r="AB1974" s="81"/>
      <c r="AC1974" s="81"/>
      <c r="AD1974" s="81"/>
      <c r="AE1974" s="83"/>
      <c r="AF1974" s="81"/>
      <c r="AG1974" s="81"/>
      <c r="AH1974" s="81"/>
      <c r="AI1974" s="81"/>
      <c r="AJ1974" s="83"/>
      <c r="AK1974" s="81"/>
      <c r="AL1974" s="81"/>
      <c r="AM1974" s="83"/>
      <c r="AN1974" s="80"/>
      <c r="AO1974" s="82" t="n">
        <f aca="false">IF(E1974="","",(AA1974&lt;&gt;"")+(AG1974&lt;&gt;"")+(AL1974&lt;&gt;""))</f>
        <v>1</v>
      </c>
      <c r="AP1974" s="82" t="str">
        <f aca="false">IF(AL1974&lt;&gt;"",AL1974,IF(AG1974&lt;&gt;"",AG1974,IF(AA1974&lt;&gt;"",AA1974,"")))</f>
        <v>A</v>
      </c>
      <c r="AQ1974" s="84" t="str">
        <f aca="false">IF(E1974="","",IF(U1974="","À SOUDER",IF(X1974="","VT EN ATTENTE",IF(X1974="R","VT REJETÉ – À REPRENDRE",IF(AP1974="","À RADIOGRAPHIER",IF(AP1974="A","ACCEPTÉ",IF(AP1974="NX","NX – RT À REFAIRE",IF(IF(AO1974=1,AD1974,IF(AO1974=2,AI1974,""))="A","RÉPARÉ – À RADIOGRAPHIER",IF(IF(AO1974=1,AD1974,IF(AO1974=2,AI1974,""))="R","VT REJETÉ – À REPRENDRE",IF(OR(AP1974="CO",AP1974="NT"),"COUPE – À RESOUDER","À RÉPARER"))))))))))</f>
        <v>ACCEPTÉ</v>
      </c>
      <c r="AR1974" s="82" t="str">
        <f aca="false">IF(AND(ISNUMBER(U1974),OR(AQ1974="À RADIOGRAPHIER",AQ1974="RÉPARÉ – À RADIOGRAPHIER",AQ1974="NX – RT À REFAIRE",AQ1974="À RÉPARER",AQ1974="COUPE – À RESOUDER",AQ1974="VT REJETÉ – À REPRENDRE")),MAX(0,'PROGRAMME RT'!$C$4-U1974),"")</f>
        <v/>
      </c>
      <c r="AS1974" s="82" t="n">
        <f aca="false">IF(AND(OR(AQ1974="À RADIOGRAPHIER",AQ1974="RÉPARÉ – À RADIOGRAPHIER",AQ1974="NX – RT À REFAIRE"),OR('PROGRAMME RT'!$D$5="TOUTES",B1974='PROGRAMME RT'!$D$5)),1,0)</f>
        <v>0</v>
      </c>
      <c r="AT1974" s="82" t="str">
        <f aca="false">IF(AS1974=1,SUM(AS$7:AS1974),"")</f>
        <v/>
      </c>
      <c r="AU1974" s="82" t="n">
        <f aca="false">IF(AND(OR(AA1974="R",AA1974="NX",AA1974="NT",AA1974="CO"),OR('JOINTS DE RÉPARATION'!$D$5="TOUTES",B1974='JOINTS DE RÉPARATION'!$D$5),OR('JOINTS DE RÉPARATION'!$L$4="TOUS",AQ1974&lt;&gt;"ACCEPTÉ")),1,0)</f>
        <v>0</v>
      </c>
      <c r="AV1974" s="82" t="str">
        <f aca="false">IF(AU1974=1,SUM(AU$7:AU1974),"")</f>
        <v/>
      </c>
      <c r="AW1974" s="82" t="str">
        <f aca="false">IF(E1974="","",B1974&amp;"|"&amp;E1974)</f>
        <v>MFD-ISW → MFD-CPF|DJ°056</v>
      </c>
    </row>
    <row r="1975" customFormat="false" ht="74.6" hidden="false" customHeight="false" outlineLevel="0" collapsed="false">
      <c r="A1975" s="79" t="n">
        <f aca="false">IF(E1975="","",ROW()-6)</f>
        <v>1969</v>
      </c>
      <c r="B1975" s="80" t="s">
        <v>110</v>
      </c>
      <c r="C1975" s="81" t="s">
        <v>2396</v>
      </c>
      <c r="D1975" s="81" t="n">
        <v>18</v>
      </c>
      <c r="E1975" s="81" t="s">
        <v>2407</v>
      </c>
      <c r="F1975" s="82" t="str">
        <f aca="false">IF(E1975="","",IF(LEFT(E1975,2)="DJ","DJ","JN"))</f>
        <v>JN</v>
      </c>
      <c r="G1975" s="81" t="s">
        <v>1504</v>
      </c>
      <c r="H1975" s="81" t="s">
        <v>871</v>
      </c>
      <c r="I1975" s="81" t="n">
        <v>9.53</v>
      </c>
      <c r="J1975" s="81" t="s">
        <v>872</v>
      </c>
      <c r="K1975" s="81" t="s">
        <v>879</v>
      </c>
      <c r="L1975" s="81" t="n">
        <v>2082340</v>
      </c>
      <c r="M1975" s="81" t="n">
        <v>15421105</v>
      </c>
      <c r="N1975" s="81" t="n">
        <v>11.94</v>
      </c>
      <c r="O1975" s="81" t="n">
        <v>2090080</v>
      </c>
      <c r="P1975" s="81" t="n">
        <v>15421109</v>
      </c>
      <c r="Q1975" s="81" t="n">
        <v>11.94</v>
      </c>
      <c r="R1975" s="81" t="s">
        <v>2273</v>
      </c>
      <c r="S1975" s="81"/>
      <c r="T1975" s="81"/>
      <c r="U1975" s="83" t="n">
        <v>46268</v>
      </c>
      <c r="V1975" s="83" t="n">
        <v>46268</v>
      </c>
      <c r="W1975" s="81" t="s">
        <v>2403</v>
      </c>
      <c r="X1975" s="81" t="s">
        <v>876</v>
      </c>
      <c r="Y1975" s="83" t="n">
        <v>46276</v>
      </c>
      <c r="Z1975" s="81" t="s">
        <v>2376</v>
      </c>
      <c r="AA1975" s="81" t="s">
        <v>876</v>
      </c>
      <c r="AB1975" s="81"/>
      <c r="AC1975" s="81"/>
      <c r="AD1975" s="81"/>
      <c r="AE1975" s="83"/>
      <c r="AF1975" s="81"/>
      <c r="AG1975" s="81"/>
      <c r="AH1975" s="81"/>
      <c r="AI1975" s="81"/>
      <c r="AJ1975" s="83"/>
      <c r="AK1975" s="81"/>
      <c r="AL1975" s="81"/>
      <c r="AM1975" s="83"/>
      <c r="AN1975" s="80"/>
      <c r="AO1975" s="82" t="n">
        <f aca="false">IF(E1975="","",(AA1975&lt;&gt;"")+(AG1975&lt;&gt;"")+(AL1975&lt;&gt;""))</f>
        <v>1</v>
      </c>
      <c r="AP1975" s="82" t="str">
        <f aca="false">IF(AL1975&lt;&gt;"",AL1975,IF(AG1975&lt;&gt;"",AG1975,IF(AA1975&lt;&gt;"",AA1975,"")))</f>
        <v>A</v>
      </c>
      <c r="AQ1975" s="84" t="str">
        <f aca="false">IF(E1975="","",IF(U1975="","À SOUDER",IF(X1975="","VT EN ATTENTE",IF(X1975="R","VT REJETÉ – À REPRENDRE",IF(AP1975="","À RADIOGRAPHIER",IF(AP1975="A","ACCEPTÉ",IF(AP1975="NX","NX – RT À REFAIRE",IF(IF(AO1975=1,AD1975,IF(AO1975=2,AI1975,""))="A","RÉPARÉ – À RADIOGRAPHIER",IF(IF(AO1975=1,AD1975,IF(AO1975=2,AI1975,""))="R","VT REJETÉ – À REPRENDRE",IF(OR(AP1975="CO",AP1975="NT"),"COUPE – À RESOUDER","À RÉPARER"))))))))))</f>
        <v>ACCEPTÉ</v>
      </c>
      <c r="AR1975" s="82" t="str">
        <f aca="false">IF(AND(ISNUMBER(U1975),OR(AQ1975="À RADIOGRAPHIER",AQ1975="RÉPARÉ – À RADIOGRAPHIER",AQ1975="NX – RT À REFAIRE",AQ1975="À RÉPARER",AQ1975="COUPE – À RESOUDER",AQ1975="VT REJETÉ – À REPRENDRE")),MAX(0,'PROGRAMME RT'!$C$4-U1975),"")</f>
        <v/>
      </c>
      <c r="AS1975" s="82" t="n">
        <f aca="false">IF(AND(OR(AQ1975="À RADIOGRAPHIER",AQ1975="RÉPARÉ – À RADIOGRAPHIER",AQ1975="NX – RT À REFAIRE"),OR('PROGRAMME RT'!$D$5="TOUTES",B1975='PROGRAMME RT'!$D$5)),1,0)</f>
        <v>0</v>
      </c>
      <c r="AT1975" s="82" t="str">
        <f aca="false">IF(AS1975=1,SUM(AS$7:AS1975),"")</f>
        <v/>
      </c>
      <c r="AU1975" s="82" t="n">
        <f aca="false">IF(AND(OR(AA1975="R",AA1975="NX",AA1975="NT",AA1975="CO"),OR('JOINTS DE RÉPARATION'!$D$5="TOUTES",B1975='JOINTS DE RÉPARATION'!$D$5),OR('JOINTS DE RÉPARATION'!$L$4="TOUS",AQ1975&lt;&gt;"ACCEPTÉ")),1,0)</f>
        <v>0</v>
      </c>
      <c r="AV1975" s="82" t="str">
        <f aca="false">IF(AU1975=1,SUM(AU$7:AU1975),"")</f>
        <v/>
      </c>
      <c r="AW1975" s="82" t="str">
        <f aca="false">IF(E1975="","",B1975&amp;"|"&amp;E1975)</f>
        <v>MFD-ISW → MFD-CPF|JN°1519</v>
      </c>
    </row>
    <row r="1976" customFormat="false" ht="74.6" hidden="false" customHeight="false" outlineLevel="0" collapsed="false">
      <c r="A1976" s="79" t="n">
        <f aca="false">IF(E1976="","",ROW()-6)</f>
        <v>1970</v>
      </c>
      <c r="B1976" s="80" t="s">
        <v>110</v>
      </c>
      <c r="C1976" s="81" t="s">
        <v>2396</v>
      </c>
      <c r="D1976" s="81" t="n">
        <v>18</v>
      </c>
      <c r="E1976" s="81" t="s">
        <v>2408</v>
      </c>
      <c r="F1976" s="82" t="str">
        <f aca="false">IF(E1976="","",IF(LEFT(E1976,2)="DJ","DJ","JN"))</f>
        <v>DJ</v>
      </c>
      <c r="G1976" s="81"/>
      <c r="H1976" s="81" t="s">
        <v>871</v>
      </c>
      <c r="I1976" s="81" t="n">
        <v>9.53</v>
      </c>
      <c r="J1976" s="81" t="s">
        <v>872</v>
      </c>
      <c r="K1976" s="81" t="s">
        <v>873</v>
      </c>
      <c r="L1976" s="81" t="n">
        <v>2090080</v>
      </c>
      <c r="M1976" s="81" t="n">
        <v>15421109</v>
      </c>
      <c r="N1976" s="81" t="n">
        <v>11.94</v>
      </c>
      <c r="O1976" s="81" t="n">
        <v>2091860</v>
      </c>
      <c r="P1976" s="81" t="n">
        <v>15421109</v>
      </c>
      <c r="Q1976" s="81" t="n">
        <v>11.94</v>
      </c>
      <c r="R1976" s="81" t="s">
        <v>1135</v>
      </c>
      <c r="S1976" s="81"/>
      <c r="T1976" s="81"/>
      <c r="U1976" s="83" t="n">
        <v>46250</v>
      </c>
      <c r="V1976" s="83" t="n">
        <v>46250</v>
      </c>
      <c r="W1976" s="81" t="s">
        <v>2221</v>
      </c>
      <c r="X1976" s="81" t="s">
        <v>876</v>
      </c>
      <c r="Y1976" s="83" t="n">
        <v>46252</v>
      </c>
      <c r="Z1976" s="81" t="s">
        <v>2222</v>
      </c>
      <c r="AA1976" s="81" t="s">
        <v>876</v>
      </c>
      <c r="AB1976" s="81"/>
      <c r="AC1976" s="81"/>
      <c r="AD1976" s="81"/>
      <c r="AE1976" s="83"/>
      <c r="AF1976" s="81"/>
      <c r="AG1976" s="81"/>
      <c r="AH1976" s="81"/>
      <c r="AI1976" s="81"/>
      <c r="AJ1976" s="83"/>
      <c r="AK1976" s="81"/>
      <c r="AL1976" s="81"/>
      <c r="AM1976" s="83"/>
      <c r="AN1976" s="80"/>
      <c r="AO1976" s="82" t="n">
        <f aca="false">IF(E1976="","",(AA1976&lt;&gt;"")+(AG1976&lt;&gt;"")+(AL1976&lt;&gt;""))</f>
        <v>1</v>
      </c>
      <c r="AP1976" s="82" t="str">
        <f aca="false">IF(AL1976&lt;&gt;"",AL1976,IF(AG1976&lt;&gt;"",AG1976,IF(AA1976&lt;&gt;"",AA1976,"")))</f>
        <v>A</v>
      </c>
      <c r="AQ1976" s="84" t="str">
        <f aca="false">IF(E1976="","",IF(U1976="","À SOUDER",IF(X1976="","VT EN ATTENTE",IF(X1976="R","VT REJETÉ – À REPRENDRE",IF(AP1976="","À RADIOGRAPHIER",IF(AP1976="A","ACCEPTÉ",IF(AP1976="NX","NX – RT À REFAIRE",IF(IF(AO1976=1,AD1976,IF(AO1976=2,AI1976,""))="A","RÉPARÉ – À RADIOGRAPHIER",IF(IF(AO1976=1,AD1976,IF(AO1976=2,AI1976,""))="R","VT REJETÉ – À REPRENDRE",IF(OR(AP1976="CO",AP1976="NT"),"COUPE – À RESOUDER","À RÉPARER"))))))))))</f>
        <v>ACCEPTÉ</v>
      </c>
      <c r="AR1976" s="82" t="str">
        <f aca="false">IF(AND(ISNUMBER(U1976),OR(AQ1976="À RADIOGRAPHIER",AQ1976="RÉPARÉ – À RADIOGRAPHIER",AQ1976="NX – RT À REFAIRE",AQ1976="À RÉPARER",AQ1976="COUPE – À RESOUDER",AQ1976="VT REJETÉ – À REPRENDRE")),MAX(0,'PROGRAMME RT'!$C$4-U1976),"")</f>
        <v/>
      </c>
      <c r="AS1976" s="82" t="n">
        <f aca="false">IF(AND(OR(AQ1976="À RADIOGRAPHIER",AQ1976="RÉPARÉ – À RADIOGRAPHIER",AQ1976="NX – RT À REFAIRE"),OR('PROGRAMME RT'!$D$5="TOUTES",B1976='PROGRAMME RT'!$D$5)),1,0)</f>
        <v>0</v>
      </c>
      <c r="AT1976" s="82" t="str">
        <f aca="false">IF(AS1976=1,SUM(AS$7:AS1976),"")</f>
        <v/>
      </c>
      <c r="AU1976" s="82" t="n">
        <f aca="false">IF(AND(OR(AA1976="R",AA1976="NX",AA1976="NT",AA1976="CO"),OR('JOINTS DE RÉPARATION'!$D$5="TOUTES",B1976='JOINTS DE RÉPARATION'!$D$5),OR('JOINTS DE RÉPARATION'!$L$4="TOUS",AQ1976&lt;&gt;"ACCEPTÉ")),1,0)</f>
        <v>0</v>
      </c>
      <c r="AV1976" s="82" t="str">
        <f aca="false">IF(AU1976=1,SUM(AU$7:AU1976),"")</f>
        <v/>
      </c>
      <c r="AW1976" s="82" t="str">
        <f aca="false">IF(E1976="","",B1976&amp;"|"&amp;E1976)</f>
        <v>MFD-ISW → MFD-CPF|DJ°022</v>
      </c>
    </row>
    <row r="1977" customFormat="false" ht="74.6" hidden="false" customHeight="false" outlineLevel="0" collapsed="false">
      <c r="A1977" s="79" t="n">
        <f aca="false">IF(E1977="","",ROW()-6)</f>
        <v>1971</v>
      </c>
      <c r="B1977" s="80" t="s">
        <v>110</v>
      </c>
      <c r="C1977" s="81" t="s">
        <v>2396</v>
      </c>
      <c r="D1977" s="81" t="n">
        <v>18</v>
      </c>
      <c r="E1977" s="81" t="s">
        <v>2409</v>
      </c>
      <c r="F1977" s="82" t="str">
        <f aca="false">IF(E1977="","",IF(LEFT(E1977,2)="DJ","DJ","JN"))</f>
        <v>JN</v>
      </c>
      <c r="G1977" s="81" t="s">
        <v>1504</v>
      </c>
      <c r="H1977" s="81" t="s">
        <v>871</v>
      </c>
      <c r="I1977" s="81" t="n">
        <v>9.53</v>
      </c>
      <c r="J1977" s="81" t="s">
        <v>872</v>
      </c>
      <c r="K1977" s="81" t="s">
        <v>1861</v>
      </c>
      <c r="L1977" s="81" t="n">
        <v>2091860</v>
      </c>
      <c r="M1977" s="81" t="n">
        <v>15421109</v>
      </c>
      <c r="N1977" s="81" t="n">
        <v>11.94</v>
      </c>
      <c r="O1977" s="81" t="n">
        <v>2084520</v>
      </c>
      <c r="P1977" s="81" t="n">
        <v>15421106</v>
      </c>
      <c r="Q1977" s="81" t="n">
        <v>11.94</v>
      </c>
      <c r="R1977" s="81" t="s">
        <v>1862</v>
      </c>
      <c r="S1977" s="81"/>
      <c r="T1977" s="81"/>
      <c r="U1977" s="83" t="n">
        <v>46287</v>
      </c>
      <c r="V1977" s="83" t="n">
        <v>46287</v>
      </c>
      <c r="W1977" s="81" t="s">
        <v>2346</v>
      </c>
      <c r="X1977" s="81" t="s">
        <v>876</v>
      </c>
      <c r="Y1977" s="83"/>
      <c r="Z1977" s="81"/>
      <c r="AA1977" s="81"/>
      <c r="AB1977" s="81"/>
      <c r="AC1977" s="81"/>
      <c r="AD1977" s="81"/>
      <c r="AE1977" s="83"/>
      <c r="AF1977" s="81"/>
      <c r="AG1977" s="81"/>
      <c r="AH1977" s="81"/>
      <c r="AI1977" s="81"/>
      <c r="AJ1977" s="83"/>
      <c r="AK1977" s="81"/>
      <c r="AL1977" s="81"/>
      <c r="AM1977" s="83"/>
      <c r="AN1977" s="80"/>
      <c r="AO1977" s="82" t="n">
        <f aca="false">IF(E1977="","",(AA1977&lt;&gt;"")+(AG1977&lt;&gt;"")+(AL1977&lt;&gt;""))</f>
        <v>0</v>
      </c>
      <c r="AP1977" s="82" t="str">
        <f aca="false">IF(AL1977&lt;&gt;"",AL1977,IF(AG1977&lt;&gt;"",AG1977,IF(AA1977&lt;&gt;"",AA1977,"")))</f>
        <v/>
      </c>
      <c r="AQ1977" s="84" t="str">
        <f aca="false">IF(E1977="","",IF(U1977="","À SOUDER",IF(X1977="","VT EN ATTENTE",IF(X1977="R","VT REJETÉ – À REPRENDRE",IF(AP1977="","À RADIOGRAPHIER",IF(AP1977="A","ACCEPTÉ",IF(AP1977="NX","NX – RT À REFAIRE",IF(IF(AO1977=1,AD1977,IF(AO1977=2,AI1977,""))="A","RÉPARÉ – À RADIOGRAPHIER",IF(IF(AO1977=1,AD1977,IF(AO1977=2,AI1977,""))="R","VT REJETÉ – À REPRENDRE",IF(OR(AP1977="CO",AP1977="NT"),"COUPE – À RESOUDER","À RÉPARER"))))))))))</f>
        <v>À RADIOGRAPHIER</v>
      </c>
      <c r="AR1977" s="82" t="n">
        <f aca="false">IF(AND(ISNUMBER(U1977),OR(AQ1977="À RADIOGRAPHIER",AQ1977="RÉPARÉ – À RADIOGRAPHIER",AQ1977="NX – RT À REFAIRE",AQ1977="À RÉPARER",AQ1977="COUPE – À RESOUDER",AQ1977="VT REJETÉ – À REPRENDRE")),MAX(0,'PROGRAMME RT'!$C$4-U1977),"")</f>
        <v>6</v>
      </c>
      <c r="AS1977" s="82" t="n">
        <f aca="false">IF(AND(OR(AQ1977="À RADIOGRAPHIER",AQ1977="RÉPARÉ – À RADIOGRAPHIER",AQ1977="NX – RT À REFAIRE"),OR('PROGRAMME RT'!$D$5="TOUTES",B1977='PROGRAMME RT'!$D$5)),1,0)</f>
        <v>1</v>
      </c>
      <c r="AT1977" s="82" t="n">
        <f aca="false">IF(AS1977=1,SUM(AS$7:AS1977),"")</f>
        <v>103</v>
      </c>
      <c r="AU1977" s="82" t="n">
        <f aca="false">IF(AND(OR(AA1977="R",AA1977="NX",AA1977="NT",AA1977="CO"),OR('JOINTS DE RÉPARATION'!$D$5="TOUTES",B1977='JOINTS DE RÉPARATION'!$D$5),OR('JOINTS DE RÉPARATION'!$L$4="TOUS",AQ1977&lt;&gt;"ACCEPTÉ")),1,0)</f>
        <v>0</v>
      </c>
      <c r="AV1977" s="82" t="str">
        <f aca="false">IF(AU1977=1,SUM(AU$7:AU1977),"")</f>
        <v/>
      </c>
      <c r="AW1977" s="82" t="str">
        <f aca="false">IF(E1977="","",B1977&amp;"|"&amp;E1977)</f>
        <v>MFD-ISW → MFD-CPF|JN°1520R</v>
      </c>
    </row>
    <row r="1978" customFormat="false" ht="74.6" hidden="false" customHeight="false" outlineLevel="0" collapsed="false">
      <c r="A1978" s="79" t="n">
        <f aca="false">IF(E1978="","",ROW()-6)</f>
        <v>1972</v>
      </c>
      <c r="B1978" s="80" t="s">
        <v>110</v>
      </c>
      <c r="C1978" s="81" t="s">
        <v>2396</v>
      </c>
      <c r="D1978" s="81" t="n">
        <v>18</v>
      </c>
      <c r="E1978" s="81" t="s">
        <v>2410</v>
      </c>
      <c r="F1978" s="82" t="str">
        <f aca="false">IF(E1978="","",IF(LEFT(E1978,2)="DJ","DJ","JN"))</f>
        <v>DJ</v>
      </c>
      <c r="G1978" s="81"/>
      <c r="H1978" s="81" t="s">
        <v>871</v>
      </c>
      <c r="I1978" s="81" t="n">
        <v>9.53</v>
      </c>
      <c r="J1978" s="81" t="s">
        <v>872</v>
      </c>
      <c r="K1978" s="81" t="s">
        <v>873</v>
      </c>
      <c r="L1978" s="81" t="n">
        <v>2097120</v>
      </c>
      <c r="M1978" s="81" t="n">
        <v>15421112</v>
      </c>
      <c r="N1978" s="81" t="n">
        <v>11.94</v>
      </c>
      <c r="O1978" s="81" t="n">
        <v>2097120</v>
      </c>
      <c r="P1978" s="81" t="n">
        <v>15421112</v>
      </c>
      <c r="Q1978" s="81" t="n">
        <v>11.94</v>
      </c>
      <c r="R1978" s="81" t="s">
        <v>1517</v>
      </c>
      <c r="S1978" s="81"/>
      <c r="T1978" s="81"/>
      <c r="U1978" s="83" t="n">
        <v>46252</v>
      </c>
      <c r="V1978" s="83" t="n">
        <v>46252</v>
      </c>
      <c r="W1978" s="81" t="s">
        <v>2275</v>
      </c>
      <c r="X1978" s="81" t="s">
        <v>876</v>
      </c>
      <c r="Y1978" s="83" t="n">
        <v>46255</v>
      </c>
      <c r="Z1978" s="81" t="s">
        <v>2389</v>
      </c>
      <c r="AA1978" s="81" t="s">
        <v>876</v>
      </c>
      <c r="AB1978" s="81"/>
      <c r="AC1978" s="81"/>
      <c r="AD1978" s="81"/>
      <c r="AE1978" s="83"/>
      <c r="AF1978" s="81"/>
      <c r="AG1978" s="81"/>
      <c r="AH1978" s="81"/>
      <c r="AI1978" s="81"/>
      <c r="AJ1978" s="83"/>
      <c r="AK1978" s="81"/>
      <c r="AL1978" s="81"/>
      <c r="AM1978" s="83"/>
      <c r="AN1978" s="80"/>
      <c r="AO1978" s="82" t="n">
        <f aca="false">IF(E1978="","",(AA1978&lt;&gt;"")+(AG1978&lt;&gt;"")+(AL1978&lt;&gt;""))</f>
        <v>1</v>
      </c>
      <c r="AP1978" s="82" t="str">
        <f aca="false">IF(AL1978&lt;&gt;"",AL1978,IF(AG1978&lt;&gt;"",AG1978,IF(AA1978&lt;&gt;"",AA1978,"")))</f>
        <v>A</v>
      </c>
      <c r="AQ1978" s="84" t="str">
        <f aca="false">IF(E1978="","",IF(U1978="","À SOUDER",IF(X1978="","VT EN ATTENTE",IF(X1978="R","VT REJETÉ – À REPRENDRE",IF(AP1978="","À RADIOGRAPHIER",IF(AP1978="A","ACCEPTÉ",IF(AP1978="NX","NX – RT À REFAIRE",IF(IF(AO1978=1,AD1978,IF(AO1978=2,AI1978,""))="A","RÉPARÉ – À RADIOGRAPHIER",IF(IF(AO1978=1,AD1978,IF(AO1978=2,AI1978,""))="R","VT REJETÉ – À REPRENDRE",IF(OR(AP1978="CO",AP1978="NT"),"COUPE – À RESOUDER","À RÉPARER"))))))))))</f>
        <v>ACCEPTÉ</v>
      </c>
      <c r="AR1978" s="82" t="str">
        <f aca="false">IF(AND(ISNUMBER(U1978),OR(AQ1978="À RADIOGRAPHIER",AQ1978="RÉPARÉ – À RADIOGRAPHIER",AQ1978="NX – RT À REFAIRE",AQ1978="À RÉPARER",AQ1978="COUPE – À RESOUDER",AQ1978="VT REJETÉ – À REPRENDRE")),MAX(0,'PROGRAMME RT'!$C$4-U1978),"")</f>
        <v/>
      </c>
      <c r="AS1978" s="82" t="n">
        <f aca="false">IF(AND(OR(AQ1978="À RADIOGRAPHIER",AQ1978="RÉPARÉ – À RADIOGRAPHIER",AQ1978="NX – RT À REFAIRE"),OR('PROGRAMME RT'!$D$5="TOUTES",B1978='PROGRAMME RT'!$D$5)),1,0)</f>
        <v>0</v>
      </c>
      <c r="AT1978" s="82" t="str">
        <f aca="false">IF(AS1978=1,SUM(AS$7:AS1978),"")</f>
        <v/>
      </c>
      <c r="AU1978" s="82" t="n">
        <f aca="false">IF(AND(OR(AA1978="R",AA1978="NX",AA1978="NT",AA1978="CO"),OR('JOINTS DE RÉPARATION'!$D$5="TOUTES",B1978='JOINTS DE RÉPARATION'!$D$5),OR('JOINTS DE RÉPARATION'!$L$4="TOUS",AQ1978&lt;&gt;"ACCEPTÉ")),1,0)</f>
        <v>0</v>
      </c>
      <c r="AV1978" s="82" t="str">
        <f aca="false">IF(AU1978=1,SUM(AU$7:AU1978),"")</f>
        <v/>
      </c>
      <c r="AW1978" s="82" t="str">
        <f aca="false">IF(E1978="","",B1978&amp;"|"&amp;E1978)</f>
        <v>MFD-ISW → MFD-CPF|DJ°049</v>
      </c>
    </row>
    <row r="1979" customFormat="false" ht="74.6" hidden="false" customHeight="false" outlineLevel="0" collapsed="false">
      <c r="A1979" s="79" t="n">
        <f aca="false">IF(E1979="","",ROW()-6)</f>
        <v>1973</v>
      </c>
      <c r="B1979" s="80" t="s">
        <v>110</v>
      </c>
      <c r="C1979" s="81" t="s">
        <v>2396</v>
      </c>
      <c r="D1979" s="81" t="n">
        <v>18</v>
      </c>
      <c r="E1979" s="81" t="s">
        <v>2411</v>
      </c>
      <c r="F1979" s="82" t="str">
        <f aca="false">IF(E1979="","",IF(LEFT(E1979,2)="DJ","DJ","JN"))</f>
        <v>JN</v>
      </c>
      <c r="G1979" s="81" t="s">
        <v>1504</v>
      </c>
      <c r="H1979" s="81" t="s">
        <v>871</v>
      </c>
      <c r="I1979" s="81" t="n">
        <v>9.53</v>
      </c>
      <c r="J1979" s="81" t="s">
        <v>872</v>
      </c>
      <c r="K1979" s="81" t="s">
        <v>1861</v>
      </c>
      <c r="L1979" s="81" t="n">
        <v>2097120</v>
      </c>
      <c r="M1979" s="81" t="n">
        <v>15421112</v>
      </c>
      <c r="N1979" s="81" t="n">
        <v>11.94</v>
      </c>
      <c r="O1979" s="81" t="n">
        <v>2094690</v>
      </c>
      <c r="P1979" s="81" t="n">
        <v>15421111</v>
      </c>
      <c r="Q1979" s="81" t="n">
        <v>11.94</v>
      </c>
      <c r="R1979" s="81" t="s">
        <v>1862</v>
      </c>
      <c r="S1979" s="81"/>
      <c r="T1979" s="81"/>
      <c r="U1979" s="83" t="n">
        <v>46287</v>
      </c>
      <c r="V1979" s="83" t="n">
        <v>46287</v>
      </c>
      <c r="W1979" s="81" t="s">
        <v>2346</v>
      </c>
      <c r="X1979" s="81" t="s">
        <v>876</v>
      </c>
      <c r="Y1979" s="83"/>
      <c r="Z1979" s="81"/>
      <c r="AA1979" s="81"/>
      <c r="AB1979" s="81"/>
      <c r="AC1979" s="81"/>
      <c r="AD1979" s="81"/>
      <c r="AE1979" s="83"/>
      <c r="AF1979" s="81"/>
      <c r="AG1979" s="81"/>
      <c r="AH1979" s="81"/>
      <c r="AI1979" s="81"/>
      <c r="AJ1979" s="83"/>
      <c r="AK1979" s="81"/>
      <c r="AL1979" s="81"/>
      <c r="AM1979" s="83"/>
      <c r="AN1979" s="80"/>
      <c r="AO1979" s="82" t="n">
        <f aca="false">IF(E1979="","",(AA1979&lt;&gt;"")+(AG1979&lt;&gt;"")+(AL1979&lt;&gt;""))</f>
        <v>0</v>
      </c>
      <c r="AP1979" s="82" t="str">
        <f aca="false">IF(AL1979&lt;&gt;"",AL1979,IF(AG1979&lt;&gt;"",AG1979,IF(AA1979&lt;&gt;"",AA1979,"")))</f>
        <v/>
      </c>
      <c r="AQ1979" s="84" t="str">
        <f aca="false">IF(E1979="","",IF(U1979="","À SOUDER",IF(X1979="","VT EN ATTENTE",IF(X1979="R","VT REJETÉ – À REPRENDRE",IF(AP1979="","À RADIOGRAPHIER",IF(AP1979="A","ACCEPTÉ",IF(AP1979="NX","NX – RT À REFAIRE",IF(IF(AO1979=1,AD1979,IF(AO1979=2,AI1979,""))="A","RÉPARÉ – À RADIOGRAPHIER",IF(IF(AO1979=1,AD1979,IF(AO1979=2,AI1979,""))="R","VT REJETÉ – À REPRENDRE",IF(OR(AP1979="CO",AP1979="NT"),"COUPE – À RESOUDER","À RÉPARER"))))))))))</f>
        <v>À RADIOGRAPHIER</v>
      </c>
      <c r="AR1979" s="82" t="n">
        <f aca="false">IF(AND(ISNUMBER(U1979),OR(AQ1979="À RADIOGRAPHIER",AQ1979="RÉPARÉ – À RADIOGRAPHIER",AQ1979="NX – RT À REFAIRE",AQ1979="À RÉPARER",AQ1979="COUPE – À RESOUDER",AQ1979="VT REJETÉ – À REPRENDRE")),MAX(0,'PROGRAMME RT'!$C$4-U1979),"")</f>
        <v>6</v>
      </c>
      <c r="AS1979" s="82" t="n">
        <f aca="false">IF(AND(OR(AQ1979="À RADIOGRAPHIER",AQ1979="RÉPARÉ – À RADIOGRAPHIER",AQ1979="NX – RT À REFAIRE"),OR('PROGRAMME RT'!$D$5="TOUTES",B1979='PROGRAMME RT'!$D$5)),1,0)</f>
        <v>1</v>
      </c>
      <c r="AT1979" s="82" t="n">
        <f aca="false">IF(AS1979=1,SUM(AS$7:AS1979),"")</f>
        <v>104</v>
      </c>
      <c r="AU1979" s="82" t="n">
        <f aca="false">IF(AND(OR(AA1979="R",AA1979="NX",AA1979="NT",AA1979="CO"),OR('JOINTS DE RÉPARATION'!$D$5="TOUTES",B1979='JOINTS DE RÉPARATION'!$D$5),OR('JOINTS DE RÉPARATION'!$L$4="TOUS",AQ1979&lt;&gt;"ACCEPTÉ")),1,0)</f>
        <v>0</v>
      </c>
      <c r="AV1979" s="82" t="str">
        <f aca="false">IF(AU1979=1,SUM(AU$7:AU1979),"")</f>
        <v/>
      </c>
      <c r="AW1979" s="82" t="str">
        <f aca="false">IF(E1979="","",B1979&amp;"|"&amp;E1979)</f>
        <v>MFD-ISW → MFD-CPF|JN°1521R</v>
      </c>
    </row>
    <row r="1980" customFormat="false" ht="74.6" hidden="false" customHeight="false" outlineLevel="0" collapsed="false">
      <c r="A1980" s="79" t="n">
        <f aca="false">IF(E1980="","",ROW()-6)</f>
        <v>1974</v>
      </c>
      <c r="B1980" s="80" t="s">
        <v>110</v>
      </c>
      <c r="C1980" s="81" t="s">
        <v>2396</v>
      </c>
      <c r="D1980" s="81" t="n">
        <v>18</v>
      </c>
      <c r="E1980" s="81" t="s">
        <v>2412</v>
      </c>
      <c r="F1980" s="82" t="str">
        <f aca="false">IF(E1980="","",IF(LEFT(E1980,2)="DJ","DJ","JN"))</f>
        <v>DJ</v>
      </c>
      <c r="G1980" s="81"/>
      <c r="H1980" s="81" t="s">
        <v>871</v>
      </c>
      <c r="I1980" s="81" t="n">
        <v>9.53</v>
      </c>
      <c r="J1980" s="81" t="s">
        <v>872</v>
      </c>
      <c r="K1980" s="81" t="s">
        <v>873</v>
      </c>
      <c r="L1980" s="81" t="n">
        <v>2094690</v>
      </c>
      <c r="M1980" s="81" t="n">
        <v>15421111</v>
      </c>
      <c r="N1980" s="81" t="n">
        <v>11.94</v>
      </c>
      <c r="O1980" s="81" t="n">
        <v>2094810</v>
      </c>
      <c r="P1980" s="81" t="n">
        <v>15421111</v>
      </c>
      <c r="Q1980" s="81" t="n">
        <v>11.94</v>
      </c>
      <c r="R1980" s="81" t="s">
        <v>963</v>
      </c>
      <c r="S1980" s="81"/>
      <c r="T1980" s="81"/>
      <c r="U1980" s="83" t="n">
        <v>46256</v>
      </c>
      <c r="V1980" s="83" t="n">
        <v>46256</v>
      </c>
      <c r="W1980" s="81" t="s">
        <v>1565</v>
      </c>
      <c r="X1980" s="81" t="s">
        <v>876</v>
      </c>
      <c r="Y1980" s="83" t="n">
        <v>46257</v>
      </c>
      <c r="Z1980" s="81" t="s">
        <v>2300</v>
      </c>
      <c r="AA1980" s="81" t="s">
        <v>876</v>
      </c>
      <c r="AB1980" s="81"/>
      <c r="AC1980" s="81"/>
      <c r="AD1980" s="81"/>
      <c r="AE1980" s="83"/>
      <c r="AF1980" s="81"/>
      <c r="AG1980" s="81"/>
      <c r="AH1980" s="81"/>
      <c r="AI1980" s="81"/>
      <c r="AJ1980" s="83"/>
      <c r="AK1980" s="81"/>
      <c r="AL1980" s="81"/>
      <c r="AM1980" s="83"/>
      <c r="AN1980" s="80"/>
      <c r="AO1980" s="82" t="n">
        <f aca="false">IF(E1980="","",(AA1980&lt;&gt;"")+(AG1980&lt;&gt;"")+(AL1980&lt;&gt;""))</f>
        <v>1</v>
      </c>
      <c r="AP1980" s="82" t="str">
        <f aca="false">IF(AL1980&lt;&gt;"",AL1980,IF(AG1980&lt;&gt;"",AG1980,IF(AA1980&lt;&gt;"",AA1980,"")))</f>
        <v>A</v>
      </c>
      <c r="AQ1980" s="84" t="str">
        <f aca="false">IF(E1980="","",IF(U1980="","À SOUDER",IF(X1980="","VT EN ATTENTE",IF(X1980="R","VT REJETÉ – À REPRENDRE",IF(AP1980="","À RADIOGRAPHIER",IF(AP1980="A","ACCEPTÉ",IF(AP1980="NX","NX – RT À REFAIRE",IF(IF(AO1980=1,AD1980,IF(AO1980=2,AI1980,""))="A","RÉPARÉ – À RADIOGRAPHIER",IF(IF(AO1980=1,AD1980,IF(AO1980=2,AI1980,""))="R","VT REJETÉ – À REPRENDRE",IF(OR(AP1980="CO",AP1980="NT"),"COUPE – À RESOUDER","À RÉPARER"))))))))))</f>
        <v>ACCEPTÉ</v>
      </c>
      <c r="AR1980" s="82" t="str">
        <f aca="false">IF(AND(ISNUMBER(U1980),OR(AQ1980="À RADIOGRAPHIER",AQ1980="RÉPARÉ – À RADIOGRAPHIER",AQ1980="NX – RT À REFAIRE",AQ1980="À RÉPARER",AQ1980="COUPE – À RESOUDER",AQ1980="VT REJETÉ – À REPRENDRE")),MAX(0,'PROGRAMME RT'!$C$4-U1980),"")</f>
        <v/>
      </c>
      <c r="AS1980" s="82" t="n">
        <f aca="false">IF(AND(OR(AQ1980="À RADIOGRAPHIER",AQ1980="RÉPARÉ – À RADIOGRAPHIER",AQ1980="NX – RT À REFAIRE"),OR('PROGRAMME RT'!$D$5="TOUTES",B1980='PROGRAMME RT'!$D$5)),1,0)</f>
        <v>0</v>
      </c>
      <c r="AT1980" s="82" t="str">
        <f aca="false">IF(AS1980=1,SUM(AS$7:AS1980),"")</f>
        <v/>
      </c>
      <c r="AU1980" s="82" t="n">
        <f aca="false">IF(AND(OR(AA1980="R",AA1980="NX",AA1980="NT",AA1980="CO"),OR('JOINTS DE RÉPARATION'!$D$5="TOUTES",B1980='JOINTS DE RÉPARATION'!$D$5),OR('JOINTS DE RÉPARATION'!$L$4="TOUS",AQ1980&lt;&gt;"ACCEPTÉ")),1,0)</f>
        <v>0</v>
      </c>
      <c r="AV1980" s="82" t="str">
        <f aca="false">IF(AU1980=1,SUM(AU$7:AU1980),"")</f>
        <v/>
      </c>
      <c r="AW1980" s="82" t="str">
        <f aca="false">IF(E1980="","",B1980&amp;"|"&amp;E1980)</f>
        <v>MFD-ISW → MFD-CPF|DJ°082</v>
      </c>
    </row>
    <row r="1981" customFormat="false" ht="74.6" hidden="false" customHeight="false" outlineLevel="0" collapsed="false">
      <c r="A1981" s="79" t="n">
        <f aca="false">IF(E1981="","",ROW()-6)</f>
        <v>1975</v>
      </c>
      <c r="B1981" s="80" t="s">
        <v>110</v>
      </c>
      <c r="C1981" s="81" t="s">
        <v>2396</v>
      </c>
      <c r="D1981" s="81" t="n">
        <v>18</v>
      </c>
      <c r="E1981" s="81" t="s">
        <v>2413</v>
      </c>
      <c r="F1981" s="82" t="str">
        <f aca="false">IF(E1981="","",IF(LEFT(E1981,2)="DJ","DJ","JN"))</f>
        <v>JN</v>
      </c>
      <c r="G1981" s="81" t="s">
        <v>1504</v>
      </c>
      <c r="H1981" s="81" t="s">
        <v>871</v>
      </c>
      <c r="I1981" s="81" t="n">
        <v>9.53</v>
      </c>
      <c r="J1981" s="81" t="s">
        <v>872</v>
      </c>
      <c r="K1981" s="81" t="s">
        <v>879</v>
      </c>
      <c r="L1981" s="81" t="n">
        <v>2090830</v>
      </c>
      <c r="M1981" s="81" t="n">
        <v>15421111</v>
      </c>
      <c r="N1981" s="81" t="n">
        <v>11.94</v>
      </c>
      <c r="O1981" s="81" t="n">
        <v>2090830</v>
      </c>
      <c r="P1981" s="81" t="n">
        <v>15421111</v>
      </c>
      <c r="Q1981" s="81" t="n">
        <v>11.94</v>
      </c>
      <c r="R1981" s="81" t="s">
        <v>2273</v>
      </c>
      <c r="S1981" s="81"/>
      <c r="T1981" s="81"/>
      <c r="U1981" s="83" t="n">
        <v>46268</v>
      </c>
      <c r="V1981" s="83" t="n">
        <v>46268</v>
      </c>
      <c r="W1981" s="81" t="s">
        <v>2403</v>
      </c>
      <c r="X1981" s="81" t="s">
        <v>876</v>
      </c>
      <c r="Y1981" s="83" t="n">
        <v>46276</v>
      </c>
      <c r="Z1981" s="81" t="s">
        <v>2376</v>
      </c>
      <c r="AA1981" s="81" t="s">
        <v>876</v>
      </c>
      <c r="AB1981" s="81"/>
      <c r="AC1981" s="81"/>
      <c r="AD1981" s="81"/>
      <c r="AE1981" s="83"/>
      <c r="AF1981" s="81"/>
      <c r="AG1981" s="81"/>
      <c r="AH1981" s="81"/>
      <c r="AI1981" s="81"/>
      <c r="AJ1981" s="83"/>
      <c r="AK1981" s="81"/>
      <c r="AL1981" s="81"/>
      <c r="AM1981" s="83"/>
      <c r="AN1981" s="80"/>
      <c r="AO1981" s="82" t="n">
        <f aca="false">IF(E1981="","",(AA1981&lt;&gt;"")+(AG1981&lt;&gt;"")+(AL1981&lt;&gt;""))</f>
        <v>1</v>
      </c>
      <c r="AP1981" s="82" t="str">
        <f aca="false">IF(AL1981&lt;&gt;"",AL1981,IF(AG1981&lt;&gt;"",AG1981,IF(AA1981&lt;&gt;"",AA1981,"")))</f>
        <v>A</v>
      </c>
      <c r="AQ1981" s="84" t="str">
        <f aca="false">IF(E1981="","",IF(U1981="","À SOUDER",IF(X1981="","VT EN ATTENTE",IF(X1981="R","VT REJETÉ – À REPRENDRE",IF(AP1981="","À RADIOGRAPHIER",IF(AP1981="A","ACCEPTÉ",IF(AP1981="NX","NX – RT À REFAIRE",IF(IF(AO1981=1,AD1981,IF(AO1981=2,AI1981,""))="A","RÉPARÉ – À RADIOGRAPHIER",IF(IF(AO1981=1,AD1981,IF(AO1981=2,AI1981,""))="R","VT REJETÉ – À REPRENDRE",IF(OR(AP1981="CO",AP1981="NT"),"COUPE – À RESOUDER","À RÉPARER"))))))))))</f>
        <v>ACCEPTÉ</v>
      </c>
      <c r="AR1981" s="82" t="str">
        <f aca="false">IF(AND(ISNUMBER(U1981),OR(AQ1981="À RADIOGRAPHIER",AQ1981="RÉPARÉ – À RADIOGRAPHIER",AQ1981="NX – RT À REFAIRE",AQ1981="À RÉPARER",AQ1981="COUPE – À RESOUDER",AQ1981="VT REJETÉ – À REPRENDRE")),MAX(0,'PROGRAMME RT'!$C$4-U1981),"")</f>
        <v/>
      </c>
      <c r="AS1981" s="82" t="n">
        <f aca="false">IF(AND(OR(AQ1981="À RADIOGRAPHIER",AQ1981="RÉPARÉ – À RADIOGRAPHIER",AQ1981="NX – RT À REFAIRE"),OR('PROGRAMME RT'!$D$5="TOUTES",B1981='PROGRAMME RT'!$D$5)),1,0)</f>
        <v>0</v>
      </c>
      <c r="AT1981" s="82" t="str">
        <f aca="false">IF(AS1981=1,SUM(AS$7:AS1981),"")</f>
        <v/>
      </c>
      <c r="AU1981" s="82" t="n">
        <f aca="false">IF(AND(OR(AA1981="R",AA1981="NX",AA1981="NT",AA1981="CO"),OR('JOINTS DE RÉPARATION'!$D$5="TOUTES",B1981='JOINTS DE RÉPARATION'!$D$5),OR('JOINTS DE RÉPARATION'!$L$4="TOUS",AQ1981&lt;&gt;"ACCEPTÉ")),1,0)</f>
        <v>0</v>
      </c>
      <c r="AV1981" s="82" t="str">
        <f aca="false">IF(AU1981=1,SUM(AU$7:AU1981),"")</f>
        <v/>
      </c>
      <c r="AW1981" s="82" t="str">
        <f aca="false">IF(E1981="","",B1981&amp;"|"&amp;E1981)</f>
        <v>MFD-ISW → MFD-CPF|JN°1522</v>
      </c>
    </row>
    <row r="1982" customFormat="false" ht="74.6" hidden="false" customHeight="false" outlineLevel="0" collapsed="false">
      <c r="A1982" s="79" t="n">
        <f aca="false">IF(E1982="","",ROW()-6)</f>
        <v>1976</v>
      </c>
      <c r="B1982" s="80" t="s">
        <v>110</v>
      </c>
      <c r="C1982" s="81" t="s">
        <v>2396</v>
      </c>
      <c r="D1982" s="81" t="n">
        <v>18</v>
      </c>
      <c r="E1982" s="81" t="s">
        <v>2414</v>
      </c>
      <c r="F1982" s="82" t="str">
        <f aca="false">IF(E1982="","",IF(LEFT(E1982,2)="DJ","DJ","JN"))</f>
        <v>DJ</v>
      </c>
      <c r="G1982" s="81"/>
      <c r="H1982" s="81" t="s">
        <v>871</v>
      </c>
      <c r="I1982" s="81" t="n">
        <v>9.53</v>
      </c>
      <c r="J1982" s="81" t="s">
        <v>872</v>
      </c>
      <c r="K1982" s="81" t="s">
        <v>873</v>
      </c>
      <c r="L1982" s="81" t="n">
        <v>2081440</v>
      </c>
      <c r="M1982" s="81" t="n">
        <v>15421103</v>
      </c>
      <c r="N1982" s="81" t="n">
        <v>11.94</v>
      </c>
      <c r="O1982" s="81" t="n">
        <v>2081440</v>
      </c>
      <c r="P1982" s="81" t="n">
        <v>15421103</v>
      </c>
      <c r="Q1982" s="81" t="n">
        <v>11.94</v>
      </c>
      <c r="R1982" s="81" t="s">
        <v>1147</v>
      </c>
      <c r="S1982" s="81"/>
      <c r="T1982" s="81"/>
      <c r="U1982" s="83" t="n">
        <v>46256</v>
      </c>
      <c r="V1982" s="83" t="n">
        <v>46256</v>
      </c>
      <c r="W1982" s="81" t="s">
        <v>1565</v>
      </c>
      <c r="X1982" s="81" t="s">
        <v>876</v>
      </c>
      <c r="Y1982" s="83" t="n">
        <v>46257</v>
      </c>
      <c r="Z1982" s="81" t="s">
        <v>2300</v>
      </c>
      <c r="AA1982" s="81" t="s">
        <v>876</v>
      </c>
      <c r="AB1982" s="81"/>
      <c r="AC1982" s="81"/>
      <c r="AD1982" s="81"/>
      <c r="AE1982" s="83"/>
      <c r="AF1982" s="81"/>
      <c r="AG1982" s="81"/>
      <c r="AH1982" s="81"/>
      <c r="AI1982" s="81"/>
      <c r="AJ1982" s="83"/>
      <c r="AK1982" s="81"/>
      <c r="AL1982" s="81"/>
      <c r="AM1982" s="83"/>
      <c r="AN1982" s="80"/>
      <c r="AO1982" s="82" t="n">
        <f aca="false">IF(E1982="","",(AA1982&lt;&gt;"")+(AG1982&lt;&gt;"")+(AL1982&lt;&gt;""))</f>
        <v>1</v>
      </c>
      <c r="AP1982" s="82" t="str">
        <f aca="false">IF(AL1982&lt;&gt;"",AL1982,IF(AG1982&lt;&gt;"",AG1982,IF(AA1982&lt;&gt;"",AA1982,"")))</f>
        <v>A</v>
      </c>
      <c r="AQ1982" s="84" t="str">
        <f aca="false">IF(E1982="","",IF(U1982="","À SOUDER",IF(X1982="","VT EN ATTENTE",IF(X1982="R","VT REJETÉ – À REPRENDRE",IF(AP1982="","À RADIOGRAPHIER",IF(AP1982="A","ACCEPTÉ",IF(AP1982="NX","NX – RT À REFAIRE",IF(IF(AO1982=1,AD1982,IF(AO1982=2,AI1982,""))="A","RÉPARÉ – À RADIOGRAPHIER",IF(IF(AO1982=1,AD1982,IF(AO1982=2,AI1982,""))="R","VT REJETÉ – À REPRENDRE",IF(OR(AP1982="CO",AP1982="NT"),"COUPE – À RESOUDER","À RÉPARER"))))))))))</f>
        <v>ACCEPTÉ</v>
      </c>
      <c r="AR1982" s="82" t="str">
        <f aca="false">IF(AND(ISNUMBER(U1982),OR(AQ1982="À RADIOGRAPHIER",AQ1982="RÉPARÉ – À RADIOGRAPHIER",AQ1982="NX – RT À REFAIRE",AQ1982="À RÉPARER",AQ1982="COUPE – À RESOUDER",AQ1982="VT REJETÉ – À REPRENDRE")),MAX(0,'PROGRAMME RT'!$C$4-U1982),"")</f>
        <v/>
      </c>
      <c r="AS1982" s="82" t="n">
        <f aca="false">IF(AND(OR(AQ1982="À RADIOGRAPHIER",AQ1982="RÉPARÉ – À RADIOGRAPHIER",AQ1982="NX – RT À REFAIRE"),OR('PROGRAMME RT'!$D$5="TOUTES",B1982='PROGRAMME RT'!$D$5)),1,0)</f>
        <v>0</v>
      </c>
      <c r="AT1982" s="82" t="str">
        <f aca="false">IF(AS1982=1,SUM(AS$7:AS1982),"")</f>
        <v/>
      </c>
      <c r="AU1982" s="82" t="n">
        <f aca="false">IF(AND(OR(AA1982="R",AA1982="NX",AA1982="NT",AA1982="CO"),OR('JOINTS DE RÉPARATION'!$D$5="TOUTES",B1982='JOINTS DE RÉPARATION'!$D$5),OR('JOINTS DE RÉPARATION'!$L$4="TOUS",AQ1982&lt;&gt;"ACCEPTÉ")),1,0)</f>
        <v>0</v>
      </c>
      <c r="AV1982" s="82" t="str">
        <f aca="false">IF(AU1982=1,SUM(AU$7:AU1982),"")</f>
        <v/>
      </c>
      <c r="AW1982" s="82" t="str">
        <f aca="false">IF(E1982="","",B1982&amp;"|"&amp;E1982)</f>
        <v>MFD-ISW → MFD-CPF|DJ°083</v>
      </c>
    </row>
    <row r="1983" customFormat="false" ht="74.6" hidden="false" customHeight="false" outlineLevel="0" collapsed="false">
      <c r="A1983" s="79" t="n">
        <f aca="false">IF(E1983="","",ROW()-6)</f>
        <v>1977</v>
      </c>
      <c r="B1983" s="80" t="s">
        <v>110</v>
      </c>
      <c r="C1983" s="81" t="s">
        <v>926</v>
      </c>
      <c r="D1983" s="81" t="n">
        <v>18</v>
      </c>
      <c r="E1983" s="81" t="s">
        <v>2415</v>
      </c>
      <c r="F1983" s="82" t="str">
        <f aca="false">IF(E1983="","",IF(LEFT(E1983,2)="DJ","DJ","JN"))</f>
        <v>JN</v>
      </c>
      <c r="G1983" s="81"/>
      <c r="H1983" s="81"/>
      <c r="I1983" s="81"/>
      <c r="J1983" s="81"/>
      <c r="K1983" s="81"/>
      <c r="L1983" s="81" t="n">
        <v>2081440</v>
      </c>
      <c r="M1983" s="81" t="n">
        <v>15421103</v>
      </c>
      <c r="N1983" s="81" t="n">
        <v>11.94</v>
      </c>
      <c r="O1983" s="81"/>
      <c r="P1983" s="81"/>
      <c r="Q1983" s="81"/>
      <c r="R1983" s="81"/>
      <c r="S1983" s="81"/>
      <c r="T1983" s="81"/>
      <c r="U1983" s="83"/>
      <c r="V1983" s="83"/>
      <c r="W1983" s="81"/>
      <c r="X1983" s="81"/>
      <c r="Y1983" s="83"/>
      <c r="Z1983" s="81"/>
      <c r="AA1983" s="81"/>
      <c r="AB1983" s="81"/>
      <c r="AC1983" s="81"/>
      <c r="AD1983" s="81"/>
      <c r="AE1983" s="83"/>
      <c r="AF1983" s="81"/>
      <c r="AG1983" s="81"/>
      <c r="AH1983" s="81"/>
      <c r="AI1983" s="81"/>
      <c r="AJ1983" s="83"/>
      <c r="AK1983" s="81"/>
      <c r="AL1983" s="81"/>
      <c r="AM1983" s="83"/>
      <c r="AN1983" s="80"/>
      <c r="AO1983" s="82" t="n">
        <f aca="false">IF(E1983="","",(AA1983&lt;&gt;"")+(AG1983&lt;&gt;"")+(AL1983&lt;&gt;""))</f>
        <v>0</v>
      </c>
      <c r="AP1983" s="82" t="str">
        <f aca="false">IF(AL1983&lt;&gt;"",AL1983,IF(AG1983&lt;&gt;"",AG1983,IF(AA1983&lt;&gt;"",AA1983,"")))</f>
        <v/>
      </c>
      <c r="AQ1983" s="84" t="str">
        <f aca="false">IF(E1983="","",IF(U1983="","À SOUDER",IF(X1983="","VT EN ATTENTE",IF(X1983="R","VT REJETÉ – À REPRENDRE",IF(AP1983="","À RADIOGRAPHIER",IF(AP1983="A","ACCEPTÉ",IF(AP1983="NX","NX – RT À REFAIRE",IF(IF(AO1983=1,AD1983,IF(AO1983=2,AI1983,""))="A","RÉPARÉ – À RADIOGRAPHIER",IF(IF(AO1983=1,AD1983,IF(AO1983=2,AI1983,""))="R","VT REJETÉ – À REPRENDRE",IF(OR(AP1983="CO",AP1983="NT"),"COUPE – À RESOUDER","À RÉPARER"))))))))))</f>
        <v>À SOUDER</v>
      </c>
      <c r="AR1983" s="82" t="str">
        <f aca="false">IF(AND(ISNUMBER(U1983),OR(AQ1983="À RADIOGRAPHIER",AQ1983="RÉPARÉ – À RADIOGRAPHIER",AQ1983="NX – RT À REFAIRE",AQ1983="À RÉPARER",AQ1983="COUPE – À RESOUDER",AQ1983="VT REJETÉ – À REPRENDRE")),MAX(0,'PROGRAMME RT'!$C$4-U1983),"")</f>
        <v/>
      </c>
      <c r="AS1983" s="82" t="n">
        <f aca="false">IF(AND(OR(AQ1983="À RADIOGRAPHIER",AQ1983="RÉPARÉ – À RADIOGRAPHIER",AQ1983="NX – RT À REFAIRE"),OR('PROGRAMME RT'!$D$5="TOUTES",B1983='PROGRAMME RT'!$D$5)),1,0)</f>
        <v>0</v>
      </c>
      <c r="AT1983" s="82" t="str">
        <f aca="false">IF(AS1983=1,SUM(AS$7:AS1983),"")</f>
        <v/>
      </c>
      <c r="AU1983" s="82" t="n">
        <f aca="false">IF(AND(OR(AA1983="R",AA1983="NX",AA1983="NT",AA1983="CO"),OR('JOINTS DE RÉPARATION'!$D$5="TOUTES",B1983='JOINTS DE RÉPARATION'!$D$5),OR('JOINTS DE RÉPARATION'!$L$4="TOUS",AQ1983&lt;&gt;"ACCEPTÉ")),1,0)</f>
        <v>0</v>
      </c>
      <c r="AV1983" s="82" t="str">
        <f aca="false">IF(AU1983=1,SUM(AU$7:AU1983),"")</f>
        <v/>
      </c>
      <c r="AW1983" s="82" t="str">
        <f aca="false">IF(E1983="","",B1983&amp;"|"&amp;E1983)</f>
        <v>MFD-ISW → MFD-CPF|JN°1523</v>
      </c>
    </row>
    <row r="1984" customFormat="false" ht="74.6" hidden="false" customHeight="false" outlineLevel="0" collapsed="false">
      <c r="A1984" s="79" t="n">
        <f aca="false">IF(E1984="","",ROW()-6)</f>
        <v>1978</v>
      </c>
      <c r="B1984" s="80" t="s">
        <v>110</v>
      </c>
      <c r="C1984" s="81" t="s">
        <v>926</v>
      </c>
      <c r="D1984" s="81" t="n">
        <v>18</v>
      </c>
      <c r="E1984" s="81" t="s">
        <v>2416</v>
      </c>
      <c r="F1984" s="82" t="str">
        <f aca="false">IF(E1984="","",IF(LEFT(E1984,2)="DJ","DJ","JN"))</f>
        <v>JN</v>
      </c>
      <c r="G1984" s="81"/>
      <c r="H1984" s="81"/>
      <c r="I1984" s="81"/>
      <c r="J1984" s="81"/>
      <c r="K1984" s="81"/>
      <c r="L1984" s="81" t="s">
        <v>2417</v>
      </c>
      <c r="M1984" s="81"/>
      <c r="N1984" s="81"/>
      <c r="O1984" s="81"/>
      <c r="P1984" s="81"/>
      <c r="Q1984" s="81"/>
      <c r="R1984" s="81"/>
      <c r="S1984" s="81"/>
      <c r="T1984" s="81"/>
      <c r="U1984" s="83"/>
      <c r="V1984" s="83"/>
      <c r="W1984" s="81"/>
      <c r="X1984" s="81"/>
      <c r="Y1984" s="83"/>
      <c r="Z1984" s="81"/>
      <c r="AA1984" s="81"/>
      <c r="AB1984" s="81"/>
      <c r="AC1984" s="81"/>
      <c r="AD1984" s="81"/>
      <c r="AE1984" s="83"/>
      <c r="AF1984" s="81"/>
      <c r="AG1984" s="81"/>
      <c r="AH1984" s="81"/>
      <c r="AI1984" s="81"/>
      <c r="AJ1984" s="83"/>
      <c r="AK1984" s="81"/>
      <c r="AL1984" s="81"/>
      <c r="AM1984" s="83"/>
      <c r="AN1984" s="80"/>
      <c r="AO1984" s="82" t="n">
        <f aca="false">IF(E1984="","",(AA1984&lt;&gt;"")+(AG1984&lt;&gt;"")+(AL1984&lt;&gt;""))</f>
        <v>0</v>
      </c>
      <c r="AP1984" s="82" t="str">
        <f aca="false">IF(AL1984&lt;&gt;"",AL1984,IF(AG1984&lt;&gt;"",AG1984,IF(AA1984&lt;&gt;"",AA1984,"")))</f>
        <v/>
      </c>
      <c r="AQ1984" s="84" t="str">
        <f aca="false">IF(E1984="","",IF(U1984="","À SOUDER",IF(X1984="","VT EN ATTENTE",IF(X1984="R","VT REJETÉ – À REPRENDRE",IF(AP1984="","À RADIOGRAPHIER",IF(AP1984="A","ACCEPTÉ",IF(AP1984="NX","NX – RT À REFAIRE",IF(IF(AO1984=1,AD1984,IF(AO1984=2,AI1984,""))="A","RÉPARÉ – À RADIOGRAPHIER",IF(IF(AO1984=1,AD1984,IF(AO1984=2,AI1984,""))="R","VT REJETÉ – À REPRENDRE",IF(OR(AP1984="CO",AP1984="NT"),"COUPE – À RESOUDER","À RÉPARER"))))))))))</f>
        <v>À SOUDER</v>
      </c>
      <c r="AR1984" s="82" t="str">
        <f aca="false">IF(AND(ISNUMBER(U1984),OR(AQ1984="À RADIOGRAPHIER",AQ1984="RÉPARÉ – À RADIOGRAPHIER",AQ1984="NX – RT À REFAIRE",AQ1984="À RÉPARER",AQ1984="COUPE – À RESOUDER",AQ1984="VT REJETÉ – À REPRENDRE")),MAX(0,'PROGRAMME RT'!$C$4-U1984),"")</f>
        <v/>
      </c>
      <c r="AS1984" s="82" t="n">
        <f aca="false">IF(AND(OR(AQ1984="À RADIOGRAPHIER",AQ1984="RÉPARÉ – À RADIOGRAPHIER",AQ1984="NX – RT À REFAIRE"),OR('PROGRAMME RT'!$D$5="TOUTES",B1984='PROGRAMME RT'!$D$5)),1,0)</f>
        <v>0</v>
      </c>
      <c r="AT1984" s="82" t="str">
        <f aca="false">IF(AS1984=1,SUM(AS$7:AS1984),"")</f>
        <v/>
      </c>
      <c r="AU1984" s="82" t="n">
        <f aca="false">IF(AND(OR(AA1984="R",AA1984="NX",AA1984="NT",AA1984="CO"),OR('JOINTS DE RÉPARATION'!$D$5="TOUTES",B1984='JOINTS DE RÉPARATION'!$D$5),OR('JOINTS DE RÉPARATION'!$L$4="TOUS",AQ1984&lt;&gt;"ACCEPTÉ")),1,0)</f>
        <v>0</v>
      </c>
      <c r="AV1984" s="82" t="str">
        <f aca="false">IF(AU1984=1,SUM(AU$7:AU1984),"")</f>
        <v/>
      </c>
      <c r="AW1984" s="82" t="str">
        <f aca="false">IF(E1984="","",B1984&amp;"|"&amp;E1984)</f>
        <v>MFD-ISW → MFD-CPF|JN°1524</v>
      </c>
    </row>
    <row r="1985" customFormat="false" ht="74.6" hidden="false" customHeight="false" outlineLevel="0" collapsed="false">
      <c r="A1985" s="79" t="n">
        <f aca="false">IF(E1985="","",ROW()-6)</f>
        <v>1979</v>
      </c>
      <c r="B1985" s="80" t="s">
        <v>110</v>
      </c>
      <c r="C1985" s="81" t="s">
        <v>926</v>
      </c>
      <c r="D1985" s="81" t="n">
        <v>18</v>
      </c>
      <c r="E1985" s="81" t="s">
        <v>2418</v>
      </c>
      <c r="F1985" s="82" t="str">
        <f aca="false">IF(E1985="","",IF(LEFT(E1985,2)="DJ","DJ","JN"))</f>
        <v>JN</v>
      </c>
      <c r="G1985" s="81"/>
      <c r="H1985" s="81"/>
      <c r="I1985" s="81"/>
      <c r="J1985" s="81"/>
      <c r="K1985" s="81"/>
      <c r="L1985" s="81" t="s">
        <v>2417</v>
      </c>
      <c r="M1985" s="81"/>
      <c r="N1985" s="81"/>
      <c r="O1985" s="81"/>
      <c r="P1985" s="81"/>
      <c r="Q1985" s="81"/>
      <c r="R1985" s="81"/>
      <c r="S1985" s="81"/>
      <c r="T1985" s="81"/>
      <c r="U1985" s="83"/>
      <c r="V1985" s="83"/>
      <c r="W1985" s="81"/>
      <c r="X1985" s="81"/>
      <c r="Y1985" s="83"/>
      <c r="Z1985" s="81"/>
      <c r="AA1985" s="81"/>
      <c r="AB1985" s="81"/>
      <c r="AC1985" s="81"/>
      <c r="AD1985" s="81"/>
      <c r="AE1985" s="83"/>
      <c r="AF1985" s="81"/>
      <c r="AG1985" s="81"/>
      <c r="AH1985" s="81"/>
      <c r="AI1985" s="81"/>
      <c r="AJ1985" s="83"/>
      <c r="AK1985" s="81"/>
      <c r="AL1985" s="81"/>
      <c r="AM1985" s="83"/>
      <c r="AN1985" s="80"/>
      <c r="AO1985" s="82" t="n">
        <f aca="false">IF(E1985="","",(AA1985&lt;&gt;"")+(AG1985&lt;&gt;"")+(AL1985&lt;&gt;""))</f>
        <v>0</v>
      </c>
      <c r="AP1985" s="82" t="str">
        <f aca="false">IF(AL1985&lt;&gt;"",AL1985,IF(AG1985&lt;&gt;"",AG1985,IF(AA1985&lt;&gt;"",AA1985,"")))</f>
        <v/>
      </c>
      <c r="AQ1985" s="84" t="str">
        <f aca="false">IF(E1985="","",IF(U1985="","À SOUDER",IF(X1985="","VT EN ATTENTE",IF(X1985="R","VT REJETÉ – À REPRENDRE",IF(AP1985="","À RADIOGRAPHIER",IF(AP1985="A","ACCEPTÉ",IF(AP1985="NX","NX – RT À REFAIRE",IF(IF(AO1985=1,AD1985,IF(AO1985=2,AI1985,""))="A","RÉPARÉ – À RADIOGRAPHIER",IF(IF(AO1985=1,AD1985,IF(AO1985=2,AI1985,""))="R","VT REJETÉ – À REPRENDRE",IF(OR(AP1985="CO",AP1985="NT"),"COUPE – À RESOUDER","À RÉPARER"))))))))))</f>
        <v>À SOUDER</v>
      </c>
      <c r="AR1985" s="82" t="str">
        <f aca="false">IF(AND(ISNUMBER(U1985),OR(AQ1985="À RADIOGRAPHIER",AQ1985="RÉPARÉ – À RADIOGRAPHIER",AQ1985="NX – RT À REFAIRE",AQ1985="À RÉPARER",AQ1985="COUPE – À RESOUDER",AQ1985="VT REJETÉ – À REPRENDRE")),MAX(0,'PROGRAMME RT'!$C$4-U1985),"")</f>
        <v/>
      </c>
      <c r="AS1985" s="82" t="n">
        <f aca="false">IF(AND(OR(AQ1985="À RADIOGRAPHIER",AQ1985="RÉPARÉ – À RADIOGRAPHIER",AQ1985="NX – RT À REFAIRE"),OR('PROGRAMME RT'!$D$5="TOUTES",B1985='PROGRAMME RT'!$D$5)),1,0)</f>
        <v>0</v>
      </c>
      <c r="AT1985" s="82" t="str">
        <f aca="false">IF(AS1985=1,SUM(AS$7:AS1985),"")</f>
        <v/>
      </c>
      <c r="AU1985" s="82" t="n">
        <f aca="false">IF(AND(OR(AA1985="R",AA1985="NX",AA1985="NT",AA1985="CO"),OR('JOINTS DE RÉPARATION'!$D$5="TOUTES",B1985='JOINTS DE RÉPARATION'!$D$5),OR('JOINTS DE RÉPARATION'!$L$4="TOUS",AQ1985&lt;&gt;"ACCEPTÉ")),1,0)</f>
        <v>0</v>
      </c>
      <c r="AV1985" s="82" t="str">
        <f aca="false">IF(AU1985=1,SUM(AU$7:AU1985),"")</f>
        <v/>
      </c>
      <c r="AW1985" s="82" t="str">
        <f aca="false">IF(E1985="","",B1985&amp;"|"&amp;E1985)</f>
        <v>MFD-ISW → MFD-CPF|JN°1525</v>
      </c>
    </row>
    <row r="1986" customFormat="false" ht="74.6" hidden="false" customHeight="false" outlineLevel="0" collapsed="false">
      <c r="A1986" s="79" t="n">
        <f aca="false">IF(E1986="","",ROW()-6)</f>
        <v>1980</v>
      </c>
      <c r="B1986" s="80" t="s">
        <v>110</v>
      </c>
      <c r="C1986" s="81" t="s">
        <v>926</v>
      </c>
      <c r="D1986" s="81" t="n">
        <v>18</v>
      </c>
      <c r="E1986" s="81" t="s">
        <v>2419</v>
      </c>
      <c r="F1986" s="82" t="str">
        <f aca="false">IF(E1986="","",IF(LEFT(E1986,2)="DJ","DJ","JN"))</f>
        <v>JN</v>
      </c>
      <c r="G1986" s="81"/>
      <c r="H1986" s="81"/>
      <c r="I1986" s="81"/>
      <c r="J1986" s="81"/>
      <c r="K1986" s="81"/>
      <c r="L1986" s="81" t="s">
        <v>2417</v>
      </c>
      <c r="M1986" s="81"/>
      <c r="N1986" s="81"/>
      <c r="O1986" s="81" t="n">
        <v>2078830</v>
      </c>
      <c r="P1986" s="81" t="n">
        <v>15421101</v>
      </c>
      <c r="Q1986" s="81" t="n">
        <v>11.94</v>
      </c>
      <c r="R1986" s="81"/>
      <c r="S1986" s="81"/>
      <c r="T1986" s="81"/>
      <c r="U1986" s="83"/>
      <c r="V1986" s="83"/>
      <c r="W1986" s="81"/>
      <c r="X1986" s="81"/>
      <c r="Y1986" s="83"/>
      <c r="Z1986" s="81"/>
      <c r="AA1986" s="81"/>
      <c r="AB1986" s="81"/>
      <c r="AC1986" s="81"/>
      <c r="AD1986" s="81"/>
      <c r="AE1986" s="83"/>
      <c r="AF1986" s="81"/>
      <c r="AG1986" s="81"/>
      <c r="AH1986" s="81"/>
      <c r="AI1986" s="81"/>
      <c r="AJ1986" s="83"/>
      <c r="AK1986" s="81"/>
      <c r="AL1986" s="81"/>
      <c r="AM1986" s="83"/>
      <c r="AN1986" s="80"/>
      <c r="AO1986" s="82" t="n">
        <f aca="false">IF(E1986="","",(AA1986&lt;&gt;"")+(AG1986&lt;&gt;"")+(AL1986&lt;&gt;""))</f>
        <v>0</v>
      </c>
      <c r="AP1986" s="82" t="str">
        <f aca="false">IF(AL1986&lt;&gt;"",AL1986,IF(AG1986&lt;&gt;"",AG1986,IF(AA1986&lt;&gt;"",AA1986,"")))</f>
        <v/>
      </c>
      <c r="AQ1986" s="84" t="str">
        <f aca="false">IF(E1986="","",IF(U1986="","À SOUDER",IF(X1986="","VT EN ATTENTE",IF(X1986="R","VT REJETÉ – À REPRENDRE",IF(AP1986="","À RADIOGRAPHIER",IF(AP1986="A","ACCEPTÉ",IF(AP1986="NX","NX – RT À REFAIRE",IF(IF(AO1986=1,AD1986,IF(AO1986=2,AI1986,""))="A","RÉPARÉ – À RADIOGRAPHIER",IF(IF(AO1986=1,AD1986,IF(AO1986=2,AI1986,""))="R","VT REJETÉ – À REPRENDRE",IF(OR(AP1986="CO",AP1986="NT"),"COUPE – À RESOUDER","À RÉPARER"))))))))))</f>
        <v>À SOUDER</v>
      </c>
      <c r="AR1986" s="82" t="str">
        <f aca="false">IF(AND(ISNUMBER(U1986),OR(AQ1986="À RADIOGRAPHIER",AQ1986="RÉPARÉ – À RADIOGRAPHIER",AQ1986="NX – RT À REFAIRE",AQ1986="À RÉPARER",AQ1986="COUPE – À RESOUDER",AQ1986="VT REJETÉ – À REPRENDRE")),MAX(0,'PROGRAMME RT'!$C$4-U1986),"")</f>
        <v/>
      </c>
      <c r="AS1986" s="82" t="n">
        <f aca="false">IF(AND(OR(AQ1986="À RADIOGRAPHIER",AQ1986="RÉPARÉ – À RADIOGRAPHIER",AQ1986="NX – RT À REFAIRE"),OR('PROGRAMME RT'!$D$5="TOUTES",B1986='PROGRAMME RT'!$D$5)),1,0)</f>
        <v>0</v>
      </c>
      <c r="AT1986" s="82" t="str">
        <f aca="false">IF(AS1986=1,SUM(AS$7:AS1986),"")</f>
        <v/>
      </c>
      <c r="AU1986" s="82" t="n">
        <f aca="false">IF(AND(OR(AA1986="R",AA1986="NX",AA1986="NT",AA1986="CO"),OR('JOINTS DE RÉPARATION'!$D$5="TOUTES",B1986='JOINTS DE RÉPARATION'!$D$5),OR('JOINTS DE RÉPARATION'!$L$4="TOUS",AQ1986&lt;&gt;"ACCEPTÉ")),1,0)</f>
        <v>0</v>
      </c>
      <c r="AV1986" s="82" t="str">
        <f aca="false">IF(AU1986=1,SUM(AU$7:AU1986),"")</f>
        <v/>
      </c>
      <c r="AW1986" s="82" t="str">
        <f aca="false">IF(E1986="","",B1986&amp;"|"&amp;E1986)</f>
        <v>MFD-ISW → MFD-CPF|JN°1526</v>
      </c>
    </row>
    <row r="1987" customFormat="false" ht="74.6" hidden="false" customHeight="false" outlineLevel="0" collapsed="false">
      <c r="A1987" s="79" t="n">
        <f aca="false">IF(E1987="","",ROW()-6)</f>
        <v>1981</v>
      </c>
      <c r="B1987" s="80" t="s">
        <v>110</v>
      </c>
      <c r="C1987" s="81" t="s">
        <v>2420</v>
      </c>
      <c r="D1987" s="81" t="n">
        <v>18</v>
      </c>
      <c r="E1987" s="81" t="s">
        <v>2421</v>
      </c>
      <c r="F1987" s="82" t="str">
        <f aca="false">IF(E1987="","",IF(LEFT(E1987,2)="DJ","DJ","JN"))</f>
        <v>DJ</v>
      </c>
      <c r="G1987" s="81"/>
      <c r="H1987" s="81" t="s">
        <v>871</v>
      </c>
      <c r="I1987" s="81" t="n">
        <v>9.53</v>
      </c>
      <c r="J1987" s="81" t="s">
        <v>872</v>
      </c>
      <c r="K1987" s="81" t="s">
        <v>873</v>
      </c>
      <c r="L1987" s="81" t="n">
        <v>2078830</v>
      </c>
      <c r="M1987" s="81" t="n">
        <v>15421101</v>
      </c>
      <c r="N1987" s="81" t="n">
        <v>11.94</v>
      </c>
      <c r="O1987" s="81" t="n">
        <v>2096900</v>
      </c>
      <c r="P1987" s="81" t="n">
        <v>15421111</v>
      </c>
      <c r="Q1987" s="81" t="n">
        <v>11.94</v>
      </c>
      <c r="R1987" s="81" t="s">
        <v>1147</v>
      </c>
      <c r="S1987" s="81"/>
      <c r="T1987" s="81"/>
      <c r="U1987" s="83" t="n">
        <v>46252</v>
      </c>
      <c r="V1987" s="83" t="n">
        <v>46252</v>
      </c>
      <c r="W1987" s="81" t="s">
        <v>2275</v>
      </c>
      <c r="X1987" s="81" t="s">
        <v>876</v>
      </c>
      <c r="Y1987" s="83" t="n">
        <v>46254</v>
      </c>
      <c r="Z1987" s="81" t="s">
        <v>2141</v>
      </c>
      <c r="AA1987" s="81" t="s">
        <v>876</v>
      </c>
      <c r="AB1987" s="81"/>
      <c r="AC1987" s="81"/>
      <c r="AD1987" s="81"/>
      <c r="AE1987" s="83"/>
      <c r="AF1987" s="81"/>
      <c r="AG1987" s="81"/>
      <c r="AH1987" s="81"/>
      <c r="AI1987" s="81"/>
      <c r="AJ1987" s="83"/>
      <c r="AK1987" s="81"/>
      <c r="AL1987" s="81"/>
      <c r="AM1987" s="83"/>
      <c r="AN1987" s="80"/>
      <c r="AO1987" s="82" t="n">
        <f aca="false">IF(E1987="","",(AA1987&lt;&gt;"")+(AG1987&lt;&gt;"")+(AL1987&lt;&gt;""))</f>
        <v>1</v>
      </c>
      <c r="AP1987" s="82" t="str">
        <f aca="false">IF(AL1987&lt;&gt;"",AL1987,IF(AG1987&lt;&gt;"",AG1987,IF(AA1987&lt;&gt;"",AA1987,"")))</f>
        <v>A</v>
      </c>
      <c r="AQ1987" s="84" t="str">
        <f aca="false">IF(E1987="","",IF(U1987="","À SOUDER",IF(X1987="","VT EN ATTENTE",IF(X1987="R","VT REJETÉ – À REPRENDRE",IF(AP1987="","À RADIOGRAPHIER",IF(AP1987="A","ACCEPTÉ",IF(AP1987="NX","NX – RT À REFAIRE",IF(IF(AO1987=1,AD1987,IF(AO1987=2,AI1987,""))="A","RÉPARÉ – À RADIOGRAPHIER",IF(IF(AO1987=1,AD1987,IF(AO1987=2,AI1987,""))="R","VT REJETÉ – À REPRENDRE",IF(OR(AP1987="CO",AP1987="NT"),"COUPE – À RESOUDER","À RÉPARER"))))))))))</f>
        <v>ACCEPTÉ</v>
      </c>
      <c r="AR1987" s="82" t="str">
        <f aca="false">IF(AND(ISNUMBER(U1987),OR(AQ1987="À RADIOGRAPHIER",AQ1987="RÉPARÉ – À RADIOGRAPHIER",AQ1987="NX – RT À REFAIRE",AQ1987="À RÉPARER",AQ1987="COUPE – À RESOUDER",AQ1987="VT REJETÉ – À REPRENDRE")),MAX(0,'PROGRAMME RT'!$C$4-U1987),"")</f>
        <v/>
      </c>
      <c r="AS1987" s="82" t="n">
        <f aca="false">IF(AND(OR(AQ1987="À RADIOGRAPHIER",AQ1987="RÉPARÉ – À RADIOGRAPHIER",AQ1987="NX – RT À REFAIRE"),OR('PROGRAMME RT'!$D$5="TOUTES",B1987='PROGRAMME RT'!$D$5)),1,0)</f>
        <v>0</v>
      </c>
      <c r="AT1987" s="82" t="str">
        <f aca="false">IF(AS1987=1,SUM(AS$7:AS1987),"")</f>
        <v/>
      </c>
      <c r="AU1987" s="82" t="n">
        <f aca="false">IF(AND(OR(AA1987="R",AA1987="NX",AA1987="NT",AA1987="CO"),OR('JOINTS DE RÉPARATION'!$D$5="TOUTES",B1987='JOINTS DE RÉPARATION'!$D$5),OR('JOINTS DE RÉPARATION'!$L$4="TOUS",AQ1987&lt;&gt;"ACCEPTÉ")),1,0)</f>
        <v>0</v>
      </c>
      <c r="AV1987" s="82" t="str">
        <f aca="false">IF(AU1987=1,SUM(AU$7:AU1987),"")</f>
        <v/>
      </c>
      <c r="AW1987" s="82" t="str">
        <f aca="false">IF(E1987="","",B1987&amp;"|"&amp;E1987)</f>
        <v>MFD-ISW → MFD-CPF|DJ°039</v>
      </c>
    </row>
    <row r="1988" customFormat="false" ht="74.6" hidden="false" customHeight="false" outlineLevel="0" collapsed="false">
      <c r="A1988" s="79" t="n">
        <f aca="false">IF(E1988="","",ROW()-6)</f>
        <v>1982</v>
      </c>
      <c r="B1988" s="80" t="s">
        <v>110</v>
      </c>
      <c r="C1988" s="81" t="s">
        <v>2420</v>
      </c>
      <c r="D1988" s="81" t="n">
        <v>18</v>
      </c>
      <c r="E1988" s="81" t="s">
        <v>2422</v>
      </c>
      <c r="F1988" s="82" t="str">
        <f aca="false">IF(E1988="","",IF(LEFT(E1988,2)="DJ","DJ","JN"))</f>
        <v>JN</v>
      </c>
      <c r="G1988" s="81" t="s">
        <v>1504</v>
      </c>
      <c r="H1988" s="81" t="s">
        <v>871</v>
      </c>
      <c r="I1988" s="81" t="n">
        <v>9.53</v>
      </c>
      <c r="J1988" s="81" t="s">
        <v>872</v>
      </c>
      <c r="K1988" s="81" t="s">
        <v>1861</v>
      </c>
      <c r="L1988" s="81" t="n">
        <v>2096900</v>
      </c>
      <c r="M1988" s="81" t="n">
        <v>15421111</v>
      </c>
      <c r="N1988" s="81" t="n">
        <v>11.94</v>
      </c>
      <c r="O1988" s="81" t="n">
        <v>2079100</v>
      </c>
      <c r="P1988" s="81" t="n">
        <v>15421102</v>
      </c>
      <c r="Q1988" s="81" t="n">
        <v>11.94</v>
      </c>
      <c r="R1988" s="81" t="s">
        <v>1884</v>
      </c>
      <c r="S1988" s="81"/>
      <c r="T1988" s="81"/>
      <c r="U1988" s="83" t="n">
        <v>46287</v>
      </c>
      <c r="V1988" s="83" t="n">
        <v>46287</v>
      </c>
      <c r="W1988" s="81" t="s">
        <v>2346</v>
      </c>
      <c r="X1988" s="81" t="s">
        <v>876</v>
      </c>
      <c r="Y1988" s="83"/>
      <c r="Z1988" s="81"/>
      <c r="AA1988" s="81"/>
      <c r="AB1988" s="81"/>
      <c r="AC1988" s="81"/>
      <c r="AD1988" s="81"/>
      <c r="AE1988" s="83"/>
      <c r="AF1988" s="81"/>
      <c r="AG1988" s="81"/>
      <c r="AH1988" s="81"/>
      <c r="AI1988" s="81"/>
      <c r="AJ1988" s="83"/>
      <c r="AK1988" s="81"/>
      <c r="AL1988" s="81"/>
      <c r="AM1988" s="83"/>
      <c r="AN1988" s="80"/>
      <c r="AO1988" s="82" t="n">
        <f aca="false">IF(E1988="","",(AA1988&lt;&gt;"")+(AG1988&lt;&gt;"")+(AL1988&lt;&gt;""))</f>
        <v>0</v>
      </c>
      <c r="AP1988" s="82" t="str">
        <f aca="false">IF(AL1988&lt;&gt;"",AL1988,IF(AG1988&lt;&gt;"",AG1988,IF(AA1988&lt;&gt;"",AA1988,"")))</f>
        <v/>
      </c>
      <c r="AQ1988" s="84" t="str">
        <f aca="false">IF(E1988="","",IF(U1988="","À SOUDER",IF(X1988="","VT EN ATTENTE",IF(X1988="R","VT REJETÉ – À REPRENDRE",IF(AP1988="","À RADIOGRAPHIER",IF(AP1988="A","ACCEPTÉ",IF(AP1988="NX","NX – RT À REFAIRE",IF(IF(AO1988=1,AD1988,IF(AO1988=2,AI1988,""))="A","RÉPARÉ – À RADIOGRAPHIER",IF(IF(AO1988=1,AD1988,IF(AO1988=2,AI1988,""))="R","VT REJETÉ – À REPRENDRE",IF(OR(AP1988="CO",AP1988="NT"),"COUPE – À RESOUDER","À RÉPARER"))))))))))</f>
        <v>À RADIOGRAPHIER</v>
      </c>
      <c r="AR1988" s="82" t="n">
        <f aca="false">IF(AND(ISNUMBER(U1988),OR(AQ1988="À RADIOGRAPHIER",AQ1988="RÉPARÉ – À RADIOGRAPHIER",AQ1988="NX – RT À REFAIRE",AQ1988="À RÉPARER",AQ1988="COUPE – À RESOUDER",AQ1988="VT REJETÉ – À REPRENDRE")),MAX(0,'PROGRAMME RT'!$C$4-U1988),"")</f>
        <v>6</v>
      </c>
      <c r="AS1988" s="82" t="n">
        <f aca="false">IF(AND(OR(AQ1988="À RADIOGRAPHIER",AQ1988="RÉPARÉ – À RADIOGRAPHIER",AQ1988="NX – RT À REFAIRE"),OR('PROGRAMME RT'!$D$5="TOUTES",B1988='PROGRAMME RT'!$D$5)),1,0)</f>
        <v>1</v>
      </c>
      <c r="AT1988" s="82" t="n">
        <f aca="false">IF(AS1988=1,SUM(AS$7:AS1988),"")</f>
        <v>105</v>
      </c>
      <c r="AU1988" s="82" t="n">
        <f aca="false">IF(AND(OR(AA1988="R",AA1988="NX",AA1988="NT",AA1988="CO"),OR('JOINTS DE RÉPARATION'!$D$5="TOUTES",B1988='JOINTS DE RÉPARATION'!$D$5),OR('JOINTS DE RÉPARATION'!$L$4="TOUS",AQ1988&lt;&gt;"ACCEPTÉ")),1,0)</f>
        <v>0</v>
      </c>
      <c r="AV1988" s="82" t="str">
        <f aca="false">IF(AU1988=1,SUM(AU$7:AU1988),"")</f>
        <v/>
      </c>
      <c r="AW1988" s="82" t="str">
        <f aca="false">IF(E1988="","",B1988&amp;"|"&amp;E1988)</f>
        <v>MFD-ISW → MFD-CPF|JN°1527R</v>
      </c>
    </row>
    <row r="1989" customFormat="false" ht="74.6" hidden="false" customHeight="false" outlineLevel="0" collapsed="false">
      <c r="A1989" s="79" t="n">
        <f aca="false">IF(E1989="","",ROW()-6)</f>
        <v>1983</v>
      </c>
      <c r="B1989" s="80" t="s">
        <v>110</v>
      </c>
      <c r="C1989" s="81" t="s">
        <v>2420</v>
      </c>
      <c r="D1989" s="81" t="n">
        <v>18</v>
      </c>
      <c r="E1989" s="81" t="s">
        <v>2423</v>
      </c>
      <c r="F1989" s="82" t="str">
        <f aca="false">IF(E1989="","",IF(LEFT(E1989,2)="DJ","DJ","JN"))</f>
        <v>DJ</v>
      </c>
      <c r="G1989" s="81"/>
      <c r="H1989" s="81" t="s">
        <v>871</v>
      </c>
      <c r="I1989" s="81" t="n">
        <v>9.53</v>
      </c>
      <c r="J1989" s="81" t="s">
        <v>872</v>
      </c>
      <c r="K1989" s="81" t="s">
        <v>873</v>
      </c>
      <c r="L1989" s="81" t="n">
        <v>2079100</v>
      </c>
      <c r="M1989" s="81" t="n">
        <v>15421102</v>
      </c>
      <c r="N1989" s="81" t="n">
        <v>11.94</v>
      </c>
      <c r="O1989" s="81" t="n">
        <v>2084420</v>
      </c>
      <c r="P1989" s="81" t="n">
        <v>15421106</v>
      </c>
      <c r="Q1989" s="81" t="n">
        <v>11.94</v>
      </c>
      <c r="R1989" s="81" t="s">
        <v>1147</v>
      </c>
      <c r="S1989" s="81"/>
      <c r="T1989" s="81"/>
      <c r="U1989" s="83" t="n">
        <v>46252</v>
      </c>
      <c r="V1989" s="83" t="n">
        <v>46252</v>
      </c>
      <c r="W1989" s="81" t="s">
        <v>2275</v>
      </c>
      <c r="X1989" s="81" t="s">
        <v>876</v>
      </c>
      <c r="Y1989" s="83" t="n">
        <v>46254</v>
      </c>
      <c r="Z1989" s="81" t="s">
        <v>2141</v>
      </c>
      <c r="AA1989" s="81" t="s">
        <v>876</v>
      </c>
      <c r="AB1989" s="81"/>
      <c r="AC1989" s="81"/>
      <c r="AD1989" s="81"/>
      <c r="AE1989" s="83"/>
      <c r="AF1989" s="81"/>
      <c r="AG1989" s="81"/>
      <c r="AH1989" s="81"/>
      <c r="AI1989" s="81"/>
      <c r="AJ1989" s="83"/>
      <c r="AK1989" s="81"/>
      <c r="AL1989" s="81"/>
      <c r="AM1989" s="83"/>
      <c r="AN1989" s="80"/>
      <c r="AO1989" s="82" t="n">
        <f aca="false">IF(E1989="","",(AA1989&lt;&gt;"")+(AG1989&lt;&gt;"")+(AL1989&lt;&gt;""))</f>
        <v>1</v>
      </c>
      <c r="AP1989" s="82" t="str">
        <f aca="false">IF(AL1989&lt;&gt;"",AL1989,IF(AG1989&lt;&gt;"",AG1989,IF(AA1989&lt;&gt;"",AA1989,"")))</f>
        <v>A</v>
      </c>
      <c r="AQ1989" s="84" t="str">
        <f aca="false">IF(E1989="","",IF(U1989="","À SOUDER",IF(X1989="","VT EN ATTENTE",IF(X1989="R","VT REJETÉ – À REPRENDRE",IF(AP1989="","À RADIOGRAPHIER",IF(AP1989="A","ACCEPTÉ",IF(AP1989="NX","NX – RT À REFAIRE",IF(IF(AO1989=1,AD1989,IF(AO1989=2,AI1989,""))="A","RÉPARÉ – À RADIOGRAPHIER",IF(IF(AO1989=1,AD1989,IF(AO1989=2,AI1989,""))="R","VT REJETÉ – À REPRENDRE",IF(OR(AP1989="CO",AP1989="NT"),"COUPE – À RESOUDER","À RÉPARER"))))))))))</f>
        <v>ACCEPTÉ</v>
      </c>
      <c r="AR1989" s="82" t="str">
        <f aca="false">IF(AND(ISNUMBER(U1989),OR(AQ1989="À RADIOGRAPHIER",AQ1989="RÉPARÉ – À RADIOGRAPHIER",AQ1989="NX – RT À REFAIRE",AQ1989="À RÉPARER",AQ1989="COUPE – À RESOUDER",AQ1989="VT REJETÉ – À REPRENDRE")),MAX(0,'PROGRAMME RT'!$C$4-U1989),"")</f>
        <v/>
      </c>
      <c r="AS1989" s="82" t="n">
        <f aca="false">IF(AND(OR(AQ1989="À RADIOGRAPHIER",AQ1989="RÉPARÉ – À RADIOGRAPHIER",AQ1989="NX – RT À REFAIRE"),OR('PROGRAMME RT'!$D$5="TOUTES",B1989='PROGRAMME RT'!$D$5)),1,0)</f>
        <v>0</v>
      </c>
      <c r="AT1989" s="82" t="str">
        <f aca="false">IF(AS1989=1,SUM(AS$7:AS1989),"")</f>
        <v/>
      </c>
      <c r="AU1989" s="82" t="n">
        <f aca="false">IF(AND(OR(AA1989="R",AA1989="NX",AA1989="NT",AA1989="CO"),OR('JOINTS DE RÉPARATION'!$D$5="TOUTES",B1989='JOINTS DE RÉPARATION'!$D$5),OR('JOINTS DE RÉPARATION'!$L$4="TOUS",AQ1989&lt;&gt;"ACCEPTÉ")),1,0)</f>
        <v>0</v>
      </c>
      <c r="AV1989" s="82" t="str">
        <f aca="false">IF(AU1989=1,SUM(AU$7:AU1989),"")</f>
        <v/>
      </c>
      <c r="AW1989" s="82" t="str">
        <f aca="false">IF(E1989="","",B1989&amp;"|"&amp;E1989)</f>
        <v>MFD-ISW → MFD-CPF|DJ°041</v>
      </c>
    </row>
    <row r="1990" customFormat="false" ht="74.6" hidden="false" customHeight="false" outlineLevel="0" collapsed="false">
      <c r="A1990" s="79" t="n">
        <f aca="false">IF(E1990="","",ROW()-6)</f>
        <v>1984</v>
      </c>
      <c r="B1990" s="80" t="s">
        <v>110</v>
      </c>
      <c r="C1990" s="81" t="s">
        <v>2420</v>
      </c>
      <c r="D1990" s="81" t="n">
        <v>18</v>
      </c>
      <c r="E1990" s="81" t="s">
        <v>2424</v>
      </c>
      <c r="F1990" s="82" t="str">
        <f aca="false">IF(E1990="","",IF(LEFT(E1990,2)="DJ","DJ","JN"))</f>
        <v>JN</v>
      </c>
      <c r="G1990" s="81" t="s">
        <v>1504</v>
      </c>
      <c r="H1990" s="81" t="s">
        <v>871</v>
      </c>
      <c r="I1990" s="81" t="n">
        <v>9.53</v>
      </c>
      <c r="J1990" s="81" t="s">
        <v>872</v>
      </c>
      <c r="K1990" s="81" t="s">
        <v>879</v>
      </c>
      <c r="L1990" s="81" t="n">
        <v>2084420</v>
      </c>
      <c r="M1990" s="81" t="n">
        <v>15421106</v>
      </c>
      <c r="N1990" s="81" t="n">
        <v>11.94</v>
      </c>
      <c r="O1990" s="81" t="n">
        <v>2085360</v>
      </c>
      <c r="P1990" s="81" t="n">
        <v>15421106</v>
      </c>
      <c r="Q1990" s="81" t="n">
        <v>11.94</v>
      </c>
      <c r="R1990" s="81" t="s">
        <v>2273</v>
      </c>
      <c r="S1990" s="81"/>
      <c r="T1990" s="81"/>
      <c r="U1990" s="83" t="n">
        <v>46268</v>
      </c>
      <c r="V1990" s="83" t="n">
        <v>46268</v>
      </c>
      <c r="W1990" s="81" t="s">
        <v>2403</v>
      </c>
      <c r="X1990" s="81" t="s">
        <v>876</v>
      </c>
      <c r="Y1990" s="83" t="n">
        <v>46275</v>
      </c>
      <c r="Z1990" s="81" t="s">
        <v>2425</v>
      </c>
      <c r="AA1990" s="81" t="s">
        <v>876</v>
      </c>
      <c r="AB1990" s="81"/>
      <c r="AC1990" s="81"/>
      <c r="AD1990" s="81"/>
      <c r="AE1990" s="83"/>
      <c r="AF1990" s="81"/>
      <c r="AG1990" s="81"/>
      <c r="AH1990" s="81"/>
      <c r="AI1990" s="81"/>
      <c r="AJ1990" s="83"/>
      <c r="AK1990" s="81"/>
      <c r="AL1990" s="81"/>
      <c r="AM1990" s="83"/>
      <c r="AN1990" s="80"/>
      <c r="AO1990" s="82" t="n">
        <f aca="false">IF(E1990="","",(AA1990&lt;&gt;"")+(AG1990&lt;&gt;"")+(AL1990&lt;&gt;""))</f>
        <v>1</v>
      </c>
      <c r="AP1990" s="82" t="str">
        <f aca="false">IF(AL1990&lt;&gt;"",AL1990,IF(AG1990&lt;&gt;"",AG1990,IF(AA1990&lt;&gt;"",AA1990,"")))</f>
        <v>A</v>
      </c>
      <c r="AQ1990" s="84" t="str">
        <f aca="false">IF(E1990="","",IF(U1990="","À SOUDER",IF(X1990="","VT EN ATTENTE",IF(X1990="R","VT REJETÉ – À REPRENDRE",IF(AP1990="","À RADIOGRAPHIER",IF(AP1990="A","ACCEPTÉ",IF(AP1990="NX","NX – RT À REFAIRE",IF(IF(AO1990=1,AD1990,IF(AO1990=2,AI1990,""))="A","RÉPARÉ – À RADIOGRAPHIER",IF(IF(AO1990=1,AD1990,IF(AO1990=2,AI1990,""))="R","VT REJETÉ – À REPRENDRE",IF(OR(AP1990="CO",AP1990="NT"),"COUPE – À RESOUDER","À RÉPARER"))))))))))</f>
        <v>ACCEPTÉ</v>
      </c>
      <c r="AR1990" s="82" t="str">
        <f aca="false">IF(AND(ISNUMBER(U1990),OR(AQ1990="À RADIOGRAPHIER",AQ1990="RÉPARÉ – À RADIOGRAPHIER",AQ1990="NX – RT À REFAIRE",AQ1990="À RÉPARER",AQ1990="COUPE – À RESOUDER",AQ1990="VT REJETÉ – À REPRENDRE")),MAX(0,'PROGRAMME RT'!$C$4-U1990),"")</f>
        <v/>
      </c>
      <c r="AS1990" s="82" t="n">
        <f aca="false">IF(AND(OR(AQ1990="À RADIOGRAPHIER",AQ1990="RÉPARÉ – À RADIOGRAPHIER",AQ1990="NX – RT À REFAIRE"),OR('PROGRAMME RT'!$D$5="TOUTES",B1990='PROGRAMME RT'!$D$5)),1,0)</f>
        <v>0</v>
      </c>
      <c r="AT1990" s="82" t="str">
        <f aca="false">IF(AS1990=1,SUM(AS$7:AS1990),"")</f>
        <v/>
      </c>
      <c r="AU1990" s="82" t="n">
        <f aca="false">IF(AND(OR(AA1990="R",AA1990="NX",AA1990="NT",AA1990="CO"),OR('JOINTS DE RÉPARATION'!$D$5="TOUTES",B1990='JOINTS DE RÉPARATION'!$D$5),OR('JOINTS DE RÉPARATION'!$L$4="TOUS",AQ1990&lt;&gt;"ACCEPTÉ")),1,0)</f>
        <v>0</v>
      </c>
      <c r="AV1990" s="82" t="str">
        <f aca="false">IF(AU1990=1,SUM(AU$7:AU1990),"")</f>
        <v/>
      </c>
      <c r="AW1990" s="82" t="str">
        <f aca="false">IF(E1990="","",B1990&amp;"|"&amp;E1990)</f>
        <v>MFD-ISW → MFD-CPF|JN°1528</v>
      </c>
    </row>
    <row r="1991" customFormat="false" ht="74.6" hidden="false" customHeight="false" outlineLevel="0" collapsed="false">
      <c r="A1991" s="79" t="n">
        <f aca="false">IF(E1991="","",ROW()-6)</f>
        <v>1985</v>
      </c>
      <c r="B1991" s="80" t="s">
        <v>110</v>
      </c>
      <c r="C1991" s="81" t="s">
        <v>2420</v>
      </c>
      <c r="D1991" s="81" t="n">
        <v>18</v>
      </c>
      <c r="E1991" s="81" t="s">
        <v>2426</v>
      </c>
      <c r="F1991" s="82" t="str">
        <f aca="false">IF(E1991="","",IF(LEFT(E1991,2)="DJ","DJ","JN"))</f>
        <v>DJ</v>
      </c>
      <c r="G1991" s="81"/>
      <c r="H1991" s="81" t="s">
        <v>871</v>
      </c>
      <c r="I1991" s="81" t="n">
        <v>9.53</v>
      </c>
      <c r="J1991" s="81" t="s">
        <v>872</v>
      </c>
      <c r="K1991" s="81" t="s">
        <v>873</v>
      </c>
      <c r="L1991" s="81" t="n">
        <v>2085360</v>
      </c>
      <c r="M1991" s="81" t="n">
        <v>15421106</v>
      </c>
      <c r="N1991" s="81" t="n">
        <v>11.94</v>
      </c>
      <c r="O1991" s="81" t="n">
        <v>2089180</v>
      </c>
      <c r="P1991" s="81" t="n">
        <v>15421108</v>
      </c>
      <c r="Q1991" s="81" t="n">
        <v>11.94</v>
      </c>
      <c r="R1991" s="81" t="s">
        <v>874</v>
      </c>
      <c r="S1991" s="81"/>
      <c r="T1991" s="81"/>
      <c r="U1991" s="83" t="n">
        <v>46252</v>
      </c>
      <c r="V1991" s="83" t="n">
        <v>46252</v>
      </c>
      <c r="W1991" s="81" t="s">
        <v>2275</v>
      </c>
      <c r="X1991" s="81" t="s">
        <v>876</v>
      </c>
      <c r="Y1991" s="83" t="n">
        <v>46255</v>
      </c>
      <c r="Z1991" s="81" t="s">
        <v>2389</v>
      </c>
      <c r="AA1991" s="81" t="s">
        <v>876</v>
      </c>
      <c r="AB1991" s="81"/>
      <c r="AC1991" s="81"/>
      <c r="AD1991" s="81"/>
      <c r="AE1991" s="83"/>
      <c r="AF1991" s="81"/>
      <c r="AG1991" s="81"/>
      <c r="AH1991" s="81"/>
      <c r="AI1991" s="81"/>
      <c r="AJ1991" s="83"/>
      <c r="AK1991" s="81"/>
      <c r="AL1991" s="81"/>
      <c r="AM1991" s="83"/>
      <c r="AN1991" s="80"/>
      <c r="AO1991" s="82" t="n">
        <f aca="false">IF(E1991="","",(AA1991&lt;&gt;"")+(AG1991&lt;&gt;"")+(AL1991&lt;&gt;""))</f>
        <v>1</v>
      </c>
      <c r="AP1991" s="82" t="str">
        <f aca="false">IF(AL1991&lt;&gt;"",AL1991,IF(AG1991&lt;&gt;"",AG1991,IF(AA1991&lt;&gt;"",AA1991,"")))</f>
        <v>A</v>
      </c>
      <c r="AQ1991" s="84" t="str">
        <f aca="false">IF(E1991="","",IF(U1991="","À SOUDER",IF(X1991="","VT EN ATTENTE",IF(X1991="R","VT REJETÉ – À REPRENDRE",IF(AP1991="","À RADIOGRAPHIER",IF(AP1991="A","ACCEPTÉ",IF(AP1991="NX","NX – RT À REFAIRE",IF(IF(AO1991=1,AD1991,IF(AO1991=2,AI1991,""))="A","RÉPARÉ – À RADIOGRAPHIER",IF(IF(AO1991=1,AD1991,IF(AO1991=2,AI1991,""))="R","VT REJETÉ – À REPRENDRE",IF(OR(AP1991="CO",AP1991="NT"),"COUPE – À RESOUDER","À RÉPARER"))))))))))</f>
        <v>ACCEPTÉ</v>
      </c>
      <c r="AR1991" s="82" t="str">
        <f aca="false">IF(AND(ISNUMBER(U1991),OR(AQ1991="À RADIOGRAPHIER",AQ1991="RÉPARÉ – À RADIOGRAPHIER",AQ1991="NX – RT À REFAIRE",AQ1991="À RÉPARER",AQ1991="COUPE – À RESOUDER",AQ1991="VT REJETÉ – À REPRENDRE")),MAX(0,'PROGRAMME RT'!$C$4-U1991),"")</f>
        <v/>
      </c>
      <c r="AS1991" s="82" t="n">
        <f aca="false">IF(AND(OR(AQ1991="À RADIOGRAPHIER",AQ1991="RÉPARÉ – À RADIOGRAPHIER",AQ1991="NX – RT À REFAIRE"),OR('PROGRAMME RT'!$D$5="TOUTES",B1991='PROGRAMME RT'!$D$5)),1,0)</f>
        <v>0</v>
      </c>
      <c r="AT1991" s="82" t="str">
        <f aca="false">IF(AS1991=1,SUM(AS$7:AS1991),"")</f>
        <v/>
      </c>
      <c r="AU1991" s="82" t="n">
        <f aca="false">IF(AND(OR(AA1991="R",AA1991="NX",AA1991="NT",AA1991="CO"),OR('JOINTS DE RÉPARATION'!$D$5="TOUTES",B1991='JOINTS DE RÉPARATION'!$D$5),OR('JOINTS DE RÉPARATION'!$L$4="TOUS",AQ1991&lt;&gt;"ACCEPTÉ")),1,0)</f>
        <v>0</v>
      </c>
      <c r="AV1991" s="82" t="str">
        <f aca="false">IF(AU1991=1,SUM(AU$7:AU1991),"")</f>
        <v/>
      </c>
      <c r="AW1991" s="82" t="str">
        <f aca="false">IF(E1991="","",B1991&amp;"|"&amp;E1991)</f>
        <v>MFD-ISW → MFD-CPF|DJ°043</v>
      </c>
    </row>
    <row r="1992" customFormat="false" ht="74.6" hidden="false" customHeight="false" outlineLevel="0" collapsed="false">
      <c r="A1992" s="79" t="n">
        <f aca="false">IF(E1992="","",ROW()-6)</f>
        <v>1986</v>
      </c>
      <c r="B1992" s="80" t="s">
        <v>110</v>
      </c>
      <c r="C1992" s="81" t="s">
        <v>2420</v>
      </c>
      <c r="D1992" s="81" t="n">
        <v>18</v>
      </c>
      <c r="E1992" s="81" t="s">
        <v>2427</v>
      </c>
      <c r="F1992" s="82" t="str">
        <f aca="false">IF(E1992="","",IF(LEFT(E1992,2)="DJ","DJ","JN"))</f>
        <v>JN</v>
      </c>
      <c r="G1992" s="81" t="s">
        <v>1504</v>
      </c>
      <c r="H1992" s="81" t="s">
        <v>871</v>
      </c>
      <c r="I1992" s="81" t="n">
        <v>9.53</v>
      </c>
      <c r="J1992" s="81" t="s">
        <v>872</v>
      </c>
      <c r="K1992" s="81" t="s">
        <v>879</v>
      </c>
      <c r="L1992" s="81" t="n">
        <v>2089180</v>
      </c>
      <c r="M1992" s="81" t="n">
        <v>15421108</v>
      </c>
      <c r="N1992" s="81" t="n">
        <v>11.94</v>
      </c>
      <c r="O1992" s="81" t="n">
        <v>295470</v>
      </c>
      <c r="P1992" s="81" t="n">
        <v>15421111</v>
      </c>
      <c r="Q1992" s="81" t="n">
        <v>11.94</v>
      </c>
      <c r="R1992" s="81" t="s">
        <v>2273</v>
      </c>
      <c r="S1992" s="81"/>
      <c r="T1992" s="81"/>
      <c r="U1992" s="83" t="n">
        <v>46268</v>
      </c>
      <c r="V1992" s="83" t="n">
        <v>46268</v>
      </c>
      <c r="W1992" s="81" t="s">
        <v>2403</v>
      </c>
      <c r="X1992" s="81" t="s">
        <v>876</v>
      </c>
      <c r="Y1992" s="83" t="n">
        <v>46275</v>
      </c>
      <c r="Z1992" s="81" t="s">
        <v>2425</v>
      </c>
      <c r="AA1992" s="81" t="s">
        <v>876</v>
      </c>
      <c r="AB1992" s="81"/>
      <c r="AC1992" s="81"/>
      <c r="AD1992" s="81"/>
      <c r="AE1992" s="83"/>
      <c r="AF1992" s="81"/>
      <c r="AG1992" s="81"/>
      <c r="AH1992" s="81"/>
      <c r="AI1992" s="81"/>
      <c r="AJ1992" s="83"/>
      <c r="AK1992" s="81"/>
      <c r="AL1992" s="81"/>
      <c r="AM1992" s="83"/>
      <c r="AN1992" s="80"/>
      <c r="AO1992" s="82" t="n">
        <f aca="false">IF(E1992="","",(AA1992&lt;&gt;"")+(AG1992&lt;&gt;"")+(AL1992&lt;&gt;""))</f>
        <v>1</v>
      </c>
      <c r="AP1992" s="82" t="str">
        <f aca="false">IF(AL1992&lt;&gt;"",AL1992,IF(AG1992&lt;&gt;"",AG1992,IF(AA1992&lt;&gt;"",AA1992,"")))</f>
        <v>A</v>
      </c>
      <c r="AQ1992" s="84" t="str">
        <f aca="false">IF(E1992="","",IF(U1992="","À SOUDER",IF(X1992="","VT EN ATTENTE",IF(X1992="R","VT REJETÉ – À REPRENDRE",IF(AP1992="","À RADIOGRAPHIER",IF(AP1992="A","ACCEPTÉ",IF(AP1992="NX","NX – RT À REFAIRE",IF(IF(AO1992=1,AD1992,IF(AO1992=2,AI1992,""))="A","RÉPARÉ – À RADIOGRAPHIER",IF(IF(AO1992=1,AD1992,IF(AO1992=2,AI1992,""))="R","VT REJETÉ – À REPRENDRE",IF(OR(AP1992="CO",AP1992="NT"),"COUPE – À RESOUDER","À RÉPARER"))))))))))</f>
        <v>ACCEPTÉ</v>
      </c>
      <c r="AR1992" s="82" t="str">
        <f aca="false">IF(AND(ISNUMBER(U1992),OR(AQ1992="À RADIOGRAPHIER",AQ1992="RÉPARÉ – À RADIOGRAPHIER",AQ1992="NX – RT À REFAIRE",AQ1992="À RÉPARER",AQ1992="COUPE – À RESOUDER",AQ1992="VT REJETÉ – À REPRENDRE")),MAX(0,'PROGRAMME RT'!$C$4-U1992),"")</f>
        <v/>
      </c>
      <c r="AS1992" s="82" t="n">
        <f aca="false">IF(AND(OR(AQ1992="À RADIOGRAPHIER",AQ1992="RÉPARÉ – À RADIOGRAPHIER",AQ1992="NX – RT À REFAIRE"),OR('PROGRAMME RT'!$D$5="TOUTES",B1992='PROGRAMME RT'!$D$5)),1,0)</f>
        <v>0</v>
      </c>
      <c r="AT1992" s="82" t="str">
        <f aca="false">IF(AS1992=1,SUM(AS$7:AS1992),"")</f>
        <v/>
      </c>
      <c r="AU1992" s="82" t="n">
        <f aca="false">IF(AND(OR(AA1992="R",AA1992="NX",AA1992="NT",AA1992="CO"),OR('JOINTS DE RÉPARATION'!$D$5="TOUTES",B1992='JOINTS DE RÉPARATION'!$D$5),OR('JOINTS DE RÉPARATION'!$L$4="TOUS",AQ1992&lt;&gt;"ACCEPTÉ")),1,0)</f>
        <v>0</v>
      </c>
      <c r="AV1992" s="82" t="str">
        <f aca="false">IF(AU1992=1,SUM(AU$7:AU1992),"")</f>
        <v/>
      </c>
      <c r="AW1992" s="82" t="str">
        <f aca="false">IF(E1992="","",B1992&amp;"|"&amp;E1992)</f>
        <v>MFD-ISW → MFD-CPF|JN°1529</v>
      </c>
    </row>
    <row r="1993" customFormat="false" ht="74.6" hidden="false" customHeight="false" outlineLevel="0" collapsed="false">
      <c r="A1993" s="79" t="n">
        <f aca="false">IF(E1993="","",ROW()-6)</f>
        <v>1987</v>
      </c>
      <c r="B1993" s="80" t="s">
        <v>110</v>
      </c>
      <c r="C1993" s="81" t="s">
        <v>2420</v>
      </c>
      <c r="D1993" s="81" t="n">
        <v>18</v>
      </c>
      <c r="E1993" s="81" t="s">
        <v>2428</v>
      </c>
      <c r="F1993" s="82" t="str">
        <f aca="false">IF(E1993="","",IF(LEFT(E1993,2)="DJ","DJ","JN"))</f>
        <v>DJ</v>
      </c>
      <c r="G1993" s="81"/>
      <c r="H1993" s="81" t="s">
        <v>871</v>
      </c>
      <c r="I1993" s="81" t="n">
        <v>9.53</v>
      </c>
      <c r="J1993" s="81" t="s">
        <v>872</v>
      </c>
      <c r="K1993" s="81" t="s">
        <v>873</v>
      </c>
      <c r="L1993" s="81" t="n">
        <v>295470</v>
      </c>
      <c r="M1993" s="81" t="n">
        <v>15421111</v>
      </c>
      <c r="N1993" s="81" t="n">
        <v>11.94</v>
      </c>
      <c r="O1993" s="81" t="n">
        <v>2093990</v>
      </c>
      <c r="P1993" s="81" t="n">
        <v>15421110</v>
      </c>
      <c r="Q1993" s="81" t="n">
        <v>11.94</v>
      </c>
      <c r="R1993" s="81" t="s">
        <v>1147</v>
      </c>
      <c r="S1993" s="81"/>
      <c r="T1993" s="81"/>
      <c r="U1993" s="83" t="n">
        <v>46251</v>
      </c>
      <c r="V1993" s="83" t="n">
        <v>46251</v>
      </c>
      <c r="W1993" s="81" t="s">
        <v>2140</v>
      </c>
      <c r="X1993" s="81" t="s">
        <v>876</v>
      </c>
      <c r="Y1993" s="83" t="n">
        <v>46254</v>
      </c>
      <c r="Z1993" s="81" t="s">
        <v>2141</v>
      </c>
      <c r="AA1993" s="81" t="s">
        <v>876</v>
      </c>
      <c r="AB1993" s="81"/>
      <c r="AC1993" s="81"/>
      <c r="AD1993" s="81"/>
      <c r="AE1993" s="83"/>
      <c r="AF1993" s="81"/>
      <c r="AG1993" s="81"/>
      <c r="AH1993" s="81"/>
      <c r="AI1993" s="81"/>
      <c r="AJ1993" s="83"/>
      <c r="AK1993" s="81"/>
      <c r="AL1993" s="81"/>
      <c r="AM1993" s="83"/>
      <c r="AN1993" s="80"/>
      <c r="AO1993" s="82" t="n">
        <f aca="false">IF(E1993="","",(AA1993&lt;&gt;"")+(AG1993&lt;&gt;"")+(AL1993&lt;&gt;""))</f>
        <v>1</v>
      </c>
      <c r="AP1993" s="82" t="str">
        <f aca="false">IF(AL1993&lt;&gt;"",AL1993,IF(AG1993&lt;&gt;"",AG1993,IF(AA1993&lt;&gt;"",AA1993,"")))</f>
        <v>A</v>
      </c>
      <c r="AQ1993" s="84" t="str">
        <f aca="false">IF(E1993="","",IF(U1993="","À SOUDER",IF(X1993="","VT EN ATTENTE",IF(X1993="R","VT REJETÉ – À REPRENDRE",IF(AP1993="","À RADIOGRAPHIER",IF(AP1993="A","ACCEPTÉ",IF(AP1993="NX","NX – RT À REFAIRE",IF(IF(AO1993=1,AD1993,IF(AO1993=2,AI1993,""))="A","RÉPARÉ – À RADIOGRAPHIER",IF(IF(AO1993=1,AD1993,IF(AO1993=2,AI1993,""))="R","VT REJETÉ – À REPRENDRE",IF(OR(AP1993="CO",AP1993="NT"),"COUPE – À RESOUDER","À RÉPARER"))))))))))</f>
        <v>ACCEPTÉ</v>
      </c>
      <c r="AR1993" s="82" t="str">
        <f aca="false">IF(AND(ISNUMBER(U1993),OR(AQ1993="À RADIOGRAPHIER",AQ1993="RÉPARÉ – À RADIOGRAPHIER",AQ1993="NX – RT À REFAIRE",AQ1993="À RÉPARER",AQ1993="COUPE – À RESOUDER",AQ1993="VT REJETÉ – À REPRENDRE")),MAX(0,'PROGRAMME RT'!$C$4-U1993),"")</f>
        <v/>
      </c>
      <c r="AS1993" s="82" t="n">
        <f aca="false">IF(AND(OR(AQ1993="À RADIOGRAPHIER",AQ1993="RÉPARÉ – À RADIOGRAPHIER",AQ1993="NX – RT À REFAIRE"),OR('PROGRAMME RT'!$D$5="TOUTES",B1993='PROGRAMME RT'!$D$5)),1,0)</f>
        <v>0</v>
      </c>
      <c r="AT1993" s="82" t="str">
        <f aca="false">IF(AS1993=1,SUM(AS$7:AS1993),"")</f>
        <v/>
      </c>
      <c r="AU1993" s="82" t="n">
        <f aca="false">IF(AND(OR(AA1993="R",AA1993="NX",AA1993="NT",AA1993="CO"),OR('JOINTS DE RÉPARATION'!$D$5="TOUTES",B1993='JOINTS DE RÉPARATION'!$D$5),OR('JOINTS DE RÉPARATION'!$L$4="TOUS",AQ1993&lt;&gt;"ACCEPTÉ")),1,0)</f>
        <v>0</v>
      </c>
      <c r="AV1993" s="82" t="str">
        <f aca="false">IF(AU1993=1,SUM(AU$7:AU1993),"")</f>
        <v/>
      </c>
      <c r="AW1993" s="82" t="str">
        <f aca="false">IF(E1993="","",B1993&amp;"|"&amp;E1993)</f>
        <v>MFD-ISW → MFD-CPF|DJ°030</v>
      </c>
    </row>
    <row r="1994" customFormat="false" ht="74.6" hidden="false" customHeight="false" outlineLevel="0" collapsed="false">
      <c r="A1994" s="79" t="n">
        <f aca="false">IF(E1994="","",ROW()-6)</f>
        <v>1988</v>
      </c>
      <c r="B1994" s="80" t="s">
        <v>110</v>
      </c>
      <c r="C1994" s="81" t="s">
        <v>2420</v>
      </c>
      <c r="D1994" s="81" t="n">
        <v>18</v>
      </c>
      <c r="E1994" s="81" t="s">
        <v>2429</v>
      </c>
      <c r="F1994" s="82" t="str">
        <f aca="false">IF(E1994="","",IF(LEFT(E1994,2)="DJ","DJ","JN"))</f>
        <v>JN</v>
      </c>
      <c r="G1994" s="81" t="s">
        <v>1504</v>
      </c>
      <c r="H1994" s="81" t="s">
        <v>871</v>
      </c>
      <c r="I1994" s="81" t="n">
        <v>9.53</v>
      </c>
      <c r="J1994" s="81" t="s">
        <v>872</v>
      </c>
      <c r="K1994" s="81" t="s">
        <v>879</v>
      </c>
      <c r="L1994" s="81" t="n">
        <v>2093990</v>
      </c>
      <c r="M1994" s="81" t="n">
        <v>15421110</v>
      </c>
      <c r="N1994" s="81" t="n">
        <v>11.94</v>
      </c>
      <c r="O1994" s="81" t="n">
        <v>2081870</v>
      </c>
      <c r="P1994" s="81" t="n">
        <v>15421104</v>
      </c>
      <c r="Q1994" s="81" t="n">
        <v>11.94</v>
      </c>
      <c r="R1994" s="81" t="s">
        <v>2273</v>
      </c>
      <c r="S1994" s="81"/>
      <c r="T1994" s="81"/>
      <c r="U1994" s="83" t="n">
        <v>46268</v>
      </c>
      <c r="V1994" s="83" t="n">
        <v>46268</v>
      </c>
      <c r="W1994" s="81" t="s">
        <v>2403</v>
      </c>
      <c r="X1994" s="81" t="s">
        <v>876</v>
      </c>
      <c r="Y1994" s="83" t="n">
        <v>46275</v>
      </c>
      <c r="Z1994" s="81" t="s">
        <v>2425</v>
      </c>
      <c r="AA1994" s="81" t="s">
        <v>876</v>
      </c>
      <c r="AB1994" s="81"/>
      <c r="AC1994" s="81"/>
      <c r="AD1994" s="81"/>
      <c r="AE1994" s="83"/>
      <c r="AF1994" s="81"/>
      <c r="AG1994" s="81"/>
      <c r="AH1994" s="81"/>
      <c r="AI1994" s="81"/>
      <c r="AJ1994" s="83"/>
      <c r="AK1994" s="81"/>
      <c r="AL1994" s="81"/>
      <c r="AM1994" s="83"/>
      <c r="AN1994" s="80"/>
      <c r="AO1994" s="82" t="n">
        <f aca="false">IF(E1994="","",(AA1994&lt;&gt;"")+(AG1994&lt;&gt;"")+(AL1994&lt;&gt;""))</f>
        <v>1</v>
      </c>
      <c r="AP1994" s="82" t="str">
        <f aca="false">IF(AL1994&lt;&gt;"",AL1994,IF(AG1994&lt;&gt;"",AG1994,IF(AA1994&lt;&gt;"",AA1994,"")))</f>
        <v>A</v>
      </c>
      <c r="AQ1994" s="84" t="str">
        <f aca="false">IF(E1994="","",IF(U1994="","À SOUDER",IF(X1994="","VT EN ATTENTE",IF(X1994="R","VT REJETÉ – À REPRENDRE",IF(AP1994="","À RADIOGRAPHIER",IF(AP1994="A","ACCEPTÉ",IF(AP1994="NX","NX – RT À REFAIRE",IF(IF(AO1994=1,AD1994,IF(AO1994=2,AI1994,""))="A","RÉPARÉ – À RADIOGRAPHIER",IF(IF(AO1994=1,AD1994,IF(AO1994=2,AI1994,""))="R","VT REJETÉ – À REPRENDRE",IF(OR(AP1994="CO",AP1994="NT"),"COUPE – À RESOUDER","À RÉPARER"))))))))))</f>
        <v>ACCEPTÉ</v>
      </c>
      <c r="AR1994" s="82" t="str">
        <f aca="false">IF(AND(ISNUMBER(U1994),OR(AQ1994="À RADIOGRAPHIER",AQ1994="RÉPARÉ – À RADIOGRAPHIER",AQ1994="NX – RT À REFAIRE",AQ1994="À RÉPARER",AQ1994="COUPE – À RESOUDER",AQ1994="VT REJETÉ – À REPRENDRE")),MAX(0,'PROGRAMME RT'!$C$4-U1994),"")</f>
        <v/>
      </c>
      <c r="AS1994" s="82" t="n">
        <f aca="false">IF(AND(OR(AQ1994="À RADIOGRAPHIER",AQ1994="RÉPARÉ – À RADIOGRAPHIER",AQ1994="NX – RT À REFAIRE"),OR('PROGRAMME RT'!$D$5="TOUTES",B1994='PROGRAMME RT'!$D$5)),1,0)</f>
        <v>0</v>
      </c>
      <c r="AT1994" s="82" t="str">
        <f aca="false">IF(AS1994=1,SUM(AS$7:AS1994),"")</f>
        <v/>
      </c>
      <c r="AU1994" s="82" t="n">
        <f aca="false">IF(AND(OR(AA1994="R",AA1994="NX",AA1994="NT",AA1994="CO"),OR('JOINTS DE RÉPARATION'!$D$5="TOUTES",B1994='JOINTS DE RÉPARATION'!$D$5),OR('JOINTS DE RÉPARATION'!$L$4="TOUS",AQ1994&lt;&gt;"ACCEPTÉ")),1,0)</f>
        <v>0</v>
      </c>
      <c r="AV1994" s="82" t="str">
        <f aca="false">IF(AU1994=1,SUM(AU$7:AU1994),"")</f>
        <v/>
      </c>
      <c r="AW1994" s="82" t="str">
        <f aca="false">IF(E1994="","",B1994&amp;"|"&amp;E1994)</f>
        <v>MFD-ISW → MFD-CPF|JN°1530</v>
      </c>
    </row>
    <row r="1995" customFormat="false" ht="74.6" hidden="false" customHeight="false" outlineLevel="0" collapsed="false">
      <c r="A1995" s="79" t="n">
        <f aca="false">IF(E1995="","",ROW()-6)</f>
        <v>1989</v>
      </c>
      <c r="B1995" s="80" t="s">
        <v>110</v>
      </c>
      <c r="C1995" s="81" t="s">
        <v>2420</v>
      </c>
      <c r="D1995" s="81" t="n">
        <v>18</v>
      </c>
      <c r="E1995" s="81" t="s">
        <v>2430</v>
      </c>
      <c r="F1995" s="82" t="str">
        <f aca="false">IF(E1995="","",IF(LEFT(E1995,2)="DJ","DJ","JN"))</f>
        <v>DJ</v>
      </c>
      <c r="G1995" s="81"/>
      <c r="H1995" s="81" t="s">
        <v>871</v>
      </c>
      <c r="I1995" s="81" t="n">
        <v>9.53</v>
      </c>
      <c r="J1995" s="81" t="s">
        <v>872</v>
      </c>
      <c r="K1995" s="81" t="s">
        <v>873</v>
      </c>
      <c r="L1995" s="81" t="n">
        <v>2081870</v>
      </c>
      <c r="M1995" s="81" t="n">
        <v>15421104</v>
      </c>
      <c r="N1995" s="81" t="n">
        <v>11.94</v>
      </c>
      <c r="O1995" s="81" t="n">
        <v>2089490</v>
      </c>
      <c r="P1995" s="81" t="n">
        <v>15421109</v>
      </c>
      <c r="Q1995" s="81" t="n">
        <v>11.94</v>
      </c>
      <c r="R1995" s="81" t="s">
        <v>963</v>
      </c>
      <c r="S1995" s="81"/>
      <c r="T1995" s="81"/>
      <c r="U1995" s="83" t="n">
        <v>46252</v>
      </c>
      <c r="V1995" s="83" t="n">
        <v>46252</v>
      </c>
      <c r="W1995" s="81" t="s">
        <v>2275</v>
      </c>
      <c r="X1995" s="81" t="s">
        <v>876</v>
      </c>
      <c r="Y1995" s="83" t="n">
        <v>46254</v>
      </c>
      <c r="Z1995" s="81" t="s">
        <v>2141</v>
      </c>
      <c r="AA1995" s="81" t="s">
        <v>876</v>
      </c>
      <c r="AB1995" s="81"/>
      <c r="AC1995" s="81"/>
      <c r="AD1995" s="81"/>
      <c r="AE1995" s="83"/>
      <c r="AF1995" s="81"/>
      <c r="AG1995" s="81"/>
      <c r="AH1995" s="81"/>
      <c r="AI1995" s="81"/>
      <c r="AJ1995" s="83"/>
      <c r="AK1995" s="81"/>
      <c r="AL1995" s="81"/>
      <c r="AM1995" s="83"/>
      <c r="AN1995" s="80"/>
      <c r="AO1995" s="82" t="n">
        <f aca="false">IF(E1995="","",(AA1995&lt;&gt;"")+(AG1995&lt;&gt;"")+(AL1995&lt;&gt;""))</f>
        <v>1</v>
      </c>
      <c r="AP1995" s="82" t="str">
        <f aca="false">IF(AL1995&lt;&gt;"",AL1995,IF(AG1995&lt;&gt;"",AG1995,IF(AA1995&lt;&gt;"",AA1995,"")))</f>
        <v>A</v>
      </c>
      <c r="AQ1995" s="84" t="str">
        <f aca="false">IF(E1995="","",IF(U1995="","À SOUDER",IF(X1995="","VT EN ATTENTE",IF(X1995="R","VT REJETÉ – À REPRENDRE",IF(AP1995="","À RADIOGRAPHIER",IF(AP1995="A","ACCEPTÉ",IF(AP1995="NX","NX – RT À REFAIRE",IF(IF(AO1995=1,AD1995,IF(AO1995=2,AI1995,""))="A","RÉPARÉ – À RADIOGRAPHIER",IF(IF(AO1995=1,AD1995,IF(AO1995=2,AI1995,""))="R","VT REJETÉ – À REPRENDRE",IF(OR(AP1995="CO",AP1995="NT"),"COUPE – À RESOUDER","À RÉPARER"))))))))))</f>
        <v>ACCEPTÉ</v>
      </c>
      <c r="AR1995" s="82" t="str">
        <f aca="false">IF(AND(ISNUMBER(U1995),OR(AQ1995="À RADIOGRAPHIER",AQ1995="RÉPARÉ – À RADIOGRAPHIER",AQ1995="NX – RT À REFAIRE",AQ1995="À RÉPARER",AQ1995="COUPE – À RESOUDER",AQ1995="VT REJETÉ – À REPRENDRE")),MAX(0,'PROGRAMME RT'!$C$4-U1995),"")</f>
        <v/>
      </c>
      <c r="AS1995" s="82" t="n">
        <f aca="false">IF(AND(OR(AQ1995="À RADIOGRAPHIER",AQ1995="RÉPARÉ – À RADIOGRAPHIER",AQ1995="NX – RT À REFAIRE"),OR('PROGRAMME RT'!$D$5="TOUTES",B1995='PROGRAMME RT'!$D$5)),1,0)</f>
        <v>0</v>
      </c>
      <c r="AT1995" s="82" t="str">
        <f aca="false">IF(AS1995=1,SUM(AS$7:AS1995),"")</f>
        <v/>
      </c>
      <c r="AU1995" s="82" t="n">
        <f aca="false">IF(AND(OR(AA1995="R",AA1995="NX",AA1995="NT",AA1995="CO"),OR('JOINTS DE RÉPARATION'!$D$5="TOUTES",B1995='JOINTS DE RÉPARATION'!$D$5),OR('JOINTS DE RÉPARATION'!$L$4="TOUS",AQ1995&lt;&gt;"ACCEPTÉ")),1,0)</f>
        <v>0</v>
      </c>
      <c r="AV1995" s="82" t="str">
        <f aca="false">IF(AU1995=1,SUM(AU$7:AU1995),"")</f>
        <v/>
      </c>
      <c r="AW1995" s="82" t="str">
        <f aca="false">IF(E1995="","",B1995&amp;"|"&amp;E1995)</f>
        <v>MFD-ISW → MFD-CPF|DJ°042</v>
      </c>
    </row>
    <row r="1996" customFormat="false" ht="74.6" hidden="false" customHeight="false" outlineLevel="0" collapsed="false">
      <c r="A1996" s="79" t="n">
        <f aca="false">IF(E1996="","",ROW()-6)</f>
        <v>1990</v>
      </c>
      <c r="B1996" s="80" t="s">
        <v>110</v>
      </c>
      <c r="C1996" s="81" t="s">
        <v>2420</v>
      </c>
      <c r="D1996" s="81" t="n">
        <v>18</v>
      </c>
      <c r="E1996" s="81" t="s">
        <v>2431</v>
      </c>
      <c r="F1996" s="82" t="str">
        <f aca="false">IF(E1996="","",IF(LEFT(E1996,2)="DJ","DJ","JN"))</f>
        <v>JN</v>
      </c>
      <c r="G1996" s="81" t="s">
        <v>1504</v>
      </c>
      <c r="H1996" s="81" t="s">
        <v>871</v>
      </c>
      <c r="I1996" s="81" t="n">
        <v>9.53</v>
      </c>
      <c r="J1996" s="81" t="s">
        <v>872</v>
      </c>
      <c r="K1996" s="81" t="s">
        <v>879</v>
      </c>
      <c r="L1996" s="81" t="n">
        <v>2089490</v>
      </c>
      <c r="M1996" s="81" t="n">
        <v>15421109</v>
      </c>
      <c r="N1996" s="81" t="n">
        <v>11.94</v>
      </c>
      <c r="O1996" s="81" t="n">
        <v>2092740</v>
      </c>
      <c r="P1996" s="81" t="n">
        <v>15421110</v>
      </c>
      <c r="Q1996" s="81" t="n">
        <v>11.94</v>
      </c>
      <c r="R1996" s="81" t="s">
        <v>2273</v>
      </c>
      <c r="S1996" s="81"/>
      <c r="T1996" s="81"/>
      <c r="U1996" s="83" t="n">
        <v>46267</v>
      </c>
      <c r="V1996" s="83" t="n">
        <v>46267</v>
      </c>
      <c r="W1996" s="81" t="s">
        <v>2432</v>
      </c>
      <c r="X1996" s="81" t="s">
        <v>876</v>
      </c>
      <c r="Y1996" s="83" t="n">
        <v>46275</v>
      </c>
      <c r="Z1996" s="81" t="s">
        <v>2425</v>
      </c>
      <c r="AA1996" s="81" t="s">
        <v>876</v>
      </c>
      <c r="AB1996" s="81"/>
      <c r="AC1996" s="81"/>
      <c r="AD1996" s="81"/>
      <c r="AE1996" s="83"/>
      <c r="AF1996" s="81"/>
      <c r="AG1996" s="81"/>
      <c r="AH1996" s="81"/>
      <c r="AI1996" s="81"/>
      <c r="AJ1996" s="83"/>
      <c r="AK1996" s="81"/>
      <c r="AL1996" s="81"/>
      <c r="AM1996" s="83"/>
      <c r="AN1996" s="80"/>
      <c r="AO1996" s="82" t="n">
        <f aca="false">IF(E1996="","",(AA1996&lt;&gt;"")+(AG1996&lt;&gt;"")+(AL1996&lt;&gt;""))</f>
        <v>1</v>
      </c>
      <c r="AP1996" s="82" t="str">
        <f aca="false">IF(AL1996&lt;&gt;"",AL1996,IF(AG1996&lt;&gt;"",AG1996,IF(AA1996&lt;&gt;"",AA1996,"")))</f>
        <v>A</v>
      </c>
      <c r="AQ1996" s="84" t="str">
        <f aca="false">IF(E1996="","",IF(U1996="","À SOUDER",IF(X1996="","VT EN ATTENTE",IF(X1996="R","VT REJETÉ – À REPRENDRE",IF(AP1996="","À RADIOGRAPHIER",IF(AP1996="A","ACCEPTÉ",IF(AP1996="NX","NX – RT À REFAIRE",IF(IF(AO1996=1,AD1996,IF(AO1996=2,AI1996,""))="A","RÉPARÉ – À RADIOGRAPHIER",IF(IF(AO1996=1,AD1996,IF(AO1996=2,AI1996,""))="R","VT REJETÉ – À REPRENDRE",IF(OR(AP1996="CO",AP1996="NT"),"COUPE – À RESOUDER","À RÉPARER"))))))))))</f>
        <v>ACCEPTÉ</v>
      </c>
      <c r="AR1996" s="82" t="str">
        <f aca="false">IF(AND(ISNUMBER(U1996),OR(AQ1996="À RADIOGRAPHIER",AQ1996="RÉPARÉ – À RADIOGRAPHIER",AQ1996="NX – RT À REFAIRE",AQ1996="À RÉPARER",AQ1996="COUPE – À RESOUDER",AQ1996="VT REJETÉ – À REPRENDRE")),MAX(0,'PROGRAMME RT'!$C$4-U1996),"")</f>
        <v/>
      </c>
      <c r="AS1996" s="82" t="n">
        <f aca="false">IF(AND(OR(AQ1996="À RADIOGRAPHIER",AQ1996="RÉPARÉ – À RADIOGRAPHIER",AQ1996="NX – RT À REFAIRE"),OR('PROGRAMME RT'!$D$5="TOUTES",B1996='PROGRAMME RT'!$D$5)),1,0)</f>
        <v>0</v>
      </c>
      <c r="AT1996" s="82" t="str">
        <f aca="false">IF(AS1996=1,SUM(AS$7:AS1996),"")</f>
        <v/>
      </c>
      <c r="AU1996" s="82" t="n">
        <f aca="false">IF(AND(OR(AA1996="R",AA1996="NX",AA1996="NT",AA1996="CO"),OR('JOINTS DE RÉPARATION'!$D$5="TOUTES",B1996='JOINTS DE RÉPARATION'!$D$5),OR('JOINTS DE RÉPARATION'!$L$4="TOUS",AQ1996&lt;&gt;"ACCEPTÉ")),1,0)</f>
        <v>0</v>
      </c>
      <c r="AV1996" s="82" t="str">
        <f aca="false">IF(AU1996=1,SUM(AU$7:AU1996),"")</f>
        <v/>
      </c>
      <c r="AW1996" s="82" t="str">
        <f aca="false">IF(E1996="","",B1996&amp;"|"&amp;E1996)</f>
        <v>MFD-ISW → MFD-CPF|JN°1531</v>
      </c>
    </row>
    <row r="1997" customFormat="false" ht="74.6" hidden="false" customHeight="false" outlineLevel="0" collapsed="false">
      <c r="A1997" s="79" t="n">
        <f aca="false">IF(E1997="","",ROW()-6)</f>
        <v>1991</v>
      </c>
      <c r="B1997" s="80" t="s">
        <v>110</v>
      </c>
      <c r="C1997" s="81" t="s">
        <v>2420</v>
      </c>
      <c r="D1997" s="81" t="n">
        <v>18</v>
      </c>
      <c r="E1997" s="81" t="s">
        <v>2433</v>
      </c>
      <c r="F1997" s="82" t="str">
        <f aca="false">IF(E1997="","",IF(LEFT(E1997,2)="DJ","DJ","JN"))</f>
        <v>DJ</v>
      </c>
      <c r="G1997" s="81"/>
      <c r="H1997" s="81" t="s">
        <v>871</v>
      </c>
      <c r="I1997" s="81" t="n">
        <v>9.53</v>
      </c>
      <c r="J1997" s="81" t="s">
        <v>872</v>
      </c>
      <c r="K1997" s="81" t="s">
        <v>873</v>
      </c>
      <c r="L1997" s="81" t="n">
        <v>2092740</v>
      </c>
      <c r="M1997" s="81" t="n">
        <v>15421110</v>
      </c>
      <c r="N1997" s="81" t="n">
        <v>11.94</v>
      </c>
      <c r="O1997" s="81" t="n">
        <v>2081390</v>
      </c>
      <c r="P1997" s="81" t="n">
        <v>15421103</v>
      </c>
      <c r="Q1997" s="81" t="n">
        <v>11.94</v>
      </c>
      <c r="R1997" s="81" t="s">
        <v>1135</v>
      </c>
      <c r="S1997" s="81"/>
      <c r="T1997" s="81"/>
      <c r="U1997" s="83" t="n">
        <v>46253</v>
      </c>
      <c r="V1997" s="83" t="n">
        <v>46253</v>
      </c>
      <c r="W1997" s="81" t="s">
        <v>2240</v>
      </c>
      <c r="X1997" s="81" t="s">
        <v>876</v>
      </c>
      <c r="Y1997" s="83" t="n">
        <v>46255</v>
      </c>
      <c r="Z1997" s="81" t="s">
        <v>2389</v>
      </c>
      <c r="AA1997" s="81" t="s">
        <v>876</v>
      </c>
      <c r="AB1997" s="81"/>
      <c r="AC1997" s="81"/>
      <c r="AD1997" s="81"/>
      <c r="AE1997" s="83"/>
      <c r="AF1997" s="81"/>
      <c r="AG1997" s="81"/>
      <c r="AH1997" s="81"/>
      <c r="AI1997" s="81"/>
      <c r="AJ1997" s="83"/>
      <c r="AK1997" s="81"/>
      <c r="AL1997" s="81"/>
      <c r="AM1997" s="83"/>
      <c r="AN1997" s="80"/>
      <c r="AO1997" s="82" t="n">
        <f aca="false">IF(E1997="","",(AA1997&lt;&gt;"")+(AG1997&lt;&gt;"")+(AL1997&lt;&gt;""))</f>
        <v>1</v>
      </c>
      <c r="AP1997" s="82" t="str">
        <f aca="false">IF(AL1997&lt;&gt;"",AL1997,IF(AG1997&lt;&gt;"",AG1997,IF(AA1997&lt;&gt;"",AA1997,"")))</f>
        <v>A</v>
      </c>
      <c r="AQ1997" s="84" t="str">
        <f aca="false">IF(E1997="","",IF(U1997="","À SOUDER",IF(X1997="","VT EN ATTENTE",IF(X1997="R","VT REJETÉ – À REPRENDRE",IF(AP1997="","À RADIOGRAPHIER",IF(AP1997="A","ACCEPTÉ",IF(AP1997="NX","NX – RT À REFAIRE",IF(IF(AO1997=1,AD1997,IF(AO1997=2,AI1997,""))="A","RÉPARÉ – À RADIOGRAPHIER",IF(IF(AO1997=1,AD1997,IF(AO1997=2,AI1997,""))="R","VT REJETÉ – À REPRENDRE",IF(OR(AP1997="CO",AP1997="NT"),"COUPE – À RESOUDER","À RÉPARER"))))))))))</f>
        <v>ACCEPTÉ</v>
      </c>
      <c r="AR1997" s="82" t="str">
        <f aca="false">IF(AND(ISNUMBER(U1997),OR(AQ1997="À RADIOGRAPHIER",AQ1997="RÉPARÉ – À RADIOGRAPHIER",AQ1997="NX – RT À REFAIRE",AQ1997="À RÉPARER",AQ1997="COUPE – À RESOUDER",AQ1997="VT REJETÉ – À REPRENDRE")),MAX(0,'PROGRAMME RT'!$C$4-U1997),"")</f>
        <v/>
      </c>
      <c r="AS1997" s="82" t="n">
        <f aca="false">IF(AND(OR(AQ1997="À RADIOGRAPHIER",AQ1997="RÉPARÉ – À RADIOGRAPHIER",AQ1997="NX – RT À REFAIRE"),OR('PROGRAMME RT'!$D$5="TOUTES",B1997='PROGRAMME RT'!$D$5)),1,0)</f>
        <v>0</v>
      </c>
      <c r="AT1997" s="82" t="str">
        <f aca="false">IF(AS1997=1,SUM(AS$7:AS1997),"")</f>
        <v/>
      </c>
      <c r="AU1997" s="82" t="n">
        <f aca="false">IF(AND(OR(AA1997="R",AA1997="NX",AA1997="NT",AA1997="CO"),OR('JOINTS DE RÉPARATION'!$D$5="TOUTES",B1997='JOINTS DE RÉPARATION'!$D$5),OR('JOINTS DE RÉPARATION'!$L$4="TOUS",AQ1997&lt;&gt;"ACCEPTÉ")),1,0)</f>
        <v>0</v>
      </c>
      <c r="AV1997" s="82" t="str">
        <f aca="false">IF(AU1997=1,SUM(AU$7:AU1997),"")</f>
        <v/>
      </c>
      <c r="AW1997" s="82" t="str">
        <f aca="false">IF(E1997="","",B1997&amp;"|"&amp;E1997)</f>
        <v>MFD-ISW → MFD-CPF|DJ°055</v>
      </c>
    </row>
    <row r="1998" customFormat="false" ht="74.6" hidden="false" customHeight="false" outlineLevel="0" collapsed="false">
      <c r="A1998" s="79" t="n">
        <f aca="false">IF(E1998="","",ROW()-6)</f>
        <v>1992</v>
      </c>
      <c r="B1998" s="80" t="s">
        <v>110</v>
      </c>
      <c r="C1998" s="81" t="s">
        <v>2420</v>
      </c>
      <c r="D1998" s="81" t="n">
        <v>18</v>
      </c>
      <c r="E1998" s="81" t="s">
        <v>2434</v>
      </c>
      <c r="F1998" s="82" t="str">
        <f aca="false">IF(E1998="","",IF(LEFT(E1998,2)="DJ","DJ","JN"))</f>
        <v>JN</v>
      </c>
      <c r="G1998" s="81" t="s">
        <v>1504</v>
      </c>
      <c r="H1998" s="81" t="s">
        <v>871</v>
      </c>
      <c r="I1998" s="81" t="n">
        <v>9.53</v>
      </c>
      <c r="J1998" s="81" t="s">
        <v>872</v>
      </c>
      <c r="K1998" s="81" t="s">
        <v>1861</v>
      </c>
      <c r="L1998" s="81" t="n">
        <v>2081390</v>
      </c>
      <c r="M1998" s="81" t="n">
        <v>15421103</v>
      </c>
      <c r="N1998" s="81" t="n">
        <v>11.94</v>
      </c>
      <c r="O1998" s="81" t="n">
        <v>2089940</v>
      </c>
      <c r="P1998" s="81" t="n">
        <v>15421109</v>
      </c>
      <c r="Q1998" s="81" t="n">
        <v>11.94</v>
      </c>
      <c r="R1998" s="81" t="s">
        <v>1884</v>
      </c>
      <c r="S1998" s="81"/>
      <c r="T1998" s="81"/>
      <c r="U1998" s="83" t="n">
        <v>46287</v>
      </c>
      <c r="V1998" s="83" t="n">
        <v>46287</v>
      </c>
      <c r="W1998" s="81" t="s">
        <v>2346</v>
      </c>
      <c r="X1998" s="81" t="s">
        <v>876</v>
      </c>
      <c r="Y1998" s="83"/>
      <c r="Z1998" s="81"/>
      <c r="AA1998" s="81"/>
      <c r="AB1998" s="81"/>
      <c r="AC1998" s="81"/>
      <c r="AD1998" s="81"/>
      <c r="AE1998" s="83"/>
      <c r="AF1998" s="81"/>
      <c r="AG1998" s="81"/>
      <c r="AH1998" s="81"/>
      <c r="AI1998" s="81"/>
      <c r="AJ1998" s="83"/>
      <c r="AK1998" s="81"/>
      <c r="AL1998" s="81"/>
      <c r="AM1998" s="83"/>
      <c r="AN1998" s="80"/>
      <c r="AO1998" s="82" t="n">
        <f aca="false">IF(E1998="","",(AA1998&lt;&gt;"")+(AG1998&lt;&gt;"")+(AL1998&lt;&gt;""))</f>
        <v>0</v>
      </c>
      <c r="AP1998" s="82" t="str">
        <f aca="false">IF(AL1998&lt;&gt;"",AL1998,IF(AG1998&lt;&gt;"",AG1998,IF(AA1998&lt;&gt;"",AA1998,"")))</f>
        <v/>
      </c>
      <c r="AQ1998" s="84" t="str">
        <f aca="false">IF(E1998="","",IF(U1998="","À SOUDER",IF(X1998="","VT EN ATTENTE",IF(X1998="R","VT REJETÉ – À REPRENDRE",IF(AP1998="","À RADIOGRAPHIER",IF(AP1998="A","ACCEPTÉ",IF(AP1998="NX","NX – RT À REFAIRE",IF(IF(AO1998=1,AD1998,IF(AO1998=2,AI1998,""))="A","RÉPARÉ – À RADIOGRAPHIER",IF(IF(AO1998=1,AD1998,IF(AO1998=2,AI1998,""))="R","VT REJETÉ – À REPRENDRE",IF(OR(AP1998="CO",AP1998="NT"),"COUPE – À RESOUDER","À RÉPARER"))))))))))</f>
        <v>À RADIOGRAPHIER</v>
      </c>
      <c r="AR1998" s="82" t="n">
        <f aca="false">IF(AND(ISNUMBER(U1998),OR(AQ1998="À RADIOGRAPHIER",AQ1998="RÉPARÉ – À RADIOGRAPHIER",AQ1998="NX – RT À REFAIRE",AQ1998="À RÉPARER",AQ1998="COUPE – À RESOUDER",AQ1998="VT REJETÉ – À REPRENDRE")),MAX(0,'PROGRAMME RT'!$C$4-U1998),"")</f>
        <v>6</v>
      </c>
      <c r="AS1998" s="82" t="n">
        <f aca="false">IF(AND(OR(AQ1998="À RADIOGRAPHIER",AQ1998="RÉPARÉ – À RADIOGRAPHIER",AQ1998="NX – RT À REFAIRE"),OR('PROGRAMME RT'!$D$5="TOUTES",B1998='PROGRAMME RT'!$D$5)),1,0)</f>
        <v>1</v>
      </c>
      <c r="AT1998" s="82" t="n">
        <f aca="false">IF(AS1998=1,SUM(AS$7:AS1998),"")</f>
        <v>106</v>
      </c>
      <c r="AU1998" s="82" t="n">
        <f aca="false">IF(AND(OR(AA1998="R",AA1998="NX",AA1998="NT",AA1998="CO"),OR('JOINTS DE RÉPARATION'!$D$5="TOUTES",B1998='JOINTS DE RÉPARATION'!$D$5),OR('JOINTS DE RÉPARATION'!$L$4="TOUS",AQ1998&lt;&gt;"ACCEPTÉ")),1,0)</f>
        <v>0</v>
      </c>
      <c r="AV1998" s="82" t="str">
        <f aca="false">IF(AU1998=1,SUM(AU$7:AU1998),"")</f>
        <v/>
      </c>
      <c r="AW1998" s="82" t="str">
        <f aca="false">IF(E1998="","",B1998&amp;"|"&amp;E1998)</f>
        <v>MFD-ISW → MFD-CPF|JN°1532R</v>
      </c>
    </row>
    <row r="1999" customFormat="false" ht="74.6" hidden="false" customHeight="false" outlineLevel="0" collapsed="false">
      <c r="A1999" s="79" t="n">
        <f aca="false">IF(E1999="","",ROW()-6)</f>
        <v>1993</v>
      </c>
      <c r="B1999" s="80" t="s">
        <v>110</v>
      </c>
      <c r="C1999" s="81" t="s">
        <v>2420</v>
      </c>
      <c r="D1999" s="81" t="n">
        <v>18</v>
      </c>
      <c r="E1999" s="81" t="s">
        <v>2435</v>
      </c>
      <c r="F1999" s="82" t="str">
        <f aca="false">IF(E1999="","",IF(LEFT(E1999,2)="DJ","DJ","JN"))</f>
        <v>DJ</v>
      </c>
      <c r="G1999" s="81"/>
      <c r="H1999" s="81" t="s">
        <v>871</v>
      </c>
      <c r="I1999" s="81" t="n">
        <v>9.53</v>
      </c>
      <c r="J1999" s="81" t="s">
        <v>872</v>
      </c>
      <c r="K1999" s="81" t="s">
        <v>873</v>
      </c>
      <c r="L1999" s="81" t="n">
        <v>2089940</v>
      </c>
      <c r="M1999" s="81" t="n">
        <v>15421109</v>
      </c>
      <c r="N1999" s="81" t="n">
        <v>11.94</v>
      </c>
      <c r="O1999" s="81" t="n">
        <v>2097190</v>
      </c>
      <c r="P1999" s="81" t="n">
        <v>15421112</v>
      </c>
      <c r="Q1999" s="81" t="n">
        <v>11.94</v>
      </c>
      <c r="R1999" s="81" t="s">
        <v>963</v>
      </c>
      <c r="S1999" s="81"/>
      <c r="T1999" s="81"/>
      <c r="U1999" s="83" t="n">
        <v>46254</v>
      </c>
      <c r="V1999" s="83" t="n">
        <v>46254</v>
      </c>
      <c r="W1999" s="81" t="s">
        <v>1578</v>
      </c>
      <c r="X1999" s="81" t="s">
        <v>876</v>
      </c>
      <c r="Y1999" s="83" t="n">
        <v>46256</v>
      </c>
      <c r="Z1999" s="81" t="s">
        <v>2344</v>
      </c>
      <c r="AA1999" s="81" t="s">
        <v>876</v>
      </c>
      <c r="AB1999" s="81"/>
      <c r="AC1999" s="81"/>
      <c r="AD1999" s="81"/>
      <c r="AE1999" s="83"/>
      <c r="AF1999" s="81"/>
      <c r="AG1999" s="81"/>
      <c r="AH1999" s="81"/>
      <c r="AI1999" s="81"/>
      <c r="AJ1999" s="83"/>
      <c r="AK1999" s="81"/>
      <c r="AL1999" s="81"/>
      <c r="AM1999" s="83"/>
      <c r="AN1999" s="80"/>
      <c r="AO1999" s="82" t="n">
        <f aca="false">IF(E1999="","",(AA1999&lt;&gt;"")+(AG1999&lt;&gt;"")+(AL1999&lt;&gt;""))</f>
        <v>1</v>
      </c>
      <c r="AP1999" s="82" t="str">
        <f aca="false">IF(AL1999&lt;&gt;"",AL1999,IF(AG1999&lt;&gt;"",AG1999,IF(AA1999&lt;&gt;"",AA1999,"")))</f>
        <v>A</v>
      </c>
      <c r="AQ1999" s="84" t="str">
        <f aca="false">IF(E1999="","",IF(U1999="","À SOUDER",IF(X1999="","VT EN ATTENTE",IF(X1999="R","VT REJETÉ – À REPRENDRE",IF(AP1999="","À RADIOGRAPHIER",IF(AP1999="A","ACCEPTÉ",IF(AP1999="NX","NX – RT À REFAIRE",IF(IF(AO1999=1,AD1999,IF(AO1999=2,AI1999,""))="A","RÉPARÉ – À RADIOGRAPHIER",IF(IF(AO1999=1,AD1999,IF(AO1999=2,AI1999,""))="R","VT REJETÉ – À REPRENDRE",IF(OR(AP1999="CO",AP1999="NT"),"COUPE – À RESOUDER","À RÉPARER"))))))))))</f>
        <v>ACCEPTÉ</v>
      </c>
      <c r="AR1999" s="82" t="str">
        <f aca="false">IF(AND(ISNUMBER(U1999),OR(AQ1999="À RADIOGRAPHIER",AQ1999="RÉPARÉ – À RADIOGRAPHIER",AQ1999="NX – RT À REFAIRE",AQ1999="À RÉPARER",AQ1999="COUPE – À RESOUDER",AQ1999="VT REJETÉ – À REPRENDRE")),MAX(0,'PROGRAMME RT'!$C$4-U1999),"")</f>
        <v/>
      </c>
      <c r="AS1999" s="82" t="n">
        <f aca="false">IF(AND(OR(AQ1999="À RADIOGRAPHIER",AQ1999="RÉPARÉ – À RADIOGRAPHIER",AQ1999="NX – RT À REFAIRE"),OR('PROGRAMME RT'!$D$5="TOUTES",B1999='PROGRAMME RT'!$D$5)),1,0)</f>
        <v>0</v>
      </c>
      <c r="AT1999" s="82" t="str">
        <f aca="false">IF(AS1999=1,SUM(AS$7:AS1999),"")</f>
        <v/>
      </c>
      <c r="AU1999" s="82" t="n">
        <f aca="false">IF(AND(OR(AA1999="R",AA1999="NX",AA1999="NT",AA1999="CO"),OR('JOINTS DE RÉPARATION'!$D$5="TOUTES",B1999='JOINTS DE RÉPARATION'!$D$5),OR('JOINTS DE RÉPARATION'!$L$4="TOUS",AQ1999&lt;&gt;"ACCEPTÉ")),1,0)</f>
        <v>0</v>
      </c>
      <c r="AV1999" s="82" t="str">
        <f aca="false">IF(AU1999=1,SUM(AU$7:AU1999),"")</f>
        <v/>
      </c>
      <c r="AW1999" s="82" t="str">
        <f aca="false">IF(E1999="","",B1999&amp;"|"&amp;E1999)</f>
        <v>MFD-ISW → MFD-CPF|DJ°064</v>
      </c>
    </row>
    <row r="2000" customFormat="false" ht="74.6" hidden="false" customHeight="false" outlineLevel="0" collapsed="false">
      <c r="A2000" s="79" t="n">
        <f aca="false">IF(E2000="","",ROW()-6)</f>
        <v>1994</v>
      </c>
      <c r="B2000" s="80" t="s">
        <v>110</v>
      </c>
      <c r="C2000" s="81" t="s">
        <v>2420</v>
      </c>
      <c r="D2000" s="81" t="n">
        <v>18</v>
      </c>
      <c r="E2000" s="81" t="s">
        <v>2436</v>
      </c>
      <c r="F2000" s="82" t="str">
        <f aca="false">IF(E2000="","",IF(LEFT(E2000,2)="DJ","DJ","JN"))</f>
        <v>JN</v>
      </c>
      <c r="G2000" s="81" t="s">
        <v>1504</v>
      </c>
      <c r="H2000" s="81" t="s">
        <v>871</v>
      </c>
      <c r="I2000" s="81" t="n">
        <v>9.53</v>
      </c>
      <c r="J2000" s="81" t="s">
        <v>872</v>
      </c>
      <c r="K2000" s="81" t="s">
        <v>879</v>
      </c>
      <c r="L2000" s="81" t="n">
        <v>2097190</v>
      </c>
      <c r="M2000" s="81" t="n">
        <v>15421112</v>
      </c>
      <c r="N2000" s="81" t="n">
        <v>11.94</v>
      </c>
      <c r="O2000" s="81" t="n">
        <v>2092000</v>
      </c>
      <c r="P2000" s="81" t="n">
        <v>15421109</v>
      </c>
      <c r="Q2000" s="81" t="n">
        <v>11.94</v>
      </c>
      <c r="R2000" s="81" t="s">
        <v>2273</v>
      </c>
      <c r="S2000" s="81"/>
      <c r="T2000" s="81"/>
      <c r="U2000" s="83" t="n">
        <v>46267</v>
      </c>
      <c r="V2000" s="83" t="n">
        <v>46267</v>
      </c>
      <c r="W2000" s="81" t="s">
        <v>2432</v>
      </c>
      <c r="X2000" s="81" t="s">
        <v>876</v>
      </c>
      <c r="Y2000" s="83" t="n">
        <v>46275</v>
      </c>
      <c r="Z2000" s="81" t="s">
        <v>2425</v>
      </c>
      <c r="AA2000" s="81" t="s">
        <v>876</v>
      </c>
      <c r="AB2000" s="81"/>
      <c r="AC2000" s="81"/>
      <c r="AD2000" s="81"/>
      <c r="AE2000" s="83"/>
      <c r="AF2000" s="81"/>
      <c r="AG2000" s="81"/>
      <c r="AH2000" s="81"/>
      <c r="AI2000" s="81"/>
      <c r="AJ2000" s="83"/>
      <c r="AK2000" s="81"/>
      <c r="AL2000" s="81"/>
      <c r="AM2000" s="83"/>
      <c r="AN2000" s="80"/>
      <c r="AO2000" s="82" t="n">
        <f aca="false">IF(E2000="","",(AA2000&lt;&gt;"")+(AG2000&lt;&gt;"")+(AL2000&lt;&gt;""))</f>
        <v>1</v>
      </c>
      <c r="AP2000" s="82" t="str">
        <f aca="false">IF(AL2000&lt;&gt;"",AL2000,IF(AG2000&lt;&gt;"",AG2000,IF(AA2000&lt;&gt;"",AA2000,"")))</f>
        <v>A</v>
      </c>
      <c r="AQ2000" s="84" t="str">
        <f aca="false">IF(E2000="","",IF(U2000="","À SOUDER",IF(X2000="","VT EN ATTENTE",IF(X2000="R","VT REJETÉ – À REPRENDRE",IF(AP2000="","À RADIOGRAPHIER",IF(AP2000="A","ACCEPTÉ",IF(AP2000="NX","NX – RT À REFAIRE",IF(IF(AO2000=1,AD2000,IF(AO2000=2,AI2000,""))="A","RÉPARÉ – À RADIOGRAPHIER",IF(IF(AO2000=1,AD2000,IF(AO2000=2,AI2000,""))="R","VT REJETÉ – À REPRENDRE",IF(OR(AP2000="CO",AP2000="NT"),"COUPE – À RESOUDER","À RÉPARER"))))))))))</f>
        <v>ACCEPTÉ</v>
      </c>
      <c r="AR2000" s="82" t="str">
        <f aca="false">IF(AND(ISNUMBER(U2000),OR(AQ2000="À RADIOGRAPHIER",AQ2000="RÉPARÉ – À RADIOGRAPHIER",AQ2000="NX – RT À REFAIRE",AQ2000="À RÉPARER",AQ2000="COUPE – À RESOUDER",AQ2000="VT REJETÉ – À REPRENDRE")),MAX(0,'PROGRAMME RT'!$C$4-U2000),"")</f>
        <v/>
      </c>
      <c r="AS2000" s="82" t="n">
        <f aca="false">IF(AND(OR(AQ2000="À RADIOGRAPHIER",AQ2000="RÉPARÉ – À RADIOGRAPHIER",AQ2000="NX – RT À REFAIRE"),OR('PROGRAMME RT'!$D$5="TOUTES",B2000='PROGRAMME RT'!$D$5)),1,0)</f>
        <v>0</v>
      </c>
      <c r="AT2000" s="82" t="str">
        <f aca="false">IF(AS2000=1,SUM(AS$7:AS2000),"")</f>
        <v/>
      </c>
      <c r="AU2000" s="82" t="n">
        <f aca="false">IF(AND(OR(AA2000="R",AA2000="NX",AA2000="NT",AA2000="CO"),OR('JOINTS DE RÉPARATION'!$D$5="TOUTES",B2000='JOINTS DE RÉPARATION'!$D$5),OR('JOINTS DE RÉPARATION'!$L$4="TOUS",AQ2000&lt;&gt;"ACCEPTÉ")),1,0)</f>
        <v>0</v>
      </c>
      <c r="AV2000" s="82" t="str">
        <f aca="false">IF(AU2000=1,SUM(AU$7:AU2000),"")</f>
        <v/>
      </c>
      <c r="AW2000" s="82" t="str">
        <f aca="false">IF(E2000="","",B2000&amp;"|"&amp;E2000)</f>
        <v>MFD-ISW → MFD-CPF|JN°1533</v>
      </c>
    </row>
    <row r="2001" customFormat="false" ht="74.6" hidden="false" customHeight="false" outlineLevel="0" collapsed="false">
      <c r="A2001" s="79" t="n">
        <f aca="false">IF(E2001="","",ROW()-6)</f>
        <v>1995</v>
      </c>
      <c r="B2001" s="80" t="s">
        <v>110</v>
      </c>
      <c r="C2001" s="81" t="s">
        <v>2420</v>
      </c>
      <c r="D2001" s="81" t="n">
        <v>18</v>
      </c>
      <c r="E2001" s="81" t="s">
        <v>2437</v>
      </c>
      <c r="F2001" s="82" t="str">
        <f aca="false">IF(E2001="","",IF(LEFT(E2001,2)="DJ","DJ","JN"))</f>
        <v>DJ</v>
      </c>
      <c r="G2001" s="81"/>
      <c r="H2001" s="81" t="s">
        <v>871</v>
      </c>
      <c r="I2001" s="81" t="n">
        <v>9.53</v>
      </c>
      <c r="J2001" s="81" t="s">
        <v>872</v>
      </c>
      <c r="K2001" s="81" t="s">
        <v>873</v>
      </c>
      <c r="L2001" s="81" t="n">
        <v>2092000</v>
      </c>
      <c r="M2001" s="81" t="n">
        <v>15421109</v>
      </c>
      <c r="N2001" s="81" t="n">
        <v>11.94</v>
      </c>
      <c r="O2001" s="81" t="n">
        <v>2088490</v>
      </c>
      <c r="P2001" s="81" t="n">
        <v>15421108</v>
      </c>
      <c r="Q2001" s="81" t="n">
        <v>11.94</v>
      </c>
      <c r="R2001" s="81" t="s">
        <v>1147</v>
      </c>
      <c r="S2001" s="81"/>
      <c r="T2001" s="81"/>
      <c r="U2001" s="83" t="n">
        <v>46254</v>
      </c>
      <c r="V2001" s="83" t="n">
        <v>46254</v>
      </c>
      <c r="W2001" s="81" t="s">
        <v>1578</v>
      </c>
      <c r="X2001" s="81" t="s">
        <v>876</v>
      </c>
      <c r="Y2001" s="83" t="n">
        <v>46256</v>
      </c>
      <c r="Z2001" s="81" t="s">
        <v>2344</v>
      </c>
      <c r="AA2001" s="81" t="s">
        <v>876</v>
      </c>
      <c r="AB2001" s="81"/>
      <c r="AC2001" s="81"/>
      <c r="AD2001" s="81"/>
      <c r="AE2001" s="83"/>
      <c r="AF2001" s="81"/>
      <c r="AG2001" s="81"/>
      <c r="AH2001" s="81"/>
      <c r="AI2001" s="81"/>
      <c r="AJ2001" s="83"/>
      <c r="AK2001" s="81"/>
      <c r="AL2001" s="81"/>
      <c r="AM2001" s="83"/>
      <c r="AN2001" s="80"/>
      <c r="AO2001" s="82" t="n">
        <f aca="false">IF(E2001="","",(AA2001&lt;&gt;"")+(AG2001&lt;&gt;"")+(AL2001&lt;&gt;""))</f>
        <v>1</v>
      </c>
      <c r="AP2001" s="82" t="str">
        <f aca="false">IF(AL2001&lt;&gt;"",AL2001,IF(AG2001&lt;&gt;"",AG2001,IF(AA2001&lt;&gt;"",AA2001,"")))</f>
        <v>A</v>
      </c>
      <c r="AQ2001" s="84" t="str">
        <f aca="false">IF(E2001="","",IF(U2001="","À SOUDER",IF(X2001="","VT EN ATTENTE",IF(X2001="R","VT REJETÉ – À REPRENDRE",IF(AP2001="","À RADIOGRAPHIER",IF(AP2001="A","ACCEPTÉ",IF(AP2001="NX","NX – RT À REFAIRE",IF(IF(AO2001=1,AD2001,IF(AO2001=2,AI2001,""))="A","RÉPARÉ – À RADIOGRAPHIER",IF(IF(AO2001=1,AD2001,IF(AO2001=2,AI2001,""))="R","VT REJETÉ – À REPRENDRE",IF(OR(AP2001="CO",AP2001="NT"),"COUPE – À RESOUDER","À RÉPARER"))))))))))</f>
        <v>ACCEPTÉ</v>
      </c>
      <c r="AR2001" s="82" t="str">
        <f aca="false">IF(AND(ISNUMBER(U2001),OR(AQ2001="À RADIOGRAPHIER",AQ2001="RÉPARÉ – À RADIOGRAPHIER",AQ2001="NX – RT À REFAIRE",AQ2001="À RÉPARER",AQ2001="COUPE – À RESOUDER",AQ2001="VT REJETÉ – À REPRENDRE")),MAX(0,'PROGRAMME RT'!$C$4-U2001),"")</f>
        <v/>
      </c>
      <c r="AS2001" s="82" t="n">
        <f aca="false">IF(AND(OR(AQ2001="À RADIOGRAPHIER",AQ2001="RÉPARÉ – À RADIOGRAPHIER",AQ2001="NX – RT À REFAIRE"),OR('PROGRAMME RT'!$D$5="TOUTES",B2001='PROGRAMME RT'!$D$5)),1,0)</f>
        <v>0</v>
      </c>
      <c r="AT2001" s="82" t="str">
        <f aca="false">IF(AS2001=1,SUM(AS$7:AS2001),"")</f>
        <v/>
      </c>
      <c r="AU2001" s="82" t="n">
        <f aca="false">IF(AND(OR(AA2001="R",AA2001="NX",AA2001="NT",AA2001="CO"),OR('JOINTS DE RÉPARATION'!$D$5="TOUTES",B2001='JOINTS DE RÉPARATION'!$D$5),OR('JOINTS DE RÉPARATION'!$L$4="TOUS",AQ2001&lt;&gt;"ACCEPTÉ")),1,0)</f>
        <v>0</v>
      </c>
      <c r="AV2001" s="82" t="str">
        <f aca="false">IF(AU2001=1,SUM(AU$7:AU2001),"")</f>
        <v/>
      </c>
      <c r="AW2001" s="82" t="str">
        <f aca="false">IF(E2001="","",B2001&amp;"|"&amp;E2001)</f>
        <v>MFD-ISW → MFD-CPF|DJ°065</v>
      </c>
    </row>
    <row r="2002" customFormat="false" ht="74.6" hidden="false" customHeight="false" outlineLevel="0" collapsed="false">
      <c r="A2002" s="79" t="n">
        <f aca="false">IF(E2002="","",ROW()-6)</f>
        <v>1996</v>
      </c>
      <c r="B2002" s="80" t="s">
        <v>110</v>
      </c>
      <c r="C2002" s="81" t="s">
        <v>2420</v>
      </c>
      <c r="D2002" s="81" t="n">
        <v>18</v>
      </c>
      <c r="E2002" s="81" t="s">
        <v>2438</v>
      </c>
      <c r="F2002" s="82" t="str">
        <f aca="false">IF(E2002="","",IF(LEFT(E2002,2)="DJ","DJ","JN"))</f>
        <v>JN</v>
      </c>
      <c r="G2002" s="81" t="s">
        <v>1504</v>
      </c>
      <c r="H2002" s="81" t="s">
        <v>871</v>
      </c>
      <c r="I2002" s="81" t="n">
        <v>9.53</v>
      </c>
      <c r="J2002" s="81" t="s">
        <v>872</v>
      </c>
      <c r="K2002" s="81" t="s">
        <v>879</v>
      </c>
      <c r="L2002" s="81" t="n">
        <v>2088490</v>
      </c>
      <c r="M2002" s="81" t="n">
        <v>15421108</v>
      </c>
      <c r="N2002" s="81" t="n">
        <v>11.94</v>
      </c>
      <c r="O2002" s="81" t="n">
        <v>2089210</v>
      </c>
      <c r="P2002" s="81" t="n">
        <v>15421108</v>
      </c>
      <c r="Q2002" s="81" t="n">
        <v>11.94</v>
      </c>
      <c r="R2002" s="81" t="s">
        <v>2273</v>
      </c>
      <c r="S2002" s="81"/>
      <c r="T2002" s="81"/>
      <c r="U2002" s="83" t="n">
        <v>46267</v>
      </c>
      <c r="V2002" s="83" t="n">
        <v>46267</v>
      </c>
      <c r="W2002" s="81" t="s">
        <v>2432</v>
      </c>
      <c r="X2002" s="81" t="s">
        <v>876</v>
      </c>
      <c r="Y2002" s="83" t="n">
        <v>46275</v>
      </c>
      <c r="Z2002" s="81" t="s">
        <v>2425</v>
      </c>
      <c r="AA2002" s="81" t="s">
        <v>876</v>
      </c>
      <c r="AB2002" s="81"/>
      <c r="AC2002" s="81"/>
      <c r="AD2002" s="81"/>
      <c r="AE2002" s="83"/>
      <c r="AF2002" s="81"/>
      <c r="AG2002" s="81"/>
      <c r="AH2002" s="81"/>
      <c r="AI2002" s="81"/>
      <c r="AJ2002" s="83"/>
      <c r="AK2002" s="81"/>
      <c r="AL2002" s="81"/>
      <c r="AM2002" s="83"/>
      <c r="AN2002" s="80"/>
      <c r="AO2002" s="82" t="n">
        <f aca="false">IF(E2002="","",(AA2002&lt;&gt;"")+(AG2002&lt;&gt;"")+(AL2002&lt;&gt;""))</f>
        <v>1</v>
      </c>
      <c r="AP2002" s="82" t="str">
        <f aca="false">IF(AL2002&lt;&gt;"",AL2002,IF(AG2002&lt;&gt;"",AG2002,IF(AA2002&lt;&gt;"",AA2002,"")))</f>
        <v>A</v>
      </c>
      <c r="AQ2002" s="84" t="str">
        <f aca="false">IF(E2002="","",IF(U2002="","À SOUDER",IF(X2002="","VT EN ATTENTE",IF(X2002="R","VT REJETÉ – À REPRENDRE",IF(AP2002="","À RADIOGRAPHIER",IF(AP2002="A","ACCEPTÉ",IF(AP2002="NX","NX – RT À REFAIRE",IF(IF(AO2002=1,AD2002,IF(AO2002=2,AI2002,""))="A","RÉPARÉ – À RADIOGRAPHIER",IF(IF(AO2002=1,AD2002,IF(AO2002=2,AI2002,""))="R","VT REJETÉ – À REPRENDRE",IF(OR(AP2002="CO",AP2002="NT"),"COUPE – À RESOUDER","À RÉPARER"))))))))))</f>
        <v>ACCEPTÉ</v>
      </c>
      <c r="AR2002" s="82" t="str">
        <f aca="false">IF(AND(ISNUMBER(U2002),OR(AQ2002="À RADIOGRAPHIER",AQ2002="RÉPARÉ – À RADIOGRAPHIER",AQ2002="NX – RT À REFAIRE",AQ2002="À RÉPARER",AQ2002="COUPE – À RESOUDER",AQ2002="VT REJETÉ – À REPRENDRE")),MAX(0,'PROGRAMME RT'!$C$4-U2002),"")</f>
        <v/>
      </c>
      <c r="AS2002" s="82" t="n">
        <f aca="false">IF(AND(OR(AQ2002="À RADIOGRAPHIER",AQ2002="RÉPARÉ – À RADIOGRAPHIER",AQ2002="NX – RT À REFAIRE"),OR('PROGRAMME RT'!$D$5="TOUTES",B2002='PROGRAMME RT'!$D$5)),1,0)</f>
        <v>0</v>
      </c>
      <c r="AT2002" s="82" t="str">
        <f aca="false">IF(AS2002=1,SUM(AS$7:AS2002),"")</f>
        <v/>
      </c>
      <c r="AU2002" s="82" t="n">
        <f aca="false">IF(AND(OR(AA2002="R",AA2002="NX",AA2002="NT",AA2002="CO"),OR('JOINTS DE RÉPARATION'!$D$5="TOUTES",B2002='JOINTS DE RÉPARATION'!$D$5),OR('JOINTS DE RÉPARATION'!$L$4="TOUS",AQ2002&lt;&gt;"ACCEPTÉ")),1,0)</f>
        <v>0</v>
      </c>
      <c r="AV2002" s="82" t="str">
        <f aca="false">IF(AU2002=1,SUM(AU$7:AU2002),"")</f>
        <v/>
      </c>
      <c r="AW2002" s="82" t="str">
        <f aca="false">IF(E2002="","",B2002&amp;"|"&amp;E2002)</f>
        <v>MFD-ISW → MFD-CPF|JN°1534</v>
      </c>
    </row>
    <row r="2003" customFormat="false" ht="74.6" hidden="false" customHeight="false" outlineLevel="0" collapsed="false">
      <c r="A2003" s="79" t="n">
        <f aca="false">IF(E2003="","",ROW()-6)</f>
        <v>1997</v>
      </c>
      <c r="B2003" s="80" t="s">
        <v>110</v>
      </c>
      <c r="C2003" s="81" t="s">
        <v>2420</v>
      </c>
      <c r="D2003" s="81" t="n">
        <v>18</v>
      </c>
      <c r="E2003" s="81" t="s">
        <v>2439</v>
      </c>
      <c r="F2003" s="82" t="str">
        <f aca="false">IF(E2003="","",IF(LEFT(E2003,2)="DJ","DJ","JN"))</f>
        <v>DJ</v>
      </c>
      <c r="G2003" s="81"/>
      <c r="H2003" s="81" t="s">
        <v>871</v>
      </c>
      <c r="I2003" s="81" t="n">
        <v>9.53</v>
      </c>
      <c r="J2003" s="81" t="s">
        <v>872</v>
      </c>
      <c r="K2003" s="81" t="s">
        <v>873</v>
      </c>
      <c r="L2003" s="81" t="n">
        <v>2089210</v>
      </c>
      <c r="M2003" s="81" t="n">
        <v>15421108</v>
      </c>
      <c r="N2003" s="81" t="n">
        <v>11.94</v>
      </c>
      <c r="O2003" s="81" t="n">
        <v>2096860</v>
      </c>
      <c r="P2003" s="81" t="n">
        <v>15421110</v>
      </c>
      <c r="Q2003" s="81" t="n">
        <v>11.94</v>
      </c>
      <c r="R2003" s="81" t="s">
        <v>1517</v>
      </c>
      <c r="S2003" s="81"/>
      <c r="T2003" s="81"/>
      <c r="U2003" s="83" t="n">
        <v>46254</v>
      </c>
      <c r="V2003" s="83" t="n">
        <v>46254</v>
      </c>
      <c r="W2003" s="81" t="s">
        <v>1578</v>
      </c>
      <c r="X2003" s="81" t="s">
        <v>876</v>
      </c>
      <c r="Y2003" s="83" t="n">
        <v>46256</v>
      </c>
      <c r="Z2003" s="81" t="s">
        <v>2344</v>
      </c>
      <c r="AA2003" s="81" t="s">
        <v>876</v>
      </c>
      <c r="AB2003" s="81"/>
      <c r="AC2003" s="81"/>
      <c r="AD2003" s="81"/>
      <c r="AE2003" s="83"/>
      <c r="AF2003" s="81"/>
      <c r="AG2003" s="81"/>
      <c r="AH2003" s="81"/>
      <c r="AI2003" s="81"/>
      <c r="AJ2003" s="83"/>
      <c r="AK2003" s="81"/>
      <c r="AL2003" s="81"/>
      <c r="AM2003" s="83"/>
      <c r="AN2003" s="80"/>
      <c r="AO2003" s="82" t="n">
        <f aca="false">IF(E2003="","",(AA2003&lt;&gt;"")+(AG2003&lt;&gt;"")+(AL2003&lt;&gt;""))</f>
        <v>1</v>
      </c>
      <c r="AP2003" s="82" t="str">
        <f aca="false">IF(AL2003&lt;&gt;"",AL2003,IF(AG2003&lt;&gt;"",AG2003,IF(AA2003&lt;&gt;"",AA2003,"")))</f>
        <v>A</v>
      </c>
      <c r="AQ2003" s="84" t="str">
        <f aca="false">IF(E2003="","",IF(U2003="","À SOUDER",IF(X2003="","VT EN ATTENTE",IF(X2003="R","VT REJETÉ – À REPRENDRE",IF(AP2003="","À RADIOGRAPHIER",IF(AP2003="A","ACCEPTÉ",IF(AP2003="NX","NX – RT À REFAIRE",IF(IF(AO2003=1,AD2003,IF(AO2003=2,AI2003,""))="A","RÉPARÉ – À RADIOGRAPHIER",IF(IF(AO2003=1,AD2003,IF(AO2003=2,AI2003,""))="R","VT REJETÉ – À REPRENDRE",IF(OR(AP2003="CO",AP2003="NT"),"COUPE – À RESOUDER","À RÉPARER"))))))))))</f>
        <v>ACCEPTÉ</v>
      </c>
      <c r="AR2003" s="82" t="str">
        <f aca="false">IF(AND(ISNUMBER(U2003),OR(AQ2003="À RADIOGRAPHIER",AQ2003="RÉPARÉ – À RADIOGRAPHIER",AQ2003="NX – RT À REFAIRE",AQ2003="À RÉPARER",AQ2003="COUPE – À RESOUDER",AQ2003="VT REJETÉ – À REPRENDRE")),MAX(0,'PROGRAMME RT'!$C$4-U2003),"")</f>
        <v/>
      </c>
      <c r="AS2003" s="82" t="n">
        <f aca="false">IF(AND(OR(AQ2003="À RADIOGRAPHIER",AQ2003="RÉPARÉ – À RADIOGRAPHIER",AQ2003="NX – RT À REFAIRE"),OR('PROGRAMME RT'!$D$5="TOUTES",B2003='PROGRAMME RT'!$D$5)),1,0)</f>
        <v>0</v>
      </c>
      <c r="AT2003" s="82" t="str">
        <f aca="false">IF(AS2003=1,SUM(AS$7:AS2003),"")</f>
        <v/>
      </c>
      <c r="AU2003" s="82" t="n">
        <f aca="false">IF(AND(OR(AA2003="R",AA2003="NX",AA2003="NT",AA2003="CO"),OR('JOINTS DE RÉPARATION'!$D$5="TOUTES",B2003='JOINTS DE RÉPARATION'!$D$5),OR('JOINTS DE RÉPARATION'!$L$4="TOUS",AQ2003&lt;&gt;"ACCEPTÉ")),1,0)</f>
        <v>0</v>
      </c>
      <c r="AV2003" s="82" t="str">
        <f aca="false">IF(AU2003=1,SUM(AU$7:AU2003),"")</f>
        <v/>
      </c>
      <c r="AW2003" s="82" t="str">
        <f aca="false">IF(E2003="","",B2003&amp;"|"&amp;E2003)</f>
        <v>MFD-ISW → MFD-CPF|DJ°074</v>
      </c>
    </row>
    <row r="2004" customFormat="false" ht="74.6" hidden="false" customHeight="false" outlineLevel="0" collapsed="false">
      <c r="A2004" s="79" t="n">
        <f aca="false">IF(E2004="","",ROW()-6)</f>
        <v>1998</v>
      </c>
      <c r="B2004" s="80" t="s">
        <v>110</v>
      </c>
      <c r="C2004" s="81" t="s">
        <v>2420</v>
      </c>
      <c r="D2004" s="81" t="n">
        <v>18</v>
      </c>
      <c r="E2004" s="81" t="s">
        <v>2440</v>
      </c>
      <c r="F2004" s="82" t="str">
        <f aca="false">IF(E2004="","",IF(LEFT(E2004,2)="DJ","DJ","JN"))</f>
        <v>JN</v>
      </c>
      <c r="G2004" s="81" t="s">
        <v>1504</v>
      </c>
      <c r="H2004" s="81" t="s">
        <v>871</v>
      </c>
      <c r="I2004" s="81" t="n">
        <v>9.53</v>
      </c>
      <c r="J2004" s="81" t="s">
        <v>872</v>
      </c>
      <c r="K2004" s="81" t="s">
        <v>879</v>
      </c>
      <c r="L2004" s="81" t="n">
        <v>2096860</v>
      </c>
      <c r="M2004" s="81" t="n">
        <v>15421110</v>
      </c>
      <c r="N2004" s="81" t="n">
        <v>11.94</v>
      </c>
      <c r="O2004" s="81" t="n">
        <v>2078510</v>
      </c>
      <c r="P2004" s="81" t="n">
        <v>15421101</v>
      </c>
      <c r="Q2004" s="81" t="n">
        <v>11.94</v>
      </c>
      <c r="R2004" s="81" t="s">
        <v>2273</v>
      </c>
      <c r="S2004" s="81"/>
      <c r="T2004" s="81"/>
      <c r="U2004" s="83" t="n">
        <v>46267</v>
      </c>
      <c r="V2004" s="83" t="n">
        <v>46267</v>
      </c>
      <c r="W2004" s="81" t="s">
        <v>2432</v>
      </c>
      <c r="X2004" s="81" t="s">
        <v>876</v>
      </c>
      <c r="Y2004" s="83" t="n">
        <v>46275</v>
      </c>
      <c r="Z2004" s="81" t="s">
        <v>2425</v>
      </c>
      <c r="AA2004" s="81" t="s">
        <v>876</v>
      </c>
      <c r="AB2004" s="81"/>
      <c r="AC2004" s="81"/>
      <c r="AD2004" s="81"/>
      <c r="AE2004" s="83"/>
      <c r="AF2004" s="81"/>
      <c r="AG2004" s="81"/>
      <c r="AH2004" s="81"/>
      <c r="AI2004" s="81"/>
      <c r="AJ2004" s="83"/>
      <c r="AK2004" s="81"/>
      <c r="AL2004" s="81"/>
      <c r="AM2004" s="83"/>
      <c r="AN2004" s="80"/>
      <c r="AO2004" s="82" t="n">
        <f aca="false">IF(E2004="","",(AA2004&lt;&gt;"")+(AG2004&lt;&gt;"")+(AL2004&lt;&gt;""))</f>
        <v>1</v>
      </c>
      <c r="AP2004" s="82" t="str">
        <f aca="false">IF(AL2004&lt;&gt;"",AL2004,IF(AG2004&lt;&gt;"",AG2004,IF(AA2004&lt;&gt;"",AA2004,"")))</f>
        <v>A</v>
      </c>
      <c r="AQ2004" s="84" t="str">
        <f aca="false">IF(E2004="","",IF(U2004="","À SOUDER",IF(X2004="","VT EN ATTENTE",IF(X2004="R","VT REJETÉ – À REPRENDRE",IF(AP2004="","À RADIOGRAPHIER",IF(AP2004="A","ACCEPTÉ",IF(AP2004="NX","NX – RT À REFAIRE",IF(IF(AO2004=1,AD2004,IF(AO2004=2,AI2004,""))="A","RÉPARÉ – À RADIOGRAPHIER",IF(IF(AO2004=1,AD2004,IF(AO2004=2,AI2004,""))="R","VT REJETÉ – À REPRENDRE",IF(OR(AP2004="CO",AP2004="NT"),"COUPE – À RESOUDER","À RÉPARER"))))))))))</f>
        <v>ACCEPTÉ</v>
      </c>
      <c r="AR2004" s="82" t="str">
        <f aca="false">IF(AND(ISNUMBER(U2004),OR(AQ2004="À RADIOGRAPHIER",AQ2004="RÉPARÉ – À RADIOGRAPHIER",AQ2004="NX – RT À REFAIRE",AQ2004="À RÉPARER",AQ2004="COUPE – À RESOUDER",AQ2004="VT REJETÉ – À REPRENDRE")),MAX(0,'PROGRAMME RT'!$C$4-U2004),"")</f>
        <v/>
      </c>
      <c r="AS2004" s="82" t="n">
        <f aca="false">IF(AND(OR(AQ2004="À RADIOGRAPHIER",AQ2004="RÉPARÉ – À RADIOGRAPHIER",AQ2004="NX – RT À REFAIRE"),OR('PROGRAMME RT'!$D$5="TOUTES",B2004='PROGRAMME RT'!$D$5)),1,0)</f>
        <v>0</v>
      </c>
      <c r="AT2004" s="82" t="str">
        <f aca="false">IF(AS2004=1,SUM(AS$7:AS2004),"")</f>
        <v/>
      </c>
      <c r="AU2004" s="82" t="n">
        <f aca="false">IF(AND(OR(AA2004="R",AA2004="NX",AA2004="NT",AA2004="CO"),OR('JOINTS DE RÉPARATION'!$D$5="TOUTES",B2004='JOINTS DE RÉPARATION'!$D$5),OR('JOINTS DE RÉPARATION'!$L$4="TOUS",AQ2004&lt;&gt;"ACCEPTÉ")),1,0)</f>
        <v>0</v>
      </c>
      <c r="AV2004" s="82" t="str">
        <f aca="false">IF(AU2004=1,SUM(AU$7:AU2004),"")</f>
        <v/>
      </c>
      <c r="AW2004" s="82" t="str">
        <f aca="false">IF(E2004="","",B2004&amp;"|"&amp;E2004)</f>
        <v>MFD-ISW → MFD-CPF|JN°1535</v>
      </c>
    </row>
    <row r="2005" customFormat="false" ht="74.6" hidden="false" customHeight="false" outlineLevel="0" collapsed="false">
      <c r="A2005" s="79" t="n">
        <f aca="false">IF(E2005="","",ROW()-6)</f>
        <v>1999</v>
      </c>
      <c r="B2005" s="80" t="s">
        <v>110</v>
      </c>
      <c r="C2005" s="81" t="s">
        <v>2420</v>
      </c>
      <c r="D2005" s="81" t="n">
        <v>18</v>
      </c>
      <c r="E2005" s="81" t="s">
        <v>2441</v>
      </c>
      <c r="F2005" s="82" t="str">
        <f aca="false">IF(E2005="","",IF(LEFT(E2005,2)="DJ","DJ","JN"))</f>
        <v>DJ</v>
      </c>
      <c r="G2005" s="81"/>
      <c r="H2005" s="81" t="s">
        <v>871</v>
      </c>
      <c r="I2005" s="81" t="n">
        <v>9.53</v>
      </c>
      <c r="J2005" s="81" t="s">
        <v>872</v>
      </c>
      <c r="K2005" s="81" t="s">
        <v>873</v>
      </c>
      <c r="L2005" s="81" t="n">
        <v>2078510</v>
      </c>
      <c r="M2005" s="81" t="n">
        <v>15421101</v>
      </c>
      <c r="N2005" s="81" t="n">
        <v>11.94</v>
      </c>
      <c r="O2005" s="81" t="n">
        <v>2085450</v>
      </c>
      <c r="P2005" s="81" t="n">
        <v>15421107</v>
      </c>
      <c r="Q2005" s="81" t="n">
        <v>11.94</v>
      </c>
      <c r="R2005" s="81" t="s">
        <v>899</v>
      </c>
      <c r="S2005" s="81"/>
      <c r="T2005" s="81"/>
      <c r="U2005" s="83" t="n">
        <v>46254</v>
      </c>
      <c r="V2005" s="83" t="n">
        <v>46254</v>
      </c>
      <c r="W2005" s="81" t="s">
        <v>1578</v>
      </c>
      <c r="X2005" s="81" t="s">
        <v>876</v>
      </c>
      <c r="Y2005" s="83" t="n">
        <v>46257</v>
      </c>
      <c r="Z2005" s="81" t="s">
        <v>2300</v>
      </c>
      <c r="AA2005" s="81" t="s">
        <v>876</v>
      </c>
      <c r="AB2005" s="81"/>
      <c r="AC2005" s="81"/>
      <c r="AD2005" s="81"/>
      <c r="AE2005" s="83"/>
      <c r="AF2005" s="81"/>
      <c r="AG2005" s="81"/>
      <c r="AH2005" s="81"/>
      <c r="AI2005" s="81"/>
      <c r="AJ2005" s="83"/>
      <c r="AK2005" s="81"/>
      <c r="AL2005" s="81"/>
      <c r="AM2005" s="83"/>
      <c r="AN2005" s="80"/>
      <c r="AO2005" s="82" t="n">
        <f aca="false">IF(E2005="","",(AA2005&lt;&gt;"")+(AG2005&lt;&gt;"")+(AL2005&lt;&gt;""))</f>
        <v>1</v>
      </c>
      <c r="AP2005" s="82" t="str">
        <f aca="false">IF(AL2005&lt;&gt;"",AL2005,IF(AG2005&lt;&gt;"",AG2005,IF(AA2005&lt;&gt;"",AA2005,"")))</f>
        <v>A</v>
      </c>
      <c r="AQ2005" s="84" t="str">
        <f aca="false">IF(E2005="","",IF(U2005="","À SOUDER",IF(X2005="","VT EN ATTENTE",IF(X2005="R","VT REJETÉ – À REPRENDRE",IF(AP2005="","À RADIOGRAPHIER",IF(AP2005="A","ACCEPTÉ",IF(AP2005="NX","NX – RT À REFAIRE",IF(IF(AO2005=1,AD2005,IF(AO2005=2,AI2005,""))="A","RÉPARÉ – À RADIOGRAPHIER",IF(IF(AO2005=1,AD2005,IF(AO2005=2,AI2005,""))="R","VT REJETÉ – À REPRENDRE",IF(OR(AP2005="CO",AP2005="NT"),"COUPE – À RESOUDER","À RÉPARER"))))))))))</f>
        <v>ACCEPTÉ</v>
      </c>
      <c r="AR2005" s="82" t="str">
        <f aca="false">IF(AND(ISNUMBER(U2005),OR(AQ2005="À RADIOGRAPHIER",AQ2005="RÉPARÉ – À RADIOGRAPHIER",AQ2005="NX – RT À REFAIRE",AQ2005="À RÉPARER",AQ2005="COUPE – À RESOUDER",AQ2005="VT REJETÉ – À REPRENDRE")),MAX(0,'PROGRAMME RT'!$C$4-U2005),"")</f>
        <v/>
      </c>
      <c r="AS2005" s="82" t="n">
        <f aca="false">IF(AND(OR(AQ2005="À RADIOGRAPHIER",AQ2005="RÉPARÉ – À RADIOGRAPHIER",AQ2005="NX – RT À REFAIRE"),OR('PROGRAMME RT'!$D$5="TOUTES",B2005='PROGRAMME RT'!$D$5)),1,0)</f>
        <v>0</v>
      </c>
      <c r="AT2005" s="82" t="str">
        <f aca="false">IF(AS2005=1,SUM(AS$7:AS2005),"")</f>
        <v/>
      </c>
      <c r="AU2005" s="82" t="n">
        <f aca="false">IF(AND(OR(AA2005="R",AA2005="NX",AA2005="NT",AA2005="CO"),OR('JOINTS DE RÉPARATION'!$D$5="TOUTES",B2005='JOINTS DE RÉPARATION'!$D$5),OR('JOINTS DE RÉPARATION'!$L$4="TOUS",AQ2005&lt;&gt;"ACCEPTÉ")),1,0)</f>
        <v>0</v>
      </c>
      <c r="AV2005" s="82" t="str">
        <f aca="false">IF(AU2005=1,SUM(AU$7:AU2005),"")</f>
        <v/>
      </c>
      <c r="AW2005" s="82" t="str">
        <f aca="false">IF(E2005="","",B2005&amp;"|"&amp;E2005)</f>
        <v>MFD-ISW → MFD-CPF|DJ°072</v>
      </c>
    </row>
    <row r="2006" customFormat="false" ht="74.6" hidden="false" customHeight="false" outlineLevel="0" collapsed="false">
      <c r="A2006" s="79" t="n">
        <f aca="false">IF(E2006="","",ROW()-6)</f>
        <v>2000</v>
      </c>
      <c r="B2006" s="80" t="s">
        <v>110</v>
      </c>
      <c r="C2006" s="81" t="s">
        <v>2420</v>
      </c>
      <c r="D2006" s="81" t="n">
        <v>18</v>
      </c>
      <c r="E2006" s="81" t="s">
        <v>2442</v>
      </c>
      <c r="F2006" s="82" t="str">
        <f aca="false">IF(E2006="","",IF(LEFT(E2006,2)="DJ","DJ","JN"))</f>
        <v>JN</v>
      </c>
      <c r="G2006" s="81" t="s">
        <v>1504</v>
      </c>
      <c r="H2006" s="81" t="s">
        <v>871</v>
      </c>
      <c r="I2006" s="81" t="n">
        <v>9.53</v>
      </c>
      <c r="J2006" s="81" t="s">
        <v>872</v>
      </c>
      <c r="K2006" s="81" t="s">
        <v>879</v>
      </c>
      <c r="L2006" s="81" t="n">
        <v>2085450</v>
      </c>
      <c r="M2006" s="81" t="n">
        <v>15421107</v>
      </c>
      <c r="N2006" s="81" t="n">
        <v>11.94</v>
      </c>
      <c r="O2006" s="81" t="n">
        <v>2096600</v>
      </c>
      <c r="P2006" s="81" t="n">
        <v>15421111</v>
      </c>
      <c r="Q2006" s="81" t="n">
        <v>11.94</v>
      </c>
      <c r="R2006" s="81" t="s">
        <v>2273</v>
      </c>
      <c r="S2006" s="81"/>
      <c r="T2006" s="81"/>
      <c r="U2006" s="83" t="n">
        <v>46267</v>
      </c>
      <c r="V2006" s="83" t="n">
        <v>46267</v>
      </c>
      <c r="W2006" s="81" t="s">
        <v>2432</v>
      </c>
      <c r="X2006" s="81" t="s">
        <v>876</v>
      </c>
      <c r="Y2006" s="83" t="n">
        <v>46275</v>
      </c>
      <c r="Z2006" s="81" t="s">
        <v>2425</v>
      </c>
      <c r="AA2006" s="81" t="s">
        <v>876</v>
      </c>
      <c r="AB2006" s="81"/>
      <c r="AC2006" s="81"/>
      <c r="AD2006" s="81"/>
      <c r="AE2006" s="83"/>
      <c r="AF2006" s="81"/>
      <c r="AG2006" s="81"/>
      <c r="AH2006" s="81"/>
      <c r="AI2006" s="81"/>
      <c r="AJ2006" s="83"/>
      <c r="AK2006" s="81"/>
      <c r="AL2006" s="81"/>
      <c r="AM2006" s="83"/>
      <c r="AN2006" s="80"/>
      <c r="AO2006" s="82" t="n">
        <f aca="false">IF(E2006="","",(AA2006&lt;&gt;"")+(AG2006&lt;&gt;"")+(AL2006&lt;&gt;""))</f>
        <v>1</v>
      </c>
      <c r="AP2006" s="82" t="str">
        <f aca="false">IF(AL2006&lt;&gt;"",AL2006,IF(AG2006&lt;&gt;"",AG2006,IF(AA2006&lt;&gt;"",AA2006,"")))</f>
        <v>A</v>
      </c>
      <c r="AQ2006" s="84" t="str">
        <f aca="false">IF(E2006="","",IF(U2006="","À SOUDER",IF(X2006="","VT EN ATTENTE",IF(X2006="R","VT REJETÉ – À REPRENDRE",IF(AP2006="","À RADIOGRAPHIER",IF(AP2006="A","ACCEPTÉ",IF(AP2006="NX","NX – RT À REFAIRE",IF(IF(AO2006=1,AD2006,IF(AO2006=2,AI2006,""))="A","RÉPARÉ – À RADIOGRAPHIER",IF(IF(AO2006=1,AD2006,IF(AO2006=2,AI2006,""))="R","VT REJETÉ – À REPRENDRE",IF(OR(AP2006="CO",AP2006="NT"),"COUPE – À RESOUDER","À RÉPARER"))))))))))</f>
        <v>ACCEPTÉ</v>
      </c>
      <c r="AR2006" s="82" t="str">
        <f aca="false">IF(AND(ISNUMBER(U2006),OR(AQ2006="À RADIOGRAPHIER",AQ2006="RÉPARÉ – À RADIOGRAPHIER",AQ2006="NX – RT À REFAIRE",AQ2006="À RÉPARER",AQ2006="COUPE – À RESOUDER",AQ2006="VT REJETÉ – À REPRENDRE")),MAX(0,'PROGRAMME RT'!$C$4-U2006),"")</f>
        <v/>
      </c>
      <c r="AS2006" s="82" t="n">
        <f aca="false">IF(AND(OR(AQ2006="À RADIOGRAPHIER",AQ2006="RÉPARÉ – À RADIOGRAPHIER",AQ2006="NX – RT À REFAIRE"),OR('PROGRAMME RT'!$D$5="TOUTES",B2006='PROGRAMME RT'!$D$5)),1,0)</f>
        <v>0</v>
      </c>
      <c r="AT2006" s="82" t="str">
        <f aca="false">IF(AS2006=1,SUM(AS$7:AS2006),"")</f>
        <v/>
      </c>
      <c r="AU2006" s="82" t="n">
        <f aca="false">IF(AND(OR(AA2006="R",AA2006="NX",AA2006="NT",AA2006="CO"),OR('JOINTS DE RÉPARATION'!$D$5="TOUTES",B2006='JOINTS DE RÉPARATION'!$D$5),OR('JOINTS DE RÉPARATION'!$L$4="TOUS",AQ2006&lt;&gt;"ACCEPTÉ")),1,0)</f>
        <v>0</v>
      </c>
      <c r="AV2006" s="82" t="str">
        <f aca="false">IF(AU2006=1,SUM(AU$7:AU2006),"")</f>
        <v/>
      </c>
      <c r="AW2006" s="82" t="str">
        <f aca="false">IF(E2006="","",B2006&amp;"|"&amp;E2006)</f>
        <v>MFD-ISW → MFD-CPF|JN°1536</v>
      </c>
    </row>
    <row r="2007" customFormat="false" ht="74.6" hidden="false" customHeight="false" outlineLevel="0" collapsed="false">
      <c r="A2007" s="79" t="n">
        <f aca="false">IF(E2007="","",ROW()-6)</f>
        <v>2001</v>
      </c>
      <c r="B2007" s="80" t="s">
        <v>110</v>
      </c>
      <c r="C2007" s="81" t="s">
        <v>2420</v>
      </c>
      <c r="D2007" s="81" t="n">
        <v>18</v>
      </c>
      <c r="E2007" s="81" t="s">
        <v>2443</v>
      </c>
      <c r="F2007" s="82" t="str">
        <f aca="false">IF(E2007="","",IF(LEFT(E2007,2)="DJ","DJ","JN"))</f>
        <v>DJ</v>
      </c>
      <c r="G2007" s="81"/>
      <c r="H2007" s="81" t="s">
        <v>871</v>
      </c>
      <c r="I2007" s="81" t="n">
        <v>9.53</v>
      </c>
      <c r="J2007" s="81" t="s">
        <v>872</v>
      </c>
      <c r="K2007" s="81" t="s">
        <v>873</v>
      </c>
      <c r="L2007" s="81" t="n">
        <v>2096600</v>
      </c>
      <c r="M2007" s="81" t="n">
        <v>15421111</v>
      </c>
      <c r="N2007" s="81" t="n">
        <v>11.94</v>
      </c>
      <c r="O2007" s="81" t="n">
        <v>2080440</v>
      </c>
      <c r="P2007" s="81" t="n">
        <v>15421102</v>
      </c>
      <c r="Q2007" s="81" t="n">
        <v>11.94</v>
      </c>
      <c r="R2007" s="81" t="s">
        <v>1135</v>
      </c>
      <c r="S2007" s="81"/>
      <c r="T2007" s="81"/>
      <c r="U2007" s="83" t="n">
        <v>46254</v>
      </c>
      <c r="V2007" s="83" t="n">
        <v>46254</v>
      </c>
      <c r="W2007" s="81" t="s">
        <v>1578</v>
      </c>
      <c r="X2007" s="81" t="s">
        <v>876</v>
      </c>
      <c r="Y2007" s="83" t="n">
        <v>46256</v>
      </c>
      <c r="Z2007" s="81" t="s">
        <v>2344</v>
      </c>
      <c r="AA2007" s="81" t="s">
        <v>876</v>
      </c>
      <c r="AB2007" s="81"/>
      <c r="AC2007" s="81"/>
      <c r="AD2007" s="81"/>
      <c r="AE2007" s="83"/>
      <c r="AF2007" s="81"/>
      <c r="AG2007" s="81"/>
      <c r="AH2007" s="81"/>
      <c r="AI2007" s="81"/>
      <c r="AJ2007" s="83"/>
      <c r="AK2007" s="81"/>
      <c r="AL2007" s="81"/>
      <c r="AM2007" s="83"/>
      <c r="AN2007" s="80"/>
      <c r="AO2007" s="82" t="n">
        <f aca="false">IF(E2007="","",(AA2007&lt;&gt;"")+(AG2007&lt;&gt;"")+(AL2007&lt;&gt;""))</f>
        <v>1</v>
      </c>
      <c r="AP2007" s="82" t="str">
        <f aca="false">IF(AL2007&lt;&gt;"",AL2007,IF(AG2007&lt;&gt;"",AG2007,IF(AA2007&lt;&gt;"",AA2007,"")))</f>
        <v>A</v>
      </c>
      <c r="AQ2007" s="84" t="str">
        <f aca="false">IF(E2007="","",IF(U2007="","À SOUDER",IF(X2007="","VT EN ATTENTE",IF(X2007="R","VT REJETÉ – À REPRENDRE",IF(AP2007="","À RADIOGRAPHIER",IF(AP2007="A","ACCEPTÉ",IF(AP2007="NX","NX – RT À REFAIRE",IF(IF(AO2007=1,AD2007,IF(AO2007=2,AI2007,""))="A","RÉPARÉ – À RADIOGRAPHIER",IF(IF(AO2007=1,AD2007,IF(AO2007=2,AI2007,""))="R","VT REJETÉ – À REPRENDRE",IF(OR(AP2007="CO",AP2007="NT"),"COUPE – À RESOUDER","À RÉPARER"))))))))))</f>
        <v>ACCEPTÉ</v>
      </c>
      <c r="AR2007" s="82" t="str">
        <f aca="false">IF(AND(ISNUMBER(U2007),OR(AQ2007="À RADIOGRAPHIER",AQ2007="RÉPARÉ – À RADIOGRAPHIER",AQ2007="NX – RT À REFAIRE",AQ2007="À RÉPARER",AQ2007="COUPE – À RESOUDER",AQ2007="VT REJETÉ – À REPRENDRE")),MAX(0,'PROGRAMME RT'!$C$4-U2007),"")</f>
        <v/>
      </c>
      <c r="AS2007" s="82" t="n">
        <f aca="false">IF(AND(OR(AQ2007="À RADIOGRAPHIER",AQ2007="RÉPARÉ – À RADIOGRAPHIER",AQ2007="NX – RT À REFAIRE"),OR('PROGRAMME RT'!$D$5="TOUTES",B2007='PROGRAMME RT'!$D$5)),1,0)</f>
        <v>0</v>
      </c>
      <c r="AT2007" s="82" t="str">
        <f aca="false">IF(AS2007=1,SUM(AS$7:AS2007),"")</f>
        <v/>
      </c>
      <c r="AU2007" s="82" t="n">
        <f aca="false">IF(AND(OR(AA2007="R",AA2007="NX",AA2007="NT",AA2007="CO"),OR('JOINTS DE RÉPARATION'!$D$5="TOUTES",B2007='JOINTS DE RÉPARATION'!$D$5),OR('JOINTS DE RÉPARATION'!$L$4="TOUS",AQ2007&lt;&gt;"ACCEPTÉ")),1,0)</f>
        <v>0</v>
      </c>
      <c r="AV2007" s="82" t="str">
        <f aca="false">IF(AU2007=1,SUM(AU$7:AU2007),"")</f>
        <v/>
      </c>
      <c r="AW2007" s="82" t="str">
        <f aca="false">IF(E2007="","",B2007&amp;"|"&amp;E2007)</f>
        <v>MFD-ISW → MFD-CPF|DJ°069</v>
      </c>
    </row>
    <row r="2008" customFormat="false" ht="74.6" hidden="false" customHeight="false" outlineLevel="0" collapsed="false">
      <c r="A2008" s="79" t="n">
        <f aca="false">IF(E2008="","",ROW()-6)</f>
        <v>2002</v>
      </c>
      <c r="B2008" s="80" t="s">
        <v>110</v>
      </c>
      <c r="C2008" s="81" t="s">
        <v>2420</v>
      </c>
      <c r="D2008" s="81" t="n">
        <v>18</v>
      </c>
      <c r="E2008" s="81" t="s">
        <v>2444</v>
      </c>
      <c r="F2008" s="82" t="str">
        <f aca="false">IF(E2008="","",IF(LEFT(E2008,2)="DJ","DJ","JN"))</f>
        <v>JN</v>
      </c>
      <c r="G2008" s="81" t="s">
        <v>1504</v>
      </c>
      <c r="H2008" s="81" t="s">
        <v>871</v>
      </c>
      <c r="I2008" s="81" t="n">
        <v>9.53</v>
      </c>
      <c r="J2008" s="81" t="s">
        <v>872</v>
      </c>
      <c r="K2008" s="81" t="s">
        <v>879</v>
      </c>
      <c r="L2008" s="81" t="n">
        <v>2080440</v>
      </c>
      <c r="M2008" s="81" t="n">
        <v>15421102</v>
      </c>
      <c r="N2008" s="81" t="n">
        <v>11.94</v>
      </c>
      <c r="O2008" s="81" t="n">
        <v>2079600</v>
      </c>
      <c r="P2008" s="81" t="n">
        <v>15421102</v>
      </c>
      <c r="Q2008" s="81" t="n">
        <v>11.94</v>
      </c>
      <c r="R2008" s="81" t="s">
        <v>2273</v>
      </c>
      <c r="S2008" s="81"/>
      <c r="T2008" s="81"/>
      <c r="U2008" s="83" t="n">
        <v>46267</v>
      </c>
      <c r="V2008" s="83" t="n">
        <v>46267</v>
      </c>
      <c r="W2008" s="81" t="s">
        <v>2432</v>
      </c>
      <c r="X2008" s="81" t="s">
        <v>876</v>
      </c>
      <c r="Y2008" s="83" t="n">
        <v>46275</v>
      </c>
      <c r="Z2008" s="81" t="s">
        <v>2425</v>
      </c>
      <c r="AA2008" s="81" t="s">
        <v>876</v>
      </c>
      <c r="AB2008" s="81"/>
      <c r="AC2008" s="81"/>
      <c r="AD2008" s="81"/>
      <c r="AE2008" s="83"/>
      <c r="AF2008" s="81"/>
      <c r="AG2008" s="81"/>
      <c r="AH2008" s="81"/>
      <c r="AI2008" s="81"/>
      <c r="AJ2008" s="83"/>
      <c r="AK2008" s="81"/>
      <c r="AL2008" s="81"/>
      <c r="AM2008" s="83"/>
      <c r="AN2008" s="80"/>
      <c r="AO2008" s="82" t="n">
        <f aca="false">IF(E2008="","",(AA2008&lt;&gt;"")+(AG2008&lt;&gt;"")+(AL2008&lt;&gt;""))</f>
        <v>1</v>
      </c>
      <c r="AP2008" s="82" t="str">
        <f aca="false">IF(AL2008&lt;&gt;"",AL2008,IF(AG2008&lt;&gt;"",AG2008,IF(AA2008&lt;&gt;"",AA2008,"")))</f>
        <v>A</v>
      </c>
      <c r="AQ2008" s="84" t="str">
        <f aca="false">IF(E2008="","",IF(U2008="","À SOUDER",IF(X2008="","VT EN ATTENTE",IF(X2008="R","VT REJETÉ – À REPRENDRE",IF(AP2008="","À RADIOGRAPHIER",IF(AP2008="A","ACCEPTÉ",IF(AP2008="NX","NX – RT À REFAIRE",IF(IF(AO2008=1,AD2008,IF(AO2008=2,AI2008,""))="A","RÉPARÉ – À RADIOGRAPHIER",IF(IF(AO2008=1,AD2008,IF(AO2008=2,AI2008,""))="R","VT REJETÉ – À REPRENDRE",IF(OR(AP2008="CO",AP2008="NT"),"COUPE – À RESOUDER","À RÉPARER"))))))))))</f>
        <v>ACCEPTÉ</v>
      </c>
      <c r="AR2008" s="82" t="str">
        <f aca="false">IF(AND(ISNUMBER(U2008),OR(AQ2008="À RADIOGRAPHIER",AQ2008="RÉPARÉ – À RADIOGRAPHIER",AQ2008="NX – RT À REFAIRE",AQ2008="À RÉPARER",AQ2008="COUPE – À RESOUDER",AQ2008="VT REJETÉ – À REPRENDRE")),MAX(0,'PROGRAMME RT'!$C$4-U2008),"")</f>
        <v/>
      </c>
      <c r="AS2008" s="82" t="n">
        <f aca="false">IF(AND(OR(AQ2008="À RADIOGRAPHIER",AQ2008="RÉPARÉ – À RADIOGRAPHIER",AQ2008="NX – RT À REFAIRE"),OR('PROGRAMME RT'!$D$5="TOUTES",B2008='PROGRAMME RT'!$D$5)),1,0)</f>
        <v>0</v>
      </c>
      <c r="AT2008" s="82" t="str">
        <f aca="false">IF(AS2008=1,SUM(AS$7:AS2008),"")</f>
        <v/>
      </c>
      <c r="AU2008" s="82" t="n">
        <f aca="false">IF(AND(OR(AA2008="R",AA2008="NX",AA2008="NT",AA2008="CO"),OR('JOINTS DE RÉPARATION'!$D$5="TOUTES",B2008='JOINTS DE RÉPARATION'!$D$5),OR('JOINTS DE RÉPARATION'!$L$4="TOUS",AQ2008&lt;&gt;"ACCEPTÉ")),1,0)</f>
        <v>0</v>
      </c>
      <c r="AV2008" s="82" t="str">
        <f aca="false">IF(AU2008=1,SUM(AU$7:AU2008),"")</f>
        <v/>
      </c>
      <c r="AW2008" s="82" t="str">
        <f aca="false">IF(E2008="","",B2008&amp;"|"&amp;E2008)</f>
        <v>MFD-ISW → MFD-CPF|JN°1537</v>
      </c>
    </row>
    <row r="2009" customFormat="false" ht="74.6" hidden="false" customHeight="false" outlineLevel="0" collapsed="false">
      <c r="A2009" s="79" t="n">
        <f aca="false">IF(E2009="","",ROW()-6)</f>
        <v>2003</v>
      </c>
      <c r="B2009" s="80" t="s">
        <v>110</v>
      </c>
      <c r="C2009" s="81" t="s">
        <v>2420</v>
      </c>
      <c r="D2009" s="81" t="n">
        <v>18</v>
      </c>
      <c r="E2009" s="81" t="s">
        <v>2445</v>
      </c>
      <c r="F2009" s="82" t="str">
        <f aca="false">IF(E2009="","",IF(LEFT(E2009,2)="DJ","DJ","JN"))</f>
        <v>DJ</v>
      </c>
      <c r="G2009" s="81"/>
      <c r="H2009" s="81" t="s">
        <v>871</v>
      </c>
      <c r="I2009" s="81" t="n">
        <v>9.53</v>
      </c>
      <c r="J2009" s="81" t="s">
        <v>872</v>
      </c>
      <c r="K2009" s="81" t="s">
        <v>873</v>
      </c>
      <c r="L2009" s="81" t="n">
        <v>2079600</v>
      </c>
      <c r="M2009" s="81" t="n">
        <v>15421102</v>
      </c>
      <c r="N2009" s="81" t="n">
        <v>11.94</v>
      </c>
      <c r="O2009" s="81" t="n">
        <v>2088240</v>
      </c>
      <c r="P2009" s="81" t="n">
        <v>15421108</v>
      </c>
      <c r="Q2009" s="81" t="n">
        <v>11.94</v>
      </c>
      <c r="R2009" s="81" t="s">
        <v>963</v>
      </c>
      <c r="S2009" s="81"/>
      <c r="T2009" s="81"/>
      <c r="U2009" s="83" t="n">
        <v>46253</v>
      </c>
      <c r="V2009" s="83" t="n">
        <v>46253</v>
      </c>
      <c r="W2009" s="81" t="s">
        <v>2240</v>
      </c>
      <c r="X2009" s="81" t="s">
        <v>876</v>
      </c>
      <c r="Y2009" s="83" t="n">
        <v>46257</v>
      </c>
      <c r="Z2009" s="81" t="s">
        <v>2300</v>
      </c>
      <c r="AA2009" s="81" t="s">
        <v>876</v>
      </c>
      <c r="AB2009" s="81"/>
      <c r="AC2009" s="81"/>
      <c r="AD2009" s="81"/>
      <c r="AE2009" s="83"/>
      <c r="AF2009" s="81"/>
      <c r="AG2009" s="81"/>
      <c r="AH2009" s="81"/>
      <c r="AI2009" s="81"/>
      <c r="AJ2009" s="83"/>
      <c r="AK2009" s="81"/>
      <c r="AL2009" s="81"/>
      <c r="AM2009" s="83"/>
      <c r="AN2009" s="80"/>
      <c r="AO2009" s="82" t="n">
        <f aca="false">IF(E2009="","",(AA2009&lt;&gt;"")+(AG2009&lt;&gt;"")+(AL2009&lt;&gt;""))</f>
        <v>1</v>
      </c>
      <c r="AP2009" s="82" t="str">
        <f aca="false">IF(AL2009&lt;&gt;"",AL2009,IF(AG2009&lt;&gt;"",AG2009,IF(AA2009&lt;&gt;"",AA2009,"")))</f>
        <v>A</v>
      </c>
      <c r="AQ2009" s="84" t="str">
        <f aca="false">IF(E2009="","",IF(U2009="","À SOUDER",IF(X2009="","VT EN ATTENTE",IF(X2009="R","VT REJETÉ – À REPRENDRE",IF(AP2009="","À RADIOGRAPHIER",IF(AP2009="A","ACCEPTÉ",IF(AP2009="NX","NX – RT À REFAIRE",IF(IF(AO2009=1,AD2009,IF(AO2009=2,AI2009,""))="A","RÉPARÉ – À RADIOGRAPHIER",IF(IF(AO2009=1,AD2009,IF(AO2009=2,AI2009,""))="R","VT REJETÉ – À REPRENDRE",IF(OR(AP2009="CO",AP2009="NT"),"COUPE – À RESOUDER","À RÉPARER"))))))))))</f>
        <v>ACCEPTÉ</v>
      </c>
      <c r="AR2009" s="82" t="str">
        <f aca="false">IF(AND(ISNUMBER(U2009),OR(AQ2009="À RADIOGRAPHIER",AQ2009="RÉPARÉ – À RADIOGRAPHIER",AQ2009="NX – RT À REFAIRE",AQ2009="À RÉPARER",AQ2009="COUPE – À RESOUDER",AQ2009="VT REJETÉ – À REPRENDRE")),MAX(0,'PROGRAMME RT'!$C$4-U2009),"")</f>
        <v/>
      </c>
      <c r="AS2009" s="82" t="n">
        <f aca="false">IF(AND(OR(AQ2009="À RADIOGRAPHIER",AQ2009="RÉPARÉ – À RADIOGRAPHIER",AQ2009="NX – RT À REFAIRE"),OR('PROGRAMME RT'!$D$5="TOUTES",B2009='PROGRAMME RT'!$D$5)),1,0)</f>
        <v>0</v>
      </c>
      <c r="AT2009" s="82" t="str">
        <f aca="false">IF(AS2009=1,SUM(AS$7:AS2009),"")</f>
        <v/>
      </c>
      <c r="AU2009" s="82" t="n">
        <f aca="false">IF(AND(OR(AA2009="R",AA2009="NX",AA2009="NT",AA2009="CO"),OR('JOINTS DE RÉPARATION'!$D$5="TOUTES",B2009='JOINTS DE RÉPARATION'!$D$5),OR('JOINTS DE RÉPARATION'!$L$4="TOUS",AQ2009&lt;&gt;"ACCEPTÉ")),1,0)</f>
        <v>0</v>
      </c>
      <c r="AV2009" s="82" t="str">
        <f aca="false">IF(AU2009=1,SUM(AU$7:AU2009),"")</f>
        <v/>
      </c>
      <c r="AW2009" s="82" t="str">
        <f aca="false">IF(E2009="","",B2009&amp;"|"&amp;E2009)</f>
        <v>MFD-ISW → MFD-CPF|DJ°052</v>
      </c>
    </row>
    <row r="2010" customFormat="false" ht="74.6" hidden="false" customHeight="false" outlineLevel="0" collapsed="false">
      <c r="A2010" s="79" t="n">
        <f aca="false">IF(E2010="","",ROW()-6)</f>
        <v>2004</v>
      </c>
      <c r="B2010" s="80" t="s">
        <v>110</v>
      </c>
      <c r="C2010" s="81" t="s">
        <v>2420</v>
      </c>
      <c r="D2010" s="81" t="n">
        <v>18</v>
      </c>
      <c r="E2010" s="81" t="s">
        <v>2446</v>
      </c>
      <c r="F2010" s="82" t="str">
        <f aca="false">IF(E2010="","",IF(LEFT(E2010,2)="DJ","DJ","JN"))</f>
        <v>JN</v>
      </c>
      <c r="G2010" s="81" t="s">
        <v>1504</v>
      </c>
      <c r="H2010" s="81" t="s">
        <v>871</v>
      </c>
      <c r="I2010" s="81" t="n">
        <v>9.53</v>
      </c>
      <c r="J2010" s="81" t="s">
        <v>872</v>
      </c>
      <c r="K2010" s="81" t="s">
        <v>879</v>
      </c>
      <c r="L2010" s="81" t="n">
        <v>2088240</v>
      </c>
      <c r="M2010" s="81" t="n">
        <v>15421108</v>
      </c>
      <c r="N2010" s="81" t="n">
        <v>11.94</v>
      </c>
      <c r="O2010" s="81" t="n">
        <v>2092590</v>
      </c>
      <c r="P2010" s="81" t="n">
        <v>15421110</v>
      </c>
      <c r="Q2010" s="81" t="n">
        <v>11.94</v>
      </c>
      <c r="R2010" s="81" t="s">
        <v>2273</v>
      </c>
      <c r="S2010" s="81"/>
      <c r="T2010" s="81"/>
      <c r="U2010" s="83" t="n">
        <v>46267</v>
      </c>
      <c r="V2010" s="83" t="n">
        <v>46267</v>
      </c>
      <c r="W2010" s="81" t="s">
        <v>2432</v>
      </c>
      <c r="X2010" s="81" t="s">
        <v>876</v>
      </c>
      <c r="Y2010" s="83" t="n">
        <v>46275</v>
      </c>
      <c r="Z2010" s="81" t="s">
        <v>2425</v>
      </c>
      <c r="AA2010" s="81" t="s">
        <v>876</v>
      </c>
      <c r="AB2010" s="81"/>
      <c r="AC2010" s="81"/>
      <c r="AD2010" s="81"/>
      <c r="AE2010" s="83"/>
      <c r="AF2010" s="81"/>
      <c r="AG2010" s="81"/>
      <c r="AH2010" s="81"/>
      <c r="AI2010" s="81"/>
      <c r="AJ2010" s="83"/>
      <c r="AK2010" s="81"/>
      <c r="AL2010" s="81"/>
      <c r="AM2010" s="83"/>
      <c r="AN2010" s="80"/>
      <c r="AO2010" s="82" t="n">
        <f aca="false">IF(E2010="","",(AA2010&lt;&gt;"")+(AG2010&lt;&gt;"")+(AL2010&lt;&gt;""))</f>
        <v>1</v>
      </c>
      <c r="AP2010" s="82" t="str">
        <f aca="false">IF(AL2010&lt;&gt;"",AL2010,IF(AG2010&lt;&gt;"",AG2010,IF(AA2010&lt;&gt;"",AA2010,"")))</f>
        <v>A</v>
      </c>
      <c r="AQ2010" s="84" t="str">
        <f aca="false">IF(E2010="","",IF(U2010="","À SOUDER",IF(X2010="","VT EN ATTENTE",IF(X2010="R","VT REJETÉ – À REPRENDRE",IF(AP2010="","À RADIOGRAPHIER",IF(AP2010="A","ACCEPTÉ",IF(AP2010="NX","NX – RT À REFAIRE",IF(IF(AO2010=1,AD2010,IF(AO2010=2,AI2010,""))="A","RÉPARÉ – À RADIOGRAPHIER",IF(IF(AO2010=1,AD2010,IF(AO2010=2,AI2010,""))="R","VT REJETÉ – À REPRENDRE",IF(OR(AP2010="CO",AP2010="NT"),"COUPE – À RESOUDER","À RÉPARER"))))))))))</f>
        <v>ACCEPTÉ</v>
      </c>
      <c r="AR2010" s="82" t="str">
        <f aca="false">IF(AND(ISNUMBER(U2010),OR(AQ2010="À RADIOGRAPHIER",AQ2010="RÉPARÉ – À RADIOGRAPHIER",AQ2010="NX – RT À REFAIRE",AQ2010="À RÉPARER",AQ2010="COUPE – À RESOUDER",AQ2010="VT REJETÉ – À REPRENDRE")),MAX(0,'PROGRAMME RT'!$C$4-U2010),"")</f>
        <v/>
      </c>
      <c r="AS2010" s="82" t="n">
        <f aca="false">IF(AND(OR(AQ2010="À RADIOGRAPHIER",AQ2010="RÉPARÉ – À RADIOGRAPHIER",AQ2010="NX – RT À REFAIRE"),OR('PROGRAMME RT'!$D$5="TOUTES",B2010='PROGRAMME RT'!$D$5)),1,0)</f>
        <v>0</v>
      </c>
      <c r="AT2010" s="82" t="str">
        <f aca="false">IF(AS2010=1,SUM(AS$7:AS2010),"")</f>
        <v/>
      </c>
      <c r="AU2010" s="82" t="n">
        <f aca="false">IF(AND(OR(AA2010="R",AA2010="NX",AA2010="NT",AA2010="CO"),OR('JOINTS DE RÉPARATION'!$D$5="TOUTES",B2010='JOINTS DE RÉPARATION'!$D$5),OR('JOINTS DE RÉPARATION'!$L$4="TOUS",AQ2010&lt;&gt;"ACCEPTÉ")),1,0)</f>
        <v>0</v>
      </c>
      <c r="AV2010" s="82" t="str">
        <f aca="false">IF(AU2010=1,SUM(AU$7:AU2010),"")</f>
        <v/>
      </c>
      <c r="AW2010" s="82" t="str">
        <f aca="false">IF(E2010="","",B2010&amp;"|"&amp;E2010)</f>
        <v>MFD-ISW → MFD-CPF|JN°1538</v>
      </c>
    </row>
    <row r="2011" customFormat="false" ht="74.6" hidden="false" customHeight="false" outlineLevel="0" collapsed="false">
      <c r="A2011" s="79" t="n">
        <f aca="false">IF(E2011="","",ROW()-6)</f>
        <v>2005</v>
      </c>
      <c r="B2011" s="80" t="s">
        <v>110</v>
      </c>
      <c r="C2011" s="81" t="s">
        <v>2420</v>
      </c>
      <c r="D2011" s="81" t="n">
        <v>18</v>
      </c>
      <c r="E2011" s="81" t="s">
        <v>2447</v>
      </c>
      <c r="F2011" s="82" t="str">
        <f aca="false">IF(E2011="","",IF(LEFT(E2011,2)="DJ","DJ","JN"))</f>
        <v>DJ</v>
      </c>
      <c r="G2011" s="81"/>
      <c r="H2011" s="81" t="s">
        <v>871</v>
      </c>
      <c r="I2011" s="81" t="n">
        <v>9.53</v>
      </c>
      <c r="J2011" s="81" t="s">
        <v>872</v>
      </c>
      <c r="K2011" s="81" t="s">
        <v>873</v>
      </c>
      <c r="L2011" s="81" t="n">
        <v>2092590</v>
      </c>
      <c r="M2011" s="81" t="n">
        <v>15421110</v>
      </c>
      <c r="N2011" s="81" t="n">
        <v>11.94</v>
      </c>
      <c r="O2011" s="81" t="n">
        <v>2092990</v>
      </c>
      <c r="P2011" s="81" t="n">
        <v>15421110</v>
      </c>
      <c r="Q2011" s="81" t="n">
        <v>11.94</v>
      </c>
      <c r="R2011" s="81" t="s">
        <v>1147</v>
      </c>
      <c r="S2011" s="81"/>
      <c r="T2011" s="81"/>
      <c r="U2011" s="83" t="n">
        <v>46254</v>
      </c>
      <c r="V2011" s="83" t="n">
        <v>46254</v>
      </c>
      <c r="W2011" s="81" t="s">
        <v>1578</v>
      </c>
      <c r="X2011" s="81" t="s">
        <v>876</v>
      </c>
      <c r="Y2011" s="83" t="n">
        <v>46257</v>
      </c>
      <c r="Z2011" s="81" t="s">
        <v>2300</v>
      </c>
      <c r="AA2011" s="81" t="s">
        <v>876</v>
      </c>
      <c r="AB2011" s="81"/>
      <c r="AC2011" s="81"/>
      <c r="AD2011" s="81"/>
      <c r="AE2011" s="83"/>
      <c r="AF2011" s="81"/>
      <c r="AG2011" s="81"/>
      <c r="AH2011" s="81"/>
      <c r="AI2011" s="81"/>
      <c r="AJ2011" s="83"/>
      <c r="AK2011" s="81"/>
      <c r="AL2011" s="81"/>
      <c r="AM2011" s="83"/>
      <c r="AN2011" s="80"/>
      <c r="AO2011" s="82" t="n">
        <f aca="false">IF(E2011="","",(AA2011&lt;&gt;"")+(AG2011&lt;&gt;"")+(AL2011&lt;&gt;""))</f>
        <v>1</v>
      </c>
      <c r="AP2011" s="82" t="str">
        <f aca="false">IF(AL2011&lt;&gt;"",AL2011,IF(AG2011&lt;&gt;"",AG2011,IF(AA2011&lt;&gt;"",AA2011,"")))</f>
        <v>A</v>
      </c>
      <c r="AQ2011" s="84" t="str">
        <f aca="false">IF(E2011="","",IF(U2011="","À SOUDER",IF(X2011="","VT EN ATTENTE",IF(X2011="R","VT REJETÉ – À REPRENDRE",IF(AP2011="","À RADIOGRAPHIER",IF(AP2011="A","ACCEPTÉ",IF(AP2011="NX","NX – RT À REFAIRE",IF(IF(AO2011=1,AD2011,IF(AO2011=2,AI2011,""))="A","RÉPARÉ – À RADIOGRAPHIER",IF(IF(AO2011=1,AD2011,IF(AO2011=2,AI2011,""))="R","VT REJETÉ – À REPRENDRE",IF(OR(AP2011="CO",AP2011="NT"),"COUPE – À RESOUDER","À RÉPARER"))))))))))</f>
        <v>ACCEPTÉ</v>
      </c>
      <c r="AR2011" s="82" t="str">
        <f aca="false">IF(AND(ISNUMBER(U2011),OR(AQ2011="À RADIOGRAPHIER",AQ2011="RÉPARÉ – À RADIOGRAPHIER",AQ2011="NX – RT À REFAIRE",AQ2011="À RÉPARER",AQ2011="COUPE – À RESOUDER",AQ2011="VT REJETÉ – À REPRENDRE")),MAX(0,'PROGRAMME RT'!$C$4-U2011),"")</f>
        <v/>
      </c>
      <c r="AS2011" s="82" t="n">
        <f aca="false">IF(AND(OR(AQ2011="À RADIOGRAPHIER",AQ2011="RÉPARÉ – À RADIOGRAPHIER",AQ2011="NX – RT À REFAIRE"),OR('PROGRAMME RT'!$D$5="TOUTES",B2011='PROGRAMME RT'!$D$5)),1,0)</f>
        <v>0</v>
      </c>
      <c r="AT2011" s="82" t="str">
        <f aca="false">IF(AS2011=1,SUM(AS$7:AS2011),"")</f>
        <v/>
      </c>
      <c r="AU2011" s="82" t="n">
        <f aca="false">IF(AND(OR(AA2011="R",AA2011="NX",AA2011="NT",AA2011="CO"),OR('JOINTS DE RÉPARATION'!$D$5="TOUTES",B2011='JOINTS DE RÉPARATION'!$D$5),OR('JOINTS DE RÉPARATION'!$L$4="TOUS",AQ2011&lt;&gt;"ACCEPTÉ")),1,0)</f>
        <v>0</v>
      </c>
      <c r="AV2011" s="82" t="str">
        <f aca="false">IF(AU2011=1,SUM(AU$7:AU2011),"")</f>
        <v/>
      </c>
      <c r="AW2011" s="82" t="str">
        <f aca="false">IF(E2011="","",B2011&amp;"|"&amp;E2011)</f>
        <v>MFD-ISW → MFD-CPF|DJ°063</v>
      </c>
    </row>
    <row r="2012" customFormat="false" ht="74.6" hidden="false" customHeight="false" outlineLevel="0" collapsed="false">
      <c r="A2012" s="79" t="n">
        <f aca="false">IF(E2012="","",ROW()-6)</f>
        <v>2006</v>
      </c>
      <c r="B2012" s="80" t="s">
        <v>110</v>
      </c>
      <c r="C2012" s="81" t="s">
        <v>2420</v>
      </c>
      <c r="D2012" s="81" t="n">
        <v>18</v>
      </c>
      <c r="E2012" s="81" t="s">
        <v>2448</v>
      </c>
      <c r="F2012" s="82" t="str">
        <f aca="false">IF(E2012="","",IF(LEFT(E2012,2)="DJ","DJ","JN"))</f>
        <v>JN</v>
      </c>
      <c r="G2012" s="81" t="s">
        <v>1504</v>
      </c>
      <c r="H2012" s="81" t="s">
        <v>871</v>
      </c>
      <c r="I2012" s="81" t="n">
        <v>9.53</v>
      </c>
      <c r="J2012" s="81" t="s">
        <v>872</v>
      </c>
      <c r="K2012" s="81" t="s">
        <v>1861</v>
      </c>
      <c r="L2012" s="81" t="n">
        <v>2092990</v>
      </c>
      <c r="M2012" s="81" t="n">
        <v>15421110</v>
      </c>
      <c r="N2012" s="81" t="n">
        <v>11.94</v>
      </c>
      <c r="O2012" s="81" t="n">
        <v>2095040</v>
      </c>
      <c r="P2012" s="81" t="n">
        <v>15421111</v>
      </c>
      <c r="Q2012" s="81" t="n">
        <v>11.94</v>
      </c>
      <c r="R2012" s="81" t="s">
        <v>1862</v>
      </c>
      <c r="S2012" s="81"/>
      <c r="T2012" s="81"/>
      <c r="U2012" s="83" t="n">
        <v>46287</v>
      </c>
      <c r="V2012" s="83" t="n">
        <v>46287</v>
      </c>
      <c r="W2012" s="81" t="s">
        <v>2346</v>
      </c>
      <c r="X2012" s="81" t="s">
        <v>876</v>
      </c>
      <c r="Y2012" s="83"/>
      <c r="Z2012" s="81"/>
      <c r="AA2012" s="81"/>
      <c r="AB2012" s="81"/>
      <c r="AC2012" s="81"/>
      <c r="AD2012" s="81"/>
      <c r="AE2012" s="83"/>
      <c r="AF2012" s="81"/>
      <c r="AG2012" s="81"/>
      <c r="AH2012" s="81"/>
      <c r="AI2012" s="81"/>
      <c r="AJ2012" s="83"/>
      <c r="AK2012" s="81"/>
      <c r="AL2012" s="81"/>
      <c r="AM2012" s="83"/>
      <c r="AN2012" s="80"/>
      <c r="AO2012" s="82" t="n">
        <f aca="false">IF(E2012="","",(AA2012&lt;&gt;"")+(AG2012&lt;&gt;"")+(AL2012&lt;&gt;""))</f>
        <v>0</v>
      </c>
      <c r="AP2012" s="82" t="str">
        <f aca="false">IF(AL2012&lt;&gt;"",AL2012,IF(AG2012&lt;&gt;"",AG2012,IF(AA2012&lt;&gt;"",AA2012,"")))</f>
        <v/>
      </c>
      <c r="AQ2012" s="84" t="str">
        <f aca="false">IF(E2012="","",IF(U2012="","À SOUDER",IF(X2012="","VT EN ATTENTE",IF(X2012="R","VT REJETÉ – À REPRENDRE",IF(AP2012="","À RADIOGRAPHIER",IF(AP2012="A","ACCEPTÉ",IF(AP2012="NX","NX – RT À REFAIRE",IF(IF(AO2012=1,AD2012,IF(AO2012=2,AI2012,""))="A","RÉPARÉ – À RADIOGRAPHIER",IF(IF(AO2012=1,AD2012,IF(AO2012=2,AI2012,""))="R","VT REJETÉ – À REPRENDRE",IF(OR(AP2012="CO",AP2012="NT"),"COUPE – À RESOUDER","À RÉPARER"))))))))))</f>
        <v>À RADIOGRAPHIER</v>
      </c>
      <c r="AR2012" s="82" t="n">
        <f aca="false">IF(AND(ISNUMBER(U2012),OR(AQ2012="À RADIOGRAPHIER",AQ2012="RÉPARÉ – À RADIOGRAPHIER",AQ2012="NX – RT À REFAIRE",AQ2012="À RÉPARER",AQ2012="COUPE – À RESOUDER",AQ2012="VT REJETÉ – À REPRENDRE")),MAX(0,'PROGRAMME RT'!$C$4-U2012),"")</f>
        <v>6</v>
      </c>
      <c r="AS2012" s="82" t="n">
        <f aca="false">IF(AND(OR(AQ2012="À RADIOGRAPHIER",AQ2012="RÉPARÉ – À RADIOGRAPHIER",AQ2012="NX – RT À REFAIRE"),OR('PROGRAMME RT'!$D$5="TOUTES",B2012='PROGRAMME RT'!$D$5)),1,0)</f>
        <v>1</v>
      </c>
      <c r="AT2012" s="82" t="n">
        <f aca="false">IF(AS2012=1,SUM(AS$7:AS2012),"")</f>
        <v>107</v>
      </c>
      <c r="AU2012" s="82" t="n">
        <f aca="false">IF(AND(OR(AA2012="R",AA2012="NX",AA2012="NT",AA2012="CO"),OR('JOINTS DE RÉPARATION'!$D$5="TOUTES",B2012='JOINTS DE RÉPARATION'!$D$5),OR('JOINTS DE RÉPARATION'!$L$4="TOUS",AQ2012&lt;&gt;"ACCEPTÉ")),1,0)</f>
        <v>0</v>
      </c>
      <c r="AV2012" s="82" t="str">
        <f aca="false">IF(AU2012=1,SUM(AU$7:AU2012),"")</f>
        <v/>
      </c>
      <c r="AW2012" s="82" t="str">
        <f aca="false">IF(E2012="","",B2012&amp;"|"&amp;E2012)</f>
        <v>MFD-ISW → MFD-CPF|JN°1539R</v>
      </c>
    </row>
    <row r="2013" customFormat="false" ht="74.6" hidden="false" customHeight="false" outlineLevel="0" collapsed="false">
      <c r="A2013" s="79" t="n">
        <f aca="false">IF(E2013="","",ROW()-6)</f>
        <v>2007</v>
      </c>
      <c r="B2013" s="80" t="s">
        <v>110</v>
      </c>
      <c r="C2013" s="81" t="s">
        <v>2420</v>
      </c>
      <c r="D2013" s="81" t="n">
        <v>18</v>
      </c>
      <c r="E2013" s="81" t="s">
        <v>2449</v>
      </c>
      <c r="F2013" s="82" t="str">
        <f aca="false">IF(E2013="","",IF(LEFT(E2013,2)="DJ","DJ","JN"))</f>
        <v>DJ</v>
      </c>
      <c r="G2013" s="81"/>
      <c r="H2013" s="81" t="s">
        <v>871</v>
      </c>
      <c r="I2013" s="81" t="n">
        <v>9.53</v>
      </c>
      <c r="J2013" s="81" t="s">
        <v>872</v>
      </c>
      <c r="K2013" s="81" t="s">
        <v>873</v>
      </c>
      <c r="L2013" s="81" t="n">
        <v>2095040</v>
      </c>
      <c r="M2013" s="81" t="n">
        <v>15421111</v>
      </c>
      <c r="N2013" s="81" t="n">
        <v>11.94</v>
      </c>
      <c r="O2013" s="81" t="n">
        <v>2095950</v>
      </c>
      <c r="P2013" s="81" t="n">
        <v>15421104</v>
      </c>
      <c r="Q2013" s="81" t="n">
        <v>11.94</v>
      </c>
      <c r="R2013" s="81" t="s">
        <v>1517</v>
      </c>
      <c r="S2013" s="81"/>
      <c r="T2013" s="81"/>
      <c r="U2013" s="83" t="n">
        <v>46253</v>
      </c>
      <c r="V2013" s="83" t="n">
        <v>46253</v>
      </c>
      <c r="W2013" s="81" t="s">
        <v>2240</v>
      </c>
      <c r="X2013" s="81" t="s">
        <v>876</v>
      </c>
      <c r="Y2013" s="83" t="n">
        <v>46256</v>
      </c>
      <c r="Z2013" s="81" t="s">
        <v>2344</v>
      </c>
      <c r="AA2013" s="81" t="s">
        <v>876</v>
      </c>
      <c r="AB2013" s="81"/>
      <c r="AC2013" s="81"/>
      <c r="AD2013" s="81"/>
      <c r="AE2013" s="83"/>
      <c r="AF2013" s="81"/>
      <c r="AG2013" s="81"/>
      <c r="AH2013" s="81"/>
      <c r="AI2013" s="81"/>
      <c r="AJ2013" s="83"/>
      <c r="AK2013" s="81"/>
      <c r="AL2013" s="81"/>
      <c r="AM2013" s="83"/>
      <c r="AN2013" s="80"/>
      <c r="AO2013" s="82" t="n">
        <f aca="false">IF(E2013="","",(AA2013&lt;&gt;"")+(AG2013&lt;&gt;"")+(AL2013&lt;&gt;""))</f>
        <v>1</v>
      </c>
      <c r="AP2013" s="82" t="str">
        <f aca="false">IF(AL2013&lt;&gt;"",AL2013,IF(AG2013&lt;&gt;"",AG2013,IF(AA2013&lt;&gt;"",AA2013,"")))</f>
        <v>A</v>
      </c>
      <c r="AQ2013" s="84" t="str">
        <f aca="false">IF(E2013="","",IF(U2013="","À SOUDER",IF(X2013="","VT EN ATTENTE",IF(X2013="R","VT REJETÉ – À REPRENDRE",IF(AP2013="","À RADIOGRAPHIER",IF(AP2013="A","ACCEPTÉ",IF(AP2013="NX","NX – RT À REFAIRE",IF(IF(AO2013=1,AD2013,IF(AO2013=2,AI2013,""))="A","RÉPARÉ – À RADIOGRAPHIER",IF(IF(AO2013=1,AD2013,IF(AO2013=2,AI2013,""))="R","VT REJETÉ – À REPRENDRE",IF(OR(AP2013="CO",AP2013="NT"),"COUPE – À RESOUDER","À RÉPARER"))))))))))</f>
        <v>ACCEPTÉ</v>
      </c>
      <c r="AR2013" s="82" t="str">
        <f aca="false">IF(AND(ISNUMBER(U2013),OR(AQ2013="À RADIOGRAPHIER",AQ2013="RÉPARÉ – À RADIOGRAPHIER",AQ2013="NX – RT À REFAIRE",AQ2013="À RÉPARER",AQ2013="COUPE – À RESOUDER",AQ2013="VT REJETÉ – À REPRENDRE")),MAX(0,'PROGRAMME RT'!$C$4-U2013),"")</f>
        <v/>
      </c>
      <c r="AS2013" s="82" t="n">
        <f aca="false">IF(AND(OR(AQ2013="À RADIOGRAPHIER",AQ2013="RÉPARÉ – À RADIOGRAPHIER",AQ2013="NX – RT À REFAIRE"),OR('PROGRAMME RT'!$D$5="TOUTES",B2013='PROGRAMME RT'!$D$5)),1,0)</f>
        <v>0</v>
      </c>
      <c r="AT2013" s="82" t="str">
        <f aca="false">IF(AS2013=1,SUM(AS$7:AS2013),"")</f>
        <v/>
      </c>
      <c r="AU2013" s="82" t="n">
        <f aca="false">IF(AND(OR(AA2013="R",AA2013="NX",AA2013="NT",AA2013="CO"),OR('JOINTS DE RÉPARATION'!$D$5="TOUTES",B2013='JOINTS DE RÉPARATION'!$D$5),OR('JOINTS DE RÉPARATION'!$L$4="TOUS",AQ2013&lt;&gt;"ACCEPTÉ")),1,0)</f>
        <v>0</v>
      </c>
      <c r="AV2013" s="82" t="str">
        <f aca="false">IF(AU2013=1,SUM(AU$7:AU2013),"")</f>
        <v/>
      </c>
      <c r="AW2013" s="82" t="str">
        <f aca="false">IF(E2013="","",B2013&amp;"|"&amp;E2013)</f>
        <v>MFD-ISW → MFD-CPF|DJ°060</v>
      </c>
    </row>
    <row r="2014" customFormat="false" ht="74.6" hidden="false" customHeight="false" outlineLevel="0" collapsed="false">
      <c r="A2014" s="79" t="n">
        <f aca="false">IF(E2014="","",ROW()-6)</f>
        <v>2008</v>
      </c>
      <c r="B2014" s="80" t="s">
        <v>110</v>
      </c>
      <c r="C2014" s="81" t="s">
        <v>2420</v>
      </c>
      <c r="D2014" s="81" t="n">
        <v>18</v>
      </c>
      <c r="E2014" s="81" t="s">
        <v>2450</v>
      </c>
      <c r="F2014" s="82" t="str">
        <f aca="false">IF(E2014="","",IF(LEFT(E2014,2)="DJ","DJ","JN"))</f>
        <v>JN</v>
      </c>
      <c r="G2014" s="81" t="s">
        <v>1504</v>
      </c>
      <c r="H2014" s="81" t="s">
        <v>871</v>
      </c>
      <c r="I2014" s="81" t="n">
        <v>9.53</v>
      </c>
      <c r="J2014" s="81" t="s">
        <v>872</v>
      </c>
      <c r="K2014" s="81" t="s">
        <v>879</v>
      </c>
      <c r="L2014" s="81" t="n">
        <v>2095950</v>
      </c>
      <c r="M2014" s="81" t="n">
        <v>15421104</v>
      </c>
      <c r="N2014" s="81" t="n">
        <v>11.94</v>
      </c>
      <c r="O2014" s="81" t="n">
        <v>2090640</v>
      </c>
      <c r="P2014" s="81" t="n">
        <v>15421109</v>
      </c>
      <c r="Q2014" s="81" t="n">
        <v>11.94</v>
      </c>
      <c r="R2014" s="81" t="s">
        <v>2273</v>
      </c>
      <c r="S2014" s="81"/>
      <c r="T2014" s="81"/>
      <c r="U2014" s="83" t="n">
        <v>46267</v>
      </c>
      <c r="V2014" s="83" t="n">
        <v>46267</v>
      </c>
      <c r="W2014" s="81" t="s">
        <v>2432</v>
      </c>
      <c r="X2014" s="81" t="s">
        <v>876</v>
      </c>
      <c r="Y2014" s="83" t="n">
        <v>46275</v>
      </c>
      <c r="Z2014" s="81" t="s">
        <v>2425</v>
      </c>
      <c r="AA2014" s="81" t="s">
        <v>876</v>
      </c>
      <c r="AB2014" s="81"/>
      <c r="AC2014" s="81"/>
      <c r="AD2014" s="81"/>
      <c r="AE2014" s="83"/>
      <c r="AF2014" s="81"/>
      <c r="AG2014" s="81"/>
      <c r="AH2014" s="81"/>
      <c r="AI2014" s="81"/>
      <c r="AJ2014" s="83"/>
      <c r="AK2014" s="81"/>
      <c r="AL2014" s="81"/>
      <c r="AM2014" s="83"/>
      <c r="AN2014" s="80"/>
      <c r="AO2014" s="82" t="n">
        <f aca="false">IF(E2014="","",(AA2014&lt;&gt;"")+(AG2014&lt;&gt;"")+(AL2014&lt;&gt;""))</f>
        <v>1</v>
      </c>
      <c r="AP2014" s="82" t="str">
        <f aca="false">IF(AL2014&lt;&gt;"",AL2014,IF(AG2014&lt;&gt;"",AG2014,IF(AA2014&lt;&gt;"",AA2014,"")))</f>
        <v>A</v>
      </c>
      <c r="AQ2014" s="84" t="str">
        <f aca="false">IF(E2014="","",IF(U2014="","À SOUDER",IF(X2014="","VT EN ATTENTE",IF(X2014="R","VT REJETÉ – À REPRENDRE",IF(AP2014="","À RADIOGRAPHIER",IF(AP2014="A","ACCEPTÉ",IF(AP2014="NX","NX – RT À REFAIRE",IF(IF(AO2014=1,AD2014,IF(AO2014=2,AI2014,""))="A","RÉPARÉ – À RADIOGRAPHIER",IF(IF(AO2014=1,AD2014,IF(AO2014=2,AI2014,""))="R","VT REJETÉ – À REPRENDRE",IF(OR(AP2014="CO",AP2014="NT"),"COUPE – À RESOUDER","À RÉPARER"))))))))))</f>
        <v>ACCEPTÉ</v>
      </c>
      <c r="AR2014" s="82" t="str">
        <f aca="false">IF(AND(ISNUMBER(U2014),OR(AQ2014="À RADIOGRAPHIER",AQ2014="RÉPARÉ – À RADIOGRAPHIER",AQ2014="NX – RT À REFAIRE",AQ2014="À RÉPARER",AQ2014="COUPE – À RESOUDER",AQ2014="VT REJETÉ – À REPRENDRE")),MAX(0,'PROGRAMME RT'!$C$4-U2014),"")</f>
        <v/>
      </c>
      <c r="AS2014" s="82" t="n">
        <f aca="false">IF(AND(OR(AQ2014="À RADIOGRAPHIER",AQ2014="RÉPARÉ – À RADIOGRAPHIER",AQ2014="NX – RT À REFAIRE"),OR('PROGRAMME RT'!$D$5="TOUTES",B2014='PROGRAMME RT'!$D$5)),1,0)</f>
        <v>0</v>
      </c>
      <c r="AT2014" s="82" t="str">
        <f aca="false">IF(AS2014=1,SUM(AS$7:AS2014),"")</f>
        <v/>
      </c>
      <c r="AU2014" s="82" t="n">
        <f aca="false">IF(AND(OR(AA2014="R",AA2014="NX",AA2014="NT",AA2014="CO"),OR('JOINTS DE RÉPARATION'!$D$5="TOUTES",B2014='JOINTS DE RÉPARATION'!$D$5),OR('JOINTS DE RÉPARATION'!$L$4="TOUS",AQ2014&lt;&gt;"ACCEPTÉ")),1,0)</f>
        <v>0</v>
      </c>
      <c r="AV2014" s="82" t="str">
        <f aca="false">IF(AU2014=1,SUM(AU$7:AU2014),"")</f>
        <v/>
      </c>
      <c r="AW2014" s="82" t="str">
        <f aca="false">IF(E2014="","",B2014&amp;"|"&amp;E2014)</f>
        <v>MFD-ISW → MFD-CPF|JN°1540</v>
      </c>
    </row>
    <row r="2015" customFormat="false" ht="74.6" hidden="false" customHeight="false" outlineLevel="0" collapsed="false">
      <c r="A2015" s="79" t="n">
        <f aca="false">IF(E2015="","",ROW()-6)</f>
        <v>2009</v>
      </c>
      <c r="B2015" s="80" t="s">
        <v>110</v>
      </c>
      <c r="C2015" s="81" t="s">
        <v>2420</v>
      </c>
      <c r="D2015" s="81" t="n">
        <v>18</v>
      </c>
      <c r="E2015" s="81" t="s">
        <v>2451</v>
      </c>
      <c r="F2015" s="82" t="str">
        <f aca="false">IF(E2015="","",IF(LEFT(E2015,2)="DJ","DJ","JN"))</f>
        <v>DJ</v>
      </c>
      <c r="G2015" s="81"/>
      <c r="H2015" s="81" t="s">
        <v>871</v>
      </c>
      <c r="I2015" s="81" t="n">
        <v>9.53</v>
      </c>
      <c r="J2015" s="81" t="s">
        <v>872</v>
      </c>
      <c r="K2015" s="81" t="s">
        <v>873</v>
      </c>
      <c r="L2015" s="81" t="n">
        <v>2090640</v>
      </c>
      <c r="M2015" s="81" t="n">
        <v>15421109</v>
      </c>
      <c r="N2015" s="81" t="n">
        <v>11.94</v>
      </c>
      <c r="O2015" s="81" t="n">
        <v>2080610</v>
      </c>
      <c r="P2015" s="81" t="n">
        <v>15421103</v>
      </c>
      <c r="Q2015" s="81" t="n">
        <v>11.94</v>
      </c>
      <c r="R2015" s="81" t="s">
        <v>920</v>
      </c>
      <c r="S2015" s="81"/>
      <c r="T2015" s="81"/>
      <c r="U2015" s="83" t="n">
        <v>46256</v>
      </c>
      <c r="V2015" s="83" t="n">
        <v>46256</v>
      </c>
      <c r="W2015" s="81" t="s">
        <v>1565</v>
      </c>
      <c r="X2015" s="81" t="s">
        <v>876</v>
      </c>
      <c r="Y2015" s="83" t="n">
        <v>46257</v>
      </c>
      <c r="Z2015" s="81" t="s">
        <v>1561</v>
      </c>
      <c r="AA2015" s="81" t="s">
        <v>876</v>
      </c>
      <c r="AB2015" s="81"/>
      <c r="AC2015" s="81"/>
      <c r="AD2015" s="81"/>
      <c r="AE2015" s="83"/>
      <c r="AF2015" s="81"/>
      <c r="AG2015" s="81"/>
      <c r="AH2015" s="81"/>
      <c r="AI2015" s="81"/>
      <c r="AJ2015" s="83"/>
      <c r="AK2015" s="81"/>
      <c r="AL2015" s="81"/>
      <c r="AM2015" s="83"/>
      <c r="AN2015" s="80"/>
      <c r="AO2015" s="82" t="n">
        <f aca="false">IF(E2015="","",(AA2015&lt;&gt;"")+(AG2015&lt;&gt;"")+(AL2015&lt;&gt;""))</f>
        <v>1</v>
      </c>
      <c r="AP2015" s="82" t="str">
        <f aca="false">IF(AL2015&lt;&gt;"",AL2015,IF(AG2015&lt;&gt;"",AG2015,IF(AA2015&lt;&gt;"",AA2015,"")))</f>
        <v>A</v>
      </c>
      <c r="AQ2015" s="84" t="str">
        <f aca="false">IF(E2015="","",IF(U2015="","À SOUDER",IF(X2015="","VT EN ATTENTE",IF(X2015="R","VT REJETÉ – À REPRENDRE",IF(AP2015="","À RADIOGRAPHIER",IF(AP2015="A","ACCEPTÉ",IF(AP2015="NX","NX – RT À REFAIRE",IF(IF(AO2015=1,AD2015,IF(AO2015=2,AI2015,""))="A","RÉPARÉ – À RADIOGRAPHIER",IF(IF(AO2015=1,AD2015,IF(AO2015=2,AI2015,""))="R","VT REJETÉ – À REPRENDRE",IF(OR(AP2015="CO",AP2015="NT"),"COUPE – À RESOUDER","À RÉPARER"))))))))))</f>
        <v>ACCEPTÉ</v>
      </c>
      <c r="AR2015" s="82" t="str">
        <f aca="false">IF(AND(ISNUMBER(U2015),OR(AQ2015="À RADIOGRAPHIER",AQ2015="RÉPARÉ – À RADIOGRAPHIER",AQ2015="NX – RT À REFAIRE",AQ2015="À RÉPARER",AQ2015="COUPE – À RESOUDER",AQ2015="VT REJETÉ – À REPRENDRE")),MAX(0,'PROGRAMME RT'!$C$4-U2015),"")</f>
        <v/>
      </c>
      <c r="AS2015" s="82" t="n">
        <f aca="false">IF(AND(OR(AQ2015="À RADIOGRAPHIER",AQ2015="RÉPARÉ – À RADIOGRAPHIER",AQ2015="NX – RT À REFAIRE"),OR('PROGRAMME RT'!$D$5="TOUTES",B2015='PROGRAMME RT'!$D$5)),1,0)</f>
        <v>0</v>
      </c>
      <c r="AT2015" s="82" t="str">
        <f aca="false">IF(AS2015=1,SUM(AS$7:AS2015),"")</f>
        <v/>
      </c>
      <c r="AU2015" s="82" t="n">
        <f aca="false">IF(AND(OR(AA2015="R",AA2015="NX",AA2015="NT",AA2015="CO"),OR('JOINTS DE RÉPARATION'!$D$5="TOUTES",B2015='JOINTS DE RÉPARATION'!$D$5),OR('JOINTS DE RÉPARATION'!$L$4="TOUS",AQ2015&lt;&gt;"ACCEPTÉ")),1,0)</f>
        <v>0</v>
      </c>
      <c r="AV2015" s="82" t="str">
        <f aca="false">IF(AU2015=1,SUM(AU$7:AU2015),"")</f>
        <v/>
      </c>
      <c r="AW2015" s="82" t="str">
        <f aca="false">IF(E2015="","",B2015&amp;"|"&amp;E2015)</f>
        <v>MFD-ISW → MFD-CPF|DJ°092</v>
      </c>
    </row>
    <row r="2016" customFormat="false" ht="74.6" hidden="false" customHeight="false" outlineLevel="0" collapsed="false">
      <c r="A2016" s="79" t="n">
        <f aca="false">IF(E2016="","",ROW()-6)</f>
        <v>2010</v>
      </c>
      <c r="B2016" s="80" t="s">
        <v>110</v>
      </c>
      <c r="C2016" s="81" t="s">
        <v>2420</v>
      </c>
      <c r="D2016" s="81" t="n">
        <v>19</v>
      </c>
      <c r="E2016" s="81" t="s">
        <v>2452</v>
      </c>
      <c r="F2016" s="82" t="str">
        <f aca="false">IF(E2016="","",IF(LEFT(E2016,2)="DJ","DJ","JN"))</f>
        <v>JN</v>
      </c>
      <c r="G2016" s="81" t="s">
        <v>1504</v>
      </c>
      <c r="H2016" s="81" t="s">
        <v>871</v>
      </c>
      <c r="I2016" s="81" t="n">
        <v>9.53</v>
      </c>
      <c r="J2016" s="81" t="s">
        <v>872</v>
      </c>
      <c r="K2016" s="81" t="s">
        <v>879</v>
      </c>
      <c r="L2016" s="81" t="n">
        <v>2080610</v>
      </c>
      <c r="M2016" s="81" t="n">
        <v>15421103</v>
      </c>
      <c r="N2016" s="81" t="n">
        <v>11.94</v>
      </c>
      <c r="O2016" s="81" t="n">
        <v>2090730</v>
      </c>
      <c r="P2016" s="81" t="n">
        <v>15421109</v>
      </c>
      <c r="Q2016" s="81" t="n">
        <v>11.94</v>
      </c>
      <c r="R2016" s="81" t="s">
        <v>2273</v>
      </c>
      <c r="S2016" s="81"/>
      <c r="T2016" s="81"/>
      <c r="U2016" s="83" t="n">
        <v>46267</v>
      </c>
      <c r="V2016" s="83" t="n">
        <v>46267</v>
      </c>
      <c r="W2016" s="81" t="s">
        <v>2432</v>
      </c>
      <c r="X2016" s="81" t="s">
        <v>876</v>
      </c>
      <c r="Y2016" s="83" t="n">
        <v>46275</v>
      </c>
      <c r="Z2016" s="81" t="s">
        <v>2425</v>
      </c>
      <c r="AA2016" s="81" t="s">
        <v>876</v>
      </c>
      <c r="AB2016" s="81"/>
      <c r="AC2016" s="81"/>
      <c r="AD2016" s="81"/>
      <c r="AE2016" s="83"/>
      <c r="AF2016" s="81"/>
      <c r="AG2016" s="81"/>
      <c r="AH2016" s="81"/>
      <c r="AI2016" s="81"/>
      <c r="AJ2016" s="83"/>
      <c r="AK2016" s="81"/>
      <c r="AL2016" s="81"/>
      <c r="AM2016" s="83"/>
      <c r="AN2016" s="80"/>
      <c r="AO2016" s="82" t="n">
        <f aca="false">IF(E2016="","",(AA2016&lt;&gt;"")+(AG2016&lt;&gt;"")+(AL2016&lt;&gt;""))</f>
        <v>1</v>
      </c>
      <c r="AP2016" s="82" t="str">
        <f aca="false">IF(AL2016&lt;&gt;"",AL2016,IF(AG2016&lt;&gt;"",AG2016,IF(AA2016&lt;&gt;"",AA2016,"")))</f>
        <v>A</v>
      </c>
      <c r="AQ2016" s="84" t="str">
        <f aca="false">IF(E2016="","",IF(U2016="","À SOUDER",IF(X2016="","VT EN ATTENTE",IF(X2016="R","VT REJETÉ – À REPRENDRE",IF(AP2016="","À RADIOGRAPHIER",IF(AP2016="A","ACCEPTÉ",IF(AP2016="NX","NX – RT À REFAIRE",IF(IF(AO2016=1,AD2016,IF(AO2016=2,AI2016,""))="A","RÉPARÉ – À RADIOGRAPHIER",IF(IF(AO2016=1,AD2016,IF(AO2016=2,AI2016,""))="R","VT REJETÉ – À REPRENDRE",IF(OR(AP2016="CO",AP2016="NT"),"COUPE – À RESOUDER","À RÉPARER"))))))))))</f>
        <v>ACCEPTÉ</v>
      </c>
      <c r="AR2016" s="82" t="str">
        <f aca="false">IF(AND(ISNUMBER(U2016),OR(AQ2016="À RADIOGRAPHIER",AQ2016="RÉPARÉ – À RADIOGRAPHIER",AQ2016="NX – RT À REFAIRE",AQ2016="À RÉPARER",AQ2016="COUPE – À RESOUDER",AQ2016="VT REJETÉ – À REPRENDRE")),MAX(0,'PROGRAMME RT'!$C$4-U2016),"")</f>
        <v/>
      </c>
      <c r="AS2016" s="82" t="n">
        <f aca="false">IF(AND(OR(AQ2016="À RADIOGRAPHIER",AQ2016="RÉPARÉ – À RADIOGRAPHIER",AQ2016="NX – RT À REFAIRE"),OR('PROGRAMME RT'!$D$5="TOUTES",B2016='PROGRAMME RT'!$D$5)),1,0)</f>
        <v>0</v>
      </c>
      <c r="AT2016" s="82" t="str">
        <f aca="false">IF(AS2016=1,SUM(AS$7:AS2016),"")</f>
        <v/>
      </c>
      <c r="AU2016" s="82" t="n">
        <f aca="false">IF(AND(OR(AA2016="R",AA2016="NX",AA2016="NT",AA2016="CO"),OR('JOINTS DE RÉPARATION'!$D$5="TOUTES",B2016='JOINTS DE RÉPARATION'!$D$5),OR('JOINTS DE RÉPARATION'!$L$4="TOUS",AQ2016&lt;&gt;"ACCEPTÉ")),1,0)</f>
        <v>0</v>
      </c>
      <c r="AV2016" s="82" t="str">
        <f aca="false">IF(AU2016=1,SUM(AU$7:AU2016),"")</f>
        <v/>
      </c>
      <c r="AW2016" s="82" t="str">
        <f aca="false">IF(E2016="","",B2016&amp;"|"&amp;E2016)</f>
        <v>MFD-ISW → MFD-CPF|JN°1541</v>
      </c>
    </row>
    <row r="2017" customFormat="false" ht="74.6" hidden="false" customHeight="false" outlineLevel="0" collapsed="false">
      <c r="A2017" s="79" t="n">
        <f aca="false">IF(E2017="","",ROW()-6)</f>
        <v>2011</v>
      </c>
      <c r="B2017" s="80" t="s">
        <v>110</v>
      </c>
      <c r="C2017" s="81" t="s">
        <v>2420</v>
      </c>
      <c r="D2017" s="81" t="n">
        <v>19</v>
      </c>
      <c r="E2017" s="81" t="s">
        <v>2453</v>
      </c>
      <c r="F2017" s="82" t="str">
        <f aca="false">IF(E2017="","",IF(LEFT(E2017,2)="DJ","DJ","JN"))</f>
        <v>DJ</v>
      </c>
      <c r="G2017" s="81"/>
      <c r="H2017" s="81" t="s">
        <v>871</v>
      </c>
      <c r="I2017" s="81" t="n">
        <v>9.53</v>
      </c>
      <c r="J2017" s="81" t="s">
        <v>872</v>
      </c>
      <c r="K2017" s="81" t="s">
        <v>873</v>
      </c>
      <c r="L2017" s="81" t="n">
        <v>2090730</v>
      </c>
      <c r="M2017" s="81" t="n">
        <v>15421109</v>
      </c>
      <c r="N2017" s="81" t="n">
        <v>11.94</v>
      </c>
      <c r="O2017" s="81" t="n">
        <v>2091030</v>
      </c>
      <c r="P2017" s="81" t="n">
        <v>15421109</v>
      </c>
      <c r="Q2017" s="81" t="n">
        <v>11.94</v>
      </c>
      <c r="R2017" s="81" t="s">
        <v>1135</v>
      </c>
      <c r="S2017" s="81"/>
      <c r="T2017" s="81"/>
      <c r="U2017" s="83" t="n">
        <v>46250</v>
      </c>
      <c r="V2017" s="83" t="n">
        <v>46250</v>
      </c>
      <c r="W2017" s="81" t="s">
        <v>2221</v>
      </c>
      <c r="X2017" s="81" t="s">
        <v>876</v>
      </c>
      <c r="Y2017" s="83" t="n">
        <v>46254</v>
      </c>
      <c r="Z2017" s="81" t="s">
        <v>2141</v>
      </c>
      <c r="AA2017" s="81" t="s">
        <v>876</v>
      </c>
      <c r="AB2017" s="81"/>
      <c r="AC2017" s="81"/>
      <c r="AD2017" s="81"/>
      <c r="AE2017" s="83"/>
      <c r="AF2017" s="81"/>
      <c r="AG2017" s="81"/>
      <c r="AH2017" s="81"/>
      <c r="AI2017" s="81"/>
      <c r="AJ2017" s="83"/>
      <c r="AK2017" s="81"/>
      <c r="AL2017" s="81"/>
      <c r="AM2017" s="83"/>
      <c r="AN2017" s="80"/>
      <c r="AO2017" s="82" t="n">
        <f aca="false">IF(E2017="","",(AA2017&lt;&gt;"")+(AG2017&lt;&gt;"")+(AL2017&lt;&gt;""))</f>
        <v>1</v>
      </c>
      <c r="AP2017" s="82" t="str">
        <f aca="false">IF(AL2017&lt;&gt;"",AL2017,IF(AG2017&lt;&gt;"",AG2017,IF(AA2017&lt;&gt;"",AA2017,"")))</f>
        <v>A</v>
      </c>
      <c r="AQ2017" s="84" t="str">
        <f aca="false">IF(E2017="","",IF(U2017="","À SOUDER",IF(X2017="","VT EN ATTENTE",IF(X2017="R","VT REJETÉ – À REPRENDRE",IF(AP2017="","À RADIOGRAPHIER",IF(AP2017="A","ACCEPTÉ",IF(AP2017="NX","NX – RT À REFAIRE",IF(IF(AO2017=1,AD2017,IF(AO2017=2,AI2017,""))="A","RÉPARÉ – À RADIOGRAPHIER",IF(IF(AO2017=1,AD2017,IF(AO2017=2,AI2017,""))="R","VT REJETÉ – À REPRENDRE",IF(OR(AP2017="CO",AP2017="NT"),"COUPE – À RESOUDER","À RÉPARER"))))))))))</f>
        <v>ACCEPTÉ</v>
      </c>
      <c r="AR2017" s="82" t="str">
        <f aca="false">IF(AND(ISNUMBER(U2017),OR(AQ2017="À RADIOGRAPHIER",AQ2017="RÉPARÉ – À RADIOGRAPHIER",AQ2017="NX – RT À REFAIRE",AQ2017="À RÉPARER",AQ2017="COUPE – À RESOUDER",AQ2017="VT REJETÉ – À REPRENDRE")),MAX(0,'PROGRAMME RT'!$C$4-U2017),"")</f>
        <v/>
      </c>
      <c r="AS2017" s="82" t="n">
        <f aca="false">IF(AND(OR(AQ2017="À RADIOGRAPHIER",AQ2017="RÉPARÉ – À RADIOGRAPHIER",AQ2017="NX – RT À REFAIRE"),OR('PROGRAMME RT'!$D$5="TOUTES",B2017='PROGRAMME RT'!$D$5)),1,0)</f>
        <v>0</v>
      </c>
      <c r="AT2017" s="82" t="str">
        <f aca="false">IF(AS2017=1,SUM(AS$7:AS2017),"")</f>
        <v/>
      </c>
      <c r="AU2017" s="82" t="n">
        <f aca="false">IF(AND(OR(AA2017="R",AA2017="NX",AA2017="NT",AA2017="CO"),OR('JOINTS DE RÉPARATION'!$D$5="TOUTES",B2017='JOINTS DE RÉPARATION'!$D$5),OR('JOINTS DE RÉPARATION'!$L$4="TOUS",AQ2017&lt;&gt;"ACCEPTÉ")),1,0)</f>
        <v>0</v>
      </c>
      <c r="AV2017" s="82" t="str">
        <f aca="false">IF(AU2017=1,SUM(AU$7:AU2017),"")</f>
        <v/>
      </c>
      <c r="AW2017" s="82" t="str">
        <f aca="false">IF(E2017="","",B2017&amp;"|"&amp;E2017)</f>
        <v>MFD-ISW → MFD-CPF|DJ°024</v>
      </c>
    </row>
    <row r="2018" customFormat="false" ht="74.6" hidden="false" customHeight="false" outlineLevel="0" collapsed="false">
      <c r="A2018" s="79" t="n">
        <f aca="false">IF(E2018="","",ROW()-6)</f>
        <v>2012</v>
      </c>
      <c r="B2018" s="80" t="s">
        <v>110</v>
      </c>
      <c r="C2018" s="81" t="s">
        <v>2420</v>
      </c>
      <c r="D2018" s="81" t="n">
        <v>19</v>
      </c>
      <c r="E2018" s="81" t="s">
        <v>2454</v>
      </c>
      <c r="F2018" s="82" t="str">
        <f aca="false">IF(E2018="","",IF(LEFT(E2018,2)="DJ","DJ","JN"))</f>
        <v>JN</v>
      </c>
      <c r="G2018" s="81" t="s">
        <v>1504</v>
      </c>
      <c r="H2018" s="81" t="s">
        <v>871</v>
      </c>
      <c r="I2018" s="81" t="n">
        <v>9.53</v>
      </c>
      <c r="J2018" s="81" t="s">
        <v>872</v>
      </c>
      <c r="K2018" s="81" t="s">
        <v>879</v>
      </c>
      <c r="L2018" s="81" t="n">
        <v>2091030</v>
      </c>
      <c r="M2018" s="81" t="n">
        <v>15421109</v>
      </c>
      <c r="N2018" s="81" t="n">
        <v>11.94</v>
      </c>
      <c r="O2018" s="81" t="n">
        <v>2084210</v>
      </c>
      <c r="P2018" s="81" t="n">
        <v>15421106</v>
      </c>
      <c r="Q2018" s="81" t="n">
        <v>11.94</v>
      </c>
      <c r="R2018" s="81" t="s">
        <v>2273</v>
      </c>
      <c r="S2018" s="81"/>
      <c r="T2018" s="81"/>
      <c r="U2018" s="83" t="n">
        <v>46267</v>
      </c>
      <c r="V2018" s="83" t="n">
        <v>46267</v>
      </c>
      <c r="W2018" s="81" t="s">
        <v>2432</v>
      </c>
      <c r="X2018" s="81" t="s">
        <v>876</v>
      </c>
      <c r="Y2018" s="83" t="n">
        <v>46275</v>
      </c>
      <c r="Z2018" s="81" t="s">
        <v>2455</v>
      </c>
      <c r="AA2018" s="81" t="s">
        <v>876</v>
      </c>
      <c r="AB2018" s="81"/>
      <c r="AC2018" s="81"/>
      <c r="AD2018" s="81"/>
      <c r="AE2018" s="83"/>
      <c r="AF2018" s="81"/>
      <c r="AG2018" s="81"/>
      <c r="AH2018" s="81"/>
      <c r="AI2018" s="81"/>
      <c r="AJ2018" s="83"/>
      <c r="AK2018" s="81"/>
      <c r="AL2018" s="81"/>
      <c r="AM2018" s="83"/>
      <c r="AN2018" s="80"/>
      <c r="AO2018" s="82" t="n">
        <f aca="false">IF(E2018="","",(AA2018&lt;&gt;"")+(AG2018&lt;&gt;"")+(AL2018&lt;&gt;""))</f>
        <v>1</v>
      </c>
      <c r="AP2018" s="82" t="str">
        <f aca="false">IF(AL2018&lt;&gt;"",AL2018,IF(AG2018&lt;&gt;"",AG2018,IF(AA2018&lt;&gt;"",AA2018,"")))</f>
        <v>A</v>
      </c>
      <c r="AQ2018" s="84" t="str">
        <f aca="false">IF(E2018="","",IF(U2018="","À SOUDER",IF(X2018="","VT EN ATTENTE",IF(X2018="R","VT REJETÉ – À REPRENDRE",IF(AP2018="","À RADIOGRAPHIER",IF(AP2018="A","ACCEPTÉ",IF(AP2018="NX","NX – RT À REFAIRE",IF(IF(AO2018=1,AD2018,IF(AO2018=2,AI2018,""))="A","RÉPARÉ – À RADIOGRAPHIER",IF(IF(AO2018=1,AD2018,IF(AO2018=2,AI2018,""))="R","VT REJETÉ – À REPRENDRE",IF(OR(AP2018="CO",AP2018="NT"),"COUPE – À RESOUDER","À RÉPARER"))))))))))</f>
        <v>ACCEPTÉ</v>
      </c>
      <c r="AR2018" s="82" t="str">
        <f aca="false">IF(AND(ISNUMBER(U2018),OR(AQ2018="À RADIOGRAPHIER",AQ2018="RÉPARÉ – À RADIOGRAPHIER",AQ2018="NX – RT À REFAIRE",AQ2018="À RÉPARER",AQ2018="COUPE – À RESOUDER",AQ2018="VT REJETÉ – À REPRENDRE")),MAX(0,'PROGRAMME RT'!$C$4-U2018),"")</f>
        <v/>
      </c>
      <c r="AS2018" s="82" t="n">
        <f aca="false">IF(AND(OR(AQ2018="À RADIOGRAPHIER",AQ2018="RÉPARÉ – À RADIOGRAPHIER",AQ2018="NX – RT À REFAIRE"),OR('PROGRAMME RT'!$D$5="TOUTES",B2018='PROGRAMME RT'!$D$5)),1,0)</f>
        <v>0</v>
      </c>
      <c r="AT2018" s="82" t="str">
        <f aca="false">IF(AS2018=1,SUM(AS$7:AS2018),"")</f>
        <v/>
      </c>
      <c r="AU2018" s="82" t="n">
        <f aca="false">IF(AND(OR(AA2018="R",AA2018="NX",AA2018="NT",AA2018="CO"),OR('JOINTS DE RÉPARATION'!$D$5="TOUTES",B2018='JOINTS DE RÉPARATION'!$D$5),OR('JOINTS DE RÉPARATION'!$L$4="TOUS",AQ2018&lt;&gt;"ACCEPTÉ")),1,0)</f>
        <v>0</v>
      </c>
      <c r="AV2018" s="82" t="str">
        <f aca="false">IF(AU2018=1,SUM(AU$7:AU2018),"")</f>
        <v/>
      </c>
      <c r="AW2018" s="82" t="str">
        <f aca="false">IF(E2018="","",B2018&amp;"|"&amp;E2018)</f>
        <v>MFD-ISW → MFD-CPF|JN°1542</v>
      </c>
    </row>
    <row r="2019" customFormat="false" ht="74.6" hidden="false" customHeight="false" outlineLevel="0" collapsed="false">
      <c r="A2019" s="79" t="n">
        <f aca="false">IF(E2019="","",ROW()-6)</f>
        <v>2013</v>
      </c>
      <c r="B2019" s="80" t="s">
        <v>110</v>
      </c>
      <c r="C2019" s="81" t="s">
        <v>2420</v>
      </c>
      <c r="D2019" s="81" t="n">
        <v>19</v>
      </c>
      <c r="E2019" s="81" t="s">
        <v>2456</v>
      </c>
      <c r="F2019" s="82" t="str">
        <f aca="false">IF(E2019="","",IF(LEFT(E2019,2)="DJ","DJ","JN"))</f>
        <v>DJ</v>
      </c>
      <c r="G2019" s="81" t="s">
        <v>1504</v>
      </c>
      <c r="H2019" s="81" t="s">
        <v>871</v>
      </c>
      <c r="I2019" s="81" t="n">
        <v>9.53</v>
      </c>
      <c r="J2019" s="81" t="s">
        <v>872</v>
      </c>
      <c r="K2019" s="81" t="s">
        <v>873</v>
      </c>
      <c r="L2019" s="81" t="n">
        <v>2084210</v>
      </c>
      <c r="M2019" s="81" t="n">
        <v>15421106</v>
      </c>
      <c r="N2019" s="81" t="n">
        <v>11.94</v>
      </c>
      <c r="O2019" s="81" t="n">
        <v>2095030</v>
      </c>
      <c r="P2019" s="81" t="n">
        <v>15412111</v>
      </c>
      <c r="Q2019" s="81" t="n">
        <v>11.94</v>
      </c>
      <c r="R2019" s="81" t="s">
        <v>899</v>
      </c>
      <c r="S2019" s="81"/>
      <c r="T2019" s="81"/>
      <c r="U2019" s="83" t="n">
        <v>46251</v>
      </c>
      <c r="V2019" s="83" t="n">
        <v>46251</v>
      </c>
      <c r="W2019" s="81" t="s">
        <v>2140</v>
      </c>
      <c r="X2019" s="81" t="s">
        <v>876</v>
      </c>
      <c r="Y2019" s="83" t="n">
        <v>46252</v>
      </c>
      <c r="Z2019" s="81" t="s">
        <v>2278</v>
      </c>
      <c r="AA2019" s="81" t="s">
        <v>876</v>
      </c>
      <c r="AB2019" s="81"/>
      <c r="AC2019" s="81"/>
      <c r="AD2019" s="81"/>
      <c r="AE2019" s="83"/>
      <c r="AF2019" s="81"/>
      <c r="AG2019" s="81"/>
      <c r="AH2019" s="81"/>
      <c r="AI2019" s="81"/>
      <c r="AJ2019" s="83"/>
      <c r="AK2019" s="81"/>
      <c r="AL2019" s="81"/>
      <c r="AM2019" s="83"/>
      <c r="AN2019" s="80"/>
      <c r="AO2019" s="82" t="n">
        <f aca="false">IF(E2019="","",(AA2019&lt;&gt;"")+(AG2019&lt;&gt;"")+(AL2019&lt;&gt;""))</f>
        <v>1</v>
      </c>
      <c r="AP2019" s="82" t="str">
        <f aca="false">IF(AL2019&lt;&gt;"",AL2019,IF(AG2019&lt;&gt;"",AG2019,IF(AA2019&lt;&gt;"",AA2019,"")))</f>
        <v>A</v>
      </c>
      <c r="AQ2019" s="84" t="str">
        <f aca="false">IF(E2019="","",IF(U2019="","À SOUDER",IF(X2019="","VT EN ATTENTE",IF(X2019="R","VT REJETÉ – À REPRENDRE",IF(AP2019="","À RADIOGRAPHIER",IF(AP2019="A","ACCEPTÉ",IF(AP2019="NX","NX – RT À REFAIRE",IF(IF(AO2019=1,AD2019,IF(AO2019=2,AI2019,""))="A","RÉPARÉ – À RADIOGRAPHIER",IF(IF(AO2019=1,AD2019,IF(AO2019=2,AI2019,""))="R","VT REJETÉ – À REPRENDRE",IF(OR(AP2019="CO",AP2019="NT"),"COUPE – À RESOUDER","À RÉPARER"))))))))))</f>
        <v>ACCEPTÉ</v>
      </c>
      <c r="AR2019" s="82" t="str">
        <f aca="false">IF(AND(ISNUMBER(U2019),OR(AQ2019="À RADIOGRAPHIER",AQ2019="RÉPARÉ – À RADIOGRAPHIER",AQ2019="NX – RT À REFAIRE",AQ2019="À RÉPARER",AQ2019="COUPE – À RESOUDER",AQ2019="VT REJETÉ – À REPRENDRE")),MAX(0,'PROGRAMME RT'!$C$4-U2019),"")</f>
        <v/>
      </c>
      <c r="AS2019" s="82" t="n">
        <f aca="false">IF(AND(OR(AQ2019="À RADIOGRAPHIER",AQ2019="RÉPARÉ – À RADIOGRAPHIER",AQ2019="NX – RT À REFAIRE"),OR('PROGRAMME RT'!$D$5="TOUTES",B2019='PROGRAMME RT'!$D$5)),1,0)</f>
        <v>0</v>
      </c>
      <c r="AT2019" s="82" t="str">
        <f aca="false">IF(AS2019=1,SUM(AS$7:AS2019),"")</f>
        <v/>
      </c>
      <c r="AU2019" s="82" t="n">
        <f aca="false">IF(AND(OR(AA2019="R",AA2019="NX",AA2019="NT",AA2019="CO"),OR('JOINTS DE RÉPARATION'!$D$5="TOUTES",B2019='JOINTS DE RÉPARATION'!$D$5),OR('JOINTS DE RÉPARATION'!$L$4="TOUS",AQ2019&lt;&gt;"ACCEPTÉ")),1,0)</f>
        <v>0</v>
      </c>
      <c r="AV2019" s="82" t="str">
        <f aca="false">IF(AU2019=1,SUM(AU$7:AU2019),"")</f>
        <v/>
      </c>
      <c r="AW2019" s="82" t="str">
        <f aca="false">IF(E2019="","",B2019&amp;"|"&amp;E2019)</f>
        <v>MFD-ISW → MFD-CPF|DJ°034</v>
      </c>
    </row>
    <row r="2020" customFormat="false" ht="74.6" hidden="false" customHeight="false" outlineLevel="0" collapsed="false">
      <c r="A2020" s="79" t="n">
        <f aca="false">IF(E2020="","",ROW()-6)</f>
        <v>2014</v>
      </c>
      <c r="B2020" s="80" t="s">
        <v>110</v>
      </c>
      <c r="C2020" s="81" t="s">
        <v>2420</v>
      </c>
      <c r="D2020" s="81" t="n">
        <v>19</v>
      </c>
      <c r="E2020" s="81" t="s">
        <v>2457</v>
      </c>
      <c r="F2020" s="82" t="str">
        <f aca="false">IF(E2020="","",IF(LEFT(E2020,2)="DJ","DJ","JN"))</f>
        <v>JN</v>
      </c>
      <c r="G2020" s="81" t="s">
        <v>1504</v>
      </c>
      <c r="H2020" s="81" t="s">
        <v>871</v>
      </c>
      <c r="I2020" s="81" t="n">
        <v>9.53</v>
      </c>
      <c r="J2020" s="81" t="s">
        <v>872</v>
      </c>
      <c r="K2020" s="81" t="s">
        <v>879</v>
      </c>
      <c r="L2020" s="81" t="n">
        <v>2095030</v>
      </c>
      <c r="M2020" s="81" t="n">
        <v>15412111</v>
      </c>
      <c r="N2020" s="81" t="n">
        <v>11.94</v>
      </c>
      <c r="O2020" s="81" t="n">
        <v>2085120</v>
      </c>
      <c r="P2020" s="81" t="n">
        <v>15421106</v>
      </c>
      <c r="Q2020" s="81" t="n">
        <v>11.94</v>
      </c>
      <c r="R2020" s="81" t="s">
        <v>2273</v>
      </c>
      <c r="S2020" s="81"/>
      <c r="T2020" s="81"/>
      <c r="U2020" s="83" t="n">
        <v>46267</v>
      </c>
      <c r="V2020" s="83" t="n">
        <v>46267</v>
      </c>
      <c r="W2020" s="81" t="s">
        <v>2432</v>
      </c>
      <c r="X2020" s="81" t="s">
        <v>876</v>
      </c>
      <c r="Y2020" s="83" t="n">
        <v>46275</v>
      </c>
      <c r="Z2020" s="81" t="s">
        <v>2455</v>
      </c>
      <c r="AA2020" s="81" t="s">
        <v>876</v>
      </c>
      <c r="AB2020" s="81"/>
      <c r="AC2020" s="81"/>
      <c r="AD2020" s="81"/>
      <c r="AE2020" s="83"/>
      <c r="AF2020" s="81"/>
      <c r="AG2020" s="81"/>
      <c r="AH2020" s="81"/>
      <c r="AI2020" s="81"/>
      <c r="AJ2020" s="83"/>
      <c r="AK2020" s="81"/>
      <c r="AL2020" s="81"/>
      <c r="AM2020" s="83"/>
      <c r="AN2020" s="80"/>
      <c r="AO2020" s="82" t="n">
        <f aca="false">IF(E2020="","",(AA2020&lt;&gt;"")+(AG2020&lt;&gt;"")+(AL2020&lt;&gt;""))</f>
        <v>1</v>
      </c>
      <c r="AP2020" s="82" t="str">
        <f aca="false">IF(AL2020&lt;&gt;"",AL2020,IF(AG2020&lt;&gt;"",AG2020,IF(AA2020&lt;&gt;"",AA2020,"")))</f>
        <v>A</v>
      </c>
      <c r="AQ2020" s="84" t="str">
        <f aca="false">IF(E2020="","",IF(U2020="","À SOUDER",IF(X2020="","VT EN ATTENTE",IF(X2020="R","VT REJETÉ – À REPRENDRE",IF(AP2020="","À RADIOGRAPHIER",IF(AP2020="A","ACCEPTÉ",IF(AP2020="NX","NX – RT À REFAIRE",IF(IF(AO2020=1,AD2020,IF(AO2020=2,AI2020,""))="A","RÉPARÉ – À RADIOGRAPHIER",IF(IF(AO2020=1,AD2020,IF(AO2020=2,AI2020,""))="R","VT REJETÉ – À REPRENDRE",IF(OR(AP2020="CO",AP2020="NT"),"COUPE – À RESOUDER","À RÉPARER"))))))))))</f>
        <v>ACCEPTÉ</v>
      </c>
      <c r="AR2020" s="82" t="str">
        <f aca="false">IF(AND(ISNUMBER(U2020),OR(AQ2020="À RADIOGRAPHIER",AQ2020="RÉPARÉ – À RADIOGRAPHIER",AQ2020="NX – RT À REFAIRE",AQ2020="À RÉPARER",AQ2020="COUPE – À RESOUDER",AQ2020="VT REJETÉ – À REPRENDRE")),MAX(0,'PROGRAMME RT'!$C$4-U2020),"")</f>
        <v/>
      </c>
      <c r="AS2020" s="82" t="n">
        <f aca="false">IF(AND(OR(AQ2020="À RADIOGRAPHIER",AQ2020="RÉPARÉ – À RADIOGRAPHIER",AQ2020="NX – RT À REFAIRE"),OR('PROGRAMME RT'!$D$5="TOUTES",B2020='PROGRAMME RT'!$D$5)),1,0)</f>
        <v>0</v>
      </c>
      <c r="AT2020" s="82" t="str">
        <f aca="false">IF(AS2020=1,SUM(AS$7:AS2020),"")</f>
        <v/>
      </c>
      <c r="AU2020" s="82" t="n">
        <f aca="false">IF(AND(OR(AA2020="R",AA2020="NX",AA2020="NT",AA2020="CO"),OR('JOINTS DE RÉPARATION'!$D$5="TOUTES",B2020='JOINTS DE RÉPARATION'!$D$5),OR('JOINTS DE RÉPARATION'!$L$4="TOUS",AQ2020&lt;&gt;"ACCEPTÉ")),1,0)</f>
        <v>0</v>
      </c>
      <c r="AV2020" s="82" t="str">
        <f aca="false">IF(AU2020=1,SUM(AU$7:AU2020),"")</f>
        <v/>
      </c>
      <c r="AW2020" s="82" t="str">
        <f aca="false">IF(E2020="","",B2020&amp;"|"&amp;E2020)</f>
        <v>MFD-ISW → MFD-CPF|JN°1543</v>
      </c>
    </row>
    <row r="2021" customFormat="false" ht="74.6" hidden="false" customHeight="false" outlineLevel="0" collapsed="false">
      <c r="A2021" s="79" t="n">
        <f aca="false">IF(E2021="","",ROW()-6)</f>
        <v>2015</v>
      </c>
      <c r="B2021" s="80" t="s">
        <v>110</v>
      </c>
      <c r="C2021" s="81" t="s">
        <v>2420</v>
      </c>
      <c r="D2021" s="81" t="n">
        <v>19</v>
      </c>
      <c r="E2021" s="81" t="s">
        <v>2458</v>
      </c>
      <c r="F2021" s="82" t="str">
        <f aca="false">IF(E2021="","",IF(LEFT(E2021,2)="DJ","DJ","JN"))</f>
        <v>DJ</v>
      </c>
      <c r="G2021" s="81"/>
      <c r="H2021" s="81" t="s">
        <v>871</v>
      </c>
      <c r="I2021" s="81" t="n">
        <v>9.53</v>
      </c>
      <c r="J2021" s="81" t="s">
        <v>872</v>
      </c>
      <c r="K2021" s="81" t="s">
        <v>873</v>
      </c>
      <c r="L2021" s="81" t="n">
        <v>2085120</v>
      </c>
      <c r="M2021" s="81" t="n">
        <v>15421106</v>
      </c>
      <c r="N2021" s="81" t="n">
        <v>11.94</v>
      </c>
      <c r="O2021" s="81" t="n">
        <v>2081920</v>
      </c>
      <c r="P2021" s="81" t="n">
        <v>15421104</v>
      </c>
      <c r="Q2021" s="81" t="n">
        <v>11.94</v>
      </c>
      <c r="R2021" s="81" t="s">
        <v>899</v>
      </c>
      <c r="S2021" s="81"/>
      <c r="T2021" s="81"/>
      <c r="U2021" s="83" t="n">
        <v>46250</v>
      </c>
      <c r="V2021" s="83" t="n">
        <v>46250</v>
      </c>
      <c r="W2021" s="81" t="s">
        <v>2221</v>
      </c>
      <c r="X2021" s="81" t="s">
        <v>876</v>
      </c>
      <c r="Y2021" s="83" t="n">
        <v>46254</v>
      </c>
      <c r="Z2021" s="81" t="s">
        <v>2278</v>
      </c>
      <c r="AA2021" s="81" t="s">
        <v>876</v>
      </c>
      <c r="AB2021" s="81"/>
      <c r="AC2021" s="81"/>
      <c r="AD2021" s="81"/>
      <c r="AE2021" s="83"/>
      <c r="AF2021" s="81"/>
      <c r="AG2021" s="81"/>
      <c r="AH2021" s="81"/>
      <c r="AI2021" s="81"/>
      <c r="AJ2021" s="83"/>
      <c r="AK2021" s="81"/>
      <c r="AL2021" s="81"/>
      <c r="AM2021" s="83"/>
      <c r="AN2021" s="80"/>
      <c r="AO2021" s="82" t="n">
        <f aca="false">IF(E2021="","",(AA2021&lt;&gt;"")+(AG2021&lt;&gt;"")+(AL2021&lt;&gt;""))</f>
        <v>1</v>
      </c>
      <c r="AP2021" s="82" t="str">
        <f aca="false">IF(AL2021&lt;&gt;"",AL2021,IF(AG2021&lt;&gt;"",AG2021,IF(AA2021&lt;&gt;"",AA2021,"")))</f>
        <v>A</v>
      </c>
      <c r="AQ2021" s="84" t="str">
        <f aca="false">IF(E2021="","",IF(U2021="","À SOUDER",IF(X2021="","VT EN ATTENTE",IF(X2021="R","VT REJETÉ – À REPRENDRE",IF(AP2021="","À RADIOGRAPHIER",IF(AP2021="A","ACCEPTÉ",IF(AP2021="NX","NX – RT À REFAIRE",IF(IF(AO2021=1,AD2021,IF(AO2021=2,AI2021,""))="A","RÉPARÉ – À RADIOGRAPHIER",IF(IF(AO2021=1,AD2021,IF(AO2021=2,AI2021,""))="R","VT REJETÉ – À REPRENDRE",IF(OR(AP2021="CO",AP2021="NT"),"COUPE – À RESOUDER","À RÉPARER"))))))))))</f>
        <v>ACCEPTÉ</v>
      </c>
      <c r="AR2021" s="82" t="str">
        <f aca="false">IF(AND(ISNUMBER(U2021),OR(AQ2021="À RADIOGRAPHIER",AQ2021="RÉPARÉ – À RADIOGRAPHIER",AQ2021="NX – RT À REFAIRE",AQ2021="À RÉPARER",AQ2021="COUPE – À RESOUDER",AQ2021="VT REJETÉ – À REPRENDRE")),MAX(0,'PROGRAMME RT'!$C$4-U2021),"")</f>
        <v/>
      </c>
      <c r="AS2021" s="82" t="n">
        <f aca="false">IF(AND(OR(AQ2021="À RADIOGRAPHIER",AQ2021="RÉPARÉ – À RADIOGRAPHIER",AQ2021="NX – RT À REFAIRE"),OR('PROGRAMME RT'!$D$5="TOUTES",B2021='PROGRAMME RT'!$D$5)),1,0)</f>
        <v>0</v>
      </c>
      <c r="AT2021" s="82" t="str">
        <f aca="false">IF(AS2021=1,SUM(AS$7:AS2021),"")</f>
        <v/>
      </c>
      <c r="AU2021" s="82" t="n">
        <f aca="false">IF(AND(OR(AA2021="R",AA2021="NX",AA2021="NT",AA2021="CO"),OR('JOINTS DE RÉPARATION'!$D$5="TOUTES",B2021='JOINTS DE RÉPARATION'!$D$5),OR('JOINTS DE RÉPARATION'!$L$4="TOUS",AQ2021&lt;&gt;"ACCEPTÉ")),1,0)</f>
        <v>0</v>
      </c>
      <c r="AV2021" s="82" t="str">
        <f aca="false">IF(AU2021=1,SUM(AU$7:AU2021),"")</f>
        <v/>
      </c>
      <c r="AW2021" s="82" t="str">
        <f aca="false">IF(E2021="","",B2021&amp;"|"&amp;E2021)</f>
        <v>MFD-ISW → MFD-CPF|DJ°028</v>
      </c>
    </row>
    <row r="2022" customFormat="false" ht="74.6" hidden="false" customHeight="false" outlineLevel="0" collapsed="false">
      <c r="A2022" s="79" t="n">
        <f aca="false">IF(E2022="","",ROW()-6)</f>
        <v>2016</v>
      </c>
      <c r="B2022" s="80" t="s">
        <v>110</v>
      </c>
      <c r="C2022" s="81" t="s">
        <v>2420</v>
      </c>
      <c r="D2022" s="81" t="n">
        <v>19</v>
      </c>
      <c r="E2022" s="81" t="s">
        <v>2459</v>
      </c>
      <c r="F2022" s="82" t="str">
        <f aca="false">IF(E2022="","",IF(LEFT(E2022,2)="DJ","DJ","JN"))</f>
        <v>JN</v>
      </c>
      <c r="G2022" s="81" t="s">
        <v>1504</v>
      </c>
      <c r="H2022" s="81" t="s">
        <v>871</v>
      </c>
      <c r="I2022" s="81" t="n">
        <v>9.53</v>
      </c>
      <c r="J2022" s="81" t="s">
        <v>872</v>
      </c>
      <c r="K2022" s="81" t="s">
        <v>879</v>
      </c>
      <c r="L2022" s="81" t="n">
        <v>2081920</v>
      </c>
      <c r="M2022" s="81" t="n">
        <v>15421104</v>
      </c>
      <c r="N2022" s="81" t="n">
        <v>11.94</v>
      </c>
      <c r="O2022" s="81" t="n">
        <v>2098130</v>
      </c>
      <c r="P2022" s="81" t="n">
        <v>15421112</v>
      </c>
      <c r="Q2022" s="81" t="n">
        <v>11.94</v>
      </c>
      <c r="R2022" s="81" t="s">
        <v>2273</v>
      </c>
      <c r="S2022" s="81"/>
      <c r="T2022" s="81"/>
      <c r="U2022" s="83" t="n">
        <v>46267</v>
      </c>
      <c r="V2022" s="83" t="n">
        <v>46267</v>
      </c>
      <c r="W2022" s="81" t="s">
        <v>2432</v>
      </c>
      <c r="X2022" s="81" t="s">
        <v>876</v>
      </c>
      <c r="Y2022" s="83" t="n">
        <v>46275</v>
      </c>
      <c r="Z2022" s="81" t="s">
        <v>2455</v>
      </c>
      <c r="AA2022" s="81" t="s">
        <v>876</v>
      </c>
      <c r="AB2022" s="81"/>
      <c r="AC2022" s="81"/>
      <c r="AD2022" s="81"/>
      <c r="AE2022" s="83"/>
      <c r="AF2022" s="81"/>
      <c r="AG2022" s="81"/>
      <c r="AH2022" s="81"/>
      <c r="AI2022" s="81"/>
      <c r="AJ2022" s="83"/>
      <c r="AK2022" s="81"/>
      <c r="AL2022" s="81"/>
      <c r="AM2022" s="83"/>
      <c r="AN2022" s="80"/>
      <c r="AO2022" s="82" t="n">
        <f aca="false">IF(E2022="","",(AA2022&lt;&gt;"")+(AG2022&lt;&gt;"")+(AL2022&lt;&gt;""))</f>
        <v>1</v>
      </c>
      <c r="AP2022" s="82" t="str">
        <f aca="false">IF(AL2022&lt;&gt;"",AL2022,IF(AG2022&lt;&gt;"",AG2022,IF(AA2022&lt;&gt;"",AA2022,"")))</f>
        <v>A</v>
      </c>
      <c r="AQ2022" s="84" t="str">
        <f aca="false">IF(E2022="","",IF(U2022="","À SOUDER",IF(X2022="","VT EN ATTENTE",IF(X2022="R","VT REJETÉ – À REPRENDRE",IF(AP2022="","À RADIOGRAPHIER",IF(AP2022="A","ACCEPTÉ",IF(AP2022="NX","NX – RT À REFAIRE",IF(IF(AO2022=1,AD2022,IF(AO2022=2,AI2022,""))="A","RÉPARÉ – À RADIOGRAPHIER",IF(IF(AO2022=1,AD2022,IF(AO2022=2,AI2022,""))="R","VT REJETÉ – À REPRENDRE",IF(OR(AP2022="CO",AP2022="NT"),"COUPE – À RESOUDER","À RÉPARER"))))))))))</f>
        <v>ACCEPTÉ</v>
      </c>
      <c r="AR2022" s="82" t="str">
        <f aca="false">IF(AND(ISNUMBER(U2022),OR(AQ2022="À RADIOGRAPHIER",AQ2022="RÉPARÉ – À RADIOGRAPHIER",AQ2022="NX – RT À REFAIRE",AQ2022="À RÉPARER",AQ2022="COUPE – À RESOUDER",AQ2022="VT REJETÉ – À REPRENDRE")),MAX(0,'PROGRAMME RT'!$C$4-U2022),"")</f>
        <v/>
      </c>
      <c r="AS2022" s="82" t="n">
        <f aca="false">IF(AND(OR(AQ2022="À RADIOGRAPHIER",AQ2022="RÉPARÉ – À RADIOGRAPHIER",AQ2022="NX – RT À REFAIRE"),OR('PROGRAMME RT'!$D$5="TOUTES",B2022='PROGRAMME RT'!$D$5)),1,0)</f>
        <v>0</v>
      </c>
      <c r="AT2022" s="82" t="str">
        <f aca="false">IF(AS2022=1,SUM(AS$7:AS2022),"")</f>
        <v/>
      </c>
      <c r="AU2022" s="82" t="n">
        <f aca="false">IF(AND(OR(AA2022="R",AA2022="NX",AA2022="NT",AA2022="CO"),OR('JOINTS DE RÉPARATION'!$D$5="TOUTES",B2022='JOINTS DE RÉPARATION'!$D$5),OR('JOINTS DE RÉPARATION'!$L$4="TOUS",AQ2022&lt;&gt;"ACCEPTÉ")),1,0)</f>
        <v>0</v>
      </c>
      <c r="AV2022" s="82" t="str">
        <f aca="false">IF(AU2022=1,SUM(AU$7:AU2022),"")</f>
        <v/>
      </c>
      <c r="AW2022" s="82" t="str">
        <f aca="false">IF(E2022="","",B2022&amp;"|"&amp;E2022)</f>
        <v>MFD-ISW → MFD-CPF|JN°1544</v>
      </c>
    </row>
    <row r="2023" customFormat="false" ht="74.6" hidden="false" customHeight="false" outlineLevel="0" collapsed="false">
      <c r="A2023" s="79" t="n">
        <f aca="false">IF(E2023="","",ROW()-6)</f>
        <v>2017</v>
      </c>
      <c r="B2023" s="80" t="s">
        <v>110</v>
      </c>
      <c r="C2023" s="81" t="s">
        <v>2420</v>
      </c>
      <c r="D2023" s="81" t="n">
        <v>19</v>
      </c>
      <c r="E2023" s="81" t="s">
        <v>2460</v>
      </c>
      <c r="F2023" s="82" t="str">
        <f aca="false">IF(E2023="","",IF(LEFT(E2023,2)="DJ","DJ","JN"))</f>
        <v>DJ</v>
      </c>
      <c r="G2023" s="81"/>
      <c r="H2023" s="81" t="s">
        <v>871</v>
      </c>
      <c r="I2023" s="81" t="n">
        <v>9.53</v>
      </c>
      <c r="J2023" s="81" t="s">
        <v>872</v>
      </c>
      <c r="K2023" s="81" t="s">
        <v>873</v>
      </c>
      <c r="L2023" s="81" t="n">
        <v>2098130</v>
      </c>
      <c r="M2023" s="81" t="n">
        <v>15421112</v>
      </c>
      <c r="N2023" s="81" t="n">
        <v>11.94</v>
      </c>
      <c r="O2023" s="81" t="n">
        <v>2090500</v>
      </c>
      <c r="P2023" s="81" t="n">
        <v>15421109</v>
      </c>
      <c r="Q2023" s="81" t="n">
        <v>11.94</v>
      </c>
      <c r="R2023" s="81" t="s">
        <v>874</v>
      </c>
      <c r="S2023" s="81"/>
      <c r="T2023" s="81"/>
      <c r="U2023" s="83" t="n">
        <v>46251</v>
      </c>
      <c r="V2023" s="83" t="n">
        <v>46251</v>
      </c>
      <c r="W2023" s="81" t="s">
        <v>2140</v>
      </c>
      <c r="X2023" s="81" t="s">
        <v>876</v>
      </c>
      <c r="Y2023" s="83" t="n">
        <v>46252</v>
      </c>
      <c r="Z2023" s="81" t="s">
        <v>2278</v>
      </c>
      <c r="AA2023" s="81" t="s">
        <v>876</v>
      </c>
      <c r="AB2023" s="81"/>
      <c r="AC2023" s="81"/>
      <c r="AD2023" s="81"/>
      <c r="AE2023" s="83"/>
      <c r="AF2023" s="81"/>
      <c r="AG2023" s="81"/>
      <c r="AH2023" s="81"/>
      <c r="AI2023" s="81"/>
      <c r="AJ2023" s="83"/>
      <c r="AK2023" s="81"/>
      <c r="AL2023" s="81"/>
      <c r="AM2023" s="83"/>
      <c r="AN2023" s="80"/>
      <c r="AO2023" s="82" t="n">
        <f aca="false">IF(E2023="","",(AA2023&lt;&gt;"")+(AG2023&lt;&gt;"")+(AL2023&lt;&gt;""))</f>
        <v>1</v>
      </c>
      <c r="AP2023" s="82" t="str">
        <f aca="false">IF(AL2023&lt;&gt;"",AL2023,IF(AG2023&lt;&gt;"",AG2023,IF(AA2023&lt;&gt;"",AA2023,"")))</f>
        <v>A</v>
      </c>
      <c r="AQ2023" s="84" t="str">
        <f aca="false">IF(E2023="","",IF(U2023="","À SOUDER",IF(X2023="","VT EN ATTENTE",IF(X2023="R","VT REJETÉ – À REPRENDRE",IF(AP2023="","À RADIOGRAPHIER",IF(AP2023="A","ACCEPTÉ",IF(AP2023="NX","NX – RT À REFAIRE",IF(IF(AO2023=1,AD2023,IF(AO2023=2,AI2023,""))="A","RÉPARÉ – À RADIOGRAPHIER",IF(IF(AO2023=1,AD2023,IF(AO2023=2,AI2023,""))="R","VT REJETÉ – À REPRENDRE",IF(OR(AP2023="CO",AP2023="NT"),"COUPE – À RESOUDER","À RÉPARER"))))))))))</f>
        <v>ACCEPTÉ</v>
      </c>
      <c r="AR2023" s="82" t="str">
        <f aca="false">IF(AND(ISNUMBER(U2023),OR(AQ2023="À RADIOGRAPHIER",AQ2023="RÉPARÉ – À RADIOGRAPHIER",AQ2023="NX – RT À REFAIRE",AQ2023="À RÉPARER",AQ2023="COUPE – À RESOUDER",AQ2023="VT REJETÉ – À REPRENDRE")),MAX(0,'PROGRAMME RT'!$C$4-U2023),"")</f>
        <v/>
      </c>
      <c r="AS2023" s="82" t="n">
        <f aca="false">IF(AND(OR(AQ2023="À RADIOGRAPHIER",AQ2023="RÉPARÉ – À RADIOGRAPHIER",AQ2023="NX – RT À REFAIRE"),OR('PROGRAMME RT'!$D$5="TOUTES",B2023='PROGRAMME RT'!$D$5)),1,0)</f>
        <v>0</v>
      </c>
      <c r="AT2023" s="82" t="str">
        <f aca="false">IF(AS2023=1,SUM(AS$7:AS2023),"")</f>
        <v/>
      </c>
      <c r="AU2023" s="82" t="n">
        <f aca="false">IF(AND(OR(AA2023="R",AA2023="NX",AA2023="NT",AA2023="CO"),OR('JOINTS DE RÉPARATION'!$D$5="TOUTES",B2023='JOINTS DE RÉPARATION'!$D$5),OR('JOINTS DE RÉPARATION'!$L$4="TOUS",AQ2023&lt;&gt;"ACCEPTÉ")),1,0)</f>
        <v>0</v>
      </c>
      <c r="AV2023" s="82" t="str">
        <f aca="false">IF(AU2023=1,SUM(AU$7:AU2023),"")</f>
        <v/>
      </c>
      <c r="AW2023" s="82" t="str">
        <f aca="false">IF(E2023="","",B2023&amp;"|"&amp;E2023)</f>
        <v>MFD-ISW → MFD-CPF|DJ°036</v>
      </c>
    </row>
    <row r="2024" customFormat="false" ht="74.6" hidden="false" customHeight="false" outlineLevel="0" collapsed="false">
      <c r="A2024" s="79" t="n">
        <f aca="false">IF(E2024="","",ROW()-6)</f>
        <v>2018</v>
      </c>
      <c r="B2024" s="80" t="s">
        <v>110</v>
      </c>
      <c r="C2024" s="81" t="s">
        <v>2420</v>
      </c>
      <c r="D2024" s="81" t="n">
        <v>19</v>
      </c>
      <c r="E2024" s="81" t="s">
        <v>2461</v>
      </c>
      <c r="F2024" s="82" t="str">
        <f aca="false">IF(E2024="","",IF(LEFT(E2024,2)="DJ","DJ","JN"))</f>
        <v>JN</v>
      </c>
      <c r="G2024" s="81" t="s">
        <v>1504</v>
      </c>
      <c r="H2024" s="81" t="s">
        <v>871</v>
      </c>
      <c r="I2024" s="81" t="n">
        <v>9.53</v>
      </c>
      <c r="J2024" s="81" t="s">
        <v>872</v>
      </c>
      <c r="K2024" s="81" t="s">
        <v>879</v>
      </c>
      <c r="L2024" s="81" t="n">
        <v>2090500</v>
      </c>
      <c r="M2024" s="81" t="n">
        <v>15421109</v>
      </c>
      <c r="N2024" s="81" t="n">
        <v>11.94</v>
      </c>
      <c r="O2024" s="81" t="n">
        <v>2091750</v>
      </c>
      <c r="P2024" s="81" t="n">
        <v>15421109</v>
      </c>
      <c r="Q2024" s="81" t="n">
        <v>11.94</v>
      </c>
      <c r="R2024" s="81" t="s">
        <v>2273</v>
      </c>
      <c r="S2024" s="81"/>
      <c r="T2024" s="81"/>
      <c r="U2024" s="83" t="n">
        <v>46267</v>
      </c>
      <c r="V2024" s="83" t="n">
        <v>46267</v>
      </c>
      <c r="W2024" s="81" t="s">
        <v>2432</v>
      </c>
      <c r="X2024" s="81" t="s">
        <v>876</v>
      </c>
      <c r="Y2024" s="83" t="n">
        <v>46275</v>
      </c>
      <c r="Z2024" s="81" t="s">
        <v>2455</v>
      </c>
      <c r="AA2024" s="81" t="s">
        <v>876</v>
      </c>
      <c r="AB2024" s="81"/>
      <c r="AC2024" s="81"/>
      <c r="AD2024" s="81"/>
      <c r="AE2024" s="83"/>
      <c r="AF2024" s="81"/>
      <c r="AG2024" s="81"/>
      <c r="AH2024" s="81"/>
      <c r="AI2024" s="81"/>
      <c r="AJ2024" s="83"/>
      <c r="AK2024" s="81"/>
      <c r="AL2024" s="81"/>
      <c r="AM2024" s="83"/>
      <c r="AN2024" s="80"/>
      <c r="AO2024" s="82" t="n">
        <f aca="false">IF(E2024="","",(AA2024&lt;&gt;"")+(AG2024&lt;&gt;"")+(AL2024&lt;&gt;""))</f>
        <v>1</v>
      </c>
      <c r="AP2024" s="82" t="str">
        <f aca="false">IF(AL2024&lt;&gt;"",AL2024,IF(AG2024&lt;&gt;"",AG2024,IF(AA2024&lt;&gt;"",AA2024,"")))</f>
        <v>A</v>
      </c>
      <c r="AQ2024" s="84" t="str">
        <f aca="false">IF(E2024="","",IF(U2024="","À SOUDER",IF(X2024="","VT EN ATTENTE",IF(X2024="R","VT REJETÉ – À REPRENDRE",IF(AP2024="","À RADIOGRAPHIER",IF(AP2024="A","ACCEPTÉ",IF(AP2024="NX","NX – RT À REFAIRE",IF(IF(AO2024=1,AD2024,IF(AO2024=2,AI2024,""))="A","RÉPARÉ – À RADIOGRAPHIER",IF(IF(AO2024=1,AD2024,IF(AO2024=2,AI2024,""))="R","VT REJETÉ – À REPRENDRE",IF(OR(AP2024="CO",AP2024="NT"),"COUPE – À RESOUDER","À RÉPARER"))))))))))</f>
        <v>ACCEPTÉ</v>
      </c>
      <c r="AR2024" s="82" t="str">
        <f aca="false">IF(AND(ISNUMBER(U2024),OR(AQ2024="À RADIOGRAPHIER",AQ2024="RÉPARÉ – À RADIOGRAPHIER",AQ2024="NX – RT À REFAIRE",AQ2024="À RÉPARER",AQ2024="COUPE – À RESOUDER",AQ2024="VT REJETÉ – À REPRENDRE")),MAX(0,'PROGRAMME RT'!$C$4-U2024),"")</f>
        <v/>
      </c>
      <c r="AS2024" s="82" t="n">
        <f aca="false">IF(AND(OR(AQ2024="À RADIOGRAPHIER",AQ2024="RÉPARÉ – À RADIOGRAPHIER",AQ2024="NX – RT À REFAIRE"),OR('PROGRAMME RT'!$D$5="TOUTES",B2024='PROGRAMME RT'!$D$5)),1,0)</f>
        <v>0</v>
      </c>
      <c r="AT2024" s="82" t="str">
        <f aca="false">IF(AS2024=1,SUM(AS$7:AS2024),"")</f>
        <v/>
      </c>
      <c r="AU2024" s="82" t="n">
        <f aca="false">IF(AND(OR(AA2024="R",AA2024="NX",AA2024="NT",AA2024="CO"),OR('JOINTS DE RÉPARATION'!$D$5="TOUTES",B2024='JOINTS DE RÉPARATION'!$D$5),OR('JOINTS DE RÉPARATION'!$L$4="TOUS",AQ2024&lt;&gt;"ACCEPTÉ")),1,0)</f>
        <v>0</v>
      </c>
      <c r="AV2024" s="82" t="str">
        <f aca="false">IF(AU2024=1,SUM(AU$7:AU2024),"")</f>
        <v/>
      </c>
      <c r="AW2024" s="82" t="str">
        <f aca="false">IF(E2024="","",B2024&amp;"|"&amp;E2024)</f>
        <v>MFD-ISW → MFD-CPF|JN°1545</v>
      </c>
    </row>
    <row r="2025" customFormat="false" ht="74.6" hidden="false" customHeight="false" outlineLevel="0" collapsed="false">
      <c r="A2025" s="79" t="n">
        <f aca="false">IF(E2025="","",ROW()-6)</f>
        <v>2019</v>
      </c>
      <c r="B2025" s="80" t="s">
        <v>110</v>
      </c>
      <c r="C2025" s="81" t="s">
        <v>2420</v>
      </c>
      <c r="D2025" s="81" t="n">
        <v>19</v>
      </c>
      <c r="E2025" s="81" t="s">
        <v>2462</v>
      </c>
      <c r="F2025" s="82" t="str">
        <f aca="false">IF(E2025="","",IF(LEFT(E2025,2)="DJ","DJ","JN"))</f>
        <v>DJ</v>
      </c>
      <c r="G2025" s="81"/>
      <c r="H2025" s="81" t="s">
        <v>871</v>
      </c>
      <c r="I2025" s="81" t="n">
        <v>9.53</v>
      </c>
      <c r="J2025" s="81" t="s">
        <v>872</v>
      </c>
      <c r="K2025" s="81" t="s">
        <v>873</v>
      </c>
      <c r="L2025" s="81" t="n">
        <v>2091750</v>
      </c>
      <c r="M2025" s="81" t="n">
        <v>15421109</v>
      </c>
      <c r="N2025" s="81" t="n">
        <v>11.94</v>
      </c>
      <c r="O2025" s="81" t="n">
        <v>2090340</v>
      </c>
      <c r="P2025" s="81" t="n">
        <v>15421109</v>
      </c>
      <c r="Q2025" s="81" t="n">
        <v>11.94</v>
      </c>
      <c r="R2025" s="81" t="s">
        <v>899</v>
      </c>
      <c r="S2025" s="81"/>
      <c r="T2025" s="81"/>
      <c r="U2025" s="83" t="n">
        <v>46251</v>
      </c>
      <c r="V2025" s="83" t="n">
        <v>46251</v>
      </c>
      <c r="W2025" s="81" t="s">
        <v>2140</v>
      </c>
      <c r="X2025" s="81" t="s">
        <v>876</v>
      </c>
      <c r="Y2025" s="83" t="n">
        <v>46252</v>
      </c>
      <c r="Z2025" s="81" t="s">
        <v>2278</v>
      </c>
      <c r="AA2025" s="81" t="s">
        <v>876</v>
      </c>
      <c r="AB2025" s="81"/>
      <c r="AC2025" s="81"/>
      <c r="AD2025" s="81"/>
      <c r="AE2025" s="83"/>
      <c r="AF2025" s="81"/>
      <c r="AG2025" s="81"/>
      <c r="AH2025" s="81"/>
      <c r="AI2025" s="81"/>
      <c r="AJ2025" s="83"/>
      <c r="AK2025" s="81"/>
      <c r="AL2025" s="81"/>
      <c r="AM2025" s="83"/>
      <c r="AN2025" s="80"/>
      <c r="AO2025" s="82" t="n">
        <f aca="false">IF(E2025="","",(AA2025&lt;&gt;"")+(AG2025&lt;&gt;"")+(AL2025&lt;&gt;""))</f>
        <v>1</v>
      </c>
      <c r="AP2025" s="82" t="str">
        <f aca="false">IF(AL2025&lt;&gt;"",AL2025,IF(AG2025&lt;&gt;"",AG2025,IF(AA2025&lt;&gt;"",AA2025,"")))</f>
        <v>A</v>
      </c>
      <c r="AQ2025" s="84" t="str">
        <f aca="false">IF(E2025="","",IF(U2025="","À SOUDER",IF(X2025="","VT EN ATTENTE",IF(X2025="R","VT REJETÉ – À REPRENDRE",IF(AP2025="","À RADIOGRAPHIER",IF(AP2025="A","ACCEPTÉ",IF(AP2025="NX","NX – RT À REFAIRE",IF(IF(AO2025=1,AD2025,IF(AO2025=2,AI2025,""))="A","RÉPARÉ – À RADIOGRAPHIER",IF(IF(AO2025=1,AD2025,IF(AO2025=2,AI2025,""))="R","VT REJETÉ – À REPRENDRE",IF(OR(AP2025="CO",AP2025="NT"),"COUPE – À RESOUDER","À RÉPARER"))))))))))</f>
        <v>ACCEPTÉ</v>
      </c>
      <c r="AR2025" s="82" t="str">
        <f aca="false">IF(AND(ISNUMBER(U2025),OR(AQ2025="À RADIOGRAPHIER",AQ2025="RÉPARÉ – À RADIOGRAPHIER",AQ2025="NX – RT À REFAIRE",AQ2025="À RÉPARER",AQ2025="COUPE – À RESOUDER",AQ2025="VT REJETÉ – À REPRENDRE")),MAX(0,'PROGRAMME RT'!$C$4-U2025),"")</f>
        <v/>
      </c>
      <c r="AS2025" s="82" t="n">
        <f aca="false">IF(AND(OR(AQ2025="À RADIOGRAPHIER",AQ2025="RÉPARÉ – À RADIOGRAPHIER",AQ2025="NX – RT À REFAIRE"),OR('PROGRAMME RT'!$D$5="TOUTES",B2025='PROGRAMME RT'!$D$5)),1,0)</f>
        <v>0</v>
      </c>
      <c r="AT2025" s="82" t="str">
        <f aca="false">IF(AS2025=1,SUM(AS$7:AS2025),"")</f>
        <v/>
      </c>
      <c r="AU2025" s="82" t="n">
        <f aca="false">IF(AND(OR(AA2025="R",AA2025="NX",AA2025="NT",AA2025="CO"),OR('JOINTS DE RÉPARATION'!$D$5="TOUTES",B2025='JOINTS DE RÉPARATION'!$D$5),OR('JOINTS DE RÉPARATION'!$L$4="TOUS",AQ2025&lt;&gt;"ACCEPTÉ")),1,0)</f>
        <v>0</v>
      </c>
      <c r="AV2025" s="82" t="str">
        <f aca="false">IF(AU2025=1,SUM(AU$7:AU2025),"")</f>
        <v/>
      </c>
      <c r="AW2025" s="82" t="str">
        <f aca="false">IF(E2025="","",B2025&amp;"|"&amp;E2025)</f>
        <v>MFD-ISW → MFD-CPF|DJ°038</v>
      </c>
    </row>
    <row r="2026" customFormat="false" ht="74.6" hidden="false" customHeight="false" outlineLevel="0" collapsed="false">
      <c r="A2026" s="79" t="n">
        <f aca="false">IF(E2026="","",ROW()-6)</f>
        <v>2020</v>
      </c>
      <c r="B2026" s="80" t="s">
        <v>110</v>
      </c>
      <c r="C2026" s="81" t="s">
        <v>2420</v>
      </c>
      <c r="D2026" s="81" t="n">
        <v>19</v>
      </c>
      <c r="E2026" s="81" t="s">
        <v>2463</v>
      </c>
      <c r="F2026" s="82" t="str">
        <f aca="false">IF(E2026="","",IF(LEFT(E2026,2)="DJ","DJ","JN"))</f>
        <v>JN</v>
      </c>
      <c r="G2026" s="81" t="s">
        <v>1504</v>
      </c>
      <c r="H2026" s="81" t="s">
        <v>871</v>
      </c>
      <c r="I2026" s="81" t="n">
        <v>9.53</v>
      </c>
      <c r="J2026" s="81" t="s">
        <v>872</v>
      </c>
      <c r="K2026" s="81" t="s">
        <v>1861</v>
      </c>
      <c r="L2026" s="81" t="n">
        <v>2090340</v>
      </c>
      <c r="M2026" s="81" t="n">
        <v>15421109</v>
      </c>
      <c r="N2026" s="81" t="n">
        <v>11.94</v>
      </c>
      <c r="O2026" s="81" t="n">
        <v>2091600</v>
      </c>
      <c r="P2026" s="81" t="n">
        <v>15421109</v>
      </c>
      <c r="Q2026" s="81" t="n">
        <v>11.94</v>
      </c>
      <c r="R2026" s="81" t="s">
        <v>1862</v>
      </c>
      <c r="S2026" s="81"/>
      <c r="T2026" s="81"/>
      <c r="U2026" s="83" t="n">
        <v>46287</v>
      </c>
      <c r="V2026" s="83" t="n">
        <v>46287</v>
      </c>
      <c r="W2026" s="81" t="s">
        <v>2346</v>
      </c>
      <c r="X2026" s="81" t="s">
        <v>876</v>
      </c>
      <c r="Y2026" s="83"/>
      <c r="Z2026" s="81"/>
      <c r="AA2026" s="81"/>
      <c r="AB2026" s="81"/>
      <c r="AC2026" s="81"/>
      <c r="AD2026" s="81"/>
      <c r="AE2026" s="83"/>
      <c r="AF2026" s="81"/>
      <c r="AG2026" s="81"/>
      <c r="AH2026" s="81"/>
      <c r="AI2026" s="81"/>
      <c r="AJ2026" s="83"/>
      <c r="AK2026" s="81"/>
      <c r="AL2026" s="81"/>
      <c r="AM2026" s="83"/>
      <c r="AN2026" s="80"/>
      <c r="AO2026" s="82" t="n">
        <f aca="false">IF(E2026="","",(AA2026&lt;&gt;"")+(AG2026&lt;&gt;"")+(AL2026&lt;&gt;""))</f>
        <v>0</v>
      </c>
      <c r="AP2026" s="82" t="str">
        <f aca="false">IF(AL2026&lt;&gt;"",AL2026,IF(AG2026&lt;&gt;"",AG2026,IF(AA2026&lt;&gt;"",AA2026,"")))</f>
        <v/>
      </c>
      <c r="AQ2026" s="84" t="str">
        <f aca="false">IF(E2026="","",IF(U2026="","À SOUDER",IF(X2026="","VT EN ATTENTE",IF(X2026="R","VT REJETÉ – À REPRENDRE",IF(AP2026="","À RADIOGRAPHIER",IF(AP2026="A","ACCEPTÉ",IF(AP2026="NX","NX – RT À REFAIRE",IF(IF(AO2026=1,AD2026,IF(AO2026=2,AI2026,""))="A","RÉPARÉ – À RADIOGRAPHIER",IF(IF(AO2026=1,AD2026,IF(AO2026=2,AI2026,""))="R","VT REJETÉ – À REPRENDRE",IF(OR(AP2026="CO",AP2026="NT"),"COUPE – À RESOUDER","À RÉPARER"))))))))))</f>
        <v>À RADIOGRAPHIER</v>
      </c>
      <c r="AR2026" s="82" t="n">
        <f aca="false">IF(AND(ISNUMBER(U2026),OR(AQ2026="À RADIOGRAPHIER",AQ2026="RÉPARÉ – À RADIOGRAPHIER",AQ2026="NX – RT À REFAIRE",AQ2026="À RÉPARER",AQ2026="COUPE – À RESOUDER",AQ2026="VT REJETÉ – À REPRENDRE")),MAX(0,'PROGRAMME RT'!$C$4-U2026),"")</f>
        <v>6</v>
      </c>
      <c r="AS2026" s="82" t="n">
        <f aca="false">IF(AND(OR(AQ2026="À RADIOGRAPHIER",AQ2026="RÉPARÉ – À RADIOGRAPHIER",AQ2026="NX – RT À REFAIRE"),OR('PROGRAMME RT'!$D$5="TOUTES",B2026='PROGRAMME RT'!$D$5)),1,0)</f>
        <v>1</v>
      </c>
      <c r="AT2026" s="82" t="n">
        <f aca="false">IF(AS2026=1,SUM(AS$7:AS2026),"")</f>
        <v>108</v>
      </c>
      <c r="AU2026" s="82" t="n">
        <f aca="false">IF(AND(OR(AA2026="R",AA2026="NX",AA2026="NT",AA2026="CO"),OR('JOINTS DE RÉPARATION'!$D$5="TOUTES",B2026='JOINTS DE RÉPARATION'!$D$5),OR('JOINTS DE RÉPARATION'!$L$4="TOUS",AQ2026&lt;&gt;"ACCEPTÉ")),1,0)</f>
        <v>0</v>
      </c>
      <c r="AV2026" s="82" t="str">
        <f aca="false">IF(AU2026=1,SUM(AU$7:AU2026),"")</f>
        <v/>
      </c>
      <c r="AW2026" s="82" t="str">
        <f aca="false">IF(E2026="","",B2026&amp;"|"&amp;E2026)</f>
        <v>MFD-ISW → MFD-CPF|JN°1546R</v>
      </c>
    </row>
    <row r="2027" customFormat="false" ht="74.6" hidden="false" customHeight="false" outlineLevel="0" collapsed="false">
      <c r="A2027" s="79" t="n">
        <f aca="false">IF(E2027="","",ROW()-6)</f>
        <v>2021</v>
      </c>
      <c r="B2027" s="80" t="s">
        <v>110</v>
      </c>
      <c r="C2027" s="81" t="s">
        <v>2420</v>
      </c>
      <c r="D2027" s="81" t="n">
        <v>19</v>
      </c>
      <c r="E2027" s="81" t="s">
        <v>2464</v>
      </c>
      <c r="F2027" s="82" t="str">
        <f aca="false">IF(E2027="","",IF(LEFT(E2027,2)="DJ","DJ","JN"))</f>
        <v>DJ</v>
      </c>
      <c r="G2027" s="81"/>
      <c r="H2027" s="81" t="s">
        <v>871</v>
      </c>
      <c r="I2027" s="81" t="n">
        <v>9.53</v>
      </c>
      <c r="J2027" s="81" t="s">
        <v>872</v>
      </c>
      <c r="K2027" s="81" t="s">
        <v>873</v>
      </c>
      <c r="L2027" s="81" t="n">
        <v>2091600</v>
      </c>
      <c r="M2027" s="81" t="n">
        <v>15421109</v>
      </c>
      <c r="N2027" s="81" t="n">
        <v>11.94</v>
      </c>
      <c r="O2027" s="81" t="n">
        <v>2095060</v>
      </c>
      <c r="P2027" s="81" t="n">
        <v>15421111</v>
      </c>
      <c r="Q2027" s="81" t="n">
        <v>11.94</v>
      </c>
      <c r="R2027" s="81" t="s">
        <v>963</v>
      </c>
      <c r="S2027" s="81"/>
      <c r="T2027" s="81"/>
      <c r="U2027" s="83" t="n">
        <v>46251</v>
      </c>
      <c r="V2027" s="83" t="n">
        <v>46251</v>
      </c>
      <c r="W2027" s="81" t="s">
        <v>2140</v>
      </c>
      <c r="X2027" s="81" t="s">
        <v>876</v>
      </c>
      <c r="Y2027" s="83" t="n">
        <v>46252</v>
      </c>
      <c r="Z2027" s="81" t="s">
        <v>2278</v>
      </c>
      <c r="AA2027" s="81" t="s">
        <v>876</v>
      </c>
      <c r="AB2027" s="81"/>
      <c r="AC2027" s="81"/>
      <c r="AD2027" s="81"/>
      <c r="AE2027" s="83"/>
      <c r="AF2027" s="81"/>
      <c r="AG2027" s="81"/>
      <c r="AH2027" s="81"/>
      <c r="AI2027" s="81"/>
      <c r="AJ2027" s="83"/>
      <c r="AK2027" s="81"/>
      <c r="AL2027" s="81"/>
      <c r="AM2027" s="83"/>
      <c r="AN2027" s="80"/>
      <c r="AO2027" s="82" t="n">
        <f aca="false">IF(E2027="","",(AA2027&lt;&gt;"")+(AG2027&lt;&gt;"")+(AL2027&lt;&gt;""))</f>
        <v>1</v>
      </c>
      <c r="AP2027" s="82" t="str">
        <f aca="false">IF(AL2027&lt;&gt;"",AL2027,IF(AG2027&lt;&gt;"",AG2027,IF(AA2027&lt;&gt;"",AA2027,"")))</f>
        <v>A</v>
      </c>
      <c r="AQ2027" s="84" t="str">
        <f aca="false">IF(E2027="","",IF(U2027="","À SOUDER",IF(X2027="","VT EN ATTENTE",IF(X2027="R","VT REJETÉ – À REPRENDRE",IF(AP2027="","À RADIOGRAPHIER",IF(AP2027="A","ACCEPTÉ",IF(AP2027="NX","NX – RT À REFAIRE",IF(IF(AO2027=1,AD2027,IF(AO2027=2,AI2027,""))="A","RÉPARÉ – À RADIOGRAPHIER",IF(IF(AO2027=1,AD2027,IF(AO2027=2,AI2027,""))="R","VT REJETÉ – À REPRENDRE",IF(OR(AP2027="CO",AP2027="NT"),"COUPE – À RESOUDER","À RÉPARER"))))))))))</f>
        <v>ACCEPTÉ</v>
      </c>
      <c r="AR2027" s="82" t="str">
        <f aca="false">IF(AND(ISNUMBER(U2027),OR(AQ2027="À RADIOGRAPHIER",AQ2027="RÉPARÉ – À RADIOGRAPHIER",AQ2027="NX – RT À REFAIRE",AQ2027="À RÉPARER",AQ2027="COUPE – À RESOUDER",AQ2027="VT REJETÉ – À REPRENDRE")),MAX(0,'PROGRAMME RT'!$C$4-U2027),"")</f>
        <v/>
      </c>
      <c r="AS2027" s="82" t="n">
        <f aca="false">IF(AND(OR(AQ2027="À RADIOGRAPHIER",AQ2027="RÉPARÉ – À RADIOGRAPHIER",AQ2027="NX – RT À REFAIRE"),OR('PROGRAMME RT'!$D$5="TOUTES",B2027='PROGRAMME RT'!$D$5)),1,0)</f>
        <v>0</v>
      </c>
      <c r="AT2027" s="82" t="str">
        <f aca="false">IF(AS2027=1,SUM(AS$7:AS2027),"")</f>
        <v/>
      </c>
      <c r="AU2027" s="82" t="n">
        <f aca="false">IF(AND(OR(AA2027="R",AA2027="NX",AA2027="NT",AA2027="CO"),OR('JOINTS DE RÉPARATION'!$D$5="TOUTES",B2027='JOINTS DE RÉPARATION'!$D$5),OR('JOINTS DE RÉPARATION'!$L$4="TOUS",AQ2027&lt;&gt;"ACCEPTÉ")),1,0)</f>
        <v>0</v>
      </c>
      <c r="AV2027" s="82" t="str">
        <f aca="false">IF(AU2027=1,SUM(AU$7:AU2027),"")</f>
        <v/>
      </c>
      <c r="AW2027" s="82" t="str">
        <f aca="false">IF(E2027="","",B2027&amp;"|"&amp;E2027)</f>
        <v>MFD-ISW → MFD-CPF|DJ°033</v>
      </c>
    </row>
    <row r="2028" customFormat="false" ht="74.6" hidden="false" customHeight="false" outlineLevel="0" collapsed="false">
      <c r="A2028" s="79" t="n">
        <f aca="false">IF(E2028="","",ROW()-6)</f>
        <v>2022</v>
      </c>
      <c r="B2028" s="80" t="s">
        <v>110</v>
      </c>
      <c r="C2028" s="81" t="s">
        <v>2420</v>
      </c>
      <c r="D2028" s="81" t="n">
        <v>19</v>
      </c>
      <c r="E2028" s="81" t="s">
        <v>2465</v>
      </c>
      <c r="F2028" s="82" t="str">
        <f aca="false">IF(E2028="","",IF(LEFT(E2028,2)="DJ","DJ","JN"))</f>
        <v>JN</v>
      </c>
      <c r="G2028" s="81" t="s">
        <v>1504</v>
      </c>
      <c r="H2028" s="81" t="s">
        <v>871</v>
      </c>
      <c r="I2028" s="81" t="n">
        <v>9.53</v>
      </c>
      <c r="J2028" s="81" t="s">
        <v>872</v>
      </c>
      <c r="K2028" s="81" t="s">
        <v>879</v>
      </c>
      <c r="L2028" s="81" t="n">
        <v>2095060</v>
      </c>
      <c r="M2028" s="81" t="n">
        <v>15421111</v>
      </c>
      <c r="N2028" s="81" t="n">
        <v>11.94</v>
      </c>
      <c r="O2028" s="81" t="n">
        <v>2082960</v>
      </c>
      <c r="P2028" s="81" t="n">
        <v>15421105</v>
      </c>
      <c r="Q2028" s="81" t="n">
        <v>11.94</v>
      </c>
      <c r="R2028" s="81" t="s">
        <v>2273</v>
      </c>
      <c r="S2028" s="81"/>
      <c r="T2028" s="81"/>
      <c r="U2028" s="83" t="n">
        <v>46267</v>
      </c>
      <c r="V2028" s="83" t="n">
        <v>46267</v>
      </c>
      <c r="W2028" s="81" t="s">
        <v>2432</v>
      </c>
      <c r="X2028" s="81" t="s">
        <v>876</v>
      </c>
      <c r="Y2028" s="83" t="n">
        <v>46275</v>
      </c>
      <c r="Z2028" s="81" t="s">
        <v>2455</v>
      </c>
      <c r="AA2028" s="81" t="s">
        <v>876</v>
      </c>
      <c r="AB2028" s="81"/>
      <c r="AC2028" s="81"/>
      <c r="AD2028" s="81"/>
      <c r="AE2028" s="83"/>
      <c r="AF2028" s="81"/>
      <c r="AG2028" s="81"/>
      <c r="AH2028" s="81"/>
      <c r="AI2028" s="81"/>
      <c r="AJ2028" s="83"/>
      <c r="AK2028" s="81"/>
      <c r="AL2028" s="81"/>
      <c r="AM2028" s="83"/>
      <c r="AN2028" s="80"/>
      <c r="AO2028" s="82" t="n">
        <f aca="false">IF(E2028="","",(AA2028&lt;&gt;"")+(AG2028&lt;&gt;"")+(AL2028&lt;&gt;""))</f>
        <v>1</v>
      </c>
      <c r="AP2028" s="82" t="str">
        <f aca="false">IF(AL2028&lt;&gt;"",AL2028,IF(AG2028&lt;&gt;"",AG2028,IF(AA2028&lt;&gt;"",AA2028,"")))</f>
        <v>A</v>
      </c>
      <c r="AQ2028" s="84" t="str">
        <f aca="false">IF(E2028="","",IF(U2028="","À SOUDER",IF(X2028="","VT EN ATTENTE",IF(X2028="R","VT REJETÉ – À REPRENDRE",IF(AP2028="","À RADIOGRAPHIER",IF(AP2028="A","ACCEPTÉ",IF(AP2028="NX","NX – RT À REFAIRE",IF(IF(AO2028=1,AD2028,IF(AO2028=2,AI2028,""))="A","RÉPARÉ – À RADIOGRAPHIER",IF(IF(AO2028=1,AD2028,IF(AO2028=2,AI2028,""))="R","VT REJETÉ – À REPRENDRE",IF(OR(AP2028="CO",AP2028="NT"),"COUPE – À RESOUDER","À RÉPARER"))))))))))</f>
        <v>ACCEPTÉ</v>
      </c>
      <c r="AR2028" s="82" t="str">
        <f aca="false">IF(AND(ISNUMBER(U2028),OR(AQ2028="À RADIOGRAPHIER",AQ2028="RÉPARÉ – À RADIOGRAPHIER",AQ2028="NX – RT À REFAIRE",AQ2028="À RÉPARER",AQ2028="COUPE – À RESOUDER",AQ2028="VT REJETÉ – À REPRENDRE")),MAX(0,'PROGRAMME RT'!$C$4-U2028),"")</f>
        <v/>
      </c>
      <c r="AS2028" s="82" t="n">
        <f aca="false">IF(AND(OR(AQ2028="À RADIOGRAPHIER",AQ2028="RÉPARÉ – À RADIOGRAPHIER",AQ2028="NX – RT À REFAIRE"),OR('PROGRAMME RT'!$D$5="TOUTES",B2028='PROGRAMME RT'!$D$5)),1,0)</f>
        <v>0</v>
      </c>
      <c r="AT2028" s="82" t="str">
        <f aca="false">IF(AS2028=1,SUM(AS$7:AS2028),"")</f>
        <v/>
      </c>
      <c r="AU2028" s="82" t="n">
        <f aca="false">IF(AND(OR(AA2028="R",AA2028="NX",AA2028="NT",AA2028="CO"),OR('JOINTS DE RÉPARATION'!$D$5="TOUTES",B2028='JOINTS DE RÉPARATION'!$D$5),OR('JOINTS DE RÉPARATION'!$L$4="TOUS",AQ2028&lt;&gt;"ACCEPTÉ")),1,0)</f>
        <v>0</v>
      </c>
      <c r="AV2028" s="82" t="str">
        <f aca="false">IF(AU2028=1,SUM(AU$7:AU2028),"")</f>
        <v/>
      </c>
      <c r="AW2028" s="82" t="str">
        <f aca="false">IF(E2028="","",B2028&amp;"|"&amp;E2028)</f>
        <v>MFD-ISW → MFD-CPF|JN°1547</v>
      </c>
    </row>
    <row r="2029" customFormat="false" ht="74.6" hidden="false" customHeight="false" outlineLevel="0" collapsed="false">
      <c r="A2029" s="79" t="n">
        <f aca="false">IF(E2029="","",ROW()-6)</f>
        <v>2023</v>
      </c>
      <c r="B2029" s="80" t="s">
        <v>110</v>
      </c>
      <c r="C2029" s="81" t="s">
        <v>2420</v>
      </c>
      <c r="D2029" s="81" t="n">
        <v>19</v>
      </c>
      <c r="E2029" s="81" t="s">
        <v>2466</v>
      </c>
      <c r="F2029" s="82" t="str">
        <f aca="false">IF(E2029="","",IF(LEFT(E2029,2)="DJ","DJ","JN"))</f>
        <v>DJ</v>
      </c>
      <c r="G2029" s="81"/>
      <c r="H2029" s="81" t="s">
        <v>871</v>
      </c>
      <c r="I2029" s="81" t="n">
        <v>9.53</v>
      </c>
      <c r="J2029" s="81" t="s">
        <v>872</v>
      </c>
      <c r="K2029" s="81" t="s">
        <v>873</v>
      </c>
      <c r="L2029" s="81" t="n">
        <v>2082960</v>
      </c>
      <c r="M2029" s="81" t="n">
        <v>15421105</v>
      </c>
      <c r="N2029" s="81" t="n">
        <v>11.94</v>
      </c>
      <c r="O2029" s="81" t="n">
        <v>2081860</v>
      </c>
      <c r="P2029" s="81" t="n">
        <v>15421104</v>
      </c>
      <c r="Q2029" s="81" t="n">
        <v>11.94</v>
      </c>
      <c r="R2029" s="81" t="s">
        <v>874</v>
      </c>
      <c r="S2029" s="81"/>
      <c r="T2029" s="81"/>
      <c r="U2029" s="83" t="n">
        <v>46251</v>
      </c>
      <c r="V2029" s="83" t="n">
        <v>46251</v>
      </c>
      <c r="W2029" s="81" t="s">
        <v>2140</v>
      </c>
      <c r="X2029" s="81" t="s">
        <v>876</v>
      </c>
      <c r="Y2029" s="83" t="n">
        <v>46252</v>
      </c>
      <c r="Z2029" s="81" t="s">
        <v>2278</v>
      </c>
      <c r="AA2029" s="81" t="s">
        <v>876</v>
      </c>
      <c r="AB2029" s="81"/>
      <c r="AC2029" s="81"/>
      <c r="AD2029" s="81"/>
      <c r="AE2029" s="83"/>
      <c r="AF2029" s="81"/>
      <c r="AG2029" s="81"/>
      <c r="AH2029" s="81"/>
      <c r="AI2029" s="81"/>
      <c r="AJ2029" s="83"/>
      <c r="AK2029" s="81"/>
      <c r="AL2029" s="81"/>
      <c r="AM2029" s="83"/>
      <c r="AN2029" s="80"/>
      <c r="AO2029" s="82" t="n">
        <f aca="false">IF(E2029="","",(AA2029&lt;&gt;"")+(AG2029&lt;&gt;"")+(AL2029&lt;&gt;""))</f>
        <v>1</v>
      </c>
      <c r="AP2029" s="82" t="str">
        <f aca="false">IF(AL2029&lt;&gt;"",AL2029,IF(AG2029&lt;&gt;"",AG2029,IF(AA2029&lt;&gt;"",AA2029,"")))</f>
        <v>A</v>
      </c>
      <c r="AQ2029" s="84" t="str">
        <f aca="false">IF(E2029="","",IF(U2029="","À SOUDER",IF(X2029="","VT EN ATTENTE",IF(X2029="R","VT REJETÉ – À REPRENDRE",IF(AP2029="","À RADIOGRAPHIER",IF(AP2029="A","ACCEPTÉ",IF(AP2029="NX","NX – RT À REFAIRE",IF(IF(AO2029=1,AD2029,IF(AO2029=2,AI2029,""))="A","RÉPARÉ – À RADIOGRAPHIER",IF(IF(AO2029=1,AD2029,IF(AO2029=2,AI2029,""))="R","VT REJETÉ – À REPRENDRE",IF(OR(AP2029="CO",AP2029="NT"),"COUPE – À RESOUDER","À RÉPARER"))))))))))</f>
        <v>ACCEPTÉ</v>
      </c>
      <c r="AR2029" s="82" t="str">
        <f aca="false">IF(AND(ISNUMBER(U2029),OR(AQ2029="À RADIOGRAPHIER",AQ2029="RÉPARÉ – À RADIOGRAPHIER",AQ2029="NX – RT À REFAIRE",AQ2029="À RÉPARER",AQ2029="COUPE – À RESOUDER",AQ2029="VT REJETÉ – À REPRENDRE")),MAX(0,'PROGRAMME RT'!$C$4-U2029),"")</f>
        <v/>
      </c>
      <c r="AS2029" s="82" t="n">
        <f aca="false">IF(AND(OR(AQ2029="À RADIOGRAPHIER",AQ2029="RÉPARÉ – À RADIOGRAPHIER",AQ2029="NX – RT À REFAIRE"),OR('PROGRAMME RT'!$D$5="TOUTES",B2029='PROGRAMME RT'!$D$5)),1,0)</f>
        <v>0</v>
      </c>
      <c r="AT2029" s="82" t="str">
        <f aca="false">IF(AS2029=1,SUM(AS$7:AS2029),"")</f>
        <v/>
      </c>
      <c r="AU2029" s="82" t="n">
        <f aca="false">IF(AND(OR(AA2029="R",AA2029="NX",AA2029="NT",AA2029="CO"),OR('JOINTS DE RÉPARATION'!$D$5="TOUTES",B2029='JOINTS DE RÉPARATION'!$D$5),OR('JOINTS DE RÉPARATION'!$L$4="TOUS",AQ2029&lt;&gt;"ACCEPTÉ")),1,0)</f>
        <v>0</v>
      </c>
      <c r="AV2029" s="82" t="str">
        <f aca="false">IF(AU2029=1,SUM(AU$7:AU2029),"")</f>
        <v/>
      </c>
      <c r="AW2029" s="82" t="str">
        <f aca="false">IF(E2029="","",B2029&amp;"|"&amp;E2029)</f>
        <v>MFD-ISW → MFD-CPF|DJ°035</v>
      </c>
    </row>
    <row r="2030" customFormat="false" ht="74.6" hidden="false" customHeight="false" outlineLevel="0" collapsed="false">
      <c r="A2030" s="79" t="n">
        <f aca="false">IF(E2030="","",ROW()-6)</f>
        <v>2024</v>
      </c>
      <c r="B2030" s="80" t="s">
        <v>110</v>
      </c>
      <c r="C2030" s="81" t="s">
        <v>2420</v>
      </c>
      <c r="D2030" s="81" t="n">
        <v>19</v>
      </c>
      <c r="E2030" s="81" t="s">
        <v>2467</v>
      </c>
      <c r="F2030" s="82" t="str">
        <f aca="false">IF(E2030="","",IF(LEFT(E2030,2)="DJ","DJ","JN"))</f>
        <v>JN</v>
      </c>
      <c r="G2030" s="81" t="s">
        <v>1504</v>
      </c>
      <c r="H2030" s="81" t="s">
        <v>871</v>
      </c>
      <c r="I2030" s="81" t="n">
        <v>9.53</v>
      </c>
      <c r="J2030" s="81" t="s">
        <v>872</v>
      </c>
      <c r="K2030" s="81" t="s">
        <v>879</v>
      </c>
      <c r="L2030" s="81" t="n">
        <v>2081860</v>
      </c>
      <c r="M2030" s="81" t="n">
        <v>15421104</v>
      </c>
      <c r="N2030" s="81" t="n">
        <v>11.94</v>
      </c>
      <c r="O2030" s="81" t="n">
        <v>2095700</v>
      </c>
      <c r="P2030" s="81" t="n">
        <v>15421111</v>
      </c>
      <c r="Q2030" s="81" t="n">
        <v>11.94</v>
      </c>
      <c r="R2030" s="81" t="s">
        <v>2273</v>
      </c>
      <c r="S2030" s="81"/>
      <c r="T2030" s="81"/>
      <c r="U2030" s="83" t="n">
        <v>46267</v>
      </c>
      <c r="V2030" s="83" t="n">
        <v>46267</v>
      </c>
      <c r="W2030" s="81" t="s">
        <v>2468</v>
      </c>
      <c r="X2030" s="81" t="s">
        <v>876</v>
      </c>
      <c r="Y2030" s="83" t="n">
        <v>46275</v>
      </c>
      <c r="Z2030" s="81" t="s">
        <v>2455</v>
      </c>
      <c r="AA2030" s="81" t="s">
        <v>876</v>
      </c>
      <c r="AB2030" s="81"/>
      <c r="AC2030" s="81"/>
      <c r="AD2030" s="81"/>
      <c r="AE2030" s="83"/>
      <c r="AF2030" s="81"/>
      <c r="AG2030" s="81"/>
      <c r="AH2030" s="81"/>
      <c r="AI2030" s="81"/>
      <c r="AJ2030" s="83"/>
      <c r="AK2030" s="81"/>
      <c r="AL2030" s="81"/>
      <c r="AM2030" s="83"/>
      <c r="AN2030" s="80"/>
      <c r="AO2030" s="82" t="n">
        <f aca="false">IF(E2030="","",(AA2030&lt;&gt;"")+(AG2030&lt;&gt;"")+(AL2030&lt;&gt;""))</f>
        <v>1</v>
      </c>
      <c r="AP2030" s="82" t="str">
        <f aca="false">IF(AL2030&lt;&gt;"",AL2030,IF(AG2030&lt;&gt;"",AG2030,IF(AA2030&lt;&gt;"",AA2030,"")))</f>
        <v>A</v>
      </c>
      <c r="AQ2030" s="84" t="str">
        <f aca="false">IF(E2030="","",IF(U2030="","À SOUDER",IF(X2030="","VT EN ATTENTE",IF(X2030="R","VT REJETÉ – À REPRENDRE",IF(AP2030="","À RADIOGRAPHIER",IF(AP2030="A","ACCEPTÉ",IF(AP2030="NX","NX – RT À REFAIRE",IF(IF(AO2030=1,AD2030,IF(AO2030=2,AI2030,""))="A","RÉPARÉ – À RADIOGRAPHIER",IF(IF(AO2030=1,AD2030,IF(AO2030=2,AI2030,""))="R","VT REJETÉ – À REPRENDRE",IF(OR(AP2030="CO",AP2030="NT"),"COUPE – À RESOUDER","À RÉPARER"))))))))))</f>
        <v>ACCEPTÉ</v>
      </c>
      <c r="AR2030" s="82" t="str">
        <f aca="false">IF(AND(ISNUMBER(U2030),OR(AQ2030="À RADIOGRAPHIER",AQ2030="RÉPARÉ – À RADIOGRAPHIER",AQ2030="NX – RT À REFAIRE",AQ2030="À RÉPARER",AQ2030="COUPE – À RESOUDER",AQ2030="VT REJETÉ – À REPRENDRE")),MAX(0,'PROGRAMME RT'!$C$4-U2030),"")</f>
        <v/>
      </c>
      <c r="AS2030" s="82" t="n">
        <f aca="false">IF(AND(OR(AQ2030="À RADIOGRAPHIER",AQ2030="RÉPARÉ – À RADIOGRAPHIER",AQ2030="NX – RT À REFAIRE"),OR('PROGRAMME RT'!$D$5="TOUTES",B2030='PROGRAMME RT'!$D$5)),1,0)</f>
        <v>0</v>
      </c>
      <c r="AT2030" s="82" t="str">
        <f aca="false">IF(AS2030=1,SUM(AS$7:AS2030),"")</f>
        <v/>
      </c>
      <c r="AU2030" s="82" t="n">
        <f aca="false">IF(AND(OR(AA2030="R",AA2030="NX",AA2030="NT",AA2030="CO"),OR('JOINTS DE RÉPARATION'!$D$5="TOUTES",B2030='JOINTS DE RÉPARATION'!$D$5),OR('JOINTS DE RÉPARATION'!$L$4="TOUS",AQ2030&lt;&gt;"ACCEPTÉ")),1,0)</f>
        <v>0</v>
      </c>
      <c r="AV2030" s="82" t="str">
        <f aca="false">IF(AU2030=1,SUM(AU$7:AU2030),"")</f>
        <v/>
      </c>
      <c r="AW2030" s="82" t="str">
        <f aca="false">IF(E2030="","",B2030&amp;"|"&amp;E2030)</f>
        <v>MFD-ISW → MFD-CPF|JN°1548</v>
      </c>
    </row>
    <row r="2031" customFormat="false" ht="74.6" hidden="false" customHeight="false" outlineLevel="0" collapsed="false">
      <c r="A2031" s="79" t="n">
        <f aca="false">IF(E2031="","",ROW()-6)</f>
        <v>2025</v>
      </c>
      <c r="B2031" s="80" t="s">
        <v>110</v>
      </c>
      <c r="C2031" s="81" t="s">
        <v>2420</v>
      </c>
      <c r="D2031" s="81" t="n">
        <v>19</v>
      </c>
      <c r="E2031" s="81" t="s">
        <v>2469</v>
      </c>
      <c r="F2031" s="82" t="str">
        <f aca="false">IF(E2031="","",IF(LEFT(E2031,2)="DJ","DJ","JN"))</f>
        <v>DJ</v>
      </c>
      <c r="G2031" s="81"/>
      <c r="H2031" s="81" t="s">
        <v>871</v>
      </c>
      <c r="I2031" s="81" t="n">
        <v>9.53</v>
      </c>
      <c r="J2031" s="81" t="s">
        <v>872</v>
      </c>
      <c r="K2031" s="81" t="s">
        <v>873</v>
      </c>
      <c r="L2031" s="81" t="n">
        <v>2095700</v>
      </c>
      <c r="M2031" s="81" t="n">
        <v>15421111</v>
      </c>
      <c r="N2031" s="81" t="n">
        <v>11.94</v>
      </c>
      <c r="O2031" s="81" t="n">
        <v>2093100</v>
      </c>
      <c r="P2031" s="81" t="n">
        <v>15421110</v>
      </c>
      <c r="Q2031" s="81" t="n">
        <v>11.94</v>
      </c>
      <c r="R2031" s="81" t="s">
        <v>963</v>
      </c>
      <c r="S2031" s="81"/>
      <c r="T2031" s="81"/>
      <c r="U2031" s="83" t="n">
        <v>46255</v>
      </c>
      <c r="V2031" s="83" t="n">
        <v>46255</v>
      </c>
      <c r="W2031" s="81" t="s">
        <v>2299</v>
      </c>
      <c r="X2031" s="81" t="s">
        <v>876</v>
      </c>
      <c r="Y2031" s="83" t="n">
        <v>46257</v>
      </c>
      <c r="Z2031" s="81" t="s">
        <v>2300</v>
      </c>
      <c r="AA2031" s="81" t="s">
        <v>876</v>
      </c>
      <c r="AB2031" s="81"/>
      <c r="AC2031" s="81"/>
      <c r="AD2031" s="81"/>
      <c r="AE2031" s="83"/>
      <c r="AF2031" s="81"/>
      <c r="AG2031" s="81"/>
      <c r="AH2031" s="81"/>
      <c r="AI2031" s="81"/>
      <c r="AJ2031" s="83"/>
      <c r="AK2031" s="81"/>
      <c r="AL2031" s="81"/>
      <c r="AM2031" s="83"/>
      <c r="AN2031" s="80"/>
      <c r="AO2031" s="82" t="n">
        <f aca="false">IF(E2031="","",(AA2031&lt;&gt;"")+(AG2031&lt;&gt;"")+(AL2031&lt;&gt;""))</f>
        <v>1</v>
      </c>
      <c r="AP2031" s="82" t="str">
        <f aca="false">IF(AL2031&lt;&gt;"",AL2031,IF(AG2031&lt;&gt;"",AG2031,IF(AA2031&lt;&gt;"",AA2031,"")))</f>
        <v>A</v>
      </c>
      <c r="AQ2031" s="84" t="str">
        <f aca="false">IF(E2031="","",IF(U2031="","À SOUDER",IF(X2031="","VT EN ATTENTE",IF(X2031="R","VT REJETÉ – À REPRENDRE",IF(AP2031="","À RADIOGRAPHIER",IF(AP2031="A","ACCEPTÉ",IF(AP2031="NX","NX – RT À REFAIRE",IF(IF(AO2031=1,AD2031,IF(AO2031=2,AI2031,""))="A","RÉPARÉ – À RADIOGRAPHIER",IF(IF(AO2031=1,AD2031,IF(AO2031=2,AI2031,""))="R","VT REJETÉ – À REPRENDRE",IF(OR(AP2031="CO",AP2031="NT"),"COUPE – À RESOUDER","À RÉPARER"))))))))))</f>
        <v>ACCEPTÉ</v>
      </c>
      <c r="AR2031" s="82" t="str">
        <f aca="false">IF(AND(ISNUMBER(U2031),OR(AQ2031="À RADIOGRAPHIER",AQ2031="RÉPARÉ – À RADIOGRAPHIER",AQ2031="NX – RT À REFAIRE",AQ2031="À RÉPARER",AQ2031="COUPE – À RESOUDER",AQ2031="VT REJETÉ – À REPRENDRE")),MAX(0,'PROGRAMME RT'!$C$4-U2031),"")</f>
        <v/>
      </c>
      <c r="AS2031" s="82" t="n">
        <f aca="false">IF(AND(OR(AQ2031="À RADIOGRAPHIER",AQ2031="RÉPARÉ – À RADIOGRAPHIER",AQ2031="NX – RT À REFAIRE"),OR('PROGRAMME RT'!$D$5="TOUTES",B2031='PROGRAMME RT'!$D$5)),1,0)</f>
        <v>0</v>
      </c>
      <c r="AT2031" s="82" t="str">
        <f aca="false">IF(AS2031=1,SUM(AS$7:AS2031),"")</f>
        <v/>
      </c>
      <c r="AU2031" s="82" t="n">
        <f aca="false">IF(AND(OR(AA2031="R",AA2031="NX",AA2031="NT",AA2031="CO"),OR('JOINTS DE RÉPARATION'!$D$5="TOUTES",B2031='JOINTS DE RÉPARATION'!$D$5),OR('JOINTS DE RÉPARATION'!$L$4="TOUS",AQ2031&lt;&gt;"ACCEPTÉ")),1,0)</f>
        <v>0</v>
      </c>
      <c r="AV2031" s="82" t="str">
        <f aca="false">IF(AU2031=1,SUM(AU$7:AU2031),"")</f>
        <v/>
      </c>
      <c r="AW2031" s="82" t="str">
        <f aca="false">IF(E2031="","",B2031&amp;"|"&amp;E2031)</f>
        <v>MFD-ISW → MFD-CPF|DJ°075</v>
      </c>
    </row>
    <row r="2032" customFormat="false" ht="74.6" hidden="false" customHeight="false" outlineLevel="0" collapsed="false">
      <c r="A2032" s="79" t="n">
        <f aca="false">IF(E2032="","",ROW()-6)</f>
        <v>2026</v>
      </c>
      <c r="B2032" s="80" t="s">
        <v>110</v>
      </c>
      <c r="C2032" s="81" t="s">
        <v>2420</v>
      </c>
      <c r="D2032" s="81" t="n">
        <v>19</v>
      </c>
      <c r="E2032" s="81" t="s">
        <v>2470</v>
      </c>
      <c r="F2032" s="82" t="str">
        <f aca="false">IF(E2032="","",IF(LEFT(E2032,2)="DJ","DJ","JN"))</f>
        <v>JN</v>
      </c>
      <c r="G2032" s="81" t="s">
        <v>1504</v>
      </c>
      <c r="H2032" s="81" t="s">
        <v>871</v>
      </c>
      <c r="I2032" s="81" t="n">
        <v>9.53</v>
      </c>
      <c r="J2032" s="81" t="s">
        <v>872</v>
      </c>
      <c r="K2032" s="81" t="s">
        <v>879</v>
      </c>
      <c r="L2032" s="81" t="n">
        <v>2093100</v>
      </c>
      <c r="M2032" s="81" t="n">
        <v>15421110</v>
      </c>
      <c r="N2032" s="81" t="n">
        <v>11.94</v>
      </c>
      <c r="O2032" s="81" t="n">
        <v>2092640</v>
      </c>
      <c r="P2032" s="81" t="n">
        <v>15421110</v>
      </c>
      <c r="Q2032" s="81" t="n">
        <v>11.94</v>
      </c>
      <c r="R2032" s="81" t="s">
        <v>2273</v>
      </c>
      <c r="S2032" s="81"/>
      <c r="T2032" s="81"/>
      <c r="U2032" s="83" t="n">
        <v>46267</v>
      </c>
      <c r="V2032" s="83" t="n">
        <v>46267</v>
      </c>
      <c r="W2032" s="81" t="s">
        <v>2468</v>
      </c>
      <c r="X2032" s="81" t="s">
        <v>876</v>
      </c>
      <c r="Y2032" s="83" t="n">
        <v>46275</v>
      </c>
      <c r="Z2032" s="81" t="s">
        <v>2455</v>
      </c>
      <c r="AA2032" s="81" t="s">
        <v>876</v>
      </c>
      <c r="AB2032" s="81"/>
      <c r="AC2032" s="81"/>
      <c r="AD2032" s="81"/>
      <c r="AE2032" s="83"/>
      <c r="AF2032" s="81"/>
      <c r="AG2032" s="81"/>
      <c r="AH2032" s="81"/>
      <c r="AI2032" s="81"/>
      <c r="AJ2032" s="83"/>
      <c r="AK2032" s="81"/>
      <c r="AL2032" s="81"/>
      <c r="AM2032" s="83"/>
      <c r="AN2032" s="80"/>
      <c r="AO2032" s="82" t="n">
        <f aca="false">IF(E2032="","",(AA2032&lt;&gt;"")+(AG2032&lt;&gt;"")+(AL2032&lt;&gt;""))</f>
        <v>1</v>
      </c>
      <c r="AP2032" s="82" t="str">
        <f aca="false">IF(AL2032&lt;&gt;"",AL2032,IF(AG2032&lt;&gt;"",AG2032,IF(AA2032&lt;&gt;"",AA2032,"")))</f>
        <v>A</v>
      </c>
      <c r="AQ2032" s="84" t="str">
        <f aca="false">IF(E2032="","",IF(U2032="","À SOUDER",IF(X2032="","VT EN ATTENTE",IF(X2032="R","VT REJETÉ – À REPRENDRE",IF(AP2032="","À RADIOGRAPHIER",IF(AP2032="A","ACCEPTÉ",IF(AP2032="NX","NX – RT À REFAIRE",IF(IF(AO2032=1,AD2032,IF(AO2032=2,AI2032,""))="A","RÉPARÉ – À RADIOGRAPHIER",IF(IF(AO2032=1,AD2032,IF(AO2032=2,AI2032,""))="R","VT REJETÉ – À REPRENDRE",IF(OR(AP2032="CO",AP2032="NT"),"COUPE – À RESOUDER","À RÉPARER"))))))))))</f>
        <v>ACCEPTÉ</v>
      </c>
      <c r="AR2032" s="82" t="str">
        <f aca="false">IF(AND(ISNUMBER(U2032),OR(AQ2032="À RADIOGRAPHIER",AQ2032="RÉPARÉ – À RADIOGRAPHIER",AQ2032="NX – RT À REFAIRE",AQ2032="À RÉPARER",AQ2032="COUPE – À RESOUDER",AQ2032="VT REJETÉ – À REPRENDRE")),MAX(0,'PROGRAMME RT'!$C$4-U2032),"")</f>
        <v/>
      </c>
      <c r="AS2032" s="82" t="n">
        <f aca="false">IF(AND(OR(AQ2032="À RADIOGRAPHIER",AQ2032="RÉPARÉ – À RADIOGRAPHIER",AQ2032="NX – RT À REFAIRE"),OR('PROGRAMME RT'!$D$5="TOUTES",B2032='PROGRAMME RT'!$D$5)),1,0)</f>
        <v>0</v>
      </c>
      <c r="AT2032" s="82" t="str">
        <f aca="false">IF(AS2032=1,SUM(AS$7:AS2032),"")</f>
        <v/>
      </c>
      <c r="AU2032" s="82" t="n">
        <f aca="false">IF(AND(OR(AA2032="R",AA2032="NX",AA2032="NT",AA2032="CO"),OR('JOINTS DE RÉPARATION'!$D$5="TOUTES",B2032='JOINTS DE RÉPARATION'!$D$5),OR('JOINTS DE RÉPARATION'!$L$4="TOUS",AQ2032&lt;&gt;"ACCEPTÉ")),1,0)</f>
        <v>0</v>
      </c>
      <c r="AV2032" s="82" t="str">
        <f aca="false">IF(AU2032=1,SUM(AU$7:AU2032),"")</f>
        <v/>
      </c>
      <c r="AW2032" s="82" t="str">
        <f aca="false">IF(E2032="","",B2032&amp;"|"&amp;E2032)</f>
        <v>MFD-ISW → MFD-CPF|JN°1549</v>
      </c>
    </row>
    <row r="2033" customFormat="false" ht="74.6" hidden="false" customHeight="false" outlineLevel="0" collapsed="false">
      <c r="A2033" s="79" t="n">
        <f aca="false">IF(E2033="","",ROW()-6)</f>
        <v>2027</v>
      </c>
      <c r="B2033" s="80" t="s">
        <v>110</v>
      </c>
      <c r="C2033" s="81" t="s">
        <v>2420</v>
      </c>
      <c r="D2033" s="81" t="n">
        <v>19</v>
      </c>
      <c r="E2033" s="81" t="s">
        <v>2471</v>
      </c>
      <c r="F2033" s="82" t="str">
        <f aca="false">IF(E2033="","",IF(LEFT(E2033,2)="DJ","DJ","JN"))</f>
        <v>DJ</v>
      </c>
      <c r="G2033" s="81"/>
      <c r="H2033" s="81" t="s">
        <v>871</v>
      </c>
      <c r="I2033" s="81" t="n">
        <v>9.53</v>
      </c>
      <c r="J2033" s="81" t="s">
        <v>872</v>
      </c>
      <c r="K2033" s="81" t="s">
        <v>873</v>
      </c>
      <c r="L2033" s="81" t="n">
        <v>2092640</v>
      </c>
      <c r="M2033" s="81" t="n">
        <v>15421110</v>
      </c>
      <c r="N2033" s="81" t="n">
        <v>11.94</v>
      </c>
      <c r="O2033" s="81" t="n">
        <v>2079610</v>
      </c>
      <c r="P2033" s="81" t="n">
        <v>15421102</v>
      </c>
      <c r="Q2033" s="81" t="n">
        <v>11.94</v>
      </c>
      <c r="R2033" s="81" t="s">
        <v>963</v>
      </c>
      <c r="S2033" s="81"/>
      <c r="T2033" s="81"/>
      <c r="U2033" s="83" t="n">
        <v>46254</v>
      </c>
      <c r="V2033" s="83" t="n">
        <v>46254</v>
      </c>
      <c r="W2033" s="81" t="s">
        <v>1578</v>
      </c>
      <c r="X2033" s="81" t="s">
        <v>876</v>
      </c>
      <c r="Y2033" s="83" t="n">
        <v>46257</v>
      </c>
      <c r="Z2033" s="81" t="s">
        <v>2300</v>
      </c>
      <c r="AA2033" s="81" t="s">
        <v>876</v>
      </c>
      <c r="AB2033" s="81"/>
      <c r="AC2033" s="81"/>
      <c r="AD2033" s="81"/>
      <c r="AE2033" s="83"/>
      <c r="AF2033" s="81"/>
      <c r="AG2033" s="81"/>
      <c r="AH2033" s="81"/>
      <c r="AI2033" s="81"/>
      <c r="AJ2033" s="83"/>
      <c r="AK2033" s="81"/>
      <c r="AL2033" s="81"/>
      <c r="AM2033" s="83"/>
      <c r="AN2033" s="80"/>
      <c r="AO2033" s="82" t="n">
        <f aca="false">IF(E2033="","",(AA2033&lt;&gt;"")+(AG2033&lt;&gt;"")+(AL2033&lt;&gt;""))</f>
        <v>1</v>
      </c>
      <c r="AP2033" s="82" t="str">
        <f aca="false">IF(AL2033&lt;&gt;"",AL2033,IF(AG2033&lt;&gt;"",AG2033,IF(AA2033&lt;&gt;"",AA2033,"")))</f>
        <v>A</v>
      </c>
      <c r="AQ2033" s="84" t="str">
        <f aca="false">IF(E2033="","",IF(U2033="","À SOUDER",IF(X2033="","VT EN ATTENTE",IF(X2033="R","VT REJETÉ – À REPRENDRE",IF(AP2033="","À RADIOGRAPHIER",IF(AP2033="A","ACCEPTÉ",IF(AP2033="NX","NX – RT À REFAIRE",IF(IF(AO2033=1,AD2033,IF(AO2033=2,AI2033,""))="A","RÉPARÉ – À RADIOGRAPHIER",IF(IF(AO2033=1,AD2033,IF(AO2033=2,AI2033,""))="R","VT REJETÉ – À REPRENDRE",IF(OR(AP2033="CO",AP2033="NT"),"COUPE – À RESOUDER","À RÉPARER"))))))))))</f>
        <v>ACCEPTÉ</v>
      </c>
      <c r="AR2033" s="82" t="str">
        <f aca="false">IF(AND(ISNUMBER(U2033),OR(AQ2033="À RADIOGRAPHIER",AQ2033="RÉPARÉ – À RADIOGRAPHIER",AQ2033="NX – RT À REFAIRE",AQ2033="À RÉPARER",AQ2033="COUPE – À RESOUDER",AQ2033="VT REJETÉ – À REPRENDRE")),MAX(0,'PROGRAMME RT'!$C$4-U2033),"")</f>
        <v/>
      </c>
      <c r="AS2033" s="82" t="n">
        <f aca="false">IF(AND(OR(AQ2033="À RADIOGRAPHIER",AQ2033="RÉPARÉ – À RADIOGRAPHIER",AQ2033="NX – RT À REFAIRE"),OR('PROGRAMME RT'!$D$5="TOUTES",B2033='PROGRAMME RT'!$D$5)),1,0)</f>
        <v>0</v>
      </c>
      <c r="AT2033" s="82" t="str">
        <f aca="false">IF(AS2033=1,SUM(AS$7:AS2033),"")</f>
        <v/>
      </c>
      <c r="AU2033" s="82" t="n">
        <f aca="false">IF(AND(OR(AA2033="R",AA2033="NX",AA2033="NT",AA2033="CO"),OR('JOINTS DE RÉPARATION'!$D$5="TOUTES",B2033='JOINTS DE RÉPARATION'!$D$5),OR('JOINTS DE RÉPARATION'!$L$4="TOUS",AQ2033&lt;&gt;"ACCEPTÉ")),1,0)</f>
        <v>0</v>
      </c>
      <c r="AV2033" s="82" t="str">
        <f aca="false">IF(AU2033=1,SUM(AU$7:AU2033),"")</f>
        <v/>
      </c>
      <c r="AW2033" s="82" t="str">
        <f aca="false">IF(E2033="","",B2033&amp;"|"&amp;E2033)</f>
        <v>MFD-ISW → MFD-CPF|DJ°066</v>
      </c>
    </row>
    <row r="2034" customFormat="false" ht="74.6" hidden="false" customHeight="false" outlineLevel="0" collapsed="false">
      <c r="A2034" s="79" t="n">
        <f aca="false">IF(E2034="","",ROW()-6)</f>
        <v>2028</v>
      </c>
      <c r="B2034" s="80" t="s">
        <v>110</v>
      </c>
      <c r="C2034" s="81" t="s">
        <v>2420</v>
      </c>
      <c r="D2034" s="81" t="n">
        <v>19</v>
      </c>
      <c r="E2034" s="81" t="s">
        <v>2472</v>
      </c>
      <c r="F2034" s="82" t="str">
        <f aca="false">IF(E2034="","",IF(LEFT(E2034,2)="DJ","DJ","JN"))</f>
        <v>JN</v>
      </c>
      <c r="G2034" s="81" t="s">
        <v>1504</v>
      </c>
      <c r="H2034" s="81" t="s">
        <v>871</v>
      </c>
      <c r="I2034" s="81" t="n">
        <v>9.53</v>
      </c>
      <c r="J2034" s="81" t="s">
        <v>872</v>
      </c>
      <c r="K2034" s="81" t="s">
        <v>1861</v>
      </c>
      <c r="L2034" s="81" t="n">
        <v>2079610</v>
      </c>
      <c r="M2034" s="81" t="n">
        <v>15421102</v>
      </c>
      <c r="N2034" s="81" t="n">
        <v>11.94</v>
      </c>
      <c r="O2034" s="81" t="n">
        <v>2081150</v>
      </c>
      <c r="P2034" s="81" t="n">
        <v>15421103</v>
      </c>
      <c r="Q2034" s="81" t="n">
        <v>11.94</v>
      </c>
      <c r="R2034" s="81" t="s">
        <v>1862</v>
      </c>
      <c r="S2034" s="81"/>
      <c r="T2034" s="81"/>
      <c r="U2034" s="83" t="n">
        <v>46287</v>
      </c>
      <c r="V2034" s="83" t="n">
        <v>46287</v>
      </c>
      <c r="W2034" s="81" t="s">
        <v>2346</v>
      </c>
      <c r="X2034" s="81" t="s">
        <v>876</v>
      </c>
      <c r="Y2034" s="83"/>
      <c r="Z2034" s="81"/>
      <c r="AA2034" s="81"/>
      <c r="AB2034" s="81"/>
      <c r="AC2034" s="81"/>
      <c r="AD2034" s="81"/>
      <c r="AE2034" s="83"/>
      <c r="AF2034" s="81"/>
      <c r="AG2034" s="81"/>
      <c r="AH2034" s="81"/>
      <c r="AI2034" s="81"/>
      <c r="AJ2034" s="83"/>
      <c r="AK2034" s="81"/>
      <c r="AL2034" s="81"/>
      <c r="AM2034" s="83"/>
      <c r="AN2034" s="80"/>
      <c r="AO2034" s="82" t="n">
        <f aca="false">IF(E2034="","",(AA2034&lt;&gt;"")+(AG2034&lt;&gt;"")+(AL2034&lt;&gt;""))</f>
        <v>0</v>
      </c>
      <c r="AP2034" s="82" t="str">
        <f aca="false">IF(AL2034&lt;&gt;"",AL2034,IF(AG2034&lt;&gt;"",AG2034,IF(AA2034&lt;&gt;"",AA2034,"")))</f>
        <v/>
      </c>
      <c r="AQ2034" s="84" t="str">
        <f aca="false">IF(E2034="","",IF(U2034="","À SOUDER",IF(X2034="","VT EN ATTENTE",IF(X2034="R","VT REJETÉ – À REPRENDRE",IF(AP2034="","À RADIOGRAPHIER",IF(AP2034="A","ACCEPTÉ",IF(AP2034="NX","NX – RT À REFAIRE",IF(IF(AO2034=1,AD2034,IF(AO2034=2,AI2034,""))="A","RÉPARÉ – À RADIOGRAPHIER",IF(IF(AO2034=1,AD2034,IF(AO2034=2,AI2034,""))="R","VT REJETÉ – À REPRENDRE",IF(OR(AP2034="CO",AP2034="NT"),"COUPE – À RESOUDER","À RÉPARER"))))))))))</f>
        <v>À RADIOGRAPHIER</v>
      </c>
      <c r="AR2034" s="82" t="n">
        <f aca="false">IF(AND(ISNUMBER(U2034),OR(AQ2034="À RADIOGRAPHIER",AQ2034="RÉPARÉ – À RADIOGRAPHIER",AQ2034="NX – RT À REFAIRE",AQ2034="À RÉPARER",AQ2034="COUPE – À RESOUDER",AQ2034="VT REJETÉ – À REPRENDRE")),MAX(0,'PROGRAMME RT'!$C$4-U2034),"")</f>
        <v>6</v>
      </c>
      <c r="AS2034" s="82" t="n">
        <f aca="false">IF(AND(OR(AQ2034="À RADIOGRAPHIER",AQ2034="RÉPARÉ – À RADIOGRAPHIER",AQ2034="NX – RT À REFAIRE"),OR('PROGRAMME RT'!$D$5="TOUTES",B2034='PROGRAMME RT'!$D$5)),1,0)</f>
        <v>1</v>
      </c>
      <c r="AT2034" s="82" t="n">
        <f aca="false">IF(AS2034=1,SUM(AS$7:AS2034),"")</f>
        <v>109</v>
      </c>
      <c r="AU2034" s="82" t="n">
        <f aca="false">IF(AND(OR(AA2034="R",AA2034="NX",AA2034="NT",AA2034="CO"),OR('JOINTS DE RÉPARATION'!$D$5="TOUTES",B2034='JOINTS DE RÉPARATION'!$D$5),OR('JOINTS DE RÉPARATION'!$L$4="TOUS",AQ2034&lt;&gt;"ACCEPTÉ")),1,0)</f>
        <v>0</v>
      </c>
      <c r="AV2034" s="82" t="str">
        <f aca="false">IF(AU2034=1,SUM(AU$7:AU2034),"")</f>
        <v/>
      </c>
      <c r="AW2034" s="82" t="str">
        <f aca="false">IF(E2034="","",B2034&amp;"|"&amp;E2034)</f>
        <v>MFD-ISW → MFD-CPF|JN°1550R</v>
      </c>
    </row>
    <row r="2035" customFormat="false" ht="74.6" hidden="false" customHeight="false" outlineLevel="0" collapsed="false">
      <c r="A2035" s="79" t="n">
        <f aca="false">IF(E2035="","",ROW()-6)</f>
        <v>2029</v>
      </c>
      <c r="B2035" s="80" t="s">
        <v>110</v>
      </c>
      <c r="C2035" s="81" t="s">
        <v>2420</v>
      </c>
      <c r="D2035" s="81" t="n">
        <v>19</v>
      </c>
      <c r="E2035" s="81" t="s">
        <v>2473</v>
      </c>
      <c r="F2035" s="82" t="str">
        <f aca="false">IF(E2035="","",IF(LEFT(E2035,2)="DJ","DJ","JN"))</f>
        <v>JN</v>
      </c>
      <c r="G2035" s="81" t="s">
        <v>1504</v>
      </c>
      <c r="H2035" s="81" t="s">
        <v>871</v>
      </c>
      <c r="I2035" s="81" t="n">
        <v>9.53</v>
      </c>
      <c r="J2035" s="81" t="s">
        <v>872</v>
      </c>
      <c r="K2035" s="81" t="s">
        <v>879</v>
      </c>
      <c r="L2035" s="81" t="n">
        <v>2081150</v>
      </c>
      <c r="M2035" s="81" t="n">
        <v>15421103</v>
      </c>
      <c r="N2035" s="81" t="n">
        <v>11.94</v>
      </c>
      <c r="O2035" s="81" t="n">
        <v>2097710</v>
      </c>
      <c r="P2035" s="81" t="n">
        <v>15421102</v>
      </c>
      <c r="Q2035" s="81" t="n">
        <v>11.94</v>
      </c>
      <c r="R2035" s="81" t="s">
        <v>2273</v>
      </c>
      <c r="S2035" s="81"/>
      <c r="T2035" s="81"/>
      <c r="U2035" s="83" t="n">
        <v>46267</v>
      </c>
      <c r="V2035" s="83" t="n">
        <v>46267</v>
      </c>
      <c r="W2035" s="81" t="s">
        <v>2468</v>
      </c>
      <c r="X2035" s="81" t="s">
        <v>876</v>
      </c>
      <c r="Y2035" s="83" t="n">
        <v>46275</v>
      </c>
      <c r="Z2035" s="81" t="s">
        <v>2455</v>
      </c>
      <c r="AA2035" s="81" t="s">
        <v>876</v>
      </c>
      <c r="AB2035" s="81"/>
      <c r="AC2035" s="81"/>
      <c r="AD2035" s="81"/>
      <c r="AE2035" s="83"/>
      <c r="AF2035" s="81"/>
      <c r="AG2035" s="81"/>
      <c r="AH2035" s="81"/>
      <c r="AI2035" s="81"/>
      <c r="AJ2035" s="83"/>
      <c r="AK2035" s="81"/>
      <c r="AL2035" s="81"/>
      <c r="AM2035" s="83"/>
      <c r="AN2035" s="80"/>
      <c r="AO2035" s="82" t="n">
        <f aca="false">IF(E2035="","",(AA2035&lt;&gt;"")+(AG2035&lt;&gt;"")+(AL2035&lt;&gt;""))</f>
        <v>1</v>
      </c>
      <c r="AP2035" s="82" t="str">
        <f aca="false">IF(AL2035&lt;&gt;"",AL2035,IF(AG2035&lt;&gt;"",AG2035,IF(AA2035&lt;&gt;"",AA2035,"")))</f>
        <v>A</v>
      </c>
      <c r="AQ2035" s="84" t="str">
        <f aca="false">IF(E2035="","",IF(U2035="","À SOUDER",IF(X2035="","VT EN ATTENTE",IF(X2035="R","VT REJETÉ – À REPRENDRE",IF(AP2035="","À RADIOGRAPHIER",IF(AP2035="A","ACCEPTÉ",IF(AP2035="NX","NX – RT À REFAIRE",IF(IF(AO2035=1,AD2035,IF(AO2035=2,AI2035,""))="A","RÉPARÉ – À RADIOGRAPHIER",IF(IF(AO2035=1,AD2035,IF(AO2035=2,AI2035,""))="R","VT REJETÉ – À REPRENDRE",IF(OR(AP2035="CO",AP2035="NT"),"COUPE – À RESOUDER","À RÉPARER"))))))))))</f>
        <v>ACCEPTÉ</v>
      </c>
      <c r="AR2035" s="82" t="str">
        <f aca="false">IF(AND(ISNUMBER(U2035),OR(AQ2035="À RADIOGRAPHIER",AQ2035="RÉPARÉ – À RADIOGRAPHIER",AQ2035="NX – RT À REFAIRE",AQ2035="À RÉPARER",AQ2035="COUPE – À RESOUDER",AQ2035="VT REJETÉ – À REPRENDRE")),MAX(0,'PROGRAMME RT'!$C$4-U2035),"")</f>
        <v/>
      </c>
      <c r="AS2035" s="82" t="n">
        <f aca="false">IF(AND(OR(AQ2035="À RADIOGRAPHIER",AQ2035="RÉPARÉ – À RADIOGRAPHIER",AQ2035="NX – RT À REFAIRE"),OR('PROGRAMME RT'!$D$5="TOUTES",B2035='PROGRAMME RT'!$D$5)),1,0)</f>
        <v>0</v>
      </c>
      <c r="AT2035" s="82" t="str">
        <f aca="false">IF(AS2035=1,SUM(AS$7:AS2035),"")</f>
        <v/>
      </c>
      <c r="AU2035" s="82" t="n">
        <f aca="false">IF(AND(OR(AA2035="R",AA2035="NX",AA2035="NT",AA2035="CO"),OR('JOINTS DE RÉPARATION'!$D$5="TOUTES",B2035='JOINTS DE RÉPARATION'!$D$5),OR('JOINTS DE RÉPARATION'!$L$4="TOUS",AQ2035&lt;&gt;"ACCEPTÉ")),1,0)</f>
        <v>0</v>
      </c>
      <c r="AV2035" s="82" t="str">
        <f aca="false">IF(AU2035=1,SUM(AU$7:AU2035),"")</f>
        <v/>
      </c>
      <c r="AW2035" s="82" t="str">
        <f aca="false">IF(E2035="","",B2035&amp;"|"&amp;E2035)</f>
        <v>MFD-ISW → MFD-CPF|JN°1551</v>
      </c>
    </row>
    <row r="2036" customFormat="false" ht="74.6" hidden="false" customHeight="false" outlineLevel="0" collapsed="false">
      <c r="A2036" s="79" t="n">
        <f aca="false">IF(E2036="","",ROW()-6)</f>
        <v>2030</v>
      </c>
      <c r="B2036" s="80" t="s">
        <v>110</v>
      </c>
      <c r="C2036" s="81" t="s">
        <v>2420</v>
      </c>
      <c r="D2036" s="81" t="n">
        <v>19</v>
      </c>
      <c r="E2036" s="81" t="s">
        <v>2474</v>
      </c>
      <c r="F2036" s="82" t="str">
        <f aca="false">IF(E2036="","",IF(LEFT(E2036,2)="DJ","DJ","JN"))</f>
        <v>JN</v>
      </c>
      <c r="G2036" s="81" t="s">
        <v>1504</v>
      </c>
      <c r="H2036" s="81" t="s">
        <v>871</v>
      </c>
      <c r="I2036" s="81" t="n">
        <v>9.53</v>
      </c>
      <c r="J2036" s="81" t="s">
        <v>872</v>
      </c>
      <c r="K2036" s="81" t="s">
        <v>879</v>
      </c>
      <c r="L2036" s="81" t="n">
        <v>2097710</v>
      </c>
      <c r="M2036" s="81" t="n">
        <v>15421102</v>
      </c>
      <c r="N2036" s="81" t="n">
        <v>11.94</v>
      </c>
      <c r="O2036" s="81" t="n">
        <v>2095770</v>
      </c>
      <c r="P2036" s="81" t="n">
        <v>15421111</v>
      </c>
      <c r="Q2036" s="81" t="n">
        <v>11.94</v>
      </c>
      <c r="R2036" s="81" t="s">
        <v>2273</v>
      </c>
      <c r="S2036" s="81"/>
      <c r="T2036" s="81"/>
      <c r="U2036" s="83" t="n">
        <v>46267</v>
      </c>
      <c r="V2036" s="83" t="n">
        <v>46267</v>
      </c>
      <c r="W2036" s="81" t="s">
        <v>2468</v>
      </c>
      <c r="X2036" s="81" t="s">
        <v>876</v>
      </c>
      <c r="Y2036" s="83" t="n">
        <v>46275</v>
      </c>
      <c r="Z2036" s="81" t="s">
        <v>2455</v>
      </c>
      <c r="AA2036" s="81" t="s">
        <v>876</v>
      </c>
      <c r="AB2036" s="81"/>
      <c r="AC2036" s="81"/>
      <c r="AD2036" s="81"/>
      <c r="AE2036" s="83"/>
      <c r="AF2036" s="81"/>
      <c r="AG2036" s="81"/>
      <c r="AH2036" s="81"/>
      <c r="AI2036" s="81"/>
      <c r="AJ2036" s="83"/>
      <c r="AK2036" s="81"/>
      <c r="AL2036" s="81"/>
      <c r="AM2036" s="83"/>
      <c r="AN2036" s="80"/>
      <c r="AO2036" s="82" t="n">
        <f aca="false">IF(E2036="","",(AA2036&lt;&gt;"")+(AG2036&lt;&gt;"")+(AL2036&lt;&gt;""))</f>
        <v>1</v>
      </c>
      <c r="AP2036" s="82" t="str">
        <f aca="false">IF(AL2036&lt;&gt;"",AL2036,IF(AG2036&lt;&gt;"",AG2036,IF(AA2036&lt;&gt;"",AA2036,"")))</f>
        <v>A</v>
      </c>
      <c r="AQ2036" s="84" t="str">
        <f aca="false">IF(E2036="","",IF(U2036="","À SOUDER",IF(X2036="","VT EN ATTENTE",IF(X2036="R","VT REJETÉ – À REPRENDRE",IF(AP2036="","À RADIOGRAPHIER",IF(AP2036="A","ACCEPTÉ",IF(AP2036="NX","NX – RT À REFAIRE",IF(IF(AO2036=1,AD2036,IF(AO2036=2,AI2036,""))="A","RÉPARÉ – À RADIOGRAPHIER",IF(IF(AO2036=1,AD2036,IF(AO2036=2,AI2036,""))="R","VT REJETÉ – À REPRENDRE",IF(OR(AP2036="CO",AP2036="NT"),"COUPE – À RESOUDER","À RÉPARER"))))))))))</f>
        <v>ACCEPTÉ</v>
      </c>
      <c r="AR2036" s="82" t="str">
        <f aca="false">IF(AND(ISNUMBER(U2036),OR(AQ2036="À RADIOGRAPHIER",AQ2036="RÉPARÉ – À RADIOGRAPHIER",AQ2036="NX – RT À REFAIRE",AQ2036="À RÉPARER",AQ2036="COUPE – À RESOUDER",AQ2036="VT REJETÉ – À REPRENDRE")),MAX(0,'PROGRAMME RT'!$C$4-U2036),"")</f>
        <v/>
      </c>
      <c r="AS2036" s="82" t="n">
        <f aca="false">IF(AND(OR(AQ2036="À RADIOGRAPHIER",AQ2036="RÉPARÉ – À RADIOGRAPHIER",AQ2036="NX – RT À REFAIRE"),OR('PROGRAMME RT'!$D$5="TOUTES",B2036='PROGRAMME RT'!$D$5)),1,0)</f>
        <v>0</v>
      </c>
      <c r="AT2036" s="82" t="str">
        <f aca="false">IF(AS2036=1,SUM(AS$7:AS2036),"")</f>
        <v/>
      </c>
      <c r="AU2036" s="82" t="n">
        <f aca="false">IF(AND(OR(AA2036="R",AA2036="NX",AA2036="NT",AA2036="CO"),OR('JOINTS DE RÉPARATION'!$D$5="TOUTES",B2036='JOINTS DE RÉPARATION'!$D$5),OR('JOINTS DE RÉPARATION'!$L$4="TOUS",AQ2036&lt;&gt;"ACCEPTÉ")),1,0)</f>
        <v>0</v>
      </c>
      <c r="AV2036" s="82" t="str">
        <f aca="false">IF(AU2036=1,SUM(AU$7:AU2036),"")</f>
        <v/>
      </c>
      <c r="AW2036" s="82" t="str">
        <f aca="false">IF(E2036="","",B2036&amp;"|"&amp;E2036)</f>
        <v>MFD-ISW → MFD-CPF|JN°1552</v>
      </c>
    </row>
    <row r="2037" customFormat="false" ht="74.6" hidden="false" customHeight="false" outlineLevel="0" collapsed="false">
      <c r="A2037" s="79" t="n">
        <f aca="false">IF(E2037="","",ROW()-6)</f>
        <v>2031</v>
      </c>
      <c r="B2037" s="80" t="s">
        <v>110</v>
      </c>
      <c r="C2037" s="81" t="s">
        <v>2420</v>
      </c>
      <c r="D2037" s="81" t="n">
        <v>19</v>
      </c>
      <c r="E2037" s="81" t="s">
        <v>2475</v>
      </c>
      <c r="F2037" s="82" t="str">
        <f aca="false">IF(E2037="","",IF(LEFT(E2037,2)="DJ","DJ","JN"))</f>
        <v>JN</v>
      </c>
      <c r="G2037" s="81" t="s">
        <v>1504</v>
      </c>
      <c r="H2037" s="81" t="s">
        <v>871</v>
      </c>
      <c r="I2037" s="81" t="n">
        <v>9.53</v>
      </c>
      <c r="J2037" s="81" t="s">
        <v>872</v>
      </c>
      <c r="K2037" s="81" t="s">
        <v>879</v>
      </c>
      <c r="L2037" s="81" t="n">
        <v>2095770</v>
      </c>
      <c r="M2037" s="81" t="n">
        <v>15421111</v>
      </c>
      <c r="N2037" s="81" t="n">
        <v>11.94</v>
      </c>
      <c r="O2037" s="81" t="n">
        <v>2096250</v>
      </c>
      <c r="P2037" s="81" t="n">
        <v>15421111</v>
      </c>
      <c r="Q2037" s="81" t="n">
        <v>11.94</v>
      </c>
      <c r="R2037" s="81" t="s">
        <v>2476</v>
      </c>
      <c r="S2037" s="81"/>
      <c r="T2037" s="81"/>
      <c r="U2037" s="83" t="n">
        <v>46266</v>
      </c>
      <c r="V2037" s="83" t="n">
        <v>46266</v>
      </c>
      <c r="W2037" s="81" t="s">
        <v>2477</v>
      </c>
      <c r="X2037" s="81" t="s">
        <v>876</v>
      </c>
      <c r="Y2037" s="83" t="n">
        <v>46275</v>
      </c>
      <c r="Z2037" s="81" t="s">
        <v>2455</v>
      </c>
      <c r="AA2037" s="81" t="s">
        <v>876</v>
      </c>
      <c r="AB2037" s="81"/>
      <c r="AC2037" s="81"/>
      <c r="AD2037" s="81"/>
      <c r="AE2037" s="83"/>
      <c r="AF2037" s="81"/>
      <c r="AG2037" s="81"/>
      <c r="AH2037" s="81"/>
      <c r="AI2037" s="81"/>
      <c r="AJ2037" s="83"/>
      <c r="AK2037" s="81"/>
      <c r="AL2037" s="81"/>
      <c r="AM2037" s="83"/>
      <c r="AN2037" s="80"/>
      <c r="AO2037" s="82" t="n">
        <f aca="false">IF(E2037="","",(AA2037&lt;&gt;"")+(AG2037&lt;&gt;"")+(AL2037&lt;&gt;""))</f>
        <v>1</v>
      </c>
      <c r="AP2037" s="82" t="str">
        <f aca="false">IF(AL2037&lt;&gt;"",AL2037,IF(AG2037&lt;&gt;"",AG2037,IF(AA2037&lt;&gt;"",AA2037,"")))</f>
        <v>A</v>
      </c>
      <c r="AQ2037" s="84" t="str">
        <f aca="false">IF(E2037="","",IF(U2037="","À SOUDER",IF(X2037="","VT EN ATTENTE",IF(X2037="R","VT REJETÉ – À REPRENDRE",IF(AP2037="","À RADIOGRAPHIER",IF(AP2037="A","ACCEPTÉ",IF(AP2037="NX","NX – RT À REFAIRE",IF(IF(AO2037=1,AD2037,IF(AO2037=2,AI2037,""))="A","RÉPARÉ – À RADIOGRAPHIER",IF(IF(AO2037=1,AD2037,IF(AO2037=2,AI2037,""))="R","VT REJETÉ – À REPRENDRE",IF(OR(AP2037="CO",AP2037="NT"),"COUPE – À RESOUDER","À RÉPARER"))))))))))</f>
        <v>ACCEPTÉ</v>
      </c>
      <c r="AR2037" s="82" t="str">
        <f aca="false">IF(AND(ISNUMBER(U2037),OR(AQ2037="À RADIOGRAPHIER",AQ2037="RÉPARÉ – À RADIOGRAPHIER",AQ2037="NX – RT À REFAIRE",AQ2037="À RÉPARER",AQ2037="COUPE – À RESOUDER",AQ2037="VT REJETÉ – À REPRENDRE")),MAX(0,'PROGRAMME RT'!$C$4-U2037),"")</f>
        <v/>
      </c>
      <c r="AS2037" s="82" t="n">
        <f aca="false">IF(AND(OR(AQ2037="À RADIOGRAPHIER",AQ2037="RÉPARÉ – À RADIOGRAPHIER",AQ2037="NX – RT À REFAIRE"),OR('PROGRAMME RT'!$D$5="TOUTES",B2037='PROGRAMME RT'!$D$5)),1,0)</f>
        <v>0</v>
      </c>
      <c r="AT2037" s="82" t="str">
        <f aca="false">IF(AS2037=1,SUM(AS$7:AS2037),"")</f>
        <v/>
      </c>
      <c r="AU2037" s="82" t="n">
        <f aca="false">IF(AND(OR(AA2037="R",AA2037="NX",AA2037="NT",AA2037="CO"),OR('JOINTS DE RÉPARATION'!$D$5="TOUTES",B2037='JOINTS DE RÉPARATION'!$D$5),OR('JOINTS DE RÉPARATION'!$L$4="TOUS",AQ2037&lt;&gt;"ACCEPTÉ")),1,0)</f>
        <v>0</v>
      </c>
      <c r="AV2037" s="82" t="str">
        <f aca="false">IF(AU2037=1,SUM(AU$7:AU2037),"")</f>
        <v/>
      </c>
      <c r="AW2037" s="82" t="str">
        <f aca="false">IF(E2037="","",B2037&amp;"|"&amp;E2037)</f>
        <v>MFD-ISW → MFD-CPF|JN°1553</v>
      </c>
    </row>
    <row r="2038" customFormat="false" ht="74.6" hidden="false" customHeight="false" outlineLevel="0" collapsed="false">
      <c r="A2038" s="79" t="n">
        <f aca="false">IF(E2038="","",ROW()-6)</f>
        <v>2032</v>
      </c>
      <c r="B2038" s="80" t="s">
        <v>110</v>
      </c>
      <c r="C2038" s="81" t="s">
        <v>2420</v>
      </c>
      <c r="D2038" s="81" t="n">
        <v>19</v>
      </c>
      <c r="E2038" s="81" t="s">
        <v>2478</v>
      </c>
      <c r="F2038" s="82" t="str">
        <f aca="false">IF(E2038="","",IF(LEFT(E2038,2)="DJ","DJ","JN"))</f>
        <v>JN</v>
      </c>
      <c r="G2038" s="81" t="s">
        <v>1504</v>
      </c>
      <c r="H2038" s="81" t="s">
        <v>871</v>
      </c>
      <c r="I2038" s="81" t="n">
        <v>9.53</v>
      </c>
      <c r="J2038" s="81" t="s">
        <v>872</v>
      </c>
      <c r="K2038" s="81" t="s">
        <v>879</v>
      </c>
      <c r="L2038" s="81" t="n">
        <v>2096250</v>
      </c>
      <c r="M2038" s="81" t="n">
        <v>15421111</v>
      </c>
      <c r="N2038" s="81" t="n">
        <v>11.94</v>
      </c>
      <c r="O2038" s="81" t="n">
        <v>2096890</v>
      </c>
      <c r="P2038" s="81" t="n">
        <v>15421111</v>
      </c>
      <c r="Q2038" s="81" t="n">
        <v>11.94</v>
      </c>
      <c r="R2038" s="81" t="s">
        <v>2476</v>
      </c>
      <c r="S2038" s="81"/>
      <c r="T2038" s="81"/>
      <c r="U2038" s="83" t="n">
        <v>46266</v>
      </c>
      <c r="V2038" s="83" t="n">
        <v>46266</v>
      </c>
      <c r="W2038" s="81" t="s">
        <v>2477</v>
      </c>
      <c r="X2038" s="81" t="s">
        <v>876</v>
      </c>
      <c r="Y2038" s="83" t="n">
        <v>46275</v>
      </c>
      <c r="Z2038" s="81" t="s">
        <v>2455</v>
      </c>
      <c r="AA2038" s="81" t="s">
        <v>876</v>
      </c>
      <c r="AB2038" s="81"/>
      <c r="AC2038" s="81"/>
      <c r="AD2038" s="81"/>
      <c r="AE2038" s="83"/>
      <c r="AF2038" s="81"/>
      <c r="AG2038" s="81"/>
      <c r="AH2038" s="81"/>
      <c r="AI2038" s="81"/>
      <c r="AJ2038" s="83"/>
      <c r="AK2038" s="81"/>
      <c r="AL2038" s="81"/>
      <c r="AM2038" s="83"/>
      <c r="AN2038" s="80"/>
      <c r="AO2038" s="82" t="n">
        <f aca="false">IF(E2038="","",(AA2038&lt;&gt;"")+(AG2038&lt;&gt;"")+(AL2038&lt;&gt;""))</f>
        <v>1</v>
      </c>
      <c r="AP2038" s="82" t="str">
        <f aca="false">IF(AL2038&lt;&gt;"",AL2038,IF(AG2038&lt;&gt;"",AG2038,IF(AA2038&lt;&gt;"",AA2038,"")))</f>
        <v>A</v>
      </c>
      <c r="AQ2038" s="84" t="str">
        <f aca="false">IF(E2038="","",IF(U2038="","À SOUDER",IF(X2038="","VT EN ATTENTE",IF(X2038="R","VT REJETÉ – À REPRENDRE",IF(AP2038="","À RADIOGRAPHIER",IF(AP2038="A","ACCEPTÉ",IF(AP2038="NX","NX – RT À REFAIRE",IF(IF(AO2038=1,AD2038,IF(AO2038=2,AI2038,""))="A","RÉPARÉ – À RADIOGRAPHIER",IF(IF(AO2038=1,AD2038,IF(AO2038=2,AI2038,""))="R","VT REJETÉ – À REPRENDRE",IF(OR(AP2038="CO",AP2038="NT"),"COUPE – À RESOUDER","À RÉPARER"))))))))))</f>
        <v>ACCEPTÉ</v>
      </c>
      <c r="AR2038" s="82" t="str">
        <f aca="false">IF(AND(ISNUMBER(U2038),OR(AQ2038="À RADIOGRAPHIER",AQ2038="RÉPARÉ – À RADIOGRAPHIER",AQ2038="NX – RT À REFAIRE",AQ2038="À RÉPARER",AQ2038="COUPE – À RESOUDER",AQ2038="VT REJETÉ – À REPRENDRE")),MAX(0,'PROGRAMME RT'!$C$4-U2038),"")</f>
        <v/>
      </c>
      <c r="AS2038" s="82" t="n">
        <f aca="false">IF(AND(OR(AQ2038="À RADIOGRAPHIER",AQ2038="RÉPARÉ – À RADIOGRAPHIER",AQ2038="NX – RT À REFAIRE"),OR('PROGRAMME RT'!$D$5="TOUTES",B2038='PROGRAMME RT'!$D$5)),1,0)</f>
        <v>0</v>
      </c>
      <c r="AT2038" s="82" t="str">
        <f aca="false">IF(AS2038=1,SUM(AS$7:AS2038),"")</f>
        <v/>
      </c>
      <c r="AU2038" s="82" t="n">
        <f aca="false">IF(AND(OR(AA2038="R",AA2038="NX",AA2038="NT",AA2038="CO"),OR('JOINTS DE RÉPARATION'!$D$5="TOUTES",B2038='JOINTS DE RÉPARATION'!$D$5),OR('JOINTS DE RÉPARATION'!$L$4="TOUS",AQ2038&lt;&gt;"ACCEPTÉ")),1,0)</f>
        <v>0</v>
      </c>
      <c r="AV2038" s="82" t="str">
        <f aca="false">IF(AU2038=1,SUM(AU$7:AU2038),"")</f>
        <v/>
      </c>
      <c r="AW2038" s="82" t="str">
        <f aca="false">IF(E2038="","",B2038&amp;"|"&amp;E2038)</f>
        <v>MFD-ISW → MFD-CPF|JN°1554</v>
      </c>
    </row>
    <row r="2039" customFormat="false" ht="74.6" hidden="false" customHeight="false" outlineLevel="0" collapsed="false">
      <c r="A2039" s="79" t="n">
        <f aca="false">IF(E2039="","",ROW()-6)</f>
        <v>2033</v>
      </c>
      <c r="B2039" s="80" t="s">
        <v>110</v>
      </c>
      <c r="C2039" s="81" t="s">
        <v>2420</v>
      </c>
      <c r="D2039" s="81" t="n">
        <v>19</v>
      </c>
      <c r="E2039" s="81" t="s">
        <v>2479</v>
      </c>
      <c r="F2039" s="82" t="str">
        <f aca="false">IF(E2039="","",IF(LEFT(E2039,2)="DJ","DJ","JN"))</f>
        <v>JN</v>
      </c>
      <c r="G2039" s="81" t="s">
        <v>1504</v>
      </c>
      <c r="H2039" s="81" t="s">
        <v>871</v>
      </c>
      <c r="I2039" s="81" t="n">
        <v>9.53</v>
      </c>
      <c r="J2039" s="81" t="s">
        <v>872</v>
      </c>
      <c r="K2039" s="81" t="s">
        <v>879</v>
      </c>
      <c r="L2039" s="81" t="n">
        <v>2096890</v>
      </c>
      <c r="M2039" s="81" t="n">
        <v>15421111</v>
      </c>
      <c r="N2039" s="81" t="n">
        <v>11.94</v>
      </c>
      <c r="O2039" s="81" t="n">
        <v>2083920</v>
      </c>
      <c r="P2039" s="81" t="n">
        <v>15421106</v>
      </c>
      <c r="Q2039" s="81" t="n">
        <v>11.94</v>
      </c>
      <c r="R2039" s="81" t="s">
        <v>2476</v>
      </c>
      <c r="S2039" s="81"/>
      <c r="T2039" s="81"/>
      <c r="U2039" s="83" t="n">
        <v>46266</v>
      </c>
      <c r="V2039" s="83" t="n">
        <v>46266</v>
      </c>
      <c r="W2039" s="81" t="s">
        <v>2477</v>
      </c>
      <c r="X2039" s="81" t="s">
        <v>876</v>
      </c>
      <c r="Y2039" s="83" t="n">
        <v>46275</v>
      </c>
      <c r="Z2039" s="81" t="s">
        <v>2455</v>
      </c>
      <c r="AA2039" s="81" t="s">
        <v>876</v>
      </c>
      <c r="AB2039" s="81"/>
      <c r="AC2039" s="81"/>
      <c r="AD2039" s="81"/>
      <c r="AE2039" s="83"/>
      <c r="AF2039" s="81"/>
      <c r="AG2039" s="81"/>
      <c r="AH2039" s="81"/>
      <c r="AI2039" s="81"/>
      <c r="AJ2039" s="83"/>
      <c r="AK2039" s="81"/>
      <c r="AL2039" s="81"/>
      <c r="AM2039" s="83"/>
      <c r="AN2039" s="80"/>
      <c r="AO2039" s="82" t="n">
        <f aca="false">IF(E2039="","",(AA2039&lt;&gt;"")+(AG2039&lt;&gt;"")+(AL2039&lt;&gt;""))</f>
        <v>1</v>
      </c>
      <c r="AP2039" s="82" t="str">
        <f aca="false">IF(AL2039&lt;&gt;"",AL2039,IF(AG2039&lt;&gt;"",AG2039,IF(AA2039&lt;&gt;"",AA2039,"")))</f>
        <v>A</v>
      </c>
      <c r="AQ2039" s="84" t="str">
        <f aca="false">IF(E2039="","",IF(U2039="","À SOUDER",IF(X2039="","VT EN ATTENTE",IF(X2039="R","VT REJETÉ – À REPRENDRE",IF(AP2039="","À RADIOGRAPHIER",IF(AP2039="A","ACCEPTÉ",IF(AP2039="NX","NX – RT À REFAIRE",IF(IF(AO2039=1,AD2039,IF(AO2039=2,AI2039,""))="A","RÉPARÉ – À RADIOGRAPHIER",IF(IF(AO2039=1,AD2039,IF(AO2039=2,AI2039,""))="R","VT REJETÉ – À REPRENDRE",IF(OR(AP2039="CO",AP2039="NT"),"COUPE – À RESOUDER","À RÉPARER"))))))))))</f>
        <v>ACCEPTÉ</v>
      </c>
      <c r="AR2039" s="82" t="str">
        <f aca="false">IF(AND(ISNUMBER(U2039),OR(AQ2039="À RADIOGRAPHIER",AQ2039="RÉPARÉ – À RADIOGRAPHIER",AQ2039="NX – RT À REFAIRE",AQ2039="À RÉPARER",AQ2039="COUPE – À RESOUDER",AQ2039="VT REJETÉ – À REPRENDRE")),MAX(0,'PROGRAMME RT'!$C$4-U2039),"")</f>
        <v/>
      </c>
      <c r="AS2039" s="82" t="n">
        <f aca="false">IF(AND(OR(AQ2039="À RADIOGRAPHIER",AQ2039="RÉPARÉ – À RADIOGRAPHIER",AQ2039="NX – RT À REFAIRE"),OR('PROGRAMME RT'!$D$5="TOUTES",B2039='PROGRAMME RT'!$D$5)),1,0)</f>
        <v>0</v>
      </c>
      <c r="AT2039" s="82" t="str">
        <f aca="false">IF(AS2039=1,SUM(AS$7:AS2039),"")</f>
        <v/>
      </c>
      <c r="AU2039" s="82" t="n">
        <f aca="false">IF(AND(OR(AA2039="R",AA2039="NX",AA2039="NT",AA2039="CO"),OR('JOINTS DE RÉPARATION'!$D$5="TOUTES",B2039='JOINTS DE RÉPARATION'!$D$5),OR('JOINTS DE RÉPARATION'!$L$4="TOUS",AQ2039&lt;&gt;"ACCEPTÉ")),1,0)</f>
        <v>0</v>
      </c>
      <c r="AV2039" s="82" t="str">
        <f aca="false">IF(AU2039=1,SUM(AU$7:AU2039),"")</f>
        <v/>
      </c>
      <c r="AW2039" s="82" t="str">
        <f aca="false">IF(E2039="","",B2039&amp;"|"&amp;E2039)</f>
        <v>MFD-ISW → MFD-CPF|JN°1555</v>
      </c>
    </row>
    <row r="2040" customFormat="false" ht="74.6" hidden="false" customHeight="false" outlineLevel="0" collapsed="false">
      <c r="A2040" s="79" t="n">
        <f aca="false">IF(E2040="","",ROW()-6)</f>
        <v>2034</v>
      </c>
      <c r="B2040" s="80" t="s">
        <v>110</v>
      </c>
      <c r="C2040" s="81" t="s">
        <v>2420</v>
      </c>
      <c r="D2040" s="81" t="n">
        <v>19</v>
      </c>
      <c r="E2040" s="81" t="s">
        <v>2480</v>
      </c>
      <c r="F2040" s="82" t="str">
        <f aca="false">IF(E2040="","",IF(LEFT(E2040,2)="DJ","DJ","JN"))</f>
        <v>JN</v>
      </c>
      <c r="G2040" s="81" t="s">
        <v>1504</v>
      </c>
      <c r="H2040" s="81" t="s">
        <v>871</v>
      </c>
      <c r="I2040" s="81" t="n">
        <v>9.53</v>
      </c>
      <c r="J2040" s="81" t="s">
        <v>872</v>
      </c>
      <c r="K2040" s="81" t="s">
        <v>879</v>
      </c>
      <c r="L2040" s="81" t="n">
        <v>2083920</v>
      </c>
      <c r="M2040" s="81" t="n">
        <v>15421106</v>
      </c>
      <c r="N2040" s="81" t="n">
        <v>11.94</v>
      </c>
      <c r="O2040" s="81" t="n">
        <v>2091060</v>
      </c>
      <c r="P2040" s="81" t="n">
        <v>15421109</v>
      </c>
      <c r="Q2040" s="81" t="n">
        <v>11.94</v>
      </c>
      <c r="R2040" s="81" t="s">
        <v>2476</v>
      </c>
      <c r="S2040" s="81"/>
      <c r="T2040" s="81"/>
      <c r="U2040" s="83" t="n">
        <v>46266</v>
      </c>
      <c r="V2040" s="83" t="n">
        <v>46266</v>
      </c>
      <c r="W2040" s="81" t="s">
        <v>2477</v>
      </c>
      <c r="X2040" s="81" t="s">
        <v>876</v>
      </c>
      <c r="Y2040" s="83" t="n">
        <v>46275</v>
      </c>
      <c r="Z2040" s="81" t="s">
        <v>2455</v>
      </c>
      <c r="AA2040" s="81" t="s">
        <v>876</v>
      </c>
      <c r="AB2040" s="81"/>
      <c r="AC2040" s="81"/>
      <c r="AD2040" s="81"/>
      <c r="AE2040" s="83"/>
      <c r="AF2040" s="81"/>
      <c r="AG2040" s="81"/>
      <c r="AH2040" s="81"/>
      <c r="AI2040" s="81"/>
      <c r="AJ2040" s="83"/>
      <c r="AK2040" s="81"/>
      <c r="AL2040" s="81"/>
      <c r="AM2040" s="83"/>
      <c r="AN2040" s="80"/>
      <c r="AO2040" s="82" t="n">
        <f aca="false">IF(E2040="","",(AA2040&lt;&gt;"")+(AG2040&lt;&gt;"")+(AL2040&lt;&gt;""))</f>
        <v>1</v>
      </c>
      <c r="AP2040" s="82" t="str">
        <f aca="false">IF(AL2040&lt;&gt;"",AL2040,IF(AG2040&lt;&gt;"",AG2040,IF(AA2040&lt;&gt;"",AA2040,"")))</f>
        <v>A</v>
      </c>
      <c r="AQ2040" s="84" t="str">
        <f aca="false">IF(E2040="","",IF(U2040="","À SOUDER",IF(X2040="","VT EN ATTENTE",IF(X2040="R","VT REJETÉ – À REPRENDRE",IF(AP2040="","À RADIOGRAPHIER",IF(AP2040="A","ACCEPTÉ",IF(AP2040="NX","NX – RT À REFAIRE",IF(IF(AO2040=1,AD2040,IF(AO2040=2,AI2040,""))="A","RÉPARÉ – À RADIOGRAPHIER",IF(IF(AO2040=1,AD2040,IF(AO2040=2,AI2040,""))="R","VT REJETÉ – À REPRENDRE",IF(OR(AP2040="CO",AP2040="NT"),"COUPE – À RESOUDER","À RÉPARER"))))))))))</f>
        <v>ACCEPTÉ</v>
      </c>
      <c r="AR2040" s="82" t="str">
        <f aca="false">IF(AND(ISNUMBER(U2040),OR(AQ2040="À RADIOGRAPHIER",AQ2040="RÉPARÉ – À RADIOGRAPHIER",AQ2040="NX – RT À REFAIRE",AQ2040="À RÉPARER",AQ2040="COUPE – À RESOUDER",AQ2040="VT REJETÉ – À REPRENDRE")),MAX(0,'PROGRAMME RT'!$C$4-U2040),"")</f>
        <v/>
      </c>
      <c r="AS2040" s="82" t="n">
        <f aca="false">IF(AND(OR(AQ2040="À RADIOGRAPHIER",AQ2040="RÉPARÉ – À RADIOGRAPHIER",AQ2040="NX – RT À REFAIRE"),OR('PROGRAMME RT'!$D$5="TOUTES",B2040='PROGRAMME RT'!$D$5)),1,0)</f>
        <v>0</v>
      </c>
      <c r="AT2040" s="82" t="str">
        <f aca="false">IF(AS2040=1,SUM(AS$7:AS2040),"")</f>
        <v/>
      </c>
      <c r="AU2040" s="82" t="n">
        <f aca="false">IF(AND(OR(AA2040="R",AA2040="NX",AA2040="NT",AA2040="CO"),OR('JOINTS DE RÉPARATION'!$D$5="TOUTES",B2040='JOINTS DE RÉPARATION'!$D$5),OR('JOINTS DE RÉPARATION'!$L$4="TOUS",AQ2040&lt;&gt;"ACCEPTÉ")),1,0)</f>
        <v>0</v>
      </c>
      <c r="AV2040" s="82" t="str">
        <f aca="false">IF(AU2040=1,SUM(AU$7:AU2040),"")</f>
        <v/>
      </c>
      <c r="AW2040" s="82" t="str">
        <f aca="false">IF(E2040="","",B2040&amp;"|"&amp;E2040)</f>
        <v>MFD-ISW → MFD-CPF|JN°1556</v>
      </c>
    </row>
    <row r="2041" customFormat="false" ht="74.6" hidden="false" customHeight="false" outlineLevel="0" collapsed="false">
      <c r="A2041" s="79" t="n">
        <f aca="false">IF(E2041="","",ROW()-6)</f>
        <v>2035</v>
      </c>
      <c r="B2041" s="80" t="s">
        <v>110</v>
      </c>
      <c r="C2041" s="81" t="s">
        <v>2420</v>
      </c>
      <c r="D2041" s="81" t="n">
        <v>19</v>
      </c>
      <c r="E2041" s="81" t="s">
        <v>2481</v>
      </c>
      <c r="F2041" s="82" t="str">
        <f aca="false">IF(E2041="","",IF(LEFT(E2041,2)="DJ","DJ","JN"))</f>
        <v>JN</v>
      </c>
      <c r="G2041" s="81" t="s">
        <v>1504</v>
      </c>
      <c r="H2041" s="81" t="s">
        <v>871</v>
      </c>
      <c r="I2041" s="81" t="n">
        <v>9.53</v>
      </c>
      <c r="J2041" s="81" t="s">
        <v>872</v>
      </c>
      <c r="K2041" s="81" t="s">
        <v>879</v>
      </c>
      <c r="L2041" s="81" t="n">
        <v>2091060</v>
      </c>
      <c r="M2041" s="81" t="n">
        <v>15421109</v>
      </c>
      <c r="N2041" s="81" t="n">
        <v>11.94</v>
      </c>
      <c r="O2041" s="81" t="n">
        <v>2093650</v>
      </c>
      <c r="P2041" s="81" t="n">
        <v>15421110</v>
      </c>
      <c r="Q2041" s="81" t="n">
        <v>11.94</v>
      </c>
      <c r="R2041" s="81" t="s">
        <v>2476</v>
      </c>
      <c r="S2041" s="81"/>
      <c r="T2041" s="81"/>
      <c r="U2041" s="83" t="n">
        <v>46266</v>
      </c>
      <c r="V2041" s="83" t="n">
        <v>46266</v>
      </c>
      <c r="W2041" s="81" t="s">
        <v>2477</v>
      </c>
      <c r="X2041" s="81" t="s">
        <v>876</v>
      </c>
      <c r="Y2041" s="83" t="n">
        <v>46275</v>
      </c>
      <c r="Z2041" s="81" t="s">
        <v>2482</v>
      </c>
      <c r="AA2041" s="81" t="s">
        <v>876</v>
      </c>
      <c r="AB2041" s="81"/>
      <c r="AC2041" s="81"/>
      <c r="AD2041" s="81"/>
      <c r="AE2041" s="83"/>
      <c r="AF2041" s="81"/>
      <c r="AG2041" s="81"/>
      <c r="AH2041" s="81"/>
      <c r="AI2041" s="81"/>
      <c r="AJ2041" s="83"/>
      <c r="AK2041" s="81"/>
      <c r="AL2041" s="81"/>
      <c r="AM2041" s="83"/>
      <c r="AN2041" s="80"/>
      <c r="AO2041" s="82" t="n">
        <f aca="false">IF(E2041="","",(AA2041&lt;&gt;"")+(AG2041&lt;&gt;"")+(AL2041&lt;&gt;""))</f>
        <v>1</v>
      </c>
      <c r="AP2041" s="82" t="str">
        <f aca="false">IF(AL2041&lt;&gt;"",AL2041,IF(AG2041&lt;&gt;"",AG2041,IF(AA2041&lt;&gt;"",AA2041,"")))</f>
        <v>A</v>
      </c>
      <c r="AQ2041" s="84" t="str">
        <f aca="false">IF(E2041="","",IF(U2041="","À SOUDER",IF(X2041="","VT EN ATTENTE",IF(X2041="R","VT REJETÉ – À REPRENDRE",IF(AP2041="","À RADIOGRAPHIER",IF(AP2041="A","ACCEPTÉ",IF(AP2041="NX","NX – RT À REFAIRE",IF(IF(AO2041=1,AD2041,IF(AO2041=2,AI2041,""))="A","RÉPARÉ – À RADIOGRAPHIER",IF(IF(AO2041=1,AD2041,IF(AO2041=2,AI2041,""))="R","VT REJETÉ – À REPRENDRE",IF(OR(AP2041="CO",AP2041="NT"),"COUPE – À RESOUDER","À RÉPARER"))))))))))</f>
        <v>ACCEPTÉ</v>
      </c>
      <c r="AR2041" s="82" t="str">
        <f aca="false">IF(AND(ISNUMBER(U2041),OR(AQ2041="À RADIOGRAPHIER",AQ2041="RÉPARÉ – À RADIOGRAPHIER",AQ2041="NX – RT À REFAIRE",AQ2041="À RÉPARER",AQ2041="COUPE – À RESOUDER",AQ2041="VT REJETÉ – À REPRENDRE")),MAX(0,'PROGRAMME RT'!$C$4-U2041),"")</f>
        <v/>
      </c>
      <c r="AS2041" s="82" t="n">
        <f aca="false">IF(AND(OR(AQ2041="À RADIOGRAPHIER",AQ2041="RÉPARÉ – À RADIOGRAPHIER",AQ2041="NX – RT À REFAIRE"),OR('PROGRAMME RT'!$D$5="TOUTES",B2041='PROGRAMME RT'!$D$5)),1,0)</f>
        <v>0</v>
      </c>
      <c r="AT2041" s="82" t="str">
        <f aca="false">IF(AS2041=1,SUM(AS$7:AS2041),"")</f>
        <v/>
      </c>
      <c r="AU2041" s="82" t="n">
        <f aca="false">IF(AND(OR(AA2041="R",AA2041="NX",AA2041="NT",AA2041="CO"),OR('JOINTS DE RÉPARATION'!$D$5="TOUTES",B2041='JOINTS DE RÉPARATION'!$D$5),OR('JOINTS DE RÉPARATION'!$L$4="TOUS",AQ2041&lt;&gt;"ACCEPTÉ")),1,0)</f>
        <v>0</v>
      </c>
      <c r="AV2041" s="82" t="str">
        <f aca="false">IF(AU2041=1,SUM(AU$7:AU2041),"")</f>
        <v/>
      </c>
      <c r="AW2041" s="82" t="str">
        <f aca="false">IF(E2041="","",B2041&amp;"|"&amp;E2041)</f>
        <v>MFD-ISW → MFD-CPF|JN°1557</v>
      </c>
    </row>
    <row r="2042" customFormat="false" ht="74.6" hidden="false" customHeight="false" outlineLevel="0" collapsed="false">
      <c r="A2042" s="79" t="n">
        <f aca="false">IF(E2042="","",ROW()-6)</f>
        <v>2036</v>
      </c>
      <c r="B2042" s="80" t="s">
        <v>110</v>
      </c>
      <c r="C2042" s="81" t="s">
        <v>2420</v>
      </c>
      <c r="D2042" s="81" t="n">
        <v>19</v>
      </c>
      <c r="E2042" s="81" t="s">
        <v>2483</v>
      </c>
      <c r="F2042" s="82" t="str">
        <f aca="false">IF(E2042="","",IF(LEFT(E2042,2)="DJ","DJ","JN"))</f>
        <v>JN</v>
      </c>
      <c r="G2042" s="81" t="s">
        <v>1504</v>
      </c>
      <c r="H2042" s="81" t="s">
        <v>871</v>
      </c>
      <c r="I2042" s="81" t="n">
        <v>9.53</v>
      </c>
      <c r="J2042" s="81" t="s">
        <v>872</v>
      </c>
      <c r="K2042" s="81" t="s">
        <v>879</v>
      </c>
      <c r="L2042" s="81" t="n">
        <v>2093650</v>
      </c>
      <c r="M2042" s="81" t="n">
        <v>15421110</v>
      </c>
      <c r="N2042" s="81" t="n">
        <v>11.94</v>
      </c>
      <c r="O2042" s="81" t="n">
        <v>2084820</v>
      </c>
      <c r="P2042" s="81" t="n">
        <v>15421106</v>
      </c>
      <c r="Q2042" s="81" t="n">
        <v>11.94</v>
      </c>
      <c r="R2042" s="81" t="s">
        <v>2476</v>
      </c>
      <c r="S2042" s="81"/>
      <c r="T2042" s="81"/>
      <c r="U2042" s="83" t="n">
        <v>46266</v>
      </c>
      <c r="V2042" s="83" t="n">
        <v>46266</v>
      </c>
      <c r="W2042" s="81" t="s">
        <v>2477</v>
      </c>
      <c r="X2042" s="81" t="s">
        <v>876</v>
      </c>
      <c r="Y2042" s="83" t="n">
        <v>46275</v>
      </c>
      <c r="Z2042" s="81" t="s">
        <v>2482</v>
      </c>
      <c r="AA2042" s="81" t="s">
        <v>876</v>
      </c>
      <c r="AB2042" s="81"/>
      <c r="AC2042" s="81"/>
      <c r="AD2042" s="81"/>
      <c r="AE2042" s="83"/>
      <c r="AF2042" s="81"/>
      <c r="AG2042" s="81"/>
      <c r="AH2042" s="81"/>
      <c r="AI2042" s="81"/>
      <c r="AJ2042" s="83"/>
      <c r="AK2042" s="81"/>
      <c r="AL2042" s="81"/>
      <c r="AM2042" s="83"/>
      <c r="AN2042" s="80"/>
      <c r="AO2042" s="82" t="n">
        <f aca="false">IF(E2042="","",(AA2042&lt;&gt;"")+(AG2042&lt;&gt;"")+(AL2042&lt;&gt;""))</f>
        <v>1</v>
      </c>
      <c r="AP2042" s="82" t="str">
        <f aca="false">IF(AL2042&lt;&gt;"",AL2042,IF(AG2042&lt;&gt;"",AG2042,IF(AA2042&lt;&gt;"",AA2042,"")))</f>
        <v>A</v>
      </c>
      <c r="AQ2042" s="84" t="str">
        <f aca="false">IF(E2042="","",IF(U2042="","À SOUDER",IF(X2042="","VT EN ATTENTE",IF(X2042="R","VT REJETÉ – À REPRENDRE",IF(AP2042="","À RADIOGRAPHIER",IF(AP2042="A","ACCEPTÉ",IF(AP2042="NX","NX – RT À REFAIRE",IF(IF(AO2042=1,AD2042,IF(AO2042=2,AI2042,""))="A","RÉPARÉ – À RADIOGRAPHIER",IF(IF(AO2042=1,AD2042,IF(AO2042=2,AI2042,""))="R","VT REJETÉ – À REPRENDRE",IF(OR(AP2042="CO",AP2042="NT"),"COUPE – À RESOUDER","À RÉPARER"))))))))))</f>
        <v>ACCEPTÉ</v>
      </c>
      <c r="AR2042" s="82" t="str">
        <f aca="false">IF(AND(ISNUMBER(U2042),OR(AQ2042="À RADIOGRAPHIER",AQ2042="RÉPARÉ – À RADIOGRAPHIER",AQ2042="NX – RT À REFAIRE",AQ2042="À RÉPARER",AQ2042="COUPE – À RESOUDER",AQ2042="VT REJETÉ – À REPRENDRE")),MAX(0,'PROGRAMME RT'!$C$4-U2042),"")</f>
        <v/>
      </c>
      <c r="AS2042" s="82" t="n">
        <f aca="false">IF(AND(OR(AQ2042="À RADIOGRAPHIER",AQ2042="RÉPARÉ – À RADIOGRAPHIER",AQ2042="NX – RT À REFAIRE"),OR('PROGRAMME RT'!$D$5="TOUTES",B2042='PROGRAMME RT'!$D$5)),1,0)</f>
        <v>0</v>
      </c>
      <c r="AT2042" s="82" t="str">
        <f aca="false">IF(AS2042=1,SUM(AS$7:AS2042),"")</f>
        <v/>
      </c>
      <c r="AU2042" s="82" t="n">
        <f aca="false">IF(AND(OR(AA2042="R",AA2042="NX",AA2042="NT",AA2042="CO"),OR('JOINTS DE RÉPARATION'!$D$5="TOUTES",B2042='JOINTS DE RÉPARATION'!$D$5),OR('JOINTS DE RÉPARATION'!$L$4="TOUS",AQ2042&lt;&gt;"ACCEPTÉ")),1,0)</f>
        <v>0</v>
      </c>
      <c r="AV2042" s="82" t="str">
        <f aca="false">IF(AU2042=1,SUM(AU$7:AU2042),"")</f>
        <v/>
      </c>
      <c r="AW2042" s="82" t="str">
        <f aca="false">IF(E2042="","",B2042&amp;"|"&amp;E2042)</f>
        <v>MFD-ISW → MFD-CPF|JN°1558</v>
      </c>
    </row>
    <row r="2043" customFormat="false" ht="74.6" hidden="false" customHeight="false" outlineLevel="0" collapsed="false">
      <c r="A2043" s="79" t="n">
        <f aca="false">IF(E2043="","",ROW()-6)</f>
        <v>2037</v>
      </c>
      <c r="B2043" s="80" t="s">
        <v>110</v>
      </c>
      <c r="C2043" s="81" t="s">
        <v>2420</v>
      </c>
      <c r="D2043" s="81" t="n">
        <v>19</v>
      </c>
      <c r="E2043" s="81" t="s">
        <v>2484</v>
      </c>
      <c r="F2043" s="82" t="str">
        <f aca="false">IF(E2043="","",IF(LEFT(E2043,2)="DJ","DJ","JN"))</f>
        <v>JN</v>
      </c>
      <c r="G2043" s="81" t="s">
        <v>1504</v>
      </c>
      <c r="H2043" s="81" t="s">
        <v>871</v>
      </c>
      <c r="I2043" s="81" t="n">
        <v>9.53</v>
      </c>
      <c r="J2043" s="81" t="s">
        <v>872</v>
      </c>
      <c r="K2043" s="81" t="s">
        <v>879</v>
      </c>
      <c r="L2043" s="81" t="n">
        <v>2084820</v>
      </c>
      <c r="M2043" s="81" t="n">
        <v>15421106</v>
      </c>
      <c r="N2043" s="81" t="n">
        <v>11.94</v>
      </c>
      <c r="O2043" s="81" t="n">
        <v>2084250</v>
      </c>
      <c r="P2043" s="81" t="n">
        <v>15421106</v>
      </c>
      <c r="Q2043" s="81" t="n">
        <v>11.94</v>
      </c>
      <c r="R2043" s="81" t="s">
        <v>2476</v>
      </c>
      <c r="S2043" s="81"/>
      <c r="T2043" s="81"/>
      <c r="U2043" s="83" t="n">
        <v>46266</v>
      </c>
      <c r="V2043" s="83" t="n">
        <v>46266</v>
      </c>
      <c r="W2043" s="81" t="s">
        <v>2477</v>
      </c>
      <c r="X2043" s="81" t="s">
        <v>876</v>
      </c>
      <c r="Y2043" s="83" t="n">
        <v>46275</v>
      </c>
      <c r="Z2043" s="81" t="s">
        <v>2482</v>
      </c>
      <c r="AA2043" s="81" t="s">
        <v>876</v>
      </c>
      <c r="AB2043" s="81"/>
      <c r="AC2043" s="81"/>
      <c r="AD2043" s="81"/>
      <c r="AE2043" s="83"/>
      <c r="AF2043" s="81"/>
      <c r="AG2043" s="81"/>
      <c r="AH2043" s="81"/>
      <c r="AI2043" s="81"/>
      <c r="AJ2043" s="83"/>
      <c r="AK2043" s="81"/>
      <c r="AL2043" s="81"/>
      <c r="AM2043" s="83"/>
      <c r="AN2043" s="80"/>
      <c r="AO2043" s="82" t="n">
        <f aca="false">IF(E2043="","",(AA2043&lt;&gt;"")+(AG2043&lt;&gt;"")+(AL2043&lt;&gt;""))</f>
        <v>1</v>
      </c>
      <c r="AP2043" s="82" t="str">
        <f aca="false">IF(AL2043&lt;&gt;"",AL2043,IF(AG2043&lt;&gt;"",AG2043,IF(AA2043&lt;&gt;"",AA2043,"")))</f>
        <v>A</v>
      </c>
      <c r="AQ2043" s="84" t="str">
        <f aca="false">IF(E2043="","",IF(U2043="","À SOUDER",IF(X2043="","VT EN ATTENTE",IF(X2043="R","VT REJETÉ – À REPRENDRE",IF(AP2043="","À RADIOGRAPHIER",IF(AP2043="A","ACCEPTÉ",IF(AP2043="NX","NX – RT À REFAIRE",IF(IF(AO2043=1,AD2043,IF(AO2043=2,AI2043,""))="A","RÉPARÉ – À RADIOGRAPHIER",IF(IF(AO2043=1,AD2043,IF(AO2043=2,AI2043,""))="R","VT REJETÉ – À REPRENDRE",IF(OR(AP2043="CO",AP2043="NT"),"COUPE – À RESOUDER","À RÉPARER"))))))))))</f>
        <v>ACCEPTÉ</v>
      </c>
      <c r="AR2043" s="82" t="str">
        <f aca="false">IF(AND(ISNUMBER(U2043),OR(AQ2043="À RADIOGRAPHIER",AQ2043="RÉPARÉ – À RADIOGRAPHIER",AQ2043="NX – RT À REFAIRE",AQ2043="À RÉPARER",AQ2043="COUPE – À RESOUDER",AQ2043="VT REJETÉ – À REPRENDRE")),MAX(0,'PROGRAMME RT'!$C$4-U2043),"")</f>
        <v/>
      </c>
      <c r="AS2043" s="82" t="n">
        <f aca="false">IF(AND(OR(AQ2043="À RADIOGRAPHIER",AQ2043="RÉPARÉ – À RADIOGRAPHIER",AQ2043="NX – RT À REFAIRE"),OR('PROGRAMME RT'!$D$5="TOUTES",B2043='PROGRAMME RT'!$D$5)),1,0)</f>
        <v>0</v>
      </c>
      <c r="AT2043" s="82" t="str">
        <f aca="false">IF(AS2043=1,SUM(AS$7:AS2043),"")</f>
        <v/>
      </c>
      <c r="AU2043" s="82" t="n">
        <f aca="false">IF(AND(OR(AA2043="R",AA2043="NX",AA2043="NT",AA2043="CO"),OR('JOINTS DE RÉPARATION'!$D$5="TOUTES",B2043='JOINTS DE RÉPARATION'!$D$5),OR('JOINTS DE RÉPARATION'!$L$4="TOUS",AQ2043&lt;&gt;"ACCEPTÉ")),1,0)</f>
        <v>0</v>
      </c>
      <c r="AV2043" s="82" t="str">
        <f aca="false">IF(AU2043=1,SUM(AU$7:AU2043),"")</f>
        <v/>
      </c>
      <c r="AW2043" s="82" t="str">
        <f aca="false">IF(E2043="","",B2043&amp;"|"&amp;E2043)</f>
        <v>MFD-ISW → MFD-CPF|JN°1559</v>
      </c>
    </row>
    <row r="2044" customFormat="false" ht="74.6" hidden="false" customHeight="false" outlineLevel="0" collapsed="false">
      <c r="A2044" s="79" t="n">
        <f aca="false">IF(E2044="","",ROW()-6)</f>
        <v>2038</v>
      </c>
      <c r="B2044" s="80" t="s">
        <v>110</v>
      </c>
      <c r="C2044" s="81" t="s">
        <v>2420</v>
      </c>
      <c r="D2044" s="81" t="n">
        <v>19</v>
      </c>
      <c r="E2044" s="81" t="s">
        <v>2485</v>
      </c>
      <c r="F2044" s="82" t="str">
        <f aca="false">IF(E2044="","",IF(LEFT(E2044,2)="DJ","DJ","JN"))</f>
        <v>JN</v>
      </c>
      <c r="G2044" s="81" t="s">
        <v>1504</v>
      </c>
      <c r="H2044" s="81" t="s">
        <v>871</v>
      </c>
      <c r="I2044" s="81" t="n">
        <v>9.53</v>
      </c>
      <c r="J2044" s="81" t="s">
        <v>872</v>
      </c>
      <c r="K2044" s="81" t="s">
        <v>879</v>
      </c>
      <c r="L2044" s="81" t="n">
        <v>2084250</v>
      </c>
      <c r="M2044" s="81" t="n">
        <v>15421106</v>
      </c>
      <c r="N2044" s="81" t="n">
        <v>11.94</v>
      </c>
      <c r="O2044" s="81" t="n">
        <v>2084690</v>
      </c>
      <c r="P2044" s="81" t="n">
        <v>15421106</v>
      </c>
      <c r="Q2044" s="81" t="n">
        <v>11.94</v>
      </c>
      <c r="R2044" s="81" t="s">
        <v>2476</v>
      </c>
      <c r="S2044" s="81"/>
      <c r="T2044" s="81"/>
      <c r="U2044" s="83" t="n">
        <v>46266</v>
      </c>
      <c r="V2044" s="83" t="n">
        <v>46266</v>
      </c>
      <c r="W2044" s="81" t="s">
        <v>2477</v>
      </c>
      <c r="X2044" s="81" t="s">
        <v>876</v>
      </c>
      <c r="Y2044" s="83" t="n">
        <v>46275</v>
      </c>
      <c r="Z2044" s="81" t="s">
        <v>2482</v>
      </c>
      <c r="AA2044" s="81" t="s">
        <v>876</v>
      </c>
      <c r="AB2044" s="81"/>
      <c r="AC2044" s="81"/>
      <c r="AD2044" s="81"/>
      <c r="AE2044" s="83"/>
      <c r="AF2044" s="81"/>
      <c r="AG2044" s="81"/>
      <c r="AH2044" s="81"/>
      <c r="AI2044" s="81"/>
      <c r="AJ2044" s="83"/>
      <c r="AK2044" s="81"/>
      <c r="AL2044" s="81"/>
      <c r="AM2044" s="83"/>
      <c r="AN2044" s="80"/>
      <c r="AO2044" s="82" t="n">
        <f aca="false">IF(E2044="","",(AA2044&lt;&gt;"")+(AG2044&lt;&gt;"")+(AL2044&lt;&gt;""))</f>
        <v>1</v>
      </c>
      <c r="AP2044" s="82" t="str">
        <f aca="false">IF(AL2044&lt;&gt;"",AL2044,IF(AG2044&lt;&gt;"",AG2044,IF(AA2044&lt;&gt;"",AA2044,"")))</f>
        <v>A</v>
      </c>
      <c r="AQ2044" s="84" t="str">
        <f aca="false">IF(E2044="","",IF(U2044="","À SOUDER",IF(X2044="","VT EN ATTENTE",IF(X2044="R","VT REJETÉ – À REPRENDRE",IF(AP2044="","À RADIOGRAPHIER",IF(AP2044="A","ACCEPTÉ",IF(AP2044="NX","NX – RT À REFAIRE",IF(IF(AO2044=1,AD2044,IF(AO2044=2,AI2044,""))="A","RÉPARÉ – À RADIOGRAPHIER",IF(IF(AO2044=1,AD2044,IF(AO2044=2,AI2044,""))="R","VT REJETÉ – À REPRENDRE",IF(OR(AP2044="CO",AP2044="NT"),"COUPE – À RESOUDER","À RÉPARER"))))))))))</f>
        <v>ACCEPTÉ</v>
      </c>
      <c r="AR2044" s="82" t="str">
        <f aca="false">IF(AND(ISNUMBER(U2044),OR(AQ2044="À RADIOGRAPHIER",AQ2044="RÉPARÉ – À RADIOGRAPHIER",AQ2044="NX – RT À REFAIRE",AQ2044="À RÉPARER",AQ2044="COUPE – À RESOUDER",AQ2044="VT REJETÉ – À REPRENDRE")),MAX(0,'PROGRAMME RT'!$C$4-U2044),"")</f>
        <v/>
      </c>
      <c r="AS2044" s="82" t="n">
        <f aca="false">IF(AND(OR(AQ2044="À RADIOGRAPHIER",AQ2044="RÉPARÉ – À RADIOGRAPHIER",AQ2044="NX – RT À REFAIRE"),OR('PROGRAMME RT'!$D$5="TOUTES",B2044='PROGRAMME RT'!$D$5)),1,0)</f>
        <v>0</v>
      </c>
      <c r="AT2044" s="82" t="str">
        <f aca="false">IF(AS2044=1,SUM(AS$7:AS2044),"")</f>
        <v/>
      </c>
      <c r="AU2044" s="82" t="n">
        <f aca="false">IF(AND(OR(AA2044="R",AA2044="NX",AA2044="NT",AA2044="CO"),OR('JOINTS DE RÉPARATION'!$D$5="TOUTES",B2044='JOINTS DE RÉPARATION'!$D$5),OR('JOINTS DE RÉPARATION'!$L$4="TOUS",AQ2044&lt;&gt;"ACCEPTÉ")),1,0)</f>
        <v>0</v>
      </c>
      <c r="AV2044" s="82" t="str">
        <f aca="false">IF(AU2044=1,SUM(AU$7:AU2044),"")</f>
        <v/>
      </c>
      <c r="AW2044" s="82" t="str">
        <f aca="false">IF(E2044="","",B2044&amp;"|"&amp;E2044)</f>
        <v>MFD-ISW → MFD-CPF|JN°1560</v>
      </c>
    </row>
    <row r="2045" customFormat="false" ht="74.6" hidden="false" customHeight="false" outlineLevel="0" collapsed="false">
      <c r="A2045" s="79" t="n">
        <f aca="false">IF(E2045="","",ROW()-6)</f>
        <v>2039</v>
      </c>
      <c r="B2045" s="80" t="s">
        <v>110</v>
      </c>
      <c r="C2045" s="81" t="s">
        <v>2420</v>
      </c>
      <c r="D2045" s="81" t="n">
        <v>19</v>
      </c>
      <c r="E2045" s="81" t="s">
        <v>2486</v>
      </c>
      <c r="F2045" s="82" t="str">
        <f aca="false">IF(E2045="","",IF(LEFT(E2045,2)="DJ","DJ","JN"))</f>
        <v>JN</v>
      </c>
      <c r="G2045" s="81" t="s">
        <v>1504</v>
      </c>
      <c r="H2045" s="81" t="s">
        <v>871</v>
      </c>
      <c r="I2045" s="81" t="n">
        <v>9.53</v>
      </c>
      <c r="J2045" s="81" t="s">
        <v>872</v>
      </c>
      <c r="K2045" s="81" t="s">
        <v>879</v>
      </c>
      <c r="L2045" s="81" t="n">
        <v>2084690</v>
      </c>
      <c r="M2045" s="81" t="n">
        <v>15421106</v>
      </c>
      <c r="N2045" s="81" t="n">
        <v>11.94</v>
      </c>
      <c r="O2045" s="81" t="n">
        <v>2088810</v>
      </c>
      <c r="P2045" s="81" t="n">
        <v>15421108</v>
      </c>
      <c r="Q2045" s="81" t="n">
        <v>11.94</v>
      </c>
      <c r="R2045" s="81" t="s">
        <v>2476</v>
      </c>
      <c r="S2045" s="81"/>
      <c r="T2045" s="81"/>
      <c r="U2045" s="83" t="n">
        <v>46266</v>
      </c>
      <c r="V2045" s="83" t="n">
        <v>46266</v>
      </c>
      <c r="W2045" s="81" t="s">
        <v>2477</v>
      </c>
      <c r="X2045" s="81" t="s">
        <v>876</v>
      </c>
      <c r="Y2045" s="83" t="n">
        <v>46275</v>
      </c>
      <c r="Z2045" s="81" t="s">
        <v>2482</v>
      </c>
      <c r="AA2045" s="81" t="s">
        <v>876</v>
      </c>
      <c r="AB2045" s="81"/>
      <c r="AC2045" s="81"/>
      <c r="AD2045" s="81"/>
      <c r="AE2045" s="83"/>
      <c r="AF2045" s="81"/>
      <c r="AG2045" s="81"/>
      <c r="AH2045" s="81"/>
      <c r="AI2045" s="81"/>
      <c r="AJ2045" s="83"/>
      <c r="AK2045" s="81"/>
      <c r="AL2045" s="81"/>
      <c r="AM2045" s="83"/>
      <c r="AN2045" s="80"/>
      <c r="AO2045" s="82" t="n">
        <f aca="false">IF(E2045="","",(AA2045&lt;&gt;"")+(AG2045&lt;&gt;"")+(AL2045&lt;&gt;""))</f>
        <v>1</v>
      </c>
      <c r="AP2045" s="82" t="str">
        <f aca="false">IF(AL2045&lt;&gt;"",AL2045,IF(AG2045&lt;&gt;"",AG2045,IF(AA2045&lt;&gt;"",AA2045,"")))</f>
        <v>A</v>
      </c>
      <c r="AQ2045" s="84" t="str">
        <f aca="false">IF(E2045="","",IF(U2045="","À SOUDER",IF(X2045="","VT EN ATTENTE",IF(X2045="R","VT REJETÉ – À REPRENDRE",IF(AP2045="","À RADIOGRAPHIER",IF(AP2045="A","ACCEPTÉ",IF(AP2045="NX","NX – RT À REFAIRE",IF(IF(AO2045=1,AD2045,IF(AO2045=2,AI2045,""))="A","RÉPARÉ – À RADIOGRAPHIER",IF(IF(AO2045=1,AD2045,IF(AO2045=2,AI2045,""))="R","VT REJETÉ – À REPRENDRE",IF(OR(AP2045="CO",AP2045="NT"),"COUPE – À RESOUDER","À RÉPARER"))))))))))</f>
        <v>ACCEPTÉ</v>
      </c>
      <c r="AR2045" s="82" t="str">
        <f aca="false">IF(AND(ISNUMBER(U2045),OR(AQ2045="À RADIOGRAPHIER",AQ2045="RÉPARÉ – À RADIOGRAPHIER",AQ2045="NX – RT À REFAIRE",AQ2045="À RÉPARER",AQ2045="COUPE – À RESOUDER",AQ2045="VT REJETÉ – À REPRENDRE")),MAX(0,'PROGRAMME RT'!$C$4-U2045),"")</f>
        <v/>
      </c>
      <c r="AS2045" s="82" t="n">
        <f aca="false">IF(AND(OR(AQ2045="À RADIOGRAPHIER",AQ2045="RÉPARÉ – À RADIOGRAPHIER",AQ2045="NX – RT À REFAIRE"),OR('PROGRAMME RT'!$D$5="TOUTES",B2045='PROGRAMME RT'!$D$5)),1,0)</f>
        <v>0</v>
      </c>
      <c r="AT2045" s="82" t="str">
        <f aca="false">IF(AS2045=1,SUM(AS$7:AS2045),"")</f>
        <v/>
      </c>
      <c r="AU2045" s="82" t="n">
        <f aca="false">IF(AND(OR(AA2045="R",AA2045="NX",AA2045="NT",AA2045="CO"),OR('JOINTS DE RÉPARATION'!$D$5="TOUTES",B2045='JOINTS DE RÉPARATION'!$D$5),OR('JOINTS DE RÉPARATION'!$L$4="TOUS",AQ2045&lt;&gt;"ACCEPTÉ")),1,0)</f>
        <v>0</v>
      </c>
      <c r="AV2045" s="82" t="str">
        <f aca="false">IF(AU2045=1,SUM(AU$7:AU2045),"")</f>
        <v/>
      </c>
      <c r="AW2045" s="82" t="str">
        <f aca="false">IF(E2045="","",B2045&amp;"|"&amp;E2045)</f>
        <v>MFD-ISW → MFD-CPF|JN°1561</v>
      </c>
    </row>
    <row r="2046" customFormat="false" ht="74.6" hidden="false" customHeight="false" outlineLevel="0" collapsed="false">
      <c r="A2046" s="79" t="n">
        <f aca="false">IF(E2046="","",ROW()-6)</f>
        <v>2040</v>
      </c>
      <c r="B2046" s="80" t="s">
        <v>110</v>
      </c>
      <c r="C2046" s="81" t="s">
        <v>2420</v>
      </c>
      <c r="D2046" s="81" t="n">
        <v>19</v>
      </c>
      <c r="E2046" s="81" t="s">
        <v>2487</v>
      </c>
      <c r="F2046" s="82" t="str">
        <f aca="false">IF(E2046="","",IF(LEFT(E2046,2)="DJ","DJ","JN"))</f>
        <v>JN</v>
      </c>
      <c r="G2046" s="81" t="s">
        <v>1504</v>
      </c>
      <c r="H2046" s="81" t="s">
        <v>871</v>
      </c>
      <c r="I2046" s="81" t="n">
        <v>9.53</v>
      </c>
      <c r="J2046" s="81" t="s">
        <v>872</v>
      </c>
      <c r="K2046" s="81" t="s">
        <v>879</v>
      </c>
      <c r="L2046" s="81" t="n">
        <v>2088810</v>
      </c>
      <c r="M2046" s="81" t="n">
        <v>15421108</v>
      </c>
      <c r="N2046" s="81" t="n">
        <v>11.94</v>
      </c>
      <c r="O2046" s="81" t="n">
        <v>2095570</v>
      </c>
      <c r="P2046" s="81" t="n">
        <v>15421111</v>
      </c>
      <c r="Q2046" s="81" t="n">
        <v>11.94</v>
      </c>
      <c r="R2046" s="81" t="s">
        <v>2476</v>
      </c>
      <c r="S2046" s="81"/>
      <c r="T2046" s="81"/>
      <c r="U2046" s="83" t="n">
        <v>46266</v>
      </c>
      <c r="V2046" s="83" t="n">
        <v>46266</v>
      </c>
      <c r="W2046" s="81" t="s">
        <v>2477</v>
      </c>
      <c r="X2046" s="81" t="s">
        <v>876</v>
      </c>
      <c r="Y2046" s="83" t="n">
        <v>46275</v>
      </c>
      <c r="Z2046" s="81" t="s">
        <v>2482</v>
      </c>
      <c r="AA2046" s="81" t="s">
        <v>876</v>
      </c>
      <c r="AB2046" s="81"/>
      <c r="AC2046" s="81"/>
      <c r="AD2046" s="81"/>
      <c r="AE2046" s="83"/>
      <c r="AF2046" s="81"/>
      <c r="AG2046" s="81"/>
      <c r="AH2046" s="81"/>
      <c r="AI2046" s="81"/>
      <c r="AJ2046" s="83"/>
      <c r="AK2046" s="81"/>
      <c r="AL2046" s="81"/>
      <c r="AM2046" s="83"/>
      <c r="AN2046" s="80"/>
      <c r="AO2046" s="82" t="n">
        <f aca="false">IF(E2046="","",(AA2046&lt;&gt;"")+(AG2046&lt;&gt;"")+(AL2046&lt;&gt;""))</f>
        <v>1</v>
      </c>
      <c r="AP2046" s="82" t="str">
        <f aca="false">IF(AL2046&lt;&gt;"",AL2046,IF(AG2046&lt;&gt;"",AG2046,IF(AA2046&lt;&gt;"",AA2046,"")))</f>
        <v>A</v>
      </c>
      <c r="AQ2046" s="84" t="str">
        <f aca="false">IF(E2046="","",IF(U2046="","À SOUDER",IF(X2046="","VT EN ATTENTE",IF(X2046="R","VT REJETÉ – À REPRENDRE",IF(AP2046="","À RADIOGRAPHIER",IF(AP2046="A","ACCEPTÉ",IF(AP2046="NX","NX – RT À REFAIRE",IF(IF(AO2046=1,AD2046,IF(AO2046=2,AI2046,""))="A","RÉPARÉ – À RADIOGRAPHIER",IF(IF(AO2046=1,AD2046,IF(AO2046=2,AI2046,""))="R","VT REJETÉ – À REPRENDRE",IF(OR(AP2046="CO",AP2046="NT"),"COUPE – À RESOUDER","À RÉPARER"))))))))))</f>
        <v>ACCEPTÉ</v>
      </c>
      <c r="AR2046" s="82" t="str">
        <f aca="false">IF(AND(ISNUMBER(U2046),OR(AQ2046="À RADIOGRAPHIER",AQ2046="RÉPARÉ – À RADIOGRAPHIER",AQ2046="NX – RT À REFAIRE",AQ2046="À RÉPARER",AQ2046="COUPE – À RESOUDER",AQ2046="VT REJETÉ – À REPRENDRE")),MAX(0,'PROGRAMME RT'!$C$4-U2046),"")</f>
        <v/>
      </c>
      <c r="AS2046" s="82" t="n">
        <f aca="false">IF(AND(OR(AQ2046="À RADIOGRAPHIER",AQ2046="RÉPARÉ – À RADIOGRAPHIER",AQ2046="NX – RT À REFAIRE"),OR('PROGRAMME RT'!$D$5="TOUTES",B2046='PROGRAMME RT'!$D$5)),1,0)</f>
        <v>0</v>
      </c>
      <c r="AT2046" s="82" t="str">
        <f aca="false">IF(AS2046=1,SUM(AS$7:AS2046),"")</f>
        <v/>
      </c>
      <c r="AU2046" s="82" t="n">
        <f aca="false">IF(AND(OR(AA2046="R",AA2046="NX",AA2046="NT",AA2046="CO"),OR('JOINTS DE RÉPARATION'!$D$5="TOUTES",B2046='JOINTS DE RÉPARATION'!$D$5),OR('JOINTS DE RÉPARATION'!$L$4="TOUS",AQ2046&lt;&gt;"ACCEPTÉ")),1,0)</f>
        <v>0</v>
      </c>
      <c r="AV2046" s="82" t="str">
        <f aca="false">IF(AU2046=1,SUM(AU$7:AU2046),"")</f>
        <v/>
      </c>
      <c r="AW2046" s="82" t="str">
        <f aca="false">IF(E2046="","",B2046&amp;"|"&amp;E2046)</f>
        <v>MFD-ISW → MFD-CPF|JN°1562</v>
      </c>
    </row>
    <row r="2047" customFormat="false" ht="74.6" hidden="false" customHeight="false" outlineLevel="0" collapsed="false">
      <c r="A2047" s="79" t="n">
        <f aca="false">IF(E2047="","",ROW()-6)</f>
        <v>2041</v>
      </c>
      <c r="B2047" s="80" t="s">
        <v>110</v>
      </c>
      <c r="C2047" s="81" t="s">
        <v>926</v>
      </c>
      <c r="D2047" s="81" t="n">
        <v>19</v>
      </c>
      <c r="E2047" s="81" t="s">
        <v>2488</v>
      </c>
      <c r="F2047" s="82" t="str">
        <f aca="false">IF(E2047="","",IF(LEFT(E2047,2)="DJ","DJ","JN"))</f>
        <v>JN</v>
      </c>
      <c r="G2047" s="81"/>
      <c r="H2047" s="81"/>
      <c r="I2047" s="81"/>
      <c r="J2047" s="81"/>
      <c r="K2047" s="81"/>
      <c r="L2047" s="81" t="n">
        <v>2095570</v>
      </c>
      <c r="M2047" s="81" t="n">
        <v>15421111</v>
      </c>
      <c r="N2047" s="81" t="n">
        <v>11.94</v>
      </c>
      <c r="O2047" s="81"/>
      <c r="P2047" s="81"/>
      <c r="Q2047" s="81"/>
      <c r="R2047" s="81"/>
      <c r="S2047" s="81"/>
      <c r="T2047" s="81"/>
      <c r="U2047" s="83"/>
      <c r="V2047" s="83"/>
      <c r="W2047" s="81"/>
      <c r="X2047" s="81"/>
      <c r="Y2047" s="83"/>
      <c r="Z2047" s="81"/>
      <c r="AA2047" s="81"/>
      <c r="AB2047" s="81"/>
      <c r="AC2047" s="81"/>
      <c r="AD2047" s="81"/>
      <c r="AE2047" s="83"/>
      <c r="AF2047" s="81"/>
      <c r="AG2047" s="81"/>
      <c r="AH2047" s="81"/>
      <c r="AI2047" s="81"/>
      <c r="AJ2047" s="83"/>
      <c r="AK2047" s="81"/>
      <c r="AL2047" s="81"/>
      <c r="AM2047" s="83"/>
      <c r="AN2047" s="80"/>
      <c r="AO2047" s="82" t="n">
        <f aca="false">IF(E2047="","",(AA2047&lt;&gt;"")+(AG2047&lt;&gt;"")+(AL2047&lt;&gt;""))</f>
        <v>0</v>
      </c>
      <c r="AP2047" s="82" t="str">
        <f aca="false">IF(AL2047&lt;&gt;"",AL2047,IF(AG2047&lt;&gt;"",AG2047,IF(AA2047&lt;&gt;"",AA2047,"")))</f>
        <v/>
      </c>
      <c r="AQ2047" s="84" t="str">
        <f aca="false">IF(E2047="","",IF(U2047="","À SOUDER",IF(X2047="","VT EN ATTENTE",IF(X2047="R","VT REJETÉ – À REPRENDRE",IF(AP2047="","À RADIOGRAPHIER",IF(AP2047="A","ACCEPTÉ",IF(AP2047="NX","NX – RT À REFAIRE",IF(IF(AO2047=1,AD2047,IF(AO2047=2,AI2047,""))="A","RÉPARÉ – À RADIOGRAPHIER",IF(IF(AO2047=1,AD2047,IF(AO2047=2,AI2047,""))="R","VT REJETÉ – À REPRENDRE",IF(OR(AP2047="CO",AP2047="NT"),"COUPE – À RESOUDER","À RÉPARER"))))))))))</f>
        <v>À SOUDER</v>
      </c>
      <c r="AR2047" s="82" t="str">
        <f aca="false">IF(AND(ISNUMBER(U2047),OR(AQ2047="À RADIOGRAPHIER",AQ2047="RÉPARÉ – À RADIOGRAPHIER",AQ2047="NX – RT À REFAIRE",AQ2047="À RÉPARER",AQ2047="COUPE – À RESOUDER",AQ2047="VT REJETÉ – À REPRENDRE")),MAX(0,'PROGRAMME RT'!$C$4-U2047),"")</f>
        <v/>
      </c>
      <c r="AS2047" s="82" t="n">
        <f aca="false">IF(AND(OR(AQ2047="À RADIOGRAPHIER",AQ2047="RÉPARÉ – À RADIOGRAPHIER",AQ2047="NX – RT À REFAIRE"),OR('PROGRAMME RT'!$D$5="TOUTES",B2047='PROGRAMME RT'!$D$5)),1,0)</f>
        <v>0</v>
      </c>
      <c r="AT2047" s="82" t="str">
        <f aca="false">IF(AS2047=1,SUM(AS$7:AS2047),"")</f>
        <v/>
      </c>
      <c r="AU2047" s="82" t="n">
        <f aca="false">IF(AND(OR(AA2047="R",AA2047="NX",AA2047="NT",AA2047="CO"),OR('JOINTS DE RÉPARATION'!$D$5="TOUTES",B2047='JOINTS DE RÉPARATION'!$D$5),OR('JOINTS DE RÉPARATION'!$L$4="TOUS",AQ2047&lt;&gt;"ACCEPTÉ")),1,0)</f>
        <v>0</v>
      </c>
      <c r="AV2047" s="82" t="str">
        <f aca="false">IF(AU2047=1,SUM(AU$7:AU2047),"")</f>
        <v/>
      </c>
      <c r="AW2047" s="82" t="str">
        <f aca="false">IF(E2047="","",B2047&amp;"|"&amp;E2047)</f>
        <v>MFD-ISW → MFD-CPF|JN°1563</v>
      </c>
    </row>
    <row r="2048" customFormat="false" ht="74.6" hidden="false" customHeight="false" outlineLevel="0" collapsed="false">
      <c r="A2048" s="79" t="n">
        <f aca="false">IF(E2048="","",ROW()-6)</f>
        <v>2042</v>
      </c>
      <c r="B2048" s="80" t="s">
        <v>110</v>
      </c>
      <c r="C2048" s="81" t="s">
        <v>926</v>
      </c>
      <c r="D2048" s="81" t="n">
        <v>19</v>
      </c>
      <c r="E2048" s="81" t="s">
        <v>2489</v>
      </c>
      <c r="F2048" s="82" t="str">
        <f aca="false">IF(E2048="","",IF(LEFT(E2048,2)="DJ","DJ","JN"))</f>
        <v>JN</v>
      </c>
      <c r="G2048" s="81"/>
      <c r="H2048" s="81"/>
      <c r="I2048" s="81"/>
      <c r="J2048" s="81"/>
      <c r="K2048" s="81"/>
      <c r="L2048" s="81"/>
      <c r="M2048" s="81"/>
      <c r="N2048" s="81"/>
      <c r="O2048" s="81"/>
      <c r="P2048" s="81"/>
      <c r="Q2048" s="81"/>
      <c r="R2048" s="81"/>
      <c r="S2048" s="81"/>
      <c r="T2048" s="81"/>
      <c r="U2048" s="83"/>
      <c r="V2048" s="83"/>
      <c r="W2048" s="81"/>
      <c r="X2048" s="81"/>
      <c r="Y2048" s="83"/>
      <c r="Z2048" s="81"/>
      <c r="AA2048" s="81"/>
      <c r="AB2048" s="81"/>
      <c r="AC2048" s="81"/>
      <c r="AD2048" s="81"/>
      <c r="AE2048" s="83"/>
      <c r="AF2048" s="81"/>
      <c r="AG2048" s="81"/>
      <c r="AH2048" s="81"/>
      <c r="AI2048" s="81"/>
      <c r="AJ2048" s="83"/>
      <c r="AK2048" s="81"/>
      <c r="AL2048" s="81"/>
      <c r="AM2048" s="83"/>
      <c r="AN2048" s="80"/>
      <c r="AO2048" s="82" t="n">
        <f aca="false">IF(E2048="","",(AA2048&lt;&gt;"")+(AG2048&lt;&gt;"")+(AL2048&lt;&gt;""))</f>
        <v>0</v>
      </c>
      <c r="AP2048" s="82" t="str">
        <f aca="false">IF(AL2048&lt;&gt;"",AL2048,IF(AG2048&lt;&gt;"",AG2048,IF(AA2048&lt;&gt;"",AA2048,"")))</f>
        <v/>
      </c>
      <c r="AQ2048" s="84" t="str">
        <f aca="false">IF(E2048="","",IF(U2048="","À SOUDER",IF(X2048="","VT EN ATTENTE",IF(X2048="R","VT REJETÉ – À REPRENDRE",IF(AP2048="","À RADIOGRAPHIER",IF(AP2048="A","ACCEPTÉ",IF(AP2048="NX","NX – RT À REFAIRE",IF(IF(AO2048=1,AD2048,IF(AO2048=2,AI2048,""))="A","RÉPARÉ – À RADIOGRAPHIER",IF(IF(AO2048=1,AD2048,IF(AO2048=2,AI2048,""))="R","VT REJETÉ – À REPRENDRE",IF(OR(AP2048="CO",AP2048="NT"),"COUPE – À RESOUDER","À RÉPARER"))))))))))</f>
        <v>À SOUDER</v>
      </c>
      <c r="AR2048" s="82" t="str">
        <f aca="false">IF(AND(ISNUMBER(U2048),OR(AQ2048="À RADIOGRAPHIER",AQ2048="RÉPARÉ – À RADIOGRAPHIER",AQ2048="NX – RT À REFAIRE",AQ2048="À RÉPARER",AQ2048="COUPE – À RESOUDER",AQ2048="VT REJETÉ – À REPRENDRE")),MAX(0,'PROGRAMME RT'!$C$4-U2048),"")</f>
        <v/>
      </c>
      <c r="AS2048" s="82" t="n">
        <f aca="false">IF(AND(OR(AQ2048="À RADIOGRAPHIER",AQ2048="RÉPARÉ – À RADIOGRAPHIER",AQ2048="NX – RT À REFAIRE"),OR('PROGRAMME RT'!$D$5="TOUTES",B2048='PROGRAMME RT'!$D$5)),1,0)</f>
        <v>0</v>
      </c>
      <c r="AT2048" s="82" t="str">
        <f aca="false">IF(AS2048=1,SUM(AS$7:AS2048),"")</f>
        <v/>
      </c>
      <c r="AU2048" s="82" t="n">
        <f aca="false">IF(AND(OR(AA2048="R",AA2048="NX",AA2048="NT",AA2048="CO"),OR('JOINTS DE RÉPARATION'!$D$5="TOUTES",B2048='JOINTS DE RÉPARATION'!$D$5),OR('JOINTS DE RÉPARATION'!$L$4="TOUS",AQ2048&lt;&gt;"ACCEPTÉ")),1,0)</f>
        <v>0</v>
      </c>
      <c r="AV2048" s="82" t="str">
        <f aca="false">IF(AU2048=1,SUM(AU$7:AU2048),"")</f>
        <v/>
      </c>
      <c r="AW2048" s="82" t="str">
        <f aca="false">IF(E2048="","",B2048&amp;"|"&amp;E2048)</f>
        <v>MFD-ISW → MFD-CPF|JN°1564</v>
      </c>
    </row>
    <row r="2049" customFormat="false" ht="74.6" hidden="false" customHeight="false" outlineLevel="0" collapsed="false">
      <c r="A2049" s="79" t="n">
        <f aca="false">IF(E2049="","",ROW()-6)</f>
        <v>2043</v>
      </c>
      <c r="B2049" s="80" t="s">
        <v>110</v>
      </c>
      <c r="C2049" s="81" t="s">
        <v>926</v>
      </c>
      <c r="D2049" s="81" t="n">
        <v>19</v>
      </c>
      <c r="E2049" s="81" t="s">
        <v>2490</v>
      </c>
      <c r="F2049" s="82" t="str">
        <f aca="false">IF(E2049="","",IF(LEFT(E2049,2)="DJ","DJ","JN"))</f>
        <v>JN</v>
      </c>
      <c r="G2049" s="81"/>
      <c r="H2049" s="81"/>
      <c r="I2049" s="81"/>
      <c r="J2049" s="81"/>
      <c r="K2049" s="81"/>
      <c r="L2049" s="81"/>
      <c r="M2049" s="81"/>
      <c r="N2049" s="81"/>
      <c r="O2049" s="81"/>
      <c r="P2049" s="81"/>
      <c r="Q2049" s="81"/>
      <c r="R2049" s="81"/>
      <c r="S2049" s="81"/>
      <c r="T2049" s="81"/>
      <c r="U2049" s="83"/>
      <c r="V2049" s="83"/>
      <c r="W2049" s="81"/>
      <c r="X2049" s="81"/>
      <c r="Y2049" s="83"/>
      <c r="Z2049" s="81"/>
      <c r="AA2049" s="81"/>
      <c r="AB2049" s="81"/>
      <c r="AC2049" s="81"/>
      <c r="AD2049" s="81"/>
      <c r="AE2049" s="83"/>
      <c r="AF2049" s="81"/>
      <c r="AG2049" s="81"/>
      <c r="AH2049" s="81"/>
      <c r="AI2049" s="81"/>
      <c r="AJ2049" s="83"/>
      <c r="AK2049" s="81"/>
      <c r="AL2049" s="81"/>
      <c r="AM2049" s="83"/>
      <c r="AN2049" s="80"/>
      <c r="AO2049" s="82" t="n">
        <f aca="false">IF(E2049="","",(AA2049&lt;&gt;"")+(AG2049&lt;&gt;"")+(AL2049&lt;&gt;""))</f>
        <v>0</v>
      </c>
      <c r="AP2049" s="82" t="str">
        <f aca="false">IF(AL2049&lt;&gt;"",AL2049,IF(AG2049&lt;&gt;"",AG2049,IF(AA2049&lt;&gt;"",AA2049,"")))</f>
        <v/>
      </c>
      <c r="AQ2049" s="84" t="str">
        <f aca="false">IF(E2049="","",IF(U2049="","À SOUDER",IF(X2049="","VT EN ATTENTE",IF(X2049="R","VT REJETÉ – À REPRENDRE",IF(AP2049="","À RADIOGRAPHIER",IF(AP2049="A","ACCEPTÉ",IF(AP2049="NX","NX – RT À REFAIRE",IF(IF(AO2049=1,AD2049,IF(AO2049=2,AI2049,""))="A","RÉPARÉ – À RADIOGRAPHIER",IF(IF(AO2049=1,AD2049,IF(AO2049=2,AI2049,""))="R","VT REJETÉ – À REPRENDRE",IF(OR(AP2049="CO",AP2049="NT"),"COUPE – À RESOUDER","À RÉPARER"))))))))))</f>
        <v>À SOUDER</v>
      </c>
      <c r="AR2049" s="82" t="str">
        <f aca="false">IF(AND(ISNUMBER(U2049),OR(AQ2049="À RADIOGRAPHIER",AQ2049="RÉPARÉ – À RADIOGRAPHIER",AQ2049="NX – RT À REFAIRE",AQ2049="À RÉPARER",AQ2049="COUPE – À RESOUDER",AQ2049="VT REJETÉ – À REPRENDRE")),MAX(0,'PROGRAMME RT'!$C$4-U2049),"")</f>
        <v/>
      </c>
      <c r="AS2049" s="82" t="n">
        <f aca="false">IF(AND(OR(AQ2049="À RADIOGRAPHIER",AQ2049="RÉPARÉ – À RADIOGRAPHIER",AQ2049="NX – RT À REFAIRE"),OR('PROGRAMME RT'!$D$5="TOUTES",B2049='PROGRAMME RT'!$D$5)),1,0)</f>
        <v>0</v>
      </c>
      <c r="AT2049" s="82" t="str">
        <f aca="false">IF(AS2049=1,SUM(AS$7:AS2049),"")</f>
        <v/>
      </c>
      <c r="AU2049" s="82" t="n">
        <f aca="false">IF(AND(OR(AA2049="R",AA2049="NX",AA2049="NT",AA2049="CO"),OR('JOINTS DE RÉPARATION'!$D$5="TOUTES",B2049='JOINTS DE RÉPARATION'!$D$5),OR('JOINTS DE RÉPARATION'!$L$4="TOUS",AQ2049&lt;&gt;"ACCEPTÉ")),1,0)</f>
        <v>0</v>
      </c>
      <c r="AV2049" s="82" t="str">
        <f aca="false">IF(AU2049=1,SUM(AU$7:AU2049),"")</f>
        <v/>
      </c>
      <c r="AW2049" s="82" t="str">
        <f aca="false">IF(E2049="","",B2049&amp;"|"&amp;E2049)</f>
        <v>MFD-ISW → MFD-CPF|JN°1565</v>
      </c>
    </row>
    <row r="2050" customFormat="false" ht="74.6" hidden="false" customHeight="false" outlineLevel="0" collapsed="false">
      <c r="A2050" s="79" t="n">
        <f aca="false">IF(E2050="","",ROW()-6)</f>
        <v>2044</v>
      </c>
      <c r="B2050" s="80" t="s">
        <v>110</v>
      </c>
      <c r="C2050" s="81" t="s">
        <v>926</v>
      </c>
      <c r="D2050" s="81" t="n">
        <v>19</v>
      </c>
      <c r="E2050" s="81" t="s">
        <v>2491</v>
      </c>
      <c r="F2050" s="82" t="str">
        <f aca="false">IF(E2050="","",IF(LEFT(E2050,2)="DJ","DJ","JN"))</f>
        <v>JN</v>
      </c>
      <c r="G2050" s="81"/>
      <c r="H2050" s="81"/>
      <c r="I2050" s="81"/>
      <c r="J2050" s="81"/>
      <c r="K2050" s="81"/>
      <c r="L2050" s="81"/>
      <c r="M2050" s="81"/>
      <c r="N2050" s="81"/>
      <c r="O2050" s="81"/>
      <c r="P2050" s="81"/>
      <c r="Q2050" s="81"/>
      <c r="R2050" s="81"/>
      <c r="S2050" s="81"/>
      <c r="T2050" s="81"/>
      <c r="U2050" s="83"/>
      <c r="V2050" s="83"/>
      <c r="W2050" s="81"/>
      <c r="X2050" s="81"/>
      <c r="Y2050" s="83"/>
      <c r="Z2050" s="81"/>
      <c r="AA2050" s="81"/>
      <c r="AB2050" s="81"/>
      <c r="AC2050" s="81"/>
      <c r="AD2050" s="81"/>
      <c r="AE2050" s="83"/>
      <c r="AF2050" s="81"/>
      <c r="AG2050" s="81"/>
      <c r="AH2050" s="81"/>
      <c r="AI2050" s="81"/>
      <c r="AJ2050" s="83"/>
      <c r="AK2050" s="81"/>
      <c r="AL2050" s="81"/>
      <c r="AM2050" s="83"/>
      <c r="AN2050" s="80"/>
      <c r="AO2050" s="82" t="n">
        <f aca="false">IF(E2050="","",(AA2050&lt;&gt;"")+(AG2050&lt;&gt;"")+(AL2050&lt;&gt;""))</f>
        <v>0</v>
      </c>
      <c r="AP2050" s="82" t="str">
        <f aca="false">IF(AL2050&lt;&gt;"",AL2050,IF(AG2050&lt;&gt;"",AG2050,IF(AA2050&lt;&gt;"",AA2050,"")))</f>
        <v/>
      </c>
      <c r="AQ2050" s="84" t="str">
        <f aca="false">IF(E2050="","",IF(U2050="","À SOUDER",IF(X2050="","VT EN ATTENTE",IF(X2050="R","VT REJETÉ – À REPRENDRE",IF(AP2050="","À RADIOGRAPHIER",IF(AP2050="A","ACCEPTÉ",IF(AP2050="NX","NX – RT À REFAIRE",IF(IF(AO2050=1,AD2050,IF(AO2050=2,AI2050,""))="A","RÉPARÉ – À RADIOGRAPHIER",IF(IF(AO2050=1,AD2050,IF(AO2050=2,AI2050,""))="R","VT REJETÉ – À REPRENDRE",IF(OR(AP2050="CO",AP2050="NT"),"COUPE – À RESOUDER","À RÉPARER"))))))))))</f>
        <v>À SOUDER</v>
      </c>
      <c r="AR2050" s="82" t="str">
        <f aca="false">IF(AND(ISNUMBER(U2050),OR(AQ2050="À RADIOGRAPHIER",AQ2050="RÉPARÉ – À RADIOGRAPHIER",AQ2050="NX – RT À REFAIRE",AQ2050="À RÉPARER",AQ2050="COUPE – À RESOUDER",AQ2050="VT REJETÉ – À REPRENDRE")),MAX(0,'PROGRAMME RT'!$C$4-U2050),"")</f>
        <v/>
      </c>
      <c r="AS2050" s="82" t="n">
        <f aca="false">IF(AND(OR(AQ2050="À RADIOGRAPHIER",AQ2050="RÉPARÉ – À RADIOGRAPHIER",AQ2050="NX – RT À REFAIRE"),OR('PROGRAMME RT'!$D$5="TOUTES",B2050='PROGRAMME RT'!$D$5)),1,0)</f>
        <v>0</v>
      </c>
      <c r="AT2050" s="82" t="str">
        <f aca="false">IF(AS2050=1,SUM(AS$7:AS2050),"")</f>
        <v/>
      </c>
      <c r="AU2050" s="82" t="n">
        <f aca="false">IF(AND(OR(AA2050="R",AA2050="NX",AA2050="NT",AA2050="CO"),OR('JOINTS DE RÉPARATION'!$D$5="TOUTES",B2050='JOINTS DE RÉPARATION'!$D$5),OR('JOINTS DE RÉPARATION'!$L$4="TOUS",AQ2050&lt;&gt;"ACCEPTÉ")),1,0)</f>
        <v>0</v>
      </c>
      <c r="AV2050" s="82" t="str">
        <f aca="false">IF(AU2050=1,SUM(AU$7:AU2050),"")</f>
        <v/>
      </c>
      <c r="AW2050" s="82" t="str">
        <f aca="false">IF(E2050="","",B2050&amp;"|"&amp;E2050)</f>
        <v>MFD-ISW → MFD-CPF|JN°1566</v>
      </c>
    </row>
    <row r="2051" customFormat="false" ht="74.6" hidden="false" customHeight="false" outlineLevel="0" collapsed="false">
      <c r="A2051" s="79" t="n">
        <f aca="false">IF(E2051="","",ROW()-6)</f>
        <v>2045</v>
      </c>
      <c r="B2051" s="80" t="s">
        <v>110</v>
      </c>
      <c r="C2051" s="81" t="s">
        <v>926</v>
      </c>
      <c r="D2051" s="81" t="n">
        <v>19</v>
      </c>
      <c r="E2051" s="81" t="s">
        <v>2492</v>
      </c>
      <c r="F2051" s="82" t="str">
        <f aca="false">IF(E2051="","",IF(LEFT(E2051,2)="DJ","DJ","JN"))</f>
        <v>JN</v>
      </c>
      <c r="G2051" s="81"/>
      <c r="H2051" s="81"/>
      <c r="I2051" s="81"/>
      <c r="J2051" s="81"/>
      <c r="K2051" s="81"/>
      <c r="L2051" s="81"/>
      <c r="M2051" s="81"/>
      <c r="N2051" s="81"/>
      <c r="O2051" s="81"/>
      <c r="P2051" s="81"/>
      <c r="Q2051" s="81"/>
      <c r="R2051" s="81"/>
      <c r="S2051" s="81"/>
      <c r="T2051" s="81"/>
      <c r="U2051" s="83"/>
      <c r="V2051" s="83"/>
      <c r="W2051" s="81"/>
      <c r="X2051" s="81"/>
      <c r="Y2051" s="83"/>
      <c r="Z2051" s="81"/>
      <c r="AA2051" s="81"/>
      <c r="AB2051" s="81"/>
      <c r="AC2051" s="81"/>
      <c r="AD2051" s="81"/>
      <c r="AE2051" s="83"/>
      <c r="AF2051" s="81"/>
      <c r="AG2051" s="81"/>
      <c r="AH2051" s="81"/>
      <c r="AI2051" s="81"/>
      <c r="AJ2051" s="83"/>
      <c r="AK2051" s="81"/>
      <c r="AL2051" s="81"/>
      <c r="AM2051" s="83"/>
      <c r="AN2051" s="80"/>
      <c r="AO2051" s="82" t="n">
        <f aca="false">IF(E2051="","",(AA2051&lt;&gt;"")+(AG2051&lt;&gt;"")+(AL2051&lt;&gt;""))</f>
        <v>0</v>
      </c>
      <c r="AP2051" s="82" t="str">
        <f aca="false">IF(AL2051&lt;&gt;"",AL2051,IF(AG2051&lt;&gt;"",AG2051,IF(AA2051&lt;&gt;"",AA2051,"")))</f>
        <v/>
      </c>
      <c r="AQ2051" s="84" t="str">
        <f aca="false">IF(E2051="","",IF(U2051="","À SOUDER",IF(X2051="","VT EN ATTENTE",IF(X2051="R","VT REJETÉ – À REPRENDRE",IF(AP2051="","À RADIOGRAPHIER",IF(AP2051="A","ACCEPTÉ",IF(AP2051="NX","NX – RT À REFAIRE",IF(IF(AO2051=1,AD2051,IF(AO2051=2,AI2051,""))="A","RÉPARÉ – À RADIOGRAPHIER",IF(IF(AO2051=1,AD2051,IF(AO2051=2,AI2051,""))="R","VT REJETÉ – À REPRENDRE",IF(OR(AP2051="CO",AP2051="NT"),"COUPE – À RESOUDER","À RÉPARER"))))))))))</f>
        <v>À SOUDER</v>
      </c>
      <c r="AR2051" s="82" t="str">
        <f aca="false">IF(AND(ISNUMBER(U2051),OR(AQ2051="À RADIOGRAPHIER",AQ2051="RÉPARÉ – À RADIOGRAPHIER",AQ2051="NX – RT À REFAIRE",AQ2051="À RÉPARER",AQ2051="COUPE – À RESOUDER",AQ2051="VT REJETÉ – À REPRENDRE")),MAX(0,'PROGRAMME RT'!$C$4-U2051),"")</f>
        <v/>
      </c>
      <c r="AS2051" s="82" t="n">
        <f aca="false">IF(AND(OR(AQ2051="À RADIOGRAPHIER",AQ2051="RÉPARÉ – À RADIOGRAPHIER",AQ2051="NX – RT À REFAIRE"),OR('PROGRAMME RT'!$D$5="TOUTES",B2051='PROGRAMME RT'!$D$5)),1,0)</f>
        <v>0</v>
      </c>
      <c r="AT2051" s="82" t="str">
        <f aca="false">IF(AS2051=1,SUM(AS$7:AS2051),"")</f>
        <v/>
      </c>
      <c r="AU2051" s="82" t="n">
        <f aca="false">IF(AND(OR(AA2051="R",AA2051="NX",AA2051="NT",AA2051="CO"),OR('JOINTS DE RÉPARATION'!$D$5="TOUTES",B2051='JOINTS DE RÉPARATION'!$D$5),OR('JOINTS DE RÉPARATION'!$L$4="TOUS",AQ2051&lt;&gt;"ACCEPTÉ")),1,0)</f>
        <v>0</v>
      </c>
      <c r="AV2051" s="82" t="str">
        <f aca="false">IF(AU2051=1,SUM(AU$7:AU2051),"")</f>
        <v/>
      </c>
      <c r="AW2051" s="82" t="str">
        <f aca="false">IF(E2051="","",B2051&amp;"|"&amp;E2051)</f>
        <v>MFD-ISW → MFD-CPF|JN°1567</v>
      </c>
    </row>
    <row r="2052" customFormat="false" ht="74.6" hidden="false" customHeight="false" outlineLevel="0" collapsed="false">
      <c r="A2052" s="79" t="n">
        <f aca="false">IF(E2052="","",ROW()-6)</f>
        <v>2046</v>
      </c>
      <c r="B2052" s="80" t="s">
        <v>110</v>
      </c>
      <c r="C2052" s="81" t="s">
        <v>926</v>
      </c>
      <c r="D2052" s="81" t="n">
        <v>19</v>
      </c>
      <c r="E2052" s="81" t="s">
        <v>2493</v>
      </c>
      <c r="F2052" s="82" t="str">
        <f aca="false">IF(E2052="","",IF(LEFT(E2052,2)="DJ","DJ","JN"))</f>
        <v>JN</v>
      </c>
      <c r="G2052" s="81"/>
      <c r="H2052" s="81"/>
      <c r="I2052" s="81"/>
      <c r="J2052" s="81"/>
      <c r="K2052" s="81"/>
      <c r="L2052" s="81"/>
      <c r="M2052" s="81"/>
      <c r="N2052" s="81"/>
      <c r="O2052" s="81"/>
      <c r="P2052" s="81"/>
      <c r="Q2052" s="81"/>
      <c r="R2052" s="81"/>
      <c r="S2052" s="81"/>
      <c r="T2052" s="81"/>
      <c r="U2052" s="83"/>
      <c r="V2052" s="83"/>
      <c r="W2052" s="81"/>
      <c r="X2052" s="81"/>
      <c r="Y2052" s="83"/>
      <c r="Z2052" s="81"/>
      <c r="AA2052" s="81"/>
      <c r="AB2052" s="81"/>
      <c r="AC2052" s="81"/>
      <c r="AD2052" s="81"/>
      <c r="AE2052" s="83"/>
      <c r="AF2052" s="81"/>
      <c r="AG2052" s="81"/>
      <c r="AH2052" s="81"/>
      <c r="AI2052" s="81"/>
      <c r="AJ2052" s="83"/>
      <c r="AK2052" s="81"/>
      <c r="AL2052" s="81"/>
      <c r="AM2052" s="83"/>
      <c r="AN2052" s="80"/>
      <c r="AO2052" s="82" t="n">
        <f aca="false">IF(E2052="","",(AA2052&lt;&gt;"")+(AG2052&lt;&gt;"")+(AL2052&lt;&gt;""))</f>
        <v>0</v>
      </c>
      <c r="AP2052" s="82" t="str">
        <f aca="false">IF(AL2052&lt;&gt;"",AL2052,IF(AG2052&lt;&gt;"",AG2052,IF(AA2052&lt;&gt;"",AA2052,"")))</f>
        <v/>
      </c>
      <c r="AQ2052" s="84" t="str">
        <f aca="false">IF(E2052="","",IF(U2052="","À SOUDER",IF(X2052="","VT EN ATTENTE",IF(X2052="R","VT REJETÉ – À REPRENDRE",IF(AP2052="","À RADIOGRAPHIER",IF(AP2052="A","ACCEPTÉ",IF(AP2052="NX","NX – RT À REFAIRE",IF(IF(AO2052=1,AD2052,IF(AO2052=2,AI2052,""))="A","RÉPARÉ – À RADIOGRAPHIER",IF(IF(AO2052=1,AD2052,IF(AO2052=2,AI2052,""))="R","VT REJETÉ – À REPRENDRE",IF(OR(AP2052="CO",AP2052="NT"),"COUPE – À RESOUDER","À RÉPARER"))))))))))</f>
        <v>À SOUDER</v>
      </c>
      <c r="AR2052" s="82" t="str">
        <f aca="false">IF(AND(ISNUMBER(U2052),OR(AQ2052="À RADIOGRAPHIER",AQ2052="RÉPARÉ – À RADIOGRAPHIER",AQ2052="NX – RT À REFAIRE",AQ2052="À RÉPARER",AQ2052="COUPE – À RESOUDER",AQ2052="VT REJETÉ – À REPRENDRE")),MAX(0,'PROGRAMME RT'!$C$4-U2052),"")</f>
        <v/>
      </c>
      <c r="AS2052" s="82" t="n">
        <f aca="false">IF(AND(OR(AQ2052="À RADIOGRAPHIER",AQ2052="RÉPARÉ – À RADIOGRAPHIER",AQ2052="NX – RT À REFAIRE"),OR('PROGRAMME RT'!$D$5="TOUTES",B2052='PROGRAMME RT'!$D$5)),1,0)</f>
        <v>0</v>
      </c>
      <c r="AT2052" s="82" t="str">
        <f aca="false">IF(AS2052=1,SUM(AS$7:AS2052),"")</f>
        <v/>
      </c>
      <c r="AU2052" s="82" t="n">
        <f aca="false">IF(AND(OR(AA2052="R",AA2052="NX",AA2052="NT",AA2052="CO"),OR('JOINTS DE RÉPARATION'!$D$5="TOUTES",B2052='JOINTS DE RÉPARATION'!$D$5),OR('JOINTS DE RÉPARATION'!$L$4="TOUS",AQ2052&lt;&gt;"ACCEPTÉ")),1,0)</f>
        <v>0</v>
      </c>
      <c r="AV2052" s="82" t="str">
        <f aca="false">IF(AU2052=1,SUM(AU$7:AU2052),"")</f>
        <v/>
      </c>
      <c r="AW2052" s="82" t="str">
        <f aca="false">IF(E2052="","",B2052&amp;"|"&amp;E2052)</f>
        <v>MFD-ISW → MFD-CPF|JN°1568</v>
      </c>
    </row>
    <row r="2053" customFormat="false" ht="74.6" hidden="false" customHeight="false" outlineLevel="0" collapsed="false">
      <c r="A2053" s="79" t="n">
        <f aca="false">IF(E2053="","",ROW()-6)</f>
        <v>2047</v>
      </c>
      <c r="B2053" s="80" t="s">
        <v>110</v>
      </c>
      <c r="C2053" s="81" t="s">
        <v>926</v>
      </c>
      <c r="D2053" s="81" t="n">
        <v>19</v>
      </c>
      <c r="E2053" s="81" t="s">
        <v>2494</v>
      </c>
      <c r="F2053" s="82" t="str">
        <f aca="false">IF(E2053="","",IF(LEFT(E2053,2)="DJ","DJ","JN"))</f>
        <v>JN</v>
      </c>
      <c r="G2053" s="81"/>
      <c r="H2053" s="81"/>
      <c r="I2053" s="81"/>
      <c r="J2053" s="81"/>
      <c r="K2053" s="81"/>
      <c r="L2053" s="81"/>
      <c r="M2053" s="81"/>
      <c r="N2053" s="81"/>
      <c r="O2053" s="81"/>
      <c r="P2053" s="81"/>
      <c r="Q2053" s="81"/>
      <c r="R2053" s="81"/>
      <c r="S2053" s="81"/>
      <c r="T2053" s="81"/>
      <c r="U2053" s="83"/>
      <c r="V2053" s="83"/>
      <c r="W2053" s="81"/>
      <c r="X2053" s="81"/>
      <c r="Y2053" s="83"/>
      <c r="Z2053" s="81"/>
      <c r="AA2053" s="81"/>
      <c r="AB2053" s="81"/>
      <c r="AC2053" s="81"/>
      <c r="AD2053" s="81"/>
      <c r="AE2053" s="83"/>
      <c r="AF2053" s="81"/>
      <c r="AG2053" s="81"/>
      <c r="AH2053" s="81"/>
      <c r="AI2053" s="81"/>
      <c r="AJ2053" s="83"/>
      <c r="AK2053" s="81"/>
      <c r="AL2053" s="81"/>
      <c r="AM2053" s="83"/>
      <c r="AN2053" s="80"/>
      <c r="AO2053" s="82" t="n">
        <f aca="false">IF(E2053="","",(AA2053&lt;&gt;"")+(AG2053&lt;&gt;"")+(AL2053&lt;&gt;""))</f>
        <v>0</v>
      </c>
      <c r="AP2053" s="82" t="str">
        <f aca="false">IF(AL2053&lt;&gt;"",AL2053,IF(AG2053&lt;&gt;"",AG2053,IF(AA2053&lt;&gt;"",AA2053,"")))</f>
        <v/>
      </c>
      <c r="AQ2053" s="84" t="str">
        <f aca="false">IF(E2053="","",IF(U2053="","À SOUDER",IF(X2053="","VT EN ATTENTE",IF(X2053="R","VT REJETÉ – À REPRENDRE",IF(AP2053="","À RADIOGRAPHIER",IF(AP2053="A","ACCEPTÉ",IF(AP2053="NX","NX – RT À REFAIRE",IF(IF(AO2053=1,AD2053,IF(AO2053=2,AI2053,""))="A","RÉPARÉ – À RADIOGRAPHIER",IF(IF(AO2053=1,AD2053,IF(AO2053=2,AI2053,""))="R","VT REJETÉ – À REPRENDRE",IF(OR(AP2053="CO",AP2053="NT"),"COUPE – À RESOUDER","À RÉPARER"))))))))))</f>
        <v>À SOUDER</v>
      </c>
      <c r="AR2053" s="82" t="str">
        <f aca="false">IF(AND(ISNUMBER(U2053),OR(AQ2053="À RADIOGRAPHIER",AQ2053="RÉPARÉ – À RADIOGRAPHIER",AQ2053="NX – RT À REFAIRE",AQ2053="À RÉPARER",AQ2053="COUPE – À RESOUDER",AQ2053="VT REJETÉ – À REPRENDRE")),MAX(0,'PROGRAMME RT'!$C$4-U2053),"")</f>
        <v/>
      </c>
      <c r="AS2053" s="82" t="n">
        <f aca="false">IF(AND(OR(AQ2053="À RADIOGRAPHIER",AQ2053="RÉPARÉ – À RADIOGRAPHIER",AQ2053="NX – RT À REFAIRE"),OR('PROGRAMME RT'!$D$5="TOUTES",B2053='PROGRAMME RT'!$D$5)),1,0)</f>
        <v>0</v>
      </c>
      <c r="AT2053" s="82" t="str">
        <f aca="false">IF(AS2053=1,SUM(AS$7:AS2053),"")</f>
        <v/>
      </c>
      <c r="AU2053" s="82" t="n">
        <f aca="false">IF(AND(OR(AA2053="R",AA2053="NX",AA2053="NT",AA2053="CO"),OR('JOINTS DE RÉPARATION'!$D$5="TOUTES",B2053='JOINTS DE RÉPARATION'!$D$5),OR('JOINTS DE RÉPARATION'!$L$4="TOUS",AQ2053&lt;&gt;"ACCEPTÉ")),1,0)</f>
        <v>0</v>
      </c>
      <c r="AV2053" s="82" t="str">
        <f aca="false">IF(AU2053=1,SUM(AU$7:AU2053),"")</f>
        <v/>
      </c>
      <c r="AW2053" s="82" t="str">
        <f aca="false">IF(E2053="","",B2053&amp;"|"&amp;E2053)</f>
        <v>MFD-ISW → MFD-CPF|JN°1569</v>
      </c>
    </row>
    <row r="2054" customFormat="false" ht="74.6" hidden="false" customHeight="false" outlineLevel="0" collapsed="false">
      <c r="A2054" s="79" t="n">
        <f aca="false">IF(E2054="","",ROW()-6)</f>
        <v>2048</v>
      </c>
      <c r="B2054" s="80" t="s">
        <v>110</v>
      </c>
      <c r="C2054" s="81" t="s">
        <v>926</v>
      </c>
      <c r="D2054" s="81" t="n">
        <v>19</v>
      </c>
      <c r="E2054" s="81" t="s">
        <v>2495</v>
      </c>
      <c r="F2054" s="82" t="str">
        <f aca="false">IF(E2054="","",IF(LEFT(E2054,2)="DJ","DJ","JN"))</f>
        <v>JN</v>
      </c>
      <c r="G2054" s="81"/>
      <c r="H2054" s="81"/>
      <c r="I2054" s="81"/>
      <c r="J2054" s="81"/>
      <c r="K2054" s="81"/>
      <c r="L2054" s="81"/>
      <c r="M2054" s="81"/>
      <c r="N2054" s="81"/>
      <c r="O2054" s="81"/>
      <c r="P2054" s="81"/>
      <c r="Q2054" s="81"/>
      <c r="R2054" s="81"/>
      <c r="S2054" s="81"/>
      <c r="T2054" s="81"/>
      <c r="U2054" s="83"/>
      <c r="V2054" s="83"/>
      <c r="W2054" s="81"/>
      <c r="X2054" s="81"/>
      <c r="Y2054" s="83"/>
      <c r="Z2054" s="81"/>
      <c r="AA2054" s="81"/>
      <c r="AB2054" s="81"/>
      <c r="AC2054" s="81"/>
      <c r="AD2054" s="81"/>
      <c r="AE2054" s="83"/>
      <c r="AF2054" s="81"/>
      <c r="AG2054" s="81"/>
      <c r="AH2054" s="81"/>
      <c r="AI2054" s="81"/>
      <c r="AJ2054" s="83"/>
      <c r="AK2054" s="81"/>
      <c r="AL2054" s="81"/>
      <c r="AM2054" s="83"/>
      <c r="AN2054" s="80"/>
      <c r="AO2054" s="82" t="n">
        <f aca="false">IF(E2054="","",(AA2054&lt;&gt;"")+(AG2054&lt;&gt;"")+(AL2054&lt;&gt;""))</f>
        <v>0</v>
      </c>
      <c r="AP2054" s="82" t="str">
        <f aca="false">IF(AL2054&lt;&gt;"",AL2054,IF(AG2054&lt;&gt;"",AG2054,IF(AA2054&lt;&gt;"",AA2054,"")))</f>
        <v/>
      </c>
      <c r="AQ2054" s="84" t="str">
        <f aca="false">IF(E2054="","",IF(U2054="","À SOUDER",IF(X2054="","VT EN ATTENTE",IF(X2054="R","VT REJETÉ – À REPRENDRE",IF(AP2054="","À RADIOGRAPHIER",IF(AP2054="A","ACCEPTÉ",IF(AP2054="NX","NX – RT À REFAIRE",IF(IF(AO2054=1,AD2054,IF(AO2054=2,AI2054,""))="A","RÉPARÉ – À RADIOGRAPHIER",IF(IF(AO2054=1,AD2054,IF(AO2054=2,AI2054,""))="R","VT REJETÉ – À REPRENDRE",IF(OR(AP2054="CO",AP2054="NT"),"COUPE – À RESOUDER","À RÉPARER"))))))))))</f>
        <v>À SOUDER</v>
      </c>
      <c r="AR2054" s="82" t="str">
        <f aca="false">IF(AND(ISNUMBER(U2054),OR(AQ2054="À RADIOGRAPHIER",AQ2054="RÉPARÉ – À RADIOGRAPHIER",AQ2054="NX – RT À REFAIRE",AQ2054="À RÉPARER",AQ2054="COUPE – À RESOUDER",AQ2054="VT REJETÉ – À REPRENDRE")),MAX(0,'PROGRAMME RT'!$C$4-U2054),"")</f>
        <v/>
      </c>
      <c r="AS2054" s="82" t="n">
        <f aca="false">IF(AND(OR(AQ2054="À RADIOGRAPHIER",AQ2054="RÉPARÉ – À RADIOGRAPHIER",AQ2054="NX – RT À REFAIRE"),OR('PROGRAMME RT'!$D$5="TOUTES",B2054='PROGRAMME RT'!$D$5)),1,0)</f>
        <v>0</v>
      </c>
      <c r="AT2054" s="82" t="str">
        <f aca="false">IF(AS2054=1,SUM(AS$7:AS2054),"")</f>
        <v/>
      </c>
      <c r="AU2054" s="82" t="n">
        <f aca="false">IF(AND(OR(AA2054="R",AA2054="NX",AA2054="NT",AA2054="CO"),OR('JOINTS DE RÉPARATION'!$D$5="TOUTES",B2054='JOINTS DE RÉPARATION'!$D$5),OR('JOINTS DE RÉPARATION'!$L$4="TOUS",AQ2054&lt;&gt;"ACCEPTÉ")),1,0)</f>
        <v>0</v>
      </c>
      <c r="AV2054" s="82" t="str">
        <f aca="false">IF(AU2054=1,SUM(AU$7:AU2054),"")</f>
        <v/>
      </c>
      <c r="AW2054" s="82" t="str">
        <f aca="false">IF(E2054="","",B2054&amp;"|"&amp;E2054)</f>
        <v>MFD-ISW → MFD-CPF|JN°1570</v>
      </c>
    </row>
    <row r="2055" customFormat="false" ht="74.6" hidden="false" customHeight="false" outlineLevel="0" collapsed="false">
      <c r="A2055" s="79" t="n">
        <f aca="false">IF(E2055="","",ROW()-6)</f>
        <v>2049</v>
      </c>
      <c r="B2055" s="80" t="s">
        <v>110</v>
      </c>
      <c r="C2055" s="81" t="s">
        <v>926</v>
      </c>
      <c r="D2055" s="81" t="n">
        <v>19</v>
      </c>
      <c r="E2055" s="81" t="s">
        <v>2496</v>
      </c>
      <c r="F2055" s="82" t="str">
        <f aca="false">IF(E2055="","",IF(LEFT(E2055,2)="DJ","DJ","JN"))</f>
        <v>JN</v>
      </c>
      <c r="G2055" s="81"/>
      <c r="H2055" s="81"/>
      <c r="I2055" s="81"/>
      <c r="J2055" s="81"/>
      <c r="K2055" s="81"/>
      <c r="L2055" s="81"/>
      <c r="M2055" s="81"/>
      <c r="N2055" s="81"/>
      <c r="O2055" s="81"/>
      <c r="P2055" s="81"/>
      <c r="Q2055" s="81"/>
      <c r="R2055" s="81"/>
      <c r="S2055" s="81"/>
      <c r="T2055" s="81"/>
      <c r="U2055" s="83"/>
      <c r="V2055" s="83"/>
      <c r="W2055" s="81"/>
      <c r="X2055" s="81"/>
      <c r="Y2055" s="83"/>
      <c r="Z2055" s="81"/>
      <c r="AA2055" s="81"/>
      <c r="AB2055" s="81"/>
      <c r="AC2055" s="81"/>
      <c r="AD2055" s="81"/>
      <c r="AE2055" s="83"/>
      <c r="AF2055" s="81"/>
      <c r="AG2055" s="81"/>
      <c r="AH2055" s="81"/>
      <c r="AI2055" s="81"/>
      <c r="AJ2055" s="83"/>
      <c r="AK2055" s="81"/>
      <c r="AL2055" s="81"/>
      <c r="AM2055" s="83"/>
      <c r="AN2055" s="80"/>
      <c r="AO2055" s="82" t="n">
        <f aca="false">IF(E2055="","",(AA2055&lt;&gt;"")+(AG2055&lt;&gt;"")+(AL2055&lt;&gt;""))</f>
        <v>0</v>
      </c>
      <c r="AP2055" s="82" t="str">
        <f aca="false">IF(AL2055&lt;&gt;"",AL2055,IF(AG2055&lt;&gt;"",AG2055,IF(AA2055&lt;&gt;"",AA2055,"")))</f>
        <v/>
      </c>
      <c r="AQ2055" s="84" t="str">
        <f aca="false">IF(E2055="","",IF(U2055="","À SOUDER",IF(X2055="","VT EN ATTENTE",IF(X2055="R","VT REJETÉ – À REPRENDRE",IF(AP2055="","À RADIOGRAPHIER",IF(AP2055="A","ACCEPTÉ",IF(AP2055="NX","NX – RT À REFAIRE",IF(IF(AO2055=1,AD2055,IF(AO2055=2,AI2055,""))="A","RÉPARÉ – À RADIOGRAPHIER",IF(IF(AO2055=1,AD2055,IF(AO2055=2,AI2055,""))="R","VT REJETÉ – À REPRENDRE",IF(OR(AP2055="CO",AP2055="NT"),"COUPE – À RESOUDER","À RÉPARER"))))))))))</f>
        <v>À SOUDER</v>
      </c>
      <c r="AR2055" s="82" t="str">
        <f aca="false">IF(AND(ISNUMBER(U2055),OR(AQ2055="À RADIOGRAPHIER",AQ2055="RÉPARÉ – À RADIOGRAPHIER",AQ2055="NX – RT À REFAIRE",AQ2055="À RÉPARER",AQ2055="COUPE – À RESOUDER",AQ2055="VT REJETÉ – À REPRENDRE")),MAX(0,'PROGRAMME RT'!$C$4-U2055),"")</f>
        <v/>
      </c>
      <c r="AS2055" s="82" t="n">
        <f aca="false">IF(AND(OR(AQ2055="À RADIOGRAPHIER",AQ2055="RÉPARÉ – À RADIOGRAPHIER",AQ2055="NX – RT À REFAIRE"),OR('PROGRAMME RT'!$D$5="TOUTES",B2055='PROGRAMME RT'!$D$5)),1,0)</f>
        <v>0</v>
      </c>
      <c r="AT2055" s="82" t="str">
        <f aca="false">IF(AS2055=1,SUM(AS$7:AS2055),"")</f>
        <v/>
      </c>
      <c r="AU2055" s="82" t="n">
        <f aca="false">IF(AND(OR(AA2055="R",AA2055="NX",AA2055="NT",AA2055="CO"),OR('JOINTS DE RÉPARATION'!$D$5="TOUTES",B2055='JOINTS DE RÉPARATION'!$D$5),OR('JOINTS DE RÉPARATION'!$L$4="TOUS",AQ2055&lt;&gt;"ACCEPTÉ")),1,0)</f>
        <v>0</v>
      </c>
      <c r="AV2055" s="82" t="str">
        <f aca="false">IF(AU2055=1,SUM(AU$7:AU2055),"")</f>
        <v/>
      </c>
      <c r="AW2055" s="82" t="str">
        <f aca="false">IF(E2055="","",B2055&amp;"|"&amp;E2055)</f>
        <v>MFD-ISW → MFD-CPF|JN°1571</v>
      </c>
    </row>
    <row r="2056" customFormat="false" ht="74.6" hidden="false" customHeight="false" outlineLevel="0" collapsed="false">
      <c r="A2056" s="79" t="n">
        <f aca="false">IF(E2056="","",ROW()-6)</f>
        <v>2050</v>
      </c>
      <c r="B2056" s="80" t="s">
        <v>110</v>
      </c>
      <c r="C2056" s="81" t="s">
        <v>926</v>
      </c>
      <c r="D2056" s="81" t="n">
        <v>19</v>
      </c>
      <c r="E2056" s="81" t="s">
        <v>2497</v>
      </c>
      <c r="F2056" s="82" t="str">
        <f aca="false">IF(E2056="","",IF(LEFT(E2056,2)="DJ","DJ","JN"))</f>
        <v>JN</v>
      </c>
      <c r="G2056" s="81"/>
      <c r="H2056" s="81"/>
      <c r="I2056" s="81"/>
      <c r="J2056" s="81"/>
      <c r="K2056" s="81"/>
      <c r="L2056" s="81"/>
      <c r="M2056" s="81"/>
      <c r="N2056" s="81"/>
      <c r="O2056" s="81"/>
      <c r="P2056" s="81"/>
      <c r="Q2056" s="81"/>
      <c r="R2056" s="81"/>
      <c r="S2056" s="81"/>
      <c r="T2056" s="81"/>
      <c r="U2056" s="83"/>
      <c r="V2056" s="83"/>
      <c r="W2056" s="81"/>
      <c r="X2056" s="81"/>
      <c r="Y2056" s="83"/>
      <c r="Z2056" s="81"/>
      <c r="AA2056" s="81"/>
      <c r="AB2056" s="81"/>
      <c r="AC2056" s="81"/>
      <c r="AD2056" s="81"/>
      <c r="AE2056" s="83"/>
      <c r="AF2056" s="81"/>
      <c r="AG2056" s="81"/>
      <c r="AH2056" s="81"/>
      <c r="AI2056" s="81"/>
      <c r="AJ2056" s="83"/>
      <c r="AK2056" s="81"/>
      <c r="AL2056" s="81"/>
      <c r="AM2056" s="83"/>
      <c r="AN2056" s="80"/>
      <c r="AO2056" s="82" t="n">
        <f aca="false">IF(E2056="","",(AA2056&lt;&gt;"")+(AG2056&lt;&gt;"")+(AL2056&lt;&gt;""))</f>
        <v>0</v>
      </c>
      <c r="AP2056" s="82" t="str">
        <f aca="false">IF(AL2056&lt;&gt;"",AL2056,IF(AG2056&lt;&gt;"",AG2056,IF(AA2056&lt;&gt;"",AA2056,"")))</f>
        <v/>
      </c>
      <c r="AQ2056" s="84" t="str">
        <f aca="false">IF(E2056="","",IF(U2056="","À SOUDER",IF(X2056="","VT EN ATTENTE",IF(X2056="R","VT REJETÉ – À REPRENDRE",IF(AP2056="","À RADIOGRAPHIER",IF(AP2056="A","ACCEPTÉ",IF(AP2056="NX","NX – RT À REFAIRE",IF(IF(AO2056=1,AD2056,IF(AO2056=2,AI2056,""))="A","RÉPARÉ – À RADIOGRAPHIER",IF(IF(AO2056=1,AD2056,IF(AO2056=2,AI2056,""))="R","VT REJETÉ – À REPRENDRE",IF(OR(AP2056="CO",AP2056="NT"),"COUPE – À RESOUDER","À RÉPARER"))))))))))</f>
        <v>À SOUDER</v>
      </c>
      <c r="AR2056" s="82" t="str">
        <f aca="false">IF(AND(ISNUMBER(U2056),OR(AQ2056="À RADIOGRAPHIER",AQ2056="RÉPARÉ – À RADIOGRAPHIER",AQ2056="NX – RT À REFAIRE",AQ2056="À RÉPARER",AQ2056="COUPE – À RESOUDER",AQ2056="VT REJETÉ – À REPRENDRE")),MAX(0,'PROGRAMME RT'!$C$4-U2056),"")</f>
        <v/>
      </c>
      <c r="AS2056" s="82" t="n">
        <f aca="false">IF(AND(OR(AQ2056="À RADIOGRAPHIER",AQ2056="RÉPARÉ – À RADIOGRAPHIER",AQ2056="NX – RT À REFAIRE"),OR('PROGRAMME RT'!$D$5="TOUTES",B2056='PROGRAMME RT'!$D$5)),1,0)</f>
        <v>0</v>
      </c>
      <c r="AT2056" s="82" t="str">
        <f aca="false">IF(AS2056=1,SUM(AS$7:AS2056),"")</f>
        <v/>
      </c>
      <c r="AU2056" s="82" t="n">
        <f aca="false">IF(AND(OR(AA2056="R",AA2056="NX",AA2056="NT",AA2056="CO"),OR('JOINTS DE RÉPARATION'!$D$5="TOUTES",B2056='JOINTS DE RÉPARATION'!$D$5),OR('JOINTS DE RÉPARATION'!$L$4="TOUS",AQ2056&lt;&gt;"ACCEPTÉ")),1,0)</f>
        <v>0</v>
      </c>
      <c r="AV2056" s="82" t="str">
        <f aca="false">IF(AU2056=1,SUM(AU$7:AU2056),"")</f>
        <v/>
      </c>
      <c r="AW2056" s="82" t="str">
        <f aca="false">IF(E2056="","",B2056&amp;"|"&amp;E2056)</f>
        <v>MFD-ISW → MFD-CPF|JN°1572</v>
      </c>
    </row>
    <row r="2057" customFormat="false" ht="74.6" hidden="false" customHeight="false" outlineLevel="0" collapsed="false">
      <c r="A2057" s="79" t="n">
        <f aca="false">IF(E2057="","",ROW()-6)</f>
        <v>2051</v>
      </c>
      <c r="B2057" s="80" t="s">
        <v>110</v>
      </c>
      <c r="C2057" s="81" t="s">
        <v>926</v>
      </c>
      <c r="D2057" s="81" t="n">
        <v>19</v>
      </c>
      <c r="E2057" s="81" t="s">
        <v>2498</v>
      </c>
      <c r="F2057" s="82" t="str">
        <f aca="false">IF(E2057="","",IF(LEFT(E2057,2)="DJ","DJ","JN"))</f>
        <v>JN</v>
      </c>
      <c r="G2057" s="81"/>
      <c r="H2057" s="81"/>
      <c r="I2057" s="81"/>
      <c r="J2057" s="81"/>
      <c r="K2057" s="81"/>
      <c r="L2057" s="81"/>
      <c r="M2057" s="81"/>
      <c r="N2057" s="81"/>
      <c r="O2057" s="81"/>
      <c r="P2057" s="81"/>
      <c r="Q2057" s="81"/>
      <c r="R2057" s="81"/>
      <c r="S2057" s="81"/>
      <c r="T2057" s="81"/>
      <c r="U2057" s="83"/>
      <c r="V2057" s="83"/>
      <c r="W2057" s="81"/>
      <c r="X2057" s="81"/>
      <c r="Y2057" s="83"/>
      <c r="Z2057" s="81"/>
      <c r="AA2057" s="81"/>
      <c r="AB2057" s="81"/>
      <c r="AC2057" s="81"/>
      <c r="AD2057" s="81"/>
      <c r="AE2057" s="83"/>
      <c r="AF2057" s="81"/>
      <c r="AG2057" s="81"/>
      <c r="AH2057" s="81"/>
      <c r="AI2057" s="81"/>
      <c r="AJ2057" s="83"/>
      <c r="AK2057" s="81"/>
      <c r="AL2057" s="81"/>
      <c r="AM2057" s="83"/>
      <c r="AN2057" s="80"/>
      <c r="AO2057" s="82" t="n">
        <f aca="false">IF(E2057="","",(AA2057&lt;&gt;"")+(AG2057&lt;&gt;"")+(AL2057&lt;&gt;""))</f>
        <v>0</v>
      </c>
      <c r="AP2057" s="82" t="str">
        <f aca="false">IF(AL2057&lt;&gt;"",AL2057,IF(AG2057&lt;&gt;"",AG2057,IF(AA2057&lt;&gt;"",AA2057,"")))</f>
        <v/>
      </c>
      <c r="AQ2057" s="84" t="str">
        <f aca="false">IF(E2057="","",IF(U2057="","À SOUDER",IF(X2057="","VT EN ATTENTE",IF(X2057="R","VT REJETÉ – À REPRENDRE",IF(AP2057="","À RADIOGRAPHIER",IF(AP2057="A","ACCEPTÉ",IF(AP2057="NX","NX – RT À REFAIRE",IF(IF(AO2057=1,AD2057,IF(AO2057=2,AI2057,""))="A","RÉPARÉ – À RADIOGRAPHIER",IF(IF(AO2057=1,AD2057,IF(AO2057=2,AI2057,""))="R","VT REJETÉ – À REPRENDRE",IF(OR(AP2057="CO",AP2057="NT"),"COUPE – À RESOUDER","À RÉPARER"))))))))))</f>
        <v>À SOUDER</v>
      </c>
      <c r="AR2057" s="82" t="str">
        <f aca="false">IF(AND(ISNUMBER(U2057),OR(AQ2057="À RADIOGRAPHIER",AQ2057="RÉPARÉ – À RADIOGRAPHIER",AQ2057="NX – RT À REFAIRE",AQ2057="À RÉPARER",AQ2057="COUPE – À RESOUDER",AQ2057="VT REJETÉ – À REPRENDRE")),MAX(0,'PROGRAMME RT'!$C$4-U2057),"")</f>
        <v/>
      </c>
      <c r="AS2057" s="82" t="n">
        <f aca="false">IF(AND(OR(AQ2057="À RADIOGRAPHIER",AQ2057="RÉPARÉ – À RADIOGRAPHIER",AQ2057="NX – RT À REFAIRE"),OR('PROGRAMME RT'!$D$5="TOUTES",B2057='PROGRAMME RT'!$D$5)),1,0)</f>
        <v>0</v>
      </c>
      <c r="AT2057" s="82" t="str">
        <f aca="false">IF(AS2057=1,SUM(AS$7:AS2057),"")</f>
        <v/>
      </c>
      <c r="AU2057" s="82" t="n">
        <f aca="false">IF(AND(OR(AA2057="R",AA2057="NX",AA2057="NT",AA2057="CO"),OR('JOINTS DE RÉPARATION'!$D$5="TOUTES",B2057='JOINTS DE RÉPARATION'!$D$5),OR('JOINTS DE RÉPARATION'!$L$4="TOUS",AQ2057&lt;&gt;"ACCEPTÉ")),1,0)</f>
        <v>0</v>
      </c>
      <c r="AV2057" s="82" t="str">
        <f aca="false">IF(AU2057=1,SUM(AU$7:AU2057),"")</f>
        <v/>
      </c>
      <c r="AW2057" s="82" t="str">
        <f aca="false">IF(E2057="","",B2057&amp;"|"&amp;E2057)</f>
        <v>MFD-ISW → MFD-CPF|JN°1573</v>
      </c>
    </row>
    <row r="2058" customFormat="false" ht="74.6" hidden="false" customHeight="false" outlineLevel="0" collapsed="false">
      <c r="A2058" s="79" t="n">
        <f aca="false">IF(E2058="","",ROW()-6)</f>
        <v>2052</v>
      </c>
      <c r="B2058" s="80" t="s">
        <v>110</v>
      </c>
      <c r="C2058" s="81" t="s">
        <v>926</v>
      </c>
      <c r="D2058" s="81" t="n">
        <v>19</v>
      </c>
      <c r="E2058" s="81" t="s">
        <v>2499</v>
      </c>
      <c r="F2058" s="82" t="str">
        <f aca="false">IF(E2058="","",IF(LEFT(E2058,2)="DJ","DJ","JN"))</f>
        <v>JN</v>
      </c>
      <c r="G2058" s="81"/>
      <c r="H2058" s="81"/>
      <c r="I2058" s="81"/>
      <c r="J2058" s="81"/>
      <c r="K2058" s="81"/>
      <c r="L2058" s="81"/>
      <c r="M2058" s="81"/>
      <c r="N2058" s="81"/>
      <c r="O2058" s="81"/>
      <c r="P2058" s="81"/>
      <c r="Q2058" s="81"/>
      <c r="R2058" s="81"/>
      <c r="S2058" s="81"/>
      <c r="T2058" s="81"/>
      <c r="U2058" s="83"/>
      <c r="V2058" s="83"/>
      <c r="W2058" s="81"/>
      <c r="X2058" s="81"/>
      <c r="Y2058" s="83"/>
      <c r="Z2058" s="81"/>
      <c r="AA2058" s="81"/>
      <c r="AB2058" s="81"/>
      <c r="AC2058" s="81"/>
      <c r="AD2058" s="81"/>
      <c r="AE2058" s="83"/>
      <c r="AF2058" s="81"/>
      <c r="AG2058" s="81"/>
      <c r="AH2058" s="81"/>
      <c r="AI2058" s="81"/>
      <c r="AJ2058" s="83"/>
      <c r="AK2058" s="81"/>
      <c r="AL2058" s="81"/>
      <c r="AM2058" s="83"/>
      <c r="AN2058" s="80"/>
      <c r="AO2058" s="82" t="n">
        <f aca="false">IF(E2058="","",(AA2058&lt;&gt;"")+(AG2058&lt;&gt;"")+(AL2058&lt;&gt;""))</f>
        <v>0</v>
      </c>
      <c r="AP2058" s="82" t="str">
        <f aca="false">IF(AL2058&lt;&gt;"",AL2058,IF(AG2058&lt;&gt;"",AG2058,IF(AA2058&lt;&gt;"",AA2058,"")))</f>
        <v/>
      </c>
      <c r="AQ2058" s="84" t="str">
        <f aca="false">IF(E2058="","",IF(U2058="","À SOUDER",IF(X2058="","VT EN ATTENTE",IF(X2058="R","VT REJETÉ – À REPRENDRE",IF(AP2058="","À RADIOGRAPHIER",IF(AP2058="A","ACCEPTÉ",IF(AP2058="NX","NX – RT À REFAIRE",IF(IF(AO2058=1,AD2058,IF(AO2058=2,AI2058,""))="A","RÉPARÉ – À RADIOGRAPHIER",IF(IF(AO2058=1,AD2058,IF(AO2058=2,AI2058,""))="R","VT REJETÉ – À REPRENDRE",IF(OR(AP2058="CO",AP2058="NT"),"COUPE – À RESOUDER","À RÉPARER"))))))))))</f>
        <v>À SOUDER</v>
      </c>
      <c r="AR2058" s="82" t="str">
        <f aca="false">IF(AND(ISNUMBER(U2058),OR(AQ2058="À RADIOGRAPHIER",AQ2058="RÉPARÉ – À RADIOGRAPHIER",AQ2058="NX – RT À REFAIRE",AQ2058="À RÉPARER",AQ2058="COUPE – À RESOUDER",AQ2058="VT REJETÉ – À REPRENDRE")),MAX(0,'PROGRAMME RT'!$C$4-U2058),"")</f>
        <v/>
      </c>
      <c r="AS2058" s="82" t="n">
        <f aca="false">IF(AND(OR(AQ2058="À RADIOGRAPHIER",AQ2058="RÉPARÉ – À RADIOGRAPHIER",AQ2058="NX – RT À REFAIRE"),OR('PROGRAMME RT'!$D$5="TOUTES",B2058='PROGRAMME RT'!$D$5)),1,0)</f>
        <v>0</v>
      </c>
      <c r="AT2058" s="82" t="str">
        <f aca="false">IF(AS2058=1,SUM(AS$7:AS2058),"")</f>
        <v/>
      </c>
      <c r="AU2058" s="82" t="n">
        <f aca="false">IF(AND(OR(AA2058="R",AA2058="NX",AA2058="NT",AA2058="CO"),OR('JOINTS DE RÉPARATION'!$D$5="TOUTES",B2058='JOINTS DE RÉPARATION'!$D$5),OR('JOINTS DE RÉPARATION'!$L$4="TOUS",AQ2058&lt;&gt;"ACCEPTÉ")),1,0)</f>
        <v>0</v>
      </c>
      <c r="AV2058" s="82" t="str">
        <f aca="false">IF(AU2058=1,SUM(AU$7:AU2058),"")</f>
        <v/>
      </c>
      <c r="AW2058" s="82" t="str">
        <f aca="false">IF(E2058="","",B2058&amp;"|"&amp;E2058)</f>
        <v>MFD-ISW → MFD-CPF|JN°1574</v>
      </c>
    </row>
    <row r="2059" customFormat="false" ht="74.6" hidden="false" customHeight="false" outlineLevel="0" collapsed="false">
      <c r="A2059" s="79" t="n">
        <f aca="false">IF(E2059="","",ROW()-6)</f>
        <v>2053</v>
      </c>
      <c r="B2059" s="80" t="s">
        <v>110</v>
      </c>
      <c r="C2059" s="81" t="s">
        <v>926</v>
      </c>
      <c r="D2059" s="81" t="n">
        <v>19</v>
      </c>
      <c r="E2059" s="81" t="s">
        <v>2500</v>
      </c>
      <c r="F2059" s="82" t="str">
        <f aca="false">IF(E2059="","",IF(LEFT(E2059,2)="DJ","DJ","JN"))</f>
        <v>JN</v>
      </c>
      <c r="G2059" s="81"/>
      <c r="H2059" s="81"/>
      <c r="I2059" s="81"/>
      <c r="J2059" s="81"/>
      <c r="K2059" s="81"/>
      <c r="L2059" s="81"/>
      <c r="M2059" s="81"/>
      <c r="N2059" s="81"/>
      <c r="O2059" s="81"/>
      <c r="P2059" s="81"/>
      <c r="Q2059" s="81"/>
      <c r="R2059" s="81"/>
      <c r="S2059" s="81"/>
      <c r="T2059" s="81"/>
      <c r="U2059" s="83"/>
      <c r="V2059" s="83"/>
      <c r="W2059" s="81"/>
      <c r="X2059" s="81"/>
      <c r="Y2059" s="83"/>
      <c r="Z2059" s="81"/>
      <c r="AA2059" s="81"/>
      <c r="AB2059" s="81"/>
      <c r="AC2059" s="81"/>
      <c r="AD2059" s="81"/>
      <c r="AE2059" s="83"/>
      <c r="AF2059" s="81"/>
      <c r="AG2059" s="81"/>
      <c r="AH2059" s="81"/>
      <c r="AI2059" s="81"/>
      <c r="AJ2059" s="83"/>
      <c r="AK2059" s="81"/>
      <c r="AL2059" s="81"/>
      <c r="AM2059" s="83"/>
      <c r="AN2059" s="80"/>
      <c r="AO2059" s="82" t="n">
        <f aca="false">IF(E2059="","",(AA2059&lt;&gt;"")+(AG2059&lt;&gt;"")+(AL2059&lt;&gt;""))</f>
        <v>0</v>
      </c>
      <c r="AP2059" s="82" t="str">
        <f aca="false">IF(AL2059&lt;&gt;"",AL2059,IF(AG2059&lt;&gt;"",AG2059,IF(AA2059&lt;&gt;"",AA2059,"")))</f>
        <v/>
      </c>
      <c r="AQ2059" s="84" t="str">
        <f aca="false">IF(E2059="","",IF(U2059="","À SOUDER",IF(X2059="","VT EN ATTENTE",IF(X2059="R","VT REJETÉ – À REPRENDRE",IF(AP2059="","À RADIOGRAPHIER",IF(AP2059="A","ACCEPTÉ",IF(AP2059="NX","NX – RT À REFAIRE",IF(IF(AO2059=1,AD2059,IF(AO2059=2,AI2059,""))="A","RÉPARÉ – À RADIOGRAPHIER",IF(IF(AO2059=1,AD2059,IF(AO2059=2,AI2059,""))="R","VT REJETÉ – À REPRENDRE",IF(OR(AP2059="CO",AP2059="NT"),"COUPE – À RESOUDER","À RÉPARER"))))))))))</f>
        <v>À SOUDER</v>
      </c>
      <c r="AR2059" s="82" t="str">
        <f aca="false">IF(AND(ISNUMBER(U2059),OR(AQ2059="À RADIOGRAPHIER",AQ2059="RÉPARÉ – À RADIOGRAPHIER",AQ2059="NX – RT À REFAIRE",AQ2059="À RÉPARER",AQ2059="COUPE – À RESOUDER",AQ2059="VT REJETÉ – À REPRENDRE")),MAX(0,'PROGRAMME RT'!$C$4-U2059),"")</f>
        <v/>
      </c>
      <c r="AS2059" s="82" t="n">
        <f aca="false">IF(AND(OR(AQ2059="À RADIOGRAPHIER",AQ2059="RÉPARÉ – À RADIOGRAPHIER",AQ2059="NX – RT À REFAIRE"),OR('PROGRAMME RT'!$D$5="TOUTES",B2059='PROGRAMME RT'!$D$5)),1,0)</f>
        <v>0</v>
      </c>
      <c r="AT2059" s="82" t="str">
        <f aca="false">IF(AS2059=1,SUM(AS$7:AS2059),"")</f>
        <v/>
      </c>
      <c r="AU2059" s="82" t="n">
        <f aca="false">IF(AND(OR(AA2059="R",AA2059="NX",AA2059="NT",AA2059="CO"),OR('JOINTS DE RÉPARATION'!$D$5="TOUTES",B2059='JOINTS DE RÉPARATION'!$D$5),OR('JOINTS DE RÉPARATION'!$L$4="TOUS",AQ2059&lt;&gt;"ACCEPTÉ")),1,0)</f>
        <v>0</v>
      </c>
      <c r="AV2059" s="82" t="str">
        <f aca="false">IF(AU2059=1,SUM(AU$7:AU2059),"")</f>
        <v/>
      </c>
      <c r="AW2059" s="82" t="str">
        <f aca="false">IF(E2059="","",B2059&amp;"|"&amp;E2059)</f>
        <v>MFD-ISW → MFD-CPF|JN°1575</v>
      </c>
    </row>
    <row r="2060" customFormat="false" ht="74.6" hidden="false" customHeight="false" outlineLevel="0" collapsed="false">
      <c r="A2060" s="79" t="n">
        <f aca="false">IF(E2060="","",ROW()-6)</f>
        <v>2054</v>
      </c>
      <c r="B2060" s="80" t="s">
        <v>110</v>
      </c>
      <c r="C2060" s="81" t="s">
        <v>926</v>
      </c>
      <c r="D2060" s="81" t="n">
        <v>19</v>
      </c>
      <c r="E2060" s="81" t="s">
        <v>2501</v>
      </c>
      <c r="F2060" s="82" t="str">
        <f aca="false">IF(E2060="","",IF(LEFT(E2060,2)="DJ","DJ","JN"))</f>
        <v>JN</v>
      </c>
      <c r="G2060" s="81"/>
      <c r="H2060" s="81"/>
      <c r="I2060" s="81"/>
      <c r="J2060" s="81"/>
      <c r="K2060" s="81"/>
      <c r="L2060" s="81"/>
      <c r="M2060" s="81"/>
      <c r="N2060" s="81"/>
      <c r="O2060" s="81"/>
      <c r="P2060" s="81"/>
      <c r="Q2060" s="81"/>
      <c r="R2060" s="81"/>
      <c r="S2060" s="81"/>
      <c r="T2060" s="81"/>
      <c r="U2060" s="83"/>
      <c r="V2060" s="83"/>
      <c r="W2060" s="81"/>
      <c r="X2060" s="81"/>
      <c r="Y2060" s="83"/>
      <c r="Z2060" s="81"/>
      <c r="AA2060" s="81"/>
      <c r="AB2060" s="81"/>
      <c r="AC2060" s="81"/>
      <c r="AD2060" s="81"/>
      <c r="AE2060" s="83"/>
      <c r="AF2060" s="81"/>
      <c r="AG2060" s="81"/>
      <c r="AH2060" s="81"/>
      <c r="AI2060" s="81"/>
      <c r="AJ2060" s="83"/>
      <c r="AK2060" s="81"/>
      <c r="AL2060" s="81"/>
      <c r="AM2060" s="83"/>
      <c r="AN2060" s="80"/>
      <c r="AO2060" s="82" t="n">
        <f aca="false">IF(E2060="","",(AA2060&lt;&gt;"")+(AG2060&lt;&gt;"")+(AL2060&lt;&gt;""))</f>
        <v>0</v>
      </c>
      <c r="AP2060" s="82" t="str">
        <f aca="false">IF(AL2060&lt;&gt;"",AL2060,IF(AG2060&lt;&gt;"",AG2060,IF(AA2060&lt;&gt;"",AA2060,"")))</f>
        <v/>
      </c>
      <c r="AQ2060" s="84" t="str">
        <f aca="false">IF(E2060="","",IF(U2060="","À SOUDER",IF(X2060="","VT EN ATTENTE",IF(X2060="R","VT REJETÉ – À REPRENDRE",IF(AP2060="","À RADIOGRAPHIER",IF(AP2060="A","ACCEPTÉ",IF(AP2060="NX","NX – RT À REFAIRE",IF(IF(AO2060=1,AD2060,IF(AO2060=2,AI2060,""))="A","RÉPARÉ – À RADIOGRAPHIER",IF(IF(AO2060=1,AD2060,IF(AO2060=2,AI2060,""))="R","VT REJETÉ – À REPRENDRE",IF(OR(AP2060="CO",AP2060="NT"),"COUPE – À RESOUDER","À RÉPARER"))))))))))</f>
        <v>À SOUDER</v>
      </c>
      <c r="AR2060" s="82" t="str">
        <f aca="false">IF(AND(ISNUMBER(U2060),OR(AQ2060="À RADIOGRAPHIER",AQ2060="RÉPARÉ – À RADIOGRAPHIER",AQ2060="NX – RT À REFAIRE",AQ2060="À RÉPARER",AQ2060="COUPE – À RESOUDER",AQ2060="VT REJETÉ – À REPRENDRE")),MAX(0,'PROGRAMME RT'!$C$4-U2060),"")</f>
        <v/>
      </c>
      <c r="AS2060" s="82" t="n">
        <f aca="false">IF(AND(OR(AQ2060="À RADIOGRAPHIER",AQ2060="RÉPARÉ – À RADIOGRAPHIER",AQ2060="NX – RT À REFAIRE"),OR('PROGRAMME RT'!$D$5="TOUTES",B2060='PROGRAMME RT'!$D$5)),1,0)</f>
        <v>0</v>
      </c>
      <c r="AT2060" s="82" t="str">
        <f aca="false">IF(AS2060=1,SUM(AS$7:AS2060),"")</f>
        <v/>
      </c>
      <c r="AU2060" s="82" t="n">
        <f aca="false">IF(AND(OR(AA2060="R",AA2060="NX",AA2060="NT",AA2060="CO"),OR('JOINTS DE RÉPARATION'!$D$5="TOUTES",B2060='JOINTS DE RÉPARATION'!$D$5),OR('JOINTS DE RÉPARATION'!$L$4="TOUS",AQ2060&lt;&gt;"ACCEPTÉ")),1,0)</f>
        <v>0</v>
      </c>
      <c r="AV2060" s="82" t="str">
        <f aca="false">IF(AU2060=1,SUM(AU$7:AU2060),"")</f>
        <v/>
      </c>
      <c r="AW2060" s="82" t="str">
        <f aca="false">IF(E2060="","",B2060&amp;"|"&amp;E2060)</f>
        <v>MFD-ISW → MFD-CPF|JN°1576</v>
      </c>
    </row>
    <row r="2061" customFormat="false" ht="74.6" hidden="false" customHeight="false" outlineLevel="0" collapsed="false">
      <c r="A2061" s="79" t="n">
        <f aca="false">IF(E2061="","",ROW()-6)</f>
        <v>2055</v>
      </c>
      <c r="B2061" s="80" t="s">
        <v>110</v>
      </c>
      <c r="C2061" s="81" t="s">
        <v>926</v>
      </c>
      <c r="D2061" s="81" t="n">
        <v>19</v>
      </c>
      <c r="E2061" s="81" t="s">
        <v>2502</v>
      </c>
      <c r="F2061" s="82" t="str">
        <f aca="false">IF(E2061="","",IF(LEFT(E2061,2)="DJ","DJ","JN"))</f>
        <v>JN</v>
      </c>
      <c r="G2061" s="81"/>
      <c r="H2061" s="81"/>
      <c r="I2061" s="81"/>
      <c r="J2061" s="81"/>
      <c r="K2061" s="81"/>
      <c r="L2061" s="81"/>
      <c r="M2061" s="81"/>
      <c r="N2061" s="81"/>
      <c r="O2061" s="81"/>
      <c r="P2061" s="81"/>
      <c r="Q2061" s="81"/>
      <c r="R2061" s="81"/>
      <c r="S2061" s="81"/>
      <c r="T2061" s="81"/>
      <c r="U2061" s="83"/>
      <c r="V2061" s="83"/>
      <c r="W2061" s="81"/>
      <c r="X2061" s="81"/>
      <c r="Y2061" s="83"/>
      <c r="Z2061" s="81"/>
      <c r="AA2061" s="81"/>
      <c r="AB2061" s="81"/>
      <c r="AC2061" s="81"/>
      <c r="AD2061" s="81"/>
      <c r="AE2061" s="83"/>
      <c r="AF2061" s="81"/>
      <c r="AG2061" s="81"/>
      <c r="AH2061" s="81"/>
      <c r="AI2061" s="81"/>
      <c r="AJ2061" s="83"/>
      <c r="AK2061" s="81"/>
      <c r="AL2061" s="81"/>
      <c r="AM2061" s="83"/>
      <c r="AN2061" s="80"/>
      <c r="AO2061" s="82" t="n">
        <f aca="false">IF(E2061="","",(AA2061&lt;&gt;"")+(AG2061&lt;&gt;"")+(AL2061&lt;&gt;""))</f>
        <v>0</v>
      </c>
      <c r="AP2061" s="82" t="str">
        <f aca="false">IF(AL2061&lt;&gt;"",AL2061,IF(AG2061&lt;&gt;"",AG2061,IF(AA2061&lt;&gt;"",AA2061,"")))</f>
        <v/>
      </c>
      <c r="AQ2061" s="84" t="str">
        <f aca="false">IF(E2061="","",IF(U2061="","À SOUDER",IF(X2061="","VT EN ATTENTE",IF(X2061="R","VT REJETÉ – À REPRENDRE",IF(AP2061="","À RADIOGRAPHIER",IF(AP2061="A","ACCEPTÉ",IF(AP2061="NX","NX – RT À REFAIRE",IF(IF(AO2061=1,AD2061,IF(AO2061=2,AI2061,""))="A","RÉPARÉ – À RADIOGRAPHIER",IF(IF(AO2061=1,AD2061,IF(AO2061=2,AI2061,""))="R","VT REJETÉ – À REPRENDRE",IF(OR(AP2061="CO",AP2061="NT"),"COUPE – À RESOUDER","À RÉPARER"))))))))))</f>
        <v>À SOUDER</v>
      </c>
      <c r="AR2061" s="82" t="str">
        <f aca="false">IF(AND(ISNUMBER(U2061),OR(AQ2061="À RADIOGRAPHIER",AQ2061="RÉPARÉ – À RADIOGRAPHIER",AQ2061="NX – RT À REFAIRE",AQ2061="À RÉPARER",AQ2061="COUPE – À RESOUDER",AQ2061="VT REJETÉ – À REPRENDRE")),MAX(0,'PROGRAMME RT'!$C$4-U2061),"")</f>
        <v/>
      </c>
      <c r="AS2061" s="82" t="n">
        <f aca="false">IF(AND(OR(AQ2061="À RADIOGRAPHIER",AQ2061="RÉPARÉ – À RADIOGRAPHIER",AQ2061="NX – RT À REFAIRE"),OR('PROGRAMME RT'!$D$5="TOUTES",B2061='PROGRAMME RT'!$D$5)),1,0)</f>
        <v>0</v>
      </c>
      <c r="AT2061" s="82" t="str">
        <f aca="false">IF(AS2061=1,SUM(AS$7:AS2061),"")</f>
        <v/>
      </c>
      <c r="AU2061" s="82" t="n">
        <f aca="false">IF(AND(OR(AA2061="R",AA2061="NX",AA2061="NT",AA2061="CO"),OR('JOINTS DE RÉPARATION'!$D$5="TOUTES",B2061='JOINTS DE RÉPARATION'!$D$5),OR('JOINTS DE RÉPARATION'!$L$4="TOUS",AQ2061&lt;&gt;"ACCEPTÉ")),1,0)</f>
        <v>0</v>
      </c>
      <c r="AV2061" s="82" t="str">
        <f aca="false">IF(AU2061=1,SUM(AU$7:AU2061),"")</f>
        <v/>
      </c>
      <c r="AW2061" s="82" t="str">
        <f aca="false">IF(E2061="","",B2061&amp;"|"&amp;E2061)</f>
        <v>MFD-ISW → MFD-CPF|JN°1577</v>
      </c>
    </row>
    <row r="2062" customFormat="false" ht="74.6" hidden="false" customHeight="false" outlineLevel="0" collapsed="false">
      <c r="A2062" s="79" t="n">
        <f aca="false">IF(E2062="","",ROW()-6)</f>
        <v>2056</v>
      </c>
      <c r="B2062" s="80" t="s">
        <v>110</v>
      </c>
      <c r="C2062" s="81" t="s">
        <v>926</v>
      </c>
      <c r="D2062" s="81" t="n">
        <v>19</v>
      </c>
      <c r="E2062" s="81" t="s">
        <v>2503</v>
      </c>
      <c r="F2062" s="82" t="str">
        <f aca="false">IF(E2062="","",IF(LEFT(E2062,2)="DJ","DJ","JN"))</f>
        <v>JN</v>
      </c>
      <c r="G2062" s="81"/>
      <c r="H2062" s="81"/>
      <c r="I2062" s="81"/>
      <c r="J2062" s="81"/>
      <c r="K2062" s="81"/>
      <c r="L2062" s="81"/>
      <c r="M2062" s="81"/>
      <c r="N2062" s="81"/>
      <c r="O2062" s="81"/>
      <c r="P2062" s="81"/>
      <c r="Q2062" s="81"/>
      <c r="R2062" s="81"/>
      <c r="S2062" s="81"/>
      <c r="T2062" s="81"/>
      <c r="U2062" s="83"/>
      <c r="V2062" s="83"/>
      <c r="W2062" s="81"/>
      <c r="X2062" s="81"/>
      <c r="Y2062" s="83"/>
      <c r="Z2062" s="81"/>
      <c r="AA2062" s="81"/>
      <c r="AB2062" s="81"/>
      <c r="AC2062" s="81"/>
      <c r="AD2062" s="81"/>
      <c r="AE2062" s="83"/>
      <c r="AF2062" s="81"/>
      <c r="AG2062" s="81"/>
      <c r="AH2062" s="81"/>
      <c r="AI2062" s="81"/>
      <c r="AJ2062" s="83"/>
      <c r="AK2062" s="81"/>
      <c r="AL2062" s="81"/>
      <c r="AM2062" s="83"/>
      <c r="AN2062" s="80"/>
      <c r="AO2062" s="82" t="n">
        <f aca="false">IF(E2062="","",(AA2062&lt;&gt;"")+(AG2062&lt;&gt;"")+(AL2062&lt;&gt;""))</f>
        <v>0</v>
      </c>
      <c r="AP2062" s="82" t="str">
        <f aca="false">IF(AL2062&lt;&gt;"",AL2062,IF(AG2062&lt;&gt;"",AG2062,IF(AA2062&lt;&gt;"",AA2062,"")))</f>
        <v/>
      </c>
      <c r="AQ2062" s="84" t="str">
        <f aca="false">IF(E2062="","",IF(U2062="","À SOUDER",IF(X2062="","VT EN ATTENTE",IF(X2062="R","VT REJETÉ – À REPRENDRE",IF(AP2062="","À RADIOGRAPHIER",IF(AP2062="A","ACCEPTÉ",IF(AP2062="NX","NX – RT À REFAIRE",IF(IF(AO2062=1,AD2062,IF(AO2062=2,AI2062,""))="A","RÉPARÉ – À RADIOGRAPHIER",IF(IF(AO2062=1,AD2062,IF(AO2062=2,AI2062,""))="R","VT REJETÉ – À REPRENDRE",IF(OR(AP2062="CO",AP2062="NT"),"COUPE – À RESOUDER","À RÉPARER"))))))))))</f>
        <v>À SOUDER</v>
      </c>
      <c r="AR2062" s="82" t="str">
        <f aca="false">IF(AND(ISNUMBER(U2062),OR(AQ2062="À RADIOGRAPHIER",AQ2062="RÉPARÉ – À RADIOGRAPHIER",AQ2062="NX – RT À REFAIRE",AQ2062="À RÉPARER",AQ2062="COUPE – À RESOUDER",AQ2062="VT REJETÉ – À REPRENDRE")),MAX(0,'PROGRAMME RT'!$C$4-U2062),"")</f>
        <v/>
      </c>
      <c r="AS2062" s="82" t="n">
        <f aca="false">IF(AND(OR(AQ2062="À RADIOGRAPHIER",AQ2062="RÉPARÉ – À RADIOGRAPHIER",AQ2062="NX – RT À REFAIRE"),OR('PROGRAMME RT'!$D$5="TOUTES",B2062='PROGRAMME RT'!$D$5)),1,0)</f>
        <v>0</v>
      </c>
      <c r="AT2062" s="82" t="str">
        <f aca="false">IF(AS2062=1,SUM(AS$7:AS2062),"")</f>
        <v/>
      </c>
      <c r="AU2062" s="82" t="n">
        <f aca="false">IF(AND(OR(AA2062="R",AA2062="NX",AA2062="NT",AA2062="CO"),OR('JOINTS DE RÉPARATION'!$D$5="TOUTES",B2062='JOINTS DE RÉPARATION'!$D$5),OR('JOINTS DE RÉPARATION'!$L$4="TOUS",AQ2062&lt;&gt;"ACCEPTÉ")),1,0)</f>
        <v>0</v>
      </c>
      <c r="AV2062" s="82" t="str">
        <f aca="false">IF(AU2062=1,SUM(AU$7:AU2062),"")</f>
        <v/>
      </c>
      <c r="AW2062" s="82" t="str">
        <f aca="false">IF(E2062="","",B2062&amp;"|"&amp;E2062)</f>
        <v>MFD-ISW → MFD-CPF|JN°1578</v>
      </c>
    </row>
    <row r="2063" customFormat="false" ht="74.6" hidden="false" customHeight="false" outlineLevel="0" collapsed="false">
      <c r="A2063" s="79" t="n">
        <f aca="false">IF(E2063="","",ROW()-6)</f>
        <v>2057</v>
      </c>
      <c r="B2063" s="80" t="s">
        <v>110</v>
      </c>
      <c r="C2063" s="81" t="s">
        <v>926</v>
      </c>
      <c r="D2063" s="81" t="n">
        <v>19</v>
      </c>
      <c r="E2063" s="81" t="s">
        <v>2504</v>
      </c>
      <c r="F2063" s="82" t="str">
        <f aca="false">IF(E2063="","",IF(LEFT(E2063,2)="DJ","DJ","JN"))</f>
        <v>JN</v>
      </c>
      <c r="G2063" s="81"/>
      <c r="H2063" s="81"/>
      <c r="I2063" s="81"/>
      <c r="J2063" s="81"/>
      <c r="K2063" s="81"/>
      <c r="L2063" s="81"/>
      <c r="M2063" s="81"/>
      <c r="N2063" s="81"/>
      <c r="O2063" s="81"/>
      <c r="P2063" s="81"/>
      <c r="Q2063" s="81"/>
      <c r="R2063" s="81"/>
      <c r="S2063" s="81"/>
      <c r="T2063" s="81"/>
      <c r="U2063" s="83"/>
      <c r="V2063" s="83"/>
      <c r="W2063" s="81"/>
      <c r="X2063" s="81"/>
      <c r="Y2063" s="83"/>
      <c r="Z2063" s="81"/>
      <c r="AA2063" s="81"/>
      <c r="AB2063" s="81"/>
      <c r="AC2063" s="81"/>
      <c r="AD2063" s="81"/>
      <c r="AE2063" s="83"/>
      <c r="AF2063" s="81"/>
      <c r="AG2063" s="81"/>
      <c r="AH2063" s="81"/>
      <c r="AI2063" s="81"/>
      <c r="AJ2063" s="83"/>
      <c r="AK2063" s="81"/>
      <c r="AL2063" s="81"/>
      <c r="AM2063" s="83"/>
      <c r="AN2063" s="80"/>
      <c r="AO2063" s="82" t="n">
        <f aca="false">IF(E2063="","",(AA2063&lt;&gt;"")+(AG2063&lt;&gt;"")+(AL2063&lt;&gt;""))</f>
        <v>0</v>
      </c>
      <c r="AP2063" s="82" t="str">
        <f aca="false">IF(AL2063&lt;&gt;"",AL2063,IF(AG2063&lt;&gt;"",AG2063,IF(AA2063&lt;&gt;"",AA2063,"")))</f>
        <v/>
      </c>
      <c r="AQ2063" s="84" t="str">
        <f aca="false">IF(E2063="","",IF(U2063="","À SOUDER",IF(X2063="","VT EN ATTENTE",IF(X2063="R","VT REJETÉ – À REPRENDRE",IF(AP2063="","À RADIOGRAPHIER",IF(AP2063="A","ACCEPTÉ",IF(AP2063="NX","NX – RT À REFAIRE",IF(IF(AO2063=1,AD2063,IF(AO2063=2,AI2063,""))="A","RÉPARÉ – À RADIOGRAPHIER",IF(IF(AO2063=1,AD2063,IF(AO2063=2,AI2063,""))="R","VT REJETÉ – À REPRENDRE",IF(OR(AP2063="CO",AP2063="NT"),"COUPE – À RESOUDER","À RÉPARER"))))))))))</f>
        <v>À SOUDER</v>
      </c>
      <c r="AR2063" s="82" t="str">
        <f aca="false">IF(AND(ISNUMBER(U2063),OR(AQ2063="À RADIOGRAPHIER",AQ2063="RÉPARÉ – À RADIOGRAPHIER",AQ2063="NX – RT À REFAIRE",AQ2063="À RÉPARER",AQ2063="COUPE – À RESOUDER",AQ2063="VT REJETÉ – À REPRENDRE")),MAX(0,'PROGRAMME RT'!$C$4-U2063),"")</f>
        <v/>
      </c>
      <c r="AS2063" s="82" t="n">
        <f aca="false">IF(AND(OR(AQ2063="À RADIOGRAPHIER",AQ2063="RÉPARÉ – À RADIOGRAPHIER",AQ2063="NX – RT À REFAIRE"),OR('PROGRAMME RT'!$D$5="TOUTES",B2063='PROGRAMME RT'!$D$5)),1,0)</f>
        <v>0</v>
      </c>
      <c r="AT2063" s="82" t="str">
        <f aca="false">IF(AS2063=1,SUM(AS$7:AS2063),"")</f>
        <v/>
      </c>
      <c r="AU2063" s="82" t="n">
        <f aca="false">IF(AND(OR(AA2063="R",AA2063="NX",AA2063="NT",AA2063="CO"),OR('JOINTS DE RÉPARATION'!$D$5="TOUTES",B2063='JOINTS DE RÉPARATION'!$D$5),OR('JOINTS DE RÉPARATION'!$L$4="TOUS",AQ2063&lt;&gt;"ACCEPTÉ")),1,0)</f>
        <v>0</v>
      </c>
      <c r="AV2063" s="82" t="str">
        <f aca="false">IF(AU2063=1,SUM(AU$7:AU2063),"")</f>
        <v/>
      </c>
      <c r="AW2063" s="82" t="str">
        <f aca="false">IF(E2063="","",B2063&amp;"|"&amp;E2063)</f>
        <v>MFD-ISW → MFD-CPF|JN°1579</v>
      </c>
    </row>
    <row r="2064" customFormat="false" ht="74.6" hidden="false" customHeight="false" outlineLevel="0" collapsed="false">
      <c r="A2064" s="79" t="n">
        <f aca="false">IF(E2064="","",ROW()-6)</f>
        <v>2058</v>
      </c>
      <c r="B2064" s="80" t="s">
        <v>110</v>
      </c>
      <c r="C2064" s="81" t="s">
        <v>926</v>
      </c>
      <c r="D2064" s="81" t="n">
        <v>19</v>
      </c>
      <c r="E2064" s="81" t="s">
        <v>2505</v>
      </c>
      <c r="F2064" s="82" t="str">
        <f aca="false">IF(E2064="","",IF(LEFT(E2064,2)="DJ","DJ","JN"))</f>
        <v>JN</v>
      </c>
      <c r="G2064" s="81"/>
      <c r="H2064" s="81"/>
      <c r="I2064" s="81"/>
      <c r="J2064" s="81"/>
      <c r="K2064" s="81"/>
      <c r="L2064" s="81"/>
      <c r="M2064" s="81"/>
      <c r="N2064" s="81"/>
      <c r="O2064" s="81"/>
      <c r="P2064" s="81"/>
      <c r="Q2064" s="81"/>
      <c r="R2064" s="81"/>
      <c r="S2064" s="81"/>
      <c r="T2064" s="81"/>
      <c r="U2064" s="83"/>
      <c r="V2064" s="83"/>
      <c r="W2064" s="81"/>
      <c r="X2064" s="81"/>
      <c r="Y2064" s="83"/>
      <c r="Z2064" s="81"/>
      <c r="AA2064" s="81"/>
      <c r="AB2064" s="81"/>
      <c r="AC2064" s="81"/>
      <c r="AD2064" s="81"/>
      <c r="AE2064" s="83"/>
      <c r="AF2064" s="81"/>
      <c r="AG2064" s="81"/>
      <c r="AH2064" s="81"/>
      <c r="AI2064" s="81"/>
      <c r="AJ2064" s="83"/>
      <c r="AK2064" s="81"/>
      <c r="AL2064" s="81"/>
      <c r="AM2064" s="83"/>
      <c r="AN2064" s="80"/>
      <c r="AO2064" s="82" t="n">
        <f aca="false">IF(E2064="","",(AA2064&lt;&gt;"")+(AG2064&lt;&gt;"")+(AL2064&lt;&gt;""))</f>
        <v>0</v>
      </c>
      <c r="AP2064" s="82" t="str">
        <f aca="false">IF(AL2064&lt;&gt;"",AL2064,IF(AG2064&lt;&gt;"",AG2064,IF(AA2064&lt;&gt;"",AA2064,"")))</f>
        <v/>
      </c>
      <c r="AQ2064" s="84" t="str">
        <f aca="false">IF(E2064="","",IF(U2064="","À SOUDER",IF(X2064="","VT EN ATTENTE",IF(X2064="R","VT REJETÉ – À REPRENDRE",IF(AP2064="","À RADIOGRAPHIER",IF(AP2064="A","ACCEPTÉ",IF(AP2064="NX","NX – RT À REFAIRE",IF(IF(AO2064=1,AD2064,IF(AO2064=2,AI2064,""))="A","RÉPARÉ – À RADIOGRAPHIER",IF(IF(AO2064=1,AD2064,IF(AO2064=2,AI2064,""))="R","VT REJETÉ – À REPRENDRE",IF(OR(AP2064="CO",AP2064="NT"),"COUPE – À RESOUDER","À RÉPARER"))))))))))</f>
        <v>À SOUDER</v>
      </c>
      <c r="AR2064" s="82" t="str">
        <f aca="false">IF(AND(ISNUMBER(U2064),OR(AQ2064="À RADIOGRAPHIER",AQ2064="RÉPARÉ – À RADIOGRAPHIER",AQ2064="NX – RT À REFAIRE",AQ2064="À RÉPARER",AQ2064="COUPE – À RESOUDER",AQ2064="VT REJETÉ – À REPRENDRE")),MAX(0,'PROGRAMME RT'!$C$4-U2064),"")</f>
        <v/>
      </c>
      <c r="AS2064" s="82" t="n">
        <f aca="false">IF(AND(OR(AQ2064="À RADIOGRAPHIER",AQ2064="RÉPARÉ – À RADIOGRAPHIER",AQ2064="NX – RT À REFAIRE"),OR('PROGRAMME RT'!$D$5="TOUTES",B2064='PROGRAMME RT'!$D$5)),1,0)</f>
        <v>0</v>
      </c>
      <c r="AT2064" s="82" t="str">
        <f aca="false">IF(AS2064=1,SUM(AS$7:AS2064),"")</f>
        <v/>
      </c>
      <c r="AU2064" s="82" t="n">
        <f aca="false">IF(AND(OR(AA2064="R",AA2064="NX",AA2064="NT",AA2064="CO"),OR('JOINTS DE RÉPARATION'!$D$5="TOUTES",B2064='JOINTS DE RÉPARATION'!$D$5),OR('JOINTS DE RÉPARATION'!$L$4="TOUS",AQ2064&lt;&gt;"ACCEPTÉ")),1,0)</f>
        <v>0</v>
      </c>
      <c r="AV2064" s="82" t="str">
        <f aca="false">IF(AU2064=1,SUM(AU$7:AU2064),"")</f>
        <v/>
      </c>
      <c r="AW2064" s="82" t="str">
        <f aca="false">IF(E2064="","",B2064&amp;"|"&amp;E2064)</f>
        <v>MFD-ISW → MFD-CPF|JN°1580</v>
      </c>
    </row>
    <row r="2065" customFormat="false" ht="74.6" hidden="false" customHeight="false" outlineLevel="0" collapsed="false">
      <c r="A2065" s="79" t="n">
        <f aca="false">IF(E2065="","",ROW()-6)</f>
        <v>2059</v>
      </c>
      <c r="B2065" s="80" t="s">
        <v>110</v>
      </c>
      <c r="C2065" s="81" t="s">
        <v>926</v>
      </c>
      <c r="D2065" s="81" t="n">
        <v>19</v>
      </c>
      <c r="E2065" s="81" t="s">
        <v>2506</v>
      </c>
      <c r="F2065" s="82" t="str">
        <f aca="false">IF(E2065="","",IF(LEFT(E2065,2)="DJ","DJ","JN"))</f>
        <v>JN</v>
      </c>
      <c r="G2065" s="81"/>
      <c r="H2065" s="81"/>
      <c r="I2065" s="81"/>
      <c r="J2065" s="81"/>
      <c r="K2065" s="81"/>
      <c r="L2065" s="81"/>
      <c r="M2065" s="81"/>
      <c r="N2065" s="81"/>
      <c r="O2065" s="81"/>
      <c r="P2065" s="81"/>
      <c r="Q2065" s="81"/>
      <c r="R2065" s="81"/>
      <c r="S2065" s="81"/>
      <c r="T2065" s="81"/>
      <c r="U2065" s="83"/>
      <c r="V2065" s="83"/>
      <c r="W2065" s="81"/>
      <c r="X2065" s="81"/>
      <c r="Y2065" s="83"/>
      <c r="Z2065" s="81"/>
      <c r="AA2065" s="81"/>
      <c r="AB2065" s="81"/>
      <c r="AC2065" s="81"/>
      <c r="AD2065" s="81"/>
      <c r="AE2065" s="83"/>
      <c r="AF2065" s="81"/>
      <c r="AG2065" s="81"/>
      <c r="AH2065" s="81"/>
      <c r="AI2065" s="81"/>
      <c r="AJ2065" s="83"/>
      <c r="AK2065" s="81"/>
      <c r="AL2065" s="81"/>
      <c r="AM2065" s="83"/>
      <c r="AN2065" s="80"/>
      <c r="AO2065" s="82" t="n">
        <f aca="false">IF(E2065="","",(AA2065&lt;&gt;"")+(AG2065&lt;&gt;"")+(AL2065&lt;&gt;""))</f>
        <v>0</v>
      </c>
      <c r="AP2065" s="82" t="str">
        <f aca="false">IF(AL2065&lt;&gt;"",AL2065,IF(AG2065&lt;&gt;"",AG2065,IF(AA2065&lt;&gt;"",AA2065,"")))</f>
        <v/>
      </c>
      <c r="AQ2065" s="84" t="str">
        <f aca="false">IF(E2065="","",IF(U2065="","À SOUDER",IF(X2065="","VT EN ATTENTE",IF(X2065="R","VT REJETÉ – À REPRENDRE",IF(AP2065="","À RADIOGRAPHIER",IF(AP2065="A","ACCEPTÉ",IF(AP2065="NX","NX – RT À REFAIRE",IF(IF(AO2065=1,AD2065,IF(AO2065=2,AI2065,""))="A","RÉPARÉ – À RADIOGRAPHIER",IF(IF(AO2065=1,AD2065,IF(AO2065=2,AI2065,""))="R","VT REJETÉ – À REPRENDRE",IF(OR(AP2065="CO",AP2065="NT"),"COUPE – À RESOUDER","À RÉPARER"))))))))))</f>
        <v>À SOUDER</v>
      </c>
      <c r="AR2065" s="82" t="str">
        <f aca="false">IF(AND(ISNUMBER(U2065),OR(AQ2065="À RADIOGRAPHIER",AQ2065="RÉPARÉ – À RADIOGRAPHIER",AQ2065="NX – RT À REFAIRE",AQ2065="À RÉPARER",AQ2065="COUPE – À RESOUDER",AQ2065="VT REJETÉ – À REPRENDRE")),MAX(0,'PROGRAMME RT'!$C$4-U2065),"")</f>
        <v/>
      </c>
      <c r="AS2065" s="82" t="n">
        <f aca="false">IF(AND(OR(AQ2065="À RADIOGRAPHIER",AQ2065="RÉPARÉ – À RADIOGRAPHIER",AQ2065="NX – RT À REFAIRE"),OR('PROGRAMME RT'!$D$5="TOUTES",B2065='PROGRAMME RT'!$D$5)),1,0)</f>
        <v>0</v>
      </c>
      <c r="AT2065" s="82" t="str">
        <f aca="false">IF(AS2065=1,SUM(AS$7:AS2065),"")</f>
        <v/>
      </c>
      <c r="AU2065" s="82" t="n">
        <f aca="false">IF(AND(OR(AA2065="R",AA2065="NX",AA2065="NT",AA2065="CO"),OR('JOINTS DE RÉPARATION'!$D$5="TOUTES",B2065='JOINTS DE RÉPARATION'!$D$5),OR('JOINTS DE RÉPARATION'!$L$4="TOUS",AQ2065&lt;&gt;"ACCEPTÉ")),1,0)</f>
        <v>0</v>
      </c>
      <c r="AV2065" s="82" t="str">
        <f aca="false">IF(AU2065=1,SUM(AU$7:AU2065),"")</f>
        <v/>
      </c>
      <c r="AW2065" s="82" t="str">
        <f aca="false">IF(E2065="","",B2065&amp;"|"&amp;E2065)</f>
        <v>MFD-ISW → MFD-CPF|JN°1581</v>
      </c>
    </row>
    <row r="2066" customFormat="false" ht="74.6" hidden="false" customHeight="false" outlineLevel="0" collapsed="false">
      <c r="A2066" s="79" t="n">
        <f aca="false">IF(E2066="","",ROW()-6)</f>
        <v>2060</v>
      </c>
      <c r="B2066" s="80" t="s">
        <v>110</v>
      </c>
      <c r="C2066" s="81" t="s">
        <v>926</v>
      </c>
      <c r="D2066" s="81" t="n">
        <v>19</v>
      </c>
      <c r="E2066" s="81" t="s">
        <v>2507</v>
      </c>
      <c r="F2066" s="82" t="str">
        <f aca="false">IF(E2066="","",IF(LEFT(E2066,2)="DJ","DJ","JN"))</f>
        <v>JN</v>
      </c>
      <c r="G2066" s="81"/>
      <c r="H2066" s="81"/>
      <c r="I2066" s="81"/>
      <c r="J2066" s="81"/>
      <c r="K2066" s="81"/>
      <c r="L2066" s="81"/>
      <c r="M2066" s="81"/>
      <c r="N2066" s="81"/>
      <c r="O2066" s="81"/>
      <c r="P2066" s="81"/>
      <c r="Q2066" s="81"/>
      <c r="R2066" s="81"/>
      <c r="S2066" s="81"/>
      <c r="T2066" s="81"/>
      <c r="U2066" s="83"/>
      <c r="V2066" s="83"/>
      <c r="W2066" s="81"/>
      <c r="X2066" s="81"/>
      <c r="Y2066" s="83"/>
      <c r="Z2066" s="81"/>
      <c r="AA2066" s="81"/>
      <c r="AB2066" s="81"/>
      <c r="AC2066" s="81"/>
      <c r="AD2066" s="81"/>
      <c r="AE2066" s="83"/>
      <c r="AF2066" s="81"/>
      <c r="AG2066" s="81"/>
      <c r="AH2066" s="81"/>
      <c r="AI2066" s="81"/>
      <c r="AJ2066" s="83"/>
      <c r="AK2066" s="81"/>
      <c r="AL2066" s="81"/>
      <c r="AM2066" s="83"/>
      <c r="AN2066" s="80"/>
      <c r="AO2066" s="82" t="n">
        <f aca="false">IF(E2066="","",(AA2066&lt;&gt;"")+(AG2066&lt;&gt;"")+(AL2066&lt;&gt;""))</f>
        <v>0</v>
      </c>
      <c r="AP2066" s="82" t="str">
        <f aca="false">IF(AL2066&lt;&gt;"",AL2066,IF(AG2066&lt;&gt;"",AG2066,IF(AA2066&lt;&gt;"",AA2066,"")))</f>
        <v/>
      </c>
      <c r="AQ2066" s="84" t="str">
        <f aca="false">IF(E2066="","",IF(U2066="","À SOUDER",IF(X2066="","VT EN ATTENTE",IF(X2066="R","VT REJETÉ – À REPRENDRE",IF(AP2066="","À RADIOGRAPHIER",IF(AP2066="A","ACCEPTÉ",IF(AP2066="NX","NX – RT À REFAIRE",IF(IF(AO2066=1,AD2066,IF(AO2066=2,AI2066,""))="A","RÉPARÉ – À RADIOGRAPHIER",IF(IF(AO2066=1,AD2066,IF(AO2066=2,AI2066,""))="R","VT REJETÉ – À REPRENDRE",IF(OR(AP2066="CO",AP2066="NT"),"COUPE – À RESOUDER","À RÉPARER"))))))))))</f>
        <v>À SOUDER</v>
      </c>
      <c r="AR2066" s="82" t="str">
        <f aca="false">IF(AND(ISNUMBER(U2066),OR(AQ2066="À RADIOGRAPHIER",AQ2066="RÉPARÉ – À RADIOGRAPHIER",AQ2066="NX – RT À REFAIRE",AQ2066="À RÉPARER",AQ2066="COUPE – À RESOUDER",AQ2066="VT REJETÉ – À REPRENDRE")),MAX(0,'PROGRAMME RT'!$C$4-U2066),"")</f>
        <v/>
      </c>
      <c r="AS2066" s="82" t="n">
        <f aca="false">IF(AND(OR(AQ2066="À RADIOGRAPHIER",AQ2066="RÉPARÉ – À RADIOGRAPHIER",AQ2066="NX – RT À REFAIRE"),OR('PROGRAMME RT'!$D$5="TOUTES",B2066='PROGRAMME RT'!$D$5)),1,0)</f>
        <v>0</v>
      </c>
      <c r="AT2066" s="82" t="str">
        <f aca="false">IF(AS2066=1,SUM(AS$7:AS2066),"")</f>
        <v/>
      </c>
      <c r="AU2066" s="82" t="n">
        <f aca="false">IF(AND(OR(AA2066="R",AA2066="NX",AA2066="NT",AA2066="CO"),OR('JOINTS DE RÉPARATION'!$D$5="TOUTES",B2066='JOINTS DE RÉPARATION'!$D$5),OR('JOINTS DE RÉPARATION'!$L$4="TOUS",AQ2066&lt;&gt;"ACCEPTÉ")),1,0)</f>
        <v>0</v>
      </c>
      <c r="AV2066" s="82" t="str">
        <f aca="false">IF(AU2066=1,SUM(AU$7:AU2066),"")</f>
        <v/>
      </c>
      <c r="AW2066" s="82" t="str">
        <f aca="false">IF(E2066="","",B2066&amp;"|"&amp;E2066)</f>
        <v>MFD-ISW → MFD-CPF|JN°1582</v>
      </c>
    </row>
    <row r="2067" customFormat="false" ht="74.6" hidden="false" customHeight="false" outlineLevel="0" collapsed="false">
      <c r="A2067" s="79" t="n">
        <f aca="false">IF(E2067="","",ROW()-6)</f>
        <v>2061</v>
      </c>
      <c r="B2067" s="80" t="s">
        <v>110</v>
      </c>
      <c r="C2067" s="81" t="s">
        <v>926</v>
      </c>
      <c r="D2067" s="81" t="n">
        <v>19</v>
      </c>
      <c r="E2067" s="81" t="s">
        <v>2508</v>
      </c>
      <c r="F2067" s="82" t="str">
        <f aca="false">IF(E2067="","",IF(LEFT(E2067,2)="DJ","DJ","JN"))</f>
        <v>JN</v>
      </c>
      <c r="G2067" s="81"/>
      <c r="H2067" s="81"/>
      <c r="I2067" s="81"/>
      <c r="J2067" s="81"/>
      <c r="K2067" s="81"/>
      <c r="L2067" s="81"/>
      <c r="M2067" s="81"/>
      <c r="N2067" s="81"/>
      <c r="O2067" s="81"/>
      <c r="P2067" s="81"/>
      <c r="Q2067" s="81"/>
      <c r="R2067" s="81"/>
      <c r="S2067" s="81"/>
      <c r="T2067" s="81"/>
      <c r="U2067" s="83"/>
      <c r="V2067" s="83"/>
      <c r="W2067" s="81"/>
      <c r="X2067" s="81"/>
      <c r="Y2067" s="83"/>
      <c r="Z2067" s="81"/>
      <c r="AA2067" s="81"/>
      <c r="AB2067" s="81"/>
      <c r="AC2067" s="81"/>
      <c r="AD2067" s="81"/>
      <c r="AE2067" s="83"/>
      <c r="AF2067" s="81"/>
      <c r="AG2067" s="81"/>
      <c r="AH2067" s="81"/>
      <c r="AI2067" s="81"/>
      <c r="AJ2067" s="83"/>
      <c r="AK2067" s="81"/>
      <c r="AL2067" s="81"/>
      <c r="AM2067" s="83"/>
      <c r="AN2067" s="80"/>
      <c r="AO2067" s="82" t="n">
        <f aca="false">IF(E2067="","",(AA2067&lt;&gt;"")+(AG2067&lt;&gt;"")+(AL2067&lt;&gt;""))</f>
        <v>0</v>
      </c>
      <c r="AP2067" s="82" t="str">
        <f aca="false">IF(AL2067&lt;&gt;"",AL2067,IF(AG2067&lt;&gt;"",AG2067,IF(AA2067&lt;&gt;"",AA2067,"")))</f>
        <v/>
      </c>
      <c r="AQ2067" s="84" t="str">
        <f aca="false">IF(E2067="","",IF(U2067="","À SOUDER",IF(X2067="","VT EN ATTENTE",IF(X2067="R","VT REJETÉ – À REPRENDRE",IF(AP2067="","À RADIOGRAPHIER",IF(AP2067="A","ACCEPTÉ",IF(AP2067="NX","NX – RT À REFAIRE",IF(IF(AO2067=1,AD2067,IF(AO2067=2,AI2067,""))="A","RÉPARÉ – À RADIOGRAPHIER",IF(IF(AO2067=1,AD2067,IF(AO2067=2,AI2067,""))="R","VT REJETÉ – À REPRENDRE",IF(OR(AP2067="CO",AP2067="NT"),"COUPE – À RESOUDER","À RÉPARER"))))))))))</f>
        <v>À SOUDER</v>
      </c>
      <c r="AR2067" s="82" t="str">
        <f aca="false">IF(AND(ISNUMBER(U2067),OR(AQ2067="À RADIOGRAPHIER",AQ2067="RÉPARÉ – À RADIOGRAPHIER",AQ2067="NX – RT À REFAIRE",AQ2067="À RÉPARER",AQ2067="COUPE – À RESOUDER",AQ2067="VT REJETÉ – À REPRENDRE")),MAX(0,'PROGRAMME RT'!$C$4-U2067),"")</f>
        <v/>
      </c>
      <c r="AS2067" s="82" t="n">
        <f aca="false">IF(AND(OR(AQ2067="À RADIOGRAPHIER",AQ2067="RÉPARÉ – À RADIOGRAPHIER",AQ2067="NX – RT À REFAIRE"),OR('PROGRAMME RT'!$D$5="TOUTES",B2067='PROGRAMME RT'!$D$5)),1,0)</f>
        <v>0</v>
      </c>
      <c r="AT2067" s="82" t="str">
        <f aca="false">IF(AS2067=1,SUM(AS$7:AS2067),"")</f>
        <v/>
      </c>
      <c r="AU2067" s="82" t="n">
        <f aca="false">IF(AND(OR(AA2067="R",AA2067="NX",AA2067="NT",AA2067="CO"),OR('JOINTS DE RÉPARATION'!$D$5="TOUTES",B2067='JOINTS DE RÉPARATION'!$D$5),OR('JOINTS DE RÉPARATION'!$L$4="TOUS",AQ2067&lt;&gt;"ACCEPTÉ")),1,0)</f>
        <v>0</v>
      </c>
      <c r="AV2067" s="82" t="str">
        <f aca="false">IF(AU2067=1,SUM(AU$7:AU2067),"")</f>
        <v/>
      </c>
      <c r="AW2067" s="82" t="str">
        <f aca="false">IF(E2067="","",B2067&amp;"|"&amp;E2067)</f>
        <v>MFD-ISW → MFD-CPF|JN°1583</v>
      </c>
    </row>
    <row r="2068" customFormat="false" ht="74.6" hidden="false" customHeight="false" outlineLevel="0" collapsed="false">
      <c r="A2068" s="79" t="n">
        <f aca="false">IF(E2068="","",ROW()-6)</f>
        <v>2062</v>
      </c>
      <c r="B2068" s="80" t="s">
        <v>110</v>
      </c>
      <c r="C2068" s="81" t="s">
        <v>926</v>
      </c>
      <c r="D2068" s="81" t="n">
        <v>19</v>
      </c>
      <c r="E2068" s="81" t="s">
        <v>2509</v>
      </c>
      <c r="F2068" s="82" t="str">
        <f aca="false">IF(E2068="","",IF(LEFT(E2068,2)="DJ","DJ","JN"))</f>
        <v>JN</v>
      </c>
      <c r="G2068" s="81"/>
      <c r="H2068" s="81"/>
      <c r="I2068" s="81"/>
      <c r="J2068" s="81"/>
      <c r="K2068" s="81"/>
      <c r="L2068" s="81"/>
      <c r="M2068" s="81"/>
      <c r="N2068" s="81"/>
      <c r="O2068" s="81" t="n">
        <v>2094670</v>
      </c>
      <c r="P2068" s="81" t="n">
        <v>15421111</v>
      </c>
      <c r="Q2068" s="81" t="n">
        <v>11.94</v>
      </c>
      <c r="R2068" s="81"/>
      <c r="S2068" s="81"/>
      <c r="T2068" s="81"/>
      <c r="U2068" s="83"/>
      <c r="V2068" s="83"/>
      <c r="W2068" s="81"/>
      <c r="X2068" s="81"/>
      <c r="Y2068" s="83"/>
      <c r="Z2068" s="81"/>
      <c r="AA2068" s="81"/>
      <c r="AB2068" s="81"/>
      <c r="AC2068" s="81"/>
      <c r="AD2068" s="81"/>
      <c r="AE2068" s="83"/>
      <c r="AF2068" s="81"/>
      <c r="AG2068" s="81"/>
      <c r="AH2068" s="81"/>
      <c r="AI2068" s="81"/>
      <c r="AJ2068" s="83"/>
      <c r="AK2068" s="81"/>
      <c r="AL2068" s="81"/>
      <c r="AM2068" s="83"/>
      <c r="AN2068" s="80"/>
      <c r="AO2068" s="82" t="n">
        <f aca="false">IF(E2068="","",(AA2068&lt;&gt;"")+(AG2068&lt;&gt;"")+(AL2068&lt;&gt;""))</f>
        <v>0</v>
      </c>
      <c r="AP2068" s="82" t="str">
        <f aca="false">IF(AL2068&lt;&gt;"",AL2068,IF(AG2068&lt;&gt;"",AG2068,IF(AA2068&lt;&gt;"",AA2068,"")))</f>
        <v/>
      </c>
      <c r="AQ2068" s="84" t="str">
        <f aca="false">IF(E2068="","",IF(U2068="","À SOUDER",IF(X2068="","VT EN ATTENTE",IF(X2068="R","VT REJETÉ – À REPRENDRE",IF(AP2068="","À RADIOGRAPHIER",IF(AP2068="A","ACCEPTÉ",IF(AP2068="NX","NX – RT À REFAIRE",IF(IF(AO2068=1,AD2068,IF(AO2068=2,AI2068,""))="A","RÉPARÉ – À RADIOGRAPHIER",IF(IF(AO2068=1,AD2068,IF(AO2068=2,AI2068,""))="R","VT REJETÉ – À REPRENDRE",IF(OR(AP2068="CO",AP2068="NT"),"COUPE – À RESOUDER","À RÉPARER"))))))))))</f>
        <v>À SOUDER</v>
      </c>
      <c r="AR2068" s="82" t="str">
        <f aca="false">IF(AND(ISNUMBER(U2068),OR(AQ2068="À RADIOGRAPHIER",AQ2068="RÉPARÉ – À RADIOGRAPHIER",AQ2068="NX – RT À REFAIRE",AQ2068="À RÉPARER",AQ2068="COUPE – À RESOUDER",AQ2068="VT REJETÉ – À REPRENDRE")),MAX(0,'PROGRAMME RT'!$C$4-U2068),"")</f>
        <v/>
      </c>
      <c r="AS2068" s="82" t="n">
        <f aca="false">IF(AND(OR(AQ2068="À RADIOGRAPHIER",AQ2068="RÉPARÉ – À RADIOGRAPHIER",AQ2068="NX – RT À REFAIRE"),OR('PROGRAMME RT'!$D$5="TOUTES",B2068='PROGRAMME RT'!$D$5)),1,0)</f>
        <v>0</v>
      </c>
      <c r="AT2068" s="82" t="str">
        <f aca="false">IF(AS2068=1,SUM(AS$7:AS2068),"")</f>
        <v/>
      </c>
      <c r="AU2068" s="82" t="n">
        <f aca="false">IF(AND(OR(AA2068="R",AA2068="NX",AA2068="NT",AA2068="CO"),OR('JOINTS DE RÉPARATION'!$D$5="TOUTES",B2068='JOINTS DE RÉPARATION'!$D$5),OR('JOINTS DE RÉPARATION'!$L$4="TOUS",AQ2068&lt;&gt;"ACCEPTÉ")),1,0)</f>
        <v>0</v>
      </c>
      <c r="AV2068" s="82" t="str">
        <f aca="false">IF(AU2068=1,SUM(AU$7:AU2068),"")</f>
        <v/>
      </c>
      <c r="AW2068" s="82" t="str">
        <f aca="false">IF(E2068="","",B2068&amp;"|"&amp;E2068)</f>
        <v>MFD-ISW → MFD-CPF|JN°1584</v>
      </c>
    </row>
    <row r="2069" customFormat="false" ht="74.6" hidden="false" customHeight="false" outlineLevel="0" collapsed="false">
      <c r="A2069" s="79" t="n">
        <f aca="false">IF(E2069="","",ROW()-6)</f>
        <v>2063</v>
      </c>
      <c r="B2069" s="80" t="s">
        <v>110</v>
      </c>
      <c r="C2069" s="81" t="s">
        <v>2510</v>
      </c>
      <c r="D2069" s="81" t="n">
        <v>19</v>
      </c>
      <c r="E2069" s="81" t="s">
        <v>2511</v>
      </c>
      <c r="F2069" s="82" t="str">
        <f aca="false">IF(E2069="","",IF(LEFT(E2069,2)="DJ","DJ","JN"))</f>
        <v>JN</v>
      </c>
      <c r="G2069" s="81" t="s">
        <v>1504</v>
      </c>
      <c r="H2069" s="81" t="s">
        <v>871</v>
      </c>
      <c r="I2069" s="81" t="n">
        <v>9.53</v>
      </c>
      <c r="J2069" s="81" t="s">
        <v>872</v>
      </c>
      <c r="K2069" s="81" t="s">
        <v>879</v>
      </c>
      <c r="L2069" s="81" t="n">
        <v>2094670</v>
      </c>
      <c r="M2069" s="81" t="n">
        <v>15421111</v>
      </c>
      <c r="N2069" s="81" t="n">
        <v>11.94</v>
      </c>
      <c r="O2069" s="81" t="n">
        <v>2087930</v>
      </c>
      <c r="P2069" s="81" t="n">
        <v>15421108</v>
      </c>
      <c r="Q2069" s="81" t="n">
        <v>11.94</v>
      </c>
      <c r="R2069" s="81" t="s">
        <v>2476</v>
      </c>
      <c r="S2069" s="81"/>
      <c r="T2069" s="81"/>
      <c r="U2069" s="83" t="n">
        <v>46266</v>
      </c>
      <c r="V2069" s="83" t="n">
        <v>46266</v>
      </c>
      <c r="W2069" s="81" t="s">
        <v>2477</v>
      </c>
      <c r="X2069" s="81" t="s">
        <v>876</v>
      </c>
      <c r="Y2069" s="83" t="n">
        <v>46274</v>
      </c>
      <c r="Z2069" s="81" t="s">
        <v>2512</v>
      </c>
      <c r="AA2069" s="81" t="s">
        <v>876</v>
      </c>
      <c r="AB2069" s="81"/>
      <c r="AC2069" s="81"/>
      <c r="AD2069" s="81"/>
      <c r="AE2069" s="83"/>
      <c r="AF2069" s="81"/>
      <c r="AG2069" s="81"/>
      <c r="AH2069" s="81"/>
      <c r="AI2069" s="81"/>
      <c r="AJ2069" s="83"/>
      <c r="AK2069" s="81"/>
      <c r="AL2069" s="81"/>
      <c r="AM2069" s="83"/>
      <c r="AN2069" s="80"/>
      <c r="AO2069" s="82" t="n">
        <f aca="false">IF(E2069="","",(AA2069&lt;&gt;"")+(AG2069&lt;&gt;"")+(AL2069&lt;&gt;""))</f>
        <v>1</v>
      </c>
      <c r="AP2069" s="82" t="str">
        <f aca="false">IF(AL2069&lt;&gt;"",AL2069,IF(AG2069&lt;&gt;"",AG2069,IF(AA2069&lt;&gt;"",AA2069,"")))</f>
        <v>A</v>
      </c>
      <c r="AQ2069" s="84" t="str">
        <f aca="false">IF(E2069="","",IF(U2069="","À SOUDER",IF(X2069="","VT EN ATTENTE",IF(X2069="R","VT REJETÉ – À REPRENDRE",IF(AP2069="","À RADIOGRAPHIER",IF(AP2069="A","ACCEPTÉ",IF(AP2069="NX","NX – RT À REFAIRE",IF(IF(AO2069=1,AD2069,IF(AO2069=2,AI2069,""))="A","RÉPARÉ – À RADIOGRAPHIER",IF(IF(AO2069=1,AD2069,IF(AO2069=2,AI2069,""))="R","VT REJETÉ – À REPRENDRE",IF(OR(AP2069="CO",AP2069="NT"),"COUPE – À RESOUDER","À RÉPARER"))))))))))</f>
        <v>ACCEPTÉ</v>
      </c>
      <c r="AR2069" s="82" t="str">
        <f aca="false">IF(AND(ISNUMBER(U2069),OR(AQ2069="À RADIOGRAPHIER",AQ2069="RÉPARÉ – À RADIOGRAPHIER",AQ2069="NX – RT À REFAIRE",AQ2069="À RÉPARER",AQ2069="COUPE – À RESOUDER",AQ2069="VT REJETÉ – À REPRENDRE")),MAX(0,'PROGRAMME RT'!$C$4-U2069),"")</f>
        <v/>
      </c>
      <c r="AS2069" s="82" t="n">
        <f aca="false">IF(AND(OR(AQ2069="À RADIOGRAPHIER",AQ2069="RÉPARÉ – À RADIOGRAPHIER",AQ2069="NX – RT À REFAIRE"),OR('PROGRAMME RT'!$D$5="TOUTES",B2069='PROGRAMME RT'!$D$5)),1,0)</f>
        <v>0</v>
      </c>
      <c r="AT2069" s="82" t="str">
        <f aca="false">IF(AS2069=1,SUM(AS$7:AS2069),"")</f>
        <v/>
      </c>
      <c r="AU2069" s="82" t="n">
        <f aca="false">IF(AND(OR(AA2069="R",AA2069="NX",AA2069="NT",AA2069="CO"),OR('JOINTS DE RÉPARATION'!$D$5="TOUTES",B2069='JOINTS DE RÉPARATION'!$D$5),OR('JOINTS DE RÉPARATION'!$L$4="TOUS",AQ2069&lt;&gt;"ACCEPTÉ")),1,0)</f>
        <v>0</v>
      </c>
      <c r="AV2069" s="82" t="str">
        <f aca="false">IF(AU2069=1,SUM(AU$7:AU2069),"")</f>
        <v/>
      </c>
      <c r="AW2069" s="82" t="str">
        <f aca="false">IF(E2069="","",B2069&amp;"|"&amp;E2069)</f>
        <v>MFD-ISW → MFD-CPF|JN°1585</v>
      </c>
    </row>
    <row r="2070" customFormat="false" ht="74.6" hidden="false" customHeight="false" outlineLevel="0" collapsed="false">
      <c r="A2070" s="79" t="n">
        <f aca="false">IF(E2070="","",ROW()-6)</f>
        <v>2064</v>
      </c>
      <c r="B2070" s="80" t="s">
        <v>110</v>
      </c>
      <c r="C2070" s="81" t="s">
        <v>2510</v>
      </c>
      <c r="D2070" s="81" t="n">
        <v>19</v>
      </c>
      <c r="E2070" s="81" t="s">
        <v>2513</v>
      </c>
      <c r="F2070" s="82" t="str">
        <f aca="false">IF(E2070="","",IF(LEFT(E2070,2)="DJ","DJ","JN"))</f>
        <v>JN</v>
      </c>
      <c r="G2070" s="81" t="s">
        <v>1504</v>
      </c>
      <c r="H2070" s="81" t="s">
        <v>871</v>
      </c>
      <c r="I2070" s="81" t="n">
        <v>9.53</v>
      </c>
      <c r="J2070" s="81" t="s">
        <v>872</v>
      </c>
      <c r="K2070" s="81" t="s">
        <v>1861</v>
      </c>
      <c r="L2070" s="81" t="n">
        <v>2087930</v>
      </c>
      <c r="M2070" s="81" t="n">
        <v>15421108</v>
      </c>
      <c r="N2070" s="81" t="n">
        <v>11.94</v>
      </c>
      <c r="O2070" s="81" t="n">
        <v>2088610</v>
      </c>
      <c r="P2070" s="81" t="n">
        <v>15421108</v>
      </c>
      <c r="Q2070" s="81" t="n">
        <v>11.94</v>
      </c>
      <c r="R2070" s="81" t="s">
        <v>1862</v>
      </c>
      <c r="S2070" s="81"/>
      <c r="T2070" s="81"/>
      <c r="U2070" s="83" t="n">
        <v>46286</v>
      </c>
      <c r="V2070" s="83" t="n">
        <v>46287</v>
      </c>
      <c r="W2070" s="81" t="s">
        <v>2346</v>
      </c>
      <c r="X2070" s="81" t="s">
        <v>876</v>
      </c>
      <c r="Y2070" s="83"/>
      <c r="Z2070" s="81"/>
      <c r="AA2070" s="81"/>
      <c r="AB2070" s="81"/>
      <c r="AC2070" s="81"/>
      <c r="AD2070" s="81"/>
      <c r="AE2070" s="83"/>
      <c r="AF2070" s="81"/>
      <c r="AG2070" s="81"/>
      <c r="AH2070" s="81"/>
      <c r="AI2070" s="81"/>
      <c r="AJ2070" s="83"/>
      <c r="AK2070" s="81"/>
      <c r="AL2070" s="81"/>
      <c r="AM2070" s="83"/>
      <c r="AN2070" s="80"/>
      <c r="AO2070" s="82" t="n">
        <f aca="false">IF(E2070="","",(AA2070&lt;&gt;"")+(AG2070&lt;&gt;"")+(AL2070&lt;&gt;""))</f>
        <v>0</v>
      </c>
      <c r="AP2070" s="82" t="str">
        <f aca="false">IF(AL2070&lt;&gt;"",AL2070,IF(AG2070&lt;&gt;"",AG2070,IF(AA2070&lt;&gt;"",AA2070,"")))</f>
        <v/>
      </c>
      <c r="AQ2070" s="84" t="str">
        <f aca="false">IF(E2070="","",IF(U2070="","À SOUDER",IF(X2070="","VT EN ATTENTE",IF(X2070="R","VT REJETÉ – À REPRENDRE",IF(AP2070="","À RADIOGRAPHIER",IF(AP2070="A","ACCEPTÉ",IF(AP2070="NX","NX – RT À REFAIRE",IF(IF(AO2070=1,AD2070,IF(AO2070=2,AI2070,""))="A","RÉPARÉ – À RADIOGRAPHIER",IF(IF(AO2070=1,AD2070,IF(AO2070=2,AI2070,""))="R","VT REJETÉ – À REPRENDRE",IF(OR(AP2070="CO",AP2070="NT"),"COUPE – À RESOUDER","À RÉPARER"))))))))))</f>
        <v>À RADIOGRAPHIER</v>
      </c>
      <c r="AR2070" s="82" t="n">
        <f aca="false">IF(AND(ISNUMBER(U2070),OR(AQ2070="À RADIOGRAPHIER",AQ2070="RÉPARÉ – À RADIOGRAPHIER",AQ2070="NX – RT À REFAIRE",AQ2070="À RÉPARER",AQ2070="COUPE – À RESOUDER",AQ2070="VT REJETÉ – À REPRENDRE")),MAX(0,'PROGRAMME RT'!$C$4-U2070),"")</f>
        <v>7</v>
      </c>
      <c r="AS2070" s="82" t="n">
        <f aca="false">IF(AND(OR(AQ2070="À RADIOGRAPHIER",AQ2070="RÉPARÉ – À RADIOGRAPHIER",AQ2070="NX – RT À REFAIRE"),OR('PROGRAMME RT'!$D$5="TOUTES",B2070='PROGRAMME RT'!$D$5)),1,0)</f>
        <v>1</v>
      </c>
      <c r="AT2070" s="82" t="n">
        <f aca="false">IF(AS2070=1,SUM(AS$7:AS2070),"")</f>
        <v>110</v>
      </c>
      <c r="AU2070" s="82" t="n">
        <f aca="false">IF(AND(OR(AA2070="R",AA2070="NX",AA2070="NT",AA2070="CO"),OR('JOINTS DE RÉPARATION'!$D$5="TOUTES",B2070='JOINTS DE RÉPARATION'!$D$5),OR('JOINTS DE RÉPARATION'!$L$4="TOUS",AQ2070&lt;&gt;"ACCEPTÉ")),1,0)</f>
        <v>0</v>
      </c>
      <c r="AV2070" s="82" t="str">
        <f aca="false">IF(AU2070=1,SUM(AU$7:AU2070),"")</f>
        <v/>
      </c>
      <c r="AW2070" s="82" t="str">
        <f aca="false">IF(E2070="","",B2070&amp;"|"&amp;E2070)</f>
        <v>MFD-ISW → MFD-CPF|JN°1586R</v>
      </c>
    </row>
    <row r="2071" customFormat="false" ht="74.6" hidden="false" customHeight="false" outlineLevel="0" collapsed="false">
      <c r="A2071" s="79" t="n">
        <f aca="false">IF(E2071="","",ROW()-6)</f>
        <v>2065</v>
      </c>
      <c r="B2071" s="80" t="s">
        <v>110</v>
      </c>
      <c r="C2071" s="81" t="s">
        <v>2510</v>
      </c>
      <c r="D2071" s="81" t="n">
        <v>19</v>
      </c>
      <c r="E2071" s="81" t="s">
        <v>2514</v>
      </c>
      <c r="F2071" s="82" t="str">
        <f aca="false">IF(E2071="","",IF(LEFT(E2071,2)="DJ","DJ","JN"))</f>
        <v>JN</v>
      </c>
      <c r="G2071" s="81" t="s">
        <v>1504</v>
      </c>
      <c r="H2071" s="81" t="s">
        <v>871</v>
      </c>
      <c r="I2071" s="81" t="n">
        <v>9.53</v>
      </c>
      <c r="J2071" s="81" t="s">
        <v>872</v>
      </c>
      <c r="K2071" s="81" t="s">
        <v>879</v>
      </c>
      <c r="L2071" s="81" t="n">
        <v>2088610</v>
      </c>
      <c r="M2071" s="81" t="n">
        <v>15421108</v>
      </c>
      <c r="N2071" s="81" t="n">
        <v>11.94</v>
      </c>
      <c r="O2071" s="81" t="n">
        <v>2086780</v>
      </c>
      <c r="P2071" s="81" t="n">
        <v>15421107</v>
      </c>
      <c r="Q2071" s="81" t="n">
        <v>11.94</v>
      </c>
      <c r="R2071" s="81" t="s">
        <v>2476</v>
      </c>
      <c r="S2071" s="81"/>
      <c r="T2071" s="81"/>
      <c r="U2071" s="83" t="n">
        <v>46266</v>
      </c>
      <c r="V2071" s="83" t="n">
        <v>46266</v>
      </c>
      <c r="W2071" s="81" t="s">
        <v>2477</v>
      </c>
      <c r="X2071" s="81" t="s">
        <v>876</v>
      </c>
      <c r="Y2071" s="83" t="n">
        <v>46274</v>
      </c>
      <c r="Z2071" s="81" t="s">
        <v>2512</v>
      </c>
      <c r="AA2071" s="81" t="s">
        <v>876</v>
      </c>
      <c r="AB2071" s="81"/>
      <c r="AC2071" s="81"/>
      <c r="AD2071" s="81"/>
      <c r="AE2071" s="83"/>
      <c r="AF2071" s="81"/>
      <c r="AG2071" s="81"/>
      <c r="AH2071" s="81"/>
      <c r="AI2071" s="81"/>
      <c r="AJ2071" s="83"/>
      <c r="AK2071" s="81"/>
      <c r="AL2071" s="81"/>
      <c r="AM2071" s="83"/>
      <c r="AN2071" s="80"/>
      <c r="AO2071" s="82" t="n">
        <f aca="false">IF(E2071="","",(AA2071&lt;&gt;"")+(AG2071&lt;&gt;"")+(AL2071&lt;&gt;""))</f>
        <v>1</v>
      </c>
      <c r="AP2071" s="82" t="str">
        <f aca="false">IF(AL2071&lt;&gt;"",AL2071,IF(AG2071&lt;&gt;"",AG2071,IF(AA2071&lt;&gt;"",AA2071,"")))</f>
        <v>A</v>
      </c>
      <c r="AQ2071" s="84" t="str">
        <f aca="false">IF(E2071="","",IF(U2071="","À SOUDER",IF(X2071="","VT EN ATTENTE",IF(X2071="R","VT REJETÉ – À REPRENDRE",IF(AP2071="","À RADIOGRAPHIER",IF(AP2071="A","ACCEPTÉ",IF(AP2071="NX","NX – RT À REFAIRE",IF(IF(AO2071=1,AD2071,IF(AO2071=2,AI2071,""))="A","RÉPARÉ – À RADIOGRAPHIER",IF(IF(AO2071=1,AD2071,IF(AO2071=2,AI2071,""))="R","VT REJETÉ – À REPRENDRE",IF(OR(AP2071="CO",AP2071="NT"),"COUPE – À RESOUDER","À RÉPARER"))))))))))</f>
        <v>ACCEPTÉ</v>
      </c>
      <c r="AR2071" s="82" t="str">
        <f aca="false">IF(AND(ISNUMBER(U2071),OR(AQ2071="À RADIOGRAPHIER",AQ2071="RÉPARÉ – À RADIOGRAPHIER",AQ2071="NX – RT À REFAIRE",AQ2071="À RÉPARER",AQ2071="COUPE – À RESOUDER",AQ2071="VT REJETÉ – À REPRENDRE")),MAX(0,'PROGRAMME RT'!$C$4-U2071),"")</f>
        <v/>
      </c>
      <c r="AS2071" s="82" t="n">
        <f aca="false">IF(AND(OR(AQ2071="À RADIOGRAPHIER",AQ2071="RÉPARÉ – À RADIOGRAPHIER",AQ2071="NX – RT À REFAIRE"),OR('PROGRAMME RT'!$D$5="TOUTES",B2071='PROGRAMME RT'!$D$5)),1,0)</f>
        <v>0</v>
      </c>
      <c r="AT2071" s="82" t="str">
        <f aca="false">IF(AS2071=1,SUM(AS$7:AS2071),"")</f>
        <v/>
      </c>
      <c r="AU2071" s="82" t="n">
        <f aca="false">IF(AND(OR(AA2071="R",AA2071="NX",AA2071="NT",AA2071="CO"),OR('JOINTS DE RÉPARATION'!$D$5="TOUTES",B2071='JOINTS DE RÉPARATION'!$D$5),OR('JOINTS DE RÉPARATION'!$L$4="TOUS",AQ2071&lt;&gt;"ACCEPTÉ")),1,0)</f>
        <v>0</v>
      </c>
      <c r="AV2071" s="82" t="str">
        <f aca="false">IF(AU2071=1,SUM(AU$7:AU2071),"")</f>
        <v/>
      </c>
      <c r="AW2071" s="82" t="str">
        <f aca="false">IF(E2071="","",B2071&amp;"|"&amp;E2071)</f>
        <v>MFD-ISW → MFD-CPF|JN°1587</v>
      </c>
    </row>
    <row r="2072" customFormat="false" ht="74.6" hidden="false" customHeight="false" outlineLevel="0" collapsed="false">
      <c r="A2072" s="79" t="n">
        <f aca="false">IF(E2072="","",ROW()-6)</f>
        <v>2066</v>
      </c>
      <c r="B2072" s="80" t="s">
        <v>110</v>
      </c>
      <c r="C2072" s="81" t="s">
        <v>2510</v>
      </c>
      <c r="D2072" s="81" t="n">
        <v>19</v>
      </c>
      <c r="E2072" s="81" t="s">
        <v>2515</v>
      </c>
      <c r="F2072" s="82" t="str">
        <f aca="false">IF(E2072="","",IF(LEFT(E2072,2)="DJ","DJ","JN"))</f>
        <v>JN</v>
      </c>
      <c r="G2072" s="81" t="s">
        <v>1504</v>
      </c>
      <c r="H2072" s="81" t="s">
        <v>871</v>
      </c>
      <c r="I2072" s="81" t="n">
        <v>9.53</v>
      </c>
      <c r="J2072" s="81" t="s">
        <v>872</v>
      </c>
      <c r="K2072" s="81" t="s">
        <v>879</v>
      </c>
      <c r="L2072" s="81" t="n">
        <v>2086780</v>
      </c>
      <c r="M2072" s="81" t="n">
        <v>15421107</v>
      </c>
      <c r="N2072" s="81" t="n">
        <v>11.94</v>
      </c>
      <c r="O2072" s="81" t="n">
        <v>2084160</v>
      </c>
      <c r="P2072" s="81" t="n">
        <v>15421106</v>
      </c>
      <c r="Q2072" s="81" t="n">
        <v>11.94</v>
      </c>
      <c r="R2072" s="81" t="s">
        <v>2476</v>
      </c>
      <c r="S2072" s="81"/>
      <c r="T2072" s="81"/>
      <c r="U2072" s="83" t="n">
        <v>46266</v>
      </c>
      <c r="V2072" s="83" t="n">
        <v>46266</v>
      </c>
      <c r="W2072" s="81" t="s">
        <v>2477</v>
      </c>
      <c r="X2072" s="81" t="s">
        <v>876</v>
      </c>
      <c r="Y2072" s="83" t="n">
        <v>46274</v>
      </c>
      <c r="Z2072" s="81" t="s">
        <v>2512</v>
      </c>
      <c r="AA2072" s="81" t="s">
        <v>876</v>
      </c>
      <c r="AB2072" s="81"/>
      <c r="AC2072" s="81"/>
      <c r="AD2072" s="81"/>
      <c r="AE2072" s="83"/>
      <c r="AF2072" s="81"/>
      <c r="AG2072" s="81"/>
      <c r="AH2072" s="81"/>
      <c r="AI2072" s="81"/>
      <c r="AJ2072" s="83"/>
      <c r="AK2072" s="81"/>
      <c r="AL2072" s="81"/>
      <c r="AM2072" s="83"/>
      <c r="AN2072" s="80"/>
      <c r="AO2072" s="82" t="n">
        <f aca="false">IF(E2072="","",(AA2072&lt;&gt;"")+(AG2072&lt;&gt;"")+(AL2072&lt;&gt;""))</f>
        <v>1</v>
      </c>
      <c r="AP2072" s="82" t="str">
        <f aca="false">IF(AL2072&lt;&gt;"",AL2072,IF(AG2072&lt;&gt;"",AG2072,IF(AA2072&lt;&gt;"",AA2072,"")))</f>
        <v>A</v>
      </c>
      <c r="AQ2072" s="84" t="str">
        <f aca="false">IF(E2072="","",IF(U2072="","À SOUDER",IF(X2072="","VT EN ATTENTE",IF(X2072="R","VT REJETÉ – À REPRENDRE",IF(AP2072="","À RADIOGRAPHIER",IF(AP2072="A","ACCEPTÉ",IF(AP2072="NX","NX – RT À REFAIRE",IF(IF(AO2072=1,AD2072,IF(AO2072=2,AI2072,""))="A","RÉPARÉ – À RADIOGRAPHIER",IF(IF(AO2072=1,AD2072,IF(AO2072=2,AI2072,""))="R","VT REJETÉ – À REPRENDRE",IF(OR(AP2072="CO",AP2072="NT"),"COUPE – À RESOUDER","À RÉPARER"))))))))))</f>
        <v>ACCEPTÉ</v>
      </c>
      <c r="AR2072" s="82" t="str">
        <f aca="false">IF(AND(ISNUMBER(U2072),OR(AQ2072="À RADIOGRAPHIER",AQ2072="RÉPARÉ – À RADIOGRAPHIER",AQ2072="NX – RT À REFAIRE",AQ2072="À RÉPARER",AQ2072="COUPE – À RESOUDER",AQ2072="VT REJETÉ – À REPRENDRE")),MAX(0,'PROGRAMME RT'!$C$4-U2072),"")</f>
        <v/>
      </c>
      <c r="AS2072" s="82" t="n">
        <f aca="false">IF(AND(OR(AQ2072="À RADIOGRAPHIER",AQ2072="RÉPARÉ – À RADIOGRAPHIER",AQ2072="NX – RT À REFAIRE"),OR('PROGRAMME RT'!$D$5="TOUTES",B2072='PROGRAMME RT'!$D$5)),1,0)</f>
        <v>0</v>
      </c>
      <c r="AT2072" s="82" t="str">
        <f aca="false">IF(AS2072=1,SUM(AS$7:AS2072),"")</f>
        <v/>
      </c>
      <c r="AU2072" s="82" t="n">
        <f aca="false">IF(AND(OR(AA2072="R",AA2072="NX",AA2072="NT",AA2072="CO"),OR('JOINTS DE RÉPARATION'!$D$5="TOUTES",B2072='JOINTS DE RÉPARATION'!$D$5),OR('JOINTS DE RÉPARATION'!$L$4="TOUS",AQ2072&lt;&gt;"ACCEPTÉ")),1,0)</f>
        <v>0</v>
      </c>
      <c r="AV2072" s="82" t="str">
        <f aca="false">IF(AU2072=1,SUM(AU$7:AU2072),"")</f>
        <v/>
      </c>
      <c r="AW2072" s="82" t="str">
        <f aca="false">IF(E2072="","",B2072&amp;"|"&amp;E2072)</f>
        <v>MFD-ISW → MFD-CPF|JN°1588</v>
      </c>
    </row>
    <row r="2073" customFormat="false" ht="74.6" hidden="false" customHeight="false" outlineLevel="0" collapsed="false">
      <c r="A2073" s="79" t="n">
        <f aca="false">IF(E2073="","",ROW()-6)</f>
        <v>2067</v>
      </c>
      <c r="B2073" s="80" t="s">
        <v>110</v>
      </c>
      <c r="C2073" s="81" t="s">
        <v>2510</v>
      </c>
      <c r="D2073" s="81" t="n">
        <v>19</v>
      </c>
      <c r="E2073" s="81" t="s">
        <v>2516</v>
      </c>
      <c r="F2073" s="82" t="str">
        <f aca="false">IF(E2073="","",IF(LEFT(E2073,2)="DJ","DJ","JN"))</f>
        <v>JN</v>
      </c>
      <c r="G2073" s="81" t="s">
        <v>1504</v>
      </c>
      <c r="H2073" s="81" t="s">
        <v>871</v>
      </c>
      <c r="I2073" s="81" t="n">
        <v>9.53</v>
      </c>
      <c r="J2073" s="81" t="s">
        <v>872</v>
      </c>
      <c r="K2073" s="81" t="s">
        <v>879</v>
      </c>
      <c r="L2073" s="81" t="n">
        <v>2084160</v>
      </c>
      <c r="M2073" s="81" t="n">
        <v>15421106</v>
      </c>
      <c r="N2073" s="81" t="n">
        <v>11.94</v>
      </c>
      <c r="O2073" s="81" t="n">
        <v>2097720</v>
      </c>
      <c r="P2073" s="81" t="n">
        <v>15421112</v>
      </c>
      <c r="Q2073" s="81" t="n">
        <v>11.94</v>
      </c>
      <c r="R2073" s="81" t="s">
        <v>2476</v>
      </c>
      <c r="S2073" s="81"/>
      <c r="T2073" s="81"/>
      <c r="U2073" s="83" t="n">
        <v>46266</v>
      </c>
      <c r="V2073" s="83" t="n">
        <v>46266</v>
      </c>
      <c r="W2073" s="81" t="s">
        <v>2477</v>
      </c>
      <c r="X2073" s="81" t="s">
        <v>876</v>
      </c>
      <c r="Y2073" s="83" t="n">
        <v>46274</v>
      </c>
      <c r="Z2073" s="81" t="s">
        <v>2517</v>
      </c>
      <c r="AA2073" s="81" t="s">
        <v>1153</v>
      </c>
      <c r="AB2073" s="81" t="s">
        <v>2518</v>
      </c>
      <c r="AC2073" s="81"/>
      <c r="AD2073" s="81"/>
      <c r="AE2073" s="83"/>
      <c r="AF2073" s="81"/>
      <c r="AG2073" s="81"/>
      <c r="AH2073" s="81"/>
      <c r="AI2073" s="81"/>
      <c r="AJ2073" s="83"/>
      <c r="AK2073" s="81"/>
      <c r="AL2073" s="81"/>
      <c r="AM2073" s="83"/>
      <c r="AN2073" s="80"/>
      <c r="AO2073" s="82" t="n">
        <f aca="false">IF(E2073="","",(AA2073&lt;&gt;"")+(AG2073&lt;&gt;"")+(AL2073&lt;&gt;""))</f>
        <v>1</v>
      </c>
      <c r="AP2073" s="82" t="str">
        <f aca="false">IF(AL2073&lt;&gt;"",AL2073,IF(AG2073&lt;&gt;"",AG2073,IF(AA2073&lt;&gt;"",AA2073,"")))</f>
        <v>NX</v>
      </c>
      <c r="AQ2073" s="84" t="str">
        <f aca="false">IF(E2073="","",IF(U2073="","À SOUDER",IF(X2073="","VT EN ATTENTE",IF(X2073="R","VT REJETÉ – À REPRENDRE",IF(AP2073="","À RADIOGRAPHIER",IF(AP2073="A","ACCEPTÉ",IF(AP2073="NX","NX – RT À REFAIRE",IF(IF(AO2073=1,AD2073,IF(AO2073=2,AI2073,""))="A","RÉPARÉ – À RADIOGRAPHIER",IF(IF(AO2073=1,AD2073,IF(AO2073=2,AI2073,""))="R","VT REJETÉ – À REPRENDRE",IF(OR(AP2073="CO",AP2073="NT"),"COUPE – À RESOUDER","À RÉPARER"))))))))))</f>
        <v>NX – RT À REFAIRE</v>
      </c>
      <c r="AR2073" s="82" t="n">
        <f aca="false">IF(AND(ISNUMBER(U2073),OR(AQ2073="À RADIOGRAPHIER",AQ2073="RÉPARÉ – À RADIOGRAPHIER",AQ2073="NX – RT À REFAIRE",AQ2073="À RÉPARER",AQ2073="COUPE – À RESOUDER",AQ2073="VT REJETÉ – À REPRENDRE")),MAX(0,'PROGRAMME RT'!$C$4-U2073),"")</f>
        <v>27</v>
      </c>
      <c r="AS2073" s="82" t="n">
        <f aca="false">IF(AND(OR(AQ2073="À RADIOGRAPHIER",AQ2073="RÉPARÉ – À RADIOGRAPHIER",AQ2073="NX – RT À REFAIRE"),OR('PROGRAMME RT'!$D$5="TOUTES",B2073='PROGRAMME RT'!$D$5)),1,0)</f>
        <v>1</v>
      </c>
      <c r="AT2073" s="82" t="n">
        <f aca="false">IF(AS2073=1,SUM(AS$7:AS2073),"")</f>
        <v>111</v>
      </c>
      <c r="AU2073" s="82" t="n">
        <f aca="false">IF(AND(OR(AA2073="R",AA2073="NX",AA2073="NT",AA2073="CO"),OR('JOINTS DE RÉPARATION'!$D$5="TOUTES",B2073='JOINTS DE RÉPARATION'!$D$5),OR('JOINTS DE RÉPARATION'!$L$4="TOUS",AQ2073&lt;&gt;"ACCEPTÉ")),1,0)</f>
        <v>1</v>
      </c>
      <c r="AV2073" s="82" t="n">
        <f aca="false">IF(AU2073=1,SUM(AU$7:AU2073),"")</f>
        <v>56</v>
      </c>
      <c r="AW2073" s="82" t="str">
        <f aca="false">IF(E2073="","",B2073&amp;"|"&amp;E2073)</f>
        <v>MFD-ISW → MFD-CPF|JN°1589</v>
      </c>
    </row>
    <row r="2074" customFormat="false" ht="74.6" hidden="false" customHeight="false" outlineLevel="0" collapsed="false">
      <c r="A2074" s="79" t="n">
        <f aca="false">IF(E2074="","",ROW()-6)</f>
        <v>2068</v>
      </c>
      <c r="B2074" s="80" t="s">
        <v>110</v>
      </c>
      <c r="C2074" s="81" t="s">
        <v>2510</v>
      </c>
      <c r="D2074" s="81" t="n">
        <v>19</v>
      </c>
      <c r="E2074" s="81" t="s">
        <v>2519</v>
      </c>
      <c r="F2074" s="82" t="str">
        <f aca="false">IF(E2074="","",IF(LEFT(E2074,2)="DJ","DJ","JN"))</f>
        <v>JN</v>
      </c>
      <c r="G2074" s="81" t="s">
        <v>1504</v>
      </c>
      <c r="H2074" s="81" t="s">
        <v>871</v>
      </c>
      <c r="I2074" s="81" t="n">
        <v>9.53</v>
      </c>
      <c r="J2074" s="81" t="s">
        <v>872</v>
      </c>
      <c r="K2074" s="81" t="s">
        <v>879</v>
      </c>
      <c r="L2074" s="81" t="n">
        <v>2097720</v>
      </c>
      <c r="M2074" s="81" t="n">
        <v>15421112</v>
      </c>
      <c r="N2074" s="81" t="n">
        <v>11.94</v>
      </c>
      <c r="O2074" s="81" t="n">
        <v>2086020</v>
      </c>
      <c r="P2074" s="81" t="n">
        <v>15421109</v>
      </c>
      <c r="Q2074" s="81" t="n">
        <v>11.94</v>
      </c>
      <c r="R2074" s="81" t="s">
        <v>2476</v>
      </c>
      <c r="S2074" s="81"/>
      <c r="T2074" s="81"/>
      <c r="U2074" s="83" t="n">
        <v>46266</v>
      </c>
      <c r="V2074" s="83" t="n">
        <v>46266</v>
      </c>
      <c r="W2074" s="81" t="s">
        <v>2477</v>
      </c>
      <c r="X2074" s="81" t="s">
        <v>876</v>
      </c>
      <c r="Y2074" s="83" t="n">
        <v>46274</v>
      </c>
      <c r="Z2074" s="81" t="s">
        <v>2517</v>
      </c>
      <c r="AA2074" s="81" t="s">
        <v>1153</v>
      </c>
      <c r="AB2074" s="81" t="s">
        <v>2520</v>
      </c>
      <c r="AC2074" s="81"/>
      <c r="AD2074" s="81"/>
      <c r="AE2074" s="83"/>
      <c r="AF2074" s="81"/>
      <c r="AG2074" s="81"/>
      <c r="AH2074" s="81"/>
      <c r="AI2074" s="81"/>
      <c r="AJ2074" s="83"/>
      <c r="AK2074" s="81"/>
      <c r="AL2074" s="81"/>
      <c r="AM2074" s="83"/>
      <c r="AN2074" s="80"/>
      <c r="AO2074" s="82" t="n">
        <f aca="false">IF(E2074="","",(AA2074&lt;&gt;"")+(AG2074&lt;&gt;"")+(AL2074&lt;&gt;""))</f>
        <v>1</v>
      </c>
      <c r="AP2074" s="82" t="str">
        <f aca="false">IF(AL2074&lt;&gt;"",AL2074,IF(AG2074&lt;&gt;"",AG2074,IF(AA2074&lt;&gt;"",AA2074,"")))</f>
        <v>NX</v>
      </c>
      <c r="AQ2074" s="84" t="str">
        <f aca="false">IF(E2074="","",IF(U2074="","À SOUDER",IF(X2074="","VT EN ATTENTE",IF(X2074="R","VT REJETÉ – À REPRENDRE",IF(AP2074="","À RADIOGRAPHIER",IF(AP2074="A","ACCEPTÉ",IF(AP2074="NX","NX – RT À REFAIRE",IF(IF(AO2074=1,AD2074,IF(AO2074=2,AI2074,""))="A","RÉPARÉ – À RADIOGRAPHIER",IF(IF(AO2074=1,AD2074,IF(AO2074=2,AI2074,""))="R","VT REJETÉ – À REPRENDRE",IF(OR(AP2074="CO",AP2074="NT"),"COUPE – À RESOUDER","À RÉPARER"))))))))))</f>
        <v>NX – RT À REFAIRE</v>
      </c>
      <c r="AR2074" s="82" t="n">
        <f aca="false">IF(AND(ISNUMBER(U2074),OR(AQ2074="À RADIOGRAPHIER",AQ2074="RÉPARÉ – À RADIOGRAPHIER",AQ2074="NX – RT À REFAIRE",AQ2074="À RÉPARER",AQ2074="COUPE – À RESOUDER",AQ2074="VT REJETÉ – À REPRENDRE")),MAX(0,'PROGRAMME RT'!$C$4-U2074),"")</f>
        <v>27</v>
      </c>
      <c r="AS2074" s="82" t="n">
        <f aca="false">IF(AND(OR(AQ2074="À RADIOGRAPHIER",AQ2074="RÉPARÉ – À RADIOGRAPHIER",AQ2074="NX – RT À REFAIRE"),OR('PROGRAMME RT'!$D$5="TOUTES",B2074='PROGRAMME RT'!$D$5)),1,0)</f>
        <v>1</v>
      </c>
      <c r="AT2074" s="82" t="n">
        <f aca="false">IF(AS2074=1,SUM(AS$7:AS2074),"")</f>
        <v>112</v>
      </c>
      <c r="AU2074" s="82" t="n">
        <f aca="false">IF(AND(OR(AA2074="R",AA2074="NX",AA2074="NT",AA2074="CO"),OR('JOINTS DE RÉPARATION'!$D$5="TOUTES",B2074='JOINTS DE RÉPARATION'!$D$5),OR('JOINTS DE RÉPARATION'!$L$4="TOUS",AQ2074&lt;&gt;"ACCEPTÉ")),1,0)</f>
        <v>1</v>
      </c>
      <c r="AV2074" s="82" t="n">
        <f aca="false">IF(AU2074=1,SUM(AU$7:AU2074),"")</f>
        <v>57</v>
      </c>
      <c r="AW2074" s="82" t="str">
        <f aca="false">IF(E2074="","",B2074&amp;"|"&amp;E2074)</f>
        <v>MFD-ISW → MFD-CPF|JN°1590</v>
      </c>
    </row>
    <row r="2075" customFormat="false" ht="74.6" hidden="false" customHeight="false" outlineLevel="0" collapsed="false">
      <c r="A2075" s="79" t="n">
        <f aca="false">IF(E2075="","",ROW()-6)</f>
        <v>2069</v>
      </c>
      <c r="B2075" s="80" t="s">
        <v>110</v>
      </c>
      <c r="C2075" s="81" t="s">
        <v>2510</v>
      </c>
      <c r="D2075" s="81" t="n">
        <v>19</v>
      </c>
      <c r="E2075" s="81" t="s">
        <v>2521</v>
      </c>
      <c r="F2075" s="82" t="str">
        <f aca="false">IF(E2075="","",IF(LEFT(E2075,2)="DJ","DJ","JN"))</f>
        <v>JN</v>
      </c>
      <c r="G2075" s="81" t="s">
        <v>1504</v>
      </c>
      <c r="H2075" s="81" t="s">
        <v>871</v>
      </c>
      <c r="I2075" s="81" t="n">
        <v>9.53</v>
      </c>
      <c r="J2075" s="81" t="s">
        <v>872</v>
      </c>
      <c r="K2075" s="81" t="s">
        <v>879</v>
      </c>
      <c r="L2075" s="81" t="n">
        <v>2086020</v>
      </c>
      <c r="M2075" s="81" t="n">
        <v>15421109</v>
      </c>
      <c r="N2075" s="81" t="n">
        <v>11.94</v>
      </c>
      <c r="O2075" s="81" t="n">
        <v>2093500</v>
      </c>
      <c r="P2075" s="81" t="n">
        <v>15421110</v>
      </c>
      <c r="Q2075" s="81" t="n">
        <v>11.94</v>
      </c>
      <c r="R2075" s="81" t="s">
        <v>2476</v>
      </c>
      <c r="S2075" s="81"/>
      <c r="T2075" s="81"/>
      <c r="U2075" s="83" t="n">
        <v>46266</v>
      </c>
      <c r="V2075" s="83" t="n">
        <v>46266</v>
      </c>
      <c r="W2075" s="81" t="s">
        <v>2477</v>
      </c>
      <c r="X2075" s="81" t="s">
        <v>876</v>
      </c>
      <c r="Y2075" s="83" t="n">
        <v>46274</v>
      </c>
      <c r="Z2075" s="81" t="s">
        <v>2512</v>
      </c>
      <c r="AA2075" s="81" t="s">
        <v>876</v>
      </c>
      <c r="AB2075" s="81"/>
      <c r="AC2075" s="81"/>
      <c r="AD2075" s="81"/>
      <c r="AE2075" s="83"/>
      <c r="AF2075" s="81"/>
      <c r="AG2075" s="81"/>
      <c r="AH2075" s="81"/>
      <c r="AI2075" s="81"/>
      <c r="AJ2075" s="83"/>
      <c r="AK2075" s="81"/>
      <c r="AL2075" s="81"/>
      <c r="AM2075" s="83"/>
      <c r="AN2075" s="80"/>
      <c r="AO2075" s="82" t="n">
        <f aca="false">IF(E2075="","",(AA2075&lt;&gt;"")+(AG2075&lt;&gt;"")+(AL2075&lt;&gt;""))</f>
        <v>1</v>
      </c>
      <c r="AP2075" s="82" t="str">
        <f aca="false">IF(AL2075&lt;&gt;"",AL2075,IF(AG2075&lt;&gt;"",AG2075,IF(AA2075&lt;&gt;"",AA2075,"")))</f>
        <v>A</v>
      </c>
      <c r="AQ2075" s="84" t="str">
        <f aca="false">IF(E2075="","",IF(U2075="","À SOUDER",IF(X2075="","VT EN ATTENTE",IF(X2075="R","VT REJETÉ – À REPRENDRE",IF(AP2075="","À RADIOGRAPHIER",IF(AP2075="A","ACCEPTÉ",IF(AP2075="NX","NX – RT À REFAIRE",IF(IF(AO2075=1,AD2075,IF(AO2075=2,AI2075,""))="A","RÉPARÉ – À RADIOGRAPHIER",IF(IF(AO2075=1,AD2075,IF(AO2075=2,AI2075,""))="R","VT REJETÉ – À REPRENDRE",IF(OR(AP2075="CO",AP2075="NT"),"COUPE – À RESOUDER","À RÉPARER"))))))))))</f>
        <v>ACCEPTÉ</v>
      </c>
      <c r="AR2075" s="82" t="str">
        <f aca="false">IF(AND(ISNUMBER(U2075),OR(AQ2075="À RADIOGRAPHIER",AQ2075="RÉPARÉ – À RADIOGRAPHIER",AQ2075="NX – RT À REFAIRE",AQ2075="À RÉPARER",AQ2075="COUPE – À RESOUDER",AQ2075="VT REJETÉ – À REPRENDRE")),MAX(0,'PROGRAMME RT'!$C$4-U2075),"")</f>
        <v/>
      </c>
      <c r="AS2075" s="82" t="n">
        <f aca="false">IF(AND(OR(AQ2075="À RADIOGRAPHIER",AQ2075="RÉPARÉ – À RADIOGRAPHIER",AQ2075="NX – RT À REFAIRE"),OR('PROGRAMME RT'!$D$5="TOUTES",B2075='PROGRAMME RT'!$D$5)),1,0)</f>
        <v>0</v>
      </c>
      <c r="AT2075" s="82" t="str">
        <f aca="false">IF(AS2075=1,SUM(AS$7:AS2075),"")</f>
        <v/>
      </c>
      <c r="AU2075" s="82" t="n">
        <f aca="false">IF(AND(OR(AA2075="R",AA2075="NX",AA2075="NT",AA2075="CO"),OR('JOINTS DE RÉPARATION'!$D$5="TOUTES",B2075='JOINTS DE RÉPARATION'!$D$5),OR('JOINTS DE RÉPARATION'!$L$4="TOUS",AQ2075&lt;&gt;"ACCEPTÉ")),1,0)</f>
        <v>0</v>
      </c>
      <c r="AV2075" s="82" t="str">
        <f aca="false">IF(AU2075=1,SUM(AU$7:AU2075),"")</f>
        <v/>
      </c>
      <c r="AW2075" s="82" t="str">
        <f aca="false">IF(E2075="","",B2075&amp;"|"&amp;E2075)</f>
        <v>MFD-ISW → MFD-CPF|JN°1591</v>
      </c>
    </row>
    <row r="2076" customFormat="false" ht="74.6" hidden="false" customHeight="false" outlineLevel="0" collapsed="false">
      <c r="A2076" s="79" t="n">
        <f aca="false">IF(E2076="","",ROW()-6)</f>
        <v>2070</v>
      </c>
      <c r="B2076" s="80" t="s">
        <v>110</v>
      </c>
      <c r="C2076" s="81" t="s">
        <v>2510</v>
      </c>
      <c r="D2076" s="81" t="n">
        <v>19</v>
      </c>
      <c r="E2076" s="81" t="s">
        <v>2522</v>
      </c>
      <c r="F2076" s="82" t="str">
        <f aca="false">IF(E2076="","",IF(LEFT(E2076,2)="DJ","DJ","JN"))</f>
        <v>JN</v>
      </c>
      <c r="G2076" s="81" t="s">
        <v>1504</v>
      </c>
      <c r="H2076" s="81" t="s">
        <v>871</v>
      </c>
      <c r="I2076" s="81" t="n">
        <v>9.53</v>
      </c>
      <c r="J2076" s="81" t="s">
        <v>872</v>
      </c>
      <c r="K2076" s="81" t="s">
        <v>879</v>
      </c>
      <c r="L2076" s="81" t="n">
        <v>2093500</v>
      </c>
      <c r="M2076" s="81" t="n">
        <v>15421110</v>
      </c>
      <c r="N2076" s="81" t="n">
        <v>11.94</v>
      </c>
      <c r="O2076" s="81" t="n">
        <v>2096120</v>
      </c>
      <c r="P2076" s="81" t="n">
        <v>15421111</v>
      </c>
      <c r="Q2076" s="81" t="n">
        <v>11.94</v>
      </c>
      <c r="R2076" s="81" t="s">
        <v>2476</v>
      </c>
      <c r="S2076" s="81"/>
      <c r="T2076" s="81"/>
      <c r="U2076" s="83" t="n">
        <v>46266</v>
      </c>
      <c r="V2076" s="83" t="n">
        <v>46266</v>
      </c>
      <c r="W2076" s="81" t="s">
        <v>2523</v>
      </c>
      <c r="X2076" s="81" t="s">
        <v>876</v>
      </c>
      <c r="Y2076" s="83" t="n">
        <v>46274</v>
      </c>
      <c r="Z2076" s="81" t="s">
        <v>2512</v>
      </c>
      <c r="AA2076" s="81" t="s">
        <v>876</v>
      </c>
      <c r="AB2076" s="81"/>
      <c r="AC2076" s="81"/>
      <c r="AD2076" s="81"/>
      <c r="AE2076" s="83"/>
      <c r="AF2076" s="81"/>
      <c r="AG2076" s="81"/>
      <c r="AH2076" s="81"/>
      <c r="AI2076" s="81"/>
      <c r="AJ2076" s="83"/>
      <c r="AK2076" s="81"/>
      <c r="AL2076" s="81"/>
      <c r="AM2076" s="83"/>
      <c r="AN2076" s="80"/>
      <c r="AO2076" s="82" t="n">
        <f aca="false">IF(E2076="","",(AA2076&lt;&gt;"")+(AG2076&lt;&gt;"")+(AL2076&lt;&gt;""))</f>
        <v>1</v>
      </c>
      <c r="AP2076" s="82" t="str">
        <f aca="false">IF(AL2076&lt;&gt;"",AL2076,IF(AG2076&lt;&gt;"",AG2076,IF(AA2076&lt;&gt;"",AA2076,"")))</f>
        <v>A</v>
      </c>
      <c r="AQ2076" s="84" t="str">
        <f aca="false">IF(E2076="","",IF(U2076="","À SOUDER",IF(X2076="","VT EN ATTENTE",IF(X2076="R","VT REJETÉ – À REPRENDRE",IF(AP2076="","À RADIOGRAPHIER",IF(AP2076="A","ACCEPTÉ",IF(AP2076="NX","NX – RT À REFAIRE",IF(IF(AO2076=1,AD2076,IF(AO2076=2,AI2076,""))="A","RÉPARÉ – À RADIOGRAPHIER",IF(IF(AO2076=1,AD2076,IF(AO2076=2,AI2076,""))="R","VT REJETÉ – À REPRENDRE",IF(OR(AP2076="CO",AP2076="NT"),"COUPE – À RESOUDER","À RÉPARER"))))))))))</f>
        <v>ACCEPTÉ</v>
      </c>
      <c r="AR2076" s="82" t="str">
        <f aca="false">IF(AND(ISNUMBER(U2076),OR(AQ2076="À RADIOGRAPHIER",AQ2076="RÉPARÉ – À RADIOGRAPHIER",AQ2076="NX – RT À REFAIRE",AQ2076="À RÉPARER",AQ2076="COUPE – À RESOUDER",AQ2076="VT REJETÉ – À REPRENDRE")),MAX(0,'PROGRAMME RT'!$C$4-U2076),"")</f>
        <v/>
      </c>
      <c r="AS2076" s="82" t="n">
        <f aca="false">IF(AND(OR(AQ2076="À RADIOGRAPHIER",AQ2076="RÉPARÉ – À RADIOGRAPHIER",AQ2076="NX – RT À REFAIRE"),OR('PROGRAMME RT'!$D$5="TOUTES",B2076='PROGRAMME RT'!$D$5)),1,0)</f>
        <v>0</v>
      </c>
      <c r="AT2076" s="82" t="str">
        <f aca="false">IF(AS2076=1,SUM(AS$7:AS2076),"")</f>
        <v/>
      </c>
      <c r="AU2076" s="82" t="n">
        <f aca="false">IF(AND(OR(AA2076="R",AA2076="NX",AA2076="NT",AA2076="CO"),OR('JOINTS DE RÉPARATION'!$D$5="TOUTES",B2076='JOINTS DE RÉPARATION'!$D$5),OR('JOINTS DE RÉPARATION'!$L$4="TOUS",AQ2076&lt;&gt;"ACCEPTÉ")),1,0)</f>
        <v>0</v>
      </c>
      <c r="AV2076" s="82" t="str">
        <f aca="false">IF(AU2076=1,SUM(AU$7:AU2076),"")</f>
        <v/>
      </c>
      <c r="AW2076" s="82" t="str">
        <f aca="false">IF(E2076="","",B2076&amp;"|"&amp;E2076)</f>
        <v>MFD-ISW → MFD-CPF|JN°1592</v>
      </c>
    </row>
    <row r="2077" customFormat="false" ht="74.6" hidden="false" customHeight="false" outlineLevel="0" collapsed="false">
      <c r="A2077" s="79" t="n">
        <f aca="false">IF(E2077="","",ROW()-6)</f>
        <v>2071</v>
      </c>
      <c r="B2077" s="80" t="s">
        <v>110</v>
      </c>
      <c r="C2077" s="81" t="s">
        <v>2510</v>
      </c>
      <c r="D2077" s="81" t="n">
        <v>19</v>
      </c>
      <c r="E2077" s="81" t="s">
        <v>2524</v>
      </c>
      <c r="F2077" s="82" t="str">
        <f aca="false">IF(E2077="","",IF(LEFT(E2077,2)="DJ","DJ","JN"))</f>
        <v>JN</v>
      </c>
      <c r="G2077" s="81" t="s">
        <v>1504</v>
      </c>
      <c r="H2077" s="81" t="s">
        <v>871</v>
      </c>
      <c r="I2077" s="81" t="n">
        <v>9.53</v>
      </c>
      <c r="J2077" s="81" t="s">
        <v>872</v>
      </c>
      <c r="K2077" s="81" t="s">
        <v>879</v>
      </c>
      <c r="L2077" s="81" t="n">
        <v>2096120</v>
      </c>
      <c r="M2077" s="81" t="n">
        <v>15421111</v>
      </c>
      <c r="N2077" s="81" t="n">
        <v>11.94</v>
      </c>
      <c r="O2077" s="81" t="n">
        <v>2079790</v>
      </c>
      <c r="P2077" s="81" t="n">
        <v>15421102</v>
      </c>
      <c r="Q2077" s="81" t="n">
        <v>11.94</v>
      </c>
      <c r="R2077" s="81" t="s">
        <v>2476</v>
      </c>
      <c r="S2077" s="81"/>
      <c r="T2077" s="81"/>
      <c r="U2077" s="83" t="n">
        <v>46266</v>
      </c>
      <c r="V2077" s="83" t="n">
        <v>46266</v>
      </c>
      <c r="W2077" s="81" t="s">
        <v>2523</v>
      </c>
      <c r="X2077" s="81" t="s">
        <v>876</v>
      </c>
      <c r="Y2077" s="83" t="n">
        <v>46274</v>
      </c>
      <c r="Z2077" s="81" t="s">
        <v>2512</v>
      </c>
      <c r="AA2077" s="81" t="s">
        <v>876</v>
      </c>
      <c r="AB2077" s="81"/>
      <c r="AC2077" s="81"/>
      <c r="AD2077" s="81"/>
      <c r="AE2077" s="83"/>
      <c r="AF2077" s="81"/>
      <c r="AG2077" s="81"/>
      <c r="AH2077" s="81"/>
      <c r="AI2077" s="81"/>
      <c r="AJ2077" s="83"/>
      <c r="AK2077" s="81"/>
      <c r="AL2077" s="81"/>
      <c r="AM2077" s="83"/>
      <c r="AN2077" s="80"/>
      <c r="AO2077" s="82" t="n">
        <f aca="false">IF(E2077="","",(AA2077&lt;&gt;"")+(AG2077&lt;&gt;"")+(AL2077&lt;&gt;""))</f>
        <v>1</v>
      </c>
      <c r="AP2077" s="82" t="str">
        <f aca="false">IF(AL2077&lt;&gt;"",AL2077,IF(AG2077&lt;&gt;"",AG2077,IF(AA2077&lt;&gt;"",AA2077,"")))</f>
        <v>A</v>
      </c>
      <c r="AQ2077" s="84" t="str">
        <f aca="false">IF(E2077="","",IF(U2077="","À SOUDER",IF(X2077="","VT EN ATTENTE",IF(X2077="R","VT REJETÉ – À REPRENDRE",IF(AP2077="","À RADIOGRAPHIER",IF(AP2077="A","ACCEPTÉ",IF(AP2077="NX","NX – RT À REFAIRE",IF(IF(AO2077=1,AD2077,IF(AO2077=2,AI2077,""))="A","RÉPARÉ – À RADIOGRAPHIER",IF(IF(AO2077=1,AD2077,IF(AO2077=2,AI2077,""))="R","VT REJETÉ – À REPRENDRE",IF(OR(AP2077="CO",AP2077="NT"),"COUPE – À RESOUDER","À RÉPARER"))))))))))</f>
        <v>ACCEPTÉ</v>
      </c>
      <c r="AR2077" s="82" t="str">
        <f aca="false">IF(AND(ISNUMBER(U2077),OR(AQ2077="À RADIOGRAPHIER",AQ2077="RÉPARÉ – À RADIOGRAPHIER",AQ2077="NX – RT À REFAIRE",AQ2077="À RÉPARER",AQ2077="COUPE – À RESOUDER",AQ2077="VT REJETÉ – À REPRENDRE")),MAX(0,'PROGRAMME RT'!$C$4-U2077),"")</f>
        <v/>
      </c>
      <c r="AS2077" s="82" t="n">
        <f aca="false">IF(AND(OR(AQ2077="À RADIOGRAPHIER",AQ2077="RÉPARÉ – À RADIOGRAPHIER",AQ2077="NX – RT À REFAIRE"),OR('PROGRAMME RT'!$D$5="TOUTES",B2077='PROGRAMME RT'!$D$5)),1,0)</f>
        <v>0</v>
      </c>
      <c r="AT2077" s="82" t="str">
        <f aca="false">IF(AS2077=1,SUM(AS$7:AS2077),"")</f>
        <v/>
      </c>
      <c r="AU2077" s="82" t="n">
        <f aca="false">IF(AND(OR(AA2077="R",AA2077="NX",AA2077="NT",AA2077="CO"),OR('JOINTS DE RÉPARATION'!$D$5="TOUTES",B2077='JOINTS DE RÉPARATION'!$D$5),OR('JOINTS DE RÉPARATION'!$L$4="TOUS",AQ2077&lt;&gt;"ACCEPTÉ")),1,0)</f>
        <v>0</v>
      </c>
      <c r="AV2077" s="82" t="str">
        <f aca="false">IF(AU2077=1,SUM(AU$7:AU2077),"")</f>
        <v/>
      </c>
      <c r="AW2077" s="82" t="str">
        <f aca="false">IF(E2077="","",B2077&amp;"|"&amp;E2077)</f>
        <v>MFD-ISW → MFD-CPF|JN°1593</v>
      </c>
    </row>
    <row r="2078" customFormat="false" ht="74.6" hidden="false" customHeight="false" outlineLevel="0" collapsed="false">
      <c r="A2078" s="79" t="n">
        <f aca="false">IF(E2078="","",ROW()-6)</f>
        <v>2072</v>
      </c>
      <c r="B2078" s="80" t="s">
        <v>110</v>
      </c>
      <c r="C2078" s="81" t="s">
        <v>2510</v>
      </c>
      <c r="D2078" s="81" t="n">
        <v>19</v>
      </c>
      <c r="E2078" s="81" t="s">
        <v>2525</v>
      </c>
      <c r="F2078" s="82" t="str">
        <f aca="false">IF(E2078="","",IF(LEFT(E2078,2)="DJ","DJ","JN"))</f>
        <v>JN</v>
      </c>
      <c r="G2078" s="81" t="s">
        <v>1504</v>
      </c>
      <c r="H2078" s="81" t="s">
        <v>871</v>
      </c>
      <c r="I2078" s="81" t="n">
        <v>9.53</v>
      </c>
      <c r="J2078" s="81" t="s">
        <v>872</v>
      </c>
      <c r="K2078" s="81" t="s">
        <v>879</v>
      </c>
      <c r="L2078" s="81" t="n">
        <v>2079790</v>
      </c>
      <c r="M2078" s="81" t="n">
        <v>15421102</v>
      </c>
      <c r="N2078" s="81" t="n">
        <v>11.94</v>
      </c>
      <c r="O2078" s="81" t="n">
        <v>2093590</v>
      </c>
      <c r="P2078" s="81" t="n">
        <v>15421110</v>
      </c>
      <c r="Q2078" s="81" t="n">
        <v>11.94</v>
      </c>
      <c r="R2078" s="81" t="s">
        <v>2476</v>
      </c>
      <c r="S2078" s="81"/>
      <c r="T2078" s="81"/>
      <c r="U2078" s="83" t="n">
        <v>46266</v>
      </c>
      <c r="V2078" s="83" t="n">
        <v>46266</v>
      </c>
      <c r="W2078" s="81" t="s">
        <v>2523</v>
      </c>
      <c r="X2078" s="81" t="s">
        <v>876</v>
      </c>
      <c r="Y2078" s="83" t="n">
        <v>46274</v>
      </c>
      <c r="Z2078" s="81" t="s">
        <v>2517</v>
      </c>
      <c r="AA2078" s="81" t="s">
        <v>1153</v>
      </c>
      <c r="AB2078" s="81" t="s">
        <v>1509</v>
      </c>
      <c r="AC2078" s="81"/>
      <c r="AD2078" s="81"/>
      <c r="AE2078" s="83"/>
      <c r="AF2078" s="81"/>
      <c r="AG2078" s="81"/>
      <c r="AH2078" s="81"/>
      <c r="AI2078" s="81"/>
      <c r="AJ2078" s="83"/>
      <c r="AK2078" s="81"/>
      <c r="AL2078" s="81"/>
      <c r="AM2078" s="83"/>
      <c r="AN2078" s="80"/>
      <c r="AO2078" s="82" t="n">
        <f aca="false">IF(E2078="","",(AA2078&lt;&gt;"")+(AG2078&lt;&gt;"")+(AL2078&lt;&gt;""))</f>
        <v>1</v>
      </c>
      <c r="AP2078" s="82" t="str">
        <f aca="false">IF(AL2078&lt;&gt;"",AL2078,IF(AG2078&lt;&gt;"",AG2078,IF(AA2078&lt;&gt;"",AA2078,"")))</f>
        <v>NX</v>
      </c>
      <c r="AQ2078" s="84" t="str">
        <f aca="false">IF(E2078="","",IF(U2078="","À SOUDER",IF(X2078="","VT EN ATTENTE",IF(X2078="R","VT REJETÉ – À REPRENDRE",IF(AP2078="","À RADIOGRAPHIER",IF(AP2078="A","ACCEPTÉ",IF(AP2078="NX","NX – RT À REFAIRE",IF(IF(AO2078=1,AD2078,IF(AO2078=2,AI2078,""))="A","RÉPARÉ – À RADIOGRAPHIER",IF(IF(AO2078=1,AD2078,IF(AO2078=2,AI2078,""))="R","VT REJETÉ – À REPRENDRE",IF(OR(AP2078="CO",AP2078="NT"),"COUPE – À RESOUDER","À RÉPARER"))))))))))</f>
        <v>NX – RT À REFAIRE</v>
      </c>
      <c r="AR2078" s="82" t="n">
        <f aca="false">IF(AND(ISNUMBER(U2078),OR(AQ2078="À RADIOGRAPHIER",AQ2078="RÉPARÉ – À RADIOGRAPHIER",AQ2078="NX – RT À REFAIRE",AQ2078="À RÉPARER",AQ2078="COUPE – À RESOUDER",AQ2078="VT REJETÉ – À REPRENDRE")),MAX(0,'PROGRAMME RT'!$C$4-U2078),"")</f>
        <v>27</v>
      </c>
      <c r="AS2078" s="82" t="n">
        <f aca="false">IF(AND(OR(AQ2078="À RADIOGRAPHIER",AQ2078="RÉPARÉ – À RADIOGRAPHIER",AQ2078="NX – RT À REFAIRE"),OR('PROGRAMME RT'!$D$5="TOUTES",B2078='PROGRAMME RT'!$D$5)),1,0)</f>
        <v>1</v>
      </c>
      <c r="AT2078" s="82" t="n">
        <f aca="false">IF(AS2078=1,SUM(AS$7:AS2078),"")</f>
        <v>113</v>
      </c>
      <c r="AU2078" s="82" t="n">
        <f aca="false">IF(AND(OR(AA2078="R",AA2078="NX",AA2078="NT",AA2078="CO"),OR('JOINTS DE RÉPARATION'!$D$5="TOUTES",B2078='JOINTS DE RÉPARATION'!$D$5),OR('JOINTS DE RÉPARATION'!$L$4="TOUS",AQ2078&lt;&gt;"ACCEPTÉ")),1,0)</f>
        <v>1</v>
      </c>
      <c r="AV2078" s="82" t="n">
        <f aca="false">IF(AU2078=1,SUM(AU$7:AU2078),"")</f>
        <v>58</v>
      </c>
      <c r="AW2078" s="82" t="str">
        <f aca="false">IF(E2078="","",B2078&amp;"|"&amp;E2078)</f>
        <v>MFD-ISW → MFD-CPF|JN°1594</v>
      </c>
    </row>
    <row r="2079" customFormat="false" ht="74.6" hidden="false" customHeight="false" outlineLevel="0" collapsed="false">
      <c r="A2079" s="79" t="n">
        <f aca="false">IF(E2079="","",ROW()-6)</f>
        <v>2073</v>
      </c>
      <c r="B2079" s="80" t="s">
        <v>110</v>
      </c>
      <c r="C2079" s="81" t="s">
        <v>2510</v>
      </c>
      <c r="D2079" s="81" t="n">
        <v>19</v>
      </c>
      <c r="E2079" s="81" t="s">
        <v>2526</v>
      </c>
      <c r="F2079" s="82" t="str">
        <f aca="false">IF(E2079="","",IF(LEFT(E2079,2)="DJ","DJ","JN"))</f>
        <v>JN</v>
      </c>
      <c r="G2079" s="81" t="s">
        <v>1504</v>
      </c>
      <c r="H2079" s="81" t="s">
        <v>871</v>
      </c>
      <c r="I2079" s="81" t="n">
        <v>9.53</v>
      </c>
      <c r="J2079" s="81" t="s">
        <v>872</v>
      </c>
      <c r="K2079" s="81" t="s">
        <v>879</v>
      </c>
      <c r="L2079" s="81" t="n">
        <v>2093590</v>
      </c>
      <c r="M2079" s="81" t="n">
        <v>15421110</v>
      </c>
      <c r="N2079" s="81" t="n">
        <v>11.94</v>
      </c>
      <c r="O2079" s="81" t="n">
        <v>2078570</v>
      </c>
      <c r="P2079" s="81" t="n">
        <v>15421101</v>
      </c>
      <c r="Q2079" s="81" t="n">
        <v>11.94</v>
      </c>
      <c r="R2079" s="81" t="s">
        <v>2476</v>
      </c>
      <c r="S2079" s="81"/>
      <c r="T2079" s="81"/>
      <c r="U2079" s="83" t="n">
        <v>46266</v>
      </c>
      <c r="V2079" s="83" t="n">
        <v>46266</v>
      </c>
      <c r="W2079" s="81" t="s">
        <v>2523</v>
      </c>
      <c r="X2079" s="81" t="s">
        <v>876</v>
      </c>
      <c r="Y2079" s="83" t="n">
        <v>46274</v>
      </c>
      <c r="Z2079" s="81" t="s">
        <v>2517</v>
      </c>
      <c r="AA2079" s="81" t="s">
        <v>1153</v>
      </c>
      <c r="AB2079" s="81" t="s">
        <v>1509</v>
      </c>
      <c r="AC2079" s="81"/>
      <c r="AD2079" s="81"/>
      <c r="AE2079" s="83"/>
      <c r="AF2079" s="81"/>
      <c r="AG2079" s="81"/>
      <c r="AH2079" s="81"/>
      <c r="AI2079" s="81"/>
      <c r="AJ2079" s="83"/>
      <c r="AK2079" s="81"/>
      <c r="AL2079" s="81"/>
      <c r="AM2079" s="83"/>
      <c r="AN2079" s="80"/>
      <c r="AO2079" s="82" t="n">
        <f aca="false">IF(E2079="","",(AA2079&lt;&gt;"")+(AG2079&lt;&gt;"")+(AL2079&lt;&gt;""))</f>
        <v>1</v>
      </c>
      <c r="AP2079" s="82" t="str">
        <f aca="false">IF(AL2079&lt;&gt;"",AL2079,IF(AG2079&lt;&gt;"",AG2079,IF(AA2079&lt;&gt;"",AA2079,"")))</f>
        <v>NX</v>
      </c>
      <c r="AQ2079" s="84" t="str">
        <f aca="false">IF(E2079="","",IF(U2079="","À SOUDER",IF(X2079="","VT EN ATTENTE",IF(X2079="R","VT REJETÉ – À REPRENDRE",IF(AP2079="","À RADIOGRAPHIER",IF(AP2079="A","ACCEPTÉ",IF(AP2079="NX","NX – RT À REFAIRE",IF(IF(AO2079=1,AD2079,IF(AO2079=2,AI2079,""))="A","RÉPARÉ – À RADIOGRAPHIER",IF(IF(AO2079=1,AD2079,IF(AO2079=2,AI2079,""))="R","VT REJETÉ – À REPRENDRE",IF(OR(AP2079="CO",AP2079="NT"),"COUPE – À RESOUDER","À RÉPARER"))))))))))</f>
        <v>NX – RT À REFAIRE</v>
      </c>
      <c r="AR2079" s="82" t="n">
        <f aca="false">IF(AND(ISNUMBER(U2079),OR(AQ2079="À RADIOGRAPHIER",AQ2079="RÉPARÉ – À RADIOGRAPHIER",AQ2079="NX – RT À REFAIRE",AQ2079="À RÉPARER",AQ2079="COUPE – À RESOUDER",AQ2079="VT REJETÉ – À REPRENDRE")),MAX(0,'PROGRAMME RT'!$C$4-U2079),"")</f>
        <v>27</v>
      </c>
      <c r="AS2079" s="82" t="n">
        <f aca="false">IF(AND(OR(AQ2079="À RADIOGRAPHIER",AQ2079="RÉPARÉ – À RADIOGRAPHIER",AQ2079="NX – RT À REFAIRE"),OR('PROGRAMME RT'!$D$5="TOUTES",B2079='PROGRAMME RT'!$D$5)),1,0)</f>
        <v>1</v>
      </c>
      <c r="AT2079" s="82" t="n">
        <f aca="false">IF(AS2079=1,SUM(AS$7:AS2079),"")</f>
        <v>114</v>
      </c>
      <c r="AU2079" s="82" t="n">
        <f aca="false">IF(AND(OR(AA2079="R",AA2079="NX",AA2079="NT",AA2079="CO"),OR('JOINTS DE RÉPARATION'!$D$5="TOUTES",B2079='JOINTS DE RÉPARATION'!$D$5),OR('JOINTS DE RÉPARATION'!$L$4="TOUS",AQ2079&lt;&gt;"ACCEPTÉ")),1,0)</f>
        <v>1</v>
      </c>
      <c r="AV2079" s="82" t="n">
        <f aca="false">IF(AU2079=1,SUM(AU$7:AU2079),"")</f>
        <v>59</v>
      </c>
      <c r="AW2079" s="82" t="str">
        <f aca="false">IF(E2079="","",B2079&amp;"|"&amp;E2079)</f>
        <v>MFD-ISW → MFD-CPF|JN°1595</v>
      </c>
    </row>
    <row r="2080" customFormat="false" ht="74.6" hidden="false" customHeight="false" outlineLevel="0" collapsed="false">
      <c r="A2080" s="79" t="n">
        <f aca="false">IF(E2080="","",ROW()-6)</f>
        <v>2074</v>
      </c>
      <c r="B2080" s="80" t="s">
        <v>110</v>
      </c>
      <c r="C2080" s="81" t="s">
        <v>2510</v>
      </c>
      <c r="D2080" s="81" t="n">
        <v>19</v>
      </c>
      <c r="E2080" s="81" t="s">
        <v>2527</v>
      </c>
      <c r="F2080" s="82" t="str">
        <f aca="false">IF(E2080="","",IF(LEFT(E2080,2)="DJ","DJ","JN"))</f>
        <v>JN</v>
      </c>
      <c r="G2080" s="81" t="s">
        <v>1504</v>
      </c>
      <c r="H2080" s="81" t="s">
        <v>871</v>
      </c>
      <c r="I2080" s="81" t="n">
        <v>9.53</v>
      </c>
      <c r="J2080" s="81" t="s">
        <v>872</v>
      </c>
      <c r="K2080" s="81" t="s">
        <v>879</v>
      </c>
      <c r="L2080" s="81" t="n">
        <v>2078570</v>
      </c>
      <c r="M2080" s="81" t="n">
        <v>15421101</v>
      </c>
      <c r="N2080" s="81" t="n">
        <v>11.94</v>
      </c>
      <c r="O2080" s="81" t="n">
        <v>2092380</v>
      </c>
      <c r="P2080" s="81" t="n">
        <v>15421110</v>
      </c>
      <c r="Q2080" s="81" t="n">
        <v>11.94</v>
      </c>
      <c r="R2080" s="81" t="s">
        <v>2476</v>
      </c>
      <c r="S2080" s="81"/>
      <c r="T2080" s="81"/>
      <c r="U2080" s="83" t="n">
        <v>46266</v>
      </c>
      <c r="V2080" s="83" t="n">
        <v>46266</v>
      </c>
      <c r="W2080" s="81" t="s">
        <v>2523</v>
      </c>
      <c r="X2080" s="81" t="s">
        <v>876</v>
      </c>
      <c r="Y2080" s="83" t="n">
        <v>46274</v>
      </c>
      <c r="Z2080" s="81" t="s">
        <v>2517</v>
      </c>
      <c r="AA2080" s="81" t="s">
        <v>1153</v>
      </c>
      <c r="AB2080" s="81" t="s">
        <v>1509</v>
      </c>
      <c r="AC2080" s="81"/>
      <c r="AD2080" s="81"/>
      <c r="AE2080" s="83"/>
      <c r="AF2080" s="81"/>
      <c r="AG2080" s="81"/>
      <c r="AH2080" s="81"/>
      <c r="AI2080" s="81"/>
      <c r="AJ2080" s="83"/>
      <c r="AK2080" s="81"/>
      <c r="AL2080" s="81"/>
      <c r="AM2080" s="83"/>
      <c r="AN2080" s="80"/>
      <c r="AO2080" s="82" t="n">
        <f aca="false">IF(E2080="","",(AA2080&lt;&gt;"")+(AG2080&lt;&gt;"")+(AL2080&lt;&gt;""))</f>
        <v>1</v>
      </c>
      <c r="AP2080" s="82" t="str">
        <f aca="false">IF(AL2080&lt;&gt;"",AL2080,IF(AG2080&lt;&gt;"",AG2080,IF(AA2080&lt;&gt;"",AA2080,"")))</f>
        <v>NX</v>
      </c>
      <c r="AQ2080" s="84" t="str">
        <f aca="false">IF(E2080="","",IF(U2080="","À SOUDER",IF(X2080="","VT EN ATTENTE",IF(X2080="R","VT REJETÉ – À REPRENDRE",IF(AP2080="","À RADIOGRAPHIER",IF(AP2080="A","ACCEPTÉ",IF(AP2080="NX","NX – RT À REFAIRE",IF(IF(AO2080=1,AD2080,IF(AO2080=2,AI2080,""))="A","RÉPARÉ – À RADIOGRAPHIER",IF(IF(AO2080=1,AD2080,IF(AO2080=2,AI2080,""))="R","VT REJETÉ – À REPRENDRE",IF(OR(AP2080="CO",AP2080="NT"),"COUPE – À RESOUDER","À RÉPARER"))))))))))</f>
        <v>NX – RT À REFAIRE</v>
      </c>
      <c r="AR2080" s="82" t="n">
        <f aca="false">IF(AND(ISNUMBER(U2080),OR(AQ2080="À RADIOGRAPHIER",AQ2080="RÉPARÉ – À RADIOGRAPHIER",AQ2080="NX – RT À REFAIRE",AQ2080="À RÉPARER",AQ2080="COUPE – À RESOUDER",AQ2080="VT REJETÉ – À REPRENDRE")),MAX(0,'PROGRAMME RT'!$C$4-U2080),"")</f>
        <v>27</v>
      </c>
      <c r="AS2080" s="82" t="n">
        <f aca="false">IF(AND(OR(AQ2080="À RADIOGRAPHIER",AQ2080="RÉPARÉ – À RADIOGRAPHIER",AQ2080="NX – RT À REFAIRE"),OR('PROGRAMME RT'!$D$5="TOUTES",B2080='PROGRAMME RT'!$D$5)),1,0)</f>
        <v>1</v>
      </c>
      <c r="AT2080" s="82" t="n">
        <f aca="false">IF(AS2080=1,SUM(AS$7:AS2080),"")</f>
        <v>115</v>
      </c>
      <c r="AU2080" s="82" t="n">
        <f aca="false">IF(AND(OR(AA2080="R",AA2080="NX",AA2080="NT",AA2080="CO"),OR('JOINTS DE RÉPARATION'!$D$5="TOUTES",B2080='JOINTS DE RÉPARATION'!$D$5),OR('JOINTS DE RÉPARATION'!$L$4="TOUS",AQ2080&lt;&gt;"ACCEPTÉ")),1,0)</f>
        <v>1</v>
      </c>
      <c r="AV2080" s="82" t="n">
        <f aca="false">IF(AU2080=1,SUM(AU$7:AU2080),"")</f>
        <v>60</v>
      </c>
      <c r="AW2080" s="82" t="str">
        <f aca="false">IF(E2080="","",B2080&amp;"|"&amp;E2080)</f>
        <v>MFD-ISW → MFD-CPF|JN°1596</v>
      </c>
    </row>
    <row r="2081" customFormat="false" ht="74.6" hidden="false" customHeight="false" outlineLevel="0" collapsed="false">
      <c r="A2081" s="79" t="n">
        <f aca="false">IF(E2081="","",ROW()-6)</f>
        <v>2075</v>
      </c>
      <c r="B2081" s="80" t="s">
        <v>110</v>
      </c>
      <c r="C2081" s="81" t="s">
        <v>2510</v>
      </c>
      <c r="D2081" s="81" t="n">
        <v>19</v>
      </c>
      <c r="E2081" s="81" t="s">
        <v>2528</v>
      </c>
      <c r="F2081" s="82" t="str">
        <f aca="false">IF(E2081="","",IF(LEFT(E2081,2)="DJ","DJ","JN"))</f>
        <v>JN</v>
      </c>
      <c r="G2081" s="81" t="s">
        <v>1504</v>
      </c>
      <c r="H2081" s="81" t="s">
        <v>871</v>
      </c>
      <c r="I2081" s="81" t="n">
        <v>9.53</v>
      </c>
      <c r="J2081" s="81" t="s">
        <v>872</v>
      </c>
      <c r="K2081" s="81" t="s">
        <v>879</v>
      </c>
      <c r="L2081" s="81" t="n">
        <v>2092380</v>
      </c>
      <c r="M2081" s="81" t="n">
        <v>15421110</v>
      </c>
      <c r="N2081" s="81" t="n">
        <v>11.94</v>
      </c>
      <c r="O2081" s="81" t="n">
        <v>2095690</v>
      </c>
      <c r="P2081" s="81" t="n">
        <v>15421111</v>
      </c>
      <c r="Q2081" s="81" t="n">
        <v>11.94</v>
      </c>
      <c r="R2081" s="81" t="s">
        <v>2476</v>
      </c>
      <c r="S2081" s="81"/>
      <c r="T2081" s="81"/>
      <c r="U2081" s="83" t="n">
        <v>46266</v>
      </c>
      <c r="V2081" s="83" t="n">
        <v>46266</v>
      </c>
      <c r="W2081" s="81" t="s">
        <v>2523</v>
      </c>
      <c r="X2081" s="81" t="s">
        <v>876</v>
      </c>
      <c r="Y2081" s="83" t="n">
        <v>46274</v>
      </c>
      <c r="Z2081" s="81" t="s">
        <v>2512</v>
      </c>
      <c r="AA2081" s="81" t="s">
        <v>876</v>
      </c>
      <c r="AB2081" s="81"/>
      <c r="AC2081" s="81"/>
      <c r="AD2081" s="81"/>
      <c r="AE2081" s="83"/>
      <c r="AF2081" s="81"/>
      <c r="AG2081" s="81"/>
      <c r="AH2081" s="81"/>
      <c r="AI2081" s="81"/>
      <c r="AJ2081" s="83"/>
      <c r="AK2081" s="81"/>
      <c r="AL2081" s="81"/>
      <c r="AM2081" s="83"/>
      <c r="AN2081" s="80"/>
      <c r="AO2081" s="82" t="n">
        <f aca="false">IF(E2081="","",(AA2081&lt;&gt;"")+(AG2081&lt;&gt;"")+(AL2081&lt;&gt;""))</f>
        <v>1</v>
      </c>
      <c r="AP2081" s="82" t="str">
        <f aca="false">IF(AL2081&lt;&gt;"",AL2081,IF(AG2081&lt;&gt;"",AG2081,IF(AA2081&lt;&gt;"",AA2081,"")))</f>
        <v>A</v>
      </c>
      <c r="AQ2081" s="84" t="str">
        <f aca="false">IF(E2081="","",IF(U2081="","À SOUDER",IF(X2081="","VT EN ATTENTE",IF(X2081="R","VT REJETÉ – À REPRENDRE",IF(AP2081="","À RADIOGRAPHIER",IF(AP2081="A","ACCEPTÉ",IF(AP2081="NX","NX – RT À REFAIRE",IF(IF(AO2081=1,AD2081,IF(AO2081=2,AI2081,""))="A","RÉPARÉ – À RADIOGRAPHIER",IF(IF(AO2081=1,AD2081,IF(AO2081=2,AI2081,""))="R","VT REJETÉ – À REPRENDRE",IF(OR(AP2081="CO",AP2081="NT"),"COUPE – À RESOUDER","À RÉPARER"))))))))))</f>
        <v>ACCEPTÉ</v>
      </c>
      <c r="AR2081" s="82" t="str">
        <f aca="false">IF(AND(ISNUMBER(U2081),OR(AQ2081="À RADIOGRAPHIER",AQ2081="RÉPARÉ – À RADIOGRAPHIER",AQ2081="NX – RT À REFAIRE",AQ2081="À RÉPARER",AQ2081="COUPE – À RESOUDER",AQ2081="VT REJETÉ – À REPRENDRE")),MAX(0,'PROGRAMME RT'!$C$4-U2081),"")</f>
        <v/>
      </c>
      <c r="AS2081" s="82" t="n">
        <f aca="false">IF(AND(OR(AQ2081="À RADIOGRAPHIER",AQ2081="RÉPARÉ – À RADIOGRAPHIER",AQ2081="NX – RT À REFAIRE"),OR('PROGRAMME RT'!$D$5="TOUTES",B2081='PROGRAMME RT'!$D$5)),1,0)</f>
        <v>0</v>
      </c>
      <c r="AT2081" s="82" t="str">
        <f aca="false">IF(AS2081=1,SUM(AS$7:AS2081),"")</f>
        <v/>
      </c>
      <c r="AU2081" s="82" t="n">
        <f aca="false">IF(AND(OR(AA2081="R",AA2081="NX",AA2081="NT",AA2081="CO"),OR('JOINTS DE RÉPARATION'!$D$5="TOUTES",B2081='JOINTS DE RÉPARATION'!$D$5),OR('JOINTS DE RÉPARATION'!$L$4="TOUS",AQ2081&lt;&gt;"ACCEPTÉ")),1,0)</f>
        <v>0</v>
      </c>
      <c r="AV2081" s="82" t="str">
        <f aca="false">IF(AU2081=1,SUM(AU$7:AU2081),"")</f>
        <v/>
      </c>
      <c r="AW2081" s="82" t="str">
        <f aca="false">IF(E2081="","",B2081&amp;"|"&amp;E2081)</f>
        <v>MFD-ISW → MFD-CPF|JN°1597</v>
      </c>
    </row>
    <row r="2082" customFormat="false" ht="74.6" hidden="false" customHeight="false" outlineLevel="0" collapsed="false">
      <c r="A2082" s="79" t="n">
        <f aca="false">IF(E2082="","",ROW()-6)</f>
        <v>2076</v>
      </c>
      <c r="B2082" s="80" t="s">
        <v>110</v>
      </c>
      <c r="C2082" s="81" t="s">
        <v>2510</v>
      </c>
      <c r="D2082" s="81" t="n">
        <v>19</v>
      </c>
      <c r="E2082" s="81" t="s">
        <v>2529</v>
      </c>
      <c r="F2082" s="82" t="str">
        <f aca="false">IF(E2082="","",IF(LEFT(E2082,2)="DJ","DJ","JN"))</f>
        <v>JN</v>
      </c>
      <c r="G2082" s="81" t="s">
        <v>1504</v>
      </c>
      <c r="H2082" s="81" t="s">
        <v>871</v>
      </c>
      <c r="I2082" s="81" t="n">
        <v>9.53</v>
      </c>
      <c r="J2082" s="81" t="s">
        <v>872</v>
      </c>
      <c r="K2082" s="81" t="s">
        <v>879</v>
      </c>
      <c r="L2082" s="81" t="n">
        <v>2095690</v>
      </c>
      <c r="M2082" s="81" t="n">
        <v>15421111</v>
      </c>
      <c r="N2082" s="81" t="n">
        <v>11.94</v>
      </c>
      <c r="O2082" s="81" t="n">
        <v>2080900</v>
      </c>
      <c r="P2082" s="81" t="n">
        <v>15421103</v>
      </c>
      <c r="Q2082" s="81" t="n">
        <v>11.94</v>
      </c>
      <c r="R2082" s="81" t="s">
        <v>2476</v>
      </c>
      <c r="S2082" s="81"/>
      <c r="T2082" s="81"/>
      <c r="U2082" s="83" t="n">
        <v>46266</v>
      </c>
      <c r="V2082" s="83" t="n">
        <v>46266</v>
      </c>
      <c r="W2082" s="81" t="s">
        <v>2523</v>
      </c>
      <c r="X2082" s="81" t="s">
        <v>876</v>
      </c>
      <c r="Y2082" s="83" t="n">
        <v>46274</v>
      </c>
      <c r="Z2082" s="81" t="s">
        <v>2512</v>
      </c>
      <c r="AA2082" s="81" t="s">
        <v>876</v>
      </c>
      <c r="AB2082" s="81"/>
      <c r="AC2082" s="81"/>
      <c r="AD2082" s="81"/>
      <c r="AE2082" s="83"/>
      <c r="AF2082" s="81"/>
      <c r="AG2082" s="81"/>
      <c r="AH2082" s="81"/>
      <c r="AI2082" s="81"/>
      <c r="AJ2082" s="83"/>
      <c r="AK2082" s="81"/>
      <c r="AL2082" s="81"/>
      <c r="AM2082" s="83"/>
      <c r="AN2082" s="80"/>
      <c r="AO2082" s="82" t="n">
        <f aca="false">IF(E2082="","",(AA2082&lt;&gt;"")+(AG2082&lt;&gt;"")+(AL2082&lt;&gt;""))</f>
        <v>1</v>
      </c>
      <c r="AP2082" s="82" t="str">
        <f aca="false">IF(AL2082&lt;&gt;"",AL2082,IF(AG2082&lt;&gt;"",AG2082,IF(AA2082&lt;&gt;"",AA2082,"")))</f>
        <v>A</v>
      </c>
      <c r="AQ2082" s="84" t="str">
        <f aca="false">IF(E2082="","",IF(U2082="","À SOUDER",IF(X2082="","VT EN ATTENTE",IF(X2082="R","VT REJETÉ – À REPRENDRE",IF(AP2082="","À RADIOGRAPHIER",IF(AP2082="A","ACCEPTÉ",IF(AP2082="NX","NX – RT À REFAIRE",IF(IF(AO2082=1,AD2082,IF(AO2082=2,AI2082,""))="A","RÉPARÉ – À RADIOGRAPHIER",IF(IF(AO2082=1,AD2082,IF(AO2082=2,AI2082,""))="R","VT REJETÉ – À REPRENDRE",IF(OR(AP2082="CO",AP2082="NT"),"COUPE – À RESOUDER","À RÉPARER"))))))))))</f>
        <v>ACCEPTÉ</v>
      </c>
      <c r="AR2082" s="82" t="str">
        <f aca="false">IF(AND(ISNUMBER(U2082),OR(AQ2082="À RADIOGRAPHIER",AQ2082="RÉPARÉ – À RADIOGRAPHIER",AQ2082="NX – RT À REFAIRE",AQ2082="À RÉPARER",AQ2082="COUPE – À RESOUDER",AQ2082="VT REJETÉ – À REPRENDRE")),MAX(0,'PROGRAMME RT'!$C$4-U2082),"")</f>
        <v/>
      </c>
      <c r="AS2082" s="82" t="n">
        <f aca="false">IF(AND(OR(AQ2082="À RADIOGRAPHIER",AQ2082="RÉPARÉ – À RADIOGRAPHIER",AQ2082="NX – RT À REFAIRE"),OR('PROGRAMME RT'!$D$5="TOUTES",B2082='PROGRAMME RT'!$D$5)),1,0)</f>
        <v>0</v>
      </c>
      <c r="AT2082" s="82" t="str">
        <f aca="false">IF(AS2082=1,SUM(AS$7:AS2082),"")</f>
        <v/>
      </c>
      <c r="AU2082" s="82" t="n">
        <f aca="false">IF(AND(OR(AA2082="R",AA2082="NX",AA2082="NT",AA2082="CO"),OR('JOINTS DE RÉPARATION'!$D$5="TOUTES",B2082='JOINTS DE RÉPARATION'!$D$5),OR('JOINTS DE RÉPARATION'!$L$4="TOUS",AQ2082&lt;&gt;"ACCEPTÉ")),1,0)</f>
        <v>0</v>
      </c>
      <c r="AV2082" s="82" t="str">
        <f aca="false">IF(AU2082=1,SUM(AU$7:AU2082),"")</f>
        <v/>
      </c>
      <c r="AW2082" s="82" t="str">
        <f aca="false">IF(E2082="","",B2082&amp;"|"&amp;E2082)</f>
        <v>MFD-ISW → MFD-CPF|JN°1598</v>
      </c>
    </row>
    <row r="2083" customFormat="false" ht="74.6" hidden="false" customHeight="false" outlineLevel="0" collapsed="false">
      <c r="A2083" s="79" t="n">
        <f aca="false">IF(E2083="","",ROW()-6)</f>
        <v>2077</v>
      </c>
      <c r="B2083" s="80" t="s">
        <v>110</v>
      </c>
      <c r="C2083" s="81" t="s">
        <v>2510</v>
      </c>
      <c r="D2083" s="81" t="n">
        <v>19</v>
      </c>
      <c r="E2083" s="81" t="s">
        <v>2530</v>
      </c>
      <c r="F2083" s="82" t="str">
        <f aca="false">IF(E2083="","",IF(LEFT(E2083,2)="DJ","DJ","JN"))</f>
        <v>JN</v>
      </c>
      <c r="G2083" s="81" t="s">
        <v>1504</v>
      </c>
      <c r="H2083" s="81" t="s">
        <v>871</v>
      </c>
      <c r="I2083" s="81" t="n">
        <v>9.53</v>
      </c>
      <c r="J2083" s="81" t="s">
        <v>872</v>
      </c>
      <c r="K2083" s="81" t="s">
        <v>879</v>
      </c>
      <c r="L2083" s="81" t="n">
        <v>2080900</v>
      </c>
      <c r="M2083" s="81" t="n">
        <v>15421103</v>
      </c>
      <c r="N2083" s="81" t="n">
        <v>11.94</v>
      </c>
      <c r="O2083" s="81" t="n">
        <v>2080890</v>
      </c>
      <c r="P2083" s="81" t="n">
        <v>15421103</v>
      </c>
      <c r="Q2083" s="81" t="n">
        <v>11.94</v>
      </c>
      <c r="R2083" s="81" t="s">
        <v>2476</v>
      </c>
      <c r="S2083" s="81"/>
      <c r="T2083" s="81"/>
      <c r="U2083" s="83" t="n">
        <v>46266</v>
      </c>
      <c r="V2083" s="83" t="n">
        <v>46266</v>
      </c>
      <c r="W2083" s="81" t="s">
        <v>2523</v>
      </c>
      <c r="X2083" s="81" t="s">
        <v>876</v>
      </c>
      <c r="Y2083" s="83" t="n">
        <v>46274</v>
      </c>
      <c r="Z2083" s="81" t="s">
        <v>2512</v>
      </c>
      <c r="AA2083" s="81" t="s">
        <v>876</v>
      </c>
      <c r="AB2083" s="81"/>
      <c r="AC2083" s="81"/>
      <c r="AD2083" s="81"/>
      <c r="AE2083" s="83"/>
      <c r="AF2083" s="81"/>
      <c r="AG2083" s="81"/>
      <c r="AH2083" s="81"/>
      <c r="AI2083" s="81"/>
      <c r="AJ2083" s="83"/>
      <c r="AK2083" s="81"/>
      <c r="AL2083" s="81"/>
      <c r="AM2083" s="83"/>
      <c r="AN2083" s="80"/>
      <c r="AO2083" s="82" t="n">
        <f aca="false">IF(E2083="","",(AA2083&lt;&gt;"")+(AG2083&lt;&gt;"")+(AL2083&lt;&gt;""))</f>
        <v>1</v>
      </c>
      <c r="AP2083" s="82" t="str">
        <f aca="false">IF(AL2083&lt;&gt;"",AL2083,IF(AG2083&lt;&gt;"",AG2083,IF(AA2083&lt;&gt;"",AA2083,"")))</f>
        <v>A</v>
      </c>
      <c r="AQ2083" s="84" t="str">
        <f aca="false">IF(E2083="","",IF(U2083="","À SOUDER",IF(X2083="","VT EN ATTENTE",IF(X2083="R","VT REJETÉ – À REPRENDRE",IF(AP2083="","À RADIOGRAPHIER",IF(AP2083="A","ACCEPTÉ",IF(AP2083="NX","NX – RT À REFAIRE",IF(IF(AO2083=1,AD2083,IF(AO2083=2,AI2083,""))="A","RÉPARÉ – À RADIOGRAPHIER",IF(IF(AO2083=1,AD2083,IF(AO2083=2,AI2083,""))="R","VT REJETÉ – À REPRENDRE",IF(OR(AP2083="CO",AP2083="NT"),"COUPE – À RESOUDER","À RÉPARER"))))))))))</f>
        <v>ACCEPTÉ</v>
      </c>
      <c r="AR2083" s="82" t="str">
        <f aca="false">IF(AND(ISNUMBER(U2083),OR(AQ2083="À RADIOGRAPHIER",AQ2083="RÉPARÉ – À RADIOGRAPHIER",AQ2083="NX – RT À REFAIRE",AQ2083="À RÉPARER",AQ2083="COUPE – À RESOUDER",AQ2083="VT REJETÉ – À REPRENDRE")),MAX(0,'PROGRAMME RT'!$C$4-U2083),"")</f>
        <v/>
      </c>
      <c r="AS2083" s="82" t="n">
        <f aca="false">IF(AND(OR(AQ2083="À RADIOGRAPHIER",AQ2083="RÉPARÉ – À RADIOGRAPHIER",AQ2083="NX – RT À REFAIRE"),OR('PROGRAMME RT'!$D$5="TOUTES",B2083='PROGRAMME RT'!$D$5)),1,0)</f>
        <v>0</v>
      </c>
      <c r="AT2083" s="82" t="str">
        <f aca="false">IF(AS2083=1,SUM(AS$7:AS2083),"")</f>
        <v/>
      </c>
      <c r="AU2083" s="82" t="n">
        <f aca="false">IF(AND(OR(AA2083="R",AA2083="NX",AA2083="NT",AA2083="CO"),OR('JOINTS DE RÉPARATION'!$D$5="TOUTES",B2083='JOINTS DE RÉPARATION'!$D$5),OR('JOINTS DE RÉPARATION'!$L$4="TOUS",AQ2083&lt;&gt;"ACCEPTÉ")),1,0)</f>
        <v>0</v>
      </c>
      <c r="AV2083" s="82" t="str">
        <f aca="false">IF(AU2083=1,SUM(AU$7:AU2083),"")</f>
        <v/>
      </c>
      <c r="AW2083" s="82" t="str">
        <f aca="false">IF(E2083="","",B2083&amp;"|"&amp;E2083)</f>
        <v>MFD-ISW → MFD-CPF|JN°1599</v>
      </c>
    </row>
    <row r="2084" customFormat="false" ht="74.6" hidden="false" customHeight="false" outlineLevel="0" collapsed="false">
      <c r="A2084" s="79" t="n">
        <f aca="false">IF(E2084="","",ROW()-6)</f>
        <v>2078</v>
      </c>
      <c r="B2084" s="80" t="s">
        <v>110</v>
      </c>
      <c r="C2084" s="81" t="s">
        <v>2510</v>
      </c>
      <c r="D2084" s="81" t="n">
        <v>20</v>
      </c>
      <c r="E2084" s="81" t="s">
        <v>2531</v>
      </c>
      <c r="F2084" s="82" t="str">
        <f aca="false">IF(E2084="","",IF(LEFT(E2084,2)="DJ","DJ","JN"))</f>
        <v>JN</v>
      </c>
      <c r="G2084" s="81" t="s">
        <v>1504</v>
      </c>
      <c r="H2084" s="81" t="s">
        <v>871</v>
      </c>
      <c r="I2084" s="81" t="n">
        <v>9.53</v>
      </c>
      <c r="J2084" s="81" t="s">
        <v>872</v>
      </c>
      <c r="K2084" s="81" t="s">
        <v>879</v>
      </c>
      <c r="L2084" s="81" t="n">
        <v>2080890</v>
      </c>
      <c r="M2084" s="81" t="n">
        <v>15421103</v>
      </c>
      <c r="N2084" s="81" t="n">
        <v>11.94</v>
      </c>
      <c r="O2084" s="81" t="n">
        <v>2081650</v>
      </c>
      <c r="P2084" s="81" t="n">
        <v>15421103</v>
      </c>
      <c r="Q2084" s="81" t="n">
        <v>11.94</v>
      </c>
      <c r="R2084" s="81" t="s">
        <v>2532</v>
      </c>
      <c r="S2084" s="81"/>
      <c r="T2084" s="81"/>
      <c r="U2084" s="83" t="n">
        <v>46265</v>
      </c>
      <c r="V2084" s="83" t="n">
        <v>46265</v>
      </c>
      <c r="W2084" s="81" t="s">
        <v>2533</v>
      </c>
      <c r="X2084" s="81" t="s">
        <v>876</v>
      </c>
      <c r="Y2084" s="83" t="n">
        <v>46274</v>
      </c>
      <c r="Z2084" s="81" t="s">
        <v>2512</v>
      </c>
      <c r="AA2084" s="81" t="s">
        <v>876</v>
      </c>
      <c r="AB2084" s="81"/>
      <c r="AC2084" s="81"/>
      <c r="AD2084" s="81"/>
      <c r="AE2084" s="83"/>
      <c r="AF2084" s="81"/>
      <c r="AG2084" s="81"/>
      <c r="AH2084" s="81"/>
      <c r="AI2084" s="81"/>
      <c r="AJ2084" s="83"/>
      <c r="AK2084" s="81"/>
      <c r="AL2084" s="81"/>
      <c r="AM2084" s="83"/>
      <c r="AN2084" s="80"/>
      <c r="AO2084" s="82" t="n">
        <f aca="false">IF(E2084="","",(AA2084&lt;&gt;"")+(AG2084&lt;&gt;"")+(AL2084&lt;&gt;""))</f>
        <v>1</v>
      </c>
      <c r="AP2084" s="82" t="str">
        <f aca="false">IF(AL2084&lt;&gt;"",AL2084,IF(AG2084&lt;&gt;"",AG2084,IF(AA2084&lt;&gt;"",AA2084,"")))</f>
        <v>A</v>
      </c>
      <c r="AQ2084" s="84" t="str">
        <f aca="false">IF(E2084="","",IF(U2084="","À SOUDER",IF(X2084="","VT EN ATTENTE",IF(X2084="R","VT REJETÉ – À REPRENDRE",IF(AP2084="","À RADIOGRAPHIER",IF(AP2084="A","ACCEPTÉ",IF(AP2084="NX","NX – RT À REFAIRE",IF(IF(AO2084=1,AD2084,IF(AO2084=2,AI2084,""))="A","RÉPARÉ – À RADIOGRAPHIER",IF(IF(AO2084=1,AD2084,IF(AO2084=2,AI2084,""))="R","VT REJETÉ – À REPRENDRE",IF(OR(AP2084="CO",AP2084="NT"),"COUPE – À RESOUDER","À RÉPARER"))))))))))</f>
        <v>ACCEPTÉ</v>
      </c>
      <c r="AR2084" s="82" t="str">
        <f aca="false">IF(AND(ISNUMBER(U2084),OR(AQ2084="À RADIOGRAPHIER",AQ2084="RÉPARÉ – À RADIOGRAPHIER",AQ2084="NX – RT À REFAIRE",AQ2084="À RÉPARER",AQ2084="COUPE – À RESOUDER",AQ2084="VT REJETÉ – À REPRENDRE")),MAX(0,'PROGRAMME RT'!$C$4-U2084),"")</f>
        <v/>
      </c>
      <c r="AS2084" s="82" t="n">
        <f aca="false">IF(AND(OR(AQ2084="À RADIOGRAPHIER",AQ2084="RÉPARÉ – À RADIOGRAPHIER",AQ2084="NX – RT À REFAIRE"),OR('PROGRAMME RT'!$D$5="TOUTES",B2084='PROGRAMME RT'!$D$5)),1,0)</f>
        <v>0</v>
      </c>
      <c r="AT2084" s="82" t="str">
        <f aca="false">IF(AS2084=1,SUM(AS$7:AS2084),"")</f>
        <v/>
      </c>
      <c r="AU2084" s="82" t="n">
        <f aca="false">IF(AND(OR(AA2084="R",AA2084="NX",AA2084="NT",AA2084="CO"),OR('JOINTS DE RÉPARATION'!$D$5="TOUTES",B2084='JOINTS DE RÉPARATION'!$D$5),OR('JOINTS DE RÉPARATION'!$L$4="TOUS",AQ2084&lt;&gt;"ACCEPTÉ")),1,0)</f>
        <v>0</v>
      </c>
      <c r="AV2084" s="82" t="str">
        <f aca="false">IF(AU2084=1,SUM(AU$7:AU2084),"")</f>
        <v/>
      </c>
      <c r="AW2084" s="82" t="str">
        <f aca="false">IF(E2084="","",B2084&amp;"|"&amp;E2084)</f>
        <v>MFD-ISW → MFD-CPF|JN°1600</v>
      </c>
    </row>
    <row r="2085" customFormat="false" ht="74.6" hidden="false" customHeight="false" outlineLevel="0" collapsed="false">
      <c r="A2085" s="79" t="n">
        <f aca="false">IF(E2085="","",ROW()-6)</f>
        <v>2079</v>
      </c>
      <c r="B2085" s="80" t="s">
        <v>110</v>
      </c>
      <c r="C2085" s="81" t="s">
        <v>2510</v>
      </c>
      <c r="D2085" s="81" t="n">
        <v>20</v>
      </c>
      <c r="E2085" s="81" t="s">
        <v>2534</v>
      </c>
      <c r="F2085" s="82" t="str">
        <f aca="false">IF(E2085="","",IF(LEFT(E2085,2)="DJ","DJ","JN"))</f>
        <v>JN</v>
      </c>
      <c r="G2085" s="81" t="s">
        <v>1504</v>
      </c>
      <c r="H2085" s="81" t="s">
        <v>871</v>
      </c>
      <c r="I2085" s="81" t="n">
        <v>9.53</v>
      </c>
      <c r="J2085" s="81" t="s">
        <v>872</v>
      </c>
      <c r="K2085" s="81" t="s">
        <v>879</v>
      </c>
      <c r="L2085" s="81" t="n">
        <v>2081650</v>
      </c>
      <c r="M2085" s="81" t="n">
        <v>15421103</v>
      </c>
      <c r="N2085" s="81" t="n">
        <v>11.94</v>
      </c>
      <c r="O2085" s="81" t="n">
        <v>2083190</v>
      </c>
      <c r="P2085" s="81" t="n">
        <v>15421105</v>
      </c>
      <c r="Q2085" s="81" t="n">
        <v>11.94</v>
      </c>
      <c r="R2085" s="81" t="s">
        <v>2532</v>
      </c>
      <c r="S2085" s="81"/>
      <c r="T2085" s="81"/>
      <c r="U2085" s="83" t="n">
        <v>46265</v>
      </c>
      <c r="V2085" s="83" t="n">
        <v>46265</v>
      </c>
      <c r="W2085" s="81" t="s">
        <v>2533</v>
      </c>
      <c r="X2085" s="81" t="s">
        <v>876</v>
      </c>
      <c r="Y2085" s="83" t="n">
        <v>46274</v>
      </c>
      <c r="Z2085" s="81" t="s">
        <v>2512</v>
      </c>
      <c r="AA2085" s="81" t="s">
        <v>876</v>
      </c>
      <c r="AB2085" s="81"/>
      <c r="AC2085" s="81"/>
      <c r="AD2085" s="81"/>
      <c r="AE2085" s="83"/>
      <c r="AF2085" s="81"/>
      <c r="AG2085" s="81"/>
      <c r="AH2085" s="81"/>
      <c r="AI2085" s="81"/>
      <c r="AJ2085" s="83"/>
      <c r="AK2085" s="81"/>
      <c r="AL2085" s="81"/>
      <c r="AM2085" s="83"/>
      <c r="AN2085" s="80"/>
      <c r="AO2085" s="82" t="n">
        <f aca="false">IF(E2085="","",(AA2085&lt;&gt;"")+(AG2085&lt;&gt;"")+(AL2085&lt;&gt;""))</f>
        <v>1</v>
      </c>
      <c r="AP2085" s="82" t="str">
        <f aca="false">IF(AL2085&lt;&gt;"",AL2085,IF(AG2085&lt;&gt;"",AG2085,IF(AA2085&lt;&gt;"",AA2085,"")))</f>
        <v>A</v>
      </c>
      <c r="AQ2085" s="84" t="str">
        <f aca="false">IF(E2085="","",IF(U2085="","À SOUDER",IF(X2085="","VT EN ATTENTE",IF(X2085="R","VT REJETÉ – À REPRENDRE",IF(AP2085="","À RADIOGRAPHIER",IF(AP2085="A","ACCEPTÉ",IF(AP2085="NX","NX – RT À REFAIRE",IF(IF(AO2085=1,AD2085,IF(AO2085=2,AI2085,""))="A","RÉPARÉ – À RADIOGRAPHIER",IF(IF(AO2085=1,AD2085,IF(AO2085=2,AI2085,""))="R","VT REJETÉ – À REPRENDRE",IF(OR(AP2085="CO",AP2085="NT"),"COUPE – À RESOUDER","À RÉPARER"))))))))))</f>
        <v>ACCEPTÉ</v>
      </c>
      <c r="AR2085" s="82" t="str">
        <f aca="false">IF(AND(ISNUMBER(U2085),OR(AQ2085="À RADIOGRAPHIER",AQ2085="RÉPARÉ – À RADIOGRAPHIER",AQ2085="NX – RT À REFAIRE",AQ2085="À RÉPARER",AQ2085="COUPE – À RESOUDER",AQ2085="VT REJETÉ – À REPRENDRE")),MAX(0,'PROGRAMME RT'!$C$4-U2085),"")</f>
        <v/>
      </c>
      <c r="AS2085" s="82" t="n">
        <f aca="false">IF(AND(OR(AQ2085="À RADIOGRAPHIER",AQ2085="RÉPARÉ – À RADIOGRAPHIER",AQ2085="NX – RT À REFAIRE"),OR('PROGRAMME RT'!$D$5="TOUTES",B2085='PROGRAMME RT'!$D$5)),1,0)</f>
        <v>0</v>
      </c>
      <c r="AT2085" s="82" t="str">
        <f aca="false">IF(AS2085=1,SUM(AS$7:AS2085),"")</f>
        <v/>
      </c>
      <c r="AU2085" s="82" t="n">
        <f aca="false">IF(AND(OR(AA2085="R",AA2085="NX",AA2085="NT",AA2085="CO"),OR('JOINTS DE RÉPARATION'!$D$5="TOUTES",B2085='JOINTS DE RÉPARATION'!$D$5),OR('JOINTS DE RÉPARATION'!$L$4="TOUS",AQ2085&lt;&gt;"ACCEPTÉ")),1,0)</f>
        <v>0</v>
      </c>
      <c r="AV2085" s="82" t="str">
        <f aca="false">IF(AU2085=1,SUM(AU$7:AU2085),"")</f>
        <v/>
      </c>
      <c r="AW2085" s="82" t="str">
        <f aca="false">IF(E2085="","",B2085&amp;"|"&amp;E2085)</f>
        <v>MFD-ISW → MFD-CPF|JN°1601</v>
      </c>
    </row>
    <row r="2086" customFormat="false" ht="74.6" hidden="false" customHeight="false" outlineLevel="0" collapsed="false">
      <c r="A2086" s="79" t="n">
        <f aca="false">IF(E2086="","",ROW()-6)</f>
        <v>2080</v>
      </c>
      <c r="B2086" s="80" t="s">
        <v>110</v>
      </c>
      <c r="C2086" s="81" t="s">
        <v>2510</v>
      </c>
      <c r="D2086" s="81" t="n">
        <v>20</v>
      </c>
      <c r="E2086" s="81" t="s">
        <v>2535</v>
      </c>
      <c r="F2086" s="82" t="str">
        <f aca="false">IF(E2086="","",IF(LEFT(E2086,2)="DJ","DJ","JN"))</f>
        <v>JN</v>
      </c>
      <c r="G2086" s="81" t="s">
        <v>1504</v>
      </c>
      <c r="H2086" s="81" t="s">
        <v>871</v>
      </c>
      <c r="I2086" s="81" t="n">
        <v>9.53</v>
      </c>
      <c r="J2086" s="81" t="s">
        <v>872</v>
      </c>
      <c r="K2086" s="81" t="s">
        <v>879</v>
      </c>
      <c r="L2086" s="81" t="n">
        <v>2083190</v>
      </c>
      <c r="M2086" s="81" t="n">
        <v>15421105</v>
      </c>
      <c r="N2086" s="81" t="n">
        <v>11.94</v>
      </c>
      <c r="O2086" s="81" t="n">
        <v>2083270</v>
      </c>
      <c r="P2086" s="81" t="n">
        <v>15421105</v>
      </c>
      <c r="Q2086" s="81" t="n">
        <v>11.94</v>
      </c>
      <c r="R2086" s="81" t="s">
        <v>2532</v>
      </c>
      <c r="S2086" s="81"/>
      <c r="T2086" s="81"/>
      <c r="U2086" s="83" t="n">
        <v>46265</v>
      </c>
      <c r="V2086" s="83" t="n">
        <v>46265</v>
      </c>
      <c r="W2086" s="81" t="s">
        <v>2533</v>
      </c>
      <c r="X2086" s="81" t="s">
        <v>876</v>
      </c>
      <c r="Y2086" s="83" t="n">
        <v>46274</v>
      </c>
      <c r="Z2086" s="81" t="s">
        <v>2512</v>
      </c>
      <c r="AA2086" s="81" t="s">
        <v>876</v>
      </c>
      <c r="AB2086" s="81"/>
      <c r="AC2086" s="81"/>
      <c r="AD2086" s="81"/>
      <c r="AE2086" s="83"/>
      <c r="AF2086" s="81"/>
      <c r="AG2086" s="81"/>
      <c r="AH2086" s="81"/>
      <c r="AI2086" s="81"/>
      <c r="AJ2086" s="83"/>
      <c r="AK2086" s="81"/>
      <c r="AL2086" s="81"/>
      <c r="AM2086" s="83"/>
      <c r="AN2086" s="80"/>
      <c r="AO2086" s="82" t="n">
        <f aca="false">IF(E2086="","",(AA2086&lt;&gt;"")+(AG2086&lt;&gt;"")+(AL2086&lt;&gt;""))</f>
        <v>1</v>
      </c>
      <c r="AP2086" s="82" t="str">
        <f aca="false">IF(AL2086&lt;&gt;"",AL2086,IF(AG2086&lt;&gt;"",AG2086,IF(AA2086&lt;&gt;"",AA2086,"")))</f>
        <v>A</v>
      </c>
      <c r="AQ2086" s="84" t="str">
        <f aca="false">IF(E2086="","",IF(U2086="","À SOUDER",IF(X2086="","VT EN ATTENTE",IF(X2086="R","VT REJETÉ – À REPRENDRE",IF(AP2086="","À RADIOGRAPHIER",IF(AP2086="A","ACCEPTÉ",IF(AP2086="NX","NX – RT À REFAIRE",IF(IF(AO2086=1,AD2086,IF(AO2086=2,AI2086,""))="A","RÉPARÉ – À RADIOGRAPHIER",IF(IF(AO2086=1,AD2086,IF(AO2086=2,AI2086,""))="R","VT REJETÉ – À REPRENDRE",IF(OR(AP2086="CO",AP2086="NT"),"COUPE – À RESOUDER","À RÉPARER"))))))))))</f>
        <v>ACCEPTÉ</v>
      </c>
      <c r="AR2086" s="82" t="str">
        <f aca="false">IF(AND(ISNUMBER(U2086),OR(AQ2086="À RADIOGRAPHIER",AQ2086="RÉPARÉ – À RADIOGRAPHIER",AQ2086="NX – RT À REFAIRE",AQ2086="À RÉPARER",AQ2086="COUPE – À RESOUDER",AQ2086="VT REJETÉ – À REPRENDRE")),MAX(0,'PROGRAMME RT'!$C$4-U2086),"")</f>
        <v/>
      </c>
      <c r="AS2086" s="82" t="n">
        <f aca="false">IF(AND(OR(AQ2086="À RADIOGRAPHIER",AQ2086="RÉPARÉ – À RADIOGRAPHIER",AQ2086="NX – RT À REFAIRE"),OR('PROGRAMME RT'!$D$5="TOUTES",B2086='PROGRAMME RT'!$D$5)),1,0)</f>
        <v>0</v>
      </c>
      <c r="AT2086" s="82" t="str">
        <f aca="false">IF(AS2086=1,SUM(AS$7:AS2086),"")</f>
        <v/>
      </c>
      <c r="AU2086" s="82" t="n">
        <f aca="false">IF(AND(OR(AA2086="R",AA2086="NX",AA2086="NT",AA2086="CO"),OR('JOINTS DE RÉPARATION'!$D$5="TOUTES",B2086='JOINTS DE RÉPARATION'!$D$5),OR('JOINTS DE RÉPARATION'!$L$4="TOUS",AQ2086&lt;&gt;"ACCEPTÉ")),1,0)</f>
        <v>0</v>
      </c>
      <c r="AV2086" s="82" t="str">
        <f aca="false">IF(AU2086=1,SUM(AU$7:AU2086),"")</f>
        <v/>
      </c>
      <c r="AW2086" s="82" t="str">
        <f aca="false">IF(E2086="","",B2086&amp;"|"&amp;E2086)</f>
        <v>MFD-ISW → MFD-CPF|JN°1602</v>
      </c>
    </row>
    <row r="2087" customFormat="false" ht="74.6" hidden="false" customHeight="false" outlineLevel="0" collapsed="false">
      <c r="A2087" s="79" t="n">
        <f aca="false">IF(E2087="","",ROW()-6)</f>
        <v>2081</v>
      </c>
      <c r="B2087" s="80" t="s">
        <v>110</v>
      </c>
      <c r="C2087" s="81" t="s">
        <v>2510</v>
      </c>
      <c r="D2087" s="81" t="n">
        <v>20</v>
      </c>
      <c r="E2087" s="81" t="s">
        <v>2536</v>
      </c>
      <c r="F2087" s="82" t="str">
        <f aca="false">IF(E2087="","",IF(LEFT(E2087,2)="DJ","DJ","JN"))</f>
        <v>JN</v>
      </c>
      <c r="G2087" s="81" t="s">
        <v>1504</v>
      </c>
      <c r="H2087" s="81" t="s">
        <v>871</v>
      </c>
      <c r="I2087" s="81" t="n">
        <v>9.53</v>
      </c>
      <c r="J2087" s="81" t="s">
        <v>872</v>
      </c>
      <c r="K2087" s="81" t="s">
        <v>1861</v>
      </c>
      <c r="L2087" s="81" t="n">
        <v>2083270</v>
      </c>
      <c r="M2087" s="81" t="n">
        <v>15421105</v>
      </c>
      <c r="N2087" s="81" t="n">
        <v>11.94</v>
      </c>
      <c r="O2087" s="81" t="n">
        <v>2096550</v>
      </c>
      <c r="P2087" s="81" t="n">
        <v>15421111</v>
      </c>
      <c r="Q2087" s="81" t="n">
        <v>11.94</v>
      </c>
      <c r="R2087" s="81" t="s">
        <v>1862</v>
      </c>
      <c r="S2087" s="81"/>
      <c r="T2087" s="81"/>
      <c r="U2087" s="83" t="n">
        <v>46286</v>
      </c>
      <c r="V2087" s="83" t="n">
        <v>46287</v>
      </c>
      <c r="W2087" s="81" t="s">
        <v>2346</v>
      </c>
      <c r="X2087" s="81" t="s">
        <v>876</v>
      </c>
      <c r="Y2087" s="83" t="n">
        <v>46289</v>
      </c>
      <c r="Z2087" s="81" t="s">
        <v>2537</v>
      </c>
      <c r="AA2087" s="81" t="s">
        <v>876</v>
      </c>
      <c r="AB2087" s="81"/>
      <c r="AC2087" s="81"/>
      <c r="AD2087" s="81"/>
      <c r="AE2087" s="83"/>
      <c r="AF2087" s="81"/>
      <c r="AG2087" s="81"/>
      <c r="AH2087" s="81"/>
      <c r="AI2087" s="81"/>
      <c r="AJ2087" s="83"/>
      <c r="AK2087" s="81"/>
      <c r="AL2087" s="81"/>
      <c r="AM2087" s="83"/>
      <c r="AN2087" s="80"/>
      <c r="AO2087" s="82" t="n">
        <f aca="false">IF(E2087="","",(AA2087&lt;&gt;"")+(AG2087&lt;&gt;"")+(AL2087&lt;&gt;""))</f>
        <v>1</v>
      </c>
      <c r="AP2087" s="82" t="str">
        <f aca="false">IF(AL2087&lt;&gt;"",AL2087,IF(AG2087&lt;&gt;"",AG2087,IF(AA2087&lt;&gt;"",AA2087,"")))</f>
        <v>A</v>
      </c>
      <c r="AQ2087" s="84" t="str">
        <f aca="false">IF(E2087="","",IF(U2087="","À SOUDER",IF(X2087="","VT EN ATTENTE",IF(X2087="R","VT REJETÉ – À REPRENDRE",IF(AP2087="","À RADIOGRAPHIER",IF(AP2087="A","ACCEPTÉ",IF(AP2087="NX","NX – RT À REFAIRE",IF(IF(AO2087=1,AD2087,IF(AO2087=2,AI2087,""))="A","RÉPARÉ – À RADIOGRAPHIER",IF(IF(AO2087=1,AD2087,IF(AO2087=2,AI2087,""))="R","VT REJETÉ – À REPRENDRE",IF(OR(AP2087="CO",AP2087="NT"),"COUPE – À RESOUDER","À RÉPARER"))))))))))</f>
        <v>ACCEPTÉ</v>
      </c>
      <c r="AR2087" s="82" t="str">
        <f aca="false">IF(AND(ISNUMBER(U2087),OR(AQ2087="À RADIOGRAPHIER",AQ2087="RÉPARÉ – À RADIOGRAPHIER",AQ2087="NX – RT À REFAIRE",AQ2087="À RÉPARER",AQ2087="COUPE – À RESOUDER",AQ2087="VT REJETÉ – À REPRENDRE")),MAX(0,'PROGRAMME RT'!$C$4-U2087),"")</f>
        <v/>
      </c>
      <c r="AS2087" s="82" t="n">
        <f aca="false">IF(AND(OR(AQ2087="À RADIOGRAPHIER",AQ2087="RÉPARÉ – À RADIOGRAPHIER",AQ2087="NX – RT À REFAIRE"),OR('PROGRAMME RT'!$D$5="TOUTES",B2087='PROGRAMME RT'!$D$5)),1,0)</f>
        <v>0</v>
      </c>
      <c r="AT2087" s="82" t="str">
        <f aca="false">IF(AS2087=1,SUM(AS$7:AS2087),"")</f>
        <v/>
      </c>
      <c r="AU2087" s="82" t="n">
        <f aca="false">IF(AND(OR(AA2087="R",AA2087="NX",AA2087="NT",AA2087="CO"),OR('JOINTS DE RÉPARATION'!$D$5="TOUTES",B2087='JOINTS DE RÉPARATION'!$D$5),OR('JOINTS DE RÉPARATION'!$L$4="TOUS",AQ2087&lt;&gt;"ACCEPTÉ")),1,0)</f>
        <v>0</v>
      </c>
      <c r="AV2087" s="82" t="str">
        <f aca="false">IF(AU2087=1,SUM(AU$7:AU2087),"")</f>
        <v/>
      </c>
      <c r="AW2087" s="82" t="str">
        <f aca="false">IF(E2087="","",B2087&amp;"|"&amp;E2087)</f>
        <v>MFD-ISW → MFD-CPF|JN°1603R</v>
      </c>
    </row>
    <row r="2088" customFormat="false" ht="74.6" hidden="false" customHeight="false" outlineLevel="0" collapsed="false">
      <c r="A2088" s="79" t="n">
        <f aca="false">IF(E2088="","",ROW()-6)</f>
        <v>2082</v>
      </c>
      <c r="B2088" s="80" t="s">
        <v>110</v>
      </c>
      <c r="C2088" s="81" t="s">
        <v>2510</v>
      </c>
      <c r="D2088" s="81" t="n">
        <v>20</v>
      </c>
      <c r="E2088" s="81" t="s">
        <v>2538</v>
      </c>
      <c r="F2088" s="82" t="str">
        <f aca="false">IF(E2088="","",IF(LEFT(E2088,2)="DJ","DJ","JN"))</f>
        <v>JN</v>
      </c>
      <c r="G2088" s="81" t="s">
        <v>1504</v>
      </c>
      <c r="H2088" s="81" t="s">
        <v>871</v>
      </c>
      <c r="I2088" s="81" t="n">
        <v>9.53</v>
      </c>
      <c r="J2088" s="81" t="s">
        <v>872</v>
      </c>
      <c r="K2088" s="81" t="s">
        <v>1861</v>
      </c>
      <c r="L2088" s="81" t="n">
        <v>2096550</v>
      </c>
      <c r="M2088" s="81" t="n">
        <v>15421111</v>
      </c>
      <c r="N2088" s="81" t="n">
        <v>11.94</v>
      </c>
      <c r="O2088" s="81" t="n">
        <v>2083730</v>
      </c>
      <c r="P2088" s="81" t="n">
        <v>15421105</v>
      </c>
      <c r="Q2088" s="81" t="n">
        <v>11.94</v>
      </c>
      <c r="R2088" s="81" t="s">
        <v>1862</v>
      </c>
      <c r="S2088" s="81"/>
      <c r="T2088" s="81"/>
      <c r="U2088" s="83" t="n">
        <v>46286</v>
      </c>
      <c r="V2088" s="83" t="n">
        <v>46287</v>
      </c>
      <c r="W2088" s="81" t="s">
        <v>2346</v>
      </c>
      <c r="X2088" s="81" t="s">
        <v>876</v>
      </c>
      <c r="Y2088" s="83" t="n">
        <v>46289</v>
      </c>
      <c r="Z2088" s="81" t="s">
        <v>2537</v>
      </c>
      <c r="AA2088" s="81" t="s">
        <v>876</v>
      </c>
      <c r="AB2088" s="81"/>
      <c r="AC2088" s="81"/>
      <c r="AD2088" s="81"/>
      <c r="AE2088" s="83"/>
      <c r="AF2088" s="81"/>
      <c r="AG2088" s="81"/>
      <c r="AH2088" s="81"/>
      <c r="AI2088" s="81"/>
      <c r="AJ2088" s="83"/>
      <c r="AK2088" s="81"/>
      <c r="AL2088" s="81"/>
      <c r="AM2088" s="83"/>
      <c r="AN2088" s="80"/>
      <c r="AO2088" s="82" t="n">
        <f aca="false">IF(E2088="","",(AA2088&lt;&gt;"")+(AG2088&lt;&gt;"")+(AL2088&lt;&gt;""))</f>
        <v>1</v>
      </c>
      <c r="AP2088" s="82" t="str">
        <f aca="false">IF(AL2088&lt;&gt;"",AL2088,IF(AG2088&lt;&gt;"",AG2088,IF(AA2088&lt;&gt;"",AA2088,"")))</f>
        <v>A</v>
      </c>
      <c r="AQ2088" s="84" t="str">
        <f aca="false">IF(E2088="","",IF(U2088="","À SOUDER",IF(X2088="","VT EN ATTENTE",IF(X2088="R","VT REJETÉ – À REPRENDRE",IF(AP2088="","À RADIOGRAPHIER",IF(AP2088="A","ACCEPTÉ",IF(AP2088="NX","NX – RT À REFAIRE",IF(IF(AO2088=1,AD2088,IF(AO2088=2,AI2088,""))="A","RÉPARÉ – À RADIOGRAPHIER",IF(IF(AO2088=1,AD2088,IF(AO2088=2,AI2088,""))="R","VT REJETÉ – À REPRENDRE",IF(OR(AP2088="CO",AP2088="NT"),"COUPE – À RESOUDER","À RÉPARER"))))))))))</f>
        <v>ACCEPTÉ</v>
      </c>
      <c r="AR2088" s="82" t="str">
        <f aca="false">IF(AND(ISNUMBER(U2088),OR(AQ2088="À RADIOGRAPHIER",AQ2088="RÉPARÉ – À RADIOGRAPHIER",AQ2088="NX – RT À REFAIRE",AQ2088="À RÉPARER",AQ2088="COUPE – À RESOUDER",AQ2088="VT REJETÉ – À REPRENDRE")),MAX(0,'PROGRAMME RT'!$C$4-U2088),"")</f>
        <v/>
      </c>
      <c r="AS2088" s="82" t="n">
        <f aca="false">IF(AND(OR(AQ2088="À RADIOGRAPHIER",AQ2088="RÉPARÉ – À RADIOGRAPHIER",AQ2088="NX – RT À REFAIRE"),OR('PROGRAMME RT'!$D$5="TOUTES",B2088='PROGRAMME RT'!$D$5)),1,0)</f>
        <v>0</v>
      </c>
      <c r="AT2088" s="82" t="str">
        <f aca="false">IF(AS2088=1,SUM(AS$7:AS2088),"")</f>
        <v/>
      </c>
      <c r="AU2088" s="82" t="n">
        <f aca="false">IF(AND(OR(AA2088="R",AA2088="NX",AA2088="NT",AA2088="CO"),OR('JOINTS DE RÉPARATION'!$D$5="TOUTES",B2088='JOINTS DE RÉPARATION'!$D$5),OR('JOINTS DE RÉPARATION'!$L$4="TOUS",AQ2088&lt;&gt;"ACCEPTÉ")),1,0)</f>
        <v>0</v>
      </c>
      <c r="AV2088" s="82" t="str">
        <f aca="false">IF(AU2088=1,SUM(AU$7:AU2088),"")</f>
        <v/>
      </c>
      <c r="AW2088" s="82" t="str">
        <f aca="false">IF(E2088="","",B2088&amp;"|"&amp;E2088)</f>
        <v>MFD-ISW → MFD-CPF|JN°1604R</v>
      </c>
    </row>
    <row r="2089" customFormat="false" ht="74.6" hidden="false" customHeight="false" outlineLevel="0" collapsed="false">
      <c r="A2089" s="79" t="n">
        <f aca="false">IF(E2089="","",ROW()-6)</f>
        <v>2083</v>
      </c>
      <c r="B2089" s="80" t="s">
        <v>110</v>
      </c>
      <c r="C2089" s="81" t="s">
        <v>2510</v>
      </c>
      <c r="D2089" s="81" t="n">
        <v>20</v>
      </c>
      <c r="E2089" s="81" t="s">
        <v>2539</v>
      </c>
      <c r="F2089" s="82" t="str">
        <f aca="false">IF(E2089="","",IF(LEFT(E2089,2)="DJ","DJ","JN"))</f>
        <v>JN</v>
      </c>
      <c r="G2089" s="81" t="s">
        <v>1504</v>
      </c>
      <c r="H2089" s="81" t="s">
        <v>871</v>
      </c>
      <c r="I2089" s="81" t="n">
        <v>9.53</v>
      </c>
      <c r="J2089" s="81" t="s">
        <v>872</v>
      </c>
      <c r="K2089" s="81" t="s">
        <v>879</v>
      </c>
      <c r="L2089" s="81" t="n">
        <v>2083730</v>
      </c>
      <c r="M2089" s="81" t="n">
        <v>15421105</v>
      </c>
      <c r="N2089" s="81" t="n">
        <v>11.94</v>
      </c>
      <c r="O2089" s="81" t="n">
        <v>2083740</v>
      </c>
      <c r="P2089" s="81" t="n">
        <v>15421105</v>
      </c>
      <c r="Q2089" s="81" t="n">
        <v>11.94</v>
      </c>
      <c r="R2089" s="81" t="s">
        <v>2532</v>
      </c>
      <c r="S2089" s="81"/>
      <c r="T2089" s="81"/>
      <c r="U2089" s="83" t="n">
        <v>46265</v>
      </c>
      <c r="V2089" s="83" t="n">
        <v>46265</v>
      </c>
      <c r="W2089" s="81" t="s">
        <v>2533</v>
      </c>
      <c r="X2089" s="81" t="s">
        <v>876</v>
      </c>
      <c r="Y2089" s="83" t="n">
        <v>46274</v>
      </c>
      <c r="Z2089" s="81" t="s">
        <v>2540</v>
      </c>
      <c r="AA2089" s="81" t="s">
        <v>876</v>
      </c>
      <c r="AB2089" s="81"/>
      <c r="AC2089" s="81"/>
      <c r="AD2089" s="81"/>
      <c r="AE2089" s="83"/>
      <c r="AF2089" s="81"/>
      <c r="AG2089" s="81"/>
      <c r="AH2089" s="81"/>
      <c r="AI2089" s="81"/>
      <c r="AJ2089" s="83"/>
      <c r="AK2089" s="81"/>
      <c r="AL2089" s="81"/>
      <c r="AM2089" s="83"/>
      <c r="AN2089" s="80"/>
      <c r="AO2089" s="82" t="n">
        <f aca="false">IF(E2089="","",(AA2089&lt;&gt;"")+(AG2089&lt;&gt;"")+(AL2089&lt;&gt;""))</f>
        <v>1</v>
      </c>
      <c r="AP2089" s="82" t="str">
        <f aca="false">IF(AL2089&lt;&gt;"",AL2089,IF(AG2089&lt;&gt;"",AG2089,IF(AA2089&lt;&gt;"",AA2089,"")))</f>
        <v>A</v>
      </c>
      <c r="AQ2089" s="84" t="str">
        <f aca="false">IF(E2089="","",IF(U2089="","À SOUDER",IF(X2089="","VT EN ATTENTE",IF(X2089="R","VT REJETÉ – À REPRENDRE",IF(AP2089="","À RADIOGRAPHIER",IF(AP2089="A","ACCEPTÉ",IF(AP2089="NX","NX – RT À REFAIRE",IF(IF(AO2089=1,AD2089,IF(AO2089=2,AI2089,""))="A","RÉPARÉ – À RADIOGRAPHIER",IF(IF(AO2089=1,AD2089,IF(AO2089=2,AI2089,""))="R","VT REJETÉ – À REPRENDRE",IF(OR(AP2089="CO",AP2089="NT"),"COUPE – À RESOUDER","À RÉPARER"))))))))))</f>
        <v>ACCEPTÉ</v>
      </c>
      <c r="AR2089" s="82" t="str">
        <f aca="false">IF(AND(ISNUMBER(U2089),OR(AQ2089="À RADIOGRAPHIER",AQ2089="RÉPARÉ – À RADIOGRAPHIER",AQ2089="NX – RT À REFAIRE",AQ2089="À RÉPARER",AQ2089="COUPE – À RESOUDER",AQ2089="VT REJETÉ – À REPRENDRE")),MAX(0,'PROGRAMME RT'!$C$4-U2089),"")</f>
        <v/>
      </c>
      <c r="AS2089" s="82" t="n">
        <f aca="false">IF(AND(OR(AQ2089="À RADIOGRAPHIER",AQ2089="RÉPARÉ – À RADIOGRAPHIER",AQ2089="NX – RT À REFAIRE"),OR('PROGRAMME RT'!$D$5="TOUTES",B2089='PROGRAMME RT'!$D$5)),1,0)</f>
        <v>0</v>
      </c>
      <c r="AT2089" s="82" t="str">
        <f aca="false">IF(AS2089=1,SUM(AS$7:AS2089),"")</f>
        <v/>
      </c>
      <c r="AU2089" s="82" t="n">
        <f aca="false">IF(AND(OR(AA2089="R",AA2089="NX",AA2089="NT",AA2089="CO"),OR('JOINTS DE RÉPARATION'!$D$5="TOUTES",B2089='JOINTS DE RÉPARATION'!$D$5),OR('JOINTS DE RÉPARATION'!$L$4="TOUS",AQ2089&lt;&gt;"ACCEPTÉ")),1,0)</f>
        <v>0</v>
      </c>
      <c r="AV2089" s="82" t="str">
        <f aca="false">IF(AU2089=1,SUM(AU$7:AU2089),"")</f>
        <v/>
      </c>
      <c r="AW2089" s="82" t="str">
        <f aca="false">IF(E2089="","",B2089&amp;"|"&amp;E2089)</f>
        <v>MFD-ISW → MFD-CPF|JN°1605</v>
      </c>
    </row>
    <row r="2090" customFormat="false" ht="74.6" hidden="false" customHeight="false" outlineLevel="0" collapsed="false">
      <c r="A2090" s="79" t="n">
        <f aca="false">IF(E2090="","",ROW()-6)</f>
        <v>2084</v>
      </c>
      <c r="B2090" s="80" t="s">
        <v>110</v>
      </c>
      <c r="C2090" s="81" t="s">
        <v>2510</v>
      </c>
      <c r="D2090" s="81" t="n">
        <v>20</v>
      </c>
      <c r="E2090" s="81" t="s">
        <v>2541</v>
      </c>
      <c r="F2090" s="82" t="str">
        <f aca="false">IF(E2090="","",IF(LEFT(E2090,2)="DJ","DJ","JN"))</f>
        <v>JN</v>
      </c>
      <c r="G2090" s="81" t="s">
        <v>1504</v>
      </c>
      <c r="H2090" s="81" t="s">
        <v>871</v>
      </c>
      <c r="I2090" s="81" t="n">
        <v>9.53</v>
      </c>
      <c r="J2090" s="81" t="s">
        <v>872</v>
      </c>
      <c r="K2090" s="81" t="s">
        <v>879</v>
      </c>
      <c r="L2090" s="81" t="n">
        <v>2083740</v>
      </c>
      <c r="M2090" s="81" t="n">
        <v>15421105</v>
      </c>
      <c r="N2090" s="81" t="n">
        <v>11.94</v>
      </c>
      <c r="O2090" s="81" t="n">
        <v>2089830</v>
      </c>
      <c r="P2090" s="81" t="n">
        <v>15421109</v>
      </c>
      <c r="Q2090" s="81" t="n">
        <v>11.94</v>
      </c>
      <c r="R2090" s="81" t="s">
        <v>2532</v>
      </c>
      <c r="S2090" s="81"/>
      <c r="T2090" s="81"/>
      <c r="U2090" s="83" t="n">
        <v>46265</v>
      </c>
      <c r="V2090" s="83" t="n">
        <v>46265</v>
      </c>
      <c r="W2090" s="81" t="s">
        <v>2533</v>
      </c>
      <c r="X2090" s="81" t="s">
        <v>876</v>
      </c>
      <c r="Y2090" s="83" t="n">
        <v>46274</v>
      </c>
      <c r="Z2090" s="81" t="s">
        <v>2540</v>
      </c>
      <c r="AA2090" s="81" t="s">
        <v>876</v>
      </c>
      <c r="AB2090" s="81"/>
      <c r="AC2090" s="81"/>
      <c r="AD2090" s="81"/>
      <c r="AE2090" s="83"/>
      <c r="AF2090" s="81"/>
      <c r="AG2090" s="81"/>
      <c r="AH2090" s="81"/>
      <c r="AI2090" s="81"/>
      <c r="AJ2090" s="83"/>
      <c r="AK2090" s="81"/>
      <c r="AL2090" s="81"/>
      <c r="AM2090" s="83"/>
      <c r="AN2090" s="80"/>
      <c r="AO2090" s="82" t="n">
        <f aca="false">IF(E2090="","",(AA2090&lt;&gt;"")+(AG2090&lt;&gt;"")+(AL2090&lt;&gt;""))</f>
        <v>1</v>
      </c>
      <c r="AP2090" s="82" t="str">
        <f aca="false">IF(AL2090&lt;&gt;"",AL2090,IF(AG2090&lt;&gt;"",AG2090,IF(AA2090&lt;&gt;"",AA2090,"")))</f>
        <v>A</v>
      </c>
      <c r="AQ2090" s="84" t="str">
        <f aca="false">IF(E2090="","",IF(U2090="","À SOUDER",IF(X2090="","VT EN ATTENTE",IF(X2090="R","VT REJETÉ – À REPRENDRE",IF(AP2090="","À RADIOGRAPHIER",IF(AP2090="A","ACCEPTÉ",IF(AP2090="NX","NX – RT À REFAIRE",IF(IF(AO2090=1,AD2090,IF(AO2090=2,AI2090,""))="A","RÉPARÉ – À RADIOGRAPHIER",IF(IF(AO2090=1,AD2090,IF(AO2090=2,AI2090,""))="R","VT REJETÉ – À REPRENDRE",IF(OR(AP2090="CO",AP2090="NT"),"COUPE – À RESOUDER","À RÉPARER"))))))))))</f>
        <v>ACCEPTÉ</v>
      </c>
      <c r="AR2090" s="82" t="str">
        <f aca="false">IF(AND(ISNUMBER(U2090),OR(AQ2090="À RADIOGRAPHIER",AQ2090="RÉPARÉ – À RADIOGRAPHIER",AQ2090="NX – RT À REFAIRE",AQ2090="À RÉPARER",AQ2090="COUPE – À RESOUDER",AQ2090="VT REJETÉ – À REPRENDRE")),MAX(0,'PROGRAMME RT'!$C$4-U2090),"")</f>
        <v/>
      </c>
      <c r="AS2090" s="82" t="n">
        <f aca="false">IF(AND(OR(AQ2090="À RADIOGRAPHIER",AQ2090="RÉPARÉ – À RADIOGRAPHIER",AQ2090="NX – RT À REFAIRE"),OR('PROGRAMME RT'!$D$5="TOUTES",B2090='PROGRAMME RT'!$D$5)),1,0)</f>
        <v>0</v>
      </c>
      <c r="AT2090" s="82" t="str">
        <f aca="false">IF(AS2090=1,SUM(AS$7:AS2090),"")</f>
        <v/>
      </c>
      <c r="AU2090" s="82" t="n">
        <f aca="false">IF(AND(OR(AA2090="R",AA2090="NX",AA2090="NT",AA2090="CO"),OR('JOINTS DE RÉPARATION'!$D$5="TOUTES",B2090='JOINTS DE RÉPARATION'!$D$5),OR('JOINTS DE RÉPARATION'!$L$4="TOUS",AQ2090&lt;&gt;"ACCEPTÉ")),1,0)</f>
        <v>0</v>
      </c>
      <c r="AV2090" s="82" t="str">
        <f aca="false">IF(AU2090=1,SUM(AU$7:AU2090),"")</f>
        <v/>
      </c>
      <c r="AW2090" s="82" t="str">
        <f aca="false">IF(E2090="","",B2090&amp;"|"&amp;E2090)</f>
        <v>MFD-ISW → MFD-CPF|JN°1606</v>
      </c>
    </row>
    <row r="2091" customFormat="false" ht="74.6" hidden="false" customHeight="false" outlineLevel="0" collapsed="false">
      <c r="A2091" s="79" t="n">
        <f aca="false">IF(E2091="","",ROW()-6)</f>
        <v>2085</v>
      </c>
      <c r="B2091" s="80" t="s">
        <v>110</v>
      </c>
      <c r="C2091" s="81" t="s">
        <v>2510</v>
      </c>
      <c r="D2091" s="81" t="n">
        <v>20</v>
      </c>
      <c r="E2091" s="81" t="s">
        <v>2542</v>
      </c>
      <c r="F2091" s="82" t="str">
        <f aca="false">IF(E2091="","",IF(LEFT(E2091,2)="DJ","DJ","JN"))</f>
        <v>JN</v>
      </c>
      <c r="G2091" s="81" t="s">
        <v>1504</v>
      </c>
      <c r="H2091" s="81" t="s">
        <v>871</v>
      </c>
      <c r="I2091" s="81" t="n">
        <v>9.53</v>
      </c>
      <c r="J2091" s="81" t="s">
        <v>872</v>
      </c>
      <c r="K2091" s="81" t="s">
        <v>879</v>
      </c>
      <c r="L2091" s="81" t="n">
        <v>2089830</v>
      </c>
      <c r="M2091" s="81" t="n">
        <v>15421109</v>
      </c>
      <c r="N2091" s="81" t="n">
        <v>11.94</v>
      </c>
      <c r="O2091" s="81" t="n">
        <v>2080330</v>
      </c>
      <c r="P2091" s="81" t="n">
        <v>15421102</v>
      </c>
      <c r="Q2091" s="81" t="n">
        <v>11.94</v>
      </c>
      <c r="R2091" s="81" t="s">
        <v>2532</v>
      </c>
      <c r="S2091" s="81"/>
      <c r="T2091" s="81"/>
      <c r="U2091" s="83" t="n">
        <v>46265</v>
      </c>
      <c r="V2091" s="83" t="n">
        <v>46265</v>
      </c>
      <c r="W2091" s="81" t="s">
        <v>2533</v>
      </c>
      <c r="X2091" s="81" t="s">
        <v>876</v>
      </c>
      <c r="Y2091" s="83" t="n">
        <v>46274</v>
      </c>
      <c r="Z2091" s="81" t="s">
        <v>2540</v>
      </c>
      <c r="AA2091" s="81" t="s">
        <v>876</v>
      </c>
      <c r="AB2091" s="81"/>
      <c r="AC2091" s="81"/>
      <c r="AD2091" s="81"/>
      <c r="AE2091" s="83"/>
      <c r="AF2091" s="81"/>
      <c r="AG2091" s="81"/>
      <c r="AH2091" s="81"/>
      <c r="AI2091" s="81"/>
      <c r="AJ2091" s="83"/>
      <c r="AK2091" s="81"/>
      <c r="AL2091" s="81"/>
      <c r="AM2091" s="83"/>
      <c r="AN2091" s="80"/>
      <c r="AO2091" s="82" t="n">
        <f aca="false">IF(E2091="","",(AA2091&lt;&gt;"")+(AG2091&lt;&gt;"")+(AL2091&lt;&gt;""))</f>
        <v>1</v>
      </c>
      <c r="AP2091" s="82" t="str">
        <f aca="false">IF(AL2091&lt;&gt;"",AL2091,IF(AG2091&lt;&gt;"",AG2091,IF(AA2091&lt;&gt;"",AA2091,"")))</f>
        <v>A</v>
      </c>
      <c r="AQ2091" s="84" t="str">
        <f aca="false">IF(E2091="","",IF(U2091="","À SOUDER",IF(X2091="","VT EN ATTENTE",IF(X2091="R","VT REJETÉ – À REPRENDRE",IF(AP2091="","À RADIOGRAPHIER",IF(AP2091="A","ACCEPTÉ",IF(AP2091="NX","NX – RT À REFAIRE",IF(IF(AO2091=1,AD2091,IF(AO2091=2,AI2091,""))="A","RÉPARÉ – À RADIOGRAPHIER",IF(IF(AO2091=1,AD2091,IF(AO2091=2,AI2091,""))="R","VT REJETÉ – À REPRENDRE",IF(OR(AP2091="CO",AP2091="NT"),"COUPE – À RESOUDER","À RÉPARER"))))))))))</f>
        <v>ACCEPTÉ</v>
      </c>
      <c r="AR2091" s="82" t="str">
        <f aca="false">IF(AND(ISNUMBER(U2091),OR(AQ2091="À RADIOGRAPHIER",AQ2091="RÉPARÉ – À RADIOGRAPHIER",AQ2091="NX – RT À REFAIRE",AQ2091="À RÉPARER",AQ2091="COUPE – À RESOUDER",AQ2091="VT REJETÉ – À REPRENDRE")),MAX(0,'PROGRAMME RT'!$C$4-U2091),"")</f>
        <v/>
      </c>
      <c r="AS2091" s="82" t="n">
        <f aca="false">IF(AND(OR(AQ2091="À RADIOGRAPHIER",AQ2091="RÉPARÉ – À RADIOGRAPHIER",AQ2091="NX – RT À REFAIRE"),OR('PROGRAMME RT'!$D$5="TOUTES",B2091='PROGRAMME RT'!$D$5)),1,0)</f>
        <v>0</v>
      </c>
      <c r="AT2091" s="82" t="str">
        <f aca="false">IF(AS2091=1,SUM(AS$7:AS2091),"")</f>
        <v/>
      </c>
      <c r="AU2091" s="82" t="n">
        <f aca="false">IF(AND(OR(AA2091="R",AA2091="NX",AA2091="NT",AA2091="CO"),OR('JOINTS DE RÉPARATION'!$D$5="TOUTES",B2091='JOINTS DE RÉPARATION'!$D$5),OR('JOINTS DE RÉPARATION'!$L$4="TOUS",AQ2091&lt;&gt;"ACCEPTÉ")),1,0)</f>
        <v>0</v>
      </c>
      <c r="AV2091" s="82" t="str">
        <f aca="false">IF(AU2091=1,SUM(AU$7:AU2091),"")</f>
        <v/>
      </c>
      <c r="AW2091" s="82" t="str">
        <f aca="false">IF(E2091="","",B2091&amp;"|"&amp;E2091)</f>
        <v>MFD-ISW → MFD-CPF|JN°1607</v>
      </c>
    </row>
    <row r="2092" customFormat="false" ht="74.6" hidden="false" customHeight="false" outlineLevel="0" collapsed="false">
      <c r="A2092" s="79" t="n">
        <f aca="false">IF(E2092="","",ROW()-6)</f>
        <v>2086</v>
      </c>
      <c r="B2092" s="80" t="s">
        <v>110</v>
      </c>
      <c r="C2092" s="81" t="s">
        <v>2510</v>
      </c>
      <c r="D2092" s="81" t="n">
        <v>20</v>
      </c>
      <c r="E2092" s="81" t="s">
        <v>2543</v>
      </c>
      <c r="F2092" s="82" t="str">
        <f aca="false">IF(E2092="","",IF(LEFT(E2092,2)="DJ","DJ","JN"))</f>
        <v>JN</v>
      </c>
      <c r="G2092" s="81" t="s">
        <v>1504</v>
      </c>
      <c r="H2092" s="81" t="s">
        <v>871</v>
      </c>
      <c r="I2092" s="81" t="n">
        <v>9.53</v>
      </c>
      <c r="J2092" s="81" t="s">
        <v>872</v>
      </c>
      <c r="K2092" s="81" t="s">
        <v>879</v>
      </c>
      <c r="L2092" s="81" t="n">
        <v>2080330</v>
      </c>
      <c r="M2092" s="81" t="n">
        <v>15421102</v>
      </c>
      <c r="N2092" s="81" t="n">
        <v>11.94</v>
      </c>
      <c r="O2092" s="81" t="n">
        <v>2084610</v>
      </c>
      <c r="P2092" s="81" t="n">
        <v>15421106</v>
      </c>
      <c r="Q2092" s="81" t="n">
        <v>11.94</v>
      </c>
      <c r="R2092" s="81" t="s">
        <v>2532</v>
      </c>
      <c r="S2092" s="81"/>
      <c r="T2092" s="81"/>
      <c r="U2092" s="83" t="n">
        <v>46265</v>
      </c>
      <c r="V2092" s="83" t="n">
        <v>46265</v>
      </c>
      <c r="W2092" s="81" t="s">
        <v>2533</v>
      </c>
      <c r="X2092" s="81" t="s">
        <v>876</v>
      </c>
      <c r="Y2092" s="83" t="n">
        <v>46274</v>
      </c>
      <c r="Z2092" s="81" t="s">
        <v>2540</v>
      </c>
      <c r="AA2092" s="81" t="s">
        <v>876</v>
      </c>
      <c r="AB2092" s="81"/>
      <c r="AC2092" s="81"/>
      <c r="AD2092" s="81"/>
      <c r="AE2092" s="83"/>
      <c r="AF2092" s="81"/>
      <c r="AG2092" s="81"/>
      <c r="AH2092" s="81"/>
      <c r="AI2092" s="81"/>
      <c r="AJ2092" s="83"/>
      <c r="AK2092" s="81"/>
      <c r="AL2092" s="81"/>
      <c r="AM2092" s="83"/>
      <c r="AN2092" s="80"/>
      <c r="AO2092" s="82" t="n">
        <f aca="false">IF(E2092="","",(AA2092&lt;&gt;"")+(AG2092&lt;&gt;"")+(AL2092&lt;&gt;""))</f>
        <v>1</v>
      </c>
      <c r="AP2092" s="82" t="str">
        <f aca="false">IF(AL2092&lt;&gt;"",AL2092,IF(AG2092&lt;&gt;"",AG2092,IF(AA2092&lt;&gt;"",AA2092,"")))</f>
        <v>A</v>
      </c>
      <c r="AQ2092" s="84" t="str">
        <f aca="false">IF(E2092="","",IF(U2092="","À SOUDER",IF(X2092="","VT EN ATTENTE",IF(X2092="R","VT REJETÉ – À REPRENDRE",IF(AP2092="","À RADIOGRAPHIER",IF(AP2092="A","ACCEPTÉ",IF(AP2092="NX","NX – RT À REFAIRE",IF(IF(AO2092=1,AD2092,IF(AO2092=2,AI2092,""))="A","RÉPARÉ – À RADIOGRAPHIER",IF(IF(AO2092=1,AD2092,IF(AO2092=2,AI2092,""))="R","VT REJETÉ – À REPRENDRE",IF(OR(AP2092="CO",AP2092="NT"),"COUPE – À RESOUDER","À RÉPARER"))))))))))</f>
        <v>ACCEPTÉ</v>
      </c>
      <c r="AR2092" s="82" t="str">
        <f aca="false">IF(AND(ISNUMBER(U2092),OR(AQ2092="À RADIOGRAPHIER",AQ2092="RÉPARÉ – À RADIOGRAPHIER",AQ2092="NX – RT À REFAIRE",AQ2092="À RÉPARER",AQ2092="COUPE – À RESOUDER",AQ2092="VT REJETÉ – À REPRENDRE")),MAX(0,'PROGRAMME RT'!$C$4-U2092),"")</f>
        <v/>
      </c>
      <c r="AS2092" s="82" t="n">
        <f aca="false">IF(AND(OR(AQ2092="À RADIOGRAPHIER",AQ2092="RÉPARÉ – À RADIOGRAPHIER",AQ2092="NX – RT À REFAIRE"),OR('PROGRAMME RT'!$D$5="TOUTES",B2092='PROGRAMME RT'!$D$5)),1,0)</f>
        <v>0</v>
      </c>
      <c r="AT2092" s="82" t="str">
        <f aca="false">IF(AS2092=1,SUM(AS$7:AS2092),"")</f>
        <v/>
      </c>
      <c r="AU2092" s="82" t="n">
        <f aca="false">IF(AND(OR(AA2092="R",AA2092="NX",AA2092="NT",AA2092="CO"),OR('JOINTS DE RÉPARATION'!$D$5="TOUTES",B2092='JOINTS DE RÉPARATION'!$D$5),OR('JOINTS DE RÉPARATION'!$L$4="TOUS",AQ2092&lt;&gt;"ACCEPTÉ")),1,0)</f>
        <v>0</v>
      </c>
      <c r="AV2092" s="82" t="str">
        <f aca="false">IF(AU2092=1,SUM(AU$7:AU2092),"")</f>
        <v/>
      </c>
      <c r="AW2092" s="82" t="str">
        <f aca="false">IF(E2092="","",B2092&amp;"|"&amp;E2092)</f>
        <v>MFD-ISW → MFD-CPF|JN°1608</v>
      </c>
    </row>
    <row r="2093" customFormat="false" ht="74.6" hidden="false" customHeight="false" outlineLevel="0" collapsed="false">
      <c r="A2093" s="79" t="n">
        <f aca="false">IF(E2093="","",ROW()-6)</f>
        <v>2087</v>
      </c>
      <c r="B2093" s="80" t="s">
        <v>110</v>
      </c>
      <c r="C2093" s="81" t="s">
        <v>2510</v>
      </c>
      <c r="D2093" s="81" t="n">
        <v>20</v>
      </c>
      <c r="E2093" s="81" t="s">
        <v>2544</v>
      </c>
      <c r="F2093" s="82" t="str">
        <f aca="false">IF(E2093="","",IF(LEFT(E2093,2)="DJ","DJ","JN"))</f>
        <v>JN</v>
      </c>
      <c r="G2093" s="81" t="s">
        <v>1504</v>
      </c>
      <c r="H2093" s="81" t="s">
        <v>871</v>
      </c>
      <c r="I2093" s="81" t="n">
        <v>9.53</v>
      </c>
      <c r="J2093" s="81" t="s">
        <v>872</v>
      </c>
      <c r="K2093" s="81" t="s">
        <v>879</v>
      </c>
      <c r="L2093" s="81" t="n">
        <v>2084610</v>
      </c>
      <c r="M2093" s="81" t="n">
        <v>15421106</v>
      </c>
      <c r="N2093" s="81" t="n">
        <v>11.94</v>
      </c>
      <c r="O2093" s="81" t="n">
        <v>2084230</v>
      </c>
      <c r="P2093" s="81" t="n">
        <v>15421106</v>
      </c>
      <c r="Q2093" s="81" t="n">
        <v>11.94</v>
      </c>
      <c r="R2093" s="81" t="s">
        <v>2532</v>
      </c>
      <c r="S2093" s="81"/>
      <c r="T2093" s="81"/>
      <c r="U2093" s="83" t="n">
        <v>46265</v>
      </c>
      <c r="V2093" s="83" t="n">
        <v>46265</v>
      </c>
      <c r="W2093" s="81" t="s">
        <v>2533</v>
      </c>
      <c r="X2093" s="81" t="s">
        <v>876</v>
      </c>
      <c r="Y2093" s="83" t="n">
        <v>46274</v>
      </c>
      <c r="Z2093" s="81" t="s">
        <v>2540</v>
      </c>
      <c r="AA2093" s="81" t="s">
        <v>876</v>
      </c>
      <c r="AB2093" s="81"/>
      <c r="AC2093" s="81"/>
      <c r="AD2093" s="81"/>
      <c r="AE2093" s="83"/>
      <c r="AF2093" s="81"/>
      <c r="AG2093" s="81"/>
      <c r="AH2093" s="81"/>
      <c r="AI2093" s="81"/>
      <c r="AJ2093" s="83"/>
      <c r="AK2093" s="81"/>
      <c r="AL2093" s="81"/>
      <c r="AM2093" s="83"/>
      <c r="AN2093" s="80"/>
      <c r="AO2093" s="82" t="n">
        <f aca="false">IF(E2093="","",(AA2093&lt;&gt;"")+(AG2093&lt;&gt;"")+(AL2093&lt;&gt;""))</f>
        <v>1</v>
      </c>
      <c r="AP2093" s="82" t="str">
        <f aca="false">IF(AL2093&lt;&gt;"",AL2093,IF(AG2093&lt;&gt;"",AG2093,IF(AA2093&lt;&gt;"",AA2093,"")))</f>
        <v>A</v>
      </c>
      <c r="AQ2093" s="84" t="str">
        <f aca="false">IF(E2093="","",IF(U2093="","À SOUDER",IF(X2093="","VT EN ATTENTE",IF(X2093="R","VT REJETÉ – À REPRENDRE",IF(AP2093="","À RADIOGRAPHIER",IF(AP2093="A","ACCEPTÉ",IF(AP2093="NX","NX – RT À REFAIRE",IF(IF(AO2093=1,AD2093,IF(AO2093=2,AI2093,""))="A","RÉPARÉ – À RADIOGRAPHIER",IF(IF(AO2093=1,AD2093,IF(AO2093=2,AI2093,""))="R","VT REJETÉ – À REPRENDRE",IF(OR(AP2093="CO",AP2093="NT"),"COUPE – À RESOUDER","À RÉPARER"))))))))))</f>
        <v>ACCEPTÉ</v>
      </c>
      <c r="AR2093" s="82" t="str">
        <f aca="false">IF(AND(ISNUMBER(U2093),OR(AQ2093="À RADIOGRAPHIER",AQ2093="RÉPARÉ – À RADIOGRAPHIER",AQ2093="NX – RT À REFAIRE",AQ2093="À RÉPARER",AQ2093="COUPE – À RESOUDER",AQ2093="VT REJETÉ – À REPRENDRE")),MAX(0,'PROGRAMME RT'!$C$4-U2093),"")</f>
        <v/>
      </c>
      <c r="AS2093" s="82" t="n">
        <f aca="false">IF(AND(OR(AQ2093="À RADIOGRAPHIER",AQ2093="RÉPARÉ – À RADIOGRAPHIER",AQ2093="NX – RT À REFAIRE"),OR('PROGRAMME RT'!$D$5="TOUTES",B2093='PROGRAMME RT'!$D$5)),1,0)</f>
        <v>0</v>
      </c>
      <c r="AT2093" s="82" t="str">
        <f aca="false">IF(AS2093=1,SUM(AS$7:AS2093),"")</f>
        <v/>
      </c>
      <c r="AU2093" s="82" t="n">
        <f aca="false">IF(AND(OR(AA2093="R",AA2093="NX",AA2093="NT",AA2093="CO"),OR('JOINTS DE RÉPARATION'!$D$5="TOUTES",B2093='JOINTS DE RÉPARATION'!$D$5),OR('JOINTS DE RÉPARATION'!$L$4="TOUS",AQ2093&lt;&gt;"ACCEPTÉ")),1,0)</f>
        <v>0</v>
      </c>
      <c r="AV2093" s="82" t="str">
        <f aca="false">IF(AU2093=1,SUM(AU$7:AU2093),"")</f>
        <v/>
      </c>
      <c r="AW2093" s="82" t="str">
        <f aca="false">IF(E2093="","",B2093&amp;"|"&amp;E2093)</f>
        <v>MFD-ISW → MFD-CPF|JN°1609</v>
      </c>
    </row>
    <row r="2094" customFormat="false" ht="74.6" hidden="false" customHeight="false" outlineLevel="0" collapsed="false">
      <c r="A2094" s="79" t="n">
        <f aca="false">IF(E2094="","",ROW()-6)</f>
        <v>2088</v>
      </c>
      <c r="B2094" s="80" t="s">
        <v>110</v>
      </c>
      <c r="C2094" s="81" t="s">
        <v>2510</v>
      </c>
      <c r="D2094" s="81" t="n">
        <v>20</v>
      </c>
      <c r="E2094" s="81" t="s">
        <v>2545</v>
      </c>
      <c r="F2094" s="82" t="str">
        <f aca="false">IF(E2094="","",IF(LEFT(E2094,2)="DJ","DJ","JN"))</f>
        <v>JN</v>
      </c>
      <c r="G2094" s="81" t="s">
        <v>1504</v>
      </c>
      <c r="H2094" s="81" t="s">
        <v>871</v>
      </c>
      <c r="I2094" s="81" t="n">
        <v>9.53</v>
      </c>
      <c r="J2094" s="81" t="s">
        <v>872</v>
      </c>
      <c r="K2094" s="81" t="s">
        <v>879</v>
      </c>
      <c r="L2094" s="81" t="n">
        <v>2084230</v>
      </c>
      <c r="M2094" s="81" t="n">
        <v>15421106</v>
      </c>
      <c r="N2094" s="81" t="n">
        <v>11.94</v>
      </c>
      <c r="O2094" s="81" t="n">
        <v>2084400</v>
      </c>
      <c r="P2094" s="81" t="n">
        <v>15421106</v>
      </c>
      <c r="Q2094" s="81" t="n">
        <v>11.94</v>
      </c>
      <c r="R2094" s="81" t="s">
        <v>2532</v>
      </c>
      <c r="S2094" s="81"/>
      <c r="T2094" s="81"/>
      <c r="U2094" s="83" t="n">
        <v>46265</v>
      </c>
      <c r="V2094" s="83" t="n">
        <v>46265</v>
      </c>
      <c r="W2094" s="81" t="s">
        <v>2533</v>
      </c>
      <c r="X2094" s="81" t="s">
        <v>876</v>
      </c>
      <c r="Y2094" s="83" t="n">
        <v>46274</v>
      </c>
      <c r="Z2094" s="81" t="s">
        <v>2540</v>
      </c>
      <c r="AA2094" s="81" t="s">
        <v>876</v>
      </c>
      <c r="AB2094" s="81"/>
      <c r="AC2094" s="81"/>
      <c r="AD2094" s="81"/>
      <c r="AE2094" s="83"/>
      <c r="AF2094" s="81"/>
      <c r="AG2094" s="81"/>
      <c r="AH2094" s="81"/>
      <c r="AI2094" s="81"/>
      <c r="AJ2094" s="83"/>
      <c r="AK2094" s="81"/>
      <c r="AL2094" s="81"/>
      <c r="AM2094" s="83"/>
      <c r="AN2094" s="80"/>
      <c r="AO2094" s="82" t="n">
        <f aca="false">IF(E2094="","",(AA2094&lt;&gt;"")+(AG2094&lt;&gt;"")+(AL2094&lt;&gt;""))</f>
        <v>1</v>
      </c>
      <c r="AP2094" s="82" t="str">
        <f aca="false">IF(AL2094&lt;&gt;"",AL2094,IF(AG2094&lt;&gt;"",AG2094,IF(AA2094&lt;&gt;"",AA2094,"")))</f>
        <v>A</v>
      </c>
      <c r="AQ2094" s="84" t="str">
        <f aca="false">IF(E2094="","",IF(U2094="","À SOUDER",IF(X2094="","VT EN ATTENTE",IF(X2094="R","VT REJETÉ – À REPRENDRE",IF(AP2094="","À RADIOGRAPHIER",IF(AP2094="A","ACCEPTÉ",IF(AP2094="NX","NX – RT À REFAIRE",IF(IF(AO2094=1,AD2094,IF(AO2094=2,AI2094,""))="A","RÉPARÉ – À RADIOGRAPHIER",IF(IF(AO2094=1,AD2094,IF(AO2094=2,AI2094,""))="R","VT REJETÉ – À REPRENDRE",IF(OR(AP2094="CO",AP2094="NT"),"COUPE – À RESOUDER","À RÉPARER"))))))))))</f>
        <v>ACCEPTÉ</v>
      </c>
      <c r="AR2094" s="82" t="str">
        <f aca="false">IF(AND(ISNUMBER(U2094),OR(AQ2094="À RADIOGRAPHIER",AQ2094="RÉPARÉ – À RADIOGRAPHIER",AQ2094="NX – RT À REFAIRE",AQ2094="À RÉPARER",AQ2094="COUPE – À RESOUDER",AQ2094="VT REJETÉ – À REPRENDRE")),MAX(0,'PROGRAMME RT'!$C$4-U2094),"")</f>
        <v/>
      </c>
      <c r="AS2094" s="82" t="n">
        <f aca="false">IF(AND(OR(AQ2094="À RADIOGRAPHIER",AQ2094="RÉPARÉ – À RADIOGRAPHIER",AQ2094="NX – RT À REFAIRE"),OR('PROGRAMME RT'!$D$5="TOUTES",B2094='PROGRAMME RT'!$D$5)),1,0)</f>
        <v>0</v>
      </c>
      <c r="AT2094" s="82" t="str">
        <f aca="false">IF(AS2094=1,SUM(AS$7:AS2094),"")</f>
        <v/>
      </c>
      <c r="AU2094" s="82" t="n">
        <f aca="false">IF(AND(OR(AA2094="R",AA2094="NX",AA2094="NT",AA2094="CO"),OR('JOINTS DE RÉPARATION'!$D$5="TOUTES",B2094='JOINTS DE RÉPARATION'!$D$5),OR('JOINTS DE RÉPARATION'!$L$4="TOUS",AQ2094&lt;&gt;"ACCEPTÉ")),1,0)</f>
        <v>0</v>
      </c>
      <c r="AV2094" s="82" t="str">
        <f aca="false">IF(AU2094=1,SUM(AU$7:AU2094),"")</f>
        <v/>
      </c>
      <c r="AW2094" s="82" t="str">
        <f aca="false">IF(E2094="","",B2094&amp;"|"&amp;E2094)</f>
        <v>MFD-ISW → MFD-CPF|JN°1610</v>
      </c>
    </row>
    <row r="2095" customFormat="false" ht="74.6" hidden="false" customHeight="false" outlineLevel="0" collapsed="false">
      <c r="A2095" s="79" t="n">
        <f aca="false">IF(E2095="","",ROW()-6)</f>
        <v>2089</v>
      </c>
      <c r="B2095" s="80" t="s">
        <v>110</v>
      </c>
      <c r="C2095" s="81" t="s">
        <v>2510</v>
      </c>
      <c r="D2095" s="81" t="n">
        <v>20</v>
      </c>
      <c r="E2095" s="81" t="s">
        <v>2546</v>
      </c>
      <c r="F2095" s="82" t="str">
        <f aca="false">IF(E2095="","",IF(LEFT(E2095,2)="DJ","DJ","JN"))</f>
        <v>JN</v>
      </c>
      <c r="G2095" s="81" t="s">
        <v>1504</v>
      </c>
      <c r="H2095" s="81" t="s">
        <v>871</v>
      </c>
      <c r="I2095" s="81" t="n">
        <v>9.53</v>
      </c>
      <c r="J2095" s="81" t="s">
        <v>872</v>
      </c>
      <c r="K2095" s="81" t="s">
        <v>879</v>
      </c>
      <c r="L2095" s="81" t="n">
        <v>2084400</v>
      </c>
      <c r="M2095" s="81" t="n">
        <v>15421106</v>
      </c>
      <c r="N2095" s="81" t="n">
        <v>11.94</v>
      </c>
      <c r="O2095" s="81" t="n">
        <v>2098640</v>
      </c>
      <c r="P2095" s="81" t="n">
        <v>15421112</v>
      </c>
      <c r="Q2095" s="81" t="n">
        <v>11.94</v>
      </c>
      <c r="R2095" s="81" t="s">
        <v>2532</v>
      </c>
      <c r="S2095" s="81"/>
      <c r="T2095" s="81"/>
      <c r="U2095" s="83" t="n">
        <v>46265</v>
      </c>
      <c r="V2095" s="83" t="n">
        <v>46265</v>
      </c>
      <c r="W2095" s="81" t="s">
        <v>2533</v>
      </c>
      <c r="X2095" s="81" t="s">
        <v>876</v>
      </c>
      <c r="Y2095" s="83" t="n">
        <v>46274</v>
      </c>
      <c r="Z2095" s="81" t="s">
        <v>2540</v>
      </c>
      <c r="AA2095" s="81" t="s">
        <v>876</v>
      </c>
      <c r="AB2095" s="81"/>
      <c r="AC2095" s="81"/>
      <c r="AD2095" s="81"/>
      <c r="AE2095" s="83"/>
      <c r="AF2095" s="81"/>
      <c r="AG2095" s="81"/>
      <c r="AH2095" s="81"/>
      <c r="AI2095" s="81"/>
      <c r="AJ2095" s="83"/>
      <c r="AK2095" s="81"/>
      <c r="AL2095" s="81"/>
      <c r="AM2095" s="83"/>
      <c r="AN2095" s="80"/>
      <c r="AO2095" s="82" t="n">
        <f aca="false">IF(E2095="","",(AA2095&lt;&gt;"")+(AG2095&lt;&gt;"")+(AL2095&lt;&gt;""))</f>
        <v>1</v>
      </c>
      <c r="AP2095" s="82" t="str">
        <f aca="false">IF(AL2095&lt;&gt;"",AL2095,IF(AG2095&lt;&gt;"",AG2095,IF(AA2095&lt;&gt;"",AA2095,"")))</f>
        <v>A</v>
      </c>
      <c r="AQ2095" s="84" t="str">
        <f aca="false">IF(E2095="","",IF(U2095="","À SOUDER",IF(X2095="","VT EN ATTENTE",IF(X2095="R","VT REJETÉ – À REPRENDRE",IF(AP2095="","À RADIOGRAPHIER",IF(AP2095="A","ACCEPTÉ",IF(AP2095="NX","NX – RT À REFAIRE",IF(IF(AO2095=1,AD2095,IF(AO2095=2,AI2095,""))="A","RÉPARÉ – À RADIOGRAPHIER",IF(IF(AO2095=1,AD2095,IF(AO2095=2,AI2095,""))="R","VT REJETÉ – À REPRENDRE",IF(OR(AP2095="CO",AP2095="NT"),"COUPE – À RESOUDER","À RÉPARER"))))))))))</f>
        <v>ACCEPTÉ</v>
      </c>
      <c r="AR2095" s="82" t="str">
        <f aca="false">IF(AND(ISNUMBER(U2095),OR(AQ2095="À RADIOGRAPHIER",AQ2095="RÉPARÉ – À RADIOGRAPHIER",AQ2095="NX – RT À REFAIRE",AQ2095="À RÉPARER",AQ2095="COUPE – À RESOUDER",AQ2095="VT REJETÉ – À REPRENDRE")),MAX(0,'PROGRAMME RT'!$C$4-U2095),"")</f>
        <v/>
      </c>
      <c r="AS2095" s="82" t="n">
        <f aca="false">IF(AND(OR(AQ2095="À RADIOGRAPHIER",AQ2095="RÉPARÉ – À RADIOGRAPHIER",AQ2095="NX – RT À REFAIRE"),OR('PROGRAMME RT'!$D$5="TOUTES",B2095='PROGRAMME RT'!$D$5)),1,0)</f>
        <v>0</v>
      </c>
      <c r="AT2095" s="82" t="str">
        <f aca="false">IF(AS2095=1,SUM(AS$7:AS2095),"")</f>
        <v/>
      </c>
      <c r="AU2095" s="82" t="n">
        <f aca="false">IF(AND(OR(AA2095="R",AA2095="NX",AA2095="NT",AA2095="CO"),OR('JOINTS DE RÉPARATION'!$D$5="TOUTES",B2095='JOINTS DE RÉPARATION'!$D$5),OR('JOINTS DE RÉPARATION'!$L$4="TOUS",AQ2095&lt;&gt;"ACCEPTÉ")),1,0)</f>
        <v>0</v>
      </c>
      <c r="AV2095" s="82" t="str">
        <f aca="false">IF(AU2095=1,SUM(AU$7:AU2095),"")</f>
        <v/>
      </c>
      <c r="AW2095" s="82" t="str">
        <f aca="false">IF(E2095="","",B2095&amp;"|"&amp;E2095)</f>
        <v>MFD-ISW → MFD-CPF|JN°1611</v>
      </c>
    </row>
    <row r="2096" customFormat="false" ht="74.6" hidden="false" customHeight="false" outlineLevel="0" collapsed="false">
      <c r="A2096" s="79" t="n">
        <f aca="false">IF(E2096="","",ROW()-6)</f>
        <v>2090</v>
      </c>
      <c r="B2096" s="80" t="s">
        <v>110</v>
      </c>
      <c r="C2096" s="81" t="s">
        <v>2510</v>
      </c>
      <c r="D2096" s="81" t="n">
        <v>20</v>
      </c>
      <c r="E2096" s="81" t="s">
        <v>2547</v>
      </c>
      <c r="F2096" s="82" t="str">
        <f aca="false">IF(E2096="","",IF(LEFT(E2096,2)="DJ","DJ","JN"))</f>
        <v>JN</v>
      </c>
      <c r="G2096" s="81" t="s">
        <v>1504</v>
      </c>
      <c r="H2096" s="81" t="s">
        <v>871</v>
      </c>
      <c r="I2096" s="81" t="n">
        <v>9.53</v>
      </c>
      <c r="J2096" s="81" t="s">
        <v>872</v>
      </c>
      <c r="K2096" s="81" t="s">
        <v>879</v>
      </c>
      <c r="L2096" s="81" t="n">
        <v>2098640</v>
      </c>
      <c r="M2096" s="81" t="n">
        <v>15421112</v>
      </c>
      <c r="N2096" s="81" t="n">
        <v>11.94</v>
      </c>
      <c r="O2096" s="81" t="n">
        <v>2096110</v>
      </c>
      <c r="P2096" s="81" t="n">
        <v>15421111</v>
      </c>
      <c r="Q2096" s="81" t="n">
        <v>11.94</v>
      </c>
      <c r="R2096" s="81" t="s">
        <v>2532</v>
      </c>
      <c r="S2096" s="81"/>
      <c r="T2096" s="81"/>
      <c r="U2096" s="83" t="n">
        <v>46265</v>
      </c>
      <c r="V2096" s="83" t="n">
        <v>46265</v>
      </c>
      <c r="W2096" s="81" t="s">
        <v>2533</v>
      </c>
      <c r="X2096" s="81" t="s">
        <v>876</v>
      </c>
      <c r="Y2096" s="83" t="n">
        <v>46274</v>
      </c>
      <c r="Z2096" s="81" t="s">
        <v>2540</v>
      </c>
      <c r="AA2096" s="81" t="s">
        <v>876</v>
      </c>
      <c r="AB2096" s="81"/>
      <c r="AC2096" s="81"/>
      <c r="AD2096" s="81"/>
      <c r="AE2096" s="83"/>
      <c r="AF2096" s="81"/>
      <c r="AG2096" s="81"/>
      <c r="AH2096" s="81"/>
      <c r="AI2096" s="81"/>
      <c r="AJ2096" s="83"/>
      <c r="AK2096" s="81"/>
      <c r="AL2096" s="81"/>
      <c r="AM2096" s="83"/>
      <c r="AN2096" s="80"/>
      <c r="AO2096" s="82" t="n">
        <f aca="false">IF(E2096="","",(AA2096&lt;&gt;"")+(AG2096&lt;&gt;"")+(AL2096&lt;&gt;""))</f>
        <v>1</v>
      </c>
      <c r="AP2096" s="82" t="str">
        <f aca="false">IF(AL2096&lt;&gt;"",AL2096,IF(AG2096&lt;&gt;"",AG2096,IF(AA2096&lt;&gt;"",AA2096,"")))</f>
        <v>A</v>
      </c>
      <c r="AQ2096" s="84" t="str">
        <f aca="false">IF(E2096="","",IF(U2096="","À SOUDER",IF(X2096="","VT EN ATTENTE",IF(X2096="R","VT REJETÉ – À REPRENDRE",IF(AP2096="","À RADIOGRAPHIER",IF(AP2096="A","ACCEPTÉ",IF(AP2096="NX","NX – RT À REFAIRE",IF(IF(AO2096=1,AD2096,IF(AO2096=2,AI2096,""))="A","RÉPARÉ – À RADIOGRAPHIER",IF(IF(AO2096=1,AD2096,IF(AO2096=2,AI2096,""))="R","VT REJETÉ – À REPRENDRE",IF(OR(AP2096="CO",AP2096="NT"),"COUPE – À RESOUDER","À RÉPARER"))))))))))</f>
        <v>ACCEPTÉ</v>
      </c>
      <c r="AR2096" s="82" t="str">
        <f aca="false">IF(AND(ISNUMBER(U2096),OR(AQ2096="À RADIOGRAPHIER",AQ2096="RÉPARÉ – À RADIOGRAPHIER",AQ2096="NX – RT À REFAIRE",AQ2096="À RÉPARER",AQ2096="COUPE – À RESOUDER",AQ2096="VT REJETÉ – À REPRENDRE")),MAX(0,'PROGRAMME RT'!$C$4-U2096),"")</f>
        <v/>
      </c>
      <c r="AS2096" s="82" t="n">
        <f aca="false">IF(AND(OR(AQ2096="À RADIOGRAPHIER",AQ2096="RÉPARÉ – À RADIOGRAPHIER",AQ2096="NX – RT À REFAIRE"),OR('PROGRAMME RT'!$D$5="TOUTES",B2096='PROGRAMME RT'!$D$5)),1,0)</f>
        <v>0</v>
      </c>
      <c r="AT2096" s="82" t="str">
        <f aca="false">IF(AS2096=1,SUM(AS$7:AS2096),"")</f>
        <v/>
      </c>
      <c r="AU2096" s="82" t="n">
        <f aca="false">IF(AND(OR(AA2096="R",AA2096="NX",AA2096="NT",AA2096="CO"),OR('JOINTS DE RÉPARATION'!$D$5="TOUTES",B2096='JOINTS DE RÉPARATION'!$D$5),OR('JOINTS DE RÉPARATION'!$L$4="TOUS",AQ2096&lt;&gt;"ACCEPTÉ")),1,0)</f>
        <v>0</v>
      </c>
      <c r="AV2096" s="82" t="str">
        <f aca="false">IF(AU2096=1,SUM(AU$7:AU2096),"")</f>
        <v/>
      </c>
      <c r="AW2096" s="82" t="str">
        <f aca="false">IF(E2096="","",B2096&amp;"|"&amp;E2096)</f>
        <v>MFD-ISW → MFD-CPF|JN°1612</v>
      </c>
    </row>
    <row r="2097" customFormat="false" ht="74.6" hidden="false" customHeight="false" outlineLevel="0" collapsed="false">
      <c r="A2097" s="79" t="n">
        <f aca="false">IF(E2097="","",ROW()-6)</f>
        <v>2091</v>
      </c>
      <c r="B2097" s="80" t="s">
        <v>110</v>
      </c>
      <c r="C2097" s="81" t="s">
        <v>2510</v>
      </c>
      <c r="D2097" s="81" t="n">
        <v>20</v>
      </c>
      <c r="E2097" s="81" t="s">
        <v>2548</v>
      </c>
      <c r="F2097" s="82" t="str">
        <f aca="false">IF(E2097="","",IF(LEFT(E2097,2)="DJ","DJ","JN"))</f>
        <v>JN</v>
      </c>
      <c r="G2097" s="81" t="s">
        <v>1504</v>
      </c>
      <c r="H2097" s="81" t="s">
        <v>871</v>
      </c>
      <c r="I2097" s="81" t="n">
        <v>9.53</v>
      </c>
      <c r="J2097" s="81" t="s">
        <v>872</v>
      </c>
      <c r="K2097" s="81" t="s">
        <v>879</v>
      </c>
      <c r="L2097" s="81" t="n">
        <v>2096110</v>
      </c>
      <c r="M2097" s="81" t="n">
        <v>15421111</v>
      </c>
      <c r="N2097" s="81" t="n">
        <v>11.94</v>
      </c>
      <c r="O2097" s="81" t="n">
        <v>2094970</v>
      </c>
      <c r="P2097" s="81" t="n">
        <v>15421111</v>
      </c>
      <c r="Q2097" s="81" t="n">
        <v>11.94</v>
      </c>
      <c r="R2097" s="81" t="s">
        <v>2532</v>
      </c>
      <c r="S2097" s="81"/>
      <c r="T2097" s="81"/>
      <c r="U2097" s="83" t="n">
        <v>46265</v>
      </c>
      <c r="V2097" s="83" t="n">
        <v>46265</v>
      </c>
      <c r="W2097" s="81" t="s">
        <v>2533</v>
      </c>
      <c r="X2097" s="81" t="s">
        <v>876</v>
      </c>
      <c r="Y2097" s="83" t="n">
        <v>46274</v>
      </c>
      <c r="Z2097" s="81" t="s">
        <v>2540</v>
      </c>
      <c r="AA2097" s="81" t="s">
        <v>876</v>
      </c>
      <c r="AB2097" s="81"/>
      <c r="AC2097" s="81"/>
      <c r="AD2097" s="81"/>
      <c r="AE2097" s="83"/>
      <c r="AF2097" s="81"/>
      <c r="AG2097" s="81"/>
      <c r="AH2097" s="81"/>
      <c r="AI2097" s="81"/>
      <c r="AJ2097" s="83"/>
      <c r="AK2097" s="81"/>
      <c r="AL2097" s="81"/>
      <c r="AM2097" s="83"/>
      <c r="AN2097" s="80"/>
      <c r="AO2097" s="82" t="n">
        <f aca="false">IF(E2097="","",(AA2097&lt;&gt;"")+(AG2097&lt;&gt;"")+(AL2097&lt;&gt;""))</f>
        <v>1</v>
      </c>
      <c r="AP2097" s="82" t="str">
        <f aca="false">IF(AL2097&lt;&gt;"",AL2097,IF(AG2097&lt;&gt;"",AG2097,IF(AA2097&lt;&gt;"",AA2097,"")))</f>
        <v>A</v>
      </c>
      <c r="AQ2097" s="84" t="str">
        <f aca="false">IF(E2097="","",IF(U2097="","À SOUDER",IF(X2097="","VT EN ATTENTE",IF(X2097="R","VT REJETÉ – À REPRENDRE",IF(AP2097="","À RADIOGRAPHIER",IF(AP2097="A","ACCEPTÉ",IF(AP2097="NX","NX – RT À REFAIRE",IF(IF(AO2097=1,AD2097,IF(AO2097=2,AI2097,""))="A","RÉPARÉ – À RADIOGRAPHIER",IF(IF(AO2097=1,AD2097,IF(AO2097=2,AI2097,""))="R","VT REJETÉ – À REPRENDRE",IF(OR(AP2097="CO",AP2097="NT"),"COUPE – À RESOUDER","À RÉPARER"))))))))))</f>
        <v>ACCEPTÉ</v>
      </c>
      <c r="AR2097" s="82" t="str">
        <f aca="false">IF(AND(ISNUMBER(U2097),OR(AQ2097="À RADIOGRAPHIER",AQ2097="RÉPARÉ – À RADIOGRAPHIER",AQ2097="NX – RT À REFAIRE",AQ2097="À RÉPARER",AQ2097="COUPE – À RESOUDER",AQ2097="VT REJETÉ – À REPRENDRE")),MAX(0,'PROGRAMME RT'!$C$4-U2097),"")</f>
        <v/>
      </c>
      <c r="AS2097" s="82" t="n">
        <f aca="false">IF(AND(OR(AQ2097="À RADIOGRAPHIER",AQ2097="RÉPARÉ – À RADIOGRAPHIER",AQ2097="NX – RT À REFAIRE"),OR('PROGRAMME RT'!$D$5="TOUTES",B2097='PROGRAMME RT'!$D$5)),1,0)</f>
        <v>0</v>
      </c>
      <c r="AT2097" s="82" t="str">
        <f aca="false">IF(AS2097=1,SUM(AS$7:AS2097),"")</f>
        <v/>
      </c>
      <c r="AU2097" s="82" t="n">
        <f aca="false">IF(AND(OR(AA2097="R",AA2097="NX",AA2097="NT",AA2097="CO"),OR('JOINTS DE RÉPARATION'!$D$5="TOUTES",B2097='JOINTS DE RÉPARATION'!$D$5),OR('JOINTS DE RÉPARATION'!$L$4="TOUS",AQ2097&lt;&gt;"ACCEPTÉ")),1,0)</f>
        <v>0</v>
      </c>
      <c r="AV2097" s="82" t="str">
        <f aca="false">IF(AU2097=1,SUM(AU$7:AU2097),"")</f>
        <v/>
      </c>
      <c r="AW2097" s="82" t="str">
        <f aca="false">IF(E2097="","",B2097&amp;"|"&amp;E2097)</f>
        <v>MFD-ISW → MFD-CPF|JN°1613</v>
      </c>
    </row>
    <row r="2098" customFormat="false" ht="74.6" hidden="false" customHeight="false" outlineLevel="0" collapsed="false">
      <c r="A2098" s="79" t="n">
        <f aca="false">IF(E2098="","",ROW()-6)</f>
        <v>2092</v>
      </c>
      <c r="B2098" s="80" t="s">
        <v>110</v>
      </c>
      <c r="C2098" s="81" t="s">
        <v>2510</v>
      </c>
      <c r="D2098" s="81" t="n">
        <v>20</v>
      </c>
      <c r="E2098" s="81" t="s">
        <v>2549</v>
      </c>
      <c r="F2098" s="82" t="str">
        <f aca="false">IF(E2098="","",IF(LEFT(E2098,2)="DJ","DJ","JN"))</f>
        <v>JN</v>
      </c>
      <c r="G2098" s="81" t="s">
        <v>1504</v>
      </c>
      <c r="H2098" s="81" t="s">
        <v>871</v>
      </c>
      <c r="I2098" s="81" t="n">
        <v>9.53</v>
      </c>
      <c r="J2098" s="81" t="s">
        <v>872</v>
      </c>
      <c r="K2098" s="81" t="s">
        <v>879</v>
      </c>
      <c r="L2098" s="81" t="n">
        <v>2094970</v>
      </c>
      <c r="M2098" s="81" t="n">
        <v>15421111</v>
      </c>
      <c r="N2098" s="81" t="n">
        <v>11.94</v>
      </c>
      <c r="O2098" s="81" t="n">
        <v>2091320</v>
      </c>
      <c r="P2098" s="81" t="n">
        <v>15421109</v>
      </c>
      <c r="Q2098" s="81" t="n">
        <v>11.94</v>
      </c>
      <c r="R2098" s="81" t="s">
        <v>2532</v>
      </c>
      <c r="S2098" s="81"/>
      <c r="T2098" s="81"/>
      <c r="U2098" s="83" t="n">
        <v>46265</v>
      </c>
      <c r="V2098" s="83" t="n">
        <v>46265</v>
      </c>
      <c r="W2098" s="81" t="s">
        <v>2533</v>
      </c>
      <c r="X2098" s="81" t="s">
        <v>876</v>
      </c>
      <c r="Y2098" s="83" t="n">
        <v>46274</v>
      </c>
      <c r="Z2098" s="81" t="s">
        <v>2540</v>
      </c>
      <c r="AA2098" s="81" t="s">
        <v>876</v>
      </c>
      <c r="AB2098" s="81"/>
      <c r="AC2098" s="81"/>
      <c r="AD2098" s="81"/>
      <c r="AE2098" s="83"/>
      <c r="AF2098" s="81"/>
      <c r="AG2098" s="81"/>
      <c r="AH2098" s="81"/>
      <c r="AI2098" s="81"/>
      <c r="AJ2098" s="83"/>
      <c r="AK2098" s="81"/>
      <c r="AL2098" s="81"/>
      <c r="AM2098" s="83"/>
      <c r="AN2098" s="80"/>
      <c r="AO2098" s="82" t="n">
        <f aca="false">IF(E2098="","",(AA2098&lt;&gt;"")+(AG2098&lt;&gt;"")+(AL2098&lt;&gt;""))</f>
        <v>1</v>
      </c>
      <c r="AP2098" s="82" t="str">
        <f aca="false">IF(AL2098&lt;&gt;"",AL2098,IF(AG2098&lt;&gt;"",AG2098,IF(AA2098&lt;&gt;"",AA2098,"")))</f>
        <v>A</v>
      </c>
      <c r="AQ2098" s="84" t="str">
        <f aca="false">IF(E2098="","",IF(U2098="","À SOUDER",IF(X2098="","VT EN ATTENTE",IF(X2098="R","VT REJETÉ – À REPRENDRE",IF(AP2098="","À RADIOGRAPHIER",IF(AP2098="A","ACCEPTÉ",IF(AP2098="NX","NX – RT À REFAIRE",IF(IF(AO2098=1,AD2098,IF(AO2098=2,AI2098,""))="A","RÉPARÉ – À RADIOGRAPHIER",IF(IF(AO2098=1,AD2098,IF(AO2098=2,AI2098,""))="R","VT REJETÉ – À REPRENDRE",IF(OR(AP2098="CO",AP2098="NT"),"COUPE – À RESOUDER","À RÉPARER"))))))))))</f>
        <v>ACCEPTÉ</v>
      </c>
      <c r="AR2098" s="82" t="str">
        <f aca="false">IF(AND(ISNUMBER(U2098),OR(AQ2098="À RADIOGRAPHIER",AQ2098="RÉPARÉ – À RADIOGRAPHIER",AQ2098="NX – RT À REFAIRE",AQ2098="À RÉPARER",AQ2098="COUPE – À RESOUDER",AQ2098="VT REJETÉ – À REPRENDRE")),MAX(0,'PROGRAMME RT'!$C$4-U2098),"")</f>
        <v/>
      </c>
      <c r="AS2098" s="82" t="n">
        <f aca="false">IF(AND(OR(AQ2098="À RADIOGRAPHIER",AQ2098="RÉPARÉ – À RADIOGRAPHIER",AQ2098="NX – RT À REFAIRE"),OR('PROGRAMME RT'!$D$5="TOUTES",B2098='PROGRAMME RT'!$D$5)),1,0)</f>
        <v>0</v>
      </c>
      <c r="AT2098" s="82" t="str">
        <f aca="false">IF(AS2098=1,SUM(AS$7:AS2098),"")</f>
        <v/>
      </c>
      <c r="AU2098" s="82" t="n">
        <f aca="false">IF(AND(OR(AA2098="R",AA2098="NX",AA2098="NT",AA2098="CO"),OR('JOINTS DE RÉPARATION'!$D$5="TOUTES",B2098='JOINTS DE RÉPARATION'!$D$5),OR('JOINTS DE RÉPARATION'!$L$4="TOUS",AQ2098&lt;&gt;"ACCEPTÉ")),1,0)</f>
        <v>0</v>
      </c>
      <c r="AV2098" s="82" t="str">
        <f aca="false">IF(AU2098=1,SUM(AU$7:AU2098),"")</f>
        <v/>
      </c>
      <c r="AW2098" s="82" t="str">
        <f aca="false">IF(E2098="","",B2098&amp;"|"&amp;E2098)</f>
        <v>MFD-ISW → MFD-CPF|JN°1614</v>
      </c>
    </row>
    <row r="2099" customFormat="false" ht="74.6" hidden="false" customHeight="false" outlineLevel="0" collapsed="false">
      <c r="A2099" s="79" t="n">
        <f aca="false">IF(E2099="","",ROW()-6)</f>
        <v>2093</v>
      </c>
      <c r="B2099" s="80" t="s">
        <v>110</v>
      </c>
      <c r="C2099" s="81" t="s">
        <v>2510</v>
      </c>
      <c r="D2099" s="81" t="n">
        <v>20</v>
      </c>
      <c r="E2099" s="81" t="s">
        <v>2550</v>
      </c>
      <c r="F2099" s="82" t="str">
        <f aca="false">IF(E2099="","",IF(LEFT(E2099,2)="DJ","DJ","JN"))</f>
        <v>JN</v>
      </c>
      <c r="G2099" s="81" t="s">
        <v>1504</v>
      </c>
      <c r="H2099" s="81" t="s">
        <v>871</v>
      </c>
      <c r="I2099" s="81" t="n">
        <v>9.53</v>
      </c>
      <c r="J2099" s="81" t="s">
        <v>872</v>
      </c>
      <c r="K2099" s="81" t="s">
        <v>879</v>
      </c>
      <c r="L2099" s="81" t="n">
        <v>2091320</v>
      </c>
      <c r="M2099" s="81" t="n">
        <v>15421109</v>
      </c>
      <c r="N2099" s="81" t="n">
        <v>11.94</v>
      </c>
      <c r="O2099" s="81" t="n">
        <v>2079130</v>
      </c>
      <c r="P2099" s="81" t="n">
        <v>15421102</v>
      </c>
      <c r="Q2099" s="81" t="n">
        <v>11.94</v>
      </c>
      <c r="R2099" s="81" t="s">
        <v>2532</v>
      </c>
      <c r="S2099" s="81"/>
      <c r="T2099" s="81"/>
      <c r="U2099" s="83" t="n">
        <v>46265</v>
      </c>
      <c r="V2099" s="83" t="n">
        <v>46265</v>
      </c>
      <c r="W2099" s="81" t="s">
        <v>2533</v>
      </c>
      <c r="X2099" s="81" t="s">
        <v>876</v>
      </c>
      <c r="Y2099" s="83" t="n">
        <v>46274</v>
      </c>
      <c r="Z2099" s="81" t="s">
        <v>2540</v>
      </c>
      <c r="AA2099" s="81" t="s">
        <v>876</v>
      </c>
      <c r="AB2099" s="81"/>
      <c r="AC2099" s="81"/>
      <c r="AD2099" s="81"/>
      <c r="AE2099" s="83"/>
      <c r="AF2099" s="81"/>
      <c r="AG2099" s="81"/>
      <c r="AH2099" s="81"/>
      <c r="AI2099" s="81"/>
      <c r="AJ2099" s="83"/>
      <c r="AK2099" s="81"/>
      <c r="AL2099" s="81"/>
      <c r="AM2099" s="83"/>
      <c r="AN2099" s="80"/>
      <c r="AO2099" s="82" t="n">
        <f aca="false">IF(E2099="","",(AA2099&lt;&gt;"")+(AG2099&lt;&gt;"")+(AL2099&lt;&gt;""))</f>
        <v>1</v>
      </c>
      <c r="AP2099" s="82" t="str">
        <f aca="false">IF(AL2099&lt;&gt;"",AL2099,IF(AG2099&lt;&gt;"",AG2099,IF(AA2099&lt;&gt;"",AA2099,"")))</f>
        <v>A</v>
      </c>
      <c r="AQ2099" s="84" t="str">
        <f aca="false">IF(E2099="","",IF(U2099="","À SOUDER",IF(X2099="","VT EN ATTENTE",IF(X2099="R","VT REJETÉ – À REPRENDRE",IF(AP2099="","À RADIOGRAPHIER",IF(AP2099="A","ACCEPTÉ",IF(AP2099="NX","NX – RT À REFAIRE",IF(IF(AO2099=1,AD2099,IF(AO2099=2,AI2099,""))="A","RÉPARÉ – À RADIOGRAPHIER",IF(IF(AO2099=1,AD2099,IF(AO2099=2,AI2099,""))="R","VT REJETÉ – À REPRENDRE",IF(OR(AP2099="CO",AP2099="NT"),"COUPE – À RESOUDER","À RÉPARER"))))))))))</f>
        <v>ACCEPTÉ</v>
      </c>
      <c r="AR2099" s="82" t="str">
        <f aca="false">IF(AND(ISNUMBER(U2099),OR(AQ2099="À RADIOGRAPHIER",AQ2099="RÉPARÉ – À RADIOGRAPHIER",AQ2099="NX – RT À REFAIRE",AQ2099="À RÉPARER",AQ2099="COUPE – À RESOUDER",AQ2099="VT REJETÉ – À REPRENDRE")),MAX(0,'PROGRAMME RT'!$C$4-U2099),"")</f>
        <v/>
      </c>
      <c r="AS2099" s="82" t="n">
        <f aca="false">IF(AND(OR(AQ2099="À RADIOGRAPHIER",AQ2099="RÉPARÉ – À RADIOGRAPHIER",AQ2099="NX – RT À REFAIRE"),OR('PROGRAMME RT'!$D$5="TOUTES",B2099='PROGRAMME RT'!$D$5)),1,0)</f>
        <v>0</v>
      </c>
      <c r="AT2099" s="82" t="str">
        <f aca="false">IF(AS2099=1,SUM(AS$7:AS2099),"")</f>
        <v/>
      </c>
      <c r="AU2099" s="82" t="n">
        <f aca="false">IF(AND(OR(AA2099="R",AA2099="NX",AA2099="NT",AA2099="CO"),OR('JOINTS DE RÉPARATION'!$D$5="TOUTES",B2099='JOINTS DE RÉPARATION'!$D$5),OR('JOINTS DE RÉPARATION'!$L$4="TOUS",AQ2099&lt;&gt;"ACCEPTÉ")),1,0)</f>
        <v>0</v>
      </c>
      <c r="AV2099" s="82" t="str">
        <f aca="false">IF(AU2099=1,SUM(AU$7:AU2099),"")</f>
        <v/>
      </c>
      <c r="AW2099" s="82" t="str">
        <f aca="false">IF(E2099="","",B2099&amp;"|"&amp;E2099)</f>
        <v>MFD-ISW → MFD-CPF|JN°1615</v>
      </c>
    </row>
    <row r="2100" customFormat="false" ht="74.6" hidden="false" customHeight="false" outlineLevel="0" collapsed="false">
      <c r="A2100" s="79" t="n">
        <f aca="false">IF(E2100="","",ROW()-6)</f>
        <v>2094</v>
      </c>
      <c r="B2100" s="80" t="s">
        <v>110</v>
      </c>
      <c r="C2100" s="81" t="s">
        <v>2510</v>
      </c>
      <c r="D2100" s="81" t="n">
        <v>20</v>
      </c>
      <c r="E2100" s="81" t="s">
        <v>2551</v>
      </c>
      <c r="F2100" s="82" t="str">
        <f aca="false">IF(E2100="","",IF(LEFT(E2100,2)="DJ","DJ","JN"))</f>
        <v>JN</v>
      </c>
      <c r="G2100" s="81" t="s">
        <v>1504</v>
      </c>
      <c r="H2100" s="81" t="s">
        <v>871</v>
      </c>
      <c r="I2100" s="81" t="n">
        <v>9.53</v>
      </c>
      <c r="J2100" s="81" t="s">
        <v>872</v>
      </c>
      <c r="K2100" s="81" t="s">
        <v>879</v>
      </c>
      <c r="L2100" s="81" t="n">
        <v>2079130</v>
      </c>
      <c r="M2100" s="81" t="n">
        <v>15421102</v>
      </c>
      <c r="N2100" s="81" t="n">
        <v>11.94</v>
      </c>
      <c r="O2100" s="81" t="n">
        <v>2098550</v>
      </c>
      <c r="P2100" s="81" t="n">
        <v>15421112</v>
      </c>
      <c r="Q2100" s="81" t="n">
        <v>11.94</v>
      </c>
      <c r="R2100" s="81" t="s">
        <v>2532</v>
      </c>
      <c r="S2100" s="81"/>
      <c r="T2100" s="81"/>
      <c r="U2100" s="83" t="n">
        <v>46265</v>
      </c>
      <c r="V2100" s="83" t="n">
        <v>46265</v>
      </c>
      <c r="W2100" s="81" t="s">
        <v>2533</v>
      </c>
      <c r="X2100" s="81" t="s">
        <v>876</v>
      </c>
      <c r="Y2100" s="83" t="n">
        <v>46274</v>
      </c>
      <c r="Z2100" s="81" t="s">
        <v>2540</v>
      </c>
      <c r="AA2100" s="81" t="s">
        <v>876</v>
      </c>
      <c r="AB2100" s="81"/>
      <c r="AC2100" s="81"/>
      <c r="AD2100" s="81"/>
      <c r="AE2100" s="83"/>
      <c r="AF2100" s="81"/>
      <c r="AG2100" s="81"/>
      <c r="AH2100" s="81"/>
      <c r="AI2100" s="81"/>
      <c r="AJ2100" s="83"/>
      <c r="AK2100" s="81"/>
      <c r="AL2100" s="81"/>
      <c r="AM2100" s="83"/>
      <c r="AN2100" s="80"/>
      <c r="AO2100" s="82" t="n">
        <f aca="false">IF(E2100="","",(AA2100&lt;&gt;"")+(AG2100&lt;&gt;"")+(AL2100&lt;&gt;""))</f>
        <v>1</v>
      </c>
      <c r="AP2100" s="82" t="str">
        <f aca="false">IF(AL2100&lt;&gt;"",AL2100,IF(AG2100&lt;&gt;"",AG2100,IF(AA2100&lt;&gt;"",AA2100,"")))</f>
        <v>A</v>
      </c>
      <c r="AQ2100" s="84" t="str">
        <f aca="false">IF(E2100="","",IF(U2100="","À SOUDER",IF(X2100="","VT EN ATTENTE",IF(X2100="R","VT REJETÉ – À REPRENDRE",IF(AP2100="","À RADIOGRAPHIER",IF(AP2100="A","ACCEPTÉ",IF(AP2100="NX","NX – RT À REFAIRE",IF(IF(AO2100=1,AD2100,IF(AO2100=2,AI2100,""))="A","RÉPARÉ – À RADIOGRAPHIER",IF(IF(AO2100=1,AD2100,IF(AO2100=2,AI2100,""))="R","VT REJETÉ – À REPRENDRE",IF(OR(AP2100="CO",AP2100="NT"),"COUPE – À RESOUDER","À RÉPARER"))))))))))</f>
        <v>ACCEPTÉ</v>
      </c>
      <c r="AR2100" s="82" t="str">
        <f aca="false">IF(AND(ISNUMBER(U2100),OR(AQ2100="À RADIOGRAPHIER",AQ2100="RÉPARÉ – À RADIOGRAPHIER",AQ2100="NX – RT À REFAIRE",AQ2100="À RÉPARER",AQ2100="COUPE – À RESOUDER",AQ2100="VT REJETÉ – À REPRENDRE")),MAX(0,'PROGRAMME RT'!$C$4-U2100),"")</f>
        <v/>
      </c>
      <c r="AS2100" s="82" t="n">
        <f aca="false">IF(AND(OR(AQ2100="À RADIOGRAPHIER",AQ2100="RÉPARÉ – À RADIOGRAPHIER",AQ2100="NX – RT À REFAIRE"),OR('PROGRAMME RT'!$D$5="TOUTES",B2100='PROGRAMME RT'!$D$5)),1,0)</f>
        <v>0</v>
      </c>
      <c r="AT2100" s="82" t="str">
        <f aca="false">IF(AS2100=1,SUM(AS$7:AS2100),"")</f>
        <v/>
      </c>
      <c r="AU2100" s="82" t="n">
        <f aca="false">IF(AND(OR(AA2100="R",AA2100="NX",AA2100="NT",AA2100="CO"),OR('JOINTS DE RÉPARATION'!$D$5="TOUTES",B2100='JOINTS DE RÉPARATION'!$D$5),OR('JOINTS DE RÉPARATION'!$L$4="TOUS",AQ2100&lt;&gt;"ACCEPTÉ")),1,0)</f>
        <v>0</v>
      </c>
      <c r="AV2100" s="82" t="str">
        <f aca="false">IF(AU2100=1,SUM(AU$7:AU2100),"")</f>
        <v/>
      </c>
      <c r="AW2100" s="82" t="str">
        <f aca="false">IF(E2100="","",B2100&amp;"|"&amp;E2100)</f>
        <v>MFD-ISW → MFD-CPF|JN°1616</v>
      </c>
    </row>
    <row r="2101" customFormat="false" ht="74.6" hidden="false" customHeight="false" outlineLevel="0" collapsed="false">
      <c r="A2101" s="79" t="n">
        <f aca="false">IF(E2101="","",ROW()-6)</f>
        <v>2095</v>
      </c>
      <c r="B2101" s="80" t="s">
        <v>110</v>
      </c>
      <c r="C2101" s="81" t="s">
        <v>2510</v>
      </c>
      <c r="D2101" s="81" t="n">
        <v>20</v>
      </c>
      <c r="E2101" s="81" t="s">
        <v>2552</v>
      </c>
      <c r="F2101" s="82" t="str">
        <f aca="false">IF(E2101="","",IF(LEFT(E2101,2)="DJ","DJ","JN"))</f>
        <v>JN</v>
      </c>
      <c r="G2101" s="81" t="s">
        <v>1504</v>
      </c>
      <c r="H2101" s="81" t="s">
        <v>871</v>
      </c>
      <c r="I2101" s="81" t="n">
        <v>9.53</v>
      </c>
      <c r="J2101" s="81" t="s">
        <v>872</v>
      </c>
      <c r="K2101" s="81" t="s">
        <v>879</v>
      </c>
      <c r="L2101" s="81" t="n">
        <v>2098550</v>
      </c>
      <c r="M2101" s="81" t="n">
        <v>15421112</v>
      </c>
      <c r="N2101" s="81" t="n">
        <v>11.94</v>
      </c>
      <c r="O2101" s="81" t="n">
        <v>2089510</v>
      </c>
      <c r="P2101" s="81" t="n">
        <v>15421109</v>
      </c>
      <c r="Q2101" s="81" t="n">
        <v>11.94</v>
      </c>
      <c r="R2101" s="81" t="s">
        <v>2532</v>
      </c>
      <c r="S2101" s="81"/>
      <c r="T2101" s="81"/>
      <c r="U2101" s="83" t="n">
        <v>46265</v>
      </c>
      <c r="V2101" s="83" t="n">
        <v>46265</v>
      </c>
      <c r="W2101" s="81" t="s">
        <v>2553</v>
      </c>
      <c r="X2101" s="81" t="s">
        <v>876</v>
      </c>
      <c r="Y2101" s="83" t="n">
        <v>46274</v>
      </c>
      <c r="Z2101" s="81" t="s">
        <v>2540</v>
      </c>
      <c r="AA2101" s="81" t="s">
        <v>876</v>
      </c>
      <c r="AB2101" s="81"/>
      <c r="AC2101" s="81"/>
      <c r="AD2101" s="81"/>
      <c r="AE2101" s="83"/>
      <c r="AF2101" s="81"/>
      <c r="AG2101" s="81"/>
      <c r="AH2101" s="81"/>
      <c r="AI2101" s="81"/>
      <c r="AJ2101" s="83"/>
      <c r="AK2101" s="81"/>
      <c r="AL2101" s="81"/>
      <c r="AM2101" s="83"/>
      <c r="AN2101" s="80"/>
      <c r="AO2101" s="82" t="n">
        <f aca="false">IF(E2101="","",(AA2101&lt;&gt;"")+(AG2101&lt;&gt;"")+(AL2101&lt;&gt;""))</f>
        <v>1</v>
      </c>
      <c r="AP2101" s="82" t="str">
        <f aca="false">IF(AL2101&lt;&gt;"",AL2101,IF(AG2101&lt;&gt;"",AG2101,IF(AA2101&lt;&gt;"",AA2101,"")))</f>
        <v>A</v>
      </c>
      <c r="AQ2101" s="84" t="str">
        <f aca="false">IF(E2101="","",IF(U2101="","À SOUDER",IF(X2101="","VT EN ATTENTE",IF(X2101="R","VT REJETÉ – À REPRENDRE",IF(AP2101="","À RADIOGRAPHIER",IF(AP2101="A","ACCEPTÉ",IF(AP2101="NX","NX – RT À REFAIRE",IF(IF(AO2101=1,AD2101,IF(AO2101=2,AI2101,""))="A","RÉPARÉ – À RADIOGRAPHIER",IF(IF(AO2101=1,AD2101,IF(AO2101=2,AI2101,""))="R","VT REJETÉ – À REPRENDRE",IF(OR(AP2101="CO",AP2101="NT"),"COUPE – À RESOUDER","À RÉPARER"))))))))))</f>
        <v>ACCEPTÉ</v>
      </c>
      <c r="AR2101" s="82" t="str">
        <f aca="false">IF(AND(ISNUMBER(U2101),OR(AQ2101="À RADIOGRAPHIER",AQ2101="RÉPARÉ – À RADIOGRAPHIER",AQ2101="NX – RT À REFAIRE",AQ2101="À RÉPARER",AQ2101="COUPE – À RESOUDER",AQ2101="VT REJETÉ – À REPRENDRE")),MAX(0,'PROGRAMME RT'!$C$4-U2101),"")</f>
        <v/>
      </c>
      <c r="AS2101" s="82" t="n">
        <f aca="false">IF(AND(OR(AQ2101="À RADIOGRAPHIER",AQ2101="RÉPARÉ – À RADIOGRAPHIER",AQ2101="NX – RT À REFAIRE"),OR('PROGRAMME RT'!$D$5="TOUTES",B2101='PROGRAMME RT'!$D$5)),1,0)</f>
        <v>0</v>
      </c>
      <c r="AT2101" s="82" t="str">
        <f aca="false">IF(AS2101=1,SUM(AS$7:AS2101),"")</f>
        <v/>
      </c>
      <c r="AU2101" s="82" t="n">
        <f aca="false">IF(AND(OR(AA2101="R",AA2101="NX",AA2101="NT",AA2101="CO"),OR('JOINTS DE RÉPARATION'!$D$5="TOUTES",B2101='JOINTS DE RÉPARATION'!$D$5),OR('JOINTS DE RÉPARATION'!$L$4="TOUS",AQ2101&lt;&gt;"ACCEPTÉ")),1,0)</f>
        <v>0</v>
      </c>
      <c r="AV2101" s="82" t="str">
        <f aca="false">IF(AU2101=1,SUM(AU$7:AU2101),"")</f>
        <v/>
      </c>
      <c r="AW2101" s="82" t="str">
        <f aca="false">IF(E2101="","",B2101&amp;"|"&amp;E2101)</f>
        <v>MFD-ISW → MFD-CPF|JN°1617</v>
      </c>
    </row>
    <row r="2102" customFormat="false" ht="74.6" hidden="false" customHeight="false" outlineLevel="0" collapsed="false">
      <c r="A2102" s="79" t="n">
        <f aca="false">IF(E2102="","",ROW()-6)</f>
        <v>2096</v>
      </c>
      <c r="B2102" s="80" t="s">
        <v>110</v>
      </c>
      <c r="C2102" s="81" t="s">
        <v>2510</v>
      </c>
      <c r="D2102" s="81" t="n">
        <v>20</v>
      </c>
      <c r="E2102" s="81" t="s">
        <v>2554</v>
      </c>
      <c r="F2102" s="82" t="str">
        <f aca="false">IF(E2102="","",IF(LEFT(E2102,2)="DJ","DJ","JN"))</f>
        <v>JN</v>
      </c>
      <c r="G2102" s="81" t="s">
        <v>1504</v>
      </c>
      <c r="H2102" s="81" t="s">
        <v>871</v>
      </c>
      <c r="I2102" s="81" t="n">
        <v>9.53</v>
      </c>
      <c r="J2102" s="81" t="s">
        <v>872</v>
      </c>
      <c r="K2102" s="81" t="s">
        <v>879</v>
      </c>
      <c r="L2102" s="81" t="n">
        <v>2089510</v>
      </c>
      <c r="M2102" s="81" t="n">
        <v>15421109</v>
      </c>
      <c r="N2102" s="81" t="n">
        <v>11.94</v>
      </c>
      <c r="O2102" s="81" t="n">
        <v>2093180</v>
      </c>
      <c r="P2102" s="81" t="n">
        <v>15421110</v>
      </c>
      <c r="Q2102" s="81" t="n">
        <v>11.94</v>
      </c>
      <c r="R2102" s="81" t="s">
        <v>2532</v>
      </c>
      <c r="S2102" s="81"/>
      <c r="T2102" s="81"/>
      <c r="U2102" s="83" t="n">
        <v>46265</v>
      </c>
      <c r="V2102" s="83" t="n">
        <v>46265</v>
      </c>
      <c r="W2102" s="81" t="s">
        <v>2553</v>
      </c>
      <c r="X2102" s="81" t="s">
        <v>876</v>
      </c>
      <c r="Y2102" s="83" t="n">
        <v>46274</v>
      </c>
      <c r="Z2102" s="81" t="s">
        <v>2540</v>
      </c>
      <c r="AA2102" s="81" t="s">
        <v>876</v>
      </c>
      <c r="AB2102" s="81"/>
      <c r="AC2102" s="81"/>
      <c r="AD2102" s="81"/>
      <c r="AE2102" s="83"/>
      <c r="AF2102" s="81"/>
      <c r="AG2102" s="81"/>
      <c r="AH2102" s="81"/>
      <c r="AI2102" s="81"/>
      <c r="AJ2102" s="83"/>
      <c r="AK2102" s="81"/>
      <c r="AL2102" s="81"/>
      <c r="AM2102" s="83"/>
      <c r="AN2102" s="80"/>
      <c r="AO2102" s="82" t="n">
        <f aca="false">IF(E2102="","",(AA2102&lt;&gt;"")+(AG2102&lt;&gt;"")+(AL2102&lt;&gt;""))</f>
        <v>1</v>
      </c>
      <c r="AP2102" s="82" t="str">
        <f aca="false">IF(AL2102&lt;&gt;"",AL2102,IF(AG2102&lt;&gt;"",AG2102,IF(AA2102&lt;&gt;"",AA2102,"")))</f>
        <v>A</v>
      </c>
      <c r="AQ2102" s="84" t="str">
        <f aca="false">IF(E2102="","",IF(U2102="","À SOUDER",IF(X2102="","VT EN ATTENTE",IF(X2102="R","VT REJETÉ – À REPRENDRE",IF(AP2102="","À RADIOGRAPHIER",IF(AP2102="A","ACCEPTÉ",IF(AP2102="NX","NX – RT À REFAIRE",IF(IF(AO2102=1,AD2102,IF(AO2102=2,AI2102,""))="A","RÉPARÉ – À RADIOGRAPHIER",IF(IF(AO2102=1,AD2102,IF(AO2102=2,AI2102,""))="R","VT REJETÉ – À REPRENDRE",IF(OR(AP2102="CO",AP2102="NT"),"COUPE – À RESOUDER","À RÉPARER"))))))))))</f>
        <v>ACCEPTÉ</v>
      </c>
      <c r="AR2102" s="82" t="str">
        <f aca="false">IF(AND(ISNUMBER(U2102),OR(AQ2102="À RADIOGRAPHIER",AQ2102="RÉPARÉ – À RADIOGRAPHIER",AQ2102="NX – RT À REFAIRE",AQ2102="À RÉPARER",AQ2102="COUPE – À RESOUDER",AQ2102="VT REJETÉ – À REPRENDRE")),MAX(0,'PROGRAMME RT'!$C$4-U2102),"")</f>
        <v/>
      </c>
      <c r="AS2102" s="82" t="n">
        <f aca="false">IF(AND(OR(AQ2102="À RADIOGRAPHIER",AQ2102="RÉPARÉ – À RADIOGRAPHIER",AQ2102="NX – RT À REFAIRE"),OR('PROGRAMME RT'!$D$5="TOUTES",B2102='PROGRAMME RT'!$D$5)),1,0)</f>
        <v>0</v>
      </c>
      <c r="AT2102" s="82" t="str">
        <f aca="false">IF(AS2102=1,SUM(AS$7:AS2102),"")</f>
        <v/>
      </c>
      <c r="AU2102" s="82" t="n">
        <f aca="false">IF(AND(OR(AA2102="R",AA2102="NX",AA2102="NT",AA2102="CO"),OR('JOINTS DE RÉPARATION'!$D$5="TOUTES",B2102='JOINTS DE RÉPARATION'!$D$5),OR('JOINTS DE RÉPARATION'!$L$4="TOUS",AQ2102&lt;&gt;"ACCEPTÉ")),1,0)</f>
        <v>0</v>
      </c>
      <c r="AV2102" s="82" t="str">
        <f aca="false">IF(AU2102=1,SUM(AU$7:AU2102),"")</f>
        <v/>
      </c>
      <c r="AW2102" s="82" t="str">
        <f aca="false">IF(E2102="","",B2102&amp;"|"&amp;E2102)</f>
        <v>MFD-ISW → MFD-CPF|JN°1618</v>
      </c>
    </row>
    <row r="2103" customFormat="false" ht="74.6" hidden="false" customHeight="false" outlineLevel="0" collapsed="false">
      <c r="A2103" s="79" t="n">
        <f aca="false">IF(E2103="","",ROW()-6)</f>
        <v>2097</v>
      </c>
      <c r="B2103" s="80" t="s">
        <v>110</v>
      </c>
      <c r="C2103" s="81" t="s">
        <v>2510</v>
      </c>
      <c r="D2103" s="81" t="n">
        <v>20</v>
      </c>
      <c r="E2103" s="81" t="s">
        <v>2555</v>
      </c>
      <c r="F2103" s="82" t="str">
        <f aca="false">IF(E2103="","",IF(LEFT(E2103,2)="DJ","DJ","JN"))</f>
        <v>JN</v>
      </c>
      <c r="G2103" s="81" t="s">
        <v>1504</v>
      </c>
      <c r="H2103" s="81" t="s">
        <v>871</v>
      </c>
      <c r="I2103" s="81" t="n">
        <v>9.53</v>
      </c>
      <c r="J2103" s="81" t="s">
        <v>872</v>
      </c>
      <c r="K2103" s="81" t="s">
        <v>879</v>
      </c>
      <c r="L2103" s="81" t="n">
        <v>2093180</v>
      </c>
      <c r="M2103" s="81" t="n">
        <v>15421110</v>
      </c>
      <c r="N2103" s="81" t="n">
        <v>11.94</v>
      </c>
      <c r="O2103" s="81" t="n">
        <v>2088730</v>
      </c>
      <c r="P2103" s="81" t="n">
        <v>15421108</v>
      </c>
      <c r="Q2103" s="81" t="n">
        <v>11.94</v>
      </c>
      <c r="R2103" s="81" t="s">
        <v>2532</v>
      </c>
      <c r="S2103" s="81"/>
      <c r="T2103" s="81"/>
      <c r="U2103" s="83" t="n">
        <v>46265</v>
      </c>
      <c r="V2103" s="83" t="n">
        <v>46265</v>
      </c>
      <c r="W2103" s="81" t="s">
        <v>2553</v>
      </c>
      <c r="X2103" s="81" t="s">
        <v>876</v>
      </c>
      <c r="Y2103" s="83" t="n">
        <v>46274</v>
      </c>
      <c r="Z2103" s="81" t="s">
        <v>2540</v>
      </c>
      <c r="AA2103" s="81" t="s">
        <v>876</v>
      </c>
      <c r="AB2103" s="81"/>
      <c r="AC2103" s="81"/>
      <c r="AD2103" s="81"/>
      <c r="AE2103" s="83"/>
      <c r="AF2103" s="81"/>
      <c r="AG2103" s="81"/>
      <c r="AH2103" s="81"/>
      <c r="AI2103" s="81"/>
      <c r="AJ2103" s="83"/>
      <c r="AK2103" s="81"/>
      <c r="AL2103" s="81"/>
      <c r="AM2103" s="83"/>
      <c r="AN2103" s="80"/>
      <c r="AO2103" s="82" t="n">
        <f aca="false">IF(E2103="","",(AA2103&lt;&gt;"")+(AG2103&lt;&gt;"")+(AL2103&lt;&gt;""))</f>
        <v>1</v>
      </c>
      <c r="AP2103" s="82" t="str">
        <f aca="false">IF(AL2103&lt;&gt;"",AL2103,IF(AG2103&lt;&gt;"",AG2103,IF(AA2103&lt;&gt;"",AA2103,"")))</f>
        <v>A</v>
      </c>
      <c r="AQ2103" s="84" t="str">
        <f aca="false">IF(E2103="","",IF(U2103="","À SOUDER",IF(X2103="","VT EN ATTENTE",IF(X2103="R","VT REJETÉ – À REPRENDRE",IF(AP2103="","À RADIOGRAPHIER",IF(AP2103="A","ACCEPTÉ",IF(AP2103="NX","NX – RT À REFAIRE",IF(IF(AO2103=1,AD2103,IF(AO2103=2,AI2103,""))="A","RÉPARÉ – À RADIOGRAPHIER",IF(IF(AO2103=1,AD2103,IF(AO2103=2,AI2103,""))="R","VT REJETÉ – À REPRENDRE",IF(OR(AP2103="CO",AP2103="NT"),"COUPE – À RESOUDER","À RÉPARER"))))))))))</f>
        <v>ACCEPTÉ</v>
      </c>
      <c r="AR2103" s="82" t="str">
        <f aca="false">IF(AND(ISNUMBER(U2103),OR(AQ2103="À RADIOGRAPHIER",AQ2103="RÉPARÉ – À RADIOGRAPHIER",AQ2103="NX – RT À REFAIRE",AQ2103="À RÉPARER",AQ2103="COUPE – À RESOUDER",AQ2103="VT REJETÉ – À REPRENDRE")),MAX(0,'PROGRAMME RT'!$C$4-U2103),"")</f>
        <v/>
      </c>
      <c r="AS2103" s="82" t="n">
        <f aca="false">IF(AND(OR(AQ2103="À RADIOGRAPHIER",AQ2103="RÉPARÉ – À RADIOGRAPHIER",AQ2103="NX – RT À REFAIRE"),OR('PROGRAMME RT'!$D$5="TOUTES",B2103='PROGRAMME RT'!$D$5)),1,0)</f>
        <v>0</v>
      </c>
      <c r="AT2103" s="82" t="str">
        <f aca="false">IF(AS2103=1,SUM(AS$7:AS2103),"")</f>
        <v/>
      </c>
      <c r="AU2103" s="82" t="n">
        <f aca="false">IF(AND(OR(AA2103="R",AA2103="NX",AA2103="NT",AA2103="CO"),OR('JOINTS DE RÉPARATION'!$D$5="TOUTES",B2103='JOINTS DE RÉPARATION'!$D$5),OR('JOINTS DE RÉPARATION'!$L$4="TOUS",AQ2103&lt;&gt;"ACCEPTÉ")),1,0)</f>
        <v>0</v>
      </c>
      <c r="AV2103" s="82" t="str">
        <f aca="false">IF(AU2103=1,SUM(AU$7:AU2103),"")</f>
        <v/>
      </c>
      <c r="AW2103" s="82" t="str">
        <f aca="false">IF(E2103="","",B2103&amp;"|"&amp;E2103)</f>
        <v>MFD-ISW → MFD-CPF|JN°1619</v>
      </c>
    </row>
    <row r="2104" customFormat="false" ht="74.6" hidden="false" customHeight="false" outlineLevel="0" collapsed="false">
      <c r="A2104" s="79" t="n">
        <f aca="false">IF(E2104="","",ROW()-6)</f>
        <v>2098</v>
      </c>
      <c r="B2104" s="80" t="s">
        <v>110</v>
      </c>
      <c r="C2104" s="81" t="s">
        <v>2510</v>
      </c>
      <c r="D2104" s="81" t="n">
        <v>20</v>
      </c>
      <c r="E2104" s="81" t="s">
        <v>2556</v>
      </c>
      <c r="F2104" s="82" t="str">
        <f aca="false">IF(E2104="","",IF(LEFT(E2104,2)="DJ","DJ","JN"))</f>
        <v>JN</v>
      </c>
      <c r="G2104" s="81" t="s">
        <v>1504</v>
      </c>
      <c r="H2104" s="81" t="s">
        <v>871</v>
      </c>
      <c r="I2104" s="81" t="n">
        <v>9.53</v>
      </c>
      <c r="J2104" s="81" t="s">
        <v>872</v>
      </c>
      <c r="K2104" s="81" t="s">
        <v>879</v>
      </c>
      <c r="L2104" s="81" t="n">
        <v>2088730</v>
      </c>
      <c r="M2104" s="81" t="n">
        <v>15421108</v>
      </c>
      <c r="N2104" s="81" t="n">
        <v>11.94</v>
      </c>
      <c r="O2104" s="81" t="n">
        <v>2079010</v>
      </c>
      <c r="P2104" s="81" t="n">
        <v>15421102</v>
      </c>
      <c r="Q2104" s="81" t="n">
        <v>11.94</v>
      </c>
      <c r="R2104" s="81" t="s">
        <v>2532</v>
      </c>
      <c r="S2104" s="81"/>
      <c r="T2104" s="81"/>
      <c r="U2104" s="83" t="n">
        <v>46265</v>
      </c>
      <c r="V2104" s="83" t="n">
        <v>46265</v>
      </c>
      <c r="W2104" s="81" t="s">
        <v>2553</v>
      </c>
      <c r="X2104" s="81" t="s">
        <v>876</v>
      </c>
      <c r="Y2104" s="83" t="n">
        <v>46274</v>
      </c>
      <c r="Z2104" s="81" t="s">
        <v>2557</v>
      </c>
      <c r="AA2104" s="81" t="s">
        <v>876</v>
      </c>
      <c r="AB2104" s="81"/>
      <c r="AC2104" s="81"/>
      <c r="AD2104" s="81"/>
      <c r="AE2104" s="83"/>
      <c r="AF2104" s="81"/>
      <c r="AG2104" s="81"/>
      <c r="AH2104" s="81"/>
      <c r="AI2104" s="81"/>
      <c r="AJ2104" s="83"/>
      <c r="AK2104" s="81"/>
      <c r="AL2104" s="81"/>
      <c r="AM2104" s="83"/>
      <c r="AN2104" s="80"/>
      <c r="AO2104" s="82" t="n">
        <f aca="false">IF(E2104="","",(AA2104&lt;&gt;"")+(AG2104&lt;&gt;"")+(AL2104&lt;&gt;""))</f>
        <v>1</v>
      </c>
      <c r="AP2104" s="82" t="str">
        <f aca="false">IF(AL2104&lt;&gt;"",AL2104,IF(AG2104&lt;&gt;"",AG2104,IF(AA2104&lt;&gt;"",AA2104,"")))</f>
        <v>A</v>
      </c>
      <c r="AQ2104" s="84" t="str">
        <f aca="false">IF(E2104="","",IF(U2104="","À SOUDER",IF(X2104="","VT EN ATTENTE",IF(X2104="R","VT REJETÉ – À REPRENDRE",IF(AP2104="","À RADIOGRAPHIER",IF(AP2104="A","ACCEPTÉ",IF(AP2104="NX","NX – RT À REFAIRE",IF(IF(AO2104=1,AD2104,IF(AO2104=2,AI2104,""))="A","RÉPARÉ – À RADIOGRAPHIER",IF(IF(AO2104=1,AD2104,IF(AO2104=2,AI2104,""))="R","VT REJETÉ – À REPRENDRE",IF(OR(AP2104="CO",AP2104="NT"),"COUPE – À RESOUDER","À RÉPARER"))))))))))</f>
        <v>ACCEPTÉ</v>
      </c>
      <c r="AR2104" s="82" t="str">
        <f aca="false">IF(AND(ISNUMBER(U2104),OR(AQ2104="À RADIOGRAPHIER",AQ2104="RÉPARÉ – À RADIOGRAPHIER",AQ2104="NX – RT À REFAIRE",AQ2104="À RÉPARER",AQ2104="COUPE – À RESOUDER",AQ2104="VT REJETÉ – À REPRENDRE")),MAX(0,'PROGRAMME RT'!$C$4-U2104),"")</f>
        <v/>
      </c>
      <c r="AS2104" s="82" t="n">
        <f aca="false">IF(AND(OR(AQ2104="À RADIOGRAPHIER",AQ2104="RÉPARÉ – À RADIOGRAPHIER",AQ2104="NX – RT À REFAIRE"),OR('PROGRAMME RT'!$D$5="TOUTES",B2104='PROGRAMME RT'!$D$5)),1,0)</f>
        <v>0</v>
      </c>
      <c r="AT2104" s="82" t="str">
        <f aca="false">IF(AS2104=1,SUM(AS$7:AS2104),"")</f>
        <v/>
      </c>
      <c r="AU2104" s="82" t="n">
        <f aca="false">IF(AND(OR(AA2104="R",AA2104="NX",AA2104="NT",AA2104="CO"),OR('JOINTS DE RÉPARATION'!$D$5="TOUTES",B2104='JOINTS DE RÉPARATION'!$D$5),OR('JOINTS DE RÉPARATION'!$L$4="TOUS",AQ2104&lt;&gt;"ACCEPTÉ")),1,0)</f>
        <v>0</v>
      </c>
      <c r="AV2104" s="82" t="str">
        <f aca="false">IF(AU2104=1,SUM(AU$7:AU2104),"")</f>
        <v/>
      </c>
      <c r="AW2104" s="82" t="str">
        <f aca="false">IF(E2104="","",B2104&amp;"|"&amp;E2104)</f>
        <v>MFD-ISW → MFD-CPF|JN°1620</v>
      </c>
    </row>
    <row r="2105" customFormat="false" ht="74.6" hidden="false" customHeight="false" outlineLevel="0" collapsed="false">
      <c r="A2105" s="79" t="n">
        <f aca="false">IF(E2105="","",ROW()-6)</f>
        <v>2099</v>
      </c>
      <c r="B2105" s="80" t="s">
        <v>110</v>
      </c>
      <c r="C2105" s="81" t="s">
        <v>2510</v>
      </c>
      <c r="D2105" s="81" t="n">
        <v>20</v>
      </c>
      <c r="E2105" s="81" t="s">
        <v>2558</v>
      </c>
      <c r="F2105" s="82" t="str">
        <f aca="false">IF(E2105="","",IF(LEFT(E2105,2)="DJ","DJ","JN"))</f>
        <v>JN</v>
      </c>
      <c r="G2105" s="81" t="s">
        <v>1504</v>
      </c>
      <c r="H2105" s="81" t="s">
        <v>871</v>
      </c>
      <c r="I2105" s="81" t="n">
        <v>9.53</v>
      </c>
      <c r="J2105" s="81" t="s">
        <v>872</v>
      </c>
      <c r="K2105" s="81" t="s">
        <v>879</v>
      </c>
      <c r="L2105" s="81" t="n">
        <v>2079010</v>
      </c>
      <c r="M2105" s="81" t="n">
        <v>15421102</v>
      </c>
      <c r="N2105" s="81" t="n">
        <v>11.94</v>
      </c>
      <c r="O2105" s="81" t="n">
        <v>2098180</v>
      </c>
      <c r="P2105" s="81" t="n">
        <v>15421112</v>
      </c>
      <c r="Q2105" s="81" t="n">
        <v>11.94</v>
      </c>
      <c r="R2105" s="81" t="s">
        <v>2532</v>
      </c>
      <c r="S2105" s="81"/>
      <c r="T2105" s="81"/>
      <c r="U2105" s="83" t="n">
        <v>46265</v>
      </c>
      <c r="V2105" s="83" t="n">
        <v>46265</v>
      </c>
      <c r="W2105" s="81" t="s">
        <v>2553</v>
      </c>
      <c r="X2105" s="81" t="s">
        <v>876</v>
      </c>
      <c r="Y2105" s="83" t="n">
        <v>46274</v>
      </c>
      <c r="Z2105" s="81" t="s">
        <v>2557</v>
      </c>
      <c r="AA2105" s="81" t="s">
        <v>876</v>
      </c>
      <c r="AB2105" s="81"/>
      <c r="AC2105" s="81"/>
      <c r="AD2105" s="81"/>
      <c r="AE2105" s="83"/>
      <c r="AF2105" s="81"/>
      <c r="AG2105" s="81"/>
      <c r="AH2105" s="81"/>
      <c r="AI2105" s="81"/>
      <c r="AJ2105" s="83"/>
      <c r="AK2105" s="81"/>
      <c r="AL2105" s="81"/>
      <c r="AM2105" s="83"/>
      <c r="AN2105" s="80"/>
      <c r="AO2105" s="82" t="n">
        <f aca="false">IF(E2105="","",(AA2105&lt;&gt;"")+(AG2105&lt;&gt;"")+(AL2105&lt;&gt;""))</f>
        <v>1</v>
      </c>
      <c r="AP2105" s="82" t="str">
        <f aca="false">IF(AL2105&lt;&gt;"",AL2105,IF(AG2105&lt;&gt;"",AG2105,IF(AA2105&lt;&gt;"",AA2105,"")))</f>
        <v>A</v>
      </c>
      <c r="AQ2105" s="84" t="str">
        <f aca="false">IF(E2105="","",IF(U2105="","À SOUDER",IF(X2105="","VT EN ATTENTE",IF(X2105="R","VT REJETÉ – À REPRENDRE",IF(AP2105="","À RADIOGRAPHIER",IF(AP2105="A","ACCEPTÉ",IF(AP2105="NX","NX – RT À REFAIRE",IF(IF(AO2105=1,AD2105,IF(AO2105=2,AI2105,""))="A","RÉPARÉ – À RADIOGRAPHIER",IF(IF(AO2105=1,AD2105,IF(AO2105=2,AI2105,""))="R","VT REJETÉ – À REPRENDRE",IF(OR(AP2105="CO",AP2105="NT"),"COUPE – À RESOUDER","À RÉPARER"))))))))))</f>
        <v>ACCEPTÉ</v>
      </c>
      <c r="AR2105" s="82" t="str">
        <f aca="false">IF(AND(ISNUMBER(U2105),OR(AQ2105="À RADIOGRAPHIER",AQ2105="RÉPARÉ – À RADIOGRAPHIER",AQ2105="NX – RT À REFAIRE",AQ2105="À RÉPARER",AQ2105="COUPE – À RESOUDER",AQ2105="VT REJETÉ – À REPRENDRE")),MAX(0,'PROGRAMME RT'!$C$4-U2105),"")</f>
        <v/>
      </c>
      <c r="AS2105" s="82" t="n">
        <f aca="false">IF(AND(OR(AQ2105="À RADIOGRAPHIER",AQ2105="RÉPARÉ – À RADIOGRAPHIER",AQ2105="NX – RT À REFAIRE"),OR('PROGRAMME RT'!$D$5="TOUTES",B2105='PROGRAMME RT'!$D$5)),1,0)</f>
        <v>0</v>
      </c>
      <c r="AT2105" s="82" t="str">
        <f aca="false">IF(AS2105=1,SUM(AS$7:AS2105),"")</f>
        <v/>
      </c>
      <c r="AU2105" s="82" t="n">
        <f aca="false">IF(AND(OR(AA2105="R",AA2105="NX",AA2105="NT",AA2105="CO"),OR('JOINTS DE RÉPARATION'!$D$5="TOUTES",B2105='JOINTS DE RÉPARATION'!$D$5),OR('JOINTS DE RÉPARATION'!$L$4="TOUS",AQ2105&lt;&gt;"ACCEPTÉ")),1,0)</f>
        <v>0</v>
      </c>
      <c r="AV2105" s="82" t="str">
        <f aca="false">IF(AU2105=1,SUM(AU$7:AU2105),"")</f>
        <v/>
      </c>
      <c r="AW2105" s="82" t="str">
        <f aca="false">IF(E2105="","",B2105&amp;"|"&amp;E2105)</f>
        <v>MFD-ISW → MFD-CPF|JN°1621</v>
      </c>
    </row>
    <row r="2106" customFormat="false" ht="74.6" hidden="false" customHeight="false" outlineLevel="0" collapsed="false">
      <c r="A2106" s="79" t="n">
        <f aca="false">IF(E2106="","",ROW()-6)</f>
        <v>2100</v>
      </c>
      <c r="B2106" s="80" t="s">
        <v>110</v>
      </c>
      <c r="C2106" s="81" t="s">
        <v>2510</v>
      </c>
      <c r="D2106" s="81" t="n">
        <v>20</v>
      </c>
      <c r="E2106" s="81" t="s">
        <v>2559</v>
      </c>
      <c r="F2106" s="82" t="str">
        <f aca="false">IF(E2106="","",IF(LEFT(E2106,2)="DJ","DJ","JN"))</f>
        <v>JN</v>
      </c>
      <c r="G2106" s="81" t="s">
        <v>1504</v>
      </c>
      <c r="H2106" s="81" t="s">
        <v>871</v>
      </c>
      <c r="I2106" s="81" t="n">
        <v>9.53</v>
      </c>
      <c r="J2106" s="81" t="s">
        <v>872</v>
      </c>
      <c r="K2106" s="81" t="s">
        <v>879</v>
      </c>
      <c r="L2106" s="81" t="n">
        <v>2098180</v>
      </c>
      <c r="M2106" s="81" t="n">
        <v>15421112</v>
      </c>
      <c r="N2106" s="81" t="n">
        <v>11.94</v>
      </c>
      <c r="O2106" s="81" t="n">
        <v>2082780</v>
      </c>
      <c r="P2106" s="81" t="n">
        <v>15421104</v>
      </c>
      <c r="Q2106" s="81" t="n">
        <v>11.94</v>
      </c>
      <c r="R2106" s="81" t="s">
        <v>2532</v>
      </c>
      <c r="S2106" s="81"/>
      <c r="T2106" s="81"/>
      <c r="U2106" s="83" t="n">
        <v>46265</v>
      </c>
      <c r="V2106" s="83" t="n">
        <v>46265</v>
      </c>
      <c r="W2106" s="81" t="s">
        <v>2553</v>
      </c>
      <c r="X2106" s="81" t="s">
        <v>876</v>
      </c>
      <c r="Y2106" s="83" t="n">
        <v>46274</v>
      </c>
      <c r="Z2106" s="81" t="s">
        <v>2557</v>
      </c>
      <c r="AA2106" s="81" t="s">
        <v>876</v>
      </c>
      <c r="AB2106" s="81"/>
      <c r="AC2106" s="81"/>
      <c r="AD2106" s="81"/>
      <c r="AE2106" s="83"/>
      <c r="AF2106" s="81"/>
      <c r="AG2106" s="81"/>
      <c r="AH2106" s="81"/>
      <c r="AI2106" s="81"/>
      <c r="AJ2106" s="83"/>
      <c r="AK2106" s="81"/>
      <c r="AL2106" s="81"/>
      <c r="AM2106" s="83"/>
      <c r="AN2106" s="80"/>
      <c r="AO2106" s="82" t="n">
        <f aca="false">IF(E2106="","",(AA2106&lt;&gt;"")+(AG2106&lt;&gt;"")+(AL2106&lt;&gt;""))</f>
        <v>1</v>
      </c>
      <c r="AP2106" s="82" t="str">
        <f aca="false">IF(AL2106&lt;&gt;"",AL2106,IF(AG2106&lt;&gt;"",AG2106,IF(AA2106&lt;&gt;"",AA2106,"")))</f>
        <v>A</v>
      </c>
      <c r="AQ2106" s="84" t="str">
        <f aca="false">IF(E2106="","",IF(U2106="","À SOUDER",IF(X2106="","VT EN ATTENTE",IF(X2106="R","VT REJETÉ – À REPRENDRE",IF(AP2106="","À RADIOGRAPHIER",IF(AP2106="A","ACCEPTÉ",IF(AP2106="NX","NX – RT À REFAIRE",IF(IF(AO2106=1,AD2106,IF(AO2106=2,AI2106,""))="A","RÉPARÉ – À RADIOGRAPHIER",IF(IF(AO2106=1,AD2106,IF(AO2106=2,AI2106,""))="R","VT REJETÉ – À REPRENDRE",IF(OR(AP2106="CO",AP2106="NT"),"COUPE – À RESOUDER","À RÉPARER"))))))))))</f>
        <v>ACCEPTÉ</v>
      </c>
      <c r="AR2106" s="82" t="str">
        <f aca="false">IF(AND(ISNUMBER(U2106),OR(AQ2106="À RADIOGRAPHIER",AQ2106="RÉPARÉ – À RADIOGRAPHIER",AQ2106="NX – RT À REFAIRE",AQ2106="À RÉPARER",AQ2106="COUPE – À RESOUDER",AQ2106="VT REJETÉ – À REPRENDRE")),MAX(0,'PROGRAMME RT'!$C$4-U2106),"")</f>
        <v/>
      </c>
      <c r="AS2106" s="82" t="n">
        <f aca="false">IF(AND(OR(AQ2106="À RADIOGRAPHIER",AQ2106="RÉPARÉ – À RADIOGRAPHIER",AQ2106="NX – RT À REFAIRE"),OR('PROGRAMME RT'!$D$5="TOUTES",B2106='PROGRAMME RT'!$D$5)),1,0)</f>
        <v>0</v>
      </c>
      <c r="AT2106" s="82" t="str">
        <f aca="false">IF(AS2106=1,SUM(AS$7:AS2106),"")</f>
        <v/>
      </c>
      <c r="AU2106" s="82" t="n">
        <f aca="false">IF(AND(OR(AA2106="R",AA2106="NX",AA2106="NT",AA2106="CO"),OR('JOINTS DE RÉPARATION'!$D$5="TOUTES",B2106='JOINTS DE RÉPARATION'!$D$5),OR('JOINTS DE RÉPARATION'!$L$4="TOUS",AQ2106&lt;&gt;"ACCEPTÉ")),1,0)</f>
        <v>0</v>
      </c>
      <c r="AV2106" s="82" t="str">
        <f aca="false">IF(AU2106=1,SUM(AU$7:AU2106),"")</f>
        <v/>
      </c>
      <c r="AW2106" s="82" t="str">
        <f aca="false">IF(E2106="","",B2106&amp;"|"&amp;E2106)</f>
        <v>MFD-ISW → MFD-CPF|JN°1622</v>
      </c>
    </row>
    <row r="2107" customFormat="false" ht="74.6" hidden="false" customHeight="false" outlineLevel="0" collapsed="false">
      <c r="A2107" s="79" t="n">
        <f aca="false">IF(E2107="","",ROW()-6)</f>
        <v>2101</v>
      </c>
      <c r="B2107" s="80" t="s">
        <v>110</v>
      </c>
      <c r="C2107" s="81" t="s">
        <v>2510</v>
      </c>
      <c r="D2107" s="81" t="n">
        <v>20</v>
      </c>
      <c r="E2107" s="81" t="s">
        <v>2560</v>
      </c>
      <c r="F2107" s="82" t="str">
        <f aca="false">IF(E2107="","",IF(LEFT(E2107,2)="DJ","DJ","JN"))</f>
        <v>JN</v>
      </c>
      <c r="G2107" s="81" t="s">
        <v>1504</v>
      </c>
      <c r="H2107" s="81" t="s">
        <v>871</v>
      </c>
      <c r="I2107" s="81" t="n">
        <v>9.53</v>
      </c>
      <c r="J2107" s="81" t="s">
        <v>872</v>
      </c>
      <c r="K2107" s="81" t="s">
        <v>879</v>
      </c>
      <c r="L2107" s="81" t="n">
        <v>2082780</v>
      </c>
      <c r="M2107" s="81" t="n">
        <v>15421104</v>
      </c>
      <c r="N2107" s="81" t="n">
        <v>11.94</v>
      </c>
      <c r="O2107" s="81" t="n">
        <v>2084840</v>
      </c>
      <c r="P2107" s="81" t="n">
        <v>15421106</v>
      </c>
      <c r="Q2107" s="81" t="n">
        <v>11.94</v>
      </c>
      <c r="R2107" s="81" t="s">
        <v>2532</v>
      </c>
      <c r="S2107" s="81"/>
      <c r="T2107" s="81"/>
      <c r="U2107" s="83" t="n">
        <v>46265</v>
      </c>
      <c r="V2107" s="83" t="n">
        <v>46265</v>
      </c>
      <c r="W2107" s="81" t="s">
        <v>2553</v>
      </c>
      <c r="X2107" s="81" t="s">
        <v>876</v>
      </c>
      <c r="Y2107" s="83" t="n">
        <v>46274</v>
      </c>
      <c r="Z2107" s="81" t="s">
        <v>2557</v>
      </c>
      <c r="AA2107" s="81" t="s">
        <v>876</v>
      </c>
      <c r="AB2107" s="81"/>
      <c r="AC2107" s="81"/>
      <c r="AD2107" s="81"/>
      <c r="AE2107" s="83"/>
      <c r="AF2107" s="81"/>
      <c r="AG2107" s="81"/>
      <c r="AH2107" s="81"/>
      <c r="AI2107" s="81"/>
      <c r="AJ2107" s="83"/>
      <c r="AK2107" s="81"/>
      <c r="AL2107" s="81"/>
      <c r="AM2107" s="83"/>
      <c r="AN2107" s="80"/>
      <c r="AO2107" s="82" t="n">
        <f aca="false">IF(E2107="","",(AA2107&lt;&gt;"")+(AG2107&lt;&gt;"")+(AL2107&lt;&gt;""))</f>
        <v>1</v>
      </c>
      <c r="AP2107" s="82" t="str">
        <f aca="false">IF(AL2107&lt;&gt;"",AL2107,IF(AG2107&lt;&gt;"",AG2107,IF(AA2107&lt;&gt;"",AA2107,"")))</f>
        <v>A</v>
      </c>
      <c r="AQ2107" s="84" t="str">
        <f aca="false">IF(E2107="","",IF(U2107="","À SOUDER",IF(X2107="","VT EN ATTENTE",IF(X2107="R","VT REJETÉ – À REPRENDRE",IF(AP2107="","À RADIOGRAPHIER",IF(AP2107="A","ACCEPTÉ",IF(AP2107="NX","NX – RT À REFAIRE",IF(IF(AO2107=1,AD2107,IF(AO2107=2,AI2107,""))="A","RÉPARÉ – À RADIOGRAPHIER",IF(IF(AO2107=1,AD2107,IF(AO2107=2,AI2107,""))="R","VT REJETÉ – À REPRENDRE",IF(OR(AP2107="CO",AP2107="NT"),"COUPE – À RESOUDER","À RÉPARER"))))))))))</f>
        <v>ACCEPTÉ</v>
      </c>
      <c r="AR2107" s="82" t="str">
        <f aca="false">IF(AND(ISNUMBER(U2107),OR(AQ2107="À RADIOGRAPHIER",AQ2107="RÉPARÉ – À RADIOGRAPHIER",AQ2107="NX – RT À REFAIRE",AQ2107="À RÉPARER",AQ2107="COUPE – À RESOUDER",AQ2107="VT REJETÉ – À REPRENDRE")),MAX(0,'PROGRAMME RT'!$C$4-U2107),"")</f>
        <v/>
      </c>
      <c r="AS2107" s="82" t="n">
        <f aca="false">IF(AND(OR(AQ2107="À RADIOGRAPHIER",AQ2107="RÉPARÉ – À RADIOGRAPHIER",AQ2107="NX – RT À REFAIRE"),OR('PROGRAMME RT'!$D$5="TOUTES",B2107='PROGRAMME RT'!$D$5)),1,0)</f>
        <v>0</v>
      </c>
      <c r="AT2107" s="82" t="str">
        <f aca="false">IF(AS2107=1,SUM(AS$7:AS2107),"")</f>
        <v/>
      </c>
      <c r="AU2107" s="82" t="n">
        <f aca="false">IF(AND(OR(AA2107="R",AA2107="NX",AA2107="NT",AA2107="CO"),OR('JOINTS DE RÉPARATION'!$D$5="TOUTES",B2107='JOINTS DE RÉPARATION'!$D$5),OR('JOINTS DE RÉPARATION'!$L$4="TOUS",AQ2107&lt;&gt;"ACCEPTÉ")),1,0)</f>
        <v>0</v>
      </c>
      <c r="AV2107" s="82" t="str">
        <f aca="false">IF(AU2107=1,SUM(AU$7:AU2107),"")</f>
        <v/>
      </c>
      <c r="AW2107" s="82" t="str">
        <f aca="false">IF(E2107="","",B2107&amp;"|"&amp;E2107)</f>
        <v>MFD-ISW → MFD-CPF|JN°1623</v>
      </c>
    </row>
    <row r="2108" customFormat="false" ht="74.6" hidden="false" customHeight="false" outlineLevel="0" collapsed="false">
      <c r="A2108" s="79" t="n">
        <f aca="false">IF(E2108="","",ROW()-6)</f>
        <v>2102</v>
      </c>
      <c r="B2108" s="80" t="s">
        <v>110</v>
      </c>
      <c r="C2108" s="81" t="s">
        <v>2510</v>
      </c>
      <c r="D2108" s="81" t="n">
        <v>20</v>
      </c>
      <c r="E2108" s="81" t="s">
        <v>2561</v>
      </c>
      <c r="F2108" s="82" t="str">
        <f aca="false">IF(E2108="","",IF(LEFT(E2108,2)="DJ","DJ","JN"))</f>
        <v>JN</v>
      </c>
      <c r="G2108" s="81" t="s">
        <v>1504</v>
      </c>
      <c r="H2108" s="81" t="s">
        <v>871</v>
      </c>
      <c r="I2108" s="81" t="n">
        <v>9.53</v>
      </c>
      <c r="J2108" s="81" t="s">
        <v>872</v>
      </c>
      <c r="K2108" s="81" t="s">
        <v>879</v>
      </c>
      <c r="L2108" s="81" t="n">
        <v>2084840</v>
      </c>
      <c r="M2108" s="81" t="n">
        <v>15421106</v>
      </c>
      <c r="N2108" s="81" t="n">
        <v>11.94</v>
      </c>
      <c r="O2108" s="81" t="n">
        <v>2097030</v>
      </c>
      <c r="P2108" s="81" t="n">
        <v>15421111</v>
      </c>
      <c r="Q2108" s="81" t="n">
        <v>11.94</v>
      </c>
      <c r="R2108" s="81" t="s">
        <v>2532</v>
      </c>
      <c r="S2108" s="81"/>
      <c r="T2108" s="81"/>
      <c r="U2108" s="83" t="n">
        <v>46265</v>
      </c>
      <c r="V2108" s="83" t="n">
        <v>46265</v>
      </c>
      <c r="W2108" s="81" t="s">
        <v>2553</v>
      </c>
      <c r="X2108" s="81" t="s">
        <v>876</v>
      </c>
      <c r="Y2108" s="83" t="n">
        <v>46274</v>
      </c>
      <c r="Z2108" s="81" t="s">
        <v>2557</v>
      </c>
      <c r="AA2108" s="81" t="s">
        <v>876</v>
      </c>
      <c r="AB2108" s="81"/>
      <c r="AC2108" s="81"/>
      <c r="AD2108" s="81"/>
      <c r="AE2108" s="83"/>
      <c r="AF2108" s="81"/>
      <c r="AG2108" s="81"/>
      <c r="AH2108" s="81"/>
      <c r="AI2108" s="81"/>
      <c r="AJ2108" s="83"/>
      <c r="AK2108" s="81"/>
      <c r="AL2108" s="81"/>
      <c r="AM2108" s="83"/>
      <c r="AN2108" s="80"/>
      <c r="AO2108" s="82" t="n">
        <f aca="false">IF(E2108="","",(AA2108&lt;&gt;"")+(AG2108&lt;&gt;"")+(AL2108&lt;&gt;""))</f>
        <v>1</v>
      </c>
      <c r="AP2108" s="82" t="str">
        <f aca="false">IF(AL2108&lt;&gt;"",AL2108,IF(AG2108&lt;&gt;"",AG2108,IF(AA2108&lt;&gt;"",AA2108,"")))</f>
        <v>A</v>
      </c>
      <c r="AQ2108" s="84" t="str">
        <f aca="false">IF(E2108="","",IF(U2108="","À SOUDER",IF(X2108="","VT EN ATTENTE",IF(X2108="R","VT REJETÉ – À REPRENDRE",IF(AP2108="","À RADIOGRAPHIER",IF(AP2108="A","ACCEPTÉ",IF(AP2108="NX","NX – RT À REFAIRE",IF(IF(AO2108=1,AD2108,IF(AO2108=2,AI2108,""))="A","RÉPARÉ – À RADIOGRAPHIER",IF(IF(AO2108=1,AD2108,IF(AO2108=2,AI2108,""))="R","VT REJETÉ – À REPRENDRE",IF(OR(AP2108="CO",AP2108="NT"),"COUPE – À RESOUDER","À RÉPARER"))))))))))</f>
        <v>ACCEPTÉ</v>
      </c>
      <c r="AR2108" s="82" t="str">
        <f aca="false">IF(AND(ISNUMBER(U2108),OR(AQ2108="À RADIOGRAPHIER",AQ2108="RÉPARÉ – À RADIOGRAPHIER",AQ2108="NX – RT À REFAIRE",AQ2108="À RÉPARER",AQ2108="COUPE – À RESOUDER",AQ2108="VT REJETÉ – À REPRENDRE")),MAX(0,'PROGRAMME RT'!$C$4-U2108),"")</f>
        <v/>
      </c>
      <c r="AS2108" s="82" t="n">
        <f aca="false">IF(AND(OR(AQ2108="À RADIOGRAPHIER",AQ2108="RÉPARÉ – À RADIOGRAPHIER",AQ2108="NX – RT À REFAIRE"),OR('PROGRAMME RT'!$D$5="TOUTES",B2108='PROGRAMME RT'!$D$5)),1,0)</f>
        <v>0</v>
      </c>
      <c r="AT2108" s="82" t="str">
        <f aca="false">IF(AS2108=1,SUM(AS$7:AS2108),"")</f>
        <v/>
      </c>
      <c r="AU2108" s="82" t="n">
        <f aca="false">IF(AND(OR(AA2108="R",AA2108="NX",AA2108="NT",AA2108="CO"),OR('JOINTS DE RÉPARATION'!$D$5="TOUTES",B2108='JOINTS DE RÉPARATION'!$D$5),OR('JOINTS DE RÉPARATION'!$L$4="TOUS",AQ2108&lt;&gt;"ACCEPTÉ")),1,0)</f>
        <v>0</v>
      </c>
      <c r="AV2108" s="82" t="str">
        <f aca="false">IF(AU2108=1,SUM(AU$7:AU2108),"")</f>
        <v/>
      </c>
      <c r="AW2108" s="82" t="str">
        <f aca="false">IF(E2108="","",B2108&amp;"|"&amp;E2108)</f>
        <v>MFD-ISW → MFD-CPF|JN°1624</v>
      </c>
    </row>
    <row r="2109" customFormat="false" ht="74.6" hidden="false" customHeight="false" outlineLevel="0" collapsed="false">
      <c r="A2109" s="79" t="n">
        <f aca="false">IF(E2109="","",ROW()-6)</f>
        <v>2103</v>
      </c>
      <c r="B2109" s="80" t="s">
        <v>110</v>
      </c>
      <c r="C2109" s="81" t="s">
        <v>2510</v>
      </c>
      <c r="D2109" s="81" t="n">
        <v>20</v>
      </c>
      <c r="E2109" s="81" t="s">
        <v>2562</v>
      </c>
      <c r="F2109" s="82" t="str">
        <f aca="false">IF(E2109="","",IF(LEFT(E2109,2)="DJ","DJ","JN"))</f>
        <v>JN</v>
      </c>
      <c r="G2109" s="81" t="s">
        <v>1504</v>
      </c>
      <c r="H2109" s="81" t="s">
        <v>871</v>
      </c>
      <c r="I2109" s="81" t="n">
        <v>9.53</v>
      </c>
      <c r="J2109" s="81" t="s">
        <v>872</v>
      </c>
      <c r="K2109" s="81" t="s">
        <v>879</v>
      </c>
      <c r="L2109" s="81" t="n">
        <v>2097030</v>
      </c>
      <c r="M2109" s="81" t="n">
        <v>15421111</v>
      </c>
      <c r="N2109" s="81" t="n">
        <v>11.94</v>
      </c>
      <c r="O2109" s="81" t="n">
        <v>2096230</v>
      </c>
      <c r="P2109" s="81" t="n">
        <v>15421111</v>
      </c>
      <c r="Q2109" s="81" t="n">
        <v>11.94</v>
      </c>
      <c r="R2109" s="81" t="s">
        <v>2532</v>
      </c>
      <c r="S2109" s="81"/>
      <c r="T2109" s="81"/>
      <c r="U2109" s="83" t="n">
        <v>46265</v>
      </c>
      <c r="V2109" s="83" t="n">
        <v>46265</v>
      </c>
      <c r="W2109" s="81" t="s">
        <v>2553</v>
      </c>
      <c r="X2109" s="81" t="s">
        <v>876</v>
      </c>
      <c r="Y2109" s="83" t="n">
        <v>46274</v>
      </c>
      <c r="Z2109" s="81" t="s">
        <v>2557</v>
      </c>
      <c r="AA2109" s="81" t="s">
        <v>876</v>
      </c>
      <c r="AB2109" s="81"/>
      <c r="AC2109" s="81"/>
      <c r="AD2109" s="81"/>
      <c r="AE2109" s="83"/>
      <c r="AF2109" s="81"/>
      <c r="AG2109" s="81"/>
      <c r="AH2109" s="81"/>
      <c r="AI2109" s="81"/>
      <c r="AJ2109" s="83"/>
      <c r="AK2109" s="81"/>
      <c r="AL2109" s="81"/>
      <c r="AM2109" s="83"/>
      <c r="AN2109" s="80"/>
      <c r="AO2109" s="82" t="n">
        <f aca="false">IF(E2109="","",(AA2109&lt;&gt;"")+(AG2109&lt;&gt;"")+(AL2109&lt;&gt;""))</f>
        <v>1</v>
      </c>
      <c r="AP2109" s="82" t="str">
        <f aca="false">IF(AL2109&lt;&gt;"",AL2109,IF(AG2109&lt;&gt;"",AG2109,IF(AA2109&lt;&gt;"",AA2109,"")))</f>
        <v>A</v>
      </c>
      <c r="AQ2109" s="84" t="str">
        <f aca="false">IF(E2109="","",IF(U2109="","À SOUDER",IF(X2109="","VT EN ATTENTE",IF(X2109="R","VT REJETÉ – À REPRENDRE",IF(AP2109="","À RADIOGRAPHIER",IF(AP2109="A","ACCEPTÉ",IF(AP2109="NX","NX – RT À REFAIRE",IF(IF(AO2109=1,AD2109,IF(AO2109=2,AI2109,""))="A","RÉPARÉ – À RADIOGRAPHIER",IF(IF(AO2109=1,AD2109,IF(AO2109=2,AI2109,""))="R","VT REJETÉ – À REPRENDRE",IF(OR(AP2109="CO",AP2109="NT"),"COUPE – À RESOUDER","À RÉPARER"))))))))))</f>
        <v>ACCEPTÉ</v>
      </c>
      <c r="AR2109" s="82" t="str">
        <f aca="false">IF(AND(ISNUMBER(U2109),OR(AQ2109="À RADIOGRAPHIER",AQ2109="RÉPARÉ – À RADIOGRAPHIER",AQ2109="NX – RT À REFAIRE",AQ2109="À RÉPARER",AQ2109="COUPE – À RESOUDER",AQ2109="VT REJETÉ – À REPRENDRE")),MAX(0,'PROGRAMME RT'!$C$4-U2109),"")</f>
        <v/>
      </c>
      <c r="AS2109" s="82" t="n">
        <f aca="false">IF(AND(OR(AQ2109="À RADIOGRAPHIER",AQ2109="RÉPARÉ – À RADIOGRAPHIER",AQ2109="NX – RT À REFAIRE"),OR('PROGRAMME RT'!$D$5="TOUTES",B2109='PROGRAMME RT'!$D$5)),1,0)</f>
        <v>0</v>
      </c>
      <c r="AT2109" s="82" t="str">
        <f aca="false">IF(AS2109=1,SUM(AS$7:AS2109),"")</f>
        <v/>
      </c>
      <c r="AU2109" s="82" t="n">
        <f aca="false">IF(AND(OR(AA2109="R",AA2109="NX",AA2109="NT",AA2109="CO"),OR('JOINTS DE RÉPARATION'!$D$5="TOUTES",B2109='JOINTS DE RÉPARATION'!$D$5),OR('JOINTS DE RÉPARATION'!$L$4="TOUS",AQ2109&lt;&gt;"ACCEPTÉ")),1,0)</f>
        <v>0</v>
      </c>
      <c r="AV2109" s="82" t="str">
        <f aca="false">IF(AU2109=1,SUM(AU$7:AU2109),"")</f>
        <v/>
      </c>
      <c r="AW2109" s="82" t="str">
        <f aca="false">IF(E2109="","",B2109&amp;"|"&amp;E2109)</f>
        <v>MFD-ISW → MFD-CPF|JN°1625</v>
      </c>
    </row>
    <row r="2110" customFormat="false" ht="74.6" hidden="false" customHeight="false" outlineLevel="0" collapsed="false">
      <c r="A2110" s="79" t="n">
        <f aca="false">IF(E2110="","",ROW()-6)</f>
        <v>2104</v>
      </c>
      <c r="B2110" s="80" t="s">
        <v>110</v>
      </c>
      <c r="C2110" s="81" t="s">
        <v>2510</v>
      </c>
      <c r="D2110" s="81" t="n">
        <v>20</v>
      </c>
      <c r="E2110" s="81" t="s">
        <v>2563</v>
      </c>
      <c r="F2110" s="82" t="str">
        <f aca="false">IF(E2110="","",IF(LEFT(E2110,2)="DJ","DJ","JN"))</f>
        <v>JN</v>
      </c>
      <c r="G2110" s="81" t="s">
        <v>1504</v>
      </c>
      <c r="H2110" s="81" t="s">
        <v>871</v>
      </c>
      <c r="I2110" s="81" t="n">
        <v>9.53</v>
      </c>
      <c r="J2110" s="81" t="s">
        <v>872</v>
      </c>
      <c r="K2110" s="81" t="s">
        <v>879</v>
      </c>
      <c r="L2110" s="81" t="n">
        <v>2096230</v>
      </c>
      <c r="M2110" s="81" t="n">
        <v>15421111</v>
      </c>
      <c r="N2110" s="81" t="n">
        <v>11.94</v>
      </c>
      <c r="O2110" s="81" t="n">
        <v>2089450</v>
      </c>
      <c r="P2110" s="81" t="n">
        <v>15421109</v>
      </c>
      <c r="Q2110" s="81" t="n">
        <v>11.94</v>
      </c>
      <c r="R2110" s="81" t="s">
        <v>2532</v>
      </c>
      <c r="S2110" s="81"/>
      <c r="T2110" s="81"/>
      <c r="U2110" s="83" t="n">
        <v>46265</v>
      </c>
      <c r="V2110" s="83" t="n">
        <v>46265</v>
      </c>
      <c r="W2110" s="81" t="s">
        <v>2553</v>
      </c>
      <c r="X2110" s="81" t="s">
        <v>876</v>
      </c>
      <c r="Y2110" s="83" t="n">
        <v>46274</v>
      </c>
      <c r="Z2110" s="81" t="s">
        <v>2557</v>
      </c>
      <c r="AA2110" s="81" t="s">
        <v>876</v>
      </c>
      <c r="AB2110" s="81"/>
      <c r="AC2110" s="81"/>
      <c r="AD2110" s="81"/>
      <c r="AE2110" s="83"/>
      <c r="AF2110" s="81"/>
      <c r="AG2110" s="81"/>
      <c r="AH2110" s="81"/>
      <c r="AI2110" s="81"/>
      <c r="AJ2110" s="83"/>
      <c r="AK2110" s="81"/>
      <c r="AL2110" s="81"/>
      <c r="AM2110" s="83"/>
      <c r="AN2110" s="80"/>
      <c r="AO2110" s="82" t="n">
        <f aca="false">IF(E2110="","",(AA2110&lt;&gt;"")+(AG2110&lt;&gt;"")+(AL2110&lt;&gt;""))</f>
        <v>1</v>
      </c>
      <c r="AP2110" s="82" t="str">
        <f aca="false">IF(AL2110&lt;&gt;"",AL2110,IF(AG2110&lt;&gt;"",AG2110,IF(AA2110&lt;&gt;"",AA2110,"")))</f>
        <v>A</v>
      </c>
      <c r="AQ2110" s="84" t="str">
        <f aca="false">IF(E2110="","",IF(U2110="","À SOUDER",IF(X2110="","VT EN ATTENTE",IF(X2110="R","VT REJETÉ – À REPRENDRE",IF(AP2110="","À RADIOGRAPHIER",IF(AP2110="A","ACCEPTÉ",IF(AP2110="NX","NX – RT À REFAIRE",IF(IF(AO2110=1,AD2110,IF(AO2110=2,AI2110,""))="A","RÉPARÉ – À RADIOGRAPHIER",IF(IF(AO2110=1,AD2110,IF(AO2110=2,AI2110,""))="R","VT REJETÉ – À REPRENDRE",IF(OR(AP2110="CO",AP2110="NT"),"COUPE – À RESOUDER","À RÉPARER"))))))))))</f>
        <v>ACCEPTÉ</v>
      </c>
      <c r="AR2110" s="82" t="str">
        <f aca="false">IF(AND(ISNUMBER(U2110),OR(AQ2110="À RADIOGRAPHIER",AQ2110="RÉPARÉ – À RADIOGRAPHIER",AQ2110="NX – RT À REFAIRE",AQ2110="À RÉPARER",AQ2110="COUPE – À RESOUDER",AQ2110="VT REJETÉ – À REPRENDRE")),MAX(0,'PROGRAMME RT'!$C$4-U2110),"")</f>
        <v/>
      </c>
      <c r="AS2110" s="82" t="n">
        <f aca="false">IF(AND(OR(AQ2110="À RADIOGRAPHIER",AQ2110="RÉPARÉ – À RADIOGRAPHIER",AQ2110="NX – RT À REFAIRE"),OR('PROGRAMME RT'!$D$5="TOUTES",B2110='PROGRAMME RT'!$D$5)),1,0)</f>
        <v>0</v>
      </c>
      <c r="AT2110" s="82" t="str">
        <f aca="false">IF(AS2110=1,SUM(AS$7:AS2110),"")</f>
        <v/>
      </c>
      <c r="AU2110" s="82" t="n">
        <f aca="false">IF(AND(OR(AA2110="R",AA2110="NX",AA2110="NT",AA2110="CO"),OR('JOINTS DE RÉPARATION'!$D$5="TOUTES",B2110='JOINTS DE RÉPARATION'!$D$5),OR('JOINTS DE RÉPARATION'!$L$4="TOUS",AQ2110&lt;&gt;"ACCEPTÉ")),1,0)</f>
        <v>0</v>
      </c>
      <c r="AV2110" s="82" t="str">
        <f aca="false">IF(AU2110=1,SUM(AU$7:AU2110),"")</f>
        <v/>
      </c>
      <c r="AW2110" s="82" t="str">
        <f aca="false">IF(E2110="","",B2110&amp;"|"&amp;E2110)</f>
        <v>MFD-ISW → MFD-CPF|JN°1626</v>
      </c>
    </row>
    <row r="2111" customFormat="false" ht="74.6" hidden="false" customHeight="false" outlineLevel="0" collapsed="false">
      <c r="A2111" s="79" t="n">
        <f aca="false">IF(E2111="","",ROW()-6)</f>
        <v>2105</v>
      </c>
      <c r="B2111" s="80" t="s">
        <v>110</v>
      </c>
      <c r="C2111" s="81" t="s">
        <v>2510</v>
      </c>
      <c r="D2111" s="81" t="n">
        <v>20</v>
      </c>
      <c r="E2111" s="81" t="s">
        <v>2564</v>
      </c>
      <c r="F2111" s="82" t="str">
        <f aca="false">IF(E2111="","",IF(LEFT(E2111,2)="DJ","DJ","JN"))</f>
        <v>JN</v>
      </c>
      <c r="G2111" s="81" t="s">
        <v>1504</v>
      </c>
      <c r="H2111" s="81" t="s">
        <v>871</v>
      </c>
      <c r="I2111" s="81" t="n">
        <v>9.53</v>
      </c>
      <c r="J2111" s="81" t="s">
        <v>872</v>
      </c>
      <c r="K2111" s="81" t="s">
        <v>879</v>
      </c>
      <c r="L2111" s="81" t="n">
        <v>2089450</v>
      </c>
      <c r="M2111" s="81" t="n">
        <v>15421109</v>
      </c>
      <c r="N2111" s="81" t="n">
        <v>11.94</v>
      </c>
      <c r="O2111" s="81" t="n">
        <v>2098230</v>
      </c>
      <c r="P2111" s="81" t="n">
        <v>15421112</v>
      </c>
      <c r="Q2111" s="81" t="n">
        <v>11.94</v>
      </c>
      <c r="R2111" s="81" t="s">
        <v>2532</v>
      </c>
      <c r="S2111" s="81"/>
      <c r="T2111" s="81"/>
      <c r="U2111" s="83" t="n">
        <v>46265</v>
      </c>
      <c r="V2111" s="83" t="n">
        <v>46265</v>
      </c>
      <c r="W2111" s="81" t="s">
        <v>2553</v>
      </c>
      <c r="X2111" s="81" t="s">
        <v>876</v>
      </c>
      <c r="Y2111" s="83" t="n">
        <v>46274</v>
      </c>
      <c r="Z2111" s="81" t="s">
        <v>2557</v>
      </c>
      <c r="AA2111" s="81" t="s">
        <v>876</v>
      </c>
      <c r="AB2111" s="81"/>
      <c r="AC2111" s="81"/>
      <c r="AD2111" s="81"/>
      <c r="AE2111" s="83"/>
      <c r="AF2111" s="81"/>
      <c r="AG2111" s="81"/>
      <c r="AH2111" s="81"/>
      <c r="AI2111" s="81"/>
      <c r="AJ2111" s="83"/>
      <c r="AK2111" s="81"/>
      <c r="AL2111" s="81"/>
      <c r="AM2111" s="83"/>
      <c r="AN2111" s="80"/>
      <c r="AO2111" s="82" t="n">
        <f aca="false">IF(E2111="","",(AA2111&lt;&gt;"")+(AG2111&lt;&gt;"")+(AL2111&lt;&gt;""))</f>
        <v>1</v>
      </c>
      <c r="AP2111" s="82" t="str">
        <f aca="false">IF(AL2111&lt;&gt;"",AL2111,IF(AG2111&lt;&gt;"",AG2111,IF(AA2111&lt;&gt;"",AA2111,"")))</f>
        <v>A</v>
      </c>
      <c r="AQ2111" s="84" t="str">
        <f aca="false">IF(E2111="","",IF(U2111="","À SOUDER",IF(X2111="","VT EN ATTENTE",IF(X2111="R","VT REJETÉ – À REPRENDRE",IF(AP2111="","À RADIOGRAPHIER",IF(AP2111="A","ACCEPTÉ",IF(AP2111="NX","NX – RT À REFAIRE",IF(IF(AO2111=1,AD2111,IF(AO2111=2,AI2111,""))="A","RÉPARÉ – À RADIOGRAPHIER",IF(IF(AO2111=1,AD2111,IF(AO2111=2,AI2111,""))="R","VT REJETÉ – À REPRENDRE",IF(OR(AP2111="CO",AP2111="NT"),"COUPE – À RESOUDER","À RÉPARER"))))))))))</f>
        <v>ACCEPTÉ</v>
      </c>
      <c r="AR2111" s="82" t="str">
        <f aca="false">IF(AND(ISNUMBER(U2111),OR(AQ2111="À RADIOGRAPHIER",AQ2111="RÉPARÉ – À RADIOGRAPHIER",AQ2111="NX – RT À REFAIRE",AQ2111="À RÉPARER",AQ2111="COUPE – À RESOUDER",AQ2111="VT REJETÉ – À REPRENDRE")),MAX(0,'PROGRAMME RT'!$C$4-U2111),"")</f>
        <v/>
      </c>
      <c r="AS2111" s="82" t="n">
        <f aca="false">IF(AND(OR(AQ2111="À RADIOGRAPHIER",AQ2111="RÉPARÉ – À RADIOGRAPHIER",AQ2111="NX – RT À REFAIRE"),OR('PROGRAMME RT'!$D$5="TOUTES",B2111='PROGRAMME RT'!$D$5)),1,0)</f>
        <v>0</v>
      </c>
      <c r="AT2111" s="82" t="str">
        <f aca="false">IF(AS2111=1,SUM(AS$7:AS2111),"")</f>
        <v/>
      </c>
      <c r="AU2111" s="82" t="n">
        <f aca="false">IF(AND(OR(AA2111="R",AA2111="NX",AA2111="NT",AA2111="CO"),OR('JOINTS DE RÉPARATION'!$D$5="TOUTES",B2111='JOINTS DE RÉPARATION'!$D$5),OR('JOINTS DE RÉPARATION'!$L$4="TOUS",AQ2111&lt;&gt;"ACCEPTÉ")),1,0)</f>
        <v>0</v>
      </c>
      <c r="AV2111" s="82" t="str">
        <f aca="false">IF(AU2111=1,SUM(AU$7:AU2111),"")</f>
        <v/>
      </c>
      <c r="AW2111" s="82" t="str">
        <f aca="false">IF(E2111="","",B2111&amp;"|"&amp;E2111)</f>
        <v>MFD-ISW → MFD-CPF|JN°1627</v>
      </c>
    </row>
    <row r="2112" customFormat="false" ht="74.6" hidden="false" customHeight="false" outlineLevel="0" collapsed="false">
      <c r="A2112" s="79" t="n">
        <f aca="false">IF(E2112="","",ROW()-6)</f>
        <v>2106</v>
      </c>
      <c r="B2112" s="80" t="s">
        <v>110</v>
      </c>
      <c r="C2112" s="81" t="s">
        <v>2510</v>
      </c>
      <c r="D2112" s="81" t="n">
        <v>20</v>
      </c>
      <c r="E2112" s="81" t="s">
        <v>2565</v>
      </c>
      <c r="F2112" s="82" t="str">
        <f aca="false">IF(E2112="","",IF(LEFT(E2112,2)="DJ","DJ","JN"))</f>
        <v>JN</v>
      </c>
      <c r="G2112" s="81" t="s">
        <v>1504</v>
      </c>
      <c r="H2112" s="81" t="s">
        <v>871</v>
      </c>
      <c r="I2112" s="81" t="n">
        <v>9.53</v>
      </c>
      <c r="J2112" s="81" t="s">
        <v>872</v>
      </c>
      <c r="K2112" s="81" t="s">
        <v>879</v>
      </c>
      <c r="L2112" s="81" t="n">
        <v>2098230</v>
      </c>
      <c r="M2112" s="81" t="n">
        <v>15421112</v>
      </c>
      <c r="N2112" s="81" t="n">
        <v>11.94</v>
      </c>
      <c r="O2112" s="81" t="n">
        <v>2079110</v>
      </c>
      <c r="P2112" s="81" t="n">
        <v>15421102</v>
      </c>
      <c r="Q2112" s="81" t="n">
        <v>11.94</v>
      </c>
      <c r="R2112" s="81" t="s">
        <v>2532</v>
      </c>
      <c r="S2112" s="81"/>
      <c r="T2112" s="81"/>
      <c r="U2112" s="83" t="n">
        <v>46265</v>
      </c>
      <c r="V2112" s="83" t="n">
        <v>46265</v>
      </c>
      <c r="W2112" s="81" t="s">
        <v>2553</v>
      </c>
      <c r="X2112" s="81" t="s">
        <v>876</v>
      </c>
      <c r="Y2112" s="83" t="n">
        <v>46274</v>
      </c>
      <c r="Z2112" s="81" t="s">
        <v>2557</v>
      </c>
      <c r="AA2112" s="81" t="s">
        <v>876</v>
      </c>
      <c r="AB2112" s="81"/>
      <c r="AC2112" s="81"/>
      <c r="AD2112" s="81"/>
      <c r="AE2112" s="83"/>
      <c r="AF2112" s="81"/>
      <c r="AG2112" s="81"/>
      <c r="AH2112" s="81"/>
      <c r="AI2112" s="81"/>
      <c r="AJ2112" s="83"/>
      <c r="AK2112" s="81"/>
      <c r="AL2112" s="81"/>
      <c r="AM2112" s="83"/>
      <c r="AN2112" s="80"/>
      <c r="AO2112" s="82" t="n">
        <f aca="false">IF(E2112="","",(AA2112&lt;&gt;"")+(AG2112&lt;&gt;"")+(AL2112&lt;&gt;""))</f>
        <v>1</v>
      </c>
      <c r="AP2112" s="82" t="str">
        <f aca="false">IF(AL2112&lt;&gt;"",AL2112,IF(AG2112&lt;&gt;"",AG2112,IF(AA2112&lt;&gt;"",AA2112,"")))</f>
        <v>A</v>
      </c>
      <c r="AQ2112" s="84" t="str">
        <f aca="false">IF(E2112="","",IF(U2112="","À SOUDER",IF(X2112="","VT EN ATTENTE",IF(X2112="R","VT REJETÉ – À REPRENDRE",IF(AP2112="","À RADIOGRAPHIER",IF(AP2112="A","ACCEPTÉ",IF(AP2112="NX","NX – RT À REFAIRE",IF(IF(AO2112=1,AD2112,IF(AO2112=2,AI2112,""))="A","RÉPARÉ – À RADIOGRAPHIER",IF(IF(AO2112=1,AD2112,IF(AO2112=2,AI2112,""))="R","VT REJETÉ – À REPRENDRE",IF(OR(AP2112="CO",AP2112="NT"),"COUPE – À RESOUDER","À RÉPARER"))))))))))</f>
        <v>ACCEPTÉ</v>
      </c>
      <c r="AR2112" s="82" t="str">
        <f aca="false">IF(AND(ISNUMBER(U2112),OR(AQ2112="À RADIOGRAPHIER",AQ2112="RÉPARÉ – À RADIOGRAPHIER",AQ2112="NX – RT À REFAIRE",AQ2112="À RÉPARER",AQ2112="COUPE – À RESOUDER",AQ2112="VT REJETÉ – À REPRENDRE")),MAX(0,'PROGRAMME RT'!$C$4-U2112),"")</f>
        <v/>
      </c>
      <c r="AS2112" s="82" t="n">
        <f aca="false">IF(AND(OR(AQ2112="À RADIOGRAPHIER",AQ2112="RÉPARÉ – À RADIOGRAPHIER",AQ2112="NX – RT À REFAIRE"),OR('PROGRAMME RT'!$D$5="TOUTES",B2112='PROGRAMME RT'!$D$5)),1,0)</f>
        <v>0</v>
      </c>
      <c r="AT2112" s="82" t="str">
        <f aca="false">IF(AS2112=1,SUM(AS$7:AS2112),"")</f>
        <v/>
      </c>
      <c r="AU2112" s="82" t="n">
        <f aca="false">IF(AND(OR(AA2112="R",AA2112="NX",AA2112="NT",AA2112="CO"),OR('JOINTS DE RÉPARATION'!$D$5="TOUTES",B2112='JOINTS DE RÉPARATION'!$D$5),OR('JOINTS DE RÉPARATION'!$L$4="TOUS",AQ2112&lt;&gt;"ACCEPTÉ")),1,0)</f>
        <v>0</v>
      </c>
      <c r="AV2112" s="82" t="str">
        <f aca="false">IF(AU2112=1,SUM(AU$7:AU2112),"")</f>
        <v/>
      </c>
      <c r="AW2112" s="82" t="str">
        <f aca="false">IF(E2112="","",B2112&amp;"|"&amp;E2112)</f>
        <v>MFD-ISW → MFD-CPF|JN°1628</v>
      </c>
    </row>
    <row r="2113" customFormat="false" ht="74.6" hidden="false" customHeight="false" outlineLevel="0" collapsed="false">
      <c r="A2113" s="79" t="n">
        <f aca="false">IF(E2113="","",ROW()-6)</f>
        <v>2107</v>
      </c>
      <c r="B2113" s="80" t="s">
        <v>110</v>
      </c>
      <c r="C2113" s="81" t="s">
        <v>2510</v>
      </c>
      <c r="D2113" s="81" t="n">
        <v>20</v>
      </c>
      <c r="E2113" s="81" t="s">
        <v>2566</v>
      </c>
      <c r="F2113" s="82" t="str">
        <f aca="false">IF(E2113="","",IF(LEFT(E2113,2)="DJ","DJ","JN"))</f>
        <v>JN</v>
      </c>
      <c r="G2113" s="81" t="s">
        <v>1504</v>
      </c>
      <c r="H2113" s="81" t="s">
        <v>871</v>
      </c>
      <c r="I2113" s="81" t="n">
        <v>9.53</v>
      </c>
      <c r="J2113" s="81" t="s">
        <v>872</v>
      </c>
      <c r="K2113" s="81" t="s">
        <v>879</v>
      </c>
      <c r="L2113" s="81" t="n">
        <v>2079110</v>
      </c>
      <c r="M2113" s="81" t="n">
        <v>15421102</v>
      </c>
      <c r="N2113" s="81" t="n">
        <v>11.94</v>
      </c>
      <c r="O2113" s="81" t="n">
        <v>2098090</v>
      </c>
      <c r="P2113" s="81" t="n">
        <v>15421112</v>
      </c>
      <c r="Q2113" s="81" t="n">
        <v>11.94</v>
      </c>
      <c r="R2113" s="81" t="s">
        <v>2532</v>
      </c>
      <c r="S2113" s="81"/>
      <c r="T2113" s="81"/>
      <c r="U2113" s="83" t="n">
        <v>46265</v>
      </c>
      <c r="V2113" s="83" t="n">
        <v>46265</v>
      </c>
      <c r="W2113" s="81" t="s">
        <v>2553</v>
      </c>
      <c r="X2113" s="81" t="s">
        <v>876</v>
      </c>
      <c r="Y2113" s="83" t="n">
        <v>46274</v>
      </c>
      <c r="Z2113" s="81" t="s">
        <v>2557</v>
      </c>
      <c r="AA2113" s="81" t="s">
        <v>876</v>
      </c>
      <c r="AB2113" s="81"/>
      <c r="AC2113" s="81"/>
      <c r="AD2113" s="81"/>
      <c r="AE2113" s="83"/>
      <c r="AF2113" s="81"/>
      <c r="AG2113" s="81"/>
      <c r="AH2113" s="81"/>
      <c r="AI2113" s="81"/>
      <c r="AJ2113" s="83"/>
      <c r="AK2113" s="81"/>
      <c r="AL2113" s="81"/>
      <c r="AM2113" s="83"/>
      <c r="AN2113" s="80"/>
      <c r="AO2113" s="82" t="n">
        <f aca="false">IF(E2113="","",(AA2113&lt;&gt;"")+(AG2113&lt;&gt;"")+(AL2113&lt;&gt;""))</f>
        <v>1</v>
      </c>
      <c r="AP2113" s="82" t="str">
        <f aca="false">IF(AL2113&lt;&gt;"",AL2113,IF(AG2113&lt;&gt;"",AG2113,IF(AA2113&lt;&gt;"",AA2113,"")))</f>
        <v>A</v>
      </c>
      <c r="AQ2113" s="84" t="str">
        <f aca="false">IF(E2113="","",IF(U2113="","À SOUDER",IF(X2113="","VT EN ATTENTE",IF(X2113="R","VT REJETÉ – À REPRENDRE",IF(AP2113="","À RADIOGRAPHIER",IF(AP2113="A","ACCEPTÉ",IF(AP2113="NX","NX – RT À REFAIRE",IF(IF(AO2113=1,AD2113,IF(AO2113=2,AI2113,""))="A","RÉPARÉ – À RADIOGRAPHIER",IF(IF(AO2113=1,AD2113,IF(AO2113=2,AI2113,""))="R","VT REJETÉ – À REPRENDRE",IF(OR(AP2113="CO",AP2113="NT"),"COUPE – À RESOUDER","À RÉPARER"))))))))))</f>
        <v>ACCEPTÉ</v>
      </c>
      <c r="AR2113" s="82" t="str">
        <f aca="false">IF(AND(ISNUMBER(U2113),OR(AQ2113="À RADIOGRAPHIER",AQ2113="RÉPARÉ – À RADIOGRAPHIER",AQ2113="NX – RT À REFAIRE",AQ2113="À RÉPARER",AQ2113="COUPE – À RESOUDER",AQ2113="VT REJETÉ – À REPRENDRE")),MAX(0,'PROGRAMME RT'!$C$4-U2113),"")</f>
        <v/>
      </c>
      <c r="AS2113" s="82" t="n">
        <f aca="false">IF(AND(OR(AQ2113="À RADIOGRAPHIER",AQ2113="RÉPARÉ – À RADIOGRAPHIER",AQ2113="NX – RT À REFAIRE"),OR('PROGRAMME RT'!$D$5="TOUTES",B2113='PROGRAMME RT'!$D$5)),1,0)</f>
        <v>0</v>
      </c>
      <c r="AT2113" s="82" t="str">
        <f aca="false">IF(AS2113=1,SUM(AS$7:AS2113),"")</f>
        <v/>
      </c>
      <c r="AU2113" s="82" t="n">
        <f aca="false">IF(AND(OR(AA2113="R",AA2113="NX",AA2113="NT",AA2113="CO"),OR('JOINTS DE RÉPARATION'!$D$5="TOUTES",B2113='JOINTS DE RÉPARATION'!$D$5),OR('JOINTS DE RÉPARATION'!$L$4="TOUS",AQ2113&lt;&gt;"ACCEPTÉ")),1,0)</f>
        <v>0</v>
      </c>
      <c r="AV2113" s="82" t="str">
        <f aca="false">IF(AU2113=1,SUM(AU$7:AU2113),"")</f>
        <v/>
      </c>
      <c r="AW2113" s="82" t="str">
        <f aca="false">IF(E2113="","",B2113&amp;"|"&amp;E2113)</f>
        <v>MFD-ISW → MFD-CPF|JN°1629</v>
      </c>
    </row>
    <row r="2114" customFormat="false" ht="74.6" hidden="false" customHeight="false" outlineLevel="0" collapsed="false">
      <c r="A2114" s="79" t="n">
        <f aca="false">IF(E2114="","",ROW()-6)</f>
        <v>2108</v>
      </c>
      <c r="B2114" s="80" t="s">
        <v>110</v>
      </c>
      <c r="C2114" s="81" t="s">
        <v>2510</v>
      </c>
      <c r="D2114" s="81" t="n">
        <v>20</v>
      </c>
      <c r="E2114" s="81" t="s">
        <v>2567</v>
      </c>
      <c r="F2114" s="82" t="str">
        <f aca="false">IF(E2114="","",IF(LEFT(E2114,2)="DJ","DJ","JN"))</f>
        <v>JN</v>
      </c>
      <c r="G2114" s="81" t="s">
        <v>1504</v>
      </c>
      <c r="H2114" s="81" t="s">
        <v>871</v>
      </c>
      <c r="I2114" s="81" t="n">
        <v>9.53</v>
      </c>
      <c r="J2114" s="81" t="s">
        <v>872</v>
      </c>
      <c r="K2114" s="81" t="s">
        <v>879</v>
      </c>
      <c r="L2114" s="81" t="n">
        <v>2098090</v>
      </c>
      <c r="M2114" s="81" t="n">
        <v>15421112</v>
      </c>
      <c r="N2114" s="81" t="n">
        <v>11.94</v>
      </c>
      <c r="O2114" s="81" t="n">
        <v>2090910</v>
      </c>
      <c r="P2114" s="81" t="n">
        <v>15421109</v>
      </c>
      <c r="Q2114" s="81" t="n">
        <v>11.94</v>
      </c>
      <c r="R2114" s="81" t="s">
        <v>2568</v>
      </c>
      <c r="S2114" s="81"/>
      <c r="T2114" s="81"/>
      <c r="U2114" s="83" t="n">
        <v>46264</v>
      </c>
      <c r="V2114" s="83" t="n">
        <v>46265</v>
      </c>
      <c r="W2114" s="81" t="s">
        <v>2553</v>
      </c>
      <c r="X2114" s="81" t="s">
        <v>876</v>
      </c>
      <c r="Y2114" s="83" t="n">
        <v>46274</v>
      </c>
      <c r="Z2114" s="81" t="s">
        <v>2517</v>
      </c>
      <c r="AA2114" s="81" t="s">
        <v>1153</v>
      </c>
      <c r="AB2114" s="81" t="s">
        <v>1509</v>
      </c>
      <c r="AC2114" s="81"/>
      <c r="AD2114" s="81"/>
      <c r="AE2114" s="83"/>
      <c r="AF2114" s="81"/>
      <c r="AG2114" s="81"/>
      <c r="AH2114" s="81"/>
      <c r="AI2114" s="81"/>
      <c r="AJ2114" s="83"/>
      <c r="AK2114" s="81"/>
      <c r="AL2114" s="81"/>
      <c r="AM2114" s="83"/>
      <c r="AN2114" s="80"/>
      <c r="AO2114" s="82" t="n">
        <f aca="false">IF(E2114="","",(AA2114&lt;&gt;"")+(AG2114&lt;&gt;"")+(AL2114&lt;&gt;""))</f>
        <v>1</v>
      </c>
      <c r="AP2114" s="82" t="str">
        <f aca="false">IF(AL2114&lt;&gt;"",AL2114,IF(AG2114&lt;&gt;"",AG2114,IF(AA2114&lt;&gt;"",AA2114,"")))</f>
        <v>NX</v>
      </c>
      <c r="AQ2114" s="84" t="str">
        <f aca="false">IF(E2114="","",IF(U2114="","À SOUDER",IF(X2114="","VT EN ATTENTE",IF(X2114="R","VT REJETÉ – À REPRENDRE",IF(AP2114="","À RADIOGRAPHIER",IF(AP2114="A","ACCEPTÉ",IF(AP2114="NX","NX – RT À REFAIRE",IF(IF(AO2114=1,AD2114,IF(AO2114=2,AI2114,""))="A","RÉPARÉ – À RADIOGRAPHIER",IF(IF(AO2114=1,AD2114,IF(AO2114=2,AI2114,""))="R","VT REJETÉ – À REPRENDRE",IF(OR(AP2114="CO",AP2114="NT"),"COUPE – À RESOUDER","À RÉPARER"))))))))))</f>
        <v>NX – RT À REFAIRE</v>
      </c>
      <c r="AR2114" s="82" t="n">
        <f aca="false">IF(AND(ISNUMBER(U2114),OR(AQ2114="À RADIOGRAPHIER",AQ2114="RÉPARÉ – À RADIOGRAPHIER",AQ2114="NX – RT À REFAIRE",AQ2114="À RÉPARER",AQ2114="COUPE – À RESOUDER",AQ2114="VT REJETÉ – À REPRENDRE")),MAX(0,'PROGRAMME RT'!$C$4-U2114),"")</f>
        <v>29</v>
      </c>
      <c r="AS2114" s="82" t="n">
        <f aca="false">IF(AND(OR(AQ2114="À RADIOGRAPHIER",AQ2114="RÉPARÉ – À RADIOGRAPHIER",AQ2114="NX – RT À REFAIRE"),OR('PROGRAMME RT'!$D$5="TOUTES",B2114='PROGRAMME RT'!$D$5)),1,0)</f>
        <v>1</v>
      </c>
      <c r="AT2114" s="82" t="n">
        <f aca="false">IF(AS2114=1,SUM(AS$7:AS2114),"")</f>
        <v>116</v>
      </c>
      <c r="AU2114" s="82" t="n">
        <f aca="false">IF(AND(OR(AA2114="R",AA2114="NX",AA2114="NT",AA2114="CO"),OR('JOINTS DE RÉPARATION'!$D$5="TOUTES",B2114='JOINTS DE RÉPARATION'!$D$5),OR('JOINTS DE RÉPARATION'!$L$4="TOUS",AQ2114&lt;&gt;"ACCEPTÉ")),1,0)</f>
        <v>1</v>
      </c>
      <c r="AV2114" s="82" t="n">
        <f aca="false">IF(AU2114=1,SUM(AU$7:AU2114),"")</f>
        <v>61</v>
      </c>
      <c r="AW2114" s="82" t="str">
        <f aca="false">IF(E2114="","",B2114&amp;"|"&amp;E2114)</f>
        <v>MFD-ISW → MFD-CPF|JN°1630</v>
      </c>
    </row>
    <row r="2115" customFormat="false" ht="74.6" hidden="false" customHeight="false" outlineLevel="0" collapsed="false">
      <c r="A2115" s="79" t="n">
        <f aca="false">IF(E2115="","",ROW()-6)</f>
        <v>2109</v>
      </c>
      <c r="B2115" s="80" t="s">
        <v>110</v>
      </c>
      <c r="C2115" s="81" t="s">
        <v>2510</v>
      </c>
      <c r="D2115" s="81" t="n">
        <v>20</v>
      </c>
      <c r="E2115" s="81" t="s">
        <v>2569</v>
      </c>
      <c r="F2115" s="82" t="str">
        <f aca="false">IF(E2115="","",IF(LEFT(E2115,2)="DJ","DJ","JN"))</f>
        <v>JN</v>
      </c>
      <c r="G2115" s="81" t="s">
        <v>1504</v>
      </c>
      <c r="H2115" s="81" t="s">
        <v>871</v>
      </c>
      <c r="I2115" s="81" t="n">
        <v>9.53</v>
      </c>
      <c r="J2115" s="81" t="s">
        <v>872</v>
      </c>
      <c r="K2115" s="81" t="s">
        <v>879</v>
      </c>
      <c r="L2115" s="81" t="n">
        <v>2090910</v>
      </c>
      <c r="M2115" s="81" t="n">
        <v>15421109</v>
      </c>
      <c r="N2115" s="81" t="n">
        <v>11.94</v>
      </c>
      <c r="O2115" s="81" t="n">
        <v>2098130</v>
      </c>
      <c r="P2115" s="81" t="n">
        <v>15421112</v>
      </c>
      <c r="Q2115" s="81" t="n">
        <v>11.94</v>
      </c>
      <c r="R2115" s="81" t="s">
        <v>2568</v>
      </c>
      <c r="S2115" s="81"/>
      <c r="T2115" s="81"/>
      <c r="U2115" s="83" t="n">
        <v>46264</v>
      </c>
      <c r="V2115" s="83" t="n">
        <v>46264</v>
      </c>
      <c r="W2115" s="81" t="s">
        <v>2570</v>
      </c>
      <c r="X2115" s="81" t="s">
        <v>876</v>
      </c>
      <c r="Y2115" s="83" t="n">
        <v>46274</v>
      </c>
      <c r="Z2115" s="81" t="s">
        <v>2557</v>
      </c>
      <c r="AA2115" s="81" t="s">
        <v>876</v>
      </c>
      <c r="AB2115" s="81"/>
      <c r="AC2115" s="81"/>
      <c r="AD2115" s="81"/>
      <c r="AE2115" s="83"/>
      <c r="AF2115" s="81"/>
      <c r="AG2115" s="81"/>
      <c r="AH2115" s="81"/>
      <c r="AI2115" s="81"/>
      <c r="AJ2115" s="83"/>
      <c r="AK2115" s="81"/>
      <c r="AL2115" s="81"/>
      <c r="AM2115" s="83"/>
      <c r="AN2115" s="80"/>
      <c r="AO2115" s="82" t="n">
        <f aca="false">IF(E2115="","",(AA2115&lt;&gt;"")+(AG2115&lt;&gt;"")+(AL2115&lt;&gt;""))</f>
        <v>1</v>
      </c>
      <c r="AP2115" s="82" t="str">
        <f aca="false">IF(AL2115&lt;&gt;"",AL2115,IF(AG2115&lt;&gt;"",AG2115,IF(AA2115&lt;&gt;"",AA2115,"")))</f>
        <v>A</v>
      </c>
      <c r="AQ2115" s="84" t="str">
        <f aca="false">IF(E2115="","",IF(U2115="","À SOUDER",IF(X2115="","VT EN ATTENTE",IF(X2115="R","VT REJETÉ – À REPRENDRE",IF(AP2115="","À RADIOGRAPHIER",IF(AP2115="A","ACCEPTÉ",IF(AP2115="NX","NX – RT À REFAIRE",IF(IF(AO2115=1,AD2115,IF(AO2115=2,AI2115,""))="A","RÉPARÉ – À RADIOGRAPHIER",IF(IF(AO2115=1,AD2115,IF(AO2115=2,AI2115,""))="R","VT REJETÉ – À REPRENDRE",IF(OR(AP2115="CO",AP2115="NT"),"COUPE – À RESOUDER","À RÉPARER"))))))))))</f>
        <v>ACCEPTÉ</v>
      </c>
      <c r="AR2115" s="82" t="str">
        <f aca="false">IF(AND(ISNUMBER(U2115),OR(AQ2115="À RADIOGRAPHIER",AQ2115="RÉPARÉ – À RADIOGRAPHIER",AQ2115="NX – RT À REFAIRE",AQ2115="À RÉPARER",AQ2115="COUPE – À RESOUDER",AQ2115="VT REJETÉ – À REPRENDRE")),MAX(0,'PROGRAMME RT'!$C$4-U2115),"")</f>
        <v/>
      </c>
      <c r="AS2115" s="82" t="n">
        <f aca="false">IF(AND(OR(AQ2115="À RADIOGRAPHIER",AQ2115="RÉPARÉ – À RADIOGRAPHIER",AQ2115="NX – RT À REFAIRE"),OR('PROGRAMME RT'!$D$5="TOUTES",B2115='PROGRAMME RT'!$D$5)),1,0)</f>
        <v>0</v>
      </c>
      <c r="AT2115" s="82" t="str">
        <f aca="false">IF(AS2115=1,SUM(AS$7:AS2115),"")</f>
        <v/>
      </c>
      <c r="AU2115" s="82" t="n">
        <f aca="false">IF(AND(OR(AA2115="R",AA2115="NX",AA2115="NT",AA2115="CO"),OR('JOINTS DE RÉPARATION'!$D$5="TOUTES",B2115='JOINTS DE RÉPARATION'!$D$5),OR('JOINTS DE RÉPARATION'!$L$4="TOUS",AQ2115&lt;&gt;"ACCEPTÉ")),1,0)</f>
        <v>0</v>
      </c>
      <c r="AV2115" s="82" t="str">
        <f aca="false">IF(AU2115=1,SUM(AU$7:AU2115),"")</f>
        <v/>
      </c>
      <c r="AW2115" s="82" t="str">
        <f aca="false">IF(E2115="","",B2115&amp;"|"&amp;E2115)</f>
        <v>MFD-ISW → MFD-CPF|JN°1631</v>
      </c>
    </row>
    <row r="2116" customFormat="false" ht="74.6" hidden="false" customHeight="false" outlineLevel="0" collapsed="false">
      <c r="A2116" s="79" t="n">
        <f aca="false">IF(E2116="","",ROW()-6)</f>
        <v>2110</v>
      </c>
      <c r="B2116" s="80" t="s">
        <v>110</v>
      </c>
      <c r="C2116" s="81" t="s">
        <v>2510</v>
      </c>
      <c r="D2116" s="81" t="n">
        <v>20</v>
      </c>
      <c r="E2116" s="81" t="s">
        <v>2571</v>
      </c>
      <c r="F2116" s="82" t="str">
        <f aca="false">IF(E2116="","",IF(LEFT(E2116,2)="DJ","DJ","JN"))</f>
        <v>JN</v>
      </c>
      <c r="G2116" s="81" t="s">
        <v>1504</v>
      </c>
      <c r="H2116" s="81" t="s">
        <v>871</v>
      </c>
      <c r="I2116" s="81" t="n">
        <v>9.53</v>
      </c>
      <c r="J2116" s="81" t="s">
        <v>872</v>
      </c>
      <c r="K2116" s="81" t="s">
        <v>879</v>
      </c>
      <c r="L2116" s="81" t="n">
        <v>2098130</v>
      </c>
      <c r="M2116" s="81" t="n">
        <v>15421112</v>
      </c>
      <c r="N2116" s="81" t="n">
        <v>11.94</v>
      </c>
      <c r="O2116" s="81" t="n">
        <v>2095210</v>
      </c>
      <c r="P2116" s="81" t="n">
        <v>15421111</v>
      </c>
      <c r="Q2116" s="81" t="n">
        <v>11.94</v>
      </c>
      <c r="R2116" s="81" t="s">
        <v>2568</v>
      </c>
      <c r="S2116" s="81"/>
      <c r="T2116" s="81"/>
      <c r="U2116" s="83" t="n">
        <v>46264</v>
      </c>
      <c r="V2116" s="83" t="n">
        <v>46264</v>
      </c>
      <c r="W2116" s="81" t="s">
        <v>2570</v>
      </c>
      <c r="X2116" s="81" t="s">
        <v>876</v>
      </c>
      <c r="Y2116" s="83" t="n">
        <v>46274</v>
      </c>
      <c r="Z2116" s="81" t="s">
        <v>2557</v>
      </c>
      <c r="AA2116" s="81" t="s">
        <v>876</v>
      </c>
      <c r="AB2116" s="81"/>
      <c r="AC2116" s="81"/>
      <c r="AD2116" s="81"/>
      <c r="AE2116" s="83"/>
      <c r="AF2116" s="81"/>
      <c r="AG2116" s="81"/>
      <c r="AH2116" s="81"/>
      <c r="AI2116" s="81"/>
      <c r="AJ2116" s="83"/>
      <c r="AK2116" s="81"/>
      <c r="AL2116" s="81"/>
      <c r="AM2116" s="83"/>
      <c r="AN2116" s="80"/>
      <c r="AO2116" s="82" t="n">
        <f aca="false">IF(E2116="","",(AA2116&lt;&gt;"")+(AG2116&lt;&gt;"")+(AL2116&lt;&gt;""))</f>
        <v>1</v>
      </c>
      <c r="AP2116" s="82" t="str">
        <f aca="false">IF(AL2116&lt;&gt;"",AL2116,IF(AG2116&lt;&gt;"",AG2116,IF(AA2116&lt;&gt;"",AA2116,"")))</f>
        <v>A</v>
      </c>
      <c r="AQ2116" s="84" t="str">
        <f aca="false">IF(E2116="","",IF(U2116="","À SOUDER",IF(X2116="","VT EN ATTENTE",IF(X2116="R","VT REJETÉ – À REPRENDRE",IF(AP2116="","À RADIOGRAPHIER",IF(AP2116="A","ACCEPTÉ",IF(AP2116="NX","NX – RT À REFAIRE",IF(IF(AO2116=1,AD2116,IF(AO2116=2,AI2116,""))="A","RÉPARÉ – À RADIOGRAPHIER",IF(IF(AO2116=1,AD2116,IF(AO2116=2,AI2116,""))="R","VT REJETÉ – À REPRENDRE",IF(OR(AP2116="CO",AP2116="NT"),"COUPE – À RESOUDER","À RÉPARER"))))))))))</f>
        <v>ACCEPTÉ</v>
      </c>
      <c r="AR2116" s="82" t="str">
        <f aca="false">IF(AND(ISNUMBER(U2116),OR(AQ2116="À RADIOGRAPHIER",AQ2116="RÉPARÉ – À RADIOGRAPHIER",AQ2116="NX – RT À REFAIRE",AQ2116="À RÉPARER",AQ2116="COUPE – À RESOUDER",AQ2116="VT REJETÉ – À REPRENDRE")),MAX(0,'PROGRAMME RT'!$C$4-U2116),"")</f>
        <v/>
      </c>
      <c r="AS2116" s="82" t="n">
        <f aca="false">IF(AND(OR(AQ2116="À RADIOGRAPHIER",AQ2116="RÉPARÉ – À RADIOGRAPHIER",AQ2116="NX – RT À REFAIRE"),OR('PROGRAMME RT'!$D$5="TOUTES",B2116='PROGRAMME RT'!$D$5)),1,0)</f>
        <v>0</v>
      </c>
      <c r="AT2116" s="82" t="str">
        <f aca="false">IF(AS2116=1,SUM(AS$7:AS2116),"")</f>
        <v/>
      </c>
      <c r="AU2116" s="82" t="n">
        <f aca="false">IF(AND(OR(AA2116="R",AA2116="NX",AA2116="NT",AA2116="CO"),OR('JOINTS DE RÉPARATION'!$D$5="TOUTES",B2116='JOINTS DE RÉPARATION'!$D$5),OR('JOINTS DE RÉPARATION'!$L$4="TOUS",AQ2116&lt;&gt;"ACCEPTÉ")),1,0)</f>
        <v>0</v>
      </c>
      <c r="AV2116" s="82" t="str">
        <f aca="false">IF(AU2116=1,SUM(AU$7:AU2116),"")</f>
        <v/>
      </c>
      <c r="AW2116" s="82" t="str">
        <f aca="false">IF(E2116="","",B2116&amp;"|"&amp;E2116)</f>
        <v>MFD-ISW → MFD-CPF|JN°1632</v>
      </c>
    </row>
    <row r="2117" customFormat="false" ht="74.6" hidden="false" customHeight="false" outlineLevel="0" collapsed="false">
      <c r="A2117" s="79" t="n">
        <f aca="false">IF(E2117="","",ROW()-6)</f>
        <v>2111</v>
      </c>
      <c r="B2117" s="80" t="s">
        <v>110</v>
      </c>
      <c r="C2117" s="81" t="s">
        <v>2510</v>
      </c>
      <c r="D2117" s="81" t="n">
        <v>20</v>
      </c>
      <c r="E2117" s="81" t="s">
        <v>2572</v>
      </c>
      <c r="F2117" s="82" t="str">
        <f aca="false">IF(E2117="","",IF(LEFT(E2117,2)="DJ","DJ","JN"))</f>
        <v>JN</v>
      </c>
      <c r="G2117" s="81" t="s">
        <v>1504</v>
      </c>
      <c r="H2117" s="81" t="s">
        <v>871</v>
      </c>
      <c r="I2117" s="81" t="n">
        <v>9.53</v>
      </c>
      <c r="J2117" s="81" t="s">
        <v>872</v>
      </c>
      <c r="K2117" s="81" t="s">
        <v>879</v>
      </c>
      <c r="L2117" s="81" t="n">
        <v>2095210</v>
      </c>
      <c r="M2117" s="81" t="n">
        <v>15421111</v>
      </c>
      <c r="N2117" s="81" t="n">
        <v>11.94</v>
      </c>
      <c r="O2117" s="81" t="n">
        <v>2078430</v>
      </c>
      <c r="P2117" s="81" t="n">
        <v>15421101</v>
      </c>
      <c r="Q2117" s="81" t="n">
        <v>11.94</v>
      </c>
      <c r="R2117" s="81" t="s">
        <v>2568</v>
      </c>
      <c r="S2117" s="81"/>
      <c r="T2117" s="81"/>
      <c r="U2117" s="83" t="n">
        <v>46264</v>
      </c>
      <c r="V2117" s="83" t="n">
        <v>46264</v>
      </c>
      <c r="W2117" s="81" t="s">
        <v>2570</v>
      </c>
      <c r="X2117" s="81" t="s">
        <v>876</v>
      </c>
      <c r="Y2117" s="83" t="n">
        <v>46274</v>
      </c>
      <c r="Z2117" s="81" t="s">
        <v>2557</v>
      </c>
      <c r="AA2117" s="81" t="s">
        <v>876</v>
      </c>
      <c r="AB2117" s="81"/>
      <c r="AC2117" s="81"/>
      <c r="AD2117" s="81"/>
      <c r="AE2117" s="83"/>
      <c r="AF2117" s="81"/>
      <c r="AG2117" s="81"/>
      <c r="AH2117" s="81"/>
      <c r="AI2117" s="81"/>
      <c r="AJ2117" s="83"/>
      <c r="AK2117" s="81"/>
      <c r="AL2117" s="81"/>
      <c r="AM2117" s="83"/>
      <c r="AN2117" s="80"/>
      <c r="AO2117" s="82" t="n">
        <f aca="false">IF(E2117="","",(AA2117&lt;&gt;"")+(AG2117&lt;&gt;"")+(AL2117&lt;&gt;""))</f>
        <v>1</v>
      </c>
      <c r="AP2117" s="82" t="str">
        <f aca="false">IF(AL2117&lt;&gt;"",AL2117,IF(AG2117&lt;&gt;"",AG2117,IF(AA2117&lt;&gt;"",AA2117,"")))</f>
        <v>A</v>
      </c>
      <c r="AQ2117" s="84" t="str">
        <f aca="false">IF(E2117="","",IF(U2117="","À SOUDER",IF(X2117="","VT EN ATTENTE",IF(X2117="R","VT REJETÉ – À REPRENDRE",IF(AP2117="","À RADIOGRAPHIER",IF(AP2117="A","ACCEPTÉ",IF(AP2117="NX","NX – RT À REFAIRE",IF(IF(AO2117=1,AD2117,IF(AO2117=2,AI2117,""))="A","RÉPARÉ – À RADIOGRAPHIER",IF(IF(AO2117=1,AD2117,IF(AO2117=2,AI2117,""))="R","VT REJETÉ – À REPRENDRE",IF(OR(AP2117="CO",AP2117="NT"),"COUPE – À RESOUDER","À RÉPARER"))))))))))</f>
        <v>ACCEPTÉ</v>
      </c>
      <c r="AR2117" s="82" t="str">
        <f aca="false">IF(AND(ISNUMBER(U2117),OR(AQ2117="À RADIOGRAPHIER",AQ2117="RÉPARÉ – À RADIOGRAPHIER",AQ2117="NX – RT À REFAIRE",AQ2117="À RÉPARER",AQ2117="COUPE – À RESOUDER",AQ2117="VT REJETÉ – À REPRENDRE")),MAX(0,'PROGRAMME RT'!$C$4-U2117),"")</f>
        <v/>
      </c>
      <c r="AS2117" s="82" t="n">
        <f aca="false">IF(AND(OR(AQ2117="À RADIOGRAPHIER",AQ2117="RÉPARÉ – À RADIOGRAPHIER",AQ2117="NX – RT À REFAIRE"),OR('PROGRAMME RT'!$D$5="TOUTES",B2117='PROGRAMME RT'!$D$5)),1,0)</f>
        <v>0</v>
      </c>
      <c r="AT2117" s="82" t="str">
        <f aca="false">IF(AS2117=1,SUM(AS$7:AS2117),"")</f>
        <v/>
      </c>
      <c r="AU2117" s="82" t="n">
        <f aca="false">IF(AND(OR(AA2117="R",AA2117="NX",AA2117="NT",AA2117="CO"),OR('JOINTS DE RÉPARATION'!$D$5="TOUTES",B2117='JOINTS DE RÉPARATION'!$D$5),OR('JOINTS DE RÉPARATION'!$L$4="TOUS",AQ2117&lt;&gt;"ACCEPTÉ")),1,0)</f>
        <v>0</v>
      </c>
      <c r="AV2117" s="82" t="str">
        <f aca="false">IF(AU2117=1,SUM(AU$7:AU2117),"")</f>
        <v/>
      </c>
      <c r="AW2117" s="82" t="str">
        <f aca="false">IF(E2117="","",B2117&amp;"|"&amp;E2117)</f>
        <v>MFD-ISW → MFD-CPF|JN°1633</v>
      </c>
    </row>
    <row r="2118" customFormat="false" ht="74.6" hidden="false" customHeight="false" outlineLevel="0" collapsed="false">
      <c r="A2118" s="79" t="n">
        <f aca="false">IF(E2118="","",ROW()-6)</f>
        <v>2112</v>
      </c>
      <c r="B2118" s="80" t="s">
        <v>110</v>
      </c>
      <c r="C2118" s="81" t="s">
        <v>2510</v>
      </c>
      <c r="D2118" s="81" t="n">
        <v>20</v>
      </c>
      <c r="E2118" s="81" t="s">
        <v>2573</v>
      </c>
      <c r="F2118" s="82" t="str">
        <f aca="false">IF(E2118="","",IF(LEFT(E2118,2)="DJ","DJ","JN"))</f>
        <v>JN</v>
      </c>
      <c r="G2118" s="81" t="s">
        <v>1504</v>
      </c>
      <c r="H2118" s="81" t="s">
        <v>871</v>
      </c>
      <c r="I2118" s="81" t="n">
        <v>9.53</v>
      </c>
      <c r="J2118" s="81" t="s">
        <v>872</v>
      </c>
      <c r="K2118" s="81" t="s">
        <v>879</v>
      </c>
      <c r="L2118" s="81" t="n">
        <v>2078430</v>
      </c>
      <c r="M2118" s="81" t="n">
        <v>15421101</v>
      </c>
      <c r="N2118" s="81" t="n">
        <v>11.94</v>
      </c>
      <c r="O2118" s="81" t="n">
        <v>2083680</v>
      </c>
      <c r="P2118" s="81" t="n">
        <v>15421105</v>
      </c>
      <c r="Q2118" s="81" t="n">
        <v>11.94</v>
      </c>
      <c r="R2118" s="81" t="s">
        <v>2568</v>
      </c>
      <c r="S2118" s="81"/>
      <c r="T2118" s="81"/>
      <c r="U2118" s="83" t="n">
        <v>46264</v>
      </c>
      <c r="V2118" s="83" t="n">
        <v>46264</v>
      </c>
      <c r="W2118" s="81" t="s">
        <v>2570</v>
      </c>
      <c r="X2118" s="81" t="s">
        <v>876</v>
      </c>
      <c r="Y2118" s="83" t="n">
        <v>46274</v>
      </c>
      <c r="Z2118" s="81" t="s">
        <v>2557</v>
      </c>
      <c r="AA2118" s="81" t="s">
        <v>876</v>
      </c>
      <c r="AB2118" s="81"/>
      <c r="AC2118" s="81"/>
      <c r="AD2118" s="81"/>
      <c r="AE2118" s="83"/>
      <c r="AF2118" s="81"/>
      <c r="AG2118" s="81"/>
      <c r="AH2118" s="81"/>
      <c r="AI2118" s="81"/>
      <c r="AJ2118" s="83"/>
      <c r="AK2118" s="81"/>
      <c r="AL2118" s="81"/>
      <c r="AM2118" s="83"/>
      <c r="AN2118" s="80"/>
      <c r="AO2118" s="82" t="n">
        <f aca="false">IF(E2118="","",(AA2118&lt;&gt;"")+(AG2118&lt;&gt;"")+(AL2118&lt;&gt;""))</f>
        <v>1</v>
      </c>
      <c r="AP2118" s="82" t="str">
        <f aca="false">IF(AL2118&lt;&gt;"",AL2118,IF(AG2118&lt;&gt;"",AG2118,IF(AA2118&lt;&gt;"",AA2118,"")))</f>
        <v>A</v>
      </c>
      <c r="AQ2118" s="84" t="str">
        <f aca="false">IF(E2118="","",IF(U2118="","À SOUDER",IF(X2118="","VT EN ATTENTE",IF(X2118="R","VT REJETÉ – À REPRENDRE",IF(AP2118="","À RADIOGRAPHIER",IF(AP2118="A","ACCEPTÉ",IF(AP2118="NX","NX – RT À REFAIRE",IF(IF(AO2118=1,AD2118,IF(AO2118=2,AI2118,""))="A","RÉPARÉ – À RADIOGRAPHIER",IF(IF(AO2118=1,AD2118,IF(AO2118=2,AI2118,""))="R","VT REJETÉ – À REPRENDRE",IF(OR(AP2118="CO",AP2118="NT"),"COUPE – À RESOUDER","À RÉPARER"))))))))))</f>
        <v>ACCEPTÉ</v>
      </c>
      <c r="AR2118" s="82" t="str">
        <f aca="false">IF(AND(ISNUMBER(U2118),OR(AQ2118="À RADIOGRAPHIER",AQ2118="RÉPARÉ – À RADIOGRAPHIER",AQ2118="NX – RT À REFAIRE",AQ2118="À RÉPARER",AQ2118="COUPE – À RESOUDER",AQ2118="VT REJETÉ – À REPRENDRE")),MAX(0,'PROGRAMME RT'!$C$4-U2118),"")</f>
        <v/>
      </c>
      <c r="AS2118" s="82" t="n">
        <f aca="false">IF(AND(OR(AQ2118="À RADIOGRAPHIER",AQ2118="RÉPARÉ – À RADIOGRAPHIER",AQ2118="NX – RT À REFAIRE"),OR('PROGRAMME RT'!$D$5="TOUTES",B2118='PROGRAMME RT'!$D$5)),1,0)</f>
        <v>0</v>
      </c>
      <c r="AT2118" s="82" t="str">
        <f aca="false">IF(AS2118=1,SUM(AS$7:AS2118),"")</f>
        <v/>
      </c>
      <c r="AU2118" s="82" t="n">
        <f aca="false">IF(AND(OR(AA2118="R",AA2118="NX",AA2118="NT",AA2118="CO"),OR('JOINTS DE RÉPARATION'!$D$5="TOUTES",B2118='JOINTS DE RÉPARATION'!$D$5),OR('JOINTS DE RÉPARATION'!$L$4="TOUS",AQ2118&lt;&gt;"ACCEPTÉ")),1,0)</f>
        <v>0</v>
      </c>
      <c r="AV2118" s="82" t="str">
        <f aca="false">IF(AU2118=1,SUM(AU$7:AU2118),"")</f>
        <v/>
      </c>
      <c r="AW2118" s="82" t="str">
        <f aca="false">IF(E2118="","",B2118&amp;"|"&amp;E2118)</f>
        <v>MFD-ISW → MFD-CPF|JN°1634</v>
      </c>
    </row>
    <row r="2119" customFormat="false" ht="74.6" hidden="false" customHeight="false" outlineLevel="0" collapsed="false">
      <c r="A2119" s="79" t="n">
        <f aca="false">IF(E2119="","",ROW()-6)</f>
        <v>2113</v>
      </c>
      <c r="B2119" s="80" t="s">
        <v>110</v>
      </c>
      <c r="C2119" s="81" t="s">
        <v>2510</v>
      </c>
      <c r="D2119" s="81" t="n">
        <v>20</v>
      </c>
      <c r="E2119" s="81" t="s">
        <v>2574</v>
      </c>
      <c r="F2119" s="82" t="str">
        <f aca="false">IF(E2119="","",IF(LEFT(E2119,2)="DJ","DJ","JN"))</f>
        <v>JN</v>
      </c>
      <c r="G2119" s="81" t="s">
        <v>1504</v>
      </c>
      <c r="H2119" s="81" t="s">
        <v>871</v>
      </c>
      <c r="I2119" s="81" t="n">
        <v>9.53</v>
      </c>
      <c r="J2119" s="81" t="s">
        <v>872</v>
      </c>
      <c r="K2119" s="81" t="s">
        <v>879</v>
      </c>
      <c r="L2119" s="81" t="n">
        <v>2083680</v>
      </c>
      <c r="M2119" s="81" t="n">
        <v>15421105</v>
      </c>
      <c r="N2119" s="81" t="n">
        <v>11.94</v>
      </c>
      <c r="O2119" s="81" t="n">
        <v>2095310</v>
      </c>
      <c r="P2119" s="81" t="n">
        <v>15421111</v>
      </c>
      <c r="Q2119" s="81" t="n">
        <v>11.94</v>
      </c>
      <c r="R2119" s="81" t="s">
        <v>2568</v>
      </c>
      <c r="S2119" s="81"/>
      <c r="T2119" s="81"/>
      <c r="U2119" s="83" t="n">
        <v>46264</v>
      </c>
      <c r="V2119" s="83" t="n">
        <v>46264</v>
      </c>
      <c r="W2119" s="81" t="s">
        <v>2570</v>
      </c>
      <c r="X2119" s="81" t="s">
        <v>876</v>
      </c>
      <c r="Y2119" s="83" t="n">
        <v>46274</v>
      </c>
      <c r="Z2119" s="81" t="s">
        <v>2557</v>
      </c>
      <c r="AA2119" s="81" t="s">
        <v>876</v>
      </c>
      <c r="AB2119" s="81"/>
      <c r="AC2119" s="81"/>
      <c r="AD2119" s="81"/>
      <c r="AE2119" s="83"/>
      <c r="AF2119" s="81"/>
      <c r="AG2119" s="81"/>
      <c r="AH2119" s="81"/>
      <c r="AI2119" s="81"/>
      <c r="AJ2119" s="83"/>
      <c r="AK2119" s="81"/>
      <c r="AL2119" s="81"/>
      <c r="AM2119" s="83"/>
      <c r="AN2119" s="80"/>
      <c r="AO2119" s="82" t="n">
        <f aca="false">IF(E2119="","",(AA2119&lt;&gt;"")+(AG2119&lt;&gt;"")+(AL2119&lt;&gt;""))</f>
        <v>1</v>
      </c>
      <c r="AP2119" s="82" t="str">
        <f aca="false">IF(AL2119&lt;&gt;"",AL2119,IF(AG2119&lt;&gt;"",AG2119,IF(AA2119&lt;&gt;"",AA2119,"")))</f>
        <v>A</v>
      </c>
      <c r="AQ2119" s="84" t="str">
        <f aca="false">IF(E2119="","",IF(U2119="","À SOUDER",IF(X2119="","VT EN ATTENTE",IF(X2119="R","VT REJETÉ – À REPRENDRE",IF(AP2119="","À RADIOGRAPHIER",IF(AP2119="A","ACCEPTÉ",IF(AP2119="NX","NX – RT À REFAIRE",IF(IF(AO2119=1,AD2119,IF(AO2119=2,AI2119,""))="A","RÉPARÉ – À RADIOGRAPHIER",IF(IF(AO2119=1,AD2119,IF(AO2119=2,AI2119,""))="R","VT REJETÉ – À REPRENDRE",IF(OR(AP2119="CO",AP2119="NT"),"COUPE – À RESOUDER","À RÉPARER"))))))))))</f>
        <v>ACCEPTÉ</v>
      </c>
      <c r="AR2119" s="82" t="str">
        <f aca="false">IF(AND(ISNUMBER(U2119),OR(AQ2119="À RADIOGRAPHIER",AQ2119="RÉPARÉ – À RADIOGRAPHIER",AQ2119="NX – RT À REFAIRE",AQ2119="À RÉPARER",AQ2119="COUPE – À RESOUDER",AQ2119="VT REJETÉ – À REPRENDRE")),MAX(0,'PROGRAMME RT'!$C$4-U2119),"")</f>
        <v/>
      </c>
      <c r="AS2119" s="82" t="n">
        <f aca="false">IF(AND(OR(AQ2119="À RADIOGRAPHIER",AQ2119="RÉPARÉ – À RADIOGRAPHIER",AQ2119="NX – RT À REFAIRE"),OR('PROGRAMME RT'!$D$5="TOUTES",B2119='PROGRAMME RT'!$D$5)),1,0)</f>
        <v>0</v>
      </c>
      <c r="AT2119" s="82" t="str">
        <f aca="false">IF(AS2119=1,SUM(AS$7:AS2119),"")</f>
        <v/>
      </c>
      <c r="AU2119" s="82" t="n">
        <f aca="false">IF(AND(OR(AA2119="R",AA2119="NX",AA2119="NT",AA2119="CO"),OR('JOINTS DE RÉPARATION'!$D$5="TOUTES",B2119='JOINTS DE RÉPARATION'!$D$5),OR('JOINTS DE RÉPARATION'!$L$4="TOUS",AQ2119&lt;&gt;"ACCEPTÉ")),1,0)</f>
        <v>0</v>
      </c>
      <c r="AV2119" s="82" t="str">
        <f aca="false">IF(AU2119=1,SUM(AU$7:AU2119),"")</f>
        <v/>
      </c>
      <c r="AW2119" s="82" t="str">
        <f aca="false">IF(E2119="","",B2119&amp;"|"&amp;E2119)</f>
        <v>MFD-ISW → MFD-CPF|JN°1635</v>
      </c>
    </row>
    <row r="2120" customFormat="false" ht="74.6" hidden="false" customHeight="false" outlineLevel="0" collapsed="false">
      <c r="A2120" s="79" t="n">
        <f aca="false">IF(E2120="","",ROW()-6)</f>
        <v>2114</v>
      </c>
      <c r="B2120" s="80" t="s">
        <v>110</v>
      </c>
      <c r="C2120" s="81" t="s">
        <v>2510</v>
      </c>
      <c r="D2120" s="81" t="n">
        <v>20</v>
      </c>
      <c r="E2120" s="81" t="s">
        <v>2575</v>
      </c>
      <c r="F2120" s="82" t="str">
        <f aca="false">IF(E2120="","",IF(LEFT(E2120,2)="DJ","DJ","JN"))</f>
        <v>JN</v>
      </c>
      <c r="G2120" s="81" t="s">
        <v>1504</v>
      </c>
      <c r="H2120" s="81" t="s">
        <v>871</v>
      </c>
      <c r="I2120" s="81" t="n">
        <v>9.53</v>
      </c>
      <c r="J2120" s="81" t="s">
        <v>872</v>
      </c>
      <c r="K2120" s="81" t="s">
        <v>1861</v>
      </c>
      <c r="L2120" s="81" t="n">
        <v>2095310</v>
      </c>
      <c r="M2120" s="81" t="n">
        <v>15421111</v>
      </c>
      <c r="N2120" s="81" t="n">
        <v>11.94</v>
      </c>
      <c r="O2120" s="81" t="n">
        <v>2091820</v>
      </c>
      <c r="P2120" s="81" t="n">
        <v>15421109</v>
      </c>
      <c r="Q2120" s="81" t="n">
        <v>11.94</v>
      </c>
      <c r="R2120" s="81" t="s">
        <v>1862</v>
      </c>
      <c r="S2120" s="81"/>
      <c r="T2120" s="81"/>
      <c r="U2120" s="83" t="n">
        <v>46285</v>
      </c>
      <c r="V2120" s="83" t="n">
        <v>46287</v>
      </c>
      <c r="W2120" s="81" t="s">
        <v>2346</v>
      </c>
      <c r="X2120" s="81" t="s">
        <v>876</v>
      </c>
      <c r="Y2120" s="83" t="n">
        <v>46289</v>
      </c>
      <c r="Z2120" s="81" t="s">
        <v>2537</v>
      </c>
      <c r="AA2120" s="81" t="s">
        <v>876</v>
      </c>
      <c r="AB2120" s="81"/>
      <c r="AC2120" s="81"/>
      <c r="AD2120" s="81"/>
      <c r="AE2120" s="83"/>
      <c r="AF2120" s="81"/>
      <c r="AG2120" s="81"/>
      <c r="AH2120" s="81"/>
      <c r="AI2120" s="81"/>
      <c r="AJ2120" s="83"/>
      <c r="AK2120" s="81"/>
      <c r="AL2120" s="81"/>
      <c r="AM2120" s="83"/>
      <c r="AN2120" s="80"/>
      <c r="AO2120" s="82" t="n">
        <f aca="false">IF(E2120="","",(AA2120&lt;&gt;"")+(AG2120&lt;&gt;"")+(AL2120&lt;&gt;""))</f>
        <v>1</v>
      </c>
      <c r="AP2120" s="82" t="str">
        <f aca="false">IF(AL2120&lt;&gt;"",AL2120,IF(AG2120&lt;&gt;"",AG2120,IF(AA2120&lt;&gt;"",AA2120,"")))</f>
        <v>A</v>
      </c>
      <c r="AQ2120" s="84" t="str">
        <f aca="false">IF(E2120="","",IF(U2120="","À SOUDER",IF(X2120="","VT EN ATTENTE",IF(X2120="R","VT REJETÉ – À REPRENDRE",IF(AP2120="","À RADIOGRAPHIER",IF(AP2120="A","ACCEPTÉ",IF(AP2120="NX","NX – RT À REFAIRE",IF(IF(AO2120=1,AD2120,IF(AO2120=2,AI2120,""))="A","RÉPARÉ – À RADIOGRAPHIER",IF(IF(AO2120=1,AD2120,IF(AO2120=2,AI2120,""))="R","VT REJETÉ – À REPRENDRE",IF(OR(AP2120="CO",AP2120="NT"),"COUPE – À RESOUDER","À RÉPARER"))))))))))</f>
        <v>ACCEPTÉ</v>
      </c>
      <c r="AR2120" s="82" t="str">
        <f aca="false">IF(AND(ISNUMBER(U2120),OR(AQ2120="À RADIOGRAPHIER",AQ2120="RÉPARÉ – À RADIOGRAPHIER",AQ2120="NX – RT À REFAIRE",AQ2120="À RÉPARER",AQ2120="COUPE – À RESOUDER",AQ2120="VT REJETÉ – À REPRENDRE")),MAX(0,'PROGRAMME RT'!$C$4-U2120),"")</f>
        <v/>
      </c>
      <c r="AS2120" s="82" t="n">
        <f aca="false">IF(AND(OR(AQ2120="À RADIOGRAPHIER",AQ2120="RÉPARÉ – À RADIOGRAPHIER",AQ2120="NX – RT À REFAIRE"),OR('PROGRAMME RT'!$D$5="TOUTES",B2120='PROGRAMME RT'!$D$5)),1,0)</f>
        <v>0</v>
      </c>
      <c r="AT2120" s="82" t="str">
        <f aca="false">IF(AS2120=1,SUM(AS$7:AS2120),"")</f>
        <v/>
      </c>
      <c r="AU2120" s="82" t="n">
        <f aca="false">IF(AND(OR(AA2120="R",AA2120="NX",AA2120="NT",AA2120="CO"),OR('JOINTS DE RÉPARATION'!$D$5="TOUTES",B2120='JOINTS DE RÉPARATION'!$D$5),OR('JOINTS DE RÉPARATION'!$L$4="TOUS",AQ2120&lt;&gt;"ACCEPTÉ")),1,0)</f>
        <v>0</v>
      </c>
      <c r="AV2120" s="82" t="str">
        <f aca="false">IF(AU2120=1,SUM(AU$7:AU2120),"")</f>
        <v/>
      </c>
      <c r="AW2120" s="82" t="str">
        <f aca="false">IF(E2120="","",B2120&amp;"|"&amp;E2120)</f>
        <v>MFD-ISW → MFD-CPF|JN°1636R</v>
      </c>
    </row>
    <row r="2121" customFormat="false" ht="74.6" hidden="false" customHeight="false" outlineLevel="0" collapsed="false">
      <c r="A2121" s="79" t="n">
        <f aca="false">IF(E2121="","",ROW()-6)</f>
        <v>2115</v>
      </c>
      <c r="B2121" s="80" t="s">
        <v>110</v>
      </c>
      <c r="C2121" s="81" t="s">
        <v>2510</v>
      </c>
      <c r="D2121" s="81" t="n">
        <v>20</v>
      </c>
      <c r="E2121" s="81" t="s">
        <v>2576</v>
      </c>
      <c r="F2121" s="82" t="str">
        <f aca="false">IF(E2121="","",IF(LEFT(E2121,2)="DJ","DJ","JN"))</f>
        <v>JN</v>
      </c>
      <c r="G2121" s="81" t="s">
        <v>1504</v>
      </c>
      <c r="H2121" s="81" t="s">
        <v>871</v>
      </c>
      <c r="I2121" s="81" t="n">
        <v>9.53</v>
      </c>
      <c r="J2121" s="81" t="s">
        <v>872</v>
      </c>
      <c r="K2121" s="81" t="s">
        <v>1861</v>
      </c>
      <c r="L2121" s="81" t="n">
        <v>2091820</v>
      </c>
      <c r="M2121" s="81" t="n">
        <v>15421109</v>
      </c>
      <c r="N2121" s="81" t="n">
        <v>11.94</v>
      </c>
      <c r="O2121" s="81" t="n">
        <v>2082280</v>
      </c>
      <c r="P2121" s="81" t="n">
        <v>15421104</v>
      </c>
      <c r="Q2121" s="81" t="n">
        <v>11.94</v>
      </c>
      <c r="R2121" s="81" t="s">
        <v>1862</v>
      </c>
      <c r="S2121" s="81"/>
      <c r="T2121" s="81"/>
      <c r="U2121" s="83" t="n">
        <v>46285</v>
      </c>
      <c r="V2121" s="83" t="n">
        <v>46287</v>
      </c>
      <c r="W2121" s="81" t="s">
        <v>2346</v>
      </c>
      <c r="X2121" s="81" t="s">
        <v>876</v>
      </c>
      <c r="Y2121" s="83" t="n">
        <v>46289</v>
      </c>
      <c r="Z2121" s="81" t="s">
        <v>2537</v>
      </c>
      <c r="AA2121" s="81" t="s">
        <v>876</v>
      </c>
      <c r="AB2121" s="81"/>
      <c r="AC2121" s="81"/>
      <c r="AD2121" s="81"/>
      <c r="AE2121" s="83"/>
      <c r="AF2121" s="81"/>
      <c r="AG2121" s="81"/>
      <c r="AH2121" s="81"/>
      <c r="AI2121" s="81"/>
      <c r="AJ2121" s="83"/>
      <c r="AK2121" s="81"/>
      <c r="AL2121" s="81"/>
      <c r="AM2121" s="83"/>
      <c r="AN2121" s="80"/>
      <c r="AO2121" s="82" t="n">
        <f aca="false">IF(E2121="","",(AA2121&lt;&gt;"")+(AG2121&lt;&gt;"")+(AL2121&lt;&gt;""))</f>
        <v>1</v>
      </c>
      <c r="AP2121" s="82" t="str">
        <f aca="false">IF(AL2121&lt;&gt;"",AL2121,IF(AG2121&lt;&gt;"",AG2121,IF(AA2121&lt;&gt;"",AA2121,"")))</f>
        <v>A</v>
      </c>
      <c r="AQ2121" s="84" t="str">
        <f aca="false">IF(E2121="","",IF(U2121="","À SOUDER",IF(X2121="","VT EN ATTENTE",IF(X2121="R","VT REJETÉ – À REPRENDRE",IF(AP2121="","À RADIOGRAPHIER",IF(AP2121="A","ACCEPTÉ",IF(AP2121="NX","NX – RT À REFAIRE",IF(IF(AO2121=1,AD2121,IF(AO2121=2,AI2121,""))="A","RÉPARÉ – À RADIOGRAPHIER",IF(IF(AO2121=1,AD2121,IF(AO2121=2,AI2121,""))="R","VT REJETÉ – À REPRENDRE",IF(OR(AP2121="CO",AP2121="NT"),"COUPE – À RESOUDER","À RÉPARER"))))))))))</f>
        <v>ACCEPTÉ</v>
      </c>
      <c r="AR2121" s="82" t="str">
        <f aca="false">IF(AND(ISNUMBER(U2121),OR(AQ2121="À RADIOGRAPHIER",AQ2121="RÉPARÉ – À RADIOGRAPHIER",AQ2121="NX – RT À REFAIRE",AQ2121="À RÉPARER",AQ2121="COUPE – À RESOUDER",AQ2121="VT REJETÉ – À REPRENDRE")),MAX(0,'PROGRAMME RT'!$C$4-U2121),"")</f>
        <v/>
      </c>
      <c r="AS2121" s="82" t="n">
        <f aca="false">IF(AND(OR(AQ2121="À RADIOGRAPHIER",AQ2121="RÉPARÉ – À RADIOGRAPHIER",AQ2121="NX – RT À REFAIRE"),OR('PROGRAMME RT'!$D$5="TOUTES",B2121='PROGRAMME RT'!$D$5)),1,0)</f>
        <v>0</v>
      </c>
      <c r="AT2121" s="82" t="str">
        <f aca="false">IF(AS2121=1,SUM(AS$7:AS2121),"")</f>
        <v/>
      </c>
      <c r="AU2121" s="82" t="n">
        <f aca="false">IF(AND(OR(AA2121="R",AA2121="NX",AA2121="NT",AA2121="CO"),OR('JOINTS DE RÉPARATION'!$D$5="TOUTES",B2121='JOINTS DE RÉPARATION'!$D$5),OR('JOINTS DE RÉPARATION'!$L$4="TOUS",AQ2121&lt;&gt;"ACCEPTÉ")),1,0)</f>
        <v>0</v>
      </c>
      <c r="AV2121" s="82" t="str">
        <f aca="false">IF(AU2121=1,SUM(AU$7:AU2121),"")</f>
        <v/>
      </c>
      <c r="AW2121" s="82" t="str">
        <f aca="false">IF(E2121="","",B2121&amp;"|"&amp;E2121)</f>
        <v>MFD-ISW → MFD-CPF|JN°1637R</v>
      </c>
    </row>
    <row r="2122" customFormat="false" ht="74.6" hidden="false" customHeight="false" outlineLevel="0" collapsed="false">
      <c r="A2122" s="79" t="n">
        <f aca="false">IF(E2122="","",ROW()-6)</f>
        <v>2116</v>
      </c>
      <c r="B2122" s="80" t="s">
        <v>110</v>
      </c>
      <c r="C2122" s="81" t="s">
        <v>2510</v>
      </c>
      <c r="D2122" s="81" t="n">
        <v>20</v>
      </c>
      <c r="E2122" s="81" t="s">
        <v>2577</v>
      </c>
      <c r="F2122" s="82" t="str">
        <f aca="false">IF(E2122="","",IF(LEFT(E2122,2)="DJ","DJ","JN"))</f>
        <v>JN</v>
      </c>
      <c r="G2122" s="81" t="s">
        <v>1504</v>
      </c>
      <c r="H2122" s="81" t="s">
        <v>871</v>
      </c>
      <c r="I2122" s="81" t="n">
        <v>9.53</v>
      </c>
      <c r="J2122" s="81" t="s">
        <v>872</v>
      </c>
      <c r="K2122" s="81" t="s">
        <v>879</v>
      </c>
      <c r="L2122" s="81" t="n">
        <v>2082280</v>
      </c>
      <c r="M2122" s="81" t="n">
        <v>15421104</v>
      </c>
      <c r="N2122" s="81" t="n">
        <v>11.94</v>
      </c>
      <c r="O2122" s="81" t="n">
        <v>2078970</v>
      </c>
      <c r="P2122" s="81" t="n">
        <v>15421102</v>
      </c>
      <c r="Q2122" s="81" t="n">
        <v>11.94</v>
      </c>
      <c r="R2122" s="81" t="s">
        <v>2568</v>
      </c>
      <c r="S2122" s="81"/>
      <c r="T2122" s="81"/>
      <c r="U2122" s="83" t="n">
        <v>46264</v>
      </c>
      <c r="V2122" s="83" t="n">
        <v>46264</v>
      </c>
      <c r="W2122" s="81" t="s">
        <v>2570</v>
      </c>
      <c r="X2122" s="81" t="s">
        <v>876</v>
      </c>
      <c r="Y2122" s="83" t="n">
        <v>46274</v>
      </c>
      <c r="Z2122" s="81" t="s">
        <v>2578</v>
      </c>
      <c r="AA2122" s="81" t="s">
        <v>876</v>
      </c>
      <c r="AB2122" s="81"/>
      <c r="AC2122" s="81"/>
      <c r="AD2122" s="81"/>
      <c r="AE2122" s="83"/>
      <c r="AF2122" s="81"/>
      <c r="AG2122" s="81"/>
      <c r="AH2122" s="81"/>
      <c r="AI2122" s="81"/>
      <c r="AJ2122" s="83"/>
      <c r="AK2122" s="81"/>
      <c r="AL2122" s="81"/>
      <c r="AM2122" s="83"/>
      <c r="AN2122" s="80"/>
      <c r="AO2122" s="82" t="n">
        <f aca="false">IF(E2122="","",(AA2122&lt;&gt;"")+(AG2122&lt;&gt;"")+(AL2122&lt;&gt;""))</f>
        <v>1</v>
      </c>
      <c r="AP2122" s="82" t="str">
        <f aca="false">IF(AL2122&lt;&gt;"",AL2122,IF(AG2122&lt;&gt;"",AG2122,IF(AA2122&lt;&gt;"",AA2122,"")))</f>
        <v>A</v>
      </c>
      <c r="AQ2122" s="84" t="str">
        <f aca="false">IF(E2122="","",IF(U2122="","À SOUDER",IF(X2122="","VT EN ATTENTE",IF(X2122="R","VT REJETÉ – À REPRENDRE",IF(AP2122="","À RADIOGRAPHIER",IF(AP2122="A","ACCEPTÉ",IF(AP2122="NX","NX – RT À REFAIRE",IF(IF(AO2122=1,AD2122,IF(AO2122=2,AI2122,""))="A","RÉPARÉ – À RADIOGRAPHIER",IF(IF(AO2122=1,AD2122,IF(AO2122=2,AI2122,""))="R","VT REJETÉ – À REPRENDRE",IF(OR(AP2122="CO",AP2122="NT"),"COUPE – À RESOUDER","À RÉPARER"))))))))))</f>
        <v>ACCEPTÉ</v>
      </c>
      <c r="AR2122" s="82" t="str">
        <f aca="false">IF(AND(ISNUMBER(U2122),OR(AQ2122="À RADIOGRAPHIER",AQ2122="RÉPARÉ – À RADIOGRAPHIER",AQ2122="NX – RT À REFAIRE",AQ2122="À RÉPARER",AQ2122="COUPE – À RESOUDER",AQ2122="VT REJETÉ – À REPRENDRE")),MAX(0,'PROGRAMME RT'!$C$4-U2122),"")</f>
        <v/>
      </c>
      <c r="AS2122" s="82" t="n">
        <f aca="false">IF(AND(OR(AQ2122="À RADIOGRAPHIER",AQ2122="RÉPARÉ – À RADIOGRAPHIER",AQ2122="NX – RT À REFAIRE"),OR('PROGRAMME RT'!$D$5="TOUTES",B2122='PROGRAMME RT'!$D$5)),1,0)</f>
        <v>0</v>
      </c>
      <c r="AT2122" s="82" t="str">
        <f aca="false">IF(AS2122=1,SUM(AS$7:AS2122),"")</f>
        <v/>
      </c>
      <c r="AU2122" s="82" t="n">
        <f aca="false">IF(AND(OR(AA2122="R",AA2122="NX",AA2122="NT",AA2122="CO"),OR('JOINTS DE RÉPARATION'!$D$5="TOUTES",B2122='JOINTS DE RÉPARATION'!$D$5),OR('JOINTS DE RÉPARATION'!$L$4="TOUS",AQ2122&lt;&gt;"ACCEPTÉ")),1,0)</f>
        <v>0</v>
      </c>
      <c r="AV2122" s="82" t="str">
        <f aca="false">IF(AU2122=1,SUM(AU$7:AU2122),"")</f>
        <v/>
      </c>
      <c r="AW2122" s="82" t="str">
        <f aca="false">IF(E2122="","",B2122&amp;"|"&amp;E2122)</f>
        <v>MFD-ISW → MFD-CPF|JN°1638</v>
      </c>
    </row>
    <row r="2123" customFormat="false" ht="74.6" hidden="false" customHeight="false" outlineLevel="0" collapsed="false">
      <c r="A2123" s="79" t="n">
        <f aca="false">IF(E2123="","",ROW()-6)</f>
        <v>2117</v>
      </c>
      <c r="B2123" s="80" t="s">
        <v>110</v>
      </c>
      <c r="C2123" s="81" t="s">
        <v>2510</v>
      </c>
      <c r="D2123" s="81" t="n">
        <v>20</v>
      </c>
      <c r="E2123" s="81" t="s">
        <v>2579</v>
      </c>
      <c r="F2123" s="82" t="str">
        <f aca="false">IF(E2123="","",IF(LEFT(E2123,2)="DJ","DJ","JN"))</f>
        <v>JN</v>
      </c>
      <c r="G2123" s="81" t="s">
        <v>1504</v>
      </c>
      <c r="H2123" s="81" t="s">
        <v>871</v>
      </c>
      <c r="I2123" s="81" t="n">
        <v>9.53</v>
      </c>
      <c r="J2123" s="81" t="s">
        <v>872</v>
      </c>
      <c r="K2123" s="81" t="s">
        <v>879</v>
      </c>
      <c r="L2123" s="81" t="n">
        <v>2078970</v>
      </c>
      <c r="M2123" s="81" t="n">
        <v>15421102</v>
      </c>
      <c r="N2123" s="81" t="n">
        <v>11.94</v>
      </c>
      <c r="O2123" s="81" t="n">
        <v>2092420</v>
      </c>
      <c r="P2123" s="81" t="n">
        <v>15421110</v>
      </c>
      <c r="Q2123" s="81" t="n">
        <v>11.94</v>
      </c>
      <c r="R2123" s="81" t="s">
        <v>2568</v>
      </c>
      <c r="S2123" s="81"/>
      <c r="T2123" s="81"/>
      <c r="U2123" s="83" t="n">
        <v>46264</v>
      </c>
      <c r="V2123" s="83" t="n">
        <v>46264</v>
      </c>
      <c r="W2123" s="81" t="s">
        <v>2570</v>
      </c>
      <c r="X2123" s="81" t="s">
        <v>876</v>
      </c>
      <c r="Y2123" s="83" t="n">
        <v>46274</v>
      </c>
      <c r="Z2123" s="81" t="s">
        <v>2578</v>
      </c>
      <c r="AA2123" s="81" t="s">
        <v>876</v>
      </c>
      <c r="AB2123" s="81"/>
      <c r="AC2123" s="81"/>
      <c r="AD2123" s="81"/>
      <c r="AE2123" s="83"/>
      <c r="AF2123" s="81"/>
      <c r="AG2123" s="81"/>
      <c r="AH2123" s="81"/>
      <c r="AI2123" s="81"/>
      <c r="AJ2123" s="83"/>
      <c r="AK2123" s="81"/>
      <c r="AL2123" s="81"/>
      <c r="AM2123" s="83"/>
      <c r="AN2123" s="80"/>
      <c r="AO2123" s="82" t="n">
        <f aca="false">IF(E2123="","",(AA2123&lt;&gt;"")+(AG2123&lt;&gt;"")+(AL2123&lt;&gt;""))</f>
        <v>1</v>
      </c>
      <c r="AP2123" s="82" t="str">
        <f aca="false">IF(AL2123&lt;&gt;"",AL2123,IF(AG2123&lt;&gt;"",AG2123,IF(AA2123&lt;&gt;"",AA2123,"")))</f>
        <v>A</v>
      </c>
      <c r="AQ2123" s="84" t="str">
        <f aca="false">IF(E2123="","",IF(U2123="","À SOUDER",IF(X2123="","VT EN ATTENTE",IF(X2123="R","VT REJETÉ – À REPRENDRE",IF(AP2123="","À RADIOGRAPHIER",IF(AP2123="A","ACCEPTÉ",IF(AP2123="NX","NX – RT À REFAIRE",IF(IF(AO2123=1,AD2123,IF(AO2123=2,AI2123,""))="A","RÉPARÉ – À RADIOGRAPHIER",IF(IF(AO2123=1,AD2123,IF(AO2123=2,AI2123,""))="R","VT REJETÉ – À REPRENDRE",IF(OR(AP2123="CO",AP2123="NT"),"COUPE – À RESOUDER","À RÉPARER"))))))))))</f>
        <v>ACCEPTÉ</v>
      </c>
      <c r="AR2123" s="82" t="str">
        <f aca="false">IF(AND(ISNUMBER(U2123),OR(AQ2123="À RADIOGRAPHIER",AQ2123="RÉPARÉ – À RADIOGRAPHIER",AQ2123="NX – RT À REFAIRE",AQ2123="À RÉPARER",AQ2123="COUPE – À RESOUDER",AQ2123="VT REJETÉ – À REPRENDRE")),MAX(0,'PROGRAMME RT'!$C$4-U2123),"")</f>
        <v/>
      </c>
      <c r="AS2123" s="82" t="n">
        <f aca="false">IF(AND(OR(AQ2123="À RADIOGRAPHIER",AQ2123="RÉPARÉ – À RADIOGRAPHIER",AQ2123="NX – RT À REFAIRE"),OR('PROGRAMME RT'!$D$5="TOUTES",B2123='PROGRAMME RT'!$D$5)),1,0)</f>
        <v>0</v>
      </c>
      <c r="AT2123" s="82" t="str">
        <f aca="false">IF(AS2123=1,SUM(AS$7:AS2123),"")</f>
        <v/>
      </c>
      <c r="AU2123" s="82" t="n">
        <f aca="false">IF(AND(OR(AA2123="R",AA2123="NX",AA2123="NT",AA2123="CO"),OR('JOINTS DE RÉPARATION'!$D$5="TOUTES",B2123='JOINTS DE RÉPARATION'!$D$5),OR('JOINTS DE RÉPARATION'!$L$4="TOUS",AQ2123&lt;&gt;"ACCEPTÉ")),1,0)</f>
        <v>0</v>
      </c>
      <c r="AV2123" s="82" t="str">
        <f aca="false">IF(AU2123=1,SUM(AU$7:AU2123),"")</f>
        <v/>
      </c>
      <c r="AW2123" s="82" t="str">
        <f aca="false">IF(E2123="","",B2123&amp;"|"&amp;E2123)</f>
        <v>MFD-ISW → MFD-CPF|JN°1639</v>
      </c>
    </row>
    <row r="2124" customFormat="false" ht="74.6" hidden="false" customHeight="false" outlineLevel="0" collapsed="false">
      <c r="A2124" s="79" t="n">
        <f aca="false">IF(E2124="","",ROW()-6)</f>
        <v>2118</v>
      </c>
      <c r="B2124" s="80" t="s">
        <v>110</v>
      </c>
      <c r="C2124" s="81" t="s">
        <v>2510</v>
      </c>
      <c r="D2124" s="81" t="n">
        <v>20</v>
      </c>
      <c r="E2124" s="81" t="s">
        <v>2580</v>
      </c>
      <c r="F2124" s="82" t="str">
        <f aca="false">IF(E2124="","",IF(LEFT(E2124,2)="DJ","DJ","JN"))</f>
        <v>JN</v>
      </c>
      <c r="G2124" s="81" t="s">
        <v>1504</v>
      </c>
      <c r="H2124" s="81" t="s">
        <v>871</v>
      </c>
      <c r="I2124" s="81" t="n">
        <v>9.53</v>
      </c>
      <c r="J2124" s="81" t="s">
        <v>872</v>
      </c>
      <c r="K2124" s="81" t="s">
        <v>879</v>
      </c>
      <c r="L2124" s="81" t="n">
        <v>2092420</v>
      </c>
      <c r="M2124" s="81" t="n">
        <v>15421110</v>
      </c>
      <c r="N2124" s="81" t="n">
        <v>11.94</v>
      </c>
      <c r="O2124" s="81" t="n">
        <v>2098610</v>
      </c>
      <c r="P2124" s="81" t="n">
        <v>15421112</v>
      </c>
      <c r="Q2124" s="81" t="n">
        <v>11.94</v>
      </c>
      <c r="R2124" s="81" t="s">
        <v>2568</v>
      </c>
      <c r="S2124" s="81"/>
      <c r="T2124" s="81"/>
      <c r="U2124" s="83" t="n">
        <v>46264</v>
      </c>
      <c r="V2124" s="83" t="n">
        <v>46264</v>
      </c>
      <c r="W2124" s="81" t="s">
        <v>2570</v>
      </c>
      <c r="X2124" s="81" t="s">
        <v>876</v>
      </c>
      <c r="Y2124" s="83" t="n">
        <v>46274</v>
      </c>
      <c r="Z2124" s="81" t="s">
        <v>2578</v>
      </c>
      <c r="AA2124" s="81" t="s">
        <v>876</v>
      </c>
      <c r="AB2124" s="81"/>
      <c r="AC2124" s="81"/>
      <c r="AD2124" s="81"/>
      <c r="AE2124" s="83"/>
      <c r="AF2124" s="81"/>
      <c r="AG2124" s="81"/>
      <c r="AH2124" s="81"/>
      <c r="AI2124" s="81"/>
      <c r="AJ2124" s="83"/>
      <c r="AK2124" s="81"/>
      <c r="AL2124" s="81"/>
      <c r="AM2124" s="83"/>
      <c r="AN2124" s="80"/>
      <c r="AO2124" s="82" t="n">
        <f aca="false">IF(E2124="","",(AA2124&lt;&gt;"")+(AG2124&lt;&gt;"")+(AL2124&lt;&gt;""))</f>
        <v>1</v>
      </c>
      <c r="AP2124" s="82" t="str">
        <f aca="false">IF(AL2124&lt;&gt;"",AL2124,IF(AG2124&lt;&gt;"",AG2124,IF(AA2124&lt;&gt;"",AA2124,"")))</f>
        <v>A</v>
      </c>
      <c r="AQ2124" s="84" t="str">
        <f aca="false">IF(E2124="","",IF(U2124="","À SOUDER",IF(X2124="","VT EN ATTENTE",IF(X2124="R","VT REJETÉ – À REPRENDRE",IF(AP2124="","À RADIOGRAPHIER",IF(AP2124="A","ACCEPTÉ",IF(AP2124="NX","NX – RT À REFAIRE",IF(IF(AO2124=1,AD2124,IF(AO2124=2,AI2124,""))="A","RÉPARÉ – À RADIOGRAPHIER",IF(IF(AO2124=1,AD2124,IF(AO2124=2,AI2124,""))="R","VT REJETÉ – À REPRENDRE",IF(OR(AP2124="CO",AP2124="NT"),"COUPE – À RESOUDER","À RÉPARER"))))))))))</f>
        <v>ACCEPTÉ</v>
      </c>
      <c r="AR2124" s="82" t="str">
        <f aca="false">IF(AND(ISNUMBER(U2124),OR(AQ2124="À RADIOGRAPHIER",AQ2124="RÉPARÉ – À RADIOGRAPHIER",AQ2124="NX – RT À REFAIRE",AQ2124="À RÉPARER",AQ2124="COUPE – À RESOUDER",AQ2124="VT REJETÉ – À REPRENDRE")),MAX(0,'PROGRAMME RT'!$C$4-U2124),"")</f>
        <v/>
      </c>
      <c r="AS2124" s="82" t="n">
        <f aca="false">IF(AND(OR(AQ2124="À RADIOGRAPHIER",AQ2124="RÉPARÉ – À RADIOGRAPHIER",AQ2124="NX – RT À REFAIRE"),OR('PROGRAMME RT'!$D$5="TOUTES",B2124='PROGRAMME RT'!$D$5)),1,0)</f>
        <v>0</v>
      </c>
      <c r="AT2124" s="82" t="str">
        <f aca="false">IF(AS2124=1,SUM(AS$7:AS2124),"")</f>
        <v/>
      </c>
      <c r="AU2124" s="82" t="n">
        <f aca="false">IF(AND(OR(AA2124="R",AA2124="NX",AA2124="NT",AA2124="CO"),OR('JOINTS DE RÉPARATION'!$D$5="TOUTES",B2124='JOINTS DE RÉPARATION'!$D$5),OR('JOINTS DE RÉPARATION'!$L$4="TOUS",AQ2124&lt;&gt;"ACCEPTÉ")),1,0)</f>
        <v>0</v>
      </c>
      <c r="AV2124" s="82" t="str">
        <f aca="false">IF(AU2124=1,SUM(AU$7:AU2124),"")</f>
        <v/>
      </c>
      <c r="AW2124" s="82" t="str">
        <f aca="false">IF(E2124="","",B2124&amp;"|"&amp;E2124)</f>
        <v>MFD-ISW → MFD-CPF|JN°1640</v>
      </c>
    </row>
    <row r="2125" customFormat="false" ht="74.6" hidden="false" customHeight="false" outlineLevel="0" collapsed="false">
      <c r="A2125" s="79" t="n">
        <f aca="false">IF(E2125="","",ROW()-6)</f>
        <v>2119</v>
      </c>
      <c r="B2125" s="80" t="s">
        <v>110</v>
      </c>
      <c r="C2125" s="81" t="s">
        <v>2510</v>
      </c>
      <c r="D2125" s="81" t="n">
        <v>20</v>
      </c>
      <c r="E2125" s="81" t="s">
        <v>2581</v>
      </c>
      <c r="F2125" s="82" t="str">
        <f aca="false">IF(E2125="","",IF(LEFT(E2125,2)="DJ","DJ","JN"))</f>
        <v>JN</v>
      </c>
      <c r="G2125" s="81" t="s">
        <v>1504</v>
      </c>
      <c r="H2125" s="81" t="s">
        <v>871</v>
      </c>
      <c r="I2125" s="81" t="n">
        <v>9.53</v>
      </c>
      <c r="J2125" s="81" t="s">
        <v>872</v>
      </c>
      <c r="K2125" s="81" t="s">
        <v>879</v>
      </c>
      <c r="L2125" s="81" t="n">
        <v>2098610</v>
      </c>
      <c r="M2125" s="81" t="n">
        <v>15421112</v>
      </c>
      <c r="N2125" s="81" t="n">
        <v>11.94</v>
      </c>
      <c r="O2125" s="81" t="n">
        <v>2099590</v>
      </c>
      <c r="P2125" s="81" t="n">
        <v>15421112</v>
      </c>
      <c r="Q2125" s="81" t="n">
        <v>11.94</v>
      </c>
      <c r="R2125" s="81" t="s">
        <v>2568</v>
      </c>
      <c r="S2125" s="81"/>
      <c r="T2125" s="81"/>
      <c r="U2125" s="83" t="n">
        <v>46264</v>
      </c>
      <c r="V2125" s="83" t="n">
        <v>46264</v>
      </c>
      <c r="W2125" s="81" t="s">
        <v>2570</v>
      </c>
      <c r="X2125" s="81" t="s">
        <v>876</v>
      </c>
      <c r="Y2125" s="83" t="n">
        <v>46274</v>
      </c>
      <c r="Z2125" s="81" t="s">
        <v>2578</v>
      </c>
      <c r="AA2125" s="81" t="s">
        <v>876</v>
      </c>
      <c r="AB2125" s="81"/>
      <c r="AC2125" s="81"/>
      <c r="AD2125" s="81"/>
      <c r="AE2125" s="83"/>
      <c r="AF2125" s="81"/>
      <c r="AG2125" s="81"/>
      <c r="AH2125" s="81"/>
      <c r="AI2125" s="81"/>
      <c r="AJ2125" s="83"/>
      <c r="AK2125" s="81"/>
      <c r="AL2125" s="81"/>
      <c r="AM2125" s="83"/>
      <c r="AN2125" s="80"/>
      <c r="AO2125" s="82" t="n">
        <f aca="false">IF(E2125="","",(AA2125&lt;&gt;"")+(AG2125&lt;&gt;"")+(AL2125&lt;&gt;""))</f>
        <v>1</v>
      </c>
      <c r="AP2125" s="82" t="str">
        <f aca="false">IF(AL2125&lt;&gt;"",AL2125,IF(AG2125&lt;&gt;"",AG2125,IF(AA2125&lt;&gt;"",AA2125,"")))</f>
        <v>A</v>
      </c>
      <c r="AQ2125" s="84" t="str">
        <f aca="false">IF(E2125="","",IF(U2125="","À SOUDER",IF(X2125="","VT EN ATTENTE",IF(X2125="R","VT REJETÉ – À REPRENDRE",IF(AP2125="","À RADIOGRAPHIER",IF(AP2125="A","ACCEPTÉ",IF(AP2125="NX","NX – RT À REFAIRE",IF(IF(AO2125=1,AD2125,IF(AO2125=2,AI2125,""))="A","RÉPARÉ – À RADIOGRAPHIER",IF(IF(AO2125=1,AD2125,IF(AO2125=2,AI2125,""))="R","VT REJETÉ – À REPRENDRE",IF(OR(AP2125="CO",AP2125="NT"),"COUPE – À RESOUDER","À RÉPARER"))))))))))</f>
        <v>ACCEPTÉ</v>
      </c>
      <c r="AR2125" s="82" t="str">
        <f aca="false">IF(AND(ISNUMBER(U2125),OR(AQ2125="À RADIOGRAPHIER",AQ2125="RÉPARÉ – À RADIOGRAPHIER",AQ2125="NX – RT À REFAIRE",AQ2125="À RÉPARER",AQ2125="COUPE – À RESOUDER",AQ2125="VT REJETÉ – À REPRENDRE")),MAX(0,'PROGRAMME RT'!$C$4-U2125),"")</f>
        <v/>
      </c>
      <c r="AS2125" s="82" t="n">
        <f aca="false">IF(AND(OR(AQ2125="À RADIOGRAPHIER",AQ2125="RÉPARÉ – À RADIOGRAPHIER",AQ2125="NX – RT À REFAIRE"),OR('PROGRAMME RT'!$D$5="TOUTES",B2125='PROGRAMME RT'!$D$5)),1,0)</f>
        <v>0</v>
      </c>
      <c r="AT2125" s="82" t="str">
        <f aca="false">IF(AS2125=1,SUM(AS$7:AS2125),"")</f>
        <v/>
      </c>
      <c r="AU2125" s="82" t="n">
        <f aca="false">IF(AND(OR(AA2125="R",AA2125="NX",AA2125="NT",AA2125="CO"),OR('JOINTS DE RÉPARATION'!$D$5="TOUTES",B2125='JOINTS DE RÉPARATION'!$D$5),OR('JOINTS DE RÉPARATION'!$L$4="TOUS",AQ2125&lt;&gt;"ACCEPTÉ")),1,0)</f>
        <v>0</v>
      </c>
      <c r="AV2125" s="82" t="str">
        <f aca="false">IF(AU2125=1,SUM(AU$7:AU2125),"")</f>
        <v/>
      </c>
      <c r="AW2125" s="82" t="str">
        <f aca="false">IF(E2125="","",B2125&amp;"|"&amp;E2125)</f>
        <v>MFD-ISW → MFD-CPF|JN°1641</v>
      </c>
    </row>
    <row r="2126" customFormat="false" ht="74.6" hidden="false" customHeight="false" outlineLevel="0" collapsed="false">
      <c r="A2126" s="79" t="n">
        <f aca="false">IF(E2126="","",ROW()-6)</f>
        <v>2120</v>
      </c>
      <c r="B2126" s="80" t="s">
        <v>110</v>
      </c>
      <c r="C2126" s="81" t="s">
        <v>2510</v>
      </c>
      <c r="D2126" s="81" t="n">
        <v>20</v>
      </c>
      <c r="E2126" s="81" t="s">
        <v>2582</v>
      </c>
      <c r="F2126" s="82" t="str">
        <f aca="false">IF(E2126="","",IF(LEFT(E2126,2)="DJ","DJ","JN"))</f>
        <v>JN</v>
      </c>
      <c r="G2126" s="81" t="s">
        <v>1504</v>
      </c>
      <c r="H2126" s="81" t="s">
        <v>871</v>
      </c>
      <c r="I2126" s="81" t="n">
        <v>9.53</v>
      </c>
      <c r="J2126" s="81" t="s">
        <v>872</v>
      </c>
      <c r="K2126" s="81" t="s">
        <v>879</v>
      </c>
      <c r="L2126" s="81" t="n">
        <v>2099590</v>
      </c>
      <c r="M2126" s="81" t="n">
        <v>15421112</v>
      </c>
      <c r="N2126" s="81" t="n">
        <v>11.94</v>
      </c>
      <c r="O2126" s="81" t="n">
        <v>2079720</v>
      </c>
      <c r="P2126" s="81" t="n">
        <v>15421102</v>
      </c>
      <c r="Q2126" s="81" t="n">
        <v>11.94</v>
      </c>
      <c r="R2126" s="81" t="s">
        <v>2568</v>
      </c>
      <c r="S2126" s="81"/>
      <c r="T2126" s="81"/>
      <c r="U2126" s="83" t="n">
        <v>46264</v>
      </c>
      <c r="V2126" s="83" t="n">
        <v>46264</v>
      </c>
      <c r="W2126" s="81" t="s">
        <v>2570</v>
      </c>
      <c r="X2126" s="81" t="s">
        <v>876</v>
      </c>
      <c r="Y2126" s="83" t="n">
        <v>46274</v>
      </c>
      <c r="Z2126" s="81" t="s">
        <v>2578</v>
      </c>
      <c r="AA2126" s="81" t="s">
        <v>876</v>
      </c>
      <c r="AB2126" s="81"/>
      <c r="AC2126" s="81"/>
      <c r="AD2126" s="81"/>
      <c r="AE2126" s="83"/>
      <c r="AF2126" s="81"/>
      <c r="AG2126" s="81"/>
      <c r="AH2126" s="81"/>
      <c r="AI2126" s="81"/>
      <c r="AJ2126" s="83"/>
      <c r="AK2126" s="81"/>
      <c r="AL2126" s="81"/>
      <c r="AM2126" s="83"/>
      <c r="AN2126" s="80"/>
      <c r="AO2126" s="82" t="n">
        <f aca="false">IF(E2126="","",(AA2126&lt;&gt;"")+(AG2126&lt;&gt;"")+(AL2126&lt;&gt;""))</f>
        <v>1</v>
      </c>
      <c r="AP2126" s="82" t="str">
        <f aca="false">IF(AL2126&lt;&gt;"",AL2126,IF(AG2126&lt;&gt;"",AG2126,IF(AA2126&lt;&gt;"",AA2126,"")))</f>
        <v>A</v>
      </c>
      <c r="AQ2126" s="84" t="str">
        <f aca="false">IF(E2126="","",IF(U2126="","À SOUDER",IF(X2126="","VT EN ATTENTE",IF(X2126="R","VT REJETÉ – À REPRENDRE",IF(AP2126="","À RADIOGRAPHIER",IF(AP2126="A","ACCEPTÉ",IF(AP2126="NX","NX – RT À REFAIRE",IF(IF(AO2126=1,AD2126,IF(AO2126=2,AI2126,""))="A","RÉPARÉ – À RADIOGRAPHIER",IF(IF(AO2126=1,AD2126,IF(AO2126=2,AI2126,""))="R","VT REJETÉ – À REPRENDRE",IF(OR(AP2126="CO",AP2126="NT"),"COUPE – À RESOUDER","À RÉPARER"))))))))))</f>
        <v>ACCEPTÉ</v>
      </c>
      <c r="AR2126" s="82" t="str">
        <f aca="false">IF(AND(ISNUMBER(U2126),OR(AQ2126="À RADIOGRAPHIER",AQ2126="RÉPARÉ – À RADIOGRAPHIER",AQ2126="NX – RT À REFAIRE",AQ2126="À RÉPARER",AQ2126="COUPE – À RESOUDER",AQ2126="VT REJETÉ – À REPRENDRE")),MAX(0,'PROGRAMME RT'!$C$4-U2126),"")</f>
        <v/>
      </c>
      <c r="AS2126" s="82" t="n">
        <f aca="false">IF(AND(OR(AQ2126="À RADIOGRAPHIER",AQ2126="RÉPARÉ – À RADIOGRAPHIER",AQ2126="NX – RT À REFAIRE"),OR('PROGRAMME RT'!$D$5="TOUTES",B2126='PROGRAMME RT'!$D$5)),1,0)</f>
        <v>0</v>
      </c>
      <c r="AT2126" s="82" t="str">
        <f aca="false">IF(AS2126=1,SUM(AS$7:AS2126),"")</f>
        <v/>
      </c>
      <c r="AU2126" s="82" t="n">
        <f aca="false">IF(AND(OR(AA2126="R",AA2126="NX",AA2126="NT",AA2126="CO"),OR('JOINTS DE RÉPARATION'!$D$5="TOUTES",B2126='JOINTS DE RÉPARATION'!$D$5),OR('JOINTS DE RÉPARATION'!$L$4="TOUS",AQ2126&lt;&gt;"ACCEPTÉ")),1,0)</f>
        <v>0</v>
      </c>
      <c r="AV2126" s="82" t="str">
        <f aca="false">IF(AU2126=1,SUM(AU$7:AU2126),"")</f>
        <v/>
      </c>
      <c r="AW2126" s="82" t="str">
        <f aca="false">IF(E2126="","",B2126&amp;"|"&amp;E2126)</f>
        <v>MFD-ISW → MFD-CPF|JN°1642</v>
      </c>
    </row>
    <row r="2127" customFormat="false" ht="74.6" hidden="false" customHeight="false" outlineLevel="0" collapsed="false">
      <c r="A2127" s="79" t="n">
        <f aca="false">IF(E2127="","",ROW()-6)</f>
        <v>2121</v>
      </c>
      <c r="B2127" s="80" t="s">
        <v>110</v>
      </c>
      <c r="C2127" s="81" t="s">
        <v>2510</v>
      </c>
      <c r="D2127" s="81" t="n">
        <v>20</v>
      </c>
      <c r="E2127" s="81" t="s">
        <v>2583</v>
      </c>
      <c r="F2127" s="82" t="str">
        <f aca="false">IF(E2127="","",IF(LEFT(E2127,2)="DJ","DJ","JN"))</f>
        <v>JN</v>
      </c>
      <c r="G2127" s="81" t="s">
        <v>1504</v>
      </c>
      <c r="H2127" s="81" t="s">
        <v>871</v>
      </c>
      <c r="I2127" s="81" t="n">
        <v>9.53</v>
      </c>
      <c r="J2127" s="81" t="s">
        <v>872</v>
      </c>
      <c r="K2127" s="81" t="s">
        <v>879</v>
      </c>
      <c r="L2127" s="81" t="n">
        <v>2079720</v>
      </c>
      <c r="M2127" s="81" t="n">
        <v>15421102</v>
      </c>
      <c r="N2127" s="81" t="n">
        <v>11.94</v>
      </c>
      <c r="O2127" s="81" t="n">
        <v>2079820</v>
      </c>
      <c r="P2127" s="81" t="n">
        <v>15421102</v>
      </c>
      <c r="Q2127" s="81" t="n">
        <v>11.94</v>
      </c>
      <c r="R2127" s="81" t="s">
        <v>2568</v>
      </c>
      <c r="S2127" s="81"/>
      <c r="T2127" s="81"/>
      <c r="U2127" s="83" t="n">
        <v>46264</v>
      </c>
      <c r="V2127" s="83" t="n">
        <v>46264</v>
      </c>
      <c r="W2127" s="81" t="s">
        <v>2570</v>
      </c>
      <c r="X2127" s="81" t="s">
        <v>876</v>
      </c>
      <c r="Y2127" s="83" t="n">
        <v>46274</v>
      </c>
      <c r="Z2127" s="81" t="s">
        <v>2578</v>
      </c>
      <c r="AA2127" s="81" t="s">
        <v>876</v>
      </c>
      <c r="AB2127" s="81"/>
      <c r="AC2127" s="81"/>
      <c r="AD2127" s="81"/>
      <c r="AE2127" s="83"/>
      <c r="AF2127" s="81"/>
      <c r="AG2127" s="81"/>
      <c r="AH2127" s="81"/>
      <c r="AI2127" s="81"/>
      <c r="AJ2127" s="83"/>
      <c r="AK2127" s="81"/>
      <c r="AL2127" s="81"/>
      <c r="AM2127" s="83"/>
      <c r="AN2127" s="80"/>
      <c r="AO2127" s="82" t="n">
        <f aca="false">IF(E2127="","",(AA2127&lt;&gt;"")+(AG2127&lt;&gt;"")+(AL2127&lt;&gt;""))</f>
        <v>1</v>
      </c>
      <c r="AP2127" s="82" t="str">
        <f aca="false">IF(AL2127&lt;&gt;"",AL2127,IF(AG2127&lt;&gt;"",AG2127,IF(AA2127&lt;&gt;"",AA2127,"")))</f>
        <v>A</v>
      </c>
      <c r="AQ2127" s="84" t="str">
        <f aca="false">IF(E2127="","",IF(U2127="","À SOUDER",IF(X2127="","VT EN ATTENTE",IF(X2127="R","VT REJETÉ – À REPRENDRE",IF(AP2127="","À RADIOGRAPHIER",IF(AP2127="A","ACCEPTÉ",IF(AP2127="NX","NX – RT À REFAIRE",IF(IF(AO2127=1,AD2127,IF(AO2127=2,AI2127,""))="A","RÉPARÉ – À RADIOGRAPHIER",IF(IF(AO2127=1,AD2127,IF(AO2127=2,AI2127,""))="R","VT REJETÉ – À REPRENDRE",IF(OR(AP2127="CO",AP2127="NT"),"COUPE – À RESOUDER","À RÉPARER"))))))))))</f>
        <v>ACCEPTÉ</v>
      </c>
      <c r="AR2127" s="82" t="str">
        <f aca="false">IF(AND(ISNUMBER(U2127),OR(AQ2127="À RADIOGRAPHIER",AQ2127="RÉPARÉ – À RADIOGRAPHIER",AQ2127="NX – RT À REFAIRE",AQ2127="À RÉPARER",AQ2127="COUPE – À RESOUDER",AQ2127="VT REJETÉ – À REPRENDRE")),MAX(0,'PROGRAMME RT'!$C$4-U2127),"")</f>
        <v/>
      </c>
      <c r="AS2127" s="82" t="n">
        <f aca="false">IF(AND(OR(AQ2127="À RADIOGRAPHIER",AQ2127="RÉPARÉ – À RADIOGRAPHIER",AQ2127="NX – RT À REFAIRE"),OR('PROGRAMME RT'!$D$5="TOUTES",B2127='PROGRAMME RT'!$D$5)),1,0)</f>
        <v>0</v>
      </c>
      <c r="AT2127" s="82" t="str">
        <f aca="false">IF(AS2127=1,SUM(AS$7:AS2127),"")</f>
        <v/>
      </c>
      <c r="AU2127" s="82" t="n">
        <f aca="false">IF(AND(OR(AA2127="R",AA2127="NX",AA2127="NT",AA2127="CO"),OR('JOINTS DE RÉPARATION'!$D$5="TOUTES",B2127='JOINTS DE RÉPARATION'!$D$5),OR('JOINTS DE RÉPARATION'!$L$4="TOUS",AQ2127&lt;&gt;"ACCEPTÉ")),1,0)</f>
        <v>0</v>
      </c>
      <c r="AV2127" s="82" t="str">
        <f aca="false">IF(AU2127=1,SUM(AU$7:AU2127),"")</f>
        <v/>
      </c>
      <c r="AW2127" s="82" t="str">
        <f aca="false">IF(E2127="","",B2127&amp;"|"&amp;E2127)</f>
        <v>MFD-ISW → MFD-CPF|JN°1643</v>
      </c>
    </row>
    <row r="2128" customFormat="false" ht="74.6" hidden="false" customHeight="false" outlineLevel="0" collapsed="false">
      <c r="A2128" s="79" t="n">
        <f aca="false">IF(E2128="","",ROW()-6)</f>
        <v>2122</v>
      </c>
      <c r="B2128" s="80" t="s">
        <v>110</v>
      </c>
      <c r="C2128" s="81" t="s">
        <v>2510</v>
      </c>
      <c r="D2128" s="81" t="n">
        <v>20</v>
      </c>
      <c r="E2128" s="81" t="s">
        <v>2584</v>
      </c>
      <c r="F2128" s="82" t="str">
        <f aca="false">IF(E2128="","",IF(LEFT(E2128,2)="DJ","DJ","JN"))</f>
        <v>JN</v>
      </c>
      <c r="G2128" s="81" t="s">
        <v>1504</v>
      </c>
      <c r="H2128" s="81" t="s">
        <v>871</v>
      </c>
      <c r="I2128" s="81" t="n">
        <v>9.53</v>
      </c>
      <c r="J2128" s="81" t="s">
        <v>872</v>
      </c>
      <c r="K2128" s="81" t="s">
        <v>879</v>
      </c>
      <c r="L2128" s="81" t="n">
        <v>2079820</v>
      </c>
      <c r="M2128" s="81" t="n">
        <v>15421102</v>
      </c>
      <c r="N2128" s="81" t="n">
        <v>11.94</v>
      </c>
      <c r="O2128" s="81" t="n">
        <v>2085320</v>
      </c>
      <c r="P2128" s="81" t="n">
        <v>15421106</v>
      </c>
      <c r="Q2128" s="81" t="n">
        <v>11.94</v>
      </c>
      <c r="R2128" s="81" t="s">
        <v>2568</v>
      </c>
      <c r="S2128" s="81"/>
      <c r="T2128" s="81"/>
      <c r="U2128" s="83" t="n">
        <v>46264</v>
      </c>
      <c r="V2128" s="83" t="n">
        <v>46264</v>
      </c>
      <c r="W2128" s="81" t="s">
        <v>2570</v>
      </c>
      <c r="X2128" s="81" t="s">
        <v>876</v>
      </c>
      <c r="Y2128" s="83" t="n">
        <v>46274</v>
      </c>
      <c r="Z2128" s="81" t="s">
        <v>2578</v>
      </c>
      <c r="AA2128" s="81" t="s">
        <v>876</v>
      </c>
      <c r="AB2128" s="81"/>
      <c r="AC2128" s="81"/>
      <c r="AD2128" s="81"/>
      <c r="AE2128" s="83"/>
      <c r="AF2128" s="81"/>
      <c r="AG2128" s="81"/>
      <c r="AH2128" s="81"/>
      <c r="AI2128" s="81"/>
      <c r="AJ2128" s="83"/>
      <c r="AK2128" s="81"/>
      <c r="AL2128" s="81"/>
      <c r="AM2128" s="83"/>
      <c r="AN2128" s="80"/>
      <c r="AO2128" s="82" t="n">
        <f aca="false">IF(E2128="","",(AA2128&lt;&gt;"")+(AG2128&lt;&gt;"")+(AL2128&lt;&gt;""))</f>
        <v>1</v>
      </c>
      <c r="AP2128" s="82" t="str">
        <f aca="false">IF(AL2128&lt;&gt;"",AL2128,IF(AG2128&lt;&gt;"",AG2128,IF(AA2128&lt;&gt;"",AA2128,"")))</f>
        <v>A</v>
      </c>
      <c r="AQ2128" s="84" t="str">
        <f aca="false">IF(E2128="","",IF(U2128="","À SOUDER",IF(X2128="","VT EN ATTENTE",IF(X2128="R","VT REJETÉ – À REPRENDRE",IF(AP2128="","À RADIOGRAPHIER",IF(AP2128="A","ACCEPTÉ",IF(AP2128="NX","NX – RT À REFAIRE",IF(IF(AO2128=1,AD2128,IF(AO2128=2,AI2128,""))="A","RÉPARÉ – À RADIOGRAPHIER",IF(IF(AO2128=1,AD2128,IF(AO2128=2,AI2128,""))="R","VT REJETÉ – À REPRENDRE",IF(OR(AP2128="CO",AP2128="NT"),"COUPE – À RESOUDER","À RÉPARER"))))))))))</f>
        <v>ACCEPTÉ</v>
      </c>
      <c r="AR2128" s="82" t="str">
        <f aca="false">IF(AND(ISNUMBER(U2128),OR(AQ2128="À RADIOGRAPHIER",AQ2128="RÉPARÉ – À RADIOGRAPHIER",AQ2128="NX – RT À REFAIRE",AQ2128="À RÉPARER",AQ2128="COUPE – À RESOUDER",AQ2128="VT REJETÉ – À REPRENDRE")),MAX(0,'PROGRAMME RT'!$C$4-U2128),"")</f>
        <v/>
      </c>
      <c r="AS2128" s="82" t="n">
        <f aca="false">IF(AND(OR(AQ2128="À RADIOGRAPHIER",AQ2128="RÉPARÉ – À RADIOGRAPHIER",AQ2128="NX – RT À REFAIRE"),OR('PROGRAMME RT'!$D$5="TOUTES",B2128='PROGRAMME RT'!$D$5)),1,0)</f>
        <v>0</v>
      </c>
      <c r="AT2128" s="82" t="str">
        <f aca="false">IF(AS2128=1,SUM(AS$7:AS2128),"")</f>
        <v/>
      </c>
      <c r="AU2128" s="82" t="n">
        <f aca="false">IF(AND(OR(AA2128="R",AA2128="NX",AA2128="NT",AA2128="CO"),OR('JOINTS DE RÉPARATION'!$D$5="TOUTES",B2128='JOINTS DE RÉPARATION'!$D$5),OR('JOINTS DE RÉPARATION'!$L$4="TOUS",AQ2128&lt;&gt;"ACCEPTÉ")),1,0)</f>
        <v>0</v>
      </c>
      <c r="AV2128" s="82" t="str">
        <f aca="false">IF(AU2128=1,SUM(AU$7:AU2128),"")</f>
        <v/>
      </c>
      <c r="AW2128" s="82" t="str">
        <f aca="false">IF(E2128="","",B2128&amp;"|"&amp;E2128)</f>
        <v>MFD-ISW → MFD-CPF|JN°1644</v>
      </c>
    </row>
    <row r="2129" customFormat="false" ht="74.6" hidden="false" customHeight="false" outlineLevel="0" collapsed="false">
      <c r="A2129" s="79" t="n">
        <f aca="false">IF(E2129="","",ROW()-6)</f>
        <v>2123</v>
      </c>
      <c r="B2129" s="80" t="s">
        <v>110</v>
      </c>
      <c r="C2129" s="81" t="s">
        <v>2510</v>
      </c>
      <c r="D2129" s="81" t="n">
        <v>20</v>
      </c>
      <c r="E2129" s="81" t="s">
        <v>2585</v>
      </c>
      <c r="F2129" s="82" t="str">
        <f aca="false">IF(E2129="","",IF(LEFT(E2129,2)="DJ","DJ","JN"))</f>
        <v>JN</v>
      </c>
      <c r="G2129" s="81" t="s">
        <v>1504</v>
      </c>
      <c r="H2129" s="81" t="s">
        <v>871</v>
      </c>
      <c r="I2129" s="81" t="n">
        <v>9.53</v>
      </c>
      <c r="J2129" s="81" t="s">
        <v>872</v>
      </c>
      <c r="K2129" s="81" t="s">
        <v>879</v>
      </c>
      <c r="L2129" s="81" t="n">
        <v>2085320</v>
      </c>
      <c r="M2129" s="81" t="n">
        <v>15421106</v>
      </c>
      <c r="N2129" s="81" t="n">
        <v>11.94</v>
      </c>
      <c r="O2129" s="81" t="n">
        <v>2089040</v>
      </c>
      <c r="P2129" s="81" t="n">
        <v>15421108</v>
      </c>
      <c r="Q2129" s="81" t="n">
        <v>11.94</v>
      </c>
      <c r="R2129" s="81" t="s">
        <v>2568</v>
      </c>
      <c r="S2129" s="81"/>
      <c r="T2129" s="81"/>
      <c r="U2129" s="83" t="n">
        <v>46264</v>
      </c>
      <c r="V2129" s="83" t="n">
        <v>46264</v>
      </c>
      <c r="W2129" s="81" t="s">
        <v>2570</v>
      </c>
      <c r="X2129" s="81" t="s">
        <v>876</v>
      </c>
      <c r="Y2129" s="83" t="n">
        <v>46274</v>
      </c>
      <c r="Z2129" s="81" t="s">
        <v>2578</v>
      </c>
      <c r="AA2129" s="81" t="s">
        <v>876</v>
      </c>
      <c r="AB2129" s="81"/>
      <c r="AC2129" s="81"/>
      <c r="AD2129" s="81"/>
      <c r="AE2129" s="83"/>
      <c r="AF2129" s="81"/>
      <c r="AG2129" s="81"/>
      <c r="AH2129" s="81"/>
      <c r="AI2129" s="81"/>
      <c r="AJ2129" s="83"/>
      <c r="AK2129" s="81"/>
      <c r="AL2129" s="81"/>
      <c r="AM2129" s="83"/>
      <c r="AN2129" s="80"/>
      <c r="AO2129" s="82" t="n">
        <f aca="false">IF(E2129="","",(AA2129&lt;&gt;"")+(AG2129&lt;&gt;"")+(AL2129&lt;&gt;""))</f>
        <v>1</v>
      </c>
      <c r="AP2129" s="82" t="str">
        <f aca="false">IF(AL2129&lt;&gt;"",AL2129,IF(AG2129&lt;&gt;"",AG2129,IF(AA2129&lt;&gt;"",AA2129,"")))</f>
        <v>A</v>
      </c>
      <c r="AQ2129" s="84" t="str">
        <f aca="false">IF(E2129="","",IF(U2129="","À SOUDER",IF(X2129="","VT EN ATTENTE",IF(X2129="R","VT REJETÉ – À REPRENDRE",IF(AP2129="","À RADIOGRAPHIER",IF(AP2129="A","ACCEPTÉ",IF(AP2129="NX","NX – RT À REFAIRE",IF(IF(AO2129=1,AD2129,IF(AO2129=2,AI2129,""))="A","RÉPARÉ – À RADIOGRAPHIER",IF(IF(AO2129=1,AD2129,IF(AO2129=2,AI2129,""))="R","VT REJETÉ – À REPRENDRE",IF(OR(AP2129="CO",AP2129="NT"),"COUPE – À RESOUDER","À RÉPARER"))))))))))</f>
        <v>ACCEPTÉ</v>
      </c>
      <c r="AR2129" s="82" t="str">
        <f aca="false">IF(AND(ISNUMBER(U2129),OR(AQ2129="À RADIOGRAPHIER",AQ2129="RÉPARÉ – À RADIOGRAPHIER",AQ2129="NX – RT À REFAIRE",AQ2129="À RÉPARER",AQ2129="COUPE – À RESOUDER",AQ2129="VT REJETÉ – À REPRENDRE")),MAX(0,'PROGRAMME RT'!$C$4-U2129),"")</f>
        <v/>
      </c>
      <c r="AS2129" s="82" t="n">
        <f aca="false">IF(AND(OR(AQ2129="À RADIOGRAPHIER",AQ2129="RÉPARÉ – À RADIOGRAPHIER",AQ2129="NX – RT À REFAIRE"),OR('PROGRAMME RT'!$D$5="TOUTES",B2129='PROGRAMME RT'!$D$5)),1,0)</f>
        <v>0</v>
      </c>
      <c r="AT2129" s="82" t="str">
        <f aca="false">IF(AS2129=1,SUM(AS$7:AS2129),"")</f>
        <v/>
      </c>
      <c r="AU2129" s="82" t="n">
        <f aca="false">IF(AND(OR(AA2129="R",AA2129="NX",AA2129="NT",AA2129="CO"),OR('JOINTS DE RÉPARATION'!$D$5="TOUTES",B2129='JOINTS DE RÉPARATION'!$D$5),OR('JOINTS DE RÉPARATION'!$L$4="TOUS",AQ2129&lt;&gt;"ACCEPTÉ")),1,0)</f>
        <v>0</v>
      </c>
      <c r="AV2129" s="82" t="str">
        <f aca="false">IF(AU2129=1,SUM(AU$7:AU2129),"")</f>
        <v/>
      </c>
      <c r="AW2129" s="82" t="str">
        <f aca="false">IF(E2129="","",B2129&amp;"|"&amp;E2129)</f>
        <v>MFD-ISW → MFD-CPF|JN°1645</v>
      </c>
    </row>
    <row r="2130" customFormat="false" ht="74.6" hidden="false" customHeight="false" outlineLevel="0" collapsed="false">
      <c r="A2130" s="79" t="n">
        <f aca="false">IF(E2130="","",ROW()-6)</f>
        <v>2124</v>
      </c>
      <c r="B2130" s="80" t="s">
        <v>110</v>
      </c>
      <c r="C2130" s="81" t="s">
        <v>2510</v>
      </c>
      <c r="D2130" s="81" t="n">
        <v>20</v>
      </c>
      <c r="E2130" s="81" t="s">
        <v>2586</v>
      </c>
      <c r="F2130" s="82" t="str">
        <f aca="false">IF(E2130="","",IF(LEFT(E2130,2)="DJ","DJ","JN"))</f>
        <v>JN</v>
      </c>
      <c r="G2130" s="81" t="s">
        <v>1504</v>
      </c>
      <c r="H2130" s="81" t="s">
        <v>871</v>
      </c>
      <c r="I2130" s="81" t="n">
        <v>9.53</v>
      </c>
      <c r="J2130" s="81" t="s">
        <v>872</v>
      </c>
      <c r="K2130" s="81" t="s">
        <v>879</v>
      </c>
      <c r="L2130" s="81" t="n">
        <v>2089040</v>
      </c>
      <c r="M2130" s="81" t="n">
        <v>15421108</v>
      </c>
      <c r="N2130" s="81" t="n">
        <v>11.94</v>
      </c>
      <c r="O2130" s="81" t="n">
        <v>2089790</v>
      </c>
      <c r="P2130" s="81" t="n">
        <v>15421109</v>
      </c>
      <c r="Q2130" s="81" t="n">
        <v>11.94</v>
      </c>
      <c r="R2130" s="81" t="s">
        <v>2568</v>
      </c>
      <c r="S2130" s="81"/>
      <c r="T2130" s="81"/>
      <c r="U2130" s="83" t="n">
        <v>46264</v>
      </c>
      <c r="V2130" s="83" t="n">
        <v>46264</v>
      </c>
      <c r="W2130" s="81" t="s">
        <v>2570</v>
      </c>
      <c r="X2130" s="81" t="s">
        <v>876</v>
      </c>
      <c r="Y2130" s="83" t="n">
        <v>46274</v>
      </c>
      <c r="Z2130" s="81" t="s">
        <v>2578</v>
      </c>
      <c r="AA2130" s="81" t="s">
        <v>876</v>
      </c>
      <c r="AB2130" s="81"/>
      <c r="AC2130" s="81"/>
      <c r="AD2130" s="81"/>
      <c r="AE2130" s="83"/>
      <c r="AF2130" s="81"/>
      <c r="AG2130" s="81"/>
      <c r="AH2130" s="81"/>
      <c r="AI2130" s="81"/>
      <c r="AJ2130" s="83"/>
      <c r="AK2130" s="81"/>
      <c r="AL2130" s="81"/>
      <c r="AM2130" s="83"/>
      <c r="AN2130" s="80"/>
      <c r="AO2130" s="82" t="n">
        <f aca="false">IF(E2130="","",(AA2130&lt;&gt;"")+(AG2130&lt;&gt;"")+(AL2130&lt;&gt;""))</f>
        <v>1</v>
      </c>
      <c r="AP2130" s="82" t="str">
        <f aca="false">IF(AL2130&lt;&gt;"",AL2130,IF(AG2130&lt;&gt;"",AG2130,IF(AA2130&lt;&gt;"",AA2130,"")))</f>
        <v>A</v>
      </c>
      <c r="AQ2130" s="84" t="str">
        <f aca="false">IF(E2130="","",IF(U2130="","À SOUDER",IF(X2130="","VT EN ATTENTE",IF(X2130="R","VT REJETÉ – À REPRENDRE",IF(AP2130="","À RADIOGRAPHIER",IF(AP2130="A","ACCEPTÉ",IF(AP2130="NX","NX – RT À REFAIRE",IF(IF(AO2130=1,AD2130,IF(AO2130=2,AI2130,""))="A","RÉPARÉ – À RADIOGRAPHIER",IF(IF(AO2130=1,AD2130,IF(AO2130=2,AI2130,""))="R","VT REJETÉ – À REPRENDRE",IF(OR(AP2130="CO",AP2130="NT"),"COUPE – À RESOUDER","À RÉPARER"))))))))))</f>
        <v>ACCEPTÉ</v>
      </c>
      <c r="AR2130" s="82" t="str">
        <f aca="false">IF(AND(ISNUMBER(U2130),OR(AQ2130="À RADIOGRAPHIER",AQ2130="RÉPARÉ – À RADIOGRAPHIER",AQ2130="NX – RT À REFAIRE",AQ2130="À RÉPARER",AQ2130="COUPE – À RESOUDER",AQ2130="VT REJETÉ – À REPRENDRE")),MAX(0,'PROGRAMME RT'!$C$4-U2130),"")</f>
        <v/>
      </c>
      <c r="AS2130" s="82" t="n">
        <f aca="false">IF(AND(OR(AQ2130="À RADIOGRAPHIER",AQ2130="RÉPARÉ – À RADIOGRAPHIER",AQ2130="NX – RT À REFAIRE"),OR('PROGRAMME RT'!$D$5="TOUTES",B2130='PROGRAMME RT'!$D$5)),1,0)</f>
        <v>0</v>
      </c>
      <c r="AT2130" s="82" t="str">
        <f aca="false">IF(AS2130=1,SUM(AS$7:AS2130),"")</f>
        <v/>
      </c>
      <c r="AU2130" s="82" t="n">
        <f aca="false">IF(AND(OR(AA2130="R",AA2130="NX",AA2130="NT",AA2130="CO"),OR('JOINTS DE RÉPARATION'!$D$5="TOUTES",B2130='JOINTS DE RÉPARATION'!$D$5),OR('JOINTS DE RÉPARATION'!$L$4="TOUS",AQ2130&lt;&gt;"ACCEPTÉ")),1,0)</f>
        <v>0</v>
      </c>
      <c r="AV2130" s="82" t="str">
        <f aca="false">IF(AU2130=1,SUM(AU$7:AU2130),"")</f>
        <v/>
      </c>
      <c r="AW2130" s="82" t="str">
        <f aca="false">IF(E2130="","",B2130&amp;"|"&amp;E2130)</f>
        <v>MFD-ISW → MFD-CPF|JN°1646</v>
      </c>
    </row>
    <row r="2131" customFormat="false" ht="74.6" hidden="false" customHeight="false" outlineLevel="0" collapsed="false">
      <c r="A2131" s="79" t="n">
        <f aca="false">IF(E2131="","",ROW()-6)</f>
        <v>2125</v>
      </c>
      <c r="B2131" s="80" t="s">
        <v>110</v>
      </c>
      <c r="C2131" s="81" t="s">
        <v>2510</v>
      </c>
      <c r="D2131" s="81" t="n">
        <v>20</v>
      </c>
      <c r="E2131" s="81" t="s">
        <v>2587</v>
      </c>
      <c r="F2131" s="82" t="str">
        <f aca="false">IF(E2131="","",IF(LEFT(E2131,2)="DJ","DJ","JN"))</f>
        <v>JN</v>
      </c>
      <c r="G2131" s="81" t="s">
        <v>1504</v>
      </c>
      <c r="H2131" s="81" t="s">
        <v>871</v>
      </c>
      <c r="I2131" s="81" t="n">
        <v>9.53</v>
      </c>
      <c r="J2131" s="81" t="s">
        <v>872</v>
      </c>
      <c r="K2131" s="81" t="s">
        <v>879</v>
      </c>
      <c r="L2131" s="81" t="n">
        <v>2089790</v>
      </c>
      <c r="M2131" s="81" t="n">
        <v>15421109</v>
      </c>
      <c r="N2131" s="81" t="n">
        <v>11.94</v>
      </c>
      <c r="O2131" s="81" t="n">
        <v>2079690</v>
      </c>
      <c r="P2131" s="81" t="n">
        <v>15421102</v>
      </c>
      <c r="Q2131" s="81" t="n">
        <v>11.94</v>
      </c>
      <c r="R2131" s="81" t="s">
        <v>2568</v>
      </c>
      <c r="S2131" s="81"/>
      <c r="T2131" s="81"/>
      <c r="U2131" s="83" t="n">
        <v>46264</v>
      </c>
      <c r="V2131" s="83" t="n">
        <v>46264</v>
      </c>
      <c r="W2131" s="81" t="s">
        <v>2570</v>
      </c>
      <c r="X2131" s="81" t="s">
        <v>876</v>
      </c>
      <c r="Y2131" s="83" t="n">
        <v>46274</v>
      </c>
      <c r="Z2131" s="81" t="s">
        <v>2578</v>
      </c>
      <c r="AA2131" s="81" t="s">
        <v>876</v>
      </c>
      <c r="AB2131" s="81"/>
      <c r="AC2131" s="81"/>
      <c r="AD2131" s="81"/>
      <c r="AE2131" s="83"/>
      <c r="AF2131" s="81"/>
      <c r="AG2131" s="81"/>
      <c r="AH2131" s="81"/>
      <c r="AI2131" s="81"/>
      <c r="AJ2131" s="83"/>
      <c r="AK2131" s="81"/>
      <c r="AL2131" s="81"/>
      <c r="AM2131" s="83"/>
      <c r="AN2131" s="80"/>
      <c r="AO2131" s="82" t="n">
        <f aca="false">IF(E2131="","",(AA2131&lt;&gt;"")+(AG2131&lt;&gt;"")+(AL2131&lt;&gt;""))</f>
        <v>1</v>
      </c>
      <c r="AP2131" s="82" t="str">
        <f aca="false">IF(AL2131&lt;&gt;"",AL2131,IF(AG2131&lt;&gt;"",AG2131,IF(AA2131&lt;&gt;"",AA2131,"")))</f>
        <v>A</v>
      </c>
      <c r="AQ2131" s="84" t="str">
        <f aca="false">IF(E2131="","",IF(U2131="","À SOUDER",IF(X2131="","VT EN ATTENTE",IF(X2131="R","VT REJETÉ – À REPRENDRE",IF(AP2131="","À RADIOGRAPHIER",IF(AP2131="A","ACCEPTÉ",IF(AP2131="NX","NX – RT À REFAIRE",IF(IF(AO2131=1,AD2131,IF(AO2131=2,AI2131,""))="A","RÉPARÉ – À RADIOGRAPHIER",IF(IF(AO2131=1,AD2131,IF(AO2131=2,AI2131,""))="R","VT REJETÉ – À REPRENDRE",IF(OR(AP2131="CO",AP2131="NT"),"COUPE – À RESOUDER","À RÉPARER"))))))))))</f>
        <v>ACCEPTÉ</v>
      </c>
      <c r="AR2131" s="82" t="str">
        <f aca="false">IF(AND(ISNUMBER(U2131),OR(AQ2131="À RADIOGRAPHIER",AQ2131="RÉPARÉ – À RADIOGRAPHIER",AQ2131="NX – RT À REFAIRE",AQ2131="À RÉPARER",AQ2131="COUPE – À RESOUDER",AQ2131="VT REJETÉ – À REPRENDRE")),MAX(0,'PROGRAMME RT'!$C$4-U2131),"")</f>
        <v/>
      </c>
      <c r="AS2131" s="82" t="n">
        <f aca="false">IF(AND(OR(AQ2131="À RADIOGRAPHIER",AQ2131="RÉPARÉ – À RADIOGRAPHIER",AQ2131="NX – RT À REFAIRE"),OR('PROGRAMME RT'!$D$5="TOUTES",B2131='PROGRAMME RT'!$D$5)),1,0)</f>
        <v>0</v>
      </c>
      <c r="AT2131" s="82" t="str">
        <f aca="false">IF(AS2131=1,SUM(AS$7:AS2131),"")</f>
        <v/>
      </c>
      <c r="AU2131" s="82" t="n">
        <f aca="false">IF(AND(OR(AA2131="R",AA2131="NX",AA2131="NT",AA2131="CO"),OR('JOINTS DE RÉPARATION'!$D$5="TOUTES",B2131='JOINTS DE RÉPARATION'!$D$5),OR('JOINTS DE RÉPARATION'!$L$4="TOUS",AQ2131&lt;&gt;"ACCEPTÉ")),1,0)</f>
        <v>0</v>
      </c>
      <c r="AV2131" s="82" t="str">
        <f aca="false">IF(AU2131=1,SUM(AU$7:AU2131),"")</f>
        <v/>
      </c>
      <c r="AW2131" s="82" t="str">
        <f aca="false">IF(E2131="","",B2131&amp;"|"&amp;E2131)</f>
        <v>MFD-ISW → MFD-CPF|JN°1647</v>
      </c>
    </row>
    <row r="2132" customFormat="false" ht="74.6" hidden="false" customHeight="false" outlineLevel="0" collapsed="false">
      <c r="A2132" s="79" t="n">
        <f aca="false">IF(E2132="","",ROW()-6)</f>
        <v>2126</v>
      </c>
      <c r="B2132" s="80" t="s">
        <v>110</v>
      </c>
      <c r="C2132" s="81" t="s">
        <v>2510</v>
      </c>
      <c r="D2132" s="81" t="n">
        <v>20</v>
      </c>
      <c r="E2132" s="81" t="s">
        <v>2588</v>
      </c>
      <c r="F2132" s="82" t="str">
        <f aca="false">IF(E2132="","",IF(LEFT(E2132,2)="DJ","DJ","JN"))</f>
        <v>JN</v>
      </c>
      <c r="G2132" s="81" t="s">
        <v>1504</v>
      </c>
      <c r="H2132" s="81" t="s">
        <v>871</v>
      </c>
      <c r="I2132" s="81" t="n">
        <v>9.53</v>
      </c>
      <c r="J2132" s="81" t="s">
        <v>872</v>
      </c>
      <c r="K2132" s="81" t="s">
        <v>879</v>
      </c>
      <c r="L2132" s="81" t="n">
        <v>2079690</v>
      </c>
      <c r="M2132" s="81" t="n">
        <v>15421102</v>
      </c>
      <c r="N2132" s="81" t="n">
        <v>11.94</v>
      </c>
      <c r="O2132" s="81" t="n">
        <v>2083640</v>
      </c>
      <c r="P2132" s="81" t="n">
        <v>15421105</v>
      </c>
      <c r="Q2132" s="81" t="n">
        <v>11.94</v>
      </c>
      <c r="R2132" s="81" t="s">
        <v>2568</v>
      </c>
      <c r="S2132" s="81"/>
      <c r="T2132" s="81"/>
      <c r="U2132" s="83" t="n">
        <v>46264</v>
      </c>
      <c r="V2132" s="83" t="n">
        <v>46264</v>
      </c>
      <c r="W2132" s="81" t="s">
        <v>2589</v>
      </c>
      <c r="X2132" s="81" t="s">
        <v>876</v>
      </c>
      <c r="Y2132" s="83" t="n">
        <v>46274</v>
      </c>
      <c r="Z2132" s="81" t="s">
        <v>2578</v>
      </c>
      <c r="AA2132" s="81" t="s">
        <v>876</v>
      </c>
      <c r="AB2132" s="81"/>
      <c r="AC2132" s="81"/>
      <c r="AD2132" s="81"/>
      <c r="AE2132" s="83"/>
      <c r="AF2132" s="81"/>
      <c r="AG2132" s="81"/>
      <c r="AH2132" s="81"/>
      <c r="AI2132" s="81"/>
      <c r="AJ2132" s="83"/>
      <c r="AK2132" s="81"/>
      <c r="AL2132" s="81"/>
      <c r="AM2132" s="83"/>
      <c r="AN2132" s="80"/>
      <c r="AO2132" s="82" t="n">
        <f aca="false">IF(E2132="","",(AA2132&lt;&gt;"")+(AG2132&lt;&gt;"")+(AL2132&lt;&gt;""))</f>
        <v>1</v>
      </c>
      <c r="AP2132" s="82" t="str">
        <f aca="false">IF(AL2132&lt;&gt;"",AL2132,IF(AG2132&lt;&gt;"",AG2132,IF(AA2132&lt;&gt;"",AA2132,"")))</f>
        <v>A</v>
      </c>
      <c r="AQ2132" s="84" t="str">
        <f aca="false">IF(E2132="","",IF(U2132="","À SOUDER",IF(X2132="","VT EN ATTENTE",IF(X2132="R","VT REJETÉ – À REPRENDRE",IF(AP2132="","À RADIOGRAPHIER",IF(AP2132="A","ACCEPTÉ",IF(AP2132="NX","NX – RT À REFAIRE",IF(IF(AO2132=1,AD2132,IF(AO2132=2,AI2132,""))="A","RÉPARÉ – À RADIOGRAPHIER",IF(IF(AO2132=1,AD2132,IF(AO2132=2,AI2132,""))="R","VT REJETÉ – À REPRENDRE",IF(OR(AP2132="CO",AP2132="NT"),"COUPE – À RESOUDER","À RÉPARER"))))))))))</f>
        <v>ACCEPTÉ</v>
      </c>
      <c r="AR2132" s="82" t="str">
        <f aca="false">IF(AND(ISNUMBER(U2132),OR(AQ2132="À RADIOGRAPHIER",AQ2132="RÉPARÉ – À RADIOGRAPHIER",AQ2132="NX – RT À REFAIRE",AQ2132="À RÉPARER",AQ2132="COUPE – À RESOUDER",AQ2132="VT REJETÉ – À REPRENDRE")),MAX(0,'PROGRAMME RT'!$C$4-U2132),"")</f>
        <v/>
      </c>
      <c r="AS2132" s="82" t="n">
        <f aca="false">IF(AND(OR(AQ2132="À RADIOGRAPHIER",AQ2132="RÉPARÉ – À RADIOGRAPHIER",AQ2132="NX – RT À REFAIRE"),OR('PROGRAMME RT'!$D$5="TOUTES",B2132='PROGRAMME RT'!$D$5)),1,0)</f>
        <v>0</v>
      </c>
      <c r="AT2132" s="82" t="str">
        <f aca="false">IF(AS2132=1,SUM(AS$7:AS2132),"")</f>
        <v/>
      </c>
      <c r="AU2132" s="82" t="n">
        <f aca="false">IF(AND(OR(AA2132="R",AA2132="NX",AA2132="NT",AA2132="CO"),OR('JOINTS DE RÉPARATION'!$D$5="TOUTES",B2132='JOINTS DE RÉPARATION'!$D$5),OR('JOINTS DE RÉPARATION'!$L$4="TOUS",AQ2132&lt;&gt;"ACCEPTÉ")),1,0)</f>
        <v>0</v>
      </c>
      <c r="AV2132" s="82" t="str">
        <f aca="false">IF(AU2132=1,SUM(AU$7:AU2132),"")</f>
        <v/>
      </c>
      <c r="AW2132" s="82" t="str">
        <f aca="false">IF(E2132="","",B2132&amp;"|"&amp;E2132)</f>
        <v>MFD-ISW → MFD-CPF|JN°1648</v>
      </c>
    </row>
    <row r="2133" customFormat="false" ht="74.6" hidden="false" customHeight="false" outlineLevel="0" collapsed="false">
      <c r="A2133" s="79" t="n">
        <f aca="false">IF(E2133="","",ROW()-6)</f>
        <v>2127</v>
      </c>
      <c r="B2133" s="80" t="s">
        <v>110</v>
      </c>
      <c r="C2133" s="81" t="s">
        <v>2510</v>
      </c>
      <c r="D2133" s="81" t="n">
        <v>20</v>
      </c>
      <c r="E2133" s="81" t="s">
        <v>2590</v>
      </c>
      <c r="F2133" s="82" t="str">
        <f aca="false">IF(E2133="","",IF(LEFT(E2133,2)="DJ","DJ","JN"))</f>
        <v>JN</v>
      </c>
      <c r="G2133" s="81" t="s">
        <v>1504</v>
      </c>
      <c r="H2133" s="81" t="s">
        <v>871</v>
      </c>
      <c r="I2133" s="81" t="n">
        <v>9.53</v>
      </c>
      <c r="J2133" s="81" t="s">
        <v>872</v>
      </c>
      <c r="K2133" s="81" t="s">
        <v>879</v>
      </c>
      <c r="L2133" s="81" t="n">
        <v>2083640</v>
      </c>
      <c r="M2133" s="81" t="n">
        <v>15421105</v>
      </c>
      <c r="N2133" s="81" t="n">
        <v>11.94</v>
      </c>
      <c r="O2133" s="81" t="n">
        <v>2088380</v>
      </c>
      <c r="P2133" s="81" t="n">
        <v>15421108</v>
      </c>
      <c r="Q2133" s="81" t="n">
        <v>11.94</v>
      </c>
      <c r="R2133" s="81" t="s">
        <v>2568</v>
      </c>
      <c r="S2133" s="81"/>
      <c r="T2133" s="81"/>
      <c r="U2133" s="83" t="n">
        <v>46264</v>
      </c>
      <c r="V2133" s="83" t="n">
        <v>46264</v>
      </c>
      <c r="W2133" s="81" t="s">
        <v>2589</v>
      </c>
      <c r="X2133" s="81" t="s">
        <v>876</v>
      </c>
      <c r="Y2133" s="83" t="n">
        <v>46274</v>
      </c>
      <c r="Z2133" s="81" t="s">
        <v>2578</v>
      </c>
      <c r="AA2133" s="81" t="s">
        <v>876</v>
      </c>
      <c r="AB2133" s="81"/>
      <c r="AC2133" s="81"/>
      <c r="AD2133" s="81"/>
      <c r="AE2133" s="83"/>
      <c r="AF2133" s="81"/>
      <c r="AG2133" s="81"/>
      <c r="AH2133" s="81"/>
      <c r="AI2133" s="81"/>
      <c r="AJ2133" s="83"/>
      <c r="AK2133" s="81"/>
      <c r="AL2133" s="81"/>
      <c r="AM2133" s="83"/>
      <c r="AN2133" s="80"/>
      <c r="AO2133" s="82" t="n">
        <f aca="false">IF(E2133="","",(AA2133&lt;&gt;"")+(AG2133&lt;&gt;"")+(AL2133&lt;&gt;""))</f>
        <v>1</v>
      </c>
      <c r="AP2133" s="82" t="str">
        <f aca="false">IF(AL2133&lt;&gt;"",AL2133,IF(AG2133&lt;&gt;"",AG2133,IF(AA2133&lt;&gt;"",AA2133,"")))</f>
        <v>A</v>
      </c>
      <c r="AQ2133" s="84" t="str">
        <f aca="false">IF(E2133="","",IF(U2133="","À SOUDER",IF(X2133="","VT EN ATTENTE",IF(X2133="R","VT REJETÉ – À REPRENDRE",IF(AP2133="","À RADIOGRAPHIER",IF(AP2133="A","ACCEPTÉ",IF(AP2133="NX","NX – RT À REFAIRE",IF(IF(AO2133=1,AD2133,IF(AO2133=2,AI2133,""))="A","RÉPARÉ – À RADIOGRAPHIER",IF(IF(AO2133=1,AD2133,IF(AO2133=2,AI2133,""))="R","VT REJETÉ – À REPRENDRE",IF(OR(AP2133="CO",AP2133="NT"),"COUPE – À RESOUDER","À RÉPARER"))))))))))</f>
        <v>ACCEPTÉ</v>
      </c>
      <c r="AR2133" s="82" t="str">
        <f aca="false">IF(AND(ISNUMBER(U2133),OR(AQ2133="À RADIOGRAPHIER",AQ2133="RÉPARÉ – À RADIOGRAPHIER",AQ2133="NX – RT À REFAIRE",AQ2133="À RÉPARER",AQ2133="COUPE – À RESOUDER",AQ2133="VT REJETÉ – À REPRENDRE")),MAX(0,'PROGRAMME RT'!$C$4-U2133),"")</f>
        <v/>
      </c>
      <c r="AS2133" s="82" t="n">
        <f aca="false">IF(AND(OR(AQ2133="À RADIOGRAPHIER",AQ2133="RÉPARÉ – À RADIOGRAPHIER",AQ2133="NX – RT À REFAIRE"),OR('PROGRAMME RT'!$D$5="TOUTES",B2133='PROGRAMME RT'!$D$5)),1,0)</f>
        <v>0</v>
      </c>
      <c r="AT2133" s="82" t="str">
        <f aca="false">IF(AS2133=1,SUM(AS$7:AS2133),"")</f>
        <v/>
      </c>
      <c r="AU2133" s="82" t="n">
        <f aca="false">IF(AND(OR(AA2133="R",AA2133="NX",AA2133="NT",AA2133="CO"),OR('JOINTS DE RÉPARATION'!$D$5="TOUTES",B2133='JOINTS DE RÉPARATION'!$D$5),OR('JOINTS DE RÉPARATION'!$L$4="TOUS",AQ2133&lt;&gt;"ACCEPTÉ")),1,0)</f>
        <v>0</v>
      </c>
      <c r="AV2133" s="82" t="str">
        <f aca="false">IF(AU2133=1,SUM(AU$7:AU2133),"")</f>
        <v/>
      </c>
      <c r="AW2133" s="82" t="str">
        <f aca="false">IF(E2133="","",B2133&amp;"|"&amp;E2133)</f>
        <v>MFD-ISW → MFD-CPF|JN°1649</v>
      </c>
    </row>
    <row r="2134" customFormat="false" ht="74.6" hidden="false" customHeight="false" outlineLevel="0" collapsed="false">
      <c r="A2134" s="79" t="n">
        <f aca="false">IF(E2134="","",ROW()-6)</f>
        <v>2128</v>
      </c>
      <c r="B2134" s="80" t="s">
        <v>110</v>
      </c>
      <c r="C2134" s="81" t="s">
        <v>2510</v>
      </c>
      <c r="D2134" s="81" t="n">
        <v>20</v>
      </c>
      <c r="E2134" s="81" t="s">
        <v>2591</v>
      </c>
      <c r="F2134" s="82" t="str">
        <f aca="false">IF(E2134="","",IF(LEFT(E2134,2)="DJ","DJ","JN"))</f>
        <v>JN</v>
      </c>
      <c r="G2134" s="81" t="s">
        <v>1504</v>
      </c>
      <c r="H2134" s="81" t="s">
        <v>871</v>
      </c>
      <c r="I2134" s="81" t="n">
        <v>9.53</v>
      </c>
      <c r="J2134" s="81" t="s">
        <v>872</v>
      </c>
      <c r="K2134" s="81" t="s">
        <v>879</v>
      </c>
      <c r="L2134" s="81" t="n">
        <v>2088380</v>
      </c>
      <c r="M2134" s="81" t="n">
        <v>15421108</v>
      </c>
      <c r="N2134" s="81" t="n">
        <v>11.94</v>
      </c>
      <c r="O2134" s="81" t="n">
        <v>2087910</v>
      </c>
      <c r="P2134" s="81" t="n">
        <v>15421108</v>
      </c>
      <c r="Q2134" s="81" t="n">
        <v>11.94</v>
      </c>
      <c r="R2134" s="81" t="s">
        <v>2568</v>
      </c>
      <c r="S2134" s="81"/>
      <c r="T2134" s="81"/>
      <c r="U2134" s="83" t="n">
        <v>46264</v>
      </c>
      <c r="V2134" s="83" t="n">
        <v>46264</v>
      </c>
      <c r="W2134" s="81" t="s">
        <v>2589</v>
      </c>
      <c r="X2134" s="81" t="s">
        <v>876</v>
      </c>
      <c r="Y2134" s="83" t="n">
        <v>46274</v>
      </c>
      <c r="Z2134" s="81" t="s">
        <v>2578</v>
      </c>
      <c r="AA2134" s="81" t="s">
        <v>876</v>
      </c>
      <c r="AB2134" s="81"/>
      <c r="AC2134" s="81"/>
      <c r="AD2134" s="81"/>
      <c r="AE2134" s="83"/>
      <c r="AF2134" s="81"/>
      <c r="AG2134" s="81"/>
      <c r="AH2134" s="81"/>
      <c r="AI2134" s="81"/>
      <c r="AJ2134" s="83"/>
      <c r="AK2134" s="81"/>
      <c r="AL2134" s="81"/>
      <c r="AM2134" s="83"/>
      <c r="AN2134" s="80"/>
      <c r="AO2134" s="82" t="n">
        <f aca="false">IF(E2134="","",(AA2134&lt;&gt;"")+(AG2134&lt;&gt;"")+(AL2134&lt;&gt;""))</f>
        <v>1</v>
      </c>
      <c r="AP2134" s="82" t="str">
        <f aca="false">IF(AL2134&lt;&gt;"",AL2134,IF(AG2134&lt;&gt;"",AG2134,IF(AA2134&lt;&gt;"",AA2134,"")))</f>
        <v>A</v>
      </c>
      <c r="AQ2134" s="84" t="str">
        <f aca="false">IF(E2134="","",IF(U2134="","À SOUDER",IF(X2134="","VT EN ATTENTE",IF(X2134="R","VT REJETÉ – À REPRENDRE",IF(AP2134="","À RADIOGRAPHIER",IF(AP2134="A","ACCEPTÉ",IF(AP2134="NX","NX – RT À REFAIRE",IF(IF(AO2134=1,AD2134,IF(AO2134=2,AI2134,""))="A","RÉPARÉ – À RADIOGRAPHIER",IF(IF(AO2134=1,AD2134,IF(AO2134=2,AI2134,""))="R","VT REJETÉ – À REPRENDRE",IF(OR(AP2134="CO",AP2134="NT"),"COUPE – À RESOUDER","À RÉPARER"))))))))))</f>
        <v>ACCEPTÉ</v>
      </c>
      <c r="AR2134" s="82" t="str">
        <f aca="false">IF(AND(ISNUMBER(U2134),OR(AQ2134="À RADIOGRAPHIER",AQ2134="RÉPARÉ – À RADIOGRAPHIER",AQ2134="NX – RT À REFAIRE",AQ2134="À RÉPARER",AQ2134="COUPE – À RESOUDER",AQ2134="VT REJETÉ – À REPRENDRE")),MAX(0,'PROGRAMME RT'!$C$4-U2134),"")</f>
        <v/>
      </c>
      <c r="AS2134" s="82" t="n">
        <f aca="false">IF(AND(OR(AQ2134="À RADIOGRAPHIER",AQ2134="RÉPARÉ – À RADIOGRAPHIER",AQ2134="NX – RT À REFAIRE"),OR('PROGRAMME RT'!$D$5="TOUTES",B2134='PROGRAMME RT'!$D$5)),1,0)</f>
        <v>0</v>
      </c>
      <c r="AT2134" s="82" t="str">
        <f aca="false">IF(AS2134=1,SUM(AS$7:AS2134),"")</f>
        <v/>
      </c>
      <c r="AU2134" s="82" t="n">
        <f aca="false">IF(AND(OR(AA2134="R",AA2134="NX",AA2134="NT",AA2134="CO"),OR('JOINTS DE RÉPARATION'!$D$5="TOUTES",B2134='JOINTS DE RÉPARATION'!$D$5),OR('JOINTS DE RÉPARATION'!$L$4="TOUS",AQ2134&lt;&gt;"ACCEPTÉ")),1,0)</f>
        <v>0</v>
      </c>
      <c r="AV2134" s="82" t="str">
        <f aca="false">IF(AU2134=1,SUM(AU$7:AU2134),"")</f>
        <v/>
      </c>
      <c r="AW2134" s="82" t="str">
        <f aca="false">IF(E2134="","",B2134&amp;"|"&amp;E2134)</f>
        <v>MFD-ISW → MFD-CPF|JN°1650</v>
      </c>
    </row>
    <row r="2135" customFormat="false" ht="74.6" hidden="false" customHeight="false" outlineLevel="0" collapsed="false">
      <c r="A2135" s="79" t="n">
        <f aca="false">IF(E2135="","",ROW()-6)</f>
        <v>2129</v>
      </c>
      <c r="B2135" s="80" t="s">
        <v>110</v>
      </c>
      <c r="C2135" s="81" t="s">
        <v>2510</v>
      </c>
      <c r="D2135" s="81" t="n">
        <v>20</v>
      </c>
      <c r="E2135" s="81" t="s">
        <v>2592</v>
      </c>
      <c r="F2135" s="82" t="str">
        <f aca="false">IF(E2135="","",IF(LEFT(E2135,2)="DJ","DJ","JN"))</f>
        <v>JN</v>
      </c>
      <c r="G2135" s="81" t="s">
        <v>1504</v>
      </c>
      <c r="H2135" s="81" t="s">
        <v>871</v>
      </c>
      <c r="I2135" s="81" t="n">
        <v>9.53</v>
      </c>
      <c r="J2135" s="81" t="s">
        <v>872</v>
      </c>
      <c r="K2135" s="81" t="s">
        <v>879</v>
      </c>
      <c r="L2135" s="81" t="n">
        <v>2087910</v>
      </c>
      <c r="M2135" s="81" t="n">
        <v>15421108</v>
      </c>
      <c r="N2135" s="81" t="n">
        <v>11.94</v>
      </c>
      <c r="O2135" s="81" t="n">
        <v>2093700</v>
      </c>
      <c r="P2135" s="81" t="n">
        <v>15421110</v>
      </c>
      <c r="Q2135" s="81" t="n">
        <v>11.94</v>
      </c>
      <c r="R2135" s="81" t="s">
        <v>2568</v>
      </c>
      <c r="S2135" s="81"/>
      <c r="T2135" s="81"/>
      <c r="U2135" s="83" t="n">
        <v>46264</v>
      </c>
      <c r="V2135" s="83" t="n">
        <v>46264</v>
      </c>
      <c r="W2135" s="81" t="s">
        <v>2589</v>
      </c>
      <c r="X2135" s="81" t="s">
        <v>876</v>
      </c>
      <c r="Y2135" s="83" t="n">
        <v>46274</v>
      </c>
      <c r="Z2135" s="81" t="s">
        <v>2593</v>
      </c>
      <c r="AA2135" s="81" t="s">
        <v>876</v>
      </c>
      <c r="AB2135" s="81"/>
      <c r="AC2135" s="81"/>
      <c r="AD2135" s="81"/>
      <c r="AE2135" s="83"/>
      <c r="AF2135" s="81"/>
      <c r="AG2135" s="81"/>
      <c r="AH2135" s="81"/>
      <c r="AI2135" s="81"/>
      <c r="AJ2135" s="83"/>
      <c r="AK2135" s="81"/>
      <c r="AL2135" s="81"/>
      <c r="AM2135" s="83"/>
      <c r="AN2135" s="80"/>
      <c r="AO2135" s="82" t="n">
        <f aca="false">IF(E2135="","",(AA2135&lt;&gt;"")+(AG2135&lt;&gt;"")+(AL2135&lt;&gt;""))</f>
        <v>1</v>
      </c>
      <c r="AP2135" s="82" t="str">
        <f aca="false">IF(AL2135&lt;&gt;"",AL2135,IF(AG2135&lt;&gt;"",AG2135,IF(AA2135&lt;&gt;"",AA2135,"")))</f>
        <v>A</v>
      </c>
      <c r="AQ2135" s="84" t="str">
        <f aca="false">IF(E2135="","",IF(U2135="","À SOUDER",IF(X2135="","VT EN ATTENTE",IF(X2135="R","VT REJETÉ – À REPRENDRE",IF(AP2135="","À RADIOGRAPHIER",IF(AP2135="A","ACCEPTÉ",IF(AP2135="NX","NX – RT À REFAIRE",IF(IF(AO2135=1,AD2135,IF(AO2135=2,AI2135,""))="A","RÉPARÉ – À RADIOGRAPHIER",IF(IF(AO2135=1,AD2135,IF(AO2135=2,AI2135,""))="R","VT REJETÉ – À REPRENDRE",IF(OR(AP2135="CO",AP2135="NT"),"COUPE – À RESOUDER","À RÉPARER"))))))))))</f>
        <v>ACCEPTÉ</v>
      </c>
      <c r="AR2135" s="82" t="str">
        <f aca="false">IF(AND(ISNUMBER(U2135),OR(AQ2135="À RADIOGRAPHIER",AQ2135="RÉPARÉ – À RADIOGRAPHIER",AQ2135="NX – RT À REFAIRE",AQ2135="À RÉPARER",AQ2135="COUPE – À RESOUDER",AQ2135="VT REJETÉ – À REPRENDRE")),MAX(0,'PROGRAMME RT'!$C$4-U2135),"")</f>
        <v/>
      </c>
      <c r="AS2135" s="82" t="n">
        <f aca="false">IF(AND(OR(AQ2135="À RADIOGRAPHIER",AQ2135="RÉPARÉ – À RADIOGRAPHIER",AQ2135="NX – RT À REFAIRE"),OR('PROGRAMME RT'!$D$5="TOUTES",B2135='PROGRAMME RT'!$D$5)),1,0)</f>
        <v>0</v>
      </c>
      <c r="AT2135" s="82" t="str">
        <f aca="false">IF(AS2135=1,SUM(AS$7:AS2135),"")</f>
        <v/>
      </c>
      <c r="AU2135" s="82" t="n">
        <f aca="false">IF(AND(OR(AA2135="R",AA2135="NX",AA2135="NT",AA2135="CO"),OR('JOINTS DE RÉPARATION'!$D$5="TOUTES",B2135='JOINTS DE RÉPARATION'!$D$5),OR('JOINTS DE RÉPARATION'!$L$4="TOUS",AQ2135&lt;&gt;"ACCEPTÉ")),1,0)</f>
        <v>0</v>
      </c>
      <c r="AV2135" s="82" t="str">
        <f aca="false">IF(AU2135=1,SUM(AU$7:AU2135),"")</f>
        <v/>
      </c>
      <c r="AW2135" s="82" t="str">
        <f aca="false">IF(E2135="","",B2135&amp;"|"&amp;E2135)</f>
        <v>MFD-ISW → MFD-CPF|JN°1651</v>
      </c>
    </row>
    <row r="2136" customFormat="false" ht="74.6" hidden="false" customHeight="false" outlineLevel="0" collapsed="false">
      <c r="A2136" s="79" t="n">
        <f aca="false">IF(E2136="","",ROW()-6)</f>
        <v>2130</v>
      </c>
      <c r="B2136" s="80" t="s">
        <v>110</v>
      </c>
      <c r="C2136" s="81" t="s">
        <v>2510</v>
      </c>
      <c r="D2136" s="81" t="n">
        <v>20</v>
      </c>
      <c r="E2136" s="81" t="s">
        <v>2594</v>
      </c>
      <c r="F2136" s="82" t="str">
        <f aca="false">IF(E2136="","",IF(LEFT(E2136,2)="DJ","DJ","JN"))</f>
        <v>JN</v>
      </c>
      <c r="G2136" s="81" t="s">
        <v>1504</v>
      </c>
      <c r="H2136" s="81" t="s">
        <v>871</v>
      </c>
      <c r="I2136" s="81" t="n">
        <v>9.53</v>
      </c>
      <c r="J2136" s="81" t="s">
        <v>872</v>
      </c>
      <c r="K2136" s="81" t="s">
        <v>879</v>
      </c>
      <c r="L2136" s="81" t="n">
        <v>2093700</v>
      </c>
      <c r="M2136" s="81" t="n">
        <v>15421110</v>
      </c>
      <c r="N2136" s="81" t="n">
        <v>11.94</v>
      </c>
      <c r="O2136" s="81" t="n">
        <v>2084120</v>
      </c>
      <c r="P2136" s="81" t="n">
        <v>15421106</v>
      </c>
      <c r="Q2136" s="81" t="n">
        <v>11.94</v>
      </c>
      <c r="R2136" s="81" t="s">
        <v>2568</v>
      </c>
      <c r="S2136" s="81"/>
      <c r="T2136" s="81"/>
      <c r="U2136" s="83" t="n">
        <v>46264</v>
      </c>
      <c r="V2136" s="83" t="n">
        <v>46264</v>
      </c>
      <c r="W2136" s="81" t="s">
        <v>2589</v>
      </c>
      <c r="X2136" s="81" t="s">
        <v>876</v>
      </c>
      <c r="Y2136" s="83" t="n">
        <v>46274</v>
      </c>
      <c r="Z2136" s="81" t="s">
        <v>2593</v>
      </c>
      <c r="AA2136" s="81" t="s">
        <v>876</v>
      </c>
      <c r="AB2136" s="81"/>
      <c r="AC2136" s="81"/>
      <c r="AD2136" s="81"/>
      <c r="AE2136" s="83"/>
      <c r="AF2136" s="81"/>
      <c r="AG2136" s="81"/>
      <c r="AH2136" s="81"/>
      <c r="AI2136" s="81"/>
      <c r="AJ2136" s="83"/>
      <c r="AK2136" s="81"/>
      <c r="AL2136" s="81"/>
      <c r="AM2136" s="83"/>
      <c r="AN2136" s="80"/>
      <c r="AO2136" s="82" t="n">
        <f aca="false">IF(E2136="","",(AA2136&lt;&gt;"")+(AG2136&lt;&gt;"")+(AL2136&lt;&gt;""))</f>
        <v>1</v>
      </c>
      <c r="AP2136" s="82" t="str">
        <f aca="false">IF(AL2136&lt;&gt;"",AL2136,IF(AG2136&lt;&gt;"",AG2136,IF(AA2136&lt;&gt;"",AA2136,"")))</f>
        <v>A</v>
      </c>
      <c r="AQ2136" s="84" t="str">
        <f aca="false">IF(E2136="","",IF(U2136="","À SOUDER",IF(X2136="","VT EN ATTENTE",IF(X2136="R","VT REJETÉ – À REPRENDRE",IF(AP2136="","À RADIOGRAPHIER",IF(AP2136="A","ACCEPTÉ",IF(AP2136="NX","NX – RT À REFAIRE",IF(IF(AO2136=1,AD2136,IF(AO2136=2,AI2136,""))="A","RÉPARÉ – À RADIOGRAPHIER",IF(IF(AO2136=1,AD2136,IF(AO2136=2,AI2136,""))="R","VT REJETÉ – À REPRENDRE",IF(OR(AP2136="CO",AP2136="NT"),"COUPE – À RESOUDER","À RÉPARER"))))))))))</f>
        <v>ACCEPTÉ</v>
      </c>
      <c r="AR2136" s="82" t="str">
        <f aca="false">IF(AND(ISNUMBER(U2136),OR(AQ2136="À RADIOGRAPHIER",AQ2136="RÉPARÉ – À RADIOGRAPHIER",AQ2136="NX – RT À REFAIRE",AQ2136="À RÉPARER",AQ2136="COUPE – À RESOUDER",AQ2136="VT REJETÉ – À REPRENDRE")),MAX(0,'PROGRAMME RT'!$C$4-U2136),"")</f>
        <v/>
      </c>
      <c r="AS2136" s="82" t="n">
        <f aca="false">IF(AND(OR(AQ2136="À RADIOGRAPHIER",AQ2136="RÉPARÉ – À RADIOGRAPHIER",AQ2136="NX – RT À REFAIRE"),OR('PROGRAMME RT'!$D$5="TOUTES",B2136='PROGRAMME RT'!$D$5)),1,0)</f>
        <v>0</v>
      </c>
      <c r="AT2136" s="82" t="str">
        <f aca="false">IF(AS2136=1,SUM(AS$7:AS2136),"")</f>
        <v/>
      </c>
      <c r="AU2136" s="82" t="n">
        <f aca="false">IF(AND(OR(AA2136="R",AA2136="NX",AA2136="NT",AA2136="CO"),OR('JOINTS DE RÉPARATION'!$D$5="TOUTES",B2136='JOINTS DE RÉPARATION'!$D$5),OR('JOINTS DE RÉPARATION'!$L$4="TOUS",AQ2136&lt;&gt;"ACCEPTÉ")),1,0)</f>
        <v>0</v>
      </c>
      <c r="AV2136" s="82" t="str">
        <f aca="false">IF(AU2136=1,SUM(AU$7:AU2136),"")</f>
        <v/>
      </c>
      <c r="AW2136" s="82" t="str">
        <f aca="false">IF(E2136="","",B2136&amp;"|"&amp;E2136)</f>
        <v>MFD-ISW → MFD-CPF|JN°1652</v>
      </c>
    </row>
    <row r="2137" customFormat="false" ht="74.6" hidden="false" customHeight="false" outlineLevel="0" collapsed="false">
      <c r="A2137" s="79" t="n">
        <f aca="false">IF(E2137="","",ROW()-6)</f>
        <v>2131</v>
      </c>
      <c r="B2137" s="80" t="s">
        <v>110</v>
      </c>
      <c r="C2137" s="81" t="s">
        <v>2510</v>
      </c>
      <c r="D2137" s="81" t="n">
        <v>20</v>
      </c>
      <c r="E2137" s="81" t="s">
        <v>2595</v>
      </c>
      <c r="F2137" s="82" t="str">
        <f aca="false">IF(E2137="","",IF(LEFT(E2137,2)="DJ","DJ","JN"))</f>
        <v>JN</v>
      </c>
      <c r="G2137" s="81" t="s">
        <v>1504</v>
      </c>
      <c r="H2137" s="81" t="s">
        <v>871</v>
      </c>
      <c r="I2137" s="81" t="n">
        <v>9.53</v>
      </c>
      <c r="J2137" s="81" t="s">
        <v>872</v>
      </c>
      <c r="K2137" s="81" t="s">
        <v>879</v>
      </c>
      <c r="L2137" s="81" t="n">
        <v>2084120</v>
      </c>
      <c r="M2137" s="81" t="n">
        <v>15421106</v>
      </c>
      <c r="N2137" s="81" t="n">
        <v>11.94</v>
      </c>
      <c r="O2137" s="81" t="n">
        <v>2092920</v>
      </c>
      <c r="P2137" s="81" t="n">
        <v>15421110</v>
      </c>
      <c r="Q2137" s="81" t="n">
        <v>11.94</v>
      </c>
      <c r="R2137" s="81" t="s">
        <v>2568</v>
      </c>
      <c r="S2137" s="81"/>
      <c r="T2137" s="81"/>
      <c r="U2137" s="83" t="n">
        <v>46264</v>
      </c>
      <c r="V2137" s="83" t="n">
        <v>46264</v>
      </c>
      <c r="W2137" s="81" t="s">
        <v>2589</v>
      </c>
      <c r="X2137" s="81" t="s">
        <v>876</v>
      </c>
      <c r="Y2137" s="83" t="n">
        <v>46274</v>
      </c>
      <c r="Z2137" s="81" t="s">
        <v>2593</v>
      </c>
      <c r="AA2137" s="81" t="s">
        <v>876</v>
      </c>
      <c r="AB2137" s="81"/>
      <c r="AC2137" s="81"/>
      <c r="AD2137" s="81"/>
      <c r="AE2137" s="83"/>
      <c r="AF2137" s="81"/>
      <c r="AG2137" s="81"/>
      <c r="AH2137" s="81"/>
      <c r="AI2137" s="81"/>
      <c r="AJ2137" s="83"/>
      <c r="AK2137" s="81"/>
      <c r="AL2137" s="81"/>
      <c r="AM2137" s="83"/>
      <c r="AN2137" s="80"/>
      <c r="AO2137" s="82" t="n">
        <f aca="false">IF(E2137="","",(AA2137&lt;&gt;"")+(AG2137&lt;&gt;"")+(AL2137&lt;&gt;""))</f>
        <v>1</v>
      </c>
      <c r="AP2137" s="82" t="str">
        <f aca="false">IF(AL2137&lt;&gt;"",AL2137,IF(AG2137&lt;&gt;"",AG2137,IF(AA2137&lt;&gt;"",AA2137,"")))</f>
        <v>A</v>
      </c>
      <c r="AQ2137" s="84" t="str">
        <f aca="false">IF(E2137="","",IF(U2137="","À SOUDER",IF(X2137="","VT EN ATTENTE",IF(X2137="R","VT REJETÉ – À REPRENDRE",IF(AP2137="","À RADIOGRAPHIER",IF(AP2137="A","ACCEPTÉ",IF(AP2137="NX","NX – RT À REFAIRE",IF(IF(AO2137=1,AD2137,IF(AO2137=2,AI2137,""))="A","RÉPARÉ – À RADIOGRAPHIER",IF(IF(AO2137=1,AD2137,IF(AO2137=2,AI2137,""))="R","VT REJETÉ – À REPRENDRE",IF(OR(AP2137="CO",AP2137="NT"),"COUPE – À RESOUDER","À RÉPARER"))))))))))</f>
        <v>ACCEPTÉ</v>
      </c>
      <c r="AR2137" s="82" t="str">
        <f aca="false">IF(AND(ISNUMBER(U2137),OR(AQ2137="À RADIOGRAPHIER",AQ2137="RÉPARÉ – À RADIOGRAPHIER",AQ2137="NX – RT À REFAIRE",AQ2137="À RÉPARER",AQ2137="COUPE – À RESOUDER",AQ2137="VT REJETÉ – À REPRENDRE")),MAX(0,'PROGRAMME RT'!$C$4-U2137),"")</f>
        <v/>
      </c>
      <c r="AS2137" s="82" t="n">
        <f aca="false">IF(AND(OR(AQ2137="À RADIOGRAPHIER",AQ2137="RÉPARÉ – À RADIOGRAPHIER",AQ2137="NX – RT À REFAIRE"),OR('PROGRAMME RT'!$D$5="TOUTES",B2137='PROGRAMME RT'!$D$5)),1,0)</f>
        <v>0</v>
      </c>
      <c r="AT2137" s="82" t="str">
        <f aca="false">IF(AS2137=1,SUM(AS$7:AS2137),"")</f>
        <v/>
      </c>
      <c r="AU2137" s="82" t="n">
        <f aca="false">IF(AND(OR(AA2137="R",AA2137="NX",AA2137="NT",AA2137="CO"),OR('JOINTS DE RÉPARATION'!$D$5="TOUTES",B2137='JOINTS DE RÉPARATION'!$D$5),OR('JOINTS DE RÉPARATION'!$L$4="TOUS",AQ2137&lt;&gt;"ACCEPTÉ")),1,0)</f>
        <v>0</v>
      </c>
      <c r="AV2137" s="82" t="str">
        <f aca="false">IF(AU2137=1,SUM(AU$7:AU2137),"")</f>
        <v/>
      </c>
      <c r="AW2137" s="82" t="str">
        <f aca="false">IF(E2137="","",B2137&amp;"|"&amp;E2137)</f>
        <v>MFD-ISW → MFD-CPF|JN°1653</v>
      </c>
    </row>
    <row r="2138" customFormat="false" ht="74.6" hidden="false" customHeight="false" outlineLevel="0" collapsed="false">
      <c r="A2138" s="79" t="n">
        <f aca="false">IF(E2138="","",ROW()-6)</f>
        <v>2132</v>
      </c>
      <c r="B2138" s="80" t="s">
        <v>110</v>
      </c>
      <c r="C2138" s="81" t="s">
        <v>2510</v>
      </c>
      <c r="D2138" s="81" t="n">
        <v>20</v>
      </c>
      <c r="E2138" s="81" t="s">
        <v>2596</v>
      </c>
      <c r="F2138" s="82" t="str">
        <f aca="false">IF(E2138="","",IF(LEFT(E2138,2)="DJ","DJ","JN"))</f>
        <v>JN</v>
      </c>
      <c r="G2138" s="81" t="s">
        <v>1504</v>
      </c>
      <c r="H2138" s="81" t="s">
        <v>871</v>
      </c>
      <c r="I2138" s="81" t="n">
        <v>9.53</v>
      </c>
      <c r="J2138" s="81" t="s">
        <v>872</v>
      </c>
      <c r="K2138" s="81" t="s">
        <v>879</v>
      </c>
      <c r="L2138" s="81" t="n">
        <v>2092920</v>
      </c>
      <c r="M2138" s="81" t="n">
        <v>15421110</v>
      </c>
      <c r="N2138" s="81" t="n">
        <v>11.94</v>
      </c>
      <c r="O2138" s="81" t="n">
        <v>2094900</v>
      </c>
      <c r="P2138" s="81" t="n">
        <v>15421111</v>
      </c>
      <c r="Q2138" s="81" t="n">
        <v>11.94</v>
      </c>
      <c r="R2138" s="81" t="s">
        <v>2568</v>
      </c>
      <c r="S2138" s="81"/>
      <c r="T2138" s="81"/>
      <c r="U2138" s="83" t="n">
        <v>46264</v>
      </c>
      <c r="V2138" s="83" t="n">
        <v>46264</v>
      </c>
      <c r="W2138" s="81" t="s">
        <v>2589</v>
      </c>
      <c r="X2138" s="81" t="s">
        <v>876</v>
      </c>
      <c r="Y2138" s="83" t="n">
        <v>46274</v>
      </c>
      <c r="Z2138" s="81" t="s">
        <v>2593</v>
      </c>
      <c r="AA2138" s="81" t="s">
        <v>876</v>
      </c>
      <c r="AB2138" s="81"/>
      <c r="AC2138" s="81"/>
      <c r="AD2138" s="81"/>
      <c r="AE2138" s="83"/>
      <c r="AF2138" s="81"/>
      <c r="AG2138" s="81"/>
      <c r="AH2138" s="81"/>
      <c r="AI2138" s="81"/>
      <c r="AJ2138" s="83"/>
      <c r="AK2138" s="81"/>
      <c r="AL2138" s="81"/>
      <c r="AM2138" s="83"/>
      <c r="AN2138" s="80"/>
      <c r="AO2138" s="82" t="n">
        <f aca="false">IF(E2138="","",(AA2138&lt;&gt;"")+(AG2138&lt;&gt;"")+(AL2138&lt;&gt;""))</f>
        <v>1</v>
      </c>
      <c r="AP2138" s="82" t="str">
        <f aca="false">IF(AL2138&lt;&gt;"",AL2138,IF(AG2138&lt;&gt;"",AG2138,IF(AA2138&lt;&gt;"",AA2138,"")))</f>
        <v>A</v>
      </c>
      <c r="AQ2138" s="84" t="str">
        <f aca="false">IF(E2138="","",IF(U2138="","À SOUDER",IF(X2138="","VT EN ATTENTE",IF(X2138="R","VT REJETÉ – À REPRENDRE",IF(AP2138="","À RADIOGRAPHIER",IF(AP2138="A","ACCEPTÉ",IF(AP2138="NX","NX – RT À REFAIRE",IF(IF(AO2138=1,AD2138,IF(AO2138=2,AI2138,""))="A","RÉPARÉ – À RADIOGRAPHIER",IF(IF(AO2138=1,AD2138,IF(AO2138=2,AI2138,""))="R","VT REJETÉ – À REPRENDRE",IF(OR(AP2138="CO",AP2138="NT"),"COUPE – À RESOUDER","À RÉPARER"))))))))))</f>
        <v>ACCEPTÉ</v>
      </c>
      <c r="AR2138" s="82" t="str">
        <f aca="false">IF(AND(ISNUMBER(U2138),OR(AQ2138="À RADIOGRAPHIER",AQ2138="RÉPARÉ – À RADIOGRAPHIER",AQ2138="NX – RT À REFAIRE",AQ2138="À RÉPARER",AQ2138="COUPE – À RESOUDER",AQ2138="VT REJETÉ – À REPRENDRE")),MAX(0,'PROGRAMME RT'!$C$4-U2138),"")</f>
        <v/>
      </c>
      <c r="AS2138" s="82" t="n">
        <f aca="false">IF(AND(OR(AQ2138="À RADIOGRAPHIER",AQ2138="RÉPARÉ – À RADIOGRAPHIER",AQ2138="NX – RT À REFAIRE"),OR('PROGRAMME RT'!$D$5="TOUTES",B2138='PROGRAMME RT'!$D$5)),1,0)</f>
        <v>0</v>
      </c>
      <c r="AT2138" s="82" t="str">
        <f aca="false">IF(AS2138=1,SUM(AS$7:AS2138),"")</f>
        <v/>
      </c>
      <c r="AU2138" s="82" t="n">
        <f aca="false">IF(AND(OR(AA2138="R",AA2138="NX",AA2138="NT",AA2138="CO"),OR('JOINTS DE RÉPARATION'!$D$5="TOUTES",B2138='JOINTS DE RÉPARATION'!$D$5),OR('JOINTS DE RÉPARATION'!$L$4="TOUS",AQ2138&lt;&gt;"ACCEPTÉ")),1,0)</f>
        <v>0</v>
      </c>
      <c r="AV2138" s="82" t="str">
        <f aca="false">IF(AU2138=1,SUM(AU$7:AU2138),"")</f>
        <v/>
      </c>
      <c r="AW2138" s="82" t="str">
        <f aca="false">IF(E2138="","",B2138&amp;"|"&amp;E2138)</f>
        <v>MFD-ISW → MFD-CPF|JN°1654</v>
      </c>
    </row>
    <row r="2139" customFormat="false" ht="74.6" hidden="false" customHeight="false" outlineLevel="0" collapsed="false">
      <c r="A2139" s="79" t="n">
        <f aca="false">IF(E2139="","",ROW()-6)</f>
        <v>2133</v>
      </c>
      <c r="B2139" s="80" t="s">
        <v>110</v>
      </c>
      <c r="C2139" s="81" t="s">
        <v>2510</v>
      </c>
      <c r="D2139" s="81" t="n">
        <v>20</v>
      </c>
      <c r="E2139" s="81" t="s">
        <v>2597</v>
      </c>
      <c r="F2139" s="82" t="str">
        <f aca="false">IF(E2139="","",IF(LEFT(E2139,2)="DJ","DJ","JN"))</f>
        <v>JN</v>
      </c>
      <c r="G2139" s="81" t="s">
        <v>1504</v>
      </c>
      <c r="H2139" s="81" t="s">
        <v>871</v>
      </c>
      <c r="I2139" s="81" t="n">
        <v>9.53</v>
      </c>
      <c r="J2139" s="81" t="s">
        <v>872</v>
      </c>
      <c r="K2139" s="81" t="s">
        <v>879</v>
      </c>
      <c r="L2139" s="81" t="n">
        <v>2094900</v>
      </c>
      <c r="M2139" s="81" t="n">
        <v>15421111</v>
      </c>
      <c r="N2139" s="81" t="n">
        <v>11.94</v>
      </c>
      <c r="O2139" s="81" t="n">
        <v>2088600</v>
      </c>
      <c r="P2139" s="81" t="n">
        <v>15421108</v>
      </c>
      <c r="Q2139" s="81" t="n">
        <v>11.94</v>
      </c>
      <c r="R2139" s="81" t="s">
        <v>2568</v>
      </c>
      <c r="S2139" s="81"/>
      <c r="T2139" s="81"/>
      <c r="U2139" s="83" t="n">
        <v>46264</v>
      </c>
      <c r="V2139" s="83" t="n">
        <v>46264</v>
      </c>
      <c r="W2139" s="81" t="s">
        <v>2589</v>
      </c>
      <c r="X2139" s="81" t="s">
        <v>876</v>
      </c>
      <c r="Y2139" s="83" t="n">
        <v>46274</v>
      </c>
      <c r="Z2139" s="81" t="s">
        <v>2593</v>
      </c>
      <c r="AA2139" s="81" t="s">
        <v>876</v>
      </c>
      <c r="AB2139" s="81"/>
      <c r="AC2139" s="81"/>
      <c r="AD2139" s="81"/>
      <c r="AE2139" s="83"/>
      <c r="AF2139" s="81"/>
      <c r="AG2139" s="81"/>
      <c r="AH2139" s="81"/>
      <c r="AI2139" s="81"/>
      <c r="AJ2139" s="83"/>
      <c r="AK2139" s="81"/>
      <c r="AL2139" s="81"/>
      <c r="AM2139" s="83"/>
      <c r="AN2139" s="80"/>
      <c r="AO2139" s="82" t="n">
        <f aca="false">IF(E2139="","",(AA2139&lt;&gt;"")+(AG2139&lt;&gt;"")+(AL2139&lt;&gt;""))</f>
        <v>1</v>
      </c>
      <c r="AP2139" s="82" t="str">
        <f aca="false">IF(AL2139&lt;&gt;"",AL2139,IF(AG2139&lt;&gt;"",AG2139,IF(AA2139&lt;&gt;"",AA2139,"")))</f>
        <v>A</v>
      </c>
      <c r="AQ2139" s="84" t="str">
        <f aca="false">IF(E2139="","",IF(U2139="","À SOUDER",IF(X2139="","VT EN ATTENTE",IF(X2139="R","VT REJETÉ – À REPRENDRE",IF(AP2139="","À RADIOGRAPHIER",IF(AP2139="A","ACCEPTÉ",IF(AP2139="NX","NX – RT À REFAIRE",IF(IF(AO2139=1,AD2139,IF(AO2139=2,AI2139,""))="A","RÉPARÉ – À RADIOGRAPHIER",IF(IF(AO2139=1,AD2139,IF(AO2139=2,AI2139,""))="R","VT REJETÉ – À REPRENDRE",IF(OR(AP2139="CO",AP2139="NT"),"COUPE – À RESOUDER","À RÉPARER"))))))))))</f>
        <v>ACCEPTÉ</v>
      </c>
      <c r="AR2139" s="82" t="str">
        <f aca="false">IF(AND(ISNUMBER(U2139),OR(AQ2139="À RADIOGRAPHIER",AQ2139="RÉPARÉ – À RADIOGRAPHIER",AQ2139="NX – RT À REFAIRE",AQ2139="À RÉPARER",AQ2139="COUPE – À RESOUDER",AQ2139="VT REJETÉ – À REPRENDRE")),MAX(0,'PROGRAMME RT'!$C$4-U2139),"")</f>
        <v/>
      </c>
      <c r="AS2139" s="82" t="n">
        <f aca="false">IF(AND(OR(AQ2139="À RADIOGRAPHIER",AQ2139="RÉPARÉ – À RADIOGRAPHIER",AQ2139="NX – RT À REFAIRE"),OR('PROGRAMME RT'!$D$5="TOUTES",B2139='PROGRAMME RT'!$D$5)),1,0)</f>
        <v>0</v>
      </c>
      <c r="AT2139" s="82" t="str">
        <f aca="false">IF(AS2139=1,SUM(AS$7:AS2139),"")</f>
        <v/>
      </c>
      <c r="AU2139" s="82" t="n">
        <f aca="false">IF(AND(OR(AA2139="R",AA2139="NX",AA2139="NT",AA2139="CO"),OR('JOINTS DE RÉPARATION'!$D$5="TOUTES",B2139='JOINTS DE RÉPARATION'!$D$5),OR('JOINTS DE RÉPARATION'!$L$4="TOUS",AQ2139&lt;&gt;"ACCEPTÉ")),1,0)</f>
        <v>0</v>
      </c>
      <c r="AV2139" s="82" t="str">
        <f aca="false">IF(AU2139=1,SUM(AU$7:AU2139),"")</f>
        <v/>
      </c>
      <c r="AW2139" s="82" t="str">
        <f aca="false">IF(E2139="","",B2139&amp;"|"&amp;E2139)</f>
        <v>MFD-ISW → MFD-CPF|JN°1655</v>
      </c>
    </row>
    <row r="2140" customFormat="false" ht="74.6" hidden="false" customHeight="false" outlineLevel="0" collapsed="false">
      <c r="A2140" s="79" t="n">
        <f aca="false">IF(E2140="","",ROW()-6)</f>
        <v>2134</v>
      </c>
      <c r="B2140" s="80" t="s">
        <v>110</v>
      </c>
      <c r="C2140" s="81" t="s">
        <v>2510</v>
      </c>
      <c r="D2140" s="81" t="n">
        <v>20</v>
      </c>
      <c r="E2140" s="81" t="s">
        <v>2598</v>
      </c>
      <c r="F2140" s="82" t="str">
        <f aca="false">IF(E2140="","",IF(LEFT(E2140,2)="DJ","DJ","JN"))</f>
        <v>JN</v>
      </c>
      <c r="G2140" s="81" t="s">
        <v>1504</v>
      </c>
      <c r="H2140" s="81" t="s">
        <v>871</v>
      </c>
      <c r="I2140" s="81" t="n">
        <v>9.53</v>
      </c>
      <c r="J2140" s="81" t="s">
        <v>872</v>
      </c>
      <c r="K2140" s="81" t="s">
        <v>879</v>
      </c>
      <c r="L2140" s="81" t="n">
        <v>2088600</v>
      </c>
      <c r="M2140" s="81" t="n">
        <v>15421108</v>
      </c>
      <c r="N2140" s="81" t="n">
        <v>11.94</v>
      </c>
      <c r="O2140" s="81" t="n">
        <v>2097020</v>
      </c>
      <c r="P2140" s="81" t="n">
        <v>15421111</v>
      </c>
      <c r="Q2140" s="81" t="n">
        <v>11.94</v>
      </c>
      <c r="R2140" s="81" t="s">
        <v>2568</v>
      </c>
      <c r="S2140" s="81"/>
      <c r="T2140" s="81"/>
      <c r="U2140" s="83" t="n">
        <v>46264</v>
      </c>
      <c r="V2140" s="83" t="n">
        <v>46264</v>
      </c>
      <c r="W2140" s="81" t="s">
        <v>2589</v>
      </c>
      <c r="X2140" s="81" t="s">
        <v>876</v>
      </c>
      <c r="Y2140" s="83" t="n">
        <v>46274</v>
      </c>
      <c r="Z2140" s="81" t="s">
        <v>2517</v>
      </c>
      <c r="AA2140" s="81" t="s">
        <v>1153</v>
      </c>
      <c r="AB2140" s="81" t="s">
        <v>2599</v>
      </c>
      <c r="AC2140" s="81"/>
      <c r="AD2140" s="81"/>
      <c r="AE2140" s="83"/>
      <c r="AF2140" s="81"/>
      <c r="AG2140" s="81"/>
      <c r="AH2140" s="81"/>
      <c r="AI2140" s="81"/>
      <c r="AJ2140" s="83"/>
      <c r="AK2140" s="81"/>
      <c r="AL2140" s="81"/>
      <c r="AM2140" s="83"/>
      <c r="AN2140" s="80"/>
      <c r="AO2140" s="82" t="n">
        <f aca="false">IF(E2140="","",(AA2140&lt;&gt;"")+(AG2140&lt;&gt;"")+(AL2140&lt;&gt;""))</f>
        <v>1</v>
      </c>
      <c r="AP2140" s="82" t="str">
        <f aca="false">IF(AL2140&lt;&gt;"",AL2140,IF(AG2140&lt;&gt;"",AG2140,IF(AA2140&lt;&gt;"",AA2140,"")))</f>
        <v>NX</v>
      </c>
      <c r="AQ2140" s="84" t="str">
        <f aca="false">IF(E2140="","",IF(U2140="","À SOUDER",IF(X2140="","VT EN ATTENTE",IF(X2140="R","VT REJETÉ – À REPRENDRE",IF(AP2140="","À RADIOGRAPHIER",IF(AP2140="A","ACCEPTÉ",IF(AP2140="NX","NX – RT À REFAIRE",IF(IF(AO2140=1,AD2140,IF(AO2140=2,AI2140,""))="A","RÉPARÉ – À RADIOGRAPHIER",IF(IF(AO2140=1,AD2140,IF(AO2140=2,AI2140,""))="R","VT REJETÉ – À REPRENDRE",IF(OR(AP2140="CO",AP2140="NT"),"COUPE – À RESOUDER","À RÉPARER"))))))))))</f>
        <v>NX – RT À REFAIRE</v>
      </c>
      <c r="AR2140" s="82" t="n">
        <f aca="false">IF(AND(ISNUMBER(U2140),OR(AQ2140="À RADIOGRAPHIER",AQ2140="RÉPARÉ – À RADIOGRAPHIER",AQ2140="NX – RT À REFAIRE",AQ2140="À RÉPARER",AQ2140="COUPE – À RESOUDER",AQ2140="VT REJETÉ – À REPRENDRE")),MAX(0,'PROGRAMME RT'!$C$4-U2140),"")</f>
        <v>29</v>
      </c>
      <c r="AS2140" s="82" t="n">
        <f aca="false">IF(AND(OR(AQ2140="À RADIOGRAPHIER",AQ2140="RÉPARÉ – À RADIOGRAPHIER",AQ2140="NX – RT À REFAIRE"),OR('PROGRAMME RT'!$D$5="TOUTES",B2140='PROGRAMME RT'!$D$5)),1,0)</f>
        <v>1</v>
      </c>
      <c r="AT2140" s="82" t="n">
        <f aca="false">IF(AS2140=1,SUM(AS$7:AS2140),"")</f>
        <v>117</v>
      </c>
      <c r="AU2140" s="82" t="n">
        <f aca="false">IF(AND(OR(AA2140="R",AA2140="NX",AA2140="NT",AA2140="CO"),OR('JOINTS DE RÉPARATION'!$D$5="TOUTES",B2140='JOINTS DE RÉPARATION'!$D$5),OR('JOINTS DE RÉPARATION'!$L$4="TOUS",AQ2140&lt;&gt;"ACCEPTÉ")),1,0)</f>
        <v>1</v>
      </c>
      <c r="AV2140" s="82" t="n">
        <f aca="false">IF(AU2140=1,SUM(AU$7:AU2140),"")</f>
        <v>62</v>
      </c>
      <c r="AW2140" s="82" t="str">
        <f aca="false">IF(E2140="","",B2140&amp;"|"&amp;E2140)</f>
        <v>MFD-ISW → MFD-CPF|JN°1656</v>
      </c>
    </row>
    <row r="2141" customFormat="false" ht="74.6" hidden="false" customHeight="false" outlineLevel="0" collapsed="false">
      <c r="A2141" s="79" t="n">
        <f aca="false">IF(E2141="","",ROW()-6)</f>
        <v>2135</v>
      </c>
      <c r="B2141" s="80" t="s">
        <v>110</v>
      </c>
      <c r="C2141" s="81" t="s">
        <v>2510</v>
      </c>
      <c r="D2141" s="81" t="n">
        <v>20</v>
      </c>
      <c r="E2141" s="81" t="s">
        <v>2600</v>
      </c>
      <c r="F2141" s="82" t="str">
        <f aca="false">IF(E2141="","",IF(LEFT(E2141,2)="DJ","DJ","JN"))</f>
        <v>JN</v>
      </c>
      <c r="G2141" s="81" t="s">
        <v>1504</v>
      </c>
      <c r="H2141" s="81" t="s">
        <v>871</v>
      </c>
      <c r="I2141" s="81" t="n">
        <v>9.53</v>
      </c>
      <c r="J2141" s="81" t="s">
        <v>872</v>
      </c>
      <c r="K2141" s="81" t="s">
        <v>879</v>
      </c>
      <c r="L2141" s="81" t="n">
        <v>2097020</v>
      </c>
      <c r="M2141" s="81" t="n">
        <v>15421111</v>
      </c>
      <c r="N2141" s="81" t="n">
        <v>11.94</v>
      </c>
      <c r="O2141" s="81" t="n">
        <v>2093710</v>
      </c>
      <c r="P2141" s="81" t="n">
        <v>15421110</v>
      </c>
      <c r="Q2141" s="81" t="n">
        <v>11.94</v>
      </c>
      <c r="R2141" s="81" t="s">
        <v>2568</v>
      </c>
      <c r="S2141" s="81"/>
      <c r="T2141" s="81"/>
      <c r="U2141" s="83" t="n">
        <v>46264</v>
      </c>
      <c r="V2141" s="83" t="n">
        <v>46264</v>
      </c>
      <c r="W2141" s="81" t="s">
        <v>2589</v>
      </c>
      <c r="X2141" s="81" t="s">
        <v>876</v>
      </c>
      <c r="Y2141" s="83" t="n">
        <v>46274</v>
      </c>
      <c r="Z2141" s="81" t="s">
        <v>2593</v>
      </c>
      <c r="AA2141" s="81" t="s">
        <v>876</v>
      </c>
      <c r="AB2141" s="81"/>
      <c r="AC2141" s="81"/>
      <c r="AD2141" s="81"/>
      <c r="AE2141" s="83"/>
      <c r="AF2141" s="81"/>
      <c r="AG2141" s="81"/>
      <c r="AH2141" s="81"/>
      <c r="AI2141" s="81"/>
      <c r="AJ2141" s="83"/>
      <c r="AK2141" s="81"/>
      <c r="AL2141" s="81"/>
      <c r="AM2141" s="83"/>
      <c r="AN2141" s="80"/>
      <c r="AO2141" s="82" t="n">
        <f aca="false">IF(E2141="","",(AA2141&lt;&gt;"")+(AG2141&lt;&gt;"")+(AL2141&lt;&gt;""))</f>
        <v>1</v>
      </c>
      <c r="AP2141" s="82" t="str">
        <f aca="false">IF(AL2141&lt;&gt;"",AL2141,IF(AG2141&lt;&gt;"",AG2141,IF(AA2141&lt;&gt;"",AA2141,"")))</f>
        <v>A</v>
      </c>
      <c r="AQ2141" s="84" t="str">
        <f aca="false">IF(E2141="","",IF(U2141="","À SOUDER",IF(X2141="","VT EN ATTENTE",IF(X2141="R","VT REJETÉ – À REPRENDRE",IF(AP2141="","À RADIOGRAPHIER",IF(AP2141="A","ACCEPTÉ",IF(AP2141="NX","NX – RT À REFAIRE",IF(IF(AO2141=1,AD2141,IF(AO2141=2,AI2141,""))="A","RÉPARÉ – À RADIOGRAPHIER",IF(IF(AO2141=1,AD2141,IF(AO2141=2,AI2141,""))="R","VT REJETÉ – À REPRENDRE",IF(OR(AP2141="CO",AP2141="NT"),"COUPE – À RESOUDER","À RÉPARER"))))))))))</f>
        <v>ACCEPTÉ</v>
      </c>
      <c r="AR2141" s="82" t="str">
        <f aca="false">IF(AND(ISNUMBER(U2141),OR(AQ2141="À RADIOGRAPHIER",AQ2141="RÉPARÉ – À RADIOGRAPHIER",AQ2141="NX – RT À REFAIRE",AQ2141="À RÉPARER",AQ2141="COUPE – À RESOUDER",AQ2141="VT REJETÉ – À REPRENDRE")),MAX(0,'PROGRAMME RT'!$C$4-U2141),"")</f>
        <v/>
      </c>
      <c r="AS2141" s="82" t="n">
        <f aca="false">IF(AND(OR(AQ2141="À RADIOGRAPHIER",AQ2141="RÉPARÉ – À RADIOGRAPHIER",AQ2141="NX – RT À REFAIRE"),OR('PROGRAMME RT'!$D$5="TOUTES",B2141='PROGRAMME RT'!$D$5)),1,0)</f>
        <v>0</v>
      </c>
      <c r="AT2141" s="82" t="str">
        <f aca="false">IF(AS2141=1,SUM(AS$7:AS2141),"")</f>
        <v/>
      </c>
      <c r="AU2141" s="82" t="n">
        <f aca="false">IF(AND(OR(AA2141="R",AA2141="NX",AA2141="NT",AA2141="CO"),OR('JOINTS DE RÉPARATION'!$D$5="TOUTES",B2141='JOINTS DE RÉPARATION'!$D$5),OR('JOINTS DE RÉPARATION'!$L$4="TOUS",AQ2141&lt;&gt;"ACCEPTÉ")),1,0)</f>
        <v>0</v>
      </c>
      <c r="AV2141" s="82" t="str">
        <f aca="false">IF(AU2141=1,SUM(AU$7:AU2141),"")</f>
        <v/>
      </c>
      <c r="AW2141" s="82" t="str">
        <f aca="false">IF(E2141="","",B2141&amp;"|"&amp;E2141)</f>
        <v>MFD-ISW → MFD-CPF|JN°1657</v>
      </c>
    </row>
    <row r="2142" customFormat="false" ht="74.6" hidden="false" customHeight="false" outlineLevel="0" collapsed="false">
      <c r="A2142" s="79" t="n">
        <f aca="false">IF(E2142="","",ROW()-6)</f>
        <v>2136</v>
      </c>
      <c r="B2142" s="80" t="s">
        <v>110</v>
      </c>
      <c r="C2142" s="81" t="s">
        <v>2510</v>
      </c>
      <c r="D2142" s="81" t="n">
        <v>20</v>
      </c>
      <c r="E2142" s="81" t="s">
        <v>2601</v>
      </c>
      <c r="F2142" s="82" t="str">
        <f aca="false">IF(E2142="","",IF(LEFT(E2142,2)="DJ","DJ","JN"))</f>
        <v>JN</v>
      </c>
      <c r="G2142" s="81" t="s">
        <v>1504</v>
      </c>
      <c r="H2142" s="81" t="s">
        <v>871</v>
      </c>
      <c r="I2142" s="81" t="n">
        <v>9.53</v>
      </c>
      <c r="J2142" s="81" t="s">
        <v>872</v>
      </c>
      <c r="K2142" s="81" t="s">
        <v>879</v>
      </c>
      <c r="L2142" s="81" t="n">
        <v>2093710</v>
      </c>
      <c r="M2142" s="81" t="n">
        <v>15421110</v>
      </c>
      <c r="N2142" s="81" t="n">
        <v>11.94</v>
      </c>
      <c r="O2142" s="81" t="n">
        <v>2081420</v>
      </c>
      <c r="P2142" s="81" t="n">
        <v>15421103</v>
      </c>
      <c r="Q2142" s="81" t="n">
        <v>11.94</v>
      </c>
      <c r="R2142" s="81" t="s">
        <v>2568</v>
      </c>
      <c r="S2142" s="81"/>
      <c r="T2142" s="81"/>
      <c r="U2142" s="83" t="n">
        <v>46264</v>
      </c>
      <c r="V2142" s="83" t="n">
        <v>46264</v>
      </c>
      <c r="W2142" s="81" t="s">
        <v>2589</v>
      </c>
      <c r="X2142" s="81" t="s">
        <v>876</v>
      </c>
      <c r="Y2142" s="83" t="n">
        <v>46274</v>
      </c>
      <c r="Z2142" s="81" t="s">
        <v>2593</v>
      </c>
      <c r="AA2142" s="81" t="s">
        <v>876</v>
      </c>
      <c r="AB2142" s="81"/>
      <c r="AC2142" s="81"/>
      <c r="AD2142" s="81"/>
      <c r="AE2142" s="83"/>
      <c r="AF2142" s="81"/>
      <c r="AG2142" s="81"/>
      <c r="AH2142" s="81"/>
      <c r="AI2142" s="81"/>
      <c r="AJ2142" s="83"/>
      <c r="AK2142" s="81"/>
      <c r="AL2142" s="81"/>
      <c r="AM2142" s="83"/>
      <c r="AN2142" s="80"/>
      <c r="AO2142" s="82" t="n">
        <f aca="false">IF(E2142="","",(AA2142&lt;&gt;"")+(AG2142&lt;&gt;"")+(AL2142&lt;&gt;""))</f>
        <v>1</v>
      </c>
      <c r="AP2142" s="82" t="str">
        <f aca="false">IF(AL2142&lt;&gt;"",AL2142,IF(AG2142&lt;&gt;"",AG2142,IF(AA2142&lt;&gt;"",AA2142,"")))</f>
        <v>A</v>
      </c>
      <c r="AQ2142" s="84" t="str">
        <f aca="false">IF(E2142="","",IF(U2142="","À SOUDER",IF(X2142="","VT EN ATTENTE",IF(X2142="R","VT REJETÉ – À REPRENDRE",IF(AP2142="","À RADIOGRAPHIER",IF(AP2142="A","ACCEPTÉ",IF(AP2142="NX","NX – RT À REFAIRE",IF(IF(AO2142=1,AD2142,IF(AO2142=2,AI2142,""))="A","RÉPARÉ – À RADIOGRAPHIER",IF(IF(AO2142=1,AD2142,IF(AO2142=2,AI2142,""))="R","VT REJETÉ – À REPRENDRE",IF(OR(AP2142="CO",AP2142="NT"),"COUPE – À RESOUDER","À RÉPARER"))))))))))</f>
        <v>ACCEPTÉ</v>
      </c>
      <c r="AR2142" s="82" t="str">
        <f aca="false">IF(AND(ISNUMBER(U2142),OR(AQ2142="À RADIOGRAPHIER",AQ2142="RÉPARÉ – À RADIOGRAPHIER",AQ2142="NX – RT À REFAIRE",AQ2142="À RÉPARER",AQ2142="COUPE – À RESOUDER",AQ2142="VT REJETÉ – À REPRENDRE")),MAX(0,'PROGRAMME RT'!$C$4-U2142),"")</f>
        <v/>
      </c>
      <c r="AS2142" s="82" t="n">
        <f aca="false">IF(AND(OR(AQ2142="À RADIOGRAPHIER",AQ2142="RÉPARÉ – À RADIOGRAPHIER",AQ2142="NX – RT À REFAIRE"),OR('PROGRAMME RT'!$D$5="TOUTES",B2142='PROGRAMME RT'!$D$5)),1,0)</f>
        <v>0</v>
      </c>
      <c r="AT2142" s="82" t="str">
        <f aca="false">IF(AS2142=1,SUM(AS$7:AS2142),"")</f>
        <v/>
      </c>
      <c r="AU2142" s="82" t="n">
        <f aca="false">IF(AND(OR(AA2142="R",AA2142="NX",AA2142="NT",AA2142="CO"),OR('JOINTS DE RÉPARATION'!$D$5="TOUTES",B2142='JOINTS DE RÉPARATION'!$D$5),OR('JOINTS DE RÉPARATION'!$L$4="TOUS",AQ2142&lt;&gt;"ACCEPTÉ")),1,0)</f>
        <v>0</v>
      </c>
      <c r="AV2142" s="82" t="str">
        <f aca="false">IF(AU2142=1,SUM(AU$7:AU2142),"")</f>
        <v/>
      </c>
      <c r="AW2142" s="82" t="str">
        <f aca="false">IF(E2142="","",B2142&amp;"|"&amp;E2142)</f>
        <v>MFD-ISW → MFD-CPF|JN°1658</v>
      </c>
    </row>
    <row r="2143" customFormat="false" ht="74.6" hidden="false" customHeight="false" outlineLevel="0" collapsed="false">
      <c r="A2143" s="79" t="n">
        <f aca="false">IF(E2143="","",ROW()-6)</f>
        <v>2137</v>
      </c>
      <c r="B2143" s="80" t="s">
        <v>110</v>
      </c>
      <c r="C2143" s="81" t="s">
        <v>2510</v>
      </c>
      <c r="D2143" s="81" t="n">
        <v>20</v>
      </c>
      <c r="E2143" s="81" t="s">
        <v>2602</v>
      </c>
      <c r="F2143" s="82" t="str">
        <f aca="false">IF(E2143="","",IF(LEFT(E2143,2)="DJ","DJ","JN"))</f>
        <v>JN</v>
      </c>
      <c r="G2143" s="81" t="s">
        <v>1504</v>
      </c>
      <c r="H2143" s="81" t="s">
        <v>871</v>
      </c>
      <c r="I2143" s="81" t="n">
        <v>9.53</v>
      </c>
      <c r="J2143" s="81" t="s">
        <v>872</v>
      </c>
      <c r="K2143" s="81" t="s">
        <v>879</v>
      </c>
      <c r="L2143" s="81" t="n">
        <v>2081420</v>
      </c>
      <c r="M2143" s="81" t="n">
        <v>15421103</v>
      </c>
      <c r="N2143" s="81" t="n">
        <v>11.94</v>
      </c>
      <c r="O2143" s="81" t="n">
        <v>2093380</v>
      </c>
      <c r="P2143" s="81" t="n">
        <v>15421110</v>
      </c>
      <c r="Q2143" s="81" t="n">
        <v>11.94</v>
      </c>
      <c r="R2143" s="81" t="s">
        <v>2568</v>
      </c>
      <c r="S2143" s="81"/>
      <c r="T2143" s="81"/>
      <c r="U2143" s="83" t="n">
        <v>46264</v>
      </c>
      <c r="V2143" s="83" t="n">
        <v>46264</v>
      </c>
      <c r="W2143" s="81" t="s">
        <v>2589</v>
      </c>
      <c r="X2143" s="81" t="s">
        <v>876</v>
      </c>
      <c r="Y2143" s="83" t="n">
        <v>46274</v>
      </c>
      <c r="Z2143" s="81" t="s">
        <v>2593</v>
      </c>
      <c r="AA2143" s="81" t="s">
        <v>876</v>
      </c>
      <c r="AB2143" s="81"/>
      <c r="AC2143" s="81"/>
      <c r="AD2143" s="81"/>
      <c r="AE2143" s="83"/>
      <c r="AF2143" s="81"/>
      <c r="AG2143" s="81"/>
      <c r="AH2143" s="81"/>
      <c r="AI2143" s="81"/>
      <c r="AJ2143" s="83"/>
      <c r="AK2143" s="81"/>
      <c r="AL2143" s="81"/>
      <c r="AM2143" s="83"/>
      <c r="AN2143" s="80"/>
      <c r="AO2143" s="82" t="n">
        <f aca="false">IF(E2143="","",(AA2143&lt;&gt;"")+(AG2143&lt;&gt;"")+(AL2143&lt;&gt;""))</f>
        <v>1</v>
      </c>
      <c r="AP2143" s="82" t="str">
        <f aca="false">IF(AL2143&lt;&gt;"",AL2143,IF(AG2143&lt;&gt;"",AG2143,IF(AA2143&lt;&gt;"",AA2143,"")))</f>
        <v>A</v>
      </c>
      <c r="AQ2143" s="84" t="str">
        <f aca="false">IF(E2143="","",IF(U2143="","À SOUDER",IF(X2143="","VT EN ATTENTE",IF(X2143="R","VT REJETÉ – À REPRENDRE",IF(AP2143="","À RADIOGRAPHIER",IF(AP2143="A","ACCEPTÉ",IF(AP2143="NX","NX – RT À REFAIRE",IF(IF(AO2143=1,AD2143,IF(AO2143=2,AI2143,""))="A","RÉPARÉ – À RADIOGRAPHIER",IF(IF(AO2143=1,AD2143,IF(AO2143=2,AI2143,""))="R","VT REJETÉ – À REPRENDRE",IF(OR(AP2143="CO",AP2143="NT"),"COUPE – À RESOUDER","À RÉPARER"))))))))))</f>
        <v>ACCEPTÉ</v>
      </c>
      <c r="AR2143" s="82" t="str">
        <f aca="false">IF(AND(ISNUMBER(U2143),OR(AQ2143="À RADIOGRAPHIER",AQ2143="RÉPARÉ – À RADIOGRAPHIER",AQ2143="NX – RT À REFAIRE",AQ2143="À RÉPARER",AQ2143="COUPE – À RESOUDER",AQ2143="VT REJETÉ – À REPRENDRE")),MAX(0,'PROGRAMME RT'!$C$4-U2143),"")</f>
        <v/>
      </c>
      <c r="AS2143" s="82" t="n">
        <f aca="false">IF(AND(OR(AQ2143="À RADIOGRAPHIER",AQ2143="RÉPARÉ – À RADIOGRAPHIER",AQ2143="NX – RT À REFAIRE"),OR('PROGRAMME RT'!$D$5="TOUTES",B2143='PROGRAMME RT'!$D$5)),1,0)</f>
        <v>0</v>
      </c>
      <c r="AT2143" s="82" t="str">
        <f aca="false">IF(AS2143=1,SUM(AS$7:AS2143),"")</f>
        <v/>
      </c>
      <c r="AU2143" s="82" t="n">
        <f aca="false">IF(AND(OR(AA2143="R",AA2143="NX",AA2143="NT",AA2143="CO"),OR('JOINTS DE RÉPARATION'!$D$5="TOUTES",B2143='JOINTS DE RÉPARATION'!$D$5),OR('JOINTS DE RÉPARATION'!$L$4="TOUS",AQ2143&lt;&gt;"ACCEPTÉ")),1,0)</f>
        <v>0</v>
      </c>
      <c r="AV2143" s="82" t="str">
        <f aca="false">IF(AU2143=1,SUM(AU$7:AU2143),"")</f>
        <v/>
      </c>
      <c r="AW2143" s="82" t="str">
        <f aca="false">IF(E2143="","",B2143&amp;"|"&amp;E2143)</f>
        <v>MFD-ISW → MFD-CPF|JN°1659</v>
      </c>
    </row>
    <row r="2144" customFormat="false" ht="74.6" hidden="false" customHeight="false" outlineLevel="0" collapsed="false">
      <c r="A2144" s="79" t="n">
        <f aca="false">IF(E2144="","",ROW()-6)</f>
        <v>2138</v>
      </c>
      <c r="B2144" s="80" t="s">
        <v>110</v>
      </c>
      <c r="C2144" s="81" t="s">
        <v>2510</v>
      </c>
      <c r="D2144" s="81" t="n">
        <v>20</v>
      </c>
      <c r="E2144" s="81" t="s">
        <v>2603</v>
      </c>
      <c r="F2144" s="82" t="str">
        <f aca="false">IF(E2144="","",IF(LEFT(E2144,2)="DJ","DJ","JN"))</f>
        <v>JN</v>
      </c>
      <c r="G2144" s="81" t="s">
        <v>1504</v>
      </c>
      <c r="H2144" s="81" t="s">
        <v>871</v>
      </c>
      <c r="I2144" s="81" t="n">
        <v>9.53</v>
      </c>
      <c r="J2144" s="81" t="s">
        <v>872</v>
      </c>
      <c r="K2144" s="81" t="s">
        <v>879</v>
      </c>
      <c r="L2144" s="81" t="n">
        <v>2093380</v>
      </c>
      <c r="M2144" s="81" t="n">
        <v>15421110</v>
      </c>
      <c r="N2144" s="81" t="n">
        <v>11.94</v>
      </c>
      <c r="O2144" s="81" t="n">
        <v>2096080</v>
      </c>
      <c r="P2144" s="81" t="n">
        <v>156421111</v>
      </c>
      <c r="Q2144" s="81" t="n">
        <v>11.94</v>
      </c>
      <c r="R2144" s="81" t="s">
        <v>2568</v>
      </c>
      <c r="S2144" s="81"/>
      <c r="T2144" s="81"/>
      <c r="U2144" s="83" t="n">
        <v>46264</v>
      </c>
      <c r="V2144" s="83" t="n">
        <v>46264</v>
      </c>
      <c r="W2144" s="81" t="s">
        <v>2589</v>
      </c>
      <c r="X2144" s="81" t="s">
        <v>876</v>
      </c>
      <c r="Y2144" s="83" t="n">
        <v>46274</v>
      </c>
      <c r="Z2144" s="81" t="s">
        <v>2593</v>
      </c>
      <c r="AA2144" s="81" t="s">
        <v>876</v>
      </c>
      <c r="AB2144" s="81"/>
      <c r="AC2144" s="81"/>
      <c r="AD2144" s="81"/>
      <c r="AE2144" s="83"/>
      <c r="AF2144" s="81"/>
      <c r="AG2144" s="81"/>
      <c r="AH2144" s="81"/>
      <c r="AI2144" s="81"/>
      <c r="AJ2144" s="83"/>
      <c r="AK2144" s="81"/>
      <c r="AL2144" s="81"/>
      <c r="AM2144" s="83"/>
      <c r="AN2144" s="80"/>
      <c r="AO2144" s="82" t="n">
        <f aca="false">IF(E2144="","",(AA2144&lt;&gt;"")+(AG2144&lt;&gt;"")+(AL2144&lt;&gt;""))</f>
        <v>1</v>
      </c>
      <c r="AP2144" s="82" t="str">
        <f aca="false">IF(AL2144&lt;&gt;"",AL2144,IF(AG2144&lt;&gt;"",AG2144,IF(AA2144&lt;&gt;"",AA2144,"")))</f>
        <v>A</v>
      </c>
      <c r="AQ2144" s="84" t="str">
        <f aca="false">IF(E2144="","",IF(U2144="","À SOUDER",IF(X2144="","VT EN ATTENTE",IF(X2144="R","VT REJETÉ – À REPRENDRE",IF(AP2144="","À RADIOGRAPHIER",IF(AP2144="A","ACCEPTÉ",IF(AP2144="NX","NX – RT À REFAIRE",IF(IF(AO2144=1,AD2144,IF(AO2144=2,AI2144,""))="A","RÉPARÉ – À RADIOGRAPHIER",IF(IF(AO2144=1,AD2144,IF(AO2144=2,AI2144,""))="R","VT REJETÉ – À REPRENDRE",IF(OR(AP2144="CO",AP2144="NT"),"COUPE – À RESOUDER","À RÉPARER"))))))))))</f>
        <v>ACCEPTÉ</v>
      </c>
      <c r="AR2144" s="82" t="str">
        <f aca="false">IF(AND(ISNUMBER(U2144),OR(AQ2144="À RADIOGRAPHIER",AQ2144="RÉPARÉ – À RADIOGRAPHIER",AQ2144="NX – RT À REFAIRE",AQ2144="À RÉPARER",AQ2144="COUPE – À RESOUDER",AQ2144="VT REJETÉ – À REPRENDRE")),MAX(0,'PROGRAMME RT'!$C$4-U2144),"")</f>
        <v/>
      </c>
      <c r="AS2144" s="82" t="n">
        <f aca="false">IF(AND(OR(AQ2144="À RADIOGRAPHIER",AQ2144="RÉPARÉ – À RADIOGRAPHIER",AQ2144="NX – RT À REFAIRE"),OR('PROGRAMME RT'!$D$5="TOUTES",B2144='PROGRAMME RT'!$D$5)),1,0)</f>
        <v>0</v>
      </c>
      <c r="AT2144" s="82" t="str">
        <f aca="false">IF(AS2144=1,SUM(AS$7:AS2144),"")</f>
        <v/>
      </c>
      <c r="AU2144" s="82" t="n">
        <f aca="false">IF(AND(OR(AA2144="R",AA2144="NX",AA2144="NT",AA2144="CO"),OR('JOINTS DE RÉPARATION'!$D$5="TOUTES",B2144='JOINTS DE RÉPARATION'!$D$5),OR('JOINTS DE RÉPARATION'!$L$4="TOUS",AQ2144&lt;&gt;"ACCEPTÉ")),1,0)</f>
        <v>0</v>
      </c>
      <c r="AV2144" s="82" t="str">
        <f aca="false">IF(AU2144=1,SUM(AU$7:AU2144),"")</f>
        <v/>
      </c>
      <c r="AW2144" s="82" t="str">
        <f aca="false">IF(E2144="","",B2144&amp;"|"&amp;E2144)</f>
        <v>MFD-ISW → MFD-CPF|JN°1660</v>
      </c>
    </row>
    <row r="2145" customFormat="false" ht="74.6" hidden="false" customHeight="false" outlineLevel="0" collapsed="false">
      <c r="A2145" s="79" t="n">
        <f aca="false">IF(E2145="","",ROW()-6)</f>
        <v>2139</v>
      </c>
      <c r="B2145" s="80" t="s">
        <v>110</v>
      </c>
      <c r="C2145" s="81" t="s">
        <v>2510</v>
      </c>
      <c r="D2145" s="81" t="n">
        <v>20</v>
      </c>
      <c r="E2145" s="81" t="s">
        <v>2604</v>
      </c>
      <c r="F2145" s="82" t="str">
        <f aca="false">IF(E2145="","",IF(LEFT(E2145,2)="DJ","DJ","JN"))</f>
        <v>JN</v>
      </c>
      <c r="G2145" s="81" t="s">
        <v>1504</v>
      </c>
      <c r="H2145" s="81" t="s">
        <v>871</v>
      </c>
      <c r="I2145" s="81" t="n">
        <v>9.53</v>
      </c>
      <c r="J2145" s="81" t="s">
        <v>872</v>
      </c>
      <c r="K2145" s="81" t="s">
        <v>879</v>
      </c>
      <c r="L2145" s="81" t="n">
        <v>2096080</v>
      </c>
      <c r="M2145" s="81" t="n">
        <v>156421111</v>
      </c>
      <c r="N2145" s="81" t="n">
        <v>11.94</v>
      </c>
      <c r="O2145" s="81" t="n">
        <v>2097180</v>
      </c>
      <c r="P2145" s="81" t="n">
        <v>15421112</v>
      </c>
      <c r="Q2145" s="81" t="n">
        <v>11.94</v>
      </c>
      <c r="R2145" s="81" t="s">
        <v>2568</v>
      </c>
      <c r="S2145" s="81"/>
      <c r="T2145" s="81"/>
      <c r="U2145" s="83" t="n">
        <v>46264</v>
      </c>
      <c r="V2145" s="83" t="n">
        <v>46264</v>
      </c>
      <c r="W2145" s="81" t="s">
        <v>2589</v>
      </c>
      <c r="X2145" s="81" t="s">
        <v>876</v>
      </c>
      <c r="Y2145" s="83" t="n">
        <v>46274</v>
      </c>
      <c r="Z2145" s="81" t="s">
        <v>2593</v>
      </c>
      <c r="AA2145" s="81" t="s">
        <v>876</v>
      </c>
      <c r="AB2145" s="81"/>
      <c r="AC2145" s="81"/>
      <c r="AD2145" s="81"/>
      <c r="AE2145" s="83"/>
      <c r="AF2145" s="81"/>
      <c r="AG2145" s="81"/>
      <c r="AH2145" s="81"/>
      <c r="AI2145" s="81"/>
      <c r="AJ2145" s="83"/>
      <c r="AK2145" s="81"/>
      <c r="AL2145" s="81"/>
      <c r="AM2145" s="83"/>
      <c r="AN2145" s="80"/>
      <c r="AO2145" s="82" t="n">
        <f aca="false">IF(E2145="","",(AA2145&lt;&gt;"")+(AG2145&lt;&gt;"")+(AL2145&lt;&gt;""))</f>
        <v>1</v>
      </c>
      <c r="AP2145" s="82" t="str">
        <f aca="false">IF(AL2145&lt;&gt;"",AL2145,IF(AG2145&lt;&gt;"",AG2145,IF(AA2145&lt;&gt;"",AA2145,"")))</f>
        <v>A</v>
      </c>
      <c r="AQ2145" s="84" t="str">
        <f aca="false">IF(E2145="","",IF(U2145="","À SOUDER",IF(X2145="","VT EN ATTENTE",IF(X2145="R","VT REJETÉ – À REPRENDRE",IF(AP2145="","À RADIOGRAPHIER",IF(AP2145="A","ACCEPTÉ",IF(AP2145="NX","NX – RT À REFAIRE",IF(IF(AO2145=1,AD2145,IF(AO2145=2,AI2145,""))="A","RÉPARÉ – À RADIOGRAPHIER",IF(IF(AO2145=1,AD2145,IF(AO2145=2,AI2145,""))="R","VT REJETÉ – À REPRENDRE",IF(OR(AP2145="CO",AP2145="NT"),"COUPE – À RESOUDER","À RÉPARER"))))))))))</f>
        <v>ACCEPTÉ</v>
      </c>
      <c r="AR2145" s="82" t="str">
        <f aca="false">IF(AND(ISNUMBER(U2145),OR(AQ2145="À RADIOGRAPHIER",AQ2145="RÉPARÉ – À RADIOGRAPHIER",AQ2145="NX – RT À REFAIRE",AQ2145="À RÉPARER",AQ2145="COUPE – À RESOUDER",AQ2145="VT REJETÉ – À REPRENDRE")),MAX(0,'PROGRAMME RT'!$C$4-U2145),"")</f>
        <v/>
      </c>
      <c r="AS2145" s="82" t="n">
        <f aca="false">IF(AND(OR(AQ2145="À RADIOGRAPHIER",AQ2145="RÉPARÉ – À RADIOGRAPHIER",AQ2145="NX – RT À REFAIRE"),OR('PROGRAMME RT'!$D$5="TOUTES",B2145='PROGRAMME RT'!$D$5)),1,0)</f>
        <v>0</v>
      </c>
      <c r="AT2145" s="82" t="str">
        <f aca="false">IF(AS2145=1,SUM(AS$7:AS2145),"")</f>
        <v/>
      </c>
      <c r="AU2145" s="82" t="n">
        <f aca="false">IF(AND(OR(AA2145="R",AA2145="NX",AA2145="NT",AA2145="CO"),OR('JOINTS DE RÉPARATION'!$D$5="TOUTES",B2145='JOINTS DE RÉPARATION'!$D$5),OR('JOINTS DE RÉPARATION'!$L$4="TOUS",AQ2145&lt;&gt;"ACCEPTÉ")),1,0)</f>
        <v>0</v>
      </c>
      <c r="AV2145" s="82" t="str">
        <f aca="false">IF(AU2145=1,SUM(AU$7:AU2145),"")</f>
        <v/>
      </c>
      <c r="AW2145" s="82" t="str">
        <f aca="false">IF(E2145="","",B2145&amp;"|"&amp;E2145)</f>
        <v>MFD-ISW → MFD-CPF|JN°1661</v>
      </c>
    </row>
    <row r="2146" customFormat="false" ht="74.6" hidden="false" customHeight="false" outlineLevel="0" collapsed="false">
      <c r="A2146" s="79" t="n">
        <f aca="false">IF(E2146="","",ROW()-6)</f>
        <v>2140</v>
      </c>
      <c r="B2146" s="80" t="s">
        <v>110</v>
      </c>
      <c r="C2146" s="81" t="s">
        <v>2510</v>
      </c>
      <c r="D2146" s="81" t="n">
        <v>20</v>
      </c>
      <c r="E2146" s="81" t="s">
        <v>2605</v>
      </c>
      <c r="F2146" s="82" t="str">
        <f aca="false">IF(E2146="","",IF(LEFT(E2146,2)="DJ","DJ","JN"))</f>
        <v>JN</v>
      </c>
      <c r="G2146" s="81" t="s">
        <v>1504</v>
      </c>
      <c r="H2146" s="81" t="s">
        <v>871</v>
      </c>
      <c r="I2146" s="81" t="n">
        <v>9.53</v>
      </c>
      <c r="J2146" s="81" t="s">
        <v>872</v>
      </c>
      <c r="K2146" s="81" t="s">
        <v>879</v>
      </c>
      <c r="L2146" s="81" t="n">
        <v>2097180</v>
      </c>
      <c r="M2146" s="81" t="n">
        <v>15421112</v>
      </c>
      <c r="N2146" s="81" t="n">
        <v>11.94</v>
      </c>
      <c r="O2146" s="81" t="n">
        <v>2098140</v>
      </c>
      <c r="P2146" s="81" t="n">
        <v>15421112</v>
      </c>
      <c r="Q2146" s="81" t="n">
        <v>11.94</v>
      </c>
      <c r="R2146" s="81" t="s">
        <v>2568</v>
      </c>
      <c r="S2146" s="81"/>
      <c r="T2146" s="81"/>
      <c r="U2146" s="83" t="n">
        <v>46264</v>
      </c>
      <c r="V2146" s="83" t="n">
        <v>46264</v>
      </c>
      <c r="W2146" s="81" t="s">
        <v>2589</v>
      </c>
      <c r="X2146" s="81" t="s">
        <v>876</v>
      </c>
      <c r="Y2146" s="83" t="n">
        <v>46274</v>
      </c>
      <c r="Z2146" s="81" t="s">
        <v>2593</v>
      </c>
      <c r="AA2146" s="81" t="s">
        <v>876</v>
      </c>
      <c r="AB2146" s="81"/>
      <c r="AC2146" s="81"/>
      <c r="AD2146" s="81"/>
      <c r="AE2146" s="83"/>
      <c r="AF2146" s="81"/>
      <c r="AG2146" s="81"/>
      <c r="AH2146" s="81"/>
      <c r="AI2146" s="81"/>
      <c r="AJ2146" s="83"/>
      <c r="AK2146" s="81"/>
      <c r="AL2146" s="81"/>
      <c r="AM2146" s="83"/>
      <c r="AN2146" s="80"/>
      <c r="AO2146" s="82" t="n">
        <f aca="false">IF(E2146="","",(AA2146&lt;&gt;"")+(AG2146&lt;&gt;"")+(AL2146&lt;&gt;""))</f>
        <v>1</v>
      </c>
      <c r="AP2146" s="82" t="str">
        <f aca="false">IF(AL2146&lt;&gt;"",AL2146,IF(AG2146&lt;&gt;"",AG2146,IF(AA2146&lt;&gt;"",AA2146,"")))</f>
        <v>A</v>
      </c>
      <c r="AQ2146" s="84" t="str">
        <f aca="false">IF(E2146="","",IF(U2146="","À SOUDER",IF(X2146="","VT EN ATTENTE",IF(X2146="R","VT REJETÉ – À REPRENDRE",IF(AP2146="","À RADIOGRAPHIER",IF(AP2146="A","ACCEPTÉ",IF(AP2146="NX","NX – RT À REFAIRE",IF(IF(AO2146=1,AD2146,IF(AO2146=2,AI2146,""))="A","RÉPARÉ – À RADIOGRAPHIER",IF(IF(AO2146=1,AD2146,IF(AO2146=2,AI2146,""))="R","VT REJETÉ – À REPRENDRE",IF(OR(AP2146="CO",AP2146="NT"),"COUPE – À RESOUDER","À RÉPARER"))))))))))</f>
        <v>ACCEPTÉ</v>
      </c>
      <c r="AR2146" s="82" t="str">
        <f aca="false">IF(AND(ISNUMBER(U2146),OR(AQ2146="À RADIOGRAPHIER",AQ2146="RÉPARÉ – À RADIOGRAPHIER",AQ2146="NX – RT À REFAIRE",AQ2146="À RÉPARER",AQ2146="COUPE – À RESOUDER",AQ2146="VT REJETÉ – À REPRENDRE")),MAX(0,'PROGRAMME RT'!$C$4-U2146),"")</f>
        <v/>
      </c>
      <c r="AS2146" s="82" t="n">
        <f aca="false">IF(AND(OR(AQ2146="À RADIOGRAPHIER",AQ2146="RÉPARÉ – À RADIOGRAPHIER",AQ2146="NX – RT À REFAIRE"),OR('PROGRAMME RT'!$D$5="TOUTES",B2146='PROGRAMME RT'!$D$5)),1,0)</f>
        <v>0</v>
      </c>
      <c r="AT2146" s="82" t="str">
        <f aca="false">IF(AS2146=1,SUM(AS$7:AS2146),"")</f>
        <v/>
      </c>
      <c r="AU2146" s="82" t="n">
        <f aca="false">IF(AND(OR(AA2146="R",AA2146="NX",AA2146="NT",AA2146="CO"),OR('JOINTS DE RÉPARATION'!$D$5="TOUTES",B2146='JOINTS DE RÉPARATION'!$D$5),OR('JOINTS DE RÉPARATION'!$L$4="TOUS",AQ2146&lt;&gt;"ACCEPTÉ")),1,0)</f>
        <v>0</v>
      </c>
      <c r="AV2146" s="82" t="str">
        <f aca="false">IF(AU2146=1,SUM(AU$7:AU2146),"")</f>
        <v/>
      </c>
      <c r="AW2146" s="82" t="str">
        <f aca="false">IF(E2146="","",B2146&amp;"|"&amp;E2146)</f>
        <v>MFD-ISW → MFD-CPF|JN°1662</v>
      </c>
    </row>
    <row r="2147" customFormat="false" ht="74.6" hidden="false" customHeight="false" outlineLevel="0" collapsed="false">
      <c r="A2147" s="79" t="n">
        <f aca="false">IF(E2147="","",ROW()-6)</f>
        <v>2141</v>
      </c>
      <c r="B2147" s="80" t="s">
        <v>110</v>
      </c>
      <c r="C2147" s="81" t="s">
        <v>2510</v>
      </c>
      <c r="D2147" s="81" t="n">
        <v>20</v>
      </c>
      <c r="E2147" s="81" t="s">
        <v>2606</v>
      </c>
      <c r="F2147" s="82" t="str">
        <f aca="false">IF(E2147="","",IF(LEFT(E2147,2)="DJ","DJ","JN"))</f>
        <v>JN</v>
      </c>
      <c r="G2147" s="81" t="s">
        <v>1504</v>
      </c>
      <c r="H2147" s="81" t="s">
        <v>871</v>
      </c>
      <c r="I2147" s="81" t="n">
        <v>9.53</v>
      </c>
      <c r="J2147" s="81" t="s">
        <v>872</v>
      </c>
      <c r="K2147" s="81" t="s">
        <v>879</v>
      </c>
      <c r="L2147" s="81" t="n">
        <v>2098140</v>
      </c>
      <c r="M2147" s="81" t="n">
        <v>15421112</v>
      </c>
      <c r="N2147" s="81" t="n">
        <v>11.94</v>
      </c>
      <c r="O2147" s="81" t="n">
        <v>208010</v>
      </c>
      <c r="P2147" s="81" t="n">
        <v>15421103</v>
      </c>
      <c r="Q2147" s="81" t="n">
        <v>11.94</v>
      </c>
      <c r="R2147" s="81" t="s">
        <v>2568</v>
      </c>
      <c r="S2147" s="81"/>
      <c r="T2147" s="81"/>
      <c r="U2147" s="83" t="n">
        <v>46264</v>
      </c>
      <c r="V2147" s="83" t="n">
        <v>46264</v>
      </c>
      <c r="W2147" s="81" t="s">
        <v>2589</v>
      </c>
      <c r="X2147" s="81" t="s">
        <v>876</v>
      </c>
      <c r="Y2147" s="83" t="n">
        <v>46274</v>
      </c>
      <c r="Z2147" s="81" t="s">
        <v>2593</v>
      </c>
      <c r="AA2147" s="81" t="s">
        <v>876</v>
      </c>
      <c r="AB2147" s="81"/>
      <c r="AC2147" s="81"/>
      <c r="AD2147" s="81"/>
      <c r="AE2147" s="83"/>
      <c r="AF2147" s="81"/>
      <c r="AG2147" s="81"/>
      <c r="AH2147" s="81"/>
      <c r="AI2147" s="81"/>
      <c r="AJ2147" s="83"/>
      <c r="AK2147" s="81"/>
      <c r="AL2147" s="81"/>
      <c r="AM2147" s="83"/>
      <c r="AN2147" s="80"/>
      <c r="AO2147" s="82" t="n">
        <f aca="false">IF(E2147="","",(AA2147&lt;&gt;"")+(AG2147&lt;&gt;"")+(AL2147&lt;&gt;""))</f>
        <v>1</v>
      </c>
      <c r="AP2147" s="82" t="str">
        <f aca="false">IF(AL2147&lt;&gt;"",AL2147,IF(AG2147&lt;&gt;"",AG2147,IF(AA2147&lt;&gt;"",AA2147,"")))</f>
        <v>A</v>
      </c>
      <c r="AQ2147" s="84" t="str">
        <f aca="false">IF(E2147="","",IF(U2147="","À SOUDER",IF(X2147="","VT EN ATTENTE",IF(X2147="R","VT REJETÉ – À REPRENDRE",IF(AP2147="","À RADIOGRAPHIER",IF(AP2147="A","ACCEPTÉ",IF(AP2147="NX","NX – RT À REFAIRE",IF(IF(AO2147=1,AD2147,IF(AO2147=2,AI2147,""))="A","RÉPARÉ – À RADIOGRAPHIER",IF(IF(AO2147=1,AD2147,IF(AO2147=2,AI2147,""))="R","VT REJETÉ – À REPRENDRE",IF(OR(AP2147="CO",AP2147="NT"),"COUPE – À RESOUDER","À RÉPARER"))))))))))</f>
        <v>ACCEPTÉ</v>
      </c>
      <c r="AR2147" s="82" t="str">
        <f aca="false">IF(AND(ISNUMBER(U2147),OR(AQ2147="À RADIOGRAPHIER",AQ2147="RÉPARÉ – À RADIOGRAPHIER",AQ2147="NX – RT À REFAIRE",AQ2147="À RÉPARER",AQ2147="COUPE – À RESOUDER",AQ2147="VT REJETÉ – À REPRENDRE")),MAX(0,'PROGRAMME RT'!$C$4-U2147),"")</f>
        <v/>
      </c>
      <c r="AS2147" s="82" t="n">
        <f aca="false">IF(AND(OR(AQ2147="À RADIOGRAPHIER",AQ2147="RÉPARÉ – À RADIOGRAPHIER",AQ2147="NX – RT À REFAIRE"),OR('PROGRAMME RT'!$D$5="TOUTES",B2147='PROGRAMME RT'!$D$5)),1,0)</f>
        <v>0</v>
      </c>
      <c r="AT2147" s="82" t="str">
        <f aca="false">IF(AS2147=1,SUM(AS$7:AS2147),"")</f>
        <v/>
      </c>
      <c r="AU2147" s="82" t="n">
        <f aca="false">IF(AND(OR(AA2147="R",AA2147="NX",AA2147="NT",AA2147="CO"),OR('JOINTS DE RÉPARATION'!$D$5="TOUTES",B2147='JOINTS DE RÉPARATION'!$D$5),OR('JOINTS DE RÉPARATION'!$L$4="TOUS",AQ2147&lt;&gt;"ACCEPTÉ")),1,0)</f>
        <v>0</v>
      </c>
      <c r="AV2147" s="82" t="str">
        <f aca="false">IF(AU2147=1,SUM(AU$7:AU2147),"")</f>
        <v/>
      </c>
      <c r="AW2147" s="82" t="str">
        <f aca="false">IF(E2147="","",B2147&amp;"|"&amp;E2147)</f>
        <v>MFD-ISW → MFD-CPF|JN°1663</v>
      </c>
    </row>
    <row r="2148" customFormat="false" ht="74.6" hidden="false" customHeight="false" outlineLevel="0" collapsed="false">
      <c r="A2148" s="79" t="n">
        <f aca="false">IF(E2148="","",ROW()-6)</f>
        <v>2142</v>
      </c>
      <c r="B2148" s="80" t="s">
        <v>110</v>
      </c>
      <c r="C2148" s="81" t="s">
        <v>2510</v>
      </c>
      <c r="D2148" s="81" t="n">
        <v>20</v>
      </c>
      <c r="E2148" s="81" t="s">
        <v>2607</v>
      </c>
      <c r="F2148" s="82" t="str">
        <f aca="false">IF(E2148="","",IF(LEFT(E2148,2)="DJ","DJ","JN"))</f>
        <v>JN</v>
      </c>
      <c r="G2148" s="81" t="s">
        <v>1504</v>
      </c>
      <c r="H2148" s="81" t="s">
        <v>871</v>
      </c>
      <c r="I2148" s="81" t="n">
        <v>9.53</v>
      </c>
      <c r="J2148" s="81" t="s">
        <v>872</v>
      </c>
      <c r="K2148" s="81" t="s">
        <v>879</v>
      </c>
      <c r="L2148" s="81" t="n">
        <v>208010</v>
      </c>
      <c r="M2148" s="81" t="n">
        <v>15421103</v>
      </c>
      <c r="N2148" s="81" t="n">
        <v>11.94</v>
      </c>
      <c r="O2148" s="81" t="n">
        <v>2088570</v>
      </c>
      <c r="P2148" s="81" t="n">
        <v>15421108</v>
      </c>
      <c r="Q2148" s="81" t="n">
        <v>11.94</v>
      </c>
      <c r="R2148" s="81" t="s">
        <v>2568</v>
      </c>
      <c r="S2148" s="81"/>
      <c r="T2148" s="81"/>
      <c r="U2148" s="83" t="n">
        <v>46264</v>
      </c>
      <c r="V2148" s="83" t="n">
        <v>46264</v>
      </c>
      <c r="W2148" s="81" t="s">
        <v>2589</v>
      </c>
      <c r="X2148" s="81" t="s">
        <v>876</v>
      </c>
      <c r="Y2148" s="83" t="n">
        <v>46274</v>
      </c>
      <c r="Z2148" s="81" t="s">
        <v>2593</v>
      </c>
      <c r="AA2148" s="81" t="s">
        <v>876</v>
      </c>
      <c r="AB2148" s="81"/>
      <c r="AC2148" s="81"/>
      <c r="AD2148" s="81"/>
      <c r="AE2148" s="83"/>
      <c r="AF2148" s="81"/>
      <c r="AG2148" s="81"/>
      <c r="AH2148" s="81"/>
      <c r="AI2148" s="81"/>
      <c r="AJ2148" s="83"/>
      <c r="AK2148" s="81"/>
      <c r="AL2148" s="81"/>
      <c r="AM2148" s="83"/>
      <c r="AN2148" s="80"/>
      <c r="AO2148" s="82" t="n">
        <f aca="false">IF(E2148="","",(AA2148&lt;&gt;"")+(AG2148&lt;&gt;"")+(AL2148&lt;&gt;""))</f>
        <v>1</v>
      </c>
      <c r="AP2148" s="82" t="str">
        <f aca="false">IF(AL2148&lt;&gt;"",AL2148,IF(AG2148&lt;&gt;"",AG2148,IF(AA2148&lt;&gt;"",AA2148,"")))</f>
        <v>A</v>
      </c>
      <c r="AQ2148" s="84" t="str">
        <f aca="false">IF(E2148="","",IF(U2148="","À SOUDER",IF(X2148="","VT EN ATTENTE",IF(X2148="R","VT REJETÉ – À REPRENDRE",IF(AP2148="","À RADIOGRAPHIER",IF(AP2148="A","ACCEPTÉ",IF(AP2148="NX","NX – RT À REFAIRE",IF(IF(AO2148=1,AD2148,IF(AO2148=2,AI2148,""))="A","RÉPARÉ – À RADIOGRAPHIER",IF(IF(AO2148=1,AD2148,IF(AO2148=2,AI2148,""))="R","VT REJETÉ – À REPRENDRE",IF(OR(AP2148="CO",AP2148="NT"),"COUPE – À RESOUDER","À RÉPARER"))))))))))</f>
        <v>ACCEPTÉ</v>
      </c>
      <c r="AR2148" s="82" t="str">
        <f aca="false">IF(AND(ISNUMBER(U2148),OR(AQ2148="À RADIOGRAPHIER",AQ2148="RÉPARÉ – À RADIOGRAPHIER",AQ2148="NX – RT À REFAIRE",AQ2148="À RÉPARER",AQ2148="COUPE – À RESOUDER",AQ2148="VT REJETÉ – À REPRENDRE")),MAX(0,'PROGRAMME RT'!$C$4-U2148),"")</f>
        <v/>
      </c>
      <c r="AS2148" s="82" t="n">
        <f aca="false">IF(AND(OR(AQ2148="À RADIOGRAPHIER",AQ2148="RÉPARÉ – À RADIOGRAPHIER",AQ2148="NX – RT À REFAIRE"),OR('PROGRAMME RT'!$D$5="TOUTES",B2148='PROGRAMME RT'!$D$5)),1,0)</f>
        <v>0</v>
      </c>
      <c r="AT2148" s="82" t="str">
        <f aca="false">IF(AS2148=1,SUM(AS$7:AS2148),"")</f>
        <v/>
      </c>
      <c r="AU2148" s="82" t="n">
        <f aca="false">IF(AND(OR(AA2148="R",AA2148="NX",AA2148="NT",AA2148="CO"),OR('JOINTS DE RÉPARATION'!$D$5="TOUTES",B2148='JOINTS DE RÉPARATION'!$D$5),OR('JOINTS DE RÉPARATION'!$L$4="TOUS",AQ2148&lt;&gt;"ACCEPTÉ")),1,0)</f>
        <v>0</v>
      </c>
      <c r="AV2148" s="82" t="str">
        <f aca="false">IF(AU2148=1,SUM(AU$7:AU2148),"")</f>
        <v/>
      </c>
      <c r="AW2148" s="82" t="str">
        <f aca="false">IF(E2148="","",B2148&amp;"|"&amp;E2148)</f>
        <v>MFD-ISW → MFD-CPF|JN°1664</v>
      </c>
    </row>
    <row r="2149" customFormat="false" ht="74.6" hidden="false" customHeight="false" outlineLevel="0" collapsed="false">
      <c r="A2149" s="79" t="n">
        <f aca="false">IF(E2149="","",ROW()-6)</f>
        <v>2143</v>
      </c>
      <c r="B2149" s="80" t="s">
        <v>110</v>
      </c>
      <c r="C2149" s="81" t="s">
        <v>2510</v>
      </c>
      <c r="D2149" s="81" t="n">
        <v>20</v>
      </c>
      <c r="E2149" s="81" t="s">
        <v>2608</v>
      </c>
      <c r="F2149" s="82" t="str">
        <f aca="false">IF(E2149="","",IF(LEFT(E2149,2)="DJ","DJ","JN"))</f>
        <v>JN</v>
      </c>
      <c r="G2149" s="81" t="s">
        <v>1504</v>
      </c>
      <c r="H2149" s="81" t="s">
        <v>871</v>
      </c>
      <c r="I2149" s="81" t="n">
        <v>9.53</v>
      </c>
      <c r="J2149" s="81" t="s">
        <v>872</v>
      </c>
      <c r="K2149" s="81" t="s">
        <v>879</v>
      </c>
      <c r="L2149" s="81" t="n">
        <v>2088570</v>
      </c>
      <c r="M2149" s="81" t="n">
        <v>15421108</v>
      </c>
      <c r="N2149" s="81" t="n">
        <v>11.94</v>
      </c>
      <c r="O2149" s="81" t="n">
        <v>2098460</v>
      </c>
      <c r="P2149" s="81" t="n">
        <v>15421112</v>
      </c>
      <c r="Q2149" s="81" t="n">
        <v>11.94</v>
      </c>
      <c r="R2149" s="81" t="s">
        <v>2568</v>
      </c>
      <c r="S2149" s="81"/>
      <c r="T2149" s="81"/>
      <c r="U2149" s="83" t="n">
        <v>46263</v>
      </c>
      <c r="V2149" s="83" t="n">
        <v>46263</v>
      </c>
      <c r="W2149" s="81" t="s">
        <v>2609</v>
      </c>
      <c r="X2149" s="81" t="s">
        <v>876</v>
      </c>
      <c r="Y2149" s="83" t="n">
        <v>46274</v>
      </c>
      <c r="Z2149" s="81" t="s">
        <v>2593</v>
      </c>
      <c r="AA2149" s="81" t="s">
        <v>876</v>
      </c>
      <c r="AB2149" s="81"/>
      <c r="AC2149" s="81"/>
      <c r="AD2149" s="81"/>
      <c r="AE2149" s="83"/>
      <c r="AF2149" s="81"/>
      <c r="AG2149" s="81"/>
      <c r="AH2149" s="81"/>
      <c r="AI2149" s="81"/>
      <c r="AJ2149" s="83"/>
      <c r="AK2149" s="81"/>
      <c r="AL2149" s="81"/>
      <c r="AM2149" s="83"/>
      <c r="AN2149" s="80"/>
      <c r="AO2149" s="82" t="n">
        <f aca="false">IF(E2149="","",(AA2149&lt;&gt;"")+(AG2149&lt;&gt;"")+(AL2149&lt;&gt;""))</f>
        <v>1</v>
      </c>
      <c r="AP2149" s="82" t="str">
        <f aca="false">IF(AL2149&lt;&gt;"",AL2149,IF(AG2149&lt;&gt;"",AG2149,IF(AA2149&lt;&gt;"",AA2149,"")))</f>
        <v>A</v>
      </c>
      <c r="AQ2149" s="84" t="str">
        <f aca="false">IF(E2149="","",IF(U2149="","À SOUDER",IF(X2149="","VT EN ATTENTE",IF(X2149="R","VT REJETÉ – À REPRENDRE",IF(AP2149="","À RADIOGRAPHIER",IF(AP2149="A","ACCEPTÉ",IF(AP2149="NX","NX – RT À REFAIRE",IF(IF(AO2149=1,AD2149,IF(AO2149=2,AI2149,""))="A","RÉPARÉ – À RADIOGRAPHIER",IF(IF(AO2149=1,AD2149,IF(AO2149=2,AI2149,""))="R","VT REJETÉ – À REPRENDRE",IF(OR(AP2149="CO",AP2149="NT"),"COUPE – À RESOUDER","À RÉPARER"))))))))))</f>
        <v>ACCEPTÉ</v>
      </c>
      <c r="AR2149" s="82" t="str">
        <f aca="false">IF(AND(ISNUMBER(U2149),OR(AQ2149="À RADIOGRAPHIER",AQ2149="RÉPARÉ – À RADIOGRAPHIER",AQ2149="NX – RT À REFAIRE",AQ2149="À RÉPARER",AQ2149="COUPE – À RESOUDER",AQ2149="VT REJETÉ – À REPRENDRE")),MAX(0,'PROGRAMME RT'!$C$4-U2149),"")</f>
        <v/>
      </c>
      <c r="AS2149" s="82" t="n">
        <f aca="false">IF(AND(OR(AQ2149="À RADIOGRAPHIER",AQ2149="RÉPARÉ – À RADIOGRAPHIER",AQ2149="NX – RT À REFAIRE"),OR('PROGRAMME RT'!$D$5="TOUTES",B2149='PROGRAMME RT'!$D$5)),1,0)</f>
        <v>0</v>
      </c>
      <c r="AT2149" s="82" t="str">
        <f aca="false">IF(AS2149=1,SUM(AS$7:AS2149),"")</f>
        <v/>
      </c>
      <c r="AU2149" s="82" t="n">
        <f aca="false">IF(AND(OR(AA2149="R",AA2149="NX",AA2149="NT",AA2149="CO"),OR('JOINTS DE RÉPARATION'!$D$5="TOUTES",B2149='JOINTS DE RÉPARATION'!$D$5),OR('JOINTS DE RÉPARATION'!$L$4="TOUS",AQ2149&lt;&gt;"ACCEPTÉ")),1,0)</f>
        <v>0</v>
      </c>
      <c r="AV2149" s="82" t="str">
        <f aca="false">IF(AU2149=1,SUM(AU$7:AU2149),"")</f>
        <v/>
      </c>
      <c r="AW2149" s="82" t="str">
        <f aca="false">IF(E2149="","",B2149&amp;"|"&amp;E2149)</f>
        <v>MFD-ISW → MFD-CPF|JN°1665</v>
      </c>
    </row>
    <row r="2150" customFormat="false" ht="74.6" hidden="false" customHeight="false" outlineLevel="0" collapsed="false">
      <c r="A2150" s="79" t="n">
        <f aca="false">IF(E2150="","",ROW()-6)</f>
        <v>2144</v>
      </c>
      <c r="B2150" s="80" t="s">
        <v>110</v>
      </c>
      <c r="C2150" s="81" t="s">
        <v>2510</v>
      </c>
      <c r="D2150" s="81" t="n">
        <v>20</v>
      </c>
      <c r="E2150" s="81" t="s">
        <v>2610</v>
      </c>
      <c r="F2150" s="82" t="str">
        <f aca="false">IF(E2150="","",IF(LEFT(E2150,2)="DJ","DJ","JN"))</f>
        <v>JN</v>
      </c>
      <c r="G2150" s="81" t="s">
        <v>1504</v>
      </c>
      <c r="H2150" s="81" t="s">
        <v>871</v>
      </c>
      <c r="I2150" s="81" t="n">
        <v>9.53</v>
      </c>
      <c r="J2150" s="81" t="s">
        <v>872</v>
      </c>
      <c r="K2150" s="81" t="s">
        <v>879</v>
      </c>
      <c r="L2150" s="81" t="n">
        <v>2098460</v>
      </c>
      <c r="M2150" s="81" t="n">
        <v>15421112</v>
      </c>
      <c r="N2150" s="81" t="n">
        <v>11.94</v>
      </c>
      <c r="O2150" s="81" t="n">
        <v>2094870</v>
      </c>
      <c r="P2150" s="81" t="n">
        <v>15421111</v>
      </c>
      <c r="Q2150" s="81" t="n">
        <v>11.94</v>
      </c>
      <c r="R2150" s="81" t="s">
        <v>2568</v>
      </c>
      <c r="S2150" s="81"/>
      <c r="T2150" s="81"/>
      <c r="U2150" s="83" t="n">
        <v>46263</v>
      </c>
      <c r="V2150" s="83" t="n">
        <v>46263</v>
      </c>
      <c r="W2150" s="81" t="s">
        <v>2609</v>
      </c>
      <c r="X2150" s="81" t="s">
        <v>876</v>
      </c>
      <c r="Y2150" s="83" t="n">
        <v>46274</v>
      </c>
      <c r="Z2150" s="81" t="s">
        <v>2593</v>
      </c>
      <c r="AA2150" s="81" t="s">
        <v>876</v>
      </c>
      <c r="AB2150" s="81"/>
      <c r="AC2150" s="81"/>
      <c r="AD2150" s="81"/>
      <c r="AE2150" s="83"/>
      <c r="AF2150" s="81"/>
      <c r="AG2150" s="81"/>
      <c r="AH2150" s="81"/>
      <c r="AI2150" s="81"/>
      <c r="AJ2150" s="83"/>
      <c r="AK2150" s="81"/>
      <c r="AL2150" s="81"/>
      <c r="AM2150" s="83"/>
      <c r="AN2150" s="80"/>
      <c r="AO2150" s="82" t="n">
        <f aca="false">IF(E2150="","",(AA2150&lt;&gt;"")+(AG2150&lt;&gt;"")+(AL2150&lt;&gt;""))</f>
        <v>1</v>
      </c>
      <c r="AP2150" s="82" t="str">
        <f aca="false">IF(AL2150&lt;&gt;"",AL2150,IF(AG2150&lt;&gt;"",AG2150,IF(AA2150&lt;&gt;"",AA2150,"")))</f>
        <v>A</v>
      </c>
      <c r="AQ2150" s="84" t="str">
        <f aca="false">IF(E2150="","",IF(U2150="","À SOUDER",IF(X2150="","VT EN ATTENTE",IF(X2150="R","VT REJETÉ – À REPRENDRE",IF(AP2150="","À RADIOGRAPHIER",IF(AP2150="A","ACCEPTÉ",IF(AP2150="NX","NX – RT À REFAIRE",IF(IF(AO2150=1,AD2150,IF(AO2150=2,AI2150,""))="A","RÉPARÉ – À RADIOGRAPHIER",IF(IF(AO2150=1,AD2150,IF(AO2150=2,AI2150,""))="R","VT REJETÉ – À REPRENDRE",IF(OR(AP2150="CO",AP2150="NT"),"COUPE – À RESOUDER","À RÉPARER"))))))))))</f>
        <v>ACCEPTÉ</v>
      </c>
      <c r="AR2150" s="82" t="str">
        <f aca="false">IF(AND(ISNUMBER(U2150),OR(AQ2150="À RADIOGRAPHIER",AQ2150="RÉPARÉ – À RADIOGRAPHIER",AQ2150="NX – RT À REFAIRE",AQ2150="À RÉPARER",AQ2150="COUPE – À RESOUDER",AQ2150="VT REJETÉ – À REPRENDRE")),MAX(0,'PROGRAMME RT'!$C$4-U2150),"")</f>
        <v/>
      </c>
      <c r="AS2150" s="82" t="n">
        <f aca="false">IF(AND(OR(AQ2150="À RADIOGRAPHIER",AQ2150="RÉPARÉ – À RADIOGRAPHIER",AQ2150="NX – RT À REFAIRE"),OR('PROGRAMME RT'!$D$5="TOUTES",B2150='PROGRAMME RT'!$D$5)),1,0)</f>
        <v>0</v>
      </c>
      <c r="AT2150" s="82" t="str">
        <f aca="false">IF(AS2150=1,SUM(AS$7:AS2150),"")</f>
        <v/>
      </c>
      <c r="AU2150" s="82" t="n">
        <f aca="false">IF(AND(OR(AA2150="R",AA2150="NX",AA2150="NT",AA2150="CO"),OR('JOINTS DE RÉPARATION'!$D$5="TOUTES",B2150='JOINTS DE RÉPARATION'!$D$5),OR('JOINTS DE RÉPARATION'!$L$4="TOUS",AQ2150&lt;&gt;"ACCEPTÉ")),1,0)</f>
        <v>0</v>
      </c>
      <c r="AV2150" s="82" t="str">
        <f aca="false">IF(AU2150=1,SUM(AU$7:AU2150),"")</f>
        <v/>
      </c>
      <c r="AW2150" s="82" t="str">
        <f aca="false">IF(E2150="","",B2150&amp;"|"&amp;E2150)</f>
        <v>MFD-ISW → MFD-CPF|JN°1666</v>
      </c>
    </row>
    <row r="2151" customFormat="false" ht="74.6" hidden="false" customHeight="false" outlineLevel="0" collapsed="false">
      <c r="A2151" s="79" t="n">
        <f aca="false">IF(E2151="","",ROW()-6)</f>
        <v>2145</v>
      </c>
      <c r="B2151" s="80" t="s">
        <v>110</v>
      </c>
      <c r="C2151" s="81" t="s">
        <v>2510</v>
      </c>
      <c r="D2151" s="81" t="n">
        <v>20</v>
      </c>
      <c r="E2151" s="81" t="s">
        <v>2611</v>
      </c>
      <c r="F2151" s="82" t="str">
        <f aca="false">IF(E2151="","",IF(LEFT(E2151,2)="DJ","DJ","JN"))</f>
        <v>JN</v>
      </c>
      <c r="G2151" s="81" t="s">
        <v>1504</v>
      </c>
      <c r="H2151" s="81" t="s">
        <v>871</v>
      </c>
      <c r="I2151" s="81" t="n">
        <v>9.53</v>
      </c>
      <c r="J2151" s="81" t="s">
        <v>872</v>
      </c>
      <c r="K2151" s="81" t="s">
        <v>879</v>
      </c>
      <c r="L2151" s="81" t="n">
        <v>2094870</v>
      </c>
      <c r="M2151" s="81" t="n">
        <v>15421111</v>
      </c>
      <c r="N2151" s="81" t="n">
        <v>11.94</v>
      </c>
      <c r="O2151" s="81" t="n">
        <v>2079450</v>
      </c>
      <c r="P2151" s="81" t="n">
        <v>15421102</v>
      </c>
      <c r="Q2151" s="81" t="n">
        <v>11.94</v>
      </c>
      <c r="R2151" s="81" t="s">
        <v>2568</v>
      </c>
      <c r="S2151" s="81"/>
      <c r="T2151" s="81"/>
      <c r="U2151" s="83" t="n">
        <v>46263</v>
      </c>
      <c r="V2151" s="83" t="n">
        <v>46263</v>
      </c>
      <c r="W2151" s="81" t="s">
        <v>2609</v>
      </c>
      <c r="X2151" s="81" t="s">
        <v>876</v>
      </c>
      <c r="Y2151" s="83" t="n">
        <v>46274</v>
      </c>
      <c r="Z2151" s="81" t="s">
        <v>2612</v>
      </c>
      <c r="AA2151" s="81" t="s">
        <v>876</v>
      </c>
      <c r="AB2151" s="81"/>
      <c r="AC2151" s="81"/>
      <c r="AD2151" s="81"/>
      <c r="AE2151" s="83"/>
      <c r="AF2151" s="81"/>
      <c r="AG2151" s="81"/>
      <c r="AH2151" s="81"/>
      <c r="AI2151" s="81"/>
      <c r="AJ2151" s="83"/>
      <c r="AK2151" s="81"/>
      <c r="AL2151" s="81"/>
      <c r="AM2151" s="83"/>
      <c r="AN2151" s="80"/>
      <c r="AO2151" s="82" t="n">
        <f aca="false">IF(E2151="","",(AA2151&lt;&gt;"")+(AG2151&lt;&gt;"")+(AL2151&lt;&gt;""))</f>
        <v>1</v>
      </c>
      <c r="AP2151" s="82" t="str">
        <f aca="false">IF(AL2151&lt;&gt;"",AL2151,IF(AG2151&lt;&gt;"",AG2151,IF(AA2151&lt;&gt;"",AA2151,"")))</f>
        <v>A</v>
      </c>
      <c r="AQ2151" s="84" t="str">
        <f aca="false">IF(E2151="","",IF(U2151="","À SOUDER",IF(X2151="","VT EN ATTENTE",IF(X2151="R","VT REJETÉ – À REPRENDRE",IF(AP2151="","À RADIOGRAPHIER",IF(AP2151="A","ACCEPTÉ",IF(AP2151="NX","NX – RT À REFAIRE",IF(IF(AO2151=1,AD2151,IF(AO2151=2,AI2151,""))="A","RÉPARÉ – À RADIOGRAPHIER",IF(IF(AO2151=1,AD2151,IF(AO2151=2,AI2151,""))="R","VT REJETÉ – À REPRENDRE",IF(OR(AP2151="CO",AP2151="NT"),"COUPE – À RESOUDER","À RÉPARER"))))))))))</f>
        <v>ACCEPTÉ</v>
      </c>
      <c r="AR2151" s="82" t="str">
        <f aca="false">IF(AND(ISNUMBER(U2151),OR(AQ2151="À RADIOGRAPHIER",AQ2151="RÉPARÉ – À RADIOGRAPHIER",AQ2151="NX – RT À REFAIRE",AQ2151="À RÉPARER",AQ2151="COUPE – À RESOUDER",AQ2151="VT REJETÉ – À REPRENDRE")),MAX(0,'PROGRAMME RT'!$C$4-U2151),"")</f>
        <v/>
      </c>
      <c r="AS2151" s="82" t="n">
        <f aca="false">IF(AND(OR(AQ2151="À RADIOGRAPHIER",AQ2151="RÉPARÉ – À RADIOGRAPHIER",AQ2151="NX – RT À REFAIRE"),OR('PROGRAMME RT'!$D$5="TOUTES",B2151='PROGRAMME RT'!$D$5)),1,0)</f>
        <v>0</v>
      </c>
      <c r="AT2151" s="82" t="str">
        <f aca="false">IF(AS2151=1,SUM(AS$7:AS2151),"")</f>
        <v/>
      </c>
      <c r="AU2151" s="82" t="n">
        <f aca="false">IF(AND(OR(AA2151="R",AA2151="NX",AA2151="NT",AA2151="CO"),OR('JOINTS DE RÉPARATION'!$D$5="TOUTES",B2151='JOINTS DE RÉPARATION'!$D$5),OR('JOINTS DE RÉPARATION'!$L$4="TOUS",AQ2151&lt;&gt;"ACCEPTÉ")),1,0)</f>
        <v>0</v>
      </c>
      <c r="AV2151" s="82" t="str">
        <f aca="false">IF(AU2151=1,SUM(AU$7:AU2151),"")</f>
        <v/>
      </c>
      <c r="AW2151" s="82" t="str">
        <f aca="false">IF(E2151="","",B2151&amp;"|"&amp;E2151)</f>
        <v>MFD-ISW → MFD-CPF|JN°1667</v>
      </c>
    </row>
    <row r="2152" customFormat="false" ht="74.6" hidden="false" customHeight="false" outlineLevel="0" collapsed="false">
      <c r="A2152" s="79" t="n">
        <f aca="false">IF(E2152="","",ROW()-6)</f>
        <v>2146</v>
      </c>
      <c r="B2152" s="80" t="s">
        <v>110</v>
      </c>
      <c r="C2152" s="81" t="s">
        <v>2510</v>
      </c>
      <c r="D2152" s="81" t="n">
        <v>20</v>
      </c>
      <c r="E2152" s="81" t="s">
        <v>2613</v>
      </c>
      <c r="F2152" s="82" t="str">
        <f aca="false">IF(E2152="","",IF(LEFT(E2152,2)="DJ","DJ","JN"))</f>
        <v>JN</v>
      </c>
      <c r="G2152" s="81" t="s">
        <v>1504</v>
      </c>
      <c r="H2152" s="81" t="s">
        <v>871</v>
      </c>
      <c r="I2152" s="81" t="n">
        <v>9.53</v>
      </c>
      <c r="J2152" s="81" t="s">
        <v>872</v>
      </c>
      <c r="K2152" s="81" t="s">
        <v>879</v>
      </c>
      <c r="L2152" s="81" t="n">
        <v>2079450</v>
      </c>
      <c r="M2152" s="81" t="n">
        <v>15421102</v>
      </c>
      <c r="N2152" s="81" t="n">
        <v>11.94</v>
      </c>
      <c r="O2152" s="81" t="n">
        <v>2093930</v>
      </c>
      <c r="P2152" s="81" t="n">
        <v>15421110</v>
      </c>
      <c r="Q2152" s="81" t="n">
        <v>11.94</v>
      </c>
      <c r="R2152" s="81" t="s">
        <v>2568</v>
      </c>
      <c r="S2152" s="81"/>
      <c r="T2152" s="81"/>
      <c r="U2152" s="83" t="n">
        <v>46263</v>
      </c>
      <c r="V2152" s="83" t="n">
        <v>46263</v>
      </c>
      <c r="W2152" s="81" t="s">
        <v>2609</v>
      </c>
      <c r="X2152" s="81" t="s">
        <v>876</v>
      </c>
      <c r="Y2152" s="83" t="n">
        <v>46274</v>
      </c>
      <c r="Z2152" s="81" t="s">
        <v>2612</v>
      </c>
      <c r="AA2152" s="81" t="s">
        <v>876</v>
      </c>
      <c r="AB2152" s="81"/>
      <c r="AC2152" s="81"/>
      <c r="AD2152" s="81"/>
      <c r="AE2152" s="83"/>
      <c r="AF2152" s="81"/>
      <c r="AG2152" s="81"/>
      <c r="AH2152" s="81"/>
      <c r="AI2152" s="81"/>
      <c r="AJ2152" s="83"/>
      <c r="AK2152" s="81"/>
      <c r="AL2152" s="81"/>
      <c r="AM2152" s="83"/>
      <c r="AN2152" s="80"/>
      <c r="AO2152" s="82" t="n">
        <f aca="false">IF(E2152="","",(AA2152&lt;&gt;"")+(AG2152&lt;&gt;"")+(AL2152&lt;&gt;""))</f>
        <v>1</v>
      </c>
      <c r="AP2152" s="82" t="str">
        <f aca="false">IF(AL2152&lt;&gt;"",AL2152,IF(AG2152&lt;&gt;"",AG2152,IF(AA2152&lt;&gt;"",AA2152,"")))</f>
        <v>A</v>
      </c>
      <c r="AQ2152" s="84" t="str">
        <f aca="false">IF(E2152="","",IF(U2152="","À SOUDER",IF(X2152="","VT EN ATTENTE",IF(X2152="R","VT REJETÉ – À REPRENDRE",IF(AP2152="","À RADIOGRAPHIER",IF(AP2152="A","ACCEPTÉ",IF(AP2152="NX","NX – RT À REFAIRE",IF(IF(AO2152=1,AD2152,IF(AO2152=2,AI2152,""))="A","RÉPARÉ – À RADIOGRAPHIER",IF(IF(AO2152=1,AD2152,IF(AO2152=2,AI2152,""))="R","VT REJETÉ – À REPRENDRE",IF(OR(AP2152="CO",AP2152="NT"),"COUPE – À RESOUDER","À RÉPARER"))))))))))</f>
        <v>ACCEPTÉ</v>
      </c>
      <c r="AR2152" s="82" t="str">
        <f aca="false">IF(AND(ISNUMBER(U2152),OR(AQ2152="À RADIOGRAPHIER",AQ2152="RÉPARÉ – À RADIOGRAPHIER",AQ2152="NX – RT À REFAIRE",AQ2152="À RÉPARER",AQ2152="COUPE – À RESOUDER",AQ2152="VT REJETÉ – À REPRENDRE")),MAX(0,'PROGRAMME RT'!$C$4-U2152),"")</f>
        <v/>
      </c>
      <c r="AS2152" s="82" t="n">
        <f aca="false">IF(AND(OR(AQ2152="À RADIOGRAPHIER",AQ2152="RÉPARÉ – À RADIOGRAPHIER",AQ2152="NX – RT À REFAIRE"),OR('PROGRAMME RT'!$D$5="TOUTES",B2152='PROGRAMME RT'!$D$5)),1,0)</f>
        <v>0</v>
      </c>
      <c r="AT2152" s="82" t="str">
        <f aca="false">IF(AS2152=1,SUM(AS$7:AS2152),"")</f>
        <v/>
      </c>
      <c r="AU2152" s="82" t="n">
        <f aca="false">IF(AND(OR(AA2152="R",AA2152="NX",AA2152="NT",AA2152="CO"),OR('JOINTS DE RÉPARATION'!$D$5="TOUTES",B2152='JOINTS DE RÉPARATION'!$D$5),OR('JOINTS DE RÉPARATION'!$L$4="TOUS",AQ2152&lt;&gt;"ACCEPTÉ")),1,0)</f>
        <v>0</v>
      </c>
      <c r="AV2152" s="82" t="str">
        <f aca="false">IF(AU2152=1,SUM(AU$7:AU2152),"")</f>
        <v/>
      </c>
      <c r="AW2152" s="82" t="str">
        <f aca="false">IF(E2152="","",B2152&amp;"|"&amp;E2152)</f>
        <v>MFD-ISW → MFD-CPF|JN°1668</v>
      </c>
    </row>
    <row r="2153" customFormat="false" ht="74.6" hidden="false" customHeight="false" outlineLevel="0" collapsed="false">
      <c r="A2153" s="79" t="n">
        <f aca="false">IF(E2153="","",ROW()-6)</f>
        <v>2147</v>
      </c>
      <c r="B2153" s="80" t="s">
        <v>110</v>
      </c>
      <c r="C2153" s="81" t="s">
        <v>2510</v>
      </c>
      <c r="D2153" s="81" t="n">
        <v>20</v>
      </c>
      <c r="E2153" s="81" t="s">
        <v>2614</v>
      </c>
      <c r="F2153" s="82" t="str">
        <f aca="false">IF(E2153="","",IF(LEFT(E2153,2)="DJ","DJ","JN"))</f>
        <v>JN</v>
      </c>
      <c r="G2153" s="81" t="s">
        <v>1504</v>
      </c>
      <c r="H2153" s="81" t="s">
        <v>871</v>
      </c>
      <c r="I2153" s="81" t="n">
        <v>9.53</v>
      </c>
      <c r="J2153" s="81" t="s">
        <v>872</v>
      </c>
      <c r="K2153" s="81" t="s">
        <v>879</v>
      </c>
      <c r="L2153" s="81" t="n">
        <v>2093930</v>
      </c>
      <c r="M2153" s="81" t="n">
        <v>15421110</v>
      </c>
      <c r="N2153" s="81" t="n">
        <v>11.94</v>
      </c>
      <c r="O2153" s="81" t="n">
        <v>2095200</v>
      </c>
      <c r="P2153" s="81" t="n">
        <v>15421111</v>
      </c>
      <c r="Q2153" s="81" t="n">
        <v>11.94</v>
      </c>
      <c r="R2153" s="81" t="s">
        <v>2568</v>
      </c>
      <c r="S2153" s="81"/>
      <c r="T2153" s="81"/>
      <c r="U2153" s="83" t="n">
        <v>46263</v>
      </c>
      <c r="V2153" s="83" t="n">
        <v>46263</v>
      </c>
      <c r="W2153" s="81" t="s">
        <v>2609</v>
      </c>
      <c r="X2153" s="81" t="s">
        <v>876</v>
      </c>
      <c r="Y2153" s="83" t="n">
        <v>46274</v>
      </c>
      <c r="Z2153" s="81" t="s">
        <v>2612</v>
      </c>
      <c r="AA2153" s="81" t="s">
        <v>876</v>
      </c>
      <c r="AB2153" s="81"/>
      <c r="AC2153" s="81"/>
      <c r="AD2153" s="81"/>
      <c r="AE2153" s="83"/>
      <c r="AF2153" s="81"/>
      <c r="AG2153" s="81"/>
      <c r="AH2153" s="81"/>
      <c r="AI2153" s="81"/>
      <c r="AJ2153" s="83"/>
      <c r="AK2153" s="81"/>
      <c r="AL2153" s="81"/>
      <c r="AM2153" s="83"/>
      <c r="AN2153" s="80"/>
      <c r="AO2153" s="82" t="n">
        <f aca="false">IF(E2153="","",(AA2153&lt;&gt;"")+(AG2153&lt;&gt;"")+(AL2153&lt;&gt;""))</f>
        <v>1</v>
      </c>
      <c r="AP2153" s="82" t="str">
        <f aca="false">IF(AL2153&lt;&gt;"",AL2153,IF(AG2153&lt;&gt;"",AG2153,IF(AA2153&lt;&gt;"",AA2153,"")))</f>
        <v>A</v>
      </c>
      <c r="AQ2153" s="84" t="str">
        <f aca="false">IF(E2153="","",IF(U2153="","À SOUDER",IF(X2153="","VT EN ATTENTE",IF(X2153="R","VT REJETÉ – À REPRENDRE",IF(AP2153="","À RADIOGRAPHIER",IF(AP2153="A","ACCEPTÉ",IF(AP2153="NX","NX – RT À REFAIRE",IF(IF(AO2153=1,AD2153,IF(AO2153=2,AI2153,""))="A","RÉPARÉ – À RADIOGRAPHIER",IF(IF(AO2153=1,AD2153,IF(AO2153=2,AI2153,""))="R","VT REJETÉ – À REPRENDRE",IF(OR(AP2153="CO",AP2153="NT"),"COUPE – À RESOUDER","À RÉPARER"))))))))))</f>
        <v>ACCEPTÉ</v>
      </c>
      <c r="AR2153" s="82" t="str">
        <f aca="false">IF(AND(ISNUMBER(U2153),OR(AQ2153="À RADIOGRAPHIER",AQ2153="RÉPARÉ – À RADIOGRAPHIER",AQ2153="NX – RT À REFAIRE",AQ2153="À RÉPARER",AQ2153="COUPE – À RESOUDER",AQ2153="VT REJETÉ – À REPRENDRE")),MAX(0,'PROGRAMME RT'!$C$4-U2153),"")</f>
        <v/>
      </c>
      <c r="AS2153" s="82" t="n">
        <f aca="false">IF(AND(OR(AQ2153="À RADIOGRAPHIER",AQ2153="RÉPARÉ – À RADIOGRAPHIER",AQ2153="NX – RT À REFAIRE"),OR('PROGRAMME RT'!$D$5="TOUTES",B2153='PROGRAMME RT'!$D$5)),1,0)</f>
        <v>0</v>
      </c>
      <c r="AT2153" s="82" t="str">
        <f aca="false">IF(AS2153=1,SUM(AS$7:AS2153),"")</f>
        <v/>
      </c>
      <c r="AU2153" s="82" t="n">
        <f aca="false">IF(AND(OR(AA2153="R",AA2153="NX",AA2153="NT",AA2153="CO"),OR('JOINTS DE RÉPARATION'!$D$5="TOUTES",B2153='JOINTS DE RÉPARATION'!$D$5),OR('JOINTS DE RÉPARATION'!$L$4="TOUS",AQ2153&lt;&gt;"ACCEPTÉ")),1,0)</f>
        <v>0</v>
      </c>
      <c r="AV2153" s="82" t="str">
        <f aca="false">IF(AU2153=1,SUM(AU$7:AU2153),"")</f>
        <v/>
      </c>
      <c r="AW2153" s="82" t="str">
        <f aca="false">IF(E2153="","",B2153&amp;"|"&amp;E2153)</f>
        <v>MFD-ISW → MFD-CPF|JN°1669</v>
      </c>
    </row>
    <row r="2154" customFormat="false" ht="74.6" hidden="false" customHeight="false" outlineLevel="0" collapsed="false">
      <c r="A2154" s="79" t="n">
        <f aca="false">IF(E2154="","",ROW()-6)</f>
        <v>2148</v>
      </c>
      <c r="B2154" s="80" t="s">
        <v>110</v>
      </c>
      <c r="C2154" s="81" t="s">
        <v>2510</v>
      </c>
      <c r="D2154" s="81" t="n">
        <v>20</v>
      </c>
      <c r="E2154" s="81" t="s">
        <v>2615</v>
      </c>
      <c r="F2154" s="82" t="str">
        <f aca="false">IF(E2154="","",IF(LEFT(E2154,2)="DJ","DJ","JN"))</f>
        <v>JN</v>
      </c>
      <c r="G2154" s="81" t="s">
        <v>1504</v>
      </c>
      <c r="H2154" s="81" t="s">
        <v>871</v>
      </c>
      <c r="I2154" s="81" t="n">
        <v>9.53</v>
      </c>
      <c r="J2154" s="81" t="s">
        <v>872</v>
      </c>
      <c r="K2154" s="81" t="s">
        <v>879</v>
      </c>
      <c r="L2154" s="81" t="n">
        <v>2095200</v>
      </c>
      <c r="M2154" s="81" t="n">
        <v>15421111</v>
      </c>
      <c r="N2154" s="81" t="n">
        <v>11.94</v>
      </c>
      <c r="O2154" s="81" t="n">
        <v>2096990</v>
      </c>
      <c r="P2154" s="81" t="n">
        <v>15421111</v>
      </c>
      <c r="Q2154" s="81" t="n">
        <v>11.94</v>
      </c>
      <c r="R2154" s="81" t="s">
        <v>2568</v>
      </c>
      <c r="S2154" s="81"/>
      <c r="T2154" s="81"/>
      <c r="U2154" s="83" t="n">
        <v>46263</v>
      </c>
      <c r="V2154" s="83" t="n">
        <v>46263</v>
      </c>
      <c r="W2154" s="81" t="s">
        <v>2609</v>
      </c>
      <c r="X2154" s="81" t="s">
        <v>876</v>
      </c>
      <c r="Y2154" s="83" t="n">
        <v>46275</v>
      </c>
      <c r="Z2154" s="81" t="s">
        <v>2482</v>
      </c>
      <c r="AA2154" s="81" t="s">
        <v>876</v>
      </c>
      <c r="AB2154" s="81"/>
      <c r="AC2154" s="81"/>
      <c r="AD2154" s="81"/>
      <c r="AE2154" s="83"/>
      <c r="AF2154" s="81"/>
      <c r="AG2154" s="81"/>
      <c r="AH2154" s="81"/>
      <c r="AI2154" s="81"/>
      <c r="AJ2154" s="83"/>
      <c r="AK2154" s="81"/>
      <c r="AL2154" s="81"/>
      <c r="AM2154" s="83"/>
      <c r="AN2154" s="80"/>
      <c r="AO2154" s="82" t="n">
        <f aca="false">IF(E2154="","",(AA2154&lt;&gt;"")+(AG2154&lt;&gt;"")+(AL2154&lt;&gt;""))</f>
        <v>1</v>
      </c>
      <c r="AP2154" s="82" t="str">
        <f aca="false">IF(AL2154&lt;&gt;"",AL2154,IF(AG2154&lt;&gt;"",AG2154,IF(AA2154&lt;&gt;"",AA2154,"")))</f>
        <v>A</v>
      </c>
      <c r="AQ2154" s="84" t="str">
        <f aca="false">IF(E2154="","",IF(U2154="","À SOUDER",IF(X2154="","VT EN ATTENTE",IF(X2154="R","VT REJETÉ – À REPRENDRE",IF(AP2154="","À RADIOGRAPHIER",IF(AP2154="A","ACCEPTÉ",IF(AP2154="NX","NX – RT À REFAIRE",IF(IF(AO2154=1,AD2154,IF(AO2154=2,AI2154,""))="A","RÉPARÉ – À RADIOGRAPHIER",IF(IF(AO2154=1,AD2154,IF(AO2154=2,AI2154,""))="R","VT REJETÉ – À REPRENDRE",IF(OR(AP2154="CO",AP2154="NT"),"COUPE – À RESOUDER","À RÉPARER"))))))))))</f>
        <v>ACCEPTÉ</v>
      </c>
      <c r="AR2154" s="82" t="str">
        <f aca="false">IF(AND(ISNUMBER(U2154),OR(AQ2154="À RADIOGRAPHIER",AQ2154="RÉPARÉ – À RADIOGRAPHIER",AQ2154="NX – RT À REFAIRE",AQ2154="À RÉPARER",AQ2154="COUPE – À RESOUDER",AQ2154="VT REJETÉ – À REPRENDRE")),MAX(0,'PROGRAMME RT'!$C$4-U2154),"")</f>
        <v/>
      </c>
      <c r="AS2154" s="82" t="n">
        <f aca="false">IF(AND(OR(AQ2154="À RADIOGRAPHIER",AQ2154="RÉPARÉ – À RADIOGRAPHIER",AQ2154="NX – RT À REFAIRE"),OR('PROGRAMME RT'!$D$5="TOUTES",B2154='PROGRAMME RT'!$D$5)),1,0)</f>
        <v>0</v>
      </c>
      <c r="AT2154" s="82" t="str">
        <f aca="false">IF(AS2154=1,SUM(AS$7:AS2154),"")</f>
        <v/>
      </c>
      <c r="AU2154" s="82" t="n">
        <f aca="false">IF(AND(OR(AA2154="R",AA2154="NX",AA2154="NT",AA2154="CO"),OR('JOINTS DE RÉPARATION'!$D$5="TOUTES",B2154='JOINTS DE RÉPARATION'!$D$5),OR('JOINTS DE RÉPARATION'!$L$4="TOUS",AQ2154&lt;&gt;"ACCEPTÉ")),1,0)</f>
        <v>0</v>
      </c>
      <c r="AV2154" s="82" t="str">
        <f aca="false">IF(AU2154=1,SUM(AU$7:AU2154),"")</f>
        <v/>
      </c>
      <c r="AW2154" s="82" t="str">
        <f aca="false">IF(E2154="","",B2154&amp;"|"&amp;E2154)</f>
        <v>MFD-ISW → MFD-CPF|JN°1670</v>
      </c>
    </row>
    <row r="2155" customFormat="false" ht="74.6" hidden="false" customHeight="false" outlineLevel="0" collapsed="false">
      <c r="A2155" s="79" t="n">
        <f aca="false">IF(E2155="","",ROW()-6)</f>
        <v>2149</v>
      </c>
      <c r="B2155" s="80" t="s">
        <v>110</v>
      </c>
      <c r="C2155" s="81" t="s">
        <v>2510</v>
      </c>
      <c r="D2155" s="81" t="n">
        <v>20</v>
      </c>
      <c r="E2155" s="81" t="s">
        <v>2616</v>
      </c>
      <c r="F2155" s="82" t="str">
        <f aca="false">IF(E2155="","",IF(LEFT(E2155,2)="DJ","DJ","JN"))</f>
        <v>JN</v>
      </c>
      <c r="G2155" s="81" t="s">
        <v>1504</v>
      </c>
      <c r="H2155" s="81" t="s">
        <v>871</v>
      </c>
      <c r="I2155" s="81" t="n">
        <v>9.53</v>
      </c>
      <c r="J2155" s="81" t="s">
        <v>872</v>
      </c>
      <c r="K2155" s="81" t="s">
        <v>879</v>
      </c>
      <c r="L2155" s="81" t="n">
        <v>2096990</v>
      </c>
      <c r="M2155" s="81" t="n">
        <v>15421111</v>
      </c>
      <c r="N2155" s="81" t="n">
        <v>11.94</v>
      </c>
      <c r="O2155" s="81" t="n">
        <v>2096920</v>
      </c>
      <c r="P2155" s="81" t="n">
        <v>15421111</v>
      </c>
      <c r="Q2155" s="81" t="n">
        <v>11.94</v>
      </c>
      <c r="R2155" s="81" t="s">
        <v>2568</v>
      </c>
      <c r="S2155" s="81"/>
      <c r="T2155" s="81"/>
      <c r="U2155" s="83" t="n">
        <v>46263</v>
      </c>
      <c r="V2155" s="83" t="n">
        <v>46263</v>
      </c>
      <c r="W2155" s="81" t="s">
        <v>2609</v>
      </c>
      <c r="X2155" s="81" t="s">
        <v>876</v>
      </c>
      <c r="Y2155" s="83" t="n">
        <v>46275</v>
      </c>
      <c r="Z2155" s="81" t="s">
        <v>2482</v>
      </c>
      <c r="AA2155" s="81" t="s">
        <v>876</v>
      </c>
      <c r="AB2155" s="81"/>
      <c r="AC2155" s="81"/>
      <c r="AD2155" s="81"/>
      <c r="AE2155" s="83"/>
      <c r="AF2155" s="81"/>
      <c r="AG2155" s="81"/>
      <c r="AH2155" s="81"/>
      <c r="AI2155" s="81"/>
      <c r="AJ2155" s="83"/>
      <c r="AK2155" s="81"/>
      <c r="AL2155" s="81"/>
      <c r="AM2155" s="83"/>
      <c r="AN2155" s="80"/>
      <c r="AO2155" s="82" t="n">
        <f aca="false">IF(E2155="","",(AA2155&lt;&gt;"")+(AG2155&lt;&gt;"")+(AL2155&lt;&gt;""))</f>
        <v>1</v>
      </c>
      <c r="AP2155" s="82" t="str">
        <f aca="false">IF(AL2155&lt;&gt;"",AL2155,IF(AG2155&lt;&gt;"",AG2155,IF(AA2155&lt;&gt;"",AA2155,"")))</f>
        <v>A</v>
      </c>
      <c r="AQ2155" s="84" t="str">
        <f aca="false">IF(E2155="","",IF(U2155="","À SOUDER",IF(X2155="","VT EN ATTENTE",IF(X2155="R","VT REJETÉ – À REPRENDRE",IF(AP2155="","À RADIOGRAPHIER",IF(AP2155="A","ACCEPTÉ",IF(AP2155="NX","NX – RT À REFAIRE",IF(IF(AO2155=1,AD2155,IF(AO2155=2,AI2155,""))="A","RÉPARÉ – À RADIOGRAPHIER",IF(IF(AO2155=1,AD2155,IF(AO2155=2,AI2155,""))="R","VT REJETÉ – À REPRENDRE",IF(OR(AP2155="CO",AP2155="NT"),"COUPE – À RESOUDER","À RÉPARER"))))))))))</f>
        <v>ACCEPTÉ</v>
      </c>
      <c r="AR2155" s="82" t="str">
        <f aca="false">IF(AND(ISNUMBER(U2155),OR(AQ2155="À RADIOGRAPHIER",AQ2155="RÉPARÉ – À RADIOGRAPHIER",AQ2155="NX – RT À REFAIRE",AQ2155="À RÉPARER",AQ2155="COUPE – À RESOUDER",AQ2155="VT REJETÉ – À REPRENDRE")),MAX(0,'PROGRAMME RT'!$C$4-U2155),"")</f>
        <v/>
      </c>
      <c r="AS2155" s="82" t="n">
        <f aca="false">IF(AND(OR(AQ2155="À RADIOGRAPHIER",AQ2155="RÉPARÉ – À RADIOGRAPHIER",AQ2155="NX – RT À REFAIRE"),OR('PROGRAMME RT'!$D$5="TOUTES",B2155='PROGRAMME RT'!$D$5)),1,0)</f>
        <v>0</v>
      </c>
      <c r="AT2155" s="82" t="str">
        <f aca="false">IF(AS2155=1,SUM(AS$7:AS2155),"")</f>
        <v/>
      </c>
      <c r="AU2155" s="82" t="n">
        <f aca="false">IF(AND(OR(AA2155="R",AA2155="NX",AA2155="NT",AA2155="CO"),OR('JOINTS DE RÉPARATION'!$D$5="TOUTES",B2155='JOINTS DE RÉPARATION'!$D$5),OR('JOINTS DE RÉPARATION'!$L$4="TOUS",AQ2155&lt;&gt;"ACCEPTÉ")),1,0)</f>
        <v>0</v>
      </c>
      <c r="AV2155" s="82" t="str">
        <f aca="false">IF(AU2155=1,SUM(AU$7:AU2155),"")</f>
        <v/>
      </c>
      <c r="AW2155" s="82" t="str">
        <f aca="false">IF(E2155="","",B2155&amp;"|"&amp;E2155)</f>
        <v>MFD-ISW → MFD-CPF|JN°1671</v>
      </c>
    </row>
    <row r="2156" customFormat="false" ht="74.6" hidden="false" customHeight="false" outlineLevel="0" collapsed="false">
      <c r="A2156" s="79" t="n">
        <f aca="false">IF(E2156="","",ROW()-6)</f>
        <v>2150</v>
      </c>
      <c r="B2156" s="80" t="s">
        <v>110</v>
      </c>
      <c r="C2156" s="81" t="s">
        <v>2510</v>
      </c>
      <c r="D2156" s="81" t="n">
        <v>20</v>
      </c>
      <c r="E2156" s="81" t="s">
        <v>2617</v>
      </c>
      <c r="F2156" s="82" t="str">
        <f aca="false">IF(E2156="","",IF(LEFT(E2156,2)="DJ","DJ","JN"))</f>
        <v>JN</v>
      </c>
      <c r="G2156" s="81" t="s">
        <v>1504</v>
      </c>
      <c r="H2156" s="81" t="s">
        <v>871</v>
      </c>
      <c r="I2156" s="81" t="n">
        <v>9.53</v>
      </c>
      <c r="J2156" s="81" t="s">
        <v>872</v>
      </c>
      <c r="K2156" s="81" t="s">
        <v>879</v>
      </c>
      <c r="L2156" s="81" t="n">
        <v>2096920</v>
      </c>
      <c r="M2156" s="81" t="n">
        <v>15421111</v>
      </c>
      <c r="N2156" s="81" t="n">
        <v>11.94</v>
      </c>
      <c r="O2156" s="81" t="n">
        <v>2096870</v>
      </c>
      <c r="P2156" s="81" t="n">
        <v>15421112</v>
      </c>
      <c r="Q2156" s="81" t="n">
        <v>11.94</v>
      </c>
      <c r="R2156" s="81" t="s">
        <v>2568</v>
      </c>
      <c r="S2156" s="81"/>
      <c r="T2156" s="81"/>
      <c r="U2156" s="83" t="n">
        <v>46263</v>
      </c>
      <c r="V2156" s="83" t="n">
        <v>46263</v>
      </c>
      <c r="W2156" s="81" t="s">
        <v>2609</v>
      </c>
      <c r="X2156" s="81" t="s">
        <v>876</v>
      </c>
      <c r="Y2156" s="83" t="n">
        <v>46275</v>
      </c>
      <c r="Z2156" s="81" t="s">
        <v>2482</v>
      </c>
      <c r="AA2156" s="81" t="s">
        <v>876</v>
      </c>
      <c r="AB2156" s="81"/>
      <c r="AC2156" s="81"/>
      <c r="AD2156" s="81"/>
      <c r="AE2156" s="83"/>
      <c r="AF2156" s="81"/>
      <c r="AG2156" s="81"/>
      <c r="AH2156" s="81"/>
      <c r="AI2156" s="81"/>
      <c r="AJ2156" s="83"/>
      <c r="AK2156" s="81"/>
      <c r="AL2156" s="81"/>
      <c r="AM2156" s="83"/>
      <c r="AN2156" s="80"/>
      <c r="AO2156" s="82" t="n">
        <f aca="false">IF(E2156="","",(AA2156&lt;&gt;"")+(AG2156&lt;&gt;"")+(AL2156&lt;&gt;""))</f>
        <v>1</v>
      </c>
      <c r="AP2156" s="82" t="str">
        <f aca="false">IF(AL2156&lt;&gt;"",AL2156,IF(AG2156&lt;&gt;"",AG2156,IF(AA2156&lt;&gt;"",AA2156,"")))</f>
        <v>A</v>
      </c>
      <c r="AQ2156" s="84" t="str">
        <f aca="false">IF(E2156="","",IF(U2156="","À SOUDER",IF(X2156="","VT EN ATTENTE",IF(X2156="R","VT REJETÉ – À REPRENDRE",IF(AP2156="","À RADIOGRAPHIER",IF(AP2156="A","ACCEPTÉ",IF(AP2156="NX","NX – RT À REFAIRE",IF(IF(AO2156=1,AD2156,IF(AO2156=2,AI2156,""))="A","RÉPARÉ – À RADIOGRAPHIER",IF(IF(AO2156=1,AD2156,IF(AO2156=2,AI2156,""))="R","VT REJETÉ – À REPRENDRE",IF(OR(AP2156="CO",AP2156="NT"),"COUPE – À RESOUDER","À RÉPARER"))))))))))</f>
        <v>ACCEPTÉ</v>
      </c>
      <c r="AR2156" s="82" t="str">
        <f aca="false">IF(AND(ISNUMBER(U2156),OR(AQ2156="À RADIOGRAPHIER",AQ2156="RÉPARÉ – À RADIOGRAPHIER",AQ2156="NX – RT À REFAIRE",AQ2156="À RÉPARER",AQ2156="COUPE – À RESOUDER",AQ2156="VT REJETÉ – À REPRENDRE")),MAX(0,'PROGRAMME RT'!$C$4-U2156),"")</f>
        <v/>
      </c>
      <c r="AS2156" s="82" t="n">
        <f aca="false">IF(AND(OR(AQ2156="À RADIOGRAPHIER",AQ2156="RÉPARÉ – À RADIOGRAPHIER",AQ2156="NX – RT À REFAIRE"),OR('PROGRAMME RT'!$D$5="TOUTES",B2156='PROGRAMME RT'!$D$5)),1,0)</f>
        <v>0</v>
      </c>
      <c r="AT2156" s="82" t="str">
        <f aca="false">IF(AS2156=1,SUM(AS$7:AS2156),"")</f>
        <v/>
      </c>
      <c r="AU2156" s="82" t="n">
        <f aca="false">IF(AND(OR(AA2156="R",AA2156="NX",AA2156="NT",AA2156="CO"),OR('JOINTS DE RÉPARATION'!$D$5="TOUTES",B2156='JOINTS DE RÉPARATION'!$D$5),OR('JOINTS DE RÉPARATION'!$L$4="TOUS",AQ2156&lt;&gt;"ACCEPTÉ")),1,0)</f>
        <v>0</v>
      </c>
      <c r="AV2156" s="82" t="str">
        <f aca="false">IF(AU2156=1,SUM(AU$7:AU2156),"")</f>
        <v/>
      </c>
      <c r="AW2156" s="82" t="str">
        <f aca="false">IF(E2156="","",B2156&amp;"|"&amp;E2156)</f>
        <v>MFD-ISW → MFD-CPF|JN°1672</v>
      </c>
    </row>
    <row r="2157" customFormat="false" ht="74.6" hidden="false" customHeight="false" outlineLevel="0" collapsed="false">
      <c r="A2157" s="79" t="n">
        <f aca="false">IF(E2157="","",ROW()-6)</f>
        <v>2151</v>
      </c>
      <c r="B2157" s="80" t="s">
        <v>110</v>
      </c>
      <c r="C2157" s="81" t="s">
        <v>2510</v>
      </c>
      <c r="D2157" s="81" t="n">
        <v>20</v>
      </c>
      <c r="E2157" s="81" t="s">
        <v>2618</v>
      </c>
      <c r="F2157" s="82" t="str">
        <f aca="false">IF(E2157="","",IF(LEFT(E2157,2)="DJ","DJ","JN"))</f>
        <v>JN</v>
      </c>
      <c r="G2157" s="81" t="s">
        <v>1504</v>
      </c>
      <c r="H2157" s="81" t="s">
        <v>871</v>
      </c>
      <c r="I2157" s="81" t="n">
        <v>9.53</v>
      </c>
      <c r="J2157" s="81" t="s">
        <v>872</v>
      </c>
      <c r="K2157" s="81" t="s">
        <v>879</v>
      </c>
      <c r="L2157" s="81" t="n">
        <v>2096870</v>
      </c>
      <c r="M2157" s="81" t="n">
        <v>15421112</v>
      </c>
      <c r="N2157" s="81" t="n">
        <v>11.94</v>
      </c>
      <c r="O2157" s="81" t="n">
        <v>2097210</v>
      </c>
      <c r="P2157" s="81" t="n">
        <v>15421112</v>
      </c>
      <c r="Q2157" s="81" t="n">
        <v>11.94</v>
      </c>
      <c r="R2157" s="81" t="s">
        <v>2568</v>
      </c>
      <c r="S2157" s="81"/>
      <c r="T2157" s="81"/>
      <c r="U2157" s="83" t="n">
        <v>46263</v>
      </c>
      <c r="V2157" s="83" t="n">
        <v>46263</v>
      </c>
      <c r="W2157" s="81" t="s">
        <v>2609</v>
      </c>
      <c r="X2157" s="81" t="s">
        <v>876</v>
      </c>
      <c r="Y2157" s="83" t="n">
        <v>46275</v>
      </c>
      <c r="Z2157" s="81" t="s">
        <v>2482</v>
      </c>
      <c r="AA2157" s="81" t="s">
        <v>876</v>
      </c>
      <c r="AB2157" s="81"/>
      <c r="AC2157" s="81"/>
      <c r="AD2157" s="81"/>
      <c r="AE2157" s="83"/>
      <c r="AF2157" s="81"/>
      <c r="AG2157" s="81"/>
      <c r="AH2157" s="81"/>
      <c r="AI2157" s="81"/>
      <c r="AJ2157" s="83"/>
      <c r="AK2157" s="81"/>
      <c r="AL2157" s="81"/>
      <c r="AM2157" s="83"/>
      <c r="AN2157" s="80"/>
      <c r="AO2157" s="82" t="n">
        <f aca="false">IF(E2157="","",(AA2157&lt;&gt;"")+(AG2157&lt;&gt;"")+(AL2157&lt;&gt;""))</f>
        <v>1</v>
      </c>
      <c r="AP2157" s="82" t="str">
        <f aca="false">IF(AL2157&lt;&gt;"",AL2157,IF(AG2157&lt;&gt;"",AG2157,IF(AA2157&lt;&gt;"",AA2157,"")))</f>
        <v>A</v>
      </c>
      <c r="AQ2157" s="84" t="str">
        <f aca="false">IF(E2157="","",IF(U2157="","À SOUDER",IF(X2157="","VT EN ATTENTE",IF(X2157="R","VT REJETÉ – À REPRENDRE",IF(AP2157="","À RADIOGRAPHIER",IF(AP2157="A","ACCEPTÉ",IF(AP2157="NX","NX – RT À REFAIRE",IF(IF(AO2157=1,AD2157,IF(AO2157=2,AI2157,""))="A","RÉPARÉ – À RADIOGRAPHIER",IF(IF(AO2157=1,AD2157,IF(AO2157=2,AI2157,""))="R","VT REJETÉ – À REPRENDRE",IF(OR(AP2157="CO",AP2157="NT"),"COUPE – À RESOUDER","À RÉPARER"))))))))))</f>
        <v>ACCEPTÉ</v>
      </c>
      <c r="AR2157" s="82" t="str">
        <f aca="false">IF(AND(ISNUMBER(U2157),OR(AQ2157="À RADIOGRAPHIER",AQ2157="RÉPARÉ – À RADIOGRAPHIER",AQ2157="NX – RT À REFAIRE",AQ2157="À RÉPARER",AQ2157="COUPE – À RESOUDER",AQ2157="VT REJETÉ – À REPRENDRE")),MAX(0,'PROGRAMME RT'!$C$4-U2157),"")</f>
        <v/>
      </c>
      <c r="AS2157" s="82" t="n">
        <f aca="false">IF(AND(OR(AQ2157="À RADIOGRAPHIER",AQ2157="RÉPARÉ – À RADIOGRAPHIER",AQ2157="NX – RT À REFAIRE"),OR('PROGRAMME RT'!$D$5="TOUTES",B2157='PROGRAMME RT'!$D$5)),1,0)</f>
        <v>0</v>
      </c>
      <c r="AT2157" s="82" t="str">
        <f aca="false">IF(AS2157=1,SUM(AS$7:AS2157),"")</f>
        <v/>
      </c>
      <c r="AU2157" s="82" t="n">
        <f aca="false">IF(AND(OR(AA2157="R",AA2157="NX",AA2157="NT",AA2157="CO"),OR('JOINTS DE RÉPARATION'!$D$5="TOUTES",B2157='JOINTS DE RÉPARATION'!$D$5),OR('JOINTS DE RÉPARATION'!$L$4="TOUS",AQ2157&lt;&gt;"ACCEPTÉ")),1,0)</f>
        <v>0</v>
      </c>
      <c r="AV2157" s="82" t="str">
        <f aca="false">IF(AU2157=1,SUM(AU$7:AU2157),"")</f>
        <v/>
      </c>
      <c r="AW2157" s="82" t="str">
        <f aca="false">IF(E2157="","",B2157&amp;"|"&amp;E2157)</f>
        <v>MFD-ISW → MFD-CPF|JN°1673</v>
      </c>
    </row>
    <row r="2158" customFormat="false" ht="74.6" hidden="false" customHeight="false" outlineLevel="0" collapsed="false">
      <c r="A2158" s="79" t="n">
        <f aca="false">IF(E2158="","",ROW()-6)</f>
        <v>2152</v>
      </c>
      <c r="B2158" s="80" t="s">
        <v>110</v>
      </c>
      <c r="C2158" s="81" t="s">
        <v>2510</v>
      </c>
      <c r="D2158" s="81" t="n">
        <v>20</v>
      </c>
      <c r="E2158" s="81" t="s">
        <v>2619</v>
      </c>
      <c r="F2158" s="82" t="str">
        <f aca="false">IF(E2158="","",IF(LEFT(E2158,2)="DJ","DJ","JN"))</f>
        <v>JN</v>
      </c>
      <c r="G2158" s="81" t="s">
        <v>1504</v>
      </c>
      <c r="H2158" s="81" t="s">
        <v>871</v>
      </c>
      <c r="I2158" s="81" t="n">
        <v>9.53</v>
      </c>
      <c r="J2158" s="81" t="s">
        <v>872</v>
      </c>
      <c r="K2158" s="81" t="s">
        <v>879</v>
      </c>
      <c r="L2158" s="81" t="n">
        <v>2097210</v>
      </c>
      <c r="M2158" s="81" t="n">
        <v>15421112</v>
      </c>
      <c r="N2158" s="81" t="n">
        <v>11.94</v>
      </c>
      <c r="O2158" s="81" t="n">
        <v>2097220</v>
      </c>
      <c r="P2158" s="81" t="n">
        <v>15421112</v>
      </c>
      <c r="Q2158" s="81" t="n">
        <v>11.94</v>
      </c>
      <c r="R2158" s="81" t="s">
        <v>2568</v>
      </c>
      <c r="S2158" s="81"/>
      <c r="T2158" s="81"/>
      <c r="U2158" s="83" t="n">
        <v>46263</v>
      </c>
      <c r="V2158" s="83" t="n">
        <v>46263</v>
      </c>
      <c r="W2158" s="81" t="s">
        <v>2609</v>
      </c>
      <c r="X2158" s="81" t="s">
        <v>876</v>
      </c>
      <c r="Y2158" s="83" t="n">
        <v>46275</v>
      </c>
      <c r="Z2158" s="81" t="s">
        <v>2482</v>
      </c>
      <c r="AA2158" s="81" t="s">
        <v>876</v>
      </c>
      <c r="AB2158" s="81"/>
      <c r="AC2158" s="81"/>
      <c r="AD2158" s="81"/>
      <c r="AE2158" s="83"/>
      <c r="AF2158" s="81"/>
      <c r="AG2158" s="81"/>
      <c r="AH2158" s="81"/>
      <c r="AI2158" s="81"/>
      <c r="AJ2158" s="83"/>
      <c r="AK2158" s="81"/>
      <c r="AL2158" s="81"/>
      <c r="AM2158" s="83"/>
      <c r="AN2158" s="80"/>
      <c r="AO2158" s="82" t="n">
        <f aca="false">IF(E2158="","",(AA2158&lt;&gt;"")+(AG2158&lt;&gt;"")+(AL2158&lt;&gt;""))</f>
        <v>1</v>
      </c>
      <c r="AP2158" s="82" t="str">
        <f aca="false">IF(AL2158&lt;&gt;"",AL2158,IF(AG2158&lt;&gt;"",AG2158,IF(AA2158&lt;&gt;"",AA2158,"")))</f>
        <v>A</v>
      </c>
      <c r="AQ2158" s="84" t="str">
        <f aca="false">IF(E2158="","",IF(U2158="","À SOUDER",IF(X2158="","VT EN ATTENTE",IF(X2158="R","VT REJETÉ – À REPRENDRE",IF(AP2158="","À RADIOGRAPHIER",IF(AP2158="A","ACCEPTÉ",IF(AP2158="NX","NX – RT À REFAIRE",IF(IF(AO2158=1,AD2158,IF(AO2158=2,AI2158,""))="A","RÉPARÉ – À RADIOGRAPHIER",IF(IF(AO2158=1,AD2158,IF(AO2158=2,AI2158,""))="R","VT REJETÉ – À REPRENDRE",IF(OR(AP2158="CO",AP2158="NT"),"COUPE – À RESOUDER","À RÉPARER"))))))))))</f>
        <v>ACCEPTÉ</v>
      </c>
      <c r="AR2158" s="82" t="str">
        <f aca="false">IF(AND(ISNUMBER(U2158),OR(AQ2158="À RADIOGRAPHIER",AQ2158="RÉPARÉ – À RADIOGRAPHIER",AQ2158="NX – RT À REFAIRE",AQ2158="À RÉPARER",AQ2158="COUPE – À RESOUDER",AQ2158="VT REJETÉ – À REPRENDRE")),MAX(0,'PROGRAMME RT'!$C$4-U2158),"")</f>
        <v/>
      </c>
      <c r="AS2158" s="82" t="n">
        <f aca="false">IF(AND(OR(AQ2158="À RADIOGRAPHIER",AQ2158="RÉPARÉ – À RADIOGRAPHIER",AQ2158="NX – RT À REFAIRE"),OR('PROGRAMME RT'!$D$5="TOUTES",B2158='PROGRAMME RT'!$D$5)),1,0)</f>
        <v>0</v>
      </c>
      <c r="AT2158" s="82" t="str">
        <f aca="false">IF(AS2158=1,SUM(AS$7:AS2158),"")</f>
        <v/>
      </c>
      <c r="AU2158" s="82" t="n">
        <f aca="false">IF(AND(OR(AA2158="R",AA2158="NX",AA2158="NT",AA2158="CO"),OR('JOINTS DE RÉPARATION'!$D$5="TOUTES",B2158='JOINTS DE RÉPARATION'!$D$5),OR('JOINTS DE RÉPARATION'!$L$4="TOUS",AQ2158&lt;&gt;"ACCEPTÉ")),1,0)</f>
        <v>0</v>
      </c>
      <c r="AV2158" s="82" t="str">
        <f aca="false">IF(AU2158=1,SUM(AU$7:AU2158),"")</f>
        <v/>
      </c>
      <c r="AW2158" s="82" t="str">
        <f aca="false">IF(E2158="","",B2158&amp;"|"&amp;E2158)</f>
        <v>MFD-ISW → MFD-CPF|JN°1674</v>
      </c>
    </row>
    <row r="2159" customFormat="false" ht="74.6" hidden="false" customHeight="false" outlineLevel="0" collapsed="false">
      <c r="A2159" s="79" t="n">
        <f aca="false">IF(E2159="","",ROW()-6)</f>
        <v>2153</v>
      </c>
      <c r="B2159" s="80" t="s">
        <v>110</v>
      </c>
      <c r="C2159" s="81" t="s">
        <v>2510</v>
      </c>
      <c r="D2159" s="81" t="n">
        <v>20</v>
      </c>
      <c r="E2159" s="81" t="s">
        <v>2620</v>
      </c>
      <c r="F2159" s="82" t="str">
        <f aca="false">IF(E2159="","",IF(LEFT(E2159,2)="DJ","DJ","JN"))</f>
        <v>JN</v>
      </c>
      <c r="G2159" s="81" t="s">
        <v>1504</v>
      </c>
      <c r="H2159" s="81" t="s">
        <v>871</v>
      </c>
      <c r="I2159" s="81" t="n">
        <v>9.53</v>
      </c>
      <c r="J2159" s="81" t="s">
        <v>872</v>
      </c>
      <c r="K2159" s="81" t="s">
        <v>879</v>
      </c>
      <c r="L2159" s="81" t="n">
        <v>2097220</v>
      </c>
      <c r="M2159" s="81" t="n">
        <v>15421112</v>
      </c>
      <c r="N2159" s="81" t="n">
        <v>11.94</v>
      </c>
      <c r="O2159" s="81" t="n">
        <v>2093460</v>
      </c>
      <c r="P2159" s="81" t="n">
        <v>15421110</v>
      </c>
      <c r="Q2159" s="81" t="n">
        <v>11.94</v>
      </c>
      <c r="R2159" s="81" t="s">
        <v>2568</v>
      </c>
      <c r="S2159" s="81"/>
      <c r="T2159" s="81"/>
      <c r="U2159" s="83" t="n">
        <v>46263</v>
      </c>
      <c r="V2159" s="83" t="n">
        <v>46263</v>
      </c>
      <c r="W2159" s="81" t="s">
        <v>2609</v>
      </c>
      <c r="X2159" s="81" t="s">
        <v>876</v>
      </c>
      <c r="Y2159" s="83" t="n">
        <v>46275</v>
      </c>
      <c r="Z2159" s="81" t="s">
        <v>2482</v>
      </c>
      <c r="AA2159" s="81" t="s">
        <v>876</v>
      </c>
      <c r="AB2159" s="81"/>
      <c r="AC2159" s="81"/>
      <c r="AD2159" s="81"/>
      <c r="AE2159" s="83"/>
      <c r="AF2159" s="81"/>
      <c r="AG2159" s="81"/>
      <c r="AH2159" s="81"/>
      <c r="AI2159" s="81"/>
      <c r="AJ2159" s="83"/>
      <c r="AK2159" s="81"/>
      <c r="AL2159" s="81"/>
      <c r="AM2159" s="83"/>
      <c r="AN2159" s="80"/>
      <c r="AO2159" s="82" t="n">
        <f aca="false">IF(E2159="","",(AA2159&lt;&gt;"")+(AG2159&lt;&gt;"")+(AL2159&lt;&gt;""))</f>
        <v>1</v>
      </c>
      <c r="AP2159" s="82" t="str">
        <f aca="false">IF(AL2159&lt;&gt;"",AL2159,IF(AG2159&lt;&gt;"",AG2159,IF(AA2159&lt;&gt;"",AA2159,"")))</f>
        <v>A</v>
      </c>
      <c r="AQ2159" s="84" t="str">
        <f aca="false">IF(E2159="","",IF(U2159="","À SOUDER",IF(X2159="","VT EN ATTENTE",IF(X2159="R","VT REJETÉ – À REPRENDRE",IF(AP2159="","À RADIOGRAPHIER",IF(AP2159="A","ACCEPTÉ",IF(AP2159="NX","NX – RT À REFAIRE",IF(IF(AO2159=1,AD2159,IF(AO2159=2,AI2159,""))="A","RÉPARÉ – À RADIOGRAPHIER",IF(IF(AO2159=1,AD2159,IF(AO2159=2,AI2159,""))="R","VT REJETÉ – À REPRENDRE",IF(OR(AP2159="CO",AP2159="NT"),"COUPE – À RESOUDER","À RÉPARER"))))))))))</f>
        <v>ACCEPTÉ</v>
      </c>
      <c r="AR2159" s="82" t="str">
        <f aca="false">IF(AND(ISNUMBER(U2159),OR(AQ2159="À RADIOGRAPHIER",AQ2159="RÉPARÉ – À RADIOGRAPHIER",AQ2159="NX – RT À REFAIRE",AQ2159="À RÉPARER",AQ2159="COUPE – À RESOUDER",AQ2159="VT REJETÉ – À REPRENDRE")),MAX(0,'PROGRAMME RT'!$C$4-U2159),"")</f>
        <v/>
      </c>
      <c r="AS2159" s="82" t="n">
        <f aca="false">IF(AND(OR(AQ2159="À RADIOGRAPHIER",AQ2159="RÉPARÉ – À RADIOGRAPHIER",AQ2159="NX – RT À REFAIRE"),OR('PROGRAMME RT'!$D$5="TOUTES",B2159='PROGRAMME RT'!$D$5)),1,0)</f>
        <v>0</v>
      </c>
      <c r="AT2159" s="82" t="str">
        <f aca="false">IF(AS2159=1,SUM(AS$7:AS2159),"")</f>
        <v/>
      </c>
      <c r="AU2159" s="82" t="n">
        <f aca="false">IF(AND(OR(AA2159="R",AA2159="NX",AA2159="NT",AA2159="CO"),OR('JOINTS DE RÉPARATION'!$D$5="TOUTES",B2159='JOINTS DE RÉPARATION'!$D$5),OR('JOINTS DE RÉPARATION'!$L$4="TOUS",AQ2159&lt;&gt;"ACCEPTÉ")),1,0)</f>
        <v>0</v>
      </c>
      <c r="AV2159" s="82" t="str">
        <f aca="false">IF(AU2159=1,SUM(AU$7:AU2159),"")</f>
        <v/>
      </c>
      <c r="AW2159" s="82" t="str">
        <f aca="false">IF(E2159="","",B2159&amp;"|"&amp;E2159)</f>
        <v>MFD-ISW → MFD-CPF|JN°1675</v>
      </c>
    </row>
    <row r="2160" customFormat="false" ht="74.6" hidden="false" customHeight="false" outlineLevel="0" collapsed="false">
      <c r="A2160" s="79" t="n">
        <f aca="false">IF(E2160="","",ROW()-6)</f>
        <v>2154</v>
      </c>
      <c r="B2160" s="80" t="s">
        <v>110</v>
      </c>
      <c r="C2160" s="81" t="s">
        <v>2510</v>
      </c>
      <c r="D2160" s="81" t="n">
        <v>20</v>
      </c>
      <c r="E2160" s="81" t="s">
        <v>2621</v>
      </c>
      <c r="F2160" s="82" t="str">
        <f aca="false">IF(E2160="","",IF(LEFT(E2160,2)="DJ","DJ","JN"))</f>
        <v>JN</v>
      </c>
      <c r="G2160" s="81" t="s">
        <v>1504</v>
      </c>
      <c r="H2160" s="81" t="s">
        <v>871</v>
      </c>
      <c r="I2160" s="81" t="n">
        <v>9.53</v>
      </c>
      <c r="J2160" s="81" t="s">
        <v>872</v>
      </c>
      <c r="K2160" s="81" t="s">
        <v>1861</v>
      </c>
      <c r="L2160" s="81" t="n">
        <v>2093460</v>
      </c>
      <c r="M2160" s="81" t="n">
        <v>15421110</v>
      </c>
      <c r="N2160" s="81" t="n">
        <v>11.94</v>
      </c>
      <c r="O2160" s="81" t="n">
        <v>2079680</v>
      </c>
      <c r="P2160" s="81" t="n">
        <v>15421102</v>
      </c>
      <c r="Q2160" s="81" t="n">
        <v>11.94</v>
      </c>
      <c r="R2160" s="81" t="s">
        <v>1862</v>
      </c>
      <c r="S2160" s="81"/>
      <c r="T2160" s="81"/>
      <c r="U2160" s="83" t="n">
        <v>46285</v>
      </c>
      <c r="V2160" s="83" t="n">
        <v>46287</v>
      </c>
      <c r="W2160" s="81" t="s">
        <v>2346</v>
      </c>
      <c r="X2160" s="81" t="s">
        <v>876</v>
      </c>
      <c r="Y2160" s="83" t="n">
        <v>46289</v>
      </c>
      <c r="Z2160" s="81" t="s">
        <v>2537</v>
      </c>
      <c r="AA2160" s="81" t="s">
        <v>876</v>
      </c>
      <c r="AB2160" s="81"/>
      <c r="AC2160" s="81"/>
      <c r="AD2160" s="81"/>
      <c r="AE2160" s="83"/>
      <c r="AF2160" s="81"/>
      <c r="AG2160" s="81"/>
      <c r="AH2160" s="81"/>
      <c r="AI2160" s="81"/>
      <c r="AJ2160" s="83"/>
      <c r="AK2160" s="81"/>
      <c r="AL2160" s="81"/>
      <c r="AM2160" s="83"/>
      <c r="AN2160" s="80"/>
      <c r="AO2160" s="82" t="n">
        <f aca="false">IF(E2160="","",(AA2160&lt;&gt;"")+(AG2160&lt;&gt;"")+(AL2160&lt;&gt;""))</f>
        <v>1</v>
      </c>
      <c r="AP2160" s="82" t="str">
        <f aca="false">IF(AL2160&lt;&gt;"",AL2160,IF(AG2160&lt;&gt;"",AG2160,IF(AA2160&lt;&gt;"",AA2160,"")))</f>
        <v>A</v>
      </c>
      <c r="AQ2160" s="84" t="str">
        <f aca="false">IF(E2160="","",IF(U2160="","À SOUDER",IF(X2160="","VT EN ATTENTE",IF(X2160="R","VT REJETÉ – À REPRENDRE",IF(AP2160="","À RADIOGRAPHIER",IF(AP2160="A","ACCEPTÉ",IF(AP2160="NX","NX – RT À REFAIRE",IF(IF(AO2160=1,AD2160,IF(AO2160=2,AI2160,""))="A","RÉPARÉ – À RADIOGRAPHIER",IF(IF(AO2160=1,AD2160,IF(AO2160=2,AI2160,""))="R","VT REJETÉ – À REPRENDRE",IF(OR(AP2160="CO",AP2160="NT"),"COUPE – À RESOUDER","À RÉPARER"))))))))))</f>
        <v>ACCEPTÉ</v>
      </c>
      <c r="AR2160" s="82" t="str">
        <f aca="false">IF(AND(ISNUMBER(U2160),OR(AQ2160="À RADIOGRAPHIER",AQ2160="RÉPARÉ – À RADIOGRAPHIER",AQ2160="NX – RT À REFAIRE",AQ2160="À RÉPARER",AQ2160="COUPE – À RESOUDER",AQ2160="VT REJETÉ – À REPRENDRE")),MAX(0,'PROGRAMME RT'!$C$4-U2160),"")</f>
        <v/>
      </c>
      <c r="AS2160" s="82" t="n">
        <f aca="false">IF(AND(OR(AQ2160="À RADIOGRAPHIER",AQ2160="RÉPARÉ – À RADIOGRAPHIER",AQ2160="NX – RT À REFAIRE"),OR('PROGRAMME RT'!$D$5="TOUTES",B2160='PROGRAMME RT'!$D$5)),1,0)</f>
        <v>0</v>
      </c>
      <c r="AT2160" s="82" t="str">
        <f aca="false">IF(AS2160=1,SUM(AS$7:AS2160),"")</f>
        <v/>
      </c>
      <c r="AU2160" s="82" t="n">
        <f aca="false">IF(AND(OR(AA2160="R",AA2160="NX",AA2160="NT",AA2160="CO"),OR('JOINTS DE RÉPARATION'!$D$5="TOUTES",B2160='JOINTS DE RÉPARATION'!$D$5),OR('JOINTS DE RÉPARATION'!$L$4="TOUS",AQ2160&lt;&gt;"ACCEPTÉ")),1,0)</f>
        <v>0</v>
      </c>
      <c r="AV2160" s="82" t="str">
        <f aca="false">IF(AU2160=1,SUM(AU$7:AU2160),"")</f>
        <v/>
      </c>
      <c r="AW2160" s="82" t="str">
        <f aca="false">IF(E2160="","",B2160&amp;"|"&amp;E2160)</f>
        <v>MFD-ISW → MFD-CPF|JN°1676R</v>
      </c>
    </row>
    <row r="2161" customFormat="false" ht="74.6" hidden="false" customHeight="false" outlineLevel="0" collapsed="false">
      <c r="A2161" s="79" t="n">
        <f aca="false">IF(E2161="","",ROW()-6)</f>
        <v>2155</v>
      </c>
      <c r="B2161" s="80" t="s">
        <v>110</v>
      </c>
      <c r="C2161" s="81" t="s">
        <v>2510</v>
      </c>
      <c r="D2161" s="81" t="n">
        <v>20</v>
      </c>
      <c r="E2161" s="81" t="s">
        <v>2622</v>
      </c>
      <c r="F2161" s="82" t="str">
        <f aca="false">IF(E2161="","",IF(LEFT(E2161,2)="DJ","DJ","JN"))</f>
        <v>JN</v>
      </c>
      <c r="G2161" s="81" t="s">
        <v>1504</v>
      </c>
      <c r="H2161" s="81" t="s">
        <v>871</v>
      </c>
      <c r="I2161" s="81" t="n">
        <v>9.53</v>
      </c>
      <c r="J2161" s="81" t="s">
        <v>872</v>
      </c>
      <c r="K2161" s="81" t="s">
        <v>879</v>
      </c>
      <c r="L2161" s="81" t="n">
        <v>2079680</v>
      </c>
      <c r="M2161" s="81" t="n">
        <v>15421102</v>
      </c>
      <c r="N2161" s="81" t="n">
        <v>11.94</v>
      </c>
      <c r="O2161" s="81" t="n">
        <v>2095280</v>
      </c>
      <c r="P2161" s="81" t="n">
        <v>15421111</v>
      </c>
      <c r="Q2161" s="81" t="n">
        <v>11.94</v>
      </c>
      <c r="R2161" s="81" t="s">
        <v>2568</v>
      </c>
      <c r="S2161" s="81"/>
      <c r="T2161" s="81"/>
      <c r="U2161" s="83" t="n">
        <v>46263</v>
      </c>
      <c r="V2161" s="83" t="n">
        <v>46263</v>
      </c>
      <c r="W2161" s="81" t="s">
        <v>2609</v>
      </c>
      <c r="X2161" s="81" t="s">
        <v>876</v>
      </c>
      <c r="Y2161" s="83" t="n">
        <v>46275</v>
      </c>
      <c r="Z2161" s="81" t="s">
        <v>2482</v>
      </c>
      <c r="AA2161" s="81" t="s">
        <v>876</v>
      </c>
      <c r="AB2161" s="81"/>
      <c r="AC2161" s="81"/>
      <c r="AD2161" s="81"/>
      <c r="AE2161" s="83"/>
      <c r="AF2161" s="81"/>
      <c r="AG2161" s="81"/>
      <c r="AH2161" s="81"/>
      <c r="AI2161" s="81"/>
      <c r="AJ2161" s="83"/>
      <c r="AK2161" s="81"/>
      <c r="AL2161" s="81"/>
      <c r="AM2161" s="83"/>
      <c r="AN2161" s="80"/>
      <c r="AO2161" s="82" t="n">
        <f aca="false">IF(E2161="","",(AA2161&lt;&gt;"")+(AG2161&lt;&gt;"")+(AL2161&lt;&gt;""))</f>
        <v>1</v>
      </c>
      <c r="AP2161" s="82" t="str">
        <f aca="false">IF(AL2161&lt;&gt;"",AL2161,IF(AG2161&lt;&gt;"",AG2161,IF(AA2161&lt;&gt;"",AA2161,"")))</f>
        <v>A</v>
      </c>
      <c r="AQ2161" s="84" t="str">
        <f aca="false">IF(E2161="","",IF(U2161="","À SOUDER",IF(X2161="","VT EN ATTENTE",IF(X2161="R","VT REJETÉ – À REPRENDRE",IF(AP2161="","À RADIOGRAPHIER",IF(AP2161="A","ACCEPTÉ",IF(AP2161="NX","NX – RT À REFAIRE",IF(IF(AO2161=1,AD2161,IF(AO2161=2,AI2161,""))="A","RÉPARÉ – À RADIOGRAPHIER",IF(IF(AO2161=1,AD2161,IF(AO2161=2,AI2161,""))="R","VT REJETÉ – À REPRENDRE",IF(OR(AP2161="CO",AP2161="NT"),"COUPE – À RESOUDER","À RÉPARER"))))))))))</f>
        <v>ACCEPTÉ</v>
      </c>
      <c r="AR2161" s="82" t="str">
        <f aca="false">IF(AND(ISNUMBER(U2161),OR(AQ2161="À RADIOGRAPHIER",AQ2161="RÉPARÉ – À RADIOGRAPHIER",AQ2161="NX – RT À REFAIRE",AQ2161="À RÉPARER",AQ2161="COUPE – À RESOUDER",AQ2161="VT REJETÉ – À REPRENDRE")),MAX(0,'PROGRAMME RT'!$C$4-U2161),"")</f>
        <v/>
      </c>
      <c r="AS2161" s="82" t="n">
        <f aca="false">IF(AND(OR(AQ2161="À RADIOGRAPHIER",AQ2161="RÉPARÉ – À RADIOGRAPHIER",AQ2161="NX – RT À REFAIRE"),OR('PROGRAMME RT'!$D$5="TOUTES",B2161='PROGRAMME RT'!$D$5)),1,0)</f>
        <v>0</v>
      </c>
      <c r="AT2161" s="82" t="str">
        <f aca="false">IF(AS2161=1,SUM(AS$7:AS2161),"")</f>
        <v/>
      </c>
      <c r="AU2161" s="82" t="n">
        <f aca="false">IF(AND(OR(AA2161="R",AA2161="NX",AA2161="NT",AA2161="CO"),OR('JOINTS DE RÉPARATION'!$D$5="TOUTES",B2161='JOINTS DE RÉPARATION'!$D$5),OR('JOINTS DE RÉPARATION'!$L$4="TOUS",AQ2161&lt;&gt;"ACCEPTÉ")),1,0)</f>
        <v>0</v>
      </c>
      <c r="AV2161" s="82" t="str">
        <f aca="false">IF(AU2161=1,SUM(AU$7:AU2161),"")</f>
        <v/>
      </c>
      <c r="AW2161" s="82" t="str">
        <f aca="false">IF(E2161="","",B2161&amp;"|"&amp;E2161)</f>
        <v>MFD-ISW → MFD-CPF|JN°1677</v>
      </c>
    </row>
    <row r="2162" customFormat="false" ht="74.6" hidden="false" customHeight="false" outlineLevel="0" collapsed="false">
      <c r="A2162" s="79" t="n">
        <f aca="false">IF(E2162="","",ROW()-6)</f>
        <v>2156</v>
      </c>
      <c r="B2162" s="80" t="s">
        <v>110</v>
      </c>
      <c r="C2162" s="81" t="s">
        <v>2510</v>
      </c>
      <c r="D2162" s="81" t="n">
        <v>20</v>
      </c>
      <c r="E2162" s="81" t="s">
        <v>2623</v>
      </c>
      <c r="F2162" s="82" t="str">
        <f aca="false">IF(E2162="","",IF(LEFT(E2162,2)="DJ","DJ","JN"))</f>
        <v>JN</v>
      </c>
      <c r="G2162" s="81" t="s">
        <v>1504</v>
      </c>
      <c r="H2162" s="81" t="s">
        <v>871</v>
      </c>
      <c r="I2162" s="81" t="n">
        <v>9.53</v>
      </c>
      <c r="J2162" s="81" t="s">
        <v>872</v>
      </c>
      <c r="K2162" s="81" t="s">
        <v>879</v>
      </c>
      <c r="L2162" s="81" t="n">
        <v>2095280</v>
      </c>
      <c r="M2162" s="81" t="n">
        <v>15421111</v>
      </c>
      <c r="N2162" s="81" t="n">
        <v>11.94</v>
      </c>
      <c r="O2162" s="81" t="n">
        <v>2078460</v>
      </c>
      <c r="P2162" s="81" t="n">
        <v>15421101</v>
      </c>
      <c r="Q2162" s="81" t="n">
        <v>11.94</v>
      </c>
      <c r="R2162" s="81" t="s">
        <v>2568</v>
      </c>
      <c r="S2162" s="81"/>
      <c r="T2162" s="81"/>
      <c r="U2162" s="83" t="n">
        <v>46263</v>
      </c>
      <c r="V2162" s="83" t="n">
        <v>46263</v>
      </c>
      <c r="W2162" s="81" t="s">
        <v>2609</v>
      </c>
      <c r="X2162" s="81" t="s">
        <v>876</v>
      </c>
      <c r="Y2162" s="83" t="n">
        <v>46275</v>
      </c>
      <c r="Z2162" s="81" t="s">
        <v>2482</v>
      </c>
      <c r="AA2162" s="81" t="s">
        <v>876</v>
      </c>
      <c r="AB2162" s="81"/>
      <c r="AC2162" s="81"/>
      <c r="AD2162" s="81"/>
      <c r="AE2162" s="83"/>
      <c r="AF2162" s="81"/>
      <c r="AG2162" s="81"/>
      <c r="AH2162" s="81"/>
      <c r="AI2162" s="81"/>
      <c r="AJ2162" s="83"/>
      <c r="AK2162" s="81"/>
      <c r="AL2162" s="81"/>
      <c r="AM2162" s="83"/>
      <c r="AN2162" s="80"/>
      <c r="AO2162" s="82" t="n">
        <f aca="false">IF(E2162="","",(AA2162&lt;&gt;"")+(AG2162&lt;&gt;"")+(AL2162&lt;&gt;""))</f>
        <v>1</v>
      </c>
      <c r="AP2162" s="82" t="str">
        <f aca="false">IF(AL2162&lt;&gt;"",AL2162,IF(AG2162&lt;&gt;"",AG2162,IF(AA2162&lt;&gt;"",AA2162,"")))</f>
        <v>A</v>
      </c>
      <c r="AQ2162" s="84" t="str">
        <f aca="false">IF(E2162="","",IF(U2162="","À SOUDER",IF(X2162="","VT EN ATTENTE",IF(X2162="R","VT REJETÉ – À REPRENDRE",IF(AP2162="","À RADIOGRAPHIER",IF(AP2162="A","ACCEPTÉ",IF(AP2162="NX","NX – RT À REFAIRE",IF(IF(AO2162=1,AD2162,IF(AO2162=2,AI2162,""))="A","RÉPARÉ – À RADIOGRAPHIER",IF(IF(AO2162=1,AD2162,IF(AO2162=2,AI2162,""))="R","VT REJETÉ – À REPRENDRE",IF(OR(AP2162="CO",AP2162="NT"),"COUPE – À RESOUDER","À RÉPARER"))))))))))</f>
        <v>ACCEPTÉ</v>
      </c>
      <c r="AR2162" s="82" t="str">
        <f aca="false">IF(AND(ISNUMBER(U2162),OR(AQ2162="À RADIOGRAPHIER",AQ2162="RÉPARÉ – À RADIOGRAPHIER",AQ2162="NX – RT À REFAIRE",AQ2162="À RÉPARER",AQ2162="COUPE – À RESOUDER",AQ2162="VT REJETÉ – À REPRENDRE")),MAX(0,'PROGRAMME RT'!$C$4-U2162),"")</f>
        <v/>
      </c>
      <c r="AS2162" s="82" t="n">
        <f aca="false">IF(AND(OR(AQ2162="À RADIOGRAPHIER",AQ2162="RÉPARÉ – À RADIOGRAPHIER",AQ2162="NX – RT À REFAIRE"),OR('PROGRAMME RT'!$D$5="TOUTES",B2162='PROGRAMME RT'!$D$5)),1,0)</f>
        <v>0</v>
      </c>
      <c r="AT2162" s="82" t="str">
        <f aca="false">IF(AS2162=1,SUM(AS$7:AS2162),"")</f>
        <v/>
      </c>
      <c r="AU2162" s="82" t="n">
        <f aca="false">IF(AND(OR(AA2162="R",AA2162="NX",AA2162="NT",AA2162="CO"),OR('JOINTS DE RÉPARATION'!$D$5="TOUTES",B2162='JOINTS DE RÉPARATION'!$D$5),OR('JOINTS DE RÉPARATION'!$L$4="TOUS",AQ2162&lt;&gt;"ACCEPTÉ")),1,0)</f>
        <v>0</v>
      </c>
      <c r="AV2162" s="82" t="str">
        <f aca="false">IF(AU2162=1,SUM(AU$7:AU2162),"")</f>
        <v/>
      </c>
      <c r="AW2162" s="82" t="str">
        <f aca="false">IF(E2162="","",B2162&amp;"|"&amp;E2162)</f>
        <v>MFD-ISW → MFD-CPF|JN°1678</v>
      </c>
    </row>
    <row r="2163" customFormat="false" ht="74.6" hidden="false" customHeight="false" outlineLevel="0" collapsed="false">
      <c r="A2163" s="79" t="n">
        <f aca="false">IF(E2163="","",ROW()-6)</f>
        <v>2157</v>
      </c>
      <c r="B2163" s="80" t="s">
        <v>110</v>
      </c>
      <c r="C2163" s="81" t="s">
        <v>2510</v>
      </c>
      <c r="D2163" s="81" t="n">
        <v>20</v>
      </c>
      <c r="E2163" s="81" t="s">
        <v>2624</v>
      </c>
      <c r="F2163" s="82" t="str">
        <f aca="false">IF(E2163="","",IF(LEFT(E2163,2)="DJ","DJ","JN"))</f>
        <v>JN</v>
      </c>
      <c r="G2163" s="81" t="s">
        <v>1504</v>
      </c>
      <c r="H2163" s="81" t="s">
        <v>871</v>
      </c>
      <c r="I2163" s="81" t="n">
        <v>9.53</v>
      </c>
      <c r="J2163" s="81" t="s">
        <v>872</v>
      </c>
      <c r="K2163" s="81" t="s">
        <v>879</v>
      </c>
      <c r="L2163" s="81" t="n">
        <v>2078460</v>
      </c>
      <c r="M2163" s="81" t="n">
        <v>15421101</v>
      </c>
      <c r="N2163" s="81" t="n">
        <v>11.94</v>
      </c>
      <c r="O2163" s="81" t="n">
        <v>2081380</v>
      </c>
      <c r="P2163" s="81" t="n">
        <v>15421103</v>
      </c>
      <c r="Q2163" s="81" t="n">
        <v>11.94</v>
      </c>
      <c r="R2163" s="81" t="s">
        <v>2568</v>
      </c>
      <c r="S2163" s="81"/>
      <c r="T2163" s="81"/>
      <c r="U2163" s="83" t="n">
        <v>46263</v>
      </c>
      <c r="V2163" s="83" t="n">
        <v>46263</v>
      </c>
      <c r="W2163" s="81" t="s">
        <v>2609</v>
      </c>
      <c r="X2163" s="81" t="s">
        <v>876</v>
      </c>
      <c r="Y2163" s="83" t="n">
        <v>46275</v>
      </c>
      <c r="Z2163" s="81" t="s">
        <v>2625</v>
      </c>
      <c r="AA2163" s="81" t="s">
        <v>876</v>
      </c>
      <c r="AB2163" s="81"/>
      <c r="AC2163" s="81"/>
      <c r="AD2163" s="81"/>
      <c r="AE2163" s="83"/>
      <c r="AF2163" s="81"/>
      <c r="AG2163" s="81"/>
      <c r="AH2163" s="81"/>
      <c r="AI2163" s="81"/>
      <c r="AJ2163" s="83"/>
      <c r="AK2163" s="81"/>
      <c r="AL2163" s="81"/>
      <c r="AM2163" s="83"/>
      <c r="AN2163" s="80"/>
      <c r="AO2163" s="82" t="n">
        <f aca="false">IF(E2163="","",(AA2163&lt;&gt;"")+(AG2163&lt;&gt;"")+(AL2163&lt;&gt;""))</f>
        <v>1</v>
      </c>
      <c r="AP2163" s="82" t="str">
        <f aca="false">IF(AL2163&lt;&gt;"",AL2163,IF(AG2163&lt;&gt;"",AG2163,IF(AA2163&lt;&gt;"",AA2163,"")))</f>
        <v>A</v>
      </c>
      <c r="AQ2163" s="84" t="str">
        <f aca="false">IF(E2163="","",IF(U2163="","À SOUDER",IF(X2163="","VT EN ATTENTE",IF(X2163="R","VT REJETÉ – À REPRENDRE",IF(AP2163="","À RADIOGRAPHIER",IF(AP2163="A","ACCEPTÉ",IF(AP2163="NX","NX – RT À REFAIRE",IF(IF(AO2163=1,AD2163,IF(AO2163=2,AI2163,""))="A","RÉPARÉ – À RADIOGRAPHIER",IF(IF(AO2163=1,AD2163,IF(AO2163=2,AI2163,""))="R","VT REJETÉ – À REPRENDRE",IF(OR(AP2163="CO",AP2163="NT"),"COUPE – À RESOUDER","À RÉPARER"))))))))))</f>
        <v>ACCEPTÉ</v>
      </c>
      <c r="AR2163" s="82" t="str">
        <f aca="false">IF(AND(ISNUMBER(U2163),OR(AQ2163="À RADIOGRAPHIER",AQ2163="RÉPARÉ – À RADIOGRAPHIER",AQ2163="NX – RT À REFAIRE",AQ2163="À RÉPARER",AQ2163="COUPE – À RESOUDER",AQ2163="VT REJETÉ – À REPRENDRE")),MAX(0,'PROGRAMME RT'!$C$4-U2163),"")</f>
        <v/>
      </c>
      <c r="AS2163" s="82" t="n">
        <f aca="false">IF(AND(OR(AQ2163="À RADIOGRAPHIER",AQ2163="RÉPARÉ – À RADIOGRAPHIER",AQ2163="NX – RT À REFAIRE"),OR('PROGRAMME RT'!$D$5="TOUTES",B2163='PROGRAMME RT'!$D$5)),1,0)</f>
        <v>0</v>
      </c>
      <c r="AT2163" s="82" t="str">
        <f aca="false">IF(AS2163=1,SUM(AS$7:AS2163),"")</f>
        <v/>
      </c>
      <c r="AU2163" s="82" t="n">
        <f aca="false">IF(AND(OR(AA2163="R",AA2163="NX",AA2163="NT",AA2163="CO"),OR('JOINTS DE RÉPARATION'!$D$5="TOUTES",B2163='JOINTS DE RÉPARATION'!$D$5),OR('JOINTS DE RÉPARATION'!$L$4="TOUS",AQ2163&lt;&gt;"ACCEPTÉ")),1,0)</f>
        <v>0</v>
      </c>
      <c r="AV2163" s="82" t="str">
        <f aca="false">IF(AU2163=1,SUM(AU$7:AU2163),"")</f>
        <v/>
      </c>
      <c r="AW2163" s="82" t="str">
        <f aca="false">IF(E2163="","",B2163&amp;"|"&amp;E2163)</f>
        <v>MFD-ISW → MFD-CPF|JN°1679</v>
      </c>
    </row>
    <row r="2164" customFormat="false" ht="74.6" hidden="false" customHeight="false" outlineLevel="0" collapsed="false">
      <c r="A2164" s="79" t="n">
        <f aca="false">IF(E2164="","",ROW()-6)</f>
        <v>2158</v>
      </c>
      <c r="B2164" s="80" t="s">
        <v>110</v>
      </c>
      <c r="C2164" s="81" t="s">
        <v>2510</v>
      </c>
      <c r="D2164" s="81" t="n">
        <v>20</v>
      </c>
      <c r="E2164" s="81" t="s">
        <v>2626</v>
      </c>
      <c r="F2164" s="82" t="str">
        <f aca="false">IF(E2164="","",IF(LEFT(E2164,2)="DJ","DJ","JN"))</f>
        <v>JN</v>
      </c>
      <c r="G2164" s="81" t="s">
        <v>1504</v>
      </c>
      <c r="H2164" s="81" t="s">
        <v>871</v>
      </c>
      <c r="I2164" s="81" t="n">
        <v>9.53</v>
      </c>
      <c r="J2164" s="81" t="s">
        <v>872</v>
      </c>
      <c r="K2164" s="81" t="s">
        <v>879</v>
      </c>
      <c r="L2164" s="81" t="n">
        <v>2081380</v>
      </c>
      <c r="M2164" s="81" t="n">
        <v>15421103</v>
      </c>
      <c r="N2164" s="81" t="n">
        <v>11.94</v>
      </c>
      <c r="O2164" s="81" t="n">
        <v>2093300</v>
      </c>
      <c r="P2164" s="81" t="n">
        <v>15421110</v>
      </c>
      <c r="Q2164" s="81" t="n">
        <v>11.94</v>
      </c>
      <c r="R2164" s="81" t="s">
        <v>2568</v>
      </c>
      <c r="S2164" s="81"/>
      <c r="T2164" s="81"/>
      <c r="U2164" s="83" t="n">
        <v>46263</v>
      </c>
      <c r="V2164" s="83" t="n">
        <v>46263</v>
      </c>
      <c r="W2164" s="81" t="s">
        <v>2609</v>
      </c>
      <c r="X2164" s="81" t="s">
        <v>876</v>
      </c>
      <c r="Y2164" s="83" t="n">
        <v>46275</v>
      </c>
      <c r="Z2164" s="81" t="s">
        <v>2625</v>
      </c>
      <c r="AA2164" s="81" t="s">
        <v>876</v>
      </c>
      <c r="AB2164" s="81"/>
      <c r="AC2164" s="81"/>
      <c r="AD2164" s="81"/>
      <c r="AE2164" s="83"/>
      <c r="AF2164" s="81"/>
      <c r="AG2164" s="81"/>
      <c r="AH2164" s="81"/>
      <c r="AI2164" s="81"/>
      <c r="AJ2164" s="83"/>
      <c r="AK2164" s="81"/>
      <c r="AL2164" s="81"/>
      <c r="AM2164" s="83"/>
      <c r="AN2164" s="80"/>
      <c r="AO2164" s="82" t="n">
        <f aca="false">IF(E2164="","",(AA2164&lt;&gt;"")+(AG2164&lt;&gt;"")+(AL2164&lt;&gt;""))</f>
        <v>1</v>
      </c>
      <c r="AP2164" s="82" t="str">
        <f aca="false">IF(AL2164&lt;&gt;"",AL2164,IF(AG2164&lt;&gt;"",AG2164,IF(AA2164&lt;&gt;"",AA2164,"")))</f>
        <v>A</v>
      </c>
      <c r="AQ2164" s="84" t="str">
        <f aca="false">IF(E2164="","",IF(U2164="","À SOUDER",IF(X2164="","VT EN ATTENTE",IF(X2164="R","VT REJETÉ – À REPRENDRE",IF(AP2164="","À RADIOGRAPHIER",IF(AP2164="A","ACCEPTÉ",IF(AP2164="NX","NX – RT À REFAIRE",IF(IF(AO2164=1,AD2164,IF(AO2164=2,AI2164,""))="A","RÉPARÉ – À RADIOGRAPHIER",IF(IF(AO2164=1,AD2164,IF(AO2164=2,AI2164,""))="R","VT REJETÉ – À REPRENDRE",IF(OR(AP2164="CO",AP2164="NT"),"COUPE – À RESOUDER","À RÉPARER"))))))))))</f>
        <v>ACCEPTÉ</v>
      </c>
      <c r="AR2164" s="82" t="str">
        <f aca="false">IF(AND(ISNUMBER(U2164),OR(AQ2164="À RADIOGRAPHIER",AQ2164="RÉPARÉ – À RADIOGRAPHIER",AQ2164="NX – RT À REFAIRE",AQ2164="À RÉPARER",AQ2164="COUPE – À RESOUDER",AQ2164="VT REJETÉ – À REPRENDRE")),MAX(0,'PROGRAMME RT'!$C$4-U2164),"")</f>
        <v/>
      </c>
      <c r="AS2164" s="82" t="n">
        <f aca="false">IF(AND(OR(AQ2164="À RADIOGRAPHIER",AQ2164="RÉPARÉ – À RADIOGRAPHIER",AQ2164="NX – RT À REFAIRE"),OR('PROGRAMME RT'!$D$5="TOUTES",B2164='PROGRAMME RT'!$D$5)),1,0)</f>
        <v>0</v>
      </c>
      <c r="AT2164" s="82" t="str">
        <f aca="false">IF(AS2164=1,SUM(AS$7:AS2164),"")</f>
        <v/>
      </c>
      <c r="AU2164" s="82" t="n">
        <f aca="false">IF(AND(OR(AA2164="R",AA2164="NX",AA2164="NT",AA2164="CO"),OR('JOINTS DE RÉPARATION'!$D$5="TOUTES",B2164='JOINTS DE RÉPARATION'!$D$5),OR('JOINTS DE RÉPARATION'!$L$4="TOUS",AQ2164&lt;&gt;"ACCEPTÉ")),1,0)</f>
        <v>0</v>
      </c>
      <c r="AV2164" s="82" t="str">
        <f aca="false">IF(AU2164=1,SUM(AU$7:AU2164),"")</f>
        <v/>
      </c>
      <c r="AW2164" s="82" t="str">
        <f aca="false">IF(E2164="","",B2164&amp;"|"&amp;E2164)</f>
        <v>MFD-ISW → MFD-CPF|JN°1680</v>
      </c>
    </row>
    <row r="2165" customFormat="false" ht="74.6" hidden="false" customHeight="false" outlineLevel="0" collapsed="false">
      <c r="A2165" s="79" t="n">
        <f aca="false">IF(E2165="","",ROW()-6)</f>
        <v>2159</v>
      </c>
      <c r="B2165" s="80" t="s">
        <v>110</v>
      </c>
      <c r="C2165" s="81" t="s">
        <v>2510</v>
      </c>
      <c r="D2165" s="81" t="n">
        <v>20</v>
      </c>
      <c r="E2165" s="81" t="s">
        <v>2627</v>
      </c>
      <c r="F2165" s="82" t="str">
        <f aca="false">IF(E2165="","",IF(LEFT(E2165,2)="DJ","DJ","JN"))</f>
        <v>JN</v>
      </c>
      <c r="G2165" s="81" t="s">
        <v>1504</v>
      </c>
      <c r="H2165" s="81" t="s">
        <v>871</v>
      </c>
      <c r="I2165" s="81" t="n">
        <v>9.53</v>
      </c>
      <c r="J2165" s="81" t="s">
        <v>872</v>
      </c>
      <c r="K2165" s="81" t="s">
        <v>879</v>
      </c>
      <c r="L2165" s="81" t="n">
        <v>2093300</v>
      </c>
      <c r="M2165" s="81" t="n">
        <v>15421110</v>
      </c>
      <c r="N2165" s="81" t="n">
        <v>11.94</v>
      </c>
      <c r="O2165" s="81" t="n">
        <v>2090590</v>
      </c>
      <c r="P2165" s="81" t="n">
        <v>15421109</v>
      </c>
      <c r="Q2165" s="81" t="n">
        <v>11.94</v>
      </c>
      <c r="R2165" s="81" t="s">
        <v>2568</v>
      </c>
      <c r="S2165" s="81"/>
      <c r="T2165" s="81"/>
      <c r="U2165" s="83" t="n">
        <v>46263</v>
      </c>
      <c r="V2165" s="83" t="n">
        <v>46263</v>
      </c>
      <c r="W2165" s="81" t="s">
        <v>2609</v>
      </c>
      <c r="X2165" s="81" t="s">
        <v>876</v>
      </c>
      <c r="Y2165" s="83" t="n">
        <v>46275</v>
      </c>
      <c r="Z2165" s="81" t="s">
        <v>2625</v>
      </c>
      <c r="AA2165" s="81" t="s">
        <v>876</v>
      </c>
      <c r="AB2165" s="81"/>
      <c r="AC2165" s="81"/>
      <c r="AD2165" s="81"/>
      <c r="AE2165" s="83"/>
      <c r="AF2165" s="81"/>
      <c r="AG2165" s="81"/>
      <c r="AH2165" s="81"/>
      <c r="AI2165" s="81"/>
      <c r="AJ2165" s="83"/>
      <c r="AK2165" s="81"/>
      <c r="AL2165" s="81"/>
      <c r="AM2165" s="83"/>
      <c r="AN2165" s="80"/>
      <c r="AO2165" s="82" t="n">
        <f aca="false">IF(E2165="","",(AA2165&lt;&gt;"")+(AG2165&lt;&gt;"")+(AL2165&lt;&gt;""))</f>
        <v>1</v>
      </c>
      <c r="AP2165" s="82" t="str">
        <f aca="false">IF(AL2165&lt;&gt;"",AL2165,IF(AG2165&lt;&gt;"",AG2165,IF(AA2165&lt;&gt;"",AA2165,"")))</f>
        <v>A</v>
      </c>
      <c r="AQ2165" s="84" t="str">
        <f aca="false">IF(E2165="","",IF(U2165="","À SOUDER",IF(X2165="","VT EN ATTENTE",IF(X2165="R","VT REJETÉ – À REPRENDRE",IF(AP2165="","À RADIOGRAPHIER",IF(AP2165="A","ACCEPTÉ",IF(AP2165="NX","NX – RT À REFAIRE",IF(IF(AO2165=1,AD2165,IF(AO2165=2,AI2165,""))="A","RÉPARÉ – À RADIOGRAPHIER",IF(IF(AO2165=1,AD2165,IF(AO2165=2,AI2165,""))="R","VT REJETÉ – À REPRENDRE",IF(OR(AP2165="CO",AP2165="NT"),"COUPE – À RESOUDER","À RÉPARER"))))))))))</f>
        <v>ACCEPTÉ</v>
      </c>
      <c r="AR2165" s="82" t="str">
        <f aca="false">IF(AND(ISNUMBER(U2165),OR(AQ2165="À RADIOGRAPHIER",AQ2165="RÉPARÉ – À RADIOGRAPHIER",AQ2165="NX – RT À REFAIRE",AQ2165="À RÉPARER",AQ2165="COUPE – À RESOUDER",AQ2165="VT REJETÉ – À REPRENDRE")),MAX(0,'PROGRAMME RT'!$C$4-U2165),"")</f>
        <v/>
      </c>
      <c r="AS2165" s="82" t="n">
        <f aca="false">IF(AND(OR(AQ2165="À RADIOGRAPHIER",AQ2165="RÉPARÉ – À RADIOGRAPHIER",AQ2165="NX – RT À REFAIRE"),OR('PROGRAMME RT'!$D$5="TOUTES",B2165='PROGRAMME RT'!$D$5)),1,0)</f>
        <v>0</v>
      </c>
      <c r="AT2165" s="82" t="str">
        <f aca="false">IF(AS2165=1,SUM(AS$7:AS2165),"")</f>
        <v/>
      </c>
      <c r="AU2165" s="82" t="n">
        <f aca="false">IF(AND(OR(AA2165="R",AA2165="NX",AA2165="NT",AA2165="CO"),OR('JOINTS DE RÉPARATION'!$D$5="TOUTES",B2165='JOINTS DE RÉPARATION'!$D$5),OR('JOINTS DE RÉPARATION'!$L$4="TOUS",AQ2165&lt;&gt;"ACCEPTÉ")),1,0)</f>
        <v>0</v>
      </c>
      <c r="AV2165" s="82" t="str">
        <f aca="false">IF(AU2165=1,SUM(AU$7:AU2165),"")</f>
        <v/>
      </c>
      <c r="AW2165" s="82" t="str">
        <f aca="false">IF(E2165="","",B2165&amp;"|"&amp;E2165)</f>
        <v>MFD-ISW → MFD-CPF|JN°1681</v>
      </c>
    </row>
    <row r="2166" customFormat="false" ht="74.6" hidden="false" customHeight="false" outlineLevel="0" collapsed="false">
      <c r="A2166" s="79" t="n">
        <f aca="false">IF(E2166="","",ROW()-6)</f>
        <v>2160</v>
      </c>
      <c r="B2166" s="80" t="s">
        <v>110</v>
      </c>
      <c r="C2166" s="81" t="s">
        <v>2510</v>
      </c>
      <c r="D2166" s="81" t="n">
        <v>20</v>
      </c>
      <c r="E2166" s="81" t="s">
        <v>2628</v>
      </c>
      <c r="F2166" s="82" t="str">
        <f aca="false">IF(E2166="","",IF(LEFT(E2166,2)="DJ","DJ","JN"))</f>
        <v>JN</v>
      </c>
      <c r="G2166" s="81" t="s">
        <v>1504</v>
      </c>
      <c r="H2166" s="81" t="s">
        <v>871</v>
      </c>
      <c r="I2166" s="81" t="n">
        <v>9.53</v>
      </c>
      <c r="J2166" s="81" t="s">
        <v>872</v>
      </c>
      <c r="K2166" s="81" t="s">
        <v>879</v>
      </c>
      <c r="L2166" s="81" t="n">
        <v>2090590</v>
      </c>
      <c r="M2166" s="81" t="n">
        <v>15421109</v>
      </c>
      <c r="N2166" s="81" t="n">
        <v>11.94</v>
      </c>
      <c r="O2166" s="81" t="n">
        <v>2092710</v>
      </c>
      <c r="P2166" s="81" t="n">
        <v>15421110</v>
      </c>
      <c r="Q2166" s="81" t="n">
        <v>11.94</v>
      </c>
      <c r="R2166" s="81" t="s">
        <v>2568</v>
      </c>
      <c r="S2166" s="81"/>
      <c r="T2166" s="81"/>
      <c r="U2166" s="83" t="n">
        <v>46263</v>
      </c>
      <c r="V2166" s="83" t="n">
        <v>46263</v>
      </c>
      <c r="W2166" s="81" t="s">
        <v>2629</v>
      </c>
      <c r="X2166" s="81" t="s">
        <v>876</v>
      </c>
      <c r="Y2166" s="83" t="n">
        <v>46275</v>
      </c>
      <c r="Z2166" s="81" t="s">
        <v>2625</v>
      </c>
      <c r="AA2166" s="81" t="s">
        <v>876</v>
      </c>
      <c r="AB2166" s="81"/>
      <c r="AC2166" s="81"/>
      <c r="AD2166" s="81"/>
      <c r="AE2166" s="83"/>
      <c r="AF2166" s="81"/>
      <c r="AG2166" s="81"/>
      <c r="AH2166" s="81"/>
      <c r="AI2166" s="81"/>
      <c r="AJ2166" s="83"/>
      <c r="AK2166" s="81"/>
      <c r="AL2166" s="81"/>
      <c r="AM2166" s="83"/>
      <c r="AN2166" s="80"/>
      <c r="AO2166" s="82" t="n">
        <f aca="false">IF(E2166="","",(AA2166&lt;&gt;"")+(AG2166&lt;&gt;"")+(AL2166&lt;&gt;""))</f>
        <v>1</v>
      </c>
      <c r="AP2166" s="82" t="str">
        <f aca="false">IF(AL2166&lt;&gt;"",AL2166,IF(AG2166&lt;&gt;"",AG2166,IF(AA2166&lt;&gt;"",AA2166,"")))</f>
        <v>A</v>
      </c>
      <c r="AQ2166" s="84" t="str">
        <f aca="false">IF(E2166="","",IF(U2166="","À SOUDER",IF(X2166="","VT EN ATTENTE",IF(X2166="R","VT REJETÉ – À REPRENDRE",IF(AP2166="","À RADIOGRAPHIER",IF(AP2166="A","ACCEPTÉ",IF(AP2166="NX","NX – RT À REFAIRE",IF(IF(AO2166=1,AD2166,IF(AO2166=2,AI2166,""))="A","RÉPARÉ – À RADIOGRAPHIER",IF(IF(AO2166=1,AD2166,IF(AO2166=2,AI2166,""))="R","VT REJETÉ – À REPRENDRE",IF(OR(AP2166="CO",AP2166="NT"),"COUPE – À RESOUDER","À RÉPARER"))))))))))</f>
        <v>ACCEPTÉ</v>
      </c>
      <c r="AR2166" s="82" t="str">
        <f aca="false">IF(AND(ISNUMBER(U2166),OR(AQ2166="À RADIOGRAPHIER",AQ2166="RÉPARÉ – À RADIOGRAPHIER",AQ2166="NX – RT À REFAIRE",AQ2166="À RÉPARER",AQ2166="COUPE – À RESOUDER",AQ2166="VT REJETÉ – À REPRENDRE")),MAX(0,'PROGRAMME RT'!$C$4-U2166),"")</f>
        <v/>
      </c>
      <c r="AS2166" s="82" t="n">
        <f aca="false">IF(AND(OR(AQ2166="À RADIOGRAPHIER",AQ2166="RÉPARÉ – À RADIOGRAPHIER",AQ2166="NX – RT À REFAIRE"),OR('PROGRAMME RT'!$D$5="TOUTES",B2166='PROGRAMME RT'!$D$5)),1,0)</f>
        <v>0</v>
      </c>
      <c r="AT2166" s="82" t="str">
        <f aca="false">IF(AS2166=1,SUM(AS$7:AS2166),"")</f>
        <v/>
      </c>
      <c r="AU2166" s="82" t="n">
        <f aca="false">IF(AND(OR(AA2166="R",AA2166="NX",AA2166="NT",AA2166="CO"),OR('JOINTS DE RÉPARATION'!$D$5="TOUTES",B2166='JOINTS DE RÉPARATION'!$D$5),OR('JOINTS DE RÉPARATION'!$L$4="TOUS",AQ2166&lt;&gt;"ACCEPTÉ")),1,0)</f>
        <v>0</v>
      </c>
      <c r="AV2166" s="82" t="str">
        <f aca="false">IF(AU2166=1,SUM(AU$7:AU2166),"")</f>
        <v/>
      </c>
      <c r="AW2166" s="82" t="str">
        <f aca="false">IF(E2166="","",B2166&amp;"|"&amp;E2166)</f>
        <v>MFD-ISW → MFD-CPF|JN°1682</v>
      </c>
    </row>
    <row r="2167" customFormat="false" ht="74.6" hidden="false" customHeight="false" outlineLevel="0" collapsed="false">
      <c r="A2167" s="79" t="n">
        <f aca="false">IF(E2167="","",ROW()-6)</f>
        <v>2161</v>
      </c>
      <c r="B2167" s="80" t="s">
        <v>110</v>
      </c>
      <c r="C2167" s="81" t="s">
        <v>2510</v>
      </c>
      <c r="D2167" s="81" t="n">
        <v>20</v>
      </c>
      <c r="E2167" s="81" t="s">
        <v>2630</v>
      </c>
      <c r="F2167" s="82" t="str">
        <f aca="false">IF(E2167="","",IF(LEFT(E2167,2)="DJ","DJ","JN"))</f>
        <v>JN</v>
      </c>
      <c r="G2167" s="81" t="s">
        <v>1504</v>
      </c>
      <c r="H2167" s="81" t="s">
        <v>871</v>
      </c>
      <c r="I2167" s="81" t="n">
        <v>9.53</v>
      </c>
      <c r="J2167" s="81" t="s">
        <v>872</v>
      </c>
      <c r="K2167" s="81" t="s">
        <v>1861</v>
      </c>
      <c r="L2167" s="81" t="n">
        <v>2092710</v>
      </c>
      <c r="M2167" s="81" t="n">
        <v>15421110</v>
      </c>
      <c r="N2167" s="81" t="n">
        <v>11.94</v>
      </c>
      <c r="O2167" s="81" t="n">
        <v>2080990</v>
      </c>
      <c r="P2167" s="81" t="n">
        <v>15421103</v>
      </c>
      <c r="Q2167" s="81" t="n">
        <v>11.94</v>
      </c>
      <c r="R2167" s="81" t="s">
        <v>1862</v>
      </c>
      <c r="S2167" s="81"/>
      <c r="T2167" s="81"/>
      <c r="U2167" s="83" t="n">
        <v>46285</v>
      </c>
      <c r="V2167" s="83" t="n">
        <v>46287</v>
      </c>
      <c r="W2167" s="81" t="s">
        <v>2346</v>
      </c>
      <c r="X2167" s="81" t="s">
        <v>876</v>
      </c>
      <c r="Y2167" s="83" t="n">
        <v>46289</v>
      </c>
      <c r="Z2167" s="81" t="s">
        <v>2537</v>
      </c>
      <c r="AA2167" s="81" t="s">
        <v>876</v>
      </c>
      <c r="AB2167" s="81"/>
      <c r="AC2167" s="81"/>
      <c r="AD2167" s="81"/>
      <c r="AE2167" s="83"/>
      <c r="AF2167" s="81"/>
      <c r="AG2167" s="81"/>
      <c r="AH2167" s="81"/>
      <c r="AI2167" s="81"/>
      <c r="AJ2167" s="83"/>
      <c r="AK2167" s="81"/>
      <c r="AL2167" s="81"/>
      <c r="AM2167" s="83"/>
      <c r="AN2167" s="80"/>
      <c r="AO2167" s="82" t="n">
        <f aca="false">IF(E2167="","",(AA2167&lt;&gt;"")+(AG2167&lt;&gt;"")+(AL2167&lt;&gt;""))</f>
        <v>1</v>
      </c>
      <c r="AP2167" s="82" t="str">
        <f aca="false">IF(AL2167&lt;&gt;"",AL2167,IF(AG2167&lt;&gt;"",AG2167,IF(AA2167&lt;&gt;"",AA2167,"")))</f>
        <v>A</v>
      </c>
      <c r="AQ2167" s="84" t="str">
        <f aca="false">IF(E2167="","",IF(U2167="","À SOUDER",IF(X2167="","VT EN ATTENTE",IF(X2167="R","VT REJETÉ – À REPRENDRE",IF(AP2167="","À RADIOGRAPHIER",IF(AP2167="A","ACCEPTÉ",IF(AP2167="NX","NX – RT À REFAIRE",IF(IF(AO2167=1,AD2167,IF(AO2167=2,AI2167,""))="A","RÉPARÉ – À RADIOGRAPHIER",IF(IF(AO2167=1,AD2167,IF(AO2167=2,AI2167,""))="R","VT REJETÉ – À REPRENDRE",IF(OR(AP2167="CO",AP2167="NT"),"COUPE – À RESOUDER","À RÉPARER"))))))))))</f>
        <v>ACCEPTÉ</v>
      </c>
      <c r="AR2167" s="82" t="str">
        <f aca="false">IF(AND(ISNUMBER(U2167),OR(AQ2167="À RADIOGRAPHIER",AQ2167="RÉPARÉ – À RADIOGRAPHIER",AQ2167="NX – RT À REFAIRE",AQ2167="À RÉPARER",AQ2167="COUPE – À RESOUDER",AQ2167="VT REJETÉ – À REPRENDRE")),MAX(0,'PROGRAMME RT'!$C$4-U2167),"")</f>
        <v/>
      </c>
      <c r="AS2167" s="82" t="n">
        <f aca="false">IF(AND(OR(AQ2167="À RADIOGRAPHIER",AQ2167="RÉPARÉ – À RADIOGRAPHIER",AQ2167="NX – RT À REFAIRE"),OR('PROGRAMME RT'!$D$5="TOUTES",B2167='PROGRAMME RT'!$D$5)),1,0)</f>
        <v>0</v>
      </c>
      <c r="AT2167" s="82" t="str">
        <f aca="false">IF(AS2167=1,SUM(AS$7:AS2167),"")</f>
        <v/>
      </c>
      <c r="AU2167" s="82" t="n">
        <f aca="false">IF(AND(OR(AA2167="R",AA2167="NX",AA2167="NT",AA2167="CO"),OR('JOINTS DE RÉPARATION'!$D$5="TOUTES",B2167='JOINTS DE RÉPARATION'!$D$5),OR('JOINTS DE RÉPARATION'!$L$4="TOUS",AQ2167&lt;&gt;"ACCEPTÉ")),1,0)</f>
        <v>0</v>
      </c>
      <c r="AV2167" s="82" t="str">
        <f aca="false">IF(AU2167=1,SUM(AU$7:AU2167),"")</f>
        <v/>
      </c>
      <c r="AW2167" s="82" t="str">
        <f aca="false">IF(E2167="","",B2167&amp;"|"&amp;E2167)</f>
        <v>MFD-ISW → MFD-CPF|JN°1683R</v>
      </c>
    </row>
    <row r="2168" customFormat="false" ht="74.6" hidden="false" customHeight="false" outlineLevel="0" collapsed="false">
      <c r="A2168" s="79" t="n">
        <f aca="false">IF(E2168="","",ROW()-6)</f>
        <v>2162</v>
      </c>
      <c r="B2168" s="80" t="s">
        <v>110</v>
      </c>
      <c r="C2168" s="81" t="s">
        <v>2510</v>
      </c>
      <c r="D2168" s="81" t="n">
        <v>20</v>
      </c>
      <c r="E2168" s="81" t="s">
        <v>2631</v>
      </c>
      <c r="F2168" s="82" t="str">
        <f aca="false">IF(E2168="","",IF(LEFT(E2168,2)="DJ","DJ","JN"))</f>
        <v>JN</v>
      </c>
      <c r="G2168" s="81" t="s">
        <v>1504</v>
      </c>
      <c r="H2168" s="81" t="s">
        <v>871</v>
      </c>
      <c r="I2168" s="81" t="n">
        <v>9.53</v>
      </c>
      <c r="J2168" s="81" t="s">
        <v>872</v>
      </c>
      <c r="K2168" s="81" t="s">
        <v>879</v>
      </c>
      <c r="L2168" s="81" t="n">
        <v>2080990</v>
      </c>
      <c r="M2168" s="81" t="n">
        <v>15421103</v>
      </c>
      <c r="N2168" s="81" t="n">
        <v>11.94</v>
      </c>
      <c r="O2168" s="81" t="n">
        <v>2088580</v>
      </c>
      <c r="P2168" s="81" t="n">
        <v>15421108</v>
      </c>
      <c r="Q2168" s="81" t="n">
        <v>11.94</v>
      </c>
      <c r="R2168" s="81" t="s">
        <v>2568</v>
      </c>
      <c r="S2168" s="81"/>
      <c r="T2168" s="81"/>
      <c r="U2168" s="83" t="n">
        <v>46263</v>
      </c>
      <c r="V2168" s="83" t="n">
        <v>46263</v>
      </c>
      <c r="W2168" s="81" t="s">
        <v>2629</v>
      </c>
      <c r="X2168" s="81" t="s">
        <v>876</v>
      </c>
      <c r="Y2168" s="83" t="n">
        <v>46275</v>
      </c>
      <c r="Z2168" s="81" t="s">
        <v>2625</v>
      </c>
      <c r="AA2168" s="81" t="s">
        <v>876</v>
      </c>
      <c r="AB2168" s="81"/>
      <c r="AC2168" s="81"/>
      <c r="AD2168" s="81"/>
      <c r="AE2168" s="83"/>
      <c r="AF2168" s="81"/>
      <c r="AG2168" s="81"/>
      <c r="AH2168" s="81"/>
      <c r="AI2168" s="81"/>
      <c r="AJ2168" s="83"/>
      <c r="AK2168" s="81"/>
      <c r="AL2168" s="81"/>
      <c r="AM2168" s="83"/>
      <c r="AN2168" s="80"/>
      <c r="AO2168" s="82" t="n">
        <f aca="false">IF(E2168="","",(AA2168&lt;&gt;"")+(AG2168&lt;&gt;"")+(AL2168&lt;&gt;""))</f>
        <v>1</v>
      </c>
      <c r="AP2168" s="82" t="str">
        <f aca="false">IF(AL2168&lt;&gt;"",AL2168,IF(AG2168&lt;&gt;"",AG2168,IF(AA2168&lt;&gt;"",AA2168,"")))</f>
        <v>A</v>
      </c>
      <c r="AQ2168" s="84" t="str">
        <f aca="false">IF(E2168="","",IF(U2168="","À SOUDER",IF(X2168="","VT EN ATTENTE",IF(X2168="R","VT REJETÉ – À REPRENDRE",IF(AP2168="","À RADIOGRAPHIER",IF(AP2168="A","ACCEPTÉ",IF(AP2168="NX","NX – RT À REFAIRE",IF(IF(AO2168=1,AD2168,IF(AO2168=2,AI2168,""))="A","RÉPARÉ – À RADIOGRAPHIER",IF(IF(AO2168=1,AD2168,IF(AO2168=2,AI2168,""))="R","VT REJETÉ – À REPRENDRE",IF(OR(AP2168="CO",AP2168="NT"),"COUPE – À RESOUDER","À RÉPARER"))))))))))</f>
        <v>ACCEPTÉ</v>
      </c>
      <c r="AR2168" s="82" t="str">
        <f aca="false">IF(AND(ISNUMBER(U2168),OR(AQ2168="À RADIOGRAPHIER",AQ2168="RÉPARÉ – À RADIOGRAPHIER",AQ2168="NX – RT À REFAIRE",AQ2168="À RÉPARER",AQ2168="COUPE – À RESOUDER",AQ2168="VT REJETÉ – À REPRENDRE")),MAX(0,'PROGRAMME RT'!$C$4-U2168),"")</f>
        <v/>
      </c>
      <c r="AS2168" s="82" t="n">
        <f aca="false">IF(AND(OR(AQ2168="À RADIOGRAPHIER",AQ2168="RÉPARÉ – À RADIOGRAPHIER",AQ2168="NX – RT À REFAIRE"),OR('PROGRAMME RT'!$D$5="TOUTES",B2168='PROGRAMME RT'!$D$5)),1,0)</f>
        <v>0</v>
      </c>
      <c r="AT2168" s="82" t="str">
        <f aca="false">IF(AS2168=1,SUM(AS$7:AS2168),"")</f>
        <v/>
      </c>
      <c r="AU2168" s="82" t="n">
        <f aca="false">IF(AND(OR(AA2168="R",AA2168="NX",AA2168="NT",AA2168="CO"),OR('JOINTS DE RÉPARATION'!$D$5="TOUTES",B2168='JOINTS DE RÉPARATION'!$D$5),OR('JOINTS DE RÉPARATION'!$L$4="TOUS",AQ2168&lt;&gt;"ACCEPTÉ")),1,0)</f>
        <v>0</v>
      </c>
      <c r="AV2168" s="82" t="str">
        <f aca="false">IF(AU2168=1,SUM(AU$7:AU2168),"")</f>
        <v/>
      </c>
      <c r="AW2168" s="82" t="str">
        <f aca="false">IF(E2168="","",B2168&amp;"|"&amp;E2168)</f>
        <v>MFD-ISW → MFD-CPF|JN°1684</v>
      </c>
    </row>
    <row r="2169" customFormat="false" ht="74.6" hidden="false" customHeight="false" outlineLevel="0" collapsed="false">
      <c r="A2169" s="79" t="n">
        <f aca="false">IF(E2169="","",ROW()-6)</f>
        <v>2163</v>
      </c>
      <c r="B2169" s="80" t="s">
        <v>110</v>
      </c>
      <c r="C2169" s="81" t="s">
        <v>2510</v>
      </c>
      <c r="D2169" s="81" t="n">
        <v>20</v>
      </c>
      <c r="E2169" s="81" t="s">
        <v>2632</v>
      </c>
      <c r="F2169" s="82" t="str">
        <f aca="false">IF(E2169="","",IF(LEFT(E2169,2)="DJ","DJ","JN"))</f>
        <v>JN</v>
      </c>
      <c r="G2169" s="81" t="s">
        <v>1504</v>
      </c>
      <c r="H2169" s="81" t="s">
        <v>871</v>
      </c>
      <c r="I2169" s="81" t="n">
        <v>9.53</v>
      </c>
      <c r="J2169" s="81" t="s">
        <v>872</v>
      </c>
      <c r="K2169" s="81" t="s">
        <v>879</v>
      </c>
      <c r="L2169" s="81" t="n">
        <v>2088580</v>
      </c>
      <c r="M2169" s="81" t="n">
        <v>15421108</v>
      </c>
      <c r="N2169" s="81" t="n">
        <v>11.94</v>
      </c>
      <c r="O2169" s="81" t="n">
        <v>2080820</v>
      </c>
      <c r="P2169" s="81" t="n">
        <v>15421103</v>
      </c>
      <c r="Q2169" s="81" t="n">
        <v>11.94</v>
      </c>
      <c r="R2169" s="81" t="s">
        <v>2568</v>
      </c>
      <c r="S2169" s="81"/>
      <c r="T2169" s="81"/>
      <c r="U2169" s="83" t="n">
        <v>46263</v>
      </c>
      <c r="V2169" s="83" t="n">
        <v>46263</v>
      </c>
      <c r="W2169" s="81" t="s">
        <v>2629</v>
      </c>
      <c r="X2169" s="81" t="s">
        <v>876</v>
      </c>
      <c r="Y2169" s="83" t="n">
        <v>46275</v>
      </c>
      <c r="Z2169" s="81" t="s">
        <v>2625</v>
      </c>
      <c r="AA2169" s="81" t="s">
        <v>876</v>
      </c>
      <c r="AB2169" s="81"/>
      <c r="AC2169" s="81"/>
      <c r="AD2169" s="81"/>
      <c r="AE2169" s="83"/>
      <c r="AF2169" s="81"/>
      <c r="AG2169" s="81"/>
      <c r="AH2169" s="81"/>
      <c r="AI2169" s="81"/>
      <c r="AJ2169" s="83"/>
      <c r="AK2169" s="81"/>
      <c r="AL2169" s="81"/>
      <c r="AM2169" s="83"/>
      <c r="AN2169" s="80"/>
      <c r="AO2169" s="82" t="n">
        <f aca="false">IF(E2169="","",(AA2169&lt;&gt;"")+(AG2169&lt;&gt;"")+(AL2169&lt;&gt;""))</f>
        <v>1</v>
      </c>
      <c r="AP2169" s="82" t="str">
        <f aca="false">IF(AL2169&lt;&gt;"",AL2169,IF(AG2169&lt;&gt;"",AG2169,IF(AA2169&lt;&gt;"",AA2169,"")))</f>
        <v>A</v>
      </c>
      <c r="AQ2169" s="84" t="str">
        <f aca="false">IF(E2169="","",IF(U2169="","À SOUDER",IF(X2169="","VT EN ATTENTE",IF(X2169="R","VT REJETÉ – À REPRENDRE",IF(AP2169="","À RADIOGRAPHIER",IF(AP2169="A","ACCEPTÉ",IF(AP2169="NX","NX – RT À REFAIRE",IF(IF(AO2169=1,AD2169,IF(AO2169=2,AI2169,""))="A","RÉPARÉ – À RADIOGRAPHIER",IF(IF(AO2169=1,AD2169,IF(AO2169=2,AI2169,""))="R","VT REJETÉ – À REPRENDRE",IF(OR(AP2169="CO",AP2169="NT"),"COUPE – À RESOUDER","À RÉPARER"))))))))))</f>
        <v>ACCEPTÉ</v>
      </c>
      <c r="AR2169" s="82" t="str">
        <f aca="false">IF(AND(ISNUMBER(U2169),OR(AQ2169="À RADIOGRAPHIER",AQ2169="RÉPARÉ – À RADIOGRAPHIER",AQ2169="NX – RT À REFAIRE",AQ2169="À RÉPARER",AQ2169="COUPE – À RESOUDER",AQ2169="VT REJETÉ – À REPRENDRE")),MAX(0,'PROGRAMME RT'!$C$4-U2169),"")</f>
        <v/>
      </c>
      <c r="AS2169" s="82" t="n">
        <f aca="false">IF(AND(OR(AQ2169="À RADIOGRAPHIER",AQ2169="RÉPARÉ – À RADIOGRAPHIER",AQ2169="NX – RT À REFAIRE"),OR('PROGRAMME RT'!$D$5="TOUTES",B2169='PROGRAMME RT'!$D$5)),1,0)</f>
        <v>0</v>
      </c>
      <c r="AT2169" s="82" t="str">
        <f aca="false">IF(AS2169=1,SUM(AS$7:AS2169),"")</f>
        <v/>
      </c>
      <c r="AU2169" s="82" t="n">
        <f aca="false">IF(AND(OR(AA2169="R",AA2169="NX",AA2169="NT",AA2169="CO"),OR('JOINTS DE RÉPARATION'!$D$5="TOUTES",B2169='JOINTS DE RÉPARATION'!$D$5),OR('JOINTS DE RÉPARATION'!$L$4="TOUS",AQ2169&lt;&gt;"ACCEPTÉ")),1,0)</f>
        <v>0</v>
      </c>
      <c r="AV2169" s="82" t="str">
        <f aca="false">IF(AU2169=1,SUM(AU$7:AU2169),"")</f>
        <v/>
      </c>
      <c r="AW2169" s="82" t="str">
        <f aca="false">IF(E2169="","",B2169&amp;"|"&amp;E2169)</f>
        <v>MFD-ISW → MFD-CPF|JN°1685</v>
      </c>
    </row>
    <row r="2170" customFormat="false" ht="74.6" hidden="false" customHeight="false" outlineLevel="0" collapsed="false">
      <c r="A2170" s="79" t="n">
        <f aca="false">IF(E2170="","",ROW()-6)</f>
        <v>2164</v>
      </c>
      <c r="B2170" s="80" t="s">
        <v>110</v>
      </c>
      <c r="C2170" s="81" t="s">
        <v>2510</v>
      </c>
      <c r="D2170" s="81" t="n">
        <v>20</v>
      </c>
      <c r="E2170" s="81" t="s">
        <v>2633</v>
      </c>
      <c r="F2170" s="82" t="str">
        <f aca="false">IF(E2170="","",IF(LEFT(E2170,2)="DJ","DJ","JN"))</f>
        <v>JN</v>
      </c>
      <c r="G2170" s="81" t="s">
        <v>1504</v>
      </c>
      <c r="H2170" s="81" t="s">
        <v>871</v>
      </c>
      <c r="I2170" s="81" t="n">
        <v>9.53</v>
      </c>
      <c r="J2170" s="81" t="s">
        <v>872</v>
      </c>
      <c r="K2170" s="81" t="s">
        <v>879</v>
      </c>
      <c r="L2170" s="81" t="n">
        <v>2080820</v>
      </c>
      <c r="M2170" s="81" t="n">
        <v>15421103</v>
      </c>
      <c r="N2170" s="81" t="n">
        <v>11.94</v>
      </c>
      <c r="O2170" s="81" t="n">
        <v>2094790</v>
      </c>
      <c r="P2170" s="81" t="n">
        <v>15421111</v>
      </c>
      <c r="Q2170" s="81" t="n">
        <v>11.94</v>
      </c>
      <c r="R2170" s="81" t="s">
        <v>2568</v>
      </c>
      <c r="S2170" s="81"/>
      <c r="T2170" s="81"/>
      <c r="U2170" s="83" t="n">
        <v>46263</v>
      </c>
      <c r="V2170" s="83" t="n">
        <v>46263</v>
      </c>
      <c r="W2170" s="81" t="s">
        <v>2629</v>
      </c>
      <c r="X2170" s="81" t="s">
        <v>876</v>
      </c>
      <c r="Y2170" s="83" t="n">
        <v>46275</v>
      </c>
      <c r="Z2170" s="81" t="s">
        <v>2625</v>
      </c>
      <c r="AA2170" s="81" t="s">
        <v>876</v>
      </c>
      <c r="AB2170" s="81"/>
      <c r="AC2170" s="81"/>
      <c r="AD2170" s="81"/>
      <c r="AE2170" s="83"/>
      <c r="AF2170" s="81"/>
      <c r="AG2170" s="81"/>
      <c r="AH2170" s="81"/>
      <c r="AI2170" s="81"/>
      <c r="AJ2170" s="83"/>
      <c r="AK2170" s="81"/>
      <c r="AL2170" s="81"/>
      <c r="AM2170" s="83"/>
      <c r="AN2170" s="80"/>
      <c r="AO2170" s="82" t="n">
        <f aca="false">IF(E2170="","",(AA2170&lt;&gt;"")+(AG2170&lt;&gt;"")+(AL2170&lt;&gt;""))</f>
        <v>1</v>
      </c>
      <c r="AP2170" s="82" t="str">
        <f aca="false">IF(AL2170&lt;&gt;"",AL2170,IF(AG2170&lt;&gt;"",AG2170,IF(AA2170&lt;&gt;"",AA2170,"")))</f>
        <v>A</v>
      </c>
      <c r="AQ2170" s="84" t="str">
        <f aca="false">IF(E2170="","",IF(U2170="","À SOUDER",IF(X2170="","VT EN ATTENTE",IF(X2170="R","VT REJETÉ – À REPRENDRE",IF(AP2170="","À RADIOGRAPHIER",IF(AP2170="A","ACCEPTÉ",IF(AP2170="NX","NX – RT À REFAIRE",IF(IF(AO2170=1,AD2170,IF(AO2170=2,AI2170,""))="A","RÉPARÉ – À RADIOGRAPHIER",IF(IF(AO2170=1,AD2170,IF(AO2170=2,AI2170,""))="R","VT REJETÉ – À REPRENDRE",IF(OR(AP2170="CO",AP2170="NT"),"COUPE – À RESOUDER","À RÉPARER"))))))))))</f>
        <v>ACCEPTÉ</v>
      </c>
      <c r="AR2170" s="82" t="str">
        <f aca="false">IF(AND(ISNUMBER(U2170),OR(AQ2170="À RADIOGRAPHIER",AQ2170="RÉPARÉ – À RADIOGRAPHIER",AQ2170="NX – RT À REFAIRE",AQ2170="À RÉPARER",AQ2170="COUPE – À RESOUDER",AQ2170="VT REJETÉ – À REPRENDRE")),MAX(0,'PROGRAMME RT'!$C$4-U2170),"")</f>
        <v/>
      </c>
      <c r="AS2170" s="82" t="n">
        <f aca="false">IF(AND(OR(AQ2170="À RADIOGRAPHIER",AQ2170="RÉPARÉ – À RADIOGRAPHIER",AQ2170="NX – RT À REFAIRE"),OR('PROGRAMME RT'!$D$5="TOUTES",B2170='PROGRAMME RT'!$D$5)),1,0)</f>
        <v>0</v>
      </c>
      <c r="AT2170" s="82" t="str">
        <f aca="false">IF(AS2170=1,SUM(AS$7:AS2170),"")</f>
        <v/>
      </c>
      <c r="AU2170" s="82" t="n">
        <f aca="false">IF(AND(OR(AA2170="R",AA2170="NX",AA2170="NT",AA2170="CO"),OR('JOINTS DE RÉPARATION'!$D$5="TOUTES",B2170='JOINTS DE RÉPARATION'!$D$5),OR('JOINTS DE RÉPARATION'!$L$4="TOUS",AQ2170&lt;&gt;"ACCEPTÉ")),1,0)</f>
        <v>0</v>
      </c>
      <c r="AV2170" s="82" t="str">
        <f aca="false">IF(AU2170=1,SUM(AU$7:AU2170),"")</f>
        <v/>
      </c>
      <c r="AW2170" s="82" t="str">
        <f aca="false">IF(E2170="","",B2170&amp;"|"&amp;E2170)</f>
        <v>MFD-ISW → MFD-CPF|JN°1686</v>
      </c>
    </row>
    <row r="2171" customFormat="false" ht="74.6" hidden="false" customHeight="false" outlineLevel="0" collapsed="false">
      <c r="A2171" s="79" t="n">
        <f aca="false">IF(E2171="","",ROW()-6)</f>
        <v>2165</v>
      </c>
      <c r="B2171" s="80" t="s">
        <v>110</v>
      </c>
      <c r="C2171" s="81" t="s">
        <v>2510</v>
      </c>
      <c r="D2171" s="81" t="n">
        <v>21</v>
      </c>
      <c r="E2171" s="81" t="s">
        <v>2634</v>
      </c>
      <c r="F2171" s="82" t="str">
        <f aca="false">IF(E2171="","",IF(LEFT(E2171,2)="DJ","DJ","JN"))</f>
        <v>JN</v>
      </c>
      <c r="G2171" s="81" t="s">
        <v>1504</v>
      </c>
      <c r="H2171" s="81" t="s">
        <v>871</v>
      </c>
      <c r="I2171" s="81" t="n">
        <v>9.53</v>
      </c>
      <c r="J2171" s="81" t="s">
        <v>872</v>
      </c>
      <c r="K2171" s="81" t="s">
        <v>879</v>
      </c>
      <c r="L2171" s="81" t="n">
        <v>2094790</v>
      </c>
      <c r="M2171" s="81" t="n">
        <v>15421111</v>
      </c>
      <c r="N2171" s="81" t="n">
        <v>11.94</v>
      </c>
      <c r="O2171" s="81" t="n">
        <v>2086660</v>
      </c>
      <c r="P2171" s="81" t="n">
        <v>15421107</v>
      </c>
      <c r="Q2171" s="81" t="n">
        <v>11.94</v>
      </c>
      <c r="R2171" s="81" t="s">
        <v>2568</v>
      </c>
      <c r="S2171" s="81"/>
      <c r="T2171" s="81"/>
      <c r="U2171" s="83" t="n">
        <v>46263</v>
      </c>
      <c r="V2171" s="83" t="n">
        <v>46263</v>
      </c>
      <c r="W2171" s="81" t="s">
        <v>2629</v>
      </c>
      <c r="X2171" s="81" t="s">
        <v>876</v>
      </c>
      <c r="Y2171" s="83" t="n">
        <v>46274</v>
      </c>
      <c r="Z2171" s="81" t="s">
        <v>2612</v>
      </c>
      <c r="AA2171" s="81" t="s">
        <v>876</v>
      </c>
      <c r="AB2171" s="81"/>
      <c r="AC2171" s="81"/>
      <c r="AD2171" s="81"/>
      <c r="AE2171" s="83"/>
      <c r="AF2171" s="81"/>
      <c r="AG2171" s="81"/>
      <c r="AH2171" s="81"/>
      <c r="AI2171" s="81"/>
      <c r="AJ2171" s="83"/>
      <c r="AK2171" s="81"/>
      <c r="AL2171" s="81"/>
      <c r="AM2171" s="83"/>
      <c r="AN2171" s="80"/>
      <c r="AO2171" s="82" t="n">
        <f aca="false">IF(E2171="","",(AA2171&lt;&gt;"")+(AG2171&lt;&gt;"")+(AL2171&lt;&gt;""))</f>
        <v>1</v>
      </c>
      <c r="AP2171" s="82" t="str">
        <f aca="false">IF(AL2171&lt;&gt;"",AL2171,IF(AG2171&lt;&gt;"",AG2171,IF(AA2171&lt;&gt;"",AA2171,"")))</f>
        <v>A</v>
      </c>
      <c r="AQ2171" s="84" t="str">
        <f aca="false">IF(E2171="","",IF(U2171="","À SOUDER",IF(X2171="","VT EN ATTENTE",IF(X2171="R","VT REJETÉ – À REPRENDRE",IF(AP2171="","À RADIOGRAPHIER",IF(AP2171="A","ACCEPTÉ",IF(AP2171="NX","NX – RT À REFAIRE",IF(IF(AO2171=1,AD2171,IF(AO2171=2,AI2171,""))="A","RÉPARÉ – À RADIOGRAPHIER",IF(IF(AO2171=1,AD2171,IF(AO2171=2,AI2171,""))="R","VT REJETÉ – À REPRENDRE",IF(OR(AP2171="CO",AP2171="NT"),"COUPE – À RESOUDER","À RÉPARER"))))))))))</f>
        <v>ACCEPTÉ</v>
      </c>
      <c r="AR2171" s="82" t="str">
        <f aca="false">IF(AND(ISNUMBER(U2171),OR(AQ2171="À RADIOGRAPHIER",AQ2171="RÉPARÉ – À RADIOGRAPHIER",AQ2171="NX – RT À REFAIRE",AQ2171="À RÉPARER",AQ2171="COUPE – À RESOUDER",AQ2171="VT REJETÉ – À REPRENDRE")),MAX(0,'PROGRAMME RT'!$C$4-U2171),"")</f>
        <v/>
      </c>
      <c r="AS2171" s="82" t="n">
        <f aca="false">IF(AND(OR(AQ2171="À RADIOGRAPHIER",AQ2171="RÉPARÉ – À RADIOGRAPHIER",AQ2171="NX – RT À REFAIRE"),OR('PROGRAMME RT'!$D$5="TOUTES",B2171='PROGRAMME RT'!$D$5)),1,0)</f>
        <v>0</v>
      </c>
      <c r="AT2171" s="82" t="str">
        <f aca="false">IF(AS2171=1,SUM(AS$7:AS2171),"")</f>
        <v/>
      </c>
      <c r="AU2171" s="82" t="n">
        <f aca="false">IF(AND(OR(AA2171="R",AA2171="NX",AA2171="NT",AA2171="CO"),OR('JOINTS DE RÉPARATION'!$D$5="TOUTES",B2171='JOINTS DE RÉPARATION'!$D$5),OR('JOINTS DE RÉPARATION'!$L$4="TOUS",AQ2171&lt;&gt;"ACCEPTÉ")),1,0)</f>
        <v>0</v>
      </c>
      <c r="AV2171" s="82" t="str">
        <f aca="false">IF(AU2171=1,SUM(AU$7:AU2171),"")</f>
        <v/>
      </c>
      <c r="AW2171" s="82" t="str">
        <f aca="false">IF(E2171="","",B2171&amp;"|"&amp;E2171)</f>
        <v>MFD-ISW → MFD-CPF|JN°1687</v>
      </c>
    </row>
    <row r="2172" customFormat="false" ht="74.6" hidden="false" customHeight="false" outlineLevel="0" collapsed="false">
      <c r="A2172" s="79" t="n">
        <f aca="false">IF(E2172="","",ROW()-6)</f>
        <v>2166</v>
      </c>
      <c r="B2172" s="80" t="s">
        <v>110</v>
      </c>
      <c r="C2172" s="81" t="s">
        <v>926</v>
      </c>
      <c r="D2172" s="81" t="n">
        <v>21</v>
      </c>
      <c r="E2172" s="81" t="s">
        <v>2635</v>
      </c>
      <c r="F2172" s="82" t="str">
        <f aca="false">IF(E2172="","",IF(LEFT(E2172,2)="DJ","DJ","JN"))</f>
        <v>JN</v>
      </c>
      <c r="G2172" s="81"/>
      <c r="H2172" s="81"/>
      <c r="I2172" s="81"/>
      <c r="J2172" s="81"/>
      <c r="K2172" s="81"/>
      <c r="L2172" s="81" t="n">
        <v>2086660</v>
      </c>
      <c r="M2172" s="81" t="n">
        <v>15421107</v>
      </c>
      <c r="N2172" s="81" t="n">
        <v>11.94</v>
      </c>
      <c r="O2172" s="81"/>
      <c r="P2172" s="81"/>
      <c r="Q2172" s="81"/>
      <c r="R2172" s="81"/>
      <c r="S2172" s="81"/>
      <c r="T2172" s="81"/>
      <c r="U2172" s="83"/>
      <c r="V2172" s="83"/>
      <c r="W2172" s="81"/>
      <c r="X2172" s="81"/>
      <c r="Y2172" s="83"/>
      <c r="Z2172" s="81"/>
      <c r="AA2172" s="81"/>
      <c r="AB2172" s="81"/>
      <c r="AC2172" s="81"/>
      <c r="AD2172" s="81"/>
      <c r="AE2172" s="83"/>
      <c r="AF2172" s="81"/>
      <c r="AG2172" s="81"/>
      <c r="AH2172" s="81"/>
      <c r="AI2172" s="81"/>
      <c r="AJ2172" s="83"/>
      <c r="AK2172" s="81"/>
      <c r="AL2172" s="81"/>
      <c r="AM2172" s="83"/>
      <c r="AN2172" s="80"/>
      <c r="AO2172" s="82" t="n">
        <f aca="false">IF(E2172="","",(AA2172&lt;&gt;"")+(AG2172&lt;&gt;"")+(AL2172&lt;&gt;""))</f>
        <v>0</v>
      </c>
      <c r="AP2172" s="82" t="str">
        <f aca="false">IF(AL2172&lt;&gt;"",AL2172,IF(AG2172&lt;&gt;"",AG2172,IF(AA2172&lt;&gt;"",AA2172,"")))</f>
        <v/>
      </c>
      <c r="AQ2172" s="84" t="str">
        <f aca="false">IF(E2172="","",IF(U2172="","À SOUDER",IF(X2172="","VT EN ATTENTE",IF(X2172="R","VT REJETÉ – À REPRENDRE",IF(AP2172="","À RADIOGRAPHIER",IF(AP2172="A","ACCEPTÉ",IF(AP2172="NX","NX – RT À REFAIRE",IF(IF(AO2172=1,AD2172,IF(AO2172=2,AI2172,""))="A","RÉPARÉ – À RADIOGRAPHIER",IF(IF(AO2172=1,AD2172,IF(AO2172=2,AI2172,""))="R","VT REJETÉ – À REPRENDRE",IF(OR(AP2172="CO",AP2172="NT"),"COUPE – À RESOUDER","À RÉPARER"))))))))))</f>
        <v>À SOUDER</v>
      </c>
      <c r="AR2172" s="82" t="str">
        <f aca="false">IF(AND(ISNUMBER(U2172),OR(AQ2172="À RADIOGRAPHIER",AQ2172="RÉPARÉ – À RADIOGRAPHIER",AQ2172="NX – RT À REFAIRE",AQ2172="À RÉPARER",AQ2172="COUPE – À RESOUDER",AQ2172="VT REJETÉ – À REPRENDRE")),MAX(0,'PROGRAMME RT'!$C$4-U2172),"")</f>
        <v/>
      </c>
      <c r="AS2172" s="82" t="n">
        <f aca="false">IF(AND(OR(AQ2172="À RADIOGRAPHIER",AQ2172="RÉPARÉ – À RADIOGRAPHIER",AQ2172="NX – RT À REFAIRE"),OR('PROGRAMME RT'!$D$5="TOUTES",B2172='PROGRAMME RT'!$D$5)),1,0)</f>
        <v>0</v>
      </c>
      <c r="AT2172" s="82" t="str">
        <f aca="false">IF(AS2172=1,SUM(AS$7:AS2172),"")</f>
        <v/>
      </c>
      <c r="AU2172" s="82" t="n">
        <f aca="false">IF(AND(OR(AA2172="R",AA2172="NX",AA2172="NT",AA2172="CO"),OR('JOINTS DE RÉPARATION'!$D$5="TOUTES",B2172='JOINTS DE RÉPARATION'!$D$5),OR('JOINTS DE RÉPARATION'!$L$4="TOUS",AQ2172&lt;&gt;"ACCEPTÉ")),1,0)</f>
        <v>0</v>
      </c>
      <c r="AV2172" s="82" t="str">
        <f aca="false">IF(AU2172=1,SUM(AU$7:AU2172),"")</f>
        <v/>
      </c>
      <c r="AW2172" s="82" t="str">
        <f aca="false">IF(E2172="","",B2172&amp;"|"&amp;E2172)</f>
        <v>MFD-ISW → MFD-CPF|JN°1688</v>
      </c>
    </row>
    <row r="2173" customFormat="false" ht="74.6" hidden="false" customHeight="false" outlineLevel="0" collapsed="false">
      <c r="A2173" s="79" t="n">
        <f aca="false">IF(E2173="","",ROW()-6)</f>
        <v>2167</v>
      </c>
      <c r="B2173" s="80" t="s">
        <v>110</v>
      </c>
      <c r="C2173" s="81" t="s">
        <v>926</v>
      </c>
      <c r="D2173" s="81" t="n">
        <v>21</v>
      </c>
      <c r="E2173" s="81" t="s">
        <v>2636</v>
      </c>
      <c r="F2173" s="82" t="str">
        <f aca="false">IF(E2173="","",IF(LEFT(E2173,2)="DJ","DJ","JN"))</f>
        <v>JN</v>
      </c>
      <c r="G2173" s="81"/>
      <c r="H2173" s="81"/>
      <c r="I2173" s="81"/>
      <c r="J2173" s="81"/>
      <c r="K2173" s="81"/>
      <c r="L2173" s="81"/>
      <c r="M2173" s="81"/>
      <c r="N2173" s="81"/>
      <c r="O2173" s="81"/>
      <c r="P2173" s="81"/>
      <c r="Q2173" s="81"/>
      <c r="R2173" s="81"/>
      <c r="S2173" s="81"/>
      <c r="T2173" s="81"/>
      <c r="U2173" s="83"/>
      <c r="V2173" s="83"/>
      <c r="W2173" s="81"/>
      <c r="X2173" s="81"/>
      <c r="Y2173" s="83"/>
      <c r="Z2173" s="81"/>
      <c r="AA2173" s="81"/>
      <c r="AB2173" s="81"/>
      <c r="AC2173" s="81"/>
      <c r="AD2173" s="81"/>
      <c r="AE2173" s="83"/>
      <c r="AF2173" s="81"/>
      <c r="AG2173" s="81"/>
      <c r="AH2173" s="81"/>
      <c r="AI2173" s="81"/>
      <c r="AJ2173" s="83"/>
      <c r="AK2173" s="81"/>
      <c r="AL2173" s="81"/>
      <c r="AM2173" s="83"/>
      <c r="AN2173" s="80"/>
      <c r="AO2173" s="82" t="n">
        <f aca="false">IF(E2173="","",(AA2173&lt;&gt;"")+(AG2173&lt;&gt;"")+(AL2173&lt;&gt;""))</f>
        <v>0</v>
      </c>
      <c r="AP2173" s="82" t="str">
        <f aca="false">IF(AL2173&lt;&gt;"",AL2173,IF(AG2173&lt;&gt;"",AG2173,IF(AA2173&lt;&gt;"",AA2173,"")))</f>
        <v/>
      </c>
      <c r="AQ2173" s="84" t="str">
        <f aca="false">IF(E2173="","",IF(U2173="","À SOUDER",IF(X2173="","VT EN ATTENTE",IF(X2173="R","VT REJETÉ – À REPRENDRE",IF(AP2173="","À RADIOGRAPHIER",IF(AP2173="A","ACCEPTÉ",IF(AP2173="NX","NX – RT À REFAIRE",IF(IF(AO2173=1,AD2173,IF(AO2173=2,AI2173,""))="A","RÉPARÉ – À RADIOGRAPHIER",IF(IF(AO2173=1,AD2173,IF(AO2173=2,AI2173,""))="R","VT REJETÉ – À REPRENDRE",IF(OR(AP2173="CO",AP2173="NT"),"COUPE – À RESOUDER","À RÉPARER"))))))))))</f>
        <v>À SOUDER</v>
      </c>
      <c r="AR2173" s="82" t="str">
        <f aca="false">IF(AND(ISNUMBER(U2173),OR(AQ2173="À RADIOGRAPHIER",AQ2173="RÉPARÉ – À RADIOGRAPHIER",AQ2173="NX – RT À REFAIRE",AQ2173="À RÉPARER",AQ2173="COUPE – À RESOUDER",AQ2173="VT REJETÉ – À REPRENDRE")),MAX(0,'PROGRAMME RT'!$C$4-U2173),"")</f>
        <v/>
      </c>
      <c r="AS2173" s="82" t="n">
        <f aca="false">IF(AND(OR(AQ2173="À RADIOGRAPHIER",AQ2173="RÉPARÉ – À RADIOGRAPHIER",AQ2173="NX – RT À REFAIRE"),OR('PROGRAMME RT'!$D$5="TOUTES",B2173='PROGRAMME RT'!$D$5)),1,0)</f>
        <v>0</v>
      </c>
      <c r="AT2173" s="82" t="str">
        <f aca="false">IF(AS2173=1,SUM(AS$7:AS2173),"")</f>
        <v/>
      </c>
      <c r="AU2173" s="82" t="n">
        <f aca="false">IF(AND(OR(AA2173="R",AA2173="NX",AA2173="NT",AA2173="CO"),OR('JOINTS DE RÉPARATION'!$D$5="TOUTES",B2173='JOINTS DE RÉPARATION'!$D$5),OR('JOINTS DE RÉPARATION'!$L$4="TOUS",AQ2173&lt;&gt;"ACCEPTÉ")),1,0)</f>
        <v>0</v>
      </c>
      <c r="AV2173" s="82" t="str">
        <f aca="false">IF(AU2173=1,SUM(AU$7:AU2173),"")</f>
        <v/>
      </c>
      <c r="AW2173" s="82" t="str">
        <f aca="false">IF(E2173="","",B2173&amp;"|"&amp;E2173)</f>
        <v>MFD-ISW → MFD-CPF|JN°1689</v>
      </c>
    </row>
    <row r="2174" customFormat="false" ht="74.6" hidden="false" customHeight="false" outlineLevel="0" collapsed="false">
      <c r="A2174" s="79" t="n">
        <f aca="false">IF(E2174="","",ROW()-6)</f>
        <v>2168</v>
      </c>
      <c r="B2174" s="80" t="s">
        <v>110</v>
      </c>
      <c r="C2174" s="81" t="s">
        <v>926</v>
      </c>
      <c r="D2174" s="81" t="n">
        <v>21</v>
      </c>
      <c r="E2174" s="81" t="s">
        <v>2637</v>
      </c>
      <c r="F2174" s="82" t="str">
        <f aca="false">IF(E2174="","",IF(LEFT(E2174,2)="DJ","DJ","JN"))</f>
        <v>JN</v>
      </c>
      <c r="G2174" s="81"/>
      <c r="H2174" s="81"/>
      <c r="I2174" s="81"/>
      <c r="J2174" s="81"/>
      <c r="K2174" s="81"/>
      <c r="L2174" s="81"/>
      <c r="M2174" s="81"/>
      <c r="N2174" s="81"/>
      <c r="O2174" s="81"/>
      <c r="P2174" s="81"/>
      <c r="Q2174" s="81"/>
      <c r="R2174" s="81"/>
      <c r="S2174" s="81"/>
      <c r="T2174" s="81"/>
      <c r="U2174" s="83"/>
      <c r="V2174" s="83"/>
      <c r="W2174" s="81"/>
      <c r="X2174" s="81"/>
      <c r="Y2174" s="83"/>
      <c r="Z2174" s="81"/>
      <c r="AA2174" s="81"/>
      <c r="AB2174" s="81"/>
      <c r="AC2174" s="81"/>
      <c r="AD2174" s="81"/>
      <c r="AE2174" s="83"/>
      <c r="AF2174" s="81"/>
      <c r="AG2174" s="81"/>
      <c r="AH2174" s="81"/>
      <c r="AI2174" s="81"/>
      <c r="AJ2174" s="83"/>
      <c r="AK2174" s="81"/>
      <c r="AL2174" s="81"/>
      <c r="AM2174" s="83"/>
      <c r="AN2174" s="80"/>
      <c r="AO2174" s="82" t="n">
        <f aca="false">IF(E2174="","",(AA2174&lt;&gt;"")+(AG2174&lt;&gt;"")+(AL2174&lt;&gt;""))</f>
        <v>0</v>
      </c>
      <c r="AP2174" s="82" t="str">
        <f aca="false">IF(AL2174&lt;&gt;"",AL2174,IF(AG2174&lt;&gt;"",AG2174,IF(AA2174&lt;&gt;"",AA2174,"")))</f>
        <v/>
      </c>
      <c r="AQ2174" s="84" t="str">
        <f aca="false">IF(E2174="","",IF(U2174="","À SOUDER",IF(X2174="","VT EN ATTENTE",IF(X2174="R","VT REJETÉ – À REPRENDRE",IF(AP2174="","À RADIOGRAPHIER",IF(AP2174="A","ACCEPTÉ",IF(AP2174="NX","NX – RT À REFAIRE",IF(IF(AO2174=1,AD2174,IF(AO2174=2,AI2174,""))="A","RÉPARÉ – À RADIOGRAPHIER",IF(IF(AO2174=1,AD2174,IF(AO2174=2,AI2174,""))="R","VT REJETÉ – À REPRENDRE",IF(OR(AP2174="CO",AP2174="NT"),"COUPE – À RESOUDER","À RÉPARER"))))))))))</f>
        <v>À SOUDER</v>
      </c>
      <c r="AR2174" s="82" t="str">
        <f aca="false">IF(AND(ISNUMBER(U2174),OR(AQ2174="À RADIOGRAPHIER",AQ2174="RÉPARÉ – À RADIOGRAPHIER",AQ2174="NX – RT À REFAIRE",AQ2174="À RÉPARER",AQ2174="COUPE – À RESOUDER",AQ2174="VT REJETÉ – À REPRENDRE")),MAX(0,'PROGRAMME RT'!$C$4-U2174),"")</f>
        <v/>
      </c>
      <c r="AS2174" s="82" t="n">
        <f aca="false">IF(AND(OR(AQ2174="À RADIOGRAPHIER",AQ2174="RÉPARÉ – À RADIOGRAPHIER",AQ2174="NX – RT À REFAIRE"),OR('PROGRAMME RT'!$D$5="TOUTES",B2174='PROGRAMME RT'!$D$5)),1,0)</f>
        <v>0</v>
      </c>
      <c r="AT2174" s="82" t="str">
        <f aca="false">IF(AS2174=1,SUM(AS$7:AS2174),"")</f>
        <v/>
      </c>
      <c r="AU2174" s="82" t="n">
        <f aca="false">IF(AND(OR(AA2174="R",AA2174="NX",AA2174="NT",AA2174="CO"),OR('JOINTS DE RÉPARATION'!$D$5="TOUTES",B2174='JOINTS DE RÉPARATION'!$D$5),OR('JOINTS DE RÉPARATION'!$L$4="TOUS",AQ2174&lt;&gt;"ACCEPTÉ")),1,0)</f>
        <v>0</v>
      </c>
      <c r="AV2174" s="82" t="str">
        <f aca="false">IF(AU2174=1,SUM(AU$7:AU2174),"")</f>
        <v/>
      </c>
      <c r="AW2174" s="82" t="str">
        <f aca="false">IF(E2174="","",B2174&amp;"|"&amp;E2174)</f>
        <v>MFD-ISW → MFD-CPF|JN°1690</v>
      </c>
    </row>
    <row r="2175" customFormat="false" ht="74.6" hidden="false" customHeight="false" outlineLevel="0" collapsed="false">
      <c r="A2175" s="79" t="n">
        <f aca="false">IF(E2175="","",ROW()-6)</f>
        <v>2169</v>
      </c>
      <c r="B2175" s="80" t="s">
        <v>110</v>
      </c>
      <c r="C2175" s="81" t="s">
        <v>926</v>
      </c>
      <c r="D2175" s="81" t="n">
        <v>21</v>
      </c>
      <c r="E2175" s="81" t="s">
        <v>2638</v>
      </c>
      <c r="F2175" s="82" t="str">
        <f aca="false">IF(E2175="","",IF(LEFT(E2175,2)="DJ","DJ","JN"))</f>
        <v>JN</v>
      </c>
      <c r="G2175" s="81"/>
      <c r="H2175" s="81"/>
      <c r="I2175" s="81"/>
      <c r="J2175" s="81"/>
      <c r="K2175" s="81"/>
      <c r="L2175" s="81"/>
      <c r="M2175" s="81"/>
      <c r="N2175" s="81"/>
      <c r="O2175" s="81"/>
      <c r="P2175" s="81"/>
      <c r="Q2175" s="81"/>
      <c r="R2175" s="81"/>
      <c r="S2175" s="81"/>
      <c r="T2175" s="81"/>
      <c r="U2175" s="83"/>
      <c r="V2175" s="83"/>
      <c r="W2175" s="81"/>
      <c r="X2175" s="81"/>
      <c r="Y2175" s="83"/>
      <c r="Z2175" s="81"/>
      <c r="AA2175" s="81"/>
      <c r="AB2175" s="81"/>
      <c r="AC2175" s="81"/>
      <c r="AD2175" s="81"/>
      <c r="AE2175" s="83"/>
      <c r="AF2175" s="81"/>
      <c r="AG2175" s="81"/>
      <c r="AH2175" s="81"/>
      <c r="AI2175" s="81"/>
      <c r="AJ2175" s="83"/>
      <c r="AK2175" s="81"/>
      <c r="AL2175" s="81"/>
      <c r="AM2175" s="83"/>
      <c r="AN2175" s="80"/>
      <c r="AO2175" s="82" t="n">
        <f aca="false">IF(E2175="","",(AA2175&lt;&gt;"")+(AG2175&lt;&gt;"")+(AL2175&lt;&gt;""))</f>
        <v>0</v>
      </c>
      <c r="AP2175" s="82" t="str">
        <f aca="false">IF(AL2175&lt;&gt;"",AL2175,IF(AG2175&lt;&gt;"",AG2175,IF(AA2175&lt;&gt;"",AA2175,"")))</f>
        <v/>
      </c>
      <c r="AQ2175" s="84" t="str">
        <f aca="false">IF(E2175="","",IF(U2175="","À SOUDER",IF(X2175="","VT EN ATTENTE",IF(X2175="R","VT REJETÉ – À REPRENDRE",IF(AP2175="","À RADIOGRAPHIER",IF(AP2175="A","ACCEPTÉ",IF(AP2175="NX","NX – RT À REFAIRE",IF(IF(AO2175=1,AD2175,IF(AO2175=2,AI2175,""))="A","RÉPARÉ – À RADIOGRAPHIER",IF(IF(AO2175=1,AD2175,IF(AO2175=2,AI2175,""))="R","VT REJETÉ – À REPRENDRE",IF(OR(AP2175="CO",AP2175="NT"),"COUPE – À RESOUDER","À RÉPARER"))))))))))</f>
        <v>À SOUDER</v>
      </c>
      <c r="AR2175" s="82" t="str">
        <f aca="false">IF(AND(ISNUMBER(U2175),OR(AQ2175="À RADIOGRAPHIER",AQ2175="RÉPARÉ – À RADIOGRAPHIER",AQ2175="NX – RT À REFAIRE",AQ2175="À RÉPARER",AQ2175="COUPE – À RESOUDER",AQ2175="VT REJETÉ – À REPRENDRE")),MAX(0,'PROGRAMME RT'!$C$4-U2175),"")</f>
        <v/>
      </c>
      <c r="AS2175" s="82" t="n">
        <f aca="false">IF(AND(OR(AQ2175="À RADIOGRAPHIER",AQ2175="RÉPARÉ – À RADIOGRAPHIER",AQ2175="NX – RT À REFAIRE"),OR('PROGRAMME RT'!$D$5="TOUTES",B2175='PROGRAMME RT'!$D$5)),1,0)</f>
        <v>0</v>
      </c>
      <c r="AT2175" s="82" t="str">
        <f aca="false">IF(AS2175=1,SUM(AS$7:AS2175),"")</f>
        <v/>
      </c>
      <c r="AU2175" s="82" t="n">
        <f aca="false">IF(AND(OR(AA2175="R",AA2175="NX",AA2175="NT",AA2175="CO"),OR('JOINTS DE RÉPARATION'!$D$5="TOUTES",B2175='JOINTS DE RÉPARATION'!$D$5),OR('JOINTS DE RÉPARATION'!$L$4="TOUS",AQ2175&lt;&gt;"ACCEPTÉ")),1,0)</f>
        <v>0</v>
      </c>
      <c r="AV2175" s="82" t="str">
        <f aca="false">IF(AU2175=1,SUM(AU$7:AU2175),"")</f>
        <v/>
      </c>
      <c r="AW2175" s="82" t="str">
        <f aca="false">IF(E2175="","",B2175&amp;"|"&amp;E2175)</f>
        <v>MFD-ISW → MFD-CPF|JN°1691</v>
      </c>
    </row>
    <row r="2176" customFormat="false" ht="74.6" hidden="false" customHeight="false" outlineLevel="0" collapsed="false">
      <c r="A2176" s="79" t="n">
        <f aca="false">IF(E2176="","",ROW()-6)</f>
        <v>2170</v>
      </c>
      <c r="B2176" s="80" t="s">
        <v>110</v>
      </c>
      <c r="C2176" s="81" t="s">
        <v>926</v>
      </c>
      <c r="D2176" s="81" t="n">
        <v>21</v>
      </c>
      <c r="E2176" s="81" t="s">
        <v>2639</v>
      </c>
      <c r="F2176" s="82" t="str">
        <f aca="false">IF(E2176="","",IF(LEFT(E2176,2)="DJ","DJ","JN"))</f>
        <v>JN</v>
      </c>
      <c r="G2176" s="81"/>
      <c r="H2176" s="81"/>
      <c r="I2176" s="81"/>
      <c r="J2176" s="81"/>
      <c r="K2176" s="81"/>
      <c r="L2176" s="81"/>
      <c r="M2176" s="81"/>
      <c r="N2176" s="81"/>
      <c r="O2176" s="81"/>
      <c r="P2176" s="81"/>
      <c r="Q2176" s="81"/>
      <c r="R2176" s="81"/>
      <c r="S2176" s="81"/>
      <c r="T2176" s="81"/>
      <c r="U2176" s="83"/>
      <c r="V2176" s="83"/>
      <c r="W2176" s="81"/>
      <c r="X2176" s="81"/>
      <c r="Y2176" s="83"/>
      <c r="Z2176" s="81"/>
      <c r="AA2176" s="81"/>
      <c r="AB2176" s="81"/>
      <c r="AC2176" s="81"/>
      <c r="AD2176" s="81"/>
      <c r="AE2176" s="83"/>
      <c r="AF2176" s="81"/>
      <c r="AG2176" s="81"/>
      <c r="AH2176" s="81"/>
      <c r="AI2176" s="81"/>
      <c r="AJ2176" s="83"/>
      <c r="AK2176" s="81"/>
      <c r="AL2176" s="81"/>
      <c r="AM2176" s="83"/>
      <c r="AN2176" s="80"/>
      <c r="AO2176" s="82" t="n">
        <f aca="false">IF(E2176="","",(AA2176&lt;&gt;"")+(AG2176&lt;&gt;"")+(AL2176&lt;&gt;""))</f>
        <v>0</v>
      </c>
      <c r="AP2176" s="82" t="str">
        <f aca="false">IF(AL2176&lt;&gt;"",AL2176,IF(AG2176&lt;&gt;"",AG2176,IF(AA2176&lt;&gt;"",AA2176,"")))</f>
        <v/>
      </c>
      <c r="AQ2176" s="84" t="str">
        <f aca="false">IF(E2176="","",IF(U2176="","À SOUDER",IF(X2176="","VT EN ATTENTE",IF(X2176="R","VT REJETÉ – À REPRENDRE",IF(AP2176="","À RADIOGRAPHIER",IF(AP2176="A","ACCEPTÉ",IF(AP2176="NX","NX – RT À REFAIRE",IF(IF(AO2176=1,AD2176,IF(AO2176=2,AI2176,""))="A","RÉPARÉ – À RADIOGRAPHIER",IF(IF(AO2176=1,AD2176,IF(AO2176=2,AI2176,""))="R","VT REJETÉ – À REPRENDRE",IF(OR(AP2176="CO",AP2176="NT"),"COUPE – À RESOUDER","À RÉPARER"))))))))))</f>
        <v>À SOUDER</v>
      </c>
      <c r="AR2176" s="82" t="str">
        <f aca="false">IF(AND(ISNUMBER(U2176),OR(AQ2176="À RADIOGRAPHIER",AQ2176="RÉPARÉ – À RADIOGRAPHIER",AQ2176="NX – RT À REFAIRE",AQ2176="À RÉPARER",AQ2176="COUPE – À RESOUDER",AQ2176="VT REJETÉ – À REPRENDRE")),MAX(0,'PROGRAMME RT'!$C$4-U2176),"")</f>
        <v/>
      </c>
      <c r="AS2176" s="82" t="n">
        <f aca="false">IF(AND(OR(AQ2176="À RADIOGRAPHIER",AQ2176="RÉPARÉ – À RADIOGRAPHIER",AQ2176="NX – RT À REFAIRE"),OR('PROGRAMME RT'!$D$5="TOUTES",B2176='PROGRAMME RT'!$D$5)),1,0)</f>
        <v>0</v>
      </c>
      <c r="AT2176" s="82" t="str">
        <f aca="false">IF(AS2176=1,SUM(AS$7:AS2176),"")</f>
        <v/>
      </c>
      <c r="AU2176" s="82" t="n">
        <f aca="false">IF(AND(OR(AA2176="R",AA2176="NX",AA2176="NT",AA2176="CO"),OR('JOINTS DE RÉPARATION'!$D$5="TOUTES",B2176='JOINTS DE RÉPARATION'!$D$5),OR('JOINTS DE RÉPARATION'!$L$4="TOUS",AQ2176&lt;&gt;"ACCEPTÉ")),1,0)</f>
        <v>0</v>
      </c>
      <c r="AV2176" s="82" t="str">
        <f aca="false">IF(AU2176=1,SUM(AU$7:AU2176),"")</f>
        <v/>
      </c>
      <c r="AW2176" s="82" t="str">
        <f aca="false">IF(E2176="","",B2176&amp;"|"&amp;E2176)</f>
        <v>MFD-ISW → MFD-CPF|JN°1692</v>
      </c>
    </row>
    <row r="2177" customFormat="false" ht="74.6" hidden="false" customHeight="false" outlineLevel="0" collapsed="false">
      <c r="A2177" s="79" t="n">
        <f aca="false">IF(E2177="","",ROW()-6)</f>
        <v>2171</v>
      </c>
      <c r="B2177" s="80" t="s">
        <v>110</v>
      </c>
      <c r="C2177" s="81" t="s">
        <v>926</v>
      </c>
      <c r="D2177" s="81" t="n">
        <v>21</v>
      </c>
      <c r="E2177" s="81" t="s">
        <v>2640</v>
      </c>
      <c r="F2177" s="82" t="str">
        <f aca="false">IF(E2177="","",IF(LEFT(E2177,2)="DJ","DJ","JN"))</f>
        <v>JN</v>
      </c>
      <c r="G2177" s="81"/>
      <c r="H2177" s="81"/>
      <c r="I2177" s="81"/>
      <c r="J2177" s="81"/>
      <c r="K2177" s="81"/>
      <c r="L2177" s="81"/>
      <c r="M2177" s="81"/>
      <c r="N2177" s="81"/>
      <c r="O2177" s="81"/>
      <c r="P2177" s="81"/>
      <c r="Q2177" s="81"/>
      <c r="R2177" s="81"/>
      <c r="S2177" s="81"/>
      <c r="T2177" s="81"/>
      <c r="U2177" s="83"/>
      <c r="V2177" s="83"/>
      <c r="W2177" s="81"/>
      <c r="X2177" s="81"/>
      <c r="Y2177" s="83"/>
      <c r="Z2177" s="81"/>
      <c r="AA2177" s="81"/>
      <c r="AB2177" s="81"/>
      <c r="AC2177" s="81"/>
      <c r="AD2177" s="81"/>
      <c r="AE2177" s="83"/>
      <c r="AF2177" s="81"/>
      <c r="AG2177" s="81"/>
      <c r="AH2177" s="81"/>
      <c r="AI2177" s="81"/>
      <c r="AJ2177" s="83"/>
      <c r="AK2177" s="81"/>
      <c r="AL2177" s="81"/>
      <c r="AM2177" s="83"/>
      <c r="AN2177" s="80"/>
      <c r="AO2177" s="82" t="n">
        <f aca="false">IF(E2177="","",(AA2177&lt;&gt;"")+(AG2177&lt;&gt;"")+(AL2177&lt;&gt;""))</f>
        <v>0</v>
      </c>
      <c r="AP2177" s="82" t="str">
        <f aca="false">IF(AL2177&lt;&gt;"",AL2177,IF(AG2177&lt;&gt;"",AG2177,IF(AA2177&lt;&gt;"",AA2177,"")))</f>
        <v/>
      </c>
      <c r="AQ2177" s="84" t="str">
        <f aca="false">IF(E2177="","",IF(U2177="","À SOUDER",IF(X2177="","VT EN ATTENTE",IF(X2177="R","VT REJETÉ – À REPRENDRE",IF(AP2177="","À RADIOGRAPHIER",IF(AP2177="A","ACCEPTÉ",IF(AP2177="NX","NX – RT À REFAIRE",IF(IF(AO2177=1,AD2177,IF(AO2177=2,AI2177,""))="A","RÉPARÉ – À RADIOGRAPHIER",IF(IF(AO2177=1,AD2177,IF(AO2177=2,AI2177,""))="R","VT REJETÉ – À REPRENDRE",IF(OR(AP2177="CO",AP2177="NT"),"COUPE – À RESOUDER","À RÉPARER"))))))))))</f>
        <v>À SOUDER</v>
      </c>
      <c r="AR2177" s="82" t="str">
        <f aca="false">IF(AND(ISNUMBER(U2177),OR(AQ2177="À RADIOGRAPHIER",AQ2177="RÉPARÉ – À RADIOGRAPHIER",AQ2177="NX – RT À REFAIRE",AQ2177="À RÉPARER",AQ2177="COUPE – À RESOUDER",AQ2177="VT REJETÉ – À REPRENDRE")),MAX(0,'PROGRAMME RT'!$C$4-U2177),"")</f>
        <v/>
      </c>
      <c r="AS2177" s="82" t="n">
        <f aca="false">IF(AND(OR(AQ2177="À RADIOGRAPHIER",AQ2177="RÉPARÉ – À RADIOGRAPHIER",AQ2177="NX – RT À REFAIRE"),OR('PROGRAMME RT'!$D$5="TOUTES",B2177='PROGRAMME RT'!$D$5)),1,0)</f>
        <v>0</v>
      </c>
      <c r="AT2177" s="82" t="str">
        <f aca="false">IF(AS2177=1,SUM(AS$7:AS2177),"")</f>
        <v/>
      </c>
      <c r="AU2177" s="82" t="n">
        <f aca="false">IF(AND(OR(AA2177="R",AA2177="NX",AA2177="NT",AA2177="CO"),OR('JOINTS DE RÉPARATION'!$D$5="TOUTES",B2177='JOINTS DE RÉPARATION'!$D$5),OR('JOINTS DE RÉPARATION'!$L$4="TOUS",AQ2177&lt;&gt;"ACCEPTÉ")),1,0)</f>
        <v>0</v>
      </c>
      <c r="AV2177" s="82" t="str">
        <f aca="false">IF(AU2177=1,SUM(AU$7:AU2177),"")</f>
        <v/>
      </c>
      <c r="AW2177" s="82" t="str">
        <f aca="false">IF(E2177="","",B2177&amp;"|"&amp;E2177)</f>
        <v>MFD-ISW → MFD-CPF|JN°1693</v>
      </c>
    </row>
    <row r="2178" customFormat="false" ht="74.6" hidden="false" customHeight="false" outlineLevel="0" collapsed="false">
      <c r="A2178" s="79" t="n">
        <f aca="false">IF(E2178="","",ROW()-6)</f>
        <v>2172</v>
      </c>
      <c r="B2178" s="80" t="s">
        <v>110</v>
      </c>
      <c r="C2178" s="81" t="s">
        <v>926</v>
      </c>
      <c r="D2178" s="81" t="n">
        <v>21</v>
      </c>
      <c r="E2178" s="81" t="s">
        <v>2641</v>
      </c>
      <c r="F2178" s="82" t="str">
        <f aca="false">IF(E2178="","",IF(LEFT(E2178,2)="DJ","DJ","JN"))</f>
        <v>JN</v>
      </c>
      <c r="G2178" s="81"/>
      <c r="H2178" s="81"/>
      <c r="I2178" s="81"/>
      <c r="J2178" s="81"/>
      <c r="K2178" s="81"/>
      <c r="L2178" s="81"/>
      <c r="M2178" s="81"/>
      <c r="N2178" s="81"/>
      <c r="O2178" s="81"/>
      <c r="P2178" s="81"/>
      <c r="Q2178" s="81"/>
      <c r="R2178" s="81"/>
      <c r="S2178" s="81"/>
      <c r="T2178" s="81"/>
      <c r="U2178" s="83"/>
      <c r="V2178" s="83"/>
      <c r="W2178" s="81"/>
      <c r="X2178" s="81"/>
      <c r="Y2178" s="83"/>
      <c r="Z2178" s="81"/>
      <c r="AA2178" s="81"/>
      <c r="AB2178" s="81"/>
      <c r="AC2178" s="81"/>
      <c r="AD2178" s="81"/>
      <c r="AE2178" s="83"/>
      <c r="AF2178" s="81"/>
      <c r="AG2178" s="81"/>
      <c r="AH2178" s="81"/>
      <c r="AI2178" s="81"/>
      <c r="AJ2178" s="83"/>
      <c r="AK2178" s="81"/>
      <c r="AL2178" s="81"/>
      <c r="AM2178" s="83"/>
      <c r="AN2178" s="80"/>
      <c r="AO2178" s="82" t="n">
        <f aca="false">IF(E2178="","",(AA2178&lt;&gt;"")+(AG2178&lt;&gt;"")+(AL2178&lt;&gt;""))</f>
        <v>0</v>
      </c>
      <c r="AP2178" s="82" t="str">
        <f aca="false">IF(AL2178&lt;&gt;"",AL2178,IF(AG2178&lt;&gt;"",AG2178,IF(AA2178&lt;&gt;"",AA2178,"")))</f>
        <v/>
      </c>
      <c r="AQ2178" s="84" t="str">
        <f aca="false">IF(E2178="","",IF(U2178="","À SOUDER",IF(X2178="","VT EN ATTENTE",IF(X2178="R","VT REJETÉ – À REPRENDRE",IF(AP2178="","À RADIOGRAPHIER",IF(AP2178="A","ACCEPTÉ",IF(AP2178="NX","NX – RT À REFAIRE",IF(IF(AO2178=1,AD2178,IF(AO2178=2,AI2178,""))="A","RÉPARÉ – À RADIOGRAPHIER",IF(IF(AO2178=1,AD2178,IF(AO2178=2,AI2178,""))="R","VT REJETÉ – À REPRENDRE",IF(OR(AP2178="CO",AP2178="NT"),"COUPE – À RESOUDER","À RÉPARER"))))))))))</f>
        <v>À SOUDER</v>
      </c>
      <c r="AR2178" s="82" t="str">
        <f aca="false">IF(AND(ISNUMBER(U2178),OR(AQ2178="À RADIOGRAPHIER",AQ2178="RÉPARÉ – À RADIOGRAPHIER",AQ2178="NX – RT À REFAIRE",AQ2178="À RÉPARER",AQ2178="COUPE – À RESOUDER",AQ2178="VT REJETÉ – À REPRENDRE")),MAX(0,'PROGRAMME RT'!$C$4-U2178),"")</f>
        <v/>
      </c>
      <c r="AS2178" s="82" t="n">
        <f aca="false">IF(AND(OR(AQ2178="À RADIOGRAPHIER",AQ2178="RÉPARÉ – À RADIOGRAPHIER",AQ2178="NX – RT À REFAIRE"),OR('PROGRAMME RT'!$D$5="TOUTES",B2178='PROGRAMME RT'!$D$5)),1,0)</f>
        <v>0</v>
      </c>
      <c r="AT2178" s="82" t="str">
        <f aca="false">IF(AS2178=1,SUM(AS$7:AS2178),"")</f>
        <v/>
      </c>
      <c r="AU2178" s="82" t="n">
        <f aca="false">IF(AND(OR(AA2178="R",AA2178="NX",AA2178="NT",AA2178="CO"),OR('JOINTS DE RÉPARATION'!$D$5="TOUTES",B2178='JOINTS DE RÉPARATION'!$D$5),OR('JOINTS DE RÉPARATION'!$L$4="TOUS",AQ2178&lt;&gt;"ACCEPTÉ")),1,0)</f>
        <v>0</v>
      </c>
      <c r="AV2178" s="82" t="str">
        <f aca="false">IF(AU2178=1,SUM(AU$7:AU2178),"")</f>
        <v/>
      </c>
      <c r="AW2178" s="82" t="str">
        <f aca="false">IF(E2178="","",B2178&amp;"|"&amp;E2178)</f>
        <v>MFD-ISW → MFD-CPF|JN°1694</v>
      </c>
    </row>
    <row r="2179" customFormat="false" ht="74.6" hidden="false" customHeight="false" outlineLevel="0" collapsed="false">
      <c r="A2179" s="79" t="n">
        <f aca="false">IF(E2179="","",ROW()-6)</f>
        <v>2173</v>
      </c>
      <c r="B2179" s="80" t="s">
        <v>110</v>
      </c>
      <c r="C2179" s="81" t="s">
        <v>926</v>
      </c>
      <c r="D2179" s="81" t="n">
        <v>21</v>
      </c>
      <c r="E2179" s="81" t="s">
        <v>2642</v>
      </c>
      <c r="F2179" s="82" t="str">
        <f aca="false">IF(E2179="","",IF(LEFT(E2179,2)="DJ","DJ","JN"))</f>
        <v>JN</v>
      </c>
      <c r="G2179" s="81"/>
      <c r="H2179" s="81"/>
      <c r="I2179" s="81"/>
      <c r="J2179" s="81"/>
      <c r="K2179" s="81"/>
      <c r="L2179" s="81"/>
      <c r="M2179" s="81"/>
      <c r="N2179" s="81"/>
      <c r="O2179" s="81"/>
      <c r="P2179" s="81"/>
      <c r="Q2179" s="81"/>
      <c r="R2179" s="81"/>
      <c r="S2179" s="81"/>
      <c r="T2179" s="81"/>
      <c r="U2179" s="83"/>
      <c r="V2179" s="83"/>
      <c r="W2179" s="81"/>
      <c r="X2179" s="81"/>
      <c r="Y2179" s="83"/>
      <c r="Z2179" s="81"/>
      <c r="AA2179" s="81"/>
      <c r="AB2179" s="81"/>
      <c r="AC2179" s="81"/>
      <c r="AD2179" s="81"/>
      <c r="AE2179" s="83"/>
      <c r="AF2179" s="81"/>
      <c r="AG2179" s="81"/>
      <c r="AH2179" s="81"/>
      <c r="AI2179" s="81"/>
      <c r="AJ2179" s="83"/>
      <c r="AK2179" s="81"/>
      <c r="AL2179" s="81"/>
      <c r="AM2179" s="83"/>
      <c r="AN2179" s="80"/>
      <c r="AO2179" s="82" t="n">
        <f aca="false">IF(E2179="","",(AA2179&lt;&gt;"")+(AG2179&lt;&gt;"")+(AL2179&lt;&gt;""))</f>
        <v>0</v>
      </c>
      <c r="AP2179" s="82" t="str">
        <f aca="false">IF(AL2179&lt;&gt;"",AL2179,IF(AG2179&lt;&gt;"",AG2179,IF(AA2179&lt;&gt;"",AA2179,"")))</f>
        <v/>
      </c>
      <c r="AQ2179" s="84" t="str">
        <f aca="false">IF(E2179="","",IF(U2179="","À SOUDER",IF(X2179="","VT EN ATTENTE",IF(X2179="R","VT REJETÉ – À REPRENDRE",IF(AP2179="","À RADIOGRAPHIER",IF(AP2179="A","ACCEPTÉ",IF(AP2179="NX","NX – RT À REFAIRE",IF(IF(AO2179=1,AD2179,IF(AO2179=2,AI2179,""))="A","RÉPARÉ – À RADIOGRAPHIER",IF(IF(AO2179=1,AD2179,IF(AO2179=2,AI2179,""))="R","VT REJETÉ – À REPRENDRE",IF(OR(AP2179="CO",AP2179="NT"),"COUPE – À RESOUDER","À RÉPARER"))))))))))</f>
        <v>À SOUDER</v>
      </c>
      <c r="AR2179" s="82" t="str">
        <f aca="false">IF(AND(ISNUMBER(U2179),OR(AQ2179="À RADIOGRAPHIER",AQ2179="RÉPARÉ – À RADIOGRAPHIER",AQ2179="NX – RT À REFAIRE",AQ2179="À RÉPARER",AQ2179="COUPE – À RESOUDER",AQ2179="VT REJETÉ – À REPRENDRE")),MAX(0,'PROGRAMME RT'!$C$4-U2179),"")</f>
        <v/>
      </c>
      <c r="AS2179" s="82" t="n">
        <f aca="false">IF(AND(OR(AQ2179="À RADIOGRAPHIER",AQ2179="RÉPARÉ – À RADIOGRAPHIER",AQ2179="NX – RT À REFAIRE"),OR('PROGRAMME RT'!$D$5="TOUTES",B2179='PROGRAMME RT'!$D$5)),1,0)</f>
        <v>0</v>
      </c>
      <c r="AT2179" s="82" t="str">
        <f aca="false">IF(AS2179=1,SUM(AS$7:AS2179),"")</f>
        <v/>
      </c>
      <c r="AU2179" s="82" t="n">
        <f aca="false">IF(AND(OR(AA2179="R",AA2179="NX",AA2179="NT",AA2179="CO"),OR('JOINTS DE RÉPARATION'!$D$5="TOUTES",B2179='JOINTS DE RÉPARATION'!$D$5),OR('JOINTS DE RÉPARATION'!$L$4="TOUS",AQ2179&lt;&gt;"ACCEPTÉ")),1,0)</f>
        <v>0</v>
      </c>
      <c r="AV2179" s="82" t="str">
        <f aca="false">IF(AU2179=1,SUM(AU$7:AU2179),"")</f>
        <v/>
      </c>
      <c r="AW2179" s="82" t="str">
        <f aca="false">IF(E2179="","",B2179&amp;"|"&amp;E2179)</f>
        <v>MFD-ISW → MFD-CPF|JN°1695</v>
      </c>
    </row>
    <row r="2180" customFormat="false" ht="74.6" hidden="false" customHeight="false" outlineLevel="0" collapsed="false">
      <c r="A2180" s="79" t="n">
        <f aca="false">IF(E2180="","",ROW()-6)</f>
        <v>2174</v>
      </c>
      <c r="B2180" s="80" t="s">
        <v>110</v>
      </c>
      <c r="C2180" s="81" t="s">
        <v>926</v>
      </c>
      <c r="D2180" s="81" t="n">
        <v>21</v>
      </c>
      <c r="E2180" s="81" t="s">
        <v>2643</v>
      </c>
      <c r="F2180" s="82" t="str">
        <f aca="false">IF(E2180="","",IF(LEFT(E2180,2)="DJ","DJ","JN"))</f>
        <v>JN</v>
      </c>
      <c r="G2180" s="81"/>
      <c r="H2180" s="81"/>
      <c r="I2180" s="81"/>
      <c r="J2180" s="81"/>
      <c r="K2180" s="81"/>
      <c r="L2180" s="81"/>
      <c r="M2180" s="81"/>
      <c r="N2180" s="81"/>
      <c r="O2180" s="81"/>
      <c r="P2180" s="81"/>
      <c r="Q2180" s="81"/>
      <c r="R2180" s="81"/>
      <c r="S2180" s="81"/>
      <c r="T2180" s="81"/>
      <c r="U2180" s="83"/>
      <c r="V2180" s="83"/>
      <c r="W2180" s="81"/>
      <c r="X2180" s="81"/>
      <c r="Y2180" s="83"/>
      <c r="Z2180" s="81"/>
      <c r="AA2180" s="81"/>
      <c r="AB2180" s="81"/>
      <c r="AC2180" s="81"/>
      <c r="AD2180" s="81"/>
      <c r="AE2180" s="83"/>
      <c r="AF2180" s="81"/>
      <c r="AG2180" s="81"/>
      <c r="AH2180" s="81"/>
      <c r="AI2180" s="81"/>
      <c r="AJ2180" s="83"/>
      <c r="AK2180" s="81"/>
      <c r="AL2180" s="81"/>
      <c r="AM2180" s="83"/>
      <c r="AN2180" s="80"/>
      <c r="AO2180" s="82" t="n">
        <f aca="false">IF(E2180="","",(AA2180&lt;&gt;"")+(AG2180&lt;&gt;"")+(AL2180&lt;&gt;""))</f>
        <v>0</v>
      </c>
      <c r="AP2180" s="82" t="str">
        <f aca="false">IF(AL2180&lt;&gt;"",AL2180,IF(AG2180&lt;&gt;"",AG2180,IF(AA2180&lt;&gt;"",AA2180,"")))</f>
        <v/>
      </c>
      <c r="AQ2180" s="84" t="str">
        <f aca="false">IF(E2180="","",IF(U2180="","À SOUDER",IF(X2180="","VT EN ATTENTE",IF(X2180="R","VT REJETÉ – À REPRENDRE",IF(AP2180="","À RADIOGRAPHIER",IF(AP2180="A","ACCEPTÉ",IF(AP2180="NX","NX – RT À REFAIRE",IF(IF(AO2180=1,AD2180,IF(AO2180=2,AI2180,""))="A","RÉPARÉ – À RADIOGRAPHIER",IF(IF(AO2180=1,AD2180,IF(AO2180=2,AI2180,""))="R","VT REJETÉ – À REPRENDRE",IF(OR(AP2180="CO",AP2180="NT"),"COUPE – À RESOUDER","À RÉPARER"))))))))))</f>
        <v>À SOUDER</v>
      </c>
      <c r="AR2180" s="82" t="str">
        <f aca="false">IF(AND(ISNUMBER(U2180),OR(AQ2180="À RADIOGRAPHIER",AQ2180="RÉPARÉ – À RADIOGRAPHIER",AQ2180="NX – RT À REFAIRE",AQ2180="À RÉPARER",AQ2180="COUPE – À RESOUDER",AQ2180="VT REJETÉ – À REPRENDRE")),MAX(0,'PROGRAMME RT'!$C$4-U2180),"")</f>
        <v/>
      </c>
      <c r="AS2180" s="82" t="n">
        <f aca="false">IF(AND(OR(AQ2180="À RADIOGRAPHIER",AQ2180="RÉPARÉ – À RADIOGRAPHIER",AQ2180="NX – RT À REFAIRE"),OR('PROGRAMME RT'!$D$5="TOUTES",B2180='PROGRAMME RT'!$D$5)),1,0)</f>
        <v>0</v>
      </c>
      <c r="AT2180" s="82" t="str">
        <f aca="false">IF(AS2180=1,SUM(AS$7:AS2180),"")</f>
        <v/>
      </c>
      <c r="AU2180" s="82" t="n">
        <f aca="false">IF(AND(OR(AA2180="R",AA2180="NX",AA2180="NT",AA2180="CO"),OR('JOINTS DE RÉPARATION'!$D$5="TOUTES",B2180='JOINTS DE RÉPARATION'!$D$5),OR('JOINTS DE RÉPARATION'!$L$4="TOUS",AQ2180&lt;&gt;"ACCEPTÉ")),1,0)</f>
        <v>0</v>
      </c>
      <c r="AV2180" s="82" t="str">
        <f aca="false">IF(AU2180=1,SUM(AU$7:AU2180),"")</f>
        <v/>
      </c>
      <c r="AW2180" s="82" t="str">
        <f aca="false">IF(E2180="","",B2180&amp;"|"&amp;E2180)</f>
        <v>MFD-ISW → MFD-CPF|JN°1696</v>
      </c>
    </row>
    <row r="2181" customFormat="false" ht="74.6" hidden="false" customHeight="false" outlineLevel="0" collapsed="false">
      <c r="A2181" s="79" t="n">
        <f aca="false">IF(E2181="","",ROW()-6)</f>
        <v>2175</v>
      </c>
      <c r="B2181" s="80" t="s">
        <v>110</v>
      </c>
      <c r="C2181" s="81" t="s">
        <v>926</v>
      </c>
      <c r="D2181" s="81" t="n">
        <v>21</v>
      </c>
      <c r="E2181" s="81" t="s">
        <v>2644</v>
      </c>
      <c r="F2181" s="82" t="str">
        <f aca="false">IF(E2181="","",IF(LEFT(E2181,2)="DJ","DJ","JN"))</f>
        <v>JN</v>
      </c>
      <c r="G2181" s="81"/>
      <c r="H2181" s="81"/>
      <c r="I2181" s="81"/>
      <c r="J2181" s="81"/>
      <c r="K2181" s="81"/>
      <c r="L2181" s="81"/>
      <c r="M2181" s="81"/>
      <c r="N2181" s="81"/>
      <c r="O2181" s="81"/>
      <c r="P2181" s="81"/>
      <c r="Q2181" s="81"/>
      <c r="R2181" s="81"/>
      <c r="S2181" s="81"/>
      <c r="T2181" s="81"/>
      <c r="U2181" s="83"/>
      <c r="V2181" s="83"/>
      <c r="W2181" s="81"/>
      <c r="X2181" s="81"/>
      <c r="Y2181" s="83"/>
      <c r="Z2181" s="81"/>
      <c r="AA2181" s="81"/>
      <c r="AB2181" s="81"/>
      <c r="AC2181" s="81"/>
      <c r="AD2181" s="81"/>
      <c r="AE2181" s="83"/>
      <c r="AF2181" s="81"/>
      <c r="AG2181" s="81"/>
      <c r="AH2181" s="81"/>
      <c r="AI2181" s="81"/>
      <c r="AJ2181" s="83"/>
      <c r="AK2181" s="81"/>
      <c r="AL2181" s="81"/>
      <c r="AM2181" s="83"/>
      <c r="AN2181" s="80"/>
      <c r="AO2181" s="82" t="n">
        <f aca="false">IF(E2181="","",(AA2181&lt;&gt;"")+(AG2181&lt;&gt;"")+(AL2181&lt;&gt;""))</f>
        <v>0</v>
      </c>
      <c r="AP2181" s="82" t="str">
        <f aca="false">IF(AL2181&lt;&gt;"",AL2181,IF(AG2181&lt;&gt;"",AG2181,IF(AA2181&lt;&gt;"",AA2181,"")))</f>
        <v/>
      </c>
      <c r="AQ2181" s="84" t="str">
        <f aca="false">IF(E2181="","",IF(U2181="","À SOUDER",IF(X2181="","VT EN ATTENTE",IF(X2181="R","VT REJETÉ – À REPRENDRE",IF(AP2181="","À RADIOGRAPHIER",IF(AP2181="A","ACCEPTÉ",IF(AP2181="NX","NX – RT À REFAIRE",IF(IF(AO2181=1,AD2181,IF(AO2181=2,AI2181,""))="A","RÉPARÉ – À RADIOGRAPHIER",IF(IF(AO2181=1,AD2181,IF(AO2181=2,AI2181,""))="R","VT REJETÉ – À REPRENDRE",IF(OR(AP2181="CO",AP2181="NT"),"COUPE – À RESOUDER","À RÉPARER"))))))))))</f>
        <v>À SOUDER</v>
      </c>
      <c r="AR2181" s="82" t="str">
        <f aca="false">IF(AND(ISNUMBER(U2181),OR(AQ2181="À RADIOGRAPHIER",AQ2181="RÉPARÉ – À RADIOGRAPHIER",AQ2181="NX – RT À REFAIRE",AQ2181="À RÉPARER",AQ2181="COUPE – À RESOUDER",AQ2181="VT REJETÉ – À REPRENDRE")),MAX(0,'PROGRAMME RT'!$C$4-U2181),"")</f>
        <v/>
      </c>
      <c r="AS2181" s="82" t="n">
        <f aca="false">IF(AND(OR(AQ2181="À RADIOGRAPHIER",AQ2181="RÉPARÉ – À RADIOGRAPHIER",AQ2181="NX – RT À REFAIRE"),OR('PROGRAMME RT'!$D$5="TOUTES",B2181='PROGRAMME RT'!$D$5)),1,0)</f>
        <v>0</v>
      </c>
      <c r="AT2181" s="82" t="str">
        <f aca="false">IF(AS2181=1,SUM(AS$7:AS2181),"")</f>
        <v/>
      </c>
      <c r="AU2181" s="82" t="n">
        <f aca="false">IF(AND(OR(AA2181="R",AA2181="NX",AA2181="NT",AA2181="CO"),OR('JOINTS DE RÉPARATION'!$D$5="TOUTES",B2181='JOINTS DE RÉPARATION'!$D$5),OR('JOINTS DE RÉPARATION'!$L$4="TOUS",AQ2181&lt;&gt;"ACCEPTÉ")),1,0)</f>
        <v>0</v>
      </c>
      <c r="AV2181" s="82" t="str">
        <f aca="false">IF(AU2181=1,SUM(AU$7:AU2181),"")</f>
        <v/>
      </c>
      <c r="AW2181" s="82" t="str">
        <f aca="false">IF(E2181="","",B2181&amp;"|"&amp;E2181)</f>
        <v>MFD-ISW → MFD-CPF|JN°1697</v>
      </c>
    </row>
    <row r="2182" customFormat="false" ht="74.6" hidden="false" customHeight="false" outlineLevel="0" collapsed="false">
      <c r="A2182" s="79" t="n">
        <f aca="false">IF(E2182="","",ROW()-6)</f>
        <v>2176</v>
      </c>
      <c r="B2182" s="80" t="s">
        <v>110</v>
      </c>
      <c r="C2182" s="81" t="s">
        <v>926</v>
      </c>
      <c r="D2182" s="81" t="n">
        <v>21</v>
      </c>
      <c r="E2182" s="81" t="s">
        <v>2645</v>
      </c>
      <c r="F2182" s="82" t="str">
        <f aca="false">IF(E2182="","",IF(LEFT(E2182,2)="DJ","DJ","JN"))</f>
        <v>JN</v>
      </c>
      <c r="G2182" s="81"/>
      <c r="H2182" s="81"/>
      <c r="I2182" s="81"/>
      <c r="J2182" s="81"/>
      <c r="K2182" s="81"/>
      <c r="L2182" s="81"/>
      <c r="M2182" s="81"/>
      <c r="N2182" s="81"/>
      <c r="O2182" s="81"/>
      <c r="P2182" s="81"/>
      <c r="Q2182" s="81"/>
      <c r="R2182" s="81"/>
      <c r="S2182" s="81"/>
      <c r="T2182" s="81"/>
      <c r="U2182" s="83"/>
      <c r="V2182" s="83"/>
      <c r="W2182" s="81"/>
      <c r="X2182" s="81"/>
      <c r="Y2182" s="83"/>
      <c r="Z2182" s="81"/>
      <c r="AA2182" s="81"/>
      <c r="AB2182" s="81"/>
      <c r="AC2182" s="81"/>
      <c r="AD2182" s="81"/>
      <c r="AE2182" s="83"/>
      <c r="AF2182" s="81"/>
      <c r="AG2182" s="81"/>
      <c r="AH2182" s="81"/>
      <c r="AI2182" s="81"/>
      <c r="AJ2182" s="83"/>
      <c r="AK2182" s="81"/>
      <c r="AL2182" s="81"/>
      <c r="AM2182" s="83"/>
      <c r="AN2182" s="80"/>
      <c r="AO2182" s="82" t="n">
        <f aca="false">IF(E2182="","",(AA2182&lt;&gt;"")+(AG2182&lt;&gt;"")+(AL2182&lt;&gt;""))</f>
        <v>0</v>
      </c>
      <c r="AP2182" s="82" t="str">
        <f aca="false">IF(AL2182&lt;&gt;"",AL2182,IF(AG2182&lt;&gt;"",AG2182,IF(AA2182&lt;&gt;"",AA2182,"")))</f>
        <v/>
      </c>
      <c r="AQ2182" s="84" t="str">
        <f aca="false">IF(E2182="","",IF(U2182="","À SOUDER",IF(X2182="","VT EN ATTENTE",IF(X2182="R","VT REJETÉ – À REPRENDRE",IF(AP2182="","À RADIOGRAPHIER",IF(AP2182="A","ACCEPTÉ",IF(AP2182="NX","NX – RT À REFAIRE",IF(IF(AO2182=1,AD2182,IF(AO2182=2,AI2182,""))="A","RÉPARÉ – À RADIOGRAPHIER",IF(IF(AO2182=1,AD2182,IF(AO2182=2,AI2182,""))="R","VT REJETÉ – À REPRENDRE",IF(OR(AP2182="CO",AP2182="NT"),"COUPE – À RESOUDER","À RÉPARER"))))))))))</f>
        <v>À SOUDER</v>
      </c>
      <c r="AR2182" s="82" t="str">
        <f aca="false">IF(AND(ISNUMBER(U2182),OR(AQ2182="À RADIOGRAPHIER",AQ2182="RÉPARÉ – À RADIOGRAPHIER",AQ2182="NX – RT À REFAIRE",AQ2182="À RÉPARER",AQ2182="COUPE – À RESOUDER",AQ2182="VT REJETÉ – À REPRENDRE")),MAX(0,'PROGRAMME RT'!$C$4-U2182),"")</f>
        <v/>
      </c>
      <c r="AS2182" s="82" t="n">
        <f aca="false">IF(AND(OR(AQ2182="À RADIOGRAPHIER",AQ2182="RÉPARÉ – À RADIOGRAPHIER",AQ2182="NX – RT À REFAIRE"),OR('PROGRAMME RT'!$D$5="TOUTES",B2182='PROGRAMME RT'!$D$5)),1,0)</f>
        <v>0</v>
      </c>
      <c r="AT2182" s="82" t="str">
        <f aca="false">IF(AS2182=1,SUM(AS$7:AS2182),"")</f>
        <v/>
      </c>
      <c r="AU2182" s="82" t="n">
        <f aca="false">IF(AND(OR(AA2182="R",AA2182="NX",AA2182="NT",AA2182="CO"),OR('JOINTS DE RÉPARATION'!$D$5="TOUTES",B2182='JOINTS DE RÉPARATION'!$D$5),OR('JOINTS DE RÉPARATION'!$L$4="TOUS",AQ2182&lt;&gt;"ACCEPTÉ")),1,0)</f>
        <v>0</v>
      </c>
      <c r="AV2182" s="82" t="str">
        <f aca="false">IF(AU2182=1,SUM(AU$7:AU2182),"")</f>
        <v/>
      </c>
      <c r="AW2182" s="82" t="str">
        <f aca="false">IF(E2182="","",B2182&amp;"|"&amp;E2182)</f>
        <v>MFD-ISW → MFD-CPF|JN°1698</v>
      </c>
    </row>
    <row r="2183" customFormat="false" ht="74.6" hidden="false" customHeight="false" outlineLevel="0" collapsed="false">
      <c r="A2183" s="79" t="n">
        <f aca="false">IF(E2183="","",ROW()-6)</f>
        <v>2177</v>
      </c>
      <c r="B2183" s="80" t="s">
        <v>110</v>
      </c>
      <c r="C2183" s="81" t="s">
        <v>926</v>
      </c>
      <c r="D2183" s="81" t="n">
        <v>21</v>
      </c>
      <c r="E2183" s="81" t="s">
        <v>2646</v>
      </c>
      <c r="F2183" s="82" t="str">
        <f aca="false">IF(E2183="","",IF(LEFT(E2183,2)="DJ","DJ","JN"))</f>
        <v>JN</v>
      </c>
      <c r="G2183" s="81"/>
      <c r="H2183" s="81"/>
      <c r="I2183" s="81"/>
      <c r="J2183" s="81"/>
      <c r="K2183" s="81"/>
      <c r="L2183" s="81"/>
      <c r="M2183" s="81"/>
      <c r="N2183" s="81"/>
      <c r="O2183" s="81"/>
      <c r="P2183" s="81"/>
      <c r="Q2183" s="81"/>
      <c r="R2183" s="81"/>
      <c r="S2183" s="81"/>
      <c r="T2183" s="81"/>
      <c r="U2183" s="83"/>
      <c r="V2183" s="83"/>
      <c r="W2183" s="81"/>
      <c r="X2183" s="81"/>
      <c r="Y2183" s="83"/>
      <c r="Z2183" s="81"/>
      <c r="AA2183" s="81"/>
      <c r="AB2183" s="81"/>
      <c r="AC2183" s="81"/>
      <c r="AD2183" s="81"/>
      <c r="AE2183" s="83"/>
      <c r="AF2183" s="81"/>
      <c r="AG2183" s="81"/>
      <c r="AH2183" s="81"/>
      <c r="AI2183" s="81"/>
      <c r="AJ2183" s="83"/>
      <c r="AK2183" s="81"/>
      <c r="AL2183" s="81"/>
      <c r="AM2183" s="83"/>
      <c r="AN2183" s="80"/>
      <c r="AO2183" s="82" t="n">
        <f aca="false">IF(E2183="","",(AA2183&lt;&gt;"")+(AG2183&lt;&gt;"")+(AL2183&lt;&gt;""))</f>
        <v>0</v>
      </c>
      <c r="AP2183" s="82" t="str">
        <f aca="false">IF(AL2183&lt;&gt;"",AL2183,IF(AG2183&lt;&gt;"",AG2183,IF(AA2183&lt;&gt;"",AA2183,"")))</f>
        <v/>
      </c>
      <c r="AQ2183" s="84" t="str">
        <f aca="false">IF(E2183="","",IF(U2183="","À SOUDER",IF(X2183="","VT EN ATTENTE",IF(X2183="R","VT REJETÉ – À REPRENDRE",IF(AP2183="","À RADIOGRAPHIER",IF(AP2183="A","ACCEPTÉ",IF(AP2183="NX","NX – RT À REFAIRE",IF(IF(AO2183=1,AD2183,IF(AO2183=2,AI2183,""))="A","RÉPARÉ – À RADIOGRAPHIER",IF(IF(AO2183=1,AD2183,IF(AO2183=2,AI2183,""))="R","VT REJETÉ – À REPRENDRE",IF(OR(AP2183="CO",AP2183="NT"),"COUPE – À RESOUDER","À RÉPARER"))))))))))</f>
        <v>À SOUDER</v>
      </c>
      <c r="AR2183" s="82" t="str">
        <f aca="false">IF(AND(ISNUMBER(U2183),OR(AQ2183="À RADIOGRAPHIER",AQ2183="RÉPARÉ – À RADIOGRAPHIER",AQ2183="NX – RT À REFAIRE",AQ2183="À RÉPARER",AQ2183="COUPE – À RESOUDER",AQ2183="VT REJETÉ – À REPRENDRE")),MAX(0,'PROGRAMME RT'!$C$4-U2183),"")</f>
        <v/>
      </c>
      <c r="AS2183" s="82" t="n">
        <f aca="false">IF(AND(OR(AQ2183="À RADIOGRAPHIER",AQ2183="RÉPARÉ – À RADIOGRAPHIER",AQ2183="NX – RT À REFAIRE"),OR('PROGRAMME RT'!$D$5="TOUTES",B2183='PROGRAMME RT'!$D$5)),1,0)</f>
        <v>0</v>
      </c>
      <c r="AT2183" s="82" t="str">
        <f aca="false">IF(AS2183=1,SUM(AS$7:AS2183),"")</f>
        <v/>
      </c>
      <c r="AU2183" s="82" t="n">
        <f aca="false">IF(AND(OR(AA2183="R",AA2183="NX",AA2183="NT",AA2183="CO"),OR('JOINTS DE RÉPARATION'!$D$5="TOUTES",B2183='JOINTS DE RÉPARATION'!$D$5),OR('JOINTS DE RÉPARATION'!$L$4="TOUS",AQ2183&lt;&gt;"ACCEPTÉ")),1,0)</f>
        <v>0</v>
      </c>
      <c r="AV2183" s="82" t="str">
        <f aca="false">IF(AU2183=1,SUM(AU$7:AU2183),"")</f>
        <v/>
      </c>
      <c r="AW2183" s="82" t="str">
        <f aca="false">IF(E2183="","",B2183&amp;"|"&amp;E2183)</f>
        <v>MFD-ISW → MFD-CPF|JN°1699</v>
      </c>
    </row>
    <row r="2184" customFormat="false" ht="74.6" hidden="false" customHeight="false" outlineLevel="0" collapsed="false">
      <c r="A2184" s="79" t="n">
        <f aca="false">IF(E2184="","",ROW()-6)</f>
        <v>2178</v>
      </c>
      <c r="B2184" s="80" t="s">
        <v>110</v>
      </c>
      <c r="C2184" s="81" t="s">
        <v>926</v>
      </c>
      <c r="D2184" s="81" t="n">
        <v>21</v>
      </c>
      <c r="E2184" s="81" t="s">
        <v>2647</v>
      </c>
      <c r="F2184" s="82" t="str">
        <f aca="false">IF(E2184="","",IF(LEFT(E2184,2)="DJ","DJ","JN"))</f>
        <v>JN</v>
      </c>
      <c r="G2184" s="81"/>
      <c r="H2184" s="81"/>
      <c r="I2184" s="81"/>
      <c r="J2184" s="81"/>
      <c r="K2184" s="81"/>
      <c r="L2184" s="81"/>
      <c r="M2184" s="81"/>
      <c r="N2184" s="81"/>
      <c r="O2184" s="81"/>
      <c r="P2184" s="81"/>
      <c r="Q2184" s="81"/>
      <c r="R2184" s="81"/>
      <c r="S2184" s="81"/>
      <c r="T2184" s="81"/>
      <c r="U2184" s="83"/>
      <c r="V2184" s="83"/>
      <c r="W2184" s="81"/>
      <c r="X2184" s="81"/>
      <c r="Y2184" s="83"/>
      <c r="Z2184" s="81"/>
      <c r="AA2184" s="81"/>
      <c r="AB2184" s="81"/>
      <c r="AC2184" s="81"/>
      <c r="AD2184" s="81"/>
      <c r="AE2184" s="83"/>
      <c r="AF2184" s="81"/>
      <c r="AG2184" s="81"/>
      <c r="AH2184" s="81"/>
      <c r="AI2184" s="81"/>
      <c r="AJ2184" s="83"/>
      <c r="AK2184" s="81"/>
      <c r="AL2184" s="81"/>
      <c r="AM2184" s="83"/>
      <c r="AN2184" s="80"/>
      <c r="AO2184" s="82" t="n">
        <f aca="false">IF(E2184="","",(AA2184&lt;&gt;"")+(AG2184&lt;&gt;"")+(AL2184&lt;&gt;""))</f>
        <v>0</v>
      </c>
      <c r="AP2184" s="82" t="str">
        <f aca="false">IF(AL2184&lt;&gt;"",AL2184,IF(AG2184&lt;&gt;"",AG2184,IF(AA2184&lt;&gt;"",AA2184,"")))</f>
        <v/>
      </c>
      <c r="AQ2184" s="84" t="str">
        <f aca="false">IF(E2184="","",IF(U2184="","À SOUDER",IF(X2184="","VT EN ATTENTE",IF(X2184="R","VT REJETÉ – À REPRENDRE",IF(AP2184="","À RADIOGRAPHIER",IF(AP2184="A","ACCEPTÉ",IF(AP2184="NX","NX – RT À REFAIRE",IF(IF(AO2184=1,AD2184,IF(AO2184=2,AI2184,""))="A","RÉPARÉ – À RADIOGRAPHIER",IF(IF(AO2184=1,AD2184,IF(AO2184=2,AI2184,""))="R","VT REJETÉ – À REPRENDRE",IF(OR(AP2184="CO",AP2184="NT"),"COUPE – À RESOUDER","À RÉPARER"))))))))))</f>
        <v>À SOUDER</v>
      </c>
      <c r="AR2184" s="82" t="str">
        <f aca="false">IF(AND(ISNUMBER(U2184),OR(AQ2184="À RADIOGRAPHIER",AQ2184="RÉPARÉ – À RADIOGRAPHIER",AQ2184="NX – RT À REFAIRE",AQ2184="À RÉPARER",AQ2184="COUPE – À RESOUDER",AQ2184="VT REJETÉ – À REPRENDRE")),MAX(0,'PROGRAMME RT'!$C$4-U2184),"")</f>
        <v/>
      </c>
      <c r="AS2184" s="82" t="n">
        <f aca="false">IF(AND(OR(AQ2184="À RADIOGRAPHIER",AQ2184="RÉPARÉ – À RADIOGRAPHIER",AQ2184="NX – RT À REFAIRE"),OR('PROGRAMME RT'!$D$5="TOUTES",B2184='PROGRAMME RT'!$D$5)),1,0)</f>
        <v>0</v>
      </c>
      <c r="AT2184" s="82" t="str">
        <f aca="false">IF(AS2184=1,SUM(AS$7:AS2184),"")</f>
        <v/>
      </c>
      <c r="AU2184" s="82" t="n">
        <f aca="false">IF(AND(OR(AA2184="R",AA2184="NX",AA2184="NT",AA2184="CO"),OR('JOINTS DE RÉPARATION'!$D$5="TOUTES",B2184='JOINTS DE RÉPARATION'!$D$5),OR('JOINTS DE RÉPARATION'!$L$4="TOUS",AQ2184&lt;&gt;"ACCEPTÉ")),1,0)</f>
        <v>0</v>
      </c>
      <c r="AV2184" s="82" t="str">
        <f aca="false">IF(AU2184=1,SUM(AU$7:AU2184),"")</f>
        <v/>
      </c>
      <c r="AW2184" s="82" t="str">
        <f aca="false">IF(E2184="","",B2184&amp;"|"&amp;E2184)</f>
        <v>MFD-ISW → MFD-CPF|JN°1700</v>
      </c>
    </row>
    <row r="2185" customFormat="false" ht="74.6" hidden="false" customHeight="false" outlineLevel="0" collapsed="false">
      <c r="A2185" s="79" t="n">
        <f aca="false">IF(E2185="","",ROW()-6)</f>
        <v>2179</v>
      </c>
      <c r="B2185" s="80" t="s">
        <v>110</v>
      </c>
      <c r="C2185" s="81" t="s">
        <v>926</v>
      </c>
      <c r="D2185" s="81" t="n">
        <v>21</v>
      </c>
      <c r="E2185" s="81" t="s">
        <v>2648</v>
      </c>
      <c r="F2185" s="82" t="str">
        <f aca="false">IF(E2185="","",IF(LEFT(E2185,2)="DJ","DJ","JN"))</f>
        <v>JN</v>
      </c>
      <c r="G2185" s="81"/>
      <c r="H2185" s="81"/>
      <c r="I2185" s="81"/>
      <c r="J2185" s="81"/>
      <c r="K2185" s="81"/>
      <c r="L2185" s="81"/>
      <c r="M2185" s="81"/>
      <c r="N2185" s="81"/>
      <c r="O2185" s="81"/>
      <c r="P2185" s="81"/>
      <c r="Q2185" s="81"/>
      <c r="R2185" s="81"/>
      <c r="S2185" s="81"/>
      <c r="T2185" s="81"/>
      <c r="U2185" s="83"/>
      <c r="V2185" s="83"/>
      <c r="W2185" s="81"/>
      <c r="X2185" s="81"/>
      <c r="Y2185" s="83"/>
      <c r="Z2185" s="81"/>
      <c r="AA2185" s="81"/>
      <c r="AB2185" s="81"/>
      <c r="AC2185" s="81"/>
      <c r="AD2185" s="81"/>
      <c r="AE2185" s="83"/>
      <c r="AF2185" s="81"/>
      <c r="AG2185" s="81"/>
      <c r="AH2185" s="81"/>
      <c r="AI2185" s="81"/>
      <c r="AJ2185" s="83"/>
      <c r="AK2185" s="81"/>
      <c r="AL2185" s="81"/>
      <c r="AM2185" s="83"/>
      <c r="AN2185" s="80"/>
      <c r="AO2185" s="82" t="n">
        <f aca="false">IF(E2185="","",(AA2185&lt;&gt;"")+(AG2185&lt;&gt;"")+(AL2185&lt;&gt;""))</f>
        <v>0</v>
      </c>
      <c r="AP2185" s="82" t="str">
        <f aca="false">IF(AL2185&lt;&gt;"",AL2185,IF(AG2185&lt;&gt;"",AG2185,IF(AA2185&lt;&gt;"",AA2185,"")))</f>
        <v/>
      </c>
      <c r="AQ2185" s="84" t="str">
        <f aca="false">IF(E2185="","",IF(U2185="","À SOUDER",IF(X2185="","VT EN ATTENTE",IF(X2185="R","VT REJETÉ – À REPRENDRE",IF(AP2185="","À RADIOGRAPHIER",IF(AP2185="A","ACCEPTÉ",IF(AP2185="NX","NX – RT À REFAIRE",IF(IF(AO2185=1,AD2185,IF(AO2185=2,AI2185,""))="A","RÉPARÉ – À RADIOGRAPHIER",IF(IF(AO2185=1,AD2185,IF(AO2185=2,AI2185,""))="R","VT REJETÉ – À REPRENDRE",IF(OR(AP2185="CO",AP2185="NT"),"COUPE – À RESOUDER","À RÉPARER"))))))))))</f>
        <v>À SOUDER</v>
      </c>
      <c r="AR2185" s="82" t="str">
        <f aca="false">IF(AND(ISNUMBER(U2185),OR(AQ2185="À RADIOGRAPHIER",AQ2185="RÉPARÉ – À RADIOGRAPHIER",AQ2185="NX – RT À REFAIRE",AQ2185="À RÉPARER",AQ2185="COUPE – À RESOUDER",AQ2185="VT REJETÉ – À REPRENDRE")),MAX(0,'PROGRAMME RT'!$C$4-U2185),"")</f>
        <v/>
      </c>
      <c r="AS2185" s="82" t="n">
        <f aca="false">IF(AND(OR(AQ2185="À RADIOGRAPHIER",AQ2185="RÉPARÉ – À RADIOGRAPHIER",AQ2185="NX – RT À REFAIRE"),OR('PROGRAMME RT'!$D$5="TOUTES",B2185='PROGRAMME RT'!$D$5)),1,0)</f>
        <v>0</v>
      </c>
      <c r="AT2185" s="82" t="str">
        <f aca="false">IF(AS2185=1,SUM(AS$7:AS2185),"")</f>
        <v/>
      </c>
      <c r="AU2185" s="82" t="n">
        <f aca="false">IF(AND(OR(AA2185="R",AA2185="NX",AA2185="NT",AA2185="CO"),OR('JOINTS DE RÉPARATION'!$D$5="TOUTES",B2185='JOINTS DE RÉPARATION'!$D$5),OR('JOINTS DE RÉPARATION'!$L$4="TOUS",AQ2185&lt;&gt;"ACCEPTÉ")),1,0)</f>
        <v>0</v>
      </c>
      <c r="AV2185" s="82" t="str">
        <f aca="false">IF(AU2185=1,SUM(AU$7:AU2185),"")</f>
        <v/>
      </c>
      <c r="AW2185" s="82" t="str">
        <f aca="false">IF(E2185="","",B2185&amp;"|"&amp;E2185)</f>
        <v>MFD-ISW → MFD-CPF|JN°1701</v>
      </c>
    </row>
    <row r="2186" customFormat="false" ht="74.6" hidden="false" customHeight="false" outlineLevel="0" collapsed="false">
      <c r="A2186" s="79" t="n">
        <f aca="false">IF(E2186="","",ROW()-6)</f>
        <v>2180</v>
      </c>
      <c r="B2186" s="80" t="s">
        <v>110</v>
      </c>
      <c r="C2186" s="81" t="s">
        <v>926</v>
      </c>
      <c r="D2186" s="81" t="n">
        <v>21</v>
      </c>
      <c r="E2186" s="81" t="s">
        <v>2649</v>
      </c>
      <c r="F2186" s="82" t="str">
        <f aca="false">IF(E2186="","",IF(LEFT(E2186,2)="DJ","DJ","JN"))</f>
        <v>JN</v>
      </c>
      <c r="G2186" s="81"/>
      <c r="H2186" s="81"/>
      <c r="I2186" s="81"/>
      <c r="J2186" s="81"/>
      <c r="K2186" s="81"/>
      <c r="L2186" s="81"/>
      <c r="M2186" s="81"/>
      <c r="N2186" s="81"/>
      <c r="O2186" s="81"/>
      <c r="P2186" s="81"/>
      <c r="Q2186" s="81"/>
      <c r="R2186" s="81"/>
      <c r="S2186" s="81"/>
      <c r="T2186" s="81"/>
      <c r="U2186" s="83"/>
      <c r="V2186" s="83"/>
      <c r="W2186" s="81"/>
      <c r="X2186" s="81"/>
      <c r="Y2186" s="83"/>
      <c r="Z2186" s="81"/>
      <c r="AA2186" s="81"/>
      <c r="AB2186" s="81"/>
      <c r="AC2186" s="81"/>
      <c r="AD2186" s="81"/>
      <c r="AE2186" s="83"/>
      <c r="AF2186" s="81"/>
      <c r="AG2186" s="81"/>
      <c r="AH2186" s="81"/>
      <c r="AI2186" s="81"/>
      <c r="AJ2186" s="83"/>
      <c r="AK2186" s="81"/>
      <c r="AL2186" s="81"/>
      <c r="AM2186" s="83"/>
      <c r="AN2186" s="80"/>
      <c r="AO2186" s="82" t="n">
        <f aca="false">IF(E2186="","",(AA2186&lt;&gt;"")+(AG2186&lt;&gt;"")+(AL2186&lt;&gt;""))</f>
        <v>0</v>
      </c>
      <c r="AP2186" s="82" t="str">
        <f aca="false">IF(AL2186&lt;&gt;"",AL2186,IF(AG2186&lt;&gt;"",AG2186,IF(AA2186&lt;&gt;"",AA2186,"")))</f>
        <v/>
      </c>
      <c r="AQ2186" s="84" t="str">
        <f aca="false">IF(E2186="","",IF(U2186="","À SOUDER",IF(X2186="","VT EN ATTENTE",IF(X2186="R","VT REJETÉ – À REPRENDRE",IF(AP2186="","À RADIOGRAPHIER",IF(AP2186="A","ACCEPTÉ",IF(AP2186="NX","NX – RT À REFAIRE",IF(IF(AO2186=1,AD2186,IF(AO2186=2,AI2186,""))="A","RÉPARÉ – À RADIOGRAPHIER",IF(IF(AO2186=1,AD2186,IF(AO2186=2,AI2186,""))="R","VT REJETÉ – À REPRENDRE",IF(OR(AP2186="CO",AP2186="NT"),"COUPE – À RESOUDER","À RÉPARER"))))))))))</f>
        <v>À SOUDER</v>
      </c>
      <c r="AR2186" s="82" t="str">
        <f aca="false">IF(AND(ISNUMBER(U2186),OR(AQ2186="À RADIOGRAPHIER",AQ2186="RÉPARÉ – À RADIOGRAPHIER",AQ2186="NX – RT À REFAIRE",AQ2186="À RÉPARER",AQ2186="COUPE – À RESOUDER",AQ2186="VT REJETÉ – À REPRENDRE")),MAX(0,'PROGRAMME RT'!$C$4-U2186),"")</f>
        <v/>
      </c>
      <c r="AS2186" s="82" t="n">
        <f aca="false">IF(AND(OR(AQ2186="À RADIOGRAPHIER",AQ2186="RÉPARÉ – À RADIOGRAPHIER",AQ2186="NX – RT À REFAIRE"),OR('PROGRAMME RT'!$D$5="TOUTES",B2186='PROGRAMME RT'!$D$5)),1,0)</f>
        <v>0</v>
      </c>
      <c r="AT2186" s="82" t="str">
        <f aca="false">IF(AS2186=1,SUM(AS$7:AS2186),"")</f>
        <v/>
      </c>
      <c r="AU2186" s="82" t="n">
        <f aca="false">IF(AND(OR(AA2186="R",AA2186="NX",AA2186="NT",AA2186="CO"),OR('JOINTS DE RÉPARATION'!$D$5="TOUTES",B2186='JOINTS DE RÉPARATION'!$D$5),OR('JOINTS DE RÉPARATION'!$L$4="TOUS",AQ2186&lt;&gt;"ACCEPTÉ")),1,0)</f>
        <v>0</v>
      </c>
      <c r="AV2186" s="82" t="str">
        <f aca="false">IF(AU2186=1,SUM(AU$7:AU2186),"")</f>
        <v/>
      </c>
      <c r="AW2186" s="82" t="str">
        <f aca="false">IF(E2186="","",B2186&amp;"|"&amp;E2186)</f>
        <v>MFD-ISW → MFD-CPF|JN°1702</v>
      </c>
    </row>
    <row r="2187" customFormat="false" ht="74.6" hidden="false" customHeight="false" outlineLevel="0" collapsed="false">
      <c r="A2187" s="79" t="n">
        <f aca="false">IF(E2187="","",ROW()-6)</f>
        <v>2181</v>
      </c>
      <c r="B2187" s="80" t="s">
        <v>110</v>
      </c>
      <c r="C2187" s="81" t="s">
        <v>926</v>
      </c>
      <c r="D2187" s="81" t="n">
        <v>21</v>
      </c>
      <c r="E2187" s="81" t="s">
        <v>2650</v>
      </c>
      <c r="F2187" s="82" t="str">
        <f aca="false">IF(E2187="","",IF(LEFT(E2187,2)="DJ","DJ","JN"))</f>
        <v>JN</v>
      </c>
      <c r="G2187" s="81"/>
      <c r="H2187" s="81"/>
      <c r="I2187" s="81"/>
      <c r="J2187" s="81"/>
      <c r="K2187" s="81"/>
      <c r="L2187" s="81"/>
      <c r="M2187" s="81"/>
      <c r="N2187" s="81"/>
      <c r="O2187" s="81"/>
      <c r="P2187" s="81"/>
      <c r="Q2187" s="81"/>
      <c r="R2187" s="81"/>
      <c r="S2187" s="81"/>
      <c r="T2187" s="81"/>
      <c r="U2187" s="83"/>
      <c r="V2187" s="83"/>
      <c r="W2187" s="81"/>
      <c r="X2187" s="81"/>
      <c r="Y2187" s="83"/>
      <c r="Z2187" s="81"/>
      <c r="AA2187" s="81"/>
      <c r="AB2187" s="81"/>
      <c r="AC2187" s="81"/>
      <c r="AD2187" s="81"/>
      <c r="AE2187" s="83"/>
      <c r="AF2187" s="81"/>
      <c r="AG2187" s="81"/>
      <c r="AH2187" s="81"/>
      <c r="AI2187" s="81"/>
      <c r="AJ2187" s="83"/>
      <c r="AK2187" s="81"/>
      <c r="AL2187" s="81"/>
      <c r="AM2187" s="83"/>
      <c r="AN2187" s="80"/>
      <c r="AO2187" s="82" t="n">
        <f aca="false">IF(E2187="","",(AA2187&lt;&gt;"")+(AG2187&lt;&gt;"")+(AL2187&lt;&gt;""))</f>
        <v>0</v>
      </c>
      <c r="AP2187" s="82" t="str">
        <f aca="false">IF(AL2187&lt;&gt;"",AL2187,IF(AG2187&lt;&gt;"",AG2187,IF(AA2187&lt;&gt;"",AA2187,"")))</f>
        <v/>
      </c>
      <c r="AQ2187" s="84" t="str">
        <f aca="false">IF(E2187="","",IF(U2187="","À SOUDER",IF(X2187="","VT EN ATTENTE",IF(X2187="R","VT REJETÉ – À REPRENDRE",IF(AP2187="","À RADIOGRAPHIER",IF(AP2187="A","ACCEPTÉ",IF(AP2187="NX","NX – RT À REFAIRE",IF(IF(AO2187=1,AD2187,IF(AO2187=2,AI2187,""))="A","RÉPARÉ – À RADIOGRAPHIER",IF(IF(AO2187=1,AD2187,IF(AO2187=2,AI2187,""))="R","VT REJETÉ – À REPRENDRE",IF(OR(AP2187="CO",AP2187="NT"),"COUPE – À RESOUDER","À RÉPARER"))))))))))</f>
        <v>À SOUDER</v>
      </c>
      <c r="AR2187" s="82" t="str">
        <f aca="false">IF(AND(ISNUMBER(U2187),OR(AQ2187="À RADIOGRAPHIER",AQ2187="RÉPARÉ – À RADIOGRAPHIER",AQ2187="NX – RT À REFAIRE",AQ2187="À RÉPARER",AQ2187="COUPE – À RESOUDER",AQ2187="VT REJETÉ – À REPRENDRE")),MAX(0,'PROGRAMME RT'!$C$4-U2187),"")</f>
        <v/>
      </c>
      <c r="AS2187" s="82" t="n">
        <f aca="false">IF(AND(OR(AQ2187="À RADIOGRAPHIER",AQ2187="RÉPARÉ – À RADIOGRAPHIER",AQ2187="NX – RT À REFAIRE"),OR('PROGRAMME RT'!$D$5="TOUTES",B2187='PROGRAMME RT'!$D$5)),1,0)</f>
        <v>0</v>
      </c>
      <c r="AT2187" s="82" t="str">
        <f aca="false">IF(AS2187=1,SUM(AS$7:AS2187),"")</f>
        <v/>
      </c>
      <c r="AU2187" s="82" t="n">
        <f aca="false">IF(AND(OR(AA2187="R",AA2187="NX",AA2187="NT",AA2187="CO"),OR('JOINTS DE RÉPARATION'!$D$5="TOUTES",B2187='JOINTS DE RÉPARATION'!$D$5),OR('JOINTS DE RÉPARATION'!$L$4="TOUS",AQ2187&lt;&gt;"ACCEPTÉ")),1,0)</f>
        <v>0</v>
      </c>
      <c r="AV2187" s="82" t="str">
        <f aca="false">IF(AU2187=1,SUM(AU$7:AU2187),"")</f>
        <v/>
      </c>
      <c r="AW2187" s="82" t="str">
        <f aca="false">IF(E2187="","",B2187&amp;"|"&amp;E2187)</f>
        <v>MFD-ISW → MFD-CPF|JN°1703</v>
      </c>
    </row>
    <row r="2188" customFormat="false" ht="74.6" hidden="false" customHeight="false" outlineLevel="0" collapsed="false">
      <c r="A2188" s="79" t="n">
        <f aca="false">IF(E2188="","",ROW()-6)</f>
        <v>2182</v>
      </c>
      <c r="B2188" s="80" t="s">
        <v>110</v>
      </c>
      <c r="C2188" s="81" t="s">
        <v>926</v>
      </c>
      <c r="D2188" s="81" t="n">
        <v>21</v>
      </c>
      <c r="E2188" s="81" t="s">
        <v>2651</v>
      </c>
      <c r="F2188" s="82" t="str">
        <f aca="false">IF(E2188="","",IF(LEFT(E2188,2)="DJ","DJ","JN"))</f>
        <v>JN</v>
      </c>
      <c r="G2188" s="81"/>
      <c r="H2188" s="81"/>
      <c r="I2188" s="81"/>
      <c r="J2188" s="81"/>
      <c r="K2188" s="81"/>
      <c r="L2188" s="81"/>
      <c r="M2188" s="81"/>
      <c r="N2188" s="81"/>
      <c r="O2188" s="81"/>
      <c r="P2188" s="81"/>
      <c r="Q2188" s="81"/>
      <c r="R2188" s="81"/>
      <c r="S2188" s="81"/>
      <c r="T2188" s="81"/>
      <c r="U2188" s="83"/>
      <c r="V2188" s="83"/>
      <c r="W2188" s="81"/>
      <c r="X2188" s="81"/>
      <c r="Y2188" s="83"/>
      <c r="Z2188" s="81"/>
      <c r="AA2188" s="81"/>
      <c r="AB2188" s="81"/>
      <c r="AC2188" s="81"/>
      <c r="AD2188" s="81"/>
      <c r="AE2188" s="83"/>
      <c r="AF2188" s="81"/>
      <c r="AG2188" s="81"/>
      <c r="AH2188" s="81"/>
      <c r="AI2188" s="81"/>
      <c r="AJ2188" s="83"/>
      <c r="AK2188" s="81"/>
      <c r="AL2188" s="81"/>
      <c r="AM2188" s="83"/>
      <c r="AN2188" s="80"/>
      <c r="AO2188" s="82" t="n">
        <f aca="false">IF(E2188="","",(AA2188&lt;&gt;"")+(AG2188&lt;&gt;"")+(AL2188&lt;&gt;""))</f>
        <v>0</v>
      </c>
      <c r="AP2188" s="82" t="str">
        <f aca="false">IF(AL2188&lt;&gt;"",AL2188,IF(AG2188&lt;&gt;"",AG2188,IF(AA2188&lt;&gt;"",AA2188,"")))</f>
        <v/>
      </c>
      <c r="AQ2188" s="84" t="str">
        <f aca="false">IF(E2188="","",IF(U2188="","À SOUDER",IF(X2188="","VT EN ATTENTE",IF(X2188="R","VT REJETÉ – À REPRENDRE",IF(AP2188="","À RADIOGRAPHIER",IF(AP2188="A","ACCEPTÉ",IF(AP2188="NX","NX – RT À REFAIRE",IF(IF(AO2188=1,AD2188,IF(AO2188=2,AI2188,""))="A","RÉPARÉ – À RADIOGRAPHIER",IF(IF(AO2188=1,AD2188,IF(AO2188=2,AI2188,""))="R","VT REJETÉ – À REPRENDRE",IF(OR(AP2188="CO",AP2188="NT"),"COUPE – À RESOUDER","À RÉPARER"))))))))))</f>
        <v>À SOUDER</v>
      </c>
      <c r="AR2188" s="82" t="str">
        <f aca="false">IF(AND(ISNUMBER(U2188),OR(AQ2188="À RADIOGRAPHIER",AQ2188="RÉPARÉ – À RADIOGRAPHIER",AQ2188="NX – RT À REFAIRE",AQ2188="À RÉPARER",AQ2188="COUPE – À RESOUDER",AQ2188="VT REJETÉ – À REPRENDRE")),MAX(0,'PROGRAMME RT'!$C$4-U2188),"")</f>
        <v/>
      </c>
      <c r="AS2188" s="82" t="n">
        <f aca="false">IF(AND(OR(AQ2188="À RADIOGRAPHIER",AQ2188="RÉPARÉ – À RADIOGRAPHIER",AQ2188="NX – RT À REFAIRE"),OR('PROGRAMME RT'!$D$5="TOUTES",B2188='PROGRAMME RT'!$D$5)),1,0)</f>
        <v>0</v>
      </c>
      <c r="AT2188" s="82" t="str">
        <f aca="false">IF(AS2188=1,SUM(AS$7:AS2188),"")</f>
        <v/>
      </c>
      <c r="AU2188" s="82" t="n">
        <f aca="false">IF(AND(OR(AA2188="R",AA2188="NX",AA2188="NT",AA2188="CO"),OR('JOINTS DE RÉPARATION'!$D$5="TOUTES",B2188='JOINTS DE RÉPARATION'!$D$5),OR('JOINTS DE RÉPARATION'!$L$4="TOUS",AQ2188&lt;&gt;"ACCEPTÉ")),1,0)</f>
        <v>0</v>
      </c>
      <c r="AV2188" s="82" t="str">
        <f aca="false">IF(AU2188=1,SUM(AU$7:AU2188),"")</f>
        <v/>
      </c>
      <c r="AW2188" s="82" t="str">
        <f aca="false">IF(E2188="","",B2188&amp;"|"&amp;E2188)</f>
        <v>MFD-ISW → MFD-CPF|JN°1704</v>
      </c>
    </row>
    <row r="2189" customFormat="false" ht="74.6" hidden="false" customHeight="false" outlineLevel="0" collapsed="false">
      <c r="A2189" s="79" t="n">
        <f aca="false">IF(E2189="","",ROW()-6)</f>
        <v>2183</v>
      </c>
      <c r="B2189" s="80" t="s">
        <v>110</v>
      </c>
      <c r="C2189" s="81" t="s">
        <v>926</v>
      </c>
      <c r="D2189" s="81" t="n">
        <v>21</v>
      </c>
      <c r="E2189" s="81" t="s">
        <v>2652</v>
      </c>
      <c r="F2189" s="82" t="str">
        <f aca="false">IF(E2189="","",IF(LEFT(E2189,2)="DJ","DJ","JN"))</f>
        <v>JN</v>
      </c>
      <c r="G2189" s="81"/>
      <c r="H2189" s="81"/>
      <c r="I2189" s="81"/>
      <c r="J2189" s="81"/>
      <c r="K2189" s="81"/>
      <c r="L2189" s="81"/>
      <c r="M2189" s="81"/>
      <c r="N2189" s="81"/>
      <c r="O2189" s="81"/>
      <c r="P2189" s="81"/>
      <c r="Q2189" s="81"/>
      <c r="R2189" s="81"/>
      <c r="S2189" s="81"/>
      <c r="T2189" s="81"/>
      <c r="U2189" s="83"/>
      <c r="V2189" s="83"/>
      <c r="W2189" s="81"/>
      <c r="X2189" s="81"/>
      <c r="Y2189" s="83"/>
      <c r="Z2189" s="81"/>
      <c r="AA2189" s="81"/>
      <c r="AB2189" s="81"/>
      <c r="AC2189" s="81"/>
      <c r="AD2189" s="81"/>
      <c r="AE2189" s="83"/>
      <c r="AF2189" s="81"/>
      <c r="AG2189" s="81"/>
      <c r="AH2189" s="81"/>
      <c r="AI2189" s="81"/>
      <c r="AJ2189" s="83"/>
      <c r="AK2189" s="81"/>
      <c r="AL2189" s="81"/>
      <c r="AM2189" s="83"/>
      <c r="AN2189" s="80"/>
      <c r="AO2189" s="82" t="n">
        <f aca="false">IF(E2189="","",(AA2189&lt;&gt;"")+(AG2189&lt;&gt;"")+(AL2189&lt;&gt;""))</f>
        <v>0</v>
      </c>
      <c r="AP2189" s="82" t="str">
        <f aca="false">IF(AL2189&lt;&gt;"",AL2189,IF(AG2189&lt;&gt;"",AG2189,IF(AA2189&lt;&gt;"",AA2189,"")))</f>
        <v/>
      </c>
      <c r="AQ2189" s="84" t="str">
        <f aca="false">IF(E2189="","",IF(U2189="","À SOUDER",IF(X2189="","VT EN ATTENTE",IF(X2189="R","VT REJETÉ – À REPRENDRE",IF(AP2189="","À RADIOGRAPHIER",IF(AP2189="A","ACCEPTÉ",IF(AP2189="NX","NX – RT À REFAIRE",IF(IF(AO2189=1,AD2189,IF(AO2189=2,AI2189,""))="A","RÉPARÉ – À RADIOGRAPHIER",IF(IF(AO2189=1,AD2189,IF(AO2189=2,AI2189,""))="R","VT REJETÉ – À REPRENDRE",IF(OR(AP2189="CO",AP2189="NT"),"COUPE – À RESOUDER","À RÉPARER"))))))))))</f>
        <v>À SOUDER</v>
      </c>
      <c r="AR2189" s="82" t="str">
        <f aca="false">IF(AND(ISNUMBER(U2189),OR(AQ2189="À RADIOGRAPHIER",AQ2189="RÉPARÉ – À RADIOGRAPHIER",AQ2189="NX – RT À REFAIRE",AQ2189="À RÉPARER",AQ2189="COUPE – À RESOUDER",AQ2189="VT REJETÉ – À REPRENDRE")),MAX(0,'PROGRAMME RT'!$C$4-U2189),"")</f>
        <v/>
      </c>
      <c r="AS2189" s="82" t="n">
        <f aca="false">IF(AND(OR(AQ2189="À RADIOGRAPHIER",AQ2189="RÉPARÉ – À RADIOGRAPHIER",AQ2189="NX – RT À REFAIRE"),OR('PROGRAMME RT'!$D$5="TOUTES",B2189='PROGRAMME RT'!$D$5)),1,0)</f>
        <v>0</v>
      </c>
      <c r="AT2189" s="82" t="str">
        <f aca="false">IF(AS2189=1,SUM(AS$7:AS2189),"")</f>
        <v/>
      </c>
      <c r="AU2189" s="82" t="n">
        <f aca="false">IF(AND(OR(AA2189="R",AA2189="NX",AA2189="NT",AA2189="CO"),OR('JOINTS DE RÉPARATION'!$D$5="TOUTES",B2189='JOINTS DE RÉPARATION'!$D$5),OR('JOINTS DE RÉPARATION'!$L$4="TOUS",AQ2189&lt;&gt;"ACCEPTÉ")),1,0)</f>
        <v>0</v>
      </c>
      <c r="AV2189" s="82" t="str">
        <f aca="false">IF(AU2189=1,SUM(AU$7:AU2189),"")</f>
        <v/>
      </c>
      <c r="AW2189" s="82" t="str">
        <f aca="false">IF(E2189="","",B2189&amp;"|"&amp;E2189)</f>
        <v>MFD-ISW → MFD-CPF|JN°1705</v>
      </c>
    </row>
    <row r="2190" customFormat="false" ht="74.6" hidden="false" customHeight="false" outlineLevel="0" collapsed="false">
      <c r="A2190" s="79" t="n">
        <f aca="false">IF(E2190="","",ROW()-6)</f>
        <v>2184</v>
      </c>
      <c r="B2190" s="80" t="s">
        <v>110</v>
      </c>
      <c r="C2190" s="81" t="s">
        <v>926</v>
      </c>
      <c r="D2190" s="81" t="n">
        <v>21</v>
      </c>
      <c r="E2190" s="81" t="s">
        <v>2653</v>
      </c>
      <c r="F2190" s="82" t="str">
        <f aca="false">IF(E2190="","",IF(LEFT(E2190,2)="DJ","DJ","JN"))</f>
        <v>JN</v>
      </c>
      <c r="G2190" s="81"/>
      <c r="H2190" s="81"/>
      <c r="I2190" s="81"/>
      <c r="J2190" s="81"/>
      <c r="K2190" s="81"/>
      <c r="L2190" s="81"/>
      <c r="M2190" s="81"/>
      <c r="N2190" s="81"/>
      <c r="O2190" s="81"/>
      <c r="P2190" s="81"/>
      <c r="Q2190" s="81"/>
      <c r="R2190" s="81"/>
      <c r="S2190" s="81"/>
      <c r="T2190" s="81"/>
      <c r="U2190" s="83"/>
      <c r="V2190" s="83"/>
      <c r="W2190" s="81"/>
      <c r="X2190" s="81"/>
      <c r="Y2190" s="83"/>
      <c r="Z2190" s="81"/>
      <c r="AA2190" s="81"/>
      <c r="AB2190" s="81"/>
      <c r="AC2190" s="81"/>
      <c r="AD2190" s="81"/>
      <c r="AE2190" s="83"/>
      <c r="AF2190" s="81"/>
      <c r="AG2190" s="81"/>
      <c r="AH2190" s="81"/>
      <c r="AI2190" s="81"/>
      <c r="AJ2190" s="83"/>
      <c r="AK2190" s="81"/>
      <c r="AL2190" s="81"/>
      <c r="AM2190" s="83"/>
      <c r="AN2190" s="80"/>
      <c r="AO2190" s="82" t="n">
        <f aca="false">IF(E2190="","",(AA2190&lt;&gt;"")+(AG2190&lt;&gt;"")+(AL2190&lt;&gt;""))</f>
        <v>0</v>
      </c>
      <c r="AP2190" s="82" t="str">
        <f aca="false">IF(AL2190&lt;&gt;"",AL2190,IF(AG2190&lt;&gt;"",AG2190,IF(AA2190&lt;&gt;"",AA2190,"")))</f>
        <v/>
      </c>
      <c r="AQ2190" s="84" t="str">
        <f aca="false">IF(E2190="","",IF(U2190="","À SOUDER",IF(X2190="","VT EN ATTENTE",IF(X2190="R","VT REJETÉ – À REPRENDRE",IF(AP2190="","À RADIOGRAPHIER",IF(AP2190="A","ACCEPTÉ",IF(AP2190="NX","NX – RT À REFAIRE",IF(IF(AO2190=1,AD2190,IF(AO2190=2,AI2190,""))="A","RÉPARÉ – À RADIOGRAPHIER",IF(IF(AO2190=1,AD2190,IF(AO2190=2,AI2190,""))="R","VT REJETÉ – À REPRENDRE",IF(OR(AP2190="CO",AP2190="NT"),"COUPE – À RESOUDER","À RÉPARER"))))))))))</f>
        <v>À SOUDER</v>
      </c>
      <c r="AR2190" s="82" t="str">
        <f aca="false">IF(AND(ISNUMBER(U2190),OR(AQ2190="À RADIOGRAPHIER",AQ2190="RÉPARÉ – À RADIOGRAPHIER",AQ2190="NX – RT À REFAIRE",AQ2190="À RÉPARER",AQ2190="COUPE – À RESOUDER",AQ2190="VT REJETÉ – À REPRENDRE")),MAX(0,'PROGRAMME RT'!$C$4-U2190),"")</f>
        <v/>
      </c>
      <c r="AS2190" s="82" t="n">
        <f aca="false">IF(AND(OR(AQ2190="À RADIOGRAPHIER",AQ2190="RÉPARÉ – À RADIOGRAPHIER",AQ2190="NX – RT À REFAIRE"),OR('PROGRAMME RT'!$D$5="TOUTES",B2190='PROGRAMME RT'!$D$5)),1,0)</f>
        <v>0</v>
      </c>
      <c r="AT2190" s="82" t="str">
        <f aca="false">IF(AS2190=1,SUM(AS$7:AS2190),"")</f>
        <v/>
      </c>
      <c r="AU2190" s="82" t="n">
        <f aca="false">IF(AND(OR(AA2190="R",AA2190="NX",AA2190="NT",AA2190="CO"),OR('JOINTS DE RÉPARATION'!$D$5="TOUTES",B2190='JOINTS DE RÉPARATION'!$D$5),OR('JOINTS DE RÉPARATION'!$L$4="TOUS",AQ2190&lt;&gt;"ACCEPTÉ")),1,0)</f>
        <v>0</v>
      </c>
      <c r="AV2190" s="82" t="str">
        <f aca="false">IF(AU2190=1,SUM(AU$7:AU2190),"")</f>
        <v/>
      </c>
      <c r="AW2190" s="82" t="str">
        <f aca="false">IF(E2190="","",B2190&amp;"|"&amp;E2190)</f>
        <v>MFD-ISW → MFD-CPF|JN°1706</v>
      </c>
    </row>
    <row r="2191" customFormat="false" ht="74.6" hidden="false" customHeight="false" outlineLevel="0" collapsed="false">
      <c r="A2191" s="79" t="n">
        <f aca="false">IF(E2191="","",ROW()-6)</f>
        <v>2185</v>
      </c>
      <c r="B2191" s="80" t="s">
        <v>110</v>
      </c>
      <c r="C2191" s="81" t="s">
        <v>926</v>
      </c>
      <c r="D2191" s="81" t="n">
        <v>21</v>
      </c>
      <c r="E2191" s="81" t="s">
        <v>2654</v>
      </c>
      <c r="F2191" s="82" t="str">
        <f aca="false">IF(E2191="","",IF(LEFT(E2191,2)="DJ","DJ","JN"))</f>
        <v>JN</v>
      </c>
      <c r="G2191" s="81"/>
      <c r="H2191" s="81"/>
      <c r="I2191" s="81"/>
      <c r="J2191" s="81"/>
      <c r="K2191" s="81"/>
      <c r="L2191" s="81"/>
      <c r="M2191" s="81"/>
      <c r="N2191" s="81"/>
      <c r="O2191" s="81"/>
      <c r="P2191" s="81"/>
      <c r="Q2191" s="81"/>
      <c r="R2191" s="81"/>
      <c r="S2191" s="81"/>
      <c r="T2191" s="81"/>
      <c r="U2191" s="83"/>
      <c r="V2191" s="83"/>
      <c r="W2191" s="81"/>
      <c r="X2191" s="81"/>
      <c r="Y2191" s="83"/>
      <c r="Z2191" s="81"/>
      <c r="AA2191" s="81"/>
      <c r="AB2191" s="81"/>
      <c r="AC2191" s="81"/>
      <c r="AD2191" s="81"/>
      <c r="AE2191" s="83"/>
      <c r="AF2191" s="81"/>
      <c r="AG2191" s="81"/>
      <c r="AH2191" s="81"/>
      <c r="AI2191" s="81"/>
      <c r="AJ2191" s="83"/>
      <c r="AK2191" s="81"/>
      <c r="AL2191" s="81"/>
      <c r="AM2191" s="83"/>
      <c r="AN2191" s="80"/>
      <c r="AO2191" s="82" t="n">
        <f aca="false">IF(E2191="","",(AA2191&lt;&gt;"")+(AG2191&lt;&gt;"")+(AL2191&lt;&gt;""))</f>
        <v>0</v>
      </c>
      <c r="AP2191" s="82" t="str">
        <f aca="false">IF(AL2191&lt;&gt;"",AL2191,IF(AG2191&lt;&gt;"",AG2191,IF(AA2191&lt;&gt;"",AA2191,"")))</f>
        <v/>
      </c>
      <c r="AQ2191" s="84" t="str">
        <f aca="false">IF(E2191="","",IF(U2191="","À SOUDER",IF(X2191="","VT EN ATTENTE",IF(X2191="R","VT REJETÉ – À REPRENDRE",IF(AP2191="","À RADIOGRAPHIER",IF(AP2191="A","ACCEPTÉ",IF(AP2191="NX","NX – RT À REFAIRE",IF(IF(AO2191=1,AD2191,IF(AO2191=2,AI2191,""))="A","RÉPARÉ – À RADIOGRAPHIER",IF(IF(AO2191=1,AD2191,IF(AO2191=2,AI2191,""))="R","VT REJETÉ – À REPRENDRE",IF(OR(AP2191="CO",AP2191="NT"),"COUPE – À RESOUDER","À RÉPARER"))))))))))</f>
        <v>À SOUDER</v>
      </c>
      <c r="AR2191" s="82" t="str">
        <f aca="false">IF(AND(ISNUMBER(U2191),OR(AQ2191="À RADIOGRAPHIER",AQ2191="RÉPARÉ – À RADIOGRAPHIER",AQ2191="NX – RT À REFAIRE",AQ2191="À RÉPARER",AQ2191="COUPE – À RESOUDER",AQ2191="VT REJETÉ – À REPRENDRE")),MAX(0,'PROGRAMME RT'!$C$4-U2191),"")</f>
        <v/>
      </c>
      <c r="AS2191" s="82" t="n">
        <f aca="false">IF(AND(OR(AQ2191="À RADIOGRAPHIER",AQ2191="RÉPARÉ – À RADIOGRAPHIER",AQ2191="NX – RT À REFAIRE"),OR('PROGRAMME RT'!$D$5="TOUTES",B2191='PROGRAMME RT'!$D$5)),1,0)</f>
        <v>0</v>
      </c>
      <c r="AT2191" s="82" t="str">
        <f aca="false">IF(AS2191=1,SUM(AS$7:AS2191),"")</f>
        <v/>
      </c>
      <c r="AU2191" s="82" t="n">
        <f aca="false">IF(AND(OR(AA2191="R",AA2191="NX",AA2191="NT",AA2191="CO"),OR('JOINTS DE RÉPARATION'!$D$5="TOUTES",B2191='JOINTS DE RÉPARATION'!$D$5),OR('JOINTS DE RÉPARATION'!$L$4="TOUS",AQ2191&lt;&gt;"ACCEPTÉ")),1,0)</f>
        <v>0</v>
      </c>
      <c r="AV2191" s="82" t="str">
        <f aca="false">IF(AU2191=1,SUM(AU$7:AU2191),"")</f>
        <v/>
      </c>
      <c r="AW2191" s="82" t="str">
        <f aca="false">IF(E2191="","",B2191&amp;"|"&amp;E2191)</f>
        <v>MFD-ISW → MFD-CPF|JN°1707</v>
      </c>
    </row>
    <row r="2192" customFormat="false" ht="74.6" hidden="false" customHeight="false" outlineLevel="0" collapsed="false">
      <c r="A2192" s="79" t="n">
        <f aca="false">IF(E2192="","",ROW()-6)</f>
        <v>2186</v>
      </c>
      <c r="B2192" s="80" t="s">
        <v>110</v>
      </c>
      <c r="C2192" s="81" t="s">
        <v>926</v>
      </c>
      <c r="D2192" s="81" t="n">
        <v>21</v>
      </c>
      <c r="E2192" s="81" t="s">
        <v>2655</v>
      </c>
      <c r="F2192" s="82" t="str">
        <f aca="false">IF(E2192="","",IF(LEFT(E2192,2)="DJ","DJ","JN"))</f>
        <v>JN</v>
      </c>
      <c r="G2192" s="81"/>
      <c r="H2192" s="81"/>
      <c r="I2192" s="81"/>
      <c r="J2192" s="81"/>
      <c r="K2192" s="81"/>
      <c r="L2192" s="81"/>
      <c r="M2192" s="81"/>
      <c r="N2192" s="81"/>
      <c r="O2192" s="81"/>
      <c r="P2192" s="81"/>
      <c r="Q2192" s="81"/>
      <c r="R2192" s="81"/>
      <c r="S2192" s="81"/>
      <c r="T2192" s="81"/>
      <c r="U2192" s="83"/>
      <c r="V2192" s="83"/>
      <c r="W2192" s="81"/>
      <c r="X2192" s="81"/>
      <c r="Y2192" s="83"/>
      <c r="Z2192" s="81"/>
      <c r="AA2192" s="81"/>
      <c r="AB2192" s="81"/>
      <c r="AC2192" s="81"/>
      <c r="AD2192" s="81"/>
      <c r="AE2192" s="83"/>
      <c r="AF2192" s="81"/>
      <c r="AG2192" s="81"/>
      <c r="AH2192" s="81"/>
      <c r="AI2192" s="81"/>
      <c r="AJ2192" s="83"/>
      <c r="AK2192" s="81"/>
      <c r="AL2192" s="81"/>
      <c r="AM2192" s="83"/>
      <c r="AN2192" s="80"/>
      <c r="AO2192" s="82" t="n">
        <f aca="false">IF(E2192="","",(AA2192&lt;&gt;"")+(AG2192&lt;&gt;"")+(AL2192&lt;&gt;""))</f>
        <v>0</v>
      </c>
      <c r="AP2192" s="82" t="str">
        <f aca="false">IF(AL2192&lt;&gt;"",AL2192,IF(AG2192&lt;&gt;"",AG2192,IF(AA2192&lt;&gt;"",AA2192,"")))</f>
        <v/>
      </c>
      <c r="AQ2192" s="84" t="str">
        <f aca="false">IF(E2192="","",IF(U2192="","À SOUDER",IF(X2192="","VT EN ATTENTE",IF(X2192="R","VT REJETÉ – À REPRENDRE",IF(AP2192="","À RADIOGRAPHIER",IF(AP2192="A","ACCEPTÉ",IF(AP2192="NX","NX – RT À REFAIRE",IF(IF(AO2192=1,AD2192,IF(AO2192=2,AI2192,""))="A","RÉPARÉ – À RADIOGRAPHIER",IF(IF(AO2192=1,AD2192,IF(AO2192=2,AI2192,""))="R","VT REJETÉ – À REPRENDRE",IF(OR(AP2192="CO",AP2192="NT"),"COUPE – À RESOUDER","À RÉPARER"))))))))))</f>
        <v>À SOUDER</v>
      </c>
      <c r="AR2192" s="82" t="str">
        <f aca="false">IF(AND(ISNUMBER(U2192),OR(AQ2192="À RADIOGRAPHIER",AQ2192="RÉPARÉ – À RADIOGRAPHIER",AQ2192="NX – RT À REFAIRE",AQ2192="À RÉPARER",AQ2192="COUPE – À RESOUDER",AQ2192="VT REJETÉ – À REPRENDRE")),MAX(0,'PROGRAMME RT'!$C$4-U2192),"")</f>
        <v/>
      </c>
      <c r="AS2192" s="82" t="n">
        <f aca="false">IF(AND(OR(AQ2192="À RADIOGRAPHIER",AQ2192="RÉPARÉ – À RADIOGRAPHIER",AQ2192="NX – RT À REFAIRE"),OR('PROGRAMME RT'!$D$5="TOUTES",B2192='PROGRAMME RT'!$D$5)),1,0)</f>
        <v>0</v>
      </c>
      <c r="AT2192" s="82" t="str">
        <f aca="false">IF(AS2192=1,SUM(AS$7:AS2192),"")</f>
        <v/>
      </c>
      <c r="AU2192" s="82" t="n">
        <f aca="false">IF(AND(OR(AA2192="R",AA2192="NX",AA2192="NT",AA2192="CO"),OR('JOINTS DE RÉPARATION'!$D$5="TOUTES",B2192='JOINTS DE RÉPARATION'!$D$5),OR('JOINTS DE RÉPARATION'!$L$4="TOUS",AQ2192&lt;&gt;"ACCEPTÉ")),1,0)</f>
        <v>0</v>
      </c>
      <c r="AV2192" s="82" t="str">
        <f aca="false">IF(AU2192=1,SUM(AU$7:AU2192),"")</f>
        <v/>
      </c>
      <c r="AW2192" s="82" t="str">
        <f aca="false">IF(E2192="","",B2192&amp;"|"&amp;E2192)</f>
        <v>MFD-ISW → MFD-CPF|JN°1708</v>
      </c>
    </row>
    <row r="2193" customFormat="false" ht="74.6" hidden="false" customHeight="false" outlineLevel="0" collapsed="false">
      <c r="A2193" s="79" t="n">
        <f aca="false">IF(E2193="","",ROW()-6)</f>
        <v>2187</v>
      </c>
      <c r="B2193" s="80" t="s">
        <v>110</v>
      </c>
      <c r="C2193" s="81" t="s">
        <v>926</v>
      </c>
      <c r="D2193" s="81" t="n">
        <v>21</v>
      </c>
      <c r="E2193" s="81" t="s">
        <v>2656</v>
      </c>
      <c r="F2193" s="82" t="str">
        <f aca="false">IF(E2193="","",IF(LEFT(E2193,2)="DJ","DJ","JN"))</f>
        <v>JN</v>
      </c>
      <c r="G2193" s="81"/>
      <c r="H2193" s="81"/>
      <c r="I2193" s="81"/>
      <c r="J2193" s="81"/>
      <c r="K2193" s="81"/>
      <c r="L2193" s="81"/>
      <c r="M2193" s="81"/>
      <c r="N2193" s="81"/>
      <c r="O2193" s="81"/>
      <c r="P2193" s="81"/>
      <c r="Q2193" s="81"/>
      <c r="R2193" s="81"/>
      <c r="S2193" s="81"/>
      <c r="T2193" s="81"/>
      <c r="U2193" s="83"/>
      <c r="V2193" s="83"/>
      <c r="W2193" s="81"/>
      <c r="X2193" s="81"/>
      <c r="Y2193" s="83"/>
      <c r="Z2193" s="81"/>
      <c r="AA2193" s="81"/>
      <c r="AB2193" s="81"/>
      <c r="AC2193" s="81"/>
      <c r="AD2193" s="81"/>
      <c r="AE2193" s="83"/>
      <c r="AF2193" s="81"/>
      <c r="AG2193" s="81"/>
      <c r="AH2193" s="81"/>
      <c r="AI2193" s="81"/>
      <c r="AJ2193" s="83"/>
      <c r="AK2193" s="81"/>
      <c r="AL2193" s="81"/>
      <c r="AM2193" s="83"/>
      <c r="AN2193" s="80"/>
      <c r="AO2193" s="82" t="n">
        <f aca="false">IF(E2193="","",(AA2193&lt;&gt;"")+(AG2193&lt;&gt;"")+(AL2193&lt;&gt;""))</f>
        <v>0</v>
      </c>
      <c r="AP2193" s="82" t="str">
        <f aca="false">IF(AL2193&lt;&gt;"",AL2193,IF(AG2193&lt;&gt;"",AG2193,IF(AA2193&lt;&gt;"",AA2193,"")))</f>
        <v/>
      </c>
      <c r="AQ2193" s="84" t="str">
        <f aca="false">IF(E2193="","",IF(U2193="","À SOUDER",IF(X2193="","VT EN ATTENTE",IF(X2193="R","VT REJETÉ – À REPRENDRE",IF(AP2193="","À RADIOGRAPHIER",IF(AP2193="A","ACCEPTÉ",IF(AP2193="NX","NX – RT À REFAIRE",IF(IF(AO2193=1,AD2193,IF(AO2193=2,AI2193,""))="A","RÉPARÉ – À RADIOGRAPHIER",IF(IF(AO2193=1,AD2193,IF(AO2193=2,AI2193,""))="R","VT REJETÉ – À REPRENDRE",IF(OR(AP2193="CO",AP2193="NT"),"COUPE – À RESOUDER","À RÉPARER"))))))))))</f>
        <v>À SOUDER</v>
      </c>
      <c r="AR2193" s="82" t="str">
        <f aca="false">IF(AND(ISNUMBER(U2193),OR(AQ2193="À RADIOGRAPHIER",AQ2193="RÉPARÉ – À RADIOGRAPHIER",AQ2193="NX – RT À REFAIRE",AQ2193="À RÉPARER",AQ2193="COUPE – À RESOUDER",AQ2193="VT REJETÉ – À REPRENDRE")),MAX(0,'PROGRAMME RT'!$C$4-U2193),"")</f>
        <v/>
      </c>
      <c r="AS2193" s="82" t="n">
        <f aca="false">IF(AND(OR(AQ2193="À RADIOGRAPHIER",AQ2193="RÉPARÉ – À RADIOGRAPHIER",AQ2193="NX – RT À REFAIRE"),OR('PROGRAMME RT'!$D$5="TOUTES",B2193='PROGRAMME RT'!$D$5)),1,0)</f>
        <v>0</v>
      </c>
      <c r="AT2193" s="82" t="str">
        <f aca="false">IF(AS2193=1,SUM(AS$7:AS2193),"")</f>
        <v/>
      </c>
      <c r="AU2193" s="82" t="n">
        <f aca="false">IF(AND(OR(AA2193="R",AA2193="NX",AA2193="NT",AA2193="CO"),OR('JOINTS DE RÉPARATION'!$D$5="TOUTES",B2193='JOINTS DE RÉPARATION'!$D$5),OR('JOINTS DE RÉPARATION'!$L$4="TOUS",AQ2193&lt;&gt;"ACCEPTÉ")),1,0)</f>
        <v>0</v>
      </c>
      <c r="AV2193" s="82" t="str">
        <f aca="false">IF(AU2193=1,SUM(AU$7:AU2193),"")</f>
        <v/>
      </c>
      <c r="AW2193" s="82" t="str">
        <f aca="false">IF(E2193="","",B2193&amp;"|"&amp;E2193)</f>
        <v>MFD-ISW → MFD-CPF|JN°1709</v>
      </c>
    </row>
    <row r="2194" customFormat="false" ht="74.6" hidden="false" customHeight="false" outlineLevel="0" collapsed="false">
      <c r="A2194" s="79" t="n">
        <f aca="false">IF(E2194="","",ROW()-6)</f>
        <v>2188</v>
      </c>
      <c r="B2194" s="80" t="s">
        <v>110</v>
      </c>
      <c r="C2194" s="81" t="s">
        <v>926</v>
      </c>
      <c r="D2194" s="81" t="n">
        <v>21</v>
      </c>
      <c r="E2194" s="81" t="s">
        <v>2657</v>
      </c>
      <c r="F2194" s="82" t="str">
        <f aca="false">IF(E2194="","",IF(LEFT(E2194,2)="DJ","DJ","JN"))</f>
        <v>JN</v>
      </c>
      <c r="G2194" s="81"/>
      <c r="H2194" s="81"/>
      <c r="I2194" s="81"/>
      <c r="J2194" s="81"/>
      <c r="K2194" s="81"/>
      <c r="L2194" s="81"/>
      <c r="M2194" s="81"/>
      <c r="N2194" s="81"/>
      <c r="O2194" s="81"/>
      <c r="P2194" s="81"/>
      <c r="Q2194" s="81"/>
      <c r="R2194" s="81"/>
      <c r="S2194" s="81"/>
      <c r="T2194" s="81"/>
      <c r="U2194" s="83"/>
      <c r="V2194" s="83"/>
      <c r="W2194" s="81"/>
      <c r="X2194" s="81"/>
      <c r="Y2194" s="83"/>
      <c r="Z2194" s="81"/>
      <c r="AA2194" s="81"/>
      <c r="AB2194" s="81"/>
      <c r="AC2194" s="81"/>
      <c r="AD2194" s="81"/>
      <c r="AE2194" s="83"/>
      <c r="AF2194" s="81"/>
      <c r="AG2194" s="81"/>
      <c r="AH2194" s="81"/>
      <c r="AI2194" s="81"/>
      <c r="AJ2194" s="83"/>
      <c r="AK2194" s="81"/>
      <c r="AL2194" s="81"/>
      <c r="AM2194" s="83"/>
      <c r="AN2194" s="80"/>
      <c r="AO2194" s="82" t="n">
        <f aca="false">IF(E2194="","",(AA2194&lt;&gt;"")+(AG2194&lt;&gt;"")+(AL2194&lt;&gt;""))</f>
        <v>0</v>
      </c>
      <c r="AP2194" s="82" t="str">
        <f aca="false">IF(AL2194&lt;&gt;"",AL2194,IF(AG2194&lt;&gt;"",AG2194,IF(AA2194&lt;&gt;"",AA2194,"")))</f>
        <v/>
      </c>
      <c r="AQ2194" s="84" t="str">
        <f aca="false">IF(E2194="","",IF(U2194="","À SOUDER",IF(X2194="","VT EN ATTENTE",IF(X2194="R","VT REJETÉ – À REPRENDRE",IF(AP2194="","À RADIOGRAPHIER",IF(AP2194="A","ACCEPTÉ",IF(AP2194="NX","NX – RT À REFAIRE",IF(IF(AO2194=1,AD2194,IF(AO2194=2,AI2194,""))="A","RÉPARÉ – À RADIOGRAPHIER",IF(IF(AO2194=1,AD2194,IF(AO2194=2,AI2194,""))="R","VT REJETÉ – À REPRENDRE",IF(OR(AP2194="CO",AP2194="NT"),"COUPE – À RESOUDER","À RÉPARER"))))))))))</f>
        <v>À SOUDER</v>
      </c>
      <c r="AR2194" s="82" t="str">
        <f aca="false">IF(AND(ISNUMBER(U2194),OR(AQ2194="À RADIOGRAPHIER",AQ2194="RÉPARÉ – À RADIOGRAPHIER",AQ2194="NX – RT À REFAIRE",AQ2194="À RÉPARER",AQ2194="COUPE – À RESOUDER",AQ2194="VT REJETÉ – À REPRENDRE")),MAX(0,'PROGRAMME RT'!$C$4-U2194),"")</f>
        <v/>
      </c>
      <c r="AS2194" s="82" t="n">
        <f aca="false">IF(AND(OR(AQ2194="À RADIOGRAPHIER",AQ2194="RÉPARÉ – À RADIOGRAPHIER",AQ2194="NX – RT À REFAIRE"),OR('PROGRAMME RT'!$D$5="TOUTES",B2194='PROGRAMME RT'!$D$5)),1,0)</f>
        <v>0</v>
      </c>
      <c r="AT2194" s="82" t="str">
        <f aca="false">IF(AS2194=1,SUM(AS$7:AS2194),"")</f>
        <v/>
      </c>
      <c r="AU2194" s="82" t="n">
        <f aca="false">IF(AND(OR(AA2194="R",AA2194="NX",AA2194="NT",AA2194="CO"),OR('JOINTS DE RÉPARATION'!$D$5="TOUTES",B2194='JOINTS DE RÉPARATION'!$D$5),OR('JOINTS DE RÉPARATION'!$L$4="TOUS",AQ2194&lt;&gt;"ACCEPTÉ")),1,0)</f>
        <v>0</v>
      </c>
      <c r="AV2194" s="82" t="str">
        <f aca="false">IF(AU2194=1,SUM(AU$7:AU2194),"")</f>
        <v/>
      </c>
      <c r="AW2194" s="82" t="str">
        <f aca="false">IF(E2194="","",B2194&amp;"|"&amp;E2194)</f>
        <v>MFD-ISW → MFD-CPF|JN°1710</v>
      </c>
    </row>
    <row r="2195" customFormat="false" ht="74.6" hidden="false" customHeight="false" outlineLevel="0" collapsed="false">
      <c r="A2195" s="79" t="n">
        <f aca="false">IF(E2195="","",ROW()-6)</f>
        <v>2189</v>
      </c>
      <c r="B2195" s="80" t="s">
        <v>110</v>
      </c>
      <c r="C2195" s="81" t="s">
        <v>926</v>
      </c>
      <c r="D2195" s="81" t="n">
        <v>21</v>
      </c>
      <c r="E2195" s="81" t="s">
        <v>2658</v>
      </c>
      <c r="F2195" s="82" t="str">
        <f aca="false">IF(E2195="","",IF(LEFT(E2195,2)="DJ","DJ","JN"))</f>
        <v>JN</v>
      </c>
      <c r="G2195" s="81"/>
      <c r="H2195" s="81"/>
      <c r="I2195" s="81"/>
      <c r="J2195" s="81"/>
      <c r="K2195" s="81"/>
      <c r="L2195" s="81"/>
      <c r="M2195" s="81"/>
      <c r="N2195" s="81"/>
      <c r="O2195" s="81"/>
      <c r="P2195" s="81"/>
      <c r="Q2195" s="81"/>
      <c r="R2195" s="81"/>
      <c r="S2195" s="81"/>
      <c r="T2195" s="81"/>
      <c r="U2195" s="83"/>
      <c r="V2195" s="83"/>
      <c r="W2195" s="81"/>
      <c r="X2195" s="81"/>
      <c r="Y2195" s="83"/>
      <c r="Z2195" s="81"/>
      <c r="AA2195" s="81"/>
      <c r="AB2195" s="81"/>
      <c r="AC2195" s="81"/>
      <c r="AD2195" s="81"/>
      <c r="AE2195" s="83"/>
      <c r="AF2195" s="81"/>
      <c r="AG2195" s="81"/>
      <c r="AH2195" s="81"/>
      <c r="AI2195" s="81"/>
      <c r="AJ2195" s="83"/>
      <c r="AK2195" s="81"/>
      <c r="AL2195" s="81"/>
      <c r="AM2195" s="83"/>
      <c r="AN2195" s="80"/>
      <c r="AO2195" s="82" t="n">
        <f aca="false">IF(E2195="","",(AA2195&lt;&gt;"")+(AG2195&lt;&gt;"")+(AL2195&lt;&gt;""))</f>
        <v>0</v>
      </c>
      <c r="AP2195" s="82" t="str">
        <f aca="false">IF(AL2195&lt;&gt;"",AL2195,IF(AG2195&lt;&gt;"",AG2195,IF(AA2195&lt;&gt;"",AA2195,"")))</f>
        <v/>
      </c>
      <c r="AQ2195" s="84" t="str">
        <f aca="false">IF(E2195="","",IF(U2195="","À SOUDER",IF(X2195="","VT EN ATTENTE",IF(X2195="R","VT REJETÉ – À REPRENDRE",IF(AP2195="","À RADIOGRAPHIER",IF(AP2195="A","ACCEPTÉ",IF(AP2195="NX","NX – RT À REFAIRE",IF(IF(AO2195=1,AD2195,IF(AO2195=2,AI2195,""))="A","RÉPARÉ – À RADIOGRAPHIER",IF(IF(AO2195=1,AD2195,IF(AO2195=2,AI2195,""))="R","VT REJETÉ – À REPRENDRE",IF(OR(AP2195="CO",AP2195="NT"),"COUPE – À RESOUDER","À RÉPARER"))))))))))</f>
        <v>À SOUDER</v>
      </c>
      <c r="AR2195" s="82" t="str">
        <f aca="false">IF(AND(ISNUMBER(U2195),OR(AQ2195="À RADIOGRAPHIER",AQ2195="RÉPARÉ – À RADIOGRAPHIER",AQ2195="NX – RT À REFAIRE",AQ2195="À RÉPARER",AQ2195="COUPE – À RESOUDER",AQ2195="VT REJETÉ – À REPRENDRE")),MAX(0,'PROGRAMME RT'!$C$4-U2195),"")</f>
        <v/>
      </c>
      <c r="AS2195" s="82" t="n">
        <f aca="false">IF(AND(OR(AQ2195="À RADIOGRAPHIER",AQ2195="RÉPARÉ – À RADIOGRAPHIER",AQ2195="NX – RT À REFAIRE"),OR('PROGRAMME RT'!$D$5="TOUTES",B2195='PROGRAMME RT'!$D$5)),1,0)</f>
        <v>0</v>
      </c>
      <c r="AT2195" s="82" t="str">
        <f aca="false">IF(AS2195=1,SUM(AS$7:AS2195),"")</f>
        <v/>
      </c>
      <c r="AU2195" s="82" t="n">
        <f aca="false">IF(AND(OR(AA2195="R",AA2195="NX",AA2195="NT",AA2195="CO"),OR('JOINTS DE RÉPARATION'!$D$5="TOUTES",B2195='JOINTS DE RÉPARATION'!$D$5),OR('JOINTS DE RÉPARATION'!$L$4="TOUS",AQ2195&lt;&gt;"ACCEPTÉ")),1,0)</f>
        <v>0</v>
      </c>
      <c r="AV2195" s="82" t="str">
        <f aca="false">IF(AU2195=1,SUM(AU$7:AU2195),"")</f>
        <v/>
      </c>
      <c r="AW2195" s="82" t="str">
        <f aca="false">IF(E2195="","",B2195&amp;"|"&amp;E2195)</f>
        <v>MFD-ISW → MFD-CPF|JN°1711</v>
      </c>
    </row>
    <row r="2196" customFormat="false" ht="74.6" hidden="false" customHeight="false" outlineLevel="0" collapsed="false">
      <c r="A2196" s="79" t="n">
        <f aca="false">IF(E2196="","",ROW()-6)</f>
        <v>2190</v>
      </c>
      <c r="B2196" s="80" t="s">
        <v>110</v>
      </c>
      <c r="C2196" s="81" t="s">
        <v>926</v>
      </c>
      <c r="D2196" s="81" t="n">
        <v>21</v>
      </c>
      <c r="E2196" s="81" t="s">
        <v>2659</v>
      </c>
      <c r="F2196" s="82" t="str">
        <f aca="false">IF(E2196="","",IF(LEFT(E2196,2)="DJ","DJ","JN"))</f>
        <v>JN</v>
      </c>
      <c r="G2196" s="81"/>
      <c r="H2196" s="81"/>
      <c r="I2196" s="81"/>
      <c r="J2196" s="81"/>
      <c r="K2196" s="81"/>
      <c r="L2196" s="81"/>
      <c r="M2196" s="81"/>
      <c r="N2196" s="81"/>
      <c r="O2196" s="81"/>
      <c r="P2196" s="81"/>
      <c r="Q2196" s="81"/>
      <c r="R2196" s="81"/>
      <c r="S2196" s="81"/>
      <c r="T2196" s="81"/>
      <c r="U2196" s="83"/>
      <c r="V2196" s="83"/>
      <c r="W2196" s="81"/>
      <c r="X2196" s="81"/>
      <c r="Y2196" s="83"/>
      <c r="Z2196" s="81"/>
      <c r="AA2196" s="81"/>
      <c r="AB2196" s="81"/>
      <c r="AC2196" s="81"/>
      <c r="AD2196" s="81"/>
      <c r="AE2196" s="83"/>
      <c r="AF2196" s="81"/>
      <c r="AG2196" s="81"/>
      <c r="AH2196" s="81"/>
      <c r="AI2196" s="81"/>
      <c r="AJ2196" s="83"/>
      <c r="AK2196" s="81"/>
      <c r="AL2196" s="81"/>
      <c r="AM2196" s="83"/>
      <c r="AN2196" s="80"/>
      <c r="AO2196" s="82" t="n">
        <f aca="false">IF(E2196="","",(AA2196&lt;&gt;"")+(AG2196&lt;&gt;"")+(AL2196&lt;&gt;""))</f>
        <v>0</v>
      </c>
      <c r="AP2196" s="82" t="str">
        <f aca="false">IF(AL2196&lt;&gt;"",AL2196,IF(AG2196&lt;&gt;"",AG2196,IF(AA2196&lt;&gt;"",AA2196,"")))</f>
        <v/>
      </c>
      <c r="AQ2196" s="84" t="str">
        <f aca="false">IF(E2196="","",IF(U2196="","À SOUDER",IF(X2196="","VT EN ATTENTE",IF(X2196="R","VT REJETÉ – À REPRENDRE",IF(AP2196="","À RADIOGRAPHIER",IF(AP2196="A","ACCEPTÉ",IF(AP2196="NX","NX – RT À REFAIRE",IF(IF(AO2196=1,AD2196,IF(AO2196=2,AI2196,""))="A","RÉPARÉ – À RADIOGRAPHIER",IF(IF(AO2196=1,AD2196,IF(AO2196=2,AI2196,""))="R","VT REJETÉ – À REPRENDRE",IF(OR(AP2196="CO",AP2196="NT"),"COUPE – À RESOUDER","À RÉPARER"))))))))))</f>
        <v>À SOUDER</v>
      </c>
      <c r="AR2196" s="82" t="str">
        <f aca="false">IF(AND(ISNUMBER(U2196),OR(AQ2196="À RADIOGRAPHIER",AQ2196="RÉPARÉ – À RADIOGRAPHIER",AQ2196="NX – RT À REFAIRE",AQ2196="À RÉPARER",AQ2196="COUPE – À RESOUDER",AQ2196="VT REJETÉ – À REPRENDRE")),MAX(0,'PROGRAMME RT'!$C$4-U2196),"")</f>
        <v/>
      </c>
      <c r="AS2196" s="82" t="n">
        <f aca="false">IF(AND(OR(AQ2196="À RADIOGRAPHIER",AQ2196="RÉPARÉ – À RADIOGRAPHIER",AQ2196="NX – RT À REFAIRE"),OR('PROGRAMME RT'!$D$5="TOUTES",B2196='PROGRAMME RT'!$D$5)),1,0)</f>
        <v>0</v>
      </c>
      <c r="AT2196" s="82" t="str">
        <f aca="false">IF(AS2196=1,SUM(AS$7:AS2196),"")</f>
        <v/>
      </c>
      <c r="AU2196" s="82" t="n">
        <f aca="false">IF(AND(OR(AA2196="R",AA2196="NX",AA2196="NT",AA2196="CO"),OR('JOINTS DE RÉPARATION'!$D$5="TOUTES",B2196='JOINTS DE RÉPARATION'!$D$5),OR('JOINTS DE RÉPARATION'!$L$4="TOUS",AQ2196&lt;&gt;"ACCEPTÉ")),1,0)</f>
        <v>0</v>
      </c>
      <c r="AV2196" s="82" t="str">
        <f aca="false">IF(AU2196=1,SUM(AU$7:AU2196),"")</f>
        <v/>
      </c>
      <c r="AW2196" s="82" t="str">
        <f aca="false">IF(E2196="","",B2196&amp;"|"&amp;E2196)</f>
        <v>MFD-ISW → MFD-CPF|JN°1712</v>
      </c>
    </row>
    <row r="2197" customFormat="false" ht="74.6" hidden="false" customHeight="false" outlineLevel="0" collapsed="false">
      <c r="A2197" s="79" t="n">
        <f aca="false">IF(E2197="","",ROW()-6)</f>
        <v>2191</v>
      </c>
      <c r="B2197" s="80" t="s">
        <v>110</v>
      </c>
      <c r="C2197" s="81" t="s">
        <v>926</v>
      </c>
      <c r="D2197" s="81" t="n">
        <v>21</v>
      </c>
      <c r="E2197" s="81" t="s">
        <v>2660</v>
      </c>
      <c r="F2197" s="82" t="str">
        <f aca="false">IF(E2197="","",IF(LEFT(E2197,2)="DJ","DJ","JN"))</f>
        <v>JN</v>
      </c>
      <c r="G2197" s="81"/>
      <c r="H2197" s="81"/>
      <c r="I2197" s="81"/>
      <c r="J2197" s="81"/>
      <c r="K2197" s="81"/>
      <c r="L2197" s="81"/>
      <c r="M2197" s="81"/>
      <c r="N2197" s="81"/>
      <c r="O2197" s="81"/>
      <c r="P2197" s="81"/>
      <c r="Q2197" s="81"/>
      <c r="R2197" s="81"/>
      <c r="S2197" s="81"/>
      <c r="T2197" s="81"/>
      <c r="U2197" s="83"/>
      <c r="V2197" s="83"/>
      <c r="W2197" s="81"/>
      <c r="X2197" s="81"/>
      <c r="Y2197" s="83"/>
      <c r="Z2197" s="81"/>
      <c r="AA2197" s="81"/>
      <c r="AB2197" s="81"/>
      <c r="AC2197" s="81"/>
      <c r="AD2197" s="81"/>
      <c r="AE2197" s="83"/>
      <c r="AF2197" s="81"/>
      <c r="AG2197" s="81"/>
      <c r="AH2197" s="81"/>
      <c r="AI2197" s="81"/>
      <c r="AJ2197" s="83"/>
      <c r="AK2197" s="81"/>
      <c r="AL2197" s="81"/>
      <c r="AM2197" s="83"/>
      <c r="AN2197" s="80"/>
      <c r="AO2197" s="82" t="n">
        <f aca="false">IF(E2197="","",(AA2197&lt;&gt;"")+(AG2197&lt;&gt;"")+(AL2197&lt;&gt;""))</f>
        <v>0</v>
      </c>
      <c r="AP2197" s="82" t="str">
        <f aca="false">IF(AL2197&lt;&gt;"",AL2197,IF(AG2197&lt;&gt;"",AG2197,IF(AA2197&lt;&gt;"",AA2197,"")))</f>
        <v/>
      </c>
      <c r="AQ2197" s="84" t="str">
        <f aca="false">IF(E2197="","",IF(U2197="","À SOUDER",IF(X2197="","VT EN ATTENTE",IF(X2197="R","VT REJETÉ – À REPRENDRE",IF(AP2197="","À RADIOGRAPHIER",IF(AP2197="A","ACCEPTÉ",IF(AP2197="NX","NX – RT À REFAIRE",IF(IF(AO2197=1,AD2197,IF(AO2197=2,AI2197,""))="A","RÉPARÉ – À RADIOGRAPHIER",IF(IF(AO2197=1,AD2197,IF(AO2197=2,AI2197,""))="R","VT REJETÉ – À REPRENDRE",IF(OR(AP2197="CO",AP2197="NT"),"COUPE – À RESOUDER","À RÉPARER"))))))))))</f>
        <v>À SOUDER</v>
      </c>
      <c r="AR2197" s="82" t="str">
        <f aca="false">IF(AND(ISNUMBER(U2197),OR(AQ2197="À RADIOGRAPHIER",AQ2197="RÉPARÉ – À RADIOGRAPHIER",AQ2197="NX – RT À REFAIRE",AQ2197="À RÉPARER",AQ2197="COUPE – À RESOUDER",AQ2197="VT REJETÉ – À REPRENDRE")),MAX(0,'PROGRAMME RT'!$C$4-U2197),"")</f>
        <v/>
      </c>
      <c r="AS2197" s="82" t="n">
        <f aca="false">IF(AND(OR(AQ2197="À RADIOGRAPHIER",AQ2197="RÉPARÉ – À RADIOGRAPHIER",AQ2197="NX – RT À REFAIRE"),OR('PROGRAMME RT'!$D$5="TOUTES",B2197='PROGRAMME RT'!$D$5)),1,0)</f>
        <v>0</v>
      </c>
      <c r="AT2197" s="82" t="str">
        <f aca="false">IF(AS2197=1,SUM(AS$7:AS2197),"")</f>
        <v/>
      </c>
      <c r="AU2197" s="82" t="n">
        <f aca="false">IF(AND(OR(AA2197="R",AA2197="NX",AA2197="NT",AA2197="CO"),OR('JOINTS DE RÉPARATION'!$D$5="TOUTES",B2197='JOINTS DE RÉPARATION'!$D$5),OR('JOINTS DE RÉPARATION'!$L$4="TOUS",AQ2197&lt;&gt;"ACCEPTÉ")),1,0)</f>
        <v>0</v>
      </c>
      <c r="AV2197" s="82" t="str">
        <f aca="false">IF(AU2197=1,SUM(AU$7:AU2197),"")</f>
        <v/>
      </c>
      <c r="AW2197" s="82" t="str">
        <f aca="false">IF(E2197="","",B2197&amp;"|"&amp;E2197)</f>
        <v>MFD-ISW → MFD-CPF|JN°1713</v>
      </c>
    </row>
    <row r="2198" customFormat="false" ht="74.6" hidden="false" customHeight="false" outlineLevel="0" collapsed="false">
      <c r="A2198" s="79" t="n">
        <f aca="false">IF(E2198="","",ROW()-6)</f>
        <v>2192</v>
      </c>
      <c r="B2198" s="80" t="s">
        <v>110</v>
      </c>
      <c r="C2198" s="81" t="s">
        <v>926</v>
      </c>
      <c r="D2198" s="81" t="n">
        <v>21</v>
      </c>
      <c r="E2198" s="81" t="s">
        <v>2661</v>
      </c>
      <c r="F2198" s="82" t="str">
        <f aca="false">IF(E2198="","",IF(LEFT(E2198,2)="DJ","DJ","JN"))</f>
        <v>JN</v>
      </c>
      <c r="G2198" s="81"/>
      <c r="H2198" s="81"/>
      <c r="I2198" s="81"/>
      <c r="J2198" s="81"/>
      <c r="K2198" s="81"/>
      <c r="L2198" s="81"/>
      <c r="M2198" s="81"/>
      <c r="N2198" s="81"/>
      <c r="O2198" s="81"/>
      <c r="P2198" s="81"/>
      <c r="Q2198" s="81"/>
      <c r="R2198" s="81"/>
      <c r="S2198" s="81"/>
      <c r="T2198" s="81"/>
      <c r="U2198" s="83"/>
      <c r="V2198" s="83"/>
      <c r="W2198" s="81"/>
      <c r="X2198" s="81"/>
      <c r="Y2198" s="83"/>
      <c r="Z2198" s="81"/>
      <c r="AA2198" s="81"/>
      <c r="AB2198" s="81"/>
      <c r="AC2198" s="81"/>
      <c r="AD2198" s="81"/>
      <c r="AE2198" s="83"/>
      <c r="AF2198" s="81"/>
      <c r="AG2198" s="81"/>
      <c r="AH2198" s="81"/>
      <c r="AI2198" s="81"/>
      <c r="AJ2198" s="83"/>
      <c r="AK2198" s="81"/>
      <c r="AL2198" s="81"/>
      <c r="AM2198" s="83"/>
      <c r="AN2198" s="80"/>
      <c r="AO2198" s="82" t="n">
        <f aca="false">IF(E2198="","",(AA2198&lt;&gt;"")+(AG2198&lt;&gt;"")+(AL2198&lt;&gt;""))</f>
        <v>0</v>
      </c>
      <c r="AP2198" s="82" t="str">
        <f aca="false">IF(AL2198&lt;&gt;"",AL2198,IF(AG2198&lt;&gt;"",AG2198,IF(AA2198&lt;&gt;"",AA2198,"")))</f>
        <v/>
      </c>
      <c r="AQ2198" s="84" t="str">
        <f aca="false">IF(E2198="","",IF(U2198="","À SOUDER",IF(X2198="","VT EN ATTENTE",IF(X2198="R","VT REJETÉ – À REPRENDRE",IF(AP2198="","À RADIOGRAPHIER",IF(AP2198="A","ACCEPTÉ",IF(AP2198="NX","NX – RT À REFAIRE",IF(IF(AO2198=1,AD2198,IF(AO2198=2,AI2198,""))="A","RÉPARÉ – À RADIOGRAPHIER",IF(IF(AO2198=1,AD2198,IF(AO2198=2,AI2198,""))="R","VT REJETÉ – À REPRENDRE",IF(OR(AP2198="CO",AP2198="NT"),"COUPE – À RESOUDER","À RÉPARER"))))))))))</f>
        <v>À SOUDER</v>
      </c>
      <c r="AR2198" s="82" t="str">
        <f aca="false">IF(AND(ISNUMBER(U2198),OR(AQ2198="À RADIOGRAPHIER",AQ2198="RÉPARÉ – À RADIOGRAPHIER",AQ2198="NX – RT À REFAIRE",AQ2198="À RÉPARER",AQ2198="COUPE – À RESOUDER",AQ2198="VT REJETÉ – À REPRENDRE")),MAX(0,'PROGRAMME RT'!$C$4-U2198),"")</f>
        <v/>
      </c>
      <c r="AS2198" s="82" t="n">
        <f aca="false">IF(AND(OR(AQ2198="À RADIOGRAPHIER",AQ2198="RÉPARÉ – À RADIOGRAPHIER",AQ2198="NX – RT À REFAIRE"),OR('PROGRAMME RT'!$D$5="TOUTES",B2198='PROGRAMME RT'!$D$5)),1,0)</f>
        <v>0</v>
      </c>
      <c r="AT2198" s="82" t="str">
        <f aca="false">IF(AS2198=1,SUM(AS$7:AS2198),"")</f>
        <v/>
      </c>
      <c r="AU2198" s="82" t="n">
        <f aca="false">IF(AND(OR(AA2198="R",AA2198="NX",AA2198="NT",AA2198="CO"),OR('JOINTS DE RÉPARATION'!$D$5="TOUTES",B2198='JOINTS DE RÉPARATION'!$D$5),OR('JOINTS DE RÉPARATION'!$L$4="TOUS",AQ2198&lt;&gt;"ACCEPTÉ")),1,0)</f>
        <v>0</v>
      </c>
      <c r="AV2198" s="82" t="str">
        <f aca="false">IF(AU2198=1,SUM(AU$7:AU2198),"")</f>
        <v/>
      </c>
      <c r="AW2198" s="82" t="str">
        <f aca="false">IF(E2198="","",B2198&amp;"|"&amp;E2198)</f>
        <v>MFD-ISW → MFD-CPF|JN°1714</v>
      </c>
    </row>
    <row r="2199" customFormat="false" ht="74.6" hidden="false" customHeight="false" outlineLevel="0" collapsed="false">
      <c r="A2199" s="79" t="n">
        <f aca="false">IF(E2199="","",ROW()-6)</f>
        <v>2193</v>
      </c>
      <c r="B2199" s="80" t="s">
        <v>110</v>
      </c>
      <c r="C2199" s="81" t="s">
        <v>926</v>
      </c>
      <c r="D2199" s="81" t="n">
        <v>21</v>
      </c>
      <c r="E2199" s="81" t="s">
        <v>2662</v>
      </c>
      <c r="F2199" s="82" t="str">
        <f aca="false">IF(E2199="","",IF(LEFT(E2199,2)="DJ","DJ","JN"))</f>
        <v>JN</v>
      </c>
      <c r="G2199" s="81"/>
      <c r="H2199" s="81"/>
      <c r="I2199" s="81"/>
      <c r="J2199" s="81"/>
      <c r="K2199" s="81"/>
      <c r="L2199" s="81"/>
      <c r="M2199" s="81"/>
      <c r="N2199" s="81"/>
      <c r="O2199" s="81"/>
      <c r="P2199" s="81"/>
      <c r="Q2199" s="81"/>
      <c r="R2199" s="81"/>
      <c r="S2199" s="81"/>
      <c r="T2199" s="81"/>
      <c r="U2199" s="83"/>
      <c r="V2199" s="83"/>
      <c r="W2199" s="81"/>
      <c r="X2199" s="81"/>
      <c r="Y2199" s="83"/>
      <c r="Z2199" s="81"/>
      <c r="AA2199" s="81"/>
      <c r="AB2199" s="81"/>
      <c r="AC2199" s="81"/>
      <c r="AD2199" s="81"/>
      <c r="AE2199" s="83"/>
      <c r="AF2199" s="81"/>
      <c r="AG2199" s="81"/>
      <c r="AH2199" s="81"/>
      <c r="AI2199" s="81"/>
      <c r="AJ2199" s="83"/>
      <c r="AK2199" s="81"/>
      <c r="AL2199" s="81"/>
      <c r="AM2199" s="83"/>
      <c r="AN2199" s="80"/>
      <c r="AO2199" s="82" t="n">
        <f aca="false">IF(E2199="","",(AA2199&lt;&gt;"")+(AG2199&lt;&gt;"")+(AL2199&lt;&gt;""))</f>
        <v>0</v>
      </c>
      <c r="AP2199" s="82" t="str">
        <f aca="false">IF(AL2199&lt;&gt;"",AL2199,IF(AG2199&lt;&gt;"",AG2199,IF(AA2199&lt;&gt;"",AA2199,"")))</f>
        <v/>
      </c>
      <c r="AQ2199" s="84" t="str">
        <f aca="false">IF(E2199="","",IF(U2199="","À SOUDER",IF(X2199="","VT EN ATTENTE",IF(X2199="R","VT REJETÉ – À REPRENDRE",IF(AP2199="","À RADIOGRAPHIER",IF(AP2199="A","ACCEPTÉ",IF(AP2199="NX","NX – RT À REFAIRE",IF(IF(AO2199=1,AD2199,IF(AO2199=2,AI2199,""))="A","RÉPARÉ – À RADIOGRAPHIER",IF(IF(AO2199=1,AD2199,IF(AO2199=2,AI2199,""))="R","VT REJETÉ – À REPRENDRE",IF(OR(AP2199="CO",AP2199="NT"),"COUPE – À RESOUDER","À RÉPARER"))))))))))</f>
        <v>À SOUDER</v>
      </c>
      <c r="AR2199" s="82" t="str">
        <f aca="false">IF(AND(ISNUMBER(U2199),OR(AQ2199="À RADIOGRAPHIER",AQ2199="RÉPARÉ – À RADIOGRAPHIER",AQ2199="NX – RT À REFAIRE",AQ2199="À RÉPARER",AQ2199="COUPE – À RESOUDER",AQ2199="VT REJETÉ – À REPRENDRE")),MAX(0,'PROGRAMME RT'!$C$4-U2199),"")</f>
        <v/>
      </c>
      <c r="AS2199" s="82" t="n">
        <f aca="false">IF(AND(OR(AQ2199="À RADIOGRAPHIER",AQ2199="RÉPARÉ – À RADIOGRAPHIER",AQ2199="NX – RT À REFAIRE"),OR('PROGRAMME RT'!$D$5="TOUTES",B2199='PROGRAMME RT'!$D$5)),1,0)</f>
        <v>0</v>
      </c>
      <c r="AT2199" s="82" t="str">
        <f aca="false">IF(AS2199=1,SUM(AS$7:AS2199),"")</f>
        <v/>
      </c>
      <c r="AU2199" s="82" t="n">
        <f aca="false">IF(AND(OR(AA2199="R",AA2199="NX",AA2199="NT",AA2199="CO"),OR('JOINTS DE RÉPARATION'!$D$5="TOUTES",B2199='JOINTS DE RÉPARATION'!$D$5),OR('JOINTS DE RÉPARATION'!$L$4="TOUS",AQ2199&lt;&gt;"ACCEPTÉ")),1,0)</f>
        <v>0</v>
      </c>
      <c r="AV2199" s="82" t="str">
        <f aca="false">IF(AU2199=1,SUM(AU$7:AU2199),"")</f>
        <v/>
      </c>
      <c r="AW2199" s="82" t="str">
        <f aca="false">IF(E2199="","",B2199&amp;"|"&amp;E2199)</f>
        <v>MFD-ISW → MFD-CPF|JN°1715</v>
      </c>
    </row>
    <row r="2200" customFormat="false" ht="74.6" hidden="false" customHeight="false" outlineLevel="0" collapsed="false">
      <c r="A2200" s="79" t="n">
        <f aca="false">IF(E2200="","",ROW()-6)</f>
        <v>2194</v>
      </c>
      <c r="B2200" s="80" t="s">
        <v>110</v>
      </c>
      <c r="C2200" s="81" t="s">
        <v>926</v>
      </c>
      <c r="D2200" s="81" t="n">
        <v>21</v>
      </c>
      <c r="E2200" s="81" t="s">
        <v>2663</v>
      </c>
      <c r="F2200" s="82" t="str">
        <f aca="false">IF(E2200="","",IF(LEFT(E2200,2)="DJ","DJ","JN"))</f>
        <v>JN</v>
      </c>
      <c r="G2200" s="81"/>
      <c r="H2200" s="81"/>
      <c r="I2200" s="81"/>
      <c r="J2200" s="81"/>
      <c r="K2200" s="81"/>
      <c r="L2200" s="81"/>
      <c r="M2200" s="81"/>
      <c r="N2200" s="81"/>
      <c r="O2200" s="81"/>
      <c r="P2200" s="81"/>
      <c r="Q2200" s="81"/>
      <c r="R2200" s="81"/>
      <c r="S2200" s="81"/>
      <c r="T2200" s="81"/>
      <c r="U2200" s="83"/>
      <c r="V2200" s="83"/>
      <c r="W2200" s="81"/>
      <c r="X2200" s="81"/>
      <c r="Y2200" s="83"/>
      <c r="Z2200" s="81"/>
      <c r="AA2200" s="81"/>
      <c r="AB2200" s="81"/>
      <c r="AC2200" s="81"/>
      <c r="AD2200" s="81"/>
      <c r="AE2200" s="83"/>
      <c r="AF2200" s="81"/>
      <c r="AG2200" s="81"/>
      <c r="AH2200" s="81"/>
      <c r="AI2200" s="81"/>
      <c r="AJ2200" s="83"/>
      <c r="AK2200" s="81"/>
      <c r="AL2200" s="81"/>
      <c r="AM2200" s="83"/>
      <c r="AN2200" s="80"/>
      <c r="AO2200" s="82" t="n">
        <f aca="false">IF(E2200="","",(AA2200&lt;&gt;"")+(AG2200&lt;&gt;"")+(AL2200&lt;&gt;""))</f>
        <v>0</v>
      </c>
      <c r="AP2200" s="82" t="str">
        <f aca="false">IF(AL2200&lt;&gt;"",AL2200,IF(AG2200&lt;&gt;"",AG2200,IF(AA2200&lt;&gt;"",AA2200,"")))</f>
        <v/>
      </c>
      <c r="AQ2200" s="84" t="str">
        <f aca="false">IF(E2200="","",IF(U2200="","À SOUDER",IF(X2200="","VT EN ATTENTE",IF(X2200="R","VT REJETÉ – À REPRENDRE",IF(AP2200="","À RADIOGRAPHIER",IF(AP2200="A","ACCEPTÉ",IF(AP2200="NX","NX – RT À REFAIRE",IF(IF(AO2200=1,AD2200,IF(AO2200=2,AI2200,""))="A","RÉPARÉ – À RADIOGRAPHIER",IF(IF(AO2200=1,AD2200,IF(AO2200=2,AI2200,""))="R","VT REJETÉ – À REPRENDRE",IF(OR(AP2200="CO",AP2200="NT"),"COUPE – À RESOUDER","À RÉPARER"))))))))))</f>
        <v>À SOUDER</v>
      </c>
      <c r="AR2200" s="82" t="str">
        <f aca="false">IF(AND(ISNUMBER(U2200),OR(AQ2200="À RADIOGRAPHIER",AQ2200="RÉPARÉ – À RADIOGRAPHIER",AQ2200="NX – RT À REFAIRE",AQ2200="À RÉPARER",AQ2200="COUPE – À RESOUDER",AQ2200="VT REJETÉ – À REPRENDRE")),MAX(0,'PROGRAMME RT'!$C$4-U2200),"")</f>
        <v/>
      </c>
      <c r="AS2200" s="82" t="n">
        <f aca="false">IF(AND(OR(AQ2200="À RADIOGRAPHIER",AQ2200="RÉPARÉ – À RADIOGRAPHIER",AQ2200="NX – RT À REFAIRE"),OR('PROGRAMME RT'!$D$5="TOUTES",B2200='PROGRAMME RT'!$D$5)),1,0)</f>
        <v>0</v>
      </c>
      <c r="AT2200" s="82" t="str">
        <f aca="false">IF(AS2200=1,SUM(AS$7:AS2200),"")</f>
        <v/>
      </c>
      <c r="AU2200" s="82" t="n">
        <f aca="false">IF(AND(OR(AA2200="R",AA2200="NX",AA2200="NT",AA2200="CO"),OR('JOINTS DE RÉPARATION'!$D$5="TOUTES",B2200='JOINTS DE RÉPARATION'!$D$5),OR('JOINTS DE RÉPARATION'!$L$4="TOUS",AQ2200&lt;&gt;"ACCEPTÉ")),1,0)</f>
        <v>0</v>
      </c>
      <c r="AV2200" s="82" t="str">
        <f aca="false">IF(AU2200=1,SUM(AU$7:AU2200),"")</f>
        <v/>
      </c>
      <c r="AW2200" s="82" t="str">
        <f aca="false">IF(E2200="","",B2200&amp;"|"&amp;E2200)</f>
        <v>MFD-ISW → MFD-CPF|JN°1716</v>
      </c>
    </row>
    <row r="2201" customFormat="false" ht="74.6" hidden="false" customHeight="false" outlineLevel="0" collapsed="false">
      <c r="A2201" s="79" t="n">
        <f aca="false">IF(E2201="","",ROW()-6)</f>
        <v>2195</v>
      </c>
      <c r="B2201" s="80" t="s">
        <v>110</v>
      </c>
      <c r="C2201" s="81" t="s">
        <v>926</v>
      </c>
      <c r="D2201" s="81" t="n">
        <v>21</v>
      </c>
      <c r="E2201" s="81" t="s">
        <v>2664</v>
      </c>
      <c r="F2201" s="82" t="str">
        <f aca="false">IF(E2201="","",IF(LEFT(E2201,2)="DJ","DJ","JN"))</f>
        <v>JN</v>
      </c>
      <c r="G2201" s="81"/>
      <c r="H2201" s="81"/>
      <c r="I2201" s="81"/>
      <c r="J2201" s="81"/>
      <c r="K2201" s="81"/>
      <c r="L2201" s="81"/>
      <c r="M2201" s="81"/>
      <c r="N2201" s="81"/>
      <c r="O2201" s="81"/>
      <c r="P2201" s="81"/>
      <c r="Q2201" s="81"/>
      <c r="R2201" s="81"/>
      <c r="S2201" s="81"/>
      <c r="T2201" s="81"/>
      <c r="U2201" s="83"/>
      <c r="V2201" s="83"/>
      <c r="W2201" s="81"/>
      <c r="X2201" s="81"/>
      <c r="Y2201" s="83"/>
      <c r="Z2201" s="81"/>
      <c r="AA2201" s="81"/>
      <c r="AB2201" s="81"/>
      <c r="AC2201" s="81"/>
      <c r="AD2201" s="81"/>
      <c r="AE2201" s="83"/>
      <c r="AF2201" s="81"/>
      <c r="AG2201" s="81"/>
      <c r="AH2201" s="81"/>
      <c r="AI2201" s="81"/>
      <c r="AJ2201" s="83"/>
      <c r="AK2201" s="81"/>
      <c r="AL2201" s="81"/>
      <c r="AM2201" s="83"/>
      <c r="AN2201" s="80"/>
      <c r="AO2201" s="82" t="n">
        <f aca="false">IF(E2201="","",(AA2201&lt;&gt;"")+(AG2201&lt;&gt;"")+(AL2201&lt;&gt;""))</f>
        <v>0</v>
      </c>
      <c r="AP2201" s="82" t="str">
        <f aca="false">IF(AL2201&lt;&gt;"",AL2201,IF(AG2201&lt;&gt;"",AG2201,IF(AA2201&lt;&gt;"",AA2201,"")))</f>
        <v/>
      </c>
      <c r="AQ2201" s="84" t="str">
        <f aca="false">IF(E2201="","",IF(U2201="","À SOUDER",IF(X2201="","VT EN ATTENTE",IF(X2201="R","VT REJETÉ – À REPRENDRE",IF(AP2201="","À RADIOGRAPHIER",IF(AP2201="A","ACCEPTÉ",IF(AP2201="NX","NX – RT À REFAIRE",IF(IF(AO2201=1,AD2201,IF(AO2201=2,AI2201,""))="A","RÉPARÉ – À RADIOGRAPHIER",IF(IF(AO2201=1,AD2201,IF(AO2201=2,AI2201,""))="R","VT REJETÉ – À REPRENDRE",IF(OR(AP2201="CO",AP2201="NT"),"COUPE – À RESOUDER","À RÉPARER"))))))))))</f>
        <v>À SOUDER</v>
      </c>
      <c r="AR2201" s="82" t="str">
        <f aca="false">IF(AND(ISNUMBER(U2201),OR(AQ2201="À RADIOGRAPHIER",AQ2201="RÉPARÉ – À RADIOGRAPHIER",AQ2201="NX – RT À REFAIRE",AQ2201="À RÉPARER",AQ2201="COUPE – À RESOUDER",AQ2201="VT REJETÉ – À REPRENDRE")),MAX(0,'PROGRAMME RT'!$C$4-U2201),"")</f>
        <v/>
      </c>
      <c r="AS2201" s="82" t="n">
        <f aca="false">IF(AND(OR(AQ2201="À RADIOGRAPHIER",AQ2201="RÉPARÉ – À RADIOGRAPHIER",AQ2201="NX – RT À REFAIRE"),OR('PROGRAMME RT'!$D$5="TOUTES",B2201='PROGRAMME RT'!$D$5)),1,0)</f>
        <v>0</v>
      </c>
      <c r="AT2201" s="82" t="str">
        <f aca="false">IF(AS2201=1,SUM(AS$7:AS2201),"")</f>
        <v/>
      </c>
      <c r="AU2201" s="82" t="n">
        <f aca="false">IF(AND(OR(AA2201="R",AA2201="NX",AA2201="NT",AA2201="CO"),OR('JOINTS DE RÉPARATION'!$D$5="TOUTES",B2201='JOINTS DE RÉPARATION'!$D$5),OR('JOINTS DE RÉPARATION'!$L$4="TOUS",AQ2201&lt;&gt;"ACCEPTÉ")),1,0)</f>
        <v>0</v>
      </c>
      <c r="AV2201" s="82" t="str">
        <f aca="false">IF(AU2201=1,SUM(AU$7:AU2201),"")</f>
        <v/>
      </c>
      <c r="AW2201" s="82" t="str">
        <f aca="false">IF(E2201="","",B2201&amp;"|"&amp;E2201)</f>
        <v>MFD-ISW → MFD-CPF|JN°1717</v>
      </c>
    </row>
    <row r="2202" customFormat="false" ht="74.6" hidden="false" customHeight="false" outlineLevel="0" collapsed="false">
      <c r="A2202" s="79" t="n">
        <f aca="false">IF(E2202="","",ROW()-6)</f>
        <v>2196</v>
      </c>
      <c r="B2202" s="80" t="s">
        <v>110</v>
      </c>
      <c r="C2202" s="81" t="s">
        <v>926</v>
      </c>
      <c r="D2202" s="81" t="n">
        <v>21</v>
      </c>
      <c r="E2202" s="81" t="s">
        <v>2665</v>
      </c>
      <c r="F2202" s="82" t="str">
        <f aca="false">IF(E2202="","",IF(LEFT(E2202,2)="DJ","DJ","JN"))</f>
        <v>JN</v>
      </c>
      <c r="G2202" s="81"/>
      <c r="H2202" s="81"/>
      <c r="I2202" s="81"/>
      <c r="J2202" s="81"/>
      <c r="K2202" s="81"/>
      <c r="L2202" s="81"/>
      <c r="M2202" s="81"/>
      <c r="N2202" s="81"/>
      <c r="O2202" s="81"/>
      <c r="P2202" s="81"/>
      <c r="Q2202" s="81"/>
      <c r="R2202" s="81"/>
      <c r="S2202" s="81"/>
      <c r="T2202" s="81"/>
      <c r="U2202" s="83"/>
      <c r="V2202" s="83"/>
      <c r="W2202" s="81"/>
      <c r="X2202" s="81"/>
      <c r="Y2202" s="83"/>
      <c r="Z2202" s="81"/>
      <c r="AA2202" s="81"/>
      <c r="AB2202" s="81"/>
      <c r="AC2202" s="81"/>
      <c r="AD2202" s="81"/>
      <c r="AE2202" s="83"/>
      <c r="AF2202" s="81"/>
      <c r="AG2202" s="81"/>
      <c r="AH2202" s="81"/>
      <c r="AI2202" s="81"/>
      <c r="AJ2202" s="83"/>
      <c r="AK2202" s="81"/>
      <c r="AL2202" s="81"/>
      <c r="AM2202" s="83"/>
      <c r="AN2202" s="80"/>
      <c r="AO2202" s="82" t="n">
        <f aca="false">IF(E2202="","",(AA2202&lt;&gt;"")+(AG2202&lt;&gt;"")+(AL2202&lt;&gt;""))</f>
        <v>0</v>
      </c>
      <c r="AP2202" s="82" t="str">
        <f aca="false">IF(AL2202&lt;&gt;"",AL2202,IF(AG2202&lt;&gt;"",AG2202,IF(AA2202&lt;&gt;"",AA2202,"")))</f>
        <v/>
      </c>
      <c r="AQ2202" s="84" t="str">
        <f aca="false">IF(E2202="","",IF(U2202="","À SOUDER",IF(X2202="","VT EN ATTENTE",IF(X2202="R","VT REJETÉ – À REPRENDRE",IF(AP2202="","À RADIOGRAPHIER",IF(AP2202="A","ACCEPTÉ",IF(AP2202="NX","NX – RT À REFAIRE",IF(IF(AO2202=1,AD2202,IF(AO2202=2,AI2202,""))="A","RÉPARÉ – À RADIOGRAPHIER",IF(IF(AO2202=1,AD2202,IF(AO2202=2,AI2202,""))="R","VT REJETÉ – À REPRENDRE",IF(OR(AP2202="CO",AP2202="NT"),"COUPE – À RESOUDER","À RÉPARER"))))))))))</f>
        <v>À SOUDER</v>
      </c>
      <c r="AR2202" s="82" t="str">
        <f aca="false">IF(AND(ISNUMBER(U2202),OR(AQ2202="À RADIOGRAPHIER",AQ2202="RÉPARÉ – À RADIOGRAPHIER",AQ2202="NX – RT À REFAIRE",AQ2202="À RÉPARER",AQ2202="COUPE – À RESOUDER",AQ2202="VT REJETÉ – À REPRENDRE")),MAX(0,'PROGRAMME RT'!$C$4-U2202),"")</f>
        <v/>
      </c>
      <c r="AS2202" s="82" t="n">
        <f aca="false">IF(AND(OR(AQ2202="À RADIOGRAPHIER",AQ2202="RÉPARÉ – À RADIOGRAPHIER",AQ2202="NX – RT À REFAIRE"),OR('PROGRAMME RT'!$D$5="TOUTES",B2202='PROGRAMME RT'!$D$5)),1,0)</f>
        <v>0</v>
      </c>
      <c r="AT2202" s="82" t="str">
        <f aca="false">IF(AS2202=1,SUM(AS$7:AS2202),"")</f>
        <v/>
      </c>
      <c r="AU2202" s="82" t="n">
        <f aca="false">IF(AND(OR(AA2202="R",AA2202="NX",AA2202="NT",AA2202="CO"),OR('JOINTS DE RÉPARATION'!$D$5="TOUTES",B2202='JOINTS DE RÉPARATION'!$D$5),OR('JOINTS DE RÉPARATION'!$L$4="TOUS",AQ2202&lt;&gt;"ACCEPTÉ")),1,0)</f>
        <v>0</v>
      </c>
      <c r="AV2202" s="82" t="str">
        <f aca="false">IF(AU2202=1,SUM(AU$7:AU2202),"")</f>
        <v/>
      </c>
      <c r="AW2202" s="82" t="str">
        <f aca="false">IF(E2202="","",B2202&amp;"|"&amp;E2202)</f>
        <v>MFD-ISW → MFD-CPF|JN°1718</v>
      </c>
    </row>
    <row r="2203" customFormat="false" ht="74.6" hidden="false" customHeight="false" outlineLevel="0" collapsed="false">
      <c r="A2203" s="79" t="n">
        <f aca="false">IF(E2203="","",ROW()-6)</f>
        <v>2197</v>
      </c>
      <c r="B2203" s="80" t="s">
        <v>110</v>
      </c>
      <c r="C2203" s="81" t="s">
        <v>926</v>
      </c>
      <c r="D2203" s="81" t="n">
        <v>21</v>
      </c>
      <c r="E2203" s="81" t="s">
        <v>2666</v>
      </c>
      <c r="F2203" s="82" t="str">
        <f aca="false">IF(E2203="","",IF(LEFT(E2203,2)="DJ","DJ","JN"))</f>
        <v>JN</v>
      </c>
      <c r="G2203" s="81"/>
      <c r="H2203" s="81"/>
      <c r="I2203" s="81"/>
      <c r="J2203" s="81"/>
      <c r="K2203" s="81"/>
      <c r="L2203" s="81"/>
      <c r="M2203" s="81"/>
      <c r="N2203" s="81"/>
      <c r="O2203" s="81" t="n">
        <v>2081710</v>
      </c>
      <c r="P2203" s="81" t="n">
        <v>15421103</v>
      </c>
      <c r="Q2203" s="81" t="n">
        <v>11.94</v>
      </c>
      <c r="R2203" s="81"/>
      <c r="S2203" s="81"/>
      <c r="T2203" s="81"/>
      <c r="U2203" s="83"/>
      <c r="V2203" s="83"/>
      <c r="W2203" s="81"/>
      <c r="X2203" s="81"/>
      <c r="Y2203" s="83"/>
      <c r="Z2203" s="81"/>
      <c r="AA2203" s="81"/>
      <c r="AB2203" s="81"/>
      <c r="AC2203" s="81"/>
      <c r="AD2203" s="81"/>
      <c r="AE2203" s="83"/>
      <c r="AF2203" s="81"/>
      <c r="AG2203" s="81"/>
      <c r="AH2203" s="81"/>
      <c r="AI2203" s="81"/>
      <c r="AJ2203" s="83"/>
      <c r="AK2203" s="81"/>
      <c r="AL2203" s="81"/>
      <c r="AM2203" s="83"/>
      <c r="AN2203" s="80"/>
      <c r="AO2203" s="82" t="n">
        <f aca="false">IF(E2203="","",(AA2203&lt;&gt;"")+(AG2203&lt;&gt;"")+(AL2203&lt;&gt;""))</f>
        <v>0</v>
      </c>
      <c r="AP2203" s="82" t="str">
        <f aca="false">IF(AL2203&lt;&gt;"",AL2203,IF(AG2203&lt;&gt;"",AG2203,IF(AA2203&lt;&gt;"",AA2203,"")))</f>
        <v/>
      </c>
      <c r="AQ2203" s="84" t="str">
        <f aca="false">IF(E2203="","",IF(U2203="","À SOUDER",IF(X2203="","VT EN ATTENTE",IF(X2203="R","VT REJETÉ – À REPRENDRE",IF(AP2203="","À RADIOGRAPHIER",IF(AP2203="A","ACCEPTÉ",IF(AP2203="NX","NX – RT À REFAIRE",IF(IF(AO2203=1,AD2203,IF(AO2203=2,AI2203,""))="A","RÉPARÉ – À RADIOGRAPHIER",IF(IF(AO2203=1,AD2203,IF(AO2203=2,AI2203,""))="R","VT REJETÉ – À REPRENDRE",IF(OR(AP2203="CO",AP2203="NT"),"COUPE – À RESOUDER","À RÉPARER"))))))))))</f>
        <v>À SOUDER</v>
      </c>
      <c r="AR2203" s="82" t="str">
        <f aca="false">IF(AND(ISNUMBER(U2203),OR(AQ2203="À RADIOGRAPHIER",AQ2203="RÉPARÉ – À RADIOGRAPHIER",AQ2203="NX – RT À REFAIRE",AQ2203="À RÉPARER",AQ2203="COUPE – À RESOUDER",AQ2203="VT REJETÉ – À REPRENDRE")),MAX(0,'PROGRAMME RT'!$C$4-U2203),"")</f>
        <v/>
      </c>
      <c r="AS2203" s="82" t="n">
        <f aca="false">IF(AND(OR(AQ2203="À RADIOGRAPHIER",AQ2203="RÉPARÉ – À RADIOGRAPHIER",AQ2203="NX – RT À REFAIRE"),OR('PROGRAMME RT'!$D$5="TOUTES",B2203='PROGRAMME RT'!$D$5)),1,0)</f>
        <v>0</v>
      </c>
      <c r="AT2203" s="82" t="str">
        <f aca="false">IF(AS2203=1,SUM(AS$7:AS2203),"")</f>
        <v/>
      </c>
      <c r="AU2203" s="82" t="n">
        <f aca="false">IF(AND(OR(AA2203="R",AA2203="NX",AA2203="NT",AA2203="CO"),OR('JOINTS DE RÉPARATION'!$D$5="TOUTES",B2203='JOINTS DE RÉPARATION'!$D$5),OR('JOINTS DE RÉPARATION'!$L$4="TOUS",AQ2203&lt;&gt;"ACCEPTÉ")),1,0)</f>
        <v>0</v>
      </c>
      <c r="AV2203" s="82" t="str">
        <f aca="false">IF(AU2203=1,SUM(AU$7:AU2203),"")</f>
        <v/>
      </c>
      <c r="AW2203" s="82" t="str">
        <f aca="false">IF(E2203="","",B2203&amp;"|"&amp;E2203)</f>
        <v>MFD-ISW → MFD-CPF|JN°1719</v>
      </c>
    </row>
    <row r="2204" customFormat="false" ht="74.6" hidden="false" customHeight="false" outlineLevel="0" collapsed="false">
      <c r="A2204" s="79" t="n">
        <f aca="false">IF(E2204="","",ROW()-6)</f>
        <v>2198</v>
      </c>
      <c r="B2204" s="80" t="s">
        <v>110</v>
      </c>
      <c r="C2204" s="81" t="s">
        <v>2667</v>
      </c>
      <c r="D2204" s="81" t="n">
        <v>21</v>
      </c>
      <c r="E2204" s="81" t="s">
        <v>2668</v>
      </c>
      <c r="F2204" s="82" t="str">
        <f aca="false">IF(E2204="","",IF(LEFT(E2204,2)="DJ","DJ","JN"))</f>
        <v>JN</v>
      </c>
      <c r="G2204" s="81" t="s">
        <v>1504</v>
      </c>
      <c r="H2204" s="81" t="s">
        <v>871</v>
      </c>
      <c r="I2204" s="81" t="n">
        <v>9.53</v>
      </c>
      <c r="J2204" s="81" t="s">
        <v>872</v>
      </c>
      <c r="K2204" s="81" t="s">
        <v>879</v>
      </c>
      <c r="L2204" s="81" t="n">
        <v>2081710</v>
      </c>
      <c r="M2204" s="81" t="n">
        <v>15421103</v>
      </c>
      <c r="N2204" s="81" t="n">
        <v>11.94</v>
      </c>
      <c r="O2204" s="81" t="n">
        <v>2081630</v>
      </c>
      <c r="P2204" s="81" t="n">
        <v>15421103</v>
      </c>
      <c r="Q2204" s="81" t="n">
        <v>11.94</v>
      </c>
      <c r="R2204" s="81" t="s">
        <v>2568</v>
      </c>
      <c r="S2204" s="81"/>
      <c r="T2204" s="81"/>
      <c r="U2204" s="83" t="n">
        <v>46263</v>
      </c>
      <c r="V2204" s="83" t="n">
        <v>46263</v>
      </c>
      <c r="W2204" s="81" t="s">
        <v>2629</v>
      </c>
      <c r="X2204" s="81" t="s">
        <v>876</v>
      </c>
      <c r="Y2204" s="83" t="n">
        <v>46268</v>
      </c>
      <c r="Z2204" s="81" t="s">
        <v>2669</v>
      </c>
      <c r="AA2204" s="81" t="s">
        <v>876</v>
      </c>
      <c r="AB2204" s="81"/>
      <c r="AC2204" s="81"/>
      <c r="AD2204" s="81"/>
      <c r="AE2204" s="83"/>
      <c r="AF2204" s="81"/>
      <c r="AG2204" s="81"/>
      <c r="AH2204" s="81"/>
      <c r="AI2204" s="81"/>
      <c r="AJ2204" s="83"/>
      <c r="AK2204" s="81"/>
      <c r="AL2204" s="81"/>
      <c r="AM2204" s="83"/>
      <c r="AN2204" s="80"/>
      <c r="AO2204" s="82" t="n">
        <f aca="false">IF(E2204="","",(AA2204&lt;&gt;"")+(AG2204&lt;&gt;"")+(AL2204&lt;&gt;""))</f>
        <v>1</v>
      </c>
      <c r="AP2204" s="82" t="str">
        <f aca="false">IF(AL2204&lt;&gt;"",AL2204,IF(AG2204&lt;&gt;"",AG2204,IF(AA2204&lt;&gt;"",AA2204,"")))</f>
        <v>A</v>
      </c>
      <c r="AQ2204" s="84" t="str">
        <f aca="false">IF(E2204="","",IF(U2204="","À SOUDER",IF(X2204="","VT EN ATTENTE",IF(X2204="R","VT REJETÉ – À REPRENDRE",IF(AP2204="","À RADIOGRAPHIER",IF(AP2204="A","ACCEPTÉ",IF(AP2204="NX","NX – RT À REFAIRE",IF(IF(AO2204=1,AD2204,IF(AO2204=2,AI2204,""))="A","RÉPARÉ – À RADIOGRAPHIER",IF(IF(AO2204=1,AD2204,IF(AO2204=2,AI2204,""))="R","VT REJETÉ – À REPRENDRE",IF(OR(AP2204="CO",AP2204="NT"),"COUPE – À RESOUDER","À RÉPARER"))))))))))</f>
        <v>ACCEPTÉ</v>
      </c>
      <c r="AR2204" s="82" t="str">
        <f aca="false">IF(AND(ISNUMBER(U2204),OR(AQ2204="À RADIOGRAPHIER",AQ2204="RÉPARÉ – À RADIOGRAPHIER",AQ2204="NX – RT À REFAIRE",AQ2204="À RÉPARER",AQ2204="COUPE – À RESOUDER",AQ2204="VT REJETÉ – À REPRENDRE")),MAX(0,'PROGRAMME RT'!$C$4-U2204),"")</f>
        <v/>
      </c>
      <c r="AS2204" s="82" t="n">
        <f aca="false">IF(AND(OR(AQ2204="À RADIOGRAPHIER",AQ2204="RÉPARÉ – À RADIOGRAPHIER",AQ2204="NX – RT À REFAIRE"),OR('PROGRAMME RT'!$D$5="TOUTES",B2204='PROGRAMME RT'!$D$5)),1,0)</f>
        <v>0</v>
      </c>
      <c r="AT2204" s="82" t="str">
        <f aca="false">IF(AS2204=1,SUM(AS$7:AS2204),"")</f>
        <v/>
      </c>
      <c r="AU2204" s="82" t="n">
        <f aca="false">IF(AND(OR(AA2204="R",AA2204="NX",AA2204="NT",AA2204="CO"),OR('JOINTS DE RÉPARATION'!$D$5="TOUTES",B2204='JOINTS DE RÉPARATION'!$D$5),OR('JOINTS DE RÉPARATION'!$L$4="TOUS",AQ2204&lt;&gt;"ACCEPTÉ")),1,0)</f>
        <v>0</v>
      </c>
      <c r="AV2204" s="82" t="str">
        <f aca="false">IF(AU2204=1,SUM(AU$7:AU2204),"")</f>
        <v/>
      </c>
      <c r="AW2204" s="82" t="str">
        <f aca="false">IF(E2204="","",B2204&amp;"|"&amp;E2204)</f>
        <v>MFD-ISW → MFD-CPF|JN°1720</v>
      </c>
    </row>
    <row r="2205" customFormat="false" ht="74.6" hidden="false" customHeight="false" outlineLevel="0" collapsed="false">
      <c r="A2205" s="79" t="n">
        <f aca="false">IF(E2205="","",ROW()-6)</f>
        <v>2199</v>
      </c>
      <c r="B2205" s="80" t="s">
        <v>110</v>
      </c>
      <c r="C2205" s="81" t="s">
        <v>2667</v>
      </c>
      <c r="D2205" s="81" t="n">
        <v>21</v>
      </c>
      <c r="E2205" s="81" t="s">
        <v>2670</v>
      </c>
      <c r="F2205" s="82" t="str">
        <f aca="false">IF(E2205="","",IF(LEFT(E2205,2)="DJ","DJ","JN"))</f>
        <v>JN</v>
      </c>
      <c r="G2205" s="81" t="s">
        <v>1504</v>
      </c>
      <c r="H2205" s="81" t="s">
        <v>871</v>
      </c>
      <c r="I2205" s="81" t="n">
        <v>9.53</v>
      </c>
      <c r="J2205" s="81" t="s">
        <v>872</v>
      </c>
      <c r="K2205" s="81" t="s">
        <v>879</v>
      </c>
      <c r="L2205" s="81" t="n">
        <v>2081630</v>
      </c>
      <c r="M2205" s="81" t="n">
        <v>15421103</v>
      </c>
      <c r="N2205" s="81" t="n">
        <v>11.94</v>
      </c>
      <c r="O2205" s="81" t="n">
        <v>2098020</v>
      </c>
      <c r="P2205" s="81" t="n">
        <v>15421112</v>
      </c>
      <c r="Q2205" s="81" t="n">
        <v>11.94</v>
      </c>
      <c r="R2205" s="81" t="s">
        <v>2568</v>
      </c>
      <c r="S2205" s="81"/>
      <c r="T2205" s="81"/>
      <c r="U2205" s="83" t="n">
        <v>46263</v>
      </c>
      <c r="V2205" s="83" t="n">
        <v>46263</v>
      </c>
      <c r="W2205" s="81" t="s">
        <v>2629</v>
      </c>
      <c r="X2205" s="81" t="s">
        <v>876</v>
      </c>
      <c r="Y2205" s="83" t="n">
        <v>46268</v>
      </c>
      <c r="Z2205" s="81" t="s">
        <v>2669</v>
      </c>
      <c r="AA2205" s="81" t="s">
        <v>876</v>
      </c>
      <c r="AB2205" s="81"/>
      <c r="AC2205" s="81"/>
      <c r="AD2205" s="81"/>
      <c r="AE2205" s="83"/>
      <c r="AF2205" s="81"/>
      <c r="AG2205" s="81"/>
      <c r="AH2205" s="81"/>
      <c r="AI2205" s="81"/>
      <c r="AJ2205" s="83"/>
      <c r="AK2205" s="81"/>
      <c r="AL2205" s="81"/>
      <c r="AM2205" s="83"/>
      <c r="AN2205" s="80"/>
      <c r="AO2205" s="82" t="n">
        <f aca="false">IF(E2205="","",(AA2205&lt;&gt;"")+(AG2205&lt;&gt;"")+(AL2205&lt;&gt;""))</f>
        <v>1</v>
      </c>
      <c r="AP2205" s="82" t="str">
        <f aca="false">IF(AL2205&lt;&gt;"",AL2205,IF(AG2205&lt;&gt;"",AG2205,IF(AA2205&lt;&gt;"",AA2205,"")))</f>
        <v>A</v>
      </c>
      <c r="AQ2205" s="84" t="str">
        <f aca="false">IF(E2205="","",IF(U2205="","À SOUDER",IF(X2205="","VT EN ATTENTE",IF(X2205="R","VT REJETÉ – À REPRENDRE",IF(AP2205="","À RADIOGRAPHIER",IF(AP2205="A","ACCEPTÉ",IF(AP2205="NX","NX – RT À REFAIRE",IF(IF(AO2205=1,AD2205,IF(AO2205=2,AI2205,""))="A","RÉPARÉ – À RADIOGRAPHIER",IF(IF(AO2205=1,AD2205,IF(AO2205=2,AI2205,""))="R","VT REJETÉ – À REPRENDRE",IF(OR(AP2205="CO",AP2205="NT"),"COUPE – À RESOUDER","À RÉPARER"))))))))))</f>
        <v>ACCEPTÉ</v>
      </c>
      <c r="AR2205" s="82" t="str">
        <f aca="false">IF(AND(ISNUMBER(U2205),OR(AQ2205="À RADIOGRAPHIER",AQ2205="RÉPARÉ – À RADIOGRAPHIER",AQ2205="NX – RT À REFAIRE",AQ2205="À RÉPARER",AQ2205="COUPE – À RESOUDER",AQ2205="VT REJETÉ – À REPRENDRE")),MAX(0,'PROGRAMME RT'!$C$4-U2205),"")</f>
        <v/>
      </c>
      <c r="AS2205" s="82" t="n">
        <f aca="false">IF(AND(OR(AQ2205="À RADIOGRAPHIER",AQ2205="RÉPARÉ – À RADIOGRAPHIER",AQ2205="NX – RT À REFAIRE"),OR('PROGRAMME RT'!$D$5="TOUTES",B2205='PROGRAMME RT'!$D$5)),1,0)</f>
        <v>0</v>
      </c>
      <c r="AT2205" s="82" t="str">
        <f aca="false">IF(AS2205=1,SUM(AS$7:AS2205),"")</f>
        <v/>
      </c>
      <c r="AU2205" s="82" t="n">
        <f aca="false">IF(AND(OR(AA2205="R",AA2205="NX",AA2205="NT",AA2205="CO"),OR('JOINTS DE RÉPARATION'!$D$5="TOUTES",B2205='JOINTS DE RÉPARATION'!$D$5),OR('JOINTS DE RÉPARATION'!$L$4="TOUS",AQ2205&lt;&gt;"ACCEPTÉ")),1,0)</f>
        <v>0</v>
      </c>
      <c r="AV2205" s="82" t="str">
        <f aca="false">IF(AU2205=1,SUM(AU$7:AU2205),"")</f>
        <v/>
      </c>
      <c r="AW2205" s="82" t="str">
        <f aca="false">IF(E2205="","",B2205&amp;"|"&amp;E2205)</f>
        <v>MFD-ISW → MFD-CPF|JN°1721</v>
      </c>
    </row>
    <row r="2206" customFormat="false" ht="74.6" hidden="false" customHeight="false" outlineLevel="0" collapsed="false">
      <c r="A2206" s="79" t="n">
        <f aca="false">IF(E2206="","",ROW()-6)</f>
        <v>2200</v>
      </c>
      <c r="B2206" s="80" t="s">
        <v>110</v>
      </c>
      <c r="C2206" s="81" t="s">
        <v>2667</v>
      </c>
      <c r="D2206" s="81" t="n">
        <v>21</v>
      </c>
      <c r="E2206" s="81" t="s">
        <v>2671</v>
      </c>
      <c r="F2206" s="82" t="str">
        <f aca="false">IF(E2206="","",IF(LEFT(E2206,2)="DJ","DJ","JN"))</f>
        <v>JN</v>
      </c>
      <c r="G2206" s="81" t="s">
        <v>1504</v>
      </c>
      <c r="H2206" s="81" t="s">
        <v>871</v>
      </c>
      <c r="I2206" s="81" t="n">
        <v>9.53</v>
      </c>
      <c r="J2206" s="81" t="s">
        <v>872</v>
      </c>
      <c r="K2206" s="81" t="s">
        <v>879</v>
      </c>
      <c r="L2206" s="81" t="n">
        <v>2098020</v>
      </c>
      <c r="M2206" s="81" t="n">
        <v>15421112</v>
      </c>
      <c r="N2206" s="81" t="n">
        <v>11.94</v>
      </c>
      <c r="O2206" s="81" t="n">
        <v>2088500</v>
      </c>
      <c r="P2206" s="81" t="n">
        <v>15421108</v>
      </c>
      <c r="Q2206" s="81" t="n">
        <v>11.94</v>
      </c>
      <c r="R2206" s="81" t="s">
        <v>2568</v>
      </c>
      <c r="S2206" s="81"/>
      <c r="T2206" s="81"/>
      <c r="U2206" s="83" t="n">
        <v>46263</v>
      </c>
      <c r="V2206" s="83" t="n">
        <v>46263</v>
      </c>
      <c r="W2206" s="81" t="s">
        <v>2629</v>
      </c>
      <c r="X2206" s="81" t="s">
        <v>876</v>
      </c>
      <c r="Y2206" s="83" t="n">
        <v>46268</v>
      </c>
      <c r="Z2206" s="81" t="s">
        <v>2669</v>
      </c>
      <c r="AA2206" s="81" t="s">
        <v>876</v>
      </c>
      <c r="AB2206" s="81"/>
      <c r="AC2206" s="81"/>
      <c r="AD2206" s="81"/>
      <c r="AE2206" s="83"/>
      <c r="AF2206" s="81"/>
      <c r="AG2206" s="81"/>
      <c r="AH2206" s="81"/>
      <c r="AI2206" s="81"/>
      <c r="AJ2206" s="83"/>
      <c r="AK2206" s="81"/>
      <c r="AL2206" s="81"/>
      <c r="AM2206" s="83"/>
      <c r="AN2206" s="80"/>
      <c r="AO2206" s="82" t="n">
        <f aca="false">IF(E2206="","",(AA2206&lt;&gt;"")+(AG2206&lt;&gt;"")+(AL2206&lt;&gt;""))</f>
        <v>1</v>
      </c>
      <c r="AP2206" s="82" t="str">
        <f aca="false">IF(AL2206&lt;&gt;"",AL2206,IF(AG2206&lt;&gt;"",AG2206,IF(AA2206&lt;&gt;"",AA2206,"")))</f>
        <v>A</v>
      </c>
      <c r="AQ2206" s="84" t="str">
        <f aca="false">IF(E2206="","",IF(U2206="","À SOUDER",IF(X2206="","VT EN ATTENTE",IF(X2206="R","VT REJETÉ – À REPRENDRE",IF(AP2206="","À RADIOGRAPHIER",IF(AP2206="A","ACCEPTÉ",IF(AP2206="NX","NX – RT À REFAIRE",IF(IF(AO2206=1,AD2206,IF(AO2206=2,AI2206,""))="A","RÉPARÉ – À RADIOGRAPHIER",IF(IF(AO2206=1,AD2206,IF(AO2206=2,AI2206,""))="R","VT REJETÉ – À REPRENDRE",IF(OR(AP2206="CO",AP2206="NT"),"COUPE – À RESOUDER","À RÉPARER"))))))))))</f>
        <v>ACCEPTÉ</v>
      </c>
      <c r="AR2206" s="82" t="str">
        <f aca="false">IF(AND(ISNUMBER(U2206),OR(AQ2206="À RADIOGRAPHIER",AQ2206="RÉPARÉ – À RADIOGRAPHIER",AQ2206="NX – RT À REFAIRE",AQ2206="À RÉPARER",AQ2206="COUPE – À RESOUDER",AQ2206="VT REJETÉ – À REPRENDRE")),MAX(0,'PROGRAMME RT'!$C$4-U2206),"")</f>
        <v/>
      </c>
      <c r="AS2206" s="82" t="n">
        <f aca="false">IF(AND(OR(AQ2206="À RADIOGRAPHIER",AQ2206="RÉPARÉ – À RADIOGRAPHIER",AQ2206="NX – RT À REFAIRE"),OR('PROGRAMME RT'!$D$5="TOUTES",B2206='PROGRAMME RT'!$D$5)),1,0)</f>
        <v>0</v>
      </c>
      <c r="AT2206" s="82" t="str">
        <f aca="false">IF(AS2206=1,SUM(AS$7:AS2206),"")</f>
        <v/>
      </c>
      <c r="AU2206" s="82" t="n">
        <f aca="false">IF(AND(OR(AA2206="R",AA2206="NX",AA2206="NT",AA2206="CO"),OR('JOINTS DE RÉPARATION'!$D$5="TOUTES",B2206='JOINTS DE RÉPARATION'!$D$5),OR('JOINTS DE RÉPARATION'!$L$4="TOUS",AQ2206&lt;&gt;"ACCEPTÉ")),1,0)</f>
        <v>0</v>
      </c>
      <c r="AV2206" s="82" t="str">
        <f aca="false">IF(AU2206=1,SUM(AU$7:AU2206),"")</f>
        <v/>
      </c>
      <c r="AW2206" s="82" t="str">
        <f aca="false">IF(E2206="","",B2206&amp;"|"&amp;E2206)</f>
        <v>MFD-ISW → MFD-CPF|JN°1722</v>
      </c>
    </row>
    <row r="2207" customFormat="false" ht="74.6" hidden="false" customHeight="false" outlineLevel="0" collapsed="false">
      <c r="A2207" s="79" t="n">
        <f aca="false">IF(E2207="","",ROW()-6)</f>
        <v>2201</v>
      </c>
      <c r="B2207" s="80" t="s">
        <v>110</v>
      </c>
      <c r="C2207" s="81" t="s">
        <v>2667</v>
      </c>
      <c r="D2207" s="81" t="n">
        <v>21</v>
      </c>
      <c r="E2207" s="81" t="s">
        <v>2672</v>
      </c>
      <c r="F2207" s="82" t="str">
        <f aca="false">IF(E2207="","",IF(LEFT(E2207,2)="DJ","DJ","JN"))</f>
        <v>JN</v>
      </c>
      <c r="G2207" s="81" t="s">
        <v>1504</v>
      </c>
      <c r="H2207" s="81" t="s">
        <v>871</v>
      </c>
      <c r="I2207" s="81" t="n">
        <v>9.53</v>
      </c>
      <c r="J2207" s="81" t="s">
        <v>872</v>
      </c>
      <c r="K2207" s="81" t="s">
        <v>879</v>
      </c>
      <c r="L2207" s="81" t="n">
        <v>2088500</v>
      </c>
      <c r="M2207" s="81" t="n">
        <v>15421108</v>
      </c>
      <c r="N2207" s="81" t="n">
        <v>11.94</v>
      </c>
      <c r="O2207" s="81" t="n">
        <v>2080060</v>
      </c>
      <c r="P2207" s="81" t="n">
        <v>15421102</v>
      </c>
      <c r="Q2207" s="81" t="n">
        <v>11.94</v>
      </c>
      <c r="R2207" s="81" t="s">
        <v>2568</v>
      </c>
      <c r="S2207" s="81"/>
      <c r="T2207" s="81"/>
      <c r="U2207" s="83" t="n">
        <v>46263</v>
      </c>
      <c r="V2207" s="83" t="n">
        <v>46263</v>
      </c>
      <c r="W2207" s="81" t="s">
        <v>2629</v>
      </c>
      <c r="X2207" s="81" t="s">
        <v>876</v>
      </c>
      <c r="Y2207" s="83" t="n">
        <v>46268</v>
      </c>
      <c r="Z2207" s="81" t="s">
        <v>2669</v>
      </c>
      <c r="AA2207" s="81" t="s">
        <v>876</v>
      </c>
      <c r="AB2207" s="81"/>
      <c r="AC2207" s="81"/>
      <c r="AD2207" s="81"/>
      <c r="AE2207" s="83"/>
      <c r="AF2207" s="81"/>
      <c r="AG2207" s="81"/>
      <c r="AH2207" s="81"/>
      <c r="AI2207" s="81"/>
      <c r="AJ2207" s="83"/>
      <c r="AK2207" s="81"/>
      <c r="AL2207" s="81"/>
      <c r="AM2207" s="83"/>
      <c r="AN2207" s="80"/>
      <c r="AO2207" s="82" t="n">
        <f aca="false">IF(E2207="","",(AA2207&lt;&gt;"")+(AG2207&lt;&gt;"")+(AL2207&lt;&gt;""))</f>
        <v>1</v>
      </c>
      <c r="AP2207" s="82" t="str">
        <f aca="false">IF(AL2207&lt;&gt;"",AL2207,IF(AG2207&lt;&gt;"",AG2207,IF(AA2207&lt;&gt;"",AA2207,"")))</f>
        <v>A</v>
      </c>
      <c r="AQ2207" s="84" t="str">
        <f aca="false">IF(E2207="","",IF(U2207="","À SOUDER",IF(X2207="","VT EN ATTENTE",IF(X2207="R","VT REJETÉ – À REPRENDRE",IF(AP2207="","À RADIOGRAPHIER",IF(AP2207="A","ACCEPTÉ",IF(AP2207="NX","NX – RT À REFAIRE",IF(IF(AO2207=1,AD2207,IF(AO2207=2,AI2207,""))="A","RÉPARÉ – À RADIOGRAPHIER",IF(IF(AO2207=1,AD2207,IF(AO2207=2,AI2207,""))="R","VT REJETÉ – À REPRENDRE",IF(OR(AP2207="CO",AP2207="NT"),"COUPE – À RESOUDER","À RÉPARER"))))))))))</f>
        <v>ACCEPTÉ</v>
      </c>
      <c r="AR2207" s="82" t="str">
        <f aca="false">IF(AND(ISNUMBER(U2207),OR(AQ2207="À RADIOGRAPHIER",AQ2207="RÉPARÉ – À RADIOGRAPHIER",AQ2207="NX – RT À REFAIRE",AQ2207="À RÉPARER",AQ2207="COUPE – À RESOUDER",AQ2207="VT REJETÉ – À REPRENDRE")),MAX(0,'PROGRAMME RT'!$C$4-U2207),"")</f>
        <v/>
      </c>
      <c r="AS2207" s="82" t="n">
        <f aca="false">IF(AND(OR(AQ2207="À RADIOGRAPHIER",AQ2207="RÉPARÉ – À RADIOGRAPHIER",AQ2207="NX – RT À REFAIRE"),OR('PROGRAMME RT'!$D$5="TOUTES",B2207='PROGRAMME RT'!$D$5)),1,0)</f>
        <v>0</v>
      </c>
      <c r="AT2207" s="82" t="str">
        <f aca="false">IF(AS2207=1,SUM(AS$7:AS2207),"")</f>
        <v/>
      </c>
      <c r="AU2207" s="82" t="n">
        <f aca="false">IF(AND(OR(AA2207="R",AA2207="NX",AA2207="NT",AA2207="CO"),OR('JOINTS DE RÉPARATION'!$D$5="TOUTES",B2207='JOINTS DE RÉPARATION'!$D$5),OR('JOINTS DE RÉPARATION'!$L$4="TOUS",AQ2207&lt;&gt;"ACCEPTÉ")),1,0)</f>
        <v>0</v>
      </c>
      <c r="AV2207" s="82" t="str">
        <f aca="false">IF(AU2207=1,SUM(AU$7:AU2207),"")</f>
        <v/>
      </c>
      <c r="AW2207" s="82" t="str">
        <f aca="false">IF(E2207="","",B2207&amp;"|"&amp;E2207)</f>
        <v>MFD-ISW → MFD-CPF|JN°1723</v>
      </c>
    </row>
    <row r="2208" customFormat="false" ht="74.6" hidden="false" customHeight="false" outlineLevel="0" collapsed="false">
      <c r="A2208" s="79" t="n">
        <f aca="false">IF(E2208="","",ROW()-6)</f>
        <v>2202</v>
      </c>
      <c r="B2208" s="80" t="s">
        <v>110</v>
      </c>
      <c r="C2208" s="81" t="s">
        <v>926</v>
      </c>
      <c r="D2208" s="81" t="n">
        <v>21</v>
      </c>
      <c r="E2208" s="81" t="s">
        <v>2673</v>
      </c>
      <c r="F2208" s="82" t="str">
        <f aca="false">IF(E2208="","",IF(LEFT(E2208,2)="DJ","DJ","JN"))</f>
        <v>JN</v>
      </c>
      <c r="G2208" s="81"/>
      <c r="H2208" s="81"/>
      <c r="I2208" s="81"/>
      <c r="J2208" s="81"/>
      <c r="K2208" s="81"/>
      <c r="L2208" s="81" t="n">
        <v>2080060</v>
      </c>
      <c r="M2208" s="81" t="n">
        <v>15421102</v>
      </c>
      <c r="N2208" s="81" t="n">
        <v>11.94</v>
      </c>
      <c r="O2208" s="81"/>
      <c r="P2208" s="81"/>
      <c r="Q2208" s="81"/>
      <c r="R2208" s="81"/>
      <c r="S2208" s="81"/>
      <c r="T2208" s="81"/>
      <c r="U2208" s="83"/>
      <c r="V2208" s="83"/>
      <c r="W2208" s="81"/>
      <c r="X2208" s="81"/>
      <c r="Y2208" s="83"/>
      <c r="Z2208" s="81"/>
      <c r="AA2208" s="81"/>
      <c r="AB2208" s="81"/>
      <c r="AC2208" s="81"/>
      <c r="AD2208" s="81"/>
      <c r="AE2208" s="83"/>
      <c r="AF2208" s="81"/>
      <c r="AG2208" s="81"/>
      <c r="AH2208" s="81"/>
      <c r="AI2208" s="81"/>
      <c r="AJ2208" s="83"/>
      <c r="AK2208" s="81"/>
      <c r="AL2208" s="81"/>
      <c r="AM2208" s="83"/>
      <c r="AN2208" s="80"/>
      <c r="AO2208" s="82" t="n">
        <f aca="false">IF(E2208="","",(AA2208&lt;&gt;"")+(AG2208&lt;&gt;"")+(AL2208&lt;&gt;""))</f>
        <v>0</v>
      </c>
      <c r="AP2208" s="82" t="str">
        <f aca="false">IF(AL2208&lt;&gt;"",AL2208,IF(AG2208&lt;&gt;"",AG2208,IF(AA2208&lt;&gt;"",AA2208,"")))</f>
        <v/>
      </c>
      <c r="AQ2208" s="84" t="str">
        <f aca="false">IF(E2208="","",IF(U2208="","À SOUDER",IF(X2208="","VT EN ATTENTE",IF(X2208="R","VT REJETÉ – À REPRENDRE",IF(AP2208="","À RADIOGRAPHIER",IF(AP2208="A","ACCEPTÉ",IF(AP2208="NX","NX – RT À REFAIRE",IF(IF(AO2208=1,AD2208,IF(AO2208=2,AI2208,""))="A","RÉPARÉ – À RADIOGRAPHIER",IF(IF(AO2208=1,AD2208,IF(AO2208=2,AI2208,""))="R","VT REJETÉ – À REPRENDRE",IF(OR(AP2208="CO",AP2208="NT"),"COUPE – À RESOUDER","À RÉPARER"))))))))))</f>
        <v>À SOUDER</v>
      </c>
      <c r="AR2208" s="82" t="str">
        <f aca="false">IF(AND(ISNUMBER(U2208),OR(AQ2208="À RADIOGRAPHIER",AQ2208="RÉPARÉ – À RADIOGRAPHIER",AQ2208="NX – RT À REFAIRE",AQ2208="À RÉPARER",AQ2208="COUPE – À RESOUDER",AQ2208="VT REJETÉ – À REPRENDRE")),MAX(0,'PROGRAMME RT'!$C$4-U2208),"")</f>
        <v/>
      </c>
      <c r="AS2208" s="82" t="n">
        <f aca="false">IF(AND(OR(AQ2208="À RADIOGRAPHIER",AQ2208="RÉPARÉ – À RADIOGRAPHIER",AQ2208="NX – RT À REFAIRE"),OR('PROGRAMME RT'!$D$5="TOUTES",B2208='PROGRAMME RT'!$D$5)),1,0)</f>
        <v>0</v>
      </c>
      <c r="AT2208" s="82" t="str">
        <f aca="false">IF(AS2208=1,SUM(AS$7:AS2208),"")</f>
        <v/>
      </c>
      <c r="AU2208" s="82" t="n">
        <f aca="false">IF(AND(OR(AA2208="R",AA2208="NX",AA2208="NT",AA2208="CO"),OR('JOINTS DE RÉPARATION'!$D$5="TOUTES",B2208='JOINTS DE RÉPARATION'!$D$5),OR('JOINTS DE RÉPARATION'!$L$4="TOUS",AQ2208&lt;&gt;"ACCEPTÉ")),1,0)</f>
        <v>0</v>
      </c>
      <c r="AV2208" s="82" t="str">
        <f aca="false">IF(AU2208=1,SUM(AU$7:AU2208),"")</f>
        <v/>
      </c>
      <c r="AW2208" s="82" t="str">
        <f aca="false">IF(E2208="","",B2208&amp;"|"&amp;E2208)</f>
        <v>MFD-ISW → MFD-CPF|JN°1724</v>
      </c>
    </row>
    <row r="2209" customFormat="false" ht="74.6" hidden="false" customHeight="false" outlineLevel="0" collapsed="false">
      <c r="A2209" s="79" t="n">
        <f aca="false">IF(E2209="","",ROW()-6)</f>
        <v>2203</v>
      </c>
      <c r="B2209" s="80" t="s">
        <v>110</v>
      </c>
      <c r="C2209" s="81" t="s">
        <v>926</v>
      </c>
      <c r="D2209" s="81" t="n">
        <v>21</v>
      </c>
      <c r="E2209" s="81" t="s">
        <v>2674</v>
      </c>
      <c r="F2209" s="82" t="str">
        <f aca="false">IF(E2209="","",IF(LEFT(E2209,2)="DJ","DJ","JN"))</f>
        <v>JN</v>
      </c>
      <c r="G2209" s="81"/>
      <c r="H2209" s="81"/>
      <c r="I2209" s="81"/>
      <c r="J2209" s="81"/>
      <c r="K2209" s="81"/>
      <c r="L2209" s="81"/>
      <c r="M2209" s="81"/>
      <c r="N2209" s="81"/>
      <c r="O2209" s="81"/>
      <c r="P2209" s="81"/>
      <c r="Q2209" s="81"/>
      <c r="R2209" s="81"/>
      <c r="S2209" s="81"/>
      <c r="T2209" s="81"/>
      <c r="U2209" s="83"/>
      <c r="V2209" s="83"/>
      <c r="W2209" s="81"/>
      <c r="X2209" s="81"/>
      <c r="Y2209" s="83"/>
      <c r="Z2209" s="81"/>
      <c r="AA2209" s="81"/>
      <c r="AB2209" s="81"/>
      <c r="AC2209" s="81"/>
      <c r="AD2209" s="81"/>
      <c r="AE2209" s="83"/>
      <c r="AF2209" s="81"/>
      <c r="AG2209" s="81"/>
      <c r="AH2209" s="81"/>
      <c r="AI2209" s="81"/>
      <c r="AJ2209" s="83"/>
      <c r="AK2209" s="81"/>
      <c r="AL2209" s="81"/>
      <c r="AM2209" s="83"/>
      <c r="AN2209" s="80"/>
      <c r="AO2209" s="82" t="n">
        <f aca="false">IF(E2209="","",(AA2209&lt;&gt;"")+(AG2209&lt;&gt;"")+(AL2209&lt;&gt;""))</f>
        <v>0</v>
      </c>
      <c r="AP2209" s="82" t="str">
        <f aca="false">IF(AL2209&lt;&gt;"",AL2209,IF(AG2209&lt;&gt;"",AG2209,IF(AA2209&lt;&gt;"",AA2209,"")))</f>
        <v/>
      </c>
      <c r="AQ2209" s="84" t="str">
        <f aca="false">IF(E2209="","",IF(U2209="","À SOUDER",IF(X2209="","VT EN ATTENTE",IF(X2209="R","VT REJETÉ – À REPRENDRE",IF(AP2209="","À RADIOGRAPHIER",IF(AP2209="A","ACCEPTÉ",IF(AP2209="NX","NX – RT À REFAIRE",IF(IF(AO2209=1,AD2209,IF(AO2209=2,AI2209,""))="A","RÉPARÉ – À RADIOGRAPHIER",IF(IF(AO2209=1,AD2209,IF(AO2209=2,AI2209,""))="R","VT REJETÉ – À REPRENDRE",IF(OR(AP2209="CO",AP2209="NT"),"COUPE – À RESOUDER","À RÉPARER"))))))))))</f>
        <v>À SOUDER</v>
      </c>
      <c r="AR2209" s="82" t="str">
        <f aca="false">IF(AND(ISNUMBER(U2209),OR(AQ2209="À RADIOGRAPHIER",AQ2209="RÉPARÉ – À RADIOGRAPHIER",AQ2209="NX – RT À REFAIRE",AQ2209="À RÉPARER",AQ2209="COUPE – À RESOUDER",AQ2209="VT REJETÉ – À REPRENDRE")),MAX(0,'PROGRAMME RT'!$C$4-U2209),"")</f>
        <v/>
      </c>
      <c r="AS2209" s="82" t="n">
        <f aca="false">IF(AND(OR(AQ2209="À RADIOGRAPHIER",AQ2209="RÉPARÉ – À RADIOGRAPHIER",AQ2209="NX – RT À REFAIRE"),OR('PROGRAMME RT'!$D$5="TOUTES",B2209='PROGRAMME RT'!$D$5)),1,0)</f>
        <v>0</v>
      </c>
      <c r="AT2209" s="82" t="str">
        <f aca="false">IF(AS2209=1,SUM(AS$7:AS2209),"")</f>
        <v/>
      </c>
      <c r="AU2209" s="82" t="n">
        <f aca="false">IF(AND(OR(AA2209="R",AA2209="NX",AA2209="NT",AA2209="CO"),OR('JOINTS DE RÉPARATION'!$D$5="TOUTES",B2209='JOINTS DE RÉPARATION'!$D$5),OR('JOINTS DE RÉPARATION'!$L$4="TOUS",AQ2209&lt;&gt;"ACCEPTÉ")),1,0)</f>
        <v>0</v>
      </c>
      <c r="AV2209" s="82" t="str">
        <f aca="false">IF(AU2209=1,SUM(AU$7:AU2209),"")</f>
        <v/>
      </c>
      <c r="AW2209" s="82" t="str">
        <f aca="false">IF(E2209="","",B2209&amp;"|"&amp;E2209)</f>
        <v>MFD-ISW → MFD-CPF|JN°1725</v>
      </c>
    </row>
    <row r="2210" customFormat="false" ht="74.6" hidden="false" customHeight="false" outlineLevel="0" collapsed="false">
      <c r="A2210" s="79" t="n">
        <f aca="false">IF(E2210="","",ROW()-6)</f>
        <v>2204</v>
      </c>
      <c r="B2210" s="80" t="s">
        <v>110</v>
      </c>
      <c r="C2210" s="81" t="s">
        <v>926</v>
      </c>
      <c r="D2210" s="81" t="n">
        <v>21</v>
      </c>
      <c r="E2210" s="81" t="s">
        <v>2675</v>
      </c>
      <c r="F2210" s="82" t="str">
        <f aca="false">IF(E2210="","",IF(LEFT(E2210,2)="DJ","DJ","JN"))</f>
        <v>JN</v>
      </c>
      <c r="G2210" s="81"/>
      <c r="H2210" s="81"/>
      <c r="I2210" s="81"/>
      <c r="J2210" s="81"/>
      <c r="K2210" s="81"/>
      <c r="L2210" s="81"/>
      <c r="M2210" s="81"/>
      <c r="N2210" s="81"/>
      <c r="O2210" s="81" t="n">
        <v>2090690</v>
      </c>
      <c r="P2210" s="81" t="n">
        <v>15421109</v>
      </c>
      <c r="Q2210" s="81" t="n">
        <v>11.94</v>
      </c>
      <c r="R2210" s="81"/>
      <c r="S2210" s="81"/>
      <c r="T2210" s="81"/>
      <c r="U2210" s="83"/>
      <c r="V2210" s="83"/>
      <c r="W2210" s="81"/>
      <c r="X2210" s="81"/>
      <c r="Y2210" s="83"/>
      <c r="Z2210" s="81"/>
      <c r="AA2210" s="81"/>
      <c r="AB2210" s="81"/>
      <c r="AC2210" s="81"/>
      <c r="AD2210" s="81"/>
      <c r="AE2210" s="83"/>
      <c r="AF2210" s="81"/>
      <c r="AG2210" s="81"/>
      <c r="AH2210" s="81"/>
      <c r="AI2210" s="81"/>
      <c r="AJ2210" s="83"/>
      <c r="AK2210" s="81"/>
      <c r="AL2210" s="81"/>
      <c r="AM2210" s="83"/>
      <c r="AN2210" s="80"/>
      <c r="AO2210" s="82" t="n">
        <f aca="false">IF(E2210="","",(AA2210&lt;&gt;"")+(AG2210&lt;&gt;"")+(AL2210&lt;&gt;""))</f>
        <v>0</v>
      </c>
      <c r="AP2210" s="82" t="str">
        <f aca="false">IF(AL2210&lt;&gt;"",AL2210,IF(AG2210&lt;&gt;"",AG2210,IF(AA2210&lt;&gt;"",AA2210,"")))</f>
        <v/>
      </c>
      <c r="AQ2210" s="84" t="str">
        <f aca="false">IF(E2210="","",IF(U2210="","À SOUDER",IF(X2210="","VT EN ATTENTE",IF(X2210="R","VT REJETÉ – À REPRENDRE",IF(AP2210="","À RADIOGRAPHIER",IF(AP2210="A","ACCEPTÉ",IF(AP2210="NX","NX – RT À REFAIRE",IF(IF(AO2210=1,AD2210,IF(AO2210=2,AI2210,""))="A","RÉPARÉ – À RADIOGRAPHIER",IF(IF(AO2210=1,AD2210,IF(AO2210=2,AI2210,""))="R","VT REJETÉ – À REPRENDRE",IF(OR(AP2210="CO",AP2210="NT"),"COUPE – À RESOUDER","À RÉPARER"))))))))))</f>
        <v>À SOUDER</v>
      </c>
      <c r="AR2210" s="82" t="str">
        <f aca="false">IF(AND(ISNUMBER(U2210),OR(AQ2210="À RADIOGRAPHIER",AQ2210="RÉPARÉ – À RADIOGRAPHIER",AQ2210="NX – RT À REFAIRE",AQ2210="À RÉPARER",AQ2210="COUPE – À RESOUDER",AQ2210="VT REJETÉ – À REPRENDRE")),MAX(0,'PROGRAMME RT'!$C$4-U2210),"")</f>
        <v/>
      </c>
      <c r="AS2210" s="82" t="n">
        <f aca="false">IF(AND(OR(AQ2210="À RADIOGRAPHIER",AQ2210="RÉPARÉ – À RADIOGRAPHIER",AQ2210="NX – RT À REFAIRE"),OR('PROGRAMME RT'!$D$5="TOUTES",B2210='PROGRAMME RT'!$D$5)),1,0)</f>
        <v>0</v>
      </c>
      <c r="AT2210" s="82" t="str">
        <f aca="false">IF(AS2210=1,SUM(AS$7:AS2210),"")</f>
        <v/>
      </c>
      <c r="AU2210" s="82" t="n">
        <f aca="false">IF(AND(OR(AA2210="R",AA2210="NX",AA2210="NT",AA2210="CO"),OR('JOINTS DE RÉPARATION'!$D$5="TOUTES",B2210='JOINTS DE RÉPARATION'!$D$5),OR('JOINTS DE RÉPARATION'!$L$4="TOUS",AQ2210&lt;&gt;"ACCEPTÉ")),1,0)</f>
        <v>0</v>
      </c>
      <c r="AV2210" s="82" t="str">
        <f aca="false">IF(AU2210=1,SUM(AU$7:AU2210),"")</f>
        <v/>
      </c>
      <c r="AW2210" s="82" t="str">
        <f aca="false">IF(E2210="","",B2210&amp;"|"&amp;E2210)</f>
        <v>MFD-ISW → MFD-CPF|JN°1726</v>
      </c>
    </row>
    <row r="2211" customFormat="false" ht="74.6" hidden="false" customHeight="false" outlineLevel="0" collapsed="false">
      <c r="A2211" s="79" t="n">
        <f aca="false">IF(E2211="","",ROW()-6)</f>
        <v>2205</v>
      </c>
      <c r="B2211" s="80" t="s">
        <v>110</v>
      </c>
      <c r="C2211" s="81" t="s">
        <v>2676</v>
      </c>
      <c r="D2211" s="81" t="n">
        <v>21</v>
      </c>
      <c r="E2211" s="81" t="s">
        <v>2677</v>
      </c>
      <c r="F2211" s="82" t="str">
        <f aca="false">IF(E2211="","",IF(LEFT(E2211,2)="DJ","DJ","JN"))</f>
        <v>JN</v>
      </c>
      <c r="G2211" s="81" t="s">
        <v>1504</v>
      </c>
      <c r="H2211" s="81" t="s">
        <v>871</v>
      </c>
      <c r="I2211" s="81" t="n">
        <v>9.53</v>
      </c>
      <c r="J2211" s="81" t="s">
        <v>872</v>
      </c>
      <c r="K2211" s="81" t="s">
        <v>879</v>
      </c>
      <c r="L2211" s="81" t="n">
        <v>2090690</v>
      </c>
      <c r="M2211" s="81" t="n">
        <v>15421109</v>
      </c>
      <c r="N2211" s="81" t="n">
        <v>11.94</v>
      </c>
      <c r="O2211" s="81" t="n">
        <v>2093520</v>
      </c>
      <c r="P2211" s="81" t="n">
        <v>15421110</v>
      </c>
      <c r="Q2211" s="81" t="n">
        <v>11.94</v>
      </c>
      <c r="R2211" s="81" t="s">
        <v>2568</v>
      </c>
      <c r="S2211" s="81"/>
      <c r="T2211" s="81"/>
      <c r="U2211" s="83" t="n">
        <v>46263</v>
      </c>
      <c r="V2211" s="83" t="n">
        <v>46263</v>
      </c>
      <c r="W2211" s="81" t="s">
        <v>2629</v>
      </c>
      <c r="X2211" s="81" t="s">
        <v>876</v>
      </c>
      <c r="Y2211" s="83" t="n">
        <v>46268</v>
      </c>
      <c r="Z2211" s="81" t="s">
        <v>2669</v>
      </c>
      <c r="AA2211" s="81" t="s">
        <v>876</v>
      </c>
      <c r="AB2211" s="81"/>
      <c r="AC2211" s="81"/>
      <c r="AD2211" s="81"/>
      <c r="AE2211" s="83"/>
      <c r="AF2211" s="81"/>
      <c r="AG2211" s="81"/>
      <c r="AH2211" s="81"/>
      <c r="AI2211" s="81"/>
      <c r="AJ2211" s="83"/>
      <c r="AK2211" s="81"/>
      <c r="AL2211" s="81"/>
      <c r="AM2211" s="83"/>
      <c r="AN2211" s="80"/>
      <c r="AO2211" s="82" t="n">
        <f aca="false">IF(E2211="","",(AA2211&lt;&gt;"")+(AG2211&lt;&gt;"")+(AL2211&lt;&gt;""))</f>
        <v>1</v>
      </c>
      <c r="AP2211" s="82" t="str">
        <f aca="false">IF(AL2211&lt;&gt;"",AL2211,IF(AG2211&lt;&gt;"",AG2211,IF(AA2211&lt;&gt;"",AA2211,"")))</f>
        <v>A</v>
      </c>
      <c r="AQ2211" s="84" t="str">
        <f aca="false">IF(E2211="","",IF(U2211="","À SOUDER",IF(X2211="","VT EN ATTENTE",IF(X2211="R","VT REJETÉ – À REPRENDRE",IF(AP2211="","À RADIOGRAPHIER",IF(AP2211="A","ACCEPTÉ",IF(AP2211="NX","NX – RT À REFAIRE",IF(IF(AO2211=1,AD2211,IF(AO2211=2,AI2211,""))="A","RÉPARÉ – À RADIOGRAPHIER",IF(IF(AO2211=1,AD2211,IF(AO2211=2,AI2211,""))="R","VT REJETÉ – À REPRENDRE",IF(OR(AP2211="CO",AP2211="NT"),"COUPE – À RESOUDER","À RÉPARER"))))))))))</f>
        <v>ACCEPTÉ</v>
      </c>
      <c r="AR2211" s="82" t="str">
        <f aca="false">IF(AND(ISNUMBER(U2211),OR(AQ2211="À RADIOGRAPHIER",AQ2211="RÉPARÉ – À RADIOGRAPHIER",AQ2211="NX – RT À REFAIRE",AQ2211="À RÉPARER",AQ2211="COUPE – À RESOUDER",AQ2211="VT REJETÉ – À REPRENDRE")),MAX(0,'PROGRAMME RT'!$C$4-U2211),"")</f>
        <v/>
      </c>
      <c r="AS2211" s="82" t="n">
        <f aca="false">IF(AND(OR(AQ2211="À RADIOGRAPHIER",AQ2211="RÉPARÉ – À RADIOGRAPHIER",AQ2211="NX – RT À REFAIRE"),OR('PROGRAMME RT'!$D$5="TOUTES",B2211='PROGRAMME RT'!$D$5)),1,0)</f>
        <v>0</v>
      </c>
      <c r="AT2211" s="82" t="str">
        <f aca="false">IF(AS2211=1,SUM(AS$7:AS2211),"")</f>
        <v/>
      </c>
      <c r="AU2211" s="82" t="n">
        <f aca="false">IF(AND(OR(AA2211="R",AA2211="NX",AA2211="NT",AA2211="CO"),OR('JOINTS DE RÉPARATION'!$D$5="TOUTES",B2211='JOINTS DE RÉPARATION'!$D$5),OR('JOINTS DE RÉPARATION'!$L$4="TOUS",AQ2211&lt;&gt;"ACCEPTÉ")),1,0)</f>
        <v>0</v>
      </c>
      <c r="AV2211" s="82" t="str">
        <f aca="false">IF(AU2211=1,SUM(AU$7:AU2211),"")</f>
        <v/>
      </c>
      <c r="AW2211" s="82" t="str">
        <f aca="false">IF(E2211="","",B2211&amp;"|"&amp;E2211)</f>
        <v>MFD-ISW → MFD-CPF|JN°1727</v>
      </c>
    </row>
    <row r="2212" customFormat="false" ht="74.6" hidden="false" customHeight="false" outlineLevel="0" collapsed="false">
      <c r="A2212" s="79" t="n">
        <f aca="false">IF(E2212="","",ROW()-6)</f>
        <v>2206</v>
      </c>
      <c r="B2212" s="80" t="s">
        <v>110</v>
      </c>
      <c r="C2212" s="81" t="s">
        <v>2676</v>
      </c>
      <c r="D2212" s="81" t="n">
        <v>21</v>
      </c>
      <c r="E2212" s="81" t="s">
        <v>2678</v>
      </c>
      <c r="F2212" s="82" t="str">
        <f aca="false">IF(E2212="","",IF(LEFT(E2212,2)="DJ","DJ","JN"))</f>
        <v>JN</v>
      </c>
      <c r="G2212" s="81" t="s">
        <v>1504</v>
      </c>
      <c r="H2212" s="81" t="s">
        <v>871</v>
      </c>
      <c r="I2212" s="81" t="n">
        <v>9.53</v>
      </c>
      <c r="J2212" s="81" t="s">
        <v>872</v>
      </c>
      <c r="K2212" s="81" t="s">
        <v>879</v>
      </c>
      <c r="L2212" s="81" t="n">
        <v>2093520</v>
      </c>
      <c r="M2212" s="81" t="n">
        <v>15421110</v>
      </c>
      <c r="N2212" s="81" t="n">
        <v>11.94</v>
      </c>
      <c r="O2212" s="81" t="n">
        <v>2079160</v>
      </c>
      <c r="P2212" s="81" t="n">
        <v>15421102</v>
      </c>
      <c r="Q2212" s="81" t="n">
        <v>11.94</v>
      </c>
      <c r="R2212" s="81" t="s">
        <v>2568</v>
      </c>
      <c r="S2212" s="81"/>
      <c r="T2212" s="81"/>
      <c r="U2212" s="83" t="n">
        <v>46263</v>
      </c>
      <c r="V2212" s="83" t="n">
        <v>46263</v>
      </c>
      <c r="W2212" s="81" t="s">
        <v>2629</v>
      </c>
      <c r="X2212" s="81" t="s">
        <v>876</v>
      </c>
      <c r="Y2212" s="83" t="n">
        <v>46268</v>
      </c>
      <c r="Z2212" s="81" t="s">
        <v>2669</v>
      </c>
      <c r="AA2212" s="81" t="s">
        <v>876</v>
      </c>
      <c r="AB2212" s="81"/>
      <c r="AC2212" s="81"/>
      <c r="AD2212" s="81"/>
      <c r="AE2212" s="83"/>
      <c r="AF2212" s="81"/>
      <c r="AG2212" s="81"/>
      <c r="AH2212" s="81"/>
      <c r="AI2212" s="81"/>
      <c r="AJ2212" s="83"/>
      <c r="AK2212" s="81"/>
      <c r="AL2212" s="81"/>
      <c r="AM2212" s="83"/>
      <c r="AN2212" s="80"/>
      <c r="AO2212" s="82" t="n">
        <f aca="false">IF(E2212="","",(AA2212&lt;&gt;"")+(AG2212&lt;&gt;"")+(AL2212&lt;&gt;""))</f>
        <v>1</v>
      </c>
      <c r="AP2212" s="82" t="str">
        <f aca="false">IF(AL2212&lt;&gt;"",AL2212,IF(AG2212&lt;&gt;"",AG2212,IF(AA2212&lt;&gt;"",AA2212,"")))</f>
        <v>A</v>
      </c>
      <c r="AQ2212" s="84" t="str">
        <f aca="false">IF(E2212="","",IF(U2212="","À SOUDER",IF(X2212="","VT EN ATTENTE",IF(X2212="R","VT REJETÉ – À REPRENDRE",IF(AP2212="","À RADIOGRAPHIER",IF(AP2212="A","ACCEPTÉ",IF(AP2212="NX","NX – RT À REFAIRE",IF(IF(AO2212=1,AD2212,IF(AO2212=2,AI2212,""))="A","RÉPARÉ – À RADIOGRAPHIER",IF(IF(AO2212=1,AD2212,IF(AO2212=2,AI2212,""))="R","VT REJETÉ – À REPRENDRE",IF(OR(AP2212="CO",AP2212="NT"),"COUPE – À RESOUDER","À RÉPARER"))))))))))</f>
        <v>ACCEPTÉ</v>
      </c>
      <c r="AR2212" s="82" t="str">
        <f aca="false">IF(AND(ISNUMBER(U2212),OR(AQ2212="À RADIOGRAPHIER",AQ2212="RÉPARÉ – À RADIOGRAPHIER",AQ2212="NX – RT À REFAIRE",AQ2212="À RÉPARER",AQ2212="COUPE – À RESOUDER",AQ2212="VT REJETÉ – À REPRENDRE")),MAX(0,'PROGRAMME RT'!$C$4-U2212),"")</f>
        <v/>
      </c>
      <c r="AS2212" s="82" t="n">
        <f aca="false">IF(AND(OR(AQ2212="À RADIOGRAPHIER",AQ2212="RÉPARÉ – À RADIOGRAPHIER",AQ2212="NX – RT À REFAIRE"),OR('PROGRAMME RT'!$D$5="TOUTES",B2212='PROGRAMME RT'!$D$5)),1,0)</f>
        <v>0</v>
      </c>
      <c r="AT2212" s="82" t="str">
        <f aca="false">IF(AS2212=1,SUM(AS$7:AS2212),"")</f>
        <v/>
      </c>
      <c r="AU2212" s="82" t="n">
        <f aca="false">IF(AND(OR(AA2212="R",AA2212="NX",AA2212="NT",AA2212="CO"),OR('JOINTS DE RÉPARATION'!$D$5="TOUTES",B2212='JOINTS DE RÉPARATION'!$D$5),OR('JOINTS DE RÉPARATION'!$L$4="TOUS",AQ2212&lt;&gt;"ACCEPTÉ")),1,0)</f>
        <v>0</v>
      </c>
      <c r="AV2212" s="82" t="str">
        <f aca="false">IF(AU2212=1,SUM(AU$7:AU2212),"")</f>
        <v/>
      </c>
      <c r="AW2212" s="82" t="str">
        <f aca="false">IF(E2212="","",B2212&amp;"|"&amp;E2212)</f>
        <v>MFD-ISW → MFD-CPF|JN°1728</v>
      </c>
    </row>
    <row r="2213" customFormat="false" ht="74.6" hidden="false" customHeight="false" outlineLevel="0" collapsed="false">
      <c r="A2213" s="79" t="n">
        <f aca="false">IF(E2213="","",ROW()-6)</f>
        <v>2207</v>
      </c>
      <c r="B2213" s="80" t="s">
        <v>110</v>
      </c>
      <c r="C2213" s="81" t="s">
        <v>2676</v>
      </c>
      <c r="D2213" s="81" t="n">
        <v>21</v>
      </c>
      <c r="E2213" s="81" t="s">
        <v>2679</v>
      </c>
      <c r="F2213" s="82" t="str">
        <f aca="false">IF(E2213="","",IF(LEFT(E2213,2)="DJ","DJ","JN"))</f>
        <v>JN</v>
      </c>
      <c r="G2213" s="81" t="s">
        <v>1504</v>
      </c>
      <c r="H2213" s="81" t="s">
        <v>871</v>
      </c>
      <c r="I2213" s="81" t="n">
        <v>9.53</v>
      </c>
      <c r="J2213" s="81" t="s">
        <v>872</v>
      </c>
      <c r="K2213" s="81" t="s">
        <v>879</v>
      </c>
      <c r="L2213" s="81" t="n">
        <v>2079160</v>
      </c>
      <c r="M2213" s="81" t="n">
        <v>15421102</v>
      </c>
      <c r="N2213" s="81" t="n">
        <v>11.94</v>
      </c>
      <c r="O2213" s="81" t="n">
        <v>2098120</v>
      </c>
      <c r="P2213" s="81" t="n">
        <v>15421112</v>
      </c>
      <c r="Q2213" s="81" t="n">
        <v>11.94</v>
      </c>
      <c r="R2213" s="81" t="s">
        <v>2568</v>
      </c>
      <c r="S2213" s="81"/>
      <c r="T2213" s="81"/>
      <c r="U2213" s="83" t="n">
        <v>46263</v>
      </c>
      <c r="V2213" s="83" t="n">
        <v>46263</v>
      </c>
      <c r="W2213" s="81" t="s">
        <v>2629</v>
      </c>
      <c r="X2213" s="81" t="s">
        <v>876</v>
      </c>
      <c r="Y2213" s="83" t="n">
        <v>46268</v>
      </c>
      <c r="Z2213" s="81" t="s">
        <v>2669</v>
      </c>
      <c r="AA2213" s="81" t="s">
        <v>876</v>
      </c>
      <c r="AB2213" s="81"/>
      <c r="AC2213" s="81"/>
      <c r="AD2213" s="81"/>
      <c r="AE2213" s="83"/>
      <c r="AF2213" s="81"/>
      <c r="AG2213" s="81"/>
      <c r="AH2213" s="81"/>
      <c r="AI2213" s="81"/>
      <c r="AJ2213" s="83"/>
      <c r="AK2213" s="81"/>
      <c r="AL2213" s="81"/>
      <c r="AM2213" s="83"/>
      <c r="AN2213" s="80"/>
      <c r="AO2213" s="82" t="n">
        <f aca="false">IF(E2213="","",(AA2213&lt;&gt;"")+(AG2213&lt;&gt;"")+(AL2213&lt;&gt;""))</f>
        <v>1</v>
      </c>
      <c r="AP2213" s="82" t="str">
        <f aca="false">IF(AL2213&lt;&gt;"",AL2213,IF(AG2213&lt;&gt;"",AG2213,IF(AA2213&lt;&gt;"",AA2213,"")))</f>
        <v>A</v>
      </c>
      <c r="AQ2213" s="84" t="str">
        <f aca="false">IF(E2213="","",IF(U2213="","À SOUDER",IF(X2213="","VT EN ATTENTE",IF(X2213="R","VT REJETÉ – À REPRENDRE",IF(AP2213="","À RADIOGRAPHIER",IF(AP2213="A","ACCEPTÉ",IF(AP2213="NX","NX – RT À REFAIRE",IF(IF(AO2213=1,AD2213,IF(AO2213=2,AI2213,""))="A","RÉPARÉ – À RADIOGRAPHIER",IF(IF(AO2213=1,AD2213,IF(AO2213=2,AI2213,""))="R","VT REJETÉ – À REPRENDRE",IF(OR(AP2213="CO",AP2213="NT"),"COUPE – À RESOUDER","À RÉPARER"))))))))))</f>
        <v>ACCEPTÉ</v>
      </c>
      <c r="AR2213" s="82" t="str">
        <f aca="false">IF(AND(ISNUMBER(U2213),OR(AQ2213="À RADIOGRAPHIER",AQ2213="RÉPARÉ – À RADIOGRAPHIER",AQ2213="NX – RT À REFAIRE",AQ2213="À RÉPARER",AQ2213="COUPE – À RESOUDER",AQ2213="VT REJETÉ – À REPRENDRE")),MAX(0,'PROGRAMME RT'!$C$4-U2213),"")</f>
        <v/>
      </c>
      <c r="AS2213" s="82" t="n">
        <f aca="false">IF(AND(OR(AQ2213="À RADIOGRAPHIER",AQ2213="RÉPARÉ – À RADIOGRAPHIER",AQ2213="NX – RT À REFAIRE"),OR('PROGRAMME RT'!$D$5="TOUTES",B2213='PROGRAMME RT'!$D$5)),1,0)</f>
        <v>0</v>
      </c>
      <c r="AT2213" s="82" t="str">
        <f aca="false">IF(AS2213=1,SUM(AS$7:AS2213),"")</f>
        <v/>
      </c>
      <c r="AU2213" s="82" t="n">
        <f aca="false">IF(AND(OR(AA2213="R",AA2213="NX",AA2213="NT",AA2213="CO"),OR('JOINTS DE RÉPARATION'!$D$5="TOUTES",B2213='JOINTS DE RÉPARATION'!$D$5),OR('JOINTS DE RÉPARATION'!$L$4="TOUS",AQ2213&lt;&gt;"ACCEPTÉ")),1,0)</f>
        <v>0</v>
      </c>
      <c r="AV2213" s="82" t="str">
        <f aca="false">IF(AU2213=1,SUM(AU$7:AU2213),"")</f>
        <v/>
      </c>
      <c r="AW2213" s="82" t="str">
        <f aca="false">IF(E2213="","",B2213&amp;"|"&amp;E2213)</f>
        <v>MFD-ISW → MFD-CPF|JN°1729</v>
      </c>
    </row>
    <row r="2214" customFormat="false" ht="74.6" hidden="false" customHeight="false" outlineLevel="0" collapsed="false">
      <c r="A2214" s="79" t="n">
        <f aca="false">IF(E2214="","",ROW()-6)</f>
        <v>2208</v>
      </c>
      <c r="B2214" s="80" t="s">
        <v>110</v>
      </c>
      <c r="C2214" s="81" t="s">
        <v>2676</v>
      </c>
      <c r="D2214" s="81" t="n">
        <v>21</v>
      </c>
      <c r="E2214" s="81" t="s">
        <v>2680</v>
      </c>
      <c r="F2214" s="82" t="str">
        <f aca="false">IF(E2214="","",IF(LEFT(E2214,2)="DJ","DJ","JN"))</f>
        <v>JN</v>
      </c>
      <c r="G2214" s="81" t="s">
        <v>1504</v>
      </c>
      <c r="H2214" s="81" t="s">
        <v>871</v>
      </c>
      <c r="I2214" s="81" t="n">
        <v>9.53</v>
      </c>
      <c r="J2214" s="81" t="s">
        <v>872</v>
      </c>
      <c r="K2214" s="81" t="s">
        <v>879</v>
      </c>
      <c r="L2214" s="81" t="n">
        <v>2098120</v>
      </c>
      <c r="M2214" s="81" t="n">
        <v>15421112</v>
      </c>
      <c r="N2214" s="81" t="n">
        <v>11.94</v>
      </c>
      <c r="O2214" s="81" t="n">
        <v>2089290</v>
      </c>
      <c r="P2214" s="81" t="n">
        <v>15421108</v>
      </c>
      <c r="Q2214" s="81" t="n">
        <v>11.94</v>
      </c>
      <c r="R2214" s="81" t="s">
        <v>2681</v>
      </c>
      <c r="S2214" s="81"/>
      <c r="T2214" s="81"/>
      <c r="U2214" s="83" t="n">
        <v>46262</v>
      </c>
      <c r="V2214" s="83" t="n">
        <v>46262</v>
      </c>
      <c r="W2214" s="81" t="s">
        <v>2682</v>
      </c>
      <c r="X2214" s="81" t="s">
        <v>876</v>
      </c>
      <c r="Y2214" s="83" t="n">
        <v>46268</v>
      </c>
      <c r="Z2214" s="81" t="s">
        <v>2669</v>
      </c>
      <c r="AA2214" s="81" t="s">
        <v>876</v>
      </c>
      <c r="AB2214" s="81"/>
      <c r="AC2214" s="81"/>
      <c r="AD2214" s="81"/>
      <c r="AE2214" s="83"/>
      <c r="AF2214" s="81"/>
      <c r="AG2214" s="81"/>
      <c r="AH2214" s="81"/>
      <c r="AI2214" s="81"/>
      <c r="AJ2214" s="83"/>
      <c r="AK2214" s="81"/>
      <c r="AL2214" s="81"/>
      <c r="AM2214" s="83"/>
      <c r="AN2214" s="80"/>
      <c r="AO2214" s="82" t="n">
        <f aca="false">IF(E2214="","",(AA2214&lt;&gt;"")+(AG2214&lt;&gt;"")+(AL2214&lt;&gt;""))</f>
        <v>1</v>
      </c>
      <c r="AP2214" s="82" t="str">
        <f aca="false">IF(AL2214&lt;&gt;"",AL2214,IF(AG2214&lt;&gt;"",AG2214,IF(AA2214&lt;&gt;"",AA2214,"")))</f>
        <v>A</v>
      </c>
      <c r="AQ2214" s="84" t="str">
        <f aca="false">IF(E2214="","",IF(U2214="","À SOUDER",IF(X2214="","VT EN ATTENTE",IF(X2214="R","VT REJETÉ – À REPRENDRE",IF(AP2214="","À RADIOGRAPHIER",IF(AP2214="A","ACCEPTÉ",IF(AP2214="NX","NX – RT À REFAIRE",IF(IF(AO2214=1,AD2214,IF(AO2214=2,AI2214,""))="A","RÉPARÉ – À RADIOGRAPHIER",IF(IF(AO2214=1,AD2214,IF(AO2214=2,AI2214,""))="R","VT REJETÉ – À REPRENDRE",IF(OR(AP2214="CO",AP2214="NT"),"COUPE – À RESOUDER","À RÉPARER"))))))))))</f>
        <v>ACCEPTÉ</v>
      </c>
      <c r="AR2214" s="82" t="str">
        <f aca="false">IF(AND(ISNUMBER(U2214),OR(AQ2214="À RADIOGRAPHIER",AQ2214="RÉPARÉ – À RADIOGRAPHIER",AQ2214="NX – RT À REFAIRE",AQ2214="À RÉPARER",AQ2214="COUPE – À RESOUDER",AQ2214="VT REJETÉ – À REPRENDRE")),MAX(0,'PROGRAMME RT'!$C$4-U2214),"")</f>
        <v/>
      </c>
      <c r="AS2214" s="82" t="n">
        <f aca="false">IF(AND(OR(AQ2214="À RADIOGRAPHIER",AQ2214="RÉPARÉ – À RADIOGRAPHIER",AQ2214="NX – RT À REFAIRE"),OR('PROGRAMME RT'!$D$5="TOUTES",B2214='PROGRAMME RT'!$D$5)),1,0)</f>
        <v>0</v>
      </c>
      <c r="AT2214" s="82" t="str">
        <f aca="false">IF(AS2214=1,SUM(AS$7:AS2214),"")</f>
        <v/>
      </c>
      <c r="AU2214" s="82" t="n">
        <f aca="false">IF(AND(OR(AA2214="R",AA2214="NX",AA2214="NT",AA2214="CO"),OR('JOINTS DE RÉPARATION'!$D$5="TOUTES",B2214='JOINTS DE RÉPARATION'!$D$5),OR('JOINTS DE RÉPARATION'!$L$4="TOUS",AQ2214&lt;&gt;"ACCEPTÉ")),1,0)</f>
        <v>0</v>
      </c>
      <c r="AV2214" s="82" t="str">
        <f aca="false">IF(AU2214=1,SUM(AU$7:AU2214),"")</f>
        <v/>
      </c>
      <c r="AW2214" s="82" t="str">
        <f aca="false">IF(E2214="","",B2214&amp;"|"&amp;E2214)</f>
        <v>MFD-ISW → MFD-CPF|JN°1730</v>
      </c>
    </row>
    <row r="2215" customFormat="false" ht="74.6" hidden="false" customHeight="false" outlineLevel="0" collapsed="false">
      <c r="A2215" s="79" t="n">
        <f aca="false">IF(E2215="","",ROW()-6)</f>
        <v>2209</v>
      </c>
      <c r="B2215" s="80" t="s">
        <v>110</v>
      </c>
      <c r="C2215" s="81" t="s">
        <v>2676</v>
      </c>
      <c r="D2215" s="81" t="n">
        <v>21</v>
      </c>
      <c r="E2215" s="81" t="s">
        <v>2683</v>
      </c>
      <c r="F2215" s="82" t="str">
        <f aca="false">IF(E2215="","",IF(LEFT(E2215,2)="DJ","DJ","JN"))</f>
        <v>JN</v>
      </c>
      <c r="G2215" s="81" t="s">
        <v>1504</v>
      </c>
      <c r="H2215" s="81" t="s">
        <v>871</v>
      </c>
      <c r="I2215" s="81" t="n">
        <v>9.53</v>
      </c>
      <c r="J2215" s="81" t="s">
        <v>872</v>
      </c>
      <c r="K2215" s="81" t="s">
        <v>879</v>
      </c>
      <c r="L2215" s="81" t="n">
        <v>2089290</v>
      </c>
      <c r="M2215" s="81" t="n">
        <v>15421108</v>
      </c>
      <c r="N2215" s="81" t="n">
        <v>11.94</v>
      </c>
      <c r="O2215" s="81" t="n">
        <v>2094600</v>
      </c>
      <c r="P2215" s="81" t="n">
        <v>15421111</v>
      </c>
      <c r="Q2215" s="81" t="n">
        <v>11.94</v>
      </c>
      <c r="R2215" s="81" t="s">
        <v>2681</v>
      </c>
      <c r="S2215" s="81"/>
      <c r="T2215" s="81"/>
      <c r="U2215" s="83" t="n">
        <v>46262</v>
      </c>
      <c r="V2215" s="83" t="n">
        <v>46262</v>
      </c>
      <c r="W2215" s="81" t="s">
        <v>2682</v>
      </c>
      <c r="X2215" s="81" t="s">
        <v>876</v>
      </c>
      <c r="Y2215" s="83" t="n">
        <v>46268</v>
      </c>
      <c r="Z2215" s="81" t="s">
        <v>2669</v>
      </c>
      <c r="AA2215" s="81" t="s">
        <v>876</v>
      </c>
      <c r="AB2215" s="81"/>
      <c r="AC2215" s="81"/>
      <c r="AD2215" s="81"/>
      <c r="AE2215" s="83"/>
      <c r="AF2215" s="81"/>
      <c r="AG2215" s="81"/>
      <c r="AH2215" s="81"/>
      <c r="AI2215" s="81"/>
      <c r="AJ2215" s="83"/>
      <c r="AK2215" s="81"/>
      <c r="AL2215" s="81"/>
      <c r="AM2215" s="83"/>
      <c r="AN2215" s="80"/>
      <c r="AO2215" s="82" t="n">
        <f aca="false">IF(E2215="","",(AA2215&lt;&gt;"")+(AG2215&lt;&gt;"")+(AL2215&lt;&gt;""))</f>
        <v>1</v>
      </c>
      <c r="AP2215" s="82" t="str">
        <f aca="false">IF(AL2215&lt;&gt;"",AL2215,IF(AG2215&lt;&gt;"",AG2215,IF(AA2215&lt;&gt;"",AA2215,"")))</f>
        <v>A</v>
      </c>
      <c r="AQ2215" s="84" t="str">
        <f aca="false">IF(E2215="","",IF(U2215="","À SOUDER",IF(X2215="","VT EN ATTENTE",IF(X2215="R","VT REJETÉ – À REPRENDRE",IF(AP2215="","À RADIOGRAPHIER",IF(AP2215="A","ACCEPTÉ",IF(AP2215="NX","NX – RT À REFAIRE",IF(IF(AO2215=1,AD2215,IF(AO2215=2,AI2215,""))="A","RÉPARÉ – À RADIOGRAPHIER",IF(IF(AO2215=1,AD2215,IF(AO2215=2,AI2215,""))="R","VT REJETÉ – À REPRENDRE",IF(OR(AP2215="CO",AP2215="NT"),"COUPE – À RESOUDER","À RÉPARER"))))))))))</f>
        <v>ACCEPTÉ</v>
      </c>
      <c r="AR2215" s="82" t="str">
        <f aca="false">IF(AND(ISNUMBER(U2215),OR(AQ2215="À RADIOGRAPHIER",AQ2215="RÉPARÉ – À RADIOGRAPHIER",AQ2215="NX – RT À REFAIRE",AQ2215="À RÉPARER",AQ2215="COUPE – À RESOUDER",AQ2215="VT REJETÉ – À REPRENDRE")),MAX(0,'PROGRAMME RT'!$C$4-U2215),"")</f>
        <v/>
      </c>
      <c r="AS2215" s="82" t="n">
        <f aca="false">IF(AND(OR(AQ2215="À RADIOGRAPHIER",AQ2215="RÉPARÉ – À RADIOGRAPHIER",AQ2215="NX – RT À REFAIRE"),OR('PROGRAMME RT'!$D$5="TOUTES",B2215='PROGRAMME RT'!$D$5)),1,0)</f>
        <v>0</v>
      </c>
      <c r="AT2215" s="82" t="str">
        <f aca="false">IF(AS2215=1,SUM(AS$7:AS2215),"")</f>
        <v/>
      </c>
      <c r="AU2215" s="82" t="n">
        <f aca="false">IF(AND(OR(AA2215="R",AA2215="NX",AA2215="NT",AA2215="CO"),OR('JOINTS DE RÉPARATION'!$D$5="TOUTES",B2215='JOINTS DE RÉPARATION'!$D$5),OR('JOINTS DE RÉPARATION'!$L$4="TOUS",AQ2215&lt;&gt;"ACCEPTÉ")),1,0)</f>
        <v>0</v>
      </c>
      <c r="AV2215" s="82" t="str">
        <f aca="false">IF(AU2215=1,SUM(AU$7:AU2215),"")</f>
        <v/>
      </c>
      <c r="AW2215" s="82" t="str">
        <f aca="false">IF(E2215="","",B2215&amp;"|"&amp;E2215)</f>
        <v>MFD-ISW → MFD-CPF|JN°1731</v>
      </c>
    </row>
    <row r="2216" customFormat="false" ht="74.6" hidden="false" customHeight="false" outlineLevel="0" collapsed="false">
      <c r="A2216" s="79" t="n">
        <f aca="false">IF(E2216="","",ROW()-6)</f>
        <v>2210</v>
      </c>
      <c r="B2216" s="80" t="s">
        <v>110</v>
      </c>
      <c r="C2216" s="81" t="s">
        <v>926</v>
      </c>
      <c r="D2216" s="81" t="n">
        <v>21</v>
      </c>
      <c r="E2216" s="81" t="s">
        <v>2684</v>
      </c>
      <c r="F2216" s="82" t="str">
        <f aca="false">IF(E2216="","",IF(LEFT(E2216,2)="DJ","DJ","JN"))</f>
        <v>JN</v>
      </c>
      <c r="G2216" s="81"/>
      <c r="H2216" s="81"/>
      <c r="I2216" s="81"/>
      <c r="J2216" s="81"/>
      <c r="K2216" s="81"/>
      <c r="L2216" s="81" t="n">
        <v>2094600</v>
      </c>
      <c r="M2216" s="81" t="n">
        <v>15421111</v>
      </c>
      <c r="N2216" s="81" t="n">
        <v>11.94</v>
      </c>
      <c r="O2216" s="81"/>
      <c r="P2216" s="81"/>
      <c r="Q2216" s="81"/>
      <c r="R2216" s="81"/>
      <c r="S2216" s="81"/>
      <c r="T2216" s="81"/>
      <c r="U2216" s="83"/>
      <c r="V2216" s="83"/>
      <c r="W2216" s="81"/>
      <c r="X2216" s="81"/>
      <c r="Y2216" s="83"/>
      <c r="Z2216" s="81"/>
      <c r="AA2216" s="81"/>
      <c r="AB2216" s="81"/>
      <c r="AC2216" s="81"/>
      <c r="AD2216" s="81"/>
      <c r="AE2216" s="83"/>
      <c r="AF2216" s="81"/>
      <c r="AG2216" s="81"/>
      <c r="AH2216" s="81"/>
      <c r="AI2216" s="81"/>
      <c r="AJ2216" s="83"/>
      <c r="AK2216" s="81"/>
      <c r="AL2216" s="81"/>
      <c r="AM2216" s="83"/>
      <c r="AN2216" s="80"/>
      <c r="AO2216" s="82" t="n">
        <f aca="false">IF(E2216="","",(AA2216&lt;&gt;"")+(AG2216&lt;&gt;"")+(AL2216&lt;&gt;""))</f>
        <v>0</v>
      </c>
      <c r="AP2216" s="82" t="str">
        <f aca="false">IF(AL2216&lt;&gt;"",AL2216,IF(AG2216&lt;&gt;"",AG2216,IF(AA2216&lt;&gt;"",AA2216,"")))</f>
        <v/>
      </c>
      <c r="AQ2216" s="84" t="str">
        <f aca="false">IF(E2216="","",IF(U2216="","À SOUDER",IF(X2216="","VT EN ATTENTE",IF(X2216="R","VT REJETÉ – À REPRENDRE",IF(AP2216="","À RADIOGRAPHIER",IF(AP2216="A","ACCEPTÉ",IF(AP2216="NX","NX – RT À REFAIRE",IF(IF(AO2216=1,AD2216,IF(AO2216=2,AI2216,""))="A","RÉPARÉ – À RADIOGRAPHIER",IF(IF(AO2216=1,AD2216,IF(AO2216=2,AI2216,""))="R","VT REJETÉ – À REPRENDRE",IF(OR(AP2216="CO",AP2216="NT"),"COUPE – À RESOUDER","À RÉPARER"))))))))))</f>
        <v>À SOUDER</v>
      </c>
      <c r="AR2216" s="82" t="str">
        <f aca="false">IF(AND(ISNUMBER(U2216),OR(AQ2216="À RADIOGRAPHIER",AQ2216="RÉPARÉ – À RADIOGRAPHIER",AQ2216="NX – RT À REFAIRE",AQ2216="À RÉPARER",AQ2216="COUPE – À RESOUDER",AQ2216="VT REJETÉ – À REPRENDRE")),MAX(0,'PROGRAMME RT'!$C$4-U2216),"")</f>
        <v/>
      </c>
      <c r="AS2216" s="82" t="n">
        <f aca="false">IF(AND(OR(AQ2216="À RADIOGRAPHIER",AQ2216="RÉPARÉ – À RADIOGRAPHIER",AQ2216="NX – RT À REFAIRE"),OR('PROGRAMME RT'!$D$5="TOUTES",B2216='PROGRAMME RT'!$D$5)),1,0)</f>
        <v>0</v>
      </c>
      <c r="AT2216" s="82" t="str">
        <f aca="false">IF(AS2216=1,SUM(AS$7:AS2216),"")</f>
        <v/>
      </c>
      <c r="AU2216" s="82" t="n">
        <f aca="false">IF(AND(OR(AA2216="R",AA2216="NX",AA2216="NT",AA2216="CO"),OR('JOINTS DE RÉPARATION'!$D$5="TOUTES",B2216='JOINTS DE RÉPARATION'!$D$5),OR('JOINTS DE RÉPARATION'!$L$4="TOUS",AQ2216&lt;&gt;"ACCEPTÉ")),1,0)</f>
        <v>0</v>
      </c>
      <c r="AV2216" s="82" t="str">
        <f aca="false">IF(AU2216=1,SUM(AU$7:AU2216),"")</f>
        <v/>
      </c>
      <c r="AW2216" s="82" t="str">
        <f aca="false">IF(E2216="","",B2216&amp;"|"&amp;E2216)</f>
        <v>MFD-ISW → MFD-CPF|JN°1732</v>
      </c>
    </row>
    <row r="2217" customFormat="false" ht="74.6" hidden="false" customHeight="false" outlineLevel="0" collapsed="false">
      <c r="A2217" s="79" t="n">
        <f aca="false">IF(E2217="","",ROW()-6)</f>
        <v>2211</v>
      </c>
      <c r="B2217" s="80" t="s">
        <v>110</v>
      </c>
      <c r="C2217" s="81" t="s">
        <v>926</v>
      </c>
      <c r="D2217" s="81" t="n">
        <v>21</v>
      </c>
      <c r="E2217" s="81" t="s">
        <v>2685</v>
      </c>
      <c r="F2217" s="82" t="str">
        <f aca="false">IF(E2217="","",IF(LEFT(E2217,2)="DJ","DJ","JN"))</f>
        <v>JN</v>
      </c>
      <c r="G2217" s="81"/>
      <c r="H2217" s="81"/>
      <c r="I2217" s="81"/>
      <c r="J2217" s="81"/>
      <c r="K2217" s="81"/>
      <c r="L2217" s="81"/>
      <c r="M2217" s="81"/>
      <c r="N2217" s="81"/>
      <c r="O2217" s="81"/>
      <c r="P2217" s="81"/>
      <c r="Q2217" s="81"/>
      <c r="R2217" s="81"/>
      <c r="S2217" s="81"/>
      <c r="T2217" s="81"/>
      <c r="U2217" s="83"/>
      <c r="V2217" s="83"/>
      <c r="W2217" s="81"/>
      <c r="X2217" s="81"/>
      <c r="Y2217" s="83"/>
      <c r="Z2217" s="81"/>
      <c r="AA2217" s="81"/>
      <c r="AB2217" s="81"/>
      <c r="AC2217" s="81"/>
      <c r="AD2217" s="81"/>
      <c r="AE2217" s="83"/>
      <c r="AF2217" s="81"/>
      <c r="AG2217" s="81"/>
      <c r="AH2217" s="81"/>
      <c r="AI2217" s="81"/>
      <c r="AJ2217" s="83"/>
      <c r="AK2217" s="81"/>
      <c r="AL2217" s="81"/>
      <c r="AM2217" s="83"/>
      <c r="AN2217" s="80"/>
      <c r="AO2217" s="82" t="n">
        <f aca="false">IF(E2217="","",(AA2217&lt;&gt;"")+(AG2217&lt;&gt;"")+(AL2217&lt;&gt;""))</f>
        <v>0</v>
      </c>
      <c r="AP2217" s="82" t="str">
        <f aca="false">IF(AL2217&lt;&gt;"",AL2217,IF(AG2217&lt;&gt;"",AG2217,IF(AA2217&lt;&gt;"",AA2217,"")))</f>
        <v/>
      </c>
      <c r="AQ2217" s="84" t="str">
        <f aca="false">IF(E2217="","",IF(U2217="","À SOUDER",IF(X2217="","VT EN ATTENTE",IF(X2217="R","VT REJETÉ – À REPRENDRE",IF(AP2217="","À RADIOGRAPHIER",IF(AP2217="A","ACCEPTÉ",IF(AP2217="NX","NX – RT À REFAIRE",IF(IF(AO2217=1,AD2217,IF(AO2217=2,AI2217,""))="A","RÉPARÉ – À RADIOGRAPHIER",IF(IF(AO2217=1,AD2217,IF(AO2217=2,AI2217,""))="R","VT REJETÉ – À REPRENDRE",IF(OR(AP2217="CO",AP2217="NT"),"COUPE – À RESOUDER","À RÉPARER"))))))))))</f>
        <v>À SOUDER</v>
      </c>
      <c r="AR2217" s="82" t="str">
        <f aca="false">IF(AND(ISNUMBER(U2217),OR(AQ2217="À RADIOGRAPHIER",AQ2217="RÉPARÉ – À RADIOGRAPHIER",AQ2217="NX – RT À REFAIRE",AQ2217="À RÉPARER",AQ2217="COUPE – À RESOUDER",AQ2217="VT REJETÉ – À REPRENDRE")),MAX(0,'PROGRAMME RT'!$C$4-U2217),"")</f>
        <v/>
      </c>
      <c r="AS2217" s="82" t="n">
        <f aca="false">IF(AND(OR(AQ2217="À RADIOGRAPHIER",AQ2217="RÉPARÉ – À RADIOGRAPHIER",AQ2217="NX – RT À REFAIRE"),OR('PROGRAMME RT'!$D$5="TOUTES",B2217='PROGRAMME RT'!$D$5)),1,0)</f>
        <v>0</v>
      </c>
      <c r="AT2217" s="82" t="str">
        <f aca="false">IF(AS2217=1,SUM(AS$7:AS2217),"")</f>
        <v/>
      </c>
      <c r="AU2217" s="82" t="n">
        <f aca="false">IF(AND(OR(AA2217="R",AA2217="NX",AA2217="NT",AA2217="CO"),OR('JOINTS DE RÉPARATION'!$D$5="TOUTES",B2217='JOINTS DE RÉPARATION'!$D$5),OR('JOINTS DE RÉPARATION'!$L$4="TOUS",AQ2217&lt;&gt;"ACCEPTÉ")),1,0)</f>
        <v>0</v>
      </c>
      <c r="AV2217" s="82" t="str">
        <f aca="false">IF(AU2217=1,SUM(AU$7:AU2217),"")</f>
        <v/>
      </c>
      <c r="AW2217" s="82" t="str">
        <f aca="false">IF(E2217="","",B2217&amp;"|"&amp;E2217)</f>
        <v>MFD-ISW → MFD-CPF|JN°1733</v>
      </c>
    </row>
    <row r="2218" customFormat="false" ht="74.6" hidden="false" customHeight="false" outlineLevel="0" collapsed="false">
      <c r="A2218" s="79" t="n">
        <f aca="false">IF(E2218="","",ROW()-6)</f>
        <v>2212</v>
      </c>
      <c r="B2218" s="80" t="s">
        <v>110</v>
      </c>
      <c r="C2218" s="81" t="s">
        <v>926</v>
      </c>
      <c r="D2218" s="81" t="n">
        <v>21</v>
      </c>
      <c r="E2218" s="81" t="s">
        <v>2686</v>
      </c>
      <c r="F2218" s="82" t="str">
        <f aca="false">IF(E2218="","",IF(LEFT(E2218,2)="DJ","DJ","JN"))</f>
        <v>JN</v>
      </c>
      <c r="G2218" s="81"/>
      <c r="H2218" s="81"/>
      <c r="I2218" s="81"/>
      <c r="J2218" s="81"/>
      <c r="K2218" s="81"/>
      <c r="L2218" s="81"/>
      <c r="M2218" s="81"/>
      <c r="N2218" s="81"/>
      <c r="O2218" s="81" t="n">
        <v>2079240</v>
      </c>
      <c r="P2218" s="81" t="n">
        <v>15421102</v>
      </c>
      <c r="Q2218" s="81" t="n">
        <v>11.94</v>
      </c>
      <c r="R2218" s="81"/>
      <c r="S2218" s="81"/>
      <c r="T2218" s="81"/>
      <c r="U2218" s="83"/>
      <c r="V2218" s="83"/>
      <c r="W2218" s="81"/>
      <c r="X2218" s="81"/>
      <c r="Y2218" s="83"/>
      <c r="Z2218" s="81"/>
      <c r="AA2218" s="81"/>
      <c r="AB2218" s="81"/>
      <c r="AC2218" s="81"/>
      <c r="AD2218" s="81"/>
      <c r="AE2218" s="83"/>
      <c r="AF2218" s="81"/>
      <c r="AG2218" s="81"/>
      <c r="AH2218" s="81"/>
      <c r="AI2218" s="81"/>
      <c r="AJ2218" s="83"/>
      <c r="AK2218" s="81"/>
      <c r="AL2218" s="81"/>
      <c r="AM2218" s="83"/>
      <c r="AN2218" s="80"/>
      <c r="AO2218" s="82" t="n">
        <f aca="false">IF(E2218="","",(AA2218&lt;&gt;"")+(AG2218&lt;&gt;"")+(AL2218&lt;&gt;""))</f>
        <v>0</v>
      </c>
      <c r="AP2218" s="82" t="str">
        <f aca="false">IF(AL2218&lt;&gt;"",AL2218,IF(AG2218&lt;&gt;"",AG2218,IF(AA2218&lt;&gt;"",AA2218,"")))</f>
        <v/>
      </c>
      <c r="AQ2218" s="84" t="str">
        <f aca="false">IF(E2218="","",IF(U2218="","À SOUDER",IF(X2218="","VT EN ATTENTE",IF(X2218="R","VT REJETÉ – À REPRENDRE",IF(AP2218="","À RADIOGRAPHIER",IF(AP2218="A","ACCEPTÉ",IF(AP2218="NX","NX – RT À REFAIRE",IF(IF(AO2218=1,AD2218,IF(AO2218=2,AI2218,""))="A","RÉPARÉ – À RADIOGRAPHIER",IF(IF(AO2218=1,AD2218,IF(AO2218=2,AI2218,""))="R","VT REJETÉ – À REPRENDRE",IF(OR(AP2218="CO",AP2218="NT"),"COUPE – À RESOUDER","À RÉPARER"))))))))))</f>
        <v>À SOUDER</v>
      </c>
      <c r="AR2218" s="82" t="str">
        <f aca="false">IF(AND(ISNUMBER(U2218),OR(AQ2218="À RADIOGRAPHIER",AQ2218="RÉPARÉ – À RADIOGRAPHIER",AQ2218="NX – RT À REFAIRE",AQ2218="À RÉPARER",AQ2218="COUPE – À RESOUDER",AQ2218="VT REJETÉ – À REPRENDRE")),MAX(0,'PROGRAMME RT'!$C$4-U2218),"")</f>
        <v/>
      </c>
      <c r="AS2218" s="82" t="n">
        <f aca="false">IF(AND(OR(AQ2218="À RADIOGRAPHIER",AQ2218="RÉPARÉ – À RADIOGRAPHIER",AQ2218="NX – RT À REFAIRE"),OR('PROGRAMME RT'!$D$5="TOUTES",B2218='PROGRAMME RT'!$D$5)),1,0)</f>
        <v>0</v>
      </c>
      <c r="AT2218" s="82" t="str">
        <f aca="false">IF(AS2218=1,SUM(AS$7:AS2218),"")</f>
        <v/>
      </c>
      <c r="AU2218" s="82" t="n">
        <f aca="false">IF(AND(OR(AA2218="R",AA2218="NX",AA2218="NT",AA2218="CO"),OR('JOINTS DE RÉPARATION'!$D$5="TOUTES",B2218='JOINTS DE RÉPARATION'!$D$5),OR('JOINTS DE RÉPARATION'!$L$4="TOUS",AQ2218&lt;&gt;"ACCEPTÉ")),1,0)</f>
        <v>0</v>
      </c>
      <c r="AV2218" s="82" t="str">
        <f aca="false">IF(AU2218=1,SUM(AU$7:AU2218),"")</f>
        <v/>
      </c>
      <c r="AW2218" s="82" t="str">
        <f aca="false">IF(E2218="","",B2218&amp;"|"&amp;E2218)</f>
        <v>MFD-ISW → MFD-CPF|JN°1734</v>
      </c>
    </row>
    <row r="2219" customFormat="false" ht="74.6" hidden="false" customHeight="false" outlineLevel="0" collapsed="false">
      <c r="A2219" s="79" t="n">
        <f aca="false">IF(E2219="","",ROW()-6)</f>
        <v>2213</v>
      </c>
      <c r="B2219" s="80" t="s">
        <v>110</v>
      </c>
      <c r="C2219" s="81" t="s">
        <v>2687</v>
      </c>
      <c r="D2219" s="81" t="n">
        <v>21</v>
      </c>
      <c r="E2219" s="81" t="s">
        <v>2688</v>
      </c>
      <c r="F2219" s="82" t="str">
        <f aca="false">IF(E2219="","",IF(LEFT(E2219,2)="DJ","DJ","JN"))</f>
        <v>JN</v>
      </c>
      <c r="G2219" s="81" t="s">
        <v>1504</v>
      </c>
      <c r="H2219" s="81" t="s">
        <v>871</v>
      </c>
      <c r="I2219" s="81" t="n">
        <v>9.53</v>
      </c>
      <c r="J2219" s="81" t="s">
        <v>872</v>
      </c>
      <c r="K2219" s="81" t="s">
        <v>879</v>
      </c>
      <c r="L2219" s="81" t="n">
        <v>2079240</v>
      </c>
      <c r="M2219" s="81" t="n">
        <v>15421102</v>
      </c>
      <c r="N2219" s="81" t="n">
        <v>11.94</v>
      </c>
      <c r="O2219" s="81" t="n">
        <v>2080590</v>
      </c>
      <c r="P2219" s="81" t="n">
        <v>15421103</v>
      </c>
      <c r="Q2219" s="81" t="n">
        <v>11.94</v>
      </c>
      <c r="R2219" s="81" t="s">
        <v>2681</v>
      </c>
      <c r="S2219" s="81"/>
      <c r="T2219" s="81"/>
      <c r="U2219" s="83" t="n">
        <v>46262</v>
      </c>
      <c r="V2219" s="83" t="n">
        <v>46262</v>
      </c>
      <c r="W2219" s="81" t="s">
        <v>2682</v>
      </c>
      <c r="X2219" s="81" t="s">
        <v>876</v>
      </c>
      <c r="Y2219" s="83" t="n">
        <v>46268</v>
      </c>
      <c r="Z2219" s="81" t="s">
        <v>2669</v>
      </c>
      <c r="AA2219" s="81" t="s">
        <v>876</v>
      </c>
      <c r="AB2219" s="81"/>
      <c r="AC2219" s="81"/>
      <c r="AD2219" s="81"/>
      <c r="AE2219" s="83"/>
      <c r="AF2219" s="81"/>
      <c r="AG2219" s="81"/>
      <c r="AH2219" s="81"/>
      <c r="AI2219" s="81"/>
      <c r="AJ2219" s="83"/>
      <c r="AK2219" s="81"/>
      <c r="AL2219" s="81"/>
      <c r="AM2219" s="83"/>
      <c r="AN2219" s="80"/>
      <c r="AO2219" s="82" t="n">
        <f aca="false">IF(E2219="","",(AA2219&lt;&gt;"")+(AG2219&lt;&gt;"")+(AL2219&lt;&gt;""))</f>
        <v>1</v>
      </c>
      <c r="AP2219" s="82" t="str">
        <f aca="false">IF(AL2219&lt;&gt;"",AL2219,IF(AG2219&lt;&gt;"",AG2219,IF(AA2219&lt;&gt;"",AA2219,"")))</f>
        <v>A</v>
      </c>
      <c r="AQ2219" s="84" t="str">
        <f aca="false">IF(E2219="","",IF(U2219="","À SOUDER",IF(X2219="","VT EN ATTENTE",IF(X2219="R","VT REJETÉ – À REPRENDRE",IF(AP2219="","À RADIOGRAPHIER",IF(AP2219="A","ACCEPTÉ",IF(AP2219="NX","NX – RT À REFAIRE",IF(IF(AO2219=1,AD2219,IF(AO2219=2,AI2219,""))="A","RÉPARÉ – À RADIOGRAPHIER",IF(IF(AO2219=1,AD2219,IF(AO2219=2,AI2219,""))="R","VT REJETÉ – À REPRENDRE",IF(OR(AP2219="CO",AP2219="NT"),"COUPE – À RESOUDER","À RÉPARER"))))))))))</f>
        <v>ACCEPTÉ</v>
      </c>
      <c r="AR2219" s="82" t="str">
        <f aca="false">IF(AND(ISNUMBER(U2219),OR(AQ2219="À RADIOGRAPHIER",AQ2219="RÉPARÉ – À RADIOGRAPHIER",AQ2219="NX – RT À REFAIRE",AQ2219="À RÉPARER",AQ2219="COUPE – À RESOUDER",AQ2219="VT REJETÉ – À REPRENDRE")),MAX(0,'PROGRAMME RT'!$C$4-U2219),"")</f>
        <v/>
      </c>
      <c r="AS2219" s="82" t="n">
        <f aca="false">IF(AND(OR(AQ2219="À RADIOGRAPHIER",AQ2219="RÉPARÉ – À RADIOGRAPHIER",AQ2219="NX – RT À REFAIRE"),OR('PROGRAMME RT'!$D$5="TOUTES",B2219='PROGRAMME RT'!$D$5)),1,0)</f>
        <v>0</v>
      </c>
      <c r="AT2219" s="82" t="str">
        <f aca="false">IF(AS2219=1,SUM(AS$7:AS2219),"")</f>
        <v/>
      </c>
      <c r="AU2219" s="82" t="n">
        <f aca="false">IF(AND(OR(AA2219="R",AA2219="NX",AA2219="NT",AA2219="CO"),OR('JOINTS DE RÉPARATION'!$D$5="TOUTES",B2219='JOINTS DE RÉPARATION'!$D$5),OR('JOINTS DE RÉPARATION'!$L$4="TOUS",AQ2219&lt;&gt;"ACCEPTÉ")),1,0)</f>
        <v>0</v>
      </c>
      <c r="AV2219" s="82" t="str">
        <f aca="false">IF(AU2219=1,SUM(AU$7:AU2219),"")</f>
        <v/>
      </c>
      <c r="AW2219" s="82" t="str">
        <f aca="false">IF(E2219="","",B2219&amp;"|"&amp;E2219)</f>
        <v>MFD-ISW → MFD-CPF|JN°1735</v>
      </c>
    </row>
    <row r="2220" customFormat="false" ht="74.6" hidden="false" customHeight="false" outlineLevel="0" collapsed="false">
      <c r="A2220" s="79" t="n">
        <f aca="false">IF(E2220="","",ROW()-6)</f>
        <v>2214</v>
      </c>
      <c r="B2220" s="80" t="s">
        <v>110</v>
      </c>
      <c r="C2220" s="81" t="s">
        <v>2687</v>
      </c>
      <c r="D2220" s="81" t="n">
        <v>21</v>
      </c>
      <c r="E2220" s="81" t="s">
        <v>2689</v>
      </c>
      <c r="F2220" s="82" t="str">
        <f aca="false">IF(E2220="","",IF(LEFT(E2220,2)="DJ","DJ","JN"))</f>
        <v>JN</v>
      </c>
      <c r="G2220" s="81" t="s">
        <v>1504</v>
      </c>
      <c r="H2220" s="81" t="s">
        <v>871</v>
      </c>
      <c r="I2220" s="81" t="n">
        <v>9.53</v>
      </c>
      <c r="J2220" s="81" t="s">
        <v>872</v>
      </c>
      <c r="K2220" s="81" t="s">
        <v>879</v>
      </c>
      <c r="L2220" s="81" t="n">
        <v>2080590</v>
      </c>
      <c r="M2220" s="81" t="n">
        <v>15421103</v>
      </c>
      <c r="N2220" s="81" t="n">
        <v>11.94</v>
      </c>
      <c r="O2220" s="81" t="n">
        <v>2093530</v>
      </c>
      <c r="P2220" s="81" t="n">
        <v>15421110</v>
      </c>
      <c r="Q2220" s="81" t="n">
        <v>11.94</v>
      </c>
      <c r="R2220" s="81" t="s">
        <v>2681</v>
      </c>
      <c r="S2220" s="81"/>
      <c r="T2220" s="81"/>
      <c r="U2220" s="83" t="n">
        <v>46262</v>
      </c>
      <c r="V2220" s="83" t="n">
        <v>46262</v>
      </c>
      <c r="W2220" s="81" t="s">
        <v>2682</v>
      </c>
      <c r="X2220" s="81" t="s">
        <v>876</v>
      </c>
      <c r="Y2220" s="83" t="n">
        <v>46268</v>
      </c>
      <c r="Z2220" s="81" t="s">
        <v>2669</v>
      </c>
      <c r="AA2220" s="81" t="s">
        <v>876</v>
      </c>
      <c r="AB2220" s="81"/>
      <c r="AC2220" s="81"/>
      <c r="AD2220" s="81"/>
      <c r="AE2220" s="83"/>
      <c r="AF2220" s="81"/>
      <c r="AG2220" s="81"/>
      <c r="AH2220" s="81"/>
      <c r="AI2220" s="81"/>
      <c r="AJ2220" s="83"/>
      <c r="AK2220" s="81"/>
      <c r="AL2220" s="81"/>
      <c r="AM2220" s="83"/>
      <c r="AN2220" s="80"/>
      <c r="AO2220" s="82" t="n">
        <f aca="false">IF(E2220="","",(AA2220&lt;&gt;"")+(AG2220&lt;&gt;"")+(AL2220&lt;&gt;""))</f>
        <v>1</v>
      </c>
      <c r="AP2220" s="82" t="str">
        <f aca="false">IF(AL2220&lt;&gt;"",AL2220,IF(AG2220&lt;&gt;"",AG2220,IF(AA2220&lt;&gt;"",AA2220,"")))</f>
        <v>A</v>
      </c>
      <c r="AQ2220" s="84" t="str">
        <f aca="false">IF(E2220="","",IF(U2220="","À SOUDER",IF(X2220="","VT EN ATTENTE",IF(X2220="R","VT REJETÉ – À REPRENDRE",IF(AP2220="","À RADIOGRAPHIER",IF(AP2220="A","ACCEPTÉ",IF(AP2220="NX","NX – RT À REFAIRE",IF(IF(AO2220=1,AD2220,IF(AO2220=2,AI2220,""))="A","RÉPARÉ – À RADIOGRAPHIER",IF(IF(AO2220=1,AD2220,IF(AO2220=2,AI2220,""))="R","VT REJETÉ – À REPRENDRE",IF(OR(AP2220="CO",AP2220="NT"),"COUPE – À RESOUDER","À RÉPARER"))))))))))</f>
        <v>ACCEPTÉ</v>
      </c>
      <c r="AR2220" s="82" t="str">
        <f aca="false">IF(AND(ISNUMBER(U2220),OR(AQ2220="À RADIOGRAPHIER",AQ2220="RÉPARÉ – À RADIOGRAPHIER",AQ2220="NX – RT À REFAIRE",AQ2220="À RÉPARER",AQ2220="COUPE – À RESOUDER",AQ2220="VT REJETÉ – À REPRENDRE")),MAX(0,'PROGRAMME RT'!$C$4-U2220),"")</f>
        <v/>
      </c>
      <c r="AS2220" s="82" t="n">
        <f aca="false">IF(AND(OR(AQ2220="À RADIOGRAPHIER",AQ2220="RÉPARÉ – À RADIOGRAPHIER",AQ2220="NX – RT À REFAIRE"),OR('PROGRAMME RT'!$D$5="TOUTES",B2220='PROGRAMME RT'!$D$5)),1,0)</f>
        <v>0</v>
      </c>
      <c r="AT2220" s="82" t="str">
        <f aca="false">IF(AS2220=1,SUM(AS$7:AS2220),"")</f>
        <v/>
      </c>
      <c r="AU2220" s="82" t="n">
        <f aca="false">IF(AND(OR(AA2220="R",AA2220="NX",AA2220="NT",AA2220="CO"),OR('JOINTS DE RÉPARATION'!$D$5="TOUTES",B2220='JOINTS DE RÉPARATION'!$D$5),OR('JOINTS DE RÉPARATION'!$L$4="TOUS",AQ2220&lt;&gt;"ACCEPTÉ")),1,0)</f>
        <v>0</v>
      </c>
      <c r="AV2220" s="82" t="str">
        <f aca="false">IF(AU2220=1,SUM(AU$7:AU2220),"")</f>
        <v/>
      </c>
      <c r="AW2220" s="82" t="str">
        <f aca="false">IF(E2220="","",B2220&amp;"|"&amp;E2220)</f>
        <v>MFD-ISW → MFD-CPF|JN°1736</v>
      </c>
    </row>
    <row r="2221" customFormat="false" ht="74.6" hidden="false" customHeight="false" outlineLevel="0" collapsed="false">
      <c r="A2221" s="79" t="n">
        <f aca="false">IF(E2221="","",ROW()-6)</f>
        <v>2215</v>
      </c>
      <c r="B2221" s="80" t="s">
        <v>110</v>
      </c>
      <c r="C2221" s="81" t="s">
        <v>2687</v>
      </c>
      <c r="D2221" s="81" t="n">
        <v>21</v>
      </c>
      <c r="E2221" s="81" t="s">
        <v>2690</v>
      </c>
      <c r="F2221" s="82" t="str">
        <f aca="false">IF(E2221="","",IF(LEFT(E2221,2)="DJ","DJ","JN"))</f>
        <v>JN</v>
      </c>
      <c r="G2221" s="81" t="s">
        <v>1504</v>
      </c>
      <c r="H2221" s="81" t="s">
        <v>871</v>
      </c>
      <c r="I2221" s="81" t="n">
        <v>9.53</v>
      </c>
      <c r="J2221" s="81" t="s">
        <v>872</v>
      </c>
      <c r="K2221" s="81" t="s">
        <v>879</v>
      </c>
      <c r="L2221" s="81" t="n">
        <v>2093530</v>
      </c>
      <c r="M2221" s="81" t="n">
        <v>15421110</v>
      </c>
      <c r="N2221" s="81" t="n">
        <v>11.94</v>
      </c>
      <c r="O2221" s="81" t="n">
        <v>2087550</v>
      </c>
      <c r="P2221" s="81" t="n">
        <v>15421107</v>
      </c>
      <c r="Q2221" s="81" t="n">
        <v>11.94</v>
      </c>
      <c r="R2221" s="81" t="s">
        <v>2681</v>
      </c>
      <c r="S2221" s="81"/>
      <c r="T2221" s="81"/>
      <c r="U2221" s="83" t="n">
        <v>46262</v>
      </c>
      <c r="V2221" s="83" t="n">
        <v>46262</v>
      </c>
      <c r="W2221" s="81" t="s">
        <v>2682</v>
      </c>
      <c r="X2221" s="81" t="s">
        <v>876</v>
      </c>
      <c r="Y2221" s="83" t="n">
        <v>46268</v>
      </c>
      <c r="Z2221" s="81" t="s">
        <v>2669</v>
      </c>
      <c r="AA2221" s="81" t="s">
        <v>876</v>
      </c>
      <c r="AB2221" s="81"/>
      <c r="AC2221" s="81"/>
      <c r="AD2221" s="81"/>
      <c r="AE2221" s="83"/>
      <c r="AF2221" s="81"/>
      <c r="AG2221" s="81"/>
      <c r="AH2221" s="81"/>
      <c r="AI2221" s="81"/>
      <c r="AJ2221" s="83"/>
      <c r="AK2221" s="81"/>
      <c r="AL2221" s="81"/>
      <c r="AM2221" s="83"/>
      <c r="AN2221" s="80"/>
      <c r="AO2221" s="82" t="n">
        <f aca="false">IF(E2221="","",(AA2221&lt;&gt;"")+(AG2221&lt;&gt;"")+(AL2221&lt;&gt;""))</f>
        <v>1</v>
      </c>
      <c r="AP2221" s="82" t="str">
        <f aca="false">IF(AL2221&lt;&gt;"",AL2221,IF(AG2221&lt;&gt;"",AG2221,IF(AA2221&lt;&gt;"",AA2221,"")))</f>
        <v>A</v>
      </c>
      <c r="AQ2221" s="84" t="str">
        <f aca="false">IF(E2221="","",IF(U2221="","À SOUDER",IF(X2221="","VT EN ATTENTE",IF(X2221="R","VT REJETÉ – À REPRENDRE",IF(AP2221="","À RADIOGRAPHIER",IF(AP2221="A","ACCEPTÉ",IF(AP2221="NX","NX – RT À REFAIRE",IF(IF(AO2221=1,AD2221,IF(AO2221=2,AI2221,""))="A","RÉPARÉ – À RADIOGRAPHIER",IF(IF(AO2221=1,AD2221,IF(AO2221=2,AI2221,""))="R","VT REJETÉ – À REPRENDRE",IF(OR(AP2221="CO",AP2221="NT"),"COUPE – À RESOUDER","À RÉPARER"))))))))))</f>
        <v>ACCEPTÉ</v>
      </c>
      <c r="AR2221" s="82" t="str">
        <f aca="false">IF(AND(ISNUMBER(U2221),OR(AQ2221="À RADIOGRAPHIER",AQ2221="RÉPARÉ – À RADIOGRAPHIER",AQ2221="NX – RT À REFAIRE",AQ2221="À RÉPARER",AQ2221="COUPE – À RESOUDER",AQ2221="VT REJETÉ – À REPRENDRE")),MAX(0,'PROGRAMME RT'!$C$4-U2221),"")</f>
        <v/>
      </c>
      <c r="AS2221" s="82" t="n">
        <f aca="false">IF(AND(OR(AQ2221="À RADIOGRAPHIER",AQ2221="RÉPARÉ – À RADIOGRAPHIER",AQ2221="NX – RT À REFAIRE"),OR('PROGRAMME RT'!$D$5="TOUTES",B2221='PROGRAMME RT'!$D$5)),1,0)</f>
        <v>0</v>
      </c>
      <c r="AT2221" s="82" t="str">
        <f aca="false">IF(AS2221=1,SUM(AS$7:AS2221),"")</f>
        <v/>
      </c>
      <c r="AU2221" s="82" t="n">
        <f aca="false">IF(AND(OR(AA2221="R",AA2221="NX",AA2221="NT",AA2221="CO"),OR('JOINTS DE RÉPARATION'!$D$5="TOUTES",B2221='JOINTS DE RÉPARATION'!$D$5),OR('JOINTS DE RÉPARATION'!$L$4="TOUS",AQ2221&lt;&gt;"ACCEPTÉ")),1,0)</f>
        <v>0</v>
      </c>
      <c r="AV2221" s="82" t="str">
        <f aca="false">IF(AU2221=1,SUM(AU$7:AU2221),"")</f>
        <v/>
      </c>
      <c r="AW2221" s="82" t="str">
        <f aca="false">IF(E2221="","",B2221&amp;"|"&amp;E2221)</f>
        <v>MFD-ISW → MFD-CPF|JN°1737</v>
      </c>
    </row>
    <row r="2222" customFormat="false" ht="74.6" hidden="false" customHeight="false" outlineLevel="0" collapsed="false">
      <c r="A2222" s="79" t="n">
        <f aca="false">IF(E2222="","",ROW()-6)</f>
        <v>2216</v>
      </c>
      <c r="B2222" s="80" t="s">
        <v>110</v>
      </c>
      <c r="C2222" s="81" t="s">
        <v>2687</v>
      </c>
      <c r="D2222" s="81" t="n">
        <v>21</v>
      </c>
      <c r="E2222" s="81" t="s">
        <v>2691</v>
      </c>
      <c r="F2222" s="82" t="str">
        <f aca="false">IF(E2222="","",IF(LEFT(E2222,2)="DJ","DJ","JN"))</f>
        <v>JN</v>
      </c>
      <c r="G2222" s="81" t="s">
        <v>1504</v>
      </c>
      <c r="H2222" s="81" t="s">
        <v>871</v>
      </c>
      <c r="I2222" s="81" t="n">
        <v>9.53</v>
      </c>
      <c r="J2222" s="81" t="s">
        <v>872</v>
      </c>
      <c r="K2222" s="81" t="s">
        <v>879</v>
      </c>
      <c r="L2222" s="81" t="n">
        <v>2087550</v>
      </c>
      <c r="M2222" s="81" t="n">
        <v>15421107</v>
      </c>
      <c r="N2222" s="81" t="n">
        <v>11.94</v>
      </c>
      <c r="O2222" s="81" t="n">
        <v>2086050</v>
      </c>
      <c r="P2222" s="81" t="n">
        <v>15421107</v>
      </c>
      <c r="Q2222" s="81" t="n">
        <v>11.94</v>
      </c>
      <c r="R2222" s="81" t="s">
        <v>2681</v>
      </c>
      <c r="S2222" s="81"/>
      <c r="T2222" s="81"/>
      <c r="U2222" s="83" t="n">
        <v>46262</v>
      </c>
      <c r="V2222" s="83" t="n">
        <v>46262</v>
      </c>
      <c r="W2222" s="81" t="s">
        <v>2682</v>
      </c>
      <c r="X2222" s="81" t="s">
        <v>876</v>
      </c>
      <c r="Y2222" s="83" t="n">
        <v>46268</v>
      </c>
      <c r="Z2222" s="81" t="s">
        <v>2669</v>
      </c>
      <c r="AA2222" s="81" t="s">
        <v>876</v>
      </c>
      <c r="AB2222" s="81"/>
      <c r="AC2222" s="81"/>
      <c r="AD2222" s="81"/>
      <c r="AE2222" s="83"/>
      <c r="AF2222" s="81"/>
      <c r="AG2222" s="81"/>
      <c r="AH2222" s="81"/>
      <c r="AI2222" s="81"/>
      <c r="AJ2222" s="83"/>
      <c r="AK2222" s="81"/>
      <c r="AL2222" s="81"/>
      <c r="AM2222" s="83"/>
      <c r="AN2222" s="80"/>
      <c r="AO2222" s="82" t="n">
        <f aca="false">IF(E2222="","",(AA2222&lt;&gt;"")+(AG2222&lt;&gt;"")+(AL2222&lt;&gt;""))</f>
        <v>1</v>
      </c>
      <c r="AP2222" s="82" t="str">
        <f aca="false">IF(AL2222&lt;&gt;"",AL2222,IF(AG2222&lt;&gt;"",AG2222,IF(AA2222&lt;&gt;"",AA2222,"")))</f>
        <v>A</v>
      </c>
      <c r="AQ2222" s="84" t="str">
        <f aca="false">IF(E2222="","",IF(U2222="","À SOUDER",IF(X2222="","VT EN ATTENTE",IF(X2222="R","VT REJETÉ – À REPRENDRE",IF(AP2222="","À RADIOGRAPHIER",IF(AP2222="A","ACCEPTÉ",IF(AP2222="NX","NX – RT À REFAIRE",IF(IF(AO2222=1,AD2222,IF(AO2222=2,AI2222,""))="A","RÉPARÉ – À RADIOGRAPHIER",IF(IF(AO2222=1,AD2222,IF(AO2222=2,AI2222,""))="R","VT REJETÉ – À REPRENDRE",IF(OR(AP2222="CO",AP2222="NT"),"COUPE – À RESOUDER","À RÉPARER"))))))))))</f>
        <v>ACCEPTÉ</v>
      </c>
      <c r="AR2222" s="82" t="str">
        <f aca="false">IF(AND(ISNUMBER(U2222),OR(AQ2222="À RADIOGRAPHIER",AQ2222="RÉPARÉ – À RADIOGRAPHIER",AQ2222="NX – RT À REFAIRE",AQ2222="À RÉPARER",AQ2222="COUPE – À RESOUDER",AQ2222="VT REJETÉ – À REPRENDRE")),MAX(0,'PROGRAMME RT'!$C$4-U2222),"")</f>
        <v/>
      </c>
      <c r="AS2222" s="82" t="n">
        <f aca="false">IF(AND(OR(AQ2222="À RADIOGRAPHIER",AQ2222="RÉPARÉ – À RADIOGRAPHIER",AQ2222="NX – RT À REFAIRE"),OR('PROGRAMME RT'!$D$5="TOUTES",B2222='PROGRAMME RT'!$D$5)),1,0)</f>
        <v>0</v>
      </c>
      <c r="AT2222" s="82" t="str">
        <f aca="false">IF(AS2222=1,SUM(AS$7:AS2222),"")</f>
        <v/>
      </c>
      <c r="AU2222" s="82" t="n">
        <f aca="false">IF(AND(OR(AA2222="R",AA2222="NX",AA2222="NT",AA2222="CO"),OR('JOINTS DE RÉPARATION'!$D$5="TOUTES",B2222='JOINTS DE RÉPARATION'!$D$5),OR('JOINTS DE RÉPARATION'!$L$4="TOUS",AQ2222&lt;&gt;"ACCEPTÉ")),1,0)</f>
        <v>0</v>
      </c>
      <c r="AV2222" s="82" t="str">
        <f aca="false">IF(AU2222=1,SUM(AU$7:AU2222),"")</f>
        <v/>
      </c>
      <c r="AW2222" s="82" t="str">
        <f aca="false">IF(E2222="","",B2222&amp;"|"&amp;E2222)</f>
        <v>MFD-ISW → MFD-CPF|JN°1738</v>
      </c>
    </row>
    <row r="2223" customFormat="false" ht="74.6" hidden="false" customHeight="false" outlineLevel="0" collapsed="false">
      <c r="A2223" s="79" t="n">
        <f aca="false">IF(E2223="","",ROW()-6)</f>
        <v>2217</v>
      </c>
      <c r="B2223" s="80" t="s">
        <v>110</v>
      </c>
      <c r="C2223" s="81" t="s">
        <v>2687</v>
      </c>
      <c r="D2223" s="81" t="n">
        <v>21</v>
      </c>
      <c r="E2223" s="81" t="s">
        <v>2692</v>
      </c>
      <c r="F2223" s="82" t="str">
        <f aca="false">IF(E2223="","",IF(LEFT(E2223,2)="DJ","DJ","JN"))</f>
        <v>JN</v>
      </c>
      <c r="G2223" s="81" t="s">
        <v>1504</v>
      </c>
      <c r="H2223" s="81" t="s">
        <v>871</v>
      </c>
      <c r="I2223" s="81" t="n">
        <v>9.53</v>
      </c>
      <c r="J2223" s="81" t="s">
        <v>872</v>
      </c>
      <c r="K2223" s="81" t="s">
        <v>879</v>
      </c>
      <c r="L2223" s="81" t="n">
        <v>2086050</v>
      </c>
      <c r="M2223" s="81" t="n">
        <v>15421107</v>
      </c>
      <c r="N2223" s="81" t="n">
        <v>11.94</v>
      </c>
      <c r="O2223" s="81" t="n">
        <v>2084620</v>
      </c>
      <c r="P2223" s="81" t="n">
        <v>15421108</v>
      </c>
      <c r="Q2223" s="81" t="n">
        <v>11.94</v>
      </c>
      <c r="R2223" s="81" t="s">
        <v>2681</v>
      </c>
      <c r="S2223" s="81"/>
      <c r="T2223" s="81"/>
      <c r="U2223" s="83" t="n">
        <v>46262</v>
      </c>
      <c r="V2223" s="83" t="n">
        <v>46262</v>
      </c>
      <c r="W2223" s="81" t="s">
        <v>2682</v>
      </c>
      <c r="X2223" s="81" t="s">
        <v>876</v>
      </c>
      <c r="Y2223" s="83" t="n">
        <v>46267</v>
      </c>
      <c r="Z2223" s="81" t="s">
        <v>2693</v>
      </c>
      <c r="AA2223" s="81" t="s">
        <v>876</v>
      </c>
      <c r="AB2223" s="81"/>
      <c r="AC2223" s="81"/>
      <c r="AD2223" s="81"/>
      <c r="AE2223" s="83"/>
      <c r="AF2223" s="81"/>
      <c r="AG2223" s="81"/>
      <c r="AH2223" s="81"/>
      <c r="AI2223" s="81"/>
      <c r="AJ2223" s="83"/>
      <c r="AK2223" s="81"/>
      <c r="AL2223" s="81"/>
      <c r="AM2223" s="83"/>
      <c r="AN2223" s="80"/>
      <c r="AO2223" s="82" t="n">
        <f aca="false">IF(E2223="","",(AA2223&lt;&gt;"")+(AG2223&lt;&gt;"")+(AL2223&lt;&gt;""))</f>
        <v>1</v>
      </c>
      <c r="AP2223" s="82" t="str">
        <f aca="false">IF(AL2223&lt;&gt;"",AL2223,IF(AG2223&lt;&gt;"",AG2223,IF(AA2223&lt;&gt;"",AA2223,"")))</f>
        <v>A</v>
      </c>
      <c r="AQ2223" s="84" t="str">
        <f aca="false">IF(E2223="","",IF(U2223="","À SOUDER",IF(X2223="","VT EN ATTENTE",IF(X2223="R","VT REJETÉ – À REPRENDRE",IF(AP2223="","À RADIOGRAPHIER",IF(AP2223="A","ACCEPTÉ",IF(AP2223="NX","NX – RT À REFAIRE",IF(IF(AO2223=1,AD2223,IF(AO2223=2,AI2223,""))="A","RÉPARÉ – À RADIOGRAPHIER",IF(IF(AO2223=1,AD2223,IF(AO2223=2,AI2223,""))="R","VT REJETÉ – À REPRENDRE",IF(OR(AP2223="CO",AP2223="NT"),"COUPE – À RESOUDER","À RÉPARER"))))))))))</f>
        <v>ACCEPTÉ</v>
      </c>
      <c r="AR2223" s="82" t="str">
        <f aca="false">IF(AND(ISNUMBER(U2223),OR(AQ2223="À RADIOGRAPHIER",AQ2223="RÉPARÉ – À RADIOGRAPHIER",AQ2223="NX – RT À REFAIRE",AQ2223="À RÉPARER",AQ2223="COUPE – À RESOUDER",AQ2223="VT REJETÉ – À REPRENDRE")),MAX(0,'PROGRAMME RT'!$C$4-U2223),"")</f>
        <v/>
      </c>
      <c r="AS2223" s="82" t="n">
        <f aca="false">IF(AND(OR(AQ2223="À RADIOGRAPHIER",AQ2223="RÉPARÉ – À RADIOGRAPHIER",AQ2223="NX – RT À REFAIRE"),OR('PROGRAMME RT'!$D$5="TOUTES",B2223='PROGRAMME RT'!$D$5)),1,0)</f>
        <v>0</v>
      </c>
      <c r="AT2223" s="82" t="str">
        <f aca="false">IF(AS2223=1,SUM(AS$7:AS2223),"")</f>
        <v/>
      </c>
      <c r="AU2223" s="82" t="n">
        <f aca="false">IF(AND(OR(AA2223="R",AA2223="NX",AA2223="NT",AA2223="CO"),OR('JOINTS DE RÉPARATION'!$D$5="TOUTES",B2223='JOINTS DE RÉPARATION'!$D$5),OR('JOINTS DE RÉPARATION'!$L$4="TOUS",AQ2223&lt;&gt;"ACCEPTÉ")),1,0)</f>
        <v>0</v>
      </c>
      <c r="AV2223" s="82" t="str">
        <f aca="false">IF(AU2223=1,SUM(AU$7:AU2223),"")</f>
        <v/>
      </c>
      <c r="AW2223" s="82" t="str">
        <f aca="false">IF(E2223="","",B2223&amp;"|"&amp;E2223)</f>
        <v>MFD-ISW → MFD-CPF|JN°1739</v>
      </c>
    </row>
    <row r="2224" customFormat="false" ht="74.6" hidden="false" customHeight="false" outlineLevel="0" collapsed="false">
      <c r="A2224" s="79" t="n">
        <f aca="false">IF(E2224="","",ROW()-6)</f>
        <v>2218</v>
      </c>
      <c r="B2224" s="80" t="s">
        <v>110</v>
      </c>
      <c r="C2224" s="81" t="s">
        <v>2687</v>
      </c>
      <c r="D2224" s="81" t="n">
        <v>21</v>
      </c>
      <c r="E2224" s="81" t="s">
        <v>2694</v>
      </c>
      <c r="F2224" s="82" t="str">
        <f aca="false">IF(E2224="","",IF(LEFT(E2224,2)="DJ","DJ","JN"))</f>
        <v>JN</v>
      </c>
      <c r="G2224" s="81" t="s">
        <v>1504</v>
      </c>
      <c r="H2224" s="81" t="s">
        <v>871</v>
      </c>
      <c r="I2224" s="81" t="n">
        <v>9.53</v>
      </c>
      <c r="J2224" s="81" t="s">
        <v>872</v>
      </c>
      <c r="K2224" s="81" t="s">
        <v>879</v>
      </c>
      <c r="L2224" s="81" t="n">
        <v>2084620</v>
      </c>
      <c r="M2224" s="81" t="n">
        <v>15421108</v>
      </c>
      <c r="N2224" s="81" t="n">
        <v>11.94</v>
      </c>
      <c r="O2224" s="81" t="n">
        <v>2084650</v>
      </c>
      <c r="P2224" s="81" t="n">
        <v>15421106</v>
      </c>
      <c r="Q2224" s="81" t="n">
        <v>11.94</v>
      </c>
      <c r="R2224" s="81" t="s">
        <v>2681</v>
      </c>
      <c r="S2224" s="81"/>
      <c r="T2224" s="81"/>
      <c r="U2224" s="83" t="n">
        <v>46262</v>
      </c>
      <c r="V2224" s="83" t="n">
        <v>46262</v>
      </c>
      <c r="W2224" s="81" t="s">
        <v>2682</v>
      </c>
      <c r="X2224" s="81" t="s">
        <v>876</v>
      </c>
      <c r="Y2224" s="83" t="n">
        <v>46267</v>
      </c>
      <c r="Z2224" s="81" t="s">
        <v>2693</v>
      </c>
      <c r="AA2224" s="81" t="s">
        <v>876</v>
      </c>
      <c r="AB2224" s="81"/>
      <c r="AC2224" s="81"/>
      <c r="AD2224" s="81"/>
      <c r="AE2224" s="83"/>
      <c r="AF2224" s="81"/>
      <c r="AG2224" s="81"/>
      <c r="AH2224" s="81"/>
      <c r="AI2224" s="81"/>
      <c r="AJ2224" s="83"/>
      <c r="AK2224" s="81"/>
      <c r="AL2224" s="81"/>
      <c r="AM2224" s="83"/>
      <c r="AN2224" s="80"/>
      <c r="AO2224" s="82" t="n">
        <f aca="false">IF(E2224="","",(AA2224&lt;&gt;"")+(AG2224&lt;&gt;"")+(AL2224&lt;&gt;""))</f>
        <v>1</v>
      </c>
      <c r="AP2224" s="82" t="str">
        <f aca="false">IF(AL2224&lt;&gt;"",AL2224,IF(AG2224&lt;&gt;"",AG2224,IF(AA2224&lt;&gt;"",AA2224,"")))</f>
        <v>A</v>
      </c>
      <c r="AQ2224" s="84" t="str">
        <f aca="false">IF(E2224="","",IF(U2224="","À SOUDER",IF(X2224="","VT EN ATTENTE",IF(X2224="R","VT REJETÉ – À REPRENDRE",IF(AP2224="","À RADIOGRAPHIER",IF(AP2224="A","ACCEPTÉ",IF(AP2224="NX","NX – RT À REFAIRE",IF(IF(AO2224=1,AD2224,IF(AO2224=2,AI2224,""))="A","RÉPARÉ – À RADIOGRAPHIER",IF(IF(AO2224=1,AD2224,IF(AO2224=2,AI2224,""))="R","VT REJETÉ – À REPRENDRE",IF(OR(AP2224="CO",AP2224="NT"),"COUPE – À RESOUDER","À RÉPARER"))))))))))</f>
        <v>ACCEPTÉ</v>
      </c>
      <c r="AR2224" s="82" t="str">
        <f aca="false">IF(AND(ISNUMBER(U2224),OR(AQ2224="À RADIOGRAPHIER",AQ2224="RÉPARÉ – À RADIOGRAPHIER",AQ2224="NX – RT À REFAIRE",AQ2224="À RÉPARER",AQ2224="COUPE – À RESOUDER",AQ2224="VT REJETÉ – À REPRENDRE")),MAX(0,'PROGRAMME RT'!$C$4-U2224),"")</f>
        <v/>
      </c>
      <c r="AS2224" s="82" t="n">
        <f aca="false">IF(AND(OR(AQ2224="À RADIOGRAPHIER",AQ2224="RÉPARÉ – À RADIOGRAPHIER",AQ2224="NX – RT À REFAIRE"),OR('PROGRAMME RT'!$D$5="TOUTES",B2224='PROGRAMME RT'!$D$5)),1,0)</f>
        <v>0</v>
      </c>
      <c r="AT2224" s="82" t="str">
        <f aca="false">IF(AS2224=1,SUM(AS$7:AS2224),"")</f>
        <v/>
      </c>
      <c r="AU2224" s="82" t="n">
        <f aca="false">IF(AND(OR(AA2224="R",AA2224="NX",AA2224="NT",AA2224="CO"),OR('JOINTS DE RÉPARATION'!$D$5="TOUTES",B2224='JOINTS DE RÉPARATION'!$D$5),OR('JOINTS DE RÉPARATION'!$L$4="TOUS",AQ2224&lt;&gt;"ACCEPTÉ")),1,0)</f>
        <v>0</v>
      </c>
      <c r="AV2224" s="82" t="str">
        <f aca="false">IF(AU2224=1,SUM(AU$7:AU2224),"")</f>
        <v/>
      </c>
      <c r="AW2224" s="82" t="str">
        <f aca="false">IF(E2224="","",B2224&amp;"|"&amp;E2224)</f>
        <v>MFD-ISW → MFD-CPF|JN°1740</v>
      </c>
    </row>
    <row r="2225" customFormat="false" ht="74.6" hidden="false" customHeight="false" outlineLevel="0" collapsed="false">
      <c r="A2225" s="79" t="n">
        <f aca="false">IF(E2225="","",ROW()-6)</f>
        <v>2219</v>
      </c>
      <c r="B2225" s="80" t="s">
        <v>110</v>
      </c>
      <c r="C2225" s="81" t="s">
        <v>2687</v>
      </c>
      <c r="D2225" s="81" t="n">
        <v>21</v>
      </c>
      <c r="E2225" s="81" t="s">
        <v>2695</v>
      </c>
      <c r="F2225" s="82" t="str">
        <f aca="false">IF(E2225="","",IF(LEFT(E2225,2)="DJ","DJ","JN"))</f>
        <v>JN</v>
      </c>
      <c r="G2225" s="81" t="s">
        <v>1504</v>
      </c>
      <c r="H2225" s="81" t="s">
        <v>871</v>
      </c>
      <c r="I2225" s="81" t="n">
        <v>9.53</v>
      </c>
      <c r="J2225" s="81" t="s">
        <v>872</v>
      </c>
      <c r="K2225" s="81" t="s">
        <v>879</v>
      </c>
      <c r="L2225" s="81" t="n">
        <v>2084650</v>
      </c>
      <c r="M2225" s="81" t="n">
        <v>15421106</v>
      </c>
      <c r="N2225" s="81" t="n">
        <v>11.94</v>
      </c>
      <c r="O2225" s="81" t="n">
        <v>2087710</v>
      </c>
      <c r="P2225" s="81" t="n">
        <v>15421108</v>
      </c>
      <c r="Q2225" s="81" t="n">
        <v>11.94</v>
      </c>
      <c r="R2225" s="81" t="s">
        <v>2681</v>
      </c>
      <c r="S2225" s="81"/>
      <c r="T2225" s="81"/>
      <c r="U2225" s="83" t="n">
        <v>46262</v>
      </c>
      <c r="V2225" s="83" t="n">
        <v>46262</v>
      </c>
      <c r="W2225" s="81" t="s">
        <v>2682</v>
      </c>
      <c r="X2225" s="81" t="s">
        <v>876</v>
      </c>
      <c r="Y2225" s="83" t="n">
        <v>46267</v>
      </c>
      <c r="Z2225" s="81" t="s">
        <v>2693</v>
      </c>
      <c r="AA2225" s="81" t="s">
        <v>876</v>
      </c>
      <c r="AB2225" s="81"/>
      <c r="AC2225" s="81"/>
      <c r="AD2225" s="81"/>
      <c r="AE2225" s="83"/>
      <c r="AF2225" s="81"/>
      <c r="AG2225" s="81"/>
      <c r="AH2225" s="81"/>
      <c r="AI2225" s="81"/>
      <c r="AJ2225" s="83"/>
      <c r="AK2225" s="81"/>
      <c r="AL2225" s="81"/>
      <c r="AM2225" s="83"/>
      <c r="AN2225" s="80"/>
      <c r="AO2225" s="82" t="n">
        <f aca="false">IF(E2225="","",(AA2225&lt;&gt;"")+(AG2225&lt;&gt;"")+(AL2225&lt;&gt;""))</f>
        <v>1</v>
      </c>
      <c r="AP2225" s="82" t="str">
        <f aca="false">IF(AL2225&lt;&gt;"",AL2225,IF(AG2225&lt;&gt;"",AG2225,IF(AA2225&lt;&gt;"",AA2225,"")))</f>
        <v>A</v>
      </c>
      <c r="AQ2225" s="84" t="str">
        <f aca="false">IF(E2225="","",IF(U2225="","À SOUDER",IF(X2225="","VT EN ATTENTE",IF(X2225="R","VT REJETÉ – À REPRENDRE",IF(AP2225="","À RADIOGRAPHIER",IF(AP2225="A","ACCEPTÉ",IF(AP2225="NX","NX – RT À REFAIRE",IF(IF(AO2225=1,AD2225,IF(AO2225=2,AI2225,""))="A","RÉPARÉ – À RADIOGRAPHIER",IF(IF(AO2225=1,AD2225,IF(AO2225=2,AI2225,""))="R","VT REJETÉ – À REPRENDRE",IF(OR(AP2225="CO",AP2225="NT"),"COUPE – À RESOUDER","À RÉPARER"))))))))))</f>
        <v>ACCEPTÉ</v>
      </c>
      <c r="AR2225" s="82" t="str">
        <f aca="false">IF(AND(ISNUMBER(U2225),OR(AQ2225="À RADIOGRAPHIER",AQ2225="RÉPARÉ – À RADIOGRAPHIER",AQ2225="NX – RT À REFAIRE",AQ2225="À RÉPARER",AQ2225="COUPE – À RESOUDER",AQ2225="VT REJETÉ – À REPRENDRE")),MAX(0,'PROGRAMME RT'!$C$4-U2225),"")</f>
        <v/>
      </c>
      <c r="AS2225" s="82" t="n">
        <f aca="false">IF(AND(OR(AQ2225="À RADIOGRAPHIER",AQ2225="RÉPARÉ – À RADIOGRAPHIER",AQ2225="NX – RT À REFAIRE"),OR('PROGRAMME RT'!$D$5="TOUTES",B2225='PROGRAMME RT'!$D$5)),1,0)</f>
        <v>0</v>
      </c>
      <c r="AT2225" s="82" t="str">
        <f aca="false">IF(AS2225=1,SUM(AS$7:AS2225),"")</f>
        <v/>
      </c>
      <c r="AU2225" s="82" t="n">
        <f aca="false">IF(AND(OR(AA2225="R",AA2225="NX",AA2225="NT",AA2225="CO"),OR('JOINTS DE RÉPARATION'!$D$5="TOUTES",B2225='JOINTS DE RÉPARATION'!$D$5),OR('JOINTS DE RÉPARATION'!$L$4="TOUS",AQ2225&lt;&gt;"ACCEPTÉ")),1,0)</f>
        <v>0</v>
      </c>
      <c r="AV2225" s="82" t="str">
        <f aca="false">IF(AU2225=1,SUM(AU$7:AU2225),"")</f>
        <v/>
      </c>
      <c r="AW2225" s="82" t="str">
        <f aca="false">IF(E2225="","",B2225&amp;"|"&amp;E2225)</f>
        <v>MFD-ISW → MFD-CPF|JN°1741</v>
      </c>
    </row>
    <row r="2226" customFormat="false" ht="74.6" hidden="false" customHeight="false" outlineLevel="0" collapsed="false">
      <c r="A2226" s="79" t="n">
        <f aca="false">IF(E2226="","",ROW()-6)</f>
        <v>2220</v>
      </c>
      <c r="B2226" s="80" t="s">
        <v>110</v>
      </c>
      <c r="C2226" s="81" t="s">
        <v>2687</v>
      </c>
      <c r="D2226" s="81" t="n">
        <v>21</v>
      </c>
      <c r="E2226" s="81" t="s">
        <v>2696</v>
      </c>
      <c r="F2226" s="82" t="str">
        <f aca="false">IF(E2226="","",IF(LEFT(E2226,2)="DJ","DJ","JN"))</f>
        <v>JN</v>
      </c>
      <c r="G2226" s="81" t="s">
        <v>1504</v>
      </c>
      <c r="H2226" s="81" t="s">
        <v>871</v>
      </c>
      <c r="I2226" s="81" t="n">
        <v>9.53</v>
      </c>
      <c r="J2226" s="81" t="s">
        <v>872</v>
      </c>
      <c r="K2226" s="81" t="s">
        <v>879</v>
      </c>
      <c r="L2226" s="81" t="n">
        <v>2087710</v>
      </c>
      <c r="M2226" s="81" t="n">
        <v>15421108</v>
      </c>
      <c r="N2226" s="81" t="n">
        <v>11.94</v>
      </c>
      <c r="O2226" s="81" t="n">
        <v>2098150</v>
      </c>
      <c r="P2226" s="81" t="n">
        <v>15421112</v>
      </c>
      <c r="Q2226" s="81" t="n">
        <v>11.94</v>
      </c>
      <c r="R2226" s="81" t="s">
        <v>2681</v>
      </c>
      <c r="S2226" s="81"/>
      <c r="T2226" s="81"/>
      <c r="U2226" s="83" t="n">
        <v>46262</v>
      </c>
      <c r="V2226" s="83" t="n">
        <v>46262</v>
      </c>
      <c r="W2226" s="81" t="s">
        <v>2682</v>
      </c>
      <c r="X2226" s="81" t="s">
        <v>876</v>
      </c>
      <c r="Y2226" s="83" t="n">
        <v>46267</v>
      </c>
      <c r="Z2226" s="81" t="s">
        <v>2693</v>
      </c>
      <c r="AA2226" s="81" t="s">
        <v>876</v>
      </c>
      <c r="AB2226" s="81"/>
      <c r="AC2226" s="81"/>
      <c r="AD2226" s="81"/>
      <c r="AE2226" s="83"/>
      <c r="AF2226" s="81"/>
      <c r="AG2226" s="81"/>
      <c r="AH2226" s="81"/>
      <c r="AI2226" s="81"/>
      <c r="AJ2226" s="83"/>
      <c r="AK2226" s="81"/>
      <c r="AL2226" s="81"/>
      <c r="AM2226" s="83"/>
      <c r="AN2226" s="80"/>
      <c r="AO2226" s="82" t="n">
        <f aca="false">IF(E2226="","",(AA2226&lt;&gt;"")+(AG2226&lt;&gt;"")+(AL2226&lt;&gt;""))</f>
        <v>1</v>
      </c>
      <c r="AP2226" s="82" t="str">
        <f aca="false">IF(AL2226&lt;&gt;"",AL2226,IF(AG2226&lt;&gt;"",AG2226,IF(AA2226&lt;&gt;"",AA2226,"")))</f>
        <v>A</v>
      </c>
      <c r="AQ2226" s="84" t="str">
        <f aca="false">IF(E2226="","",IF(U2226="","À SOUDER",IF(X2226="","VT EN ATTENTE",IF(X2226="R","VT REJETÉ – À REPRENDRE",IF(AP2226="","À RADIOGRAPHIER",IF(AP2226="A","ACCEPTÉ",IF(AP2226="NX","NX – RT À REFAIRE",IF(IF(AO2226=1,AD2226,IF(AO2226=2,AI2226,""))="A","RÉPARÉ – À RADIOGRAPHIER",IF(IF(AO2226=1,AD2226,IF(AO2226=2,AI2226,""))="R","VT REJETÉ – À REPRENDRE",IF(OR(AP2226="CO",AP2226="NT"),"COUPE – À RESOUDER","À RÉPARER"))))))))))</f>
        <v>ACCEPTÉ</v>
      </c>
      <c r="AR2226" s="82" t="str">
        <f aca="false">IF(AND(ISNUMBER(U2226),OR(AQ2226="À RADIOGRAPHIER",AQ2226="RÉPARÉ – À RADIOGRAPHIER",AQ2226="NX – RT À REFAIRE",AQ2226="À RÉPARER",AQ2226="COUPE – À RESOUDER",AQ2226="VT REJETÉ – À REPRENDRE")),MAX(0,'PROGRAMME RT'!$C$4-U2226),"")</f>
        <v/>
      </c>
      <c r="AS2226" s="82" t="n">
        <f aca="false">IF(AND(OR(AQ2226="À RADIOGRAPHIER",AQ2226="RÉPARÉ – À RADIOGRAPHIER",AQ2226="NX – RT À REFAIRE"),OR('PROGRAMME RT'!$D$5="TOUTES",B2226='PROGRAMME RT'!$D$5)),1,0)</f>
        <v>0</v>
      </c>
      <c r="AT2226" s="82" t="str">
        <f aca="false">IF(AS2226=1,SUM(AS$7:AS2226),"")</f>
        <v/>
      </c>
      <c r="AU2226" s="82" t="n">
        <f aca="false">IF(AND(OR(AA2226="R",AA2226="NX",AA2226="NT",AA2226="CO"),OR('JOINTS DE RÉPARATION'!$D$5="TOUTES",B2226='JOINTS DE RÉPARATION'!$D$5),OR('JOINTS DE RÉPARATION'!$L$4="TOUS",AQ2226&lt;&gt;"ACCEPTÉ")),1,0)</f>
        <v>0</v>
      </c>
      <c r="AV2226" s="82" t="str">
        <f aca="false">IF(AU2226=1,SUM(AU$7:AU2226),"")</f>
        <v/>
      </c>
      <c r="AW2226" s="82" t="str">
        <f aca="false">IF(E2226="","",B2226&amp;"|"&amp;E2226)</f>
        <v>MFD-ISW → MFD-CPF|JN°1742</v>
      </c>
    </row>
    <row r="2227" customFormat="false" ht="74.6" hidden="false" customHeight="false" outlineLevel="0" collapsed="false">
      <c r="A2227" s="79" t="n">
        <f aca="false">IF(E2227="","",ROW()-6)</f>
        <v>2221</v>
      </c>
      <c r="B2227" s="80" t="s">
        <v>110</v>
      </c>
      <c r="C2227" s="81" t="s">
        <v>2687</v>
      </c>
      <c r="D2227" s="81" t="n">
        <v>21</v>
      </c>
      <c r="E2227" s="81" t="s">
        <v>2697</v>
      </c>
      <c r="F2227" s="82" t="str">
        <f aca="false">IF(E2227="","",IF(LEFT(E2227,2)="DJ","DJ","JN"))</f>
        <v>JN</v>
      </c>
      <c r="G2227" s="81" t="s">
        <v>1504</v>
      </c>
      <c r="H2227" s="81" t="s">
        <v>871</v>
      </c>
      <c r="I2227" s="81" t="n">
        <v>9.53</v>
      </c>
      <c r="J2227" s="81" t="s">
        <v>872</v>
      </c>
      <c r="K2227" s="81" t="s">
        <v>879</v>
      </c>
      <c r="L2227" s="81" t="n">
        <v>2098150</v>
      </c>
      <c r="M2227" s="81" t="n">
        <v>15421112</v>
      </c>
      <c r="N2227" s="81" t="n">
        <v>11.94</v>
      </c>
      <c r="O2227" s="81" t="n">
        <v>2097310</v>
      </c>
      <c r="P2227" s="81" t="n">
        <v>15421110</v>
      </c>
      <c r="Q2227" s="81" t="n">
        <v>11.94</v>
      </c>
      <c r="R2227" s="81" t="s">
        <v>2681</v>
      </c>
      <c r="S2227" s="81"/>
      <c r="T2227" s="81"/>
      <c r="U2227" s="83" t="n">
        <v>46262</v>
      </c>
      <c r="V2227" s="83" t="n">
        <v>46262</v>
      </c>
      <c r="W2227" s="81" t="s">
        <v>2682</v>
      </c>
      <c r="X2227" s="81" t="s">
        <v>876</v>
      </c>
      <c r="Y2227" s="83" t="n">
        <v>46267</v>
      </c>
      <c r="Z2227" s="81" t="s">
        <v>2693</v>
      </c>
      <c r="AA2227" s="81" t="s">
        <v>876</v>
      </c>
      <c r="AB2227" s="81"/>
      <c r="AC2227" s="81"/>
      <c r="AD2227" s="81"/>
      <c r="AE2227" s="83"/>
      <c r="AF2227" s="81"/>
      <c r="AG2227" s="81"/>
      <c r="AH2227" s="81"/>
      <c r="AI2227" s="81"/>
      <c r="AJ2227" s="83"/>
      <c r="AK2227" s="81"/>
      <c r="AL2227" s="81"/>
      <c r="AM2227" s="83"/>
      <c r="AN2227" s="80"/>
      <c r="AO2227" s="82" t="n">
        <f aca="false">IF(E2227="","",(AA2227&lt;&gt;"")+(AG2227&lt;&gt;"")+(AL2227&lt;&gt;""))</f>
        <v>1</v>
      </c>
      <c r="AP2227" s="82" t="str">
        <f aca="false">IF(AL2227&lt;&gt;"",AL2227,IF(AG2227&lt;&gt;"",AG2227,IF(AA2227&lt;&gt;"",AA2227,"")))</f>
        <v>A</v>
      </c>
      <c r="AQ2227" s="84" t="str">
        <f aca="false">IF(E2227="","",IF(U2227="","À SOUDER",IF(X2227="","VT EN ATTENTE",IF(X2227="R","VT REJETÉ – À REPRENDRE",IF(AP2227="","À RADIOGRAPHIER",IF(AP2227="A","ACCEPTÉ",IF(AP2227="NX","NX – RT À REFAIRE",IF(IF(AO2227=1,AD2227,IF(AO2227=2,AI2227,""))="A","RÉPARÉ – À RADIOGRAPHIER",IF(IF(AO2227=1,AD2227,IF(AO2227=2,AI2227,""))="R","VT REJETÉ – À REPRENDRE",IF(OR(AP2227="CO",AP2227="NT"),"COUPE – À RESOUDER","À RÉPARER"))))))))))</f>
        <v>ACCEPTÉ</v>
      </c>
      <c r="AR2227" s="82" t="str">
        <f aca="false">IF(AND(ISNUMBER(U2227),OR(AQ2227="À RADIOGRAPHIER",AQ2227="RÉPARÉ – À RADIOGRAPHIER",AQ2227="NX – RT À REFAIRE",AQ2227="À RÉPARER",AQ2227="COUPE – À RESOUDER",AQ2227="VT REJETÉ – À REPRENDRE")),MAX(0,'PROGRAMME RT'!$C$4-U2227),"")</f>
        <v/>
      </c>
      <c r="AS2227" s="82" t="n">
        <f aca="false">IF(AND(OR(AQ2227="À RADIOGRAPHIER",AQ2227="RÉPARÉ – À RADIOGRAPHIER",AQ2227="NX – RT À REFAIRE"),OR('PROGRAMME RT'!$D$5="TOUTES",B2227='PROGRAMME RT'!$D$5)),1,0)</f>
        <v>0</v>
      </c>
      <c r="AT2227" s="82" t="str">
        <f aca="false">IF(AS2227=1,SUM(AS$7:AS2227),"")</f>
        <v/>
      </c>
      <c r="AU2227" s="82" t="n">
        <f aca="false">IF(AND(OR(AA2227="R",AA2227="NX",AA2227="NT",AA2227="CO"),OR('JOINTS DE RÉPARATION'!$D$5="TOUTES",B2227='JOINTS DE RÉPARATION'!$D$5),OR('JOINTS DE RÉPARATION'!$L$4="TOUS",AQ2227&lt;&gt;"ACCEPTÉ")),1,0)</f>
        <v>0</v>
      </c>
      <c r="AV2227" s="82" t="str">
        <f aca="false">IF(AU2227=1,SUM(AU$7:AU2227),"")</f>
        <v/>
      </c>
      <c r="AW2227" s="82" t="str">
        <f aca="false">IF(E2227="","",B2227&amp;"|"&amp;E2227)</f>
        <v>MFD-ISW → MFD-CPF|JN°1743</v>
      </c>
    </row>
    <row r="2228" customFormat="false" ht="74.6" hidden="false" customHeight="false" outlineLevel="0" collapsed="false">
      <c r="A2228" s="79" t="n">
        <f aca="false">IF(E2228="","",ROW()-6)</f>
        <v>2222</v>
      </c>
      <c r="B2228" s="80" t="s">
        <v>110</v>
      </c>
      <c r="C2228" s="81" t="s">
        <v>2687</v>
      </c>
      <c r="D2228" s="81" t="n">
        <v>21</v>
      </c>
      <c r="E2228" s="81" t="s">
        <v>2698</v>
      </c>
      <c r="F2228" s="82" t="str">
        <f aca="false">IF(E2228="","",IF(LEFT(E2228,2)="DJ","DJ","JN"))</f>
        <v>JN</v>
      </c>
      <c r="G2228" s="81" t="s">
        <v>1504</v>
      </c>
      <c r="H2228" s="81" t="s">
        <v>871</v>
      </c>
      <c r="I2228" s="81" t="n">
        <v>9.53</v>
      </c>
      <c r="J2228" s="81" t="s">
        <v>872</v>
      </c>
      <c r="K2228" s="81" t="s">
        <v>1861</v>
      </c>
      <c r="L2228" s="81" t="n">
        <v>2097310</v>
      </c>
      <c r="M2228" s="81" t="n">
        <v>15421110</v>
      </c>
      <c r="N2228" s="81" t="n">
        <v>11.94</v>
      </c>
      <c r="O2228" s="81" t="n">
        <v>2085520</v>
      </c>
      <c r="P2228" s="81" t="n">
        <v>15421107</v>
      </c>
      <c r="Q2228" s="81" t="n">
        <v>11.94</v>
      </c>
      <c r="R2228" s="81" t="s">
        <v>1862</v>
      </c>
      <c r="S2228" s="81"/>
      <c r="T2228" s="81"/>
      <c r="U2228" s="83" t="n">
        <v>46273</v>
      </c>
      <c r="V2228" s="83" t="n">
        <v>46273</v>
      </c>
      <c r="W2228" s="81" t="s">
        <v>2699</v>
      </c>
      <c r="X2228" s="81" t="s">
        <v>876</v>
      </c>
      <c r="Y2228" s="83" t="n">
        <v>46275</v>
      </c>
      <c r="Z2228" s="81" t="s">
        <v>2700</v>
      </c>
      <c r="AA2228" s="81" t="s">
        <v>876</v>
      </c>
      <c r="AB2228" s="81"/>
      <c r="AC2228" s="81"/>
      <c r="AD2228" s="81"/>
      <c r="AE2228" s="83"/>
      <c r="AF2228" s="81"/>
      <c r="AG2228" s="81"/>
      <c r="AH2228" s="81"/>
      <c r="AI2228" s="81"/>
      <c r="AJ2228" s="83"/>
      <c r="AK2228" s="81"/>
      <c r="AL2228" s="81"/>
      <c r="AM2228" s="83"/>
      <c r="AN2228" s="80"/>
      <c r="AO2228" s="82" t="n">
        <f aca="false">IF(E2228="","",(AA2228&lt;&gt;"")+(AG2228&lt;&gt;"")+(AL2228&lt;&gt;""))</f>
        <v>1</v>
      </c>
      <c r="AP2228" s="82" t="str">
        <f aca="false">IF(AL2228&lt;&gt;"",AL2228,IF(AG2228&lt;&gt;"",AG2228,IF(AA2228&lt;&gt;"",AA2228,"")))</f>
        <v>A</v>
      </c>
      <c r="AQ2228" s="84" t="str">
        <f aca="false">IF(E2228="","",IF(U2228="","À SOUDER",IF(X2228="","VT EN ATTENTE",IF(X2228="R","VT REJETÉ – À REPRENDRE",IF(AP2228="","À RADIOGRAPHIER",IF(AP2228="A","ACCEPTÉ",IF(AP2228="NX","NX – RT À REFAIRE",IF(IF(AO2228=1,AD2228,IF(AO2228=2,AI2228,""))="A","RÉPARÉ – À RADIOGRAPHIER",IF(IF(AO2228=1,AD2228,IF(AO2228=2,AI2228,""))="R","VT REJETÉ – À REPRENDRE",IF(OR(AP2228="CO",AP2228="NT"),"COUPE – À RESOUDER","À RÉPARER"))))))))))</f>
        <v>ACCEPTÉ</v>
      </c>
      <c r="AR2228" s="82" t="str">
        <f aca="false">IF(AND(ISNUMBER(U2228),OR(AQ2228="À RADIOGRAPHIER",AQ2228="RÉPARÉ – À RADIOGRAPHIER",AQ2228="NX – RT À REFAIRE",AQ2228="À RÉPARER",AQ2228="COUPE – À RESOUDER",AQ2228="VT REJETÉ – À REPRENDRE")),MAX(0,'PROGRAMME RT'!$C$4-U2228),"")</f>
        <v/>
      </c>
      <c r="AS2228" s="82" t="n">
        <f aca="false">IF(AND(OR(AQ2228="À RADIOGRAPHIER",AQ2228="RÉPARÉ – À RADIOGRAPHIER",AQ2228="NX – RT À REFAIRE"),OR('PROGRAMME RT'!$D$5="TOUTES",B2228='PROGRAMME RT'!$D$5)),1,0)</f>
        <v>0</v>
      </c>
      <c r="AT2228" s="82" t="str">
        <f aca="false">IF(AS2228=1,SUM(AS$7:AS2228),"")</f>
        <v/>
      </c>
      <c r="AU2228" s="82" t="n">
        <f aca="false">IF(AND(OR(AA2228="R",AA2228="NX",AA2228="NT",AA2228="CO"),OR('JOINTS DE RÉPARATION'!$D$5="TOUTES",B2228='JOINTS DE RÉPARATION'!$D$5),OR('JOINTS DE RÉPARATION'!$L$4="TOUS",AQ2228&lt;&gt;"ACCEPTÉ")),1,0)</f>
        <v>0</v>
      </c>
      <c r="AV2228" s="82" t="str">
        <f aca="false">IF(AU2228=1,SUM(AU$7:AU2228),"")</f>
        <v/>
      </c>
      <c r="AW2228" s="82" t="str">
        <f aca="false">IF(E2228="","",B2228&amp;"|"&amp;E2228)</f>
        <v>MFD-ISW → MFD-CPF|JN°1744R</v>
      </c>
    </row>
    <row r="2229" customFormat="false" ht="74.6" hidden="false" customHeight="false" outlineLevel="0" collapsed="false">
      <c r="A2229" s="79" t="n">
        <f aca="false">IF(E2229="","",ROW()-6)</f>
        <v>2223</v>
      </c>
      <c r="B2229" s="80" t="s">
        <v>110</v>
      </c>
      <c r="C2229" s="81" t="s">
        <v>2687</v>
      </c>
      <c r="D2229" s="81" t="n">
        <v>21</v>
      </c>
      <c r="E2229" s="81" t="s">
        <v>2701</v>
      </c>
      <c r="F2229" s="82" t="str">
        <f aca="false">IF(E2229="","",IF(LEFT(E2229,2)="DJ","DJ","JN"))</f>
        <v>JN</v>
      </c>
      <c r="G2229" s="81" t="s">
        <v>1504</v>
      </c>
      <c r="H2229" s="81" t="s">
        <v>871</v>
      </c>
      <c r="I2229" s="81" t="n">
        <v>9.53</v>
      </c>
      <c r="J2229" s="81" t="s">
        <v>872</v>
      </c>
      <c r="K2229" s="81" t="s">
        <v>879</v>
      </c>
      <c r="L2229" s="81" t="n">
        <v>2085520</v>
      </c>
      <c r="M2229" s="81" t="n">
        <v>15421107</v>
      </c>
      <c r="N2229" s="81" t="n">
        <v>11.94</v>
      </c>
      <c r="O2229" s="81" t="n">
        <v>2094090</v>
      </c>
      <c r="P2229" s="81" t="n">
        <v>15421110</v>
      </c>
      <c r="Q2229" s="81" t="n">
        <v>11.94</v>
      </c>
      <c r="R2229" s="81" t="s">
        <v>2681</v>
      </c>
      <c r="S2229" s="81"/>
      <c r="T2229" s="81"/>
      <c r="U2229" s="83" t="n">
        <v>46262</v>
      </c>
      <c r="V2229" s="83" t="n">
        <v>46262</v>
      </c>
      <c r="W2229" s="81" t="s">
        <v>2682</v>
      </c>
      <c r="X2229" s="81" t="s">
        <v>876</v>
      </c>
      <c r="Y2229" s="83" t="n">
        <v>46267</v>
      </c>
      <c r="Z2229" s="81" t="s">
        <v>2693</v>
      </c>
      <c r="AA2229" s="81" t="s">
        <v>876</v>
      </c>
      <c r="AB2229" s="81"/>
      <c r="AC2229" s="81"/>
      <c r="AD2229" s="81"/>
      <c r="AE2229" s="83"/>
      <c r="AF2229" s="81"/>
      <c r="AG2229" s="81"/>
      <c r="AH2229" s="81"/>
      <c r="AI2229" s="81"/>
      <c r="AJ2229" s="83"/>
      <c r="AK2229" s="81"/>
      <c r="AL2229" s="81"/>
      <c r="AM2229" s="83"/>
      <c r="AN2229" s="80"/>
      <c r="AO2229" s="82" t="n">
        <f aca="false">IF(E2229="","",(AA2229&lt;&gt;"")+(AG2229&lt;&gt;"")+(AL2229&lt;&gt;""))</f>
        <v>1</v>
      </c>
      <c r="AP2229" s="82" t="str">
        <f aca="false">IF(AL2229&lt;&gt;"",AL2229,IF(AG2229&lt;&gt;"",AG2229,IF(AA2229&lt;&gt;"",AA2229,"")))</f>
        <v>A</v>
      </c>
      <c r="AQ2229" s="84" t="str">
        <f aca="false">IF(E2229="","",IF(U2229="","À SOUDER",IF(X2229="","VT EN ATTENTE",IF(X2229="R","VT REJETÉ – À REPRENDRE",IF(AP2229="","À RADIOGRAPHIER",IF(AP2229="A","ACCEPTÉ",IF(AP2229="NX","NX – RT À REFAIRE",IF(IF(AO2229=1,AD2229,IF(AO2229=2,AI2229,""))="A","RÉPARÉ – À RADIOGRAPHIER",IF(IF(AO2229=1,AD2229,IF(AO2229=2,AI2229,""))="R","VT REJETÉ – À REPRENDRE",IF(OR(AP2229="CO",AP2229="NT"),"COUPE – À RESOUDER","À RÉPARER"))))))))))</f>
        <v>ACCEPTÉ</v>
      </c>
      <c r="AR2229" s="82" t="str">
        <f aca="false">IF(AND(ISNUMBER(U2229),OR(AQ2229="À RADIOGRAPHIER",AQ2229="RÉPARÉ – À RADIOGRAPHIER",AQ2229="NX – RT À REFAIRE",AQ2229="À RÉPARER",AQ2229="COUPE – À RESOUDER",AQ2229="VT REJETÉ – À REPRENDRE")),MAX(0,'PROGRAMME RT'!$C$4-U2229),"")</f>
        <v/>
      </c>
      <c r="AS2229" s="82" t="n">
        <f aca="false">IF(AND(OR(AQ2229="À RADIOGRAPHIER",AQ2229="RÉPARÉ – À RADIOGRAPHIER",AQ2229="NX – RT À REFAIRE"),OR('PROGRAMME RT'!$D$5="TOUTES",B2229='PROGRAMME RT'!$D$5)),1,0)</f>
        <v>0</v>
      </c>
      <c r="AT2229" s="82" t="str">
        <f aca="false">IF(AS2229=1,SUM(AS$7:AS2229),"")</f>
        <v/>
      </c>
      <c r="AU2229" s="82" t="n">
        <f aca="false">IF(AND(OR(AA2229="R",AA2229="NX",AA2229="NT",AA2229="CO"),OR('JOINTS DE RÉPARATION'!$D$5="TOUTES",B2229='JOINTS DE RÉPARATION'!$D$5),OR('JOINTS DE RÉPARATION'!$L$4="TOUS",AQ2229&lt;&gt;"ACCEPTÉ")),1,0)</f>
        <v>0</v>
      </c>
      <c r="AV2229" s="82" t="str">
        <f aca="false">IF(AU2229=1,SUM(AU$7:AU2229),"")</f>
        <v/>
      </c>
      <c r="AW2229" s="82" t="str">
        <f aca="false">IF(E2229="","",B2229&amp;"|"&amp;E2229)</f>
        <v>MFD-ISW → MFD-CPF|JN°1745</v>
      </c>
    </row>
    <row r="2230" customFormat="false" ht="74.6" hidden="false" customHeight="false" outlineLevel="0" collapsed="false">
      <c r="A2230" s="79" t="n">
        <f aca="false">IF(E2230="","",ROW()-6)</f>
        <v>2224</v>
      </c>
      <c r="B2230" s="80" t="s">
        <v>110</v>
      </c>
      <c r="C2230" s="81" t="s">
        <v>2687</v>
      </c>
      <c r="D2230" s="81" t="n">
        <v>21</v>
      </c>
      <c r="E2230" s="81" t="s">
        <v>2702</v>
      </c>
      <c r="F2230" s="82" t="str">
        <f aca="false">IF(E2230="","",IF(LEFT(E2230,2)="DJ","DJ","JN"))</f>
        <v>JN</v>
      </c>
      <c r="G2230" s="81" t="s">
        <v>1504</v>
      </c>
      <c r="H2230" s="81" t="s">
        <v>871</v>
      </c>
      <c r="I2230" s="81" t="n">
        <v>9.53</v>
      </c>
      <c r="J2230" s="81" t="s">
        <v>872</v>
      </c>
      <c r="K2230" s="81" t="s">
        <v>879</v>
      </c>
      <c r="L2230" s="81" t="n">
        <v>2094090</v>
      </c>
      <c r="M2230" s="81" t="n">
        <v>15421110</v>
      </c>
      <c r="N2230" s="81" t="n">
        <v>11.94</v>
      </c>
      <c r="O2230" s="81" t="n">
        <v>2085550</v>
      </c>
      <c r="P2230" s="81" t="n">
        <v>15421107</v>
      </c>
      <c r="Q2230" s="81" t="n">
        <v>11.94</v>
      </c>
      <c r="R2230" s="81" t="s">
        <v>2681</v>
      </c>
      <c r="S2230" s="81"/>
      <c r="T2230" s="81"/>
      <c r="U2230" s="83" t="n">
        <v>46262</v>
      </c>
      <c r="V2230" s="83" t="n">
        <v>46262</v>
      </c>
      <c r="W2230" s="81" t="s">
        <v>2682</v>
      </c>
      <c r="X2230" s="81" t="s">
        <v>876</v>
      </c>
      <c r="Y2230" s="83" t="n">
        <v>46267</v>
      </c>
      <c r="Z2230" s="81" t="s">
        <v>2693</v>
      </c>
      <c r="AA2230" s="81" t="s">
        <v>876</v>
      </c>
      <c r="AB2230" s="81"/>
      <c r="AC2230" s="81"/>
      <c r="AD2230" s="81"/>
      <c r="AE2230" s="83"/>
      <c r="AF2230" s="81"/>
      <c r="AG2230" s="81"/>
      <c r="AH2230" s="81"/>
      <c r="AI2230" s="81"/>
      <c r="AJ2230" s="83"/>
      <c r="AK2230" s="81"/>
      <c r="AL2230" s="81"/>
      <c r="AM2230" s="83"/>
      <c r="AN2230" s="80"/>
      <c r="AO2230" s="82" t="n">
        <f aca="false">IF(E2230="","",(AA2230&lt;&gt;"")+(AG2230&lt;&gt;"")+(AL2230&lt;&gt;""))</f>
        <v>1</v>
      </c>
      <c r="AP2230" s="82" t="str">
        <f aca="false">IF(AL2230&lt;&gt;"",AL2230,IF(AG2230&lt;&gt;"",AG2230,IF(AA2230&lt;&gt;"",AA2230,"")))</f>
        <v>A</v>
      </c>
      <c r="AQ2230" s="84" t="str">
        <f aca="false">IF(E2230="","",IF(U2230="","À SOUDER",IF(X2230="","VT EN ATTENTE",IF(X2230="R","VT REJETÉ – À REPRENDRE",IF(AP2230="","À RADIOGRAPHIER",IF(AP2230="A","ACCEPTÉ",IF(AP2230="NX","NX – RT À REFAIRE",IF(IF(AO2230=1,AD2230,IF(AO2230=2,AI2230,""))="A","RÉPARÉ – À RADIOGRAPHIER",IF(IF(AO2230=1,AD2230,IF(AO2230=2,AI2230,""))="R","VT REJETÉ – À REPRENDRE",IF(OR(AP2230="CO",AP2230="NT"),"COUPE – À RESOUDER","À RÉPARER"))))))))))</f>
        <v>ACCEPTÉ</v>
      </c>
      <c r="AR2230" s="82" t="str">
        <f aca="false">IF(AND(ISNUMBER(U2230),OR(AQ2230="À RADIOGRAPHIER",AQ2230="RÉPARÉ – À RADIOGRAPHIER",AQ2230="NX – RT À REFAIRE",AQ2230="À RÉPARER",AQ2230="COUPE – À RESOUDER",AQ2230="VT REJETÉ – À REPRENDRE")),MAX(0,'PROGRAMME RT'!$C$4-U2230),"")</f>
        <v/>
      </c>
      <c r="AS2230" s="82" t="n">
        <f aca="false">IF(AND(OR(AQ2230="À RADIOGRAPHIER",AQ2230="RÉPARÉ – À RADIOGRAPHIER",AQ2230="NX – RT À REFAIRE"),OR('PROGRAMME RT'!$D$5="TOUTES",B2230='PROGRAMME RT'!$D$5)),1,0)</f>
        <v>0</v>
      </c>
      <c r="AT2230" s="82" t="str">
        <f aca="false">IF(AS2230=1,SUM(AS$7:AS2230),"")</f>
        <v/>
      </c>
      <c r="AU2230" s="82" t="n">
        <f aca="false">IF(AND(OR(AA2230="R",AA2230="NX",AA2230="NT",AA2230="CO"),OR('JOINTS DE RÉPARATION'!$D$5="TOUTES",B2230='JOINTS DE RÉPARATION'!$D$5),OR('JOINTS DE RÉPARATION'!$L$4="TOUS",AQ2230&lt;&gt;"ACCEPTÉ")),1,0)</f>
        <v>0</v>
      </c>
      <c r="AV2230" s="82" t="str">
        <f aca="false">IF(AU2230=1,SUM(AU$7:AU2230),"")</f>
        <v/>
      </c>
      <c r="AW2230" s="82" t="str">
        <f aca="false">IF(E2230="","",B2230&amp;"|"&amp;E2230)</f>
        <v>MFD-ISW → MFD-CPF|JN°1746</v>
      </c>
    </row>
    <row r="2231" customFormat="false" ht="74.6" hidden="false" customHeight="false" outlineLevel="0" collapsed="false">
      <c r="A2231" s="79" t="n">
        <f aca="false">IF(E2231="","",ROW()-6)</f>
        <v>2225</v>
      </c>
      <c r="B2231" s="80" t="s">
        <v>110</v>
      </c>
      <c r="C2231" s="81" t="s">
        <v>2687</v>
      </c>
      <c r="D2231" s="81" t="n">
        <v>21</v>
      </c>
      <c r="E2231" s="81" t="s">
        <v>2703</v>
      </c>
      <c r="F2231" s="82" t="str">
        <f aca="false">IF(E2231="","",IF(LEFT(E2231,2)="DJ","DJ","JN"))</f>
        <v>JN</v>
      </c>
      <c r="G2231" s="81" t="s">
        <v>1504</v>
      </c>
      <c r="H2231" s="81" t="s">
        <v>871</v>
      </c>
      <c r="I2231" s="81" t="n">
        <v>9.53</v>
      </c>
      <c r="J2231" s="81" t="s">
        <v>872</v>
      </c>
      <c r="K2231" s="81" t="s">
        <v>879</v>
      </c>
      <c r="L2231" s="81" t="n">
        <v>2085550</v>
      </c>
      <c r="M2231" s="81" t="n">
        <v>15421107</v>
      </c>
      <c r="N2231" s="81" t="n">
        <v>11.94</v>
      </c>
      <c r="O2231" s="81" t="n">
        <v>2082170</v>
      </c>
      <c r="P2231" s="81" t="n">
        <v>15421104</v>
      </c>
      <c r="Q2231" s="81" t="n">
        <v>11.94</v>
      </c>
      <c r="R2231" s="81" t="s">
        <v>2681</v>
      </c>
      <c r="S2231" s="81"/>
      <c r="T2231" s="81"/>
      <c r="U2231" s="83" t="n">
        <v>46262</v>
      </c>
      <c r="V2231" s="83" t="n">
        <v>46262</v>
      </c>
      <c r="W2231" s="81" t="s">
        <v>2682</v>
      </c>
      <c r="X2231" s="81" t="s">
        <v>876</v>
      </c>
      <c r="Y2231" s="83" t="n">
        <v>46267</v>
      </c>
      <c r="Z2231" s="81" t="s">
        <v>2693</v>
      </c>
      <c r="AA2231" s="81" t="s">
        <v>876</v>
      </c>
      <c r="AB2231" s="81"/>
      <c r="AC2231" s="81"/>
      <c r="AD2231" s="81"/>
      <c r="AE2231" s="83"/>
      <c r="AF2231" s="81"/>
      <c r="AG2231" s="81"/>
      <c r="AH2231" s="81"/>
      <c r="AI2231" s="81"/>
      <c r="AJ2231" s="83"/>
      <c r="AK2231" s="81"/>
      <c r="AL2231" s="81"/>
      <c r="AM2231" s="83"/>
      <c r="AN2231" s="80"/>
      <c r="AO2231" s="82" t="n">
        <f aca="false">IF(E2231="","",(AA2231&lt;&gt;"")+(AG2231&lt;&gt;"")+(AL2231&lt;&gt;""))</f>
        <v>1</v>
      </c>
      <c r="AP2231" s="82" t="str">
        <f aca="false">IF(AL2231&lt;&gt;"",AL2231,IF(AG2231&lt;&gt;"",AG2231,IF(AA2231&lt;&gt;"",AA2231,"")))</f>
        <v>A</v>
      </c>
      <c r="AQ2231" s="84" t="str">
        <f aca="false">IF(E2231="","",IF(U2231="","À SOUDER",IF(X2231="","VT EN ATTENTE",IF(X2231="R","VT REJETÉ – À REPRENDRE",IF(AP2231="","À RADIOGRAPHIER",IF(AP2231="A","ACCEPTÉ",IF(AP2231="NX","NX – RT À REFAIRE",IF(IF(AO2231=1,AD2231,IF(AO2231=2,AI2231,""))="A","RÉPARÉ – À RADIOGRAPHIER",IF(IF(AO2231=1,AD2231,IF(AO2231=2,AI2231,""))="R","VT REJETÉ – À REPRENDRE",IF(OR(AP2231="CO",AP2231="NT"),"COUPE – À RESOUDER","À RÉPARER"))))))))))</f>
        <v>ACCEPTÉ</v>
      </c>
      <c r="AR2231" s="82" t="str">
        <f aca="false">IF(AND(ISNUMBER(U2231),OR(AQ2231="À RADIOGRAPHIER",AQ2231="RÉPARÉ – À RADIOGRAPHIER",AQ2231="NX – RT À REFAIRE",AQ2231="À RÉPARER",AQ2231="COUPE – À RESOUDER",AQ2231="VT REJETÉ – À REPRENDRE")),MAX(0,'PROGRAMME RT'!$C$4-U2231),"")</f>
        <v/>
      </c>
      <c r="AS2231" s="82" t="n">
        <f aca="false">IF(AND(OR(AQ2231="À RADIOGRAPHIER",AQ2231="RÉPARÉ – À RADIOGRAPHIER",AQ2231="NX – RT À REFAIRE"),OR('PROGRAMME RT'!$D$5="TOUTES",B2231='PROGRAMME RT'!$D$5)),1,0)</f>
        <v>0</v>
      </c>
      <c r="AT2231" s="82" t="str">
        <f aca="false">IF(AS2231=1,SUM(AS$7:AS2231),"")</f>
        <v/>
      </c>
      <c r="AU2231" s="82" t="n">
        <f aca="false">IF(AND(OR(AA2231="R",AA2231="NX",AA2231="NT",AA2231="CO"),OR('JOINTS DE RÉPARATION'!$D$5="TOUTES",B2231='JOINTS DE RÉPARATION'!$D$5),OR('JOINTS DE RÉPARATION'!$L$4="TOUS",AQ2231&lt;&gt;"ACCEPTÉ")),1,0)</f>
        <v>0</v>
      </c>
      <c r="AV2231" s="82" t="str">
        <f aca="false">IF(AU2231=1,SUM(AU$7:AU2231),"")</f>
        <v/>
      </c>
      <c r="AW2231" s="82" t="str">
        <f aca="false">IF(E2231="","",B2231&amp;"|"&amp;E2231)</f>
        <v>MFD-ISW → MFD-CPF|JN°1747</v>
      </c>
    </row>
    <row r="2232" customFormat="false" ht="74.6" hidden="false" customHeight="false" outlineLevel="0" collapsed="false">
      <c r="A2232" s="79" t="n">
        <f aca="false">IF(E2232="","",ROW()-6)</f>
        <v>2226</v>
      </c>
      <c r="B2232" s="80" t="s">
        <v>110</v>
      </c>
      <c r="C2232" s="81" t="s">
        <v>2687</v>
      </c>
      <c r="D2232" s="81" t="n">
        <v>21</v>
      </c>
      <c r="E2232" s="81" t="s">
        <v>2704</v>
      </c>
      <c r="F2232" s="82" t="str">
        <f aca="false">IF(E2232="","",IF(LEFT(E2232,2)="DJ","DJ","JN"))</f>
        <v>JN</v>
      </c>
      <c r="G2232" s="81" t="s">
        <v>1504</v>
      </c>
      <c r="H2232" s="81" t="s">
        <v>871</v>
      </c>
      <c r="I2232" s="81" t="n">
        <v>9.53</v>
      </c>
      <c r="J2232" s="81" t="s">
        <v>872</v>
      </c>
      <c r="K2232" s="81" t="s">
        <v>879</v>
      </c>
      <c r="L2232" s="81" t="n">
        <v>2082170</v>
      </c>
      <c r="M2232" s="81" t="n">
        <v>15421104</v>
      </c>
      <c r="N2232" s="81" t="n">
        <v>11.94</v>
      </c>
      <c r="O2232" s="81" t="n">
        <v>2079250</v>
      </c>
      <c r="P2232" s="81" t="n">
        <v>15421102</v>
      </c>
      <c r="Q2232" s="81" t="n">
        <v>11.94</v>
      </c>
      <c r="R2232" s="81" t="s">
        <v>2705</v>
      </c>
      <c r="S2232" s="81"/>
      <c r="T2232" s="81"/>
      <c r="U2232" s="83" t="n">
        <v>46261</v>
      </c>
      <c r="V2232" s="83" t="n">
        <v>46261</v>
      </c>
      <c r="W2232" s="81" t="s">
        <v>2706</v>
      </c>
      <c r="X2232" s="81" t="s">
        <v>876</v>
      </c>
      <c r="Y2232" s="83" t="n">
        <v>46267</v>
      </c>
      <c r="Z2232" s="81" t="s">
        <v>2693</v>
      </c>
      <c r="AA2232" s="81" t="s">
        <v>876</v>
      </c>
      <c r="AB2232" s="81"/>
      <c r="AC2232" s="81"/>
      <c r="AD2232" s="81"/>
      <c r="AE2232" s="83"/>
      <c r="AF2232" s="81"/>
      <c r="AG2232" s="81"/>
      <c r="AH2232" s="81"/>
      <c r="AI2232" s="81"/>
      <c r="AJ2232" s="83"/>
      <c r="AK2232" s="81"/>
      <c r="AL2232" s="81"/>
      <c r="AM2232" s="83"/>
      <c r="AN2232" s="80"/>
      <c r="AO2232" s="82" t="n">
        <f aca="false">IF(E2232="","",(AA2232&lt;&gt;"")+(AG2232&lt;&gt;"")+(AL2232&lt;&gt;""))</f>
        <v>1</v>
      </c>
      <c r="AP2232" s="82" t="str">
        <f aca="false">IF(AL2232&lt;&gt;"",AL2232,IF(AG2232&lt;&gt;"",AG2232,IF(AA2232&lt;&gt;"",AA2232,"")))</f>
        <v>A</v>
      </c>
      <c r="AQ2232" s="84" t="str">
        <f aca="false">IF(E2232="","",IF(U2232="","À SOUDER",IF(X2232="","VT EN ATTENTE",IF(X2232="R","VT REJETÉ – À REPRENDRE",IF(AP2232="","À RADIOGRAPHIER",IF(AP2232="A","ACCEPTÉ",IF(AP2232="NX","NX – RT À REFAIRE",IF(IF(AO2232=1,AD2232,IF(AO2232=2,AI2232,""))="A","RÉPARÉ – À RADIOGRAPHIER",IF(IF(AO2232=1,AD2232,IF(AO2232=2,AI2232,""))="R","VT REJETÉ – À REPRENDRE",IF(OR(AP2232="CO",AP2232="NT"),"COUPE – À RESOUDER","À RÉPARER"))))))))))</f>
        <v>ACCEPTÉ</v>
      </c>
      <c r="AR2232" s="82" t="str">
        <f aca="false">IF(AND(ISNUMBER(U2232),OR(AQ2232="À RADIOGRAPHIER",AQ2232="RÉPARÉ – À RADIOGRAPHIER",AQ2232="NX – RT À REFAIRE",AQ2232="À RÉPARER",AQ2232="COUPE – À RESOUDER",AQ2232="VT REJETÉ – À REPRENDRE")),MAX(0,'PROGRAMME RT'!$C$4-U2232),"")</f>
        <v/>
      </c>
      <c r="AS2232" s="82" t="n">
        <f aca="false">IF(AND(OR(AQ2232="À RADIOGRAPHIER",AQ2232="RÉPARÉ – À RADIOGRAPHIER",AQ2232="NX – RT À REFAIRE"),OR('PROGRAMME RT'!$D$5="TOUTES",B2232='PROGRAMME RT'!$D$5)),1,0)</f>
        <v>0</v>
      </c>
      <c r="AT2232" s="82" t="str">
        <f aca="false">IF(AS2232=1,SUM(AS$7:AS2232),"")</f>
        <v/>
      </c>
      <c r="AU2232" s="82" t="n">
        <f aca="false">IF(AND(OR(AA2232="R",AA2232="NX",AA2232="NT",AA2232="CO"),OR('JOINTS DE RÉPARATION'!$D$5="TOUTES",B2232='JOINTS DE RÉPARATION'!$D$5),OR('JOINTS DE RÉPARATION'!$L$4="TOUS",AQ2232&lt;&gt;"ACCEPTÉ")),1,0)</f>
        <v>0</v>
      </c>
      <c r="AV2232" s="82" t="str">
        <f aca="false">IF(AU2232=1,SUM(AU$7:AU2232),"")</f>
        <v/>
      </c>
      <c r="AW2232" s="82" t="str">
        <f aca="false">IF(E2232="","",B2232&amp;"|"&amp;E2232)</f>
        <v>MFD-ISW → MFD-CPF|JN°1748</v>
      </c>
    </row>
    <row r="2233" customFormat="false" ht="74.6" hidden="false" customHeight="false" outlineLevel="0" collapsed="false">
      <c r="A2233" s="79" t="n">
        <f aca="false">IF(E2233="","",ROW()-6)</f>
        <v>2227</v>
      </c>
      <c r="B2233" s="80" t="s">
        <v>110</v>
      </c>
      <c r="C2233" s="81" t="s">
        <v>2687</v>
      </c>
      <c r="D2233" s="81" t="n">
        <v>21</v>
      </c>
      <c r="E2233" s="81" t="s">
        <v>2707</v>
      </c>
      <c r="F2233" s="82" t="str">
        <f aca="false">IF(E2233="","",IF(LEFT(E2233,2)="DJ","DJ","JN"))</f>
        <v>JN</v>
      </c>
      <c r="G2233" s="81" t="s">
        <v>1504</v>
      </c>
      <c r="H2233" s="81" t="s">
        <v>871</v>
      </c>
      <c r="I2233" s="81" t="n">
        <v>9.53</v>
      </c>
      <c r="J2233" s="81" t="s">
        <v>872</v>
      </c>
      <c r="K2233" s="81" t="s">
        <v>879</v>
      </c>
      <c r="L2233" s="81" t="n">
        <v>2079250</v>
      </c>
      <c r="M2233" s="81" t="n">
        <v>15421102</v>
      </c>
      <c r="N2233" s="81" t="n">
        <v>11.94</v>
      </c>
      <c r="O2233" s="81" t="n">
        <v>2086700</v>
      </c>
      <c r="P2233" s="81" t="n">
        <v>15421107</v>
      </c>
      <c r="Q2233" s="81" t="n">
        <v>11.94</v>
      </c>
      <c r="R2233" s="81" t="s">
        <v>2708</v>
      </c>
      <c r="S2233" s="81"/>
      <c r="T2233" s="81"/>
      <c r="U2233" s="83" t="n">
        <v>46261</v>
      </c>
      <c r="V2233" s="83" t="n">
        <v>46261</v>
      </c>
      <c r="W2233" s="81" t="s">
        <v>2706</v>
      </c>
      <c r="X2233" s="81" t="s">
        <v>876</v>
      </c>
      <c r="Y2233" s="83" t="n">
        <v>46267</v>
      </c>
      <c r="Z2233" s="81" t="s">
        <v>2693</v>
      </c>
      <c r="AA2233" s="81" t="s">
        <v>876</v>
      </c>
      <c r="AB2233" s="81"/>
      <c r="AC2233" s="81"/>
      <c r="AD2233" s="81"/>
      <c r="AE2233" s="83"/>
      <c r="AF2233" s="81"/>
      <c r="AG2233" s="81"/>
      <c r="AH2233" s="81"/>
      <c r="AI2233" s="81"/>
      <c r="AJ2233" s="83"/>
      <c r="AK2233" s="81"/>
      <c r="AL2233" s="81"/>
      <c r="AM2233" s="83"/>
      <c r="AN2233" s="80"/>
      <c r="AO2233" s="82" t="n">
        <f aca="false">IF(E2233="","",(AA2233&lt;&gt;"")+(AG2233&lt;&gt;"")+(AL2233&lt;&gt;""))</f>
        <v>1</v>
      </c>
      <c r="AP2233" s="82" t="str">
        <f aca="false">IF(AL2233&lt;&gt;"",AL2233,IF(AG2233&lt;&gt;"",AG2233,IF(AA2233&lt;&gt;"",AA2233,"")))</f>
        <v>A</v>
      </c>
      <c r="AQ2233" s="84" t="str">
        <f aca="false">IF(E2233="","",IF(U2233="","À SOUDER",IF(X2233="","VT EN ATTENTE",IF(X2233="R","VT REJETÉ – À REPRENDRE",IF(AP2233="","À RADIOGRAPHIER",IF(AP2233="A","ACCEPTÉ",IF(AP2233="NX","NX – RT À REFAIRE",IF(IF(AO2233=1,AD2233,IF(AO2233=2,AI2233,""))="A","RÉPARÉ – À RADIOGRAPHIER",IF(IF(AO2233=1,AD2233,IF(AO2233=2,AI2233,""))="R","VT REJETÉ – À REPRENDRE",IF(OR(AP2233="CO",AP2233="NT"),"COUPE – À RESOUDER","À RÉPARER"))))))))))</f>
        <v>ACCEPTÉ</v>
      </c>
      <c r="AR2233" s="82" t="str">
        <f aca="false">IF(AND(ISNUMBER(U2233),OR(AQ2233="À RADIOGRAPHIER",AQ2233="RÉPARÉ – À RADIOGRAPHIER",AQ2233="NX – RT À REFAIRE",AQ2233="À RÉPARER",AQ2233="COUPE – À RESOUDER",AQ2233="VT REJETÉ – À REPRENDRE")),MAX(0,'PROGRAMME RT'!$C$4-U2233),"")</f>
        <v/>
      </c>
      <c r="AS2233" s="82" t="n">
        <f aca="false">IF(AND(OR(AQ2233="À RADIOGRAPHIER",AQ2233="RÉPARÉ – À RADIOGRAPHIER",AQ2233="NX – RT À REFAIRE"),OR('PROGRAMME RT'!$D$5="TOUTES",B2233='PROGRAMME RT'!$D$5)),1,0)</f>
        <v>0</v>
      </c>
      <c r="AT2233" s="82" t="str">
        <f aca="false">IF(AS2233=1,SUM(AS$7:AS2233),"")</f>
        <v/>
      </c>
      <c r="AU2233" s="82" t="n">
        <f aca="false">IF(AND(OR(AA2233="R",AA2233="NX",AA2233="NT",AA2233="CO"),OR('JOINTS DE RÉPARATION'!$D$5="TOUTES",B2233='JOINTS DE RÉPARATION'!$D$5),OR('JOINTS DE RÉPARATION'!$L$4="TOUS",AQ2233&lt;&gt;"ACCEPTÉ")),1,0)</f>
        <v>0</v>
      </c>
      <c r="AV2233" s="82" t="str">
        <f aca="false">IF(AU2233=1,SUM(AU$7:AU2233),"")</f>
        <v/>
      </c>
      <c r="AW2233" s="82" t="str">
        <f aca="false">IF(E2233="","",B2233&amp;"|"&amp;E2233)</f>
        <v>MFD-ISW → MFD-CPF|JN°1749</v>
      </c>
    </row>
    <row r="2234" customFormat="false" ht="74.6" hidden="false" customHeight="false" outlineLevel="0" collapsed="false">
      <c r="A2234" s="79" t="n">
        <f aca="false">IF(E2234="","",ROW()-6)</f>
        <v>2228</v>
      </c>
      <c r="B2234" s="80" t="s">
        <v>110</v>
      </c>
      <c r="C2234" s="81" t="s">
        <v>2687</v>
      </c>
      <c r="D2234" s="81" t="n">
        <v>21</v>
      </c>
      <c r="E2234" s="81" t="s">
        <v>2709</v>
      </c>
      <c r="F2234" s="82" t="str">
        <f aca="false">IF(E2234="","",IF(LEFT(E2234,2)="DJ","DJ","JN"))</f>
        <v>JN</v>
      </c>
      <c r="G2234" s="81" t="s">
        <v>1504</v>
      </c>
      <c r="H2234" s="81" t="s">
        <v>871</v>
      </c>
      <c r="I2234" s="81" t="n">
        <v>9.53</v>
      </c>
      <c r="J2234" s="81" t="s">
        <v>872</v>
      </c>
      <c r="K2234" s="81" t="s">
        <v>879</v>
      </c>
      <c r="L2234" s="81" t="n">
        <v>2086700</v>
      </c>
      <c r="M2234" s="81" t="n">
        <v>15421107</v>
      </c>
      <c r="N2234" s="81" t="n">
        <v>11.94</v>
      </c>
      <c r="O2234" s="81" t="n">
        <v>2084150</v>
      </c>
      <c r="P2234" s="81" t="n">
        <v>15421106</v>
      </c>
      <c r="Q2234" s="81" t="n">
        <v>11.94</v>
      </c>
      <c r="R2234" s="81" t="s">
        <v>2708</v>
      </c>
      <c r="S2234" s="81"/>
      <c r="T2234" s="81"/>
      <c r="U2234" s="83" t="n">
        <v>46261</v>
      </c>
      <c r="V2234" s="83" t="n">
        <v>46261</v>
      </c>
      <c r="W2234" s="81" t="s">
        <v>2706</v>
      </c>
      <c r="X2234" s="81" t="s">
        <v>876</v>
      </c>
      <c r="Y2234" s="83" t="n">
        <v>46267</v>
      </c>
      <c r="Z2234" s="81" t="s">
        <v>2693</v>
      </c>
      <c r="AA2234" s="81" t="s">
        <v>876</v>
      </c>
      <c r="AB2234" s="81"/>
      <c r="AC2234" s="81"/>
      <c r="AD2234" s="81"/>
      <c r="AE2234" s="83"/>
      <c r="AF2234" s="81"/>
      <c r="AG2234" s="81"/>
      <c r="AH2234" s="81"/>
      <c r="AI2234" s="81"/>
      <c r="AJ2234" s="83"/>
      <c r="AK2234" s="81"/>
      <c r="AL2234" s="81"/>
      <c r="AM2234" s="83"/>
      <c r="AN2234" s="80"/>
      <c r="AO2234" s="82" t="n">
        <f aca="false">IF(E2234="","",(AA2234&lt;&gt;"")+(AG2234&lt;&gt;"")+(AL2234&lt;&gt;""))</f>
        <v>1</v>
      </c>
      <c r="AP2234" s="82" t="str">
        <f aca="false">IF(AL2234&lt;&gt;"",AL2234,IF(AG2234&lt;&gt;"",AG2234,IF(AA2234&lt;&gt;"",AA2234,"")))</f>
        <v>A</v>
      </c>
      <c r="AQ2234" s="84" t="str">
        <f aca="false">IF(E2234="","",IF(U2234="","À SOUDER",IF(X2234="","VT EN ATTENTE",IF(X2234="R","VT REJETÉ – À REPRENDRE",IF(AP2234="","À RADIOGRAPHIER",IF(AP2234="A","ACCEPTÉ",IF(AP2234="NX","NX – RT À REFAIRE",IF(IF(AO2234=1,AD2234,IF(AO2234=2,AI2234,""))="A","RÉPARÉ – À RADIOGRAPHIER",IF(IF(AO2234=1,AD2234,IF(AO2234=2,AI2234,""))="R","VT REJETÉ – À REPRENDRE",IF(OR(AP2234="CO",AP2234="NT"),"COUPE – À RESOUDER","À RÉPARER"))))))))))</f>
        <v>ACCEPTÉ</v>
      </c>
      <c r="AR2234" s="82" t="str">
        <f aca="false">IF(AND(ISNUMBER(U2234),OR(AQ2234="À RADIOGRAPHIER",AQ2234="RÉPARÉ – À RADIOGRAPHIER",AQ2234="NX – RT À REFAIRE",AQ2234="À RÉPARER",AQ2234="COUPE – À RESOUDER",AQ2234="VT REJETÉ – À REPRENDRE")),MAX(0,'PROGRAMME RT'!$C$4-U2234),"")</f>
        <v/>
      </c>
      <c r="AS2234" s="82" t="n">
        <f aca="false">IF(AND(OR(AQ2234="À RADIOGRAPHIER",AQ2234="RÉPARÉ – À RADIOGRAPHIER",AQ2234="NX – RT À REFAIRE"),OR('PROGRAMME RT'!$D$5="TOUTES",B2234='PROGRAMME RT'!$D$5)),1,0)</f>
        <v>0</v>
      </c>
      <c r="AT2234" s="82" t="str">
        <f aca="false">IF(AS2234=1,SUM(AS$7:AS2234),"")</f>
        <v/>
      </c>
      <c r="AU2234" s="82" t="n">
        <f aca="false">IF(AND(OR(AA2234="R",AA2234="NX",AA2234="NT",AA2234="CO"),OR('JOINTS DE RÉPARATION'!$D$5="TOUTES",B2234='JOINTS DE RÉPARATION'!$D$5),OR('JOINTS DE RÉPARATION'!$L$4="TOUS",AQ2234&lt;&gt;"ACCEPTÉ")),1,0)</f>
        <v>0</v>
      </c>
      <c r="AV2234" s="82" t="str">
        <f aca="false">IF(AU2234=1,SUM(AU$7:AU2234),"")</f>
        <v/>
      </c>
      <c r="AW2234" s="82" t="str">
        <f aca="false">IF(E2234="","",B2234&amp;"|"&amp;E2234)</f>
        <v>MFD-ISW → MFD-CPF|JN°1750</v>
      </c>
    </row>
    <row r="2235" customFormat="false" ht="74.6" hidden="false" customHeight="false" outlineLevel="0" collapsed="false">
      <c r="A2235" s="79" t="n">
        <f aca="false">IF(E2235="","",ROW()-6)</f>
        <v>2229</v>
      </c>
      <c r="B2235" s="80" t="s">
        <v>110</v>
      </c>
      <c r="C2235" s="81" t="s">
        <v>926</v>
      </c>
      <c r="D2235" s="81" t="n">
        <v>21</v>
      </c>
      <c r="E2235" s="81" t="s">
        <v>2710</v>
      </c>
      <c r="F2235" s="82" t="str">
        <f aca="false">IF(E2235="","",IF(LEFT(E2235,2)="DJ","DJ","JN"))</f>
        <v>JN</v>
      </c>
      <c r="G2235" s="81"/>
      <c r="H2235" s="81"/>
      <c r="I2235" s="81"/>
      <c r="J2235" s="81"/>
      <c r="K2235" s="81"/>
      <c r="L2235" s="81" t="n">
        <v>2084150</v>
      </c>
      <c r="M2235" s="81" t="n">
        <v>15421106</v>
      </c>
      <c r="N2235" s="81" t="n">
        <v>11.94</v>
      </c>
      <c r="O2235" s="81"/>
      <c r="P2235" s="81"/>
      <c r="Q2235" s="81"/>
      <c r="R2235" s="81"/>
      <c r="S2235" s="81"/>
      <c r="T2235" s="81"/>
      <c r="U2235" s="83"/>
      <c r="V2235" s="83"/>
      <c r="W2235" s="81"/>
      <c r="X2235" s="81"/>
      <c r="Y2235" s="83"/>
      <c r="Z2235" s="81"/>
      <c r="AA2235" s="81"/>
      <c r="AB2235" s="81"/>
      <c r="AC2235" s="81"/>
      <c r="AD2235" s="81"/>
      <c r="AE2235" s="83"/>
      <c r="AF2235" s="81"/>
      <c r="AG2235" s="81"/>
      <c r="AH2235" s="81"/>
      <c r="AI2235" s="81"/>
      <c r="AJ2235" s="83"/>
      <c r="AK2235" s="81"/>
      <c r="AL2235" s="81"/>
      <c r="AM2235" s="83"/>
      <c r="AN2235" s="80"/>
      <c r="AO2235" s="82" t="n">
        <f aca="false">IF(E2235="","",(AA2235&lt;&gt;"")+(AG2235&lt;&gt;"")+(AL2235&lt;&gt;""))</f>
        <v>0</v>
      </c>
      <c r="AP2235" s="82" t="str">
        <f aca="false">IF(AL2235&lt;&gt;"",AL2235,IF(AG2235&lt;&gt;"",AG2235,IF(AA2235&lt;&gt;"",AA2235,"")))</f>
        <v/>
      </c>
      <c r="AQ2235" s="84" t="str">
        <f aca="false">IF(E2235="","",IF(U2235="","À SOUDER",IF(X2235="","VT EN ATTENTE",IF(X2235="R","VT REJETÉ – À REPRENDRE",IF(AP2235="","À RADIOGRAPHIER",IF(AP2235="A","ACCEPTÉ",IF(AP2235="NX","NX – RT À REFAIRE",IF(IF(AO2235=1,AD2235,IF(AO2235=2,AI2235,""))="A","RÉPARÉ – À RADIOGRAPHIER",IF(IF(AO2235=1,AD2235,IF(AO2235=2,AI2235,""))="R","VT REJETÉ – À REPRENDRE",IF(OR(AP2235="CO",AP2235="NT"),"COUPE – À RESOUDER","À RÉPARER"))))))))))</f>
        <v>À SOUDER</v>
      </c>
      <c r="AR2235" s="82" t="str">
        <f aca="false">IF(AND(ISNUMBER(U2235),OR(AQ2235="À RADIOGRAPHIER",AQ2235="RÉPARÉ – À RADIOGRAPHIER",AQ2235="NX – RT À REFAIRE",AQ2235="À RÉPARER",AQ2235="COUPE – À RESOUDER",AQ2235="VT REJETÉ – À REPRENDRE")),MAX(0,'PROGRAMME RT'!$C$4-U2235),"")</f>
        <v/>
      </c>
      <c r="AS2235" s="82" t="n">
        <f aca="false">IF(AND(OR(AQ2235="À RADIOGRAPHIER",AQ2235="RÉPARÉ – À RADIOGRAPHIER",AQ2235="NX – RT À REFAIRE"),OR('PROGRAMME RT'!$D$5="TOUTES",B2235='PROGRAMME RT'!$D$5)),1,0)</f>
        <v>0</v>
      </c>
      <c r="AT2235" s="82" t="str">
        <f aca="false">IF(AS2235=1,SUM(AS$7:AS2235),"")</f>
        <v/>
      </c>
      <c r="AU2235" s="82" t="n">
        <f aca="false">IF(AND(OR(AA2235="R",AA2235="NX",AA2235="NT",AA2235="CO"),OR('JOINTS DE RÉPARATION'!$D$5="TOUTES",B2235='JOINTS DE RÉPARATION'!$D$5),OR('JOINTS DE RÉPARATION'!$L$4="TOUS",AQ2235&lt;&gt;"ACCEPTÉ")),1,0)</f>
        <v>0</v>
      </c>
      <c r="AV2235" s="82" t="str">
        <f aca="false">IF(AU2235=1,SUM(AU$7:AU2235),"")</f>
        <v/>
      </c>
      <c r="AW2235" s="82" t="str">
        <f aca="false">IF(E2235="","",B2235&amp;"|"&amp;E2235)</f>
        <v>MFD-ISW → MFD-CPF|JN°1751</v>
      </c>
    </row>
    <row r="2236" customFormat="false" ht="74.6" hidden="false" customHeight="false" outlineLevel="0" collapsed="false">
      <c r="A2236" s="79" t="n">
        <f aca="false">IF(E2236="","",ROW()-6)</f>
        <v>2230</v>
      </c>
      <c r="B2236" s="80" t="s">
        <v>110</v>
      </c>
      <c r="C2236" s="81" t="s">
        <v>926</v>
      </c>
      <c r="D2236" s="81" t="n">
        <v>21</v>
      </c>
      <c r="E2236" s="81" t="s">
        <v>2711</v>
      </c>
      <c r="F2236" s="82" t="str">
        <f aca="false">IF(E2236="","",IF(LEFT(E2236,2)="DJ","DJ","JN"))</f>
        <v>JN</v>
      </c>
      <c r="G2236" s="81"/>
      <c r="H2236" s="81"/>
      <c r="I2236" s="81"/>
      <c r="J2236" s="81"/>
      <c r="K2236" s="81"/>
      <c r="L2236" s="81"/>
      <c r="M2236" s="81"/>
      <c r="N2236" s="81"/>
      <c r="O2236" s="81"/>
      <c r="P2236" s="81"/>
      <c r="Q2236" s="81"/>
      <c r="R2236" s="81"/>
      <c r="S2236" s="81"/>
      <c r="T2236" s="81"/>
      <c r="U2236" s="83"/>
      <c r="V2236" s="83"/>
      <c r="W2236" s="81"/>
      <c r="X2236" s="81"/>
      <c r="Y2236" s="83"/>
      <c r="Z2236" s="81"/>
      <c r="AA2236" s="81"/>
      <c r="AB2236" s="81"/>
      <c r="AC2236" s="81"/>
      <c r="AD2236" s="81"/>
      <c r="AE2236" s="83"/>
      <c r="AF2236" s="81"/>
      <c r="AG2236" s="81"/>
      <c r="AH2236" s="81"/>
      <c r="AI2236" s="81"/>
      <c r="AJ2236" s="83"/>
      <c r="AK2236" s="81"/>
      <c r="AL2236" s="81"/>
      <c r="AM2236" s="83"/>
      <c r="AN2236" s="80"/>
      <c r="AO2236" s="82" t="n">
        <f aca="false">IF(E2236="","",(AA2236&lt;&gt;"")+(AG2236&lt;&gt;"")+(AL2236&lt;&gt;""))</f>
        <v>0</v>
      </c>
      <c r="AP2236" s="82" t="str">
        <f aca="false">IF(AL2236&lt;&gt;"",AL2236,IF(AG2236&lt;&gt;"",AG2236,IF(AA2236&lt;&gt;"",AA2236,"")))</f>
        <v/>
      </c>
      <c r="AQ2236" s="84" t="str">
        <f aca="false">IF(E2236="","",IF(U2236="","À SOUDER",IF(X2236="","VT EN ATTENTE",IF(X2236="R","VT REJETÉ – À REPRENDRE",IF(AP2236="","À RADIOGRAPHIER",IF(AP2236="A","ACCEPTÉ",IF(AP2236="NX","NX – RT À REFAIRE",IF(IF(AO2236=1,AD2236,IF(AO2236=2,AI2236,""))="A","RÉPARÉ – À RADIOGRAPHIER",IF(IF(AO2236=1,AD2236,IF(AO2236=2,AI2236,""))="R","VT REJETÉ – À REPRENDRE",IF(OR(AP2236="CO",AP2236="NT"),"COUPE – À RESOUDER","À RÉPARER"))))))))))</f>
        <v>À SOUDER</v>
      </c>
      <c r="AR2236" s="82" t="str">
        <f aca="false">IF(AND(ISNUMBER(U2236),OR(AQ2236="À RADIOGRAPHIER",AQ2236="RÉPARÉ – À RADIOGRAPHIER",AQ2236="NX – RT À REFAIRE",AQ2236="À RÉPARER",AQ2236="COUPE – À RESOUDER",AQ2236="VT REJETÉ – À REPRENDRE")),MAX(0,'PROGRAMME RT'!$C$4-U2236),"")</f>
        <v/>
      </c>
      <c r="AS2236" s="82" t="n">
        <f aca="false">IF(AND(OR(AQ2236="À RADIOGRAPHIER",AQ2236="RÉPARÉ – À RADIOGRAPHIER",AQ2236="NX – RT À REFAIRE"),OR('PROGRAMME RT'!$D$5="TOUTES",B2236='PROGRAMME RT'!$D$5)),1,0)</f>
        <v>0</v>
      </c>
      <c r="AT2236" s="82" t="str">
        <f aca="false">IF(AS2236=1,SUM(AS$7:AS2236),"")</f>
        <v/>
      </c>
      <c r="AU2236" s="82" t="n">
        <f aca="false">IF(AND(OR(AA2236="R",AA2236="NX",AA2236="NT",AA2236="CO"),OR('JOINTS DE RÉPARATION'!$D$5="TOUTES",B2236='JOINTS DE RÉPARATION'!$D$5),OR('JOINTS DE RÉPARATION'!$L$4="TOUS",AQ2236&lt;&gt;"ACCEPTÉ")),1,0)</f>
        <v>0</v>
      </c>
      <c r="AV2236" s="82" t="str">
        <f aca="false">IF(AU2236=1,SUM(AU$7:AU2236),"")</f>
        <v/>
      </c>
      <c r="AW2236" s="82" t="str">
        <f aca="false">IF(E2236="","",B2236&amp;"|"&amp;E2236)</f>
        <v>MFD-ISW → MFD-CPF|JN°1752</v>
      </c>
    </row>
    <row r="2237" customFormat="false" ht="74.6" hidden="false" customHeight="false" outlineLevel="0" collapsed="false">
      <c r="A2237" s="79" t="n">
        <f aca="false">IF(E2237="","",ROW()-6)</f>
        <v>2231</v>
      </c>
      <c r="B2237" s="80" t="s">
        <v>110</v>
      </c>
      <c r="C2237" s="81" t="s">
        <v>926</v>
      </c>
      <c r="D2237" s="81" t="n">
        <v>21</v>
      </c>
      <c r="E2237" s="81" t="s">
        <v>2712</v>
      </c>
      <c r="F2237" s="82" t="str">
        <f aca="false">IF(E2237="","",IF(LEFT(E2237,2)="DJ","DJ","JN"))</f>
        <v>JN</v>
      </c>
      <c r="G2237" s="81"/>
      <c r="H2237" s="81"/>
      <c r="I2237" s="81"/>
      <c r="J2237" s="81"/>
      <c r="K2237" s="81"/>
      <c r="L2237" s="81"/>
      <c r="M2237" s="81"/>
      <c r="N2237" s="81"/>
      <c r="O2237" s="81"/>
      <c r="P2237" s="81"/>
      <c r="Q2237" s="81"/>
      <c r="R2237" s="81"/>
      <c r="S2237" s="81"/>
      <c r="T2237" s="81"/>
      <c r="U2237" s="83"/>
      <c r="V2237" s="83"/>
      <c r="W2237" s="81"/>
      <c r="X2237" s="81"/>
      <c r="Y2237" s="83"/>
      <c r="Z2237" s="81"/>
      <c r="AA2237" s="81"/>
      <c r="AB2237" s="81"/>
      <c r="AC2237" s="81"/>
      <c r="AD2237" s="81"/>
      <c r="AE2237" s="83"/>
      <c r="AF2237" s="81"/>
      <c r="AG2237" s="81"/>
      <c r="AH2237" s="81"/>
      <c r="AI2237" s="81"/>
      <c r="AJ2237" s="83"/>
      <c r="AK2237" s="81"/>
      <c r="AL2237" s="81"/>
      <c r="AM2237" s="83"/>
      <c r="AN2237" s="80"/>
      <c r="AO2237" s="82" t="n">
        <f aca="false">IF(E2237="","",(AA2237&lt;&gt;"")+(AG2237&lt;&gt;"")+(AL2237&lt;&gt;""))</f>
        <v>0</v>
      </c>
      <c r="AP2237" s="82" t="str">
        <f aca="false">IF(AL2237&lt;&gt;"",AL2237,IF(AG2237&lt;&gt;"",AG2237,IF(AA2237&lt;&gt;"",AA2237,"")))</f>
        <v/>
      </c>
      <c r="AQ2237" s="84" t="str">
        <f aca="false">IF(E2237="","",IF(U2237="","À SOUDER",IF(X2237="","VT EN ATTENTE",IF(X2237="R","VT REJETÉ – À REPRENDRE",IF(AP2237="","À RADIOGRAPHIER",IF(AP2237="A","ACCEPTÉ",IF(AP2237="NX","NX – RT À REFAIRE",IF(IF(AO2237=1,AD2237,IF(AO2237=2,AI2237,""))="A","RÉPARÉ – À RADIOGRAPHIER",IF(IF(AO2237=1,AD2237,IF(AO2237=2,AI2237,""))="R","VT REJETÉ – À REPRENDRE",IF(OR(AP2237="CO",AP2237="NT"),"COUPE – À RESOUDER","À RÉPARER"))))))))))</f>
        <v>À SOUDER</v>
      </c>
      <c r="AR2237" s="82" t="str">
        <f aca="false">IF(AND(ISNUMBER(U2237),OR(AQ2237="À RADIOGRAPHIER",AQ2237="RÉPARÉ – À RADIOGRAPHIER",AQ2237="NX – RT À REFAIRE",AQ2237="À RÉPARER",AQ2237="COUPE – À RESOUDER",AQ2237="VT REJETÉ – À REPRENDRE")),MAX(0,'PROGRAMME RT'!$C$4-U2237),"")</f>
        <v/>
      </c>
      <c r="AS2237" s="82" t="n">
        <f aca="false">IF(AND(OR(AQ2237="À RADIOGRAPHIER",AQ2237="RÉPARÉ – À RADIOGRAPHIER",AQ2237="NX – RT À REFAIRE"),OR('PROGRAMME RT'!$D$5="TOUTES",B2237='PROGRAMME RT'!$D$5)),1,0)</f>
        <v>0</v>
      </c>
      <c r="AT2237" s="82" t="str">
        <f aca="false">IF(AS2237=1,SUM(AS$7:AS2237),"")</f>
        <v/>
      </c>
      <c r="AU2237" s="82" t="n">
        <f aca="false">IF(AND(OR(AA2237="R",AA2237="NX",AA2237="NT",AA2237="CO"),OR('JOINTS DE RÉPARATION'!$D$5="TOUTES",B2237='JOINTS DE RÉPARATION'!$D$5),OR('JOINTS DE RÉPARATION'!$L$4="TOUS",AQ2237&lt;&gt;"ACCEPTÉ")),1,0)</f>
        <v>0</v>
      </c>
      <c r="AV2237" s="82" t="str">
        <f aca="false">IF(AU2237=1,SUM(AU$7:AU2237),"")</f>
        <v/>
      </c>
      <c r="AW2237" s="82" t="str">
        <f aca="false">IF(E2237="","",B2237&amp;"|"&amp;E2237)</f>
        <v>MFD-ISW → MFD-CPF|JN°1753</v>
      </c>
    </row>
    <row r="2238" customFormat="false" ht="74.6" hidden="false" customHeight="false" outlineLevel="0" collapsed="false">
      <c r="A2238" s="79" t="n">
        <f aca="false">IF(E2238="","",ROW()-6)</f>
        <v>2232</v>
      </c>
      <c r="B2238" s="80" t="s">
        <v>110</v>
      </c>
      <c r="C2238" s="81" t="s">
        <v>926</v>
      </c>
      <c r="D2238" s="81" t="n">
        <v>21</v>
      </c>
      <c r="E2238" s="81" t="s">
        <v>2713</v>
      </c>
      <c r="F2238" s="82" t="str">
        <f aca="false">IF(E2238="","",IF(LEFT(E2238,2)="DJ","DJ","JN"))</f>
        <v>JN</v>
      </c>
      <c r="G2238" s="81"/>
      <c r="H2238" s="81"/>
      <c r="I2238" s="81"/>
      <c r="J2238" s="81"/>
      <c r="K2238" s="81"/>
      <c r="L2238" s="81"/>
      <c r="M2238" s="81"/>
      <c r="N2238" s="81"/>
      <c r="O2238" s="81" t="n">
        <v>2084950</v>
      </c>
      <c r="P2238" s="81" t="n">
        <v>15421106</v>
      </c>
      <c r="Q2238" s="81" t="n">
        <v>11.94</v>
      </c>
      <c r="R2238" s="81"/>
      <c r="S2238" s="81"/>
      <c r="T2238" s="81"/>
      <c r="U2238" s="83"/>
      <c r="V2238" s="83"/>
      <c r="W2238" s="81"/>
      <c r="X2238" s="81"/>
      <c r="Y2238" s="83"/>
      <c r="Z2238" s="81"/>
      <c r="AA2238" s="81"/>
      <c r="AB2238" s="81"/>
      <c r="AC2238" s="81"/>
      <c r="AD2238" s="81"/>
      <c r="AE2238" s="83"/>
      <c r="AF2238" s="81"/>
      <c r="AG2238" s="81"/>
      <c r="AH2238" s="81"/>
      <c r="AI2238" s="81"/>
      <c r="AJ2238" s="83"/>
      <c r="AK2238" s="81"/>
      <c r="AL2238" s="81"/>
      <c r="AM2238" s="83"/>
      <c r="AN2238" s="80"/>
      <c r="AO2238" s="82" t="n">
        <f aca="false">IF(E2238="","",(AA2238&lt;&gt;"")+(AG2238&lt;&gt;"")+(AL2238&lt;&gt;""))</f>
        <v>0</v>
      </c>
      <c r="AP2238" s="82" t="str">
        <f aca="false">IF(AL2238&lt;&gt;"",AL2238,IF(AG2238&lt;&gt;"",AG2238,IF(AA2238&lt;&gt;"",AA2238,"")))</f>
        <v/>
      </c>
      <c r="AQ2238" s="84" t="str">
        <f aca="false">IF(E2238="","",IF(U2238="","À SOUDER",IF(X2238="","VT EN ATTENTE",IF(X2238="R","VT REJETÉ – À REPRENDRE",IF(AP2238="","À RADIOGRAPHIER",IF(AP2238="A","ACCEPTÉ",IF(AP2238="NX","NX – RT À REFAIRE",IF(IF(AO2238=1,AD2238,IF(AO2238=2,AI2238,""))="A","RÉPARÉ – À RADIOGRAPHIER",IF(IF(AO2238=1,AD2238,IF(AO2238=2,AI2238,""))="R","VT REJETÉ – À REPRENDRE",IF(OR(AP2238="CO",AP2238="NT"),"COUPE – À RESOUDER","À RÉPARER"))))))))))</f>
        <v>À SOUDER</v>
      </c>
      <c r="AR2238" s="82" t="str">
        <f aca="false">IF(AND(ISNUMBER(U2238),OR(AQ2238="À RADIOGRAPHIER",AQ2238="RÉPARÉ – À RADIOGRAPHIER",AQ2238="NX – RT À REFAIRE",AQ2238="À RÉPARER",AQ2238="COUPE – À RESOUDER",AQ2238="VT REJETÉ – À REPRENDRE")),MAX(0,'PROGRAMME RT'!$C$4-U2238),"")</f>
        <v/>
      </c>
      <c r="AS2238" s="82" t="n">
        <f aca="false">IF(AND(OR(AQ2238="À RADIOGRAPHIER",AQ2238="RÉPARÉ – À RADIOGRAPHIER",AQ2238="NX – RT À REFAIRE"),OR('PROGRAMME RT'!$D$5="TOUTES",B2238='PROGRAMME RT'!$D$5)),1,0)</f>
        <v>0</v>
      </c>
      <c r="AT2238" s="82" t="str">
        <f aca="false">IF(AS2238=1,SUM(AS$7:AS2238),"")</f>
        <v/>
      </c>
      <c r="AU2238" s="82" t="n">
        <f aca="false">IF(AND(OR(AA2238="R",AA2238="NX",AA2238="NT",AA2238="CO"),OR('JOINTS DE RÉPARATION'!$D$5="TOUTES",B2238='JOINTS DE RÉPARATION'!$D$5),OR('JOINTS DE RÉPARATION'!$L$4="TOUS",AQ2238&lt;&gt;"ACCEPTÉ")),1,0)</f>
        <v>0</v>
      </c>
      <c r="AV2238" s="82" t="str">
        <f aca="false">IF(AU2238=1,SUM(AU$7:AU2238),"")</f>
        <v/>
      </c>
      <c r="AW2238" s="82" t="str">
        <f aca="false">IF(E2238="","",B2238&amp;"|"&amp;E2238)</f>
        <v>MFD-ISW → MFD-CPF|JN°1754</v>
      </c>
    </row>
    <row r="2239" customFormat="false" ht="74.6" hidden="false" customHeight="false" outlineLevel="0" collapsed="false">
      <c r="A2239" s="79" t="n">
        <f aca="false">IF(E2239="","",ROW()-6)</f>
        <v>2233</v>
      </c>
      <c r="B2239" s="80" t="s">
        <v>110</v>
      </c>
      <c r="C2239" s="81" t="s">
        <v>2714</v>
      </c>
      <c r="D2239" s="81" t="n">
        <v>21</v>
      </c>
      <c r="E2239" s="81" t="s">
        <v>2715</v>
      </c>
      <c r="F2239" s="82" t="str">
        <f aca="false">IF(E2239="","",IF(LEFT(E2239,2)="DJ","DJ","JN"))</f>
        <v>JN</v>
      </c>
      <c r="G2239" s="81" t="s">
        <v>1504</v>
      </c>
      <c r="H2239" s="81" t="s">
        <v>871</v>
      </c>
      <c r="I2239" s="81" t="n">
        <v>9.53</v>
      </c>
      <c r="J2239" s="81" t="s">
        <v>872</v>
      </c>
      <c r="K2239" s="81" t="s">
        <v>879</v>
      </c>
      <c r="L2239" s="81" t="n">
        <v>2084950</v>
      </c>
      <c r="M2239" s="81" t="n">
        <v>15421106</v>
      </c>
      <c r="N2239" s="81" t="n">
        <v>11.94</v>
      </c>
      <c r="O2239" s="81" t="n">
        <v>2086630</v>
      </c>
      <c r="P2239" s="81" t="n">
        <v>15421107</v>
      </c>
      <c r="Q2239" s="81" t="n">
        <v>11.94</v>
      </c>
      <c r="R2239" s="81" t="s">
        <v>2708</v>
      </c>
      <c r="S2239" s="81"/>
      <c r="T2239" s="81"/>
      <c r="U2239" s="83" t="n">
        <v>46261</v>
      </c>
      <c r="V2239" s="83" t="n">
        <v>46261</v>
      </c>
      <c r="W2239" s="81" t="s">
        <v>2706</v>
      </c>
      <c r="X2239" s="81" t="s">
        <v>876</v>
      </c>
      <c r="Y2239" s="83" t="n">
        <v>46266</v>
      </c>
      <c r="Z2239" s="81" t="s">
        <v>2716</v>
      </c>
      <c r="AA2239" s="81" t="s">
        <v>876</v>
      </c>
      <c r="AB2239" s="81"/>
      <c r="AC2239" s="81"/>
      <c r="AD2239" s="81"/>
      <c r="AE2239" s="83"/>
      <c r="AF2239" s="81"/>
      <c r="AG2239" s="81"/>
      <c r="AH2239" s="81"/>
      <c r="AI2239" s="81"/>
      <c r="AJ2239" s="83"/>
      <c r="AK2239" s="81"/>
      <c r="AL2239" s="81"/>
      <c r="AM2239" s="83"/>
      <c r="AN2239" s="80"/>
      <c r="AO2239" s="82" t="n">
        <f aca="false">IF(E2239="","",(AA2239&lt;&gt;"")+(AG2239&lt;&gt;"")+(AL2239&lt;&gt;""))</f>
        <v>1</v>
      </c>
      <c r="AP2239" s="82" t="str">
        <f aca="false">IF(AL2239&lt;&gt;"",AL2239,IF(AG2239&lt;&gt;"",AG2239,IF(AA2239&lt;&gt;"",AA2239,"")))</f>
        <v>A</v>
      </c>
      <c r="AQ2239" s="84" t="str">
        <f aca="false">IF(E2239="","",IF(U2239="","À SOUDER",IF(X2239="","VT EN ATTENTE",IF(X2239="R","VT REJETÉ – À REPRENDRE",IF(AP2239="","À RADIOGRAPHIER",IF(AP2239="A","ACCEPTÉ",IF(AP2239="NX","NX – RT À REFAIRE",IF(IF(AO2239=1,AD2239,IF(AO2239=2,AI2239,""))="A","RÉPARÉ – À RADIOGRAPHIER",IF(IF(AO2239=1,AD2239,IF(AO2239=2,AI2239,""))="R","VT REJETÉ – À REPRENDRE",IF(OR(AP2239="CO",AP2239="NT"),"COUPE – À RESOUDER","À RÉPARER"))))))))))</f>
        <v>ACCEPTÉ</v>
      </c>
      <c r="AR2239" s="82" t="str">
        <f aca="false">IF(AND(ISNUMBER(U2239),OR(AQ2239="À RADIOGRAPHIER",AQ2239="RÉPARÉ – À RADIOGRAPHIER",AQ2239="NX – RT À REFAIRE",AQ2239="À RÉPARER",AQ2239="COUPE – À RESOUDER",AQ2239="VT REJETÉ – À REPRENDRE")),MAX(0,'PROGRAMME RT'!$C$4-U2239),"")</f>
        <v/>
      </c>
      <c r="AS2239" s="82" t="n">
        <f aca="false">IF(AND(OR(AQ2239="À RADIOGRAPHIER",AQ2239="RÉPARÉ – À RADIOGRAPHIER",AQ2239="NX – RT À REFAIRE"),OR('PROGRAMME RT'!$D$5="TOUTES",B2239='PROGRAMME RT'!$D$5)),1,0)</f>
        <v>0</v>
      </c>
      <c r="AT2239" s="82" t="str">
        <f aca="false">IF(AS2239=1,SUM(AS$7:AS2239),"")</f>
        <v/>
      </c>
      <c r="AU2239" s="82" t="n">
        <f aca="false">IF(AND(OR(AA2239="R",AA2239="NX",AA2239="NT",AA2239="CO"),OR('JOINTS DE RÉPARATION'!$D$5="TOUTES",B2239='JOINTS DE RÉPARATION'!$D$5),OR('JOINTS DE RÉPARATION'!$L$4="TOUS",AQ2239&lt;&gt;"ACCEPTÉ")),1,0)</f>
        <v>0</v>
      </c>
      <c r="AV2239" s="82" t="str">
        <f aca="false">IF(AU2239=1,SUM(AU$7:AU2239),"")</f>
        <v/>
      </c>
      <c r="AW2239" s="82" t="str">
        <f aca="false">IF(E2239="","",B2239&amp;"|"&amp;E2239)</f>
        <v>MFD-ISW → MFD-CPF|JN°1755</v>
      </c>
    </row>
    <row r="2240" customFormat="false" ht="74.6" hidden="false" customHeight="false" outlineLevel="0" collapsed="false">
      <c r="A2240" s="79" t="n">
        <f aca="false">IF(E2240="","",ROW()-6)</f>
        <v>2234</v>
      </c>
      <c r="B2240" s="80" t="s">
        <v>110</v>
      </c>
      <c r="C2240" s="81" t="s">
        <v>2714</v>
      </c>
      <c r="D2240" s="81" t="n">
        <v>21</v>
      </c>
      <c r="E2240" s="81" t="s">
        <v>2717</v>
      </c>
      <c r="F2240" s="82" t="str">
        <f aca="false">IF(E2240="","",IF(LEFT(E2240,2)="DJ","DJ","JN"))</f>
        <v>JN</v>
      </c>
      <c r="G2240" s="81" t="s">
        <v>1504</v>
      </c>
      <c r="H2240" s="81" t="s">
        <v>871</v>
      </c>
      <c r="I2240" s="81" t="n">
        <v>9.53</v>
      </c>
      <c r="J2240" s="81" t="s">
        <v>872</v>
      </c>
      <c r="K2240" s="81" t="s">
        <v>879</v>
      </c>
      <c r="L2240" s="81" t="n">
        <v>2086630</v>
      </c>
      <c r="M2240" s="81" t="n">
        <v>15421107</v>
      </c>
      <c r="N2240" s="81" t="n">
        <v>11.94</v>
      </c>
      <c r="O2240" s="81" t="n">
        <v>2086640</v>
      </c>
      <c r="P2240" s="81" t="n">
        <v>15421107</v>
      </c>
      <c r="Q2240" s="81" t="n">
        <v>11.94</v>
      </c>
      <c r="R2240" s="81" t="s">
        <v>2708</v>
      </c>
      <c r="S2240" s="81"/>
      <c r="T2240" s="81"/>
      <c r="U2240" s="83" t="n">
        <v>46261</v>
      </c>
      <c r="V2240" s="83" t="n">
        <v>46261</v>
      </c>
      <c r="W2240" s="81" t="s">
        <v>2706</v>
      </c>
      <c r="X2240" s="81" t="s">
        <v>876</v>
      </c>
      <c r="Y2240" s="83" t="n">
        <v>46266</v>
      </c>
      <c r="Z2240" s="81" t="s">
        <v>2716</v>
      </c>
      <c r="AA2240" s="81" t="s">
        <v>876</v>
      </c>
      <c r="AB2240" s="81"/>
      <c r="AC2240" s="81"/>
      <c r="AD2240" s="81"/>
      <c r="AE2240" s="83"/>
      <c r="AF2240" s="81"/>
      <c r="AG2240" s="81"/>
      <c r="AH2240" s="81"/>
      <c r="AI2240" s="81"/>
      <c r="AJ2240" s="83"/>
      <c r="AK2240" s="81"/>
      <c r="AL2240" s="81"/>
      <c r="AM2240" s="83"/>
      <c r="AN2240" s="80"/>
      <c r="AO2240" s="82" t="n">
        <f aca="false">IF(E2240="","",(AA2240&lt;&gt;"")+(AG2240&lt;&gt;"")+(AL2240&lt;&gt;""))</f>
        <v>1</v>
      </c>
      <c r="AP2240" s="82" t="str">
        <f aca="false">IF(AL2240&lt;&gt;"",AL2240,IF(AG2240&lt;&gt;"",AG2240,IF(AA2240&lt;&gt;"",AA2240,"")))</f>
        <v>A</v>
      </c>
      <c r="AQ2240" s="84" t="str">
        <f aca="false">IF(E2240="","",IF(U2240="","À SOUDER",IF(X2240="","VT EN ATTENTE",IF(X2240="R","VT REJETÉ – À REPRENDRE",IF(AP2240="","À RADIOGRAPHIER",IF(AP2240="A","ACCEPTÉ",IF(AP2240="NX","NX – RT À REFAIRE",IF(IF(AO2240=1,AD2240,IF(AO2240=2,AI2240,""))="A","RÉPARÉ – À RADIOGRAPHIER",IF(IF(AO2240=1,AD2240,IF(AO2240=2,AI2240,""))="R","VT REJETÉ – À REPRENDRE",IF(OR(AP2240="CO",AP2240="NT"),"COUPE – À RESOUDER","À RÉPARER"))))))))))</f>
        <v>ACCEPTÉ</v>
      </c>
      <c r="AR2240" s="82" t="str">
        <f aca="false">IF(AND(ISNUMBER(U2240),OR(AQ2240="À RADIOGRAPHIER",AQ2240="RÉPARÉ – À RADIOGRAPHIER",AQ2240="NX – RT À REFAIRE",AQ2240="À RÉPARER",AQ2240="COUPE – À RESOUDER",AQ2240="VT REJETÉ – À REPRENDRE")),MAX(0,'PROGRAMME RT'!$C$4-U2240),"")</f>
        <v/>
      </c>
      <c r="AS2240" s="82" t="n">
        <f aca="false">IF(AND(OR(AQ2240="À RADIOGRAPHIER",AQ2240="RÉPARÉ – À RADIOGRAPHIER",AQ2240="NX – RT À REFAIRE"),OR('PROGRAMME RT'!$D$5="TOUTES",B2240='PROGRAMME RT'!$D$5)),1,0)</f>
        <v>0</v>
      </c>
      <c r="AT2240" s="82" t="str">
        <f aca="false">IF(AS2240=1,SUM(AS$7:AS2240),"")</f>
        <v/>
      </c>
      <c r="AU2240" s="82" t="n">
        <f aca="false">IF(AND(OR(AA2240="R",AA2240="NX",AA2240="NT",AA2240="CO"),OR('JOINTS DE RÉPARATION'!$D$5="TOUTES",B2240='JOINTS DE RÉPARATION'!$D$5),OR('JOINTS DE RÉPARATION'!$L$4="TOUS",AQ2240&lt;&gt;"ACCEPTÉ")),1,0)</f>
        <v>0</v>
      </c>
      <c r="AV2240" s="82" t="str">
        <f aca="false">IF(AU2240=1,SUM(AU$7:AU2240),"")</f>
        <v/>
      </c>
      <c r="AW2240" s="82" t="str">
        <f aca="false">IF(E2240="","",B2240&amp;"|"&amp;E2240)</f>
        <v>MFD-ISW → MFD-CPF|JN°1756</v>
      </c>
    </row>
    <row r="2241" customFormat="false" ht="74.6" hidden="false" customHeight="false" outlineLevel="0" collapsed="false">
      <c r="A2241" s="79" t="n">
        <f aca="false">IF(E2241="","",ROW()-6)</f>
        <v>2235</v>
      </c>
      <c r="B2241" s="80" t="s">
        <v>110</v>
      </c>
      <c r="C2241" s="81" t="s">
        <v>2714</v>
      </c>
      <c r="D2241" s="81" t="n">
        <v>21</v>
      </c>
      <c r="E2241" s="81" t="s">
        <v>2718</v>
      </c>
      <c r="F2241" s="82" t="str">
        <f aca="false">IF(E2241="","",IF(LEFT(E2241,2)="DJ","DJ","JN"))</f>
        <v>JN</v>
      </c>
      <c r="G2241" s="81" t="s">
        <v>1504</v>
      </c>
      <c r="H2241" s="81" t="s">
        <v>871</v>
      </c>
      <c r="I2241" s="81" t="n">
        <v>9.53</v>
      </c>
      <c r="J2241" s="81" t="s">
        <v>872</v>
      </c>
      <c r="K2241" s="81" t="s">
        <v>879</v>
      </c>
      <c r="L2241" s="81" t="n">
        <v>2086640</v>
      </c>
      <c r="M2241" s="81" t="n">
        <v>15421107</v>
      </c>
      <c r="N2241" s="81" t="n">
        <v>11.94</v>
      </c>
      <c r="O2241" s="81" t="n">
        <v>2086540</v>
      </c>
      <c r="P2241" s="81" t="n">
        <v>15421107</v>
      </c>
      <c r="Q2241" s="81" t="n">
        <v>11.94</v>
      </c>
      <c r="R2241" s="81" t="s">
        <v>2708</v>
      </c>
      <c r="S2241" s="81"/>
      <c r="T2241" s="81"/>
      <c r="U2241" s="83" t="n">
        <v>46261</v>
      </c>
      <c r="V2241" s="83" t="n">
        <v>46261</v>
      </c>
      <c r="W2241" s="81" t="s">
        <v>2706</v>
      </c>
      <c r="X2241" s="81" t="s">
        <v>876</v>
      </c>
      <c r="Y2241" s="83" t="n">
        <v>46266</v>
      </c>
      <c r="Z2241" s="81" t="s">
        <v>2716</v>
      </c>
      <c r="AA2241" s="81" t="s">
        <v>876</v>
      </c>
      <c r="AB2241" s="81"/>
      <c r="AC2241" s="81"/>
      <c r="AD2241" s="81"/>
      <c r="AE2241" s="83"/>
      <c r="AF2241" s="81"/>
      <c r="AG2241" s="81"/>
      <c r="AH2241" s="81"/>
      <c r="AI2241" s="81"/>
      <c r="AJ2241" s="83"/>
      <c r="AK2241" s="81"/>
      <c r="AL2241" s="81"/>
      <c r="AM2241" s="83"/>
      <c r="AN2241" s="80"/>
      <c r="AO2241" s="82" t="n">
        <f aca="false">IF(E2241="","",(AA2241&lt;&gt;"")+(AG2241&lt;&gt;"")+(AL2241&lt;&gt;""))</f>
        <v>1</v>
      </c>
      <c r="AP2241" s="82" t="str">
        <f aca="false">IF(AL2241&lt;&gt;"",AL2241,IF(AG2241&lt;&gt;"",AG2241,IF(AA2241&lt;&gt;"",AA2241,"")))</f>
        <v>A</v>
      </c>
      <c r="AQ2241" s="84" t="str">
        <f aca="false">IF(E2241="","",IF(U2241="","À SOUDER",IF(X2241="","VT EN ATTENTE",IF(X2241="R","VT REJETÉ – À REPRENDRE",IF(AP2241="","À RADIOGRAPHIER",IF(AP2241="A","ACCEPTÉ",IF(AP2241="NX","NX – RT À REFAIRE",IF(IF(AO2241=1,AD2241,IF(AO2241=2,AI2241,""))="A","RÉPARÉ – À RADIOGRAPHIER",IF(IF(AO2241=1,AD2241,IF(AO2241=2,AI2241,""))="R","VT REJETÉ – À REPRENDRE",IF(OR(AP2241="CO",AP2241="NT"),"COUPE – À RESOUDER","À RÉPARER"))))))))))</f>
        <v>ACCEPTÉ</v>
      </c>
      <c r="AR2241" s="82" t="str">
        <f aca="false">IF(AND(ISNUMBER(U2241),OR(AQ2241="À RADIOGRAPHIER",AQ2241="RÉPARÉ – À RADIOGRAPHIER",AQ2241="NX – RT À REFAIRE",AQ2241="À RÉPARER",AQ2241="COUPE – À RESOUDER",AQ2241="VT REJETÉ – À REPRENDRE")),MAX(0,'PROGRAMME RT'!$C$4-U2241),"")</f>
        <v/>
      </c>
      <c r="AS2241" s="82" t="n">
        <f aca="false">IF(AND(OR(AQ2241="À RADIOGRAPHIER",AQ2241="RÉPARÉ – À RADIOGRAPHIER",AQ2241="NX – RT À REFAIRE"),OR('PROGRAMME RT'!$D$5="TOUTES",B2241='PROGRAMME RT'!$D$5)),1,0)</f>
        <v>0</v>
      </c>
      <c r="AT2241" s="82" t="str">
        <f aca="false">IF(AS2241=1,SUM(AS$7:AS2241),"")</f>
        <v/>
      </c>
      <c r="AU2241" s="82" t="n">
        <f aca="false">IF(AND(OR(AA2241="R",AA2241="NX",AA2241="NT",AA2241="CO"),OR('JOINTS DE RÉPARATION'!$D$5="TOUTES",B2241='JOINTS DE RÉPARATION'!$D$5),OR('JOINTS DE RÉPARATION'!$L$4="TOUS",AQ2241&lt;&gt;"ACCEPTÉ")),1,0)</f>
        <v>0</v>
      </c>
      <c r="AV2241" s="82" t="str">
        <f aca="false">IF(AU2241=1,SUM(AU$7:AU2241),"")</f>
        <v/>
      </c>
      <c r="AW2241" s="82" t="str">
        <f aca="false">IF(E2241="","",B2241&amp;"|"&amp;E2241)</f>
        <v>MFD-ISW → MFD-CPF|JN°1757</v>
      </c>
    </row>
    <row r="2242" customFormat="false" ht="74.6" hidden="false" customHeight="false" outlineLevel="0" collapsed="false">
      <c r="A2242" s="79" t="n">
        <f aca="false">IF(E2242="","",ROW()-6)</f>
        <v>2236</v>
      </c>
      <c r="B2242" s="80" t="s">
        <v>110</v>
      </c>
      <c r="C2242" s="81" t="s">
        <v>2714</v>
      </c>
      <c r="D2242" s="81" t="n">
        <v>21</v>
      </c>
      <c r="E2242" s="81" t="s">
        <v>2719</v>
      </c>
      <c r="F2242" s="82" t="str">
        <f aca="false">IF(E2242="","",IF(LEFT(E2242,2)="DJ","DJ","JN"))</f>
        <v>JN</v>
      </c>
      <c r="G2242" s="81" t="s">
        <v>1504</v>
      </c>
      <c r="H2242" s="81" t="s">
        <v>871</v>
      </c>
      <c r="I2242" s="81" t="n">
        <v>9.53</v>
      </c>
      <c r="J2242" s="81" t="s">
        <v>872</v>
      </c>
      <c r="K2242" s="81" t="s">
        <v>879</v>
      </c>
      <c r="L2242" s="81" t="n">
        <v>2086540</v>
      </c>
      <c r="M2242" s="81" t="n">
        <v>15421107</v>
      </c>
      <c r="N2242" s="81" t="n">
        <v>11.94</v>
      </c>
      <c r="O2242" s="81" t="n">
        <v>2084180</v>
      </c>
      <c r="P2242" s="81" t="n">
        <v>15421106</v>
      </c>
      <c r="Q2242" s="81" t="n">
        <v>11.94</v>
      </c>
      <c r="R2242" s="81" t="s">
        <v>2720</v>
      </c>
      <c r="S2242" s="81"/>
      <c r="T2242" s="81"/>
      <c r="U2242" s="83" t="n">
        <v>46261</v>
      </c>
      <c r="V2242" s="83" t="n">
        <v>46261</v>
      </c>
      <c r="W2242" s="81" t="s">
        <v>2706</v>
      </c>
      <c r="X2242" s="81" t="s">
        <v>876</v>
      </c>
      <c r="Y2242" s="83" t="n">
        <v>46266</v>
      </c>
      <c r="Z2242" s="81" t="s">
        <v>2716</v>
      </c>
      <c r="AA2242" s="81" t="s">
        <v>876</v>
      </c>
      <c r="AB2242" s="81"/>
      <c r="AC2242" s="81"/>
      <c r="AD2242" s="81"/>
      <c r="AE2242" s="83"/>
      <c r="AF2242" s="81"/>
      <c r="AG2242" s="81"/>
      <c r="AH2242" s="81"/>
      <c r="AI2242" s="81"/>
      <c r="AJ2242" s="83"/>
      <c r="AK2242" s="81"/>
      <c r="AL2242" s="81"/>
      <c r="AM2242" s="83"/>
      <c r="AN2242" s="80"/>
      <c r="AO2242" s="82" t="n">
        <f aca="false">IF(E2242="","",(AA2242&lt;&gt;"")+(AG2242&lt;&gt;"")+(AL2242&lt;&gt;""))</f>
        <v>1</v>
      </c>
      <c r="AP2242" s="82" t="str">
        <f aca="false">IF(AL2242&lt;&gt;"",AL2242,IF(AG2242&lt;&gt;"",AG2242,IF(AA2242&lt;&gt;"",AA2242,"")))</f>
        <v>A</v>
      </c>
      <c r="AQ2242" s="84" t="str">
        <f aca="false">IF(E2242="","",IF(U2242="","À SOUDER",IF(X2242="","VT EN ATTENTE",IF(X2242="R","VT REJETÉ – À REPRENDRE",IF(AP2242="","À RADIOGRAPHIER",IF(AP2242="A","ACCEPTÉ",IF(AP2242="NX","NX – RT À REFAIRE",IF(IF(AO2242=1,AD2242,IF(AO2242=2,AI2242,""))="A","RÉPARÉ – À RADIOGRAPHIER",IF(IF(AO2242=1,AD2242,IF(AO2242=2,AI2242,""))="R","VT REJETÉ – À REPRENDRE",IF(OR(AP2242="CO",AP2242="NT"),"COUPE – À RESOUDER","À RÉPARER"))))))))))</f>
        <v>ACCEPTÉ</v>
      </c>
      <c r="AR2242" s="82" t="str">
        <f aca="false">IF(AND(ISNUMBER(U2242),OR(AQ2242="À RADIOGRAPHIER",AQ2242="RÉPARÉ – À RADIOGRAPHIER",AQ2242="NX – RT À REFAIRE",AQ2242="À RÉPARER",AQ2242="COUPE – À RESOUDER",AQ2242="VT REJETÉ – À REPRENDRE")),MAX(0,'PROGRAMME RT'!$C$4-U2242),"")</f>
        <v/>
      </c>
      <c r="AS2242" s="82" t="n">
        <f aca="false">IF(AND(OR(AQ2242="À RADIOGRAPHIER",AQ2242="RÉPARÉ – À RADIOGRAPHIER",AQ2242="NX – RT À REFAIRE"),OR('PROGRAMME RT'!$D$5="TOUTES",B2242='PROGRAMME RT'!$D$5)),1,0)</f>
        <v>0</v>
      </c>
      <c r="AT2242" s="82" t="str">
        <f aca="false">IF(AS2242=1,SUM(AS$7:AS2242),"")</f>
        <v/>
      </c>
      <c r="AU2242" s="82" t="n">
        <f aca="false">IF(AND(OR(AA2242="R",AA2242="NX",AA2242="NT",AA2242="CO"),OR('JOINTS DE RÉPARATION'!$D$5="TOUTES",B2242='JOINTS DE RÉPARATION'!$D$5),OR('JOINTS DE RÉPARATION'!$L$4="TOUS",AQ2242&lt;&gt;"ACCEPTÉ")),1,0)</f>
        <v>0</v>
      </c>
      <c r="AV2242" s="82" t="str">
        <f aca="false">IF(AU2242=1,SUM(AU$7:AU2242),"")</f>
        <v/>
      </c>
      <c r="AW2242" s="82" t="str">
        <f aca="false">IF(E2242="","",B2242&amp;"|"&amp;E2242)</f>
        <v>MFD-ISW → MFD-CPF|JN°1758</v>
      </c>
    </row>
    <row r="2243" customFormat="false" ht="74.6" hidden="false" customHeight="false" outlineLevel="0" collapsed="false">
      <c r="A2243" s="79" t="n">
        <f aca="false">IF(E2243="","",ROW()-6)</f>
        <v>2237</v>
      </c>
      <c r="B2243" s="80" t="s">
        <v>110</v>
      </c>
      <c r="C2243" s="81" t="s">
        <v>2714</v>
      </c>
      <c r="D2243" s="81" t="n">
        <v>21</v>
      </c>
      <c r="E2243" s="81" t="s">
        <v>2721</v>
      </c>
      <c r="F2243" s="82" t="str">
        <f aca="false">IF(E2243="","",IF(LEFT(E2243,2)="DJ","DJ","JN"))</f>
        <v>JN</v>
      </c>
      <c r="G2243" s="81" t="s">
        <v>1504</v>
      </c>
      <c r="H2243" s="81" t="s">
        <v>871</v>
      </c>
      <c r="I2243" s="81" t="n">
        <v>9.53</v>
      </c>
      <c r="J2243" s="81" t="s">
        <v>872</v>
      </c>
      <c r="K2243" s="81" t="s">
        <v>879</v>
      </c>
      <c r="L2243" s="81" t="n">
        <v>2084180</v>
      </c>
      <c r="M2243" s="81" t="n">
        <v>15421106</v>
      </c>
      <c r="N2243" s="81" t="n">
        <v>11.94</v>
      </c>
      <c r="O2243" s="81" t="n">
        <v>2096790</v>
      </c>
      <c r="P2243" s="81" t="n">
        <v>15421111</v>
      </c>
      <c r="Q2243" s="81" t="n">
        <v>11.94</v>
      </c>
      <c r="R2243" s="81" t="s">
        <v>2720</v>
      </c>
      <c r="S2243" s="81"/>
      <c r="T2243" s="81"/>
      <c r="U2243" s="83" t="n">
        <v>46261</v>
      </c>
      <c r="V2243" s="83" t="n">
        <v>46261</v>
      </c>
      <c r="W2243" s="81" t="s">
        <v>2706</v>
      </c>
      <c r="X2243" s="81" t="s">
        <v>876</v>
      </c>
      <c r="Y2243" s="83" t="n">
        <v>46266</v>
      </c>
      <c r="Z2243" s="81" t="s">
        <v>2716</v>
      </c>
      <c r="AA2243" s="81" t="s">
        <v>876</v>
      </c>
      <c r="AB2243" s="81"/>
      <c r="AC2243" s="81"/>
      <c r="AD2243" s="81"/>
      <c r="AE2243" s="83"/>
      <c r="AF2243" s="81"/>
      <c r="AG2243" s="81"/>
      <c r="AH2243" s="81"/>
      <c r="AI2243" s="81"/>
      <c r="AJ2243" s="83"/>
      <c r="AK2243" s="81"/>
      <c r="AL2243" s="81"/>
      <c r="AM2243" s="83"/>
      <c r="AN2243" s="80"/>
      <c r="AO2243" s="82" t="n">
        <f aca="false">IF(E2243="","",(AA2243&lt;&gt;"")+(AG2243&lt;&gt;"")+(AL2243&lt;&gt;""))</f>
        <v>1</v>
      </c>
      <c r="AP2243" s="82" t="str">
        <f aca="false">IF(AL2243&lt;&gt;"",AL2243,IF(AG2243&lt;&gt;"",AG2243,IF(AA2243&lt;&gt;"",AA2243,"")))</f>
        <v>A</v>
      </c>
      <c r="AQ2243" s="84" t="str">
        <f aca="false">IF(E2243="","",IF(U2243="","À SOUDER",IF(X2243="","VT EN ATTENTE",IF(X2243="R","VT REJETÉ – À REPRENDRE",IF(AP2243="","À RADIOGRAPHIER",IF(AP2243="A","ACCEPTÉ",IF(AP2243="NX","NX – RT À REFAIRE",IF(IF(AO2243=1,AD2243,IF(AO2243=2,AI2243,""))="A","RÉPARÉ – À RADIOGRAPHIER",IF(IF(AO2243=1,AD2243,IF(AO2243=2,AI2243,""))="R","VT REJETÉ – À REPRENDRE",IF(OR(AP2243="CO",AP2243="NT"),"COUPE – À RESOUDER","À RÉPARER"))))))))))</f>
        <v>ACCEPTÉ</v>
      </c>
      <c r="AR2243" s="82" t="str">
        <f aca="false">IF(AND(ISNUMBER(U2243),OR(AQ2243="À RADIOGRAPHIER",AQ2243="RÉPARÉ – À RADIOGRAPHIER",AQ2243="NX – RT À REFAIRE",AQ2243="À RÉPARER",AQ2243="COUPE – À RESOUDER",AQ2243="VT REJETÉ – À REPRENDRE")),MAX(0,'PROGRAMME RT'!$C$4-U2243),"")</f>
        <v/>
      </c>
      <c r="AS2243" s="82" t="n">
        <f aca="false">IF(AND(OR(AQ2243="À RADIOGRAPHIER",AQ2243="RÉPARÉ – À RADIOGRAPHIER",AQ2243="NX – RT À REFAIRE"),OR('PROGRAMME RT'!$D$5="TOUTES",B2243='PROGRAMME RT'!$D$5)),1,0)</f>
        <v>0</v>
      </c>
      <c r="AT2243" s="82" t="str">
        <f aca="false">IF(AS2243=1,SUM(AS$7:AS2243),"")</f>
        <v/>
      </c>
      <c r="AU2243" s="82" t="n">
        <f aca="false">IF(AND(OR(AA2243="R",AA2243="NX",AA2243="NT",AA2243="CO"),OR('JOINTS DE RÉPARATION'!$D$5="TOUTES",B2243='JOINTS DE RÉPARATION'!$D$5),OR('JOINTS DE RÉPARATION'!$L$4="TOUS",AQ2243&lt;&gt;"ACCEPTÉ")),1,0)</f>
        <v>0</v>
      </c>
      <c r="AV2243" s="82" t="str">
        <f aca="false">IF(AU2243=1,SUM(AU$7:AU2243),"")</f>
        <v/>
      </c>
      <c r="AW2243" s="82" t="str">
        <f aca="false">IF(E2243="","",B2243&amp;"|"&amp;E2243)</f>
        <v>MFD-ISW → MFD-CPF|JN°1759</v>
      </c>
    </row>
    <row r="2244" customFormat="false" ht="74.6" hidden="false" customHeight="false" outlineLevel="0" collapsed="false">
      <c r="A2244" s="79" t="n">
        <f aca="false">IF(E2244="","",ROW()-6)</f>
        <v>2238</v>
      </c>
      <c r="B2244" s="80" t="s">
        <v>110</v>
      </c>
      <c r="C2244" s="81" t="s">
        <v>2714</v>
      </c>
      <c r="D2244" s="81" t="n">
        <v>21</v>
      </c>
      <c r="E2244" s="81" t="s">
        <v>2722</v>
      </c>
      <c r="F2244" s="82" t="str">
        <f aca="false">IF(E2244="","",IF(LEFT(E2244,2)="DJ","DJ","JN"))</f>
        <v>JN</v>
      </c>
      <c r="G2244" s="81" t="s">
        <v>1504</v>
      </c>
      <c r="H2244" s="81" t="s">
        <v>871</v>
      </c>
      <c r="I2244" s="81" t="n">
        <v>9.53</v>
      </c>
      <c r="J2244" s="81" t="s">
        <v>872</v>
      </c>
      <c r="K2244" s="81" t="s">
        <v>879</v>
      </c>
      <c r="L2244" s="81" t="n">
        <v>2096790</v>
      </c>
      <c r="M2244" s="81" t="n">
        <v>15421111</v>
      </c>
      <c r="N2244" s="81" t="n">
        <v>11.94</v>
      </c>
      <c r="O2244" s="81" t="n">
        <v>2083930</v>
      </c>
      <c r="P2244" s="81" t="n">
        <v>15421106</v>
      </c>
      <c r="Q2244" s="81" t="n">
        <v>11.94</v>
      </c>
      <c r="R2244" s="81" t="s">
        <v>2720</v>
      </c>
      <c r="S2244" s="81"/>
      <c r="T2244" s="81"/>
      <c r="U2244" s="83" t="n">
        <v>46261</v>
      </c>
      <c r="V2244" s="83" t="n">
        <v>46261</v>
      </c>
      <c r="W2244" s="81" t="s">
        <v>2706</v>
      </c>
      <c r="X2244" s="81" t="s">
        <v>876</v>
      </c>
      <c r="Y2244" s="83" t="n">
        <v>46266</v>
      </c>
      <c r="Z2244" s="81" t="s">
        <v>2716</v>
      </c>
      <c r="AA2244" s="81" t="s">
        <v>876</v>
      </c>
      <c r="AB2244" s="81"/>
      <c r="AC2244" s="81"/>
      <c r="AD2244" s="81"/>
      <c r="AE2244" s="83"/>
      <c r="AF2244" s="81"/>
      <c r="AG2244" s="81"/>
      <c r="AH2244" s="81"/>
      <c r="AI2244" s="81"/>
      <c r="AJ2244" s="83"/>
      <c r="AK2244" s="81"/>
      <c r="AL2244" s="81"/>
      <c r="AM2244" s="83"/>
      <c r="AN2244" s="80"/>
      <c r="AO2244" s="82" t="n">
        <f aca="false">IF(E2244="","",(AA2244&lt;&gt;"")+(AG2244&lt;&gt;"")+(AL2244&lt;&gt;""))</f>
        <v>1</v>
      </c>
      <c r="AP2244" s="82" t="str">
        <f aca="false">IF(AL2244&lt;&gt;"",AL2244,IF(AG2244&lt;&gt;"",AG2244,IF(AA2244&lt;&gt;"",AA2244,"")))</f>
        <v>A</v>
      </c>
      <c r="AQ2244" s="84" t="str">
        <f aca="false">IF(E2244="","",IF(U2244="","À SOUDER",IF(X2244="","VT EN ATTENTE",IF(X2244="R","VT REJETÉ – À REPRENDRE",IF(AP2244="","À RADIOGRAPHIER",IF(AP2244="A","ACCEPTÉ",IF(AP2244="NX","NX – RT À REFAIRE",IF(IF(AO2244=1,AD2244,IF(AO2244=2,AI2244,""))="A","RÉPARÉ – À RADIOGRAPHIER",IF(IF(AO2244=1,AD2244,IF(AO2244=2,AI2244,""))="R","VT REJETÉ – À REPRENDRE",IF(OR(AP2244="CO",AP2244="NT"),"COUPE – À RESOUDER","À RÉPARER"))))))))))</f>
        <v>ACCEPTÉ</v>
      </c>
      <c r="AR2244" s="82" t="str">
        <f aca="false">IF(AND(ISNUMBER(U2244),OR(AQ2244="À RADIOGRAPHIER",AQ2244="RÉPARÉ – À RADIOGRAPHIER",AQ2244="NX – RT À REFAIRE",AQ2244="À RÉPARER",AQ2244="COUPE – À RESOUDER",AQ2244="VT REJETÉ – À REPRENDRE")),MAX(0,'PROGRAMME RT'!$C$4-U2244),"")</f>
        <v/>
      </c>
      <c r="AS2244" s="82" t="n">
        <f aca="false">IF(AND(OR(AQ2244="À RADIOGRAPHIER",AQ2244="RÉPARÉ – À RADIOGRAPHIER",AQ2244="NX – RT À REFAIRE"),OR('PROGRAMME RT'!$D$5="TOUTES",B2244='PROGRAMME RT'!$D$5)),1,0)</f>
        <v>0</v>
      </c>
      <c r="AT2244" s="82" t="str">
        <f aca="false">IF(AS2244=1,SUM(AS$7:AS2244),"")</f>
        <v/>
      </c>
      <c r="AU2244" s="82" t="n">
        <f aca="false">IF(AND(OR(AA2244="R",AA2244="NX",AA2244="NT",AA2244="CO"),OR('JOINTS DE RÉPARATION'!$D$5="TOUTES",B2244='JOINTS DE RÉPARATION'!$D$5),OR('JOINTS DE RÉPARATION'!$L$4="TOUS",AQ2244&lt;&gt;"ACCEPTÉ")),1,0)</f>
        <v>0</v>
      </c>
      <c r="AV2244" s="82" t="str">
        <f aca="false">IF(AU2244=1,SUM(AU$7:AU2244),"")</f>
        <v/>
      </c>
      <c r="AW2244" s="82" t="str">
        <f aca="false">IF(E2244="","",B2244&amp;"|"&amp;E2244)</f>
        <v>MFD-ISW → MFD-CPF|JN°1760</v>
      </c>
    </row>
    <row r="2245" customFormat="false" ht="74.6" hidden="false" customHeight="false" outlineLevel="0" collapsed="false">
      <c r="A2245" s="79" t="n">
        <f aca="false">IF(E2245="","",ROW()-6)</f>
        <v>2239</v>
      </c>
      <c r="B2245" s="80" t="s">
        <v>110</v>
      </c>
      <c r="C2245" s="81" t="s">
        <v>2714</v>
      </c>
      <c r="D2245" s="81" t="n">
        <v>21</v>
      </c>
      <c r="E2245" s="81" t="s">
        <v>2723</v>
      </c>
      <c r="F2245" s="82" t="str">
        <f aca="false">IF(E2245="","",IF(LEFT(E2245,2)="DJ","DJ","JN"))</f>
        <v>JN</v>
      </c>
      <c r="G2245" s="81" t="s">
        <v>1504</v>
      </c>
      <c r="H2245" s="81" t="s">
        <v>871</v>
      </c>
      <c r="I2245" s="81" t="n">
        <v>9.53</v>
      </c>
      <c r="J2245" s="81" t="s">
        <v>872</v>
      </c>
      <c r="K2245" s="81" t="s">
        <v>879</v>
      </c>
      <c r="L2245" s="81" t="n">
        <v>2083930</v>
      </c>
      <c r="M2245" s="81" t="n">
        <v>15421106</v>
      </c>
      <c r="N2245" s="81" t="n">
        <v>11.94</v>
      </c>
      <c r="O2245" s="81" t="n">
        <v>2093010</v>
      </c>
      <c r="P2245" s="81" t="n">
        <v>15421110</v>
      </c>
      <c r="Q2245" s="81" t="n">
        <v>11.94</v>
      </c>
      <c r="R2245" s="81" t="s">
        <v>2720</v>
      </c>
      <c r="S2245" s="81"/>
      <c r="T2245" s="81"/>
      <c r="U2245" s="83" t="n">
        <v>46261</v>
      </c>
      <c r="V2245" s="83" t="n">
        <v>46261</v>
      </c>
      <c r="W2245" s="81" t="s">
        <v>2706</v>
      </c>
      <c r="X2245" s="81" t="s">
        <v>876</v>
      </c>
      <c r="Y2245" s="83" t="n">
        <v>46266</v>
      </c>
      <c r="Z2245" s="81" t="s">
        <v>2716</v>
      </c>
      <c r="AA2245" s="81" t="s">
        <v>876</v>
      </c>
      <c r="AB2245" s="81"/>
      <c r="AC2245" s="81"/>
      <c r="AD2245" s="81"/>
      <c r="AE2245" s="83"/>
      <c r="AF2245" s="81"/>
      <c r="AG2245" s="81"/>
      <c r="AH2245" s="81"/>
      <c r="AI2245" s="81"/>
      <c r="AJ2245" s="83"/>
      <c r="AK2245" s="81"/>
      <c r="AL2245" s="81"/>
      <c r="AM2245" s="83"/>
      <c r="AN2245" s="80"/>
      <c r="AO2245" s="82" t="n">
        <f aca="false">IF(E2245="","",(AA2245&lt;&gt;"")+(AG2245&lt;&gt;"")+(AL2245&lt;&gt;""))</f>
        <v>1</v>
      </c>
      <c r="AP2245" s="82" t="str">
        <f aca="false">IF(AL2245&lt;&gt;"",AL2245,IF(AG2245&lt;&gt;"",AG2245,IF(AA2245&lt;&gt;"",AA2245,"")))</f>
        <v>A</v>
      </c>
      <c r="AQ2245" s="84" t="str">
        <f aca="false">IF(E2245="","",IF(U2245="","À SOUDER",IF(X2245="","VT EN ATTENTE",IF(X2245="R","VT REJETÉ – À REPRENDRE",IF(AP2245="","À RADIOGRAPHIER",IF(AP2245="A","ACCEPTÉ",IF(AP2245="NX","NX – RT À REFAIRE",IF(IF(AO2245=1,AD2245,IF(AO2245=2,AI2245,""))="A","RÉPARÉ – À RADIOGRAPHIER",IF(IF(AO2245=1,AD2245,IF(AO2245=2,AI2245,""))="R","VT REJETÉ – À REPRENDRE",IF(OR(AP2245="CO",AP2245="NT"),"COUPE – À RESOUDER","À RÉPARER"))))))))))</f>
        <v>ACCEPTÉ</v>
      </c>
      <c r="AR2245" s="82" t="str">
        <f aca="false">IF(AND(ISNUMBER(U2245),OR(AQ2245="À RADIOGRAPHIER",AQ2245="RÉPARÉ – À RADIOGRAPHIER",AQ2245="NX – RT À REFAIRE",AQ2245="À RÉPARER",AQ2245="COUPE – À RESOUDER",AQ2245="VT REJETÉ – À REPRENDRE")),MAX(0,'PROGRAMME RT'!$C$4-U2245),"")</f>
        <v/>
      </c>
      <c r="AS2245" s="82" t="n">
        <f aca="false">IF(AND(OR(AQ2245="À RADIOGRAPHIER",AQ2245="RÉPARÉ – À RADIOGRAPHIER",AQ2245="NX – RT À REFAIRE"),OR('PROGRAMME RT'!$D$5="TOUTES",B2245='PROGRAMME RT'!$D$5)),1,0)</f>
        <v>0</v>
      </c>
      <c r="AT2245" s="82" t="str">
        <f aca="false">IF(AS2245=1,SUM(AS$7:AS2245),"")</f>
        <v/>
      </c>
      <c r="AU2245" s="82" t="n">
        <f aca="false">IF(AND(OR(AA2245="R",AA2245="NX",AA2245="NT",AA2245="CO"),OR('JOINTS DE RÉPARATION'!$D$5="TOUTES",B2245='JOINTS DE RÉPARATION'!$D$5),OR('JOINTS DE RÉPARATION'!$L$4="TOUS",AQ2245&lt;&gt;"ACCEPTÉ")),1,0)</f>
        <v>0</v>
      </c>
      <c r="AV2245" s="82" t="str">
        <f aca="false">IF(AU2245=1,SUM(AU$7:AU2245),"")</f>
        <v/>
      </c>
      <c r="AW2245" s="82" t="str">
        <f aca="false">IF(E2245="","",B2245&amp;"|"&amp;E2245)</f>
        <v>MFD-ISW → MFD-CPF|JN°1761</v>
      </c>
    </row>
    <row r="2246" customFormat="false" ht="74.6" hidden="false" customHeight="false" outlineLevel="0" collapsed="false">
      <c r="A2246" s="79" t="n">
        <f aca="false">IF(E2246="","",ROW()-6)</f>
        <v>2240</v>
      </c>
      <c r="B2246" s="80" t="s">
        <v>110</v>
      </c>
      <c r="C2246" s="81" t="s">
        <v>2714</v>
      </c>
      <c r="D2246" s="81" t="n">
        <v>21</v>
      </c>
      <c r="E2246" s="81" t="s">
        <v>2724</v>
      </c>
      <c r="F2246" s="82" t="str">
        <f aca="false">IF(E2246="","",IF(LEFT(E2246,2)="DJ","DJ","JN"))</f>
        <v>JN</v>
      </c>
      <c r="G2246" s="81" t="s">
        <v>1504</v>
      </c>
      <c r="H2246" s="81" t="s">
        <v>871</v>
      </c>
      <c r="I2246" s="81" t="n">
        <v>9.53</v>
      </c>
      <c r="J2246" s="81" t="s">
        <v>872</v>
      </c>
      <c r="K2246" s="81" t="s">
        <v>879</v>
      </c>
      <c r="L2246" s="81" t="n">
        <v>2093010</v>
      </c>
      <c r="M2246" s="81" t="n">
        <v>15421110</v>
      </c>
      <c r="N2246" s="81" t="n">
        <v>11.94</v>
      </c>
      <c r="O2246" s="81" t="n">
        <v>2095170</v>
      </c>
      <c r="P2246" s="81" t="n">
        <v>15421111</v>
      </c>
      <c r="Q2246" s="81" t="n">
        <v>11.94</v>
      </c>
      <c r="R2246" s="81" t="s">
        <v>2720</v>
      </c>
      <c r="S2246" s="81"/>
      <c r="T2246" s="81"/>
      <c r="U2246" s="83" t="n">
        <v>46261</v>
      </c>
      <c r="V2246" s="83" t="n">
        <v>46261</v>
      </c>
      <c r="W2246" s="81" t="s">
        <v>2706</v>
      </c>
      <c r="X2246" s="81" t="s">
        <v>876</v>
      </c>
      <c r="Y2246" s="83" t="n">
        <v>46266</v>
      </c>
      <c r="Z2246" s="81" t="s">
        <v>2716</v>
      </c>
      <c r="AA2246" s="81" t="s">
        <v>876</v>
      </c>
      <c r="AB2246" s="81"/>
      <c r="AC2246" s="81"/>
      <c r="AD2246" s="81"/>
      <c r="AE2246" s="83"/>
      <c r="AF2246" s="81"/>
      <c r="AG2246" s="81"/>
      <c r="AH2246" s="81"/>
      <c r="AI2246" s="81"/>
      <c r="AJ2246" s="83"/>
      <c r="AK2246" s="81"/>
      <c r="AL2246" s="81"/>
      <c r="AM2246" s="83"/>
      <c r="AN2246" s="80"/>
      <c r="AO2246" s="82" t="n">
        <f aca="false">IF(E2246="","",(AA2246&lt;&gt;"")+(AG2246&lt;&gt;"")+(AL2246&lt;&gt;""))</f>
        <v>1</v>
      </c>
      <c r="AP2246" s="82" t="str">
        <f aca="false">IF(AL2246&lt;&gt;"",AL2246,IF(AG2246&lt;&gt;"",AG2246,IF(AA2246&lt;&gt;"",AA2246,"")))</f>
        <v>A</v>
      </c>
      <c r="AQ2246" s="84" t="str">
        <f aca="false">IF(E2246="","",IF(U2246="","À SOUDER",IF(X2246="","VT EN ATTENTE",IF(X2246="R","VT REJETÉ – À REPRENDRE",IF(AP2246="","À RADIOGRAPHIER",IF(AP2246="A","ACCEPTÉ",IF(AP2246="NX","NX – RT À REFAIRE",IF(IF(AO2246=1,AD2246,IF(AO2246=2,AI2246,""))="A","RÉPARÉ – À RADIOGRAPHIER",IF(IF(AO2246=1,AD2246,IF(AO2246=2,AI2246,""))="R","VT REJETÉ – À REPRENDRE",IF(OR(AP2246="CO",AP2246="NT"),"COUPE – À RESOUDER","À RÉPARER"))))))))))</f>
        <v>ACCEPTÉ</v>
      </c>
      <c r="AR2246" s="82" t="str">
        <f aca="false">IF(AND(ISNUMBER(U2246),OR(AQ2246="À RADIOGRAPHIER",AQ2246="RÉPARÉ – À RADIOGRAPHIER",AQ2246="NX – RT À REFAIRE",AQ2246="À RÉPARER",AQ2246="COUPE – À RESOUDER",AQ2246="VT REJETÉ – À REPRENDRE")),MAX(0,'PROGRAMME RT'!$C$4-U2246),"")</f>
        <v/>
      </c>
      <c r="AS2246" s="82" t="n">
        <f aca="false">IF(AND(OR(AQ2246="À RADIOGRAPHIER",AQ2246="RÉPARÉ – À RADIOGRAPHIER",AQ2246="NX – RT À REFAIRE"),OR('PROGRAMME RT'!$D$5="TOUTES",B2246='PROGRAMME RT'!$D$5)),1,0)</f>
        <v>0</v>
      </c>
      <c r="AT2246" s="82" t="str">
        <f aca="false">IF(AS2246=1,SUM(AS$7:AS2246),"")</f>
        <v/>
      </c>
      <c r="AU2246" s="82" t="n">
        <f aca="false">IF(AND(OR(AA2246="R",AA2246="NX",AA2246="NT",AA2246="CO"),OR('JOINTS DE RÉPARATION'!$D$5="TOUTES",B2246='JOINTS DE RÉPARATION'!$D$5),OR('JOINTS DE RÉPARATION'!$L$4="TOUS",AQ2246&lt;&gt;"ACCEPTÉ")),1,0)</f>
        <v>0</v>
      </c>
      <c r="AV2246" s="82" t="str">
        <f aca="false">IF(AU2246=1,SUM(AU$7:AU2246),"")</f>
        <v/>
      </c>
      <c r="AW2246" s="82" t="str">
        <f aca="false">IF(E2246="","",B2246&amp;"|"&amp;E2246)</f>
        <v>MFD-ISW → MFD-CPF|JN°1762</v>
      </c>
    </row>
    <row r="2247" customFormat="false" ht="74.6" hidden="false" customHeight="false" outlineLevel="0" collapsed="false">
      <c r="A2247" s="79" t="n">
        <f aca="false">IF(E2247="","",ROW()-6)</f>
        <v>2241</v>
      </c>
      <c r="B2247" s="80" t="s">
        <v>110</v>
      </c>
      <c r="C2247" s="81" t="s">
        <v>2714</v>
      </c>
      <c r="D2247" s="81" t="n">
        <v>21</v>
      </c>
      <c r="E2247" s="81" t="s">
        <v>2725</v>
      </c>
      <c r="F2247" s="82" t="str">
        <f aca="false">IF(E2247="","",IF(LEFT(E2247,2)="DJ","DJ","JN"))</f>
        <v>JN</v>
      </c>
      <c r="G2247" s="81" t="s">
        <v>1504</v>
      </c>
      <c r="H2247" s="81" t="s">
        <v>871</v>
      </c>
      <c r="I2247" s="81" t="n">
        <v>9.53</v>
      </c>
      <c r="J2247" s="81" t="s">
        <v>872</v>
      </c>
      <c r="K2247" s="81" t="s">
        <v>879</v>
      </c>
      <c r="L2247" s="81" t="n">
        <v>2095170</v>
      </c>
      <c r="M2247" s="81" t="n">
        <v>15421111</v>
      </c>
      <c r="N2247" s="81" t="n">
        <v>11.94</v>
      </c>
      <c r="O2247" s="81" t="n">
        <v>2081890</v>
      </c>
      <c r="P2247" s="81" t="n">
        <v>15421104</v>
      </c>
      <c r="Q2247" s="81" t="n">
        <v>11.94</v>
      </c>
      <c r="R2247" s="81" t="s">
        <v>2708</v>
      </c>
      <c r="S2247" s="81"/>
      <c r="T2247" s="81"/>
      <c r="U2247" s="83" t="n">
        <v>46261</v>
      </c>
      <c r="V2247" s="83" t="n">
        <v>46261</v>
      </c>
      <c r="W2247" s="81" t="s">
        <v>2706</v>
      </c>
      <c r="X2247" s="81" t="s">
        <v>876</v>
      </c>
      <c r="Y2247" s="83" t="n">
        <v>46266</v>
      </c>
      <c r="Z2247" s="81" t="s">
        <v>2716</v>
      </c>
      <c r="AA2247" s="81" t="s">
        <v>876</v>
      </c>
      <c r="AB2247" s="81"/>
      <c r="AC2247" s="81"/>
      <c r="AD2247" s="81"/>
      <c r="AE2247" s="83"/>
      <c r="AF2247" s="81"/>
      <c r="AG2247" s="81"/>
      <c r="AH2247" s="81"/>
      <c r="AI2247" s="81"/>
      <c r="AJ2247" s="83"/>
      <c r="AK2247" s="81"/>
      <c r="AL2247" s="81"/>
      <c r="AM2247" s="83"/>
      <c r="AN2247" s="80"/>
      <c r="AO2247" s="82" t="n">
        <f aca="false">IF(E2247="","",(AA2247&lt;&gt;"")+(AG2247&lt;&gt;"")+(AL2247&lt;&gt;""))</f>
        <v>1</v>
      </c>
      <c r="AP2247" s="82" t="str">
        <f aca="false">IF(AL2247&lt;&gt;"",AL2247,IF(AG2247&lt;&gt;"",AG2247,IF(AA2247&lt;&gt;"",AA2247,"")))</f>
        <v>A</v>
      </c>
      <c r="AQ2247" s="84" t="str">
        <f aca="false">IF(E2247="","",IF(U2247="","À SOUDER",IF(X2247="","VT EN ATTENTE",IF(X2247="R","VT REJETÉ – À REPRENDRE",IF(AP2247="","À RADIOGRAPHIER",IF(AP2247="A","ACCEPTÉ",IF(AP2247="NX","NX – RT À REFAIRE",IF(IF(AO2247=1,AD2247,IF(AO2247=2,AI2247,""))="A","RÉPARÉ – À RADIOGRAPHIER",IF(IF(AO2247=1,AD2247,IF(AO2247=2,AI2247,""))="R","VT REJETÉ – À REPRENDRE",IF(OR(AP2247="CO",AP2247="NT"),"COUPE – À RESOUDER","À RÉPARER"))))))))))</f>
        <v>ACCEPTÉ</v>
      </c>
      <c r="AR2247" s="82" t="str">
        <f aca="false">IF(AND(ISNUMBER(U2247),OR(AQ2247="À RADIOGRAPHIER",AQ2247="RÉPARÉ – À RADIOGRAPHIER",AQ2247="NX – RT À REFAIRE",AQ2247="À RÉPARER",AQ2247="COUPE – À RESOUDER",AQ2247="VT REJETÉ – À REPRENDRE")),MAX(0,'PROGRAMME RT'!$C$4-U2247),"")</f>
        <v/>
      </c>
      <c r="AS2247" s="82" t="n">
        <f aca="false">IF(AND(OR(AQ2247="À RADIOGRAPHIER",AQ2247="RÉPARÉ – À RADIOGRAPHIER",AQ2247="NX – RT À REFAIRE"),OR('PROGRAMME RT'!$D$5="TOUTES",B2247='PROGRAMME RT'!$D$5)),1,0)</f>
        <v>0</v>
      </c>
      <c r="AT2247" s="82" t="str">
        <f aca="false">IF(AS2247=1,SUM(AS$7:AS2247),"")</f>
        <v/>
      </c>
      <c r="AU2247" s="82" t="n">
        <f aca="false">IF(AND(OR(AA2247="R",AA2247="NX",AA2247="NT",AA2247="CO"),OR('JOINTS DE RÉPARATION'!$D$5="TOUTES",B2247='JOINTS DE RÉPARATION'!$D$5),OR('JOINTS DE RÉPARATION'!$L$4="TOUS",AQ2247&lt;&gt;"ACCEPTÉ")),1,0)</f>
        <v>0</v>
      </c>
      <c r="AV2247" s="82" t="str">
        <f aca="false">IF(AU2247=1,SUM(AU$7:AU2247),"")</f>
        <v/>
      </c>
      <c r="AW2247" s="82" t="str">
        <f aca="false">IF(E2247="","",B2247&amp;"|"&amp;E2247)</f>
        <v>MFD-ISW → MFD-CPF|JN°1763</v>
      </c>
    </row>
    <row r="2248" customFormat="false" ht="74.6" hidden="false" customHeight="false" outlineLevel="0" collapsed="false">
      <c r="A2248" s="79" t="n">
        <f aca="false">IF(E2248="","",ROW()-6)</f>
        <v>2242</v>
      </c>
      <c r="B2248" s="80" t="s">
        <v>110</v>
      </c>
      <c r="C2248" s="81" t="s">
        <v>2714</v>
      </c>
      <c r="D2248" s="81" t="n">
        <v>21</v>
      </c>
      <c r="E2248" s="81" t="s">
        <v>2726</v>
      </c>
      <c r="F2248" s="82" t="str">
        <f aca="false">IF(E2248="","",IF(LEFT(E2248,2)="DJ","DJ","JN"))</f>
        <v>JN</v>
      </c>
      <c r="G2248" s="81" t="s">
        <v>1504</v>
      </c>
      <c r="H2248" s="81" t="s">
        <v>871</v>
      </c>
      <c r="I2248" s="81" t="n">
        <v>9.53</v>
      </c>
      <c r="J2248" s="81" t="s">
        <v>872</v>
      </c>
      <c r="K2248" s="81" t="s">
        <v>879</v>
      </c>
      <c r="L2248" s="81" t="n">
        <v>2081890</v>
      </c>
      <c r="M2248" s="81" t="n">
        <v>15421104</v>
      </c>
      <c r="N2248" s="81" t="n">
        <v>11.94</v>
      </c>
      <c r="O2248" s="81" t="n">
        <v>2095260</v>
      </c>
      <c r="P2248" s="81" t="n">
        <v>15421111</v>
      </c>
      <c r="Q2248" s="81" t="n">
        <v>11.94</v>
      </c>
      <c r="R2248" s="81" t="s">
        <v>2708</v>
      </c>
      <c r="S2248" s="81"/>
      <c r="T2248" s="81"/>
      <c r="U2248" s="83" t="n">
        <v>46261</v>
      </c>
      <c r="V2248" s="83" t="n">
        <v>46261</v>
      </c>
      <c r="W2248" s="81" t="s">
        <v>2706</v>
      </c>
      <c r="X2248" s="81" t="s">
        <v>876</v>
      </c>
      <c r="Y2248" s="83" t="n">
        <v>46266</v>
      </c>
      <c r="Z2248" s="81" t="s">
        <v>2716</v>
      </c>
      <c r="AA2248" s="81" t="s">
        <v>876</v>
      </c>
      <c r="AB2248" s="81"/>
      <c r="AC2248" s="81"/>
      <c r="AD2248" s="81"/>
      <c r="AE2248" s="83"/>
      <c r="AF2248" s="81"/>
      <c r="AG2248" s="81"/>
      <c r="AH2248" s="81"/>
      <c r="AI2248" s="81"/>
      <c r="AJ2248" s="83"/>
      <c r="AK2248" s="81"/>
      <c r="AL2248" s="81"/>
      <c r="AM2248" s="83"/>
      <c r="AN2248" s="80"/>
      <c r="AO2248" s="82" t="n">
        <f aca="false">IF(E2248="","",(AA2248&lt;&gt;"")+(AG2248&lt;&gt;"")+(AL2248&lt;&gt;""))</f>
        <v>1</v>
      </c>
      <c r="AP2248" s="82" t="str">
        <f aca="false">IF(AL2248&lt;&gt;"",AL2248,IF(AG2248&lt;&gt;"",AG2248,IF(AA2248&lt;&gt;"",AA2248,"")))</f>
        <v>A</v>
      </c>
      <c r="AQ2248" s="84" t="str">
        <f aca="false">IF(E2248="","",IF(U2248="","À SOUDER",IF(X2248="","VT EN ATTENTE",IF(X2248="R","VT REJETÉ – À REPRENDRE",IF(AP2248="","À RADIOGRAPHIER",IF(AP2248="A","ACCEPTÉ",IF(AP2248="NX","NX – RT À REFAIRE",IF(IF(AO2248=1,AD2248,IF(AO2248=2,AI2248,""))="A","RÉPARÉ – À RADIOGRAPHIER",IF(IF(AO2248=1,AD2248,IF(AO2248=2,AI2248,""))="R","VT REJETÉ – À REPRENDRE",IF(OR(AP2248="CO",AP2248="NT"),"COUPE – À RESOUDER","À RÉPARER"))))))))))</f>
        <v>ACCEPTÉ</v>
      </c>
      <c r="AR2248" s="82" t="str">
        <f aca="false">IF(AND(ISNUMBER(U2248),OR(AQ2248="À RADIOGRAPHIER",AQ2248="RÉPARÉ – À RADIOGRAPHIER",AQ2248="NX – RT À REFAIRE",AQ2248="À RÉPARER",AQ2248="COUPE – À RESOUDER",AQ2248="VT REJETÉ – À REPRENDRE")),MAX(0,'PROGRAMME RT'!$C$4-U2248),"")</f>
        <v/>
      </c>
      <c r="AS2248" s="82" t="n">
        <f aca="false">IF(AND(OR(AQ2248="À RADIOGRAPHIER",AQ2248="RÉPARÉ – À RADIOGRAPHIER",AQ2248="NX – RT À REFAIRE"),OR('PROGRAMME RT'!$D$5="TOUTES",B2248='PROGRAMME RT'!$D$5)),1,0)</f>
        <v>0</v>
      </c>
      <c r="AT2248" s="82" t="str">
        <f aca="false">IF(AS2248=1,SUM(AS$7:AS2248),"")</f>
        <v/>
      </c>
      <c r="AU2248" s="82" t="n">
        <f aca="false">IF(AND(OR(AA2248="R",AA2248="NX",AA2248="NT",AA2248="CO"),OR('JOINTS DE RÉPARATION'!$D$5="TOUTES",B2248='JOINTS DE RÉPARATION'!$D$5),OR('JOINTS DE RÉPARATION'!$L$4="TOUS",AQ2248&lt;&gt;"ACCEPTÉ")),1,0)</f>
        <v>0</v>
      </c>
      <c r="AV2248" s="82" t="str">
        <f aca="false">IF(AU2248=1,SUM(AU$7:AU2248),"")</f>
        <v/>
      </c>
      <c r="AW2248" s="82" t="str">
        <f aca="false">IF(E2248="","",B2248&amp;"|"&amp;E2248)</f>
        <v>MFD-ISW → MFD-CPF|JN°1764</v>
      </c>
    </row>
    <row r="2249" customFormat="false" ht="74.6" hidden="false" customHeight="false" outlineLevel="0" collapsed="false">
      <c r="A2249" s="79" t="n">
        <f aca="false">IF(E2249="","",ROW()-6)</f>
        <v>2243</v>
      </c>
      <c r="B2249" s="80" t="s">
        <v>110</v>
      </c>
      <c r="C2249" s="81" t="s">
        <v>2714</v>
      </c>
      <c r="D2249" s="81" t="n">
        <v>21</v>
      </c>
      <c r="E2249" s="81" t="s">
        <v>2727</v>
      </c>
      <c r="F2249" s="82" t="str">
        <f aca="false">IF(E2249="","",IF(LEFT(E2249,2)="DJ","DJ","JN"))</f>
        <v>JN</v>
      </c>
      <c r="G2249" s="81" t="s">
        <v>1504</v>
      </c>
      <c r="H2249" s="81" t="s">
        <v>871</v>
      </c>
      <c r="I2249" s="81" t="n">
        <v>9.53</v>
      </c>
      <c r="J2249" s="81" t="s">
        <v>872</v>
      </c>
      <c r="K2249" s="81" t="s">
        <v>879</v>
      </c>
      <c r="L2249" s="81" t="n">
        <v>2095260</v>
      </c>
      <c r="M2249" s="81" t="n">
        <v>15421111</v>
      </c>
      <c r="N2249" s="81" t="n">
        <v>11.94</v>
      </c>
      <c r="O2249" s="81" t="n">
        <v>2089930</v>
      </c>
      <c r="P2249" s="81" t="n">
        <v>15421109</v>
      </c>
      <c r="Q2249" s="81" t="n">
        <v>11.94</v>
      </c>
      <c r="R2249" s="81" t="s">
        <v>2708</v>
      </c>
      <c r="S2249" s="81"/>
      <c r="T2249" s="81"/>
      <c r="U2249" s="83" t="n">
        <v>46261</v>
      </c>
      <c r="V2249" s="83" t="n">
        <v>46261</v>
      </c>
      <c r="W2249" s="81" t="s">
        <v>2706</v>
      </c>
      <c r="X2249" s="81" t="s">
        <v>876</v>
      </c>
      <c r="Y2249" s="83" t="n">
        <v>46266</v>
      </c>
      <c r="Z2249" s="81" t="s">
        <v>2716</v>
      </c>
      <c r="AA2249" s="81" t="s">
        <v>876</v>
      </c>
      <c r="AB2249" s="81"/>
      <c r="AC2249" s="81"/>
      <c r="AD2249" s="81"/>
      <c r="AE2249" s="83"/>
      <c r="AF2249" s="81"/>
      <c r="AG2249" s="81"/>
      <c r="AH2249" s="81"/>
      <c r="AI2249" s="81"/>
      <c r="AJ2249" s="83"/>
      <c r="AK2249" s="81"/>
      <c r="AL2249" s="81"/>
      <c r="AM2249" s="83"/>
      <c r="AN2249" s="80"/>
      <c r="AO2249" s="82" t="n">
        <f aca="false">IF(E2249="","",(AA2249&lt;&gt;"")+(AG2249&lt;&gt;"")+(AL2249&lt;&gt;""))</f>
        <v>1</v>
      </c>
      <c r="AP2249" s="82" t="str">
        <f aca="false">IF(AL2249&lt;&gt;"",AL2249,IF(AG2249&lt;&gt;"",AG2249,IF(AA2249&lt;&gt;"",AA2249,"")))</f>
        <v>A</v>
      </c>
      <c r="AQ2249" s="84" t="str">
        <f aca="false">IF(E2249="","",IF(U2249="","À SOUDER",IF(X2249="","VT EN ATTENTE",IF(X2249="R","VT REJETÉ – À REPRENDRE",IF(AP2249="","À RADIOGRAPHIER",IF(AP2249="A","ACCEPTÉ",IF(AP2249="NX","NX – RT À REFAIRE",IF(IF(AO2249=1,AD2249,IF(AO2249=2,AI2249,""))="A","RÉPARÉ – À RADIOGRAPHIER",IF(IF(AO2249=1,AD2249,IF(AO2249=2,AI2249,""))="R","VT REJETÉ – À REPRENDRE",IF(OR(AP2249="CO",AP2249="NT"),"COUPE – À RESOUDER","À RÉPARER"))))))))))</f>
        <v>ACCEPTÉ</v>
      </c>
      <c r="AR2249" s="82" t="str">
        <f aca="false">IF(AND(ISNUMBER(U2249),OR(AQ2249="À RADIOGRAPHIER",AQ2249="RÉPARÉ – À RADIOGRAPHIER",AQ2249="NX – RT À REFAIRE",AQ2249="À RÉPARER",AQ2249="COUPE – À RESOUDER",AQ2249="VT REJETÉ – À REPRENDRE")),MAX(0,'PROGRAMME RT'!$C$4-U2249),"")</f>
        <v/>
      </c>
      <c r="AS2249" s="82" t="n">
        <f aca="false">IF(AND(OR(AQ2249="À RADIOGRAPHIER",AQ2249="RÉPARÉ – À RADIOGRAPHIER",AQ2249="NX – RT À REFAIRE"),OR('PROGRAMME RT'!$D$5="TOUTES",B2249='PROGRAMME RT'!$D$5)),1,0)</f>
        <v>0</v>
      </c>
      <c r="AT2249" s="82" t="str">
        <f aca="false">IF(AS2249=1,SUM(AS$7:AS2249),"")</f>
        <v/>
      </c>
      <c r="AU2249" s="82" t="n">
        <f aca="false">IF(AND(OR(AA2249="R",AA2249="NX",AA2249="NT",AA2249="CO"),OR('JOINTS DE RÉPARATION'!$D$5="TOUTES",B2249='JOINTS DE RÉPARATION'!$D$5),OR('JOINTS DE RÉPARATION'!$L$4="TOUS",AQ2249&lt;&gt;"ACCEPTÉ")),1,0)</f>
        <v>0</v>
      </c>
      <c r="AV2249" s="82" t="str">
        <f aca="false">IF(AU2249=1,SUM(AU$7:AU2249),"")</f>
        <v/>
      </c>
      <c r="AW2249" s="82" t="str">
        <f aca="false">IF(E2249="","",B2249&amp;"|"&amp;E2249)</f>
        <v>MFD-ISW → MFD-CPF|JN°1765</v>
      </c>
    </row>
    <row r="2250" customFormat="false" ht="74.6" hidden="false" customHeight="false" outlineLevel="0" collapsed="false">
      <c r="A2250" s="79" t="n">
        <f aca="false">IF(E2250="","",ROW()-6)</f>
        <v>2244</v>
      </c>
      <c r="B2250" s="80" t="s">
        <v>110</v>
      </c>
      <c r="C2250" s="81" t="s">
        <v>2714</v>
      </c>
      <c r="D2250" s="81" t="n">
        <v>21</v>
      </c>
      <c r="E2250" s="81" t="s">
        <v>2728</v>
      </c>
      <c r="F2250" s="82" t="str">
        <f aca="false">IF(E2250="","",IF(LEFT(E2250,2)="DJ","DJ","JN"))</f>
        <v>JN</v>
      </c>
      <c r="G2250" s="81" t="s">
        <v>1504</v>
      </c>
      <c r="H2250" s="81" t="s">
        <v>871</v>
      </c>
      <c r="I2250" s="81" t="n">
        <v>9.53</v>
      </c>
      <c r="J2250" s="81" t="s">
        <v>872</v>
      </c>
      <c r="K2250" s="81" t="s">
        <v>879</v>
      </c>
      <c r="L2250" s="81" t="n">
        <v>2089930</v>
      </c>
      <c r="M2250" s="81" t="n">
        <v>15421109</v>
      </c>
      <c r="N2250" s="81" t="n">
        <v>11.94</v>
      </c>
      <c r="O2250" s="81" t="n">
        <v>2097690</v>
      </c>
      <c r="P2250" s="81" t="n">
        <v>15421112</v>
      </c>
      <c r="Q2250" s="81" t="n">
        <v>11.94</v>
      </c>
      <c r="R2250" s="81" t="s">
        <v>2708</v>
      </c>
      <c r="S2250" s="81"/>
      <c r="T2250" s="81"/>
      <c r="U2250" s="83" t="n">
        <v>46261</v>
      </c>
      <c r="V2250" s="83" t="n">
        <v>46261</v>
      </c>
      <c r="W2250" s="81" t="s">
        <v>2706</v>
      </c>
      <c r="X2250" s="81" t="s">
        <v>876</v>
      </c>
      <c r="Y2250" s="83" t="n">
        <v>46266</v>
      </c>
      <c r="Z2250" s="81" t="s">
        <v>2716</v>
      </c>
      <c r="AA2250" s="81" t="s">
        <v>876</v>
      </c>
      <c r="AB2250" s="81"/>
      <c r="AC2250" s="81"/>
      <c r="AD2250" s="81"/>
      <c r="AE2250" s="83"/>
      <c r="AF2250" s="81"/>
      <c r="AG2250" s="81"/>
      <c r="AH2250" s="81"/>
      <c r="AI2250" s="81"/>
      <c r="AJ2250" s="83"/>
      <c r="AK2250" s="81"/>
      <c r="AL2250" s="81"/>
      <c r="AM2250" s="83"/>
      <c r="AN2250" s="80"/>
      <c r="AO2250" s="82" t="n">
        <f aca="false">IF(E2250="","",(AA2250&lt;&gt;"")+(AG2250&lt;&gt;"")+(AL2250&lt;&gt;""))</f>
        <v>1</v>
      </c>
      <c r="AP2250" s="82" t="str">
        <f aca="false">IF(AL2250&lt;&gt;"",AL2250,IF(AG2250&lt;&gt;"",AG2250,IF(AA2250&lt;&gt;"",AA2250,"")))</f>
        <v>A</v>
      </c>
      <c r="AQ2250" s="84" t="str">
        <f aca="false">IF(E2250="","",IF(U2250="","À SOUDER",IF(X2250="","VT EN ATTENTE",IF(X2250="R","VT REJETÉ – À REPRENDRE",IF(AP2250="","À RADIOGRAPHIER",IF(AP2250="A","ACCEPTÉ",IF(AP2250="NX","NX – RT À REFAIRE",IF(IF(AO2250=1,AD2250,IF(AO2250=2,AI2250,""))="A","RÉPARÉ – À RADIOGRAPHIER",IF(IF(AO2250=1,AD2250,IF(AO2250=2,AI2250,""))="R","VT REJETÉ – À REPRENDRE",IF(OR(AP2250="CO",AP2250="NT"),"COUPE – À RESOUDER","À RÉPARER"))))))))))</f>
        <v>ACCEPTÉ</v>
      </c>
      <c r="AR2250" s="82" t="str">
        <f aca="false">IF(AND(ISNUMBER(U2250),OR(AQ2250="À RADIOGRAPHIER",AQ2250="RÉPARÉ – À RADIOGRAPHIER",AQ2250="NX – RT À REFAIRE",AQ2250="À RÉPARER",AQ2250="COUPE – À RESOUDER",AQ2250="VT REJETÉ – À REPRENDRE")),MAX(0,'PROGRAMME RT'!$C$4-U2250),"")</f>
        <v/>
      </c>
      <c r="AS2250" s="82" t="n">
        <f aca="false">IF(AND(OR(AQ2250="À RADIOGRAPHIER",AQ2250="RÉPARÉ – À RADIOGRAPHIER",AQ2250="NX – RT À REFAIRE"),OR('PROGRAMME RT'!$D$5="TOUTES",B2250='PROGRAMME RT'!$D$5)),1,0)</f>
        <v>0</v>
      </c>
      <c r="AT2250" s="82" t="str">
        <f aca="false">IF(AS2250=1,SUM(AS$7:AS2250),"")</f>
        <v/>
      </c>
      <c r="AU2250" s="82" t="n">
        <f aca="false">IF(AND(OR(AA2250="R",AA2250="NX",AA2250="NT",AA2250="CO"),OR('JOINTS DE RÉPARATION'!$D$5="TOUTES",B2250='JOINTS DE RÉPARATION'!$D$5),OR('JOINTS DE RÉPARATION'!$L$4="TOUS",AQ2250&lt;&gt;"ACCEPTÉ")),1,0)</f>
        <v>0</v>
      </c>
      <c r="AV2250" s="82" t="str">
        <f aca="false">IF(AU2250=1,SUM(AU$7:AU2250),"")</f>
        <v/>
      </c>
      <c r="AW2250" s="82" t="str">
        <f aca="false">IF(E2250="","",B2250&amp;"|"&amp;E2250)</f>
        <v>MFD-ISW → MFD-CPF|JN°1766</v>
      </c>
    </row>
    <row r="2251" customFormat="false" ht="74.6" hidden="false" customHeight="false" outlineLevel="0" collapsed="false">
      <c r="A2251" s="79" t="n">
        <f aca="false">IF(E2251="","",ROW()-6)</f>
        <v>2245</v>
      </c>
      <c r="B2251" s="80" t="s">
        <v>110</v>
      </c>
      <c r="C2251" s="81" t="s">
        <v>2714</v>
      </c>
      <c r="D2251" s="81" t="n">
        <v>21</v>
      </c>
      <c r="E2251" s="81" t="s">
        <v>2729</v>
      </c>
      <c r="F2251" s="82" t="str">
        <f aca="false">IF(E2251="","",IF(LEFT(E2251,2)="DJ","DJ","JN"))</f>
        <v>JN</v>
      </c>
      <c r="G2251" s="81" t="s">
        <v>1504</v>
      </c>
      <c r="H2251" s="81" t="s">
        <v>871</v>
      </c>
      <c r="I2251" s="81" t="n">
        <v>9.53</v>
      </c>
      <c r="J2251" s="81" t="s">
        <v>872</v>
      </c>
      <c r="K2251" s="81" t="s">
        <v>879</v>
      </c>
      <c r="L2251" s="81" t="n">
        <v>2097690</v>
      </c>
      <c r="M2251" s="81" t="n">
        <v>15421112</v>
      </c>
      <c r="N2251" s="81" t="n">
        <v>11.94</v>
      </c>
      <c r="O2251" s="81" t="n">
        <v>2088080</v>
      </c>
      <c r="P2251" s="81" t="n">
        <v>15421108</v>
      </c>
      <c r="Q2251" s="81" t="n">
        <v>11.94</v>
      </c>
      <c r="R2251" s="81" t="s">
        <v>2708</v>
      </c>
      <c r="S2251" s="81"/>
      <c r="T2251" s="81"/>
      <c r="U2251" s="83" t="n">
        <v>46261</v>
      </c>
      <c r="V2251" s="83" t="n">
        <v>46261</v>
      </c>
      <c r="W2251" s="81" t="s">
        <v>2706</v>
      </c>
      <c r="X2251" s="81" t="s">
        <v>876</v>
      </c>
      <c r="Y2251" s="83" t="n">
        <v>46266</v>
      </c>
      <c r="Z2251" s="81" t="s">
        <v>2716</v>
      </c>
      <c r="AA2251" s="81" t="s">
        <v>876</v>
      </c>
      <c r="AB2251" s="81"/>
      <c r="AC2251" s="81"/>
      <c r="AD2251" s="81"/>
      <c r="AE2251" s="83"/>
      <c r="AF2251" s="81"/>
      <c r="AG2251" s="81"/>
      <c r="AH2251" s="81"/>
      <c r="AI2251" s="81"/>
      <c r="AJ2251" s="83"/>
      <c r="AK2251" s="81"/>
      <c r="AL2251" s="81"/>
      <c r="AM2251" s="83"/>
      <c r="AN2251" s="80"/>
      <c r="AO2251" s="82" t="n">
        <f aca="false">IF(E2251="","",(AA2251&lt;&gt;"")+(AG2251&lt;&gt;"")+(AL2251&lt;&gt;""))</f>
        <v>1</v>
      </c>
      <c r="AP2251" s="82" t="str">
        <f aca="false">IF(AL2251&lt;&gt;"",AL2251,IF(AG2251&lt;&gt;"",AG2251,IF(AA2251&lt;&gt;"",AA2251,"")))</f>
        <v>A</v>
      </c>
      <c r="AQ2251" s="84" t="str">
        <f aca="false">IF(E2251="","",IF(U2251="","À SOUDER",IF(X2251="","VT EN ATTENTE",IF(X2251="R","VT REJETÉ – À REPRENDRE",IF(AP2251="","À RADIOGRAPHIER",IF(AP2251="A","ACCEPTÉ",IF(AP2251="NX","NX – RT À REFAIRE",IF(IF(AO2251=1,AD2251,IF(AO2251=2,AI2251,""))="A","RÉPARÉ – À RADIOGRAPHIER",IF(IF(AO2251=1,AD2251,IF(AO2251=2,AI2251,""))="R","VT REJETÉ – À REPRENDRE",IF(OR(AP2251="CO",AP2251="NT"),"COUPE – À RESOUDER","À RÉPARER"))))))))))</f>
        <v>ACCEPTÉ</v>
      </c>
      <c r="AR2251" s="82" t="str">
        <f aca="false">IF(AND(ISNUMBER(U2251),OR(AQ2251="À RADIOGRAPHIER",AQ2251="RÉPARÉ – À RADIOGRAPHIER",AQ2251="NX – RT À REFAIRE",AQ2251="À RÉPARER",AQ2251="COUPE – À RESOUDER",AQ2251="VT REJETÉ – À REPRENDRE")),MAX(0,'PROGRAMME RT'!$C$4-U2251),"")</f>
        <v/>
      </c>
      <c r="AS2251" s="82" t="n">
        <f aca="false">IF(AND(OR(AQ2251="À RADIOGRAPHIER",AQ2251="RÉPARÉ – À RADIOGRAPHIER",AQ2251="NX – RT À REFAIRE"),OR('PROGRAMME RT'!$D$5="TOUTES",B2251='PROGRAMME RT'!$D$5)),1,0)</f>
        <v>0</v>
      </c>
      <c r="AT2251" s="82" t="str">
        <f aca="false">IF(AS2251=1,SUM(AS$7:AS2251),"")</f>
        <v/>
      </c>
      <c r="AU2251" s="82" t="n">
        <f aca="false">IF(AND(OR(AA2251="R",AA2251="NX",AA2251="NT",AA2251="CO"),OR('JOINTS DE RÉPARATION'!$D$5="TOUTES",B2251='JOINTS DE RÉPARATION'!$D$5),OR('JOINTS DE RÉPARATION'!$L$4="TOUS",AQ2251&lt;&gt;"ACCEPTÉ")),1,0)</f>
        <v>0</v>
      </c>
      <c r="AV2251" s="82" t="str">
        <f aca="false">IF(AU2251=1,SUM(AU$7:AU2251),"")</f>
        <v/>
      </c>
      <c r="AW2251" s="82" t="str">
        <f aca="false">IF(E2251="","",B2251&amp;"|"&amp;E2251)</f>
        <v>MFD-ISW → MFD-CPF|JN°1767</v>
      </c>
    </row>
    <row r="2252" customFormat="false" ht="74.6" hidden="false" customHeight="false" outlineLevel="0" collapsed="false">
      <c r="A2252" s="79" t="n">
        <f aca="false">IF(E2252="","",ROW()-6)</f>
        <v>2246</v>
      </c>
      <c r="B2252" s="80" t="s">
        <v>110</v>
      </c>
      <c r="C2252" s="81" t="s">
        <v>2714</v>
      </c>
      <c r="D2252" s="81" t="n">
        <v>21</v>
      </c>
      <c r="E2252" s="81" t="s">
        <v>2730</v>
      </c>
      <c r="F2252" s="82" t="str">
        <f aca="false">IF(E2252="","",IF(LEFT(E2252,2)="DJ","DJ","JN"))</f>
        <v>JN</v>
      </c>
      <c r="G2252" s="81" t="s">
        <v>1504</v>
      </c>
      <c r="H2252" s="81" t="s">
        <v>871</v>
      </c>
      <c r="I2252" s="81" t="n">
        <v>9.53</v>
      </c>
      <c r="J2252" s="81" t="s">
        <v>872</v>
      </c>
      <c r="K2252" s="81" t="s">
        <v>879</v>
      </c>
      <c r="L2252" s="81" t="n">
        <v>2088080</v>
      </c>
      <c r="M2252" s="81" t="n">
        <v>15421108</v>
      </c>
      <c r="N2252" s="81" t="n">
        <v>11.94</v>
      </c>
      <c r="O2252" s="81" t="n">
        <v>2084010</v>
      </c>
      <c r="P2252" s="81" t="n">
        <v>15421106</v>
      </c>
      <c r="Q2252" s="81" t="n">
        <v>11.94</v>
      </c>
      <c r="R2252" s="81" t="s">
        <v>2708</v>
      </c>
      <c r="S2252" s="81"/>
      <c r="T2252" s="81"/>
      <c r="U2252" s="83" t="n">
        <v>46261</v>
      </c>
      <c r="V2252" s="83" t="n">
        <v>46261</v>
      </c>
      <c r="W2252" s="81" t="s">
        <v>2706</v>
      </c>
      <c r="X2252" s="81" t="s">
        <v>876</v>
      </c>
      <c r="Y2252" s="83" t="n">
        <v>46263</v>
      </c>
      <c r="Z2252" s="81" t="s">
        <v>2731</v>
      </c>
      <c r="AA2252" s="81" t="s">
        <v>876</v>
      </c>
      <c r="AB2252" s="81"/>
      <c r="AC2252" s="81"/>
      <c r="AD2252" s="81"/>
      <c r="AE2252" s="83"/>
      <c r="AF2252" s="81"/>
      <c r="AG2252" s="81"/>
      <c r="AH2252" s="81"/>
      <c r="AI2252" s="81"/>
      <c r="AJ2252" s="83"/>
      <c r="AK2252" s="81"/>
      <c r="AL2252" s="81"/>
      <c r="AM2252" s="83"/>
      <c r="AN2252" s="80"/>
      <c r="AO2252" s="82" t="n">
        <f aca="false">IF(E2252="","",(AA2252&lt;&gt;"")+(AG2252&lt;&gt;"")+(AL2252&lt;&gt;""))</f>
        <v>1</v>
      </c>
      <c r="AP2252" s="82" t="str">
        <f aca="false">IF(AL2252&lt;&gt;"",AL2252,IF(AG2252&lt;&gt;"",AG2252,IF(AA2252&lt;&gt;"",AA2252,"")))</f>
        <v>A</v>
      </c>
      <c r="AQ2252" s="84" t="str">
        <f aca="false">IF(E2252="","",IF(U2252="","À SOUDER",IF(X2252="","VT EN ATTENTE",IF(X2252="R","VT REJETÉ – À REPRENDRE",IF(AP2252="","À RADIOGRAPHIER",IF(AP2252="A","ACCEPTÉ",IF(AP2252="NX","NX – RT À REFAIRE",IF(IF(AO2252=1,AD2252,IF(AO2252=2,AI2252,""))="A","RÉPARÉ – À RADIOGRAPHIER",IF(IF(AO2252=1,AD2252,IF(AO2252=2,AI2252,""))="R","VT REJETÉ – À REPRENDRE",IF(OR(AP2252="CO",AP2252="NT"),"COUPE – À RESOUDER","À RÉPARER"))))))))))</f>
        <v>ACCEPTÉ</v>
      </c>
      <c r="AR2252" s="82" t="str">
        <f aca="false">IF(AND(ISNUMBER(U2252),OR(AQ2252="À RADIOGRAPHIER",AQ2252="RÉPARÉ – À RADIOGRAPHIER",AQ2252="NX – RT À REFAIRE",AQ2252="À RÉPARER",AQ2252="COUPE – À RESOUDER",AQ2252="VT REJETÉ – À REPRENDRE")),MAX(0,'PROGRAMME RT'!$C$4-U2252),"")</f>
        <v/>
      </c>
      <c r="AS2252" s="82" t="n">
        <f aca="false">IF(AND(OR(AQ2252="À RADIOGRAPHIER",AQ2252="RÉPARÉ – À RADIOGRAPHIER",AQ2252="NX – RT À REFAIRE"),OR('PROGRAMME RT'!$D$5="TOUTES",B2252='PROGRAMME RT'!$D$5)),1,0)</f>
        <v>0</v>
      </c>
      <c r="AT2252" s="82" t="str">
        <f aca="false">IF(AS2252=1,SUM(AS$7:AS2252),"")</f>
        <v/>
      </c>
      <c r="AU2252" s="82" t="n">
        <f aca="false">IF(AND(OR(AA2252="R",AA2252="NX",AA2252="NT",AA2252="CO"),OR('JOINTS DE RÉPARATION'!$D$5="TOUTES",B2252='JOINTS DE RÉPARATION'!$D$5),OR('JOINTS DE RÉPARATION'!$L$4="TOUS",AQ2252&lt;&gt;"ACCEPTÉ")),1,0)</f>
        <v>0</v>
      </c>
      <c r="AV2252" s="82" t="str">
        <f aca="false">IF(AU2252=1,SUM(AU$7:AU2252),"")</f>
        <v/>
      </c>
      <c r="AW2252" s="82" t="str">
        <f aca="false">IF(E2252="","",B2252&amp;"|"&amp;E2252)</f>
        <v>MFD-ISW → MFD-CPF|JN°1768</v>
      </c>
    </row>
    <row r="2253" customFormat="false" ht="74.6" hidden="false" customHeight="false" outlineLevel="0" collapsed="false">
      <c r="A2253" s="79" t="n">
        <f aca="false">IF(E2253="","",ROW()-6)</f>
        <v>2247</v>
      </c>
      <c r="B2253" s="80" t="s">
        <v>110</v>
      </c>
      <c r="C2253" s="81" t="s">
        <v>2714</v>
      </c>
      <c r="D2253" s="81" t="n">
        <v>21</v>
      </c>
      <c r="E2253" s="81" t="s">
        <v>2732</v>
      </c>
      <c r="F2253" s="82" t="str">
        <f aca="false">IF(E2253="","",IF(LEFT(E2253,2)="DJ","DJ","JN"))</f>
        <v>JN</v>
      </c>
      <c r="G2253" s="81" t="s">
        <v>1504</v>
      </c>
      <c r="H2253" s="81" t="s">
        <v>871</v>
      </c>
      <c r="I2253" s="81" t="n">
        <v>9.53</v>
      </c>
      <c r="J2253" s="81" t="s">
        <v>872</v>
      </c>
      <c r="K2253" s="81" t="s">
        <v>879</v>
      </c>
      <c r="L2253" s="81" t="n">
        <v>2084010</v>
      </c>
      <c r="M2253" s="81" t="n">
        <v>15421106</v>
      </c>
      <c r="N2253" s="81" t="n">
        <v>11.94</v>
      </c>
      <c r="O2253" s="81" t="n">
        <v>2079120</v>
      </c>
      <c r="P2253" s="81" t="n">
        <v>15421102</v>
      </c>
      <c r="Q2253" s="81" t="n">
        <v>11.94</v>
      </c>
      <c r="R2253" s="81" t="s">
        <v>2708</v>
      </c>
      <c r="S2253" s="81"/>
      <c r="T2253" s="81"/>
      <c r="U2253" s="83" t="n">
        <v>46261</v>
      </c>
      <c r="V2253" s="83" t="n">
        <v>46261</v>
      </c>
      <c r="W2253" s="81" t="s">
        <v>2733</v>
      </c>
      <c r="X2253" s="81" t="s">
        <v>876</v>
      </c>
      <c r="Y2253" s="83" t="n">
        <v>46263</v>
      </c>
      <c r="Z2253" s="81" t="s">
        <v>2731</v>
      </c>
      <c r="AA2253" s="81" t="s">
        <v>876</v>
      </c>
      <c r="AB2253" s="81"/>
      <c r="AC2253" s="81"/>
      <c r="AD2253" s="81"/>
      <c r="AE2253" s="83"/>
      <c r="AF2253" s="81"/>
      <c r="AG2253" s="81"/>
      <c r="AH2253" s="81"/>
      <c r="AI2253" s="81"/>
      <c r="AJ2253" s="83"/>
      <c r="AK2253" s="81"/>
      <c r="AL2253" s="81"/>
      <c r="AM2253" s="83"/>
      <c r="AN2253" s="80"/>
      <c r="AO2253" s="82" t="n">
        <f aca="false">IF(E2253="","",(AA2253&lt;&gt;"")+(AG2253&lt;&gt;"")+(AL2253&lt;&gt;""))</f>
        <v>1</v>
      </c>
      <c r="AP2253" s="82" t="str">
        <f aca="false">IF(AL2253&lt;&gt;"",AL2253,IF(AG2253&lt;&gt;"",AG2253,IF(AA2253&lt;&gt;"",AA2253,"")))</f>
        <v>A</v>
      </c>
      <c r="AQ2253" s="84" t="str">
        <f aca="false">IF(E2253="","",IF(U2253="","À SOUDER",IF(X2253="","VT EN ATTENTE",IF(X2253="R","VT REJETÉ – À REPRENDRE",IF(AP2253="","À RADIOGRAPHIER",IF(AP2253="A","ACCEPTÉ",IF(AP2253="NX","NX – RT À REFAIRE",IF(IF(AO2253=1,AD2253,IF(AO2253=2,AI2253,""))="A","RÉPARÉ – À RADIOGRAPHIER",IF(IF(AO2253=1,AD2253,IF(AO2253=2,AI2253,""))="R","VT REJETÉ – À REPRENDRE",IF(OR(AP2253="CO",AP2253="NT"),"COUPE – À RESOUDER","À RÉPARER"))))))))))</f>
        <v>ACCEPTÉ</v>
      </c>
      <c r="AR2253" s="82" t="str">
        <f aca="false">IF(AND(ISNUMBER(U2253),OR(AQ2253="À RADIOGRAPHIER",AQ2253="RÉPARÉ – À RADIOGRAPHIER",AQ2253="NX – RT À REFAIRE",AQ2253="À RÉPARER",AQ2253="COUPE – À RESOUDER",AQ2253="VT REJETÉ – À REPRENDRE")),MAX(0,'PROGRAMME RT'!$C$4-U2253),"")</f>
        <v/>
      </c>
      <c r="AS2253" s="82" t="n">
        <f aca="false">IF(AND(OR(AQ2253="À RADIOGRAPHIER",AQ2253="RÉPARÉ – À RADIOGRAPHIER",AQ2253="NX – RT À REFAIRE"),OR('PROGRAMME RT'!$D$5="TOUTES",B2253='PROGRAMME RT'!$D$5)),1,0)</f>
        <v>0</v>
      </c>
      <c r="AT2253" s="82" t="str">
        <f aca="false">IF(AS2253=1,SUM(AS$7:AS2253),"")</f>
        <v/>
      </c>
      <c r="AU2253" s="82" t="n">
        <f aca="false">IF(AND(OR(AA2253="R",AA2253="NX",AA2253="NT",AA2253="CO"),OR('JOINTS DE RÉPARATION'!$D$5="TOUTES",B2253='JOINTS DE RÉPARATION'!$D$5),OR('JOINTS DE RÉPARATION'!$L$4="TOUS",AQ2253&lt;&gt;"ACCEPTÉ")),1,0)</f>
        <v>0</v>
      </c>
      <c r="AV2253" s="82" t="str">
        <f aca="false">IF(AU2253=1,SUM(AU$7:AU2253),"")</f>
        <v/>
      </c>
      <c r="AW2253" s="82" t="str">
        <f aca="false">IF(E2253="","",B2253&amp;"|"&amp;E2253)</f>
        <v>MFD-ISW → MFD-CPF|JN°1769</v>
      </c>
    </row>
    <row r="2254" customFormat="false" ht="74.6" hidden="false" customHeight="false" outlineLevel="0" collapsed="false">
      <c r="A2254" s="79" t="n">
        <f aca="false">IF(E2254="","",ROW()-6)</f>
        <v>2248</v>
      </c>
      <c r="B2254" s="80" t="s">
        <v>110</v>
      </c>
      <c r="C2254" s="81" t="s">
        <v>2714</v>
      </c>
      <c r="D2254" s="81" t="n">
        <v>21</v>
      </c>
      <c r="E2254" s="81" t="s">
        <v>2734</v>
      </c>
      <c r="F2254" s="82" t="str">
        <f aca="false">IF(E2254="","",IF(LEFT(E2254,2)="DJ","DJ","JN"))</f>
        <v>JN</v>
      </c>
      <c r="G2254" s="81" t="s">
        <v>1504</v>
      </c>
      <c r="H2254" s="81" t="s">
        <v>871</v>
      </c>
      <c r="I2254" s="81" t="n">
        <v>9.53</v>
      </c>
      <c r="J2254" s="81" t="s">
        <v>872</v>
      </c>
      <c r="K2254" s="81" t="s">
        <v>879</v>
      </c>
      <c r="L2254" s="81" t="n">
        <v>2079120</v>
      </c>
      <c r="M2254" s="81" t="n">
        <v>15421102</v>
      </c>
      <c r="N2254" s="81" t="n">
        <v>11.94</v>
      </c>
      <c r="O2254" s="81" t="n">
        <v>2093360</v>
      </c>
      <c r="P2254" s="81" t="n">
        <v>15421110</v>
      </c>
      <c r="Q2254" s="81" t="n">
        <v>11.94</v>
      </c>
      <c r="R2254" s="81" t="s">
        <v>2708</v>
      </c>
      <c r="S2254" s="81"/>
      <c r="T2254" s="81"/>
      <c r="U2254" s="83" t="n">
        <v>46261</v>
      </c>
      <c r="V2254" s="83" t="n">
        <v>46261</v>
      </c>
      <c r="W2254" s="81" t="s">
        <v>2733</v>
      </c>
      <c r="X2254" s="81" t="s">
        <v>876</v>
      </c>
      <c r="Y2254" s="83" t="n">
        <v>46263</v>
      </c>
      <c r="Z2254" s="81" t="s">
        <v>2731</v>
      </c>
      <c r="AA2254" s="81" t="s">
        <v>876</v>
      </c>
      <c r="AB2254" s="81"/>
      <c r="AC2254" s="81"/>
      <c r="AD2254" s="81"/>
      <c r="AE2254" s="83"/>
      <c r="AF2254" s="81"/>
      <c r="AG2254" s="81"/>
      <c r="AH2254" s="81"/>
      <c r="AI2254" s="81"/>
      <c r="AJ2254" s="83"/>
      <c r="AK2254" s="81"/>
      <c r="AL2254" s="81"/>
      <c r="AM2254" s="83"/>
      <c r="AN2254" s="80"/>
      <c r="AO2254" s="82" t="n">
        <f aca="false">IF(E2254="","",(AA2254&lt;&gt;"")+(AG2254&lt;&gt;"")+(AL2254&lt;&gt;""))</f>
        <v>1</v>
      </c>
      <c r="AP2254" s="82" t="str">
        <f aca="false">IF(AL2254&lt;&gt;"",AL2254,IF(AG2254&lt;&gt;"",AG2254,IF(AA2254&lt;&gt;"",AA2254,"")))</f>
        <v>A</v>
      </c>
      <c r="AQ2254" s="84" t="str">
        <f aca="false">IF(E2254="","",IF(U2254="","À SOUDER",IF(X2254="","VT EN ATTENTE",IF(X2254="R","VT REJETÉ – À REPRENDRE",IF(AP2254="","À RADIOGRAPHIER",IF(AP2254="A","ACCEPTÉ",IF(AP2254="NX","NX – RT À REFAIRE",IF(IF(AO2254=1,AD2254,IF(AO2254=2,AI2254,""))="A","RÉPARÉ – À RADIOGRAPHIER",IF(IF(AO2254=1,AD2254,IF(AO2254=2,AI2254,""))="R","VT REJETÉ – À REPRENDRE",IF(OR(AP2254="CO",AP2254="NT"),"COUPE – À RESOUDER","À RÉPARER"))))))))))</f>
        <v>ACCEPTÉ</v>
      </c>
      <c r="AR2254" s="82" t="str">
        <f aca="false">IF(AND(ISNUMBER(U2254),OR(AQ2254="À RADIOGRAPHIER",AQ2254="RÉPARÉ – À RADIOGRAPHIER",AQ2254="NX – RT À REFAIRE",AQ2254="À RÉPARER",AQ2254="COUPE – À RESOUDER",AQ2254="VT REJETÉ – À REPRENDRE")),MAX(0,'PROGRAMME RT'!$C$4-U2254),"")</f>
        <v/>
      </c>
      <c r="AS2254" s="82" t="n">
        <f aca="false">IF(AND(OR(AQ2254="À RADIOGRAPHIER",AQ2254="RÉPARÉ – À RADIOGRAPHIER",AQ2254="NX – RT À REFAIRE"),OR('PROGRAMME RT'!$D$5="TOUTES",B2254='PROGRAMME RT'!$D$5)),1,0)</f>
        <v>0</v>
      </c>
      <c r="AT2254" s="82" t="str">
        <f aca="false">IF(AS2254=1,SUM(AS$7:AS2254),"")</f>
        <v/>
      </c>
      <c r="AU2254" s="82" t="n">
        <f aca="false">IF(AND(OR(AA2254="R",AA2254="NX",AA2254="NT",AA2254="CO"),OR('JOINTS DE RÉPARATION'!$D$5="TOUTES",B2254='JOINTS DE RÉPARATION'!$D$5),OR('JOINTS DE RÉPARATION'!$L$4="TOUS",AQ2254&lt;&gt;"ACCEPTÉ")),1,0)</f>
        <v>0</v>
      </c>
      <c r="AV2254" s="82" t="str">
        <f aca="false">IF(AU2254=1,SUM(AU$7:AU2254),"")</f>
        <v/>
      </c>
      <c r="AW2254" s="82" t="str">
        <f aca="false">IF(E2254="","",B2254&amp;"|"&amp;E2254)</f>
        <v>MFD-ISW → MFD-CPF|JN°1770</v>
      </c>
    </row>
    <row r="2255" customFormat="false" ht="74.6" hidden="false" customHeight="false" outlineLevel="0" collapsed="false">
      <c r="A2255" s="79" t="n">
        <f aca="false">IF(E2255="","",ROW()-6)</f>
        <v>2249</v>
      </c>
      <c r="B2255" s="80" t="s">
        <v>110</v>
      </c>
      <c r="C2255" s="81" t="s">
        <v>2714</v>
      </c>
      <c r="D2255" s="81" t="n">
        <v>21</v>
      </c>
      <c r="E2255" s="81" t="s">
        <v>2735</v>
      </c>
      <c r="F2255" s="82" t="str">
        <f aca="false">IF(E2255="","",IF(LEFT(E2255,2)="DJ","DJ","JN"))</f>
        <v>JN</v>
      </c>
      <c r="G2255" s="81" t="s">
        <v>1504</v>
      </c>
      <c r="H2255" s="81" t="s">
        <v>871</v>
      </c>
      <c r="I2255" s="81" t="n">
        <v>9.53</v>
      </c>
      <c r="J2255" s="81" t="s">
        <v>872</v>
      </c>
      <c r="K2255" s="81" t="s">
        <v>879</v>
      </c>
      <c r="L2255" s="81" t="n">
        <v>2093360</v>
      </c>
      <c r="M2255" s="81" t="n">
        <v>15421110</v>
      </c>
      <c r="N2255" s="81" t="n">
        <v>11.94</v>
      </c>
      <c r="O2255" s="81" t="n">
        <v>2097860</v>
      </c>
      <c r="P2255" s="81" t="n">
        <v>15421112</v>
      </c>
      <c r="Q2255" s="81" t="n">
        <v>11.94</v>
      </c>
      <c r="R2255" s="81" t="s">
        <v>2708</v>
      </c>
      <c r="S2255" s="81"/>
      <c r="T2255" s="81"/>
      <c r="U2255" s="83" t="n">
        <v>46261</v>
      </c>
      <c r="V2255" s="83" t="n">
        <v>46261</v>
      </c>
      <c r="W2255" s="81" t="s">
        <v>2733</v>
      </c>
      <c r="X2255" s="81" t="s">
        <v>876</v>
      </c>
      <c r="Y2255" s="83" t="n">
        <v>46263</v>
      </c>
      <c r="Z2255" s="81" t="s">
        <v>2731</v>
      </c>
      <c r="AA2255" s="81" t="s">
        <v>876</v>
      </c>
      <c r="AB2255" s="81"/>
      <c r="AC2255" s="81"/>
      <c r="AD2255" s="81"/>
      <c r="AE2255" s="83"/>
      <c r="AF2255" s="81"/>
      <c r="AG2255" s="81"/>
      <c r="AH2255" s="81"/>
      <c r="AI2255" s="81"/>
      <c r="AJ2255" s="83"/>
      <c r="AK2255" s="81"/>
      <c r="AL2255" s="81"/>
      <c r="AM2255" s="83"/>
      <c r="AN2255" s="80"/>
      <c r="AO2255" s="82" t="n">
        <f aca="false">IF(E2255="","",(AA2255&lt;&gt;"")+(AG2255&lt;&gt;"")+(AL2255&lt;&gt;""))</f>
        <v>1</v>
      </c>
      <c r="AP2255" s="82" t="str">
        <f aca="false">IF(AL2255&lt;&gt;"",AL2255,IF(AG2255&lt;&gt;"",AG2255,IF(AA2255&lt;&gt;"",AA2255,"")))</f>
        <v>A</v>
      </c>
      <c r="AQ2255" s="84" t="str">
        <f aca="false">IF(E2255="","",IF(U2255="","À SOUDER",IF(X2255="","VT EN ATTENTE",IF(X2255="R","VT REJETÉ – À REPRENDRE",IF(AP2255="","À RADIOGRAPHIER",IF(AP2255="A","ACCEPTÉ",IF(AP2255="NX","NX – RT À REFAIRE",IF(IF(AO2255=1,AD2255,IF(AO2255=2,AI2255,""))="A","RÉPARÉ – À RADIOGRAPHIER",IF(IF(AO2255=1,AD2255,IF(AO2255=2,AI2255,""))="R","VT REJETÉ – À REPRENDRE",IF(OR(AP2255="CO",AP2255="NT"),"COUPE – À RESOUDER","À RÉPARER"))))))))))</f>
        <v>ACCEPTÉ</v>
      </c>
      <c r="AR2255" s="82" t="str">
        <f aca="false">IF(AND(ISNUMBER(U2255),OR(AQ2255="À RADIOGRAPHIER",AQ2255="RÉPARÉ – À RADIOGRAPHIER",AQ2255="NX – RT À REFAIRE",AQ2255="À RÉPARER",AQ2255="COUPE – À RESOUDER",AQ2255="VT REJETÉ – À REPRENDRE")),MAX(0,'PROGRAMME RT'!$C$4-U2255),"")</f>
        <v/>
      </c>
      <c r="AS2255" s="82" t="n">
        <f aca="false">IF(AND(OR(AQ2255="À RADIOGRAPHIER",AQ2255="RÉPARÉ – À RADIOGRAPHIER",AQ2255="NX – RT À REFAIRE"),OR('PROGRAMME RT'!$D$5="TOUTES",B2255='PROGRAMME RT'!$D$5)),1,0)</f>
        <v>0</v>
      </c>
      <c r="AT2255" s="82" t="str">
        <f aca="false">IF(AS2255=1,SUM(AS$7:AS2255),"")</f>
        <v/>
      </c>
      <c r="AU2255" s="82" t="n">
        <f aca="false">IF(AND(OR(AA2255="R",AA2255="NX",AA2255="NT",AA2255="CO"),OR('JOINTS DE RÉPARATION'!$D$5="TOUTES",B2255='JOINTS DE RÉPARATION'!$D$5),OR('JOINTS DE RÉPARATION'!$L$4="TOUS",AQ2255&lt;&gt;"ACCEPTÉ")),1,0)</f>
        <v>0</v>
      </c>
      <c r="AV2255" s="82" t="str">
        <f aca="false">IF(AU2255=1,SUM(AU$7:AU2255),"")</f>
        <v/>
      </c>
      <c r="AW2255" s="82" t="str">
        <f aca="false">IF(E2255="","",B2255&amp;"|"&amp;E2255)</f>
        <v>MFD-ISW → MFD-CPF|JN°1771</v>
      </c>
    </row>
    <row r="2256" customFormat="false" ht="74.6" hidden="false" customHeight="false" outlineLevel="0" collapsed="false">
      <c r="A2256" s="79" t="n">
        <f aca="false">IF(E2256="","",ROW()-6)</f>
        <v>2250</v>
      </c>
      <c r="B2256" s="80" t="s">
        <v>110</v>
      </c>
      <c r="C2256" s="81" t="s">
        <v>2714</v>
      </c>
      <c r="D2256" s="81" t="n">
        <v>21</v>
      </c>
      <c r="E2256" s="81" t="s">
        <v>2736</v>
      </c>
      <c r="F2256" s="82" t="str">
        <f aca="false">IF(E2256="","",IF(LEFT(E2256,2)="DJ","DJ","JN"))</f>
        <v>JN</v>
      </c>
      <c r="G2256" s="81" t="s">
        <v>1504</v>
      </c>
      <c r="H2256" s="81" t="s">
        <v>871</v>
      </c>
      <c r="I2256" s="81" t="n">
        <v>9.53</v>
      </c>
      <c r="J2256" s="81" t="s">
        <v>872</v>
      </c>
      <c r="K2256" s="81" t="s">
        <v>879</v>
      </c>
      <c r="L2256" s="81" t="n">
        <v>2097860</v>
      </c>
      <c r="M2256" s="81" t="n">
        <v>15421112</v>
      </c>
      <c r="N2256" s="81" t="n">
        <v>11.94</v>
      </c>
      <c r="O2256" s="81" t="n">
        <v>2085410</v>
      </c>
      <c r="P2256" s="81" t="n">
        <v>15421107</v>
      </c>
      <c r="Q2256" s="81" t="n">
        <v>11.94</v>
      </c>
      <c r="R2256" s="81" t="s">
        <v>2708</v>
      </c>
      <c r="S2256" s="81"/>
      <c r="T2256" s="81"/>
      <c r="U2256" s="83" t="n">
        <v>46261</v>
      </c>
      <c r="V2256" s="83" t="n">
        <v>46261</v>
      </c>
      <c r="W2256" s="81" t="s">
        <v>2733</v>
      </c>
      <c r="X2256" s="81" t="s">
        <v>876</v>
      </c>
      <c r="Y2256" s="83" t="n">
        <v>46263</v>
      </c>
      <c r="Z2256" s="81" t="s">
        <v>2731</v>
      </c>
      <c r="AA2256" s="81" t="s">
        <v>876</v>
      </c>
      <c r="AB2256" s="81"/>
      <c r="AC2256" s="81"/>
      <c r="AD2256" s="81"/>
      <c r="AE2256" s="83"/>
      <c r="AF2256" s="81"/>
      <c r="AG2256" s="81"/>
      <c r="AH2256" s="81"/>
      <c r="AI2256" s="81"/>
      <c r="AJ2256" s="83"/>
      <c r="AK2256" s="81"/>
      <c r="AL2256" s="81"/>
      <c r="AM2256" s="83"/>
      <c r="AN2256" s="80"/>
      <c r="AO2256" s="82" t="n">
        <f aca="false">IF(E2256="","",(AA2256&lt;&gt;"")+(AG2256&lt;&gt;"")+(AL2256&lt;&gt;""))</f>
        <v>1</v>
      </c>
      <c r="AP2256" s="82" t="str">
        <f aca="false">IF(AL2256&lt;&gt;"",AL2256,IF(AG2256&lt;&gt;"",AG2256,IF(AA2256&lt;&gt;"",AA2256,"")))</f>
        <v>A</v>
      </c>
      <c r="AQ2256" s="84" t="str">
        <f aca="false">IF(E2256="","",IF(U2256="","À SOUDER",IF(X2256="","VT EN ATTENTE",IF(X2256="R","VT REJETÉ – À REPRENDRE",IF(AP2256="","À RADIOGRAPHIER",IF(AP2256="A","ACCEPTÉ",IF(AP2256="NX","NX – RT À REFAIRE",IF(IF(AO2256=1,AD2256,IF(AO2256=2,AI2256,""))="A","RÉPARÉ – À RADIOGRAPHIER",IF(IF(AO2256=1,AD2256,IF(AO2256=2,AI2256,""))="R","VT REJETÉ – À REPRENDRE",IF(OR(AP2256="CO",AP2256="NT"),"COUPE – À RESOUDER","À RÉPARER"))))))))))</f>
        <v>ACCEPTÉ</v>
      </c>
      <c r="AR2256" s="82" t="str">
        <f aca="false">IF(AND(ISNUMBER(U2256),OR(AQ2256="À RADIOGRAPHIER",AQ2256="RÉPARÉ – À RADIOGRAPHIER",AQ2256="NX – RT À REFAIRE",AQ2256="À RÉPARER",AQ2256="COUPE – À RESOUDER",AQ2256="VT REJETÉ – À REPRENDRE")),MAX(0,'PROGRAMME RT'!$C$4-U2256),"")</f>
        <v/>
      </c>
      <c r="AS2256" s="82" t="n">
        <f aca="false">IF(AND(OR(AQ2256="À RADIOGRAPHIER",AQ2256="RÉPARÉ – À RADIOGRAPHIER",AQ2256="NX – RT À REFAIRE"),OR('PROGRAMME RT'!$D$5="TOUTES",B2256='PROGRAMME RT'!$D$5)),1,0)</f>
        <v>0</v>
      </c>
      <c r="AT2256" s="82" t="str">
        <f aca="false">IF(AS2256=1,SUM(AS$7:AS2256),"")</f>
        <v/>
      </c>
      <c r="AU2256" s="82" t="n">
        <f aca="false">IF(AND(OR(AA2256="R",AA2256="NX",AA2256="NT",AA2256="CO"),OR('JOINTS DE RÉPARATION'!$D$5="TOUTES",B2256='JOINTS DE RÉPARATION'!$D$5),OR('JOINTS DE RÉPARATION'!$L$4="TOUS",AQ2256&lt;&gt;"ACCEPTÉ")),1,0)</f>
        <v>0</v>
      </c>
      <c r="AV2256" s="82" t="str">
        <f aca="false">IF(AU2256=1,SUM(AU$7:AU2256),"")</f>
        <v/>
      </c>
      <c r="AW2256" s="82" t="str">
        <f aca="false">IF(E2256="","",B2256&amp;"|"&amp;E2256)</f>
        <v>MFD-ISW → MFD-CPF|JN°1772</v>
      </c>
    </row>
    <row r="2257" customFormat="false" ht="74.6" hidden="false" customHeight="false" outlineLevel="0" collapsed="false">
      <c r="A2257" s="79" t="n">
        <f aca="false">IF(E2257="","",ROW()-6)</f>
        <v>2251</v>
      </c>
      <c r="B2257" s="80" t="s">
        <v>110</v>
      </c>
      <c r="C2257" s="81" t="s">
        <v>2714</v>
      </c>
      <c r="D2257" s="81" t="n">
        <v>21</v>
      </c>
      <c r="E2257" s="81" t="s">
        <v>2737</v>
      </c>
      <c r="F2257" s="82" t="str">
        <f aca="false">IF(E2257="","",IF(LEFT(E2257,2)="DJ","DJ","JN"))</f>
        <v>JN</v>
      </c>
      <c r="G2257" s="81" t="s">
        <v>1504</v>
      </c>
      <c r="H2257" s="81" t="s">
        <v>871</v>
      </c>
      <c r="I2257" s="81" t="n">
        <v>9.53</v>
      </c>
      <c r="J2257" s="81" t="s">
        <v>872</v>
      </c>
      <c r="K2257" s="81" t="s">
        <v>879</v>
      </c>
      <c r="L2257" s="81" t="n">
        <v>2085410</v>
      </c>
      <c r="M2257" s="81" t="n">
        <v>15421107</v>
      </c>
      <c r="N2257" s="81" t="n">
        <v>11.94</v>
      </c>
      <c r="O2257" s="81" t="n">
        <v>2081600</v>
      </c>
      <c r="P2257" s="81" t="n">
        <v>15421103</v>
      </c>
      <c r="Q2257" s="81" t="n">
        <v>11.94</v>
      </c>
      <c r="R2257" s="81" t="s">
        <v>2708</v>
      </c>
      <c r="S2257" s="81"/>
      <c r="T2257" s="81"/>
      <c r="U2257" s="83" t="n">
        <v>46261</v>
      </c>
      <c r="V2257" s="83" t="n">
        <v>46261</v>
      </c>
      <c r="W2257" s="81" t="s">
        <v>2733</v>
      </c>
      <c r="X2257" s="81" t="s">
        <v>876</v>
      </c>
      <c r="Y2257" s="83" t="n">
        <v>46263</v>
      </c>
      <c r="Z2257" s="81" t="s">
        <v>2731</v>
      </c>
      <c r="AA2257" s="81" t="s">
        <v>876</v>
      </c>
      <c r="AB2257" s="81"/>
      <c r="AC2257" s="81"/>
      <c r="AD2257" s="81"/>
      <c r="AE2257" s="83"/>
      <c r="AF2257" s="81"/>
      <c r="AG2257" s="81"/>
      <c r="AH2257" s="81"/>
      <c r="AI2257" s="81"/>
      <c r="AJ2257" s="83"/>
      <c r="AK2257" s="81"/>
      <c r="AL2257" s="81"/>
      <c r="AM2257" s="83"/>
      <c r="AN2257" s="80"/>
      <c r="AO2257" s="82" t="n">
        <f aca="false">IF(E2257="","",(AA2257&lt;&gt;"")+(AG2257&lt;&gt;"")+(AL2257&lt;&gt;""))</f>
        <v>1</v>
      </c>
      <c r="AP2257" s="82" t="str">
        <f aca="false">IF(AL2257&lt;&gt;"",AL2257,IF(AG2257&lt;&gt;"",AG2257,IF(AA2257&lt;&gt;"",AA2257,"")))</f>
        <v>A</v>
      </c>
      <c r="AQ2257" s="84" t="str">
        <f aca="false">IF(E2257="","",IF(U2257="","À SOUDER",IF(X2257="","VT EN ATTENTE",IF(X2257="R","VT REJETÉ – À REPRENDRE",IF(AP2257="","À RADIOGRAPHIER",IF(AP2257="A","ACCEPTÉ",IF(AP2257="NX","NX – RT À REFAIRE",IF(IF(AO2257=1,AD2257,IF(AO2257=2,AI2257,""))="A","RÉPARÉ – À RADIOGRAPHIER",IF(IF(AO2257=1,AD2257,IF(AO2257=2,AI2257,""))="R","VT REJETÉ – À REPRENDRE",IF(OR(AP2257="CO",AP2257="NT"),"COUPE – À RESOUDER","À RÉPARER"))))))))))</f>
        <v>ACCEPTÉ</v>
      </c>
      <c r="AR2257" s="82" t="str">
        <f aca="false">IF(AND(ISNUMBER(U2257),OR(AQ2257="À RADIOGRAPHIER",AQ2257="RÉPARÉ – À RADIOGRAPHIER",AQ2257="NX – RT À REFAIRE",AQ2257="À RÉPARER",AQ2257="COUPE – À RESOUDER",AQ2257="VT REJETÉ – À REPRENDRE")),MAX(0,'PROGRAMME RT'!$C$4-U2257),"")</f>
        <v/>
      </c>
      <c r="AS2257" s="82" t="n">
        <f aca="false">IF(AND(OR(AQ2257="À RADIOGRAPHIER",AQ2257="RÉPARÉ – À RADIOGRAPHIER",AQ2257="NX – RT À REFAIRE"),OR('PROGRAMME RT'!$D$5="TOUTES",B2257='PROGRAMME RT'!$D$5)),1,0)</f>
        <v>0</v>
      </c>
      <c r="AT2257" s="82" t="str">
        <f aca="false">IF(AS2257=1,SUM(AS$7:AS2257),"")</f>
        <v/>
      </c>
      <c r="AU2257" s="82" t="n">
        <f aca="false">IF(AND(OR(AA2257="R",AA2257="NX",AA2257="NT",AA2257="CO"),OR('JOINTS DE RÉPARATION'!$D$5="TOUTES",B2257='JOINTS DE RÉPARATION'!$D$5),OR('JOINTS DE RÉPARATION'!$L$4="TOUS",AQ2257&lt;&gt;"ACCEPTÉ")),1,0)</f>
        <v>0</v>
      </c>
      <c r="AV2257" s="82" t="str">
        <f aca="false">IF(AU2257=1,SUM(AU$7:AU2257),"")</f>
        <v/>
      </c>
      <c r="AW2257" s="82" t="str">
        <f aca="false">IF(E2257="","",B2257&amp;"|"&amp;E2257)</f>
        <v>MFD-ISW → MFD-CPF|JN°1773</v>
      </c>
    </row>
    <row r="2258" customFormat="false" ht="74.6" hidden="false" customHeight="false" outlineLevel="0" collapsed="false">
      <c r="A2258" s="79" t="n">
        <f aca="false">IF(E2258="","",ROW()-6)</f>
        <v>2252</v>
      </c>
      <c r="B2258" s="80" t="s">
        <v>110</v>
      </c>
      <c r="C2258" s="81" t="s">
        <v>2714</v>
      </c>
      <c r="D2258" s="81" t="n">
        <v>22</v>
      </c>
      <c r="E2258" s="81" t="s">
        <v>2738</v>
      </c>
      <c r="F2258" s="82" t="str">
        <f aca="false">IF(E2258="","",IF(LEFT(E2258,2)="DJ","DJ","JN"))</f>
        <v>JN</v>
      </c>
      <c r="G2258" s="81" t="s">
        <v>1504</v>
      </c>
      <c r="H2258" s="81" t="s">
        <v>871</v>
      </c>
      <c r="I2258" s="81" t="n">
        <v>9.53</v>
      </c>
      <c r="J2258" s="81" t="s">
        <v>872</v>
      </c>
      <c r="K2258" s="81" t="s">
        <v>879</v>
      </c>
      <c r="L2258" s="81" t="n">
        <v>2081600</v>
      </c>
      <c r="M2258" s="81" t="n">
        <v>15421103</v>
      </c>
      <c r="N2258" s="81" t="n">
        <v>11.94</v>
      </c>
      <c r="O2258" s="81" t="n">
        <v>2081530</v>
      </c>
      <c r="P2258" s="81" t="n">
        <v>15421103</v>
      </c>
      <c r="Q2258" s="81" t="n">
        <v>11.94</v>
      </c>
      <c r="R2258" s="81" t="s">
        <v>2708</v>
      </c>
      <c r="S2258" s="81"/>
      <c r="T2258" s="81"/>
      <c r="U2258" s="83" t="n">
        <v>46261</v>
      </c>
      <c r="V2258" s="83" t="n">
        <v>46261</v>
      </c>
      <c r="W2258" s="81" t="s">
        <v>2733</v>
      </c>
      <c r="X2258" s="81" t="s">
        <v>876</v>
      </c>
      <c r="Y2258" s="83" t="n">
        <v>46263</v>
      </c>
      <c r="Z2258" s="81" t="s">
        <v>2731</v>
      </c>
      <c r="AA2258" s="81" t="s">
        <v>876</v>
      </c>
      <c r="AB2258" s="81"/>
      <c r="AC2258" s="81"/>
      <c r="AD2258" s="81"/>
      <c r="AE2258" s="83"/>
      <c r="AF2258" s="81"/>
      <c r="AG2258" s="81"/>
      <c r="AH2258" s="81"/>
      <c r="AI2258" s="81"/>
      <c r="AJ2258" s="83"/>
      <c r="AK2258" s="81"/>
      <c r="AL2258" s="81"/>
      <c r="AM2258" s="83"/>
      <c r="AN2258" s="80"/>
      <c r="AO2258" s="82" t="n">
        <f aca="false">IF(E2258="","",(AA2258&lt;&gt;"")+(AG2258&lt;&gt;"")+(AL2258&lt;&gt;""))</f>
        <v>1</v>
      </c>
      <c r="AP2258" s="82" t="str">
        <f aca="false">IF(AL2258&lt;&gt;"",AL2258,IF(AG2258&lt;&gt;"",AG2258,IF(AA2258&lt;&gt;"",AA2258,"")))</f>
        <v>A</v>
      </c>
      <c r="AQ2258" s="84" t="str">
        <f aca="false">IF(E2258="","",IF(U2258="","À SOUDER",IF(X2258="","VT EN ATTENTE",IF(X2258="R","VT REJETÉ – À REPRENDRE",IF(AP2258="","À RADIOGRAPHIER",IF(AP2258="A","ACCEPTÉ",IF(AP2258="NX","NX – RT À REFAIRE",IF(IF(AO2258=1,AD2258,IF(AO2258=2,AI2258,""))="A","RÉPARÉ – À RADIOGRAPHIER",IF(IF(AO2258=1,AD2258,IF(AO2258=2,AI2258,""))="R","VT REJETÉ – À REPRENDRE",IF(OR(AP2258="CO",AP2258="NT"),"COUPE – À RESOUDER","À RÉPARER"))))))))))</f>
        <v>ACCEPTÉ</v>
      </c>
      <c r="AR2258" s="82" t="str">
        <f aca="false">IF(AND(ISNUMBER(U2258),OR(AQ2258="À RADIOGRAPHIER",AQ2258="RÉPARÉ – À RADIOGRAPHIER",AQ2258="NX – RT À REFAIRE",AQ2258="À RÉPARER",AQ2258="COUPE – À RESOUDER",AQ2258="VT REJETÉ – À REPRENDRE")),MAX(0,'PROGRAMME RT'!$C$4-U2258),"")</f>
        <v/>
      </c>
      <c r="AS2258" s="82" t="n">
        <f aca="false">IF(AND(OR(AQ2258="À RADIOGRAPHIER",AQ2258="RÉPARÉ – À RADIOGRAPHIER",AQ2258="NX – RT À REFAIRE"),OR('PROGRAMME RT'!$D$5="TOUTES",B2258='PROGRAMME RT'!$D$5)),1,0)</f>
        <v>0</v>
      </c>
      <c r="AT2258" s="82" t="str">
        <f aca="false">IF(AS2258=1,SUM(AS$7:AS2258),"")</f>
        <v/>
      </c>
      <c r="AU2258" s="82" t="n">
        <f aca="false">IF(AND(OR(AA2258="R",AA2258="NX",AA2258="NT",AA2258="CO"),OR('JOINTS DE RÉPARATION'!$D$5="TOUTES",B2258='JOINTS DE RÉPARATION'!$D$5),OR('JOINTS DE RÉPARATION'!$L$4="TOUS",AQ2258&lt;&gt;"ACCEPTÉ")),1,0)</f>
        <v>0</v>
      </c>
      <c r="AV2258" s="82" t="str">
        <f aca="false">IF(AU2258=1,SUM(AU$7:AU2258),"")</f>
        <v/>
      </c>
      <c r="AW2258" s="82" t="str">
        <f aca="false">IF(E2258="","",B2258&amp;"|"&amp;E2258)</f>
        <v>MFD-ISW → MFD-CPF|JN°1774</v>
      </c>
    </row>
    <row r="2259" customFormat="false" ht="74.6" hidden="false" customHeight="false" outlineLevel="0" collapsed="false">
      <c r="A2259" s="79" t="n">
        <f aca="false">IF(E2259="","",ROW()-6)</f>
        <v>2253</v>
      </c>
      <c r="B2259" s="80" t="s">
        <v>110</v>
      </c>
      <c r="C2259" s="81" t="s">
        <v>2714</v>
      </c>
      <c r="D2259" s="81" t="n">
        <v>22</v>
      </c>
      <c r="E2259" s="81" t="s">
        <v>2739</v>
      </c>
      <c r="F2259" s="82" t="str">
        <f aca="false">IF(E2259="","",IF(LEFT(E2259,2)="DJ","DJ","JN"))</f>
        <v>JN</v>
      </c>
      <c r="G2259" s="81" t="s">
        <v>1504</v>
      </c>
      <c r="H2259" s="81" t="s">
        <v>871</v>
      </c>
      <c r="I2259" s="81" t="n">
        <v>9.53</v>
      </c>
      <c r="J2259" s="81" t="s">
        <v>872</v>
      </c>
      <c r="K2259" s="81" t="s">
        <v>879</v>
      </c>
      <c r="L2259" s="81" t="n">
        <v>2081530</v>
      </c>
      <c r="M2259" s="81" t="n">
        <v>15421103</v>
      </c>
      <c r="N2259" s="81" t="n">
        <v>11.94</v>
      </c>
      <c r="O2259" s="81" t="n">
        <v>2081500</v>
      </c>
      <c r="P2259" s="81" t="n">
        <v>15421103</v>
      </c>
      <c r="Q2259" s="81" t="n">
        <v>11.94</v>
      </c>
      <c r="R2259" s="81" t="s">
        <v>2708</v>
      </c>
      <c r="S2259" s="81"/>
      <c r="T2259" s="81"/>
      <c r="U2259" s="83" t="n">
        <v>46261</v>
      </c>
      <c r="V2259" s="83" t="n">
        <v>46261</v>
      </c>
      <c r="W2259" s="81" t="s">
        <v>2733</v>
      </c>
      <c r="X2259" s="81" t="s">
        <v>876</v>
      </c>
      <c r="Y2259" s="83" t="n">
        <v>46263</v>
      </c>
      <c r="Z2259" s="81" t="s">
        <v>2731</v>
      </c>
      <c r="AA2259" s="81" t="s">
        <v>876</v>
      </c>
      <c r="AB2259" s="81"/>
      <c r="AC2259" s="81"/>
      <c r="AD2259" s="81"/>
      <c r="AE2259" s="83"/>
      <c r="AF2259" s="81"/>
      <c r="AG2259" s="81"/>
      <c r="AH2259" s="81"/>
      <c r="AI2259" s="81"/>
      <c r="AJ2259" s="83"/>
      <c r="AK2259" s="81"/>
      <c r="AL2259" s="81"/>
      <c r="AM2259" s="83"/>
      <c r="AN2259" s="80"/>
      <c r="AO2259" s="82" t="n">
        <f aca="false">IF(E2259="","",(AA2259&lt;&gt;"")+(AG2259&lt;&gt;"")+(AL2259&lt;&gt;""))</f>
        <v>1</v>
      </c>
      <c r="AP2259" s="82" t="str">
        <f aca="false">IF(AL2259&lt;&gt;"",AL2259,IF(AG2259&lt;&gt;"",AG2259,IF(AA2259&lt;&gt;"",AA2259,"")))</f>
        <v>A</v>
      </c>
      <c r="AQ2259" s="84" t="str">
        <f aca="false">IF(E2259="","",IF(U2259="","À SOUDER",IF(X2259="","VT EN ATTENTE",IF(X2259="R","VT REJETÉ – À REPRENDRE",IF(AP2259="","À RADIOGRAPHIER",IF(AP2259="A","ACCEPTÉ",IF(AP2259="NX","NX – RT À REFAIRE",IF(IF(AO2259=1,AD2259,IF(AO2259=2,AI2259,""))="A","RÉPARÉ – À RADIOGRAPHIER",IF(IF(AO2259=1,AD2259,IF(AO2259=2,AI2259,""))="R","VT REJETÉ – À REPRENDRE",IF(OR(AP2259="CO",AP2259="NT"),"COUPE – À RESOUDER","À RÉPARER"))))))))))</f>
        <v>ACCEPTÉ</v>
      </c>
      <c r="AR2259" s="82" t="str">
        <f aca="false">IF(AND(ISNUMBER(U2259),OR(AQ2259="À RADIOGRAPHIER",AQ2259="RÉPARÉ – À RADIOGRAPHIER",AQ2259="NX – RT À REFAIRE",AQ2259="À RÉPARER",AQ2259="COUPE – À RESOUDER",AQ2259="VT REJETÉ – À REPRENDRE")),MAX(0,'PROGRAMME RT'!$C$4-U2259),"")</f>
        <v/>
      </c>
      <c r="AS2259" s="82" t="n">
        <f aca="false">IF(AND(OR(AQ2259="À RADIOGRAPHIER",AQ2259="RÉPARÉ – À RADIOGRAPHIER",AQ2259="NX – RT À REFAIRE"),OR('PROGRAMME RT'!$D$5="TOUTES",B2259='PROGRAMME RT'!$D$5)),1,0)</f>
        <v>0</v>
      </c>
      <c r="AT2259" s="82" t="str">
        <f aca="false">IF(AS2259=1,SUM(AS$7:AS2259),"")</f>
        <v/>
      </c>
      <c r="AU2259" s="82" t="n">
        <f aca="false">IF(AND(OR(AA2259="R",AA2259="NX",AA2259="NT",AA2259="CO"),OR('JOINTS DE RÉPARATION'!$D$5="TOUTES",B2259='JOINTS DE RÉPARATION'!$D$5),OR('JOINTS DE RÉPARATION'!$L$4="TOUS",AQ2259&lt;&gt;"ACCEPTÉ")),1,0)</f>
        <v>0</v>
      </c>
      <c r="AV2259" s="82" t="str">
        <f aca="false">IF(AU2259=1,SUM(AU$7:AU2259),"")</f>
        <v/>
      </c>
      <c r="AW2259" s="82" t="str">
        <f aca="false">IF(E2259="","",B2259&amp;"|"&amp;E2259)</f>
        <v>MFD-ISW → MFD-CPF|JN°1775</v>
      </c>
    </row>
    <row r="2260" customFormat="false" ht="74.6" hidden="false" customHeight="false" outlineLevel="0" collapsed="false">
      <c r="A2260" s="79" t="n">
        <f aca="false">IF(E2260="","",ROW()-6)</f>
        <v>2254</v>
      </c>
      <c r="B2260" s="80" t="s">
        <v>110</v>
      </c>
      <c r="C2260" s="81" t="s">
        <v>2714</v>
      </c>
      <c r="D2260" s="81" t="n">
        <v>22</v>
      </c>
      <c r="E2260" s="81" t="s">
        <v>2740</v>
      </c>
      <c r="F2260" s="82" t="str">
        <f aca="false">IF(E2260="","",IF(LEFT(E2260,2)="DJ","DJ","JN"))</f>
        <v>JN</v>
      </c>
      <c r="G2260" s="81" t="s">
        <v>1504</v>
      </c>
      <c r="H2260" s="81" t="s">
        <v>871</v>
      </c>
      <c r="I2260" s="81" t="n">
        <v>9.53</v>
      </c>
      <c r="J2260" s="81" t="s">
        <v>872</v>
      </c>
      <c r="K2260" s="81" t="s">
        <v>879</v>
      </c>
      <c r="L2260" s="81" t="n">
        <v>2081500</v>
      </c>
      <c r="M2260" s="81" t="n">
        <v>15421103</v>
      </c>
      <c r="N2260" s="81" t="n">
        <v>11.94</v>
      </c>
      <c r="O2260" s="81" t="n">
        <v>2096380</v>
      </c>
      <c r="P2260" s="81" t="n">
        <v>15421111</v>
      </c>
      <c r="Q2260" s="81" t="n">
        <v>11.94</v>
      </c>
      <c r="R2260" s="81" t="s">
        <v>2708</v>
      </c>
      <c r="S2260" s="81"/>
      <c r="T2260" s="81"/>
      <c r="U2260" s="83" t="n">
        <v>46261</v>
      </c>
      <c r="V2260" s="83" t="n">
        <v>46261</v>
      </c>
      <c r="W2260" s="81" t="s">
        <v>2733</v>
      </c>
      <c r="X2260" s="81" t="s">
        <v>876</v>
      </c>
      <c r="Y2260" s="83" t="n">
        <v>46263</v>
      </c>
      <c r="Z2260" s="81" t="s">
        <v>2731</v>
      </c>
      <c r="AA2260" s="81" t="s">
        <v>876</v>
      </c>
      <c r="AB2260" s="81"/>
      <c r="AC2260" s="81"/>
      <c r="AD2260" s="81"/>
      <c r="AE2260" s="83"/>
      <c r="AF2260" s="81"/>
      <c r="AG2260" s="81"/>
      <c r="AH2260" s="81"/>
      <c r="AI2260" s="81"/>
      <c r="AJ2260" s="83"/>
      <c r="AK2260" s="81"/>
      <c r="AL2260" s="81"/>
      <c r="AM2260" s="83"/>
      <c r="AN2260" s="80"/>
      <c r="AO2260" s="82" t="n">
        <f aca="false">IF(E2260="","",(AA2260&lt;&gt;"")+(AG2260&lt;&gt;"")+(AL2260&lt;&gt;""))</f>
        <v>1</v>
      </c>
      <c r="AP2260" s="82" t="str">
        <f aca="false">IF(AL2260&lt;&gt;"",AL2260,IF(AG2260&lt;&gt;"",AG2260,IF(AA2260&lt;&gt;"",AA2260,"")))</f>
        <v>A</v>
      </c>
      <c r="AQ2260" s="84" t="str">
        <f aca="false">IF(E2260="","",IF(U2260="","À SOUDER",IF(X2260="","VT EN ATTENTE",IF(X2260="R","VT REJETÉ – À REPRENDRE",IF(AP2260="","À RADIOGRAPHIER",IF(AP2260="A","ACCEPTÉ",IF(AP2260="NX","NX – RT À REFAIRE",IF(IF(AO2260=1,AD2260,IF(AO2260=2,AI2260,""))="A","RÉPARÉ – À RADIOGRAPHIER",IF(IF(AO2260=1,AD2260,IF(AO2260=2,AI2260,""))="R","VT REJETÉ – À REPRENDRE",IF(OR(AP2260="CO",AP2260="NT"),"COUPE – À RESOUDER","À RÉPARER"))))))))))</f>
        <v>ACCEPTÉ</v>
      </c>
      <c r="AR2260" s="82" t="str">
        <f aca="false">IF(AND(ISNUMBER(U2260),OR(AQ2260="À RADIOGRAPHIER",AQ2260="RÉPARÉ – À RADIOGRAPHIER",AQ2260="NX – RT À REFAIRE",AQ2260="À RÉPARER",AQ2260="COUPE – À RESOUDER",AQ2260="VT REJETÉ – À REPRENDRE")),MAX(0,'PROGRAMME RT'!$C$4-U2260),"")</f>
        <v/>
      </c>
      <c r="AS2260" s="82" t="n">
        <f aca="false">IF(AND(OR(AQ2260="À RADIOGRAPHIER",AQ2260="RÉPARÉ – À RADIOGRAPHIER",AQ2260="NX – RT À REFAIRE"),OR('PROGRAMME RT'!$D$5="TOUTES",B2260='PROGRAMME RT'!$D$5)),1,0)</f>
        <v>0</v>
      </c>
      <c r="AT2260" s="82" t="str">
        <f aca="false">IF(AS2260=1,SUM(AS$7:AS2260),"")</f>
        <v/>
      </c>
      <c r="AU2260" s="82" t="n">
        <f aca="false">IF(AND(OR(AA2260="R",AA2260="NX",AA2260="NT",AA2260="CO"),OR('JOINTS DE RÉPARATION'!$D$5="TOUTES",B2260='JOINTS DE RÉPARATION'!$D$5),OR('JOINTS DE RÉPARATION'!$L$4="TOUS",AQ2260&lt;&gt;"ACCEPTÉ")),1,0)</f>
        <v>0</v>
      </c>
      <c r="AV2260" s="82" t="str">
        <f aca="false">IF(AU2260=1,SUM(AU$7:AU2260),"")</f>
        <v/>
      </c>
      <c r="AW2260" s="82" t="str">
        <f aca="false">IF(E2260="","",B2260&amp;"|"&amp;E2260)</f>
        <v>MFD-ISW → MFD-CPF|JN°1776</v>
      </c>
    </row>
    <row r="2261" customFormat="false" ht="74.6" hidden="false" customHeight="false" outlineLevel="0" collapsed="false">
      <c r="A2261" s="79" t="n">
        <f aca="false">IF(E2261="","",ROW()-6)</f>
        <v>2255</v>
      </c>
      <c r="B2261" s="80" t="s">
        <v>110</v>
      </c>
      <c r="C2261" s="81" t="s">
        <v>2714</v>
      </c>
      <c r="D2261" s="81" t="n">
        <v>22</v>
      </c>
      <c r="E2261" s="81" t="s">
        <v>2741</v>
      </c>
      <c r="F2261" s="82" t="str">
        <f aca="false">IF(E2261="","",IF(LEFT(E2261,2)="DJ","DJ","JN"))</f>
        <v>JN</v>
      </c>
      <c r="G2261" s="81" t="s">
        <v>1504</v>
      </c>
      <c r="H2261" s="81" t="s">
        <v>871</v>
      </c>
      <c r="I2261" s="81" t="n">
        <v>9.53</v>
      </c>
      <c r="J2261" s="81" t="s">
        <v>872</v>
      </c>
      <c r="K2261" s="81" t="s">
        <v>879</v>
      </c>
      <c r="L2261" s="81" t="n">
        <v>2096380</v>
      </c>
      <c r="M2261" s="81" t="n">
        <v>15421111</v>
      </c>
      <c r="N2261" s="81" t="n">
        <v>11.94</v>
      </c>
      <c r="O2261" s="81" t="n">
        <v>2079810</v>
      </c>
      <c r="P2261" s="81" t="n">
        <v>15421102</v>
      </c>
      <c r="Q2261" s="81" t="n">
        <v>11.94</v>
      </c>
      <c r="R2261" s="81" t="s">
        <v>2742</v>
      </c>
      <c r="S2261" s="81"/>
      <c r="T2261" s="81"/>
      <c r="U2261" s="83" t="n">
        <v>46260</v>
      </c>
      <c r="V2261" s="83" t="n">
        <v>46260</v>
      </c>
      <c r="W2261" s="81" t="s">
        <v>2743</v>
      </c>
      <c r="X2261" s="81" t="s">
        <v>876</v>
      </c>
      <c r="Y2261" s="83" t="n">
        <v>46263</v>
      </c>
      <c r="Z2261" s="81" t="s">
        <v>2731</v>
      </c>
      <c r="AA2261" s="81" t="s">
        <v>876</v>
      </c>
      <c r="AB2261" s="81"/>
      <c r="AC2261" s="81"/>
      <c r="AD2261" s="81"/>
      <c r="AE2261" s="83"/>
      <c r="AF2261" s="81"/>
      <c r="AG2261" s="81"/>
      <c r="AH2261" s="81"/>
      <c r="AI2261" s="81"/>
      <c r="AJ2261" s="83"/>
      <c r="AK2261" s="81"/>
      <c r="AL2261" s="81"/>
      <c r="AM2261" s="83"/>
      <c r="AN2261" s="80"/>
      <c r="AO2261" s="82" t="n">
        <f aca="false">IF(E2261="","",(AA2261&lt;&gt;"")+(AG2261&lt;&gt;"")+(AL2261&lt;&gt;""))</f>
        <v>1</v>
      </c>
      <c r="AP2261" s="82" t="str">
        <f aca="false">IF(AL2261&lt;&gt;"",AL2261,IF(AG2261&lt;&gt;"",AG2261,IF(AA2261&lt;&gt;"",AA2261,"")))</f>
        <v>A</v>
      </c>
      <c r="AQ2261" s="84" t="str">
        <f aca="false">IF(E2261="","",IF(U2261="","À SOUDER",IF(X2261="","VT EN ATTENTE",IF(X2261="R","VT REJETÉ – À REPRENDRE",IF(AP2261="","À RADIOGRAPHIER",IF(AP2261="A","ACCEPTÉ",IF(AP2261="NX","NX – RT À REFAIRE",IF(IF(AO2261=1,AD2261,IF(AO2261=2,AI2261,""))="A","RÉPARÉ – À RADIOGRAPHIER",IF(IF(AO2261=1,AD2261,IF(AO2261=2,AI2261,""))="R","VT REJETÉ – À REPRENDRE",IF(OR(AP2261="CO",AP2261="NT"),"COUPE – À RESOUDER","À RÉPARER"))))))))))</f>
        <v>ACCEPTÉ</v>
      </c>
      <c r="AR2261" s="82" t="str">
        <f aca="false">IF(AND(ISNUMBER(U2261),OR(AQ2261="À RADIOGRAPHIER",AQ2261="RÉPARÉ – À RADIOGRAPHIER",AQ2261="NX – RT À REFAIRE",AQ2261="À RÉPARER",AQ2261="COUPE – À RESOUDER",AQ2261="VT REJETÉ – À REPRENDRE")),MAX(0,'PROGRAMME RT'!$C$4-U2261),"")</f>
        <v/>
      </c>
      <c r="AS2261" s="82" t="n">
        <f aca="false">IF(AND(OR(AQ2261="À RADIOGRAPHIER",AQ2261="RÉPARÉ – À RADIOGRAPHIER",AQ2261="NX – RT À REFAIRE"),OR('PROGRAMME RT'!$D$5="TOUTES",B2261='PROGRAMME RT'!$D$5)),1,0)</f>
        <v>0</v>
      </c>
      <c r="AT2261" s="82" t="str">
        <f aca="false">IF(AS2261=1,SUM(AS$7:AS2261),"")</f>
        <v/>
      </c>
      <c r="AU2261" s="82" t="n">
        <f aca="false">IF(AND(OR(AA2261="R",AA2261="NX",AA2261="NT",AA2261="CO"),OR('JOINTS DE RÉPARATION'!$D$5="TOUTES",B2261='JOINTS DE RÉPARATION'!$D$5),OR('JOINTS DE RÉPARATION'!$L$4="TOUS",AQ2261&lt;&gt;"ACCEPTÉ")),1,0)</f>
        <v>0</v>
      </c>
      <c r="AV2261" s="82" t="str">
        <f aca="false">IF(AU2261=1,SUM(AU$7:AU2261),"")</f>
        <v/>
      </c>
      <c r="AW2261" s="82" t="str">
        <f aca="false">IF(E2261="","",B2261&amp;"|"&amp;E2261)</f>
        <v>MFD-ISW → MFD-CPF|JN°1777</v>
      </c>
    </row>
    <row r="2262" customFormat="false" ht="74.6" hidden="false" customHeight="false" outlineLevel="0" collapsed="false">
      <c r="A2262" s="79" t="n">
        <f aca="false">IF(E2262="","",ROW()-6)</f>
        <v>2256</v>
      </c>
      <c r="B2262" s="80" t="s">
        <v>110</v>
      </c>
      <c r="C2262" s="81" t="s">
        <v>2714</v>
      </c>
      <c r="D2262" s="81" t="n">
        <v>22</v>
      </c>
      <c r="E2262" s="81" t="s">
        <v>2744</v>
      </c>
      <c r="F2262" s="82" t="str">
        <f aca="false">IF(E2262="","",IF(LEFT(E2262,2)="DJ","DJ","JN"))</f>
        <v>JN</v>
      </c>
      <c r="G2262" s="81" t="s">
        <v>1504</v>
      </c>
      <c r="H2262" s="81" t="s">
        <v>871</v>
      </c>
      <c r="I2262" s="81" t="n">
        <v>9.53</v>
      </c>
      <c r="J2262" s="81" t="s">
        <v>872</v>
      </c>
      <c r="K2262" s="81" t="s">
        <v>879</v>
      </c>
      <c r="L2262" s="81" t="n">
        <v>2079810</v>
      </c>
      <c r="M2262" s="81" t="n">
        <v>15421102</v>
      </c>
      <c r="N2262" s="81" t="n">
        <v>11.94</v>
      </c>
      <c r="O2262" s="81" t="n">
        <v>2079770</v>
      </c>
      <c r="P2262" s="81" t="n">
        <v>15421102</v>
      </c>
      <c r="Q2262" s="81" t="n">
        <v>11.94</v>
      </c>
      <c r="R2262" s="81" t="s">
        <v>2745</v>
      </c>
      <c r="S2262" s="81"/>
      <c r="T2262" s="81"/>
      <c r="U2262" s="83" t="n">
        <v>46260</v>
      </c>
      <c r="V2262" s="83" t="n">
        <v>46260</v>
      </c>
      <c r="W2262" s="81" t="s">
        <v>2743</v>
      </c>
      <c r="X2262" s="81" t="s">
        <v>876</v>
      </c>
      <c r="Y2262" s="83" t="n">
        <v>46263</v>
      </c>
      <c r="Z2262" s="81" t="s">
        <v>2731</v>
      </c>
      <c r="AA2262" s="81" t="s">
        <v>876</v>
      </c>
      <c r="AB2262" s="81"/>
      <c r="AC2262" s="81"/>
      <c r="AD2262" s="81"/>
      <c r="AE2262" s="83"/>
      <c r="AF2262" s="81"/>
      <c r="AG2262" s="81"/>
      <c r="AH2262" s="81"/>
      <c r="AI2262" s="81"/>
      <c r="AJ2262" s="83"/>
      <c r="AK2262" s="81"/>
      <c r="AL2262" s="81"/>
      <c r="AM2262" s="83"/>
      <c r="AN2262" s="80"/>
      <c r="AO2262" s="82" t="n">
        <f aca="false">IF(E2262="","",(AA2262&lt;&gt;"")+(AG2262&lt;&gt;"")+(AL2262&lt;&gt;""))</f>
        <v>1</v>
      </c>
      <c r="AP2262" s="82" t="str">
        <f aca="false">IF(AL2262&lt;&gt;"",AL2262,IF(AG2262&lt;&gt;"",AG2262,IF(AA2262&lt;&gt;"",AA2262,"")))</f>
        <v>A</v>
      </c>
      <c r="AQ2262" s="84" t="str">
        <f aca="false">IF(E2262="","",IF(U2262="","À SOUDER",IF(X2262="","VT EN ATTENTE",IF(X2262="R","VT REJETÉ – À REPRENDRE",IF(AP2262="","À RADIOGRAPHIER",IF(AP2262="A","ACCEPTÉ",IF(AP2262="NX","NX – RT À REFAIRE",IF(IF(AO2262=1,AD2262,IF(AO2262=2,AI2262,""))="A","RÉPARÉ – À RADIOGRAPHIER",IF(IF(AO2262=1,AD2262,IF(AO2262=2,AI2262,""))="R","VT REJETÉ – À REPRENDRE",IF(OR(AP2262="CO",AP2262="NT"),"COUPE – À RESOUDER","À RÉPARER"))))))))))</f>
        <v>ACCEPTÉ</v>
      </c>
      <c r="AR2262" s="82" t="str">
        <f aca="false">IF(AND(ISNUMBER(U2262),OR(AQ2262="À RADIOGRAPHIER",AQ2262="RÉPARÉ – À RADIOGRAPHIER",AQ2262="NX – RT À REFAIRE",AQ2262="À RÉPARER",AQ2262="COUPE – À RESOUDER",AQ2262="VT REJETÉ – À REPRENDRE")),MAX(0,'PROGRAMME RT'!$C$4-U2262),"")</f>
        <v/>
      </c>
      <c r="AS2262" s="82" t="n">
        <f aca="false">IF(AND(OR(AQ2262="À RADIOGRAPHIER",AQ2262="RÉPARÉ – À RADIOGRAPHIER",AQ2262="NX – RT À REFAIRE"),OR('PROGRAMME RT'!$D$5="TOUTES",B2262='PROGRAMME RT'!$D$5)),1,0)</f>
        <v>0</v>
      </c>
      <c r="AT2262" s="82" t="str">
        <f aca="false">IF(AS2262=1,SUM(AS$7:AS2262),"")</f>
        <v/>
      </c>
      <c r="AU2262" s="82" t="n">
        <f aca="false">IF(AND(OR(AA2262="R",AA2262="NX",AA2262="NT",AA2262="CO"),OR('JOINTS DE RÉPARATION'!$D$5="TOUTES",B2262='JOINTS DE RÉPARATION'!$D$5),OR('JOINTS DE RÉPARATION'!$L$4="TOUS",AQ2262&lt;&gt;"ACCEPTÉ")),1,0)</f>
        <v>0</v>
      </c>
      <c r="AV2262" s="82" t="str">
        <f aca="false">IF(AU2262=1,SUM(AU$7:AU2262),"")</f>
        <v/>
      </c>
      <c r="AW2262" s="82" t="str">
        <f aca="false">IF(E2262="","",B2262&amp;"|"&amp;E2262)</f>
        <v>MFD-ISW → MFD-CPF|JN°1778</v>
      </c>
    </row>
    <row r="2263" customFormat="false" ht="74.6" hidden="false" customHeight="false" outlineLevel="0" collapsed="false">
      <c r="A2263" s="79" t="n">
        <f aca="false">IF(E2263="","",ROW()-6)</f>
        <v>2257</v>
      </c>
      <c r="B2263" s="80" t="s">
        <v>110</v>
      </c>
      <c r="C2263" s="81" t="s">
        <v>2714</v>
      </c>
      <c r="D2263" s="81" t="n">
        <v>22</v>
      </c>
      <c r="E2263" s="81" t="s">
        <v>2746</v>
      </c>
      <c r="F2263" s="82" t="str">
        <f aca="false">IF(E2263="","",IF(LEFT(E2263,2)="DJ","DJ","JN"))</f>
        <v>JN</v>
      </c>
      <c r="G2263" s="81" t="s">
        <v>1504</v>
      </c>
      <c r="H2263" s="81" t="s">
        <v>871</v>
      </c>
      <c r="I2263" s="81" t="n">
        <v>9.53</v>
      </c>
      <c r="J2263" s="81" t="s">
        <v>872</v>
      </c>
      <c r="K2263" s="81" t="s">
        <v>879</v>
      </c>
      <c r="L2263" s="81" t="n">
        <v>2079770</v>
      </c>
      <c r="M2263" s="81" t="n">
        <v>15421102</v>
      </c>
      <c r="N2263" s="81" t="n">
        <v>11.94</v>
      </c>
      <c r="O2263" s="81" t="n">
        <v>2096330</v>
      </c>
      <c r="P2263" s="81" t="n">
        <v>15421111</v>
      </c>
      <c r="Q2263" s="81" t="n">
        <v>11.94</v>
      </c>
      <c r="R2263" s="81" t="s">
        <v>2745</v>
      </c>
      <c r="S2263" s="81"/>
      <c r="T2263" s="81"/>
      <c r="U2263" s="83" t="n">
        <v>46260</v>
      </c>
      <c r="V2263" s="83" t="n">
        <v>46260</v>
      </c>
      <c r="W2263" s="81" t="s">
        <v>2743</v>
      </c>
      <c r="X2263" s="81" t="s">
        <v>876</v>
      </c>
      <c r="Y2263" s="83" t="n">
        <v>46263</v>
      </c>
      <c r="Z2263" s="81" t="s">
        <v>2731</v>
      </c>
      <c r="AA2263" s="81" t="s">
        <v>876</v>
      </c>
      <c r="AB2263" s="81"/>
      <c r="AC2263" s="81"/>
      <c r="AD2263" s="81"/>
      <c r="AE2263" s="83"/>
      <c r="AF2263" s="81"/>
      <c r="AG2263" s="81"/>
      <c r="AH2263" s="81"/>
      <c r="AI2263" s="81"/>
      <c r="AJ2263" s="83"/>
      <c r="AK2263" s="81"/>
      <c r="AL2263" s="81"/>
      <c r="AM2263" s="83"/>
      <c r="AN2263" s="80"/>
      <c r="AO2263" s="82" t="n">
        <f aca="false">IF(E2263="","",(AA2263&lt;&gt;"")+(AG2263&lt;&gt;"")+(AL2263&lt;&gt;""))</f>
        <v>1</v>
      </c>
      <c r="AP2263" s="82" t="str">
        <f aca="false">IF(AL2263&lt;&gt;"",AL2263,IF(AG2263&lt;&gt;"",AG2263,IF(AA2263&lt;&gt;"",AA2263,"")))</f>
        <v>A</v>
      </c>
      <c r="AQ2263" s="84" t="str">
        <f aca="false">IF(E2263="","",IF(U2263="","À SOUDER",IF(X2263="","VT EN ATTENTE",IF(X2263="R","VT REJETÉ – À REPRENDRE",IF(AP2263="","À RADIOGRAPHIER",IF(AP2263="A","ACCEPTÉ",IF(AP2263="NX","NX – RT À REFAIRE",IF(IF(AO2263=1,AD2263,IF(AO2263=2,AI2263,""))="A","RÉPARÉ – À RADIOGRAPHIER",IF(IF(AO2263=1,AD2263,IF(AO2263=2,AI2263,""))="R","VT REJETÉ – À REPRENDRE",IF(OR(AP2263="CO",AP2263="NT"),"COUPE – À RESOUDER","À RÉPARER"))))))))))</f>
        <v>ACCEPTÉ</v>
      </c>
      <c r="AR2263" s="82" t="str">
        <f aca="false">IF(AND(ISNUMBER(U2263),OR(AQ2263="À RADIOGRAPHIER",AQ2263="RÉPARÉ – À RADIOGRAPHIER",AQ2263="NX – RT À REFAIRE",AQ2263="À RÉPARER",AQ2263="COUPE – À RESOUDER",AQ2263="VT REJETÉ – À REPRENDRE")),MAX(0,'PROGRAMME RT'!$C$4-U2263),"")</f>
        <v/>
      </c>
      <c r="AS2263" s="82" t="n">
        <f aca="false">IF(AND(OR(AQ2263="À RADIOGRAPHIER",AQ2263="RÉPARÉ – À RADIOGRAPHIER",AQ2263="NX – RT À REFAIRE"),OR('PROGRAMME RT'!$D$5="TOUTES",B2263='PROGRAMME RT'!$D$5)),1,0)</f>
        <v>0</v>
      </c>
      <c r="AT2263" s="82" t="str">
        <f aca="false">IF(AS2263=1,SUM(AS$7:AS2263),"")</f>
        <v/>
      </c>
      <c r="AU2263" s="82" t="n">
        <f aca="false">IF(AND(OR(AA2263="R",AA2263="NX",AA2263="NT",AA2263="CO"),OR('JOINTS DE RÉPARATION'!$D$5="TOUTES",B2263='JOINTS DE RÉPARATION'!$D$5),OR('JOINTS DE RÉPARATION'!$L$4="TOUS",AQ2263&lt;&gt;"ACCEPTÉ")),1,0)</f>
        <v>0</v>
      </c>
      <c r="AV2263" s="82" t="str">
        <f aca="false">IF(AU2263=1,SUM(AU$7:AU2263),"")</f>
        <v/>
      </c>
      <c r="AW2263" s="82" t="str">
        <f aca="false">IF(E2263="","",B2263&amp;"|"&amp;E2263)</f>
        <v>MFD-ISW → MFD-CPF|JN°1779</v>
      </c>
    </row>
    <row r="2264" customFormat="false" ht="74.6" hidden="false" customHeight="false" outlineLevel="0" collapsed="false">
      <c r="A2264" s="79" t="n">
        <f aca="false">IF(E2264="","",ROW()-6)</f>
        <v>2258</v>
      </c>
      <c r="B2264" s="80" t="s">
        <v>110</v>
      </c>
      <c r="C2264" s="81" t="s">
        <v>2714</v>
      </c>
      <c r="D2264" s="81" t="n">
        <v>22</v>
      </c>
      <c r="E2264" s="81" t="s">
        <v>2747</v>
      </c>
      <c r="F2264" s="82" t="str">
        <f aca="false">IF(E2264="","",IF(LEFT(E2264,2)="DJ","DJ","JN"))</f>
        <v>JN</v>
      </c>
      <c r="G2264" s="81" t="s">
        <v>1504</v>
      </c>
      <c r="H2264" s="81" t="s">
        <v>871</v>
      </c>
      <c r="I2264" s="81" t="n">
        <v>9.53</v>
      </c>
      <c r="J2264" s="81" t="s">
        <v>872</v>
      </c>
      <c r="K2264" s="81" t="s">
        <v>879</v>
      </c>
      <c r="L2264" s="81" t="n">
        <v>2096330</v>
      </c>
      <c r="M2264" s="81" t="n">
        <v>15421111</v>
      </c>
      <c r="N2264" s="81" t="n">
        <v>11.94</v>
      </c>
      <c r="O2264" s="81" t="n">
        <v>2091410</v>
      </c>
      <c r="P2264" s="81" t="n">
        <v>15421109</v>
      </c>
      <c r="Q2264" s="81" t="n">
        <v>11.94</v>
      </c>
      <c r="R2264" s="81" t="s">
        <v>2748</v>
      </c>
      <c r="S2264" s="81"/>
      <c r="T2264" s="81"/>
      <c r="U2264" s="83" t="n">
        <v>46260</v>
      </c>
      <c r="V2264" s="83" t="n">
        <v>46260</v>
      </c>
      <c r="W2264" s="81" t="s">
        <v>2743</v>
      </c>
      <c r="X2264" s="81" t="s">
        <v>876</v>
      </c>
      <c r="Y2264" s="83" t="n">
        <v>46264</v>
      </c>
      <c r="Z2264" s="81" t="s">
        <v>2749</v>
      </c>
      <c r="AA2264" s="81" t="s">
        <v>876</v>
      </c>
      <c r="AB2264" s="81"/>
      <c r="AC2264" s="81"/>
      <c r="AD2264" s="81"/>
      <c r="AE2264" s="83"/>
      <c r="AF2264" s="81"/>
      <c r="AG2264" s="81"/>
      <c r="AH2264" s="81"/>
      <c r="AI2264" s="81"/>
      <c r="AJ2264" s="83"/>
      <c r="AK2264" s="81"/>
      <c r="AL2264" s="81"/>
      <c r="AM2264" s="83"/>
      <c r="AN2264" s="80"/>
      <c r="AO2264" s="82" t="n">
        <f aca="false">IF(E2264="","",(AA2264&lt;&gt;"")+(AG2264&lt;&gt;"")+(AL2264&lt;&gt;""))</f>
        <v>1</v>
      </c>
      <c r="AP2264" s="82" t="str">
        <f aca="false">IF(AL2264&lt;&gt;"",AL2264,IF(AG2264&lt;&gt;"",AG2264,IF(AA2264&lt;&gt;"",AA2264,"")))</f>
        <v>A</v>
      </c>
      <c r="AQ2264" s="84" t="str">
        <f aca="false">IF(E2264="","",IF(U2264="","À SOUDER",IF(X2264="","VT EN ATTENTE",IF(X2264="R","VT REJETÉ – À REPRENDRE",IF(AP2264="","À RADIOGRAPHIER",IF(AP2264="A","ACCEPTÉ",IF(AP2264="NX","NX – RT À REFAIRE",IF(IF(AO2264=1,AD2264,IF(AO2264=2,AI2264,""))="A","RÉPARÉ – À RADIOGRAPHIER",IF(IF(AO2264=1,AD2264,IF(AO2264=2,AI2264,""))="R","VT REJETÉ – À REPRENDRE",IF(OR(AP2264="CO",AP2264="NT"),"COUPE – À RESOUDER","À RÉPARER"))))))))))</f>
        <v>ACCEPTÉ</v>
      </c>
      <c r="AR2264" s="82" t="str">
        <f aca="false">IF(AND(ISNUMBER(U2264),OR(AQ2264="À RADIOGRAPHIER",AQ2264="RÉPARÉ – À RADIOGRAPHIER",AQ2264="NX – RT À REFAIRE",AQ2264="À RÉPARER",AQ2264="COUPE – À RESOUDER",AQ2264="VT REJETÉ – À REPRENDRE")),MAX(0,'PROGRAMME RT'!$C$4-U2264),"")</f>
        <v/>
      </c>
      <c r="AS2264" s="82" t="n">
        <f aca="false">IF(AND(OR(AQ2264="À RADIOGRAPHIER",AQ2264="RÉPARÉ – À RADIOGRAPHIER",AQ2264="NX – RT À REFAIRE"),OR('PROGRAMME RT'!$D$5="TOUTES",B2264='PROGRAMME RT'!$D$5)),1,0)</f>
        <v>0</v>
      </c>
      <c r="AT2264" s="82" t="str">
        <f aca="false">IF(AS2264=1,SUM(AS$7:AS2264),"")</f>
        <v/>
      </c>
      <c r="AU2264" s="82" t="n">
        <f aca="false">IF(AND(OR(AA2264="R",AA2264="NX",AA2264="NT",AA2264="CO"),OR('JOINTS DE RÉPARATION'!$D$5="TOUTES",B2264='JOINTS DE RÉPARATION'!$D$5),OR('JOINTS DE RÉPARATION'!$L$4="TOUS",AQ2264&lt;&gt;"ACCEPTÉ")),1,0)</f>
        <v>0</v>
      </c>
      <c r="AV2264" s="82" t="str">
        <f aca="false">IF(AU2264=1,SUM(AU$7:AU2264),"")</f>
        <v/>
      </c>
      <c r="AW2264" s="82" t="str">
        <f aca="false">IF(E2264="","",B2264&amp;"|"&amp;E2264)</f>
        <v>MFD-ISW → MFD-CPF|JN°1780</v>
      </c>
    </row>
    <row r="2265" customFormat="false" ht="74.6" hidden="false" customHeight="false" outlineLevel="0" collapsed="false">
      <c r="A2265" s="79" t="n">
        <f aca="false">IF(E2265="","",ROW()-6)</f>
        <v>2259</v>
      </c>
      <c r="B2265" s="80" t="s">
        <v>110</v>
      </c>
      <c r="C2265" s="81" t="s">
        <v>926</v>
      </c>
      <c r="D2265" s="81" t="n">
        <v>22</v>
      </c>
      <c r="E2265" s="81" t="s">
        <v>2750</v>
      </c>
      <c r="F2265" s="82" t="str">
        <f aca="false">IF(E2265="","",IF(LEFT(E2265,2)="DJ","DJ","JN"))</f>
        <v>JN</v>
      </c>
      <c r="G2265" s="81"/>
      <c r="H2265" s="81"/>
      <c r="I2265" s="81"/>
      <c r="J2265" s="81"/>
      <c r="K2265" s="81"/>
      <c r="L2265" s="81" t="n">
        <v>2091410</v>
      </c>
      <c r="M2265" s="81" t="n">
        <v>15421109</v>
      </c>
      <c r="N2265" s="81" t="n">
        <v>11.94</v>
      </c>
      <c r="O2265" s="81"/>
      <c r="P2265" s="81"/>
      <c r="Q2265" s="81"/>
      <c r="R2265" s="81"/>
      <c r="S2265" s="81"/>
      <c r="T2265" s="81"/>
      <c r="U2265" s="83"/>
      <c r="V2265" s="83"/>
      <c r="W2265" s="81"/>
      <c r="X2265" s="81"/>
      <c r="Y2265" s="83"/>
      <c r="Z2265" s="81"/>
      <c r="AA2265" s="81"/>
      <c r="AB2265" s="81"/>
      <c r="AC2265" s="81"/>
      <c r="AD2265" s="81"/>
      <c r="AE2265" s="83"/>
      <c r="AF2265" s="81"/>
      <c r="AG2265" s="81"/>
      <c r="AH2265" s="81"/>
      <c r="AI2265" s="81"/>
      <c r="AJ2265" s="83"/>
      <c r="AK2265" s="81"/>
      <c r="AL2265" s="81"/>
      <c r="AM2265" s="83"/>
      <c r="AN2265" s="80"/>
      <c r="AO2265" s="82" t="n">
        <f aca="false">IF(E2265="","",(AA2265&lt;&gt;"")+(AG2265&lt;&gt;"")+(AL2265&lt;&gt;""))</f>
        <v>0</v>
      </c>
      <c r="AP2265" s="82" t="str">
        <f aca="false">IF(AL2265&lt;&gt;"",AL2265,IF(AG2265&lt;&gt;"",AG2265,IF(AA2265&lt;&gt;"",AA2265,"")))</f>
        <v/>
      </c>
      <c r="AQ2265" s="84" t="str">
        <f aca="false">IF(E2265="","",IF(U2265="","À SOUDER",IF(X2265="","VT EN ATTENTE",IF(X2265="R","VT REJETÉ – À REPRENDRE",IF(AP2265="","À RADIOGRAPHIER",IF(AP2265="A","ACCEPTÉ",IF(AP2265="NX","NX – RT À REFAIRE",IF(IF(AO2265=1,AD2265,IF(AO2265=2,AI2265,""))="A","RÉPARÉ – À RADIOGRAPHIER",IF(IF(AO2265=1,AD2265,IF(AO2265=2,AI2265,""))="R","VT REJETÉ – À REPRENDRE",IF(OR(AP2265="CO",AP2265="NT"),"COUPE – À RESOUDER","À RÉPARER"))))))))))</f>
        <v>À SOUDER</v>
      </c>
      <c r="AR2265" s="82" t="str">
        <f aca="false">IF(AND(ISNUMBER(U2265),OR(AQ2265="À RADIOGRAPHIER",AQ2265="RÉPARÉ – À RADIOGRAPHIER",AQ2265="NX – RT À REFAIRE",AQ2265="À RÉPARER",AQ2265="COUPE – À RESOUDER",AQ2265="VT REJETÉ – À REPRENDRE")),MAX(0,'PROGRAMME RT'!$C$4-U2265),"")</f>
        <v/>
      </c>
      <c r="AS2265" s="82" t="n">
        <f aca="false">IF(AND(OR(AQ2265="À RADIOGRAPHIER",AQ2265="RÉPARÉ – À RADIOGRAPHIER",AQ2265="NX – RT À REFAIRE"),OR('PROGRAMME RT'!$D$5="TOUTES",B2265='PROGRAMME RT'!$D$5)),1,0)</f>
        <v>0</v>
      </c>
      <c r="AT2265" s="82" t="str">
        <f aca="false">IF(AS2265=1,SUM(AS$7:AS2265),"")</f>
        <v/>
      </c>
      <c r="AU2265" s="82" t="n">
        <f aca="false">IF(AND(OR(AA2265="R",AA2265="NX",AA2265="NT",AA2265="CO"),OR('JOINTS DE RÉPARATION'!$D$5="TOUTES",B2265='JOINTS DE RÉPARATION'!$D$5),OR('JOINTS DE RÉPARATION'!$L$4="TOUS",AQ2265&lt;&gt;"ACCEPTÉ")),1,0)</f>
        <v>0</v>
      </c>
      <c r="AV2265" s="82" t="str">
        <f aca="false">IF(AU2265=1,SUM(AU$7:AU2265),"")</f>
        <v/>
      </c>
      <c r="AW2265" s="82" t="str">
        <f aca="false">IF(E2265="","",B2265&amp;"|"&amp;E2265)</f>
        <v>MFD-ISW → MFD-CPF|JN°1781</v>
      </c>
    </row>
    <row r="2266" customFormat="false" ht="74.6" hidden="false" customHeight="false" outlineLevel="0" collapsed="false">
      <c r="A2266" s="79" t="n">
        <f aca="false">IF(E2266="","",ROW()-6)</f>
        <v>2260</v>
      </c>
      <c r="B2266" s="80" t="s">
        <v>110</v>
      </c>
      <c r="C2266" s="81" t="s">
        <v>926</v>
      </c>
      <c r="D2266" s="81" t="n">
        <v>22</v>
      </c>
      <c r="E2266" s="81" t="s">
        <v>2751</v>
      </c>
      <c r="F2266" s="82" t="str">
        <f aca="false">IF(E2266="","",IF(LEFT(E2266,2)="DJ","DJ","JN"))</f>
        <v>JN</v>
      </c>
      <c r="G2266" s="81"/>
      <c r="H2266" s="81"/>
      <c r="I2266" s="81"/>
      <c r="J2266" s="81"/>
      <c r="K2266" s="81"/>
      <c r="L2266" s="81"/>
      <c r="M2266" s="81"/>
      <c r="N2266" s="81"/>
      <c r="O2266" s="81"/>
      <c r="P2266" s="81"/>
      <c r="Q2266" s="81"/>
      <c r="R2266" s="81"/>
      <c r="S2266" s="81"/>
      <c r="T2266" s="81"/>
      <c r="U2266" s="83"/>
      <c r="V2266" s="83"/>
      <c r="W2266" s="81"/>
      <c r="X2266" s="81"/>
      <c r="Y2266" s="83"/>
      <c r="Z2266" s="81"/>
      <c r="AA2266" s="81"/>
      <c r="AB2266" s="81"/>
      <c r="AC2266" s="81"/>
      <c r="AD2266" s="81"/>
      <c r="AE2266" s="83"/>
      <c r="AF2266" s="81"/>
      <c r="AG2266" s="81"/>
      <c r="AH2266" s="81"/>
      <c r="AI2266" s="81"/>
      <c r="AJ2266" s="83"/>
      <c r="AK2266" s="81"/>
      <c r="AL2266" s="81"/>
      <c r="AM2266" s="83"/>
      <c r="AN2266" s="80"/>
      <c r="AO2266" s="82" t="n">
        <f aca="false">IF(E2266="","",(AA2266&lt;&gt;"")+(AG2266&lt;&gt;"")+(AL2266&lt;&gt;""))</f>
        <v>0</v>
      </c>
      <c r="AP2266" s="82" t="str">
        <f aca="false">IF(AL2266&lt;&gt;"",AL2266,IF(AG2266&lt;&gt;"",AG2266,IF(AA2266&lt;&gt;"",AA2266,"")))</f>
        <v/>
      </c>
      <c r="AQ2266" s="84" t="str">
        <f aca="false">IF(E2266="","",IF(U2266="","À SOUDER",IF(X2266="","VT EN ATTENTE",IF(X2266="R","VT REJETÉ – À REPRENDRE",IF(AP2266="","À RADIOGRAPHIER",IF(AP2266="A","ACCEPTÉ",IF(AP2266="NX","NX – RT À REFAIRE",IF(IF(AO2266=1,AD2266,IF(AO2266=2,AI2266,""))="A","RÉPARÉ – À RADIOGRAPHIER",IF(IF(AO2266=1,AD2266,IF(AO2266=2,AI2266,""))="R","VT REJETÉ – À REPRENDRE",IF(OR(AP2266="CO",AP2266="NT"),"COUPE – À RESOUDER","À RÉPARER"))))))))))</f>
        <v>À SOUDER</v>
      </c>
      <c r="AR2266" s="82" t="str">
        <f aca="false">IF(AND(ISNUMBER(U2266),OR(AQ2266="À RADIOGRAPHIER",AQ2266="RÉPARÉ – À RADIOGRAPHIER",AQ2266="NX – RT À REFAIRE",AQ2266="À RÉPARER",AQ2266="COUPE – À RESOUDER",AQ2266="VT REJETÉ – À REPRENDRE")),MAX(0,'PROGRAMME RT'!$C$4-U2266),"")</f>
        <v/>
      </c>
      <c r="AS2266" s="82" t="n">
        <f aca="false">IF(AND(OR(AQ2266="À RADIOGRAPHIER",AQ2266="RÉPARÉ – À RADIOGRAPHIER",AQ2266="NX – RT À REFAIRE"),OR('PROGRAMME RT'!$D$5="TOUTES",B2266='PROGRAMME RT'!$D$5)),1,0)</f>
        <v>0</v>
      </c>
      <c r="AT2266" s="82" t="str">
        <f aca="false">IF(AS2266=1,SUM(AS$7:AS2266),"")</f>
        <v/>
      </c>
      <c r="AU2266" s="82" t="n">
        <f aca="false">IF(AND(OR(AA2266="R",AA2266="NX",AA2266="NT",AA2266="CO"),OR('JOINTS DE RÉPARATION'!$D$5="TOUTES",B2266='JOINTS DE RÉPARATION'!$D$5),OR('JOINTS DE RÉPARATION'!$L$4="TOUS",AQ2266&lt;&gt;"ACCEPTÉ")),1,0)</f>
        <v>0</v>
      </c>
      <c r="AV2266" s="82" t="str">
        <f aca="false">IF(AU2266=1,SUM(AU$7:AU2266),"")</f>
        <v/>
      </c>
      <c r="AW2266" s="82" t="str">
        <f aca="false">IF(E2266="","",B2266&amp;"|"&amp;E2266)</f>
        <v>MFD-ISW → MFD-CPF|JN°1782</v>
      </c>
    </row>
    <row r="2267" customFormat="false" ht="74.6" hidden="false" customHeight="false" outlineLevel="0" collapsed="false">
      <c r="A2267" s="79" t="n">
        <f aca="false">IF(E2267="","",ROW()-6)</f>
        <v>2261</v>
      </c>
      <c r="B2267" s="80" t="s">
        <v>110</v>
      </c>
      <c r="C2267" s="81" t="s">
        <v>926</v>
      </c>
      <c r="D2267" s="81" t="n">
        <v>22</v>
      </c>
      <c r="E2267" s="81" t="s">
        <v>2752</v>
      </c>
      <c r="F2267" s="82" t="str">
        <f aca="false">IF(E2267="","",IF(LEFT(E2267,2)="DJ","DJ","JN"))</f>
        <v>JN</v>
      </c>
      <c r="G2267" s="81"/>
      <c r="H2267" s="81"/>
      <c r="I2267" s="81"/>
      <c r="J2267" s="81"/>
      <c r="K2267" s="81"/>
      <c r="L2267" s="81"/>
      <c r="M2267" s="81"/>
      <c r="N2267" s="81"/>
      <c r="O2267" s="81" t="n">
        <v>2094770</v>
      </c>
      <c r="P2267" s="81" t="n">
        <v>15421111</v>
      </c>
      <c r="Q2267" s="81" t="n">
        <v>11.94</v>
      </c>
      <c r="R2267" s="81"/>
      <c r="S2267" s="81"/>
      <c r="T2267" s="81"/>
      <c r="U2267" s="83"/>
      <c r="V2267" s="83"/>
      <c r="W2267" s="81"/>
      <c r="X2267" s="81"/>
      <c r="Y2267" s="83"/>
      <c r="Z2267" s="81"/>
      <c r="AA2267" s="81"/>
      <c r="AB2267" s="81"/>
      <c r="AC2267" s="81"/>
      <c r="AD2267" s="81"/>
      <c r="AE2267" s="83"/>
      <c r="AF2267" s="81"/>
      <c r="AG2267" s="81"/>
      <c r="AH2267" s="81"/>
      <c r="AI2267" s="81"/>
      <c r="AJ2267" s="83"/>
      <c r="AK2267" s="81"/>
      <c r="AL2267" s="81"/>
      <c r="AM2267" s="83"/>
      <c r="AN2267" s="80"/>
      <c r="AO2267" s="82" t="n">
        <f aca="false">IF(E2267="","",(AA2267&lt;&gt;"")+(AG2267&lt;&gt;"")+(AL2267&lt;&gt;""))</f>
        <v>0</v>
      </c>
      <c r="AP2267" s="82" t="str">
        <f aca="false">IF(AL2267&lt;&gt;"",AL2267,IF(AG2267&lt;&gt;"",AG2267,IF(AA2267&lt;&gt;"",AA2267,"")))</f>
        <v/>
      </c>
      <c r="AQ2267" s="84" t="str">
        <f aca="false">IF(E2267="","",IF(U2267="","À SOUDER",IF(X2267="","VT EN ATTENTE",IF(X2267="R","VT REJETÉ – À REPRENDRE",IF(AP2267="","À RADIOGRAPHIER",IF(AP2267="A","ACCEPTÉ",IF(AP2267="NX","NX – RT À REFAIRE",IF(IF(AO2267=1,AD2267,IF(AO2267=2,AI2267,""))="A","RÉPARÉ – À RADIOGRAPHIER",IF(IF(AO2267=1,AD2267,IF(AO2267=2,AI2267,""))="R","VT REJETÉ – À REPRENDRE",IF(OR(AP2267="CO",AP2267="NT"),"COUPE – À RESOUDER","À RÉPARER"))))))))))</f>
        <v>À SOUDER</v>
      </c>
      <c r="AR2267" s="82" t="str">
        <f aca="false">IF(AND(ISNUMBER(U2267),OR(AQ2267="À RADIOGRAPHIER",AQ2267="RÉPARÉ – À RADIOGRAPHIER",AQ2267="NX – RT À REFAIRE",AQ2267="À RÉPARER",AQ2267="COUPE – À RESOUDER",AQ2267="VT REJETÉ – À REPRENDRE")),MAX(0,'PROGRAMME RT'!$C$4-U2267),"")</f>
        <v/>
      </c>
      <c r="AS2267" s="82" t="n">
        <f aca="false">IF(AND(OR(AQ2267="À RADIOGRAPHIER",AQ2267="RÉPARÉ – À RADIOGRAPHIER",AQ2267="NX – RT À REFAIRE"),OR('PROGRAMME RT'!$D$5="TOUTES",B2267='PROGRAMME RT'!$D$5)),1,0)</f>
        <v>0</v>
      </c>
      <c r="AT2267" s="82" t="str">
        <f aca="false">IF(AS2267=1,SUM(AS$7:AS2267),"")</f>
        <v/>
      </c>
      <c r="AU2267" s="82" t="n">
        <f aca="false">IF(AND(OR(AA2267="R",AA2267="NX",AA2267="NT",AA2267="CO"),OR('JOINTS DE RÉPARATION'!$D$5="TOUTES",B2267='JOINTS DE RÉPARATION'!$D$5),OR('JOINTS DE RÉPARATION'!$L$4="TOUS",AQ2267&lt;&gt;"ACCEPTÉ")),1,0)</f>
        <v>0</v>
      </c>
      <c r="AV2267" s="82" t="str">
        <f aca="false">IF(AU2267=1,SUM(AU$7:AU2267),"")</f>
        <v/>
      </c>
      <c r="AW2267" s="82" t="str">
        <f aca="false">IF(E2267="","",B2267&amp;"|"&amp;E2267)</f>
        <v>MFD-ISW → MFD-CPF|JN°1783</v>
      </c>
    </row>
    <row r="2268" customFormat="false" ht="74.6" hidden="false" customHeight="false" outlineLevel="0" collapsed="false">
      <c r="A2268" s="79" t="n">
        <f aca="false">IF(E2268="","",ROW()-6)</f>
        <v>2262</v>
      </c>
      <c r="B2268" s="80" t="s">
        <v>110</v>
      </c>
      <c r="C2268" s="81" t="s">
        <v>2753</v>
      </c>
      <c r="D2268" s="81" t="n">
        <v>22</v>
      </c>
      <c r="E2268" s="81" t="s">
        <v>2754</v>
      </c>
      <c r="F2268" s="82" t="str">
        <f aca="false">IF(E2268="","",IF(LEFT(E2268,2)="DJ","DJ","JN"))</f>
        <v>JN</v>
      </c>
      <c r="G2268" s="81" t="s">
        <v>1504</v>
      </c>
      <c r="H2268" s="81" t="s">
        <v>871</v>
      </c>
      <c r="I2268" s="81" t="n">
        <v>9.53</v>
      </c>
      <c r="J2268" s="81" t="s">
        <v>872</v>
      </c>
      <c r="K2268" s="81" t="s">
        <v>879</v>
      </c>
      <c r="L2268" s="81" t="n">
        <v>2094770</v>
      </c>
      <c r="M2268" s="81" t="n">
        <v>15421111</v>
      </c>
      <c r="N2268" s="81" t="n">
        <v>11.94</v>
      </c>
      <c r="O2268" s="81" t="n">
        <v>209578</v>
      </c>
      <c r="P2268" s="81" t="n">
        <v>15421111</v>
      </c>
      <c r="Q2268" s="81" t="n">
        <v>11.94</v>
      </c>
      <c r="R2268" s="81" t="s">
        <v>2748</v>
      </c>
      <c r="S2268" s="81"/>
      <c r="T2268" s="81"/>
      <c r="U2268" s="83" t="n">
        <v>46260</v>
      </c>
      <c r="V2268" s="83" t="n">
        <v>46260</v>
      </c>
      <c r="W2268" s="81" t="s">
        <v>2743</v>
      </c>
      <c r="X2268" s="81" t="s">
        <v>876</v>
      </c>
      <c r="Y2268" s="83" t="n">
        <v>46264</v>
      </c>
      <c r="Z2268" s="81" t="s">
        <v>2749</v>
      </c>
      <c r="AA2268" s="81" t="s">
        <v>876</v>
      </c>
      <c r="AB2268" s="81"/>
      <c r="AC2268" s="81"/>
      <c r="AD2268" s="81"/>
      <c r="AE2268" s="83"/>
      <c r="AF2268" s="81"/>
      <c r="AG2268" s="81"/>
      <c r="AH2268" s="81"/>
      <c r="AI2268" s="81"/>
      <c r="AJ2268" s="83"/>
      <c r="AK2268" s="81"/>
      <c r="AL2268" s="81"/>
      <c r="AM2268" s="83"/>
      <c r="AN2268" s="80"/>
      <c r="AO2268" s="82" t="n">
        <f aca="false">IF(E2268="","",(AA2268&lt;&gt;"")+(AG2268&lt;&gt;"")+(AL2268&lt;&gt;""))</f>
        <v>1</v>
      </c>
      <c r="AP2268" s="82" t="str">
        <f aca="false">IF(AL2268&lt;&gt;"",AL2268,IF(AG2268&lt;&gt;"",AG2268,IF(AA2268&lt;&gt;"",AA2268,"")))</f>
        <v>A</v>
      </c>
      <c r="AQ2268" s="84" t="str">
        <f aca="false">IF(E2268="","",IF(U2268="","À SOUDER",IF(X2268="","VT EN ATTENTE",IF(X2268="R","VT REJETÉ – À REPRENDRE",IF(AP2268="","À RADIOGRAPHIER",IF(AP2268="A","ACCEPTÉ",IF(AP2268="NX","NX – RT À REFAIRE",IF(IF(AO2268=1,AD2268,IF(AO2268=2,AI2268,""))="A","RÉPARÉ – À RADIOGRAPHIER",IF(IF(AO2268=1,AD2268,IF(AO2268=2,AI2268,""))="R","VT REJETÉ – À REPRENDRE",IF(OR(AP2268="CO",AP2268="NT"),"COUPE – À RESOUDER","À RÉPARER"))))))))))</f>
        <v>ACCEPTÉ</v>
      </c>
      <c r="AR2268" s="82" t="str">
        <f aca="false">IF(AND(ISNUMBER(U2268),OR(AQ2268="À RADIOGRAPHIER",AQ2268="RÉPARÉ – À RADIOGRAPHIER",AQ2268="NX – RT À REFAIRE",AQ2268="À RÉPARER",AQ2268="COUPE – À RESOUDER",AQ2268="VT REJETÉ – À REPRENDRE")),MAX(0,'PROGRAMME RT'!$C$4-U2268),"")</f>
        <v/>
      </c>
      <c r="AS2268" s="82" t="n">
        <f aca="false">IF(AND(OR(AQ2268="À RADIOGRAPHIER",AQ2268="RÉPARÉ – À RADIOGRAPHIER",AQ2268="NX – RT À REFAIRE"),OR('PROGRAMME RT'!$D$5="TOUTES",B2268='PROGRAMME RT'!$D$5)),1,0)</f>
        <v>0</v>
      </c>
      <c r="AT2268" s="82" t="str">
        <f aca="false">IF(AS2268=1,SUM(AS$7:AS2268),"")</f>
        <v/>
      </c>
      <c r="AU2268" s="82" t="n">
        <f aca="false">IF(AND(OR(AA2268="R",AA2268="NX",AA2268="NT",AA2268="CO"),OR('JOINTS DE RÉPARATION'!$D$5="TOUTES",B2268='JOINTS DE RÉPARATION'!$D$5),OR('JOINTS DE RÉPARATION'!$L$4="TOUS",AQ2268&lt;&gt;"ACCEPTÉ")),1,0)</f>
        <v>0</v>
      </c>
      <c r="AV2268" s="82" t="str">
        <f aca="false">IF(AU2268=1,SUM(AU$7:AU2268),"")</f>
        <v/>
      </c>
      <c r="AW2268" s="82" t="str">
        <f aca="false">IF(E2268="","",B2268&amp;"|"&amp;E2268)</f>
        <v>MFD-ISW → MFD-CPF|JN°1784</v>
      </c>
    </row>
    <row r="2269" customFormat="false" ht="74.6" hidden="false" customHeight="false" outlineLevel="0" collapsed="false">
      <c r="A2269" s="79" t="n">
        <f aca="false">IF(E2269="","",ROW()-6)</f>
        <v>2263</v>
      </c>
      <c r="B2269" s="80" t="s">
        <v>110</v>
      </c>
      <c r="C2269" s="81" t="s">
        <v>2753</v>
      </c>
      <c r="D2269" s="81" t="n">
        <v>22</v>
      </c>
      <c r="E2269" s="81" t="s">
        <v>2755</v>
      </c>
      <c r="F2269" s="82" t="str">
        <f aca="false">IF(E2269="","",IF(LEFT(E2269,2)="DJ","DJ","JN"))</f>
        <v>JN</v>
      </c>
      <c r="G2269" s="81" t="s">
        <v>1504</v>
      </c>
      <c r="H2269" s="81" t="s">
        <v>871</v>
      </c>
      <c r="I2269" s="81" t="n">
        <v>9.53</v>
      </c>
      <c r="J2269" s="81" t="s">
        <v>872</v>
      </c>
      <c r="K2269" s="81" t="s">
        <v>879</v>
      </c>
      <c r="L2269" s="81" t="n">
        <v>209578</v>
      </c>
      <c r="M2269" s="81" t="n">
        <v>15421111</v>
      </c>
      <c r="N2269" s="81" t="n">
        <v>11.94</v>
      </c>
      <c r="O2269" s="81" t="n">
        <v>2089960</v>
      </c>
      <c r="P2269" s="81" t="n">
        <v>15421109</v>
      </c>
      <c r="Q2269" s="81" t="n">
        <v>11.94</v>
      </c>
      <c r="R2269" s="81" t="s">
        <v>2748</v>
      </c>
      <c r="S2269" s="81"/>
      <c r="T2269" s="81"/>
      <c r="U2269" s="83" t="n">
        <v>46260</v>
      </c>
      <c r="V2269" s="83" t="n">
        <v>46260</v>
      </c>
      <c r="W2269" s="81" t="s">
        <v>2743</v>
      </c>
      <c r="X2269" s="81" t="s">
        <v>876</v>
      </c>
      <c r="Y2269" s="83" t="n">
        <v>46264</v>
      </c>
      <c r="Z2269" s="81" t="s">
        <v>2749</v>
      </c>
      <c r="AA2269" s="81" t="s">
        <v>876</v>
      </c>
      <c r="AB2269" s="81"/>
      <c r="AC2269" s="81"/>
      <c r="AD2269" s="81"/>
      <c r="AE2269" s="83"/>
      <c r="AF2269" s="81"/>
      <c r="AG2269" s="81"/>
      <c r="AH2269" s="81"/>
      <c r="AI2269" s="81"/>
      <c r="AJ2269" s="83"/>
      <c r="AK2269" s="81"/>
      <c r="AL2269" s="81"/>
      <c r="AM2269" s="83"/>
      <c r="AN2269" s="80"/>
      <c r="AO2269" s="82" t="n">
        <f aca="false">IF(E2269="","",(AA2269&lt;&gt;"")+(AG2269&lt;&gt;"")+(AL2269&lt;&gt;""))</f>
        <v>1</v>
      </c>
      <c r="AP2269" s="82" t="str">
        <f aca="false">IF(AL2269&lt;&gt;"",AL2269,IF(AG2269&lt;&gt;"",AG2269,IF(AA2269&lt;&gt;"",AA2269,"")))</f>
        <v>A</v>
      </c>
      <c r="AQ2269" s="84" t="str">
        <f aca="false">IF(E2269="","",IF(U2269="","À SOUDER",IF(X2269="","VT EN ATTENTE",IF(X2269="R","VT REJETÉ – À REPRENDRE",IF(AP2269="","À RADIOGRAPHIER",IF(AP2269="A","ACCEPTÉ",IF(AP2269="NX","NX – RT À REFAIRE",IF(IF(AO2269=1,AD2269,IF(AO2269=2,AI2269,""))="A","RÉPARÉ – À RADIOGRAPHIER",IF(IF(AO2269=1,AD2269,IF(AO2269=2,AI2269,""))="R","VT REJETÉ – À REPRENDRE",IF(OR(AP2269="CO",AP2269="NT"),"COUPE – À RESOUDER","À RÉPARER"))))))))))</f>
        <v>ACCEPTÉ</v>
      </c>
      <c r="AR2269" s="82" t="str">
        <f aca="false">IF(AND(ISNUMBER(U2269),OR(AQ2269="À RADIOGRAPHIER",AQ2269="RÉPARÉ – À RADIOGRAPHIER",AQ2269="NX – RT À REFAIRE",AQ2269="À RÉPARER",AQ2269="COUPE – À RESOUDER",AQ2269="VT REJETÉ – À REPRENDRE")),MAX(0,'PROGRAMME RT'!$C$4-U2269),"")</f>
        <v/>
      </c>
      <c r="AS2269" s="82" t="n">
        <f aca="false">IF(AND(OR(AQ2269="À RADIOGRAPHIER",AQ2269="RÉPARÉ – À RADIOGRAPHIER",AQ2269="NX – RT À REFAIRE"),OR('PROGRAMME RT'!$D$5="TOUTES",B2269='PROGRAMME RT'!$D$5)),1,0)</f>
        <v>0</v>
      </c>
      <c r="AT2269" s="82" t="str">
        <f aca="false">IF(AS2269=1,SUM(AS$7:AS2269),"")</f>
        <v/>
      </c>
      <c r="AU2269" s="82" t="n">
        <f aca="false">IF(AND(OR(AA2269="R",AA2269="NX",AA2269="NT",AA2269="CO"),OR('JOINTS DE RÉPARATION'!$D$5="TOUTES",B2269='JOINTS DE RÉPARATION'!$D$5),OR('JOINTS DE RÉPARATION'!$L$4="TOUS",AQ2269&lt;&gt;"ACCEPTÉ")),1,0)</f>
        <v>0</v>
      </c>
      <c r="AV2269" s="82" t="str">
        <f aca="false">IF(AU2269=1,SUM(AU$7:AU2269),"")</f>
        <v/>
      </c>
      <c r="AW2269" s="82" t="str">
        <f aca="false">IF(E2269="","",B2269&amp;"|"&amp;E2269)</f>
        <v>MFD-ISW → MFD-CPF|JN°1785</v>
      </c>
    </row>
    <row r="2270" customFormat="false" ht="74.6" hidden="false" customHeight="false" outlineLevel="0" collapsed="false">
      <c r="A2270" s="79" t="n">
        <f aca="false">IF(E2270="","",ROW()-6)</f>
        <v>2264</v>
      </c>
      <c r="B2270" s="80" t="s">
        <v>110</v>
      </c>
      <c r="C2270" s="81" t="s">
        <v>2753</v>
      </c>
      <c r="D2270" s="81" t="n">
        <v>22</v>
      </c>
      <c r="E2270" s="81" t="s">
        <v>2756</v>
      </c>
      <c r="F2270" s="82" t="str">
        <f aca="false">IF(E2270="","",IF(LEFT(E2270,2)="DJ","DJ","JN"))</f>
        <v>JN</v>
      </c>
      <c r="G2270" s="81" t="s">
        <v>1504</v>
      </c>
      <c r="H2270" s="81" t="s">
        <v>871</v>
      </c>
      <c r="I2270" s="81" t="n">
        <v>9.53</v>
      </c>
      <c r="J2270" s="81" t="s">
        <v>872</v>
      </c>
      <c r="K2270" s="81" t="s">
        <v>879</v>
      </c>
      <c r="L2270" s="81" t="n">
        <v>2089960</v>
      </c>
      <c r="M2270" s="81" t="n">
        <v>15421109</v>
      </c>
      <c r="N2270" s="81" t="n">
        <v>11.94</v>
      </c>
      <c r="O2270" s="81" t="n">
        <v>2081790</v>
      </c>
      <c r="P2270" s="81" t="n">
        <v>15421103</v>
      </c>
      <c r="Q2270" s="81" t="n">
        <v>11.94</v>
      </c>
      <c r="R2270" s="81" t="s">
        <v>2748</v>
      </c>
      <c r="S2270" s="81"/>
      <c r="T2270" s="81"/>
      <c r="U2270" s="83" t="n">
        <v>46260</v>
      </c>
      <c r="V2270" s="83" t="n">
        <v>46260</v>
      </c>
      <c r="W2270" s="81" t="s">
        <v>2743</v>
      </c>
      <c r="X2270" s="81" t="s">
        <v>876</v>
      </c>
      <c r="Y2270" s="83" t="n">
        <v>46264</v>
      </c>
      <c r="Z2270" s="81" t="s">
        <v>2749</v>
      </c>
      <c r="AA2270" s="81" t="s">
        <v>876</v>
      </c>
      <c r="AB2270" s="81"/>
      <c r="AC2270" s="81"/>
      <c r="AD2270" s="81"/>
      <c r="AE2270" s="83"/>
      <c r="AF2270" s="81"/>
      <c r="AG2270" s="81"/>
      <c r="AH2270" s="81"/>
      <c r="AI2270" s="81"/>
      <c r="AJ2270" s="83"/>
      <c r="AK2270" s="81"/>
      <c r="AL2270" s="81"/>
      <c r="AM2270" s="83"/>
      <c r="AN2270" s="80"/>
      <c r="AO2270" s="82" t="n">
        <f aca="false">IF(E2270="","",(AA2270&lt;&gt;"")+(AG2270&lt;&gt;"")+(AL2270&lt;&gt;""))</f>
        <v>1</v>
      </c>
      <c r="AP2270" s="82" t="str">
        <f aca="false">IF(AL2270&lt;&gt;"",AL2270,IF(AG2270&lt;&gt;"",AG2270,IF(AA2270&lt;&gt;"",AA2270,"")))</f>
        <v>A</v>
      </c>
      <c r="AQ2270" s="84" t="str">
        <f aca="false">IF(E2270="","",IF(U2270="","À SOUDER",IF(X2270="","VT EN ATTENTE",IF(X2270="R","VT REJETÉ – À REPRENDRE",IF(AP2270="","À RADIOGRAPHIER",IF(AP2270="A","ACCEPTÉ",IF(AP2270="NX","NX – RT À REFAIRE",IF(IF(AO2270=1,AD2270,IF(AO2270=2,AI2270,""))="A","RÉPARÉ – À RADIOGRAPHIER",IF(IF(AO2270=1,AD2270,IF(AO2270=2,AI2270,""))="R","VT REJETÉ – À REPRENDRE",IF(OR(AP2270="CO",AP2270="NT"),"COUPE – À RESOUDER","À RÉPARER"))))))))))</f>
        <v>ACCEPTÉ</v>
      </c>
      <c r="AR2270" s="82" t="str">
        <f aca="false">IF(AND(ISNUMBER(U2270),OR(AQ2270="À RADIOGRAPHIER",AQ2270="RÉPARÉ – À RADIOGRAPHIER",AQ2270="NX – RT À REFAIRE",AQ2270="À RÉPARER",AQ2270="COUPE – À RESOUDER",AQ2270="VT REJETÉ – À REPRENDRE")),MAX(0,'PROGRAMME RT'!$C$4-U2270),"")</f>
        <v/>
      </c>
      <c r="AS2270" s="82" t="n">
        <f aca="false">IF(AND(OR(AQ2270="À RADIOGRAPHIER",AQ2270="RÉPARÉ – À RADIOGRAPHIER",AQ2270="NX – RT À REFAIRE"),OR('PROGRAMME RT'!$D$5="TOUTES",B2270='PROGRAMME RT'!$D$5)),1,0)</f>
        <v>0</v>
      </c>
      <c r="AT2270" s="82" t="str">
        <f aca="false">IF(AS2270=1,SUM(AS$7:AS2270),"")</f>
        <v/>
      </c>
      <c r="AU2270" s="82" t="n">
        <f aca="false">IF(AND(OR(AA2270="R",AA2270="NX",AA2270="NT",AA2270="CO"),OR('JOINTS DE RÉPARATION'!$D$5="TOUTES",B2270='JOINTS DE RÉPARATION'!$D$5),OR('JOINTS DE RÉPARATION'!$L$4="TOUS",AQ2270&lt;&gt;"ACCEPTÉ")),1,0)</f>
        <v>0</v>
      </c>
      <c r="AV2270" s="82" t="str">
        <f aca="false">IF(AU2270=1,SUM(AU$7:AU2270),"")</f>
        <v/>
      </c>
      <c r="AW2270" s="82" t="str">
        <f aca="false">IF(E2270="","",B2270&amp;"|"&amp;E2270)</f>
        <v>MFD-ISW → MFD-CPF|JN°1786</v>
      </c>
    </row>
    <row r="2271" customFormat="false" ht="74.6" hidden="false" customHeight="false" outlineLevel="0" collapsed="false">
      <c r="A2271" s="79" t="n">
        <f aca="false">IF(E2271="","",ROW()-6)</f>
        <v>2265</v>
      </c>
      <c r="B2271" s="80" t="s">
        <v>110</v>
      </c>
      <c r="C2271" s="81" t="s">
        <v>2753</v>
      </c>
      <c r="D2271" s="81" t="n">
        <v>22</v>
      </c>
      <c r="E2271" s="81" t="s">
        <v>2757</v>
      </c>
      <c r="F2271" s="82" t="str">
        <f aca="false">IF(E2271="","",IF(LEFT(E2271,2)="DJ","DJ","JN"))</f>
        <v>JN</v>
      </c>
      <c r="G2271" s="81" t="s">
        <v>1504</v>
      </c>
      <c r="H2271" s="81" t="s">
        <v>871</v>
      </c>
      <c r="I2271" s="81" t="n">
        <v>9.53</v>
      </c>
      <c r="J2271" s="81" t="s">
        <v>872</v>
      </c>
      <c r="K2271" s="81" t="s">
        <v>879</v>
      </c>
      <c r="L2271" s="81" t="n">
        <v>2081790</v>
      </c>
      <c r="M2271" s="81" t="n">
        <v>15421103</v>
      </c>
      <c r="N2271" s="81" t="n">
        <v>11.94</v>
      </c>
      <c r="O2271" s="81" t="n">
        <v>2097930</v>
      </c>
      <c r="P2271" s="81" t="n">
        <v>15421112</v>
      </c>
      <c r="Q2271" s="81" t="n">
        <v>11.94</v>
      </c>
      <c r="R2271" s="81" t="s">
        <v>2748</v>
      </c>
      <c r="S2271" s="81"/>
      <c r="T2271" s="81"/>
      <c r="U2271" s="83" t="n">
        <v>46260</v>
      </c>
      <c r="V2271" s="83" t="n">
        <v>46260</v>
      </c>
      <c r="W2271" s="81" t="s">
        <v>2743</v>
      </c>
      <c r="X2271" s="81" t="s">
        <v>876</v>
      </c>
      <c r="Y2271" s="83" t="n">
        <v>46267</v>
      </c>
      <c r="Z2271" s="81" t="s">
        <v>2693</v>
      </c>
      <c r="AA2271" s="81" t="s">
        <v>876</v>
      </c>
      <c r="AB2271" s="81"/>
      <c r="AC2271" s="81"/>
      <c r="AD2271" s="81"/>
      <c r="AE2271" s="83"/>
      <c r="AF2271" s="81"/>
      <c r="AG2271" s="81"/>
      <c r="AH2271" s="81"/>
      <c r="AI2271" s="81"/>
      <c r="AJ2271" s="83"/>
      <c r="AK2271" s="81"/>
      <c r="AL2271" s="81"/>
      <c r="AM2271" s="83"/>
      <c r="AN2271" s="80"/>
      <c r="AO2271" s="82" t="n">
        <f aca="false">IF(E2271="","",(AA2271&lt;&gt;"")+(AG2271&lt;&gt;"")+(AL2271&lt;&gt;""))</f>
        <v>1</v>
      </c>
      <c r="AP2271" s="82" t="str">
        <f aca="false">IF(AL2271&lt;&gt;"",AL2271,IF(AG2271&lt;&gt;"",AG2271,IF(AA2271&lt;&gt;"",AA2271,"")))</f>
        <v>A</v>
      </c>
      <c r="AQ2271" s="84" t="str">
        <f aca="false">IF(E2271="","",IF(U2271="","À SOUDER",IF(X2271="","VT EN ATTENTE",IF(X2271="R","VT REJETÉ – À REPRENDRE",IF(AP2271="","À RADIOGRAPHIER",IF(AP2271="A","ACCEPTÉ",IF(AP2271="NX","NX – RT À REFAIRE",IF(IF(AO2271=1,AD2271,IF(AO2271=2,AI2271,""))="A","RÉPARÉ – À RADIOGRAPHIER",IF(IF(AO2271=1,AD2271,IF(AO2271=2,AI2271,""))="R","VT REJETÉ – À REPRENDRE",IF(OR(AP2271="CO",AP2271="NT"),"COUPE – À RESOUDER","À RÉPARER"))))))))))</f>
        <v>ACCEPTÉ</v>
      </c>
      <c r="AR2271" s="82" t="str">
        <f aca="false">IF(AND(ISNUMBER(U2271),OR(AQ2271="À RADIOGRAPHIER",AQ2271="RÉPARÉ – À RADIOGRAPHIER",AQ2271="NX – RT À REFAIRE",AQ2271="À RÉPARER",AQ2271="COUPE – À RESOUDER",AQ2271="VT REJETÉ – À REPRENDRE")),MAX(0,'PROGRAMME RT'!$C$4-U2271),"")</f>
        <v/>
      </c>
      <c r="AS2271" s="82" t="n">
        <f aca="false">IF(AND(OR(AQ2271="À RADIOGRAPHIER",AQ2271="RÉPARÉ – À RADIOGRAPHIER",AQ2271="NX – RT À REFAIRE"),OR('PROGRAMME RT'!$D$5="TOUTES",B2271='PROGRAMME RT'!$D$5)),1,0)</f>
        <v>0</v>
      </c>
      <c r="AT2271" s="82" t="str">
        <f aca="false">IF(AS2271=1,SUM(AS$7:AS2271),"")</f>
        <v/>
      </c>
      <c r="AU2271" s="82" t="n">
        <f aca="false">IF(AND(OR(AA2271="R",AA2271="NX",AA2271="NT",AA2271="CO"),OR('JOINTS DE RÉPARATION'!$D$5="TOUTES",B2271='JOINTS DE RÉPARATION'!$D$5),OR('JOINTS DE RÉPARATION'!$L$4="TOUS",AQ2271&lt;&gt;"ACCEPTÉ")),1,0)</f>
        <v>0</v>
      </c>
      <c r="AV2271" s="82" t="str">
        <f aca="false">IF(AU2271=1,SUM(AU$7:AU2271),"")</f>
        <v/>
      </c>
      <c r="AW2271" s="82" t="str">
        <f aca="false">IF(E2271="","",B2271&amp;"|"&amp;E2271)</f>
        <v>MFD-ISW → MFD-CPF|JN°1787</v>
      </c>
    </row>
    <row r="2272" customFormat="false" ht="74.6" hidden="false" customHeight="false" outlineLevel="0" collapsed="false">
      <c r="A2272" s="79" t="n">
        <f aca="false">IF(E2272="","",ROW()-6)</f>
        <v>2266</v>
      </c>
      <c r="B2272" s="80" t="s">
        <v>110</v>
      </c>
      <c r="C2272" s="81" t="s">
        <v>2753</v>
      </c>
      <c r="D2272" s="81" t="n">
        <v>22</v>
      </c>
      <c r="E2272" s="81" t="s">
        <v>2758</v>
      </c>
      <c r="F2272" s="82" t="str">
        <f aca="false">IF(E2272="","",IF(LEFT(E2272,2)="DJ","DJ","JN"))</f>
        <v>JN</v>
      </c>
      <c r="G2272" s="81" t="s">
        <v>1504</v>
      </c>
      <c r="H2272" s="81" t="s">
        <v>871</v>
      </c>
      <c r="I2272" s="81" t="n">
        <v>9.53</v>
      </c>
      <c r="J2272" s="81" t="s">
        <v>872</v>
      </c>
      <c r="K2272" s="81" t="s">
        <v>879</v>
      </c>
      <c r="L2272" s="81" t="n">
        <v>2097930</v>
      </c>
      <c r="M2272" s="81" t="n">
        <v>15421112</v>
      </c>
      <c r="N2272" s="81" t="n">
        <v>11.94</v>
      </c>
      <c r="O2272" s="81" t="n">
        <v>2087660</v>
      </c>
      <c r="P2272" s="81" t="n">
        <v>15421108</v>
      </c>
      <c r="Q2272" s="81" t="n">
        <v>11.94</v>
      </c>
      <c r="R2272" s="81" t="s">
        <v>2748</v>
      </c>
      <c r="S2272" s="81"/>
      <c r="T2272" s="81"/>
      <c r="U2272" s="83" t="n">
        <v>46260</v>
      </c>
      <c r="V2272" s="83" t="n">
        <v>46260</v>
      </c>
      <c r="W2272" s="81" t="s">
        <v>2743</v>
      </c>
      <c r="X2272" s="81" t="s">
        <v>876</v>
      </c>
      <c r="Y2272" s="83" t="n">
        <v>46264</v>
      </c>
      <c r="Z2272" s="81" t="s">
        <v>2749</v>
      </c>
      <c r="AA2272" s="81" t="s">
        <v>876</v>
      </c>
      <c r="AB2272" s="81"/>
      <c r="AC2272" s="81"/>
      <c r="AD2272" s="81"/>
      <c r="AE2272" s="83"/>
      <c r="AF2272" s="81"/>
      <c r="AG2272" s="81"/>
      <c r="AH2272" s="81"/>
      <c r="AI2272" s="81"/>
      <c r="AJ2272" s="83"/>
      <c r="AK2272" s="81"/>
      <c r="AL2272" s="81"/>
      <c r="AM2272" s="83"/>
      <c r="AN2272" s="80"/>
      <c r="AO2272" s="82" t="n">
        <f aca="false">IF(E2272="","",(AA2272&lt;&gt;"")+(AG2272&lt;&gt;"")+(AL2272&lt;&gt;""))</f>
        <v>1</v>
      </c>
      <c r="AP2272" s="82" t="str">
        <f aca="false">IF(AL2272&lt;&gt;"",AL2272,IF(AG2272&lt;&gt;"",AG2272,IF(AA2272&lt;&gt;"",AA2272,"")))</f>
        <v>A</v>
      </c>
      <c r="AQ2272" s="84" t="str">
        <f aca="false">IF(E2272="","",IF(U2272="","À SOUDER",IF(X2272="","VT EN ATTENTE",IF(X2272="R","VT REJETÉ – À REPRENDRE",IF(AP2272="","À RADIOGRAPHIER",IF(AP2272="A","ACCEPTÉ",IF(AP2272="NX","NX – RT À REFAIRE",IF(IF(AO2272=1,AD2272,IF(AO2272=2,AI2272,""))="A","RÉPARÉ – À RADIOGRAPHIER",IF(IF(AO2272=1,AD2272,IF(AO2272=2,AI2272,""))="R","VT REJETÉ – À REPRENDRE",IF(OR(AP2272="CO",AP2272="NT"),"COUPE – À RESOUDER","À RÉPARER"))))))))))</f>
        <v>ACCEPTÉ</v>
      </c>
      <c r="AR2272" s="82" t="str">
        <f aca="false">IF(AND(ISNUMBER(U2272),OR(AQ2272="À RADIOGRAPHIER",AQ2272="RÉPARÉ – À RADIOGRAPHIER",AQ2272="NX – RT À REFAIRE",AQ2272="À RÉPARER",AQ2272="COUPE – À RESOUDER",AQ2272="VT REJETÉ – À REPRENDRE")),MAX(0,'PROGRAMME RT'!$C$4-U2272),"")</f>
        <v/>
      </c>
      <c r="AS2272" s="82" t="n">
        <f aca="false">IF(AND(OR(AQ2272="À RADIOGRAPHIER",AQ2272="RÉPARÉ – À RADIOGRAPHIER",AQ2272="NX – RT À REFAIRE"),OR('PROGRAMME RT'!$D$5="TOUTES",B2272='PROGRAMME RT'!$D$5)),1,0)</f>
        <v>0</v>
      </c>
      <c r="AT2272" s="82" t="str">
        <f aca="false">IF(AS2272=1,SUM(AS$7:AS2272),"")</f>
        <v/>
      </c>
      <c r="AU2272" s="82" t="n">
        <f aca="false">IF(AND(OR(AA2272="R",AA2272="NX",AA2272="NT",AA2272="CO"),OR('JOINTS DE RÉPARATION'!$D$5="TOUTES",B2272='JOINTS DE RÉPARATION'!$D$5),OR('JOINTS DE RÉPARATION'!$L$4="TOUS",AQ2272&lt;&gt;"ACCEPTÉ")),1,0)</f>
        <v>0</v>
      </c>
      <c r="AV2272" s="82" t="str">
        <f aca="false">IF(AU2272=1,SUM(AU$7:AU2272),"")</f>
        <v/>
      </c>
      <c r="AW2272" s="82" t="str">
        <f aca="false">IF(E2272="","",B2272&amp;"|"&amp;E2272)</f>
        <v>MFD-ISW → MFD-CPF|JN°1788</v>
      </c>
    </row>
    <row r="2273" customFormat="false" ht="74.6" hidden="false" customHeight="false" outlineLevel="0" collapsed="false">
      <c r="A2273" s="79" t="n">
        <f aca="false">IF(E2273="","",ROW()-6)</f>
        <v>2267</v>
      </c>
      <c r="B2273" s="80" t="s">
        <v>110</v>
      </c>
      <c r="C2273" s="81" t="s">
        <v>2753</v>
      </c>
      <c r="D2273" s="81" t="n">
        <v>22</v>
      </c>
      <c r="E2273" s="81" t="s">
        <v>2759</v>
      </c>
      <c r="F2273" s="82" t="str">
        <f aca="false">IF(E2273="","",IF(LEFT(E2273,2)="DJ","DJ","JN"))</f>
        <v>JN</v>
      </c>
      <c r="G2273" s="81" t="s">
        <v>1504</v>
      </c>
      <c r="H2273" s="81" t="s">
        <v>871</v>
      </c>
      <c r="I2273" s="81" t="n">
        <v>9.53</v>
      </c>
      <c r="J2273" s="81" t="s">
        <v>872</v>
      </c>
      <c r="K2273" s="81" t="s">
        <v>879</v>
      </c>
      <c r="L2273" s="81" t="n">
        <v>2087660</v>
      </c>
      <c r="M2273" s="81" t="n">
        <v>15421108</v>
      </c>
      <c r="N2273" s="81" t="n">
        <v>11.94</v>
      </c>
      <c r="O2273" s="81" t="n">
        <v>2094300</v>
      </c>
      <c r="P2273" s="81" t="n">
        <v>15421110</v>
      </c>
      <c r="Q2273" s="81" t="n">
        <v>11.94</v>
      </c>
      <c r="R2273" s="81" t="s">
        <v>2748</v>
      </c>
      <c r="S2273" s="81"/>
      <c r="T2273" s="81"/>
      <c r="U2273" s="83" t="n">
        <v>46260</v>
      </c>
      <c r="V2273" s="83" t="n">
        <v>46260</v>
      </c>
      <c r="W2273" s="81" t="s">
        <v>2743</v>
      </c>
      <c r="X2273" s="81" t="s">
        <v>876</v>
      </c>
      <c r="Y2273" s="83" t="n">
        <v>46264</v>
      </c>
      <c r="Z2273" s="81" t="s">
        <v>2749</v>
      </c>
      <c r="AA2273" s="81" t="s">
        <v>876</v>
      </c>
      <c r="AB2273" s="81"/>
      <c r="AC2273" s="81"/>
      <c r="AD2273" s="81"/>
      <c r="AE2273" s="83"/>
      <c r="AF2273" s="81"/>
      <c r="AG2273" s="81"/>
      <c r="AH2273" s="81"/>
      <c r="AI2273" s="81"/>
      <c r="AJ2273" s="83"/>
      <c r="AK2273" s="81"/>
      <c r="AL2273" s="81"/>
      <c r="AM2273" s="83"/>
      <c r="AN2273" s="80"/>
      <c r="AO2273" s="82" t="n">
        <f aca="false">IF(E2273="","",(AA2273&lt;&gt;"")+(AG2273&lt;&gt;"")+(AL2273&lt;&gt;""))</f>
        <v>1</v>
      </c>
      <c r="AP2273" s="82" t="str">
        <f aca="false">IF(AL2273&lt;&gt;"",AL2273,IF(AG2273&lt;&gt;"",AG2273,IF(AA2273&lt;&gt;"",AA2273,"")))</f>
        <v>A</v>
      </c>
      <c r="AQ2273" s="84" t="str">
        <f aca="false">IF(E2273="","",IF(U2273="","À SOUDER",IF(X2273="","VT EN ATTENTE",IF(X2273="R","VT REJETÉ – À REPRENDRE",IF(AP2273="","À RADIOGRAPHIER",IF(AP2273="A","ACCEPTÉ",IF(AP2273="NX","NX – RT À REFAIRE",IF(IF(AO2273=1,AD2273,IF(AO2273=2,AI2273,""))="A","RÉPARÉ – À RADIOGRAPHIER",IF(IF(AO2273=1,AD2273,IF(AO2273=2,AI2273,""))="R","VT REJETÉ – À REPRENDRE",IF(OR(AP2273="CO",AP2273="NT"),"COUPE – À RESOUDER","À RÉPARER"))))))))))</f>
        <v>ACCEPTÉ</v>
      </c>
      <c r="AR2273" s="82" t="str">
        <f aca="false">IF(AND(ISNUMBER(U2273),OR(AQ2273="À RADIOGRAPHIER",AQ2273="RÉPARÉ – À RADIOGRAPHIER",AQ2273="NX – RT À REFAIRE",AQ2273="À RÉPARER",AQ2273="COUPE – À RESOUDER",AQ2273="VT REJETÉ – À REPRENDRE")),MAX(0,'PROGRAMME RT'!$C$4-U2273),"")</f>
        <v/>
      </c>
      <c r="AS2273" s="82" t="n">
        <f aca="false">IF(AND(OR(AQ2273="À RADIOGRAPHIER",AQ2273="RÉPARÉ – À RADIOGRAPHIER",AQ2273="NX – RT À REFAIRE"),OR('PROGRAMME RT'!$D$5="TOUTES",B2273='PROGRAMME RT'!$D$5)),1,0)</f>
        <v>0</v>
      </c>
      <c r="AT2273" s="82" t="str">
        <f aca="false">IF(AS2273=1,SUM(AS$7:AS2273),"")</f>
        <v/>
      </c>
      <c r="AU2273" s="82" t="n">
        <f aca="false">IF(AND(OR(AA2273="R",AA2273="NX",AA2273="NT",AA2273="CO"),OR('JOINTS DE RÉPARATION'!$D$5="TOUTES",B2273='JOINTS DE RÉPARATION'!$D$5),OR('JOINTS DE RÉPARATION'!$L$4="TOUS",AQ2273&lt;&gt;"ACCEPTÉ")),1,0)</f>
        <v>0</v>
      </c>
      <c r="AV2273" s="82" t="str">
        <f aca="false">IF(AU2273=1,SUM(AU$7:AU2273),"")</f>
        <v/>
      </c>
      <c r="AW2273" s="82" t="str">
        <f aca="false">IF(E2273="","",B2273&amp;"|"&amp;E2273)</f>
        <v>MFD-ISW → MFD-CPF|JN°1789</v>
      </c>
    </row>
    <row r="2274" customFormat="false" ht="74.6" hidden="false" customHeight="false" outlineLevel="0" collapsed="false">
      <c r="A2274" s="79" t="n">
        <f aca="false">IF(E2274="","",ROW()-6)</f>
        <v>2268</v>
      </c>
      <c r="B2274" s="80" t="s">
        <v>110</v>
      </c>
      <c r="C2274" s="81" t="s">
        <v>2753</v>
      </c>
      <c r="D2274" s="81" t="n">
        <v>22</v>
      </c>
      <c r="E2274" s="81" t="s">
        <v>2760</v>
      </c>
      <c r="F2274" s="82" t="str">
        <f aca="false">IF(E2274="","",IF(LEFT(E2274,2)="DJ","DJ","JN"))</f>
        <v>JN</v>
      </c>
      <c r="G2274" s="81" t="s">
        <v>1504</v>
      </c>
      <c r="H2274" s="81" t="s">
        <v>871</v>
      </c>
      <c r="I2274" s="81" t="n">
        <v>9.53</v>
      </c>
      <c r="J2274" s="81" t="s">
        <v>872</v>
      </c>
      <c r="K2274" s="81" t="s">
        <v>879</v>
      </c>
      <c r="L2274" s="81" t="n">
        <v>2094300</v>
      </c>
      <c r="M2274" s="81" t="n">
        <v>15421110</v>
      </c>
      <c r="N2274" s="81" t="n">
        <v>11.94</v>
      </c>
      <c r="O2274" s="81" t="n">
        <v>2087210</v>
      </c>
      <c r="P2274" s="81" t="n">
        <v>15421107</v>
      </c>
      <c r="Q2274" s="81" t="n">
        <v>11.94</v>
      </c>
      <c r="R2274" s="81" t="s">
        <v>2748</v>
      </c>
      <c r="S2274" s="81"/>
      <c r="T2274" s="81"/>
      <c r="U2274" s="83" t="n">
        <v>46260</v>
      </c>
      <c r="V2274" s="83" t="n">
        <v>46260</v>
      </c>
      <c r="W2274" s="81" t="s">
        <v>2743</v>
      </c>
      <c r="X2274" s="81" t="s">
        <v>876</v>
      </c>
      <c r="Y2274" s="83" t="n">
        <v>46264</v>
      </c>
      <c r="Z2274" s="81" t="s">
        <v>2749</v>
      </c>
      <c r="AA2274" s="81" t="s">
        <v>876</v>
      </c>
      <c r="AB2274" s="81"/>
      <c r="AC2274" s="81"/>
      <c r="AD2274" s="81"/>
      <c r="AE2274" s="83"/>
      <c r="AF2274" s="81"/>
      <c r="AG2274" s="81"/>
      <c r="AH2274" s="81"/>
      <c r="AI2274" s="81"/>
      <c r="AJ2274" s="83"/>
      <c r="AK2274" s="81"/>
      <c r="AL2274" s="81"/>
      <c r="AM2274" s="83"/>
      <c r="AN2274" s="80"/>
      <c r="AO2274" s="82" t="n">
        <f aca="false">IF(E2274="","",(AA2274&lt;&gt;"")+(AG2274&lt;&gt;"")+(AL2274&lt;&gt;""))</f>
        <v>1</v>
      </c>
      <c r="AP2274" s="82" t="str">
        <f aca="false">IF(AL2274&lt;&gt;"",AL2274,IF(AG2274&lt;&gt;"",AG2274,IF(AA2274&lt;&gt;"",AA2274,"")))</f>
        <v>A</v>
      </c>
      <c r="AQ2274" s="84" t="str">
        <f aca="false">IF(E2274="","",IF(U2274="","À SOUDER",IF(X2274="","VT EN ATTENTE",IF(X2274="R","VT REJETÉ – À REPRENDRE",IF(AP2274="","À RADIOGRAPHIER",IF(AP2274="A","ACCEPTÉ",IF(AP2274="NX","NX – RT À REFAIRE",IF(IF(AO2274=1,AD2274,IF(AO2274=2,AI2274,""))="A","RÉPARÉ – À RADIOGRAPHIER",IF(IF(AO2274=1,AD2274,IF(AO2274=2,AI2274,""))="R","VT REJETÉ – À REPRENDRE",IF(OR(AP2274="CO",AP2274="NT"),"COUPE – À RESOUDER","À RÉPARER"))))))))))</f>
        <v>ACCEPTÉ</v>
      </c>
      <c r="AR2274" s="82" t="str">
        <f aca="false">IF(AND(ISNUMBER(U2274),OR(AQ2274="À RADIOGRAPHIER",AQ2274="RÉPARÉ – À RADIOGRAPHIER",AQ2274="NX – RT À REFAIRE",AQ2274="À RÉPARER",AQ2274="COUPE – À RESOUDER",AQ2274="VT REJETÉ – À REPRENDRE")),MAX(0,'PROGRAMME RT'!$C$4-U2274),"")</f>
        <v/>
      </c>
      <c r="AS2274" s="82" t="n">
        <f aca="false">IF(AND(OR(AQ2274="À RADIOGRAPHIER",AQ2274="RÉPARÉ – À RADIOGRAPHIER",AQ2274="NX – RT À REFAIRE"),OR('PROGRAMME RT'!$D$5="TOUTES",B2274='PROGRAMME RT'!$D$5)),1,0)</f>
        <v>0</v>
      </c>
      <c r="AT2274" s="82" t="str">
        <f aca="false">IF(AS2274=1,SUM(AS$7:AS2274),"")</f>
        <v/>
      </c>
      <c r="AU2274" s="82" t="n">
        <f aca="false">IF(AND(OR(AA2274="R",AA2274="NX",AA2274="NT",AA2274="CO"),OR('JOINTS DE RÉPARATION'!$D$5="TOUTES",B2274='JOINTS DE RÉPARATION'!$D$5),OR('JOINTS DE RÉPARATION'!$L$4="TOUS",AQ2274&lt;&gt;"ACCEPTÉ")),1,0)</f>
        <v>0</v>
      </c>
      <c r="AV2274" s="82" t="str">
        <f aca="false">IF(AU2274=1,SUM(AU$7:AU2274),"")</f>
        <v/>
      </c>
      <c r="AW2274" s="82" t="str">
        <f aca="false">IF(E2274="","",B2274&amp;"|"&amp;E2274)</f>
        <v>MFD-ISW → MFD-CPF|JN°1790</v>
      </c>
    </row>
    <row r="2275" customFormat="false" ht="74.6" hidden="false" customHeight="false" outlineLevel="0" collapsed="false">
      <c r="A2275" s="79" t="n">
        <f aca="false">IF(E2275="","",ROW()-6)</f>
        <v>2269</v>
      </c>
      <c r="B2275" s="80" t="s">
        <v>110</v>
      </c>
      <c r="C2275" s="81" t="s">
        <v>2753</v>
      </c>
      <c r="D2275" s="81" t="n">
        <v>22</v>
      </c>
      <c r="E2275" s="81" t="s">
        <v>2761</v>
      </c>
      <c r="F2275" s="82" t="str">
        <f aca="false">IF(E2275="","",IF(LEFT(E2275,2)="DJ","DJ","JN"))</f>
        <v>JN</v>
      </c>
      <c r="G2275" s="81" t="s">
        <v>1504</v>
      </c>
      <c r="H2275" s="81" t="s">
        <v>871</v>
      </c>
      <c r="I2275" s="81" t="n">
        <v>9.53</v>
      </c>
      <c r="J2275" s="81" t="s">
        <v>872</v>
      </c>
      <c r="K2275" s="81" t="s">
        <v>879</v>
      </c>
      <c r="L2275" s="81" t="n">
        <v>2087210</v>
      </c>
      <c r="M2275" s="81" t="n">
        <v>15421107</v>
      </c>
      <c r="N2275" s="81" t="n">
        <v>11.94</v>
      </c>
      <c r="O2275" s="81" t="n">
        <v>2082870</v>
      </c>
      <c r="P2275" s="81" t="n">
        <v>15421109</v>
      </c>
      <c r="Q2275" s="81" t="n">
        <v>11.94</v>
      </c>
      <c r="R2275" s="81" t="s">
        <v>2748</v>
      </c>
      <c r="S2275" s="81"/>
      <c r="T2275" s="81"/>
      <c r="U2275" s="83" t="n">
        <v>46260</v>
      </c>
      <c r="V2275" s="83" t="n">
        <v>46260</v>
      </c>
      <c r="W2275" s="81" t="s">
        <v>2743</v>
      </c>
      <c r="X2275" s="81" t="s">
        <v>876</v>
      </c>
      <c r="Y2275" s="83" t="n">
        <v>46264</v>
      </c>
      <c r="Z2275" s="81" t="s">
        <v>2749</v>
      </c>
      <c r="AA2275" s="81" t="s">
        <v>876</v>
      </c>
      <c r="AB2275" s="81"/>
      <c r="AC2275" s="81"/>
      <c r="AD2275" s="81"/>
      <c r="AE2275" s="83"/>
      <c r="AF2275" s="81"/>
      <c r="AG2275" s="81"/>
      <c r="AH2275" s="81"/>
      <c r="AI2275" s="81"/>
      <c r="AJ2275" s="83"/>
      <c r="AK2275" s="81"/>
      <c r="AL2275" s="81"/>
      <c r="AM2275" s="83"/>
      <c r="AN2275" s="80"/>
      <c r="AO2275" s="82" t="n">
        <f aca="false">IF(E2275="","",(AA2275&lt;&gt;"")+(AG2275&lt;&gt;"")+(AL2275&lt;&gt;""))</f>
        <v>1</v>
      </c>
      <c r="AP2275" s="82" t="str">
        <f aca="false">IF(AL2275&lt;&gt;"",AL2275,IF(AG2275&lt;&gt;"",AG2275,IF(AA2275&lt;&gt;"",AA2275,"")))</f>
        <v>A</v>
      </c>
      <c r="AQ2275" s="84" t="str">
        <f aca="false">IF(E2275="","",IF(U2275="","À SOUDER",IF(X2275="","VT EN ATTENTE",IF(X2275="R","VT REJETÉ – À REPRENDRE",IF(AP2275="","À RADIOGRAPHIER",IF(AP2275="A","ACCEPTÉ",IF(AP2275="NX","NX – RT À REFAIRE",IF(IF(AO2275=1,AD2275,IF(AO2275=2,AI2275,""))="A","RÉPARÉ – À RADIOGRAPHIER",IF(IF(AO2275=1,AD2275,IF(AO2275=2,AI2275,""))="R","VT REJETÉ – À REPRENDRE",IF(OR(AP2275="CO",AP2275="NT"),"COUPE – À RESOUDER","À RÉPARER"))))))))))</f>
        <v>ACCEPTÉ</v>
      </c>
      <c r="AR2275" s="82" t="str">
        <f aca="false">IF(AND(ISNUMBER(U2275),OR(AQ2275="À RADIOGRAPHIER",AQ2275="RÉPARÉ – À RADIOGRAPHIER",AQ2275="NX – RT À REFAIRE",AQ2275="À RÉPARER",AQ2275="COUPE – À RESOUDER",AQ2275="VT REJETÉ – À REPRENDRE")),MAX(0,'PROGRAMME RT'!$C$4-U2275),"")</f>
        <v/>
      </c>
      <c r="AS2275" s="82" t="n">
        <f aca="false">IF(AND(OR(AQ2275="À RADIOGRAPHIER",AQ2275="RÉPARÉ – À RADIOGRAPHIER",AQ2275="NX – RT À REFAIRE"),OR('PROGRAMME RT'!$D$5="TOUTES",B2275='PROGRAMME RT'!$D$5)),1,0)</f>
        <v>0</v>
      </c>
      <c r="AT2275" s="82" t="str">
        <f aca="false">IF(AS2275=1,SUM(AS$7:AS2275),"")</f>
        <v/>
      </c>
      <c r="AU2275" s="82" t="n">
        <f aca="false">IF(AND(OR(AA2275="R",AA2275="NX",AA2275="NT",AA2275="CO"),OR('JOINTS DE RÉPARATION'!$D$5="TOUTES",B2275='JOINTS DE RÉPARATION'!$D$5),OR('JOINTS DE RÉPARATION'!$L$4="TOUS",AQ2275&lt;&gt;"ACCEPTÉ")),1,0)</f>
        <v>0</v>
      </c>
      <c r="AV2275" s="82" t="str">
        <f aca="false">IF(AU2275=1,SUM(AU$7:AU2275),"")</f>
        <v/>
      </c>
      <c r="AW2275" s="82" t="str">
        <f aca="false">IF(E2275="","",B2275&amp;"|"&amp;E2275)</f>
        <v>MFD-ISW → MFD-CPF|JN°1791</v>
      </c>
    </row>
    <row r="2276" customFormat="false" ht="74.6" hidden="false" customHeight="false" outlineLevel="0" collapsed="false">
      <c r="A2276" s="79" t="n">
        <f aca="false">IF(E2276="","",ROW()-6)</f>
        <v>2270</v>
      </c>
      <c r="B2276" s="80" t="s">
        <v>110</v>
      </c>
      <c r="C2276" s="81" t="s">
        <v>926</v>
      </c>
      <c r="D2276" s="81" t="n">
        <v>22</v>
      </c>
      <c r="E2276" s="81" t="s">
        <v>2762</v>
      </c>
      <c r="F2276" s="82" t="str">
        <f aca="false">IF(E2276="","",IF(LEFT(E2276,2)="DJ","DJ","JN"))</f>
        <v>JN</v>
      </c>
      <c r="G2276" s="81"/>
      <c r="H2276" s="81"/>
      <c r="I2276" s="81"/>
      <c r="J2276" s="81"/>
      <c r="K2276" s="81"/>
      <c r="L2276" s="81" t="n">
        <v>2082870</v>
      </c>
      <c r="M2276" s="81" t="n">
        <v>15421109</v>
      </c>
      <c r="N2276" s="81" t="n">
        <v>11.94</v>
      </c>
      <c r="O2276" s="81"/>
      <c r="P2276" s="81"/>
      <c r="Q2276" s="81"/>
      <c r="R2276" s="81"/>
      <c r="S2276" s="81"/>
      <c r="T2276" s="81"/>
      <c r="U2276" s="83"/>
      <c r="V2276" s="83"/>
      <c r="W2276" s="81"/>
      <c r="X2276" s="81"/>
      <c r="Y2276" s="83"/>
      <c r="Z2276" s="81"/>
      <c r="AA2276" s="81"/>
      <c r="AB2276" s="81"/>
      <c r="AC2276" s="81"/>
      <c r="AD2276" s="81"/>
      <c r="AE2276" s="83"/>
      <c r="AF2276" s="81"/>
      <c r="AG2276" s="81"/>
      <c r="AH2276" s="81"/>
      <c r="AI2276" s="81"/>
      <c r="AJ2276" s="83"/>
      <c r="AK2276" s="81"/>
      <c r="AL2276" s="81"/>
      <c r="AM2276" s="83"/>
      <c r="AN2276" s="80"/>
      <c r="AO2276" s="82" t="n">
        <f aca="false">IF(E2276="","",(AA2276&lt;&gt;"")+(AG2276&lt;&gt;"")+(AL2276&lt;&gt;""))</f>
        <v>0</v>
      </c>
      <c r="AP2276" s="82" t="str">
        <f aca="false">IF(AL2276&lt;&gt;"",AL2276,IF(AG2276&lt;&gt;"",AG2276,IF(AA2276&lt;&gt;"",AA2276,"")))</f>
        <v/>
      </c>
      <c r="AQ2276" s="84" t="str">
        <f aca="false">IF(E2276="","",IF(U2276="","À SOUDER",IF(X2276="","VT EN ATTENTE",IF(X2276="R","VT REJETÉ – À REPRENDRE",IF(AP2276="","À RADIOGRAPHIER",IF(AP2276="A","ACCEPTÉ",IF(AP2276="NX","NX – RT À REFAIRE",IF(IF(AO2276=1,AD2276,IF(AO2276=2,AI2276,""))="A","RÉPARÉ – À RADIOGRAPHIER",IF(IF(AO2276=1,AD2276,IF(AO2276=2,AI2276,""))="R","VT REJETÉ – À REPRENDRE",IF(OR(AP2276="CO",AP2276="NT"),"COUPE – À RESOUDER","À RÉPARER"))))))))))</f>
        <v>À SOUDER</v>
      </c>
      <c r="AR2276" s="82" t="str">
        <f aca="false">IF(AND(ISNUMBER(U2276),OR(AQ2276="À RADIOGRAPHIER",AQ2276="RÉPARÉ – À RADIOGRAPHIER",AQ2276="NX – RT À REFAIRE",AQ2276="À RÉPARER",AQ2276="COUPE – À RESOUDER",AQ2276="VT REJETÉ – À REPRENDRE")),MAX(0,'PROGRAMME RT'!$C$4-U2276),"")</f>
        <v/>
      </c>
      <c r="AS2276" s="82" t="n">
        <f aca="false">IF(AND(OR(AQ2276="À RADIOGRAPHIER",AQ2276="RÉPARÉ – À RADIOGRAPHIER",AQ2276="NX – RT À REFAIRE"),OR('PROGRAMME RT'!$D$5="TOUTES",B2276='PROGRAMME RT'!$D$5)),1,0)</f>
        <v>0</v>
      </c>
      <c r="AT2276" s="82" t="str">
        <f aca="false">IF(AS2276=1,SUM(AS$7:AS2276),"")</f>
        <v/>
      </c>
      <c r="AU2276" s="82" t="n">
        <f aca="false">IF(AND(OR(AA2276="R",AA2276="NX",AA2276="NT",AA2276="CO"),OR('JOINTS DE RÉPARATION'!$D$5="TOUTES",B2276='JOINTS DE RÉPARATION'!$D$5),OR('JOINTS DE RÉPARATION'!$L$4="TOUS",AQ2276&lt;&gt;"ACCEPTÉ")),1,0)</f>
        <v>0</v>
      </c>
      <c r="AV2276" s="82" t="str">
        <f aca="false">IF(AU2276=1,SUM(AU$7:AU2276),"")</f>
        <v/>
      </c>
      <c r="AW2276" s="82" t="str">
        <f aca="false">IF(E2276="","",B2276&amp;"|"&amp;E2276)</f>
        <v>MFD-ISW → MFD-CPF|JN°1792</v>
      </c>
    </row>
    <row r="2277" customFormat="false" ht="74.6" hidden="false" customHeight="false" outlineLevel="0" collapsed="false">
      <c r="A2277" s="79" t="n">
        <f aca="false">IF(E2277="","",ROW()-6)</f>
        <v>2271</v>
      </c>
      <c r="B2277" s="80" t="s">
        <v>110</v>
      </c>
      <c r="C2277" s="81" t="s">
        <v>926</v>
      </c>
      <c r="D2277" s="81" t="n">
        <v>22</v>
      </c>
      <c r="E2277" s="81" t="s">
        <v>2763</v>
      </c>
      <c r="F2277" s="82" t="str">
        <f aca="false">IF(E2277="","",IF(LEFT(E2277,2)="DJ","DJ","JN"))</f>
        <v>JN</v>
      </c>
      <c r="G2277" s="81"/>
      <c r="H2277" s="81"/>
      <c r="I2277" s="81"/>
      <c r="J2277" s="81"/>
      <c r="K2277" s="81"/>
      <c r="L2277" s="81"/>
      <c r="M2277" s="81"/>
      <c r="N2277" s="81"/>
      <c r="O2277" s="81"/>
      <c r="P2277" s="81"/>
      <c r="Q2277" s="81"/>
      <c r="R2277" s="81"/>
      <c r="S2277" s="81"/>
      <c r="T2277" s="81"/>
      <c r="U2277" s="83"/>
      <c r="V2277" s="83"/>
      <c r="W2277" s="81"/>
      <c r="X2277" s="81"/>
      <c r="Y2277" s="83"/>
      <c r="Z2277" s="81"/>
      <c r="AA2277" s="81"/>
      <c r="AB2277" s="81"/>
      <c r="AC2277" s="81"/>
      <c r="AD2277" s="81"/>
      <c r="AE2277" s="83"/>
      <c r="AF2277" s="81"/>
      <c r="AG2277" s="81"/>
      <c r="AH2277" s="81"/>
      <c r="AI2277" s="81"/>
      <c r="AJ2277" s="83"/>
      <c r="AK2277" s="81"/>
      <c r="AL2277" s="81"/>
      <c r="AM2277" s="83"/>
      <c r="AN2277" s="80"/>
      <c r="AO2277" s="82" t="n">
        <f aca="false">IF(E2277="","",(AA2277&lt;&gt;"")+(AG2277&lt;&gt;"")+(AL2277&lt;&gt;""))</f>
        <v>0</v>
      </c>
      <c r="AP2277" s="82" t="str">
        <f aca="false">IF(AL2277&lt;&gt;"",AL2277,IF(AG2277&lt;&gt;"",AG2277,IF(AA2277&lt;&gt;"",AA2277,"")))</f>
        <v/>
      </c>
      <c r="AQ2277" s="84" t="str">
        <f aca="false">IF(E2277="","",IF(U2277="","À SOUDER",IF(X2277="","VT EN ATTENTE",IF(X2277="R","VT REJETÉ – À REPRENDRE",IF(AP2277="","À RADIOGRAPHIER",IF(AP2277="A","ACCEPTÉ",IF(AP2277="NX","NX – RT À REFAIRE",IF(IF(AO2277=1,AD2277,IF(AO2277=2,AI2277,""))="A","RÉPARÉ – À RADIOGRAPHIER",IF(IF(AO2277=1,AD2277,IF(AO2277=2,AI2277,""))="R","VT REJETÉ – À REPRENDRE",IF(OR(AP2277="CO",AP2277="NT"),"COUPE – À RESOUDER","À RÉPARER"))))))))))</f>
        <v>À SOUDER</v>
      </c>
      <c r="AR2277" s="82" t="str">
        <f aca="false">IF(AND(ISNUMBER(U2277),OR(AQ2277="À RADIOGRAPHIER",AQ2277="RÉPARÉ – À RADIOGRAPHIER",AQ2277="NX – RT À REFAIRE",AQ2277="À RÉPARER",AQ2277="COUPE – À RESOUDER",AQ2277="VT REJETÉ – À REPRENDRE")),MAX(0,'PROGRAMME RT'!$C$4-U2277),"")</f>
        <v/>
      </c>
      <c r="AS2277" s="82" t="n">
        <f aca="false">IF(AND(OR(AQ2277="À RADIOGRAPHIER",AQ2277="RÉPARÉ – À RADIOGRAPHIER",AQ2277="NX – RT À REFAIRE"),OR('PROGRAMME RT'!$D$5="TOUTES",B2277='PROGRAMME RT'!$D$5)),1,0)</f>
        <v>0</v>
      </c>
      <c r="AT2277" s="82" t="str">
        <f aca="false">IF(AS2277=1,SUM(AS$7:AS2277),"")</f>
        <v/>
      </c>
      <c r="AU2277" s="82" t="n">
        <f aca="false">IF(AND(OR(AA2277="R",AA2277="NX",AA2277="NT",AA2277="CO"),OR('JOINTS DE RÉPARATION'!$D$5="TOUTES",B2277='JOINTS DE RÉPARATION'!$D$5),OR('JOINTS DE RÉPARATION'!$L$4="TOUS",AQ2277&lt;&gt;"ACCEPTÉ")),1,0)</f>
        <v>0</v>
      </c>
      <c r="AV2277" s="82" t="str">
        <f aca="false">IF(AU2277=1,SUM(AU$7:AU2277),"")</f>
        <v/>
      </c>
      <c r="AW2277" s="82" t="str">
        <f aca="false">IF(E2277="","",B2277&amp;"|"&amp;E2277)</f>
        <v>MFD-ISW → MFD-CPF|JN°1793</v>
      </c>
    </row>
    <row r="2278" customFormat="false" ht="74.6" hidden="false" customHeight="false" outlineLevel="0" collapsed="false">
      <c r="A2278" s="79" t="n">
        <f aca="false">IF(E2278="","",ROW()-6)</f>
        <v>2272</v>
      </c>
      <c r="B2278" s="80" t="s">
        <v>110</v>
      </c>
      <c r="C2278" s="81" t="s">
        <v>926</v>
      </c>
      <c r="D2278" s="81" t="n">
        <v>22</v>
      </c>
      <c r="E2278" s="81" t="s">
        <v>2764</v>
      </c>
      <c r="F2278" s="82" t="str">
        <f aca="false">IF(E2278="","",IF(LEFT(E2278,2)="DJ","DJ","JN"))</f>
        <v>JN</v>
      </c>
      <c r="G2278" s="81"/>
      <c r="H2278" s="81"/>
      <c r="I2278" s="81"/>
      <c r="J2278" s="81"/>
      <c r="K2278" s="81"/>
      <c r="L2278" s="81"/>
      <c r="M2278" s="81"/>
      <c r="N2278" s="81"/>
      <c r="O2278" s="81" t="n">
        <v>2098360</v>
      </c>
      <c r="P2278" s="81" t="n">
        <v>15421112</v>
      </c>
      <c r="Q2278" s="81" t="n">
        <v>11.94</v>
      </c>
      <c r="R2278" s="81"/>
      <c r="S2278" s="81"/>
      <c r="T2278" s="81"/>
      <c r="U2278" s="83"/>
      <c r="V2278" s="83"/>
      <c r="W2278" s="81"/>
      <c r="X2278" s="81"/>
      <c r="Y2278" s="83"/>
      <c r="Z2278" s="81"/>
      <c r="AA2278" s="81"/>
      <c r="AB2278" s="81"/>
      <c r="AC2278" s="81"/>
      <c r="AD2278" s="81"/>
      <c r="AE2278" s="83"/>
      <c r="AF2278" s="81"/>
      <c r="AG2278" s="81"/>
      <c r="AH2278" s="81"/>
      <c r="AI2278" s="81"/>
      <c r="AJ2278" s="83"/>
      <c r="AK2278" s="81"/>
      <c r="AL2278" s="81"/>
      <c r="AM2278" s="83"/>
      <c r="AN2278" s="80"/>
      <c r="AO2278" s="82" t="n">
        <f aca="false">IF(E2278="","",(AA2278&lt;&gt;"")+(AG2278&lt;&gt;"")+(AL2278&lt;&gt;""))</f>
        <v>0</v>
      </c>
      <c r="AP2278" s="82" t="str">
        <f aca="false">IF(AL2278&lt;&gt;"",AL2278,IF(AG2278&lt;&gt;"",AG2278,IF(AA2278&lt;&gt;"",AA2278,"")))</f>
        <v/>
      </c>
      <c r="AQ2278" s="84" t="str">
        <f aca="false">IF(E2278="","",IF(U2278="","À SOUDER",IF(X2278="","VT EN ATTENTE",IF(X2278="R","VT REJETÉ – À REPRENDRE",IF(AP2278="","À RADIOGRAPHIER",IF(AP2278="A","ACCEPTÉ",IF(AP2278="NX","NX – RT À REFAIRE",IF(IF(AO2278=1,AD2278,IF(AO2278=2,AI2278,""))="A","RÉPARÉ – À RADIOGRAPHIER",IF(IF(AO2278=1,AD2278,IF(AO2278=2,AI2278,""))="R","VT REJETÉ – À REPRENDRE",IF(OR(AP2278="CO",AP2278="NT"),"COUPE – À RESOUDER","À RÉPARER"))))))))))</f>
        <v>À SOUDER</v>
      </c>
      <c r="AR2278" s="82" t="str">
        <f aca="false">IF(AND(ISNUMBER(U2278),OR(AQ2278="À RADIOGRAPHIER",AQ2278="RÉPARÉ – À RADIOGRAPHIER",AQ2278="NX – RT À REFAIRE",AQ2278="À RÉPARER",AQ2278="COUPE – À RESOUDER",AQ2278="VT REJETÉ – À REPRENDRE")),MAX(0,'PROGRAMME RT'!$C$4-U2278),"")</f>
        <v/>
      </c>
      <c r="AS2278" s="82" t="n">
        <f aca="false">IF(AND(OR(AQ2278="À RADIOGRAPHIER",AQ2278="RÉPARÉ – À RADIOGRAPHIER",AQ2278="NX – RT À REFAIRE"),OR('PROGRAMME RT'!$D$5="TOUTES",B2278='PROGRAMME RT'!$D$5)),1,0)</f>
        <v>0</v>
      </c>
      <c r="AT2278" s="82" t="str">
        <f aca="false">IF(AS2278=1,SUM(AS$7:AS2278),"")</f>
        <v/>
      </c>
      <c r="AU2278" s="82" t="n">
        <f aca="false">IF(AND(OR(AA2278="R",AA2278="NX",AA2278="NT",AA2278="CO"),OR('JOINTS DE RÉPARATION'!$D$5="TOUTES",B2278='JOINTS DE RÉPARATION'!$D$5),OR('JOINTS DE RÉPARATION'!$L$4="TOUS",AQ2278&lt;&gt;"ACCEPTÉ")),1,0)</f>
        <v>0</v>
      </c>
      <c r="AV2278" s="82" t="str">
        <f aca="false">IF(AU2278=1,SUM(AU$7:AU2278),"")</f>
        <v/>
      </c>
      <c r="AW2278" s="82" t="str">
        <f aca="false">IF(E2278="","",B2278&amp;"|"&amp;E2278)</f>
        <v>MFD-ISW → MFD-CPF|JN°1794</v>
      </c>
    </row>
    <row r="2279" customFormat="false" ht="74.6" hidden="false" customHeight="false" outlineLevel="0" collapsed="false">
      <c r="A2279" s="79" t="n">
        <f aca="false">IF(E2279="","",ROW()-6)</f>
        <v>2273</v>
      </c>
      <c r="B2279" s="80" t="s">
        <v>110</v>
      </c>
      <c r="C2279" s="81" t="s">
        <v>2765</v>
      </c>
      <c r="D2279" s="81" t="n">
        <v>22</v>
      </c>
      <c r="E2279" s="81" t="s">
        <v>2766</v>
      </c>
      <c r="F2279" s="82" t="str">
        <f aca="false">IF(E2279="","",IF(LEFT(E2279,2)="DJ","DJ","JN"))</f>
        <v>JN</v>
      </c>
      <c r="G2279" s="81" t="s">
        <v>1504</v>
      </c>
      <c r="H2279" s="81" t="s">
        <v>871</v>
      </c>
      <c r="I2279" s="81" t="n">
        <v>9.53</v>
      </c>
      <c r="J2279" s="81" t="s">
        <v>872</v>
      </c>
      <c r="K2279" s="81" t="s">
        <v>879</v>
      </c>
      <c r="L2279" s="81" t="n">
        <v>2098360</v>
      </c>
      <c r="M2279" s="81" t="n">
        <v>15421112</v>
      </c>
      <c r="N2279" s="81" t="n">
        <v>11.94</v>
      </c>
      <c r="O2279" s="81" t="n">
        <v>2094820</v>
      </c>
      <c r="P2279" s="81" t="n">
        <v>15421111</v>
      </c>
      <c r="Q2279" s="81" t="n">
        <v>11.94</v>
      </c>
      <c r="R2279" s="81" t="s">
        <v>2748</v>
      </c>
      <c r="S2279" s="81"/>
      <c r="T2279" s="81"/>
      <c r="U2279" s="83" t="n">
        <v>46260</v>
      </c>
      <c r="V2279" s="83" t="n">
        <v>46260</v>
      </c>
      <c r="W2279" s="81" t="s">
        <v>2743</v>
      </c>
      <c r="X2279" s="81" t="s">
        <v>876</v>
      </c>
      <c r="Y2279" s="83" t="n">
        <v>46264</v>
      </c>
      <c r="Z2279" s="81" t="s">
        <v>2749</v>
      </c>
      <c r="AA2279" s="81" t="s">
        <v>876</v>
      </c>
      <c r="AB2279" s="81"/>
      <c r="AC2279" s="81"/>
      <c r="AD2279" s="81"/>
      <c r="AE2279" s="83"/>
      <c r="AF2279" s="81"/>
      <c r="AG2279" s="81"/>
      <c r="AH2279" s="81"/>
      <c r="AI2279" s="81"/>
      <c r="AJ2279" s="83"/>
      <c r="AK2279" s="81"/>
      <c r="AL2279" s="81"/>
      <c r="AM2279" s="83"/>
      <c r="AN2279" s="80"/>
      <c r="AO2279" s="82" t="n">
        <f aca="false">IF(E2279="","",(AA2279&lt;&gt;"")+(AG2279&lt;&gt;"")+(AL2279&lt;&gt;""))</f>
        <v>1</v>
      </c>
      <c r="AP2279" s="82" t="str">
        <f aca="false">IF(AL2279&lt;&gt;"",AL2279,IF(AG2279&lt;&gt;"",AG2279,IF(AA2279&lt;&gt;"",AA2279,"")))</f>
        <v>A</v>
      </c>
      <c r="AQ2279" s="84" t="str">
        <f aca="false">IF(E2279="","",IF(U2279="","À SOUDER",IF(X2279="","VT EN ATTENTE",IF(X2279="R","VT REJETÉ – À REPRENDRE",IF(AP2279="","À RADIOGRAPHIER",IF(AP2279="A","ACCEPTÉ",IF(AP2279="NX","NX – RT À REFAIRE",IF(IF(AO2279=1,AD2279,IF(AO2279=2,AI2279,""))="A","RÉPARÉ – À RADIOGRAPHIER",IF(IF(AO2279=1,AD2279,IF(AO2279=2,AI2279,""))="R","VT REJETÉ – À REPRENDRE",IF(OR(AP2279="CO",AP2279="NT"),"COUPE – À RESOUDER","À RÉPARER"))))))))))</f>
        <v>ACCEPTÉ</v>
      </c>
      <c r="AR2279" s="82" t="str">
        <f aca="false">IF(AND(ISNUMBER(U2279),OR(AQ2279="À RADIOGRAPHIER",AQ2279="RÉPARÉ – À RADIOGRAPHIER",AQ2279="NX – RT À REFAIRE",AQ2279="À RÉPARER",AQ2279="COUPE – À RESOUDER",AQ2279="VT REJETÉ – À REPRENDRE")),MAX(0,'PROGRAMME RT'!$C$4-U2279),"")</f>
        <v/>
      </c>
      <c r="AS2279" s="82" t="n">
        <f aca="false">IF(AND(OR(AQ2279="À RADIOGRAPHIER",AQ2279="RÉPARÉ – À RADIOGRAPHIER",AQ2279="NX – RT À REFAIRE"),OR('PROGRAMME RT'!$D$5="TOUTES",B2279='PROGRAMME RT'!$D$5)),1,0)</f>
        <v>0</v>
      </c>
      <c r="AT2279" s="82" t="str">
        <f aca="false">IF(AS2279=1,SUM(AS$7:AS2279),"")</f>
        <v/>
      </c>
      <c r="AU2279" s="82" t="n">
        <f aca="false">IF(AND(OR(AA2279="R",AA2279="NX",AA2279="NT",AA2279="CO"),OR('JOINTS DE RÉPARATION'!$D$5="TOUTES",B2279='JOINTS DE RÉPARATION'!$D$5),OR('JOINTS DE RÉPARATION'!$L$4="TOUS",AQ2279&lt;&gt;"ACCEPTÉ")),1,0)</f>
        <v>0</v>
      </c>
      <c r="AV2279" s="82" t="str">
        <f aca="false">IF(AU2279=1,SUM(AU$7:AU2279),"")</f>
        <v/>
      </c>
      <c r="AW2279" s="82" t="str">
        <f aca="false">IF(E2279="","",B2279&amp;"|"&amp;E2279)</f>
        <v>MFD-ISW → MFD-CPF|JN°1795</v>
      </c>
    </row>
    <row r="2280" customFormat="false" ht="74.6" hidden="false" customHeight="false" outlineLevel="0" collapsed="false">
      <c r="A2280" s="79" t="n">
        <f aca="false">IF(E2280="","",ROW()-6)</f>
        <v>2274</v>
      </c>
      <c r="B2280" s="80" t="s">
        <v>110</v>
      </c>
      <c r="C2280" s="81" t="s">
        <v>2765</v>
      </c>
      <c r="D2280" s="81" t="n">
        <v>22</v>
      </c>
      <c r="E2280" s="81" t="s">
        <v>2767</v>
      </c>
      <c r="F2280" s="82" t="str">
        <f aca="false">IF(E2280="","",IF(LEFT(E2280,2)="DJ","DJ","JN"))</f>
        <v>JN</v>
      </c>
      <c r="G2280" s="81" t="s">
        <v>1504</v>
      </c>
      <c r="H2280" s="81" t="s">
        <v>871</v>
      </c>
      <c r="I2280" s="81" t="n">
        <v>9.53</v>
      </c>
      <c r="J2280" s="81" t="s">
        <v>872</v>
      </c>
      <c r="K2280" s="81" t="s">
        <v>879</v>
      </c>
      <c r="L2280" s="81" t="n">
        <v>2094820</v>
      </c>
      <c r="M2280" s="81" t="n">
        <v>15421111</v>
      </c>
      <c r="N2280" s="81" t="n">
        <v>11.94</v>
      </c>
      <c r="O2280" s="81" t="n">
        <v>2089580</v>
      </c>
      <c r="P2280" s="81" t="n">
        <v>15421109</v>
      </c>
      <c r="Q2280" s="81" t="n">
        <v>11.94</v>
      </c>
      <c r="R2280" s="81" t="s">
        <v>2748</v>
      </c>
      <c r="S2280" s="81"/>
      <c r="T2280" s="81"/>
      <c r="U2280" s="83" t="n">
        <v>46260</v>
      </c>
      <c r="V2280" s="83" t="n">
        <v>46260</v>
      </c>
      <c r="W2280" s="81" t="s">
        <v>2743</v>
      </c>
      <c r="X2280" s="81" t="s">
        <v>876</v>
      </c>
      <c r="Y2280" s="83" t="n">
        <v>46264</v>
      </c>
      <c r="Z2280" s="81" t="s">
        <v>2749</v>
      </c>
      <c r="AA2280" s="81" t="s">
        <v>876</v>
      </c>
      <c r="AB2280" s="81"/>
      <c r="AC2280" s="81"/>
      <c r="AD2280" s="81"/>
      <c r="AE2280" s="83"/>
      <c r="AF2280" s="81"/>
      <c r="AG2280" s="81"/>
      <c r="AH2280" s="81"/>
      <c r="AI2280" s="81"/>
      <c r="AJ2280" s="83"/>
      <c r="AK2280" s="81"/>
      <c r="AL2280" s="81"/>
      <c r="AM2280" s="83"/>
      <c r="AN2280" s="80"/>
      <c r="AO2280" s="82" t="n">
        <f aca="false">IF(E2280="","",(AA2280&lt;&gt;"")+(AG2280&lt;&gt;"")+(AL2280&lt;&gt;""))</f>
        <v>1</v>
      </c>
      <c r="AP2280" s="82" t="str">
        <f aca="false">IF(AL2280&lt;&gt;"",AL2280,IF(AG2280&lt;&gt;"",AG2280,IF(AA2280&lt;&gt;"",AA2280,"")))</f>
        <v>A</v>
      </c>
      <c r="AQ2280" s="84" t="str">
        <f aca="false">IF(E2280="","",IF(U2280="","À SOUDER",IF(X2280="","VT EN ATTENTE",IF(X2280="R","VT REJETÉ – À REPRENDRE",IF(AP2280="","À RADIOGRAPHIER",IF(AP2280="A","ACCEPTÉ",IF(AP2280="NX","NX – RT À REFAIRE",IF(IF(AO2280=1,AD2280,IF(AO2280=2,AI2280,""))="A","RÉPARÉ – À RADIOGRAPHIER",IF(IF(AO2280=1,AD2280,IF(AO2280=2,AI2280,""))="R","VT REJETÉ – À REPRENDRE",IF(OR(AP2280="CO",AP2280="NT"),"COUPE – À RESOUDER","À RÉPARER"))))))))))</f>
        <v>ACCEPTÉ</v>
      </c>
      <c r="AR2280" s="82" t="str">
        <f aca="false">IF(AND(ISNUMBER(U2280),OR(AQ2280="À RADIOGRAPHIER",AQ2280="RÉPARÉ – À RADIOGRAPHIER",AQ2280="NX – RT À REFAIRE",AQ2280="À RÉPARER",AQ2280="COUPE – À RESOUDER",AQ2280="VT REJETÉ – À REPRENDRE")),MAX(0,'PROGRAMME RT'!$C$4-U2280),"")</f>
        <v/>
      </c>
      <c r="AS2280" s="82" t="n">
        <f aca="false">IF(AND(OR(AQ2280="À RADIOGRAPHIER",AQ2280="RÉPARÉ – À RADIOGRAPHIER",AQ2280="NX – RT À REFAIRE"),OR('PROGRAMME RT'!$D$5="TOUTES",B2280='PROGRAMME RT'!$D$5)),1,0)</f>
        <v>0</v>
      </c>
      <c r="AT2280" s="82" t="str">
        <f aca="false">IF(AS2280=1,SUM(AS$7:AS2280),"")</f>
        <v/>
      </c>
      <c r="AU2280" s="82" t="n">
        <f aca="false">IF(AND(OR(AA2280="R",AA2280="NX",AA2280="NT",AA2280="CO"),OR('JOINTS DE RÉPARATION'!$D$5="TOUTES",B2280='JOINTS DE RÉPARATION'!$D$5),OR('JOINTS DE RÉPARATION'!$L$4="TOUS",AQ2280&lt;&gt;"ACCEPTÉ")),1,0)</f>
        <v>0</v>
      </c>
      <c r="AV2280" s="82" t="str">
        <f aca="false">IF(AU2280=1,SUM(AU$7:AU2280),"")</f>
        <v/>
      </c>
      <c r="AW2280" s="82" t="str">
        <f aca="false">IF(E2280="","",B2280&amp;"|"&amp;E2280)</f>
        <v>MFD-ISW → MFD-CPF|JN°1796</v>
      </c>
    </row>
    <row r="2281" customFormat="false" ht="74.6" hidden="false" customHeight="false" outlineLevel="0" collapsed="false">
      <c r="A2281" s="79" t="n">
        <f aca="false">IF(E2281="","",ROW()-6)</f>
        <v>2275</v>
      </c>
      <c r="B2281" s="80" t="s">
        <v>110</v>
      </c>
      <c r="C2281" s="81" t="s">
        <v>926</v>
      </c>
      <c r="D2281" s="81" t="n">
        <v>22</v>
      </c>
      <c r="E2281" s="81" t="s">
        <v>2768</v>
      </c>
      <c r="F2281" s="82" t="str">
        <f aca="false">IF(E2281="","",IF(LEFT(E2281,2)="DJ","DJ","JN"))</f>
        <v>JN</v>
      </c>
      <c r="G2281" s="81"/>
      <c r="H2281" s="81"/>
      <c r="I2281" s="81"/>
      <c r="J2281" s="81"/>
      <c r="K2281" s="81"/>
      <c r="L2281" s="81" t="n">
        <v>2089580</v>
      </c>
      <c r="M2281" s="81" t="n">
        <v>15421109</v>
      </c>
      <c r="N2281" s="81" t="n">
        <v>11.94</v>
      </c>
      <c r="O2281" s="81"/>
      <c r="P2281" s="81"/>
      <c r="Q2281" s="81"/>
      <c r="R2281" s="81"/>
      <c r="S2281" s="81"/>
      <c r="T2281" s="81"/>
      <c r="U2281" s="83"/>
      <c r="V2281" s="83"/>
      <c r="W2281" s="81"/>
      <c r="X2281" s="81"/>
      <c r="Y2281" s="83"/>
      <c r="Z2281" s="81"/>
      <c r="AA2281" s="81"/>
      <c r="AB2281" s="81"/>
      <c r="AC2281" s="81"/>
      <c r="AD2281" s="81"/>
      <c r="AE2281" s="83"/>
      <c r="AF2281" s="81"/>
      <c r="AG2281" s="81"/>
      <c r="AH2281" s="81"/>
      <c r="AI2281" s="81"/>
      <c r="AJ2281" s="83"/>
      <c r="AK2281" s="81"/>
      <c r="AL2281" s="81"/>
      <c r="AM2281" s="83"/>
      <c r="AN2281" s="80"/>
      <c r="AO2281" s="82" t="n">
        <f aca="false">IF(E2281="","",(AA2281&lt;&gt;"")+(AG2281&lt;&gt;"")+(AL2281&lt;&gt;""))</f>
        <v>0</v>
      </c>
      <c r="AP2281" s="82" t="str">
        <f aca="false">IF(AL2281&lt;&gt;"",AL2281,IF(AG2281&lt;&gt;"",AG2281,IF(AA2281&lt;&gt;"",AA2281,"")))</f>
        <v/>
      </c>
      <c r="AQ2281" s="84" t="str">
        <f aca="false">IF(E2281="","",IF(U2281="","À SOUDER",IF(X2281="","VT EN ATTENTE",IF(X2281="R","VT REJETÉ – À REPRENDRE",IF(AP2281="","À RADIOGRAPHIER",IF(AP2281="A","ACCEPTÉ",IF(AP2281="NX","NX – RT À REFAIRE",IF(IF(AO2281=1,AD2281,IF(AO2281=2,AI2281,""))="A","RÉPARÉ – À RADIOGRAPHIER",IF(IF(AO2281=1,AD2281,IF(AO2281=2,AI2281,""))="R","VT REJETÉ – À REPRENDRE",IF(OR(AP2281="CO",AP2281="NT"),"COUPE – À RESOUDER","À RÉPARER"))))))))))</f>
        <v>À SOUDER</v>
      </c>
      <c r="AR2281" s="82" t="str">
        <f aca="false">IF(AND(ISNUMBER(U2281),OR(AQ2281="À RADIOGRAPHIER",AQ2281="RÉPARÉ – À RADIOGRAPHIER",AQ2281="NX – RT À REFAIRE",AQ2281="À RÉPARER",AQ2281="COUPE – À RESOUDER",AQ2281="VT REJETÉ – À REPRENDRE")),MAX(0,'PROGRAMME RT'!$C$4-U2281),"")</f>
        <v/>
      </c>
      <c r="AS2281" s="82" t="n">
        <f aca="false">IF(AND(OR(AQ2281="À RADIOGRAPHIER",AQ2281="RÉPARÉ – À RADIOGRAPHIER",AQ2281="NX – RT À REFAIRE"),OR('PROGRAMME RT'!$D$5="TOUTES",B2281='PROGRAMME RT'!$D$5)),1,0)</f>
        <v>0</v>
      </c>
      <c r="AT2281" s="82" t="str">
        <f aca="false">IF(AS2281=1,SUM(AS$7:AS2281),"")</f>
        <v/>
      </c>
      <c r="AU2281" s="82" t="n">
        <f aca="false">IF(AND(OR(AA2281="R",AA2281="NX",AA2281="NT",AA2281="CO"),OR('JOINTS DE RÉPARATION'!$D$5="TOUTES",B2281='JOINTS DE RÉPARATION'!$D$5),OR('JOINTS DE RÉPARATION'!$L$4="TOUS",AQ2281&lt;&gt;"ACCEPTÉ")),1,0)</f>
        <v>0</v>
      </c>
      <c r="AV2281" s="82" t="str">
        <f aca="false">IF(AU2281=1,SUM(AU$7:AU2281),"")</f>
        <v/>
      </c>
      <c r="AW2281" s="82" t="str">
        <f aca="false">IF(E2281="","",B2281&amp;"|"&amp;E2281)</f>
        <v>MFD-ISW → MFD-CPF|JN°1797</v>
      </c>
    </row>
    <row r="2282" customFormat="false" ht="74.6" hidden="false" customHeight="false" outlineLevel="0" collapsed="false">
      <c r="A2282" s="79" t="n">
        <f aca="false">IF(E2282="","",ROW()-6)</f>
        <v>2276</v>
      </c>
      <c r="B2282" s="80" t="s">
        <v>110</v>
      </c>
      <c r="C2282" s="81" t="s">
        <v>926</v>
      </c>
      <c r="D2282" s="81" t="n">
        <v>22</v>
      </c>
      <c r="E2282" s="81" t="s">
        <v>2769</v>
      </c>
      <c r="F2282" s="82" t="str">
        <f aca="false">IF(E2282="","",IF(LEFT(E2282,2)="DJ","DJ","JN"))</f>
        <v>JN</v>
      </c>
      <c r="G2282" s="81"/>
      <c r="H2282" s="81"/>
      <c r="I2282" s="81"/>
      <c r="J2282" s="81"/>
      <c r="K2282" s="81"/>
      <c r="L2282" s="81"/>
      <c r="M2282" s="81"/>
      <c r="N2282" s="81"/>
      <c r="O2282" s="81"/>
      <c r="P2282" s="81"/>
      <c r="Q2282" s="81"/>
      <c r="R2282" s="81"/>
      <c r="S2282" s="81"/>
      <c r="T2282" s="81"/>
      <c r="U2282" s="83"/>
      <c r="V2282" s="83"/>
      <c r="W2282" s="81"/>
      <c r="X2282" s="81"/>
      <c r="Y2282" s="83"/>
      <c r="Z2282" s="81"/>
      <c r="AA2282" s="81"/>
      <c r="AB2282" s="81"/>
      <c r="AC2282" s="81"/>
      <c r="AD2282" s="81"/>
      <c r="AE2282" s="83"/>
      <c r="AF2282" s="81"/>
      <c r="AG2282" s="81"/>
      <c r="AH2282" s="81"/>
      <c r="AI2282" s="81"/>
      <c r="AJ2282" s="83"/>
      <c r="AK2282" s="81"/>
      <c r="AL2282" s="81"/>
      <c r="AM2282" s="83"/>
      <c r="AN2282" s="80"/>
      <c r="AO2282" s="82" t="n">
        <f aca="false">IF(E2282="","",(AA2282&lt;&gt;"")+(AG2282&lt;&gt;"")+(AL2282&lt;&gt;""))</f>
        <v>0</v>
      </c>
      <c r="AP2282" s="82" t="str">
        <f aca="false">IF(AL2282&lt;&gt;"",AL2282,IF(AG2282&lt;&gt;"",AG2282,IF(AA2282&lt;&gt;"",AA2282,"")))</f>
        <v/>
      </c>
      <c r="AQ2282" s="84" t="str">
        <f aca="false">IF(E2282="","",IF(U2282="","À SOUDER",IF(X2282="","VT EN ATTENTE",IF(X2282="R","VT REJETÉ – À REPRENDRE",IF(AP2282="","À RADIOGRAPHIER",IF(AP2282="A","ACCEPTÉ",IF(AP2282="NX","NX – RT À REFAIRE",IF(IF(AO2282=1,AD2282,IF(AO2282=2,AI2282,""))="A","RÉPARÉ – À RADIOGRAPHIER",IF(IF(AO2282=1,AD2282,IF(AO2282=2,AI2282,""))="R","VT REJETÉ – À REPRENDRE",IF(OR(AP2282="CO",AP2282="NT"),"COUPE – À RESOUDER","À RÉPARER"))))))))))</f>
        <v>À SOUDER</v>
      </c>
      <c r="AR2282" s="82" t="str">
        <f aca="false">IF(AND(ISNUMBER(U2282),OR(AQ2282="À RADIOGRAPHIER",AQ2282="RÉPARÉ – À RADIOGRAPHIER",AQ2282="NX – RT À REFAIRE",AQ2282="À RÉPARER",AQ2282="COUPE – À RESOUDER",AQ2282="VT REJETÉ – À REPRENDRE")),MAX(0,'PROGRAMME RT'!$C$4-U2282),"")</f>
        <v/>
      </c>
      <c r="AS2282" s="82" t="n">
        <f aca="false">IF(AND(OR(AQ2282="À RADIOGRAPHIER",AQ2282="RÉPARÉ – À RADIOGRAPHIER",AQ2282="NX – RT À REFAIRE"),OR('PROGRAMME RT'!$D$5="TOUTES",B2282='PROGRAMME RT'!$D$5)),1,0)</f>
        <v>0</v>
      </c>
      <c r="AT2282" s="82" t="str">
        <f aca="false">IF(AS2282=1,SUM(AS$7:AS2282),"")</f>
        <v/>
      </c>
      <c r="AU2282" s="82" t="n">
        <f aca="false">IF(AND(OR(AA2282="R",AA2282="NX",AA2282="NT",AA2282="CO"),OR('JOINTS DE RÉPARATION'!$D$5="TOUTES",B2282='JOINTS DE RÉPARATION'!$D$5),OR('JOINTS DE RÉPARATION'!$L$4="TOUS",AQ2282&lt;&gt;"ACCEPTÉ")),1,0)</f>
        <v>0</v>
      </c>
      <c r="AV2282" s="82" t="str">
        <f aca="false">IF(AU2282=1,SUM(AU$7:AU2282),"")</f>
        <v/>
      </c>
      <c r="AW2282" s="82" t="str">
        <f aca="false">IF(E2282="","",B2282&amp;"|"&amp;E2282)</f>
        <v>MFD-ISW → MFD-CPF|JN°1798</v>
      </c>
    </row>
    <row r="2283" customFormat="false" ht="74.6" hidden="false" customHeight="false" outlineLevel="0" collapsed="false">
      <c r="A2283" s="79" t="n">
        <f aca="false">IF(E2283="","",ROW()-6)</f>
        <v>2277</v>
      </c>
      <c r="B2283" s="80" t="s">
        <v>110</v>
      </c>
      <c r="C2283" s="81" t="s">
        <v>926</v>
      </c>
      <c r="D2283" s="81" t="n">
        <v>22</v>
      </c>
      <c r="E2283" s="81" t="s">
        <v>2770</v>
      </c>
      <c r="F2283" s="82" t="str">
        <f aca="false">IF(E2283="","",IF(LEFT(E2283,2)="DJ","DJ","JN"))</f>
        <v>JN</v>
      </c>
      <c r="G2283" s="81"/>
      <c r="H2283" s="81"/>
      <c r="I2283" s="81"/>
      <c r="J2283" s="81"/>
      <c r="K2283" s="81"/>
      <c r="L2283" s="81"/>
      <c r="M2283" s="81"/>
      <c r="N2283" s="81"/>
      <c r="O2283" s="81"/>
      <c r="P2283" s="81"/>
      <c r="Q2283" s="81"/>
      <c r="R2283" s="81"/>
      <c r="S2283" s="81"/>
      <c r="T2283" s="81"/>
      <c r="U2283" s="83"/>
      <c r="V2283" s="83"/>
      <c r="W2283" s="81"/>
      <c r="X2283" s="81"/>
      <c r="Y2283" s="83"/>
      <c r="Z2283" s="81"/>
      <c r="AA2283" s="81"/>
      <c r="AB2283" s="81"/>
      <c r="AC2283" s="81"/>
      <c r="AD2283" s="81"/>
      <c r="AE2283" s="83"/>
      <c r="AF2283" s="81"/>
      <c r="AG2283" s="81"/>
      <c r="AH2283" s="81"/>
      <c r="AI2283" s="81"/>
      <c r="AJ2283" s="83"/>
      <c r="AK2283" s="81"/>
      <c r="AL2283" s="81"/>
      <c r="AM2283" s="83"/>
      <c r="AN2283" s="80"/>
      <c r="AO2283" s="82" t="n">
        <f aca="false">IF(E2283="","",(AA2283&lt;&gt;"")+(AG2283&lt;&gt;"")+(AL2283&lt;&gt;""))</f>
        <v>0</v>
      </c>
      <c r="AP2283" s="82" t="str">
        <f aca="false">IF(AL2283&lt;&gt;"",AL2283,IF(AG2283&lt;&gt;"",AG2283,IF(AA2283&lt;&gt;"",AA2283,"")))</f>
        <v/>
      </c>
      <c r="AQ2283" s="84" t="str">
        <f aca="false">IF(E2283="","",IF(U2283="","À SOUDER",IF(X2283="","VT EN ATTENTE",IF(X2283="R","VT REJETÉ – À REPRENDRE",IF(AP2283="","À RADIOGRAPHIER",IF(AP2283="A","ACCEPTÉ",IF(AP2283="NX","NX – RT À REFAIRE",IF(IF(AO2283=1,AD2283,IF(AO2283=2,AI2283,""))="A","RÉPARÉ – À RADIOGRAPHIER",IF(IF(AO2283=1,AD2283,IF(AO2283=2,AI2283,""))="R","VT REJETÉ – À REPRENDRE",IF(OR(AP2283="CO",AP2283="NT"),"COUPE – À RESOUDER","À RÉPARER"))))))))))</f>
        <v>À SOUDER</v>
      </c>
      <c r="AR2283" s="82" t="str">
        <f aca="false">IF(AND(ISNUMBER(U2283),OR(AQ2283="À RADIOGRAPHIER",AQ2283="RÉPARÉ – À RADIOGRAPHIER",AQ2283="NX – RT À REFAIRE",AQ2283="À RÉPARER",AQ2283="COUPE – À RESOUDER",AQ2283="VT REJETÉ – À REPRENDRE")),MAX(0,'PROGRAMME RT'!$C$4-U2283),"")</f>
        <v/>
      </c>
      <c r="AS2283" s="82" t="n">
        <f aca="false">IF(AND(OR(AQ2283="À RADIOGRAPHIER",AQ2283="RÉPARÉ – À RADIOGRAPHIER",AQ2283="NX – RT À REFAIRE"),OR('PROGRAMME RT'!$D$5="TOUTES",B2283='PROGRAMME RT'!$D$5)),1,0)</f>
        <v>0</v>
      </c>
      <c r="AT2283" s="82" t="str">
        <f aca="false">IF(AS2283=1,SUM(AS$7:AS2283),"")</f>
        <v/>
      </c>
      <c r="AU2283" s="82" t="n">
        <f aca="false">IF(AND(OR(AA2283="R",AA2283="NX",AA2283="NT",AA2283="CO"),OR('JOINTS DE RÉPARATION'!$D$5="TOUTES",B2283='JOINTS DE RÉPARATION'!$D$5),OR('JOINTS DE RÉPARATION'!$L$4="TOUS",AQ2283&lt;&gt;"ACCEPTÉ")),1,0)</f>
        <v>0</v>
      </c>
      <c r="AV2283" s="82" t="str">
        <f aca="false">IF(AU2283=1,SUM(AU$7:AU2283),"")</f>
        <v/>
      </c>
      <c r="AW2283" s="82" t="str">
        <f aca="false">IF(E2283="","",B2283&amp;"|"&amp;E2283)</f>
        <v>MFD-ISW → MFD-CPF|JN°1799</v>
      </c>
    </row>
    <row r="2284" customFormat="false" ht="74.6" hidden="false" customHeight="false" outlineLevel="0" collapsed="false">
      <c r="A2284" s="79" t="n">
        <f aca="false">IF(E2284="","",ROW()-6)</f>
        <v>2278</v>
      </c>
      <c r="B2284" s="80" t="s">
        <v>110</v>
      </c>
      <c r="C2284" s="81" t="s">
        <v>926</v>
      </c>
      <c r="D2284" s="81" t="n">
        <v>22</v>
      </c>
      <c r="E2284" s="81" t="s">
        <v>2771</v>
      </c>
      <c r="F2284" s="82" t="str">
        <f aca="false">IF(E2284="","",IF(LEFT(E2284,2)="DJ","DJ","JN"))</f>
        <v>JN</v>
      </c>
      <c r="G2284" s="81"/>
      <c r="H2284" s="81"/>
      <c r="I2284" s="81"/>
      <c r="J2284" s="81"/>
      <c r="K2284" s="81"/>
      <c r="L2284" s="81"/>
      <c r="M2284" s="81"/>
      <c r="N2284" s="81"/>
      <c r="O2284" s="81"/>
      <c r="P2284" s="81"/>
      <c r="Q2284" s="81"/>
      <c r="R2284" s="81"/>
      <c r="S2284" s="81"/>
      <c r="T2284" s="81"/>
      <c r="U2284" s="83"/>
      <c r="V2284" s="83"/>
      <c r="W2284" s="81"/>
      <c r="X2284" s="81"/>
      <c r="Y2284" s="83"/>
      <c r="Z2284" s="81"/>
      <c r="AA2284" s="81"/>
      <c r="AB2284" s="81"/>
      <c r="AC2284" s="81"/>
      <c r="AD2284" s="81"/>
      <c r="AE2284" s="83"/>
      <c r="AF2284" s="81"/>
      <c r="AG2284" s="81"/>
      <c r="AH2284" s="81"/>
      <c r="AI2284" s="81"/>
      <c r="AJ2284" s="83"/>
      <c r="AK2284" s="81"/>
      <c r="AL2284" s="81"/>
      <c r="AM2284" s="83"/>
      <c r="AN2284" s="80"/>
      <c r="AO2284" s="82" t="n">
        <f aca="false">IF(E2284="","",(AA2284&lt;&gt;"")+(AG2284&lt;&gt;"")+(AL2284&lt;&gt;""))</f>
        <v>0</v>
      </c>
      <c r="AP2284" s="82" t="str">
        <f aca="false">IF(AL2284&lt;&gt;"",AL2284,IF(AG2284&lt;&gt;"",AG2284,IF(AA2284&lt;&gt;"",AA2284,"")))</f>
        <v/>
      </c>
      <c r="AQ2284" s="84" t="str">
        <f aca="false">IF(E2284="","",IF(U2284="","À SOUDER",IF(X2284="","VT EN ATTENTE",IF(X2284="R","VT REJETÉ – À REPRENDRE",IF(AP2284="","À RADIOGRAPHIER",IF(AP2284="A","ACCEPTÉ",IF(AP2284="NX","NX – RT À REFAIRE",IF(IF(AO2284=1,AD2284,IF(AO2284=2,AI2284,""))="A","RÉPARÉ – À RADIOGRAPHIER",IF(IF(AO2284=1,AD2284,IF(AO2284=2,AI2284,""))="R","VT REJETÉ – À REPRENDRE",IF(OR(AP2284="CO",AP2284="NT"),"COUPE – À RESOUDER","À RÉPARER"))))))))))</f>
        <v>À SOUDER</v>
      </c>
      <c r="AR2284" s="82" t="str">
        <f aca="false">IF(AND(ISNUMBER(U2284),OR(AQ2284="À RADIOGRAPHIER",AQ2284="RÉPARÉ – À RADIOGRAPHIER",AQ2284="NX – RT À REFAIRE",AQ2284="À RÉPARER",AQ2284="COUPE – À RESOUDER",AQ2284="VT REJETÉ – À REPRENDRE")),MAX(0,'PROGRAMME RT'!$C$4-U2284),"")</f>
        <v/>
      </c>
      <c r="AS2284" s="82" t="n">
        <f aca="false">IF(AND(OR(AQ2284="À RADIOGRAPHIER",AQ2284="RÉPARÉ – À RADIOGRAPHIER",AQ2284="NX – RT À REFAIRE"),OR('PROGRAMME RT'!$D$5="TOUTES",B2284='PROGRAMME RT'!$D$5)),1,0)</f>
        <v>0</v>
      </c>
      <c r="AT2284" s="82" t="str">
        <f aca="false">IF(AS2284=1,SUM(AS$7:AS2284),"")</f>
        <v/>
      </c>
      <c r="AU2284" s="82" t="n">
        <f aca="false">IF(AND(OR(AA2284="R",AA2284="NX",AA2284="NT",AA2284="CO"),OR('JOINTS DE RÉPARATION'!$D$5="TOUTES",B2284='JOINTS DE RÉPARATION'!$D$5),OR('JOINTS DE RÉPARATION'!$L$4="TOUS",AQ2284&lt;&gt;"ACCEPTÉ")),1,0)</f>
        <v>0</v>
      </c>
      <c r="AV2284" s="82" t="str">
        <f aca="false">IF(AU2284=1,SUM(AU$7:AU2284),"")</f>
        <v/>
      </c>
      <c r="AW2284" s="82" t="str">
        <f aca="false">IF(E2284="","",B2284&amp;"|"&amp;E2284)</f>
        <v>MFD-ISW → MFD-CPF|JN°1800</v>
      </c>
    </row>
    <row r="2285" customFormat="false" ht="74.6" hidden="false" customHeight="false" outlineLevel="0" collapsed="false">
      <c r="A2285" s="79" t="n">
        <f aca="false">IF(E2285="","",ROW()-6)</f>
        <v>2279</v>
      </c>
      <c r="B2285" s="80" t="s">
        <v>110</v>
      </c>
      <c r="C2285" s="81" t="s">
        <v>926</v>
      </c>
      <c r="D2285" s="81" t="n">
        <v>22</v>
      </c>
      <c r="E2285" s="81" t="s">
        <v>2772</v>
      </c>
      <c r="F2285" s="82" t="str">
        <f aca="false">IF(E2285="","",IF(LEFT(E2285,2)="DJ","DJ","JN"))</f>
        <v>JN</v>
      </c>
      <c r="G2285" s="81"/>
      <c r="H2285" s="81"/>
      <c r="I2285" s="81"/>
      <c r="J2285" s="81"/>
      <c r="K2285" s="81"/>
      <c r="L2285" s="81"/>
      <c r="M2285" s="81"/>
      <c r="N2285" s="81"/>
      <c r="O2285" s="81"/>
      <c r="P2285" s="81"/>
      <c r="Q2285" s="81"/>
      <c r="R2285" s="81"/>
      <c r="S2285" s="81"/>
      <c r="T2285" s="81"/>
      <c r="U2285" s="83"/>
      <c r="V2285" s="83"/>
      <c r="W2285" s="81"/>
      <c r="X2285" s="81"/>
      <c r="Y2285" s="83"/>
      <c r="Z2285" s="81"/>
      <c r="AA2285" s="81"/>
      <c r="AB2285" s="81"/>
      <c r="AC2285" s="81"/>
      <c r="AD2285" s="81"/>
      <c r="AE2285" s="83"/>
      <c r="AF2285" s="81"/>
      <c r="AG2285" s="81"/>
      <c r="AH2285" s="81"/>
      <c r="AI2285" s="81"/>
      <c r="AJ2285" s="83"/>
      <c r="AK2285" s="81"/>
      <c r="AL2285" s="81"/>
      <c r="AM2285" s="83"/>
      <c r="AN2285" s="80"/>
      <c r="AO2285" s="82" t="n">
        <f aca="false">IF(E2285="","",(AA2285&lt;&gt;"")+(AG2285&lt;&gt;"")+(AL2285&lt;&gt;""))</f>
        <v>0</v>
      </c>
      <c r="AP2285" s="82" t="str">
        <f aca="false">IF(AL2285&lt;&gt;"",AL2285,IF(AG2285&lt;&gt;"",AG2285,IF(AA2285&lt;&gt;"",AA2285,"")))</f>
        <v/>
      </c>
      <c r="AQ2285" s="84" t="str">
        <f aca="false">IF(E2285="","",IF(U2285="","À SOUDER",IF(X2285="","VT EN ATTENTE",IF(X2285="R","VT REJETÉ – À REPRENDRE",IF(AP2285="","À RADIOGRAPHIER",IF(AP2285="A","ACCEPTÉ",IF(AP2285="NX","NX – RT À REFAIRE",IF(IF(AO2285=1,AD2285,IF(AO2285=2,AI2285,""))="A","RÉPARÉ – À RADIOGRAPHIER",IF(IF(AO2285=1,AD2285,IF(AO2285=2,AI2285,""))="R","VT REJETÉ – À REPRENDRE",IF(OR(AP2285="CO",AP2285="NT"),"COUPE – À RESOUDER","À RÉPARER"))))))))))</f>
        <v>À SOUDER</v>
      </c>
      <c r="AR2285" s="82" t="str">
        <f aca="false">IF(AND(ISNUMBER(U2285),OR(AQ2285="À RADIOGRAPHIER",AQ2285="RÉPARÉ – À RADIOGRAPHIER",AQ2285="NX – RT À REFAIRE",AQ2285="À RÉPARER",AQ2285="COUPE – À RESOUDER",AQ2285="VT REJETÉ – À REPRENDRE")),MAX(0,'PROGRAMME RT'!$C$4-U2285),"")</f>
        <v/>
      </c>
      <c r="AS2285" s="82" t="n">
        <f aca="false">IF(AND(OR(AQ2285="À RADIOGRAPHIER",AQ2285="RÉPARÉ – À RADIOGRAPHIER",AQ2285="NX – RT À REFAIRE"),OR('PROGRAMME RT'!$D$5="TOUTES",B2285='PROGRAMME RT'!$D$5)),1,0)</f>
        <v>0</v>
      </c>
      <c r="AT2285" s="82" t="str">
        <f aca="false">IF(AS2285=1,SUM(AS$7:AS2285),"")</f>
        <v/>
      </c>
      <c r="AU2285" s="82" t="n">
        <f aca="false">IF(AND(OR(AA2285="R",AA2285="NX",AA2285="NT",AA2285="CO"),OR('JOINTS DE RÉPARATION'!$D$5="TOUTES",B2285='JOINTS DE RÉPARATION'!$D$5),OR('JOINTS DE RÉPARATION'!$L$4="TOUS",AQ2285&lt;&gt;"ACCEPTÉ")),1,0)</f>
        <v>0</v>
      </c>
      <c r="AV2285" s="82" t="str">
        <f aca="false">IF(AU2285=1,SUM(AU$7:AU2285),"")</f>
        <v/>
      </c>
      <c r="AW2285" s="82" t="str">
        <f aca="false">IF(E2285="","",B2285&amp;"|"&amp;E2285)</f>
        <v>MFD-ISW → MFD-CPF|JN°1801</v>
      </c>
    </row>
    <row r="2286" customFormat="false" ht="74.6" hidden="false" customHeight="false" outlineLevel="0" collapsed="false">
      <c r="A2286" s="79" t="n">
        <f aca="false">IF(E2286="","",ROW()-6)</f>
        <v>2280</v>
      </c>
      <c r="B2286" s="80" t="s">
        <v>110</v>
      </c>
      <c r="C2286" s="81" t="s">
        <v>926</v>
      </c>
      <c r="D2286" s="81" t="n">
        <v>22</v>
      </c>
      <c r="E2286" s="81" t="s">
        <v>2773</v>
      </c>
      <c r="F2286" s="82" t="str">
        <f aca="false">IF(E2286="","",IF(LEFT(E2286,2)="DJ","DJ","JN"))</f>
        <v>JN</v>
      </c>
      <c r="G2286" s="81"/>
      <c r="H2286" s="81"/>
      <c r="I2286" s="81"/>
      <c r="J2286" s="81"/>
      <c r="K2286" s="81"/>
      <c r="L2286" s="81"/>
      <c r="M2286" s="81"/>
      <c r="N2286" s="81"/>
      <c r="O2286" s="81"/>
      <c r="P2286" s="81"/>
      <c r="Q2286" s="81"/>
      <c r="R2286" s="81"/>
      <c r="S2286" s="81"/>
      <c r="T2286" s="81"/>
      <c r="U2286" s="83"/>
      <c r="V2286" s="83"/>
      <c r="W2286" s="81"/>
      <c r="X2286" s="81"/>
      <c r="Y2286" s="83"/>
      <c r="Z2286" s="81"/>
      <c r="AA2286" s="81"/>
      <c r="AB2286" s="81"/>
      <c r="AC2286" s="81"/>
      <c r="AD2286" s="81"/>
      <c r="AE2286" s="83"/>
      <c r="AF2286" s="81"/>
      <c r="AG2286" s="81"/>
      <c r="AH2286" s="81"/>
      <c r="AI2286" s="81"/>
      <c r="AJ2286" s="83"/>
      <c r="AK2286" s="81"/>
      <c r="AL2286" s="81"/>
      <c r="AM2286" s="83"/>
      <c r="AN2286" s="80"/>
      <c r="AO2286" s="82" t="n">
        <f aca="false">IF(E2286="","",(AA2286&lt;&gt;"")+(AG2286&lt;&gt;"")+(AL2286&lt;&gt;""))</f>
        <v>0</v>
      </c>
      <c r="AP2286" s="82" t="str">
        <f aca="false">IF(AL2286&lt;&gt;"",AL2286,IF(AG2286&lt;&gt;"",AG2286,IF(AA2286&lt;&gt;"",AA2286,"")))</f>
        <v/>
      </c>
      <c r="AQ2286" s="84" t="str">
        <f aca="false">IF(E2286="","",IF(U2286="","À SOUDER",IF(X2286="","VT EN ATTENTE",IF(X2286="R","VT REJETÉ – À REPRENDRE",IF(AP2286="","À RADIOGRAPHIER",IF(AP2286="A","ACCEPTÉ",IF(AP2286="NX","NX – RT À REFAIRE",IF(IF(AO2286=1,AD2286,IF(AO2286=2,AI2286,""))="A","RÉPARÉ – À RADIOGRAPHIER",IF(IF(AO2286=1,AD2286,IF(AO2286=2,AI2286,""))="R","VT REJETÉ – À REPRENDRE",IF(OR(AP2286="CO",AP2286="NT"),"COUPE – À RESOUDER","À RÉPARER"))))))))))</f>
        <v>À SOUDER</v>
      </c>
      <c r="AR2286" s="82" t="str">
        <f aca="false">IF(AND(ISNUMBER(U2286),OR(AQ2286="À RADIOGRAPHIER",AQ2286="RÉPARÉ – À RADIOGRAPHIER",AQ2286="NX – RT À REFAIRE",AQ2286="À RÉPARER",AQ2286="COUPE – À RESOUDER",AQ2286="VT REJETÉ – À REPRENDRE")),MAX(0,'PROGRAMME RT'!$C$4-U2286),"")</f>
        <v/>
      </c>
      <c r="AS2286" s="82" t="n">
        <f aca="false">IF(AND(OR(AQ2286="À RADIOGRAPHIER",AQ2286="RÉPARÉ – À RADIOGRAPHIER",AQ2286="NX – RT À REFAIRE"),OR('PROGRAMME RT'!$D$5="TOUTES",B2286='PROGRAMME RT'!$D$5)),1,0)</f>
        <v>0</v>
      </c>
      <c r="AT2286" s="82" t="str">
        <f aca="false">IF(AS2286=1,SUM(AS$7:AS2286),"")</f>
        <v/>
      </c>
      <c r="AU2286" s="82" t="n">
        <f aca="false">IF(AND(OR(AA2286="R",AA2286="NX",AA2286="NT",AA2286="CO"),OR('JOINTS DE RÉPARATION'!$D$5="TOUTES",B2286='JOINTS DE RÉPARATION'!$D$5),OR('JOINTS DE RÉPARATION'!$L$4="TOUS",AQ2286&lt;&gt;"ACCEPTÉ")),1,0)</f>
        <v>0</v>
      </c>
      <c r="AV2286" s="82" t="str">
        <f aca="false">IF(AU2286=1,SUM(AU$7:AU2286),"")</f>
        <v/>
      </c>
      <c r="AW2286" s="82" t="str">
        <f aca="false">IF(E2286="","",B2286&amp;"|"&amp;E2286)</f>
        <v>MFD-ISW → MFD-CPF|JN°1802</v>
      </c>
    </row>
    <row r="2287" customFormat="false" ht="74.6" hidden="false" customHeight="false" outlineLevel="0" collapsed="false">
      <c r="A2287" s="79" t="n">
        <f aca="false">IF(E2287="","",ROW()-6)</f>
        <v>2281</v>
      </c>
      <c r="B2287" s="80" t="s">
        <v>110</v>
      </c>
      <c r="C2287" s="81" t="s">
        <v>926</v>
      </c>
      <c r="D2287" s="81" t="n">
        <v>22</v>
      </c>
      <c r="E2287" s="81" t="s">
        <v>2774</v>
      </c>
      <c r="F2287" s="82" t="str">
        <f aca="false">IF(E2287="","",IF(LEFT(E2287,2)="DJ","DJ","JN"))</f>
        <v>JN</v>
      </c>
      <c r="G2287" s="81"/>
      <c r="H2287" s="81"/>
      <c r="I2287" s="81"/>
      <c r="J2287" s="81"/>
      <c r="K2287" s="81"/>
      <c r="L2287" s="81"/>
      <c r="M2287" s="81"/>
      <c r="N2287" s="81"/>
      <c r="O2287" s="81"/>
      <c r="P2287" s="81"/>
      <c r="Q2287" s="81"/>
      <c r="R2287" s="81"/>
      <c r="S2287" s="81"/>
      <c r="T2287" s="81"/>
      <c r="U2287" s="83"/>
      <c r="V2287" s="83"/>
      <c r="W2287" s="81"/>
      <c r="X2287" s="81"/>
      <c r="Y2287" s="83"/>
      <c r="Z2287" s="81"/>
      <c r="AA2287" s="81"/>
      <c r="AB2287" s="81"/>
      <c r="AC2287" s="81"/>
      <c r="AD2287" s="81"/>
      <c r="AE2287" s="83"/>
      <c r="AF2287" s="81"/>
      <c r="AG2287" s="81"/>
      <c r="AH2287" s="81"/>
      <c r="AI2287" s="81"/>
      <c r="AJ2287" s="83"/>
      <c r="AK2287" s="81"/>
      <c r="AL2287" s="81"/>
      <c r="AM2287" s="83"/>
      <c r="AN2287" s="80"/>
      <c r="AO2287" s="82" t="n">
        <f aca="false">IF(E2287="","",(AA2287&lt;&gt;"")+(AG2287&lt;&gt;"")+(AL2287&lt;&gt;""))</f>
        <v>0</v>
      </c>
      <c r="AP2287" s="82" t="str">
        <f aca="false">IF(AL2287&lt;&gt;"",AL2287,IF(AG2287&lt;&gt;"",AG2287,IF(AA2287&lt;&gt;"",AA2287,"")))</f>
        <v/>
      </c>
      <c r="AQ2287" s="84" t="str">
        <f aca="false">IF(E2287="","",IF(U2287="","À SOUDER",IF(X2287="","VT EN ATTENTE",IF(X2287="R","VT REJETÉ – À REPRENDRE",IF(AP2287="","À RADIOGRAPHIER",IF(AP2287="A","ACCEPTÉ",IF(AP2287="NX","NX – RT À REFAIRE",IF(IF(AO2287=1,AD2287,IF(AO2287=2,AI2287,""))="A","RÉPARÉ – À RADIOGRAPHIER",IF(IF(AO2287=1,AD2287,IF(AO2287=2,AI2287,""))="R","VT REJETÉ – À REPRENDRE",IF(OR(AP2287="CO",AP2287="NT"),"COUPE – À RESOUDER","À RÉPARER"))))))))))</f>
        <v>À SOUDER</v>
      </c>
      <c r="AR2287" s="82" t="str">
        <f aca="false">IF(AND(ISNUMBER(U2287),OR(AQ2287="À RADIOGRAPHIER",AQ2287="RÉPARÉ – À RADIOGRAPHIER",AQ2287="NX – RT À REFAIRE",AQ2287="À RÉPARER",AQ2287="COUPE – À RESOUDER",AQ2287="VT REJETÉ – À REPRENDRE")),MAX(0,'PROGRAMME RT'!$C$4-U2287),"")</f>
        <v/>
      </c>
      <c r="AS2287" s="82" t="n">
        <f aca="false">IF(AND(OR(AQ2287="À RADIOGRAPHIER",AQ2287="RÉPARÉ – À RADIOGRAPHIER",AQ2287="NX – RT À REFAIRE"),OR('PROGRAMME RT'!$D$5="TOUTES",B2287='PROGRAMME RT'!$D$5)),1,0)</f>
        <v>0</v>
      </c>
      <c r="AT2287" s="82" t="str">
        <f aca="false">IF(AS2287=1,SUM(AS$7:AS2287),"")</f>
        <v/>
      </c>
      <c r="AU2287" s="82" t="n">
        <f aca="false">IF(AND(OR(AA2287="R",AA2287="NX",AA2287="NT",AA2287="CO"),OR('JOINTS DE RÉPARATION'!$D$5="TOUTES",B2287='JOINTS DE RÉPARATION'!$D$5),OR('JOINTS DE RÉPARATION'!$L$4="TOUS",AQ2287&lt;&gt;"ACCEPTÉ")),1,0)</f>
        <v>0</v>
      </c>
      <c r="AV2287" s="82" t="str">
        <f aca="false">IF(AU2287=1,SUM(AU$7:AU2287),"")</f>
        <v/>
      </c>
      <c r="AW2287" s="82" t="str">
        <f aca="false">IF(E2287="","",B2287&amp;"|"&amp;E2287)</f>
        <v>MFD-ISW → MFD-CPF|JN°1803</v>
      </c>
    </row>
    <row r="2288" customFormat="false" ht="74.6" hidden="false" customHeight="false" outlineLevel="0" collapsed="false">
      <c r="A2288" s="79" t="n">
        <f aca="false">IF(E2288="","",ROW()-6)</f>
        <v>2282</v>
      </c>
      <c r="B2288" s="80" t="s">
        <v>110</v>
      </c>
      <c r="C2288" s="81" t="s">
        <v>926</v>
      </c>
      <c r="D2288" s="81" t="n">
        <v>22</v>
      </c>
      <c r="E2288" s="81" t="s">
        <v>2775</v>
      </c>
      <c r="F2288" s="82" t="str">
        <f aca="false">IF(E2288="","",IF(LEFT(E2288,2)="DJ","DJ","JN"))</f>
        <v>JN</v>
      </c>
      <c r="G2288" s="81"/>
      <c r="H2288" s="81"/>
      <c r="I2288" s="81"/>
      <c r="J2288" s="81"/>
      <c r="K2288" s="81"/>
      <c r="L2288" s="81"/>
      <c r="M2288" s="81"/>
      <c r="N2288" s="81"/>
      <c r="O2288" s="81"/>
      <c r="P2288" s="81"/>
      <c r="Q2288" s="81"/>
      <c r="R2288" s="81"/>
      <c r="S2288" s="81"/>
      <c r="T2288" s="81"/>
      <c r="U2288" s="83"/>
      <c r="V2288" s="83"/>
      <c r="W2288" s="81"/>
      <c r="X2288" s="81"/>
      <c r="Y2288" s="83"/>
      <c r="Z2288" s="81"/>
      <c r="AA2288" s="81"/>
      <c r="AB2288" s="81"/>
      <c r="AC2288" s="81"/>
      <c r="AD2288" s="81"/>
      <c r="AE2288" s="83"/>
      <c r="AF2288" s="81"/>
      <c r="AG2288" s="81"/>
      <c r="AH2288" s="81"/>
      <c r="AI2288" s="81"/>
      <c r="AJ2288" s="83"/>
      <c r="AK2288" s="81"/>
      <c r="AL2288" s="81"/>
      <c r="AM2288" s="83"/>
      <c r="AN2288" s="80"/>
      <c r="AO2288" s="82" t="n">
        <f aca="false">IF(E2288="","",(AA2288&lt;&gt;"")+(AG2288&lt;&gt;"")+(AL2288&lt;&gt;""))</f>
        <v>0</v>
      </c>
      <c r="AP2288" s="82" t="str">
        <f aca="false">IF(AL2288&lt;&gt;"",AL2288,IF(AG2288&lt;&gt;"",AG2288,IF(AA2288&lt;&gt;"",AA2288,"")))</f>
        <v/>
      </c>
      <c r="AQ2288" s="84" t="str">
        <f aca="false">IF(E2288="","",IF(U2288="","À SOUDER",IF(X2288="","VT EN ATTENTE",IF(X2288="R","VT REJETÉ – À REPRENDRE",IF(AP2288="","À RADIOGRAPHIER",IF(AP2288="A","ACCEPTÉ",IF(AP2288="NX","NX – RT À REFAIRE",IF(IF(AO2288=1,AD2288,IF(AO2288=2,AI2288,""))="A","RÉPARÉ – À RADIOGRAPHIER",IF(IF(AO2288=1,AD2288,IF(AO2288=2,AI2288,""))="R","VT REJETÉ – À REPRENDRE",IF(OR(AP2288="CO",AP2288="NT"),"COUPE – À RESOUDER","À RÉPARER"))))))))))</f>
        <v>À SOUDER</v>
      </c>
      <c r="AR2288" s="82" t="str">
        <f aca="false">IF(AND(ISNUMBER(U2288),OR(AQ2288="À RADIOGRAPHIER",AQ2288="RÉPARÉ – À RADIOGRAPHIER",AQ2288="NX – RT À REFAIRE",AQ2288="À RÉPARER",AQ2288="COUPE – À RESOUDER",AQ2288="VT REJETÉ – À REPRENDRE")),MAX(0,'PROGRAMME RT'!$C$4-U2288),"")</f>
        <v/>
      </c>
      <c r="AS2288" s="82" t="n">
        <f aca="false">IF(AND(OR(AQ2288="À RADIOGRAPHIER",AQ2288="RÉPARÉ – À RADIOGRAPHIER",AQ2288="NX – RT À REFAIRE"),OR('PROGRAMME RT'!$D$5="TOUTES",B2288='PROGRAMME RT'!$D$5)),1,0)</f>
        <v>0</v>
      </c>
      <c r="AT2288" s="82" t="str">
        <f aca="false">IF(AS2288=1,SUM(AS$7:AS2288),"")</f>
        <v/>
      </c>
      <c r="AU2288" s="82" t="n">
        <f aca="false">IF(AND(OR(AA2288="R",AA2288="NX",AA2288="NT",AA2288="CO"),OR('JOINTS DE RÉPARATION'!$D$5="TOUTES",B2288='JOINTS DE RÉPARATION'!$D$5),OR('JOINTS DE RÉPARATION'!$L$4="TOUS",AQ2288&lt;&gt;"ACCEPTÉ")),1,0)</f>
        <v>0</v>
      </c>
      <c r="AV2288" s="82" t="str">
        <f aca="false">IF(AU2288=1,SUM(AU$7:AU2288),"")</f>
        <v/>
      </c>
      <c r="AW2288" s="82" t="str">
        <f aca="false">IF(E2288="","",B2288&amp;"|"&amp;E2288)</f>
        <v>MFD-ISW → MFD-CPF|JN°1804</v>
      </c>
    </row>
    <row r="2289" customFormat="false" ht="74.6" hidden="false" customHeight="false" outlineLevel="0" collapsed="false">
      <c r="A2289" s="79" t="n">
        <f aca="false">IF(E2289="","",ROW()-6)</f>
        <v>2283</v>
      </c>
      <c r="B2289" s="80" t="s">
        <v>110</v>
      </c>
      <c r="C2289" s="81" t="s">
        <v>926</v>
      </c>
      <c r="D2289" s="81" t="n">
        <v>22</v>
      </c>
      <c r="E2289" s="81" t="s">
        <v>2776</v>
      </c>
      <c r="F2289" s="82" t="str">
        <f aca="false">IF(E2289="","",IF(LEFT(E2289,2)="DJ","DJ","JN"))</f>
        <v>JN</v>
      </c>
      <c r="G2289" s="81"/>
      <c r="H2289" s="81"/>
      <c r="I2289" s="81"/>
      <c r="J2289" s="81"/>
      <c r="K2289" s="81"/>
      <c r="L2289" s="81"/>
      <c r="M2289" s="81"/>
      <c r="N2289" s="81"/>
      <c r="O2289" s="81"/>
      <c r="P2289" s="81"/>
      <c r="Q2289" s="81"/>
      <c r="R2289" s="81"/>
      <c r="S2289" s="81"/>
      <c r="T2289" s="81"/>
      <c r="U2289" s="83"/>
      <c r="V2289" s="83"/>
      <c r="W2289" s="81"/>
      <c r="X2289" s="81"/>
      <c r="Y2289" s="83"/>
      <c r="Z2289" s="81"/>
      <c r="AA2289" s="81"/>
      <c r="AB2289" s="81"/>
      <c r="AC2289" s="81"/>
      <c r="AD2289" s="81"/>
      <c r="AE2289" s="83"/>
      <c r="AF2289" s="81"/>
      <c r="AG2289" s="81"/>
      <c r="AH2289" s="81"/>
      <c r="AI2289" s="81"/>
      <c r="AJ2289" s="83"/>
      <c r="AK2289" s="81"/>
      <c r="AL2289" s="81"/>
      <c r="AM2289" s="83"/>
      <c r="AN2289" s="80"/>
      <c r="AO2289" s="82" t="n">
        <f aca="false">IF(E2289="","",(AA2289&lt;&gt;"")+(AG2289&lt;&gt;"")+(AL2289&lt;&gt;""))</f>
        <v>0</v>
      </c>
      <c r="AP2289" s="82" t="str">
        <f aca="false">IF(AL2289&lt;&gt;"",AL2289,IF(AG2289&lt;&gt;"",AG2289,IF(AA2289&lt;&gt;"",AA2289,"")))</f>
        <v/>
      </c>
      <c r="AQ2289" s="84" t="str">
        <f aca="false">IF(E2289="","",IF(U2289="","À SOUDER",IF(X2289="","VT EN ATTENTE",IF(X2289="R","VT REJETÉ – À REPRENDRE",IF(AP2289="","À RADIOGRAPHIER",IF(AP2289="A","ACCEPTÉ",IF(AP2289="NX","NX – RT À REFAIRE",IF(IF(AO2289=1,AD2289,IF(AO2289=2,AI2289,""))="A","RÉPARÉ – À RADIOGRAPHIER",IF(IF(AO2289=1,AD2289,IF(AO2289=2,AI2289,""))="R","VT REJETÉ – À REPRENDRE",IF(OR(AP2289="CO",AP2289="NT"),"COUPE – À RESOUDER","À RÉPARER"))))))))))</f>
        <v>À SOUDER</v>
      </c>
      <c r="AR2289" s="82" t="str">
        <f aca="false">IF(AND(ISNUMBER(U2289),OR(AQ2289="À RADIOGRAPHIER",AQ2289="RÉPARÉ – À RADIOGRAPHIER",AQ2289="NX – RT À REFAIRE",AQ2289="À RÉPARER",AQ2289="COUPE – À RESOUDER",AQ2289="VT REJETÉ – À REPRENDRE")),MAX(0,'PROGRAMME RT'!$C$4-U2289),"")</f>
        <v/>
      </c>
      <c r="AS2289" s="82" t="n">
        <f aca="false">IF(AND(OR(AQ2289="À RADIOGRAPHIER",AQ2289="RÉPARÉ – À RADIOGRAPHIER",AQ2289="NX – RT À REFAIRE"),OR('PROGRAMME RT'!$D$5="TOUTES",B2289='PROGRAMME RT'!$D$5)),1,0)</f>
        <v>0</v>
      </c>
      <c r="AT2289" s="82" t="str">
        <f aca="false">IF(AS2289=1,SUM(AS$7:AS2289),"")</f>
        <v/>
      </c>
      <c r="AU2289" s="82" t="n">
        <f aca="false">IF(AND(OR(AA2289="R",AA2289="NX",AA2289="NT",AA2289="CO"),OR('JOINTS DE RÉPARATION'!$D$5="TOUTES",B2289='JOINTS DE RÉPARATION'!$D$5),OR('JOINTS DE RÉPARATION'!$L$4="TOUS",AQ2289&lt;&gt;"ACCEPTÉ")),1,0)</f>
        <v>0</v>
      </c>
      <c r="AV2289" s="82" t="str">
        <f aca="false">IF(AU2289=1,SUM(AU$7:AU2289),"")</f>
        <v/>
      </c>
      <c r="AW2289" s="82" t="str">
        <f aca="false">IF(E2289="","",B2289&amp;"|"&amp;E2289)</f>
        <v>MFD-ISW → MFD-CPF|JN°1805</v>
      </c>
    </row>
    <row r="2290" customFormat="false" ht="74.6" hidden="false" customHeight="false" outlineLevel="0" collapsed="false">
      <c r="A2290" s="79" t="n">
        <f aca="false">IF(E2290="","",ROW()-6)</f>
        <v>2284</v>
      </c>
      <c r="B2290" s="80" t="s">
        <v>110</v>
      </c>
      <c r="C2290" s="81" t="s">
        <v>926</v>
      </c>
      <c r="D2290" s="81" t="n">
        <v>22</v>
      </c>
      <c r="E2290" s="81" t="s">
        <v>2777</v>
      </c>
      <c r="F2290" s="82" t="str">
        <f aca="false">IF(E2290="","",IF(LEFT(E2290,2)="DJ","DJ","JN"))</f>
        <v>JN</v>
      </c>
      <c r="G2290" s="81"/>
      <c r="H2290" s="81"/>
      <c r="I2290" s="81"/>
      <c r="J2290" s="81"/>
      <c r="K2290" s="81"/>
      <c r="L2290" s="81"/>
      <c r="M2290" s="81"/>
      <c r="N2290" s="81"/>
      <c r="O2290" s="81"/>
      <c r="P2290" s="81"/>
      <c r="Q2290" s="81"/>
      <c r="R2290" s="81"/>
      <c r="S2290" s="81"/>
      <c r="T2290" s="81"/>
      <c r="U2290" s="83"/>
      <c r="V2290" s="83"/>
      <c r="W2290" s="81"/>
      <c r="X2290" s="81"/>
      <c r="Y2290" s="83"/>
      <c r="Z2290" s="81"/>
      <c r="AA2290" s="81"/>
      <c r="AB2290" s="81"/>
      <c r="AC2290" s="81"/>
      <c r="AD2290" s="81"/>
      <c r="AE2290" s="83"/>
      <c r="AF2290" s="81"/>
      <c r="AG2290" s="81"/>
      <c r="AH2290" s="81"/>
      <c r="AI2290" s="81"/>
      <c r="AJ2290" s="83"/>
      <c r="AK2290" s="81"/>
      <c r="AL2290" s="81"/>
      <c r="AM2290" s="83"/>
      <c r="AN2290" s="80"/>
      <c r="AO2290" s="82" t="n">
        <f aca="false">IF(E2290="","",(AA2290&lt;&gt;"")+(AG2290&lt;&gt;"")+(AL2290&lt;&gt;""))</f>
        <v>0</v>
      </c>
      <c r="AP2290" s="82" t="str">
        <f aca="false">IF(AL2290&lt;&gt;"",AL2290,IF(AG2290&lt;&gt;"",AG2290,IF(AA2290&lt;&gt;"",AA2290,"")))</f>
        <v/>
      </c>
      <c r="AQ2290" s="84" t="str">
        <f aca="false">IF(E2290="","",IF(U2290="","À SOUDER",IF(X2290="","VT EN ATTENTE",IF(X2290="R","VT REJETÉ – À REPRENDRE",IF(AP2290="","À RADIOGRAPHIER",IF(AP2290="A","ACCEPTÉ",IF(AP2290="NX","NX – RT À REFAIRE",IF(IF(AO2290=1,AD2290,IF(AO2290=2,AI2290,""))="A","RÉPARÉ – À RADIOGRAPHIER",IF(IF(AO2290=1,AD2290,IF(AO2290=2,AI2290,""))="R","VT REJETÉ – À REPRENDRE",IF(OR(AP2290="CO",AP2290="NT"),"COUPE – À RESOUDER","À RÉPARER"))))))))))</f>
        <v>À SOUDER</v>
      </c>
      <c r="AR2290" s="82" t="str">
        <f aca="false">IF(AND(ISNUMBER(U2290),OR(AQ2290="À RADIOGRAPHIER",AQ2290="RÉPARÉ – À RADIOGRAPHIER",AQ2290="NX – RT À REFAIRE",AQ2290="À RÉPARER",AQ2290="COUPE – À RESOUDER",AQ2290="VT REJETÉ – À REPRENDRE")),MAX(0,'PROGRAMME RT'!$C$4-U2290),"")</f>
        <v/>
      </c>
      <c r="AS2290" s="82" t="n">
        <f aca="false">IF(AND(OR(AQ2290="À RADIOGRAPHIER",AQ2290="RÉPARÉ – À RADIOGRAPHIER",AQ2290="NX – RT À REFAIRE"),OR('PROGRAMME RT'!$D$5="TOUTES",B2290='PROGRAMME RT'!$D$5)),1,0)</f>
        <v>0</v>
      </c>
      <c r="AT2290" s="82" t="str">
        <f aca="false">IF(AS2290=1,SUM(AS$7:AS2290),"")</f>
        <v/>
      </c>
      <c r="AU2290" s="82" t="n">
        <f aca="false">IF(AND(OR(AA2290="R",AA2290="NX",AA2290="NT",AA2290="CO"),OR('JOINTS DE RÉPARATION'!$D$5="TOUTES",B2290='JOINTS DE RÉPARATION'!$D$5),OR('JOINTS DE RÉPARATION'!$L$4="TOUS",AQ2290&lt;&gt;"ACCEPTÉ")),1,0)</f>
        <v>0</v>
      </c>
      <c r="AV2290" s="82" t="str">
        <f aca="false">IF(AU2290=1,SUM(AU$7:AU2290),"")</f>
        <v/>
      </c>
      <c r="AW2290" s="82" t="str">
        <f aca="false">IF(E2290="","",B2290&amp;"|"&amp;E2290)</f>
        <v>MFD-ISW → MFD-CPF|JN°1806</v>
      </c>
    </row>
    <row r="2291" customFormat="false" ht="74.6" hidden="false" customHeight="false" outlineLevel="0" collapsed="false">
      <c r="A2291" s="79" t="n">
        <f aca="false">IF(E2291="","",ROW()-6)</f>
        <v>2285</v>
      </c>
      <c r="B2291" s="80" t="s">
        <v>110</v>
      </c>
      <c r="C2291" s="81" t="s">
        <v>926</v>
      </c>
      <c r="D2291" s="81" t="n">
        <v>22</v>
      </c>
      <c r="E2291" s="81" t="s">
        <v>2778</v>
      </c>
      <c r="F2291" s="82" t="str">
        <f aca="false">IF(E2291="","",IF(LEFT(E2291,2)="DJ","DJ","JN"))</f>
        <v>JN</v>
      </c>
      <c r="G2291" s="81"/>
      <c r="H2291" s="81"/>
      <c r="I2291" s="81"/>
      <c r="J2291" s="81"/>
      <c r="K2291" s="81"/>
      <c r="L2291" s="81"/>
      <c r="M2291" s="81"/>
      <c r="N2291" s="81"/>
      <c r="O2291" s="81"/>
      <c r="P2291" s="81"/>
      <c r="Q2291" s="81"/>
      <c r="R2291" s="81"/>
      <c r="S2291" s="81"/>
      <c r="T2291" s="81"/>
      <c r="U2291" s="83"/>
      <c r="V2291" s="83"/>
      <c r="W2291" s="81"/>
      <c r="X2291" s="81"/>
      <c r="Y2291" s="83"/>
      <c r="Z2291" s="81"/>
      <c r="AA2291" s="81"/>
      <c r="AB2291" s="81"/>
      <c r="AC2291" s="81"/>
      <c r="AD2291" s="81"/>
      <c r="AE2291" s="83"/>
      <c r="AF2291" s="81"/>
      <c r="AG2291" s="81"/>
      <c r="AH2291" s="81"/>
      <c r="AI2291" s="81"/>
      <c r="AJ2291" s="83"/>
      <c r="AK2291" s="81"/>
      <c r="AL2291" s="81"/>
      <c r="AM2291" s="83"/>
      <c r="AN2291" s="80"/>
      <c r="AO2291" s="82" t="n">
        <f aca="false">IF(E2291="","",(AA2291&lt;&gt;"")+(AG2291&lt;&gt;"")+(AL2291&lt;&gt;""))</f>
        <v>0</v>
      </c>
      <c r="AP2291" s="82" t="str">
        <f aca="false">IF(AL2291&lt;&gt;"",AL2291,IF(AG2291&lt;&gt;"",AG2291,IF(AA2291&lt;&gt;"",AA2291,"")))</f>
        <v/>
      </c>
      <c r="AQ2291" s="84" t="str">
        <f aca="false">IF(E2291="","",IF(U2291="","À SOUDER",IF(X2291="","VT EN ATTENTE",IF(X2291="R","VT REJETÉ – À REPRENDRE",IF(AP2291="","À RADIOGRAPHIER",IF(AP2291="A","ACCEPTÉ",IF(AP2291="NX","NX – RT À REFAIRE",IF(IF(AO2291=1,AD2291,IF(AO2291=2,AI2291,""))="A","RÉPARÉ – À RADIOGRAPHIER",IF(IF(AO2291=1,AD2291,IF(AO2291=2,AI2291,""))="R","VT REJETÉ – À REPRENDRE",IF(OR(AP2291="CO",AP2291="NT"),"COUPE – À RESOUDER","À RÉPARER"))))))))))</f>
        <v>À SOUDER</v>
      </c>
      <c r="AR2291" s="82" t="str">
        <f aca="false">IF(AND(ISNUMBER(U2291),OR(AQ2291="À RADIOGRAPHIER",AQ2291="RÉPARÉ – À RADIOGRAPHIER",AQ2291="NX – RT À REFAIRE",AQ2291="À RÉPARER",AQ2291="COUPE – À RESOUDER",AQ2291="VT REJETÉ – À REPRENDRE")),MAX(0,'PROGRAMME RT'!$C$4-U2291),"")</f>
        <v/>
      </c>
      <c r="AS2291" s="82" t="n">
        <f aca="false">IF(AND(OR(AQ2291="À RADIOGRAPHIER",AQ2291="RÉPARÉ – À RADIOGRAPHIER",AQ2291="NX – RT À REFAIRE"),OR('PROGRAMME RT'!$D$5="TOUTES",B2291='PROGRAMME RT'!$D$5)),1,0)</f>
        <v>0</v>
      </c>
      <c r="AT2291" s="82" t="str">
        <f aca="false">IF(AS2291=1,SUM(AS$7:AS2291),"")</f>
        <v/>
      </c>
      <c r="AU2291" s="82" t="n">
        <f aca="false">IF(AND(OR(AA2291="R",AA2291="NX",AA2291="NT",AA2291="CO"),OR('JOINTS DE RÉPARATION'!$D$5="TOUTES",B2291='JOINTS DE RÉPARATION'!$D$5),OR('JOINTS DE RÉPARATION'!$L$4="TOUS",AQ2291&lt;&gt;"ACCEPTÉ")),1,0)</f>
        <v>0</v>
      </c>
      <c r="AV2291" s="82" t="str">
        <f aca="false">IF(AU2291=1,SUM(AU$7:AU2291),"")</f>
        <v/>
      </c>
      <c r="AW2291" s="82" t="str">
        <f aca="false">IF(E2291="","",B2291&amp;"|"&amp;E2291)</f>
        <v>MFD-ISW → MFD-CPF|JN°1807</v>
      </c>
    </row>
    <row r="2292" customFormat="false" ht="74.6" hidden="false" customHeight="false" outlineLevel="0" collapsed="false">
      <c r="A2292" s="79" t="n">
        <f aca="false">IF(E2292="","",ROW()-6)</f>
        <v>2286</v>
      </c>
      <c r="B2292" s="80" t="s">
        <v>110</v>
      </c>
      <c r="C2292" s="81" t="s">
        <v>926</v>
      </c>
      <c r="D2292" s="81" t="n">
        <v>22</v>
      </c>
      <c r="E2292" s="81" t="s">
        <v>2779</v>
      </c>
      <c r="F2292" s="82" t="str">
        <f aca="false">IF(E2292="","",IF(LEFT(E2292,2)="DJ","DJ","JN"))</f>
        <v>JN</v>
      </c>
      <c r="G2292" s="81"/>
      <c r="H2292" s="81"/>
      <c r="I2292" s="81"/>
      <c r="J2292" s="81"/>
      <c r="K2292" s="81"/>
      <c r="L2292" s="81"/>
      <c r="M2292" s="81"/>
      <c r="N2292" s="81"/>
      <c r="O2292" s="81"/>
      <c r="P2292" s="81"/>
      <c r="Q2292" s="81"/>
      <c r="R2292" s="81"/>
      <c r="S2292" s="81"/>
      <c r="T2292" s="81"/>
      <c r="U2292" s="83"/>
      <c r="V2292" s="83"/>
      <c r="W2292" s="81"/>
      <c r="X2292" s="81"/>
      <c r="Y2292" s="83"/>
      <c r="Z2292" s="81"/>
      <c r="AA2292" s="81"/>
      <c r="AB2292" s="81"/>
      <c r="AC2292" s="81"/>
      <c r="AD2292" s="81"/>
      <c r="AE2292" s="83"/>
      <c r="AF2292" s="81"/>
      <c r="AG2292" s="81"/>
      <c r="AH2292" s="81"/>
      <c r="AI2292" s="81"/>
      <c r="AJ2292" s="83"/>
      <c r="AK2292" s="81"/>
      <c r="AL2292" s="81"/>
      <c r="AM2292" s="83"/>
      <c r="AN2292" s="80"/>
      <c r="AO2292" s="82" t="n">
        <f aca="false">IF(E2292="","",(AA2292&lt;&gt;"")+(AG2292&lt;&gt;"")+(AL2292&lt;&gt;""))</f>
        <v>0</v>
      </c>
      <c r="AP2292" s="82" t="str">
        <f aca="false">IF(AL2292&lt;&gt;"",AL2292,IF(AG2292&lt;&gt;"",AG2292,IF(AA2292&lt;&gt;"",AA2292,"")))</f>
        <v/>
      </c>
      <c r="AQ2292" s="84" t="str">
        <f aca="false">IF(E2292="","",IF(U2292="","À SOUDER",IF(X2292="","VT EN ATTENTE",IF(X2292="R","VT REJETÉ – À REPRENDRE",IF(AP2292="","À RADIOGRAPHIER",IF(AP2292="A","ACCEPTÉ",IF(AP2292="NX","NX – RT À REFAIRE",IF(IF(AO2292=1,AD2292,IF(AO2292=2,AI2292,""))="A","RÉPARÉ – À RADIOGRAPHIER",IF(IF(AO2292=1,AD2292,IF(AO2292=2,AI2292,""))="R","VT REJETÉ – À REPRENDRE",IF(OR(AP2292="CO",AP2292="NT"),"COUPE – À RESOUDER","À RÉPARER"))))))))))</f>
        <v>À SOUDER</v>
      </c>
      <c r="AR2292" s="82" t="str">
        <f aca="false">IF(AND(ISNUMBER(U2292),OR(AQ2292="À RADIOGRAPHIER",AQ2292="RÉPARÉ – À RADIOGRAPHIER",AQ2292="NX – RT À REFAIRE",AQ2292="À RÉPARER",AQ2292="COUPE – À RESOUDER",AQ2292="VT REJETÉ – À REPRENDRE")),MAX(0,'PROGRAMME RT'!$C$4-U2292),"")</f>
        <v/>
      </c>
      <c r="AS2292" s="82" t="n">
        <f aca="false">IF(AND(OR(AQ2292="À RADIOGRAPHIER",AQ2292="RÉPARÉ – À RADIOGRAPHIER",AQ2292="NX – RT À REFAIRE"),OR('PROGRAMME RT'!$D$5="TOUTES",B2292='PROGRAMME RT'!$D$5)),1,0)</f>
        <v>0</v>
      </c>
      <c r="AT2292" s="82" t="str">
        <f aca="false">IF(AS2292=1,SUM(AS$7:AS2292),"")</f>
        <v/>
      </c>
      <c r="AU2292" s="82" t="n">
        <f aca="false">IF(AND(OR(AA2292="R",AA2292="NX",AA2292="NT",AA2292="CO"),OR('JOINTS DE RÉPARATION'!$D$5="TOUTES",B2292='JOINTS DE RÉPARATION'!$D$5),OR('JOINTS DE RÉPARATION'!$L$4="TOUS",AQ2292&lt;&gt;"ACCEPTÉ")),1,0)</f>
        <v>0</v>
      </c>
      <c r="AV2292" s="82" t="str">
        <f aca="false">IF(AU2292=1,SUM(AU$7:AU2292),"")</f>
        <v/>
      </c>
      <c r="AW2292" s="82" t="str">
        <f aca="false">IF(E2292="","",B2292&amp;"|"&amp;E2292)</f>
        <v>MFD-ISW → MFD-CPF|JN°1808</v>
      </c>
    </row>
    <row r="2293" customFormat="false" ht="74.6" hidden="false" customHeight="false" outlineLevel="0" collapsed="false">
      <c r="A2293" s="79" t="n">
        <f aca="false">IF(E2293="","",ROW()-6)</f>
        <v>2287</v>
      </c>
      <c r="B2293" s="80" t="s">
        <v>110</v>
      </c>
      <c r="C2293" s="81" t="s">
        <v>926</v>
      </c>
      <c r="D2293" s="81" t="n">
        <v>22</v>
      </c>
      <c r="E2293" s="81" t="s">
        <v>2780</v>
      </c>
      <c r="F2293" s="82" t="str">
        <f aca="false">IF(E2293="","",IF(LEFT(E2293,2)="DJ","DJ","JN"))</f>
        <v>JN</v>
      </c>
      <c r="G2293" s="81"/>
      <c r="H2293" s="81"/>
      <c r="I2293" s="81"/>
      <c r="J2293" s="81"/>
      <c r="K2293" s="81"/>
      <c r="L2293" s="81"/>
      <c r="M2293" s="81"/>
      <c r="N2293" s="81"/>
      <c r="O2293" s="81" t="n">
        <v>2081750</v>
      </c>
      <c r="P2293" s="81" t="n">
        <v>15421103</v>
      </c>
      <c r="Q2293" s="81" t="n">
        <v>11.94</v>
      </c>
      <c r="R2293" s="81"/>
      <c r="S2293" s="81"/>
      <c r="T2293" s="81"/>
      <c r="U2293" s="83"/>
      <c r="V2293" s="83"/>
      <c r="W2293" s="81"/>
      <c r="X2293" s="81"/>
      <c r="Y2293" s="83"/>
      <c r="Z2293" s="81"/>
      <c r="AA2293" s="81"/>
      <c r="AB2293" s="81"/>
      <c r="AC2293" s="81"/>
      <c r="AD2293" s="81"/>
      <c r="AE2293" s="83"/>
      <c r="AF2293" s="81"/>
      <c r="AG2293" s="81"/>
      <c r="AH2293" s="81"/>
      <c r="AI2293" s="81"/>
      <c r="AJ2293" s="83"/>
      <c r="AK2293" s="81"/>
      <c r="AL2293" s="81"/>
      <c r="AM2293" s="83"/>
      <c r="AN2293" s="80"/>
      <c r="AO2293" s="82" t="n">
        <f aca="false">IF(E2293="","",(AA2293&lt;&gt;"")+(AG2293&lt;&gt;"")+(AL2293&lt;&gt;""))</f>
        <v>0</v>
      </c>
      <c r="AP2293" s="82" t="str">
        <f aca="false">IF(AL2293&lt;&gt;"",AL2293,IF(AG2293&lt;&gt;"",AG2293,IF(AA2293&lt;&gt;"",AA2293,"")))</f>
        <v/>
      </c>
      <c r="AQ2293" s="84" t="str">
        <f aca="false">IF(E2293="","",IF(U2293="","À SOUDER",IF(X2293="","VT EN ATTENTE",IF(X2293="R","VT REJETÉ – À REPRENDRE",IF(AP2293="","À RADIOGRAPHIER",IF(AP2293="A","ACCEPTÉ",IF(AP2293="NX","NX – RT À REFAIRE",IF(IF(AO2293=1,AD2293,IF(AO2293=2,AI2293,""))="A","RÉPARÉ – À RADIOGRAPHIER",IF(IF(AO2293=1,AD2293,IF(AO2293=2,AI2293,""))="R","VT REJETÉ – À REPRENDRE",IF(OR(AP2293="CO",AP2293="NT"),"COUPE – À RESOUDER","À RÉPARER"))))))))))</f>
        <v>À SOUDER</v>
      </c>
      <c r="AR2293" s="82" t="str">
        <f aca="false">IF(AND(ISNUMBER(U2293),OR(AQ2293="À RADIOGRAPHIER",AQ2293="RÉPARÉ – À RADIOGRAPHIER",AQ2293="NX – RT À REFAIRE",AQ2293="À RÉPARER",AQ2293="COUPE – À RESOUDER",AQ2293="VT REJETÉ – À REPRENDRE")),MAX(0,'PROGRAMME RT'!$C$4-U2293),"")</f>
        <v/>
      </c>
      <c r="AS2293" s="82" t="n">
        <f aca="false">IF(AND(OR(AQ2293="À RADIOGRAPHIER",AQ2293="RÉPARÉ – À RADIOGRAPHIER",AQ2293="NX – RT À REFAIRE"),OR('PROGRAMME RT'!$D$5="TOUTES",B2293='PROGRAMME RT'!$D$5)),1,0)</f>
        <v>0</v>
      </c>
      <c r="AT2293" s="82" t="str">
        <f aca="false">IF(AS2293=1,SUM(AS$7:AS2293),"")</f>
        <v/>
      </c>
      <c r="AU2293" s="82" t="n">
        <f aca="false">IF(AND(OR(AA2293="R",AA2293="NX",AA2293="NT",AA2293="CO"),OR('JOINTS DE RÉPARATION'!$D$5="TOUTES",B2293='JOINTS DE RÉPARATION'!$D$5),OR('JOINTS DE RÉPARATION'!$L$4="TOUS",AQ2293&lt;&gt;"ACCEPTÉ")),1,0)</f>
        <v>0</v>
      </c>
      <c r="AV2293" s="82" t="str">
        <f aca="false">IF(AU2293=1,SUM(AU$7:AU2293),"")</f>
        <v/>
      </c>
      <c r="AW2293" s="82" t="str">
        <f aca="false">IF(E2293="","",B2293&amp;"|"&amp;E2293)</f>
        <v>MFD-ISW → MFD-CPF|JN°1809</v>
      </c>
    </row>
    <row r="2294" customFormat="false" ht="74.6" hidden="false" customHeight="false" outlineLevel="0" collapsed="false">
      <c r="A2294" s="79" t="n">
        <f aca="false">IF(E2294="","",ROW()-6)</f>
        <v>2288</v>
      </c>
      <c r="B2294" s="80" t="s">
        <v>110</v>
      </c>
      <c r="C2294" s="81" t="s">
        <v>2781</v>
      </c>
      <c r="D2294" s="81" t="n">
        <v>22</v>
      </c>
      <c r="E2294" s="81" t="s">
        <v>2782</v>
      </c>
      <c r="F2294" s="82" t="str">
        <f aca="false">IF(E2294="","",IF(LEFT(E2294,2)="DJ","DJ","JN"))</f>
        <v>JN</v>
      </c>
      <c r="G2294" s="81" t="s">
        <v>1504</v>
      </c>
      <c r="H2294" s="81" t="s">
        <v>871</v>
      </c>
      <c r="I2294" s="81" t="n">
        <v>9.53</v>
      </c>
      <c r="J2294" s="81" t="s">
        <v>872</v>
      </c>
      <c r="K2294" s="81" t="s">
        <v>879</v>
      </c>
      <c r="L2294" s="81" t="n">
        <v>2081750</v>
      </c>
      <c r="M2294" s="81" t="n">
        <v>15421103</v>
      </c>
      <c r="N2294" s="81" t="n">
        <v>11.94</v>
      </c>
      <c r="O2294" s="81" t="n">
        <v>2097780</v>
      </c>
      <c r="P2294" s="81" t="n">
        <v>15421112</v>
      </c>
      <c r="Q2294" s="81" t="n">
        <v>11.94</v>
      </c>
      <c r="R2294" s="81" t="s">
        <v>2748</v>
      </c>
      <c r="S2294" s="81"/>
      <c r="T2294" s="81"/>
      <c r="U2294" s="83" t="n">
        <v>46260</v>
      </c>
      <c r="V2294" s="83" t="n">
        <v>46260</v>
      </c>
      <c r="W2294" s="81" t="s">
        <v>2743</v>
      </c>
      <c r="X2294" s="81" t="s">
        <v>876</v>
      </c>
      <c r="Y2294" s="83" t="n">
        <v>46264</v>
      </c>
      <c r="Z2294" s="81" t="s">
        <v>2749</v>
      </c>
      <c r="AA2294" s="81" t="s">
        <v>876</v>
      </c>
      <c r="AB2294" s="81"/>
      <c r="AC2294" s="81"/>
      <c r="AD2294" s="81"/>
      <c r="AE2294" s="83"/>
      <c r="AF2294" s="81"/>
      <c r="AG2294" s="81"/>
      <c r="AH2294" s="81"/>
      <c r="AI2294" s="81"/>
      <c r="AJ2294" s="83"/>
      <c r="AK2294" s="81"/>
      <c r="AL2294" s="81"/>
      <c r="AM2294" s="83"/>
      <c r="AN2294" s="80"/>
      <c r="AO2294" s="82" t="n">
        <f aca="false">IF(E2294="","",(AA2294&lt;&gt;"")+(AG2294&lt;&gt;"")+(AL2294&lt;&gt;""))</f>
        <v>1</v>
      </c>
      <c r="AP2294" s="82" t="str">
        <f aca="false">IF(AL2294&lt;&gt;"",AL2294,IF(AG2294&lt;&gt;"",AG2294,IF(AA2294&lt;&gt;"",AA2294,"")))</f>
        <v>A</v>
      </c>
      <c r="AQ2294" s="84" t="str">
        <f aca="false">IF(E2294="","",IF(U2294="","À SOUDER",IF(X2294="","VT EN ATTENTE",IF(X2294="R","VT REJETÉ – À REPRENDRE",IF(AP2294="","À RADIOGRAPHIER",IF(AP2294="A","ACCEPTÉ",IF(AP2294="NX","NX – RT À REFAIRE",IF(IF(AO2294=1,AD2294,IF(AO2294=2,AI2294,""))="A","RÉPARÉ – À RADIOGRAPHIER",IF(IF(AO2294=1,AD2294,IF(AO2294=2,AI2294,""))="R","VT REJETÉ – À REPRENDRE",IF(OR(AP2294="CO",AP2294="NT"),"COUPE – À RESOUDER","À RÉPARER"))))))))))</f>
        <v>ACCEPTÉ</v>
      </c>
      <c r="AR2294" s="82" t="str">
        <f aca="false">IF(AND(ISNUMBER(U2294),OR(AQ2294="À RADIOGRAPHIER",AQ2294="RÉPARÉ – À RADIOGRAPHIER",AQ2294="NX – RT À REFAIRE",AQ2294="À RÉPARER",AQ2294="COUPE – À RESOUDER",AQ2294="VT REJETÉ – À REPRENDRE")),MAX(0,'PROGRAMME RT'!$C$4-U2294),"")</f>
        <v/>
      </c>
      <c r="AS2294" s="82" t="n">
        <f aca="false">IF(AND(OR(AQ2294="À RADIOGRAPHIER",AQ2294="RÉPARÉ – À RADIOGRAPHIER",AQ2294="NX – RT À REFAIRE"),OR('PROGRAMME RT'!$D$5="TOUTES",B2294='PROGRAMME RT'!$D$5)),1,0)</f>
        <v>0</v>
      </c>
      <c r="AT2294" s="82" t="str">
        <f aca="false">IF(AS2294=1,SUM(AS$7:AS2294),"")</f>
        <v/>
      </c>
      <c r="AU2294" s="82" t="n">
        <f aca="false">IF(AND(OR(AA2294="R",AA2294="NX",AA2294="NT",AA2294="CO"),OR('JOINTS DE RÉPARATION'!$D$5="TOUTES",B2294='JOINTS DE RÉPARATION'!$D$5),OR('JOINTS DE RÉPARATION'!$L$4="TOUS",AQ2294&lt;&gt;"ACCEPTÉ")),1,0)</f>
        <v>0</v>
      </c>
      <c r="AV2294" s="82" t="str">
        <f aca="false">IF(AU2294=1,SUM(AU$7:AU2294),"")</f>
        <v/>
      </c>
      <c r="AW2294" s="82" t="str">
        <f aca="false">IF(E2294="","",B2294&amp;"|"&amp;E2294)</f>
        <v>MFD-ISW → MFD-CPF|JN°1810</v>
      </c>
    </row>
    <row r="2295" customFormat="false" ht="74.6" hidden="false" customHeight="false" outlineLevel="0" collapsed="false">
      <c r="A2295" s="79" t="n">
        <f aca="false">IF(E2295="","",ROW()-6)</f>
        <v>2289</v>
      </c>
      <c r="B2295" s="80" t="s">
        <v>110</v>
      </c>
      <c r="C2295" s="81" t="s">
        <v>2781</v>
      </c>
      <c r="D2295" s="81" t="n">
        <v>22</v>
      </c>
      <c r="E2295" s="81" t="s">
        <v>2783</v>
      </c>
      <c r="F2295" s="82" t="str">
        <f aca="false">IF(E2295="","",IF(LEFT(E2295,2)="DJ","DJ","JN"))</f>
        <v>JN</v>
      </c>
      <c r="G2295" s="81" t="s">
        <v>1504</v>
      </c>
      <c r="H2295" s="81" t="s">
        <v>871</v>
      </c>
      <c r="I2295" s="81" t="n">
        <v>9.53</v>
      </c>
      <c r="J2295" s="81" t="s">
        <v>872</v>
      </c>
      <c r="K2295" s="81" t="s">
        <v>879</v>
      </c>
      <c r="L2295" s="81" t="n">
        <v>2097780</v>
      </c>
      <c r="M2295" s="81" t="n">
        <v>15421112</v>
      </c>
      <c r="N2295" s="81" t="n">
        <v>11.94</v>
      </c>
      <c r="O2295" s="81" t="n">
        <v>20889420</v>
      </c>
      <c r="P2295" s="81" t="n">
        <v>15421109</v>
      </c>
      <c r="Q2295" s="81" t="n">
        <v>11.94</v>
      </c>
      <c r="R2295" s="81" t="s">
        <v>2748</v>
      </c>
      <c r="S2295" s="81"/>
      <c r="T2295" s="81"/>
      <c r="U2295" s="83" t="n">
        <v>46260</v>
      </c>
      <c r="V2295" s="83" t="n">
        <v>46260</v>
      </c>
      <c r="W2295" s="81" t="s">
        <v>2743</v>
      </c>
      <c r="X2295" s="81" t="s">
        <v>876</v>
      </c>
      <c r="Y2295" s="83" t="n">
        <v>46267</v>
      </c>
      <c r="Z2295" s="81" t="s">
        <v>2693</v>
      </c>
      <c r="AA2295" s="81" t="s">
        <v>876</v>
      </c>
      <c r="AB2295" s="81"/>
      <c r="AC2295" s="81"/>
      <c r="AD2295" s="81"/>
      <c r="AE2295" s="83"/>
      <c r="AF2295" s="81"/>
      <c r="AG2295" s="81"/>
      <c r="AH2295" s="81"/>
      <c r="AI2295" s="81"/>
      <c r="AJ2295" s="83"/>
      <c r="AK2295" s="81"/>
      <c r="AL2295" s="81"/>
      <c r="AM2295" s="83"/>
      <c r="AN2295" s="80"/>
      <c r="AO2295" s="82" t="n">
        <f aca="false">IF(E2295="","",(AA2295&lt;&gt;"")+(AG2295&lt;&gt;"")+(AL2295&lt;&gt;""))</f>
        <v>1</v>
      </c>
      <c r="AP2295" s="82" t="str">
        <f aca="false">IF(AL2295&lt;&gt;"",AL2295,IF(AG2295&lt;&gt;"",AG2295,IF(AA2295&lt;&gt;"",AA2295,"")))</f>
        <v>A</v>
      </c>
      <c r="AQ2295" s="84" t="str">
        <f aca="false">IF(E2295="","",IF(U2295="","À SOUDER",IF(X2295="","VT EN ATTENTE",IF(X2295="R","VT REJETÉ – À REPRENDRE",IF(AP2295="","À RADIOGRAPHIER",IF(AP2295="A","ACCEPTÉ",IF(AP2295="NX","NX – RT À REFAIRE",IF(IF(AO2295=1,AD2295,IF(AO2295=2,AI2295,""))="A","RÉPARÉ – À RADIOGRAPHIER",IF(IF(AO2295=1,AD2295,IF(AO2295=2,AI2295,""))="R","VT REJETÉ – À REPRENDRE",IF(OR(AP2295="CO",AP2295="NT"),"COUPE – À RESOUDER","À RÉPARER"))))))))))</f>
        <v>ACCEPTÉ</v>
      </c>
      <c r="AR2295" s="82" t="str">
        <f aca="false">IF(AND(ISNUMBER(U2295),OR(AQ2295="À RADIOGRAPHIER",AQ2295="RÉPARÉ – À RADIOGRAPHIER",AQ2295="NX – RT À REFAIRE",AQ2295="À RÉPARER",AQ2295="COUPE – À RESOUDER",AQ2295="VT REJETÉ – À REPRENDRE")),MAX(0,'PROGRAMME RT'!$C$4-U2295),"")</f>
        <v/>
      </c>
      <c r="AS2295" s="82" t="n">
        <f aca="false">IF(AND(OR(AQ2295="À RADIOGRAPHIER",AQ2295="RÉPARÉ – À RADIOGRAPHIER",AQ2295="NX – RT À REFAIRE"),OR('PROGRAMME RT'!$D$5="TOUTES",B2295='PROGRAMME RT'!$D$5)),1,0)</f>
        <v>0</v>
      </c>
      <c r="AT2295" s="82" t="str">
        <f aca="false">IF(AS2295=1,SUM(AS$7:AS2295),"")</f>
        <v/>
      </c>
      <c r="AU2295" s="82" t="n">
        <f aca="false">IF(AND(OR(AA2295="R",AA2295="NX",AA2295="NT",AA2295="CO"),OR('JOINTS DE RÉPARATION'!$D$5="TOUTES",B2295='JOINTS DE RÉPARATION'!$D$5),OR('JOINTS DE RÉPARATION'!$L$4="TOUS",AQ2295&lt;&gt;"ACCEPTÉ")),1,0)</f>
        <v>0</v>
      </c>
      <c r="AV2295" s="82" t="str">
        <f aca="false">IF(AU2295=1,SUM(AU$7:AU2295),"")</f>
        <v/>
      </c>
      <c r="AW2295" s="82" t="str">
        <f aca="false">IF(E2295="","",B2295&amp;"|"&amp;E2295)</f>
        <v>MFD-ISW → MFD-CPF|JN°1811</v>
      </c>
    </row>
    <row r="2296" customFormat="false" ht="74.6" hidden="false" customHeight="false" outlineLevel="0" collapsed="false">
      <c r="A2296" s="79" t="n">
        <f aca="false">IF(E2296="","",ROW()-6)</f>
        <v>2290</v>
      </c>
      <c r="B2296" s="80" t="s">
        <v>110</v>
      </c>
      <c r="C2296" s="81" t="s">
        <v>2781</v>
      </c>
      <c r="D2296" s="81" t="n">
        <v>22</v>
      </c>
      <c r="E2296" s="81" t="s">
        <v>2784</v>
      </c>
      <c r="F2296" s="82" t="str">
        <f aca="false">IF(E2296="","",IF(LEFT(E2296,2)="DJ","DJ","JN"))</f>
        <v>JN</v>
      </c>
      <c r="G2296" s="81" t="s">
        <v>1504</v>
      </c>
      <c r="H2296" s="81" t="s">
        <v>871</v>
      </c>
      <c r="I2296" s="81" t="n">
        <v>9.53</v>
      </c>
      <c r="J2296" s="81" t="s">
        <v>872</v>
      </c>
      <c r="K2296" s="81" t="s">
        <v>879</v>
      </c>
      <c r="L2296" s="81" t="n">
        <v>2089420</v>
      </c>
      <c r="M2296" s="81" t="n">
        <v>15421109</v>
      </c>
      <c r="N2296" s="81" t="n">
        <v>11.94</v>
      </c>
      <c r="O2296" s="81" t="n">
        <v>2090480</v>
      </c>
      <c r="P2296" s="81" t="n">
        <v>15421109</v>
      </c>
      <c r="Q2296" s="81" t="n">
        <v>11.94</v>
      </c>
      <c r="R2296" s="81" t="s">
        <v>2748</v>
      </c>
      <c r="S2296" s="81"/>
      <c r="T2296" s="81"/>
      <c r="U2296" s="83" t="n">
        <v>46260</v>
      </c>
      <c r="V2296" s="83" t="n">
        <v>46260</v>
      </c>
      <c r="W2296" s="81" t="s">
        <v>2743</v>
      </c>
      <c r="X2296" s="81" t="s">
        <v>876</v>
      </c>
      <c r="Y2296" s="83" t="n">
        <v>46267</v>
      </c>
      <c r="Z2296" s="81" t="s">
        <v>2693</v>
      </c>
      <c r="AA2296" s="81" t="s">
        <v>876</v>
      </c>
      <c r="AB2296" s="81"/>
      <c r="AC2296" s="81"/>
      <c r="AD2296" s="81"/>
      <c r="AE2296" s="83"/>
      <c r="AF2296" s="81"/>
      <c r="AG2296" s="81"/>
      <c r="AH2296" s="81"/>
      <c r="AI2296" s="81"/>
      <c r="AJ2296" s="83"/>
      <c r="AK2296" s="81"/>
      <c r="AL2296" s="81"/>
      <c r="AM2296" s="83"/>
      <c r="AN2296" s="80"/>
      <c r="AO2296" s="82" t="n">
        <f aca="false">IF(E2296="","",(AA2296&lt;&gt;"")+(AG2296&lt;&gt;"")+(AL2296&lt;&gt;""))</f>
        <v>1</v>
      </c>
      <c r="AP2296" s="82" t="str">
        <f aca="false">IF(AL2296&lt;&gt;"",AL2296,IF(AG2296&lt;&gt;"",AG2296,IF(AA2296&lt;&gt;"",AA2296,"")))</f>
        <v>A</v>
      </c>
      <c r="AQ2296" s="84" t="str">
        <f aca="false">IF(E2296="","",IF(U2296="","À SOUDER",IF(X2296="","VT EN ATTENTE",IF(X2296="R","VT REJETÉ – À REPRENDRE",IF(AP2296="","À RADIOGRAPHIER",IF(AP2296="A","ACCEPTÉ",IF(AP2296="NX","NX – RT À REFAIRE",IF(IF(AO2296=1,AD2296,IF(AO2296=2,AI2296,""))="A","RÉPARÉ – À RADIOGRAPHIER",IF(IF(AO2296=1,AD2296,IF(AO2296=2,AI2296,""))="R","VT REJETÉ – À REPRENDRE",IF(OR(AP2296="CO",AP2296="NT"),"COUPE – À RESOUDER","À RÉPARER"))))))))))</f>
        <v>ACCEPTÉ</v>
      </c>
      <c r="AR2296" s="82" t="str">
        <f aca="false">IF(AND(ISNUMBER(U2296),OR(AQ2296="À RADIOGRAPHIER",AQ2296="RÉPARÉ – À RADIOGRAPHIER",AQ2296="NX – RT À REFAIRE",AQ2296="À RÉPARER",AQ2296="COUPE – À RESOUDER",AQ2296="VT REJETÉ – À REPRENDRE")),MAX(0,'PROGRAMME RT'!$C$4-U2296),"")</f>
        <v/>
      </c>
      <c r="AS2296" s="82" t="n">
        <f aca="false">IF(AND(OR(AQ2296="À RADIOGRAPHIER",AQ2296="RÉPARÉ – À RADIOGRAPHIER",AQ2296="NX – RT À REFAIRE"),OR('PROGRAMME RT'!$D$5="TOUTES",B2296='PROGRAMME RT'!$D$5)),1,0)</f>
        <v>0</v>
      </c>
      <c r="AT2296" s="82" t="str">
        <f aca="false">IF(AS2296=1,SUM(AS$7:AS2296),"")</f>
        <v/>
      </c>
      <c r="AU2296" s="82" t="n">
        <f aca="false">IF(AND(OR(AA2296="R",AA2296="NX",AA2296="NT",AA2296="CO"),OR('JOINTS DE RÉPARATION'!$D$5="TOUTES",B2296='JOINTS DE RÉPARATION'!$D$5),OR('JOINTS DE RÉPARATION'!$L$4="TOUS",AQ2296&lt;&gt;"ACCEPTÉ")),1,0)</f>
        <v>0</v>
      </c>
      <c r="AV2296" s="82" t="str">
        <f aca="false">IF(AU2296=1,SUM(AU$7:AU2296),"")</f>
        <v/>
      </c>
      <c r="AW2296" s="82" t="str">
        <f aca="false">IF(E2296="","",B2296&amp;"|"&amp;E2296)</f>
        <v>MFD-ISW → MFD-CPF|JN°1812</v>
      </c>
    </row>
    <row r="2297" customFormat="false" ht="74.6" hidden="false" customHeight="false" outlineLevel="0" collapsed="false">
      <c r="A2297" s="79" t="n">
        <f aca="false">IF(E2297="","",ROW()-6)</f>
        <v>2291</v>
      </c>
      <c r="B2297" s="80" t="s">
        <v>110</v>
      </c>
      <c r="C2297" s="81" t="s">
        <v>2781</v>
      </c>
      <c r="D2297" s="81" t="n">
        <v>22</v>
      </c>
      <c r="E2297" s="81" t="s">
        <v>2785</v>
      </c>
      <c r="F2297" s="82" t="str">
        <f aca="false">IF(E2297="","",IF(LEFT(E2297,2)="DJ","DJ","JN"))</f>
        <v>JN</v>
      </c>
      <c r="G2297" s="81" t="s">
        <v>1504</v>
      </c>
      <c r="H2297" s="81" t="s">
        <v>871</v>
      </c>
      <c r="I2297" s="81" t="n">
        <v>9.53</v>
      </c>
      <c r="J2297" s="81" t="s">
        <v>872</v>
      </c>
      <c r="K2297" s="81" t="s">
        <v>879</v>
      </c>
      <c r="L2297" s="81" t="n">
        <v>2090480</v>
      </c>
      <c r="M2297" s="81" t="n">
        <v>15421109</v>
      </c>
      <c r="N2297" s="81" t="n">
        <v>11.94</v>
      </c>
      <c r="O2297" s="81" t="n">
        <v>2093050</v>
      </c>
      <c r="P2297" s="81" t="n">
        <v>15421110</v>
      </c>
      <c r="Q2297" s="81" t="n">
        <v>11.94</v>
      </c>
      <c r="R2297" s="81" t="s">
        <v>2748</v>
      </c>
      <c r="S2297" s="81"/>
      <c r="T2297" s="81"/>
      <c r="U2297" s="83" t="n">
        <v>46260</v>
      </c>
      <c r="V2297" s="83" t="n">
        <v>46260</v>
      </c>
      <c r="W2297" s="81" t="s">
        <v>2786</v>
      </c>
      <c r="X2297" s="81" t="s">
        <v>876</v>
      </c>
      <c r="Y2297" s="83" t="n">
        <v>46264</v>
      </c>
      <c r="Z2297" s="81" t="s">
        <v>2749</v>
      </c>
      <c r="AA2297" s="81" t="s">
        <v>876</v>
      </c>
      <c r="AB2297" s="81"/>
      <c r="AC2297" s="81"/>
      <c r="AD2297" s="81"/>
      <c r="AE2297" s="83"/>
      <c r="AF2297" s="81"/>
      <c r="AG2297" s="81"/>
      <c r="AH2297" s="81"/>
      <c r="AI2297" s="81"/>
      <c r="AJ2297" s="83"/>
      <c r="AK2297" s="81"/>
      <c r="AL2297" s="81"/>
      <c r="AM2297" s="83"/>
      <c r="AN2297" s="80"/>
      <c r="AO2297" s="82" t="n">
        <f aca="false">IF(E2297="","",(AA2297&lt;&gt;"")+(AG2297&lt;&gt;"")+(AL2297&lt;&gt;""))</f>
        <v>1</v>
      </c>
      <c r="AP2297" s="82" t="str">
        <f aca="false">IF(AL2297&lt;&gt;"",AL2297,IF(AG2297&lt;&gt;"",AG2297,IF(AA2297&lt;&gt;"",AA2297,"")))</f>
        <v>A</v>
      </c>
      <c r="AQ2297" s="84" t="str">
        <f aca="false">IF(E2297="","",IF(U2297="","À SOUDER",IF(X2297="","VT EN ATTENTE",IF(X2297="R","VT REJETÉ – À REPRENDRE",IF(AP2297="","À RADIOGRAPHIER",IF(AP2297="A","ACCEPTÉ",IF(AP2297="NX","NX – RT À REFAIRE",IF(IF(AO2297=1,AD2297,IF(AO2297=2,AI2297,""))="A","RÉPARÉ – À RADIOGRAPHIER",IF(IF(AO2297=1,AD2297,IF(AO2297=2,AI2297,""))="R","VT REJETÉ – À REPRENDRE",IF(OR(AP2297="CO",AP2297="NT"),"COUPE – À RESOUDER","À RÉPARER"))))))))))</f>
        <v>ACCEPTÉ</v>
      </c>
      <c r="AR2297" s="82" t="str">
        <f aca="false">IF(AND(ISNUMBER(U2297),OR(AQ2297="À RADIOGRAPHIER",AQ2297="RÉPARÉ – À RADIOGRAPHIER",AQ2297="NX – RT À REFAIRE",AQ2297="À RÉPARER",AQ2297="COUPE – À RESOUDER",AQ2297="VT REJETÉ – À REPRENDRE")),MAX(0,'PROGRAMME RT'!$C$4-U2297),"")</f>
        <v/>
      </c>
      <c r="AS2297" s="82" t="n">
        <f aca="false">IF(AND(OR(AQ2297="À RADIOGRAPHIER",AQ2297="RÉPARÉ – À RADIOGRAPHIER",AQ2297="NX – RT À REFAIRE"),OR('PROGRAMME RT'!$D$5="TOUTES",B2297='PROGRAMME RT'!$D$5)),1,0)</f>
        <v>0</v>
      </c>
      <c r="AT2297" s="82" t="str">
        <f aca="false">IF(AS2297=1,SUM(AS$7:AS2297),"")</f>
        <v/>
      </c>
      <c r="AU2297" s="82" t="n">
        <f aca="false">IF(AND(OR(AA2297="R",AA2297="NX",AA2297="NT",AA2297="CO"),OR('JOINTS DE RÉPARATION'!$D$5="TOUTES",B2297='JOINTS DE RÉPARATION'!$D$5),OR('JOINTS DE RÉPARATION'!$L$4="TOUS",AQ2297&lt;&gt;"ACCEPTÉ")),1,0)</f>
        <v>0</v>
      </c>
      <c r="AV2297" s="82" t="str">
        <f aca="false">IF(AU2297=1,SUM(AU$7:AU2297),"")</f>
        <v/>
      </c>
      <c r="AW2297" s="82" t="str">
        <f aca="false">IF(E2297="","",B2297&amp;"|"&amp;E2297)</f>
        <v>MFD-ISW → MFD-CPF|JN°1813</v>
      </c>
    </row>
    <row r="2298" customFormat="false" ht="74.6" hidden="false" customHeight="false" outlineLevel="0" collapsed="false">
      <c r="A2298" s="79" t="n">
        <f aca="false">IF(E2298="","",ROW()-6)</f>
        <v>2292</v>
      </c>
      <c r="B2298" s="80" t="s">
        <v>110</v>
      </c>
      <c r="C2298" s="81" t="s">
        <v>2781</v>
      </c>
      <c r="D2298" s="81" t="n">
        <v>22</v>
      </c>
      <c r="E2298" s="81" t="s">
        <v>2787</v>
      </c>
      <c r="F2298" s="82" t="str">
        <f aca="false">IF(E2298="","",IF(LEFT(E2298,2)="DJ","DJ","JN"))</f>
        <v>JN</v>
      </c>
      <c r="G2298" s="81" t="s">
        <v>1504</v>
      </c>
      <c r="H2298" s="81" t="s">
        <v>871</v>
      </c>
      <c r="I2298" s="81" t="n">
        <v>9.53</v>
      </c>
      <c r="J2298" s="81" t="s">
        <v>872</v>
      </c>
      <c r="K2298" s="81" t="s">
        <v>879</v>
      </c>
      <c r="L2298" s="81" t="n">
        <v>2093050</v>
      </c>
      <c r="M2298" s="81" t="n">
        <v>15421110</v>
      </c>
      <c r="N2298" s="81" t="n">
        <v>11.94</v>
      </c>
      <c r="O2298" s="81" t="n">
        <v>209510</v>
      </c>
      <c r="P2298" s="81" t="n">
        <v>15421109</v>
      </c>
      <c r="Q2298" s="81" t="n">
        <v>11.94</v>
      </c>
      <c r="R2298" s="81" t="s">
        <v>2748</v>
      </c>
      <c r="S2298" s="81"/>
      <c r="T2298" s="81"/>
      <c r="U2298" s="83" t="n">
        <v>46260</v>
      </c>
      <c r="V2298" s="83" t="n">
        <v>46260</v>
      </c>
      <c r="W2298" s="81" t="s">
        <v>2786</v>
      </c>
      <c r="X2298" s="81" t="s">
        <v>876</v>
      </c>
      <c r="Y2298" s="83" t="n">
        <v>46264</v>
      </c>
      <c r="Z2298" s="81" t="s">
        <v>2749</v>
      </c>
      <c r="AA2298" s="81" t="s">
        <v>876</v>
      </c>
      <c r="AB2298" s="81"/>
      <c r="AC2298" s="81"/>
      <c r="AD2298" s="81"/>
      <c r="AE2298" s="83"/>
      <c r="AF2298" s="81"/>
      <c r="AG2298" s="81"/>
      <c r="AH2298" s="81"/>
      <c r="AI2298" s="81"/>
      <c r="AJ2298" s="83"/>
      <c r="AK2298" s="81"/>
      <c r="AL2298" s="81"/>
      <c r="AM2298" s="83"/>
      <c r="AN2298" s="80"/>
      <c r="AO2298" s="82" t="n">
        <f aca="false">IF(E2298="","",(AA2298&lt;&gt;"")+(AG2298&lt;&gt;"")+(AL2298&lt;&gt;""))</f>
        <v>1</v>
      </c>
      <c r="AP2298" s="82" t="str">
        <f aca="false">IF(AL2298&lt;&gt;"",AL2298,IF(AG2298&lt;&gt;"",AG2298,IF(AA2298&lt;&gt;"",AA2298,"")))</f>
        <v>A</v>
      </c>
      <c r="AQ2298" s="84" t="str">
        <f aca="false">IF(E2298="","",IF(U2298="","À SOUDER",IF(X2298="","VT EN ATTENTE",IF(X2298="R","VT REJETÉ – À REPRENDRE",IF(AP2298="","À RADIOGRAPHIER",IF(AP2298="A","ACCEPTÉ",IF(AP2298="NX","NX – RT À REFAIRE",IF(IF(AO2298=1,AD2298,IF(AO2298=2,AI2298,""))="A","RÉPARÉ – À RADIOGRAPHIER",IF(IF(AO2298=1,AD2298,IF(AO2298=2,AI2298,""))="R","VT REJETÉ – À REPRENDRE",IF(OR(AP2298="CO",AP2298="NT"),"COUPE – À RESOUDER","À RÉPARER"))))))))))</f>
        <v>ACCEPTÉ</v>
      </c>
      <c r="AR2298" s="82" t="str">
        <f aca="false">IF(AND(ISNUMBER(U2298),OR(AQ2298="À RADIOGRAPHIER",AQ2298="RÉPARÉ – À RADIOGRAPHIER",AQ2298="NX – RT À REFAIRE",AQ2298="À RÉPARER",AQ2298="COUPE – À RESOUDER",AQ2298="VT REJETÉ – À REPRENDRE")),MAX(0,'PROGRAMME RT'!$C$4-U2298),"")</f>
        <v/>
      </c>
      <c r="AS2298" s="82" t="n">
        <f aca="false">IF(AND(OR(AQ2298="À RADIOGRAPHIER",AQ2298="RÉPARÉ – À RADIOGRAPHIER",AQ2298="NX – RT À REFAIRE"),OR('PROGRAMME RT'!$D$5="TOUTES",B2298='PROGRAMME RT'!$D$5)),1,0)</f>
        <v>0</v>
      </c>
      <c r="AT2298" s="82" t="str">
        <f aca="false">IF(AS2298=1,SUM(AS$7:AS2298),"")</f>
        <v/>
      </c>
      <c r="AU2298" s="82" t="n">
        <f aca="false">IF(AND(OR(AA2298="R",AA2298="NX",AA2298="NT",AA2298="CO"),OR('JOINTS DE RÉPARATION'!$D$5="TOUTES",B2298='JOINTS DE RÉPARATION'!$D$5),OR('JOINTS DE RÉPARATION'!$L$4="TOUS",AQ2298&lt;&gt;"ACCEPTÉ")),1,0)</f>
        <v>0</v>
      </c>
      <c r="AV2298" s="82" t="str">
        <f aca="false">IF(AU2298=1,SUM(AU$7:AU2298),"")</f>
        <v/>
      </c>
      <c r="AW2298" s="82" t="str">
        <f aca="false">IF(E2298="","",B2298&amp;"|"&amp;E2298)</f>
        <v>MFD-ISW → MFD-CPF|JN°1814</v>
      </c>
    </row>
    <row r="2299" customFormat="false" ht="74.6" hidden="false" customHeight="false" outlineLevel="0" collapsed="false">
      <c r="A2299" s="79" t="n">
        <f aca="false">IF(E2299="","",ROW()-6)</f>
        <v>2293</v>
      </c>
      <c r="B2299" s="80" t="s">
        <v>110</v>
      </c>
      <c r="C2299" s="81" t="s">
        <v>2781</v>
      </c>
      <c r="D2299" s="81" t="n">
        <v>22</v>
      </c>
      <c r="E2299" s="81" t="s">
        <v>2788</v>
      </c>
      <c r="F2299" s="82" t="str">
        <f aca="false">IF(E2299="","",IF(LEFT(E2299,2)="DJ","DJ","JN"))</f>
        <v>JN</v>
      </c>
      <c r="G2299" s="81" t="s">
        <v>1504</v>
      </c>
      <c r="H2299" s="81" t="s">
        <v>871</v>
      </c>
      <c r="I2299" s="81" t="n">
        <v>9.53</v>
      </c>
      <c r="J2299" s="81" t="s">
        <v>872</v>
      </c>
      <c r="K2299" s="81" t="s">
        <v>879</v>
      </c>
      <c r="L2299" s="81" t="n">
        <v>209510</v>
      </c>
      <c r="M2299" s="81" t="n">
        <v>15421109</v>
      </c>
      <c r="N2299" s="81" t="n">
        <v>11.94</v>
      </c>
      <c r="O2299" s="81" t="n">
        <v>2096580</v>
      </c>
      <c r="P2299" s="81" t="n">
        <v>15421111</v>
      </c>
      <c r="Q2299" s="81" t="n">
        <v>11.94</v>
      </c>
      <c r="R2299" s="81" t="s">
        <v>2748</v>
      </c>
      <c r="S2299" s="81"/>
      <c r="T2299" s="81"/>
      <c r="U2299" s="83" t="n">
        <v>46260</v>
      </c>
      <c r="V2299" s="83" t="n">
        <v>46260</v>
      </c>
      <c r="W2299" s="81" t="s">
        <v>2786</v>
      </c>
      <c r="X2299" s="81" t="s">
        <v>876</v>
      </c>
      <c r="Y2299" s="83" t="n">
        <v>46264</v>
      </c>
      <c r="Z2299" s="81" t="s">
        <v>2749</v>
      </c>
      <c r="AA2299" s="81" t="s">
        <v>876</v>
      </c>
      <c r="AB2299" s="81"/>
      <c r="AC2299" s="81"/>
      <c r="AD2299" s="81"/>
      <c r="AE2299" s="83"/>
      <c r="AF2299" s="81"/>
      <c r="AG2299" s="81"/>
      <c r="AH2299" s="81"/>
      <c r="AI2299" s="81"/>
      <c r="AJ2299" s="83"/>
      <c r="AK2299" s="81"/>
      <c r="AL2299" s="81"/>
      <c r="AM2299" s="83"/>
      <c r="AN2299" s="80"/>
      <c r="AO2299" s="82" t="n">
        <f aca="false">IF(E2299="","",(AA2299&lt;&gt;"")+(AG2299&lt;&gt;"")+(AL2299&lt;&gt;""))</f>
        <v>1</v>
      </c>
      <c r="AP2299" s="82" t="str">
        <f aca="false">IF(AL2299&lt;&gt;"",AL2299,IF(AG2299&lt;&gt;"",AG2299,IF(AA2299&lt;&gt;"",AA2299,"")))</f>
        <v>A</v>
      </c>
      <c r="AQ2299" s="84" t="str">
        <f aca="false">IF(E2299="","",IF(U2299="","À SOUDER",IF(X2299="","VT EN ATTENTE",IF(X2299="R","VT REJETÉ – À REPRENDRE",IF(AP2299="","À RADIOGRAPHIER",IF(AP2299="A","ACCEPTÉ",IF(AP2299="NX","NX – RT À REFAIRE",IF(IF(AO2299=1,AD2299,IF(AO2299=2,AI2299,""))="A","RÉPARÉ – À RADIOGRAPHIER",IF(IF(AO2299=1,AD2299,IF(AO2299=2,AI2299,""))="R","VT REJETÉ – À REPRENDRE",IF(OR(AP2299="CO",AP2299="NT"),"COUPE – À RESOUDER","À RÉPARER"))))))))))</f>
        <v>ACCEPTÉ</v>
      </c>
      <c r="AR2299" s="82" t="str">
        <f aca="false">IF(AND(ISNUMBER(U2299),OR(AQ2299="À RADIOGRAPHIER",AQ2299="RÉPARÉ – À RADIOGRAPHIER",AQ2299="NX – RT À REFAIRE",AQ2299="À RÉPARER",AQ2299="COUPE – À RESOUDER",AQ2299="VT REJETÉ – À REPRENDRE")),MAX(0,'PROGRAMME RT'!$C$4-U2299),"")</f>
        <v/>
      </c>
      <c r="AS2299" s="82" t="n">
        <f aca="false">IF(AND(OR(AQ2299="À RADIOGRAPHIER",AQ2299="RÉPARÉ – À RADIOGRAPHIER",AQ2299="NX – RT À REFAIRE"),OR('PROGRAMME RT'!$D$5="TOUTES",B2299='PROGRAMME RT'!$D$5)),1,0)</f>
        <v>0</v>
      </c>
      <c r="AT2299" s="82" t="str">
        <f aca="false">IF(AS2299=1,SUM(AS$7:AS2299),"")</f>
        <v/>
      </c>
      <c r="AU2299" s="82" t="n">
        <f aca="false">IF(AND(OR(AA2299="R",AA2299="NX",AA2299="NT",AA2299="CO"),OR('JOINTS DE RÉPARATION'!$D$5="TOUTES",B2299='JOINTS DE RÉPARATION'!$D$5),OR('JOINTS DE RÉPARATION'!$L$4="TOUS",AQ2299&lt;&gt;"ACCEPTÉ")),1,0)</f>
        <v>0</v>
      </c>
      <c r="AV2299" s="82" t="str">
        <f aca="false">IF(AU2299=1,SUM(AU$7:AU2299),"")</f>
        <v/>
      </c>
      <c r="AW2299" s="82" t="str">
        <f aca="false">IF(E2299="","",B2299&amp;"|"&amp;E2299)</f>
        <v>MFD-ISW → MFD-CPF|JN°1815</v>
      </c>
    </row>
    <row r="2300" customFormat="false" ht="74.6" hidden="false" customHeight="false" outlineLevel="0" collapsed="false">
      <c r="A2300" s="79" t="n">
        <f aca="false">IF(E2300="","",ROW()-6)</f>
        <v>2294</v>
      </c>
      <c r="B2300" s="80" t="s">
        <v>110</v>
      </c>
      <c r="C2300" s="81" t="s">
        <v>2781</v>
      </c>
      <c r="D2300" s="81" t="n">
        <v>22</v>
      </c>
      <c r="E2300" s="81" t="s">
        <v>2789</v>
      </c>
      <c r="F2300" s="82" t="str">
        <f aca="false">IF(E2300="","",IF(LEFT(E2300,2)="DJ","DJ","JN"))</f>
        <v>JN</v>
      </c>
      <c r="G2300" s="81" t="s">
        <v>1504</v>
      </c>
      <c r="H2300" s="81" t="s">
        <v>871</v>
      </c>
      <c r="I2300" s="81" t="n">
        <v>9.53</v>
      </c>
      <c r="J2300" s="81" t="s">
        <v>872</v>
      </c>
      <c r="K2300" s="81" t="s">
        <v>879</v>
      </c>
      <c r="L2300" s="81" t="n">
        <v>2096580</v>
      </c>
      <c r="M2300" s="81" t="n">
        <v>15421111</v>
      </c>
      <c r="N2300" s="81" t="n">
        <v>11.94</v>
      </c>
      <c r="O2300" s="81" t="n">
        <v>2090170</v>
      </c>
      <c r="P2300" s="81" t="n">
        <v>15421109</v>
      </c>
      <c r="Q2300" s="81" t="n">
        <v>11.94</v>
      </c>
      <c r="R2300" s="81" t="s">
        <v>2748</v>
      </c>
      <c r="S2300" s="81"/>
      <c r="T2300" s="81"/>
      <c r="U2300" s="83" t="n">
        <v>46260</v>
      </c>
      <c r="V2300" s="83" t="n">
        <v>46260</v>
      </c>
      <c r="W2300" s="81" t="s">
        <v>2786</v>
      </c>
      <c r="X2300" s="81" t="s">
        <v>876</v>
      </c>
      <c r="Y2300" s="83" t="n">
        <v>46264</v>
      </c>
      <c r="Z2300" s="81" t="s">
        <v>2749</v>
      </c>
      <c r="AA2300" s="81" t="s">
        <v>876</v>
      </c>
      <c r="AB2300" s="81"/>
      <c r="AC2300" s="81"/>
      <c r="AD2300" s="81"/>
      <c r="AE2300" s="83"/>
      <c r="AF2300" s="81"/>
      <c r="AG2300" s="81"/>
      <c r="AH2300" s="81"/>
      <c r="AI2300" s="81"/>
      <c r="AJ2300" s="83"/>
      <c r="AK2300" s="81"/>
      <c r="AL2300" s="81"/>
      <c r="AM2300" s="83"/>
      <c r="AN2300" s="80"/>
      <c r="AO2300" s="82" t="n">
        <f aca="false">IF(E2300="","",(AA2300&lt;&gt;"")+(AG2300&lt;&gt;"")+(AL2300&lt;&gt;""))</f>
        <v>1</v>
      </c>
      <c r="AP2300" s="82" t="str">
        <f aca="false">IF(AL2300&lt;&gt;"",AL2300,IF(AG2300&lt;&gt;"",AG2300,IF(AA2300&lt;&gt;"",AA2300,"")))</f>
        <v>A</v>
      </c>
      <c r="AQ2300" s="84" t="str">
        <f aca="false">IF(E2300="","",IF(U2300="","À SOUDER",IF(X2300="","VT EN ATTENTE",IF(X2300="R","VT REJETÉ – À REPRENDRE",IF(AP2300="","À RADIOGRAPHIER",IF(AP2300="A","ACCEPTÉ",IF(AP2300="NX","NX – RT À REFAIRE",IF(IF(AO2300=1,AD2300,IF(AO2300=2,AI2300,""))="A","RÉPARÉ – À RADIOGRAPHIER",IF(IF(AO2300=1,AD2300,IF(AO2300=2,AI2300,""))="R","VT REJETÉ – À REPRENDRE",IF(OR(AP2300="CO",AP2300="NT"),"COUPE – À RESOUDER","À RÉPARER"))))))))))</f>
        <v>ACCEPTÉ</v>
      </c>
      <c r="AR2300" s="82" t="str">
        <f aca="false">IF(AND(ISNUMBER(U2300),OR(AQ2300="À RADIOGRAPHIER",AQ2300="RÉPARÉ – À RADIOGRAPHIER",AQ2300="NX – RT À REFAIRE",AQ2300="À RÉPARER",AQ2300="COUPE – À RESOUDER",AQ2300="VT REJETÉ – À REPRENDRE")),MAX(0,'PROGRAMME RT'!$C$4-U2300),"")</f>
        <v/>
      </c>
      <c r="AS2300" s="82" t="n">
        <f aca="false">IF(AND(OR(AQ2300="À RADIOGRAPHIER",AQ2300="RÉPARÉ – À RADIOGRAPHIER",AQ2300="NX – RT À REFAIRE"),OR('PROGRAMME RT'!$D$5="TOUTES",B2300='PROGRAMME RT'!$D$5)),1,0)</f>
        <v>0</v>
      </c>
      <c r="AT2300" s="82" t="str">
        <f aca="false">IF(AS2300=1,SUM(AS$7:AS2300),"")</f>
        <v/>
      </c>
      <c r="AU2300" s="82" t="n">
        <f aca="false">IF(AND(OR(AA2300="R",AA2300="NX",AA2300="NT",AA2300="CO"),OR('JOINTS DE RÉPARATION'!$D$5="TOUTES",B2300='JOINTS DE RÉPARATION'!$D$5),OR('JOINTS DE RÉPARATION'!$L$4="TOUS",AQ2300&lt;&gt;"ACCEPTÉ")),1,0)</f>
        <v>0</v>
      </c>
      <c r="AV2300" s="82" t="str">
        <f aca="false">IF(AU2300=1,SUM(AU$7:AU2300),"")</f>
        <v/>
      </c>
      <c r="AW2300" s="82" t="str">
        <f aca="false">IF(E2300="","",B2300&amp;"|"&amp;E2300)</f>
        <v>MFD-ISW → MFD-CPF|JN°1816</v>
      </c>
    </row>
    <row r="2301" customFormat="false" ht="74.6" hidden="false" customHeight="false" outlineLevel="0" collapsed="false">
      <c r="A2301" s="79" t="n">
        <f aca="false">IF(E2301="","",ROW()-6)</f>
        <v>2295</v>
      </c>
      <c r="B2301" s="80" t="s">
        <v>110</v>
      </c>
      <c r="C2301" s="81" t="s">
        <v>2781</v>
      </c>
      <c r="D2301" s="81" t="n">
        <v>23</v>
      </c>
      <c r="E2301" s="81" t="s">
        <v>2790</v>
      </c>
      <c r="F2301" s="82" t="str">
        <f aca="false">IF(E2301="","",IF(LEFT(E2301,2)="DJ","DJ","JN"))</f>
        <v>JN</v>
      </c>
      <c r="G2301" s="81" t="s">
        <v>1504</v>
      </c>
      <c r="H2301" s="81" t="s">
        <v>871</v>
      </c>
      <c r="I2301" s="81" t="n">
        <v>9.53</v>
      </c>
      <c r="J2301" s="81" t="s">
        <v>872</v>
      </c>
      <c r="K2301" s="81" t="s">
        <v>879</v>
      </c>
      <c r="L2301" s="81" t="n">
        <v>2090170</v>
      </c>
      <c r="M2301" s="81" t="n">
        <v>15421109</v>
      </c>
      <c r="N2301" s="81" t="n">
        <v>11.94</v>
      </c>
      <c r="O2301" s="81" t="n">
        <v>2097950</v>
      </c>
      <c r="P2301" s="81" t="n">
        <v>15421112</v>
      </c>
      <c r="Q2301" s="81" t="n">
        <v>11.94</v>
      </c>
      <c r="R2301" s="81" t="s">
        <v>2742</v>
      </c>
      <c r="S2301" s="81"/>
      <c r="T2301" s="81"/>
      <c r="U2301" s="83" t="n">
        <v>46259</v>
      </c>
      <c r="V2301" s="83" t="n">
        <v>46259</v>
      </c>
      <c r="W2301" s="81" t="s">
        <v>2791</v>
      </c>
      <c r="X2301" s="81" t="s">
        <v>876</v>
      </c>
      <c r="Y2301" s="83" t="n">
        <v>46263</v>
      </c>
      <c r="Z2301" s="81" t="s">
        <v>2792</v>
      </c>
      <c r="AA2301" s="81" t="s">
        <v>876</v>
      </c>
      <c r="AB2301" s="81"/>
      <c r="AC2301" s="81"/>
      <c r="AD2301" s="81"/>
      <c r="AE2301" s="83"/>
      <c r="AF2301" s="81"/>
      <c r="AG2301" s="81"/>
      <c r="AH2301" s="81"/>
      <c r="AI2301" s="81"/>
      <c r="AJ2301" s="83"/>
      <c r="AK2301" s="81"/>
      <c r="AL2301" s="81"/>
      <c r="AM2301" s="83"/>
      <c r="AN2301" s="80"/>
      <c r="AO2301" s="82" t="n">
        <f aca="false">IF(E2301="","",(AA2301&lt;&gt;"")+(AG2301&lt;&gt;"")+(AL2301&lt;&gt;""))</f>
        <v>1</v>
      </c>
      <c r="AP2301" s="82" t="str">
        <f aca="false">IF(AL2301&lt;&gt;"",AL2301,IF(AG2301&lt;&gt;"",AG2301,IF(AA2301&lt;&gt;"",AA2301,"")))</f>
        <v>A</v>
      </c>
      <c r="AQ2301" s="84" t="str">
        <f aca="false">IF(E2301="","",IF(U2301="","À SOUDER",IF(X2301="","VT EN ATTENTE",IF(X2301="R","VT REJETÉ – À REPRENDRE",IF(AP2301="","À RADIOGRAPHIER",IF(AP2301="A","ACCEPTÉ",IF(AP2301="NX","NX – RT À REFAIRE",IF(IF(AO2301=1,AD2301,IF(AO2301=2,AI2301,""))="A","RÉPARÉ – À RADIOGRAPHIER",IF(IF(AO2301=1,AD2301,IF(AO2301=2,AI2301,""))="R","VT REJETÉ – À REPRENDRE",IF(OR(AP2301="CO",AP2301="NT"),"COUPE – À RESOUDER","À RÉPARER"))))))))))</f>
        <v>ACCEPTÉ</v>
      </c>
      <c r="AR2301" s="82" t="str">
        <f aca="false">IF(AND(ISNUMBER(U2301),OR(AQ2301="À RADIOGRAPHIER",AQ2301="RÉPARÉ – À RADIOGRAPHIER",AQ2301="NX – RT À REFAIRE",AQ2301="À RÉPARER",AQ2301="COUPE – À RESOUDER",AQ2301="VT REJETÉ – À REPRENDRE")),MAX(0,'PROGRAMME RT'!$C$4-U2301),"")</f>
        <v/>
      </c>
      <c r="AS2301" s="82" t="n">
        <f aca="false">IF(AND(OR(AQ2301="À RADIOGRAPHIER",AQ2301="RÉPARÉ – À RADIOGRAPHIER",AQ2301="NX – RT À REFAIRE"),OR('PROGRAMME RT'!$D$5="TOUTES",B2301='PROGRAMME RT'!$D$5)),1,0)</f>
        <v>0</v>
      </c>
      <c r="AT2301" s="82" t="str">
        <f aca="false">IF(AS2301=1,SUM(AS$7:AS2301),"")</f>
        <v/>
      </c>
      <c r="AU2301" s="82" t="n">
        <f aca="false">IF(AND(OR(AA2301="R",AA2301="NX",AA2301="NT",AA2301="CO"),OR('JOINTS DE RÉPARATION'!$D$5="TOUTES",B2301='JOINTS DE RÉPARATION'!$D$5),OR('JOINTS DE RÉPARATION'!$L$4="TOUS",AQ2301&lt;&gt;"ACCEPTÉ")),1,0)</f>
        <v>0</v>
      </c>
      <c r="AV2301" s="82" t="str">
        <f aca="false">IF(AU2301=1,SUM(AU$7:AU2301),"")</f>
        <v/>
      </c>
      <c r="AW2301" s="82" t="str">
        <f aca="false">IF(E2301="","",B2301&amp;"|"&amp;E2301)</f>
        <v>MFD-ISW → MFD-CPF|JN°1817</v>
      </c>
    </row>
    <row r="2302" customFormat="false" ht="74.6" hidden="false" customHeight="false" outlineLevel="0" collapsed="false">
      <c r="A2302" s="79" t="n">
        <f aca="false">IF(E2302="","",ROW()-6)</f>
        <v>2296</v>
      </c>
      <c r="B2302" s="80" t="s">
        <v>110</v>
      </c>
      <c r="C2302" s="81" t="s">
        <v>2781</v>
      </c>
      <c r="D2302" s="81" t="n">
        <v>23</v>
      </c>
      <c r="E2302" s="81" t="s">
        <v>2793</v>
      </c>
      <c r="F2302" s="82" t="str">
        <f aca="false">IF(E2302="","",IF(LEFT(E2302,2)="DJ","DJ","JN"))</f>
        <v>JN</v>
      </c>
      <c r="G2302" s="81" t="s">
        <v>1504</v>
      </c>
      <c r="H2302" s="81" t="s">
        <v>871</v>
      </c>
      <c r="I2302" s="81" t="n">
        <v>9.53</v>
      </c>
      <c r="J2302" s="81" t="s">
        <v>872</v>
      </c>
      <c r="K2302" s="81" t="s">
        <v>879</v>
      </c>
      <c r="L2302" s="81" t="n">
        <v>2097950</v>
      </c>
      <c r="M2302" s="81" t="n">
        <v>15421112</v>
      </c>
      <c r="N2302" s="81" t="n">
        <v>11.94</v>
      </c>
      <c r="O2302" s="81" t="n">
        <v>2090660</v>
      </c>
      <c r="P2302" s="81" t="n">
        <v>15421109</v>
      </c>
      <c r="Q2302" s="81" t="n">
        <v>11.94</v>
      </c>
      <c r="R2302" s="81" t="s">
        <v>2742</v>
      </c>
      <c r="S2302" s="81"/>
      <c r="T2302" s="81"/>
      <c r="U2302" s="83" t="n">
        <v>46259</v>
      </c>
      <c r="V2302" s="83" t="n">
        <v>46259</v>
      </c>
      <c r="W2302" s="81" t="s">
        <v>2791</v>
      </c>
      <c r="X2302" s="81" t="s">
        <v>876</v>
      </c>
      <c r="Y2302" s="83" t="n">
        <v>46263</v>
      </c>
      <c r="Z2302" s="81" t="s">
        <v>2792</v>
      </c>
      <c r="AA2302" s="81" t="s">
        <v>876</v>
      </c>
      <c r="AB2302" s="81"/>
      <c r="AC2302" s="81"/>
      <c r="AD2302" s="81"/>
      <c r="AE2302" s="83"/>
      <c r="AF2302" s="81"/>
      <c r="AG2302" s="81"/>
      <c r="AH2302" s="81"/>
      <c r="AI2302" s="81"/>
      <c r="AJ2302" s="83"/>
      <c r="AK2302" s="81"/>
      <c r="AL2302" s="81"/>
      <c r="AM2302" s="83"/>
      <c r="AN2302" s="80"/>
      <c r="AO2302" s="82" t="n">
        <f aca="false">IF(E2302="","",(AA2302&lt;&gt;"")+(AG2302&lt;&gt;"")+(AL2302&lt;&gt;""))</f>
        <v>1</v>
      </c>
      <c r="AP2302" s="82" t="str">
        <f aca="false">IF(AL2302&lt;&gt;"",AL2302,IF(AG2302&lt;&gt;"",AG2302,IF(AA2302&lt;&gt;"",AA2302,"")))</f>
        <v>A</v>
      </c>
      <c r="AQ2302" s="84" t="str">
        <f aca="false">IF(E2302="","",IF(U2302="","À SOUDER",IF(X2302="","VT EN ATTENTE",IF(X2302="R","VT REJETÉ – À REPRENDRE",IF(AP2302="","À RADIOGRAPHIER",IF(AP2302="A","ACCEPTÉ",IF(AP2302="NX","NX – RT À REFAIRE",IF(IF(AO2302=1,AD2302,IF(AO2302=2,AI2302,""))="A","RÉPARÉ – À RADIOGRAPHIER",IF(IF(AO2302=1,AD2302,IF(AO2302=2,AI2302,""))="R","VT REJETÉ – À REPRENDRE",IF(OR(AP2302="CO",AP2302="NT"),"COUPE – À RESOUDER","À RÉPARER"))))))))))</f>
        <v>ACCEPTÉ</v>
      </c>
      <c r="AR2302" s="82" t="str">
        <f aca="false">IF(AND(ISNUMBER(U2302),OR(AQ2302="À RADIOGRAPHIER",AQ2302="RÉPARÉ – À RADIOGRAPHIER",AQ2302="NX – RT À REFAIRE",AQ2302="À RÉPARER",AQ2302="COUPE – À RESOUDER",AQ2302="VT REJETÉ – À REPRENDRE")),MAX(0,'PROGRAMME RT'!$C$4-U2302),"")</f>
        <v/>
      </c>
      <c r="AS2302" s="82" t="n">
        <f aca="false">IF(AND(OR(AQ2302="À RADIOGRAPHIER",AQ2302="RÉPARÉ – À RADIOGRAPHIER",AQ2302="NX – RT À REFAIRE"),OR('PROGRAMME RT'!$D$5="TOUTES",B2302='PROGRAMME RT'!$D$5)),1,0)</f>
        <v>0</v>
      </c>
      <c r="AT2302" s="82" t="str">
        <f aca="false">IF(AS2302=1,SUM(AS$7:AS2302),"")</f>
        <v/>
      </c>
      <c r="AU2302" s="82" t="n">
        <f aca="false">IF(AND(OR(AA2302="R",AA2302="NX",AA2302="NT",AA2302="CO"),OR('JOINTS DE RÉPARATION'!$D$5="TOUTES",B2302='JOINTS DE RÉPARATION'!$D$5),OR('JOINTS DE RÉPARATION'!$L$4="TOUS",AQ2302&lt;&gt;"ACCEPTÉ")),1,0)</f>
        <v>0</v>
      </c>
      <c r="AV2302" s="82" t="str">
        <f aca="false">IF(AU2302=1,SUM(AU$7:AU2302),"")</f>
        <v/>
      </c>
      <c r="AW2302" s="82" t="str">
        <f aca="false">IF(E2302="","",B2302&amp;"|"&amp;E2302)</f>
        <v>MFD-ISW → MFD-CPF|JN°1818</v>
      </c>
    </row>
    <row r="2303" customFormat="false" ht="74.6" hidden="false" customHeight="false" outlineLevel="0" collapsed="false">
      <c r="A2303" s="79" t="n">
        <f aca="false">IF(E2303="","",ROW()-6)</f>
        <v>2297</v>
      </c>
      <c r="B2303" s="80" t="s">
        <v>110</v>
      </c>
      <c r="C2303" s="81" t="s">
        <v>2781</v>
      </c>
      <c r="D2303" s="81" t="n">
        <v>23</v>
      </c>
      <c r="E2303" s="81" t="s">
        <v>2794</v>
      </c>
      <c r="F2303" s="82" t="str">
        <f aca="false">IF(E2303="","",IF(LEFT(E2303,2)="DJ","DJ","JN"))</f>
        <v>JN</v>
      </c>
      <c r="G2303" s="81" t="s">
        <v>1504</v>
      </c>
      <c r="H2303" s="81" t="s">
        <v>871</v>
      </c>
      <c r="I2303" s="81" t="n">
        <v>9.53</v>
      </c>
      <c r="J2303" s="81" t="s">
        <v>872</v>
      </c>
      <c r="K2303" s="81" t="s">
        <v>879</v>
      </c>
      <c r="L2303" s="81" t="n">
        <v>2090660</v>
      </c>
      <c r="M2303" s="81" t="n">
        <v>15421109</v>
      </c>
      <c r="N2303" s="81" t="n">
        <v>11.94</v>
      </c>
      <c r="O2303" s="81" t="n">
        <v>2081020</v>
      </c>
      <c r="P2303" s="81" t="n">
        <v>15421103</v>
      </c>
      <c r="Q2303" s="81" t="n">
        <v>11.94</v>
      </c>
      <c r="R2303" s="81" t="s">
        <v>2795</v>
      </c>
      <c r="S2303" s="81"/>
      <c r="T2303" s="81"/>
      <c r="U2303" s="83" t="n">
        <v>46259</v>
      </c>
      <c r="V2303" s="83" t="n">
        <v>46259</v>
      </c>
      <c r="W2303" s="81" t="s">
        <v>2791</v>
      </c>
      <c r="X2303" s="81" t="s">
        <v>876</v>
      </c>
      <c r="Y2303" s="83" t="n">
        <v>46263</v>
      </c>
      <c r="Z2303" s="81" t="s">
        <v>2792</v>
      </c>
      <c r="AA2303" s="81" t="s">
        <v>876</v>
      </c>
      <c r="AB2303" s="81"/>
      <c r="AC2303" s="81"/>
      <c r="AD2303" s="81"/>
      <c r="AE2303" s="83"/>
      <c r="AF2303" s="81"/>
      <c r="AG2303" s="81"/>
      <c r="AH2303" s="81"/>
      <c r="AI2303" s="81"/>
      <c r="AJ2303" s="83"/>
      <c r="AK2303" s="81"/>
      <c r="AL2303" s="81"/>
      <c r="AM2303" s="83"/>
      <c r="AN2303" s="80"/>
      <c r="AO2303" s="82" t="n">
        <f aca="false">IF(E2303="","",(AA2303&lt;&gt;"")+(AG2303&lt;&gt;"")+(AL2303&lt;&gt;""))</f>
        <v>1</v>
      </c>
      <c r="AP2303" s="82" t="str">
        <f aca="false">IF(AL2303&lt;&gt;"",AL2303,IF(AG2303&lt;&gt;"",AG2303,IF(AA2303&lt;&gt;"",AA2303,"")))</f>
        <v>A</v>
      </c>
      <c r="AQ2303" s="84" t="str">
        <f aca="false">IF(E2303="","",IF(U2303="","À SOUDER",IF(X2303="","VT EN ATTENTE",IF(X2303="R","VT REJETÉ – À REPRENDRE",IF(AP2303="","À RADIOGRAPHIER",IF(AP2303="A","ACCEPTÉ",IF(AP2303="NX","NX – RT À REFAIRE",IF(IF(AO2303=1,AD2303,IF(AO2303=2,AI2303,""))="A","RÉPARÉ – À RADIOGRAPHIER",IF(IF(AO2303=1,AD2303,IF(AO2303=2,AI2303,""))="R","VT REJETÉ – À REPRENDRE",IF(OR(AP2303="CO",AP2303="NT"),"COUPE – À RESOUDER","À RÉPARER"))))))))))</f>
        <v>ACCEPTÉ</v>
      </c>
      <c r="AR2303" s="82" t="str">
        <f aca="false">IF(AND(ISNUMBER(U2303),OR(AQ2303="À RADIOGRAPHIER",AQ2303="RÉPARÉ – À RADIOGRAPHIER",AQ2303="NX – RT À REFAIRE",AQ2303="À RÉPARER",AQ2303="COUPE – À RESOUDER",AQ2303="VT REJETÉ – À REPRENDRE")),MAX(0,'PROGRAMME RT'!$C$4-U2303),"")</f>
        <v/>
      </c>
      <c r="AS2303" s="82" t="n">
        <f aca="false">IF(AND(OR(AQ2303="À RADIOGRAPHIER",AQ2303="RÉPARÉ – À RADIOGRAPHIER",AQ2303="NX – RT À REFAIRE"),OR('PROGRAMME RT'!$D$5="TOUTES",B2303='PROGRAMME RT'!$D$5)),1,0)</f>
        <v>0</v>
      </c>
      <c r="AT2303" s="82" t="str">
        <f aca="false">IF(AS2303=1,SUM(AS$7:AS2303),"")</f>
        <v/>
      </c>
      <c r="AU2303" s="82" t="n">
        <f aca="false">IF(AND(OR(AA2303="R",AA2303="NX",AA2303="NT",AA2303="CO"),OR('JOINTS DE RÉPARATION'!$D$5="TOUTES",B2303='JOINTS DE RÉPARATION'!$D$5),OR('JOINTS DE RÉPARATION'!$L$4="TOUS",AQ2303&lt;&gt;"ACCEPTÉ")),1,0)</f>
        <v>0</v>
      </c>
      <c r="AV2303" s="82" t="str">
        <f aca="false">IF(AU2303=1,SUM(AU$7:AU2303),"")</f>
        <v/>
      </c>
      <c r="AW2303" s="82" t="str">
        <f aca="false">IF(E2303="","",B2303&amp;"|"&amp;E2303)</f>
        <v>MFD-ISW → MFD-CPF|JN°1819</v>
      </c>
    </row>
    <row r="2304" customFormat="false" ht="74.6" hidden="false" customHeight="false" outlineLevel="0" collapsed="false">
      <c r="A2304" s="79" t="n">
        <f aca="false">IF(E2304="","",ROW()-6)</f>
        <v>2298</v>
      </c>
      <c r="B2304" s="80" t="s">
        <v>110</v>
      </c>
      <c r="C2304" s="81" t="s">
        <v>2781</v>
      </c>
      <c r="D2304" s="81" t="n">
        <v>23</v>
      </c>
      <c r="E2304" s="81" t="s">
        <v>2796</v>
      </c>
      <c r="F2304" s="82" t="str">
        <f aca="false">IF(E2304="","",IF(LEFT(E2304,2)="DJ","DJ","JN"))</f>
        <v>JN</v>
      </c>
      <c r="G2304" s="81" t="s">
        <v>1504</v>
      </c>
      <c r="H2304" s="81" t="s">
        <v>871</v>
      </c>
      <c r="I2304" s="81" t="n">
        <v>9.53</v>
      </c>
      <c r="J2304" s="81" t="s">
        <v>872</v>
      </c>
      <c r="K2304" s="81" t="s">
        <v>879</v>
      </c>
      <c r="L2304" s="81" t="n">
        <v>2081020</v>
      </c>
      <c r="M2304" s="81" t="n">
        <v>15421103</v>
      </c>
      <c r="N2304" s="81" t="n">
        <v>11.94</v>
      </c>
      <c r="O2304" s="81" t="n">
        <v>2087410</v>
      </c>
      <c r="P2304" s="81" t="n">
        <v>15421107</v>
      </c>
      <c r="Q2304" s="81" t="n">
        <v>11.94</v>
      </c>
      <c r="R2304" s="81" t="s">
        <v>2795</v>
      </c>
      <c r="S2304" s="81"/>
      <c r="T2304" s="81"/>
      <c r="U2304" s="83" t="n">
        <v>46259</v>
      </c>
      <c r="V2304" s="83" t="n">
        <v>46259</v>
      </c>
      <c r="W2304" s="81" t="s">
        <v>2791</v>
      </c>
      <c r="X2304" s="81" t="s">
        <v>876</v>
      </c>
      <c r="Y2304" s="83" t="n">
        <v>46263</v>
      </c>
      <c r="Z2304" s="81" t="s">
        <v>2792</v>
      </c>
      <c r="AA2304" s="81" t="s">
        <v>876</v>
      </c>
      <c r="AB2304" s="81"/>
      <c r="AC2304" s="81"/>
      <c r="AD2304" s="81"/>
      <c r="AE2304" s="83"/>
      <c r="AF2304" s="81"/>
      <c r="AG2304" s="81"/>
      <c r="AH2304" s="81"/>
      <c r="AI2304" s="81"/>
      <c r="AJ2304" s="83"/>
      <c r="AK2304" s="81"/>
      <c r="AL2304" s="81"/>
      <c r="AM2304" s="83"/>
      <c r="AN2304" s="80"/>
      <c r="AO2304" s="82" t="n">
        <f aca="false">IF(E2304="","",(AA2304&lt;&gt;"")+(AG2304&lt;&gt;"")+(AL2304&lt;&gt;""))</f>
        <v>1</v>
      </c>
      <c r="AP2304" s="82" t="str">
        <f aca="false">IF(AL2304&lt;&gt;"",AL2304,IF(AG2304&lt;&gt;"",AG2304,IF(AA2304&lt;&gt;"",AA2304,"")))</f>
        <v>A</v>
      </c>
      <c r="AQ2304" s="84" t="str">
        <f aca="false">IF(E2304="","",IF(U2304="","À SOUDER",IF(X2304="","VT EN ATTENTE",IF(X2304="R","VT REJETÉ – À REPRENDRE",IF(AP2304="","À RADIOGRAPHIER",IF(AP2304="A","ACCEPTÉ",IF(AP2304="NX","NX – RT À REFAIRE",IF(IF(AO2304=1,AD2304,IF(AO2304=2,AI2304,""))="A","RÉPARÉ – À RADIOGRAPHIER",IF(IF(AO2304=1,AD2304,IF(AO2304=2,AI2304,""))="R","VT REJETÉ – À REPRENDRE",IF(OR(AP2304="CO",AP2304="NT"),"COUPE – À RESOUDER","À RÉPARER"))))))))))</f>
        <v>ACCEPTÉ</v>
      </c>
      <c r="AR2304" s="82" t="str">
        <f aca="false">IF(AND(ISNUMBER(U2304),OR(AQ2304="À RADIOGRAPHIER",AQ2304="RÉPARÉ – À RADIOGRAPHIER",AQ2304="NX – RT À REFAIRE",AQ2304="À RÉPARER",AQ2304="COUPE – À RESOUDER",AQ2304="VT REJETÉ – À REPRENDRE")),MAX(0,'PROGRAMME RT'!$C$4-U2304),"")</f>
        <v/>
      </c>
      <c r="AS2304" s="82" t="n">
        <f aca="false">IF(AND(OR(AQ2304="À RADIOGRAPHIER",AQ2304="RÉPARÉ – À RADIOGRAPHIER",AQ2304="NX – RT À REFAIRE"),OR('PROGRAMME RT'!$D$5="TOUTES",B2304='PROGRAMME RT'!$D$5)),1,0)</f>
        <v>0</v>
      </c>
      <c r="AT2304" s="82" t="str">
        <f aca="false">IF(AS2304=1,SUM(AS$7:AS2304),"")</f>
        <v/>
      </c>
      <c r="AU2304" s="82" t="n">
        <f aca="false">IF(AND(OR(AA2304="R",AA2304="NX",AA2304="NT",AA2304="CO"),OR('JOINTS DE RÉPARATION'!$D$5="TOUTES",B2304='JOINTS DE RÉPARATION'!$D$5),OR('JOINTS DE RÉPARATION'!$L$4="TOUS",AQ2304&lt;&gt;"ACCEPTÉ")),1,0)</f>
        <v>0</v>
      </c>
      <c r="AV2304" s="82" t="str">
        <f aca="false">IF(AU2304=1,SUM(AU$7:AU2304),"")</f>
        <v/>
      </c>
      <c r="AW2304" s="82" t="str">
        <f aca="false">IF(E2304="","",B2304&amp;"|"&amp;E2304)</f>
        <v>MFD-ISW → MFD-CPF|JN°1820</v>
      </c>
    </row>
    <row r="2305" customFormat="false" ht="74.6" hidden="false" customHeight="false" outlineLevel="0" collapsed="false">
      <c r="A2305" s="79" t="n">
        <f aca="false">IF(E2305="","",ROW()-6)</f>
        <v>2299</v>
      </c>
      <c r="B2305" s="80" t="s">
        <v>110</v>
      </c>
      <c r="C2305" s="81" t="s">
        <v>2781</v>
      </c>
      <c r="D2305" s="81" t="n">
        <v>23</v>
      </c>
      <c r="E2305" s="81" t="s">
        <v>2797</v>
      </c>
      <c r="F2305" s="82" t="str">
        <f aca="false">IF(E2305="","",IF(LEFT(E2305,2)="DJ","DJ","JN"))</f>
        <v>JN</v>
      </c>
      <c r="G2305" s="81" t="s">
        <v>1504</v>
      </c>
      <c r="H2305" s="81" t="s">
        <v>871</v>
      </c>
      <c r="I2305" s="81" t="n">
        <v>9.53</v>
      </c>
      <c r="J2305" s="81" t="s">
        <v>872</v>
      </c>
      <c r="K2305" s="81" t="s">
        <v>879</v>
      </c>
      <c r="L2305" s="81" t="n">
        <v>2087410</v>
      </c>
      <c r="M2305" s="81" t="n">
        <v>15421107</v>
      </c>
      <c r="N2305" s="81" t="n">
        <v>11.94</v>
      </c>
      <c r="O2305" s="81" t="n">
        <v>2094940</v>
      </c>
      <c r="P2305" s="81" t="n">
        <v>15421111</v>
      </c>
      <c r="Q2305" s="81" t="n">
        <v>11.94</v>
      </c>
      <c r="R2305" s="81" t="s">
        <v>2795</v>
      </c>
      <c r="S2305" s="81"/>
      <c r="T2305" s="81"/>
      <c r="U2305" s="83" t="n">
        <v>46259</v>
      </c>
      <c r="V2305" s="83" t="n">
        <v>46259</v>
      </c>
      <c r="W2305" s="81" t="s">
        <v>2791</v>
      </c>
      <c r="X2305" s="81" t="s">
        <v>876</v>
      </c>
      <c r="Y2305" s="83" t="n">
        <v>46263</v>
      </c>
      <c r="Z2305" s="81" t="s">
        <v>2792</v>
      </c>
      <c r="AA2305" s="81" t="s">
        <v>876</v>
      </c>
      <c r="AB2305" s="81"/>
      <c r="AC2305" s="81"/>
      <c r="AD2305" s="81"/>
      <c r="AE2305" s="83"/>
      <c r="AF2305" s="81"/>
      <c r="AG2305" s="81"/>
      <c r="AH2305" s="81"/>
      <c r="AI2305" s="81"/>
      <c r="AJ2305" s="83"/>
      <c r="AK2305" s="81"/>
      <c r="AL2305" s="81"/>
      <c r="AM2305" s="83"/>
      <c r="AN2305" s="80"/>
      <c r="AO2305" s="82" t="n">
        <f aca="false">IF(E2305="","",(AA2305&lt;&gt;"")+(AG2305&lt;&gt;"")+(AL2305&lt;&gt;""))</f>
        <v>1</v>
      </c>
      <c r="AP2305" s="82" t="str">
        <f aca="false">IF(AL2305&lt;&gt;"",AL2305,IF(AG2305&lt;&gt;"",AG2305,IF(AA2305&lt;&gt;"",AA2305,"")))</f>
        <v>A</v>
      </c>
      <c r="AQ2305" s="84" t="str">
        <f aca="false">IF(E2305="","",IF(U2305="","À SOUDER",IF(X2305="","VT EN ATTENTE",IF(X2305="R","VT REJETÉ – À REPRENDRE",IF(AP2305="","À RADIOGRAPHIER",IF(AP2305="A","ACCEPTÉ",IF(AP2305="NX","NX – RT À REFAIRE",IF(IF(AO2305=1,AD2305,IF(AO2305=2,AI2305,""))="A","RÉPARÉ – À RADIOGRAPHIER",IF(IF(AO2305=1,AD2305,IF(AO2305=2,AI2305,""))="R","VT REJETÉ – À REPRENDRE",IF(OR(AP2305="CO",AP2305="NT"),"COUPE – À RESOUDER","À RÉPARER"))))))))))</f>
        <v>ACCEPTÉ</v>
      </c>
      <c r="AR2305" s="82" t="str">
        <f aca="false">IF(AND(ISNUMBER(U2305),OR(AQ2305="À RADIOGRAPHIER",AQ2305="RÉPARÉ – À RADIOGRAPHIER",AQ2305="NX – RT À REFAIRE",AQ2305="À RÉPARER",AQ2305="COUPE – À RESOUDER",AQ2305="VT REJETÉ – À REPRENDRE")),MAX(0,'PROGRAMME RT'!$C$4-U2305),"")</f>
        <v/>
      </c>
      <c r="AS2305" s="82" t="n">
        <f aca="false">IF(AND(OR(AQ2305="À RADIOGRAPHIER",AQ2305="RÉPARÉ – À RADIOGRAPHIER",AQ2305="NX – RT À REFAIRE"),OR('PROGRAMME RT'!$D$5="TOUTES",B2305='PROGRAMME RT'!$D$5)),1,0)</f>
        <v>0</v>
      </c>
      <c r="AT2305" s="82" t="str">
        <f aca="false">IF(AS2305=1,SUM(AS$7:AS2305),"")</f>
        <v/>
      </c>
      <c r="AU2305" s="82" t="n">
        <f aca="false">IF(AND(OR(AA2305="R",AA2305="NX",AA2305="NT",AA2305="CO"),OR('JOINTS DE RÉPARATION'!$D$5="TOUTES",B2305='JOINTS DE RÉPARATION'!$D$5),OR('JOINTS DE RÉPARATION'!$L$4="TOUS",AQ2305&lt;&gt;"ACCEPTÉ")),1,0)</f>
        <v>0</v>
      </c>
      <c r="AV2305" s="82" t="str">
        <f aca="false">IF(AU2305=1,SUM(AU$7:AU2305),"")</f>
        <v/>
      </c>
      <c r="AW2305" s="82" t="str">
        <f aca="false">IF(E2305="","",B2305&amp;"|"&amp;E2305)</f>
        <v>MFD-ISW → MFD-CPF|JN°1821</v>
      </c>
    </row>
    <row r="2306" customFormat="false" ht="74.6" hidden="false" customHeight="false" outlineLevel="0" collapsed="false">
      <c r="A2306" s="79" t="n">
        <f aca="false">IF(E2306="","",ROW()-6)</f>
        <v>2300</v>
      </c>
      <c r="B2306" s="80" t="s">
        <v>110</v>
      </c>
      <c r="C2306" s="81" t="s">
        <v>2781</v>
      </c>
      <c r="D2306" s="81" t="n">
        <v>23</v>
      </c>
      <c r="E2306" s="81" t="s">
        <v>2798</v>
      </c>
      <c r="F2306" s="82" t="str">
        <f aca="false">IF(E2306="","",IF(LEFT(E2306,2)="DJ","DJ","JN"))</f>
        <v>JN</v>
      </c>
      <c r="G2306" s="81" t="s">
        <v>1504</v>
      </c>
      <c r="H2306" s="81" t="s">
        <v>871</v>
      </c>
      <c r="I2306" s="81" t="n">
        <v>9.53</v>
      </c>
      <c r="J2306" s="81" t="s">
        <v>872</v>
      </c>
      <c r="K2306" s="81" t="s">
        <v>879</v>
      </c>
      <c r="L2306" s="81" t="n">
        <v>2094940</v>
      </c>
      <c r="M2306" s="81" t="n">
        <v>15421111</v>
      </c>
      <c r="N2306" s="81" t="n">
        <v>11.94</v>
      </c>
      <c r="O2306" s="81" t="n">
        <v>2091470</v>
      </c>
      <c r="P2306" s="81" t="n">
        <v>15421109</v>
      </c>
      <c r="Q2306" s="81" t="n">
        <v>11.94</v>
      </c>
      <c r="R2306" s="81" t="s">
        <v>2795</v>
      </c>
      <c r="S2306" s="81"/>
      <c r="T2306" s="81"/>
      <c r="U2306" s="83" t="n">
        <v>46259</v>
      </c>
      <c r="V2306" s="83" t="n">
        <v>46259</v>
      </c>
      <c r="W2306" s="81" t="s">
        <v>2791</v>
      </c>
      <c r="X2306" s="81" t="s">
        <v>876</v>
      </c>
      <c r="Y2306" s="83" t="n">
        <v>46263</v>
      </c>
      <c r="Z2306" s="81" t="s">
        <v>2792</v>
      </c>
      <c r="AA2306" s="81" t="s">
        <v>876</v>
      </c>
      <c r="AB2306" s="81"/>
      <c r="AC2306" s="81"/>
      <c r="AD2306" s="81"/>
      <c r="AE2306" s="83"/>
      <c r="AF2306" s="81"/>
      <c r="AG2306" s="81"/>
      <c r="AH2306" s="81"/>
      <c r="AI2306" s="81"/>
      <c r="AJ2306" s="83"/>
      <c r="AK2306" s="81"/>
      <c r="AL2306" s="81"/>
      <c r="AM2306" s="83"/>
      <c r="AN2306" s="80"/>
      <c r="AO2306" s="82" t="n">
        <f aca="false">IF(E2306="","",(AA2306&lt;&gt;"")+(AG2306&lt;&gt;"")+(AL2306&lt;&gt;""))</f>
        <v>1</v>
      </c>
      <c r="AP2306" s="82" t="str">
        <f aca="false">IF(AL2306&lt;&gt;"",AL2306,IF(AG2306&lt;&gt;"",AG2306,IF(AA2306&lt;&gt;"",AA2306,"")))</f>
        <v>A</v>
      </c>
      <c r="AQ2306" s="84" t="str">
        <f aca="false">IF(E2306="","",IF(U2306="","À SOUDER",IF(X2306="","VT EN ATTENTE",IF(X2306="R","VT REJETÉ – À REPRENDRE",IF(AP2306="","À RADIOGRAPHIER",IF(AP2306="A","ACCEPTÉ",IF(AP2306="NX","NX – RT À REFAIRE",IF(IF(AO2306=1,AD2306,IF(AO2306=2,AI2306,""))="A","RÉPARÉ – À RADIOGRAPHIER",IF(IF(AO2306=1,AD2306,IF(AO2306=2,AI2306,""))="R","VT REJETÉ – À REPRENDRE",IF(OR(AP2306="CO",AP2306="NT"),"COUPE – À RESOUDER","À RÉPARER"))))))))))</f>
        <v>ACCEPTÉ</v>
      </c>
      <c r="AR2306" s="82" t="str">
        <f aca="false">IF(AND(ISNUMBER(U2306),OR(AQ2306="À RADIOGRAPHIER",AQ2306="RÉPARÉ – À RADIOGRAPHIER",AQ2306="NX – RT À REFAIRE",AQ2306="À RÉPARER",AQ2306="COUPE – À RESOUDER",AQ2306="VT REJETÉ – À REPRENDRE")),MAX(0,'PROGRAMME RT'!$C$4-U2306),"")</f>
        <v/>
      </c>
      <c r="AS2306" s="82" t="n">
        <f aca="false">IF(AND(OR(AQ2306="À RADIOGRAPHIER",AQ2306="RÉPARÉ – À RADIOGRAPHIER",AQ2306="NX – RT À REFAIRE"),OR('PROGRAMME RT'!$D$5="TOUTES",B2306='PROGRAMME RT'!$D$5)),1,0)</f>
        <v>0</v>
      </c>
      <c r="AT2306" s="82" t="str">
        <f aca="false">IF(AS2306=1,SUM(AS$7:AS2306),"")</f>
        <v/>
      </c>
      <c r="AU2306" s="82" t="n">
        <f aca="false">IF(AND(OR(AA2306="R",AA2306="NX",AA2306="NT",AA2306="CO"),OR('JOINTS DE RÉPARATION'!$D$5="TOUTES",B2306='JOINTS DE RÉPARATION'!$D$5),OR('JOINTS DE RÉPARATION'!$L$4="TOUS",AQ2306&lt;&gt;"ACCEPTÉ")),1,0)</f>
        <v>0</v>
      </c>
      <c r="AV2306" s="82" t="str">
        <f aca="false">IF(AU2306=1,SUM(AU$7:AU2306),"")</f>
        <v/>
      </c>
      <c r="AW2306" s="82" t="str">
        <f aca="false">IF(E2306="","",B2306&amp;"|"&amp;E2306)</f>
        <v>MFD-ISW → MFD-CPF|JN°1822</v>
      </c>
    </row>
    <row r="2307" customFormat="false" ht="74.6" hidden="false" customHeight="false" outlineLevel="0" collapsed="false">
      <c r="A2307" s="79" t="n">
        <f aca="false">IF(E2307="","",ROW()-6)</f>
        <v>2301</v>
      </c>
      <c r="B2307" s="80" t="s">
        <v>110</v>
      </c>
      <c r="C2307" s="81" t="s">
        <v>2781</v>
      </c>
      <c r="D2307" s="81" t="n">
        <v>23</v>
      </c>
      <c r="E2307" s="81" t="s">
        <v>2799</v>
      </c>
      <c r="F2307" s="82" t="str">
        <f aca="false">IF(E2307="","",IF(LEFT(E2307,2)="DJ","DJ","JN"))</f>
        <v>JN</v>
      </c>
      <c r="G2307" s="81" t="s">
        <v>1504</v>
      </c>
      <c r="H2307" s="81" t="s">
        <v>871</v>
      </c>
      <c r="I2307" s="81" t="n">
        <v>9.53</v>
      </c>
      <c r="J2307" s="81" t="s">
        <v>872</v>
      </c>
      <c r="K2307" s="81" t="s">
        <v>879</v>
      </c>
      <c r="L2307" s="81" t="n">
        <v>2091470</v>
      </c>
      <c r="M2307" s="81" t="n">
        <v>15421109</v>
      </c>
      <c r="N2307" s="81" t="n">
        <v>11.94</v>
      </c>
      <c r="O2307" s="81" t="n">
        <v>8085500</v>
      </c>
      <c r="P2307" s="81" t="n">
        <v>15421107</v>
      </c>
      <c r="Q2307" s="81" t="n">
        <v>11.94</v>
      </c>
      <c r="R2307" s="81" t="s">
        <v>2795</v>
      </c>
      <c r="S2307" s="81"/>
      <c r="T2307" s="81"/>
      <c r="U2307" s="83" t="n">
        <v>46259</v>
      </c>
      <c r="V2307" s="83" t="n">
        <v>46259</v>
      </c>
      <c r="W2307" s="81" t="s">
        <v>2791</v>
      </c>
      <c r="X2307" s="81" t="s">
        <v>876</v>
      </c>
      <c r="Y2307" s="83" t="n">
        <v>46263</v>
      </c>
      <c r="Z2307" s="81" t="s">
        <v>2792</v>
      </c>
      <c r="AA2307" s="81" t="s">
        <v>876</v>
      </c>
      <c r="AB2307" s="81"/>
      <c r="AC2307" s="81"/>
      <c r="AD2307" s="81"/>
      <c r="AE2307" s="83"/>
      <c r="AF2307" s="81"/>
      <c r="AG2307" s="81"/>
      <c r="AH2307" s="81"/>
      <c r="AI2307" s="81"/>
      <c r="AJ2307" s="83"/>
      <c r="AK2307" s="81"/>
      <c r="AL2307" s="81"/>
      <c r="AM2307" s="83"/>
      <c r="AN2307" s="80"/>
      <c r="AO2307" s="82" t="n">
        <f aca="false">IF(E2307="","",(AA2307&lt;&gt;"")+(AG2307&lt;&gt;"")+(AL2307&lt;&gt;""))</f>
        <v>1</v>
      </c>
      <c r="AP2307" s="82" t="str">
        <f aca="false">IF(AL2307&lt;&gt;"",AL2307,IF(AG2307&lt;&gt;"",AG2307,IF(AA2307&lt;&gt;"",AA2307,"")))</f>
        <v>A</v>
      </c>
      <c r="AQ2307" s="84" t="str">
        <f aca="false">IF(E2307="","",IF(U2307="","À SOUDER",IF(X2307="","VT EN ATTENTE",IF(X2307="R","VT REJETÉ – À REPRENDRE",IF(AP2307="","À RADIOGRAPHIER",IF(AP2307="A","ACCEPTÉ",IF(AP2307="NX","NX – RT À REFAIRE",IF(IF(AO2307=1,AD2307,IF(AO2307=2,AI2307,""))="A","RÉPARÉ – À RADIOGRAPHIER",IF(IF(AO2307=1,AD2307,IF(AO2307=2,AI2307,""))="R","VT REJETÉ – À REPRENDRE",IF(OR(AP2307="CO",AP2307="NT"),"COUPE – À RESOUDER","À RÉPARER"))))))))))</f>
        <v>ACCEPTÉ</v>
      </c>
      <c r="AR2307" s="82" t="str">
        <f aca="false">IF(AND(ISNUMBER(U2307),OR(AQ2307="À RADIOGRAPHIER",AQ2307="RÉPARÉ – À RADIOGRAPHIER",AQ2307="NX – RT À REFAIRE",AQ2307="À RÉPARER",AQ2307="COUPE – À RESOUDER",AQ2307="VT REJETÉ – À REPRENDRE")),MAX(0,'PROGRAMME RT'!$C$4-U2307),"")</f>
        <v/>
      </c>
      <c r="AS2307" s="82" t="n">
        <f aca="false">IF(AND(OR(AQ2307="À RADIOGRAPHIER",AQ2307="RÉPARÉ – À RADIOGRAPHIER",AQ2307="NX – RT À REFAIRE"),OR('PROGRAMME RT'!$D$5="TOUTES",B2307='PROGRAMME RT'!$D$5)),1,0)</f>
        <v>0</v>
      </c>
      <c r="AT2307" s="82" t="str">
        <f aca="false">IF(AS2307=1,SUM(AS$7:AS2307),"")</f>
        <v/>
      </c>
      <c r="AU2307" s="82" t="n">
        <f aca="false">IF(AND(OR(AA2307="R",AA2307="NX",AA2307="NT",AA2307="CO"),OR('JOINTS DE RÉPARATION'!$D$5="TOUTES",B2307='JOINTS DE RÉPARATION'!$D$5),OR('JOINTS DE RÉPARATION'!$L$4="TOUS",AQ2307&lt;&gt;"ACCEPTÉ")),1,0)</f>
        <v>0</v>
      </c>
      <c r="AV2307" s="82" t="str">
        <f aca="false">IF(AU2307=1,SUM(AU$7:AU2307),"")</f>
        <v/>
      </c>
      <c r="AW2307" s="82" t="str">
        <f aca="false">IF(E2307="","",B2307&amp;"|"&amp;E2307)</f>
        <v>MFD-ISW → MFD-CPF|JN°1823</v>
      </c>
    </row>
    <row r="2308" customFormat="false" ht="74.6" hidden="false" customHeight="false" outlineLevel="0" collapsed="false">
      <c r="A2308" s="79" t="n">
        <f aca="false">IF(E2308="","",ROW()-6)</f>
        <v>2302</v>
      </c>
      <c r="B2308" s="80" t="s">
        <v>110</v>
      </c>
      <c r="C2308" s="81" t="s">
        <v>2781</v>
      </c>
      <c r="D2308" s="81" t="n">
        <v>23</v>
      </c>
      <c r="E2308" s="81" t="s">
        <v>2800</v>
      </c>
      <c r="F2308" s="82" t="str">
        <f aca="false">IF(E2308="","",IF(LEFT(E2308,2)="DJ","DJ","JN"))</f>
        <v>JN</v>
      </c>
      <c r="G2308" s="81" t="s">
        <v>1504</v>
      </c>
      <c r="H2308" s="81" t="s">
        <v>871</v>
      </c>
      <c r="I2308" s="81" t="n">
        <v>9.53</v>
      </c>
      <c r="J2308" s="81" t="s">
        <v>872</v>
      </c>
      <c r="K2308" s="81" t="s">
        <v>879</v>
      </c>
      <c r="L2308" s="81" t="n">
        <v>8085500</v>
      </c>
      <c r="M2308" s="81" t="n">
        <v>15421107</v>
      </c>
      <c r="N2308" s="81" t="n">
        <v>11.94</v>
      </c>
      <c r="O2308" s="81" t="n">
        <v>8087580</v>
      </c>
      <c r="P2308" s="81" t="n">
        <v>15421107</v>
      </c>
      <c r="Q2308" s="81" t="n">
        <v>11.94</v>
      </c>
      <c r="R2308" s="81" t="s">
        <v>2795</v>
      </c>
      <c r="S2308" s="81"/>
      <c r="T2308" s="81"/>
      <c r="U2308" s="83" t="n">
        <v>46259</v>
      </c>
      <c r="V2308" s="83" t="n">
        <v>46259</v>
      </c>
      <c r="W2308" s="81" t="s">
        <v>2791</v>
      </c>
      <c r="X2308" s="81" t="s">
        <v>876</v>
      </c>
      <c r="Y2308" s="83" t="n">
        <v>46263</v>
      </c>
      <c r="Z2308" s="81" t="s">
        <v>2792</v>
      </c>
      <c r="AA2308" s="81" t="s">
        <v>876</v>
      </c>
      <c r="AB2308" s="81"/>
      <c r="AC2308" s="81"/>
      <c r="AD2308" s="81"/>
      <c r="AE2308" s="83"/>
      <c r="AF2308" s="81"/>
      <c r="AG2308" s="81"/>
      <c r="AH2308" s="81"/>
      <c r="AI2308" s="81"/>
      <c r="AJ2308" s="83"/>
      <c r="AK2308" s="81"/>
      <c r="AL2308" s="81"/>
      <c r="AM2308" s="83"/>
      <c r="AN2308" s="80"/>
      <c r="AO2308" s="82" t="n">
        <f aca="false">IF(E2308="","",(AA2308&lt;&gt;"")+(AG2308&lt;&gt;"")+(AL2308&lt;&gt;""))</f>
        <v>1</v>
      </c>
      <c r="AP2308" s="82" t="str">
        <f aca="false">IF(AL2308&lt;&gt;"",AL2308,IF(AG2308&lt;&gt;"",AG2308,IF(AA2308&lt;&gt;"",AA2308,"")))</f>
        <v>A</v>
      </c>
      <c r="AQ2308" s="84" t="str">
        <f aca="false">IF(E2308="","",IF(U2308="","À SOUDER",IF(X2308="","VT EN ATTENTE",IF(X2308="R","VT REJETÉ – À REPRENDRE",IF(AP2308="","À RADIOGRAPHIER",IF(AP2308="A","ACCEPTÉ",IF(AP2308="NX","NX – RT À REFAIRE",IF(IF(AO2308=1,AD2308,IF(AO2308=2,AI2308,""))="A","RÉPARÉ – À RADIOGRAPHIER",IF(IF(AO2308=1,AD2308,IF(AO2308=2,AI2308,""))="R","VT REJETÉ – À REPRENDRE",IF(OR(AP2308="CO",AP2308="NT"),"COUPE – À RESOUDER","À RÉPARER"))))))))))</f>
        <v>ACCEPTÉ</v>
      </c>
      <c r="AR2308" s="82" t="str">
        <f aca="false">IF(AND(ISNUMBER(U2308),OR(AQ2308="À RADIOGRAPHIER",AQ2308="RÉPARÉ – À RADIOGRAPHIER",AQ2308="NX – RT À REFAIRE",AQ2308="À RÉPARER",AQ2308="COUPE – À RESOUDER",AQ2308="VT REJETÉ – À REPRENDRE")),MAX(0,'PROGRAMME RT'!$C$4-U2308),"")</f>
        <v/>
      </c>
      <c r="AS2308" s="82" t="n">
        <f aca="false">IF(AND(OR(AQ2308="À RADIOGRAPHIER",AQ2308="RÉPARÉ – À RADIOGRAPHIER",AQ2308="NX – RT À REFAIRE"),OR('PROGRAMME RT'!$D$5="TOUTES",B2308='PROGRAMME RT'!$D$5)),1,0)</f>
        <v>0</v>
      </c>
      <c r="AT2308" s="82" t="str">
        <f aca="false">IF(AS2308=1,SUM(AS$7:AS2308),"")</f>
        <v/>
      </c>
      <c r="AU2308" s="82" t="n">
        <f aca="false">IF(AND(OR(AA2308="R",AA2308="NX",AA2308="NT",AA2308="CO"),OR('JOINTS DE RÉPARATION'!$D$5="TOUTES",B2308='JOINTS DE RÉPARATION'!$D$5),OR('JOINTS DE RÉPARATION'!$L$4="TOUS",AQ2308&lt;&gt;"ACCEPTÉ")),1,0)</f>
        <v>0</v>
      </c>
      <c r="AV2308" s="82" t="str">
        <f aca="false">IF(AU2308=1,SUM(AU$7:AU2308),"")</f>
        <v/>
      </c>
      <c r="AW2308" s="82" t="str">
        <f aca="false">IF(E2308="","",B2308&amp;"|"&amp;E2308)</f>
        <v>MFD-ISW → MFD-CPF|JN°1824</v>
      </c>
    </row>
    <row r="2309" customFormat="false" ht="74.6" hidden="false" customHeight="false" outlineLevel="0" collapsed="false">
      <c r="A2309" s="79" t="n">
        <f aca="false">IF(E2309="","",ROW()-6)</f>
        <v>2303</v>
      </c>
      <c r="B2309" s="80" t="s">
        <v>110</v>
      </c>
      <c r="C2309" s="81" t="s">
        <v>2781</v>
      </c>
      <c r="D2309" s="81" t="n">
        <v>23</v>
      </c>
      <c r="E2309" s="81" t="s">
        <v>2801</v>
      </c>
      <c r="F2309" s="82" t="str">
        <f aca="false">IF(E2309="","",IF(LEFT(E2309,2)="DJ","DJ","JN"))</f>
        <v>JN</v>
      </c>
      <c r="G2309" s="81" t="s">
        <v>1504</v>
      </c>
      <c r="H2309" s="81" t="s">
        <v>871</v>
      </c>
      <c r="I2309" s="81" t="n">
        <v>9.53</v>
      </c>
      <c r="J2309" s="81" t="s">
        <v>872</v>
      </c>
      <c r="K2309" s="81" t="s">
        <v>879</v>
      </c>
      <c r="L2309" s="81" t="n">
        <v>8087580</v>
      </c>
      <c r="M2309" s="81" t="n">
        <v>15421107</v>
      </c>
      <c r="N2309" s="81" t="n">
        <v>11.94</v>
      </c>
      <c r="O2309" s="81" t="n">
        <v>2086450</v>
      </c>
      <c r="P2309" s="81" t="n">
        <v>15421107</v>
      </c>
      <c r="Q2309" s="81" t="n">
        <v>11.94</v>
      </c>
      <c r="R2309" s="81" t="s">
        <v>2795</v>
      </c>
      <c r="S2309" s="81"/>
      <c r="T2309" s="81"/>
      <c r="U2309" s="83" t="n">
        <v>46259</v>
      </c>
      <c r="V2309" s="83" t="n">
        <v>46259</v>
      </c>
      <c r="W2309" s="81" t="s">
        <v>2791</v>
      </c>
      <c r="X2309" s="81" t="s">
        <v>876</v>
      </c>
      <c r="Y2309" s="83" t="n">
        <v>46263</v>
      </c>
      <c r="Z2309" s="81" t="s">
        <v>2792</v>
      </c>
      <c r="AA2309" s="81" t="s">
        <v>876</v>
      </c>
      <c r="AB2309" s="81"/>
      <c r="AC2309" s="81"/>
      <c r="AD2309" s="81"/>
      <c r="AE2309" s="83"/>
      <c r="AF2309" s="81"/>
      <c r="AG2309" s="81"/>
      <c r="AH2309" s="81"/>
      <c r="AI2309" s="81"/>
      <c r="AJ2309" s="83"/>
      <c r="AK2309" s="81"/>
      <c r="AL2309" s="81"/>
      <c r="AM2309" s="83"/>
      <c r="AN2309" s="80"/>
      <c r="AO2309" s="82" t="n">
        <f aca="false">IF(E2309="","",(AA2309&lt;&gt;"")+(AG2309&lt;&gt;"")+(AL2309&lt;&gt;""))</f>
        <v>1</v>
      </c>
      <c r="AP2309" s="82" t="str">
        <f aca="false">IF(AL2309&lt;&gt;"",AL2309,IF(AG2309&lt;&gt;"",AG2309,IF(AA2309&lt;&gt;"",AA2309,"")))</f>
        <v>A</v>
      </c>
      <c r="AQ2309" s="84" t="str">
        <f aca="false">IF(E2309="","",IF(U2309="","À SOUDER",IF(X2309="","VT EN ATTENTE",IF(X2309="R","VT REJETÉ – À REPRENDRE",IF(AP2309="","À RADIOGRAPHIER",IF(AP2309="A","ACCEPTÉ",IF(AP2309="NX","NX – RT À REFAIRE",IF(IF(AO2309=1,AD2309,IF(AO2309=2,AI2309,""))="A","RÉPARÉ – À RADIOGRAPHIER",IF(IF(AO2309=1,AD2309,IF(AO2309=2,AI2309,""))="R","VT REJETÉ – À REPRENDRE",IF(OR(AP2309="CO",AP2309="NT"),"COUPE – À RESOUDER","À RÉPARER"))))))))))</f>
        <v>ACCEPTÉ</v>
      </c>
      <c r="AR2309" s="82" t="str">
        <f aca="false">IF(AND(ISNUMBER(U2309),OR(AQ2309="À RADIOGRAPHIER",AQ2309="RÉPARÉ – À RADIOGRAPHIER",AQ2309="NX – RT À REFAIRE",AQ2309="À RÉPARER",AQ2309="COUPE – À RESOUDER",AQ2309="VT REJETÉ – À REPRENDRE")),MAX(0,'PROGRAMME RT'!$C$4-U2309),"")</f>
        <v/>
      </c>
      <c r="AS2309" s="82" t="n">
        <f aca="false">IF(AND(OR(AQ2309="À RADIOGRAPHIER",AQ2309="RÉPARÉ – À RADIOGRAPHIER",AQ2309="NX – RT À REFAIRE"),OR('PROGRAMME RT'!$D$5="TOUTES",B2309='PROGRAMME RT'!$D$5)),1,0)</f>
        <v>0</v>
      </c>
      <c r="AT2309" s="82" t="str">
        <f aca="false">IF(AS2309=1,SUM(AS$7:AS2309),"")</f>
        <v/>
      </c>
      <c r="AU2309" s="82" t="n">
        <f aca="false">IF(AND(OR(AA2309="R",AA2309="NX",AA2309="NT",AA2309="CO"),OR('JOINTS DE RÉPARATION'!$D$5="TOUTES",B2309='JOINTS DE RÉPARATION'!$D$5),OR('JOINTS DE RÉPARATION'!$L$4="TOUS",AQ2309&lt;&gt;"ACCEPTÉ")),1,0)</f>
        <v>0</v>
      </c>
      <c r="AV2309" s="82" t="str">
        <f aca="false">IF(AU2309=1,SUM(AU$7:AU2309),"")</f>
        <v/>
      </c>
      <c r="AW2309" s="82" t="str">
        <f aca="false">IF(E2309="","",B2309&amp;"|"&amp;E2309)</f>
        <v>MFD-ISW → MFD-CPF|JN°1825</v>
      </c>
    </row>
    <row r="2310" customFormat="false" ht="74.6" hidden="false" customHeight="false" outlineLevel="0" collapsed="false">
      <c r="A2310" s="79" t="n">
        <f aca="false">IF(E2310="","",ROW()-6)</f>
        <v>2304</v>
      </c>
      <c r="B2310" s="80" t="s">
        <v>110</v>
      </c>
      <c r="C2310" s="81" t="s">
        <v>2781</v>
      </c>
      <c r="D2310" s="81" t="n">
        <v>23</v>
      </c>
      <c r="E2310" s="81" t="s">
        <v>2802</v>
      </c>
      <c r="F2310" s="82" t="str">
        <f aca="false">IF(E2310="","",IF(LEFT(E2310,2)="DJ","DJ","JN"))</f>
        <v>JN</v>
      </c>
      <c r="G2310" s="81" t="s">
        <v>1504</v>
      </c>
      <c r="H2310" s="81" t="s">
        <v>871</v>
      </c>
      <c r="I2310" s="81" t="n">
        <v>9.53</v>
      </c>
      <c r="J2310" s="81" t="s">
        <v>872</v>
      </c>
      <c r="K2310" s="81" t="s">
        <v>879</v>
      </c>
      <c r="L2310" s="81" t="n">
        <v>2086450</v>
      </c>
      <c r="M2310" s="81" t="n">
        <v>15421107</v>
      </c>
      <c r="N2310" s="81" t="n">
        <v>11.94</v>
      </c>
      <c r="O2310" s="81" t="n">
        <v>2093030</v>
      </c>
      <c r="P2310" s="81" t="n">
        <v>15421110</v>
      </c>
      <c r="Q2310" s="81" t="n">
        <v>11.94</v>
      </c>
      <c r="R2310" s="81" t="s">
        <v>2795</v>
      </c>
      <c r="S2310" s="81"/>
      <c r="T2310" s="81"/>
      <c r="U2310" s="83" t="n">
        <v>46259</v>
      </c>
      <c r="V2310" s="83" t="n">
        <v>46259</v>
      </c>
      <c r="W2310" s="81" t="s">
        <v>2791</v>
      </c>
      <c r="X2310" s="81" t="s">
        <v>876</v>
      </c>
      <c r="Y2310" s="83" t="n">
        <v>46263</v>
      </c>
      <c r="Z2310" s="81" t="s">
        <v>2792</v>
      </c>
      <c r="AA2310" s="81" t="s">
        <v>876</v>
      </c>
      <c r="AB2310" s="81"/>
      <c r="AC2310" s="81"/>
      <c r="AD2310" s="81"/>
      <c r="AE2310" s="83"/>
      <c r="AF2310" s="81"/>
      <c r="AG2310" s="81"/>
      <c r="AH2310" s="81"/>
      <c r="AI2310" s="81"/>
      <c r="AJ2310" s="83"/>
      <c r="AK2310" s="81"/>
      <c r="AL2310" s="81"/>
      <c r="AM2310" s="83"/>
      <c r="AN2310" s="80"/>
      <c r="AO2310" s="82" t="n">
        <f aca="false">IF(E2310="","",(AA2310&lt;&gt;"")+(AG2310&lt;&gt;"")+(AL2310&lt;&gt;""))</f>
        <v>1</v>
      </c>
      <c r="AP2310" s="82" t="str">
        <f aca="false">IF(AL2310&lt;&gt;"",AL2310,IF(AG2310&lt;&gt;"",AG2310,IF(AA2310&lt;&gt;"",AA2310,"")))</f>
        <v>A</v>
      </c>
      <c r="AQ2310" s="84" t="str">
        <f aca="false">IF(E2310="","",IF(U2310="","À SOUDER",IF(X2310="","VT EN ATTENTE",IF(X2310="R","VT REJETÉ – À REPRENDRE",IF(AP2310="","À RADIOGRAPHIER",IF(AP2310="A","ACCEPTÉ",IF(AP2310="NX","NX – RT À REFAIRE",IF(IF(AO2310=1,AD2310,IF(AO2310=2,AI2310,""))="A","RÉPARÉ – À RADIOGRAPHIER",IF(IF(AO2310=1,AD2310,IF(AO2310=2,AI2310,""))="R","VT REJETÉ – À REPRENDRE",IF(OR(AP2310="CO",AP2310="NT"),"COUPE – À RESOUDER","À RÉPARER"))))))))))</f>
        <v>ACCEPTÉ</v>
      </c>
      <c r="AR2310" s="82" t="str">
        <f aca="false">IF(AND(ISNUMBER(U2310),OR(AQ2310="À RADIOGRAPHIER",AQ2310="RÉPARÉ – À RADIOGRAPHIER",AQ2310="NX – RT À REFAIRE",AQ2310="À RÉPARER",AQ2310="COUPE – À RESOUDER",AQ2310="VT REJETÉ – À REPRENDRE")),MAX(0,'PROGRAMME RT'!$C$4-U2310),"")</f>
        <v/>
      </c>
      <c r="AS2310" s="82" t="n">
        <f aca="false">IF(AND(OR(AQ2310="À RADIOGRAPHIER",AQ2310="RÉPARÉ – À RADIOGRAPHIER",AQ2310="NX – RT À REFAIRE"),OR('PROGRAMME RT'!$D$5="TOUTES",B2310='PROGRAMME RT'!$D$5)),1,0)</f>
        <v>0</v>
      </c>
      <c r="AT2310" s="82" t="str">
        <f aca="false">IF(AS2310=1,SUM(AS$7:AS2310),"")</f>
        <v/>
      </c>
      <c r="AU2310" s="82" t="n">
        <f aca="false">IF(AND(OR(AA2310="R",AA2310="NX",AA2310="NT",AA2310="CO"),OR('JOINTS DE RÉPARATION'!$D$5="TOUTES",B2310='JOINTS DE RÉPARATION'!$D$5),OR('JOINTS DE RÉPARATION'!$L$4="TOUS",AQ2310&lt;&gt;"ACCEPTÉ")),1,0)</f>
        <v>0</v>
      </c>
      <c r="AV2310" s="82" t="str">
        <f aca="false">IF(AU2310=1,SUM(AU$7:AU2310),"")</f>
        <v/>
      </c>
      <c r="AW2310" s="82" t="str">
        <f aca="false">IF(E2310="","",B2310&amp;"|"&amp;E2310)</f>
        <v>MFD-ISW → MFD-CPF|JN°1826</v>
      </c>
    </row>
    <row r="2311" customFormat="false" ht="74.6" hidden="false" customHeight="false" outlineLevel="0" collapsed="false">
      <c r="A2311" s="79" t="n">
        <f aca="false">IF(E2311="","",ROW()-6)</f>
        <v>2305</v>
      </c>
      <c r="B2311" s="80" t="s">
        <v>110</v>
      </c>
      <c r="C2311" s="81" t="s">
        <v>2781</v>
      </c>
      <c r="D2311" s="81" t="n">
        <v>23</v>
      </c>
      <c r="E2311" s="81" t="s">
        <v>2803</v>
      </c>
      <c r="F2311" s="82" t="str">
        <f aca="false">IF(E2311="","",IF(LEFT(E2311,2)="DJ","DJ","JN"))</f>
        <v>JN</v>
      </c>
      <c r="G2311" s="81" t="s">
        <v>1504</v>
      </c>
      <c r="H2311" s="81" t="s">
        <v>871</v>
      </c>
      <c r="I2311" s="81" t="n">
        <v>9.53</v>
      </c>
      <c r="J2311" s="81" t="s">
        <v>872</v>
      </c>
      <c r="K2311" s="81" t="s">
        <v>879</v>
      </c>
      <c r="L2311" s="81" t="n">
        <v>2093030</v>
      </c>
      <c r="M2311" s="81" t="n">
        <v>15421110</v>
      </c>
      <c r="N2311" s="81" t="n">
        <v>11.94</v>
      </c>
      <c r="O2311" s="81" t="n">
        <v>2085300</v>
      </c>
      <c r="P2311" s="81" t="n">
        <v>15421106</v>
      </c>
      <c r="Q2311" s="81" t="n">
        <v>11.94</v>
      </c>
      <c r="R2311" s="81" t="s">
        <v>2795</v>
      </c>
      <c r="S2311" s="81"/>
      <c r="T2311" s="81"/>
      <c r="U2311" s="83" t="n">
        <v>46259</v>
      </c>
      <c r="V2311" s="83" t="n">
        <v>46259</v>
      </c>
      <c r="W2311" s="81" t="s">
        <v>2791</v>
      </c>
      <c r="X2311" s="81" t="s">
        <v>876</v>
      </c>
      <c r="Y2311" s="83" t="n">
        <v>46262</v>
      </c>
      <c r="Z2311" s="81" t="s">
        <v>2804</v>
      </c>
      <c r="AA2311" s="81" t="s">
        <v>876</v>
      </c>
      <c r="AB2311" s="81"/>
      <c r="AC2311" s="81"/>
      <c r="AD2311" s="81"/>
      <c r="AE2311" s="83"/>
      <c r="AF2311" s="81"/>
      <c r="AG2311" s="81"/>
      <c r="AH2311" s="81"/>
      <c r="AI2311" s="81"/>
      <c r="AJ2311" s="83"/>
      <c r="AK2311" s="81"/>
      <c r="AL2311" s="81"/>
      <c r="AM2311" s="83"/>
      <c r="AN2311" s="80"/>
      <c r="AO2311" s="82" t="n">
        <f aca="false">IF(E2311="","",(AA2311&lt;&gt;"")+(AG2311&lt;&gt;"")+(AL2311&lt;&gt;""))</f>
        <v>1</v>
      </c>
      <c r="AP2311" s="82" t="str">
        <f aca="false">IF(AL2311&lt;&gt;"",AL2311,IF(AG2311&lt;&gt;"",AG2311,IF(AA2311&lt;&gt;"",AA2311,"")))</f>
        <v>A</v>
      </c>
      <c r="AQ2311" s="84" t="str">
        <f aca="false">IF(E2311="","",IF(U2311="","À SOUDER",IF(X2311="","VT EN ATTENTE",IF(X2311="R","VT REJETÉ – À REPRENDRE",IF(AP2311="","À RADIOGRAPHIER",IF(AP2311="A","ACCEPTÉ",IF(AP2311="NX","NX – RT À REFAIRE",IF(IF(AO2311=1,AD2311,IF(AO2311=2,AI2311,""))="A","RÉPARÉ – À RADIOGRAPHIER",IF(IF(AO2311=1,AD2311,IF(AO2311=2,AI2311,""))="R","VT REJETÉ – À REPRENDRE",IF(OR(AP2311="CO",AP2311="NT"),"COUPE – À RESOUDER","À RÉPARER"))))))))))</f>
        <v>ACCEPTÉ</v>
      </c>
      <c r="AR2311" s="82" t="str">
        <f aca="false">IF(AND(ISNUMBER(U2311),OR(AQ2311="À RADIOGRAPHIER",AQ2311="RÉPARÉ – À RADIOGRAPHIER",AQ2311="NX – RT À REFAIRE",AQ2311="À RÉPARER",AQ2311="COUPE – À RESOUDER",AQ2311="VT REJETÉ – À REPRENDRE")),MAX(0,'PROGRAMME RT'!$C$4-U2311),"")</f>
        <v/>
      </c>
      <c r="AS2311" s="82" t="n">
        <f aca="false">IF(AND(OR(AQ2311="À RADIOGRAPHIER",AQ2311="RÉPARÉ – À RADIOGRAPHIER",AQ2311="NX – RT À REFAIRE"),OR('PROGRAMME RT'!$D$5="TOUTES",B2311='PROGRAMME RT'!$D$5)),1,0)</f>
        <v>0</v>
      </c>
      <c r="AT2311" s="82" t="str">
        <f aca="false">IF(AS2311=1,SUM(AS$7:AS2311),"")</f>
        <v/>
      </c>
      <c r="AU2311" s="82" t="n">
        <f aca="false">IF(AND(OR(AA2311="R",AA2311="NX",AA2311="NT",AA2311="CO"),OR('JOINTS DE RÉPARATION'!$D$5="TOUTES",B2311='JOINTS DE RÉPARATION'!$D$5),OR('JOINTS DE RÉPARATION'!$L$4="TOUS",AQ2311&lt;&gt;"ACCEPTÉ")),1,0)</f>
        <v>0</v>
      </c>
      <c r="AV2311" s="82" t="str">
        <f aca="false">IF(AU2311=1,SUM(AU$7:AU2311),"")</f>
        <v/>
      </c>
      <c r="AW2311" s="82" t="str">
        <f aca="false">IF(E2311="","",B2311&amp;"|"&amp;E2311)</f>
        <v>MFD-ISW → MFD-CPF|JN°1827</v>
      </c>
    </row>
    <row r="2312" customFormat="false" ht="74.6" hidden="false" customHeight="false" outlineLevel="0" collapsed="false">
      <c r="A2312" s="79" t="n">
        <f aca="false">IF(E2312="","",ROW()-6)</f>
        <v>2306</v>
      </c>
      <c r="B2312" s="80" t="s">
        <v>110</v>
      </c>
      <c r="C2312" s="81" t="s">
        <v>2781</v>
      </c>
      <c r="D2312" s="81" t="n">
        <v>23</v>
      </c>
      <c r="E2312" s="81" t="s">
        <v>2805</v>
      </c>
      <c r="F2312" s="82" t="str">
        <f aca="false">IF(E2312="","",IF(LEFT(E2312,2)="DJ","DJ","JN"))</f>
        <v>JN</v>
      </c>
      <c r="G2312" s="81" t="s">
        <v>1504</v>
      </c>
      <c r="H2312" s="81" t="s">
        <v>871</v>
      </c>
      <c r="I2312" s="81" t="n">
        <v>9.53</v>
      </c>
      <c r="J2312" s="81" t="s">
        <v>872</v>
      </c>
      <c r="K2312" s="81" t="s">
        <v>879</v>
      </c>
      <c r="L2312" s="81" t="n">
        <v>2085300</v>
      </c>
      <c r="M2312" s="81" t="n">
        <v>15421106</v>
      </c>
      <c r="N2312" s="81" t="n">
        <v>11.94</v>
      </c>
      <c r="O2312" s="81" t="n">
        <v>2082850</v>
      </c>
      <c r="P2312" s="81" t="n">
        <v>15421105</v>
      </c>
      <c r="Q2312" s="81" t="n">
        <v>11.94</v>
      </c>
      <c r="R2312" s="81" t="s">
        <v>2795</v>
      </c>
      <c r="S2312" s="81"/>
      <c r="T2312" s="81"/>
      <c r="U2312" s="83" t="n">
        <v>46259</v>
      </c>
      <c r="V2312" s="83" t="n">
        <v>46259</v>
      </c>
      <c r="W2312" s="81" t="s">
        <v>2791</v>
      </c>
      <c r="X2312" s="81" t="s">
        <v>876</v>
      </c>
      <c r="Y2312" s="83" t="n">
        <v>46262</v>
      </c>
      <c r="Z2312" s="81" t="s">
        <v>2804</v>
      </c>
      <c r="AA2312" s="81" t="s">
        <v>876</v>
      </c>
      <c r="AB2312" s="81"/>
      <c r="AC2312" s="81"/>
      <c r="AD2312" s="81"/>
      <c r="AE2312" s="83"/>
      <c r="AF2312" s="81"/>
      <c r="AG2312" s="81"/>
      <c r="AH2312" s="81"/>
      <c r="AI2312" s="81"/>
      <c r="AJ2312" s="83"/>
      <c r="AK2312" s="81"/>
      <c r="AL2312" s="81"/>
      <c r="AM2312" s="83"/>
      <c r="AN2312" s="80"/>
      <c r="AO2312" s="82" t="n">
        <f aca="false">IF(E2312="","",(AA2312&lt;&gt;"")+(AG2312&lt;&gt;"")+(AL2312&lt;&gt;""))</f>
        <v>1</v>
      </c>
      <c r="AP2312" s="82" t="str">
        <f aca="false">IF(AL2312&lt;&gt;"",AL2312,IF(AG2312&lt;&gt;"",AG2312,IF(AA2312&lt;&gt;"",AA2312,"")))</f>
        <v>A</v>
      </c>
      <c r="AQ2312" s="84" t="str">
        <f aca="false">IF(E2312="","",IF(U2312="","À SOUDER",IF(X2312="","VT EN ATTENTE",IF(X2312="R","VT REJETÉ – À REPRENDRE",IF(AP2312="","À RADIOGRAPHIER",IF(AP2312="A","ACCEPTÉ",IF(AP2312="NX","NX – RT À REFAIRE",IF(IF(AO2312=1,AD2312,IF(AO2312=2,AI2312,""))="A","RÉPARÉ – À RADIOGRAPHIER",IF(IF(AO2312=1,AD2312,IF(AO2312=2,AI2312,""))="R","VT REJETÉ – À REPRENDRE",IF(OR(AP2312="CO",AP2312="NT"),"COUPE – À RESOUDER","À RÉPARER"))))))))))</f>
        <v>ACCEPTÉ</v>
      </c>
      <c r="AR2312" s="82" t="str">
        <f aca="false">IF(AND(ISNUMBER(U2312),OR(AQ2312="À RADIOGRAPHIER",AQ2312="RÉPARÉ – À RADIOGRAPHIER",AQ2312="NX – RT À REFAIRE",AQ2312="À RÉPARER",AQ2312="COUPE – À RESOUDER",AQ2312="VT REJETÉ – À REPRENDRE")),MAX(0,'PROGRAMME RT'!$C$4-U2312),"")</f>
        <v/>
      </c>
      <c r="AS2312" s="82" t="n">
        <f aca="false">IF(AND(OR(AQ2312="À RADIOGRAPHIER",AQ2312="RÉPARÉ – À RADIOGRAPHIER",AQ2312="NX – RT À REFAIRE"),OR('PROGRAMME RT'!$D$5="TOUTES",B2312='PROGRAMME RT'!$D$5)),1,0)</f>
        <v>0</v>
      </c>
      <c r="AT2312" s="82" t="str">
        <f aca="false">IF(AS2312=1,SUM(AS$7:AS2312),"")</f>
        <v/>
      </c>
      <c r="AU2312" s="82" t="n">
        <f aca="false">IF(AND(OR(AA2312="R",AA2312="NX",AA2312="NT",AA2312="CO"),OR('JOINTS DE RÉPARATION'!$D$5="TOUTES",B2312='JOINTS DE RÉPARATION'!$D$5),OR('JOINTS DE RÉPARATION'!$L$4="TOUS",AQ2312&lt;&gt;"ACCEPTÉ")),1,0)</f>
        <v>0</v>
      </c>
      <c r="AV2312" s="82" t="str">
        <f aca="false">IF(AU2312=1,SUM(AU$7:AU2312),"")</f>
        <v/>
      </c>
      <c r="AW2312" s="82" t="str">
        <f aca="false">IF(E2312="","",B2312&amp;"|"&amp;E2312)</f>
        <v>MFD-ISW → MFD-CPF|JN°1828</v>
      </c>
    </row>
    <row r="2313" customFormat="false" ht="74.6" hidden="false" customHeight="false" outlineLevel="0" collapsed="false">
      <c r="A2313" s="79" t="n">
        <f aca="false">IF(E2313="","",ROW()-6)</f>
        <v>2307</v>
      </c>
      <c r="B2313" s="80" t="s">
        <v>110</v>
      </c>
      <c r="C2313" s="81" t="s">
        <v>2781</v>
      </c>
      <c r="D2313" s="81" t="n">
        <v>23</v>
      </c>
      <c r="E2313" s="81" t="s">
        <v>2806</v>
      </c>
      <c r="F2313" s="82" t="str">
        <f aca="false">IF(E2313="","",IF(LEFT(E2313,2)="DJ","DJ","JN"))</f>
        <v>JN</v>
      </c>
      <c r="G2313" s="81" t="s">
        <v>1504</v>
      </c>
      <c r="H2313" s="81" t="s">
        <v>871</v>
      </c>
      <c r="I2313" s="81" t="n">
        <v>9.53</v>
      </c>
      <c r="J2313" s="81" t="s">
        <v>872</v>
      </c>
      <c r="K2313" s="81" t="s">
        <v>879</v>
      </c>
      <c r="L2313" s="81" t="n">
        <v>2082850</v>
      </c>
      <c r="M2313" s="81" t="n">
        <v>15421105</v>
      </c>
      <c r="N2313" s="81" t="n">
        <v>11.94</v>
      </c>
      <c r="O2313" s="81" t="n">
        <v>2097130</v>
      </c>
      <c r="P2313" s="81" t="n">
        <v>15421112</v>
      </c>
      <c r="Q2313" s="81" t="n">
        <v>11.94</v>
      </c>
      <c r="R2313" s="81" t="s">
        <v>2807</v>
      </c>
      <c r="S2313" s="81"/>
      <c r="T2313" s="81"/>
      <c r="U2313" s="83" t="n">
        <v>46259</v>
      </c>
      <c r="V2313" s="83" t="n">
        <v>46259</v>
      </c>
      <c r="W2313" s="81" t="s">
        <v>2791</v>
      </c>
      <c r="X2313" s="81" t="s">
        <v>876</v>
      </c>
      <c r="Y2313" s="83" t="n">
        <v>46262</v>
      </c>
      <c r="Z2313" s="81" t="s">
        <v>2804</v>
      </c>
      <c r="AA2313" s="81" t="s">
        <v>876</v>
      </c>
      <c r="AB2313" s="81"/>
      <c r="AC2313" s="81"/>
      <c r="AD2313" s="81"/>
      <c r="AE2313" s="83"/>
      <c r="AF2313" s="81"/>
      <c r="AG2313" s="81"/>
      <c r="AH2313" s="81"/>
      <c r="AI2313" s="81"/>
      <c r="AJ2313" s="83"/>
      <c r="AK2313" s="81"/>
      <c r="AL2313" s="81"/>
      <c r="AM2313" s="83"/>
      <c r="AN2313" s="80"/>
      <c r="AO2313" s="82" t="n">
        <f aca="false">IF(E2313="","",(AA2313&lt;&gt;"")+(AG2313&lt;&gt;"")+(AL2313&lt;&gt;""))</f>
        <v>1</v>
      </c>
      <c r="AP2313" s="82" t="str">
        <f aca="false">IF(AL2313&lt;&gt;"",AL2313,IF(AG2313&lt;&gt;"",AG2313,IF(AA2313&lt;&gt;"",AA2313,"")))</f>
        <v>A</v>
      </c>
      <c r="AQ2313" s="84" t="str">
        <f aca="false">IF(E2313="","",IF(U2313="","À SOUDER",IF(X2313="","VT EN ATTENTE",IF(X2313="R","VT REJETÉ – À REPRENDRE",IF(AP2313="","À RADIOGRAPHIER",IF(AP2313="A","ACCEPTÉ",IF(AP2313="NX","NX – RT À REFAIRE",IF(IF(AO2313=1,AD2313,IF(AO2313=2,AI2313,""))="A","RÉPARÉ – À RADIOGRAPHIER",IF(IF(AO2313=1,AD2313,IF(AO2313=2,AI2313,""))="R","VT REJETÉ – À REPRENDRE",IF(OR(AP2313="CO",AP2313="NT"),"COUPE – À RESOUDER","À RÉPARER"))))))))))</f>
        <v>ACCEPTÉ</v>
      </c>
      <c r="AR2313" s="82" t="str">
        <f aca="false">IF(AND(ISNUMBER(U2313),OR(AQ2313="À RADIOGRAPHIER",AQ2313="RÉPARÉ – À RADIOGRAPHIER",AQ2313="NX – RT À REFAIRE",AQ2313="À RÉPARER",AQ2313="COUPE – À RESOUDER",AQ2313="VT REJETÉ – À REPRENDRE")),MAX(0,'PROGRAMME RT'!$C$4-U2313),"")</f>
        <v/>
      </c>
      <c r="AS2313" s="82" t="n">
        <f aca="false">IF(AND(OR(AQ2313="À RADIOGRAPHIER",AQ2313="RÉPARÉ – À RADIOGRAPHIER",AQ2313="NX – RT À REFAIRE"),OR('PROGRAMME RT'!$D$5="TOUTES",B2313='PROGRAMME RT'!$D$5)),1,0)</f>
        <v>0</v>
      </c>
      <c r="AT2313" s="82" t="str">
        <f aca="false">IF(AS2313=1,SUM(AS$7:AS2313),"")</f>
        <v/>
      </c>
      <c r="AU2313" s="82" t="n">
        <f aca="false">IF(AND(OR(AA2313="R",AA2313="NX",AA2313="NT",AA2313="CO"),OR('JOINTS DE RÉPARATION'!$D$5="TOUTES",B2313='JOINTS DE RÉPARATION'!$D$5),OR('JOINTS DE RÉPARATION'!$L$4="TOUS",AQ2313&lt;&gt;"ACCEPTÉ")),1,0)</f>
        <v>0</v>
      </c>
      <c r="AV2313" s="82" t="str">
        <f aca="false">IF(AU2313=1,SUM(AU$7:AU2313),"")</f>
        <v/>
      </c>
      <c r="AW2313" s="82" t="str">
        <f aca="false">IF(E2313="","",B2313&amp;"|"&amp;E2313)</f>
        <v>MFD-ISW → MFD-CPF|JN°1829</v>
      </c>
    </row>
    <row r="2314" customFormat="false" ht="74.6" hidden="false" customHeight="false" outlineLevel="0" collapsed="false">
      <c r="A2314" s="79" t="n">
        <f aca="false">IF(E2314="","",ROW()-6)</f>
        <v>2308</v>
      </c>
      <c r="B2314" s="80" t="s">
        <v>110</v>
      </c>
      <c r="C2314" s="81" t="s">
        <v>2781</v>
      </c>
      <c r="D2314" s="81" t="n">
        <v>23</v>
      </c>
      <c r="E2314" s="81" t="s">
        <v>2808</v>
      </c>
      <c r="F2314" s="82" t="str">
        <f aca="false">IF(E2314="","",IF(LEFT(E2314,2)="DJ","DJ","JN"))</f>
        <v>JN</v>
      </c>
      <c r="G2314" s="81" t="s">
        <v>1504</v>
      </c>
      <c r="H2314" s="81" t="s">
        <v>871</v>
      </c>
      <c r="I2314" s="81" t="n">
        <v>9.53</v>
      </c>
      <c r="J2314" s="81" t="s">
        <v>872</v>
      </c>
      <c r="K2314" s="81" t="s">
        <v>879</v>
      </c>
      <c r="L2314" s="81" t="n">
        <v>2097130</v>
      </c>
      <c r="M2314" s="81" t="n">
        <v>15421112</v>
      </c>
      <c r="N2314" s="81" t="n">
        <v>11.94</v>
      </c>
      <c r="O2314" s="81" t="n">
        <v>2098200</v>
      </c>
      <c r="P2314" s="81" t="n">
        <v>15421112</v>
      </c>
      <c r="Q2314" s="81" t="n">
        <v>11.94</v>
      </c>
      <c r="R2314" s="81" t="s">
        <v>2807</v>
      </c>
      <c r="S2314" s="81"/>
      <c r="T2314" s="81"/>
      <c r="U2314" s="83" t="n">
        <v>46259</v>
      </c>
      <c r="V2314" s="83" t="n">
        <v>46259</v>
      </c>
      <c r="W2314" s="81" t="s">
        <v>2791</v>
      </c>
      <c r="X2314" s="81" t="s">
        <v>876</v>
      </c>
      <c r="Y2314" s="83" t="n">
        <v>46262</v>
      </c>
      <c r="Z2314" s="81" t="s">
        <v>2804</v>
      </c>
      <c r="AA2314" s="81" t="s">
        <v>876</v>
      </c>
      <c r="AB2314" s="81"/>
      <c r="AC2314" s="81"/>
      <c r="AD2314" s="81"/>
      <c r="AE2314" s="83"/>
      <c r="AF2314" s="81"/>
      <c r="AG2314" s="81"/>
      <c r="AH2314" s="81"/>
      <c r="AI2314" s="81"/>
      <c r="AJ2314" s="83"/>
      <c r="AK2314" s="81"/>
      <c r="AL2314" s="81"/>
      <c r="AM2314" s="83"/>
      <c r="AN2314" s="80"/>
      <c r="AO2314" s="82" t="n">
        <f aca="false">IF(E2314="","",(AA2314&lt;&gt;"")+(AG2314&lt;&gt;"")+(AL2314&lt;&gt;""))</f>
        <v>1</v>
      </c>
      <c r="AP2314" s="82" t="str">
        <f aca="false">IF(AL2314&lt;&gt;"",AL2314,IF(AG2314&lt;&gt;"",AG2314,IF(AA2314&lt;&gt;"",AA2314,"")))</f>
        <v>A</v>
      </c>
      <c r="AQ2314" s="84" t="str">
        <f aca="false">IF(E2314="","",IF(U2314="","À SOUDER",IF(X2314="","VT EN ATTENTE",IF(X2314="R","VT REJETÉ – À REPRENDRE",IF(AP2314="","À RADIOGRAPHIER",IF(AP2314="A","ACCEPTÉ",IF(AP2314="NX","NX – RT À REFAIRE",IF(IF(AO2314=1,AD2314,IF(AO2314=2,AI2314,""))="A","RÉPARÉ – À RADIOGRAPHIER",IF(IF(AO2314=1,AD2314,IF(AO2314=2,AI2314,""))="R","VT REJETÉ – À REPRENDRE",IF(OR(AP2314="CO",AP2314="NT"),"COUPE – À RESOUDER","À RÉPARER"))))))))))</f>
        <v>ACCEPTÉ</v>
      </c>
      <c r="AR2314" s="82" t="str">
        <f aca="false">IF(AND(ISNUMBER(U2314),OR(AQ2314="À RADIOGRAPHIER",AQ2314="RÉPARÉ – À RADIOGRAPHIER",AQ2314="NX – RT À REFAIRE",AQ2314="À RÉPARER",AQ2314="COUPE – À RESOUDER",AQ2314="VT REJETÉ – À REPRENDRE")),MAX(0,'PROGRAMME RT'!$C$4-U2314),"")</f>
        <v/>
      </c>
      <c r="AS2314" s="82" t="n">
        <f aca="false">IF(AND(OR(AQ2314="À RADIOGRAPHIER",AQ2314="RÉPARÉ – À RADIOGRAPHIER",AQ2314="NX – RT À REFAIRE"),OR('PROGRAMME RT'!$D$5="TOUTES",B2314='PROGRAMME RT'!$D$5)),1,0)</f>
        <v>0</v>
      </c>
      <c r="AT2314" s="82" t="str">
        <f aca="false">IF(AS2314=1,SUM(AS$7:AS2314),"")</f>
        <v/>
      </c>
      <c r="AU2314" s="82" t="n">
        <f aca="false">IF(AND(OR(AA2314="R",AA2314="NX",AA2314="NT",AA2314="CO"),OR('JOINTS DE RÉPARATION'!$D$5="TOUTES",B2314='JOINTS DE RÉPARATION'!$D$5),OR('JOINTS DE RÉPARATION'!$L$4="TOUS",AQ2314&lt;&gt;"ACCEPTÉ")),1,0)</f>
        <v>0</v>
      </c>
      <c r="AV2314" s="82" t="str">
        <f aca="false">IF(AU2314=1,SUM(AU$7:AU2314),"")</f>
        <v/>
      </c>
      <c r="AW2314" s="82" t="str">
        <f aca="false">IF(E2314="","",B2314&amp;"|"&amp;E2314)</f>
        <v>MFD-ISW → MFD-CPF|JN°1830</v>
      </c>
    </row>
    <row r="2315" customFormat="false" ht="74.6" hidden="false" customHeight="false" outlineLevel="0" collapsed="false">
      <c r="A2315" s="79" t="n">
        <f aca="false">IF(E2315="","",ROW()-6)</f>
        <v>2309</v>
      </c>
      <c r="B2315" s="80" t="s">
        <v>110</v>
      </c>
      <c r="C2315" s="81" t="s">
        <v>2781</v>
      </c>
      <c r="D2315" s="81" t="n">
        <v>23</v>
      </c>
      <c r="E2315" s="81" t="s">
        <v>2809</v>
      </c>
      <c r="F2315" s="82" t="str">
        <f aca="false">IF(E2315="","",IF(LEFT(E2315,2)="DJ","DJ","JN"))</f>
        <v>JN</v>
      </c>
      <c r="G2315" s="81" t="s">
        <v>1504</v>
      </c>
      <c r="H2315" s="81" t="s">
        <v>871</v>
      </c>
      <c r="I2315" s="81" t="n">
        <v>9.53</v>
      </c>
      <c r="J2315" s="81" t="s">
        <v>872</v>
      </c>
      <c r="K2315" s="81" t="s">
        <v>879</v>
      </c>
      <c r="L2315" s="81" t="n">
        <v>2098200</v>
      </c>
      <c r="M2315" s="81" t="n">
        <v>15421112</v>
      </c>
      <c r="N2315" s="81" t="n">
        <v>11.94</v>
      </c>
      <c r="O2315" s="81" t="n">
        <v>2086470</v>
      </c>
      <c r="P2315" s="81" t="n">
        <v>15421107</v>
      </c>
      <c r="Q2315" s="81" t="n">
        <v>11.94</v>
      </c>
      <c r="R2315" s="81" t="s">
        <v>2807</v>
      </c>
      <c r="S2315" s="81"/>
      <c r="T2315" s="81"/>
      <c r="U2315" s="83" t="n">
        <v>46259</v>
      </c>
      <c r="V2315" s="83" t="n">
        <v>46259</v>
      </c>
      <c r="W2315" s="81" t="s">
        <v>2791</v>
      </c>
      <c r="X2315" s="81" t="s">
        <v>876</v>
      </c>
      <c r="Y2315" s="83" t="n">
        <v>46262</v>
      </c>
      <c r="Z2315" s="81" t="s">
        <v>2804</v>
      </c>
      <c r="AA2315" s="81" t="s">
        <v>876</v>
      </c>
      <c r="AB2315" s="81"/>
      <c r="AC2315" s="81"/>
      <c r="AD2315" s="81"/>
      <c r="AE2315" s="83"/>
      <c r="AF2315" s="81"/>
      <c r="AG2315" s="81"/>
      <c r="AH2315" s="81"/>
      <c r="AI2315" s="81"/>
      <c r="AJ2315" s="83"/>
      <c r="AK2315" s="81"/>
      <c r="AL2315" s="81"/>
      <c r="AM2315" s="83"/>
      <c r="AN2315" s="80"/>
      <c r="AO2315" s="82" t="n">
        <f aca="false">IF(E2315="","",(AA2315&lt;&gt;"")+(AG2315&lt;&gt;"")+(AL2315&lt;&gt;""))</f>
        <v>1</v>
      </c>
      <c r="AP2315" s="82" t="str">
        <f aca="false">IF(AL2315&lt;&gt;"",AL2315,IF(AG2315&lt;&gt;"",AG2315,IF(AA2315&lt;&gt;"",AA2315,"")))</f>
        <v>A</v>
      </c>
      <c r="AQ2315" s="84" t="str">
        <f aca="false">IF(E2315="","",IF(U2315="","À SOUDER",IF(X2315="","VT EN ATTENTE",IF(X2315="R","VT REJETÉ – À REPRENDRE",IF(AP2315="","À RADIOGRAPHIER",IF(AP2315="A","ACCEPTÉ",IF(AP2315="NX","NX – RT À REFAIRE",IF(IF(AO2315=1,AD2315,IF(AO2315=2,AI2315,""))="A","RÉPARÉ – À RADIOGRAPHIER",IF(IF(AO2315=1,AD2315,IF(AO2315=2,AI2315,""))="R","VT REJETÉ – À REPRENDRE",IF(OR(AP2315="CO",AP2315="NT"),"COUPE – À RESOUDER","À RÉPARER"))))))))))</f>
        <v>ACCEPTÉ</v>
      </c>
      <c r="AR2315" s="82" t="str">
        <f aca="false">IF(AND(ISNUMBER(U2315),OR(AQ2315="À RADIOGRAPHIER",AQ2315="RÉPARÉ – À RADIOGRAPHIER",AQ2315="NX – RT À REFAIRE",AQ2315="À RÉPARER",AQ2315="COUPE – À RESOUDER",AQ2315="VT REJETÉ – À REPRENDRE")),MAX(0,'PROGRAMME RT'!$C$4-U2315),"")</f>
        <v/>
      </c>
      <c r="AS2315" s="82" t="n">
        <f aca="false">IF(AND(OR(AQ2315="À RADIOGRAPHIER",AQ2315="RÉPARÉ – À RADIOGRAPHIER",AQ2315="NX – RT À REFAIRE"),OR('PROGRAMME RT'!$D$5="TOUTES",B2315='PROGRAMME RT'!$D$5)),1,0)</f>
        <v>0</v>
      </c>
      <c r="AT2315" s="82" t="str">
        <f aca="false">IF(AS2315=1,SUM(AS$7:AS2315),"")</f>
        <v/>
      </c>
      <c r="AU2315" s="82" t="n">
        <f aca="false">IF(AND(OR(AA2315="R",AA2315="NX",AA2315="NT",AA2315="CO"),OR('JOINTS DE RÉPARATION'!$D$5="TOUTES",B2315='JOINTS DE RÉPARATION'!$D$5),OR('JOINTS DE RÉPARATION'!$L$4="TOUS",AQ2315&lt;&gt;"ACCEPTÉ")),1,0)</f>
        <v>0</v>
      </c>
      <c r="AV2315" s="82" t="str">
        <f aca="false">IF(AU2315=1,SUM(AU$7:AU2315),"")</f>
        <v/>
      </c>
      <c r="AW2315" s="82" t="str">
        <f aca="false">IF(E2315="","",B2315&amp;"|"&amp;E2315)</f>
        <v>MFD-ISW → MFD-CPF|JN°1831</v>
      </c>
    </row>
    <row r="2316" customFormat="false" ht="74.6" hidden="false" customHeight="false" outlineLevel="0" collapsed="false">
      <c r="A2316" s="79" t="n">
        <f aca="false">IF(E2316="","",ROW()-6)</f>
        <v>2310</v>
      </c>
      <c r="B2316" s="80" t="s">
        <v>110</v>
      </c>
      <c r="C2316" s="81" t="s">
        <v>2781</v>
      </c>
      <c r="D2316" s="81" t="n">
        <v>23</v>
      </c>
      <c r="E2316" s="81" t="s">
        <v>2810</v>
      </c>
      <c r="F2316" s="82" t="str">
        <f aca="false">IF(E2316="","",IF(LEFT(E2316,2)="DJ","DJ","JN"))</f>
        <v>JN</v>
      </c>
      <c r="G2316" s="81" t="s">
        <v>1504</v>
      </c>
      <c r="H2316" s="81" t="s">
        <v>871</v>
      </c>
      <c r="I2316" s="81" t="n">
        <v>9.53</v>
      </c>
      <c r="J2316" s="81" t="s">
        <v>872</v>
      </c>
      <c r="K2316" s="81" t="s">
        <v>879</v>
      </c>
      <c r="L2316" s="81" t="n">
        <v>2086470</v>
      </c>
      <c r="M2316" s="81" t="n">
        <v>15421107</v>
      </c>
      <c r="N2316" s="81" t="n">
        <v>11.94</v>
      </c>
      <c r="O2316" s="81" t="n">
        <v>2094410</v>
      </c>
      <c r="P2316" s="81" t="n">
        <v>15421111</v>
      </c>
      <c r="Q2316" s="81" t="n">
        <v>11.94</v>
      </c>
      <c r="R2316" s="81" t="s">
        <v>2807</v>
      </c>
      <c r="S2316" s="81"/>
      <c r="T2316" s="81"/>
      <c r="U2316" s="83" t="n">
        <v>46259</v>
      </c>
      <c r="V2316" s="83" t="n">
        <v>46259</v>
      </c>
      <c r="W2316" s="81" t="s">
        <v>2791</v>
      </c>
      <c r="X2316" s="81" t="s">
        <v>876</v>
      </c>
      <c r="Y2316" s="83" t="n">
        <v>46262</v>
      </c>
      <c r="Z2316" s="81" t="s">
        <v>2804</v>
      </c>
      <c r="AA2316" s="81" t="s">
        <v>876</v>
      </c>
      <c r="AB2316" s="81"/>
      <c r="AC2316" s="81"/>
      <c r="AD2316" s="81"/>
      <c r="AE2316" s="83"/>
      <c r="AF2316" s="81"/>
      <c r="AG2316" s="81"/>
      <c r="AH2316" s="81"/>
      <c r="AI2316" s="81"/>
      <c r="AJ2316" s="83"/>
      <c r="AK2316" s="81"/>
      <c r="AL2316" s="81"/>
      <c r="AM2316" s="83"/>
      <c r="AN2316" s="80"/>
      <c r="AO2316" s="82" t="n">
        <f aca="false">IF(E2316="","",(AA2316&lt;&gt;"")+(AG2316&lt;&gt;"")+(AL2316&lt;&gt;""))</f>
        <v>1</v>
      </c>
      <c r="AP2316" s="82" t="str">
        <f aca="false">IF(AL2316&lt;&gt;"",AL2316,IF(AG2316&lt;&gt;"",AG2316,IF(AA2316&lt;&gt;"",AA2316,"")))</f>
        <v>A</v>
      </c>
      <c r="AQ2316" s="84" t="str">
        <f aca="false">IF(E2316="","",IF(U2316="","À SOUDER",IF(X2316="","VT EN ATTENTE",IF(X2316="R","VT REJETÉ – À REPRENDRE",IF(AP2316="","À RADIOGRAPHIER",IF(AP2316="A","ACCEPTÉ",IF(AP2316="NX","NX – RT À REFAIRE",IF(IF(AO2316=1,AD2316,IF(AO2316=2,AI2316,""))="A","RÉPARÉ – À RADIOGRAPHIER",IF(IF(AO2316=1,AD2316,IF(AO2316=2,AI2316,""))="R","VT REJETÉ – À REPRENDRE",IF(OR(AP2316="CO",AP2316="NT"),"COUPE – À RESOUDER","À RÉPARER"))))))))))</f>
        <v>ACCEPTÉ</v>
      </c>
      <c r="AR2316" s="82" t="str">
        <f aca="false">IF(AND(ISNUMBER(U2316),OR(AQ2316="À RADIOGRAPHIER",AQ2316="RÉPARÉ – À RADIOGRAPHIER",AQ2316="NX – RT À REFAIRE",AQ2316="À RÉPARER",AQ2316="COUPE – À RESOUDER",AQ2316="VT REJETÉ – À REPRENDRE")),MAX(0,'PROGRAMME RT'!$C$4-U2316),"")</f>
        <v/>
      </c>
      <c r="AS2316" s="82" t="n">
        <f aca="false">IF(AND(OR(AQ2316="À RADIOGRAPHIER",AQ2316="RÉPARÉ – À RADIOGRAPHIER",AQ2316="NX – RT À REFAIRE"),OR('PROGRAMME RT'!$D$5="TOUTES",B2316='PROGRAMME RT'!$D$5)),1,0)</f>
        <v>0</v>
      </c>
      <c r="AT2316" s="82" t="str">
        <f aca="false">IF(AS2316=1,SUM(AS$7:AS2316),"")</f>
        <v/>
      </c>
      <c r="AU2316" s="82" t="n">
        <f aca="false">IF(AND(OR(AA2316="R",AA2316="NX",AA2316="NT",AA2316="CO"),OR('JOINTS DE RÉPARATION'!$D$5="TOUTES",B2316='JOINTS DE RÉPARATION'!$D$5),OR('JOINTS DE RÉPARATION'!$L$4="TOUS",AQ2316&lt;&gt;"ACCEPTÉ")),1,0)</f>
        <v>0</v>
      </c>
      <c r="AV2316" s="82" t="str">
        <f aca="false">IF(AU2316=1,SUM(AU$7:AU2316),"")</f>
        <v/>
      </c>
      <c r="AW2316" s="82" t="str">
        <f aca="false">IF(E2316="","",B2316&amp;"|"&amp;E2316)</f>
        <v>MFD-ISW → MFD-CPF|JN°1832</v>
      </c>
    </row>
    <row r="2317" customFormat="false" ht="74.6" hidden="false" customHeight="false" outlineLevel="0" collapsed="false">
      <c r="A2317" s="79" t="n">
        <f aca="false">IF(E2317="","",ROW()-6)</f>
        <v>2311</v>
      </c>
      <c r="B2317" s="80" t="s">
        <v>110</v>
      </c>
      <c r="C2317" s="81" t="s">
        <v>2781</v>
      </c>
      <c r="D2317" s="81" t="n">
        <v>23</v>
      </c>
      <c r="E2317" s="81" t="s">
        <v>2811</v>
      </c>
      <c r="F2317" s="82" t="str">
        <f aca="false">IF(E2317="","",IF(LEFT(E2317,2)="DJ","DJ","JN"))</f>
        <v>JN</v>
      </c>
      <c r="G2317" s="81" t="s">
        <v>1504</v>
      </c>
      <c r="H2317" s="81" t="s">
        <v>871</v>
      </c>
      <c r="I2317" s="81" t="n">
        <v>9.53</v>
      </c>
      <c r="J2317" s="81" t="s">
        <v>872</v>
      </c>
      <c r="K2317" s="81" t="s">
        <v>879</v>
      </c>
      <c r="L2317" s="81" t="n">
        <v>2094410</v>
      </c>
      <c r="M2317" s="81" t="n">
        <v>15421111</v>
      </c>
      <c r="N2317" s="81" t="n">
        <v>11.94</v>
      </c>
      <c r="O2317" s="81" t="n">
        <v>2096410</v>
      </c>
      <c r="P2317" s="81" t="n">
        <v>15421111</v>
      </c>
      <c r="Q2317" s="81" t="n">
        <v>11.94</v>
      </c>
      <c r="R2317" s="81" t="s">
        <v>2807</v>
      </c>
      <c r="S2317" s="81"/>
      <c r="T2317" s="81"/>
      <c r="U2317" s="83" t="n">
        <v>46259</v>
      </c>
      <c r="V2317" s="83" t="n">
        <v>46259</v>
      </c>
      <c r="W2317" s="81" t="s">
        <v>2791</v>
      </c>
      <c r="X2317" s="81" t="s">
        <v>876</v>
      </c>
      <c r="Y2317" s="83" t="n">
        <v>46262</v>
      </c>
      <c r="Z2317" s="81" t="s">
        <v>2804</v>
      </c>
      <c r="AA2317" s="81" t="s">
        <v>876</v>
      </c>
      <c r="AB2317" s="81"/>
      <c r="AC2317" s="81"/>
      <c r="AD2317" s="81"/>
      <c r="AE2317" s="83"/>
      <c r="AF2317" s="81"/>
      <c r="AG2317" s="81"/>
      <c r="AH2317" s="81"/>
      <c r="AI2317" s="81"/>
      <c r="AJ2317" s="83"/>
      <c r="AK2317" s="81"/>
      <c r="AL2317" s="81"/>
      <c r="AM2317" s="83"/>
      <c r="AN2317" s="80"/>
      <c r="AO2317" s="82" t="n">
        <f aca="false">IF(E2317="","",(AA2317&lt;&gt;"")+(AG2317&lt;&gt;"")+(AL2317&lt;&gt;""))</f>
        <v>1</v>
      </c>
      <c r="AP2317" s="82" t="str">
        <f aca="false">IF(AL2317&lt;&gt;"",AL2317,IF(AG2317&lt;&gt;"",AG2317,IF(AA2317&lt;&gt;"",AA2317,"")))</f>
        <v>A</v>
      </c>
      <c r="AQ2317" s="84" t="str">
        <f aca="false">IF(E2317="","",IF(U2317="","À SOUDER",IF(X2317="","VT EN ATTENTE",IF(X2317="R","VT REJETÉ – À REPRENDRE",IF(AP2317="","À RADIOGRAPHIER",IF(AP2317="A","ACCEPTÉ",IF(AP2317="NX","NX – RT À REFAIRE",IF(IF(AO2317=1,AD2317,IF(AO2317=2,AI2317,""))="A","RÉPARÉ – À RADIOGRAPHIER",IF(IF(AO2317=1,AD2317,IF(AO2317=2,AI2317,""))="R","VT REJETÉ – À REPRENDRE",IF(OR(AP2317="CO",AP2317="NT"),"COUPE – À RESOUDER","À RÉPARER"))))))))))</f>
        <v>ACCEPTÉ</v>
      </c>
      <c r="AR2317" s="82" t="str">
        <f aca="false">IF(AND(ISNUMBER(U2317),OR(AQ2317="À RADIOGRAPHIER",AQ2317="RÉPARÉ – À RADIOGRAPHIER",AQ2317="NX – RT À REFAIRE",AQ2317="À RÉPARER",AQ2317="COUPE – À RESOUDER",AQ2317="VT REJETÉ – À REPRENDRE")),MAX(0,'PROGRAMME RT'!$C$4-U2317),"")</f>
        <v/>
      </c>
      <c r="AS2317" s="82" t="n">
        <f aca="false">IF(AND(OR(AQ2317="À RADIOGRAPHIER",AQ2317="RÉPARÉ – À RADIOGRAPHIER",AQ2317="NX – RT À REFAIRE"),OR('PROGRAMME RT'!$D$5="TOUTES",B2317='PROGRAMME RT'!$D$5)),1,0)</f>
        <v>0</v>
      </c>
      <c r="AT2317" s="82" t="str">
        <f aca="false">IF(AS2317=1,SUM(AS$7:AS2317),"")</f>
        <v/>
      </c>
      <c r="AU2317" s="82" t="n">
        <f aca="false">IF(AND(OR(AA2317="R",AA2317="NX",AA2317="NT",AA2317="CO"),OR('JOINTS DE RÉPARATION'!$D$5="TOUTES",B2317='JOINTS DE RÉPARATION'!$D$5),OR('JOINTS DE RÉPARATION'!$L$4="TOUS",AQ2317&lt;&gt;"ACCEPTÉ")),1,0)</f>
        <v>0</v>
      </c>
      <c r="AV2317" s="82" t="str">
        <f aca="false">IF(AU2317=1,SUM(AU$7:AU2317),"")</f>
        <v/>
      </c>
      <c r="AW2317" s="82" t="str">
        <f aca="false">IF(E2317="","",B2317&amp;"|"&amp;E2317)</f>
        <v>MFD-ISW → MFD-CPF|JN°1833</v>
      </c>
    </row>
    <row r="2318" customFormat="false" ht="74.6" hidden="false" customHeight="false" outlineLevel="0" collapsed="false">
      <c r="A2318" s="79" t="n">
        <f aca="false">IF(E2318="","",ROW()-6)</f>
        <v>2312</v>
      </c>
      <c r="B2318" s="80" t="s">
        <v>110</v>
      </c>
      <c r="C2318" s="81" t="s">
        <v>2781</v>
      </c>
      <c r="D2318" s="81" t="n">
        <v>23</v>
      </c>
      <c r="E2318" s="81" t="s">
        <v>2812</v>
      </c>
      <c r="F2318" s="82" t="str">
        <f aca="false">IF(E2318="","",IF(LEFT(E2318,2)="DJ","DJ","JN"))</f>
        <v>JN</v>
      </c>
      <c r="G2318" s="81" t="s">
        <v>1504</v>
      </c>
      <c r="H2318" s="81" t="s">
        <v>871</v>
      </c>
      <c r="I2318" s="81" t="n">
        <v>9.53</v>
      </c>
      <c r="J2318" s="81" t="s">
        <v>872</v>
      </c>
      <c r="K2318" s="81" t="s">
        <v>879</v>
      </c>
      <c r="L2318" s="81" t="n">
        <v>2096410</v>
      </c>
      <c r="M2318" s="81" t="n">
        <v>15421111</v>
      </c>
      <c r="N2318" s="81" t="n">
        <v>11.94</v>
      </c>
      <c r="O2318" s="81" t="n">
        <v>2091170</v>
      </c>
      <c r="P2318" s="81" t="n">
        <v>15421109</v>
      </c>
      <c r="Q2318" s="81" t="n">
        <v>11.94</v>
      </c>
      <c r="R2318" s="81" t="s">
        <v>2807</v>
      </c>
      <c r="S2318" s="81"/>
      <c r="T2318" s="81"/>
      <c r="U2318" s="83" t="n">
        <v>46259</v>
      </c>
      <c r="V2318" s="83" t="n">
        <v>46259</v>
      </c>
      <c r="W2318" s="81" t="s">
        <v>2813</v>
      </c>
      <c r="X2318" s="81" t="s">
        <v>876</v>
      </c>
      <c r="Y2318" s="83" t="n">
        <v>46262</v>
      </c>
      <c r="Z2318" s="81" t="s">
        <v>2804</v>
      </c>
      <c r="AA2318" s="81" t="s">
        <v>876</v>
      </c>
      <c r="AB2318" s="81"/>
      <c r="AC2318" s="81"/>
      <c r="AD2318" s="81"/>
      <c r="AE2318" s="83"/>
      <c r="AF2318" s="81"/>
      <c r="AG2318" s="81"/>
      <c r="AH2318" s="81"/>
      <c r="AI2318" s="81"/>
      <c r="AJ2318" s="83"/>
      <c r="AK2318" s="81"/>
      <c r="AL2318" s="81"/>
      <c r="AM2318" s="83"/>
      <c r="AN2318" s="80"/>
      <c r="AO2318" s="82" t="n">
        <f aca="false">IF(E2318="","",(AA2318&lt;&gt;"")+(AG2318&lt;&gt;"")+(AL2318&lt;&gt;""))</f>
        <v>1</v>
      </c>
      <c r="AP2318" s="82" t="str">
        <f aca="false">IF(AL2318&lt;&gt;"",AL2318,IF(AG2318&lt;&gt;"",AG2318,IF(AA2318&lt;&gt;"",AA2318,"")))</f>
        <v>A</v>
      </c>
      <c r="AQ2318" s="84" t="str">
        <f aca="false">IF(E2318="","",IF(U2318="","À SOUDER",IF(X2318="","VT EN ATTENTE",IF(X2318="R","VT REJETÉ – À REPRENDRE",IF(AP2318="","À RADIOGRAPHIER",IF(AP2318="A","ACCEPTÉ",IF(AP2318="NX","NX – RT À REFAIRE",IF(IF(AO2318=1,AD2318,IF(AO2318=2,AI2318,""))="A","RÉPARÉ – À RADIOGRAPHIER",IF(IF(AO2318=1,AD2318,IF(AO2318=2,AI2318,""))="R","VT REJETÉ – À REPRENDRE",IF(OR(AP2318="CO",AP2318="NT"),"COUPE – À RESOUDER","À RÉPARER"))))))))))</f>
        <v>ACCEPTÉ</v>
      </c>
      <c r="AR2318" s="82" t="str">
        <f aca="false">IF(AND(ISNUMBER(U2318),OR(AQ2318="À RADIOGRAPHIER",AQ2318="RÉPARÉ – À RADIOGRAPHIER",AQ2318="NX – RT À REFAIRE",AQ2318="À RÉPARER",AQ2318="COUPE – À RESOUDER",AQ2318="VT REJETÉ – À REPRENDRE")),MAX(0,'PROGRAMME RT'!$C$4-U2318),"")</f>
        <v/>
      </c>
      <c r="AS2318" s="82" t="n">
        <f aca="false">IF(AND(OR(AQ2318="À RADIOGRAPHIER",AQ2318="RÉPARÉ – À RADIOGRAPHIER",AQ2318="NX – RT À REFAIRE"),OR('PROGRAMME RT'!$D$5="TOUTES",B2318='PROGRAMME RT'!$D$5)),1,0)</f>
        <v>0</v>
      </c>
      <c r="AT2318" s="82" t="str">
        <f aca="false">IF(AS2318=1,SUM(AS$7:AS2318),"")</f>
        <v/>
      </c>
      <c r="AU2318" s="82" t="n">
        <f aca="false">IF(AND(OR(AA2318="R",AA2318="NX",AA2318="NT",AA2318="CO"),OR('JOINTS DE RÉPARATION'!$D$5="TOUTES",B2318='JOINTS DE RÉPARATION'!$D$5),OR('JOINTS DE RÉPARATION'!$L$4="TOUS",AQ2318&lt;&gt;"ACCEPTÉ")),1,0)</f>
        <v>0</v>
      </c>
      <c r="AV2318" s="82" t="str">
        <f aca="false">IF(AU2318=1,SUM(AU$7:AU2318),"")</f>
        <v/>
      </c>
      <c r="AW2318" s="82" t="str">
        <f aca="false">IF(E2318="","",B2318&amp;"|"&amp;E2318)</f>
        <v>MFD-ISW → MFD-CPF|JN°1834</v>
      </c>
    </row>
    <row r="2319" customFormat="false" ht="74.6" hidden="false" customHeight="false" outlineLevel="0" collapsed="false">
      <c r="A2319" s="79" t="n">
        <f aca="false">IF(E2319="","",ROW()-6)</f>
        <v>2313</v>
      </c>
      <c r="B2319" s="80" t="s">
        <v>110</v>
      </c>
      <c r="C2319" s="81" t="s">
        <v>2781</v>
      </c>
      <c r="D2319" s="81" t="n">
        <v>23</v>
      </c>
      <c r="E2319" s="81" t="s">
        <v>2814</v>
      </c>
      <c r="F2319" s="82" t="str">
        <f aca="false">IF(E2319="","",IF(LEFT(E2319,2)="DJ","DJ","JN"))</f>
        <v>JN</v>
      </c>
      <c r="G2319" s="81" t="s">
        <v>1504</v>
      </c>
      <c r="H2319" s="81" t="s">
        <v>871</v>
      </c>
      <c r="I2319" s="81" t="n">
        <v>9.53</v>
      </c>
      <c r="J2319" s="81" t="s">
        <v>872</v>
      </c>
      <c r="K2319" s="81" t="s">
        <v>879</v>
      </c>
      <c r="L2319" s="81" t="n">
        <v>2091170</v>
      </c>
      <c r="M2319" s="81" t="n">
        <v>15421109</v>
      </c>
      <c r="N2319" s="81" t="n">
        <v>11.94</v>
      </c>
      <c r="O2319" s="81" t="n">
        <v>2084680</v>
      </c>
      <c r="P2319" s="81" t="n">
        <v>15421110</v>
      </c>
      <c r="Q2319" s="81" t="n">
        <v>11.94</v>
      </c>
      <c r="R2319" s="81" t="s">
        <v>2807</v>
      </c>
      <c r="S2319" s="81"/>
      <c r="T2319" s="81"/>
      <c r="U2319" s="83" t="n">
        <v>46259</v>
      </c>
      <c r="V2319" s="83" t="n">
        <v>46259</v>
      </c>
      <c r="W2319" s="81" t="s">
        <v>2813</v>
      </c>
      <c r="X2319" s="81" t="s">
        <v>876</v>
      </c>
      <c r="Y2319" s="83" t="n">
        <v>46261</v>
      </c>
      <c r="Z2319" s="81" t="s">
        <v>2815</v>
      </c>
      <c r="AA2319" s="81" t="s">
        <v>876</v>
      </c>
      <c r="AB2319" s="81"/>
      <c r="AC2319" s="81"/>
      <c r="AD2319" s="81"/>
      <c r="AE2319" s="83"/>
      <c r="AF2319" s="81"/>
      <c r="AG2319" s="81"/>
      <c r="AH2319" s="81"/>
      <c r="AI2319" s="81"/>
      <c r="AJ2319" s="83"/>
      <c r="AK2319" s="81"/>
      <c r="AL2319" s="81"/>
      <c r="AM2319" s="83"/>
      <c r="AN2319" s="80"/>
      <c r="AO2319" s="82" t="n">
        <f aca="false">IF(E2319="","",(AA2319&lt;&gt;"")+(AG2319&lt;&gt;"")+(AL2319&lt;&gt;""))</f>
        <v>1</v>
      </c>
      <c r="AP2319" s="82" t="str">
        <f aca="false">IF(AL2319&lt;&gt;"",AL2319,IF(AG2319&lt;&gt;"",AG2319,IF(AA2319&lt;&gt;"",AA2319,"")))</f>
        <v>A</v>
      </c>
      <c r="AQ2319" s="84" t="str">
        <f aca="false">IF(E2319="","",IF(U2319="","À SOUDER",IF(X2319="","VT EN ATTENTE",IF(X2319="R","VT REJETÉ – À REPRENDRE",IF(AP2319="","À RADIOGRAPHIER",IF(AP2319="A","ACCEPTÉ",IF(AP2319="NX","NX – RT À REFAIRE",IF(IF(AO2319=1,AD2319,IF(AO2319=2,AI2319,""))="A","RÉPARÉ – À RADIOGRAPHIER",IF(IF(AO2319=1,AD2319,IF(AO2319=2,AI2319,""))="R","VT REJETÉ – À REPRENDRE",IF(OR(AP2319="CO",AP2319="NT"),"COUPE – À RESOUDER","À RÉPARER"))))))))))</f>
        <v>ACCEPTÉ</v>
      </c>
      <c r="AR2319" s="82" t="str">
        <f aca="false">IF(AND(ISNUMBER(U2319),OR(AQ2319="À RADIOGRAPHIER",AQ2319="RÉPARÉ – À RADIOGRAPHIER",AQ2319="NX – RT À REFAIRE",AQ2319="À RÉPARER",AQ2319="COUPE – À RESOUDER",AQ2319="VT REJETÉ – À REPRENDRE")),MAX(0,'PROGRAMME RT'!$C$4-U2319),"")</f>
        <v/>
      </c>
      <c r="AS2319" s="82" t="n">
        <f aca="false">IF(AND(OR(AQ2319="À RADIOGRAPHIER",AQ2319="RÉPARÉ – À RADIOGRAPHIER",AQ2319="NX – RT À REFAIRE"),OR('PROGRAMME RT'!$D$5="TOUTES",B2319='PROGRAMME RT'!$D$5)),1,0)</f>
        <v>0</v>
      </c>
      <c r="AT2319" s="82" t="str">
        <f aca="false">IF(AS2319=1,SUM(AS$7:AS2319),"")</f>
        <v/>
      </c>
      <c r="AU2319" s="82" t="n">
        <f aca="false">IF(AND(OR(AA2319="R",AA2319="NX",AA2319="NT",AA2319="CO"),OR('JOINTS DE RÉPARATION'!$D$5="TOUTES",B2319='JOINTS DE RÉPARATION'!$D$5),OR('JOINTS DE RÉPARATION'!$L$4="TOUS",AQ2319&lt;&gt;"ACCEPTÉ")),1,0)</f>
        <v>0</v>
      </c>
      <c r="AV2319" s="82" t="str">
        <f aca="false">IF(AU2319=1,SUM(AU$7:AU2319),"")</f>
        <v/>
      </c>
      <c r="AW2319" s="82" t="str">
        <f aca="false">IF(E2319="","",B2319&amp;"|"&amp;E2319)</f>
        <v>MFD-ISW → MFD-CPF|JN°1835</v>
      </c>
    </row>
    <row r="2320" customFormat="false" ht="74.6" hidden="false" customHeight="false" outlineLevel="0" collapsed="false">
      <c r="A2320" s="79" t="n">
        <f aca="false">IF(E2320="","",ROW()-6)</f>
        <v>2314</v>
      </c>
      <c r="B2320" s="80" t="s">
        <v>110</v>
      </c>
      <c r="C2320" s="81" t="s">
        <v>2781</v>
      </c>
      <c r="D2320" s="81" t="n">
        <v>23</v>
      </c>
      <c r="E2320" s="81" t="s">
        <v>2816</v>
      </c>
      <c r="F2320" s="82" t="str">
        <f aca="false">IF(E2320="","",IF(LEFT(E2320,2)="DJ","DJ","JN"))</f>
        <v>JN</v>
      </c>
      <c r="G2320" s="81" t="s">
        <v>1504</v>
      </c>
      <c r="H2320" s="81" t="s">
        <v>871</v>
      </c>
      <c r="I2320" s="81" t="n">
        <v>9.53</v>
      </c>
      <c r="J2320" s="81" t="s">
        <v>872</v>
      </c>
      <c r="K2320" s="81" t="s">
        <v>879</v>
      </c>
      <c r="L2320" s="81" t="n">
        <v>2084680</v>
      </c>
      <c r="M2320" s="81" t="n">
        <v>15421110</v>
      </c>
      <c r="N2320" s="81" t="n">
        <v>11.94</v>
      </c>
      <c r="O2320" s="81" t="n">
        <v>2083940</v>
      </c>
      <c r="P2320" s="81" t="n">
        <v>15421106</v>
      </c>
      <c r="Q2320" s="81" t="n">
        <v>11.94</v>
      </c>
      <c r="R2320" s="81" t="s">
        <v>2807</v>
      </c>
      <c r="S2320" s="81"/>
      <c r="T2320" s="81"/>
      <c r="U2320" s="83" t="n">
        <v>46259</v>
      </c>
      <c r="V2320" s="83" t="n">
        <v>46259</v>
      </c>
      <c r="W2320" s="81" t="s">
        <v>2813</v>
      </c>
      <c r="X2320" s="81" t="s">
        <v>876</v>
      </c>
      <c r="Y2320" s="83" t="n">
        <v>46261</v>
      </c>
      <c r="Z2320" s="81" t="s">
        <v>2815</v>
      </c>
      <c r="AA2320" s="81" t="s">
        <v>876</v>
      </c>
      <c r="AB2320" s="81"/>
      <c r="AC2320" s="81"/>
      <c r="AD2320" s="81"/>
      <c r="AE2320" s="83"/>
      <c r="AF2320" s="81"/>
      <c r="AG2320" s="81"/>
      <c r="AH2320" s="81"/>
      <c r="AI2320" s="81"/>
      <c r="AJ2320" s="83"/>
      <c r="AK2320" s="81"/>
      <c r="AL2320" s="81"/>
      <c r="AM2320" s="83"/>
      <c r="AN2320" s="80"/>
      <c r="AO2320" s="82" t="n">
        <f aca="false">IF(E2320="","",(AA2320&lt;&gt;"")+(AG2320&lt;&gt;"")+(AL2320&lt;&gt;""))</f>
        <v>1</v>
      </c>
      <c r="AP2320" s="82" t="str">
        <f aca="false">IF(AL2320&lt;&gt;"",AL2320,IF(AG2320&lt;&gt;"",AG2320,IF(AA2320&lt;&gt;"",AA2320,"")))</f>
        <v>A</v>
      </c>
      <c r="AQ2320" s="84" t="str">
        <f aca="false">IF(E2320="","",IF(U2320="","À SOUDER",IF(X2320="","VT EN ATTENTE",IF(X2320="R","VT REJETÉ – À REPRENDRE",IF(AP2320="","À RADIOGRAPHIER",IF(AP2320="A","ACCEPTÉ",IF(AP2320="NX","NX – RT À REFAIRE",IF(IF(AO2320=1,AD2320,IF(AO2320=2,AI2320,""))="A","RÉPARÉ – À RADIOGRAPHIER",IF(IF(AO2320=1,AD2320,IF(AO2320=2,AI2320,""))="R","VT REJETÉ – À REPRENDRE",IF(OR(AP2320="CO",AP2320="NT"),"COUPE – À RESOUDER","À RÉPARER"))))))))))</f>
        <v>ACCEPTÉ</v>
      </c>
      <c r="AR2320" s="82" t="str">
        <f aca="false">IF(AND(ISNUMBER(U2320),OR(AQ2320="À RADIOGRAPHIER",AQ2320="RÉPARÉ – À RADIOGRAPHIER",AQ2320="NX – RT À REFAIRE",AQ2320="À RÉPARER",AQ2320="COUPE – À RESOUDER",AQ2320="VT REJETÉ – À REPRENDRE")),MAX(0,'PROGRAMME RT'!$C$4-U2320),"")</f>
        <v/>
      </c>
      <c r="AS2320" s="82" t="n">
        <f aca="false">IF(AND(OR(AQ2320="À RADIOGRAPHIER",AQ2320="RÉPARÉ – À RADIOGRAPHIER",AQ2320="NX – RT À REFAIRE"),OR('PROGRAMME RT'!$D$5="TOUTES",B2320='PROGRAMME RT'!$D$5)),1,0)</f>
        <v>0</v>
      </c>
      <c r="AT2320" s="82" t="str">
        <f aca="false">IF(AS2320=1,SUM(AS$7:AS2320),"")</f>
        <v/>
      </c>
      <c r="AU2320" s="82" t="n">
        <f aca="false">IF(AND(OR(AA2320="R",AA2320="NX",AA2320="NT",AA2320="CO"),OR('JOINTS DE RÉPARATION'!$D$5="TOUTES",B2320='JOINTS DE RÉPARATION'!$D$5),OR('JOINTS DE RÉPARATION'!$L$4="TOUS",AQ2320&lt;&gt;"ACCEPTÉ")),1,0)</f>
        <v>0</v>
      </c>
      <c r="AV2320" s="82" t="str">
        <f aca="false">IF(AU2320=1,SUM(AU$7:AU2320),"")</f>
        <v/>
      </c>
      <c r="AW2320" s="82" t="str">
        <f aca="false">IF(E2320="","",B2320&amp;"|"&amp;E2320)</f>
        <v>MFD-ISW → MFD-CPF|JN°1836</v>
      </c>
    </row>
    <row r="2321" customFormat="false" ht="74.6" hidden="false" customHeight="false" outlineLevel="0" collapsed="false">
      <c r="A2321" s="79" t="n">
        <f aca="false">IF(E2321="","",ROW()-6)</f>
        <v>2315</v>
      </c>
      <c r="B2321" s="80" t="s">
        <v>110</v>
      </c>
      <c r="C2321" s="81" t="s">
        <v>2781</v>
      </c>
      <c r="D2321" s="81" t="n">
        <v>23</v>
      </c>
      <c r="E2321" s="81" t="s">
        <v>2817</v>
      </c>
      <c r="F2321" s="82" t="str">
        <f aca="false">IF(E2321="","",IF(LEFT(E2321,2)="DJ","DJ","JN"))</f>
        <v>JN</v>
      </c>
      <c r="G2321" s="81" t="s">
        <v>1504</v>
      </c>
      <c r="H2321" s="81" t="s">
        <v>871</v>
      </c>
      <c r="I2321" s="81" t="n">
        <v>9.53</v>
      </c>
      <c r="J2321" s="81" t="s">
        <v>872</v>
      </c>
      <c r="K2321" s="81" t="s">
        <v>879</v>
      </c>
      <c r="L2321" s="81" t="n">
        <v>2083940</v>
      </c>
      <c r="M2321" s="81" t="n">
        <v>15421106</v>
      </c>
      <c r="N2321" s="81" t="n">
        <v>11.94</v>
      </c>
      <c r="O2321" s="81" t="n">
        <v>2086610</v>
      </c>
      <c r="P2321" s="81" t="n">
        <v>15421107</v>
      </c>
      <c r="Q2321" s="81" t="n">
        <v>11.94</v>
      </c>
      <c r="R2321" s="81" t="s">
        <v>2742</v>
      </c>
      <c r="S2321" s="81"/>
      <c r="T2321" s="81"/>
      <c r="U2321" s="83" t="n">
        <v>46258</v>
      </c>
      <c r="V2321" s="83" t="n">
        <v>46258</v>
      </c>
      <c r="W2321" s="81" t="s">
        <v>2818</v>
      </c>
      <c r="X2321" s="81" t="s">
        <v>876</v>
      </c>
      <c r="Y2321" s="83" t="n">
        <v>46261</v>
      </c>
      <c r="Z2321" s="81" t="s">
        <v>2815</v>
      </c>
      <c r="AA2321" s="81" t="s">
        <v>876</v>
      </c>
      <c r="AB2321" s="81"/>
      <c r="AC2321" s="81"/>
      <c r="AD2321" s="81"/>
      <c r="AE2321" s="83"/>
      <c r="AF2321" s="81"/>
      <c r="AG2321" s="81"/>
      <c r="AH2321" s="81"/>
      <c r="AI2321" s="81"/>
      <c r="AJ2321" s="83"/>
      <c r="AK2321" s="81"/>
      <c r="AL2321" s="81"/>
      <c r="AM2321" s="83"/>
      <c r="AN2321" s="80"/>
      <c r="AO2321" s="82" t="n">
        <f aca="false">IF(E2321="","",(AA2321&lt;&gt;"")+(AG2321&lt;&gt;"")+(AL2321&lt;&gt;""))</f>
        <v>1</v>
      </c>
      <c r="AP2321" s="82" t="str">
        <f aca="false">IF(AL2321&lt;&gt;"",AL2321,IF(AG2321&lt;&gt;"",AG2321,IF(AA2321&lt;&gt;"",AA2321,"")))</f>
        <v>A</v>
      </c>
      <c r="AQ2321" s="84" t="str">
        <f aca="false">IF(E2321="","",IF(U2321="","À SOUDER",IF(X2321="","VT EN ATTENTE",IF(X2321="R","VT REJETÉ – À REPRENDRE",IF(AP2321="","À RADIOGRAPHIER",IF(AP2321="A","ACCEPTÉ",IF(AP2321="NX","NX – RT À REFAIRE",IF(IF(AO2321=1,AD2321,IF(AO2321=2,AI2321,""))="A","RÉPARÉ – À RADIOGRAPHIER",IF(IF(AO2321=1,AD2321,IF(AO2321=2,AI2321,""))="R","VT REJETÉ – À REPRENDRE",IF(OR(AP2321="CO",AP2321="NT"),"COUPE – À RESOUDER","À RÉPARER"))))))))))</f>
        <v>ACCEPTÉ</v>
      </c>
      <c r="AR2321" s="82" t="str">
        <f aca="false">IF(AND(ISNUMBER(U2321),OR(AQ2321="À RADIOGRAPHIER",AQ2321="RÉPARÉ – À RADIOGRAPHIER",AQ2321="NX – RT À REFAIRE",AQ2321="À RÉPARER",AQ2321="COUPE – À RESOUDER",AQ2321="VT REJETÉ – À REPRENDRE")),MAX(0,'PROGRAMME RT'!$C$4-U2321),"")</f>
        <v/>
      </c>
      <c r="AS2321" s="82" t="n">
        <f aca="false">IF(AND(OR(AQ2321="À RADIOGRAPHIER",AQ2321="RÉPARÉ – À RADIOGRAPHIER",AQ2321="NX – RT À REFAIRE"),OR('PROGRAMME RT'!$D$5="TOUTES",B2321='PROGRAMME RT'!$D$5)),1,0)</f>
        <v>0</v>
      </c>
      <c r="AT2321" s="82" t="str">
        <f aca="false">IF(AS2321=1,SUM(AS$7:AS2321),"")</f>
        <v/>
      </c>
      <c r="AU2321" s="82" t="n">
        <f aca="false">IF(AND(OR(AA2321="R",AA2321="NX",AA2321="NT",AA2321="CO"),OR('JOINTS DE RÉPARATION'!$D$5="TOUTES",B2321='JOINTS DE RÉPARATION'!$D$5),OR('JOINTS DE RÉPARATION'!$L$4="TOUS",AQ2321&lt;&gt;"ACCEPTÉ")),1,0)</f>
        <v>0</v>
      </c>
      <c r="AV2321" s="82" t="str">
        <f aca="false">IF(AU2321=1,SUM(AU$7:AU2321),"")</f>
        <v/>
      </c>
      <c r="AW2321" s="82" t="str">
        <f aca="false">IF(E2321="","",B2321&amp;"|"&amp;E2321)</f>
        <v>MFD-ISW → MFD-CPF|JN°1837</v>
      </c>
    </row>
    <row r="2322" customFormat="false" ht="74.6" hidden="false" customHeight="false" outlineLevel="0" collapsed="false">
      <c r="A2322" s="79" t="n">
        <f aca="false">IF(E2322="","",ROW()-6)</f>
        <v>2316</v>
      </c>
      <c r="B2322" s="80" t="s">
        <v>110</v>
      </c>
      <c r="C2322" s="81" t="s">
        <v>2781</v>
      </c>
      <c r="D2322" s="81" t="n">
        <v>23</v>
      </c>
      <c r="E2322" s="81" t="s">
        <v>2819</v>
      </c>
      <c r="F2322" s="82" t="str">
        <f aca="false">IF(E2322="","",IF(LEFT(E2322,2)="DJ","DJ","JN"))</f>
        <v>JN</v>
      </c>
      <c r="G2322" s="81" t="s">
        <v>1504</v>
      </c>
      <c r="H2322" s="81" t="s">
        <v>871</v>
      </c>
      <c r="I2322" s="81" t="n">
        <v>9.53</v>
      </c>
      <c r="J2322" s="81" t="s">
        <v>872</v>
      </c>
      <c r="K2322" s="81" t="s">
        <v>879</v>
      </c>
      <c r="L2322" s="81" t="n">
        <v>2086610</v>
      </c>
      <c r="M2322" s="81" t="n">
        <v>15421107</v>
      </c>
      <c r="N2322" s="81" t="n">
        <v>11.94</v>
      </c>
      <c r="O2322" s="81" t="n">
        <v>2085470</v>
      </c>
      <c r="P2322" s="81" t="n">
        <v>15421107</v>
      </c>
      <c r="Q2322" s="81" t="n">
        <v>11.94</v>
      </c>
      <c r="R2322" s="81" t="s">
        <v>2807</v>
      </c>
      <c r="S2322" s="81"/>
      <c r="T2322" s="81"/>
      <c r="U2322" s="83" t="n">
        <v>46258</v>
      </c>
      <c r="V2322" s="83" t="n">
        <v>46258</v>
      </c>
      <c r="W2322" s="81" t="s">
        <v>2818</v>
      </c>
      <c r="X2322" s="81" t="s">
        <v>876</v>
      </c>
      <c r="Y2322" s="83" t="n">
        <v>46261</v>
      </c>
      <c r="Z2322" s="81" t="s">
        <v>2815</v>
      </c>
      <c r="AA2322" s="81" t="s">
        <v>876</v>
      </c>
      <c r="AB2322" s="81"/>
      <c r="AC2322" s="81"/>
      <c r="AD2322" s="81"/>
      <c r="AE2322" s="83"/>
      <c r="AF2322" s="81"/>
      <c r="AG2322" s="81"/>
      <c r="AH2322" s="81"/>
      <c r="AI2322" s="81"/>
      <c r="AJ2322" s="83"/>
      <c r="AK2322" s="81"/>
      <c r="AL2322" s="81"/>
      <c r="AM2322" s="83"/>
      <c r="AN2322" s="80"/>
      <c r="AO2322" s="82" t="n">
        <f aca="false">IF(E2322="","",(AA2322&lt;&gt;"")+(AG2322&lt;&gt;"")+(AL2322&lt;&gt;""))</f>
        <v>1</v>
      </c>
      <c r="AP2322" s="82" t="str">
        <f aca="false">IF(AL2322&lt;&gt;"",AL2322,IF(AG2322&lt;&gt;"",AG2322,IF(AA2322&lt;&gt;"",AA2322,"")))</f>
        <v>A</v>
      </c>
      <c r="AQ2322" s="84" t="str">
        <f aca="false">IF(E2322="","",IF(U2322="","À SOUDER",IF(X2322="","VT EN ATTENTE",IF(X2322="R","VT REJETÉ – À REPRENDRE",IF(AP2322="","À RADIOGRAPHIER",IF(AP2322="A","ACCEPTÉ",IF(AP2322="NX","NX – RT À REFAIRE",IF(IF(AO2322=1,AD2322,IF(AO2322=2,AI2322,""))="A","RÉPARÉ – À RADIOGRAPHIER",IF(IF(AO2322=1,AD2322,IF(AO2322=2,AI2322,""))="R","VT REJETÉ – À REPRENDRE",IF(OR(AP2322="CO",AP2322="NT"),"COUPE – À RESOUDER","À RÉPARER"))))))))))</f>
        <v>ACCEPTÉ</v>
      </c>
      <c r="AR2322" s="82" t="str">
        <f aca="false">IF(AND(ISNUMBER(U2322),OR(AQ2322="À RADIOGRAPHIER",AQ2322="RÉPARÉ – À RADIOGRAPHIER",AQ2322="NX – RT À REFAIRE",AQ2322="À RÉPARER",AQ2322="COUPE – À RESOUDER",AQ2322="VT REJETÉ – À REPRENDRE")),MAX(0,'PROGRAMME RT'!$C$4-U2322),"")</f>
        <v/>
      </c>
      <c r="AS2322" s="82" t="n">
        <f aca="false">IF(AND(OR(AQ2322="À RADIOGRAPHIER",AQ2322="RÉPARÉ – À RADIOGRAPHIER",AQ2322="NX – RT À REFAIRE"),OR('PROGRAMME RT'!$D$5="TOUTES",B2322='PROGRAMME RT'!$D$5)),1,0)</f>
        <v>0</v>
      </c>
      <c r="AT2322" s="82" t="str">
        <f aca="false">IF(AS2322=1,SUM(AS$7:AS2322),"")</f>
        <v/>
      </c>
      <c r="AU2322" s="82" t="n">
        <f aca="false">IF(AND(OR(AA2322="R",AA2322="NX",AA2322="NT",AA2322="CO"),OR('JOINTS DE RÉPARATION'!$D$5="TOUTES",B2322='JOINTS DE RÉPARATION'!$D$5),OR('JOINTS DE RÉPARATION'!$L$4="TOUS",AQ2322&lt;&gt;"ACCEPTÉ")),1,0)</f>
        <v>0</v>
      </c>
      <c r="AV2322" s="82" t="str">
        <f aca="false">IF(AU2322=1,SUM(AU$7:AU2322),"")</f>
        <v/>
      </c>
      <c r="AW2322" s="82" t="str">
        <f aca="false">IF(E2322="","",B2322&amp;"|"&amp;E2322)</f>
        <v>MFD-ISW → MFD-CPF|JN°1838</v>
      </c>
    </row>
    <row r="2323" customFormat="false" ht="74.6" hidden="false" customHeight="false" outlineLevel="0" collapsed="false">
      <c r="A2323" s="79" t="n">
        <f aca="false">IF(E2323="","",ROW()-6)</f>
        <v>2317</v>
      </c>
      <c r="B2323" s="80" t="s">
        <v>110</v>
      </c>
      <c r="C2323" s="81" t="s">
        <v>2781</v>
      </c>
      <c r="D2323" s="81" t="n">
        <v>23</v>
      </c>
      <c r="E2323" s="81" t="s">
        <v>2820</v>
      </c>
      <c r="F2323" s="82" t="str">
        <f aca="false">IF(E2323="","",IF(LEFT(E2323,2)="DJ","DJ","JN"))</f>
        <v>JN</v>
      </c>
      <c r="G2323" s="81" t="s">
        <v>1504</v>
      </c>
      <c r="H2323" s="81" t="s">
        <v>871</v>
      </c>
      <c r="I2323" s="81" t="n">
        <v>9.53</v>
      </c>
      <c r="J2323" s="81" t="s">
        <v>872</v>
      </c>
      <c r="K2323" s="81" t="s">
        <v>879</v>
      </c>
      <c r="L2323" s="81" t="n">
        <v>2085470</v>
      </c>
      <c r="M2323" s="81" t="n">
        <v>15421107</v>
      </c>
      <c r="N2323" s="81" t="n">
        <v>11.94</v>
      </c>
      <c r="O2323" s="81" t="n">
        <v>2081930</v>
      </c>
      <c r="P2323" s="81" t="n">
        <v>15421104</v>
      </c>
      <c r="Q2323" s="81" t="n">
        <v>11.94</v>
      </c>
      <c r="R2323" s="81" t="s">
        <v>2807</v>
      </c>
      <c r="S2323" s="81"/>
      <c r="T2323" s="81"/>
      <c r="U2323" s="83" t="n">
        <v>46258</v>
      </c>
      <c r="V2323" s="83" t="n">
        <v>46258</v>
      </c>
      <c r="W2323" s="81" t="s">
        <v>2818</v>
      </c>
      <c r="X2323" s="81" t="s">
        <v>876</v>
      </c>
      <c r="Y2323" s="83" t="n">
        <v>46262</v>
      </c>
      <c r="Z2323" s="81" t="s">
        <v>2804</v>
      </c>
      <c r="AA2323" s="81" t="s">
        <v>876</v>
      </c>
      <c r="AB2323" s="81"/>
      <c r="AC2323" s="81"/>
      <c r="AD2323" s="81"/>
      <c r="AE2323" s="83"/>
      <c r="AF2323" s="81"/>
      <c r="AG2323" s="81"/>
      <c r="AH2323" s="81"/>
      <c r="AI2323" s="81"/>
      <c r="AJ2323" s="83"/>
      <c r="AK2323" s="81"/>
      <c r="AL2323" s="81"/>
      <c r="AM2323" s="83"/>
      <c r="AN2323" s="80"/>
      <c r="AO2323" s="82" t="n">
        <f aca="false">IF(E2323="","",(AA2323&lt;&gt;"")+(AG2323&lt;&gt;"")+(AL2323&lt;&gt;""))</f>
        <v>1</v>
      </c>
      <c r="AP2323" s="82" t="str">
        <f aca="false">IF(AL2323&lt;&gt;"",AL2323,IF(AG2323&lt;&gt;"",AG2323,IF(AA2323&lt;&gt;"",AA2323,"")))</f>
        <v>A</v>
      </c>
      <c r="AQ2323" s="84" t="str">
        <f aca="false">IF(E2323="","",IF(U2323="","À SOUDER",IF(X2323="","VT EN ATTENTE",IF(X2323="R","VT REJETÉ – À REPRENDRE",IF(AP2323="","À RADIOGRAPHIER",IF(AP2323="A","ACCEPTÉ",IF(AP2323="NX","NX – RT À REFAIRE",IF(IF(AO2323=1,AD2323,IF(AO2323=2,AI2323,""))="A","RÉPARÉ – À RADIOGRAPHIER",IF(IF(AO2323=1,AD2323,IF(AO2323=2,AI2323,""))="R","VT REJETÉ – À REPRENDRE",IF(OR(AP2323="CO",AP2323="NT"),"COUPE – À RESOUDER","À RÉPARER"))))))))))</f>
        <v>ACCEPTÉ</v>
      </c>
      <c r="AR2323" s="82" t="str">
        <f aca="false">IF(AND(ISNUMBER(U2323),OR(AQ2323="À RADIOGRAPHIER",AQ2323="RÉPARÉ – À RADIOGRAPHIER",AQ2323="NX – RT À REFAIRE",AQ2323="À RÉPARER",AQ2323="COUPE – À RESOUDER",AQ2323="VT REJETÉ – À REPRENDRE")),MAX(0,'PROGRAMME RT'!$C$4-U2323),"")</f>
        <v/>
      </c>
      <c r="AS2323" s="82" t="n">
        <f aca="false">IF(AND(OR(AQ2323="À RADIOGRAPHIER",AQ2323="RÉPARÉ – À RADIOGRAPHIER",AQ2323="NX – RT À REFAIRE"),OR('PROGRAMME RT'!$D$5="TOUTES",B2323='PROGRAMME RT'!$D$5)),1,0)</f>
        <v>0</v>
      </c>
      <c r="AT2323" s="82" t="str">
        <f aca="false">IF(AS2323=1,SUM(AS$7:AS2323),"")</f>
        <v/>
      </c>
      <c r="AU2323" s="82" t="n">
        <f aca="false">IF(AND(OR(AA2323="R",AA2323="NX",AA2323="NT",AA2323="CO"),OR('JOINTS DE RÉPARATION'!$D$5="TOUTES",B2323='JOINTS DE RÉPARATION'!$D$5),OR('JOINTS DE RÉPARATION'!$L$4="TOUS",AQ2323&lt;&gt;"ACCEPTÉ")),1,0)</f>
        <v>0</v>
      </c>
      <c r="AV2323" s="82" t="str">
        <f aca="false">IF(AU2323=1,SUM(AU$7:AU2323),"")</f>
        <v/>
      </c>
      <c r="AW2323" s="82" t="str">
        <f aca="false">IF(E2323="","",B2323&amp;"|"&amp;E2323)</f>
        <v>MFD-ISW → MFD-CPF|JN°1839</v>
      </c>
    </row>
    <row r="2324" customFormat="false" ht="74.6" hidden="false" customHeight="false" outlineLevel="0" collapsed="false">
      <c r="A2324" s="79" t="n">
        <f aca="false">IF(E2324="","",ROW()-6)</f>
        <v>2318</v>
      </c>
      <c r="B2324" s="80" t="s">
        <v>110</v>
      </c>
      <c r="C2324" s="81" t="s">
        <v>2781</v>
      </c>
      <c r="D2324" s="81" t="n">
        <v>23</v>
      </c>
      <c r="E2324" s="81" t="s">
        <v>2821</v>
      </c>
      <c r="F2324" s="82" t="str">
        <f aca="false">IF(E2324="","",IF(LEFT(E2324,2)="DJ","DJ","JN"))</f>
        <v>JN</v>
      </c>
      <c r="G2324" s="81" t="s">
        <v>1504</v>
      </c>
      <c r="H2324" s="81" t="s">
        <v>871</v>
      </c>
      <c r="I2324" s="81" t="n">
        <v>9.53</v>
      </c>
      <c r="J2324" s="81" t="s">
        <v>872</v>
      </c>
      <c r="K2324" s="81" t="s">
        <v>879</v>
      </c>
      <c r="L2324" s="81" t="n">
        <v>2081930</v>
      </c>
      <c r="M2324" s="81" t="n">
        <v>15421104</v>
      </c>
      <c r="N2324" s="81" t="n">
        <v>11.94</v>
      </c>
      <c r="O2324" s="81" t="n">
        <v>2083430</v>
      </c>
      <c r="P2324" s="81" t="n">
        <v>15421105</v>
      </c>
      <c r="Q2324" s="81" t="n">
        <v>11.94</v>
      </c>
      <c r="R2324" s="81" t="s">
        <v>2807</v>
      </c>
      <c r="S2324" s="81"/>
      <c r="T2324" s="81"/>
      <c r="U2324" s="83" t="n">
        <v>46258</v>
      </c>
      <c r="V2324" s="83" t="n">
        <v>46258</v>
      </c>
      <c r="W2324" s="81" t="s">
        <v>2818</v>
      </c>
      <c r="X2324" s="81" t="s">
        <v>876</v>
      </c>
      <c r="Y2324" s="83" t="n">
        <v>46262</v>
      </c>
      <c r="Z2324" s="81" t="s">
        <v>2804</v>
      </c>
      <c r="AA2324" s="81" t="s">
        <v>876</v>
      </c>
      <c r="AB2324" s="81"/>
      <c r="AC2324" s="81"/>
      <c r="AD2324" s="81"/>
      <c r="AE2324" s="83"/>
      <c r="AF2324" s="81"/>
      <c r="AG2324" s="81"/>
      <c r="AH2324" s="81"/>
      <c r="AI2324" s="81"/>
      <c r="AJ2324" s="83"/>
      <c r="AK2324" s="81"/>
      <c r="AL2324" s="81"/>
      <c r="AM2324" s="83"/>
      <c r="AN2324" s="80"/>
      <c r="AO2324" s="82" t="n">
        <f aca="false">IF(E2324="","",(AA2324&lt;&gt;"")+(AG2324&lt;&gt;"")+(AL2324&lt;&gt;""))</f>
        <v>1</v>
      </c>
      <c r="AP2324" s="82" t="str">
        <f aca="false">IF(AL2324&lt;&gt;"",AL2324,IF(AG2324&lt;&gt;"",AG2324,IF(AA2324&lt;&gt;"",AA2324,"")))</f>
        <v>A</v>
      </c>
      <c r="AQ2324" s="84" t="str">
        <f aca="false">IF(E2324="","",IF(U2324="","À SOUDER",IF(X2324="","VT EN ATTENTE",IF(X2324="R","VT REJETÉ – À REPRENDRE",IF(AP2324="","À RADIOGRAPHIER",IF(AP2324="A","ACCEPTÉ",IF(AP2324="NX","NX – RT À REFAIRE",IF(IF(AO2324=1,AD2324,IF(AO2324=2,AI2324,""))="A","RÉPARÉ – À RADIOGRAPHIER",IF(IF(AO2324=1,AD2324,IF(AO2324=2,AI2324,""))="R","VT REJETÉ – À REPRENDRE",IF(OR(AP2324="CO",AP2324="NT"),"COUPE – À RESOUDER","À RÉPARER"))))))))))</f>
        <v>ACCEPTÉ</v>
      </c>
      <c r="AR2324" s="82" t="str">
        <f aca="false">IF(AND(ISNUMBER(U2324),OR(AQ2324="À RADIOGRAPHIER",AQ2324="RÉPARÉ – À RADIOGRAPHIER",AQ2324="NX – RT À REFAIRE",AQ2324="À RÉPARER",AQ2324="COUPE – À RESOUDER",AQ2324="VT REJETÉ – À REPRENDRE")),MAX(0,'PROGRAMME RT'!$C$4-U2324),"")</f>
        <v/>
      </c>
      <c r="AS2324" s="82" t="n">
        <f aca="false">IF(AND(OR(AQ2324="À RADIOGRAPHIER",AQ2324="RÉPARÉ – À RADIOGRAPHIER",AQ2324="NX – RT À REFAIRE"),OR('PROGRAMME RT'!$D$5="TOUTES",B2324='PROGRAMME RT'!$D$5)),1,0)</f>
        <v>0</v>
      </c>
      <c r="AT2324" s="82" t="str">
        <f aca="false">IF(AS2324=1,SUM(AS$7:AS2324),"")</f>
        <v/>
      </c>
      <c r="AU2324" s="82" t="n">
        <f aca="false">IF(AND(OR(AA2324="R",AA2324="NX",AA2324="NT",AA2324="CO"),OR('JOINTS DE RÉPARATION'!$D$5="TOUTES",B2324='JOINTS DE RÉPARATION'!$D$5),OR('JOINTS DE RÉPARATION'!$L$4="TOUS",AQ2324&lt;&gt;"ACCEPTÉ")),1,0)</f>
        <v>0</v>
      </c>
      <c r="AV2324" s="82" t="str">
        <f aca="false">IF(AU2324=1,SUM(AU$7:AU2324),"")</f>
        <v/>
      </c>
      <c r="AW2324" s="82" t="str">
        <f aca="false">IF(E2324="","",B2324&amp;"|"&amp;E2324)</f>
        <v>MFD-ISW → MFD-CPF|JN°1840</v>
      </c>
    </row>
    <row r="2325" customFormat="false" ht="74.6" hidden="false" customHeight="false" outlineLevel="0" collapsed="false">
      <c r="A2325" s="79" t="n">
        <f aca="false">IF(E2325="","",ROW()-6)</f>
        <v>2319</v>
      </c>
      <c r="B2325" s="80" t="s">
        <v>110</v>
      </c>
      <c r="C2325" s="81" t="s">
        <v>2781</v>
      </c>
      <c r="D2325" s="81" t="n">
        <v>23</v>
      </c>
      <c r="E2325" s="81" t="s">
        <v>2822</v>
      </c>
      <c r="F2325" s="82" t="str">
        <f aca="false">IF(E2325="","",IF(LEFT(E2325,2)="DJ","DJ","JN"))</f>
        <v>JN</v>
      </c>
      <c r="G2325" s="81" t="s">
        <v>1504</v>
      </c>
      <c r="H2325" s="81" t="s">
        <v>871</v>
      </c>
      <c r="I2325" s="81" t="n">
        <v>9.53</v>
      </c>
      <c r="J2325" s="81" t="s">
        <v>872</v>
      </c>
      <c r="K2325" s="81" t="s">
        <v>879</v>
      </c>
      <c r="L2325" s="81" t="n">
        <v>2083430</v>
      </c>
      <c r="M2325" s="81" t="n">
        <v>15421105</v>
      </c>
      <c r="N2325" s="81" t="n">
        <v>11.94</v>
      </c>
      <c r="O2325" s="81" t="n">
        <v>2093970</v>
      </c>
      <c r="P2325" s="81" t="n">
        <v>15421110</v>
      </c>
      <c r="Q2325" s="81" t="n">
        <v>11.94</v>
      </c>
      <c r="R2325" s="81" t="s">
        <v>2807</v>
      </c>
      <c r="S2325" s="81"/>
      <c r="T2325" s="81"/>
      <c r="U2325" s="83" t="n">
        <v>46258</v>
      </c>
      <c r="V2325" s="83" t="n">
        <v>46258</v>
      </c>
      <c r="W2325" s="81" t="s">
        <v>2818</v>
      </c>
      <c r="X2325" s="81" t="s">
        <v>876</v>
      </c>
      <c r="Y2325" s="83" t="n">
        <v>46261</v>
      </c>
      <c r="Z2325" s="81" t="s">
        <v>2815</v>
      </c>
      <c r="AA2325" s="81" t="s">
        <v>876</v>
      </c>
      <c r="AB2325" s="81"/>
      <c r="AC2325" s="81"/>
      <c r="AD2325" s="81"/>
      <c r="AE2325" s="83"/>
      <c r="AF2325" s="81"/>
      <c r="AG2325" s="81"/>
      <c r="AH2325" s="81"/>
      <c r="AI2325" s="81"/>
      <c r="AJ2325" s="83"/>
      <c r="AK2325" s="81"/>
      <c r="AL2325" s="81"/>
      <c r="AM2325" s="83"/>
      <c r="AN2325" s="80"/>
      <c r="AO2325" s="82" t="n">
        <f aca="false">IF(E2325="","",(AA2325&lt;&gt;"")+(AG2325&lt;&gt;"")+(AL2325&lt;&gt;""))</f>
        <v>1</v>
      </c>
      <c r="AP2325" s="82" t="str">
        <f aca="false">IF(AL2325&lt;&gt;"",AL2325,IF(AG2325&lt;&gt;"",AG2325,IF(AA2325&lt;&gt;"",AA2325,"")))</f>
        <v>A</v>
      </c>
      <c r="AQ2325" s="84" t="str">
        <f aca="false">IF(E2325="","",IF(U2325="","À SOUDER",IF(X2325="","VT EN ATTENTE",IF(X2325="R","VT REJETÉ – À REPRENDRE",IF(AP2325="","À RADIOGRAPHIER",IF(AP2325="A","ACCEPTÉ",IF(AP2325="NX","NX – RT À REFAIRE",IF(IF(AO2325=1,AD2325,IF(AO2325=2,AI2325,""))="A","RÉPARÉ – À RADIOGRAPHIER",IF(IF(AO2325=1,AD2325,IF(AO2325=2,AI2325,""))="R","VT REJETÉ – À REPRENDRE",IF(OR(AP2325="CO",AP2325="NT"),"COUPE – À RESOUDER","À RÉPARER"))))))))))</f>
        <v>ACCEPTÉ</v>
      </c>
      <c r="AR2325" s="82" t="str">
        <f aca="false">IF(AND(ISNUMBER(U2325),OR(AQ2325="À RADIOGRAPHIER",AQ2325="RÉPARÉ – À RADIOGRAPHIER",AQ2325="NX – RT À REFAIRE",AQ2325="À RÉPARER",AQ2325="COUPE – À RESOUDER",AQ2325="VT REJETÉ – À REPRENDRE")),MAX(0,'PROGRAMME RT'!$C$4-U2325),"")</f>
        <v/>
      </c>
      <c r="AS2325" s="82" t="n">
        <f aca="false">IF(AND(OR(AQ2325="À RADIOGRAPHIER",AQ2325="RÉPARÉ – À RADIOGRAPHIER",AQ2325="NX – RT À REFAIRE"),OR('PROGRAMME RT'!$D$5="TOUTES",B2325='PROGRAMME RT'!$D$5)),1,0)</f>
        <v>0</v>
      </c>
      <c r="AT2325" s="82" t="str">
        <f aca="false">IF(AS2325=1,SUM(AS$7:AS2325),"")</f>
        <v/>
      </c>
      <c r="AU2325" s="82" t="n">
        <f aca="false">IF(AND(OR(AA2325="R",AA2325="NX",AA2325="NT",AA2325="CO"),OR('JOINTS DE RÉPARATION'!$D$5="TOUTES",B2325='JOINTS DE RÉPARATION'!$D$5),OR('JOINTS DE RÉPARATION'!$L$4="TOUS",AQ2325&lt;&gt;"ACCEPTÉ")),1,0)</f>
        <v>0</v>
      </c>
      <c r="AV2325" s="82" t="str">
        <f aca="false">IF(AU2325=1,SUM(AU$7:AU2325),"")</f>
        <v/>
      </c>
      <c r="AW2325" s="82" t="str">
        <f aca="false">IF(E2325="","",B2325&amp;"|"&amp;E2325)</f>
        <v>MFD-ISW → MFD-CPF|JN°1841</v>
      </c>
    </row>
    <row r="2326" customFormat="false" ht="74.6" hidden="false" customHeight="false" outlineLevel="0" collapsed="false">
      <c r="A2326" s="79" t="n">
        <f aca="false">IF(E2326="","",ROW()-6)</f>
        <v>2320</v>
      </c>
      <c r="B2326" s="80" t="s">
        <v>110</v>
      </c>
      <c r="C2326" s="81" t="s">
        <v>2781</v>
      </c>
      <c r="D2326" s="81" t="n">
        <v>23</v>
      </c>
      <c r="E2326" s="81" t="s">
        <v>2823</v>
      </c>
      <c r="F2326" s="82" t="str">
        <f aca="false">IF(E2326="","",IF(LEFT(E2326,2)="DJ","DJ","JN"))</f>
        <v>JN</v>
      </c>
      <c r="G2326" s="81" t="s">
        <v>1504</v>
      </c>
      <c r="H2326" s="81" t="s">
        <v>871</v>
      </c>
      <c r="I2326" s="81" t="n">
        <v>9.53</v>
      </c>
      <c r="J2326" s="81" t="s">
        <v>872</v>
      </c>
      <c r="K2326" s="81" t="s">
        <v>1861</v>
      </c>
      <c r="L2326" s="81" t="n">
        <v>2093970</v>
      </c>
      <c r="M2326" s="81" t="n">
        <v>15421110</v>
      </c>
      <c r="N2326" s="81" t="n">
        <v>11.94</v>
      </c>
      <c r="O2326" s="81" t="n">
        <v>9097370</v>
      </c>
      <c r="P2326" s="81" t="n">
        <v>15421112</v>
      </c>
      <c r="Q2326" s="81" t="n">
        <v>11.94</v>
      </c>
      <c r="R2326" s="81" t="s">
        <v>1862</v>
      </c>
      <c r="S2326" s="81"/>
      <c r="T2326" s="81"/>
      <c r="U2326" s="83" t="n">
        <v>46273</v>
      </c>
      <c r="V2326" s="83" t="n">
        <v>46273</v>
      </c>
      <c r="W2326" s="81" t="s">
        <v>2699</v>
      </c>
      <c r="X2326" s="81" t="s">
        <v>876</v>
      </c>
      <c r="Y2326" s="83" t="n">
        <v>46275</v>
      </c>
      <c r="Z2326" s="81" t="s">
        <v>2700</v>
      </c>
      <c r="AA2326" s="81" t="s">
        <v>876</v>
      </c>
      <c r="AB2326" s="81"/>
      <c r="AC2326" s="81"/>
      <c r="AD2326" s="81"/>
      <c r="AE2326" s="83"/>
      <c r="AF2326" s="81"/>
      <c r="AG2326" s="81"/>
      <c r="AH2326" s="81"/>
      <c r="AI2326" s="81"/>
      <c r="AJ2326" s="83"/>
      <c r="AK2326" s="81"/>
      <c r="AL2326" s="81"/>
      <c r="AM2326" s="83"/>
      <c r="AN2326" s="80"/>
      <c r="AO2326" s="82" t="n">
        <f aca="false">IF(E2326="","",(AA2326&lt;&gt;"")+(AG2326&lt;&gt;"")+(AL2326&lt;&gt;""))</f>
        <v>1</v>
      </c>
      <c r="AP2326" s="82" t="str">
        <f aca="false">IF(AL2326&lt;&gt;"",AL2326,IF(AG2326&lt;&gt;"",AG2326,IF(AA2326&lt;&gt;"",AA2326,"")))</f>
        <v>A</v>
      </c>
      <c r="AQ2326" s="84" t="str">
        <f aca="false">IF(E2326="","",IF(U2326="","À SOUDER",IF(X2326="","VT EN ATTENTE",IF(X2326="R","VT REJETÉ – À REPRENDRE",IF(AP2326="","À RADIOGRAPHIER",IF(AP2326="A","ACCEPTÉ",IF(AP2326="NX","NX – RT À REFAIRE",IF(IF(AO2326=1,AD2326,IF(AO2326=2,AI2326,""))="A","RÉPARÉ – À RADIOGRAPHIER",IF(IF(AO2326=1,AD2326,IF(AO2326=2,AI2326,""))="R","VT REJETÉ – À REPRENDRE",IF(OR(AP2326="CO",AP2326="NT"),"COUPE – À RESOUDER","À RÉPARER"))))))))))</f>
        <v>ACCEPTÉ</v>
      </c>
      <c r="AR2326" s="82" t="str">
        <f aca="false">IF(AND(ISNUMBER(U2326),OR(AQ2326="À RADIOGRAPHIER",AQ2326="RÉPARÉ – À RADIOGRAPHIER",AQ2326="NX – RT À REFAIRE",AQ2326="À RÉPARER",AQ2326="COUPE – À RESOUDER",AQ2326="VT REJETÉ – À REPRENDRE")),MAX(0,'PROGRAMME RT'!$C$4-U2326),"")</f>
        <v/>
      </c>
      <c r="AS2326" s="82" t="n">
        <f aca="false">IF(AND(OR(AQ2326="À RADIOGRAPHIER",AQ2326="RÉPARÉ – À RADIOGRAPHIER",AQ2326="NX – RT À REFAIRE"),OR('PROGRAMME RT'!$D$5="TOUTES",B2326='PROGRAMME RT'!$D$5)),1,0)</f>
        <v>0</v>
      </c>
      <c r="AT2326" s="82" t="str">
        <f aca="false">IF(AS2326=1,SUM(AS$7:AS2326),"")</f>
        <v/>
      </c>
      <c r="AU2326" s="82" t="n">
        <f aca="false">IF(AND(OR(AA2326="R",AA2326="NX",AA2326="NT",AA2326="CO"),OR('JOINTS DE RÉPARATION'!$D$5="TOUTES",B2326='JOINTS DE RÉPARATION'!$D$5),OR('JOINTS DE RÉPARATION'!$L$4="TOUS",AQ2326&lt;&gt;"ACCEPTÉ")),1,0)</f>
        <v>0</v>
      </c>
      <c r="AV2326" s="82" t="str">
        <f aca="false">IF(AU2326=1,SUM(AU$7:AU2326),"")</f>
        <v/>
      </c>
      <c r="AW2326" s="82" t="str">
        <f aca="false">IF(E2326="","",B2326&amp;"|"&amp;E2326)</f>
        <v>MFD-ISW → MFD-CPF|JN°1842R</v>
      </c>
    </row>
    <row r="2327" customFormat="false" ht="74.6" hidden="false" customHeight="false" outlineLevel="0" collapsed="false">
      <c r="A2327" s="79" t="n">
        <f aca="false">IF(E2327="","",ROW()-6)</f>
        <v>2321</v>
      </c>
      <c r="B2327" s="80" t="s">
        <v>110</v>
      </c>
      <c r="C2327" s="81" t="s">
        <v>2781</v>
      </c>
      <c r="D2327" s="81" t="n">
        <v>23</v>
      </c>
      <c r="E2327" s="81" t="s">
        <v>2824</v>
      </c>
      <c r="F2327" s="82" t="str">
        <f aca="false">IF(E2327="","",IF(LEFT(E2327,2)="DJ","DJ","JN"))</f>
        <v>JN</v>
      </c>
      <c r="G2327" s="81" t="s">
        <v>1504</v>
      </c>
      <c r="H2327" s="81" t="s">
        <v>871</v>
      </c>
      <c r="I2327" s="81" t="n">
        <v>9.53</v>
      </c>
      <c r="J2327" s="81" t="s">
        <v>872</v>
      </c>
      <c r="K2327" s="81" t="s">
        <v>879</v>
      </c>
      <c r="L2327" s="81" t="n">
        <v>9097370</v>
      </c>
      <c r="M2327" s="81" t="n">
        <v>15421112</v>
      </c>
      <c r="N2327" s="81" t="n">
        <v>11.94</v>
      </c>
      <c r="O2327" s="81" t="n">
        <v>2084170</v>
      </c>
      <c r="P2327" s="81" t="n">
        <v>15421106</v>
      </c>
      <c r="Q2327" s="81" t="n">
        <v>11.94</v>
      </c>
      <c r="R2327" s="81" t="s">
        <v>2807</v>
      </c>
      <c r="S2327" s="81"/>
      <c r="T2327" s="81"/>
      <c r="U2327" s="83" t="n">
        <v>46258</v>
      </c>
      <c r="V2327" s="83" t="n">
        <v>46258</v>
      </c>
      <c r="W2327" s="81" t="s">
        <v>2818</v>
      </c>
      <c r="X2327" s="81" t="s">
        <v>876</v>
      </c>
      <c r="Y2327" s="83" t="n">
        <v>46261</v>
      </c>
      <c r="Z2327" s="81" t="s">
        <v>2815</v>
      </c>
      <c r="AA2327" s="81" t="s">
        <v>876</v>
      </c>
      <c r="AB2327" s="81"/>
      <c r="AC2327" s="81"/>
      <c r="AD2327" s="81"/>
      <c r="AE2327" s="83"/>
      <c r="AF2327" s="81"/>
      <c r="AG2327" s="81"/>
      <c r="AH2327" s="81"/>
      <c r="AI2327" s="81"/>
      <c r="AJ2327" s="83"/>
      <c r="AK2327" s="81"/>
      <c r="AL2327" s="81"/>
      <c r="AM2327" s="83"/>
      <c r="AN2327" s="80"/>
      <c r="AO2327" s="82" t="n">
        <f aca="false">IF(E2327="","",(AA2327&lt;&gt;"")+(AG2327&lt;&gt;"")+(AL2327&lt;&gt;""))</f>
        <v>1</v>
      </c>
      <c r="AP2327" s="82" t="str">
        <f aca="false">IF(AL2327&lt;&gt;"",AL2327,IF(AG2327&lt;&gt;"",AG2327,IF(AA2327&lt;&gt;"",AA2327,"")))</f>
        <v>A</v>
      </c>
      <c r="AQ2327" s="84" t="str">
        <f aca="false">IF(E2327="","",IF(U2327="","À SOUDER",IF(X2327="","VT EN ATTENTE",IF(X2327="R","VT REJETÉ – À REPRENDRE",IF(AP2327="","À RADIOGRAPHIER",IF(AP2327="A","ACCEPTÉ",IF(AP2327="NX","NX – RT À REFAIRE",IF(IF(AO2327=1,AD2327,IF(AO2327=2,AI2327,""))="A","RÉPARÉ – À RADIOGRAPHIER",IF(IF(AO2327=1,AD2327,IF(AO2327=2,AI2327,""))="R","VT REJETÉ – À REPRENDRE",IF(OR(AP2327="CO",AP2327="NT"),"COUPE – À RESOUDER","À RÉPARER"))))))))))</f>
        <v>ACCEPTÉ</v>
      </c>
      <c r="AR2327" s="82" t="str">
        <f aca="false">IF(AND(ISNUMBER(U2327),OR(AQ2327="À RADIOGRAPHIER",AQ2327="RÉPARÉ – À RADIOGRAPHIER",AQ2327="NX – RT À REFAIRE",AQ2327="À RÉPARER",AQ2327="COUPE – À RESOUDER",AQ2327="VT REJETÉ – À REPRENDRE")),MAX(0,'PROGRAMME RT'!$C$4-U2327),"")</f>
        <v/>
      </c>
      <c r="AS2327" s="82" t="n">
        <f aca="false">IF(AND(OR(AQ2327="À RADIOGRAPHIER",AQ2327="RÉPARÉ – À RADIOGRAPHIER",AQ2327="NX – RT À REFAIRE"),OR('PROGRAMME RT'!$D$5="TOUTES",B2327='PROGRAMME RT'!$D$5)),1,0)</f>
        <v>0</v>
      </c>
      <c r="AT2327" s="82" t="str">
        <f aca="false">IF(AS2327=1,SUM(AS$7:AS2327),"")</f>
        <v/>
      </c>
      <c r="AU2327" s="82" t="n">
        <f aca="false">IF(AND(OR(AA2327="R",AA2327="NX",AA2327="NT",AA2327="CO"),OR('JOINTS DE RÉPARATION'!$D$5="TOUTES",B2327='JOINTS DE RÉPARATION'!$D$5),OR('JOINTS DE RÉPARATION'!$L$4="TOUS",AQ2327&lt;&gt;"ACCEPTÉ")),1,0)</f>
        <v>0</v>
      </c>
      <c r="AV2327" s="82" t="str">
        <f aca="false">IF(AU2327=1,SUM(AU$7:AU2327),"")</f>
        <v/>
      </c>
      <c r="AW2327" s="82" t="str">
        <f aca="false">IF(E2327="","",B2327&amp;"|"&amp;E2327)</f>
        <v>MFD-ISW → MFD-CPF|JN°1843</v>
      </c>
    </row>
    <row r="2328" customFormat="false" ht="74.6" hidden="false" customHeight="false" outlineLevel="0" collapsed="false">
      <c r="A2328" s="79" t="n">
        <f aca="false">IF(E2328="","",ROW()-6)</f>
        <v>2322</v>
      </c>
      <c r="B2328" s="80" t="s">
        <v>110</v>
      </c>
      <c r="C2328" s="81" t="s">
        <v>2781</v>
      </c>
      <c r="D2328" s="81" t="n">
        <v>23</v>
      </c>
      <c r="E2328" s="81" t="s">
        <v>2825</v>
      </c>
      <c r="F2328" s="82" t="str">
        <f aca="false">IF(E2328="","",IF(LEFT(E2328,2)="DJ","DJ","JN"))</f>
        <v>JN</v>
      </c>
      <c r="G2328" s="81" t="s">
        <v>1504</v>
      </c>
      <c r="H2328" s="81" t="s">
        <v>871</v>
      </c>
      <c r="I2328" s="81" t="n">
        <v>9.53</v>
      </c>
      <c r="J2328" s="81" t="s">
        <v>872</v>
      </c>
      <c r="K2328" s="81" t="s">
        <v>1861</v>
      </c>
      <c r="L2328" s="81" t="n">
        <v>2084170</v>
      </c>
      <c r="M2328" s="81" t="n">
        <v>15421106</v>
      </c>
      <c r="N2328" s="81" t="n">
        <v>11.94</v>
      </c>
      <c r="O2328" s="81" t="n">
        <v>2081700</v>
      </c>
      <c r="P2328" s="81" t="n">
        <v>15421103</v>
      </c>
      <c r="Q2328" s="81" t="n">
        <v>11.94</v>
      </c>
      <c r="R2328" s="81" t="s">
        <v>1862</v>
      </c>
      <c r="S2328" s="81"/>
      <c r="T2328" s="81"/>
      <c r="U2328" s="83" t="n">
        <v>46273</v>
      </c>
      <c r="V2328" s="83" t="n">
        <v>46273</v>
      </c>
      <c r="W2328" s="81" t="s">
        <v>2699</v>
      </c>
      <c r="X2328" s="81" t="s">
        <v>876</v>
      </c>
      <c r="Y2328" s="83" t="n">
        <v>46275</v>
      </c>
      <c r="Z2328" s="81" t="s">
        <v>2700</v>
      </c>
      <c r="AA2328" s="81" t="s">
        <v>876</v>
      </c>
      <c r="AB2328" s="81"/>
      <c r="AC2328" s="81"/>
      <c r="AD2328" s="81"/>
      <c r="AE2328" s="83"/>
      <c r="AF2328" s="81"/>
      <c r="AG2328" s="81"/>
      <c r="AH2328" s="81"/>
      <c r="AI2328" s="81"/>
      <c r="AJ2328" s="83"/>
      <c r="AK2328" s="81"/>
      <c r="AL2328" s="81"/>
      <c r="AM2328" s="83"/>
      <c r="AN2328" s="80"/>
      <c r="AO2328" s="82" t="n">
        <f aca="false">IF(E2328="","",(AA2328&lt;&gt;"")+(AG2328&lt;&gt;"")+(AL2328&lt;&gt;""))</f>
        <v>1</v>
      </c>
      <c r="AP2328" s="82" t="str">
        <f aca="false">IF(AL2328&lt;&gt;"",AL2328,IF(AG2328&lt;&gt;"",AG2328,IF(AA2328&lt;&gt;"",AA2328,"")))</f>
        <v>A</v>
      </c>
      <c r="AQ2328" s="84" t="str">
        <f aca="false">IF(E2328="","",IF(U2328="","À SOUDER",IF(X2328="","VT EN ATTENTE",IF(X2328="R","VT REJETÉ – À REPRENDRE",IF(AP2328="","À RADIOGRAPHIER",IF(AP2328="A","ACCEPTÉ",IF(AP2328="NX","NX – RT À REFAIRE",IF(IF(AO2328=1,AD2328,IF(AO2328=2,AI2328,""))="A","RÉPARÉ – À RADIOGRAPHIER",IF(IF(AO2328=1,AD2328,IF(AO2328=2,AI2328,""))="R","VT REJETÉ – À REPRENDRE",IF(OR(AP2328="CO",AP2328="NT"),"COUPE – À RESOUDER","À RÉPARER"))))))))))</f>
        <v>ACCEPTÉ</v>
      </c>
      <c r="AR2328" s="82" t="str">
        <f aca="false">IF(AND(ISNUMBER(U2328),OR(AQ2328="À RADIOGRAPHIER",AQ2328="RÉPARÉ – À RADIOGRAPHIER",AQ2328="NX – RT À REFAIRE",AQ2328="À RÉPARER",AQ2328="COUPE – À RESOUDER",AQ2328="VT REJETÉ – À REPRENDRE")),MAX(0,'PROGRAMME RT'!$C$4-U2328),"")</f>
        <v/>
      </c>
      <c r="AS2328" s="82" t="n">
        <f aca="false">IF(AND(OR(AQ2328="À RADIOGRAPHIER",AQ2328="RÉPARÉ – À RADIOGRAPHIER",AQ2328="NX – RT À REFAIRE"),OR('PROGRAMME RT'!$D$5="TOUTES",B2328='PROGRAMME RT'!$D$5)),1,0)</f>
        <v>0</v>
      </c>
      <c r="AT2328" s="82" t="str">
        <f aca="false">IF(AS2328=1,SUM(AS$7:AS2328),"")</f>
        <v/>
      </c>
      <c r="AU2328" s="82" t="n">
        <f aca="false">IF(AND(OR(AA2328="R",AA2328="NX",AA2328="NT",AA2328="CO"),OR('JOINTS DE RÉPARATION'!$D$5="TOUTES",B2328='JOINTS DE RÉPARATION'!$D$5),OR('JOINTS DE RÉPARATION'!$L$4="TOUS",AQ2328&lt;&gt;"ACCEPTÉ")),1,0)</f>
        <v>0</v>
      </c>
      <c r="AV2328" s="82" t="str">
        <f aca="false">IF(AU2328=1,SUM(AU$7:AU2328),"")</f>
        <v/>
      </c>
      <c r="AW2328" s="82" t="str">
        <f aca="false">IF(E2328="","",B2328&amp;"|"&amp;E2328)</f>
        <v>MFD-ISW → MFD-CPF|JN°1844R</v>
      </c>
    </row>
    <row r="2329" customFormat="false" ht="74.6" hidden="false" customHeight="false" outlineLevel="0" collapsed="false">
      <c r="A2329" s="79" t="n">
        <f aca="false">IF(E2329="","",ROW()-6)</f>
        <v>2323</v>
      </c>
      <c r="B2329" s="80" t="s">
        <v>110</v>
      </c>
      <c r="C2329" s="81" t="s">
        <v>926</v>
      </c>
      <c r="D2329" s="81" t="n">
        <v>23</v>
      </c>
      <c r="E2329" s="81" t="s">
        <v>2826</v>
      </c>
      <c r="F2329" s="82" t="str">
        <f aca="false">IF(E2329="","",IF(LEFT(E2329,2)="DJ","DJ","JN"))</f>
        <v>JN</v>
      </c>
      <c r="G2329" s="81"/>
      <c r="H2329" s="81"/>
      <c r="I2329" s="81"/>
      <c r="J2329" s="81"/>
      <c r="K2329" s="81"/>
      <c r="L2329" s="81" t="n">
        <v>2081700</v>
      </c>
      <c r="M2329" s="81" t="n">
        <v>15421103</v>
      </c>
      <c r="N2329" s="81" t="n">
        <v>11.94</v>
      </c>
      <c r="O2329" s="81"/>
      <c r="P2329" s="81"/>
      <c r="Q2329" s="81"/>
      <c r="R2329" s="81"/>
      <c r="S2329" s="81"/>
      <c r="T2329" s="81"/>
      <c r="U2329" s="83"/>
      <c r="V2329" s="83"/>
      <c r="W2329" s="81"/>
      <c r="X2329" s="81"/>
      <c r="Y2329" s="83"/>
      <c r="Z2329" s="81"/>
      <c r="AA2329" s="81"/>
      <c r="AB2329" s="81"/>
      <c r="AC2329" s="81"/>
      <c r="AD2329" s="81"/>
      <c r="AE2329" s="83"/>
      <c r="AF2329" s="81"/>
      <c r="AG2329" s="81"/>
      <c r="AH2329" s="81"/>
      <c r="AI2329" s="81"/>
      <c r="AJ2329" s="83"/>
      <c r="AK2329" s="81"/>
      <c r="AL2329" s="81"/>
      <c r="AM2329" s="83"/>
      <c r="AN2329" s="80"/>
      <c r="AO2329" s="82" t="n">
        <f aca="false">IF(E2329="","",(AA2329&lt;&gt;"")+(AG2329&lt;&gt;"")+(AL2329&lt;&gt;""))</f>
        <v>0</v>
      </c>
      <c r="AP2329" s="82" t="str">
        <f aca="false">IF(AL2329&lt;&gt;"",AL2329,IF(AG2329&lt;&gt;"",AG2329,IF(AA2329&lt;&gt;"",AA2329,"")))</f>
        <v/>
      </c>
      <c r="AQ2329" s="84" t="str">
        <f aca="false">IF(E2329="","",IF(U2329="","À SOUDER",IF(X2329="","VT EN ATTENTE",IF(X2329="R","VT REJETÉ – À REPRENDRE",IF(AP2329="","À RADIOGRAPHIER",IF(AP2329="A","ACCEPTÉ",IF(AP2329="NX","NX – RT À REFAIRE",IF(IF(AO2329=1,AD2329,IF(AO2329=2,AI2329,""))="A","RÉPARÉ – À RADIOGRAPHIER",IF(IF(AO2329=1,AD2329,IF(AO2329=2,AI2329,""))="R","VT REJETÉ – À REPRENDRE",IF(OR(AP2329="CO",AP2329="NT"),"COUPE – À RESOUDER","À RÉPARER"))))))))))</f>
        <v>À SOUDER</v>
      </c>
      <c r="AR2329" s="82" t="str">
        <f aca="false">IF(AND(ISNUMBER(U2329),OR(AQ2329="À RADIOGRAPHIER",AQ2329="RÉPARÉ – À RADIOGRAPHIER",AQ2329="NX – RT À REFAIRE",AQ2329="À RÉPARER",AQ2329="COUPE – À RESOUDER",AQ2329="VT REJETÉ – À REPRENDRE")),MAX(0,'PROGRAMME RT'!$C$4-U2329),"")</f>
        <v/>
      </c>
      <c r="AS2329" s="82" t="n">
        <f aca="false">IF(AND(OR(AQ2329="À RADIOGRAPHIER",AQ2329="RÉPARÉ – À RADIOGRAPHIER",AQ2329="NX – RT À REFAIRE"),OR('PROGRAMME RT'!$D$5="TOUTES",B2329='PROGRAMME RT'!$D$5)),1,0)</f>
        <v>0</v>
      </c>
      <c r="AT2329" s="82" t="str">
        <f aca="false">IF(AS2329=1,SUM(AS$7:AS2329),"")</f>
        <v/>
      </c>
      <c r="AU2329" s="82" t="n">
        <f aca="false">IF(AND(OR(AA2329="R",AA2329="NX",AA2329="NT",AA2329="CO"),OR('JOINTS DE RÉPARATION'!$D$5="TOUTES",B2329='JOINTS DE RÉPARATION'!$D$5),OR('JOINTS DE RÉPARATION'!$L$4="TOUS",AQ2329&lt;&gt;"ACCEPTÉ")),1,0)</f>
        <v>0</v>
      </c>
      <c r="AV2329" s="82" t="str">
        <f aca="false">IF(AU2329=1,SUM(AU$7:AU2329),"")</f>
        <v/>
      </c>
      <c r="AW2329" s="82" t="str">
        <f aca="false">IF(E2329="","",B2329&amp;"|"&amp;E2329)</f>
        <v>MFD-ISW → MFD-CPF|JN°1845</v>
      </c>
    </row>
    <row r="2330" customFormat="false" ht="74.6" hidden="false" customHeight="false" outlineLevel="0" collapsed="false">
      <c r="A2330" s="79" t="n">
        <f aca="false">IF(E2330="","",ROW()-6)</f>
        <v>2324</v>
      </c>
      <c r="B2330" s="80" t="s">
        <v>110</v>
      </c>
      <c r="C2330" s="81" t="s">
        <v>926</v>
      </c>
      <c r="D2330" s="81" t="n">
        <v>23</v>
      </c>
      <c r="E2330" s="81" t="s">
        <v>2827</v>
      </c>
      <c r="F2330" s="82" t="str">
        <f aca="false">IF(E2330="","",IF(LEFT(E2330,2)="DJ","DJ","JN"))</f>
        <v>JN</v>
      </c>
      <c r="G2330" s="81"/>
      <c r="H2330" s="81"/>
      <c r="I2330" s="81"/>
      <c r="J2330" s="81"/>
      <c r="K2330" s="81"/>
      <c r="L2330" s="81"/>
      <c r="M2330" s="81"/>
      <c r="N2330" s="81"/>
      <c r="O2330" s="81"/>
      <c r="P2330" s="81"/>
      <c r="Q2330" s="81"/>
      <c r="R2330" s="81"/>
      <c r="S2330" s="81"/>
      <c r="T2330" s="81"/>
      <c r="U2330" s="83"/>
      <c r="V2330" s="83"/>
      <c r="W2330" s="81"/>
      <c r="X2330" s="81"/>
      <c r="Y2330" s="83"/>
      <c r="Z2330" s="81"/>
      <c r="AA2330" s="81"/>
      <c r="AB2330" s="81"/>
      <c r="AC2330" s="81"/>
      <c r="AD2330" s="81"/>
      <c r="AE2330" s="83"/>
      <c r="AF2330" s="81"/>
      <c r="AG2330" s="81"/>
      <c r="AH2330" s="81"/>
      <c r="AI2330" s="81"/>
      <c r="AJ2330" s="83"/>
      <c r="AK2330" s="81"/>
      <c r="AL2330" s="81"/>
      <c r="AM2330" s="83"/>
      <c r="AN2330" s="80"/>
      <c r="AO2330" s="82" t="n">
        <f aca="false">IF(E2330="","",(AA2330&lt;&gt;"")+(AG2330&lt;&gt;"")+(AL2330&lt;&gt;""))</f>
        <v>0</v>
      </c>
      <c r="AP2330" s="82" t="str">
        <f aca="false">IF(AL2330&lt;&gt;"",AL2330,IF(AG2330&lt;&gt;"",AG2330,IF(AA2330&lt;&gt;"",AA2330,"")))</f>
        <v/>
      </c>
      <c r="AQ2330" s="84" t="str">
        <f aca="false">IF(E2330="","",IF(U2330="","À SOUDER",IF(X2330="","VT EN ATTENTE",IF(X2330="R","VT REJETÉ – À REPRENDRE",IF(AP2330="","À RADIOGRAPHIER",IF(AP2330="A","ACCEPTÉ",IF(AP2330="NX","NX – RT À REFAIRE",IF(IF(AO2330=1,AD2330,IF(AO2330=2,AI2330,""))="A","RÉPARÉ – À RADIOGRAPHIER",IF(IF(AO2330=1,AD2330,IF(AO2330=2,AI2330,""))="R","VT REJETÉ – À REPRENDRE",IF(OR(AP2330="CO",AP2330="NT"),"COUPE – À RESOUDER","À RÉPARER"))))))))))</f>
        <v>À SOUDER</v>
      </c>
      <c r="AR2330" s="82" t="str">
        <f aca="false">IF(AND(ISNUMBER(U2330),OR(AQ2330="À RADIOGRAPHIER",AQ2330="RÉPARÉ – À RADIOGRAPHIER",AQ2330="NX – RT À REFAIRE",AQ2330="À RÉPARER",AQ2330="COUPE – À RESOUDER",AQ2330="VT REJETÉ – À REPRENDRE")),MAX(0,'PROGRAMME RT'!$C$4-U2330),"")</f>
        <v/>
      </c>
      <c r="AS2330" s="82" t="n">
        <f aca="false">IF(AND(OR(AQ2330="À RADIOGRAPHIER",AQ2330="RÉPARÉ – À RADIOGRAPHIER",AQ2330="NX – RT À REFAIRE"),OR('PROGRAMME RT'!$D$5="TOUTES",B2330='PROGRAMME RT'!$D$5)),1,0)</f>
        <v>0</v>
      </c>
      <c r="AT2330" s="82" t="str">
        <f aca="false">IF(AS2330=1,SUM(AS$7:AS2330),"")</f>
        <v/>
      </c>
      <c r="AU2330" s="82" t="n">
        <f aca="false">IF(AND(OR(AA2330="R",AA2330="NX",AA2330="NT",AA2330="CO"),OR('JOINTS DE RÉPARATION'!$D$5="TOUTES",B2330='JOINTS DE RÉPARATION'!$D$5),OR('JOINTS DE RÉPARATION'!$L$4="TOUS",AQ2330&lt;&gt;"ACCEPTÉ")),1,0)</f>
        <v>0</v>
      </c>
      <c r="AV2330" s="82" t="str">
        <f aca="false">IF(AU2330=1,SUM(AU$7:AU2330),"")</f>
        <v/>
      </c>
      <c r="AW2330" s="82" t="str">
        <f aca="false">IF(E2330="","",B2330&amp;"|"&amp;E2330)</f>
        <v>MFD-ISW → MFD-CPF|JN°1846</v>
      </c>
    </row>
    <row r="2331" customFormat="false" ht="74.6" hidden="false" customHeight="false" outlineLevel="0" collapsed="false">
      <c r="A2331" s="79" t="n">
        <f aca="false">IF(E2331="","",ROW()-6)</f>
        <v>2325</v>
      </c>
      <c r="B2331" s="80" t="s">
        <v>110</v>
      </c>
      <c r="C2331" s="81" t="s">
        <v>926</v>
      </c>
      <c r="D2331" s="81" t="n">
        <v>23</v>
      </c>
      <c r="E2331" s="81" t="s">
        <v>2828</v>
      </c>
      <c r="F2331" s="82" t="str">
        <f aca="false">IF(E2331="","",IF(LEFT(E2331,2)="DJ","DJ","JN"))</f>
        <v>JN</v>
      </c>
      <c r="G2331" s="81"/>
      <c r="H2331" s="81"/>
      <c r="I2331" s="81"/>
      <c r="J2331" s="81"/>
      <c r="K2331" s="81"/>
      <c r="L2331" s="81"/>
      <c r="M2331" s="81"/>
      <c r="N2331" s="81"/>
      <c r="O2331" s="81"/>
      <c r="P2331" s="81"/>
      <c r="Q2331" s="81"/>
      <c r="R2331" s="81"/>
      <c r="S2331" s="81"/>
      <c r="T2331" s="81"/>
      <c r="U2331" s="83"/>
      <c r="V2331" s="83"/>
      <c r="W2331" s="81"/>
      <c r="X2331" s="81"/>
      <c r="Y2331" s="83"/>
      <c r="Z2331" s="81"/>
      <c r="AA2331" s="81"/>
      <c r="AB2331" s="81"/>
      <c r="AC2331" s="81"/>
      <c r="AD2331" s="81"/>
      <c r="AE2331" s="83"/>
      <c r="AF2331" s="81"/>
      <c r="AG2331" s="81"/>
      <c r="AH2331" s="81"/>
      <c r="AI2331" s="81"/>
      <c r="AJ2331" s="83"/>
      <c r="AK2331" s="81"/>
      <c r="AL2331" s="81"/>
      <c r="AM2331" s="83"/>
      <c r="AN2331" s="80"/>
      <c r="AO2331" s="82" t="n">
        <f aca="false">IF(E2331="","",(AA2331&lt;&gt;"")+(AG2331&lt;&gt;"")+(AL2331&lt;&gt;""))</f>
        <v>0</v>
      </c>
      <c r="AP2331" s="82" t="str">
        <f aca="false">IF(AL2331&lt;&gt;"",AL2331,IF(AG2331&lt;&gt;"",AG2331,IF(AA2331&lt;&gt;"",AA2331,"")))</f>
        <v/>
      </c>
      <c r="AQ2331" s="84" t="str">
        <f aca="false">IF(E2331="","",IF(U2331="","À SOUDER",IF(X2331="","VT EN ATTENTE",IF(X2331="R","VT REJETÉ – À REPRENDRE",IF(AP2331="","À RADIOGRAPHIER",IF(AP2331="A","ACCEPTÉ",IF(AP2331="NX","NX – RT À REFAIRE",IF(IF(AO2331=1,AD2331,IF(AO2331=2,AI2331,""))="A","RÉPARÉ – À RADIOGRAPHIER",IF(IF(AO2331=1,AD2331,IF(AO2331=2,AI2331,""))="R","VT REJETÉ – À REPRENDRE",IF(OR(AP2331="CO",AP2331="NT"),"COUPE – À RESOUDER","À RÉPARER"))))))))))</f>
        <v>À SOUDER</v>
      </c>
      <c r="AR2331" s="82" t="str">
        <f aca="false">IF(AND(ISNUMBER(U2331),OR(AQ2331="À RADIOGRAPHIER",AQ2331="RÉPARÉ – À RADIOGRAPHIER",AQ2331="NX – RT À REFAIRE",AQ2331="À RÉPARER",AQ2331="COUPE – À RESOUDER",AQ2331="VT REJETÉ – À REPRENDRE")),MAX(0,'PROGRAMME RT'!$C$4-U2331),"")</f>
        <v/>
      </c>
      <c r="AS2331" s="82" t="n">
        <f aca="false">IF(AND(OR(AQ2331="À RADIOGRAPHIER",AQ2331="RÉPARÉ – À RADIOGRAPHIER",AQ2331="NX – RT À REFAIRE"),OR('PROGRAMME RT'!$D$5="TOUTES",B2331='PROGRAMME RT'!$D$5)),1,0)</f>
        <v>0</v>
      </c>
      <c r="AT2331" s="82" t="str">
        <f aca="false">IF(AS2331=1,SUM(AS$7:AS2331),"")</f>
        <v/>
      </c>
      <c r="AU2331" s="82" t="n">
        <f aca="false">IF(AND(OR(AA2331="R",AA2331="NX",AA2331="NT",AA2331="CO"),OR('JOINTS DE RÉPARATION'!$D$5="TOUTES",B2331='JOINTS DE RÉPARATION'!$D$5),OR('JOINTS DE RÉPARATION'!$L$4="TOUS",AQ2331&lt;&gt;"ACCEPTÉ")),1,0)</f>
        <v>0</v>
      </c>
      <c r="AV2331" s="82" t="str">
        <f aca="false">IF(AU2331=1,SUM(AU$7:AU2331),"")</f>
        <v/>
      </c>
      <c r="AW2331" s="82" t="str">
        <f aca="false">IF(E2331="","",B2331&amp;"|"&amp;E2331)</f>
        <v>MFD-ISW → MFD-CPF|JN°1847</v>
      </c>
    </row>
    <row r="2332" customFormat="false" ht="74.6" hidden="false" customHeight="false" outlineLevel="0" collapsed="false">
      <c r="A2332" s="79" t="n">
        <f aca="false">IF(E2332="","",ROW()-6)</f>
        <v>2326</v>
      </c>
      <c r="B2332" s="80" t="s">
        <v>110</v>
      </c>
      <c r="C2332" s="81" t="s">
        <v>926</v>
      </c>
      <c r="D2332" s="81" t="n">
        <v>23</v>
      </c>
      <c r="E2332" s="81" t="s">
        <v>2829</v>
      </c>
      <c r="F2332" s="82" t="str">
        <f aca="false">IF(E2332="","",IF(LEFT(E2332,2)="DJ","DJ","JN"))</f>
        <v>JN</v>
      </c>
      <c r="G2332" s="81"/>
      <c r="H2332" s="81"/>
      <c r="I2332" s="81"/>
      <c r="J2332" s="81"/>
      <c r="K2332" s="81"/>
      <c r="L2332" s="81"/>
      <c r="M2332" s="81"/>
      <c r="N2332" s="81"/>
      <c r="O2332" s="81"/>
      <c r="P2332" s="81"/>
      <c r="Q2332" s="81"/>
      <c r="R2332" s="81"/>
      <c r="S2332" s="81"/>
      <c r="T2332" s="81"/>
      <c r="U2332" s="83"/>
      <c r="V2332" s="83"/>
      <c r="W2332" s="81"/>
      <c r="X2332" s="81"/>
      <c r="Y2332" s="83"/>
      <c r="Z2332" s="81"/>
      <c r="AA2332" s="81"/>
      <c r="AB2332" s="81"/>
      <c r="AC2332" s="81"/>
      <c r="AD2332" s="81"/>
      <c r="AE2332" s="83"/>
      <c r="AF2332" s="81"/>
      <c r="AG2332" s="81"/>
      <c r="AH2332" s="81"/>
      <c r="AI2332" s="81"/>
      <c r="AJ2332" s="83"/>
      <c r="AK2332" s="81"/>
      <c r="AL2332" s="81"/>
      <c r="AM2332" s="83"/>
      <c r="AN2332" s="80"/>
      <c r="AO2332" s="82" t="n">
        <f aca="false">IF(E2332="","",(AA2332&lt;&gt;"")+(AG2332&lt;&gt;"")+(AL2332&lt;&gt;""))</f>
        <v>0</v>
      </c>
      <c r="AP2332" s="82" t="str">
        <f aca="false">IF(AL2332&lt;&gt;"",AL2332,IF(AG2332&lt;&gt;"",AG2332,IF(AA2332&lt;&gt;"",AA2332,"")))</f>
        <v/>
      </c>
      <c r="AQ2332" s="84" t="str">
        <f aca="false">IF(E2332="","",IF(U2332="","À SOUDER",IF(X2332="","VT EN ATTENTE",IF(X2332="R","VT REJETÉ – À REPRENDRE",IF(AP2332="","À RADIOGRAPHIER",IF(AP2332="A","ACCEPTÉ",IF(AP2332="NX","NX – RT À REFAIRE",IF(IF(AO2332=1,AD2332,IF(AO2332=2,AI2332,""))="A","RÉPARÉ – À RADIOGRAPHIER",IF(IF(AO2332=1,AD2332,IF(AO2332=2,AI2332,""))="R","VT REJETÉ – À REPRENDRE",IF(OR(AP2332="CO",AP2332="NT"),"COUPE – À RESOUDER","À RÉPARER"))))))))))</f>
        <v>À SOUDER</v>
      </c>
      <c r="AR2332" s="82" t="str">
        <f aca="false">IF(AND(ISNUMBER(U2332),OR(AQ2332="À RADIOGRAPHIER",AQ2332="RÉPARÉ – À RADIOGRAPHIER",AQ2332="NX – RT À REFAIRE",AQ2332="À RÉPARER",AQ2332="COUPE – À RESOUDER",AQ2332="VT REJETÉ – À REPRENDRE")),MAX(0,'PROGRAMME RT'!$C$4-U2332),"")</f>
        <v/>
      </c>
      <c r="AS2332" s="82" t="n">
        <f aca="false">IF(AND(OR(AQ2332="À RADIOGRAPHIER",AQ2332="RÉPARÉ – À RADIOGRAPHIER",AQ2332="NX – RT À REFAIRE"),OR('PROGRAMME RT'!$D$5="TOUTES",B2332='PROGRAMME RT'!$D$5)),1,0)</f>
        <v>0</v>
      </c>
      <c r="AT2332" s="82" t="str">
        <f aca="false">IF(AS2332=1,SUM(AS$7:AS2332),"")</f>
        <v/>
      </c>
      <c r="AU2332" s="82" t="n">
        <f aca="false">IF(AND(OR(AA2332="R",AA2332="NX",AA2332="NT",AA2332="CO"),OR('JOINTS DE RÉPARATION'!$D$5="TOUTES",B2332='JOINTS DE RÉPARATION'!$D$5),OR('JOINTS DE RÉPARATION'!$L$4="TOUS",AQ2332&lt;&gt;"ACCEPTÉ")),1,0)</f>
        <v>0</v>
      </c>
      <c r="AV2332" s="82" t="str">
        <f aca="false">IF(AU2332=1,SUM(AU$7:AU2332),"")</f>
        <v/>
      </c>
      <c r="AW2332" s="82" t="str">
        <f aca="false">IF(E2332="","",B2332&amp;"|"&amp;E2332)</f>
        <v>MFD-ISW → MFD-CPF|JN°1848</v>
      </c>
    </row>
    <row r="2333" customFormat="false" ht="74.6" hidden="false" customHeight="false" outlineLevel="0" collapsed="false">
      <c r="A2333" s="79" t="n">
        <f aca="false">IF(E2333="","",ROW()-6)</f>
        <v>2327</v>
      </c>
      <c r="B2333" s="80" t="s">
        <v>110</v>
      </c>
      <c r="C2333" s="81" t="s">
        <v>926</v>
      </c>
      <c r="D2333" s="81" t="n">
        <v>23</v>
      </c>
      <c r="E2333" s="81" t="s">
        <v>2830</v>
      </c>
      <c r="F2333" s="82" t="str">
        <f aca="false">IF(E2333="","",IF(LEFT(E2333,2)="DJ","DJ","JN"))</f>
        <v>JN</v>
      </c>
      <c r="G2333" s="81"/>
      <c r="H2333" s="81"/>
      <c r="I2333" s="81"/>
      <c r="J2333" s="81"/>
      <c r="K2333" s="81"/>
      <c r="L2333" s="81"/>
      <c r="M2333" s="81"/>
      <c r="N2333" s="81"/>
      <c r="O2333" s="81"/>
      <c r="P2333" s="81"/>
      <c r="Q2333" s="81"/>
      <c r="R2333" s="81"/>
      <c r="S2333" s="81"/>
      <c r="T2333" s="81"/>
      <c r="U2333" s="83"/>
      <c r="V2333" s="83"/>
      <c r="W2333" s="81"/>
      <c r="X2333" s="81"/>
      <c r="Y2333" s="83"/>
      <c r="Z2333" s="81"/>
      <c r="AA2333" s="81"/>
      <c r="AB2333" s="81"/>
      <c r="AC2333" s="81"/>
      <c r="AD2333" s="81"/>
      <c r="AE2333" s="83"/>
      <c r="AF2333" s="81"/>
      <c r="AG2333" s="81"/>
      <c r="AH2333" s="81"/>
      <c r="AI2333" s="81"/>
      <c r="AJ2333" s="83"/>
      <c r="AK2333" s="81"/>
      <c r="AL2333" s="81"/>
      <c r="AM2333" s="83"/>
      <c r="AN2333" s="80"/>
      <c r="AO2333" s="82" t="n">
        <f aca="false">IF(E2333="","",(AA2333&lt;&gt;"")+(AG2333&lt;&gt;"")+(AL2333&lt;&gt;""))</f>
        <v>0</v>
      </c>
      <c r="AP2333" s="82" t="str">
        <f aca="false">IF(AL2333&lt;&gt;"",AL2333,IF(AG2333&lt;&gt;"",AG2333,IF(AA2333&lt;&gt;"",AA2333,"")))</f>
        <v/>
      </c>
      <c r="AQ2333" s="84" t="str">
        <f aca="false">IF(E2333="","",IF(U2333="","À SOUDER",IF(X2333="","VT EN ATTENTE",IF(X2333="R","VT REJETÉ – À REPRENDRE",IF(AP2333="","À RADIOGRAPHIER",IF(AP2333="A","ACCEPTÉ",IF(AP2333="NX","NX – RT À REFAIRE",IF(IF(AO2333=1,AD2333,IF(AO2333=2,AI2333,""))="A","RÉPARÉ – À RADIOGRAPHIER",IF(IF(AO2333=1,AD2333,IF(AO2333=2,AI2333,""))="R","VT REJETÉ – À REPRENDRE",IF(OR(AP2333="CO",AP2333="NT"),"COUPE – À RESOUDER","À RÉPARER"))))))))))</f>
        <v>À SOUDER</v>
      </c>
      <c r="AR2333" s="82" t="str">
        <f aca="false">IF(AND(ISNUMBER(U2333),OR(AQ2333="À RADIOGRAPHIER",AQ2333="RÉPARÉ – À RADIOGRAPHIER",AQ2333="NX – RT À REFAIRE",AQ2333="À RÉPARER",AQ2333="COUPE – À RESOUDER",AQ2333="VT REJETÉ – À REPRENDRE")),MAX(0,'PROGRAMME RT'!$C$4-U2333),"")</f>
        <v/>
      </c>
      <c r="AS2333" s="82" t="n">
        <f aca="false">IF(AND(OR(AQ2333="À RADIOGRAPHIER",AQ2333="RÉPARÉ – À RADIOGRAPHIER",AQ2333="NX – RT À REFAIRE"),OR('PROGRAMME RT'!$D$5="TOUTES",B2333='PROGRAMME RT'!$D$5)),1,0)</f>
        <v>0</v>
      </c>
      <c r="AT2333" s="82" t="str">
        <f aca="false">IF(AS2333=1,SUM(AS$7:AS2333),"")</f>
        <v/>
      </c>
      <c r="AU2333" s="82" t="n">
        <f aca="false">IF(AND(OR(AA2333="R",AA2333="NX",AA2333="NT",AA2333="CO"),OR('JOINTS DE RÉPARATION'!$D$5="TOUTES",B2333='JOINTS DE RÉPARATION'!$D$5),OR('JOINTS DE RÉPARATION'!$L$4="TOUS",AQ2333&lt;&gt;"ACCEPTÉ")),1,0)</f>
        <v>0</v>
      </c>
      <c r="AV2333" s="82" t="str">
        <f aca="false">IF(AU2333=1,SUM(AU$7:AU2333),"")</f>
        <v/>
      </c>
      <c r="AW2333" s="82" t="str">
        <f aca="false">IF(E2333="","",B2333&amp;"|"&amp;E2333)</f>
        <v>MFD-ISW → MFD-CPF|JN°1849</v>
      </c>
    </row>
    <row r="2334" customFormat="false" ht="74.6" hidden="false" customHeight="false" outlineLevel="0" collapsed="false">
      <c r="A2334" s="79" t="n">
        <f aca="false">IF(E2334="","",ROW()-6)</f>
        <v>2328</v>
      </c>
      <c r="B2334" s="80" t="s">
        <v>110</v>
      </c>
      <c r="C2334" s="81" t="s">
        <v>926</v>
      </c>
      <c r="D2334" s="81" t="n">
        <v>23</v>
      </c>
      <c r="E2334" s="81" t="s">
        <v>2831</v>
      </c>
      <c r="F2334" s="82" t="str">
        <f aca="false">IF(E2334="","",IF(LEFT(E2334,2)="DJ","DJ","JN"))</f>
        <v>JN</v>
      </c>
      <c r="G2334" s="81"/>
      <c r="H2334" s="81"/>
      <c r="I2334" s="81"/>
      <c r="J2334" s="81"/>
      <c r="K2334" s="81"/>
      <c r="L2334" s="81"/>
      <c r="M2334" s="81"/>
      <c r="N2334" s="81"/>
      <c r="O2334" s="81"/>
      <c r="P2334" s="81"/>
      <c r="Q2334" s="81"/>
      <c r="R2334" s="81"/>
      <c r="S2334" s="81"/>
      <c r="T2334" s="81"/>
      <c r="U2334" s="83"/>
      <c r="V2334" s="83"/>
      <c r="W2334" s="81"/>
      <c r="X2334" s="81"/>
      <c r="Y2334" s="83"/>
      <c r="Z2334" s="81"/>
      <c r="AA2334" s="81"/>
      <c r="AB2334" s="81"/>
      <c r="AC2334" s="81"/>
      <c r="AD2334" s="81"/>
      <c r="AE2334" s="83"/>
      <c r="AF2334" s="81"/>
      <c r="AG2334" s="81"/>
      <c r="AH2334" s="81"/>
      <c r="AI2334" s="81"/>
      <c r="AJ2334" s="83"/>
      <c r="AK2334" s="81"/>
      <c r="AL2334" s="81"/>
      <c r="AM2334" s="83"/>
      <c r="AN2334" s="80"/>
      <c r="AO2334" s="82" t="n">
        <f aca="false">IF(E2334="","",(AA2334&lt;&gt;"")+(AG2334&lt;&gt;"")+(AL2334&lt;&gt;""))</f>
        <v>0</v>
      </c>
      <c r="AP2334" s="82" t="str">
        <f aca="false">IF(AL2334&lt;&gt;"",AL2334,IF(AG2334&lt;&gt;"",AG2334,IF(AA2334&lt;&gt;"",AA2334,"")))</f>
        <v/>
      </c>
      <c r="AQ2334" s="84" t="str">
        <f aca="false">IF(E2334="","",IF(U2334="","À SOUDER",IF(X2334="","VT EN ATTENTE",IF(X2334="R","VT REJETÉ – À REPRENDRE",IF(AP2334="","À RADIOGRAPHIER",IF(AP2334="A","ACCEPTÉ",IF(AP2334="NX","NX – RT À REFAIRE",IF(IF(AO2334=1,AD2334,IF(AO2334=2,AI2334,""))="A","RÉPARÉ – À RADIOGRAPHIER",IF(IF(AO2334=1,AD2334,IF(AO2334=2,AI2334,""))="R","VT REJETÉ – À REPRENDRE",IF(OR(AP2334="CO",AP2334="NT"),"COUPE – À RESOUDER","À RÉPARER"))))))))))</f>
        <v>À SOUDER</v>
      </c>
      <c r="AR2334" s="82" t="str">
        <f aca="false">IF(AND(ISNUMBER(U2334),OR(AQ2334="À RADIOGRAPHIER",AQ2334="RÉPARÉ – À RADIOGRAPHIER",AQ2334="NX – RT À REFAIRE",AQ2334="À RÉPARER",AQ2334="COUPE – À RESOUDER",AQ2334="VT REJETÉ – À REPRENDRE")),MAX(0,'PROGRAMME RT'!$C$4-U2334),"")</f>
        <v/>
      </c>
      <c r="AS2334" s="82" t="n">
        <f aca="false">IF(AND(OR(AQ2334="À RADIOGRAPHIER",AQ2334="RÉPARÉ – À RADIOGRAPHIER",AQ2334="NX – RT À REFAIRE"),OR('PROGRAMME RT'!$D$5="TOUTES",B2334='PROGRAMME RT'!$D$5)),1,0)</f>
        <v>0</v>
      </c>
      <c r="AT2334" s="82" t="str">
        <f aca="false">IF(AS2334=1,SUM(AS$7:AS2334),"")</f>
        <v/>
      </c>
      <c r="AU2334" s="82" t="n">
        <f aca="false">IF(AND(OR(AA2334="R",AA2334="NX",AA2334="NT",AA2334="CO"),OR('JOINTS DE RÉPARATION'!$D$5="TOUTES",B2334='JOINTS DE RÉPARATION'!$D$5),OR('JOINTS DE RÉPARATION'!$L$4="TOUS",AQ2334&lt;&gt;"ACCEPTÉ")),1,0)</f>
        <v>0</v>
      </c>
      <c r="AV2334" s="82" t="str">
        <f aca="false">IF(AU2334=1,SUM(AU$7:AU2334),"")</f>
        <v/>
      </c>
      <c r="AW2334" s="82" t="str">
        <f aca="false">IF(E2334="","",B2334&amp;"|"&amp;E2334)</f>
        <v>MFD-ISW → MFD-CPF|JN°1850</v>
      </c>
    </row>
    <row r="2335" customFormat="false" ht="74.6" hidden="false" customHeight="false" outlineLevel="0" collapsed="false">
      <c r="A2335" s="79" t="n">
        <f aca="false">IF(E2335="","",ROW()-6)</f>
        <v>2329</v>
      </c>
      <c r="B2335" s="80" t="s">
        <v>110</v>
      </c>
      <c r="C2335" s="81" t="s">
        <v>926</v>
      </c>
      <c r="D2335" s="81" t="n">
        <v>23</v>
      </c>
      <c r="E2335" s="81" t="s">
        <v>2832</v>
      </c>
      <c r="F2335" s="82" t="str">
        <f aca="false">IF(E2335="","",IF(LEFT(E2335,2)="DJ","DJ","JN"))</f>
        <v>JN</v>
      </c>
      <c r="G2335" s="81"/>
      <c r="H2335" s="81"/>
      <c r="I2335" s="81"/>
      <c r="J2335" s="81"/>
      <c r="K2335" s="81"/>
      <c r="L2335" s="81"/>
      <c r="M2335" s="81"/>
      <c r="N2335" s="81"/>
      <c r="O2335" s="81"/>
      <c r="P2335" s="81"/>
      <c r="Q2335" s="81"/>
      <c r="R2335" s="81"/>
      <c r="S2335" s="81"/>
      <c r="T2335" s="81"/>
      <c r="U2335" s="83"/>
      <c r="V2335" s="83"/>
      <c r="W2335" s="81"/>
      <c r="X2335" s="81"/>
      <c r="Y2335" s="83"/>
      <c r="Z2335" s="81"/>
      <c r="AA2335" s="81"/>
      <c r="AB2335" s="81"/>
      <c r="AC2335" s="81"/>
      <c r="AD2335" s="81"/>
      <c r="AE2335" s="83"/>
      <c r="AF2335" s="81"/>
      <c r="AG2335" s="81"/>
      <c r="AH2335" s="81"/>
      <c r="AI2335" s="81"/>
      <c r="AJ2335" s="83"/>
      <c r="AK2335" s="81"/>
      <c r="AL2335" s="81"/>
      <c r="AM2335" s="83"/>
      <c r="AN2335" s="80"/>
      <c r="AO2335" s="82" t="n">
        <f aca="false">IF(E2335="","",(AA2335&lt;&gt;"")+(AG2335&lt;&gt;"")+(AL2335&lt;&gt;""))</f>
        <v>0</v>
      </c>
      <c r="AP2335" s="82" t="str">
        <f aca="false">IF(AL2335&lt;&gt;"",AL2335,IF(AG2335&lt;&gt;"",AG2335,IF(AA2335&lt;&gt;"",AA2335,"")))</f>
        <v/>
      </c>
      <c r="AQ2335" s="84" t="str">
        <f aca="false">IF(E2335="","",IF(U2335="","À SOUDER",IF(X2335="","VT EN ATTENTE",IF(X2335="R","VT REJETÉ – À REPRENDRE",IF(AP2335="","À RADIOGRAPHIER",IF(AP2335="A","ACCEPTÉ",IF(AP2335="NX","NX – RT À REFAIRE",IF(IF(AO2335=1,AD2335,IF(AO2335=2,AI2335,""))="A","RÉPARÉ – À RADIOGRAPHIER",IF(IF(AO2335=1,AD2335,IF(AO2335=2,AI2335,""))="R","VT REJETÉ – À REPRENDRE",IF(OR(AP2335="CO",AP2335="NT"),"COUPE – À RESOUDER","À RÉPARER"))))))))))</f>
        <v>À SOUDER</v>
      </c>
      <c r="AR2335" s="82" t="str">
        <f aca="false">IF(AND(ISNUMBER(U2335),OR(AQ2335="À RADIOGRAPHIER",AQ2335="RÉPARÉ – À RADIOGRAPHIER",AQ2335="NX – RT À REFAIRE",AQ2335="À RÉPARER",AQ2335="COUPE – À RESOUDER",AQ2335="VT REJETÉ – À REPRENDRE")),MAX(0,'PROGRAMME RT'!$C$4-U2335),"")</f>
        <v/>
      </c>
      <c r="AS2335" s="82" t="n">
        <f aca="false">IF(AND(OR(AQ2335="À RADIOGRAPHIER",AQ2335="RÉPARÉ – À RADIOGRAPHIER",AQ2335="NX – RT À REFAIRE"),OR('PROGRAMME RT'!$D$5="TOUTES",B2335='PROGRAMME RT'!$D$5)),1,0)</f>
        <v>0</v>
      </c>
      <c r="AT2335" s="82" t="str">
        <f aca="false">IF(AS2335=1,SUM(AS$7:AS2335),"")</f>
        <v/>
      </c>
      <c r="AU2335" s="82" t="n">
        <f aca="false">IF(AND(OR(AA2335="R",AA2335="NX",AA2335="NT",AA2335="CO"),OR('JOINTS DE RÉPARATION'!$D$5="TOUTES",B2335='JOINTS DE RÉPARATION'!$D$5),OR('JOINTS DE RÉPARATION'!$L$4="TOUS",AQ2335&lt;&gt;"ACCEPTÉ")),1,0)</f>
        <v>0</v>
      </c>
      <c r="AV2335" s="82" t="str">
        <f aca="false">IF(AU2335=1,SUM(AU$7:AU2335),"")</f>
        <v/>
      </c>
      <c r="AW2335" s="82" t="str">
        <f aca="false">IF(E2335="","",B2335&amp;"|"&amp;E2335)</f>
        <v>MFD-ISW → MFD-CPF|JN°1851</v>
      </c>
    </row>
    <row r="2336" customFormat="false" ht="74.6" hidden="false" customHeight="false" outlineLevel="0" collapsed="false">
      <c r="A2336" s="79" t="n">
        <f aca="false">IF(E2336="","",ROW()-6)</f>
        <v>2330</v>
      </c>
      <c r="B2336" s="80" t="s">
        <v>110</v>
      </c>
      <c r="C2336" s="81" t="s">
        <v>926</v>
      </c>
      <c r="D2336" s="81" t="n">
        <v>23</v>
      </c>
      <c r="E2336" s="81" t="s">
        <v>2833</v>
      </c>
      <c r="F2336" s="82" t="str">
        <f aca="false">IF(E2336="","",IF(LEFT(E2336,2)="DJ","DJ","JN"))</f>
        <v>JN</v>
      </c>
      <c r="G2336" s="81"/>
      <c r="H2336" s="81"/>
      <c r="I2336" s="81"/>
      <c r="J2336" s="81"/>
      <c r="K2336" s="81"/>
      <c r="L2336" s="81"/>
      <c r="M2336" s="81"/>
      <c r="N2336" s="81"/>
      <c r="O2336" s="81"/>
      <c r="P2336" s="81"/>
      <c r="Q2336" s="81"/>
      <c r="R2336" s="81"/>
      <c r="S2336" s="81"/>
      <c r="T2336" s="81"/>
      <c r="U2336" s="83"/>
      <c r="V2336" s="83"/>
      <c r="W2336" s="81"/>
      <c r="X2336" s="81"/>
      <c r="Y2336" s="83"/>
      <c r="Z2336" s="81"/>
      <c r="AA2336" s="81"/>
      <c r="AB2336" s="81"/>
      <c r="AC2336" s="81"/>
      <c r="AD2336" s="81"/>
      <c r="AE2336" s="83"/>
      <c r="AF2336" s="81"/>
      <c r="AG2336" s="81"/>
      <c r="AH2336" s="81"/>
      <c r="AI2336" s="81"/>
      <c r="AJ2336" s="83"/>
      <c r="AK2336" s="81"/>
      <c r="AL2336" s="81"/>
      <c r="AM2336" s="83"/>
      <c r="AN2336" s="80"/>
      <c r="AO2336" s="82" t="n">
        <f aca="false">IF(E2336="","",(AA2336&lt;&gt;"")+(AG2336&lt;&gt;"")+(AL2336&lt;&gt;""))</f>
        <v>0</v>
      </c>
      <c r="AP2336" s="82" t="str">
        <f aca="false">IF(AL2336&lt;&gt;"",AL2336,IF(AG2336&lt;&gt;"",AG2336,IF(AA2336&lt;&gt;"",AA2336,"")))</f>
        <v/>
      </c>
      <c r="AQ2336" s="84" t="str">
        <f aca="false">IF(E2336="","",IF(U2336="","À SOUDER",IF(X2336="","VT EN ATTENTE",IF(X2336="R","VT REJETÉ – À REPRENDRE",IF(AP2336="","À RADIOGRAPHIER",IF(AP2336="A","ACCEPTÉ",IF(AP2336="NX","NX – RT À REFAIRE",IF(IF(AO2336=1,AD2336,IF(AO2336=2,AI2336,""))="A","RÉPARÉ – À RADIOGRAPHIER",IF(IF(AO2336=1,AD2336,IF(AO2336=2,AI2336,""))="R","VT REJETÉ – À REPRENDRE",IF(OR(AP2336="CO",AP2336="NT"),"COUPE – À RESOUDER","À RÉPARER"))))))))))</f>
        <v>À SOUDER</v>
      </c>
      <c r="AR2336" s="82" t="str">
        <f aca="false">IF(AND(ISNUMBER(U2336),OR(AQ2336="À RADIOGRAPHIER",AQ2336="RÉPARÉ – À RADIOGRAPHIER",AQ2336="NX – RT À REFAIRE",AQ2336="À RÉPARER",AQ2336="COUPE – À RESOUDER",AQ2336="VT REJETÉ – À REPRENDRE")),MAX(0,'PROGRAMME RT'!$C$4-U2336),"")</f>
        <v/>
      </c>
      <c r="AS2336" s="82" t="n">
        <f aca="false">IF(AND(OR(AQ2336="À RADIOGRAPHIER",AQ2336="RÉPARÉ – À RADIOGRAPHIER",AQ2336="NX – RT À REFAIRE"),OR('PROGRAMME RT'!$D$5="TOUTES",B2336='PROGRAMME RT'!$D$5)),1,0)</f>
        <v>0</v>
      </c>
      <c r="AT2336" s="82" t="str">
        <f aca="false">IF(AS2336=1,SUM(AS$7:AS2336),"")</f>
        <v/>
      </c>
      <c r="AU2336" s="82" t="n">
        <f aca="false">IF(AND(OR(AA2336="R",AA2336="NX",AA2336="NT",AA2336="CO"),OR('JOINTS DE RÉPARATION'!$D$5="TOUTES",B2336='JOINTS DE RÉPARATION'!$D$5),OR('JOINTS DE RÉPARATION'!$L$4="TOUS",AQ2336&lt;&gt;"ACCEPTÉ")),1,0)</f>
        <v>0</v>
      </c>
      <c r="AV2336" s="82" t="str">
        <f aca="false">IF(AU2336=1,SUM(AU$7:AU2336),"")</f>
        <v/>
      </c>
      <c r="AW2336" s="82" t="str">
        <f aca="false">IF(E2336="","",B2336&amp;"|"&amp;E2336)</f>
        <v>MFD-ISW → MFD-CPF|JN°1852</v>
      </c>
    </row>
    <row r="2337" customFormat="false" ht="74.6" hidden="false" customHeight="false" outlineLevel="0" collapsed="false">
      <c r="A2337" s="79" t="n">
        <f aca="false">IF(E2337="","",ROW()-6)</f>
        <v>2331</v>
      </c>
      <c r="B2337" s="80" t="s">
        <v>110</v>
      </c>
      <c r="C2337" s="81" t="s">
        <v>926</v>
      </c>
      <c r="D2337" s="81" t="n">
        <v>23</v>
      </c>
      <c r="E2337" s="81" t="s">
        <v>2834</v>
      </c>
      <c r="F2337" s="82" t="str">
        <f aca="false">IF(E2337="","",IF(LEFT(E2337,2)="DJ","DJ","JN"))</f>
        <v>JN</v>
      </c>
      <c r="G2337" s="81"/>
      <c r="H2337" s="81"/>
      <c r="I2337" s="81"/>
      <c r="J2337" s="81"/>
      <c r="K2337" s="81"/>
      <c r="L2337" s="81"/>
      <c r="M2337" s="81"/>
      <c r="N2337" s="81"/>
      <c r="O2337" s="81"/>
      <c r="P2337" s="81"/>
      <c r="Q2337" s="81"/>
      <c r="R2337" s="81"/>
      <c r="S2337" s="81"/>
      <c r="T2337" s="81"/>
      <c r="U2337" s="83"/>
      <c r="V2337" s="83"/>
      <c r="W2337" s="81"/>
      <c r="X2337" s="81"/>
      <c r="Y2337" s="83"/>
      <c r="Z2337" s="81"/>
      <c r="AA2337" s="81"/>
      <c r="AB2337" s="81"/>
      <c r="AC2337" s="81"/>
      <c r="AD2337" s="81"/>
      <c r="AE2337" s="83"/>
      <c r="AF2337" s="81"/>
      <c r="AG2337" s="81"/>
      <c r="AH2337" s="81"/>
      <c r="AI2337" s="81"/>
      <c r="AJ2337" s="83"/>
      <c r="AK2337" s="81"/>
      <c r="AL2337" s="81"/>
      <c r="AM2337" s="83"/>
      <c r="AN2337" s="80"/>
      <c r="AO2337" s="82" t="n">
        <f aca="false">IF(E2337="","",(AA2337&lt;&gt;"")+(AG2337&lt;&gt;"")+(AL2337&lt;&gt;""))</f>
        <v>0</v>
      </c>
      <c r="AP2337" s="82" t="str">
        <f aca="false">IF(AL2337&lt;&gt;"",AL2337,IF(AG2337&lt;&gt;"",AG2337,IF(AA2337&lt;&gt;"",AA2337,"")))</f>
        <v/>
      </c>
      <c r="AQ2337" s="84" t="str">
        <f aca="false">IF(E2337="","",IF(U2337="","À SOUDER",IF(X2337="","VT EN ATTENTE",IF(X2337="R","VT REJETÉ – À REPRENDRE",IF(AP2337="","À RADIOGRAPHIER",IF(AP2337="A","ACCEPTÉ",IF(AP2337="NX","NX – RT À REFAIRE",IF(IF(AO2337=1,AD2337,IF(AO2337=2,AI2337,""))="A","RÉPARÉ – À RADIOGRAPHIER",IF(IF(AO2337=1,AD2337,IF(AO2337=2,AI2337,""))="R","VT REJETÉ – À REPRENDRE",IF(OR(AP2337="CO",AP2337="NT"),"COUPE – À RESOUDER","À RÉPARER"))))))))))</f>
        <v>À SOUDER</v>
      </c>
      <c r="AR2337" s="82" t="str">
        <f aca="false">IF(AND(ISNUMBER(U2337),OR(AQ2337="À RADIOGRAPHIER",AQ2337="RÉPARÉ – À RADIOGRAPHIER",AQ2337="NX – RT À REFAIRE",AQ2337="À RÉPARER",AQ2337="COUPE – À RESOUDER",AQ2337="VT REJETÉ – À REPRENDRE")),MAX(0,'PROGRAMME RT'!$C$4-U2337),"")</f>
        <v/>
      </c>
      <c r="AS2337" s="82" t="n">
        <f aca="false">IF(AND(OR(AQ2337="À RADIOGRAPHIER",AQ2337="RÉPARÉ – À RADIOGRAPHIER",AQ2337="NX – RT À REFAIRE"),OR('PROGRAMME RT'!$D$5="TOUTES",B2337='PROGRAMME RT'!$D$5)),1,0)</f>
        <v>0</v>
      </c>
      <c r="AT2337" s="82" t="str">
        <f aca="false">IF(AS2337=1,SUM(AS$7:AS2337),"")</f>
        <v/>
      </c>
      <c r="AU2337" s="82" t="n">
        <f aca="false">IF(AND(OR(AA2337="R",AA2337="NX",AA2337="NT",AA2337="CO"),OR('JOINTS DE RÉPARATION'!$D$5="TOUTES",B2337='JOINTS DE RÉPARATION'!$D$5),OR('JOINTS DE RÉPARATION'!$L$4="TOUS",AQ2337&lt;&gt;"ACCEPTÉ")),1,0)</f>
        <v>0</v>
      </c>
      <c r="AV2337" s="82" t="str">
        <f aca="false">IF(AU2337=1,SUM(AU$7:AU2337),"")</f>
        <v/>
      </c>
      <c r="AW2337" s="82" t="str">
        <f aca="false">IF(E2337="","",B2337&amp;"|"&amp;E2337)</f>
        <v>MFD-ISW → MFD-CPF|JN°1853</v>
      </c>
    </row>
    <row r="2338" customFormat="false" ht="74.6" hidden="false" customHeight="false" outlineLevel="0" collapsed="false">
      <c r="A2338" s="79" t="n">
        <f aca="false">IF(E2338="","",ROW()-6)</f>
        <v>2332</v>
      </c>
      <c r="B2338" s="80" t="s">
        <v>110</v>
      </c>
      <c r="C2338" s="81" t="s">
        <v>926</v>
      </c>
      <c r="D2338" s="81" t="n">
        <v>23</v>
      </c>
      <c r="E2338" s="81" t="s">
        <v>2835</v>
      </c>
      <c r="F2338" s="82" t="str">
        <f aca="false">IF(E2338="","",IF(LEFT(E2338,2)="DJ","DJ","JN"))</f>
        <v>JN</v>
      </c>
      <c r="G2338" s="81"/>
      <c r="H2338" s="81"/>
      <c r="I2338" s="81"/>
      <c r="J2338" s="81"/>
      <c r="K2338" s="81"/>
      <c r="L2338" s="81"/>
      <c r="M2338" s="81"/>
      <c r="N2338" s="81"/>
      <c r="O2338" s="81"/>
      <c r="P2338" s="81"/>
      <c r="Q2338" s="81"/>
      <c r="R2338" s="81"/>
      <c r="S2338" s="81"/>
      <c r="T2338" s="81"/>
      <c r="U2338" s="83"/>
      <c r="V2338" s="83"/>
      <c r="W2338" s="81"/>
      <c r="X2338" s="81"/>
      <c r="Y2338" s="83"/>
      <c r="Z2338" s="81"/>
      <c r="AA2338" s="81"/>
      <c r="AB2338" s="81"/>
      <c r="AC2338" s="81"/>
      <c r="AD2338" s="81"/>
      <c r="AE2338" s="83"/>
      <c r="AF2338" s="81"/>
      <c r="AG2338" s="81"/>
      <c r="AH2338" s="81"/>
      <c r="AI2338" s="81"/>
      <c r="AJ2338" s="83"/>
      <c r="AK2338" s="81"/>
      <c r="AL2338" s="81"/>
      <c r="AM2338" s="83"/>
      <c r="AN2338" s="80"/>
      <c r="AO2338" s="82" t="n">
        <f aca="false">IF(E2338="","",(AA2338&lt;&gt;"")+(AG2338&lt;&gt;"")+(AL2338&lt;&gt;""))</f>
        <v>0</v>
      </c>
      <c r="AP2338" s="82" t="str">
        <f aca="false">IF(AL2338&lt;&gt;"",AL2338,IF(AG2338&lt;&gt;"",AG2338,IF(AA2338&lt;&gt;"",AA2338,"")))</f>
        <v/>
      </c>
      <c r="AQ2338" s="84" t="str">
        <f aca="false">IF(E2338="","",IF(U2338="","À SOUDER",IF(X2338="","VT EN ATTENTE",IF(X2338="R","VT REJETÉ – À REPRENDRE",IF(AP2338="","À RADIOGRAPHIER",IF(AP2338="A","ACCEPTÉ",IF(AP2338="NX","NX – RT À REFAIRE",IF(IF(AO2338=1,AD2338,IF(AO2338=2,AI2338,""))="A","RÉPARÉ – À RADIOGRAPHIER",IF(IF(AO2338=1,AD2338,IF(AO2338=2,AI2338,""))="R","VT REJETÉ – À REPRENDRE",IF(OR(AP2338="CO",AP2338="NT"),"COUPE – À RESOUDER","À RÉPARER"))))))))))</f>
        <v>À SOUDER</v>
      </c>
      <c r="AR2338" s="82" t="str">
        <f aca="false">IF(AND(ISNUMBER(U2338),OR(AQ2338="À RADIOGRAPHIER",AQ2338="RÉPARÉ – À RADIOGRAPHIER",AQ2338="NX – RT À REFAIRE",AQ2338="À RÉPARER",AQ2338="COUPE – À RESOUDER",AQ2338="VT REJETÉ – À REPRENDRE")),MAX(0,'PROGRAMME RT'!$C$4-U2338),"")</f>
        <v/>
      </c>
      <c r="AS2338" s="82" t="n">
        <f aca="false">IF(AND(OR(AQ2338="À RADIOGRAPHIER",AQ2338="RÉPARÉ – À RADIOGRAPHIER",AQ2338="NX – RT À REFAIRE"),OR('PROGRAMME RT'!$D$5="TOUTES",B2338='PROGRAMME RT'!$D$5)),1,0)</f>
        <v>0</v>
      </c>
      <c r="AT2338" s="82" t="str">
        <f aca="false">IF(AS2338=1,SUM(AS$7:AS2338),"")</f>
        <v/>
      </c>
      <c r="AU2338" s="82" t="n">
        <f aca="false">IF(AND(OR(AA2338="R",AA2338="NX",AA2338="NT",AA2338="CO"),OR('JOINTS DE RÉPARATION'!$D$5="TOUTES",B2338='JOINTS DE RÉPARATION'!$D$5),OR('JOINTS DE RÉPARATION'!$L$4="TOUS",AQ2338&lt;&gt;"ACCEPTÉ")),1,0)</f>
        <v>0</v>
      </c>
      <c r="AV2338" s="82" t="str">
        <f aca="false">IF(AU2338=1,SUM(AU$7:AU2338),"")</f>
        <v/>
      </c>
      <c r="AW2338" s="82" t="str">
        <f aca="false">IF(E2338="","",B2338&amp;"|"&amp;E2338)</f>
        <v>MFD-ISW → MFD-CPF|JN°1854</v>
      </c>
    </row>
    <row r="2339" customFormat="false" ht="74.6" hidden="false" customHeight="false" outlineLevel="0" collapsed="false">
      <c r="A2339" s="79" t="n">
        <f aca="false">IF(E2339="","",ROW()-6)</f>
        <v>2333</v>
      </c>
      <c r="B2339" s="80" t="s">
        <v>110</v>
      </c>
      <c r="C2339" s="81" t="s">
        <v>926</v>
      </c>
      <c r="D2339" s="81" t="n">
        <v>23</v>
      </c>
      <c r="E2339" s="81" t="s">
        <v>2836</v>
      </c>
      <c r="F2339" s="82" t="str">
        <f aca="false">IF(E2339="","",IF(LEFT(E2339,2)="DJ","DJ","JN"))</f>
        <v>JN</v>
      </c>
      <c r="G2339" s="81"/>
      <c r="H2339" s="81"/>
      <c r="I2339" s="81"/>
      <c r="J2339" s="81"/>
      <c r="K2339" s="81"/>
      <c r="L2339" s="81"/>
      <c r="M2339" s="81"/>
      <c r="N2339" s="81"/>
      <c r="O2339" s="81"/>
      <c r="P2339" s="81"/>
      <c r="Q2339" s="81"/>
      <c r="R2339" s="81"/>
      <c r="S2339" s="81"/>
      <c r="T2339" s="81"/>
      <c r="U2339" s="83"/>
      <c r="V2339" s="83"/>
      <c r="W2339" s="81"/>
      <c r="X2339" s="81"/>
      <c r="Y2339" s="83"/>
      <c r="Z2339" s="81"/>
      <c r="AA2339" s="81"/>
      <c r="AB2339" s="81"/>
      <c r="AC2339" s="81"/>
      <c r="AD2339" s="81"/>
      <c r="AE2339" s="83"/>
      <c r="AF2339" s="81"/>
      <c r="AG2339" s="81"/>
      <c r="AH2339" s="81"/>
      <c r="AI2339" s="81"/>
      <c r="AJ2339" s="83"/>
      <c r="AK2339" s="81"/>
      <c r="AL2339" s="81"/>
      <c r="AM2339" s="83"/>
      <c r="AN2339" s="80"/>
      <c r="AO2339" s="82" t="n">
        <f aca="false">IF(E2339="","",(AA2339&lt;&gt;"")+(AG2339&lt;&gt;"")+(AL2339&lt;&gt;""))</f>
        <v>0</v>
      </c>
      <c r="AP2339" s="82" t="str">
        <f aca="false">IF(AL2339&lt;&gt;"",AL2339,IF(AG2339&lt;&gt;"",AG2339,IF(AA2339&lt;&gt;"",AA2339,"")))</f>
        <v/>
      </c>
      <c r="AQ2339" s="84" t="str">
        <f aca="false">IF(E2339="","",IF(U2339="","À SOUDER",IF(X2339="","VT EN ATTENTE",IF(X2339="R","VT REJETÉ – À REPRENDRE",IF(AP2339="","À RADIOGRAPHIER",IF(AP2339="A","ACCEPTÉ",IF(AP2339="NX","NX – RT À REFAIRE",IF(IF(AO2339=1,AD2339,IF(AO2339=2,AI2339,""))="A","RÉPARÉ – À RADIOGRAPHIER",IF(IF(AO2339=1,AD2339,IF(AO2339=2,AI2339,""))="R","VT REJETÉ – À REPRENDRE",IF(OR(AP2339="CO",AP2339="NT"),"COUPE – À RESOUDER","À RÉPARER"))))))))))</f>
        <v>À SOUDER</v>
      </c>
      <c r="AR2339" s="82" t="str">
        <f aca="false">IF(AND(ISNUMBER(U2339),OR(AQ2339="À RADIOGRAPHIER",AQ2339="RÉPARÉ – À RADIOGRAPHIER",AQ2339="NX – RT À REFAIRE",AQ2339="À RÉPARER",AQ2339="COUPE – À RESOUDER",AQ2339="VT REJETÉ – À REPRENDRE")),MAX(0,'PROGRAMME RT'!$C$4-U2339),"")</f>
        <v/>
      </c>
      <c r="AS2339" s="82" t="n">
        <f aca="false">IF(AND(OR(AQ2339="À RADIOGRAPHIER",AQ2339="RÉPARÉ – À RADIOGRAPHIER",AQ2339="NX – RT À REFAIRE"),OR('PROGRAMME RT'!$D$5="TOUTES",B2339='PROGRAMME RT'!$D$5)),1,0)</f>
        <v>0</v>
      </c>
      <c r="AT2339" s="82" t="str">
        <f aca="false">IF(AS2339=1,SUM(AS$7:AS2339),"")</f>
        <v/>
      </c>
      <c r="AU2339" s="82" t="n">
        <f aca="false">IF(AND(OR(AA2339="R",AA2339="NX",AA2339="NT",AA2339="CO"),OR('JOINTS DE RÉPARATION'!$D$5="TOUTES",B2339='JOINTS DE RÉPARATION'!$D$5),OR('JOINTS DE RÉPARATION'!$L$4="TOUS",AQ2339&lt;&gt;"ACCEPTÉ")),1,0)</f>
        <v>0</v>
      </c>
      <c r="AV2339" s="82" t="str">
        <f aca="false">IF(AU2339=1,SUM(AU$7:AU2339),"")</f>
        <v/>
      </c>
      <c r="AW2339" s="82" t="str">
        <f aca="false">IF(E2339="","",B2339&amp;"|"&amp;E2339)</f>
        <v>MFD-ISW → MFD-CPF|JN°1855</v>
      </c>
    </row>
    <row r="2340" customFormat="false" ht="74.6" hidden="false" customHeight="false" outlineLevel="0" collapsed="false">
      <c r="A2340" s="79" t="n">
        <f aca="false">IF(E2340="","",ROW()-6)</f>
        <v>2334</v>
      </c>
      <c r="B2340" s="80" t="s">
        <v>110</v>
      </c>
      <c r="C2340" s="81" t="s">
        <v>926</v>
      </c>
      <c r="D2340" s="81" t="n">
        <v>23</v>
      </c>
      <c r="E2340" s="81" t="s">
        <v>2837</v>
      </c>
      <c r="F2340" s="82" t="str">
        <f aca="false">IF(E2340="","",IF(LEFT(E2340,2)="DJ","DJ","JN"))</f>
        <v>JN</v>
      </c>
      <c r="G2340" s="81"/>
      <c r="H2340" s="81"/>
      <c r="I2340" s="81"/>
      <c r="J2340" s="81"/>
      <c r="K2340" s="81"/>
      <c r="L2340" s="81"/>
      <c r="M2340" s="81"/>
      <c r="N2340" s="81"/>
      <c r="O2340" s="81"/>
      <c r="P2340" s="81"/>
      <c r="Q2340" s="81"/>
      <c r="R2340" s="81"/>
      <c r="S2340" s="81"/>
      <c r="T2340" s="81"/>
      <c r="U2340" s="83"/>
      <c r="V2340" s="83"/>
      <c r="W2340" s="81"/>
      <c r="X2340" s="81"/>
      <c r="Y2340" s="83"/>
      <c r="Z2340" s="81"/>
      <c r="AA2340" s="81"/>
      <c r="AB2340" s="81"/>
      <c r="AC2340" s="81"/>
      <c r="AD2340" s="81"/>
      <c r="AE2340" s="83"/>
      <c r="AF2340" s="81"/>
      <c r="AG2340" s="81"/>
      <c r="AH2340" s="81"/>
      <c r="AI2340" s="81"/>
      <c r="AJ2340" s="83"/>
      <c r="AK2340" s="81"/>
      <c r="AL2340" s="81"/>
      <c r="AM2340" s="83"/>
      <c r="AN2340" s="80"/>
      <c r="AO2340" s="82" t="n">
        <f aca="false">IF(E2340="","",(AA2340&lt;&gt;"")+(AG2340&lt;&gt;"")+(AL2340&lt;&gt;""))</f>
        <v>0</v>
      </c>
      <c r="AP2340" s="82" t="str">
        <f aca="false">IF(AL2340&lt;&gt;"",AL2340,IF(AG2340&lt;&gt;"",AG2340,IF(AA2340&lt;&gt;"",AA2340,"")))</f>
        <v/>
      </c>
      <c r="AQ2340" s="84" t="str">
        <f aca="false">IF(E2340="","",IF(U2340="","À SOUDER",IF(X2340="","VT EN ATTENTE",IF(X2340="R","VT REJETÉ – À REPRENDRE",IF(AP2340="","À RADIOGRAPHIER",IF(AP2340="A","ACCEPTÉ",IF(AP2340="NX","NX – RT À REFAIRE",IF(IF(AO2340=1,AD2340,IF(AO2340=2,AI2340,""))="A","RÉPARÉ – À RADIOGRAPHIER",IF(IF(AO2340=1,AD2340,IF(AO2340=2,AI2340,""))="R","VT REJETÉ – À REPRENDRE",IF(OR(AP2340="CO",AP2340="NT"),"COUPE – À RESOUDER","À RÉPARER"))))))))))</f>
        <v>À SOUDER</v>
      </c>
      <c r="AR2340" s="82" t="str">
        <f aca="false">IF(AND(ISNUMBER(U2340),OR(AQ2340="À RADIOGRAPHIER",AQ2340="RÉPARÉ – À RADIOGRAPHIER",AQ2340="NX – RT À REFAIRE",AQ2340="À RÉPARER",AQ2340="COUPE – À RESOUDER",AQ2340="VT REJETÉ – À REPRENDRE")),MAX(0,'PROGRAMME RT'!$C$4-U2340),"")</f>
        <v/>
      </c>
      <c r="AS2340" s="82" t="n">
        <f aca="false">IF(AND(OR(AQ2340="À RADIOGRAPHIER",AQ2340="RÉPARÉ – À RADIOGRAPHIER",AQ2340="NX – RT À REFAIRE"),OR('PROGRAMME RT'!$D$5="TOUTES",B2340='PROGRAMME RT'!$D$5)),1,0)</f>
        <v>0</v>
      </c>
      <c r="AT2340" s="82" t="str">
        <f aca="false">IF(AS2340=1,SUM(AS$7:AS2340),"")</f>
        <v/>
      </c>
      <c r="AU2340" s="82" t="n">
        <f aca="false">IF(AND(OR(AA2340="R",AA2340="NX",AA2340="NT",AA2340="CO"),OR('JOINTS DE RÉPARATION'!$D$5="TOUTES",B2340='JOINTS DE RÉPARATION'!$D$5),OR('JOINTS DE RÉPARATION'!$L$4="TOUS",AQ2340&lt;&gt;"ACCEPTÉ")),1,0)</f>
        <v>0</v>
      </c>
      <c r="AV2340" s="82" t="str">
        <f aca="false">IF(AU2340=1,SUM(AU$7:AU2340),"")</f>
        <v/>
      </c>
      <c r="AW2340" s="82" t="str">
        <f aca="false">IF(E2340="","",B2340&amp;"|"&amp;E2340)</f>
        <v>MFD-ISW → MFD-CPF|JN°1856</v>
      </c>
    </row>
    <row r="2341" customFormat="false" ht="74.6" hidden="false" customHeight="false" outlineLevel="0" collapsed="false">
      <c r="A2341" s="79" t="n">
        <f aca="false">IF(E2341="","",ROW()-6)</f>
        <v>2335</v>
      </c>
      <c r="B2341" s="80" t="s">
        <v>110</v>
      </c>
      <c r="C2341" s="81" t="s">
        <v>926</v>
      </c>
      <c r="D2341" s="81" t="n">
        <v>23</v>
      </c>
      <c r="E2341" s="81" t="s">
        <v>2838</v>
      </c>
      <c r="F2341" s="82" t="str">
        <f aca="false">IF(E2341="","",IF(LEFT(E2341,2)="DJ","DJ","JN"))</f>
        <v>JN</v>
      </c>
      <c r="G2341" s="81"/>
      <c r="H2341" s="81"/>
      <c r="I2341" s="81"/>
      <c r="J2341" s="81"/>
      <c r="K2341" s="81"/>
      <c r="L2341" s="81"/>
      <c r="M2341" s="81"/>
      <c r="N2341" s="81"/>
      <c r="O2341" s="81"/>
      <c r="P2341" s="81"/>
      <c r="Q2341" s="81"/>
      <c r="R2341" s="81"/>
      <c r="S2341" s="81"/>
      <c r="T2341" s="81"/>
      <c r="U2341" s="83"/>
      <c r="V2341" s="83"/>
      <c r="W2341" s="81"/>
      <c r="X2341" s="81"/>
      <c r="Y2341" s="83"/>
      <c r="Z2341" s="81"/>
      <c r="AA2341" s="81"/>
      <c r="AB2341" s="81"/>
      <c r="AC2341" s="81"/>
      <c r="AD2341" s="81"/>
      <c r="AE2341" s="83"/>
      <c r="AF2341" s="81"/>
      <c r="AG2341" s="81"/>
      <c r="AH2341" s="81"/>
      <c r="AI2341" s="81"/>
      <c r="AJ2341" s="83"/>
      <c r="AK2341" s="81"/>
      <c r="AL2341" s="81"/>
      <c r="AM2341" s="83"/>
      <c r="AN2341" s="80"/>
      <c r="AO2341" s="82" t="n">
        <f aca="false">IF(E2341="","",(AA2341&lt;&gt;"")+(AG2341&lt;&gt;"")+(AL2341&lt;&gt;""))</f>
        <v>0</v>
      </c>
      <c r="AP2341" s="82" t="str">
        <f aca="false">IF(AL2341&lt;&gt;"",AL2341,IF(AG2341&lt;&gt;"",AG2341,IF(AA2341&lt;&gt;"",AA2341,"")))</f>
        <v/>
      </c>
      <c r="AQ2341" s="84" t="str">
        <f aca="false">IF(E2341="","",IF(U2341="","À SOUDER",IF(X2341="","VT EN ATTENTE",IF(X2341="R","VT REJETÉ – À REPRENDRE",IF(AP2341="","À RADIOGRAPHIER",IF(AP2341="A","ACCEPTÉ",IF(AP2341="NX","NX – RT À REFAIRE",IF(IF(AO2341=1,AD2341,IF(AO2341=2,AI2341,""))="A","RÉPARÉ – À RADIOGRAPHIER",IF(IF(AO2341=1,AD2341,IF(AO2341=2,AI2341,""))="R","VT REJETÉ – À REPRENDRE",IF(OR(AP2341="CO",AP2341="NT"),"COUPE – À RESOUDER","À RÉPARER"))))))))))</f>
        <v>À SOUDER</v>
      </c>
      <c r="AR2341" s="82" t="str">
        <f aca="false">IF(AND(ISNUMBER(U2341),OR(AQ2341="À RADIOGRAPHIER",AQ2341="RÉPARÉ – À RADIOGRAPHIER",AQ2341="NX – RT À REFAIRE",AQ2341="À RÉPARER",AQ2341="COUPE – À RESOUDER",AQ2341="VT REJETÉ – À REPRENDRE")),MAX(0,'PROGRAMME RT'!$C$4-U2341),"")</f>
        <v/>
      </c>
      <c r="AS2341" s="82" t="n">
        <f aca="false">IF(AND(OR(AQ2341="À RADIOGRAPHIER",AQ2341="RÉPARÉ – À RADIOGRAPHIER",AQ2341="NX – RT À REFAIRE"),OR('PROGRAMME RT'!$D$5="TOUTES",B2341='PROGRAMME RT'!$D$5)),1,0)</f>
        <v>0</v>
      </c>
      <c r="AT2341" s="82" t="str">
        <f aca="false">IF(AS2341=1,SUM(AS$7:AS2341),"")</f>
        <v/>
      </c>
      <c r="AU2341" s="82" t="n">
        <f aca="false">IF(AND(OR(AA2341="R",AA2341="NX",AA2341="NT",AA2341="CO"),OR('JOINTS DE RÉPARATION'!$D$5="TOUTES",B2341='JOINTS DE RÉPARATION'!$D$5),OR('JOINTS DE RÉPARATION'!$L$4="TOUS",AQ2341&lt;&gt;"ACCEPTÉ")),1,0)</f>
        <v>0</v>
      </c>
      <c r="AV2341" s="82" t="str">
        <f aca="false">IF(AU2341=1,SUM(AU$7:AU2341),"")</f>
        <v/>
      </c>
      <c r="AW2341" s="82" t="str">
        <f aca="false">IF(E2341="","",B2341&amp;"|"&amp;E2341)</f>
        <v>MFD-ISW → MFD-CPF|JN°1857</v>
      </c>
    </row>
    <row r="2342" customFormat="false" ht="74.6" hidden="false" customHeight="false" outlineLevel="0" collapsed="false">
      <c r="A2342" s="79" t="n">
        <f aca="false">IF(E2342="","",ROW()-6)</f>
        <v>2336</v>
      </c>
      <c r="B2342" s="80" t="s">
        <v>110</v>
      </c>
      <c r="C2342" s="81" t="s">
        <v>926</v>
      </c>
      <c r="D2342" s="81" t="n">
        <v>23</v>
      </c>
      <c r="E2342" s="81" t="s">
        <v>2839</v>
      </c>
      <c r="F2342" s="82" t="str">
        <f aca="false">IF(E2342="","",IF(LEFT(E2342,2)="DJ","DJ","JN"))</f>
        <v>JN</v>
      </c>
      <c r="G2342" s="81"/>
      <c r="H2342" s="81"/>
      <c r="I2342" s="81"/>
      <c r="J2342" s="81"/>
      <c r="K2342" s="81"/>
      <c r="L2342" s="81"/>
      <c r="M2342" s="81"/>
      <c r="N2342" s="81"/>
      <c r="O2342" s="81"/>
      <c r="P2342" s="81"/>
      <c r="Q2342" s="81"/>
      <c r="R2342" s="81"/>
      <c r="S2342" s="81"/>
      <c r="T2342" s="81"/>
      <c r="U2342" s="83"/>
      <c r="V2342" s="83"/>
      <c r="W2342" s="81"/>
      <c r="X2342" s="81"/>
      <c r="Y2342" s="83"/>
      <c r="Z2342" s="81"/>
      <c r="AA2342" s="81"/>
      <c r="AB2342" s="81"/>
      <c r="AC2342" s="81"/>
      <c r="AD2342" s="81"/>
      <c r="AE2342" s="83"/>
      <c r="AF2342" s="81"/>
      <c r="AG2342" s="81"/>
      <c r="AH2342" s="81"/>
      <c r="AI2342" s="81"/>
      <c r="AJ2342" s="83"/>
      <c r="AK2342" s="81"/>
      <c r="AL2342" s="81"/>
      <c r="AM2342" s="83"/>
      <c r="AN2342" s="80"/>
      <c r="AO2342" s="82" t="n">
        <f aca="false">IF(E2342="","",(AA2342&lt;&gt;"")+(AG2342&lt;&gt;"")+(AL2342&lt;&gt;""))</f>
        <v>0</v>
      </c>
      <c r="AP2342" s="82" t="str">
        <f aca="false">IF(AL2342&lt;&gt;"",AL2342,IF(AG2342&lt;&gt;"",AG2342,IF(AA2342&lt;&gt;"",AA2342,"")))</f>
        <v/>
      </c>
      <c r="AQ2342" s="84" t="str">
        <f aca="false">IF(E2342="","",IF(U2342="","À SOUDER",IF(X2342="","VT EN ATTENTE",IF(X2342="R","VT REJETÉ – À REPRENDRE",IF(AP2342="","À RADIOGRAPHIER",IF(AP2342="A","ACCEPTÉ",IF(AP2342="NX","NX – RT À REFAIRE",IF(IF(AO2342=1,AD2342,IF(AO2342=2,AI2342,""))="A","RÉPARÉ – À RADIOGRAPHIER",IF(IF(AO2342=1,AD2342,IF(AO2342=2,AI2342,""))="R","VT REJETÉ – À REPRENDRE",IF(OR(AP2342="CO",AP2342="NT"),"COUPE – À RESOUDER","À RÉPARER"))))))))))</f>
        <v>À SOUDER</v>
      </c>
      <c r="AR2342" s="82" t="str">
        <f aca="false">IF(AND(ISNUMBER(U2342),OR(AQ2342="À RADIOGRAPHIER",AQ2342="RÉPARÉ – À RADIOGRAPHIER",AQ2342="NX – RT À REFAIRE",AQ2342="À RÉPARER",AQ2342="COUPE – À RESOUDER",AQ2342="VT REJETÉ – À REPRENDRE")),MAX(0,'PROGRAMME RT'!$C$4-U2342),"")</f>
        <v/>
      </c>
      <c r="AS2342" s="82" t="n">
        <f aca="false">IF(AND(OR(AQ2342="À RADIOGRAPHIER",AQ2342="RÉPARÉ – À RADIOGRAPHIER",AQ2342="NX – RT À REFAIRE"),OR('PROGRAMME RT'!$D$5="TOUTES",B2342='PROGRAMME RT'!$D$5)),1,0)</f>
        <v>0</v>
      </c>
      <c r="AT2342" s="82" t="str">
        <f aca="false">IF(AS2342=1,SUM(AS$7:AS2342),"")</f>
        <v/>
      </c>
      <c r="AU2342" s="82" t="n">
        <f aca="false">IF(AND(OR(AA2342="R",AA2342="NX",AA2342="NT",AA2342="CO"),OR('JOINTS DE RÉPARATION'!$D$5="TOUTES",B2342='JOINTS DE RÉPARATION'!$D$5),OR('JOINTS DE RÉPARATION'!$L$4="TOUS",AQ2342&lt;&gt;"ACCEPTÉ")),1,0)</f>
        <v>0</v>
      </c>
      <c r="AV2342" s="82" t="str">
        <f aca="false">IF(AU2342=1,SUM(AU$7:AU2342),"")</f>
        <v/>
      </c>
      <c r="AW2342" s="82" t="str">
        <f aca="false">IF(E2342="","",B2342&amp;"|"&amp;E2342)</f>
        <v>MFD-ISW → MFD-CPF|JN°1858</v>
      </c>
    </row>
    <row r="2343" customFormat="false" ht="74.6" hidden="false" customHeight="false" outlineLevel="0" collapsed="false">
      <c r="A2343" s="79" t="n">
        <f aca="false">IF(E2343="","",ROW()-6)</f>
        <v>2337</v>
      </c>
      <c r="B2343" s="80" t="s">
        <v>110</v>
      </c>
      <c r="C2343" s="81" t="s">
        <v>926</v>
      </c>
      <c r="D2343" s="81" t="n">
        <v>23</v>
      </c>
      <c r="E2343" s="81" t="s">
        <v>2840</v>
      </c>
      <c r="F2343" s="82" t="str">
        <f aca="false">IF(E2343="","",IF(LEFT(E2343,2)="DJ","DJ","JN"))</f>
        <v>JN</v>
      </c>
      <c r="G2343" s="81"/>
      <c r="H2343" s="81"/>
      <c r="I2343" s="81"/>
      <c r="J2343" s="81"/>
      <c r="K2343" s="81"/>
      <c r="L2343" s="81"/>
      <c r="M2343" s="81"/>
      <c r="N2343" s="81"/>
      <c r="O2343" s="81"/>
      <c r="P2343" s="81"/>
      <c r="Q2343" s="81"/>
      <c r="R2343" s="81"/>
      <c r="S2343" s="81"/>
      <c r="T2343" s="81"/>
      <c r="U2343" s="83"/>
      <c r="V2343" s="83"/>
      <c r="W2343" s="81"/>
      <c r="X2343" s="81"/>
      <c r="Y2343" s="83"/>
      <c r="Z2343" s="81"/>
      <c r="AA2343" s="81"/>
      <c r="AB2343" s="81"/>
      <c r="AC2343" s="81"/>
      <c r="AD2343" s="81"/>
      <c r="AE2343" s="83"/>
      <c r="AF2343" s="81"/>
      <c r="AG2343" s="81"/>
      <c r="AH2343" s="81"/>
      <c r="AI2343" s="81"/>
      <c r="AJ2343" s="83"/>
      <c r="AK2343" s="81"/>
      <c r="AL2343" s="81"/>
      <c r="AM2343" s="83"/>
      <c r="AN2343" s="80"/>
      <c r="AO2343" s="82" t="n">
        <f aca="false">IF(E2343="","",(AA2343&lt;&gt;"")+(AG2343&lt;&gt;"")+(AL2343&lt;&gt;""))</f>
        <v>0</v>
      </c>
      <c r="AP2343" s="82" t="str">
        <f aca="false">IF(AL2343&lt;&gt;"",AL2343,IF(AG2343&lt;&gt;"",AG2343,IF(AA2343&lt;&gt;"",AA2343,"")))</f>
        <v/>
      </c>
      <c r="AQ2343" s="84" t="str">
        <f aca="false">IF(E2343="","",IF(U2343="","À SOUDER",IF(X2343="","VT EN ATTENTE",IF(X2343="R","VT REJETÉ – À REPRENDRE",IF(AP2343="","À RADIOGRAPHIER",IF(AP2343="A","ACCEPTÉ",IF(AP2343="NX","NX – RT À REFAIRE",IF(IF(AO2343=1,AD2343,IF(AO2343=2,AI2343,""))="A","RÉPARÉ – À RADIOGRAPHIER",IF(IF(AO2343=1,AD2343,IF(AO2343=2,AI2343,""))="R","VT REJETÉ – À REPRENDRE",IF(OR(AP2343="CO",AP2343="NT"),"COUPE – À RESOUDER","À RÉPARER"))))))))))</f>
        <v>À SOUDER</v>
      </c>
      <c r="AR2343" s="82" t="str">
        <f aca="false">IF(AND(ISNUMBER(U2343),OR(AQ2343="À RADIOGRAPHIER",AQ2343="RÉPARÉ – À RADIOGRAPHIER",AQ2343="NX – RT À REFAIRE",AQ2343="À RÉPARER",AQ2343="COUPE – À RESOUDER",AQ2343="VT REJETÉ – À REPRENDRE")),MAX(0,'PROGRAMME RT'!$C$4-U2343),"")</f>
        <v/>
      </c>
      <c r="AS2343" s="82" t="n">
        <f aca="false">IF(AND(OR(AQ2343="À RADIOGRAPHIER",AQ2343="RÉPARÉ – À RADIOGRAPHIER",AQ2343="NX – RT À REFAIRE"),OR('PROGRAMME RT'!$D$5="TOUTES",B2343='PROGRAMME RT'!$D$5)),1,0)</f>
        <v>0</v>
      </c>
      <c r="AT2343" s="82" t="str">
        <f aca="false">IF(AS2343=1,SUM(AS$7:AS2343),"")</f>
        <v/>
      </c>
      <c r="AU2343" s="82" t="n">
        <f aca="false">IF(AND(OR(AA2343="R",AA2343="NX",AA2343="NT",AA2343="CO"),OR('JOINTS DE RÉPARATION'!$D$5="TOUTES",B2343='JOINTS DE RÉPARATION'!$D$5),OR('JOINTS DE RÉPARATION'!$L$4="TOUS",AQ2343&lt;&gt;"ACCEPTÉ")),1,0)</f>
        <v>0</v>
      </c>
      <c r="AV2343" s="82" t="str">
        <f aca="false">IF(AU2343=1,SUM(AU$7:AU2343),"")</f>
        <v/>
      </c>
      <c r="AW2343" s="82" t="str">
        <f aca="false">IF(E2343="","",B2343&amp;"|"&amp;E2343)</f>
        <v>MFD-ISW → MFD-CPF|JN°1859</v>
      </c>
    </row>
    <row r="2344" customFormat="false" ht="74.6" hidden="false" customHeight="false" outlineLevel="0" collapsed="false">
      <c r="A2344" s="79" t="n">
        <f aca="false">IF(E2344="","",ROW()-6)</f>
        <v>2338</v>
      </c>
      <c r="B2344" s="80" t="s">
        <v>110</v>
      </c>
      <c r="C2344" s="81" t="s">
        <v>926</v>
      </c>
      <c r="D2344" s="81" t="n">
        <v>23</v>
      </c>
      <c r="E2344" s="81" t="s">
        <v>2841</v>
      </c>
      <c r="F2344" s="82" t="str">
        <f aca="false">IF(E2344="","",IF(LEFT(E2344,2)="DJ","DJ","JN"))</f>
        <v>JN</v>
      </c>
      <c r="G2344" s="81"/>
      <c r="H2344" s="81"/>
      <c r="I2344" s="81"/>
      <c r="J2344" s="81"/>
      <c r="K2344" s="81"/>
      <c r="L2344" s="81"/>
      <c r="M2344" s="81"/>
      <c r="N2344" s="81"/>
      <c r="O2344" s="81"/>
      <c r="P2344" s="81"/>
      <c r="Q2344" s="81"/>
      <c r="R2344" s="81"/>
      <c r="S2344" s="81"/>
      <c r="T2344" s="81"/>
      <c r="U2344" s="83"/>
      <c r="V2344" s="83"/>
      <c r="W2344" s="81"/>
      <c r="X2344" s="81"/>
      <c r="Y2344" s="83"/>
      <c r="Z2344" s="81"/>
      <c r="AA2344" s="81"/>
      <c r="AB2344" s="81"/>
      <c r="AC2344" s="81"/>
      <c r="AD2344" s="81"/>
      <c r="AE2344" s="83"/>
      <c r="AF2344" s="81"/>
      <c r="AG2344" s="81"/>
      <c r="AH2344" s="81"/>
      <c r="AI2344" s="81"/>
      <c r="AJ2344" s="83"/>
      <c r="AK2344" s="81"/>
      <c r="AL2344" s="81"/>
      <c r="AM2344" s="83"/>
      <c r="AN2344" s="80"/>
      <c r="AO2344" s="82" t="n">
        <f aca="false">IF(E2344="","",(AA2344&lt;&gt;"")+(AG2344&lt;&gt;"")+(AL2344&lt;&gt;""))</f>
        <v>0</v>
      </c>
      <c r="AP2344" s="82" t="str">
        <f aca="false">IF(AL2344&lt;&gt;"",AL2344,IF(AG2344&lt;&gt;"",AG2344,IF(AA2344&lt;&gt;"",AA2344,"")))</f>
        <v/>
      </c>
      <c r="AQ2344" s="84" t="str">
        <f aca="false">IF(E2344="","",IF(U2344="","À SOUDER",IF(X2344="","VT EN ATTENTE",IF(X2344="R","VT REJETÉ – À REPRENDRE",IF(AP2344="","À RADIOGRAPHIER",IF(AP2344="A","ACCEPTÉ",IF(AP2344="NX","NX – RT À REFAIRE",IF(IF(AO2344=1,AD2344,IF(AO2344=2,AI2344,""))="A","RÉPARÉ – À RADIOGRAPHIER",IF(IF(AO2344=1,AD2344,IF(AO2344=2,AI2344,""))="R","VT REJETÉ – À REPRENDRE",IF(OR(AP2344="CO",AP2344="NT"),"COUPE – À RESOUDER","À RÉPARER"))))))))))</f>
        <v>À SOUDER</v>
      </c>
      <c r="AR2344" s="82" t="str">
        <f aca="false">IF(AND(ISNUMBER(U2344),OR(AQ2344="À RADIOGRAPHIER",AQ2344="RÉPARÉ – À RADIOGRAPHIER",AQ2344="NX – RT À REFAIRE",AQ2344="À RÉPARER",AQ2344="COUPE – À RESOUDER",AQ2344="VT REJETÉ – À REPRENDRE")),MAX(0,'PROGRAMME RT'!$C$4-U2344),"")</f>
        <v/>
      </c>
      <c r="AS2344" s="82" t="n">
        <f aca="false">IF(AND(OR(AQ2344="À RADIOGRAPHIER",AQ2344="RÉPARÉ – À RADIOGRAPHIER",AQ2344="NX – RT À REFAIRE"),OR('PROGRAMME RT'!$D$5="TOUTES",B2344='PROGRAMME RT'!$D$5)),1,0)</f>
        <v>0</v>
      </c>
      <c r="AT2344" s="82" t="str">
        <f aca="false">IF(AS2344=1,SUM(AS$7:AS2344),"")</f>
        <v/>
      </c>
      <c r="AU2344" s="82" t="n">
        <f aca="false">IF(AND(OR(AA2344="R",AA2344="NX",AA2344="NT",AA2344="CO"),OR('JOINTS DE RÉPARATION'!$D$5="TOUTES",B2344='JOINTS DE RÉPARATION'!$D$5),OR('JOINTS DE RÉPARATION'!$L$4="TOUS",AQ2344&lt;&gt;"ACCEPTÉ")),1,0)</f>
        <v>0</v>
      </c>
      <c r="AV2344" s="82" t="str">
        <f aca="false">IF(AU2344=1,SUM(AU$7:AU2344),"")</f>
        <v/>
      </c>
      <c r="AW2344" s="82" t="str">
        <f aca="false">IF(E2344="","",B2344&amp;"|"&amp;E2344)</f>
        <v>MFD-ISW → MFD-CPF|JN°1860</v>
      </c>
    </row>
    <row r="2345" customFormat="false" ht="74.6" hidden="false" customHeight="false" outlineLevel="0" collapsed="false">
      <c r="A2345" s="79" t="n">
        <f aca="false">IF(E2345="","",ROW()-6)</f>
        <v>2339</v>
      </c>
      <c r="B2345" s="80" t="s">
        <v>110</v>
      </c>
      <c r="C2345" s="81" t="s">
        <v>926</v>
      </c>
      <c r="D2345" s="81" t="n">
        <v>23</v>
      </c>
      <c r="E2345" s="81" t="s">
        <v>2842</v>
      </c>
      <c r="F2345" s="82" t="str">
        <f aca="false">IF(E2345="","",IF(LEFT(E2345,2)="DJ","DJ","JN"))</f>
        <v>JN</v>
      </c>
      <c r="G2345" s="81"/>
      <c r="H2345" s="81"/>
      <c r="I2345" s="81"/>
      <c r="J2345" s="81"/>
      <c r="K2345" s="81"/>
      <c r="L2345" s="81"/>
      <c r="M2345" s="81"/>
      <c r="N2345" s="81"/>
      <c r="O2345" s="81"/>
      <c r="P2345" s="81"/>
      <c r="Q2345" s="81"/>
      <c r="R2345" s="81"/>
      <c r="S2345" s="81"/>
      <c r="T2345" s="81"/>
      <c r="U2345" s="83"/>
      <c r="V2345" s="83"/>
      <c r="W2345" s="81"/>
      <c r="X2345" s="81"/>
      <c r="Y2345" s="83"/>
      <c r="Z2345" s="81"/>
      <c r="AA2345" s="81"/>
      <c r="AB2345" s="81"/>
      <c r="AC2345" s="81"/>
      <c r="AD2345" s="81"/>
      <c r="AE2345" s="83"/>
      <c r="AF2345" s="81"/>
      <c r="AG2345" s="81"/>
      <c r="AH2345" s="81"/>
      <c r="AI2345" s="81"/>
      <c r="AJ2345" s="83"/>
      <c r="AK2345" s="81"/>
      <c r="AL2345" s="81"/>
      <c r="AM2345" s="83"/>
      <c r="AN2345" s="80"/>
      <c r="AO2345" s="82" t="n">
        <f aca="false">IF(E2345="","",(AA2345&lt;&gt;"")+(AG2345&lt;&gt;"")+(AL2345&lt;&gt;""))</f>
        <v>0</v>
      </c>
      <c r="AP2345" s="82" t="str">
        <f aca="false">IF(AL2345&lt;&gt;"",AL2345,IF(AG2345&lt;&gt;"",AG2345,IF(AA2345&lt;&gt;"",AA2345,"")))</f>
        <v/>
      </c>
      <c r="AQ2345" s="84" t="str">
        <f aca="false">IF(E2345="","",IF(U2345="","À SOUDER",IF(X2345="","VT EN ATTENTE",IF(X2345="R","VT REJETÉ – À REPRENDRE",IF(AP2345="","À RADIOGRAPHIER",IF(AP2345="A","ACCEPTÉ",IF(AP2345="NX","NX – RT À REFAIRE",IF(IF(AO2345=1,AD2345,IF(AO2345=2,AI2345,""))="A","RÉPARÉ – À RADIOGRAPHIER",IF(IF(AO2345=1,AD2345,IF(AO2345=2,AI2345,""))="R","VT REJETÉ – À REPRENDRE",IF(OR(AP2345="CO",AP2345="NT"),"COUPE – À RESOUDER","À RÉPARER"))))))))))</f>
        <v>À SOUDER</v>
      </c>
      <c r="AR2345" s="82" t="str">
        <f aca="false">IF(AND(ISNUMBER(U2345),OR(AQ2345="À RADIOGRAPHIER",AQ2345="RÉPARÉ – À RADIOGRAPHIER",AQ2345="NX – RT À REFAIRE",AQ2345="À RÉPARER",AQ2345="COUPE – À RESOUDER",AQ2345="VT REJETÉ – À REPRENDRE")),MAX(0,'PROGRAMME RT'!$C$4-U2345),"")</f>
        <v/>
      </c>
      <c r="AS2345" s="82" t="n">
        <f aca="false">IF(AND(OR(AQ2345="À RADIOGRAPHIER",AQ2345="RÉPARÉ – À RADIOGRAPHIER",AQ2345="NX – RT À REFAIRE"),OR('PROGRAMME RT'!$D$5="TOUTES",B2345='PROGRAMME RT'!$D$5)),1,0)</f>
        <v>0</v>
      </c>
      <c r="AT2345" s="82" t="str">
        <f aca="false">IF(AS2345=1,SUM(AS$7:AS2345),"")</f>
        <v/>
      </c>
      <c r="AU2345" s="82" t="n">
        <f aca="false">IF(AND(OR(AA2345="R",AA2345="NX",AA2345="NT",AA2345="CO"),OR('JOINTS DE RÉPARATION'!$D$5="TOUTES",B2345='JOINTS DE RÉPARATION'!$D$5),OR('JOINTS DE RÉPARATION'!$L$4="TOUS",AQ2345&lt;&gt;"ACCEPTÉ")),1,0)</f>
        <v>0</v>
      </c>
      <c r="AV2345" s="82" t="str">
        <f aca="false">IF(AU2345=1,SUM(AU$7:AU2345),"")</f>
        <v/>
      </c>
      <c r="AW2345" s="82" t="str">
        <f aca="false">IF(E2345="","",B2345&amp;"|"&amp;E2345)</f>
        <v>MFD-ISW → MFD-CPF|JN°1861</v>
      </c>
    </row>
    <row r="2346" customFormat="false" ht="74.6" hidden="false" customHeight="false" outlineLevel="0" collapsed="false">
      <c r="A2346" s="79" t="n">
        <f aca="false">IF(E2346="","",ROW()-6)</f>
        <v>2340</v>
      </c>
      <c r="B2346" s="80" t="s">
        <v>110</v>
      </c>
      <c r="C2346" s="81" t="s">
        <v>926</v>
      </c>
      <c r="D2346" s="81" t="n">
        <v>23</v>
      </c>
      <c r="E2346" s="81" t="s">
        <v>2843</v>
      </c>
      <c r="F2346" s="82" t="str">
        <f aca="false">IF(E2346="","",IF(LEFT(E2346,2)="DJ","DJ","JN"))</f>
        <v>JN</v>
      </c>
      <c r="G2346" s="81"/>
      <c r="H2346" s="81"/>
      <c r="I2346" s="81"/>
      <c r="J2346" s="81"/>
      <c r="K2346" s="81"/>
      <c r="L2346" s="81"/>
      <c r="M2346" s="81"/>
      <c r="N2346" s="81"/>
      <c r="O2346" s="81" t="n">
        <v>2088970</v>
      </c>
      <c r="P2346" s="81" t="n">
        <v>15421108</v>
      </c>
      <c r="Q2346" s="81" t="n">
        <v>11.94</v>
      </c>
      <c r="R2346" s="81"/>
      <c r="S2346" s="81"/>
      <c r="T2346" s="81"/>
      <c r="U2346" s="83"/>
      <c r="V2346" s="83"/>
      <c r="W2346" s="81"/>
      <c r="X2346" s="81"/>
      <c r="Y2346" s="83"/>
      <c r="Z2346" s="81"/>
      <c r="AA2346" s="81"/>
      <c r="AB2346" s="81"/>
      <c r="AC2346" s="81"/>
      <c r="AD2346" s="81"/>
      <c r="AE2346" s="83"/>
      <c r="AF2346" s="81"/>
      <c r="AG2346" s="81"/>
      <c r="AH2346" s="81"/>
      <c r="AI2346" s="81"/>
      <c r="AJ2346" s="83"/>
      <c r="AK2346" s="81"/>
      <c r="AL2346" s="81"/>
      <c r="AM2346" s="83"/>
      <c r="AN2346" s="80"/>
      <c r="AO2346" s="82" t="n">
        <f aca="false">IF(E2346="","",(AA2346&lt;&gt;"")+(AG2346&lt;&gt;"")+(AL2346&lt;&gt;""))</f>
        <v>0</v>
      </c>
      <c r="AP2346" s="82" t="str">
        <f aca="false">IF(AL2346&lt;&gt;"",AL2346,IF(AG2346&lt;&gt;"",AG2346,IF(AA2346&lt;&gt;"",AA2346,"")))</f>
        <v/>
      </c>
      <c r="AQ2346" s="84" t="str">
        <f aca="false">IF(E2346="","",IF(U2346="","À SOUDER",IF(X2346="","VT EN ATTENTE",IF(X2346="R","VT REJETÉ – À REPRENDRE",IF(AP2346="","À RADIOGRAPHIER",IF(AP2346="A","ACCEPTÉ",IF(AP2346="NX","NX – RT À REFAIRE",IF(IF(AO2346=1,AD2346,IF(AO2346=2,AI2346,""))="A","RÉPARÉ – À RADIOGRAPHIER",IF(IF(AO2346=1,AD2346,IF(AO2346=2,AI2346,""))="R","VT REJETÉ – À REPRENDRE",IF(OR(AP2346="CO",AP2346="NT"),"COUPE – À RESOUDER","À RÉPARER"))))))))))</f>
        <v>À SOUDER</v>
      </c>
      <c r="AR2346" s="82" t="str">
        <f aca="false">IF(AND(ISNUMBER(U2346),OR(AQ2346="À RADIOGRAPHIER",AQ2346="RÉPARÉ – À RADIOGRAPHIER",AQ2346="NX – RT À REFAIRE",AQ2346="À RÉPARER",AQ2346="COUPE – À RESOUDER",AQ2346="VT REJETÉ – À REPRENDRE")),MAX(0,'PROGRAMME RT'!$C$4-U2346),"")</f>
        <v/>
      </c>
      <c r="AS2346" s="82" t="n">
        <f aca="false">IF(AND(OR(AQ2346="À RADIOGRAPHIER",AQ2346="RÉPARÉ – À RADIOGRAPHIER",AQ2346="NX – RT À REFAIRE"),OR('PROGRAMME RT'!$D$5="TOUTES",B2346='PROGRAMME RT'!$D$5)),1,0)</f>
        <v>0</v>
      </c>
      <c r="AT2346" s="82" t="str">
        <f aca="false">IF(AS2346=1,SUM(AS$7:AS2346),"")</f>
        <v/>
      </c>
      <c r="AU2346" s="82" t="n">
        <f aca="false">IF(AND(OR(AA2346="R",AA2346="NX",AA2346="NT",AA2346="CO"),OR('JOINTS DE RÉPARATION'!$D$5="TOUTES",B2346='JOINTS DE RÉPARATION'!$D$5),OR('JOINTS DE RÉPARATION'!$L$4="TOUS",AQ2346&lt;&gt;"ACCEPTÉ")),1,0)</f>
        <v>0</v>
      </c>
      <c r="AV2346" s="82" t="str">
        <f aca="false">IF(AU2346=1,SUM(AU$7:AU2346),"")</f>
        <v/>
      </c>
      <c r="AW2346" s="82" t="str">
        <f aca="false">IF(E2346="","",B2346&amp;"|"&amp;E2346)</f>
        <v>MFD-ISW → MFD-CPF|JN°1862</v>
      </c>
    </row>
    <row r="2347" customFormat="false" ht="74.6" hidden="false" customHeight="false" outlineLevel="0" collapsed="false">
      <c r="A2347" s="79" t="n">
        <f aca="false">IF(E2347="","",ROW()-6)</f>
        <v>2341</v>
      </c>
      <c r="B2347" s="80" t="s">
        <v>110</v>
      </c>
      <c r="C2347" s="81" t="s">
        <v>2844</v>
      </c>
      <c r="D2347" s="81" t="n">
        <v>23</v>
      </c>
      <c r="E2347" s="81" t="s">
        <v>2845</v>
      </c>
      <c r="F2347" s="82" t="str">
        <f aca="false">IF(E2347="","",IF(LEFT(E2347,2)="DJ","DJ","JN"))</f>
        <v>JN</v>
      </c>
      <c r="G2347" s="81" t="s">
        <v>1504</v>
      </c>
      <c r="H2347" s="81" t="s">
        <v>871</v>
      </c>
      <c r="I2347" s="81" t="n">
        <v>9.53</v>
      </c>
      <c r="J2347" s="81" t="s">
        <v>872</v>
      </c>
      <c r="K2347" s="81" t="s">
        <v>879</v>
      </c>
      <c r="L2347" s="81" t="n">
        <v>2088970</v>
      </c>
      <c r="M2347" s="81" t="n">
        <v>15421108</v>
      </c>
      <c r="N2347" s="81" t="n">
        <v>11.94</v>
      </c>
      <c r="O2347" s="81" t="n">
        <v>2082900</v>
      </c>
      <c r="P2347" s="81" t="n">
        <v>15421105</v>
      </c>
      <c r="Q2347" s="81" t="n">
        <v>11.94</v>
      </c>
      <c r="R2347" s="81" t="s">
        <v>2807</v>
      </c>
      <c r="S2347" s="81"/>
      <c r="T2347" s="81"/>
      <c r="U2347" s="83" t="n">
        <v>46258</v>
      </c>
      <c r="V2347" s="83" t="n">
        <v>46258</v>
      </c>
      <c r="W2347" s="81" t="s">
        <v>2818</v>
      </c>
      <c r="X2347" s="81" t="s">
        <v>876</v>
      </c>
      <c r="Y2347" s="83" t="n">
        <v>46260</v>
      </c>
      <c r="Z2347" s="81" t="s">
        <v>2846</v>
      </c>
      <c r="AA2347" s="81" t="s">
        <v>876</v>
      </c>
      <c r="AB2347" s="81"/>
      <c r="AC2347" s="81"/>
      <c r="AD2347" s="81"/>
      <c r="AE2347" s="83"/>
      <c r="AF2347" s="81"/>
      <c r="AG2347" s="81"/>
      <c r="AH2347" s="81"/>
      <c r="AI2347" s="81"/>
      <c r="AJ2347" s="83"/>
      <c r="AK2347" s="81"/>
      <c r="AL2347" s="81"/>
      <c r="AM2347" s="83"/>
      <c r="AN2347" s="80"/>
      <c r="AO2347" s="82" t="n">
        <f aca="false">IF(E2347="","",(AA2347&lt;&gt;"")+(AG2347&lt;&gt;"")+(AL2347&lt;&gt;""))</f>
        <v>1</v>
      </c>
      <c r="AP2347" s="82" t="str">
        <f aca="false">IF(AL2347&lt;&gt;"",AL2347,IF(AG2347&lt;&gt;"",AG2347,IF(AA2347&lt;&gt;"",AA2347,"")))</f>
        <v>A</v>
      </c>
      <c r="AQ2347" s="84" t="str">
        <f aca="false">IF(E2347="","",IF(U2347="","À SOUDER",IF(X2347="","VT EN ATTENTE",IF(X2347="R","VT REJETÉ – À REPRENDRE",IF(AP2347="","À RADIOGRAPHIER",IF(AP2347="A","ACCEPTÉ",IF(AP2347="NX","NX – RT À REFAIRE",IF(IF(AO2347=1,AD2347,IF(AO2347=2,AI2347,""))="A","RÉPARÉ – À RADIOGRAPHIER",IF(IF(AO2347=1,AD2347,IF(AO2347=2,AI2347,""))="R","VT REJETÉ – À REPRENDRE",IF(OR(AP2347="CO",AP2347="NT"),"COUPE – À RESOUDER","À RÉPARER"))))))))))</f>
        <v>ACCEPTÉ</v>
      </c>
      <c r="AR2347" s="82" t="str">
        <f aca="false">IF(AND(ISNUMBER(U2347),OR(AQ2347="À RADIOGRAPHIER",AQ2347="RÉPARÉ – À RADIOGRAPHIER",AQ2347="NX – RT À REFAIRE",AQ2347="À RÉPARER",AQ2347="COUPE – À RESOUDER",AQ2347="VT REJETÉ – À REPRENDRE")),MAX(0,'PROGRAMME RT'!$C$4-U2347),"")</f>
        <v/>
      </c>
      <c r="AS2347" s="82" t="n">
        <f aca="false">IF(AND(OR(AQ2347="À RADIOGRAPHIER",AQ2347="RÉPARÉ – À RADIOGRAPHIER",AQ2347="NX – RT À REFAIRE"),OR('PROGRAMME RT'!$D$5="TOUTES",B2347='PROGRAMME RT'!$D$5)),1,0)</f>
        <v>0</v>
      </c>
      <c r="AT2347" s="82" t="str">
        <f aca="false">IF(AS2347=1,SUM(AS$7:AS2347),"")</f>
        <v/>
      </c>
      <c r="AU2347" s="82" t="n">
        <f aca="false">IF(AND(OR(AA2347="R",AA2347="NX",AA2347="NT",AA2347="CO"),OR('JOINTS DE RÉPARATION'!$D$5="TOUTES",B2347='JOINTS DE RÉPARATION'!$D$5),OR('JOINTS DE RÉPARATION'!$L$4="TOUS",AQ2347&lt;&gt;"ACCEPTÉ")),1,0)</f>
        <v>0</v>
      </c>
      <c r="AV2347" s="82" t="str">
        <f aca="false">IF(AU2347=1,SUM(AU$7:AU2347),"")</f>
        <v/>
      </c>
      <c r="AW2347" s="82" t="str">
        <f aca="false">IF(E2347="","",B2347&amp;"|"&amp;E2347)</f>
        <v>MFD-ISW → MFD-CPF|JN°1863</v>
      </c>
    </row>
    <row r="2348" customFormat="false" ht="74.6" hidden="false" customHeight="false" outlineLevel="0" collapsed="false">
      <c r="A2348" s="79" t="n">
        <f aca="false">IF(E2348="","",ROW()-6)</f>
        <v>2342</v>
      </c>
      <c r="B2348" s="80" t="s">
        <v>110</v>
      </c>
      <c r="C2348" s="81" t="s">
        <v>2844</v>
      </c>
      <c r="D2348" s="81" t="n">
        <v>23</v>
      </c>
      <c r="E2348" s="81" t="s">
        <v>2847</v>
      </c>
      <c r="F2348" s="82" t="str">
        <f aca="false">IF(E2348="","",IF(LEFT(E2348,2)="DJ","DJ","JN"))</f>
        <v>JN</v>
      </c>
      <c r="G2348" s="81" t="s">
        <v>1504</v>
      </c>
      <c r="H2348" s="81" t="s">
        <v>871</v>
      </c>
      <c r="I2348" s="81" t="n">
        <v>9.53</v>
      </c>
      <c r="J2348" s="81" t="s">
        <v>872</v>
      </c>
      <c r="K2348" s="81" t="s">
        <v>879</v>
      </c>
      <c r="L2348" s="81" t="n">
        <v>2082900</v>
      </c>
      <c r="M2348" s="81" t="n">
        <v>15421105</v>
      </c>
      <c r="N2348" s="81" t="n">
        <v>11.94</v>
      </c>
      <c r="O2348" s="81" t="n">
        <v>2096750</v>
      </c>
      <c r="P2348" s="81" t="n">
        <v>15421111</v>
      </c>
      <c r="Q2348" s="81" t="n">
        <v>11.94</v>
      </c>
      <c r="R2348" s="81" t="s">
        <v>2807</v>
      </c>
      <c r="S2348" s="81"/>
      <c r="T2348" s="81"/>
      <c r="U2348" s="83" t="n">
        <v>46258</v>
      </c>
      <c r="V2348" s="83" t="n">
        <v>46258</v>
      </c>
      <c r="W2348" s="81" t="s">
        <v>2818</v>
      </c>
      <c r="X2348" s="81" t="s">
        <v>876</v>
      </c>
      <c r="Y2348" s="83" t="n">
        <v>46260</v>
      </c>
      <c r="Z2348" s="81" t="s">
        <v>2846</v>
      </c>
      <c r="AA2348" s="81" t="s">
        <v>876</v>
      </c>
      <c r="AB2348" s="81"/>
      <c r="AC2348" s="81"/>
      <c r="AD2348" s="81"/>
      <c r="AE2348" s="83"/>
      <c r="AF2348" s="81"/>
      <c r="AG2348" s="81"/>
      <c r="AH2348" s="81"/>
      <c r="AI2348" s="81"/>
      <c r="AJ2348" s="83"/>
      <c r="AK2348" s="81"/>
      <c r="AL2348" s="81"/>
      <c r="AM2348" s="83"/>
      <c r="AN2348" s="80"/>
      <c r="AO2348" s="82" t="n">
        <f aca="false">IF(E2348="","",(AA2348&lt;&gt;"")+(AG2348&lt;&gt;"")+(AL2348&lt;&gt;""))</f>
        <v>1</v>
      </c>
      <c r="AP2348" s="82" t="str">
        <f aca="false">IF(AL2348&lt;&gt;"",AL2348,IF(AG2348&lt;&gt;"",AG2348,IF(AA2348&lt;&gt;"",AA2348,"")))</f>
        <v>A</v>
      </c>
      <c r="AQ2348" s="84" t="str">
        <f aca="false">IF(E2348="","",IF(U2348="","À SOUDER",IF(X2348="","VT EN ATTENTE",IF(X2348="R","VT REJETÉ – À REPRENDRE",IF(AP2348="","À RADIOGRAPHIER",IF(AP2348="A","ACCEPTÉ",IF(AP2348="NX","NX – RT À REFAIRE",IF(IF(AO2348=1,AD2348,IF(AO2348=2,AI2348,""))="A","RÉPARÉ – À RADIOGRAPHIER",IF(IF(AO2348=1,AD2348,IF(AO2348=2,AI2348,""))="R","VT REJETÉ – À REPRENDRE",IF(OR(AP2348="CO",AP2348="NT"),"COUPE – À RESOUDER","À RÉPARER"))))))))))</f>
        <v>ACCEPTÉ</v>
      </c>
      <c r="AR2348" s="82" t="str">
        <f aca="false">IF(AND(ISNUMBER(U2348),OR(AQ2348="À RADIOGRAPHIER",AQ2348="RÉPARÉ – À RADIOGRAPHIER",AQ2348="NX – RT À REFAIRE",AQ2348="À RÉPARER",AQ2348="COUPE – À RESOUDER",AQ2348="VT REJETÉ – À REPRENDRE")),MAX(0,'PROGRAMME RT'!$C$4-U2348),"")</f>
        <v/>
      </c>
      <c r="AS2348" s="82" t="n">
        <f aca="false">IF(AND(OR(AQ2348="À RADIOGRAPHIER",AQ2348="RÉPARÉ – À RADIOGRAPHIER",AQ2348="NX – RT À REFAIRE"),OR('PROGRAMME RT'!$D$5="TOUTES",B2348='PROGRAMME RT'!$D$5)),1,0)</f>
        <v>0</v>
      </c>
      <c r="AT2348" s="82" t="str">
        <f aca="false">IF(AS2348=1,SUM(AS$7:AS2348),"")</f>
        <v/>
      </c>
      <c r="AU2348" s="82" t="n">
        <f aca="false">IF(AND(OR(AA2348="R",AA2348="NX",AA2348="NT",AA2348="CO"),OR('JOINTS DE RÉPARATION'!$D$5="TOUTES",B2348='JOINTS DE RÉPARATION'!$D$5),OR('JOINTS DE RÉPARATION'!$L$4="TOUS",AQ2348&lt;&gt;"ACCEPTÉ")),1,0)</f>
        <v>0</v>
      </c>
      <c r="AV2348" s="82" t="str">
        <f aca="false">IF(AU2348=1,SUM(AU$7:AU2348),"")</f>
        <v/>
      </c>
      <c r="AW2348" s="82" t="str">
        <f aca="false">IF(E2348="","",B2348&amp;"|"&amp;E2348)</f>
        <v>MFD-ISW → MFD-CPF|JN°1864</v>
      </c>
    </row>
    <row r="2349" customFormat="false" ht="74.6" hidden="false" customHeight="false" outlineLevel="0" collapsed="false">
      <c r="A2349" s="79" t="n">
        <f aca="false">IF(E2349="","",ROW()-6)</f>
        <v>2343</v>
      </c>
      <c r="B2349" s="80" t="s">
        <v>110</v>
      </c>
      <c r="C2349" s="81" t="s">
        <v>2844</v>
      </c>
      <c r="D2349" s="81" t="n">
        <v>23</v>
      </c>
      <c r="E2349" s="81" t="s">
        <v>2848</v>
      </c>
      <c r="F2349" s="82" t="str">
        <f aca="false">IF(E2349="","",IF(LEFT(E2349,2)="DJ","DJ","JN"))</f>
        <v>JN</v>
      </c>
      <c r="G2349" s="81" t="s">
        <v>1504</v>
      </c>
      <c r="H2349" s="81" t="s">
        <v>871</v>
      </c>
      <c r="I2349" s="81" t="n">
        <v>9.53</v>
      </c>
      <c r="J2349" s="81" t="s">
        <v>872</v>
      </c>
      <c r="K2349" s="81" t="s">
        <v>879</v>
      </c>
      <c r="L2349" s="81" t="n">
        <v>2096750</v>
      </c>
      <c r="M2349" s="81" t="n">
        <v>15421111</v>
      </c>
      <c r="N2349" s="81" t="n">
        <v>11.94</v>
      </c>
      <c r="O2349" s="81" t="n">
        <v>2094280</v>
      </c>
      <c r="P2349" s="81" t="n">
        <v>15421111</v>
      </c>
      <c r="Q2349" s="81" t="n">
        <v>11.94</v>
      </c>
      <c r="R2349" s="81" t="s">
        <v>2807</v>
      </c>
      <c r="S2349" s="81"/>
      <c r="T2349" s="81"/>
      <c r="U2349" s="83" t="n">
        <v>46258</v>
      </c>
      <c r="V2349" s="83" t="n">
        <v>46258</v>
      </c>
      <c r="W2349" s="81" t="s">
        <v>2818</v>
      </c>
      <c r="X2349" s="81" t="s">
        <v>876</v>
      </c>
      <c r="Y2349" s="83" t="n">
        <v>46260</v>
      </c>
      <c r="Z2349" s="81" t="s">
        <v>2846</v>
      </c>
      <c r="AA2349" s="81" t="s">
        <v>876</v>
      </c>
      <c r="AB2349" s="81"/>
      <c r="AC2349" s="81"/>
      <c r="AD2349" s="81"/>
      <c r="AE2349" s="83"/>
      <c r="AF2349" s="81"/>
      <c r="AG2349" s="81"/>
      <c r="AH2349" s="81"/>
      <c r="AI2349" s="81"/>
      <c r="AJ2349" s="83"/>
      <c r="AK2349" s="81"/>
      <c r="AL2349" s="81"/>
      <c r="AM2349" s="83"/>
      <c r="AN2349" s="80"/>
      <c r="AO2349" s="82" t="n">
        <f aca="false">IF(E2349="","",(AA2349&lt;&gt;"")+(AG2349&lt;&gt;"")+(AL2349&lt;&gt;""))</f>
        <v>1</v>
      </c>
      <c r="AP2349" s="82" t="str">
        <f aca="false">IF(AL2349&lt;&gt;"",AL2349,IF(AG2349&lt;&gt;"",AG2349,IF(AA2349&lt;&gt;"",AA2349,"")))</f>
        <v>A</v>
      </c>
      <c r="AQ2349" s="84" t="str">
        <f aca="false">IF(E2349="","",IF(U2349="","À SOUDER",IF(X2349="","VT EN ATTENTE",IF(X2349="R","VT REJETÉ – À REPRENDRE",IF(AP2349="","À RADIOGRAPHIER",IF(AP2349="A","ACCEPTÉ",IF(AP2349="NX","NX – RT À REFAIRE",IF(IF(AO2349=1,AD2349,IF(AO2349=2,AI2349,""))="A","RÉPARÉ – À RADIOGRAPHIER",IF(IF(AO2349=1,AD2349,IF(AO2349=2,AI2349,""))="R","VT REJETÉ – À REPRENDRE",IF(OR(AP2349="CO",AP2349="NT"),"COUPE – À RESOUDER","À RÉPARER"))))))))))</f>
        <v>ACCEPTÉ</v>
      </c>
      <c r="AR2349" s="82" t="str">
        <f aca="false">IF(AND(ISNUMBER(U2349),OR(AQ2349="À RADIOGRAPHIER",AQ2349="RÉPARÉ – À RADIOGRAPHIER",AQ2349="NX – RT À REFAIRE",AQ2349="À RÉPARER",AQ2349="COUPE – À RESOUDER",AQ2349="VT REJETÉ – À REPRENDRE")),MAX(0,'PROGRAMME RT'!$C$4-U2349),"")</f>
        <v/>
      </c>
      <c r="AS2349" s="82" t="n">
        <f aca="false">IF(AND(OR(AQ2349="À RADIOGRAPHIER",AQ2349="RÉPARÉ – À RADIOGRAPHIER",AQ2349="NX – RT À REFAIRE"),OR('PROGRAMME RT'!$D$5="TOUTES",B2349='PROGRAMME RT'!$D$5)),1,0)</f>
        <v>0</v>
      </c>
      <c r="AT2349" s="82" t="str">
        <f aca="false">IF(AS2349=1,SUM(AS$7:AS2349),"")</f>
        <v/>
      </c>
      <c r="AU2349" s="82" t="n">
        <f aca="false">IF(AND(OR(AA2349="R",AA2349="NX",AA2349="NT",AA2349="CO"),OR('JOINTS DE RÉPARATION'!$D$5="TOUTES",B2349='JOINTS DE RÉPARATION'!$D$5),OR('JOINTS DE RÉPARATION'!$L$4="TOUS",AQ2349&lt;&gt;"ACCEPTÉ")),1,0)</f>
        <v>0</v>
      </c>
      <c r="AV2349" s="82" t="str">
        <f aca="false">IF(AU2349=1,SUM(AU$7:AU2349),"")</f>
        <v/>
      </c>
      <c r="AW2349" s="82" t="str">
        <f aca="false">IF(E2349="","",B2349&amp;"|"&amp;E2349)</f>
        <v>MFD-ISW → MFD-CPF|JN°1865</v>
      </c>
    </row>
    <row r="2350" customFormat="false" ht="74.6" hidden="false" customHeight="false" outlineLevel="0" collapsed="false">
      <c r="A2350" s="79" t="n">
        <f aca="false">IF(E2350="","",ROW()-6)</f>
        <v>2344</v>
      </c>
      <c r="B2350" s="80" t="s">
        <v>110</v>
      </c>
      <c r="C2350" s="81" t="s">
        <v>2844</v>
      </c>
      <c r="D2350" s="81" t="n">
        <v>23</v>
      </c>
      <c r="E2350" s="81" t="s">
        <v>2849</v>
      </c>
      <c r="F2350" s="82" t="str">
        <f aca="false">IF(E2350="","",IF(LEFT(E2350,2)="DJ","DJ","JN"))</f>
        <v>JN</v>
      </c>
      <c r="G2350" s="81" t="s">
        <v>1504</v>
      </c>
      <c r="H2350" s="81" t="s">
        <v>871</v>
      </c>
      <c r="I2350" s="81" t="n">
        <v>9.53</v>
      </c>
      <c r="J2350" s="81" t="s">
        <v>872</v>
      </c>
      <c r="K2350" s="81" t="s">
        <v>879</v>
      </c>
      <c r="L2350" s="81" t="n">
        <v>2094280</v>
      </c>
      <c r="M2350" s="81" t="n">
        <v>15421111</v>
      </c>
      <c r="N2350" s="81" t="n">
        <v>11.94</v>
      </c>
      <c r="O2350" s="81" t="n">
        <v>2093000</v>
      </c>
      <c r="P2350" s="81" t="n">
        <v>15421110</v>
      </c>
      <c r="Q2350" s="81" t="n">
        <v>11.94</v>
      </c>
      <c r="R2350" s="81" t="s">
        <v>2807</v>
      </c>
      <c r="S2350" s="81"/>
      <c r="T2350" s="81"/>
      <c r="U2350" s="83" t="n">
        <v>46258</v>
      </c>
      <c r="V2350" s="83" t="n">
        <v>46258</v>
      </c>
      <c r="W2350" s="81" t="s">
        <v>2818</v>
      </c>
      <c r="X2350" s="81" t="s">
        <v>876</v>
      </c>
      <c r="Y2350" s="83" t="n">
        <v>46260</v>
      </c>
      <c r="Z2350" s="81" t="s">
        <v>2846</v>
      </c>
      <c r="AA2350" s="81" t="s">
        <v>876</v>
      </c>
      <c r="AB2350" s="81"/>
      <c r="AC2350" s="81"/>
      <c r="AD2350" s="81"/>
      <c r="AE2350" s="83"/>
      <c r="AF2350" s="81"/>
      <c r="AG2350" s="81"/>
      <c r="AH2350" s="81"/>
      <c r="AI2350" s="81"/>
      <c r="AJ2350" s="83"/>
      <c r="AK2350" s="81"/>
      <c r="AL2350" s="81"/>
      <c r="AM2350" s="83"/>
      <c r="AN2350" s="80"/>
      <c r="AO2350" s="82" t="n">
        <f aca="false">IF(E2350="","",(AA2350&lt;&gt;"")+(AG2350&lt;&gt;"")+(AL2350&lt;&gt;""))</f>
        <v>1</v>
      </c>
      <c r="AP2350" s="82" t="str">
        <f aca="false">IF(AL2350&lt;&gt;"",AL2350,IF(AG2350&lt;&gt;"",AG2350,IF(AA2350&lt;&gt;"",AA2350,"")))</f>
        <v>A</v>
      </c>
      <c r="AQ2350" s="84" t="str">
        <f aca="false">IF(E2350="","",IF(U2350="","À SOUDER",IF(X2350="","VT EN ATTENTE",IF(X2350="R","VT REJETÉ – À REPRENDRE",IF(AP2350="","À RADIOGRAPHIER",IF(AP2350="A","ACCEPTÉ",IF(AP2350="NX","NX – RT À REFAIRE",IF(IF(AO2350=1,AD2350,IF(AO2350=2,AI2350,""))="A","RÉPARÉ – À RADIOGRAPHIER",IF(IF(AO2350=1,AD2350,IF(AO2350=2,AI2350,""))="R","VT REJETÉ – À REPRENDRE",IF(OR(AP2350="CO",AP2350="NT"),"COUPE – À RESOUDER","À RÉPARER"))))))))))</f>
        <v>ACCEPTÉ</v>
      </c>
      <c r="AR2350" s="82" t="str">
        <f aca="false">IF(AND(ISNUMBER(U2350),OR(AQ2350="À RADIOGRAPHIER",AQ2350="RÉPARÉ – À RADIOGRAPHIER",AQ2350="NX – RT À REFAIRE",AQ2350="À RÉPARER",AQ2350="COUPE – À RESOUDER",AQ2350="VT REJETÉ – À REPRENDRE")),MAX(0,'PROGRAMME RT'!$C$4-U2350),"")</f>
        <v/>
      </c>
      <c r="AS2350" s="82" t="n">
        <f aca="false">IF(AND(OR(AQ2350="À RADIOGRAPHIER",AQ2350="RÉPARÉ – À RADIOGRAPHIER",AQ2350="NX – RT À REFAIRE"),OR('PROGRAMME RT'!$D$5="TOUTES",B2350='PROGRAMME RT'!$D$5)),1,0)</f>
        <v>0</v>
      </c>
      <c r="AT2350" s="82" t="str">
        <f aca="false">IF(AS2350=1,SUM(AS$7:AS2350),"")</f>
        <v/>
      </c>
      <c r="AU2350" s="82" t="n">
        <f aca="false">IF(AND(OR(AA2350="R",AA2350="NX",AA2350="NT",AA2350="CO"),OR('JOINTS DE RÉPARATION'!$D$5="TOUTES",B2350='JOINTS DE RÉPARATION'!$D$5),OR('JOINTS DE RÉPARATION'!$L$4="TOUS",AQ2350&lt;&gt;"ACCEPTÉ")),1,0)</f>
        <v>0</v>
      </c>
      <c r="AV2350" s="82" t="str">
        <f aca="false">IF(AU2350=1,SUM(AU$7:AU2350),"")</f>
        <v/>
      </c>
      <c r="AW2350" s="82" t="str">
        <f aca="false">IF(E2350="","",B2350&amp;"|"&amp;E2350)</f>
        <v>MFD-ISW → MFD-CPF|JN°1866</v>
      </c>
    </row>
    <row r="2351" customFormat="false" ht="74.6" hidden="false" customHeight="false" outlineLevel="0" collapsed="false">
      <c r="A2351" s="79" t="n">
        <f aca="false">IF(E2351="","",ROW()-6)</f>
        <v>2345</v>
      </c>
      <c r="B2351" s="80" t="s">
        <v>110</v>
      </c>
      <c r="C2351" s="81" t="s">
        <v>2844</v>
      </c>
      <c r="D2351" s="81" t="n">
        <v>23</v>
      </c>
      <c r="E2351" s="81" t="s">
        <v>2850</v>
      </c>
      <c r="F2351" s="82" t="str">
        <f aca="false">IF(E2351="","",IF(LEFT(E2351,2)="DJ","DJ","JN"))</f>
        <v>JN</v>
      </c>
      <c r="G2351" s="81" t="s">
        <v>1504</v>
      </c>
      <c r="H2351" s="81" t="s">
        <v>871</v>
      </c>
      <c r="I2351" s="81" t="n">
        <v>9.53</v>
      </c>
      <c r="J2351" s="81" t="s">
        <v>872</v>
      </c>
      <c r="K2351" s="81" t="s">
        <v>879</v>
      </c>
      <c r="L2351" s="81" t="n">
        <v>2093000</v>
      </c>
      <c r="M2351" s="81" t="n">
        <v>15421110</v>
      </c>
      <c r="N2351" s="81" t="n">
        <v>11.94</v>
      </c>
      <c r="O2351" s="81" t="n">
        <v>2083300</v>
      </c>
      <c r="P2351" s="81" t="n">
        <v>15421105</v>
      </c>
      <c r="Q2351" s="81" t="n">
        <v>11.94</v>
      </c>
      <c r="R2351" s="81" t="s">
        <v>2807</v>
      </c>
      <c r="S2351" s="81"/>
      <c r="T2351" s="81"/>
      <c r="U2351" s="83" t="n">
        <v>46258</v>
      </c>
      <c r="V2351" s="83" t="n">
        <v>46258</v>
      </c>
      <c r="W2351" s="81" t="s">
        <v>2818</v>
      </c>
      <c r="X2351" s="81" t="s">
        <v>876</v>
      </c>
      <c r="Y2351" s="83" t="n">
        <v>46260</v>
      </c>
      <c r="Z2351" s="81" t="s">
        <v>2846</v>
      </c>
      <c r="AA2351" s="81" t="s">
        <v>876</v>
      </c>
      <c r="AB2351" s="81"/>
      <c r="AC2351" s="81"/>
      <c r="AD2351" s="81"/>
      <c r="AE2351" s="83"/>
      <c r="AF2351" s="81"/>
      <c r="AG2351" s="81"/>
      <c r="AH2351" s="81"/>
      <c r="AI2351" s="81"/>
      <c r="AJ2351" s="83"/>
      <c r="AK2351" s="81"/>
      <c r="AL2351" s="81"/>
      <c r="AM2351" s="83"/>
      <c r="AN2351" s="80"/>
      <c r="AO2351" s="82" t="n">
        <f aca="false">IF(E2351="","",(AA2351&lt;&gt;"")+(AG2351&lt;&gt;"")+(AL2351&lt;&gt;""))</f>
        <v>1</v>
      </c>
      <c r="AP2351" s="82" t="str">
        <f aca="false">IF(AL2351&lt;&gt;"",AL2351,IF(AG2351&lt;&gt;"",AG2351,IF(AA2351&lt;&gt;"",AA2351,"")))</f>
        <v>A</v>
      </c>
      <c r="AQ2351" s="84" t="str">
        <f aca="false">IF(E2351="","",IF(U2351="","À SOUDER",IF(X2351="","VT EN ATTENTE",IF(X2351="R","VT REJETÉ – À REPRENDRE",IF(AP2351="","À RADIOGRAPHIER",IF(AP2351="A","ACCEPTÉ",IF(AP2351="NX","NX – RT À REFAIRE",IF(IF(AO2351=1,AD2351,IF(AO2351=2,AI2351,""))="A","RÉPARÉ – À RADIOGRAPHIER",IF(IF(AO2351=1,AD2351,IF(AO2351=2,AI2351,""))="R","VT REJETÉ – À REPRENDRE",IF(OR(AP2351="CO",AP2351="NT"),"COUPE – À RESOUDER","À RÉPARER"))))))))))</f>
        <v>ACCEPTÉ</v>
      </c>
      <c r="AR2351" s="82" t="str">
        <f aca="false">IF(AND(ISNUMBER(U2351),OR(AQ2351="À RADIOGRAPHIER",AQ2351="RÉPARÉ – À RADIOGRAPHIER",AQ2351="NX – RT À REFAIRE",AQ2351="À RÉPARER",AQ2351="COUPE – À RESOUDER",AQ2351="VT REJETÉ – À REPRENDRE")),MAX(0,'PROGRAMME RT'!$C$4-U2351),"")</f>
        <v/>
      </c>
      <c r="AS2351" s="82" t="n">
        <f aca="false">IF(AND(OR(AQ2351="À RADIOGRAPHIER",AQ2351="RÉPARÉ – À RADIOGRAPHIER",AQ2351="NX – RT À REFAIRE"),OR('PROGRAMME RT'!$D$5="TOUTES",B2351='PROGRAMME RT'!$D$5)),1,0)</f>
        <v>0</v>
      </c>
      <c r="AT2351" s="82" t="str">
        <f aca="false">IF(AS2351=1,SUM(AS$7:AS2351),"")</f>
        <v/>
      </c>
      <c r="AU2351" s="82" t="n">
        <f aca="false">IF(AND(OR(AA2351="R",AA2351="NX",AA2351="NT",AA2351="CO"),OR('JOINTS DE RÉPARATION'!$D$5="TOUTES",B2351='JOINTS DE RÉPARATION'!$D$5),OR('JOINTS DE RÉPARATION'!$L$4="TOUS",AQ2351&lt;&gt;"ACCEPTÉ")),1,0)</f>
        <v>0</v>
      </c>
      <c r="AV2351" s="82" t="str">
        <f aca="false">IF(AU2351=1,SUM(AU$7:AU2351),"")</f>
        <v/>
      </c>
      <c r="AW2351" s="82" t="str">
        <f aca="false">IF(E2351="","",B2351&amp;"|"&amp;E2351)</f>
        <v>MFD-ISW → MFD-CPF|JN°1867</v>
      </c>
    </row>
    <row r="2352" customFormat="false" ht="74.6" hidden="false" customHeight="false" outlineLevel="0" collapsed="false">
      <c r="A2352" s="79" t="n">
        <f aca="false">IF(E2352="","",ROW()-6)</f>
        <v>2346</v>
      </c>
      <c r="B2352" s="80" t="s">
        <v>110</v>
      </c>
      <c r="C2352" s="81" t="s">
        <v>2844</v>
      </c>
      <c r="D2352" s="81" t="n">
        <v>23</v>
      </c>
      <c r="E2352" s="81" t="s">
        <v>2851</v>
      </c>
      <c r="F2352" s="82" t="str">
        <f aca="false">IF(E2352="","",IF(LEFT(E2352,2)="DJ","DJ","JN"))</f>
        <v>JN</v>
      </c>
      <c r="G2352" s="81" t="s">
        <v>1504</v>
      </c>
      <c r="H2352" s="81" t="s">
        <v>871</v>
      </c>
      <c r="I2352" s="81" t="n">
        <v>9.53</v>
      </c>
      <c r="J2352" s="81" t="s">
        <v>872</v>
      </c>
      <c r="K2352" s="81" t="s">
        <v>879</v>
      </c>
      <c r="L2352" s="81" t="n">
        <v>2083300</v>
      </c>
      <c r="M2352" s="81" t="n">
        <v>15421105</v>
      </c>
      <c r="N2352" s="81" t="n">
        <v>11.94</v>
      </c>
      <c r="O2352" s="81" t="n">
        <v>2081180</v>
      </c>
      <c r="P2352" s="81" t="n">
        <v>15421103</v>
      </c>
      <c r="Q2352" s="81" t="n">
        <v>11.94</v>
      </c>
      <c r="R2352" s="81" t="s">
        <v>2807</v>
      </c>
      <c r="S2352" s="81"/>
      <c r="T2352" s="81"/>
      <c r="U2352" s="83" t="n">
        <v>46258</v>
      </c>
      <c r="V2352" s="83" t="n">
        <v>46258</v>
      </c>
      <c r="W2352" s="81" t="s">
        <v>2818</v>
      </c>
      <c r="X2352" s="81" t="s">
        <v>876</v>
      </c>
      <c r="Y2352" s="83" t="n">
        <v>46261</v>
      </c>
      <c r="Z2352" s="81" t="s">
        <v>2815</v>
      </c>
      <c r="AA2352" s="81" t="s">
        <v>876</v>
      </c>
      <c r="AB2352" s="81"/>
      <c r="AC2352" s="81"/>
      <c r="AD2352" s="81"/>
      <c r="AE2352" s="83"/>
      <c r="AF2352" s="81"/>
      <c r="AG2352" s="81"/>
      <c r="AH2352" s="81"/>
      <c r="AI2352" s="81"/>
      <c r="AJ2352" s="83"/>
      <c r="AK2352" s="81"/>
      <c r="AL2352" s="81"/>
      <c r="AM2352" s="83"/>
      <c r="AN2352" s="80"/>
      <c r="AO2352" s="82" t="n">
        <f aca="false">IF(E2352="","",(AA2352&lt;&gt;"")+(AG2352&lt;&gt;"")+(AL2352&lt;&gt;""))</f>
        <v>1</v>
      </c>
      <c r="AP2352" s="82" t="str">
        <f aca="false">IF(AL2352&lt;&gt;"",AL2352,IF(AG2352&lt;&gt;"",AG2352,IF(AA2352&lt;&gt;"",AA2352,"")))</f>
        <v>A</v>
      </c>
      <c r="AQ2352" s="84" t="str">
        <f aca="false">IF(E2352="","",IF(U2352="","À SOUDER",IF(X2352="","VT EN ATTENTE",IF(X2352="R","VT REJETÉ – À REPRENDRE",IF(AP2352="","À RADIOGRAPHIER",IF(AP2352="A","ACCEPTÉ",IF(AP2352="NX","NX – RT À REFAIRE",IF(IF(AO2352=1,AD2352,IF(AO2352=2,AI2352,""))="A","RÉPARÉ – À RADIOGRAPHIER",IF(IF(AO2352=1,AD2352,IF(AO2352=2,AI2352,""))="R","VT REJETÉ – À REPRENDRE",IF(OR(AP2352="CO",AP2352="NT"),"COUPE – À RESOUDER","À RÉPARER"))))))))))</f>
        <v>ACCEPTÉ</v>
      </c>
      <c r="AR2352" s="82" t="str">
        <f aca="false">IF(AND(ISNUMBER(U2352),OR(AQ2352="À RADIOGRAPHIER",AQ2352="RÉPARÉ – À RADIOGRAPHIER",AQ2352="NX – RT À REFAIRE",AQ2352="À RÉPARER",AQ2352="COUPE – À RESOUDER",AQ2352="VT REJETÉ – À REPRENDRE")),MAX(0,'PROGRAMME RT'!$C$4-U2352),"")</f>
        <v/>
      </c>
      <c r="AS2352" s="82" t="n">
        <f aca="false">IF(AND(OR(AQ2352="À RADIOGRAPHIER",AQ2352="RÉPARÉ – À RADIOGRAPHIER",AQ2352="NX – RT À REFAIRE"),OR('PROGRAMME RT'!$D$5="TOUTES",B2352='PROGRAMME RT'!$D$5)),1,0)</f>
        <v>0</v>
      </c>
      <c r="AT2352" s="82" t="str">
        <f aca="false">IF(AS2352=1,SUM(AS$7:AS2352),"")</f>
        <v/>
      </c>
      <c r="AU2352" s="82" t="n">
        <f aca="false">IF(AND(OR(AA2352="R",AA2352="NX",AA2352="NT",AA2352="CO"),OR('JOINTS DE RÉPARATION'!$D$5="TOUTES",B2352='JOINTS DE RÉPARATION'!$D$5),OR('JOINTS DE RÉPARATION'!$L$4="TOUS",AQ2352&lt;&gt;"ACCEPTÉ")),1,0)</f>
        <v>0</v>
      </c>
      <c r="AV2352" s="82" t="str">
        <f aca="false">IF(AU2352=1,SUM(AU$7:AU2352),"")</f>
        <v/>
      </c>
      <c r="AW2352" s="82" t="str">
        <f aca="false">IF(E2352="","",B2352&amp;"|"&amp;E2352)</f>
        <v>MFD-ISW → MFD-CPF|JN°1868</v>
      </c>
    </row>
    <row r="2353" customFormat="false" ht="74.6" hidden="false" customHeight="false" outlineLevel="0" collapsed="false">
      <c r="A2353" s="79" t="n">
        <f aca="false">IF(E2353="","",ROW()-6)</f>
        <v>2347</v>
      </c>
      <c r="B2353" s="80" t="s">
        <v>110</v>
      </c>
      <c r="C2353" s="81" t="s">
        <v>2844</v>
      </c>
      <c r="D2353" s="81" t="n">
        <v>23</v>
      </c>
      <c r="E2353" s="81" t="s">
        <v>2852</v>
      </c>
      <c r="F2353" s="82" t="str">
        <f aca="false">IF(E2353="","",IF(LEFT(E2353,2)="DJ","DJ","JN"))</f>
        <v>JN</v>
      </c>
      <c r="G2353" s="81" t="s">
        <v>1504</v>
      </c>
      <c r="H2353" s="81" t="s">
        <v>871</v>
      </c>
      <c r="I2353" s="81" t="n">
        <v>9.53</v>
      </c>
      <c r="J2353" s="81" t="s">
        <v>872</v>
      </c>
      <c r="K2353" s="81" t="s">
        <v>879</v>
      </c>
      <c r="L2353" s="81" t="n">
        <v>2081180</v>
      </c>
      <c r="M2353" s="81" t="n">
        <v>15421103</v>
      </c>
      <c r="N2353" s="81" t="n">
        <v>11.94</v>
      </c>
      <c r="O2353" s="81" t="n">
        <v>2095550</v>
      </c>
      <c r="P2353" s="81" t="n">
        <v>15421111</v>
      </c>
      <c r="Q2353" s="81" t="n">
        <v>11.94</v>
      </c>
      <c r="R2353" s="81" t="s">
        <v>2807</v>
      </c>
      <c r="S2353" s="81"/>
      <c r="T2353" s="81"/>
      <c r="U2353" s="83" t="n">
        <v>46258</v>
      </c>
      <c r="V2353" s="83" t="n">
        <v>46258</v>
      </c>
      <c r="W2353" s="81" t="s">
        <v>2818</v>
      </c>
      <c r="X2353" s="81" t="s">
        <v>876</v>
      </c>
      <c r="Y2353" s="83" t="n">
        <v>46260</v>
      </c>
      <c r="Z2353" s="81" t="s">
        <v>2846</v>
      </c>
      <c r="AA2353" s="81" t="s">
        <v>876</v>
      </c>
      <c r="AB2353" s="81"/>
      <c r="AC2353" s="81"/>
      <c r="AD2353" s="81"/>
      <c r="AE2353" s="83"/>
      <c r="AF2353" s="81"/>
      <c r="AG2353" s="81"/>
      <c r="AH2353" s="81"/>
      <c r="AI2353" s="81"/>
      <c r="AJ2353" s="83"/>
      <c r="AK2353" s="81"/>
      <c r="AL2353" s="81"/>
      <c r="AM2353" s="83"/>
      <c r="AN2353" s="80"/>
      <c r="AO2353" s="82" t="n">
        <f aca="false">IF(E2353="","",(AA2353&lt;&gt;"")+(AG2353&lt;&gt;"")+(AL2353&lt;&gt;""))</f>
        <v>1</v>
      </c>
      <c r="AP2353" s="82" t="str">
        <f aca="false">IF(AL2353&lt;&gt;"",AL2353,IF(AG2353&lt;&gt;"",AG2353,IF(AA2353&lt;&gt;"",AA2353,"")))</f>
        <v>A</v>
      </c>
      <c r="AQ2353" s="84" t="str">
        <f aca="false">IF(E2353="","",IF(U2353="","À SOUDER",IF(X2353="","VT EN ATTENTE",IF(X2353="R","VT REJETÉ – À REPRENDRE",IF(AP2353="","À RADIOGRAPHIER",IF(AP2353="A","ACCEPTÉ",IF(AP2353="NX","NX – RT À REFAIRE",IF(IF(AO2353=1,AD2353,IF(AO2353=2,AI2353,""))="A","RÉPARÉ – À RADIOGRAPHIER",IF(IF(AO2353=1,AD2353,IF(AO2353=2,AI2353,""))="R","VT REJETÉ – À REPRENDRE",IF(OR(AP2353="CO",AP2353="NT"),"COUPE – À RESOUDER","À RÉPARER"))))))))))</f>
        <v>ACCEPTÉ</v>
      </c>
      <c r="AR2353" s="82" t="str">
        <f aca="false">IF(AND(ISNUMBER(U2353),OR(AQ2353="À RADIOGRAPHIER",AQ2353="RÉPARÉ – À RADIOGRAPHIER",AQ2353="NX – RT À REFAIRE",AQ2353="À RÉPARER",AQ2353="COUPE – À RESOUDER",AQ2353="VT REJETÉ – À REPRENDRE")),MAX(0,'PROGRAMME RT'!$C$4-U2353),"")</f>
        <v/>
      </c>
      <c r="AS2353" s="82" t="n">
        <f aca="false">IF(AND(OR(AQ2353="À RADIOGRAPHIER",AQ2353="RÉPARÉ – À RADIOGRAPHIER",AQ2353="NX – RT À REFAIRE"),OR('PROGRAMME RT'!$D$5="TOUTES",B2353='PROGRAMME RT'!$D$5)),1,0)</f>
        <v>0</v>
      </c>
      <c r="AT2353" s="82" t="str">
        <f aca="false">IF(AS2353=1,SUM(AS$7:AS2353),"")</f>
        <v/>
      </c>
      <c r="AU2353" s="82" t="n">
        <f aca="false">IF(AND(OR(AA2353="R",AA2353="NX",AA2353="NT",AA2353="CO"),OR('JOINTS DE RÉPARATION'!$D$5="TOUTES",B2353='JOINTS DE RÉPARATION'!$D$5),OR('JOINTS DE RÉPARATION'!$L$4="TOUS",AQ2353&lt;&gt;"ACCEPTÉ")),1,0)</f>
        <v>0</v>
      </c>
      <c r="AV2353" s="82" t="str">
        <f aca="false">IF(AU2353=1,SUM(AU$7:AU2353),"")</f>
        <v/>
      </c>
      <c r="AW2353" s="82" t="str">
        <f aca="false">IF(E2353="","",B2353&amp;"|"&amp;E2353)</f>
        <v>MFD-ISW → MFD-CPF|JN°1869</v>
      </c>
    </row>
    <row r="2354" customFormat="false" ht="74.6" hidden="false" customHeight="false" outlineLevel="0" collapsed="false">
      <c r="A2354" s="79" t="n">
        <f aca="false">IF(E2354="","",ROW()-6)</f>
        <v>2348</v>
      </c>
      <c r="B2354" s="80" t="s">
        <v>110</v>
      </c>
      <c r="C2354" s="81" t="s">
        <v>2844</v>
      </c>
      <c r="D2354" s="81" t="n">
        <v>23</v>
      </c>
      <c r="E2354" s="81" t="s">
        <v>2853</v>
      </c>
      <c r="F2354" s="82" t="str">
        <f aca="false">IF(E2354="","",IF(LEFT(E2354,2)="DJ","DJ","JN"))</f>
        <v>JN</v>
      </c>
      <c r="G2354" s="81" t="s">
        <v>1504</v>
      </c>
      <c r="H2354" s="81" t="s">
        <v>871</v>
      </c>
      <c r="I2354" s="81" t="n">
        <v>9.53</v>
      </c>
      <c r="J2354" s="81" t="s">
        <v>872</v>
      </c>
      <c r="K2354" s="81" t="s">
        <v>879</v>
      </c>
      <c r="L2354" s="81" t="n">
        <v>2095550</v>
      </c>
      <c r="M2354" s="81" t="n">
        <v>15421111</v>
      </c>
      <c r="N2354" s="81" t="n">
        <v>11.94</v>
      </c>
      <c r="O2354" s="81" t="n">
        <v>2093940</v>
      </c>
      <c r="P2354" s="81" t="n">
        <v>15421110</v>
      </c>
      <c r="Q2354" s="81" t="n">
        <v>11.94</v>
      </c>
      <c r="R2354" s="81" t="s">
        <v>2807</v>
      </c>
      <c r="S2354" s="81"/>
      <c r="T2354" s="81"/>
      <c r="U2354" s="83" t="n">
        <v>46258</v>
      </c>
      <c r="V2354" s="83" t="n">
        <v>46258</v>
      </c>
      <c r="W2354" s="81" t="s">
        <v>2818</v>
      </c>
      <c r="X2354" s="81" t="s">
        <v>876</v>
      </c>
      <c r="Y2354" s="83" t="n">
        <v>46260</v>
      </c>
      <c r="Z2354" s="81" t="s">
        <v>2846</v>
      </c>
      <c r="AA2354" s="81" t="s">
        <v>876</v>
      </c>
      <c r="AB2354" s="81"/>
      <c r="AC2354" s="81"/>
      <c r="AD2354" s="81"/>
      <c r="AE2354" s="83"/>
      <c r="AF2354" s="81"/>
      <c r="AG2354" s="81"/>
      <c r="AH2354" s="81"/>
      <c r="AI2354" s="81"/>
      <c r="AJ2354" s="83"/>
      <c r="AK2354" s="81"/>
      <c r="AL2354" s="81"/>
      <c r="AM2354" s="83"/>
      <c r="AN2354" s="80"/>
      <c r="AO2354" s="82" t="n">
        <f aca="false">IF(E2354="","",(AA2354&lt;&gt;"")+(AG2354&lt;&gt;"")+(AL2354&lt;&gt;""))</f>
        <v>1</v>
      </c>
      <c r="AP2354" s="82" t="str">
        <f aca="false">IF(AL2354&lt;&gt;"",AL2354,IF(AG2354&lt;&gt;"",AG2354,IF(AA2354&lt;&gt;"",AA2354,"")))</f>
        <v>A</v>
      </c>
      <c r="AQ2354" s="84" t="str">
        <f aca="false">IF(E2354="","",IF(U2354="","À SOUDER",IF(X2354="","VT EN ATTENTE",IF(X2354="R","VT REJETÉ – À REPRENDRE",IF(AP2354="","À RADIOGRAPHIER",IF(AP2354="A","ACCEPTÉ",IF(AP2354="NX","NX – RT À REFAIRE",IF(IF(AO2354=1,AD2354,IF(AO2354=2,AI2354,""))="A","RÉPARÉ – À RADIOGRAPHIER",IF(IF(AO2354=1,AD2354,IF(AO2354=2,AI2354,""))="R","VT REJETÉ – À REPRENDRE",IF(OR(AP2354="CO",AP2354="NT"),"COUPE – À RESOUDER","À RÉPARER"))))))))))</f>
        <v>ACCEPTÉ</v>
      </c>
      <c r="AR2354" s="82" t="str">
        <f aca="false">IF(AND(ISNUMBER(U2354),OR(AQ2354="À RADIOGRAPHIER",AQ2354="RÉPARÉ – À RADIOGRAPHIER",AQ2354="NX – RT À REFAIRE",AQ2354="À RÉPARER",AQ2354="COUPE – À RESOUDER",AQ2354="VT REJETÉ – À REPRENDRE")),MAX(0,'PROGRAMME RT'!$C$4-U2354),"")</f>
        <v/>
      </c>
      <c r="AS2354" s="82" t="n">
        <f aca="false">IF(AND(OR(AQ2354="À RADIOGRAPHIER",AQ2354="RÉPARÉ – À RADIOGRAPHIER",AQ2354="NX – RT À REFAIRE"),OR('PROGRAMME RT'!$D$5="TOUTES",B2354='PROGRAMME RT'!$D$5)),1,0)</f>
        <v>0</v>
      </c>
      <c r="AT2354" s="82" t="str">
        <f aca="false">IF(AS2354=1,SUM(AS$7:AS2354),"")</f>
        <v/>
      </c>
      <c r="AU2354" s="82" t="n">
        <f aca="false">IF(AND(OR(AA2354="R",AA2354="NX",AA2354="NT",AA2354="CO"),OR('JOINTS DE RÉPARATION'!$D$5="TOUTES",B2354='JOINTS DE RÉPARATION'!$D$5),OR('JOINTS DE RÉPARATION'!$L$4="TOUS",AQ2354&lt;&gt;"ACCEPTÉ")),1,0)</f>
        <v>0</v>
      </c>
      <c r="AV2354" s="82" t="str">
        <f aca="false">IF(AU2354=1,SUM(AU$7:AU2354),"")</f>
        <v/>
      </c>
      <c r="AW2354" s="82" t="str">
        <f aca="false">IF(E2354="","",B2354&amp;"|"&amp;E2354)</f>
        <v>MFD-ISW → MFD-CPF|JN°1870</v>
      </c>
    </row>
    <row r="2355" customFormat="false" ht="74.6" hidden="false" customHeight="false" outlineLevel="0" collapsed="false">
      <c r="A2355" s="79" t="n">
        <f aca="false">IF(E2355="","",ROW()-6)</f>
        <v>2349</v>
      </c>
      <c r="B2355" s="80" t="s">
        <v>110</v>
      </c>
      <c r="C2355" s="81" t="s">
        <v>2844</v>
      </c>
      <c r="D2355" s="81" t="n">
        <v>23</v>
      </c>
      <c r="E2355" s="81" t="s">
        <v>2854</v>
      </c>
      <c r="F2355" s="82" t="str">
        <f aca="false">IF(E2355="","",IF(LEFT(E2355,2)="DJ","DJ","JN"))</f>
        <v>JN</v>
      </c>
      <c r="G2355" s="81" t="s">
        <v>1504</v>
      </c>
      <c r="H2355" s="81" t="s">
        <v>871</v>
      </c>
      <c r="I2355" s="81" t="n">
        <v>9.53</v>
      </c>
      <c r="J2355" s="81" t="s">
        <v>872</v>
      </c>
      <c r="K2355" s="81" t="s">
        <v>879</v>
      </c>
      <c r="L2355" s="81" t="n">
        <v>2093940</v>
      </c>
      <c r="M2355" s="81" t="n">
        <v>15421110</v>
      </c>
      <c r="N2355" s="81" t="n">
        <v>11.94</v>
      </c>
      <c r="O2355" s="81" t="n">
        <v>2091670</v>
      </c>
      <c r="P2355" s="81" t="n">
        <v>15421109</v>
      </c>
      <c r="Q2355" s="81" t="n">
        <v>11.94</v>
      </c>
      <c r="R2355" s="81" t="s">
        <v>2855</v>
      </c>
      <c r="S2355" s="81"/>
      <c r="T2355" s="81"/>
      <c r="U2355" s="83" t="n">
        <v>46257</v>
      </c>
      <c r="V2355" s="83" t="n">
        <v>46257</v>
      </c>
      <c r="W2355" s="81" t="s">
        <v>2856</v>
      </c>
      <c r="X2355" s="81" t="s">
        <v>876</v>
      </c>
      <c r="Y2355" s="83" t="n">
        <v>46260</v>
      </c>
      <c r="Z2355" s="81" t="s">
        <v>2846</v>
      </c>
      <c r="AA2355" s="81" t="s">
        <v>876</v>
      </c>
      <c r="AB2355" s="81"/>
      <c r="AC2355" s="81"/>
      <c r="AD2355" s="81"/>
      <c r="AE2355" s="83"/>
      <c r="AF2355" s="81"/>
      <c r="AG2355" s="81"/>
      <c r="AH2355" s="81"/>
      <c r="AI2355" s="81"/>
      <c r="AJ2355" s="83"/>
      <c r="AK2355" s="81"/>
      <c r="AL2355" s="81"/>
      <c r="AM2355" s="83"/>
      <c r="AN2355" s="80"/>
      <c r="AO2355" s="82" t="n">
        <f aca="false">IF(E2355="","",(AA2355&lt;&gt;"")+(AG2355&lt;&gt;"")+(AL2355&lt;&gt;""))</f>
        <v>1</v>
      </c>
      <c r="AP2355" s="82" t="str">
        <f aca="false">IF(AL2355&lt;&gt;"",AL2355,IF(AG2355&lt;&gt;"",AG2355,IF(AA2355&lt;&gt;"",AA2355,"")))</f>
        <v>A</v>
      </c>
      <c r="AQ2355" s="84" t="str">
        <f aca="false">IF(E2355="","",IF(U2355="","À SOUDER",IF(X2355="","VT EN ATTENTE",IF(X2355="R","VT REJETÉ – À REPRENDRE",IF(AP2355="","À RADIOGRAPHIER",IF(AP2355="A","ACCEPTÉ",IF(AP2355="NX","NX – RT À REFAIRE",IF(IF(AO2355=1,AD2355,IF(AO2355=2,AI2355,""))="A","RÉPARÉ – À RADIOGRAPHIER",IF(IF(AO2355=1,AD2355,IF(AO2355=2,AI2355,""))="R","VT REJETÉ – À REPRENDRE",IF(OR(AP2355="CO",AP2355="NT"),"COUPE – À RESOUDER","À RÉPARER"))))))))))</f>
        <v>ACCEPTÉ</v>
      </c>
      <c r="AR2355" s="82" t="str">
        <f aca="false">IF(AND(ISNUMBER(U2355),OR(AQ2355="À RADIOGRAPHIER",AQ2355="RÉPARÉ – À RADIOGRAPHIER",AQ2355="NX – RT À REFAIRE",AQ2355="À RÉPARER",AQ2355="COUPE – À RESOUDER",AQ2355="VT REJETÉ – À REPRENDRE")),MAX(0,'PROGRAMME RT'!$C$4-U2355),"")</f>
        <v/>
      </c>
      <c r="AS2355" s="82" t="n">
        <f aca="false">IF(AND(OR(AQ2355="À RADIOGRAPHIER",AQ2355="RÉPARÉ – À RADIOGRAPHIER",AQ2355="NX – RT À REFAIRE"),OR('PROGRAMME RT'!$D$5="TOUTES",B2355='PROGRAMME RT'!$D$5)),1,0)</f>
        <v>0</v>
      </c>
      <c r="AT2355" s="82" t="str">
        <f aca="false">IF(AS2355=1,SUM(AS$7:AS2355),"")</f>
        <v/>
      </c>
      <c r="AU2355" s="82" t="n">
        <f aca="false">IF(AND(OR(AA2355="R",AA2355="NX",AA2355="NT",AA2355="CO"),OR('JOINTS DE RÉPARATION'!$D$5="TOUTES",B2355='JOINTS DE RÉPARATION'!$D$5),OR('JOINTS DE RÉPARATION'!$L$4="TOUS",AQ2355&lt;&gt;"ACCEPTÉ")),1,0)</f>
        <v>0</v>
      </c>
      <c r="AV2355" s="82" t="str">
        <f aca="false">IF(AU2355=1,SUM(AU$7:AU2355),"")</f>
        <v/>
      </c>
      <c r="AW2355" s="82" t="str">
        <f aca="false">IF(E2355="","",B2355&amp;"|"&amp;E2355)</f>
        <v>MFD-ISW → MFD-CPF|JN°1871</v>
      </c>
    </row>
    <row r="2356" customFormat="false" ht="74.6" hidden="false" customHeight="false" outlineLevel="0" collapsed="false">
      <c r="A2356" s="79" t="n">
        <f aca="false">IF(E2356="","",ROW()-6)</f>
        <v>2350</v>
      </c>
      <c r="B2356" s="80" t="s">
        <v>110</v>
      </c>
      <c r="C2356" s="81" t="s">
        <v>2844</v>
      </c>
      <c r="D2356" s="81" t="n">
        <v>23</v>
      </c>
      <c r="E2356" s="81" t="s">
        <v>2857</v>
      </c>
      <c r="F2356" s="82" t="str">
        <f aca="false">IF(E2356="","",IF(LEFT(E2356,2)="DJ","DJ","JN"))</f>
        <v>JN</v>
      </c>
      <c r="G2356" s="81" t="s">
        <v>1504</v>
      </c>
      <c r="H2356" s="81" t="s">
        <v>871</v>
      </c>
      <c r="I2356" s="81" t="n">
        <v>9.53</v>
      </c>
      <c r="J2356" s="81" t="s">
        <v>872</v>
      </c>
      <c r="K2356" s="81" t="s">
        <v>879</v>
      </c>
      <c r="L2356" s="81" t="n">
        <v>2091670</v>
      </c>
      <c r="M2356" s="81" t="n">
        <v>15421109</v>
      </c>
      <c r="N2356" s="81" t="n">
        <v>11.94</v>
      </c>
      <c r="O2356" s="81" t="n">
        <v>2096000</v>
      </c>
      <c r="P2356" s="81" t="n">
        <v>15421111</v>
      </c>
      <c r="Q2356" s="81" t="n">
        <v>11.94</v>
      </c>
      <c r="R2356" s="81" t="s">
        <v>2858</v>
      </c>
      <c r="S2356" s="81"/>
      <c r="T2356" s="81"/>
      <c r="U2356" s="83" t="n">
        <v>46257</v>
      </c>
      <c r="V2356" s="83" t="n">
        <v>46257</v>
      </c>
      <c r="W2356" s="81" t="s">
        <v>2856</v>
      </c>
      <c r="X2356" s="81" t="s">
        <v>876</v>
      </c>
      <c r="Y2356" s="83" t="n">
        <v>46260</v>
      </c>
      <c r="Z2356" s="81" t="s">
        <v>2846</v>
      </c>
      <c r="AA2356" s="81" t="s">
        <v>876</v>
      </c>
      <c r="AB2356" s="81"/>
      <c r="AC2356" s="81"/>
      <c r="AD2356" s="81"/>
      <c r="AE2356" s="83"/>
      <c r="AF2356" s="81"/>
      <c r="AG2356" s="81"/>
      <c r="AH2356" s="81"/>
      <c r="AI2356" s="81"/>
      <c r="AJ2356" s="83"/>
      <c r="AK2356" s="81"/>
      <c r="AL2356" s="81"/>
      <c r="AM2356" s="83"/>
      <c r="AN2356" s="80"/>
      <c r="AO2356" s="82" t="n">
        <f aca="false">IF(E2356="","",(AA2356&lt;&gt;"")+(AG2356&lt;&gt;"")+(AL2356&lt;&gt;""))</f>
        <v>1</v>
      </c>
      <c r="AP2356" s="82" t="str">
        <f aca="false">IF(AL2356&lt;&gt;"",AL2356,IF(AG2356&lt;&gt;"",AG2356,IF(AA2356&lt;&gt;"",AA2356,"")))</f>
        <v>A</v>
      </c>
      <c r="AQ2356" s="84" t="str">
        <f aca="false">IF(E2356="","",IF(U2356="","À SOUDER",IF(X2356="","VT EN ATTENTE",IF(X2356="R","VT REJETÉ – À REPRENDRE",IF(AP2356="","À RADIOGRAPHIER",IF(AP2356="A","ACCEPTÉ",IF(AP2356="NX","NX – RT À REFAIRE",IF(IF(AO2356=1,AD2356,IF(AO2356=2,AI2356,""))="A","RÉPARÉ – À RADIOGRAPHIER",IF(IF(AO2356=1,AD2356,IF(AO2356=2,AI2356,""))="R","VT REJETÉ – À REPRENDRE",IF(OR(AP2356="CO",AP2356="NT"),"COUPE – À RESOUDER","À RÉPARER"))))))))))</f>
        <v>ACCEPTÉ</v>
      </c>
      <c r="AR2356" s="82" t="str">
        <f aca="false">IF(AND(ISNUMBER(U2356),OR(AQ2356="À RADIOGRAPHIER",AQ2356="RÉPARÉ – À RADIOGRAPHIER",AQ2356="NX – RT À REFAIRE",AQ2356="À RÉPARER",AQ2356="COUPE – À RESOUDER",AQ2356="VT REJETÉ – À REPRENDRE")),MAX(0,'PROGRAMME RT'!$C$4-U2356),"")</f>
        <v/>
      </c>
      <c r="AS2356" s="82" t="n">
        <f aca="false">IF(AND(OR(AQ2356="À RADIOGRAPHIER",AQ2356="RÉPARÉ – À RADIOGRAPHIER",AQ2356="NX – RT À REFAIRE"),OR('PROGRAMME RT'!$D$5="TOUTES",B2356='PROGRAMME RT'!$D$5)),1,0)</f>
        <v>0</v>
      </c>
      <c r="AT2356" s="82" t="str">
        <f aca="false">IF(AS2356=1,SUM(AS$7:AS2356),"")</f>
        <v/>
      </c>
      <c r="AU2356" s="82" t="n">
        <f aca="false">IF(AND(OR(AA2356="R",AA2356="NX",AA2356="NT",AA2356="CO"),OR('JOINTS DE RÉPARATION'!$D$5="TOUTES",B2356='JOINTS DE RÉPARATION'!$D$5),OR('JOINTS DE RÉPARATION'!$L$4="TOUS",AQ2356&lt;&gt;"ACCEPTÉ")),1,0)</f>
        <v>0</v>
      </c>
      <c r="AV2356" s="82" t="str">
        <f aca="false">IF(AU2356=1,SUM(AU$7:AU2356),"")</f>
        <v/>
      </c>
      <c r="AW2356" s="82" t="str">
        <f aca="false">IF(E2356="","",B2356&amp;"|"&amp;E2356)</f>
        <v>MFD-ISW → MFD-CPF|JN°1872</v>
      </c>
    </row>
    <row r="2357" customFormat="false" ht="74.6" hidden="false" customHeight="false" outlineLevel="0" collapsed="false">
      <c r="A2357" s="79" t="n">
        <f aca="false">IF(E2357="","",ROW()-6)</f>
        <v>2351</v>
      </c>
      <c r="B2357" s="80" t="s">
        <v>110</v>
      </c>
      <c r="C2357" s="81" t="s">
        <v>2844</v>
      </c>
      <c r="D2357" s="81" t="n">
        <v>23</v>
      </c>
      <c r="E2357" s="81" t="s">
        <v>2859</v>
      </c>
      <c r="F2357" s="82" t="str">
        <f aca="false">IF(E2357="","",IF(LEFT(E2357,2)="DJ","DJ","JN"))</f>
        <v>JN</v>
      </c>
      <c r="G2357" s="81" t="s">
        <v>1504</v>
      </c>
      <c r="H2357" s="81" t="s">
        <v>871</v>
      </c>
      <c r="I2357" s="81" t="n">
        <v>9.53</v>
      </c>
      <c r="J2357" s="81" t="s">
        <v>872</v>
      </c>
      <c r="K2357" s="81" t="s">
        <v>1861</v>
      </c>
      <c r="L2357" s="81" t="n">
        <v>2096000</v>
      </c>
      <c r="M2357" s="81" t="n">
        <v>15421111</v>
      </c>
      <c r="N2357" s="81" t="n">
        <v>11.94</v>
      </c>
      <c r="O2357" s="81" t="n">
        <v>2095010</v>
      </c>
      <c r="P2357" s="81" t="n">
        <v>15421111</v>
      </c>
      <c r="Q2357" s="81" t="n">
        <v>11.94</v>
      </c>
      <c r="R2357" s="81" t="s">
        <v>1862</v>
      </c>
      <c r="S2357" s="81"/>
      <c r="T2357" s="81"/>
      <c r="U2357" s="83" t="n">
        <v>46273</v>
      </c>
      <c r="V2357" s="83" t="n">
        <v>46273</v>
      </c>
      <c r="W2357" s="81" t="s">
        <v>2699</v>
      </c>
      <c r="X2357" s="81" t="s">
        <v>876</v>
      </c>
      <c r="Y2357" s="83" t="n">
        <v>46275</v>
      </c>
      <c r="Z2357" s="81" t="s">
        <v>2700</v>
      </c>
      <c r="AA2357" s="81" t="s">
        <v>876</v>
      </c>
      <c r="AB2357" s="81"/>
      <c r="AC2357" s="81"/>
      <c r="AD2357" s="81"/>
      <c r="AE2357" s="83"/>
      <c r="AF2357" s="81"/>
      <c r="AG2357" s="81"/>
      <c r="AH2357" s="81"/>
      <c r="AI2357" s="81"/>
      <c r="AJ2357" s="83"/>
      <c r="AK2357" s="81"/>
      <c r="AL2357" s="81"/>
      <c r="AM2357" s="83"/>
      <c r="AN2357" s="80"/>
      <c r="AO2357" s="82" t="n">
        <f aca="false">IF(E2357="","",(AA2357&lt;&gt;"")+(AG2357&lt;&gt;"")+(AL2357&lt;&gt;""))</f>
        <v>1</v>
      </c>
      <c r="AP2357" s="82" t="str">
        <f aca="false">IF(AL2357&lt;&gt;"",AL2357,IF(AG2357&lt;&gt;"",AG2357,IF(AA2357&lt;&gt;"",AA2357,"")))</f>
        <v>A</v>
      </c>
      <c r="AQ2357" s="84" t="str">
        <f aca="false">IF(E2357="","",IF(U2357="","À SOUDER",IF(X2357="","VT EN ATTENTE",IF(X2357="R","VT REJETÉ – À REPRENDRE",IF(AP2357="","À RADIOGRAPHIER",IF(AP2357="A","ACCEPTÉ",IF(AP2357="NX","NX – RT À REFAIRE",IF(IF(AO2357=1,AD2357,IF(AO2357=2,AI2357,""))="A","RÉPARÉ – À RADIOGRAPHIER",IF(IF(AO2357=1,AD2357,IF(AO2357=2,AI2357,""))="R","VT REJETÉ – À REPRENDRE",IF(OR(AP2357="CO",AP2357="NT"),"COUPE – À RESOUDER","À RÉPARER"))))))))))</f>
        <v>ACCEPTÉ</v>
      </c>
      <c r="AR2357" s="82" t="str">
        <f aca="false">IF(AND(ISNUMBER(U2357),OR(AQ2357="À RADIOGRAPHIER",AQ2357="RÉPARÉ – À RADIOGRAPHIER",AQ2357="NX – RT À REFAIRE",AQ2357="À RÉPARER",AQ2357="COUPE – À RESOUDER",AQ2357="VT REJETÉ – À REPRENDRE")),MAX(0,'PROGRAMME RT'!$C$4-U2357),"")</f>
        <v/>
      </c>
      <c r="AS2357" s="82" t="n">
        <f aca="false">IF(AND(OR(AQ2357="À RADIOGRAPHIER",AQ2357="RÉPARÉ – À RADIOGRAPHIER",AQ2357="NX – RT À REFAIRE"),OR('PROGRAMME RT'!$D$5="TOUTES",B2357='PROGRAMME RT'!$D$5)),1,0)</f>
        <v>0</v>
      </c>
      <c r="AT2357" s="82" t="str">
        <f aca="false">IF(AS2357=1,SUM(AS$7:AS2357),"")</f>
        <v/>
      </c>
      <c r="AU2357" s="82" t="n">
        <f aca="false">IF(AND(OR(AA2357="R",AA2357="NX",AA2357="NT",AA2357="CO"),OR('JOINTS DE RÉPARATION'!$D$5="TOUTES",B2357='JOINTS DE RÉPARATION'!$D$5),OR('JOINTS DE RÉPARATION'!$L$4="TOUS",AQ2357&lt;&gt;"ACCEPTÉ")),1,0)</f>
        <v>0</v>
      </c>
      <c r="AV2357" s="82" t="str">
        <f aca="false">IF(AU2357=1,SUM(AU$7:AU2357),"")</f>
        <v/>
      </c>
      <c r="AW2357" s="82" t="str">
        <f aca="false">IF(E2357="","",B2357&amp;"|"&amp;E2357)</f>
        <v>MFD-ISW → MFD-CPF|JN°1873R</v>
      </c>
    </row>
    <row r="2358" customFormat="false" ht="74.6" hidden="false" customHeight="false" outlineLevel="0" collapsed="false">
      <c r="A2358" s="79" t="n">
        <f aca="false">IF(E2358="","",ROW()-6)</f>
        <v>2352</v>
      </c>
      <c r="B2358" s="80" t="s">
        <v>110</v>
      </c>
      <c r="C2358" s="81" t="s">
        <v>2844</v>
      </c>
      <c r="D2358" s="81" t="n">
        <v>23</v>
      </c>
      <c r="E2358" s="81" t="s">
        <v>2860</v>
      </c>
      <c r="F2358" s="82" t="str">
        <f aca="false">IF(E2358="","",IF(LEFT(E2358,2)="DJ","DJ","JN"))</f>
        <v>JN</v>
      </c>
      <c r="G2358" s="81" t="s">
        <v>1504</v>
      </c>
      <c r="H2358" s="81" t="s">
        <v>871</v>
      </c>
      <c r="I2358" s="81" t="n">
        <v>9.53</v>
      </c>
      <c r="J2358" s="81" t="s">
        <v>872</v>
      </c>
      <c r="K2358" s="81" t="s">
        <v>879</v>
      </c>
      <c r="L2358" s="81" t="n">
        <v>2095010</v>
      </c>
      <c r="M2358" s="81" t="n">
        <v>15421111</v>
      </c>
      <c r="N2358" s="81" t="n">
        <v>11.94</v>
      </c>
      <c r="O2358" s="81" t="n">
        <v>2078720</v>
      </c>
      <c r="P2358" s="81" t="n">
        <v>15421101</v>
      </c>
      <c r="Q2358" s="81" t="n">
        <v>11.94</v>
      </c>
      <c r="R2358" s="81" t="s">
        <v>2858</v>
      </c>
      <c r="S2358" s="81"/>
      <c r="T2358" s="81"/>
      <c r="U2358" s="83" t="n">
        <v>46257</v>
      </c>
      <c r="V2358" s="83" t="n">
        <v>46257</v>
      </c>
      <c r="W2358" s="81" t="s">
        <v>2856</v>
      </c>
      <c r="X2358" s="81" t="s">
        <v>876</v>
      </c>
      <c r="Y2358" s="83" t="n">
        <v>46289</v>
      </c>
      <c r="Z2358" s="81" t="s">
        <v>2537</v>
      </c>
      <c r="AA2358" s="81" t="s">
        <v>876</v>
      </c>
      <c r="AB2358" s="81"/>
      <c r="AC2358" s="81"/>
      <c r="AD2358" s="81"/>
      <c r="AE2358" s="83"/>
      <c r="AF2358" s="81"/>
      <c r="AG2358" s="81"/>
      <c r="AH2358" s="81"/>
      <c r="AI2358" s="81"/>
      <c r="AJ2358" s="83"/>
      <c r="AK2358" s="81"/>
      <c r="AL2358" s="81"/>
      <c r="AM2358" s="83"/>
      <c r="AN2358" s="80"/>
      <c r="AO2358" s="82" t="n">
        <f aca="false">IF(E2358="","",(AA2358&lt;&gt;"")+(AG2358&lt;&gt;"")+(AL2358&lt;&gt;""))</f>
        <v>1</v>
      </c>
      <c r="AP2358" s="82" t="str">
        <f aca="false">IF(AL2358&lt;&gt;"",AL2358,IF(AG2358&lt;&gt;"",AG2358,IF(AA2358&lt;&gt;"",AA2358,"")))</f>
        <v>A</v>
      </c>
      <c r="AQ2358" s="84" t="str">
        <f aca="false">IF(E2358="","",IF(U2358="","À SOUDER",IF(X2358="","VT EN ATTENTE",IF(X2358="R","VT REJETÉ – À REPRENDRE",IF(AP2358="","À RADIOGRAPHIER",IF(AP2358="A","ACCEPTÉ",IF(AP2358="NX","NX – RT À REFAIRE",IF(IF(AO2358=1,AD2358,IF(AO2358=2,AI2358,""))="A","RÉPARÉ – À RADIOGRAPHIER",IF(IF(AO2358=1,AD2358,IF(AO2358=2,AI2358,""))="R","VT REJETÉ – À REPRENDRE",IF(OR(AP2358="CO",AP2358="NT"),"COUPE – À RESOUDER","À RÉPARER"))))))))))</f>
        <v>ACCEPTÉ</v>
      </c>
      <c r="AR2358" s="82" t="str">
        <f aca="false">IF(AND(ISNUMBER(U2358),OR(AQ2358="À RADIOGRAPHIER",AQ2358="RÉPARÉ – À RADIOGRAPHIER",AQ2358="NX – RT À REFAIRE",AQ2358="À RÉPARER",AQ2358="COUPE – À RESOUDER",AQ2358="VT REJETÉ – À REPRENDRE")),MAX(0,'PROGRAMME RT'!$C$4-U2358),"")</f>
        <v/>
      </c>
      <c r="AS2358" s="82" t="n">
        <f aca="false">IF(AND(OR(AQ2358="À RADIOGRAPHIER",AQ2358="RÉPARÉ – À RADIOGRAPHIER",AQ2358="NX – RT À REFAIRE"),OR('PROGRAMME RT'!$D$5="TOUTES",B2358='PROGRAMME RT'!$D$5)),1,0)</f>
        <v>0</v>
      </c>
      <c r="AT2358" s="82" t="str">
        <f aca="false">IF(AS2358=1,SUM(AS$7:AS2358),"")</f>
        <v/>
      </c>
      <c r="AU2358" s="82" t="n">
        <f aca="false">IF(AND(OR(AA2358="R",AA2358="NX",AA2358="NT",AA2358="CO"),OR('JOINTS DE RÉPARATION'!$D$5="TOUTES",B2358='JOINTS DE RÉPARATION'!$D$5),OR('JOINTS DE RÉPARATION'!$L$4="TOUS",AQ2358&lt;&gt;"ACCEPTÉ")),1,0)</f>
        <v>0</v>
      </c>
      <c r="AV2358" s="82" t="str">
        <f aca="false">IF(AU2358=1,SUM(AU$7:AU2358),"")</f>
        <v/>
      </c>
      <c r="AW2358" s="82" t="str">
        <f aca="false">IF(E2358="","",B2358&amp;"|"&amp;E2358)</f>
        <v>MFD-ISW → MFD-CPF|JN°1874</v>
      </c>
    </row>
    <row r="2359" customFormat="false" ht="74.6" hidden="false" customHeight="false" outlineLevel="0" collapsed="false">
      <c r="A2359" s="79" t="n">
        <f aca="false">IF(E2359="","",ROW()-6)</f>
        <v>2353</v>
      </c>
      <c r="B2359" s="80" t="s">
        <v>110</v>
      </c>
      <c r="C2359" s="81" t="s">
        <v>2844</v>
      </c>
      <c r="D2359" s="81" t="n">
        <v>23</v>
      </c>
      <c r="E2359" s="81" t="s">
        <v>2861</v>
      </c>
      <c r="F2359" s="82" t="str">
        <f aca="false">IF(E2359="","",IF(LEFT(E2359,2)="DJ","DJ","JN"))</f>
        <v>JN</v>
      </c>
      <c r="G2359" s="81" t="s">
        <v>1504</v>
      </c>
      <c r="H2359" s="81" t="s">
        <v>871</v>
      </c>
      <c r="I2359" s="81" t="n">
        <v>9.53</v>
      </c>
      <c r="J2359" s="81" t="s">
        <v>872</v>
      </c>
      <c r="K2359" s="81" t="s">
        <v>879</v>
      </c>
      <c r="L2359" s="81" t="n">
        <v>2078720</v>
      </c>
      <c r="M2359" s="81" t="n">
        <v>15421101</v>
      </c>
      <c r="N2359" s="81" t="n">
        <v>11.94</v>
      </c>
      <c r="O2359" s="81" t="n">
        <v>2089660</v>
      </c>
      <c r="P2359" s="81" t="n">
        <v>15421109</v>
      </c>
      <c r="Q2359" s="81" t="n">
        <v>11.94</v>
      </c>
      <c r="R2359" s="81" t="s">
        <v>2858</v>
      </c>
      <c r="S2359" s="81"/>
      <c r="T2359" s="81"/>
      <c r="U2359" s="83" t="n">
        <v>46257</v>
      </c>
      <c r="V2359" s="83" t="n">
        <v>46257</v>
      </c>
      <c r="W2359" s="81" t="s">
        <v>2856</v>
      </c>
      <c r="X2359" s="81" t="s">
        <v>876</v>
      </c>
      <c r="Y2359" s="83" t="n">
        <v>46289</v>
      </c>
      <c r="Z2359" s="81" t="s">
        <v>2537</v>
      </c>
      <c r="AA2359" s="81" t="s">
        <v>876</v>
      </c>
      <c r="AB2359" s="81"/>
      <c r="AC2359" s="81"/>
      <c r="AD2359" s="81"/>
      <c r="AE2359" s="83"/>
      <c r="AF2359" s="81"/>
      <c r="AG2359" s="81"/>
      <c r="AH2359" s="81"/>
      <c r="AI2359" s="81"/>
      <c r="AJ2359" s="83"/>
      <c r="AK2359" s="81"/>
      <c r="AL2359" s="81"/>
      <c r="AM2359" s="83"/>
      <c r="AN2359" s="80"/>
      <c r="AO2359" s="82" t="n">
        <f aca="false">IF(E2359="","",(AA2359&lt;&gt;"")+(AG2359&lt;&gt;"")+(AL2359&lt;&gt;""))</f>
        <v>1</v>
      </c>
      <c r="AP2359" s="82" t="str">
        <f aca="false">IF(AL2359&lt;&gt;"",AL2359,IF(AG2359&lt;&gt;"",AG2359,IF(AA2359&lt;&gt;"",AA2359,"")))</f>
        <v>A</v>
      </c>
      <c r="AQ2359" s="84" t="str">
        <f aca="false">IF(E2359="","",IF(U2359="","À SOUDER",IF(X2359="","VT EN ATTENTE",IF(X2359="R","VT REJETÉ – À REPRENDRE",IF(AP2359="","À RADIOGRAPHIER",IF(AP2359="A","ACCEPTÉ",IF(AP2359="NX","NX – RT À REFAIRE",IF(IF(AO2359=1,AD2359,IF(AO2359=2,AI2359,""))="A","RÉPARÉ – À RADIOGRAPHIER",IF(IF(AO2359=1,AD2359,IF(AO2359=2,AI2359,""))="R","VT REJETÉ – À REPRENDRE",IF(OR(AP2359="CO",AP2359="NT"),"COUPE – À RESOUDER","À RÉPARER"))))))))))</f>
        <v>ACCEPTÉ</v>
      </c>
      <c r="AR2359" s="82" t="str">
        <f aca="false">IF(AND(ISNUMBER(U2359),OR(AQ2359="À RADIOGRAPHIER",AQ2359="RÉPARÉ – À RADIOGRAPHIER",AQ2359="NX – RT À REFAIRE",AQ2359="À RÉPARER",AQ2359="COUPE – À RESOUDER",AQ2359="VT REJETÉ – À REPRENDRE")),MAX(0,'PROGRAMME RT'!$C$4-U2359),"")</f>
        <v/>
      </c>
      <c r="AS2359" s="82" t="n">
        <f aca="false">IF(AND(OR(AQ2359="À RADIOGRAPHIER",AQ2359="RÉPARÉ – À RADIOGRAPHIER",AQ2359="NX – RT À REFAIRE"),OR('PROGRAMME RT'!$D$5="TOUTES",B2359='PROGRAMME RT'!$D$5)),1,0)</f>
        <v>0</v>
      </c>
      <c r="AT2359" s="82" t="str">
        <f aca="false">IF(AS2359=1,SUM(AS$7:AS2359),"")</f>
        <v/>
      </c>
      <c r="AU2359" s="82" t="n">
        <f aca="false">IF(AND(OR(AA2359="R",AA2359="NX",AA2359="NT",AA2359="CO"),OR('JOINTS DE RÉPARATION'!$D$5="TOUTES",B2359='JOINTS DE RÉPARATION'!$D$5),OR('JOINTS DE RÉPARATION'!$L$4="TOUS",AQ2359&lt;&gt;"ACCEPTÉ")),1,0)</f>
        <v>0</v>
      </c>
      <c r="AV2359" s="82" t="str">
        <f aca="false">IF(AU2359=1,SUM(AU$7:AU2359),"")</f>
        <v/>
      </c>
      <c r="AW2359" s="82" t="str">
        <f aca="false">IF(E2359="","",B2359&amp;"|"&amp;E2359)</f>
        <v>MFD-ISW → MFD-CPF|JN°1875</v>
      </c>
    </row>
    <row r="2360" customFormat="false" ht="74.6" hidden="false" customHeight="false" outlineLevel="0" collapsed="false">
      <c r="A2360" s="79" t="n">
        <f aca="false">IF(E2360="","",ROW()-6)</f>
        <v>2354</v>
      </c>
      <c r="B2360" s="80" t="s">
        <v>110</v>
      </c>
      <c r="C2360" s="81" t="s">
        <v>2844</v>
      </c>
      <c r="D2360" s="81" t="n">
        <v>23</v>
      </c>
      <c r="E2360" s="81" t="s">
        <v>2862</v>
      </c>
      <c r="F2360" s="82" t="str">
        <f aca="false">IF(E2360="","",IF(LEFT(E2360,2)="DJ","DJ","JN"))</f>
        <v>JN</v>
      </c>
      <c r="G2360" s="81" t="s">
        <v>1504</v>
      </c>
      <c r="H2360" s="81" t="s">
        <v>871</v>
      </c>
      <c r="I2360" s="81" t="n">
        <v>9.53</v>
      </c>
      <c r="J2360" s="81" t="s">
        <v>872</v>
      </c>
      <c r="K2360" s="81" t="s">
        <v>879</v>
      </c>
      <c r="L2360" s="81" t="n">
        <v>2089660</v>
      </c>
      <c r="M2360" s="81" t="n">
        <v>15421109</v>
      </c>
      <c r="N2360" s="81" t="n">
        <v>11.94</v>
      </c>
      <c r="O2360" s="81" t="n">
        <v>2089810</v>
      </c>
      <c r="P2360" s="81" t="n">
        <v>15421109</v>
      </c>
      <c r="Q2360" s="81" t="n">
        <v>11.94</v>
      </c>
      <c r="R2360" s="81" t="s">
        <v>2858</v>
      </c>
      <c r="S2360" s="81"/>
      <c r="T2360" s="81"/>
      <c r="U2360" s="83" t="n">
        <v>46257</v>
      </c>
      <c r="V2360" s="83" t="n">
        <v>46257</v>
      </c>
      <c r="W2360" s="81" t="s">
        <v>2856</v>
      </c>
      <c r="X2360" s="81" t="s">
        <v>876</v>
      </c>
      <c r="Y2360" s="83" t="n">
        <v>46289</v>
      </c>
      <c r="Z2360" s="81" t="s">
        <v>2537</v>
      </c>
      <c r="AA2360" s="81" t="s">
        <v>876</v>
      </c>
      <c r="AB2360" s="81"/>
      <c r="AC2360" s="81"/>
      <c r="AD2360" s="81"/>
      <c r="AE2360" s="83"/>
      <c r="AF2360" s="81"/>
      <c r="AG2360" s="81"/>
      <c r="AH2360" s="81"/>
      <c r="AI2360" s="81"/>
      <c r="AJ2360" s="83"/>
      <c r="AK2360" s="81"/>
      <c r="AL2360" s="81"/>
      <c r="AM2360" s="83"/>
      <c r="AN2360" s="80"/>
      <c r="AO2360" s="82" t="n">
        <f aca="false">IF(E2360="","",(AA2360&lt;&gt;"")+(AG2360&lt;&gt;"")+(AL2360&lt;&gt;""))</f>
        <v>1</v>
      </c>
      <c r="AP2360" s="82" t="str">
        <f aca="false">IF(AL2360&lt;&gt;"",AL2360,IF(AG2360&lt;&gt;"",AG2360,IF(AA2360&lt;&gt;"",AA2360,"")))</f>
        <v>A</v>
      </c>
      <c r="AQ2360" s="84" t="str">
        <f aca="false">IF(E2360="","",IF(U2360="","À SOUDER",IF(X2360="","VT EN ATTENTE",IF(X2360="R","VT REJETÉ – À REPRENDRE",IF(AP2360="","À RADIOGRAPHIER",IF(AP2360="A","ACCEPTÉ",IF(AP2360="NX","NX – RT À REFAIRE",IF(IF(AO2360=1,AD2360,IF(AO2360=2,AI2360,""))="A","RÉPARÉ – À RADIOGRAPHIER",IF(IF(AO2360=1,AD2360,IF(AO2360=2,AI2360,""))="R","VT REJETÉ – À REPRENDRE",IF(OR(AP2360="CO",AP2360="NT"),"COUPE – À RESOUDER","À RÉPARER"))))))))))</f>
        <v>ACCEPTÉ</v>
      </c>
      <c r="AR2360" s="82" t="str">
        <f aca="false">IF(AND(ISNUMBER(U2360),OR(AQ2360="À RADIOGRAPHIER",AQ2360="RÉPARÉ – À RADIOGRAPHIER",AQ2360="NX – RT À REFAIRE",AQ2360="À RÉPARER",AQ2360="COUPE – À RESOUDER",AQ2360="VT REJETÉ – À REPRENDRE")),MAX(0,'PROGRAMME RT'!$C$4-U2360),"")</f>
        <v/>
      </c>
      <c r="AS2360" s="82" t="n">
        <f aca="false">IF(AND(OR(AQ2360="À RADIOGRAPHIER",AQ2360="RÉPARÉ – À RADIOGRAPHIER",AQ2360="NX – RT À REFAIRE"),OR('PROGRAMME RT'!$D$5="TOUTES",B2360='PROGRAMME RT'!$D$5)),1,0)</f>
        <v>0</v>
      </c>
      <c r="AT2360" s="82" t="str">
        <f aca="false">IF(AS2360=1,SUM(AS$7:AS2360),"")</f>
        <v/>
      </c>
      <c r="AU2360" s="82" t="n">
        <f aca="false">IF(AND(OR(AA2360="R",AA2360="NX",AA2360="NT",AA2360="CO"),OR('JOINTS DE RÉPARATION'!$D$5="TOUTES",B2360='JOINTS DE RÉPARATION'!$D$5),OR('JOINTS DE RÉPARATION'!$L$4="TOUS",AQ2360&lt;&gt;"ACCEPTÉ")),1,0)</f>
        <v>0</v>
      </c>
      <c r="AV2360" s="82" t="str">
        <f aca="false">IF(AU2360=1,SUM(AU$7:AU2360),"")</f>
        <v/>
      </c>
      <c r="AW2360" s="82" t="str">
        <f aca="false">IF(E2360="","",B2360&amp;"|"&amp;E2360)</f>
        <v>MFD-ISW → MFD-CPF|JN°1876</v>
      </c>
    </row>
    <row r="2361" customFormat="false" ht="74.6" hidden="false" customHeight="false" outlineLevel="0" collapsed="false">
      <c r="A2361" s="79" t="n">
        <f aca="false">IF(E2361="","",ROW()-6)</f>
        <v>2355</v>
      </c>
      <c r="B2361" s="80" t="s">
        <v>110</v>
      </c>
      <c r="C2361" s="81" t="s">
        <v>2844</v>
      </c>
      <c r="D2361" s="81" t="n">
        <v>23</v>
      </c>
      <c r="E2361" s="81" t="s">
        <v>2863</v>
      </c>
      <c r="F2361" s="82" t="str">
        <f aca="false">IF(E2361="","",IF(LEFT(E2361,2)="DJ","DJ","JN"))</f>
        <v>JN</v>
      </c>
      <c r="G2361" s="81" t="s">
        <v>1504</v>
      </c>
      <c r="H2361" s="81" t="s">
        <v>871</v>
      </c>
      <c r="I2361" s="81" t="n">
        <v>9.53</v>
      </c>
      <c r="J2361" s="81" t="s">
        <v>872</v>
      </c>
      <c r="K2361" s="81" t="s">
        <v>879</v>
      </c>
      <c r="L2361" s="81" t="n">
        <v>2089810</v>
      </c>
      <c r="M2361" s="81" t="n">
        <v>15421109</v>
      </c>
      <c r="N2361" s="81" t="n">
        <v>11.94</v>
      </c>
      <c r="O2361" s="81" t="n">
        <v>2095240</v>
      </c>
      <c r="P2361" s="81" t="n">
        <v>15421111</v>
      </c>
      <c r="Q2361" s="81" t="n">
        <v>11.94</v>
      </c>
      <c r="R2361" s="81" t="s">
        <v>2858</v>
      </c>
      <c r="S2361" s="81"/>
      <c r="T2361" s="81"/>
      <c r="U2361" s="83" t="n">
        <v>46257</v>
      </c>
      <c r="V2361" s="83" t="n">
        <v>46257</v>
      </c>
      <c r="W2361" s="81" t="s">
        <v>2856</v>
      </c>
      <c r="X2361" s="81" t="s">
        <v>876</v>
      </c>
      <c r="Y2361" s="83" t="n">
        <v>46289</v>
      </c>
      <c r="Z2361" s="81" t="s">
        <v>2537</v>
      </c>
      <c r="AA2361" s="81" t="s">
        <v>1073</v>
      </c>
      <c r="AB2361" s="81" t="s">
        <v>2864</v>
      </c>
      <c r="AC2361" s="81"/>
      <c r="AD2361" s="81"/>
      <c r="AE2361" s="83"/>
      <c r="AF2361" s="81"/>
      <c r="AG2361" s="81"/>
      <c r="AH2361" s="81"/>
      <c r="AI2361" s="81"/>
      <c r="AJ2361" s="83"/>
      <c r="AK2361" s="81"/>
      <c r="AL2361" s="81"/>
      <c r="AM2361" s="83"/>
      <c r="AN2361" s="80"/>
      <c r="AO2361" s="82" t="n">
        <f aca="false">IF(E2361="","",(AA2361&lt;&gt;"")+(AG2361&lt;&gt;"")+(AL2361&lt;&gt;""))</f>
        <v>1</v>
      </c>
      <c r="AP2361" s="82" t="str">
        <f aca="false">IF(AL2361&lt;&gt;"",AL2361,IF(AG2361&lt;&gt;"",AG2361,IF(AA2361&lt;&gt;"",AA2361,"")))</f>
        <v>R</v>
      </c>
      <c r="AQ2361" s="84" t="str">
        <f aca="false">IF(E2361="","",IF(U2361="","À SOUDER",IF(X2361="","VT EN ATTENTE",IF(X2361="R","VT REJETÉ – À REPRENDRE",IF(AP2361="","À RADIOGRAPHIER",IF(AP2361="A","ACCEPTÉ",IF(AP2361="NX","NX – RT À REFAIRE",IF(IF(AO2361=1,AD2361,IF(AO2361=2,AI2361,""))="A","RÉPARÉ – À RADIOGRAPHIER",IF(IF(AO2361=1,AD2361,IF(AO2361=2,AI2361,""))="R","VT REJETÉ – À REPRENDRE",IF(OR(AP2361="CO",AP2361="NT"),"COUPE – À RESOUDER","À RÉPARER"))))))))))</f>
        <v>À RÉPARER</v>
      </c>
      <c r="AR2361" s="82" t="n">
        <f aca="false">IF(AND(ISNUMBER(U2361),OR(AQ2361="À RADIOGRAPHIER",AQ2361="RÉPARÉ – À RADIOGRAPHIER",AQ2361="NX – RT À REFAIRE",AQ2361="À RÉPARER",AQ2361="COUPE – À RESOUDER",AQ2361="VT REJETÉ – À REPRENDRE")),MAX(0,'PROGRAMME RT'!$C$4-U2361),"")</f>
        <v>36</v>
      </c>
      <c r="AS2361" s="82" t="n">
        <f aca="false">IF(AND(OR(AQ2361="À RADIOGRAPHIER",AQ2361="RÉPARÉ – À RADIOGRAPHIER",AQ2361="NX – RT À REFAIRE"),OR('PROGRAMME RT'!$D$5="TOUTES",B2361='PROGRAMME RT'!$D$5)),1,0)</f>
        <v>0</v>
      </c>
      <c r="AT2361" s="82" t="str">
        <f aca="false">IF(AS2361=1,SUM(AS$7:AS2361),"")</f>
        <v/>
      </c>
      <c r="AU2361" s="82" t="n">
        <f aca="false">IF(AND(OR(AA2361="R",AA2361="NX",AA2361="NT",AA2361="CO"),OR('JOINTS DE RÉPARATION'!$D$5="TOUTES",B2361='JOINTS DE RÉPARATION'!$D$5),OR('JOINTS DE RÉPARATION'!$L$4="TOUS",AQ2361&lt;&gt;"ACCEPTÉ")),1,0)</f>
        <v>1</v>
      </c>
      <c r="AV2361" s="82" t="n">
        <f aca="false">IF(AU2361=1,SUM(AU$7:AU2361),"")</f>
        <v>63</v>
      </c>
      <c r="AW2361" s="82" t="str">
        <f aca="false">IF(E2361="","",B2361&amp;"|"&amp;E2361)</f>
        <v>MFD-ISW → MFD-CPF|JN°1877</v>
      </c>
    </row>
    <row r="2362" customFormat="false" ht="74.6" hidden="false" customHeight="false" outlineLevel="0" collapsed="false">
      <c r="A2362" s="79" t="n">
        <f aca="false">IF(E2362="","",ROW()-6)</f>
        <v>2356</v>
      </c>
      <c r="B2362" s="80" t="s">
        <v>110</v>
      </c>
      <c r="C2362" s="81" t="s">
        <v>2844</v>
      </c>
      <c r="D2362" s="81" t="n">
        <v>23</v>
      </c>
      <c r="E2362" s="81" t="s">
        <v>2865</v>
      </c>
      <c r="F2362" s="82" t="str">
        <f aca="false">IF(E2362="","",IF(LEFT(E2362,2)="DJ","DJ","JN"))</f>
        <v>JN</v>
      </c>
      <c r="G2362" s="81" t="s">
        <v>1504</v>
      </c>
      <c r="H2362" s="81" t="s">
        <v>871</v>
      </c>
      <c r="I2362" s="81" t="n">
        <v>9.53</v>
      </c>
      <c r="J2362" s="81" t="s">
        <v>872</v>
      </c>
      <c r="K2362" s="81" t="s">
        <v>879</v>
      </c>
      <c r="L2362" s="81" t="n">
        <v>2095240</v>
      </c>
      <c r="M2362" s="81" t="n">
        <v>15421111</v>
      </c>
      <c r="N2362" s="81" t="n">
        <v>11.94</v>
      </c>
      <c r="O2362" s="81" t="n">
        <v>2090310</v>
      </c>
      <c r="P2362" s="81" t="n">
        <v>15421109</v>
      </c>
      <c r="Q2362" s="81" t="n">
        <v>11.94</v>
      </c>
      <c r="R2362" s="81" t="s">
        <v>2858</v>
      </c>
      <c r="S2362" s="81"/>
      <c r="T2362" s="81"/>
      <c r="U2362" s="83" t="n">
        <v>46257</v>
      </c>
      <c r="V2362" s="83" t="n">
        <v>46257</v>
      </c>
      <c r="W2362" s="81" t="s">
        <v>2856</v>
      </c>
      <c r="X2362" s="81" t="s">
        <v>876</v>
      </c>
      <c r="Y2362" s="83" t="n">
        <v>46289</v>
      </c>
      <c r="Z2362" s="81" t="s">
        <v>2537</v>
      </c>
      <c r="AA2362" s="81" t="s">
        <v>876</v>
      </c>
      <c r="AB2362" s="81"/>
      <c r="AC2362" s="81"/>
      <c r="AD2362" s="81"/>
      <c r="AE2362" s="83"/>
      <c r="AF2362" s="81"/>
      <c r="AG2362" s="81"/>
      <c r="AH2362" s="81"/>
      <c r="AI2362" s="81"/>
      <c r="AJ2362" s="83"/>
      <c r="AK2362" s="81"/>
      <c r="AL2362" s="81"/>
      <c r="AM2362" s="83"/>
      <c r="AN2362" s="80"/>
      <c r="AO2362" s="82" t="n">
        <f aca="false">IF(E2362="","",(AA2362&lt;&gt;"")+(AG2362&lt;&gt;"")+(AL2362&lt;&gt;""))</f>
        <v>1</v>
      </c>
      <c r="AP2362" s="82" t="str">
        <f aca="false">IF(AL2362&lt;&gt;"",AL2362,IF(AG2362&lt;&gt;"",AG2362,IF(AA2362&lt;&gt;"",AA2362,"")))</f>
        <v>A</v>
      </c>
      <c r="AQ2362" s="84" t="str">
        <f aca="false">IF(E2362="","",IF(U2362="","À SOUDER",IF(X2362="","VT EN ATTENTE",IF(X2362="R","VT REJETÉ – À REPRENDRE",IF(AP2362="","À RADIOGRAPHIER",IF(AP2362="A","ACCEPTÉ",IF(AP2362="NX","NX – RT À REFAIRE",IF(IF(AO2362=1,AD2362,IF(AO2362=2,AI2362,""))="A","RÉPARÉ – À RADIOGRAPHIER",IF(IF(AO2362=1,AD2362,IF(AO2362=2,AI2362,""))="R","VT REJETÉ – À REPRENDRE",IF(OR(AP2362="CO",AP2362="NT"),"COUPE – À RESOUDER","À RÉPARER"))))))))))</f>
        <v>ACCEPTÉ</v>
      </c>
      <c r="AR2362" s="82" t="str">
        <f aca="false">IF(AND(ISNUMBER(U2362),OR(AQ2362="À RADIOGRAPHIER",AQ2362="RÉPARÉ – À RADIOGRAPHIER",AQ2362="NX – RT À REFAIRE",AQ2362="À RÉPARER",AQ2362="COUPE – À RESOUDER",AQ2362="VT REJETÉ – À REPRENDRE")),MAX(0,'PROGRAMME RT'!$C$4-U2362),"")</f>
        <v/>
      </c>
      <c r="AS2362" s="82" t="n">
        <f aca="false">IF(AND(OR(AQ2362="À RADIOGRAPHIER",AQ2362="RÉPARÉ – À RADIOGRAPHIER",AQ2362="NX – RT À REFAIRE"),OR('PROGRAMME RT'!$D$5="TOUTES",B2362='PROGRAMME RT'!$D$5)),1,0)</f>
        <v>0</v>
      </c>
      <c r="AT2362" s="82" t="str">
        <f aca="false">IF(AS2362=1,SUM(AS$7:AS2362),"")</f>
        <v/>
      </c>
      <c r="AU2362" s="82" t="n">
        <f aca="false">IF(AND(OR(AA2362="R",AA2362="NX",AA2362="NT",AA2362="CO"),OR('JOINTS DE RÉPARATION'!$D$5="TOUTES",B2362='JOINTS DE RÉPARATION'!$D$5),OR('JOINTS DE RÉPARATION'!$L$4="TOUS",AQ2362&lt;&gt;"ACCEPTÉ")),1,0)</f>
        <v>0</v>
      </c>
      <c r="AV2362" s="82" t="str">
        <f aca="false">IF(AU2362=1,SUM(AU$7:AU2362),"")</f>
        <v/>
      </c>
      <c r="AW2362" s="82" t="str">
        <f aca="false">IF(E2362="","",B2362&amp;"|"&amp;E2362)</f>
        <v>MFD-ISW → MFD-CPF|JN°1878</v>
      </c>
    </row>
    <row r="2363" customFormat="false" ht="74.6" hidden="false" customHeight="false" outlineLevel="0" collapsed="false">
      <c r="A2363" s="79" t="n">
        <f aca="false">IF(E2363="","",ROW()-6)</f>
        <v>2357</v>
      </c>
      <c r="B2363" s="80" t="s">
        <v>110</v>
      </c>
      <c r="C2363" s="81" t="s">
        <v>926</v>
      </c>
      <c r="D2363" s="81" t="n">
        <v>23</v>
      </c>
      <c r="E2363" s="81" t="s">
        <v>2866</v>
      </c>
      <c r="F2363" s="82" t="str">
        <f aca="false">IF(E2363="","",IF(LEFT(E2363,2)="DJ","DJ","JN"))</f>
        <v>JN</v>
      </c>
      <c r="G2363" s="81"/>
      <c r="H2363" s="81"/>
      <c r="I2363" s="81"/>
      <c r="J2363" s="81"/>
      <c r="K2363" s="81"/>
      <c r="L2363" s="81" t="n">
        <v>2090310</v>
      </c>
      <c r="M2363" s="81" t="n">
        <v>15421109</v>
      </c>
      <c r="N2363" s="81" t="n">
        <v>11.94</v>
      </c>
      <c r="O2363" s="81"/>
      <c r="P2363" s="81"/>
      <c r="Q2363" s="81"/>
      <c r="R2363" s="81"/>
      <c r="S2363" s="81"/>
      <c r="T2363" s="81"/>
      <c r="U2363" s="83"/>
      <c r="V2363" s="83"/>
      <c r="W2363" s="81"/>
      <c r="X2363" s="81"/>
      <c r="Y2363" s="83"/>
      <c r="Z2363" s="81"/>
      <c r="AA2363" s="81"/>
      <c r="AB2363" s="81"/>
      <c r="AC2363" s="81"/>
      <c r="AD2363" s="81"/>
      <c r="AE2363" s="83"/>
      <c r="AF2363" s="81"/>
      <c r="AG2363" s="81"/>
      <c r="AH2363" s="81"/>
      <c r="AI2363" s="81"/>
      <c r="AJ2363" s="83"/>
      <c r="AK2363" s="81"/>
      <c r="AL2363" s="81"/>
      <c r="AM2363" s="83"/>
      <c r="AN2363" s="80"/>
      <c r="AO2363" s="82" t="n">
        <f aca="false">IF(E2363="","",(AA2363&lt;&gt;"")+(AG2363&lt;&gt;"")+(AL2363&lt;&gt;""))</f>
        <v>0</v>
      </c>
      <c r="AP2363" s="82" t="str">
        <f aca="false">IF(AL2363&lt;&gt;"",AL2363,IF(AG2363&lt;&gt;"",AG2363,IF(AA2363&lt;&gt;"",AA2363,"")))</f>
        <v/>
      </c>
      <c r="AQ2363" s="84" t="str">
        <f aca="false">IF(E2363="","",IF(U2363="","À SOUDER",IF(X2363="","VT EN ATTENTE",IF(X2363="R","VT REJETÉ – À REPRENDRE",IF(AP2363="","À RADIOGRAPHIER",IF(AP2363="A","ACCEPTÉ",IF(AP2363="NX","NX – RT À REFAIRE",IF(IF(AO2363=1,AD2363,IF(AO2363=2,AI2363,""))="A","RÉPARÉ – À RADIOGRAPHIER",IF(IF(AO2363=1,AD2363,IF(AO2363=2,AI2363,""))="R","VT REJETÉ – À REPRENDRE",IF(OR(AP2363="CO",AP2363="NT"),"COUPE – À RESOUDER","À RÉPARER"))))))))))</f>
        <v>À SOUDER</v>
      </c>
      <c r="AR2363" s="82" t="str">
        <f aca="false">IF(AND(ISNUMBER(U2363),OR(AQ2363="À RADIOGRAPHIER",AQ2363="RÉPARÉ – À RADIOGRAPHIER",AQ2363="NX – RT À REFAIRE",AQ2363="À RÉPARER",AQ2363="COUPE – À RESOUDER",AQ2363="VT REJETÉ – À REPRENDRE")),MAX(0,'PROGRAMME RT'!$C$4-U2363),"")</f>
        <v/>
      </c>
      <c r="AS2363" s="82" t="n">
        <f aca="false">IF(AND(OR(AQ2363="À RADIOGRAPHIER",AQ2363="RÉPARÉ – À RADIOGRAPHIER",AQ2363="NX – RT À REFAIRE"),OR('PROGRAMME RT'!$D$5="TOUTES",B2363='PROGRAMME RT'!$D$5)),1,0)</f>
        <v>0</v>
      </c>
      <c r="AT2363" s="82" t="str">
        <f aca="false">IF(AS2363=1,SUM(AS$7:AS2363),"")</f>
        <v/>
      </c>
      <c r="AU2363" s="82" t="n">
        <f aca="false">IF(AND(OR(AA2363="R",AA2363="NX",AA2363="NT",AA2363="CO"),OR('JOINTS DE RÉPARATION'!$D$5="TOUTES",B2363='JOINTS DE RÉPARATION'!$D$5),OR('JOINTS DE RÉPARATION'!$L$4="TOUS",AQ2363&lt;&gt;"ACCEPTÉ")),1,0)</f>
        <v>0</v>
      </c>
      <c r="AV2363" s="82" t="str">
        <f aca="false">IF(AU2363=1,SUM(AU$7:AU2363),"")</f>
        <v/>
      </c>
      <c r="AW2363" s="82" t="str">
        <f aca="false">IF(E2363="","",B2363&amp;"|"&amp;E2363)</f>
        <v>MFD-ISW → MFD-CPF|JN°1879</v>
      </c>
    </row>
    <row r="2364" customFormat="false" ht="74.6" hidden="false" customHeight="false" outlineLevel="0" collapsed="false">
      <c r="A2364" s="79" t="n">
        <f aca="false">IF(E2364="","",ROW()-6)</f>
        <v>2358</v>
      </c>
      <c r="B2364" s="80" t="s">
        <v>110</v>
      </c>
      <c r="C2364" s="81" t="s">
        <v>926</v>
      </c>
      <c r="D2364" s="81" t="n">
        <v>23</v>
      </c>
      <c r="E2364" s="81" t="s">
        <v>2867</v>
      </c>
      <c r="F2364" s="82" t="str">
        <f aca="false">IF(E2364="","",IF(LEFT(E2364,2)="DJ","DJ","JN"))</f>
        <v>JN</v>
      </c>
      <c r="G2364" s="81"/>
      <c r="H2364" s="81"/>
      <c r="I2364" s="81"/>
      <c r="J2364" s="81"/>
      <c r="K2364" s="81"/>
      <c r="L2364" s="81"/>
      <c r="M2364" s="81"/>
      <c r="N2364" s="81"/>
      <c r="O2364" s="81"/>
      <c r="P2364" s="81"/>
      <c r="Q2364" s="81"/>
      <c r="R2364" s="81"/>
      <c r="S2364" s="81"/>
      <c r="T2364" s="81"/>
      <c r="U2364" s="83"/>
      <c r="V2364" s="83"/>
      <c r="W2364" s="81"/>
      <c r="X2364" s="81"/>
      <c r="Y2364" s="83"/>
      <c r="Z2364" s="81"/>
      <c r="AA2364" s="81"/>
      <c r="AB2364" s="81"/>
      <c r="AC2364" s="81"/>
      <c r="AD2364" s="81"/>
      <c r="AE2364" s="83"/>
      <c r="AF2364" s="81"/>
      <c r="AG2364" s="81"/>
      <c r="AH2364" s="81"/>
      <c r="AI2364" s="81"/>
      <c r="AJ2364" s="83"/>
      <c r="AK2364" s="81"/>
      <c r="AL2364" s="81"/>
      <c r="AM2364" s="83"/>
      <c r="AN2364" s="80"/>
      <c r="AO2364" s="82" t="n">
        <f aca="false">IF(E2364="","",(AA2364&lt;&gt;"")+(AG2364&lt;&gt;"")+(AL2364&lt;&gt;""))</f>
        <v>0</v>
      </c>
      <c r="AP2364" s="82" t="str">
        <f aca="false">IF(AL2364&lt;&gt;"",AL2364,IF(AG2364&lt;&gt;"",AG2364,IF(AA2364&lt;&gt;"",AA2364,"")))</f>
        <v/>
      </c>
      <c r="AQ2364" s="84" t="str">
        <f aca="false">IF(E2364="","",IF(U2364="","À SOUDER",IF(X2364="","VT EN ATTENTE",IF(X2364="R","VT REJETÉ – À REPRENDRE",IF(AP2364="","À RADIOGRAPHIER",IF(AP2364="A","ACCEPTÉ",IF(AP2364="NX","NX – RT À REFAIRE",IF(IF(AO2364=1,AD2364,IF(AO2364=2,AI2364,""))="A","RÉPARÉ – À RADIOGRAPHIER",IF(IF(AO2364=1,AD2364,IF(AO2364=2,AI2364,""))="R","VT REJETÉ – À REPRENDRE",IF(OR(AP2364="CO",AP2364="NT"),"COUPE – À RESOUDER","À RÉPARER"))))))))))</f>
        <v>À SOUDER</v>
      </c>
      <c r="AR2364" s="82" t="str">
        <f aca="false">IF(AND(ISNUMBER(U2364),OR(AQ2364="À RADIOGRAPHIER",AQ2364="RÉPARÉ – À RADIOGRAPHIER",AQ2364="NX – RT À REFAIRE",AQ2364="À RÉPARER",AQ2364="COUPE – À RESOUDER",AQ2364="VT REJETÉ – À REPRENDRE")),MAX(0,'PROGRAMME RT'!$C$4-U2364),"")</f>
        <v/>
      </c>
      <c r="AS2364" s="82" t="n">
        <f aca="false">IF(AND(OR(AQ2364="À RADIOGRAPHIER",AQ2364="RÉPARÉ – À RADIOGRAPHIER",AQ2364="NX – RT À REFAIRE"),OR('PROGRAMME RT'!$D$5="TOUTES",B2364='PROGRAMME RT'!$D$5)),1,0)</f>
        <v>0</v>
      </c>
      <c r="AT2364" s="82" t="str">
        <f aca="false">IF(AS2364=1,SUM(AS$7:AS2364),"")</f>
        <v/>
      </c>
      <c r="AU2364" s="82" t="n">
        <f aca="false">IF(AND(OR(AA2364="R",AA2364="NX",AA2364="NT",AA2364="CO"),OR('JOINTS DE RÉPARATION'!$D$5="TOUTES",B2364='JOINTS DE RÉPARATION'!$D$5),OR('JOINTS DE RÉPARATION'!$L$4="TOUS",AQ2364&lt;&gt;"ACCEPTÉ")),1,0)</f>
        <v>0</v>
      </c>
      <c r="AV2364" s="82" t="str">
        <f aca="false">IF(AU2364=1,SUM(AU$7:AU2364),"")</f>
        <v/>
      </c>
      <c r="AW2364" s="82" t="str">
        <f aca="false">IF(E2364="","",B2364&amp;"|"&amp;E2364)</f>
        <v>MFD-ISW → MFD-CPF|JN°1880</v>
      </c>
    </row>
    <row r="2365" customFormat="false" ht="74.6" hidden="false" customHeight="false" outlineLevel="0" collapsed="false">
      <c r="A2365" s="79" t="n">
        <f aca="false">IF(E2365="","",ROW()-6)</f>
        <v>2359</v>
      </c>
      <c r="B2365" s="80" t="s">
        <v>110</v>
      </c>
      <c r="C2365" s="81" t="s">
        <v>926</v>
      </c>
      <c r="D2365" s="81" t="n">
        <v>23</v>
      </c>
      <c r="E2365" s="81" t="s">
        <v>2868</v>
      </c>
      <c r="F2365" s="82" t="str">
        <f aca="false">IF(E2365="","",IF(LEFT(E2365,2)="DJ","DJ","JN"))</f>
        <v>JN</v>
      </c>
      <c r="G2365" s="81"/>
      <c r="H2365" s="81"/>
      <c r="I2365" s="81"/>
      <c r="J2365" s="81"/>
      <c r="K2365" s="81"/>
      <c r="L2365" s="81"/>
      <c r="M2365" s="81"/>
      <c r="N2365" s="81"/>
      <c r="O2365" s="81"/>
      <c r="P2365" s="81"/>
      <c r="Q2365" s="81"/>
      <c r="R2365" s="81"/>
      <c r="S2365" s="81"/>
      <c r="T2365" s="81"/>
      <c r="U2365" s="83"/>
      <c r="V2365" s="83"/>
      <c r="W2365" s="81"/>
      <c r="X2365" s="81"/>
      <c r="Y2365" s="83"/>
      <c r="Z2365" s="81"/>
      <c r="AA2365" s="81"/>
      <c r="AB2365" s="81"/>
      <c r="AC2365" s="81"/>
      <c r="AD2365" s="81"/>
      <c r="AE2365" s="83"/>
      <c r="AF2365" s="81"/>
      <c r="AG2365" s="81"/>
      <c r="AH2365" s="81"/>
      <c r="AI2365" s="81"/>
      <c r="AJ2365" s="83"/>
      <c r="AK2365" s="81"/>
      <c r="AL2365" s="81"/>
      <c r="AM2365" s="83"/>
      <c r="AN2365" s="80"/>
      <c r="AO2365" s="82" t="n">
        <f aca="false">IF(E2365="","",(AA2365&lt;&gt;"")+(AG2365&lt;&gt;"")+(AL2365&lt;&gt;""))</f>
        <v>0</v>
      </c>
      <c r="AP2365" s="82" t="str">
        <f aca="false">IF(AL2365&lt;&gt;"",AL2365,IF(AG2365&lt;&gt;"",AG2365,IF(AA2365&lt;&gt;"",AA2365,"")))</f>
        <v/>
      </c>
      <c r="AQ2365" s="84" t="str">
        <f aca="false">IF(E2365="","",IF(U2365="","À SOUDER",IF(X2365="","VT EN ATTENTE",IF(X2365="R","VT REJETÉ – À REPRENDRE",IF(AP2365="","À RADIOGRAPHIER",IF(AP2365="A","ACCEPTÉ",IF(AP2365="NX","NX – RT À REFAIRE",IF(IF(AO2365=1,AD2365,IF(AO2365=2,AI2365,""))="A","RÉPARÉ – À RADIOGRAPHIER",IF(IF(AO2365=1,AD2365,IF(AO2365=2,AI2365,""))="R","VT REJETÉ – À REPRENDRE",IF(OR(AP2365="CO",AP2365="NT"),"COUPE – À RESOUDER","À RÉPARER"))))))))))</f>
        <v>À SOUDER</v>
      </c>
      <c r="AR2365" s="82" t="str">
        <f aca="false">IF(AND(ISNUMBER(U2365),OR(AQ2365="À RADIOGRAPHIER",AQ2365="RÉPARÉ – À RADIOGRAPHIER",AQ2365="NX – RT À REFAIRE",AQ2365="À RÉPARER",AQ2365="COUPE – À RESOUDER",AQ2365="VT REJETÉ – À REPRENDRE")),MAX(0,'PROGRAMME RT'!$C$4-U2365),"")</f>
        <v/>
      </c>
      <c r="AS2365" s="82" t="n">
        <f aca="false">IF(AND(OR(AQ2365="À RADIOGRAPHIER",AQ2365="RÉPARÉ – À RADIOGRAPHIER",AQ2365="NX – RT À REFAIRE"),OR('PROGRAMME RT'!$D$5="TOUTES",B2365='PROGRAMME RT'!$D$5)),1,0)</f>
        <v>0</v>
      </c>
      <c r="AT2365" s="82" t="str">
        <f aca="false">IF(AS2365=1,SUM(AS$7:AS2365),"")</f>
        <v/>
      </c>
      <c r="AU2365" s="82" t="n">
        <f aca="false">IF(AND(OR(AA2365="R",AA2365="NX",AA2365="NT",AA2365="CO"),OR('JOINTS DE RÉPARATION'!$D$5="TOUTES",B2365='JOINTS DE RÉPARATION'!$D$5),OR('JOINTS DE RÉPARATION'!$L$4="TOUS",AQ2365&lt;&gt;"ACCEPTÉ")),1,0)</f>
        <v>0</v>
      </c>
      <c r="AV2365" s="82" t="str">
        <f aca="false">IF(AU2365=1,SUM(AU$7:AU2365),"")</f>
        <v/>
      </c>
      <c r="AW2365" s="82" t="str">
        <f aca="false">IF(E2365="","",B2365&amp;"|"&amp;E2365)</f>
        <v>MFD-ISW → MFD-CPF|JN°1881</v>
      </c>
    </row>
    <row r="2366" customFormat="false" ht="74.6" hidden="false" customHeight="false" outlineLevel="0" collapsed="false">
      <c r="A2366" s="79" t="n">
        <f aca="false">IF(E2366="","",ROW()-6)</f>
        <v>2360</v>
      </c>
      <c r="B2366" s="80" t="s">
        <v>110</v>
      </c>
      <c r="C2366" s="81" t="s">
        <v>926</v>
      </c>
      <c r="D2366" s="81" t="n">
        <v>23</v>
      </c>
      <c r="E2366" s="81" t="s">
        <v>2869</v>
      </c>
      <c r="F2366" s="82" t="str">
        <f aca="false">IF(E2366="","",IF(LEFT(E2366,2)="DJ","DJ","JN"))</f>
        <v>JN</v>
      </c>
      <c r="G2366" s="81"/>
      <c r="H2366" s="81"/>
      <c r="I2366" s="81"/>
      <c r="J2366" s="81"/>
      <c r="K2366" s="81"/>
      <c r="L2366" s="81"/>
      <c r="M2366" s="81"/>
      <c r="N2366" s="81"/>
      <c r="O2366" s="81"/>
      <c r="P2366" s="81"/>
      <c r="Q2366" s="81"/>
      <c r="R2366" s="81"/>
      <c r="S2366" s="81"/>
      <c r="T2366" s="81"/>
      <c r="U2366" s="83"/>
      <c r="V2366" s="83"/>
      <c r="W2366" s="81"/>
      <c r="X2366" s="81"/>
      <c r="Y2366" s="83"/>
      <c r="Z2366" s="81"/>
      <c r="AA2366" s="81"/>
      <c r="AB2366" s="81"/>
      <c r="AC2366" s="81"/>
      <c r="AD2366" s="81"/>
      <c r="AE2366" s="83"/>
      <c r="AF2366" s="81"/>
      <c r="AG2366" s="81"/>
      <c r="AH2366" s="81"/>
      <c r="AI2366" s="81"/>
      <c r="AJ2366" s="83"/>
      <c r="AK2366" s="81"/>
      <c r="AL2366" s="81"/>
      <c r="AM2366" s="83"/>
      <c r="AN2366" s="80"/>
      <c r="AO2366" s="82" t="n">
        <f aca="false">IF(E2366="","",(AA2366&lt;&gt;"")+(AG2366&lt;&gt;"")+(AL2366&lt;&gt;""))</f>
        <v>0</v>
      </c>
      <c r="AP2366" s="82" t="str">
        <f aca="false">IF(AL2366&lt;&gt;"",AL2366,IF(AG2366&lt;&gt;"",AG2366,IF(AA2366&lt;&gt;"",AA2366,"")))</f>
        <v/>
      </c>
      <c r="AQ2366" s="84" t="str">
        <f aca="false">IF(E2366="","",IF(U2366="","À SOUDER",IF(X2366="","VT EN ATTENTE",IF(X2366="R","VT REJETÉ – À REPRENDRE",IF(AP2366="","À RADIOGRAPHIER",IF(AP2366="A","ACCEPTÉ",IF(AP2366="NX","NX – RT À REFAIRE",IF(IF(AO2366=1,AD2366,IF(AO2366=2,AI2366,""))="A","RÉPARÉ – À RADIOGRAPHIER",IF(IF(AO2366=1,AD2366,IF(AO2366=2,AI2366,""))="R","VT REJETÉ – À REPRENDRE",IF(OR(AP2366="CO",AP2366="NT"),"COUPE – À RESOUDER","À RÉPARER"))))))))))</f>
        <v>À SOUDER</v>
      </c>
      <c r="AR2366" s="82" t="str">
        <f aca="false">IF(AND(ISNUMBER(U2366),OR(AQ2366="À RADIOGRAPHIER",AQ2366="RÉPARÉ – À RADIOGRAPHIER",AQ2366="NX – RT À REFAIRE",AQ2366="À RÉPARER",AQ2366="COUPE – À RESOUDER",AQ2366="VT REJETÉ – À REPRENDRE")),MAX(0,'PROGRAMME RT'!$C$4-U2366),"")</f>
        <v/>
      </c>
      <c r="AS2366" s="82" t="n">
        <f aca="false">IF(AND(OR(AQ2366="À RADIOGRAPHIER",AQ2366="RÉPARÉ – À RADIOGRAPHIER",AQ2366="NX – RT À REFAIRE"),OR('PROGRAMME RT'!$D$5="TOUTES",B2366='PROGRAMME RT'!$D$5)),1,0)</f>
        <v>0</v>
      </c>
      <c r="AT2366" s="82" t="str">
        <f aca="false">IF(AS2366=1,SUM(AS$7:AS2366),"")</f>
        <v/>
      </c>
      <c r="AU2366" s="82" t="n">
        <f aca="false">IF(AND(OR(AA2366="R",AA2366="NX",AA2366="NT",AA2366="CO"),OR('JOINTS DE RÉPARATION'!$D$5="TOUTES",B2366='JOINTS DE RÉPARATION'!$D$5),OR('JOINTS DE RÉPARATION'!$L$4="TOUS",AQ2366&lt;&gt;"ACCEPTÉ")),1,0)</f>
        <v>0</v>
      </c>
      <c r="AV2366" s="82" t="str">
        <f aca="false">IF(AU2366=1,SUM(AU$7:AU2366),"")</f>
        <v/>
      </c>
      <c r="AW2366" s="82" t="str">
        <f aca="false">IF(E2366="","",B2366&amp;"|"&amp;E2366)</f>
        <v>MFD-ISW → MFD-CPF|JN°1882</v>
      </c>
    </row>
    <row r="2367" customFormat="false" ht="74.6" hidden="false" customHeight="false" outlineLevel="0" collapsed="false">
      <c r="A2367" s="79" t="n">
        <f aca="false">IF(E2367="","",ROW()-6)</f>
        <v>2361</v>
      </c>
      <c r="B2367" s="80" t="s">
        <v>110</v>
      </c>
      <c r="C2367" s="81" t="s">
        <v>926</v>
      </c>
      <c r="D2367" s="81" t="n">
        <v>23</v>
      </c>
      <c r="E2367" s="81" t="s">
        <v>2870</v>
      </c>
      <c r="F2367" s="82" t="str">
        <f aca="false">IF(E2367="","",IF(LEFT(E2367,2)="DJ","DJ","JN"))</f>
        <v>JN</v>
      </c>
      <c r="G2367" s="81"/>
      <c r="H2367" s="81"/>
      <c r="I2367" s="81"/>
      <c r="J2367" s="81"/>
      <c r="K2367" s="81"/>
      <c r="L2367" s="81"/>
      <c r="M2367" s="81"/>
      <c r="N2367" s="81"/>
      <c r="O2367" s="81"/>
      <c r="P2367" s="81"/>
      <c r="Q2367" s="81"/>
      <c r="R2367" s="81"/>
      <c r="S2367" s="81"/>
      <c r="T2367" s="81"/>
      <c r="U2367" s="83"/>
      <c r="V2367" s="83"/>
      <c r="W2367" s="81"/>
      <c r="X2367" s="81"/>
      <c r="Y2367" s="83"/>
      <c r="Z2367" s="81"/>
      <c r="AA2367" s="81"/>
      <c r="AB2367" s="81"/>
      <c r="AC2367" s="81"/>
      <c r="AD2367" s="81"/>
      <c r="AE2367" s="83"/>
      <c r="AF2367" s="81"/>
      <c r="AG2367" s="81"/>
      <c r="AH2367" s="81"/>
      <c r="AI2367" s="81"/>
      <c r="AJ2367" s="83"/>
      <c r="AK2367" s="81"/>
      <c r="AL2367" s="81"/>
      <c r="AM2367" s="83"/>
      <c r="AN2367" s="80"/>
      <c r="AO2367" s="82" t="n">
        <f aca="false">IF(E2367="","",(AA2367&lt;&gt;"")+(AG2367&lt;&gt;"")+(AL2367&lt;&gt;""))</f>
        <v>0</v>
      </c>
      <c r="AP2367" s="82" t="str">
        <f aca="false">IF(AL2367&lt;&gt;"",AL2367,IF(AG2367&lt;&gt;"",AG2367,IF(AA2367&lt;&gt;"",AA2367,"")))</f>
        <v/>
      </c>
      <c r="AQ2367" s="84" t="str">
        <f aca="false">IF(E2367="","",IF(U2367="","À SOUDER",IF(X2367="","VT EN ATTENTE",IF(X2367="R","VT REJETÉ – À REPRENDRE",IF(AP2367="","À RADIOGRAPHIER",IF(AP2367="A","ACCEPTÉ",IF(AP2367="NX","NX – RT À REFAIRE",IF(IF(AO2367=1,AD2367,IF(AO2367=2,AI2367,""))="A","RÉPARÉ – À RADIOGRAPHIER",IF(IF(AO2367=1,AD2367,IF(AO2367=2,AI2367,""))="R","VT REJETÉ – À REPRENDRE",IF(OR(AP2367="CO",AP2367="NT"),"COUPE – À RESOUDER","À RÉPARER"))))))))))</f>
        <v>À SOUDER</v>
      </c>
      <c r="AR2367" s="82" t="str">
        <f aca="false">IF(AND(ISNUMBER(U2367),OR(AQ2367="À RADIOGRAPHIER",AQ2367="RÉPARÉ – À RADIOGRAPHIER",AQ2367="NX – RT À REFAIRE",AQ2367="À RÉPARER",AQ2367="COUPE – À RESOUDER",AQ2367="VT REJETÉ – À REPRENDRE")),MAX(0,'PROGRAMME RT'!$C$4-U2367),"")</f>
        <v/>
      </c>
      <c r="AS2367" s="82" t="n">
        <f aca="false">IF(AND(OR(AQ2367="À RADIOGRAPHIER",AQ2367="RÉPARÉ – À RADIOGRAPHIER",AQ2367="NX – RT À REFAIRE"),OR('PROGRAMME RT'!$D$5="TOUTES",B2367='PROGRAMME RT'!$D$5)),1,0)</f>
        <v>0</v>
      </c>
      <c r="AT2367" s="82" t="str">
        <f aca="false">IF(AS2367=1,SUM(AS$7:AS2367),"")</f>
        <v/>
      </c>
      <c r="AU2367" s="82" t="n">
        <f aca="false">IF(AND(OR(AA2367="R",AA2367="NX",AA2367="NT",AA2367="CO"),OR('JOINTS DE RÉPARATION'!$D$5="TOUTES",B2367='JOINTS DE RÉPARATION'!$D$5),OR('JOINTS DE RÉPARATION'!$L$4="TOUS",AQ2367&lt;&gt;"ACCEPTÉ")),1,0)</f>
        <v>0</v>
      </c>
      <c r="AV2367" s="82" t="str">
        <f aca="false">IF(AU2367=1,SUM(AU$7:AU2367),"")</f>
        <v/>
      </c>
      <c r="AW2367" s="82" t="str">
        <f aca="false">IF(E2367="","",B2367&amp;"|"&amp;E2367)</f>
        <v>MFD-ISW → MFD-CPF|JN°1883</v>
      </c>
    </row>
    <row r="2368" customFormat="false" ht="74.6" hidden="false" customHeight="false" outlineLevel="0" collapsed="false">
      <c r="A2368" s="79" t="n">
        <f aca="false">IF(E2368="","",ROW()-6)</f>
        <v>2362</v>
      </c>
      <c r="B2368" s="80" t="s">
        <v>110</v>
      </c>
      <c r="C2368" s="81" t="s">
        <v>926</v>
      </c>
      <c r="D2368" s="81" t="n">
        <v>23</v>
      </c>
      <c r="E2368" s="81" t="s">
        <v>2871</v>
      </c>
      <c r="F2368" s="82" t="str">
        <f aca="false">IF(E2368="","",IF(LEFT(E2368,2)="DJ","DJ","JN"))</f>
        <v>JN</v>
      </c>
      <c r="G2368" s="81"/>
      <c r="H2368" s="81"/>
      <c r="I2368" s="81"/>
      <c r="J2368" s="81"/>
      <c r="K2368" s="81"/>
      <c r="L2368" s="81"/>
      <c r="M2368" s="81"/>
      <c r="N2368" s="81"/>
      <c r="O2368" s="81"/>
      <c r="P2368" s="81"/>
      <c r="Q2368" s="81"/>
      <c r="R2368" s="81"/>
      <c r="S2368" s="81"/>
      <c r="T2368" s="81"/>
      <c r="U2368" s="83"/>
      <c r="V2368" s="83"/>
      <c r="W2368" s="81"/>
      <c r="X2368" s="81"/>
      <c r="Y2368" s="83"/>
      <c r="Z2368" s="81"/>
      <c r="AA2368" s="81"/>
      <c r="AB2368" s="81"/>
      <c r="AC2368" s="81"/>
      <c r="AD2368" s="81"/>
      <c r="AE2368" s="83"/>
      <c r="AF2368" s="81"/>
      <c r="AG2368" s="81"/>
      <c r="AH2368" s="81"/>
      <c r="AI2368" s="81"/>
      <c r="AJ2368" s="83"/>
      <c r="AK2368" s="81"/>
      <c r="AL2368" s="81"/>
      <c r="AM2368" s="83"/>
      <c r="AN2368" s="80"/>
      <c r="AO2368" s="82" t="n">
        <f aca="false">IF(E2368="","",(AA2368&lt;&gt;"")+(AG2368&lt;&gt;"")+(AL2368&lt;&gt;""))</f>
        <v>0</v>
      </c>
      <c r="AP2368" s="82" t="str">
        <f aca="false">IF(AL2368&lt;&gt;"",AL2368,IF(AG2368&lt;&gt;"",AG2368,IF(AA2368&lt;&gt;"",AA2368,"")))</f>
        <v/>
      </c>
      <c r="AQ2368" s="84" t="str">
        <f aca="false">IF(E2368="","",IF(U2368="","À SOUDER",IF(X2368="","VT EN ATTENTE",IF(X2368="R","VT REJETÉ – À REPRENDRE",IF(AP2368="","À RADIOGRAPHIER",IF(AP2368="A","ACCEPTÉ",IF(AP2368="NX","NX – RT À REFAIRE",IF(IF(AO2368=1,AD2368,IF(AO2368=2,AI2368,""))="A","RÉPARÉ – À RADIOGRAPHIER",IF(IF(AO2368=1,AD2368,IF(AO2368=2,AI2368,""))="R","VT REJETÉ – À REPRENDRE",IF(OR(AP2368="CO",AP2368="NT"),"COUPE – À RESOUDER","À RÉPARER"))))))))))</f>
        <v>À SOUDER</v>
      </c>
      <c r="AR2368" s="82" t="str">
        <f aca="false">IF(AND(ISNUMBER(U2368),OR(AQ2368="À RADIOGRAPHIER",AQ2368="RÉPARÉ – À RADIOGRAPHIER",AQ2368="NX – RT À REFAIRE",AQ2368="À RÉPARER",AQ2368="COUPE – À RESOUDER",AQ2368="VT REJETÉ – À REPRENDRE")),MAX(0,'PROGRAMME RT'!$C$4-U2368),"")</f>
        <v/>
      </c>
      <c r="AS2368" s="82" t="n">
        <f aca="false">IF(AND(OR(AQ2368="À RADIOGRAPHIER",AQ2368="RÉPARÉ – À RADIOGRAPHIER",AQ2368="NX – RT À REFAIRE"),OR('PROGRAMME RT'!$D$5="TOUTES",B2368='PROGRAMME RT'!$D$5)),1,0)</f>
        <v>0</v>
      </c>
      <c r="AT2368" s="82" t="str">
        <f aca="false">IF(AS2368=1,SUM(AS$7:AS2368),"")</f>
        <v/>
      </c>
      <c r="AU2368" s="82" t="n">
        <f aca="false">IF(AND(OR(AA2368="R",AA2368="NX",AA2368="NT",AA2368="CO"),OR('JOINTS DE RÉPARATION'!$D$5="TOUTES",B2368='JOINTS DE RÉPARATION'!$D$5),OR('JOINTS DE RÉPARATION'!$L$4="TOUS",AQ2368&lt;&gt;"ACCEPTÉ")),1,0)</f>
        <v>0</v>
      </c>
      <c r="AV2368" s="82" t="str">
        <f aca="false">IF(AU2368=1,SUM(AU$7:AU2368),"")</f>
        <v/>
      </c>
      <c r="AW2368" s="82" t="str">
        <f aca="false">IF(E2368="","",B2368&amp;"|"&amp;E2368)</f>
        <v>MFD-ISW → MFD-CPF|JN°1884</v>
      </c>
    </row>
    <row r="2369" customFormat="false" ht="74.6" hidden="false" customHeight="false" outlineLevel="0" collapsed="false">
      <c r="A2369" s="79" t="n">
        <f aca="false">IF(E2369="","",ROW()-6)</f>
        <v>2363</v>
      </c>
      <c r="B2369" s="80" t="s">
        <v>110</v>
      </c>
      <c r="C2369" s="81" t="s">
        <v>926</v>
      </c>
      <c r="D2369" s="81" t="n">
        <v>23</v>
      </c>
      <c r="E2369" s="81" t="s">
        <v>2872</v>
      </c>
      <c r="F2369" s="82" t="str">
        <f aca="false">IF(E2369="","",IF(LEFT(E2369,2)="DJ","DJ","JN"))</f>
        <v>JN</v>
      </c>
      <c r="G2369" s="81"/>
      <c r="H2369" s="81"/>
      <c r="I2369" s="81"/>
      <c r="J2369" s="81"/>
      <c r="K2369" s="81"/>
      <c r="L2369" s="81"/>
      <c r="M2369" s="81"/>
      <c r="N2369" s="81"/>
      <c r="O2369" s="81"/>
      <c r="P2369" s="81"/>
      <c r="Q2369" s="81"/>
      <c r="R2369" s="81"/>
      <c r="S2369" s="81"/>
      <c r="T2369" s="81"/>
      <c r="U2369" s="83"/>
      <c r="V2369" s="83"/>
      <c r="W2369" s="81"/>
      <c r="X2369" s="81"/>
      <c r="Y2369" s="83"/>
      <c r="Z2369" s="81"/>
      <c r="AA2369" s="81"/>
      <c r="AB2369" s="81"/>
      <c r="AC2369" s="81"/>
      <c r="AD2369" s="81"/>
      <c r="AE2369" s="83"/>
      <c r="AF2369" s="81"/>
      <c r="AG2369" s="81"/>
      <c r="AH2369" s="81"/>
      <c r="AI2369" s="81"/>
      <c r="AJ2369" s="83"/>
      <c r="AK2369" s="81"/>
      <c r="AL2369" s="81"/>
      <c r="AM2369" s="83"/>
      <c r="AN2369" s="80"/>
      <c r="AO2369" s="82" t="n">
        <f aca="false">IF(E2369="","",(AA2369&lt;&gt;"")+(AG2369&lt;&gt;"")+(AL2369&lt;&gt;""))</f>
        <v>0</v>
      </c>
      <c r="AP2369" s="82" t="str">
        <f aca="false">IF(AL2369&lt;&gt;"",AL2369,IF(AG2369&lt;&gt;"",AG2369,IF(AA2369&lt;&gt;"",AA2369,"")))</f>
        <v/>
      </c>
      <c r="AQ2369" s="84" t="str">
        <f aca="false">IF(E2369="","",IF(U2369="","À SOUDER",IF(X2369="","VT EN ATTENTE",IF(X2369="R","VT REJETÉ – À REPRENDRE",IF(AP2369="","À RADIOGRAPHIER",IF(AP2369="A","ACCEPTÉ",IF(AP2369="NX","NX – RT À REFAIRE",IF(IF(AO2369=1,AD2369,IF(AO2369=2,AI2369,""))="A","RÉPARÉ – À RADIOGRAPHIER",IF(IF(AO2369=1,AD2369,IF(AO2369=2,AI2369,""))="R","VT REJETÉ – À REPRENDRE",IF(OR(AP2369="CO",AP2369="NT"),"COUPE – À RESOUDER","À RÉPARER"))))))))))</f>
        <v>À SOUDER</v>
      </c>
      <c r="AR2369" s="82" t="str">
        <f aca="false">IF(AND(ISNUMBER(U2369),OR(AQ2369="À RADIOGRAPHIER",AQ2369="RÉPARÉ – À RADIOGRAPHIER",AQ2369="NX – RT À REFAIRE",AQ2369="À RÉPARER",AQ2369="COUPE – À RESOUDER",AQ2369="VT REJETÉ – À REPRENDRE")),MAX(0,'PROGRAMME RT'!$C$4-U2369),"")</f>
        <v/>
      </c>
      <c r="AS2369" s="82" t="n">
        <f aca="false">IF(AND(OR(AQ2369="À RADIOGRAPHIER",AQ2369="RÉPARÉ – À RADIOGRAPHIER",AQ2369="NX – RT À REFAIRE"),OR('PROGRAMME RT'!$D$5="TOUTES",B2369='PROGRAMME RT'!$D$5)),1,0)</f>
        <v>0</v>
      </c>
      <c r="AT2369" s="82" t="str">
        <f aca="false">IF(AS2369=1,SUM(AS$7:AS2369),"")</f>
        <v/>
      </c>
      <c r="AU2369" s="82" t="n">
        <f aca="false">IF(AND(OR(AA2369="R",AA2369="NX",AA2369="NT",AA2369="CO"),OR('JOINTS DE RÉPARATION'!$D$5="TOUTES",B2369='JOINTS DE RÉPARATION'!$D$5),OR('JOINTS DE RÉPARATION'!$L$4="TOUS",AQ2369&lt;&gt;"ACCEPTÉ")),1,0)</f>
        <v>0</v>
      </c>
      <c r="AV2369" s="82" t="str">
        <f aca="false">IF(AU2369=1,SUM(AU$7:AU2369),"")</f>
        <v/>
      </c>
      <c r="AW2369" s="82" t="str">
        <f aca="false">IF(E2369="","",B2369&amp;"|"&amp;E2369)</f>
        <v>MFD-ISW → MFD-CPF|JN°1885</v>
      </c>
    </row>
    <row r="2370" customFormat="false" ht="74.6" hidden="false" customHeight="false" outlineLevel="0" collapsed="false">
      <c r="A2370" s="79" t="n">
        <f aca="false">IF(E2370="","",ROW()-6)</f>
        <v>2364</v>
      </c>
      <c r="B2370" s="80" t="s">
        <v>110</v>
      </c>
      <c r="C2370" s="81" t="s">
        <v>926</v>
      </c>
      <c r="D2370" s="81" t="n">
        <v>23</v>
      </c>
      <c r="E2370" s="81" t="s">
        <v>2873</v>
      </c>
      <c r="F2370" s="82" t="str">
        <f aca="false">IF(E2370="","",IF(LEFT(E2370,2)="DJ","DJ","JN"))</f>
        <v>JN</v>
      </c>
      <c r="G2370" s="81"/>
      <c r="H2370" s="81"/>
      <c r="I2370" s="81"/>
      <c r="J2370" s="81"/>
      <c r="K2370" s="81"/>
      <c r="L2370" s="81"/>
      <c r="M2370" s="81"/>
      <c r="N2370" s="81"/>
      <c r="O2370" s="81"/>
      <c r="P2370" s="81"/>
      <c r="Q2370" s="81"/>
      <c r="R2370" s="81"/>
      <c r="S2370" s="81"/>
      <c r="T2370" s="81"/>
      <c r="U2370" s="83"/>
      <c r="V2370" s="83"/>
      <c r="W2370" s="81"/>
      <c r="X2370" s="81"/>
      <c r="Y2370" s="83"/>
      <c r="Z2370" s="81"/>
      <c r="AA2370" s="81"/>
      <c r="AB2370" s="81"/>
      <c r="AC2370" s="81"/>
      <c r="AD2370" s="81"/>
      <c r="AE2370" s="83"/>
      <c r="AF2370" s="81"/>
      <c r="AG2370" s="81"/>
      <c r="AH2370" s="81"/>
      <c r="AI2370" s="81"/>
      <c r="AJ2370" s="83"/>
      <c r="AK2370" s="81"/>
      <c r="AL2370" s="81"/>
      <c r="AM2370" s="83"/>
      <c r="AN2370" s="80"/>
      <c r="AO2370" s="82" t="n">
        <f aca="false">IF(E2370="","",(AA2370&lt;&gt;"")+(AG2370&lt;&gt;"")+(AL2370&lt;&gt;""))</f>
        <v>0</v>
      </c>
      <c r="AP2370" s="82" t="str">
        <f aca="false">IF(AL2370&lt;&gt;"",AL2370,IF(AG2370&lt;&gt;"",AG2370,IF(AA2370&lt;&gt;"",AA2370,"")))</f>
        <v/>
      </c>
      <c r="AQ2370" s="84" t="str">
        <f aca="false">IF(E2370="","",IF(U2370="","À SOUDER",IF(X2370="","VT EN ATTENTE",IF(X2370="R","VT REJETÉ – À REPRENDRE",IF(AP2370="","À RADIOGRAPHIER",IF(AP2370="A","ACCEPTÉ",IF(AP2370="NX","NX – RT À REFAIRE",IF(IF(AO2370=1,AD2370,IF(AO2370=2,AI2370,""))="A","RÉPARÉ – À RADIOGRAPHIER",IF(IF(AO2370=1,AD2370,IF(AO2370=2,AI2370,""))="R","VT REJETÉ – À REPRENDRE",IF(OR(AP2370="CO",AP2370="NT"),"COUPE – À RESOUDER","À RÉPARER"))))))))))</f>
        <v>À SOUDER</v>
      </c>
      <c r="AR2370" s="82" t="str">
        <f aca="false">IF(AND(ISNUMBER(U2370),OR(AQ2370="À RADIOGRAPHIER",AQ2370="RÉPARÉ – À RADIOGRAPHIER",AQ2370="NX – RT À REFAIRE",AQ2370="À RÉPARER",AQ2370="COUPE – À RESOUDER",AQ2370="VT REJETÉ – À REPRENDRE")),MAX(0,'PROGRAMME RT'!$C$4-U2370),"")</f>
        <v/>
      </c>
      <c r="AS2370" s="82" t="n">
        <f aca="false">IF(AND(OR(AQ2370="À RADIOGRAPHIER",AQ2370="RÉPARÉ – À RADIOGRAPHIER",AQ2370="NX – RT À REFAIRE"),OR('PROGRAMME RT'!$D$5="TOUTES",B2370='PROGRAMME RT'!$D$5)),1,0)</f>
        <v>0</v>
      </c>
      <c r="AT2370" s="82" t="str">
        <f aca="false">IF(AS2370=1,SUM(AS$7:AS2370),"")</f>
        <v/>
      </c>
      <c r="AU2370" s="82" t="n">
        <f aca="false">IF(AND(OR(AA2370="R",AA2370="NX",AA2370="NT",AA2370="CO"),OR('JOINTS DE RÉPARATION'!$D$5="TOUTES",B2370='JOINTS DE RÉPARATION'!$D$5),OR('JOINTS DE RÉPARATION'!$L$4="TOUS",AQ2370&lt;&gt;"ACCEPTÉ")),1,0)</f>
        <v>0</v>
      </c>
      <c r="AV2370" s="82" t="str">
        <f aca="false">IF(AU2370=1,SUM(AU$7:AU2370),"")</f>
        <v/>
      </c>
      <c r="AW2370" s="82" t="str">
        <f aca="false">IF(E2370="","",B2370&amp;"|"&amp;E2370)</f>
        <v>MFD-ISW → MFD-CPF|JN°1886</v>
      </c>
    </row>
    <row r="2371" customFormat="false" ht="74.6" hidden="false" customHeight="false" outlineLevel="0" collapsed="false">
      <c r="A2371" s="79" t="n">
        <f aca="false">IF(E2371="","",ROW()-6)</f>
        <v>2365</v>
      </c>
      <c r="B2371" s="80" t="s">
        <v>110</v>
      </c>
      <c r="C2371" s="81" t="s">
        <v>926</v>
      </c>
      <c r="D2371" s="81" t="n">
        <v>23</v>
      </c>
      <c r="E2371" s="81" t="s">
        <v>2874</v>
      </c>
      <c r="F2371" s="82" t="str">
        <f aca="false">IF(E2371="","",IF(LEFT(E2371,2)="DJ","DJ","JN"))</f>
        <v>JN</v>
      </c>
      <c r="G2371" s="81"/>
      <c r="H2371" s="81"/>
      <c r="I2371" s="81"/>
      <c r="J2371" s="81"/>
      <c r="K2371" s="81"/>
      <c r="L2371" s="81"/>
      <c r="M2371" s="81"/>
      <c r="N2371" s="81"/>
      <c r="O2371" s="81"/>
      <c r="P2371" s="81"/>
      <c r="Q2371" s="81"/>
      <c r="R2371" s="81"/>
      <c r="S2371" s="81"/>
      <c r="T2371" s="81"/>
      <c r="U2371" s="83"/>
      <c r="V2371" s="83"/>
      <c r="W2371" s="81"/>
      <c r="X2371" s="81"/>
      <c r="Y2371" s="83"/>
      <c r="Z2371" s="81"/>
      <c r="AA2371" s="81"/>
      <c r="AB2371" s="81"/>
      <c r="AC2371" s="81"/>
      <c r="AD2371" s="81"/>
      <c r="AE2371" s="83"/>
      <c r="AF2371" s="81"/>
      <c r="AG2371" s="81"/>
      <c r="AH2371" s="81"/>
      <c r="AI2371" s="81"/>
      <c r="AJ2371" s="83"/>
      <c r="AK2371" s="81"/>
      <c r="AL2371" s="81"/>
      <c r="AM2371" s="83"/>
      <c r="AN2371" s="80"/>
      <c r="AO2371" s="82" t="n">
        <f aca="false">IF(E2371="","",(AA2371&lt;&gt;"")+(AG2371&lt;&gt;"")+(AL2371&lt;&gt;""))</f>
        <v>0</v>
      </c>
      <c r="AP2371" s="82" t="str">
        <f aca="false">IF(AL2371&lt;&gt;"",AL2371,IF(AG2371&lt;&gt;"",AG2371,IF(AA2371&lt;&gt;"",AA2371,"")))</f>
        <v/>
      </c>
      <c r="AQ2371" s="84" t="str">
        <f aca="false">IF(E2371="","",IF(U2371="","À SOUDER",IF(X2371="","VT EN ATTENTE",IF(X2371="R","VT REJETÉ – À REPRENDRE",IF(AP2371="","À RADIOGRAPHIER",IF(AP2371="A","ACCEPTÉ",IF(AP2371="NX","NX – RT À REFAIRE",IF(IF(AO2371=1,AD2371,IF(AO2371=2,AI2371,""))="A","RÉPARÉ – À RADIOGRAPHIER",IF(IF(AO2371=1,AD2371,IF(AO2371=2,AI2371,""))="R","VT REJETÉ – À REPRENDRE",IF(OR(AP2371="CO",AP2371="NT"),"COUPE – À RESOUDER","À RÉPARER"))))))))))</f>
        <v>À SOUDER</v>
      </c>
      <c r="AR2371" s="82" t="str">
        <f aca="false">IF(AND(ISNUMBER(U2371),OR(AQ2371="À RADIOGRAPHIER",AQ2371="RÉPARÉ – À RADIOGRAPHIER",AQ2371="NX – RT À REFAIRE",AQ2371="À RÉPARER",AQ2371="COUPE – À RESOUDER",AQ2371="VT REJETÉ – À REPRENDRE")),MAX(0,'PROGRAMME RT'!$C$4-U2371),"")</f>
        <v/>
      </c>
      <c r="AS2371" s="82" t="n">
        <f aca="false">IF(AND(OR(AQ2371="À RADIOGRAPHIER",AQ2371="RÉPARÉ – À RADIOGRAPHIER",AQ2371="NX – RT À REFAIRE"),OR('PROGRAMME RT'!$D$5="TOUTES",B2371='PROGRAMME RT'!$D$5)),1,0)</f>
        <v>0</v>
      </c>
      <c r="AT2371" s="82" t="str">
        <f aca="false">IF(AS2371=1,SUM(AS$7:AS2371),"")</f>
        <v/>
      </c>
      <c r="AU2371" s="82" t="n">
        <f aca="false">IF(AND(OR(AA2371="R",AA2371="NX",AA2371="NT",AA2371="CO"),OR('JOINTS DE RÉPARATION'!$D$5="TOUTES",B2371='JOINTS DE RÉPARATION'!$D$5),OR('JOINTS DE RÉPARATION'!$L$4="TOUS",AQ2371&lt;&gt;"ACCEPTÉ")),1,0)</f>
        <v>0</v>
      </c>
      <c r="AV2371" s="82" t="str">
        <f aca="false">IF(AU2371=1,SUM(AU$7:AU2371),"")</f>
        <v/>
      </c>
      <c r="AW2371" s="82" t="str">
        <f aca="false">IF(E2371="","",B2371&amp;"|"&amp;E2371)</f>
        <v>MFD-ISW → MFD-CPF|JN°1887</v>
      </c>
    </row>
    <row r="2372" customFormat="false" ht="74.6" hidden="false" customHeight="false" outlineLevel="0" collapsed="false">
      <c r="A2372" s="79" t="n">
        <f aca="false">IF(E2372="","",ROW()-6)</f>
        <v>2366</v>
      </c>
      <c r="B2372" s="80" t="s">
        <v>110</v>
      </c>
      <c r="C2372" s="81" t="s">
        <v>926</v>
      </c>
      <c r="D2372" s="81" t="n">
        <v>23</v>
      </c>
      <c r="E2372" s="81" t="s">
        <v>2875</v>
      </c>
      <c r="F2372" s="82" t="str">
        <f aca="false">IF(E2372="","",IF(LEFT(E2372,2)="DJ","DJ","JN"))</f>
        <v>JN</v>
      </c>
      <c r="G2372" s="81"/>
      <c r="H2372" s="81"/>
      <c r="I2372" s="81"/>
      <c r="J2372" s="81"/>
      <c r="K2372" s="81"/>
      <c r="L2372" s="81"/>
      <c r="M2372" s="81"/>
      <c r="N2372" s="81"/>
      <c r="O2372" s="81"/>
      <c r="P2372" s="81"/>
      <c r="Q2372" s="81"/>
      <c r="R2372" s="81"/>
      <c r="S2372" s="81"/>
      <c r="T2372" s="81"/>
      <c r="U2372" s="83"/>
      <c r="V2372" s="83"/>
      <c r="W2372" s="81"/>
      <c r="X2372" s="81"/>
      <c r="Y2372" s="83"/>
      <c r="Z2372" s="81"/>
      <c r="AA2372" s="81"/>
      <c r="AB2372" s="81"/>
      <c r="AC2372" s="81"/>
      <c r="AD2372" s="81"/>
      <c r="AE2372" s="83"/>
      <c r="AF2372" s="81"/>
      <c r="AG2372" s="81"/>
      <c r="AH2372" s="81"/>
      <c r="AI2372" s="81"/>
      <c r="AJ2372" s="83"/>
      <c r="AK2372" s="81"/>
      <c r="AL2372" s="81"/>
      <c r="AM2372" s="83"/>
      <c r="AN2372" s="80"/>
      <c r="AO2372" s="82" t="n">
        <f aca="false">IF(E2372="","",(AA2372&lt;&gt;"")+(AG2372&lt;&gt;"")+(AL2372&lt;&gt;""))</f>
        <v>0</v>
      </c>
      <c r="AP2372" s="82" t="str">
        <f aca="false">IF(AL2372&lt;&gt;"",AL2372,IF(AG2372&lt;&gt;"",AG2372,IF(AA2372&lt;&gt;"",AA2372,"")))</f>
        <v/>
      </c>
      <c r="AQ2372" s="84" t="str">
        <f aca="false">IF(E2372="","",IF(U2372="","À SOUDER",IF(X2372="","VT EN ATTENTE",IF(X2372="R","VT REJETÉ – À REPRENDRE",IF(AP2372="","À RADIOGRAPHIER",IF(AP2372="A","ACCEPTÉ",IF(AP2372="NX","NX – RT À REFAIRE",IF(IF(AO2372=1,AD2372,IF(AO2372=2,AI2372,""))="A","RÉPARÉ – À RADIOGRAPHIER",IF(IF(AO2372=1,AD2372,IF(AO2372=2,AI2372,""))="R","VT REJETÉ – À REPRENDRE",IF(OR(AP2372="CO",AP2372="NT"),"COUPE – À RESOUDER","À RÉPARER"))))))))))</f>
        <v>À SOUDER</v>
      </c>
      <c r="AR2372" s="82" t="str">
        <f aca="false">IF(AND(ISNUMBER(U2372),OR(AQ2372="À RADIOGRAPHIER",AQ2372="RÉPARÉ – À RADIOGRAPHIER",AQ2372="NX – RT À REFAIRE",AQ2372="À RÉPARER",AQ2372="COUPE – À RESOUDER",AQ2372="VT REJETÉ – À REPRENDRE")),MAX(0,'PROGRAMME RT'!$C$4-U2372),"")</f>
        <v/>
      </c>
      <c r="AS2372" s="82" t="n">
        <f aca="false">IF(AND(OR(AQ2372="À RADIOGRAPHIER",AQ2372="RÉPARÉ – À RADIOGRAPHIER",AQ2372="NX – RT À REFAIRE"),OR('PROGRAMME RT'!$D$5="TOUTES",B2372='PROGRAMME RT'!$D$5)),1,0)</f>
        <v>0</v>
      </c>
      <c r="AT2372" s="82" t="str">
        <f aca="false">IF(AS2372=1,SUM(AS$7:AS2372),"")</f>
        <v/>
      </c>
      <c r="AU2372" s="82" t="n">
        <f aca="false">IF(AND(OR(AA2372="R",AA2372="NX",AA2372="NT",AA2372="CO"),OR('JOINTS DE RÉPARATION'!$D$5="TOUTES",B2372='JOINTS DE RÉPARATION'!$D$5),OR('JOINTS DE RÉPARATION'!$L$4="TOUS",AQ2372&lt;&gt;"ACCEPTÉ")),1,0)</f>
        <v>0</v>
      </c>
      <c r="AV2372" s="82" t="str">
        <f aca="false">IF(AU2372=1,SUM(AU$7:AU2372),"")</f>
        <v/>
      </c>
      <c r="AW2372" s="82" t="str">
        <f aca="false">IF(E2372="","",B2372&amp;"|"&amp;E2372)</f>
        <v>MFD-ISW → MFD-CPF|JN°1888</v>
      </c>
    </row>
    <row r="2373" customFormat="false" ht="74.6" hidden="false" customHeight="false" outlineLevel="0" collapsed="false">
      <c r="A2373" s="79" t="n">
        <f aca="false">IF(E2373="","",ROW()-6)</f>
        <v>2367</v>
      </c>
      <c r="B2373" s="80" t="s">
        <v>110</v>
      </c>
      <c r="C2373" s="81" t="s">
        <v>926</v>
      </c>
      <c r="D2373" s="81" t="n">
        <v>23</v>
      </c>
      <c r="E2373" s="81" t="s">
        <v>2876</v>
      </c>
      <c r="F2373" s="82" t="str">
        <f aca="false">IF(E2373="","",IF(LEFT(E2373,2)="DJ","DJ","JN"))</f>
        <v>JN</v>
      </c>
      <c r="G2373" s="81"/>
      <c r="H2373" s="81"/>
      <c r="I2373" s="81"/>
      <c r="J2373" s="81"/>
      <c r="K2373" s="81"/>
      <c r="L2373" s="81"/>
      <c r="M2373" s="81"/>
      <c r="N2373" s="81"/>
      <c r="O2373" s="81"/>
      <c r="P2373" s="81"/>
      <c r="Q2373" s="81"/>
      <c r="R2373" s="81"/>
      <c r="S2373" s="81"/>
      <c r="T2373" s="81"/>
      <c r="U2373" s="83"/>
      <c r="V2373" s="83"/>
      <c r="W2373" s="81"/>
      <c r="X2373" s="81"/>
      <c r="Y2373" s="83"/>
      <c r="Z2373" s="81"/>
      <c r="AA2373" s="81"/>
      <c r="AB2373" s="81"/>
      <c r="AC2373" s="81"/>
      <c r="AD2373" s="81"/>
      <c r="AE2373" s="83"/>
      <c r="AF2373" s="81"/>
      <c r="AG2373" s="81"/>
      <c r="AH2373" s="81"/>
      <c r="AI2373" s="81"/>
      <c r="AJ2373" s="83"/>
      <c r="AK2373" s="81"/>
      <c r="AL2373" s="81"/>
      <c r="AM2373" s="83"/>
      <c r="AN2373" s="80"/>
      <c r="AO2373" s="82" t="n">
        <f aca="false">IF(E2373="","",(AA2373&lt;&gt;"")+(AG2373&lt;&gt;"")+(AL2373&lt;&gt;""))</f>
        <v>0</v>
      </c>
      <c r="AP2373" s="82" t="str">
        <f aca="false">IF(AL2373&lt;&gt;"",AL2373,IF(AG2373&lt;&gt;"",AG2373,IF(AA2373&lt;&gt;"",AA2373,"")))</f>
        <v/>
      </c>
      <c r="AQ2373" s="84" t="str">
        <f aca="false">IF(E2373="","",IF(U2373="","À SOUDER",IF(X2373="","VT EN ATTENTE",IF(X2373="R","VT REJETÉ – À REPRENDRE",IF(AP2373="","À RADIOGRAPHIER",IF(AP2373="A","ACCEPTÉ",IF(AP2373="NX","NX – RT À REFAIRE",IF(IF(AO2373=1,AD2373,IF(AO2373=2,AI2373,""))="A","RÉPARÉ – À RADIOGRAPHIER",IF(IF(AO2373=1,AD2373,IF(AO2373=2,AI2373,""))="R","VT REJETÉ – À REPRENDRE",IF(OR(AP2373="CO",AP2373="NT"),"COUPE – À RESOUDER","À RÉPARER"))))))))))</f>
        <v>À SOUDER</v>
      </c>
      <c r="AR2373" s="82" t="str">
        <f aca="false">IF(AND(ISNUMBER(U2373),OR(AQ2373="À RADIOGRAPHIER",AQ2373="RÉPARÉ – À RADIOGRAPHIER",AQ2373="NX – RT À REFAIRE",AQ2373="À RÉPARER",AQ2373="COUPE – À RESOUDER",AQ2373="VT REJETÉ – À REPRENDRE")),MAX(0,'PROGRAMME RT'!$C$4-U2373),"")</f>
        <v/>
      </c>
      <c r="AS2373" s="82" t="n">
        <f aca="false">IF(AND(OR(AQ2373="À RADIOGRAPHIER",AQ2373="RÉPARÉ – À RADIOGRAPHIER",AQ2373="NX – RT À REFAIRE"),OR('PROGRAMME RT'!$D$5="TOUTES",B2373='PROGRAMME RT'!$D$5)),1,0)</f>
        <v>0</v>
      </c>
      <c r="AT2373" s="82" t="str">
        <f aca="false">IF(AS2373=1,SUM(AS$7:AS2373),"")</f>
        <v/>
      </c>
      <c r="AU2373" s="82" t="n">
        <f aca="false">IF(AND(OR(AA2373="R",AA2373="NX",AA2373="NT",AA2373="CO"),OR('JOINTS DE RÉPARATION'!$D$5="TOUTES",B2373='JOINTS DE RÉPARATION'!$D$5),OR('JOINTS DE RÉPARATION'!$L$4="TOUS",AQ2373&lt;&gt;"ACCEPTÉ")),1,0)</f>
        <v>0</v>
      </c>
      <c r="AV2373" s="82" t="str">
        <f aca="false">IF(AU2373=1,SUM(AU$7:AU2373),"")</f>
        <v/>
      </c>
      <c r="AW2373" s="82" t="str">
        <f aca="false">IF(E2373="","",B2373&amp;"|"&amp;E2373)</f>
        <v>MFD-ISW → MFD-CPF|JN°1889</v>
      </c>
    </row>
    <row r="2374" customFormat="false" ht="74.6" hidden="false" customHeight="false" outlineLevel="0" collapsed="false">
      <c r="A2374" s="79" t="n">
        <f aca="false">IF(E2374="","",ROW()-6)</f>
        <v>2368</v>
      </c>
      <c r="B2374" s="80" t="s">
        <v>110</v>
      </c>
      <c r="C2374" s="81" t="s">
        <v>926</v>
      </c>
      <c r="D2374" s="81" t="n">
        <v>23</v>
      </c>
      <c r="E2374" s="81" t="s">
        <v>2877</v>
      </c>
      <c r="F2374" s="82" t="str">
        <f aca="false">IF(E2374="","",IF(LEFT(E2374,2)="DJ","DJ","JN"))</f>
        <v>JN</v>
      </c>
      <c r="G2374" s="81"/>
      <c r="H2374" s="81"/>
      <c r="I2374" s="81"/>
      <c r="J2374" s="81"/>
      <c r="K2374" s="81"/>
      <c r="L2374" s="81"/>
      <c r="M2374" s="81"/>
      <c r="N2374" s="81"/>
      <c r="O2374" s="81"/>
      <c r="P2374" s="81"/>
      <c r="Q2374" s="81"/>
      <c r="R2374" s="81"/>
      <c r="S2374" s="81"/>
      <c r="T2374" s="81"/>
      <c r="U2374" s="83"/>
      <c r="V2374" s="83"/>
      <c r="W2374" s="81"/>
      <c r="X2374" s="81"/>
      <c r="Y2374" s="83"/>
      <c r="Z2374" s="81"/>
      <c r="AA2374" s="81"/>
      <c r="AB2374" s="81"/>
      <c r="AC2374" s="81"/>
      <c r="AD2374" s="81"/>
      <c r="AE2374" s="83"/>
      <c r="AF2374" s="81"/>
      <c r="AG2374" s="81"/>
      <c r="AH2374" s="81"/>
      <c r="AI2374" s="81"/>
      <c r="AJ2374" s="83"/>
      <c r="AK2374" s="81"/>
      <c r="AL2374" s="81"/>
      <c r="AM2374" s="83"/>
      <c r="AN2374" s="80"/>
      <c r="AO2374" s="82" t="n">
        <f aca="false">IF(E2374="","",(AA2374&lt;&gt;"")+(AG2374&lt;&gt;"")+(AL2374&lt;&gt;""))</f>
        <v>0</v>
      </c>
      <c r="AP2374" s="82" t="str">
        <f aca="false">IF(AL2374&lt;&gt;"",AL2374,IF(AG2374&lt;&gt;"",AG2374,IF(AA2374&lt;&gt;"",AA2374,"")))</f>
        <v/>
      </c>
      <c r="AQ2374" s="84" t="str">
        <f aca="false">IF(E2374="","",IF(U2374="","À SOUDER",IF(X2374="","VT EN ATTENTE",IF(X2374="R","VT REJETÉ – À REPRENDRE",IF(AP2374="","À RADIOGRAPHIER",IF(AP2374="A","ACCEPTÉ",IF(AP2374="NX","NX – RT À REFAIRE",IF(IF(AO2374=1,AD2374,IF(AO2374=2,AI2374,""))="A","RÉPARÉ – À RADIOGRAPHIER",IF(IF(AO2374=1,AD2374,IF(AO2374=2,AI2374,""))="R","VT REJETÉ – À REPRENDRE",IF(OR(AP2374="CO",AP2374="NT"),"COUPE – À RESOUDER","À RÉPARER"))))))))))</f>
        <v>À SOUDER</v>
      </c>
      <c r="AR2374" s="82" t="str">
        <f aca="false">IF(AND(ISNUMBER(U2374),OR(AQ2374="À RADIOGRAPHIER",AQ2374="RÉPARÉ – À RADIOGRAPHIER",AQ2374="NX – RT À REFAIRE",AQ2374="À RÉPARER",AQ2374="COUPE – À RESOUDER",AQ2374="VT REJETÉ – À REPRENDRE")),MAX(0,'PROGRAMME RT'!$C$4-U2374),"")</f>
        <v/>
      </c>
      <c r="AS2374" s="82" t="n">
        <f aca="false">IF(AND(OR(AQ2374="À RADIOGRAPHIER",AQ2374="RÉPARÉ – À RADIOGRAPHIER",AQ2374="NX – RT À REFAIRE"),OR('PROGRAMME RT'!$D$5="TOUTES",B2374='PROGRAMME RT'!$D$5)),1,0)</f>
        <v>0</v>
      </c>
      <c r="AT2374" s="82" t="str">
        <f aca="false">IF(AS2374=1,SUM(AS$7:AS2374),"")</f>
        <v/>
      </c>
      <c r="AU2374" s="82" t="n">
        <f aca="false">IF(AND(OR(AA2374="R",AA2374="NX",AA2374="NT",AA2374="CO"),OR('JOINTS DE RÉPARATION'!$D$5="TOUTES",B2374='JOINTS DE RÉPARATION'!$D$5),OR('JOINTS DE RÉPARATION'!$L$4="TOUS",AQ2374&lt;&gt;"ACCEPTÉ")),1,0)</f>
        <v>0</v>
      </c>
      <c r="AV2374" s="82" t="str">
        <f aca="false">IF(AU2374=1,SUM(AU$7:AU2374),"")</f>
        <v/>
      </c>
      <c r="AW2374" s="82" t="str">
        <f aca="false">IF(E2374="","",B2374&amp;"|"&amp;E2374)</f>
        <v>MFD-ISW → MFD-CPF|JN°1890</v>
      </c>
    </row>
    <row r="2375" customFormat="false" ht="74.6" hidden="false" customHeight="false" outlineLevel="0" collapsed="false">
      <c r="A2375" s="79" t="n">
        <f aca="false">IF(E2375="","",ROW()-6)</f>
        <v>2369</v>
      </c>
      <c r="B2375" s="80" t="s">
        <v>110</v>
      </c>
      <c r="C2375" s="81" t="s">
        <v>926</v>
      </c>
      <c r="D2375" s="81" t="n">
        <v>23</v>
      </c>
      <c r="E2375" s="81" t="s">
        <v>2878</v>
      </c>
      <c r="F2375" s="82" t="str">
        <f aca="false">IF(E2375="","",IF(LEFT(E2375,2)="DJ","DJ","JN"))</f>
        <v>JN</v>
      </c>
      <c r="G2375" s="81"/>
      <c r="H2375" s="81"/>
      <c r="I2375" s="81"/>
      <c r="J2375" s="81"/>
      <c r="K2375" s="81"/>
      <c r="L2375" s="81"/>
      <c r="M2375" s="81"/>
      <c r="N2375" s="81"/>
      <c r="O2375" s="81"/>
      <c r="P2375" s="81"/>
      <c r="Q2375" s="81"/>
      <c r="R2375" s="81"/>
      <c r="S2375" s="81"/>
      <c r="T2375" s="81"/>
      <c r="U2375" s="83"/>
      <c r="V2375" s="83"/>
      <c r="W2375" s="81"/>
      <c r="X2375" s="81"/>
      <c r="Y2375" s="83"/>
      <c r="Z2375" s="81"/>
      <c r="AA2375" s="81"/>
      <c r="AB2375" s="81"/>
      <c r="AC2375" s="81"/>
      <c r="AD2375" s="81"/>
      <c r="AE2375" s="83"/>
      <c r="AF2375" s="81"/>
      <c r="AG2375" s="81"/>
      <c r="AH2375" s="81"/>
      <c r="AI2375" s="81"/>
      <c r="AJ2375" s="83"/>
      <c r="AK2375" s="81"/>
      <c r="AL2375" s="81"/>
      <c r="AM2375" s="83"/>
      <c r="AN2375" s="80"/>
      <c r="AO2375" s="82" t="n">
        <f aca="false">IF(E2375="","",(AA2375&lt;&gt;"")+(AG2375&lt;&gt;"")+(AL2375&lt;&gt;""))</f>
        <v>0</v>
      </c>
      <c r="AP2375" s="82" t="str">
        <f aca="false">IF(AL2375&lt;&gt;"",AL2375,IF(AG2375&lt;&gt;"",AG2375,IF(AA2375&lt;&gt;"",AA2375,"")))</f>
        <v/>
      </c>
      <c r="AQ2375" s="84" t="str">
        <f aca="false">IF(E2375="","",IF(U2375="","À SOUDER",IF(X2375="","VT EN ATTENTE",IF(X2375="R","VT REJETÉ – À REPRENDRE",IF(AP2375="","À RADIOGRAPHIER",IF(AP2375="A","ACCEPTÉ",IF(AP2375="NX","NX – RT À REFAIRE",IF(IF(AO2375=1,AD2375,IF(AO2375=2,AI2375,""))="A","RÉPARÉ – À RADIOGRAPHIER",IF(IF(AO2375=1,AD2375,IF(AO2375=2,AI2375,""))="R","VT REJETÉ – À REPRENDRE",IF(OR(AP2375="CO",AP2375="NT"),"COUPE – À RESOUDER","À RÉPARER"))))))))))</f>
        <v>À SOUDER</v>
      </c>
      <c r="AR2375" s="82" t="str">
        <f aca="false">IF(AND(ISNUMBER(U2375),OR(AQ2375="À RADIOGRAPHIER",AQ2375="RÉPARÉ – À RADIOGRAPHIER",AQ2375="NX – RT À REFAIRE",AQ2375="À RÉPARER",AQ2375="COUPE – À RESOUDER",AQ2375="VT REJETÉ – À REPRENDRE")),MAX(0,'PROGRAMME RT'!$C$4-U2375),"")</f>
        <v/>
      </c>
      <c r="AS2375" s="82" t="n">
        <f aca="false">IF(AND(OR(AQ2375="À RADIOGRAPHIER",AQ2375="RÉPARÉ – À RADIOGRAPHIER",AQ2375="NX – RT À REFAIRE"),OR('PROGRAMME RT'!$D$5="TOUTES",B2375='PROGRAMME RT'!$D$5)),1,0)</f>
        <v>0</v>
      </c>
      <c r="AT2375" s="82" t="str">
        <f aca="false">IF(AS2375=1,SUM(AS$7:AS2375),"")</f>
        <v/>
      </c>
      <c r="AU2375" s="82" t="n">
        <f aca="false">IF(AND(OR(AA2375="R",AA2375="NX",AA2375="NT",AA2375="CO"),OR('JOINTS DE RÉPARATION'!$D$5="TOUTES",B2375='JOINTS DE RÉPARATION'!$D$5),OR('JOINTS DE RÉPARATION'!$L$4="TOUS",AQ2375&lt;&gt;"ACCEPTÉ")),1,0)</f>
        <v>0</v>
      </c>
      <c r="AV2375" s="82" t="str">
        <f aca="false">IF(AU2375=1,SUM(AU$7:AU2375),"")</f>
        <v/>
      </c>
      <c r="AW2375" s="82" t="str">
        <f aca="false">IF(E2375="","",B2375&amp;"|"&amp;E2375)</f>
        <v>MFD-ISW → MFD-CPF|JN°1891</v>
      </c>
    </row>
    <row r="2376" customFormat="false" ht="74.6" hidden="false" customHeight="false" outlineLevel="0" collapsed="false">
      <c r="A2376" s="79" t="n">
        <f aca="false">IF(E2376="","",ROW()-6)</f>
        <v>2370</v>
      </c>
      <c r="B2376" s="80" t="s">
        <v>110</v>
      </c>
      <c r="C2376" s="81" t="s">
        <v>926</v>
      </c>
      <c r="D2376" s="81" t="n">
        <v>23</v>
      </c>
      <c r="E2376" s="81" t="s">
        <v>2879</v>
      </c>
      <c r="F2376" s="82" t="str">
        <f aca="false">IF(E2376="","",IF(LEFT(E2376,2)="DJ","DJ","JN"))</f>
        <v>JN</v>
      </c>
      <c r="G2376" s="81"/>
      <c r="H2376" s="81"/>
      <c r="I2376" s="81"/>
      <c r="J2376" s="81"/>
      <c r="K2376" s="81"/>
      <c r="L2376" s="81"/>
      <c r="M2376" s="81"/>
      <c r="N2376" s="81"/>
      <c r="O2376" s="81"/>
      <c r="P2376" s="81"/>
      <c r="Q2376" s="81"/>
      <c r="R2376" s="81"/>
      <c r="S2376" s="81"/>
      <c r="T2376" s="81"/>
      <c r="U2376" s="83"/>
      <c r="V2376" s="83"/>
      <c r="W2376" s="81"/>
      <c r="X2376" s="81"/>
      <c r="Y2376" s="83"/>
      <c r="Z2376" s="81"/>
      <c r="AA2376" s="81"/>
      <c r="AB2376" s="81"/>
      <c r="AC2376" s="81"/>
      <c r="AD2376" s="81"/>
      <c r="AE2376" s="83"/>
      <c r="AF2376" s="81"/>
      <c r="AG2376" s="81"/>
      <c r="AH2376" s="81"/>
      <c r="AI2376" s="81"/>
      <c r="AJ2376" s="83"/>
      <c r="AK2376" s="81"/>
      <c r="AL2376" s="81"/>
      <c r="AM2376" s="83"/>
      <c r="AN2376" s="80"/>
      <c r="AO2376" s="82" t="n">
        <f aca="false">IF(E2376="","",(AA2376&lt;&gt;"")+(AG2376&lt;&gt;"")+(AL2376&lt;&gt;""))</f>
        <v>0</v>
      </c>
      <c r="AP2376" s="82" t="str">
        <f aca="false">IF(AL2376&lt;&gt;"",AL2376,IF(AG2376&lt;&gt;"",AG2376,IF(AA2376&lt;&gt;"",AA2376,"")))</f>
        <v/>
      </c>
      <c r="AQ2376" s="84" t="str">
        <f aca="false">IF(E2376="","",IF(U2376="","À SOUDER",IF(X2376="","VT EN ATTENTE",IF(X2376="R","VT REJETÉ – À REPRENDRE",IF(AP2376="","À RADIOGRAPHIER",IF(AP2376="A","ACCEPTÉ",IF(AP2376="NX","NX – RT À REFAIRE",IF(IF(AO2376=1,AD2376,IF(AO2376=2,AI2376,""))="A","RÉPARÉ – À RADIOGRAPHIER",IF(IF(AO2376=1,AD2376,IF(AO2376=2,AI2376,""))="R","VT REJETÉ – À REPRENDRE",IF(OR(AP2376="CO",AP2376="NT"),"COUPE – À RESOUDER","À RÉPARER"))))))))))</f>
        <v>À SOUDER</v>
      </c>
      <c r="AR2376" s="82" t="str">
        <f aca="false">IF(AND(ISNUMBER(U2376),OR(AQ2376="À RADIOGRAPHIER",AQ2376="RÉPARÉ – À RADIOGRAPHIER",AQ2376="NX – RT À REFAIRE",AQ2376="À RÉPARER",AQ2376="COUPE – À RESOUDER",AQ2376="VT REJETÉ – À REPRENDRE")),MAX(0,'PROGRAMME RT'!$C$4-U2376),"")</f>
        <v/>
      </c>
      <c r="AS2376" s="82" t="n">
        <f aca="false">IF(AND(OR(AQ2376="À RADIOGRAPHIER",AQ2376="RÉPARÉ – À RADIOGRAPHIER",AQ2376="NX – RT À REFAIRE"),OR('PROGRAMME RT'!$D$5="TOUTES",B2376='PROGRAMME RT'!$D$5)),1,0)</f>
        <v>0</v>
      </c>
      <c r="AT2376" s="82" t="str">
        <f aca="false">IF(AS2376=1,SUM(AS$7:AS2376),"")</f>
        <v/>
      </c>
      <c r="AU2376" s="82" t="n">
        <f aca="false">IF(AND(OR(AA2376="R",AA2376="NX",AA2376="NT",AA2376="CO"),OR('JOINTS DE RÉPARATION'!$D$5="TOUTES",B2376='JOINTS DE RÉPARATION'!$D$5),OR('JOINTS DE RÉPARATION'!$L$4="TOUS",AQ2376&lt;&gt;"ACCEPTÉ")),1,0)</f>
        <v>0</v>
      </c>
      <c r="AV2376" s="82" t="str">
        <f aca="false">IF(AU2376=1,SUM(AU$7:AU2376),"")</f>
        <v/>
      </c>
      <c r="AW2376" s="82" t="str">
        <f aca="false">IF(E2376="","",B2376&amp;"|"&amp;E2376)</f>
        <v>MFD-ISW → MFD-CPF|JN°1892</v>
      </c>
    </row>
    <row r="2377" customFormat="false" ht="74.6" hidden="false" customHeight="false" outlineLevel="0" collapsed="false">
      <c r="A2377" s="79" t="n">
        <f aca="false">IF(E2377="","",ROW()-6)</f>
        <v>2371</v>
      </c>
      <c r="B2377" s="80" t="s">
        <v>110</v>
      </c>
      <c r="C2377" s="81" t="s">
        <v>926</v>
      </c>
      <c r="D2377" s="81" t="n">
        <v>23</v>
      </c>
      <c r="E2377" s="81" t="s">
        <v>2880</v>
      </c>
      <c r="F2377" s="82" t="str">
        <f aca="false">IF(E2377="","",IF(LEFT(E2377,2)="DJ","DJ","JN"))</f>
        <v>JN</v>
      </c>
      <c r="G2377" s="81"/>
      <c r="H2377" s="81"/>
      <c r="I2377" s="81"/>
      <c r="J2377" s="81"/>
      <c r="K2377" s="81"/>
      <c r="L2377" s="81"/>
      <c r="M2377" s="81"/>
      <c r="N2377" s="81"/>
      <c r="O2377" s="81" t="n">
        <v>2086940</v>
      </c>
      <c r="P2377" s="81" t="n">
        <v>15421107</v>
      </c>
      <c r="Q2377" s="81" t="n">
        <v>11.94</v>
      </c>
      <c r="R2377" s="81"/>
      <c r="S2377" s="81"/>
      <c r="T2377" s="81"/>
      <c r="U2377" s="83"/>
      <c r="V2377" s="83"/>
      <c r="W2377" s="81"/>
      <c r="X2377" s="81"/>
      <c r="Y2377" s="83"/>
      <c r="Z2377" s="81"/>
      <c r="AA2377" s="81"/>
      <c r="AB2377" s="81"/>
      <c r="AC2377" s="81"/>
      <c r="AD2377" s="81"/>
      <c r="AE2377" s="83"/>
      <c r="AF2377" s="81"/>
      <c r="AG2377" s="81"/>
      <c r="AH2377" s="81"/>
      <c r="AI2377" s="81"/>
      <c r="AJ2377" s="83"/>
      <c r="AK2377" s="81"/>
      <c r="AL2377" s="81"/>
      <c r="AM2377" s="83"/>
      <c r="AN2377" s="80"/>
      <c r="AO2377" s="82" t="n">
        <f aca="false">IF(E2377="","",(AA2377&lt;&gt;"")+(AG2377&lt;&gt;"")+(AL2377&lt;&gt;""))</f>
        <v>0</v>
      </c>
      <c r="AP2377" s="82" t="str">
        <f aca="false">IF(AL2377&lt;&gt;"",AL2377,IF(AG2377&lt;&gt;"",AG2377,IF(AA2377&lt;&gt;"",AA2377,"")))</f>
        <v/>
      </c>
      <c r="AQ2377" s="84" t="str">
        <f aca="false">IF(E2377="","",IF(U2377="","À SOUDER",IF(X2377="","VT EN ATTENTE",IF(X2377="R","VT REJETÉ – À REPRENDRE",IF(AP2377="","À RADIOGRAPHIER",IF(AP2377="A","ACCEPTÉ",IF(AP2377="NX","NX – RT À REFAIRE",IF(IF(AO2377=1,AD2377,IF(AO2377=2,AI2377,""))="A","RÉPARÉ – À RADIOGRAPHIER",IF(IF(AO2377=1,AD2377,IF(AO2377=2,AI2377,""))="R","VT REJETÉ – À REPRENDRE",IF(OR(AP2377="CO",AP2377="NT"),"COUPE – À RESOUDER","À RÉPARER"))))))))))</f>
        <v>À SOUDER</v>
      </c>
      <c r="AR2377" s="82" t="str">
        <f aca="false">IF(AND(ISNUMBER(U2377),OR(AQ2377="À RADIOGRAPHIER",AQ2377="RÉPARÉ – À RADIOGRAPHIER",AQ2377="NX – RT À REFAIRE",AQ2377="À RÉPARER",AQ2377="COUPE – À RESOUDER",AQ2377="VT REJETÉ – À REPRENDRE")),MAX(0,'PROGRAMME RT'!$C$4-U2377),"")</f>
        <v/>
      </c>
      <c r="AS2377" s="82" t="n">
        <f aca="false">IF(AND(OR(AQ2377="À RADIOGRAPHIER",AQ2377="RÉPARÉ – À RADIOGRAPHIER",AQ2377="NX – RT À REFAIRE"),OR('PROGRAMME RT'!$D$5="TOUTES",B2377='PROGRAMME RT'!$D$5)),1,0)</f>
        <v>0</v>
      </c>
      <c r="AT2377" s="82" t="str">
        <f aca="false">IF(AS2377=1,SUM(AS$7:AS2377),"")</f>
        <v/>
      </c>
      <c r="AU2377" s="82" t="n">
        <f aca="false">IF(AND(OR(AA2377="R",AA2377="NX",AA2377="NT",AA2377="CO"),OR('JOINTS DE RÉPARATION'!$D$5="TOUTES",B2377='JOINTS DE RÉPARATION'!$D$5),OR('JOINTS DE RÉPARATION'!$L$4="TOUS",AQ2377&lt;&gt;"ACCEPTÉ")),1,0)</f>
        <v>0</v>
      </c>
      <c r="AV2377" s="82" t="str">
        <f aca="false">IF(AU2377=1,SUM(AU$7:AU2377),"")</f>
        <v/>
      </c>
      <c r="AW2377" s="82" t="str">
        <f aca="false">IF(E2377="","",B2377&amp;"|"&amp;E2377)</f>
        <v>MFD-ISW → MFD-CPF|JN°1893</v>
      </c>
    </row>
    <row r="2378" customFormat="false" ht="74.6" hidden="false" customHeight="false" outlineLevel="0" collapsed="false">
      <c r="A2378" s="79" t="n">
        <f aca="false">IF(E2378="","",ROW()-6)</f>
        <v>2372</v>
      </c>
      <c r="B2378" s="80" t="s">
        <v>110</v>
      </c>
      <c r="C2378" s="81" t="s">
        <v>2881</v>
      </c>
      <c r="D2378" s="81" t="n">
        <v>23</v>
      </c>
      <c r="E2378" s="81" t="s">
        <v>2882</v>
      </c>
      <c r="F2378" s="82" t="str">
        <f aca="false">IF(E2378="","",IF(LEFT(E2378,2)="DJ","DJ","JN"))</f>
        <v>JN</v>
      </c>
      <c r="G2378" s="81" t="s">
        <v>1504</v>
      </c>
      <c r="H2378" s="81" t="s">
        <v>871</v>
      </c>
      <c r="I2378" s="81" t="n">
        <v>9.53</v>
      </c>
      <c r="J2378" s="81" t="s">
        <v>872</v>
      </c>
      <c r="K2378" s="81" t="s">
        <v>879</v>
      </c>
      <c r="L2378" s="81" t="n">
        <v>2086940</v>
      </c>
      <c r="M2378" s="81" t="n">
        <v>15421107</v>
      </c>
      <c r="N2378" s="81" t="n">
        <v>11.94</v>
      </c>
      <c r="O2378" s="81" t="n">
        <v>2092320</v>
      </c>
      <c r="P2378" s="81" t="n">
        <v>15421110</v>
      </c>
      <c r="Q2378" s="81" t="n">
        <v>11.94</v>
      </c>
      <c r="R2378" s="81" t="s">
        <v>2858</v>
      </c>
      <c r="S2378" s="81"/>
      <c r="T2378" s="81"/>
      <c r="U2378" s="83" t="n">
        <v>46257</v>
      </c>
      <c r="V2378" s="83" t="n">
        <v>46257</v>
      </c>
      <c r="W2378" s="81" t="s">
        <v>2856</v>
      </c>
      <c r="X2378" s="81" t="s">
        <v>876</v>
      </c>
      <c r="Y2378" s="83" t="n">
        <v>46289</v>
      </c>
      <c r="Z2378" s="81"/>
      <c r="AA2378" s="81" t="s">
        <v>1153</v>
      </c>
      <c r="AB2378" s="81" t="s">
        <v>2883</v>
      </c>
      <c r="AC2378" s="81"/>
      <c r="AD2378" s="81"/>
      <c r="AE2378" s="83"/>
      <c r="AF2378" s="81"/>
      <c r="AG2378" s="81"/>
      <c r="AH2378" s="81"/>
      <c r="AI2378" s="81"/>
      <c r="AJ2378" s="83"/>
      <c r="AK2378" s="81"/>
      <c r="AL2378" s="81"/>
      <c r="AM2378" s="83"/>
      <c r="AN2378" s="80"/>
      <c r="AO2378" s="82" t="n">
        <f aca="false">IF(E2378="","",(AA2378&lt;&gt;"")+(AG2378&lt;&gt;"")+(AL2378&lt;&gt;""))</f>
        <v>1</v>
      </c>
      <c r="AP2378" s="82" t="str">
        <f aca="false">IF(AL2378&lt;&gt;"",AL2378,IF(AG2378&lt;&gt;"",AG2378,IF(AA2378&lt;&gt;"",AA2378,"")))</f>
        <v>NX</v>
      </c>
      <c r="AQ2378" s="84" t="str">
        <f aca="false">IF(E2378="","",IF(U2378="","À SOUDER",IF(X2378="","VT EN ATTENTE",IF(X2378="R","VT REJETÉ – À REPRENDRE",IF(AP2378="","À RADIOGRAPHIER",IF(AP2378="A","ACCEPTÉ",IF(AP2378="NX","NX – RT À REFAIRE",IF(IF(AO2378=1,AD2378,IF(AO2378=2,AI2378,""))="A","RÉPARÉ – À RADIOGRAPHIER",IF(IF(AO2378=1,AD2378,IF(AO2378=2,AI2378,""))="R","VT REJETÉ – À REPRENDRE",IF(OR(AP2378="CO",AP2378="NT"),"COUPE – À RESOUDER","À RÉPARER"))))))))))</f>
        <v>NX – RT À REFAIRE</v>
      </c>
      <c r="AR2378" s="82" t="n">
        <f aca="false">IF(AND(ISNUMBER(U2378),OR(AQ2378="À RADIOGRAPHIER",AQ2378="RÉPARÉ – À RADIOGRAPHIER",AQ2378="NX – RT À REFAIRE",AQ2378="À RÉPARER",AQ2378="COUPE – À RESOUDER",AQ2378="VT REJETÉ – À REPRENDRE")),MAX(0,'PROGRAMME RT'!$C$4-U2378),"")</f>
        <v>36</v>
      </c>
      <c r="AS2378" s="82" t="n">
        <f aca="false">IF(AND(OR(AQ2378="À RADIOGRAPHIER",AQ2378="RÉPARÉ – À RADIOGRAPHIER",AQ2378="NX – RT À REFAIRE"),OR('PROGRAMME RT'!$D$5="TOUTES",B2378='PROGRAMME RT'!$D$5)),1,0)</f>
        <v>1</v>
      </c>
      <c r="AT2378" s="82" t="n">
        <f aca="false">IF(AS2378=1,SUM(AS$7:AS2378),"")</f>
        <v>118</v>
      </c>
      <c r="AU2378" s="82" t="n">
        <f aca="false">IF(AND(OR(AA2378="R",AA2378="NX",AA2378="NT",AA2378="CO"),OR('JOINTS DE RÉPARATION'!$D$5="TOUTES",B2378='JOINTS DE RÉPARATION'!$D$5),OR('JOINTS DE RÉPARATION'!$L$4="TOUS",AQ2378&lt;&gt;"ACCEPTÉ")),1,0)</f>
        <v>1</v>
      </c>
      <c r="AV2378" s="82" t="n">
        <f aca="false">IF(AU2378=1,SUM(AU$7:AU2378),"")</f>
        <v>64</v>
      </c>
      <c r="AW2378" s="82" t="str">
        <f aca="false">IF(E2378="","",B2378&amp;"|"&amp;E2378)</f>
        <v>MFD-ISW → MFD-CPF|JN°1894</v>
      </c>
    </row>
    <row r="2379" customFormat="false" ht="74.6" hidden="false" customHeight="false" outlineLevel="0" collapsed="false">
      <c r="A2379" s="79" t="n">
        <f aca="false">IF(E2379="","",ROW()-6)</f>
        <v>2373</v>
      </c>
      <c r="B2379" s="80" t="s">
        <v>110</v>
      </c>
      <c r="C2379" s="81" t="s">
        <v>2881</v>
      </c>
      <c r="D2379" s="81" t="n">
        <v>23</v>
      </c>
      <c r="E2379" s="81" t="s">
        <v>2884</v>
      </c>
      <c r="F2379" s="82" t="str">
        <f aca="false">IF(E2379="","",IF(LEFT(E2379,2)="DJ","DJ","JN"))</f>
        <v>JN</v>
      </c>
      <c r="G2379" s="81" t="s">
        <v>1504</v>
      </c>
      <c r="H2379" s="81" t="s">
        <v>871</v>
      </c>
      <c r="I2379" s="81" t="n">
        <v>9.53</v>
      </c>
      <c r="J2379" s="81" t="s">
        <v>872</v>
      </c>
      <c r="K2379" s="81" t="s">
        <v>879</v>
      </c>
      <c r="L2379" s="81" t="n">
        <v>2092320</v>
      </c>
      <c r="M2379" s="81" t="n">
        <v>15421110</v>
      </c>
      <c r="N2379" s="81" t="n">
        <v>11.94</v>
      </c>
      <c r="O2379" s="81" t="n">
        <v>2097930</v>
      </c>
      <c r="P2379" s="81" t="n">
        <v>15421102</v>
      </c>
      <c r="Q2379" s="81" t="n">
        <v>11.94</v>
      </c>
      <c r="R2379" s="81" t="s">
        <v>2858</v>
      </c>
      <c r="S2379" s="81"/>
      <c r="T2379" s="81"/>
      <c r="U2379" s="83" t="n">
        <v>46257</v>
      </c>
      <c r="V2379" s="83" t="n">
        <v>46257</v>
      </c>
      <c r="W2379" s="81" t="s">
        <v>2856</v>
      </c>
      <c r="X2379" s="81" t="s">
        <v>876</v>
      </c>
      <c r="Y2379" s="83" t="n">
        <v>46289</v>
      </c>
      <c r="Z2379" s="81" t="s">
        <v>2537</v>
      </c>
      <c r="AA2379" s="81" t="s">
        <v>1073</v>
      </c>
      <c r="AB2379" s="81" t="s">
        <v>2885</v>
      </c>
      <c r="AC2379" s="81"/>
      <c r="AD2379" s="81"/>
      <c r="AE2379" s="83"/>
      <c r="AF2379" s="81"/>
      <c r="AG2379" s="81"/>
      <c r="AH2379" s="81"/>
      <c r="AI2379" s="81"/>
      <c r="AJ2379" s="83"/>
      <c r="AK2379" s="81"/>
      <c r="AL2379" s="81"/>
      <c r="AM2379" s="83"/>
      <c r="AN2379" s="80"/>
      <c r="AO2379" s="82" t="n">
        <f aca="false">IF(E2379="","",(AA2379&lt;&gt;"")+(AG2379&lt;&gt;"")+(AL2379&lt;&gt;""))</f>
        <v>1</v>
      </c>
      <c r="AP2379" s="82" t="str">
        <f aca="false">IF(AL2379&lt;&gt;"",AL2379,IF(AG2379&lt;&gt;"",AG2379,IF(AA2379&lt;&gt;"",AA2379,"")))</f>
        <v>R</v>
      </c>
      <c r="AQ2379" s="84" t="str">
        <f aca="false">IF(E2379="","",IF(U2379="","À SOUDER",IF(X2379="","VT EN ATTENTE",IF(X2379="R","VT REJETÉ – À REPRENDRE",IF(AP2379="","À RADIOGRAPHIER",IF(AP2379="A","ACCEPTÉ",IF(AP2379="NX","NX – RT À REFAIRE",IF(IF(AO2379=1,AD2379,IF(AO2379=2,AI2379,""))="A","RÉPARÉ – À RADIOGRAPHIER",IF(IF(AO2379=1,AD2379,IF(AO2379=2,AI2379,""))="R","VT REJETÉ – À REPRENDRE",IF(OR(AP2379="CO",AP2379="NT"),"COUPE – À RESOUDER","À RÉPARER"))))))))))</f>
        <v>À RÉPARER</v>
      </c>
      <c r="AR2379" s="82" t="n">
        <f aca="false">IF(AND(ISNUMBER(U2379),OR(AQ2379="À RADIOGRAPHIER",AQ2379="RÉPARÉ – À RADIOGRAPHIER",AQ2379="NX – RT À REFAIRE",AQ2379="À RÉPARER",AQ2379="COUPE – À RESOUDER",AQ2379="VT REJETÉ – À REPRENDRE")),MAX(0,'PROGRAMME RT'!$C$4-U2379),"")</f>
        <v>36</v>
      </c>
      <c r="AS2379" s="82" t="n">
        <f aca="false">IF(AND(OR(AQ2379="À RADIOGRAPHIER",AQ2379="RÉPARÉ – À RADIOGRAPHIER",AQ2379="NX – RT À REFAIRE"),OR('PROGRAMME RT'!$D$5="TOUTES",B2379='PROGRAMME RT'!$D$5)),1,0)</f>
        <v>0</v>
      </c>
      <c r="AT2379" s="82" t="str">
        <f aca="false">IF(AS2379=1,SUM(AS$7:AS2379),"")</f>
        <v/>
      </c>
      <c r="AU2379" s="82" t="n">
        <f aca="false">IF(AND(OR(AA2379="R",AA2379="NX",AA2379="NT",AA2379="CO"),OR('JOINTS DE RÉPARATION'!$D$5="TOUTES",B2379='JOINTS DE RÉPARATION'!$D$5),OR('JOINTS DE RÉPARATION'!$L$4="TOUS",AQ2379&lt;&gt;"ACCEPTÉ")),1,0)</f>
        <v>1</v>
      </c>
      <c r="AV2379" s="82" t="n">
        <f aca="false">IF(AU2379=1,SUM(AU$7:AU2379),"")</f>
        <v>65</v>
      </c>
      <c r="AW2379" s="82" t="str">
        <f aca="false">IF(E2379="","",B2379&amp;"|"&amp;E2379)</f>
        <v>MFD-ISW → MFD-CPF|JN°1895</v>
      </c>
    </row>
    <row r="2380" customFormat="false" ht="74.6" hidden="false" customHeight="false" outlineLevel="0" collapsed="false">
      <c r="A2380" s="79" t="n">
        <f aca="false">IF(E2380="","",ROW()-6)</f>
        <v>2374</v>
      </c>
      <c r="B2380" s="80" t="s">
        <v>110</v>
      </c>
      <c r="C2380" s="81" t="s">
        <v>2881</v>
      </c>
      <c r="D2380" s="81" t="n">
        <v>23</v>
      </c>
      <c r="E2380" s="81" t="s">
        <v>2886</v>
      </c>
      <c r="F2380" s="82" t="str">
        <f aca="false">IF(E2380="","",IF(LEFT(E2380,2)="DJ","DJ","JN"))</f>
        <v>JN</v>
      </c>
      <c r="G2380" s="81" t="s">
        <v>1504</v>
      </c>
      <c r="H2380" s="81" t="s">
        <v>871</v>
      </c>
      <c r="I2380" s="81" t="n">
        <v>9.53</v>
      </c>
      <c r="J2380" s="81" t="s">
        <v>872</v>
      </c>
      <c r="K2380" s="81" t="s">
        <v>879</v>
      </c>
      <c r="L2380" s="81" t="n">
        <v>2097930</v>
      </c>
      <c r="M2380" s="81" t="n">
        <v>15421102</v>
      </c>
      <c r="N2380" s="81" t="n">
        <v>11.94</v>
      </c>
      <c r="O2380" s="81" t="n">
        <v>2096880</v>
      </c>
      <c r="P2380" s="81" t="n">
        <v>15421111</v>
      </c>
      <c r="Q2380" s="81" t="n">
        <v>11.94</v>
      </c>
      <c r="R2380" s="81" t="s">
        <v>2858</v>
      </c>
      <c r="S2380" s="81"/>
      <c r="T2380" s="81"/>
      <c r="U2380" s="83" t="n">
        <v>46257</v>
      </c>
      <c r="V2380" s="83" t="n">
        <v>46257</v>
      </c>
      <c r="W2380" s="81" t="s">
        <v>2856</v>
      </c>
      <c r="X2380" s="81" t="s">
        <v>876</v>
      </c>
      <c r="Y2380" s="83" t="n">
        <v>46289</v>
      </c>
      <c r="Z2380" s="81" t="s">
        <v>2537</v>
      </c>
      <c r="AA2380" s="81" t="s">
        <v>1073</v>
      </c>
      <c r="AB2380" s="81" t="s">
        <v>2887</v>
      </c>
      <c r="AC2380" s="81"/>
      <c r="AD2380" s="81"/>
      <c r="AE2380" s="83"/>
      <c r="AF2380" s="81"/>
      <c r="AG2380" s="81"/>
      <c r="AH2380" s="81"/>
      <c r="AI2380" s="81"/>
      <c r="AJ2380" s="83"/>
      <c r="AK2380" s="81"/>
      <c r="AL2380" s="81"/>
      <c r="AM2380" s="83"/>
      <c r="AN2380" s="80"/>
      <c r="AO2380" s="82" t="n">
        <f aca="false">IF(E2380="","",(AA2380&lt;&gt;"")+(AG2380&lt;&gt;"")+(AL2380&lt;&gt;""))</f>
        <v>1</v>
      </c>
      <c r="AP2380" s="82" t="str">
        <f aca="false">IF(AL2380&lt;&gt;"",AL2380,IF(AG2380&lt;&gt;"",AG2380,IF(AA2380&lt;&gt;"",AA2380,"")))</f>
        <v>R</v>
      </c>
      <c r="AQ2380" s="84" t="str">
        <f aca="false">IF(E2380="","",IF(U2380="","À SOUDER",IF(X2380="","VT EN ATTENTE",IF(X2380="R","VT REJETÉ – À REPRENDRE",IF(AP2380="","À RADIOGRAPHIER",IF(AP2380="A","ACCEPTÉ",IF(AP2380="NX","NX – RT À REFAIRE",IF(IF(AO2380=1,AD2380,IF(AO2380=2,AI2380,""))="A","RÉPARÉ – À RADIOGRAPHIER",IF(IF(AO2380=1,AD2380,IF(AO2380=2,AI2380,""))="R","VT REJETÉ – À REPRENDRE",IF(OR(AP2380="CO",AP2380="NT"),"COUPE – À RESOUDER","À RÉPARER"))))))))))</f>
        <v>À RÉPARER</v>
      </c>
      <c r="AR2380" s="82" t="n">
        <f aca="false">IF(AND(ISNUMBER(U2380),OR(AQ2380="À RADIOGRAPHIER",AQ2380="RÉPARÉ – À RADIOGRAPHIER",AQ2380="NX – RT À REFAIRE",AQ2380="À RÉPARER",AQ2380="COUPE – À RESOUDER",AQ2380="VT REJETÉ – À REPRENDRE")),MAX(0,'PROGRAMME RT'!$C$4-U2380),"")</f>
        <v>36</v>
      </c>
      <c r="AS2380" s="82" t="n">
        <f aca="false">IF(AND(OR(AQ2380="À RADIOGRAPHIER",AQ2380="RÉPARÉ – À RADIOGRAPHIER",AQ2380="NX – RT À REFAIRE"),OR('PROGRAMME RT'!$D$5="TOUTES",B2380='PROGRAMME RT'!$D$5)),1,0)</f>
        <v>0</v>
      </c>
      <c r="AT2380" s="82" t="str">
        <f aca="false">IF(AS2380=1,SUM(AS$7:AS2380),"")</f>
        <v/>
      </c>
      <c r="AU2380" s="82" t="n">
        <f aca="false">IF(AND(OR(AA2380="R",AA2380="NX",AA2380="NT",AA2380="CO"),OR('JOINTS DE RÉPARATION'!$D$5="TOUTES",B2380='JOINTS DE RÉPARATION'!$D$5),OR('JOINTS DE RÉPARATION'!$L$4="TOUS",AQ2380&lt;&gt;"ACCEPTÉ")),1,0)</f>
        <v>1</v>
      </c>
      <c r="AV2380" s="82" t="n">
        <f aca="false">IF(AU2380=1,SUM(AU$7:AU2380),"")</f>
        <v>66</v>
      </c>
      <c r="AW2380" s="82" t="str">
        <f aca="false">IF(E2380="","",B2380&amp;"|"&amp;E2380)</f>
        <v>MFD-ISW → MFD-CPF|JN°1896</v>
      </c>
    </row>
    <row r="2381" customFormat="false" ht="74.6" hidden="false" customHeight="false" outlineLevel="0" collapsed="false">
      <c r="A2381" s="79" t="n">
        <f aca="false">IF(E2381="","",ROW()-6)</f>
        <v>2375</v>
      </c>
      <c r="B2381" s="80" t="s">
        <v>110</v>
      </c>
      <c r="C2381" s="81" t="s">
        <v>2881</v>
      </c>
      <c r="D2381" s="81" t="n">
        <v>23</v>
      </c>
      <c r="E2381" s="81" t="s">
        <v>2888</v>
      </c>
      <c r="F2381" s="82" t="str">
        <f aca="false">IF(E2381="","",IF(LEFT(E2381,2)="DJ","DJ","JN"))</f>
        <v>JN</v>
      </c>
      <c r="G2381" s="81" t="s">
        <v>1504</v>
      </c>
      <c r="H2381" s="81" t="s">
        <v>871</v>
      </c>
      <c r="I2381" s="81" t="n">
        <v>9.53</v>
      </c>
      <c r="J2381" s="81" t="s">
        <v>872</v>
      </c>
      <c r="K2381" s="81" t="s">
        <v>879</v>
      </c>
      <c r="L2381" s="81" t="n">
        <v>2096880</v>
      </c>
      <c r="M2381" s="81" t="n">
        <v>15421111</v>
      </c>
      <c r="N2381" s="81" t="n">
        <v>11.94</v>
      </c>
      <c r="O2381" s="81" t="n">
        <v>2083770</v>
      </c>
      <c r="P2381" s="81" t="n">
        <v>15421105</v>
      </c>
      <c r="Q2381" s="81" t="n">
        <v>11.94</v>
      </c>
      <c r="R2381" s="81" t="s">
        <v>2858</v>
      </c>
      <c r="S2381" s="81"/>
      <c r="T2381" s="81"/>
      <c r="U2381" s="83" t="n">
        <v>46257</v>
      </c>
      <c r="V2381" s="83" t="n">
        <v>46257</v>
      </c>
      <c r="W2381" s="81" t="s">
        <v>2856</v>
      </c>
      <c r="X2381" s="81" t="s">
        <v>876</v>
      </c>
      <c r="Y2381" s="83" t="n">
        <v>46289</v>
      </c>
      <c r="Z2381" s="81" t="s">
        <v>2537</v>
      </c>
      <c r="AA2381" s="81" t="s">
        <v>876</v>
      </c>
      <c r="AB2381" s="81"/>
      <c r="AC2381" s="81"/>
      <c r="AD2381" s="81"/>
      <c r="AE2381" s="83"/>
      <c r="AF2381" s="81"/>
      <c r="AG2381" s="81"/>
      <c r="AH2381" s="81"/>
      <c r="AI2381" s="81"/>
      <c r="AJ2381" s="83"/>
      <c r="AK2381" s="81"/>
      <c r="AL2381" s="81"/>
      <c r="AM2381" s="83"/>
      <c r="AN2381" s="80"/>
      <c r="AO2381" s="82" t="n">
        <f aca="false">IF(E2381="","",(AA2381&lt;&gt;"")+(AG2381&lt;&gt;"")+(AL2381&lt;&gt;""))</f>
        <v>1</v>
      </c>
      <c r="AP2381" s="82" t="str">
        <f aca="false">IF(AL2381&lt;&gt;"",AL2381,IF(AG2381&lt;&gt;"",AG2381,IF(AA2381&lt;&gt;"",AA2381,"")))</f>
        <v>A</v>
      </c>
      <c r="AQ2381" s="84" t="str">
        <f aca="false">IF(E2381="","",IF(U2381="","À SOUDER",IF(X2381="","VT EN ATTENTE",IF(X2381="R","VT REJETÉ – À REPRENDRE",IF(AP2381="","À RADIOGRAPHIER",IF(AP2381="A","ACCEPTÉ",IF(AP2381="NX","NX – RT À REFAIRE",IF(IF(AO2381=1,AD2381,IF(AO2381=2,AI2381,""))="A","RÉPARÉ – À RADIOGRAPHIER",IF(IF(AO2381=1,AD2381,IF(AO2381=2,AI2381,""))="R","VT REJETÉ – À REPRENDRE",IF(OR(AP2381="CO",AP2381="NT"),"COUPE – À RESOUDER","À RÉPARER"))))))))))</f>
        <v>ACCEPTÉ</v>
      </c>
      <c r="AR2381" s="82" t="str">
        <f aca="false">IF(AND(ISNUMBER(U2381),OR(AQ2381="À RADIOGRAPHIER",AQ2381="RÉPARÉ – À RADIOGRAPHIER",AQ2381="NX – RT À REFAIRE",AQ2381="À RÉPARER",AQ2381="COUPE – À RESOUDER",AQ2381="VT REJETÉ – À REPRENDRE")),MAX(0,'PROGRAMME RT'!$C$4-U2381),"")</f>
        <v/>
      </c>
      <c r="AS2381" s="82" t="n">
        <f aca="false">IF(AND(OR(AQ2381="À RADIOGRAPHIER",AQ2381="RÉPARÉ – À RADIOGRAPHIER",AQ2381="NX – RT À REFAIRE"),OR('PROGRAMME RT'!$D$5="TOUTES",B2381='PROGRAMME RT'!$D$5)),1,0)</f>
        <v>0</v>
      </c>
      <c r="AT2381" s="82" t="str">
        <f aca="false">IF(AS2381=1,SUM(AS$7:AS2381),"")</f>
        <v/>
      </c>
      <c r="AU2381" s="82" t="n">
        <f aca="false">IF(AND(OR(AA2381="R",AA2381="NX",AA2381="NT",AA2381="CO"),OR('JOINTS DE RÉPARATION'!$D$5="TOUTES",B2381='JOINTS DE RÉPARATION'!$D$5),OR('JOINTS DE RÉPARATION'!$L$4="TOUS",AQ2381&lt;&gt;"ACCEPTÉ")),1,0)</f>
        <v>0</v>
      </c>
      <c r="AV2381" s="82" t="str">
        <f aca="false">IF(AU2381=1,SUM(AU$7:AU2381),"")</f>
        <v/>
      </c>
      <c r="AW2381" s="82" t="str">
        <f aca="false">IF(E2381="","",B2381&amp;"|"&amp;E2381)</f>
        <v>MFD-ISW → MFD-CPF|JN°1897</v>
      </c>
    </row>
    <row r="2382" customFormat="false" ht="74.6" hidden="false" customHeight="false" outlineLevel="0" collapsed="false">
      <c r="A2382" s="79" t="n">
        <f aca="false">IF(E2382="","",ROW()-6)</f>
        <v>2376</v>
      </c>
      <c r="B2382" s="80" t="s">
        <v>110</v>
      </c>
      <c r="C2382" s="81" t="s">
        <v>2881</v>
      </c>
      <c r="D2382" s="81" t="n">
        <v>23</v>
      </c>
      <c r="E2382" s="81" t="s">
        <v>2889</v>
      </c>
      <c r="F2382" s="82" t="str">
        <f aca="false">IF(E2382="","",IF(LEFT(E2382,2)="DJ","DJ","JN"))</f>
        <v>JN</v>
      </c>
      <c r="G2382" s="81" t="s">
        <v>1504</v>
      </c>
      <c r="H2382" s="81" t="s">
        <v>871</v>
      </c>
      <c r="I2382" s="81" t="n">
        <v>9.53</v>
      </c>
      <c r="J2382" s="81" t="s">
        <v>872</v>
      </c>
      <c r="K2382" s="81" t="s">
        <v>879</v>
      </c>
      <c r="L2382" s="81" t="n">
        <v>2083770</v>
      </c>
      <c r="M2382" s="81" t="n">
        <v>15421105</v>
      </c>
      <c r="N2382" s="81" t="n">
        <v>11.94</v>
      </c>
      <c r="O2382" s="81" t="n">
        <v>2090400</v>
      </c>
      <c r="P2382" s="81" t="n">
        <v>15421109</v>
      </c>
      <c r="Q2382" s="81" t="n">
        <v>11.94</v>
      </c>
      <c r="R2382" s="81" t="s">
        <v>2858</v>
      </c>
      <c r="S2382" s="81"/>
      <c r="T2382" s="81"/>
      <c r="U2382" s="83" t="n">
        <v>46257</v>
      </c>
      <c r="V2382" s="83" t="n">
        <v>46257</v>
      </c>
      <c r="W2382" s="81" t="s">
        <v>2856</v>
      </c>
      <c r="X2382" s="81" t="s">
        <v>876</v>
      </c>
      <c r="Y2382" s="83" t="n">
        <v>46258</v>
      </c>
      <c r="Z2382" s="81" t="s">
        <v>2890</v>
      </c>
      <c r="AA2382" s="81" t="s">
        <v>876</v>
      </c>
      <c r="AB2382" s="81"/>
      <c r="AC2382" s="81"/>
      <c r="AD2382" s="81"/>
      <c r="AE2382" s="83"/>
      <c r="AF2382" s="81"/>
      <c r="AG2382" s="81"/>
      <c r="AH2382" s="81"/>
      <c r="AI2382" s="81"/>
      <c r="AJ2382" s="83"/>
      <c r="AK2382" s="81"/>
      <c r="AL2382" s="81"/>
      <c r="AM2382" s="83"/>
      <c r="AN2382" s="80"/>
      <c r="AO2382" s="82" t="n">
        <f aca="false">IF(E2382="","",(AA2382&lt;&gt;"")+(AG2382&lt;&gt;"")+(AL2382&lt;&gt;""))</f>
        <v>1</v>
      </c>
      <c r="AP2382" s="82" t="str">
        <f aca="false">IF(AL2382&lt;&gt;"",AL2382,IF(AG2382&lt;&gt;"",AG2382,IF(AA2382&lt;&gt;"",AA2382,"")))</f>
        <v>A</v>
      </c>
      <c r="AQ2382" s="84" t="str">
        <f aca="false">IF(E2382="","",IF(U2382="","À SOUDER",IF(X2382="","VT EN ATTENTE",IF(X2382="R","VT REJETÉ – À REPRENDRE",IF(AP2382="","À RADIOGRAPHIER",IF(AP2382="A","ACCEPTÉ",IF(AP2382="NX","NX – RT À REFAIRE",IF(IF(AO2382=1,AD2382,IF(AO2382=2,AI2382,""))="A","RÉPARÉ – À RADIOGRAPHIER",IF(IF(AO2382=1,AD2382,IF(AO2382=2,AI2382,""))="R","VT REJETÉ – À REPRENDRE",IF(OR(AP2382="CO",AP2382="NT"),"COUPE – À RESOUDER","À RÉPARER"))))))))))</f>
        <v>ACCEPTÉ</v>
      </c>
      <c r="AR2382" s="82" t="str">
        <f aca="false">IF(AND(ISNUMBER(U2382),OR(AQ2382="À RADIOGRAPHIER",AQ2382="RÉPARÉ – À RADIOGRAPHIER",AQ2382="NX – RT À REFAIRE",AQ2382="À RÉPARER",AQ2382="COUPE – À RESOUDER",AQ2382="VT REJETÉ – À REPRENDRE")),MAX(0,'PROGRAMME RT'!$C$4-U2382),"")</f>
        <v/>
      </c>
      <c r="AS2382" s="82" t="n">
        <f aca="false">IF(AND(OR(AQ2382="À RADIOGRAPHIER",AQ2382="RÉPARÉ – À RADIOGRAPHIER",AQ2382="NX – RT À REFAIRE"),OR('PROGRAMME RT'!$D$5="TOUTES",B2382='PROGRAMME RT'!$D$5)),1,0)</f>
        <v>0</v>
      </c>
      <c r="AT2382" s="82" t="str">
        <f aca="false">IF(AS2382=1,SUM(AS$7:AS2382),"")</f>
        <v/>
      </c>
      <c r="AU2382" s="82" t="n">
        <f aca="false">IF(AND(OR(AA2382="R",AA2382="NX",AA2382="NT",AA2382="CO"),OR('JOINTS DE RÉPARATION'!$D$5="TOUTES",B2382='JOINTS DE RÉPARATION'!$D$5),OR('JOINTS DE RÉPARATION'!$L$4="TOUS",AQ2382&lt;&gt;"ACCEPTÉ")),1,0)</f>
        <v>0</v>
      </c>
      <c r="AV2382" s="82" t="str">
        <f aca="false">IF(AU2382=1,SUM(AU$7:AU2382),"")</f>
        <v/>
      </c>
      <c r="AW2382" s="82" t="str">
        <f aca="false">IF(E2382="","",B2382&amp;"|"&amp;E2382)</f>
        <v>MFD-ISW → MFD-CPF|JN°1898</v>
      </c>
    </row>
    <row r="2383" customFormat="false" ht="74.6" hidden="false" customHeight="false" outlineLevel="0" collapsed="false">
      <c r="A2383" s="79" t="n">
        <f aca="false">IF(E2383="","",ROW()-6)</f>
        <v>2377</v>
      </c>
      <c r="B2383" s="80" t="s">
        <v>110</v>
      </c>
      <c r="C2383" s="81" t="s">
        <v>2881</v>
      </c>
      <c r="D2383" s="81" t="n">
        <v>23</v>
      </c>
      <c r="E2383" s="81" t="s">
        <v>2891</v>
      </c>
      <c r="F2383" s="82" t="str">
        <f aca="false">IF(E2383="","",IF(LEFT(E2383,2)="DJ","DJ","JN"))</f>
        <v>JN</v>
      </c>
      <c r="G2383" s="81" t="s">
        <v>1504</v>
      </c>
      <c r="H2383" s="81" t="s">
        <v>871</v>
      </c>
      <c r="I2383" s="81" t="n">
        <v>9.53</v>
      </c>
      <c r="J2383" s="81" t="s">
        <v>872</v>
      </c>
      <c r="K2383" s="81" t="s">
        <v>879</v>
      </c>
      <c r="L2383" s="81" t="n">
        <v>2090400</v>
      </c>
      <c r="M2383" s="81" t="n">
        <v>15421109</v>
      </c>
      <c r="N2383" s="81" t="n">
        <v>11.94</v>
      </c>
      <c r="O2383" s="81" t="n">
        <v>2095160</v>
      </c>
      <c r="P2383" s="81" t="n">
        <v>15421111</v>
      </c>
      <c r="Q2383" s="81" t="n">
        <v>11.94</v>
      </c>
      <c r="R2383" s="81" t="s">
        <v>2858</v>
      </c>
      <c r="S2383" s="81"/>
      <c r="T2383" s="81"/>
      <c r="U2383" s="83" t="n">
        <v>46257</v>
      </c>
      <c r="V2383" s="83" t="n">
        <v>46257</v>
      </c>
      <c r="W2383" s="81" t="s">
        <v>2856</v>
      </c>
      <c r="X2383" s="81" t="s">
        <v>876</v>
      </c>
      <c r="Y2383" s="83" t="n">
        <v>46258</v>
      </c>
      <c r="Z2383" s="81" t="s">
        <v>2890</v>
      </c>
      <c r="AA2383" s="81" t="s">
        <v>876</v>
      </c>
      <c r="AB2383" s="81"/>
      <c r="AC2383" s="81"/>
      <c r="AD2383" s="81"/>
      <c r="AE2383" s="83"/>
      <c r="AF2383" s="81"/>
      <c r="AG2383" s="81"/>
      <c r="AH2383" s="81"/>
      <c r="AI2383" s="81"/>
      <c r="AJ2383" s="83"/>
      <c r="AK2383" s="81"/>
      <c r="AL2383" s="81"/>
      <c r="AM2383" s="83"/>
      <c r="AN2383" s="80"/>
      <c r="AO2383" s="82" t="n">
        <f aca="false">IF(E2383="","",(AA2383&lt;&gt;"")+(AG2383&lt;&gt;"")+(AL2383&lt;&gt;""))</f>
        <v>1</v>
      </c>
      <c r="AP2383" s="82" t="str">
        <f aca="false">IF(AL2383&lt;&gt;"",AL2383,IF(AG2383&lt;&gt;"",AG2383,IF(AA2383&lt;&gt;"",AA2383,"")))</f>
        <v>A</v>
      </c>
      <c r="AQ2383" s="84" t="str">
        <f aca="false">IF(E2383="","",IF(U2383="","À SOUDER",IF(X2383="","VT EN ATTENTE",IF(X2383="R","VT REJETÉ – À REPRENDRE",IF(AP2383="","À RADIOGRAPHIER",IF(AP2383="A","ACCEPTÉ",IF(AP2383="NX","NX – RT À REFAIRE",IF(IF(AO2383=1,AD2383,IF(AO2383=2,AI2383,""))="A","RÉPARÉ – À RADIOGRAPHIER",IF(IF(AO2383=1,AD2383,IF(AO2383=2,AI2383,""))="R","VT REJETÉ – À REPRENDRE",IF(OR(AP2383="CO",AP2383="NT"),"COUPE – À RESOUDER","À RÉPARER"))))))))))</f>
        <v>ACCEPTÉ</v>
      </c>
      <c r="AR2383" s="82" t="str">
        <f aca="false">IF(AND(ISNUMBER(U2383),OR(AQ2383="À RADIOGRAPHIER",AQ2383="RÉPARÉ – À RADIOGRAPHIER",AQ2383="NX – RT À REFAIRE",AQ2383="À RÉPARER",AQ2383="COUPE – À RESOUDER",AQ2383="VT REJETÉ – À REPRENDRE")),MAX(0,'PROGRAMME RT'!$C$4-U2383),"")</f>
        <v/>
      </c>
      <c r="AS2383" s="82" t="n">
        <f aca="false">IF(AND(OR(AQ2383="À RADIOGRAPHIER",AQ2383="RÉPARÉ – À RADIOGRAPHIER",AQ2383="NX – RT À REFAIRE"),OR('PROGRAMME RT'!$D$5="TOUTES",B2383='PROGRAMME RT'!$D$5)),1,0)</f>
        <v>0</v>
      </c>
      <c r="AT2383" s="82" t="str">
        <f aca="false">IF(AS2383=1,SUM(AS$7:AS2383),"")</f>
        <v/>
      </c>
      <c r="AU2383" s="82" t="n">
        <f aca="false">IF(AND(OR(AA2383="R",AA2383="NX",AA2383="NT",AA2383="CO"),OR('JOINTS DE RÉPARATION'!$D$5="TOUTES",B2383='JOINTS DE RÉPARATION'!$D$5),OR('JOINTS DE RÉPARATION'!$L$4="TOUS",AQ2383&lt;&gt;"ACCEPTÉ")),1,0)</f>
        <v>0</v>
      </c>
      <c r="AV2383" s="82" t="str">
        <f aca="false">IF(AU2383=1,SUM(AU$7:AU2383),"")</f>
        <v/>
      </c>
      <c r="AW2383" s="82" t="str">
        <f aca="false">IF(E2383="","",B2383&amp;"|"&amp;E2383)</f>
        <v>MFD-ISW → MFD-CPF|JN°1899</v>
      </c>
    </row>
    <row r="2384" customFormat="false" ht="74.6" hidden="false" customHeight="false" outlineLevel="0" collapsed="false">
      <c r="A2384" s="79" t="n">
        <f aca="false">IF(E2384="","",ROW()-6)</f>
        <v>2378</v>
      </c>
      <c r="B2384" s="80" t="s">
        <v>110</v>
      </c>
      <c r="C2384" s="81" t="s">
        <v>2881</v>
      </c>
      <c r="D2384" s="81" t="n">
        <v>23</v>
      </c>
      <c r="E2384" s="81" t="s">
        <v>2892</v>
      </c>
      <c r="F2384" s="82" t="str">
        <f aca="false">IF(E2384="","",IF(LEFT(E2384,2)="DJ","DJ","JN"))</f>
        <v>JN</v>
      </c>
      <c r="G2384" s="81" t="s">
        <v>1504</v>
      </c>
      <c r="H2384" s="81" t="s">
        <v>871</v>
      </c>
      <c r="I2384" s="81" t="n">
        <v>9.53</v>
      </c>
      <c r="J2384" s="81" t="s">
        <v>872</v>
      </c>
      <c r="K2384" s="81" t="s">
        <v>879</v>
      </c>
      <c r="L2384" s="81" t="n">
        <v>2095160</v>
      </c>
      <c r="M2384" s="81" t="n">
        <v>15421111</v>
      </c>
      <c r="N2384" s="81" t="n">
        <v>11.94</v>
      </c>
      <c r="O2384" s="81" t="n">
        <v>2089750</v>
      </c>
      <c r="P2384" s="81" t="n">
        <v>15421109</v>
      </c>
      <c r="Q2384" s="81" t="n">
        <v>11.94</v>
      </c>
      <c r="R2384" s="81" t="s">
        <v>2858</v>
      </c>
      <c r="S2384" s="81"/>
      <c r="T2384" s="81"/>
      <c r="U2384" s="83" t="n">
        <v>46257</v>
      </c>
      <c r="V2384" s="83" t="n">
        <v>46257</v>
      </c>
      <c r="W2384" s="81" t="s">
        <v>2856</v>
      </c>
      <c r="X2384" s="81" t="s">
        <v>876</v>
      </c>
      <c r="Y2384" s="83" t="n">
        <v>46258</v>
      </c>
      <c r="Z2384" s="81" t="s">
        <v>2890</v>
      </c>
      <c r="AA2384" s="81" t="s">
        <v>876</v>
      </c>
      <c r="AB2384" s="81"/>
      <c r="AC2384" s="81"/>
      <c r="AD2384" s="81"/>
      <c r="AE2384" s="83"/>
      <c r="AF2384" s="81"/>
      <c r="AG2384" s="81"/>
      <c r="AH2384" s="81"/>
      <c r="AI2384" s="81"/>
      <c r="AJ2384" s="83"/>
      <c r="AK2384" s="81"/>
      <c r="AL2384" s="81"/>
      <c r="AM2384" s="83"/>
      <c r="AN2384" s="80"/>
      <c r="AO2384" s="82" t="n">
        <f aca="false">IF(E2384="","",(AA2384&lt;&gt;"")+(AG2384&lt;&gt;"")+(AL2384&lt;&gt;""))</f>
        <v>1</v>
      </c>
      <c r="AP2384" s="82" t="str">
        <f aca="false">IF(AL2384&lt;&gt;"",AL2384,IF(AG2384&lt;&gt;"",AG2384,IF(AA2384&lt;&gt;"",AA2384,"")))</f>
        <v>A</v>
      </c>
      <c r="AQ2384" s="84" t="str">
        <f aca="false">IF(E2384="","",IF(U2384="","À SOUDER",IF(X2384="","VT EN ATTENTE",IF(X2384="R","VT REJETÉ – À REPRENDRE",IF(AP2384="","À RADIOGRAPHIER",IF(AP2384="A","ACCEPTÉ",IF(AP2384="NX","NX – RT À REFAIRE",IF(IF(AO2384=1,AD2384,IF(AO2384=2,AI2384,""))="A","RÉPARÉ – À RADIOGRAPHIER",IF(IF(AO2384=1,AD2384,IF(AO2384=2,AI2384,""))="R","VT REJETÉ – À REPRENDRE",IF(OR(AP2384="CO",AP2384="NT"),"COUPE – À RESOUDER","À RÉPARER"))))))))))</f>
        <v>ACCEPTÉ</v>
      </c>
      <c r="AR2384" s="82" t="str">
        <f aca="false">IF(AND(ISNUMBER(U2384),OR(AQ2384="À RADIOGRAPHIER",AQ2384="RÉPARÉ – À RADIOGRAPHIER",AQ2384="NX – RT À REFAIRE",AQ2384="À RÉPARER",AQ2384="COUPE – À RESOUDER",AQ2384="VT REJETÉ – À REPRENDRE")),MAX(0,'PROGRAMME RT'!$C$4-U2384),"")</f>
        <v/>
      </c>
      <c r="AS2384" s="82" t="n">
        <f aca="false">IF(AND(OR(AQ2384="À RADIOGRAPHIER",AQ2384="RÉPARÉ – À RADIOGRAPHIER",AQ2384="NX – RT À REFAIRE"),OR('PROGRAMME RT'!$D$5="TOUTES",B2384='PROGRAMME RT'!$D$5)),1,0)</f>
        <v>0</v>
      </c>
      <c r="AT2384" s="82" t="str">
        <f aca="false">IF(AS2384=1,SUM(AS$7:AS2384),"")</f>
        <v/>
      </c>
      <c r="AU2384" s="82" t="n">
        <f aca="false">IF(AND(OR(AA2384="R",AA2384="NX",AA2384="NT",AA2384="CO"),OR('JOINTS DE RÉPARATION'!$D$5="TOUTES",B2384='JOINTS DE RÉPARATION'!$D$5),OR('JOINTS DE RÉPARATION'!$L$4="TOUS",AQ2384&lt;&gt;"ACCEPTÉ")),1,0)</f>
        <v>0</v>
      </c>
      <c r="AV2384" s="82" t="str">
        <f aca="false">IF(AU2384=1,SUM(AU$7:AU2384),"")</f>
        <v/>
      </c>
      <c r="AW2384" s="82" t="str">
        <f aca="false">IF(E2384="","",B2384&amp;"|"&amp;E2384)</f>
        <v>MFD-ISW → MFD-CPF|JN°1900</v>
      </c>
    </row>
    <row r="2385" customFormat="false" ht="74.6" hidden="false" customHeight="false" outlineLevel="0" collapsed="false">
      <c r="A2385" s="79" t="n">
        <f aca="false">IF(E2385="","",ROW()-6)</f>
        <v>2379</v>
      </c>
      <c r="B2385" s="80" t="s">
        <v>110</v>
      </c>
      <c r="C2385" s="81" t="s">
        <v>2881</v>
      </c>
      <c r="D2385" s="81" t="n">
        <v>23</v>
      </c>
      <c r="E2385" s="81" t="s">
        <v>2893</v>
      </c>
      <c r="F2385" s="82" t="str">
        <f aca="false">IF(E2385="","",IF(LEFT(E2385,2)="DJ","DJ","JN"))</f>
        <v>JN</v>
      </c>
      <c r="G2385" s="81" t="s">
        <v>1504</v>
      </c>
      <c r="H2385" s="81" t="s">
        <v>871</v>
      </c>
      <c r="I2385" s="81" t="n">
        <v>9.53</v>
      </c>
      <c r="J2385" s="81" t="s">
        <v>872</v>
      </c>
      <c r="K2385" s="81" t="s">
        <v>879</v>
      </c>
      <c r="L2385" s="81" t="n">
        <v>2089750</v>
      </c>
      <c r="M2385" s="81" t="n">
        <v>15421109</v>
      </c>
      <c r="N2385" s="81" t="n">
        <v>11.94</v>
      </c>
      <c r="O2385" s="81" t="n">
        <v>2097050</v>
      </c>
      <c r="P2385" s="81" t="n">
        <v>15421111</v>
      </c>
      <c r="Q2385" s="81" t="n">
        <v>11.94</v>
      </c>
      <c r="R2385" s="81" t="s">
        <v>2858</v>
      </c>
      <c r="S2385" s="81"/>
      <c r="T2385" s="81"/>
      <c r="U2385" s="83" t="n">
        <v>46257</v>
      </c>
      <c r="V2385" s="83" t="n">
        <v>46257</v>
      </c>
      <c r="W2385" s="81" t="s">
        <v>2856</v>
      </c>
      <c r="X2385" s="81" t="s">
        <v>876</v>
      </c>
      <c r="Y2385" s="83" t="n">
        <v>46258</v>
      </c>
      <c r="Z2385" s="81" t="s">
        <v>2890</v>
      </c>
      <c r="AA2385" s="81" t="s">
        <v>876</v>
      </c>
      <c r="AB2385" s="81"/>
      <c r="AC2385" s="81"/>
      <c r="AD2385" s="81"/>
      <c r="AE2385" s="83"/>
      <c r="AF2385" s="81"/>
      <c r="AG2385" s="81"/>
      <c r="AH2385" s="81"/>
      <c r="AI2385" s="81"/>
      <c r="AJ2385" s="83"/>
      <c r="AK2385" s="81"/>
      <c r="AL2385" s="81"/>
      <c r="AM2385" s="83"/>
      <c r="AN2385" s="80"/>
      <c r="AO2385" s="82" t="n">
        <f aca="false">IF(E2385="","",(AA2385&lt;&gt;"")+(AG2385&lt;&gt;"")+(AL2385&lt;&gt;""))</f>
        <v>1</v>
      </c>
      <c r="AP2385" s="82" t="str">
        <f aca="false">IF(AL2385&lt;&gt;"",AL2385,IF(AG2385&lt;&gt;"",AG2385,IF(AA2385&lt;&gt;"",AA2385,"")))</f>
        <v>A</v>
      </c>
      <c r="AQ2385" s="84" t="str">
        <f aca="false">IF(E2385="","",IF(U2385="","À SOUDER",IF(X2385="","VT EN ATTENTE",IF(X2385="R","VT REJETÉ – À REPRENDRE",IF(AP2385="","À RADIOGRAPHIER",IF(AP2385="A","ACCEPTÉ",IF(AP2385="NX","NX – RT À REFAIRE",IF(IF(AO2385=1,AD2385,IF(AO2385=2,AI2385,""))="A","RÉPARÉ – À RADIOGRAPHIER",IF(IF(AO2385=1,AD2385,IF(AO2385=2,AI2385,""))="R","VT REJETÉ – À REPRENDRE",IF(OR(AP2385="CO",AP2385="NT"),"COUPE – À RESOUDER","À RÉPARER"))))))))))</f>
        <v>ACCEPTÉ</v>
      </c>
      <c r="AR2385" s="82" t="str">
        <f aca="false">IF(AND(ISNUMBER(U2385),OR(AQ2385="À RADIOGRAPHIER",AQ2385="RÉPARÉ – À RADIOGRAPHIER",AQ2385="NX – RT À REFAIRE",AQ2385="À RÉPARER",AQ2385="COUPE – À RESOUDER",AQ2385="VT REJETÉ – À REPRENDRE")),MAX(0,'PROGRAMME RT'!$C$4-U2385),"")</f>
        <v/>
      </c>
      <c r="AS2385" s="82" t="n">
        <f aca="false">IF(AND(OR(AQ2385="À RADIOGRAPHIER",AQ2385="RÉPARÉ – À RADIOGRAPHIER",AQ2385="NX – RT À REFAIRE"),OR('PROGRAMME RT'!$D$5="TOUTES",B2385='PROGRAMME RT'!$D$5)),1,0)</f>
        <v>0</v>
      </c>
      <c r="AT2385" s="82" t="str">
        <f aca="false">IF(AS2385=1,SUM(AS$7:AS2385),"")</f>
        <v/>
      </c>
      <c r="AU2385" s="82" t="n">
        <f aca="false">IF(AND(OR(AA2385="R",AA2385="NX",AA2385="NT",AA2385="CO"),OR('JOINTS DE RÉPARATION'!$D$5="TOUTES",B2385='JOINTS DE RÉPARATION'!$D$5),OR('JOINTS DE RÉPARATION'!$L$4="TOUS",AQ2385&lt;&gt;"ACCEPTÉ")),1,0)</f>
        <v>0</v>
      </c>
      <c r="AV2385" s="82" t="str">
        <f aca="false">IF(AU2385=1,SUM(AU$7:AU2385),"")</f>
        <v/>
      </c>
      <c r="AW2385" s="82" t="str">
        <f aca="false">IF(E2385="","",B2385&amp;"|"&amp;E2385)</f>
        <v>MFD-ISW → MFD-CPF|JN°1901</v>
      </c>
    </row>
    <row r="2386" customFormat="false" ht="74.6" hidden="false" customHeight="false" outlineLevel="0" collapsed="false">
      <c r="A2386" s="79" t="n">
        <f aca="false">IF(E2386="","",ROW()-6)</f>
        <v>2380</v>
      </c>
      <c r="B2386" s="80" t="s">
        <v>110</v>
      </c>
      <c r="C2386" s="81" t="s">
        <v>2881</v>
      </c>
      <c r="D2386" s="81" t="n">
        <v>23</v>
      </c>
      <c r="E2386" s="81" t="s">
        <v>2894</v>
      </c>
      <c r="F2386" s="82" t="str">
        <f aca="false">IF(E2386="","",IF(LEFT(E2386,2)="DJ","DJ","JN"))</f>
        <v>JN</v>
      </c>
      <c r="G2386" s="81" t="s">
        <v>1504</v>
      </c>
      <c r="H2386" s="81" t="s">
        <v>871</v>
      </c>
      <c r="I2386" s="81" t="n">
        <v>9.53</v>
      </c>
      <c r="J2386" s="81" t="s">
        <v>872</v>
      </c>
      <c r="K2386" s="81" t="s">
        <v>879</v>
      </c>
      <c r="L2386" s="81" t="n">
        <v>2097050</v>
      </c>
      <c r="M2386" s="81" t="n">
        <v>15421111</v>
      </c>
      <c r="N2386" s="81" t="n">
        <v>11.94</v>
      </c>
      <c r="O2386" s="81" t="n">
        <v>2091450</v>
      </c>
      <c r="P2386" s="81" t="n">
        <v>15421109</v>
      </c>
      <c r="Q2386" s="81" t="n">
        <v>11.94</v>
      </c>
      <c r="R2386" s="81" t="s">
        <v>2858</v>
      </c>
      <c r="S2386" s="81"/>
      <c r="T2386" s="81"/>
      <c r="U2386" s="83" t="n">
        <v>46257</v>
      </c>
      <c r="V2386" s="83" t="n">
        <v>46257</v>
      </c>
      <c r="W2386" s="81" t="s">
        <v>2856</v>
      </c>
      <c r="X2386" s="81" t="s">
        <v>876</v>
      </c>
      <c r="Y2386" s="83" t="n">
        <v>46258</v>
      </c>
      <c r="Z2386" s="81" t="s">
        <v>2890</v>
      </c>
      <c r="AA2386" s="81" t="s">
        <v>876</v>
      </c>
      <c r="AB2386" s="81"/>
      <c r="AC2386" s="81"/>
      <c r="AD2386" s="81"/>
      <c r="AE2386" s="83"/>
      <c r="AF2386" s="81"/>
      <c r="AG2386" s="81"/>
      <c r="AH2386" s="81"/>
      <c r="AI2386" s="81"/>
      <c r="AJ2386" s="83"/>
      <c r="AK2386" s="81"/>
      <c r="AL2386" s="81"/>
      <c r="AM2386" s="83"/>
      <c r="AN2386" s="80"/>
      <c r="AO2386" s="82" t="n">
        <f aca="false">IF(E2386="","",(AA2386&lt;&gt;"")+(AG2386&lt;&gt;"")+(AL2386&lt;&gt;""))</f>
        <v>1</v>
      </c>
      <c r="AP2386" s="82" t="str">
        <f aca="false">IF(AL2386&lt;&gt;"",AL2386,IF(AG2386&lt;&gt;"",AG2386,IF(AA2386&lt;&gt;"",AA2386,"")))</f>
        <v>A</v>
      </c>
      <c r="AQ2386" s="84" t="str">
        <f aca="false">IF(E2386="","",IF(U2386="","À SOUDER",IF(X2386="","VT EN ATTENTE",IF(X2386="R","VT REJETÉ – À REPRENDRE",IF(AP2386="","À RADIOGRAPHIER",IF(AP2386="A","ACCEPTÉ",IF(AP2386="NX","NX – RT À REFAIRE",IF(IF(AO2386=1,AD2386,IF(AO2386=2,AI2386,""))="A","RÉPARÉ – À RADIOGRAPHIER",IF(IF(AO2386=1,AD2386,IF(AO2386=2,AI2386,""))="R","VT REJETÉ – À REPRENDRE",IF(OR(AP2386="CO",AP2386="NT"),"COUPE – À RESOUDER","À RÉPARER"))))))))))</f>
        <v>ACCEPTÉ</v>
      </c>
      <c r="AR2386" s="82" t="str">
        <f aca="false">IF(AND(ISNUMBER(U2386),OR(AQ2386="À RADIOGRAPHIER",AQ2386="RÉPARÉ – À RADIOGRAPHIER",AQ2386="NX – RT À REFAIRE",AQ2386="À RÉPARER",AQ2386="COUPE – À RESOUDER",AQ2386="VT REJETÉ – À REPRENDRE")),MAX(0,'PROGRAMME RT'!$C$4-U2386),"")</f>
        <v/>
      </c>
      <c r="AS2386" s="82" t="n">
        <f aca="false">IF(AND(OR(AQ2386="À RADIOGRAPHIER",AQ2386="RÉPARÉ – À RADIOGRAPHIER",AQ2386="NX – RT À REFAIRE"),OR('PROGRAMME RT'!$D$5="TOUTES",B2386='PROGRAMME RT'!$D$5)),1,0)</f>
        <v>0</v>
      </c>
      <c r="AT2386" s="82" t="str">
        <f aca="false">IF(AS2386=1,SUM(AS$7:AS2386),"")</f>
        <v/>
      </c>
      <c r="AU2386" s="82" t="n">
        <f aca="false">IF(AND(OR(AA2386="R",AA2386="NX",AA2386="NT",AA2386="CO"),OR('JOINTS DE RÉPARATION'!$D$5="TOUTES",B2386='JOINTS DE RÉPARATION'!$D$5),OR('JOINTS DE RÉPARATION'!$L$4="TOUS",AQ2386&lt;&gt;"ACCEPTÉ")),1,0)</f>
        <v>0</v>
      </c>
      <c r="AV2386" s="82" t="str">
        <f aca="false">IF(AU2386=1,SUM(AU$7:AU2386),"")</f>
        <v/>
      </c>
      <c r="AW2386" s="82" t="str">
        <f aca="false">IF(E2386="","",B2386&amp;"|"&amp;E2386)</f>
        <v>MFD-ISW → MFD-CPF|JN°1902</v>
      </c>
    </row>
    <row r="2387" customFormat="false" ht="74.6" hidden="false" customHeight="false" outlineLevel="0" collapsed="false">
      <c r="A2387" s="79" t="n">
        <f aca="false">IF(E2387="","",ROW()-6)</f>
        <v>2381</v>
      </c>
      <c r="B2387" s="80" t="s">
        <v>110</v>
      </c>
      <c r="C2387" s="81" t="s">
        <v>2881</v>
      </c>
      <c r="D2387" s="81" t="n">
        <v>23</v>
      </c>
      <c r="E2387" s="81" t="s">
        <v>2895</v>
      </c>
      <c r="F2387" s="82" t="str">
        <f aca="false">IF(E2387="","",IF(LEFT(E2387,2)="DJ","DJ","JN"))</f>
        <v>JN</v>
      </c>
      <c r="G2387" s="81" t="s">
        <v>1504</v>
      </c>
      <c r="H2387" s="81" t="s">
        <v>871</v>
      </c>
      <c r="I2387" s="81" t="n">
        <v>9.53</v>
      </c>
      <c r="J2387" s="81" t="s">
        <v>872</v>
      </c>
      <c r="K2387" s="81" t="s">
        <v>879</v>
      </c>
      <c r="L2387" s="81" t="n">
        <v>2091450</v>
      </c>
      <c r="M2387" s="81" t="n">
        <v>15421109</v>
      </c>
      <c r="N2387" s="81" t="n">
        <v>11.94</v>
      </c>
      <c r="O2387" s="81" t="n">
        <v>2084370</v>
      </c>
      <c r="P2387" s="81" t="n">
        <v>15421106</v>
      </c>
      <c r="Q2387" s="81" t="n">
        <v>11.94</v>
      </c>
      <c r="R2387" s="81" t="s">
        <v>2858</v>
      </c>
      <c r="S2387" s="81"/>
      <c r="T2387" s="81"/>
      <c r="U2387" s="83" t="n">
        <v>46257</v>
      </c>
      <c r="V2387" s="83" t="n">
        <v>46257</v>
      </c>
      <c r="W2387" s="81" t="s">
        <v>2896</v>
      </c>
      <c r="X2387" s="81" t="s">
        <v>876</v>
      </c>
      <c r="Y2387" s="83" t="n">
        <v>46258</v>
      </c>
      <c r="Z2387" s="81" t="s">
        <v>2890</v>
      </c>
      <c r="AA2387" s="81" t="s">
        <v>876</v>
      </c>
      <c r="AB2387" s="81"/>
      <c r="AC2387" s="81"/>
      <c r="AD2387" s="81"/>
      <c r="AE2387" s="83"/>
      <c r="AF2387" s="81"/>
      <c r="AG2387" s="81"/>
      <c r="AH2387" s="81"/>
      <c r="AI2387" s="81"/>
      <c r="AJ2387" s="83"/>
      <c r="AK2387" s="81"/>
      <c r="AL2387" s="81"/>
      <c r="AM2387" s="83"/>
      <c r="AN2387" s="80"/>
      <c r="AO2387" s="82" t="n">
        <f aca="false">IF(E2387="","",(AA2387&lt;&gt;"")+(AG2387&lt;&gt;"")+(AL2387&lt;&gt;""))</f>
        <v>1</v>
      </c>
      <c r="AP2387" s="82" t="str">
        <f aca="false">IF(AL2387&lt;&gt;"",AL2387,IF(AG2387&lt;&gt;"",AG2387,IF(AA2387&lt;&gt;"",AA2387,"")))</f>
        <v>A</v>
      </c>
      <c r="AQ2387" s="84" t="str">
        <f aca="false">IF(E2387="","",IF(U2387="","À SOUDER",IF(X2387="","VT EN ATTENTE",IF(X2387="R","VT REJETÉ – À REPRENDRE",IF(AP2387="","À RADIOGRAPHIER",IF(AP2387="A","ACCEPTÉ",IF(AP2387="NX","NX – RT À REFAIRE",IF(IF(AO2387=1,AD2387,IF(AO2387=2,AI2387,""))="A","RÉPARÉ – À RADIOGRAPHIER",IF(IF(AO2387=1,AD2387,IF(AO2387=2,AI2387,""))="R","VT REJETÉ – À REPRENDRE",IF(OR(AP2387="CO",AP2387="NT"),"COUPE – À RESOUDER","À RÉPARER"))))))))))</f>
        <v>ACCEPTÉ</v>
      </c>
      <c r="AR2387" s="82" t="str">
        <f aca="false">IF(AND(ISNUMBER(U2387),OR(AQ2387="À RADIOGRAPHIER",AQ2387="RÉPARÉ – À RADIOGRAPHIER",AQ2387="NX – RT À REFAIRE",AQ2387="À RÉPARER",AQ2387="COUPE – À RESOUDER",AQ2387="VT REJETÉ – À REPRENDRE")),MAX(0,'PROGRAMME RT'!$C$4-U2387),"")</f>
        <v/>
      </c>
      <c r="AS2387" s="82" t="n">
        <f aca="false">IF(AND(OR(AQ2387="À RADIOGRAPHIER",AQ2387="RÉPARÉ – À RADIOGRAPHIER",AQ2387="NX – RT À REFAIRE"),OR('PROGRAMME RT'!$D$5="TOUTES",B2387='PROGRAMME RT'!$D$5)),1,0)</f>
        <v>0</v>
      </c>
      <c r="AT2387" s="82" t="str">
        <f aca="false">IF(AS2387=1,SUM(AS$7:AS2387),"")</f>
        <v/>
      </c>
      <c r="AU2387" s="82" t="n">
        <f aca="false">IF(AND(OR(AA2387="R",AA2387="NX",AA2387="NT",AA2387="CO"),OR('JOINTS DE RÉPARATION'!$D$5="TOUTES",B2387='JOINTS DE RÉPARATION'!$D$5),OR('JOINTS DE RÉPARATION'!$L$4="TOUS",AQ2387&lt;&gt;"ACCEPTÉ")),1,0)</f>
        <v>0</v>
      </c>
      <c r="AV2387" s="82" t="str">
        <f aca="false">IF(AU2387=1,SUM(AU$7:AU2387),"")</f>
        <v/>
      </c>
      <c r="AW2387" s="82" t="str">
        <f aca="false">IF(E2387="","",B2387&amp;"|"&amp;E2387)</f>
        <v>MFD-ISW → MFD-CPF|JN°1903</v>
      </c>
    </row>
    <row r="2388" customFormat="false" ht="74.6" hidden="false" customHeight="false" outlineLevel="0" collapsed="false">
      <c r="A2388" s="79" t="n">
        <f aca="false">IF(E2388="","",ROW()-6)</f>
        <v>2382</v>
      </c>
      <c r="B2388" s="80" t="s">
        <v>110</v>
      </c>
      <c r="C2388" s="81" t="s">
        <v>2881</v>
      </c>
      <c r="D2388" s="81" t="n">
        <v>23</v>
      </c>
      <c r="E2388" s="81" t="s">
        <v>2897</v>
      </c>
      <c r="F2388" s="82" t="str">
        <f aca="false">IF(E2388="","",IF(LEFT(E2388,2)="DJ","DJ","JN"))</f>
        <v>JN</v>
      </c>
      <c r="G2388" s="81" t="s">
        <v>1504</v>
      </c>
      <c r="H2388" s="81" t="s">
        <v>871</v>
      </c>
      <c r="I2388" s="81" t="n">
        <v>9.53</v>
      </c>
      <c r="J2388" s="81" t="s">
        <v>872</v>
      </c>
      <c r="K2388" s="81" t="s">
        <v>879</v>
      </c>
      <c r="L2388" s="81" t="n">
        <v>2084370</v>
      </c>
      <c r="M2388" s="81" t="n">
        <v>15421106</v>
      </c>
      <c r="N2388" s="81" t="n">
        <v>11.94</v>
      </c>
      <c r="O2388" s="81" t="n">
        <v>2084750</v>
      </c>
      <c r="P2388" s="81" t="n">
        <v>15421106</v>
      </c>
      <c r="Q2388" s="81" t="n">
        <v>11.94</v>
      </c>
      <c r="R2388" s="81" t="s">
        <v>2858</v>
      </c>
      <c r="S2388" s="81"/>
      <c r="T2388" s="81"/>
      <c r="U2388" s="83" t="n">
        <v>46257</v>
      </c>
      <c r="V2388" s="83" t="n">
        <v>46257</v>
      </c>
      <c r="W2388" s="81" t="s">
        <v>2896</v>
      </c>
      <c r="X2388" s="81" t="s">
        <v>876</v>
      </c>
      <c r="Y2388" s="83" t="n">
        <v>46258</v>
      </c>
      <c r="Z2388" s="81" t="s">
        <v>2890</v>
      </c>
      <c r="AA2388" s="81" t="s">
        <v>876</v>
      </c>
      <c r="AB2388" s="81"/>
      <c r="AC2388" s="81"/>
      <c r="AD2388" s="81"/>
      <c r="AE2388" s="83"/>
      <c r="AF2388" s="81"/>
      <c r="AG2388" s="81"/>
      <c r="AH2388" s="81"/>
      <c r="AI2388" s="81"/>
      <c r="AJ2388" s="83"/>
      <c r="AK2388" s="81"/>
      <c r="AL2388" s="81"/>
      <c r="AM2388" s="83"/>
      <c r="AN2388" s="80"/>
      <c r="AO2388" s="82" t="n">
        <f aca="false">IF(E2388="","",(AA2388&lt;&gt;"")+(AG2388&lt;&gt;"")+(AL2388&lt;&gt;""))</f>
        <v>1</v>
      </c>
      <c r="AP2388" s="82" t="str">
        <f aca="false">IF(AL2388&lt;&gt;"",AL2388,IF(AG2388&lt;&gt;"",AG2388,IF(AA2388&lt;&gt;"",AA2388,"")))</f>
        <v>A</v>
      </c>
      <c r="AQ2388" s="84" t="str">
        <f aca="false">IF(E2388="","",IF(U2388="","À SOUDER",IF(X2388="","VT EN ATTENTE",IF(X2388="R","VT REJETÉ – À REPRENDRE",IF(AP2388="","À RADIOGRAPHIER",IF(AP2388="A","ACCEPTÉ",IF(AP2388="NX","NX – RT À REFAIRE",IF(IF(AO2388=1,AD2388,IF(AO2388=2,AI2388,""))="A","RÉPARÉ – À RADIOGRAPHIER",IF(IF(AO2388=1,AD2388,IF(AO2388=2,AI2388,""))="R","VT REJETÉ – À REPRENDRE",IF(OR(AP2388="CO",AP2388="NT"),"COUPE – À RESOUDER","À RÉPARER"))))))))))</f>
        <v>ACCEPTÉ</v>
      </c>
      <c r="AR2388" s="82" t="str">
        <f aca="false">IF(AND(ISNUMBER(U2388),OR(AQ2388="À RADIOGRAPHIER",AQ2388="RÉPARÉ – À RADIOGRAPHIER",AQ2388="NX – RT À REFAIRE",AQ2388="À RÉPARER",AQ2388="COUPE – À RESOUDER",AQ2388="VT REJETÉ – À REPRENDRE")),MAX(0,'PROGRAMME RT'!$C$4-U2388),"")</f>
        <v/>
      </c>
      <c r="AS2388" s="82" t="n">
        <f aca="false">IF(AND(OR(AQ2388="À RADIOGRAPHIER",AQ2388="RÉPARÉ – À RADIOGRAPHIER",AQ2388="NX – RT À REFAIRE"),OR('PROGRAMME RT'!$D$5="TOUTES",B2388='PROGRAMME RT'!$D$5)),1,0)</f>
        <v>0</v>
      </c>
      <c r="AT2388" s="82" t="str">
        <f aca="false">IF(AS2388=1,SUM(AS$7:AS2388),"")</f>
        <v/>
      </c>
      <c r="AU2388" s="82" t="n">
        <f aca="false">IF(AND(OR(AA2388="R",AA2388="NX",AA2388="NT",AA2388="CO"),OR('JOINTS DE RÉPARATION'!$D$5="TOUTES",B2388='JOINTS DE RÉPARATION'!$D$5),OR('JOINTS DE RÉPARATION'!$L$4="TOUS",AQ2388&lt;&gt;"ACCEPTÉ")),1,0)</f>
        <v>0</v>
      </c>
      <c r="AV2388" s="82" t="str">
        <f aca="false">IF(AU2388=1,SUM(AU$7:AU2388),"")</f>
        <v/>
      </c>
      <c r="AW2388" s="82" t="str">
        <f aca="false">IF(E2388="","",B2388&amp;"|"&amp;E2388)</f>
        <v>MFD-ISW → MFD-CPF|JN°1904</v>
      </c>
    </row>
    <row r="2389" customFormat="false" ht="74.6" hidden="false" customHeight="false" outlineLevel="0" collapsed="false">
      <c r="A2389" s="79" t="n">
        <f aca="false">IF(E2389="","",ROW()-6)</f>
        <v>2383</v>
      </c>
      <c r="B2389" s="80" t="s">
        <v>110</v>
      </c>
      <c r="C2389" s="81" t="s">
        <v>2881</v>
      </c>
      <c r="D2389" s="81" t="n">
        <v>23</v>
      </c>
      <c r="E2389" s="81" t="s">
        <v>2898</v>
      </c>
      <c r="F2389" s="82" t="str">
        <f aca="false">IF(E2389="","",IF(LEFT(E2389,2)="DJ","DJ","JN"))</f>
        <v>JN</v>
      </c>
      <c r="G2389" s="81" t="s">
        <v>1504</v>
      </c>
      <c r="H2389" s="81" t="s">
        <v>871</v>
      </c>
      <c r="I2389" s="81" t="n">
        <v>9.53</v>
      </c>
      <c r="J2389" s="81" t="s">
        <v>872</v>
      </c>
      <c r="K2389" s="81" t="s">
        <v>879</v>
      </c>
      <c r="L2389" s="81" t="n">
        <v>2084750</v>
      </c>
      <c r="M2389" s="81" t="n">
        <v>15421106</v>
      </c>
      <c r="N2389" s="81" t="n">
        <v>11.94</v>
      </c>
      <c r="O2389" s="81" t="n">
        <v>2085100</v>
      </c>
      <c r="P2389" s="81" t="n">
        <v>15421106</v>
      </c>
      <c r="Q2389" s="81" t="n">
        <v>11.94</v>
      </c>
      <c r="R2389" s="81" t="s">
        <v>2858</v>
      </c>
      <c r="S2389" s="81"/>
      <c r="T2389" s="81"/>
      <c r="U2389" s="83" t="n">
        <v>46257</v>
      </c>
      <c r="V2389" s="83" t="n">
        <v>46257</v>
      </c>
      <c r="W2389" s="81" t="s">
        <v>2896</v>
      </c>
      <c r="X2389" s="81" t="s">
        <v>876</v>
      </c>
      <c r="Y2389" s="83" t="n">
        <v>46258</v>
      </c>
      <c r="Z2389" s="81" t="s">
        <v>2890</v>
      </c>
      <c r="AA2389" s="81" t="s">
        <v>876</v>
      </c>
      <c r="AB2389" s="81"/>
      <c r="AC2389" s="81"/>
      <c r="AD2389" s="81"/>
      <c r="AE2389" s="83"/>
      <c r="AF2389" s="81"/>
      <c r="AG2389" s="81"/>
      <c r="AH2389" s="81"/>
      <c r="AI2389" s="81"/>
      <c r="AJ2389" s="83"/>
      <c r="AK2389" s="81"/>
      <c r="AL2389" s="81"/>
      <c r="AM2389" s="83"/>
      <c r="AN2389" s="80"/>
      <c r="AO2389" s="82" t="n">
        <f aca="false">IF(E2389="","",(AA2389&lt;&gt;"")+(AG2389&lt;&gt;"")+(AL2389&lt;&gt;""))</f>
        <v>1</v>
      </c>
      <c r="AP2389" s="82" t="str">
        <f aca="false">IF(AL2389&lt;&gt;"",AL2389,IF(AG2389&lt;&gt;"",AG2389,IF(AA2389&lt;&gt;"",AA2389,"")))</f>
        <v>A</v>
      </c>
      <c r="AQ2389" s="84" t="str">
        <f aca="false">IF(E2389="","",IF(U2389="","À SOUDER",IF(X2389="","VT EN ATTENTE",IF(X2389="R","VT REJETÉ – À REPRENDRE",IF(AP2389="","À RADIOGRAPHIER",IF(AP2389="A","ACCEPTÉ",IF(AP2389="NX","NX – RT À REFAIRE",IF(IF(AO2389=1,AD2389,IF(AO2389=2,AI2389,""))="A","RÉPARÉ – À RADIOGRAPHIER",IF(IF(AO2389=1,AD2389,IF(AO2389=2,AI2389,""))="R","VT REJETÉ – À REPRENDRE",IF(OR(AP2389="CO",AP2389="NT"),"COUPE – À RESOUDER","À RÉPARER"))))))))))</f>
        <v>ACCEPTÉ</v>
      </c>
      <c r="AR2389" s="82" t="str">
        <f aca="false">IF(AND(ISNUMBER(U2389),OR(AQ2389="À RADIOGRAPHIER",AQ2389="RÉPARÉ – À RADIOGRAPHIER",AQ2389="NX – RT À REFAIRE",AQ2389="À RÉPARER",AQ2389="COUPE – À RESOUDER",AQ2389="VT REJETÉ – À REPRENDRE")),MAX(0,'PROGRAMME RT'!$C$4-U2389),"")</f>
        <v/>
      </c>
      <c r="AS2389" s="82" t="n">
        <f aca="false">IF(AND(OR(AQ2389="À RADIOGRAPHIER",AQ2389="RÉPARÉ – À RADIOGRAPHIER",AQ2389="NX – RT À REFAIRE"),OR('PROGRAMME RT'!$D$5="TOUTES",B2389='PROGRAMME RT'!$D$5)),1,0)</f>
        <v>0</v>
      </c>
      <c r="AT2389" s="82" t="str">
        <f aca="false">IF(AS2389=1,SUM(AS$7:AS2389),"")</f>
        <v/>
      </c>
      <c r="AU2389" s="82" t="n">
        <f aca="false">IF(AND(OR(AA2389="R",AA2389="NX",AA2389="NT",AA2389="CO"),OR('JOINTS DE RÉPARATION'!$D$5="TOUTES",B2389='JOINTS DE RÉPARATION'!$D$5),OR('JOINTS DE RÉPARATION'!$L$4="TOUS",AQ2389&lt;&gt;"ACCEPTÉ")),1,0)</f>
        <v>0</v>
      </c>
      <c r="AV2389" s="82" t="str">
        <f aca="false">IF(AU2389=1,SUM(AU$7:AU2389),"")</f>
        <v/>
      </c>
      <c r="AW2389" s="82" t="str">
        <f aca="false">IF(E2389="","",B2389&amp;"|"&amp;E2389)</f>
        <v>MFD-ISW → MFD-CPF|JN°1905</v>
      </c>
    </row>
    <row r="2390" customFormat="false" ht="74.6" hidden="false" customHeight="false" outlineLevel="0" collapsed="false">
      <c r="A2390" s="79" t="n">
        <f aca="false">IF(E2390="","",ROW()-6)</f>
        <v>2384</v>
      </c>
      <c r="B2390" s="80" t="s">
        <v>110</v>
      </c>
      <c r="C2390" s="81" t="s">
        <v>2881</v>
      </c>
      <c r="D2390" s="81" t="n">
        <v>23</v>
      </c>
      <c r="E2390" s="81" t="s">
        <v>2899</v>
      </c>
      <c r="F2390" s="82" t="str">
        <f aca="false">IF(E2390="","",IF(LEFT(E2390,2)="DJ","DJ","JN"))</f>
        <v>JN</v>
      </c>
      <c r="G2390" s="81" t="s">
        <v>1504</v>
      </c>
      <c r="H2390" s="81" t="s">
        <v>871</v>
      </c>
      <c r="I2390" s="81" t="n">
        <v>9.53</v>
      </c>
      <c r="J2390" s="81" t="s">
        <v>872</v>
      </c>
      <c r="K2390" s="81" t="s">
        <v>879</v>
      </c>
      <c r="L2390" s="81" t="n">
        <v>2085100</v>
      </c>
      <c r="M2390" s="81" t="n">
        <v>15421106</v>
      </c>
      <c r="N2390" s="81" t="n">
        <v>11.94</v>
      </c>
      <c r="O2390" s="81" t="n">
        <v>2095790</v>
      </c>
      <c r="P2390" s="81" t="n">
        <v>15421111</v>
      </c>
      <c r="Q2390" s="81" t="n">
        <v>11.94</v>
      </c>
      <c r="R2390" s="81" t="s">
        <v>2900</v>
      </c>
      <c r="S2390" s="81"/>
      <c r="T2390" s="81"/>
      <c r="U2390" s="83" t="n">
        <v>46256</v>
      </c>
      <c r="V2390" s="83" t="n">
        <v>46256</v>
      </c>
      <c r="W2390" s="81" t="s">
        <v>2901</v>
      </c>
      <c r="X2390" s="81" t="s">
        <v>876</v>
      </c>
      <c r="Y2390" s="83" t="n">
        <v>46258</v>
      </c>
      <c r="Z2390" s="81" t="s">
        <v>2890</v>
      </c>
      <c r="AA2390" s="81" t="s">
        <v>876</v>
      </c>
      <c r="AB2390" s="81"/>
      <c r="AC2390" s="81"/>
      <c r="AD2390" s="81"/>
      <c r="AE2390" s="83"/>
      <c r="AF2390" s="81"/>
      <c r="AG2390" s="81"/>
      <c r="AH2390" s="81"/>
      <c r="AI2390" s="81"/>
      <c r="AJ2390" s="83"/>
      <c r="AK2390" s="81"/>
      <c r="AL2390" s="81"/>
      <c r="AM2390" s="83"/>
      <c r="AN2390" s="80"/>
      <c r="AO2390" s="82" t="n">
        <f aca="false">IF(E2390="","",(AA2390&lt;&gt;"")+(AG2390&lt;&gt;"")+(AL2390&lt;&gt;""))</f>
        <v>1</v>
      </c>
      <c r="AP2390" s="82" t="str">
        <f aca="false">IF(AL2390&lt;&gt;"",AL2390,IF(AG2390&lt;&gt;"",AG2390,IF(AA2390&lt;&gt;"",AA2390,"")))</f>
        <v>A</v>
      </c>
      <c r="AQ2390" s="84" t="str">
        <f aca="false">IF(E2390="","",IF(U2390="","À SOUDER",IF(X2390="","VT EN ATTENTE",IF(X2390="R","VT REJETÉ – À REPRENDRE",IF(AP2390="","À RADIOGRAPHIER",IF(AP2390="A","ACCEPTÉ",IF(AP2390="NX","NX – RT À REFAIRE",IF(IF(AO2390=1,AD2390,IF(AO2390=2,AI2390,""))="A","RÉPARÉ – À RADIOGRAPHIER",IF(IF(AO2390=1,AD2390,IF(AO2390=2,AI2390,""))="R","VT REJETÉ – À REPRENDRE",IF(OR(AP2390="CO",AP2390="NT"),"COUPE – À RESOUDER","À RÉPARER"))))))))))</f>
        <v>ACCEPTÉ</v>
      </c>
      <c r="AR2390" s="82" t="str">
        <f aca="false">IF(AND(ISNUMBER(U2390),OR(AQ2390="À RADIOGRAPHIER",AQ2390="RÉPARÉ – À RADIOGRAPHIER",AQ2390="NX – RT À REFAIRE",AQ2390="À RÉPARER",AQ2390="COUPE – À RESOUDER",AQ2390="VT REJETÉ – À REPRENDRE")),MAX(0,'PROGRAMME RT'!$C$4-U2390),"")</f>
        <v/>
      </c>
      <c r="AS2390" s="82" t="n">
        <f aca="false">IF(AND(OR(AQ2390="À RADIOGRAPHIER",AQ2390="RÉPARÉ – À RADIOGRAPHIER",AQ2390="NX – RT À REFAIRE"),OR('PROGRAMME RT'!$D$5="TOUTES",B2390='PROGRAMME RT'!$D$5)),1,0)</f>
        <v>0</v>
      </c>
      <c r="AT2390" s="82" t="str">
        <f aca="false">IF(AS2390=1,SUM(AS$7:AS2390),"")</f>
        <v/>
      </c>
      <c r="AU2390" s="82" t="n">
        <f aca="false">IF(AND(OR(AA2390="R",AA2390="NX",AA2390="NT",AA2390="CO"),OR('JOINTS DE RÉPARATION'!$D$5="TOUTES",B2390='JOINTS DE RÉPARATION'!$D$5),OR('JOINTS DE RÉPARATION'!$L$4="TOUS",AQ2390&lt;&gt;"ACCEPTÉ")),1,0)</f>
        <v>0</v>
      </c>
      <c r="AV2390" s="82" t="str">
        <f aca="false">IF(AU2390=1,SUM(AU$7:AU2390),"")</f>
        <v/>
      </c>
      <c r="AW2390" s="82" t="str">
        <f aca="false">IF(E2390="","",B2390&amp;"|"&amp;E2390)</f>
        <v>MFD-ISW → MFD-CPF|JN°1906</v>
      </c>
    </row>
    <row r="2391" customFormat="false" ht="74.6" hidden="false" customHeight="false" outlineLevel="0" collapsed="false">
      <c r="A2391" s="79" t="n">
        <f aca="false">IF(E2391="","",ROW()-6)</f>
        <v>2385</v>
      </c>
      <c r="B2391" s="80" t="s">
        <v>110</v>
      </c>
      <c r="C2391" s="81" t="s">
        <v>2881</v>
      </c>
      <c r="D2391" s="81" t="n">
        <v>23</v>
      </c>
      <c r="E2391" s="81" t="s">
        <v>2902</v>
      </c>
      <c r="F2391" s="82" t="str">
        <f aca="false">IF(E2391="","",IF(LEFT(E2391,2)="DJ","DJ","JN"))</f>
        <v>JN</v>
      </c>
      <c r="G2391" s="81" t="s">
        <v>1504</v>
      </c>
      <c r="H2391" s="81" t="s">
        <v>871</v>
      </c>
      <c r="I2391" s="81" t="n">
        <v>9.53</v>
      </c>
      <c r="J2391" s="81" t="s">
        <v>872</v>
      </c>
      <c r="K2391" s="81" t="s">
        <v>879</v>
      </c>
      <c r="L2391" s="81" t="n">
        <v>2095790</v>
      </c>
      <c r="M2391" s="81" t="n">
        <v>15421111</v>
      </c>
      <c r="N2391" s="81" t="n">
        <v>11.94</v>
      </c>
      <c r="O2391" s="81" t="n">
        <v>2090790</v>
      </c>
      <c r="P2391" s="81" t="n">
        <v>15421111</v>
      </c>
      <c r="Q2391" s="81" t="n">
        <v>11.94</v>
      </c>
      <c r="R2391" s="81" t="s">
        <v>2900</v>
      </c>
      <c r="S2391" s="81"/>
      <c r="T2391" s="81"/>
      <c r="U2391" s="83" t="n">
        <v>46256</v>
      </c>
      <c r="V2391" s="83" t="n">
        <v>46256</v>
      </c>
      <c r="W2391" s="81" t="s">
        <v>2901</v>
      </c>
      <c r="X2391" s="81" t="s">
        <v>876</v>
      </c>
      <c r="Y2391" s="83" t="n">
        <v>46258</v>
      </c>
      <c r="Z2391" s="81" t="s">
        <v>2890</v>
      </c>
      <c r="AA2391" s="81" t="s">
        <v>876</v>
      </c>
      <c r="AB2391" s="81"/>
      <c r="AC2391" s="81"/>
      <c r="AD2391" s="81"/>
      <c r="AE2391" s="83"/>
      <c r="AF2391" s="81"/>
      <c r="AG2391" s="81"/>
      <c r="AH2391" s="81"/>
      <c r="AI2391" s="81"/>
      <c r="AJ2391" s="83"/>
      <c r="AK2391" s="81"/>
      <c r="AL2391" s="81"/>
      <c r="AM2391" s="83"/>
      <c r="AN2391" s="80"/>
      <c r="AO2391" s="82" t="n">
        <f aca="false">IF(E2391="","",(AA2391&lt;&gt;"")+(AG2391&lt;&gt;"")+(AL2391&lt;&gt;""))</f>
        <v>1</v>
      </c>
      <c r="AP2391" s="82" t="str">
        <f aca="false">IF(AL2391&lt;&gt;"",AL2391,IF(AG2391&lt;&gt;"",AG2391,IF(AA2391&lt;&gt;"",AA2391,"")))</f>
        <v>A</v>
      </c>
      <c r="AQ2391" s="84" t="str">
        <f aca="false">IF(E2391="","",IF(U2391="","À SOUDER",IF(X2391="","VT EN ATTENTE",IF(X2391="R","VT REJETÉ – À REPRENDRE",IF(AP2391="","À RADIOGRAPHIER",IF(AP2391="A","ACCEPTÉ",IF(AP2391="NX","NX – RT À REFAIRE",IF(IF(AO2391=1,AD2391,IF(AO2391=2,AI2391,""))="A","RÉPARÉ – À RADIOGRAPHIER",IF(IF(AO2391=1,AD2391,IF(AO2391=2,AI2391,""))="R","VT REJETÉ – À REPRENDRE",IF(OR(AP2391="CO",AP2391="NT"),"COUPE – À RESOUDER","À RÉPARER"))))))))))</f>
        <v>ACCEPTÉ</v>
      </c>
      <c r="AR2391" s="82" t="str">
        <f aca="false">IF(AND(ISNUMBER(U2391),OR(AQ2391="À RADIOGRAPHIER",AQ2391="RÉPARÉ – À RADIOGRAPHIER",AQ2391="NX – RT À REFAIRE",AQ2391="À RÉPARER",AQ2391="COUPE – À RESOUDER",AQ2391="VT REJETÉ – À REPRENDRE")),MAX(0,'PROGRAMME RT'!$C$4-U2391),"")</f>
        <v/>
      </c>
      <c r="AS2391" s="82" t="n">
        <f aca="false">IF(AND(OR(AQ2391="À RADIOGRAPHIER",AQ2391="RÉPARÉ – À RADIOGRAPHIER",AQ2391="NX – RT À REFAIRE"),OR('PROGRAMME RT'!$D$5="TOUTES",B2391='PROGRAMME RT'!$D$5)),1,0)</f>
        <v>0</v>
      </c>
      <c r="AT2391" s="82" t="str">
        <f aca="false">IF(AS2391=1,SUM(AS$7:AS2391),"")</f>
        <v/>
      </c>
      <c r="AU2391" s="82" t="n">
        <f aca="false">IF(AND(OR(AA2391="R",AA2391="NX",AA2391="NT",AA2391="CO"),OR('JOINTS DE RÉPARATION'!$D$5="TOUTES",B2391='JOINTS DE RÉPARATION'!$D$5),OR('JOINTS DE RÉPARATION'!$L$4="TOUS",AQ2391&lt;&gt;"ACCEPTÉ")),1,0)</f>
        <v>0</v>
      </c>
      <c r="AV2391" s="82" t="str">
        <f aca="false">IF(AU2391=1,SUM(AU$7:AU2391),"")</f>
        <v/>
      </c>
      <c r="AW2391" s="82" t="str">
        <f aca="false">IF(E2391="","",B2391&amp;"|"&amp;E2391)</f>
        <v>MFD-ISW → MFD-CPF|JN°1907</v>
      </c>
    </row>
    <row r="2392" customFormat="false" ht="74.6" hidden="false" customHeight="false" outlineLevel="0" collapsed="false">
      <c r="A2392" s="79" t="n">
        <f aca="false">IF(E2392="","",ROW()-6)</f>
        <v>2386</v>
      </c>
      <c r="B2392" s="80" t="s">
        <v>110</v>
      </c>
      <c r="C2392" s="81" t="s">
        <v>2881</v>
      </c>
      <c r="D2392" s="81" t="n">
        <v>23</v>
      </c>
      <c r="E2392" s="81" t="s">
        <v>2903</v>
      </c>
      <c r="F2392" s="82" t="str">
        <f aca="false">IF(E2392="","",IF(LEFT(E2392,2)="DJ","DJ","JN"))</f>
        <v>JN</v>
      </c>
      <c r="G2392" s="81" t="s">
        <v>1504</v>
      </c>
      <c r="H2392" s="81" t="s">
        <v>871</v>
      </c>
      <c r="I2392" s="81" t="n">
        <v>9.53</v>
      </c>
      <c r="J2392" s="81" t="s">
        <v>872</v>
      </c>
      <c r="K2392" s="81" t="s">
        <v>879</v>
      </c>
      <c r="L2392" s="81" t="n">
        <v>2090790</v>
      </c>
      <c r="M2392" s="81" t="n">
        <v>15421111</v>
      </c>
      <c r="N2392" s="81" t="n">
        <v>11.94</v>
      </c>
      <c r="O2392" s="81" t="n">
        <v>2090200</v>
      </c>
      <c r="P2392" s="81" t="n">
        <v>15421107</v>
      </c>
      <c r="Q2392" s="81" t="n">
        <v>11.94</v>
      </c>
      <c r="R2392" s="81" t="s">
        <v>2900</v>
      </c>
      <c r="S2392" s="81"/>
      <c r="T2392" s="81"/>
      <c r="U2392" s="83" t="n">
        <v>46256</v>
      </c>
      <c r="V2392" s="83" t="n">
        <v>46256</v>
      </c>
      <c r="W2392" s="81" t="s">
        <v>2901</v>
      </c>
      <c r="X2392" s="81" t="s">
        <v>876</v>
      </c>
      <c r="Y2392" s="83" t="n">
        <v>46257</v>
      </c>
      <c r="Z2392" s="81" t="s">
        <v>2904</v>
      </c>
      <c r="AA2392" s="81" t="s">
        <v>876</v>
      </c>
      <c r="AB2392" s="81"/>
      <c r="AC2392" s="81"/>
      <c r="AD2392" s="81"/>
      <c r="AE2392" s="83"/>
      <c r="AF2392" s="81"/>
      <c r="AG2392" s="81"/>
      <c r="AH2392" s="81"/>
      <c r="AI2392" s="81"/>
      <c r="AJ2392" s="83"/>
      <c r="AK2392" s="81"/>
      <c r="AL2392" s="81"/>
      <c r="AM2392" s="83"/>
      <c r="AN2392" s="80"/>
      <c r="AO2392" s="82" t="n">
        <f aca="false">IF(E2392="","",(AA2392&lt;&gt;"")+(AG2392&lt;&gt;"")+(AL2392&lt;&gt;""))</f>
        <v>1</v>
      </c>
      <c r="AP2392" s="82" t="str">
        <f aca="false">IF(AL2392&lt;&gt;"",AL2392,IF(AG2392&lt;&gt;"",AG2392,IF(AA2392&lt;&gt;"",AA2392,"")))</f>
        <v>A</v>
      </c>
      <c r="AQ2392" s="84" t="str">
        <f aca="false">IF(E2392="","",IF(U2392="","À SOUDER",IF(X2392="","VT EN ATTENTE",IF(X2392="R","VT REJETÉ – À REPRENDRE",IF(AP2392="","À RADIOGRAPHIER",IF(AP2392="A","ACCEPTÉ",IF(AP2392="NX","NX – RT À REFAIRE",IF(IF(AO2392=1,AD2392,IF(AO2392=2,AI2392,""))="A","RÉPARÉ – À RADIOGRAPHIER",IF(IF(AO2392=1,AD2392,IF(AO2392=2,AI2392,""))="R","VT REJETÉ – À REPRENDRE",IF(OR(AP2392="CO",AP2392="NT"),"COUPE – À RESOUDER","À RÉPARER"))))))))))</f>
        <v>ACCEPTÉ</v>
      </c>
      <c r="AR2392" s="82" t="str">
        <f aca="false">IF(AND(ISNUMBER(U2392),OR(AQ2392="À RADIOGRAPHIER",AQ2392="RÉPARÉ – À RADIOGRAPHIER",AQ2392="NX – RT À REFAIRE",AQ2392="À RÉPARER",AQ2392="COUPE – À RESOUDER",AQ2392="VT REJETÉ – À REPRENDRE")),MAX(0,'PROGRAMME RT'!$C$4-U2392),"")</f>
        <v/>
      </c>
      <c r="AS2392" s="82" t="n">
        <f aca="false">IF(AND(OR(AQ2392="À RADIOGRAPHIER",AQ2392="RÉPARÉ – À RADIOGRAPHIER",AQ2392="NX – RT À REFAIRE"),OR('PROGRAMME RT'!$D$5="TOUTES",B2392='PROGRAMME RT'!$D$5)),1,0)</f>
        <v>0</v>
      </c>
      <c r="AT2392" s="82" t="str">
        <f aca="false">IF(AS2392=1,SUM(AS$7:AS2392),"")</f>
        <v/>
      </c>
      <c r="AU2392" s="82" t="n">
        <f aca="false">IF(AND(OR(AA2392="R",AA2392="NX",AA2392="NT",AA2392="CO"),OR('JOINTS DE RÉPARATION'!$D$5="TOUTES",B2392='JOINTS DE RÉPARATION'!$D$5),OR('JOINTS DE RÉPARATION'!$L$4="TOUS",AQ2392&lt;&gt;"ACCEPTÉ")),1,0)</f>
        <v>0</v>
      </c>
      <c r="AV2392" s="82" t="str">
        <f aca="false">IF(AU2392=1,SUM(AU$7:AU2392),"")</f>
        <v/>
      </c>
      <c r="AW2392" s="82" t="str">
        <f aca="false">IF(E2392="","",B2392&amp;"|"&amp;E2392)</f>
        <v>MFD-ISW → MFD-CPF|JN°1908</v>
      </c>
    </row>
    <row r="2393" customFormat="false" ht="74.6" hidden="false" customHeight="false" outlineLevel="0" collapsed="false">
      <c r="A2393" s="79" t="n">
        <f aca="false">IF(E2393="","",ROW()-6)</f>
        <v>2387</v>
      </c>
      <c r="B2393" s="80" t="s">
        <v>110</v>
      </c>
      <c r="C2393" s="81" t="s">
        <v>2881</v>
      </c>
      <c r="D2393" s="81" t="n">
        <v>23</v>
      </c>
      <c r="E2393" s="81" t="s">
        <v>2905</v>
      </c>
      <c r="F2393" s="82" t="str">
        <f aca="false">IF(E2393="","",IF(LEFT(E2393,2)="DJ","DJ","JN"))</f>
        <v>JN</v>
      </c>
      <c r="G2393" s="81" t="s">
        <v>1504</v>
      </c>
      <c r="H2393" s="81" t="s">
        <v>871</v>
      </c>
      <c r="I2393" s="81" t="n">
        <v>9.53</v>
      </c>
      <c r="J2393" s="81" t="s">
        <v>872</v>
      </c>
      <c r="K2393" s="81" t="s">
        <v>879</v>
      </c>
      <c r="L2393" s="81" t="n">
        <v>2090200</v>
      </c>
      <c r="M2393" s="81" t="n">
        <v>15421107</v>
      </c>
      <c r="N2393" s="81" t="n">
        <v>11.94</v>
      </c>
      <c r="O2393" s="81" t="n">
        <v>2084480</v>
      </c>
      <c r="P2393" s="81" t="n">
        <v>15421109</v>
      </c>
      <c r="Q2393" s="81" t="n">
        <v>11.94</v>
      </c>
      <c r="R2393" s="81" t="s">
        <v>2900</v>
      </c>
      <c r="S2393" s="81"/>
      <c r="T2393" s="81"/>
      <c r="U2393" s="83" t="n">
        <v>46256</v>
      </c>
      <c r="V2393" s="83" t="n">
        <v>46256</v>
      </c>
      <c r="W2393" s="81" t="s">
        <v>2901</v>
      </c>
      <c r="X2393" s="81" t="s">
        <v>876</v>
      </c>
      <c r="Y2393" s="83" t="n">
        <v>46257</v>
      </c>
      <c r="Z2393" s="81" t="s">
        <v>2904</v>
      </c>
      <c r="AA2393" s="81" t="s">
        <v>876</v>
      </c>
      <c r="AB2393" s="81"/>
      <c r="AC2393" s="81"/>
      <c r="AD2393" s="81"/>
      <c r="AE2393" s="83"/>
      <c r="AF2393" s="81"/>
      <c r="AG2393" s="81"/>
      <c r="AH2393" s="81"/>
      <c r="AI2393" s="81"/>
      <c r="AJ2393" s="83"/>
      <c r="AK2393" s="81"/>
      <c r="AL2393" s="81"/>
      <c r="AM2393" s="83"/>
      <c r="AN2393" s="80"/>
      <c r="AO2393" s="82" t="n">
        <f aca="false">IF(E2393="","",(AA2393&lt;&gt;"")+(AG2393&lt;&gt;"")+(AL2393&lt;&gt;""))</f>
        <v>1</v>
      </c>
      <c r="AP2393" s="82" t="str">
        <f aca="false">IF(AL2393&lt;&gt;"",AL2393,IF(AG2393&lt;&gt;"",AG2393,IF(AA2393&lt;&gt;"",AA2393,"")))</f>
        <v>A</v>
      </c>
      <c r="AQ2393" s="84" t="str">
        <f aca="false">IF(E2393="","",IF(U2393="","À SOUDER",IF(X2393="","VT EN ATTENTE",IF(X2393="R","VT REJETÉ – À REPRENDRE",IF(AP2393="","À RADIOGRAPHIER",IF(AP2393="A","ACCEPTÉ",IF(AP2393="NX","NX – RT À REFAIRE",IF(IF(AO2393=1,AD2393,IF(AO2393=2,AI2393,""))="A","RÉPARÉ – À RADIOGRAPHIER",IF(IF(AO2393=1,AD2393,IF(AO2393=2,AI2393,""))="R","VT REJETÉ – À REPRENDRE",IF(OR(AP2393="CO",AP2393="NT"),"COUPE – À RESOUDER","À RÉPARER"))))))))))</f>
        <v>ACCEPTÉ</v>
      </c>
      <c r="AR2393" s="82" t="str">
        <f aca="false">IF(AND(ISNUMBER(U2393),OR(AQ2393="À RADIOGRAPHIER",AQ2393="RÉPARÉ – À RADIOGRAPHIER",AQ2393="NX – RT À REFAIRE",AQ2393="À RÉPARER",AQ2393="COUPE – À RESOUDER",AQ2393="VT REJETÉ – À REPRENDRE")),MAX(0,'PROGRAMME RT'!$C$4-U2393),"")</f>
        <v/>
      </c>
      <c r="AS2393" s="82" t="n">
        <f aca="false">IF(AND(OR(AQ2393="À RADIOGRAPHIER",AQ2393="RÉPARÉ – À RADIOGRAPHIER",AQ2393="NX – RT À REFAIRE"),OR('PROGRAMME RT'!$D$5="TOUTES",B2393='PROGRAMME RT'!$D$5)),1,0)</f>
        <v>0</v>
      </c>
      <c r="AT2393" s="82" t="str">
        <f aca="false">IF(AS2393=1,SUM(AS$7:AS2393),"")</f>
        <v/>
      </c>
      <c r="AU2393" s="82" t="n">
        <f aca="false">IF(AND(OR(AA2393="R",AA2393="NX",AA2393="NT",AA2393="CO"),OR('JOINTS DE RÉPARATION'!$D$5="TOUTES",B2393='JOINTS DE RÉPARATION'!$D$5),OR('JOINTS DE RÉPARATION'!$L$4="TOUS",AQ2393&lt;&gt;"ACCEPTÉ")),1,0)</f>
        <v>0</v>
      </c>
      <c r="AV2393" s="82" t="str">
        <f aca="false">IF(AU2393=1,SUM(AU$7:AU2393),"")</f>
        <v/>
      </c>
      <c r="AW2393" s="82" t="str">
        <f aca="false">IF(E2393="","",B2393&amp;"|"&amp;E2393)</f>
        <v>MFD-ISW → MFD-CPF|JN°1909</v>
      </c>
    </row>
    <row r="2394" customFormat="false" ht="74.6" hidden="false" customHeight="false" outlineLevel="0" collapsed="false">
      <c r="A2394" s="79" t="n">
        <f aca="false">IF(E2394="","",ROW()-6)</f>
        <v>2388</v>
      </c>
      <c r="B2394" s="80" t="s">
        <v>110</v>
      </c>
      <c r="C2394" s="81" t="s">
        <v>2881</v>
      </c>
      <c r="D2394" s="81" t="n">
        <v>23</v>
      </c>
      <c r="E2394" s="81" t="s">
        <v>2906</v>
      </c>
      <c r="F2394" s="82" t="str">
        <f aca="false">IF(E2394="","",IF(LEFT(E2394,2)="DJ","DJ","JN"))</f>
        <v>JN</v>
      </c>
      <c r="G2394" s="81" t="s">
        <v>1504</v>
      </c>
      <c r="H2394" s="81" t="s">
        <v>871</v>
      </c>
      <c r="I2394" s="81" t="n">
        <v>9.53</v>
      </c>
      <c r="J2394" s="81" t="s">
        <v>872</v>
      </c>
      <c r="K2394" s="81" t="s">
        <v>879</v>
      </c>
      <c r="L2394" s="81" t="n">
        <v>2084480</v>
      </c>
      <c r="M2394" s="81" t="n">
        <v>15421109</v>
      </c>
      <c r="N2394" s="81" t="n">
        <v>11.94</v>
      </c>
      <c r="O2394" s="81" t="n">
        <v>2083960</v>
      </c>
      <c r="P2394" s="81" t="n">
        <v>15421106</v>
      </c>
      <c r="Q2394" s="81" t="n">
        <v>11.94</v>
      </c>
      <c r="R2394" s="81" t="s">
        <v>2900</v>
      </c>
      <c r="S2394" s="81"/>
      <c r="T2394" s="81"/>
      <c r="U2394" s="83" t="n">
        <v>46256</v>
      </c>
      <c r="V2394" s="83" t="n">
        <v>46256</v>
      </c>
      <c r="W2394" s="81" t="s">
        <v>2901</v>
      </c>
      <c r="X2394" s="81" t="s">
        <v>876</v>
      </c>
      <c r="Y2394" s="83" t="n">
        <v>46257</v>
      </c>
      <c r="Z2394" s="81" t="s">
        <v>2904</v>
      </c>
      <c r="AA2394" s="81" t="s">
        <v>876</v>
      </c>
      <c r="AB2394" s="81"/>
      <c r="AC2394" s="81"/>
      <c r="AD2394" s="81"/>
      <c r="AE2394" s="83"/>
      <c r="AF2394" s="81"/>
      <c r="AG2394" s="81"/>
      <c r="AH2394" s="81"/>
      <c r="AI2394" s="81"/>
      <c r="AJ2394" s="83"/>
      <c r="AK2394" s="81"/>
      <c r="AL2394" s="81"/>
      <c r="AM2394" s="83"/>
      <c r="AN2394" s="80"/>
      <c r="AO2394" s="82" t="n">
        <f aca="false">IF(E2394="","",(AA2394&lt;&gt;"")+(AG2394&lt;&gt;"")+(AL2394&lt;&gt;""))</f>
        <v>1</v>
      </c>
      <c r="AP2394" s="82" t="str">
        <f aca="false">IF(AL2394&lt;&gt;"",AL2394,IF(AG2394&lt;&gt;"",AG2394,IF(AA2394&lt;&gt;"",AA2394,"")))</f>
        <v>A</v>
      </c>
      <c r="AQ2394" s="84" t="str">
        <f aca="false">IF(E2394="","",IF(U2394="","À SOUDER",IF(X2394="","VT EN ATTENTE",IF(X2394="R","VT REJETÉ – À REPRENDRE",IF(AP2394="","À RADIOGRAPHIER",IF(AP2394="A","ACCEPTÉ",IF(AP2394="NX","NX – RT À REFAIRE",IF(IF(AO2394=1,AD2394,IF(AO2394=2,AI2394,""))="A","RÉPARÉ – À RADIOGRAPHIER",IF(IF(AO2394=1,AD2394,IF(AO2394=2,AI2394,""))="R","VT REJETÉ – À REPRENDRE",IF(OR(AP2394="CO",AP2394="NT"),"COUPE – À RESOUDER","À RÉPARER"))))))))))</f>
        <v>ACCEPTÉ</v>
      </c>
      <c r="AR2394" s="82" t="str">
        <f aca="false">IF(AND(ISNUMBER(U2394),OR(AQ2394="À RADIOGRAPHIER",AQ2394="RÉPARÉ – À RADIOGRAPHIER",AQ2394="NX – RT À REFAIRE",AQ2394="À RÉPARER",AQ2394="COUPE – À RESOUDER",AQ2394="VT REJETÉ – À REPRENDRE")),MAX(0,'PROGRAMME RT'!$C$4-U2394),"")</f>
        <v/>
      </c>
      <c r="AS2394" s="82" t="n">
        <f aca="false">IF(AND(OR(AQ2394="À RADIOGRAPHIER",AQ2394="RÉPARÉ – À RADIOGRAPHIER",AQ2394="NX – RT À REFAIRE"),OR('PROGRAMME RT'!$D$5="TOUTES",B2394='PROGRAMME RT'!$D$5)),1,0)</f>
        <v>0</v>
      </c>
      <c r="AT2394" s="82" t="str">
        <f aca="false">IF(AS2394=1,SUM(AS$7:AS2394),"")</f>
        <v/>
      </c>
      <c r="AU2394" s="82" t="n">
        <f aca="false">IF(AND(OR(AA2394="R",AA2394="NX",AA2394="NT",AA2394="CO"),OR('JOINTS DE RÉPARATION'!$D$5="TOUTES",B2394='JOINTS DE RÉPARATION'!$D$5),OR('JOINTS DE RÉPARATION'!$L$4="TOUS",AQ2394&lt;&gt;"ACCEPTÉ")),1,0)</f>
        <v>0</v>
      </c>
      <c r="AV2394" s="82" t="str">
        <f aca="false">IF(AU2394=1,SUM(AU$7:AU2394),"")</f>
        <v/>
      </c>
      <c r="AW2394" s="82" t="str">
        <f aca="false">IF(E2394="","",B2394&amp;"|"&amp;E2394)</f>
        <v>MFD-ISW → MFD-CPF|JN°1910</v>
      </c>
    </row>
    <row r="2395" customFormat="false" ht="74.6" hidden="false" customHeight="false" outlineLevel="0" collapsed="false">
      <c r="A2395" s="79" t="n">
        <f aca="false">IF(E2395="","",ROW()-6)</f>
        <v>2389</v>
      </c>
      <c r="B2395" s="80" t="s">
        <v>110</v>
      </c>
      <c r="C2395" s="81" t="s">
        <v>2881</v>
      </c>
      <c r="D2395" s="81" t="n">
        <v>23</v>
      </c>
      <c r="E2395" s="81" t="s">
        <v>2907</v>
      </c>
      <c r="F2395" s="82" t="str">
        <f aca="false">IF(E2395="","",IF(LEFT(E2395,2)="DJ","DJ","JN"))</f>
        <v>JN</v>
      </c>
      <c r="G2395" s="81" t="s">
        <v>1504</v>
      </c>
      <c r="H2395" s="81" t="s">
        <v>871</v>
      </c>
      <c r="I2395" s="81" t="n">
        <v>9.53</v>
      </c>
      <c r="J2395" s="81" t="s">
        <v>872</v>
      </c>
      <c r="K2395" s="81" t="s">
        <v>879</v>
      </c>
      <c r="L2395" s="81" t="n">
        <v>2083960</v>
      </c>
      <c r="M2395" s="81" t="n">
        <v>15421106</v>
      </c>
      <c r="N2395" s="81" t="n">
        <v>11.94</v>
      </c>
      <c r="O2395" s="81" t="n">
        <v>2090720</v>
      </c>
      <c r="P2395" s="81" t="n">
        <v>15421106</v>
      </c>
      <c r="Q2395" s="81" t="n">
        <v>11.94</v>
      </c>
      <c r="R2395" s="81" t="s">
        <v>2900</v>
      </c>
      <c r="S2395" s="81"/>
      <c r="T2395" s="81"/>
      <c r="U2395" s="83" t="n">
        <v>46256</v>
      </c>
      <c r="V2395" s="83" t="n">
        <v>46256</v>
      </c>
      <c r="W2395" s="81" t="s">
        <v>2901</v>
      </c>
      <c r="X2395" s="81" t="s">
        <v>876</v>
      </c>
      <c r="Y2395" s="83" t="n">
        <v>46257</v>
      </c>
      <c r="Z2395" s="81" t="s">
        <v>2904</v>
      </c>
      <c r="AA2395" s="81" t="s">
        <v>876</v>
      </c>
      <c r="AB2395" s="81"/>
      <c r="AC2395" s="81"/>
      <c r="AD2395" s="81"/>
      <c r="AE2395" s="83"/>
      <c r="AF2395" s="81"/>
      <c r="AG2395" s="81"/>
      <c r="AH2395" s="81"/>
      <c r="AI2395" s="81"/>
      <c r="AJ2395" s="83"/>
      <c r="AK2395" s="81"/>
      <c r="AL2395" s="81"/>
      <c r="AM2395" s="83"/>
      <c r="AN2395" s="80"/>
      <c r="AO2395" s="82" t="n">
        <f aca="false">IF(E2395="","",(AA2395&lt;&gt;"")+(AG2395&lt;&gt;"")+(AL2395&lt;&gt;""))</f>
        <v>1</v>
      </c>
      <c r="AP2395" s="82" t="str">
        <f aca="false">IF(AL2395&lt;&gt;"",AL2395,IF(AG2395&lt;&gt;"",AG2395,IF(AA2395&lt;&gt;"",AA2395,"")))</f>
        <v>A</v>
      </c>
      <c r="AQ2395" s="84" t="str">
        <f aca="false">IF(E2395="","",IF(U2395="","À SOUDER",IF(X2395="","VT EN ATTENTE",IF(X2395="R","VT REJETÉ – À REPRENDRE",IF(AP2395="","À RADIOGRAPHIER",IF(AP2395="A","ACCEPTÉ",IF(AP2395="NX","NX – RT À REFAIRE",IF(IF(AO2395=1,AD2395,IF(AO2395=2,AI2395,""))="A","RÉPARÉ – À RADIOGRAPHIER",IF(IF(AO2395=1,AD2395,IF(AO2395=2,AI2395,""))="R","VT REJETÉ – À REPRENDRE",IF(OR(AP2395="CO",AP2395="NT"),"COUPE – À RESOUDER","À RÉPARER"))))))))))</f>
        <v>ACCEPTÉ</v>
      </c>
      <c r="AR2395" s="82" t="str">
        <f aca="false">IF(AND(ISNUMBER(U2395),OR(AQ2395="À RADIOGRAPHIER",AQ2395="RÉPARÉ – À RADIOGRAPHIER",AQ2395="NX – RT À REFAIRE",AQ2395="À RÉPARER",AQ2395="COUPE – À RESOUDER",AQ2395="VT REJETÉ – À REPRENDRE")),MAX(0,'PROGRAMME RT'!$C$4-U2395),"")</f>
        <v/>
      </c>
      <c r="AS2395" s="82" t="n">
        <f aca="false">IF(AND(OR(AQ2395="À RADIOGRAPHIER",AQ2395="RÉPARÉ – À RADIOGRAPHIER",AQ2395="NX – RT À REFAIRE"),OR('PROGRAMME RT'!$D$5="TOUTES",B2395='PROGRAMME RT'!$D$5)),1,0)</f>
        <v>0</v>
      </c>
      <c r="AT2395" s="82" t="str">
        <f aca="false">IF(AS2395=1,SUM(AS$7:AS2395),"")</f>
        <v/>
      </c>
      <c r="AU2395" s="82" t="n">
        <f aca="false">IF(AND(OR(AA2395="R",AA2395="NX",AA2395="NT",AA2395="CO"),OR('JOINTS DE RÉPARATION'!$D$5="TOUTES",B2395='JOINTS DE RÉPARATION'!$D$5),OR('JOINTS DE RÉPARATION'!$L$4="TOUS",AQ2395&lt;&gt;"ACCEPTÉ")),1,0)</f>
        <v>0</v>
      </c>
      <c r="AV2395" s="82" t="str">
        <f aca="false">IF(AU2395=1,SUM(AU$7:AU2395),"")</f>
        <v/>
      </c>
      <c r="AW2395" s="82" t="str">
        <f aca="false">IF(E2395="","",B2395&amp;"|"&amp;E2395)</f>
        <v>MFD-ISW → MFD-CPF|JN°1911</v>
      </c>
    </row>
    <row r="2396" customFormat="false" ht="74.6" hidden="false" customHeight="false" outlineLevel="0" collapsed="false">
      <c r="A2396" s="79" t="n">
        <f aca="false">IF(E2396="","",ROW()-6)</f>
        <v>2390</v>
      </c>
      <c r="B2396" s="80" t="s">
        <v>110</v>
      </c>
      <c r="C2396" s="81" t="s">
        <v>2881</v>
      </c>
      <c r="D2396" s="81" t="n">
        <v>23</v>
      </c>
      <c r="E2396" s="81" t="s">
        <v>2908</v>
      </c>
      <c r="F2396" s="82" t="str">
        <f aca="false">IF(E2396="","",IF(LEFT(E2396,2)="DJ","DJ","JN"))</f>
        <v>JN</v>
      </c>
      <c r="G2396" s="81" t="s">
        <v>1504</v>
      </c>
      <c r="H2396" s="81" t="s">
        <v>871</v>
      </c>
      <c r="I2396" s="81" t="n">
        <v>9.53</v>
      </c>
      <c r="J2396" s="81" t="s">
        <v>872</v>
      </c>
      <c r="K2396" s="81" t="s">
        <v>879</v>
      </c>
      <c r="L2396" s="81" t="n">
        <v>2090720</v>
      </c>
      <c r="M2396" s="81" t="n">
        <v>15421106</v>
      </c>
      <c r="N2396" s="81" t="n">
        <v>11.94</v>
      </c>
      <c r="O2396" s="81" t="n">
        <v>2088370</v>
      </c>
      <c r="P2396" s="81" t="n">
        <v>15421109</v>
      </c>
      <c r="Q2396" s="81" t="n">
        <v>11.94</v>
      </c>
      <c r="R2396" s="81" t="s">
        <v>2900</v>
      </c>
      <c r="S2396" s="81"/>
      <c r="T2396" s="81"/>
      <c r="U2396" s="83" t="n">
        <v>46256</v>
      </c>
      <c r="V2396" s="83" t="n">
        <v>46256</v>
      </c>
      <c r="W2396" s="81" t="s">
        <v>2901</v>
      </c>
      <c r="X2396" s="81" t="s">
        <v>876</v>
      </c>
      <c r="Y2396" s="83" t="n">
        <v>46257</v>
      </c>
      <c r="Z2396" s="81" t="s">
        <v>2904</v>
      </c>
      <c r="AA2396" s="81" t="s">
        <v>876</v>
      </c>
      <c r="AB2396" s="81"/>
      <c r="AC2396" s="81"/>
      <c r="AD2396" s="81"/>
      <c r="AE2396" s="83"/>
      <c r="AF2396" s="81"/>
      <c r="AG2396" s="81"/>
      <c r="AH2396" s="81"/>
      <c r="AI2396" s="81"/>
      <c r="AJ2396" s="83"/>
      <c r="AK2396" s="81"/>
      <c r="AL2396" s="81"/>
      <c r="AM2396" s="83"/>
      <c r="AN2396" s="80"/>
      <c r="AO2396" s="82" t="n">
        <f aca="false">IF(E2396="","",(AA2396&lt;&gt;"")+(AG2396&lt;&gt;"")+(AL2396&lt;&gt;""))</f>
        <v>1</v>
      </c>
      <c r="AP2396" s="82" t="str">
        <f aca="false">IF(AL2396&lt;&gt;"",AL2396,IF(AG2396&lt;&gt;"",AG2396,IF(AA2396&lt;&gt;"",AA2396,"")))</f>
        <v>A</v>
      </c>
      <c r="AQ2396" s="84" t="str">
        <f aca="false">IF(E2396="","",IF(U2396="","À SOUDER",IF(X2396="","VT EN ATTENTE",IF(X2396="R","VT REJETÉ – À REPRENDRE",IF(AP2396="","À RADIOGRAPHIER",IF(AP2396="A","ACCEPTÉ",IF(AP2396="NX","NX – RT À REFAIRE",IF(IF(AO2396=1,AD2396,IF(AO2396=2,AI2396,""))="A","RÉPARÉ – À RADIOGRAPHIER",IF(IF(AO2396=1,AD2396,IF(AO2396=2,AI2396,""))="R","VT REJETÉ – À REPRENDRE",IF(OR(AP2396="CO",AP2396="NT"),"COUPE – À RESOUDER","À RÉPARER"))))))))))</f>
        <v>ACCEPTÉ</v>
      </c>
      <c r="AR2396" s="82" t="str">
        <f aca="false">IF(AND(ISNUMBER(U2396),OR(AQ2396="À RADIOGRAPHIER",AQ2396="RÉPARÉ – À RADIOGRAPHIER",AQ2396="NX – RT À REFAIRE",AQ2396="À RÉPARER",AQ2396="COUPE – À RESOUDER",AQ2396="VT REJETÉ – À REPRENDRE")),MAX(0,'PROGRAMME RT'!$C$4-U2396),"")</f>
        <v/>
      </c>
      <c r="AS2396" s="82" t="n">
        <f aca="false">IF(AND(OR(AQ2396="À RADIOGRAPHIER",AQ2396="RÉPARÉ – À RADIOGRAPHIER",AQ2396="NX – RT À REFAIRE"),OR('PROGRAMME RT'!$D$5="TOUTES",B2396='PROGRAMME RT'!$D$5)),1,0)</f>
        <v>0</v>
      </c>
      <c r="AT2396" s="82" t="str">
        <f aca="false">IF(AS2396=1,SUM(AS$7:AS2396),"")</f>
        <v/>
      </c>
      <c r="AU2396" s="82" t="n">
        <f aca="false">IF(AND(OR(AA2396="R",AA2396="NX",AA2396="NT",AA2396="CO"),OR('JOINTS DE RÉPARATION'!$D$5="TOUTES",B2396='JOINTS DE RÉPARATION'!$D$5),OR('JOINTS DE RÉPARATION'!$L$4="TOUS",AQ2396&lt;&gt;"ACCEPTÉ")),1,0)</f>
        <v>0</v>
      </c>
      <c r="AV2396" s="82" t="str">
        <f aca="false">IF(AU2396=1,SUM(AU$7:AU2396),"")</f>
        <v/>
      </c>
      <c r="AW2396" s="82" t="str">
        <f aca="false">IF(E2396="","",B2396&amp;"|"&amp;E2396)</f>
        <v>MFD-ISW → MFD-CPF|JN°1912</v>
      </c>
    </row>
    <row r="2397" customFormat="false" ht="74.6" hidden="false" customHeight="false" outlineLevel="0" collapsed="false">
      <c r="A2397" s="79" t="n">
        <f aca="false">IF(E2397="","",ROW()-6)</f>
        <v>2391</v>
      </c>
      <c r="B2397" s="80" t="s">
        <v>110</v>
      </c>
      <c r="C2397" s="81" t="s">
        <v>2881</v>
      </c>
      <c r="D2397" s="81" t="n">
        <v>23</v>
      </c>
      <c r="E2397" s="81" t="s">
        <v>2909</v>
      </c>
      <c r="F2397" s="82" t="str">
        <f aca="false">IF(E2397="","",IF(LEFT(E2397,2)="DJ","DJ","JN"))</f>
        <v>JN</v>
      </c>
      <c r="G2397" s="81" t="s">
        <v>1504</v>
      </c>
      <c r="H2397" s="81" t="s">
        <v>871</v>
      </c>
      <c r="I2397" s="81" t="n">
        <v>9.53</v>
      </c>
      <c r="J2397" s="81" t="s">
        <v>872</v>
      </c>
      <c r="K2397" s="81" t="s">
        <v>879</v>
      </c>
      <c r="L2397" s="81" t="n">
        <v>2088370</v>
      </c>
      <c r="M2397" s="81" t="n">
        <v>15421109</v>
      </c>
      <c r="N2397" s="81" t="n">
        <v>11.94</v>
      </c>
      <c r="O2397" s="81" t="n">
        <v>2087090</v>
      </c>
      <c r="P2397" s="81" t="n">
        <v>15421108</v>
      </c>
      <c r="Q2397" s="81" t="n">
        <v>11.94</v>
      </c>
      <c r="R2397" s="81" t="s">
        <v>2900</v>
      </c>
      <c r="S2397" s="81"/>
      <c r="T2397" s="81"/>
      <c r="U2397" s="83" t="n">
        <v>46256</v>
      </c>
      <c r="V2397" s="83" t="n">
        <v>46256</v>
      </c>
      <c r="W2397" s="81" t="s">
        <v>2901</v>
      </c>
      <c r="X2397" s="81" t="s">
        <v>876</v>
      </c>
      <c r="Y2397" s="83" t="n">
        <v>46257</v>
      </c>
      <c r="Z2397" s="81" t="s">
        <v>2904</v>
      </c>
      <c r="AA2397" s="81" t="s">
        <v>876</v>
      </c>
      <c r="AB2397" s="81"/>
      <c r="AC2397" s="81"/>
      <c r="AD2397" s="81"/>
      <c r="AE2397" s="83"/>
      <c r="AF2397" s="81"/>
      <c r="AG2397" s="81"/>
      <c r="AH2397" s="81"/>
      <c r="AI2397" s="81"/>
      <c r="AJ2397" s="83"/>
      <c r="AK2397" s="81"/>
      <c r="AL2397" s="81"/>
      <c r="AM2397" s="83"/>
      <c r="AN2397" s="80"/>
      <c r="AO2397" s="82" t="n">
        <f aca="false">IF(E2397="","",(AA2397&lt;&gt;"")+(AG2397&lt;&gt;"")+(AL2397&lt;&gt;""))</f>
        <v>1</v>
      </c>
      <c r="AP2397" s="82" t="str">
        <f aca="false">IF(AL2397&lt;&gt;"",AL2397,IF(AG2397&lt;&gt;"",AG2397,IF(AA2397&lt;&gt;"",AA2397,"")))</f>
        <v>A</v>
      </c>
      <c r="AQ2397" s="84" t="str">
        <f aca="false">IF(E2397="","",IF(U2397="","À SOUDER",IF(X2397="","VT EN ATTENTE",IF(X2397="R","VT REJETÉ – À REPRENDRE",IF(AP2397="","À RADIOGRAPHIER",IF(AP2397="A","ACCEPTÉ",IF(AP2397="NX","NX – RT À REFAIRE",IF(IF(AO2397=1,AD2397,IF(AO2397=2,AI2397,""))="A","RÉPARÉ – À RADIOGRAPHIER",IF(IF(AO2397=1,AD2397,IF(AO2397=2,AI2397,""))="R","VT REJETÉ – À REPRENDRE",IF(OR(AP2397="CO",AP2397="NT"),"COUPE – À RESOUDER","À RÉPARER"))))))))))</f>
        <v>ACCEPTÉ</v>
      </c>
      <c r="AR2397" s="82" t="str">
        <f aca="false">IF(AND(ISNUMBER(U2397),OR(AQ2397="À RADIOGRAPHIER",AQ2397="RÉPARÉ – À RADIOGRAPHIER",AQ2397="NX – RT À REFAIRE",AQ2397="À RÉPARER",AQ2397="COUPE – À RESOUDER",AQ2397="VT REJETÉ – À REPRENDRE")),MAX(0,'PROGRAMME RT'!$C$4-U2397),"")</f>
        <v/>
      </c>
      <c r="AS2397" s="82" t="n">
        <f aca="false">IF(AND(OR(AQ2397="À RADIOGRAPHIER",AQ2397="RÉPARÉ – À RADIOGRAPHIER",AQ2397="NX – RT À REFAIRE"),OR('PROGRAMME RT'!$D$5="TOUTES",B2397='PROGRAMME RT'!$D$5)),1,0)</f>
        <v>0</v>
      </c>
      <c r="AT2397" s="82" t="str">
        <f aca="false">IF(AS2397=1,SUM(AS$7:AS2397),"")</f>
        <v/>
      </c>
      <c r="AU2397" s="82" t="n">
        <f aca="false">IF(AND(OR(AA2397="R",AA2397="NX",AA2397="NT",AA2397="CO"),OR('JOINTS DE RÉPARATION'!$D$5="TOUTES",B2397='JOINTS DE RÉPARATION'!$D$5),OR('JOINTS DE RÉPARATION'!$L$4="TOUS",AQ2397&lt;&gt;"ACCEPTÉ")),1,0)</f>
        <v>0</v>
      </c>
      <c r="AV2397" s="82" t="str">
        <f aca="false">IF(AU2397=1,SUM(AU$7:AU2397),"")</f>
        <v/>
      </c>
      <c r="AW2397" s="82" t="str">
        <f aca="false">IF(E2397="","",B2397&amp;"|"&amp;E2397)</f>
        <v>MFD-ISW → MFD-CPF|JN°1913</v>
      </c>
    </row>
    <row r="2398" customFormat="false" ht="74.6" hidden="false" customHeight="false" outlineLevel="0" collapsed="false">
      <c r="A2398" s="79" t="n">
        <f aca="false">IF(E2398="","",ROW()-6)</f>
        <v>2392</v>
      </c>
      <c r="B2398" s="80" t="s">
        <v>110</v>
      </c>
      <c r="C2398" s="81" t="s">
        <v>2881</v>
      </c>
      <c r="D2398" s="81" t="n">
        <v>23</v>
      </c>
      <c r="E2398" s="81" t="s">
        <v>2910</v>
      </c>
      <c r="F2398" s="82" t="str">
        <f aca="false">IF(E2398="","",IF(LEFT(E2398,2)="DJ","DJ","JN"))</f>
        <v>JN</v>
      </c>
      <c r="G2398" s="81" t="s">
        <v>1504</v>
      </c>
      <c r="H2398" s="81" t="s">
        <v>871</v>
      </c>
      <c r="I2398" s="81" t="n">
        <v>9.53</v>
      </c>
      <c r="J2398" s="81" t="s">
        <v>872</v>
      </c>
      <c r="K2398" s="81" t="s">
        <v>879</v>
      </c>
      <c r="L2398" s="81" t="n">
        <v>2087090</v>
      </c>
      <c r="M2398" s="81" t="n">
        <v>15421108</v>
      </c>
      <c r="N2398" s="81" t="n">
        <v>11.94</v>
      </c>
      <c r="O2398" s="81" t="n">
        <v>2083370</v>
      </c>
      <c r="P2398" s="81" t="n">
        <v>15421111</v>
      </c>
      <c r="Q2398" s="81" t="n">
        <v>11.94</v>
      </c>
      <c r="R2398" s="81" t="s">
        <v>2900</v>
      </c>
      <c r="S2398" s="81"/>
      <c r="T2398" s="81"/>
      <c r="U2398" s="83" t="n">
        <v>46256</v>
      </c>
      <c r="V2398" s="83" t="n">
        <v>46256</v>
      </c>
      <c r="W2398" s="81" t="s">
        <v>2901</v>
      </c>
      <c r="X2398" s="81" t="s">
        <v>876</v>
      </c>
      <c r="Y2398" s="83" t="n">
        <v>46257</v>
      </c>
      <c r="Z2398" s="81" t="s">
        <v>2904</v>
      </c>
      <c r="AA2398" s="81" t="s">
        <v>876</v>
      </c>
      <c r="AB2398" s="81"/>
      <c r="AC2398" s="81"/>
      <c r="AD2398" s="81"/>
      <c r="AE2398" s="83"/>
      <c r="AF2398" s="81"/>
      <c r="AG2398" s="81"/>
      <c r="AH2398" s="81"/>
      <c r="AI2398" s="81"/>
      <c r="AJ2398" s="83"/>
      <c r="AK2398" s="81"/>
      <c r="AL2398" s="81"/>
      <c r="AM2398" s="83"/>
      <c r="AN2398" s="80"/>
      <c r="AO2398" s="82" t="n">
        <f aca="false">IF(E2398="","",(AA2398&lt;&gt;"")+(AG2398&lt;&gt;"")+(AL2398&lt;&gt;""))</f>
        <v>1</v>
      </c>
      <c r="AP2398" s="82" t="str">
        <f aca="false">IF(AL2398&lt;&gt;"",AL2398,IF(AG2398&lt;&gt;"",AG2398,IF(AA2398&lt;&gt;"",AA2398,"")))</f>
        <v>A</v>
      </c>
      <c r="AQ2398" s="84" t="str">
        <f aca="false">IF(E2398="","",IF(U2398="","À SOUDER",IF(X2398="","VT EN ATTENTE",IF(X2398="R","VT REJETÉ – À REPRENDRE",IF(AP2398="","À RADIOGRAPHIER",IF(AP2398="A","ACCEPTÉ",IF(AP2398="NX","NX – RT À REFAIRE",IF(IF(AO2398=1,AD2398,IF(AO2398=2,AI2398,""))="A","RÉPARÉ – À RADIOGRAPHIER",IF(IF(AO2398=1,AD2398,IF(AO2398=2,AI2398,""))="R","VT REJETÉ – À REPRENDRE",IF(OR(AP2398="CO",AP2398="NT"),"COUPE – À RESOUDER","À RÉPARER"))))))))))</f>
        <v>ACCEPTÉ</v>
      </c>
      <c r="AR2398" s="82" t="str">
        <f aca="false">IF(AND(ISNUMBER(U2398),OR(AQ2398="À RADIOGRAPHIER",AQ2398="RÉPARÉ – À RADIOGRAPHIER",AQ2398="NX – RT À REFAIRE",AQ2398="À RÉPARER",AQ2398="COUPE – À RESOUDER",AQ2398="VT REJETÉ – À REPRENDRE")),MAX(0,'PROGRAMME RT'!$C$4-U2398),"")</f>
        <v/>
      </c>
      <c r="AS2398" s="82" t="n">
        <f aca="false">IF(AND(OR(AQ2398="À RADIOGRAPHIER",AQ2398="RÉPARÉ – À RADIOGRAPHIER",AQ2398="NX – RT À REFAIRE"),OR('PROGRAMME RT'!$D$5="TOUTES",B2398='PROGRAMME RT'!$D$5)),1,0)</f>
        <v>0</v>
      </c>
      <c r="AT2398" s="82" t="str">
        <f aca="false">IF(AS2398=1,SUM(AS$7:AS2398),"")</f>
        <v/>
      </c>
      <c r="AU2398" s="82" t="n">
        <f aca="false">IF(AND(OR(AA2398="R",AA2398="NX",AA2398="NT",AA2398="CO"),OR('JOINTS DE RÉPARATION'!$D$5="TOUTES",B2398='JOINTS DE RÉPARATION'!$D$5),OR('JOINTS DE RÉPARATION'!$L$4="TOUS",AQ2398&lt;&gt;"ACCEPTÉ")),1,0)</f>
        <v>0</v>
      </c>
      <c r="AV2398" s="82" t="str">
        <f aca="false">IF(AU2398=1,SUM(AU$7:AU2398),"")</f>
        <v/>
      </c>
      <c r="AW2398" s="82" t="str">
        <f aca="false">IF(E2398="","",B2398&amp;"|"&amp;E2398)</f>
        <v>MFD-ISW → MFD-CPF|JN°1914</v>
      </c>
    </row>
    <row r="2399" customFormat="false" ht="74.6" hidden="false" customHeight="false" outlineLevel="0" collapsed="false">
      <c r="A2399" s="79" t="n">
        <f aca="false">IF(E2399="","",ROW()-6)</f>
        <v>2393</v>
      </c>
      <c r="B2399" s="80" t="s">
        <v>110</v>
      </c>
      <c r="C2399" s="81" t="s">
        <v>2881</v>
      </c>
      <c r="D2399" s="81" t="n">
        <v>23</v>
      </c>
      <c r="E2399" s="81" t="s">
        <v>2911</v>
      </c>
      <c r="F2399" s="82" t="str">
        <f aca="false">IF(E2399="","",IF(LEFT(E2399,2)="DJ","DJ","JN"))</f>
        <v>JN</v>
      </c>
      <c r="G2399" s="81" t="s">
        <v>1504</v>
      </c>
      <c r="H2399" s="81" t="s">
        <v>871</v>
      </c>
      <c r="I2399" s="81" t="n">
        <v>9.53</v>
      </c>
      <c r="J2399" s="81" t="s">
        <v>872</v>
      </c>
      <c r="K2399" s="81" t="s">
        <v>879</v>
      </c>
      <c r="L2399" s="81" t="n">
        <v>2083370</v>
      </c>
      <c r="M2399" s="81" t="n">
        <v>15421111</v>
      </c>
      <c r="N2399" s="81" t="n">
        <v>11.94</v>
      </c>
      <c r="O2399" s="81" t="n">
        <v>2091690</v>
      </c>
      <c r="P2399" s="81" t="n">
        <v>15421105</v>
      </c>
      <c r="Q2399" s="81" t="n">
        <v>11.94</v>
      </c>
      <c r="R2399" s="81" t="s">
        <v>2900</v>
      </c>
      <c r="S2399" s="81"/>
      <c r="T2399" s="81"/>
      <c r="U2399" s="83" t="n">
        <v>46256</v>
      </c>
      <c r="V2399" s="83" t="n">
        <v>46256</v>
      </c>
      <c r="W2399" s="81" t="s">
        <v>2901</v>
      </c>
      <c r="X2399" s="81" t="s">
        <v>876</v>
      </c>
      <c r="Y2399" s="83" t="n">
        <v>46257</v>
      </c>
      <c r="Z2399" s="81" t="s">
        <v>2904</v>
      </c>
      <c r="AA2399" s="81" t="s">
        <v>876</v>
      </c>
      <c r="AB2399" s="81"/>
      <c r="AC2399" s="81"/>
      <c r="AD2399" s="81"/>
      <c r="AE2399" s="83"/>
      <c r="AF2399" s="81"/>
      <c r="AG2399" s="81"/>
      <c r="AH2399" s="81"/>
      <c r="AI2399" s="81"/>
      <c r="AJ2399" s="83"/>
      <c r="AK2399" s="81"/>
      <c r="AL2399" s="81"/>
      <c r="AM2399" s="83"/>
      <c r="AN2399" s="80"/>
      <c r="AO2399" s="82" t="n">
        <f aca="false">IF(E2399="","",(AA2399&lt;&gt;"")+(AG2399&lt;&gt;"")+(AL2399&lt;&gt;""))</f>
        <v>1</v>
      </c>
      <c r="AP2399" s="82" t="str">
        <f aca="false">IF(AL2399&lt;&gt;"",AL2399,IF(AG2399&lt;&gt;"",AG2399,IF(AA2399&lt;&gt;"",AA2399,"")))</f>
        <v>A</v>
      </c>
      <c r="AQ2399" s="84" t="str">
        <f aca="false">IF(E2399="","",IF(U2399="","À SOUDER",IF(X2399="","VT EN ATTENTE",IF(X2399="R","VT REJETÉ – À REPRENDRE",IF(AP2399="","À RADIOGRAPHIER",IF(AP2399="A","ACCEPTÉ",IF(AP2399="NX","NX – RT À REFAIRE",IF(IF(AO2399=1,AD2399,IF(AO2399=2,AI2399,""))="A","RÉPARÉ – À RADIOGRAPHIER",IF(IF(AO2399=1,AD2399,IF(AO2399=2,AI2399,""))="R","VT REJETÉ – À REPRENDRE",IF(OR(AP2399="CO",AP2399="NT"),"COUPE – À RESOUDER","À RÉPARER"))))))))))</f>
        <v>ACCEPTÉ</v>
      </c>
      <c r="AR2399" s="82" t="str">
        <f aca="false">IF(AND(ISNUMBER(U2399),OR(AQ2399="À RADIOGRAPHIER",AQ2399="RÉPARÉ – À RADIOGRAPHIER",AQ2399="NX – RT À REFAIRE",AQ2399="À RÉPARER",AQ2399="COUPE – À RESOUDER",AQ2399="VT REJETÉ – À REPRENDRE")),MAX(0,'PROGRAMME RT'!$C$4-U2399),"")</f>
        <v/>
      </c>
      <c r="AS2399" s="82" t="n">
        <f aca="false">IF(AND(OR(AQ2399="À RADIOGRAPHIER",AQ2399="RÉPARÉ – À RADIOGRAPHIER",AQ2399="NX – RT À REFAIRE"),OR('PROGRAMME RT'!$D$5="TOUTES",B2399='PROGRAMME RT'!$D$5)),1,0)</f>
        <v>0</v>
      </c>
      <c r="AT2399" s="82" t="str">
        <f aca="false">IF(AS2399=1,SUM(AS$7:AS2399),"")</f>
        <v/>
      </c>
      <c r="AU2399" s="82" t="n">
        <f aca="false">IF(AND(OR(AA2399="R",AA2399="NX",AA2399="NT",AA2399="CO"),OR('JOINTS DE RÉPARATION'!$D$5="TOUTES",B2399='JOINTS DE RÉPARATION'!$D$5),OR('JOINTS DE RÉPARATION'!$L$4="TOUS",AQ2399&lt;&gt;"ACCEPTÉ")),1,0)</f>
        <v>0</v>
      </c>
      <c r="AV2399" s="82" t="str">
        <f aca="false">IF(AU2399=1,SUM(AU$7:AU2399),"")</f>
        <v/>
      </c>
      <c r="AW2399" s="82" t="str">
        <f aca="false">IF(E2399="","",B2399&amp;"|"&amp;E2399)</f>
        <v>MFD-ISW → MFD-CPF|JN°1915</v>
      </c>
    </row>
    <row r="2400" customFormat="false" ht="74.6" hidden="false" customHeight="false" outlineLevel="0" collapsed="false">
      <c r="A2400" s="79" t="n">
        <f aca="false">IF(E2400="","",ROW()-6)</f>
        <v>2394</v>
      </c>
      <c r="B2400" s="80" t="s">
        <v>110</v>
      </c>
      <c r="C2400" s="81" t="s">
        <v>2881</v>
      </c>
      <c r="D2400" s="81" t="n">
        <v>23</v>
      </c>
      <c r="E2400" s="81" t="s">
        <v>2912</v>
      </c>
      <c r="F2400" s="82" t="str">
        <f aca="false">IF(E2400="","",IF(LEFT(E2400,2)="DJ","DJ","JN"))</f>
        <v>JN</v>
      </c>
      <c r="G2400" s="81" t="s">
        <v>1504</v>
      </c>
      <c r="H2400" s="81" t="s">
        <v>871</v>
      </c>
      <c r="I2400" s="81" t="n">
        <v>9.53</v>
      </c>
      <c r="J2400" s="81" t="s">
        <v>872</v>
      </c>
      <c r="K2400" s="81" t="s">
        <v>879</v>
      </c>
      <c r="L2400" s="81" t="n">
        <v>2091690</v>
      </c>
      <c r="M2400" s="81" t="n">
        <v>15421105</v>
      </c>
      <c r="N2400" s="81" t="n">
        <v>11.94</v>
      </c>
      <c r="O2400" s="81" t="n">
        <v>2083850</v>
      </c>
      <c r="P2400" s="81" t="n">
        <v>15421105</v>
      </c>
      <c r="Q2400" s="81" t="n">
        <v>11.94</v>
      </c>
      <c r="R2400" s="81" t="s">
        <v>2900</v>
      </c>
      <c r="S2400" s="81"/>
      <c r="T2400" s="81"/>
      <c r="U2400" s="83" t="n">
        <v>46256</v>
      </c>
      <c r="V2400" s="83" t="n">
        <v>46256</v>
      </c>
      <c r="W2400" s="81" t="s">
        <v>2901</v>
      </c>
      <c r="X2400" s="81" t="s">
        <v>876</v>
      </c>
      <c r="Y2400" s="83" t="n">
        <v>46257</v>
      </c>
      <c r="Z2400" s="81" t="s">
        <v>2904</v>
      </c>
      <c r="AA2400" s="81" t="s">
        <v>876</v>
      </c>
      <c r="AB2400" s="81"/>
      <c r="AC2400" s="81"/>
      <c r="AD2400" s="81"/>
      <c r="AE2400" s="83"/>
      <c r="AF2400" s="81"/>
      <c r="AG2400" s="81"/>
      <c r="AH2400" s="81"/>
      <c r="AI2400" s="81"/>
      <c r="AJ2400" s="83"/>
      <c r="AK2400" s="81"/>
      <c r="AL2400" s="81"/>
      <c r="AM2400" s="83"/>
      <c r="AN2400" s="80"/>
      <c r="AO2400" s="82" t="n">
        <f aca="false">IF(E2400="","",(AA2400&lt;&gt;"")+(AG2400&lt;&gt;"")+(AL2400&lt;&gt;""))</f>
        <v>1</v>
      </c>
      <c r="AP2400" s="82" t="str">
        <f aca="false">IF(AL2400&lt;&gt;"",AL2400,IF(AG2400&lt;&gt;"",AG2400,IF(AA2400&lt;&gt;"",AA2400,"")))</f>
        <v>A</v>
      </c>
      <c r="AQ2400" s="84" t="str">
        <f aca="false">IF(E2400="","",IF(U2400="","À SOUDER",IF(X2400="","VT EN ATTENTE",IF(X2400="R","VT REJETÉ – À REPRENDRE",IF(AP2400="","À RADIOGRAPHIER",IF(AP2400="A","ACCEPTÉ",IF(AP2400="NX","NX – RT À REFAIRE",IF(IF(AO2400=1,AD2400,IF(AO2400=2,AI2400,""))="A","RÉPARÉ – À RADIOGRAPHIER",IF(IF(AO2400=1,AD2400,IF(AO2400=2,AI2400,""))="R","VT REJETÉ – À REPRENDRE",IF(OR(AP2400="CO",AP2400="NT"),"COUPE – À RESOUDER","À RÉPARER"))))))))))</f>
        <v>ACCEPTÉ</v>
      </c>
      <c r="AR2400" s="82" t="str">
        <f aca="false">IF(AND(ISNUMBER(U2400),OR(AQ2400="À RADIOGRAPHIER",AQ2400="RÉPARÉ – À RADIOGRAPHIER",AQ2400="NX – RT À REFAIRE",AQ2400="À RÉPARER",AQ2400="COUPE – À RESOUDER",AQ2400="VT REJETÉ – À REPRENDRE")),MAX(0,'PROGRAMME RT'!$C$4-U2400),"")</f>
        <v/>
      </c>
      <c r="AS2400" s="82" t="n">
        <f aca="false">IF(AND(OR(AQ2400="À RADIOGRAPHIER",AQ2400="RÉPARÉ – À RADIOGRAPHIER",AQ2400="NX – RT À REFAIRE"),OR('PROGRAMME RT'!$D$5="TOUTES",B2400='PROGRAMME RT'!$D$5)),1,0)</f>
        <v>0</v>
      </c>
      <c r="AT2400" s="82" t="str">
        <f aca="false">IF(AS2400=1,SUM(AS$7:AS2400),"")</f>
        <v/>
      </c>
      <c r="AU2400" s="82" t="n">
        <f aca="false">IF(AND(OR(AA2400="R",AA2400="NX",AA2400="NT",AA2400="CO"),OR('JOINTS DE RÉPARATION'!$D$5="TOUTES",B2400='JOINTS DE RÉPARATION'!$D$5),OR('JOINTS DE RÉPARATION'!$L$4="TOUS",AQ2400&lt;&gt;"ACCEPTÉ")),1,0)</f>
        <v>0</v>
      </c>
      <c r="AV2400" s="82" t="str">
        <f aca="false">IF(AU2400=1,SUM(AU$7:AU2400),"")</f>
        <v/>
      </c>
      <c r="AW2400" s="82" t="str">
        <f aca="false">IF(E2400="","",B2400&amp;"|"&amp;E2400)</f>
        <v>MFD-ISW → MFD-CPF|JN°1916</v>
      </c>
    </row>
    <row r="2401" customFormat="false" ht="74.6" hidden="false" customHeight="false" outlineLevel="0" collapsed="false">
      <c r="A2401" s="79" t="n">
        <f aca="false">IF(E2401="","",ROW()-6)</f>
        <v>2395</v>
      </c>
      <c r="B2401" s="80" t="s">
        <v>110</v>
      </c>
      <c r="C2401" s="81" t="s">
        <v>2881</v>
      </c>
      <c r="D2401" s="81" t="n">
        <v>23</v>
      </c>
      <c r="E2401" s="81" t="s">
        <v>2913</v>
      </c>
      <c r="F2401" s="82" t="str">
        <f aca="false">IF(E2401="","",IF(LEFT(E2401,2)="DJ","DJ","JN"))</f>
        <v>JN</v>
      </c>
      <c r="G2401" s="81" t="s">
        <v>1504</v>
      </c>
      <c r="H2401" s="81" t="s">
        <v>871</v>
      </c>
      <c r="I2401" s="81" t="n">
        <v>9.53</v>
      </c>
      <c r="J2401" s="81" t="s">
        <v>872</v>
      </c>
      <c r="K2401" s="81" t="s">
        <v>879</v>
      </c>
      <c r="L2401" s="81" t="n">
        <v>2083850</v>
      </c>
      <c r="M2401" s="81" t="n">
        <v>15421105</v>
      </c>
      <c r="N2401" s="81" t="n">
        <v>11.94</v>
      </c>
      <c r="O2401" s="81" t="n">
        <v>2093250</v>
      </c>
      <c r="P2401" s="81" t="n">
        <v>15421110</v>
      </c>
      <c r="Q2401" s="81" t="n">
        <v>11.94</v>
      </c>
      <c r="R2401" s="81" t="s">
        <v>2900</v>
      </c>
      <c r="S2401" s="81"/>
      <c r="T2401" s="81"/>
      <c r="U2401" s="83" t="n">
        <v>46256</v>
      </c>
      <c r="V2401" s="83" t="n">
        <v>46256</v>
      </c>
      <c r="W2401" s="81" t="s">
        <v>2901</v>
      </c>
      <c r="X2401" s="81" t="s">
        <v>876</v>
      </c>
      <c r="Y2401" s="83" t="n">
        <v>46257</v>
      </c>
      <c r="Z2401" s="81" t="s">
        <v>2904</v>
      </c>
      <c r="AA2401" s="81" t="s">
        <v>876</v>
      </c>
      <c r="AB2401" s="81"/>
      <c r="AC2401" s="81"/>
      <c r="AD2401" s="81"/>
      <c r="AE2401" s="83"/>
      <c r="AF2401" s="81"/>
      <c r="AG2401" s="81"/>
      <c r="AH2401" s="81"/>
      <c r="AI2401" s="81"/>
      <c r="AJ2401" s="83"/>
      <c r="AK2401" s="81"/>
      <c r="AL2401" s="81"/>
      <c r="AM2401" s="83"/>
      <c r="AN2401" s="80"/>
      <c r="AO2401" s="82" t="n">
        <f aca="false">IF(E2401="","",(AA2401&lt;&gt;"")+(AG2401&lt;&gt;"")+(AL2401&lt;&gt;""))</f>
        <v>1</v>
      </c>
      <c r="AP2401" s="82" t="str">
        <f aca="false">IF(AL2401&lt;&gt;"",AL2401,IF(AG2401&lt;&gt;"",AG2401,IF(AA2401&lt;&gt;"",AA2401,"")))</f>
        <v>A</v>
      </c>
      <c r="AQ2401" s="84" t="str">
        <f aca="false">IF(E2401="","",IF(U2401="","À SOUDER",IF(X2401="","VT EN ATTENTE",IF(X2401="R","VT REJETÉ – À REPRENDRE",IF(AP2401="","À RADIOGRAPHIER",IF(AP2401="A","ACCEPTÉ",IF(AP2401="NX","NX – RT À REFAIRE",IF(IF(AO2401=1,AD2401,IF(AO2401=2,AI2401,""))="A","RÉPARÉ – À RADIOGRAPHIER",IF(IF(AO2401=1,AD2401,IF(AO2401=2,AI2401,""))="R","VT REJETÉ – À REPRENDRE",IF(OR(AP2401="CO",AP2401="NT"),"COUPE – À RESOUDER","À RÉPARER"))))))))))</f>
        <v>ACCEPTÉ</v>
      </c>
      <c r="AR2401" s="82" t="str">
        <f aca="false">IF(AND(ISNUMBER(U2401),OR(AQ2401="À RADIOGRAPHIER",AQ2401="RÉPARÉ – À RADIOGRAPHIER",AQ2401="NX – RT À REFAIRE",AQ2401="À RÉPARER",AQ2401="COUPE – À RESOUDER",AQ2401="VT REJETÉ – À REPRENDRE")),MAX(0,'PROGRAMME RT'!$C$4-U2401),"")</f>
        <v/>
      </c>
      <c r="AS2401" s="82" t="n">
        <f aca="false">IF(AND(OR(AQ2401="À RADIOGRAPHIER",AQ2401="RÉPARÉ – À RADIOGRAPHIER",AQ2401="NX – RT À REFAIRE"),OR('PROGRAMME RT'!$D$5="TOUTES",B2401='PROGRAMME RT'!$D$5)),1,0)</f>
        <v>0</v>
      </c>
      <c r="AT2401" s="82" t="str">
        <f aca="false">IF(AS2401=1,SUM(AS$7:AS2401),"")</f>
        <v/>
      </c>
      <c r="AU2401" s="82" t="n">
        <f aca="false">IF(AND(OR(AA2401="R",AA2401="NX",AA2401="NT",AA2401="CO"),OR('JOINTS DE RÉPARATION'!$D$5="TOUTES",B2401='JOINTS DE RÉPARATION'!$D$5),OR('JOINTS DE RÉPARATION'!$L$4="TOUS",AQ2401&lt;&gt;"ACCEPTÉ")),1,0)</f>
        <v>0</v>
      </c>
      <c r="AV2401" s="82" t="str">
        <f aca="false">IF(AU2401=1,SUM(AU$7:AU2401),"")</f>
        <v/>
      </c>
      <c r="AW2401" s="82" t="str">
        <f aca="false">IF(E2401="","",B2401&amp;"|"&amp;E2401)</f>
        <v>MFD-ISW → MFD-CPF|JN°1917</v>
      </c>
    </row>
    <row r="2402" customFormat="false" ht="74.6" hidden="false" customHeight="false" outlineLevel="0" collapsed="false">
      <c r="A2402" s="79" t="n">
        <f aca="false">IF(E2402="","",ROW()-6)</f>
        <v>2396</v>
      </c>
      <c r="B2402" s="80" t="s">
        <v>110</v>
      </c>
      <c r="C2402" s="81" t="s">
        <v>2881</v>
      </c>
      <c r="D2402" s="81" t="n">
        <v>23</v>
      </c>
      <c r="E2402" s="81" t="s">
        <v>2914</v>
      </c>
      <c r="F2402" s="82" t="str">
        <f aca="false">IF(E2402="","",IF(LEFT(E2402,2)="DJ","DJ","JN"))</f>
        <v>JN</v>
      </c>
      <c r="G2402" s="81" t="s">
        <v>1504</v>
      </c>
      <c r="H2402" s="81" t="s">
        <v>871</v>
      </c>
      <c r="I2402" s="81" t="n">
        <v>9.53</v>
      </c>
      <c r="J2402" s="81" t="s">
        <v>872</v>
      </c>
      <c r="K2402" s="81" t="s">
        <v>879</v>
      </c>
      <c r="L2402" s="81" t="n">
        <v>2093250</v>
      </c>
      <c r="M2402" s="81" t="n">
        <v>15421110</v>
      </c>
      <c r="N2402" s="81" t="n">
        <v>11.94</v>
      </c>
      <c r="O2402" s="81" t="n">
        <v>2097820</v>
      </c>
      <c r="P2402" s="81" t="n">
        <v>15421112</v>
      </c>
      <c r="Q2402" s="81" t="n">
        <v>11.94</v>
      </c>
      <c r="R2402" s="81" t="s">
        <v>2900</v>
      </c>
      <c r="S2402" s="81"/>
      <c r="T2402" s="81"/>
      <c r="U2402" s="83" t="n">
        <v>46256</v>
      </c>
      <c r="V2402" s="83" t="n">
        <v>46256</v>
      </c>
      <c r="W2402" s="81" t="s">
        <v>2901</v>
      </c>
      <c r="X2402" s="81" t="s">
        <v>876</v>
      </c>
      <c r="Y2402" s="83" t="n">
        <v>46257</v>
      </c>
      <c r="Z2402" s="81" t="s">
        <v>2904</v>
      </c>
      <c r="AA2402" s="81" t="s">
        <v>876</v>
      </c>
      <c r="AB2402" s="81"/>
      <c r="AC2402" s="81"/>
      <c r="AD2402" s="81"/>
      <c r="AE2402" s="83"/>
      <c r="AF2402" s="81"/>
      <c r="AG2402" s="81"/>
      <c r="AH2402" s="81"/>
      <c r="AI2402" s="81"/>
      <c r="AJ2402" s="83"/>
      <c r="AK2402" s="81"/>
      <c r="AL2402" s="81"/>
      <c r="AM2402" s="83"/>
      <c r="AN2402" s="80"/>
      <c r="AO2402" s="82" t="n">
        <f aca="false">IF(E2402="","",(AA2402&lt;&gt;"")+(AG2402&lt;&gt;"")+(AL2402&lt;&gt;""))</f>
        <v>1</v>
      </c>
      <c r="AP2402" s="82" t="str">
        <f aca="false">IF(AL2402&lt;&gt;"",AL2402,IF(AG2402&lt;&gt;"",AG2402,IF(AA2402&lt;&gt;"",AA2402,"")))</f>
        <v>A</v>
      </c>
      <c r="AQ2402" s="84" t="str">
        <f aca="false">IF(E2402="","",IF(U2402="","À SOUDER",IF(X2402="","VT EN ATTENTE",IF(X2402="R","VT REJETÉ – À REPRENDRE",IF(AP2402="","À RADIOGRAPHIER",IF(AP2402="A","ACCEPTÉ",IF(AP2402="NX","NX – RT À REFAIRE",IF(IF(AO2402=1,AD2402,IF(AO2402=2,AI2402,""))="A","RÉPARÉ – À RADIOGRAPHIER",IF(IF(AO2402=1,AD2402,IF(AO2402=2,AI2402,""))="R","VT REJETÉ – À REPRENDRE",IF(OR(AP2402="CO",AP2402="NT"),"COUPE – À RESOUDER","À RÉPARER"))))))))))</f>
        <v>ACCEPTÉ</v>
      </c>
      <c r="AR2402" s="82" t="str">
        <f aca="false">IF(AND(ISNUMBER(U2402),OR(AQ2402="À RADIOGRAPHIER",AQ2402="RÉPARÉ – À RADIOGRAPHIER",AQ2402="NX – RT À REFAIRE",AQ2402="À RÉPARER",AQ2402="COUPE – À RESOUDER",AQ2402="VT REJETÉ – À REPRENDRE")),MAX(0,'PROGRAMME RT'!$C$4-U2402),"")</f>
        <v/>
      </c>
      <c r="AS2402" s="82" t="n">
        <f aca="false">IF(AND(OR(AQ2402="À RADIOGRAPHIER",AQ2402="RÉPARÉ – À RADIOGRAPHIER",AQ2402="NX – RT À REFAIRE"),OR('PROGRAMME RT'!$D$5="TOUTES",B2402='PROGRAMME RT'!$D$5)),1,0)</f>
        <v>0</v>
      </c>
      <c r="AT2402" s="82" t="str">
        <f aca="false">IF(AS2402=1,SUM(AS$7:AS2402),"")</f>
        <v/>
      </c>
      <c r="AU2402" s="82" t="n">
        <f aca="false">IF(AND(OR(AA2402="R",AA2402="NX",AA2402="NT",AA2402="CO"),OR('JOINTS DE RÉPARATION'!$D$5="TOUTES",B2402='JOINTS DE RÉPARATION'!$D$5),OR('JOINTS DE RÉPARATION'!$L$4="TOUS",AQ2402&lt;&gt;"ACCEPTÉ")),1,0)</f>
        <v>0</v>
      </c>
      <c r="AV2402" s="82" t="str">
        <f aca="false">IF(AU2402=1,SUM(AU$7:AU2402),"")</f>
        <v/>
      </c>
      <c r="AW2402" s="82" t="str">
        <f aca="false">IF(E2402="","",B2402&amp;"|"&amp;E2402)</f>
        <v>MFD-ISW → MFD-CPF|JN°1918</v>
      </c>
    </row>
    <row r="2403" customFormat="false" ht="74.6" hidden="false" customHeight="false" outlineLevel="0" collapsed="false">
      <c r="A2403" s="79" t="n">
        <f aca="false">IF(E2403="","",ROW()-6)</f>
        <v>2397</v>
      </c>
      <c r="B2403" s="80" t="s">
        <v>110</v>
      </c>
      <c r="C2403" s="81" t="s">
        <v>2881</v>
      </c>
      <c r="D2403" s="81" t="n">
        <v>23</v>
      </c>
      <c r="E2403" s="81" t="s">
        <v>2915</v>
      </c>
      <c r="F2403" s="82" t="str">
        <f aca="false">IF(E2403="","",IF(LEFT(E2403,2)="DJ","DJ","JN"))</f>
        <v>JN</v>
      </c>
      <c r="G2403" s="81" t="s">
        <v>1504</v>
      </c>
      <c r="H2403" s="81" t="s">
        <v>871</v>
      </c>
      <c r="I2403" s="81" t="n">
        <v>9.53</v>
      </c>
      <c r="J2403" s="81" t="s">
        <v>872</v>
      </c>
      <c r="K2403" s="81" t="s">
        <v>879</v>
      </c>
      <c r="L2403" s="81" t="n">
        <v>2097820</v>
      </c>
      <c r="M2403" s="81" t="n">
        <v>15421112</v>
      </c>
      <c r="N2403" s="81" t="n">
        <v>11.94</v>
      </c>
      <c r="O2403" s="81" t="n">
        <v>2095940</v>
      </c>
      <c r="P2403" s="81" t="n">
        <v>15421111</v>
      </c>
      <c r="Q2403" s="81" t="n">
        <v>11.94</v>
      </c>
      <c r="R2403" s="81" t="s">
        <v>2900</v>
      </c>
      <c r="S2403" s="81"/>
      <c r="T2403" s="81"/>
      <c r="U2403" s="83" t="n">
        <v>46256</v>
      </c>
      <c r="V2403" s="83" t="n">
        <v>46256</v>
      </c>
      <c r="W2403" s="81" t="s">
        <v>2901</v>
      </c>
      <c r="X2403" s="81" t="s">
        <v>876</v>
      </c>
      <c r="Y2403" s="83" t="n">
        <v>46257</v>
      </c>
      <c r="Z2403" s="81" t="s">
        <v>2904</v>
      </c>
      <c r="AA2403" s="81" t="s">
        <v>876</v>
      </c>
      <c r="AB2403" s="81"/>
      <c r="AC2403" s="81"/>
      <c r="AD2403" s="81"/>
      <c r="AE2403" s="83"/>
      <c r="AF2403" s="81"/>
      <c r="AG2403" s="81"/>
      <c r="AH2403" s="81"/>
      <c r="AI2403" s="81"/>
      <c r="AJ2403" s="83"/>
      <c r="AK2403" s="81"/>
      <c r="AL2403" s="81"/>
      <c r="AM2403" s="83"/>
      <c r="AN2403" s="80"/>
      <c r="AO2403" s="82" t="n">
        <f aca="false">IF(E2403="","",(AA2403&lt;&gt;"")+(AG2403&lt;&gt;"")+(AL2403&lt;&gt;""))</f>
        <v>1</v>
      </c>
      <c r="AP2403" s="82" t="str">
        <f aca="false">IF(AL2403&lt;&gt;"",AL2403,IF(AG2403&lt;&gt;"",AG2403,IF(AA2403&lt;&gt;"",AA2403,"")))</f>
        <v>A</v>
      </c>
      <c r="AQ2403" s="84" t="str">
        <f aca="false">IF(E2403="","",IF(U2403="","À SOUDER",IF(X2403="","VT EN ATTENTE",IF(X2403="R","VT REJETÉ – À REPRENDRE",IF(AP2403="","À RADIOGRAPHIER",IF(AP2403="A","ACCEPTÉ",IF(AP2403="NX","NX – RT À REFAIRE",IF(IF(AO2403=1,AD2403,IF(AO2403=2,AI2403,""))="A","RÉPARÉ – À RADIOGRAPHIER",IF(IF(AO2403=1,AD2403,IF(AO2403=2,AI2403,""))="R","VT REJETÉ – À REPRENDRE",IF(OR(AP2403="CO",AP2403="NT"),"COUPE – À RESOUDER","À RÉPARER"))))))))))</f>
        <v>ACCEPTÉ</v>
      </c>
      <c r="AR2403" s="82" t="str">
        <f aca="false">IF(AND(ISNUMBER(U2403),OR(AQ2403="À RADIOGRAPHIER",AQ2403="RÉPARÉ – À RADIOGRAPHIER",AQ2403="NX – RT À REFAIRE",AQ2403="À RÉPARER",AQ2403="COUPE – À RESOUDER",AQ2403="VT REJETÉ – À REPRENDRE")),MAX(0,'PROGRAMME RT'!$C$4-U2403),"")</f>
        <v/>
      </c>
      <c r="AS2403" s="82" t="n">
        <f aca="false">IF(AND(OR(AQ2403="À RADIOGRAPHIER",AQ2403="RÉPARÉ – À RADIOGRAPHIER",AQ2403="NX – RT À REFAIRE"),OR('PROGRAMME RT'!$D$5="TOUTES",B2403='PROGRAMME RT'!$D$5)),1,0)</f>
        <v>0</v>
      </c>
      <c r="AT2403" s="82" t="str">
        <f aca="false">IF(AS2403=1,SUM(AS$7:AS2403),"")</f>
        <v/>
      </c>
      <c r="AU2403" s="82" t="n">
        <f aca="false">IF(AND(OR(AA2403="R",AA2403="NX",AA2403="NT",AA2403="CO"),OR('JOINTS DE RÉPARATION'!$D$5="TOUTES",B2403='JOINTS DE RÉPARATION'!$D$5),OR('JOINTS DE RÉPARATION'!$L$4="TOUS",AQ2403&lt;&gt;"ACCEPTÉ")),1,0)</f>
        <v>0</v>
      </c>
      <c r="AV2403" s="82" t="str">
        <f aca="false">IF(AU2403=1,SUM(AU$7:AU2403),"")</f>
        <v/>
      </c>
      <c r="AW2403" s="82" t="str">
        <f aca="false">IF(E2403="","",B2403&amp;"|"&amp;E2403)</f>
        <v>MFD-ISW → MFD-CPF|JN°1919</v>
      </c>
    </row>
    <row r="2404" customFormat="false" ht="74.6" hidden="false" customHeight="false" outlineLevel="0" collapsed="false">
      <c r="A2404" s="79" t="n">
        <f aca="false">IF(E2404="","",ROW()-6)</f>
        <v>2398</v>
      </c>
      <c r="B2404" s="80" t="s">
        <v>110</v>
      </c>
      <c r="C2404" s="81" t="s">
        <v>2881</v>
      </c>
      <c r="D2404" s="81" t="n">
        <v>23</v>
      </c>
      <c r="E2404" s="81" t="s">
        <v>2916</v>
      </c>
      <c r="F2404" s="82" t="str">
        <f aca="false">IF(E2404="","",IF(LEFT(E2404,2)="DJ","DJ","JN"))</f>
        <v>JN</v>
      </c>
      <c r="G2404" s="81" t="s">
        <v>1504</v>
      </c>
      <c r="H2404" s="81" t="s">
        <v>871</v>
      </c>
      <c r="I2404" s="81" t="n">
        <v>9.53</v>
      </c>
      <c r="J2404" s="81" t="s">
        <v>872</v>
      </c>
      <c r="K2404" s="81" t="s">
        <v>879</v>
      </c>
      <c r="L2404" s="81" t="n">
        <v>2095940</v>
      </c>
      <c r="M2404" s="81" t="n">
        <v>15421111</v>
      </c>
      <c r="N2404" s="81" t="n">
        <v>11.94</v>
      </c>
      <c r="O2404" s="81" t="n">
        <v>2089730</v>
      </c>
      <c r="P2404" s="81" t="n">
        <v>15421109</v>
      </c>
      <c r="Q2404" s="81" t="n">
        <v>11.94</v>
      </c>
      <c r="R2404" s="81" t="s">
        <v>2917</v>
      </c>
      <c r="S2404" s="81"/>
      <c r="T2404" s="81"/>
      <c r="U2404" s="83" t="n">
        <v>46255</v>
      </c>
      <c r="V2404" s="83" t="n">
        <v>46255</v>
      </c>
      <c r="W2404" s="81" t="s">
        <v>2918</v>
      </c>
      <c r="X2404" s="81" t="s">
        <v>876</v>
      </c>
      <c r="Y2404" s="83" t="n">
        <v>46257</v>
      </c>
      <c r="Z2404" s="81" t="s">
        <v>2904</v>
      </c>
      <c r="AA2404" s="81" t="s">
        <v>876</v>
      </c>
      <c r="AB2404" s="81"/>
      <c r="AC2404" s="81"/>
      <c r="AD2404" s="81"/>
      <c r="AE2404" s="83"/>
      <c r="AF2404" s="81"/>
      <c r="AG2404" s="81"/>
      <c r="AH2404" s="81"/>
      <c r="AI2404" s="81"/>
      <c r="AJ2404" s="83"/>
      <c r="AK2404" s="81"/>
      <c r="AL2404" s="81"/>
      <c r="AM2404" s="83"/>
      <c r="AN2404" s="80"/>
      <c r="AO2404" s="82" t="n">
        <f aca="false">IF(E2404="","",(AA2404&lt;&gt;"")+(AG2404&lt;&gt;"")+(AL2404&lt;&gt;""))</f>
        <v>1</v>
      </c>
      <c r="AP2404" s="82" t="str">
        <f aca="false">IF(AL2404&lt;&gt;"",AL2404,IF(AG2404&lt;&gt;"",AG2404,IF(AA2404&lt;&gt;"",AA2404,"")))</f>
        <v>A</v>
      </c>
      <c r="AQ2404" s="84" t="str">
        <f aca="false">IF(E2404="","",IF(U2404="","À SOUDER",IF(X2404="","VT EN ATTENTE",IF(X2404="R","VT REJETÉ – À REPRENDRE",IF(AP2404="","À RADIOGRAPHIER",IF(AP2404="A","ACCEPTÉ",IF(AP2404="NX","NX – RT À REFAIRE",IF(IF(AO2404=1,AD2404,IF(AO2404=2,AI2404,""))="A","RÉPARÉ – À RADIOGRAPHIER",IF(IF(AO2404=1,AD2404,IF(AO2404=2,AI2404,""))="R","VT REJETÉ – À REPRENDRE",IF(OR(AP2404="CO",AP2404="NT"),"COUPE – À RESOUDER","À RÉPARER"))))))))))</f>
        <v>ACCEPTÉ</v>
      </c>
      <c r="AR2404" s="82" t="str">
        <f aca="false">IF(AND(ISNUMBER(U2404),OR(AQ2404="À RADIOGRAPHIER",AQ2404="RÉPARÉ – À RADIOGRAPHIER",AQ2404="NX – RT À REFAIRE",AQ2404="À RÉPARER",AQ2404="COUPE – À RESOUDER",AQ2404="VT REJETÉ – À REPRENDRE")),MAX(0,'PROGRAMME RT'!$C$4-U2404),"")</f>
        <v/>
      </c>
      <c r="AS2404" s="82" t="n">
        <f aca="false">IF(AND(OR(AQ2404="À RADIOGRAPHIER",AQ2404="RÉPARÉ – À RADIOGRAPHIER",AQ2404="NX – RT À REFAIRE"),OR('PROGRAMME RT'!$D$5="TOUTES",B2404='PROGRAMME RT'!$D$5)),1,0)</f>
        <v>0</v>
      </c>
      <c r="AT2404" s="82" t="str">
        <f aca="false">IF(AS2404=1,SUM(AS$7:AS2404),"")</f>
        <v/>
      </c>
      <c r="AU2404" s="82" t="n">
        <f aca="false">IF(AND(OR(AA2404="R",AA2404="NX",AA2404="NT",AA2404="CO"),OR('JOINTS DE RÉPARATION'!$D$5="TOUTES",B2404='JOINTS DE RÉPARATION'!$D$5),OR('JOINTS DE RÉPARATION'!$L$4="TOUS",AQ2404&lt;&gt;"ACCEPTÉ")),1,0)</f>
        <v>0</v>
      </c>
      <c r="AV2404" s="82" t="str">
        <f aca="false">IF(AU2404=1,SUM(AU$7:AU2404),"")</f>
        <v/>
      </c>
      <c r="AW2404" s="82" t="str">
        <f aca="false">IF(E2404="","",B2404&amp;"|"&amp;E2404)</f>
        <v>MFD-ISW → MFD-CPF|JN°1920</v>
      </c>
    </row>
    <row r="2405" customFormat="false" ht="74.6" hidden="false" customHeight="false" outlineLevel="0" collapsed="false">
      <c r="A2405" s="79" t="n">
        <f aca="false">IF(E2405="","",ROW()-6)</f>
        <v>2399</v>
      </c>
      <c r="B2405" s="80" t="s">
        <v>110</v>
      </c>
      <c r="C2405" s="81" t="s">
        <v>2881</v>
      </c>
      <c r="D2405" s="81" t="n">
        <v>23</v>
      </c>
      <c r="E2405" s="81" t="s">
        <v>2919</v>
      </c>
      <c r="F2405" s="82" t="str">
        <f aca="false">IF(E2405="","",IF(LEFT(E2405,2)="DJ","DJ","JN"))</f>
        <v>JN</v>
      </c>
      <c r="G2405" s="81" t="s">
        <v>1504</v>
      </c>
      <c r="H2405" s="81" t="s">
        <v>871</v>
      </c>
      <c r="I2405" s="81" t="n">
        <v>9.53</v>
      </c>
      <c r="J2405" s="81" t="s">
        <v>872</v>
      </c>
      <c r="K2405" s="81" t="s">
        <v>879</v>
      </c>
      <c r="L2405" s="81" t="n">
        <v>2089730</v>
      </c>
      <c r="M2405" s="81" t="n">
        <v>15421109</v>
      </c>
      <c r="N2405" s="81" t="n">
        <v>11.94</v>
      </c>
      <c r="O2405" s="81" t="n">
        <v>2090490</v>
      </c>
      <c r="P2405" s="81" t="n">
        <v>15421109</v>
      </c>
      <c r="Q2405" s="81" t="n">
        <v>11.94</v>
      </c>
      <c r="R2405" s="81" t="s">
        <v>2917</v>
      </c>
      <c r="S2405" s="81"/>
      <c r="T2405" s="81"/>
      <c r="U2405" s="83" t="n">
        <v>46255</v>
      </c>
      <c r="V2405" s="83" t="n">
        <v>46255</v>
      </c>
      <c r="W2405" s="81" t="s">
        <v>2918</v>
      </c>
      <c r="X2405" s="81" t="s">
        <v>876</v>
      </c>
      <c r="Y2405" s="83" t="n">
        <v>46257</v>
      </c>
      <c r="Z2405" s="81" t="s">
        <v>2904</v>
      </c>
      <c r="AA2405" s="81" t="s">
        <v>876</v>
      </c>
      <c r="AB2405" s="81"/>
      <c r="AC2405" s="81"/>
      <c r="AD2405" s="81"/>
      <c r="AE2405" s="83"/>
      <c r="AF2405" s="81"/>
      <c r="AG2405" s="81"/>
      <c r="AH2405" s="81"/>
      <c r="AI2405" s="81"/>
      <c r="AJ2405" s="83"/>
      <c r="AK2405" s="81"/>
      <c r="AL2405" s="81"/>
      <c r="AM2405" s="83"/>
      <c r="AN2405" s="80"/>
      <c r="AO2405" s="82" t="n">
        <f aca="false">IF(E2405="","",(AA2405&lt;&gt;"")+(AG2405&lt;&gt;"")+(AL2405&lt;&gt;""))</f>
        <v>1</v>
      </c>
      <c r="AP2405" s="82" t="str">
        <f aca="false">IF(AL2405&lt;&gt;"",AL2405,IF(AG2405&lt;&gt;"",AG2405,IF(AA2405&lt;&gt;"",AA2405,"")))</f>
        <v>A</v>
      </c>
      <c r="AQ2405" s="84" t="str">
        <f aca="false">IF(E2405="","",IF(U2405="","À SOUDER",IF(X2405="","VT EN ATTENTE",IF(X2405="R","VT REJETÉ – À REPRENDRE",IF(AP2405="","À RADIOGRAPHIER",IF(AP2405="A","ACCEPTÉ",IF(AP2405="NX","NX – RT À REFAIRE",IF(IF(AO2405=1,AD2405,IF(AO2405=2,AI2405,""))="A","RÉPARÉ – À RADIOGRAPHIER",IF(IF(AO2405=1,AD2405,IF(AO2405=2,AI2405,""))="R","VT REJETÉ – À REPRENDRE",IF(OR(AP2405="CO",AP2405="NT"),"COUPE – À RESOUDER","À RÉPARER"))))))))))</f>
        <v>ACCEPTÉ</v>
      </c>
      <c r="AR2405" s="82" t="str">
        <f aca="false">IF(AND(ISNUMBER(U2405),OR(AQ2405="À RADIOGRAPHIER",AQ2405="RÉPARÉ – À RADIOGRAPHIER",AQ2405="NX – RT À REFAIRE",AQ2405="À RÉPARER",AQ2405="COUPE – À RESOUDER",AQ2405="VT REJETÉ – À REPRENDRE")),MAX(0,'PROGRAMME RT'!$C$4-U2405),"")</f>
        <v/>
      </c>
      <c r="AS2405" s="82" t="n">
        <f aca="false">IF(AND(OR(AQ2405="À RADIOGRAPHIER",AQ2405="RÉPARÉ – À RADIOGRAPHIER",AQ2405="NX – RT À REFAIRE"),OR('PROGRAMME RT'!$D$5="TOUTES",B2405='PROGRAMME RT'!$D$5)),1,0)</f>
        <v>0</v>
      </c>
      <c r="AT2405" s="82" t="str">
        <f aca="false">IF(AS2405=1,SUM(AS$7:AS2405),"")</f>
        <v/>
      </c>
      <c r="AU2405" s="82" t="n">
        <f aca="false">IF(AND(OR(AA2405="R",AA2405="NX",AA2405="NT",AA2405="CO"),OR('JOINTS DE RÉPARATION'!$D$5="TOUTES",B2405='JOINTS DE RÉPARATION'!$D$5),OR('JOINTS DE RÉPARATION'!$L$4="TOUS",AQ2405&lt;&gt;"ACCEPTÉ")),1,0)</f>
        <v>0</v>
      </c>
      <c r="AV2405" s="82" t="str">
        <f aca="false">IF(AU2405=1,SUM(AU$7:AU2405),"")</f>
        <v/>
      </c>
      <c r="AW2405" s="82" t="str">
        <f aca="false">IF(E2405="","",B2405&amp;"|"&amp;E2405)</f>
        <v>MFD-ISW → MFD-CPF|JN°1921</v>
      </c>
    </row>
    <row r="2406" customFormat="false" ht="74.6" hidden="false" customHeight="false" outlineLevel="0" collapsed="false">
      <c r="A2406" s="79" t="n">
        <f aca="false">IF(E2406="","",ROW()-6)</f>
        <v>2400</v>
      </c>
      <c r="B2406" s="80" t="s">
        <v>110</v>
      </c>
      <c r="C2406" s="81" t="s">
        <v>2881</v>
      </c>
      <c r="D2406" s="81" t="n">
        <v>23</v>
      </c>
      <c r="E2406" s="81" t="s">
        <v>2920</v>
      </c>
      <c r="F2406" s="82" t="str">
        <f aca="false">IF(E2406="","",IF(LEFT(E2406,2)="DJ","DJ","JN"))</f>
        <v>JN</v>
      </c>
      <c r="G2406" s="81" t="s">
        <v>1504</v>
      </c>
      <c r="H2406" s="81" t="s">
        <v>871</v>
      </c>
      <c r="I2406" s="81" t="n">
        <v>9.53</v>
      </c>
      <c r="J2406" s="81" t="s">
        <v>872</v>
      </c>
      <c r="K2406" s="81" t="s">
        <v>879</v>
      </c>
      <c r="L2406" s="81" t="n">
        <v>2090490</v>
      </c>
      <c r="M2406" s="81" t="n">
        <v>15421109</v>
      </c>
      <c r="N2406" s="81" t="n">
        <v>11.94</v>
      </c>
      <c r="O2406" s="81" t="n">
        <v>2086040</v>
      </c>
      <c r="P2406" s="81" t="n">
        <v>15421107</v>
      </c>
      <c r="Q2406" s="81" t="n">
        <v>11.94</v>
      </c>
      <c r="R2406" s="81" t="s">
        <v>2921</v>
      </c>
      <c r="S2406" s="81"/>
      <c r="T2406" s="81"/>
      <c r="U2406" s="83" t="n">
        <v>46255</v>
      </c>
      <c r="V2406" s="83" t="n">
        <v>46255</v>
      </c>
      <c r="W2406" s="81" t="s">
        <v>2918</v>
      </c>
      <c r="X2406" s="81" t="s">
        <v>876</v>
      </c>
      <c r="Y2406" s="83" t="n">
        <v>46256</v>
      </c>
      <c r="Z2406" s="81" t="s">
        <v>2922</v>
      </c>
      <c r="AA2406" s="81" t="s">
        <v>876</v>
      </c>
      <c r="AB2406" s="81"/>
      <c r="AC2406" s="81"/>
      <c r="AD2406" s="81"/>
      <c r="AE2406" s="83"/>
      <c r="AF2406" s="81"/>
      <c r="AG2406" s="81"/>
      <c r="AH2406" s="81"/>
      <c r="AI2406" s="81"/>
      <c r="AJ2406" s="83"/>
      <c r="AK2406" s="81"/>
      <c r="AL2406" s="81"/>
      <c r="AM2406" s="83"/>
      <c r="AN2406" s="80"/>
      <c r="AO2406" s="82" t="n">
        <f aca="false">IF(E2406="","",(AA2406&lt;&gt;"")+(AG2406&lt;&gt;"")+(AL2406&lt;&gt;""))</f>
        <v>1</v>
      </c>
      <c r="AP2406" s="82" t="str">
        <f aca="false">IF(AL2406&lt;&gt;"",AL2406,IF(AG2406&lt;&gt;"",AG2406,IF(AA2406&lt;&gt;"",AA2406,"")))</f>
        <v>A</v>
      </c>
      <c r="AQ2406" s="84" t="str">
        <f aca="false">IF(E2406="","",IF(U2406="","À SOUDER",IF(X2406="","VT EN ATTENTE",IF(X2406="R","VT REJETÉ – À REPRENDRE",IF(AP2406="","À RADIOGRAPHIER",IF(AP2406="A","ACCEPTÉ",IF(AP2406="NX","NX – RT À REFAIRE",IF(IF(AO2406=1,AD2406,IF(AO2406=2,AI2406,""))="A","RÉPARÉ – À RADIOGRAPHIER",IF(IF(AO2406=1,AD2406,IF(AO2406=2,AI2406,""))="R","VT REJETÉ – À REPRENDRE",IF(OR(AP2406="CO",AP2406="NT"),"COUPE – À RESOUDER","À RÉPARER"))))))))))</f>
        <v>ACCEPTÉ</v>
      </c>
      <c r="AR2406" s="82" t="str">
        <f aca="false">IF(AND(ISNUMBER(U2406),OR(AQ2406="À RADIOGRAPHIER",AQ2406="RÉPARÉ – À RADIOGRAPHIER",AQ2406="NX – RT À REFAIRE",AQ2406="À RÉPARER",AQ2406="COUPE – À RESOUDER",AQ2406="VT REJETÉ – À REPRENDRE")),MAX(0,'PROGRAMME RT'!$C$4-U2406),"")</f>
        <v/>
      </c>
      <c r="AS2406" s="82" t="n">
        <f aca="false">IF(AND(OR(AQ2406="À RADIOGRAPHIER",AQ2406="RÉPARÉ – À RADIOGRAPHIER",AQ2406="NX – RT À REFAIRE"),OR('PROGRAMME RT'!$D$5="TOUTES",B2406='PROGRAMME RT'!$D$5)),1,0)</f>
        <v>0</v>
      </c>
      <c r="AT2406" s="82" t="str">
        <f aca="false">IF(AS2406=1,SUM(AS$7:AS2406),"")</f>
        <v/>
      </c>
      <c r="AU2406" s="82" t="n">
        <f aca="false">IF(AND(OR(AA2406="R",AA2406="NX",AA2406="NT",AA2406="CO"),OR('JOINTS DE RÉPARATION'!$D$5="TOUTES",B2406='JOINTS DE RÉPARATION'!$D$5),OR('JOINTS DE RÉPARATION'!$L$4="TOUS",AQ2406&lt;&gt;"ACCEPTÉ")),1,0)</f>
        <v>0</v>
      </c>
      <c r="AV2406" s="82" t="str">
        <f aca="false">IF(AU2406=1,SUM(AU$7:AU2406),"")</f>
        <v/>
      </c>
      <c r="AW2406" s="82" t="str">
        <f aca="false">IF(E2406="","",B2406&amp;"|"&amp;E2406)</f>
        <v>MFD-ISW → MFD-CPF|JN°1922</v>
      </c>
    </row>
    <row r="2407" customFormat="false" ht="74.6" hidden="false" customHeight="false" outlineLevel="0" collapsed="false">
      <c r="A2407" s="79" t="n">
        <f aca="false">IF(E2407="","",ROW()-6)</f>
        <v>2401</v>
      </c>
      <c r="B2407" s="80" t="s">
        <v>110</v>
      </c>
      <c r="C2407" s="81" t="s">
        <v>2881</v>
      </c>
      <c r="D2407" s="81" t="n">
        <v>23</v>
      </c>
      <c r="E2407" s="81" t="s">
        <v>2923</v>
      </c>
      <c r="F2407" s="82" t="str">
        <f aca="false">IF(E2407="","",IF(LEFT(E2407,2)="DJ","DJ","JN"))</f>
        <v>JN</v>
      </c>
      <c r="G2407" s="81" t="s">
        <v>1504</v>
      </c>
      <c r="H2407" s="81" t="s">
        <v>871</v>
      </c>
      <c r="I2407" s="81" t="n">
        <v>9.53</v>
      </c>
      <c r="J2407" s="81" t="s">
        <v>872</v>
      </c>
      <c r="K2407" s="81" t="s">
        <v>879</v>
      </c>
      <c r="L2407" s="81" t="n">
        <v>2086040</v>
      </c>
      <c r="M2407" s="81" t="n">
        <v>15421107</v>
      </c>
      <c r="N2407" s="81" t="n">
        <v>11.94</v>
      </c>
      <c r="O2407" s="81" t="n">
        <v>2089800</v>
      </c>
      <c r="P2407" s="81" t="n">
        <v>15421107</v>
      </c>
      <c r="Q2407" s="81" t="n">
        <v>11.94</v>
      </c>
      <c r="R2407" s="81" t="s">
        <v>2921</v>
      </c>
      <c r="S2407" s="81"/>
      <c r="T2407" s="81"/>
      <c r="U2407" s="83" t="n">
        <v>46255</v>
      </c>
      <c r="V2407" s="83" t="n">
        <v>46255</v>
      </c>
      <c r="W2407" s="81" t="s">
        <v>2918</v>
      </c>
      <c r="X2407" s="81" t="s">
        <v>876</v>
      </c>
      <c r="Y2407" s="83" t="n">
        <v>46256</v>
      </c>
      <c r="Z2407" s="81" t="s">
        <v>2922</v>
      </c>
      <c r="AA2407" s="81" t="s">
        <v>876</v>
      </c>
      <c r="AB2407" s="81"/>
      <c r="AC2407" s="81"/>
      <c r="AD2407" s="81"/>
      <c r="AE2407" s="83"/>
      <c r="AF2407" s="81"/>
      <c r="AG2407" s="81"/>
      <c r="AH2407" s="81"/>
      <c r="AI2407" s="81"/>
      <c r="AJ2407" s="83"/>
      <c r="AK2407" s="81"/>
      <c r="AL2407" s="81"/>
      <c r="AM2407" s="83"/>
      <c r="AN2407" s="80"/>
      <c r="AO2407" s="82" t="n">
        <f aca="false">IF(E2407="","",(AA2407&lt;&gt;"")+(AG2407&lt;&gt;"")+(AL2407&lt;&gt;""))</f>
        <v>1</v>
      </c>
      <c r="AP2407" s="82" t="str">
        <f aca="false">IF(AL2407&lt;&gt;"",AL2407,IF(AG2407&lt;&gt;"",AG2407,IF(AA2407&lt;&gt;"",AA2407,"")))</f>
        <v>A</v>
      </c>
      <c r="AQ2407" s="84" t="str">
        <f aca="false">IF(E2407="","",IF(U2407="","À SOUDER",IF(X2407="","VT EN ATTENTE",IF(X2407="R","VT REJETÉ – À REPRENDRE",IF(AP2407="","À RADIOGRAPHIER",IF(AP2407="A","ACCEPTÉ",IF(AP2407="NX","NX – RT À REFAIRE",IF(IF(AO2407=1,AD2407,IF(AO2407=2,AI2407,""))="A","RÉPARÉ – À RADIOGRAPHIER",IF(IF(AO2407=1,AD2407,IF(AO2407=2,AI2407,""))="R","VT REJETÉ – À REPRENDRE",IF(OR(AP2407="CO",AP2407="NT"),"COUPE – À RESOUDER","À RÉPARER"))))))))))</f>
        <v>ACCEPTÉ</v>
      </c>
      <c r="AR2407" s="82" t="str">
        <f aca="false">IF(AND(ISNUMBER(U2407),OR(AQ2407="À RADIOGRAPHIER",AQ2407="RÉPARÉ – À RADIOGRAPHIER",AQ2407="NX – RT À REFAIRE",AQ2407="À RÉPARER",AQ2407="COUPE – À RESOUDER",AQ2407="VT REJETÉ – À REPRENDRE")),MAX(0,'PROGRAMME RT'!$C$4-U2407),"")</f>
        <v/>
      </c>
      <c r="AS2407" s="82" t="n">
        <f aca="false">IF(AND(OR(AQ2407="À RADIOGRAPHIER",AQ2407="RÉPARÉ – À RADIOGRAPHIER",AQ2407="NX – RT À REFAIRE"),OR('PROGRAMME RT'!$D$5="TOUTES",B2407='PROGRAMME RT'!$D$5)),1,0)</f>
        <v>0</v>
      </c>
      <c r="AT2407" s="82" t="str">
        <f aca="false">IF(AS2407=1,SUM(AS$7:AS2407),"")</f>
        <v/>
      </c>
      <c r="AU2407" s="82" t="n">
        <f aca="false">IF(AND(OR(AA2407="R",AA2407="NX",AA2407="NT",AA2407="CO"),OR('JOINTS DE RÉPARATION'!$D$5="TOUTES",B2407='JOINTS DE RÉPARATION'!$D$5),OR('JOINTS DE RÉPARATION'!$L$4="TOUS",AQ2407&lt;&gt;"ACCEPTÉ")),1,0)</f>
        <v>0</v>
      </c>
      <c r="AV2407" s="82" t="str">
        <f aca="false">IF(AU2407=1,SUM(AU$7:AU2407),"")</f>
        <v/>
      </c>
      <c r="AW2407" s="82" t="str">
        <f aca="false">IF(E2407="","",B2407&amp;"|"&amp;E2407)</f>
        <v>MFD-ISW → MFD-CPF|JN°1923</v>
      </c>
    </row>
    <row r="2408" customFormat="false" ht="74.6" hidden="false" customHeight="false" outlineLevel="0" collapsed="false">
      <c r="A2408" s="79" t="n">
        <f aca="false">IF(E2408="","",ROW()-6)</f>
        <v>2402</v>
      </c>
      <c r="B2408" s="80" t="s">
        <v>110</v>
      </c>
      <c r="C2408" s="81" t="s">
        <v>2881</v>
      </c>
      <c r="D2408" s="81" t="n">
        <v>23</v>
      </c>
      <c r="E2408" s="81" t="s">
        <v>2924</v>
      </c>
      <c r="F2408" s="82" t="str">
        <f aca="false">IF(E2408="","",IF(LEFT(E2408,2)="DJ","DJ","JN"))</f>
        <v>JN</v>
      </c>
      <c r="G2408" s="81" t="s">
        <v>1504</v>
      </c>
      <c r="H2408" s="81" t="s">
        <v>871</v>
      </c>
      <c r="I2408" s="81" t="n">
        <v>9.53</v>
      </c>
      <c r="J2408" s="81" t="s">
        <v>872</v>
      </c>
      <c r="K2408" s="81" t="s">
        <v>879</v>
      </c>
      <c r="L2408" s="81" t="n">
        <v>2089800</v>
      </c>
      <c r="M2408" s="81" t="n">
        <v>15421107</v>
      </c>
      <c r="N2408" s="81" t="n">
        <v>11.94</v>
      </c>
      <c r="O2408" s="81" t="n">
        <v>2090510</v>
      </c>
      <c r="P2408" s="81" t="n">
        <v>15421109</v>
      </c>
      <c r="Q2408" s="81" t="n">
        <v>11.94</v>
      </c>
      <c r="R2408" s="81" t="s">
        <v>2921</v>
      </c>
      <c r="S2408" s="81"/>
      <c r="T2408" s="81"/>
      <c r="U2408" s="83" t="n">
        <v>46255</v>
      </c>
      <c r="V2408" s="83" t="n">
        <v>46255</v>
      </c>
      <c r="W2408" s="81" t="s">
        <v>2918</v>
      </c>
      <c r="X2408" s="81" t="s">
        <v>876</v>
      </c>
      <c r="Y2408" s="83" t="n">
        <v>46256</v>
      </c>
      <c r="Z2408" s="81" t="s">
        <v>2922</v>
      </c>
      <c r="AA2408" s="81" t="s">
        <v>876</v>
      </c>
      <c r="AB2408" s="81"/>
      <c r="AC2408" s="81"/>
      <c r="AD2408" s="81"/>
      <c r="AE2408" s="83"/>
      <c r="AF2408" s="81"/>
      <c r="AG2408" s="81"/>
      <c r="AH2408" s="81"/>
      <c r="AI2408" s="81"/>
      <c r="AJ2408" s="83"/>
      <c r="AK2408" s="81"/>
      <c r="AL2408" s="81"/>
      <c r="AM2408" s="83"/>
      <c r="AN2408" s="80"/>
      <c r="AO2408" s="82" t="n">
        <f aca="false">IF(E2408="","",(AA2408&lt;&gt;"")+(AG2408&lt;&gt;"")+(AL2408&lt;&gt;""))</f>
        <v>1</v>
      </c>
      <c r="AP2408" s="82" t="str">
        <f aca="false">IF(AL2408&lt;&gt;"",AL2408,IF(AG2408&lt;&gt;"",AG2408,IF(AA2408&lt;&gt;"",AA2408,"")))</f>
        <v>A</v>
      </c>
      <c r="AQ2408" s="84" t="str">
        <f aca="false">IF(E2408="","",IF(U2408="","À SOUDER",IF(X2408="","VT EN ATTENTE",IF(X2408="R","VT REJETÉ – À REPRENDRE",IF(AP2408="","À RADIOGRAPHIER",IF(AP2408="A","ACCEPTÉ",IF(AP2408="NX","NX – RT À REFAIRE",IF(IF(AO2408=1,AD2408,IF(AO2408=2,AI2408,""))="A","RÉPARÉ – À RADIOGRAPHIER",IF(IF(AO2408=1,AD2408,IF(AO2408=2,AI2408,""))="R","VT REJETÉ – À REPRENDRE",IF(OR(AP2408="CO",AP2408="NT"),"COUPE – À RESOUDER","À RÉPARER"))))))))))</f>
        <v>ACCEPTÉ</v>
      </c>
      <c r="AR2408" s="82" t="str">
        <f aca="false">IF(AND(ISNUMBER(U2408),OR(AQ2408="À RADIOGRAPHIER",AQ2408="RÉPARÉ – À RADIOGRAPHIER",AQ2408="NX – RT À REFAIRE",AQ2408="À RÉPARER",AQ2408="COUPE – À RESOUDER",AQ2408="VT REJETÉ – À REPRENDRE")),MAX(0,'PROGRAMME RT'!$C$4-U2408),"")</f>
        <v/>
      </c>
      <c r="AS2408" s="82" t="n">
        <f aca="false">IF(AND(OR(AQ2408="À RADIOGRAPHIER",AQ2408="RÉPARÉ – À RADIOGRAPHIER",AQ2408="NX – RT À REFAIRE"),OR('PROGRAMME RT'!$D$5="TOUTES",B2408='PROGRAMME RT'!$D$5)),1,0)</f>
        <v>0</v>
      </c>
      <c r="AT2408" s="82" t="str">
        <f aca="false">IF(AS2408=1,SUM(AS$7:AS2408),"")</f>
        <v/>
      </c>
      <c r="AU2408" s="82" t="n">
        <f aca="false">IF(AND(OR(AA2408="R",AA2408="NX",AA2408="NT",AA2408="CO"),OR('JOINTS DE RÉPARATION'!$D$5="TOUTES",B2408='JOINTS DE RÉPARATION'!$D$5),OR('JOINTS DE RÉPARATION'!$L$4="TOUS",AQ2408&lt;&gt;"ACCEPTÉ")),1,0)</f>
        <v>0</v>
      </c>
      <c r="AV2408" s="82" t="str">
        <f aca="false">IF(AU2408=1,SUM(AU$7:AU2408),"")</f>
        <v/>
      </c>
      <c r="AW2408" s="82" t="str">
        <f aca="false">IF(E2408="","",B2408&amp;"|"&amp;E2408)</f>
        <v>MFD-ISW → MFD-CPF|JN°1924</v>
      </c>
    </row>
    <row r="2409" customFormat="false" ht="74.6" hidden="false" customHeight="false" outlineLevel="0" collapsed="false">
      <c r="A2409" s="79" t="n">
        <f aca="false">IF(E2409="","",ROW()-6)</f>
        <v>2403</v>
      </c>
      <c r="B2409" s="80" t="s">
        <v>110</v>
      </c>
      <c r="C2409" s="81" t="s">
        <v>2881</v>
      </c>
      <c r="D2409" s="81" t="n">
        <v>23</v>
      </c>
      <c r="E2409" s="81" t="s">
        <v>2925</v>
      </c>
      <c r="F2409" s="82" t="str">
        <f aca="false">IF(E2409="","",IF(LEFT(E2409,2)="DJ","DJ","JN"))</f>
        <v>JN</v>
      </c>
      <c r="G2409" s="81" t="s">
        <v>1504</v>
      </c>
      <c r="H2409" s="81" t="s">
        <v>871</v>
      </c>
      <c r="I2409" s="81" t="n">
        <v>9.53</v>
      </c>
      <c r="J2409" s="81" t="s">
        <v>872</v>
      </c>
      <c r="K2409" s="81" t="s">
        <v>879</v>
      </c>
      <c r="L2409" s="81" t="n">
        <v>2090510</v>
      </c>
      <c r="M2409" s="81" t="n">
        <v>15421109</v>
      </c>
      <c r="N2409" s="81" t="n">
        <v>11.94</v>
      </c>
      <c r="O2409" s="81" t="n">
        <v>2088020</v>
      </c>
      <c r="P2409" s="81" t="n">
        <v>15421108</v>
      </c>
      <c r="Q2409" s="81" t="n">
        <v>11.94</v>
      </c>
      <c r="R2409" s="81" t="s">
        <v>2921</v>
      </c>
      <c r="S2409" s="81"/>
      <c r="T2409" s="81"/>
      <c r="U2409" s="83" t="n">
        <v>46255</v>
      </c>
      <c r="V2409" s="83" t="n">
        <v>46255</v>
      </c>
      <c r="W2409" s="81" t="s">
        <v>2918</v>
      </c>
      <c r="X2409" s="81" t="s">
        <v>876</v>
      </c>
      <c r="Y2409" s="83" t="n">
        <v>46256</v>
      </c>
      <c r="Z2409" s="81" t="s">
        <v>2922</v>
      </c>
      <c r="AA2409" s="81" t="s">
        <v>876</v>
      </c>
      <c r="AB2409" s="81"/>
      <c r="AC2409" s="81"/>
      <c r="AD2409" s="81"/>
      <c r="AE2409" s="83"/>
      <c r="AF2409" s="81"/>
      <c r="AG2409" s="81"/>
      <c r="AH2409" s="81"/>
      <c r="AI2409" s="81"/>
      <c r="AJ2409" s="83"/>
      <c r="AK2409" s="81"/>
      <c r="AL2409" s="81"/>
      <c r="AM2409" s="83"/>
      <c r="AN2409" s="80"/>
      <c r="AO2409" s="82" t="n">
        <f aca="false">IF(E2409="","",(AA2409&lt;&gt;"")+(AG2409&lt;&gt;"")+(AL2409&lt;&gt;""))</f>
        <v>1</v>
      </c>
      <c r="AP2409" s="82" t="str">
        <f aca="false">IF(AL2409&lt;&gt;"",AL2409,IF(AG2409&lt;&gt;"",AG2409,IF(AA2409&lt;&gt;"",AA2409,"")))</f>
        <v>A</v>
      </c>
      <c r="AQ2409" s="84" t="str">
        <f aca="false">IF(E2409="","",IF(U2409="","À SOUDER",IF(X2409="","VT EN ATTENTE",IF(X2409="R","VT REJETÉ – À REPRENDRE",IF(AP2409="","À RADIOGRAPHIER",IF(AP2409="A","ACCEPTÉ",IF(AP2409="NX","NX – RT À REFAIRE",IF(IF(AO2409=1,AD2409,IF(AO2409=2,AI2409,""))="A","RÉPARÉ – À RADIOGRAPHIER",IF(IF(AO2409=1,AD2409,IF(AO2409=2,AI2409,""))="R","VT REJETÉ – À REPRENDRE",IF(OR(AP2409="CO",AP2409="NT"),"COUPE – À RESOUDER","À RÉPARER"))))))))))</f>
        <v>ACCEPTÉ</v>
      </c>
      <c r="AR2409" s="82" t="str">
        <f aca="false">IF(AND(ISNUMBER(U2409),OR(AQ2409="À RADIOGRAPHIER",AQ2409="RÉPARÉ – À RADIOGRAPHIER",AQ2409="NX – RT À REFAIRE",AQ2409="À RÉPARER",AQ2409="COUPE – À RESOUDER",AQ2409="VT REJETÉ – À REPRENDRE")),MAX(0,'PROGRAMME RT'!$C$4-U2409),"")</f>
        <v/>
      </c>
      <c r="AS2409" s="82" t="n">
        <f aca="false">IF(AND(OR(AQ2409="À RADIOGRAPHIER",AQ2409="RÉPARÉ – À RADIOGRAPHIER",AQ2409="NX – RT À REFAIRE"),OR('PROGRAMME RT'!$D$5="TOUTES",B2409='PROGRAMME RT'!$D$5)),1,0)</f>
        <v>0</v>
      </c>
      <c r="AT2409" s="82" t="str">
        <f aca="false">IF(AS2409=1,SUM(AS$7:AS2409),"")</f>
        <v/>
      </c>
      <c r="AU2409" s="82" t="n">
        <f aca="false">IF(AND(OR(AA2409="R",AA2409="NX",AA2409="NT",AA2409="CO"),OR('JOINTS DE RÉPARATION'!$D$5="TOUTES",B2409='JOINTS DE RÉPARATION'!$D$5),OR('JOINTS DE RÉPARATION'!$L$4="TOUS",AQ2409&lt;&gt;"ACCEPTÉ")),1,0)</f>
        <v>0</v>
      </c>
      <c r="AV2409" s="82" t="str">
        <f aca="false">IF(AU2409=1,SUM(AU$7:AU2409),"")</f>
        <v/>
      </c>
      <c r="AW2409" s="82" t="str">
        <f aca="false">IF(E2409="","",B2409&amp;"|"&amp;E2409)</f>
        <v>MFD-ISW → MFD-CPF|JN°1925</v>
      </c>
    </row>
    <row r="2410" customFormat="false" ht="74.6" hidden="false" customHeight="false" outlineLevel="0" collapsed="false">
      <c r="A2410" s="79" t="n">
        <f aca="false">IF(E2410="","",ROW()-6)</f>
        <v>2404</v>
      </c>
      <c r="B2410" s="80" t="s">
        <v>110</v>
      </c>
      <c r="C2410" s="81" t="s">
        <v>2881</v>
      </c>
      <c r="D2410" s="81" t="n">
        <v>23</v>
      </c>
      <c r="E2410" s="81" t="s">
        <v>2926</v>
      </c>
      <c r="F2410" s="82" t="str">
        <f aca="false">IF(E2410="","",IF(LEFT(E2410,2)="DJ","DJ","JN"))</f>
        <v>JN</v>
      </c>
      <c r="G2410" s="81" t="s">
        <v>1504</v>
      </c>
      <c r="H2410" s="81" t="s">
        <v>871</v>
      </c>
      <c r="I2410" s="81" t="n">
        <v>9.53</v>
      </c>
      <c r="J2410" s="81" t="s">
        <v>872</v>
      </c>
      <c r="K2410" s="81" t="s">
        <v>879</v>
      </c>
      <c r="L2410" s="81" t="n">
        <v>2088020</v>
      </c>
      <c r="M2410" s="81" t="n">
        <v>15421108</v>
      </c>
      <c r="N2410" s="81" t="n">
        <v>11.94</v>
      </c>
      <c r="O2410" s="81" t="n">
        <v>2090300</v>
      </c>
      <c r="P2410" s="81" t="n">
        <v>2091050</v>
      </c>
      <c r="Q2410" s="81" t="n">
        <v>11.94</v>
      </c>
      <c r="R2410" s="81" t="s">
        <v>2921</v>
      </c>
      <c r="S2410" s="81"/>
      <c r="T2410" s="81"/>
      <c r="U2410" s="83" t="n">
        <v>46255</v>
      </c>
      <c r="V2410" s="83" t="n">
        <v>46255</v>
      </c>
      <c r="W2410" s="81" t="s">
        <v>2918</v>
      </c>
      <c r="X2410" s="81" t="s">
        <v>876</v>
      </c>
      <c r="Y2410" s="83" t="n">
        <v>46256</v>
      </c>
      <c r="Z2410" s="81" t="s">
        <v>2922</v>
      </c>
      <c r="AA2410" s="81" t="s">
        <v>876</v>
      </c>
      <c r="AB2410" s="81"/>
      <c r="AC2410" s="81"/>
      <c r="AD2410" s="81"/>
      <c r="AE2410" s="83"/>
      <c r="AF2410" s="81"/>
      <c r="AG2410" s="81"/>
      <c r="AH2410" s="81"/>
      <c r="AI2410" s="81"/>
      <c r="AJ2410" s="83"/>
      <c r="AK2410" s="81"/>
      <c r="AL2410" s="81"/>
      <c r="AM2410" s="83"/>
      <c r="AN2410" s="80"/>
      <c r="AO2410" s="82" t="n">
        <f aca="false">IF(E2410="","",(AA2410&lt;&gt;"")+(AG2410&lt;&gt;"")+(AL2410&lt;&gt;""))</f>
        <v>1</v>
      </c>
      <c r="AP2410" s="82" t="str">
        <f aca="false">IF(AL2410&lt;&gt;"",AL2410,IF(AG2410&lt;&gt;"",AG2410,IF(AA2410&lt;&gt;"",AA2410,"")))</f>
        <v>A</v>
      </c>
      <c r="AQ2410" s="84" t="str">
        <f aca="false">IF(E2410="","",IF(U2410="","À SOUDER",IF(X2410="","VT EN ATTENTE",IF(X2410="R","VT REJETÉ – À REPRENDRE",IF(AP2410="","À RADIOGRAPHIER",IF(AP2410="A","ACCEPTÉ",IF(AP2410="NX","NX – RT À REFAIRE",IF(IF(AO2410=1,AD2410,IF(AO2410=2,AI2410,""))="A","RÉPARÉ – À RADIOGRAPHIER",IF(IF(AO2410=1,AD2410,IF(AO2410=2,AI2410,""))="R","VT REJETÉ – À REPRENDRE",IF(OR(AP2410="CO",AP2410="NT"),"COUPE – À RESOUDER","À RÉPARER"))))))))))</f>
        <v>ACCEPTÉ</v>
      </c>
      <c r="AR2410" s="82" t="str">
        <f aca="false">IF(AND(ISNUMBER(U2410),OR(AQ2410="À RADIOGRAPHIER",AQ2410="RÉPARÉ – À RADIOGRAPHIER",AQ2410="NX – RT À REFAIRE",AQ2410="À RÉPARER",AQ2410="COUPE – À RESOUDER",AQ2410="VT REJETÉ – À REPRENDRE")),MAX(0,'PROGRAMME RT'!$C$4-U2410),"")</f>
        <v/>
      </c>
      <c r="AS2410" s="82" t="n">
        <f aca="false">IF(AND(OR(AQ2410="À RADIOGRAPHIER",AQ2410="RÉPARÉ – À RADIOGRAPHIER",AQ2410="NX – RT À REFAIRE"),OR('PROGRAMME RT'!$D$5="TOUTES",B2410='PROGRAMME RT'!$D$5)),1,0)</f>
        <v>0</v>
      </c>
      <c r="AT2410" s="82" t="str">
        <f aca="false">IF(AS2410=1,SUM(AS$7:AS2410),"")</f>
        <v/>
      </c>
      <c r="AU2410" s="82" t="n">
        <f aca="false">IF(AND(OR(AA2410="R",AA2410="NX",AA2410="NT",AA2410="CO"),OR('JOINTS DE RÉPARATION'!$D$5="TOUTES",B2410='JOINTS DE RÉPARATION'!$D$5),OR('JOINTS DE RÉPARATION'!$L$4="TOUS",AQ2410&lt;&gt;"ACCEPTÉ")),1,0)</f>
        <v>0</v>
      </c>
      <c r="AV2410" s="82" t="str">
        <f aca="false">IF(AU2410=1,SUM(AU$7:AU2410),"")</f>
        <v/>
      </c>
      <c r="AW2410" s="82" t="str">
        <f aca="false">IF(E2410="","",B2410&amp;"|"&amp;E2410)</f>
        <v>MFD-ISW → MFD-CPF|JN°1926</v>
      </c>
    </row>
    <row r="2411" customFormat="false" ht="74.6" hidden="false" customHeight="false" outlineLevel="0" collapsed="false">
      <c r="A2411" s="79" t="n">
        <f aca="false">IF(E2411="","",ROW()-6)</f>
        <v>2405</v>
      </c>
      <c r="B2411" s="80" t="s">
        <v>110</v>
      </c>
      <c r="C2411" s="81" t="s">
        <v>2881</v>
      </c>
      <c r="D2411" s="81" t="n">
        <v>23</v>
      </c>
      <c r="E2411" s="81" t="s">
        <v>2927</v>
      </c>
      <c r="F2411" s="82" t="str">
        <f aca="false">IF(E2411="","",IF(LEFT(E2411,2)="DJ","DJ","JN"))</f>
        <v>JN</v>
      </c>
      <c r="G2411" s="81" t="s">
        <v>1504</v>
      </c>
      <c r="H2411" s="81" t="s">
        <v>871</v>
      </c>
      <c r="I2411" s="81" t="n">
        <v>9.53</v>
      </c>
      <c r="J2411" s="81" t="s">
        <v>872</v>
      </c>
      <c r="K2411" s="81" t="s">
        <v>879</v>
      </c>
      <c r="L2411" s="81" t="n">
        <v>2090300</v>
      </c>
      <c r="M2411" s="81" t="n">
        <v>2091050</v>
      </c>
      <c r="N2411" s="81" t="n">
        <v>11.94</v>
      </c>
      <c r="O2411" s="81" t="n">
        <v>2091050</v>
      </c>
      <c r="P2411" s="81" t="n">
        <v>15421109</v>
      </c>
      <c r="Q2411" s="81" t="n">
        <v>11.94</v>
      </c>
      <c r="R2411" s="81" t="s">
        <v>2921</v>
      </c>
      <c r="S2411" s="81"/>
      <c r="T2411" s="81"/>
      <c r="U2411" s="83" t="n">
        <v>46255</v>
      </c>
      <c r="V2411" s="83" t="n">
        <v>46255</v>
      </c>
      <c r="W2411" s="81" t="s">
        <v>2918</v>
      </c>
      <c r="X2411" s="81" t="s">
        <v>876</v>
      </c>
      <c r="Y2411" s="83" t="n">
        <v>46256</v>
      </c>
      <c r="Z2411" s="81" t="s">
        <v>2922</v>
      </c>
      <c r="AA2411" s="81" t="s">
        <v>876</v>
      </c>
      <c r="AB2411" s="81"/>
      <c r="AC2411" s="81"/>
      <c r="AD2411" s="81"/>
      <c r="AE2411" s="83"/>
      <c r="AF2411" s="81"/>
      <c r="AG2411" s="81"/>
      <c r="AH2411" s="81"/>
      <c r="AI2411" s="81"/>
      <c r="AJ2411" s="83"/>
      <c r="AK2411" s="81"/>
      <c r="AL2411" s="81"/>
      <c r="AM2411" s="83"/>
      <c r="AN2411" s="80"/>
      <c r="AO2411" s="82" t="n">
        <f aca="false">IF(E2411="","",(AA2411&lt;&gt;"")+(AG2411&lt;&gt;"")+(AL2411&lt;&gt;""))</f>
        <v>1</v>
      </c>
      <c r="AP2411" s="82" t="str">
        <f aca="false">IF(AL2411&lt;&gt;"",AL2411,IF(AG2411&lt;&gt;"",AG2411,IF(AA2411&lt;&gt;"",AA2411,"")))</f>
        <v>A</v>
      </c>
      <c r="AQ2411" s="84" t="str">
        <f aca="false">IF(E2411="","",IF(U2411="","À SOUDER",IF(X2411="","VT EN ATTENTE",IF(X2411="R","VT REJETÉ – À REPRENDRE",IF(AP2411="","À RADIOGRAPHIER",IF(AP2411="A","ACCEPTÉ",IF(AP2411="NX","NX – RT À REFAIRE",IF(IF(AO2411=1,AD2411,IF(AO2411=2,AI2411,""))="A","RÉPARÉ – À RADIOGRAPHIER",IF(IF(AO2411=1,AD2411,IF(AO2411=2,AI2411,""))="R","VT REJETÉ – À REPRENDRE",IF(OR(AP2411="CO",AP2411="NT"),"COUPE – À RESOUDER","À RÉPARER"))))))))))</f>
        <v>ACCEPTÉ</v>
      </c>
      <c r="AR2411" s="82" t="str">
        <f aca="false">IF(AND(ISNUMBER(U2411),OR(AQ2411="À RADIOGRAPHIER",AQ2411="RÉPARÉ – À RADIOGRAPHIER",AQ2411="NX – RT À REFAIRE",AQ2411="À RÉPARER",AQ2411="COUPE – À RESOUDER",AQ2411="VT REJETÉ – À REPRENDRE")),MAX(0,'PROGRAMME RT'!$C$4-U2411),"")</f>
        <v/>
      </c>
      <c r="AS2411" s="82" t="n">
        <f aca="false">IF(AND(OR(AQ2411="À RADIOGRAPHIER",AQ2411="RÉPARÉ – À RADIOGRAPHIER",AQ2411="NX – RT À REFAIRE"),OR('PROGRAMME RT'!$D$5="TOUTES",B2411='PROGRAMME RT'!$D$5)),1,0)</f>
        <v>0</v>
      </c>
      <c r="AT2411" s="82" t="str">
        <f aca="false">IF(AS2411=1,SUM(AS$7:AS2411),"")</f>
        <v/>
      </c>
      <c r="AU2411" s="82" t="n">
        <f aca="false">IF(AND(OR(AA2411="R",AA2411="NX",AA2411="NT",AA2411="CO"),OR('JOINTS DE RÉPARATION'!$D$5="TOUTES",B2411='JOINTS DE RÉPARATION'!$D$5),OR('JOINTS DE RÉPARATION'!$L$4="TOUS",AQ2411&lt;&gt;"ACCEPTÉ")),1,0)</f>
        <v>0</v>
      </c>
      <c r="AV2411" s="82" t="str">
        <f aca="false">IF(AU2411=1,SUM(AU$7:AU2411),"")</f>
        <v/>
      </c>
      <c r="AW2411" s="82" t="str">
        <f aca="false">IF(E2411="","",B2411&amp;"|"&amp;E2411)</f>
        <v>MFD-ISW → MFD-CPF|JN°1927</v>
      </c>
    </row>
    <row r="2412" customFormat="false" ht="74.6" hidden="false" customHeight="false" outlineLevel="0" collapsed="false">
      <c r="A2412" s="79" t="n">
        <f aca="false">IF(E2412="","",ROW()-6)</f>
        <v>2406</v>
      </c>
      <c r="B2412" s="80" t="s">
        <v>110</v>
      </c>
      <c r="C2412" s="81" t="s">
        <v>2881</v>
      </c>
      <c r="D2412" s="81" t="n">
        <v>24</v>
      </c>
      <c r="E2412" s="81" t="s">
        <v>2928</v>
      </c>
      <c r="F2412" s="82" t="str">
        <f aca="false">IF(E2412="","",IF(LEFT(E2412,2)="DJ","DJ","JN"))</f>
        <v>JN</v>
      </c>
      <c r="G2412" s="81" t="s">
        <v>1504</v>
      </c>
      <c r="H2412" s="81" t="s">
        <v>871</v>
      </c>
      <c r="I2412" s="81" t="n">
        <v>9.53</v>
      </c>
      <c r="J2412" s="81" t="s">
        <v>872</v>
      </c>
      <c r="K2412" s="81" t="s">
        <v>879</v>
      </c>
      <c r="L2412" s="81" t="n">
        <v>2091050</v>
      </c>
      <c r="M2412" s="81" t="n">
        <v>15421109</v>
      </c>
      <c r="N2412" s="81" t="n">
        <v>11.94</v>
      </c>
      <c r="O2412" s="81" t="n">
        <v>2090710</v>
      </c>
      <c r="P2412" s="81" t="n">
        <v>15421109</v>
      </c>
      <c r="Q2412" s="81" t="n">
        <v>11.94</v>
      </c>
      <c r="R2412" s="81" t="s">
        <v>2917</v>
      </c>
      <c r="S2412" s="81"/>
      <c r="T2412" s="81"/>
      <c r="U2412" s="83" t="n">
        <v>46253</v>
      </c>
      <c r="V2412" s="83" t="n">
        <v>46254</v>
      </c>
      <c r="W2412" s="81" t="s">
        <v>2929</v>
      </c>
      <c r="X2412" s="81" t="s">
        <v>876</v>
      </c>
      <c r="Y2412" s="83" t="n">
        <v>46256</v>
      </c>
      <c r="Z2412" s="81" t="s">
        <v>2922</v>
      </c>
      <c r="AA2412" s="81" t="s">
        <v>876</v>
      </c>
      <c r="AB2412" s="81"/>
      <c r="AC2412" s="81"/>
      <c r="AD2412" s="81"/>
      <c r="AE2412" s="83"/>
      <c r="AF2412" s="81"/>
      <c r="AG2412" s="81"/>
      <c r="AH2412" s="81"/>
      <c r="AI2412" s="81"/>
      <c r="AJ2412" s="83"/>
      <c r="AK2412" s="81"/>
      <c r="AL2412" s="81"/>
      <c r="AM2412" s="83"/>
      <c r="AN2412" s="80"/>
      <c r="AO2412" s="82" t="n">
        <f aca="false">IF(E2412="","",(AA2412&lt;&gt;"")+(AG2412&lt;&gt;"")+(AL2412&lt;&gt;""))</f>
        <v>1</v>
      </c>
      <c r="AP2412" s="82" t="str">
        <f aca="false">IF(AL2412&lt;&gt;"",AL2412,IF(AG2412&lt;&gt;"",AG2412,IF(AA2412&lt;&gt;"",AA2412,"")))</f>
        <v>A</v>
      </c>
      <c r="AQ2412" s="84" t="str">
        <f aca="false">IF(E2412="","",IF(U2412="","À SOUDER",IF(X2412="","VT EN ATTENTE",IF(X2412="R","VT REJETÉ – À REPRENDRE",IF(AP2412="","À RADIOGRAPHIER",IF(AP2412="A","ACCEPTÉ",IF(AP2412="NX","NX – RT À REFAIRE",IF(IF(AO2412=1,AD2412,IF(AO2412=2,AI2412,""))="A","RÉPARÉ – À RADIOGRAPHIER",IF(IF(AO2412=1,AD2412,IF(AO2412=2,AI2412,""))="R","VT REJETÉ – À REPRENDRE",IF(OR(AP2412="CO",AP2412="NT"),"COUPE – À RESOUDER","À RÉPARER"))))))))))</f>
        <v>ACCEPTÉ</v>
      </c>
      <c r="AR2412" s="82" t="str">
        <f aca="false">IF(AND(ISNUMBER(U2412),OR(AQ2412="À RADIOGRAPHIER",AQ2412="RÉPARÉ – À RADIOGRAPHIER",AQ2412="NX – RT À REFAIRE",AQ2412="À RÉPARER",AQ2412="COUPE – À RESOUDER",AQ2412="VT REJETÉ – À REPRENDRE")),MAX(0,'PROGRAMME RT'!$C$4-U2412),"")</f>
        <v/>
      </c>
      <c r="AS2412" s="82" t="n">
        <f aca="false">IF(AND(OR(AQ2412="À RADIOGRAPHIER",AQ2412="RÉPARÉ – À RADIOGRAPHIER",AQ2412="NX – RT À REFAIRE"),OR('PROGRAMME RT'!$D$5="TOUTES",B2412='PROGRAMME RT'!$D$5)),1,0)</f>
        <v>0</v>
      </c>
      <c r="AT2412" s="82" t="str">
        <f aca="false">IF(AS2412=1,SUM(AS$7:AS2412),"")</f>
        <v/>
      </c>
      <c r="AU2412" s="82" t="n">
        <f aca="false">IF(AND(OR(AA2412="R",AA2412="NX",AA2412="NT",AA2412="CO"),OR('JOINTS DE RÉPARATION'!$D$5="TOUTES",B2412='JOINTS DE RÉPARATION'!$D$5),OR('JOINTS DE RÉPARATION'!$L$4="TOUS",AQ2412&lt;&gt;"ACCEPTÉ")),1,0)</f>
        <v>0</v>
      </c>
      <c r="AV2412" s="82" t="str">
        <f aca="false">IF(AU2412=1,SUM(AU$7:AU2412),"")</f>
        <v/>
      </c>
      <c r="AW2412" s="82" t="str">
        <f aca="false">IF(E2412="","",B2412&amp;"|"&amp;E2412)</f>
        <v>MFD-ISW → MFD-CPF|JN°1928</v>
      </c>
    </row>
    <row r="2413" customFormat="false" ht="74.6" hidden="false" customHeight="false" outlineLevel="0" collapsed="false">
      <c r="A2413" s="79" t="n">
        <f aca="false">IF(E2413="","",ROW()-6)</f>
        <v>2407</v>
      </c>
      <c r="B2413" s="80" t="s">
        <v>110</v>
      </c>
      <c r="C2413" s="81" t="s">
        <v>2881</v>
      </c>
      <c r="D2413" s="81" t="n">
        <v>24</v>
      </c>
      <c r="E2413" s="81" t="s">
        <v>2930</v>
      </c>
      <c r="F2413" s="82" t="str">
        <f aca="false">IF(E2413="","",IF(LEFT(E2413,2)="DJ","DJ","JN"))</f>
        <v>JN</v>
      </c>
      <c r="G2413" s="81" t="s">
        <v>1504</v>
      </c>
      <c r="H2413" s="81" t="s">
        <v>871</v>
      </c>
      <c r="I2413" s="81" t="n">
        <v>9.53</v>
      </c>
      <c r="J2413" s="81" t="s">
        <v>872</v>
      </c>
      <c r="K2413" s="81" t="s">
        <v>879</v>
      </c>
      <c r="L2413" s="81" t="n">
        <v>2090710</v>
      </c>
      <c r="M2413" s="81" t="n">
        <v>15421109</v>
      </c>
      <c r="N2413" s="81" t="n">
        <v>11.94</v>
      </c>
      <c r="O2413" s="81" t="n">
        <v>2089840</v>
      </c>
      <c r="P2413" s="81" t="n">
        <v>154211</v>
      </c>
      <c r="Q2413" s="81" t="n">
        <v>11.94</v>
      </c>
      <c r="R2413" s="81" t="s">
        <v>2921</v>
      </c>
      <c r="S2413" s="81"/>
      <c r="T2413" s="81"/>
      <c r="U2413" s="83" t="n">
        <v>46253</v>
      </c>
      <c r="V2413" s="83" t="n">
        <v>46254</v>
      </c>
      <c r="W2413" s="81" t="s">
        <v>2929</v>
      </c>
      <c r="X2413" s="81" t="s">
        <v>876</v>
      </c>
      <c r="Y2413" s="83" t="n">
        <v>46256</v>
      </c>
      <c r="Z2413" s="81" t="s">
        <v>2922</v>
      </c>
      <c r="AA2413" s="81" t="s">
        <v>876</v>
      </c>
      <c r="AB2413" s="81"/>
      <c r="AC2413" s="81"/>
      <c r="AD2413" s="81"/>
      <c r="AE2413" s="83"/>
      <c r="AF2413" s="81"/>
      <c r="AG2413" s="81"/>
      <c r="AH2413" s="81"/>
      <c r="AI2413" s="81"/>
      <c r="AJ2413" s="83"/>
      <c r="AK2413" s="81"/>
      <c r="AL2413" s="81"/>
      <c r="AM2413" s="83"/>
      <c r="AN2413" s="80"/>
      <c r="AO2413" s="82" t="n">
        <f aca="false">IF(E2413="","",(AA2413&lt;&gt;"")+(AG2413&lt;&gt;"")+(AL2413&lt;&gt;""))</f>
        <v>1</v>
      </c>
      <c r="AP2413" s="82" t="str">
        <f aca="false">IF(AL2413&lt;&gt;"",AL2413,IF(AG2413&lt;&gt;"",AG2413,IF(AA2413&lt;&gt;"",AA2413,"")))</f>
        <v>A</v>
      </c>
      <c r="AQ2413" s="84" t="str">
        <f aca="false">IF(E2413="","",IF(U2413="","À SOUDER",IF(X2413="","VT EN ATTENTE",IF(X2413="R","VT REJETÉ – À REPRENDRE",IF(AP2413="","À RADIOGRAPHIER",IF(AP2413="A","ACCEPTÉ",IF(AP2413="NX","NX – RT À REFAIRE",IF(IF(AO2413=1,AD2413,IF(AO2413=2,AI2413,""))="A","RÉPARÉ – À RADIOGRAPHIER",IF(IF(AO2413=1,AD2413,IF(AO2413=2,AI2413,""))="R","VT REJETÉ – À REPRENDRE",IF(OR(AP2413="CO",AP2413="NT"),"COUPE – À RESOUDER","À RÉPARER"))))))))))</f>
        <v>ACCEPTÉ</v>
      </c>
      <c r="AR2413" s="82" t="str">
        <f aca="false">IF(AND(ISNUMBER(U2413),OR(AQ2413="À RADIOGRAPHIER",AQ2413="RÉPARÉ – À RADIOGRAPHIER",AQ2413="NX – RT À REFAIRE",AQ2413="À RÉPARER",AQ2413="COUPE – À RESOUDER",AQ2413="VT REJETÉ – À REPRENDRE")),MAX(0,'PROGRAMME RT'!$C$4-U2413),"")</f>
        <v/>
      </c>
      <c r="AS2413" s="82" t="n">
        <f aca="false">IF(AND(OR(AQ2413="À RADIOGRAPHIER",AQ2413="RÉPARÉ – À RADIOGRAPHIER",AQ2413="NX – RT À REFAIRE"),OR('PROGRAMME RT'!$D$5="TOUTES",B2413='PROGRAMME RT'!$D$5)),1,0)</f>
        <v>0</v>
      </c>
      <c r="AT2413" s="82" t="str">
        <f aca="false">IF(AS2413=1,SUM(AS$7:AS2413),"")</f>
        <v/>
      </c>
      <c r="AU2413" s="82" t="n">
        <f aca="false">IF(AND(OR(AA2413="R",AA2413="NX",AA2413="NT",AA2413="CO"),OR('JOINTS DE RÉPARATION'!$D$5="TOUTES",B2413='JOINTS DE RÉPARATION'!$D$5),OR('JOINTS DE RÉPARATION'!$L$4="TOUS",AQ2413&lt;&gt;"ACCEPTÉ")),1,0)</f>
        <v>0</v>
      </c>
      <c r="AV2413" s="82" t="str">
        <f aca="false">IF(AU2413=1,SUM(AU$7:AU2413),"")</f>
        <v/>
      </c>
      <c r="AW2413" s="82" t="str">
        <f aca="false">IF(E2413="","",B2413&amp;"|"&amp;E2413)</f>
        <v>MFD-ISW → MFD-CPF|JN°1929</v>
      </c>
    </row>
    <row r="2414" customFormat="false" ht="74.6" hidden="false" customHeight="false" outlineLevel="0" collapsed="false">
      <c r="A2414" s="79" t="n">
        <f aca="false">IF(E2414="","",ROW()-6)</f>
        <v>2408</v>
      </c>
      <c r="B2414" s="80" t="s">
        <v>110</v>
      </c>
      <c r="C2414" s="81" t="s">
        <v>2881</v>
      </c>
      <c r="D2414" s="81" t="n">
        <v>24</v>
      </c>
      <c r="E2414" s="81" t="s">
        <v>2931</v>
      </c>
      <c r="F2414" s="82" t="str">
        <f aca="false">IF(E2414="","",IF(LEFT(E2414,2)="DJ","DJ","JN"))</f>
        <v>JN</v>
      </c>
      <c r="G2414" s="81" t="s">
        <v>1504</v>
      </c>
      <c r="H2414" s="81" t="s">
        <v>871</v>
      </c>
      <c r="I2414" s="81" t="n">
        <v>9.53</v>
      </c>
      <c r="J2414" s="81" t="s">
        <v>872</v>
      </c>
      <c r="K2414" s="81" t="s">
        <v>879</v>
      </c>
      <c r="L2414" s="81" t="n">
        <v>2089840</v>
      </c>
      <c r="M2414" s="81" t="n">
        <v>154211</v>
      </c>
      <c r="N2414" s="81" t="n">
        <v>11.94</v>
      </c>
      <c r="O2414" s="81" t="n">
        <v>2084140</v>
      </c>
      <c r="P2414" s="81" t="n">
        <v>15421106</v>
      </c>
      <c r="Q2414" s="81" t="n">
        <v>11.94</v>
      </c>
      <c r="R2414" s="81" t="s">
        <v>2921</v>
      </c>
      <c r="S2414" s="81"/>
      <c r="T2414" s="81"/>
      <c r="U2414" s="83" t="n">
        <v>46253</v>
      </c>
      <c r="V2414" s="83" t="n">
        <v>46254</v>
      </c>
      <c r="W2414" s="81" t="s">
        <v>2929</v>
      </c>
      <c r="X2414" s="81" t="s">
        <v>876</v>
      </c>
      <c r="Y2414" s="83" t="n">
        <v>46256</v>
      </c>
      <c r="Z2414" s="81" t="s">
        <v>2922</v>
      </c>
      <c r="AA2414" s="81" t="s">
        <v>876</v>
      </c>
      <c r="AB2414" s="81"/>
      <c r="AC2414" s="81"/>
      <c r="AD2414" s="81"/>
      <c r="AE2414" s="83"/>
      <c r="AF2414" s="81"/>
      <c r="AG2414" s="81"/>
      <c r="AH2414" s="81"/>
      <c r="AI2414" s="81"/>
      <c r="AJ2414" s="83"/>
      <c r="AK2414" s="81"/>
      <c r="AL2414" s="81"/>
      <c r="AM2414" s="83"/>
      <c r="AN2414" s="80"/>
      <c r="AO2414" s="82" t="n">
        <f aca="false">IF(E2414="","",(AA2414&lt;&gt;"")+(AG2414&lt;&gt;"")+(AL2414&lt;&gt;""))</f>
        <v>1</v>
      </c>
      <c r="AP2414" s="82" t="str">
        <f aca="false">IF(AL2414&lt;&gt;"",AL2414,IF(AG2414&lt;&gt;"",AG2414,IF(AA2414&lt;&gt;"",AA2414,"")))</f>
        <v>A</v>
      </c>
      <c r="AQ2414" s="84" t="str">
        <f aca="false">IF(E2414="","",IF(U2414="","À SOUDER",IF(X2414="","VT EN ATTENTE",IF(X2414="R","VT REJETÉ – À REPRENDRE",IF(AP2414="","À RADIOGRAPHIER",IF(AP2414="A","ACCEPTÉ",IF(AP2414="NX","NX – RT À REFAIRE",IF(IF(AO2414=1,AD2414,IF(AO2414=2,AI2414,""))="A","RÉPARÉ – À RADIOGRAPHIER",IF(IF(AO2414=1,AD2414,IF(AO2414=2,AI2414,""))="R","VT REJETÉ – À REPRENDRE",IF(OR(AP2414="CO",AP2414="NT"),"COUPE – À RESOUDER","À RÉPARER"))))))))))</f>
        <v>ACCEPTÉ</v>
      </c>
      <c r="AR2414" s="82" t="str">
        <f aca="false">IF(AND(ISNUMBER(U2414),OR(AQ2414="À RADIOGRAPHIER",AQ2414="RÉPARÉ – À RADIOGRAPHIER",AQ2414="NX – RT À REFAIRE",AQ2414="À RÉPARER",AQ2414="COUPE – À RESOUDER",AQ2414="VT REJETÉ – À REPRENDRE")),MAX(0,'PROGRAMME RT'!$C$4-U2414),"")</f>
        <v/>
      </c>
      <c r="AS2414" s="82" t="n">
        <f aca="false">IF(AND(OR(AQ2414="À RADIOGRAPHIER",AQ2414="RÉPARÉ – À RADIOGRAPHIER",AQ2414="NX – RT À REFAIRE"),OR('PROGRAMME RT'!$D$5="TOUTES",B2414='PROGRAMME RT'!$D$5)),1,0)</f>
        <v>0</v>
      </c>
      <c r="AT2414" s="82" t="str">
        <f aca="false">IF(AS2414=1,SUM(AS$7:AS2414),"")</f>
        <v/>
      </c>
      <c r="AU2414" s="82" t="n">
        <f aca="false">IF(AND(OR(AA2414="R",AA2414="NX",AA2414="NT",AA2414="CO"),OR('JOINTS DE RÉPARATION'!$D$5="TOUTES",B2414='JOINTS DE RÉPARATION'!$D$5),OR('JOINTS DE RÉPARATION'!$L$4="TOUS",AQ2414&lt;&gt;"ACCEPTÉ")),1,0)</f>
        <v>0</v>
      </c>
      <c r="AV2414" s="82" t="str">
        <f aca="false">IF(AU2414=1,SUM(AU$7:AU2414),"")</f>
        <v/>
      </c>
      <c r="AW2414" s="82" t="str">
        <f aca="false">IF(E2414="","",B2414&amp;"|"&amp;E2414)</f>
        <v>MFD-ISW → MFD-CPF|JN°1930</v>
      </c>
    </row>
    <row r="2415" customFormat="false" ht="74.6" hidden="false" customHeight="false" outlineLevel="0" collapsed="false">
      <c r="A2415" s="79" t="n">
        <f aca="false">IF(E2415="","",ROW()-6)</f>
        <v>2409</v>
      </c>
      <c r="B2415" s="80" t="s">
        <v>110</v>
      </c>
      <c r="C2415" s="81" t="s">
        <v>2881</v>
      </c>
      <c r="D2415" s="81" t="n">
        <v>24</v>
      </c>
      <c r="E2415" s="81" t="s">
        <v>2932</v>
      </c>
      <c r="F2415" s="82" t="str">
        <f aca="false">IF(E2415="","",IF(LEFT(E2415,2)="DJ","DJ","JN"))</f>
        <v>JN</v>
      </c>
      <c r="G2415" s="81" t="s">
        <v>1504</v>
      </c>
      <c r="H2415" s="81" t="s">
        <v>871</v>
      </c>
      <c r="I2415" s="81" t="n">
        <v>9.53</v>
      </c>
      <c r="J2415" s="81" t="s">
        <v>872</v>
      </c>
      <c r="K2415" s="81" t="s">
        <v>1861</v>
      </c>
      <c r="L2415" s="81" t="n">
        <v>2084140</v>
      </c>
      <c r="M2415" s="81" t="n">
        <v>15421106</v>
      </c>
      <c r="N2415" s="81" t="n">
        <v>11.94</v>
      </c>
      <c r="O2415" s="81" t="n">
        <v>2087570</v>
      </c>
      <c r="P2415" s="81" t="n">
        <v>15421108</v>
      </c>
      <c r="Q2415" s="81" t="n">
        <v>11.94</v>
      </c>
      <c r="R2415" s="81" t="s">
        <v>2933</v>
      </c>
      <c r="S2415" s="81"/>
      <c r="T2415" s="81"/>
      <c r="U2415" s="83" t="n">
        <v>46289</v>
      </c>
      <c r="V2415" s="83" t="n">
        <v>46289</v>
      </c>
      <c r="W2415" s="81" t="s">
        <v>1984</v>
      </c>
      <c r="X2415" s="81" t="s">
        <v>876</v>
      </c>
      <c r="Y2415" s="83"/>
      <c r="Z2415" s="81"/>
      <c r="AA2415" s="81"/>
      <c r="AB2415" s="81"/>
      <c r="AC2415" s="81"/>
      <c r="AD2415" s="81"/>
      <c r="AE2415" s="83"/>
      <c r="AF2415" s="81"/>
      <c r="AG2415" s="81"/>
      <c r="AH2415" s="81"/>
      <c r="AI2415" s="81"/>
      <c r="AJ2415" s="83"/>
      <c r="AK2415" s="81"/>
      <c r="AL2415" s="81"/>
      <c r="AM2415" s="83"/>
      <c r="AN2415" s="80"/>
      <c r="AO2415" s="82" t="n">
        <f aca="false">IF(E2415="","",(AA2415&lt;&gt;"")+(AG2415&lt;&gt;"")+(AL2415&lt;&gt;""))</f>
        <v>0</v>
      </c>
      <c r="AP2415" s="82" t="str">
        <f aca="false">IF(AL2415&lt;&gt;"",AL2415,IF(AG2415&lt;&gt;"",AG2415,IF(AA2415&lt;&gt;"",AA2415,"")))</f>
        <v/>
      </c>
      <c r="AQ2415" s="84" t="str">
        <f aca="false">IF(E2415="","",IF(U2415="","À SOUDER",IF(X2415="","VT EN ATTENTE",IF(X2415="R","VT REJETÉ – À REPRENDRE",IF(AP2415="","À RADIOGRAPHIER",IF(AP2415="A","ACCEPTÉ",IF(AP2415="NX","NX – RT À REFAIRE",IF(IF(AO2415=1,AD2415,IF(AO2415=2,AI2415,""))="A","RÉPARÉ – À RADIOGRAPHIER",IF(IF(AO2415=1,AD2415,IF(AO2415=2,AI2415,""))="R","VT REJETÉ – À REPRENDRE",IF(OR(AP2415="CO",AP2415="NT"),"COUPE – À RESOUDER","À RÉPARER"))))))))))</f>
        <v>À RADIOGRAPHIER</v>
      </c>
      <c r="AR2415" s="82" t="n">
        <f aca="false">IF(AND(ISNUMBER(U2415),OR(AQ2415="À RADIOGRAPHIER",AQ2415="RÉPARÉ – À RADIOGRAPHIER",AQ2415="NX – RT À REFAIRE",AQ2415="À RÉPARER",AQ2415="COUPE – À RESOUDER",AQ2415="VT REJETÉ – À REPRENDRE")),MAX(0,'PROGRAMME RT'!$C$4-U2415),"")</f>
        <v>4</v>
      </c>
      <c r="AS2415" s="82" t="n">
        <f aca="false">IF(AND(OR(AQ2415="À RADIOGRAPHIER",AQ2415="RÉPARÉ – À RADIOGRAPHIER",AQ2415="NX – RT À REFAIRE"),OR('PROGRAMME RT'!$D$5="TOUTES",B2415='PROGRAMME RT'!$D$5)),1,0)</f>
        <v>1</v>
      </c>
      <c r="AT2415" s="82" t="n">
        <f aca="false">IF(AS2415=1,SUM(AS$7:AS2415),"")</f>
        <v>119</v>
      </c>
      <c r="AU2415" s="82" t="n">
        <f aca="false">IF(AND(OR(AA2415="R",AA2415="NX",AA2415="NT",AA2415="CO"),OR('JOINTS DE RÉPARATION'!$D$5="TOUTES",B2415='JOINTS DE RÉPARATION'!$D$5),OR('JOINTS DE RÉPARATION'!$L$4="TOUS",AQ2415&lt;&gt;"ACCEPTÉ")),1,0)</f>
        <v>0</v>
      </c>
      <c r="AV2415" s="82" t="str">
        <f aca="false">IF(AU2415=1,SUM(AU$7:AU2415),"")</f>
        <v/>
      </c>
      <c r="AW2415" s="82" t="str">
        <f aca="false">IF(E2415="","",B2415&amp;"|"&amp;E2415)</f>
        <v>MFD-ISW → MFD-CPF|JN°1931C</v>
      </c>
    </row>
    <row r="2416" customFormat="false" ht="74.6" hidden="false" customHeight="false" outlineLevel="0" collapsed="false">
      <c r="A2416" s="79" t="n">
        <f aca="false">IF(E2416="","",ROW()-6)</f>
        <v>2410</v>
      </c>
      <c r="B2416" s="80" t="s">
        <v>110</v>
      </c>
      <c r="C2416" s="81" t="s">
        <v>2881</v>
      </c>
      <c r="D2416" s="81" t="n">
        <v>24</v>
      </c>
      <c r="E2416" s="81" t="s">
        <v>2934</v>
      </c>
      <c r="F2416" s="82" t="str">
        <f aca="false">IF(E2416="","",IF(LEFT(E2416,2)="DJ","DJ","JN"))</f>
        <v>JN</v>
      </c>
      <c r="G2416" s="81" t="s">
        <v>1504</v>
      </c>
      <c r="H2416" s="81" t="s">
        <v>871</v>
      </c>
      <c r="I2416" s="81" t="n">
        <v>9.53</v>
      </c>
      <c r="J2416" s="81" t="s">
        <v>872</v>
      </c>
      <c r="K2416" s="81" t="s">
        <v>1861</v>
      </c>
      <c r="L2416" s="81" t="n">
        <v>2087570</v>
      </c>
      <c r="M2416" s="81" t="n">
        <v>15421108</v>
      </c>
      <c r="N2416" s="81" t="n">
        <v>11.94</v>
      </c>
      <c r="O2416" s="81" t="n">
        <v>2086510</v>
      </c>
      <c r="P2416" s="81" t="n">
        <v>15421107</v>
      </c>
      <c r="Q2416" s="81" t="n">
        <v>11.94</v>
      </c>
      <c r="R2416" s="81" t="s">
        <v>1862</v>
      </c>
      <c r="S2416" s="81"/>
      <c r="T2416" s="81"/>
      <c r="U2416" s="83" t="n">
        <v>46273</v>
      </c>
      <c r="V2416" s="83" t="n">
        <v>46273</v>
      </c>
      <c r="W2416" s="81" t="s">
        <v>2699</v>
      </c>
      <c r="X2416" s="81" t="s">
        <v>876</v>
      </c>
      <c r="Y2416" s="83" t="n">
        <v>46275</v>
      </c>
      <c r="Z2416" s="81" t="s">
        <v>2700</v>
      </c>
      <c r="AA2416" s="81" t="s">
        <v>876</v>
      </c>
      <c r="AB2416" s="81"/>
      <c r="AC2416" s="81"/>
      <c r="AD2416" s="81"/>
      <c r="AE2416" s="83"/>
      <c r="AF2416" s="81"/>
      <c r="AG2416" s="81"/>
      <c r="AH2416" s="81"/>
      <c r="AI2416" s="81"/>
      <c r="AJ2416" s="83"/>
      <c r="AK2416" s="81"/>
      <c r="AL2416" s="81"/>
      <c r="AM2416" s="83"/>
      <c r="AN2416" s="80"/>
      <c r="AO2416" s="82" t="n">
        <f aca="false">IF(E2416="","",(AA2416&lt;&gt;"")+(AG2416&lt;&gt;"")+(AL2416&lt;&gt;""))</f>
        <v>1</v>
      </c>
      <c r="AP2416" s="82" t="str">
        <f aca="false">IF(AL2416&lt;&gt;"",AL2416,IF(AG2416&lt;&gt;"",AG2416,IF(AA2416&lt;&gt;"",AA2416,"")))</f>
        <v>A</v>
      </c>
      <c r="AQ2416" s="84" t="str">
        <f aca="false">IF(E2416="","",IF(U2416="","À SOUDER",IF(X2416="","VT EN ATTENTE",IF(X2416="R","VT REJETÉ – À REPRENDRE",IF(AP2416="","À RADIOGRAPHIER",IF(AP2416="A","ACCEPTÉ",IF(AP2416="NX","NX – RT À REFAIRE",IF(IF(AO2416=1,AD2416,IF(AO2416=2,AI2416,""))="A","RÉPARÉ – À RADIOGRAPHIER",IF(IF(AO2416=1,AD2416,IF(AO2416=2,AI2416,""))="R","VT REJETÉ – À REPRENDRE",IF(OR(AP2416="CO",AP2416="NT"),"COUPE – À RESOUDER","À RÉPARER"))))))))))</f>
        <v>ACCEPTÉ</v>
      </c>
      <c r="AR2416" s="82" t="str">
        <f aca="false">IF(AND(ISNUMBER(U2416),OR(AQ2416="À RADIOGRAPHIER",AQ2416="RÉPARÉ – À RADIOGRAPHIER",AQ2416="NX – RT À REFAIRE",AQ2416="À RÉPARER",AQ2416="COUPE – À RESOUDER",AQ2416="VT REJETÉ – À REPRENDRE")),MAX(0,'PROGRAMME RT'!$C$4-U2416),"")</f>
        <v/>
      </c>
      <c r="AS2416" s="82" t="n">
        <f aca="false">IF(AND(OR(AQ2416="À RADIOGRAPHIER",AQ2416="RÉPARÉ – À RADIOGRAPHIER",AQ2416="NX – RT À REFAIRE"),OR('PROGRAMME RT'!$D$5="TOUTES",B2416='PROGRAMME RT'!$D$5)),1,0)</f>
        <v>0</v>
      </c>
      <c r="AT2416" s="82" t="str">
        <f aca="false">IF(AS2416=1,SUM(AS$7:AS2416),"")</f>
        <v/>
      </c>
      <c r="AU2416" s="82" t="n">
        <f aca="false">IF(AND(OR(AA2416="R",AA2416="NX",AA2416="NT",AA2416="CO"),OR('JOINTS DE RÉPARATION'!$D$5="TOUTES",B2416='JOINTS DE RÉPARATION'!$D$5),OR('JOINTS DE RÉPARATION'!$L$4="TOUS",AQ2416&lt;&gt;"ACCEPTÉ")),1,0)</f>
        <v>0</v>
      </c>
      <c r="AV2416" s="82" t="str">
        <f aca="false">IF(AU2416=1,SUM(AU$7:AU2416),"")</f>
        <v/>
      </c>
      <c r="AW2416" s="82" t="str">
        <f aca="false">IF(E2416="","",B2416&amp;"|"&amp;E2416)</f>
        <v>MFD-ISW → MFD-CPF|JN°1932R</v>
      </c>
    </row>
    <row r="2417" customFormat="false" ht="74.6" hidden="false" customHeight="false" outlineLevel="0" collapsed="false">
      <c r="A2417" s="79" t="n">
        <f aca="false">IF(E2417="","",ROW()-6)</f>
        <v>2411</v>
      </c>
      <c r="B2417" s="80" t="s">
        <v>110</v>
      </c>
      <c r="C2417" s="81" t="s">
        <v>2881</v>
      </c>
      <c r="D2417" s="81" t="n">
        <v>24</v>
      </c>
      <c r="E2417" s="81" t="s">
        <v>2935</v>
      </c>
      <c r="F2417" s="82" t="str">
        <f aca="false">IF(E2417="","",IF(LEFT(E2417,2)="DJ","DJ","JN"))</f>
        <v>JN</v>
      </c>
      <c r="G2417" s="81" t="s">
        <v>1504</v>
      </c>
      <c r="H2417" s="81" t="s">
        <v>871</v>
      </c>
      <c r="I2417" s="81" t="n">
        <v>9.53</v>
      </c>
      <c r="J2417" s="81" t="s">
        <v>872</v>
      </c>
      <c r="K2417" s="81" t="s">
        <v>1861</v>
      </c>
      <c r="L2417" s="81" t="n">
        <v>2086510</v>
      </c>
      <c r="M2417" s="81" t="n">
        <v>15421107</v>
      </c>
      <c r="N2417" s="81" t="n">
        <v>11.94</v>
      </c>
      <c r="O2417" s="81" t="n">
        <v>2079060</v>
      </c>
      <c r="P2417" s="81" t="n">
        <v>15421102</v>
      </c>
      <c r="Q2417" s="81" t="n">
        <v>11.94</v>
      </c>
      <c r="R2417" s="81" t="s">
        <v>1862</v>
      </c>
      <c r="S2417" s="81"/>
      <c r="T2417" s="81"/>
      <c r="U2417" s="83" t="n">
        <v>46273</v>
      </c>
      <c r="V2417" s="83" t="n">
        <v>46273</v>
      </c>
      <c r="W2417" s="81" t="s">
        <v>2699</v>
      </c>
      <c r="X2417" s="81" t="s">
        <v>876</v>
      </c>
      <c r="Y2417" s="83" t="n">
        <v>46275</v>
      </c>
      <c r="Z2417" s="81" t="s">
        <v>2700</v>
      </c>
      <c r="AA2417" s="81" t="s">
        <v>876</v>
      </c>
      <c r="AB2417" s="81"/>
      <c r="AC2417" s="81"/>
      <c r="AD2417" s="81"/>
      <c r="AE2417" s="83"/>
      <c r="AF2417" s="81"/>
      <c r="AG2417" s="81"/>
      <c r="AH2417" s="81"/>
      <c r="AI2417" s="81"/>
      <c r="AJ2417" s="83"/>
      <c r="AK2417" s="81"/>
      <c r="AL2417" s="81"/>
      <c r="AM2417" s="83"/>
      <c r="AN2417" s="80"/>
      <c r="AO2417" s="82" t="n">
        <f aca="false">IF(E2417="","",(AA2417&lt;&gt;"")+(AG2417&lt;&gt;"")+(AL2417&lt;&gt;""))</f>
        <v>1</v>
      </c>
      <c r="AP2417" s="82" t="str">
        <f aca="false">IF(AL2417&lt;&gt;"",AL2417,IF(AG2417&lt;&gt;"",AG2417,IF(AA2417&lt;&gt;"",AA2417,"")))</f>
        <v>A</v>
      </c>
      <c r="AQ2417" s="84" t="str">
        <f aca="false">IF(E2417="","",IF(U2417="","À SOUDER",IF(X2417="","VT EN ATTENTE",IF(X2417="R","VT REJETÉ – À REPRENDRE",IF(AP2417="","À RADIOGRAPHIER",IF(AP2417="A","ACCEPTÉ",IF(AP2417="NX","NX – RT À REFAIRE",IF(IF(AO2417=1,AD2417,IF(AO2417=2,AI2417,""))="A","RÉPARÉ – À RADIOGRAPHIER",IF(IF(AO2417=1,AD2417,IF(AO2417=2,AI2417,""))="R","VT REJETÉ – À REPRENDRE",IF(OR(AP2417="CO",AP2417="NT"),"COUPE – À RESOUDER","À RÉPARER"))))))))))</f>
        <v>ACCEPTÉ</v>
      </c>
      <c r="AR2417" s="82" t="str">
        <f aca="false">IF(AND(ISNUMBER(U2417),OR(AQ2417="À RADIOGRAPHIER",AQ2417="RÉPARÉ – À RADIOGRAPHIER",AQ2417="NX – RT À REFAIRE",AQ2417="À RÉPARER",AQ2417="COUPE – À RESOUDER",AQ2417="VT REJETÉ – À REPRENDRE")),MAX(0,'PROGRAMME RT'!$C$4-U2417),"")</f>
        <v/>
      </c>
      <c r="AS2417" s="82" t="n">
        <f aca="false">IF(AND(OR(AQ2417="À RADIOGRAPHIER",AQ2417="RÉPARÉ – À RADIOGRAPHIER",AQ2417="NX – RT À REFAIRE"),OR('PROGRAMME RT'!$D$5="TOUTES",B2417='PROGRAMME RT'!$D$5)),1,0)</f>
        <v>0</v>
      </c>
      <c r="AT2417" s="82" t="str">
        <f aca="false">IF(AS2417=1,SUM(AS$7:AS2417),"")</f>
        <v/>
      </c>
      <c r="AU2417" s="82" t="n">
        <f aca="false">IF(AND(OR(AA2417="R",AA2417="NX",AA2417="NT",AA2417="CO"),OR('JOINTS DE RÉPARATION'!$D$5="TOUTES",B2417='JOINTS DE RÉPARATION'!$D$5),OR('JOINTS DE RÉPARATION'!$L$4="TOUS",AQ2417&lt;&gt;"ACCEPTÉ")),1,0)</f>
        <v>0</v>
      </c>
      <c r="AV2417" s="82" t="str">
        <f aca="false">IF(AU2417=1,SUM(AU$7:AU2417),"")</f>
        <v/>
      </c>
      <c r="AW2417" s="82" t="str">
        <f aca="false">IF(E2417="","",B2417&amp;"|"&amp;E2417)</f>
        <v>MFD-ISW → MFD-CPF|JN°1933R</v>
      </c>
    </row>
    <row r="2418" customFormat="false" ht="74.6" hidden="false" customHeight="false" outlineLevel="0" collapsed="false">
      <c r="A2418" s="79" t="n">
        <f aca="false">IF(E2418="","",ROW()-6)</f>
        <v>2412</v>
      </c>
      <c r="B2418" s="80" t="s">
        <v>110</v>
      </c>
      <c r="C2418" s="81" t="s">
        <v>2881</v>
      </c>
      <c r="D2418" s="81" t="n">
        <v>24</v>
      </c>
      <c r="E2418" s="81" t="s">
        <v>2936</v>
      </c>
      <c r="F2418" s="82" t="str">
        <f aca="false">IF(E2418="","",IF(LEFT(E2418,2)="DJ","DJ","JN"))</f>
        <v>JN</v>
      </c>
      <c r="G2418" s="81" t="s">
        <v>1504</v>
      </c>
      <c r="H2418" s="81" t="s">
        <v>871</v>
      </c>
      <c r="I2418" s="81" t="n">
        <v>9.53</v>
      </c>
      <c r="J2418" s="81" t="s">
        <v>872</v>
      </c>
      <c r="K2418" s="81" t="s">
        <v>879</v>
      </c>
      <c r="L2418" s="81" t="n">
        <v>2079060</v>
      </c>
      <c r="M2418" s="81" t="n">
        <v>15421102</v>
      </c>
      <c r="N2418" s="81" t="n">
        <v>11.94</v>
      </c>
      <c r="O2418" s="81" t="n">
        <v>2097480</v>
      </c>
      <c r="P2418" s="81" t="n">
        <v>15421112</v>
      </c>
      <c r="Q2418" s="81" t="n">
        <v>11.94</v>
      </c>
      <c r="R2418" s="81" t="s">
        <v>2921</v>
      </c>
      <c r="S2418" s="81"/>
      <c r="T2418" s="81"/>
      <c r="U2418" s="83" t="n">
        <v>46253</v>
      </c>
      <c r="V2418" s="83" t="n">
        <v>46254</v>
      </c>
      <c r="W2418" s="81" t="s">
        <v>2929</v>
      </c>
      <c r="X2418" s="81" t="s">
        <v>876</v>
      </c>
      <c r="Y2418" s="83" t="n">
        <v>46255</v>
      </c>
      <c r="Z2418" s="81" t="s">
        <v>2937</v>
      </c>
      <c r="AA2418" s="81" t="s">
        <v>876</v>
      </c>
      <c r="AB2418" s="81"/>
      <c r="AC2418" s="81"/>
      <c r="AD2418" s="81"/>
      <c r="AE2418" s="83"/>
      <c r="AF2418" s="81"/>
      <c r="AG2418" s="81"/>
      <c r="AH2418" s="81"/>
      <c r="AI2418" s="81"/>
      <c r="AJ2418" s="83"/>
      <c r="AK2418" s="81"/>
      <c r="AL2418" s="81"/>
      <c r="AM2418" s="83"/>
      <c r="AN2418" s="80"/>
      <c r="AO2418" s="82" t="n">
        <f aca="false">IF(E2418="","",(AA2418&lt;&gt;"")+(AG2418&lt;&gt;"")+(AL2418&lt;&gt;""))</f>
        <v>1</v>
      </c>
      <c r="AP2418" s="82" t="str">
        <f aca="false">IF(AL2418&lt;&gt;"",AL2418,IF(AG2418&lt;&gt;"",AG2418,IF(AA2418&lt;&gt;"",AA2418,"")))</f>
        <v>A</v>
      </c>
      <c r="AQ2418" s="84" t="str">
        <f aca="false">IF(E2418="","",IF(U2418="","À SOUDER",IF(X2418="","VT EN ATTENTE",IF(X2418="R","VT REJETÉ – À REPRENDRE",IF(AP2418="","À RADIOGRAPHIER",IF(AP2418="A","ACCEPTÉ",IF(AP2418="NX","NX – RT À REFAIRE",IF(IF(AO2418=1,AD2418,IF(AO2418=2,AI2418,""))="A","RÉPARÉ – À RADIOGRAPHIER",IF(IF(AO2418=1,AD2418,IF(AO2418=2,AI2418,""))="R","VT REJETÉ – À REPRENDRE",IF(OR(AP2418="CO",AP2418="NT"),"COUPE – À RESOUDER","À RÉPARER"))))))))))</f>
        <v>ACCEPTÉ</v>
      </c>
      <c r="AR2418" s="82" t="str">
        <f aca="false">IF(AND(ISNUMBER(U2418),OR(AQ2418="À RADIOGRAPHIER",AQ2418="RÉPARÉ – À RADIOGRAPHIER",AQ2418="NX – RT À REFAIRE",AQ2418="À RÉPARER",AQ2418="COUPE – À RESOUDER",AQ2418="VT REJETÉ – À REPRENDRE")),MAX(0,'PROGRAMME RT'!$C$4-U2418),"")</f>
        <v/>
      </c>
      <c r="AS2418" s="82" t="n">
        <f aca="false">IF(AND(OR(AQ2418="À RADIOGRAPHIER",AQ2418="RÉPARÉ – À RADIOGRAPHIER",AQ2418="NX – RT À REFAIRE"),OR('PROGRAMME RT'!$D$5="TOUTES",B2418='PROGRAMME RT'!$D$5)),1,0)</f>
        <v>0</v>
      </c>
      <c r="AT2418" s="82" t="str">
        <f aca="false">IF(AS2418=1,SUM(AS$7:AS2418),"")</f>
        <v/>
      </c>
      <c r="AU2418" s="82" t="n">
        <f aca="false">IF(AND(OR(AA2418="R",AA2418="NX",AA2418="NT",AA2418="CO"),OR('JOINTS DE RÉPARATION'!$D$5="TOUTES",B2418='JOINTS DE RÉPARATION'!$D$5),OR('JOINTS DE RÉPARATION'!$L$4="TOUS",AQ2418&lt;&gt;"ACCEPTÉ")),1,0)</f>
        <v>0</v>
      </c>
      <c r="AV2418" s="82" t="str">
        <f aca="false">IF(AU2418=1,SUM(AU$7:AU2418),"")</f>
        <v/>
      </c>
      <c r="AW2418" s="82" t="str">
        <f aca="false">IF(E2418="","",B2418&amp;"|"&amp;E2418)</f>
        <v>MFD-ISW → MFD-CPF|JN°1934</v>
      </c>
    </row>
    <row r="2419" customFormat="false" ht="74.6" hidden="false" customHeight="false" outlineLevel="0" collapsed="false">
      <c r="A2419" s="79" t="n">
        <f aca="false">IF(E2419="","",ROW()-6)</f>
        <v>2413</v>
      </c>
      <c r="B2419" s="80" t="s">
        <v>110</v>
      </c>
      <c r="C2419" s="81" t="s">
        <v>926</v>
      </c>
      <c r="D2419" s="81" t="n">
        <v>24</v>
      </c>
      <c r="E2419" s="81" t="s">
        <v>2938</v>
      </c>
      <c r="F2419" s="82" t="str">
        <f aca="false">IF(E2419="","",IF(LEFT(E2419,2)="DJ","DJ","JN"))</f>
        <v>JN</v>
      </c>
      <c r="G2419" s="81"/>
      <c r="H2419" s="81"/>
      <c r="I2419" s="81"/>
      <c r="J2419" s="81"/>
      <c r="K2419" s="81"/>
      <c r="L2419" s="81" t="n">
        <v>2097480</v>
      </c>
      <c r="M2419" s="81" t="n">
        <v>15421112</v>
      </c>
      <c r="N2419" s="81" t="n">
        <v>11.94</v>
      </c>
      <c r="O2419" s="81"/>
      <c r="P2419" s="81"/>
      <c r="Q2419" s="81"/>
      <c r="R2419" s="81"/>
      <c r="S2419" s="81"/>
      <c r="T2419" s="81"/>
      <c r="U2419" s="83"/>
      <c r="V2419" s="83"/>
      <c r="W2419" s="81"/>
      <c r="X2419" s="81"/>
      <c r="Y2419" s="83"/>
      <c r="Z2419" s="81"/>
      <c r="AA2419" s="81"/>
      <c r="AB2419" s="81"/>
      <c r="AC2419" s="81"/>
      <c r="AD2419" s="81"/>
      <c r="AE2419" s="83"/>
      <c r="AF2419" s="81"/>
      <c r="AG2419" s="81"/>
      <c r="AH2419" s="81"/>
      <c r="AI2419" s="81"/>
      <c r="AJ2419" s="83"/>
      <c r="AK2419" s="81"/>
      <c r="AL2419" s="81"/>
      <c r="AM2419" s="83"/>
      <c r="AN2419" s="80"/>
      <c r="AO2419" s="82" t="n">
        <f aca="false">IF(E2419="","",(AA2419&lt;&gt;"")+(AG2419&lt;&gt;"")+(AL2419&lt;&gt;""))</f>
        <v>0</v>
      </c>
      <c r="AP2419" s="82" t="str">
        <f aca="false">IF(AL2419&lt;&gt;"",AL2419,IF(AG2419&lt;&gt;"",AG2419,IF(AA2419&lt;&gt;"",AA2419,"")))</f>
        <v/>
      </c>
      <c r="AQ2419" s="84" t="str">
        <f aca="false">IF(E2419="","",IF(U2419="","À SOUDER",IF(X2419="","VT EN ATTENTE",IF(X2419="R","VT REJETÉ – À REPRENDRE",IF(AP2419="","À RADIOGRAPHIER",IF(AP2419="A","ACCEPTÉ",IF(AP2419="NX","NX – RT À REFAIRE",IF(IF(AO2419=1,AD2419,IF(AO2419=2,AI2419,""))="A","RÉPARÉ – À RADIOGRAPHIER",IF(IF(AO2419=1,AD2419,IF(AO2419=2,AI2419,""))="R","VT REJETÉ – À REPRENDRE",IF(OR(AP2419="CO",AP2419="NT"),"COUPE – À RESOUDER","À RÉPARER"))))))))))</f>
        <v>À SOUDER</v>
      </c>
      <c r="AR2419" s="82" t="str">
        <f aca="false">IF(AND(ISNUMBER(U2419),OR(AQ2419="À RADIOGRAPHIER",AQ2419="RÉPARÉ – À RADIOGRAPHIER",AQ2419="NX – RT À REFAIRE",AQ2419="À RÉPARER",AQ2419="COUPE – À RESOUDER",AQ2419="VT REJETÉ – À REPRENDRE")),MAX(0,'PROGRAMME RT'!$C$4-U2419),"")</f>
        <v/>
      </c>
      <c r="AS2419" s="82" t="n">
        <f aca="false">IF(AND(OR(AQ2419="À RADIOGRAPHIER",AQ2419="RÉPARÉ – À RADIOGRAPHIER",AQ2419="NX – RT À REFAIRE"),OR('PROGRAMME RT'!$D$5="TOUTES",B2419='PROGRAMME RT'!$D$5)),1,0)</f>
        <v>0</v>
      </c>
      <c r="AT2419" s="82" t="str">
        <f aca="false">IF(AS2419=1,SUM(AS$7:AS2419),"")</f>
        <v/>
      </c>
      <c r="AU2419" s="82" t="n">
        <f aca="false">IF(AND(OR(AA2419="R",AA2419="NX",AA2419="NT",AA2419="CO"),OR('JOINTS DE RÉPARATION'!$D$5="TOUTES",B2419='JOINTS DE RÉPARATION'!$D$5),OR('JOINTS DE RÉPARATION'!$L$4="TOUS",AQ2419&lt;&gt;"ACCEPTÉ")),1,0)</f>
        <v>0</v>
      </c>
      <c r="AV2419" s="82" t="str">
        <f aca="false">IF(AU2419=1,SUM(AU$7:AU2419),"")</f>
        <v/>
      </c>
      <c r="AW2419" s="82" t="str">
        <f aca="false">IF(E2419="","",B2419&amp;"|"&amp;E2419)</f>
        <v>MFD-ISW → MFD-CPF|JN°1935</v>
      </c>
    </row>
    <row r="2420" customFormat="false" ht="74.6" hidden="false" customHeight="false" outlineLevel="0" collapsed="false">
      <c r="A2420" s="79" t="n">
        <f aca="false">IF(E2420="","",ROW()-6)</f>
        <v>2414</v>
      </c>
      <c r="B2420" s="80" t="s">
        <v>110</v>
      </c>
      <c r="C2420" s="81" t="s">
        <v>926</v>
      </c>
      <c r="D2420" s="81" t="n">
        <v>24</v>
      </c>
      <c r="E2420" s="81" t="s">
        <v>2939</v>
      </c>
      <c r="F2420" s="82" t="str">
        <f aca="false">IF(E2420="","",IF(LEFT(E2420,2)="DJ","DJ","JN"))</f>
        <v>JN</v>
      </c>
      <c r="G2420" s="81"/>
      <c r="H2420" s="81"/>
      <c r="I2420" s="81"/>
      <c r="J2420" s="81"/>
      <c r="K2420" s="81"/>
      <c r="L2420" s="81"/>
      <c r="M2420" s="81"/>
      <c r="N2420" s="81"/>
      <c r="O2420" s="81"/>
      <c r="P2420" s="81"/>
      <c r="Q2420" s="81"/>
      <c r="R2420" s="81"/>
      <c r="S2420" s="81"/>
      <c r="T2420" s="81"/>
      <c r="U2420" s="83"/>
      <c r="V2420" s="83"/>
      <c r="W2420" s="81"/>
      <c r="X2420" s="81"/>
      <c r="Y2420" s="83"/>
      <c r="Z2420" s="81"/>
      <c r="AA2420" s="81"/>
      <c r="AB2420" s="81"/>
      <c r="AC2420" s="81"/>
      <c r="AD2420" s="81"/>
      <c r="AE2420" s="83"/>
      <c r="AF2420" s="81"/>
      <c r="AG2420" s="81"/>
      <c r="AH2420" s="81"/>
      <c r="AI2420" s="81"/>
      <c r="AJ2420" s="83"/>
      <c r="AK2420" s="81"/>
      <c r="AL2420" s="81"/>
      <c r="AM2420" s="83"/>
      <c r="AN2420" s="80"/>
      <c r="AO2420" s="82" t="n">
        <f aca="false">IF(E2420="","",(AA2420&lt;&gt;"")+(AG2420&lt;&gt;"")+(AL2420&lt;&gt;""))</f>
        <v>0</v>
      </c>
      <c r="AP2420" s="82" t="str">
        <f aca="false">IF(AL2420&lt;&gt;"",AL2420,IF(AG2420&lt;&gt;"",AG2420,IF(AA2420&lt;&gt;"",AA2420,"")))</f>
        <v/>
      </c>
      <c r="AQ2420" s="84" t="str">
        <f aca="false">IF(E2420="","",IF(U2420="","À SOUDER",IF(X2420="","VT EN ATTENTE",IF(X2420="R","VT REJETÉ – À REPRENDRE",IF(AP2420="","À RADIOGRAPHIER",IF(AP2420="A","ACCEPTÉ",IF(AP2420="NX","NX – RT À REFAIRE",IF(IF(AO2420=1,AD2420,IF(AO2420=2,AI2420,""))="A","RÉPARÉ – À RADIOGRAPHIER",IF(IF(AO2420=1,AD2420,IF(AO2420=2,AI2420,""))="R","VT REJETÉ – À REPRENDRE",IF(OR(AP2420="CO",AP2420="NT"),"COUPE – À RESOUDER","À RÉPARER"))))))))))</f>
        <v>À SOUDER</v>
      </c>
      <c r="AR2420" s="82" t="str">
        <f aca="false">IF(AND(ISNUMBER(U2420),OR(AQ2420="À RADIOGRAPHIER",AQ2420="RÉPARÉ – À RADIOGRAPHIER",AQ2420="NX – RT À REFAIRE",AQ2420="À RÉPARER",AQ2420="COUPE – À RESOUDER",AQ2420="VT REJETÉ – À REPRENDRE")),MAX(0,'PROGRAMME RT'!$C$4-U2420),"")</f>
        <v/>
      </c>
      <c r="AS2420" s="82" t="n">
        <f aca="false">IF(AND(OR(AQ2420="À RADIOGRAPHIER",AQ2420="RÉPARÉ – À RADIOGRAPHIER",AQ2420="NX – RT À REFAIRE"),OR('PROGRAMME RT'!$D$5="TOUTES",B2420='PROGRAMME RT'!$D$5)),1,0)</f>
        <v>0</v>
      </c>
      <c r="AT2420" s="82" t="str">
        <f aca="false">IF(AS2420=1,SUM(AS$7:AS2420),"")</f>
        <v/>
      </c>
      <c r="AU2420" s="82" t="n">
        <f aca="false">IF(AND(OR(AA2420="R",AA2420="NX",AA2420="NT",AA2420="CO"),OR('JOINTS DE RÉPARATION'!$D$5="TOUTES",B2420='JOINTS DE RÉPARATION'!$D$5),OR('JOINTS DE RÉPARATION'!$L$4="TOUS",AQ2420&lt;&gt;"ACCEPTÉ")),1,0)</f>
        <v>0</v>
      </c>
      <c r="AV2420" s="82" t="str">
        <f aca="false">IF(AU2420=1,SUM(AU$7:AU2420),"")</f>
        <v/>
      </c>
      <c r="AW2420" s="82" t="str">
        <f aca="false">IF(E2420="","",B2420&amp;"|"&amp;E2420)</f>
        <v>MFD-ISW → MFD-CPF|JN°1936</v>
      </c>
    </row>
    <row r="2421" customFormat="false" ht="74.6" hidden="false" customHeight="false" outlineLevel="0" collapsed="false">
      <c r="A2421" s="79" t="n">
        <f aca="false">IF(E2421="","",ROW()-6)</f>
        <v>2415</v>
      </c>
      <c r="B2421" s="80" t="s">
        <v>110</v>
      </c>
      <c r="C2421" s="81" t="s">
        <v>926</v>
      </c>
      <c r="D2421" s="81" t="n">
        <v>24</v>
      </c>
      <c r="E2421" s="81" t="s">
        <v>2940</v>
      </c>
      <c r="F2421" s="82" t="str">
        <f aca="false">IF(E2421="","",IF(LEFT(E2421,2)="DJ","DJ","JN"))</f>
        <v>JN</v>
      </c>
      <c r="G2421" s="81"/>
      <c r="H2421" s="81"/>
      <c r="I2421" s="81"/>
      <c r="J2421" s="81"/>
      <c r="K2421" s="81"/>
      <c r="L2421" s="81"/>
      <c r="M2421" s="81"/>
      <c r="N2421" s="81"/>
      <c r="O2421" s="81"/>
      <c r="P2421" s="81"/>
      <c r="Q2421" s="81"/>
      <c r="R2421" s="81"/>
      <c r="S2421" s="81"/>
      <c r="T2421" s="81"/>
      <c r="U2421" s="83"/>
      <c r="V2421" s="83"/>
      <c r="W2421" s="81"/>
      <c r="X2421" s="81"/>
      <c r="Y2421" s="83"/>
      <c r="Z2421" s="81"/>
      <c r="AA2421" s="81"/>
      <c r="AB2421" s="81"/>
      <c r="AC2421" s="81"/>
      <c r="AD2421" s="81"/>
      <c r="AE2421" s="83"/>
      <c r="AF2421" s="81"/>
      <c r="AG2421" s="81"/>
      <c r="AH2421" s="81"/>
      <c r="AI2421" s="81"/>
      <c r="AJ2421" s="83"/>
      <c r="AK2421" s="81"/>
      <c r="AL2421" s="81"/>
      <c r="AM2421" s="83"/>
      <c r="AN2421" s="80"/>
      <c r="AO2421" s="82" t="n">
        <f aca="false">IF(E2421="","",(AA2421&lt;&gt;"")+(AG2421&lt;&gt;"")+(AL2421&lt;&gt;""))</f>
        <v>0</v>
      </c>
      <c r="AP2421" s="82" t="str">
        <f aca="false">IF(AL2421&lt;&gt;"",AL2421,IF(AG2421&lt;&gt;"",AG2421,IF(AA2421&lt;&gt;"",AA2421,"")))</f>
        <v/>
      </c>
      <c r="AQ2421" s="84" t="str">
        <f aca="false">IF(E2421="","",IF(U2421="","À SOUDER",IF(X2421="","VT EN ATTENTE",IF(X2421="R","VT REJETÉ – À REPRENDRE",IF(AP2421="","À RADIOGRAPHIER",IF(AP2421="A","ACCEPTÉ",IF(AP2421="NX","NX – RT À REFAIRE",IF(IF(AO2421=1,AD2421,IF(AO2421=2,AI2421,""))="A","RÉPARÉ – À RADIOGRAPHIER",IF(IF(AO2421=1,AD2421,IF(AO2421=2,AI2421,""))="R","VT REJETÉ – À REPRENDRE",IF(OR(AP2421="CO",AP2421="NT"),"COUPE – À RESOUDER","À RÉPARER"))))))))))</f>
        <v>À SOUDER</v>
      </c>
      <c r="AR2421" s="82" t="str">
        <f aca="false">IF(AND(ISNUMBER(U2421),OR(AQ2421="À RADIOGRAPHIER",AQ2421="RÉPARÉ – À RADIOGRAPHIER",AQ2421="NX – RT À REFAIRE",AQ2421="À RÉPARER",AQ2421="COUPE – À RESOUDER",AQ2421="VT REJETÉ – À REPRENDRE")),MAX(0,'PROGRAMME RT'!$C$4-U2421),"")</f>
        <v/>
      </c>
      <c r="AS2421" s="82" t="n">
        <f aca="false">IF(AND(OR(AQ2421="À RADIOGRAPHIER",AQ2421="RÉPARÉ – À RADIOGRAPHIER",AQ2421="NX – RT À REFAIRE"),OR('PROGRAMME RT'!$D$5="TOUTES",B2421='PROGRAMME RT'!$D$5)),1,0)</f>
        <v>0</v>
      </c>
      <c r="AT2421" s="82" t="str">
        <f aca="false">IF(AS2421=1,SUM(AS$7:AS2421),"")</f>
        <v/>
      </c>
      <c r="AU2421" s="82" t="n">
        <f aca="false">IF(AND(OR(AA2421="R",AA2421="NX",AA2421="NT",AA2421="CO"),OR('JOINTS DE RÉPARATION'!$D$5="TOUTES",B2421='JOINTS DE RÉPARATION'!$D$5),OR('JOINTS DE RÉPARATION'!$L$4="TOUS",AQ2421&lt;&gt;"ACCEPTÉ")),1,0)</f>
        <v>0</v>
      </c>
      <c r="AV2421" s="82" t="str">
        <f aca="false">IF(AU2421=1,SUM(AU$7:AU2421),"")</f>
        <v/>
      </c>
      <c r="AW2421" s="82" t="str">
        <f aca="false">IF(E2421="","",B2421&amp;"|"&amp;E2421)</f>
        <v>MFD-ISW → MFD-CPF|JN°1937</v>
      </c>
    </row>
    <row r="2422" customFormat="false" ht="74.6" hidden="false" customHeight="false" outlineLevel="0" collapsed="false">
      <c r="A2422" s="79" t="n">
        <f aca="false">IF(E2422="","",ROW()-6)</f>
        <v>2416</v>
      </c>
      <c r="B2422" s="80" t="s">
        <v>110</v>
      </c>
      <c r="C2422" s="81" t="s">
        <v>926</v>
      </c>
      <c r="D2422" s="81" t="n">
        <v>24</v>
      </c>
      <c r="E2422" s="81" t="s">
        <v>2941</v>
      </c>
      <c r="F2422" s="82" t="str">
        <f aca="false">IF(E2422="","",IF(LEFT(E2422,2)="DJ","DJ","JN"))</f>
        <v>JN</v>
      </c>
      <c r="G2422" s="81"/>
      <c r="H2422" s="81"/>
      <c r="I2422" s="81"/>
      <c r="J2422" s="81"/>
      <c r="K2422" s="81"/>
      <c r="L2422" s="81"/>
      <c r="M2422" s="81"/>
      <c r="N2422" s="81"/>
      <c r="O2422" s="81" t="n">
        <v>2096620</v>
      </c>
      <c r="P2422" s="81" t="n">
        <v>15421111</v>
      </c>
      <c r="Q2422" s="81" t="n">
        <v>11.94</v>
      </c>
      <c r="R2422" s="81"/>
      <c r="S2422" s="81"/>
      <c r="T2422" s="81"/>
      <c r="U2422" s="83"/>
      <c r="V2422" s="83"/>
      <c r="W2422" s="81"/>
      <c r="X2422" s="81"/>
      <c r="Y2422" s="83"/>
      <c r="Z2422" s="81"/>
      <c r="AA2422" s="81"/>
      <c r="AB2422" s="81"/>
      <c r="AC2422" s="81"/>
      <c r="AD2422" s="81"/>
      <c r="AE2422" s="83"/>
      <c r="AF2422" s="81"/>
      <c r="AG2422" s="81"/>
      <c r="AH2422" s="81"/>
      <c r="AI2422" s="81"/>
      <c r="AJ2422" s="83"/>
      <c r="AK2422" s="81"/>
      <c r="AL2422" s="81"/>
      <c r="AM2422" s="83"/>
      <c r="AN2422" s="80"/>
      <c r="AO2422" s="82" t="n">
        <f aca="false">IF(E2422="","",(AA2422&lt;&gt;"")+(AG2422&lt;&gt;"")+(AL2422&lt;&gt;""))</f>
        <v>0</v>
      </c>
      <c r="AP2422" s="82" t="str">
        <f aca="false">IF(AL2422&lt;&gt;"",AL2422,IF(AG2422&lt;&gt;"",AG2422,IF(AA2422&lt;&gt;"",AA2422,"")))</f>
        <v/>
      </c>
      <c r="AQ2422" s="84" t="str">
        <f aca="false">IF(E2422="","",IF(U2422="","À SOUDER",IF(X2422="","VT EN ATTENTE",IF(X2422="R","VT REJETÉ – À REPRENDRE",IF(AP2422="","À RADIOGRAPHIER",IF(AP2422="A","ACCEPTÉ",IF(AP2422="NX","NX – RT À REFAIRE",IF(IF(AO2422=1,AD2422,IF(AO2422=2,AI2422,""))="A","RÉPARÉ – À RADIOGRAPHIER",IF(IF(AO2422=1,AD2422,IF(AO2422=2,AI2422,""))="R","VT REJETÉ – À REPRENDRE",IF(OR(AP2422="CO",AP2422="NT"),"COUPE – À RESOUDER","À RÉPARER"))))))))))</f>
        <v>À SOUDER</v>
      </c>
      <c r="AR2422" s="82" t="str">
        <f aca="false">IF(AND(ISNUMBER(U2422),OR(AQ2422="À RADIOGRAPHIER",AQ2422="RÉPARÉ – À RADIOGRAPHIER",AQ2422="NX – RT À REFAIRE",AQ2422="À RÉPARER",AQ2422="COUPE – À RESOUDER",AQ2422="VT REJETÉ – À REPRENDRE")),MAX(0,'PROGRAMME RT'!$C$4-U2422),"")</f>
        <v/>
      </c>
      <c r="AS2422" s="82" t="n">
        <f aca="false">IF(AND(OR(AQ2422="À RADIOGRAPHIER",AQ2422="RÉPARÉ – À RADIOGRAPHIER",AQ2422="NX – RT À REFAIRE"),OR('PROGRAMME RT'!$D$5="TOUTES",B2422='PROGRAMME RT'!$D$5)),1,0)</f>
        <v>0</v>
      </c>
      <c r="AT2422" s="82" t="str">
        <f aca="false">IF(AS2422=1,SUM(AS$7:AS2422),"")</f>
        <v/>
      </c>
      <c r="AU2422" s="82" t="n">
        <f aca="false">IF(AND(OR(AA2422="R",AA2422="NX",AA2422="NT",AA2422="CO"),OR('JOINTS DE RÉPARATION'!$D$5="TOUTES",B2422='JOINTS DE RÉPARATION'!$D$5),OR('JOINTS DE RÉPARATION'!$L$4="TOUS",AQ2422&lt;&gt;"ACCEPTÉ")),1,0)</f>
        <v>0</v>
      </c>
      <c r="AV2422" s="82" t="str">
        <f aca="false">IF(AU2422=1,SUM(AU$7:AU2422),"")</f>
        <v/>
      </c>
      <c r="AW2422" s="82" t="str">
        <f aca="false">IF(E2422="","",B2422&amp;"|"&amp;E2422)</f>
        <v>MFD-ISW → MFD-CPF|JN°1938</v>
      </c>
    </row>
    <row r="2423" customFormat="false" ht="74.6" hidden="false" customHeight="false" outlineLevel="0" collapsed="false">
      <c r="A2423" s="79" t="n">
        <f aca="false">IF(E2423="","",ROW()-6)</f>
        <v>2417</v>
      </c>
      <c r="B2423" s="80" t="s">
        <v>110</v>
      </c>
      <c r="C2423" s="81" t="s">
        <v>2942</v>
      </c>
      <c r="D2423" s="81" t="n">
        <v>24</v>
      </c>
      <c r="E2423" s="81" t="s">
        <v>2943</v>
      </c>
      <c r="F2423" s="82" t="str">
        <f aca="false">IF(E2423="","",IF(LEFT(E2423,2)="DJ","DJ","JN"))</f>
        <v>JN</v>
      </c>
      <c r="G2423" s="81" t="s">
        <v>1504</v>
      </c>
      <c r="H2423" s="81" t="s">
        <v>871</v>
      </c>
      <c r="I2423" s="81" t="n">
        <v>9.53</v>
      </c>
      <c r="J2423" s="81" t="s">
        <v>872</v>
      </c>
      <c r="K2423" s="81" t="s">
        <v>879</v>
      </c>
      <c r="L2423" s="81" t="n">
        <v>2096620</v>
      </c>
      <c r="M2423" s="81" t="n">
        <v>15421111</v>
      </c>
      <c r="N2423" s="81" t="n">
        <v>11.94</v>
      </c>
      <c r="O2423" s="81" t="n">
        <v>2087060</v>
      </c>
      <c r="P2423" s="81" t="n">
        <v>15421107</v>
      </c>
      <c r="Q2423" s="81" t="n">
        <v>11.94</v>
      </c>
      <c r="R2423" s="81" t="s">
        <v>2921</v>
      </c>
      <c r="S2423" s="81"/>
      <c r="T2423" s="81"/>
      <c r="U2423" s="83" t="n">
        <v>46253</v>
      </c>
      <c r="V2423" s="83" t="n">
        <v>46254</v>
      </c>
      <c r="W2423" s="81" t="s">
        <v>2929</v>
      </c>
      <c r="X2423" s="81" t="s">
        <v>876</v>
      </c>
      <c r="Y2423" s="83" t="n">
        <v>46255</v>
      </c>
      <c r="Z2423" s="81" t="s">
        <v>2937</v>
      </c>
      <c r="AA2423" s="81" t="s">
        <v>876</v>
      </c>
      <c r="AB2423" s="81"/>
      <c r="AC2423" s="81"/>
      <c r="AD2423" s="81"/>
      <c r="AE2423" s="83"/>
      <c r="AF2423" s="81"/>
      <c r="AG2423" s="81"/>
      <c r="AH2423" s="81"/>
      <c r="AI2423" s="81"/>
      <c r="AJ2423" s="83"/>
      <c r="AK2423" s="81"/>
      <c r="AL2423" s="81"/>
      <c r="AM2423" s="83"/>
      <c r="AN2423" s="80"/>
      <c r="AO2423" s="82" t="n">
        <f aca="false">IF(E2423="","",(AA2423&lt;&gt;"")+(AG2423&lt;&gt;"")+(AL2423&lt;&gt;""))</f>
        <v>1</v>
      </c>
      <c r="AP2423" s="82" t="str">
        <f aca="false">IF(AL2423&lt;&gt;"",AL2423,IF(AG2423&lt;&gt;"",AG2423,IF(AA2423&lt;&gt;"",AA2423,"")))</f>
        <v>A</v>
      </c>
      <c r="AQ2423" s="84" t="str">
        <f aca="false">IF(E2423="","",IF(U2423="","À SOUDER",IF(X2423="","VT EN ATTENTE",IF(X2423="R","VT REJETÉ – À REPRENDRE",IF(AP2423="","À RADIOGRAPHIER",IF(AP2423="A","ACCEPTÉ",IF(AP2423="NX","NX – RT À REFAIRE",IF(IF(AO2423=1,AD2423,IF(AO2423=2,AI2423,""))="A","RÉPARÉ – À RADIOGRAPHIER",IF(IF(AO2423=1,AD2423,IF(AO2423=2,AI2423,""))="R","VT REJETÉ – À REPRENDRE",IF(OR(AP2423="CO",AP2423="NT"),"COUPE – À RESOUDER","À RÉPARER"))))))))))</f>
        <v>ACCEPTÉ</v>
      </c>
      <c r="AR2423" s="82" t="str">
        <f aca="false">IF(AND(ISNUMBER(U2423),OR(AQ2423="À RADIOGRAPHIER",AQ2423="RÉPARÉ – À RADIOGRAPHIER",AQ2423="NX – RT À REFAIRE",AQ2423="À RÉPARER",AQ2423="COUPE – À RESOUDER",AQ2423="VT REJETÉ – À REPRENDRE")),MAX(0,'PROGRAMME RT'!$C$4-U2423),"")</f>
        <v/>
      </c>
      <c r="AS2423" s="82" t="n">
        <f aca="false">IF(AND(OR(AQ2423="À RADIOGRAPHIER",AQ2423="RÉPARÉ – À RADIOGRAPHIER",AQ2423="NX – RT À REFAIRE"),OR('PROGRAMME RT'!$D$5="TOUTES",B2423='PROGRAMME RT'!$D$5)),1,0)</f>
        <v>0</v>
      </c>
      <c r="AT2423" s="82" t="str">
        <f aca="false">IF(AS2423=1,SUM(AS$7:AS2423),"")</f>
        <v/>
      </c>
      <c r="AU2423" s="82" t="n">
        <f aca="false">IF(AND(OR(AA2423="R",AA2423="NX",AA2423="NT",AA2423="CO"),OR('JOINTS DE RÉPARATION'!$D$5="TOUTES",B2423='JOINTS DE RÉPARATION'!$D$5),OR('JOINTS DE RÉPARATION'!$L$4="TOUS",AQ2423&lt;&gt;"ACCEPTÉ")),1,0)</f>
        <v>0</v>
      </c>
      <c r="AV2423" s="82" t="str">
        <f aca="false">IF(AU2423=1,SUM(AU$7:AU2423),"")</f>
        <v/>
      </c>
      <c r="AW2423" s="82" t="str">
        <f aca="false">IF(E2423="","",B2423&amp;"|"&amp;E2423)</f>
        <v>MFD-ISW → MFD-CPF|JN°1939</v>
      </c>
    </row>
    <row r="2424" customFormat="false" ht="74.6" hidden="false" customHeight="false" outlineLevel="0" collapsed="false">
      <c r="A2424" s="79" t="n">
        <f aca="false">IF(E2424="","",ROW()-6)</f>
        <v>2418</v>
      </c>
      <c r="B2424" s="80" t="s">
        <v>110</v>
      </c>
      <c r="C2424" s="81" t="s">
        <v>2942</v>
      </c>
      <c r="D2424" s="81" t="n">
        <v>24</v>
      </c>
      <c r="E2424" s="81" t="s">
        <v>2944</v>
      </c>
      <c r="F2424" s="82" t="str">
        <f aca="false">IF(E2424="","",IF(LEFT(E2424,2)="DJ","DJ","JN"))</f>
        <v>JN</v>
      </c>
      <c r="G2424" s="81" t="s">
        <v>1504</v>
      </c>
      <c r="H2424" s="81" t="s">
        <v>871</v>
      </c>
      <c r="I2424" s="81" t="n">
        <v>9.53</v>
      </c>
      <c r="J2424" s="81" t="s">
        <v>872</v>
      </c>
      <c r="K2424" s="81" t="s">
        <v>879</v>
      </c>
      <c r="L2424" s="81" t="n">
        <v>2087060</v>
      </c>
      <c r="M2424" s="81" t="n">
        <v>15421107</v>
      </c>
      <c r="N2424" s="81" t="n">
        <v>11.94</v>
      </c>
      <c r="O2424" s="81" t="n">
        <v>2086980</v>
      </c>
      <c r="P2424" s="81" t="n">
        <v>15421107</v>
      </c>
      <c r="Q2424" s="81" t="n">
        <v>11.94</v>
      </c>
      <c r="R2424" s="81" t="s">
        <v>2921</v>
      </c>
      <c r="S2424" s="81"/>
      <c r="T2424" s="81"/>
      <c r="U2424" s="83" t="n">
        <v>46253</v>
      </c>
      <c r="V2424" s="83" t="n">
        <v>46254</v>
      </c>
      <c r="W2424" s="81" t="s">
        <v>2929</v>
      </c>
      <c r="X2424" s="81" t="s">
        <v>876</v>
      </c>
      <c r="Y2424" s="83" t="n">
        <v>46255</v>
      </c>
      <c r="Z2424" s="81" t="s">
        <v>2937</v>
      </c>
      <c r="AA2424" s="81" t="s">
        <v>876</v>
      </c>
      <c r="AB2424" s="81"/>
      <c r="AC2424" s="81"/>
      <c r="AD2424" s="81"/>
      <c r="AE2424" s="83"/>
      <c r="AF2424" s="81"/>
      <c r="AG2424" s="81"/>
      <c r="AH2424" s="81"/>
      <c r="AI2424" s="81"/>
      <c r="AJ2424" s="83"/>
      <c r="AK2424" s="81"/>
      <c r="AL2424" s="81"/>
      <c r="AM2424" s="83"/>
      <c r="AN2424" s="80"/>
      <c r="AO2424" s="82" t="n">
        <f aca="false">IF(E2424="","",(AA2424&lt;&gt;"")+(AG2424&lt;&gt;"")+(AL2424&lt;&gt;""))</f>
        <v>1</v>
      </c>
      <c r="AP2424" s="82" t="str">
        <f aca="false">IF(AL2424&lt;&gt;"",AL2424,IF(AG2424&lt;&gt;"",AG2424,IF(AA2424&lt;&gt;"",AA2424,"")))</f>
        <v>A</v>
      </c>
      <c r="AQ2424" s="84" t="str">
        <f aca="false">IF(E2424="","",IF(U2424="","À SOUDER",IF(X2424="","VT EN ATTENTE",IF(X2424="R","VT REJETÉ – À REPRENDRE",IF(AP2424="","À RADIOGRAPHIER",IF(AP2424="A","ACCEPTÉ",IF(AP2424="NX","NX – RT À REFAIRE",IF(IF(AO2424=1,AD2424,IF(AO2424=2,AI2424,""))="A","RÉPARÉ – À RADIOGRAPHIER",IF(IF(AO2424=1,AD2424,IF(AO2424=2,AI2424,""))="R","VT REJETÉ – À REPRENDRE",IF(OR(AP2424="CO",AP2424="NT"),"COUPE – À RESOUDER","À RÉPARER"))))))))))</f>
        <v>ACCEPTÉ</v>
      </c>
      <c r="AR2424" s="82" t="str">
        <f aca="false">IF(AND(ISNUMBER(U2424),OR(AQ2424="À RADIOGRAPHIER",AQ2424="RÉPARÉ – À RADIOGRAPHIER",AQ2424="NX – RT À REFAIRE",AQ2424="À RÉPARER",AQ2424="COUPE – À RESOUDER",AQ2424="VT REJETÉ – À REPRENDRE")),MAX(0,'PROGRAMME RT'!$C$4-U2424),"")</f>
        <v/>
      </c>
      <c r="AS2424" s="82" t="n">
        <f aca="false">IF(AND(OR(AQ2424="À RADIOGRAPHIER",AQ2424="RÉPARÉ – À RADIOGRAPHIER",AQ2424="NX – RT À REFAIRE"),OR('PROGRAMME RT'!$D$5="TOUTES",B2424='PROGRAMME RT'!$D$5)),1,0)</f>
        <v>0</v>
      </c>
      <c r="AT2424" s="82" t="str">
        <f aca="false">IF(AS2424=1,SUM(AS$7:AS2424),"")</f>
        <v/>
      </c>
      <c r="AU2424" s="82" t="n">
        <f aca="false">IF(AND(OR(AA2424="R",AA2424="NX",AA2424="NT",AA2424="CO"),OR('JOINTS DE RÉPARATION'!$D$5="TOUTES",B2424='JOINTS DE RÉPARATION'!$D$5),OR('JOINTS DE RÉPARATION'!$L$4="TOUS",AQ2424&lt;&gt;"ACCEPTÉ")),1,0)</f>
        <v>0</v>
      </c>
      <c r="AV2424" s="82" t="str">
        <f aca="false">IF(AU2424=1,SUM(AU$7:AU2424),"")</f>
        <v/>
      </c>
      <c r="AW2424" s="82" t="str">
        <f aca="false">IF(E2424="","",B2424&amp;"|"&amp;E2424)</f>
        <v>MFD-ISW → MFD-CPF|JN°1940</v>
      </c>
    </row>
    <row r="2425" customFormat="false" ht="74.6" hidden="false" customHeight="false" outlineLevel="0" collapsed="false">
      <c r="A2425" s="79" t="n">
        <f aca="false">IF(E2425="","",ROW()-6)</f>
        <v>2419</v>
      </c>
      <c r="B2425" s="80" t="s">
        <v>110</v>
      </c>
      <c r="C2425" s="81" t="s">
        <v>2942</v>
      </c>
      <c r="D2425" s="81" t="n">
        <v>24</v>
      </c>
      <c r="E2425" s="81" t="s">
        <v>2945</v>
      </c>
      <c r="F2425" s="82" t="str">
        <f aca="false">IF(E2425="","",IF(LEFT(E2425,2)="DJ","DJ","JN"))</f>
        <v>JN</v>
      </c>
      <c r="G2425" s="81" t="s">
        <v>1504</v>
      </c>
      <c r="H2425" s="81" t="s">
        <v>871</v>
      </c>
      <c r="I2425" s="81" t="n">
        <v>9.53</v>
      </c>
      <c r="J2425" s="81" t="s">
        <v>872</v>
      </c>
      <c r="K2425" s="81" t="s">
        <v>879</v>
      </c>
      <c r="L2425" s="81" t="n">
        <v>2086980</v>
      </c>
      <c r="M2425" s="81" t="n">
        <v>15421107</v>
      </c>
      <c r="N2425" s="81" t="n">
        <v>11.94</v>
      </c>
      <c r="O2425" s="81" t="n">
        <v>2095000</v>
      </c>
      <c r="P2425" s="81" t="n">
        <v>15421111</v>
      </c>
      <c r="Q2425" s="81" t="n">
        <v>11.94</v>
      </c>
      <c r="R2425" s="81" t="s">
        <v>2921</v>
      </c>
      <c r="S2425" s="81"/>
      <c r="T2425" s="81"/>
      <c r="U2425" s="83" t="n">
        <v>46253</v>
      </c>
      <c r="V2425" s="83" t="n">
        <v>46254</v>
      </c>
      <c r="W2425" s="81" t="s">
        <v>2929</v>
      </c>
      <c r="X2425" s="81" t="s">
        <v>876</v>
      </c>
      <c r="Y2425" s="83" t="n">
        <v>46256</v>
      </c>
      <c r="Z2425" s="81" t="s">
        <v>2922</v>
      </c>
      <c r="AA2425" s="81" t="s">
        <v>876</v>
      </c>
      <c r="AB2425" s="81"/>
      <c r="AC2425" s="81"/>
      <c r="AD2425" s="81"/>
      <c r="AE2425" s="83"/>
      <c r="AF2425" s="81"/>
      <c r="AG2425" s="81"/>
      <c r="AH2425" s="81"/>
      <c r="AI2425" s="81"/>
      <c r="AJ2425" s="83"/>
      <c r="AK2425" s="81"/>
      <c r="AL2425" s="81"/>
      <c r="AM2425" s="83"/>
      <c r="AN2425" s="80"/>
      <c r="AO2425" s="82" t="n">
        <f aca="false">IF(E2425="","",(AA2425&lt;&gt;"")+(AG2425&lt;&gt;"")+(AL2425&lt;&gt;""))</f>
        <v>1</v>
      </c>
      <c r="AP2425" s="82" t="str">
        <f aca="false">IF(AL2425&lt;&gt;"",AL2425,IF(AG2425&lt;&gt;"",AG2425,IF(AA2425&lt;&gt;"",AA2425,"")))</f>
        <v>A</v>
      </c>
      <c r="AQ2425" s="84" t="str">
        <f aca="false">IF(E2425="","",IF(U2425="","À SOUDER",IF(X2425="","VT EN ATTENTE",IF(X2425="R","VT REJETÉ – À REPRENDRE",IF(AP2425="","À RADIOGRAPHIER",IF(AP2425="A","ACCEPTÉ",IF(AP2425="NX","NX – RT À REFAIRE",IF(IF(AO2425=1,AD2425,IF(AO2425=2,AI2425,""))="A","RÉPARÉ – À RADIOGRAPHIER",IF(IF(AO2425=1,AD2425,IF(AO2425=2,AI2425,""))="R","VT REJETÉ – À REPRENDRE",IF(OR(AP2425="CO",AP2425="NT"),"COUPE – À RESOUDER","À RÉPARER"))))))))))</f>
        <v>ACCEPTÉ</v>
      </c>
      <c r="AR2425" s="82" t="str">
        <f aca="false">IF(AND(ISNUMBER(U2425),OR(AQ2425="À RADIOGRAPHIER",AQ2425="RÉPARÉ – À RADIOGRAPHIER",AQ2425="NX – RT À REFAIRE",AQ2425="À RÉPARER",AQ2425="COUPE – À RESOUDER",AQ2425="VT REJETÉ – À REPRENDRE")),MAX(0,'PROGRAMME RT'!$C$4-U2425),"")</f>
        <v/>
      </c>
      <c r="AS2425" s="82" t="n">
        <f aca="false">IF(AND(OR(AQ2425="À RADIOGRAPHIER",AQ2425="RÉPARÉ – À RADIOGRAPHIER",AQ2425="NX – RT À REFAIRE"),OR('PROGRAMME RT'!$D$5="TOUTES",B2425='PROGRAMME RT'!$D$5)),1,0)</f>
        <v>0</v>
      </c>
      <c r="AT2425" s="82" t="str">
        <f aca="false">IF(AS2425=1,SUM(AS$7:AS2425),"")</f>
        <v/>
      </c>
      <c r="AU2425" s="82" t="n">
        <f aca="false">IF(AND(OR(AA2425="R",AA2425="NX",AA2425="NT",AA2425="CO"),OR('JOINTS DE RÉPARATION'!$D$5="TOUTES",B2425='JOINTS DE RÉPARATION'!$D$5),OR('JOINTS DE RÉPARATION'!$L$4="TOUS",AQ2425&lt;&gt;"ACCEPTÉ")),1,0)</f>
        <v>0</v>
      </c>
      <c r="AV2425" s="82" t="str">
        <f aca="false">IF(AU2425=1,SUM(AU$7:AU2425),"")</f>
        <v/>
      </c>
      <c r="AW2425" s="82" t="str">
        <f aca="false">IF(E2425="","",B2425&amp;"|"&amp;E2425)</f>
        <v>MFD-ISW → MFD-CPF|JN°1941</v>
      </c>
    </row>
    <row r="2426" customFormat="false" ht="74.6" hidden="false" customHeight="false" outlineLevel="0" collapsed="false">
      <c r="A2426" s="79" t="n">
        <f aca="false">IF(E2426="","",ROW()-6)</f>
        <v>2420</v>
      </c>
      <c r="B2426" s="80" t="s">
        <v>110</v>
      </c>
      <c r="C2426" s="81" t="s">
        <v>2942</v>
      </c>
      <c r="D2426" s="81" t="n">
        <v>24</v>
      </c>
      <c r="E2426" s="81" t="s">
        <v>2946</v>
      </c>
      <c r="F2426" s="82" t="str">
        <f aca="false">IF(E2426="","",IF(LEFT(E2426,2)="DJ","DJ","JN"))</f>
        <v>JN</v>
      </c>
      <c r="G2426" s="81" t="s">
        <v>1504</v>
      </c>
      <c r="H2426" s="81" t="s">
        <v>871</v>
      </c>
      <c r="I2426" s="81" t="n">
        <v>9.53</v>
      </c>
      <c r="J2426" s="81" t="s">
        <v>872</v>
      </c>
      <c r="K2426" s="81" t="s">
        <v>879</v>
      </c>
      <c r="L2426" s="81" t="n">
        <v>2095000</v>
      </c>
      <c r="M2426" s="81" t="n">
        <v>15421111</v>
      </c>
      <c r="N2426" s="81" t="n">
        <v>11.94</v>
      </c>
      <c r="O2426" s="81" t="n">
        <v>2092970</v>
      </c>
      <c r="P2426" s="81" t="n">
        <v>15421110</v>
      </c>
      <c r="Q2426" s="81" t="n">
        <v>11.94</v>
      </c>
      <c r="R2426" s="81" t="s">
        <v>2921</v>
      </c>
      <c r="S2426" s="81"/>
      <c r="T2426" s="81"/>
      <c r="U2426" s="83" t="n">
        <v>46253</v>
      </c>
      <c r="V2426" s="83" t="n">
        <v>46254</v>
      </c>
      <c r="W2426" s="81" t="s">
        <v>2929</v>
      </c>
      <c r="X2426" s="81" t="s">
        <v>876</v>
      </c>
      <c r="Y2426" s="83" t="n">
        <v>46255</v>
      </c>
      <c r="Z2426" s="81" t="s">
        <v>2937</v>
      </c>
      <c r="AA2426" s="81" t="s">
        <v>876</v>
      </c>
      <c r="AB2426" s="81"/>
      <c r="AC2426" s="81"/>
      <c r="AD2426" s="81"/>
      <c r="AE2426" s="83"/>
      <c r="AF2426" s="81"/>
      <c r="AG2426" s="81"/>
      <c r="AH2426" s="81"/>
      <c r="AI2426" s="81"/>
      <c r="AJ2426" s="83"/>
      <c r="AK2426" s="81"/>
      <c r="AL2426" s="81"/>
      <c r="AM2426" s="83"/>
      <c r="AN2426" s="80"/>
      <c r="AO2426" s="82" t="n">
        <f aca="false">IF(E2426="","",(AA2426&lt;&gt;"")+(AG2426&lt;&gt;"")+(AL2426&lt;&gt;""))</f>
        <v>1</v>
      </c>
      <c r="AP2426" s="82" t="str">
        <f aca="false">IF(AL2426&lt;&gt;"",AL2426,IF(AG2426&lt;&gt;"",AG2426,IF(AA2426&lt;&gt;"",AA2426,"")))</f>
        <v>A</v>
      </c>
      <c r="AQ2426" s="84" t="str">
        <f aca="false">IF(E2426="","",IF(U2426="","À SOUDER",IF(X2426="","VT EN ATTENTE",IF(X2426="R","VT REJETÉ – À REPRENDRE",IF(AP2426="","À RADIOGRAPHIER",IF(AP2426="A","ACCEPTÉ",IF(AP2426="NX","NX – RT À REFAIRE",IF(IF(AO2426=1,AD2426,IF(AO2426=2,AI2426,""))="A","RÉPARÉ – À RADIOGRAPHIER",IF(IF(AO2426=1,AD2426,IF(AO2426=2,AI2426,""))="R","VT REJETÉ – À REPRENDRE",IF(OR(AP2426="CO",AP2426="NT"),"COUPE – À RESOUDER","À RÉPARER"))))))))))</f>
        <v>ACCEPTÉ</v>
      </c>
      <c r="AR2426" s="82" t="str">
        <f aca="false">IF(AND(ISNUMBER(U2426),OR(AQ2426="À RADIOGRAPHIER",AQ2426="RÉPARÉ – À RADIOGRAPHIER",AQ2426="NX – RT À REFAIRE",AQ2426="À RÉPARER",AQ2426="COUPE – À RESOUDER",AQ2426="VT REJETÉ – À REPRENDRE")),MAX(0,'PROGRAMME RT'!$C$4-U2426),"")</f>
        <v/>
      </c>
      <c r="AS2426" s="82" t="n">
        <f aca="false">IF(AND(OR(AQ2426="À RADIOGRAPHIER",AQ2426="RÉPARÉ – À RADIOGRAPHIER",AQ2426="NX – RT À REFAIRE"),OR('PROGRAMME RT'!$D$5="TOUTES",B2426='PROGRAMME RT'!$D$5)),1,0)</f>
        <v>0</v>
      </c>
      <c r="AT2426" s="82" t="str">
        <f aca="false">IF(AS2426=1,SUM(AS$7:AS2426),"")</f>
        <v/>
      </c>
      <c r="AU2426" s="82" t="n">
        <f aca="false">IF(AND(OR(AA2426="R",AA2426="NX",AA2426="NT",AA2426="CO"),OR('JOINTS DE RÉPARATION'!$D$5="TOUTES",B2426='JOINTS DE RÉPARATION'!$D$5),OR('JOINTS DE RÉPARATION'!$L$4="TOUS",AQ2426&lt;&gt;"ACCEPTÉ")),1,0)</f>
        <v>0</v>
      </c>
      <c r="AV2426" s="82" t="str">
        <f aca="false">IF(AU2426=1,SUM(AU$7:AU2426),"")</f>
        <v/>
      </c>
      <c r="AW2426" s="82" t="str">
        <f aca="false">IF(E2426="","",B2426&amp;"|"&amp;E2426)</f>
        <v>MFD-ISW → MFD-CPF|JN°1942</v>
      </c>
    </row>
    <row r="2427" customFormat="false" ht="74.6" hidden="false" customHeight="false" outlineLevel="0" collapsed="false">
      <c r="A2427" s="79" t="n">
        <f aca="false">IF(E2427="","",ROW()-6)</f>
        <v>2421</v>
      </c>
      <c r="B2427" s="80" t="s">
        <v>110</v>
      </c>
      <c r="C2427" s="81" t="s">
        <v>2942</v>
      </c>
      <c r="D2427" s="81" t="n">
        <v>24</v>
      </c>
      <c r="E2427" s="81" t="s">
        <v>2947</v>
      </c>
      <c r="F2427" s="82" t="str">
        <f aca="false">IF(E2427="","",IF(LEFT(E2427,2)="DJ","DJ","JN"))</f>
        <v>JN</v>
      </c>
      <c r="G2427" s="81" t="s">
        <v>1504</v>
      </c>
      <c r="H2427" s="81" t="s">
        <v>871</v>
      </c>
      <c r="I2427" s="81" t="n">
        <v>9.53</v>
      </c>
      <c r="J2427" s="81" t="s">
        <v>872</v>
      </c>
      <c r="K2427" s="81" t="s">
        <v>879</v>
      </c>
      <c r="L2427" s="81" t="n">
        <v>2092970</v>
      </c>
      <c r="M2427" s="81" t="n">
        <v>15421110</v>
      </c>
      <c r="N2427" s="81" t="n">
        <v>11.94</v>
      </c>
      <c r="O2427" s="81" t="n">
        <v>2092650</v>
      </c>
      <c r="P2427" s="81" t="n">
        <v>15421110</v>
      </c>
      <c r="Q2427" s="81" t="n">
        <v>11.94</v>
      </c>
      <c r="R2427" s="81" t="s">
        <v>2921</v>
      </c>
      <c r="S2427" s="81"/>
      <c r="T2427" s="81"/>
      <c r="U2427" s="83" t="n">
        <v>46253</v>
      </c>
      <c r="V2427" s="83" t="n">
        <v>46254</v>
      </c>
      <c r="W2427" s="81" t="s">
        <v>2929</v>
      </c>
      <c r="X2427" s="81" t="s">
        <v>876</v>
      </c>
      <c r="Y2427" s="83" t="n">
        <v>46255</v>
      </c>
      <c r="Z2427" s="81" t="s">
        <v>2937</v>
      </c>
      <c r="AA2427" s="81" t="s">
        <v>876</v>
      </c>
      <c r="AB2427" s="81"/>
      <c r="AC2427" s="81"/>
      <c r="AD2427" s="81"/>
      <c r="AE2427" s="83"/>
      <c r="AF2427" s="81"/>
      <c r="AG2427" s="81"/>
      <c r="AH2427" s="81"/>
      <c r="AI2427" s="81"/>
      <c r="AJ2427" s="83"/>
      <c r="AK2427" s="81"/>
      <c r="AL2427" s="81"/>
      <c r="AM2427" s="83"/>
      <c r="AN2427" s="80"/>
      <c r="AO2427" s="82" t="n">
        <f aca="false">IF(E2427="","",(AA2427&lt;&gt;"")+(AG2427&lt;&gt;"")+(AL2427&lt;&gt;""))</f>
        <v>1</v>
      </c>
      <c r="AP2427" s="82" t="str">
        <f aca="false">IF(AL2427&lt;&gt;"",AL2427,IF(AG2427&lt;&gt;"",AG2427,IF(AA2427&lt;&gt;"",AA2427,"")))</f>
        <v>A</v>
      </c>
      <c r="AQ2427" s="84" t="str">
        <f aca="false">IF(E2427="","",IF(U2427="","À SOUDER",IF(X2427="","VT EN ATTENTE",IF(X2427="R","VT REJETÉ – À REPRENDRE",IF(AP2427="","À RADIOGRAPHIER",IF(AP2427="A","ACCEPTÉ",IF(AP2427="NX","NX – RT À REFAIRE",IF(IF(AO2427=1,AD2427,IF(AO2427=2,AI2427,""))="A","RÉPARÉ – À RADIOGRAPHIER",IF(IF(AO2427=1,AD2427,IF(AO2427=2,AI2427,""))="R","VT REJETÉ – À REPRENDRE",IF(OR(AP2427="CO",AP2427="NT"),"COUPE – À RESOUDER","À RÉPARER"))))))))))</f>
        <v>ACCEPTÉ</v>
      </c>
      <c r="AR2427" s="82" t="str">
        <f aca="false">IF(AND(ISNUMBER(U2427),OR(AQ2427="À RADIOGRAPHIER",AQ2427="RÉPARÉ – À RADIOGRAPHIER",AQ2427="NX – RT À REFAIRE",AQ2427="À RÉPARER",AQ2427="COUPE – À RESOUDER",AQ2427="VT REJETÉ – À REPRENDRE")),MAX(0,'PROGRAMME RT'!$C$4-U2427),"")</f>
        <v/>
      </c>
      <c r="AS2427" s="82" t="n">
        <f aca="false">IF(AND(OR(AQ2427="À RADIOGRAPHIER",AQ2427="RÉPARÉ – À RADIOGRAPHIER",AQ2427="NX – RT À REFAIRE"),OR('PROGRAMME RT'!$D$5="TOUTES",B2427='PROGRAMME RT'!$D$5)),1,0)</f>
        <v>0</v>
      </c>
      <c r="AT2427" s="82" t="str">
        <f aca="false">IF(AS2427=1,SUM(AS$7:AS2427),"")</f>
        <v/>
      </c>
      <c r="AU2427" s="82" t="n">
        <f aca="false">IF(AND(OR(AA2427="R",AA2427="NX",AA2427="NT",AA2427="CO"),OR('JOINTS DE RÉPARATION'!$D$5="TOUTES",B2427='JOINTS DE RÉPARATION'!$D$5),OR('JOINTS DE RÉPARATION'!$L$4="TOUS",AQ2427&lt;&gt;"ACCEPTÉ")),1,0)</f>
        <v>0</v>
      </c>
      <c r="AV2427" s="82" t="str">
        <f aca="false">IF(AU2427=1,SUM(AU$7:AU2427),"")</f>
        <v/>
      </c>
      <c r="AW2427" s="82" t="str">
        <f aca="false">IF(E2427="","",B2427&amp;"|"&amp;E2427)</f>
        <v>MFD-ISW → MFD-CPF|JN°1943</v>
      </c>
    </row>
    <row r="2428" customFormat="false" ht="74.6" hidden="false" customHeight="false" outlineLevel="0" collapsed="false">
      <c r="A2428" s="79" t="n">
        <f aca="false">IF(E2428="","",ROW()-6)</f>
        <v>2422</v>
      </c>
      <c r="B2428" s="80" t="s">
        <v>110</v>
      </c>
      <c r="C2428" s="81" t="s">
        <v>2942</v>
      </c>
      <c r="D2428" s="81" t="n">
        <v>24</v>
      </c>
      <c r="E2428" s="81" t="s">
        <v>2948</v>
      </c>
      <c r="F2428" s="82" t="str">
        <f aca="false">IF(E2428="","",IF(LEFT(E2428,2)="DJ","DJ","JN"))</f>
        <v>JN</v>
      </c>
      <c r="G2428" s="81" t="s">
        <v>1504</v>
      </c>
      <c r="H2428" s="81" t="s">
        <v>871</v>
      </c>
      <c r="I2428" s="81" t="n">
        <v>9.53</v>
      </c>
      <c r="J2428" s="81" t="s">
        <v>872</v>
      </c>
      <c r="K2428" s="81" t="s">
        <v>879</v>
      </c>
      <c r="L2428" s="81" t="n">
        <v>2092650</v>
      </c>
      <c r="M2428" s="81" t="n">
        <v>15421110</v>
      </c>
      <c r="N2428" s="81" t="n">
        <v>11.94</v>
      </c>
      <c r="O2428" s="81" t="n">
        <v>2090780</v>
      </c>
      <c r="P2428" s="81" t="n">
        <v>15421109</v>
      </c>
      <c r="Q2428" s="81" t="n">
        <v>11.94</v>
      </c>
      <c r="R2428" s="81" t="s">
        <v>2921</v>
      </c>
      <c r="S2428" s="81"/>
      <c r="T2428" s="81"/>
      <c r="U2428" s="83" t="n">
        <v>46253</v>
      </c>
      <c r="V2428" s="83" t="n">
        <v>46253</v>
      </c>
      <c r="W2428" s="81" t="s">
        <v>2949</v>
      </c>
      <c r="X2428" s="81" t="s">
        <v>876</v>
      </c>
      <c r="Y2428" s="83" t="n">
        <v>46255</v>
      </c>
      <c r="Z2428" s="81" t="s">
        <v>2937</v>
      </c>
      <c r="AA2428" s="81" t="s">
        <v>876</v>
      </c>
      <c r="AB2428" s="81"/>
      <c r="AC2428" s="81"/>
      <c r="AD2428" s="81"/>
      <c r="AE2428" s="83"/>
      <c r="AF2428" s="81"/>
      <c r="AG2428" s="81"/>
      <c r="AH2428" s="81"/>
      <c r="AI2428" s="81"/>
      <c r="AJ2428" s="83"/>
      <c r="AK2428" s="81"/>
      <c r="AL2428" s="81"/>
      <c r="AM2428" s="83"/>
      <c r="AN2428" s="80"/>
      <c r="AO2428" s="82" t="n">
        <f aca="false">IF(E2428="","",(AA2428&lt;&gt;"")+(AG2428&lt;&gt;"")+(AL2428&lt;&gt;""))</f>
        <v>1</v>
      </c>
      <c r="AP2428" s="82" t="str">
        <f aca="false">IF(AL2428&lt;&gt;"",AL2428,IF(AG2428&lt;&gt;"",AG2428,IF(AA2428&lt;&gt;"",AA2428,"")))</f>
        <v>A</v>
      </c>
      <c r="AQ2428" s="84" t="str">
        <f aca="false">IF(E2428="","",IF(U2428="","À SOUDER",IF(X2428="","VT EN ATTENTE",IF(X2428="R","VT REJETÉ – À REPRENDRE",IF(AP2428="","À RADIOGRAPHIER",IF(AP2428="A","ACCEPTÉ",IF(AP2428="NX","NX – RT À REFAIRE",IF(IF(AO2428=1,AD2428,IF(AO2428=2,AI2428,""))="A","RÉPARÉ – À RADIOGRAPHIER",IF(IF(AO2428=1,AD2428,IF(AO2428=2,AI2428,""))="R","VT REJETÉ – À REPRENDRE",IF(OR(AP2428="CO",AP2428="NT"),"COUPE – À RESOUDER","À RÉPARER"))))))))))</f>
        <v>ACCEPTÉ</v>
      </c>
      <c r="AR2428" s="82" t="str">
        <f aca="false">IF(AND(ISNUMBER(U2428),OR(AQ2428="À RADIOGRAPHIER",AQ2428="RÉPARÉ – À RADIOGRAPHIER",AQ2428="NX – RT À REFAIRE",AQ2428="À RÉPARER",AQ2428="COUPE – À RESOUDER",AQ2428="VT REJETÉ – À REPRENDRE")),MAX(0,'PROGRAMME RT'!$C$4-U2428),"")</f>
        <v/>
      </c>
      <c r="AS2428" s="82" t="n">
        <f aca="false">IF(AND(OR(AQ2428="À RADIOGRAPHIER",AQ2428="RÉPARÉ – À RADIOGRAPHIER",AQ2428="NX – RT À REFAIRE"),OR('PROGRAMME RT'!$D$5="TOUTES",B2428='PROGRAMME RT'!$D$5)),1,0)</f>
        <v>0</v>
      </c>
      <c r="AT2428" s="82" t="str">
        <f aca="false">IF(AS2428=1,SUM(AS$7:AS2428),"")</f>
        <v/>
      </c>
      <c r="AU2428" s="82" t="n">
        <f aca="false">IF(AND(OR(AA2428="R",AA2428="NX",AA2428="NT",AA2428="CO"),OR('JOINTS DE RÉPARATION'!$D$5="TOUTES",B2428='JOINTS DE RÉPARATION'!$D$5),OR('JOINTS DE RÉPARATION'!$L$4="TOUS",AQ2428&lt;&gt;"ACCEPTÉ")),1,0)</f>
        <v>0</v>
      </c>
      <c r="AV2428" s="82" t="str">
        <f aca="false">IF(AU2428=1,SUM(AU$7:AU2428),"")</f>
        <v/>
      </c>
      <c r="AW2428" s="82" t="str">
        <f aca="false">IF(E2428="","",B2428&amp;"|"&amp;E2428)</f>
        <v>MFD-ISW → MFD-CPF|JN°1944</v>
      </c>
    </row>
    <row r="2429" customFormat="false" ht="74.6" hidden="false" customHeight="false" outlineLevel="0" collapsed="false">
      <c r="A2429" s="79" t="n">
        <f aca="false">IF(E2429="","",ROW()-6)</f>
        <v>2423</v>
      </c>
      <c r="B2429" s="80" t="s">
        <v>110</v>
      </c>
      <c r="C2429" s="81" t="s">
        <v>2942</v>
      </c>
      <c r="D2429" s="81" t="n">
        <v>24</v>
      </c>
      <c r="E2429" s="81" t="s">
        <v>2950</v>
      </c>
      <c r="F2429" s="82" t="str">
        <f aca="false">IF(E2429="","",IF(LEFT(E2429,2)="DJ","DJ","JN"))</f>
        <v>JN</v>
      </c>
      <c r="G2429" s="81" t="s">
        <v>1504</v>
      </c>
      <c r="H2429" s="81" t="s">
        <v>871</v>
      </c>
      <c r="I2429" s="81" t="n">
        <v>9.53</v>
      </c>
      <c r="J2429" s="81" t="s">
        <v>872</v>
      </c>
      <c r="K2429" s="81" t="s">
        <v>879</v>
      </c>
      <c r="L2429" s="81" t="n">
        <v>2090780</v>
      </c>
      <c r="M2429" s="81" t="n">
        <v>15421109</v>
      </c>
      <c r="N2429" s="81" t="n">
        <v>11.94</v>
      </c>
      <c r="O2429" s="81" t="n">
        <v>2083310</v>
      </c>
      <c r="P2429" s="81" t="n">
        <v>15421105</v>
      </c>
      <c r="Q2429" s="81" t="n">
        <v>11.94</v>
      </c>
      <c r="R2429" s="81" t="s">
        <v>2921</v>
      </c>
      <c r="S2429" s="81"/>
      <c r="T2429" s="81"/>
      <c r="U2429" s="83" t="n">
        <v>46253</v>
      </c>
      <c r="V2429" s="83" t="n">
        <v>46253</v>
      </c>
      <c r="W2429" s="81" t="s">
        <v>2949</v>
      </c>
      <c r="X2429" s="81" t="s">
        <v>876</v>
      </c>
      <c r="Y2429" s="83" t="n">
        <v>46255</v>
      </c>
      <c r="Z2429" s="81" t="s">
        <v>2937</v>
      </c>
      <c r="AA2429" s="81" t="s">
        <v>876</v>
      </c>
      <c r="AB2429" s="81"/>
      <c r="AC2429" s="81"/>
      <c r="AD2429" s="81"/>
      <c r="AE2429" s="83"/>
      <c r="AF2429" s="81"/>
      <c r="AG2429" s="81"/>
      <c r="AH2429" s="81"/>
      <c r="AI2429" s="81"/>
      <c r="AJ2429" s="83"/>
      <c r="AK2429" s="81"/>
      <c r="AL2429" s="81"/>
      <c r="AM2429" s="83"/>
      <c r="AN2429" s="80"/>
      <c r="AO2429" s="82" t="n">
        <f aca="false">IF(E2429="","",(AA2429&lt;&gt;"")+(AG2429&lt;&gt;"")+(AL2429&lt;&gt;""))</f>
        <v>1</v>
      </c>
      <c r="AP2429" s="82" t="str">
        <f aca="false">IF(AL2429&lt;&gt;"",AL2429,IF(AG2429&lt;&gt;"",AG2429,IF(AA2429&lt;&gt;"",AA2429,"")))</f>
        <v>A</v>
      </c>
      <c r="AQ2429" s="84" t="str">
        <f aca="false">IF(E2429="","",IF(U2429="","À SOUDER",IF(X2429="","VT EN ATTENTE",IF(X2429="R","VT REJETÉ – À REPRENDRE",IF(AP2429="","À RADIOGRAPHIER",IF(AP2429="A","ACCEPTÉ",IF(AP2429="NX","NX – RT À REFAIRE",IF(IF(AO2429=1,AD2429,IF(AO2429=2,AI2429,""))="A","RÉPARÉ – À RADIOGRAPHIER",IF(IF(AO2429=1,AD2429,IF(AO2429=2,AI2429,""))="R","VT REJETÉ – À REPRENDRE",IF(OR(AP2429="CO",AP2429="NT"),"COUPE – À RESOUDER","À RÉPARER"))))))))))</f>
        <v>ACCEPTÉ</v>
      </c>
      <c r="AR2429" s="82" t="str">
        <f aca="false">IF(AND(ISNUMBER(U2429),OR(AQ2429="À RADIOGRAPHIER",AQ2429="RÉPARÉ – À RADIOGRAPHIER",AQ2429="NX – RT À REFAIRE",AQ2429="À RÉPARER",AQ2429="COUPE – À RESOUDER",AQ2429="VT REJETÉ – À REPRENDRE")),MAX(0,'PROGRAMME RT'!$C$4-U2429),"")</f>
        <v/>
      </c>
      <c r="AS2429" s="82" t="n">
        <f aca="false">IF(AND(OR(AQ2429="À RADIOGRAPHIER",AQ2429="RÉPARÉ – À RADIOGRAPHIER",AQ2429="NX – RT À REFAIRE"),OR('PROGRAMME RT'!$D$5="TOUTES",B2429='PROGRAMME RT'!$D$5)),1,0)</f>
        <v>0</v>
      </c>
      <c r="AT2429" s="82" t="str">
        <f aca="false">IF(AS2429=1,SUM(AS$7:AS2429),"")</f>
        <v/>
      </c>
      <c r="AU2429" s="82" t="n">
        <f aca="false">IF(AND(OR(AA2429="R",AA2429="NX",AA2429="NT",AA2429="CO"),OR('JOINTS DE RÉPARATION'!$D$5="TOUTES",B2429='JOINTS DE RÉPARATION'!$D$5),OR('JOINTS DE RÉPARATION'!$L$4="TOUS",AQ2429&lt;&gt;"ACCEPTÉ")),1,0)</f>
        <v>0</v>
      </c>
      <c r="AV2429" s="82" t="str">
        <f aca="false">IF(AU2429=1,SUM(AU$7:AU2429),"")</f>
        <v/>
      </c>
      <c r="AW2429" s="82" t="str">
        <f aca="false">IF(E2429="","",B2429&amp;"|"&amp;E2429)</f>
        <v>MFD-ISW → MFD-CPF|JN°1945</v>
      </c>
    </row>
    <row r="2430" customFormat="false" ht="74.6" hidden="false" customHeight="false" outlineLevel="0" collapsed="false">
      <c r="A2430" s="79" t="n">
        <f aca="false">IF(E2430="","",ROW()-6)</f>
        <v>2424</v>
      </c>
      <c r="B2430" s="80" t="s">
        <v>110</v>
      </c>
      <c r="C2430" s="81" t="s">
        <v>2942</v>
      </c>
      <c r="D2430" s="81" t="n">
        <v>24</v>
      </c>
      <c r="E2430" s="81" t="s">
        <v>2951</v>
      </c>
      <c r="F2430" s="82" t="str">
        <f aca="false">IF(E2430="","",IF(LEFT(E2430,2)="DJ","DJ","JN"))</f>
        <v>JN</v>
      </c>
      <c r="G2430" s="81" t="s">
        <v>1504</v>
      </c>
      <c r="H2430" s="81" t="s">
        <v>871</v>
      </c>
      <c r="I2430" s="81" t="n">
        <v>9.53</v>
      </c>
      <c r="J2430" s="81" t="s">
        <v>872</v>
      </c>
      <c r="K2430" s="81" t="s">
        <v>879</v>
      </c>
      <c r="L2430" s="81" t="n">
        <v>2083310</v>
      </c>
      <c r="M2430" s="81" t="n">
        <v>15421105</v>
      </c>
      <c r="N2430" s="81" t="n">
        <v>11.94</v>
      </c>
      <c r="O2430" s="81" t="n">
        <v>2088520</v>
      </c>
      <c r="P2430" s="81" t="n">
        <v>15421108</v>
      </c>
      <c r="Q2430" s="81" t="n">
        <v>11.94</v>
      </c>
      <c r="R2430" s="81" t="s">
        <v>2921</v>
      </c>
      <c r="S2430" s="81"/>
      <c r="T2430" s="81"/>
      <c r="U2430" s="83" t="n">
        <v>46253</v>
      </c>
      <c r="V2430" s="83" t="n">
        <v>46253</v>
      </c>
      <c r="W2430" s="81" t="s">
        <v>2949</v>
      </c>
      <c r="X2430" s="81" t="s">
        <v>876</v>
      </c>
      <c r="Y2430" s="83" t="n">
        <v>46255</v>
      </c>
      <c r="Z2430" s="81" t="s">
        <v>2937</v>
      </c>
      <c r="AA2430" s="81" t="s">
        <v>876</v>
      </c>
      <c r="AB2430" s="81"/>
      <c r="AC2430" s="81"/>
      <c r="AD2430" s="81"/>
      <c r="AE2430" s="83"/>
      <c r="AF2430" s="81"/>
      <c r="AG2430" s="81"/>
      <c r="AH2430" s="81"/>
      <c r="AI2430" s="81"/>
      <c r="AJ2430" s="83"/>
      <c r="AK2430" s="81"/>
      <c r="AL2430" s="81"/>
      <c r="AM2430" s="83"/>
      <c r="AN2430" s="80"/>
      <c r="AO2430" s="82" t="n">
        <f aca="false">IF(E2430="","",(AA2430&lt;&gt;"")+(AG2430&lt;&gt;"")+(AL2430&lt;&gt;""))</f>
        <v>1</v>
      </c>
      <c r="AP2430" s="82" t="str">
        <f aca="false">IF(AL2430&lt;&gt;"",AL2430,IF(AG2430&lt;&gt;"",AG2430,IF(AA2430&lt;&gt;"",AA2430,"")))</f>
        <v>A</v>
      </c>
      <c r="AQ2430" s="84" t="str">
        <f aca="false">IF(E2430="","",IF(U2430="","À SOUDER",IF(X2430="","VT EN ATTENTE",IF(X2430="R","VT REJETÉ – À REPRENDRE",IF(AP2430="","À RADIOGRAPHIER",IF(AP2430="A","ACCEPTÉ",IF(AP2430="NX","NX – RT À REFAIRE",IF(IF(AO2430=1,AD2430,IF(AO2430=2,AI2430,""))="A","RÉPARÉ – À RADIOGRAPHIER",IF(IF(AO2430=1,AD2430,IF(AO2430=2,AI2430,""))="R","VT REJETÉ – À REPRENDRE",IF(OR(AP2430="CO",AP2430="NT"),"COUPE – À RESOUDER","À RÉPARER"))))))))))</f>
        <v>ACCEPTÉ</v>
      </c>
      <c r="AR2430" s="82" t="str">
        <f aca="false">IF(AND(ISNUMBER(U2430),OR(AQ2430="À RADIOGRAPHIER",AQ2430="RÉPARÉ – À RADIOGRAPHIER",AQ2430="NX – RT À REFAIRE",AQ2430="À RÉPARER",AQ2430="COUPE – À RESOUDER",AQ2430="VT REJETÉ – À REPRENDRE")),MAX(0,'PROGRAMME RT'!$C$4-U2430),"")</f>
        <v/>
      </c>
      <c r="AS2430" s="82" t="n">
        <f aca="false">IF(AND(OR(AQ2430="À RADIOGRAPHIER",AQ2430="RÉPARÉ – À RADIOGRAPHIER",AQ2430="NX – RT À REFAIRE"),OR('PROGRAMME RT'!$D$5="TOUTES",B2430='PROGRAMME RT'!$D$5)),1,0)</f>
        <v>0</v>
      </c>
      <c r="AT2430" s="82" t="str">
        <f aca="false">IF(AS2430=1,SUM(AS$7:AS2430),"")</f>
        <v/>
      </c>
      <c r="AU2430" s="82" t="n">
        <f aca="false">IF(AND(OR(AA2430="R",AA2430="NX",AA2430="NT",AA2430="CO"),OR('JOINTS DE RÉPARATION'!$D$5="TOUTES",B2430='JOINTS DE RÉPARATION'!$D$5),OR('JOINTS DE RÉPARATION'!$L$4="TOUS",AQ2430&lt;&gt;"ACCEPTÉ")),1,0)</f>
        <v>0</v>
      </c>
      <c r="AV2430" s="82" t="str">
        <f aca="false">IF(AU2430=1,SUM(AU$7:AU2430),"")</f>
        <v/>
      </c>
      <c r="AW2430" s="82" t="str">
        <f aca="false">IF(E2430="","",B2430&amp;"|"&amp;E2430)</f>
        <v>MFD-ISW → MFD-CPF|JN°1946</v>
      </c>
    </row>
    <row r="2431" customFormat="false" ht="74.6" hidden="false" customHeight="false" outlineLevel="0" collapsed="false">
      <c r="A2431" s="79" t="n">
        <f aca="false">IF(E2431="","",ROW()-6)</f>
        <v>2425</v>
      </c>
      <c r="B2431" s="80" t="s">
        <v>110</v>
      </c>
      <c r="C2431" s="81" t="s">
        <v>926</v>
      </c>
      <c r="D2431" s="81" t="n">
        <v>24</v>
      </c>
      <c r="E2431" s="81" t="s">
        <v>2952</v>
      </c>
      <c r="F2431" s="82" t="str">
        <f aca="false">IF(E2431="","",IF(LEFT(E2431,2)="DJ","DJ","JN"))</f>
        <v>JN</v>
      </c>
      <c r="G2431" s="81"/>
      <c r="H2431" s="81"/>
      <c r="I2431" s="81"/>
      <c r="J2431" s="81"/>
      <c r="K2431" s="81"/>
      <c r="L2431" s="81" t="n">
        <v>2088520</v>
      </c>
      <c r="M2431" s="81" t="n">
        <v>15421108</v>
      </c>
      <c r="N2431" s="81" t="n">
        <v>11.94</v>
      </c>
      <c r="O2431" s="81"/>
      <c r="P2431" s="81"/>
      <c r="Q2431" s="81"/>
      <c r="R2431" s="81"/>
      <c r="S2431" s="81"/>
      <c r="T2431" s="81"/>
      <c r="U2431" s="83"/>
      <c r="V2431" s="83"/>
      <c r="W2431" s="81"/>
      <c r="X2431" s="81"/>
      <c r="Y2431" s="83"/>
      <c r="Z2431" s="81"/>
      <c r="AA2431" s="81"/>
      <c r="AB2431" s="81"/>
      <c r="AC2431" s="81"/>
      <c r="AD2431" s="81"/>
      <c r="AE2431" s="83"/>
      <c r="AF2431" s="81"/>
      <c r="AG2431" s="81"/>
      <c r="AH2431" s="81"/>
      <c r="AI2431" s="81"/>
      <c r="AJ2431" s="83"/>
      <c r="AK2431" s="81"/>
      <c r="AL2431" s="81"/>
      <c r="AM2431" s="83"/>
      <c r="AN2431" s="80"/>
      <c r="AO2431" s="82" t="n">
        <f aca="false">IF(E2431="","",(AA2431&lt;&gt;"")+(AG2431&lt;&gt;"")+(AL2431&lt;&gt;""))</f>
        <v>0</v>
      </c>
      <c r="AP2431" s="82" t="str">
        <f aca="false">IF(AL2431&lt;&gt;"",AL2431,IF(AG2431&lt;&gt;"",AG2431,IF(AA2431&lt;&gt;"",AA2431,"")))</f>
        <v/>
      </c>
      <c r="AQ2431" s="84" t="str">
        <f aca="false">IF(E2431="","",IF(U2431="","À SOUDER",IF(X2431="","VT EN ATTENTE",IF(X2431="R","VT REJETÉ – À REPRENDRE",IF(AP2431="","À RADIOGRAPHIER",IF(AP2431="A","ACCEPTÉ",IF(AP2431="NX","NX – RT À REFAIRE",IF(IF(AO2431=1,AD2431,IF(AO2431=2,AI2431,""))="A","RÉPARÉ – À RADIOGRAPHIER",IF(IF(AO2431=1,AD2431,IF(AO2431=2,AI2431,""))="R","VT REJETÉ – À REPRENDRE",IF(OR(AP2431="CO",AP2431="NT"),"COUPE – À RESOUDER","À RÉPARER"))))))))))</f>
        <v>À SOUDER</v>
      </c>
      <c r="AR2431" s="82" t="str">
        <f aca="false">IF(AND(ISNUMBER(U2431),OR(AQ2431="À RADIOGRAPHIER",AQ2431="RÉPARÉ – À RADIOGRAPHIER",AQ2431="NX – RT À REFAIRE",AQ2431="À RÉPARER",AQ2431="COUPE – À RESOUDER",AQ2431="VT REJETÉ – À REPRENDRE")),MAX(0,'PROGRAMME RT'!$C$4-U2431),"")</f>
        <v/>
      </c>
      <c r="AS2431" s="82" t="n">
        <f aca="false">IF(AND(OR(AQ2431="À RADIOGRAPHIER",AQ2431="RÉPARÉ – À RADIOGRAPHIER",AQ2431="NX – RT À REFAIRE"),OR('PROGRAMME RT'!$D$5="TOUTES",B2431='PROGRAMME RT'!$D$5)),1,0)</f>
        <v>0</v>
      </c>
      <c r="AT2431" s="82" t="str">
        <f aca="false">IF(AS2431=1,SUM(AS$7:AS2431),"")</f>
        <v/>
      </c>
      <c r="AU2431" s="82" t="n">
        <f aca="false">IF(AND(OR(AA2431="R",AA2431="NX",AA2431="NT",AA2431="CO"),OR('JOINTS DE RÉPARATION'!$D$5="TOUTES",B2431='JOINTS DE RÉPARATION'!$D$5),OR('JOINTS DE RÉPARATION'!$L$4="TOUS",AQ2431&lt;&gt;"ACCEPTÉ")),1,0)</f>
        <v>0</v>
      </c>
      <c r="AV2431" s="82" t="str">
        <f aca="false">IF(AU2431=1,SUM(AU$7:AU2431),"")</f>
        <v/>
      </c>
      <c r="AW2431" s="82" t="str">
        <f aca="false">IF(E2431="","",B2431&amp;"|"&amp;E2431)</f>
        <v>MFD-ISW → MFD-CPF|JN°1947</v>
      </c>
    </row>
    <row r="2432" customFormat="false" ht="74.6" hidden="false" customHeight="false" outlineLevel="0" collapsed="false">
      <c r="A2432" s="79" t="n">
        <f aca="false">IF(E2432="","",ROW()-6)</f>
        <v>2426</v>
      </c>
      <c r="B2432" s="80" t="s">
        <v>110</v>
      </c>
      <c r="C2432" s="81" t="s">
        <v>926</v>
      </c>
      <c r="D2432" s="81" t="n">
        <v>24</v>
      </c>
      <c r="E2432" s="81" t="s">
        <v>2953</v>
      </c>
      <c r="F2432" s="82" t="str">
        <f aca="false">IF(E2432="","",IF(LEFT(E2432,2)="DJ","DJ","JN"))</f>
        <v>JN</v>
      </c>
      <c r="G2432" s="81"/>
      <c r="H2432" s="81"/>
      <c r="I2432" s="81"/>
      <c r="J2432" s="81"/>
      <c r="K2432" s="81"/>
      <c r="L2432" s="81"/>
      <c r="M2432" s="81"/>
      <c r="N2432" s="81"/>
      <c r="O2432" s="81"/>
      <c r="P2432" s="81"/>
      <c r="Q2432" s="81"/>
      <c r="R2432" s="81"/>
      <c r="S2432" s="81"/>
      <c r="T2432" s="81"/>
      <c r="U2432" s="83"/>
      <c r="V2432" s="83"/>
      <c r="W2432" s="81"/>
      <c r="X2432" s="81"/>
      <c r="Y2432" s="83"/>
      <c r="Z2432" s="81"/>
      <c r="AA2432" s="81"/>
      <c r="AB2432" s="81"/>
      <c r="AC2432" s="81"/>
      <c r="AD2432" s="81"/>
      <c r="AE2432" s="83"/>
      <c r="AF2432" s="81"/>
      <c r="AG2432" s="81"/>
      <c r="AH2432" s="81"/>
      <c r="AI2432" s="81"/>
      <c r="AJ2432" s="83"/>
      <c r="AK2432" s="81"/>
      <c r="AL2432" s="81"/>
      <c r="AM2432" s="83"/>
      <c r="AN2432" s="80"/>
      <c r="AO2432" s="82" t="n">
        <f aca="false">IF(E2432="","",(AA2432&lt;&gt;"")+(AG2432&lt;&gt;"")+(AL2432&lt;&gt;""))</f>
        <v>0</v>
      </c>
      <c r="AP2432" s="82" t="str">
        <f aca="false">IF(AL2432&lt;&gt;"",AL2432,IF(AG2432&lt;&gt;"",AG2432,IF(AA2432&lt;&gt;"",AA2432,"")))</f>
        <v/>
      </c>
      <c r="AQ2432" s="84" t="str">
        <f aca="false">IF(E2432="","",IF(U2432="","À SOUDER",IF(X2432="","VT EN ATTENTE",IF(X2432="R","VT REJETÉ – À REPRENDRE",IF(AP2432="","À RADIOGRAPHIER",IF(AP2432="A","ACCEPTÉ",IF(AP2432="NX","NX – RT À REFAIRE",IF(IF(AO2432=1,AD2432,IF(AO2432=2,AI2432,""))="A","RÉPARÉ – À RADIOGRAPHIER",IF(IF(AO2432=1,AD2432,IF(AO2432=2,AI2432,""))="R","VT REJETÉ – À REPRENDRE",IF(OR(AP2432="CO",AP2432="NT"),"COUPE – À RESOUDER","À RÉPARER"))))))))))</f>
        <v>À SOUDER</v>
      </c>
      <c r="AR2432" s="82" t="str">
        <f aca="false">IF(AND(ISNUMBER(U2432),OR(AQ2432="À RADIOGRAPHIER",AQ2432="RÉPARÉ – À RADIOGRAPHIER",AQ2432="NX – RT À REFAIRE",AQ2432="À RÉPARER",AQ2432="COUPE – À RESOUDER",AQ2432="VT REJETÉ – À REPRENDRE")),MAX(0,'PROGRAMME RT'!$C$4-U2432),"")</f>
        <v/>
      </c>
      <c r="AS2432" s="82" t="n">
        <f aca="false">IF(AND(OR(AQ2432="À RADIOGRAPHIER",AQ2432="RÉPARÉ – À RADIOGRAPHIER",AQ2432="NX – RT À REFAIRE"),OR('PROGRAMME RT'!$D$5="TOUTES",B2432='PROGRAMME RT'!$D$5)),1,0)</f>
        <v>0</v>
      </c>
      <c r="AT2432" s="82" t="str">
        <f aca="false">IF(AS2432=1,SUM(AS$7:AS2432),"")</f>
        <v/>
      </c>
      <c r="AU2432" s="82" t="n">
        <f aca="false">IF(AND(OR(AA2432="R",AA2432="NX",AA2432="NT",AA2432="CO"),OR('JOINTS DE RÉPARATION'!$D$5="TOUTES",B2432='JOINTS DE RÉPARATION'!$D$5),OR('JOINTS DE RÉPARATION'!$L$4="TOUS",AQ2432&lt;&gt;"ACCEPTÉ")),1,0)</f>
        <v>0</v>
      </c>
      <c r="AV2432" s="82" t="str">
        <f aca="false">IF(AU2432=1,SUM(AU$7:AU2432),"")</f>
        <v/>
      </c>
      <c r="AW2432" s="82" t="str">
        <f aca="false">IF(E2432="","",B2432&amp;"|"&amp;E2432)</f>
        <v>MFD-ISW → MFD-CPF|JN°1948</v>
      </c>
    </row>
    <row r="2433" customFormat="false" ht="74.6" hidden="false" customHeight="false" outlineLevel="0" collapsed="false">
      <c r="A2433" s="79" t="n">
        <f aca="false">IF(E2433="","",ROW()-6)</f>
        <v>2427</v>
      </c>
      <c r="B2433" s="80" t="s">
        <v>110</v>
      </c>
      <c r="C2433" s="81" t="s">
        <v>926</v>
      </c>
      <c r="D2433" s="81" t="n">
        <v>24</v>
      </c>
      <c r="E2433" s="81" t="s">
        <v>2954</v>
      </c>
      <c r="F2433" s="82" t="str">
        <f aca="false">IF(E2433="","",IF(LEFT(E2433,2)="DJ","DJ","JN"))</f>
        <v>JN</v>
      </c>
      <c r="G2433" s="81"/>
      <c r="H2433" s="81"/>
      <c r="I2433" s="81"/>
      <c r="J2433" s="81"/>
      <c r="K2433" s="81"/>
      <c r="L2433" s="81"/>
      <c r="M2433" s="81"/>
      <c r="N2433" s="81"/>
      <c r="O2433" s="81"/>
      <c r="P2433" s="81"/>
      <c r="Q2433" s="81"/>
      <c r="R2433" s="81"/>
      <c r="S2433" s="81"/>
      <c r="T2433" s="81"/>
      <c r="U2433" s="83"/>
      <c r="V2433" s="83"/>
      <c r="W2433" s="81"/>
      <c r="X2433" s="81"/>
      <c r="Y2433" s="83"/>
      <c r="Z2433" s="81"/>
      <c r="AA2433" s="81"/>
      <c r="AB2433" s="81"/>
      <c r="AC2433" s="81"/>
      <c r="AD2433" s="81"/>
      <c r="AE2433" s="83"/>
      <c r="AF2433" s="81"/>
      <c r="AG2433" s="81"/>
      <c r="AH2433" s="81"/>
      <c r="AI2433" s="81"/>
      <c r="AJ2433" s="83"/>
      <c r="AK2433" s="81"/>
      <c r="AL2433" s="81"/>
      <c r="AM2433" s="83"/>
      <c r="AN2433" s="80"/>
      <c r="AO2433" s="82" t="n">
        <f aca="false">IF(E2433="","",(AA2433&lt;&gt;"")+(AG2433&lt;&gt;"")+(AL2433&lt;&gt;""))</f>
        <v>0</v>
      </c>
      <c r="AP2433" s="82" t="str">
        <f aca="false">IF(AL2433&lt;&gt;"",AL2433,IF(AG2433&lt;&gt;"",AG2433,IF(AA2433&lt;&gt;"",AA2433,"")))</f>
        <v/>
      </c>
      <c r="AQ2433" s="84" t="str">
        <f aca="false">IF(E2433="","",IF(U2433="","À SOUDER",IF(X2433="","VT EN ATTENTE",IF(X2433="R","VT REJETÉ – À REPRENDRE",IF(AP2433="","À RADIOGRAPHIER",IF(AP2433="A","ACCEPTÉ",IF(AP2433="NX","NX – RT À REFAIRE",IF(IF(AO2433=1,AD2433,IF(AO2433=2,AI2433,""))="A","RÉPARÉ – À RADIOGRAPHIER",IF(IF(AO2433=1,AD2433,IF(AO2433=2,AI2433,""))="R","VT REJETÉ – À REPRENDRE",IF(OR(AP2433="CO",AP2433="NT"),"COUPE – À RESOUDER","À RÉPARER"))))))))))</f>
        <v>À SOUDER</v>
      </c>
      <c r="AR2433" s="82" t="str">
        <f aca="false">IF(AND(ISNUMBER(U2433),OR(AQ2433="À RADIOGRAPHIER",AQ2433="RÉPARÉ – À RADIOGRAPHIER",AQ2433="NX – RT À REFAIRE",AQ2433="À RÉPARER",AQ2433="COUPE – À RESOUDER",AQ2433="VT REJETÉ – À REPRENDRE")),MAX(0,'PROGRAMME RT'!$C$4-U2433),"")</f>
        <v/>
      </c>
      <c r="AS2433" s="82" t="n">
        <f aca="false">IF(AND(OR(AQ2433="À RADIOGRAPHIER",AQ2433="RÉPARÉ – À RADIOGRAPHIER",AQ2433="NX – RT À REFAIRE"),OR('PROGRAMME RT'!$D$5="TOUTES",B2433='PROGRAMME RT'!$D$5)),1,0)</f>
        <v>0</v>
      </c>
      <c r="AT2433" s="82" t="str">
        <f aca="false">IF(AS2433=1,SUM(AS$7:AS2433),"")</f>
        <v/>
      </c>
      <c r="AU2433" s="82" t="n">
        <f aca="false">IF(AND(OR(AA2433="R",AA2433="NX",AA2433="NT",AA2433="CO"),OR('JOINTS DE RÉPARATION'!$D$5="TOUTES",B2433='JOINTS DE RÉPARATION'!$D$5),OR('JOINTS DE RÉPARATION'!$L$4="TOUS",AQ2433&lt;&gt;"ACCEPTÉ")),1,0)</f>
        <v>0</v>
      </c>
      <c r="AV2433" s="82" t="str">
        <f aca="false">IF(AU2433=1,SUM(AU$7:AU2433),"")</f>
        <v/>
      </c>
      <c r="AW2433" s="82" t="str">
        <f aca="false">IF(E2433="","",B2433&amp;"|"&amp;E2433)</f>
        <v>MFD-ISW → MFD-CPF|JN°1949</v>
      </c>
    </row>
    <row r="2434" customFormat="false" ht="74.6" hidden="false" customHeight="false" outlineLevel="0" collapsed="false">
      <c r="A2434" s="79" t="n">
        <f aca="false">IF(E2434="","",ROW()-6)</f>
        <v>2428</v>
      </c>
      <c r="B2434" s="80" t="s">
        <v>110</v>
      </c>
      <c r="C2434" s="81" t="s">
        <v>926</v>
      </c>
      <c r="D2434" s="81" t="n">
        <v>24</v>
      </c>
      <c r="E2434" s="81" t="s">
        <v>2955</v>
      </c>
      <c r="F2434" s="82" t="str">
        <f aca="false">IF(E2434="","",IF(LEFT(E2434,2)="DJ","DJ","JN"))</f>
        <v>JN</v>
      </c>
      <c r="G2434" s="81"/>
      <c r="H2434" s="81"/>
      <c r="I2434" s="81"/>
      <c r="J2434" s="81"/>
      <c r="K2434" s="81"/>
      <c r="L2434" s="81"/>
      <c r="M2434" s="81"/>
      <c r="N2434" s="81"/>
      <c r="O2434" s="81" t="n">
        <v>2091850</v>
      </c>
      <c r="P2434" s="81" t="n">
        <v>15421109</v>
      </c>
      <c r="Q2434" s="81" t="n">
        <v>11.94</v>
      </c>
      <c r="R2434" s="81"/>
      <c r="S2434" s="81"/>
      <c r="T2434" s="81"/>
      <c r="U2434" s="83"/>
      <c r="V2434" s="83"/>
      <c r="W2434" s="81"/>
      <c r="X2434" s="81"/>
      <c r="Y2434" s="83"/>
      <c r="Z2434" s="81"/>
      <c r="AA2434" s="81"/>
      <c r="AB2434" s="81"/>
      <c r="AC2434" s="81"/>
      <c r="AD2434" s="81"/>
      <c r="AE2434" s="83"/>
      <c r="AF2434" s="81"/>
      <c r="AG2434" s="81"/>
      <c r="AH2434" s="81"/>
      <c r="AI2434" s="81"/>
      <c r="AJ2434" s="83"/>
      <c r="AK2434" s="81"/>
      <c r="AL2434" s="81"/>
      <c r="AM2434" s="83"/>
      <c r="AN2434" s="80"/>
      <c r="AO2434" s="82" t="n">
        <f aca="false">IF(E2434="","",(AA2434&lt;&gt;"")+(AG2434&lt;&gt;"")+(AL2434&lt;&gt;""))</f>
        <v>0</v>
      </c>
      <c r="AP2434" s="82" t="str">
        <f aca="false">IF(AL2434&lt;&gt;"",AL2434,IF(AG2434&lt;&gt;"",AG2434,IF(AA2434&lt;&gt;"",AA2434,"")))</f>
        <v/>
      </c>
      <c r="AQ2434" s="84" t="str">
        <f aca="false">IF(E2434="","",IF(U2434="","À SOUDER",IF(X2434="","VT EN ATTENTE",IF(X2434="R","VT REJETÉ – À REPRENDRE",IF(AP2434="","À RADIOGRAPHIER",IF(AP2434="A","ACCEPTÉ",IF(AP2434="NX","NX – RT À REFAIRE",IF(IF(AO2434=1,AD2434,IF(AO2434=2,AI2434,""))="A","RÉPARÉ – À RADIOGRAPHIER",IF(IF(AO2434=1,AD2434,IF(AO2434=2,AI2434,""))="R","VT REJETÉ – À REPRENDRE",IF(OR(AP2434="CO",AP2434="NT"),"COUPE – À RESOUDER","À RÉPARER"))))))))))</f>
        <v>À SOUDER</v>
      </c>
      <c r="AR2434" s="82" t="str">
        <f aca="false">IF(AND(ISNUMBER(U2434),OR(AQ2434="À RADIOGRAPHIER",AQ2434="RÉPARÉ – À RADIOGRAPHIER",AQ2434="NX – RT À REFAIRE",AQ2434="À RÉPARER",AQ2434="COUPE – À RESOUDER",AQ2434="VT REJETÉ – À REPRENDRE")),MAX(0,'PROGRAMME RT'!$C$4-U2434),"")</f>
        <v/>
      </c>
      <c r="AS2434" s="82" t="n">
        <f aca="false">IF(AND(OR(AQ2434="À RADIOGRAPHIER",AQ2434="RÉPARÉ – À RADIOGRAPHIER",AQ2434="NX – RT À REFAIRE"),OR('PROGRAMME RT'!$D$5="TOUTES",B2434='PROGRAMME RT'!$D$5)),1,0)</f>
        <v>0</v>
      </c>
      <c r="AT2434" s="82" t="str">
        <f aca="false">IF(AS2434=1,SUM(AS$7:AS2434),"")</f>
        <v/>
      </c>
      <c r="AU2434" s="82" t="n">
        <f aca="false">IF(AND(OR(AA2434="R",AA2434="NX",AA2434="NT",AA2434="CO"),OR('JOINTS DE RÉPARATION'!$D$5="TOUTES",B2434='JOINTS DE RÉPARATION'!$D$5),OR('JOINTS DE RÉPARATION'!$L$4="TOUS",AQ2434&lt;&gt;"ACCEPTÉ")),1,0)</f>
        <v>0</v>
      </c>
      <c r="AV2434" s="82" t="str">
        <f aca="false">IF(AU2434=1,SUM(AU$7:AU2434),"")</f>
        <v/>
      </c>
      <c r="AW2434" s="82" t="str">
        <f aca="false">IF(E2434="","",B2434&amp;"|"&amp;E2434)</f>
        <v>MFD-ISW → MFD-CPF|JN°1950</v>
      </c>
    </row>
    <row r="2435" customFormat="false" ht="74.6" hidden="false" customHeight="false" outlineLevel="0" collapsed="false">
      <c r="A2435" s="79" t="n">
        <f aca="false">IF(E2435="","",ROW()-6)</f>
        <v>2429</v>
      </c>
      <c r="B2435" s="80" t="s">
        <v>110</v>
      </c>
      <c r="C2435" s="81" t="s">
        <v>2956</v>
      </c>
      <c r="D2435" s="81" t="n">
        <v>24</v>
      </c>
      <c r="E2435" s="81" t="s">
        <v>2957</v>
      </c>
      <c r="F2435" s="82" t="str">
        <f aca="false">IF(E2435="","",IF(LEFT(E2435,2)="DJ","DJ","JN"))</f>
        <v>JN</v>
      </c>
      <c r="G2435" s="81" t="s">
        <v>1504</v>
      </c>
      <c r="H2435" s="81" t="s">
        <v>871</v>
      </c>
      <c r="I2435" s="81" t="n">
        <v>9.53</v>
      </c>
      <c r="J2435" s="81" t="s">
        <v>872</v>
      </c>
      <c r="K2435" s="81" t="s">
        <v>879</v>
      </c>
      <c r="L2435" s="81" t="n">
        <v>2091850</v>
      </c>
      <c r="M2435" s="81" t="n">
        <v>15421109</v>
      </c>
      <c r="N2435" s="81" t="n">
        <v>11.94</v>
      </c>
      <c r="O2435" s="81" t="n">
        <v>2095510</v>
      </c>
      <c r="P2435" s="81" t="n">
        <v>15421111</v>
      </c>
      <c r="Q2435" s="81" t="n">
        <v>11.94</v>
      </c>
      <c r="R2435" s="81" t="s">
        <v>2921</v>
      </c>
      <c r="S2435" s="81"/>
      <c r="T2435" s="81"/>
      <c r="U2435" s="83" t="n">
        <v>46253</v>
      </c>
      <c r="V2435" s="83" t="n">
        <v>46253</v>
      </c>
      <c r="W2435" s="81" t="s">
        <v>2949</v>
      </c>
      <c r="X2435" s="81" t="s">
        <v>876</v>
      </c>
      <c r="Y2435" s="83" t="n">
        <v>46255</v>
      </c>
      <c r="Z2435" s="81" t="s">
        <v>2937</v>
      </c>
      <c r="AA2435" s="81" t="s">
        <v>876</v>
      </c>
      <c r="AB2435" s="81"/>
      <c r="AC2435" s="81"/>
      <c r="AD2435" s="81"/>
      <c r="AE2435" s="83"/>
      <c r="AF2435" s="81"/>
      <c r="AG2435" s="81"/>
      <c r="AH2435" s="81"/>
      <c r="AI2435" s="81"/>
      <c r="AJ2435" s="83"/>
      <c r="AK2435" s="81"/>
      <c r="AL2435" s="81"/>
      <c r="AM2435" s="83"/>
      <c r="AN2435" s="80"/>
      <c r="AO2435" s="82" t="n">
        <f aca="false">IF(E2435="","",(AA2435&lt;&gt;"")+(AG2435&lt;&gt;"")+(AL2435&lt;&gt;""))</f>
        <v>1</v>
      </c>
      <c r="AP2435" s="82" t="str">
        <f aca="false">IF(AL2435&lt;&gt;"",AL2435,IF(AG2435&lt;&gt;"",AG2435,IF(AA2435&lt;&gt;"",AA2435,"")))</f>
        <v>A</v>
      </c>
      <c r="AQ2435" s="84" t="str">
        <f aca="false">IF(E2435="","",IF(U2435="","À SOUDER",IF(X2435="","VT EN ATTENTE",IF(X2435="R","VT REJETÉ – À REPRENDRE",IF(AP2435="","À RADIOGRAPHIER",IF(AP2435="A","ACCEPTÉ",IF(AP2435="NX","NX – RT À REFAIRE",IF(IF(AO2435=1,AD2435,IF(AO2435=2,AI2435,""))="A","RÉPARÉ – À RADIOGRAPHIER",IF(IF(AO2435=1,AD2435,IF(AO2435=2,AI2435,""))="R","VT REJETÉ – À REPRENDRE",IF(OR(AP2435="CO",AP2435="NT"),"COUPE – À RESOUDER","À RÉPARER"))))))))))</f>
        <v>ACCEPTÉ</v>
      </c>
      <c r="AR2435" s="82" t="str">
        <f aca="false">IF(AND(ISNUMBER(U2435),OR(AQ2435="À RADIOGRAPHIER",AQ2435="RÉPARÉ – À RADIOGRAPHIER",AQ2435="NX – RT À REFAIRE",AQ2435="À RÉPARER",AQ2435="COUPE – À RESOUDER",AQ2435="VT REJETÉ – À REPRENDRE")),MAX(0,'PROGRAMME RT'!$C$4-U2435),"")</f>
        <v/>
      </c>
      <c r="AS2435" s="82" t="n">
        <f aca="false">IF(AND(OR(AQ2435="À RADIOGRAPHIER",AQ2435="RÉPARÉ – À RADIOGRAPHIER",AQ2435="NX – RT À REFAIRE"),OR('PROGRAMME RT'!$D$5="TOUTES",B2435='PROGRAMME RT'!$D$5)),1,0)</f>
        <v>0</v>
      </c>
      <c r="AT2435" s="82" t="str">
        <f aca="false">IF(AS2435=1,SUM(AS$7:AS2435),"")</f>
        <v/>
      </c>
      <c r="AU2435" s="82" t="n">
        <f aca="false">IF(AND(OR(AA2435="R",AA2435="NX",AA2435="NT",AA2435="CO"),OR('JOINTS DE RÉPARATION'!$D$5="TOUTES",B2435='JOINTS DE RÉPARATION'!$D$5),OR('JOINTS DE RÉPARATION'!$L$4="TOUS",AQ2435&lt;&gt;"ACCEPTÉ")),1,0)</f>
        <v>0</v>
      </c>
      <c r="AV2435" s="82" t="str">
        <f aca="false">IF(AU2435=1,SUM(AU$7:AU2435),"")</f>
        <v/>
      </c>
      <c r="AW2435" s="82" t="str">
        <f aca="false">IF(E2435="","",B2435&amp;"|"&amp;E2435)</f>
        <v>MFD-ISW → MFD-CPF|JN°1951</v>
      </c>
    </row>
    <row r="2436" customFormat="false" ht="74.6" hidden="false" customHeight="false" outlineLevel="0" collapsed="false">
      <c r="A2436" s="79" t="n">
        <f aca="false">IF(E2436="","",ROW()-6)</f>
        <v>2430</v>
      </c>
      <c r="B2436" s="80" t="s">
        <v>110</v>
      </c>
      <c r="C2436" s="81" t="s">
        <v>2956</v>
      </c>
      <c r="D2436" s="81" t="n">
        <v>24</v>
      </c>
      <c r="E2436" s="81" t="s">
        <v>2958</v>
      </c>
      <c r="F2436" s="82" t="str">
        <f aca="false">IF(E2436="","",IF(LEFT(E2436,2)="DJ","DJ","JN"))</f>
        <v>JN</v>
      </c>
      <c r="G2436" s="81" t="s">
        <v>1504</v>
      </c>
      <c r="H2436" s="81" t="s">
        <v>871</v>
      </c>
      <c r="I2436" s="81" t="n">
        <v>9.53</v>
      </c>
      <c r="J2436" s="81" t="s">
        <v>872</v>
      </c>
      <c r="K2436" s="81" t="s">
        <v>879</v>
      </c>
      <c r="L2436" s="81" t="n">
        <v>2095510</v>
      </c>
      <c r="M2436" s="81" t="n">
        <v>15421111</v>
      </c>
      <c r="N2436" s="81" t="n">
        <v>11.94</v>
      </c>
      <c r="O2436" s="81" t="n">
        <v>207420</v>
      </c>
      <c r="P2436" s="81" t="n">
        <v>15421112</v>
      </c>
      <c r="Q2436" s="81" t="n">
        <v>11.94</v>
      </c>
      <c r="R2436" s="81" t="s">
        <v>2921</v>
      </c>
      <c r="S2436" s="81"/>
      <c r="T2436" s="81"/>
      <c r="U2436" s="83" t="n">
        <v>46253</v>
      </c>
      <c r="V2436" s="83" t="n">
        <v>46253</v>
      </c>
      <c r="W2436" s="81" t="s">
        <v>2949</v>
      </c>
      <c r="X2436" s="81" t="s">
        <v>876</v>
      </c>
      <c r="Y2436" s="83" t="n">
        <v>46258</v>
      </c>
      <c r="Z2436" s="81" t="s">
        <v>2890</v>
      </c>
      <c r="AA2436" s="81" t="s">
        <v>876</v>
      </c>
      <c r="AB2436" s="81"/>
      <c r="AC2436" s="81"/>
      <c r="AD2436" s="81"/>
      <c r="AE2436" s="83"/>
      <c r="AF2436" s="81"/>
      <c r="AG2436" s="81"/>
      <c r="AH2436" s="81"/>
      <c r="AI2436" s="81"/>
      <c r="AJ2436" s="83"/>
      <c r="AK2436" s="81"/>
      <c r="AL2436" s="81"/>
      <c r="AM2436" s="83"/>
      <c r="AN2436" s="80"/>
      <c r="AO2436" s="82" t="n">
        <f aca="false">IF(E2436="","",(AA2436&lt;&gt;"")+(AG2436&lt;&gt;"")+(AL2436&lt;&gt;""))</f>
        <v>1</v>
      </c>
      <c r="AP2436" s="82" t="str">
        <f aca="false">IF(AL2436&lt;&gt;"",AL2436,IF(AG2436&lt;&gt;"",AG2436,IF(AA2436&lt;&gt;"",AA2436,"")))</f>
        <v>A</v>
      </c>
      <c r="AQ2436" s="84" t="str">
        <f aca="false">IF(E2436="","",IF(U2436="","À SOUDER",IF(X2436="","VT EN ATTENTE",IF(X2436="R","VT REJETÉ – À REPRENDRE",IF(AP2436="","À RADIOGRAPHIER",IF(AP2436="A","ACCEPTÉ",IF(AP2436="NX","NX – RT À REFAIRE",IF(IF(AO2436=1,AD2436,IF(AO2436=2,AI2436,""))="A","RÉPARÉ – À RADIOGRAPHIER",IF(IF(AO2436=1,AD2436,IF(AO2436=2,AI2436,""))="R","VT REJETÉ – À REPRENDRE",IF(OR(AP2436="CO",AP2436="NT"),"COUPE – À RESOUDER","À RÉPARER"))))))))))</f>
        <v>ACCEPTÉ</v>
      </c>
      <c r="AR2436" s="82" t="str">
        <f aca="false">IF(AND(ISNUMBER(U2436),OR(AQ2436="À RADIOGRAPHIER",AQ2436="RÉPARÉ – À RADIOGRAPHIER",AQ2436="NX – RT À REFAIRE",AQ2436="À RÉPARER",AQ2436="COUPE – À RESOUDER",AQ2436="VT REJETÉ – À REPRENDRE")),MAX(0,'PROGRAMME RT'!$C$4-U2436),"")</f>
        <v/>
      </c>
      <c r="AS2436" s="82" t="n">
        <f aca="false">IF(AND(OR(AQ2436="À RADIOGRAPHIER",AQ2436="RÉPARÉ – À RADIOGRAPHIER",AQ2436="NX – RT À REFAIRE"),OR('PROGRAMME RT'!$D$5="TOUTES",B2436='PROGRAMME RT'!$D$5)),1,0)</f>
        <v>0</v>
      </c>
      <c r="AT2436" s="82" t="str">
        <f aca="false">IF(AS2436=1,SUM(AS$7:AS2436),"")</f>
        <v/>
      </c>
      <c r="AU2436" s="82" t="n">
        <f aca="false">IF(AND(OR(AA2436="R",AA2436="NX",AA2436="NT",AA2436="CO"),OR('JOINTS DE RÉPARATION'!$D$5="TOUTES",B2436='JOINTS DE RÉPARATION'!$D$5),OR('JOINTS DE RÉPARATION'!$L$4="TOUS",AQ2436&lt;&gt;"ACCEPTÉ")),1,0)</f>
        <v>0</v>
      </c>
      <c r="AV2436" s="82" t="str">
        <f aca="false">IF(AU2436=1,SUM(AU$7:AU2436),"")</f>
        <v/>
      </c>
      <c r="AW2436" s="82" t="str">
        <f aca="false">IF(E2436="","",B2436&amp;"|"&amp;E2436)</f>
        <v>MFD-ISW → MFD-CPF|JN°1952</v>
      </c>
    </row>
    <row r="2437" customFormat="false" ht="74.6" hidden="false" customHeight="false" outlineLevel="0" collapsed="false">
      <c r="A2437" s="79" t="n">
        <f aca="false">IF(E2437="","",ROW()-6)</f>
        <v>2431</v>
      </c>
      <c r="B2437" s="80" t="s">
        <v>110</v>
      </c>
      <c r="C2437" s="81" t="s">
        <v>2956</v>
      </c>
      <c r="D2437" s="81" t="n">
        <v>24</v>
      </c>
      <c r="E2437" s="81" t="s">
        <v>2959</v>
      </c>
      <c r="F2437" s="82" t="str">
        <f aca="false">IF(E2437="","",IF(LEFT(E2437,2)="DJ","DJ","JN"))</f>
        <v>JN</v>
      </c>
      <c r="G2437" s="81" t="s">
        <v>1504</v>
      </c>
      <c r="H2437" s="81" t="s">
        <v>871</v>
      </c>
      <c r="I2437" s="81" t="n">
        <v>9.53</v>
      </c>
      <c r="J2437" s="81" t="s">
        <v>872</v>
      </c>
      <c r="K2437" s="81" t="s">
        <v>879</v>
      </c>
      <c r="L2437" s="81" t="n">
        <v>207420</v>
      </c>
      <c r="M2437" s="81" t="n">
        <v>15421112</v>
      </c>
      <c r="N2437" s="81" t="n">
        <v>11.94</v>
      </c>
      <c r="O2437" s="81" t="n">
        <v>2094070</v>
      </c>
      <c r="P2437" s="81" t="n">
        <v>15421110</v>
      </c>
      <c r="Q2437" s="81" t="n">
        <v>11.94</v>
      </c>
      <c r="R2437" s="81" t="s">
        <v>2921</v>
      </c>
      <c r="S2437" s="81"/>
      <c r="T2437" s="81"/>
      <c r="U2437" s="83" t="n">
        <v>46253</v>
      </c>
      <c r="V2437" s="83" t="n">
        <v>46253</v>
      </c>
      <c r="W2437" s="81" t="s">
        <v>2949</v>
      </c>
      <c r="X2437" s="81" t="s">
        <v>876</v>
      </c>
      <c r="Y2437" s="83" t="n">
        <v>46256</v>
      </c>
      <c r="Z2437" s="81" t="s">
        <v>2922</v>
      </c>
      <c r="AA2437" s="81" t="s">
        <v>876</v>
      </c>
      <c r="AB2437" s="81"/>
      <c r="AC2437" s="81"/>
      <c r="AD2437" s="81"/>
      <c r="AE2437" s="83"/>
      <c r="AF2437" s="81"/>
      <c r="AG2437" s="81"/>
      <c r="AH2437" s="81"/>
      <c r="AI2437" s="81"/>
      <c r="AJ2437" s="83"/>
      <c r="AK2437" s="81"/>
      <c r="AL2437" s="81"/>
      <c r="AM2437" s="83"/>
      <c r="AN2437" s="80"/>
      <c r="AO2437" s="82" t="n">
        <f aca="false">IF(E2437="","",(AA2437&lt;&gt;"")+(AG2437&lt;&gt;"")+(AL2437&lt;&gt;""))</f>
        <v>1</v>
      </c>
      <c r="AP2437" s="82" t="str">
        <f aca="false">IF(AL2437&lt;&gt;"",AL2437,IF(AG2437&lt;&gt;"",AG2437,IF(AA2437&lt;&gt;"",AA2437,"")))</f>
        <v>A</v>
      </c>
      <c r="AQ2437" s="84" t="str">
        <f aca="false">IF(E2437="","",IF(U2437="","À SOUDER",IF(X2437="","VT EN ATTENTE",IF(X2437="R","VT REJETÉ – À REPRENDRE",IF(AP2437="","À RADIOGRAPHIER",IF(AP2437="A","ACCEPTÉ",IF(AP2437="NX","NX – RT À REFAIRE",IF(IF(AO2437=1,AD2437,IF(AO2437=2,AI2437,""))="A","RÉPARÉ – À RADIOGRAPHIER",IF(IF(AO2437=1,AD2437,IF(AO2437=2,AI2437,""))="R","VT REJETÉ – À REPRENDRE",IF(OR(AP2437="CO",AP2437="NT"),"COUPE – À RESOUDER","À RÉPARER"))))))))))</f>
        <v>ACCEPTÉ</v>
      </c>
      <c r="AR2437" s="82" t="str">
        <f aca="false">IF(AND(ISNUMBER(U2437),OR(AQ2437="À RADIOGRAPHIER",AQ2437="RÉPARÉ – À RADIOGRAPHIER",AQ2437="NX – RT À REFAIRE",AQ2437="À RÉPARER",AQ2437="COUPE – À RESOUDER",AQ2437="VT REJETÉ – À REPRENDRE")),MAX(0,'PROGRAMME RT'!$C$4-U2437),"")</f>
        <v/>
      </c>
      <c r="AS2437" s="82" t="n">
        <f aca="false">IF(AND(OR(AQ2437="À RADIOGRAPHIER",AQ2437="RÉPARÉ – À RADIOGRAPHIER",AQ2437="NX – RT À REFAIRE"),OR('PROGRAMME RT'!$D$5="TOUTES",B2437='PROGRAMME RT'!$D$5)),1,0)</f>
        <v>0</v>
      </c>
      <c r="AT2437" s="82" t="str">
        <f aca="false">IF(AS2437=1,SUM(AS$7:AS2437),"")</f>
        <v/>
      </c>
      <c r="AU2437" s="82" t="n">
        <f aca="false">IF(AND(OR(AA2437="R",AA2437="NX",AA2437="NT",AA2437="CO"),OR('JOINTS DE RÉPARATION'!$D$5="TOUTES",B2437='JOINTS DE RÉPARATION'!$D$5),OR('JOINTS DE RÉPARATION'!$L$4="TOUS",AQ2437&lt;&gt;"ACCEPTÉ")),1,0)</f>
        <v>0</v>
      </c>
      <c r="AV2437" s="82" t="str">
        <f aca="false">IF(AU2437=1,SUM(AU$7:AU2437),"")</f>
        <v/>
      </c>
      <c r="AW2437" s="82" t="str">
        <f aca="false">IF(E2437="","",B2437&amp;"|"&amp;E2437)</f>
        <v>MFD-ISW → MFD-CPF|JN°1953</v>
      </c>
    </row>
    <row r="2438" customFormat="false" ht="74.6" hidden="false" customHeight="false" outlineLevel="0" collapsed="false">
      <c r="A2438" s="79" t="n">
        <f aca="false">IF(E2438="","",ROW()-6)</f>
        <v>2432</v>
      </c>
      <c r="B2438" s="80" t="s">
        <v>110</v>
      </c>
      <c r="C2438" s="81" t="s">
        <v>2956</v>
      </c>
      <c r="D2438" s="81" t="n">
        <v>24</v>
      </c>
      <c r="E2438" s="81" t="s">
        <v>2960</v>
      </c>
      <c r="F2438" s="82" t="str">
        <f aca="false">IF(E2438="","",IF(LEFT(E2438,2)="DJ","DJ","JN"))</f>
        <v>JN</v>
      </c>
      <c r="G2438" s="81" t="s">
        <v>1504</v>
      </c>
      <c r="H2438" s="81" t="s">
        <v>871</v>
      </c>
      <c r="I2438" s="81" t="n">
        <v>9.53</v>
      </c>
      <c r="J2438" s="81" t="s">
        <v>872</v>
      </c>
      <c r="K2438" s="81" t="s">
        <v>1861</v>
      </c>
      <c r="L2438" s="81" t="n">
        <v>2094070</v>
      </c>
      <c r="M2438" s="81" t="n">
        <v>15421110</v>
      </c>
      <c r="N2438" s="81" t="n">
        <v>11.94</v>
      </c>
      <c r="O2438" s="81" t="n">
        <v>2085830</v>
      </c>
      <c r="P2438" s="81" t="n">
        <v>15421107</v>
      </c>
      <c r="Q2438" s="81" t="n">
        <v>11.94</v>
      </c>
      <c r="R2438" s="81" t="s">
        <v>1862</v>
      </c>
      <c r="S2438" s="81"/>
      <c r="T2438" s="81"/>
      <c r="U2438" s="83" t="n">
        <v>46273</v>
      </c>
      <c r="V2438" s="83" t="n">
        <v>46273</v>
      </c>
      <c r="W2438" s="81" t="s">
        <v>2699</v>
      </c>
      <c r="X2438" s="81" t="s">
        <v>876</v>
      </c>
      <c r="Y2438" s="83" t="n">
        <v>46275</v>
      </c>
      <c r="Z2438" s="81" t="s">
        <v>2700</v>
      </c>
      <c r="AA2438" s="81" t="s">
        <v>876</v>
      </c>
      <c r="AB2438" s="81"/>
      <c r="AC2438" s="81"/>
      <c r="AD2438" s="81"/>
      <c r="AE2438" s="83"/>
      <c r="AF2438" s="81"/>
      <c r="AG2438" s="81"/>
      <c r="AH2438" s="81"/>
      <c r="AI2438" s="81"/>
      <c r="AJ2438" s="83"/>
      <c r="AK2438" s="81"/>
      <c r="AL2438" s="81"/>
      <c r="AM2438" s="83"/>
      <c r="AN2438" s="80"/>
      <c r="AO2438" s="82" t="n">
        <f aca="false">IF(E2438="","",(AA2438&lt;&gt;"")+(AG2438&lt;&gt;"")+(AL2438&lt;&gt;""))</f>
        <v>1</v>
      </c>
      <c r="AP2438" s="82" t="str">
        <f aca="false">IF(AL2438&lt;&gt;"",AL2438,IF(AG2438&lt;&gt;"",AG2438,IF(AA2438&lt;&gt;"",AA2438,"")))</f>
        <v>A</v>
      </c>
      <c r="AQ2438" s="84" t="str">
        <f aca="false">IF(E2438="","",IF(U2438="","À SOUDER",IF(X2438="","VT EN ATTENTE",IF(X2438="R","VT REJETÉ – À REPRENDRE",IF(AP2438="","À RADIOGRAPHIER",IF(AP2438="A","ACCEPTÉ",IF(AP2438="NX","NX – RT À REFAIRE",IF(IF(AO2438=1,AD2438,IF(AO2438=2,AI2438,""))="A","RÉPARÉ – À RADIOGRAPHIER",IF(IF(AO2438=1,AD2438,IF(AO2438=2,AI2438,""))="R","VT REJETÉ – À REPRENDRE",IF(OR(AP2438="CO",AP2438="NT"),"COUPE – À RESOUDER","À RÉPARER"))))))))))</f>
        <v>ACCEPTÉ</v>
      </c>
      <c r="AR2438" s="82" t="str">
        <f aca="false">IF(AND(ISNUMBER(U2438),OR(AQ2438="À RADIOGRAPHIER",AQ2438="RÉPARÉ – À RADIOGRAPHIER",AQ2438="NX – RT À REFAIRE",AQ2438="À RÉPARER",AQ2438="COUPE – À RESOUDER",AQ2438="VT REJETÉ – À REPRENDRE")),MAX(0,'PROGRAMME RT'!$C$4-U2438),"")</f>
        <v/>
      </c>
      <c r="AS2438" s="82" t="n">
        <f aca="false">IF(AND(OR(AQ2438="À RADIOGRAPHIER",AQ2438="RÉPARÉ – À RADIOGRAPHIER",AQ2438="NX – RT À REFAIRE"),OR('PROGRAMME RT'!$D$5="TOUTES",B2438='PROGRAMME RT'!$D$5)),1,0)</f>
        <v>0</v>
      </c>
      <c r="AT2438" s="82" t="str">
        <f aca="false">IF(AS2438=1,SUM(AS$7:AS2438),"")</f>
        <v/>
      </c>
      <c r="AU2438" s="82" t="n">
        <f aca="false">IF(AND(OR(AA2438="R",AA2438="NX",AA2438="NT",AA2438="CO"),OR('JOINTS DE RÉPARATION'!$D$5="TOUTES",B2438='JOINTS DE RÉPARATION'!$D$5),OR('JOINTS DE RÉPARATION'!$L$4="TOUS",AQ2438&lt;&gt;"ACCEPTÉ")),1,0)</f>
        <v>0</v>
      </c>
      <c r="AV2438" s="82" t="str">
        <f aca="false">IF(AU2438=1,SUM(AU$7:AU2438),"")</f>
        <v/>
      </c>
      <c r="AW2438" s="82" t="str">
        <f aca="false">IF(E2438="","",B2438&amp;"|"&amp;E2438)</f>
        <v>MFD-ISW → MFD-CPF|JN°1954R</v>
      </c>
    </row>
    <row r="2439" customFormat="false" ht="74.6" hidden="false" customHeight="false" outlineLevel="0" collapsed="false">
      <c r="A2439" s="79" t="n">
        <f aca="false">IF(E2439="","",ROW()-6)</f>
        <v>2433</v>
      </c>
      <c r="B2439" s="80" t="s">
        <v>110</v>
      </c>
      <c r="C2439" s="81" t="s">
        <v>2956</v>
      </c>
      <c r="D2439" s="81" t="n">
        <v>24</v>
      </c>
      <c r="E2439" s="81" t="s">
        <v>2961</v>
      </c>
      <c r="F2439" s="82" t="str">
        <f aca="false">IF(E2439="","",IF(LEFT(E2439,2)="DJ","DJ","JN"))</f>
        <v>JN</v>
      </c>
      <c r="G2439" s="81" t="s">
        <v>1504</v>
      </c>
      <c r="H2439" s="81" t="s">
        <v>871</v>
      </c>
      <c r="I2439" s="81" t="n">
        <v>9.53</v>
      </c>
      <c r="J2439" s="81" t="s">
        <v>872</v>
      </c>
      <c r="K2439" s="81" t="s">
        <v>879</v>
      </c>
      <c r="L2439" s="81" t="n">
        <v>2085830</v>
      </c>
      <c r="M2439" s="81" t="n">
        <v>15421107</v>
      </c>
      <c r="N2439" s="81" t="n">
        <v>11.94</v>
      </c>
      <c r="O2439" s="81" t="n">
        <v>2080660</v>
      </c>
      <c r="P2439" s="81" t="n">
        <v>15421103</v>
      </c>
      <c r="Q2439" s="81" t="n">
        <v>11.94</v>
      </c>
      <c r="R2439" s="81" t="s">
        <v>2921</v>
      </c>
      <c r="S2439" s="81"/>
      <c r="T2439" s="81"/>
      <c r="U2439" s="83" t="n">
        <v>46253</v>
      </c>
      <c r="V2439" s="83" t="n">
        <v>46253</v>
      </c>
      <c r="W2439" s="81" t="s">
        <v>2949</v>
      </c>
      <c r="X2439" s="81" t="s">
        <v>876</v>
      </c>
      <c r="Y2439" s="83" t="n">
        <v>46254</v>
      </c>
      <c r="Z2439" s="81" t="s">
        <v>2962</v>
      </c>
      <c r="AA2439" s="81" t="s">
        <v>876</v>
      </c>
      <c r="AB2439" s="81"/>
      <c r="AC2439" s="81"/>
      <c r="AD2439" s="81"/>
      <c r="AE2439" s="83"/>
      <c r="AF2439" s="81"/>
      <c r="AG2439" s="81"/>
      <c r="AH2439" s="81"/>
      <c r="AI2439" s="81"/>
      <c r="AJ2439" s="83"/>
      <c r="AK2439" s="81"/>
      <c r="AL2439" s="81"/>
      <c r="AM2439" s="83"/>
      <c r="AN2439" s="80"/>
      <c r="AO2439" s="82" t="n">
        <f aca="false">IF(E2439="","",(AA2439&lt;&gt;"")+(AG2439&lt;&gt;"")+(AL2439&lt;&gt;""))</f>
        <v>1</v>
      </c>
      <c r="AP2439" s="82" t="str">
        <f aca="false">IF(AL2439&lt;&gt;"",AL2439,IF(AG2439&lt;&gt;"",AG2439,IF(AA2439&lt;&gt;"",AA2439,"")))</f>
        <v>A</v>
      </c>
      <c r="AQ2439" s="84" t="str">
        <f aca="false">IF(E2439="","",IF(U2439="","À SOUDER",IF(X2439="","VT EN ATTENTE",IF(X2439="R","VT REJETÉ – À REPRENDRE",IF(AP2439="","À RADIOGRAPHIER",IF(AP2439="A","ACCEPTÉ",IF(AP2439="NX","NX – RT À REFAIRE",IF(IF(AO2439=1,AD2439,IF(AO2439=2,AI2439,""))="A","RÉPARÉ – À RADIOGRAPHIER",IF(IF(AO2439=1,AD2439,IF(AO2439=2,AI2439,""))="R","VT REJETÉ – À REPRENDRE",IF(OR(AP2439="CO",AP2439="NT"),"COUPE – À RESOUDER","À RÉPARER"))))))))))</f>
        <v>ACCEPTÉ</v>
      </c>
      <c r="AR2439" s="82" t="str">
        <f aca="false">IF(AND(ISNUMBER(U2439),OR(AQ2439="À RADIOGRAPHIER",AQ2439="RÉPARÉ – À RADIOGRAPHIER",AQ2439="NX – RT À REFAIRE",AQ2439="À RÉPARER",AQ2439="COUPE – À RESOUDER",AQ2439="VT REJETÉ – À REPRENDRE")),MAX(0,'PROGRAMME RT'!$C$4-U2439),"")</f>
        <v/>
      </c>
      <c r="AS2439" s="82" t="n">
        <f aca="false">IF(AND(OR(AQ2439="À RADIOGRAPHIER",AQ2439="RÉPARÉ – À RADIOGRAPHIER",AQ2439="NX – RT À REFAIRE"),OR('PROGRAMME RT'!$D$5="TOUTES",B2439='PROGRAMME RT'!$D$5)),1,0)</f>
        <v>0</v>
      </c>
      <c r="AT2439" s="82" t="str">
        <f aca="false">IF(AS2439=1,SUM(AS$7:AS2439),"")</f>
        <v/>
      </c>
      <c r="AU2439" s="82" t="n">
        <f aca="false">IF(AND(OR(AA2439="R",AA2439="NX",AA2439="NT",AA2439="CO"),OR('JOINTS DE RÉPARATION'!$D$5="TOUTES",B2439='JOINTS DE RÉPARATION'!$D$5),OR('JOINTS DE RÉPARATION'!$L$4="TOUS",AQ2439&lt;&gt;"ACCEPTÉ")),1,0)</f>
        <v>0</v>
      </c>
      <c r="AV2439" s="82" t="str">
        <f aca="false">IF(AU2439=1,SUM(AU$7:AU2439),"")</f>
        <v/>
      </c>
      <c r="AW2439" s="82" t="str">
        <f aca="false">IF(E2439="","",B2439&amp;"|"&amp;E2439)</f>
        <v>MFD-ISW → MFD-CPF|JN°1955</v>
      </c>
    </row>
    <row r="2440" customFormat="false" ht="74.6" hidden="false" customHeight="false" outlineLevel="0" collapsed="false">
      <c r="A2440" s="79" t="n">
        <f aca="false">IF(E2440="","",ROW()-6)</f>
        <v>2434</v>
      </c>
      <c r="B2440" s="80" t="s">
        <v>110</v>
      </c>
      <c r="C2440" s="81" t="s">
        <v>2956</v>
      </c>
      <c r="D2440" s="81" t="n">
        <v>24</v>
      </c>
      <c r="E2440" s="81" t="s">
        <v>2963</v>
      </c>
      <c r="F2440" s="82" t="str">
        <f aca="false">IF(E2440="","",IF(LEFT(E2440,2)="DJ","DJ","JN"))</f>
        <v>JN</v>
      </c>
      <c r="G2440" s="81" t="s">
        <v>1504</v>
      </c>
      <c r="H2440" s="81" t="s">
        <v>871</v>
      </c>
      <c r="I2440" s="81" t="n">
        <v>9.53</v>
      </c>
      <c r="J2440" s="81" t="s">
        <v>872</v>
      </c>
      <c r="K2440" s="81" t="s">
        <v>879</v>
      </c>
      <c r="L2440" s="81" t="n">
        <v>2080660</v>
      </c>
      <c r="M2440" s="81" t="n">
        <v>15421103</v>
      </c>
      <c r="N2440" s="81" t="n">
        <v>11.94</v>
      </c>
      <c r="O2440" s="81" t="n">
        <v>2088430</v>
      </c>
      <c r="P2440" s="81" t="n">
        <v>15421110</v>
      </c>
      <c r="Q2440" s="81" t="n">
        <v>11.94</v>
      </c>
      <c r="R2440" s="81" t="s">
        <v>2921</v>
      </c>
      <c r="S2440" s="81"/>
      <c r="T2440" s="81"/>
      <c r="U2440" s="83" t="n">
        <v>46253</v>
      </c>
      <c r="V2440" s="83" t="n">
        <v>46253</v>
      </c>
      <c r="W2440" s="81" t="s">
        <v>2949</v>
      </c>
      <c r="X2440" s="81" t="s">
        <v>876</v>
      </c>
      <c r="Y2440" s="83" t="n">
        <v>46254</v>
      </c>
      <c r="Z2440" s="81" t="s">
        <v>2962</v>
      </c>
      <c r="AA2440" s="81" t="s">
        <v>876</v>
      </c>
      <c r="AB2440" s="81"/>
      <c r="AC2440" s="81"/>
      <c r="AD2440" s="81"/>
      <c r="AE2440" s="83"/>
      <c r="AF2440" s="81"/>
      <c r="AG2440" s="81"/>
      <c r="AH2440" s="81"/>
      <c r="AI2440" s="81"/>
      <c r="AJ2440" s="83"/>
      <c r="AK2440" s="81"/>
      <c r="AL2440" s="81"/>
      <c r="AM2440" s="83"/>
      <c r="AN2440" s="80"/>
      <c r="AO2440" s="82" t="n">
        <f aca="false">IF(E2440="","",(AA2440&lt;&gt;"")+(AG2440&lt;&gt;"")+(AL2440&lt;&gt;""))</f>
        <v>1</v>
      </c>
      <c r="AP2440" s="82" t="str">
        <f aca="false">IF(AL2440&lt;&gt;"",AL2440,IF(AG2440&lt;&gt;"",AG2440,IF(AA2440&lt;&gt;"",AA2440,"")))</f>
        <v>A</v>
      </c>
      <c r="AQ2440" s="84" t="str">
        <f aca="false">IF(E2440="","",IF(U2440="","À SOUDER",IF(X2440="","VT EN ATTENTE",IF(X2440="R","VT REJETÉ – À REPRENDRE",IF(AP2440="","À RADIOGRAPHIER",IF(AP2440="A","ACCEPTÉ",IF(AP2440="NX","NX – RT À REFAIRE",IF(IF(AO2440=1,AD2440,IF(AO2440=2,AI2440,""))="A","RÉPARÉ – À RADIOGRAPHIER",IF(IF(AO2440=1,AD2440,IF(AO2440=2,AI2440,""))="R","VT REJETÉ – À REPRENDRE",IF(OR(AP2440="CO",AP2440="NT"),"COUPE – À RESOUDER","À RÉPARER"))))))))))</f>
        <v>ACCEPTÉ</v>
      </c>
      <c r="AR2440" s="82" t="str">
        <f aca="false">IF(AND(ISNUMBER(U2440),OR(AQ2440="À RADIOGRAPHIER",AQ2440="RÉPARÉ – À RADIOGRAPHIER",AQ2440="NX – RT À REFAIRE",AQ2440="À RÉPARER",AQ2440="COUPE – À RESOUDER",AQ2440="VT REJETÉ – À REPRENDRE")),MAX(0,'PROGRAMME RT'!$C$4-U2440),"")</f>
        <v/>
      </c>
      <c r="AS2440" s="82" t="n">
        <f aca="false">IF(AND(OR(AQ2440="À RADIOGRAPHIER",AQ2440="RÉPARÉ – À RADIOGRAPHIER",AQ2440="NX – RT À REFAIRE"),OR('PROGRAMME RT'!$D$5="TOUTES",B2440='PROGRAMME RT'!$D$5)),1,0)</f>
        <v>0</v>
      </c>
      <c r="AT2440" s="82" t="str">
        <f aca="false">IF(AS2440=1,SUM(AS$7:AS2440),"")</f>
        <v/>
      </c>
      <c r="AU2440" s="82" t="n">
        <f aca="false">IF(AND(OR(AA2440="R",AA2440="NX",AA2440="NT",AA2440="CO"),OR('JOINTS DE RÉPARATION'!$D$5="TOUTES",B2440='JOINTS DE RÉPARATION'!$D$5),OR('JOINTS DE RÉPARATION'!$L$4="TOUS",AQ2440&lt;&gt;"ACCEPTÉ")),1,0)</f>
        <v>0</v>
      </c>
      <c r="AV2440" s="82" t="str">
        <f aca="false">IF(AU2440=1,SUM(AU$7:AU2440),"")</f>
        <v/>
      </c>
      <c r="AW2440" s="82" t="str">
        <f aca="false">IF(E2440="","",B2440&amp;"|"&amp;E2440)</f>
        <v>MFD-ISW → MFD-CPF|JN°1956</v>
      </c>
    </row>
    <row r="2441" customFormat="false" ht="74.6" hidden="false" customHeight="false" outlineLevel="0" collapsed="false">
      <c r="A2441" s="79" t="n">
        <f aca="false">IF(E2441="","",ROW()-6)</f>
        <v>2435</v>
      </c>
      <c r="B2441" s="80" t="s">
        <v>110</v>
      </c>
      <c r="C2441" s="81" t="s">
        <v>2956</v>
      </c>
      <c r="D2441" s="81" t="n">
        <v>24</v>
      </c>
      <c r="E2441" s="81" t="s">
        <v>2964</v>
      </c>
      <c r="F2441" s="82" t="str">
        <f aca="false">IF(E2441="","",IF(LEFT(E2441,2)="DJ","DJ","JN"))</f>
        <v>JN</v>
      </c>
      <c r="G2441" s="81" t="s">
        <v>1504</v>
      </c>
      <c r="H2441" s="81" t="s">
        <v>871</v>
      </c>
      <c r="I2441" s="81" t="n">
        <v>9.53</v>
      </c>
      <c r="J2441" s="81" t="s">
        <v>872</v>
      </c>
      <c r="K2441" s="81" t="s">
        <v>879</v>
      </c>
      <c r="L2441" s="81" t="n">
        <v>2088430</v>
      </c>
      <c r="M2441" s="81" t="n">
        <v>15421110</v>
      </c>
      <c r="N2441" s="81" t="n">
        <v>11.94</v>
      </c>
      <c r="O2441" s="81" t="n">
        <v>2088550</v>
      </c>
      <c r="P2441" s="81" t="n">
        <v>15421108</v>
      </c>
      <c r="Q2441" s="81" t="n">
        <v>11.94</v>
      </c>
      <c r="R2441" s="81" t="s">
        <v>2921</v>
      </c>
      <c r="S2441" s="81"/>
      <c r="T2441" s="81"/>
      <c r="U2441" s="83" t="n">
        <v>46253</v>
      </c>
      <c r="V2441" s="83" t="n">
        <v>46253</v>
      </c>
      <c r="W2441" s="81" t="s">
        <v>2949</v>
      </c>
      <c r="X2441" s="81" t="s">
        <v>876</v>
      </c>
      <c r="Y2441" s="83" t="n">
        <v>46254</v>
      </c>
      <c r="Z2441" s="81" t="s">
        <v>2962</v>
      </c>
      <c r="AA2441" s="81" t="s">
        <v>876</v>
      </c>
      <c r="AB2441" s="81"/>
      <c r="AC2441" s="81"/>
      <c r="AD2441" s="81"/>
      <c r="AE2441" s="83"/>
      <c r="AF2441" s="81"/>
      <c r="AG2441" s="81"/>
      <c r="AH2441" s="81"/>
      <c r="AI2441" s="81"/>
      <c r="AJ2441" s="83"/>
      <c r="AK2441" s="81"/>
      <c r="AL2441" s="81"/>
      <c r="AM2441" s="83"/>
      <c r="AN2441" s="80"/>
      <c r="AO2441" s="82" t="n">
        <f aca="false">IF(E2441="","",(AA2441&lt;&gt;"")+(AG2441&lt;&gt;"")+(AL2441&lt;&gt;""))</f>
        <v>1</v>
      </c>
      <c r="AP2441" s="82" t="str">
        <f aca="false">IF(AL2441&lt;&gt;"",AL2441,IF(AG2441&lt;&gt;"",AG2441,IF(AA2441&lt;&gt;"",AA2441,"")))</f>
        <v>A</v>
      </c>
      <c r="AQ2441" s="84" t="str">
        <f aca="false">IF(E2441="","",IF(U2441="","À SOUDER",IF(X2441="","VT EN ATTENTE",IF(X2441="R","VT REJETÉ – À REPRENDRE",IF(AP2441="","À RADIOGRAPHIER",IF(AP2441="A","ACCEPTÉ",IF(AP2441="NX","NX – RT À REFAIRE",IF(IF(AO2441=1,AD2441,IF(AO2441=2,AI2441,""))="A","RÉPARÉ – À RADIOGRAPHIER",IF(IF(AO2441=1,AD2441,IF(AO2441=2,AI2441,""))="R","VT REJETÉ – À REPRENDRE",IF(OR(AP2441="CO",AP2441="NT"),"COUPE – À RESOUDER","À RÉPARER"))))))))))</f>
        <v>ACCEPTÉ</v>
      </c>
      <c r="AR2441" s="82" t="str">
        <f aca="false">IF(AND(ISNUMBER(U2441),OR(AQ2441="À RADIOGRAPHIER",AQ2441="RÉPARÉ – À RADIOGRAPHIER",AQ2441="NX – RT À REFAIRE",AQ2441="À RÉPARER",AQ2441="COUPE – À RESOUDER",AQ2441="VT REJETÉ – À REPRENDRE")),MAX(0,'PROGRAMME RT'!$C$4-U2441),"")</f>
        <v/>
      </c>
      <c r="AS2441" s="82" t="n">
        <f aca="false">IF(AND(OR(AQ2441="À RADIOGRAPHIER",AQ2441="RÉPARÉ – À RADIOGRAPHIER",AQ2441="NX – RT À REFAIRE"),OR('PROGRAMME RT'!$D$5="TOUTES",B2441='PROGRAMME RT'!$D$5)),1,0)</f>
        <v>0</v>
      </c>
      <c r="AT2441" s="82" t="str">
        <f aca="false">IF(AS2441=1,SUM(AS$7:AS2441),"")</f>
        <v/>
      </c>
      <c r="AU2441" s="82" t="n">
        <f aca="false">IF(AND(OR(AA2441="R",AA2441="NX",AA2441="NT",AA2441="CO"),OR('JOINTS DE RÉPARATION'!$D$5="TOUTES",B2441='JOINTS DE RÉPARATION'!$D$5),OR('JOINTS DE RÉPARATION'!$L$4="TOUS",AQ2441&lt;&gt;"ACCEPTÉ")),1,0)</f>
        <v>0</v>
      </c>
      <c r="AV2441" s="82" t="str">
        <f aca="false">IF(AU2441=1,SUM(AU$7:AU2441),"")</f>
        <v/>
      </c>
      <c r="AW2441" s="82" t="str">
        <f aca="false">IF(E2441="","",B2441&amp;"|"&amp;E2441)</f>
        <v>MFD-ISW → MFD-CPF|JN°1957</v>
      </c>
    </row>
    <row r="2442" customFormat="false" ht="74.6" hidden="false" customHeight="false" outlineLevel="0" collapsed="false">
      <c r="A2442" s="79" t="n">
        <f aca="false">IF(E2442="","",ROW()-6)</f>
        <v>2436</v>
      </c>
      <c r="B2442" s="80" t="s">
        <v>110</v>
      </c>
      <c r="C2442" s="81" t="s">
        <v>2956</v>
      </c>
      <c r="D2442" s="81" t="n">
        <v>24</v>
      </c>
      <c r="E2442" s="81" t="s">
        <v>2965</v>
      </c>
      <c r="F2442" s="82" t="str">
        <f aca="false">IF(E2442="","",IF(LEFT(E2442,2)="DJ","DJ","JN"))</f>
        <v>JN</v>
      </c>
      <c r="G2442" s="81" t="s">
        <v>1504</v>
      </c>
      <c r="H2442" s="81" t="s">
        <v>871</v>
      </c>
      <c r="I2442" s="81" t="n">
        <v>9.53</v>
      </c>
      <c r="J2442" s="81" t="s">
        <v>872</v>
      </c>
      <c r="K2442" s="81" t="s">
        <v>879</v>
      </c>
      <c r="L2442" s="81" t="n">
        <v>2088550</v>
      </c>
      <c r="M2442" s="81" t="n">
        <v>15421108</v>
      </c>
      <c r="N2442" s="81" t="n">
        <v>11.94</v>
      </c>
      <c r="O2442" s="81" t="n">
        <v>2090280</v>
      </c>
      <c r="P2442" s="81" t="n">
        <v>15421109</v>
      </c>
      <c r="Q2442" s="81" t="n">
        <v>11.94</v>
      </c>
      <c r="R2442" s="81" t="s">
        <v>2921</v>
      </c>
      <c r="S2442" s="81"/>
      <c r="T2442" s="81"/>
      <c r="U2442" s="83" t="n">
        <v>46253</v>
      </c>
      <c r="V2442" s="83" t="n">
        <v>46253</v>
      </c>
      <c r="W2442" s="81" t="s">
        <v>2949</v>
      </c>
      <c r="X2442" s="81" t="s">
        <v>876</v>
      </c>
      <c r="Y2442" s="83" t="n">
        <v>46254</v>
      </c>
      <c r="Z2442" s="81" t="s">
        <v>2962</v>
      </c>
      <c r="AA2442" s="81" t="s">
        <v>876</v>
      </c>
      <c r="AB2442" s="81"/>
      <c r="AC2442" s="81"/>
      <c r="AD2442" s="81"/>
      <c r="AE2442" s="83"/>
      <c r="AF2442" s="81"/>
      <c r="AG2442" s="81"/>
      <c r="AH2442" s="81"/>
      <c r="AI2442" s="81"/>
      <c r="AJ2442" s="83"/>
      <c r="AK2442" s="81"/>
      <c r="AL2442" s="81"/>
      <c r="AM2442" s="83"/>
      <c r="AN2442" s="80"/>
      <c r="AO2442" s="82" t="n">
        <f aca="false">IF(E2442="","",(AA2442&lt;&gt;"")+(AG2442&lt;&gt;"")+(AL2442&lt;&gt;""))</f>
        <v>1</v>
      </c>
      <c r="AP2442" s="82" t="str">
        <f aca="false">IF(AL2442&lt;&gt;"",AL2442,IF(AG2442&lt;&gt;"",AG2442,IF(AA2442&lt;&gt;"",AA2442,"")))</f>
        <v>A</v>
      </c>
      <c r="AQ2442" s="84" t="str">
        <f aca="false">IF(E2442="","",IF(U2442="","À SOUDER",IF(X2442="","VT EN ATTENTE",IF(X2442="R","VT REJETÉ – À REPRENDRE",IF(AP2442="","À RADIOGRAPHIER",IF(AP2442="A","ACCEPTÉ",IF(AP2442="NX","NX – RT À REFAIRE",IF(IF(AO2442=1,AD2442,IF(AO2442=2,AI2442,""))="A","RÉPARÉ – À RADIOGRAPHIER",IF(IF(AO2442=1,AD2442,IF(AO2442=2,AI2442,""))="R","VT REJETÉ – À REPRENDRE",IF(OR(AP2442="CO",AP2442="NT"),"COUPE – À RESOUDER","À RÉPARER"))))))))))</f>
        <v>ACCEPTÉ</v>
      </c>
      <c r="AR2442" s="82" t="str">
        <f aca="false">IF(AND(ISNUMBER(U2442),OR(AQ2442="À RADIOGRAPHIER",AQ2442="RÉPARÉ – À RADIOGRAPHIER",AQ2442="NX – RT À REFAIRE",AQ2442="À RÉPARER",AQ2442="COUPE – À RESOUDER",AQ2442="VT REJETÉ – À REPRENDRE")),MAX(0,'PROGRAMME RT'!$C$4-U2442),"")</f>
        <v/>
      </c>
      <c r="AS2442" s="82" t="n">
        <f aca="false">IF(AND(OR(AQ2442="À RADIOGRAPHIER",AQ2442="RÉPARÉ – À RADIOGRAPHIER",AQ2442="NX – RT À REFAIRE"),OR('PROGRAMME RT'!$D$5="TOUTES",B2442='PROGRAMME RT'!$D$5)),1,0)</f>
        <v>0</v>
      </c>
      <c r="AT2442" s="82" t="str">
        <f aca="false">IF(AS2442=1,SUM(AS$7:AS2442),"")</f>
        <v/>
      </c>
      <c r="AU2442" s="82" t="n">
        <f aca="false">IF(AND(OR(AA2442="R",AA2442="NX",AA2442="NT",AA2442="CO"),OR('JOINTS DE RÉPARATION'!$D$5="TOUTES",B2442='JOINTS DE RÉPARATION'!$D$5),OR('JOINTS DE RÉPARATION'!$L$4="TOUS",AQ2442&lt;&gt;"ACCEPTÉ")),1,0)</f>
        <v>0</v>
      </c>
      <c r="AV2442" s="82" t="str">
        <f aca="false">IF(AU2442=1,SUM(AU$7:AU2442),"")</f>
        <v/>
      </c>
      <c r="AW2442" s="82" t="str">
        <f aca="false">IF(E2442="","",B2442&amp;"|"&amp;E2442)</f>
        <v>MFD-ISW → MFD-CPF|JN°1958</v>
      </c>
    </row>
    <row r="2443" customFormat="false" ht="74.6" hidden="false" customHeight="false" outlineLevel="0" collapsed="false">
      <c r="A2443" s="79" t="n">
        <f aca="false">IF(E2443="","",ROW()-6)</f>
        <v>2437</v>
      </c>
      <c r="B2443" s="80" t="s">
        <v>110</v>
      </c>
      <c r="C2443" s="81" t="s">
        <v>926</v>
      </c>
      <c r="D2443" s="81" t="n">
        <v>24</v>
      </c>
      <c r="E2443" s="81" t="s">
        <v>2966</v>
      </c>
      <c r="F2443" s="82" t="str">
        <f aca="false">IF(E2443="","",IF(LEFT(E2443,2)="DJ","DJ","JN"))</f>
        <v>JN</v>
      </c>
      <c r="G2443" s="81"/>
      <c r="H2443" s="81"/>
      <c r="I2443" s="81"/>
      <c r="J2443" s="81"/>
      <c r="K2443" s="81"/>
      <c r="L2443" s="81" t="n">
        <v>2090280</v>
      </c>
      <c r="M2443" s="81" t="n">
        <v>15421109</v>
      </c>
      <c r="N2443" s="81" t="n">
        <v>11.94</v>
      </c>
      <c r="O2443" s="81"/>
      <c r="P2443" s="81"/>
      <c r="Q2443" s="81"/>
      <c r="R2443" s="81"/>
      <c r="S2443" s="81"/>
      <c r="T2443" s="81"/>
      <c r="U2443" s="83"/>
      <c r="V2443" s="83"/>
      <c r="W2443" s="81"/>
      <c r="X2443" s="81"/>
      <c r="Y2443" s="83"/>
      <c r="Z2443" s="81"/>
      <c r="AA2443" s="81"/>
      <c r="AB2443" s="81"/>
      <c r="AC2443" s="81"/>
      <c r="AD2443" s="81"/>
      <c r="AE2443" s="83"/>
      <c r="AF2443" s="81"/>
      <c r="AG2443" s="81"/>
      <c r="AH2443" s="81"/>
      <c r="AI2443" s="81"/>
      <c r="AJ2443" s="83"/>
      <c r="AK2443" s="81"/>
      <c r="AL2443" s="81"/>
      <c r="AM2443" s="83"/>
      <c r="AN2443" s="80"/>
      <c r="AO2443" s="82" t="n">
        <f aca="false">IF(E2443="","",(AA2443&lt;&gt;"")+(AG2443&lt;&gt;"")+(AL2443&lt;&gt;""))</f>
        <v>0</v>
      </c>
      <c r="AP2443" s="82" t="str">
        <f aca="false">IF(AL2443&lt;&gt;"",AL2443,IF(AG2443&lt;&gt;"",AG2443,IF(AA2443&lt;&gt;"",AA2443,"")))</f>
        <v/>
      </c>
      <c r="AQ2443" s="84" t="str">
        <f aca="false">IF(E2443="","",IF(U2443="","À SOUDER",IF(X2443="","VT EN ATTENTE",IF(X2443="R","VT REJETÉ – À REPRENDRE",IF(AP2443="","À RADIOGRAPHIER",IF(AP2443="A","ACCEPTÉ",IF(AP2443="NX","NX – RT À REFAIRE",IF(IF(AO2443=1,AD2443,IF(AO2443=2,AI2443,""))="A","RÉPARÉ – À RADIOGRAPHIER",IF(IF(AO2443=1,AD2443,IF(AO2443=2,AI2443,""))="R","VT REJETÉ – À REPRENDRE",IF(OR(AP2443="CO",AP2443="NT"),"COUPE – À RESOUDER","À RÉPARER"))))))))))</f>
        <v>À SOUDER</v>
      </c>
      <c r="AR2443" s="82" t="str">
        <f aca="false">IF(AND(ISNUMBER(U2443),OR(AQ2443="À RADIOGRAPHIER",AQ2443="RÉPARÉ – À RADIOGRAPHIER",AQ2443="NX – RT À REFAIRE",AQ2443="À RÉPARER",AQ2443="COUPE – À RESOUDER",AQ2443="VT REJETÉ – À REPRENDRE")),MAX(0,'PROGRAMME RT'!$C$4-U2443),"")</f>
        <v/>
      </c>
      <c r="AS2443" s="82" t="n">
        <f aca="false">IF(AND(OR(AQ2443="À RADIOGRAPHIER",AQ2443="RÉPARÉ – À RADIOGRAPHIER",AQ2443="NX – RT À REFAIRE"),OR('PROGRAMME RT'!$D$5="TOUTES",B2443='PROGRAMME RT'!$D$5)),1,0)</f>
        <v>0</v>
      </c>
      <c r="AT2443" s="82" t="str">
        <f aca="false">IF(AS2443=1,SUM(AS$7:AS2443),"")</f>
        <v/>
      </c>
      <c r="AU2443" s="82" t="n">
        <f aca="false">IF(AND(OR(AA2443="R",AA2443="NX",AA2443="NT",AA2443="CO"),OR('JOINTS DE RÉPARATION'!$D$5="TOUTES",B2443='JOINTS DE RÉPARATION'!$D$5),OR('JOINTS DE RÉPARATION'!$L$4="TOUS",AQ2443&lt;&gt;"ACCEPTÉ")),1,0)</f>
        <v>0</v>
      </c>
      <c r="AV2443" s="82" t="str">
        <f aca="false">IF(AU2443=1,SUM(AU$7:AU2443),"")</f>
        <v/>
      </c>
      <c r="AW2443" s="82" t="str">
        <f aca="false">IF(E2443="","",B2443&amp;"|"&amp;E2443)</f>
        <v>MFD-ISW → MFD-CPF|JN°1959</v>
      </c>
    </row>
    <row r="2444" customFormat="false" ht="74.6" hidden="false" customHeight="false" outlineLevel="0" collapsed="false">
      <c r="A2444" s="79" t="n">
        <f aca="false">IF(E2444="","",ROW()-6)</f>
        <v>2438</v>
      </c>
      <c r="B2444" s="80" t="s">
        <v>110</v>
      </c>
      <c r="C2444" s="81" t="s">
        <v>926</v>
      </c>
      <c r="D2444" s="81" t="n">
        <v>24</v>
      </c>
      <c r="E2444" s="81" t="s">
        <v>2967</v>
      </c>
      <c r="F2444" s="82" t="str">
        <f aca="false">IF(E2444="","",IF(LEFT(E2444,2)="DJ","DJ","JN"))</f>
        <v>JN</v>
      </c>
      <c r="G2444" s="81"/>
      <c r="H2444" s="81"/>
      <c r="I2444" s="81"/>
      <c r="J2444" s="81"/>
      <c r="K2444" s="81"/>
      <c r="L2444" s="81"/>
      <c r="M2444" s="81"/>
      <c r="N2444" s="81"/>
      <c r="O2444" s="81"/>
      <c r="P2444" s="81"/>
      <c r="Q2444" s="81"/>
      <c r="R2444" s="81"/>
      <c r="S2444" s="81"/>
      <c r="T2444" s="81"/>
      <c r="U2444" s="83"/>
      <c r="V2444" s="83"/>
      <c r="W2444" s="81"/>
      <c r="X2444" s="81"/>
      <c r="Y2444" s="83"/>
      <c r="Z2444" s="81"/>
      <c r="AA2444" s="81"/>
      <c r="AB2444" s="81"/>
      <c r="AC2444" s="81"/>
      <c r="AD2444" s="81"/>
      <c r="AE2444" s="83"/>
      <c r="AF2444" s="81"/>
      <c r="AG2444" s="81"/>
      <c r="AH2444" s="81"/>
      <c r="AI2444" s="81"/>
      <c r="AJ2444" s="83"/>
      <c r="AK2444" s="81"/>
      <c r="AL2444" s="81"/>
      <c r="AM2444" s="83"/>
      <c r="AN2444" s="80"/>
      <c r="AO2444" s="82" t="n">
        <f aca="false">IF(E2444="","",(AA2444&lt;&gt;"")+(AG2444&lt;&gt;"")+(AL2444&lt;&gt;""))</f>
        <v>0</v>
      </c>
      <c r="AP2444" s="82" t="str">
        <f aca="false">IF(AL2444&lt;&gt;"",AL2444,IF(AG2444&lt;&gt;"",AG2444,IF(AA2444&lt;&gt;"",AA2444,"")))</f>
        <v/>
      </c>
      <c r="AQ2444" s="84" t="str">
        <f aca="false">IF(E2444="","",IF(U2444="","À SOUDER",IF(X2444="","VT EN ATTENTE",IF(X2444="R","VT REJETÉ – À REPRENDRE",IF(AP2444="","À RADIOGRAPHIER",IF(AP2444="A","ACCEPTÉ",IF(AP2444="NX","NX – RT À REFAIRE",IF(IF(AO2444=1,AD2444,IF(AO2444=2,AI2444,""))="A","RÉPARÉ – À RADIOGRAPHIER",IF(IF(AO2444=1,AD2444,IF(AO2444=2,AI2444,""))="R","VT REJETÉ – À REPRENDRE",IF(OR(AP2444="CO",AP2444="NT"),"COUPE – À RESOUDER","À RÉPARER"))))))))))</f>
        <v>À SOUDER</v>
      </c>
      <c r="AR2444" s="82" t="str">
        <f aca="false">IF(AND(ISNUMBER(U2444),OR(AQ2444="À RADIOGRAPHIER",AQ2444="RÉPARÉ – À RADIOGRAPHIER",AQ2444="NX – RT À REFAIRE",AQ2444="À RÉPARER",AQ2444="COUPE – À RESOUDER",AQ2444="VT REJETÉ – À REPRENDRE")),MAX(0,'PROGRAMME RT'!$C$4-U2444),"")</f>
        <v/>
      </c>
      <c r="AS2444" s="82" t="n">
        <f aca="false">IF(AND(OR(AQ2444="À RADIOGRAPHIER",AQ2444="RÉPARÉ – À RADIOGRAPHIER",AQ2444="NX – RT À REFAIRE"),OR('PROGRAMME RT'!$D$5="TOUTES",B2444='PROGRAMME RT'!$D$5)),1,0)</f>
        <v>0</v>
      </c>
      <c r="AT2444" s="82" t="str">
        <f aca="false">IF(AS2444=1,SUM(AS$7:AS2444),"")</f>
        <v/>
      </c>
      <c r="AU2444" s="82" t="n">
        <f aca="false">IF(AND(OR(AA2444="R",AA2444="NX",AA2444="NT",AA2444="CO"),OR('JOINTS DE RÉPARATION'!$D$5="TOUTES",B2444='JOINTS DE RÉPARATION'!$D$5),OR('JOINTS DE RÉPARATION'!$L$4="TOUS",AQ2444&lt;&gt;"ACCEPTÉ")),1,0)</f>
        <v>0</v>
      </c>
      <c r="AV2444" s="82" t="str">
        <f aca="false">IF(AU2444=1,SUM(AU$7:AU2444),"")</f>
        <v/>
      </c>
      <c r="AW2444" s="82" t="str">
        <f aca="false">IF(E2444="","",B2444&amp;"|"&amp;E2444)</f>
        <v>MFD-ISW → MFD-CPF|JN°1960</v>
      </c>
    </row>
    <row r="2445" customFormat="false" ht="74.6" hidden="false" customHeight="false" outlineLevel="0" collapsed="false">
      <c r="A2445" s="79" t="n">
        <f aca="false">IF(E2445="","",ROW()-6)</f>
        <v>2439</v>
      </c>
      <c r="B2445" s="80" t="s">
        <v>110</v>
      </c>
      <c r="C2445" s="81" t="s">
        <v>926</v>
      </c>
      <c r="D2445" s="81" t="n">
        <v>24</v>
      </c>
      <c r="E2445" s="81" t="s">
        <v>2968</v>
      </c>
      <c r="F2445" s="82" t="str">
        <f aca="false">IF(E2445="","",IF(LEFT(E2445,2)="DJ","DJ","JN"))</f>
        <v>JN</v>
      </c>
      <c r="G2445" s="81"/>
      <c r="H2445" s="81"/>
      <c r="I2445" s="81"/>
      <c r="J2445" s="81"/>
      <c r="K2445" s="81"/>
      <c r="L2445" s="81"/>
      <c r="M2445" s="81"/>
      <c r="N2445" s="81"/>
      <c r="O2445" s="81"/>
      <c r="P2445" s="81"/>
      <c r="Q2445" s="81"/>
      <c r="R2445" s="81"/>
      <c r="S2445" s="81"/>
      <c r="T2445" s="81"/>
      <c r="U2445" s="83"/>
      <c r="V2445" s="83"/>
      <c r="W2445" s="81"/>
      <c r="X2445" s="81"/>
      <c r="Y2445" s="83"/>
      <c r="Z2445" s="81"/>
      <c r="AA2445" s="81"/>
      <c r="AB2445" s="81"/>
      <c r="AC2445" s="81"/>
      <c r="AD2445" s="81"/>
      <c r="AE2445" s="83"/>
      <c r="AF2445" s="81"/>
      <c r="AG2445" s="81"/>
      <c r="AH2445" s="81"/>
      <c r="AI2445" s="81"/>
      <c r="AJ2445" s="83"/>
      <c r="AK2445" s="81"/>
      <c r="AL2445" s="81"/>
      <c r="AM2445" s="83"/>
      <c r="AN2445" s="80"/>
      <c r="AO2445" s="82" t="n">
        <f aca="false">IF(E2445="","",(AA2445&lt;&gt;"")+(AG2445&lt;&gt;"")+(AL2445&lt;&gt;""))</f>
        <v>0</v>
      </c>
      <c r="AP2445" s="82" t="str">
        <f aca="false">IF(AL2445&lt;&gt;"",AL2445,IF(AG2445&lt;&gt;"",AG2445,IF(AA2445&lt;&gt;"",AA2445,"")))</f>
        <v/>
      </c>
      <c r="AQ2445" s="84" t="str">
        <f aca="false">IF(E2445="","",IF(U2445="","À SOUDER",IF(X2445="","VT EN ATTENTE",IF(X2445="R","VT REJETÉ – À REPRENDRE",IF(AP2445="","À RADIOGRAPHIER",IF(AP2445="A","ACCEPTÉ",IF(AP2445="NX","NX – RT À REFAIRE",IF(IF(AO2445=1,AD2445,IF(AO2445=2,AI2445,""))="A","RÉPARÉ – À RADIOGRAPHIER",IF(IF(AO2445=1,AD2445,IF(AO2445=2,AI2445,""))="R","VT REJETÉ – À REPRENDRE",IF(OR(AP2445="CO",AP2445="NT"),"COUPE – À RESOUDER","À RÉPARER"))))))))))</f>
        <v>À SOUDER</v>
      </c>
      <c r="AR2445" s="82" t="str">
        <f aca="false">IF(AND(ISNUMBER(U2445),OR(AQ2445="À RADIOGRAPHIER",AQ2445="RÉPARÉ – À RADIOGRAPHIER",AQ2445="NX – RT À REFAIRE",AQ2445="À RÉPARER",AQ2445="COUPE – À RESOUDER",AQ2445="VT REJETÉ – À REPRENDRE")),MAX(0,'PROGRAMME RT'!$C$4-U2445),"")</f>
        <v/>
      </c>
      <c r="AS2445" s="82" t="n">
        <f aca="false">IF(AND(OR(AQ2445="À RADIOGRAPHIER",AQ2445="RÉPARÉ – À RADIOGRAPHIER",AQ2445="NX – RT À REFAIRE"),OR('PROGRAMME RT'!$D$5="TOUTES",B2445='PROGRAMME RT'!$D$5)),1,0)</f>
        <v>0</v>
      </c>
      <c r="AT2445" s="82" t="str">
        <f aca="false">IF(AS2445=1,SUM(AS$7:AS2445),"")</f>
        <v/>
      </c>
      <c r="AU2445" s="82" t="n">
        <f aca="false">IF(AND(OR(AA2445="R",AA2445="NX",AA2445="NT",AA2445="CO"),OR('JOINTS DE RÉPARATION'!$D$5="TOUTES",B2445='JOINTS DE RÉPARATION'!$D$5),OR('JOINTS DE RÉPARATION'!$L$4="TOUS",AQ2445&lt;&gt;"ACCEPTÉ")),1,0)</f>
        <v>0</v>
      </c>
      <c r="AV2445" s="82" t="str">
        <f aca="false">IF(AU2445=1,SUM(AU$7:AU2445),"")</f>
        <v/>
      </c>
      <c r="AW2445" s="82" t="str">
        <f aca="false">IF(E2445="","",B2445&amp;"|"&amp;E2445)</f>
        <v>MFD-ISW → MFD-CPF|JN°1961</v>
      </c>
    </row>
    <row r="2446" customFormat="false" ht="74.6" hidden="false" customHeight="false" outlineLevel="0" collapsed="false">
      <c r="A2446" s="79" t="n">
        <f aca="false">IF(E2446="","",ROW()-6)</f>
        <v>2440</v>
      </c>
      <c r="B2446" s="80" t="s">
        <v>110</v>
      </c>
      <c r="C2446" s="81" t="s">
        <v>926</v>
      </c>
      <c r="D2446" s="81" t="n">
        <v>24</v>
      </c>
      <c r="E2446" s="81" t="s">
        <v>2969</v>
      </c>
      <c r="F2446" s="82" t="str">
        <f aca="false">IF(E2446="","",IF(LEFT(E2446,2)="DJ","DJ","JN"))</f>
        <v>JN</v>
      </c>
      <c r="G2446" s="81"/>
      <c r="H2446" s="81"/>
      <c r="I2446" s="81"/>
      <c r="J2446" s="81"/>
      <c r="K2446" s="81"/>
      <c r="L2446" s="81"/>
      <c r="M2446" s="81"/>
      <c r="N2446" s="81"/>
      <c r="O2446" s="81" t="n">
        <v>2088910</v>
      </c>
      <c r="P2446" s="81" t="n">
        <v>15421108</v>
      </c>
      <c r="Q2446" s="81" t="n">
        <v>11.94</v>
      </c>
      <c r="R2446" s="81"/>
      <c r="S2446" s="81"/>
      <c r="T2446" s="81"/>
      <c r="U2446" s="83"/>
      <c r="V2446" s="83"/>
      <c r="W2446" s="81"/>
      <c r="X2446" s="81"/>
      <c r="Y2446" s="83"/>
      <c r="Z2446" s="81"/>
      <c r="AA2446" s="81"/>
      <c r="AB2446" s="81"/>
      <c r="AC2446" s="81"/>
      <c r="AD2446" s="81"/>
      <c r="AE2446" s="83"/>
      <c r="AF2446" s="81"/>
      <c r="AG2446" s="81"/>
      <c r="AH2446" s="81"/>
      <c r="AI2446" s="81"/>
      <c r="AJ2446" s="83"/>
      <c r="AK2446" s="81"/>
      <c r="AL2446" s="81"/>
      <c r="AM2446" s="83"/>
      <c r="AN2446" s="80"/>
      <c r="AO2446" s="82" t="n">
        <f aca="false">IF(E2446="","",(AA2446&lt;&gt;"")+(AG2446&lt;&gt;"")+(AL2446&lt;&gt;""))</f>
        <v>0</v>
      </c>
      <c r="AP2446" s="82" t="str">
        <f aca="false">IF(AL2446&lt;&gt;"",AL2446,IF(AG2446&lt;&gt;"",AG2446,IF(AA2446&lt;&gt;"",AA2446,"")))</f>
        <v/>
      </c>
      <c r="AQ2446" s="84" t="str">
        <f aca="false">IF(E2446="","",IF(U2446="","À SOUDER",IF(X2446="","VT EN ATTENTE",IF(X2446="R","VT REJETÉ – À REPRENDRE",IF(AP2446="","À RADIOGRAPHIER",IF(AP2446="A","ACCEPTÉ",IF(AP2446="NX","NX – RT À REFAIRE",IF(IF(AO2446=1,AD2446,IF(AO2446=2,AI2446,""))="A","RÉPARÉ – À RADIOGRAPHIER",IF(IF(AO2446=1,AD2446,IF(AO2446=2,AI2446,""))="R","VT REJETÉ – À REPRENDRE",IF(OR(AP2446="CO",AP2446="NT"),"COUPE – À RESOUDER","À RÉPARER"))))))))))</f>
        <v>À SOUDER</v>
      </c>
      <c r="AR2446" s="82" t="str">
        <f aca="false">IF(AND(ISNUMBER(U2446),OR(AQ2446="À RADIOGRAPHIER",AQ2446="RÉPARÉ – À RADIOGRAPHIER",AQ2446="NX – RT À REFAIRE",AQ2446="À RÉPARER",AQ2446="COUPE – À RESOUDER",AQ2446="VT REJETÉ – À REPRENDRE")),MAX(0,'PROGRAMME RT'!$C$4-U2446),"")</f>
        <v/>
      </c>
      <c r="AS2446" s="82" t="n">
        <f aca="false">IF(AND(OR(AQ2446="À RADIOGRAPHIER",AQ2446="RÉPARÉ – À RADIOGRAPHIER",AQ2446="NX – RT À REFAIRE"),OR('PROGRAMME RT'!$D$5="TOUTES",B2446='PROGRAMME RT'!$D$5)),1,0)</f>
        <v>0</v>
      </c>
      <c r="AT2446" s="82" t="str">
        <f aca="false">IF(AS2446=1,SUM(AS$7:AS2446),"")</f>
        <v/>
      </c>
      <c r="AU2446" s="82" t="n">
        <f aca="false">IF(AND(OR(AA2446="R",AA2446="NX",AA2446="NT",AA2446="CO"),OR('JOINTS DE RÉPARATION'!$D$5="TOUTES",B2446='JOINTS DE RÉPARATION'!$D$5),OR('JOINTS DE RÉPARATION'!$L$4="TOUS",AQ2446&lt;&gt;"ACCEPTÉ")),1,0)</f>
        <v>0</v>
      </c>
      <c r="AV2446" s="82" t="str">
        <f aca="false">IF(AU2446=1,SUM(AU$7:AU2446),"")</f>
        <v/>
      </c>
      <c r="AW2446" s="82" t="str">
        <f aca="false">IF(E2446="","",B2446&amp;"|"&amp;E2446)</f>
        <v>MFD-ISW → MFD-CPF|JN°1962</v>
      </c>
    </row>
    <row r="2447" customFormat="false" ht="74.6" hidden="false" customHeight="false" outlineLevel="0" collapsed="false">
      <c r="A2447" s="79" t="n">
        <f aca="false">IF(E2447="","",ROW()-6)</f>
        <v>2441</v>
      </c>
      <c r="B2447" s="80" t="s">
        <v>110</v>
      </c>
      <c r="C2447" s="81" t="s">
        <v>2970</v>
      </c>
      <c r="D2447" s="81" t="n">
        <v>24</v>
      </c>
      <c r="E2447" s="81" t="s">
        <v>2971</v>
      </c>
      <c r="F2447" s="82" t="str">
        <f aca="false">IF(E2447="","",IF(LEFT(E2447,2)="DJ","DJ","JN"))</f>
        <v>JN</v>
      </c>
      <c r="G2447" s="81" t="s">
        <v>1504</v>
      </c>
      <c r="H2447" s="81" t="s">
        <v>871</v>
      </c>
      <c r="I2447" s="81" t="n">
        <v>9.53</v>
      </c>
      <c r="J2447" s="81" t="s">
        <v>872</v>
      </c>
      <c r="K2447" s="81" t="s">
        <v>879</v>
      </c>
      <c r="L2447" s="81" t="n">
        <v>2088910</v>
      </c>
      <c r="M2447" s="81" t="n">
        <v>15421108</v>
      </c>
      <c r="N2447" s="81" t="n">
        <v>11.94</v>
      </c>
      <c r="O2447" s="81" t="n">
        <v>2084170</v>
      </c>
      <c r="P2447" s="81" t="n">
        <v>15421106</v>
      </c>
      <c r="Q2447" s="81" t="n">
        <v>11.94</v>
      </c>
      <c r="R2447" s="81" t="s">
        <v>2921</v>
      </c>
      <c r="S2447" s="81"/>
      <c r="T2447" s="81"/>
      <c r="U2447" s="83" t="n">
        <v>46253</v>
      </c>
      <c r="V2447" s="83" t="n">
        <v>46253</v>
      </c>
      <c r="W2447" s="81" t="s">
        <v>2949</v>
      </c>
      <c r="X2447" s="81" t="s">
        <v>876</v>
      </c>
      <c r="Y2447" s="83" t="n">
        <v>46254</v>
      </c>
      <c r="Z2447" s="81" t="s">
        <v>2962</v>
      </c>
      <c r="AA2447" s="81" t="s">
        <v>876</v>
      </c>
      <c r="AB2447" s="81"/>
      <c r="AC2447" s="81"/>
      <c r="AD2447" s="81"/>
      <c r="AE2447" s="83"/>
      <c r="AF2447" s="81"/>
      <c r="AG2447" s="81"/>
      <c r="AH2447" s="81"/>
      <c r="AI2447" s="81"/>
      <c r="AJ2447" s="83"/>
      <c r="AK2447" s="81"/>
      <c r="AL2447" s="81"/>
      <c r="AM2447" s="83"/>
      <c r="AN2447" s="80"/>
      <c r="AO2447" s="82" t="n">
        <f aca="false">IF(E2447="","",(AA2447&lt;&gt;"")+(AG2447&lt;&gt;"")+(AL2447&lt;&gt;""))</f>
        <v>1</v>
      </c>
      <c r="AP2447" s="82" t="str">
        <f aca="false">IF(AL2447&lt;&gt;"",AL2447,IF(AG2447&lt;&gt;"",AG2447,IF(AA2447&lt;&gt;"",AA2447,"")))</f>
        <v>A</v>
      </c>
      <c r="AQ2447" s="84" t="str">
        <f aca="false">IF(E2447="","",IF(U2447="","À SOUDER",IF(X2447="","VT EN ATTENTE",IF(X2447="R","VT REJETÉ – À REPRENDRE",IF(AP2447="","À RADIOGRAPHIER",IF(AP2447="A","ACCEPTÉ",IF(AP2447="NX","NX – RT À REFAIRE",IF(IF(AO2447=1,AD2447,IF(AO2447=2,AI2447,""))="A","RÉPARÉ – À RADIOGRAPHIER",IF(IF(AO2447=1,AD2447,IF(AO2447=2,AI2447,""))="R","VT REJETÉ – À REPRENDRE",IF(OR(AP2447="CO",AP2447="NT"),"COUPE – À RESOUDER","À RÉPARER"))))))))))</f>
        <v>ACCEPTÉ</v>
      </c>
      <c r="AR2447" s="82" t="str">
        <f aca="false">IF(AND(ISNUMBER(U2447),OR(AQ2447="À RADIOGRAPHIER",AQ2447="RÉPARÉ – À RADIOGRAPHIER",AQ2447="NX – RT À REFAIRE",AQ2447="À RÉPARER",AQ2447="COUPE – À RESOUDER",AQ2447="VT REJETÉ – À REPRENDRE")),MAX(0,'PROGRAMME RT'!$C$4-U2447),"")</f>
        <v/>
      </c>
      <c r="AS2447" s="82" t="n">
        <f aca="false">IF(AND(OR(AQ2447="À RADIOGRAPHIER",AQ2447="RÉPARÉ – À RADIOGRAPHIER",AQ2447="NX – RT À REFAIRE"),OR('PROGRAMME RT'!$D$5="TOUTES",B2447='PROGRAMME RT'!$D$5)),1,0)</f>
        <v>0</v>
      </c>
      <c r="AT2447" s="82" t="str">
        <f aca="false">IF(AS2447=1,SUM(AS$7:AS2447),"")</f>
        <v/>
      </c>
      <c r="AU2447" s="82" t="n">
        <f aca="false">IF(AND(OR(AA2447="R",AA2447="NX",AA2447="NT",AA2447="CO"),OR('JOINTS DE RÉPARATION'!$D$5="TOUTES",B2447='JOINTS DE RÉPARATION'!$D$5),OR('JOINTS DE RÉPARATION'!$L$4="TOUS",AQ2447&lt;&gt;"ACCEPTÉ")),1,0)</f>
        <v>0</v>
      </c>
      <c r="AV2447" s="82" t="str">
        <f aca="false">IF(AU2447=1,SUM(AU$7:AU2447),"")</f>
        <v/>
      </c>
      <c r="AW2447" s="82" t="str">
        <f aca="false">IF(E2447="","",B2447&amp;"|"&amp;E2447)</f>
        <v>MFD-ISW → MFD-CPF|JN°1963</v>
      </c>
    </row>
    <row r="2448" customFormat="false" ht="74.6" hidden="false" customHeight="false" outlineLevel="0" collapsed="false">
      <c r="A2448" s="79" t="n">
        <f aca="false">IF(E2448="","",ROW()-6)</f>
        <v>2442</v>
      </c>
      <c r="B2448" s="80" t="s">
        <v>110</v>
      </c>
      <c r="C2448" s="81" t="s">
        <v>2970</v>
      </c>
      <c r="D2448" s="81" t="n">
        <v>24</v>
      </c>
      <c r="E2448" s="81" t="s">
        <v>2972</v>
      </c>
      <c r="F2448" s="82" t="str">
        <f aca="false">IF(E2448="","",IF(LEFT(E2448,2)="DJ","DJ","JN"))</f>
        <v>JN</v>
      </c>
      <c r="G2448" s="81" t="s">
        <v>1504</v>
      </c>
      <c r="H2448" s="81" t="s">
        <v>871</v>
      </c>
      <c r="I2448" s="81" t="n">
        <v>9.53</v>
      </c>
      <c r="J2448" s="81" t="s">
        <v>872</v>
      </c>
      <c r="K2448" s="81" t="s">
        <v>879</v>
      </c>
      <c r="L2448" s="81" t="n">
        <v>2084270</v>
      </c>
      <c r="M2448" s="81" t="n">
        <v>15421106</v>
      </c>
      <c r="N2448" s="81" t="n">
        <v>11.94</v>
      </c>
      <c r="O2448" s="81" t="n">
        <v>2083160</v>
      </c>
      <c r="P2448" s="81" t="n">
        <v>15421105</v>
      </c>
      <c r="Q2448" s="81" t="n">
        <v>11.94</v>
      </c>
      <c r="R2448" s="81" t="s">
        <v>2921</v>
      </c>
      <c r="S2448" s="81"/>
      <c r="T2448" s="81"/>
      <c r="U2448" s="83" t="n">
        <v>46252</v>
      </c>
      <c r="V2448" s="83" t="n">
        <v>46252</v>
      </c>
      <c r="W2448" s="81" t="s">
        <v>2973</v>
      </c>
      <c r="X2448" s="81" t="s">
        <v>876</v>
      </c>
      <c r="Y2448" s="83" t="n">
        <v>46254</v>
      </c>
      <c r="Z2448" s="81" t="s">
        <v>2962</v>
      </c>
      <c r="AA2448" s="81" t="s">
        <v>876</v>
      </c>
      <c r="AB2448" s="81"/>
      <c r="AC2448" s="81"/>
      <c r="AD2448" s="81"/>
      <c r="AE2448" s="83"/>
      <c r="AF2448" s="81"/>
      <c r="AG2448" s="81"/>
      <c r="AH2448" s="81"/>
      <c r="AI2448" s="81"/>
      <c r="AJ2448" s="83"/>
      <c r="AK2448" s="81"/>
      <c r="AL2448" s="81"/>
      <c r="AM2448" s="83"/>
      <c r="AN2448" s="80"/>
      <c r="AO2448" s="82" t="n">
        <f aca="false">IF(E2448="","",(AA2448&lt;&gt;"")+(AG2448&lt;&gt;"")+(AL2448&lt;&gt;""))</f>
        <v>1</v>
      </c>
      <c r="AP2448" s="82" t="str">
        <f aca="false">IF(AL2448&lt;&gt;"",AL2448,IF(AG2448&lt;&gt;"",AG2448,IF(AA2448&lt;&gt;"",AA2448,"")))</f>
        <v>A</v>
      </c>
      <c r="AQ2448" s="84" t="str">
        <f aca="false">IF(E2448="","",IF(U2448="","À SOUDER",IF(X2448="","VT EN ATTENTE",IF(X2448="R","VT REJETÉ – À REPRENDRE",IF(AP2448="","À RADIOGRAPHIER",IF(AP2448="A","ACCEPTÉ",IF(AP2448="NX","NX – RT À REFAIRE",IF(IF(AO2448=1,AD2448,IF(AO2448=2,AI2448,""))="A","RÉPARÉ – À RADIOGRAPHIER",IF(IF(AO2448=1,AD2448,IF(AO2448=2,AI2448,""))="R","VT REJETÉ – À REPRENDRE",IF(OR(AP2448="CO",AP2448="NT"),"COUPE – À RESOUDER","À RÉPARER"))))))))))</f>
        <v>ACCEPTÉ</v>
      </c>
      <c r="AR2448" s="82" t="str">
        <f aca="false">IF(AND(ISNUMBER(U2448),OR(AQ2448="À RADIOGRAPHIER",AQ2448="RÉPARÉ – À RADIOGRAPHIER",AQ2448="NX – RT À REFAIRE",AQ2448="À RÉPARER",AQ2448="COUPE – À RESOUDER",AQ2448="VT REJETÉ – À REPRENDRE")),MAX(0,'PROGRAMME RT'!$C$4-U2448),"")</f>
        <v/>
      </c>
      <c r="AS2448" s="82" t="n">
        <f aca="false">IF(AND(OR(AQ2448="À RADIOGRAPHIER",AQ2448="RÉPARÉ – À RADIOGRAPHIER",AQ2448="NX – RT À REFAIRE"),OR('PROGRAMME RT'!$D$5="TOUTES",B2448='PROGRAMME RT'!$D$5)),1,0)</f>
        <v>0</v>
      </c>
      <c r="AT2448" s="82" t="str">
        <f aca="false">IF(AS2448=1,SUM(AS$7:AS2448),"")</f>
        <v/>
      </c>
      <c r="AU2448" s="82" t="n">
        <f aca="false">IF(AND(OR(AA2448="R",AA2448="NX",AA2448="NT",AA2448="CO"),OR('JOINTS DE RÉPARATION'!$D$5="TOUTES",B2448='JOINTS DE RÉPARATION'!$D$5),OR('JOINTS DE RÉPARATION'!$L$4="TOUS",AQ2448&lt;&gt;"ACCEPTÉ")),1,0)</f>
        <v>0</v>
      </c>
      <c r="AV2448" s="82" t="str">
        <f aca="false">IF(AU2448=1,SUM(AU$7:AU2448),"")</f>
        <v/>
      </c>
      <c r="AW2448" s="82" t="str">
        <f aca="false">IF(E2448="","",B2448&amp;"|"&amp;E2448)</f>
        <v>MFD-ISW → MFD-CPF|JN°1964</v>
      </c>
    </row>
    <row r="2449" customFormat="false" ht="74.6" hidden="false" customHeight="false" outlineLevel="0" collapsed="false">
      <c r="A2449" s="79" t="n">
        <f aca="false">IF(E2449="","",ROW()-6)</f>
        <v>2443</v>
      </c>
      <c r="B2449" s="80" t="s">
        <v>110</v>
      </c>
      <c r="C2449" s="81" t="s">
        <v>2970</v>
      </c>
      <c r="D2449" s="81" t="n">
        <v>24</v>
      </c>
      <c r="E2449" s="81" t="s">
        <v>2974</v>
      </c>
      <c r="F2449" s="82" t="str">
        <f aca="false">IF(E2449="","",IF(LEFT(E2449,2)="DJ","DJ","JN"))</f>
        <v>JN</v>
      </c>
      <c r="G2449" s="81" t="s">
        <v>1504</v>
      </c>
      <c r="H2449" s="81" t="s">
        <v>871</v>
      </c>
      <c r="I2449" s="81" t="n">
        <v>9.53</v>
      </c>
      <c r="J2449" s="81" t="s">
        <v>872</v>
      </c>
      <c r="K2449" s="81" t="s">
        <v>879</v>
      </c>
      <c r="L2449" s="81" t="n">
        <v>2083160</v>
      </c>
      <c r="M2449" s="81" t="n">
        <v>15421105</v>
      </c>
      <c r="N2449" s="81" t="n">
        <v>11.94</v>
      </c>
      <c r="O2449" s="81" t="n">
        <v>2078680</v>
      </c>
      <c r="P2449" s="81" t="n">
        <v>15421101</v>
      </c>
      <c r="Q2449" s="81" t="n">
        <v>11.94</v>
      </c>
      <c r="R2449" s="81" t="s">
        <v>2921</v>
      </c>
      <c r="S2449" s="81"/>
      <c r="T2449" s="81"/>
      <c r="U2449" s="83" t="n">
        <v>46252</v>
      </c>
      <c r="V2449" s="83" t="n">
        <v>46252</v>
      </c>
      <c r="W2449" s="81" t="s">
        <v>2973</v>
      </c>
      <c r="X2449" s="81" t="s">
        <v>876</v>
      </c>
      <c r="Y2449" s="83" t="n">
        <v>46254</v>
      </c>
      <c r="Z2449" s="81" t="s">
        <v>2962</v>
      </c>
      <c r="AA2449" s="81" t="s">
        <v>876</v>
      </c>
      <c r="AB2449" s="81"/>
      <c r="AC2449" s="81"/>
      <c r="AD2449" s="81"/>
      <c r="AE2449" s="83"/>
      <c r="AF2449" s="81"/>
      <c r="AG2449" s="81"/>
      <c r="AH2449" s="81"/>
      <c r="AI2449" s="81"/>
      <c r="AJ2449" s="83"/>
      <c r="AK2449" s="81"/>
      <c r="AL2449" s="81"/>
      <c r="AM2449" s="83"/>
      <c r="AN2449" s="80"/>
      <c r="AO2449" s="82" t="n">
        <f aca="false">IF(E2449="","",(AA2449&lt;&gt;"")+(AG2449&lt;&gt;"")+(AL2449&lt;&gt;""))</f>
        <v>1</v>
      </c>
      <c r="AP2449" s="82" t="str">
        <f aca="false">IF(AL2449&lt;&gt;"",AL2449,IF(AG2449&lt;&gt;"",AG2449,IF(AA2449&lt;&gt;"",AA2449,"")))</f>
        <v>A</v>
      </c>
      <c r="AQ2449" s="84" t="str">
        <f aca="false">IF(E2449="","",IF(U2449="","À SOUDER",IF(X2449="","VT EN ATTENTE",IF(X2449="R","VT REJETÉ – À REPRENDRE",IF(AP2449="","À RADIOGRAPHIER",IF(AP2449="A","ACCEPTÉ",IF(AP2449="NX","NX – RT À REFAIRE",IF(IF(AO2449=1,AD2449,IF(AO2449=2,AI2449,""))="A","RÉPARÉ – À RADIOGRAPHIER",IF(IF(AO2449=1,AD2449,IF(AO2449=2,AI2449,""))="R","VT REJETÉ – À REPRENDRE",IF(OR(AP2449="CO",AP2449="NT"),"COUPE – À RESOUDER","À RÉPARER"))))))))))</f>
        <v>ACCEPTÉ</v>
      </c>
      <c r="AR2449" s="82" t="str">
        <f aca="false">IF(AND(ISNUMBER(U2449),OR(AQ2449="À RADIOGRAPHIER",AQ2449="RÉPARÉ – À RADIOGRAPHIER",AQ2449="NX – RT À REFAIRE",AQ2449="À RÉPARER",AQ2449="COUPE – À RESOUDER",AQ2449="VT REJETÉ – À REPRENDRE")),MAX(0,'PROGRAMME RT'!$C$4-U2449),"")</f>
        <v/>
      </c>
      <c r="AS2449" s="82" t="n">
        <f aca="false">IF(AND(OR(AQ2449="À RADIOGRAPHIER",AQ2449="RÉPARÉ – À RADIOGRAPHIER",AQ2449="NX – RT À REFAIRE"),OR('PROGRAMME RT'!$D$5="TOUTES",B2449='PROGRAMME RT'!$D$5)),1,0)</f>
        <v>0</v>
      </c>
      <c r="AT2449" s="82" t="str">
        <f aca="false">IF(AS2449=1,SUM(AS$7:AS2449),"")</f>
        <v/>
      </c>
      <c r="AU2449" s="82" t="n">
        <f aca="false">IF(AND(OR(AA2449="R",AA2449="NX",AA2449="NT",AA2449="CO"),OR('JOINTS DE RÉPARATION'!$D$5="TOUTES",B2449='JOINTS DE RÉPARATION'!$D$5),OR('JOINTS DE RÉPARATION'!$L$4="TOUS",AQ2449&lt;&gt;"ACCEPTÉ")),1,0)</f>
        <v>0</v>
      </c>
      <c r="AV2449" s="82" t="str">
        <f aca="false">IF(AU2449=1,SUM(AU$7:AU2449),"")</f>
        <v/>
      </c>
      <c r="AW2449" s="82" t="str">
        <f aca="false">IF(E2449="","",B2449&amp;"|"&amp;E2449)</f>
        <v>MFD-ISW → MFD-CPF|JN°1965</v>
      </c>
    </row>
    <row r="2450" customFormat="false" ht="74.6" hidden="false" customHeight="false" outlineLevel="0" collapsed="false">
      <c r="A2450" s="79" t="n">
        <f aca="false">IF(E2450="","",ROW()-6)</f>
        <v>2444</v>
      </c>
      <c r="B2450" s="80" t="s">
        <v>110</v>
      </c>
      <c r="C2450" s="81" t="s">
        <v>2970</v>
      </c>
      <c r="D2450" s="81" t="n">
        <v>24</v>
      </c>
      <c r="E2450" s="81" t="s">
        <v>2975</v>
      </c>
      <c r="F2450" s="82" t="str">
        <f aca="false">IF(E2450="","",IF(LEFT(E2450,2)="DJ","DJ","JN"))</f>
        <v>JN</v>
      </c>
      <c r="G2450" s="81" t="s">
        <v>1504</v>
      </c>
      <c r="H2450" s="81" t="s">
        <v>871</v>
      </c>
      <c r="I2450" s="81" t="n">
        <v>9.53</v>
      </c>
      <c r="J2450" s="81" t="s">
        <v>872</v>
      </c>
      <c r="K2450" s="81" t="s">
        <v>879</v>
      </c>
      <c r="L2450" s="81" t="n">
        <v>2078680</v>
      </c>
      <c r="M2450" s="81" t="n">
        <v>15421101</v>
      </c>
      <c r="N2450" s="81" t="n">
        <v>11.94</v>
      </c>
      <c r="O2450" s="81" t="n">
        <v>2086100</v>
      </c>
      <c r="P2450" s="81" t="n">
        <v>15421107</v>
      </c>
      <c r="Q2450" s="81" t="n">
        <v>11.94</v>
      </c>
      <c r="R2450" s="81" t="s">
        <v>2921</v>
      </c>
      <c r="S2450" s="81"/>
      <c r="T2450" s="81"/>
      <c r="U2450" s="83" t="n">
        <v>46252</v>
      </c>
      <c r="V2450" s="83" t="n">
        <v>46252</v>
      </c>
      <c r="W2450" s="81" t="s">
        <v>2973</v>
      </c>
      <c r="X2450" s="81" t="s">
        <v>876</v>
      </c>
      <c r="Y2450" s="83" t="n">
        <v>46254</v>
      </c>
      <c r="Z2450" s="81" t="s">
        <v>2962</v>
      </c>
      <c r="AA2450" s="81" t="s">
        <v>876</v>
      </c>
      <c r="AB2450" s="81"/>
      <c r="AC2450" s="81"/>
      <c r="AD2450" s="81"/>
      <c r="AE2450" s="83"/>
      <c r="AF2450" s="81"/>
      <c r="AG2450" s="81"/>
      <c r="AH2450" s="81"/>
      <c r="AI2450" s="81"/>
      <c r="AJ2450" s="83"/>
      <c r="AK2450" s="81"/>
      <c r="AL2450" s="81"/>
      <c r="AM2450" s="83"/>
      <c r="AN2450" s="80"/>
      <c r="AO2450" s="82" t="n">
        <f aca="false">IF(E2450="","",(AA2450&lt;&gt;"")+(AG2450&lt;&gt;"")+(AL2450&lt;&gt;""))</f>
        <v>1</v>
      </c>
      <c r="AP2450" s="82" t="str">
        <f aca="false">IF(AL2450&lt;&gt;"",AL2450,IF(AG2450&lt;&gt;"",AG2450,IF(AA2450&lt;&gt;"",AA2450,"")))</f>
        <v>A</v>
      </c>
      <c r="AQ2450" s="84" t="str">
        <f aca="false">IF(E2450="","",IF(U2450="","À SOUDER",IF(X2450="","VT EN ATTENTE",IF(X2450="R","VT REJETÉ – À REPRENDRE",IF(AP2450="","À RADIOGRAPHIER",IF(AP2450="A","ACCEPTÉ",IF(AP2450="NX","NX – RT À REFAIRE",IF(IF(AO2450=1,AD2450,IF(AO2450=2,AI2450,""))="A","RÉPARÉ – À RADIOGRAPHIER",IF(IF(AO2450=1,AD2450,IF(AO2450=2,AI2450,""))="R","VT REJETÉ – À REPRENDRE",IF(OR(AP2450="CO",AP2450="NT"),"COUPE – À RESOUDER","À RÉPARER"))))))))))</f>
        <v>ACCEPTÉ</v>
      </c>
      <c r="AR2450" s="82" t="str">
        <f aca="false">IF(AND(ISNUMBER(U2450),OR(AQ2450="À RADIOGRAPHIER",AQ2450="RÉPARÉ – À RADIOGRAPHIER",AQ2450="NX – RT À REFAIRE",AQ2450="À RÉPARER",AQ2450="COUPE – À RESOUDER",AQ2450="VT REJETÉ – À REPRENDRE")),MAX(0,'PROGRAMME RT'!$C$4-U2450),"")</f>
        <v/>
      </c>
      <c r="AS2450" s="82" t="n">
        <f aca="false">IF(AND(OR(AQ2450="À RADIOGRAPHIER",AQ2450="RÉPARÉ – À RADIOGRAPHIER",AQ2450="NX – RT À REFAIRE"),OR('PROGRAMME RT'!$D$5="TOUTES",B2450='PROGRAMME RT'!$D$5)),1,0)</f>
        <v>0</v>
      </c>
      <c r="AT2450" s="82" t="str">
        <f aca="false">IF(AS2450=1,SUM(AS$7:AS2450),"")</f>
        <v/>
      </c>
      <c r="AU2450" s="82" t="n">
        <f aca="false">IF(AND(OR(AA2450="R",AA2450="NX",AA2450="NT",AA2450="CO"),OR('JOINTS DE RÉPARATION'!$D$5="TOUTES",B2450='JOINTS DE RÉPARATION'!$D$5),OR('JOINTS DE RÉPARATION'!$L$4="TOUS",AQ2450&lt;&gt;"ACCEPTÉ")),1,0)</f>
        <v>0</v>
      </c>
      <c r="AV2450" s="82" t="str">
        <f aca="false">IF(AU2450=1,SUM(AU$7:AU2450),"")</f>
        <v/>
      </c>
      <c r="AW2450" s="82" t="str">
        <f aca="false">IF(E2450="","",B2450&amp;"|"&amp;E2450)</f>
        <v>MFD-ISW → MFD-CPF|JN°1966</v>
      </c>
    </row>
    <row r="2451" customFormat="false" ht="74.6" hidden="false" customHeight="false" outlineLevel="0" collapsed="false">
      <c r="A2451" s="79" t="n">
        <f aca="false">IF(E2451="","",ROW()-6)</f>
        <v>2445</v>
      </c>
      <c r="B2451" s="80" t="s">
        <v>110</v>
      </c>
      <c r="C2451" s="81" t="s">
        <v>2970</v>
      </c>
      <c r="D2451" s="81" t="n">
        <v>24</v>
      </c>
      <c r="E2451" s="81" t="s">
        <v>2976</v>
      </c>
      <c r="F2451" s="82" t="str">
        <f aca="false">IF(E2451="","",IF(LEFT(E2451,2)="DJ","DJ","JN"))</f>
        <v>JN</v>
      </c>
      <c r="G2451" s="81" t="s">
        <v>1504</v>
      </c>
      <c r="H2451" s="81" t="s">
        <v>871</v>
      </c>
      <c r="I2451" s="81" t="n">
        <v>9.53</v>
      </c>
      <c r="J2451" s="81" t="s">
        <v>872</v>
      </c>
      <c r="K2451" s="81" t="s">
        <v>879</v>
      </c>
      <c r="L2451" s="81" t="n">
        <v>2086100</v>
      </c>
      <c r="M2451" s="81" t="n">
        <v>15421107</v>
      </c>
      <c r="N2451" s="81" t="n">
        <v>11.94</v>
      </c>
      <c r="O2451" s="81" t="n">
        <v>2088250</v>
      </c>
      <c r="P2451" s="81" t="n">
        <v>15421108</v>
      </c>
      <c r="Q2451" s="81" t="n">
        <v>11.94</v>
      </c>
      <c r="R2451" s="81" t="s">
        <v>2921</v>
      </c>
      <c r="S2451" s="81"/>
      <c r="T2451" s="81"/>
      <c r="U2451" s="83" t="n">
        <v>46252</v>
      </c>
      <c r="V2451" s="83" t="n">
        <v>46252</v>
      </c>
      <c r="W2451" s="81" t="s">
        <v>2973</v>
      </c>
      <c r="X2451" s="81" t="s">
        <v>876</v>
      </c>
      <c r="Y2451" s="83" t="n">
        <v>46254</v>
      </c>
      <c r="Z2451" s="81" t="s">
        <v>2962</v>
      </c>
      <c r="AA2451" s="81" t="s">
        <v>876</v>
      </c>
      <c r="AB2451" s="81"/>
      <c r="AC2451" s="81"/>
      <c r="AD2451" s="81"/>
      <c r="AE2451" s="83"/>
      <c r="AF2451" s="81"/>
      <c r="AG2451" s="81"/>
      <c r="AH2451" s="81"/>
      <c r="AI2451" s="81"/>
      <c r="AJ2451" s="83"/>
      <c r="AK2451" s="81"/>
      <c r="AL2451" s="81"/>
      <c r="AM2451" s="83"/>
      <c r="AN2451" s="80"/>
      <c r="AO2451" s="82" t="n">
        <f aca="false">IF(E2451="","",(AA2451&lt;&gt;"")+(AG2451&lt;&gt;"")+(AL2451&lt;&gt;""))</f>
        <v>1</v>
      </c>
      <c r="AP2451" s="82" t="str">
        <f aca="false">IF(AL2451&lt;&gt;"",AL2451,IF(AG2451&lt;&gt;"",AG2451,IF(AA2451&lt;&gt;"",AA2451,"")))</f>
        <v>A</v>
      </c>
      <c r="AQ2451" s="84" t="str">
        <f aca="false">IF(E2451="","",IF(U2451="","À SOUDER",IF(X2451="","VT EN ATTENTE",IF(X2451="R","VT REJETÉ – À REPRENDRE",IF(AP2451="","À RADIOGRAPHIER",IF(AP2451="A","ACCEPTÉ",IF(AP2451="NX","NX – RT À REFAIRE",IF(IF(AO2451=1,AD2451,IF(AO2451=2,AI2451,""))="A","RÉPARÉ – À RADIOGRAPHIER",IF(IF(AO2451=1,AD2451,IF(AO2451=2,AI2451,""))="R","VT REJETÉ – À REPRENDRE",IF(OR(AP2451="CO",AP2451="NT"),"COUPE – À RESOUDER","À RÉPARER"))))))))))</f>
        <v>ACCEPTÉ</v>
      </c>
      <c r="AR2451" s="82" t="str">
        <f aca="false">IF(AND(ISNUMBER(U2451),OR(AQ2451="À RADIOGRAPHIER",AQ2451="RÉPARÉ – À RADIOGRAPHIER",AQ2451="NX – RT À REFAIRE",AQ2451="À RÉPARER",AQ2451="COUPE – À RESOUDER",AQ2451="VT REJETÉ – À REPRENDRE")),MAX(0,'PROGRAMME RT'!$C$4-U2451),"")</f>
        <v/>
      </c>
      <c r="AS2451" s="82" t="n">
        <f aca="false">IF(AND(OR(AQ2451="À RADIOGRAPHIER",AQ2451="RÉPARÉ – À RADIOGRAPHIER",AQ2451="NX – RT À REFAIRE"),OR('PROGRAMME RT'!$D$5="TOUTES",B2451='PROGRAMME RT'!$D$5)),1,0)</f>
        <v>0</v>
      </c>
      <c r="AT2451" s="82" t="str">
        <f aca="false">IF(AS2451=1,SUM(AS$7:AS2451),"")</f>
        <v/>
      </c>
      <c r="AU2451" s="82" t="n">
        <f aca="false">IF(AND(OR(AA2451="R",AA2451="NX",AA2451="NT",AA2451="CO"),OR('JOINTS DE RÉPARATION'!$D$5="TOUTES",B2451='JOINTS DE RÉPARATION'!$D$5),OR('JOINTS DE RÉPARATION'!$L$4="TOUS",AQ2451&lt;&gt;"ACCEPTÉ")),1,0)</f>
        <v>0</v>
      </c>
      <c r="AV2451" s="82" t="str">
        <f aca="false">IF(AU2451=1,SUM(AU$7:AU2451),"")</f>
        <v/>
      </c>
      <c r="AW2451" s="82" t="str">
        <f aca="false">IF(E2451="","",B2451&amp;"|"&amp;E2451)</f>
        <v>MFD-ISW → MFD-CPF|JN°1967</v>
      </c>
    </row>
    <row r="2452" customFormat="false" ht="74.6" hidden="false" customHeight="false" outlineLevel="0" collapsed="false">
      <c r="A2452" s="79" t="n">
        <f aca="false">IF(E2452="","",ROW()-6)</f>
        <v>2446</v>
      </c>
      <c r="B2452" s="80" t="s">
        <v>110</v>
      </c>
      <c r="C2452" s="81" t="s">
        <v>2970</v>
      </c>
      <c r="D2452" s="81" t="n">
        <v>24</v>
      </c>
      <c r="E2452" s="81" t="s">
        <v>2977</v>
      </c>
      <c r="F2452" s="82" t="str">
        <f aca="false">IF(E2452="","",IF(LEFT(E2452,2)="DJ","DJ","JN"))</f>
        <v>JN</v>
      </c>
      <c r="G2452" s="81" t="s">
        <v>1504</v>
      </c>
      <c r="H2452" s="81" t="s">
        <v>871</v>
      </c>
      <c r="I2452" s="81" t="n">
        <v>9.53</v>
      </c>
      <c r="J2452" s="81" t="s">
        <v>872</v>
      </c>
      <c r="K2452" s="81" t="s">
        <v>879</v>
      </c>
      <c r="L2452" s="81" t="n">
        <v>2088250</v>
      </c>
      <c r="M2452" s="81" t="n">
        <v>15421108</v>
      </c>
      <c r="N2452" s="81" t="n">
        <v>11.94</v>
      </c>
      <c r="O2452" s="81" t="n">
        <v>2089340</v>
      </c>
      <c r="P2452" s="81" t="n">
        <v>15421108</v>
      </c>
      <c r="Q2452" s="81" t="n">
        <v>11.94</v>
      </c>
      <c r="R2452" s="81" t="s">
        <v>2921</v>
      </c>
      <c r="S2452" s="81"/>
      <c r="T2452" s="81"/>
      <c r="U2452" s="83" t="n">
        <v>46252</v>
      </c>
      <c r="V2452" s="83" t="n">
        <v>46252</v>
      </c>
      <c r="W2452" s="81" t="s">
        <v>2973</v>
      </c>
      <c r="X2452" s="81" t="s">
        <v>876</v>
      </c>
      <c r="Y2452" s="83" t="n">
        <v>46254</v>
      </c>
      <c r="Z2452" s="81" t="s">
        <v>2962</v>
      </c>
      <c r="AA2452" s="81" t="s">
        <v>876</v>
      </c>
      <c r="AB2452" s="81"/>
      <c r="AC2452" s="81"/>
      <c r="AD2452" s="81"/>
      <c r="AE2452" s="83"/>
      <c r="AF2452" s="81"/>
      <c r="AG2452" s="81"/>
      <c r="AH2452" s="81"/>
      <c r="AI2452" s="81"/>
      <c r="AJ2452" s="83"/>
      <c r="AK2452" s="81"/>
      <c r="AL2452" s="81"/>
      <c r="AM2452" s="83"/>
      <c r="AN2452" s="80"/>
      <c r="AO2452" s="82" t="n">
        <f aca="false">IF(E2452="","",(AA2452&lt;&gt;"")+(AG2452&lt;&gt;"")+(AL2452&lt;&gt;""))</f>
        <v>1</v>
      </c>
      <c r="AP2452" s="82" t="str">
        <f aca="false">IF(AL2452&lt;&gt;"",AL2452,IF(AG2452&lt;&gt;"",AG2452,IF(AA2452&lt;&gt;"",AA2452,"")))</f>
        <v>A</v>
      </c>
      <c r="AQ2452" s="84" t="str">
        <f aca="false">IF(E2452="","",IF(U2452="","À SOUDER",IF(X2452="","VT EN ATTENTE",IF(X2452="R","VT REJETÉ – À REPRENDRE",IF(AP2452="","À RADIOGRAPHIER",IF(AP2452="A","ACCEPTÉ",IF(AP2452="NX","NX – RT À REFAIRE",IF(IF(AO2452=1,AD2452,IF(AO2452=2,AI2452,""))="A","RÉPARÉ – À RADIOGRAPHIER",IF(IF(AO2452=1,AD2452,IF(AO2452=2,AI2452,""))="R","VT REJETÉ – À REPRENDRE",IF(OR(AP2452="CO",AP2452="NT"),"COUPE – À RESOUDER","À RÉPARER"))))))))))</f>
        <v>ACCEPTÉ</v>
      </c>
      <c r="AR2452" s="82" t="str">
        <f aca="false">IF(AND(ISNUMBER(U2452),OR(AQ2452="À RADIOGRAPHIER",AQ2452="RÉPARÉ – À RADIOGRAPHIER",AQ2452="NX – RT À REFAIRE",AQ2452="À RÉPARER",AQ2452="COUPE – À RESOUDER",AQ2452="VT REJETÉ – À REPRENDRE")),MAX(0,'PROGRAMME RT'!$C$4-U2452),"")</f>
        <v/>
      </c>
      <c r="AS2452" s="82" t="n">
        <f aca="false">IF(AND(OR(AQ2452="À RADIOGRAPHIER",AQ2452="RÉPARÉ – À RADIOGRAPHIER",AQ2452="NX – RT À REFAIRE"),OR('PROGRAMME RT'!$D$5="TOUTES",B2452='PROGRAMME RT'!$D$5)),1,0)</f>
        <v>0</v>
      </c>
      <c r="AT2452" s="82" t="str">
        <f aca="false">IF(AS2452=1,SUM(AS$7:AS2452),"")</f>
        <v/>
      </c>
      <c r="AU2452" s="82" t="n">
        <f aca="false">IF(AND(OR(AA2452="R",AA2452="NX",AA2452="NT",AA2452="CO"),OR('JOINTS DE RÉPARATION'!$D$5="TOUTES",B2452='JOINTS DE RÉPARATION'!$D$5),OR('JOINTS DE RÉPARATION'!$L$4="TOUS",AQ2452&lt;&gt;"ACCEPTÉ")),1,0)</f>
        <v>0</v>
      </c>
      <c r="AV2452" s="82" t="str">
        <f aca="false">IF(AU2452=1,SUM(AU$7:AU2452),"")</f>
        <v/>
      </c>
      <c r="AW2452" s="82" t="str">
        <f aca="false">IF(E2452="","",B2452&amp;"|"&amp;E2452)</f>
        <v>MFD-ISW → MFD-CPF|JN°1968</v>
      </c>
    </row>
    <row r="2453" customFormat="false" ht="74.6" hidden="false" customHeight="false" outlineLevel="0" collapsed="false">
      <c r="A2453" s="79" t="n">
        <f aca="false">IF(E2453="","",ROW()-6)</f>
        <v>2447</v>
      </c>
      <c r="B2453" s="80" t="s">
        <v>110</v>
      </c>
      <c r="C2453" s="81" t="s">
        <v>2970</v>
      </c>
      <c r="D2453" s="81" t="n">
        <v>24</v>
      </c>
      <c r="E2453" s="81" t="s">
        <v>2978</v>
      </c>
      <c r="F2453" s="82" t="str">
        <f aca="false">IF(E2453="","",IF(LEFT(E2453,2)="DJ","DJ","JN"))</f>
        <v>JN</v>
      </c>
      <c r="G2453" s="81" t="s">
        <v>1504</v>
      </c>
      <c r="H2453" s="81" t="s">
        <v>871</v>
      </c>
      <c r="I2453" s="81" t="n">
        <v>9.53</v>
      </c>
      <c r="J2453" s="81" t="s">
        <v>872</v>
      </c>
      <c r="K2453" s="81" t="s">
        <v>879</v>
      </c>
      <c r="L2453" s="81" t="n">
        <v>2089340</v>
      </c>
      <c r="M2453" s="81" t="n">
        <v>15421108</v>
      </c>
      <c r="N2453" s="81" t="n">
        <v>11.94</v>
      </c>
      <c r="O2453" s="81" t="n">
        <v>2083950</v>
      </c>
      <c r="P2453" s="81" t="n">
        <v>15421101</v>
      </c>
      <c r="Q2453" s="81" t="n">
        <v>11.94</v>
      </c>
      <c r="R2453" s="81" t="s">
        <v>2921</v>
      </c>
      <c r="S2453" s="81"/>
      <c r="T2453" s="81"/>
      <c r="U2453" s="83" t="n">
        <v>46252</v>
      </c>
      <c r="V2453" s="83" t="n">
        <v>46252</v>
      </c>
      <c r="W2453" s="81" t="s">
        <v>2973</v>
      </c>
      <c r="X2453" s="81" t="s">
        <v>876</v>
      </c>
      <c r="Y2453" s="83" t="n">
        <v>46254</v>
      </c>
      <c r="Z2453" s="81" t="s">
        <v>2962</v>
      </c>
      <c r="AA2453" s="81" t="s">
        <v>876</v>
      </c>
      <c r="AB2453" s="81"/>
      <c r="AC2453" s="81"/>
      <c r="AD2453" s="81"/>
      <c r="AE2453" s="83"/>
      <c r="AF2453" s="81"/>
      <c r="AG2453" s="81"/>
      <c r="AH2453" s="81"/>
      <c r="AI2453" s="81"/>
      <c r="AJ2453" s="83"/>
      <c r="AK2453" s="81"/>
      <c r="AL2453" s="81"/>
      <c r="AM2453" s="83"/>
      <c r="AN2453" s="80"/>
      <c r="AO2453" s="82" t="n">
        <f aca="false">IF(E2453="","",(AA2453&lt;&gt;"")+(AG2453&lt;&gt;"")+(AL2453&lt;&gt;""))</f>
        <v>1</v>
      </c>
      <c r="AP2453" s="82" t="str">
        <f aca="false">IF(AL2453&lt;&gt;"",AL2453,IF(AG2453&lt;&gt;"",AG2453,IF(AA2453&lt;&gt;"",AA2453,"")))</f>
        <v>A</v>
      </c>
      <c r="AQ2453" s="84" t="str">
        <f aca="false">IF(E2453="","",IF(U2453="","À SOUDER",IF(X2453="","VT EN ATTENTE",IF(X2453="R","VT REJETÉ – À REPRENDRE",IF(AP2453="","À RADIOGRAPHIER",IF(AP2453="A","ACCEPTÉ",IF(AP2453="NX","NX – RT À REFAIRE",IF(IF(AO2453=1,AD2453,IF(AO2453=2,AI2453,""))="A","RÉPARÉ – À RADIOGRAPHIER",IF(IF(AO2453=1,AD2453,IF(AO2453=2,AI2453,""))="R","VT REJETÉ – À REPRENDRE",IF(OR(AP2453="CO",AP2453="NT"),"COUPE – À RESOUDER","À RÉPARER"))))))))))</f>
        <v>ACCEPTÉ</v>
      </c>
      <c r="AR2453" s="82" t="str">
        <f aca="false">IF(AND(ISNUMBER(U2453),OR(AQ2453="À RADIOGRAPHIER",AQ2453="RÉPARÉ – À RADIOGRAPHIER",AQ2453="NX – RT À REFAIRE",AQ2453="À RÉPARER",AQ2453="COUPE – À RESOUDER",AQ2453="VT REJETÉ – À REPRENDRE")),MAX(0,'PROGRAMME RT'!$C$4-U2453),"")</f>
        <v/>
      </c>
      <c r="AS2453" s="82" t="n">
        <f aca="false">IF(AND(OR(AQ2453="À RADIOGRAPHIER",AQ2453="RÉPARÉ – À RADIOGRAPHIER",AQ2453="NX – RT À REFAIRE"),OR('PROGRAMME RT'!$D$5="TOUTES",B2453='PROGRAMME RT'!$D$5)),1,0)</f>
        <v>0</v>
      </c>
      <c r="AT2453" s="82" t="str">
        <f aca="false">IF(AS2453=1,SUM(AS$7:AS2453),"")</f>
        <v/>
      </c>
      <c r="AU2453" s="82" t="n">
        <f aca="false">IF(AND(OR(AA2453="R",AA2453="NX",AA2453="NT",AA2453="CO"),OR('JOINTS DE RÉPARATION'!$D$5="TOUTES",B2453='JOINTS DE RÉPARATION'!$D$5),OR('JOINTS DE RÉPARATION'!$L$4="TOUS",AQ2453&lt;&gt;"ACCEPTÉ")),1,0)</f>
        <v>0</v>
      </c>
      <c r="AV2453" s="82" t="str">
        <f aca="false">IF(AU2453=1,SUM(AU$7:AU2453),"")</f>
        <v/>
      </c>
      <c r="AW2453" s="82" t="str">
        <f aca="false">IF(E2453="","",B2453&amp;"|"&amp;E2453)</f>
        <v>MFD-ISW → MFD-CPF|JN°1969</v>
      </c>
    </row>
    <row r="2454" customFormat="false" ht="74.6" hidden="false" customHeight="false" outlineLevel="0" collapsed="false">
      <c r="A2454" s="79" t="n">
        <f aca="false">IF(E2454="","",ROW()-6)</f>
        <v>2448</v>
      </c>
      <c r="B2454" s="80" t="s">
        <v>110</v>
      </c>
      <c r="C2454" s="81" t="s">
        <v>2970</v>
      </c>
      <c r="D2454" s="81" t="n">
        <v>24</v>
      </c>
      <c r="E2454" s="81" t="s">
        <v>2979</v>
      </c>
      <c r="F2454" s="82" t="str">
        <f aca="false">IF(E2454="","",IF(LEFT(E2454,2)="DJ","DJ","JN"))</f>
        <v>JN</v>
      </c>
      <c r="G2454" s="81" t="s">
        <v>1504</v>
      </c>
      <c r="H2454" s="81" t="s">
        <v>871</v>
      </c>
      <c r="I2454" s="81" t="n">
        <v>9.53</v>
      </c>
      <c r="J2454" s="81" t="s">
        <v>872</v>
      </c>
      <c r="K2454" s="81" t="s">
        <v>879</v>
      </c>
      <c r="L2454" s="81" t="n">
        <v>2083950</v>
      </c>
      <c r="M2454" s="81" t="n">
        <v>15421101</v>
      </c>
      <c r="N2454" s="81" t="n">
        <v>11.94</v>
      </c>
      <c r="O2454" s="81" t="n">
        <v>2083110</v>
      </c>
      <c r="P2454" s="81" t="n">
        <v>15421108</v>
      </c>
      <c r="Q2454" s="81" t="n">
        <v>11.94</v>
      </c>
      <c r="R2454" s="81" t="s">
        <v>2921</v>
      </c>
      <c r="S2454" s="81"/>
      <c r="T2454" s="81"/>
      <c r="U2454" s="83" t="n">
        <v>46252</v>
      </c>
      <c r="V2454" s="83" t="n">
        <v>46252</v>
      </c>
      <c r="W2454" s="81" t="s">
        <v>2973</v>
      </c>
      <c r="X2454" s="81" t="s">
        <v>876</v>
      </c>
      <c r="Y2454" s="83" t="n">
        <v>46254</v>
      </c>
      <c r="Z2454" s="81" t="s">
        <v>2962</v>
      </c>
      <c r="AA2454" s="81" t="s">
        <v>876</v>
      </c>
      <c r="AB2454" s="81"/>
      <c r="AC2454" s="81"/>
      <c r="AD2454" s="81"/>
      <c r="AE2454" s="83"/>
      <c r="AF2454" s="81"/>
      <c r="AG2454" s="81"/>
      <c r="AH2454" s="81"/>
      <c r="AI2454" s="81"/>
      <c r="AJ2454" s="83"/>
      <c r="AK2454" s="81"/>
      <c r="AL2454" s="81"/>
      <c r="AM2454" s="83"/>
      <c r="AN2454" s="80"/>
      <c r="AO2454" s="82" t="n">
        <f aca="false">IF(E2454="","",(AA2454&lt;&gt;"")+(AG2454&lt;&gt;"")+(AL2454&lt;&gt;""))</f>
        <v>1</v>
      </c>
      <c r="AP2454" s="82" t="str">
        <f aca="false">IF(AL2454&lt;&gt;"",AL2454,IF(AG2454&lt;&gt;"",AG2454,IF(AA2454&lt;&gt;"",AA2454,"")))</f>
        <v>A</v>
      </c>
      <c r="AQ2454" s="84" t="str">
        <f aca="false">IF(E2454="","",IF(U2454="","À SOUDER",IF(X2454="","VT EN ATTENTE",IF(X2454="R","VT REJETÉ – À REPRENDRE",IF(AP2454="","À RADIOGRAPHIER",IF(AP2454="A","ACCEPTÉ",IF(AP2454="NX","NX – RT À REFAIRE",IF(IF(AO2454=1,AD2454,IF(AO2454=2,AI2454,""))="A","RÉPARÉ – À RADIOGRAPHIER",IF(IF(AO2454=1,AD2454,IF(AO2454=2,AI2454,""))="R","VT REJETÉ – À REPRENDRE",IF(OR(AP2454="CO",AP2454="NT"),"COUPE – À RESOUDER","À RÉPARER"))))))))))</f>
        <v>ACCEPTÉ</v>
      </c>
      <c r="AR2454" s="82" t="str">
        <f aca="false">IF(AND(ISNUMBER(U2454),OR(AQ2454="À RADIOGRAPHIER",AQ2454="RÉPARÉ – À RADIOGRAPHIER",AQ2454="NX – RT À REFAIRE",AQ2454="À RÉPARER",AQ2454="COUPE – À RESOUDER",AQ2454="VT REJETÉ – À REPRENDRE")),MAX(0,'PROGRAMME RT'!$C$4-U2454),"")</f>
        <v/>
      </c>
      <c r="AS2454" s="82" t="n">
        <f aca="false">IF(AND(OR(AQ2454="À RADIOGRAPHIER",AQ2454="RÉPARÉ – À RADIOGRAPHIER",AQ2454="NX – RT À REFAIRE"),OR('PROGRAMME RT'!$D$5="TOUTES",B2454='PROGRAMME RT'!$D$5)),1,0)</f>
        <v>0</v>
      </c>
      <c r="AT2454" s="82" t="str">
        <f aca="false">IF(AS2454=1,SUM(AS$7:AS2454),"")</f>
        <v/>
      </c>
      <c r="AU2454" s="82" t="n">
        <f aca="false">IF(AND(OR(AA2454="R",AA2454="NX",AA2454="NT",AA2454="CO"),OR('JOINTS DE RÉPARATION'!$D$5="TOUTES",B2454='JOINTS DE RÉPARATION'!$D$5),OR('JOINTS DE RÉPARATION'!$L$4="TOUS",AQ2454&lt;&gt;"ACCEPTÉ")),1,0)</f>
        <v>0</v>
      </c>
      <c r="AV2454" s="82" t="str">
        <f aca="false">IF(AU2454=1,SUM(AU$7:AU2454),"")</f>
        <v/>
      </c>
      <c r="AW2454" s="82" t="str">
        <f aca="false">IF(E2454="","",B2454&amp;"|"&amp;E2454)</f>
        <v>MFD-ISW → MFD-CPF|JN°1970</v>
      </c>
    </row>
    <row r="2455" customFormat="false" ht="74.6" hidden="false" customHeight="false" outlineLevel="0" collapsed="false">
      <c r="A2455" s="79" t="n">
        <f aca="false">IF(E2455="","",ROW()-6)</f>
        <v>2449</v>
      </c>
      <c r="B2455" s="80" t="s">
        <v>110</v>
      </c>
      <c r="C2455" s="81" t="s">
        <v>2970</v>
      </c>
      <c r="D2455" s="81" t="n">
        <v>24</v>
      </c>
      <c r="E2455" s="81" t="s">
        <v>2980</v>
      </c>
      <c r="F2455" s="82" t="str">
        <f aca="false">IF(E2455="","",IF(LEFT(E2455,2)="DJ","DJ","JN"))</f>
        <v>JN</v>
      </c>
      <c r="G2455" s="81" t="s">
        <v>1504</v>
      </c>
      <c r="H2455" s="81" t="s">
        <v>871</v>
      </c>
      <c r="I2455" s="81" t="n">
        <v>9.53</v>
      </c>
      <c r="J2455" s="81" t="s">
        <v>872</v>
      </c>
      <c r="K2455" s="81" t="s">
        <v>879</v>
      </c>
      <c r="L2455" s="81" t="n">
        <v>2083110</v>
      </c>
      <c r="M2455" s="81" t="n">
        <v>15421108</v>
      </c>
      <c r="N2455" s="81" t="n">
        <v>11.94</v>
      </c>
      <c r="O2455" s="81" t="n">
        <v>2096190</v>
      </c>
      <c r="P2455" s="81" t="n">
        <v>15421111</v>
      </c>
      <c r="Q2455" s="81" t="n">
        <v>11.94</v>
      </c>
      <c r="R2455" s="81" t="s">
        <v>2921</v>
      </c>
      <c r="S2455" s="81"/>
      <c r="T2455" s="81"/>
      <c r="U2455" s="83" t="n">
        <v>46252</v>
      </c>
      <c r="V2455" s="83" t="n">
        <v>46252</v>
      </c>
      <c r="W2455" s="81" t="s">
        <v>2973</v>
      </c>
      <c r="X2455" s="81" t="s">
        <v>876</v>
      </c>
      <c r="Y2455" s="83" t="n">
        <v>46254</v>
      </c>
      <c r="Z2455" s="81" t="s">
        <v>2962</v>
      </c>
      <c r="AA2455" s="81" t="s">
        <v>876</v>
      </c>
      <c r="AB2455" s="81"/>
      <c r="AC2455" s="81"/>
      <c r="AD2455" s="81"/>
      <c r="AE2455" s="83"/>
      <c r="AF2455" s="81"/>
      <c r="AG2455" s="81"/>
      <c r="AH2455" s="81"/>
      <c r="AI2455" s="81"/>
      <c r="AJ2455" s="83"/>
      <c r="AK2455" s="81"/>
      <c r="AL2455" s="81"/>
      <c r="AM2455" s="83"/>
      <c r="AN2455" s="80"/>
      <c r="AO2455" s="82" t="n">
        <f aca="false">IF(E2455="","",(AA2455&lt;&gt;"")+(AG2455&lt;&gt;"")+(AL2455&lt;&gt;""))</f>
        <v>1</v>
      </c>
      <c r="AP2455" s="82" t="str">
        <f aca="false">IF(AL2455&lt;&gt;"",AL2455,IF(AG2455&lt;&gt;"",AG2455,IF(AA2455&lt;&gt;"",AA2455,"")))</f>
        <v>A</v>
      </c>
      <c r="AQ2455" s="84" t="str">
        <f aca="false">IF(E2455="","",IF(U2455="","À SOUDER",IF(X2455="","VT EN ATTENTE",IF(X2455="R","VT REJETÉ – À REPRENDRE",IF(AP2455="","À RADIOGRAPHIER",IF(AP2455="A","ACCEPTÉ",IF(AP2455="NX","NX – RT À REFAIRE",IF(IF(AO2455=1,AD2455,IF(AO2455=2,AI2455,""))="A","RÉPARÉ – À RADIOGRAPHIER",IF(IF(AO2455=1,AD2455,IF(AO2455=2,AI2455,""))="R","VT REJETÉ – À REPRENDRE",IF(OR(AP2455="CO",AP2455="NT"),"COUPE – À RESOUDER","À RÉPARER"))))))))))</f>
        <v>ACCEPTÉ</v>
      </c>
      <c r="AR2455" s="82" t="str">
        <f aca="false">IF(AND(ISNUMBER(U2455),OR(AQ2455="À RADIOGRAPHIER",AQ2455="RÉPARÉ – À RADIOGRAPHIER",AQ2455="NX – RT À REFAIRE",AQ2455="À RÉPARER",AQ2455="COUPE – À RESOUDER",AQ2455="VT REJETÉ – À REPRENDRE")),MAX(0,'PROGRAMME RT'!$C$4-U2455),"")</f>
        <v/>
      </c>
      <c r="AS2455" s="82" t="n">
        <f aca="false">IF(AND(OR(AQ2455="À RADIOGRAPHIER",AQ2455="RÉPARÉ – À RADIOGRAPHIER",AQ2455="NX – RT À REFAIRE"),OR('PROGRAMME RT'!$D$5="TOUTES",B2455='PROGRAMME RT'!$D$5)),1,0)</f>
        <v>0</v>
      </c>
      <c r="AT2455" s="82" t="str">
        <f aca="false">IF(AS2455=1,SUM(AS$7:AS2455),"")</f>
        <v/>
      </c>
      <c r="AU2455" s="82" t="n">
        <f aca="false">IF(AND(OR(AA2455="R",AA2455="NX",AA2455="NT",AA2455="CO"),OR('JOINTS DE RÉPARATION'!$D$5="TOUTES",B2455='JOINTS DE RÉPARATION'!$D$5),OR('JOINTS DE RÉPARATION'!$L$4="TOUS",AQ2455&lt;&gt;"ACCEPTÉ")),1,0)</f>
        <v>0</v>
      </c>
      <c r="AV2455" s="82" t="str">
        <f aca="false">IF(AU2455=1,SUM(AU$7:AU2455),"")</f>
        <v/>
      </c>
      <c r="AW2455" s="82" t="str">
        <f aca="false">IF(E2455="","",B2455&amp;"|"&amp;E2455)</f>
        <v>MFD-ISW → MFD-CPF|JN°1971</v>
      </c>
    </row>
    <row r="2456" customFormat="false" ht="74.6" hidden="false" customHeight="false" outlineLevel="0" collapsed="false">
      <c r="A2456" s="79" t="n">
        <f aca="false">IF(E2456="","",ROW()-6)</f>
        <v>2450</v>
      </c>
      <c r="B2456" s="80" t="s">
        <v>110</v>
      </c>
      <c r="C2456" s="81" t="s">
        <v>2970</v>
      </c>
      <c r="D2456" s="81" t="n">
        <v>24</v>
      </c>
      <c r="E2456" s="81" t="s">
        <v>2981</v>
      </c>
      <c r="F2456" s="82" t="str">
        <f aca="false">IF(E2456="","",IF(LEFT(E2456,2)="DJ","DJ","JN"))</f>
        <v>JN</v>
      </c>
      <c r="G2456" s="81" t="s">
        <v>1504</v>
      </c>
      <c r="H2456" s="81" t="s">
        <v>871</v>
      </c>
      <c r="I2456" s="81" t="n">
        <v>9.53</v>
      </c>
      <c r="J2456" s="81" t="s">
        <v>872</v>
      </c>
      <c r="K2456" s="81" t="s">
        <v>879</v>
      </c>
      <c r="L2456" s="81" t="n">
        <v>2096190</v>
      </c>
      <c r="M2456" s="81" t="n">
        <v>15421111</v>
      </c>
      <c r="N2456" s="81" t="n">
        <v>11.94</v>
      </c>
      <c r="O2456" s="81" t="n">
        <v>2095020</v>
      </c>
      <c r="P2456" s="81" t="n">
        <v>15421111</v>
      </c>
      <c r="Q2456" s="81" t="n">
        <v>11.94</v>
      </c>
      <c r="R2456" s="81" t="s">
        <v>2921</v>
      </c>
      <c r="S2456" s="81"/>
      <c r="T2456" s="81"/>
      <c r="U2456" s="83" t="n">
        <v>46252</v>
      </c>
      <c r="V2456" s="83" t="n">
        <v>46252</v>
      </c>
      <c r="W2456" s="81" t="s">
        <v>2973</v>
      </c>
      <c r="X2456" s="81" t="s">
        <v>876</v>
      </c>
      <c r="Y2456" s="83" t="n">
        <v>46254</v>
      </c>
      <c r="Z2456" s="81" t="s">
        <v>2962</v>
      </c>
      <c r="AA2456" s="81" t="s">
        <v>876</v>
      </c>
      <c r="AB2456" s="81"/>
      <c r="AC2456" s="81"/>
      <c r="AD2456" s="81"/>
      <c r="AE2456" s="83"/>
      <c r="AF2456" s="81"/>
      <c r="AG2456" s="81"/>
      <c r="AH2456" s="81"/>
      <c r="AI2456" s="81"/>
      <c r="AJ2456" s="83"/>
      <c r="AK2456" s="81"/>
      <c r="AL2456" s="81"/>
      <c r="AM2456" s="83"/>
      <c r="AN2456" s="80"/>
      <c r="AO2456" s="82" t="n">
        <f aca="false">IF(E2456="","",(AA2456&lt;&gt;"")+(AG2456&lt;&gt;"")+(AL2456&lt;&gt;""))</f>
        <v>1</v>
      </c>
      <c r="AP2456" s="82" t="str">
        <f aca="false">IF(AL2456&lt;&gt;"",AL2456,IF(AG2456&lt;&gt;"",AG2456,IF(AA2456&lt;&gt;"",AA2456,"")))</f>
        <v>A</v>
      </c>
      <c r="AQ2456" s="84" t="str">
        <f aca="false">IF(E2456="","",IF(U2456="","À SOUDER",IF(X2456="","VT EN ATTENTE",IF(X2456="R","VT REJETÉ – À REPRENDRE",IF(AP2456="","À RADIOGRAPHIER",IF(AP2456="A","ACCEPTÉ",IF(AP2456="NX","NX – RT À REFAIRE",IF(IF(AO2456=1,AD2456,IF(AO2456=2,AI2456,""))="A","RÉPARÉ – À RADIOGRAPHIER",IF(IF(AO2456=1,AD2456,IF(AO2456=2,AI2456,""))="R","VT REJETÉ – À REPRENDRE",IF(OR(AP2456="CO",AP2456="NT"),"COUPE – À RESOUDER","À RÉPARER"))))))))))</f>
        <v>ACCEPTÉ</v>
      </c>
      <c r="AR2456" s="82" t="str">
        <f aca="false">IF(AND(ISNUMBER(U2456),OR(AQ2456="À RADIOGRAPHIER",AQ2456="RÉPARÉ – À RADIOGRAPHIER",AQ2456="NX – RT À REFAIRE",AQ2456="À RÉPARER",AQ2456="COUPE – À RESOUDER",AQ2456="VT REJETÉ – À REPRENDRE")),MAX(0,'PROGRAMME RT'!$C$4-U2456),"")</f>
        <v/>
      </c>
      <c r="AS2456" s="82" t="n">
        <f aca="false">IF(AND(OR(AQ2456="À RADIOGRAPHIER",AQ2456="RÉPARÉ – À RADIOGRAPHIER",AQ2456="NX – RT À REFAIRE"),OR('PROGRAMME RT'!$D$5="TOUTES",B2456='PROGRAMME RT'!$D$5)),1,0)</f>
        <v>0</v>
      </c>
      <c r="AT2456" s="82" t="str">
        <f aca="false">IF(AS2456=1,SUM(AS$7:AS2456),"")</f>
        <v/>
      </c>
      <c r="AU2456" s="82" t="n">
        <f aca="false">IF(AND(OR(AA2456="R",AA2456="NX",AA2456="NT",AA2456="CO"),OR('JOINTS DE RÉPARATION'!$D$5="TOUTES",B2456='JOINTS DE RÉPARATION'!$D$5),OR('JOINTS DE RÉPARATION'!$L$4="TOUS",AQ2456&lt;&gt;"ACCEPTÉ")),1,0)</f>
        <v>0</v>
      </c>
      <c r="AV2456" s="82" t="str">
        <f aca="false">IF(AU2456=1,SUM(AU$7:AU2456),"")</f>
        <v/>
      </c>
      <c r="AW2456" s="82" t="str">
        <f aca="false">IF(E2456="","",B2456&amp;"|"&amp;E2456)</f>
        <v>MFD-ISW → MFD-CPF|JN°1972</v>
      </c>
    </row>
    <row r="2457" customFormat="false" ht="74.6" hidden="false" customHeight="false" outlineLevel="0" collapsed="false">
      <c r="A2457" s="79" t="n">
        <f aca="false">IF(E2457="","",ROW()-6)</f>
        <v>2451</v>
      </c>
      <c r="B2457" s="80" t="s">
        <v>110</v>
      </c>
      <c r="C2457" s="81" t="s">
        <v>2970</v>
      </c>
      <c r="D2457" s="81" t="n">
        <v>24</v>
      </c>
      <c r="E2457" s="81" t="s">
        <v>2982</v>
      </c>
      <c r="F2457" s="82" t="str">
        <f aca="false">IF(E2457="","",IF(LEFT(E2457,2)="DJ","DJ","JN"))</f>
        <v>JN</v>
      </c>
      <c r="G2457" s="81" t="s">
        <v>1504</v>
      </c>
      <c r="H2457" s="81" t="s">
        <v>871</v>
      </c>
      <c r="I2457" s="81" t="n">
        <v>9.53</v>
      </c>
      <c r="J2457" s="81" t="s">
        <v>872</v>
      </c>
      <c r="K2457" s="81" t="s">
        <v>879</v>
      </c>
      <c r="L2457" s="81" t="n">
        <v>2095020</v>
      </c>
      <c r="M2457" s="81" t="n">
        <v>15421111</v>
      </c>
      <c r="N2457" s="81" t="n">
        <v>11.94</v>
      </c>
      <c r="O2457" s="81" t="n">
        <v>2091710</v>
      </c>
      <c r="P2457" s="81" t="n">
        <v>15421109</v>
      </c>
      <c r="Q2457" s="81" t="n">
        <v>11.94</v>
      </c>
      <c r="R2457" s="81" t="s">
        <v>2921</v>
      </c>
      <c r="S2457" s="81"/>
      <c r="T2457" s="81"/>
      <c r="U2457" s="83" t="n">
        <v>46252</v>
      </c>
      <c r="V2457" s="83" t="n">
        <v>46252</v>
      </c>
      <c r="W2457" s="81" t="s">
        <v>2973</v>
      </c>
      <c r="X2457" s="81" t="s">
        <v>876</v>
      </c>
      <c r="Y2457" s="83" t="n">
        <v>46254</v>
      </c>
      <c r="Z2457" s="81" t="s">
        <v>2962</v>
      </c>
      <c r="AA2457" s="81" t="s">
        <v>876</v>
      </c>
      <c r="AB2457" s="81"/>
      <c r="AC2457" s="81"/>
      <c r="AD2457" s="81"/>
      <c r="AE2457" s="83"/>
      <c r="AF2457" s="81"/>
      <c r="AG2457" s="81"/>
      <c r="AH2457" s="81"/>
      <c r="AI2457" s="81"/>
      <c r="AJ2457" s="83"/>
      <c r="AK2457" s="81"/>
      <c r="AL2457" s="81"/>
      <c r="AM2457" s="83"/>
      <c r="AN2457" s="80"/>
      <c r="AO2457" s="82" t="n">
        <f aca="false">IF(E2457="","",(AA2457&lt;&gt;"")+(AG2457&lt;&gt;"")+(AL2457&lt;&gt;""))</f>
        <v>1</v>
      </c>
      <c r="AP2457" s="82" t="str">
        <f aca="false">IF(AL2457&lt;&gt;"",AL2457,IF(AG2457&lt;&gt;"",AG2457,IF(AA2457&lt;&gt;"",AA2457,"")))</f>
        <v>A</v>
      </c>
      <c r="AQ2457" s="84" t="str">
        <f aca="false">IF(E2457="","",IF(U2457="","À SOUDER",IF(X2457="","VT EN ATTENTE",IF(X2457="R","VT REJETÉ – À REPRENDRE",IF(AP2457="","À RADIOGRAPHIER",IF(AP2457="A","ACCEPTÉ",IF(AP2457="NX","NX – RT À REFAIRE",IF(IF(AO2457=1,AD2457,IF(AO2457=2,AI2457,""))="A","RÉPARÉ – À RADIOGRAPHIER",IF(IF(AO2457=1,AD2457,IF(AO2457=2,AI2457,""))="R","VT REJETÉ – À REPRENDRE",IF(OR(AP2457="CO",AP2457="NT"),"COUPE – À RESOUDER","À RÉPARER"))))))))))</f>
        <v>ACCEPTÉ</v>
      </c>
      <c r="AR2457" s="82" t="str">
        <f aca="false">IF(AND(ISNUMBER(U2457),OR(AQ2457="À RADIOGRAPHIER",AQ2457="RÉPARÉ – À RADIOGRAPHIER",AQ2457="NX – RT À REFAIRE",AQ2457="À RÉPARER",AQ2457="COUPE – À RESOUDER",AQ2457="VT REJETÉ – À REPRENDRE")),MAX(0,'PROGRAMME RT'!$C$4-U2457),"")</f>
        <v/>
      </c>
      <c r="AS2457" s="82" t="n">
        <f aca="false">IF(AND(OR(AQ2457="À RADIOGRAPHIER",AQ2457="RÉPARÉ – À RADIOGRAPHIER",AQ2457="NX – RT À REFAIRE"),OR('PROGRAMME RT'!$D$5="TOUTES",B2457='PROGRAMME RT'!$D$5)),1,0)</f>
        <v>0</v>
      </c>
      <c r="AT2457" s="82" t="str">
        <f aca="false">IF(AS2457=1,SUM(AS$7:AS2457),"")</f>
        <v/>
      </c>
      <c r="AU2457" s="82" t="n">
        <f aca="false">IF(AND(OR(AA2457="R",AA2457="NX",AA2457="NT",AA2457="CO"),OR('JOINTS DE RÉPARATION'!$D$5="TOUTES",B2457='JOINTS DE RÉPARATION'!$D$5),OR('JOINTS DE RÉPARATION'!$L$4="TOUS",AQ2457&lt;&gt;"ACCEPTÉ")),1,0)</f>
        <v>0</v>
      </c>
      <c r="AV2457" s="82" t="str">
        <f aca="false">IF(AU2457=1,SUM(AU$7:AU2457),"")</f>
        <v/>
      </c>
      <c r="AW2457" s="82" t="str">
        <f aca="false">IF(E2457="","",B2457&amp;"|"&amp;E2457)</f>
        <v>MFD-ISW → MFD-CPF|JN°1973</v>
      </c>
    </row>
    <row r="2458" customFormat="false" ht="74.6" hidden="false" customHeight="false" outlineLevel="0" collapsed="false">
      <c r="A2458" s="79" t="n">
        <f aca="false">IF(E2458="","",ROW()-6)</f>
        <v>2452</v>
      </c>
      <c r="B2458" s="80" t="s">
        <v>110</v>
      </c>
      <c r="C2458" s="81" t="s">
        <v>2970</v>
      </c>
      <c r="D2458" s="81" t="n">
        <v>24</v>
      </c>
      <c r="E2458" s="81" t="s">
        <v>2983</v>
      </c>
      <c r="F2458" s="82" t="str">
        <f aca="false">IF(E2458="","",IF(LEFT(E2458,2)="DJ","DJ","JN"))</f>
        <v>JN</v>
      </c>
      <c r="G2458" s="81" t="s">
        <v>1504</v>
      </c>
      <c r="H2458" s="81" t="s">
        <v>871</v>
      </c>
      <c r="I2458" s="81" t="n">
        <v>9.53</v>
      </c>
      <c r="J2458" s="81" t="s">
        <v>872</v>
      </c>
      <c r="K2458" s="81" t="s">
        <v>879</v>
      </c>
      <c r="L2458" s="81" t="n">
        <v>2091710</v>
      </c>
      <c r="M2458" s="81" t="n">
        <v>15421109</v>
      </c>
      <c r="N2458" s="81" t="n">
        <v>11.94</v>
      </c>
      <c r="O2458" s="81" t="n">
        <v>2083440</v>
      </c>
      <c r="P2458" s="81" t="n">
        <v>15421105</v>
      </c>
      <c r="Q2458" s="81" t="n">
        <v>11.94</v>
      </c>
      <c r="R2458" s="81" t="s">
        <v>2921</v>
      </c>
      <c r="S2458" s="81"/>
      <c r="T2458" s="81"/>
      <c r="U2458" s="83" t="n">
        <v>46252</v>
      </c>
      <c r="V2458" s="83" t="n">
        <v>46252</v>
      </c>
      <c r="W2458" s="81" t="s">
        <v>2973</v>
      </c>
      <c r="X2458" s="81" t="s">
        <v>876</v>
      </c>
      <c r="Y2458" s="83" t="n">
        <v>46254</v>
      </c>
      <c r="Z2458" s="81" t="s">
        <v>2984</v>
      </c>
      <c r="AA2458" s="81" t="s">
        <v>876</v>
      </c>
      <c r="AB2458" s="81"/>
      <c r="AC2458" s="81"/>
      <c r="AD2458" s="81"/>
      <c r="AE2458" s="83"/>
      <c r="AF2458" s="81"/>
      <c r="AG2458" s="81"/>
      <c r="AH2458" s="81"/>
      <c r="AI2458" s="81"/>
      <c r="AJ2458" s="83"/>
      <c r="AK2458" s="81"/>
      <c r="AL2458" s="81"/>
      <c r="AM2458" s="83"/>
      <c r="AN2458" s="80"/>
      <c r="AO2458" s="82" t="n">
        <f aca="false">IF(E2458="","",(AA2458&lt;&gt;"")+(AG2458&lt;&gt;"")+(AL2458&lt;&gt;""))</f>
        <v>1</v>
      </c>
      <c r="AP2458" s="82" t="str">
        <f aca="false">IF(AL2458&lt;&gt;"",AL2458,IF(AG2458&lt;&gt;"",AG2458,IF(AA2458&lt;&gt;"",AA2458,"")))</f>
        <v>A</v>
      </c>
      <c r="AQ2458" s="84" t="str">
        <f aca="false">IF(E2458="","",IF(U2458="","À SOUDER",IF(X2458="","VT EN ATTENTE",IF(X2458="R","VT REJETÉ – À REPRENDRE",IF(AP2458="","À RADIOGRAPHIER",IF(AP2458="A","ACCEPTÉ",IF(AP2458="NX","NX – RT À REFAIRE",IF(IF(AO2458=1,AD2458,IF(AO2458=2,AI2458,""))="A","RÉPARÉ – À RADIOGRAPHIER",IF(IF(AO2458=1,AD2458,IF(AO2458=2,AI2458,""))="R","VT REJETÉ – À REPRENDRE",IF(OR(AP2458="CO",AP2458="NT"),"COUPE – À RESOUDER","À RÉPARER"))))))))))</f>
        <v>ACCEPTÉ</v>
      </c>
      <c r="AR2458" s="82" t="str">
        <f aca="false">IF(AND(ISNUMBER(U2458),OR(AQ2458="À RADIOGRAPHIER",AQ2458="RÉPARÉ – À RADIOGRAPHIER",AQ2458="NX – RT À REFAIRE",AQ2458="À RÉPARER",AQ2458="COUPE – À RESOUDER",AQ2458="VT REJETÉ – À REPRENDRE")),MAX(0,'PROGRAMME RT'!$C$4-U2458),"")</f>
        <v/>
      </c>
      <c r="AS2458" s="82" t="n">
        <f aca="false">IF(AND(OR(AQ2458="À RADIOGRAPHIER",AQ2458="RÉPARÉ – À RADIOGRAPHIER",AQ2458="NX – RT À REFAIRE"),OR('PROGRAMME RT'!$D$5="TOUTES",B2458='PROGRAMME RT'!$D$5)),1,0)</f>
        <v>0</v>
      </c>
      <c r="AT2458" s="82" t="str">
        <f aca="false">IF(AS2458=1,SUM(AS$7:AS2458),"")</f>
        <v/>
      </c>
      <c r="AU2458" s="82" t="n">
        <f aca="false">IF(AND(OR(AA2458="R",AA2458="NX",AA2458="NT",AA2458="CO"),OR('JOINTS DE RÉPARATION'!$D$5="TOUTES",B2458='JOINTS DE RÉPARATION'!$D$5),OR('JOINTS DE RÉPARATION'!$L$4="TOUS",AQ2458&lt;&gt;"ACCEPTÉ")),1,0)</f>
        <v>0</v>
      </c>
      <c r="AV2458" s="82" t="str">
        <f aca="false">IF(AU2458=1,SUM(AU$7:AU2458),"")</f>
        <v/>
      </c>
      <c r="AW2458" s="82" t="str">
        <f aca="false">IF(E2458="","",B2458&amp;"|"&amp;E2458)</f>
        <v>MFD-ISW → MFD-CPF|JN°1974</v>
      </c>
    </row>
    <row r="2459" customFormat="false" ht="74.6" hidden="false" customHeight="false" outlineLevel="0" collapsed="false">
      <c r="A2459" s="79" t="n">
        <f aca="false">IF(E2459="","",ROW()-6)</f>
        <v>2453</v>
      </c>
      <c r="B2459" s="80" t="s">
        <v>110</v>
      </c>
      <c r="C2459" s="81" t="s">
        <v>2970</v>
      </c>
      <c r="D2459" s="81" t="n">
        <v>24</v>
      </c>
      <c r="E2459" s="81" t="s">
        <v>2985</v>
      </c>
      <c r="F2459" s="82" t="str">
        <f aca="false">IF(E2459="","",IF(LEFT(E2459,2)="DJ","DJ","JN"))</f>
        <v>JN</v>
      </c>
      <c r="G2459" s="81" t="s">
        <v>1504</v>
      </c>
      <c r="H2459" s="81" t="s">
        <v>871</v>
      </c>
      <c r="I2459" s="81" t="n">
        <v>9.53</v>
      </c>
      <c r="J2459" s="81" t="s">
        <v>872</v>
      </c>
      <c r="K2459" s="81" t="s">
        <v>879</v>
      </c>
      <c r="L2459" s="81" t="n">
        <v>2083440</v>
      </c>
      <c r="M2459" s="81" t="n">
        <v>15421105</v>
      </c>
      <c r="N2459" s="81" t="n">
        <v>11.94</v>
      </c>
      <c r="O2459" s="81" t="n">
        <v>2083380</v>
      </c>
      <c r="P2459" s="81" t="n">
        <v>15421105</v>
      </c>
      <c r="Q2459" s="81" t="n">
        <v>11.94</v>
      </c>
      <c r="R2459" s="81" t="s">
        <v>2921</v>
      </c>
      <c r="S2459" s="81"/>
      <c r="T2459" s="81"/>
      <c r="U2459" s="83" t="n">
        <v>46252</v>
      </c>
      <c r="V2459" s="83" t="n">
        <v>46252</v>
      </c>
      <c r="W2459" s="81" t="s">
        <v>2973</v>
      </c>
      <c r="X2459" s="81" t="s">
        <v>876</v>
      </c>
      <c r="Y2459" s="83" t="n">
        <v>46254</v>
      </c>
      <c r="Z2459" s="81" t="s">
        <v>2984</v>
      </c>
      <c r="AA2459" s="81" t="s">
        <v>876</v>
      </c>
      <c r="AB2459" s="81"/>
      <c r="AC2459" s="81"/>
      <c r="AD2459" s="81"/>
      <c r="AE2459" s="83"/>
      <c r="AF2459" s="81"/>
      <c r="AG2459" s="81"/>
      <c r="AH2459" s="81"/>
      <c r="AI2459" s="81"/>
      <c r="AJ2459" s="83"/>
      <c r="AK2459" s="81"/>
      <c r="AL2459" s="81"/>
      <c r="AM2459" s="83"/>
      <c r="AN2459" s="80"/>
      <c r="AO2459" s="82" t="n">
        <f aca="false">IF(E2459="","",(AA2459&lt;&gt;"")+(AG2459&lt;&gt;"")+(AL2459&lt;&gt;""))</f>
        <v>1</v>
      </c>
      <c r="AP2459" s="82" t="str">
        <f aca="false">IF(AL2459&lt;&gt;"",AL2459,IF(AG2459&lt;&gt;"",AG2459,IF(AA2459&lt;&gt;"",AA2459,"")))</f>
        <v>A</v>
      </c>
      <c r="AQ2459" s="84" t="str">
        <f aca="false">IF(E2459="","",IF(U2459="","À SOUDER",IF(X2459="","VT EN ATTENTE",IF(X2459="R","VT REJETÉ – À REPRENDRE",IF(AP2459="","À RADIOGRAPHIER",IF(AP2459="A","ACCEPTÉ",IF(AP2459="NX","NX – RT À REFAIRE",IF(IF(AO2459=1,AD2459,IF(AO2459=2,AI2459,""))="A","RÉPARÉ – À RADIOGRAPHIER",IF(IF(AO2459=1,AD2459,IF(AO2459=2,AI2459,""))="R","VT REJETÉ – À REPRENDRE",IF(OR(AP2459="CO",AP2459="NT"),"COUPE – À RESOUDER","À RÉPARER"))))))))))</f>
        <v>ACCEPTÉ</v>
      </c>
      <c r="AR2459" s="82" t="str">
        <f aca="false">IF(AND(ISNUMBER(U2459),OR(AQ2459="À RADIOGRAPHIER",AQ2459="RÉPARÉ – À RADIOGRAPHIER",AQ2459="NX – RT À REFAIRE",AQ2459="À RÉPARER",AQ2459="COUPE – À RESOUDER",AQ2459="VT REJETÉ – À REPRENDRE")),MAX(0,'PROGRAMME RT'!$C$4-U2459),"")</f>
        <v/>
      </c>
      <c r="AS2459" s="82" t="n">
        <f aca="false">IF(AND(OR(AQ2459="À RADIOGRAPHIER",AQ2459="RÉPARÉ – À RADIOGRAPHIER",AQ2459="NX – RT À REFAIRE"),OR('PROGRAMME RT'!$D$5="TOUTES",B2459='PROGRAMME RT'!$D$5)),1,0)</f>
        <v>0</v>
      </c>
      <c r="AT2459" s="82" t="str">
        <f aca="false">IF(AS2459=1,SUM(AS$7:AS2459),"")</f>
        <v/>
      </c>
      <c r="AU2459" s="82" t="n">
        <f aca="false">IF(AND(OR(AA2459="R",AA2459="NX",AA2459="NT",AA2459="CO"),OR('JOINTS DE RÉPARATION'!$D$5="TOUTES",B2459='JOINTS DE RÉPARATION'!$D$5),OR('JOINTS DE RÉPARATION'!$L$4="TOUS",AQ2459&lt;&gt;"ACCEPTÉ")),1,0)</f>
        <v>0</v>
      </c>
      <c r="AV2459" s="82" t="str">
        <f aca="false">IF(AU2459=1,SUM(AU$7:AU2459),"")</f>
        <v/>
      </c>
      <c r="AW2459" s="82" t="str">
        <f aca="false">IF(E2459="","",B2459&amp;"|"&amp;E2459)</f>
        <v>MFD-ISW → MFD-CPF|JN°1975</v>
      </c>
    </row>
    <row r="2460" customFormat="false" ht="74.6" hidden="false" customHeight="false" outlineLevel="0" collapsed="false">
      <c r="A2460" s="79" t="n">
        <f aca="false">IF(E2460="","",ROW()-6)</f>
        <v>2454</v>
      </c>
      <c r="B2460" s="80" t="s">
        <v>110</v>
      </c>
      <c r="C2460" s="81" t="s">
        <v>2970</v>
      </c>
      <c r="D2460" s="81" t="n">
        <v>24</v>
      </c>
      <c r="E2460" s="81" t="s">
        <v>2986</v>
      </c>
      <c r="F2460" s="82" t="str">
        <f aca="false">IF(E2460="","",IF(LEFT(E2460,2)="DJ","DJ","JN"))</f>
        <v>JN</v>
      </c>
      <c r="G2460" s="81" t="s">
        <v>1504</v>
      </c>
      <c r="H2460" s="81" t="s">
        <v>871</v>
      </c>
      <c r="I2460" s="81" t="n">
        <v>9.53</v>
      </c>
      <c r="J2460" s="81" t="s">
        <v>872</v>
      </c>
      <c r="K2460" s="81" t="s">
        <v>879</v>
      </c>
      <c r="L2460" s="81" t="n">
        <v>2083380</v>
      </c>
      <c r="M2460" s="81" t="n">
        <v>15421105</v>
      </c>
      <c r="N2460" s="81" t="n">
        <v>11.94</v>
      </c>
      <c r="O2460" s="81" t="n">
        <v>2085840</v>
      </c>
      <c r="P2460" s="81" t="n">
        <v>15421107</v>
      </c>
      <c r="Q2460" s="81" t="n">
        <v>11.94</v>
      </c>
      <c r="R2460" s="81" t="s">
        <v>2921</v>
      </c>
      <c r="S2460" s="81"/>
      <c r="T2460" s="81"/>
      <c r="U2460" s="83" t="n">
        <v>46252</v>
      </c>
      <c r="V2460" s="83" t="n">
        <v>46252</v>
      </c>
      <c r="W2460" s="81" t="s">
        <v>2973</v>
      </c>
      <c r="X2460" s="81" t="s">
        <v>876</v>
      </c>
      <c r="Y2460" s="83" t="n">
        <v>46254</v>
      </c>
      <c r="Z2460" s="81" t="s">
        <v>2984</v>
      </c>
      <c r="AA2460" s="81" t="s">
        <v>876</v>
      </c>
      <c r="AB2460" s="81"/>
      <c r="AC2460" s="81"/>
      <c r="AD2460" s="81"/>
      <c r="AE2460" s="83"/>
      <c r="AF2460" s="81"/>
      <c r="AG2460" s="81"/>
      <c r="AH2460" s="81"/>
      <c r="AI2460" s="81"/>
      <c r="AJ2460" s="83"/>
      <c r="AK2460" s="81"/>
      <c r="AL2460" s="81"/>
      <c r="AM2460" s="83"/>
      <c r="AN2460" s="80"/>
      <c r="AO2460" s="82" t="n">
        <f aca="false">IF(E2460="","",(AA2460&lt;&gt;"")+(AG2460&lt;&gt;"")+(AL2460&lt;&gt;""))</f>
        <v>1</v>
      </c>
      <c r="AP2460" s="82" t="str">
        <f aca="false">IF(AL2460&lt;&gt;"",AL2460,IF(AG2460&lt;&gt;"",AG2460,IF(AA2460&lt;&gt;"",AA2460,"")))</f>
        <v>A</v>
      </c>
      <c r="AQ2460" s="84" t="str">
        <f aca="false">IF(E2460="","",IF(U2460="","À SOUDER",IF(X2460="","VT EN ATTENTE",IF(X2460="R","VT REJETÉ – À REPRENDRE",IF(AP2460="","À RADIOGRAPHIER",IF(AP2460="A","ACCEPTÉ",IF(AP2460="NX","NX – RT À REFAIRE",IF(IF(AO2460=1,AD2460,IF(AO2460=2,AI2460,""))="A","RÉPARÉ – À RADIOGRAPHIER",IF(IF(AO2460=1,AD2460,IF(AO2460=2,AI2460,""))="R","VT REJETÉ – À REPRENDRE",IF(OR(AP2460="CO",AP2460="NT"),"COUPE – À RESOUDER","À RÉPARER"))))))))))</f>
        <v>ACCEPTÉ</v>
      </c>
      <c r="AR2460" s="82" t="str">
        <f aca="false">IF(AND(ISNUMBER(U2460),OR(AQ2460="À RADIOGRAPHIER",AQ2460="RÉPARÉ – À RADIOGRAPHIER",AQ2460="NX – RT À REFAIRE",AQ2460="À RÉPARER",AQ2460="COUPE – À RESOUDER",AQ2460="VT REJETÉ – À REPRENDRE")),MAX(0,'PROGRAMME RT'!$C$4-U2460),"")</f>
        <v/>
      </c>
      <c r="AS2460" s="82" t="n">
        <f aca="false">IF(AND(OR(AQ2460="À RADIOGRAPHIER",AQ2460="RÉPARÉ – À RADIOGRAPHIER",AQ2460="NX – RT À REFAIRE"),OR('PROGRAMME RT'!$D$5="TOUTES",B2460='PROGRAMME RT'!$D$5)),1,0)</f>
        <v>0</v>
      </c>
      <c r="AT2460" s="82" t="str">
        <f aca="false">IF(AS2460=1,SUM(AS$7:AS2460),"")</f>
        <v/>
      </c>
      <c r="AU2460" s="82" t="n">
        <f aca="false">IF(AND(OR(AA2460="R",AA2460="NX",AA2460="NT",AA2460="CO"),OR('JOINTS DE RÉPARATION'!$D$5="TOUTES",B2460='JOINTS DE RÉPARATION'!$D$5),OR('JOINTS DE RÉPARATION'!$L$4="TOUS",AQ2460&lt;&gt;"ACCEPTÉ")),1,0)</f>
        <v>0</v>
      </c>
      <c r="AV2460" s="82" t="str">
        <f aca="false">IF(AU2460=1,SUM(AU$7:AU2460),"")</f>
        <v/>
      </c>
      <c r="AW2460" s="82" t="str">
        <f aca="false">IF(E2460="","",B2460&amp;"|"&amp;E2460)</f>
        <v>MFD-ISW → MFD-CPF|JN°1976</v>
      </c>
    </row>
    <row r="2461" customFormat="false" ht="74.6" hidden="false" customHeight="false" outlineLevel="0" collapsed="false">
      <c r="A2461" s="79" t="n">
        <f aca="false">IF(E2461="","",ROW()-6)</f>
        <v>2455</v>
      </c>
      <c r="B2461" s="80" t="s">
        <v>110</v>
      </c>
      <c r="C2461" s="81" t="s">
        <v>2970</v>
      </c>
      <c r="D2461" s="81" t="n">
        <v>24</v>
      </c>
      <c r="E2461" s="81" t="s">
        <v>2987</v>
      </c>
      <c r="F2461" s="82" t="str">
        <f aca="false">IF(E2461="","",IF(LEFT(E2461,2)="DJ","DJ","JN"))</f>
        <v>JN</v>
      </c>
      <c r="G2461" s="81" t="s">
        <v>1504</v>
      </c>
      <c r="H2461" s="81" t="s">
        <v>871</v>
      </c>
      <c r="I2461" s="81" t="n">
        <v>9.53</v>
      </c>
      <c r="J2461" s="81" t="s">
        <v>872</v>
      </c>
      <c r="K2461" s="81" t="s">
        <v>1861</v>
      </c>
      <c r="L2461" s="81" t="n">
        <v>2085840</v>
      </c>
      <c r="M2461" s="81" t="n">
        <v>15421107</v>
      </c>
      <c r="N2461" s="81" t="n">
        <v>11.94</v>
      </c>
      <c r="O2461" s="81" t="n">
        <v>2089640</v>
      </c>
      <c r="P2461" s="81" t="n">
        <v>15421109</v>
      </c>
      <c r="Q2461" s="81" t="n">
        <v>11.94</v>
      </c>
      <c r="R2461" s="81" t="s">
        <v>1862</v>
      </c>
      <c r="S2461" s="81"/>
      <c r="T2461" s="81"/>
      <c r="U2461" s="83" t="n">
        <v>46273</v>
      </c>
      <c r="V2461" s="83" t="n">
        <v>46273</v>
      </c>
      <c r="W2461" s="81" t="s">
        <v>2699</v>
      </c>
      <c r="X2461" s="81" t="s">
        <v>876</v>
      </c>
      <c r="Y2461" s="83" t="n">
        <v>46275</v>
      </c>
      <c r="Z2461" s="81" t="s">
        <v>2700</v>
      </c>
      <c r="AA2461" s="81" t="s">
        <v>876</v>
      </c>
      <c r="AB2461" s="81"/>
      <c r="AC2461" s="81"/>
      <c r="AD2461" s="81"/>
      <c r="AE2461" s="83"/>
      <c r="AF2461" s="81"/>
      <c r="AG2461" s="81"/>
      <c r="AH2461" s="81"/>
      <c r="AI2461" s="81"/>
      <c r="AJ2461" s="83"/>
      <c r="AK2461" s="81"/>
      <c r="AL2461" s="81"/>
      <c r="AM2461" s="83"/>
      <c r="AN2461" s="80"/>
      <c r="AO2461" s="82" t="n">
        <f aca="false">IF(E2461="","",(AA2461&lt;&gt;"")+(AG2461&lt;&gt;"")+(AL2461&lt;&gt;""))</f>
        <v>1</v>
      </c>
      <c r="AP2461" s="82" t="str">
        <f aca="false">IF(AL2461&lt;&gt;"",AL2461,IF(AG2461&lt;&gt;"",AG2461,IF(AA2461&lt;&gt;"",AA2461,"")))</f>
        <v>A</v>
      </c>
      <c r="AQ2461" s="84" t="str">
        <f aca="false">IF(E2461="","",IF(U2461="","À SOUDER",IF(X2461="","VT EN ATTENTE",IF(X2461="R","VT REJETÉ – À REPRENDRE",IF(AP2461="","À RADIOGRAPHIER",IF(AP2461="A","ACCEPTÉ",IF(AP2461="NX","NX – RT À REFAIRE",IF(IF(AO2461=1,AD2461,IF(AO2461=2,AI2461,""))="A","RÉPARÉ – À RADIOGRAPHIER",IF(IF(AO2461=1,AD2461,IF(AO2461=2,AI2461,""))="R","VT REJETÉ – À REPRENDRE",IF(OR(AP2461="CO",AP2461="NT"),"COUPE – À RESOUDER","À RÉPARER"))))))))))</f>
        <v>ACCEPTÉ</v>
      </c>
      <c r="AR2461" s="82" t="str">
        <f aca="false">IF(AND(ISNUMBER(U2461),OR(AQ2461="À RADIOGRAPHIER",AQ2461="RÉPARÉ – À RADIOGRAPHIER",AQ2461="NX – RT À REFAIRE",AQ2461="À RÉPARER",AQ2461="COUPE – À RESOUDER",AQ2461="VT REJETÉ – À REPRENDRE")),MAX(0,'PROGRAMME RT'!$C$4-U2461),"")</f>
        <v/>
      </c>
      <c r="AS2461" s="82" t="n">
        <f aca="false">IF(AND(OR(AQ2461="À RADIOGRAPHIER",AQ2461="RÉPARÉ – À RADIOGRAPHIER",AQ2461="NX – RT À REFAIRE"),OR('PROGRAMME RT'!$D$5="TOUTES",B2461='PROGRAMME RT'!$D$5)),1,0)</f>
        <v>0</v>
      </c>
      <c r="AT2461" s="82" t="str">
        <f aca="false">IF(AS2461=1,SUM(AS$7:AS2461),"")</f>
        <v/>
      </c>
      <c r="AU2461" s="82" t="n">
        <f aca="false">IF(AND(OR(AA2461="R",AA2461="NX",AA2461="NT",AA2461="CO"),OR('JOINTS DE RÉPARATION'!$D$5="TOUTES",B2461='JOINTS DE RÉPARATION'!$D$5),OR('JOINTS DE RÉPARATION'!$L$4="TOUS",AQ2461&lt;&gt;"ACCEPTÉ")),1,0)</f>
        <v>0</v>
      </c>
      <c r="AV2461" s="82" t="str">
        <f aca="false">IF(AU2461=1,SUM(AU$7:AU2461),"")</f>
        <v/>
      </c>
      <c r="AW2461" s="82" t="str">
        <f aca="false">IF(E2461="","",B2461&amp;"|"&amp;E2461)</f>
        <v>MFD-ISW → MFD-CPF|JN°1977R</v>
      </c>
    </row>
    <row r="2462" customFormat="false" ht="74.6" hidden="false" customHeight="false" outlineLevel="0" collapsed="false">
      <c r="A2462" s="79" t="n">
        <f aca="false">IF(E2462="","",ROW()-6)</f>
        <v>2456</v>
      </c>
      <c r="B2462" s="80" t="s">
        <v>110</v>
      </c>
      <c r="C2462" s="81" t="s">
        <v>2970</v>
      </c>
      <c r="D2462" s="81" t="n">
        <v>24</v>
      </c>
      <c r="E2462" s="81" t="s">
        <v>2988</v>
      </c>
      <c r="F2462" s="82" t="str">
        <f aca="false">IF(E2462="","",IF(LEFT(E2462,2)="DJ","DJ","JN"))</f>
        <v>JN</v>
      </c>
      <c r="G2462" s="81" t="s">
        <v>1504</v>
      </c>
      <c r="H2462" s="81" t="s">
        <v>871</v>
      </c>
      <c r="I2462" s="81" t="n">
        <v>9.53</v>
      </c>
      <c r="J2462" s="81" t="s">
        <v>872</v>
      </c>
      <c r="K2462" s="81" t="s">
        <v>879</v>
      </c>
      <c r="L2462" s="81" t="n">
        <v>2089640</v>
      </c>
      <c r="M2462" s="81" t="n">
        <v>15421109</v>
      </c>
      <c r="N2462" s="81" t="n">
        <v>11.94</v>
      </c>
      <c r="O2462" s="81" t="n">
        <v>2090650</v>
      </c>
      <c r="P2462" s="81" t="n">
        <v>15421106</v>
      </c>
      <c r="Q2462" s="81" t="n">
        <v>11.94</v>
      </c>
      <c r="R2462" s="81" t="s">
        <v>2921</v>
      </c>
      <c r="S2462" s="81"/>
      <c r="T2462" s="81"/>
      <c r="U2462" s="83" t="n">
        <v>46251</v>
      </c>
      <c r="V2462" s="83" t="n">
        <v>46251</v>
      </c>
      <c r="W2462" s="81" t="s">
        <v>2989</v>
      </c>
      <c r="X2462" s="81" t="s">
        <v>876</v>
      </c>
      <c r="Y2462" s="83" t="n">
        <v>46254</v>
      </c>
      <c r="Z2462" s="81" t="s">
        <v>2984</v>
      </c>
      <c r="AA2462" s="81" t="s">
        <v>876</v>
      </c>
      <c r="AB2462" s="81"/>
      <c r="AC2462" s="81"/>
      <c r="AD2462" s="81"/>
      <c r="AE2462" s="83"/>
      <c r="AF2462" s="81"/>
      <c r="AG2462" s="81"/>
      <c r="AH2462" s="81"/>
      <c r="AI2462" s="81"/>
      <c r="AJ2462" s="83"/>
      <c r="AK2462" s="81"/>
      <c r="AL2462" s="81"/>
      <c r="AM2462" s="83"/>
      <c r="AN2462" s="80"/>
      <c r="AO2462" s="82" t="n">
        <f aca="false">IF(E2462="","",(AA2462&lt;&gt;"")+(AG2462&lt;&gt;"")+(AL2462&lt;&gt;""))</f>
        <v>1</v>
      </c>
      <c r="AP2462" s="82" t="str">
        <f aca="false">IF(AL2462&lt;&gt;"",AL2462,IF(AG2462&lt;&gt;"",AG2462,IF(AA2462&lt;&gt;"",AA2462,"")))</f>
        <v>A</v>
      </c>
      <c r="AQ2462" s="84" t="str">
        <f aca="false">IF(E2462="","",IF(U2462="","À SOUDER",IF(X2462="","VT EN ATTENTE",IF(X2462="R","VT REJETÉ – À REPRENDRE",IF(AP2462="","À RADIOGRAPHIER",IF(AP2462="A","ACCEPTÉ",IF(AP2462="NX","NX – RT À REFAIRE",IF(IF(AO2462=1,AD2462,IF(AO2462=2,AI2462,""))="A","RÉPARÉ – À RADIOGRAPHIER",IF(IF(AO2462=1,AD2462,IF(AO2462=2,AI2462,""))="R","VT REJETÉ – À REPRENDRE",IF(OR(AP2462="CO",AP2462="NT"),"COUPE – À RESOUDER","À RÉPARER"))))))))))</f>
        <v>ACCEPTÉ</v>
      </c>
      <c r="AR2462" s="82" t="str">
        <f aca="false">IF(AND(ISNUMBER(U2462),OR(AQ2462="À RADIOGRAPHIER",AQ2462="RÉPARÉ – À RADIOGRAPHIER",AQ2462="NX – RT À REFAIRE",AQ2462="À RÉPARER",AQ2462="COUPE – À RESOUDER",AQ2462="VT REJETÉ – À REPRENDRE")),MAX(0,'PROGRAMME RT'!$C$4-U2462),"")</f>
        <v/>
      </c>
      <c r="AS2462" s="82" t="n">
        <f aca="false">IF(AND(OR(AQ2462="À RADIOGRAPHIER",AQ2462="RÉPARÉ – À RADIOGRAPHIER",AQ2462="NX – RT À REFAIRE"),OR('PROGRAMME RT'!$D$5="TOUTES",B2462='PROGRAMME RT'!$D$5)),1,0)</f>
        <v>0</v>
      </c>
      <c r="AT2462" s="82" t="str">
        <f aca="false">IF(AS2462=1,SUM(AS$7:AS2462),"")</f>
        <v/>
      </c>
      <c r="AU2462" s="82" t="n">
        <f aca="false">IF(AND(OR(AA2462="R",AA2462="NX",AA2462="NT",AA2462="CO"),OR('JOINTS DE RÉPARATION'!$D$5="TOUTES",B2462='JOINTS DE RÉPARATION'!$D$5),OR('JOINTS DE RÉPARATION'!$L$4="TOUS",AQ2462&lt;&gt;"ACCEPTÉ")),1,0)</f>
        <v>0</v>
      </c>
      <c r="AV2462" s="82" t="str">
        <f aca="false">IF(AU2462=1,SUM(AU$7:AU2462),"")</f>
        <v/>
      </c>
      <c r="AW2462" s="82" t="str">
        <f aca="false">IF(E2462="","",B2462&amp;"|"&amp;E2462)</f>
        <v>MFD-ISW → MFD-CPF|JN°1978</v>
      </c>
    </row>
    <row r="2463" customFormat="false" ht="74.6" hidden="false" customHeight="false" outlineLevel="0" collapsed="false">
      <c r="A2463" s="79" t="n">
        <f aca="false">IF(E2463="","",ROW()-6)</f>
        <v>2457</v>
      </c>
      <c r="B2463" s="80" t="s">
        <v>110</v>
      </c>
      <c r="C2463" s="81" t="s">
        <v>2970</v>
      </c>
      <c r="D2463" s="81" t="n">
        <v>24</v>
      </c>
      <c r="E2463" s="81" t="s">
        <v>2990</v>
      </c>
      <c r="F2463" s="82" t="str">
        <f aca="false">IF(E2463="","",IF(LEFT(E2463,2)="DJ","DJ","JN"))</f>
        <v>JN</v>
      </c>
      <c r="G2463" s="81" t="s">
        <v>1504</v>
      </c>
      <c r="H2463" s="81" t="s">
        <v>871</v>
      </c>
      <c r="I2463" s="81" t="n">
        <v>9.53</v>
      </c>
      <c r="J2463" s="81" t="s">
        <v>872</v>
      </c>
      <c r="K2463" s="81" t="s">
        <v>879</v>
      </c>
      <c r="L2463" s="81" t="n">
        <v>2090650</v>
      </c>
      <c r="M2463" s="81" t="n">
        <v>15421106</v>
      </c>
      <c r="N2463" s="81" t="n">
        <v>11.94</v>
      </c>
      <c r="O2463" s="81" t="n">
        <v>2048440</v>
      </c>
      <c r="P2463" s="81" t="n">
        <v>15421100</v>
      </c>
      <c r="Q2463" s="81" t="n">
        <v>11.94</v>
      </c>
      <c r="R2463" s="81" t="s">
        <v>2921</v>
      </c>
      <c r="S2463" s="81"/>
      <c r="T2463" s="81"/>
      <c r="U2463" s="83" t="n">
        <v>46251</v>
      </c>
      <c r="V2463" s="83" t="n">
        <v>46251</v>
      </c>
      <c r="W2463" s="81" t="s">
        <v>2989</v>
      </c>
      <c r="X2463" s="81" t="s">
        <v>876</v>
      </c>
      <c r="Y2463" s="83" t="n">
        <v>46254</v>
      </c>
      <c r="Z2463" s="81" t="s">
        <v>2984</v>
      </c>
      <c r="AA2463" s="81" t="s">
        <v>876</v>
      </c>
      <c r="AB2463" s="81"/>
      <c r="AC2463" s="81"/>
      <c r="AD2463" s="81"/>
      <c r="AE2463" s="83"/>
      <c r="AF2463" s="81"/>
      <c r="AG2463" s="81"/>
      <c r="AH2463" s="81"/>
      <c r="AI2463" s="81"/>
      <c r="AJ2463" s="83"/>
      <c r="AK2463" s="81"/>
      <c r="AL2463" s="81"/>
      <c r="AM2463" s="83"/>
      <c r="AN2463" s="80"/>
      <c r="AO2463" s="82" t="n">
        <f aca="false">IF(E2463="","",(AA2463&lt;&gt;"")+(AG2463&lt;&gt;"")+(AL2463&lt;&gt;""))</f>
        <v>1</v>
      </c>
      <c r="AP2463" s="82" t="str">
        <f aca="false">IF(AL2463&lt;&gt;"",AL2463,IF(AG2463&lt;&gt;"",AG2463,IF(AA2463&lt;&gt;"",AA2463,"")))</f>
        <v>A</v>
      </c>
      <c r="AQ2463" s="84" t="str">
        <f aca="false">IF(E2463="","",IF(U2463="","À SOUDER",IF(X2463="","VT EN ATTENTE",IF(X2463="R","VT REJETÉ – À REPRENDRE",IF(AP2463="","À RADIOGRAPHIER",IF(AP2463="A","ACCEPTÉ",IF(AP2463="NX","NX – RT À REFAIRE",IF(IF(AO2463=1,AD2463,IF(AO2463=2,AI2463,""))="A","RÉPARÉ – À RADIOGRAPHIER",IF(IF(AO2463=1,AD2463,IF(AO2463=2,AI2463,""))="R","VT REJETÉ – À REPRENDRE",IF(OR(AP2463="CO",AP2463="NT"),"COUPE – À RESOUDER","À RÉPARER"))))))))))</f>
        <v>ACCEPTÉ</v>
      </c>
      <c r="AR2463" s="82" t="str">
        <f aca="false">IF(AND(ISNUMBER(U2463),OR(AQ2463="À RADIOGRAPHIER",AQ2463="RÉPARÉ – À RADIOGRAPHIER",AQ2463="NX – RT À REFAIRE",AQ2463="À RÉPARER",AQ2463="COUPE – À RESOUDER",AQ2463="VT REJETÉ – À REPRENDRE")),MAX(0,'PROGRAMME RT'!$C$4-U2463),"")</f>
        <v/>
      </c>
      <c r="AS2463" s="82" t="n">
        <f aca="false">IF(AND(OR(AQ2463="À RADIOGRAPHIER",AQ2463="RÉPARÉ – À RADIOGRAPHIER",AQ2463="NX – RT À REFAIRE"),OR('PROGRAMME RT'!$D$5="TOUTES",B2463='PROGRAMME RT'!$D$5)),1,0)</f>
        <v>0</v>
      </c>
      <c r="AT2463" s="82" t="str">
        <f aca="false">IF(AS2463=1,SUM(AS$7:AS2463),"")</f>
        <v/>
      </c>
      <c r="AU2463" s="82" t="n">
        <f aca="false">IF(AND(OR(AA2463="R",AA2463="NX",AA2463="NT",AA2463="CO"),OR('JOINTS DE RÉPARATION'!$D$5="TOUTES",B2463='JOINTS DE RÉPARATION'!$D$5),OR('JOINTS DE RÉPARATION'!$L$4="TOUS",AQ2463&lt;&gt;"ACCEPTÉ")),1,0)</f>
        <v>0</v>
      </c>
      <c r="AV2463" s="82" t="str">
        <f aca="false">IF(AU2463=1,SUM(AU$7:AU2463),"")</f>
        <v/>
      </c>
      <c r="AW2463" s="82" t="str">
        <f aca="false">IF(E2463="","",B2463&amp;"|"&amp;E2463)</f>
        <v>MFD-ISW → MFD-CPF|JN°1979</v>
      </c>
    </row>
    <row r="2464" customFormat="false" ht="74.6" hidden="false" customHeight="false" outlineLevel="0" collapsed="false">
      <c r="A2464" s="79" t="n">
        <f aca="false">IF(E2464="","",ROW()-6)</f>
        <v>2458</v>
      </c>
      <c r="B2464" s="80" t="s">
        <v>110</v>
      </c>
      <c r="C2464" s="81" t="s">
        <v>2970</v>
      </c>
      <c r="D2464" s="81" t="n">
        <v>24</v>
      </c>
      <c r="E2464" s="81" t="s">
        <v>2991</v>
      </c>
      <c r="F2464" s="82" t="str">
        <f aca="false">IF(E2464="","",IF(LEFT(E2464,2)="DJ","DJ","JN"))</f>
        <v>JN</v>
      </c>
      <c r="G2464" s="81" t="s">
        <v>1504</v>
      </c>
      <c r="H2464" s="81" t="s">
        <v>871</v>
      </c>
      <c r="I2464" s="81" t="n">
        <v>9.53</v>
      </c>
      <c r="J2464" s="81" t="s">
        <v>872</v>
      </c>
      <c r="K2464" s="81" t="s">
        <v>879</v>
      </c>
      <c r="L2464" s="81" t="n">
        <v>2048440</v>
      </c>
      <c r="M2464" s="81" t="n">
        <v>15421100</v>
      </c>
      <c r="N2464" s="81" t="n">
        <v>11.94</v>
      </c>
      <c r="O2464" s="81" t="n">
        <v>2086580</v>
      </c>
      <c r="P2464" s="81" t="n">
        <v>15421111</v>
      </c>
      <c r="Q2464" s="81" t="n">
        <v>11.94</v>
      </c>
      <c r="R2464" s="81" t="s">
        <v>2921</v>
      </c>
      <c r="S2464" s="81"/>
      <c r="T2464" s="81"/>
      <c r="U2464" s="83" t="n">
        <v>46251</v>
      </c>
      <c r="V2464" s="83" t="n">
        <v>46251</v>
      </c>
      <c r="W2464" s="81" t="s">
        <v>2989</v>
      </c>
      <c r="X2464" s="81" t="s">
        <v>876</v>
      </c>
      <c r="Y2464" s="83" t="n">
        <v>46254</v>
      </c>
      <c r="Z2464" s="81" t="s">
        <v>2984</v>
      </c>
      <c r="AA2464" s="81" t="s">
        <v>876</v>
      </c>
      <c r="AB2464" s="81"/>
      <c r="AC2464" s="81"/>
      <c r="AD2464" s="81"/>
      <c r="AE2464" s="83"/>
      <c r="AF2464" s="81"/>
      <c r="AG2464" s="81"/>
      <c r="AH2464" s="81"/>
      <c r="AI2464" s="81"/>
      <c r="AJ2464" s="83"/>
      <c r="AK2464" s="81"/>
      <c r="AL2464" s="81"/>
      <c r="AM2464" s="83"/>
      <c r="AN2464" s="80"/>
      <c r="AO2464" s="82" t="n">
        <f aca="false">IF(E2464="","",(AA2464&lt;&gt;"")+(AG2464&lt;&gt;"")+(AL2464&lt;&gt;""))</f>
        <v>1</v>
      </c>
      <c r="AP2464" s="82" t="str">
        <f aca="false">IF(AL2464&lt;&gt;"",AL2464,IF(AG2464&lt;&gt;"",AG2464,IF(AA2464&lt;&gt;"",AA2464,"")))</f>
        <v>A</v>
      </c>
      <c r="AQ2464" s="84" t="str">
        <f aca="false">IF(E2464="","",IF(U2464="","À SOUDER",IF(X2464="","VT EN ATTENTE",IF(X2464="R","VT REJETÉ – À REPRENDRE",IF(AP2464="","À RADIOGRAPHIER",IF(AP2464="A","ACCEPTÉ",IF(AP2464="NX","NX – RT À REFAIRE",IF(IF(AO2464=1,AD2464,IF(AO2464=2,AI2464,""))="A","RÉPARÉ – À RADIOGRAPHIER",IF(IF(AO2464=1,AD2464,IF(AO2464=2,AI2464,""))="R","VT REJETÉ – À REPRENDRE",IF(OR(AP2464="CO",AP2464="NT"),"COUPE – À RESOUDER","À RÉPARER"))))))))))</f>
        <v>ACCEPTÉ</v>
      </c>
      <c r="AR2464" s="82" t="str">
        <f aca="false">IF(AND(ISNUMBER(U2464),OR(AQ2464="À RADIOGRAPHIER",AQ2464="RÉPARÉ – À RADIOGRAPHIER",AQ2464="NX – RT À REFAIRE",AQ2464="À RÉPARER",AQ2464="COUPE – À RESOUDER",AQ2464="VT REJETÉ – À REPRENDRE")),MAX(0,'PROGRAMME RT'!$C$4-U2464),"")</f>
        <v/>
      </c>
      <c r="AS2464" s="82" t="n">
        <f aca="false">IF(AND(OR(AQ2464="À RADIOGRAPHIER",AQ2464="RÉPARÉ – À RADIOGRAPHIER",AQ2464="NX – RT À REFAIRE"),OR('PROGRAMME RT'!$D$5="TOUTES",B2464='PROGRAMME RT'!$D$5)),1,0)</f>
        <v>0</v>
      </c>
      <c r="AT2464" s="82" t="str">
        <f aca="false">IF(AS2464=1,SUM(AS$7:AS2464),"")</f>
        <v/>
      </c>
      <c r="AU2464" s="82" t="n">
        <f aca="false">IF(AND(OR(AA2464="R",AA2464="NX",AA2464="NT",AA2464="CO"),OR('JOINTS DE RÉPARATION'!$D$5="TOUTES",B2464='JOINTS DE RÉPARATION'!$D$5),OR('JOINTS DE RÉPARATION'!$L$4="TOUS",AQ2464&lt;&gt;"ACCEPTÉ")),1,0)</f>
        <v>0</v>
      </c>
      <c r="AV2464" s="82" t="str">
        <f aca="false">IF(AU2464=1,SUM(AU$7:AU2464),"")</f>
        <v/>
      </c>
      <c r="AW2464" s="82" t="str">
        <f aca="false">IF(E2464="","",B2464&amp;"|"&amp;E2464)</f>
        <v>MFD-ISW → MFD-CPF|JN°1980</v>
      </c>
    </row>
    <row r="2465" customFormat="false" ht="74.6" hidden="false" customHeight="false" outlineLevel="0" collapsed="false">
      <c r="A2465" s="79" t="n">
        <f aca="false">IF(E2465="","",ROW()-6)</f>
        <v>2459</v>
      </c>
      <c r="B2465" s="80" t="s">
        <v>110</v>
      </c>
      <c r="C2465" s="81" t="s">
        <v>2970</v>
      </c>
      <c r="D2465" s="81" t="n">
        <v>24</v>
      </c>
      <c r="E2465" s="81" t="s">
        <v>2992</v>
      </c>
      <c r="F2465" s="82" t="str">
        <f aca="false">IF(E2465="","",IF(LEFT(E2465,2)="DJ","DJ","JN"))</f>
        <v>JN</v>
      </c>
      <c r="G2465" s="81" t="s">
        <v>1504</v>
      </c>
      <c r="H2465" s="81" t="s">
        <v>871</v>
      </c>
      <c r="I2465" s="81" t="n">
        <v>9.53</v>
      </c>
      <c r="J2465" s="81" t="s">
        <v>872</v>
      </c>
      <c r="K2465" s="81" t="s">
        <v>879</v>
      </c>
      <c r="L2465" s="81" t="n">
        <v>2086580</v>
      </c>
      <c r="M2465" s="81" t="n">
        <v>15421111</v>
      </c>
      <c r="N2465" s="81" t="n">
        <v>11.94</v>
      </c>
      <c r="O2465" s="81" t="n">
        <v>2095150</v>
      </c>
      <c r="P2465" s="81" t="n">
        <v>15421111</v>
      </c>
      <c r="Q2465" s="81" t="n">
        <v>11.94</v>
      </c>
      <c r="R2465" s="81" t="s">
        <v>2921</v>
      </c>
      <c r="S2465" s="81"/>
      <c r="T2465" s="81"/>
      <c r="U2465" s="83" t="n">
        <v>46251</v>
      </c>
      <c r="V2465" s="83" t="n">
        <v>46251</v>
      </c>
      <c r="W2465" s="81" t="s">
        <v>2989</v>
      </c>
      <c r="X2465" s="81" t="s">
        <v>876</v>
      </c>
      <c r="Y2465" s="83" t="n">
        <v>46254</v>
      </c>
      <c r="Z2465" s="81" t="s">
        <v>2984</v>
      </c>
      <c r="AA2465" s="81" t="s">
        <v>876</v>
      </c>
      <c r="AB2465" s="81"/>
      <c r="AC2465" s="81"/>
      <c r="AD2465" s="81"/>
      <c r="AE2465" s="83"/>
      <c r="AF2465" s="81"/>
      <c r="AG2465" s="81"/>
      <c r="AH2465" s="81"/>
      <c r="AI2465" s="81"/>
      <c r="AJ2465" s="83"/>
      <c r="AK2465" s="81"/>
      <c r="AL2465" s="81"/>
      <c r="AM2465" s="83"/>
      <c r="AN2465" s="80"/>
      <c r="AO2465" s="82" t="n">
        <f aca="false">IF(E2465="","",(AA2465&lt;&gt;"")+(AG2465&lt;&gt;"")+(AL2465&lt;&gt;""))</f>
        <v>1</v>
      </c>
      <c r="AP2465" s="82" t="str">
        <f aca="false">IF(AL2465&lt;&gt;"",AL2465,IF(AG2465&lt;&gt;"",AG2465,IF(AA2465&lt;&gt;"",AA2465,"")))</f>
        <v>A</v>
      </c>
      <c r="AQ2465" s="84" t="str">
        <f aca="false">IF(E2465="","",IF(U2465="","À SOUDER",IF(X2465="","VT EN ATTENTE",IF(X2465="R","VT REJETÉ – À REPRENDRE",IF(AP2465="","À RADIOGRAPHIER",IF(AP2465="A","ACCEPTÉ",IF(AP2465="NX","NX – RT À REFAIRE",IF(IF(AO2465=1,AD2465,IF(AO2465=2,AI2465,""))="A","RÉPARÉ – À RADIOGRAPHIER",IF(IF(AO2465=1,AD2465,IF(AO2465=2,AI2465,""))="R","VT REJETÉ – À REPRENDRE",IF(OR(AP2465="CO",AP2465="NT"),"COUPE – À RESOUDER","À RÉPARER"))))))))))</f>
        <v>ACCEPTÉ</v>
      </c>
      <c r="AR2465" s="82" t="str">
        <f aca="false">IF(AND(ISNUMBER(U2465),OR(AQ2465="À RADIOGRAPHIER",AQ2465="RÉPARÉ – À RADIOGRAPHIER",AQ2465="NX – RT À REFAIRE",AQ2465="À RÉPARER",AQ2465="COUPE – À RESOUDER",AQ2465="VT REJETÉ – À REPRENDRE")),MAX(0,'PROGRAMME RT'!$C$4-U2465),"")</f>
        <v/>
      </c>
      <c r="AS2465" s="82" t="n">
        <f aca="false">IF(AND(OR(AQ2465="À RADIOGRAPHIER",AQ2465="RÉPARÉ – À RADIOGRAPHIER",AQ2465="NX – RT À REFAIRE"),OR('PROGRAMME RT'!$D$5="TOUTES",B2465='PROGRAMME RT'!$D$5)),1,0)</f>
        <v>0</v>
      </c>
      <c r="AT2465" s="82" t="str">
        <f aca="false">IF(AS2465=1,SUM(AS$7:AS2465),"")</f>
        <v/>
      </c>
      <c r="AU2465" s="82" t="n">
        <f aca="false">IF(AND(OR(AA2465="R",AA2465="NX",AA2465="NT",AA2465="CO"),OR('JOINTS DE RÉPARATION'!$D$5="TOUTES",B2465='JOINTS DE RÉPARATION'!$D$5),OR('JOINTS DE RÉPARATION'!$L$4="TOUS",AQ2465&lt;&gt;"ACCEPTÉ")),1,0)</f>
        <v>0</v>
      </c>
      <c r="AV2465" s="82" t="str">
        <f aca="false">IF(AU2465=1,SUM(AU$7:AU2465),"")</f>
        <v/>
      </c>
      <c r="AW2465" s="82" t="str">
        <f aca="false">IF(E2465="","",B2465&amp;"|"&amp;E2465)</f>
        <v>MFD-ISW → MFD-CPF|JN°1981</v>
      </c>
    </row>
    <row r="2466" customFormat="false" ht="74.6" hidden="false" customHeight="false" outlineLevel="0" collapsed="false">
      <c r="A2466" s="79" t="n">
        <f aca="false">IF(E2466="","",ROW()-6)</f>
        <v>2460</v>
      </c>
      <c r="B2466" s="80" t="s">
        <v>110</v>
      </c>
      <c r="C2466" s="81" t="s">
        <v>2970</v>
      </c>
      <c r="D2466" s="81" t="n">
        <v>24</v>
      </c>
      <c r="E2466" s="81" t="s">
        <v>2993</v>
      </c>
      <c r="F2466" s="82" t="str">
        <f aca="false">IF(E2466="","",IF(LEFT(E2466,2)="DJ","DJ","JN"))</f>
        <v>JN</v>
      </c>
      <c r="G2466" s="81" t="s">
        <v>1504</v>
      </c>
      <c r="H2466" s="81" t="s">
        <v>871</v>
      </c>
      <c r="I2466" s="81" t="n">
        <v>9.53</v>
      </c>
      <c r="J2466" s="81" t="s">
        <v>872</v>
      </c>
      <c r="K2466" s="81" t="s">
        <v>879</v>
      </c>
      <c r="L2466" s="81" t="n">
        <v>2095150</v>
      </c>
      <c r="M2466" s="81" t="n">
        <v>15421111</v>
      </c>
      <c r="N2466" s="81" t="n">
        <v>11.94</v>
      </c>
      <c r="O2466" s="81" t="n">
        <v>2095980</v>
      </c>
      <c r="P2466" s="81" t="n">
        <v>15421104</v>
      </c>
      <c r="Q2466" s="81" t="n">
        <v>11.94</v>
      </c>
      <c r="R2466" s="81" t="s">
        <v>2921</v>
      </c>
      <c r="S2466" s="81"/>
      <c r="T2466" s="81"/>
      <c r="U2466" s="83" t="n">
        <v>46251</v>
      </c>
      <c r="V2466" s="83" t="n">
        <v>46251</v>
      </c>
      <c r="W2466" s="81" t="s">
        <v>2989</v>
      </c>
      <c r="X2466" s="81" t="s">
        <v>876</v>
      </c>
      <c r="Y2466" s="83" t="n">
        <v>46254</v>
      </c>
      <c r="Z2466" s="81" t="s">
        <v>2984</v>
      </c>
      <c r="AA2466" s="81" t="s">
        <v>876</v>
      </c>
      <c r="AB2466" s="81"/>
      <c r="AC2466" s="81"/>
      <c r="AD2466" s="81"/>
      <c r="AE2466" s="83"/>
      <c r="AF2466" s="81"/>
      <c r="AG2466" s="81"/>
      <c r="AH2466" s="81"/>
      <c r="AI2466" s="81"/>
      <c r="AJ2466" s="83"/>
      <c r="AK2466" s="81"/>
      <c r="AL2466" s="81"/>
      <c r="AM2466" s="83"/>
      <c r="AN2466" s="80"/>
      <c r="AO2466" s="82" t="n">
        <f aca="false">IF(E2466="","",(AA2466&lt;&gt;"")+(AG2466&lt;&gt;"")+(AL2466&lt;&gt;""))</f>
        <v>1</v>
      </c>
      <c r="AP2466" s="82" t="str">
        <f aca="false">IF(AL2466&lt;&gt;"",AL2466,IF(AG2466&lt;&gt;"",AG2466,IF(AA2466&lt;&gt;"",AA2466,"")))</f>
        <v>A</v>
      </c>
      <c r="AQ2466" s="84" t="str">
        <f aca="false">IF(E2466="","",IF(U2466="","À SOUDER",IF(X2466="","VT EN ATTENTE",IF(X2466="R","VT REJETÉ – À REPRENDRE",IF(AP2466="","À RADIOGRAPHIER",IF(AP2466="A","ACCEPTÉ",IF(AP2466="NX","NX – RT À REFAIRE",IF(IF(AO2466=1,AD2466,IF(AO2466=2,AI2466,""))="A","RÉPARÉ – À RADIOGRAPHIER",IF(IF(AO2466=1,AD2466,IF(AO2466=2,AI2466,""))="R","VT REJETÉ – À REPRENDRE",IF(OR(AP2466="CO",AP2466="NT"),"COUPE – À RESOUDER","À RÉPARER"))))))))))</f>
        <v>ACCEPTÉ</v>
      </c>
      <c r="AR2466" s="82" t="str">
        <f aca="false">IF(AND(ISNUMBER(U2466),OR(AQ2466="À RADIOGRAPHIER",AQ2466="RÉPARÉ – À RADIOGRAPHIER",AQ2466="NX – RT À REFAIRE",AQ2466="À RÉPARER",AQ2466="COUPE – À RESOUDER",AQ2466="VT REJETÉ – À REPRENDRE")),MAX(0,'PROGRAMME RT'!$C$4-U2466),"")</f>
        <v/>
      </c>
      <c r="AS2466" s="82" t="n">
        <f aca="false">IF(AND(OR(AQ2466="À RADIOGRAPHIER",AQ2466="RÉPARÉ – À RADIOGRAPHIER",AQ2466="NX – RT À REFAIRE"),OR('PROGRAMME RT'!$D$5="TOUTES",B2466='PROGRAMME RT'!$D$5)),1,0)</f>
        <v>0</v>
      </c>
      <c r="AT2466" s="82" t="str">
        <f aca="false">IF(AS2466=1,SUM(AS$7:AS2466),"")</f>
        <v/>
      </c>
      <c r="AU2466" s="82" t="n">
        <f aca="false">IF(AND(OR(AA2466="R",AA2466="NX",AA2466="NT",AA2466="CO"),OR('JOINTS DE RÉPARATION'!$D$5="TOUTES",B2466='JOINTS DE RÉPARATION'!$D$5),OR('JOINTS DE RÉPARATION'!$L$4="TOUS",AQ2466&lt;&gt;"ACCEPTÉ")),1,0)</f>
        <v>0</v>
      </c>
      <c r="AV2466" s="82" t="str">
        <f aca="false">IF(AU2466=1,SUM(AU$7:AU2466),"")</f>
        <v/>
      </c>
      <c r="AW2466" s="82" t="str">
        <f aca="false">IF(E2466="","",B2466&amp;"|"&amp;E2466)</f>
        <v>MFD-ISW → MFD-CPF|JN°1982</v>
      </c>
    </row>
    <row r="2467" customFormat="false" ht="74.6" hidden="false" customHeight="false" outlineLevel="0" collapsed="false">
      <c r="A2467" s="79" t="n">
        <f aca="false">IF(E2467="","",ROW()-6)</f>
        <v>2461</v>
      </c>
      <c r="B2467" s="80" t="s">
        <v>110</v>
      </c>
      <c r="C2467" s="81" t="s">
        <v>2970</v>
      </c>
      <c r="D2467" s="81" t="n">
        <v>24</v>
      </c>
      <c r="E2467" s="81" t="s">
        <v>2994</v>
      </c>
      <c r="F2467" s="82" t="str">
        <f aca="false">IF(E2467="","",IF(LEFT(E2467,2)="DJ","DJ","JN"))</f>
        <v>JN</v>
      </c>
      <c r="G2467" s="81" t="s">
        <v>1504</v>
      </c>
      <c r="H2467" s="81" t="s">
        <v>871</v>
      </c>
      <c r="I2467" s="81" t="n">
        <v>9.53</v>
      </c>
      <c r="J2467" s="81" t="s">
        <v>872</v>
      </c>
      <c r="K2467" s="81" t="s">
        <v>879</v>
      </c>
      <c r="L2467" s="81" t="n">
        <v>2095980</v>
      </c>
      <c r="M2467" s="81" t="n">
        <v>15421104</v>
      </c>
      <c r="N2467" s="81" t="n">
        <v>11.94</v>
      </c>
      <c r="O2467" s="81" t="n">
        <v>2082320</v>
      </c>
      <c r="P2467" s="81" t="n">
        <v>15421108</v>
      </c>
      <c r="Q2467" s="81" t="n">
        <v>11.94</v>
      </c>
      <c r="R2467" s="81" t="s">
        <v>2921</v>
      </c>
      <c r="S2467" s="81"/>
      <c r="T2467" s="81"/>
      <c r="U2467" s="83" t="n">
        <v>46251</v>
      </c>
      <c r="V2467" s="83" t="n">
        <v>46251</v>
      </c>
      <c r="W2467" s="81" t="s">
        <v>2989</v>
      </c>
      <c r="X2467" s="81" t="s">
        <v>876</v>
      </c>
      <c r="Y2467" s="83" t="n">
        <v>46254</v>
      </c>
      <c r="Z2467" s="81" t="s">
        <v>2984</v>
      </c>
      <c r="AA2467" s="81" t="s">
        <v>876</v>
      </c>
      <c r="AB2467" s="81"/>
      <c r="AC2467" s="81"/>
      <c r="AD2467" s="81"/>
      <c r="AE2467" s="83"/>
      <c r="AF2467" s="81"/>
      <c r="AG2467" s="81"/>
      <c r="AH2467" s="81"/>
      <c r="AI2467" s="81"/>
      <c r="AJ2467" s="83"/>
      <c r="AK2467" s="81"/>
      <c r="AL2467" s="81"/>
      <c r="AM2467" s="83"/>
      <c r="AN2467" s="80"/>
      <c r="AO2467" s="82" t="n">
        <f aca="false">IF(E2467="","",(AA2467&lt;&gt;"")+(AG2467&lt;&gt;"")+(AL2467&lt;&gt;""))</f>
        <v>1</v>
      </c>
      <c r="AP2467" s="82" t="str">
        <f aca="false">IF(AL2467&lt;&gt;"",AL2467,IF(AG2467&lt;&gt;"",AG2467,IF(AA2467&lt;&gt;"",AA2467,"")))</f>
        <v>A</v>
      </c>
      <c r="AQ2467" s="84" t="str">
        <f aca="false">IF(E2467="","",IF(U2467="","À SOUDER",IF(X2467="","VT EN ATTENTE",IF(X2467="R","VT REJETÉ – À REPRENDRE",IF(AP2467="","À RADIOGRAPHIER",IF(AP2467="A","ACCEPTÉ",IF(AP2467="NX","NX – RT À REFAIRE",IF(IF(AO2467=1,AD2467,IF(AO2467=2,AI2467,""))="A","RÉPARÉ – À RADIOGRAPHIER",IF(IF(AO2467=1,AD2467,IF(AO2467=2,AI2467,""))="R","VT REJETÉ – À REPRENDRE",IF(OR(AP2467="CO",AP2467="NT"),"COUPE – À RESOUDER","À RÉPARER"))))))))))</f>
        <v>ACCEPTÉ</v>
      </c>
      <c r="AR2467" s="82" t="str">
        <f aca="false">IF(AND(ISNUMBER(U2467),OR(AQ2467="À RADIOGRAPHIER",AQ2467="RÉPARÉ – À RADIOGRAPHIER",AQ2467="NX – RT À REFAIRE",AQ2467="À RÉPARER",AQ2467="COUPE – À RESOUDER",AQ2467="VT REJETÉ – À REPRENDRE")),MAX(0,'PROGRAMME RT'!$C$4-U2467),"")</f>
        <v/>
      </c>
      <c r="AS2467" s="82" t="n">
        <f aca="false">IF(AND(OR(AQ2467="À RADIOGRAPHIER",AQ2467="RÉPARÉ – À RADIOGRAPHIER",AQ2467="NX – RT À REFAIRE"),OR('PROGRAMME RT'!$D$5="TOUTES",B2467='PROGRAMME RT'!$D$5)),1,0)</f>
        <v>0</v>
      </c>
      <c r="AT2467" s="82" t="str">
        <f aca="false">IF(AS2467=1,SUM(AS$7:AS2467),"")</f>
        <v/>
      </c>
      <c r="AU2467" s="82" t="n">
        <f aca="false">IF(AND(OR(AA2467="R",AA2467="NX",AA2467="NT",AA2467="CO"),OR('JOINTS DE RÉPARATION'!$D$5="TOUTES",B2467='JOINTS DE RÉPARATION'!$D$5),OR('JOINTS DE RÉPARATION'!$L$4="TOUS",AQ2467&lt;&gt;"ACCEPTÉ")),1,0)</f>
        <v>0</v>
      </c>
      <c r="AV2467" s="82" t="str">
        <f aca="false">IF(AU2467=1,SUM(AU$7:AU2467),"")</f>
        <v/>
      </c>
      <c r="AW2467" s="82" t="str">
        <f aca="false">IF(E2467="","",B2467&amp;"|"&amp;E2467)</f>
        <v>MFD-ISW → MFD-CPF|JN°1983</v>
      </c>
    </row>
    <row r="2468" customFormat="false" ht="74.6" hidden="false" customHeight="false" outlineLevel="0" collapsed="false">
      <c r="A2468" s="79" t="n">
        <f aca="false">IF(E2468="","",ROW()-6)</f>
        <v>2462</v>
      </c>
      <c r="B2468" s="80" t="s">
        <v>110</v>
      </c>
      <c r="C2468" s="81" t="s">
        <v>2970</v>
      </c>
      <c r="D2468" s="81" t="n">
        <v>24</v>
      </c>
      <c r="E2468" s="81" t="s">
        <v>2995</v>
      </c>
      <c r="F2468" s="82" t="str">
        <f aca="false">IF(E2468="","",IF(LEFT(E2468,2)="DJ","DJ","JN"))</f>
        <v>JN</v>
      </c>
      <c r="G2468" s="81" t="s">
        <v>1504</v>
      </c>
      <c r="H2468" s="81" t="s">
        <v>871</v>
      </c>
      <c r="I2468" s="81" t="n">
        <v>9.53</v>
      </c>
      <c r="J2468" s="81" t="s">
        <v>872</v>
      </c>
      <c r="K2468" s="81" t="s">
        <v>879</v>
      </c>
      <c r="L2468" s="81" t="n">
        <v>2082320</v>
      </c>
      <c r="M2468" s="81" t="n">
        <v>15421108</v>
      </c>
      <c r="N2468" s="81" t="n">
        <v>11.94</v>
      </c>
      <c r="O2468" s="81" t="n">
        <v>2087840</v>
      </c>
      <c r="P2468" s="81" t="n">
        <v>15421108</v>
      </c>
      <c r="Q2468" s="81" t="n">
        <v>11.94</v>
      </c>
      <c r="R2468" s="81" t="s">
        <v>2921</v>
      </c>
      <c r="S2468" s="81"/>
      <c r="T2468" s="81"/>
      <c r="U2468" s="83" t="n">
        <v>46251</v>
      </c>
      <c r="V2468" s="83" t="n">
        <v>46250</v>
      </c>
      <c r="W2468" s="81" t="s">
        <v>2996</v>
      </c>
      <c r="X2468" s="81" t="s">
        <v>876</v>
      </c>
      <c r="Y2468" s="83" t="n">
        <v>46254</v>
      </c>
      <c r="Z2468" s="81" t="s">
        <v>2984</v>
      </c>
      <c r="AA2468" s="81" t="s">
        <v>876</v>
      </c>
      <c r="AB2468" s="81"/>
      <c r="AC2468" s="81"/>
      <c r="AD2468" s="81"/>
      <c r="AE2468" s="83"/>
      <c r="AF2468" s="81"/>
      <c r="AG2468" s="81"/>
      <c r="AH2468" s="81"/>
      <c r="AI2468" s="81"/>
      <c r="AJ2468" s="83"/>
      <c r="AK2468" s="81"/>
      <c r="AL2468" s="81"/>
      <c r="AM2468" s="83"/>
      <c r="AN2468" s="80"/>
      <c r="AO2468" s="82" t="n">
        <f aca="false">IF(E2468="","",(AA2468&lt;&gt;"")+(AG2468&lt;&gt;"")+(AL2468&lt;&gt;""))</f>
        <v>1</v>
      </c>
      <c r="AP2468" s="82" t="str">
        <f aca="false">IF(AL2468&lt;&gt;"",AL2468,IF(AG2468&lt;&gt;"",AG2468,IF(AA2468&lt;&gt;"",AA2468,"")))</f>
        <v>A</v>
      </c>
      <c r="AQ2468" s="84" t="str">
        <f aca="false">IF(E2468="","",IF(U2468="","À SOUDER",IF(X2468="","VT EN ATTENTE",IF(X2468="R","VT REJETÉ – À REPRENDRE",IF(AP2468="","À RADIOGRAPHIER",IF(AP2468="A","ACCEPTÉ",IF(AP2468="NX","NX – RT À REFAIRE",IF(IF(AO2468=1,AD2468,IF(AO2468=2,AI2468,""))="A","RÉPARÉ – À RADIOGRAPHIER",IF(IF(AO2468=1,AD2468,IF(AO2468=2,AI2468,""))="R","VT REJETÉ – À REPRENDRE",IF(OR(AP2468="CO",AP2468="NT"),"COUPE – À RESOUDER","À RÉPARER"))))))))))</f>
        <v>ACCEPTÉ</v>
      </c>
      <c r="AR2468" s="82" t="str">
        <f aca="false">IF(AND(ISNUMBER(U2468),OR(AQ2468="À RADIOGRAPHIER",AQ2468="RÉPARÉ – À RADIOGRAPHIER",AQ2468="NX – RT À REFAIRE",AQ2468="À RÉPARER",AQ2468="COUPE – À RESOUDER",AQ2468="VT REJETÉ – À REPRENDRE")),MAX(0,'PROGRAMME RT'!$C$4-U2468),"")</f>
        <v/>
      </c>
      <c r="AS2468" s="82" t="n">
        <f aca="false">IF(AND(OR(AQ2468="À RADIOGRAPHIER",AQ2468="RÉPARÉ – À RADIOGRAPHIER",AQ2468="NX – RT À REFAIRE"),OR('PROGRAMME RT'!$D$5="TOUTES",B2468='PROGRAMME RT'!$D$5)),1,0)</f>
        <v>0</v>
      </c>
      <c r="AT2468" s="82" t="str">
        <f aca="false">IF(AS2468=1,SUM(AS$7:AS2468),"")</f>
        <v/>
      </c>
      <c r="AU2468" s="82" t="n">
        <f aca="false">IF(AND(OR(AA2468="R",AA2468="NX",AA2468="NT",AA2468="CO"),OR('JOINTS DE RÉPARATION'!$D$5="TOUTES",B2468='JOINTS DE RÉPARATION'!$D$5),OR('JOINTS DE RÉPARATION'!$L$4="TOUS",AQ2468&lt;&gt;"ACCEPTÉ")),1,0)</f>
        <v>0</v>
      </c>
      <c r="AV2468" s="82" t="str">
        <f aca="false">IF(AU2468=1,SUM(AU$7:AU2468),"")</f>
        <v/>
      </c>
      <c r="AW2468" s="82" t="str">
        <f aca="false">IF(E2468="","",B2468&amp;"|"&amp;E2468)</f>
        <v>MFD-ISW → MFD-CPF|JN°1984</v>
      </c>
    </row>
    <row r="2469" customFormat="false" ht="74.6" hidden="false" customHeight="false" outlineLevel="0" collapsed="false">
      <c r="A2469" s="79" t="n">
        <f aca="false">IF(E2469="","",ROW()-6)</f>
        <v>2463</v>
      </c>
      <c r="B2469" s="80" t="s">
        <v>110</v>
      </c>
      <c r="C2469" s="81" t="s">
        <v>2970</v>
      </c>
      <c r="D2469" s="81" t="n">
        <v>24</v>
      </c>
      <c r="E2469" s="81" t="s">
        <v>2997</v>
      </c>
      <c r="F2469" s="82" t="str">
        <f aca="false">IF(E2469="","",IF(LEFT(E2469,2)="DJ","DJ","JN"))</f>
        <v>JN</v>
      </c>
      <c r="G2469" s="81" t="s">
        <v>1504</v>
      </c>
      <c r="H2469" s="81" t="s">
        <v>871</v>
      </c>
      <c r="I2469" s="81" t="n">
        <v>9.53</v>
      </c>
      <c r="J2469" s="81" t="s">
        <v>872</v>
      </c>
      <c r="K2469" s="81" t="s">
        <v>879</v>
      </c>
      <c r="L2469" s="81" t="n">
        <v>2087840</v>
      </c>
      <c r="M2469" s="81" t="n">
        <v>15421108</v>
      </c>
      <c r="N2469" s="81" t="n">
        <v>11.94</v>
      </c>
      <c r="O2469" s="81" t="n">
        <v>2087990</v>
      </c>
      <c r="P2469" s="81" t="n">
        <v>15421108</v>
      </c>
      <c r="Q2469" s="81" t="n">
        <v>11.94</v>
      </c>
      <c r="R2469" s="81" t="s">
        <v>2921</v>
      </c>
      <c r="S2469" s="81"/>
      <c r="T2469" s="81"/>
      <c r="U2469" s="83" t="n">
        <v>46251</v>
      </c>
      <c r="V2469" s="83" t="n">
        <v>46250</v>
      </c>
      <c r="W2469" s="81" t="s">
        <v>2996</v>
      </c>
      <c r="X2469" s="81" t="s">
        <v>876</v>
      </c>
      <c r="Y2469" s="83" t="n">
        <v>46254</v>
      </c>
      <c r="Z2469" s="81" t="s">
        <v>2984</v>
      </c>
      <c r="AA2469" s="81" t="s">
        <v>876</v>
      </c>
      <c r="AB2469" s="81"/>
      <c r="AC2469" s="81"/>
      <c r="AD2469" s="81"/>
      <c r="AE2469" s="83"/>
      <c r="AF2469" s="81"/>
      <c r="AG2469" s="81"/>
      <c r="AH2469" s="81"/>
      <c r="AI2469" s="81"/>
      <c r="AJ2469" s="83"/>
      <c r="AK2469" s="81"/>
      <c r="AL2469" s="81"/>
      <c r="AM2469" s="83"/>
      <c r="AN2469" s="80"/>
      <c r="AO2469" s="82" t="n">
        <f aca="false">IF(E2469="","",(AA2469&lt;&gt;"")+(AG2469&lt;&gt;"")+(AL2469&lt;&gt;""))</f>
        <v>1</v>
      </c>
      <c r="AP2469" s="82" t="str">
        <f aca="false">IF(AL2469&lt;&gt;"",AL2469,IF(AG2469&lt;&gt;"",AG2469,IF(AA2469&lt;&gt;"",AA2469,"")))</f>
        <v>A</v>
      </c>
      <c r="AQ2469" s="84" t="str">
        <f aca="false">IF(E2469="","",IF(U2469="","À SOUDER",IF(X2469="","VT EN ATTENTE",IF(X2469="R","VT REJETÉ – À REPRENDRE",IF(AP2469="","À RADIOGRAPHIER",IF(AP2469="A","ACCEPTÉ",IF(AP2469="NX","NX – RT À REFAIRE",IF(IF(AO2469=1,AD2469,IF(AO2469=2,AI2469,""))="A","RÉPARÉ – À RADIOGRAPHIER",IF(IF(AO2469=1,AD2469,IF(AO2469=2,AI2469,""))="R","VT REJETÉ – À REPRENDRE",IF(OR(AP2469="CO",AP2469="NT"),"COUPE – À RESOUDER","À RÉPARER"))))))))))</f>
        <v>ACCEPTÉ</v>
      </c>
      <c r="AR2469" s="82" t="str">
        <f aca="false">IF(AND(ISNUMBER(U2469),OR(AQ2469="À RADIOGRAPHIER",AQ2469="RÉPARÉ – À RADIOGRAPHIER",AQ2469="NX – RT À REFAIRE",AQ2469="À RÉPARER",AQ2469="COUPE – À RESOUDER",AQ2469="VT REJETÉ – À REPRENDRE")),MAX(0,'PROGRAMME RT'!$C$4-U2469),"")</f>
        <v/>
      </c>
      <c r="AS2469" s="82" t="n">
        <f aca="false">IF(AND(OR(AQ2469="À RADIOGRAPHIER",AQ2469="RÉPARÉ – À RADIOGRAPHIER",AQ2469="NX – RT À REFAIRE"),OR('PROGRAMME RT'!$D$5="TOUTES",B2469='PROGRAMME RT'!$D$5)),1,0)</f>
        <v>0</v>
      </c>
      <c r="AT2469" s="82" t="str">
        <f aca="false">IF(AS2469=1,SUM(AS$7:AS2469),"")</f>
        <v/>
      </c>
      <c r="AU2469" s="82" t="n">
        <f aca="false">IF(AND(OR(AA2469="R",AA2469="NX",AA2469="NT",AA2469="CO"),OR('JOINTS DE RÉPARATION'!$D$5="TOUTES",B2469='JOINTS DE RÉPARATION'!$D$5),OR('JOINTS DE RÉPARATION'!$L$4="TOUS",AQ2469&lt;&gt;"ACCEPTÉ")),1,0)</f>
        <v>0</v>
      </c>
      <c r="AV2469" s="82" t="str">
        <f aca="false">IF(AU2469=1,SUM(AU$7:AU2469),"")</f>
        <v/>
      </c>
      <c r="AW2469" s="82" t="str">
        <f aca="false">IF(E2469="","",B2469&amp;"|"&amp;E2469)</f>
        <v>MFD-ISW → MFD-CPF|JN°1985</v>
      </c>
    </row>
    <row r="2470" customFormat="false" ht="74.6" hidden="false" customHeight="false" outlineLevel="0" collapsed="false">
      <c r="A2470" s="79" t="n">
        <f aca="false">IF(E2470="","",ROW()-6)</f>
        <v>2464</v>
      </c>
      <c r="B2470" s="80" t="s">
        <v>110</v>
      </c>
      <c r="C2470" s="81" t="s">
        <v>2970</v>
      </c>
      <c r="D2470" s="81" t="n">
        <v>24</v>
      </c>
      <c r="E2470" s="81" t="s">
        <v>2998</v>
      </c>
      <c r="F2470" s="82" t="str">
        <f aca="false">IF(E2470="","",IF(LEFT(E2470,2)="DJ","DJ","JN"))</f>
        <v>JN</v>
      </c>
      <c r="G2470" s="81" t="s">
        <v>1504</v>
      </c>
      <c r="H2470" s="81" t="s">
        <v>871</v>
      </c>
      <c r="I2470" s="81" t="n">
        <v>9.53</v>
      </c>
      <c r="J2470" s="81" t="s">
        <v>872</v>
      </c>
      <c r="K2470" s="81" t="s">
        <v>879</v>
      </c>
      <c r="L2470" s="81" t="n">
        <v>2087990</v>
      </c>
      <c r="M2470" s="81" t="n">
        <v>15421108</v>
      </c>
      <c r="N2470" s="81" t="n">
        <v>11.94</v>
      </c>
      <c r="O2470" s="81" t="n">
        <v>2082410</v>
      </c>
      <c r="P2470" s="81" t="n">
        <v>15421104</v>
      </c>
      <c r="Q2470" s="81" t="n">
        <v>11.94</v>
      </c>
      <c r="R2470" s="81" t="s">
        <v>2921</v>
      </c>
      <c r="S2470" s="81"/>
      <c r="T2470" s="81"/>
      <c r="U2470" s="83" t="n">
        <v>46251</v>
      </c>
      <c r="V2470" s="83" t="n">
        <v>46250</v>
      </c>
      <c r="W2470" s="81" t="s">
        <v>2996</v>
      </c>
      <c r="X2470" s="81" t="s">
        <v>876</v>
      </c>
      <c r="Y2470" s="83" t="n">
        <v>46254</v>
      </c>
      <c r="Z2470" s="81" t="s">
        <v>2984</v>
      </c>
      <c r="AA2470" s="81" t="s">
        <v>876</v>
      </c>
      <c r="AB2470" s="81"/>
      <c r="AC2470" s="81"/>
      <c r="AD2470" s="81"/>
      <c r="AE2470" s="83"/>
      <c r="AF2470" s="81"/>
      <c r="AG2470" s="81"/>
      <c r="AH2470" s="81"/>
      <c r="AI2470" s="81"/>
      <c r="AJ2470" s="83"/>
      <c r="AK2470" s="81"/>
      <c r="AL2470" s="81"/>
      <c r="AM2470" s="83"/>
      <c r="AN2470" s="80"/>
      <c r="AO2470" s="82" t="n">
        <f aca="false">IF(E2470="","",(AA2470&lt;&gt;"")+(AG2470&lt;&gt;"")+(AL2470&lt;&gt;""))</f>
        <v>1</v>
      </c>
      <c r="AP2470" s="82" t="str">
        <f aca="false">IF(AL2470&lt;&gt;"",AL2470,IF(AG2470&lt;&gt;"",AG2470,IF(AA2470&lt;&gt;"",AA2470,"")))</f>
        <v>A</v>
      </c>
      <c r="AQ2470" s="84" t="str">
        <f aca="false">IF(E2470="","",IF(U2470="","À SOUDER",IF(X2470="","VT EN ATTENTE",IF(X2470="R","VT REJETÉ – À REPRENDRE",IF(AP2470="","À RADIOGRAPHIER",IF(AP2470="A","ACCEPTÉ",IF(AP2470="NX","NX – RT À REFAIRE",IF(IF(AO2470=1,AD2470,IF(AO2470=2,AI2470,""))="A","RÉPARÉ – À RADIOGRAPHIER",IF(IF(AO2470=1,AD2470,IF(AO2470=2,AI2470,""))="R","VT REJETÉ – À REPRENDRE",IF(OR(AP2470="CO",AP2470="NT"),"COUPE – À RESOUDER","À RÉPARER"))))))))))</f>
        <v>ACCEPTÉ</v>
      </c>
      <c r="AR2470" s="82" t="str">
        <f aca="false">IF(AND(ISNUMBER(U2470),OR(AQ2470="À RADIOGRAPHIER",AQ2470="RÉPARÉ – À RADIOGRAPHIER",AQ2470="NX – RT À REFAIRE",AQ2470="À RÉPARER",AQ2470="COUPE – À RESOUDER",AQ2470="VT REJETÉ – À REPRENDRE")),MAX(0,'PROGRAMME RT'!$C$4-U2470),"")</f>
        <v/>
      </c>
      <c r="AS2470" s="82" t="n">
        <f aca="false">IF(AND(OR(AQ2470="À RADIOGRAPHIER",AQ2470="RÉPARÉ – À RADIOGRAPHIER",AQ2470="NX – RT À REFAIRE"),OR('PROGRAMME RT'!$D$5="TOUTES",B2470='PROGRAMME RT'!$D$5)),1,0)</f>
        <v>0</v>
      </c>
      <c r="AT2470" s="82" t="str">
        <f aca="false">IF(AS2470=1,SUM(AS$7:AS2470),"")</f>
        <v/>
      </c>
      <c r="AU2470" s="82" t="n">
        <f aca="false">IF(AND(OR(AA2470="R",AA2470="NX",AA2470="NT",AA2470="CO"),OR('JOINTS DE RÉPARATION'!$D$5="TOUTES",B2470='JOINTS DE RÉPARATION'!$D$5),OR('JOINTS DE RÉPARATION'!$L$4="TOUS",AQ2470&lt;&gt;"ACCEPTÉ")),1,0)</f>
        <v>0</v>
      </c>
      <c r="AV2470" s="82" t="str">
        <f aca="false">IF(AU2470=1,SUM(AU$7:AU2470),"")</f>
        <v/>
      </c>
      <c r="AW2470" s="82" t="str">
        <f aca="false">IF(E2470="","",B2470&amp;"|"&amp;E2470)</f>
        <v>MFD-ISW → MFD-CPF|JN°1986</v>
      </c>
    </row>
    <row r="2471" customFormat="false" ht="74.6" hidden="false" customHeight="false" outlineLevel="0" collapsed="false">
      <c r="A2471" s="79" t="n">
        <f aca="false">IF(E2471="","",ROW()-6)</f>
        <v>2465</v>
      </c>
      <c r="B2471" s="80" t="s">
        <v>110</v>
      </c>
      <c r="C2471" s="81" t="s">
        <v>2970</v>
      </c>
      <c r="D2471" s="81" t="n">
        <v>24</v>
      </c>
      <c r="E2471" s="81" t="s">
        <v>2999</v>
      </c>
      <c r="F2471" s="82" t="str">
        <f aca="false">IF(E2471="","",IF(LEFT(E2471,2)="DJ","DJ","JN"))</f>
        <v>JN</v>
      </c>
      <c r="G2471" s="81" t="s">
        <v>1504</v>
      </c>
      <c r="H2471" s="81" t="s">
        <v>871</v>
      </c>
      <c r="I2471" s="81" t="n">
        <v>9.53</v>
      </c>
      <c r="J2471" s="81" t="s">
        <v>872</v>
      </c>
      <c r="K2471" s="81" t="s">
        <v>879</v>
      </c>
      <c r="L2471" s="81" t="n">
        <v>2082410</v>
      </c>
      <c r="M2471" s="81" t="n">
        <v>15421104</v>
      </c>
      <c r="N2471" s="81" t="n">
        <v>11.94</v>
      </c>
      <c r="O2471" s="81" t="n">
        <v>2089570</v>
      </c>
      <c r="P2471" s="81" t="n">
        <v>15421109</v>
      </c>
      <c r="Q2471" s="81" t="n">
        <v>11.94</v>
      </c>
      <c r="R2471" s="81" t="s">
        <v>2921</v>
      </c>
      <c r="S2471" s="81"/>
      <c r="T2471" s="81"/>
      <c r="U2471" s="83" t="n">
        <v>46251</v>
      </c>
      <c r="V2471" s="83" t="n">
        <v>46250</v>
      </c>
      <c r="W2471" s="81" t="s">
        <v>2996</v>
      </c>
      <c r="X2471" s="81" t="s">
        <v>876</v>
      </c>
      <c r="Y2471" s="83" t="n">
        <v>46254</v>
      </c>
      <c r="Z2471" s="81" t="s">
        <v>2984</v>
      </c>
      <c r="AA2471" s="81" t="s">
        <v>876</v>
      </c>
      <c r="AB2471" s="81"/>
      <c r="AC2471" s="81"/>
      <c r="AD2471" s="81"/>
      <c r="AE2471" s="83"/>
      <c r="AF2471" s="81"/>
      <c r="AG2471" s="81"/>
      <c r="AH2471" s="81"/>
      <c r="AI2471" s="81"/>
      <c r="AJ2471" s="83"/>
      <c r="AK2471" s="81"/>
      <c r="AL2471" s="81"/>
      <c r="AM2471" s="83"/>
      <c r="AN2471" s="80"/>
      <c r="AO2471" s="82" t="n">
        <f aca="false">IF(E2471="","",(AA2471&lt;&gt;"")+(AG2471&lt;&gt;"")+(AL2471&lt;&gt;""))</f>
        <v>1</v>
      </c>
      <c r="AP2471" s="82" t="str">
        <f aca="false">IF(AL2471&lt;&gt;"",AL2471,IF(AG2471&lt;&gt;"",AG2471,IF(AA2471&lt;&gt;"",AA2471,"")))</f>
        <v>A</v>
      </c>
      <c r="AQ2471" s="84" t="str">
        <f aca="false">IF(E2471="","",IF(U2471="","À SOUDER",IF(X2471="","VT EN ATTENTE",IF(X2471="R","VT REJETÉ – À REPRENDRE",IF(AP2471="","À RADIOGRAPHIER",IF(AP2471="A","ACCEPTÉ",IF(AP2471="NX","NX – RT À REFAIRE",IF(IF(AO2471=1,AD2471,IF(AO2471=2,AI2471,""))="A","RÉPARÉ – À RADIOGRAPHIER",IF(IF(AO2471=1,AD2471,IF(AO2471=2,AI2471,""))="R","VT REJETÉ – À REPRENDRE",IF(OR(AP2471="CO",AP2471="NT"),"COUPE – À RESOUDER","À RÉPARER"))))))))))</f>
        <v>ACCEPTÉ</v>
      </c>
      <c r="AR2471" s="82" t="str">
        <f aca="false">IF(AND(ISNUMBER(U2471),OR(AQ2471="À RADIOGRAPHIER",AQ2471="RÉPARÉ – À RADIOGRAPHIER",AQ2471="NX – RT À REFAIRE",AQ2471="À RÉPARER",AQ2471="COUPE – À RESOUDER",AQ2471="VT REJETÉ – À REPRENDRE")),MAX(0,'PROGRAMME RT'!$C$4-U2471),"")</f>
        <v/>
      </c>
      <c r="AS2471" s="82" t="n">
        <f aca="false">IF(AND(OR(AQ2471="À RADIOGRAPHIER",AQ2471="RÉPARÉ – À RADIOGRAPHIER",AQ2471="NX – RT À REFAIRE"),OR('PROGRAMME RT'!$D$5="TOUTES",B2471='PROGRAMME RT'!$D$5)),1,0)</f>
        <v>0</v>
      </c>
      <c r="AT2471" s="82" t="str">
        <f aca="false">IF(AS2471=1,SUM(AS$7:AS2471),"")</f>
        <v/>
      </c>
      <c r="AU2471" s="82" t="n">
        <f aca="false">IF(AND(OR(AA2471="R",AA2471="NX",AA2471="NT",AA2471="CO"),OR('JOINTS DE RÉPARATION'!$D$5="TOUTES",B2471='JOINTS DE RÉPARATION'!$D$5),OR('JOINTS DE RÉPARATION'!$L$4="TOUS",AQ2471&lt;&gt;"ACCEPTÉ")),1,0)</f>
        <v>0</v>
      </c>
      <c r="AV2471" s="82" t="str">
        <f aca="false">IF(AU2471=1,SUM(AU$7:AU2471),"")</f>
        <v/>
      </c>
      <c r="AW2471" s="82" t="str">
        <f aca="false">IF(E2471="","",B2471&amp;"|"&amp;E2471)</f>
        <v>MFD-ISW → MFD-CPF|JN°1987</v>
      </c>
    </row>
    <row r="2472" customFormat="false" ht="74.6" hidden="false" customHeight="false" outlineLevel="0" collapsed="false">
      <c r="A2472" s="79" t="n">
        <f aca="false">IF(E2472="","",ROW()-6)</f>
        <v>2466</v>
      </c>
      <c r="B2472" s="80" t="s">
        <v>110</v>
      </c>
      <c r="C2472" s="81" t="s">
        <v>2970</v>
      </c>
      <c r="D2472" s="81" t="n">
        <v>24</v>
      </c>
      <c r="E2472" s="81" t="s">
        <v>3000</v>
      </c>
      <c r="F2472" s="82" t="str">
        <f aca="false">IF(E2472="","",IF(LEFT(E2472,2)="DJ","DJ","JN"))</f>
        <v>JN</v>
      </c>
      <c r="G2472" s="81" t="s">
        <v>1504</v>
      </c>
      <c r="H2472" s="81" t="s">
        <v>871</v>
      </c>
      <c r="I2472" s="81" t="n">
        <v>9.53</v>
      </c>
      <c r="J2472" s="81" t="s">
        <v>872</v>
      </c>
      <c r="K2472" s="81" t="s">
        <v>879</v>
      </c>
      <c r="L2472" s="81" t="n">
        <v>2089570</v>
      </c>
      <c r="M2472" s="81" t="n">
        <v>15421109</v>
      </c>
      <c r="N2472" s="81" t="n">
        <v>11.94</v>
      </c>
      <c r="O2472" s="81" t="n">
        <v>2081900</v>
      </c>
      <c r="P2472" s="81" t="n">
        <v>15421103</v>
      </c>
      <c r="Q2472" s="81" t="n">
        <v>11.94</v>
      </c>
      <c r="R2472" s="81" t="s">
        <v>2921</v>
      </c>
      <c r="S2472" s="81"/>
      <c r="T2472" s="81"/>
      <c r="U2472" s="83" t="n">
        <v>46251</v>
      </c>
      <c r="V2472" s="83" t="n">
        <v>46250</v>
      </c>
      <c r="W2472" s="81" t="s">
        <v>2996</v>
      </c>
      <c r="X2472" s="81" t="s">
        <v>876</v>
      </c>
      <c r="Y2472" s="83" t="n">
        <v>46254</v>
      </c>
      <c r="Z2472" s="81" t="s">
        <v>2984</v>
      </c>
      <c r="AA2472" s="81" t="s">
        <v>876</v>
      </c>
      <c r="AB2472" s="81"/>
      <c r="AC2472" s="81"/>
      <c r="AD2472" s="81"/>
      <c r="AE2472" s="83"/>
      <c r="AF2472" s="81"/>
      <c r="AG2472" s="81"/>
      <c r="AH2472" s="81"/>
      <c r="AI2472" s="81"/>
      <c r="AJ2472" s="83"/>
      <c r="AK2472" s="81"/>
      <c r="AL2472" s="81"/>
      <c r="AM2472" s="83"/>
      <c r="AN2472" s="80"/>
      <c r="AO2472" s="82" t="n">
        <f aca="false">IF(E2472="","",(AA2472&lt;&gt;"")+(AG2472&lt;&gt;"")+(AL2472&lt;&gt;""))</f>
        <v>1</v>
      </c>
      <c r="AP2472" s="82" t="str">
        <f aca="false">IF(AL2472&lt;&gt;"",AL2472,IF(AG2472&lt;&gt;"",AG2472,IF(AA2472&lt;&gt;"",AA2472,"")))</f>
        <v>A</v>
      </c>
      <c r="AQ2472" s="84" t="str">
        <f aca="false">IF(E2472="","",IF(U2472="","À SOUDER",IF(X2472="","VT EN ATTENTE",IF(X2472="R","VT REJETÉ – À REPRENDRE",IF(AP2472="","À RADIOGRAPHIER",IF(AP2472="A","ACCEPTÉ",IF(AP2472="NX","NX – RT À REFAIRE",IF(IF(AO2472=1,AD2472,IF(AO2472=2,AI2472,""))="A","RÉPARÉ – À RADIOGRAPHIER",IF(IF(AO2472=1,AD2472,IF(AO2472=2,AI2472,""))="R","VT REJETÉ – À REPRENDRE",IF(OR(AP2472="CO",AP2472="NT"),"COUPE – À RESOUDER","À RÉPARER"))))))))))</f>
        <v>ACCEPTÉ</v>
      </c>
      <c r="AR2472" s="82" t="str">
        <f aca="false">IF(AND(ISNUMBER(U2472),OR(AQ2472="À RADIOGRAPHIER",AQ2472="RÉPARÉ – À RADIOGRAPHIER",AQ2472="NX – RT À REFAIRE",AQ2472="À RÉPARER",AQ2472="COUPE – À RESOUDER",AQ2472="VT REJETÉ – À REPRENDRE")),MAX(0,'PROGRAMME RT'!$C$4-U2472),"")</f>
        <v/>
      </c>
      <c r="AS2472" s="82" t="n">
        <f aca="false">IF(AND(OR(AQ2472="À RADIOGRAPHIER",AQ2472="RÉPARÉ – À RADIOGRAPHIER",AQ2472="NX – RT À REFAIRE"),OR('PROGRAMME RT'!$D$5="TOUTES",B2472='PROGRAMME RT'!$D$5)),1,0)</f>
        <v>0</v>
      </c>
      <c r="AT2472" s="82" t="str">
        <f aca="false">IF(AS2472=1,SUM(AS$7:AS2472),"")</f>
        <v/>
      </c>
      <c r="AU2472" s="82" t="n">
        <f aca="false">IF(AND(OR(AA2472="R",AA2472="NX",AA2472="NT",AA2472="CO"),OR('JOINTS DE RÉPARATION'!$D$5="TOUTES",B2472='JOINTS DE RÉPARATION'!$D$5),OR('JOINTS DE RÉPARATION'!$L$4="TOUS",AQ2472&lt;&gt;"ACCEPTÉ")),1,0)</f>
        <v>0</v>
      </c>
      <c r="AV2472" s="82" t="str">
        <f aca="false">IF(AU2472=1,SUM(AU$7:AU2472),"")</f>
        <v/>
      </c>
      <c r="AW2472" s="82" t="str">
        <f aca="false">IF(E2472="","",B2472&amp;"|"&amp;E2472)</f>
        <v>MFD-ISW → MFD-CPF|JN°1988</v>
      </c>
    </row>
    <row r="2473" customFormat="false" ht="74.6" hidden="false" customHeight="false" outlineLevel="0" collapsed="false">
      <c r="A2473" s="79" t="n">
        <f aca="false">IF(E2473="","",ROW()-6)</f>
        <v>2467</v>
      </c>
      <c r="B2473" s="80" t="s">
        <v>110</v>
      </c>
      <c r="C2473" s="81" t="s">
        <v>2970</v>
      </c>
      <c r="D2473" s="81" t="n">
        <v>24</v>
      </c>
      <c r="E2473" s="81" t="s">
        <v>3001</v>
      </c>
      <c r="F2473" s="82" t="str">
        <f aca="false">IF(E2473="","",IF(LEFT(E2473,2)="DJ","DJ","JN"))</f>
        <v>JN</v>
      </c>
      <c r="G2473" s="81" t="s">
        <v>1504</v>
      </c>
      <c r="H2473" s="81" t="s">
        <v>871</v>
      </c>
      <c r="I2473" s="81" t="n">
        <v>9.53</v>
      </c>
      <c r="J2473" s="81" t="s">
        <v>872</v>
      </c>
      <c r="K2473" s="81" t="s">
        <v>1861</v>
      </c>
      <c r="L2473" s="81" t="n">
        <v>2081900</v>
      </c>
      <c r="M2473" s="81" t="n">
        <v>15421103</v>
      </c>
      <c r="N2473" s="81" t="n">
        <v>11.94</v>
      </c>
      <c r="O2473" s="81" t="n">
        <v>2079190</v>
      </c>
      <c r="P2473" s="81" t="n">
        <v>15421102</v>
      </c>
      <c r="Q2473" s="81" t="n">
        <v>11.94</v>
      </c>
      <c r="R2473" s="81" t="s">
        <v>1862</v>
      </c>
      <c r="S2473" s="81"/>
      <c r="T2473" s="81"/>
      <c r="U2473" s="83" t="n">
        <v>46273</v>
      </c>
      <c r="V2473" s="83" t="n">
        <v>46273</v>
      </c>
      <c r="W2473" s="81" t="s">
        <v>2699</v>
      </c>
      <c r="X2473" s="81" t="s">
        <v>876</v>
      </c>
      <c r="Y2473" s="83" t="n">
        <v>46275</v>
      </c>
      <c r="Z2473" s="81" t="s">
        <v>2700</v>
      </c>
      <c r="AA2473" s="81" t="s">
        <v>876</v>
      </c>
      <c r="AB2473" s="81"/>
      <c r="AC2473" s="81"/>
      <c r="AD2473" s="81"/>
      <c r="AE2473" s="83"/>
      <c r="AF2473" s="81"/>
      <c r="AG2473" s="81"/>
      <c r="AH2473" s="81"/>
      <c r="AI2473" s="81"/>
      <c r="AJ2473" s="83"/>
      <c r="AK2473" s="81"/>
      <c r="AL2473" s="81"/>
      <c r="AM2473" s="83"/>
      <c r="AN2473" s="80"/>
      <c r="AO2473" s="82" t="n">
        <f aca="false">IF(E2473="","",(AA2473&lt;&gt;"")+(AG2473&lt;&gt;"")+(AL2473&lt;&gt;""))</f>
        <v>1</v>
      </c>
      <c r="AP2473" s="82" t="str">
        <f aca="false">IF(AL2473&lt;&gt;"",AL2473,IF(AG2473&lt;&gt;"",AG2473,IF(AA2473&lt;&gt;"",AA2473,"")))</f>
        <v>A</v>
      </c>
      <c r="AQ2473" s="84" t="str">
        <f aca="false">IF(E2473="","",IF(U2473="","À SOUDER",IF(X2473="","VT EN ATTENTE",IF(X2473="R","VT REJETÉ – À REPRENDRE",IF(AP2473="","À RADIOGRAPHIER",IF(AP2473="A","ACCEPTÉ",IF(AP2473="NX","NX – RT À REFAIRE",IF(IF(AO2473=1,AD2473,IF(AO2473=2,AI2473,""))="A","RÉPARÉ – À RADIOGRAPHIER",IF(IF(AO2473=1,AD2473,IF(AO2473=2,AI2473,""))="R","VT REJETÉ – À REPRENDRE",IF(OR(AP2473="CO",AP2473="NT"),"COUPE – À RESOUDER","À RÉPARER"))))))))))</f>
        <v>ACCEPTÉ</v>
      </c>
      <c r="AR2473" s="82" t="str">
        <f aca="false">IF(AND(ISNUMBER(U2473),OR(AQ2473="À RADIOGRAPHIER",AQ2473="RÉPARÉ – À RADIOGRAPHIER",AQ2473="NX – RT À REFAIRE",AQ2473="À RÉPARER",AQ2473="COUPE – À RESOUDER",AQ2473="VT REJETÉ – À REPRENDRE")),MAX(0,'PROGRAMME RT'!$C$4-U2473),"")</f>
        <v/>
      </c>
      <c r="AS2473" s="82" t="n">
        <f aca="false">IF(AND(OR(AQ2473="À RADIOGRAPHIER",AQ2473="RÉPARÉ – À RADIOGRAPHIER",AQ2473="NX – RT À REFAIRE"),OR('PROGRAMME RT'!$D$5="TOUTES",B2473='PROGRAMME RT'!$D$5)),1,0)</f>
        <v>0</v>
      </c>
      <c r="AT2473" s="82" t="str">
        <f aca="false">IF(AS2473=1,SUM(AS$7:AS2473),"")</f>
        <v/>
      </c>
      <c r="AU2473" s="82" t="n">
        <f aca="false">IF(AND(OR(AA2473="R",AA2473="NX",AA2473="NT",AA2473="CO"),OR('JOINTS DE RÉPARATION'!$D$5="TOUTES",B2473='JOINTS DE RÉPARATION'!$D$5),OR('JOINTS DE RÉPARATION'!$L$4="TOUS",AQ2473&lt;&gt;"ACCEPTÉ")),1,0)</f>
        <v>0</v>
      </c>
      <c r="AV2473" s="82" t="str">
        <f aca="false">IF(AU2473=1,SUM(AU$7:AU2473),"")</f>
        <v/>
      </c>
      <c r="AW2473" s="82" t="str">
        <f aca="false">IF(E2473="","",B2473&amp;"|"&amp;E2473)</f>
        <v>MFD-ISW → MFD-CPF|JN°1989R</v>
      </c>
    </row>
    <row r="2474" customFormat="false" ht="74.6" hidden="false" customHeight="false" outlineLevel="0" collapsed="false">
      <c r="A2474" s="79" t="n">
        <f aca="false">IF(E2474="","",ROW()-6)</f>
        <v>2468</v>
      </c>
      <c r="B2474" s="80" t="s">
        <v>110</v>
      </c>
      <c r="C2474" s="81" t="s">
        <v>2970</v>
      </c>
      <c r="D2474" s="81" t="n">
        <v>24</v>
      </c>
      <c r="E2474" s="81" t="s">
        <v>3002</v>
      </c>
      <c r="F2474" s="82" t="str">
        <f aca="false">IF(E2474="","",IF(LEFT(E2474,2)="DJ","DJ","JN"))</f>
        <v>JN</v>
      </c>
      <c r="G2474" s="81" t="s">
        <v>1504</v>
      </c>
      <c r="H2474" s="81" t="s">
        <v>871</v>
      </c>
      <c r="I2474" s="81" t="n">
        <v>9.53</v>
      </c>
      <c r="J2474" s="81" t="s">
        <v>872</v>
      </c>
      <c r="K2474" s="81" t="s">
        <v>879</v>
      </c>
      <c r="L2474" s="81" t="n">
        <v>2079190</v>
      </c>
      <c r="M2474" s="81" t="n">
        <v>15421102</v>
      </c>
      <c r="N2474" s="81" t="n">
        <v>11.94</v>
      </c>
      <c r="O2474" s="81" t="n">
        <v>2096950</v>
      </c>
      <c r="P2474" s="81" t="n">
        <v>15421111</v>
      </c>
      <c r="Q2474" s="81" t="n">
        <v>11.94</v>
      </c>
      <c r="R2474" s="81" t="s">
        <v>3003</v>
      </c>
      <c r="S2474" s="81"/>
      <c r="T2474" s="81"/>
      <c r="U2474" s="83" t="n">
        <v>46251</v>
      </c>
      <c r="V2474" s="83" t="n">
        <v>46250</v>
      </c>
      <c r="W2474" s="81" t="s">
        <v>2996</v>
      </c>
      <c r="X2474" s="81" t="s">
        <v>876</v>
      </c>
      <c r="Y2474" s="83" t="n">
        <v>46254</v>
      </c>
      <c r="Z2474" s="81" t="s">
        <v>3004</v>
      </c>
      <c r="AA2474" s="81" t="s">
        <v>876</v>
      </c>
      <c r="AB2474" s="81"/>
      <c r="AC2474" s="81"/>
      <c r="AD2474" s="81"/>
      <c r="AE2474" s="83"/>
      <c r="AF2474" s="81"/>
      <c r="AG2474" s="81"/>
      <c r="AH2474" s="81"/>
      <c r="AI2474" s="81"/>
      <c r="AJ2474" s="83"/>
      <c r="AK2474" s="81"/>
      <c r="AL2474" s="81"/>
      <c r="AM2474" s="83"/>
      <c r="AN2474" s="80"/>
      <c r="AO2474" s="82" t="n">
        <f aca="false">IF(E2474="","",(AA2474&lt;&gt;"")+(AG2474&lt;&gt;"")+(AL2474&lt;&gt;""))</f>
        <v>1</v>
      </c>
      <c r="AP2474" s="82" t="str">
        <f aca="false">IF(AL2474&lt;&gt;"",AL2474,IF(AG2474&lt;&gt;"",AG2474,IF(AA2474&lt;&gt;"",AA2474,"")))</f>
        <v>A</v>
      </c>
      <c r="AQ2474" s="84" t="str">
        <f aca="false">IF(E2474="","",IF(U2474="","À SOUDER",IF(X2474="","VT EN ATTENTE",IF(X2474="R","VT REJETÉ – À REPRENDRE",IF(AP2474="","À RADIOGRAPHIER",IF(AP2474="A","ACCEPTÉ",IF(AP2474="NX","NX – RT À REFAIRE",IF(IF(AO2474=1,AD2474,IF(AO2474=2,AI2474,""))="A","RÉPARÉ – À RADIOGRAPHIER",IF(IF(AO2474=1,AD2474,IF(AO2474=2,AI2474,""))="R","VT REJETÉ – À REPRENDRE",IF(OR(AP2474="CO",AP2474="NT"),"COUPE – À RESOUDER","À RÉPARER"))))))))))</f>
        <v>ACCEPTÉ</v>
      </c>
      <c r="AR2474" s="82" t="str">
        <f aca="false">IF(AND(ISNUMBER(U2474),OR(AQ2474="À RADIOGRAPHIER",AQ2474="RÉPARÉ – À RADIOGRAPHIER",AQ2474="NX – RT À REFAIRE",AQ2474="À RÉPARER",AQ2474="COUPE – À RESOUDER",AQ2474="VT REJETÉ – À REPRENDRE")),MAX(0,'PROGRAMME RT'!$C$4-U2474),"")</f>
        <v/>
      </c>
      <c r="AS2474" s="82" t="n">
        <f aca="false">IF(AND(OR(AQ2474="À RADIOGRAPHIER",AQ2474="RÉPARÉ – À RADIOGRAPHIER",AQ2474="NX – RT À REFAIRE"),OR('PROGRAMME RT'!$D$5="TOUTES",B2474='PROGRAMME RT'!$D$5)),1,0)</f>
        <v>0</v>
      </c>
      <c r="AT2474" s="82" t="str">
        <f aca="false">IF(AS2474=1,SUM(AS$7:AS2474),"")</f>
        <v/>
      </c>
      <c r="AU2474" s="82" t="n">
        <f aca="false">IF(AND(OR(AA2474="R",AA2474="NX",AA2474="NT",AA2474="CO"),OR('JOINTS DE RÉPARATION'!$D$5="TOUTES",B2474='JOINTS DE RÉPARATION'!$D$5),OR('JOINTS DE RÉPARATION'!$L$4="TOUS",AQ2474&lt;&gt;"ACCEPTÉ")),1,0)</f>
        <v>0</v>
      </c>
      <c r="AV2474" s="82" t="str">
        <f aca="false">IF(AU2474=1,SUM(AU$7:AU2474),"")</f>
        <v/>
      </c>
      <c r="AW2474" s="82" t="str">
        <f aca="false">IF(E2474="","",B2474&amp;"|"&amp;E2474)</f>
        <v>MFD-ISW → MFD-CPF|JN°1990</v>
      </c>
    </row>
    <row r="2475" customFormat="false" ht="74.6" hidden="false" customHeight="false" outlineLevel="0" collapsed="false">
      <c r="A2475" s="79" t="n">
        <f aca="false">IF(E2475="","",ROW()-6)</f>
        <v>2469</v>
      </c>
      <c r="B2475" s="80" t="s">
        <v>110</v>
      </c>
      <c r="C2475" s="81" t="s">
        <v>2970</v>
      </c>
      <c r="D2475" s="81" t="n">
        <v>24</v>
      </c>
      <c r="E2475" s="81" t="s">
        <v>3005</v>
      </c>
      <c r="F2475" s="82" t="str">
        <f aca="false">IF(E2475="","",IF(LEFT(E2475,2)="DJ","DJ","JN"))</f>
        <v>JN</v>
      </c>
      <c r="G2475" s="81" t="s">
        <v>1504</v>
      </c>
      <c r="H2475" s="81" t="s">
        <v>871</v>
      </c>
      <c r="I2475" s="81" t="n">
        <v>9.53</v>
      </c>
      <c r="J2475" s="81" t="s">
        <v>872</v>
      </c>
      <c r="K2475" s="81" t="s">
        <v>879</v>
      </c>
      <c r="L2475" s="81" t="n">
        <v>2096950</v>
      </c>
      <c r="M2475" s="81" t="n">
        <v>15421111</v>
      </c>
      <c r="N2475" s="81" t="n">
        <v>11.94</v>
      </c>
      <c r="O2475" s="81" t="n">
        <v>2097940</v>
      </c>
      <c r="P2475" s="81" t="n">
        <v>15421112</v>
      </c>
      <c r="Q2475" s="81" t="n">
        <v>11.94</v>
      </c>
      <c r="R2475" s="81" t="s">
        <v>3003</v>
      </c>
      <c r="S2475" s="81"/>
      <c r="T2475" s="81"/>
      <c r="U2475" s="83" t="n">
        <v>46251</v>
      </c>
      <c r="V2475" s="83" t="n">
        <v>46250</v>
      </c>
      <c r="W2475" s="81" t="s">
        <v>2996</v>
      </c>
      <c r="X2475" s="81" t="s">
        <v>876</v>
      </c>
      <c r="Y2475" s="83" t="n">
        <v>46254</v>
      </c>
      <c r="Z2475" s="81" t="s">
        <v>3004</v>
      </c>
      <c r="AA2475" s="81" t="s">
        <v>876</v>
      </c>
      <c r="AB2475" s="81"/>
      <c r="AC2475" s="81"/>
      <c r="AD2475" s="81"/>
      <c r="AE2475" s="83"/>
      <c r="AF2475" s="81"/>
      <c r="AG2475" s="81"/>
      <c r="AH2475" s="81"/>
      <c r="AI2475" s="81"/>
      <c r="AJ2475" s="83"/>
      <c r="AK2475" s="81"/>
      <c r="AL2475" s="81"/>
      <c r="AM2475" s="83"/>
      <c r="AN2475" s="80"/>
      <c r="AO2475" s="82" t="n">
        <f aca="false">IF(E2475="","",(AA2475&lt;&gt;"")+(AG2475&lt;&gt;"")+(AL2475&lt;&gt;""))</f>
        <v>1</v>
      </c>
      <c r="AP2475" s="82" t="str">
        <f aca="false">IF(AL2475&lt;&gt;"",AL2475,IF(AG2475&lt;&gt;"",AG2475,IF(AA2475&lt;&gt;"",AA2475,"")))</f>
        <v>A</v>
      </c>
      <c r="AQ2475" s="84" t="str">
        <f aca="false">IF(E2475="","",IF(U2475="","À SOUDER",IF(X2475="","VT EN ATTENTE",IF(X2475="R","VT REJETÉ – À REPRENDRE",IF(AP2475="","À RADIOGRAPHIER",IF(AP2475="A","ACCEPTÉ",IF(AP2475="NX","NX – RT À REFAIRE",IF(IF(AO2475=1,AD2475,IF(AO2475=2,AI2475,""))="A","RÉPARÉ – À RADIOGRAPHIER",IF(IF(AO2475=1,AD2475,IF(AO2475=2,AI2475,""))="R","VT REJETÉ – À REPRENDRE",IF(OR(AP2475="CO",AP2475="NT"),"COUPE – À RESOUDER","À RÉPARER"))))))))))</f>
        <v>ACCEPTÉ</v>
      </c>
      <c r="AR2475" s="82" t="str">
        <f aca="false">IF(AND(ISNUMBER(U2475),OR(AQ2475="À RADIOGRAPHIER",AQ2475="RÉPARÉ – À RADIOGRAPHIER",AQ2475="NX – RT À REFAIRE",AQ2475="À RÉPARER",AQ2475="COUPE – À RESOUDER",AQ2475="VT REJETÉ – À REPRENDRE")),MAX(0,'PROGRAMME RT'!$C$4-U2475),"")</f>
        <v/>
      </c>
      <c r="AS2475" s="82" t="n">
        <f aca="false">IF(AND(OR(AQ2475="À RADIOGRAPHIER",AQ2475="RÉPARÉ – À RADIOGRAPHIER",AQ2475="NX – RT À REFAIRE"),OR('PROGRAMME RT'!$D$5="TOUTES",B2475='PROGRAMME RT'!$D$5)),1,0)</f>
        <v>0</v>
      </c>
      <c r="AT2475" s="82" t="str">
        <f aca="false">IF(AS2475=1,SUM(AS$7:AS2475),"")</f>
        <v/>
      </c>
      <c r="AU2475" s="82" t="n">
        <f aca="false">IF(AND(OR(AA2475="R",AA2475="NX",AA2475="NT",AA2475="CO"),OR('JOINTS DE RÉPARATION'!$D$5="TOUTES",B2475='JOINTS DE RÉPARATION'!$D$5),OR('JOINTS DE RÉPARATION'!$L$4="TOUS",AQ2475&lt;&gt;"ACCEPTÉ")),1,0)</f>
        <v>0</v>
      </c>
      <c r="AV2475" s="82" t="str">
        <f aca="false">IF(AU2475=1,SUM(AU$7:AU2475),"")</f>
        <v/>
      </c>
      <c r="AW2475" s="82" t="str">
        <f aca="false">IF(E2475="","",B2475&amp;"|"&amp;E2475)</f>
        <v>MFD-ISW → MFD-CPF|JN°1991</v>
      </c>
    </row>
    <row r="2476" customFormat="false" ht="74.6" hidden="false" customHeight="false" outlineLevel="0" collapsed="false">
      <c r="A2476" s="79" t="n">
        <f aca="false">IF(E2476="","",ROW()-6)</f>
        <v>2470</v>
      </c>
      <c r="B2476" s="80" t="s">
        <v>110</v>
      </c>
      <c r="C2476" s="81" t="s">
        <v>2970</v>
      </c>
      <c r="D2476" s="81" t="n">
        <v>24</v>
      </c>
      <c r="E2476" s="81" t="s">
        <v>3006</v>
      </c>
      <c r="F2476" s="82" t="str">
        <f aca="false">IF(E2476="","",IF(LEFT(E2476,2)="DJ","DJ","JN"))</f>
        <v>JN</v>
      </c>
      <c r="G2476" s="81" t="s">
        <v>1504</v>
      </c>
      <c r="H2476" s="81" t="s">
        <v>871</v>
      </c>
      <c r="I2476" s="81" t="n">
        <v>9.53</v>
      </c>
      <c r="J2476" s="81" t="s">
        <v>872</v>
      </c>
      <c r="K2476" s="81" t="s">
        <v>879</v>
      </c>
      <c r="L2476" s="81" t="n">
        <v>2097940</v>
      </c>
      <c r="M2476" s="81" t="n">
        <v>15421112</v>
      </c>
      <c r="N2476" s="81" t="n">
        <v>11.94</v>
      </c>
      <c r="O2476" s="81" t="n">
        <v>2091910</v>
      </c>
      <c r="P2476" s="81" t="n">
        <v>15421109</v>
      </c>
      <c r="Q2476" s="81" t="n">
        <v>11.94</v>
      </c>
      <c r="R2476" s="81" t="s">
        <v>3003</v>
      </c>
      <c r="S2476" s="81"/>
      <c r="T2476" s="81"/>
      <c r="U2476" s="83" t="n">
        <v>46251</v>
      </c>
      <c r="V2476" s="83" t="n">
        <v>46250</v>
      </c>
      <c r="W2476" s="81" t="s">
        <v>2996</v>
      </c>
      <c r="X2476" s="81" t="s">
        <v>876</v>
      </c>
      <c r="Y2476" s="83" t="n">
        <v>46254</v>
      </c>
      <c r="Z2476" s="81" t="s">
        <v>3004</v>
      </c>
      <c r="AA2476" s="81" t="s">
        <v>876</v>
      </c>
      <c r="AB2476" s="81"/>
      <c r="AC2476" s="81"/>
      <c r="AD2476" s="81"/>
      <c r="AE2476" s="83"/>
      <c r="AF2476" s="81"/>
      <c r="AG2476" s="81"/>
      <c r="AH2476" s="81"/>
      <c r="AI2476" s="81"/>
      <c r="AJ2476" s="83"/>
      <c r="AK2476" s="81"/>
      <c r="AL2476" s="81"/>
      <c r="AM2476" s="83"/>
      <c r="AN2476" s="80"/>
      <c r="AO2476" s="82" t="n">
        <f aca="false">IF(E2476="","",(AA2476&lt;&gt;"")+(AG2476&lt;&gt;"")+(AL2476&lt;&gt;""))</f>
        <v>1</v>
      </c>
      <c r="AP2476" s="82" t="str">
        <f aca="false">IF(AL2476&lt;&gt;"",AL2476,IF(AG2476&lt;&gt;"",AG2476,IF(AA2476&lt;&gt;"",AA2476,"")))</f>
        <v>A</v>
      </c>
      <c r="AQ2476" s="84" t="str">
        <f aca="false">IF(E2476="","",IF(U2476="","À SOUDER",IF(X2476="","VT EN ATTENTE",IF(X2476="R","VT REJETÉ – À REPRENDRE",IF(AP2476="","À RADIOGRAPHIER",IF(AP2476="A","ACCEPTÉ",IF(AP2476="NX","NX – RT À REFAIRE",IF(IF(AO2476=1,AD2476,IF(AO2476=2,AI2476,""))="A","RÉPARÉ – À RADIOGRAPHIER",IF(IF(AO2476=1,AD2476,IF(AO2476=2,AI2476,""))="R","VT REJETÉ – À REPRENDRE",IF(OR(AP2476="CO",AP2476="NT"),"COUPE – À RESOUDER","À RÉPARER"))))))))))</f>
        <v>ACCEPTÉ</v>
      </c>
      <c r="AR2476" s="82" t="str">
        <f aca="false">IF(AND(ISNUMBER(U2476),OR(AQ2476="À RADIOGRAPHIER",AQ2476="RÉPARÉ – À RADIOGRAPHIER",AQ2476="NX – RT À REFAIRE",AQ2476="À RÉPARER",AQ2476="COUPE – À RESOUDER",AQ2476="VT REJETÉ – À REPRENDRE")),MAX(0,'PROGRAMME RT'!$C$4-U2476),"")</f>
        <v/>
      </c>
      <c r="AS2476" s="82" t="n">
        <f aca="false">IF(AND(OR(AQ2476="À RADIOGRAPHIER",AQ2476="RÉPARÉ – À RADIOGRAPHIER",AQ2476="NX – RT À REFAIRE"),OR('PROGRAMME RT'!$D$5="TOUTES",B2476='PROGRAMME RT'!$D$5)),1,0)</f>
        <v>0</v>
      </c>
      <c r="AT2476" s="82" t="str">
        <f aca="false">IF(AS2476=1,SUM(AS$7:AS2476),"")</f>
        <v/>
      </c>
      <c r="AU2476" s="82" t="n">
        <f aca="false">IF(AND(OR(AA2476="R",AA2476="NX",AA2476="NT",AA2476="CO"),OR('JOINTS DE RÉPARATION'!$D$5="TOUTES",B2476='JOINTS DE RÉPARATION'!$D$5),OR('JOINTS DE RÉPARATION'!$L$4="TOUS",AQ2476&lt;&gt;"ACCEPTÉ")),1,0)</f>
        <v>0</v>
      </c>
      <c r="AV2476" s="82" t="str">
        <f aca="false">IF(AU2476=1,SUM(AU$7:AU2476),"")</f>
        <v/>
      </c>
      <c r="AW2476" s="82" t="str">
        <f aca="false">IF(E2476="","",B2476&amp;"|"&amp;E2476)</f>
        <v>MFD-ISW → MFD-CPF|JN°1992</v>
      </c>
    </row>
    <row r="2477" customFormat="false" ht="74.6" hidden="false" customHeight="false" outlineLevel="0" collapsed="false">
      <c r="A2477" s="79" t="n">
        <f aca="false">IF(E2477="","",ROW()-6)</f>
        <v>2471</v>
      </c>
      <c r="B2477" s="80" t="s">
        <v>110</v>
      </c>
      <c r="C2477" s="81" t="s">
        <v>2970</v>
      </c>
      <c r="D2477" s="81" t="n">
        <v>24</v>
      </c>
      <c r="E2477" s="81" t="s">
        <v>3007</v>
      </c>
      <c r="F2477" s="82" t="str">
        <f aca="false">IF(E2477="","",IF(LEFT(E2477,2)="DJ","DJ","JN"))</f>
        <v>JN</v>
      </c>
      <c r="G2477" s="81" t="s">
        <v>1504</v>
      </c>
      <c r="H2477" s="81" t="s">
        <v>871</v>
      </c>
      <c r="I2477" s="81" t="n">
        <v>9.53</v>
      </c>
      <c r="J2477" s="81" t="s">
        <v>872</v>
      </c>
      <c r="K2477" s="81" t="s">
        <v>879</v>
      </c>
      <c r="L2477" s="81" t="n">
        <v>2091910</v>
      </c>
      <c r="M2477" s="81" t="n">
        <v>15421109</v>
      </c>
      <c r="N2477" s="81" t="n">
        <v>11.94</v>
      </c>
      <c r="O2477" s="81" t="n">
        <v>2083150</v>
      </c>
      <c r="P2477" s="81" t="n">
        <v>15421105</v>
      </c>
      <c r="Q2477" s="81" t="n">
        <v>11.94</v>
      </c>
      <c r="R2477" s="81" t="s">
        <v>3003</v>
      </c>
      <c r="S2477" s="81"/>
      <c r="T2477" s="81"/>
      <c r="U2477" s="83" t="n">
        <v>46251</v>
      </c>
      <c r="V2477" s="83" t="n">
        <v>46250</v>
      </c>
      <c r="W2477" s="81" t="s">
        <v>2996</v>
      </c>
      <c r="X2477" s="81" t="s">
        <v>876</v>
      </c>
      <c r="Y2477" s="83" t="n">
        <v>46254</v>
      </c>
      <c r="Z2477" s="81" t="s">
        <v>3004</v>
      </c>
      <c r="AA2477" s="81" t="s">
        <v>876</v>
      </c>
      <c r="AB2477" s="81"/>
      <c r="AC2477" s="81"/>
      <c r="AD2477" s="81"/>
      <c r="AE2477" s="83"/>
      <c r="AF2477" s="81"/>
      <c r="AG2477" s="81"/>
      <c r="AH2477" s="81"/>
      <c r="AI2477" s="81"/>
      <c r="AJ2477" s="83"/>
      <c r="AK2477" s="81"/>
      <c r="AL2477" s="81"/>
      <c r="AM2477" s="83"/>
      <c r="AN2477" s="80"/>
      <c r="AO2477" s="82" t="n">
        <f aca="false">IF(E2477="","",(AA2477&lt;&gt;"")+(AG2477&lt;&gt;"")+(AL2477&lt;&gt;""))</f>
        <v>1</v>
      </c>
      <c r="AP2477" s="82" t="str">
        <f aca="false">IF(AL2477&lt;&gt;"",AL2477,IF(AG2477&lt;&gt;"",AG2477,IF(AA2477&lt;&gt;"",AA2477,"")))</f>
        <v>A</v>
      </c>
      <c r="AQ2477" s="84" t="str">
        <f aca="false">IF(E2477="","",IF(U2477="","À SOUDER",IF(X2477="","VT EN ATTENTE",IF(X2477="R","VT REJETÉ – À REPRENDRE",IF(AP2477="","À RADIOGRAPHIER",IF(AP2477="A","ACCEPTÉ",IF(AP2477="NX","NX – RT À REFAIRE",IF(IF(AO2477=1,AD2477,IF(AO2477=2,AI2477,""))="A","RÉPARÉ – À RADIOGRAPHIER",IF(IF(AO2477=1,AD2477,IF(AO2477=2,AI2477,""))="R","VT REJETÉ – À REPRENDRE",IF(OR(AP2477="CO",AP2477="NT"),"COUPE – À RESOUDER","À RÉPARER"))))))))))</f>
        <v>ACCEPTÉ</v>
      </c>
      <c r="AR2477" s="82" t="str">
        <f aca="false">IF(AND(ISNUMBER(U2477),OR(AQ2477="À RADIOGRAPHIER",AQ2477="RÉPARÉ – À RADIOGRAPHIER",AQ2477="NX – RT À REFAIRE",AQ2477="À RÉPARER",AQ2477="COUPE – À RESOUDER",AQ2477="VT REJETÉ – À REPRENDRE")),MAX(0,'PROGRAMME RT'!$C$4-U2477),"")</f>
        <v/>
      </c>
      <c r="AS2477" s="82" t="n">
        <f aca="false">IF(AND(OR(AQ2477="À RADIOGRAPHIER",AQ2477="RÉPARÉ – À RADIOGRAPHIER",AQ2477="NX – RT À REFAIRE"),OR('PROGRAMME RT'!$D$5="TOUTES",B2477='PROGRAMME RT'!$D$5)),1,0)</f>
        <v>0</v>
      </c>
      <c r="AT2477" s="82" t="str">
        <f aca="false">IF(AS2477=1,SUM(AS$7:AS2477),"")</f>
        <v/>
      </c>
      <c r="AU2477" s="82" t="n">
        <f aca="false">IF(AND(OR(AA2477="R",AA2477="NX",AA2477="NT",AA2477="CO"),OR('JOINTS DE RÉPARATION'!$D$5="TOUTES",B2477='JOINTS DE RÉPARATION'!$D$5),OR('JOINTS DE RÉPARATION'!$L$4="TOUS",AQ2477&lt;&gt;"ACCEPTÉ")),1,0)</f>
        <v>0</v>
      </c>
      <c r="AV2477" s="82" t="str">
        <f aca="false">IF(AU2477=1,SUM(AU$7:AU2477),"")</f>
        <v/>
      </c>
      <c r="AW2477" s="82" t="str">
        <f aca="false">IF(E2477="","",B2477&amp;"|"&amp;E2477)</f>
        <v>MFD-ISW → MFD-CPF|JN°1993</v>
      </c>
    </row>
    <row r="2478" customFormat="false" ht="74.6" hidden="false" customHeight="false" outlineLevel="0" collapsed="false">
      <c r="A2478" s="79" t="n">
        <f aca="false">IF(E2478="","",ROW()-6)</f>
        <v>2472</v>
      </c>
      <c r="B2478" s="80" t="s">
        <v>110</v>
      </c>
      <c r="C2478" s="81" t="s">
        <v>2970</v>
      </c>
      <c r="D2478" s="81" t="n">
        <v>24</v>
      </c>
      <c r="E2478" s="81" t="s">
        <v>3008</v>
      </c>
      <c r="F2478" s="82" t="str">
        <f aca="false">IF(E2478="","",IF(LEFT(E2478,2)="DJ","DJ","JN"))</f>
        <v>JN</v>
      </c>
      <c r="G2478" s="81" t="s">
        <v>1504</v>
      </c>
      <c r="H2478" s="81" t="s">
        <v>871</v>
      </c>
      <c r="I2478" s="81" t="n">
        <v>9.53</v>
      </c>
      <c r="J2478" s="81" t="s">
        <v>872</v>
      </c>
      <c r="K2478" s="81" t="s">
        <v>879</v>
      </c>
      <c r="L2478" s="81" t="n">
        <v>2083150</v>
      </c>
      <c r="M2478" s="81" t="n">
        <v>15421105</v>
      </c>
      <c r="N2478" s="81" t="n">
        <v>11.94</v>
      </c>
      <c r="O2478" s="81" t="n">
        <v>2083790</v>
      </c>
      <c r="P2478" s="81" t="n">
        <v>15421105</v>
      </c>
      <c r="Q2478" s="81" t="n">
        <v>11.94</v>
      </c>
      <c r="R2478" s="81" t="s">
        <v>3003</v>
      </c>
      <c r="S2478" s="81"/>
      <c r="T2478" s="81"/>
      <c r="U2478" s="83" t="n">
        <v>46251</v>
      </c>
      <c r="V2478" s="83" t="n">
        <v>46250</v>
      </c>
      <c r="W2478" s="81" t="s">
        <v>2996</v>
      </c>
      <c r="X2478" s="81" t="s">
        <v>876</v>
      </c>
      <c r="Y2478" s="83" t="n">
        <v>46254</v>
      </c>
      <c r="Z2478" s="81" t="s">
        <v>3004</v>
      </c>
      <c r="AA2478" s="81" t="s">
        <v>876</v>
      </c>
      <c r="AB2478" s="81"/>
      <c r="AC2478" s="81"/>
      <c r="AD2478" s="81"/>
      <c r="AE2478" s="83"/>
      <c r="AF2478" s="81"/>
      <c r="AG2478" s="81"/>
      <c r="AH2478" s="81"/>
      <c r="AI2478" s="81"/>
      <c r="AJ2478" s="83"/>
      <c r="AK2478" s="81"/>
      <c r="AL2478" s="81"/>
      <c r="AM2478" s="83"/>
      <c r="AN2478" s="80"/>
      <c r="AO2478" s="82" t="n">
        <f aca="false">IF(E2478="","",(AA2478&lt;&gt;"")+(AG2478&lt;&gt;"")+(AL2478&lt;&gt;""))</f>
        <v>1</v>
      </c>
      <c r="AP2478" s="82" t="str">
        <f aca="false">IF(AL2478&lt;&gt;"",AL2478,IF(AG2478&lt;&gt;"",AG2478,IF(AA2478&lt;&gt;"",AA2478,"")))</f>
        <v>A</v>
      </c>
      <c r="AQ2478" s="84" t="str">
        <f aca="false">IF(E2478="","",IF(U2478="","À SOUDER",IF(X2478="","VT EN ATTENTE",IF(X2478="R","VT REJETÉ – À REPRENDRE",IF(AP2478="","À RADIOGRAPHIER",IF(AP2478="A","ACCEPTÉ",IF(AP2478="NX","NX – RT À REFAIRE",IF(IF(AO2478=1,AD2478,IF(AO2478=2,AI2478,""))="A","RÉPARÉ – À RADIOGRAPHIER",IF(IF(AO2478=1,AD2478,IF(AO2478=2,AI2478,""))="R","VT REJETÉ – À REPRENDRE",IF(OR(AP2478="CO",AP2478="NT"),"COUPE – À RESOUDER","À RÉPARER"))))))))))</f>
        <v>ACCEPTÉ</v>
      </c>
      <c r="AR2478" s="82" t="str">
        <f aca="false">IF(AND(ISNUMBER(U2478),OR(AQ2478="À RADIOGRAPHIER",AQ2478="RÉPARÉ – À RADIOGRAPHIER",AQ2478="NX – RT À REFAIRE",AQ2478="À RÉPARER",AQ2478="COUPE – À RESOUDER",AQ2478="VT REJETÉ – À REPRENDRE")),MAX(0,'PROGRAMME RT'!$C$4-U2478),"")</f>
        <v/>
      </c>
      <c r="AS2478" s="82" t="n">
        <f aca="false">IF(AND(OR(AQ2478="À RADIOGRAPHIER",AQ2478="RÉPARÉ – À RADIOGRAPHIER",AQ2478="NX – RT À REFAIRE"),OR('PROGRAMME RT'!$D$5="TOUTES",B2478='PROGRAMME RT'!$D$5)),1,0)</f>
        <v>0</v>
      </c>
      <c r="AT2478" s="82" t="str">
        <f aca="false">IF(AS2478=1,SUM(AS$7:AS2478),"")</f>
        <v/>
      </c>
      <c r="AU2478" s="82" t="n">
        <f aca="false">IF(AND(OR(AA2478="R",AA2478="NX",AA2478="NT",AA2478="CO"),OR('JOINTS DE RÉPARATION'!$D$5="TOUTES",B2478='JOINTS DE RÉPARATION'!$D$5),OR('JOINTS DE RÉPARATION'!$L$4="TOUS",AQ2478&lt;&gt;"ACCEPTÉ")),1,0)</f>
        <v>0</v>
      </c>
      <c r="AV2478" s="82" t="str">
        <f aca="false">IF(AU2478=1,SUM(AU$7:AU2478),"")</f>
        <v/>
      </c>
      <c r="AW2478" s="82" t="str">
        <f aca="false">IF(E2478="","",B2478&amp;"|"&amp;E2478)</f>
        <v>MFD-ISW → MFD-CPF|JN°1994</v>
      </c>
    </row>
    <row r="2479" customFormat="false" ht="74.6" hidden="false" customHeight="false" outlineLevel="0" collapsed="false">
      <c r="A2479" s="79" t="n">
        <f aca="false">IF(E2479="","",ROW()-6)</f>
        <v>2473</v>
      </c>
      <c r="B2479" s="80" t="s">
        <v>110</v>
      </c>
      <c r="C2479" s="81" t="s">
        <v>2970</v>
      </c>
      <c r="D2479" s="81" t="n">
        <v>24</v>
      </c>
      <c r="E2479" s="81" t="s">
        <v>3009</v>
      </c>
      <c r="F2479" s="82" t="str">
        <f aca="false">IF(E2479="","",IF(LEFT(E2479,2)="DJ","DJ","JN"))</f>
        <v>JN</v>
      </c>
      <c r="G2479" s="81" t="s">
        <v>1504</v>
      </c>
      <c r="H2479" s="81" t="s">
        <v>871</v>
      </c>
      <c r="I2479" s="81" t="n">
        <v>9.53</v>
      </c>
      <c r="J2479" s="81" t="s">
        <v>872</v>
      </c>
      <c r="K2479" s="81" t="s">
        <v>879</v>
      </c>
      <c r="L2479" s="81" t="n">
        <v>2083790</v>
      </c>
      <c r="M2479" s="81" t="n">
        <v>15421105</v>
      </c>
      <c r="N2479" s="81" t="n">
        <v>11.94</v>
      </c>
      <c r="O2479" s="81" t="n">
        <v>2088740</v>
      </c>
      <c r="P2479" s="81" t="n">
        <v>15421108</v>
      </c>
      <c r="Q2479" s="81" t="n">
        <v>11.94</v>
      </c>
      <c r="R2479" s="81" t="s">
        <v>3003</v>
      </c>
      <c r="S2479" s="81"/>
      <c r="T2479" s="81"/>
      <c r="U2479" s="83" t="n">
        <v>46251</v>
      </c>
      <c r="V2479" s="83" t="n">
        <v>46250</v>
      </c>
      <c r="W2479" s="81" t="s">
        <v>2996</v>
      </c>
      <c r="X2479" s="81" t="s">
        <v>876</v>
      </c>
      <c r="Y2479" s="83" t="n">
        <v>46254</v>
      </c>
      <c r="Z2479" s="81" t="s">
        <v>3004</v>
      </c>
      <c r="AA2479" s="81" t="s">
        <v>876</v>
      </c>
      <c r="AB2479" s="81"/>
      <c r="AC2479" s="81"/>
      <c r="AD2479" s="81"/>
      <c r="AE2479" s="83"/>
      <c r="AF2479" s="81"/>
      <c r="AG2479" s="81"/>
      <c r="AH2479" s="81"/>
      <c r="AI2479" s="81"/>
      <c r="AJ2479" s="83"/>
      <c r="AK2479" s="81"/>
      <c r="AL2479" s="81"/>
      <c r="AM2479" s="83"/>
      <c r="AN2479" s="80"/>
      <c r="AO2479" s="82" t="n">
        <f aca="false">IF(E2479="","",(AA2479&lt;&gt;"")+(AG2479&lt;&gt;"")+(AL2479&lt;&gt;""))</f>
        <v>1</v>
      </c>
      <c r="AP2479" s="82" t="str">
        <f aca="false">IF(AL2479&lt;&gt;"",AL2479,IF(AG2479&lt;&gt;"",AG2479,IF(AA2479&lt;&gt;"",AA2479,"")))</f>
        <v>A</v>
      </c>
      <c r="AQ2479" s="84" t="str">
        <f aca="false">IF(E2479="","",IF(U2479="","À SOUDER",IF(X2479="","VT EN ATTENTE",IF(X2479="R","VT REJETÉ – À REPRENDRE",IF(AP2479="","À RADIOGRAPHIER",IF(AP2479="A","ACCEPTÉ",IF(AP2479="NX","NX – RT À REFAIRE",IF(IF(AO2479=1,AD2479,IF(AO2479=2,AI2479,""))="A","RÉPARÉ – À RADIOGRAPHIER",IF(IF(AO2479=1,AD2479,IF(AO2479=2,AI2479,""))="R","VT REJETÉ – À REPRENDRE",IF(OR(AP2479="CO",AP2479="NT"),"COUPE – À RESOUDER","À RÉPARER"))))))))))</f>
        <v>ACCEPTÉ</v>
      </c>
      <c r="AR2479" s="82" t="str">
        <f aca="false">IF(AND(ISNUMBER(U2479),OR(AQ2479="À RADIOGRAPHIER",AQ2479="RÉPARÉ – À RADIOGRAPHIER",AQ2479="NX – RT À REFAIRE",AQ2479="À RÉPARER",AQ2479="COUPE – À RESOUDER",AQ2479="VT REJETÉ – À REPRENDRE")),MAX(0,'PROGRAMME RT'!$C$4-U2479),"")</f>
        <v/>
      </c>
      <c r="AS2479" s="82" t="n">
        <f aca="false">IF(AND(OR(AQ2479="À RADIOGRAPHIER",AQ2479="RÉPARÉ – À RADIOGRAPHIER",AQ2479="NX – RT À REFAIRE"),OR('PROGRAMME RT'!$D$5="TOUTES",B2479='PROGRAMME RT'!$D$5)),1,0)</f>
        <v>0</v>
      </c>
      <c r="AT2479" s="82" t="str">
        <f aca="false">IF(AS2479=1,SUM(AS$7:AS2479),"")</f>
        <v/>
      </c>
      <c r="AU2479" s="82" t="n">
        <f aca="false">IF(AND(OR(AA2479="R",AA2479="NX",AA2479="NT",AA2479="CO"),OR('JOINTS DE RÉPARATION'!$D$5="TOUTES",B2479='JOINTS DE RÉPARATION'!$D$5),OR('JOINTS DE RÉPARATION'!$L$4="TOUS",AQ2479&lt;&gt;"ACCEPTÉ")),1,0)</f>
        <v>0</v>
      </c>
      <c r="AV2479" s="82" t="str">
        <f aca="false">IF(AU2479=1,SUM(AU$7:AU2479),"")</f>
        <v/>
      </c>
      <c r="AW2479" s="82" t="str">
        <f aca="false">IF(E2479="","",B2479&amp;"|"&amp;E2479)</f>
        <v>MFD-ISW → MFD-CPF|JN°1995</v>
      </c>
    </row>
    <row r="2480" customFormat="false" ht="74.6" hidden="false" customHeight="false" outlineLevel="0" collapsed="false">
      <c r="A2480" s="79" t="n">
        <f aca="false">IF(E2480="","",ROW()-6)</f>
        <v>2474</v>
      </c>
      <c r="B2480" s="80" t="s">
        <v>110</v>
      </c>
      <c r="C2480" s="81" t="s">
        <v>2970</v>
      </c>
      <c r="D2480" s="81" t="n">
        <v>24</v>
      </c>
      <c r="E2480" s="81" t="s">
        <v>3010</v>
      </c>
      <c r="F2480" s="82" t="str">
        <f aca="false">IF(E2480="","",IF(LEFT(E2480,2)="DJ","DJ","JN"))</f>
        <v>JN</v>
      </c>
      <c r="G2480" s="81" t="s">
        <v>1504</v>
      </c>
      <c r="H2480" s="81" t="s">
        <v>871</v>
      </c>
      <c r="I2480" s="81" t="n">
        <v>9.53</v>
      </c>
      <c r="J2480" s="81" t="s">
        <v>872</v>
      </c>
      <c r="K2480" s="81" t="s">
        <v>879</v>
      </c>
      <c r="L2480" s="81" t="n">
        <v>2088740</v>
      </c>
      <c r="M2480" s="81" t="n">
        <v>15421108</v>
      </c>
      <c r="N2480" s="81" t="n">
        <v>11.94</v>
      </c>
      <c r="O2480" s="81" t="n">
        <v>2088320</v>
      </c>
      <c r="P2480" s="81" t="n">
        <v>15421108</v>
      </c>
      <c r="Q2480" s="81" t="n">
        <v>11.94</v>
      </c>
      <c r="R2480" s="81" t="s">
        <v>3003</v>
      </c>
      <c r="S2480" s="81"/>
      <c r="T2480" s="81"/>
      <c r="U2480" s="83" t="n">
        <v>46251</v>
      </c>
      <c r="V2480" s="83" t="n">
        <v>46250</v>
      </c>
      <c r="W2480" s="81" t="s">
        <v>2996</v>
      </c>
      <c r="X2480" s="81" t="s">
        <v>876</v>
      </c>
      <c r="Y2480" s="83" t="n">
        <v>46254</v>
      </c>
      <c r="Z2480" s="81" t="s">
        <v>3004</v>
      </c>
      <c r="AA2480" s="81" t="s">
        <v>876</v>
      </c>
      <c r="AB2480" s="81"/>
      <c r="AC2480" s="81"/>
      <c r="AD2480" s="81"/>
      <c r="AE2480" s="83"/>
      <c r="AF2480" s="81"/>
      <c r="AG2480" s="81"/>
      <c r="AH2480" s="81"/>
      <c r="AI2480" s="81"/>
      <c r="AJ2480" s="83"/>
      <c r="AK2480" s="81"/>
      <c r="AL2480" s="81"/>
      <c r="AM2480" s="83"/>
      <c r="AN2480" s="80"/>
      <c r="AO2480" s="82" t="n">
        <f aca="false">IF(E2480="","",(AA2480&lt;&gt;"")+(AG2480&lt;&gt;"")+(AL2480&lt;&gt;""))</f>
        <v>1</v>
      </c>
      <c r="AP2480" s="82" t="str">
        <f aca="false">IF(AL2480&lt;&gt;"",AL2480,IF(AG2480&lt;&gt;"",AG2480,IF(AA2480&lt;&gt;"",AA2480,"")))</f>
        <v>A</v>
      </c>
      <c r="AQ2480" s="84" t="str">
        <f aca="false">IF(E2480="","",IF(U2480="","À SOUDER",IF(X2480="","VT EN ATTENTE",IF(X2480="R","VT REJETÉ – À REPRENDRE",IF(AP2480="","À RADIOGRAPHIER",IF(AP2480="A","ACCEPTÉ",IF(AP2480="NX","NX – RT À REFAIRE",IF(IF(AO2480=1,AD2480,IF(AO2480=2,AI2480,""))="A","RÉPARÉ – À RADIOGRAPHIER",IF(IF(AO2480=1,AD2480,IF(AO2480=2,AI2480,""))="R","VT REJETÉ – À REPRENDRE",IF(OR(AP2480="CO",AP2480="NT"),"COUPE – À RESOUDER","À RÉPARER"))))))))))</f>
        <v>ACCEPTÉ</v>
      </c>
      <c r="AR2480" s="82" t="str">
        <f aca="false">IF(AND(ISNUMBER(U2480),OR(AQ2480="À RADIOGRAPHIER",AQ2480="RÉPARÉ – À RADIOGRAPHIER",AQ2480="NX – RT À REFAIRE",AQ2480="À RÉPARER",AQ2480="COUPE – À RESOUDER",AQ2480="VT REJETÉ – À REPRENDRE")),MAX(0,'PROGRAMME RT'!$C$4-U2480),"")</f>
        <v/>
      </c>
      <c r="AS2480" s="82" t="n">
        <f aca="false">IF(AND(OR(AQ2480="À RADIOGRAPHIER",AQ2480="RÉPARÉ – À RADIOGRAPHIER",AQ2480="NX – RT À REFAIRE"),OR('PROGRAMME RT'!$D$5="TOUTES",B2480='PROGRAMME RT'!$D$5)),1,0)</f>
        <v>0</v>
      </c>
      <c r="AT2480" s="82" t="str">
        <f aca="false">IF(AS2480=1,SUM(AS$7:AS2480),"")</f>
        <v/>
      </c>
      <c r="AU2480" s="82" t="n">
        <f aca="false">IF(AND(OR(AA2480="R",AA2480="NX",AA2480="NT",AA2480="CO"),OR('JOINTS DE RÉPARATION'!$D$5="TOUTES",B2480='JOINTS DE RÉPARATION'!$D$5),OR('JOINTS DE RÉPARATION'!$L$4="TOUS",AQ2480&lt;&gt;"ACCEPTÉ")),1,0)</f>
        <v>0</v>
      </c>
      <c r="AV2480" s="82" t="str">
        <f aca="false">IF(AU2480=1,SUM(AU$7:AU2480),"")</f>
        <v/>
      </c>
      <c r="AW2480" s="82" t="str">
        <f aca="false">IF(E2480="","",B2480&amp;"|"&amp;E2480)</f>
        <v>MFD-ISW → MFD-CPF|JN°1996</v>
      </c>
    </row>
    <row r="2481" customFormat="false" ht="74.6" hidden="false" customHeight="false" outlineLevel="0" collapsed="false">
      <c r="A2481" s="79" t="n">
        <f aca="false">IF(E2481="","",ROW()-6)</f>
        <v>2475</v>
      </c>
      <c r="B2481" s="80" t="s">
        <v>110</v>
      </c>
      <c r="C2481" s="81" t="s">
        <v>2970</v>
      </c>
      <c r="D2481" s="81" t="n">
        <v>24</v>
      </c>
      <c r="E2481" s="81" t="s">
        <v>3011</v>
      </c>
      <c r="F2481" s="82" t="str">
        <f aca="false">IF(E2481="","",IF(LEFT(E2481,2)="DJ","DJ","JN"))</f>
        <v>JN</v>
      </c>
      <c r="G2481" s="81" t="s">
        <v>1504</v>
      </c>
      <c r="H2481" s="81" t="s">
        <v>871</v>
      </c>
      <c r="I2481" s="81" t="n">
        <v>9.53</v>
      </c>
      <c r="J2481" s="81" t="s">
        <v>872</v>
      </c>
      <c r="K2481" s="81" t="s">
        <v>879</v>
      </c>
      <c r="L2481" s="81" t="n">
        <v>2088320</v>
      </c>
      <c r="M2481" s="81" t="n">
        <v>15421108</v>
      </c>
      <c r="N2481" s="81" t="n">
        <v>11.94</v>
      </c>
      <c r="O2481" s="81" t="n">
        <v>2083010</v>
      </c>
      <c r="P2481" s="81" t="n">
        <v>15421105</v>
      </c>
      <c r="Q2481" s="81" t="n">
        <v>11.94</v>
      </c>
      <c r="R2481" s="81" t="s">
        <v>3003</v>
      </c>
      <c r="S2481" s="81"/>
      <c r="T2481" s="81"/>
      <c r="U2481" s="83" t="n">
        <v>46251</v>
      </c>
      <c r="V2481" s="83" t="n">
        <v>46250</v>
      </c>
      <c r="W2481" s="81" t="s">
        <v>2996</v>
      </c>
      <c r="X2481" s="81" t="s">
        <v>876</v>
      </c>
      <c r="Y2481" s="83" t="n">
        <v>46254</v>
      </c>
      <c r="Z2481" s="81" t="s">
        <v>3004</v>
      </c>
      <c r="AA2481" s="81" t="s">
        <v>876</v>
      </c>
      <c r="AB2481" s="81"/>
      <c r="AC2481" s="81"/>
      <c r="AD2481" s="81"/>
      <c r="AE2481" s="83"/>
      <c r="AF2481" s="81"/>
      <c r="AG2481" s="81"/>
      <c r="AH2481" s="81"/>
      <c r="AI2481" s="81"/>
      <c r="AJ2481" s="83"/>
      <c r="AK2481" s="81"/>
      <c r="AL2481" s="81"/>
      <c r="AM2481" s="83"/>
      <c r="AN2481" s="80"/>
      <c r="AO2481" s="82" t="n">
        <f aca="false">IF(E2481="","",(AA2481&lt;&gt;"")+(AG2481&lt;&gt;"")+(AL2481&lt;&gt;""))</f>
        <v>1</v>
      </c>
      <c r="AP2481" s="82" t="str">
        <f aca="false">IF(AL2481&lt;&gt;"",AL2481,IF(AG2481&lt;&gt;"",AG2481,IF(AA2481&lt;&gt;"",AA2481,"")))</f>
        <v>A</v>
      </c>
      <c r="AQ2481" s="84" t="str">
        <f aca="false">IF(E2481="","",IF(U2481="","À SOUDER",IF(X2481="","VT EN ATTENTE",IF(X2481="R","VT REJETÉ – À REPRENDRE",IF(AP2481="","À RADIOGRAPHIER",IF(AP2481="A","ACCEPTÉ",IF(AP2481="NX","NX – RT À REFAIRE",IF(IF(AO2481=1,AD2481,IF(AO2481=2,AI2481,""))="A","RÉPARÉ – À RADIOGRAPHIER",IF(IF(AO2481=1,AD2481,IF(AO2481=2,AI2481,""))="R","VT REJETÉ – À REPRENDRE",IF(OR(AP2481="CO",AP2481="NT"),"COUPE – À RESOUDER","À RÉPARER"))))))))))</f>
        <v>ACCEPTÉ</v>
      </c>
      <c r="AR2481" s="82" t="str">
        <f aca="false">IF(AND(ISNUMBER(U2481),OR(AQ2481="À RADIOGRAPHIER",AQ2481="RÉPARÉ – À RADIOGRAPHIER",AQ2481="NX – RT À REFAIRE",AQ2481="À RÉPARER",AQ2481="COUPE – À RESOUDER",AQ2481="VT REJETÉ – À REPRENDRE")),MAX(0,'PROGRAMME RT'!$C$4-U2481),"")</f>
        <v/>
      </c>
      <c r="AS2481" s="82" t="n">
        <f aca="false">IF(AND(OR(AQ2481="À RADIOGRAPHIER",AQ2481="RÉPARÉ – À RADIOGRAPHIER",AQ2481="NX – RT À REFAIRE"),OR('PROGRAMME RT'!$D$5="TOUTES",B2481='PROGRAMME RT'!$D$5)),1,0)</f>
        <v>0</v>
      </c>
      <c r="AT2481" s="82" t="str">
        <f aca="false">IF(AS2481=1,SUM(AS$7:AS2481),"")</f>
        <v/>
      </c>
      <c r="AU2481" s="82" t="n">
        <f aca="false">IF(AND(OR(AA2481="R",AA2481="NX",AA2481="NT",AA2481="CO"),OR('JOINTS DE RÉPARATION'!$D$5="TOUTES",B2481='JOINTS DE RÉPARATION'!$D$5),OR('JOINTS DE RÉPARATION'!$L$4="TOUS",AQ2481&lt;&gt;"ACCEPTÉ")),1,0)</f>
        <v>0</v>
      </c>
      <c r="AV2481" s="82" t="str">
        <f aca="false">IF(AU2481=1,SUM(AU$7:AU2481),"")</f>
        <v/>
      </c>
      <c r="AW2481" s="82" t="str">
        <f aca="false">IF(E2481="","",B2481&amp;"|"&amp;E2481)</f>
        <v>MFD-ISW → MFD-CPF|JN°1997</v>
      </c>
    </row>
    <row r="2482" customFormat="false" ht="74.6" hidden="false" customHeight="false" outlineLevel="0" collapsed="false">
      <c r="A2482" s="79" t="n">
        <f aca="false">IF(E2482="","",ROW()-6)</f>
        <v>2476</v>
      </c>
      <c r="B2482" s="80" t="s">
        <v>110</v>
      </c>
      <c r="C2482" s="81" t="s">
        <v>2970</v>
      </c>
      <c r="D2482" s="81" t="n">
        <v>24</v>
      </c>
      <c r="E2482" s="81" t="s">
        <v>3012</v>
      </c>
      <c r="F2482" s="82" t="str">
        <f aca="false">IF(E2482="","",IF(LEFT(E2482,2)="DJ","DJ","JN"))</f>
        <v>JN</v>
      </c>
      <c r="G2482" s="81" t="s">
        <v>1504</v>
      </c>
      <c r="H2482" s="81" t="s">
        <v>871</v>
      </c>
      <c r="I2482" s="81" t="n">
        <v>9.53</v>
      </c>
      <c r="J2482" s="81" t="s">
        <v>872</v>
      </c>
      <c r="K2482" s="81" t="s">
        <v>879</v>
      </c>
      <c r="L2482" s="81" t="n">
        <v>2083010</v>
      </c>
      <c r="M2482" s="81" t="n">
        <v>15421105</v>
      </c>
      <c r="N2482" s="81" t="n">
        <v>11.94</v>
      </c>
      <c r="O2482" s="81" t="n">
        <v>2084710</v>
      </c>
      <c r="P2482" s="81" t="n">
        <v>15421106</v>
      </c>
      <c r="Q2482" s="81" t="n">
        <v>11.94</v>
      </c>
      <c r="R2482" s="81" t="s">
        <v>3003</v>
      </c>
      <c r="S2482" s="81"/>
      <c r="T2482" s="81"/>
      <c r="U2482" s="83" t="n">
        <v>46251</v>
      </c>
      <c r="V2482" s="83" t="n">
        <v>46250</v>
      </c>
      <c r="W2482" s="81" t="s">
        <v>2996</v>
      </c>
      <c r="X2482" s="81" t="s">
        <v>876</v>
      </c>
      <c r="Y2482" s="83" t="n">
        <v>46254</v>
      </c>
      <c r="Z2482" s="81" t="s">
        <v>3004</v>
      </c>
      <c r="AA2482" s="81" t="s">
        <v>876</v>
      </c>
      <c r="AB2482" s="81"/>
      <c r="AC2482" s="81"/>
      <c r="AD2482" s="81"/>
      <c r="AE2482" s="83"/>
      <c r="AF2482" s="81"/>
      <c r="AG2482" s="81"/>
      <c r="AH2482" s="81"/>
      <c r="AI2482" s="81"/>
      <c r="AJ2482" s="83"/>
      <c r="AK2482" s="81"/>
      <c r="AL2482" s="81"/>
      <c r="AM2482" s="83"/>
      <c r="AN2482" s="80"/>
      <c r="AO2482" s="82" t="n">
        <f aca="false">IF(E2482="","",(AA2482&lt;&gt;"")+(AG2482&lt;&gt;"")+(AL2482&lt;&gt;""))</f>
        <v>1</v>
      </c>
      <c r="AP2482" s="82" t="str">
        <f aca="false">IF(AL2482&lt;&gt;"",AL2482,IF(AG2482&lt;&gt;"",AG2482,IF(AA2482&lt;&gt;"",AA2482,"")))</f>
        <v>A</v>
      </c>
      <c r="AQ2482" s="84" t="str">
        <f aca="false">IF(E2482="","",IF(U2482="","À SOUDER",IF(X2482="","VT EN ATTENTE",IF(X2482="R","VT REJETÉ – À REPRENDRE",IF(AP2482="","À RADIOGRAPHIER",IF(AP2482="A","ACCEPTÉ",IF(AP2482="NX","NX – RT À REFAIRE",IF(IF(AO2482=1,AD2482,IF(AO2482=2,AI2482,""))="A","RÉPARÉ – À RADIOGRAPHIER",IF(IF(AO2482=1,AD2482,IF(AO2482=2,AI2482,""))="R","VT REJETÉ – À REPRENDRE",IF(OR(AP2482="CO",AP2482="NT"),"COUPE – À RESOUDER","À RÉPARER"))))))))))</f>
        <v>ACCEPTÉ</v>
      </c>
      <c r="AR2482" s="82" t="str">
        <f aca="false">IF(AND(ISNUMBER(U2482),OR(AQ2482="À RADIOGRAPHIER",AQ2482="RÉPARÉ – À RADIOGRAPHIER",AQ2482="NX – RT À REFAIRE",AQ2482="À RÉPARER",AQ2482="COUPE – À RESOUDER",AQ2482="VT REJETÉ – À REPRENDRE")),MAX(0,'PROGRAMME RT'!$C$4-U2482),"")</f>
        <v/>
      </c>
      <c r="AS2482" s="82" t="n">
        <f aca="false">IF(AND(OR(AQ2482="À RADIOGRAPHIER",AQ2482="RÉPARÉ – À RADIOGRAPHIER",AQ2482="NX – RT À REFAIRE"),OR('PROGRAMME RT'!$D$5="TOUTES",B2482='PROGRAMME RT'!$D$5)),1,0)</f>
        <v>0</v>
      </c>
      <c r="AT2482" s="82" t="str">
        <f aca="false">IF(AS2482=1,SUM(AS$7:AS2482),"")</f>
        <v/>
      </c>
      <c r="AU2482" s="82" t="n">
        <f aca="false">IF(AND(OR(AA2482="R",AA2482="NX",AA2482="NT",AA2482="CO"),OR('JOINTS DE RÉPARATION'!$D$5="TOUTES",B2482='JOINTS DE RÉPARATION'!$D$5),OR('JOINTS DE RÉPARATION'!$L$4="TOUS",AQ2482&lt;&gt;"ACCEPTÉ")),1,0)</f>
        <v>0</v>
      </c>
      <c r="AV2482" s="82" t="str">
        <f aca="false">IF(AU2482=1,SUM(AU$7:AU2482),"")</f>
        <v/>
      </c>
      <c r="AW2482" s="82" t="str">
        <f aca="false">IF(E2482="","",B2482&amp;"|"&amp;E2482)</f>
        <v>MFD-ISW → MFD-CPF|JN°1998</v>
      </c>
    </row>
    <row r="2483" customFormat="false" ht="74.6" hidden="false" customHeight="false" outlineLevel="0" collapsed="false">
      <c r="A2483" s="79" t="n">
        <f aca="false">IF(E2483="","",ROW()-6)</f>
        <v>2477</v>
      </c>
      <c r="B2483" s="80" t="s">
        <v>110</v>
      </c>
      <c r="C2483" s="81" t="s">
        <v>2970</v>
      </c>
      <c r="D2483" s="81" t="n">
        <v>24</v>
      </c>
      <c r="E2483" s="81" t="s">
        <v>3013</v>
      </c>
      <c r="F2483" s="82" t="str">
        <f aca="false">IF(E2483="","",IF(LEFT(E2483,2)="DJ","DJ","JN"))</f>
        <v>JN</v>
      </c>
      <c r="G2483" s="81" t="s">
        <v>1504</v>
      </c>
      <c r="H2483" s="81" t="s">
        <v>871</v>
      </c>
      <c r="I2483" s="81" t="n">
        <v>9.53</v>
      </c>
      <c r="J2483" s="81" t="s">
        <v>872</v>
      </c>
      <c r="K2483" s="81" t="s">
        <v>879</v>
      </c>
      <c r="L2483" s="81" t="n">
        <v>2084710</v>
      </c>
      <c r="M2483" s="81" t="n">
        <v>15421106</v>
      </c>
      <c r="N2483" s="81" t="n">
        <v>11.94</v>
      </c>
      <c r="O2483" s="81" t="n">
        <v>2083000</v>
      </c>
      <c r="P2483" s="81" t="n">
        <v>15421105</v>
      </c>
      <c r="Q2483" s="81" t="n">
        <v>11.94</v>
      </c>
      <c r="R2483" s="81" t="s">
        <v>3003</v>
      </c>
      <c r="S2483" s="81"/>
      <c r="T2483" s="81"/>
      <c r="U2483" s="83" t="n">
        <v>46251</v>
      </c>
      <c r="V2483" s="83" t="n">
        <v>46250</v>
      </c>
      <c r="W2483" s="81" t="s">
        <v>2996</v>
      </c>
      <c r="X2483" s="81" t="s">
        <v>876</v>
      </c>
      <c r="Y2483" s="83" t="n">
        <v>46254</v>
      </c>
      <c r="Z2483" s="81" t="s">
        <v>3004</v>
      </c>
      <c r="AA2483" s="81" t="s">
        <v>876</v>
      </c>
      <c r="AB2483" s="81"/>
      <c r="AC2483" s="81"/>
      <c r="AD2483" s="81"/>
      <c r="AE2483" s="83"/>
      <c r="AF2483" s="81"/>
      <c r="AG2483" s="81"/>
      <c r="AH2483" s="81"/>
      <c r="AI2483" s="81"/>
      <c r="AJ2483" s="83"/>
      <c r="AK2483" s="81"/>
      <c r="AL2483" s="81"/>
      <c r="AM2483" s="83"/>
      <c r="AN2483" s="80"/>
      <c r="AO2483" s="82" t="n">
        <f aca="false">IF(E2483="","",(AA2483&lt;&gt;"")+(AG2483&lt;&gt;"")+(AL2483&lt;&gt;""))</f>
        <v>1</v>
      </c>
      <c r="AP2483" s="82" t="str">
        <f aca="false">IF(AL2483&lt;&gt;"",AL2483,IF(AG2483&lt;&gt;"",AG2483,IF(AA2483&lt;&gt;"",AA2483,"")))</f>
        <v>A</v>
      </c>
      <c r="AQ2483" s="84" t="str">
        <f aca="false">IF(E2483="","",IF(U2483="","À SOUDER",IF(X2483="","VT EN ATTENTE",IF(X2483="R","VT REJETÉ – À REPRENDRE",IF(AP2483="","À RADIOGRAPHIER",IF(AP2483="A","ACCEPTÉ",IF(AP2483="NX","NX – RT À REFAIRE",IF(IF(AO2483=1,AD2483,IF(AO2483=2,AI2483,""))="A","RÉPARÉ – À RADIOGRAPHIER",IF(IF(AO2483=1,AD2483,IF(AO2483=2,AI2483,""))="R","VT REJETÉ – À REPRENDRE",IF(OR(AP2483="CO",AP2483="NT"),"COUPE – À RESOUDER","À RÉPARER"))))))))))</f>
        <v>ACCEPTÉ</v>
      </c>
      <c r="AR2483" s="82" t="str">
        <f aca="false">IF(AND(ISNUMBER(U2483),OR(AQ2483="À RADIOGRAPHIER",AQ2483="RÉPARÉ – À RADIOGRAPHIER",AQ2483="NX – RT À REFAIRE",AQ2483="À RÉPARER",AQ2483="COUPE – À RESOUDER",AQ2483="VT REJETÉ – À REPRENDRE")),MAX(0,'PROGRAMME RT'!$C$4-U2483),"")</f>
        <v/>
      </c>
      <c r="AS2483" s="82" t="n">
        <f aca="false">IF(AND(OR(AQ2483="À RADIOGRAPHIER",AQ2483="RÉPARÉ – À RADIOGRAPHIER",AQ2483="NX – RT À REFAIRE"),OR('PROGRAMME RT'!$D$5="TOUTES",B2483='PROGRAMME RT'!$D$5)),1,0)</f>
        <v>0</v>
      </c>
      <c r="AT2483" s="82" t="str">
        <f aca="false">IF(AS2483=1,SUM(AS$7:AS2483),"")</f>
        <v/>
      </c>
      <c r="AU2483" s="82" t="n">
        <f aca="false">IF(AND(OR(AA2483="R",AA2483="NX",AA2483="NT",AA2483="CO"),OR('JOINTS DE RÉPARATION'!$D$5="TOUTES",B2483='JOINTS DE RÉPARATION'!$D$5),OR('JOINTS DE RÉPARATION'!$L$4="TOUS",AQ2483&lt;&gt;"ACCEPTÉ")),1,0)</f>
        <v>0</v>
      </c>
      <c r="AV2483" s="82" t="str">
        <f aca="false">IF(AU2483=1,SUM(AU$7:AU2483),"")</f>
        <v/>
      </c>
      <c r="AW2483" s="82" t="str">
        <f aca="false">IF(E2483="","",B2483&amp;"|"&amp;E2483)</f>
        <v>MFD-ISW → MFD-CPF|JN°1999</v>
      </c>
    </row>
    <row r="2484" customFormat="false" ht="74.6" hidden="false" customHeight="false" outlineLevel="0" collapsed="false">
      <c r="A2484" s="79" t="n">
        <f aca="false">IF(E2484="","",ROW()-6)</f>
        <v>2478</v>
      </c>
      <c r="B2484" s="80" t="s">
        <v>110</v>
      </c>
      <c r="C2484" s="81" t="s">
        <v>2970</v>
      </c>
      <c r="D2484" s="81" t="n">
        <v>24</v>
      </c>
      <c r="E2484" s="81" t="s">
        <v>3014</v>
      </c>
      <c r="F2484" s="82" t="str">
        <f aca="false">IF(E2484="","",IF(LEFT(E2484,2)="DJ","DJ","JN"))</f>
        <v>JN</v>
      </c>
      <c r="G2484" s="81" t="s">
        <v>1504</v>
      </c>
      <c r="H2484" s="81" t="s">
        <v>871</v>
      </c>
      <c r="I2484" s="81" t="n">
        <v>9.53</v>
      </c>
      <c r="J2484" s="81" t="s">
        <v>872</v>
      </c>
      <c r="K2484" s="81" t="s">
        <v>879</v>
      </c>
      <c r="L2484" s="81" t="n">
        <v>2083000</v>
      </c>
      <c r="M2484" s="81" t="n">
        <v>15421105</v>
      </c>
      <c r="N2484" s="81" t="n">
        <v>11.94</v>
      </c>
      <c r="O2484" s="81" t="n">
        <v>2082990</v>
      </c>
      <c r="P2484" s="81" t="n">
        <v>15421105</v>
      </c>
      <c r="Q2484" s="81" t="n">
        <v>11.94</v>
      </c>
      <c r="R2484" s="81" t="s">
        <v>3003</v>
      </c>
      <c r="S2484" s="81"/>
      <c r="T2484" s="81"/>
      <c r="U2484" s="83" t="n">
        <v>46251</v>
      </c>
      <c r="V2484" s="83" t="n">
        <v>46250</v>
      </c>
      <c r="W2484" s="81" t="s">
        <v>2996</v>
      </c>
      <c r="X2484" s="81" t="s">
        <v>876</v>
      </c>
      <c r="Y2484" s="83" t="n">
        <v>46254</v>
      </c>
      <c r="Z2484" s="81" t="s">
        <v>3004</v>
      </c>
      <c r="AA2484" s="81" t="s">
        <v>876</v>
      </c>
      <c r="AB2484" s="81"/>
      <c r="AC2484" s="81"/>
      <c r="AD2484" s="81"/>
      <c r="AE2484" s="83"/>
      <c r="AF2484" s="81"/>
      <c r="AG2484" s="81"/>
      <c r="AH2484" s="81"/>
      <c r="AI2484" s="81"/>
      <c r="AJ2484" s="83"/>
      <c r="AK2484" s="81"/>
      <c r="AL2484" s="81"/>
      <c r="AM2484" s="83"/>
      <c r="AN2484" s="80"/>
      <c r="AO2484" s="82" t="n">
        <f aca="false">IF(E2484="","",(AA2484&lt;&gt;"")+(AG2484&lt;&gt;"")+(AL2484&lt;&gt;""))</f>
        <v>1</v>
      </c>
      <c r="AP2484" s="82" t="str">
        <f aca="false">IF(AL2484&lt;&gt;"",AL2484,IF(AG2484&lt;&gt;"",AG2484,IF(AA2484&lt;&gt;"",AA2484,"")))</f>
        <v>A</v>
      </c>
      <c r="AQ2484" s="84" t="str">
        <f aca="false">IF(E2484="","",IF(U2484="","À SOUDER",IF(X2484="","VT EN ATTENTE",IF(X2484="R","VT REJETÉ – À REPRENDRE",IF(AP2484="","À RADIOGRAPHIER",IF(AP2484="A","ACCEPTÉ",IF(AP2484="NX","NX – RT À REFAIRE",IF(IF(AO2484=1,AD2484,IF(AO2484=2,AI2484,""))="A","RÉPARÉ – À RADIOGRAPHIER",IF(IF(AO2484=1,AD2484,IF(AO2484=2,AI2484,""))="R","VT REJETÉ – À REPRENDRE",IF(OR(AP2484="CO",AP2484="NT"),"COUPE – À RESOUDER","À RÉPARER"))))))))))</f>
        <v>ACCEPTÉ</v>
      </c>
      <c r="AR2484" s="82" t="str">
        <f aca="false">IF(AND(ISNUMBER(U2484),OR(AQ2484="À RADIOGRAPHIER",AQ2484="RÉPARÉ – À RADIOGRAPHIER",AQ2484="NX – RT À REFAIRE",AQ2484="À RÉPARER",AQ2484="COUPE – À RESOUDER",AQ2484="VT REJETÉ – À REPRENDRE")),MAX(0,'PROGRAMME RT'!$C$4-U2484),"")</f>
        <v/>
      </c>
      <c r="AS2484" s="82" t="n">
        <f aca="false">IF(AND(OR(AQ2484="À RADIOGRAPHIER",AQ2484="RÉPARÉ – À RADIOGRAPHIER",AQ2484="NX – RT À REFAIRE"),OR('PROGRAMME RT'!$D$5="TOUTES",B2484='PROGRAMME RT'!$D$5)),1,0)</f>
        <v>0</v>
      </c>
      <c r="AT2484" s="82" t="str">
        <f aca="false">IF(AS2484=1,SUM(AS$7:AS2484),"")</f>
        <v/>
      </c>
      <c r="AU2484" s="82" t="n">
        <f aca="false">IF(AND(OR(AA2484="R",AA2484="NX",AA2484="NT",AA2484="CO"),OR('JOINTS DE RÉPARATION'!$D$5="TOUTES",B2484='JOINTS DE RÉPARATION'!$D$5),OR('JOINTS DE RÉPARATION'!$L$4="TOUS",AQ2484&lt;&gt;"ACCEPTÉ")),1,0)</f>
        <v>0</v>
      </c>
      <c r="AV2484" s="82" t="str">
        <f aca="false">IF(AU2484=1,SUM(AU$7:AU2484),"")</f>
        <v/>
      </c>
      <c r="AW2484" s="82" t="str">
        <f aca="false">IF(E2484="","",B2484&amp;"|"&amp;E2484)</f>
        <v>MFD-ISW → MFD-CPF|JN°2000</v>
      </c>
    </row>
    <row r="2485" customFormat="false" ht="15" hidden="false" customHeight="false" outlineLevel="0" collapsed="false">
      <c r="A2485" s="79" t="str">
        <f aca="false">IF(E2485="","",ROW()-6)</f>
        <v/>
      </c>
      <c r="B2485" s="80"/>
      <c r="C2485" s="81"/>
      <c r="D2485" s="81"/>
      <c r="E2485" s="81"/>
      <c r="F2485" s="82" t="str">
        <f aca="false">IF(E2485="","",IF(LEFT(E2485,2)="DJ","DJ","JN"))</f>
        <v/>
      </c>
      <c r="G2485" s="81"/>
      <c r="H2485" s="81"/>
      <c r="I2485" s="81"/>
      <c r="J2485" s="81"/>
      <c r="K2485" s="81"/>
      <c r="L2485" s="81"/>
      <c r="M2485" s="81"/>
      <c r="N2485" s="81"/>
      <c r="O2485" s="81"/>
      <c r="P2485" s="81"/>
      <c r="Q2485" s="81"/>
      <c r="R2485" s="81"/>
      <c r="S2485" s="81"/>
      <c r="T2485" s="81"/>
      <c r="U2485" s="83"/>
      <c r="V2485" s="83"/>
      <c r="W2485" s="81"/>
      <c r="X2485" s="81"/>
      <c r="Y2485" s="83"/>
      <c r="Z2485" s="81"/>
      <c r="AA2485" s="81"/>
      <c r="AB2485" s="81"/>
      <c r="AC2485" s="81"/>
      <c r="AD2485" s="81"/>
      <c r="AE2485" s="83"/>
      <c r="AF2485" s="81"/>
      <c r="AG2485" s="81"/>
      <c r="AH2485" s="81"/>
      <c r="AI2485" s="81"/>
      <c r="AJ2485" s="83"/>
      <c r="AK2485" s="81"/>
      <c r="AL2485" s="81"/>
      <c r="AM2485" s="83"/>
      <c r="AN2485" s="80"/>
      <c r="AO2485" s="82" t="str">
        <f aca="false">IF(E2485="","",(AA2485&lt;&gt;"")+(AG2485&lt;&gt;"")+(AL2485&lt;&gt;""))</f>
        <v/>
      </c>
      <c r="AP2485" s="82" t="str">
        <f aca="false">IF(AL2485&lt;&gt;"",AL2485,IF(AG2485&lt;&gt;"",AG2485,IF(AA2485&lt;&gt;"",AA2485,"")))</f>
        <v/>
      </c>
      <c r="AQ2485" s="84" t="str">
        <f aca="false">IF(E2485="","",IF(U2485="","À SOUDER",IF(X2485="","VT EN ATTENTE",IF(X2485="R","VT REJETÉ – À REPRENDRE",IF(AP2485="","À RADIOGRAPHIER",IF(AP2485="A","ACCEPTÉ",IF(AP2485="NX","NX – RT À REFAIRE",IF(IF(AO2485=1,AD2485,IF(AO2485=2,AI2485,""))="A","RÉPARÉ – À RADIOGRAPHIER",IF(IF(AO2485=1,AD2485,IF(AO2485=2,AI2485,""))="R","VT REJETÉ – À REPRENDRE",IF(OR(AP2485="CO",AP2485="NT"),"COUPE – À RESOUDER","À RÉPARER"))))))))))</f>
        <v/>
      </c>
      <c r="AR2485" s="82" t="str">
        <f aca="false">IF(AND(ISNUMBER(U2485),OR(AQ2485="À RADIOGRAPHIER",AQ2485="RÉPARÉ – À RADIOGRAPHIER",AQ2485="NX – RT À REFAIRE",AQ2485="À RÉPARER",AQ2485="COUPE – À RESOUDER",AQ2485="VT REJETÉ – À REPRENDRE")),MAX(0,'PROGRAMME RT'!$C$4-U2485),"")</f>
        <v/>
      </c>
      <c r="AS2485" s="82" t="n">
        <f aca="false">IF(AND(OR(AQ2485="À RADIOGRAPHIER",AQ2485="RÉPARÉ – À RADIOGRAPHIER",AQ2485="NX – RT À REFAIRE"),OR('PROGRAMME RT'!$D$5="TOUTES",B2485='PROGRAMME RT'!$D$5)),1,0)</f>
        <v>0</v>
      </c>
      <c r="AT2485" s="82" t="str">
        <f aca="false">IF(AS2485=1,SUM(AS$7:AS2485),"")</f>
        <v/>
      </c>
      <c r="AU2485" s="82" t="n">
        <f aca="false">IF(AND(OR(AA2485="R",AA2485="NX",AA2485="NT",AA2485="CO"),OR('JOINTS DE RÉPARATION'!$D$5="TOUTES",B2485='JOINTS DE RÉPARATION'!$D$5),OR('JOINTS DE RÉPARATION'!$L$4="TOUS",AQ2485&lt;&gt;"ACCEPTÉ")),1,0)</f>
        <v>0</v>
      </c>
      <c r="AV2485" s="82" t="str">
        <f aca="false">IF(AU2485=1,SUM(AU$7:AU2485),"")</f>
        <v/>
      </c>
      <c r="AW2485" s="82" t="str">
        <f aca="false">IF(E2485="","",B2485&amp;"|"&amp;E2485)</f>
        <v/>
      </c>
    </row>
    <row r="2486" customFormat="false" ht="15" hidden="false" customHeight="false" outlineLevel="0" collapsed="false">
      <c r="A2486" s="79" t="str">
        <f aca="false">IF(E2486="","",ROW()-6)</f>
        <v/>
      </c>
      <c r="B2486" s="80"/>
      <c r="C2486" s="81"/>
      <c r="D2486" s="81"/>
      <c r="E2486" s="81"/>
      <c r="F2486" s="82" t="str">
        <f aca="false">IF(E2486="","",IF(LEFT(E2486,2)="DJ","DJ","JN"))</f>
        <v/>
      </c>
      <c r="G2486" s="81"/>
      <c r="H2486" s="81"/>
      <c r="I2486" s="81"/>
      <c r="J2486" s="81"/>
      <c r="K2486" s="81"/>
      <c r="L2486" s="81"/>
      <c r="M2486" s="81"/>
      <c r="N2486" s="81"/>
      <c r="O2486" s="81"/>
      <c r="P2486" s="81"/>
      <c r="Q2486" s="81"/>
      <c r="R2486" s="81"/>
      <c r="S2486" s="81"/>
      <c r="T2486" s="81"/>
      <c r="U2486" s="83"/>
      <c r="V2486" s="83"/>
      <c r="W2486" s="81"/>
      <c r="X2486" s="81"/>
      <c r="Y2486" s="83"/>
      <c r="Z2486" s="81"/>
      <c r="AA2486" s="81"/>
      <c r="AB2486" s="81"/>
      <c r="AC2486" s="81"/>
      <c r="AD2486" s="81"/>
      <c r="AE2486" s="83"/>
      <c r="AF2486" s="81"/>
      <c r="AG2486" s="81"/>
      <c r="AH2486" s="81"/>
      <c r="AI2486" s="81"/>
      <c r="AJ2486" s="83"/>
      <c r="AK2486" s="81"/>
      <c r="AL2486" s="81"/>
      <c r="AM2486" s="83"/>
      <c r="AN2486" s="80"/>
      <c r="AO2486" s="82" t="str">
        <f aca="false">IF(E2486="","",(AA2486&lt;&gt;"")+(AG2486&lt;&gt;"")+(AL2486&lt;&gt;""))</f>
        <v/>
      </c>
      <c r="AP2486" s="82" t="str">
        <f aca="false">IF(AL2486&lt;&gt;"",AL2486,IF(AG2486&lt;&gt;"",AG2486,IF(AA2486&lt;&gt;"",AA2486,"")))</f>
        <v/>
      </c>
      <c r="AQ2486" s="84" t="str">
        <f aca="false">IF(E2486="","",IF(U2486="","À SOUDER",IF(X2486="","VT EN ATTENTE",IF(X2486="R","VT REJETÉ – À REPRENDRE",IF(AP2486="","À RADIOGRAPHIER",IF(AP2486="A","ACCEPTÉ",IF(AP2486="NX","NX – RT À REFAIRE",IF(IF(AO2486=1,AD2486,IF(AO2486=2,AI2486,""))="A","RÉPARÉ – À RADIOGRAPHIER",IF(IF(AO2486=1,AD2486,IF(AO2486=2,AI2486,""))="R","VT REJETÉ – À REPRENDRE",IF(OR(AP2486="CO",AP2486="NT"),"COUPE – À RESOUDER","À RÉPARER"))))))))))</f>
        <v/>
      </c>
      <c r="AR2486" s="82" t="str">
        <f aca="false">IF(AND(ISNUMBER(U2486),OR(AQ2486="À RADIOGRAPHIER",AQ2486="RÉPARÉ – À RADIOGRAPHIER",AQ2486="NX – RT À REFAIRE",AQ2486="À RÉPARER",AQ2486="COUPE – À RESOUDER",AQ2486="VT REJETÉ – À REPRENDRE")),MAX(0,'PROGRAMME RT'!$C$4-U2486),"")</f>
        <v/>
      </c>
      <c r="AS2486" s="82" t="n">
        <f aca="false">IF(AND(OR(AQ2486="À RADIOGRAPHIER",AQ2486="RÉPARÉ – À RADIOGRAPHIER",AQ2486="NX – RT À REFAIRE"),OR('PROGRAMME RT'!$D$5="TOUTES",B2486='PROGRAMME RT'!$D$5)),1,0)</f>
        <v>0</v>
      </c>
      <c r="AT2486" s="82" t="str">
        <f aca="false">IF(AS2486=1,SUM(AS$7:AS2486),"")</f>
        <v/>
      </c>
      <c r="AU2486" s="82" t="n">
        <f aca="false">IF(AND(OR(AA2486="R",AA2486="NX",AA2486="NT",AA2486="CO"),OR('JOINTS DE RÉPARATION'!$D$5="TOUTES",B2486='JOINTS DE RÉPARATION'!$D$5),OR('JOINTS DE RÉPARATION'!$L$4="TOUS",AQ2486&lt;&gt;"ACCEPTÉ")),1,0)</f>
        <v>0</v>
      </c>
      <c r="AV2486" s="82" t="str">
        <f aca="false">IF(AU2486=1,SUM(AU$7:AU2486),"")</f>
        <v/>
      </c>
      <c r="AW2486" s="82" t="str">
        <f aca="false">IF(E2486="","",B2486&amp;"|"&amp;E2486)</f>
        <v/>
      </c>
    </row>
    <row r="2487" customFormat="false" ht="15" hidden="false" customHeight="false" outlineLevel="0" collapsed="false">
      <c r="A2487" s="79" t="str">
        <f aca="false">IF(E2487="","",ROW()-6)</f>
        <v/>
      </c>
      <c r="B2487" s="80"/>
      <c r="C2487" s="81"/>
      <c r="D2487" s="81"/>
      <c r="E2487" s="81"/>
      <c r="F2487" s="82" t="str">
        <f aca="false">IF(E2487="","",IF(LEFT(E2487,2)="DJ","DJ","JN"))</f>
        <v/>
      </c>
      <c r="G2487" s="81"/>
      <c r="H2487" s="81"/>
      <c r="I2487" s="81"/>
      <c r="J2487" s="81"/>
      <c r="K2487" s="81"/>
      <c r="L2487" s="81"/>
      <c r="M2487" s="81"/>
      <c r="N2487" s="81"/>
      <c r="O2487" s="81"/>
      <c r="P2487" s="81"/>
      <c r="Q2487" s="81"/>
      <c r="R2487" s="81"/>
      <c r="S2487" s="81"/>
      <c r="T2487" s="81"/>
      <c r="U2487" s="83"/>
      <c r="V2487" s="83"/>
      <c r="W2487" s="81"/>
      <c r="X2487" s="81"/>
      <c r="Y2487" s="83"/>
      <c r="Z2487" s="81"/>
      <c r="AA2487" s="81"/>
      <c r="AB2487" s="81"/>
      <c r="AC2487" s="81"/>
      <c r="AD2487" s="81"/>
      <c r="AE2487" s="83"/>
      <c r="AF2487" s="81"/>
      <c r="AG2487" s="81"/>
      <c r="AH2487" s="81"/>
      <c r="AI2487" s="81"/>
      <c r="AJ2487" s="83"/>
      <c r="AK2487" s="81"/>
      <c r="AL2487" s="81"/>
      <c r="AM2487" s="83"/>
      <c r="AN2487" s="80"/>
      <c r="AO2487" s="82" t="str">
        <f aca="false">IF(E2487="","",(AA2487&lt;&gt;"")+(AG2487&lt;&gt;"")+(AL2487&lt;&gt;""))</f>
        <v/>
      </c>
      <c r="AP2487" s="82" t="str">
        <f aca="false">IF(AL2487&lt;&gt;"",AL2487,IF(AG2487&lt;&gt;"",AG2487,IF(AA2487&lt;&gt;"",AA2487,"")))</f>
        <v/>
      </c>
      <c r="AQ2487" s="84" t="str">
        <f aca="false">IF(E2487="","",IF(U2487="","À SOUDER",IF(X2487="","VT EN ATTENTE",IF(X2487="R","VT REJETÉ – À REPRENDRE",IF(AP2487="","À RADIOGRAPHIER",IF(AP2487="A","ACCEPTÉ",IF(AP2487="NX","NX – RT À REFAIRE",IF(IF(AO2487=1,AD2487,IF(AO2487=2,AI2487,""))="A","RÉPARÉ – À RADIOGRAPHIER",IF(IF(AO2487=1,AD2487,IF(AO2487=2,AI2487,""))="R","VT REJETÉ – À REPRENDRE",IF(OR(AP2487="CO",AP2487="NT"),"COUPE – À RESOUDER","À RÉPARER"))))))))))</f>
        <v/>
      </c>
      <c r="AR2487" s="82" t="str">
        <f aca="false">IF(AND(ISNUMBER(U2487),OR(AQ2487="À RADIOGRAPHIER",AQ2487="RÉPARÉ – À RADIOGRAPHIER",AQ2487="NX – RT À REFAIRE",AQ2487="À RÉPARER",AQ2487="COUPE – À RESOUDER",AQ2487="VT REJETÉ – À REPRENDRE")),MAX(0,'PROGRAMME RT'!$C$4-U2487),"")</f>
        <v/>
      </c>
      <c r="AS2487" s="82" t="n">
        <f aca="false">IF(AND(OR(AQ2487="À RADIOGRAPHIER",AQ2487="RÉPARÉ – À RADIOGRAPHIER",AQ2487="NX – RT À REFAIRE"),OR('PROGRAMME RT'!$D$5="TOUTES",B2487='PROGRAMME RT'!$D$5)),1,0)</f>
        <v>0</v>
      </c>
      <c r="AT2487" s="82" t="str">
        <f aca="false">IF(AS2487=1,SUM(AS$7:AS2487),"")</f>
        <v/>
      </c>
      <c r="AU2487" s="82" t="n">
        <f aca="false">IF(AND(OR(AA2487="R",AA2487="NX",AA2487="NT",AA2487="CO"),OR('JOINTS DE RÉPARATION'!$D$5="TOUTES",B2487='JOINTS DE RÉPARATION'!$D$5),OR('JOINTS DE RÉPARATION'!$L$4="TOUS",AQ2487&lt;&gt;"ACCEPTÉ")),1,0)</f>
        <v>0</v>
      </c>
      <c r="AV2487" s="82" t="str">
        <f aca="false">IF(AU2487=1,SUM(AU$7:AU2487),"")</f>
        <v/>
      </c>
      <c r="AW2487" s="82" t="str">
        <f aca="false">IF(E2487="","",B2487&amp;"|"&amp;E2487)</f>
        <v/>
      </c>
    </row>
    <row r="2488" customFormat="false" ht="15" hidden="false" customHeight="false" outlineLevel="0" collapsed="false">
      <c r="A2488" s="79" t="str">
        <f aca="false">IF(E2488="","",ROW()-6)</f>
        <v/>
      </c>
      <c r="B2488" s="80"/>
      <c r="C2488" s="81"/>
      <c r="D2488" s="81"/>
      <c r="E2488" s="81"/>
      <c r="F2488" s="82" t="str">
        <f aca="false">IF(E2488="","",IF(LEFT(E2488,2)="DJ","DJ","JN"))</f>
        <v/>
      </c>
      <c r="G2488" s="81"/>
      <c r="H2488" s="81"/>
      <c r="I2488" s="81"/>
      <c r="J2488" s="81"/>
      <c r="K2488" s="81"/>
      <c r="L2488" s="81"/>
      <c r="M2488" s="81"/>
      <c r="N2488" s="81"/>
      <c r="O2488" s="81"/>
      <c r="P2488" s="81"/>
      <c r="Q2488" s="81"/>
      <c r="R2488" s="81"/>
      <c r="S2488" s="81"/>
      <c r="T2488" s="81"/>
      <c r="U2488" s="83"/>
      <c r="V2488" s="83"/>
      <c r="W2488" s="81"/>
      <c r="X2488" s="81"/>
      <c r="Y2488" s="83"/>
      <c r="Z2488" s="81"/>
      <c r="AA2488" s="81"/>
      <c r="AB2488" s="81"/>
      <c r="AC2488" s="81"/>
      <c r="AD2488" s="81"/>
      <c r="AE2488" s="83"/>
      <c r="AF2488" s="81"/>
      <c r="AG2488" s="81"/>
      <c r="AH2488" s="81"/>
      <c r="AI2488" s="81"/>
      <c r="AJ2488" s="83"/>
      <c r="AK2488" s="81"/>
      <c r="AL2488" s="81"/>
      <c r="AM2488" s="83"/>
      <c r="AN2488" s="80"/>
      <c r="AO2488" s="82" t="str">
        <f aca="false">IF(E2488="","",(AA2488&lt;&gt;"")+(AG2488&lt;&gt;"")+(AL2488&lt;&gt;""))</f>
        <v/>
      </c>
      <c r="AP2488" s="82" t="str">
        <f aca="false">IF(AL2488&lt;&gt;"",AL2488,IF(AG2488&lt;&gt;"",AG2488,IF(AA2488&lt;&gt;"",AA2488,"")))</f>
        <v/>
      </c>
      <c r="AQ2488" s="84" t="str">
        <f aca="false">IF(E2488="","",IF(U2488="","À SOUDER",IF(X2488="","VT EN ATTENTE",IF(X2488="R","VT REJETÉ – À REPRENDRE",IF(AP2488="","À RADIOGRAPHIER",IF(AP2488="A","ACCEPTÉ",IF(AP2488="NX","NX – RT À REFAIRE",IF(IF(AO2488=1,AD2488,IF(AO2488=2,AI2488,""))="A","RÉPARÉ – À RADIOGRAPHIER",IF(IF(AO2488=1,AD2488,IF(AO2488=2,AI2488,""))="R","VT REJETÉ – À REPRENDRE",IF(OR(AP2488="CO",AP2488="NT"),"COUPE – À RESOUDER","À RÉPARER"))))))))))</f>
        <v/>
      </c>
      <c r="AR2488" s="82" t="str">
        <f aca="false">IF(AND(ISNUMBER(U2488),OR(AQ2488="À RADIOGRAPHIER",AQ2488="RÉPARÉ – À RADIOGRAPHIER",AQ2488="NX – RT À REFAIRE",AQ2488="À RÉPARER",AQ2488="COUPE – À RESOUDER",AQ2488="VT REJETÉ – À REPRENDRE")),MAX(0,'PROGRAMME RT'!$C$4-U2488),"")</f>
        <v/>
      </c>
      <c r="AS2488" s="82" t="n">
        <f aca="false">IF(AND(OR(AQ2488="À RADIOGRAPHIER",AQ2488="RÉPARÉ – À RADIOGRAPHIER",AQ2488="NX – RT À REFAIRE"),OR('PROGRAMME RT'!$D$5="TOUTES",B2488='PROGRAMME RT'!$D$5)),1,0)</f>
        <v>0</v>
      </c>
      <c r="AT2488" s="82" t="str">
        <f aca="false">IF(AS2488=1,SUM(AS$7:AS2488),"")</f>
        <v/>
      </c>
      <c r="AU2488" s="82" t="n">
        <f aca="false">IF(AND(OR(AA2488="R",AA2488="NX",AA2488="NT",AA2488="CO"),OR('JOINTS DE RÉPARATION'!$D$5="TOUTES",B2488='JOINTS DE RÉPARATION'!$D$5),OR('JOINTS DE RÉPARATION'!$L$4="TOUS",AQ2488&lt;&gt;"ACCEPTÉ")),1,0)</f>
        <v>0</v>
      </c>
      <c r="AV2488" s="82" t="str">
        <f aca="false">IF(AU2488=1,SUM(AU$7:AU2488),"")</f>
        <v/>
      </c>
      <c r="AW2488" s="82" t="str">
        <f aca="false">IF(E2488="","",B2488&amp;"|"&amp;E2488)</f>
        <v/>
      </c>
    </row>
    <row r="2489" customFormat="false" ht="15" hidden="false" customHeight="false" outlineLevel="0" collapsed="false">
      <c r="A2489" s="79" t="str">
        <f aca="false">IF(E2489="","",ROW()-6)</f>
        <v/>
      </c>
      <c r="B2489" s="80"/>
      <c r="C2489" s="81"/>
      <c r="D2489" s="81"/>
      <c r="E2489" s="81"/>
      <c r="F2489" s="82" t="str">
        <f aca="false">IF(E2489="","",IF(LEFT(E2489,2)="DJ","DJ","JN"))</f>
        <v/>
      </c>
      <c r="G2489" s="81"/>
      <c r="H2489" s="81"/>
      <c r="I2489" s="81"/>
      <c r="J2489" s="81"/>
      <c r="K2489" s="81"/>
      <c r="L2489" s="81"/>
      <c r="M2489" s="81"/>
      <c r="N2489" s="81"/>
      <c r="O2489" s="81"/>
      <c r="P2489" s="81"/>
      <c r="Q2489" s="81"/>
      <c r="R2489" s="81"/>
      <c r="S2489" s="81"/>
      <c r="T2489" s="81"/>
      <c r="U2489" s="83"/>
      <c r="V2489" s="83"/>
      <c r="W2489" s="81"/>
      <c r="X2489" s="81"/>
      <c r="Y2489" s="83"/>
      <c r="Z2489" s="81"/>
      <c r="AA2489" s="81"/>
      <c r="AB2489" s="81"/>
      <c r="AC2489" s="81"/>
      <c r="AD2489" s="81"/>
      <c r="AE2489" s="83"/>
      <c r="AF2489" s="81"/>
      <c r="AG2489" s="81"/>
      <c r="AH2489" s="81"/>
      <c r="AI2489" s="81"/>
      <c r="AJ2489" s="83"/>
      <c r="AK2489" s="81"/>
      <c r="AL2489" s="81"/>
      <c r="AM2489" s="83"/>
      <c r="AN2489" s="80"/>
      <c r="AO2489" s="82" t="str">
        <f aca="false">IF(E2489="","",(AA2489&lt;&gt;"")+(AG2489&lt;&gt;"")+(AL2489&lt;&gt;""))</f>
        <v/>
      </c>
      <c r="AP2489" s="82" t="str">
        <f aca="false">IF(AL2489&lt;&gt;"",AL2489,IF(AG2489&lt;&gt;"",AG2489,IF(AA2489&lt;&gt;"",AA2489,"")))</f>
        <v/>
      </c>
      <c r="AQ2489" s="84" t="str">
        <f aca="false">IF(E2489="","",IF(U2489="","À SOUDER",IF(X2489="","VT EN ATTENTE",IF(X2489="R","VT REJETÉ – À REPRENDRE",IF(AP2489="","À RADIOGRAPHIER",IF(AP2489="A","ACCEPTÉ",IF(AP2489="NX","NX – RT À REFAIRE",IF(IF(AO2489=1,AD2489,IF(AO2489=2,AI2489,""))="A","RÉPARÉ – À RADIOGRAPHIER",IF(IF(AO2489=1,AD2489,IF(AO2489=2,AI2489,""))="R","VT REJETÉ – À REPRENDRE",IF(OR(AP2489="CO",AP2489="NT"),"COUPE – À RESOUDER","À RÉPARER"))))))))))</f>
        <v/>
      </c>
      <c r="AR2489" s="82" t="str">
        <f aca="false">IF(AND(ISNUMBER(U2489),OR(AQ2489="À RADIOGRAPHIER",AQ2489="RÉPARÉ – À RADIOGRAPHIER",AQ2489="NX – RT À REFAIRE",AQ2489="À RÉPARER",AQ2489="COUPE – À RESOUDER",AQ2489="VT REJETÉ – À REPRENDRE")),MAX(0,'PROGRAMME RT'!$C$4-U2489),"")</f>
        <v/>
      </c>
      <c r="AS2489" s="82" t="n">
        <f aca="false">IF(AND(OR(AQ2489="À RADIOGRAPHIER",AQ2489="RÉPARÉ – À RADIOGRAPHIER",AQ2489="NX – RT À REFAIRE"),OR('PROGRAMME RT'!$D$5="TOUTES",B2489='PROGRAMME RT'!$D$5)),1,0)</f>
        <v>0</v>
      </c>
      <c r="AT2489" s="82" t="str">
        <f aca="false">IF(AS2489=1,SUM(AS$7:AS2489),"")</f>
        <v/>
      </c>
      <c r="AU2489" s="82" t="n">
        <f aca="false">IF(AND(OR(AA2489="R",AA2489="NX",AA2489="NT",AA2489="CO"),OR('JOINTS DE RÉPARATION'!$D$5="TOUTES",B2489='JOINTS DE RÉPARATION'!$D$5),OR('JOINTS DE RÉPARATION'!$L$4="TOUS",AQ2489&lt;&gt;"ACCEPTÉ")),1,0)</f>
        <v>0</v>
      </c>
      <c r="AV2489" s="82" t="str">
        <f aca="false">IF(AU2489=1,SUM(AU$7:AU2489),"")</f>
        <v/>
      </c>
      <c r="AW2489" s="82" t="str">
        <f aca="false">IF(E2489="","",B2489&amp;"|"&amp;E2489)</f>
        <v/>
      </c>
    </row>
    <row r="2490" customFormat="false" ht="15" hidden="false" customHeight="false" outlineLevel="0" collapsed="false">
      <c r="A2490" s="79" t="str">
        <f aca="false">IF(E2490="","",ROW()-6)</f>
        <v/>
      </c>
      <c r="B2490" s="80"/>
      <c r="C2490" s="81"/>
      <c r="D2490" s="81"/>
      <c r="E2490" s="81"/>
      <c r="F2490" s="82" t="str">
        <f aca="false">IF(E2490="","",IF(LEFT(E2490,2)="DJ","DJ","JN"))</f>
        <v/>
      </c>
      <c r="G2490" s="81"/>
      <c r="H2490" s="81"/>
      <c r="I2490" s="81"/>
      <c r="J2490" s="81"/>
      <c r="K2490" s="81"/>
      <c r="L2490" s="81"/>
      <c r="M2490" s="81"/>
      <c r="N2490" s="81"/>
      <c r="O2490" s="81"/>
      <c r="P2490" s="81"/>
      <c r="Q2490" s="81"/>
      <c r="R2490" s="81"/>
      <c r="S2490" s="81"/>
      <c r="T2490" s="81"/>
      <c r="U2490" s="83"/>
      <c r="V2490" s="83"/>
      <c r="W2490" s="81"/>
      <c r="X2490" s="81"/>
      <c r="Y2490" s="83"/>
      <c r="Z2490" s="81"/>
      <c r="AA2490" s="81"/>
      <c r="AB2490" s="81"/>
      <c r="AC2490" s="81"/>
      <c r="AD2490" s="81"/>
      <c r="AE2490" s="83"/>
      <c r="AF2490" s="81"/>
      <c r="AG2490" s="81"/>
      <c r="AH2490" s="81"/>
      <c r="AI2490" s="81"/>
      <c r="AJ2490" s="83"/>
      <c r="AK2490" s="81"/>
      <c r="AL2490" s="81"/>
      <c r="AM2490" s="83"/>
      <c r="AN2490" s="80"/>
      <c r="AO2490" s="82" t="str">
        <f aca="false">IF(E2490="","",(AA2490&lt;&gt;"")+(AG2490&lt;&gt;"")+(AL2490&lt;&gt;""))</f>
        <v/>
      </c>
      <c r="AP2490" s="82" t="str">
        <f aca="false">IF(AL2490&lt;&gt;"",AL2490,IF(AG2490&lt;&gt;"",AG2490,IF(AA2490&lt;&gt;"",AA2490,"")))</f>
        <v/>
      </c>
      <c r="AQ2490" s="84" t="str">
        <f aca="false">IF(E2490="","",IF(U2490="","À SOUDER",IF(X2490="","VT EN ATTENTE",IF(X2490="R","VT REJETÉ – À REPRENDRE",IF(AP2490="","À RADIOGRAPHIER",IF(AP2490="A","ACCEPTÉ",IF(AP2490="NX","NX – RT À REFAIRE",IF(IF(AO2490=1,AD2490,IF(AO2490=2,AI2490,""))="A","RÉPARÉ – À RADIOGRAPHIER",IF(IF(AO2490=1,AD2490,IF(AO2490=2,AI2490,""))="R","VT REJETÉ – À REPRENDRE",IF(OR(AP2490="CO",AP2490="NT"),"COUPE – À RESOUDER","À RÉPARER"))))))))))</f>
        <v/>
      </c>
      <c r="AR2490" s="82" t="str">
        <f aca="false">IF(AND(ISNUMBER(U2490),OR(AQ2490="À RADIOGRAPHIER",AQ2490="RÉPARÉ – À RADIOGRAPHIER",AQ2490="NX – RT À REFAIRE",AQ2490="À RÉPARER",AQ2490="COUPE – À RESOUDER",AQ2490="VT REJETÉ – À REPRENDRE")),MAX(0,'PROGRAMME RT'!$C$4-U2490),"")</f>
        <v/>
      </c>
      <c r="AS2490" s="82" t="n">
        <f aca="false">IF(AND(OR(AQ2490="À RADIOGRAPHIER",AQ2490="RÉPARÉ – À RADIOGRAPHIER",AQ2490="NX – RT À REFAIRE"),OR('PROGRAMME RT'!$D$5="TOUTES",B2490='PROGRAMME RT'!$D$5)),1,0)</f>
        <v>0</v>
      </c>
      <c r="AT2490" s="82" t="str">
        <f aca="false">IF(AS2490=1,SUM(AS$7:AS2490),"")</f>
        <v/>
      </c>
      <c r="AU2490" s="82" t="n">
        <f aca="false">IF(AND(OR(AA2490="R",AA2490="NX",AA2490="NT",AA2490="CO"),OR('JOINTS DE RÉPARATION'!$D$5="TOUTES",B2490='JOINTS DE RÉPARATION'!$D$5),OR('JOINTS DE RÉPARATION'!$L$4="TOUS",AQ2490&lt;&gt;"ACCEPTÉ")),1,0)</f>
        <v>0</v>
      </c>
      <c r="AV2490" s="82" t="str">
        <f aca="false">IF(AU2490=1,SUM(AU$7:AU2490),"")</f>
        <v/>
      </c>
      <c r="AW2490" s="82" t="str">
        <f aca="false">IF(E2490="","",B2490&amp;"|"&amp;E2490)</f>
        <v/>
      </c>
    </row>
    <row r="2491" customFormat="false" ht="15" hidden="false" customHeight="false" outlineLevel="0" collapsed="false">
      <c r="A2491" s="79" t="str">
        <f aca="false">IF(E2491="","",ROW()-6)</f>
        <v/>
      </c>
      <c r="B2491" s="80"/>
      <c r="C2491" s="81"/>
      <c r="D2491" s="81"/>
      <c r="E2491" s="81"/>
      <c r="F2491" s="82" t="str">
        <f aca="false">IF(E2491="","",IF(LEFT(E2491,2)="DJ","DJ","JN"))</f>
        <v/>
      </c>
      <c r="G2491" s="81"/>
      <c r="H2491" s="81"/>
      <c r="I2491" s="81"/>
      <c r="J2491" s="81"/>
      <c r="K2491" s="81"/>
      <c r="L2491" s="81"/>
      <c r="M2491" s="81"/>
      <c r="N2491" s="81"/>
      <c r="O2491" s="81"/>
      <c r="P2491" s="81"/>
      <c r="Q2491" s="81"/>
      <c r="R2491" s="81"/>
      <c r="S2491" s="81"/>
      <c r="T2491" s="81"/>
      <c r="U2491" s="83"/>
      <c r="V2491" s="83"/>
      <c r="W2491" s="81"/>
      <c r="X2491" s="81"/>
      <c r="Y2491" s="83"/>
      <c r="Z2491" s="81"/>
      <c r="AA2491" s="81"/>
      <c r="AB2491" s="81"/>
      <c r="AC2491" s="81"/>
      <c r="AD2491" s="81"/>
      <c r="AE2491" s="83"/>
      <c r="AF2491" s="81"/>
      <c r="AG2491" s="81"/>
      <c r="AH2491" s="81"/>
      <c r="AI2491" s="81"/>
      <c r="AJ2491" s="83"/>
      <c r="AK2491" s="81"/>
      <c r="AL2491" s="81"/>
      <c r="AM2491" s="83"/>
      <c r="AN2491" s="80"/>
      <c r="AO2491" s="82" t="str">
        <f aca="false">IF(E2491="","",(AA2491&lt;&gt;"")+(AG2491&lt;&gt;"")+(AL2491&lt;&gt;""))</f>
        <v/>
      </c>
      <c r="AP2491" s="82" t="str">
        <f aca="false">IF(AL2491&lt;&gt;"",AL2491,IF(AG2491&lt;&gt;"",AG2491,IF(AA2491&lt;&gt;"",AA2491,"")))</f>
        <v/>
      </c>
      <c r="AQ2491" s="84" t="str">
        <f aca="false">IF(E2491="","",IF(U2491="","À SOUDER",IF(X2491="","VT EN ATTENTE",IF(X2491="R","VT REJETÉ – À REPRENDRE",IF(AP2491="","À RADIOGRAPHIER",IF(AP2491="A","ACCEPTÉ",IF(AP2491="NX","NX – RT À REFAIRE",IF(IF(AO2491=1,AD2491,IF(AO2491=2,AI2491,""))="A","RÉPARÉ – À RADIOGRAPHIER",IF(IF(AO2491=1,AD2491,IF(AO2491=2,AI2491,""))="R","VT REJETÉ – À REPRENDRE",IF(OR(AP2491="CO",AP2491="NT"),"COUPE – À RESOUDER","À RÉPARER"))))))))))</f>
        <v/>
      </c>
      <c r="AR2491" s="82" t="str">
        <f aca="false">IF(AND(ISNUMBER(U2491),OR(AQ2491="À RADIOGRAPHIER",AQ2491="RÉPARÉ – À RADIOGRAPHIER",AQ2491="NX – RT À REFAIRE",AQ2491="À RÉPARER",AQ2491="COUPE – À RESOUDER",AQ2491="VT REJETÉ – À REPRENDRE")),MAX(0,'PROGRAMME RT'!$C$4-U2491),"")</f>
        <v/>
      </c>
      <c r="AS2491" s="82" t="n">
        <f aca="false">IF(AND(OR(AQ2491="À RADIOGRAPHIER",AQ2491="RÉPARÉ – À RADIOGRAPHIER",AQ2491="NX – RT À REFAIRE"),OR('PROGRAMME RT'!$D$5="TOUTES",B2491='PROGRAMME RT'!$D$5)),1,0)</f>
        <v>0</v>
      </c>
      <c r="AT2491" s="82" t="str">
        <f aca="false">IF(AS2491=1,SUM(AS$7:AS2491),"")</f>
        <v/>
      </c>
      <c r="AU2491" s="82" t="n">
        <f aca="false">IF(AND(OR(AA2491="R",AA2491="NX",AA2491="NT",AA2491="CO"),OR('JOINTS DE RÉPARATION'!$D$5="TOUTES",B2491='JOINTS DE RÉPARATION'!$D$5),OR('JOINTS DE RÉPARATION'!$L$4="TOUS",AQ2491&lt;&gt;"ACCEPTÉ")),1,0)</f>
        <v>0</v>
      </c>
      <c r="AV2491" s="82" t="str">
        <f aca="false">IF(AU2491=1,SUM(AU$7:AU2491),"")</f>
        <v/>
      </c>
      <c r="AW2491" s="82" t="str">
        <f aca="false">IF(E2491="","",B2491&amp;"|"&amp;E2491)</f>
        <v/>
      </c>
    </row>
    <row r="2492" customFormat="false" ht="15" hidden="false" customHeight="false" outlineLevel="0" collapsed="false">
      <c r="A2492" s="79" t="str">
        <f aca="false">IF(E2492="","",ROW()-6)</f>
        <v/>
      </c>
      <c r="B2492" s="80"/>
      <c r="C2492" s="81"/>
      <c r="D2492" s="81"/>
      <c r="E2492" s="81"/>
      <c r="F2492" s="82" t="str">
        <f aca="false">IF(E2492="","",IF(LEFT(E2492,2)="DJ","DJ","JN"))</f>
        <v/>
      </c>
      <c r="G2492" s="81"/>
      <c r="H2492" s="81"/>
      <c r="I2492" s="81"/>
      <c r="J2492" s="81"/>
      <c r="K2492" s="81"/>
      <c r="L2492" s="81"/>
      <c r="M2492" s="81"/>
      <c r="N2492" s="81"/>
      <c r="O2492" s="81"/>
      <c r="P2492" s="81"/>
      <c r="Q2492" s="81"/>
      <c r="R2492" s="81"/>
      <c r="S2492" s="81"/>
      <c r="T2492" s="81"/>
      <c r="U2492" s="83"/>
      <c r="V2492" s="83"/>
      <c r="W2492" s="81"/>
      <c r="X2492" s="81"/>
      <c r="Y2492" s="83"/>
      <c r="Z2492" s="81"/>
      <c r="AA2492" s="81"/>
      <c r="AB2492" s="81"/>
      <c r="AC2492" s="81"/>
      <c r="AD2492" s="81"/>
      <c r="AE2492" s="83"/>
      <c r="AF2492" s="81"/>
      <c r="AG2492" s="81"/>
      <c r="AH2492" s="81"/>
      <c r="AI2492" s="81"/>
      <c r="AJ2492" s="83"/>
      <c r="AK2492" s="81"/>
      <c r="AL2492" s="81"/>
      <c r="AM2492" s="83"/>
      <c r="AN2492" s="80"/>
      <c r="AO2492" s="82" t="str">
        <f aca="false">IF(E2492="","",(AA2492&lt;&gt;"")+(AG2492&lt;&gt;"")+(AL2492&lt;&gt;""))</f>
        <v/>
      </c>
      <c r="AP2492" s="82" t="str">
        <f aca="false">IF(AL2492&lt;&gt;"",AL2492,IF(AG2492&lt;&gt;"",AG2492,IF(AA2492&lt;&gt;"",AA2492,"")))</f>
        <v/>
      </c>
      <c r="AQ2492" s="84" t="str">
        <f aca="false">IF(E2492="","",IF(U2492="","À SOUDER",IF(X2492="","VT EN ATTENTE",IF(X2492="R","VT REJETÉ – À REPRENDRE",IF(AP2492="","À RADIOGRAPHIER",IF(AP2492="A","ACCEPTÉ",IF(AP2492="NX","NX – RT À REFAIRE",IF(IF(AO2492=1,AD2492,IF(AO2492=2,AI2492,""))="A","RÉPARÉ – À RADIOGRAPHIER",IF(IF(AO2492=1,AD2492,IF(AO2492=2,AI2492,""))="R","VT REJETÉ – À REPRENDRE",IF(OR(AP2492="CO",AP2492="NT"),"COUPE – À RESOUDER","À RÉPARER"))))))))))</f>
        <v/>
      </c>
      <c r="AR2492" s="82" t="str">
        <f aca="false">IF(AND(ISNUMBER(U2492),OR(AQ2492="À RADIOGRAPHIER",AQ2492="RÉPARÉ – À RADIOGRAPHIER",AQ2492="NX – RT À REFAIRE",AQ2492="À RÉPARER",AQ2492="COUPE – À RESOUDER",AQ2492="VT REJETÉ – À REPRENDRE")),MAX(0,'PROGRAMME RT'!$C$4-U2492),"")</f>
        <v/>
      </c>
      <c r="AS2492" s="82" t="n">
        <f aca="false">IF(AND(OR(AQ2492="À RADIOGRAPHIER",AQ2492="RÉPARÉ – À RADIOGRAPHIER",AQ2492="NX – RT À REFAIRE"),OR('PROGRAMME RT'!$D$5="TOUTES",B2492='PROGRAMME RT'!$D$5)),1,0)</f>
        <v>0</v>
      </c>
      <c r="AT2492" s="82" t="str">
        <f aca="false">IF(AS2492=1,SUM(AS$7:AS2492),"")</f>
        <v/>
      </c>
      <c r="AU2492" s="82" t="n">
        <f aca="false">IF(AND(OR(AA2492="R",AA2492="NX",AA2492="NT",AA2492="CO"),OR('JOINTS DE RÉPARATION'!$D$5="TOUTES",B2492='JOINTS DE RÉPARATION'!$D$5),OR('JOINTS DE RÉPARATION'!$L$4="TOUS",AQ2492&lt;&gt;"ACCEPTÉ")),1,0)</f>
        <v>0</v>
      </c>
      <c r="AV2492" s="82" t="str">
        <f aca="false">IF(AU2492=1,SUM(AU$7:AU2492),"")</f>
        <v/>
      </c>
      <c r="AW2492" s="82" t="str">
        <f aca="false">IF(E2492="","",B2492&amp;"|"&amp;E2492)</f>
        <v/>
      </c>
    </row>
    <row r="2493" customFormat="false" ht="15" hidden="false" customHeight="false" outlineLevel="0" collapsed="false">
      <c r="A2493" s="79" t="str">
        <f aca="false">IF(E2493="","",ROW()-6)</f>
        <v/>
      </c>
      <c r="B2493" s="80"/>
      <c r="C2493" s="81"/>
      <c r="D2493" s="81"/>
      <c r="E2493" s="81"/>
      <c r="F2493" s="82" t="str">
        <f aca="false">IF(E2493="","",IF(LEFT(E2493,2)="DJ","DJ","JN"))</f>
        <v/>
      </c>
      <c r="G2493" s="81"/>
      <c r="H2493" s="81"/>
      <c r="I2493" s="81"/>
      <c r="J2493" s="81"/>
      <c r="K2493" s="81"/>
      <c r="L2493" s="81"/>
      <c r="M2493" s="81"/>
      <c r="N2493" s="81"/>
      <c r="O2493" s="81"/>
      <c r="P2493" s="81"/>
      <c r="Q2493" s="81"/>
      <c r="R2493" s="81"/>
      <c r="S2493" s="81"/>
      <c r="T2493" s="81"/>
      <c r="U2493" s="83"/>
      <c r="V2493" s="83"/>
      <c r="W2493" s="81"/>
      <c r="X2493" s="81"/>
      <c r="Y2493" s="83"/>
      <c r="Z2493" s="81"/>
      <c r="AA2493" s="81"/>
      <c r="AB2493" s="81"/>
      <c r="AC2493" s="81"/>
      <c r="AD2493" s="81"/>
      <c r="AE2493" s="83"/>
      <c r="AF2493" s="81"/>
      <c r="AG2493" s="81"/>
      <c r="AH2493" s="81"/>
      <c r="AI2493" s="81"/>
      <c r="AJ2493" s="83"/>
      <c r="AK2493" s="81"/>
      <c r="AL2493" s="81"/>
      <c r="AM2493" s="83"/>
      <c r="AN2493" s="80"/>
      <c r="AO2493" s="82" t="str">
        <f aca="false">IF(E2493="","",(AA2493&lt;&gt;"")+(AG2493&lt;&gt;"")+(AL2493&lt;&gt;""))</f>
        <v/>
      </c>
      <c r="AP2493" s="82" t="str">
        <f aca="false">IF(AL2493&lt;&gt;"",AL2493,IF(AG2493&lt;&gt;"",AG2493,IF(AA2493&lt;&gt;"",AA2493,"")))</f>
        <v/>
      </c>
      <c r="AQ2493" s="84" t="str">
        <f aca="false">IF(E2493="","",IF(U2493="","À SOUDER",IF(X2493="","VT EN ATTENTE",IF(X2493="R","VT REJETÉ – À REPRENDRE",IF(AP2493="","À RADIOGRAPHIER",IF(AP2493="A","ACCEPTÉ",IF(AP2493="NX","NX – RT À REFAIRE",IF(IF(AO2493=1,AD2493,IF(AO2493=2,AI2493,""))="A","RÉPARÉ – À RADIOGRAPHIER",IF(IF(AO2493=1,AD2493,IF(AO2493=2,AI2493,""))="R","VT REJETÉ – À REPRENDRE",IF(OR(AP2493="CO",AP2493="NT"),"COUPE – À RESOUDER","À RÉPARER"))))))))))</f>
        <v/>
      </c>
      <c r="AR2493" s="82" t="str">
        <f aca="false">IF(AND(ISNUMBER(U2493),OR(AQ2493="À RADIOGRAPHIER",AQ2493="RÉPARÉ – À RADIOGRAPHIER",AQ2493="NX – RT À REFAIRE",AQ2493="À RÉPARER",AQ2493="COUPE – À RESOUDER",AQ2493="VT REJETÉ – À REPRENDRE")),MAX(0,'PROGRAMME RT'!$C$4-U2493),"")</f>
        <v/>
      </c>
      <c r="AS2493" s="82" t="n">
        <f aca="false">IF(AND(OR(AQ2493="À RADIOGRAPHIER",AQ2493="RÉPARÉ – À RADIOGRAPHIER",AQ2493="NX – RT À REFAIRE"),OR('PROGRAMME RT'!$D$5="TOUTES",B2493='PROGRAMME RT'!$D$5)),1,0)</f>
        <v>0</v>
      </c>
      <c r="AT2493" s="82" t="str">
        <f aca="false">IF(AS2493=1,SUM(AS$7:AS2493),"")</f>
        <v/>
      </c>
      <c r="AU2493" s="82" t="n">
        <f aca="false">IF(AND(OR(AA2493="R",AA2493="NX",AA2493="NT",AA2493="CO"),OR('JOINTS DE RÉPARATION'!$D$5="TOUTES",B2493='JOINTS DE RÉPARATION'!$D$5),OR('JOINTS DE RÉPARATION'!$L$4="TOUS",AQ2493&lt;&gt;"ACCEPTÉ")),1,0)</f>
        <v>0</v>
      </c>
      <c r="AV2493" s="82" t="str">
        <f aca="false">IF(AU2493=1,SUM(AU$7:AU2493),"")</f>
        <v/>
      </c>
      <c r="AW2493" s="82" t="str">
        <f aca="false">IF(E2493="","",B2493&amp;"|"&amp;E2493)</f>
        <v/>
      </c>
    </row>
    <row r="2494" customFormat="false" ht="15" hidden="false" customHeight="false" outlineLevel="0" collapsed="false">
      <c r="A2494" s="79" t="str">
        <f aca="false">IF(E2494="","",ROW()-6)</f>
        <v/>
      </c>
      <c r="B2494" s="80"/>
      <c r="C2494" s="81"/>
      <c r="D2494" s="81"/>
      <c r="E2494" s="81"/>
      <c r="F2494" s="82" t="str">
        <f aca="false">IF(E2494="","",IF(LEFT(E2494,2)="DJ","DJ","JN"))</f>
        <v/>
      </c>
      <c r="G2494" s="81"/>
      <c r="H2494" s="81"/>
      <c r="I2494" s="81"/>
      <c r="J2494" s="81"/>
      <c r="K2494" s="81"/>
      <c r="L2494" s="81"/>
      <c r="M2494" s="81"/>
      <c r="N2494" s="81"/>
      <c r="O2494" s="81"/>
      <c r="P2494" s="81"/>
      <c r="Q2494" s="81"/>
      <c r="R2494" s="81"/>
      <c r="S2494" s="81"/>
      <c r="T2494" s="81"/>
      <c r="U2494" s="83"/>
      <c r="V2494" s="83"/>
      <c r="W2494" s="81"/>
      <c r="X2494" s="81"/>
      <c r="Y2494" s="83"/>
      <c r="Z2494" s="81"/>
      <c r="AA2494" s="81"/>
      <c r="AB2494" s="81"/>
      <c r="AC2494" s="81"/>
      <c r="AD2494" s="81"/>
      <c r="AE2494" s="83"/>
      <c r="AF2494" s="81"/>
      <c r="AG2494" s="81"/>
      <c r="AH2494" s="81"/>
      <c r="AI2494" s="81"/>
      <c r="AJ2494" s="83"/>
      <c r="AK2494" s="81"/>
      <c r="AL2494" s="81"/>
      <c r="AM2494" s="83"/>
      <c r="AN2494" s="80"/>
      <c r="AO2494" s="82" t="str">
        <f aca="false">IF(E2494="","",(AA2494&lt;&gt;"")+(AG2494&lt;&gt;"")+(AL2494&lt;&gt;""))</f>
        <v/>
      </c>
      <c r="AP2494" s="82" t="str">
        <f aca="false">IF(AL2494&lt;&gt;"",AL2494,IF(AG2494&lt;&gt;"",AG2494,IF(AA2494&lt;&gt;"",AA2494,"")))</f>
        <v/>
      </c>
      <c r="AQ2494" s="84" t="str">
        <f aca="false">IF(E2494="","",IF(U2494="","À SOUDER",IF(X2494="","VT EN ATTENTE",IF(X2494="R","VT REJETÉ – À REPRENDRE",IF(AP2494="","À RADIOGRAPHIER",IF(AP2494="A","ACCEPTÉ",IF(AP2494="NX","NX – RT À REFAIRE",IF(IF(AO2494=1,AD2494,IF(AO2494=2,AI2494,""))="A","RÉPARÉ – À RADIOGRAPHIER",IF(IF(AO2494=1,AD2494,IF(AO2494=2,AI2494,""))="R","VT REJETÉ – À REPRENDRE",IF(OR(AP2494="CO",AP2494="NT"),"COUPE – À RESOUDER","À RÉPARER"))))))))))</f>
        <v/>
      </c>
      <c r="AR2494" s="82" t="str">
        <f aca="false">IF(AND(ISNUMBER(U2494),OR(AQ2494="À RADIOGRAPHIER",AQ2494="RÉPARÉ – À RADIOGRAPHIER",AQ2494="NX – RT À REFAIRE",AQ2494="À RÉPARER",AQ2494="COUPE – À RESOUDER",AQ2494="VT REJETÉ – À REPRENDRE")),MAX(0,'PROGRAMME RT'!$C$4-U2494),"")</f>
        <v/>
      </c>
      <c r="AS2494" s="82" t="n">
        <f aca="false">IF(AND(OR(AQ2494="À RADIOGRAPHIER",AQ2494="RÉPARÉ – À RADIOGRAPHIER",AQ2494="NX – RT À REFAIRE"),OR('PROGRAMME RT'!$D$5="TOUTES",B2494='PROGRAMME RT'!$D$5)),1,0)</f>
        <v>0</v>
      </c>
      <c r="AT2494" s="82" t="str">
        <f aca="false">IF(AS2494=1,SUM(AS$7:AS2494),"")</f>
        <v/>
      </c>
      <c r="AU2494" s="82" t="n">
        <f aca="false">IF(AND(OR(AA2494="R",AA2494="NX",AA2494="NT",AA2494="CO"),OR('JOINTS DE RÉPARATION'!$D$5="TOUTES",B2494='JOINTS DE RÉPARATION'!$D$5),OR('JOINTS DE RÉPARATION'!$L$4="TOUS",AQ2494&lt;&gt;"ACCEPTÉ")),1,0)</f>
        <v>0</v>
      </c>
      <c r="AV2494" s="82" t="str">
        <f aca="false">IF(AU2494=1,SUM(AU$7:AU2494),"")</f>
        <v/>
      </c>
      <c r="AW2494" s="82" t="str">
        <f aca="false">IF(E2494="","",B2494&amp;"|"&amp;E2494)</f>
        <v/>
      </c>
    </row>
    <row r="2495" customFormat="false" ht="15" hidden="false" customHeight="false" outlineLevel="0" collapsed="false">
      <c r="A2495" s="79" t="str">
        <f aca="false">IF(E2495="","",ROW()-6)</f>
        <v/>
      </c>
      <c r="B2495" s="80"/>
      <c r="C2495" s="81"/>
      <c r="D2495" s="81"/>
      <c r="E2495" s="81"/>
      <c r="F2495" s="82" t="str">
        <f aca="false">IF(E2495="","",IF(LEFT(E2495,2)="DJ","DJ","JN"))</f>
        <v/>
      </c>
      <c r="G2495" s="81"/>
      <c r="H2495" s="81"/>
      <c r="I2495" s="81"/>
      <c r="J2495" s="81"/>
      <c r="K2495" s="81"/>
      <c r="L2495" s="81"/>
      <c r="M2495" s="81"/>
      <c r="N2495" s="81"/>
      <c r="O2495" s="81"/>
      <c r="P2495" s="81"/>
      <c r="Q2495" s="81"/>
      <c r="R2495" s="81"/>
      <c r="S2495" s="81"/>
      <c r="T2495" s="81"/>
      <c r="U2495" s="83"/>
      <c r="V2495" s="83"/>
      <c r="W2495" s="81"/>
      <c r="X2495" s="81"/>
      <c r="Y2495" s="83"/>
      <c r="Z2495" s="81"/>
      <c r="AA2495" s="81"/>
      <c r="AB2495" s="81"/>
      <c r="AC2495" s="81"/>
      <c r="AD2495" s="81"/>
      <c r="AE2495" s="83"/>
      <c r="AF2495" s="81"/>
      <c r="AG2495" s="81"/>
      <c r="AH2495" s="81"/>
      <c r="AI2495" s="81"/>
      <c r="AJ2495" s="83"/>
      <c r="AK2495" s="81"/>
      <c r="AL2495" s="81"/>
      <c r="AM2495" s="83"/>
      <c r="AN2495" s="80"/>
      <c r="AO2495" s="82" t="str">
        <f aca="false">IF(E2495="","",(AA2495&lt;&gt;"")+(AG2495&lt;&gt;"")+(AL2495&lt;&gt;""))</f>
        <v/>
      </c>
      <c r="AP2495" s="82" t="str">
        <f aca="false">IF(AL2495&lt;&gt;"",AL2495,IF(AG2495&lt;&gt;"",AG2495,IF(AA2495&lt;&gt;"",AA2495,"")))</f>
        <v/>
      </c>
      <c r="AQ2495" s="84" t="str">
        <f aca="false">IF(E2495="","",IF(U2495="","À SOUDER",IF(X2495="","VT EN ATTENTE",IF(X2495="R","VT REJETÉ – À REPRENDRE",IF(AP2495="","À RADIOGRAPHIER",IF(AP2495="A","ACCEPTÉ",IF(AP2495="NX","NX – RT À REFAIRE",IF(IF(AO2495=1,AD2495,IF(AO2495=2,AI2495,""))="A","RÉPARÉ – À RADIOGRAPHIER",IF(IF(AO2495=1,AD2495,IF(AO2495=2,AI2495,""))="R","VT REJETÉ – À REPRENDRE",IF(OR(AP2495="CO",AP2495="NT"),"COUPE – À RESOUDER","À RÉPARER"))))))))))</f>
        <v/>
      </c>
      <c r="AR2495" s="82" t="str">
        <f aca="false">IF(AND(ISNUMBER(U2495),OR(AQ2495="À RADIOGRAPHIER",AQ2495="RÉPARÉ – À RADIOGRAPHIER",AQ2495="NX – RT À REFAIRE",AQ2495="À RÉPARER",AQ2495="COUPE – À RESOUDER",AQ2495="VT REJETÉ – À REPRENDRE")),MAX(0,'PROGRAMME RT'!$C$4-U2495),"")</f>
        <v/>
      </c>
      <c r="AS2495" s="82" t="n">
        <f aca="false">IF(AND(OR(AQ2495="À RADIOGRAPHIER",AQ2495="RÉPARÉ – À RADIOGRAPHIER",AQ2495="NX – RT À REFAIRE"),OR('PROGRAMME RT'!$D$5="TOUTES",B2495='PROGRAMME RT'!$D$5)),1,0)</f>
        <v>0</v>
      </c>
      <c r="AT2495" s="82" t="str">
        <f aca="false">IF(AS2495=1,SUM(AS$7:AS2495),"")</f>
        <v/>
      </c>
      <c r="AU2495" s="82" t="n">
        <f aca="false">IF(AND(OR(AA2495="R",AA2495="NX",AA2495="NT",AA2495="CO"),OR('JOINTS DE RÉPARATION'!$D$5="TOUTES",B2495='JOINTS DE RÉPARATION'!$D$5),OR('JOINTS DE RÉPARATION'!$L$4="TOUS",AQ2495&lt;&gt;"ACCEPTÉ")),1,0)</f>
        <v>0</v>
      </c>
      <c r="AV2495" s="82" t="str">
        <f aca="false">IF(AU2495=1,SUM(AU$7:AU2495),"")</f>
        <v/>
      </c>
      <c r="AW2495" s="82" t="str">
        <f aca="false">IF(E2495="","",B2495&amp;"|"&amp;E2495)</f>
        <v/>
      </c>
    </row>
    <row r="2496" customFormat="false" ht="15" hidden="false" customHeight="false" outlineLevel="0" collapsed="false">
      <c r="A2496" s="79" t="str">
        <f aca="false">IF(E2496="","",ROW()-6)</f>
        <v/>
      </c>
      <c r="B2496" s="80"/>
      <c r="C2496" s="81"/>
      <c r="D2496" s="81"/>
      <c r="E2496" s="81"/>
      <c r="F2496" s="82" t="str">
        <f aca="false">IF(E2496="","",IF(LEFT(E2496,2)="DJ","DJ","JN"))</f>
        <v/>
      </c>
      <c r="G2496" s="81"/>
      <c r="H2496" s="81"/>
      <c r="I2496" s="81"/>
      <c r="J2496" s="81"/>
      <c r="K2496" s="81"/>
      <c r="L2496" s="81"/>
      <c r="M2496" s="81"/>
      <c r="N2496" s="81"/>
      <c r="O2496" s="81"/>
      <c r="P2496" s="81"/>
      <c r="Q2496" s="81"/>
      <c r="R2496" s="81"/>
      <c r="S2496" s="81"/>
      <c r="T2496" s="81"/>
      <c r="U2496" s="83"/>
      <c r="V2496" s="83"/>
      <c r="W2496" s="81"/>
      <c r="X2496" s="81"/>
      <c r="Y2496" s="83"/>
      <c r="Z2496" s="81"/>
      <c r="AA2496" s="81"/>
      <c r="AB2496" s="81"/>
      <c r="AC2496" s="81"/>
      <c r="AD2496" s="81"/>
      <c r="AE2496" s="83"/>
      <c r="AF2496" s="81"/>
      <c r="AG2496" s="81"/>
      <c r="AH2496" s="81"/>
      <c r="AI2496" s="81"/>
      <c r="AJ2496" s="83"/>
      <c r="AK2496" s="81"/>
      <c r="AL2496" s="81"/>
      <c r="AM2496" s="83"/>
      <c r="AN2496" s="80"/>
      <c r="AO2496" s="82" t="str">
        <f aca="false">IF(E2496="","",(AA2496&lt;&gt;"")+(AG2496&lt;&gt;"")+(AL2496&lt;&gt;""))</f>
        <v/>
      </c>
      <c r="AP2496" s="82" t="str">
        <f aca="false">IF(AL2496&lt;&gt;"",AL2496,IF(AG2496&lt;&gt;"",AG2496,IF(AA2496&lt;&gt;"",AA2496,"")))</f>
        <v/>
      </c>
      <c r="AQ2496" s="84" t="str">
        <f aca="false">IF(E2496="","",IF(U2496="","À SOUDER",IF(X2496="","VT EN ATTENTE",IF(X2496="R","VT REJETÉ – À REPRENDRE",IF(AP2496="","À RADIOGRAPHIER",IF(AP2496="A","ACCEPTÉ",IF(AP2496="NX","NX – RT À REFAIRE",IF(IF(AO2496=1,AD2496,IF(AO2496=2,AI2496,""))="A","RÉPARÉ – À RADIOGRAPHIER",IF(IF(AO2496=1,AD2496,IF(AO2496=2,AI2496,""))="R","VT REJETÉ – À REPRENDRE",IF(OR(AP2496="CO",AP2496="NT"),"COUPE – À RESOUDER","À RÉPARER"))))))))))</f>
        <v/>
      </c>
      <c r="AR2496" s="82" t="str">
        <f aca="false">IF(AND(ISNUMBER(U2496),OR(AQ2496="À RADIOGRAPHIER",AQ2496="RÉPARÉ – À RADIOGRAPHIER",AQ2496="NX – RT À REFAIRE",AQ2496="À RÉPARER",AQ2496="COUPE – À RESOUDER",AQ2496="VT REJETÉ – À REPRENDRE")),MAX(0,'PROGRAMME RT'!$C$4-U2496),"")</f>
        <v/>
      </c>
      <c r="AS2496" s="82" t="n">
        <f aca="false">IF(AND(OR(AQ2496="À RADIOGRAPHIER",AQ2496="RÉPARÉ – À RADIOGRAPHIER",AQ2496="NX – RT À REFAIRE"),OR('PROGRAMME RT'!$D$5="TOUTES",B2496='PROGRAMME RT'!$D$5)),1,0)</f>
        <v>0</v>
      </c>
      <c r="AT2496" s="82" t="str">
        <f aca="false">IF(AS2496=1,SUM(AS$7:AS2496),"")</f>
        <v/>
      </c>
      <c r="AU2496" s="82" t="n">
        <f aca="false">IF(AND(OR(AA2496="R",AA2496="NX",AA2496="NT",AA2496="CO"),OR('JOINTS DE RÉPARATION'!$D$5="TOUTES",B2496='JOINTS DE RÉPARATION'!$D$5),OR('JOINTS DE RÉPARATION'!$L$4="TOUS",AQ2496&lt;&gt;"ACCEPTÉ")),1,0)</f>
        <v>0</v>
      </c>
      <c r="AV2496" s="82" t="str">
        <f aca="false">IF(AU2496=1,SUM(AU$7:AU2496),"")</f>
        <v/>
      </c>
      <c r="AW2496" s="82" t="str">
        <f aca="false">IF(E2496="","",B2496&amp;"|"&amp;E2496)</f>
        <v/>
      </c>
    </row>
    <row r="2497" customFormat="false" ht="15" hidden="false" customHeight="false" outlineLevel="0" collapsed="false">
      <c r="A2497" s="79" t="str">
        <f aca="false">IF(E2497="","",ROW()-6)</f>
        <v/>
      </c>
      <c r="B2497" s="80"/>
      <c r="C2497" s="81"/>
      <c r="D2497" s="81"/>
      <c r="E2497" s="81"/>
      <c r="F2497" s="82" t="str">
        <f aca="false">IF(E2497="","",IF(LEFT(E2497,2)="DJ","DJ","JN"))</f>
        <v/>
      </c>
      <c r="G2497" s="81"/>
      <c r="H2497" s="81"/>
      <c r="I2497" s="81"/>
      <c r="J2497" s="81"/>
      <c r="K2497" s="81"/>
      <c r="L2497" s="81"/>
      <c r="M2497" s="81"/>
      <c r="N2497" s="81"/>
      <c r="O2497" s="81"/>
      <c r="P2497" s="81"/>
      <c r="Q2497" s="81"/>
      <c r="R2497" s="81"/>
      <c r="S2497" s="81"/>
      <c r="T2497" s="81"/>
      <c r="U2497" s="83"/>
      <c r="V2497" s="83"/>
      <c r="W2497" s="81"/>
      <c r="X2497" s="81"/>
      <c r="Y2497" s="83"/>
      <c r="Z2497" s="81"/>
      <c r="AA2497" s="81"/>
      <c r="AB2497" s="81"/>
      <c r="AC2497" s="81"/>
      <c r="AD2497" s="81"/>
      <c r="AE2497" s="83"/>
      <c r="AF2497" s="81"/>
      <c r="AG2497" s="81"/>
      <c r="AH2497" s="81"/>
      <c r="AI2497" s="81"/>
      <c r="AJ2497" s="83"/>
      <c r="AK2497" s="81"/>
      <c r="AL2497" s="81"/>
      <c r="AM2497" s="83"/>
      <c r="AN2497" s="80"/>
      <c r="AO2497" s="82" t="str">
        <f aca="false">IF(E2497="","",(AA2497&lt;&gt;"")+(AG2497&lt;&gt;"")+(AL2497&lt;&gt;""))</f>
        <v/>
      </c>
      <c r="AP2497" s="82" t="str">
        <f aca="false">IF(AL2497&lt;&gt;"",AL2497,IF(AG2497&lt;&gt;"",AG2497,IF(AA2497&lt;&gt;"",AA2497,"")))</f>
        <v/>
      </c>
      <c r="AQ2497" s="84" t="str">
        <f aca="false">IF(E2497="","",IF(U2497="","À SOUDER",IF(X2497="","VT EN ATTENTE",IF(X2497="R","VT REJETÉ – À REPRENDRE",IF(AP2497="","À RADIOGRAPHIER",IF(AP2497="A","ACCEPTÉ",IF(AP2497="NX","NX – RT À REFAIRE",IF(IF(AO2497=1,AD2497,IF(AO2497=2,AI2497,""))="A","RÉPARÉ – À RADIOGRAPHIER",IF(IF(AO2497=1,AD2497,IF(AO2497=2,AI2497,""))="R","VT REJETÉ – À REPRENDRE",IF(OR(AP2497="CO",AP2497="NT"),"COUPE – À RESOUDER","À RÉPARER"))))))))))</f>
        <v/>
      </c>
      <c r="AR2497" s="82" t="str">
        <f aca="false">IF(AND(ISNUMBER(U2497),OR(AQ2497="À RADIOGRAPHIER",AQ2497="RÉPARÉ – À RADIOGRAPHIER",AQ2497="NX – RT À REFAIRE",AQ2497="À RÉPARER",AQ2497="COUPE – À RESOUDER",AQ2497="VT REJETÉ – À REPRENDRE")),MAX(0,'PROGRAMME RT'!$C$4-U2497),"")</f>
        <v/>
      </c>
      <c r="AS2497" s="82" t="n">
        <f aca="false">IF(AND(OR(AQ2497="À RADIOGRAPHIER",AQ2497="RÉPARÉ – À RADIOGRAPHIER",AQ2497="NX – RT À REFAIRE"),OR('PROGRAMME RT'!$D$5="TOUTES",B2497='PROGRAMME RT'!$D$5)),1,0)</f>
        <v>0</v>
      </c>
      <c r="AT2497" s="82" t="str">
        <f aca="false">IF(AS2497=1,SUM(AS$7:AS2497),"")</f>
        <v/>
      </c>
      <c r="AU2497" s="82" t="n">
        <f aca="false">IF(AND(OR(AA2497="R",AA2497="NX",AA2497="NT",AA2497="CO"),OR('JOINTS DE RÉPARATION'!$D$5="TOUTES",B2497='JOINTS DE RÉPARATION'!$D$5),OR('JOINTS DE RÉPARATION'!$L$4="TOUS",AQ2497&lt;&gt;"ACCEPTÉ")),1,0)</f>
        <v>0</v>
      </c>
      <c r="AV2497" s="82" t="str">
        <f aca="false">IF(AU2497=1,SUM(AU$7:AU2497),"")</f>
        <v/>
      </c>
      <c r="AW2497" s="82" t="str">
        <f aca="false">IF(E2497="","",B2497&amp;"|"&amp;E2497)</f>
        <v/>
      </c>
    </row>
    <row r="2498" customFormat="false" ht="15" hidden="false" customHeight="false" outlineLevel="0" collapsed="false">
      <c r="A2498" s="79" t="str">
        <f aca="false">IF(E2498="","",ROW()-6)</f>
        <v/>
      </c>
      <c r="B2498" s="80"/>
      <c r="C2498" s="81"/>
      <c r="D2498" s="81"/>
      <c r="E2498" s="81"/>
      <c r="F2498" s="82" t="str">
        <f aca="false">IF(E2498="","",IF(LEFT(E2498,2)="DJ","DJ","JN"))</f>
        <v/>
      </c>
      <c r="G2498" s="81"/>
      <c r="H2498" s="81"/>
      <c r="I2498" s="81"/>
      <c r="J2498" s="81"/>
      <c r="K2498" s="81"/>
      <c r="L2498" s="81"/>
      <c r="M2498" s="81"/>
      <c r="N2498" s="81"/>
      <c r="O2498" s="81"/>
      <c r="P2498" s="81"/>
      <c r="Q2498" s="81"/>
      <c r="R2498" s="81"/>
      <c r="S2498" s="81"/>
      <c r="T2498" s="81"/>
      <c r="U2498" s="83"/>
      <c r="V2498" s="83"/>
      <c r="W2498" s="81"/>
      <c r="X2498" s="81"/>
      <c r="Y2498" s="83"/>
      <c r="Z2498" s="81"/>
      <c r="AA2498" s="81"/>
      <c r="AB2498" s="81"/>
      <c r="AC2498" s="81"/>
      <c r="AD2498" s="81"/>
      <c r="AE2498" s="83"/>
      <c r="AF2498" s="81"/>
      <c r="AG2498" s="81"/>
      <c r="AH2498" s="81"/>
      <c r="AI2498" s="81"/>
      <c r="AJ2498" s="83"/>
      <c r="AK2498" s="81"/>
      <c r="AL2498" s="81"/>
      <c r="AM2498" s="83"/>
      <c r="AN2498" s="80"/>
      <c r="AO2498" s="82" t="str">
        <f aca="false">IF(E2498="","",(AA2498&lt;&gt;"")+(AG2498&lt;&gt;"")+(AL2498&lt;&gt;""))</f>
        <v/>
      </c>
      <c r="AP2498" s="82" t="str">
        <f aca="false">IF(AL2498&lt;&gt;"",AL2498,IF(AG2498&lt;&gt;"",AG2498,IF(AA2498&lt;&gt;"",AA2498,"")))</f>
        <v/>
      </c>
      <c r="AQ2498" s="84" t="str">
        <f aca="false">IF(E2498="","",IF(U2498="","À SOUDER",IF(X2498="","VT EN ATTENTE",IF(X2498="R","VT REJETÉ – À REPRENDRE",IF(AP2498="","À RADIOGRAPHIER",IF(AP2498="A","ACCEPTÉ",IF(AP2498="NX","NX – RT À REFAIRE",IF(IF(AO2498=1,AD2498,IF(AO2498=2,AI2498,""))="A","RÉPARÉ – À RADIOGRAPHIER",IF(IF(AO2498=1,AD2498,IF(AO2498=2,AI2498,""))="R","VT REJETÉ – À REPRENDRE",IF(OR(AP2498="CO",AP2498="NT"),"COUPE – À RESOUDER","À RÉPARER"))))))))))</f>
        <v/>
      </c>
      <c r="AR2498" s="82" t="str">
        <f aca="false">IF(AND(ISNUMBER(U2498),OR(AQ2498="À RADIOGRAPHIER",AQ2498="RÉPARÉ – À RADIOGRAPHIER",AQ2498="NX – RT À REFAIRE",AQ2498="À RÉPARER",AQ2498="COUPE – À RESOUDER",AQ2498="VT REJETÉ – À REPRENDRE")),MAX(0,'PROGRAMME RT'!$C$4-U2498),"")</f>
        <v/>
      </c>
      <c r="AS2498" s="82" t="n">
        <f aca="false">IF(AND(OR(AQ2498="À RADIOGRAPHIER",AQ2498="RÉPARÉ – À RADIOGRAPHIER",AQ2498="NX – RT À REFAIRE"),OR('PROGRAMME RT'!$D$5="TOUTES",B2498='PROGRAMME RT'!$D$5)),1,0)</f>
        <v>0</v>
      </c>
      <c r="AT2498" s="82" t="str">
        <f aca="false">IF(AS2498=1,SUM(AS$7:AS2498),"")</f>
        <v/>
      </c>
      <c r="AU2498" s="82" t="n">
        <f aca="false">IF(AND(OR(AA2498="R",AA2498="NX",AA2498="NT",AA2498="CO"),OR('JOINTS DE RÉPARATION'!$D$5="TOUTES",B2498='JOINTS DE RÉPARATION'!$D$5),OR('JOINTS DE RÉPARATION'!$L$4="TOUS",AQ2498&lt;&gt;"ACCEPTÉ")),1,0)</f>
        <v>0</v>
      </c>
      <c r="AV2498" s="82" t="str">
        <f aca="false">IF(AU2498=1,SUM(AU$7:AU2498),"")</f>
        <v/>
      </c>
      <c r="AW2498" s="82" t="str">
        <f aca="false">IF(E2498="","",B2498&amp;"|"&amp;E2498)</f>
        <v/>
      </c>
    </row>
    <row r="2499" customFormat="false" ht="15" hidden="false" customHeight="false" outlineLevel="0" collapsed="false">
      <c r="A2499" s="79" t="str">
        <f aca="false">IF(E2499="","",ROW()-6)</f>
        <v/>
      </c>
      <c r="B2499" s="80"/>
      <c r="C2499" s="81"/>
      <c r="D2499" s="81"/>
      <c r="E2499" s="81"/>
      <c r="F2499" s="82" t="str">
        <f aca="false">IF(E2499="","",IF(LEFT(E2499,2)="DJ","DJ","JN"))</f>
        <v/>
      </c>
      <c r="G2499" s="81"/>
      <c r="H2499" s="81"/>
      <c r="I2499" s="81"/>
      <c r="J2499" s="81"/>
      <c r="K2499" s="81"/>
      <c r="L2499" s="81"/>
      <c r="M2499" s="81"/>
      <c r="N2499" s="81"/>
      <c r="O2499" s="81"/>
      <c r="P2499" s="81"/>
      <c r="Q2499" s="81"/>
      <c r="R2499" s="81"/>
      <c r="S2499" s="81"/>
      <c r="T2499" s="81"/>
      <c r="U2499" s="83"/>
      <c r="V2499" s="83"/>
      <c r="W2499" s="81"/>
      <c r="X2499" s="81"/>
      <c r="Y2499" s="83"/>
      <c r="Z2499" s="81"/>
      <c r="AA2499" s="81"/>
      <c r="AB2499" s="81"/>
      <c r="AC2499" s="81"/>
      <c r="AD2499" s="81"/>
      <c r="AE2499" s="83"/>
      <c r="AF2499" s="81"/>
      <c r="AG2499" s="81"/>
      <c r="AH2499" s="81"/>
      <c r="AI2499" s="81"/>
      <c r="AJ2499" s="83"/>
      <c r="AK2499" s="81"/>
      <c r="AL2499" s="81"/>
      <c r="AM2499" s="83"/>
      <c r="AN2499" s="80"/>
      <c r="AO2499" s="82" t="str">
        <f aca="false">IF(E2499="","",(AA2499&lt;&gt;"")+(AG2499&lt;&gt;"")+(AL2499&lt;&gt;""))</f>
        <v/>
      </c>
      <c r="AP2499" s="82" t="str">
        <f aca="false">IF(AL2499&lt;&gt;"",AL2499,IF(AG2499&lt;&gt;"",AG2499,IF(AA2499&lt;&gt;"",AA2499,"")))</f>
        <v/>
      </c>
      <c r="AQ2499" s="84" t="str">
        <f aca="false">IF(E2499="","",IF(U2499="","À SOUDER",IF(X2499="","VT EN ATTENTE",IF(X2499="R","VT REJETÉ – À REPRENDRE",IF(AP2499="","À RADIOGRAPHIER",IF(AP2499="A","ACCEPTÉ",IF(AP2499="NX","NX – RT À REFAIRE",IF(IF(AO2499=1,AD2499,IF(AO2499=2,AI2499,""))="A","RÉPARÉ – À RADIOGRAPHIER",IF(IF(AO2499=1,AD2499,IF(AO2499=2,AI2499,""))="R","VT REJETÉ – À REPRENDRE",IF(OR(AP2499="CO",AP2499="NT"),"COUPE – À RESOUDER","À RÉPARER"))))))))))</f>
        <v/>
      </c>
      <c r="AR2499" s="82" t="str">
        <f aca="false">IF(AND(ISNUMBER(U2499),OR(AQ2499="À RADIOGRAPHIER",AQ2499="RÉPARÉ – À RADIOGRAPHIER",AQ2499="NX – RT À REFAIRE",AQ2499="À RÉPARER",AQ2499="COUPE – À RESOUDER",AQ2499="VT REJETÉ – À REPRENDRE")),MAX(0,'PROGRAMME RT'!$C$4-U2499),"")</f>
        <v/>
      </c>
      <c r="AS2499" s="82" t="n">
        <f aca="false">IF(AND(OR(AQ2499="À RADIOGRAPHIER",AQ2499="RÉPARÉ – À RADIOGRAPHIER",AQ2499="NX – RT À REFAIRE"),OR('PROGRAMME RT'!$D$5="TOUTES",B2499='PROGRAMME RT'!$D$5)),1,0)</f>
        <v>0</v>
      </c>
      <c r="AT2499" s="82" t="str">
        <f aca="false">IF(AS2499=1,SUM(AS$7:AS2499),"")</f>
        <v/>
      </c>
      <c r="AU2499" s="82" t="n">
        <f aca="false">IF(AND(OR(AA2499="R",AA2499="NX",AA2499="NT",AA2499="CO"),OR('JOINTS DE RÉPARATION'!$D$5="TOUTES",B2499='JOINTS DE RÉPARATION'!$D$5),OR('JOINTS DE RÉPARATION'!$L$4="TOUS",AQ2499&lt;&gt;"ACCEPTÉ")),1,0)</f>
        <v>0</v>
      </c>
      <c r="AV2499" s="82" t="str">
        <f aca="false">IF(AU2499=1,SUM(AU$7:AU2499),"")</f>
        <v/>
      </c>
      <c r="AW2499" s="82" t="str">
        <f aca="false">IF(E2499="","",B2499&amp;"|"&amp;E2499)</f>
        <v/>
      </c>
    </row>
    <row r="2500" customFormat="false" ht="15" hidden="false" customHeight="false" outlineLevel="0" collapsed="false">
      <c r="A2500" s="79" t="str">
        <f aca="false">IF(E2500="","",ROW()-6)</f>
        <v/>
      </c>
      <c r="B2500" s="80"/>
      <c r="C2500" s="81"/>
      <c r="D2500" s="81"/>
      <c r="E2500" s="81"/>
      <c r="F2500" s="82" t="str">
        <f aca="false">IF(E2500="","",IF(LEFT(E2500,2)="DJ","DJ","JN"))</f>
        <v/>
      </c>
      <c r="G2500" s="81"/>
      <c r="H2500" s="81"/>
      <c r="I2500" s="81"/>
      <c r="J2500" s="81"/>
      <c r="K2500" s="81"/>
      <c r="L2500" s="81"/>
      <c r="M2500" s="81"/>
      <c r="N2500" s="81"/>
      <c r="O2500" s="81"/>
      <c r="P2500" s="81"/>
      <c r="Q2500" s="81"/>
      <c r="R2500" s="81"/>
      <c r="S2500" s="81"/>
      <c r="T2500" s="81"/>
      <c r="U2500" s="83"/>
      <c r="V2500" s="83"/>
      <c r="W2500" s="81"/>
      <c r="X2500" s="81"/>
      <c r="Y2500" s="83"/>
      <c r="Z2500" s="81"/>
      <c r="AA2500" s="81"/>
      <c r="AB2500" s="81"/>
      <c r="AC2500" s="81"/>
      <c r="AD2500" s="81"/>
      <c r="AE2500" s="83"/>
      <c r="AF2500" s="81"/>
      <c r="AG2500" s="81"/>
      <c r="AH2500" s="81"/>
      <c r="AI2500" s="81"/>
      <c r="AJ2500" s="83"/>
      <c r="AK2500" s="81"/>
      <c r="AL2500" s="81"/>
      <c r="AM2500" s="83"/>
      <c r="AN2500" s="80"/>
      <c r="AO2500" s="82" t="str">
        <f aca="false">IF(E2500="","",(AA2500&lt;&gt;"")+(AG2500&lt;&gt;"")+(AL2500&lt;&gt;""))</f>
        <v/>
      </c>
      <c r="AP2500" s="82" t="str">
        <f aca="false">IF(AL2500&lt;&gt;"",AL2500,IF(AG2500&lt;&gt;"",AG2500,IF(AA2500&lt;&gt;"",AA2500,"")))</f>
        <v/>
      </c>
      <c r="AQ2500" s="84" t="str">
        <f aca="false">IF(E2500="","",IF(U2500="","À SOUDER",IF(X2500="","VT EN ATTENTE",IF(X2500="R","VT REJETÉ – À REPRENDRE",IF(AP2500="","À RADIOGRAPHIER",IF(AP2500="A","ACCEPTÉ",IF(AP2500="NX","NX – RT À REFAIRE",IF(IF(AO2500=1,AD2500,IF(AO2500=2,AI2500,""))="A","RÉPARÉ – À RADIOGRAPHIER",IF(IF(AO2500=1,AD2500,IF(AO2500=2,AI2500,""))="R","VT REJETÉ – À REPRENDRE",IF(OR(AP2500="CO",AP2500="NT"),"COUPE – À RESOUDER","À RÉPARER"))))))))))</f>
        <v/>
      </c>
      <c r="AR2500" s="82" t="str">
        <f aca="false">IF(AND(ISNUMBER(U2500),OR(AQ2500="À RADIOGRAPHIER",AQ2500="RÉPARÉ – À RADIOGRAPHIER",AQ2500="NX – RT À REFAIRE",AQ2500="À RÉPARER",AQ2500="COUPE – À RESOUDER",AQ2500="VT REJETÉ – À REPRENDRE")),MAX(0,'PROGRAMME RT'!$C$4-U2500),"")</f>
        <v/>
      </c>
      <c r="AS2500" s="82" t="n">
        <f aca="false">IF(AND(OR(AQ2500="À RADIOGRAPHIER",AQ2500="RÉPARÉ – À RADIOGRAPHIER",AQ2500="NX – RT À REFAIRE"),OR('PROGRAMME RT'!$D$5="TOUTES",B2500='PROGRAMME RT'!$D$5)),1,0)</f>
        <v>0</v>
      </c>
      <c r="AT2500" s="82" t="str">
        <f aca="false">IF(AS2500=1,SUM(AS$7:AS2500),"")</f>
        <v/>
      </c>
      <c r="AU2500" s="82" t="n">
        <f aca="false">IF(AND(OR(AA2500="R",AA2500="NX",AA2500="NT",AA2500="CO"),OR('JOINTS DE RÉPARATION'!$D$5="TOUTES",B2500='JOINTS DE RÉPARATION'!$D$5),OR('JOINTS DE RÉPARATION'!$L$4="TOUS",AQ2500&lt;&gt;"ACCEPTÉ")),1,0)</f>
        <v>0</v>
      </c>
      <c r="AV2500" s="82" t="str">
        <f aca="false">IF(AU2500=1,SUM(AU$7:AU2500),"")</f>
        <v/>
      </c>
      <c r="AW2500" s="82" t="str">
        <f aca="false">IF(E2500="","",B2500&amp;"|"&amp;E2500)</f>
        <v/>
      </c>
    </row>
    <row r="2501" customFormat="false" ht="15" hidden="false" customHeight="false" outlineLevel="0" collapsed="false">
      <c r="A2501" s="79" t="str">
        <f aca="false">IF(E2501="","",ROW()-6)</f>
        <v/>
      </c>
      <c r="B2501" s="80"/>
      <c r="C2501" s="81"/>
      <c r="D2501" s="81"/>
      <c r="E2501" s="81"/>
      <c r="F2501" s="82" t="str">
        <f aca="false">IF(E2501="","",IF(LEFT(E2501,2)="DJ","DJ","JN"))</f>
        <v/>
      </c>
      <c r="G2501" s="81"/>
      <c r="H2501" s="81"/>
      <c r="I2501" s="81"/>
      <c r="J2501" s="81"/>
      <c r="K2501" s="81"/>
      <c r="L2501" s="81"/>
      <c r="M2501" s="81"/>
      <c r="N2501" s="81"/>
      <c r="O2501" s="81"/>
      <c r="P2501" s="81"/>
      <c r="Q2501" s="81"/>
      <c r="R2501" s="81"/>
      <c r="S2501" s="81"/>
      <c r="T2501" s="81"/>
      <c r="U2501" s="83"/>
      <c r="V2501" s="83"/>
      <c r="W2501" s="81"/>
      <c r="X2501" s="81"/>
      <c r="Y2501" s="83"/>
      <c r="Z2501" s="81"/>
      <c r="AA2501" s="81"/>
      <c r="AB2501" s="81"/>
      <c r="AC2501" s="81"/>
      <c r="AD2501" s="81"/>
      <c r="AE2501" s="83"/>
      <c r="AF2501" s="81"/>
      <c r="AG2501" s="81"/>
      <c r="AH2501" s="81"/>
      <c r="AI2501" s="81"/>
      <c r="AJ2501" s="83"/>
      <c r="AK2501" s="81"/>
      <c r="AL2501" s="81"/>
      <c r="AM2501" s="83"/>
      <c r="AN2501" s="80"/>
      <c r="AO2501" s="82" t="str">
        <f aca="false">IF(E2501="","",(AA2501&lt;&gt;"")+(AG2501&lt;&gt;"")+(AL2501&lt;&gt;""))</f>
        <v/>
      </c>
      <c r="AP2501" s="82" t="str">
        <f aca="false">IF(AL2501&lt;&gt;"",AL2501,IF(AG2501&lt;&gt;"",AG2501,IF(AA2501&lt;&gt;"",AA2501,"")))</f>
        <v/>
      </c>
      <c r="AQ2501" s="84" t="str">
        <f aca="false">IF(E2501="","",IF(U2501="","À SOUDER",IF(X2501="","VT EN ATTENTE",IF(X2501="R","VT REJETÉ – À REPRENDRE",IF(AP2501="","À RADIOGRAPHIER",IF(AP2501="A","ACCEPTÉ",IF(AP2501="NX","NX – RT À REFAIRE",IF(IF(AO2501=1,AD2501,IF(AO2501=2,AI2501,""))="A","RÉPARÉ – À RADIOGRAPHIER",IF(IF(AO2501=1,AD2501,IF(AO2501=2,AI2501,""))="R","VT REJETÉ – À REPRENDRE",IF(OR(AP2501="CO",AP2501="NT"),"COUPE – À RESOUDER","À RÉPARER"))))))))))</f>
        <v/>
      </c>
      <c r="AR2501" s="82" t="str">
        <f aca="false">IF(AND(ISNUMBER(U2501),OR(AQ2501="À RADIOGRAPHIER",AQ2501="RÉPARÉ – À RADIOGRAPHIER",AQ2501="NX – RT À REFAIRE",AQ2501="À RÉPARER",AQ2501="COUPE – À RESOUDER",AQ2501="VT REJETÉ – À REPRENDRE")),MAX(0,'PROGRAMME RT'!$C$4-U2501),"")</f>
        <v/>
      </c>
      <c r="AS2501" s="82" t="n">
        <f aca="false">IF(AND(OR(AQ2501="À RADIOGRAPHIER",AQ2501="RÉPARÉ – À RADIOGRAPHIER",AQ2501="NX – RT À REFAIRE"),OR('PROGRAMME RT'!$D$5="TOUTES",B2501='PROGRAMME RT'!$D$5)),1,0)</f>
        <v>0</v>
      </c>
      <c r="AT2501" s="82" t="str">
        <f aca="false">IF(AS2501=1,SUM(AS$7:AS2501),"")</f>
        <v/>
      </c>
      <c r="AU2501" s="82" t="n">
        <f aca="false">IF(AND(OR(AA2501="R",AA2501="NX",AA2501="NT",AA2501="CO"),OR('JOINTS DE RÉPARATION'!$D$5="TOUTES",B2501='JOINTS DE RÉPARATION'!$D$5),OR('JOINTS DE RÉPARATION'!$L$4="TOUS",AQ2501&lt;&gt;"ACCEPTÉ")),1,0)</f>
        <v>0</v>
      </c>
      <c r="AV2501" s="82" t="str">
        <f aca="false">IF(AU2501=1,SUM(AU$7:AU2501),"")</f>
        <v/>
      </c>
      <c r="AW2501" s="82" t="str">
        <f aca="false">IF(E2501="","",B2501&amp;"|"&amp;E2501)</f>
        <v/>
      </c>
    </row>
    <row r="2502" customFormat="false" ht="15" hidden="false" customHeight="false" outlineLevel="0" collapsed="false">
      <c r="A2502" s="79" t="str">
        <f aca="false">IF(E2502="","",ROW()-6)</f>
        <v/>
      </c>
      <c r="B2502" s="80"/>
      <c r="C2502" s="81"/>
      <c r="D2502" s="81"/>
      <c r="E2502" s="81"/>
      <c r="F2502" s="82" t="str">
        <f aca="false">IF(E2502="","",IF(LEFT(E2502,2)="DJ","DJ","JN"))</f>
        <v/>
      </c>
      <c r="G2502" s="81"/>
      <c r="H2502" s="81"/>
      <c r="I2502" s="81"/>
      <c r="J2502" s="81"/>
      <c r="K2502" s="81"/>
      <c r="L2502" s="81"/>
      <c r="M2502" s="81"/>
      <c r="N2502" s="81"/>
      <c r="O2502" s="81"/>
      <c r="P2502" s="81"/>
      <c r="Q2502" s="81"/>
      <c r="R2502" s="81"/>
      <c r="S2502" s="81"/>
      <c r="T2502" s="81"/>
      <c r="U2502" s="83"/>
      <c r="V2502" s="83"/>
      <c r="W2502" s="81"/>
      <c r="X2502" s="81"/>
      <c r="Y2502" s="83"/>
      <c r="Z2502" s="81"/>
      <c r="AA2502" s="81"/>
      <c r="AB2502" s="81"/>
      <c r="AC2502" s="81"/>
      <c r="AD2502" s="81"/>
      <c r="AE2502" s="83"/>
      <c r="AF2502" s="81"/>
      <c r="AG2502" s="81"/>
      <c r="AH2502" s="81"/>
      <c r="AI2502" s="81"/>
      <c r="AJ2502" s="83"/>
      <c r="AK2502" s="81"/>
      <c r="AL2502" s="81"/>
      <c r="AM2502" s="83"/>
      <c r="AN2502" s="80"/>
      <c r="AO2502" s="82" t="str">
        <f aca="false">IF(E2502="","",(AA2502&lt;&gt;"")+(AG2502&lt;&gt;"")+(AL2502&lt;&gt;""))</f>
        <v/>
      </c>
      <c r="AP2502" s="82" t="str">
        <f aca="false">IF(AL2502&lt;&gt;"",AL2502,IF(AG2502&lt;&gt;"",AG2502,IF(AA2502&lt;&gt;"",AA2502,"")))</f>
        <v/>
      </c>
      <c r="AQ2502" s="84" t="str">
        <f aca="false">IF(E2502="","",IF(U2502="","À SOUDER",IF(X2502="","VT EN ATTENTE",IF(X2502="R","VT REJETÉ – À REPRENDRE",IF(AP2502="","À RADIOGRAPHIER",IF(AP2502="A","ACCEPTÉ",IF(AP2502="NX","NX – RT À REFAIRE",IF(IF(AO2502=1,AD2502,IF(AO2502=2,AI2502,""))="A","RÉPARÉ – À RADIOGRAPHIER",IF(IF(AO2502=1,AD2502,IF(AO2502=2,AI2502,""))="R","VT REJETÉ – À REPRENDRE",IF(OR(AP2502="CO",AP2502="NT"),"COUPE – À RESOUDER","À RÉPARER"))))))))))</f>
        <v/>
      </c>
      <c r="AR2502" s="82" t="str">
        <f aca="false">IF(AND(ISNUMBER(U2502),OR(AQ2502="À RADIOGRAPHIER",AQ2502="RÉPARÉ – À RADIOGRAPHIER",AQ2502="NX – RT À REFAIRE",AQ2502="À RÉPARER",AQ2502="COUPE – À RESOUDER",AQ2502="VT REJETÉ – À REPRENDRE")),MAX(0,'PROGRAMME RT'!$C$4-U2502),"")</f>
        <v/>
      </c>
      <c r="AS2502" s="82" t="n">
        <f aca="false">IF(AND(OR(AQ2502="À RADIOGRAPHIER",AQ2502="RÉPARÉ – À RADIOGRAPHIER",AQ2502="NX – RT À REFAIRE"),OR('PROGRAMME RT'!$D$5="TOUTES",B2502='PROGRAMME RT'!$D$5)),1,0)</f>
        <v>0</v>
      </c>
      <c r="AT2502" s="82" t="str">
        <f aca="false">IF(AS2502=1,SUM(AS$7:AS2502),"")</f>
        <v/>
      </c>
      <c r="AU2502" s="82" t="n">
        <f aca="false">IF(AND(OR(AA2502="R",AA2502="NX",AA2502="NT",AA2502="CO"),OR('JOINTS DE RÉPARATION'!$D$5="TOUTES",B2502='JOINTS DE RÉPARATION'!$D$5),OR('JOINTS DE RÉPARATION'!$L$4="TOUS",AQ2502&lt;&gt;"ACCEPTÉ")),1,0)</f>
        <v>0</v>
      </c>
      <c r="AV2502" s="82" t="str">
        <f aca="false">IF(AU2502=1,SUM(AU$7:AU2502),"")</f>
        <v/>
      </c>
      <c r="AW2502" s="82" t="str">
        <f aca="false">IF(E2502="","",B2502&amp;"|"&amp;E2502)</f>
        <v/>
      </c>
    </row>
    <row r="2503" customFormat="false" ht="15" hidden="false" customHeight="false" outlineLevel="0" collapsed="false">
      <c r="A2503" s="79" t="str">
        <f aca="false">IF(E2503="","",ROW()-6)</f>
        <v/>
      </c>
      <c r="B2503" s="80"/>
      <c r="C2503" s="81"/>
      <c r="D2503" s="81"/>
      <c r="E2503" s="81"/>
      <c r="F2503" s="82" t="str">
        <f aca="false">IF(E2503="","",IF(LEFT(E2503,2)="DJ","DJ","JN"))</f>
        <v/>
      </c>
      <c r="G2503" s="81"/>
      <c r="H2503" s="81"/>
      <c r="I2503" s="81"/>
      <c r="J2503" s="81"/>
      <c r="K2503" s="81"/>
      <c r="L2503" s="81"/>
      <c r="M2503" s="81"/>
      <c r="N2503" s="81"/>
      <c r="O2503" s="81"/>
      <c r="P2503" s="81"/>
      <c r="Q2503" s="81"/>
      <c r="R2503" s="81"/>
      <c r="S2503" s="81"/>
      <c r="T2503" s="81"/>
      <c r="U2503" s="83"/>
      <c r="V2503" s="83"/>
      <c r="W2503" s="81"/>
      <c r="X2503" s="81"/>
      <c r="Y2503" s="83"/>
      <c r="Z2503" s="81"/>
      <c r="AA2503" s="81"/>
      <c r="AB2503" s="81"/>
      <c r="AC2503" s="81"/>
      <c r="AD2503" s="81"/>
      <c r="AE2503" s="83"/>
      <c r="AF2503" s="81"/>
      <c r="AG2503" s="81"/>
      <c r="AH2503" s="81"/>
      <c r="AI2503" s="81"/>
      <c r="AJ2503" s="83"/>
      <c r="AK2503" s="81"/>
      <c r="AL2503" s="81"/>
      <c r="AM2503" s="83"/>
      <c r="AN2503" s="80"/>
      <c r="AO2503" s="82" t="str">
        <f aca="false">IF(E2503="","",(AA2503&lt;&gt;"")+(AG2503&lt;&gt;"")+(AL2503&lt;&gt;""))</f>
        <v/>
      </c>
      <c r="AP2503" s="82" t="str">
        <f aca="false">IF(AL2503&lt;&gt;"",AL2503,IF(AG2503&lt;&gt;"",AG2503,IF(AA2503&lt;&gt;"",AA2503,"")))</f>
        <v/>
      </c>
      <c r="AQ2503" s="84" t="str">
        <f aca="false">IF(E2503="","",IF(U2503="","À SOUDER",IF(X2503="","VT EN ATTENTE",IF(X2503="R","VT REJETÉ – À REPRENDRE",IF(AP2503="","À RADIOGRAPHIER",IF(AP2503="A","ACCEPTÉ",IF(AP2503="NX","NX – RT À REFAIRE",IF(IF(AO2503=1,AD2503,IF(AO2503=2,AI2503,""))="A","RÉPARÉ – À RADIOGRAPHIER",IF(IF(AO2503=1,AD2503,IF(AO2503=2,AI2503,""))="R","VT REJETÉ – À REPRENDRE",IF(OR(AP2503="CO",AP2503="NT"),"COUPE – À RESOUDER","À RÉPARER"))))))))))</f>
        <v/>
      </c>
      <c r="AR2503" s="82" t="str">
        <f aca="false">IF(AND(ISNUMBER(U2503),OR(AQ2503="À RADIOGRAPHIER",AQ2503="RÉPARÉ – À RADIOGRAPHIER",AQ2503="NX – RT À REFAIRE",AQ2503="À RÉPARER",AQ2503="COUPE – À RESOUDER",AQ2503="VT REJETÉ – À REPRENDRE")),MAX(0,'PROGRAMME RT'!$C$4-U2503),"")</f>
        <v/>
      </c>
      <c r="AS2503" s="82" t="n">
        <f aca="false">IF(AND(OR(AQ2503="À RADIOGRAPHIER",AQ2503="RÉPARÉ – À RADIOGRAPHIER",AQ2503="NX – RT À REFAIRE"),OR('PROGRAMME RT'!$D$5="TOUTES",B2503='PROGRAMME RT'!$D$5)),1,0)</f>
        <v>0</v>
      </c>
      <c r="AT2503" s="82" t="str">
        <f aca="false">IF(AS2503=1,SUM(AS$7:AS2503),"")</f>
        <v/>
      </c>
      <c r="AU2503" s="82" t="n">
        <f aca="false">IF(AND(OR(AA2503="R",AA2503="NX",AA2503="NT",AA2503="CO"),OR('JOINTS DE RÉPARATION'!$D$5="TOUTES",B2503='JOINTS DE RÉPARATION'!$D$5),OR('JOINTS DE RÉPARATION'!$L$4="TOUS",AQ2503&lt;&gt;"ACCEPTÉ")),1,0)</f>
        <v>0</v>
      </c>
      <c r="AV2503" s="82" t="str">
        <f aca="false">IF(AU2503=1,SUM(AU$7:AU2503),"")</f>
        <v/>
      </c>
      <c r="AW2503" s="82" t="str">
        <f aca="false">IF(E2503="","",B2503&amp;"|"&amp;E2503)</f>
        <v/>
      </c>
    </row>
    <row r="2504" customFormat="false" ht="15" hidden="false" customHeight="false" outlineLevel="0" collapsed="false">
      <c r="A2504" s="79" t="str">
        <f aca="false">IF(E2504="","",ROW()-6)</f>
        <v/>
      </c>
      <c r="B2504" s="80"/>
      <c r="C2504" s="81"/>
      <c r="D2504" s="81"/>
      <c r="E2504" s="81"/>
      <c r="F2504" s="82" t="str">
        <f aca="false">IF(E2504="","",IF(LEFT(E2504,2)="DJ","DJ","JN"))</f>
        <v/>
      </c>
      <c r="G2504" s="81"/>
      <c r="H2504" s="81"/>
      <c r="I2504" s="81"/>
      <c r="J2504" s="81"/>
      <c r="K2504" s="81"/>
      <c r="L2504" s="81"/>
      <c r="M2504" s="81"/>
      <c r="N2504" s="81"/>
      <c r="O2504" s="81"/>
      <c r="P2504" s="81"/>
      <c r="Q2504" s="81"/>
      <c r="R2504" s="81"/>
      <c r="S2504" s="81"/>
      <c r="T2504" s="81"/>
      <c r="U2504" s="83"/>
      <c r="V2504" s="83"/>
      <c r="W2504" s="81"/>
      <c r="X2504" s="81"/>
      <c r="Y2504" s="83"/>
      <c r="Z2504" s="81"/>
      <c r="AA2504" s="81"/>
      <c r="AB2504" s="81"/>
      <c r="AC2504" s="81"/>
      <c r="AD2504" s="81"/>
      <c r="AE2504" s="83"/>
      <c r="AF2504" s="81"/>
      <c r="AG2504" s="81"/>
      <c r="AH2504" s="81"/>
      <c r="AI2504" s="81"/>
      <c r="AJ2504" s="83"/>
      <c r="AK2504" s="81"/>
      <c r="AL2504" s="81"/>
      <c r="AM2504" s="83"/>
      <c r="AN2504" s="80"/>
      <c r="AO2504" s="82" t="str">
        <f aca="false">IF(E2504="","",(AA2504&lt;&gt;"")+(AG2504&lt;&gt;"")+(AL2504&lt;&gt;""))</f>
        <v/>
      </c>
      <c r="AP2504" s="82" t="str">
        <f aca="false">IF(AL2504&lt;&gt;"",AL2504,IF(AG2504&lt;&gt;"",AG2504,IF(AA2504&lt;&gt;"",AA2504,"")))</f>
        <v/>
      </c>
      <c r="AQ2504" s="84" t="str">
        <f aca="false">IF(E2504="","",IF(U2504="","À SOUDER",IF(X2504="","VT EN ATTENTE",IF(X2504="R","VT REJETÉ – À REPRENDRE",IF(AP2504="","À RADIOGRAPHIER",IF(AP2504="A","ACCEPTÉ",IF(AP2504="NX","NX – RT À REFAIRE",IF(IF(AO2504=1,AD2504,IF(AO2504=2,AI2504,""))="A","RÉPARÉ – À RADIOGRAPHIER",IF(IF(AO2504=1,AD2504,IF(AO2504=2,AI2504,""))="R","VT REJETÉ – À REPRENDRE",IF(OR(AP2504="CO",AP2504="NT"),"COUPE – À RESOUDER","À RÉPARER"))))))))))</f>
        <v/>
      </c>
      <c r="AR2504" s="82" t="str">
        <f aca="false">IF(AND(ISNUMBER(U2504),OR(AQ2504="À RADIOGRAPHIER",AQ2504="RÉPARÉ – À RADIOGRAPHIER",AQ2504="NX – RT À REFAIRE",AQ2504="À RÉPARER",AQ2504="COUPE – À RESOUDER",AQ2504="VT REJETÉ – À REPRENDRE")),MAX(0,'PROGRAMME RT'!$C$4-U2504),"")</f>
        <v/>
      </c>
      <c r="AS2504" s="82" t="n">
        <f aca="false">IF(AND(OR(AQ2504="À RADIOGRAPHIER",AQ2504="RÉPARÉ – À RADIOGRAPHIER",AQ2504="NX – RT À REFAIRE"),OR('PROGRAMME RT'!$D$5="TOUTES",B2504='PROGRAMME RT'!$D$5)),1,0)</f>
        <v>0</v>
      </c>
      <c r="AT2504" s="82" t="str">
        <f aca="false">IF(AS2504=1,SUM(AS$7:AS2504),"")</f>
        <v/>
      </c>
      <c r="AU2504" s="82" t="n">
        <f aca="false">IF(AND(OR(AA2504="R",AA2504="NX",AA2504="NT",AA2504="CO"),OR('JOINTS DE RÉPARATION'!$D$5="TOUTES",B2504='JOINTS DE RÉPARATION'!$D$5),OR('JOINTS DE RÉPARATION'!$L$4="TOUS",AQ2504&lt;&gt;"ACCEPTÉ")),1,0)</f>
        <v>0</v>
      </c>
      <c r="AV2504" s="82" t="str">
        <f aca="false">IF(AU2504=1,SUM(AU$7:AU2504),"")</f>
        <v/>
      </c>
      <c r="AW2504" s="82" t="str">
        <f aca="false">IF(E2504="","",B2504&amp;"|"&amp;E2504)</f>
        <v/>
      </c>
    </row>
    <row r="2505" customFormat="false" ht="15" hidden="false" customHeight="false" outlineLevel="0" collapsed="false">
      <c r="A2505" s="79" t="str">
        <f aca="false">IF(E2505="","",ROW()-6)</f>
        <v/>
      </c>
      <c r="B2505" s="80"/>
      <c r="C2505" s="81"/>
      <c r="D2505" s="81"/>
      <c r="E2505" s="81"/>
      <c r="F2505" s="82" t="str">
        <f aca="false">IF(E2505="","",IF(LEFT(E2505,2)="DJ","DJ","JN"))</f>
        <v/>
      </c>
      <c r="G2505" s="81"/>
      <c r="H2505" s="81"/>
      <c r="I2505" s="81"/>
      <c r="J2505" s="81"/>
      <c r="K2505" s="81"/>
      <c r="L2505" s="81"/>
      <c r="M2505" s="81"/>
      <c r="N2505" s="81"/>
      <c r="O2505" s="81"/>
      <c r="P2505" s="81"/>
      <c r="Q2505" s="81"/>
      <c r="R2505" s="81"/>
      <c r="S2505" s="81"/>
      <c r="T2505" s="81"/>
      <c r="U2505" s="83"/>
      <c r="V2505" s="83"/>
      <c r="W2505" s="81"/>
      <c r="X2505" s="81"/>
      <c r="Y2505" s="83"/>
      <c r="Z2505" s="81"/>
      <c r="AA2505" s="81"/>
      <c r="AB2505" s="81"/>
      <c r="AC2505" s="81"/>
      <c r="AD2505" s="81"/>
      <c r="AE2505" s="83"/>
      <c r="AF2505" s="81"/>
      <c r="AG2505" s="81"/>
      <c r="AH2505" s="81"/>
      <c r="AI2505" s="81"/>
      <c r="AJ2505" s="83"/>
      <c r="AK2505" s="81"/>
      <c r="AL2505" s="81"/>
      <c r="AM2505" s="83"/>
      <c r="AN2505" s="80"/>
      <c r="AO2505" s="82" t="str">
        <f aca="false">IF(E2505="","",(AA2505&lt;&gt;"")+(AG2505&lt;&gt;"")+(AL2505&lt;&gt;""))</f>
        <v/>
      </c>
      <c r="AP2505" s="82" t="str">
        <f aca="false">IF(AL2505&lt;&gt;"",AL2505,IF(AG2505&lt;&gt;"",AG2505,IF(AA2505&lt;&gt;"",AA2505,"")))</f>
        <v/>
      </c>
      <c r="AQ2505" s="84" t="str">
        <f aca="false">IF(E2505="","",IF(U2505="","À SOUDER",IF(X2505="","VT EN ATTENTE",IF(X2505="R","VT REJETÉ – À REPRENDRE",IF(AP2505="","À RADIOGRAPHIER",IF(AP2505="A","ACCEPTÉ",IF(AP2505="NX","NX – RT À REFAIRE",IF(IF(AO2505=1,AD2505,IF(AO2505=2,AI2505,""))="A","RÉPARÉ – À RADIOGRAPHIER",IF(IF(AO2505=1,AD2505,IF(AO2505=2,AI2505,""))="R","VT REJETÉ – À REPRENDRE",IF(OR(AP2505="CO",AP2505="NT"),"COUPE – À RESOUDER","À RÉPARER"))))))))))</f>
        <v/>
      </c>
      <c r="AR2505" s="82" t="str">
        <f aca="false">IF(AND(ISNUMBER(U2505),OR(AQ2505="À RADIOGRAPHIER",AQ2505="RÉPARÉ – À RADIOGRAPHIER",AQ2505="NX – RT À REFAIRE",AQ2505="À RÉPARER",AQ2505="COUPE – À RESOUDER",AQ2505="VT REJETÉ – À REPRENDRE")),MAX(0,'PROGRAMME RT'!$C$4-U2505),"")</f>
        <v/>
      </c>
      <c r="AS2505" s="82" t="n">
        <f aca="false">IF(AND(OR(AQ2505="À RADIOGRAPHIER",AQ2505="RÉPARÉ – À RADIOGRAPHIER",AQ2505="NX – RT À REFAIRE"),OR('PROGRAMME RT'!$D$5="TOUTES",B2505='PROGRAMME RT'!$D$5)),1,0)</f>
        <v>0</v>
      </c>
      <c r="AT2505" s="82" t="str">
        <f aca="false">IF(AS2505=1,SUM(AS$7:AS2505),"")</f>
        <v/>
      </c>
      <c r="AU2505" s="82" t="n">
        <f aca="false">IF(AND(OR(AA2505="R",AA2505="NX",AA2505="NT",AA2505="CO"),OR('JOINTS DE RÉPARATION'!$D$5="TOUTES",B2505='JOINTS DE RÉPARATION'!$D$5),OR('JOINTS DE RÉPARATION'!$L$4="TOUS",AQ2505&lt;&gt;"ACCEPTÉ")),1,0)</f>
        <v>0</v>
      </c>
      <c r="AV2505" s="82" t="str">
        <f aca="false">IF(AU2505=1,SUM(AU$7:AU2505),"")</f>
        <v/>
      </c>
      <c r="AW2505" s="82" t="str">
        <f aca="false">IF(E2505="","",B2505&amp;"|"&amp;E2505)</f>
        <v/>
      </c>
    </row>
    <row r="2506" customFormat="false" ht="15" hidden="false" customHeight="false" outlineLevel="0" collapsed="false">
      <c r="A2506" s="79" t="str">
        <f aca="false">IF(E2506="","",ROW()-6)</f>
        <v/>
      </c>
      <c r="B2506" s="80"/>
      <c r="C2506" s="81"/>
      <c r="D2506" s="81"/>
      <c r="E2506" s="81"/>
      <c r="F2506" s="82" t="str">
        <f aca="false">IF(E2506="","",IF(LEFT(E2506,2)="DJ","DJ","JN"))</f>
        <v/>
      </c>
      <c r="G2506" s="81"/>
      <c r="H2506" s="81"/>
      <c r="I2506" s="81"/>
      <c r="J2506" s="81"/>
      <c r="K2506" s="81"/>
      <c r="L2506" s="81"/>
      <c r="M2506" s="81"/>
      <c r="N2506" s="81"/>
      <c r="O2506" s="81"/>
      <c r="P2506" s="81"/>
      <c r="Q2506" s="81"/>
      <c r="R2506" s="81"/>
      <c r="S2506" s="81"/>
      <c r="T2506" s="81"/>
      <c r="U2506" s="83"/>
      <c r="V2506" s="83"/>
      <c r="W2506" s="81"/>
      <c r="X2506" s="81"/>
      <c r="Y2506" s="83"/>
      <c r="Z2506" s="81"/>
      <c r="AA2506" s="81"/>
      <c r="AB2506" s="81"/>
      <c r="AC2506" s="81"/>
      <c r="AD2506" s="81"/>
      <c r="AE2506" s="83"/>
      <c r="AF2506" s="81"/>
      <c r="AG2506" s="81"/>
      <c r="AH2506" s="81"/>
      <c r="AI2506" s="81"/>
      <c r="AJ2506" s="83"/>
      <c r="AK2506" s="81"/>
      <c r="AL2506" s="81"/>
      <c r="AM2506" s="83"/>
      <c r="AN2506" s="80"/>
      <c r="AO2506" s="82" t="str">
        <f aca="false">IF(E2506="","",(AA2506&lt;&gt;"")+(AG2506&lt;&gt;"")+(AL2506&lt;&gt;""))</f>
        <v/>
      </c>
      <c r="AP2506" s="82" t="str">
        <f aca="false">IF(AL2506&lt;&gt;"",AL2506,IF(AG2506&lt;&gt;"",AG2506,IF(AA2506&lt;&gt;"",AA2506,"")))</f>
        <v/>
      </c>
      <c r="AQ2506" s="84" t="str">
        <f aca="false">IF(E2506="","",IF(U2506="","À SOUDER",IF(X2506="","VT EN ATTENTE",IF(X2506="R","VT REJETÉ – À REPRENDRE",IF(AP2506="","À RADIOGRAPHIER",IF(AP2506="A","ACCEPTÉ",IF(AP2506="NX","NX – RT À REFAIRE",IF(IF(AO2506=1,AD2506,IF(AO2506=2,AI2506,""))="A","RÉPARÉ – À RADIOGRAPHIER",IF(IF(AO2506=1,AD2506,IF(AO2506=2,AI2506,""))="R","VT REJETÉ – À REPRENDRE",IF(OR(AP2506="CO",AP2506="NT"),"COUPE – À RESOUDER","À RÉPARER"))))))))))</f>
        <v/>
      </c>
      <c r="AR2506" s="82" t="str">
        <f aca="false">IF(AND(ISNUMBER(U2506),OR(AQ2506="À RADIOGRAPHIER",AQ2506="RÉPARÉ – À RADIOGRAPHIER",AQ2506="NX – RT À REFAIRE",AQ2506="À RÉPARER",AQ2506="COUPE – À RESOUDER",AQ2506="VT REJETÉ – À REPRENDRE")),MAX(0,'PROGRAMME RT'!$C$4-U2506),"")</f>
        <v/>
      </c>
      <c r="AS2506" s="82" t="n">
        <f aca="false">IF(AND(OR(AQ2506="À RADIOGRAPHIER",AQ2506="RÉPARÉ – À RADIOGRAPHIER",AQ2506="NX – RT À REFAIRE"),OR('PROGRAMME RT'!$D$5="TOUTES",B2506='PROGRAMME RT'!$D$5)),1,0)</f>
        <v>0</v>
      </c>
      <c r="AT2506" s="82" t="str">
        <f aca="false">IF(AS2506=1,SUM(AS$7:AS2506),"")</f>
        <v/>
      </c>
      <c r="AU2506" s="82" t="n">
        <f aca="false">IF(AND(OR(AA2506="R",AA2506="NX",AA2506="NT",AA2506="CO"),OR('JOINTS DE RÉPARATION'!$D$5="TOUTES",B2506='JOINTS DE RÉPARATION'!$D$5),OR('JOINTS DE RÉPARATION'!$L$4="TOUS",AQ2506&lt;&gt;"ACCEPTÉ")),1,0)</f>
        <v>0</v>
      </c>
      <c r="AV2506" s="82" t="str">
        <f aca="false">IF(AU2506=1,SUM(AU$7:AU2506),"")</f>
        <v/>
      </c>
      <c r="AW2506" s="82" t="str">
        <f aca="false">IF(E2506="","",B2506&amp;"|"&amp;E2506)</f>
        <v/>
      </c>
    </row>
    <row r="2507" customFormat="false" ht="15" hidden="false" customHeight="false" outlineLevel="0" collapsed="false">
      <c r="A2507" s="79" t="str">
        <f aca="false">IF(E2507="","",ROW()-6)</f>
        <v/>
      </c>
      <c r="B2507" s="80"/>
      <c r="C2507" s="81"/>
      <c r="D2507" s="81"/>
      <c r="E2507" s="81"/>
      <c r="F2507" s="82" t="str">
        <f aca="false">IF(E2507="","",IF(LEFT(E2507,2)="DJ","DJ","JN"))</f>
        <v/>
      </c>
      <c r="G2507" s="81"/>
      <c r="H2507" s="81"/>
      <c r="I2507" s="81"/>
      <c r="J2507" s="81"/>
      <c r="K2507" s="81"/>
      <c r="L2507" s="81"/>
      <c r="M2507" s="81"/>
      <c r="N2507" s="81"/>
      <c r="O2507" s="81"/>
      <c r="P2507" s="81"/>
      <c r="Q2507" s="81"/>
      <c r="R2507" s="81"/>
      <c r="S2507" s="81"/>
      <c r="T2507" s="81"/>
      <c r="U2507" s="83"/>
      <c r="V2507" s="83"/>
      <c r="W2507" s="81"/>
      <c r="X2507" s="81"/>
      <c r="Y2507" s="83"/>
      <c r="Z2507" s="81"/>
      <c r="AA2507" s="81"/>
      <c r="AB2507" s="81"/>
      <c r="AC2507" s="81"/>
      <c r="AD2507" s="81"/>
      <c r="AE2507" s="83"/>
      <c r="AF2507" s="81"/>
      <c r="AG2507" s="81"/>
      <c r="AH2507" s="81"/>
      <c r="AI2507" s="81"/>
      <c r="AJ2507" s="83"/>
      <c r="AK2507" s="81"/>
      <c r="AL2507" s="81"/>
      <c r="AM2507" s="83"/>
      <c r="AN2507" s="80"/>
      <c r="AO2507" s="82" t="str">
        <f aca="false">IF(E2507="","",(AA2507&lt;&gt;"")+(AG2507&lt;&gt;"")+(AL2507&lt;&gt;""))</f>
        <v/>
      </c>
      <c r="AP2507" s="82" t="str">
        <f aca="false">IF(AL2507&lt;&gt;"",AL2507,IF(AG2507&lt;&gt;"",AG2507,IF(AA2507&lt;&gt;"",AA2507,"")))</f>
        <v/>
      </c>
      <c r="AQ2507" s="84" t="str">
        <f aca="false">IF(E2507="","",IF(U2507="","À SOUDER",IF(X2507="","VT EN ATTENTE",IF(X2507="R","VT REJETÉ – À REPRENDRE",IF(AP2507="","À RADIOGRAPHIER",IF(AP2507="A","ACCEPTÉ",IF(AP2507="NX","NX – RT À REFAIRE",IF(IF(AO2507=1,AD2507,IF(AO2507=2,AI2507,""))="A","RÉPARÉ – À RADIOGRAPHIER",IF(IF(AO2507=1,AD2507,IF(AO2507=2,AI2507,""))="R","VT REJETÉ – À REPRENDRE",IF(OR(AP2507="CO",AP2507="NT"),"COUPE – À RESOUDER","À RÉPARER"))))))))))</f>
        <v/>
      </c>
      <c r="AR2507" s="82" t="str">
        <f aca="false">IF(AND(ISNUMBER(U2507),OR(AQ2507="À RADIOGRAPHIER",AQ2507="RÉPARÉ – À RADIOGRAPHIER",AQ2507="NX – RT À REFAIRE",AQ2507="À RÉPARER",AQ2507="COUPE – À RESOUDER",AQ2507="VT REJETÉ – À REPRENDRE")),MAX(0,'PROGRAMME RT'!$C$4-U2507),"")</f>
        <v/>
      </c>
      <c r="AS2507" s="82" t="n">
        <f aca="false">IF(AND(OR(AQ2507="À RADIOGRAPHIER",AQ2507="RÉPARÉ – À RADIOGRAPHIER",AQ2507="NX – RT À REFAIRE"),OR('PROGRAMME RT'!$D$5="TOUTES",B2507='PROGRAMME RT'!$D$5)),1,0)</f>
        <v>0</v>
      </c>
      <c r="AT2507" s="82" t="str">
        <f aca="false">IF(AS2507=1,SUM(AS$7:AS2507),"")</f>
        <v/>
      </c>
      <c r="AU2507" s="82" t="n">
        <f aca="false">IF(AND(OR(AA2507="R",AA2507="NX",AA2507="NT",AA2507="CO"),OR('JOINTS DE RÉPARATION'!$D$5="TOUTES",B2507='JOINTS DE RÉPARATION'!$D$5),OR('JOINTS DE RÉPARATION'!$L$4="TOUS",AQ2507&lt;&gt;"ACCEPTÉ")),1,0)</f>
        <v>0</v>
      </c>
      <c r="AV2507" s="82" t="str">
        <f aca="false">IF(AU2507=1,SUM(AU$7:AU2507),"")</f>
        <v/>
      </c>
      <c r="AW2507" s="82" t="str">
        <f aca="false">IF(E2507="","",B2507&amp;"|"&amp;E2507)</f>
        <v/>
      </c>
    </row>
    <row r="2508" customFormat="false" ht="15" hidden="false" customHeight="false" outlineLevel="0" collapsed="false">
      <c r="A2508" s="79" t="str">
        <f aca="false">IF(E2508="","",ROW()-6)</f>
        <v/>
      </c>
      <c r="B2508" s="80"/>
      <c r="C2508" s="81"/>
      <c r="D2508" s="81"/>
      <c r="E2508" s="81"/>
      <c r="F2508" s="82" t="str">
        <f aca="false">IF(E2508="","",IF(LEFT(E2508,2)="DJ","DJ","JN"))</f>
        <v/>
      </c>
      <c r="G2508" s="81"/>
      <c r="H2508" s="81"/>
      <c r="I2508" s="81"/>
      <c r="J2508" s="81"/>
      <c r="K2508" s="81"/>
      <c r="L2508" s="81"/>
      <c r="M2508" s="81"/>
      <c r="N2508" s="81"/>
      <c r="O2508" s="81"/>
      <c r="P2508" s="81"/>
      <c r="Q2508" s="81"/>
      <c r="R2508" s="81"/>
      <c r="S2508" s="81"/>
      <c r="T2508" s="81"/>
      <c r="U2508" s="83"/>
      <c r="V2508" s="83"/>
      <c r="W2508" s="81"/>
      <c r="X2508" s="81"/>
      <c r="Y2508" s="83"/>
      <c r="Z2508" s="81"/>
      <c r="AA2508" s="81"/>
      <c r="AB2508" s="81"/>
      <c r="AC2508" s="81"/>
      <c r="AD2508" s="81"/>
      <c r="AE2508" s="83"/>
      <c r="AF2508" s="81"/>
      <c r="AG2508" s="81"/>
      <c r="AH2508" s="81"/>
      <c r="AI2508" s="81"/>
      <c r="AJ2508" s="83"/>
      <c r="AK2508" s="81"/>
      <c r="AL2508" s="81"/>
      <c r="AM2508" s="83"/>
      <c r="AN2508" s="80"/>
      <c r="AO2508" s="82" t="str">
        <f aca="false">IF(E2508="","",(AA2508&lt;&gt;"")+(AG2508&lt;&gt;"")+(AL2508&lt;&gt;""))</f>
        <v/>
      </c>
      <c r="AP2508" s="82" t="str">
        <f aca="false">IF(AL2508&lt;&gt;"",AL2508,IF(AG2508&lt;&gt;"",AG2508,IF(AA2508&lt;&gt;"",AA2508,"")))</f>
        <v/>
      </c>
      <c r="AQ2508" s="84" t="str">
        <f aca="false">IF(E2508="","",IF(U2508="","À SOUDER",IF(X2508="","VT EN ATTENTE",IF(X2508="R","VT REJETÉ – À REPRENDRE",IF(AP2508="","À RADIOGRAPHIER",IF(AP2508="A","ACCEPTÉ",IF(AP2508="NX","NX – RT À REFAIRE",IF(IF(AO2508=1,AD2508,IF(AO2508=2,AI2508,""))="A","RÉPARÉ – À RADIOGRAPHIER",IF(IF(AO2508=1,AD2508,IF(AO2508=2,AI2508,""))="R","VT REJETÉ – À REPRENDRE",IF(OR(AP2508="CO",AP2508="NT"),"COUPE – À RESOUDER","À RÉPARER"))))))))))</f>
        <v/>
      </c>
      <c r="AR2508" s="82" t="str">
        <f aca="false">IF(AND(ISNUMBER(U2508),OR(AQ2508="À RADIOGRAPHIER",AQ2508="RÉPARÉ – À RADIOGRAPHIER",AQ2508="NX – RT À REFAIRE",AQ2508="À RÉPARER",AQ2508="COUPE – À RESOUDER",AQ2508="VT REJETÉ – À REPRENDRE")),MAX(0,'PROGRAMME RT'!$C$4-U2508),"")</f>
        <v/>
      </c>
      <c r="AS2508" s="82" t="n">
        <f aca="false">IF(AND(OR(AQ2508="À RADIOGRAPHIER",AQ2508="RÉPARÉ – À RADIOGRAPHIER",AQ2508="NX – RT À REFAIRE"),OR('PROGRAMME RT'!$D$5="TOUTES",B2508='PROGRAMME RT'!$D$5)),1,0)</f>
        <v>0</v>
      </c>
      <c r="AT2508" s="82" t="str">
        <f aca="false">IF(AS2508=1,SUM(AS$7:AS2508),"")</f>
        <v/>
      </c>
      <c r="AU2508" s="82" t="n">
        <f aca="false">IF(AND(OR(AA2508="R",AA2508="NX",AA2508="NT",AA2508="CO"),OR('JOINTS DE RÉPARATION'!$D$5="TOUTES",B2508='JOINTS DE RÉPARATION'!$D$5),OR('JOINTS DE RÉPARATION'!$L$4="TOUS",AQ2508&lt;&gt;"ACCEPTÉ")),1,0)</f>
        <v>0</v>
      </c>
      <c r="AV2508" s="82" t="str">
        <f aca="false">IF(AU2508=1,SUM(AU$7:AU2508),"")</f>
        <v/>
      </c>
      <c r="AW2508" s="82" t="str">
        <f aca="false">IF(E2508="","",B2508&amp;"|"&amp;E2508)</f>
        <v/>
      </c>
    </row>
    <row r="2509" customFormat="false" ht="15" hidden="false" customHeight="false" outlineLevel="0" collapsed="false">
      <c r="A2509" s="79" t="str">
        <f aca="false">IF(E2509="","",ROW()-6)</f>
        <v/>
      </c>
      <c r="B2509" s="80"/>
      <c r="C2509" s="81"/>
      <c r="D2509" s="81"/>
      <c r="E2509" s="81"/>
      <c r="F2509" s="82" t="str">
        <f aca="false">IF(E2509="","",IF(LEFT(E2509,2)="DJ","DJ","JN"))</f>
        <v/>
      </c>
      <c r="G2509" s="81"/>
      <c r="H2509" s="81"/>
      <c r="I2509" s="81"/>
      <c r="J2509" s="81"/>
      <c r="K2509" s="81"/>
      <c r="L2509" s="81"/>
      <c r="M2509" s="81"/>
      <c r="N2509" s="81"/>
      <c r="O2509" s="81"/>
      <c r="P2509" s="81"/>
      <c r="Q2509" s="81"/>
      <c r="R2509" s="81"/>
      <c r="S2509" s="81"/>
      <c r="T2509" s="81"/>
      <c r="U2509" s="83"/>
      <c r="V2509" s="83"/>
      <c r="W2509" s="81"/>
      <c r="X2509" s="81"/>
      <c r="Y2509" s="83"/>
      <c r="Z2509" s="81"/>
      <c r="AA2509" s="81"/>
      <c r="AB2509" s="81"/>
      <c r="AC2509" s="81"/>
      <c r="AD2509" s="81"/>
      <c r="AE2509" s="83"/>
      <c r="AF2509" s="81"/>
      <c r="AG2509" s="81"/>
      <c r="AH2509" s="81"/>
      <c r="AI2509" s="81"/>
      <c r="AJ2509" s="83"/>
      <c r="AK2509" s="81"/>
      <c r="AL2509" s="81"/>
      <c r="AM2509" s="83"/>
      <c r="AN2509" s="80"/>
      <c r="AO2509" s="82" t="str">
        <f aca="false">IF(E2509="","",(AA2509&lt;&gt;"")+(AG2509&lt;&gt;"")+(AL2509&lt;&gt;""))</f>
        <v/>
      </c>
      <c r="AP2509" s="82" t="str">
        <f aca="false">IF(AL2509&lt;&gt;"",AL2509,IF(AG2509&lt;&gt;"",AG2509,IF(AA2509&lt;&gt;"",AA2509,"")))</f>
        <v/>
      </c>
      <c r="AQ2509" s="84" t="str">
        <f aca="false">IF(E2509="","",IF(U2509="","À SOUDER",IF(X2509="","VT EN ATTENTE",IF(X2509="R","VT REJETÉ – À REPRENDRE",IF(AP2509="","À RADIOGRAPHIER",IF(AP2509="A","ACCEPTÉ",IF(AP2509="NX","NX – RT À REFAIRE",IF(IF(AO2509=1,AD2509,IF(AO2509=2,AI2509,""))="A","RÉPARÉ – À RADIOGRAPHIER",IF(IF(AO2509=1,AD2509,IF(AO2509=2,AI2509,""))="R","VT REJETÉ – À REPRENDRE",IF(OR(AP2509="CO",AP2509="NT"),"COUPE – À RESOUDER","À RÉPARER"))))))))))</f>
        <v/>
      </c>
      <c r="AR2509" s="82" t="str">
        <f aca="false">IF(AND(ISNUMBER(U2509),OR(AQ2509="À RADIOGRAPHIER",AQ2509="RÉPARÉ – À RADIOGRAPHIER",AQ2509="NX – RT À REFAIRE",AQ2509="À RÉPARER",AQ2509="COUPE – À RESOUDER",AQ2509="VT REJETÉ – À REPRENDRE")),MAX(0,'PROGRAMME RT'!$C$4-U2509),"")</f>
        <v/>
      </c>
      <c r="AS2509" s="82" t="n">
        <f aca="false">IF(AND(OR(AQ2509="À RADIOGRAPHIER",AQ2509="RÉPARÉ – À RADIOGRAPHIER",AQ2509="NX – RT À REFAIRE"),OR('PROGRAMME RT'!$D$5="TOUTES",B2509='PROGRAMME RT'!$D$5)),1,0)</f>
        <v>0</v>
      </c>
      <c r="AT2509" s="82" t="str">
        <f aca="false">IF(AS2509=1,SUM(AS$7:AS2509),"")</f>
        <v/>
      </c>
      <c r="AU2509" s="82" t="n">
        <f aca="false">IF(AND(OR(AA2509="R",AA2509="NX",AA2509="NT",AA2509="CO"),OR('JOINTS DE RÉPARATION'!$D$5="TOUTES",B2509='JOINTS DE RÉPARATION'!$D$5),OR('JOINTS DE RÉPARATION'!$L$4="TOUS",AQ2509&lt;&gt;"ACCEPTÉ")),1,0)</f>
        <v>0</v>
      </c>
      <c r="AV2509" s="82" t="str">
        <f aca="false">IF(AU2509=1,SUM(AU$7:AU2509),"")</f>
        <v/>
      </c>
      <c r="AW2509" s="82" t="str">
        <f aca="false">IF(E2509="","",B2509&amp;"|"&amp;E2509)</f>
        <v/>
      </c>
    </row>
    <row r="2510" customFormat="false" ht="15" hidden="false" customHeight="false" outlineLevel="0" collapsed="false">
      <c r="A2510" s="79" t="str">
        <f aca="false">IF(E2510="","",ROW()-6)</f>
        <v/>
      </c>
      <c r="B2510" s="80"/>
      <c r="C2510" s="81"/>
      <c r="D2510" s="81"/>
      <c r="E2510" s="81"/>
      <c r="F2510" s="82" t="str">
        <f aca="false">IF(E2510="","",IF(LEFT(E2510,2)="DJ","DJ","JN"))</f>
        <v/>
      </c>
      <c r="G2510" s="81"/>
      <c r="H2510" s="81"/>
      <c r="I2510" s="81"/>
      <c r="J2510" s="81"/>
      <c r="K2510" s="81"/>
      <c r="L2510" s="81"/>
      <c r="M2510" s="81"/>
      <c r="N2510" s="81"/>
      <c r="O2510" s="81"/>
      <c r="P2510" s="81"/>
      <c r="Q2510" s="81"/>
      <c r="R2510" s="81"/>
      <c r="S2510" s="81"/>
      <c r="T2510" s="81"/>
      <c r="U2510" s="83"/>
      <c r="V2510" s="83"/>
      <c r="W2510" s="81"/>
      <c r="X2510" s="81"/>
      <c r="Y2510" s="83"/>
      <c r="Z2510" s="81"/>
      <c r="AA2510" s="81"/>
      <c r="AB2510" s="81"/>
      <c r="AC2510" s="81"/>
      <c r="AD2510" s="81"/>
      <c r="AE2510" s="83"/>
      <c r="AF2510" s="81"/>
      <c r="AG2510" s="81"/>
      <c r="AH2510" s="81"/>
      <c r="AI2510" s="81"/>
      <c r="AJ2510" s="83"/>
      <c r="AK2510" s="81"/>
      <c r="AL2510" s="81"/>
      <c r="AM2510" s="83"/>
      <c r="AN2510" s="80"/>
      <c r="AO2510" s="82" t="str">
        <f aca="false">IF(E2510="","",(AA2510&lt;&gt;"")+(AG2510&lt;&gt;"")+(AL2510&lt;&gt;""))</f>
        <v/>
      </c>
      <c r="AP2510" s="82" t="str">
        <f aca="false">IF(AL2510&lt;&gt;"",AL2510,IF(AG2510&lt;&gt;"",AG2510,IF(AA2510&lt;&gt;"",AA2510,"")))</f>
        <v/>
      </c>
      <c r="AQ2510" s="84" t="str">
        <f aca="false">IF(E2510="","",IF(U2510="","À SOUDER",IF(X2510="","VT EN ATTENTE",IF(X2510="R","VT REJETÉ – À REPRENDRE",IF(AP2510="","À RADIOGRAPHIER",IF(AP2510="A","ACCEPTÉ",IF(AP2510="NX","NX – RT À REFAIRE",IF(IF(AO2510=1,AD2510,IF(AO2510=2,AI2510,""))="A","RÉPARÉ – À RADIOGRAPHIER",IF(IF(AO2510=1,AD2510,IF(AO2510=2,AI2510,""))="R","VT REJETÉ – À REPRENDRE",IF(OR(AP2510="CO",AP2510="NT"),"COUPE – À RESOUDER","À RÉPARER"))))))))))</f>
        <v/>
      </c>
      <c r="AR2510" s="82" t="str">
        <f aca="false">IF(AND(ISNUMBER(U2510),OR(AQ2510="À RADIOGRAPHIER",AQ2510="RÉPARÉ – À RADIOGRAPHIER",AQ2510="NX – RT À REFAIRE",AQ2510="À RÉPARER",AQ2510="COUPE – À RESOUDER",AQ2510="VT REJETÉ – À REPRENDRE")),MAX(0,'PROGRAMME RT'!$C$4-U2510),"")</f>
        <v/>
      </c>
      <c r="AS2510" s="82" t="n">
        <f aca="false">IF(AND(OR(AQ2510="À RADIOGRAPHIER",AQ2510="RÉPARÉ – À RADIOGRAPHIER",AQ2510="NX – RT À REFAIRE"),OR('PROGRAMME RT'!$D$5="TOUTES",B2510='PROGRAMME RT'!$D$5)),1,0)</f>
        <v>0</v>
      </c>
      <c r="AT2510" s="82" t="str">
        <f aca="false">IF(AS2510=1,SUM(AS$7:AS2510),"")</f>
        <v/>
      </c>
      <c r="AU2510" s="82" t="n">
        <f aca="false">IF(AND(OR(AA2510="R",AA2510="NX",AA2510="NT",AA2510="CO"),OR('JOINTS DE RÉPARATION'!$D$5="TOUTES",B2510='JOINTS DE RÉPARATION'!$D$5),OR('JOINTS DE RÉPARATION'!$L$4="TOUS",AQ2510&lt;&gt;"ACCEPTÉ")),1,0)</f>
        <v>0</v>
      </c>
      <c r="AV2510" s="82" t="str">
        <f aca="false">IF(AU2510=1,SUM(AU$7:AU2510),"")</f>
        <v/>
      </c>
      <c r="AW2510" s="82" t="str">
        <f aca="false">IF(E2510="","",B2510&amp;"|"&amp;E2510)</f>
        <v/>
      </c>
    </row>
    <row r="2511" customFormat="false" ht="15" hidden="false" customHeight="false" outlineLevel="0" collapsed="false">
      <c r="A2511" s="79" t="str">
        <f aca="false">IF(E2511="","",ROW()-6)</f>
        <v/>
      </c>
      <c r="B2511" s="80"/>
      <c r="C2511" s="81"/>
      <c r="D2511" s="81"/>
      <c r="E2511" s="81"/>
      <c r="F2511" s="82" t="str">
        <f aca="false">IF(E2511="","",IF(LEFT(E2511,2)="DJ","DJ","JN"))</f>
        <v/>
      </c>
      <c r="G2511" s="81"/>
      <c r="H2511" s="81"/>
      <c r="I2511" s="81"/>
      <c r="J2511" s="81"/>
      <c r="K2511" s="81"/>
      <c r="L2511" s="81"/>
      <c r="M2511" s="81"/>
      <c r="N2511" s="81"/>
      <c r="O2511" s="81"/>
      <c r="P2511" s="81"/>
      <c r="Q2511" s="81"/>
      <c r="R2511" s="81"/>
      <c r="S2511" s="81"/>
      <c r="T2511" s="81"/>
      <c r="U2511" s="83"/>
      <c r="V2511" s="83"/>
      <c r="W2511" s="81"/>
      <c r="X2511" s="81"/>
      <c r="Y2511" s="83"/>
      <c r="Z2511" s="81"/>
      <c r="AA2511" s="81"/>
      <c r="AB2511" s="81"/>
      <c r="AC2511" s="81"/>
      <c r="AD2511" s="81"/>
      <c r="AE2511" s="83"/>
      <c r="AF2511" s="81"/>
      <c r="AG2511" s="81"/>
      <c r="AH2511" s="81"/>
      <c r="AI2511" s="81"/>
      <c r="AJ2511" s="83"/>
      <c r="AK2511" s="81"/>
      <c r="AL2511" s="81"/>
      <c r="AM2511" s="83"/>
      <c r="AN2511" s="80"/>
      <c r="AO2511" s="82" t="str">
        <f aca="false">IF(E2511="","",(AA2511&lt;&gt;"")+(AG2511&lt;&gt;"")+(AL2511&lt;&gt;""))</f>
        <v/>
      </c>
      <c r="AP2511" s="82" t="str">
        <f aca="false">IF(AL2511&lt;&gt;"",AL2511,IF(AG2511&lt;&gt;"",AG2511,IF(AA2511&lt;&gt;"",AA2511,"")))</f>
        <v/>
      </c>
      <c r="AQ2511" s="84" t="str">
        <f aca="false">IF(E2511="","",IF(U2511="","À SOUDER",IF(X2511="","VT EN ATTENTE",IF(X2511="R","VT REJETÉ – À REPRENDRE",IF(AP2511="","À RADIOGRAPHIER",IF(AP2511="A","ACCEPTÉ",IF(AP2511="NX","NX – RT À REFAIRE",IF(IF(AO2511=1,AD2511,IF(AO2511=2,AI2511,""))="A","RÉPARÉ – À RADIOGRAPHIER",IF(IF(AO2511=1,AD2511,IF(AO2511=2,AI2511,""))="R","VT REJETÉ – À REPRENDRE",IF(OR(AP2511="CO",AP2511="NT"),"COUPE – À RESOUDER","À RÉPARER"))))))))))</f>
        <v/>
      </c>
      <c r="AR2511" s="82" t="str">
        <f aca="false">IF(AND(ISNUMBER(U2511),OR(AQ2511="À RADIOGRAPHIER",AQ2511="RÉPARÉ – À RADIOGRAPHIER",AQ2511="NX – RT À REFAIRE",AQ2511="À RÉPARER",AQ2511="COUPE – À RESOUDER",AQ2511="VT REJETÉ – À REPRENDRE")),MAX(0,'PROGRAMME RT'!$C$4-U2511),"")</f>
        <v/>
      </c>
      <c r="AS2511" s="82" t="n">
        <f aca="false">IF(AND(OR(AQ2511="À RADIOGRAPHIER",AQ2511="RÉPARÉ – À RADIOGRAPHIER",AQ2511="NX – RT À REFAIRE"),OR('PROGRAMME RT'!$D$5="TOUTES",B2511='PROGRAMME RT'!$D$5)),1,0)</f>
        <v>0</v>
      </c>
      <c r="AT2511" s="82" t="str">
        <f aca="false">IF(AS2511=1,SUM(AS$7:AS2511),"")</f>
        <v/>
      </c>
      <c r="AU2511" s="82" t="n">
        <f aca="false">IF(AND(OR(AA2511="R",AA2511="NX",AA2511="NT",AA2511="CO"),OR('JOINTS DE RÉPARATION'!$D$5="TOUTES",B2511='JOINTS DE RÉPARATION'!$D$5),OR('JOINTS DE RÉPARATION'!$L$4="TOUS",AQ2511&lt;&gt;"ACCEPTÉ")),1,0)</f>
        <v>0</v>
      </c>
      <c r="AV2511" s="82" t="str">
        <f aca="false">IF(AU2511=1,SUM(AU$7:AU2511),"")</f>
        <v/>
      </c>
      <c r="AW2511" s="82" t="str">
        <f aca="false">IF(E2511="","",B2511&amp;"|"&amp;E2511)</f>
        <v/>
      </c>
    </row>
    <row r="2512" customFormat="false" ht="15" hidden="false" customHeight="false" outlineLevel="0" collapsed="false">
      <c r="A2512" s="79" t="str">
        <f aca="false">IF(E2512="","",ROW()-6)</f>
        <v/>
      </c>
      <c r="B2512" s="80"/>
      <c r="C2512" s="81"/>
      <c r="D2512" s="81"/>
      <c r="E2512" s="81"/>
      <c r="F2512" s="82" t="str">
        <f aca="false">IF(E2512="","",IF(LEFT(E2512,2)="DJ","DJ","JN"))</f>
        <v/>
      </c>
      <c r="G2512" s="81"/>
      <c r="H2512" s="81"/>
      <c r="I2512" s="81"/>
      <c r="J2512" s="81"/>
      <c r="K2512" s="81"/>
      <c r="L2512" s="81"/>
      <c r="M2512" s="81"/>
      <c r="N2512" s="81"/>
      <c r="O2512" s="81"/>
      <c r="P2512" s="81"/>
      <c r="Q2512" s="81"/>
      <c r="R2512" s="81"/>
      <c r="S2512" s="81"/>
      <c r="T2512" s="81"/>
      <c r="U2512" s="83"/>
      <c r="V2512" s="83"/>
      <c r="W2512" s="81"/>
      <c r="X2512" s="81"/>
      <c r="Y2512" s="83"/>
      <c r="Z2512" s="81"/>
      <c r="AA2512" s="81"/>
      <c r="AB2512" s="81"/>
      <c r="AC2512" s="81"/>
      <c r="AD2512" s="81"/>
      <c r="AE2512" s="83"/>
      <c r="AF2512" s="81"/>
      <c r="AG2512" s="81"/>
      <c r="AH2512" s="81"/>
      <c r="AI2512" s="81"/>
      <c r="AJ2512" s="83"/>
      <c r="AK2512" s="81"/>
      <c r="AL2512" s="81"/>
      <c r="AM2512" s="83"/>
      <c r="AN2512" s="80"/>
      <c r="AO2512" s="82" t="str">
        <f aca="false">IF(E2512="","",(AA2512&lt;&gt;"")+(AG2512&lt;&gt;"")+(AL2512&lt;&gt;""))</f>
        <v/>
      </c>
      <c r="AP2512" s="82" t="str">
        <f aca="false">IF(AL2512&lt;&gt;"",AL2512,IF(AG2512&lt;&gt;"",AG2512,IF(AA2512&lt;&gt;"",AA2512,"")))</f>
        <v/>
      </c>
      <c r="AQ2512" s="84" t="str">
        <f aca="false">IF(E2512="","",IF(U2512="","À SOUDER",IF(X2512="","VT EN ATTENTE",IF(X2512="R","VT REJETÉ – À REPRENDRE",IF(AP2512="","À RADIOGRAPHIER",IF(AP2512="A","ACCEPTÉ",IF(AP2512="NX","NX – RT À REFAIRE",IF(IF(AO2512=1,AD2512,IF(AO2512=2,AI2512,""))="A","RÉPARÉ – À RADIOGRAPHIER",IF(IF(AO2512=1,AD2512,IF(AO2512=2,AI2512,""))="R","VT REJETÉ – À REPRENDRE",IF(OR(AP2512="CO",AP2512="NT"),"COUPE – À RESOUDER","À RÉPARER"))))))))))</f>
        <v/>
      </c>
      <c r="AR2512" s="82" t="str">
        <f aca="false">IF(AND(ISNUMBER(U2512),OR(AQ2512="À RADIOGRAPHIER",AQ2512="RÉPARÉ – À RADIOGRAPHIER",AQ2512="NX – RT À REFAIRE",AQ2512="À RÉPARER",AQ2512="COUPE – À RESOUDER",AQ2512="VT REJETÉ – À REPRENDRE")),MAX(0,'PROGRAMME RT'!$C$4-U2512),"")</f>
        <v/>
      </c>
      <c r="AS2512" s="82" t="n">
        <f aca="false">IF(AND(OR(AQ2512="À RADIOGRAPHIER",AQ2512="RÉPARÉ – À RADIOGRAPHIER",AQ2512="NX – RT À REFAIRE"),OR('PROGRAMME RT'!$D$5="TOUTES",B2512='PROGRAMME RT'!$D$5)),1,0)</f>
        <v>0</v>
      </c>
      <c r="AT2512" s="82" t="str">
        <f aca="false">IF(AS2512=1,SUM(AS$7:AS2512),"")</f>
        <v/>
      </c>
      <c r="AU2512" s="82" t="n">
        <f aca="false">IF(AND(OR(AA2512="R",AA2512="NX",AA2512="NT",AA2512="CO"),OR('JOINTS DE RÉPARATION'!$D$5="TOUTES",B2512='JOINTS DE RÉPARATION'!$D$5),OR('JOINTS DE RÉPARATION'!$L$4="TOUS",AQ2512&lt;&gt;"ACCEPTÉ")),1,0)</f>
        <v>0</v>
      </c>
      <c r="AV2512" s="82" t="str">
        <f aca="false">IF(AU2512=1,SUM(AU$7:AU2512),"")</f>
        <v/>
      </c>
      <c r="AW2512" s="82" t="str">
        <f aca="false">IF(E2512="","",B2512&amp;"|"&amp;E2512)</f>
        <v/>
      </c>
    </row>
    <row r="2513" customFormat="false" ht="15" hidden="false" customHeight="false" outlineLevel="0" collapsed="false">
      <c r="A2513" s="79" t="str">
        <f aca="false">IF(E2513="","",ROW()-6)</f>
        <v/>
      </c>
      <c r="B2513" s="80"/>
      <c r="C2513" s="81"/>
      <c r="D2513" s="81"/>
      <c r="E2513" s="81"/>
      <c r="F2513" s="82" t="str">
        <f aca="false">IF(E2513="","",IF(LEFT(E2513,2)="DJ","DJ","JN"))</f>
        <v/>
      </c>
      <c r="G2513" s="81"/>
      <c r="H2513" s="81"/>
      <c r="I2513" s="81"/>
      <c r="J2513" s="81"/>
      <c r="K2513" s="81"/>
      <c r="L2513" s="81"/>
      <c r="M2513" s="81"/>
      <c r="N2513" s="81"/>
      <c r="O2513" s="81"/>
      <c r="P2513" s="81"/>
      <c r="Q2513" s="81"/>
      <c r="R2513" s="81"/>
      <c r="S2513" s="81"/>
      <c r="T2513" s="81"/>
      <c r="U2513" s="83"/>
      <c r="V2513" s="83"/>
      <c r="W2513" s="81"/>
      <c r="X2513" s="81"/>
      <c r="Y2513" s="83"/>
      <c r="Z2513" s="81"/>
      <c r="AA2513" s="81"/>
      <c r="AB2513" s="81"/>
      <c r="AC2513" s="81"/>
      <c r="AD2513" s="81"/>
      <c r="AE2513" s="83"/>
      <c r="AF2513" s="81"/>
      <c r="AG2513" s="81"/>
      <c r="AH2513" s="81"/>
      <c r="AI2513" s="81"/>
      <c r="AJ2513" s="83"/>
      <c r="AK2513" s="81"/>
      <c r="AL2513" s="81"/>
      <c r="AM2513" s="83"/>
      <c r="AN2513" s="80"/>
      <c r="AO2513" s="82" t="str">
        <f aca="false">IF(E2513="","",(AA2513&lt;&gt;"")+(AG2513&lt;&gt;"")+(AL2513&lt;&gt;""))</f>
        <v/>
      </c>
      <c r="AP2513" s="82" t="str">
        <f aca="false">IF(AL2513&lt;&gt;"",AL2513,IF(AG2513&lt;&gt;"",AG2513,IF(AA2513&lt;&gt;"",AA2513,"")))</f>
        <v/>
      </c>
      <c r="AQ2513" s="84" t="str">
        <f aca="false">IF(E2513="","",IF(U2513="","À SOUDER",IF(X2513="","VT EN ATTENTE",IF(X2513="R","VT REJETÉ – À REPRENDRE",IF(AP2513="","À RADIOGRAPHIER",IF(AP2513="A","ACCEPTÉ",IF(AP2513="NX","NX – RT À REFAIRE",IF(IF(AO2513=1,AD2513,IF(AO2513=2,AI2513,""))="A","RÉPARÉ – À RADIOGRAPHIER",IF(IF(AO2513=1,AD2513,IF(AO2513=2,AI2513,""))="R","VT REJETÉ – À REPRENDRE",IF(OR(AP2513="CO",AP2513="NT"),"COUPE – À RESOUDER","À RÉPARER"))))))))))</f>
        <v/>
      </c>
      <c r="AR2513" s="82" t="str">
        <f aca="false">IF(AND(ISNUMBER(U2513),OR(AQ2513="À RADIOGRAPHIER",AQ2513="RÉPARÉ – À RADIOGRAPHIER",AQ2513="NX – RT À REFAIRE",AQ2513="À RÉPARER",AQ2513="COUPE – À RESOUDER",AQ2513="VT REJETÉ – À REPRENDRE")),MAX(0,'PROGRAMME RT'!$C$4-U2513),"")</f>
        <v/>
      </c>
      <c r="AS2513" s="82" t="n">
        <f aca="false">IF(AND(OR(AQ2513="À RADIOGRAPHIER",AQ2513="RÉPARÉ – À RADIOGRAPHIER",AQ2513="NX – RT À REFAIRE"),OR('PROGRAMME RT'!$D$5="TOUTES",B2513='PROGRAMME RT'!$D$5)),1,0)</f>
        <v>0</v>
      </c>
      <c r="AT2513" s="82" t="str">
        <f aca="false">IF(AS2513=1,SUM(AS$7:AS2513),"")</f>
        <v/>
      </c>
      <c r="AU2513" s="82" t="n">
        <f aca="false">IF(AND(OR(AA2513="R",AA2513="NX",AA2513="NT",AA2513="CO"),OR('JOINTS DE RÉPARATION'!$D$5="TOUTES",B2513='JOINTS DE RÉPARATION'!$D$5),OR('JOINTS DE RÉPARATION'!$L$4="TOUS",AQ2513&lt;&gt;"ACCEPTÉ")),1,0)</f>
        <v>0</v>
      </c>
      <c r="AV2513" s="82" t="str">
        <f aca="false">IF(AU2513=1,SUM(AU$7:AU2513),"")</f>
        <v/>
      </c>
      <c r="AW2513" s="82" t="str">
        <f aca="false">IF(E2513="","",B2513&amp;"|"&amp;E2513)</f>
        <v/>
      </c>
    </row>
    <row r="2514" customFormat="false" ht="15" hidden="false" customHeight="false" outlineLevel="0" collapsed="false">
      <c r="A2514" s="79" t="str">
        <f aca="false">IF(E2514="","",ROW()-6)</f>
        <v/>
      </c>
      <c r="B2514" s="80"/>
      <c r="C2514" s="81"/>
      <c r="D2514" s="81"/>
      <c r="E2514" s="81"/>
      <c r="F2514" s="82" t="str">
        <f aca="false">IF(E2514="","",IF(LEFT(E2514,2)="DJ","DJ","JN"))</f>
        <v/>
      </c>
      <c r="G2514" s="81"/>
      <c r="H2514" s="81"/>
      <c r="I2514" s="81"/>
      <c r="J2514" s="81"/>
      <c r="K2514" s="81"/>
      <c r="L2514" s="81"/>
      <c r="M2514" s="81"/>
      <c r="N2514" s="81"/>
      <c r="O2514" s="81"/>
      <c r="P2514" s="81"/>
      <c r="Q2514" s="81"/>
      <c r="R2514" s="81"/>
      <c r="S2514" s="81"/>
      <c r="T2514" s="81"/>
      <c r="U2514" s="83"/>
      <c r="V2514" s="83"/>
      <c r="W2514" s="81"/>
      <c r="X2514" s="81"/>
      <c r="Y2514" s="83"/>
      <c r="Z2514" s="81"/>
      <c r="AA2514" s="81"/>
      <c r="AB2514" s="81"/>
      <c r="AC2514" s="81"/>
      <c r="AD2514" s="81"/>
      <c r="AE2514" s="83"/>
      <c r="AF2514" s="81"/>
      <c r="AG2514" s="81"/>
      <c r="AH2514" s="81"/>
      <c r="AI2514" s="81"/>
      <c r="AJ2514" s="83"/>
      <c r="AK2514" s="81"/>
      <c r="AL2514" s="81"/>
      <c r="AM2514" s="83"/>
      <c r="AN2514" s="80"/>
      <c r="AO2514" s="82" t="str">
        <f aca="false">IF(E2514="","",(AA2514&lt;&gt;"")+(AG2514&lt;&gt;"")+(AL2514&lt;&gt;""))</f>
        <v/>
      </c>
      <c r="AP2514" s="82" t="str">
        <f aca="false">IF(AL2514&lt;&gt;"",AL2514,IF(AG2514&lt;&gt;"",AG2514,IF(AA2514&lt;&gt;"",AA2514,"")))</f>
        <v/>
      </c>
      <c r="AQ2514" s="84" t="str">
        <f aca="false">IF(E2514="","",IF(U2514="","À SOUDER",IF(X2514="","VT EN ATTENTE",IF(X2514="R","VT REJETÉ – À REPRENDRE",IF(AP2514="","À RADIOGRAPHIER",IF(AP2514="A","ACCEPTÉ",IF(AP2514="NX","NX – RT À REFAIRE",IF(IF(AO2514=1,AD2514,IF(AO2514=2,AI2514,""))="A","RÉPARÉ – À RADIOGRAPHIER",IF(IF(AO2514=1,AD2514,IF(AO2514=2,AI2514,""))="R","VT REJETÉ – À REPRENDRE",IF(OR(AP2514="CO",AP2514="NT"),"COUPE – À RESOUDER","À RÉPARER"))))))))))</f>
        <v/>
      </c>
      <c r="AR2514" s="82" t="str">
        <f aca="false">IF(AND(ISNUMBER(U2514),OR(AQ2514="À RADIOGRAPHIER",AQ2514="RÉPARÉ – À RADIOGRAPHIER",AQ2514="NX – RT À REFAIRE",AQ2514="À RÉPARER",AQ2514="COUPE – À RESOUDER",AQ2514="VT REJETÉ – À REPRENDRE")),MAX(0,'PROGRAMME RT'!$C$4-U2514),"")</f>
        <v/>
      </c>
      <c r="AS2514" s="82" t="n">
        <f aca="false">IF(AND(OR(AQ2514="À RADIOGRAPHIER",AQ2514="RÉPARÉ – À RADIOGRAPHIER",AQ2514="NX – RT À REFAIRE"),OR('PROGRAMME RT'!$D$5="TOUTES",B2514='PROGRAMME RT'!$D$5)),1,0)</f>
        <v>0</v>
      </c>
      <c r="AT2514" s="82" t="str">
        <f aca="false">IF(AS2514=1,SUM(AS$7:AS2514),"")</f>
        <v/>
      </c>
      <c r="AU2514" s="82" t="n">
        <f aca="false">IF(AND(OR(AA2514="R",AA2514="NX",AA2514="NT",AA2514="CO"),OR('JOINTS DE RÉPARATION'!$D$5="TOUTES",B2514='JOINTS DE RÉPARATION'!$D$5),OR('JOINTS DE RÉPARATION'!$L$4="TOUS",AQ2514&lt;&gt;"ACCEPTÉ")),1,0)</f>
        <v>0</v>
      </c>
      <c r="AV2514" s="82" t="str">
        <f aca="false">IF(AU2514=1,SUM(AU$7:AU2514),"")</f>
        <v/>
      </c>
      <c r="AW2514" s="82" t="str">
        <f aca="false">IF(E2514="","",B2514&amp;"|"&amp;E2514)</f>
        <v/>
      </c>
    </row>
    <row r="2515" customFormat="false" ht="15" hidden="false" customHeight="false" outlineLevel="0" collapsed="false">
      <c r="A2515" s="79" t="str">
        <f aca="false">IF(E2515="","",ROW()-6)</f>
        <v/>
      </c>
      <c r="B2515" s="80"/>
      <c r="C2515" s="81"/>
      <c r="D2515" s="81"/>
      <c r="E2515" s="81"/>
      <c r="F2515" s="82" t="str">
        <f aca="false">IF(E2515="","",IF(LEFT(E2515,2)="DJ","DJ","JN"))</f>
        <v/>
      </c>
      <c r="G2515" s="81"/>
      <c r="H2515" s="81"/>
      <c r="I2515" s="81"/>
      <c r="J2515" s="81"/>
      <c r="K2515" s="81"/>
      <c r="L2515" s="81"/>
      <c r="M2515" s="81"/>
      <c r="N2515" s="81"/>
      <c r="O2515" s="81"/>
      <c r="P2515" s="81"/>
      <c r="Q2515" s="81"/>
      <c r="R2515" s="81"/>
      <c r="S2515" s="81"/>
      <c r="T2515" s="81"/>
      <c r="U2515" s="83"/>
      <c r="V2515" s="83"/>
      <c r="W2515" s="81"/>
      <c r="X2515" s="81"/>
      <c r="Y2515" s="83"/>
      <c r="Z2515" s="81"/>
      <c r="AA2515" s="81"/>
      <c r="AB2515" s="81"/>
      <c r="AC2515" s="81"/>
      <c r="AD2515" s="81"/>
      <c r="AE2515" s="83"/>
      <c r="AF2515" s="81"/>
      <c r="AG2515" s="81"/>
      <c r="AH2515" s="81"/>
      <c r="AI2515" s="81"/>
      <c r="AJ2515" s="83"/>
      <c r="AK2515" s="81"/>
      <c r="AL2515" s="81"/>
      <c r="AM2515" s="83"/>
      <c r="AN2515" s="80"/>
      <c r="AO2515" s="82" t="str">
        <f aca="false">IF(E2515="","",(AA2515&lt;&gt;"")+(AG2515&lt;&gt;"")+(AL2515&lt;&gt;""))</f>
        <v/>
      </c>
      <c r="AP2515" s="82" t="str">
        <f aca="false">IF(AL2515&lt;&gt;"",AL2515,IF(AG2515&lt;&gt;"",AG2515,IF(AA2515&lt;&gt;"",AA2515,"")))</f>
        <v/>
      </c>
      <c r="AQ2515" s="84" t="str">
        <f aca="false">IF(E2515="","",IF(U2515="","À SOUDER",IF(X2515="","VT EN ATTENTE",IF(X2515="R","VT REJETÉ – À REPRENDRE",IF(AP2515="","À RADIOGRAPHIER",IF(AP2515="A","ACCEPTÉ",IF(AP2515="NX","NX – RT À REFAIRE",IF(IF(AO2515=1,AD2515,IF(AO2515=2,AI2515,""))="A","RÉPARÉ – À RADIOGRAPHIER",IF(IF(AO2515=1,AD2515,IF(AO2515=2,AI2515,""))="R","VT REJETÉ – À REPRENDRE",IF(OR(AP2515="CO",AP2515="NT"),"COUPE – À RESOUDER","À RÉPARER"))))))))))</f>
        <v/>
      </c>
      <c r="AR2515" s="82" t="str">
        <f aca="false">IF(AND(ISNUMBER(U2515),OR(AQ2515="À RADIOGRAPHIER",AQ2515="RÉPARÉ – À RADIOGRAPHIER",AQ2515="NX – RT À REFAIRE",AQ2515="À RÉPARER",AQ2515="COUPE – À RESOUDER",AQ2515="VT REJETÉ – À REPRENDRE")),MAX(0,'PROGRAMME RT'!$C$4-U2515),"")</f>
        <v/>
      </c>
      <c r="AS2515" s="82" t="n">
        <f aca="false">IF(AND(OR(AQ2515="À RADIOGRAPHIER",AQ2515="RÉPARÉ – À RADIOGRAPHIER",AQ2515="NX – RT À REFAIRE"),OR('PROGRAMME RT'!$D$5="TOUTES",B2515='PROGRAMME RT'!$D$5)),1,0)</f>
        <v>0</v>
      </c>
      <c r="AT2515" s="82" t="str">
        <f aca="false">IF(AS2515=1,SUM(AS$7:AS2515),"")</f>
        <v/>
      </c>
      <c r="AU2515" s="82" t="n">
        <f aca="false">IF(AND(OR(AA2515="R",AA2515="NX",AA2515="NT",AA2515="CO"),OR('JOINTS DE RÉPARATION'!$D$5="TOUTES",B2515='JOINTS DE RÉPARATION'!$D$5),OR('JOINTS DE RÉPARATION'!$L$4="TOUS",AQ2515&lt;&gt;"ACCEPTÉ")),1,0)</f>
        <v>0</v>
      </c>
      <c r="AV2515" s="82" t="str">
        <f aca="false">IF(AU2515=1,SUM(AU$7:AU2515),"")</f>
        <v/>
      </c>
      <c r="AW2515" s="82" t="str">
        <f aca="false">IF(E2515="","",B2515&amp;"|"&amp;E2515)</f>
        <v/>
      </c>
    </row>
    <row r="2516" customFormat="false" ht="15" hidden="false" customHeight="false" outlineLevel="0" collapsed="false">
      <c r="A2516" s="79" t="str">
        <f aca="false">IF(E2516="","",ROW()-6)</f>
        <v/>
      </c>
      <c r="B2516" s="80"/>
      <c r="C2516" s="81"/>
      <c r="D2516" s="81"/>
      <c r="E2516" s="81"/>
      <c r="F2516" s="82" t="str">
        <f aca="false">IF(E2516="","",IF(LEFT(E2516,2)="DJ","DJ","JN"))</f>
        <v/>
      </c>
      <c r="G2516" s="81"/>
      <c r="H2516" s="81"/>
      <c r="I2516" s="81"/>
      <c r="J2516" s="81"/>
      <c r="K2516" s="81"/>
      <c r="L2516" s="81"/>
      <c r="M2516" s="81"/>
      <c r="N2516" s="81"/>
      <c r="O2516" s="81"/>
      <c r="P2516" s="81"/>
      <c r="Q2516" s="81"/>
      <c r="R2516" s="81"/>
      <c r="S2516" s="81"/>
      <c r="T2516" s="81"/>
      <c r="U2516" s="83"/>
      <c r="V2516" s="83"/>
      <c r="W2516" s="81"/>
      <c r="X2516" s="81"/>
      <c r="Y2516" s="83"/>
      <c r="Z2516" s="81"/>
      <c r="AA2516" s="81"/>
      <c r="AB2516" s="81"/>
      <c r="AC2516" s="81"/>
      <c r="AD2516" s="81"/>
      <c r="AE2516" s="83"/>
      <c r="AF2516" s="81"/>
      <c r="AG2516" s="81"/>
      <c r="AH2516" s="81"/>
      <c r="AI2516" s="81"/>
      <c r="AJ2516" s="83"/>
      <c r="AK2516" s="81"/>
      <c r="AL2516" s="81"/>
      <c r="AM2516" s="83"/>
      <c r="AN2516" s="80"/>
      <c r="AO2516" s="82" t="str">
        <f aca="false">IF(E2516="","",(AA2516&lt;&gt;"")+(AG2516&lt;&gt;"")+(AL2516&lt;&gt;""))</f>
        <v/>
      </c>
      <c r="AP2516" s="82" t="str">
        <f aca="false">IF(AL2516&lt;&gt;"",AL2516,IF(AG2516&lt;&gt;"",AG2516,IF(AA2516&lt;&gt;"",AA2516,"")))</f>
        <v/>
      </c>
      <c r="AQ2516" s="84" t="str">
        <f aca="false">IF(E2516="","",IF(U2516="","À SOUDER",IF(X2516="","VT EN ATTENTE",IF(X2516="R","VT REJETÉ – À REPRENDRE",IF(AP2516="","À RADIOGRAPHIER",IF(AP2516="A","ACCEPTÉ",IF(AP2516="NX","NX – RT À REFAIRE",IF(IF(AO2516=1,AD2516,IF(AO2516=2,AI2516,""))="A","RÉPARÉ – À RADIOGRAPHIER",IF(IF(AO2516=1,AD2516,IF(AO2516=2,AI2516,""))="R","VT REJETÉ – À REPRENDRE",IF(OR(AP2516="CO",AP2516="NT"),"COUPE – À RESOUDER","À RÉPARER"))))))))))</f>
        <v/>
      </c>
      <c r="AR2516" s="82" t="str">
        <f aca="false">IF(AND(ISNUMBER(U2516),OR(AQ2516="À RADIOGRAPHIER",AQ2516="RÉPARÉ – À RADIOGRAPHIER",AQ2516="NX – RT À REFAIRE",AQ2516="À RÉPARER",AQ2516="COUPE – À RESOUDER",AQ2516="VT REJETÉ – À REPRENDRE")),MAX(0,'PROGRAMME RT'!$C$4-U2516),"")</f>
        <v/>
      </c>
      <c r="AS2516" s="82" t="n">
        <f aca="false">IF(AND(OR(AQ2516="À RADIOGRAPHIER",AQ2516="RÉPARÉ – À RADIOGRAPHIER",AQ2516="NX – RT À REFAIRE"),OR('PROGRAMME RT'!$D$5="TOUTES",B2516='PROGRAMME RT'!$D$5)),1,0)</f>
        <v>0</v>
      </c>
      <c r="AT2516" s="82" t="str">
        <f aca="false">IF(AS2516=1,SUM(AS$7:AS2516),"")</f>
        <v/>
      </c>
      <c r="AU2516" s="82" t="n">
        <f aca="false">IF(AND(OR(AA2516="R",AA2516="NX",AA2516="NT",AA2516="CO"),OR('JOINTS DE RÉPARATION'!$D$5="TOUTES",B2516='JOINTS DE RÉPARATION'!$D$5),OR('JOINTS DE RÉPARATION'!$L$4="TOUS",AQ2516&lt;&gt;"ACCEPTÉ")),1,0)</f>
        <v>0</v>
      </c>
      <c r="AV2516" s="82" t="str">
        <f aca="false">IF(AU2516=1,SUM(AU$7:AU2516),"")</f>
        <v/>
      </c>
      <c r="AW2516" s="82" t="str">
        <f aca="false">IF(E2516="","",B2516&amp;"|"&amp;E2516)</f>
        <v/>
      </c>
    </row>
    <row r="2517" customFormat="false" ht="15" hidden="false" customHeight="false" outlineLevel="0" collapsed="false">
      <c r="A2517" s="79" t="str">
        <f aca="false">IF(E2517="","",ROW()-6)</f>
        <v/>
      </c>
      <c r="B2517" s="80"/>
      <c r="C2517" s="81"/>
      <c r="D2517" s="81"/>
      <c r="E2517" s="81"/>
      <c r="F2517" s="82" t="str">
        <f aca="false">IF(E2517="","",IF(LEFT(E2517,2)="DJ","DJ","JN"))</f>
        <v/>
      </c>
      <c r="G2517" s="81"/>
      <c r="H2517" s="81"/>
      <c r="I2517" s="81"/>
      <c r="J2517" s="81"/>
      <c r="K2517" s="81"/>
      <c r="L2517" s="81"/>
      <c r="M2517" s="81"/>
      <c r="N2517" s="81"/>
      <c r="O2517" s="81"/>
      <c r="P2517" s="81"/>
      <c r="Q2517" s="81"/>
      <c r="R2517" s="81"/>
      <c r="S2517" s="81"/>
      <c r="T2517" s="81"/>
      <c r="U2517" s="83"/>
      <c r="V2517" s="83"/>
      <c r="W2517" s="81"/>
      <c r="X2517" s="81"/>
      <c r="Y2517" s="83"/>
      <c r="Z2517" s="81"/>
      <c r="AA2517" s="81"/>
      <c r="AB2517" s="81"/>
      <c r="AC2517" s="81"/>
      <c r="AD2517" s="81"/>
      <c r="AE2517" s="83"/>
      <c r="AF2517" s="81"/>
      <c r="AG2517" s="81"/>
      <c r="AH2517" s="81"/>
      <c r="AI2517" s="81"/>
      <c r="AJ2517" s="83"/>
      <c r="AK2517" s="81"/>
      <c r="AL2517" s="81"/>
      <c r="AM2517" s="83"/>
      <c r="AN2517" s="80"/>
      <c r="AO2517" s="82" t="str">
        <f aca="false">IF(E2517="","",(AA2517&lt;&gt;"")+(AG2517&lt;&gt;"")+(AL2517&lt;&gt;""))</f>
        <v/>
      </c>
      <c r="AP2517" s="82" t="str">
        <f aca="false">IF(AL2517&lt;&gt;"",AL2517,IF(AG2517&lt;&gt;"",AG2517,IF(AA2517&lt;&gt;"",AA2517,"")))</f>
        <v/>
      </c>
      <c r="AQ2517" s="84" t="str">
        <f aca="false">IF(E2517="","",IF(U2517="","À SOUDER",IF(X2517="","VT EN ATTENTE",IF(X2517="R","VT REJETÉ – À REPRENDRE",IF(AP2517="","À RADIOGRAPHIER",IF(AP2517="A","ACCEPTÉ",IF(AP2517="NX","NX – RT À REFAIRE",IF(IF(AO2517=1,AD2517,IF(AO2517=2,AI2517,""))="A","RÉPARÉ – À RADIOGRAPHIER",IF(IF(AO2517=1,AD2517,IF(AO2517=2,AI2517,""))="R","VT REJETÉ – À REPRENDRE",IF(OR(AP2517="CO",AP2517="NT"),"COUPE – À RESOUDER","À RÉPARER"))))))))))</f>
        <v/>
      </c>
      <c r="AR2517" s="82" t="str">
        <f aca="false">IF(AND(ISNUMBER(U2517),OR(AQ2517="À RADIOGRAPHIER",AQ2517="RÉPARÉ – À RADIOGRAPHIER",AQ2517="NX – RT À REFAIRE",AQ2517="À RÉPARER",AQ2517="COUPE – À RESOUDER",AQ2517="VT REJETÉ – À REPRENDRE")),MAX(0,'PROGRAMME RT'!$C$4-U2517),"")</f>
        <v/>
      </c>
      <c r="AS2517" s="82" t="n">
        <f aca="false">IF(AND(OR(AQ2517="À RADIOGRAPHIER",AQ2517="RÉPARÉ – À RADIOGRAPHIER",AQ2517="NX – RT À REFAIRE"),OR('PROGRAMME RT'!$D$5="TOUTES",B2517='PROGRAMME RT'!$D$5)),1,0)</f>
        <v>0</v>
      </c>
      <c r="AT2517" s="82" t="str">
        <f aca="false">IF(AS2517=1,SUM(AS$7:AS2517),"")</f>
        <v/>
      </c>
      <c r="AU2517" s="82" t="n">
        <f aca="false">IF(AND(OR(AA2517="R",AA2517="NX",AA2517="NT",AA2517="CO"),OR('JOINTS DE RÉPARATION'!$D$5="TOUTES",B2517='JOINTS DE RÉPARATION'!$D$5),OR('JOINTS DE RÉPARATION'!$L$4="TOUS",AQ2517&lt;&gt;"ACCEPTÉ")),1,0)</f>
        <v>0</v>
      </c>
      <c r="AV2517" s="82" t="str">
        <f aca="false">IF(AU2517=1,SUM(AU$7:AU2517),"")</f>
        <v/>
      </c>
      <c r="AW2517" s="82" t="str">
        <f aca="false">IF(E2517="","",B2517&amp;"|"&amp;E2517)</f>
        <v/>
      </c>
    </row>
    <row r="2518" customFormat="false" ht="15" hidden="false" customHeight="false" outlineLevel="0" collapsed="false">
      <c r="A2518" s="79" t="str">
        <f aca="false">IF(E2518="","",ROW()-6)</f>
        <v/>
      </c>
      <c r="B2518" s="80"/>
      <c r="C2518" s="81"/>
      <c r="D2518" s="81"/>
      <c r="E2518" s="81"/>
      <c r="F2518" s="82" t="str">
        <f aca="false">IF(E2518="","",IF(LEFT(E2518,2)="DJ","DJ","JN"))</f>
        <v/>
      </c>
      <c r="G2518" s="81"/>
      <c r="H2518" s="81"/>
      <c r="I2518" s="81"/>
      <c r="J2518" s="81"/>
      <c r="K2518" s="81"/>
      <c r="L2518" s="81"/>
      <c r="M2518" s="81"/>
      <c r="N2518" s="81"/>
      <c r="O2518" s="81"/>
      <c r="P2518" s="81"/>
      <c r="Q2518" s="81"/>
      <c r="R2518" s="81"/>
      <c r="S2518" s="81"/>
      <c r="T2518" s="81"/>
      <c r="U2518" s="83"/>
      <c r="V2518" s="83"/>
      <c r="W2518" s="81"/>
      <c r="X2518" s="81"/>
      <c r="Y2518" s="83"/>
      <c r="Z2518" s="81"/>
      <c r="AA2518" s="81"/>
      <c r="AB2518" s="81"/>
      <c r="AC2518" s="81"/>
      <c r="AD2518" s="81"/>
      <c r="AE2518" s="83"/>
      <c r="AF2518" s="81"/>
      <c r="AG2518" s="81"/>
      <c r="AH2518" s="81"/>
      <c r="AI2518" s="81"/>
      <c r="AJ2518" s="83"/>
      <c r="AK2518" s="81"/>
      <c r="AL2518" s="81"/>
      <c r="AM2518" s="83"/>
      <c r="AN2518" s="80"/>
      <c r="AO2518" s="82" t="str">
        <f aca="false">IF(E2518="","",(AA2518&lt;&gt;"")+(AG2518&lt;&gt;"")+(AL2518&lt;&gt;""))</f>
        <v/>
      </c>
      <c r="AP2518" s="82" t="str">
        <f aca="false">IF(AL2518&lt;&gt;"",AL2518,IF(AG2518&lt;&gt;"",AG2518,IF(AA2518&lt;&gt;"",AA2518,"")))</f>
        <v/>
      </c>
      <c r="AQ2518" s="84" t="str">
        <f aca="false">IF(E2518="","",IF(U2518="","À SOUDER",IF(X2518="","VT EN ATTENTE",IF(X2518="R","VT REJETÉ – À REPRENDRE",IF(AP2518="","À RADIOGRAPHIER",IF(AP2518="A","ACCEPTÉ",IF(AP2518="NX","NX – RT À REFAIRE",IF(IF(AO2518=1,AD2518,IF(AO2518=2,AI2518,""))="A","RÉPARÉ – À RADIOGRAPHIER",IF(IF(AO2518=1,AD2518,IF(AO2518=2,AI2518,""))="R","VT REJETÉ – À REPRENDRE",IF(OR(AP2518="CO",AP2518="NT"),"COUPE – À RESOUDER","À RÉPARER"))))))))))</f>
        <v/>
      </c>
      <c r="AR2518" s="82" t="str">
        <f aca="false">IF(AND(ISNUMBER(U2518),OR(AQ2518="À RADIOGRAPHIER",AQ2518="RÉPARÉ – À RADIOGRAPHIER",AQ2518="NX – RT À REFAIRE",AQ2518="À RÉPARER",AQ2518="COUPE – À RESOUDER",AQ2518="VT REJETÉ – À REPRENDRE")),MAX(0,'PROGRAMME RT'!$C$4-U2518),"")</f>
        <v/>
      </c>
      <c r="AS2518" s="82" t="n">
        <f aca="false">IF(AND(OR(AQ2518="À RADIOGRAPHIER",AQ2518="RÉPARÉ – À RADIOGRAPHIER",AQ2518="NX – RT À REFAIRE"),OR('PROGRAMME RT'!$D$5="TOUTES",B2518='PROGRAMME RT'!$D$5)),1,0)</f>
        <v>0</v>
      </c>
      <c r="AT2518" s="82" t="str">
        <f aca="false">IF(AS2518=1,SUM(AS$7:AS2518),"")</f>
        <v/>
      </c>
      <c r="AU2518" s="82" t="n">
        <f aca="false">IF(AND(OR(AA2518="R",AA2518="NX",AA2518="NT",AA2518="CO"),OR('JOINTS DE RÉPARATION'!$D$5="TOUTES",B2518='JOINTS DE RÉPARATION'!$D$5),OR('JOINTS DE RÉPARATION'!$L$4="TOUS",AQ2518&lt;&gt;"ACCEPTÉ")),1,0)</f>
        <v>0</v>
      </c>
      <c r="AV2518" s="82" t="str">
        <f aca="false">IF(AU2518=1,SUM(AU$7:AU2518),"")</f>
        <v/>
      </c>
      <c r="AW2518" s="82" t="str">
        <f aca="false">IF(E2518="","",B2518&amp;"|"&amp;E2518)</f>
        <v/>
      </c>
    </row>
    <row r="2519" customFormat="false" ht="15" hidden="false" customHeight="false" outlineLevel="0" collapsed="false">
      <c r="A2519" s="79" t="str">
        <f aca="false">IF(E2519="","",ROW()-6)</f>
        <v/>
      </c>
      <c r="B2519" s="80"/>
      <c r="C2519" s="81"/>
      <c r="D2519" s="81"/>
      <c r="E2519" s="81"/>
      <c r="F2519" s="82" t="str">
        <f aca="false">IF(E2519="","",IF(LEFT(E2519,2)="DJ","DJ","JN"))</f>
        <v/>
      </c>
      <c r="G2519" s="81"/>
      <c r="H2519" s="81"/>
      <c r="I2519" s="81"/>
      <c r="J2519" s="81"/>
      <c r="K2519" s="81"/>
      <c r="L2519" s="81"/>
      <c r="M2519" s="81"/>
      <c r="N2519" s="81"/>
      <c r="O2519" s="81"/>
      <c r="P2519" s="81"/>
      <c r="Q2519" s="81"/>
      <c r="R2519" s="81"/>
      <c r="S2519" s="81"/>
      <c r="T2519" s="81"/>
      <c r="U2519" s="83"/>
      <c r="V2519" s="83"/>
      <c r="W2519" s="81"/>
      <c r="X2519" s="81"/>
      <c r="Y2519" s="83"/>
      <c r="Z2519" s="81"/>
      <c r="AA2519" s="81"/>
      <c r="AB2519" s="81"/>
      <c r="AC2519" s="81"/>
      <c r="AD2519" s="81"/>
      <c r="AE2519" s="83"/>
      <c r="AF2519" s="81"/>
      <c r="AG2519" s="81"/>
      <c r="AH2519" s="81"/>
      <c r="AI2519" s="81"/>
      <c r="AJ2519" s="83"/>
      <c r="AK2519" s="81"/>
      <c r="AL2519" s="81"/>
      <c r="AM2519" s="83"/>
      <c r="AN2519" s="80"/>
      <c r="AO2519" s="82" t="str">
        <f aca="false">IF(E2519="","",(AA2519&lt;&gt;"")+(AG2519&lt;&gt;"")+(AL2519&lt;&gt;""))</f>
        <v/>
      </c>
      <c r="AP2519" s="82" t="str">
        <f aca="false">IF(AL2519&lt;&gt;"",AL2519,IF(AG2519&lt;&gt;"",AG2519,IF(AA2519&lt;&gt;"",AA2519,"")))</f>
        <v/>
      </c>
      <c r="AQ2519" s="84" t="str">
        <f aca="false">IF(E2519="","",IF(U2519="","À SOUDER",IF(X2519="","VT EN ATTENTE",IF(X2519="R","VT REJETÉ – À REPRENDRE",IF(AP2519="","À RADIOGRAPHIER",IF(AP2519="A","ACCEPTÉ",IF(AP2519="NX","NX – RT À REFAIRE",IF(IF(AO2519=1,AD2519,IF(AO2519=2,AI2519,""))="A","RÉPARÉ – À RADIOGRAPHIER",IF(IF(AO2519=1,AD2519,IF(AO2519=2,AI2519,""))="R","VT REJETÉ – À REPRENDRE",IF(OR(AP2519="CO",AP2519="NT"),"COUPE – À RESOUDER","À RÉPARER"))))))))))</f>
        <v/>
      </c>
      <c r="AR2519" s="82" t="str">
        <f aca="false">IF(AND(ISNUMBER(U2519),OR(AQ2519="À RADIOGRAPHIER",AQ2519="RÉPARÉ – À RADIOGRAPHIER",AQ2519="NX – RT À REFAIRE",AQ2519="À RÉPARER",AQ2519="COUPE – À RESOUDER",AQ2519="VT REJETÉ – À REPRENDRE")),MAX(0,'PROGRAMME RT'!$C$4-U2519),"")</f>
        <v/>
      </c>
      <c r="AS2519" s="82" t="n">
        <f aca="false">IF(AND(OR(AQ2519="À RADIOGRAPHIER",AQ2519="RÉPARÉ – À RADIOGRAPHIER",AQ2519="NX – RT À REFAIRE"),OR('PROGRAMME RT'!$D$5="TOUTES",B2519='PROGRAMME RT'!$D$5)),1,0)</f>
        <v>0</v>
      </c>
      <c r="AT2519" s="82" t="str">
        <f aca="false">IF(AS2519=1,SUM(AS$7:AS2519),"")</f>
        <v/>
      </c>
      <c r="AU2519" s="82" t="n">
        <f aca="false">IF(AND(OR(AA2519="R",AA2519="NX",AA2519="NT",AA2519="CO"),OR('JOINTS DE RÉPARATION'!$D$5="TOUTES",B2519='JOINTS DE RÉPARATION'!$D$5),OR('JOINTS DE RÉPARATION'!$L$4="TOUS",AQ2519&lt;&gt;"ACCEPTÉ")),1,0)</f>
        <v>0</v>
      </c>
      <c r="AV2519" s="82" t="str">
        <f aca="false">IF(AU2519=1,SUM(AU$7:AU2519),"")</f>
        <v/>
      </c>
      <c r="AW2519" s="82" t="str">
        <f aca="false">IF(E2519="","",B2519&amp;"|"&amp;E2519)</f>
        <v/>
      </c>
    </row>
    <row r="2520" customFormat="false" ht="15" hidden="false" customHeight="false" outlineLevel="0" collapsed="false">
      <c r="A2520" s="79" t="str">
        <f aca="false">IF(E2520="","",ROW()-6)</f>
        <v/>
      </c>
      <c r="B2520" s="80"/>
      <c r="C2520" s="81"/>
      <c r="D2520" s="81"/>
      <c r="E2520" s="81"/>
      <c r="F2520" s="82" t="str">
        <f aca="false">IF(E2520="","",IF(LEFT(E2520,2)="DJ","DJ","JN"))</f>
        <v/>
      </c>
      <c r="G2520" s="81"/>
      <c r="H2520" s="81"/>
      <c r="I2520" s="81"/>
      <c r="J2520" s="81"/>
      <c r="K2520" s="81"/>
      <c r="L2520" s="81"/>
      <c r="M2520" s="81"/>
      <c r="N2520" s="81"/>
      <c r="O2520" s="81"/>
      <c r="P2520" s="81"/>
      <c r="Q2520" s="81"/>
      <c r="R2520" s="81"/>
      <c r="S2520" s="81"/>
      <c r="T2520" s="81"/>
      <c r="U2520" s="83"/>
      <c r="V2520" s="83"/>
      <c r="W2520" s="81"/>
      <c r="X2520" s="81"/>
      <c r="Y2520" s="83"/>
      <c r="Z2520" s="81"/>
      <c r="AA2520" s="81"/>
      <c r="AB2520" s="81"/>
      <c r="AC2520" s="81"/>
      <c r="AD2520" s="81"/>
      <c r="AE2520" s="83"/>
      <c r="AF2520" s="81"/>
      <c r="AG2520" s="81"/>
      <c r="AH2520" s="81"/>
      <c r="AI2520" s="81"/>
      <c r="AJ2520" s="83"/>
      <c r="AK2520" s="81"/>
      <c r="AL2520" s="81"/>
      <c r="AM2520" s="83"/>
      <c r="AN2520" s="80"/>
      <c r="AO2520" s="82" t="str">
        <f aca="false">IF(E2520="","",(AA2520&lt;&gt;"")+(AG2520&lt;&gt;"")+(AL2520&lt;&gt;""))</f>
        <v/>
      </c>
      <c r="AP2520" s="82" t="str">
        <f aca="false">IF(AL2520&lt;&gt;"",AL2520,IF(AG2520&lt;&gt;"",AG2520,IF(AA2520&lt;&gt;"",AA2520,"")))</f>
        <v/>
      </c>
      <c r="AQ2520" s="84" t="str">
        <f aca="false">IF(E2520="","",IF(U2520="","À SOUDER",IF(X2520="","VT EN ATTENTE",IF(X2520="R","VT REJETÉ – À REPRENDRE",IF(AP2520="","À RADIOGRAPHIER",IF(AP2520="A","ACCEPTÉ",IF(AP2520="NX","NX – RT À REFAIRE",IF(IF(AO2520=1,AD2520,IF(AO2520=2,AI2520,""))="A","RÉPARÉ – À RADIOGRAPHIER",IF(IF(AO2520=1,AD2520,IF(AO2520=2,AI2520,""))="R","VT REJETÉ – À REPRENDRE",IF(OR(AP2520="CO",AP2520="NT"),"COUPE – À RESOUDER","À RÉPARER"))))))))))</f>
        <v/>
      </c>
      <c r="AR2520" s="82" t="str">
        <f aca="false">IF(AND(ISNUMBER(U2520),OR(AQ2520="À RADIOGRAPHIER",AQ2520="RÉPARÉ – À RADIOGRAPHIER",AQ2520="NX – RT À REFAIRE",AQ2520="À RÉPARER",AQ2520="COUPE – À RESOUDER",AQ2520="VT REJETÉ – À REPRENDRE")),MAX(0,'PROGRAMME RT'!$C$4-U2520),"")</f>
        <v/>
      </c>
      <c r="AS2520" s="82" t="n">
        <f aca="false">IF(AND(OR(AQ2520="À RADIOGRAPHIER",AQ2520="RÉPARÉ – À RADIOGRAPHIER",AQ2520="NX – RT À REFAIRE"),OR('PROGRAMME RT'!$D$5="TOUTES",B2520='PROGRAMME RT'!$D$5)),1,0)</f>
        <v>0</v>
      </c>
      <c r="AT2520" s="82" t="str">
        <f aca="false">IF(AS2520=1,SUM(AS$7:AS2520),"")</f>
        <v/>
      </c>
      <c r="AU2520" s="82" t="n">
        <f aca="false">IF(AND(OR(AA2520="R",AA2520="NX",AA2520="NT",AA2520="CO"),OR('JOINTS DE RÉPARATION'!$D$5="TOUTES",B2520='JOINTS DE RÉPARATION'!$D$5),OR('JOINTS DE RÉPARATION'!$L$4="TOUS",AQ2520&lt;&gt;"ACCEPTÉ")),1,0)</f>
        <v>0</v>
      </c>
      <c r="AV2520" s="82" t="str">
        <f aca="false">IF(AU2520=1,SUM(AU$7:AU2520),"")</f>
        <v/>
      </c>
      <c r="AW2520" s="82" t="str">
        <f aca="false">IF(E2520="","",B2520&amp;"|"&amp;E2520)</f>
        <v/>
      </c>
    </row>
    <row r="2521" customFormat="false" ht="15" hidden="false" customHeight="false" outlineLevel="0" collapsed="false">
      <c r="A2521" s="79" t="str">
        <f aca="false">IF(E2521="","",ROW()-6)</f>
        <v/>
      </c>
      <c r="B2521" s="80"/>
      <c r="C2521" s="81"/>
      <c r="D2521" s="81"/>
      <c r="E2521" s="81"/>
      <c r="F2521" s="82" t="str">
        <f aca="false">IF(E2521="","",IF(LEFT(E2521,2)="DJ","DJ","JN"))</f>
        <v/>
      </c>
      <c r="G2521" s="81"/>
      <c r="H2521" s="81"/>
      <c r="I2521" s="81"/>
      <c r="J2521" s="81"/>
      <c r="K2521" s="81"/>
      <c r="L2521" s="81"/>
      <c r="M2521" s="81"/>
      <c r="N2521" s="81"/>
      <c r="O2521" s="81"/>
      <c r="P2521" s="81"/>
      <c r="Q2521" s="81"/>
      <c r="R2521" s="81"/>
      <c r="S2521" s="81"/>
      <c r="T2521" s="81"/>
      <c r="U2521" s="83"/>
      <c r="V2521" s="83"/>
      <c r="W2521" s="81"/>
      <c r="X2521" s="81"/>
      <c r="Y2521" s="83"/>
      <c r="Z2521" s="81"/>
      <c r="AA2521" s="81"/>
      <c r="AB2521" s="81"/>
      <c r="AC2521" s="81"/>
      <c r="AD2521" s="81"/>
      <c r="AE2521" s="83"/>
      <c r="AF2521" s="81"/>
      <c r="AG2521" s="81"/>
      <c r="AH2521" s="81"/>
      <c r="AI2521" s="81"/>
      <c r="AJ2521" s="83"/>
      <c r="AK2521" s="81"/>
      <c r="AL2521" s="81"/>
      <c r="AM2521" s="83"/>
      <c r="AN2521" s="80"/>
      <c r="AO2521" s="82" t="str">
        <f aca="false">IF(E2521="","",(AA2521&lt;&gt;"")+(AG2521&lt;&gt;"")+(AL2521&lt;&gt;""))</f>
        <v/>
      </c>
      <c r="AP2521" s="82" t="str">
        <f aca="false">IF(AL2521&lt;&gt;"",AL2521,IF(AG2521&lt;&gt;"",AG2521,IF(AA2521&lt;&gt;"",AA2521,"")))</f>
        <v/>
      </c>
      <c r="AQ2521" s="84" t="str">
        <f aca="false">IF(E2521="","",IF(U2521="","À SOUDER",IF(X2521="","VT EN ATTENTE",IF(X2521="R","VT REJETÉ – À REPRENDRE",IF(AP2521="","À RADIOGRAPHIER",IF(AP2521="A","ACCEPTÉ",IF(AP2521="NX","NX – RT À REFAIRE",IF(IF(AO2521=1,AD2521,IF(AO2521=2,AI2521,""))="A","RÉPARÉ – À RADIOGRAPHIER",IF(IF(AO2521=1,AD2521,IF(AO2521=2,AI2521,""))="R","VT REJETÉ – À REPRENDRE",IF(OR(AP2521="CO",AP2521="NT"),"COUPE – À RESOUDER","À RÉPARER"))))))))))</f>
        <v/>
      </c>
      <c r="AR2521" s="82" t="str">
        <f aca="false">IF(AND(ISNUMBER(U2521),OR(AQ2521="À RADIOGRAPHIER",AQ2521="RÉPARÉ – À RADIOGRAPHIER",AQ2521="NX – RT À REFAIRE",AQ2521="À RÉPARER",AQ2521="COUPE – À RESOUDER",AQ2521="VT REJETÉ – À REPRENDRE")),MAX(0,'PROGRAMME RT'!$C$4-U2521),"")</f>
        <v/>
      </c>
      <c r="AS2521" s="82" t="n">
        <f aca="false">IF(AND(OR(AQ2521="À RADIOGRAPHIER",AQ2521="RÉPARÉ – À RADIOGRAPHIER",AQ2521="NX – RT À REFAIRE"),OR('PROGRAMME RT'!$D$5="TOUTES",B2521='PROGRAMME RT'!$D$5)),1,0)</f>
        <v>0</v>
      </c>
      <c r="AT2521" s="82" t="str">
        <f aca="false">IF(AS2521=1,SUM(AS$7:AS2521),"")</f>
        <v/>
      </c>
      <c r="AU2521" s="82" t="n">
        <f aca="false">IF(AND(OR(AA2521="R",AA2521="NX",AA2521="NT",AA2521="CO"),OR('JOINTS DE RÉPARATION'!$D$5="TOUTES",B2521='JOINTS DE RÉPARATION'!$D$5),OR('JOINTS DE RÉPARATION'!$L$4="TOUS",AQ2521&lt;&gt;"ACCEPTÉ")),1,0)</f>
        <v>0</v>
      </c>
      <c r="AV2521" s="82" t="str">
        <f aca="false">IF(AU2521=1,SUM(AU$7:AU2521),"")</f>
        <v/>
      </c>
      <c r="AW2521" s="82" t="str">
        <f aca="false">IF(E2521="","",B2521&amp;"|"&amp;E2521)</f>
        <v/>
      </c>
    </row>
    <row r="2522" customFormat="false" ht="15" hidden="false" customHeight="false" outlineLevel="0" collapsed="false">
      <c r="A2522" s="79" t="str">
        <f aca="false">IF(E2522="","",ROW()-6)</f>
        <v/>
      </c>
      <c r="B2522" s="80"/>
      <c r="C2522" s="81"/>
      <c r="D2522" s="81"/>
      <c r="E2522" s="81"/>
      <c r="F2522" s="82" t="str">
        <f aca="false">IF(E2522="","",IF(LEFT(E2522,2)="DJ","DJ","JN"))</f>
        <v/>
      </c>
      <c r="G2522" s="81"/>
      <c r="H2522" s="81"/>
      <c r="I2522" s="81"/>
      <c r="J2522" s="81"/>
      <c r="K2522" s="81"/>
      <c r="L2522" s="81"/>
      <c r="M2522" s="81"/>
      <c r="N2522" s="81"/>
      <c r="O2522" s="81"/>
      <c r="P2522" s="81"/>
      <c r="Q2522" s="81"/>
      <c r="R2522" s="81"/>
      <c r="S2522" s="81"/>
      <c r="T2522" s="81"/>
      <c r="U2522" s="83"/>
      <c r="V2522" s="83"/>
      <c r="W2522" s="81"/>
      <c r="X2522" s="81"/>
      <c r="Y2522" s="83"/>
      <c r="Z2522" s="81"/>
      <c r="AA2522" s="81"/>
      <c r="AB2522" s="81"/>
      <c r="AC2522" s="81"/>
      <c r="AD2522" s="81"/>
      <c r="AE2522" s="83"/>
      <c r="AF2522" s="81"/>
      <c r="AG2522" s="81"/>
      <c r="AH2522" s="81"/>
      <c r="AI2522" s="81"/>
      <c r="AJ2522" s="83"/>
      <c r="AK2522" s="81"/>
      <c r="AL2522" s="81"/>
      <c r="AM2522" s="83"/>
      <c r="AN2522" s="80"/>
      <c r="AO2522" s="82" t="str">
        <f aca="false">IF(E2522="","",(AA2522&lt;&gt;"")+(AG2522&lt;&gt;"")+(AL2522&lt;&gt;""))</f>
        <v/>
      </c>
      <c r="AP2522" s="82" t="str">
        <f aca="false">IF(AL2522&lt;&gt;"",AL2522,IF(AG2522&lt;&gt;"",AG2522,IF(AA2522&lt;&gt;"",AA2522,"")))</f>
        <v/>
      </c>
      <c r="AQ2522" s="84" t="str">
        <f aca="false">IF(E2522="","",IF(U2522="","À SOUDER",IF(X2522="","VT EN ATTENTE",IF(X2522="R","VT REJETÉ – À REPRENDRE",IF(AP2522="","À RADIOGRAPHIER",IF(AP2522="A","ACCEPTÉ",IF(AP2522="NX","NX – RT À REFAIRE",IF(IF(AO2522=1,AD2522,IF(AO2522=2,AI2522,""))="A","RÉPARÉ – À RADIOGRAPHIER",IF(IF(AO2522=1,AD2522,IF(AO2522=2,AI2522,""))="R","VT REJETÉ – À REPRENDRE",IF(OR(AP2522="CO",AP2522="NT"),"COUPE – À RESOUDER","À RÉPARER"))))))))))</f>
        <v/>
      </c>
      <c r="AR2522" s="82" t="str">
        <f aca="false">IF(AND(ISNUMBER(U2522),OR(AQ2522="À RADIOGRAPHIER",AQ2522="RÉPARÉ – À RADIOGRAPHIER",AQ2522="NX – RT À REFAIRE",AQ2522="À RÉPARER",AQ2522="COUPE – À RESOUDER",AQ2522="VT REJETÉ – À REPRENDRE")),MAX(0,'PROGRAMME RT'!$C$4-U2522),"")</f>
        <v/>
      </c>
      <c r="AS2522" s="82" t="n">
        <f aca="false">IF(AND(OR(AQ2522="À RADIOGRAPHIER",AQ2522="RÉPARÉ – À RADIOGRAPHIER",AQ2522="NX – RT À REFAIRE"),OR('PROGRAMME RT'!$D$5="TOUTES",B2522='PROGRAMME RT'!$D$5)),1,0)</f>
        <v>0</v>
      </c>
      <c r="AT2522" s="82" t="str">
        <f aca="false">IF(AS2522=1,SUM(AS$7:AS2522),"")</f>
        <v/>
      </c>
      <c r="AU2522" s="82" t="n">
        <f aca="false">IF(AND(OR(AA2522="R",AA2522="NX",AA2522="NT",AA2522="CO"),OR('JOINTS DE RÉPARATION'!$D$5="TOUTES",B2522='JOINTS DE RÉPARATION'!$D$5),OR('JOINTS DE RÉPARATION'!$L$4="TOUS",AQ2522&lt;&gt;"ACCEPTÉ")),1,0)</f>
        <v>0</v>
      </c>
      <c r="AV2522" s="82" t="str">
        <f aca="false">IF(AU2522=1,SUM(AU$7:AU2522),"")</f>
        <v/>
      </c>
      <c r="AW2522" s="82" t="str">
        <f aca="false">IF(E2522="","",B2522&amp;"|"&amp;E2522)</f>
        <v/>
      </c>
    </row>
    <row r="2523" customFormat="false" ht="15" hidden="false" customHeight="false" outlineLevel="0" collapsed="false">
      <c r="A2523" s="79" t="str">
        <f aca="false">IF(E2523="","",ROW()-6)</f>
        <v/>
      </c>
      <c r="B2523" s="80"/>
      <c r="C2523" s="81"/>
      <c r="D2523" s="81"/>
      <c r="E2523" s="81"/>
      <c r="F2523" s="82" t="str">
        <f aca="false">IF(E2523="","",IF(LEFT(E2523,2)="DJ","DJ","JN"))</f>
        <v/>
      </c>
      <c r="G2523" s="81"/>
      <c r="H2523" s="81"/>
      <c r="I2523" s="81"/>
      <c r="J2523" s="81"/>
      <c r="K2523" s="81"/>
      <c r="L2523" s="81"/>
      <c r="M2523" s="81"/>
      <c r="N2523" s="81"/>
      <c r="O2523" s="81"/>
      <c r="P2523" s="81"/>
      <c r="Q2523" s="81"/>
      <c r="R2523" s="81"/>
      <c r="S2523" s="81"/>
      <c r="T2523" s="81"/>
      <c r="U2523" s="83"/>
      <c r="V2523" s="83"/>
      <c r="W2523" s="81"/>
      <c r="X2523" s="81"/>
      <c r="Y2523" s="83"/>
      <c r="Z2523" s="81"/>
      <c r="AA2523" s="81"/>
      <c r="AB2523" s="81"/>
      <c r="AC2523" s="81"/>
      <c r="AD2523" s="81"/>
      <c r="AE2523" s="83"/>
      <c r="AF2523" s="81"/>
      <c r="AG2523" s="81"/>
      <c r="AH2523" s="81"/>
      <c r="AI2523" s="81"/>
      <c r="AJ2523" s="83"/>
      <c r="AK2523" s="81"/>
      <c r="AL2523" s="81"/>
      <c r="AM2523" s="83"/>
      <c r="AN2523" s="80"/>
      <c r="AO2523" s="82" t="str">
        <f aca="false">IF(E2523="","",(AA2523&lt;&gt;"")+(AG2523&lt;&gt;"")+(AL2523&lt;&gt;""))</f>
        <v/>
      </c>
      <c r="AP2523" s="82" t="str">
        <f aca="false">IF(AL2523&lt;&gt;"",AL2523,IF(AG2523&lt;&gt;"",AG2523,IF(AA2523&lt;&gt;"",AA2523,"")))</f>
        <v/>
      </c>
      <c r="AQ2523" s="84" t="str">
        <f aca="false">IF(E2523="","",IF(U2523="","À SOUDER",IF(X2523="","VT EN ATTENTE",IF(X2523="R","VT REJETÉ – À REPRENDRE",IF(AP2523="","À RADIOGRAPHIER",IF(AP2523="A","ACCEPTÉ",IF(AP2523="NX","NX – RT À REFAIRE",IF(IF(AO2523=1,AD2523,IF(AO2523=2,AI2523,""))="A","RÉPARÉ – À RADIOGRAPHIER",IF(IF(AO2523=1,AD2523,IF(AO2523=2,AI2523,""))="R","VT REJETÉ – À REPRENDRE",IF(OR(AP2523="CO",AP2523="NT"),"COUPE – À RESOUDER","À RÉPARER"))))))))))</f>
        <v/>
      </c>
      <c r="AR2523" s="82" t="str">
        <f aca="false">IF(AND(ISNUMBER(U2523),OR(AQ2523="À RADIOGRAPHIER",AQ2523="RÉPARÉ – À RADIOGRAPHIER",AQ2523="NX – RT À REFAIRE",AQ2523="À RÉPARER",AQ2523="COUPE – À RESOUDER",AQ2523="VT REJETÉ – À REPRENDRE")),MAX(0,'PROGRAMME RT'!$C$4-U2523),"")</f>
        <v/>
      </c>
      <c r="AS2523" s="82" t="n">
        <f aca="false">IF(AND(OR(AQ2523="À RADIOGRAPHIER",AQ2523="RÉPARÉ – À RADIOGRAPHIER",AQ2523="NX – RT À REFAIRE"),OR('PROGRAMME RT'!$D$5="TOUTES",B2523='PROGRAMME RT'!$D$5)),1,0)</f>
        <v>0</v>
      </c>
      <c r="AT2523" s="82" t="str">
        <f aca="false">IF(AS2523=1,SUM(AS$7:AS2523),"")</f>
        <v/>
      </c>
      <c r="AU2523" s="82" t="n">
        <f aca="false">IF(AND(OR(AA2523="R",AA2523="NX",AA2523="NT",AA2523="CO"),OR('JOINTS DE RÉPARATION'!$D$5="TOUTES",B2523='JOINTS DE RÉPARATION'!$D$5),OR('JOINTS DE RÉPARATION'!$L$4="TOUS",AQ2523&lt;&gt;"ACCEPTÉ")),1,0)</f>
        <v>0</v>
      </c>
      <c r="AV2523" s="82" t="str">
        <f aca="false">IF(AU2523=1,SUM(AU$7:AU2523),"")</f>
        <v/>
      </c>
      <c r="AW2523" s="82" t="str">
        <f aca="false">IF(E2523="","",B2523&amp;"|"&amp;E2523)</f>
        <v/>
      </c>
    </row>
    <row r="2524" customFormat="false" ht="15" hidden="false" customHeight="false" outlineLevel="0" collapsed="false">
      <c r="A2524" s="79" t="str">
        <f aca="false">IF(E2524="","",ROW()-6)</f>
        <v/>
      </c>
      <c r="B2524" s="80"/>
      <c r="C2524" s="81"/>
      <c r="D2524" s="81"/>
      <c r="E2524" s="81"/>
      <c r="F2524" s="82" t="str">
        <f aca="false">IF(E2524="","",IF(LEFT(E2524,2)="DJ","DJ","JN"))</f>
        <v/>
      </c>
      <c r="G2524" s="81"/>
      <c r="H2524" s="81"/>
      <c r="I2524" s="81"/>
      <c r="J2524" s="81"/>
      <c r="K2524" s="81"/>
      <c r="L2524" s="81"/>
      <c r="M2524" s="81"/>
      <c r="N2524" s="81"/>
      <c r="O2524" s="81"/>
      <c r="P2524" s="81"/>
      <c r="Q2524" s="81"/>
      <c r="R2524" s="81"/>
      <c r="S2524" s="81"/>
      <c r="T2524" s="81"/>
      <c r="U2524" s="83"/>
      <c r="V2524" s="83"/>
      <c r="W2524" s="81"/>
      <c r="X2524" s="81"/>
      <c r="Y2524" s="83"/>
      <c r="Z2524" s="81"/>
      <c r="AA2524" s="81"/>
      <c r="AB2524" s="81"/>
      <c r="AC2524" s="81"/>
      <c r="AD2524" s="81"/>
      <c r="AE2524" s="83"/>
      <c r="AF2524" s="81"/>
      <c r="AG2524" s="81"/>
      <c r="AH2524" s="81"/>
      <c r="AI2524" s="81"/>
      <c r="AJ2524" s="83"/>
      <c r="AK2524" s="81"/>
      <c r="AL2524" s="81"/>
      <c r="AM2524" s="83"/>
      <c r="AN2524" s="80"/>
      <c r="AO2524" s="82" t="str">
        <f aca="false">IF(E2524="","",(AA2524&lt;&gt;"")+(AG2524&lt;&gt;"")+(AL2524&lt;&gt;""))</f>
        <v/>
      </c>
      <c r="AP2524" s="82" t="str">
        <f aca="false">IF(AL2524&lt;&gt;"",AL2524,IF(AG2524&lt;&gt;"",AG2524,IF(AA2524&lt;&gt;"",AA2524,"")))</f>
        <v/>
      </c>
      <c r="AQ2524" s="84" t="str">
        <f aca="false">IF(E2524="","",IF(U2524="","À SOUDER",IF(X2524="","VT EN ATTENTE",IF(X2524="R","VT REJETÉ – À REPRENDRE",IF(AP2524="","À RADIOGRAPHIER",IF(AP2524="A","ACCEPTÉ",IF(AP2524="NX","NX – RT À REFAIRE",IF(IF(AO2524=1,AD2524,IF(AO2524=2,AI2524,""))="A","RÉPARÉ – À RADIOGRAPHIER",IF(IF(AO2524=1,AD2524,IF(AO2524=2,AI2524,""))="R","VT REJETÉ – À REPRENDRE",IF(OR(AP2524="CO",AP2524="NT"),"COUPE – À RESOUDER","À RÉPARER"))))))))))</f>
        <v/>
      </c>
      <c r="AR2524" s="82" t="str">
        <f aca="false">IF(AND(ISNUMBER(U2524),OR(AQ2524="À RADIOGRAPHIER",AQ2524="RÉPARÉ – À RADIOGRAPHIER",AQ2524="NX – RT À REFAIRE",AQ2524="À RÉPARER",AQ2524="COUPE – À RESOUDER",AQ2524="VT REJETÉ – À REPRENDRE")),MAX(0,'PROGRAMME RT'!$C$4-U2524),"")</f>
        <v/>
      </c>
      <c r="AS2524" s="82" t="n">
        <f aca="false">IF(AND(OR(AQ2524="À RADIOGRAPHIER",AQ2524="RÉPARÉ – À RADIOGRAPHIER",AQ2524="NX – RT À REFAIRE"),OR('PROGRAMME RT'!$D$5="TOUTES",B2524='PROGRAMME RT'!$D$5)),1,0)</f>
        <v>0</v>
      </c>
      <c r="AT2524" s="82" t="str">
        <f aca="false">IF(AS2524=1,SUM(AS$7:AS2524),"")</f>
        <v/>
      </c>
      <c r="AU2524" s="82" t="n">
        <f aca="false">IF(AND(OR(AA2524="R",AA2524="NX",AA2524="NT",AA2524="CO"),OR('JOINTS DE RÉPARATION'!$D$5="TOUTES",B2524='JOINTS DE RÉPARATION'!$D$5),OR('JOINTS DE RÉPARATION'!$L$4="TOUS",AQ2524&lt;&gt;"ACCEPTÉ")),1,0)</f>
        <v>0</v>
      </c>
      <c r="AV2524" s="82" t="str">
        <f aca="false">IF(AU2524=1,SUM(AU$7:AU2524),"")</f>
        <v/>
      </c>
      <c r="AW2524" s="82" t="str">
        <f aca="false">IF(E2524="","",B2524&amp;"|"&amp;E2524)</f>
        <v/>
      </c>
    </row>
    <row r="2525" customFormat="false" ht="15" hidden="false" customHeight="false" outlineLevel="0" collapsed="false">
      <c r="A2525" s="79" t="str">
        <f aca="false">IF(E2525="","",ROW()-6)</f>
        <v/>
      </c>
      <c r="B2525" s="80"/>
      <c r="C2525" s="81"/>
      <c r="D2525" s="81"/>
      <c r="E2525" s="81"/>
      <c r="F2525" s="82" t="str">
        <f aca="false">IF(E2525="","",IF(LEFT(E2525,2)="DJ","DJ","JN"))</f>
        <v/>
      </c>
      <c r="G2525" s="81"/>
      <c r="H2525" s="81"/>
      <c r="I2525" s="81"/>
      <c r="J2525" s="81"/>
      <c r="K2525" s="81"/>
      <c r="L2525" s="81"/>
      <c r="M2525" s="81"/>
      <c r="N2525" s="81"/>
      <c r="O2525" s="81"/>
      <c r="P2525" s="81"/>
      <c r="Q2525" s="81"/>
      <c r="R2525" s="81"/>
      <c r="S2525" s="81"/>
      <c r="T2525" s="81"/>
      <c r="U2525" s="83"/>
      <c r="V2525" s="83"/>
      <c r="W2525" s="81"/>
      <c r="X2525" s="81"/>
      <c r="Y2525" s="83"/>
      <c r="Z2525" s="81"/>
      <c r="AA2525" s="81"/>
      <c r="AB2525" s="81"/>
      <c r="AC2525" s="81"/>
      <c r="AD2525" s="81"/>
      <c r="AE2525" s="83"/>
      <c r="AF2525" s="81"/>
      <c r="AG2525" s="81"/>
      <c r="AH2525" s="81"/>
      <c r="AI2525" s="81"/>
      <c r="AJ2525" s="83"/>
      <c r="AK2525" s="81"/>
      <c r="AL2525" s="81"/>
      <c r="AM2525" s="83"/>
      <c r="AN2525" s="80"/>
      <c r="AO2525" s="82" t="str">
        <f aca="false">IF(E2525="","",(AA2525&lt;&gt;"")+(AG2525&lt;&gt;"")+(AL2525&lt;&gt;""))</f>
        <v/>
      </c>
      <c r="AP2525" s="82" t="str">
        <f aca="false">IF(AL2525&lt;&gt;"",AL2525,IF(AG2525&lt;&gt;"",AG2525,IF(AA2525&lt;&gt;"",AA2525,"")))</f>
        <v/>
      </c>
      <c r="AQ2525" s="84" t="str">
        <f aca="false">IF(E2525="","",IF(U2525="","À SOUDER",IF(X2525="","VT EN ATTENTE",IF(X2525="R","VT REJETÉ – À REPRENDRE",IF(AP2525="","À RADIOGRAPHIER",IF(AP2525="A","ACCEPTÉ",IF(AP2525="NX","NX – RT À REFAIRE",IF(IF(AO2525=1,AD2525,IF(AO2525=2,AI2525,""))="A","RÉPARÉ – À RADIOGRAPHIER",IF(IF(AO2525=1,AD2525,IF(AO2525=2,AI2525,""))="R","VT REJETÉ – À REPRENDRE",IF(OR(AP2525="CO",AP2525="NT"),"COUPE – À RESOUDER","À RÉPARER"))))))))))</f>
        <v/>
      </c>
      <c r="AR2525" s="82" t="str">
        <f aca="false">IF(AND(ISNUMBER(U2525),OR(AQ2525="À RADIOGRAPHIER",AQ2525="RÉPARÉ – À RADIOGRAPHIER",AQ2525="NX – RT À REFAIRE",AQ2525="À RÉPARER",AQ2525="COUPE – À RESOUDER",AQ2525="VT REJETÉ – À REPRENDRE")),MAX(0,'PROGRAMME RT'!$C$4-U2525),"")</f>
        <v/>
      </c>
      <c r="AS2525" s="82" t="n">
        <f aca="false">IF(AND(OR(AQ2525="À RADIOGRAPHIER",AQ2525="RÉPARÉ – À RADIOGRAPHIER",AQ2525="NX – RT À REFAIRE"),OR('PROGRAMME RT'!$D$5="TOUTES",B2525='PROGRAMME RT'!$D$5)),1,0)</f>
        <v>0</v>
      </c>
      <c r="AT2525" s="82" t="str">
        <f aca="false">IF(AS2525=1,SUM(AS$7:AS2525),"")</f>
        <v/>
      </c>
      <c r="AU2525" s="82" t="n">
        <f aca="false">IF(AND(OR(AA2525="R",AA2525="NX",AA2525="NT",AA2525="CO"),OR('JOINTS DE RÉPARATION'!$D$5="TOUTES",B2525='JOINTS DE RÉPARATION'!$D$5),OR('JOINTS DE RÉPARATION'!$L$4="TOUS",AQ2525&lt;&gt;"ACCEPTÉ")),1,0)</f>
        <v>0</v>
      </c>
      <c r="AV2525" s="82" t="str">
        <f aca="false">IF(AU2525=1,SUM(AU$7:AU2525),"")</f>
        <v/>
      </c>
      <c r="AW2525" s="82" t="str">
        <f aca="false">IF(E2525="","",B2525&amp;"|"&amp;E2525)</f>
        <v/>
      </c>
    </row>
    <row r="2526" customFormat="false" ht="15" hidden="false" customHeight="false" outlineLevel="0" collapsed="false">
      <c r="A2526" s="79" t="str">
        <f aca="false">IF(E2526="","",ROW()-6)</f>
        <v/>
      </c>
      <c r="B2526" s="80"/>
      <c r="C2526" s="81"/>
      <c r="D2526" s="81"/>
      <c r="E2526" s="81"/>
      <c r="F2526" s="82" t="str">
        <f aca="false">IF(E2526="","",IF(LEFT(E2526,2)="DJ","DJ","JN"))</f>
        <v/>
      </c>
      <c r="G2526" s="81"/>
      <c r="H2526" s="81"/>
      <c r="I2526" s="81"/>
      <c r="J2526" s="81"/>
      <c r="K2526" s="81"/>
      <c r="L2526" s="81"/>
      <c r="M2526" s="81"/>
      <c r="N2526" s="81"/>
      <c r="O2526" s="81"/>
      <c r="P2526" s="81"/>
      <c r="Q2526" s="81"/>
      <c r="R2526" s="81"/>
      <c r="S2526" s="81"/>
      <c r="T2526" s="81"/>
      <c r="U2526" s="83"/>
      <c r="V2526" s="83"/>
      <c r="W2526" s="81"/>
      <c r="X2526" s="81"/>
      <c r="Y2526" s="83"/>
      <c r="Z2526" s="81"/>
      <c r="AA2526" s="81"/>
      <c r="AB2526" s="81"/>
      <c r="AC2526" s="81"/>
      <c r="AD2526" s="81"/>
      <c r="AE2526" s="83"/>
      <c r="AF2526" s="81"/>
      <c r="AG2526" s="81"/>
      <c r="AH2526" s="81"/>
      <c r="AI2526" s="81"/>
      <c r="AJ2526" s="83"/>
      <c r="AK2526" s="81"/>
      <c r="AL2526" s="81"/>
      <c r="AM2526" s="83"/>
      <c r="AN2526" s="80"/>
      <c r="AO2526" s="82" t="str">
        <f aca="false">IF(E2526="","",(AA2526&lt;&gt;"")+(AG2526&lt;&gt;"")+(AL2526&lt;&gt;""))</f>
        <v/>
      </c>
      <c r="AP2526" s="82" t="str">
        <f aca="false">IF(AL2526&lt;&gt;"",AL2526,IF(AG2526&lt;&gt;"",AG2526,IF(AA2526&lt;&gt;"",AA2526,"")))</f>
        <v/>
      </c>
      <c r="AQ2526" s="84" t="str">
        <f aca="false">IF(E2526="","",IF(U2526="","À SOUDER",IF(X2526="","VT EN ATTENTE",IF(X2526="R","VT REJETÉ – À REPRENDRE",IF(AP2526="","À RADIOGRAPHIER",IF(AP2526="A","ACCEPTÉ",IF(AP2526="NX","NX – RT À REFAIRE",IF(IF(AO2526=1,AD2526,IF(AO2526=2,AI2526,""))="A","RÉPARÉ – À RADIOGRAPHIER",IF(IF(AO2526=1,AD2526,IF(AO2526=2,AI2526,""))="R","VT REJETÉ – À REPRENDRE",IF(OR(AP2526="CO",AP2526="NT"),"COUPE – À RESOUDER","À RÉPARER"))))))))))</f>
        <v/>
      </c>
      <c r="AR2526" s="82" t="str">
        <f aca="false">IF(AND(ISNUMBER(U2526),OR(AQ2526="À RADIOGRAPHIER",AQ2526="RÉPARÉ – À RADIOGRAPHIER",AQ2526="NX – RT À REFAIRE",AQ2526="À RÉPARER",AQ2526="COUPE – À RESOUDER",AQ2526="VT REJETÉ – À REPRENDRE")),MAX(0,'PROGRAMME RT'!$C$4-U2526),"")</f>
        <v/>
      </c>
      <c r="AS2526" s="82" t="n">
        <f aca="false">IF(AND(OR(AQ2526="À RADIOGRAPHIER",AQ2526="RÉPARÉ – À RADIOGRAPHIER",AQ2526="NX – RT À REFAIRE"),OR('PROGRAMME RT'!$D$5="TOUTES",B2526='PROGRAMME RT'!$D$5)),1,0)</f>
        <v>0</v>
      </c>
      <c r="AT2526" s="82" t="str">
        <f aca="false">IF(AS2526=1,SUM(AS$7:AS2526),"")</f>
        <v/>
      </c>
      <c r="AU2526" s="82" t="n">
        <f aca="false">IF(AND(OR(AA2526="R",AA2526="NX",AA2526="NT",AA2526="CO"),OR('JOINTS DE RÉPARATION'!$D$5="TOUTES",B2526='JOINTS DE RÉPARATION'!$D$5),OR('JOINTS DE RÉPARATION'!$L$4="TOUS",AQ2526&lt;&gt;"ACCEPTÉ")),1,0)</f>
        <v>0</v>
      </c>
      <c r="AV2526" s="82" t="str">
        <f aca="false">IF(AU2526=1,SUM(AU$7:AU2526),"")</f>
        <v/>
      </c>
      <c r="AW2526" s="82" t="str">
        <f aca="false">IF(E2526="","",B2526&amp;"|"&amp;E2526)</f>
        <v/>
      </c>
    </row>
    <row r="2527" customFormat="false" ht="15" hidden="false" customHeight="false" outlineLevel="0" collapsed="false">
      <c r="A2527" s="79" t="str">
        <f aca="false">IF(E2527="","",ROW()-6)</f>
        <v/>
      </c>
      <c r="B2527" s="80"/>
      <c r="C2527" s="81"/>
      <c r="D2527" s="81"/>
      <c r="E2527" s="81"/>
      <c r="F2527" s="82" t="str">
        <f aca="false">IF(E2527="","",IF(LEFT(E2527,2)="DJ","DJ","JN"))</f>
        <v/>
      </c>
      <c r="G2527" s="81"/>
      <c r="H2527" s="81"/>
      <c r="I2527" s="81"/>
      <c r="J2527" s="81"/>
      <c r="K2527" s="81"/>
      <c r="L2527" s="81"/>
      <c r="M2527" s="81"/>
      <c r="N2527" s="81"/>
      <c r="O2527" s="81"/>
      <c r="P2527" s="81"/>
      <c r="Q2527" s="81"/>
      <c r="R2527" s="81"/>
      <c r="S2527" s="81"/>
      <c r="T2527" s="81"/>
      <c r="U2527" s="83"/>
      <c r="V2527" s="83"/>
      <c r="W2527" s="81"/>
      <c r="X2527" s="81"/>
      <c r="Y2527" s="83"/>
      <c r="Z2527" s="81"/>
      <c r="AA2527" s="81"/>
      <c r="AB2527" s="81"/>
      <c r="AC2527" s="81"/>
      <c r="AD2527" s="81"/>
      <c r="AE2527" s="83"/>
      <c r="AF2527" s="81"/>
      <c r="AG2527" s="81"/>
      <c r="AH2527" s="81"/>
      <c r="AI2527" s="81"/>
      <c r="AJ2527" s="83"/>
      <c r="AK2527" s="81"/>
      <c r="AL2527" s="81"/>
      <c r="AM2527" s="83"/>
      <c r="AN2527" s="80"/>
      <c r="AO2527" s="82" t="str">
        <f aca="false">IF(E2527="","",(AA2527&lt;&gt;"")+(AG2527&lt;&gt;"")+(AL2527&lt;&gt;""))</f>
        <v/>
      </c>
      <c r="AP2527" s="82" t="str">
        <f aca="false">IF(AL2527&lt;&gt;"",AL2527,IF(AG2527&lt;&gt;"",AG2527,IF(AA2527&lt;&gt;"",AA2527,"")))</f>
        <v/>
      </c>
      <c r="AQ2527" s="84" t="str">
        <f aca="false">IF(E2527="","",IF(U2527="","À SOUDER",IF(X2527="","VT EN ATTENTE",IF(X2527="R","VT REJETÉ – À REPRENDRE",IF(AP2527="","À RADIOGRAPHIER",IF(AP2527="A","ACCEPTÉ",IF(AP2527="NX","NX – RT À REFAIRE",IF(IF(AO2527=1,AD2527,IF(AO2527=2,AI2527,""))="A","RÉPARÉ – À RADIOGRAPHIER",IF(IF(AO2527=1,AD2527,IF(AO2527=2,AI2527,""))="R","VT REJETÉ – À REPRENDRE",IF(OR(AP2527="CO",AP2527="NT"),"COUPE – À RESOUDER","À RÉPARER"))))))))))</f>
        <v/>
      </c>
      <c r="AR2527" s="82" t="str">
        <f aca="false">IF(AND(ISNUMBER(U2527),OR(AQ2527="À RADIOGRAPHIER",AQ2527="RÉPARÉ – À RADIOGRAPHIER",AQ2527="NX – RT À REFAIRE",AQ2527="À RÉPARER",AQ2527="COUPE – À RESOUDER",AQ2527="VT REJETÉ – À REPRENDRE")),MAX(0,'PROGRAMME RT'!$C$4-U2527),"")</f>
        <v/>
      </c>
      <c r="AS2527" s="82" t="n">
        <f aca="false">IF(AND(OR(AQ2527="À RADIOGRAPHIER",AQ2527="RÉPARÉ – À RADIOGRAPHIER",AQ2527="NX – RT À REFAIRE"),OR('PROGRAMME RT'!$D$5="TOUTES",B2527='PROGRAMME RT'!$D$5)),1,0)</f>
        <v>0</v>
      </c>
      <c r="AT2527" s="82" t="str">
        <f aca="false">IF(AS2527=1,SUM(AS$7:AS2527),"")</f>
        <v/>
      </c>
      <c r="AU2527" s="82" t="n">
        <f aca="false">IF(AND(OR(AA2527="R",AA2527="NX",AA2527="NT",AA2527="CO"),OR('JOINTS DE RÉPARATION'!$D$5="TOUTES",B2527='JOINTS DE RÉPARATION'!$D$5),OR('JOINTS DE RÉPARATION'!$L$4="TOUS",AQ2527&lt;&gt;"ACCEPTÉ")),1,0)</f>
        <v>0</v>
      </c>
      <c r="AV2527" s="82" t="str">
        <f aca="false">IF(AU2527=1,SUM(AU$7:AU2527),"")</f>
        <v/>
      </c>
      <c r="AW2527" s="82" t="str">
        <f aca="false">IF(E2527="","",B2527&amp;"|"&amp;E2527)</f>
        <v/>
      </c>
    </row>
    <row r="2528" customFormat="false" ht="15" hidden="false" customHeight="false" outlineLevel="0" collapsed="false">
      <c r="A2528" s="79" t="str">
        <f aca="false">IF(E2528="","",ROW()-6)</f>
        <v/>
      </c>
      <c r="B2528" s="80"/>
      <c r="C2528" s="81"/>
      <c r="D2528" s="81"/>
      <c r="E2528" s="81"/>
      <c r="F2528" s="82" t="str">
        <f aca="false">IF(E2528="","",IF(LEFT(E2528,2)="DJ","DJ","JN"))</f>
        <v/>
      </c>
      <c r="G2528" s="81"/>
      <c r="H2528" s="81"/>
      <c r="I2528" s="81"/>
      <c r="J2528" s="81"/>
      <c r="K2528" s="81"/>
      <c r="L2528" s="81"/>
      <c r="M2528" s="81"/>
      <c r="N2528" s="81"/>
      <c r="O2528" s="81"/>
      <c r="P2528" s="81"/>
      <c r="Q2528" s="81"/>
      <c r="R2528" s="81"/>
      <c r="S2528" s="81"/>
      <c r="T2528" s="81"/>
      <c r="U2528" s="83"/>
      <c r="V2528" s="83"/>
      <c r="W2528" s="81"/>
      <c r="X2528" s="81"/>
      <c r="Y2528" s="83"/>
      <c r="Z2528" s="81"/>
      <c r="AA2528" s="81"/>
      <c r="AB2528" s="81"/>
      <c r="AC2528" s="81"/>
      <c r="AD2528" s="81"/>
      <c r="AE2528" s="83"/>
      <c r="AF2528" s="81"/>
      <c r="AG2528" s="81"/>
      <c r="AH2528" s="81"/>
      <c r="AI2528" s="81"/>
      <c r="AJ2528" s="83"/>
      <c r="AK2528" s="81"/>
      <c r="AL2528" s="81"/>
      <c r="AM2528" s="83"/>
      <c r="AN2528" s="80"/>
      <c r="AO2528" s="82" t="str">
        <f aca="false">IF(E2528="","",(AA2528&lt;&gt;"")+(AG2528&lt;&gt;"")+(AL2528&lt;&gt;""))</f>
        <v/>
      </c>
      <c r="AP2528" s="82" t="str">
        <f aca="false">IF(AL2528&lt;&gt;"",AL2528,IF(AG2528&lt;&gt;"",AG2528,IF(AA2528&lt;&gt;"",AA2528,"")))</f>
        <v/>
      </c>
      <c r="AQ2528" s="84" t="str">
        <f aca="false">IF(E2528="","",IF(U2528="","À SOUDER",IF(X2528="","VT EN ATTENTE",IF(X2528="R","VT REJETÉ – À REPRENDRE",IF(AP2528="","À RADIOGRAPHIER",IF(AP2528="A","ACCEPTÉ",IF(AP2528="NX","NX – RT À REFAIRE",IF(IF(AO2528=1,AD2528,IF(AO2528=2,AI2528,""))="A","RÉPARÉ – À RADIOGRAPHIER",IF(IF(AO2528=1,AD2528,IF(AO2528=2,AI2528,""))="R","VT REJETÉ – À REPRENDRE",IF(OR(AP2528="CO",AP2528="NT"),"COUPE – À RESOUDER","À RÉPARER"))))))))))</f>
        <v/>
      </c>
      <c r="AR2528" s="82" t="str">
        <f aca="false">IF(AND(ISNUMBER(U2528),OR(AQ2528="À RADIOGRAPHIER",AQ2528="RÉPARÉ – À RADIOGRAPHIER",AQ2528="NX – RT À REFAIRE",AQ2528="À RÉPARER",AQ2528="COUPE – À RESOUDER",AQ2528="VT REJETÉ – À REPRENDRE")),MAX(0,'PROGRAMME RT'!$C$4-U2528),"")</f>
        <v/>
      </c>
      <c r="AS2528" s="82" t="n">
        <f aca="false">IF(AND(OR(AQ2528="À RADIOGRAPHIER",AQ2528="RÉPARÉ – À RADIOGRAPHIER",AQ2528="NX – RT À REFAIRE"),OR('PROGRAMME RT'!$D$5="TOUTES",B2528='PROGRAMME RT'!$D$5)),1,0)</f>
        <v>0</v>
      </c>
      <c r="AT2528" s="82" t="str">
        <f aca="false">IF(AS2528=1,SUM(AS$7:AS2528),"")</f>
        <v/>
      </c>
      <c r="AU2528" s="82" t="n">
        <f aca="false">IF(AND(OR(AA2528="R",AA2528="NX",AA2528="NT",AA2528="CO"),OR('JOINTS DE RÉPARATION'!$D$5="TOUTES",B2528='JOINTS DE RÉPARATION'!$D$5),OR('JOINTS DE RÉPARATION'!$L$4="TOUS",AQ2528&lt;&gt;"ACCEPTÉ")),1,0)</f>
        <v>0</v>
      </c>
      <c r="AV2528" s="82" t="str">
        <f aca="false">IF(AU2528=1,SUM(AU$7:AU2528),"")</f>
        <v/>
      </c>
      <c r="AW2528" s="82" t="str">
        <f aca="false">IF(E2528="","",B2528&amp;"|"&amp;E2528)</f>
        <v/>
      </c>
    </row>
    <row r="2529" customFormat="false" ht="15" hidden="false" customHeight="false" outlineLevel="0" collapsed="false">
      <c r="A2529" s="79" t="str">
        <f aca="false">IF(E2529="","",ROW()-6)</f>
        <v/>
      </c>
      <c r="B2529" s="80"/>
      <c r="C2529" s="81"/>
      <c r="D2529" s="81"/>
      <c r="E2529" s="81"/>
      <c r="F2529" s="82" t="str">
        <f aca="false">IF(E2529="","",IF(LEFT(E2529,2)="DJ","DJ","JN"))</f>
        <v/>
      </c>
      <c r="G2529" s="81"/>
      <c r="H2529" s="81"/>
      <c r="I2529" s="81"/>
      <c r="J2529" s="81"/>
      <c r="K2529" s="81"/>
      <c r="L2529" s="81"/>
      <c r="M2529" s="81"/>
      <c r="N2529" s="81"/>
      <c r="O2529" s="81"/>
      <c r="P2529" s="81"/>
      <c r="Q2529" s="81"/>
      <c r="R2529" s="81"/>
      <c r="S2529" s="81"/>
      <c r="T2529" s="81"/>
      <c r="U2529" s="83"/>
      <c r="V2529" s="83"/>
      <c r="W2529" s="81"/>
      <c r="X2529" s="81"/>
      <c r="Y2529" s="83"/>
      <c r="Z2529" s="81"/>
      <c r="AA2529" s="81"/>
      <c r="AB2529" s="81"/>
      <c r="AC2529" s="81"/>
      <c r="AD2529" s="81"/>
      <c r="AE2529" s="83"/>
      <c r="AF2529" s="81"/>
      <c r="AG2529" s="81"/>
      <c r="AH2529" s="81"/>
      <c r="AI2529" s="81"/>
      <c r="AJ2529" s="83"/>
      <c r="AK2529" s="81"/>
      <c r="AL2529" s="81"/>
      <c r="AM2529" s="83"/>
      <c r="AN2529" s="80"/>
      <c r="AO2529" s="82" t="str">
        <f aca="false">IF(E2529="","",(AA2529&lt;&gt;"")+(AG2529&lt;&gt;"")+(AL2529&lt;&gt;""))</f>
        <v/>
      </c>
      <c r="AP2529" s="82" t="str">
        <f aca="false">IF(AL2529&lt;&gt;"",AL2529,IF(AG2529&lt;&gt;"",AG2529,IF(AA2529&lt;&gt;"",AA2529,"")))</f>
        <v/>
      </c>
      <c r="AQ2529" s="84" t="str">
        <f aca="false">IF(E2529="","",IF(U2529="","À SOUDER",IF(X2529="","VT EN ATTENTE",IF(X2529="R","VT REJETÉ – À REPRENDRE",IF(AP2529="","À RADIOGRAPHIER",IF(AP2529="A","ACCEPTÉ",IF(AP2529="NX","NX – RT À REFAIRE",IF(IF(AO2529=1,AD2529,IF(AO2529=2,AI2529,""))="A","RÉPARÉ – À RADIOGRAPHIER",IF(IF(AO2529=1,AD2529,IF(AO2529=2,AI2529,""))="R","VT REJETÉ – À REPRENDRE",IF(OR(AP2529="CO",AP2529="NT"),"COUPE – À RESOUDER","À RÉPARER"))))))))))</f>
        <v/>
      </c>
      <c r="AR2529" s="82" t="str">
        <f aca="false">IF(AND(ISNUMBER(U2529),OR(AQ2529="À RADIOGRAPHIER",AQ2529="RÉPARÉ – À RADIOGRAPHIER",AQ2529="NX – RT À REFAIRE",AQ2529="À RÉPARER",AQ2529="COUPE – À RESOUDER",AQ2529="VT REJETÉ – À REPRENDRE")),MAX(0,'PROGRAMME RT'!$C$4-U2529),"")</f>
        <v/>
      </c>
      <c r="AS2529" s="82" t="n">
        <f aca="false">IF(AND(OR(AQ2529="À RADIOGRAPHIER",AQ2529="RÉPARÉ – À RADIOGRAPHIER",AQ2529="NX – RT À REFAIRE"),OR('PROGRAMME RT'!$D$5="TOUTES",B2529='PROGRAMME RT'!$D$5)),1,0)</f>
        <v>0</v>
      </c>
      <c r="AT2529" s="82" t="str">
        <f aca="false">IF(AS2529=1,SUM(AS$7:AS2529),"")</f>
        <v/>
      </c>
      <c r="AU2529" s="82" t="n">
        <f aca="false">IF(AND(OR(AA2529="R",AA2529="NX",AA2529="NT",AA2529="CO"),OR('JOINTS DE RÉPARATION'!$D$5="TOUTES",B2529='JOINTS DE RÉPARATION'!$D$5),OR('JOINTS DE RÉPARATION'!$L$4="TOUS",AQ2529&lt;&gt;"ACCEPTÉ")),1,0)</f>
        <v>0</v>
      </c>
      <c r="AV2529" s="82" t="str">
        <f aca="false">IF(AU2529=1,SUM(AU$7:AU2529),"")</f>
        <v/>
      </c>
      <c r="AW2529" s="82" t="str">
        <f aca="false">IF(E2529="","",B2529&amp;"|"&amp;E2529)</f>
        <v/>
      </c>
    </row>
    <row r="2530" customFormat="false" ht="15" hidden="false" customHeight="false" outlineLevel="0" collapsed="false">
      <c r="A2530" s="79" t="str">
        <f aca="false">IF(E2530="","",ROW()-6)</f>
        <v/>
      </c>
      <c r="B2530" s="80"/>
      <c r="C2530" s="81"/>
      <c r="D2530" s="81"/>
      <c r="E2530" s="81"/>
      <c r="F2530" s="82" t="str">
        <f aca="false">IF(E2530="","",IF(LEFT(E2530,2)="DJ","DJ","JN"))</f>
        <v/>
      </c>
      <c r="G2530" s="81"/>
      <c r="H2530" s="81"/>
      <c r="I2530" s="81"/>
      <c r="J2530" s="81"/>
      <c r="K2530" s="81"/>
      <c r="L2530" s="81"/>
      <c r="M2530" s="81"/>
      <c r="N2530" s="81"/>
      <c r="O2530" s="81"/>
      <c r="P2530" s="81"/>
      <c r="Q2530" s="81"/>
      <c r="R2530" s="81"/>
      <c r="S2530" s="81"/>
      <c r="T2530" s="81"/>
      <c r="U2530" s="83"/>
      <c r="V2530" s="83"/>
      <c r="W2530" s="81"/>
      <c r="X2530" s="81"/>
      <c r="Y2530" s="83"/>
      <c r="Z2530" s="81"/>
      <c r="AA2530" s="81"/>
      <c r="AB2530" s="81"/>
      <c r="AC2530" s="81"/>
      <c r="AD2530" s="81"/>
      <c r="AE2530" s="83"/>
      <c r="AF2530" s="81"/>
      <c r="AG2530" s="81"/>
      <c r="AH2530" s="81"/>
      <c r="AI2530" s="81"/>
      <c r="AJ2530" s="83"/>
      <c r="AK2530" s="81"/>
      <c r="AL2530" s="81"/>
      <c r="AM2530" s="83"/>
      <c r="AN2530" s="80"/>
      <c r="AO2530" s="82" t="str">
        <f aca="false">IF(E2530="","",(AA2530&lt;&gt;"")+(AG2530&lt;&gt;"")+(AL2530&lt;&gt;""))</f>
        <v/>
      </c>
      <c r="AP2530" s="82" t="str">
        <f aca="false">IF(AL2530&lt;&gt;"",AL2530,IF(AG2530&lt;&gt;"",AG2530,IF(AA2530&lt;&gt;"",AA2530,"")))</f>
        <v/>
      </c>
      <c r="AQ2530" s="84" t="str">
        <f aca="false">IF(E2530="","",IF(U2530="","À SOUDER",IF(X2530="","VT EN ATTENTE",IF(X2530="R","VT REJETÉ – À REPRENDRE",IF(AP2530="","À RADIOGRAPHIER",IF(AP2530="A","ACCEPTÉ",IF(AP2530="NX","NX – RT À REFAIRE",IF(IF(AO2530=1,AD2530,IF(AO2530=2,AI2530,""))="A","RÉPARÉ – À RADIOGRAPHIER",IF(IF(AO2530=1,AD2530,IF(AO2530=2,AI2530,""))="R","VT REJETÉ – À REPRENDRE",IF(OR(AP2530="CO",AP2530="NT"),"COUPE – À RESOUDER","À RÉPARER"))))))))))</f>
        <v/>
      </c>
      <c r="AR2530" s="82" t="str">
        <f aca="false">IF(AND(ISNUMBER(U2530),OR(AQ2530="À RADIOGRAPHIER",AQ2530="RÉPARÉ – À RADIOGRAPHIER",AQ2530="NX – RT À REFAIRE",AQ2530="À RÉPARER",AQ2530="COUPE – À RESOUDER",AQ2530="VT REJETÉ – À REPRENDRE")),MAX(0,'PROGRAMME RT'!$C$4-U2530),"")</f>
        <v/>
      </c>
      <c r="AS2530" s="82" t="n">
        <f aca="false">IF(AND(OR(AQ2530="À RADIOGRAPHIER",AQ2530="RÉPARÉ – À RADIOGRAPHIER",AQ2530="NX – RT À REFAIRE"),OR('PROGRAMME RT'!$D$5="TOUTES",B2530='PROGRAMME RT'!$D$5)),1,0)</f>
        <v>0</v>
      </c>
      <c r="AT2530" s="82" t="str">
        <f aca="false">IF(AS2530=1,SUM(AS$7:AS2530),"")</f>
        <v/>
      </c>
      <c r="AU2530" s="82" t="n">
        <f aca="false">IF(AND(OR(AA2530="R",AA2530="NX",AA2530="NT",AA2530="CO"),OR('JOINTS DE RÉPARATION'!$D$5="TOUTES",B2530='JOINTS DE RÉPARATION'!$D$5),OR('JOINTS DE RÉPARATION'!$L$4="TOUS",AQ2530&lt;&gt;"ACCEPTÉ")),1,0)</f>
        <v>0</v>
      </c>
      <c r="AV2530" s="82" t="str">
        <f aca="false">IF(AU2530=1,SUM(AU$7:AU2530),"")</f>
        <v/>
      </c>
      <c r="AW2530" s="82" t="str">
        <f aca="false">IF(E2530="","",B2530&amp;"|"&amp;E2530)</f>
        <v/>
      </c>
    </row>
    <row r="2531" customFormat="false" ht="15" hidden="false" customHeight="false" outlineLevel="0" collapsed="false">
      <c r="A2531" s="79" t="str">
        <f aca="false">IF(E2531="","",ROW()-6)</f>
        <v/>
      </c>
      <c r="B2531" s="80"/>
      <c r="C2531" s="81"/>
      <c r="D2531" s="81"/>
      <c r="E2531" s="81"/>
      <c r="F2531" s="82" t="str">
        <f aca="false">IF(E2531="","",IF(LEFT(E2531,2)="DJ","DJ","JN"))</f>
        <v/>
      </c>
      <c r="G2531" s="81"/>
      <c r="H2531" s="81"/>
      <c r="I2531" s="81"/>
      <c r="J2531" s="81"/>
      <c r="K2531" s="81"/>
      <c r="L2531" s="81"/>
      <c r="M2531" s="81"/>
      <c r="N2531" s="81"/>
      <c r="O2531" s="81"/>
      <c r="P2531" s="81"/>
      <c r="Q2531" s="81"/>
      <c r="R2531" s="81"/>
      <c r="S2531" s="81"/>
      <c r="T2531" s="81"/>
      <c r="U2531" s="83"/>
      <c r="V2531" s="83"/>
      <c r="W2531" s="81"/>
      <c r="X2531" s="81"/>
      <c r="Y2531" s="83"/>
      <c r="Z2531" s="81"/>
      <c r="AA2531" s="81"/>
      <c r="AB2531" s="81"/>
      <c r="AC2531" s="81"/>
      <c r="AD2531" s="81"/>
      <c r="AE2531" s="83"/>
      <c r="AF2531" s="81"/>
      <c r="AG2531" s="81"/>
      <c r="AH2531" s="81"/>
      <c r="AI2531" s="81"/>
      <c r="AJ2531" s="83"/>
      <c r="AK2531" s="81"/>
      <c r="AL2531" s="81"/>
      <c r="AM2531" s="83"/>
      <c r="AN2531" s="80"/>
      <c r="AO2531" s="82" t="str">
        <f aca="false">IF(E2531="","",(AA2531&lt;&gt;"")+(AG2531&lt;&gt;"")+(AL2531&lt;&gt;""))</f>
        <v/>
      </c>
      <c r="AP2531" s="82" t="str">
        <f aca="false">IF(AL2531&lt;&gt;"",AL2531,IF(AG2531&lt;&gt;"",AG2531,IF(AA2531&lt;&gt;"",AA2531,"")))</f>
        <v/>
      </c>
      <c r="AQ2531" s="84" t="str">
        <f aca="false">IF(E2531="","",IF(U2531="","À SOUDER",IF(X2531="","VT EN ATTENTE",IF(X2531="R","VT REJETÉ – À REPRENDRE",IF(AP2531="","À RADIOGRAPHIER",IF(AP2531="A","ACCEPTÉ",IF(AP2531="NX","NX – RT À REFAIRE",IF(IF(AO2531=1,AD2531,IF(AO2531=2,AI2531,""))="A","RÉPARÉ – À RADIOGRAPHIER",IF(IF(AO2531=1,AD2531,IF(AO2531=2,AI2531,""))="R","VT REJETÉ – À REPRENDRE",IF(OR(AP2531="CO",AP2531="NT"),"COUPE – À RESOUDER","À RÉPARER"))))))))))</f>
        <v/>
      </c>
      <c r="AR2531" s="82" t="str">
        <f aca="false">IF(AND(ISNUMBER(U2531),OR(AQ2531="À RADIOGRAPHIER",AQ2531="RÉPARÉ – À RADIOGRAPHIER",AQ2531="NX – RT À REFAIRE",AQ2531="À RÉPARER",AQ2531="COUPE – À RESOUDER",AQ2531="VT REJETÉ – À REPRENDRE")),MAX(0,'PROGRAMME RT'!$C$4-U2531),"")</f>
        <v/>
      </c>
      <c r="AS2531" s="82" t="n">
        <f aca="false">IF(AND(OR(AQ2531="À RADIOGRAPHIER",AQ2531="RÉPARÉ – À RADIOGRAPHIER",AQ2531="NX – RT À REFAIRE"),OR('PROGRAMME RT'!$D$5="TOUTES",B2531='PROGRAMME RT'!$D$5)),1,0)</f>
        <v>0</v>
      </c>
      <c r="AT2531" s="82" t="str">
        <f aca="false">IF(AS2531=1,SUM(AS$7:AS2531),"")</f>
        <v/>
      </c>
      <c r="AU2531" s="82" t="n">
        <f aca="false">IF(AND(OR(AA2531="R",AA2531="NX",AA2531="NT",AA2531="CO"),OR('JOINTS DE RÉPARATION'!$D$5="TOUTES",B2531='JOINTS DE RÉPARATION'!$D$5),OR('JOINTS DE RÉPARATION'!$L$4="TOUS",AQ2531&lt;&gt;"ACCEPTÉ")),1,0)</f>
        <v>0</v>
      </c>
      <c r="AV2531" s="82" t="str">
        <f aca="false">IF(AU2531=1,SUM(AU$7:AU2531),"")</f>
        <v/>
      </c>
      <c r="AW2531" s="82" t="str">
        <f aca="false">IF(E2531="","",B2531&amp;"|"&amp;E2531)</f>
        <v/>
      </c>
    </row>
    <row r="2532" customFormat="false" ht="15" hidden="false" customHeight="false" outlineLevel="0" collapsed="false">
      <c r="A2532" s="79" t="str">
        <f aca="false">IF(E2532="","",ROW()-6)</f>
        <v/>
      </c>
      <c r="B2532" s="80"/>
      <c r="C2532" s="81"/>
      <c r="D2532" s="81"/>
      <c r="E2532" s="81"/>
      <c r="F2532" s="82" t="str">
        <f aca="false">IF(E2532="","",IF(LEFT(E2532,2)="DJ","DJ","JN"))</f>
        <v/>
      </c>
      <c r="G2532" s="81"/>
      <c r="H2532" s="81"/>
      <c r="I2532" s="81"/>
      <c r="J2532" s="81"/>
      <c r="K2532" s="81"/>
      <c r="L2532" s="81"/>
      <c r="M2532" s="81"/>
      <c r="N2532" s="81"/>
      <c r="O2532" s="81"/>
      <c r="P2532" s="81"/>
      <c r="Q2532" s="81"/>
      <c r="R2532" s="81"/>
      <c r="S2532" s="81"/>
      <c r="T2532" s="81"/>
      <c r="U2532" s="83"/>
      <c r="V2532" s="83"/>
      <c r="W2532" s="81"/>
      <c r="X2532" s="81"/>
      <c r="Y2532" s="83"/>
      <c r="Z2532" s="81"/>
      <c r="AA2532" s="81"/>
      <c r="AB2532" s="81"/>
      <c r="AC2532" s="81"/>
      <c r="AD2532" s="81"/>
      <c r="AE2532" s="83"/>
      <c r="AF2532" s="81"/>
      <c r="AG2532" s="81"/>
      <c r="AH2532" s="81"/>
      <c r="AI2532" s="81"/>
      <c r="AJ2532" s="83"/>
      <c r="AK2532" s="81"/>
      <c r="AL2532" s="81"/>
      <c r="AM2532" s="83"/>
      <c r="AN2532" s="80"/>
      <c r="AO2532" s="82" t="str">
        <f aca="false">IF(E2532="","",(AA2532&lt;&gt;"")+(AG2532&lt;&gt;"")+(AL2532&lt;&gt;""))</f>
        <v/>
      </c>
      <c r="AP2532" s="82" t="str">
        <f aca="false">IF(AL2532&lt;&gt;"",AL2532,IF(AG2532&lt;&gt;"",AG2532,IF(AA2532&lt;&gt;"",AA2532,"")))</f>
        <v/>
      </c>
      <c r="AQ2532" s="84" t="str">
        <f aca="false">IF(E2532="","",IF(U2532="","À SOUDER",IF(X2532="","VT EN ATTENTE",IF(X2532="R","VT REJETÉ – À REPRENDRE",IF(AP2532="","À RADIOGRAPHIER",IF(AP2532="A","ACCEPTÉ",IF(AP2532="NX","NX – RT À REFAIRE",IF(IF(AO2532=1,AD2532,IF(AO2532=2,AI2532,""))="A","RÉPARÉ – À RADIOGRAPHIER",IF(IF(AO2532=1,AD2532,IF(AO2532=2,AI2532,""))="R","VT REJETÉ – À REPRENDRE",IF(OR(AP2532="CO",AP2532="NT"),"COUPE – À RESOUDER","À RÉPARER"))))))))))</f>
        <v/>
      </c>
      <c r="AR2532" s="82" t="str">
        <f aca="false">IF(AND(ISNUMBER(U2532),OR(AQ2532="À RADIOGRAPHIER",AQ2532="RÉPARÉ – À RADIOGRAPHIER",AQ2532="NX – RT À REFAIRE",AQ2532="À RÉPARER",AQ2532="COUPE – À RESOUDER",AQ2532="VT REJETÉ – À REPRENDRE")),MAX(0,'PROGRAMME RT'!$C$4-U2532),"")</f>
        <v/>
      </c>
      <c r="AS2532" s="82" t="n">
        <f aca="false">IF(AND(OR(AQ2532="À RADIOGRAPHIER",AQ2532="RÉPARÉ – À RADIOGRAPHIER",AQ2532="NX – RT À REFAIRE"),OR('PROGRAMME RT'!$D$5="TOUTES",B2532='PROGRAMME RT'!$D$5)),1,0)</f>
        <v>0</v>
      </c>
      <c r="AT2532" s="82" t="str">
        <f aca="false">IF(AS2532=1,SUM(AS$7:AS2532),"")</f>
        <v/>
      </c>
      <c r="AU2532" s="82" t="n">
        <f aca="false">IF(AND(OR(AA2532="R",AA2532="NX",AA2532="NT",AA2532="CO"),OR('JOINTS DE RÉPARATION'!$D$5="TOUTES",B2532='JOINTS DE RÉPARATION'!$D$5),OR('JOINTS DE RÉPARATION'!$L$4="TOUS",AQ2532&lt;&gt;"ACCEPTÉ")),1,0)</f>
        <v>0</v>
      </c>
      <c r="AV2532" s="82" t="str">
        <f aca="false">IF(AU2532=1,SUM(AU$7:AU2532),"")</f>
        <v/>
      </c>
      <c r="AW2532" s="82" t="str">
        <f aca="false">IF(E2532="","",B2532&amp;"|"&amp;E2532)</f>
        <v/>
      </c>
    </row>
    <row r="2533" customFormat="false" ht="15" hidden="false" customHeight="false" outlineLevel="0" collapsed="false">
      <c r="A2533" s="79" t="str">
        <f aca="false">IF(E2533="","",ROW()-6)</f>
        <v/>
      </c>
      <c r="B2533" s="80"/>
      <c r="C2533" s="81"/>
      <c r="D2533" s="81"/>
      <c r="E2533" s="81"/>
      <c r="F2533" s="82" t="str">
        <f aca="false">IF(E2533="","",IF(LEFT(E2533,2)="DJ","DJ","JN"))</f>
        <v/>
      </c>
      <c r="G2533" s="81"/>
      <c r="H2533" s="81"/>
      <c r="I2533" s="81"/>
      <c r="J2533" s="81"/>
      <c r="K2533" s="81"/>
      <c r="L2533" s="81"/>
      <c r="M2533" s="81"/>
      <c r="N2533" s="81"/>
      <c r="O2533" s="81"/>
      <c r="P2533" s="81"/>
      <c r="Q2533" s="81"/>
      <c r="R2533" s="81"/>
      <c r="S2533" s="81"/>
      <c r="T2533" s="81"/>
      <c r="U2533" s="83"/>
      <c r="V2533" s="83"/>
      <c r="W2533" s="81"/>
      <c r="X2533" s="81"/>
      <c r="Y2533" s="83"/>
      <c r="Z2533" s="81"/>
      <c r="AA2533" s="81"/>
      <c r="AB2533" s="81"/>
      <c r="AC2533" s="81"/>
      <c r="AD2533" s="81"/>
      <c r="AE2533" s="83"/>
      <c r="AF2533" s="81"/>
      <c r="AG2533" s="81"/>
      <c r="AH2533" s="81"/>
      <c r="AI2533" s="81"/>
      <c r="AJ2533" s="83"/>
      <c r="AK2533" s="81"/>
      <c r="AL2533" s="81"/>
      <c r="AM2533" s="83"/>
      <c r="AN2533" s="80"/>
      <c r="AO2533" s="82" t="str">
        <f aca="false">IF(E2533="","",(AA2533&lt;&gt;"")+(AG2533&lt;&gt;"")+(AL2533&lt;&gt;""))</f>
        <v/>
      </c>
      <c r="AP2533" s="82" t="str">
        <f aca="false">IF(AL2533&lt;&gt;"",AL2533,IF(AG2533&lt;&gt;"",AG2533,IF(AA2533&lt;&gt;"",AA2533,"")))</f>
        <v/>
      </c>
      <c r="AQ2533" s="84" t="str">
        <f aca="false">IF(E2533="","",IF(U2533="","À SOUDER",IF(X2533="","VT EN ATTENTE",IF(X2533="R","VT REJETÉ – À REPRENDRE",IF(AP2533="","À RADIOGRAPHIER",IF(AP2533="A","ACCEPTÉ",IF(AP2533="NX","NX – RT À REFAIRE",IF(IF(AO2533=1,AD2533,IF(AO2533=2,AI2533,""))="A","RÉPARÉ – À RADIOGRAPHIER",IF(IF(AO2533=1,AD2533,IF(AO2533=2,AI2533,""))="R","VT REJETÉ – À REPRENDRE",IF(OR(AP2533="CO",AP2533="NT"),"COUPE – À RESOUDER","À RÉPARER"))))))))))</f>
        <v/>
      </c>
      <c r="AR2533" s="82" t="str">
        <f aca="false">IF(AND(ISNUMBER(U2533),OR(AQ2533="À RADIOGRAPHIER",AQ2533="RÉPARÉ – À RADIOGRAPHIER",AQ2533="NX – RT À REFAIRE",AQ2533="À RÉPARER",AQ2533="COUPE – À RESOUDER",AQ2533="VT REJETÉ – À REPRENDRE")),MAX(0,'PROGRAMME RT'!$C$4-U2533),"")</f>
        <v/>
      </c>
      <c r="AS2533" s="82" t="n">
        <f aca="false">IF(AND(OR(AQ2533="À RADIOGRAPHIER",AQ2533="RÉPARÉ – À RADIOGRAPHIER",AQ2533="NX – RT À REFAIRE"),OR('PROGRAMME RT'!$D$5="TOUTES",B2533='PROGRAMME RT'!$D$5)),1,0)</f>
        <v>0</v>
      </c>
      <c r="AT2533" s="82" t="str">
        <f aca="false">IF(AS2533=1,SUM(AS$7:AS2533),"")</f>
        <v/>
      </c>
      <c r="AU2533" s="82" t="n">
        <f aca="false">IF(AND(OR(AA2533="R",AA2533="NX",AA2533="NT",AA2533="CO"),OR('JOINTS DE RÉPARATION'!$D$5="TOUTES",B2533='JOINTS DE RÉPARATION'!$D$5),OR('JOINTS DE RÉPARATION'!$L$4="TOUS",AQ2533&lt;&gt;"ACCEPTÉ")),1,0)</f>
        <v>0</v>
      </c>
      <c r="AV2533" s="82" t="str">
        <f aca="false">IF(AU2533=1,SUM(AU$7:AU2533),"")</f>
        <v/>
      </c>
      <c r="AW2533" s="82" t="str">
        <f aca="false">IF(E2533="","",B2533&amp;"|"&amp;E2533)</f>
        <v/>
      </c>
    </row>
    <row r="2534" customFormat="false" ht="15" hidden="false" customHeight="false" outlineLevel="0" collapsed="false">
      <c r="A2534" s="79" t="str">
        <f aca="false">IF(E2534="","",ROW()-6)</f>
        <v/>
      </c>
      <c r="B2534" s="80"/>
      <c r="C2534" s="81"/>
      <c r="D2534" s="81"/>
      <c r="E2534" s="81"/>
      <c r="F2534" s="82" t="str">
        <f aca="false">IF(E2534="","",IF(LEFT(E2534,2)="DJ","DJ","JN"))</f>
        <v/>
      </c>
      <c r="G2534" s="81"/>
      <c r="H2534" s="81"/>
      <c r="I2534" s="81"/>
      <c r="J2534" s="81"/>
      <c r="K2534" s="81"/>
      <c r="L2534" s="81"/>
      <c r="M2534" s="81"/>
      <c r="N2534" s="81"/>
      <c r="O2534" s="81"/>
      <c r="P2534" s="81"/>
      <c r="Q2534" s="81"/>
      <c r="R2534" s="81"/>
      <c r="S2534" s="81"/>
      <c r="T2534" s="81"/>
      <c r="U2534" s="83"/>
      <c r="V2534" s="83"/>
      <c r="W2534" s="81"/>
      <c r="X2534" s="81"/>
      <c r="Y2534" s="83"/>
      <c r="Z2534" s="81"/>
      <c r="AA2534" s="81"/>
      <c r="AB2534" s="81"/>
      <c r="AC2534" s="81"/>
      <c r="AD2534" s="81"/>
      <c r="AE2534" s="83"/>
      <c r="AF2534" s="81"/>
      <c r="AG2534" s="81"/>
      <c r="AH2534" s="81"/>
      <c r="AI2534" s="81"/>
      <c r="AJ2534" s="83"/>
      <c r="AK2534" s="81"/>
      <c r="AL2534" s="81"/>
      <c r="AM2534" s="83"/>
      <c r="AN2534" s="80"/>
      <c r="AO2534" s="82" t="str">
        <f aca="false">IF(E2534="","",(AA2534&lt;&gt;"")+(AG2534&lt;&gt;"")+(AL2534&lt;&gt;""))</f>
        <v/>
      </c>
      <c r="AP2534" s="82" t="str">
        <f aca="false">IF(AL2534&lt;&gt;"",AL2534,IF(AG2534&lt;&gt;"",AG2534,IF(AA2534&lt;&gt;"",AA2534,"")))</f>
        <v/>
      </c>
      <c r="AQ2534" s="84" t="str">
        <f aca="false">IF(E2534="","",IF(U2534="","À SOUDER",IF(X2534="","VT EN ATTENTE",IF(X2534="R","VT REJETÉ – À REPRENDRE",IF(AP2534="","À RADIOGRAPHIER",IF(AP2534="A","ACCEPTÉ",IF(AP2534="NX","NX – RT À REFAIRE",IF(IF(AO2534=1,AD2534,IF(AO2534=2,AI2534,""))="A","RÉPARÉ – À RADIOGRAPHIER",IF(IF(AO2534=1,AD2534,IF(AO2534=2,AI2534,""))="R","VT REJETÉ – À REPRENDRE",IF(OR(AP2534="CO",AP2534="NT"),"COUPE – À RESOUDER","À RÉPARER"))))))))))</f>
        <v/>
      </c>
      <c r="AR2534" s="82" t="str">
        <f aca="false">IF(AND(ISNUMBER(U2534),OR(AQ2534="À RADIOGRAPHIER",AQ2534="RÉPARÉ – À RADIOGRAPHIER",AQ2534="NX – RT À REFAIRE",AQ2534="À RÉPARER",AQ2534="COUPE – À RESOUDER",AQ2534="VT REJETÉ – À REPRENDRE")),MAX(0,'PROGRAMME RT'!$C$4-U2534),"")</f>
        <v/>
      </c>
      <c r="AS2534" s="82" t="n">
        <f aca="false">IF(AND(OR(AQ2534="À RADIOGRAPHIER",AQ2534="RÉPARÉ – À RADIOGRAPHIER",AQ2534="NX – RT À REFAIRE"),OR('PROGRAMME RT'!$D$5="TOUTES",B2534='PROGRAMME RT'!$D$5)),1,0)</f>
        <v>0</v>
      </c>
      <c r="AT2534" s="82" t="str">
        <f aca="false">IF(AS2534=1,SUM(AS$7:AS2534),"")</f>
        <v/>
      </c>
      <c r="AU2534" s="82" t="n">
        <f aca="false">IF(AND(OR(AA2534="R",AA2534="NX",AA2534="NT",AA2534="CO"),OR('JOINTS DE RÉPARATION'!$D$5="TOUTES",B2534='JOINTS DE RÉPARATION'!$D$5),OR('JOINTS DE RÉPARATION'!$L$4="TOUS",AQ2534&lt;&gt;"ACCEPTÉ")),1,0)</f>
        <v>0</v>
      </c>
      <c r="AV2534" s="82" t="str">
        <f aca="false">IF(AU2534=1,SUM(AU$7:AU2534),"")</f>
        <v/>
      </c>
      <c r="AW2534" s="82" t="str">
        <f aca="false">IF(E2534="","",B2534&amp;"|"&amp;E2534)</f>
        <v/>
      </c>
    </row>
    <row r="2535" customFormat="false" ht="15" hidden="false" customHeight="false" outlineLevel="0" collapsed="false">
      <c r="A2535" s="79" t="str">
        <f aca="false">IF(E2535="","",ROW()-6)</f>
        <v/>
      </c>
      <c r="B2535" s="80"/>
      <c r="C2535" s="81"/>
      <c r="D2535" s="81"/>
      <c r="E2535" s="81"/>
      <c r="F2535" s="82" t="str">
        <f aca="false">IF(E2535="","",IF(LEFT(E2535,2)="DJ","DJ","JN"))</f>
        <v/>
      </c>
      <c r="G2535" s="81"/>
      <c r="H2535" s="81"/>
      <c r="I2535" s="81"/>
      <c r="J2535" s="81"/>
      <c r="K2535" s="81"/>
      <c r="L2535" s="81"/>
      <c r="M2535" s="81"/>
      <c r="N2535" s="81"/>
      <c r="O2535" s="81"/>
      <c r="P2535" s="81"/>
      <c r="Q2535" s="81"/>
      <c r="R2535" s="81"/>
      <c r="S2535" s="81"/>
      <c r="T2535" s="81"/>
      <c r="U2535" s="83"/>
      <c r="V2535" s="83"/>
      <c r="W2535" s="81"/>
      <c r="X2535" s="81"/>
      <c r="Y2535" s="83"/>
      <c r="Z2535" s="81"/>
      <c r="AA2535" s="81"/>
      <c r="AB2535" s="81"/>
      <c r="AC2535" s="81"/>
      <c r="AD2535" s="81"/>
      <c r="AE2535" s="83"/>
      <c r="AF2535" s="81"/>
      <c r="AG2535" s="81"/>
      <c r="AH2535" s="81"/>
      <c r="AI2535" s="81"/>
      <c r="AJ2535" s="83"/>
      <c r="AK2535" s="81"/>
      <c r="AL2535" s="81"/>
      <c r="AM2535" s="83"/>
      <c r="AN2535" s="80"/>
      <c r="AO2535" s="82" t="str">
        <f aca="false">IF(E2535="","",(AA2535&lt;&gt;"")+(AG2535&lt;&gt;"")+(AL2535&lt;&gt;""))</f>
        <v/>
      </c>
      <c r="AP2535" s="82" t="str">
        <f aca="false">IF(AL2535&lt;&gt;"",AL2535,IF(AG2535&lt;&gt;"",AG2535,IF(AA2535&lt;&gt;"",AA2535,"")))</f>
        <v/>
      </c>
      <c r="AQ2535" s="84" t="str">
        <f aca="false">IF(E2535="","",IF(U2535="","À SOUDER",IF(X2535="","VT EN ATTENTE",IF(X2535="R","VT REJETÉ – À REPRENDRE",IF(AP2535="","À RADIOGRAPHIER",IF(AP2535="A","ACCEPTÉ",IF(AP2535="NX","NX – RT À REFAIRE",IF(IF(AO2535=1,AD2535,IF(AO2535=2,AI2535,""))="A","RÉPARÉ – À RADIOGRAPHIER",IF(IF(AO2535=1,AD2535,IF(AO2535=2,AI2535,""))="R","VT REJETÉ – À REPRENDRE",IF(OR(AP2535="CO",AP2535="NT"),"COUPE – À RESOUDER","À RÉPARER"))))))))))</f>
        <v/>
      </c>
      <c r="AR2535" s="82" t="str">
        <f aca="false">IF(AND(ISNUMBER(U2535),OR(AQ2535="À RADIOGRAPHIER",AQ2535="RÉPARÉ – À RADIOGRAPHIER",AQ2535="NX – RT À REFAIRE",AQ2535="À RÉPARER",AQ2535="COUPE – À RESOUDER",AQ2535="VT REJETÉ – À REPRENDRE")),MAX(0,'PROGRAMME RT'!$C$4-U2535),"")</f>
        <v/>
      </c>
      <c r="AS2535" s="82" t="n">
        <f aca="false">IF(AND(OR(AQ2535="À RADIOGRAPHIER",AQ2535="RÉPARÉ – À RADIOGRAPHIER",AQ2535="NX – RT À REFAIRE"),OR('PROGRAMME RT'!$D$5="TOUTES",B2535='PROGRAMME RT'!$D$5)),1,0)</f>
        <v>0</v>
      </c>
      <c r="AT2535" s="82" t="str">
        <f aca="false">IF(AS2535=1,SUM(AS$7:AS2535),"")</f>
        <v/>
      </c>
      <c r="AU2535" s="82" t="n">
        <f aca="false">IF(AND(OR(AA2535="R",AA2535="NX",AA2535="NT",AA2535="CO"),OR('JOINTS DE RÉPARATION'!$D$5="TOUTES",B2535='JOINTS DE RÉPARATION'!$D$5),OR('JOINTS DE RÉPARATION'!$L$4="TOUS",AQ2535&lt;&gt;"ACCEPTÉ")),1,0)</f>
        <v>0</v>
      </c>
      <c r="AV2535" s="82" t="str">
        <f aca="false">IF(AU2535=1,SUM(AU$7:AU2535),"")</f>
        <v/>
      </c>
      <c r="AW2535" s="82" t="str">
        <f aca="false">IF(E2535="","",B2535&amp;"|"&amp;E2535)</f>
        <v/>
      </c>
    </row>
    <row r="2536" customFormat="false" ht="15" hidden="false" customHeight="false" outlineLevel="0" collapsed="false">
      <c r="A2536" s="79" t="str">
        <f aca="false">IF(E2536="","",ROW()-6)</f>
        <v/>
      </c>
      <c r="B2536" s="80"/>
      <c r="C2536" s="81"/>
      <c r="D2536" s="81"/>
      <c r="E2536" s="81"/>
      <c r="F2536" s="82" t="str">
        <f aca="false">IF(E2536="","",IF(LEFT(E2536,2)="DJ","DJ","JN"))</f>
        <v/>
      </c>
      <c r="G2536" s="81"/>
      <c r="H2536" s="81"/>
      <c r="I2536" s="81"/>
      <c r="J2536" s="81"/>
      <c r="K2536" s="81"/>
      <c r="L2536" s="81"/>
      <c r="M2536" s="81"/>
      <c r="N2536" s="81"/>
      <c r="O2536" s="81"/>
      <c r="P2536" s="81"/>
      <c r="Q2536" s="81"/>
      <c r="R2536" s="81"/>
      <c r="S2536" s="81"/>
      <c r="T2536" s="81"/>
      <c r="U2536" s="83"/>
      <c r="V2536" s="83"/>
      <c r="W2536" s="81"/>
      <c r="X2536" s="81"/>
      <c r="Y2536" s="83"/>
      <c r="Z2536" s="81"/>
      <c r="AA2536" s="81"/>
      <c r="AB2536" s="81"/>
      <c r="AC2536" s="81"/>
      <c r="AD2536" s="81"/>
      <c r="AE2536" s="83"/>
      <c r="AF2536" s="81"/>
      <c r="AG2536" s="81"/>
      <c r="AH2536" s="81"/>
      <c r="AI2536" s="81"/>
      <c r="AJ2536" s="83"/>
      <c r="AK2536" s="81"/>
      <c r="AL2536" s="81"/>
      <c r="AM2536" s="83"/>
      <c r="AN2536" s="80"/>
      <c r="AO2536" s="82" t="str">
        <f aca="false">IF(E2536="","",(AA2536&lt;&gt;"")+(AG2536&lt;&gt;"")+(AL2536&lt;&gt;""))</f>
        <v/>
      </c>
      <c r="AP2536" s="82" t="str">
        <f aca="false">IF(AL2536&lt;&gt;"",AL2536,IF(AG2536&lt;&gt;"",AG2536,IF(AA2536&lt;&gt;"",AA2536,"")))</f>
        <v/>
      </c>
      <c r="AQ2536" s="84" t="str">
        <f aca="false">IF(E2536="","",IF(U2536="","À SOUDER",IF(X2536="","VT EN ATTENTE",IF(X2536="R","VT REJETÉ – À REPRENDRE",IF(AP2536="","À RADIOGRAPHIER",IF(AP2536="A","ACCEPTÉ",IF(AP2536="NX","NX – RT À REFAIRE",IF(IF(AO2536=1,AD2536,IF(AO2536=2,AI2536,""))="A","RÉPARÉ – À RADIOGRAPHIER",IF(IF(AO2536=1,AD2536,IF(AO2536=2,AI2536,""))="R","VT REJETÉ – À REPRENDRE",IF(OR(AP2536="CO",AP2536="NT"),"COUPE – À RESOUDER","À RÉPARER"))))))))))</f>
        <v/>
      </c>
      <c r="AR2536" s="82" t="str">
        <f aca="false">IF(AND(ISNUMBER(U2536),OR(AQ2536="À RADIOGRAPHIER",AQ2536="RÉPARÉ – À RADIOGRAPHIER",AQ2536="NX – RT À REFAIRE",AQ2536="À RÉPARER",AQ2536="COUPE – À RESOUDER",AQ2536="VT REJETÉ – À REPRENDRE")),MAX(0,'PROGRAMME RT'!$C$4-U2536),"")</f>
        <v/>
      </c>
      <c r="AS2536" s="82" t="n">
        <f aca="false">IF(AND(OR(AQ2536="À RADIOGRAPHIER",AQ2536="RÉPARÉ – À RADIOGRAPHIER",AQ2536="NX – RT À REFAIRE"),OR('PROGRAMME RT'!$D$5="TOUTES",B2536='PROGRAMME RT'!$D$5)),1,0)</f>
        <v>0</v>
      </c>
      <c r="AT2536" s="82" t="str">
        <f aca="false">IF(AS2536=1,SUM(AS$7:AS2536),"")</f>
        <v/>
      </c>
      <c r="AU2536" s="82" t="n">
        <f aca="false">IF(AND(OR(AA2536="R",AA2536="NX",AA2536="NT",AA2536="CO"),OR('JOINTS DE RÉPARATION'!$D$5="TOUTES",B2536='JOINTS DE RÉPARATION'!$D$5),OR('JOINTS DE RÉPARATION'!$L$4="TOUS",AQ2536&lt;&gt;"ACCEPTÉ")),1,0)</f>
        <v>0</v>
      </c>
      <c r="AV2536" s="82" t="str">
        <f aca="false">IF(AU2536=1,SUM(AU$7:AU2536),"")</f>
        <v/>
      </c>
      <c r="AW2536" s="82" t="str">
        <f aca="false">IF(E2536="","",B2536&amp;"|"&amp;E2536)</f>
        <v/>
      </c>
    </row>
    <row r="2537" customFormat="false" ht="15" hidden="false" customHeight="false" outlineLevel="0" collapsed="false">
      <c r="A2537" s="79" t="str">
        <f aca="false">IF(E2537="","",ROW()-6)</f>
        <v/>
      </c>
      <c r="B2537" s="80"/>
      <c r="C2537" s="81"/>
      <c r="D2537" s="81"/>
      <c r="E2537" s="81"/>
      <c r="F2537" s="82" t="str">
        <f aca="false">IF(E2537="","",IF(LEFT(E2537,2)="DJ","DJ","JN"))</f>
        <v/>
      </c>
      <c r="G2537" s="81"/>
      <c r="H2537" s="81"/>
      <c r="I2537" s="81"/>
      <c r="J2537" s="81"/>
      <c r="K2537" s="81"/>
      <c r="L2537" s="81"/>
      <c r="M2537" s="81"/>
      <c r="N2537" s="81"/>
      <c r="O2537" s="81"/>
      <c r="P2537" s="81"/>
      <c r="Q2537" s="81"/>
      <c r="R2537" s="81"/>
      <c r="S2537" s="81"/>
      <c r="T2537" s="81"/>
      <c r="U2537" s="83"/>
      <c r="V2537" s="83"/>
      <c r="W2537" s="81"/>
      <c r="X2537" s="81"/>
      <c r="Y2537" s="83"/>
      <c r="Z2537" s="81"/>
      <c r="AA2537" s="81"/>
      <c r="AB2537" s="81"/>
      <c r="AC2537" s="81"/>
      <c r="AD2537" s="81"/>
      <c r="AE2537" s="83"/>
      <c r="AF2537" s="81"/>
      <c r="AG2537" s="81"/>
      <c r="AH2537" s="81"/>
      <c r="AI2537" s="81"/>
      <c r="AJ2537" s="83"/>
      <c r="AK2537" s="81"/>
      <c r="AL2537" s="81"/>
      <c r="AM2537" s="83"/>
      <c r="AN2537" s="80"/>
      <c r="AO2537" s="82" t="str">
        <f aca="false">IF(E2537="","",(AA2537&lt;&gt;"")+(AG2537&lt;&gt;"")+(AL2537&lt;&gt;""))</f>
        <v/>
      </c>
      <c r="AP2537" s="82" t="str">
        <f aca="false">IF(AL2537&lt;&gt;"",AL2537,IF(AG2537&lt;&gt;"",AG2537,IF(AA2537&lt;&gt;"",AA2537,"")))</f>
        <v/>
      </c>
      <c r="AQ2537" s="84" t="str">
        <f aca="false">IF(E2537="","",IF(U2537="","À SOUDER",IF(X2537="","VT EN ATTENTE",IF(X2537="R","VT REJETÉ – À REPRENDRE",IF(AP2537="","À RADIOGRAPHIER",IF(AP2537="A","ACCEPTÉ",IF(AP2537="NX","NX – RT À REFAIRE",IF(IF(AO2537=1,AD2537,IF(AO2537=2,AI2537,""))="A","RÉPARÉ – À RADIOGRAPHIER",IF(IF(AO2537=1,AD2537,IF(AO2537=2,AI2537,""))="R","VT REJETÉ – À REPRENDRE",IF(OR(AP2537="CO",AP2537="NT"),"COUPE – À RESOUDER","À RÉPARER"))))))))))</f>
        <v/>
      </c>
      <c r="AR2537" s="82" t="str">
        <f aca="false">IF(AND(ISNUMBER(U2537),OR(AQ2537="À RADIOGRAPHIER",AQ2537="RÉPARÉ – À RADIOGRAPHIER",AQ2537="NX – RT À REFAIRE",AQ2537="À RÉPARER",AQ2537="COUPE – À RESOUDER",AQ2537="VT REJETÉ – À REPRENDRE")),MAX(0,'PROGRAMME RT'!$C$4-U2537),"")</f>
        <v/>
      </c>
      <c r="AS2537" s="82" t="n">
        <f aca="false">IF(AND(OR(AQ2537="À RADIOGRAPHIER",AQ2537="RÉPARÉ – À RADIOGRAPHIER",AQ2537="NX – RT À REFAIRE"),OR('PROGRAMME RT'!$D$5="TOUTES",B2537='PROGRAMME RT'!$D$5)),1,0)</f>
        <v>0</v>
      </c>
      <c r="AT2537" s="82" t="str">
        <f aca="false">IF(AS2537=1,SUM(AS$7:AS2537),"")</f>
        <v/>
      </c>
      <c r="AU2537" s="82" t="n">
        <f aca="false">IF(AND(OR(AA2537="R",AA2537="NX",AA2537="NT",AA2537="CO"),OR('JOINTS DE RÉPARATION'!$D$5="TOUTES",B2537='JOINTS DE RÉPARATION'!$D$5),OR('JOINTS DE RÉPARATION'!$L$4="TOUS",AQ2537&lt;&gt;"ACCEPTÉ")),1,0)</f>
        <v>0</v>
      </c>
      <c r="AV2537" s="82" t="str">
        <f aca="false">IF(AU2537=1,SUM(AU$7:AU2537),"")</f>
        <v/>
      </c>
      <c r="AW2537" s="82" t="str">
        <f aca="false">IF(E2537="","",B2537&amp;"|"&amp;E2537)</f>
        <v/>
      </c>
    </row>
    <row r="2538" customFormat="false" ht="15" hidden="false" customHeight="false" outlineLevel="0" collapsed="false">
      <c r="A2538" s="79" t="str">
        <f aca="false">IF(E2538="","",ROW()-6)</f>
        <v/>
      </c>
      <c r="B2538" s="80"/>
      <c r="C2538" s="81"/>
      <c r="D2538" s="81"/>
      <c r="E2538" s="81"/>
      <c r="F2538" s="82" t="str">
        <f aca="false">IF(E2538="","",IF(LEFT(E2538,2)="DJ","DJ","JN"))</f>
        <v/>
      </c>
      <c r="G2538" s="81"/>
      <c r="H2538" s="81"/>
      <c r="I2538" s="81"/>
      <c r="J2538" s="81"/>
      <c r="K2538" s="81"/>
      <c r="L2538" s="81"/>
      <c r="M2538" s="81"/>
      <c r="N2538" s="81"/>
      <c r="O2538" s="81"/>
      <c r="P2538" s="81"/>
      <c r="Q2538" s="81"/>
      <c r="R2538" s="81"/>
      <c r="S2538" s="81"/>
      <c r="T2538" s="81"/>
      <c r="U2538" s="83"/>
      <c r="V2538" s="83"/>
      <c r="W2538" s="81"/>
      <c r="X2538" s="81"/>
      <c r="Y2538" s="83"/>
      <c r="Z2538" s="81"/>
      <c r="AA2538" s="81"/>
      <c r="AB2538" s="81"/>
      <c r="AC2538" s="81"/>
      <c r="AD2538" s="81"/>
      <c r="AE2538" s="83"/>
      <c r="AF2538" s="81"/>
      <c r="AG2538" s="81"/>
      <c r="AH2538" s="81"/>
      <c r="AI2538" s="81"/>
      <c r="AJ2538" s="83"/>
      <c r="AK2538" s="81"/>
      <c r="AL2538" s="81"/>
      <c r="AM2538" s="83"/>
      <c r="AN2538" s="80"/>
      <c r="AO2538" s="82" t="str">
        <f aca="false">IF(E2538="","",(AA2538&lt;&gt;"")+(AG2538&lt;&gt;"")+(AL2538&lt;&gt;""))</f>
        <v/>
      </c>
      <c r="AP2538" s="82" t="str">
        <f aca="false">IF(AL2538&lt;&gt;"",AL2538,IF(AG2538&lt;&gt;"",AG2538,IF(AA2538&lt;&gt;"",AA2538,"")))</f>
        <v/>
      </c>
      <c r="AQ2538" s="84" t="str">
        <f aca="false">IF(E2538="","",IF(U2538="","À SOUDER",IF(X2538="","VT EN ATTENTE",IF(X2538="R","VT REJETÉ – À REPRENDRE",IF(AP2538="","À RADIOGRAPHIER",IF(AP2538="A","ACCEPTÉ",IF(AP2538="NX","NX – RT À REFAIRE",IF(IF(AO2538=1,AD2538,IF(AO2538=2,AI2538,""))="A","RÉPARÉ – À RADIOGRAPHIER",IF(IF(AO2538=1,AD2538,IF(AO2538=2,AI2538,""))="R","VT REJETÉ – À REPRENDRE",IF(OR(AP2538="CO",AP2538="NT"),"COUPE – À RESOUDER","À RÉPARER"))))))))))</f>
        <v/>
      </c>
      <c r="AR2538" s="82" t="str">
        <f aca="false">IF(AND(ISNUMBER(U2538),OR(AQ2538="À RADIOGRAPHIER",AQ2538="RÉPARÉ – À RADIOGRAPHIER",AQ2538="NX – RT À REFAIRE",AQ2538="À RÉPARER",AQ2538="COUPE – À RESOUDER",AQ2538="VT REJETÉ – À REPRENDRE")),MAX(0,'PROGRAMME RT'!$C$4-U2538),"")</f>
        <v/>
      </c>
      <c r="AS2538" s="82" t="n">
        <f aca="false">IF(AND(OR(AQ2538="À RADIOGRAPHIER",AQ2538="RÉPARÉ – À RADIOGRAPHIER",AQ2538="NX – RT À REFAIRE"),OR('PROGRAMME RT'!$D$5="TOUTES",B2538='PROGRAMME RT'!$D$5)),1,0)</f>
        <v>0</v>
      </c>
      <c r="AT2538" s="82" t="str">
        <f aca="false">IF(AS2538=1,SUM(AS$7:AS2538),"")</f>
        <v/>
      </c>
      <c r="AU2538" s="82" t="n">
        <f aca="false">IF(AND(OR(AA2538="R",AA2538="NX",AA2538="NT",AA2538="CO"),OR('JOINTS DE RÉPARATION'!$D$5="TOUTES",B2538='JOINTS DE RÉPARATION'!$D$5),OR('JOINTS DE RÉPARATION'!$L$4="TOUS",AQ2538&lt;&gt;"ACCEPTÉ")),1,0)</f>
        <v>0</v>
      </c>
      <c r="AV2538" s="82" t="str">
        <f aca="false">IF(AU2538=1,SUM(AU$7:AU2538),"")</f>
        <v/>
      </c>
      <c r="AW2538" s="82" t="str">
        <f aca="false">IF(E2538="","",B2538&amp;"|"&amp;E2538)</f>
        <v/>
      </c>
    </row>
    <row r="2539" customFormat="false" ht="15" hidden="false" customHeight="false" outlineLevel="0" collapsed="false">
      <c r="A2539" s="79" t="str">
        <f aca="false">IF(E2539="","",ROW()-6)</f>
        <v/>
      </c>
      <c r="B2539" s="80"/>
      <c r="C2539" s="81"/>
      <c r="D2539" s="81"/>
      <c r="E2539" s="81"/>
      <c r="F2539" s="82" t="str">
        <f aca="false">IF(E2539="","",IF(LEFT(E2539,2)="DJ","DJ","JN"))</f>
        <v/>
      </c>
      <c r="G2539" s="81"/>
      <c r="H2539" s="81"/>
      <c r="I2539" s="81"/>
      <c r="J2539" s="81"/>
      <c r="K2539" s="81"/>
      <c r="L2539" s="81"/>
      <c r="M2539" s="81"/>
      <c r="N2539" s="81"/>
      <c r="O2539" s="81"/>
      <c r="P2539" s="81"/>
      <c r="Q2539" s="81"/>
      <c r="R2539" s="81"/>
      <c r="S2539" s="81"/>
      <c r="T2539" s="81"/>
      <c r="U2539" s="83"/>
      <c r="V2539" s="83"/>
      <c r="W2539" s="81"/>
      <c r="X2539" s="81"/>
      <c r="Y2539" s="83"/>
      <c r="Z2539" s="81"/>
      <c r="AA2539" s="81"/>
      <c r="AB2539" s="81"/>
      <c r="AC2539" s="81"/>
      <c r="AD2539" s="81"/>
      <c r="AE2539" s="83"/>
      <c r="AF2539" s="81"/>
      <c r="AG2539" s="81"/>
      <c r="AH2539" s="81"/>
      <c r="AI2539" s="81"/>
      <c r="AJ2539" s="83"/>
      <c r="AK2539" s="81"/>
      <c r="AL2539" s="81"/>
      <c r="AM2539" s="83"/>
      <c r="AN2539" s="80"/>
      <c r="AO2539" s="82" t="str">
        <f aca="false">IF(E2539="","",(AA2539&lt;&gt;"")+(AG2539&lt;&gt;"")+(AL2539&lt;&gt;""))</f>
        <v/>
      </c>
      <c r="AP2539" s="82" t="str">
        <f aca="false">IF(AL2539&lt;&gt;"",AL2539,IF(AG2539&lt;&gt;"",AG2539,IF(AA2539&lt;&gt;"",AA2539,"")))</f>
        <v/>
      </c>
      <c r="AQ2539" s="84" t="str">
        <f aca="false">IF(E2539="","",IF(U2539="","À SOUDER",IF(X2539="","VT EN ATTENTE",IF(X2539="R","VT REJETÉ – À REPRENDRE",IF(AP2539="","À RADIOGRAPHIER",IF(AP2539="A","ACCEPTÉ",IF(AP2539="NX","NX – RT À REFAIRE",IF(IF(AO2539=1,AD2539,IF(AO2539=2,AI2539,""))="A","RÉPARÉ – À RADIOGRAPHIER",IF(IF(AO2539=1,AD2539,IF(AO2539=2,AI2539,""))="R","VT REJETÉ – À REPRENDRE",IF(OR(AP2539="CO",AP2539="NT"),"COUPE – À RESOUDER","À RÉPARER"))))))))))</f>
        <v/>
      </c>
      <c r="AR2539" s="82" t="str">
        <f aca="false">IF(AND(ISNUMBER(U2539),OR(AQ2539="À RADIOGRAPHIER",AQ2539="RÉPARÉ – À RADIOGRAPHIER",AQ2539="NX – RT À REFAIRE",AQ2539="À RÉPARER",AQ2539="COUPE – À RESOUDER",AQ2539="VT REJETÉ – À REPRENDRE")),MAX(0,'PROGRAMME RT'!$C$4-U2539),"")</f>
        <v/>
      </c>
      <c r="AS2539" s="82" t="n">
        <f aca="false">IF(AND(OR(AQ2539="À RADIOGRAPHIER",AQ2539="RÉPARÉ – À RADIOGRAPHIER",AQ2539="NX – RT À REFAIRE"),OR('PROGRAMME RT'!$D$5="TOUTES",B2539='PROGRAMME RT'!$D$5)),1,0)</f>
        <v>0</v>
      </c>
      <c r="AT2539" s="82" t="str">
        <f aca="false">IF(AS2539=1,SUM(AS$7:AS2539),"")</f>
        <v/>
      </c>
      <c r="AU2539" s="82" t="n">
        <f aca="false">IF(AND(OR(AA2539="R",AA2539="NX",AA2539="NT",AA2539="CO"),OR('JOINTS DE RÉPARATION'!$D$5="TOUTES",B2539='JOINTS DE RÉPARATION'!$D$5),OR('JOINTS DE RÉPARATION'!$L$4="TOUS",AQ2539&lt;&gt;"ACCEPTÉ")),1,0)</f>
        <v>0</v>
      </c>
      <c r="AV2539" s="82" t="str">
        <f aca="false">IF(AU2539=1,SUM(AU$7:AU2539),"")</f>
        <v/>
      </c>
      <c r="AW2539" s="82" t="str">
        <f aca="false">IF(E2539="","",B2539&amp;"|"&amp;E2539)</f>
        <v/>
      </c>
    </row>
    <row r="2540" customFormat="false" ht="15" hidden="false" customHeight="false" outlineLevel="0" collapsed="false">
      <c r="A2540" s="79" t="str">
        <f aca="false">IF(E2540="","",ROW()-6)</f>
        <v/>
      </c>
      <c r="B2540" s="80"/>
      <c r="C2540" s="81"/>
      <c r="D2540" s="81"/>
      <c r="E2540" s="81"/>
      <c r="F2540" s="82" t="str">
        <f aca="false">IF(E2540="","",IF(LEFT(E2540,2)="DJ","DJ","JN"))</f>
        <v/>
      </c>
      <c r="G2540" s="81"/>
      <c r="H2540" s="81"/>
      <c r="I2540" s="81"/>
      <c r="J2540" s="81"/>
      <c r="K2540" s="81"/>
      <c r="L2540" s="81"/>
      <c r="M2540" s="81"/>
      <c r="N2540" s="81"/>
      <c r="O2540" s="81"/>
      <c r="P2540" s="81"/>
      <c r="Q2540" s="81"/>
      <c r="R2540" s="81"/>
      <c r="S2540" s="81"/>
      <c r="T2540" s="81"/>
      <c r="U2540" s="83"/>
      <c r="V2540" s="83"/>
      <c r="W2540" s="81"/>
      <c r="X2540" s="81"/>
      <c r="Y2540" s="83"/>
      <c r="Z2540" s="81"/>
      <c r="AA2540" s="81"/>
      <c r="AB2540" s="81"/>
      <c r="AC2540" s="81"/>
      <c r="AD2540" s="81"/>
      <c r="AE2540" s="83"/>
      <c r="AF2540" s="81"/>
      <c r="AG2540" s="81"/>
      <c r="AH2540" s="81"/>
      <c r="AI2540" s="81"/>
      <c r="AJ2540" s="83"/>
      <c r="AK2540" s="81"/>
      <c r="AL2540" s="81"/>
      <c r="AM2540" s="83"/>
      <c r="AN2540" s="80"/>
      <c r="AO2540" s="82" t="str">
        <f aca="false">IF(E2540="","",(AA2540&lt;&gt;"")+(AG2540&lt;&gt;"")+(AL2540&lt;&gt;""))</f>
        <v/>
      </c>
      <c r="AP2540" s="82" t="str">
        <f aca="false">IF(AL2540&lt;&gt;"",AL2540,IF(AG2540&lt;&gt;"",AG2540,IF(AA2540&lt;&gt;"",AA2540,"")))</f>
        <v/>
      </c>
      <c r="AQ2540" s="84" t="str">
        <f aca="false">IF(E2540="","",IF(U2540="","À SOUDER",IF(X2540="","VT EN ATTENTE",IF(X2540="R","VT REJETÉ – À REPRENDRE",IF(AP2540="","À RADIOGRAPHIER",IF(AP2540="A","ACCEPTÉ",IF(AP2540="NX","NX – RT À REFAIRE",IF(IF(AO2540=1,AD2540,IF(AO2540=2,AI2540,""))="A","RÉPARÉ – À RADIOGRAPHIER",IF(IF(AO2540=1,AD2540,IF(AO2540=2,AI2540,""))="R","VT REJETÉ – À REPRENDRE",IF(OR(AP2540="CO",AP2540="NT"),"COUPE – À RESOUDER","À RÉPARER"))))))))))</f>
        <v/>
      </c>
      <c r="AR2540" s="82" t="str">
        <f aca="false">IF(AND(ISNUMBER(U2540),OR(AQ2540="À RADIOGRAPHIER",AQ2540="RÉPARÉ – À RADIOGRAPHIER",AQ2540="NX – RT À REFAIRE",AQ2540="À RÉPARER",AQ2540="COUPE – À RESOUDER",AQ2540="VT REJETÉ – À REPRENDRE")),MAX(0,'PROGRAMME RT'!$C$4-U2540),"")</f>
        <v/>
      </c>
      <c r="AS2540" s="82" t="n">
        <f aca="false">IF(AND(OR(AQ2540="À RADIOGRAPHIER",AQ2540="RÉPARÉ – À RADIOGRAPHIER",AQ2540="NX – RT À REFAIRE"),OR('PROGRAMME RT'!$D$5="TOUTES",B2540='PROGRAMME RT'!$D$5)),1,0)</f>
        <v>0</v>
      </c>
      <c r="AT2540" s="82" t="str">
        <f aca="false">IF(AS2540=1,SUM(AS$7:AS2540),"")</f>
        <v/>
      </c>
      <c r="AU2540" s="82" t="n">
        <f aca="false">IF(AND(OR(AA2540="R",AA2540="NX",AA2540="NT",AA2540="CO"),OR('JOINTS DE RÉPARATION'!$D$5="TOUTES",B2540='JOINTS DE RÉPARATION'!$D$5),OR('JOINTS DE RÉPARATION'!$L$4="TOUS",AQ2540&lt;&gt;"ACCEPTÉ")),1,0)</f>
        <v>0</v>
      </c>
      <c r="AV2540" s="82" t="str">
        <f aca="false">IF(AU2540=1,SUM(AU$7:AU2540),"")</f>
        <v/>
      </c>
      <c r="AW2540" s="82" t="str">
        <f aca="false">IF(E2540="","",B2540&amp;"|"&amp;E2540)</f>
        <v/>
      </c>
    </row>
    <row r="2541" customFormat="false" ht="15" hidden="false" customHeight="false" outlineLevel="0" collapsed="false">
      <c r="A2541" s="79" t="str">
        <f aca="false">IF(E2541="","",ROW()-6)</f>
        <v/>
      </c>
      <c r="B2541" s="80"/>
      <c r="C2541" s="81"/>
      <c r="D2541" s="81"/>
      <c r="E2541" s="81"/>
      <c r="F2541" s="82" t="str">
        <f aca="false">IF(E2541="","",IF(LEFT(E2541,2)="DJ","DJ","JN"))</f>
        <v/>
      </c>
      <c r="G2541" s="81"/>
      <c r="H2541" s="81"/>
      <c r="I2541" s="81"/>
      <c r="J2541" s="81"/>
      <c r="K2541" s="81"/>
      <c r="L2541" s="81"/>
      <c r="M2541" s="81"/>
      <c r="N2541" s="81"/>
      <c r="O2541" s="81"/>
      <c r="P2541" s="81"/>
      <c r="Q2541" s="81"/>
      <c r="R2541" s="81"/>
      <c r="S2541" s="81"/>
      <c r="T2541" s="81"/>
      <c r="U2541" s="83"/>
      <c r="V2541" s="83"/>
      <c r="W2541" s="81"/>
      <c r="X2541" s="81"/>
      <c r="Y2541" s="83"/>
      <c r="Z2541" s="81"/>
      <c r="AA2541" s="81"/>
      <c r="AB2541" s="81"/>
      <c r="AC2541" s="81"/>
      <c r="AD2541" s="81"/>
      <c r="AE2541" s="83"/>
      <c r="AF2541" s="81"/>
      <c r="AG2541" s="81"/>
      <c r="AH2541" s="81"/>
      <c r="AI2541" s="81"/>
      <c r="AJ2541" s="83"/>
      <c r="AK2541" s="81"/>
      <c r="AL2541" s="81"/>
      <c r="AM2541" s="83"/>
      <c r="AN2541" s="80"/>
      <c r="AO2541" s="82" t="str">
        <f aca="false">IF(E2541="","",(AA2541&lt;&gt;"")+(AG2541&lt;&gt;"")+(AL2541&lt;&gt;""))</f>
        <v/>
      </c>
      <c r="AP2541" s="82" t="str">
        <f aca="false">IF(AL2541&lt;&gt;"",AL2541,IF(AG2541&lt;&gt;"",AG2541,IF(AA2541&lt;&gt;"",AA2541,"")))</f>
        <v/>
      </c>
      <c r="AQ2541" s="84" t="str">
        <f aca="false">IF(E2541="","",IF(U2541="","À SOUDER",IF(X2541="","VT EN ATTENTE",IF(X2541="R","VT REJETÉ – À REPRENDRE",IF(AP2541="","À RADIOGRAPHIER",IF(AP2541="A","ACCEPTÉ",IF(AP2541="NX","NX – RT À REFAIRE",IF(IF(AO2541=1,AD2541,IF(AO2541=2,AI2541,""))="A","RÉPARÉ – À RADIOGRAPHIER",IF(IF(AO2541=1,AD2541,IF(AO2541=2,AI2541,""))="R","VT REJETÉ – À REPRENDRE",IF(OR(AP2541="CO",AP2541="NT"),"COUPE – À RESOUDER","À RÉPARER"))))))))))</f>
        <v/>
      </c>
      <c r="AR2541" s="82" t="str">
        <f aca="false">IF(AND(ISNUMBER(U2541),OR(AQ2541="À RADIOGRAPHIER",AQ2541="RÉPARÉ – À RADIOGRAPHIER",AQ2541="NX – RT À REFAIRE",AQ2541="À RÉPARER",AQ2541="COUPE – À RESOUDER",AQ2541="VT REJETÉ – À REPRENDRE")),MAX(0,'PROGRAMME RT'!$C$4-U2541),"")</f>
        <v/>
      </c>
      <c r="AS2541" s="82" t="n">
        <f aca="false">IF(AND(OR(AQ2541="À RADIOGRAPHIER",AQ2541="RÉPARÉ – À RADIOGRAPHIER",AQ2541="NX – RT À REFAIRE"),OR('PROGRAMME RT'!$D$5="TOUTES",B2541='PROGRAMME RT'!$D$5)),1,0)</f>
        <v>0</v>
      </c>
      <c r="AT2541" s="82" t="str">
        <f aca="false">IF(AS2541=1,SUM(AS$7:AS2541),"")</f>
        <v/>
      </c>
      <c r="AU2541" s="82" t="n">
        <f aca="false">IF(AND(OR(AA2541="R",AA2541="NX",AA2541="NT",AA2541="CO"),OR('JOINTS DE RÉPARATION'!$D$5="TOUTES",B2541='JOINTS DE RÉPARATION'!$D$5),OR('JOINTS DE RÉPARATION'!$L$4="TOUS",AQ2541&lt;&gt;"ACCEPTÉ")),1,0)</f>
        <v>0</v>
      </c>
      <c r="AV2541" s="82" t="str">
        <f aca="false">IF(AU2541=1,SUM(AU$7:AU2541),"")</f>
        <v/>
      </c>
      <c r="AW2541" s="82" t="str">
        <f aca="false">IF(E2541="","",B2541&amp;"|"&amp;E2541)</f>
        <v/>
      </c>
    </row>
    <row r="2542" customFormat="false" ht="15" hidden="false" customHeight="false" outlineLevel="0" collapsed="false">
      <c r="A2542" s="79" t="str">
        <f aca="false">IF(E2542="","",ROW()-6)</f>
        <v/>
      </c>
      <c r="B2542" s="80"/>
      <c r="C2542" s="81"/>
      <c r="D2542" s="81"/>
      <c r="E2542" s="81"/>
      <c r="F2542" s="82" t="str">
        <f aca="false">IF(E2542="","",IF(LEFT(E2542,2)="DJ","DJ","JN"))</f>
        <v/>
      </c>
      <c r="G2542" s="81"/>
      <c r="H2542" s="81"/>
      <c r="I2542" s="81"/>
      <c r="J2542" s="81"/>
      <c r="K2542" s="81"/>
      <c r="L2542" s="81"/>
      <c r="M2542" s="81"/>
      <c r="N2542" s="81"/>
      <c r="O2542" s="81"/>
      <c r="P2542" s="81"/>
      <c r="Q2542" s="81"/>
      <c r="R2542" s="81"/>
      <c r="S2542" s="81"/>
      <c r="T2542" s="81"/>
      <c r="U2542" s="83"/>
      <c r="V2542" s="83"/>
      <c r="W2542" s="81"/>
      <c r="X2542" s="81"/>
      <c r="Y2542" s="83"/>
      <c r="Z2542" s="81"/>
      <c r="AA2542" s="81"/>
      <c r="AB2542" s="81"/>
      <c r="AC2542" s="81"/>
      <c r="AD2542" s="81"/>
      <c r="AE2542" s="83"/>
      <c r="AF2542" s="81"/>
      <c r="AG2542" s="81"/>
      <c r="AH2542" s="81"/>
      <c r="AI2542" s="81"/>
      <c r="AJ2542" s="83"/>
      <c r="AK2542" s="81"/>
      <c r="AL2542" s="81"/>
      <c r="AM2542" s="83"/>
      <c r="AN2542" s="80"/>
      <c r="AO2542" s="82" t="str">
        <f aca="false">IF(E2542="","",(AA2542&lt;&gt;"")+(AG2542&lt;&gt;"")+(AL2542&lt;&gt;""))</f>
        <v/>
      </c>
      <c r="AP2542" s="82" t="str">
        <f aca="false">IF(AL2542&lt;&gt;"",AL2542,IF(AG2542&lt;&gt;"",AG2542,IF(AA2542&lt;&gt;"",AA2542,"")))</f>
        <v/>
      </c>
      <c r="AQ2542" s="84" t="str">
        <f aca="false">IF(E2542="","",IF(U2542="","À SOUDER",IF(X2542="","VT EN ATTENTE",IF(X2542="R","VT REJETÉ – À REPRENDRE",IF(AP2542="","À RADIOGRAPHIER",IF(AP2542="A","ACCEPTÉ",IF(AP2542="NX","NX – RT À REFAIRE",IF(IF(AO2542=1,AD2542,IF(AO2542=2,AI2542,""))="A","RÉPARÉ – À RADIOGRAPHIER",IF(IF(AO2542=1,AD2542,IF(AO2542=2,AI2542,""))="R","VT REJETÉ – À REPRENDRE",IF(OR(AP2542="CO",AP2542="NT"),"COUPE – À RESOUDER","À RÉPARER"))))))))))</f>
        <v/>
      </c>
      <c r="AR2542" s="82" t="str">
        <f aca="false">IF(AND(ISNUMBER(U2542),OR(AQ2542="À RADIOGRAPHIER",AQ2542="RÉPARÉ – À RADIOGRAPHIER",AQ2542="NX – RT À REFAIRE",AQ2542="À RÉPARER",AQ2542="COUPE – À RESOUDER",AQ2542="VT REJETÉ – À REPRENDRE")),MAX(0,'PROGRAMME RT'!$C$4-U2542),"")</f>
        <v/>
      </c>
      <c r="AS2542" s="82" t="n">
        <f aca="false">IF(AND(OR(AQ2542="À RADIOGRAPHIER",AQ2542="RÉPARÉ – À RADIOGRAPHIER",AQ2542="NX – RT À REFAIRE"),OR('PROGRAMME RT'!$D$5="TOUTES",B2542='PROGRAMME RT'!$D$5)),1,0)</f>
        <v>0</v>
      </c>
      <c r="AT2542" s="82" t="str">
        <f aca="false">IF(AS2542=1,SUM(AS$7:AS2542),"")</f>
        <v/>
      </c>
      <c r="AU2542" s="82" t="n">
        <f aca="false">IF(AND(OR(AA2542="R",AA2542="NX",AA2542="NT",AA2542="CO"),OR('JOINTS DE RÉPARATION'!$D$5="TOUTES",B2542='JOINTS DE RÉPARATION'!$D$5),OR('JOINTS DE RÉPARATION'!$L$4="TOUS",AQ2542&lt;&gt;"ACCEPTÉ")),1,0)</f>
        <v>0</v>
      </c>
      <c r="AV2542" s="82" t="str">
        <f aca="false">IF(AU2542=1,SUM(AU$7:AU2542),"")</f>
        <v/>
      </c>
      <c r="AW2542" s="82" t="str">
        <f aca="false">IF(E2542="","",B2542&amp;"|"&amp;E2542)</f>
        <v/>
      </c>
    </row>
    <row r="2543" customFormat="false" ht="15" hidden="false" customHeight="false" outlineLevel="0" collapsed="false">
      <c r="A2543" s="79" t="str">
        <f aca="false">IF(E2543="","",ROW()-6)</f>
        <v/>
      </c>
      <c r="B2543" s="80"/>
      <c r="C2543" s="81"/>
      <c r="D2543" s="81"/>
      <c r="E2543" s="81"/>
      <c r="F2543" s="82" t="str">
        <f aca="false">IF(E2543="","",IF(LEFT(E2543,2)="DJ","DJ","JN"))</f>
        <v/>
      </c>
      <c r="G2543" s="81"/>
      <c r="H2543" s="81"/>
      <c r="I2543" s="81"/>
      <c r="J2543" s="81"/>
      <c r="K2543" s="81"/>
      <c r="L2543" s="81"/>
      <c r="M2543" s="81"/>
      <c r="N2543" s="81"/>
      <c r="O2543" s="81"/>
      <c r="P2543" s="81"/>
      <c r="Q2543" s="81"/>
      <c r="R2543" s="81"/>
      <c r="S2543" s="81"/>
      <c r="T2543" s="81"/>
      <c r="U2543" s="83"/>
      <c r="V2543" s="83"/>
      <c r="W2543" s="81"/>
      <c r="X2543" s="81"/>
      <c r="Y2543" s="83"/>
      <c r="Z2543" s="81"/>
      <c r="AA2543" s="81"/>
      <c r="AB2543" s="81"/>
      <c r="AC2543" s="81"/>
      <c r="AD2543" s="81"/>
      <c r="AE2543" s="83"/>
      <c r="AF2543" s="81"/>
      <c r="AG2543" s="81"/>
      <c r="AH2543" s="81"/>
      <c r="AI2543" s="81"/>
      <c r="AJ2543" s="83"/>
      <c r="AK2543" s="81"/>
      <c r="AL2543" s="81"/>
      <c r="AM2543" s="83"/>
      <c r="AN2543" s="80"/>
      <c r="AO2543" s="82" t="str">
        <f aca="false">IF(E2543="","",(AA2543&lt;&gt;"")+(AG2543&lt;&gt;"")+(AL2543&lt;&gt;""))</f>
        <v/>
      </c>
      <c r="AP2543" s="82" t="str">
        <f aca="false">IF(AL2543&lt;&gt;"",AL2543,IF(AG2543&lt;&gt;"",AG2543,IF(AA2543&lt;&gt;"",AA2543,"")))</f>
        <v/>
      </c>
      <c r="AQ2543" s="84" t="str">
        <f aca="false">IF(E2543="","",IF(U2543="","À SOUDER",IF(X2543="","VT EN ATTENTE",IF(X2543="R","VT REJETÉ – À REPRENDRE",IF(AP2543="","À RADIOGRAPHIER",IF(AP2543="A","ACCEPTÉ",IF(AP2543="NX","NX – RT À REFAIRE",IF(IF(AO2543=1,AD2543,IF(AO2543=2,AI2543,""))="A","RÉPARÉ – À RADIOGRAPHIER",IF(IF(AO2543=1,AD2543,IF(AO2543=2,AI2543,""))="R","VT REJETÉ – À REPRENDRE",IF(OR(AP2543="CO",AP2543="NT"),"COUPE – À RESOUDER","À RÉPARER"))))))))))</f>
        <v/>
      </c>
      <c r="AR2543" s="82" t="str">
        <f aca="false">IF(AND(ISNUMBER(U2543),OR(AQ2543="À RADIOGRAPHIER",AQ2543="RÉPARÉ – À RADIOGRAPHIER",AQ2543="NX – RT À REFAIRE",AQ2543="À RÉPARER",AQ2543="COUPE – À RESOUDER",AQ2543="VT REJETÉ – À REPRENDRE")),MAX(0,'PROGRAMME RT'!$C$4-U2543),"")</f>
        <v/>
      </c>
      <c r="AS2543" s="82" t="n">
        <f aca="false">IF(AND(OR(AQ2543="À RADIOGRAPHIER",AQ2543="RÉPARÉ – À RADIOGRAPHIER",AQ2543="NX – RT À REFAIRE"),OR('PROGRAMME RT'!$D$5="TOUTES",B2543='PROGRAMME RT'!$D$5)),1,0)</f>
        <v>0</v>
      </c>
      <c r="AT2543" s="82" t="str">
        <f aca="false">IF(AS2543=1,SUM(AS$7:AS2543),"")</f>
        <v/>
      </c>
      <c r="AU2543" s="82" t="n">
        <f aca="false">IF(AND(OR(AA2543="R",AA2543="NX",AA2543="NT",AA2543="CO"),OR('JOINTS DE RÉPARATION'!$D$5="TOUTES",B2543='JOINTS DE RÉPARATION'!$D$5),OR('JOINTS DE RÉPARATION'!$L$4="TOUS",AQ2543&lt;&gt;"ACCEPTÉ")),1,0)</f>
        <v>0</v>
      </c>
      <c r="AV2543" s="82" t="str">
        <f aca="false">IF(AU2543=1,SUM(AU$7:AU2543),"")</f>
        <v/>
      </c>
      <c r="AW2543" s="82" t="str">
        <f aca="false">IF(E2543="","",B2543&amp;"|"&amp;E2543)</f>
        <v/>
      </c>
    </row>
    <row r="2544" customFormat="false" ht="15" hidden="false" customHeight="false" outlineLevel="0" collapsed="false">
      <c r="A2544" s="79" t="str">
        <f aca="false">IF(E2544="","",ROW()-6)</f>
        <v/>
      </c>
      <c r="B2544" s="80"/>
      <c r="C2544" s="81"/>
      <c r="D2544" s="81"/>
      <c r="E2544" s="81"/>
      <c r="F2544" s="82" t="str">
        <f aca="false">IF(E2544="","",IF(LEFT(E2544,2)="DJ","DJ","JN"))</f>
        <v/>
      </c>
      <c r="G2544" s="81"/>
      <c r="H2544" s="81"/>
      <c r="I2544" s="81"/>
      <c r="J2544" s="81"/>
      <c r="K2544" s="81"/>
      <c r="L2544" s="81"/>
      <c r="M2544" s="81"/>
      <c r="N2544" s="81"/>
      <c r="O2544" s="81"/>
      <c r="P2544" s="81"/>
      <c r="Q2544" s="81"/>
      <c r="R2544" s="81"/>
      <c r="S2544" s="81"/>
      <c r="T2544" s="81"/>
      <c r="U2544" s="83"/>
      <c r="V2544" s="83"/>
      <c r="W2544" s="81"/>
      <c r="X2544" s="81"/>
      <c r="Y2544" s="83"/>
      <c r="Z2544" s="81"/>
      <c r="AA2544" s="81"/>
      <c r="AB2544" s="81"/>
      <c r="AC2544" s="81"/>
      <c r="AD2544" s="81"/>
      <c r="AE2544" s="83"/>
      <c r="AF2544" s="81"/>
      <c r="AG2544" s="81"/>
      <c r="AH2544" s="81"/>
      <c r="AI2544" s="81"/>
      <c r="AJ2544" s="83"/>
      <c r="AK2544" s="81"/>
      <c r="AL2544" s="81"/>
      <c r="AM2544" s="83"/>
      <c r="AN2544" s="80"/>
      <c r="AO2544" s="82" t="str">
        <f aca="false">IF(E2544="","",(AA2544&lt;&gt;"")+(AG2544&lt;&gt;"")+(AL2544&lt;&gt;""))</f>
        <v/>
      </c>
      <c r="AP2544" s="82" t="str">
        <f aca="false">IF(AL2544&lt;&gt;"",AL2544,IF(AG2544&lt;&gt;"",AG2544,IF(AA2544&lt;&gt;"",AA2544,"")))</f>
        <v/>
      </c>
      <c r="AQ2544" s="84" t="str">
        <f aca="false">IF(E2544="","",IF(U2544="","À SOUDER",IF(X2544="","VT EN ATTENTE",IF(X2544="R","VT REJETÉ – À REPRENDRE",IF(AP2544="","À RADIOGRAPHIER",IF(AP2544="A","ACCEPTÉ",IF(AP2544="NX","NX – RT À REFAIRE",IF(IF(AO2544=1,AD2544,IF(AO2544=2,AI2544,""))="A","RÉPARÉ – À RADIOGRAPHIER",IF(IF(AO2544=1,AD2544,IF(AO2544=2,AI2544,""))="R","VT REJETÉ – À REPRENDRE",IF(OR(AP2544="CO",AP2544="NT"),"COUPE – À RESOUDER","À RÉPARER"))))))))))</f>
        <v/>
      </c>
      <c r="AR2544" s="82" t="str">
        <f aca="false">IF(AND(ISNUMBER(U2544),OR(AQ2544="À RADIOGRAPHIER",AQ2544="RÉPARÉ – À RADIOGRAPHIER",AQ2544="NX – RT À REFAIRE",AQ2544="À RÉPARER",AQ2544="COUPE – À RESOUDER",AQ2544="VT REJETÉ – À REPRENDRE")),MAX(0,'PROGRAMME RT'!$C$4-U2544),"")</f>
        <v/>
      </c>
      <c r="AS2544" s="82" t="n">
        <f aca="false">IF(AND(OR(AQ2544="À RADIOGRAPHIER",AQ2544="RÉPARÉ – À RADIOGRAPHIER",AQ2544="NX – RT À REFAIRE"),OR('PROGRAMME RT'!$D$5="TOUTES",B2544='PROGRAMME RT'!$D$5)),1,0)</f>
        <v>0</v>
      </c>
      <c r="AT2544" s="82" t="str">
        <f aca="false">IF(AS2544=1,SUM(AS$7:AS2544),"")</f>
        <v/>
      </c>
      <c r="AU2544" s="82" t="n">
        <f aca="false">IF(AND(OR(AA2544="R",AA2544="NX",AA2544="NT",AA2544="CO"),OR('JOINTS DE RÉPARATION'!$D$5="TOUTES",B2544='JOINTS DE RÉPARATION'!$D$5),OR('JOINTS DE RÉPARATION'!$L$4="TOUS",AQ2544&lt;&gt;"ACCEPTÉ")),1,0)</f>
        <v>0</v>
      </c>
      <c r="AV2544" s="82" t="str">
        <f aca="false">IF(AU2544=1,SUM(AU$7:AU2544),"")</f>
        <v/>
      </c>
      <c r="AW2544" s="82" t="str">
        <f aca="false">IF(E2544="","",B2544&amp;"|"&amp;E2544)</f>
        <v/>
      </c>
    </row>
    <row r="2545" customFormat="false" ht="15" hidden="false" customHeight="false" outlineLevel="0" collapsed="false">
      <c r="A2545" s="79" t="str">
        <f aca="false">IF(E2545="","",ROW()-6)</f>
        <v/>
      </c>
      <c r="B2545" s="80"/>
      <c r="C2545" s="81"/>
      <c r="D2545" s="81"/>
      <c r="E2545" s="81"/>
      <c r="F2545" s="82" t="str">
        <f aca="false">IF(E2545="","",IF(LEFT(E2545,2)="DJ","DJ","JN"))</f>
        <v/>
      </c>
      <c r="G2545" s="81"/>
      <c r="H2545" s="81"/>
      <c r="I2545" s="81"/>
      <c r="J2545" s="81"/>
      <c r="K2545" s="81"/>
      <c r="L2545" s="81"/>
      <c r="M2545" s="81"/>
      <c r="N2545" s="81"/>
      <c r="O2545" s="81"/>
      <c r="P2545" s="81"/>
      <c r="Q2545" s="81"/>
      <c r="R2545" s="81"/>
      <c r="S2545" s="81"/>
      <c r="T2545" s="81"/>
      <c r="U2545" s="83"/>
      <c r="V2545" s="83"/>
      <c r="W2545" s="81"/>
      <c r="X2545" s="81"/>
      <c r="Y2545" s="83"/>
      <c r="Z2545" s="81"/>
      <c r="AA2545" s="81"/>
      <c r="AB2545" s="81"/>
      <c r="AC2545" s="81"/>
      <c r="AD2545" s="81"/>
      <c r="AE2545" s="83"/>
      <c r="AF2545" s="81"/>
      <c r="AG2545" s="81"/>
      <c r="AH2545" s="81"/>
      <c r="AI2545" s="81"/>
      <c r="AJ2545" s="83"/>
      <c r="AK2545" s="81"/>
      <c r="AL2545" s="81"/>
      <c r="AM2545" s="83"/>
      <c r="AN2545" s="80"/>
      <c r="AO2545" s="82" t="str">
        <f aca="false">IF(E2545="","",(AA2545&lt;&gt;"")+(AG2545&lt;&gt;"")+(AL2545&lt;&gt;""))</f>
        <v/>
      </c>
      <c r="AP2545" s="82" t="str">
        <f aca="false">IF(AL2545&lt;&gt;"",AL2545,IF(AG2545&lt;&gt;"",AG2545,IF(AA2545&lt;&gt;"",AA2545,"")))</f>
        <v/>
      </c>
      <c r="AQ2545" s="84" t="str">
        <f aca="false">IF(E2545="","",IF(U2545="","À SOUDER",IF(X2545="","VT EN ATTENTE",IF(X2545="R","VT REJETÉ – À REPRENDRE",IF(AP2545="","À RADIOGRAPHIER",IF(AP2545="A","ACCEPTÉ",IF(AP2545="NX","NX – RT À REFAIRE",IF(IF(AO2545=1,AD2545,IF(AO2545=2,AI2545,""))="A","RÉPARÉ – À RADIOGRAPHIER",IF(IF(AO2545=1,AD2545,IF(AO2545=2,AI2545,""))="R","VT REJETÉ – À REPRENDRE",IF(OR(AP2545="CO",AP2545="NT"),"COUPE – À RESOUDER","À RÉPARER"))))))))))</f>
        <v/>
      </c>
      <c r="AR2545" s="82" t="str">
        <f aca="false">IF(AND(ISNUMBER(U2545),OR(AQ2545="À RADIOGRAPHIER",AQ2545="RÉPARÉ – À RADIOGRAPHIER",AQ2545="NX – RT À REFAIRE",AQ2545="À RÉPARER",AQ2545="COUPE – À RESOUDER",AQ2545="VT REJETÉ – À REPRENDRE")),MAX(0,'PROGRAMME RT'!$C$4-U2545),"")</f>
        <v/>
      </c>
      <c r="AS2545" s="82" t="n">
        <f aca="false">IF(AND(OR(AQ2545="À RADIOGRAPHIER",AQ2545="RÉPARÉ – À RADIOGRAPHIER",AQ2545="NX – RT À REFAIRE"),OR('PROGRAMME RT'!$D$5="TOUTES",B2545='PROGRAMME RT'!$D$5)),1,0)</f>
        <v>0</v>
      </c>
      <c r="AT2545" s="82" t="str">
        <f aca="false">IF(AS2545=1,SUM(AS$7:AS2545),"")</f>
        <v/>
      </c>
      <c r="AU2545" s="82" t="n">
        <f aca="false">IF(AND(OR(AA2545="R",AA2545="NX",AA2545="NT",AA2545="CO"),OR('JOINTS DE RÉPARATION'!$D$5="TOUTES",B2545='JOINTS DE RÉPARATION'!$D$5),OR('JOINTS DE RÉPARATION'!$L$4="TOUS",AQ2545&lt;&gt;"ACCEPTÉ")),1,0)</f>
        <v>0</v>
      </c>
      <c r="AV2545" s="82" t="str">
        <f aca="false">IF(AU2545=1,SUM(AU$7:AU2545),"")</f>
        <v/>
      </c>
      <c r="AW2545" s="82" t="str">
        <f aca="false">IF(E2545="","",B2545&amp;"|"&amp;E2545)</f>
        <v/>
      </c>
    </row>
    <row r="2546" customFormat="false" ht="15" hidden="false" customHeight="false" outlineLevel="0" collapsed="false">
      <c r="A2546" s="79" t="str">
        <f aca="false">IF(E2546="","",ROW()-6)</f>
        <v/>
      </c>
      <c r="B2546" s="80"/>
      <c r="C2546" s="81"/>
      <c r="D2546" s="81"/>
      <c r="E2546" s="81"/>
      <c r="F2546" s="82" t="str">
        <f aca="false">IF(E2546="","",IF(LEFT(E2546,2)="DJ","DJ","JN"))</f>
        <v/>
      </c>
      <c r="G2546" s="81"/>
      <c r="H2546" s="81"/>
      <c r="I2546" s="81"/>
      <c r="J2546" s="81"/>
      <c r="K2546" s="81"/>
      <c r="L2546" s="81"/>
      <c r="M2546" s="81"/>
      <c r="N2546" s="81"/>
      <c r="O2546" s="81"/>
      <c r="P2546" s="81"/>
      <c r="Q2546" s="81"/>
      <c r="R2546" s="81"/>
      <c r="S2546" s="81"/>
      <c r="T2546" s="81"/>
      <c r="U2546" s="83"/>
      <c r="V2546" s="83"/>
      <c r="W2546" s="81"/>
      <c r="X2546" s="81"/>
      <c r="Y2546" s="83"/>
      <c r="Z2546" s="81"/>
      <c r="AA2546" s="81"/>
      <c r="AB2546" s="81"/>
      <c r="AC2546" s="81"/>
      <c r="AD2546" s="81"/>
      <c r="AE2546" s="83"/>
      <c r="AF2546" s="81"/>
      <c r="AG2546" s="81"/>
      <c r="AH2546" s="81"/>
      <c r="AI2546" s="81"/>
      <c r="AJ2546" s="83"/>
      <c r="AK2546" s="81"/>
      <c r="AL2546" s="81"/>
      <c r="AM2546" s="83"/>
      <c r="AN2546" s="80"/>
      <c r="AO2546" s="82" t="str">
        <f aca="false">IF(E2546="","",(AA2546&lt;&gt;"")+(AG2546&lt;&gt;"")+(AL2546&lt;&gt;""))</f>
        <v/>
      </c>
      <c r="AP2546" s="82" t="str">
        <f aca="false">IF(AL2546&lt;&gt;"",AL2546,IF(AG2546&lt;&gt;"",AG2546,IF(AA2546&lt;&gt;"",AA2546,"")))</f>
        <v/>
      </c>
      <c r="AQ2546" s="84" t="str">
        <f aca="false">IF(E2546="","",IF(U2546="","À SOUDER",IF(X2546="","VT EN ATTENTE",IF(X2546="R","VT REJETÉ – À REPRENDRE",IF(AP2546="","À RADIOGRAPHIER",IF(AP2546="A","ACCEPTÉ",IF(AP2546="NX","NX – RT À REFAIRE",IF(IF(AO2546=1,AD2546,IF(AO2546=2,AI2546,""))="A","RÉPARÉ – À RADIOGRAPHIER",IF(IF(AO2546=1,AD2546,IF(AO2546=2,AI2546,""))="R","VT REJETÉ – À REPRENDRE",IF(OR(AP2546="CO",AP2546="NT"),"COUPE – À RESOUDER","À RÉPARER"))))))))))</f>
        <v/>
      </c>
      <c r="AR2546" s="82" t="str">
        <f aca="false">IF(AND(ISNUMBER(U2546),OR(AQ2546="À RADIOGRAPHIER",AQ2546="RÉPARÉ – À RADIOGRAPHIER",AQ2546="NX – RT À REFAIRE",AQ2546="À RÉPARER",AQ2546="COUPE – À RESOUDER",AQ2546="VT REJETÉ – À REPRENDRE")),MAX(0,'PROGRAMME RT'!$C$4-U2546),"")</f>
        <v/>
      </c>
      <c r="AS2546" s="82" t="n">
        <f aca="false">IF(AND(OR(AQ2546="À RADIOGRAPHIER",AQ2546="RÉPARÉ – À RADIOGRAPHIER",AQ2546="NX – RT À REFAIRE"),OR('PROGRAMME RT'!$D$5="TOUTES",B2546='PROGRAMME RT'!$D$5)),1,0)</f>
        <v>0</v>
      </c>
      <c r="AT2546" s="82" t="str">
        <f aca="false">IF(AS2546=1,SUM(AS$7:AS2546),"")</f>
        <v/>
      </c>
      <c r="AU2546" s="82" t="n">
        <f aca="false">IF(AND(OR(AA2546="R",AA2546="NX",AA2546="NT",AA2546="CO"),OR('JOINTS DE RÉPARATION'!$D$5="TOUTES",B2546='JOINTS DE RÉPARATION'!$D$5),OR('JOINTS DE RÉPARATION'!$L$4="TOUS",AQ2546&lt;&gt;"ACCEPTÉ")),1,0)</f>
        <v>0</v>
      </c>
      <c r="AV2546" s="82" t="str">
        <f aca="false">IF(AU2546=1,SUM(AU$7:AU2546),"")</f>
        <v/>
      </c>
      <c r="AW2546" s="82" t="str">
        <f aca="false">IF(E2546="","",B2546&amp;"|"&amp;E2546)</f>
        <v/>
      </c>
    </row>
    <row r="2547" customFormat="false" ht="15" hidden="false" customHeight="false" outlineLevel="0" collapsed="false">
      <c r="A2547" s="79" t="str">
        <f aca="false">IF(E2547="","",ROW()-6)</f>
        <v/>
      </c>
      <c r="B2547" s="80"/>
      <c r="C2547" s="81"/>
      <c r="D2547" s="81"/>
      <c r="E2547" s="81"/>
      <c r="F2547" s="82" t="str">
        <f aca="false">IF(E2547="","",IF(LEFT(E2547,2)="DJ","DJ","JN"))</f>
        <v/>
      </c>
      <c r="G2547" s="81"/>
      <c r="H2547" s="81"/>
      <c r="I2547" s="81"/>
      <c r="J2547" s="81"/>
      <c r="K2547" s="81"/>
      <c r="L2547" s="81"/>
      <c r="M2547" s="81"/>
      <c r="N2547" s="81"/>
      <c r="O2547" s="81"/>
      <c r="P2547" s="81"/>
      <c r="Q2547" s="81"/>
      <c r="R2547" s="81"/>
      <c r="S2547" s="81"/>
      <c r="T2547" s="81"/>
      <c r="U2547" s="83"/>
      <c r="V2547" s="83"/>
      <c r="W2547" s="81"/>
      <c r="X2547" s="81"/>
      <c r="Y2547" s="83"/>
      <c r="Z2547" s="81"/>
      <c r="AA2547" s="81"/>
      <c r="AB2547" s="81"/>
      <c r="AC2547" s="81"/>
      <c r="AD2547" s="81"/>
      <c r="AE2547" s="83"/>
      <c r="AF2547" s="81"/>
      <c r="AG2547" s="81"/>
      <c r="AH2547" s="81"/>
      <c r="AI2547" s="81"/>
      <c r="AJ2547" s="83"/>
      <c r="AK2547" s="81"/>
      <c r="AL2547" s="81"/>
      <c r="AM2547" s="83"/>
      <c r="AN2547" s="80"/>
      <c r="AO2547" s="82" t="str">
        <f aca="false">IF(E2547="","",(AA2547&lt;&gt;"")+(AG2547&lt;&gt;"")+(AL2547&lt;&gt;""))</f>
        <v/>
      </c>
      <c r="AP2547" s="82" t="str">
        <f aca="false">IF(AL2547&lt;&gt;"",AL2547,IF(AG2547&lt;&gt;"",AG2547,IF(AA2547&lt;&gt;"",AA2547,"")))</f>
        <v/>
      </c>
      <c r="AQ2547" s="84" t="str">
        <f aca="false">IF(E2547="","",IF(U2547="","À SOUDER",IF(X2547="","VT EN ATTENTE",IF(X2547="R","VT REJETÉ – À REPRENDRE",IF(AP2547="","À RADIOGRAPHIER",IF(AP2547="A","ACCEPTÉ",IF(AP2547="NX","NX – RT À REFAIRE",IF(IF(AO2547=1,AD2547,IF(AO2547=2,AI2547,""))="A","RÉPARÉ – À RADIOGRAPHIER",IF(IF(AO2547=1,AD2547,IF(AO2547=2,AI2547,""))="R","VT REJETÉ – À REPRENDRE",IF(OR(AP2547="CO",AP2547="NT"),"COUPE – À RESOUDER","À RÉPARER"))))))))))</f>
        <v/>
      </c>
      <c r="AR2547" s="82" t="str">
        <f aca="false">IF(AND(ISNUMBER(U2547),OR(AQ2547="À RADIOGRAPHIER",AQ2547="RÉPARÉ – À RADIOGRAPHIER",AQ2547="NX – RT À REFAIRE",AQ2547="À RÉPARER",AQ2547="COUPE – À RESOUDER",AQ2547="VT REJETÉ – À REPRENDRE")),MAX(0,'PROGRAMME RT'!$C$4-U2547),"")</f>
        <v/>
      </c>
      <c r="AS2547" s="82" t="n">
        <f aca="false">IF(AND(OR(AQ2547="À RADIOGRAPHIER",AQ2547="RÉPARÉ – À RADIOGRAPHIER",AQ2547="NX – RT À REFAIRE"),OR('PROGRAMME RT'!$D$5="TOUTES",B2547='PROGRAMME RT'!$D$5)),1,0)</f>
        <v>0</v>
      </c>
      <c r="AT2547" s="82" t="str">
        <f aca="false">IF(AS2547=1,SUM(AS$7:AS2547),"")</f>
        <v/>
      </c>
      <c r="AU2547" s="82" t="n">
        <f aca="false">IF(AND(OR(AA2547="R",AA2547="NX",AA2547="NT",AA2547="CO"),OR('JOINTS DE RÉPARATION'!$D$5="TOUTES",B2547='JOINTS DE RÉPARATION'!$D$5),OR('JOINTS DE RÉPARATION'!$L$4="TOUS",AQ2547&lt;&gt;"ACCEPTÉ")),1,0)</f>
        <v>0</v>
      </c>
      <c r="AV2547" s="82" t="str">
        <f aca="false">IF(AU2547=1,SUM(AU$7:AU2547),"")</f>
        <v/>
      </c>
      <c r="AW2547" s="82" t="str">
        <f aca="false">IF(E2547="","",B2547&amp;"|"&amp;E2547)</f>
        <v/>
      </c>
    </row>
    <row r="2548" customFormat="false" ht="15" hidden="false" customHeight="false" outlineLevel="0" collapsed="false">
      <c r="A2548" s="79" t="str">
        <f aca="false">IF(E2548="","",ROW()-6)</f>
        <v/>
      </c>
      <c r="B2548" s="80"/>
      <c r="C2548" s="81"/>
      <c r="D2548" s="81"/>
      <c r="E2548" s="81"/>
      <c r="F2548" s="82" t="str">
        <f aca="false">IF(E2548="","",IF(LEFT(E2548,2)="DJ","DJ","JN"))</f>
        <v/>
      </c>
      <c r="G2548" s="81"/>
      <c r="H2548" s="81"/>
      <c r="I2548" s="81"/>
      <c r="J2548" s="81"/>
      <c r="K2548" s="81"/>
      <c r="L2548" s="81"/>
      <c r="M2548" s="81"/>
      <c r="N2548" s="81"/>
      <c r="O2548" s="81"/>
      <c r="P2548" s="81"/>
      <c r="Q2548" s="81"/>
      <c r="R2548" s="81"/>
      <c r="S2548" s="81"/>
      <c r="T2548" s="81"/>
      <c r="U2548" s="83"/>
      <c r="V2548" s="83"/>
      <c r="W2548" s="81"/>
      <c r="X2548" s="81"/>
      <c r="Y2548" s="83"/>
      <c r="Z2548" s="81"/>
      <c r="AA2548" s="81"/>
      <c r="AB2548" s="81"/>
      <c r="AC2548" s="81"/>
      <c r="AD2548" s="81"/>
      <c r="AE2548" s="83"/>
      <c r="AF2548" s="81"/>
      <c r="AG2548" s="81"/>
      <c r="AH2548" s="81"/>
      <c r="AI2548" s="81"/>
      <c r="AJ2548" s="83"/>
      <c r="AK2548" s="81"/>
      <c r="AL2548" s="81"/>
      <c r="AM2548" s="83"/>
      <c r="AN2548" s="80"/>
      <c r="AO2548" s="82" t="str">
        <f aca="false">IF(E2548="","",(AA2548&lt;&gt;"")+(AG2548&lt;&gt;"")+(AL2548&lt;&gt;""))</f>
        <v/>
      </c>
      <c r="AP2548" s="82" t="str">
        <f aca="false">IF(AL2548&lt;&gt;"",AL2548,IF(AG2548&lt;&gt;"",AG2548,IF(AA2548&lt;&gt;"",AA2548,"")))</f>
        <v/>
      </c>
      <c r="AQ2548" s="84" t="str">
        <f aca="false">IF(E2548="","",IF(U2548="","À SOUDER",IF(X2548="","VT EN ATTENTE",IF(X2548="R","VT REJETÉ – À REPRENDRE",IF(AP2548="","À RADIOGRAPHIER",IF(AP2548="A","ACCEPTÉ",IF(AP2548="NX","NX – RT À REFAIRE",IF(IF(AO2548=1,AD2548,IF(AO2548=2,AI2548,""))="A","RÉPARÉ – À RADIOGRAPHIER",IF(IF(AO2548=1,AD2548,IF(AO2548=2,AI2548,""))="R","VT REJETÉ – À REPRENDRE",IF(OR(AP2548="CO",AP2548="NT"),"COUPE – À RESOUDER","À RÉPARER"))))))))))</f>
        <v/>
      </c>
      <c r="AR2548" s="82" t="str">
        <f aca="false">IF(AND(ISNUMBER(U2548),OR(AQ2548="À RADIOGRAPHIER",AQ2548="RÉPARÉ – À RADIOGRAPHIER",AQ2548="NX – RT À REFAIRE",AQ2548="À RÉPARER",AQ2548="COUPE – À RESOUDER",AQ2548="VT REJETÉ – À REPRENDRE")),MAX(0,'PROGRAMME RT'!$C$4-U2548),"")</f>
        <v/>
      </c>
      <c r="AS2548" s="82" t="n">
        <f aca="false">IF(AND(OR(AQ2548="À RADIOGRAPHIER",AQ2548="RÉPARÉ – À RADIOGRAPHIER",AQ2548="NX – RT À REFAIRE"),OR('PROGRAMME RT'!$D$5="TOUTES",B2548='PROGRAMME RT'!$D$5)),1,0)</f>
        <v>0</v>
      </c>
      <c r="AT2548" s="82" t="str">
        <f aca="false">IF(AS2548=1,SUM(AS$7:AS2548),"")</f>
        <v/>
      </c>
      <c r="AU2548" s="82" t="n">
        <f aca="false">IF(AND(OR(AA2548="R",AA2548="NX",AA2548="NT",AA2548="CO"),OR('JOINTS DE RÉPARATION'!$D$5="TOUTES",B2548='JOINTS DE RÉPARATION'!$D$5),OR('JOINTS DE RÉPARATION'!$L$4="TOUS",AQ2548&lt;&gt;"ACCEPTÉ")),1,0)</f>
        <v>0</v>
      </c>
      <c r="AV2548" s="82" t="str">
        <f aca="false">IF(AU2548=1,SUM(AU$7:AU2548),"")</f>
        <v/>
      </c>
      <c r="AW2548" s="82" t="str">
        <f aca="false">IF(E2548="","",B2548&amp;"|"&amp;E2548)</f>
        <v/>
      </c>
    </row>
    <row r="2549" customFormat="false" ht="15" hidden="false" customHeight="false" outlineLevel="0" collapsed="false">
      <c r="A2549" s="79" t="str">
        <f aca="false">IF(E2549="","",ROW()-6)</f>
        <v/>
      </c>
      <c r="B2549" s="80"/>
      <c r="C2549" s="81"/>
      <c r="D2549" s="81"/>
      <c r="E2549" s="81"/>
      <c r="F2549" s="82" t="str">
        <f aca="false">IF(E2549="","",IF(LEFT(E2549,2)="DJ","DJ","JN"))</f>
        <v/>
      </c>
      <c r="G2549" s="81"/>
      <c r="H2549" s="81"/>
      <c r="I2549" s="81"/>
      <c r="J2549" s="81"/>
      <c r="K2549" s="81"/>
      <c r="L2549" s="81"/>
      <c r="M2549" s="81"/>
      <c r="N2549" s="81"/>
      <c r="O2549" s="81"/>
      <c r="P2549" s="81"/>
      <c r="Q2549" s="81"/>
      <c r="R2549" s="81"/>
      <c r="S2549" s="81"/>
      <c r="T2549" s="81"/>
      <c r="U2549" s="83"/>
      <c r="V2549" s="83"/>
      <c r="W2549" s="81"/>
      <c r="X2549" s="81"/>
      <c r="Y2549" s="83"/>
      <c r="Z2549" s="81"/>
      <c r="AA2549" s="81"/>
      <c r="AB2549" s="81"/>
      <c r="AC2549" s="81"/>
      <c r="AD2549" s="81"/>
      <c r="AE2549" s="83"/>
      <c r="AF2549" s="81"/>
      <c r="AG2549" s="81"/>
      <c r="AH2549" s="81"/>
      <c r="AI2549" s="81"/>
      <c r="AJ2549" s="83"/>
      <c r="AK2549" s="81"/>
      <c r="AL2549" s="81"/>
      <c r="AM2549" s="83"/>
      <c r="AN2549" s="80"/>
      <c r="AO2549" s="82" t="str">
        <f aca="false">IF(E2549="","",(AA2549&lt;&gt;"")+(AG2549&lt;&gt;"")+(AL2549&lt;&gt;""))</f>
        <v/>
      </c>
      <c r="AP2549" s="82" t="str">
        <f aca="false">IF(AL2549&lt;&gt;"",AL2549,IF(AG2549&lt;&gt;"",AG2549,IF(AA2549&lt;&gt;"",AA2549,"")))</f>
        <v/>
      </c>
      <c r="AQ2549" s="84" t="str">
        <f aca="false">IF(E2549="","",IF(U2549="","À SOUDER",IF(X2549="","VT EN ATTENTE",IF(X2549="R","VT REJETÉ – À REPRENDRE",IF(AP2549="","À RADIOGRAPHIER",IF(AP2549="A","ACCEPTÉ",IF(AP2549="NX","NX – RT À REFAIRE",IF(IF(AO2549=1,AD2549,IF(AO2549=2,AI2549,""))="A","RÉPARÉ – À RADIOGRAPHIER",IF(IF(AO2549=1,AD2549,IF(AO2549=2,AI2549,""))="R","VT REJETÉ – À REPRENDRE",IF(OR(AP2549="CO",AP2549="NT"),"COUPE – À RESOUDER","À RÉPARER"))))))))))</f>
        <v/>
      </c>
      <c r="AR2549" s="82" t="str">
        <f aca="false">IF(AND(ISNUMBER(U2549),OR(AQ2549="À RADIOGRAPHIER",AQ2549="RÉPARÉ – À RADIOGRAPHIER",AQ2549="NX – RT À REFAIRE",AQ2549="À RÉPARER",AQ2549="COUPE – À RESOUDER",AQ2549="VT REJETÉ – À REPRENDRE")),MAX(0,'PROGRAMME RT'!$C$4-U2549),"")</f>
        <v/>
      </c>
      <c r="AS2549" s="82" t="n">
        <f aca="false">IF(AND(OR(AQ2549="À RADIOGRAPHIER",AQ2549="RÉPARÉ – À RADIOGRAPHIER",AQ2549="NX – RT À REFAIRE"),OR('PROGRAMME RT'!$D$5="TOUTES",B2549='PROGRAMME RT'!$D$5)),1,0)</f>
        <v>0</v>
      </c>
      <c r="AT2549" s="82" t="str">
        <f aca="false">IF(AS2549=1,SUM(AS$7:AS2549),"")</f>
        <v/>
      </c>
      <c r="AU2549" s="82" t="n">
        <f aca="false">IF(AND(OR(AA2549="R",AA2549="NX",AA2549="NT",AA2549="CO"),OR('JOINTS DE RÉPARATION'!$D$5="TOUTES",B2549='JOINTS DE RÉPARATION'!$D$5),OR('JOINTS DE RÉPARATION'!$L$4="TOUS",AQ2549&lt;&gt;"ACCEPTÉ")),1,0)</f>
        <v>0</v>
      </c>
      <c r="AV2549" s="82" t="str">
        <f aca="false">IF(AU2549=1,SUM(AU$7:AU2549),"")</f>
        <v/>
      </c>
      <c r="AW2549" s="82" t="str">
        <f aca="false">IF(E2549="","",B2549&amp;"|"&amp;E2549)</f>
        <v/>
      </c>
    </row>
    <row r="2550" customFormat="false" ht="15" hidden="false" customHeight="false" outlineLevel="0" collapsed="false">
      <c r="A2550" s="79" t="str">
        <f aca="false">IF(E2550="","",ROW()-6)</f>
        <v/>
      </c>
      <c r="B2550" s="80"/>
      <c r="C2550" s="81"/>
      <c r="D2550" s="81"/>
      <c r="E2550" s="81"/>
      <c r="F2550" s="82" t="str">
        <f aca="false">IF(E2550="","",IF(LEFT(E2550,2)="DJ","DJ","JN"))</f>
        <v/>
      </c>
      <c r="G2550" s="81"/>
      <c r="H2550" s="81"/>
      <c r="I2550" s="81"/>
      <c r="J2550" s="81"/>
      <c r="K2550" s="81"/>
      <c r="L2550" s="81"/>
      <c r="M2550" s="81"/>
      <c r="N2550" s="81"/>
      <c r="O2550" s="81"/>
      <c r="P2550" s="81"/>
      <c r="Q2550" s="81"/>
      <c r="R2550" s="81"/>
      <c r="S2550" s="81"/>
      <c r="T2550" s="81"/>
      <c r="U2550" s="83"/>
      <c r="V2550" s="83"/>
      <c r="W2550" s="81"/>
      <c r="X2550" s="81"/>
      <c r="Y2550" s="83"/>
      <c r="Z2550" s="81"/>
      <c r="AA2550" s="81"/>
      <c r="AB2550" s="81"/>
      <c r="AC2550" s="81"/>
      <c r="AD2550" s="81"/>
      <c r="AE2550" s="83"/>
      <c r="AF2550" s="81"/>
      <c r="AG2550" s="81"/>
      <c r="AH2550" s="81"/>
      <c r="AI2550" s="81"/>
      <c r="AJ2550" s="83"/>
      <c r="AK2550" s="81"/>
      <c r="AL2550" s="81"/>
      <c r="AM2550" s="83"/>
      <c r="AN2550" s="80"/>
      <c r="AO2550" s="82" t="str">
        <f aca="false">IF(E2550="","",(AA2550&lt;&gt;"")+(AG2550&lt;&gt;"")+(AL2550&lt;&gt;""))</f>
        <v/>
      </c>
      <c r="AP2550" s="82" t="str">
        <f aca="false">IF(AL2550&lt;&gt;"",AL2550,IF(AG2550&lt;&gt;"",AG2550,IF(AA2550&lt;&gt;"",AA2550,"")))</f>
        <v/>
      </c>
      <c r="AQ2550" s="84" t="str">
        <f aca="false">IF(E2550="","",IF(U2550="","À SOUDER",IF(X2550="","VT EN ATTENTE",IF(X2550="R","VT REJETÉ – À REPRENDRE",IF(AP2550="","À RADIOGRAPHIER",IF(AP2550="A","ACCEPTÉ",IF(AP2550="NX","NX – RT À REFAIRE",IF(IF(AO2550=1,AD2550,IF(AO2550=2,AI2550,""))="A","RÉPARÉ – À RADIOGRAPHIER",IF(IF(AO2550=1,AD2550,IF(AO2550=2,AI2550,""))="R","VT REJETÉ – À REPRENDRE",IF(OR(AP2550="CO",AP2550="NT"),"COUPE – À RESOUDER","À RÉPARER"))))))))))</f>
        <v/>
      </c>
      <c r="AR2550" s="82" t="str">
        <f aca="false">IF(AND(ISNUMBER(U2550),OR(AQ2550="À RADIOGRAPHIER",AQ2550="RÉPARÉ – À RADIOGRAPHIER",AQ2550="NX – RT À REFAIRE",AQ2550="À RÉPARER",AQ2550="COUPE – À RESOUDER",AQ2550="VT REJETÉ – À REPRENDRE")),MAX(0,'PROGRAMME RT'!$C$4-U2550),"")</f>
        <v/>
      </c>
      <c r="AS2550" s="82" t="n">
        <f aca="false">IF(AND(OR(AQ2550="À RADIOGRAPHIER",AQ2550="RÉPARÉ – À RADIOGRAPHIER",AQ2550="NX – RT À REFAIRE"),OR('PROGRAMME RT'!$D$5="TOUTES",B2550='PROGRAMME RT'!$D$5)),1,0)</f>
        <v>0</v>
      </c>
      <c r="AT2550" s="82" t="str">
        <f aca="false">IF(AS2550=1,SUM(AS$7:AS2550),"")</f>
        <v/>
      </c>
      <c r="AU2550" s="82" t="n">
        <f aca="false">IF(AND(OR(AA2550="R",AA2550="NX",AA2550="NT",AA2550="CO"),OR('JOINTS DE RÉPARATION'!$D$5="TOUTES",B2550='JOINTS DE RÉPARATION'!$D$5),OR('JOINTS DE RÉPARATION'!$L$4="TOUS",AQ2550&lt;&gt;"ACCEPTÉ")),1,0)</f>
        <v>0</v>
      </c>
      <c r="AV2550" s="82" t="str">
        <f aca="false">IF(AU2550=1,SUM(AU$7:AU2550),"")</f>
        <v/>
      </c>
      <c r="AW2550" s="82" t="str">
        <f aca="false">IF(E2550="","",B2550&amp;"|"&amp;E2550)</f>
        <v/>
      </c>
    </row>
    <row r="2551" customFormat="false" ht="15" hidden="false" customHeight="false" outlineLevel="0" collapsed="false">
      <c r="A2551" s="79" t="str">
        <f aca="false">IF(E2551="","",ROW()-6)</f>
        <v/>
      </c>
      <c r="B2551" s="80"/>
      <c r="C2551" s="81"/>
      <c r="D2551" s="81"/>
      <c r="E2551" s="81"/>
      <c r="F2551" s="82" t="str">
        <f aca="false">IF(E2551="","",IF(LEFT(E2551,2)="DJ","DJ","JN"))</f>
        <v/>
      </c>
      <c r="G2551" s="81"/>
      <c r="H2551" s="81"/>
      <c r="I2551" s="81"/>
      <c r="J2551" s="81"/>
      <c r="K2551" s="81"/>
      <c r="L2551" s="81"/>
      <c r="M2551" s="81"/>
      <c r="N2551" s="81"/>
      <c r="O2551" s="81"/>
      <c r="P2551" s="81"/>
      <c r="Q2551" s="81"/>
      <c r="R2551" s="81"/>
      <c r="S2551" s="81"/>
      <c r="T2551" s="81"/>
      <c r="U2551" s="83"/>
      <c r="V2551" s="83"/>
      <c r="W2551" s="81"/>
      <c r="X2551" s="81"/>
      <c r="Y2551" s="83"/>
      <c r="Z2551" s="81"/>
      <c r="AA2551" s="81"/>
      <c r="AB2551" s="81"/>
      <c r="AC2551" s="81"/>
      <c r="AD2551" s="81"/>
      <c r="AE2551" s="83"/>
      <c r="AF2551" s="81"/>
      <c r="AG2551" s="81"/>
      <c r="AH2551" s="81"/>
      <c r="AI2551" s="81"/>
      <c r="AJ2551" s="83"/>
      <c r="AK2551" s="81"/>
      <c r="AL2551" s="81"/>
      <c r="AM2551" s="83"/>
      <c r="AN2551" s="80"/>
      <c r="AO2551" s="82" t="str">
        <f aca="false">IF(E2551="","",(AA2551&lt;&gt;"")+(AG2551&lt;&gt;"")+(AL2551&lt;&gt;""))</f>
        <v/>
      </c>
      <c r="AP2551" s="82" t="str">
        <f aca="false">IF(AL2551&lt;&gt;"",AL2551,IF(AG2551&lt;&gt;"",AG2551,IF(AA2551&lt;&gt;"",AA2551,"")))</f>
        <v/>
      </c>
      <c r="AQ2551" s="84" t="str">
        <f aca="false">IF(E2551="","",IF(U2551="","À SOUDER",IF(X2551="","VT EN ATTENTE",IF(X2551="R","VT REJETÉ – À REPRENDRE",IF(AP2551="","À RADIOGRAPHIER",IF(AP2551="A","ACCEPTÉ",IF(AP2551="NX","NX – RT À REFAIRE",IF(IF(AO2551=1,AD2551,IF(AO2551=2,AI2551,""))="A","RÉPARÉ – À RADIOGRAPHIER",IF(IF(AO2551=1,AD2551,IF(AO2551=2,AI2551,""))="R","VT REJETÉ – À REPRENDRE",IF(OR(AP2551="CO",AP2551="NT"),"COUPE – À RESOUDER","À RÉPARER"))))))))))</f>
        <v/>
      </c>
      <c r="AR2551" s="82" t="str">
        <f aca="false">IF(AND(ISNUMBER(U2551),OR(AQ2551="À RADIOGRAPHIER",AQ2551="RÉPARÉ – À RADIOGRAPHIER",AQ2551="NX – RT À REFAIRE",AQ2551="À RÉPARER",AQ2551="COUPE – À RESOUDER",AQ2551="VT REJETÉ – À REPRENDRE")),MAX(0,'PROGRAMME RT'!$C$4-U2551),"")</f>
        <v/>
      </c>
      <c r="AS2551" s="82" t="n">
        <f aca="false">IF(AND(OR(AQ2551="À RADIOGRAPHIER",AQ2551="RÉPARÉ – À RADIOGRAPHIER",AQ2551="NX – RT À REFAIRE"),OR('PROGRAMME RT'!$D$5="TOUTES",B2551='PROGRAMME RT'!$D$5)),1,0)</f>
        <v>0</v>
      </c>
      <c r="AT2551" s="82" t="str">
        <f aca="false">IF(AS2551=1,SUM(AS$7:AS2551),"")</f>
        <v/>
      </c>
      <c r="AU2551" s="82" t="n">
        <f aca="false">IF(AND(OR(AA2551="R",AA2551="NX",AA2551="NT",AA2551="CO"),OR('JOINTS DE RÉPARATION'!$D$5="TOUTES",B2551='JOINTS DE RÉPARATION'!$D$5),OR('JOINTS DE RÉPARATION'!$L$4="TOUS",AQ2551&lt;&gt;"ACCEPTÉ")),1,0)</f>
        <v>0</v>
      </c>
      <c r="AV2551" s="82" t="str">
        <f aca="false">IF(AU2551=1,SUM(AU$7:AU2551),"")</f>
        <v/>
      </c>
      <c r="AW2551" s="82" t="str">
        <f aca="false">IF(E2551="","",B2551&amp;"|"&amp;E2551)</f>
        <v/>
      </c>
    </row>
    <row r="2552" customFormat="false" ht="15" hidden="false" customHeight="false" outlineLevel="0" collapsed="false">
      <c r="A2552" s="79" t="str">
        <f aca="false">IF(E2552="","",ROW()-6)</f>
        <v/>
      </c>
      <c r="B2552" s="80"/>
      <c r="C2552" s="81"/>
      <c r="D2552" s="81"/>
      <c r="E2552" s="81"/>
      <c r="F2552" s="82" t="str">
        <f aca="false">IF(E2552="","",IF(LEFT(E2552,2)="DJ","DJ","JN"))</f>
        <v/>
      </c>
      <c r="G2552" s="81"/>
      <c r="H2552" s="81"/>
      <c r="I2552" s="81"/>
      <c r="J2552" s="81"/>
      <c r="K2552" s="81"/>
      <c r="L2552" s="81"/>
      <c r="M2552" s="81"/>
      <c r="N2552" s="81"/>
      <c r="O2552" s="81"/>
      <c r="P2552" s="81"/>
      <c r="Q2552" s="81"/>
      <c r="R2552" s="81"/>
      <c r="S2552" s="81"/>
      <c r="T2552" s="81"/>
      <c r="U2552" s="83"/>
      <c r="V2552" s="83"/>
      <c r="W2552" s="81"/>
      <c r="X2552" s="81"/>
      <c r="Y2552" s="83"/>
      <c r="Z2552" s="81"/>
      <c r="AA2552" s="81"/>
      <c r="AB2552" s="81"/>
      <c r="AC2552" s="81"/>
      <c r="AD2552" s="81"/>
      <c r="AE2552" s="83"/>
      <c r="AF2552" s="81"/>
      <c r="AG2552" s="81"/>
      <c r="AH2552" s="81"/>
      <c r="AI2552" s="81"/>
      <c r="AJ2552" s="83"/>
      <c r="AK2552" s="81"/>
      <c r="AL2552" s="81"/>
      <c r="AM2552" s="83"/>
      <c r="AN2552" s="80"/>
      <c r="AO2552" s="82" t="str">
        <f aca="false">IF(E2552="","",(AA2552&lt;&gt;"")+(AG2552&lt;&gt;"")+(AL2552&lt;&gt;""))</f>
        <v/>
      </c>
      <c r="AP2552" s="82" t="str">
        <f aca="false">IF(AL2552&lt;&gt;"",AL2552,IF(AG2552&lt;&gt;"",AG2552,IF(AA2552&lt;&gt;"",AA2552,"")))</f>
        <v/>
      </c>
      <c r="AQ2552" s="84" t="str">
        <f aca="false">IF(E2552="","",IF(U2552="","À SOUDER",IF(X2552="","VT EN ATTENTE",IF(X2552="R","VT REJETÉ – À REPRENDRE",IF(AP2552="","À RADIOGRAPHIER",IF(AP2552="A","ACCEPTÉ",IF(AP2552="NX","NX – RT À REFAIRE",IF(IF(AO2552=1,AD2552,IF(AO2552=2,AI2552,""))="A","RÉPARÉ – À RADIOGRAPHIER",IF(IF(AO2552=1,AD2552,IF(AO2552=2,AI2552,""))="R","VT REJETÉ – À REPRENDRE",IF(OR(AP2552="CO",AP2552="NT"),"COUPE – À RESOUDER","À RÉPARER"))))))))))</f>
        <v/>
      </c>
      <c r="AR2552" s="82" t="str">
        <f aca="false">IF(AND(ISNUMBER(U2552),OR(AQ2552="À RADIOGRAPHIER",AQ2552="RÉPARÉ – À RADIOGRAPHIER",AQ2552="NX – RT À REFAIRE",AQ2552="À RÉPARER",AQ2552="COUPE – À RESOUDER",AQ2552="VT REJETÉ – À REPRENDRE")),MAX(0,'PROGRAMME RT'!$C$4-U2552),"")</f>
        <v/>
      </c>
      <c r="AS2552" s="82" t="n">
        <f aca="false">IF(AND(OR(AQ2552="À RADIOGRAPHIER",AQ2552="RÉPARÉ – À RADIOGRAPHIER",AQ2552="NX – RT À REFAIRE"),OR('PROGRAMME RT'!$D$5="TOUTES",B2552='PROGRAMME RT'!$D$5)),1,0)</f>
        <v>0</v>
      </c>
      <c r="AT2552" s="82" t="str">
        <f aca="false">IF(AS2552=1,SUM(AS$7:AS2552),"")</f>
        <v/>
      </c>
      <c r="AU2552" s="82" t="n">
        <f aca="false">IF(AND(OR(AA2552="R",AA2552="NX",AA2552="NT",AA2552="CO"),OR('JOINTS DE RÉPARATION'!$D$5="TOUTES",B2552='JOINTS DE RÉPARATION'!$D$5),OR('JOINTS DE RÉPARATION'!$L$4="TOUS",AQ2552&lt;&gt;"ACCEPTÉ")),1,0)</f>
        <v>0</v>
      </c>
      <c r="AV2552" s="82" t="str">
        <f aca="false">IF(AU2552=1,SUM(AU$7:AU2552),"")</f>
        <v/>
      </c>
      <c r="AW2552" s="82" t="str">
        <f aca="false">IF(E2552="","",B2552&amp;"|"&amp;E2552)</f>
        <v/>
      </c>
    </row>
    <row r="2553" customFormat="false" ht="15" hidden="false" customHeight="false" outlineLevel="0" collapsed="false">
      <c r="A2553" s="79" t="str">
        <f aca="false">IF(E2553="","",ROW()-6)</f>
        <v/>
      </c>
      <c r="B2553" s="80"/>
      <c r="C2553" s="81"/>
      <c r="D2553" s="81"/>
      <c r="E2553" s="81"/>
      <c r="F2553" s="82" t="str">
        <f aca="false">IF(E2553="","",IF(LEFT(E2553,2)="DJ","DJ","JN"))</f>
        <v/>
      </c>
      <c r="G2553" s="81"/>
      <c r="H2553" s="81"/>
      <c r="I2553" s="81"/>
      <c r="J2553" s="81"/>
      <c r="K2553" s="81"/>
      <c r="L2553" s="81"/>
      <c r="M2553" s="81"/>
      <c r="N2553" s="81"/>
      <c r="O2553" s="81"/>
      <c r="P2553" s="81"/>
      <c r="Q2553" s="81"/>
      <c r="R2553" s="81"/>
      <c r="S2553" s="81"/>
      <c r="T2553" s="81"/>
      <c r="U2553" s="83"/>
      <c r="V2553" s="83"/>
      <c r="W2553" s="81"/>
      <c r="X2553" s="81"/>
      <c r="Y2553" s="83"/>
      <c r="Z2553" s="81"/>
      <c r="AA2553" s="81"/>
      <c r="AB2553" s="81"/>
      <c r="AC2553" s="81"/>
      <c r="AD2553" s="81"/>
      <c r="AE2553" s="83"/>
      <c r="AF2553" s="81"/>
      <c r="AG2553" s="81"/>
      <c r="AH2553" s="81"/>
      <c r="AI2553" s="81"/>
      <c r="AJ2553" s="83"/>
      <c r="AK2553" s="81"/>
      <c r="AL2553" s="81"/>
      <c r="AM2553" s="83"/>
      <c r="AN2553" s="80"/>
      <c r="AO2553" s="82" t="str">
        <f aca="false">IF(E2553="","",(AA2553&lt;&gt;"")+(AG2553&lt;&gt;"")+(AL2553&lt;&gt;""))</f>
        <v/>
      </c>
      <c r="AP2553" s="82" t="str">
        <f aca="false">IF(AL2553&lt;&gt;"",AL2553,IF(AG2553&lt;&gt;"",AG2553,IF(AA2553&lt;&gt;"",AA2553,"")))</f>
        <v/>
      </c>
      <c r="AQ2553" s="84" t="str">
        <f aca="false">IF(E2553="","",IF(U2553="","À SOUDER",IF(X2553="","VT EN ATTENTE",IF(X2553="R","VT REJETÉ – À REPRENDRE",IF(AP2553="","À RADIOGRAPHIER",IF(AP2553="A","ACCEPTÉ",IF(AP2553="NX","NX – RT À REFAIRE",IF(IF(AO2553=1,AD2553,IF(AO2553=2,AI2553,""))="A","RÉPARÉ – À RADIOGRAPHIER",IF(IF(AO2553=1,AD2553,IF(AO2553=2,AI2553,""))="R","VT REJETÉ – À REPRENDRE",IF(OR(AP2553="CO",AP2553="NT"),"COUPE – À RESOUDER","À RÉPARER"))))))))))</f>
        <v/>
      </c>
      <c r="AR2553" s="82" t="str">
        <f aca="false">IF(AND(ISNUMBER(U2553),OR(AQ2553="À RADIOGRAPHIER",AQ2553="RÉPARÉ – À RADIOGRAPHIER",AQ2553="NX – RT À REFAIRE",AQ2553="À RÉPARER",AQ2553="COUPE – À RESOUDER",AQ2553="VT REJETÉ – À REPRENDRE")),MAX(0,'PROGRAMME RT'!$C$4-U2553),"")</f>
        <v/>
      </c>
      <c r="AS2553" s="82" t="n">
        <f aca="false">IF(AND(OR(AQ2553="À RADIOGRAPHIER",AQ2553="RÉPARÉ – À RADIOGRAPHIER",AQ2553="NX – RT À REFAIRE"),OR('PROGRAMME RT'!$D$5="TOUTES",B2553='PROGRAMME RT'!$D$5)),1,0)</f>
        <v>0</v>
      </c>
      <c r="AT2553" s="82" t="str">
        <f aca="false">IF(AS2553=1,SUM(AS$7:AS2553),"")</f>
        <v/>
      </c>
      <c r="AU2553" s="82" t="n">
        <f aca="false">IF(AND(OR(AA2553="R",AA2553="NX",AA2553="NT",AA2553="CO"),OR('JOINTS DE RÉPARATION'!$D$5="TOUTES",B2553='JOINTS DE RÉPARATION'!$D$5),OR('JOINTS DE RÉPARATION'!$L$4="TOUS",AQ2553&lt;&gt;"ACCEPTÉ")),1,0)</f>
        <v>0</v>
      </c>
      <c r="AV2553" s="82" t="str">
        <f aca="false">IF(AU2553=1,SUM(AU$7:AU2553),"")</f>
        <v/>
      </c>
      <c r="AW2553" s="82" t="str">
        <f aca="false">IF(E2553="","",B2553&amp;"|"&amp;E2553)</f>
        <v/>
      </c>
    </row>
    <row r="2554" customFormat="false" ht="15" hidden="false" customHeight="false" outlineLevel="0" collapsed="false">
      <c r="A2554" s="79" t="str">
        <f aca="false">IF(E2554="","",ROW()-6)</f>
        <v/>
      </c>
      <c r="B2554" s="80"/>
      <c r="C2554" s="81"/>
      <c r="D2554" s="81"/>
      <c r="E2554" s="81"/>
      <c r="F2554" s="82" t="str">
        <f aca="false">IF(E2554="","",IF(LEFT(E2554,2)="DJ","DJ","JN"))</f>
        <v/>
      </c>
      <c r="G2554" s="81"/>
      <c r="H2554" s="81"/>
      <c r="I2554" s="81"/>
      <c r="J2554" s="81"/>
      <c r="K2554" s="81"/>
      <c r="L2554" s="81"/>
      <c r="M2554" s="81"/>
      <c r="N2554" s="81"/>
      <c r="O2554" s="81"/>
      <c r="P2554" s="81"/>
      <c r="Q2554" s="81"/>
      <c r="R2554" s="81"/>
      <c r="S2554" s="81"/>
      <c r="T2554" s="81"/>
      <c r="U2554" s="83"/>
      <c r="V2554" s="83"/>
      <c r="W2554" s="81"/>
      <c r="X2554" s="81"/>
      <c r="Y2554" s="83"/>
      <c r="Z2554" s="81"/>
      <c r="AA2554" s="81"/>
      <c r="AB2554" s="81"/>
      <c r="AC2554" s="81"/>
      <c r="AD2554" s="81"/>
      <c r="AE2554" s="83"/>
      <c r="AF2554" s="81"/>
      <c r="AG2554" s="81"/>
      <c r="AH2554" s="81"/>
      <c r="AI2554" s="81"/>
      <c r="AJ2554" s="83"/>
      <c r="AK2554" s="81"/>
      <c r="AL2554" s="81"/>
      <c r="AM2554" s="83"/>
      <c r="AN2554" s="80"/>
      <c r="AO2554" s="82" t="str">
        <f aca="false">IF(E2554="","",(AA2554&lt;&gt;"")+(AG2554&lt;&gt;"")+(AL2554&lt;&gt;""))</f>
        <v/>
      </c>
      <c r="AP2554" s="82" t="str">
        <f aca="false">IF(AL2554&lt;&gt;"",AL2554,IF(AG2554&lt;&gt;"",AG2554,IF(AA2554&lt;&gt;"",AA2554,"")))</f>
        <v/>
      </c>
      <c r="AQ2554" s="84" t="str">
        <f aca="false">IF(E2554="","",IF(U2554="","À SOUDER",IF(X2554="","VT EN ATTENTE",IF(X2554="R","VT REJETÉ – À REPRENDRE",IF(AP2554="","À RADIOGRAPHIER",IF(AP2554="A","ACCEPTÉ",IF(AP2554="NX","NX – RT À REFAIRE",IF(IF(AO2554=1,AD2554,IF(AO2554=2,AI2554,""))="A","RÉPARÉ – À RADIOGRAPHIER",IF(IF(AO2554=1,AD2554,IF(AO2554=2,AI2554,""))="R","VT REJETÉ – À REPRENDRE",IF(OR(AP2554="CO",AP2554="NT"),"COUPE – À RESOUDER","À RÉPARER"))))))))))</f>
        <v/>
      </c>
      <c r="AR2554" s="82" t="str">
        <f aca="false">IF(AND(ISNUMBER(U2554),OR(AQ2554="À RADIOGRAPHIER",AQ2554="RÉPARÉ – À RADIOGRAPHIER",AQ2554="NX – RT À REFAIRE",AQ2554="À RÉPARER",AQ2554="COUPE – À RESOUDER",AQ2554="VT REJETÉ – À REPRENDRE")),MAX(0,'PROGRAMME RT'!$C$4-U2554),"")</f>
        <v/>
      </c>
      <c r="AS2554" s="82" t="n">
        <f aca="false">IF(AND(OR(AQ2554="À RADIOGRAPHIER",AQ2554="RÉPARÉ – À RADIOGRAPHIER",AQ2554="NX – RT À REFAIRE"),OR('PROGRAMME RT'!$D$5="TOUTES",B2554='PROGRAMME RT'!$D$5)),1,0)</f>
        <v>0</v>
      </c>
      <c r="AT2554" s="82" t="str">
        <f aca="false">IF(AS2554=1,SUM(AS$7:AS2554),"")</f>
        <v/>
      </c>
      <c r="AU2554" s="82" t="n">
        <f aca="false">IF(AND(OR(AA2554="R",AA2554="NX",AA2554="NT",AA2554="CO"),OR('JOINTS DE RÉPARATION'!$D$5="TOUTES",B2554='JOINTS DE RÉPARATION'!$D$5),OR('JOINTS DE RÉPARATION'!$L$4="TOUS",AQ2554&lt;&gt;"ACCEPTÉ")),1,0)</f>
        <v>0</v>
      </c>
      <c r="AV2554" s="82" t="str">
        <f aca="false">IF(AU2554=1,SUM(AU$7:AU2554),"")</f>
        <v/>
      </c>
      <c r="AW2554" s="82" t="str">
        <f aca="false">IF(E2554="","",B2554&amp;"|"&amp;E2554)</f>
        <v/>
      </c>
    </row>
    <row r="2555" customFormat="false" ht="15" hidden="false" customHeight="false" outlineLevel="0" collapsed="false">
      <c r="A2555" s="79" t="str">
        <f aca="false">IF(E2555="","",ROW()-6)</f>
        <v/>
      </c>
      <c r="B2555" s="80"/>
      <c r="C2555" s="81"/>
      <c r="D2555" s="81"/>
      <c r="E2555" s="81"/>
      <c r="F2555" s="82" t="str">
        <f aca="false">IF(E2555="","",IF(LEFT(E2555,2)="DJ","DJ","JN"))</f>
        <v/>
      </c>
      <c r="G2555" s="81"/>
      <c r="H2555" s="81"/>
      <c r="I2555" s="81"/>
      <c r="J2555" s="81"/>
      <c r="K2555" s="81"/>
      <c r="L2555" s="81"/>
      <c r="M2555" s="81"/>
      <c r="N2555" s="81"/>
      <c r="O2555" s="81"/>
      <c r="P2555" s="81"/>
      <c r="Q2555" s="81"/>
      <c r="R2555" s="81"/>
      <c r="S2555" s="81"/>
      <c r="T2555" s="81"/>
      <c r="U2555" s="83"/>
      <c r="V2555" s="83"/>
      <c r="W2555" s="81"/>
      <c r="X2555" s="81"/>
      <c r="Y2555" s="83"/>
      <c r="Z2555" s="81"/>
      <c r="AA2555" s="81"/>
      <c r="AB2555" s="81"/>
      <c r="AC2555" s="81"/>
      <c r="AD2555" s="81"/>
      <c r="AE2555" s="83"/>
      <c r="AF2555" s="81"/>
      <c r="AG2555" s="81"/>
      <c r="AH2555" s="81"/>
      <c r="AI2555" s="81"/>
      <c r="AJ2555" s="83"/>
      <c r="AK2555" s="81"/>
      <c r="AL2555" s="81"/>
      <c r="AM2555" s="83"/>
      <c r="AN2555" s="80"/>
      <c r="AO2555" s="82" t="str">
        <f aca="false">IF(E2555="","",(AA2555&lt;&gt;"")+(AG2555&lt;&gt;"")+(AL2555&lt;&gt;""))</f>
        <v/>
      </c>
      <c r="AP2555" s="82" t="str">
        <f aca="false">IF(AL2555&lt;&gt;"",AL2555,IF(AG2555&lt;&gt;"",AG2555,IF(AA2555&lt;&gt;"",AA2555,"")))</f>
        <v/>
      </c>
      <c r="AQ2555" s="84" t="str">
        <f aca="false">IF(E2555="","",IF(U2555="","À SOUDER",IF(X2555="","VT EN ATTENTE",IF(X2555="R","VT REJETÉ – À REPRENDRE",IF(AP2555="","À RADIOGRAPHIER",IF(AP2555="A","ACCEPTÉ",IF(AP2555="NX","NX – RT À REFAIRE",IF(IF(AO2555=1,AD2555,IF(AO2555=2,AI2555,""))="A","RÉPARÉ – À RADIOGRAPHIER",IF(IF(AO2555=1,AD2555,IF(AO2555=2,AI2555,""))="R","VT REJETÉ – À REPRENDRE",IF(OR(AP2555="CO",AP2555="NT"),"COUPE – À RESOUDER","À RÉPARER"))))))))))</f>
        <v/>
      </c>
      <c r="AR2555" s="82" t="str">
        <f aca="false">IF(AND(ISNUMBER(U2555),OR(AQ2555="À RADIOGRAPHIER",AQ2555="RÉPARÉ – À RADIOGRAPHIER",AQ2555="NX – RT À REFAIRE",AQ2555="À RÉPARER",AQ2555="COUPE – À RESOUDER",AQ2555="VT REJETÉ – À REPRENDRE")),MAX(0,'PROGRAMME RT'!$C$4-U2555),"")</f>
        <v/>
      </c>
      <c r="AS2555" s="82" t="n">
        <f aca="false">IF(AND(OR(AQ2555="À RADIOGRAPHIER",AQ2555="RÉPARÉ – À RADIOGRAPHIER",AQ2555="NX – RT À REFAIRE"),OR('PROGRAMME RT'!$D$5="TOUTES",B2555='PROGRAMME RT'!$D$5)),1,0)</f>
        <v>0</v>
      </c>
      <c r="AT2555" s="82" t="str">
        <f aca="false">IF(AS2555=1,SUM(AS$7:AS2555),"")</f>
        <v/>
      </c>
      <c r="AU2555" s="82" t="n">
        <f aca="false">IF(AND(OR(AA2555="R",AA2555="NX",AA2555="NT",AA2555="CO"),OR('JOINTS DE RÉPARATION'!$D$5="TOUTES",B2555='JOINTS DE RÉPARATION'!$D$5),OR('JOINTS DE RÉPARATION'!$L$4="TOUS",AQ2555&lt;&gt;"ACCEPTÉ")),1,0)</f>
        <v>0</v>
      </c>
      <c r="AV2555" s="82" t="str">
        <f aca="false">IF(AU2555=1,SUM(AU$7:AU2555),"")</f>
        <v/>
      </c>
      <c r="AW2555" s="82" t="str">
        <f aca="false">IF(E2555="","",B2555&amp;"|"&amp;E2555)</f>
        <v/>
      </c>
    </row>
    <row r="2556" customFormat="false" ht="15" hidden="false" customHeight="false" outlineLevel="0" collapsed="false">
      <c r="A2556" s="79" t="str">
        <f aca="false">IF(E2556="","",ROW()-6)</f>
        <v/>
      </c>
      <c r="B2556" s="80"/>
      <c r="C2556" s="81"/>
      <c r="D2556" s="81"/>
      <c r="E2556" s="81"/>
      <c r="F2556" s="82" t="str">
        <f aca="false">IF(E2556="","",IF(LEFT(E2556,2)="DJ","DJ","JN"))</f>
        <v/>
      </c>
      <c r="G2556" s="81"/>
      <c r="H2556" s="81"/>
      <c r="I2556" s="81"/>
      <c r="J2556" s="81"/>
      <c r="K2556" s="81"/>
      <c r="L2556" s="81"/>
      <c r="M2556" s="81"/>
      <c r="N2556" s="81"/>
      <c r="O2556" s="81"/>
      <c r="P2556" s="81"/>
      <c r="Q2556" s="81"/>
      <c r="R2556" s="81"/>
      <c r="S2556" s="81"/>
      <c r="T2556" s="81"/>
      <c r="U2556" s="83"/>
      <c r="V2556" s="83"/>
      <c r="W2556" s="81"/>
      <c r="X2556" s="81"/>
      <c r="Y2556" s="83"/>
      <c r="Z2556" s="81"/>
      <c r="AA2556" s="81"/>
      <c r="AB2556" s="81"/>
      <c r="AC2556" s="81"/>
      <c r="AD2556" s="81"/>
      <c r="AE2556" s="83"/>
      <c r="AF2556" s="81"/>
      <c r="AG2556" s="81"/>
      <c r="AH2556" s="81"/>
      <c r="AI2556" s="81"/>
      <c r="AJ2556" s="83"/>
      <c r="AK2556" s="81"/>
      <c r="AL2556" s="81"/>
      <c r="AM2556" s="83"/>
      <c r="AN2556" s="80"/>
      <c r="AO2556" s="82" t="str">
        <f aca="false">IF(E2556="","",(AA2556&lt;&gt;"")+(AG2556&lt;&gt;"")+(AL2556&lt;&gt;""))</f>
        <v/>
      </c>
      <c r="AP2556" s="82" t="str">
        <f aca="false">IF(AL2556&lt;&gt;"",AL2556,IF(AG2556&lt;&gt;"",AG2556,IF(AA2556&lt;&gt;"",AA2556,"")))</f>
        <v/>
      </c>
      <c r="AQ2556" s="84" t="str">
        <f aca="false">IF(E2556="","",IF(U2556="","À SOUDER",IF(X2556="","VT EN ATTENTE",IF(X2556="R","VT REJETÉ – À REPRENDRE",IF(AP2556="","À RADIOGRAPHIER",IF(AP2556="A","ACCEPTÉ",IF(AP2556="NX","NX – RT À REFAIRE",IF(IF(AO2556=1,AD2556,IF(AO2556=2,AI2556,""))="A","RÉPARÉ – À RADIOGRAPHIER",IF(IF(AO2556=1,AD2556,IF(AO2556=2,AI2556,""))="R","VT REJETÉ – À REPRENDRE",IF(OR(AP2556="CO",AP2556="NT"),"COUPE – À RESOUDER","À RÉPARER"))))))))))</f>
        <v/>
      </c>
      <c r="AR2556" s="82" t="str">
        <f aca="false">IF(AND(ISNUMBER(U2556),OR(AQ2556="À RADIOGRAPHIER",AQ2556="RÉPARÉ – À RADIOGRAPHIER",AQ2556="NX – RT À REFAIRE",AQ2556="À RÉPARER",AQ2556="COUPE – À RESOUDER",AQ2556="VT REJETÉ – À REPRENDRE")),MAX(0,'PROGRAMME RT'!$C$4-U2556),"")</f>
        <v/>
      </c>
      <c r="AS2556" s="82" t="n">
        <f aca="false">IF(AND(OR(AQ2556="À RADIOGRAPHIER",AQ2556="RÉPARÉ – À RADIOGRAPHIER",AQ2556="NX – RT À REFAIRE"),OR('PROGRAMME RT'!$D$5="TOUTES",B2556='PROGRAMME RT'!$D$5)),1,0)</f>
        <v>0</v>
      </c>
      <c r="AT2556" s="82" t="str">
        <f aca="false">IF(AS2556=1,SUM(AS$7:AS2556),"")</f>
        <v/>
      </c>
      <c r="AU2556" s="82" t="n">
        <f aca="false">IF(AND(OR(AA2556="R",AA2556="NX",AA2556="NT",AA2556="CO"),OR('JOINTS DE RÉPARATION'!$D$5="TOUTES",B2556='JOINTS DE RÉPARATION'!$D$5),OR('JOINTS DE RÉPARATION'!$L$4="TOUS",AQ2556&lt;&gt;"ACCEPTÉ")),1,0)</f>
        <v>0</v>
      </c>
      <c r="AV2556" s="82" t="str">
        <f aca="false">IF(AU2556=1,SUM(AU$7:AU2556),"")</f>
        <v/>
      </c>
      <c r="AW2556" s="82" t="str">
        <f aca="false">IF(E2556="","",B2556&amp;"|"&amp;E2556)</f>
        <v/>
      </c>
    </row>
    <row r="2557" customFormat="false" ht="15" hidden="false" customHeight="false" outlineLevel="0" collapsed="false">
      <c r="A2557" s="79" t="str">
        <f aca="false">IF(E2557="","",ROW()-6)</f>
        <v/>
      </c>
      <c r="B2557" s="80"/>
      <c r="C2557" s="81"/>
      <c r="D2557" s="81"/>
      <c r="E2557" s="81"/>
      <c r="F2557" s="82" t="str">
        <f aca="false">IF(E2557="","",IF(LEFT(E2557,2)="DJ","DJ","JN"))</f>
        <v/>
      </c>
      <c r="G2557" s="81"/>
      <c r="H2557" s="81"/>
      <c r="I2557" s="81"/>
      <c r="J2557" s="81"/>
      <c r="K2557" s="81"/>
      <c r="L2557" s="81"/>
      <c r="M2557" s="81"/>
      <c r="N2557" s="81"/>
      <c r="O2557" s="81"/>
      <c r="P2557" s="81"/>
      <c r="Q2557" s="81"/>
      <c r="R2557" s="81"/>
      <c r="S2557" s="81"/>
      <c r="T2557" s="81"/>
      <c r="U2557" s="83"/>
      <c r="V2557" s="83"/>
      <c r="W2557" s="81"/>
      <c r="X2557" s="81"/>
      <c r="Y2557" s="83"/>
      <c r="Z2557" s="81"/>
      <c r="AA2557" s="81"/>
      <c r="AB2557" s="81"/>
      <c r="AC2557" s="81"/>
      <c r="AD2557" s="81"/>
      <c r="AE2557" s="83"/>
      <c r="AF2557" s="81"/>
      <c r="AG2557" s="81"/>
      <c r="AH2557" s="81"/>
      <c r="AI2557" s="81"/>
      <c r="AJ2557" s="83"/>
      <c r="AK2557" s="81"/>
      <c r="AL2557" s="81"/>
      <c r="AM2557" s="83"/>
      <c r="AN2557" s="80"/>
      <c r="AO2557" s="82" t="str">
        <f aca="false">IF(E2557="","",(AA2557&lt;&gt;"")+(AG2557&lt;&gt;"")+(AL2557&lt;&gt;""))</f>
        <v/>
      </c>
      <c r="AP2557" s="82" t="str">
        <f aca="false">IF(AL2557&lt;&gt;"",AL2557,IF(AG2557&lt;&gt;"",AG2557,IF(AA2557&lt;&gt;"",AA2557,"")))</f>
        <v/>
      </c>
      <c r="AQ2557" s="84" t="str">
        <f aca="false">IF(E2557="","",IF(U2557="","À SOUDER",IF(X2557="","VT EN ATTENTE",IF(X2557="R","VT REJETÉ – À REPRENDRE",IF(AP2557="","À RADIOGRAPHIER",IF(AP2557="A","ACCEPTÉ",IF(AP2557="NX","NX – RT À REFAIRE",IF(IF(AO2557=1,AD2557,IF(AO2557=2,AI2557,""))="A","RÉPARÉ – À RADIOGRAPHIER",IF(IF(AO2557=1,AD2557,IF(AO2557=2,AI2557,""))="R","VT REJETÉ – À REPRENDRE",IF(OR(AP2557="CO",AP2557="NT"),"COUPE – À RESOUDER","À RÉPARER"))))))))))</f>
        <v/>
      </c>
      <c r="AR2557" s="82" t="str">
        <f aca="false">IF(AND(ISNUMBER(U2557),OR(AQ2557="À RADIOGRAPHIER",AQ2557="RÉPARÉ – À RADIOGRAPHIER",AQ2557="NX – RT À REFAIRE",AQ2557="À RÉPARER",AQ2557="COUPE – À RESOUDER",AQ2557="VT REJETÉ – À REPRENDRE")),MAX(0,'PROGRAMME RT'!$C$4-U2557),"")</f>
        <v/>
      </c>
      <c r="AS2557" s="82" t="n">
        <f aca="false">IF(AND(OR(AQ2557="À RADIOGRAPHIER",AQ2557="RÉPARÉ – À RADIOGRAPHIER",AQ2557="NX – RT À REFAIRE"),OR('PROGRAMME RT'!$D$5="TOUTES",B2557='PROGRAMME RT'!$D$5)),1,0)</f>
        <v>0</v>
      </c>
      <c r="AT2557" s="82" t="str">
        <f aca="false">IF(AS2557=1,SUM(AS$7:AS2557),"")</f>
        <v/>
      </c>
      <c r="AU2557" s="82" t="n">
        <f aca="false">IF(AND(OR(AA2557="R",AA2557="NX",AA2557="NT",AA2557="CO"),OR('JOINTS DE RÉPARATION'!$D$5="TOUTES",B2557='JOINTS DE RÉPARATION'!$D$5),OR('JOINTS DE RÉPARATION'!$L$4="TOUS",AQ2557&lt;&gt;"ACCEPTÉ")),1,0)</f>
        <v>0</v>
      </c>
      <c r="AV2557" s="82" t="str">
        <f aca="false">IF(AU2557=1,SUM(AU$7:AU2557),"")</f>
        <v/>
      </c>
      <c r="AW2557" s="82" t="str">
        <f aca="false">IF(E2557="","",B2557&amp;"|"&amp;E2557)</f>
        <v/>
      </c>
    </row>
    <row r="2558" customFormat="false" ht="15" hidden="false" customHeight="false" outlineLevel="0" collapsed="false">
      <c r="A2558" s="79" t="str">
        <f aca="false">IF(E2558="","",ROW()-6)</f>
        <v/>
      </c>
      <c r="B2558" s="80"/>
      <c r="C2558" s="81"/>
      <c r="D2558" s="81"/>
      <c r="E2558" s="81"/>
      <c r="F2558" s="82" t="str">
        <f aca="false">IF(E2558="","",IF(LEFT(E2558,2)="DJ","DJ","JN"))</f>
        <v/>
      </c>
      <c r="G2558" s="81"/>
      <c r="H2558" s="81"/>
      <c r="I2558" s="81"/>
      <c r="J2558" s="81"/>
      <c r="K2558" s="81"/>
      <c r="L2558" s="81"/>
      <c r="M2558" s="81"/>
      <c r="N2558" s="81"/>
      <c r="O2558" s="81"/>
      <c r="P2558" s="81"/>
      <c r="Q2558" s="81"/>
      <c r="R2558" s="81"/>
      <c r="S2558" s="81"/>
      <c r="T2558" s="81"/>
      <c r="U2558" s="83"/>
      <c r="V2558" s="83"/>
      <c r="W2558" s="81"/>
      <c r="X2558" s="81"/>
      <c r="Y2558" s="83"/>
      <c r="Z2558" s="81"/>
      <c r="AA2558" s="81"/>
      <c r="AB2558" s="81"/>
      <c r="AC2558" s="81"/>
      <c r="AD2558" s="81"/>
      <c r="AE2558" s="83"/>
      <c r="AF2558" s="81"/>
      <c r="AG2558" s="81"/>
      <c r="AH2558" s="81"/>
      <c r="AI2558" s="81"/>
      <c r="AJ2558" s="83"/>
      <c r="AK2558" s="81"/>
      <c r="AL2558" s="81"/>
      <c r="AM2558" s="83"/>
      <c r="AN2558" s="80"/>
      <c r="AO2558" s="82" t="str">
        <f aca="false">IF(E2558="","",(AA2558&lt;&gt;"")+(AG2558&lt;&gt;"")+(AL2558&lt;&gt;""))</f>
        <v/>
      </c>
      <c r="AP2558" s="82" t="str">
        <f aca="false">IF(AL2558&lt;&gt;"",AL2558,IF(AG2558&lt;&gt;"",AG2558,IF(AA2558&lt;&gt;"",AA2558,"")))</f>
        <v/>
      </c>
      <c r="AQ2558" s="84" t="str">
        <f aca="false">IF(E2558="","",IF(U2558="","À SOUDER",IF(X2558="","VT EN ATTENTE",IF(X2558="R","VT REJETÉ – À REPRENDRE",IF(AP2558="","À RADIOGRAPHIER",IF(AP2558="A","ACCEPTÉ",IF(AP2558="NX","NX – RT À REFAIRE",IF(IF(AO2558=1,AD2558,IF(AO2558=2,AI2558,""))="A","RÉPARÉ – À RADIOGRAPHIER",IF(IF(AO2558=1,AD2558,IF(AO2558=2,AI2558,""))="R","VT REJETÉ – À REPRENDRE",IF(OR(AP2558="CO",AP2558="NT"),"COUPE – À RESOUDER","À RÉPARER"))))))))))</f>
        <v/>
      </c>
      <c r="AR2558" s="82" t="str">
        <f aca="false">IF(AND(ISNUMBER(U2558),OR(AQ2558="À RADIOGRAPHIER",AQ2558="RÉPARÉ – À RADIOGRAPHIER",AQ2558="NX – RT À REFAIRE",AQ2558="À RÉPARER",AQ2558="COUPE – À RESOUDER",AQ2558="VT REJETÉ – À REPRENDRE")),MAX(0,'PROGRAMME RT'!$C$4-U2558),"")</f>
        <v/>
      </c>
      <c r="AS2558" s="82" t="n">
        <f aca="false">IF(AND(OR(AQ2558="À RADIOGRAPHIER",AQ2558="RÉPARÉ – À RADIOGRAPHIER",AQ2558="NX – RT À REFAIRE"),OR('PROGRAMME RT'!$D$5="TOUTES",B2558='PROGRAMME RT'!$D$5)),1,0)</f>
        <v>0</v>
      </c>
      <c r="AT2558" s="82" t="str">
        <f aca="false">IF(AS2558=1,SUM(AS$7:AS2558),"")</f>
        <v/>
      </c>
      <c r="AU2558" s="82" t="n">
        <f aca="false">IF(AND(OR(AA2558="R",AA2558="NX",AA2558="NT",AA2558="CO"),OR('JOINTS DE RÉPARATION'!$D$5="TOUTES",B2558='JOINTS DE RÉPARATION'!$D$5),OR('JOINTS DE RÉPARATION'!$L$4="TOUS",AQ2558&lt;&gt;"ACCEPTÉ")),1,0)</f>
        <v>0</v>
      </c>
      <c r="AV2558" s="82" t="str">
        <f aca="false">IF(AU2558=1,SUM(AU$7:AU2558),"")</f>
        <v/>
      </c>
      <c r="AW2558" s="82" t="str">
        <f aca="false">IF(E2558="","",B2558&amp;"|"&amp;E2558)</f>
        <v/>
      </c>
    </row>
    <row r="2559" customFormat="false" ht="15" hidden="false" customHeight="false" outlineLevel="0" collapsed="false">
      <c r="A2559" s="79" t="str">
        <f aca="false">IF(E2559="","",ROW()-6)</f>
        <v/>
      </c>
      <c r="B2559" s="80"/>
      <c r="C2559" s="81"/>
      <c r="D2559" s="81"/>
      <c r="E2559" s="81"/>
      <c r="F2559" s="82" t="str">
        <f aca="false">IF(E2559="","",IF(LEFT(E2559,2)="DJ","DJ","JN"))</f>
        <v/>
      </c>
      <c r="G2559" s="81"/>
      <c r="H2559" s="81"/>
      <c r="I2559" s="81"/>
      <c r="J2559" s="81"/>
      <c r="K2559" s="81"/>
      <c r="L2559" s="81"/>
      <c r="M2559" s="81"/>
      <c r="N2559" s="81"/>
      <c r="O2559" s="81"/>
      <c r="P2559" s="81"/>
      <c r="Q2559" s="81"/>
      <c r="R2559" s="81"/>
      <c r="S2559" s="81"/>
      <c r="T2559" s="81"/>
      <c r="U2559" s="83"/>
      <c r="V2559" s="83"/>
      <c r="W2559" s="81"/>
      <c r="X2559" s="81"/>
      <c r="Y2559" s="83"/>
      <c r="Z2559" s="81"/>
      <c r="AA2559" s="81"/>
      <c r="AB2559" s="81"/>
      <c r="AC2559" s="81"/>
      <c r="AD2559" s="81"/>
      <c r="AE2559" s="83"/>
      <c r="AF2559" s="81"/>
      <c r="AG2559" s="81"/>
      <c r="AH2559" s="81"/>
      <c r="AI2559" s="81"/>
      <c r="AJ2559" s="83"/>
      <c r="AK2559" s="81"/>
      <c r="AL2559" s="81"/>
      <c r="AM2559" s="83"/>
      <c r="AN2559" s="80"/>
      <c r="AO2559" s="82" t="str">
        <f aca="false">IF(E2559="","",(AA2559&lt;&gt;"")+(AG2559&lt;&gt;"")+(AL2559&lt;&gt;""))</f>
        <v/>
      </c>
      <c r="AP2559" s="82" t="str">
        <f aca="false">IF(AL2559&lt;&gt;"",AL2559,IF(AG2559&lt;&gt;"",AG2559,IF(AA2559&lt;&gt;"",AA2559,"")))</f>
        <v/>
      </c>
      <c r="AQ2559" s="84" t="str">
        <f aca="false">IF(E2559="","",IF(U2559="","À SOUDER",IF(X2559="","VT EN ATTENTE",IF(X2559="R","VT REJETÉ – À REPRENDRE",IF(AP2559="","À RADIOGRAPHIER",IF(AP2559="A","ACCEPTÉ",IF(AP2559="NX","NX – RT À REFAIRE",IF(IF(AO2559=1,AD2559,IF(AO2559=2,AI2559,""))="A","RÉPARÉ – À RADIOGRAPHIER",IF(IF(AO2559=1,AD2559,IF(AO2559=2,AI2559,""))="R","VT REJETÉ – À REPRENDRE",IF(OR(AP2559="CO",AP2559="NT"),"COUPE – À RESOUDER","À RÉPARER"))))))))))</f>
        <v/>
      </c>
      <c r="AR2559" s="82" t="str">
        <f aca="false">IF(AND(ISNUMBER(U2559),OR(AQ2559="À RADIOGRAPHIER",AQ2559="RÉPARÉ – À RADIOGRAPHIER",AQ2559="NX – RT À REFAIRE",AQ2559="À RÉPARER",AQ2559="COUPE – À RESOUDER",AQ2559="VT REJETÉ – À REPRENDRE")),MAX(0,'PROGRAMME RT'!$C$4-U2559),"")</f>
        <v/>
      </c>
      <c r="AS2559" s="82" t="n">
        <f aca="false">IF(AND(OR(AQ2559="À RADIOGRAPHIER",AQ2559="RÉPARÉ – À RADIOGRAPHIER",AQ2559="NX – RT À REFAIRE"),OR('PROGRAMME RT'!$D$5="TOUTES",B2559='PROGRAMME RT'!$D$5)),1,0)</f>
        <v>0</v>
      </c>
      <c r="AT2559" s="82" t="str">
        <f aca="false">IF(AS2559=1,SUM(AS$7:AS2559),"")</f>
        <v/>
      </c>
      <c r="AU2559" s="82" t="n">
        <f aca="false">IF(AND(OR(AA2559="R",AA2559="NX",AA2559="NT",AA2559="CO"),OR('JOINTS DE RÉPARATION'!$D$5="TOUTES",B2559='JOINTS DE RÉPARATION'!$D$5),OR('JOINTS DE RÉPARATION'!$L$4="TOUS",AQ2559&lt;&gt;"ACCEPTÉ")),1,0)</f>
        <v>0</v>
      </c>
      <c r="AV2559" s="82" t="str">
        <f aca="false">IF(AU2559=1,SUM(AU$7:AU2559),"")</f>
        <v/>
      </c>
      <c r="AW2559" s="82" t="str">
        <f aca="false">IF(E2559="","",B2559&amp;"|"&amp;E2559)</f>
        <v/>
      </c>
    </row>
    <row r="2560" customFormat="false" ht="15" hidden="false" customHeight="false" outlineLevel="0" collapsed="false">
      <c r="A2560" s="79" t="str">
        <f aca="false">IF(E2560="","",ROW()-6)</f>
        <v/>
      </c>
      <c r="B2560" s="80"/>
      <c r="C2560" s="81"/>
      <c r="D2560" s="81"/>
      <c r="E2560" s="81"/>
      <c r="F2560" s="82" t="str">
        <f aca="false">IF(E2560="","",IF(LEFT(E2560,2)="DJ","DJ","JN"))</f>
        <v/>
      </c>
      <c r="G2560" s="81"/>
      <c r="H2560" s="81"/>
      <c r="I2560" s="81"/>
      <c r="J2560" s="81"/>
      <c r="K2560" s="81"/>
      <c r="L2560" s="81"/>
      <c r="M2560" s="81"/>
      <c r="N2560" s="81"/>
      <c r="O2560" s="81"/>
      <c r="P2560" s="81"/>
      <c r="Q2560" s="81"/>
      <c r="R2560" s="81"/>
      <c r="S2560" s="81"/>
      <c r="T2560" s="81"/>
      <c r="U2560" s="83"/>
      <c r="V2560" s="83"/>
      <c r="W2560" s="81"/>
      <c r="X2560" s="81"/>
      <c r="Y2560" s="83"/>
      <c r="Z2560" s="81"/>
      <c r="AA2560" s="81"/>
      <c r="AB2560" s="81"/>
      <c r="AC2560" s="81"/>
      <c r="AD2560" s="81"/>
      <c r="AE2560" s="83"/>
      <c r="AF2560" s="81"/>
      <c r="AG2560" s="81"/>
      <c r="AH2560" s="81"/>
      <c r="AI2560" s="81"/>
      <c r="AJ2560" s="83"/>
      <c r="AK2560" s="81"/>
      <c r="AL2560" s="81"/>
      <c r="AM2560" s="83"/>
      <c r="AN2560" s="80"/>
      <c r="AO2560" s="82" t="str">
        <f aca="false">IF(E2560="","",(AA2560&lt;&gt;"")+(AG2560&lt;&gt;"")+(AL2560&lt;&gt;""))</f>
        <v/>
      </c>
      <c r="AP2560" s="82" t="str">
        <f aca="false">IF(AL2560&lt;&gt;"",AL2560,IF(AG2560&lt;&gt;"",AG2560,IF(AA2560&lt;&gt;"",AA2560,"")))</f>
        <v/>
      </c>
      <c r="AQ2560" s="84" t="str">
        <f aca="false">IF(E2560="","",IF(U2560="","À SOUDER",IF(X2560="","VT EN ATTENTE",IF(X2560="R","VT REJETÉ – À REPRENDRE",IF(AP2560="","À RADIOGRAPHIER",IF(AP2560="A","ACCEPTÉ",IF(AP2560="NX","NX – RT À REFAIRE",IF(IF(AO2560=1,AD2560,IF(AO2560=2,AI2560,""))="A","RÉPARÉ – À RADIOGRAPHIER",IF(IF(AO2560=1,AD2560,IF(AO2560=2,AI2560,""))="R","VT REJETÉ – À REPRENDRE",IF(OR(AP2560="CO",AP2560="NT"),"COUPE – À RESOUDER","À RÉPARER"))))))))))</f>
        <v/>
      </c>
      <c r="AR2560" s="82" t="str">
        <f aca="false">IF(AND(ISNUMBER(U2560),OR(AQ2560="À RADIOGRAPHIER",AQ2560="RÉPARÉ – À RADIOGRAPHIER",AQ2560="NX – RT À REFAIRE",AQ2560="À RÉPARER",AQ2560="COUPE – À RESOUDER",AQ2560="VT REJETÉ – À REPRENDRE")),MAX(0,'PROGRAMME RT'!$C$4-U2560),"")</f>
        <v/>
      </c>
      <c r="AS2560" s="82" t="n">
        <f aca="false">IF(AND(OR(AQ2560="À RADIOGRAPHIER",AQ2560="RÉPARÉ – À RADIOGRAPHIER",AQ2560="NX – RT À REFAIRE"),OR('PROGRAMME RT'!$D$5="TOUTES",B2560='PROGRAMME RT'!$D$5)),1,0)</f>
        <v>0</v>
      </c>
      <c r="AT2560" s="82" t="str">
        <f aca="false">IF(AS2560=1,SUM(AS$7:AS2560),"")</f>
        <v/>
      </c>
      <c r="AU2560" s="82" t="n">
        <f aca="false">IF(AND(OR(AA2560="R",AA2560="NX",AA2560="NT",AA2560="CO"),OR('JOINTS DE RÉPARATION'!$D$5="TOUTES",B2560='JOINTS DE RÉPARATION'!$D$5),OR('JOINTS DE RÉPARATION'!$L$4="TOUS",AQ2560&lt;&gt;"ACCEPTÉ")),1,0)</f>
        <v>0</v>
      </c>
      <c r="AV2560" s="82" t="str">
        <f aca="false">IF(AU2560=1,SUM(AU$7:AU2560),"")</f>
        <v/>
      </c>
      <c r="AW2560" s="82" t="str">
        <f aca="false">IF(E2560="","",B2560&amp;"|"&amp;E2560)</f>
        <v/>
      </c>
    </row>
    <row r="2561" customFormat="false" ht="15" hidden="false" customHeight="false" outlineLevel="0" collapsed="false">
      <c r="A2561" s="79" t="str">
        <f aca="false">IF(E2561="","",ROW()-6)</f>
        <v/>
      </c>
      <c r="B2561" s="80"/>
      <c r="C2561" s="81"/>
      <c r="D2561" s="81"/>
      <c r="E2561" s="81"/>
      <c r="F2561" s="82" t="str">
        <f aca="false">IF(E2561="","",IF(LEFT(E2561,2)="DJ","DJ","JN"))</f>
        <v/>
      </c>
      <c r="G2561" s="81"/>
      <c r="H2561" s="81"/>
      <c r="I2561" s="81"/>
      <c r="J2561" s="81"/>
      <c r="K2561" s="81"/>
      <c r="L2561" s="81"/>
      <c r="M2561" s="81"/>
      <c r="N2561" s="81"/>
      <c r="O2561" s="81"/>
      <c r="P2561" s="81"/>
      <c r="Q2561" s="81"/>
      <c r="R2561" s="81"/>
      <c r="S2561" s="81"/>
      <c r="T2561" s="81"/>
      <c r="U2561" s="83"/>
      <c r="V2561" s="83"/>
      <c r="W2561" s="81"/>
      <c r="X2561" s="81"/>
      <c r="Y2561" s="83"/>
      <c r="Z2561" s="81"/>
      <c r="AA2561" s="81"/>
      <c r="AB2561" s="81"/>
      <c r="AC2561" s="81"/>
      <c r="AD2561" s="81"/>
      <c r="AE2561" s="83"/>
      <c r="AF2561" s="81"/>
      <c r="AG2561" s="81"/>
      <c r="AH2561" s="81"/>
      <c r="AI2561" s="81"/>
      <c r="AJ2561" s="83"/>
      <c r="AK2561" s="81"/>
      <c r="AL2561" s="81"/>
      <c r="AM2561" s="83"/>
      <c r="AN2561" s="80"/>
      <c r="AO2561" s="82" t="str">
        <f aca="false">IF(E2561="","",(AA2561&lt;&gt;"")+(AG2561&lt;&gt;"")+(AL2561&lt;&gt;""))</f>
        <v/>
      </c>
      <c r="AP2561" s="82" t="str">
        <f aca="false">IF(AL2561&lt;&gt;"",AL2561,IF(AG2561&lt;&gt;"",AG2561,IF(AA2561&lt;&gt;"",AA2561,"")))</f>
        <v/>
      </c>
      <c r="AQ2561" s="84" t="str">
        <f aca="false">IF(E2561="","",IF(U2561="","À SOUDER",IF(X2561="","VT EN ATTENTE",IF(X2561="R","VT REJETÉ – À REPRENDRE",IF(AP2561="","À RADIOGRAPHIER",IF(AP2561="A","ACCEPTÉ",IF(AP2561="NX","NX – RT À REFAIRE",IF(IF(AO2561=1,AD2561,IF(AO2561=2,AI2561,""))="A","RÉPARÉ – À RADIOGRAPHIER",IF(IF(AO2561=1,AD2561,IF(AO2561=2,AI2561,""))="R","VT REJETÉ – À REPRENDRE",IF(OR(AP2561="CO",AP2561="NT"),"COUPE – À RESOUDER","À RÉPARER"))))))))))</f>
        <v/>
      </c>
      <c r="AR2561" s="82" t="str">
        <f aca="false">IF(AND(ISNUMBER(U2561),OR(AQ2561="À RADIOGRAPHIER",AQ2561="RÉPARÉ – À RADIOGRAPHIER",AQ2561="NX – RT À REFAIRE",AQ2561="À RÉPARER",AQ2561="COUPE – À RESOUDER",AQ2561="VT REJETÉ – À REPRENDRE")),MAX(0,'PROGRAMME RT'!$C$4-U2561),"")</f>
        <v/>
      </c>
      <c r="AS2561" s="82" t="n">
        <f aca="false">IF(AND(OR(AQ2561="À RADIOGRAPHIER",AQ2561="RÉPARÉ – À RADIOGRAPHIER",AQ2561="NX – RT À REFAIRE"),OR('PROGRAMME RT'!$D$5="TOUTES",B2561='PROGRAMME RT'!$D$5)),1,0)</f>
        <v>0</v>
      </c>
      <c r="AT2561" s="82" t="str">
        <f aca="false">IF(AS2561=1,SUM(AS$7:AS2561),"")</f>
        <v/>
      </c>
      <c r="AU2561" s="82" t="n">
        <f aca="false">IF(AND(OR(AA2561="R",AA2561="NX",AA2561="NT",AA2561="CO"),OR('JOINTS DE RÉPARATION'!$D$5="TOUTES",B2561='JOINTS DE RÉPARATION'!$D$5),OR('JOINTS DE RÉPARATION'!$L$4="TOUS",AQ2561&lt;&gt;"ACCEPTÉ")),1,0)</f>
        <v>0</v>
      </c>
      <c r="AV2561" s="82" t="str">
        <f aca="false">IF(AU2561=1,SUM(AU$7:AU2561),"")</f>
        <v/>
      </c>
      <c r="AW2561" s="82" t="str">
        <f aca="false">IF(E2561="","",B2561&amp;"|"&amp;E2561)</f>
        <v/>
      </c>
    </row>
    <row r="2562" customFormat="false" ht="15" hidden="false" customHeight="false" outlineLevel="0" collapsed="false">
      <c r="A2562" s="79" t="str">
        <f aca="false">IF(E2562="","",ROW()-6)</f>
        <v/>
      </c>
      <c r="B2562" s="80"/>
      <c r="C2562" s="81"/>
      <c r="D2562" s="81"/>
      <c r="E2562" s="81"/>
      <c r="F2562" s="82" t="str">
        <f aca="false">IF(E2562="","",IF(LEFT(E2562,2)="DJ","DJ","JN"))</f>
        <v/>
      </c>
      <c r="G2562" s="81"/>
      <c r="H2562" s="81"/>
      <c r="I2562" s="81"/>
      <c r="J2562" s="81"/>
      <c r="K2562" s="81"/>
      <c r="L2562" s="81"/>
      <c r="M2562" s="81"/>
      <c r="N2562" s="81"/>
      <c r="O2562" s="81"/>
      <c r="P2562" s="81"/>
      <c r="Q2562" s="81"/>
      <c r="R2562" s="81"/>
      <c r="S2562" s="81"/>
      <c r="T2562" s="81"/>
      <c r="U2562" s="83"/>
      <c r="V2562" s="83"/>
      <c r="W2562" s="81"/>
      <c r="X2562" s="81"/>
      <c r="Y2562" s="83"/>
      <c r="Z2562" s="81"/>
      <c r="AA2562" s="81"/>
      <c r="AB2562" s="81"/>
      <c r="AC2562" s="81"/>
      <c r="AD2562" s="81"/>
      <c r="AE2562" s="83"/>
      <c r="AF2562" s="81"/>
      <c r="AG2562" s="81"/>
      <c r="AH2562" s="81"/>
      <c r="AI2562" s="81"/>
      <c r="AJ2562" s="83"/>
      <c r="AK2562" s="81"/>
      <c r="AL2562" s="81"/>
      <c r="AM2562" s="83"/>
      <c r="AN2562" s="80"/>
      <c r="AO2562" s="82" t="str">
        <f aca="false">IF(E2562="","",(AA2562&lt;&gt;"")+(AG2562&lt;&gt;"")+(AL2562&lt;&gt;""))</f>
        <v/>
      </c>
      <c r="AP2562" s="82" t="str">
        <f aca="false">IF(AL2562&lt;&gt;"",AL2562,IF(AG2562&lt;&gt;"",AG2562,IF(AA2562&lt;&gt;"",AA2562,"")))</f>
        <v/>
      </c>
      <c r="AQ2562" s="84" t="str">
        <f aca="false">IF(E2562="","",IF(U2562="","À SOUDER",IF(X2562="","VT EN ATTENTE",IF(X2562="R","VT REJETÉ – À REPRENDRE",IF(AP2562="","À RADIOGRAPHIER",IF(AP2562="A","ACCEPTÉ",IF(AP2562="NX","NX – RT À REFAIRE",IF(IF(AO2562=1,AD2562,IF(AO2562=2,AI2562,""))="A","RÉPARÉ – À RADIOGRAPHIER",IF(IF(AO2562=1,AD2562,IF(AO2562=2,AI2562,""))="R","VT REJETÉ – À REPRENDRE",IF(OR(AP2562="CO",AP2562="NT"),"COUPE – À RESOUDER","À RÉPARER"))))))))))</f>
        <v/>
      </c>
      <c r="AR2562" s="82" t="str">
        <f aca="false">IF(AND(ISNUMBER(U2562),OR(AQ2562="À RADIOGRAPHIER",AQ2562="RÉPARÉ – À RADIOGRAPHIER",AQ2562="NX – RT À REFAIRE",AQ2562="À RÉPARER",AQ2562="COUPE – À RESOUDER",AQ2562="VT REJETÉ – À REPRENDRE")),MAX(0,'PROGRAMME RT'!$C$4-U2562),"")</f>
        <v/>
      </c>
      <c r="AS2562" s="82" t="n">
        <f aca="false">IF(AND(OR(AQ2562="À RADIOGRAPHIER",AQ2562="RÉPARÉ – À RADIOGRAPHIER",AQ2562="NX – RT À REFAIRE"),OR('PROGRAMME RT'!$D$5="TOUTES",B2562='PROGRAMME RT'!$D$5)),1,0)</f>
        <v>0</v>
      </c>
      <c r="AT2562" s="82" t="str">
        <f aca="false">IF(AS2562=1,SUM(AS$7:AS2562),"")</f>
        <v/>
      </c>
      <c r="AU2562" s="82" t="n">
        <f aca="false">IF(AND(OR(AA2562="R",AA2562="NX",AA2562="NT",AA2562="CO"),OR('JOINTS DE RÉPARATION'!$D$5="TOUTES",B2562='JOINTS DE RÉPARATION'!$D$5),OR('JOINTS DE RÉPARATION'!$L$4="TOUS",AQ2562&lt;&gt;"ACCEPTÉ")),1,0)</f>
        <v>0</v>
      </c>
      <c r="AV2562" s="82" t="str">
        <f aca="false">IF(AU2562=1,SUM(AU$7:AU2562),"")</f>
        <v/>
      </c>
      <c r="AW2562" s="82" t="str">
        <f aca="false">IF(E2562="","",B2562&amp;"|"&amp;E2562)</f>
        <v/>
      </c>
    </row>
    <row r="2563" customFormat="false" ht="15" hidden="false" customHeight="false" outlineLevel="0" collapsed="false">
      <c r="A2563" s="79" t="str">
        <f aca="false">IF(E2563="","",ROW()-6)</f>
        <v/>
      </c>
      <c r="B2563" s="80"/>
      <c r="C2563" s="81"/>
      <c r="D2563" s="81"/>
      <c r="E2563" s="81"/>
      <c r="F2563" s="82" t="str">
        <f aca="false">IF(E2563="","",IF(LEFT(E2563,2)="DJ","DJ","JN"))</f>
        <v/>
      </c>
      <c r="G2563" s="81"/>
      <c r="H2563" s="81"/>
      <c r="I2563" s="81"/>
      <c r="J2563" s="81"/>
      <c r="K2563" s="81"/>
      <c r="L2563" s="81"/>
      <c r="M2563" s="81"/>
      <c r="N2563" s="81"/>
      <c r="O2563" s="81"/>
      <c r="P2563" s="81"/>
      <c r="Q2563" s="81"/>
      <c r="R2563" s="81"/>
      <c r="S2563" s="81"/>
      <c r="T2563" s="81"/>
      <c r="U2563" s="83"/>
      <c r="V2563" s="83"/>
      <c r="W2563" s="81"/>
      <c r="X2563" s="81"/>
      <c r="Y2563" s="83"/>
      <c r="Z2563" s="81"/>
      <c r="AA2563" s="81"/>
      <c r="AB2563" s="81"/>
      <c r="AC2563" s="81"/>
      <c r="AD2563" s="81"/>
      <c r="AE2563" s="83"/>
      <c r="AF2563" s="81"/>
      <c r="AG2563" s="81"/>
      <c r="AH2563" s="81"/>
      <c r="AI2563" s="81"/>
      <c r="AJ2563" s="83"/>
      <c r="AK2563" s="81"/>
      <c r="AL2563" s="81"/>
      <c r="AM2563" s="83"/>
      <c r="AN2563" s="80"/>
      <c r="AO2563" s="82" t="str">
        <f aca="false">IF(E2563="","",(AA2563&lt;&gt;"")+(AG2563&lt;&gt;"")+(AL2563&lt;&gt;""))</f>
        <v/>
      </c>
      <c r="AP2563" s="82" t="str">
        <f aca="false">IF(AL2563&lt;&gt;"",AL2563,IF(AG2563&lt;&gt;"",AG2563,IF(AA2563&lt;&gt;"",AA2563,"")))</f>
        <v/>
      </c>
      <c r="AQ2563" s="84" t="str">
        <f aca="false">IF(E2563="","",IF(U2563="","À SOUDER",IF(X2563="","VT EN ATTENTE",IF(X2563="R","VT REJETÉ – À REPRENDRE",IF(AP2563="","À RADIOGRAPHIER",IF(AP2563="A","ACCEPTÉ",IF(AP2563="NX","NX – RT À REFAIRE",IF(IF(AO2563=1,AD2563,IF(AO2563=2,AI2563,""))="A","RÉPARÉ – À RADIOGRAPHIER",IF(IF(AO2563=1,AD2563,IF(AO2563=2,AI2563,""))="R","VT REJETÉ – À REPRENDRE",IF(OR(AP2563="CO",AP2563="NT"),"COUPE – À RESOUDER","À RÉPARER"))))))))))</f>
        <v/>
      </c>
      <c r="AR2563" s="82" t="str">
        <f aca="false">IF(AND(ISNUMBER(U2563),OR(AQ2563="À RADIOGRAPHIER",AQ2563="RÉPARÉ – À RADIOGRAPHIER",AQ2563="NX – RT À REFAIRE",AQ2563="À RÉPARER",AQ2563="COUPE – À RESOUDER",AQ2563="VT REJETÉ – À REPRENDRE")),MAX(0,'PROGRAMME RT'!$C$4-U2563),"")</f>
        <v/>
      </c>
      <c r="AS2563" s="82" t="n">
        <f aca="false">IF(AND(OR(AQ2563="À RADIOGRAPHIER",AQ2563="RÉPARÉ – À RADIOGRAPHIER",AQ2563="NX – RT À REFAIRE"),OR('PROGRAMME RT'!$D$5="TOUTES",B2563='PROGRAMME RT'!$D$5)),1,0)</f>
        <v>0</v>
      </c>
      <c r="AT2563" s="82" t="str">
        <f aca="false">IF(AS2563=1,SUM(AS$7:AS2563),"")</f>
        <v/>
      </c>
      <c r="AU2563" s="82" t="n">
        <f aca="false">IF(AND(OR(AA2563="R",AA2563="NX",AA2563="NT",AA2563="CO"),OR('JOINTS DE RÉPARATION'!$D$5="TOUTES",B2563='JOINTS DE RÉPARATION'!$D$5),OR('JOINTS DE RÉPARATION'!$L$4="TOUS",AQ2563&lt;&gt;"ACCEPTÉ")),1,0)</f>
        <v>0</v>
      </c>
      <c r="AV2563" s="82" t="str">
        <f aca="false">IF(AU2563=1,SUM(AU$7:AU2563),"")</f>
        <v/>
      </c>
      <c r="AW2563" s="82" t="str">
        <f aca="false">IF(E2563="","",B2563&amp;"|"&amp;E2563)</f>
        <v/>
      </c>
    </row>
    <row r="2564" customFormat="false" ht="15" hidden="false" customHeight="false" outlineLevel="0" collapsed="false">
      <c r="A2564" s="79" t="str">
        <f aca="false">IF(E2564="","",ROW()-6)</f>
        <v/>
      </c>
      <c r="B2564" s="80"/>
      <c r="C2564" s="81"/>
      <c r="D2564" s="81"/>
      <c r="E2564" s="81"/>
      <c r="F2564" s="82" t="str">
        <f aca="false">IF(E2564="","",IF(LEFT(E2564,2)="DJ","DJ","JN"))</f>
        <v/>
      </c>
      <c r="G2564" s="81"/>
      <c r="H2564" s="81"/>
      <c r="I2564" s="81"/>
      <c r="J2564" s="81"/>
      <c r="K2564" s="81"/>
      <c r="L2564" s="81"/>
      <c r="M2564" s="81"/>
      <c r="N2564" s="81"/>
      <c r="O2564" s="81"/>
      <c r="P2564" s="81"/>
      <c r="Q2564" s="81"/>
      <c r="R2564" s="81"/>
      <c r="S2564" s="81"/>
      <c r="T2564" s="81"/>
      <c r="U2564" s="83"/>
      <c r="V2564" s="83"/>
      <c r="W2564" s="81"/>
      <c r="X2564" s="81"/>
      <c r="Y2564" s="83"/>
      <c r="Z2564" s="81"/>
      <c r="AA2564" s="81"/>
      <c r="AB2564" s="81"/>
      <c r="AC2564" s="81"/>
      <c r="AD2564" s="81"/>
      <c r="AE2564" s="83"/>
      <c r="AF2564" s="81"/>
      <c r="AG2564" s="81"/>
      <c r="AH2564" s="81"/>
      <c r="AI2564" s="81"/>
      <c r="AJ2564" s="83"/>
      <c r="AK2564" s="81"/>
      <c r="AL2564" s="81"/>
      <c r="AM2564" s="83"/>
      <c r="AN2564" s="80"/>
      <c r="AO2564" s="82" t="str">
        <f aca="false">IF(E2564="","",(AA2564&lt;&gt;"")+(AG2564&lt;&gt;"")+(AL2564&lt;&gt;""))</f>
        <v/>
      </c>
      <c r="AP2564" s="82" t="str">
        <f aca="false">IF(AL2564&lt;&gt;"",AL2564,IF(AG2564&lt;&gt;"",AG2564,IF(AA2564&lt;&gt;"",AA2564,"")))</f>
        <v/>
      </c>
      <c r="AQ2564" s="84" t="str">
        <f aca="false">IF(E2564="","",IF(U2564="","À SOUDER",IF(X2564="","VT EN ATTENTE",IF(X2564="R","VT REJETÉ – À REPRENDRE",IF(AP2564="","À RADIOGRAPHIER",IF(AP2564="A","ACCEPTÉ",IF(AP2564="NX","NX – RT À REFAIRE",IF(IF(AO2564=1,AD2564,IF(AO2564=2,AI2564,""))="A","RÉPARÉ – À RADIOGRAPHIER",IF(IF(AO2564=1,AD2564,IF(AO2564=2,AI2564,""))="R","VT REJETÉ – À REPRENDRE",IF(OR(AP2564="CO",AP2564="NT"),"COUPE – À RESOUDER","À RÉPARER"))))))))))</f>
        <v/>
      </c>
      <c r="AR2564" s="82" t="str">
        <f aca="false">IF(AND(ISNUMBER(U2564),OR(AQ2564="À RADIOGRAPHIER",AQ2564="RÉPARÉ – À RADIOGRAPHIER",AQ2564="NX – RT À REFAIRE",AQ2564="À RÉPARER",AQ2564="COUPE – À RESOUDER",AQ2564="VT REJETÉ – À REPRENDRE")),MAX(0,'PROGRAMME RT'!$C$4-U2564),"")</f>
        <v/>
      </c>
      <c r="AS2564" s="82" t="n">
        <f aca="false">IF(AND(OR(AQ2564="À RADIOGRAPHIER",AQ2564="RÉPARÉ – À RADIOGRAPHIER",AQ2564="NX – RT À REFAIRE"),OR('PROGRAMME RT'!$D$5="TOUTES",B2564='PROGRAMME RT'!$D$5)),1,0)</f>
        <v>0</v>
      </c>
      <c r="AT2564" s="82" t="str">
        <f aca="false">IF(AS2564=1,SUM(AS$7:AS2564),"")</f>
        <v/>
      </c>
      <c r="AU2564" s="82" t="n">
        <f aca="false">IF(AND(OR(AA2564="R",AA2564="NX",AA2564="NT",AA2564="CO"),OR('JOINTS DE RÉPARATION'!$D$5="TOUTES",B2564='JOINTS DE RÉPARATION'!$D$5),OR('JOINTS DE RÉPARATION'!$L$4="TOUS",AQ2564&lt;&gt;"ACCEPTÉ")),1,0)</f>
        <v>0</v>
      </c>
      <c r="AV2564" s="82" t="str">
        <f aca="false">IF(AU2564=1,SUM(AU$7:AU2564),"")</f>
        <v/>
      </c>
      <c r="AW2564" s="82" t="str">
        <f aca="false">IF(E2564="","",B2564&amp;"|"&amp;E2564)</f>
        <v/>
      </c>
    </row>
    <row r="2565" customFormat="false" ht="15" hidden="false" customHeight="false" outlineLevel="0" collapsed="false">
      <c r="A2565" s="79" t="str">
        <f aca="false">IF(E2565="","",ROW()-6)</f>
        <v/>
      </c>
      <c r="B2565" s="80"/>
      <c r="C2565" s="81"/>
      <c r="D2565" s="81"/>
      <c r="E2565" s="81"/>
      <c r="F2565" s="82" t="str">
        <f aca="false">IF(E2565="","",IF(LEFT(E2565,2)="DJ","DJ","JN"))</f>
        <v/>
      </c>
      <c r="G2565" s="81"/>
      <c r="H2565" s="81"/>
      <c r="I2565" s="81"/>
      <c r="J2565" s="81"/>
      <c r="K2565" s="81"/>
      <c r="L2565" s="81"/>
      <c r="M2565" s="81"/>
      <c r="N2565" s="81"/>
      <c r="O2565" s="81"/>
      <c r="P2565" s="81"/>
      <c r="Q2565" s="81"/>
      <c r="R2565" s="81"/>
      <c r="S2565" s="81"/>
      <c r="T2565" s="81"/>
      <c r="U2565" s="83"/>
      <c r="V2565" s="83"/>
      <c r="W2565" s="81"/>
      <c r="X2565" s="81"/>
      <c r="Y2565" s="83"/>
      <c r="Z2565" s="81"/>
      <c r="AA2565" s="81"/>
      <c r="AB2565" s="81"/>
      <c r="AC2565" s="81"/>
      <c r="AD2565" s="81"/>
      <c r="AE2565" s="83"/>
      <c r="AF2565" s="81"/>
      <c r="AG2565" s="81"/>
      <c r="AH2565" s="81"/>
      <c r="AI2565" s="81"/>
      <c r="AJ2565" s="83"/>
      <c r="AK2565" s="81"/>
      <c r="AL2565" s="81"/>
      <c r="AM2565" s="83"/>
      <c r="AN2565" s="80"/>
      <c r="AO2565" s="82" t="str">
        <f aca="false">IF(E2565="","",(AA2565&lt;&gt;"")+(AG2565&lt;&gt;"")+(AL2565&lt;&gt;""))</f>
        <v/>
      </c>
      <c r="AP2565" s="82" t="str">
        <f aca="false">IF(AL2565&lt;&gt;"",AL2565,IF(AG2565&lt;&gt;"",AG2565,IF(AA2565&lt;&gt;"",AA2565,"")))</f>
        <v/>
      </c>
      <c r="AQ2565" s="84" t="str">
        <f aca="false">IF(E2565="","",IF(U2565="","À SOUDER",IF(X2565="","VT EN ATTENTE",IF(X2565="R","VT REJETÉ – À REPRENDRE",IF(AP2565="","À RADIOGRAPHIER",IF(AP2565="A","ACCEPTÉ",IF(AP2565="NX","NX – RT À REFAIRE",IF(IF(AO2565=1,AD2565,IF(AO2565=2,AI2565,""))="A","RÉPARÉ – À RADIOGRAPHIER",IF(IF(AO2565=1,AD2565,IF(AO2565=2,AI2565,""))="R","VT REJETÉ – À REPRENDRE",IF(OR(AP2565="CO",AP2565="NT"),"COUPE – À RESOUDER","À RÉPARER"))))))))))</f>
        <v/>
      </c>
      <c r="AR2565" s="82" t="str">
        <f aca="false">IF(AND(ISNUMBER(U2565),OR(AQ2565="À RADIOGRAPHIER",AQ2565="RÉPARÉ – À RADIOGRAPHIER",AQ2565="NX – RT À REFAIRE",AQ2565="À RÉPARER",AQ2565="COUPE – À RESOUDER",AQ2565="VT REJETÉ – À REPRENDRE")),MAX(0,'PROGRAMME RT'!$C$4-U2565),"")</f>
        <v/>
      </c>
      <c r="AS2565" s="82" t="n">
        <f aca="false">IF(AND(OR(AQ2565="À RADIOGRAPHIER",AQ2565="RÉPARÉ – À RADIOGRAPHIER",AQ2565="NX – RT À REFAIRE"),OR('PROGRAMME RT'!$D$5="TOUTES",B2565='PROGRAMME RT'!$D$5)),1,0)</f>
        <v>0</v>
      </c>
      <c r="AT2565" s="82" t="str">
        <f aca="false">IF(AS2565=1,SUM(AS$7:AS2565),"")</f>
        <v/>
      </c>
      <c r="AU2565" s="82" t="n">
        <f aca="false">IF(AND(OR(AA2565="R",AA2565="NX",AA2565="NT",AA2565="CO"),OR('JOINTS DE RÉPARATION'!$D$5="TOUTES",B2565='JOINTS DE RÉPARATION'!$D$5),OR('JOINTS DE RÉPARATION'!$L$4="TOUS",AQ2565&lt;&gt;"ACCEPTÉ")),1,0)</f>
        <v>0</v>
      </c>
      <c r="AV2565" s="82" t="str">
        <f aca="false">IF(AU2565=1,SUM(AU$7:AU2565),"")</f>
        <v/>
      </c>
      <c r="AW2565" s="82" t="str">
        <f aca="false">IF(E2565="","",B2565&amp;"|"&amp;E2565)</f>
        <v/>
      </c>
    </row>
    <row r="2566" customFormat="false" ht="15" hidden="false" customHeight="false" outlineLevel="0" collapsed="false">
      <c r="A2566" s="79" t="str">
        <f aca="false">IF(E2566="","",ROW()-6)</f>
        <v/>
      </c>
      <c r="B2566" s="80"/>
      <c r="C2566" s="81"/>
      <c r="D2566" s="81"/>
      <c r="E2566" s="81"/>
      <c r="F2566" s="82" t="str">
        <f aca="false">IF(E2566="","",IF(LEFT(E2566,2)="DJ","DJ","JN"))</f>
        <v/>
      </c>
      <c r="G2566" s="81"/>
      <c r="H2566" s="81"/>
      <c r="I2566" s="81"/>
      <c r="J2566" s="81"/>
      <c r="K2566" s="81"/>
      <c r="L2566" s="81"/>
      <c r="M2566" s="81"/>
      <c r="N2566" s="81"/>
      <c r="O2566" s="81"/>
      <c r="P2566" s="81"/>
      <c r="Q2566" s="81"/>
      <c r="R2566" s="81"/>
      <c r="S2566" s="81"/>
      <c r="T2566" s="81"/>
      <c r="U2566" s="83"/>
      <c r="V2566" s="83"/>
      <c r="W2566" s="81"/>
      <c r="X2566" s="81"/>
      <c r="Y2566" s="83"/>
      <c r="Z2566" s="81"/>
      <c r="AA2566" s="81"/>
      <c r="AB2566" s="81"/>
      <c r="AC2566" s="81"/>
      <c r="AD2566" s="81"/>
      <c r="AE2566" s="83"/>
      <c r="AF2566" s="81"/>
      <c r="AG2566" s="81"/>
      <c r="AH2566" s="81"/>
      <c r="AI2566" s="81"/>
      <c r="AJ2566" s="83"/>
      <c r="AK2566" s="81"/>
      <c r="AL2566" s="81"/>
      <c r="AM2566" s="83"/>
      <c r="AN2566" s="80"/>
      <c r="AO2566" s="82" t="str">
        <f aca="false">IF(E2566="","",(AA2566&lt;&gt;"")+(AG2566&lt;&gt;"")+(AL2566&lt;&gt;""))</f>
        <v/>
      </c>
      <c r="AP2566" s="82" t="str">
        <f aca="false">IF(AL2566&lt;&gt;"",AL2566,IF(AG2566&lt;&gt;"",AG2566,IF(AA2566&lt;&gt;"",AA2566,"")))</f>
        <v/>
      </c>
      <c r="AQ2566" s="84" t="str">
        <f aca="false">IF(E2566="","",IF(U2566="","À SOUDER",IF(X2566="","VT EN ATTENTE",IF(X2566="R","VT REJETÉ – À REPRENDRE",IF(AP2566="","À RADIOGRAPHIER",IF(AP2566="A","ACCEPTÉ",IF(AP2566="NX","NX – RT À REFAIRE",IF(IF(AO2566=1,AD2566,IF(AO2566=2,AI2566,""))="A","RÉPARÉ – À RADIOGRAPHIER",IF(IF(AO2566=1,AD2566,IF(AO2566=2,AI2566,""))="R","VT REJETÉ – À REPRENDRE",IF(OR(AP2566="CO",AP2566="NT"),"COUPE – À RESOUDER","À RÉPARER"))))))))))</f>
        <v/>
      </c>
      <c r="AR2566" s="82" t="str">
        <f aca="false">IF(AND(ISNUMBER(U2566),OR(AQ2566="À RADIOGRAPHIER",AQ2566="RÉPARÉ – À RADIOGRAPHIER",AQ2566="NX – RT À REFAIRE",AQ2566="À RÉPARER",AQ2566="COUPE – À RESOUDER",AQ2566="VT REJETÉ – À REPRENDRE")),MAX(0,'PROGRAMME RT'!$C$4-U2566),"")</f>
        <v/>
      </c>
      <c r="AS2566" s="82" t="n">
        <f aca="false">IF(AND(OR(AQ2566="À RADIOGRAPHIER",AQ2566="RÉPARÉ – À RADIOGRAPHIER",AQ2566="NX – RT À REFAIRE"),OR('PROGRAMME RT'!$D$5="TOUTES",B2566='PROGRAMME RT'!$D$5)),1,0)</f>
        <v>0</v>
      </c>
      <c r="AT2566" s="82" t="str">
        <f aca="false">IF(AS2566=1,SUM(AS$7:AS2566),"")</f>
        <v/>
      </c>
      <c r="AU2566" s="82" t="n">
        <f aca="false">IF(AND(OR(AA2566="R",AA2566="NX",AA2566="NT",AA2566="CO"),OR('JOINTS DE RÉPARATION'!$D$5="TOUTES",B2566='JOINTS DE RÉPARATION'!$D$5),OR('JOINTS DE RÉPARATION'!$L$4="TOUS",AQ2566&lt;&gt;"ACCEPTÉ")),1,0)</f>
        <v>0</v>
      </c>
      <c r="AV2566" s="82" t="str">
        <f aca="false">IF(AU2566=1,SUM(AU$7:AU2566),"")</f>
        <v/>
      </c>
      <c r="AW2566" s="82" t="str">
        <f aca="false">IF(E2566="","",B2566&amp;"|"&amp;E2566)</f>
        <v/>
      </c>
    </row>
    <row r="2567" customFormat="false" ht="15" hidden="false" customHeight="false" outlineLevel="0" collapsed="false">
      <c r="A2567" s="79" t="str">
        <f aca="false">IF(E2567="","",ROW()-6)</f>
        <v/>
      </c>
      <c r="B2567" s="80"/>
      <c r="C2567" s="81"/>
      <c r="D2567" s="81"/>
      <c r="E2567" s="81"/>
      <c r="F2567" s="82" t="str">
        <f aca="false">IF(E2567="","",IF(LEFT(E2567,2)="DJ","DJ","JN"))</f>
        <v/>
      </c>
      <c r="G2567" s="81"/>
      <c r="H2567" s="81"/>
      <c r="I2567" s="81"/>
      <c r="J2567" s="81"/>
      <c r="K2567" s="81"/>
      <c r="L2567" s="81"/>
      <c r="M2567" s="81"/>
      <c r="N2567" s="81"/>
      <c r="O2567" s="81"/>
      <c r="P2567" s="81"/>
      <c r="Q2567" s="81"/>
      <c r="R2567" s="81"/>
      <c r="S2567" s="81"/>
      <c r="T2567" s="81"/>
      <c r="U2567" s="83"/>
      <c r="V2567" s="83"/>
      <c r="W2567" s="81"/>
      <c r="X2567" s="81"/>
      <c r="Y2567" s="83"/>
      <c r="Z2567" s="81"/>
      <c r="AA2567" s="81"/>
      <c r="AB2567" s="81"/>
      <c r="AC2567" s="81"/>
      <c r="AD2567" s="81"/>
      <c r="AE2567" s="83"/>
      <c r="AF2567" s="81"/>
      <c r="AG2567" s="81"/>
      <c r="AH2567" s="81"/>
      <c r="AI2567" s="81"/>
      <c r="AJ2567" s="83"/>
      <c r="AK2567" s="81"/>
      <c r="AL2567" s="81"/>
      <c r="AM2567" s="83"/>
      <c r="AN2567" s="80"/>
      <c r="AO2567" s="82" t="str">
        <f aca="false">IF(E2567="","",(AA2567&lt;&gt;"")+(AG2567&lt;&gt;"")+(AL2567&lt;&gt;""))</f>
        <v/>
      </c>
      <c r="AP2567" s="82" t="str">
        <f aca="false">IF(AL2567&lt;&gt;"",AL2567,IF(AG2567&lt;&gt;"",AG2567,IF(AA2567&lt;&gt;"",AA2567,"")))</f>
        <v/>
      </c>
      <c r="AQ2567" s="84" t="str">
        <f aca="false">IF(E2567="","",IF(U2567="","À SOUDER",IF(X2567="","VT EN ATTENTE",IF(X2567="R","VT REJETÉ – À REPRENDRE",IF(AP2567="","À RADIOGRAPHIER",IF(AP2567="A","ACCEPTÉ",IF(AP2567="NX","NX – RT À REFAIRE",IF(IF(AO2567=1,AD2567,IF(AO2567=2,AI2567,""))="A","RÉPARÉ – À RADIOGRAPHIER",IF(IF(AO2567=1,AD2567,IF(AO2567=2,AI2567,""))="R","VT REJETÉ – À REPRENDRE",IF(OR(AP2567="CO",AP2567="NT"),"COUPE – À RESOUDER","À RÉPARER"))))))))))</f>
        <v/>
      </c>
      <c r="AR2567" s="82" t="str">
        <f aca="false">IF(AND(ISNUMBER(U2567),OR(AQ2567="À RADIOGRAPHIER",AQ2567="RÉPARÉ – À RADIOGRAPHIER",AQ2567="NX – RT À REFAIRE",AQ2567="À RÉPARER",AQ2567="COUPE – À RESOUDER",AQ2567="VT REJETÉ – À REPRENDRE")),MAX(0,'PROGRAMME RT'!$C$4-U2567),"")</f>
        <v/>
      </c>
      <c r="AS2567" s="82" t="n">
        <f aca="false">IF(AND(OR(AQ2567="À RADIOGRAPHIER",AQ2567="RÉPARÉ – À RADIOGRAPHIER",AQ2567="NX – RT À REFAIRE"),OR('PROGRAMME RT'!$D$5="TOUTES",B2567='PROGRAMME RT'!$D$5)),1,0)</f>
        <v>0</v>
      </c>
      <c r="AT2567" s="82" t="str">
        <f aca="false">IF(AS2567=1,SUM(AS$7:AS2567),"")</f>
        <v/>
      </c>
      <c r="AU2567" s="82" t="n">
        <f aca="false">IF(AND(OR(AA2567="R",AA2567="NX",AA2567="NT",AA2567="CO"),OR('JOINTS DE RÉPARATION'!$D$5="TOUTES",B2567='JOINTS DE RÉPARATION'!$D$5),OR('JOINTS DE RÉPARATION'!$L$4="TOUS",AQ2567&lt;&gt;"ACCEPTÉ")),1,0)</f>
        <v>0</v>
      </c>
      <c r="AV2567" s="82" t="str">
        <f aca="false">IF(AU2567=1,SUM(AU$7:AU2567),"")</f>
        <v/>
      </c>
      <c r="AW2567" s="82" t="str">
        <f aca="false">IF(E2567="","",B2567&amp;"|"&amp;E2567)</f>
        <v/>
      </c>
    </row>
    <row r="2568" customFormat="false" ht="15" hidden="false" customHeight="false" outlineLevel="0" collapsed="false">
      <c r="A2568" s="79" t="str">
        <f aca="false">IF(E2568="","",ROW()-6)</f>
        <v/>
      </c>
      <c r="B2568" s="80"/>
      <c r="C2568" s="81"/>
      <c r="D2568" s="81"/>
      <c r="E2568" s="81"/>
      <c r="F2568" s="82" t="str">
        <f aca="false">IF(E2568="","",IF(LEFT(E2568,2)="DJ","DJ","JN"))</f>
        <v/>
      </c>
      <c r="G2568" s="81"/>
      <c r="H2568" s="81"/>
      <c r="I2568" s="81"/>
      <c r="J2568" s="81"/>
      <c r="K2568" s="81"/>
      <c r="L2568" s="81"/>
      <c r="M2568" s="81"/>
      <c r="N2568" s="81"/>
      <c r="O2568" s="81"/>
      <c r="P2568" s="81"/>
      <c r="Q2568" s="81"/>
      <c r="R2568" s="81"/>
      <c r="S2568" s="81"/>
      <c r="T2568" s="81"/>
      <c r="U2568" s="83"/>
      <c r="V2568" s="83"/>
      <c r="W2568" s="81"/>
      <c r="X2568" s="81"/>
      <c r="Y2568" s="83"/>
      <c r="Z2568" s="81"/>
      <c r="AA2568" s="81"/>
      <c r="AB2568" s="81"/>
      <c r="AC2568" s="81"/>
      <c r="AD2568" s="81"/>
      <c r="AE2568" s="83"/>
      <c r="AF2568" s="81"/>
      <c r="AG2568" s="81"/>
      <c r="AH2568" s="81"/>
      <c r="AI2568" s="81"/>
      <c r="AJ2568" s="83"/>
      <c r="AK2568" s="81"/>
      <c r="AL2568" s="81"/>
      <c r="AM2568" s="83"/>
      <c r="AN2568" s="80"/>
      <c r="AO2568" s="82" t="str">
        <f aca="false">IF(E2568="","",(AA2568&lt;&gt;"")+(AG2568&lt;&gt;"")+(AL2568&lt;&gt;""))</f>
        <v/>
      </c>
      <c r="AP2568" s="82" t="str">
        <f aca="false">IF(AL2568&lt;&gt;"",AL2568,IF(AG2568&lt;&gt;"",AG2568,IF(AA2568&lt;&gt;"",AA2568,"")))</f>
        <v/>
      </c>
      <c r="AQ2568" s="84" t="str">
        <f aca="false">IF(E2568="","",IF(U2568="","À SOUDER",IF(X2568="","VT EN ATTENTE",IF(X2568="R","VT REJETÉ – À REPRENDRE",IF(AP2568="","À RADIOGRAPHIER",IF(AP2568="A","ACCEPTÉ",IF(AP2568="NX","NX – RT À REFAIRE",IF(IF(AO2568=1,AD2568,IF(AO2568=2,AI2568,""))="A","RÉPARÉ – À RADIOGRAPHIER",IF(IF(AO2568=1,AD2568,IF(AO2568=2,AI2568,""))="R","VT REJETÉ – À REPRENDRE",IF(OR(AP2568="CO",AP2568="NT"),"COUPE – À RESOUDER","À RÉPARER"))))))))))</f>
        <v/>
      </c>
      <c r="AR2568" s="82" t="str">
        <f aca="false">IF(AND(ISNUMBER(U2568),OR(AQ2568="À RADIOGRAPHIER",AQ2568="RÉPARÉ – À RADIOGRAPHIER",AQ2568="NX – RT À REFAIRE",AQ2568="À RÉPARER",AQ2568="COUPE – À RESOUDER",AQ2568="VT REJETÉ – À REPRENDRE")),MAX(0,'PROGRAMME RT'!$C$4-U2568),"")</f>
        <v/>
      </c>
      <c r="AS2568" s="82" t="n">
        <f aca="false">IF(AND(OR(AQ2568="À RADIOGRAPHIER",AQ2568="RÉPARÉ – À RADIOGRAPHIER",AQ2568="NX – RT À REFAIRE"),OR('PROGRAMME RT'!$D$5="TOUTES",B2568='PROGRAMME RT'!$D$5)),1,0)</f>
        <v>0</v>
      </c>
      <c r="AT2568" s="82" t="str">
        <f aca="false">IF(AS2568=1,SUM(AS$7:AS2568),"")</f>
        <v/>
      </c>
      <c r="AU2568" s="82" t="n">
        <f aca="false">IF(AND(OR(AA2568="R",AA2568="NX",AA2568="NT",AA2568="CO"),OR('JOINTS DE RÉPARATION'!$D$5="TOUTES",B2568='JOINTS DE RÉPARATION'!$D$5),OR('JOINTS DE RÉPARATION'!$L$4="TOUS",AQ2568&lt;&gt;"ACCEPTÉ")),1,0)</f>
        <v>0</v>
      </c>
      <c r="AV2568" s="82" t="str">
        <f aca="false">IF(AU2568=1,SUM(AU$7:AU2568),"")</f>
        <v/>
      </c>
      <c r="AW2568" s="82" t="str">
        <f aca="false">IF(E2568="","",B2568&amp;"|"&amp;E2568)</f>
        <v/>
      </c>
    </row>
    <row r="2569" customFormat="false" ht="15" hidden="false" customHeight="false" outlineLevel="0" collapsed="false">
      <c r="A2569" s="79" t="str">
        <f aca="false">IF(E2569="","",ROW()-6)</f>
        <v/>
      </c>
      <c r="B2569" s="80"/>
      <c r="C2569" s="81"/>
      <c r="D2569" s="81"/>
      <c r="E2569" s="81"/>
      <c r="F2569" s="82" t="str">
        <f aca="false">IF(E2569="","",IF(LEFT(E2569,2)="DJ","DJ","JN"))</f>
        <v/>
      </c>
      <c r="G2569" s="81"/>
      <c r="H2569" s="81"/>
      <c r="I2569" s="81"/>
      <c r="J2569" s="81"/>
      <c r="K2569" s="81"/>
      <c r="L2569" s="81"/>
      <c r="M2569" s="81"/>
      <c r="N2569" s="81"/>
      <c r="O2569" s="81"/>
      <c r="P2569" s="81"/>
      <c r="Q2569" s="81"/>
      <c r="R2569" s="81"/>
      <c r="S2569" s="81"/>
      <c r="T2569" s="81"/>
      <c r="U2569" s="83"/>
      <c r="V2569" s="83"/>
      <c r="W2569" s="81"/>
      <c r="X2569" s="81"/>
      <c r="Y2569" s="83"/>
      <c r="Z2569" s="81"/>
      <c r="AA2569" s="81"/>
      <c r="AB2569" s="81"/>
      <c r="AC2569" s="81"/>
      <c r="AD2569" s="81"/>
      <c r="AE2569" s="83"/>
      <c r="AF2569" s="81"/>
      <c r="AG2569" s="81"/>
      <c r="AH2569" s="81"/>
      <c r="AI2569" s="81"/>
      <c r="AJ2569" s="83"/>
      <c r="AK2569" s="81"/>
      <c r="AL2569" s="81"/>
      <c r="AM2569" s="83"/>
      <c r="AN2569" s="80"/>
      <c r="AO2569" s="82" t="str">
        <f aca="false">IF(E2569="","",(AA2569&lt;&gt;"")+(AG2569&lt;&gt;"")+(AL2569&lt;&gt;""))</f>
        <v/>
      </c>
      <c r="AP2569" s="82" t="str">
        <f aca="false">IF(AL2569&lt;&gt;"",AL2569,IF(AG2569&lt;&gt;"",AG2569,IF(AA2569&lt;&gt;"",AA2569,"")))</f>
        <v/>
      </c>
      <c r="AQ2569" s="84" t="str">
        <f aca="false">IF(E2569="","",IF(U2569="","À SOUDER",IF(X2569="","VT EN ATTENTE",IF(X2569="R","VT REJETÉ – À REPRENDRE",IF(AP2569="","À RADIOGRAPHIER",IF(AP2569="A","ACCEPTÉ",IF(AP2569="NX","NX – RT À REFAIRE",IF(IF(AO2569=1,AD2569,IF(AO2569=2,AI2569,""))="A","RÉPARÉ – À RADIOGRAPHIER",IF(IF(AO2569=1,AD2569,IF(AO2569=2,AI2569,""))="R","VT REJETÉ – À REPRENDRE",IF(OR(AP2569="CO",AP2569="NT"),"COUPE – À RESOUDER","À RÉPARER"))))))))))</f>
        <v/>
      </c>
      <c r="AR2569" s="82" t="str">
        <f aca="false">IF(AND(ISNUMBER(U2569),OR(AQ2569="À RADIOGRAPHIER",AQ2569="RÉPARÉ – À RADIOGRAPHIER",AQ2569="NX – RT À REFAIRE",AQ2569="À RÉPARER",AQ2569="COUPE – À RESOUDER",AQ2569="VT REJETÉ – À REPRENDRE")),MAX(0,'PROGRAMME RT'!$C$4-U2569),"")</f>
        <v/>
      </c>
      <c r="AS2569" s="82" t="n">
        <f aca="false">IF(AND(OR(AQ2569="À RADIOGRAPHIER",AQ2569="RÉPARÉ – À RADIOGRAPHIER",AQ2569="NX – RT À REFAIRE"),OR('PROGRAMME RT'!$D$5="TOUTES",B2569='PROGRAMME RT'!$D$5)),1,0)</f>
        <v>0</v>
      </c>
      <c r="AT2569" s="82" t="str">
        <f aca="false">IF(AS2569=1,SUM(AS$7:AS2569),"")</f>
        <v/>
      </c>
      <c r="AU2569" s="82" t="n">
        <f aca="false">IF(AND(OR(AA2569="R",AA2569="NX",AA2569="NT",AA2569="CO"),OR('JOINTS DE RÉPARATION'!$D$5="TOUTES",B2569='JOINTS DE RÉPARATION'!$D$5),OR('JOINTS DE RÉPARATION'!$L$4="TOUS",AQ2569&lt;&gt;"ACCEPTÉ")),1,0)</f>
        <v>0</v>
      </c>
      <c r="AV2569" s="82" t="str">
        <f aca="false">IF(AU2569=1,SUM(AU$7:AU2569),"")</f>
        <v/>
      </c>
      <c r="AW2569" s="82" t="str">
        <f aca="false">IF(E2569="","",B2569&amp;"|"&amp;E2569)</f>
        <v/>
      </c>
    </row>
    <row r="2570" customFormat="false" ht="15" hidden="false" customHeight="false" outlineLevel="0" collapsed="false">
      <c r="A2570" s="79" t="str">
        <f aca="false">IF(E2570="","",ROW()-6)</f>
        <v/>
      </c>
      <c r="B2570" s="80"/>
      <c r="C2570" s="81"/>
      <c r="D2570" s="81"/>
      <c r="E2570" s="81"/>
      <c r="F2570" s="82" t="str">
        <f aca="false">IF(E2570="","",IF(LEFT(E2570,2)="DJ","DJ","JN"))</f>
        <v/>
      </c>
      <c r="G2570" s="81"/>
      <c r="H2570" s="81"/>
      <c r="I2570" s="81"/>
      <c r="J2570" s="81"/>
      <c r="K2570" s="81"/>
      <c r="L2570" s="81"/>
      <c r="M2570" s="81"/>
      <c r="N2570" s="81"/>
      <c r="O2570" s="81"/>
      <c r="P2570" s="81"/>
      <c r="Q2570" s="81"/>
      <c r="R2570" s="81"/>
      <c r="S2570" s="81"/>
      <c r="T2570" s="81"/>
      <c r="U2570" s="83"/>
      <c r="V2570" s="83"/>
      <c r="W2570" s="81"/>
      <c r="X2570" s="81"/>
      <c r="Y2570" s="83"/>
      <c r="Z2570" s="81"/>
      <c r="AA2570" s="81"/>
      <c r="AB2570" s="81"/>
      <c r="AC2570" s="81"/>
      <c r="AD2570" s="81"/>
      <c r="AE2570" s="83"/>
      <c r="AF2570" s="81"/>
      <c r="AG2570" s="81"/>
      <c r="AH2570" s="81"/>
      <c r="AI2570" s="81"/>
      <c r="AJ2570" s="83"/>
      <c r="AK2570" s="81"/>
      <c r="AL2570" s="81"/>
      <c r="AM2570" s="83"/>
      <c r="AN2570" s="80"/>
      <c r="AO2570" s="82" t="str">
        <f aca="false">IF(E2570="","",(AA2570&lt;&gt;"")+(AG2570&lt;&gt;"")+(AL2570&lt;&gt;""))</f>
        <v/>
      </c>
      <c r="AP2570" s="82" t="str">
        <f aca="false">IF(AL2570&lt;&gt;"",AL2570,IF(AG2570&lt;&gt;"",AG2570,IF(AA2570&lt;&gt;"",AA2570,"")))</f>
        <v/>
      </c>
      <c r="AQ2570" s="84" t="str">
        <f aca="false">IF(E2570="","",IF(U2570="","À SOUDER",IF(X2570="","VT EN ATTENTE",IF(X2570="R","VT REJETÉ – À REPRENDRE",IF(AP2570="","À RADIOGRAPHIER",IF(AP2570="A","ACCEPTÉ",IF(AP2570="NX","NX – RT À REFAIRE",IF(IF(AO2570=1,AD2570,IF(AO2570=2,AI2570,""))="A","RÉPARÉ – À RADIOGRAPHIER",IF(IF(AO2570=1,AD2570,IF(AO2570=2,AI2570,""))="R","VT REJETÉ – À REPRENDRE",IF(OR(AP2570="CO",AP2570="NT"),"COUPE – À RESOUDER","À RÉPARER"))))))))))</f>
        <v/>
      </c>
      <c r="AR2570" s="82" t="str">
        <f aca="false">IF(AND(ISNUMBER(U2570),OR(AQ2570="À RADIOGRAPHIER",AQ2570="RÉPARÉ – À RADIOGRAPHIER",AQ2570="NX – RT À REFAIRE",AQ2570="À RÉPARER",AQ2570="COUPE – À RESOUDER",AQ2570="VT REJETÉ – À REPRENDRE")),MAX(0,'PROGRAMME RT'!$C$4-U2570),"")</f>
        <v/>
      </c>
      <c r="AS2570" s="82" t="n">
        <f aca="false">IF(AND(OR(AQ2570="À RADIOGRAPHIER",AQ2570="RÉPARÉ – À RADIOGRAPHIER",AQ2570="NX – RT À REFAIRE"),OR('PROGRAMME RT'!$D$5="TOUTES",B2570='PROGRAMME RT'!$D$5)),1,0)</f>
        <v>0</v>
      </c>
      <c r="AT2570" s="82" t="str">
        <f aca="false">IF(AS2570=1,SUM(AS$7:AS2570),"")</f>
        <v/>
      </c>
      <c r="AU2570" s="82" t="n">
        <f aca="false">IF(AND(OR(AA2570="R",AA2570="NX",AA2570="NT",AA2570="CO"),OR('JOINTS DE RÉPARATION'!$D$5="TOUTES",B2570='JOINTS DE RÉPARATION'!$D$5),OR('JOINTS DE RÉPARATION'!$L$4="TOUS",AQ2570&lt;&gt;"ACCEPTÉ")),1,0)</f>
        <v>0</v>
      </c>
      <c r="AV2570" s="82" t="str">
        <f aca="false">IF(AU2570=1,SUM(AU$7:AU2570),"")</f>
        <v/>
      </c>
      <c r="AW2570" s="82" t="str">
        <f aca="false">IF(E2570="","",B2570&amp;"|"&amp;E2570)</f>
        <v/>
      </c>
    </row>
    <row r="2571" customFormat="false" ht="15" hidden="false" customHeight="false" outlineLevel="0" collapsed="false">
      <c r="A2571" s="79" t="str">
        <f aca="false">IF(E2571="","",ROW()-6)</f>
        <v/>
      </c>
      <c r="B2571" s="80"/>
      <c r="C2571" s="81"/>
      <c r="D2571" s="81"/>
      <c r="E2571" s="81"/>
      <c r="F2571" s="82" t="str">
        <f aca="false">IF(E2571="","",IF(LEFT(E2571,2)="DJ","DJ","JN"))</f>
        <v/>
      </c>
      <c r="G2571" s="81"/>
      <c r="H2571" s="81"/>
      <c r="I2571" s="81"/>
      <c r="J2571" s="81"/>
      <c r="K2571" s="81"/>
      <c r="L2571" s="81"/>
      <c r="M2571" s="81"/>
      <c r="N2571" s="81"/>
      <c r="O2571" s="81"/>
      <c r="P2571" s="81"/>
      <c r="Q2571" s="81"/>
      <c r="R2571" s="81"/>
      <c r="S2571" s="81"/>
      <c r="T2571" s="81"/>
      <c r="U2571" s="83"/>
      <c r="V2571" s="83"/>
      <c r="W2571" s="81"/>
      <c r="X2571" s="81"/>
      <c r="Y2571" s="83"/>
      <c r="Z2571" s="81"/>
      <c r="AA2571" s="81"/>
      <c r="AB2571" s="81"/>
      <c r="AC2571" s="81"/>
      <c r="AD2571" s="81"/>
      <c r="AE2571" s="83"/>
      <c r="AF2571" s="81"/>
      <c r="AG2571" s="81"/>
      <c r="AH2571" s="81"/>
      <c r="AI2571" s="81"/>
      <c r="AJ2571" s="83"/>
      <c r="AK2571" s="81"/>
      <c r="AL2571" s="81"/>
      <c r="AM2571" s="83"/>
      <c r="AN2571" s="80"/>
      <c r="AO2571" s="82" t="str">
        <f aca="false">IF(E2571="","",(AA2571&lt;&gt;"")+(AG2571&lt;&gt;"")+(AL2571&lt;&gt;""))</f>
        <v/>
      </c>
      <c r="AP2571" s="82" t="str">
        <f aca="false">IF(AL2571&lt;&gt;"",AL2571,IF(AG2571&lt;&gt;"",AG2571,IF(AA2571&lt;&gt;"",AA2571,"")))</f>
        <v/>
      </c>
      <c r="AQ2571" s="84" t="str">
        <f aca="false">IF(E2571="","",IF(U2571="","À SOUDER",IF(X2571="","VT EN ATTENTE",IF(X2571="R","VT REJETÉ – À REPRENDRE",IF(AP2571="","À RADIOGRAPHIER",IF(AP2571="A","ACCEPTÉ",IF(AP2571="NX","NX – RT À REFAIRE",IF(IF(AO2571=1,AD2571,IF(AO2571=2,AI2571,""))="A","RÉPARÉ – À RADIOGRAPHIER",IF(IF(AO2571=1,AD2571,IF(AO2571=2,AI2571,""))="R","VT REJETÉ – À REPRENDRE",IF(OR(AP2571="CO",AP2571="NT"),"COUPE – À RESOUDER","À RÉPARER"))))))))))</f>
        <v/>
      </c>
      <c r="AR2571" s="82" t="str">
        <f aca="false">IF(AND(ISNUMBER(U2571),OR(AQ2571="À RADIOGRAPHIER",AQ2571="RÉPARÉ – À RADIOGRAPHIER",AQ2571="NX – RT À REFAIRE",AQ2571="À RÉPARER",AQ2571="COUPE – À RESOUDER",AQ2571="VT REJETÉ – À REPRENDRE")),MAX(0,'PROGRAMME RT'!$C$4-U2571),"")</f>
        <v/>
      </c>
      <c r="AS2571" s="82" t="n">
        <f aca="false">IF(AND(OR(AQ2571="À RADIOGRAPHIER",AQ2571="RÉPARÉ – À RADIOGRAPHIER",AQ2571="NX – RT À REFAIRE"),OR('PROGRAMME RT'!$D$5="TOUTES",B2571='PROGRAMME RT'!$D$5)),1,0)</f>
        <v>0</v>
      </c>
      <c r="AT2571" s="82" t="str">
        <f aca="false">IF(AS2571=1,SUM(AS$7:AS2571),"")</f>
        <v/>
      </c>
      <c r="AU2571" s="82" t="n">
        <f aca="false">IF(AND(OR(AA2571="R",AA2571="NX",AA2571="NT",AA2571="CO"),OR('JOINTS DE RÉPARATION'!$D$5="TOUTES",B2571='JOINTS DE RÉPARATION'!$D$5),OR('JOINTS DE RÉPARATION'!$L$4="TOUS",AQ2571&lt;&gt;"ACCEPTÉ")),1,0)</f>
        <v>0</v>
      </c>
      <c r="AV2571" s="82" t="str">
        <f aca="false">IF(AU2571=1,SUM(AU$7:AU2571),"")</f>
        <v/>
      </c>
      <c r="AW2571" s="82" t="str">
        <f aca="false">IF(E2571="","",B2571&amp;"|"&amp;E2571)</f>
        <v/>
      </c>
    </row>
    <row r="2572" customFormat="false" ht="15" hidden="false" customHeight="false" outlineLevel="0" collapsed="false">
      <c r="A2572" s="79" t="str">
        <f aca="false">IF(E2572="","",ROW()-6)</f>
        <v/>
      </c>
      <c r="B2572" s="80"/>
      <c r="C2572" s="81"/>
      <c r="D2572" s="81"/>
      <c r="E2572" s="81"/>
      <c r="F2572" s="82" t="str">
        <f aca="false">IF(E2572="","",IF(LEFT(E2572,2)="DJ","DJ","JN"))</f>
        <v/>
      </c>
      <c r="G2572" s="81"/>
      <c r="H2572" s="81"/>
      <c r="I2572" s="81"/>
      <c r="J2572" s="81"/>
      <c r="K2572" s="81"/>
      <c r="L2572" s="81"/>
      <c r="M2572" s="81"/>
      <c r="N2572" s="81"/>
      <c r="O2572" s="81"/>
      <c r="P2572" s="81"/>
      <c r="Q2572" s="81"/>
      <c r="R2572" s="81"/>
      <c r="S2572" s="81"/>
      <c r="T2572" s="81"/>
      <c r="U2572" s="83"/>
      <c r="V2572" s="83"/>
      <c r="W2572" s="81"/>
      <c r="X2572" s="81"/>
      <c r="Y2572" s="83"/>
      <c r="Z2572" s="81"/>
      <c r="AA2572" s="81"/>
      <c r="AB2572" s="81"/>
      <c r="AC2572" s="81"/>
      <c r="AD2572" s="81"/>
      <c r="AE2572" s="83"/>
      <c r="AF2572" s="81"/>
      <c r="AG2572" s="81"/>
      <c r="AH2572" s="81"/>
      <c r="AI2572" s="81"/>
      <c r="AJ2572" s="83"/>
      <c r="AK2572" s="81"/>
      <c r="AL2572" s="81"/>
      <c r="AM2572" s="83"/>
      <c r="AN2572" s="80"/>
      <c r="AO2572" s="82" t="str">
        <f aca="false">IF(E2572="","",(AA2572&lt;&gt;"")+(AG2572&lt;&gt;"")+(AL2572&lt;&gt;""))</f>
        <v/>
      </c>
      <c r="AP2572" s="82" t="str">
        <f aca="false">IF(AL2572&lt;&gt;"",AL2572,IF(AG2572&lt;&gt;"",AG2572,IF(AA2572&lt;&gt;"",AA2572,"")))</f>
        <v/>
      </c>
      <c r="AQ2572" s="84" t="str">
        <f aca="false">IF(E2572="","",IF(U2572="","À SOUDER",IF(X2572="","VT EN ATTENTE",IF(X2572="R","VT REJETÉ – À REPRENDRE",IF(AP2572="","À RADIOGRAPHIER",IF(AP2572="A","ACCEPTÉ",IF(AP2572="NX","NX – RT À REFAIRE",IF(IF(AO2572=1,AD2572,IF(AO2572=2,AI2572,""))="A","RÉPARÉ – À RADIOGRAPHIER",IF(IF(AO2572=1,AD2572,IF(AO2572=2,AI2572,""))="R","VT REJETÉ – À REPRENDRE",IF(OR(AP2572="CO",AP2572="NT"),"COUPE – À RESOUDER","À RÉPARER"))))))))))</f>
        <v/>
      </c>
      <c r="AR2572" s="82" t="str">
        <f aca="false">IF(AND(ISNUMBER(U2572),OR(AQ2572="À RADIOGRAPHIER",AQ2572="RÉPARÉ – À RADIOGRAPHIER",AQ2572="NX – RT À REFAIRE",AQ2572="À RÉPARER",AQ2572="COUPE – À RESOUDER",AQ2572="VT REJETÉ – À REPRENDRE")),MAX(0,'PROGRAMME RT'!$C$4-U2572),"")</f>
        <v/>
      </c>
      <c r="AS2572" s="82" t="n">
        <f aca="false">IF(AND(OR(AQ2572="À RADIOGRAPHIER",AQ2572="RÉPARÉ – À RADIOGRAPHIER",AQ2572="NX – RT À REFAIRE"),OR('PROGRAMME RT'!$D$5="TOUTES",B2572='PROGRAMME RT'!$D$5)),1,0)</f>
        <v>0</v>
      </c>
      <c r="AT2572" s="82" t="str">
        <f aca="false">IF(AS2572=1,SUM(AS$7:AS2572),"")</f>
        <v/>
      </c>
      <c r="AU2572" s="82" t="n">
        <f aca="false">IF(AND(OR(AA2572="R",AA2572="NX",AA2572="NT",AA2572="CO"),OR('JOINTS DE RÉPARATION'!$D$5="TOUTES",B2572='JOINTS DE RÉPARATION'!$D$5),OR('JOINTS DE RÉPARATION'!$L$4="TOUS",AQ2572&lt;&gt;"ACCEPTÉ")),1,0)</f>
        <v>0</v>
      </c>
      <c r="AV2572" s="82" t="str">
        <f aca="false">IF(AU2572=1,SUM(AU$7:AU2572),"")</f>
        <v/>
      </c>
      <c r="AW2572" s="82" t="str">
        <f aca="false">IF(E2572="","",B2572&amp;"|"&amp;E2572)</f>
        <v/>
      </c>
    </row>
    <row r="2573" customFormat="false" ht="15" hidden="false" customHeight="false" outlineLevel="0" collapsed="false">
      <c r="A2573" s="79" t="str">
        <f aca="false">IF(E2573="","",ROW()-6)</f>
        <v/>
      </c>
      <c r="B2573" s="80"/>
      <c r="C2573" s="81"/>
      <c r="D2573" s="81"/>
      <c r="E2573" s="81"/>
      <c r="F2573" s="82" t="str">
        <f aca="false">IF(E2573="","",IF(LEFT(E2573,2)="DJ","DJ","JN"))</f>
        <v/>
      </c>
      <c r="G2573" s="81"/>
      <c r="H2573" s="81"/>
      <c r="I2573" s="81"/>
      <c r="J2573" s="81"/>
      <c r="K2573" s="81"/>
      <c r="L2573" s="81"/>
      <c r="M2573" s="81"/>
      <c r="N2573" s="81"/>
      <c r="O2573" s="81"/>
      <c r="P2573" s="81"/>
      <c r="Q2573" s="81"/>
      <c r="R2573" s="81"/>
      <c r="S2573" s="81"/>
      <c r="T2573" s="81"/>
      <c r="U2573" s="83"/>
      <c r="V2573" s="83"/>
      <c r="W2573" s="81"/>
      <c r="X2573" s="81"/>
      <c r="Y2573" s="83"/>
      <c r="Z2573" s="81"/>
      <c r="AA2573" s="81"/>
      <c r="AB2573" s="81"/>
      <c r="AC2573" s="81"/>
      <c r="AD2573" s="81"/>
      <c r="AE2573" s="83"/>
      <c r="AF2573" s="81"/>
      <c r="AG2573" s="81"/>
      <c r="AH2573" s="81"/>
      <c r="AI2573" s="81"/>
      <c r="AJ2573" s="83"/>
      <c r="AK2573" s="81"/>
      <c r="AL2573" s="81"/>
      <c r="AM2573" s="83"/>
      <c r="AN2573" s="80"/>
      <c r="AO2573" s="82" t="str">
        <f aca="false">IF(E2573="","",(AA2573&lt;&gt;"")+(AG2573&lt;&gt;"")+(AL2573&lt;&gt;""))</f>
        <v/>
      </c>
      <c r="AP2573" s="82" t="str">
        <f aca="false">IF(AL2573&lt;&gt;"",AL2573,IF(AG2573&lt;&gt;"",AG2573,IF(AA2573&lt;&gt;"",AA2573,"")))</f>
        <v/>
      </c>
      <c r="AQ2573" s="84" t="str">
        <f aca="false">IF(E2573="","",IF(U2573="","À SOUDER",IF(X2573="","VT EN ATTENTE",IF(X2573="R","VT REJETÉ – À REPRENDRE",IF(AP2573="","À RADIOGRAPHIER",IF(AP2573="A","ACCEPTÉ",IF(AP2573="NX","NX – RT À REFAIRE",IF(IF(AO2573=1,AD2573,IF(AO2573=2,AI2573,""))="A","RÉPARÉ – À RADIOGRAPHIER",IF(IF(AO2573=1,AD2573,IF(AO2573=2,AI2573,""))="R","VT REJETÉ – À REPRENDRE",IF(OR(AP2573="CO",AP2573="NT"),"COUPE – À RESOUDER","À RÉPARER"))))))))))</f>
        <v/>
      </c>
      <c r="AR2573" s="82" t="str">
        <f aca="false">IF(AND(ISNUMBER(U2573),OR(AQ2573="À RADIOGRAPHIER",AQ2573="RÉPARÉ – À RADIOGRAPHIER",AQ2573="NX – RT À REFAIRE",AQ2573="À RÉPARER",AQ2573="COUPE – À RESOUDER",AQ2573="VT REJETÉ – À REPRENDRE")),MAX(0,'PROGRAMME RT'!$C$4-U2573),"")</f>
        <v/>
      </c>
      <c r="AS2573" s="82" t="n">
        <f aca="false">IF(AND(OR(AQ2573="À RADIOGRAPHIER",AQ2573="RÉPARÉ – À RADIOGRAPHIER",AQ2573="NX – RT À REFAIRE"),OR('PROGRAMME RT'!$D$5="TOUTES",B2573='PROGRAMME RT'!$D$5)),1,0)</f>
        <v>0</v>
      </c>
      <c r="AT2573" s="82" t="str">
        <f aca="false">IF(AS2573=1,SUM(AS$7:AS2573),"")</f>
        <v/>
      </c>
      <c r="AU2573" s="82" t="n">
        <f aca="false">IF(AND(OR(AA2573="R",AA2573="NX",AA2573="NT",AA2573="CO"),OR('JOINTS DE RÉPARATION'!$D$5="TOUTES",B2573='JOINTS DE RÉPARATION'!$D$5),OR('JOINTS DE RÉPARATION'!$L$4="TOUS",AQ2573&lt;&gt;"ACCEPTÉ")),1,0)</f>
        <v>0</v>
      </c>
      <c r="AV2573" s="82" t="str">
        <f aca="false">IF(AU2573=1,SUM(AU$7:AU2573),"")</f>
        <v/>
      </c>
      <c r="AW2573" s="82" t="str">
        <f aca="false">IF(E2573="","",B2573&amp;"|"&amp;E2573)</f>
        <v/>
      </c>
    </row>
    <row r="2574" customFormat="false" ht="15" hidden="false" customHeight="false" outlineLevel="0" collapsed="false">
      <c r="A2574" s="79" t="str">
        <f aca="false">IF(E2574="","",ROW()-6)</f>
        <v/>
      </c>
      <c r="B2574" s="80"/>
      <c r="C2574" s="81"/>
      <c r="D2574" s="81"/>
      <c r="E2574" s="81"/>
      <c r="F2574" s="82" t="str">
        <f aca="false">IF(E2574="","",IF(LEFT(E2574,2)="DJ","DJ","JN"))</f>
        <v/>
      </c>
      <c r="G2574" s="81"/>
      <c r="H2574" s="81"/>
      <c r="I2574" s="81"/>
      <c r="J2574" s="81"/>
      <c r="K2574" s="81"/>
      <c r="L2574" s="81"/>
      <c r="M2574" s="81"/>
      <c r="N2574" s="81"/>
      <c r="O2574" s="81"/>
      <c r="P2574" s="81"/>
      <c r="Q2574" s="81"/>
      <c r="R2574" s="81"/>
      <c r="S2574" s="81"/>
      <c r="T2574" s="81"/>
      <c r="U2574" s="83"/>
      <c r="V2574" s="83"/>
      <c r="W2574" s="81"/>
      <c r="X2574" s="81"/>
      <c r="Y2574" s="83"/>
      <c r="Z2574" s="81"/>
      <c r="AA2574" s="81"/>
      <c r="AB2574" s="81"/>
      <c r="AC2574" s="81"/>
      <c r="AD2574" s="81"/>
      <c r="AE2574" s="83"/>
      <c r="AF2574" s="81"/>
      <c r="AG2574" s="81"/>
      <c r="AH2574" s="81"/>
      <c r="AI2574" s="81"/>
      <c r="AJ2574" s="83"/>
      <c r="AK2574" s="81"/>
      <c r="AL2574" s="81"/>
      <c r="AM2574" s="83"/>
      <c r="AN2574" s="80"/>
      <c r="AO2574" s="82" t="str">
        <f aca="false">IF(E2574="","",(AA2574&lt;&gt;"")+(AG2574&lt;&gt;"")+(AL2574&lt;&gt;""))</f>
        <v/>
      </c>
      <c r="AP2574" s="82" t="str">
        <f aca="false">IF(AL2574&lt;&gt;"",AL2574,IF(AG2574&lt;&gt;"",AG2574,IF(AA2574&lt;&gt;"",AA2574,"")))</f>
        <v/>
      </c>
      <c r="AQ2574" s="84" t="str">
        <f aca="false">IF(E2574="","",IF(U2574="","À SOUDER",IF(X2574="","VT EN ATTENTE",IF(X2574="R","VT REJETÉ – À REPRENDRE",IF(AP2574="","À RADIOGRAPHIER",IF(AP2574="A","ACCEPTÉ",IF(AP2574="NX","NX – RT À REFAIRE",IF(IF(AO2574=1,AD2574,IF(AO2574=2,AI2574,""))="A","RÉPARÉ – À RADIOGRAPHIER",IF(IF(AO2574=1,AD2574,IF(AO2574=2,AI2574,""))="R","VT REJETÉ – À REPRENDRE",IF(OR(AP2574="CO",AP2574="NT"),"COUPE – À RESOUDER","À RÉPARER"))))))))))</f>
        <v/>
      </c>
      <c r="AR2574" s="82" t="str">
        <f aca="false">IF(AND(ISNUMBER(U2574),OR(AQ2574="À RADIOGRAPHIER",AQ2574="RÉPARÉ – À RADIOGRAPHIER",AQ2574="NX – RT À REFAIRE",AQ2574="À RÉPARER",AQ2574="COUPE – À RESOUDER",AQ2574="VT REJETÉ – À REPRENDRE")),MAX(0,'PROGRAMME RT'!$C$4-U2574),"")</f>
        <v/>
      </c>
      <c r="AS2574" s="82" t="n">
        <f aca="false">IF(AND(OR(AQ2574="À RADIOGRAPHIER",AQ2574="RÉPARÉ – À RADIOGRAPHIER",AQ2574="NX – RT À REFAIRE"),OR('PROGRAMME RT'!$D$5="TOUTES",B2574='PROGRAMME RT'!$D$5)),1,0)</f>
        <v>0</v>
      </c>
      <c r="AT2574" s="82" t="str">
        <f aca="false">IF(AS2574=1,SUM(AS$7:AS2574),"")</f>
        <v/>
      </c>
      <c r="AU2574" s="82" t="n">
        <f aca="false">IF(AND(OR(AA2574="R",AA2574="NX",AA2574="NT",AA2574="CO"),OR('JOINTS DE RÉPARATION'!$D$5="TOUTES",B2574='JOINTS DE RÉPARATION'!$D$5),OR('JOINTS DE RÉPARATION'!$L$4="TOUS",AQ2574&lt;&gt;"ACCEPTÉ")),1,0)</f>
        <v>0</v>
      </c>
      <c r="AV2574" s="82" t="str">
        <f aca="false">IF(AU2574=1,SUM(AU$7:AU2574),"")</f>
        <v/>
      </c>
      <c r="AW2574" s="82" t="str">
        <f aca="false">IF(E2574="","",B2574&amp;"|"&amp;E2574)</f>
        <v/>
      </c>
    </row>
    <row r="2575" customFormat="false" ht="15" hidden="false" customHeight="false" outlineLevel="0" collapsed="false">
      <c r="A2575" s="79" t="str">
        <f aca="false">IF(E2575="","",ROW()-6)</f>
        <v/>
      </c>
      <c r="B2575" s="80"/>
      <c r="C2575" s="81"/>
      <c r="D2575" s="81"/>
      <c r="E2575" s="81"/>
      <c r="F2575" s="82" t="str">
        <f aca="false">IF(E2575="","",IF(LEFT(E2575,2)="DJ","DJ","JN"))</f>
        <v/>
      </c>
      <c r="G2575" s="81"/>
      <c r="H2575" s="81"/>
      <c r="I2575" s="81"/>
      <c r="J2575" s="81"/>
      <c r="K2575" s="81"/>
      <c r="L2575" s="81"/>
      <c r="M2575" s="81"/>
      <c r="N2575" s="81"/>
      <c r="O2575" s="81"/>
      <c r="P2575" s="81"/>
      <c r="Q2575" s="81"/>
      <c r="R2575" s="81"/>
      <c r="S2575" s="81"/>
      <c r="T2575" s="81"/>
      <c r="U2575" s="83"/>
      <c r="V2575" s="83"/>
      <c r="W2575" s="81"/>
      <c r="X2575" s="81"/>
      <c r="Y2575" s="83"/>
      <c r="Z2575" s="81"/>
      <c r="AA2575" s="81"/>
      <c r="AB2575" s="81"/>
      <c r="AC2575" s="81"/>
      <c r="AD2575" s="81"/>
      <c r="AE2575" s="83"/>
      <c r="AF2575" s="81"/>
      <c r="AG2575" s="81"/>
      <c r="AH2575" s="81"/>
      <c r="AI2575" s="81"/>
      <c r="AJ2575" s="83"/>
      <c r="AK2575" s="81"/>
      <c r="AL2575" s="81"/>
      <c r="AM2575" s="83"/>
      <c r="AN2575" s="80"/>
      <c r="AO2575" s="82" t="str">
        <f aca="false">IF(E2575="","",(AA2575&lt;&gt;"")+(AG2575&lt;&gt;"")+(AL2575&lt;&gt;""))</f>
        <v/>
      </c>
      <c r="AP2575" s="82" t="str">
        <f aca="false">IF(AL2575&lt;&gt;"",AL2575,IF(AG2575&lt;&gt;"",AG2575,IF(AA2575&lt;&gt;"",AA2575,"")))</f>
        <v/>
      </c>
      <c r="AQ2575" s="84" t="str">
        <f aca="false">IF(E2575="","",IF(U2575="","À SOUDER",IF(X2575="","VT EN ATTENTE",IF(X2575="R","VT REJETÉ – À REPRENDRE",IF(AP2575="","À RADIOGRAPHIER",IF(AP2575="A","ACCEPTÉ",IF(AP2575="NX","NX – RT À REFAIRE",IF(IF(AO2575=1,AD2575,IF(AO2575=2,AI2575,""))="A","RÉPARÉ – À RADIOGRAPHIER",IF(IF(AO2575=1,AD2575,IF(AO2575=2,AI2575,""))="R","VT REJETÉ – À REPRENDRE",IF(OR(AP2575="CO",AP2575="NT"),"COUPE – À RESOUDER","À RÉPARER"))))))))))</f>
        <v/>
      </c>
      <c r="AR2575" s="82" t="str">
        <f aca="false">IF(AND(ISNUMBER(U2575),OR(AQ2575="À RADIOGRAPHIER",AQ2575="RÉPARÉ – À RADIOGRAPHIER",AQ2575="NX – RT À REFAIRE",AQ2575="À RÉPARER",AQ2575="COUPE – À RESOUDER",AQ2575="VT REJETÉ – À REPRENDRE")),MAX(0,'PROGRAMME RT'!$C$4-U2575),"")</f>
        <v/>
      </c>
      <c r="AS2575" s="82" t="n">
        <f aca="false">IF(AND(OR(AQ2575="À RADIOGRAPHIER",AQ2575="RÉPARÉ – À RADIOGRAPHIER",AQ2575="NX – RT À REFAIRE"),OR('PROGRAMME RT'!$D$5="TOUTES",B2575='PROGRAMME RT'!$D$5)),1,0)</f>
        <v>0</v>
      </c>
      <c r="AT2575" s="82" t="str">
        <f aca="false">IF(AS2575=1,SUM(AS$7:AS2575),"")</f>
        <v/>
      </c>
      <c r="AU2575" s="82" t="n">
        <f aca="false">IF(AND(OR(AA2575="R",AA2575="NX",AA2575="NT",AA2575="CO"),OR('JOINTS DE RÉPARATION'!$D$5="TOUTES",B2575='JOINTS DE RÉPARATION'!$D$5),OR('JOINTS DE RÉPARATION'!$L$4="TOUS",AQ2575&lt;&gt;"ACCEPTÉ")),1,0)</f>
        <v>0</v>
      </c>
      <c r="AV2575" s="82" t="str">
        <f aca="false">IF(AU2575=1,SUM(AU$7:AU2575),"")</f>
        <v/>
      </c>
      <c r="AW2575" s="82" t="str">
        <f aca="false">IF(E2575="","",B2575&amp;"|"&amp;E2575)</f>
        <v/>
      </c>
    </row>
    <row r="2576" customFormat="false" ht="15" hidden="false" customHeight="false" outlineLevel="0" collapsed="false">
      <c r="A2576" s="79" t="str">
        <f aca="false">IF(E2576="","",ROW()-6)</f>
        <v/>
      </c>
      <c r="B2576" s="80"/>
      <c r="C2576" s="81"/>
      <c r="D2576" s="81"/>
      <c r="E2576" s="81"/>
      <c r="F2576" s="82" t="str">
        <f aca="false">IF(E2576="","",IF(LEFT(E2576,2)="DJ","DJ","JN"))</f>
        <v/>
      </c>
      <c r="G2576" s="81"/>
      <c r="H2576" s="81"/>
      <c r="I2576" s="81"/>
      <c r="J2576" s="81"/>
      <c r="K2576" s="81"/>
      <c r="L2576" s="81"/>
      <c r="M2576" s="81"/>
      <c r="N2576" s="81"/>
      <c r="O2576" s="81"/>
      <c r="P2576" s="81"/>
      <c r="Q2576" s="81"/>
      <c r="R2576" s="81"/>
      <c r="S2576" s="81"/>
      <c r="T2576" s="81"/>
      <c r="U2576" s="83"/>
      <c r="V2576" s="83"/>
      <c r="W2576" s="81"/>
      <c r="X2576" s="81"/>
      <c r="Y2576" s="83"/>
      <c r="Z2576" s="81"/>
      <c r="AA2576" s="81"/>
      <c r="AB2576" s="81"/>
      <c r="AC2576" s="81"/>
      <c r="AD2576" s="81"/>
      <c r="AE2576" s="83"/>
      <c r="AF2576" s="81"/>
      <c r="AG2576" s="81"/>
      <c r="AH2576" s="81"/>
      <c r="AI2576" s="81"/>
      <c r="AJ2576" s="83"/>
      <c r="AK2576" s="81"/>
      <c r="AL2576" s="81"/>
      <c r="AM2576" s="83"/>
      <c r="AN2576" s="80"/>
      <c r="AO2576" s="82" t="str">
        <f aca="false">IF(E2576="","",(AA2576&lt;&gt;"")+(AG2576&lt;&gt;"")+(AL2576&lt;&gt;""))</f>
        <v/>
      </c>
      <c r="AP2576" s="82" t="str">
        <f aca="false">IF(AL2576&lt;&gt;"",AL2576,IF(AG2576&lt;&gt;"",AG2576,IF(AA2576&lt;&gt;"",AA2576,"")))</f>
        <v/>
      </c>
      <c r="AQ2576" s="84" t="str">
        <f aca="false">IF(E2576="","",IF(U2576="","À SOUDER",IF(X2576="","VT EN ATTENTE",IF(X2576="R","VT REJETÉ – À REPRENDRE",IF(AP2576="","À RADIOGRAPHIER",IF(AP2576="A","ACCEPTÉ",IF(AP2576="NX","NX – RT À REFAIRE",IF(IF(AO2576=1,AD2576,IF(AO2576=2,AI2576,""))="A","RÉPARÉ – À RADIOGRAPHIER",IF(IF(AO2576=1,AD2576,IF(AO2576=2,AI2576,""))="R","VT REJETÉ – À REPRENDRE",IF(OR(AP2576="CO",AP2576="NT"),"COUPE – À RESOUDER","À RÉPARER"))))))))))</f>
        <v/>
      </c>
      <c r="AR2576" s="82" t="str">
        <f aca="false">IF(AND(ISNUMBER(U2576),OR(AQ2576="À RADIOGRAPHIER",AQ2576="RÉPARÉ – À RADIOGRAPHIER",AQ2576="NX – RT À REFAIRE",AQ2576="À RÉPARER",AQ2576="COUPE – À RESOUDER",AQ2576="VT REJETÉ – À REPRENDRE")),MAX(0,'PROGRAMME RT'!$C$4-U2576),"")</f>
        <v/>
      </c>
      <c r="AS2576" s="82" t="n">
        <f aca="false">IF(AND(OR(AQ2576="À RADIOGRAPHIER",AQ2576="RÉPARÉ – À RADIOGRAPHIER",AQ2576="NX – RT À REFAIRE"),OR('PROGRAMME RT'!$D$5="TOUTES",B2576='PROGRAMME RT'!$D$5)),1,0)</f>
        <v>0</v>
      </c>
      <c r="AT2576" s="82" t="str">
        <f aca="false">IF(AS2576=1,SUM(AS$7:AS2576),"")</f>
        <v/>
      </c>
      <c r="AU2576" s="82" t="n">
        <f aca="false">IF(AND(OR(AA2576="R",AA2576="NX",AA2576="NT",AA2576="CO"),OR('JOINTS DE RÉPARATION'!$D$5="TOUTES",B2576='JOINTS DE RÉPARATION'!$D$5),OR('JOINTS DE RÉPARATION'!$L$4="TOUS",AQ2576&lt;&gt;"ACCEPTÉ")),1,0)</f>
        <v>0</v>
      </c>
      <c r="AV2576" s="82" t="str">
        <f aca="false">IF(AU2576=1,SUM(AU$7:AU2576),"")</f>
        <v/>
      </c>
      <c r="AW2576" s="82" t="str">
        <f aca="false">IF(E2576="","",B2576&amp;"|"&amp;E2576)</f>
        <v/>
      </c>
    </row>
    <row r="2577" customFormat="false" ht="15" hidden="false" customHeight="false" outlineLevel="0" collapsed="false">
      <c r="A2577" s="79" t="str">
        <f aca="false">IF(E2577="","",ROW()-6)</f>
        <v/>
      </c>
      <c r="B2577" s="80"/>
      <c r="C2577" s="81"/>
      <c r="D2577" s="81"/>
      <c r="E2577" s="81"/>
      <c r="F2577" s="82" t="str">
        <f aca="false">IF(E2577="","",IF(LEFT(E2577,2)="DJ","DJ","JN"))</f>
        <v/>
      </c>
      <c r="G2577" s="81"/>
      <c r="H2577" s="81"/>
      <c r="I2577" s="81"/>
      <c r="J2577" s="81"/>
      <c r="K2577" s="81"/>
      <c r="L2577" s="81"/>
      <c r="M2577" s="81"/>
      <c r="N2577" s="81"/>
      <c r="O2577" s="81"/>
      <c r="P2577" s="81"/>
      <c r="Q2577" s="81"/>
      <c r="R2577" s="81"/>
      <c r="S2577" s="81"/>
      <c r="T2577" s="81"/>
      <c r="U2577" s="83"/>
      <c r="V2577" s="83"/>
      <c r="W2577" s="81"/>
      <c r="X2577" s="81"/>
      <c r="Y2577" s="83"/>
      <c r="Z2577" s="81"/>
      <c r="AA2577" s="81"/>
      <c r="AB2577" s="81"/>
      <c r="AC2577" s="81"/>
      <c r="AD2577" s="81"/>
      <c r="AE2577" s="83"/>
      <c r="AF2577" s="81"/>
      <c r="AG2577" s="81"/>
      <c r="AH2577" s="81"/>
      <c r="AI2577" s="81"/>
      <c r="AJ2577" s="83"/>
      <c r="AK2577" s="81"/>
      <c r="AL2577" s="81"/>
      <c r="AM2577" s="83"/>
      <c r="AN2577" s="80"/>
      <c r="AO2577" s="82" t="str">
        <f aca="false">IF(E2577="","",(AA2577&lt;&gt;"")+(AG2577&lt;&gt;"")+(AL2577&lt;&gt;""))</f>
        <v/>
      </c>
      <c r="AP2577" s="82" t="str">
        <f aca="false">IF(AL2577&lt;&gt;"",AL2577,IF(AG2577&lt;&gt;"",AG2577,IF(AA2577&lt;&gt;"",AA2577,"")))</f>
        <v/>
      </c>
      <c r="AQ2577" s="84" t="str">
        <f aca="false">IF(E2577="","",IF(U2577="","À SOUDER",IF(X2577="","VT EN ATTENTE",IF(X2577="R","VT REJETÉ – À REPRENDRE",IF(AP2577="","À RADIOGRAPHIER",IF(AP2577="A","ACCEPTÉ",IF(AP2577="NX","NX – RT À REFAIRE",IF(IF(AO2577=1,AD2577,IF(AO2577=2,AI2577,""))="A","RÉPARÉ – À RADIOGRAPHIER",IF(IF(AO2577=1,AD2577,IF(AO2577=2,AI2577,""))="R","VT REJETÉ – À REPRENDRE",IF(OR(AP2577="CO",AP2577="NT"),"COUPE – À RESOUDER","À RÉPARER"))))))))))</f>
        <v/>
      </c>
      <c r="AR2577" s="82" t="str">
        <f aca="false">IF(AND(ISNUMBER(U2577),OR(AQ2577="À RADIOGRAPHIER",AQ2577="RÉPARÉ – À RADIOGRAPHIER",AQ2577="NX – RT À REFAIRE",AQ2577="À RÉPARER",AQ2577="COUPE – À RESOUDER",AQ2577="VT REJETÉ – À REPRENDRE")),MAX(0,'PROGRAMME RT'!$C$4-U2577),"")</f>
        <v/>
      </c>
      <c r="AS2577" s="82" t="n">
        <f aca="false">IF(AND(OR(AQ2577="À RADIOGRAPHIER",AQ2577="RÉPARÉ – À RADIOGRAPHIER",AQ2577="NX – RT À REFAIRE"),OR('PROGRAMME RT'!$D$5="TOUTES",B2577='PROGRAMME RT'!$D$5)),1,0)</f>
        <v>0</v>
      </c>
      <c r="AT2577" s="82" t="str">
        <f aca="false">IF(AS2577=1,SUM(AS$7:AS2577),"")</f>
        <v/>
      </c>
      <c r="AU2577" s="82" t="n">
        <f aca="false">IF(AND(OR(AA2577="R",AA2577="NX",AA2577="NT",AA2577="CO"),OR('JOINTS DE RÉPARATION'!$D$5="TOUTES",B2577='JOINTS DE RÉPARATION'!$D$5),OR('JOINTS DE RÉPARATION'!$L$4="TOUS",AQ2577&lt;&gt;"ACCEPTÉ")),1,0)</f>
        <v>0</v>
      </c>
      <c r="AV2577" s="82" t="str">
        <f aca="false">IF(AU2577=1,SUM(AU$7:AU2577),"")</f>
        <v/>
      </c>
      <c r="AW2577" s="82" t="str">
        <f aca="false">IF(E2577="","",B2577&amp;"|"&amp;E2577)</f>
        <v/>
      </c>
    </row>
    <row r="2578" customFormat="false" ht="15" hidden="false" customHeight="false" outlineLevel="0" collapsed="false">
      <c r="A2578" s="79" t="str">
        <f aca="false">IF(E2578="","",ROW()-6)</f>
        <v/>
      </c>
      <c r="B2578" s="80"/>
      <c r="C2578" s="81"/>
      <c r="D2578" s="81"/>
      <c r="E2578" s="81"/>
      <c r="F2578" s="82" t="str">
        <f aca="false">IF(E2578="","",IF(LEFT(E2578,2)="DJ","DJ","JN"))</f>
        <v/>
      </c>
      <c r="G2578" s="81"/>
      <c r="H2578" s="81"/>
      <c r="I2578" s="81"/>
      <c r="J2578" s="81"/>
      <c r="K2578" s="81"/>
      <c r="L2578" s="81"/>
      <c r="M2578" s="81"/>
      <c r="N2578" s="81"/>
      <c r="O2578" s="81"/>
      <c r="P2578" s="81"/>
      <c r="Q2578" s="81"/>
      <c r="R2578" s="81"/>
      <c r="S2578" s="81"/>
      <c r="T2578" s="81"/>
      <c r="U2578" s="83"/>
      <c r="V2578" s="83"/>
      <c r="W2578" s="81"/>
      <c r="X2578" s="81"/>
      <c r="Y2578" s="83"/>
      <c r="Z2578" s="81"/>
      <c r="AA2578" s="81"/>
      <c r="AB2578" s="81"/>
      <c r="AC2578" s="81"/>
      <c r="AD2578" s="81"/>
      <c r="AE2578" s="83"/>
      <c r="AF2578" s="81"/>
      <c r="AG2578" s="81"/>
      <c r="AH2578" s="81"/>
      <c r="AI2578" s="81"/>
      <c r="AJ2578" s="83"/>
      <c r="AK2578" s="81"/>
      <c r="AL2578" s="81"/>
      <c r="AM2578" s="83"/>
      <c r="AN2578" s="80"/>
      <c r="AO2578" s="82" t="str">
        <f aca="false">IF(E2578="","",(AA2578&lt;&gt;"")+(AG2578&lt;&gt;"")+(AL2578&lt;&gt;""))</f>
        <v/>
      </c>
      <c r="AP2578" s="82" t="str">
        <f aca="false">IF(AL2578&lt;&gt;"",AL2578,IF(AG2578&lt;&gt;"",AG2578,IF(AA2578&lt;&gt;"",AA2578,"")))</f>
        <v/>
      </c>
      <c r="AQ2578" s="84" t="str">
        <f aca="false">IF(E2578="","",IF(U2578="","À SOUDER",IF(X2578="","VT EN ATTENTE",IF(X2578="R","VT REJETÉ – À REPRENDRE",IF(AP2578="","À RADIOGRAPHIER",IF(AP2578="A","ACCEPTÉ",IF(AP2578="NX","NX – RT À REFAIRE",IF(IF(AO2578=1,AD2578,IF(AO2578=2,AI2578,""))="A","RÉPARÉ – À RADIOGRAPHIER",IF(IF(AO2578=1,AD2578,IF(AO2578=2,AI2578,""))="R","VT REJETÉ – À REPRENDRE",IF(OR(AP2578="CO",AP2578="NT"),"COUPE – À RESOUDER","À RÉPARER"))))))))))</f>
        <v/>
      </c>
      <c r="AR2578" s="82" t="str">
        <f aca="false">IF(AND(ISNUMBER(U2578),OR(AQ2578="À RADIOGRAPHIER",AQ2578="RÉPARÉ – À RADIOGRAPHIER",AQ2578="NX – RT À REFAIRE",AQ2578="À RÉPARER",AQ2578="COUPE – À RESOUDER",AQ2578="VT REJETÉ – À REPRENDRE")),MAX(0,'PROGRAMME RT'!$C$4-U2578),"")</f>
        <v/>
      </c>
      <c r="AS2578" s="82" t="n">
        <f aca="false">IF(AND(OR(AQ2578="À RADIOGRAPHIER",AQ2578="RÉPARÉ – À RADIOGRAPHIER",AQ2578="NX – RT À REFAIRE"),OR('PROGRAMME RT'!$D$5="TOUTES",B2578='PROGRAMME RT'!$D$5)),1,0)</f>
        <v>0</v>
      </c>
      <c r="AT2578" s="82" t="str">
        <f aca="false">IF(AS2578=1,SUM(AS$7:AS2578),"")</f>
        <v/>
      </c>
      <c r="AU2578" s="82" t="n">
        <f aca="false">IF(AND(OR(AA2578="R",AA2578="NX",AA2578="NT",AA2578="CO"),OR('JOINTS DE RÉPARATION'!$D$5="TOUTES",B2578='JOINTS DE RÉPARATION'!$D$5),OR('JOINTS DE RÉPARATION'!$L$4="TOUS",AQ2578&lt;&gt;"ACCEPTÉ")),1,0)</f>
        <v>0</v>
      </c>
      <c r="AV2578" s="82" t="str">
        <f aca="false">IF(AU2578=1,SUM(AU$7:AU2578),"")</f>
        <v/>
      </c>
      <c r="AW2578" s="82" t="str">
        <f aca="false">IF(E2578="","",B2578&amp;"|"&amp;E2578)</f>
        <v/>
      </c>
    </row>
    <row r="2579" customFormat="false" ht="15" hidden="false" customHeight="false" outlineLevel="0" collapsed="false">
      <c r="A2579" s="79" t="str">
        <f aca="false">IF(E2579="","",ROW()-6)</f>
        <v/>
      </c>
      <c r="B2579" s="80"/>
      <c r="C2579" s="81"/>
      <c r="D2579" s="81"/>
      <c r="E2579" s="81"/>
      <c r="F2579" s="82" t="str">
        <f aca="false">IF(E2579="","",IF(LEFT(E2579,2)="DJ","DJ","JN"))</f>
        <v/>
      </c>
      <c r="G2579" s="81"/>
      <c r="H2579" s="81"/>
      <c r="I2579" s="81"/>
      <c r="J2579" s="81"/>
      <c r="K2579" s="81"/>
      <c r="L2579" s="81"/>
      <c r="M2579" s="81"/>
      <c r="N2579" s="81"/>
      <c r="O2579" s="81"/>
      <c r="P2579" s="81"/>
      <c r="Q2579" s="81"/>
      <c r="R2579" s="81"/>
      <c r="S2579" s="81"/>
      <c r="T2579" s="81"/>
      <c r="U2579" s="83"/>
      <c r="V2579" s="83"/>
      <c r="W2579" s="81"/>
      <c r="X2579" s="81"/>
      <c r="Y2579" s="83"/>
      <c r="Z2579" s="81"/>
      <c r="AA2579" s="81"/>
      <c r="AB2579" s="81"/>
      <c r="AC2579" s="81"/>
      <c r="AD2579" s="81"/>
      <c r="AE2579" s="83"/>
      <c r="AF2579" s="81"/>
      <c r="AG2579" s="81"/>
      <c r="AH2579" s="81"/>
      <c r="AI2579" s="81"/>
      <c r="AJ2579" s="83"/>
      <c r="AK2579" s="81"/>
      <c r="AL2579" s="81"/>
      <c r="AM2579" s="83"/>
      <c r="AN2579" s="80"/>
      <c r="AO2579" s="82" t="str">
        <f aca="false">IF(E2579="","",(AA2579&lt;&gt;"")+(AG2579&lt;&gt;"")+(AL2579&lt;&gt;""))</f>
        <v/>
      </c>
      <c r="AP2579" s="82" t="str">
        <f aca="false">IF(AL2579&lt;&gt;"",AL2579,IF(AG2579&lt;&gt;"",AG2579,IF(AA2579&lt;&gt;"",AA2579,"")))</f>
        <v/>
      </c>
      <c r="AQ2579" s="84" t="str">
        <f aca="false">IF(E2579="","",IF(U2579="","À SOUDER",IF(X2579="","VT EN ATTENTE",IF(X2579="R","VT REJETÉ – À REPRENDRE",IF(AP2579="","À RADIOGRAPHIER",IF(AP2579="A","ACCEPTÉ",IF(AP2579="NX","NX – RT À REFAIRE",IF(IF(AO2579=1,AD2579,IF(AO2579=2,AI2579,""))="A","RÉPARÉ – À RADIOGRAPHIER",IF(IF(AO2579=1,AD2579,IF(AO2579=2,AI2579,""))="R","VT REJETÉ – À REPRENDRE",IF(OR(AP2579="CO",AP2579="NT"),"COUPE – À RESOUDER","À RÉPARER"))))))))))</f>
        <v/>
      </c>
      <c r="AR2579" s="82" t="str">
        <f aca="false">IF(AND(ISNUMBER(U2579),OR(AQ2579="À RADIOGRAPHIER",AQ2579="RÉPARÉ – À RADIOGRAPHIER",AQ2579="NX – RT À REFAIRE",AQ2579="À RÉPARER",AQ2579="COUPE – À RESOUDER",AQ2579="VT REJETÉ – À REPRENDRE")),MAX(0,'PROGRAMME RT'!$C$4-U2579),"")</f>
        <v/>
      </c>
      <c r="AS2579" s="82" t="n">
        <f aca="false">IF(AND(OR(AQ2579="À RADIOGRAPHIER",AQ2579="RÉPARÉ – À RADIOGRAPHIER",AQ2579="NX – RT À REFAIRE"),OR('PROGRAMME RT'!$D$5="TOUTES",B2579='PROGRAMME RT'!$D$5)),1,0)</f>
        <v>0</v>
      </c>
      <c r="AT2579" s="82" t="str">
        <f aca="false">IF(AS2579=1,SUM(AS$7:AS2579),"")</f>
        <v/>
      </c>
      <c r="AU2579" s="82" t="n">
        <f aca="false">IF(AND(OR(AA2579="R",AA2579="NX",AA2579="NT",AA2579="CO"),OR('JOINTS DE RÉPARATION'!$D$5="TOUTES",B2579='JOINTS DE RÉPARATION'!$D$5),OR('JOINTS DE RÉPARATION'!$L$4="TOUS",AQ2579&lt;&gt;"ACCEPTÉ")),1,0)</f>
        <v>0</v>
      </c>
      <c r="AV2579" s="82" t="str">
        <f aca="false">IF(AU2579=1,SUM(AU$7:AU2579),"")</f>
        <v/>
      </c>
      <c r="AW2579" s="82" t="str">
        <f aca="false">IF(E2579="","",B2579&amp;"|"&amp;E2579)</f>
        <v/>
      </c>
    </row>
    <row r="2580" customFormat="false" ht="15" hidden="false" customHeight="false" outlineLevel="0" collapsed="false">
      <c r="A2580" s="79" t="str">
        <f aca="false">IF(E2580="","",ROW()-6)</f>
        <v/>
      </c>
      <c r="B2580" s="80"/>
      <c r="C2580" s="81"/>
      <c r="D2580" s="81"/>
      <c r="E2580" s="81"/>
      <c r="F2580" s="82" t="str">
        <f aca="false">IF(E2580="","",IF(LEFT(E2580,2)="DJ","DJ","JN"))</f>
        <v/>
      </c>
      <c r="G2580" s="81"/>
      <c r="H2580" s="81"/>
      <c r="I2580" s="81"/>
      <c r="J2580" s="81"/>
      <c r="K2580" s="81"/>
      <c r="L2580" s="81"/>
      <c r="M2580" s="81"/>
      <c r="N2580" s="81"/>
      <c r="O2580" s="81"/>
      <c r="P2580" s="81"/>
      <c r="Q2580" s="81"/>
      <c r="R2580" s="81"/>
      <c r="S2580" s="81"/>
      <c r="T2580" s="81"/>
      <c r="U2580" s="83"/>
      <c r="V2580" s="83"/>
      <c r="W2580" s="81"/>
      <c r="X2580" s="81"/>
      <c r="Y2580" s="83"/>
      <c r="Z2580" s="81"/>
      <c r="AA2580" s="81"/>
      <c r="AB2580" s="81"/>
      <c r="AC2580" s="81"/>
      <c r="AD2580" s="81"/>
      <c r="AE2580" s="83"/>
      <c r="AF2580" s="81"/>
      <c r="AG2580" s="81"/>
      <c r="AH2580" s="81"/>
      <c r="AI2580" s="81"/>
      <c r="AJ2580" s="83"/>
      <c r="AK2580" s="81"/>
      <c r="AL2580" s="81"/>
      <c r="AM2580" s="83"/>
      <c r="AN2580" s="80"/>
      <c r="AO2580" s="82" t="str">
        <f aca="false">IF(E2580="","",(AA2580&lt;&gt;"")+(AG2580&lt;&gt;"")+(AL2580&lt;&gt;""))</f>
        <v/>
      </c>
      <c r="AP2580" s="82" t="str">
        <f aca="false">IF(AL2580&lt;&gt;"",AL2580,IF(AG2580&lt;&gt;"",AG2580,IF(AA2580&lt;&gt;"",AA2580,"")))</f>
        <v/>
      </c>
      <c r="AQ2580" s="84" t="str">
        <f aca="false">IF(E2580="","",IF(U2580="","À SOUDER",IF(X2580="","VT EN ATTENTE",IF(X2580="R","VT REJETÉ – À REPRENDRE",IF(AP2580="","À RADIOGRAPHIER",IF(AP2580="A","ACCEPTÉ",IF(AP2580="NX","NX – RT À REFAIRE",IF(IF(AO2580=1,AD2580,IF(AO2580=2,AI2580,""))="A","RÉPARÉ – À RADIOGRAPHIER",IF(IF(AO2580=1,AD2580,IF(AO2580=2,AI2580,""))="R","VT REJETÉ – À REPRENDRE",IF(OR(AP2580="CO",AP2580="NT"),"COUPE – À RESOUDER","À RÉPARER"))))))))))</f>
        <v/>
      </c>
      <c r="AR2580" s="82" t="str">
        <f aca="false">IF(AND(ISNUMBER(U2580),OR(AQ2580="À RADIOGRAPHIER",AQ2580="RÉPARÉ – À RADIOGRAPHIER",AQ2580="NX – RT À REFAIRE",AQ2580="À RÉPARER",AQ2580="COUPE – À RESOUDER",AQ2580="VT REJETÉ – À REPRENDRE")),MAX(0,'PROGRAMME RT'!$C$4-U2580),"")</f>
        <v/>
      </c>
      <c r="AS2580" s="82" t="n">
        <f aca="false">IF(AND(OR(AQ2580="À RADIOGRAPHIER",AQ2580="RÉPARÉ – À RADIOGRAPHIER",AQ2580="NX – RT À REFAIRE"),OR('PROGRAMME RT'!$D$5="TOUTES",B2580='PROGRAMME RT'!$D$5)),1,0)</f>
        <v>0</v>
      </c>
      <c r="AT2580" s="82" t="str">
        <f aca="false">IF(AS2580=1,SUM(AS$7:AS2580),"")</f>
        <v/>
      </c>
      <c r="AU2580" s="82" t="n">
        <f aca="false">IF(AND(OR(AA2580="R",AA2580="NX",AA2580="NT",AA2580="CO"),OR('JOINTS DE RÉPARATION'!$D$5="TOUTES",B2580='JOINTS DE RÉPARATION'!$D$5),OR('JOINTS DE RÉPARATION'!$L$4="TOUS",AQ2580&lt;&gt;"ACCEPTÉ")),1,0)</f>
        <v>0</v>
      </c>
      <c r="AV2580" s="82" t="str">
        <f aca="false">IF(AU2580=1,SUM(AU$7:AU2580),"")</f>
        <v/>
      </c>
      <c r="AW2580" s="82" t="str">
        <f aca="false">IF(E2580="","",B2580&amp;"|"&amp;E2580)</f>
        <v/>
      </c>
    </row>
    <row r="2581" customFormat="false" ht="15" hidden="false" customHeight="false" outlineLevel="0" collapsed="false">
      <c r="A2581" s="79" t="str">
        <f aca="false">IF(E2581="","",ROW()-6)</f>
        <v/>
      </c>
      <c r="B2581" s="80"/>
      <c r="C2581" s="81"/>
      <c r="D2581" s="81"/>
      <c r="E2581" s="81"/>
      <c r="F2581" s="82" t="str">
        <f aca="false">IF(E2581="","",IF(LEFT(E2581,2)="DJ","DJ","JN"))</f>
        <v/>
      </c>
      <c r="G2581" s="81"/>
      <c r="H2581" s="81"/>
      <c r="I2581" s="81"/>
      <c r="J2581" s="81"/>
      <c r="K2581" s="81"/>
      <c r="L2581" s="81"/>
      <c r="M2581" s="81"/>
      <c r="N2581" s="81"/>
      <c r="O2581" s="81"/>
      <c r="P2581" s="81"/>
      <c r="Q2581" s="81"/>
      <c r="R2581" s="81"/>
      <c r="S2581" s="81"/>
      <c r="T2581" s="81"/>
      <c r="U2581" s="83"/>
      <c r="V2581" s="83"/>
      <c r="W2581" s="81"/>
      <c r="X2581" s="81"/>
      <c r="Y2581" s="83"/>
      <c r="Z2581" s="81"/>
      <c r="AA2581" s="81"/>
      <c r="AB2581" s="81"/>
      <c r="AC2581" s="81"/>
      <c r="AD2581" s="81"/>
      <c r="AE2581" s="83"/>
      <c r="AF2581" s="81"/>
      <c r="AG2581" s="81"/>
      <c r="AH2581" s="81"/>
      <c r="AI2581" s="81"/>
      <c r="AJ2581" s="83"/>
      <c r="AK2581" s="81"/>
      <c r="AL2581" s="81"/>
      <c r="AM2581" s="83"/>
      <c r="AN2581" s="80"/>
      <c r="AO2581" s="82" t="str">
        <f aca="false">IF(E2581="","",(AA2581&lt;&gt;"")+(AG2581&lt;&gt;"")+(AL2581&lt;&gt;""))</f>
        <v/>
      </c>
      <c r="AP2581" s="82" t="str">
        <f aca="false">IF(AL2581&lt;&gt;"",AL2581,IF(AG2581&lt;&gt;"",AG2581,IF(AA2581&lt;&gt;"",AA2581,"")))</f>
        <v/>
      </c>
      <c r="AQ2581" s="84" t="str">
        <f aca="false">IF(E2581="","",IF(U2581="","À SOUDER",IF(X2581="","VT EN ATTENTE",IF(X2581="R","VT REJETÉ – À REPRENDRE",IF(AP2581="","À RADIOGRAPHIER",IF(AP2581="A","ACCEPTÉ",IF(AP2581="NX","NX – RT À REFAIRE",IF(IF(AO2581=1,AD2581,IF(AO2581=2,AI2581,""))="A","RÉPARÉ – À RADIOGRAPHIER",IF(IF(AO2581=1,AD2581,IF(AO2581=2,AI2581,""))="R","VT REJETÉ – À REPRENDRE",IF(OR(AP2581="CO",AP2581="NT"),"COUPE – À RESOUDER","À RÉPARER"))))))))))</f>
        <v/>
      </c>
      <c r="AR2581" s="82" t="str">
        <f aca="false">IF(AND(ISNUMBER(U2581),OR(AQ2581="À RADIOGRAPHIER",AQ2581="RÉPARÉ – À RADIOGRAPHIER",AQ2581="NX – RT À REFAIRE",AQ2581="À RÉPARER",AQ2581="COUPE – À RESOUDER",AQ2581="VT REJETÉ – À REPRENDRE")),MAX(0,'PROGRAMME RT'!$C$4-U2581),"")</f>
        <v/>
      </c>
      <c r="AS2581" s="82" t="n">
        <f aca="false">IF(AND(OR(AQ2581="À RADIOGRAPHIER",AQ2581="RÉPARÉ – À RADIOGRAPHIER",AQ2581="NX – RT À REFAIRE"),OR('PROGRAMME RT'!$D$5="TOUTES",B2581='PROGRAMME RT'!$D$5)),1,0)</f>
        <v>0</v>
      </c>
      <c r="AT2581" s="82" t="str">
        <f aca="false">IF(AS2581=1,SUM(AS$7:AS2581),"")</f>
        <v/>
      </c>
      <c r="AU2581" s="82" t="n">
        <f aca="false">IF(AND(OR(AA2581="R",AA2581="NX",AA2581="NT",AA2581="CO"),OR('JOINTS DE RÉPARATION'!$D$5="TOUTES",B2581='JOINTS DE RÉPARATION'!$D$5),OR('JOINTS DE RÉPARATION'!$L$4="TOUS",AQ2581&lt;&gt;"ACCEPTÉ")),1,0)</f>
        <v>0</v>
      </c>
      <c r="AV2581" s="82" t="str">
        <f aca="false">IF(AU2581=1,SUM(AU$7:AU2581),"")</f>
        <v/>
      </c>
      <c r="AW2581" s="82" t="str">
        <f aca="false">IF(E2581="","",B2581&amp;"|"&amp;E2581)</f>
        <v/>
      </c>
    </row>
    <row r="2582" customFormat="false" ht="15" hidden="false" customHeight="false" outlineLevel="0" collapsed="false">
      <c r="A2582" s="79" t="str">
        <f aca="false">IF(E2582="","",ROW()-6)</f>
        <v/>
      </c>
      <c r="B2582" s="80"/>
      <c r="C2582" s="81"/>
      <c r="D2582" s="81"/>
      <c r="E2582" s="81"/>
      <c r="F2582" s="82" t="str">
        <f aca="false">IF(E2582="","",IF(LEFT(E2582,2)="DJ","DJ","JN"))</f>
        <v/>
      </c>
      <c r="G2582" s="81"/>
      <c r="H2582" s="81"/>
      <c r="I2582" s="81"/>
      <c r="J2582" s="81"/>
      <c r="K2582" s="81"/>
      <c r="L2582" s="81"/>
      <c r="M2582" s="81"/>
      <c r="N2582" s="81"/>
      <c r="O2582" s="81"/>
      <c r="P2582" s="81"/>
      <c r="Q2582" s="81"/>
      <c r="R2582" s="81"/>
      <c r="S2582" s="81"/>
      <c r="T2582" s="81"/>
      <c r="U2582" s="83"/>
      <c r="V2582" s="83"/>
      <c r="W2582" s="81"/>
      <c r="X2582" s="81"/>
      <c r="Y2582" s="83"/>
      <c r="Z2582" s="81"/>
      <c r="AA2582" s="81"/>
      <c r="AB2582" s="81"/>
      <c r="AC2582" s="81"/>
      <c r="AD2582" s="81"/>
      <c r="AE2582" s="83"/>
      <c r="AF2582" s="81"/>
      <c r="AG2582" s="81"/>
      <c r="AH2582" s="81"/>
      <c r="AI2582" s="81"/>
      <c r="AJ2582" s="83"/>
      <c r="AK2582" s="81"/>
      <c r="AL2582" s="81"/>
      <c r="AM2582" s="83"/>
      <c r="AN2582" s="80"/>
      <c r="AO2582" s="82" t="str">
        <f aca="false">IF(E2582="","",(AA2582&lt;&gt;"")+(AG2582&lt;&gt;"")+(AL2582&lt;&gt;""))</f>
        <v/>
      </c>
      <c r="AP2582" s="82" t="str">
        <f aca="false">IF(AL2582&lt;&gt;"",AL2582,IF(AG2582&lt;&gt;"",AG2582,IF(AA2582&lt;&gt;"",AA2582,"")))</f>
        <v/>
      </c>
      <c r="AQ2582" s="84" t="str">
        <f aca="false">IF(E2582="","",IF(U2582="","À SOUDER",IF(X2582="","VT EN ATTENTE",IF(X2582="R","VT REJETÉ – À REPRENDRE",IF(AP2582="","À RADIOGRAPHIER",IF(AP2582="A","ACCEPTÉ",IF(AP2582="NX","NX – RT À REFAIRE",IF(IF(AO2582=1,AD2582,IF(AO2582=2,AI2582,""))="A","RÉPARÉ – À RADIOGRAPHIER",IF(IF(AO2582=1,AD2582,IF(AO2582=2,AI2582,""))="R","VT REJETÉ – À REPRENDRE",IF(OR(AP2582="CO",AP2582="NT"),"COUPE – À RESOUDER","À RÉPARER"))))))))))</f>
        <v/>
      </c>
      <c r="AR2582" s="82" t="str">
        <f aca="false">IF(AND(ISNUMBER(U2582),OR(AQ2582="À RADIOGRAPHIER",AQ2582="RÉPARÉ – À RADIOGRAPHIER",AQ2582="NX – RT À REFAIRE",AQ2582="À RÉPARER",AQ2582="COUPE – À RESOUDER",AQ2582="VT REJETÉ – À REPRENDRE")),MAX(0,'PROGRAMME RT'!$C$4-U2582),"")</f>
        <v/>
      </c>
      <c r="AS2582" s="82" t="n">
        <f aca="false">IF(AND(OR(AQ2582="À RADIOGRAPHIER",AQ2582="RÉPARÉ – À RADIOGRAPHIER",AQ2582="NX – RT À REFAIRE"),OR('PROGRAMME RT'!$D$5="TOUTES",B2582='PROGRAMME RT'!$D$5)),1,0)</f>
        <v>0</v>
      </c>
      <c r="AT2582" s="82" t="str">
        <f aca="false">IF(AS2582=1,SUM(AS$7:AS2582),"")</f>
        <v/>
      </c>
      <c r="AU2582" s="82" t="n">
        <f aca="false">IF(AND(OR(AA2582="R",AA2582="NX",AA2582="NT",AA2582="CO"),OR('JOINTS DE RÉPARATION'!$D$5="TOUTES",B2582='JOINTS DE RÉPARATION'!$D$5),OR('JOINTS DE RÉPARATION'!$L$4="TOUS",AQ2582&lt;&gt;"ACCEPTÉ")),1,0)</f>
        <v>0</v>
      </c>
      <c r="AV2582" s="82" t="str">
        <f aca="false">IF(AU2582=1,SUM(AU$7:AU2582),"")</f>
        <v/>
      </c>
      <c r="AW2582" s="82" t="str">
        <f aca="false">IF(E2582="","",B2582&amp;"|"&amp;E2582)</f>
        <v/>
      </c>
    </row>
    <row r="2583" customFormat="false" ht="15" hidden="false" customHeight="false" outlineLevel="0" collapsed="false">
      <c r="A2583" s="79" t="str">
        <f aca="false">IF(E2583="","",ROW()-6)</f>
        <v/>
      </c>
      <c r="B2583" s="80"/>
      <c r="C2583" s="81"/>
      <c r="D2583" s="81"/>
      <c r="E2583" s="81"/>
      <c r="F2583" s="82" t="str">
        <f aca="false">IF(E2583="","",IF(LEFT(E2583,2)="DJ","DJ","JN"))</f>
        <v/>
      </c>
      <c r="G2583" s="81"/>
      <c r="H2583" s="81"/>
      <c r="I2583" s="81"/>
      <c r="J2583" s="81"/>
      <c r="K2583" s="81"/>
      <c r="L2583" s="81"/>
      <c r="M2583" s="81"/>
      <c r="N2583" s="81"/>
      <c r="O2583" s="81"/>
      <c r="P2583" s="81"/>
      <c r="Q2583" s="81"/>
      <c r="R2583" s="81"/>
      <c r="S2583" s="81"/>
      <c r="T2583" s="81"/>
      <c r="U2583" s="83"/>
      <c r="V2583" s="83"/>
      <c r="W2583" s="81"/>
      <c r="X2583" s="81"/>
      <c r="Y2583" s="83"/>
      <c r="Z2583" s="81"/>
      <c r="AA2583" s="81"/>
      <c r="AB2583" s="81"/>
      <c r="AC2583" s="81"/>
      <c r="AD2583" s="81"/>
      <c r="AE2583" s="83"/>
      <c r="AF2583" s="81"/>
      <c r="AG2583" s="81"/>
      <c r="AH2583" s="81"/>
      <c r="AI2583" s="81"/>
      <c r="AJ2583" s="83"/>
      <c r="AK2583" s="81"/>
      <c r="AL2583" s="81"/>
      <c r="AM2583" s="83"/>
      <c r="AN2583" s="80"/>
      <c r="AO2583" s="82" t="str">
        <f aca="false">IF(E2583="","",(AA2583&lt;&gt;"")+(AG2583&lt;&gt;"")+(AL2583&lt;&gt;""))</f>
        <v/>
      </c>
      <c r="AP2583" s="82" t="str">
        <f aca="false">IF(AL2583&lt;&gt;"",AL2583,IF(AG2583&lt;&gt;"",AG2583,IF(AA2583&lt;&gt;"",AA2583,"")))</f>
        <v/>
      </c>
      <c r="AQ2583" s="84" t="str">
        <f aca="false">IF(E2583="","",IF(U2583="","À SOUDER",IF(X2583="","VT EN ATTENTE",IF(X2583="R","VT REJETÉ – À REPRENDRE",IF(AP2583="","À RADIOGRAPHIER",IF(AP2583="A","ACCEPTÉ",IF(AP2583="NX","NX – RT À REFAIRE",IF(IF(AO2583=1,AD2583,IF(AO2583=2,AI2583,""))="A","RÉPARÉ – À RADIOGRAPHIER",IF(IF(AO2583=1,AD2583,IF(AO2583=2,AI2583,""))="R","VT REJETÉ – À REPRENDRE",IF(OR(AP2583="CO",AP2583="NT"),"COUPE – À RESOUDER","À RÉPARER"))))))))))</f>
        <v/>
      </c>
      <c r="AR2583" s="82" t="str">
        <f aca="false">IF(AND(ISNUMBER(U2583),OR(AQ2583="À RADIOGRAPHIER",AQ2583="RÉPARÉ – À RADIOGRAPHIER",AQ2583="NX – RT À REFAIRE",AQ2583="À RÉPARER",AQ2583="COUPE – À RESOUDER",AQ2583="VT REJETÉ – À REPRENDRE")),MAX(0,'PROGRAMME RT'!$C$4-U2583),"")</f>
        <v/>
      </c>
      <c r="AS2583" s="82" t="n">
        <f aca="false">IF(AND(OR(AQ2583="À RADIOGRAPHIER",AQ2583="RÉPARÉ – À RADIOGRAPHIER",AQ2583="NX – RT À REFAIRE"),OR('PROGRAMME RT'!$D$5="TOUTES",B2583='PROGRAMME RT'!$D$5)),1,0)</f>
        <v>0</v>
      </c>
      <c r="AT2583" s="82" t="str">
        <f aca="false">IF(AS2583=1,SUM(AS$7:AS2583),"")</f>
        <v/>
      </c>
      <c r="AU2583" s="82" t="n">
        <f aca="false">IF(AND(OR(AA2583="R",AA2583="NX",AA2583="NT",AA2583="CO"),OR('JOINTS DE RÉPARATION'!$D$5="TOUTES",B2583='JOINTS DE RÉPARATION'!$D$5),OR('JOINTS DE RÉPARATION'!$L$4="TOUS",AQ2583&lt;&gt;"ACCEPTÉ")),1,0)</f>
        <v>0</v>
      </c>
      <c r="AV2583" s="82" t="str">
        <f aca="false">IF(AU2583=1,SUM(AU$7:AU2583),"")</f>
        <v/>
      </c>
      <c r="AW2583" s="82" t="str">
        <f aca="false">IF(E2583="","",B2583&amp;"|"&amp;E2583)</f>
        <v/>
      </c>
    </row>
    <row r="2584" customFormat="false" ht="15" hidden="false" customHeight="false" outlineLevel="0" collapsed="false">
      <c r="A2584" s="79" t="str">
        <f aca="false">IF(E2584="","",ROW()-6)</f>
        <v/>
      </c>
      <c r="B2584" s="80"/>
      <c r="C2584" s="81"/>
      <c r="D2584" s="81"/>
      <c r="E2584" s="81"/>
      <c r="F2584" s="82" t="str">
        <f aca="false">IF(E2584="","",IF(LEFT(E2584,2)="DJ","DJ","JN"))</f>
        <v/>
      </c>
      <c r="G2584" s="81"/>
      <c r="H2584" s="81"/>
      <c r="I2584" s="81"/>
      <c r="J2584" s="81"/>
      <c r="K2584" s="81"/>
      <c r="L2584" s="81"/>
      <c r="M2584" s="81"/>
      <c r="N2584" s="81"/>
      <c r="O2584" s="81"/>
      <c r="P2584" s="81"/>
      <c r="Q2584" s="81"/>
      <c r="R2584" s="81"/>
      <c r="S2584" s="81"/>
      <c r="T2584" s="81"/>
      <c r="U2584" s="83"/>
      <c r="V2584" s="83"/>
      <c r="W2584" s="81"/>
      <c r="X2584" s="81"/>
      <c r="Y2584" s="83"/>
      <c r="Z2584" s="81"/>
      <c r="AA2584" s="81"/>
      <c r="AB2584" s="81"/>
      <c r="AC2584" s="81"/>
      <c r="AD2584" s="81"/>
      <c r="AE2584" s="83"/>
      <c r="AF2584" s="81"/>
      <c r="AG2584" s="81"/>
      <c r="AH2584" s="81"/>
      <c r="AI2584" s="81"/>
      <c r="AJ2584" s="83"/>
      <c r="AK2584" s="81"/>
      <c r="AL2584" s="81"/>
      <c r="AM2584" s="83"/>
      <c r="AN2584" s="80"/>
      <c r="AO2584" s="82" t="str">
        <f aca="false">IF(E2584="","",(AA2584&lt;&gt;"")+(AG2584&lt;&gt;"")+(AL2584&lt;&gt;""))</f>
        <v/>
      </c>
      <c r="AP2584" s="82" t="str">
        <f aca="false">IF(AL2584&lt;&gt;"",AL2584,IF(AG2584&lt;&gt;"",AG2584,IF(AA2584&lt;&gt;"",AA2584,"")))</f>
        <v/>
      </c>
      <c r="AQ2584" s="84" t="str">
        <f aca="false">IF(E2584="","",IF(U2584="","À SOUDER",IF(X2584="","VT EN ATTENTE",IF(X2584="R","VT REJETÉ – À REPRENDRE",IF(AP2584="","À RADIOGRAPHIER",IF(AP2584="A","ACCEPTÉ",IF(AP2584="NX","NX – RT À REFAIRE",IF(IF(AO2584=1,AD2584,IF(AO2584=2,AI2584,""))="A","RÉPARÉ – À RADIOGRAPHIER",IF(IF(AO2584=1,AD2584,IF(AO2584=2,AI2584,""))="R","VT REJETÉ – À REPRENDRE",IF(OR(AP2584="CO",AP2584="NT"),"COUPE – À RESOUDER","À RÉPARER"))))))))))</f>
        <v/>
      </c>
      <c r="AR2584" s="82" t="str">
        <f aca="false">IF(AND(ISNUMBER(U2584),OR(AQ2584="À RADIOGRAPHIER",AQ2584="RÉPARÉ – À RADIOGRAPHIER",AQ2584="NX – RT À REFAIRE",AQ2584="À RÉPARER",AQ2584="COUPE – À RESOUDER",AQ2584="VT REJETÉ – À REPRENDRE")),MAX(0,'PROGRAMME RT'!$C$4-U2584),"")</f>
        <v/>
      </c>
      <c r="AS2584" s="82" t="n">
        <f aca="false">IF(AND(OR(AQ2584="À RADIOGRAPHIER",AQ2584="RÉPARÉ – À RADIOGRAPHIER",AQ2584="NX – RT À REFAIRE"),OR('PROGRAMME RT'!$D$5="TOUTES",B2584='PROGRAMME RT'!$D$5)),1,0)</f>
        <v>0</v>
      </c>
      <c r="AT2584" s="82" t="str">
        <f aca="false">IF(AS2584=1,SUM(AS$7:AS2584),"")</f>
        <v/>
      </c>
      <c r="AU2584" s="82" t="n">
        <f aca="false">IF(AND(OR(AA2584="R",AA2584="NX",AA2584="NT",AA2584="CO"),OR('JOINTS DE RÉPARATION'!$D$5="TOUTES",B2584='JOINTS DE RÉPARATION'!$D$5),OR('JOINTS DE RÉPARATION'!$L$4="TOUS",AQ2584&lt;&gt;"ACCEPTÉ")),1,0)</f>
        <v>0</v>
      </c>
      <c r="AV2584" s="82" t="str">
        <f aca="false">IF(AU2584=1,SUM(AU$7:AU2584),"")</f>
        <v/>
      </c>
      <c r="AW2584" s="82" t="str">
        <f aca="false">IF(E2584="","",B2584&amp;"|"&amp;E2584)</f>
        <v/>
      </c>
    </row>
    <row r="2585" customFormat="false" ht="15" hidden="false" customHeight="false" outlineLevel="0" collapsed="false">
      <c r="A2585" s="79" t="str">
        <f aca="false">IF(E2585="","",ROW()-6)</f>
        <v/>
      </c>
      <c r="B2585" s="80"/>
      <c r="C2585" s="81"/>
      <c r="D2585" s="81"/>
      <c r="E2585" s="81"/>
      <c r="F2585" s="82" t="str">
        <f aca="false">IF(E2585="","",IF(LEFT(E2585,2)="DJ","DJ","JN"))</f>
        <v/>
      </c>
      <c r="G2585" s="81"/>
      <c r="H2585" s="81"/>
      <c r="I2585" s="81"/>
      <c r="J2585" s="81"/>
      <c r="K2585" s="81"/>
      <c r="L2585" s="81"/>
      <c r="M2585" s="81"/>
      <c r="N2585" s="81"/>
      <c r="O2585" s="81"/>
      <c r="P2585" s="81"/>
      <c r="Q2585" s="81"/>
      <c r="R2585" s="81"/>
      <c r="S2585" s="81"/>
      <c r="T2585" s="81"/>
      <c r="U2585" s="83"/>
      <c r="V2585" s="83"/>
      <c r="W2585" s="81"/>
      <c r="X2585" s="81"/>
      <c r="Y2585" s="83"/>
      <c r="Z2585" s="81"/>
      <c r="AA2585" s="81"/>
      <c r="AB2585" s="81"/>
      <c r="AC2585" s="81"/>
      <c r="AD2585" s="81"/>
      <c r="AE2585" s="83"/>
      <c r="AF2585" s="81"/>
      <c r="AG2585" s="81"/>
      <c r="AH2585" s="81"/>
      <c r="AI2585" s="81"/>
      <c r="AJ2585" s="83"/>
      <c r="AK2585" s="81"/>
      <c r="AL2585" s="81"/>
      <c r="AM2585" s="83"/>
      <c r="AN2585" s="80"/>
      <c r="AO2585" s="82" t="str">
        <f aca="false">IF(E2585="","",(AA2585&lt;&gt;"")+(AG2585&lt;&gt;"")+(AL2585&lt;&gt;""))</f>
        <v/>
      </c>
      <c r="AP2585" s="82" t="str">
        <f aca="false">IF(AL2585&lt;&gt;"",AL2585,IF(AG2585&lt;&gt;"",AG2585,IF(AA2585&lt;&gt;"",AA2585,"")))</f>
        <v/>
      </c>
      <c r="AQ2585" s="84" t="str">
        <f aca="false">IF(E2585="","",IF(U2585="","À SOUDER",IF(X2585="","VT EN ATTENTE",IF(X2585="R","VT REJETÉ – À REPRENDRE",IF(AP2585="","À RADIOGRAPHIER",IF(AP2585="A","ACCEPTÉ",IF(AP2585="NX","NX – RT À REFAIRE",IF(IF(AO2585=1,AD2585,IF(AO2585=2,AI2585,""))="A","RÉPARÉ – À RADIOGRAPHIER",IF(IF(AO2585=1,AD2585,IF(AO2585=2,AI2585,""))="R","VT REJETÉ – À REPRENDRE",IF(OR(AP2585="CO",AP2585="NT"),"COUPE – À RESOUDER","À RÉPARER"))))))))))</f>
        <v/>
      </c>
      <c r="AR2585" s="82" t="str">
        <f aca="false">IF(AND(ISNUMBER(U2585),OR(AQ2585="À RADIOGRAPHIER",AQ2585="RÉPARÉ – À RADIOGRAPHIER",AQ2585="NX – RT À REFAIRE",AQ2585="À RÉPARER",AQ2585="COUPE – À RESOUDER",AQ2585="VT REJETÉ – À REPRENDRE")),MAX(0,'PROGRAMME RT'!$C$4-U2585),"")</f>
        <v/>
      </c>
      <c r="AS2585" s="82" t="n">
        <f aca="false">IF(AND(OR(AQ2585="À RADIOGRAPHIER",AQ2585="RÉPARÉ – À RADIOGRAPHIER",AQ2585="NX – RT À REFAIRE"),OR('PROGRAMME RT'!$D$5="TOUTES",B2585='PROGRAMME RT'!$D$5)),1,0)</f>
        <v>0</v>
      </c>
      <c r="AT2585" s="82" t="str">
        <f aca="false">IF(AS2585=1,SUM(AS$7:AS2585),"")</f>
        <v/>
      </c>
      <c r="AU2585" s="82" t="n">
        <f aca="false">IF(AND(OR(AA2585="R",AA2585="NX",AA2585="NT",AA2585="CO"),OR('JOINTS DE RÉPARATION'!$D$5="TOUTES",B2585='JOINTS DE RÉPARATION'!$D$5),OR('JOINTS DE RÉPARATION'!$L$4="TOUS",AQ2585&lt;&gt;"ACCEPTÉ")),1,0)</f>
        <v>0</v>
      </c>
      <c r="AV2585" s="82" t="str">
        <f aca="false">IF(AU2585=1,SUM(AU$7:AU2585),"")</f>
        <v/>
      </c>
      <c r="AW2585" s="82" t="str">
        <f aca="false">IF(E2585="","",B2585&amp;"|"&amp;E2585)</f>
        <v/>
      </c>
    </row>
    <row r="2586" customFormat="false" ht="15" hidden="false" customHeight="false" outlineLevel="0" collapsed="false">
      <c r="A2586" s="79" t="str">
        <f aca="false">IF(E2586="","",ROW()-6)</f>
        <v/>
      </c>
      <c r="B2586" s="80"/>
      <c r="C2586" s="81"/>
      <c r="D2586" s="81"/>
      <c r="E2586" s="81"/>
      <c r="F2586" s="82" t="str">
        <f aca="false">IF(E2586="","",IF(LEFT(E2586,2)="DJ","DJ","JN"))</f>
        <v/>
      </c>
      <c r="G2586" s="81"/>
      <c r="H2586" s="81"/>
      <c r="I2586" s="81"/>
      <c r="J2586" s="81"/>
      <c r="K2586" s="81"/>
      <c r="L2586" s="81"/>
      <c r="M2586" s="81"/>
      <c r="N2586" s="81"/>
      <c r="O2586" s="81"/>
      <c r="P2586" s="81"/>
      <c r="Q2586" s="81"/>
      <c r="R2586" s="81"/>
      <c r="S2586" s="81"/>
      <c r="T2586" s="81"/>
      <c r="U2586" s="83"/>
      <c r="V2586" s="83"/>
      <c r="W2586" s="81"/>
      <c r="X2586" s="81"/>
      <c r="Y2586" s="83"/>
      <c r="Z2586" s="81"/>
      <c r="AA2586" s="81"/>
      <c r="AB2586" s="81"/>
      <c r="AC2586" s="81"/>
      <c r="AD2586" s="81"/>
      <c r="AE2586" s="83"/>
      <c r="AF2586" s="81"/>
      <c r="AG2586" s="81"/>
      <c r="AH2586" s="81"/>
      <c r="AI2586" s="81"/>
      <c r="AJ2586" s="83"/>
      <c r="AK2586" s="81"/>
      <c r="AL2586" s="81"/>
      <c r="AM2586" s="83"/>
      <c r="AN2586" s="80"/>
      <c r="AO2586" s="82" t="str">
        <f aca="false">IF(E2586="","",(AA2586&lt;&gt;"")+(AG2586&lt;&gt;"")+(AL2586&lt;&gt;""))</f>
        <v/>
      </c>
      <c r="AP2586" s="82" t="str">
        <f aca="false">IF(AL2586&lt;&gt;"",AL2586,IF(AG2586&lt;&gt;"",AG2586,IF(AA2586&lt;&gt;"",AA2586,"")))</f>
        <v/>
      </c>
      <c r="AQ2586" s="84" t="str">
        <f aca="false">IF(E2586="","",IF(U2586="","À SOUDER",IF(X2586="","VT EN ATTENTE",IF(X2586="R","VT REJETÉ – À REPRENDRE",IF(AP2586="","À RADIOGRAPHIER",IF(AP2586="A","ACCEPTÉ",IF(AP2586="NX","NX – RT À REFAIRE",IF(IF(AO2586=1,AD2586,IF(AO2586=2,AI2586,""))="A","RÉPARÉ – À RADIOGRAPHIER",IF(IF(AO2586=1,AD2586,IF(AO2586=2,AI2586,""))="R","VT REJETÉ – À REPRENDRE",IF(OR(AP2586="CO",AP2586="NT"),"COUPE – À RESOUDER","À RÉPARER"))))))))))</f>
        <v/>
      </c>
      <c r="AR2586" s="82" t="str">
        <f aca="false">IF(AND(ISNUMBER(U2586),OR(AQ2586="À RADIOGRAPHIER",AQ2586="RÉPARÉ – À RADIOGRAPHIER",AQ2586="NX – RT À REFAIRE",AQ2586="À RÉPARER",AQ2586="COUPE – À RESOUDER",AQ2586="VT REJETÉ – À REPRENDRE")),MAX(0,'PROGRAMME RT'!$C$4-U2586),"")</f>
        <v/>
      </c>
      <c r="AS2586" s="82" t="n">
        <f aca="false">IF(AND(OR(AQ2586="À RADIOGRAPHIER",AQ2586="RÉPARÉ – À RADIOGRAPHIER",AQ2586="NX – RT À REFAIRE"),OR('PROGRAMME RT'!$D$5="TOUTES",B2586='PROGRAMME RT'!$D$5)),1,0)</f>
        <v>0</v>
      </c>
      <c r="AT2586" s="82" t="str">
        <f aca="false">IF(AS2586=1,SUM(AS$7:AS2586),"")</f>
        <v/>
      </c>
      <c r="AU2586" s="82" t="n">
        <f aca="false">IF(AND(OR(AA2586="R",AA2586="NX",AA2586="NT",AA2586="CO"),OR('JOINTS DE RÉPARATION'!$D$5="TOUTES",B2586='JOINTS DE RÉPARATION'!$D$5),OR('JOINTS DE RÉPARATION'!$L$4="TOUS",AQ2586&lt;&gt;"ACCEPTÉ")),1,0)</f>
        <v>0</v>
      </c>
      <c r="AV2586" s="82" t="str">
        <f aca="false">IF(AU2586=1,SUM(AU$7:AU2586),"")</f>
        <v/>
      </c>
      <c r="AW2586" s="82" t="str">
        <f aca="false">IF(E2586="","",B2586&amp;"|"&amp;E2586)</f>
        <v/>
      </c>
    </row>
    <row r="2587" customFormat="false" ht="15" hidden="false" customHeight="false" outlineLevel="0" collapsed="false">
      <c r="A2587" s="79" t="str">
        <f aca="false">IF(E2587="","",ROW()-6)</f>
        <v/>
      </c>
      <c r="B2587" s="80"/>
      <c r="C2587" s="81"/>
      <c r="D2587" s="81"/>
      <c r="E2587" s="81"/>
      <c r="F2587" s="82" t="str">
        <f aca="false">IF(E2587="","",IF(LEFT(E2587,2)="DJ","DJ","JN"))</f>
        <v/>
      </c>
      <c r="G2587" s="81"/>
      <c r="H2587" s="81"/>
      <c r="I2587" s="81"/>
      <c r="J2587" s="81"/>
      <c r="K2587" s="81"/>
      <c r="L2587" s="81"/>
      <c r="M2587" s="81"/>
      <c r="N2587" s="81"/>
      <c r="O2587" s="81"/>
      <c r="P2587" s="81"/>
      <c r="Q2587" s="81"/>
      <c r="R2587" s="81"/>
      <c r="S2587" s="81"/>
      <c r="T2587" s="81"/>
      <c r="U2587" s="83"/>
      <c r="V2587" s="83"/>
      <c r="W2587" s="81"/>
      <c r="X2587" s="81"/>
      <c r="Y2587" s="83"/>
      <c r="Z2587" s="81"/>
      <c r="AA2587" s="81"/>
      <c r="AB2587" s="81"/>
      <c r="AC2587" s="81"/>
      <c r="AD2587" s="81"/>
      <c r="AE2587" s="83"/>
      <c r="AF2587" s="81"/>
      <c r="AG2587" s="81"/>
      <c r="AH2587" s="81"/>
      <c r="AI2587" s="81"/>
      <c r="AJ2587" s="83"/>
      <c r="AK2587" s="81"/>
      <c r="AL2587" s="81"/>
      <c r="AM2587" s="83"/>
      <c r="AN2587" s="80"/>
      <c r="AO2587" s="82" t="str">
        <f aca="false">IF(E2587="","",(AA2587&lt;&gt;"")+(AG2587&lt;&gt;"")+(AL2587&lt;&gt;""))</f>
        <v/>
      </c>
      <c r="AP2587" s="82" t="str">
        <f aca="false">IF(AL2587&lt;&gt;"",AL2587,IF(AG2587&lt;&gt;"",AG2587,IF(AA2587&lt;&gt;"",AA2587,"")))</f>
        <v/>
      </c>
      <c r="AQ2587" s="84" t="str">
        <f aca="false">IF(E2587="","",IF(U2587="","À SOUDER",IF(X2587="","VT EN ATTENTE",IF(X2587="R","VT REJETÉ – À REPRENDRE",IF(AP2587="","À RADIOGRAPHIER",IF(AP2587="A","ACCEPTÉ",IF(AP2587="NX","NX – RT À REFAIRE",IF(IF(AO2587=1,AD2587,IF(AO2587=2,AI2587,""))="A","RÉPARÉ – À RADIOGRAPHIER",IF(IF(AO2587=1,AD2587,IF(AO2587=2,AI2587,""))="R","VT REJETÉ – À REPRENDRE",IF(OR(AP2587="CO",AP2587="NT"),"COUPE – À RESOUDER","À RÉPARER"))))))))))</f>
        <v/>
      </c>
      <c r="AR2587" s="82" t="str">
        <f aca="false">IF(AND(ISNUMBER(U2587),OR(AQ2587="À RADIOGRAPHIER",AQ2587="RÉPARÉ – À RADIOGRAPHIER",AQ2587="NX – RT À REFAIRE",AQ2587="À RÉPARER",AQ2587="COUPE – À RESOUDER",AQ2587="VT REJETÉ – À REPRENDRE")),MAX(0,'PROGRAMME RT'!$C$4-U2587),"")</f>
        <v/>
      </c>
      <c r="AS2587" s="82" t="n">
        <f aca="false">IF(AND(OR(AQ2587="À RADIOGRAPHIER",AQ2587="RÉPARÉ – À RADIOGRAPHIER",AQ2587="NX – RT À REFAIRE"),OR('PROGRAMME RT'!$D$5="TOUTES",B2587='PROGRAMME RT'!$D$5)),1,0)</f>
        <v>0</v>
      </c>
      <c r="AT2587" s="82" t="str">
        <f aca="false">IF(AS2587=1,SUM(AS$7:AS2587),"")</f>
        <v/>
      </c>
      <c r="AU2587" s="82" t="n">
        <f aca="false">IF(AND(OR(AA2587="R",AA2587="NX",AA2587="NT",AA2587="CO"),OR('JOINTS DE RÉPARATION'!$D$5="TOUTES",B2587='JOINTS DE RÉPARATION'!$D$5),OR('JOINTS DE RÉPARATION'!$L$4="TOUS",AQ2587&lt;&gt;"ACCEPTÉ")),1,0)</f>
        <v>0</v>
      </c>
      <c r="AV2587" s="82" t="str">
        <f aca="false">IF(AU2587=1,SUM(AU$7:AU2587),"")</f>
        <v/>
      </c>
      <c r="AW2587" s="82" t="str">
        <f aca="false">IF(E2587="","",B2587&amp;"|"&amp;E2587)</f>
        <v/>
      </c>
    </row>
    <row r="2588" customFormat="false" ht="15" hidden="false" customHeight="false" outlineLevel="0" collapsed="false">
      <c r="A2588" s="79" t="str">
        <f aca="false">IF(E2588="","",ROW()-6)</f>
        <v/>
      </c>
      <c r="B2588" s="80"/>
      <c r="C2588" s="81"/>
      <c r="D2588" s="81"/>
      <c r="E2588" s="81"/>
      <c r="F2588" s="82" t="str">
        <f aca="false">IF(E2588="","",IF(LEFT(E2588,2)="DJ","DJ","JN"))</f>
        <v/>
      </c>
      <c r="G2588" s="81"/>
      <c r="H2588" s="81"/>
      <c r="I2588" s="81"/>
      <c r="J2588" s="81"/>
      <c r="K2588" s="81"/>
      <c r="L2588" s="81"/>
      <c r="M2588" s="81"/>
      <c r="N2588" s="81"/>
      <c r="O2588" s="81"/>
      <c r="P2588" s="81"/>
      <c r="Q2588" s="81"/>
      <c r="R2588" s="81"/>
      <c r="S2588" s="81"/>
      <c r="T2588" s="81"/>
      <c r="U2588" s="83"/>
      <c r="V2588" s="83"/>
      <c r="W2588" s="81"/>
      <c r="X2588" s="81"/>
      <c r="Y2588" s="83"/>
      <c r="Z2588" s="81"/>
      <c r="AA2588" s="81"/>
      <c r="AB2588" s="81"/>
      <c r="AC2588" s="81"/>
      <c r="AD2588" s="81"/>
      <c r="AE2588" s="83"/>
      <c r="AF2588" s="81"/>
      <c r="AG2588" s="81"/>
      <c r="AH2588" s="81"/>
      <c r="AI2588" s="81"/>
      <c r="AJ2588" s="83"/>
      <c r="AK2588" s="81"/>
      <c r="AL2588" s="81"/>
      <c r="AM2588" s="83"/>
      <c r="AN2588" s="80"/>
      <c r="AO2588" s="82" t="str">
        <f aca="false">IF(E2588="","",(AA2588&lt;&gt;"")+(AG2588&lt;&gt;"")+(AL2588&lt;&gt;""))</f>
        <v/>
      </c>
      <c r="AP2588" s="82" t="str">
        <f aca="false">IF(AL2588&lt;&gt;"",AL2588,IF(AG2588&lt;&gt;"",AG2588,IF(AA2588&lt;&gt;"",AA2588,"")))</f>
        <v/>
      </c>
      <c r="AQ2588" s="84" t="str">
        <f aca="false">IF(E2588="","",IF(U2588="","À SOUDER",IF(X2588="","VT EN ATTENTE",IF(X2588="R","VT REJETÉ – À REPRENDRE",IF(AP2588="","À RADIOGRAPHIER",IF(AP2588="A","ACCEPTÉ",IF(AP2588="NX","NX – RT À REFAIRE",IF(IF(AO2588=1,AD2588,IF(AO2588=2,AI2588,""))="A","RÉPARÉ – À RADIOGRAPHIER",IF(IF(AO2588=1,AD2588,IF(AO2588=2,AI2588,""))="R","VT REJETÉ – À REPRENDRE",IF(OR(AP2588="CO",AP2588="NT"),"COUPE – À RESOUDER","À RÉPARER"))))))))))</f>
        <v/>
      </c>
      <c r="AR2588" s="82" t="str">
        <f aca="false">IF(AND(ISNUMBER(U2588),OR(AQ2588="À RADIOGRAPHIER",AQ2588="RÉPARÉ – À RADIOGRAPHIER",AQ2588="NX – RT À REFAIRE",AQ2588="À RÉPARER",AQ2588="COUPE – À RESOUDER",AQ2588="VT REJETÉ – À REPRENDRE")),MAX(0,'PROGRAMME RT'!$C$4-U2588),"")</f>
        <v/>
      </c>
      <c r="AS2588" s="82" t="n">
        <f aca="false">IF(AND(OR(AQ2588="À RADIOGRAPHIER",AQ2588="RÉPARÉ – À RADIOGRAPHIER",AQ2588="NX – RT À REFAIRE"),OR('PROGRAMME RT'!$D$5="TOUTES",B2588='PROGRAMME RT'!$D$5)),1,0)</f>
        <v>0</v>
      </c>
      <c r="AT2588" s="82" t="str">
        <f aca="false">IF(AS2588=1,SUM(AS$7:AS2588),"")</f>
        <v/>
      </c>
      <c r="AU2588" s="82" t="n">
        <f aca="false">IF(AND(OR(AA2588="R",AA2588="NX",AA2588="NT",AA2588="CO"),OR('JOINTS DE RÉPARATION'!$D$5="TOUTES",B2588='JOINTS DE RÉPARATION'!$D$5),OR('JOINTS DE RÉPARATION'!$L$4="TOUS",AQ2588&lt;&gt;"ACCEPTÉ")),1,0)</f>
        <v>0</v>
      </c>
      <c r="AV2588" s="82" t="str">
        <f aca="false">IF(AU2588=1,SUM(AU$7:AU2588),"")</f>
        <v/>
      </c>
      <c r="AW2588" s="82" t="str">
        <f aca="false">IF(E2588="","",B2588&amp;"|"&amp;E2588)</f>
        <v/>
      </c>
    </row>
    <row r="2589" customFormat="false" ht="15" hidden="false" customHeight="false" outlineLevel="0" collapsed="false">
      <c r="A2589" s="79" t="str">
        <f aca="false">IF(E2589="","",ROW()-6)</f>
        <v/>
      </c>
      <c r="B2589" s="80"/>
      <c r="C2589" s="81"/>
      <c r="D2589" s="81"/>
      <c r="E2589" s="81"/>
      <c r="F2589" s="82" t="str">
        <f aca="false">IF(E2589="","",IF(LEFT(E2589,2)="DJ","DJ","JN"))</f>
        <v/>
      </c>
      <c r="G2589" s="81"/>
      <c r="H2589" s="81"/>
      <c r="I2589" s="81"/>
      <c r="J2589" s="81"/>
      <c r="K2589" s="81"/>
      <c r="L2589" s="81"/>
      <c r="M2589" s="81"/>
      <c r="N2589" s="81"/>
      <c r="O2589" s="81"/>
      <c r="P2589" s="81"/>
      <c r="Q2589" s="81"/>
      <c r="R2589" s="81"/>
      <c r="S2589" s="81"/>
      <c r="T2589" s="81"/>
      <c r="U2589" s="83"/>
      <c r="V2589" s="83"/>
      <c r="W2589" s="81"/>
      <c r="X2589" s="81"/>
      <c r="Y2589" s="83"/>
      <c r="Z2589" s="81"/>
      <c r="AA2589" s="81"/>
      <c r="AB2589" s="81"/>
      <c r="AC2589" s="81"/>
      <c r="AD2589" s="81"/>
      <c r="AE2589" s="83"/>
      <c r="AF2589" s="81"/>
      <c r="AG2589" s="81"/>
      <c r="AH2589" s="81"/>
      <c r="AI2589" s="81"/>
      <c r="AJ2589" s="83"/>
      <c r="AK2589" s="81"/>
      <c r="AL2589" s="81"/>
      <c r="AM2589" s="83"/>
      <c r="AN2589" s="80"/>
      <c r="AO2589" s="82" t="str">
        <f aca="false">IF(E2589="","",(AA2589&lt;&gt;"")+(AG2589&lt;&gt;"")+(AL2589&lt;&gt;""))</f>
        <v/>
      </c>
      <c r="AP2589" s="82" t="str">
        <f aca="false">IF(AL2589&lt;&gt;"",AL2589,IF(AG2589&lt;&gt;"",AG2589,IF(AA2589&lt;&gt;"",AA2589,"")))</f>
        <v/>
      </c>
      <c r="AQ2589" s="84" t="str">
        <f aca="false">IF(E2589="","",IF(U2589="","À SOUDER",IF(X2589="","VT EN ATTENTE",IF(X2589="R","VT REJETÉ – À REPRENDRE",IF(AP2589="","À RADIOGRAPHIER",IF(AP2589="A","ACCEPTÉ",IF(AP2589="NX","NX – RT À REFAIRE",IF(IF(AO2589=1,AD2589,IF(AO2589=2,AI2589,""))="A","RÉPARÉ – À RADIOGRAPHIER",IF(IF(AO2589=1,AD2589,IF(AO2589=2,AI2589,""))="R","VT REJETÉ – À REPRENDRE",IF(OR(AP2589="CO",AP2589="NT"),"COUPE – À RESOUDER","À RÉPARER"))))))))))</f>
        <v/>
      </c>
      <c r="AR2589" s="82" t="str">
        <f aca="false">IF(AND(ISNUMBER(U2589),OR(AQ2589="À RADIOGRAPHIER",AQ2589="RÉPARÉ – À RADIOGRAPHIER",AQ2589="NX – RT À REFAIRE",AQ2589="À RÉPARER",AQ2589="COUPE – À RESOUDER",AQ2589="VT REJETÉ – À REPRENDRE")),MAX(0,'PROGRAMME RT'!$C$4-U2589),"")</f>
        <v/>
      </c>
      <c r="AS2589" s="82" t="n">
        <f aca="false">IF(AND(OR(AQ2589="À RADIOGRAPHIER",AQ2589="RÉPARÉ – À RADIOGRAPHIER",AQ2589="NX – RT À REFAIRE"),OR('PROGRAMME RT'!$D$5="TOUTES",B2589='PROGRAMME RT'!$D$5)),1,0)</f>
        <v>0</v>
      </c>
      <c r="AT2589" s="82" t="str">
        <f aca="false">IF(AS2589=1,SUM(AS$7:AS2589),"")</f>
        <v/>
      </c>
      <c r="AU2589" s="82" t="n">
        <f aca="false">IF(AND(OR(AA2589="R",AA2589="NX",AA2589="NT",AA2589="CO"),OR('JOINTS DE RÉPARATION'!$D$5="TOUTES",B2589='JOINTS DE RÉPARATION'!$D$5),OR('JOINTS DE RÉPARATION'!$L$4="TOUS",AQ2589&lt;&gt;"ACCEPTÉ")),1,0)</f>
        <v>0</v>
      </c>
      <c r="AV2589" s="82" t="str">
        <f aca="false">IF(AU2589=1,SUM(AU$7:AU2589),"")</f>
        <v/>
      </c>
      <c r="AW2589" s="82" t="str">
        <f aca="false">IF(E2589="","",B2589&amp;"|"&amp;E2589)</f>
        <v/>
      </c>
    </row>
    <row r="2590" customFormat="false" ht="15" hidden="false" customHeight="false" outlineLevel="0" collapsed="false">
      <c r="A2590" s="79" t="str">
        <f aca="false">IF(E2590="","",ROW()-6)</f>
        <v/>
      </c>
      <c r="B2590" s="80"/>
      <c r="C2590" s="81"/>
      <c r="D2590" s="81"/>
      <c r="E2590" s="81"/>
      <c r="F2590" s="82" t="str">
        <f aca="false">IF(E2590="","",IF(LEFT(E2590,2)="DJ","DJ","JN"))</f>
        <v/>
      </c>
      <c r="G2590" s="81"/>
      <c r="H2590" s="81"/>
      <c r="I2590" s="81"/>
      <c r="J2590" s="81"/>
      <c r="K2590" s="81"/>
      <c r="L2590" s="81"/>
      <c r="M2590" s="81"/>
      <c r="N2590" s="81"/>
      <c r="O2590" s="81"/>
      <c r="P2590" s="81"/>
      <c r="Q2590" s="81"/>
      <c r="R2590" s="81"/>
      <c r="S2590" s="81"/>
      <c r="T2590" s="81"/>
      <c r="U2590" s="83"/>
      <c r="V2590" s="83"/>
      <c r="W2590" s="81"/>
      <c r="X2590" s="81"/>
      <c r="Y2590" s="83"/>
      <c r="Z2590" s="81"/>
      <c r="AA2590" s="81"/>
      <c r="AB2590" s="81"/>
      <c r="AC2590" s="81"/>
      <c r="AD2590" s="81"/>
      <c r="AE2590" s="83"/>
      <c r="AF2590" s="81"/>
      <c r="AG2590" s="81"/>
      <c r="AH2590" s="81"/>
      <c r="AI2590" s="81"/>
      <c r="AJ2590" s="83"/>
      <c r="AK2590" s="81"/>
      <c r="AL2590" s="81"/>
      <c r="AM2590" s="83"/>
      <c r="AN2590" s="80"/>
      <c r="AO2590" s="82" t="str">
        <f aca="false">IF(E2590="","",(AA2590&lt;&gt;"")+(AG2590&lt;&gt;"")+(AL2590&lt;&gt;""))</f>
        <v/>
      </c>
      <c r="AP2590" s="82" t="str">
        <f aca="false">IF(AL2590&lt;&gt;"",AL2590,IF(AG2590&lt;&gt;"",AG2590,IF(AA2590&lt;&gt;"",AA2590,"")))</f>
        <v/>
      </c>
      <c r="AQ2590" s="84" t="str">
        <f aca="false">IF(E2590="","",IF(U2590="","À SOUDER",IF(X2590="","VT EN ATTENTE",IF(X2590="R","VT REJETÉ – À REPRENDRE",IF(AP2590="","À RADIOGRAPHIER",IF(AP2590="A","ACCEPTÉ",IF(AP2590="NX","NX – RT À REFAIRE",IF(IF(AO2590=1,AD2590,IF(AO2590=2,AI2590,""))="A","RÉPARÉ – À RADIOGRAPHIER",IF(IF(AO2590=1,AD2590,IF(AO2590=2,AI2590,""))="R","VT REJETÉ – À REPRENDRE",IF(OR(AP2590="CO",AP2590="NT"),"COUPE – À RESOUDER","À RÉPARER"))))))))))</f>
        <v/>
      </c>
      <c r="AR2590" s="82" t="str">
        <f aca="false">IF(AND(ISNUMBER(U2590),OR(AQ2590="À RADIOGRAPHIER",AQ2590="RÉPARÉ – À RADIOGRAPHIER",AQ2590="NX – RT À REFAIRE",AQ2590="À RÉPARER",AQ2590="COUPE – À RESOUDER",AQ2590="VT REJETÉ – À REPRENDRE")),MAX(0,'PROGRAMME RT'!$C$4-U2590),"")</f>
        <v/>
      </c>
      <c r="AS2590" s="82" t="n">
        <f aca="false">IF(AND(OR(AQ2590="À RADIOGRAPHIER",AQ2590="RÉPARÉ – À RADIOGRAPHIER",AQ2590="NX – RT À REFAIRE"),OR('PROGRAMME RT'!$D$5="TOUTES",B2590='PROGRAMME RT'!$D$5)),1,0)</f>
        <v>0</v>
      </c>
      <c r="AT2590" s="82" t="str">
        <f aca="false">IF(AS2590=1,SUM(AS$7:AS2590),"")</f>
        <v/>
      </c>
      <c r="AU2590" s="82" t="n">
        <f aca="false">IF(AND(OR(AA2590="R",AA2590="NX",AA2590="NT",AA2590="CO"),OR('JOINTS DE RÉPARATION'!$D$5="TOUTES",B2590='JOINTS DE RÉPARATION'!$D$5),OR('JOINTS DE RÉPARATION'!$L$4="TOUS",AQ2590&lt;&gt;"ACCEPTÉ")),1,0)</f>
        <v>0</v>
      </c>
      <c r="AV2590" s="82" t="str">
        <f aca="false">IF(AU2590=1,SUM(AU$7:AU2590),"")</f>
        <v/>
      </c>
      <c r="AW2590" s="82" t="str">
        <f aca="false">IF(E2590="","",B2590&amp;"|"&amp;E2590)</f>
        <v/>
      </c>
    </row>
    <row r="2591" customFormat="false" ht="15" hidden="false" customHeight="false" outlineLevel="0" collapsed="false">
      <c r="A2591" s="79" t="str">
        <f aca="false">IF(E2591="","",ROW()-6)</f>
        <v/>
      </c>
      <c r="B2591" s="80"/>
      <c r="C2591" s="81"/>
      <c r="D2591" s="81"/>
      <c r="E2591" s="81"/>
      <c r="F2591" s="82" t="str">
        <f aca="false">IF(E2591="","",IF(LEFT(E2591,2)="DJ","DJ","JN"))</f>
        <v/>
      </c>
      <c r="G2591" s="81"/>
      <c r="H2591" s="81"/>
      <c r="I2591" s="81"/>
      <c r="J2591" s="81"/>
      <c r="K2591" s="81"/>
      <c r="L2591" s="81"/>
      <c r="M2591" s="81"/>
      <c r="N2591" s="81"/>
      <c r="O2591" s="81"/>
      <c r="P2591" s="81"/>
      <c r="Q2591" s="81"/>
      <c r="R2591" s="81"/>
      <c r="S2591" s="81"/>
      <c r="T2591" s="81"/>
      <c r="U2591" s="83"/>
      <c r="V2591" s="83"/>
      <c r="W2591" s="81"/>
      <c r="X2591" s="81"/>
      <c r="Y2591" s="83"/>
      <c r="Z2591" s="81"/>
      <c r="AA2591" s="81"/>
      <c r="AB2591" s="81"/>
      <c r="AC2591" s="81"/>
      <c r="AD2591" s="81"/>
      <c r="AE2591" s="83"/>
      <c r="AF2591" s="81"/>
      <c r="AG2591" s="81"/>
      <c r="AH2591" s="81"/>
      <c r="AI2591" s="81"/>
      <c r="AJ2591" s="83"/>
      <c r="AK2591" s="81"/>
      <c r="AL2591" s="81"/>
      <c r="AM2591" s="83"/>
      <c r="AN2591" s="80"/>
      <c r="AO2591" s="82" t="str">
        <f aca="false">IF(E2591="","",(AA2591&lt;&gt;"")+(AG2591&lt;&gt;"")+(AL2591&lt;&gt;""))</f>
        <v/>
      </c>
      <c r="AP2591" s="82" t="str">
        <f aca="false">IF(AL2591&lt;&gt;"",AL2591,IF(AG2591&lt;&gt;"",AG2591,IF(AA2591&lt;&gt;"",AA2591,"")))</f>
        <v/>
      </c>
      <c r="AQ2591" s="84" t="str">
        <f aca="false">IF(E2591="","",IF(U2591="","À SOUDER",IF(X2591="","VT EN ATTENTE",IF(X2591="R","VT REJETÉ – À REPRENDRE",IF(AP2591="","À RADIOGRAPHIER",IF(AP2591="A","ACCEPTÉ",IF(AP2591="NX","NX – RT À REFAIRE",IF(IF(AO2591=1,AD2591,IF(AO2591=2,AI2591,""))="A","RÉPARÉ – À RADIOGRAPHIER",IF(IF(AO2591=1,AD2591,IF(AO2591=2,AI2591,""))="R","VT REJETÉ – À REPRENDRE",IF(OR(AP2591="CO",AP2591="NT"),"COUPE – À RESOUDER","À RÉPARER"))))))))))</f>
        <v/>
      </c>
      <c r="AR2591" s="82" t="str">
        <f aca="false">IF(AND(ISNUMBER(U2591),OR(AQ2591="À RADIOGRAPHIER",AQ2591="RÉPARÉ – À RADIOGRAPHIER",AQ2591="NX – RT À REFAIRE",AQ2591="À RÉPARER",AQ2591="COUPE – À RESOUDER",AQ2591="VT REJETÉ – À REPRENDRE")),MAX(0,'PROGRAMME RT'!$C$4-U2591),"")</f>
        <v/>
      </c>
      <c r="AS2591" s="82" t="n">
        <f aca="false">IF(AND(OR(AQ2591="À RADIOGRAPHIER",AQ2591="RÉPARÉ – À RADIOGRAPHIER",AQ2591="NX – RT À REFAIRE"),OR('PROGRAMME RT'!$D$5="TOUTES",B2591='PROGRAMME RT'!$D$5)),1,0)</f>
        <v>0</v>
      </c>
      <c r="AT2591" s="82" t="str">
        <f aca="false">IF(AS2591=1,SUM(AS$7:AS2591),"")</f>
        <v/>
      </c>
      <c r="AU2591" s="82" t="n">
        <f aca="false">IF(AND(OR(AA2591="R",AA2591="NX",AA2591="NT",AA2591="CO"),OR('JOINTS DE RÉPARATION'!$D$5="TOUTES",B2591='JOINTS DE RÉPARATION'!$D$5),OR('JOINTS DE RÉPARATION'!$L$4="TOUS",AQ2591&lt;&gt;"ACCEPTÉ")),1,0)</f>
        <v>0</v>
      </c>
      <c r="AV2591" s="82" t="str">
        <f aca="false">IF(AU2591=1,SUM(AU$7:AU2591),"")</f>
        <v/>
      </c>
      <c r="AW2591" s="82" t="str">
        <f aca="false">IF(E2591="","",B2591&amp;"|"&amp;E2591)</f>
        <v/>
      </c>
    </row>
    <row r="2592" customFormat="false" ht="15" hidden="false" customHeight="false" outlineLevel="0" collapsed="false">
      <c r="A2592" s="79" t="str">
        <f aca="false">IF(E2592="","",ROW()-6)</f>
        <v/>
      </c>
      <c r="B2592" s="80"/>
      <c r="C2592" s="81"/>
      <c r="D2592" s="81"/>
      <c r="E2592" s="81"/>
      <c r="F2592" s="82" t="str">
        <f aca="false">IF(E2592="","",IF(LEFT(E2592,2)="DJ","DJ","JN"))</f>
        <v/>
      </c>
      <c r="G2592" s="81"/>
      <c r="H2592" s="81"/>
      <c r="I2592" s="81"/>
      <c r="J2592" s="81"/>
      <c r="K2592" s="81"/>
      <c r="L2592" s="81"/>
      <c r="M2592" s="81"/>
      <c r="N2592" s="81"/>
      <c r="O2592" s="81"/>
      <c r="P2592" s="81"/>
      <c r="Q2592" s="81"/>
      <c r="R2592" s="81"/>
      <c r="S2592" s="81"/>
      <c r="T2592" s="81"/>
      <c r="U2592" s="83"/>
      <c r="V2592" s="83"/>
      <c r="W2592" s="81"/>
      <c r="X2592" s="81"/>
      <c r="Y2592" s="83"/>
      <c r="Z2592" s="81"/>
      <c r="AA2592" s="81"/>
      <c r="AB2592" s="81"/>
      <c r="AC2592" s="81"/>
      <c r="AD2592" s="81"/>
      <c r="AE2592" s="83"/>
      <c r="AF2592" s="81"/>
      <c r="AG2592" s="81"/>
      <c r="AH2592" s="81"/>
      <c r="AI2592" s="81"/>
      <c r="AJ2592" s="83"/>
      <c r="AK2592" s="81"/>
      <c r="AL2592" s="81"/>
      <c r="AM2592" s="83"/>
      <c r="AN2592" s="80"/>
      <c r="AO2592" s="82" t="str">
        <f aca="false">IF(E2592="","",(AA2592&lt;&gt;"")+(AG2592&lt;&gt;"")+(AL2592&lt;&gt;""))</f>
        <v/>
      </c>
      <c r="AP2592" s="82" t="str">
        <f aca="false">IF(AL2592&lt;&gt;"",AL2592,IF(AG2592&lt;&gt;"",AG2592,IF(AA2592&lt;&gt;"",AA2592,"")))</f>
        <v/>
      </c>
      <c r="AQ2592" s="84" t="str">
        <f aca="false">IF(E2592="","",IF(U2592="","À SOUDER",IF(X2592="","VT EN ATTENTE",IF(X2592="R","VT REJETÉ – À REPRENDRE",IF(AP2592="","À RADIOGRAPHIER",IF(AP2592="A","ACCEPTÉ",IF(AP2592="NX","NX – RT À REFAIRE",IF(IF(AO2592=1,AD2592,IF(AO2592=2,AI2592,""))="A","RÉPARÉ – À RADIOGRAPHIER",IF(IF(AO2592=1,AD2592,IF(AO2592=2,AI2592,""))="R","VT REJETÉ – À REPRENDRE",IF(OR(AP2592="CO",AP2592="NT"),"COUPE – À RESOUDER","À RÉPARER"))))))))))</f>
        <v/>
      </c>
      <c r="AR2592" s="82" t="str">
        <f aca="false">IF(AND(ISNUMBER(U2592),OR(AQ2592="À RADIOGRAPHIER",AQ2592="RÉPARÉ – À RADIOGRAPHIER",AQ2592="NX – RT À REFAIRE",AQ2592="À RÉPARER",AQ2592="COUPE – À RESOUDER",AQ2592="VT REJETÉ – À REPRENDRE")),MAX(0,'PROGRAMME RT'!$C$4-U2592),"")</f>
        <v/>
      </c>
      <c r="AS2592" s="82" t="n">
        <f aca="false">IF(AND(OR(AQ2592="À RADIOGRAPHIER",AQ2592="RÉPARÉ – À RADIOGRAPHIER",AQ2592="NX – RT À REFAIRE"),OR('PROGRAMME RT'!$D$5="TOUTES",B2592='PROGRAMME RT'!$D$5)),1,0)</f>
        <v>0</v>
      </c>
      <c r="AT2592" s="82" t="str">
        <f aca="false">IF(AS2592=1,SUM(AS$7:AS2592),"")</f>
        <v/>
      </c>
      <c r="AU2592" s="82" t="n">
        <f aca="false">IF(AND(OR(AA2592="R",AA2592="NX",AA2592="NT",AA2592="CO"),OR('JOINTS DE RÉPARATION'!$D$5="TOUTES",B2592='JOINTS DE RÉPARATION'!$D$5),OR('JOINTS DE RÉPARATION'!$L$4="TOUS",AQ2592&lt;&gt;"ACCEPTÉ")),1,0)</f>
        <v>0</v>
      </c>
      <c r="AV2592" s="82" t="str">
        <f aca="false">IF(AU2592=1,SUM(AU$7:AU2592),"")</f>
        <v/>
      </c>
      <c r="AW2592" s="82" t="str">
        <f aca="false">IF(E2592="","",B2592&amp;"|"&amp;E2592)</f>
        <v/>
      </c>
    </row>
    <row r="2593" customFormat="false" ht="15" hidden="false" customHeight="false" outlineLevel="0" collapsed="false">
      <c r="A2593" s="79" t="str">
        <f aca="false">IF(E2593="","",ROW()-6)</f>
        <v/>
      </c>
      <c r="B2593" s="80"/>
      <c r="C2593" s="81"/>
      <c r="D2593" s="81"/>
      <c r="E2593" s="81"/>
      <c r="F2593" s="82" t="str">
        <f aca="false">IF(E2593="","",IF(LEFT(E2593,2)="DJ","DJ","JN"))</f>
        <v/>
      </c>
      <c r="G2593" s="81"/>
      <c r="H2593" s="81"/>
      <c r="I2593" s="81"/>
      <c r="J2593" s="81"/>
      <c r="K2593" s="81"/>
      <c r="L2593" s="81"/>
      <c r="M2593" s="81"/>
      <c r="N2593" s="81"/>
      <c r="O2593" s="81"/>
      <c r="P2593" s="81"/>
      <c r="Q2593" s="81"/>
      <c r="R2593" s="81"/>
      <c r="S2593" s="81"/>
      <c r="T2593" s="81"/>
      <c r="U2593" s="83"/>
      <c r="V2593" s="83"/>
      <c r="W2593" s="81"/>
      <c r="X2593" s="81"/>
      <c r="Y2593" s="83"/>
      <c r="Z2593" s="81"/>
      <c r="AA2593" s="81"/>
      <c r="AB2593" s="81"/>
      <c r="AC2593" s="81"/>
      <c r="AD2593" s="81"/>
      <c r="AE2593" s="83"/>
      <c r="AF2593" s="81"/>
      <c r="AG2593" s="81"/>
      <c r="AH2593" s="81"/>
      <c r="AI2593" s="81"/>
      <c r="AJ2593" s="83"/>
      <c r="AK2593" s="81"/>
      <c r="AL2593" s="81"/>
      <c r="AM2593" s="83"/>
      <c r="AN2593" s="80"/>
      <c r="AO2593" s="82" t="str">
        <f aca="false">IF(E2593="","",(AA2593&lt;&gt;"")+(AG2593&lt;&gt;"")+(AL2593&lt;&gt;""))</f>
        <v/>
      </c>
      <c r="AP2593" s="82" t="str">
        <f aca="false">IF(AL2593&lt;&gt;"",AL2593,IF(AG2593&lt;&gt;"",AG2593,IF(AA2593&lt;&gt;"",AA2593,"")))</f>
        <v/>
      </c>
      <c r="AQ2593" s="84" t="str">
        <f aca="false">IF(E2593="","",IF(U2593="","À SOUDER",IF(X2593="","VT EN ATTENTE",IF(X2593="R","VT REJETÉ – À REPRENDRE",IF(AP2593="","À RADIOGRAPHIER",IF(AP2593="A","ACCEPTÉ",IF(AP2593="NX","NX – RT À REFAIRE",IF(IF(AO2593=1,AD2593,IF(AO2593=2,AI2593,""))="A","RÉPARÉ – À RADIOGRAPHIER",IF(IF(AO2593=1,AD2593,IF(AO2593=2,AI2593,""))="R","VT REJETÉ – À REPRENDRE",IF(OR(AP2593="CO",AP2593="NT"),"COUPE – À RESOUDER","À RÉPARER"))))))))))</f>
        <v/>
      </c>
      <c r="AR2593" s="82" t="str">
        <f aca="false">IF(AND(ISNUMBER(U2593),OR(AQ2593="À RADIOGRAPHIER",AQ2593="RÉPARÉ – À RADIOGRAPHIER",AQ2593="NX – RT À REFAIRE",AQ2593="À RÉPARER",AQ2593="COUPE – À RESOUDER",AQ2593="VT REJETÉ – À REPRENDRE")),MAX(0,'PROGRAMME RT'!$C$4-U2593),"")</f>
        <v/>
      </c>
      <c r="AS2593" s="82" t="n">
        <f aca="false">IF(AND(OR(AQ2593="À RADIOGRAPHIER",AQ2593="RÉPARÉ – À RADIOGRAPHIER",AQ2593="NX – RT À REFAIRE"),OR('PROGRAMME RT'!$D$5="TOUTES",B2593='PROGRAMME RT'!$D$5)),1,0)</f>
        <v>0</v>
      </c>
      <c r="AT2593" s="82" t="str">
        <f aca="false">IF(AS2593=1,SUM(AS$7:AS2593),"")</f>
        <v/>
      </c>
      <c r="AU2593" s="82" t="n">
        <f aca="false">IF(AND(OR(AA2593="R",AA2593="NX",AA2593="NT",AA2593="CO"),OR('JOINTS DE RÉPARATION'!$D$5="TOUTES",B2593='JOINTS DE RÉPARATION'!$D$5),OR('JOINTS DE RÉPARATION'!$L$4="TOUS",AQ2593&lt;&gt;"ACCEPTÉ")),1,0)</f>
        <v>0</v>
      </c>
      <c r="AV2593" s="82" t="str">
        <f aca="false">IF(AU2593=1,SUM(AU$7:AU2593),"")</f>
        <v/>
      </c>
      <c r="AW2593" s="82" t="str">
        <f aca="false">IF(E2593="","",B2593&amp;"|"&amp;E2593)</f>
        <v/>
      </c>
    </row>
    <row r="2594" customFormat="false" ht="15" hidden="false" customHeight="false" outlineLevel="0" collapsed="false">
      <c r="A2594" s="79" t="str">
        <f aca="false">IF(E2594="","",ROW()-6)</f>
        <v/>
      </c>
      <c r="B2594" s="80"/>
      <c r="C2594" s="81"/>
      <c r="D2594" s="81"/>
      <c r="E2594" s="81"/>
      <c r="F2594" s="82" t="str">
        <f aca="false">IF(E2594="","",IF(LEFT(E2594,2)="DJ","DJ","JN"))</f>
        <v/>
      </c>
      <c r="G2594" s="81"/>
      <c r="H2594" s="81"/>
      <c r="I2594" s="81"/>
      <c r="J2594" s="81"/>
      <c r="K2594" s="81"/>
      <c r="L2594" s="81"/>
      <c r="M2594" s="81"/>
      <c r="N2594" s="81"/>
      <c r="O2594" s="81"/>
      <c r="P2594" s="81"/>
      <c r="Q2594" s="81"/>
      <c r="R2594" s="81"/>
      <c r="S2594" s="81"/>
      <c r="T2594" s="81"/>
      <c r="U2594" s="83"/>
      <c r="V2594" s="83"/>
      <c r="W2594" s="81"/>
      <c r="X2594" s="81"/>
      <c r="Y2594" s="83"/>
      <c r="Z2594" s="81"/>
      <c r="AA2594" s="81"/>
      <c r="AB2594" s="81"/>
      <c r="AC2594" s="81"/>
      <c r="AD2594" s="81"/>
      <c r="AE2594" s="83"/>
      <c r="AF2594" s="81"/>
      <c r="AG2594" s="81"/>
      <c r="AH2594" s="81"/>
      <c r="AI2594" s="81"/>
      <c r="AJ2594" s="83"/>
      <c r="AK2594" s="81"/>
      <c r="AL2594" s="81"/>
      <c r="AM2594" s="83"/>
      <c r="AN2594" s="80"/>
      <c r="AO2594" s="82" t="str">
        <f aca="false">IF(E2594="","",(AA2594&lt;&gt;"")+(AG2594&lt;&gt;"")+(AL2594&lt;&gt;""))</f>
        <v/>
      </c>
      <c r="AP2594" s="82" t="str">
        <f aca="false">IF(AL2594&lt;&gt;"",AL2594,IF(AG2594&lt;&gt;"",AG2594,IF(AA2594&lt;&gt;"",AA2594,"")))</f>
        <v/>
      </c>
      <c r="AQ2594" s="84" t="str">
        <f aca="false">IF(E2594="","",IF(U2594="","À SOUDER",IF(X2594="","VT EN ATTENTE",IF(X2594="R","VT REJETÉ – À REPRENDRE",IF(AP2594="","À RADIOGRAPHIER",IF(AP2594="A","ACCEPTÉ",IF(AP2594="NX","NX – RT À REFAIRE",IF(IF(AO2594=1,AD2594,IF(AO2594=2,AI2594,""))="A","RÉPARÉ – À RADIOGRAPHIER",IF(IF(AO2594=1,AD2594,IF(AO2594=2,AI2594,""))="R","VT REJETÉ – À REPRENDRE",IF(OR(AP2594="CO",AP2594="NT"),"COUPE – À RESOUDER","À RÉPARER"))))))))))</f>
        <v/>
      </c>
      <c r="AR2594" s="82" t="str">
        <f aca="false">IF(AND(ISNUMBER(U2594),OR(AQ2594="À RADIOGRAPHIER",AQ2594="RÉPARÉ – À RADIOGRAPHIER",AQ2594="NX – RT À REFAIRE",AQ2594="À RÉPARER",AQ2594="COUPE – À RESOUDER",AQ2594="VT REJETÉ – À REPRENDRE")),MAX(0,'PROGRAMME RT'!$C$4-U2594),"")</f>
        <v/>
      </c>
      <c r="AS2594" s="82" t="n">
        <f aca="false">IF(AND(OR(AQ2594="À RADIOGRAPHIER",AQ2594="RÉPARÉ – À RADIOGRAPHIER",AQ2594="NX – RT À REFAIRE"),OR('PROGRAMME RT'!$D$5="TOUTES",B2594='PROGRAMME RT'!$D$5)),1,0)</f>
        <v>0</v>
      </c>
      <c r="AT2594" s="82" t="str">
        <f aca="false">IF(AS2594=1,SUM(AS$7:AS2594),"")</f>
        <v/>
      </c>
      <c r="AU2594" s="82" t="n">
        <f aca="false">IF(AND(OR(AA2594="R",AA2594="NX",AA2594="NT",AA2594="CO"),OR('JOINTS DE RÉPARATION'!$D$5="TOUTES",B2594='JOINTS DE RÉPARATION'!$D$5),OR('JOINTS DE RÉPARATION'!$L$4="TOUS",AQ2594&lt;&gt;"ACCEPTÉ")),1,0)</f>
        <v>0</v>
      </c>
      <c r="AV2594" s="82" t="str">
        <f aca="false">IF(AU2594=1,SUM(AU$7:AU2594),"")</f>
        <v/>
      </c>
      <c r="AW2594" s="82" t="str">
        <f aca="false">IF(E2594="","",B2594&amp;"|"&amp;E2594)</f>
        <v/>
      </c>
    </row>
    <row r="2595" customFormat="false" ht="15" hidden="false" customHeight="false" outlineLevel="0" collapsed="false">
      <c r="A2595" s="79" t="str">
        <f aca="false">IF(E2595="","",ROW()-6)</f>
        <v/>
      </c>
      <c r="B2595" s="80"/>
      <c r="C2595" s="81"/>
      <c r="D2595" s="81"/>
      <c r="E2595" s="81"/>
      <c r="F2595" s="82" t="str">
        <f aca="false">IF(E2595="","",IF(LEFT(E2595,2)="DJ","DJ","JN"))</f>
        <v/>
      </c>
      <c r="G2595" s="81"/>
      <c r="H2595" s="81"/>
      <c r="I2595" s="81"/>
      <c r="J2595" s="81"/>
      <c r="K2595" s="81"/>
      <c r="L2595" s="81"/>
      <c r="M2595" s="81"/>
      <c r="N2595" s="81"/>
      <c r="O2595" s="81"/>
      <c r="P2595" s="81"/>
      <c r="Q2595" s="81"/>
      <c r="R2595" s="81"/>
      <c r="S2595" s="81"/>
      <c r="T2595" s="81"/>
      <c r="U2595" s="83"/>
      <c r="V2595" s="83"/>
      <c r="W2595" s="81"/>
      <c r="X2595" s="81"/>
      <c r="Y2595" s="83"/>
      <c r="Z2595" s="81"/>
      <c r="AA2595" s="81"/>
      <c r="AB2595" s="81"/>
      <c r="AC2595" s="81"/>
      <c r="AD2595" s="81"/>
      <c r="AE2595" s="83"/>
      <c r="AF2595" s="81"/>
      <c r="AG2595" s="81"/>
      <c r="AH2595" s="81"/>
      <c r="AI2595" s="81"/>
      <c r="AJ2595" s="83"/>
      <c r="AK2595" s="81"/>
      <c r="AL2595" s="81"/>
      <c r="AM2595" s="83"/>
      <c r="AN2595" s="80"/>
      <c r="AO2595" s="82" t="str">
        <f aca="false">IF(E2595="","",(AA2595&lt;&gt;"")+(AG2595&lt;&gt;"")+(AL2595&lt;&gt;""))</f>
        <v/>
      </c>
      <c r="AP2595" s="82" t="str">
        <f aca="false">IF(AL2595&lt;&gt;"",AL2595,IF(AG2595&lt;&gt;"",AG2595,IF(AA2595&lt;&gt;"",AA2595,"")))</f>
        <v/>
      </c>
      <c r="AQ2595" s="84" t="str">
        <f aca="false">IF(E2595="","",IF(U2595="","À SOUDER",IF(X2595="","VT EN ATTENTE",IF(X2595="R","VT REJETÉ – À REPRENDRE",IF(AP2595="","À RADIOGRAPHIER",IF(AP2595="A","ACCEPTÉ",IF(AP2595="NX","NX – RT À REFAIRE",IF(IF(AO2595=1,AD2595,IF(AO2595=2,AI2595,""))="A","RÉPARÉ – À RADIOGRAPHIER",IF(IF(AO2595=1,AD2595,IF(AO2595=2,AI2595,""))="R","VT REJETÉ – À REPRENDRE",IF(OR(AP2595="CO",AP2595="NT"),"COUPE – À RESOUDER","À RÉPARER"))))))))))</f>
        <v/>
      </c>
      <c r="AR2595" s="82" t="str">
        <f aca="false">IF(AND(ISNUMBER(U2595),OR(AQ2595="À RADIOGRAPHIER",AQ2595="RÉPARÉ – À RADIOGRAPHIER",AQ2595="NX – RT À REFAIRE",AQ2595="À RÉPARER",AQ2595="COUPE – À RESOUDER",AQ2595="VT REJETÉ – À REPRENDRE")),MAX(0,'PROGRAMME RT'!$C$4-U2595),"")</f>
        <v/>
      </c>
      <c r="AS2595" s="82" t="n">
        <f aca="false">IF(AND(OR(AQ2595="À RADIOGRAPHIER",AQ2595="RÉPARÉ – À RADIOGRAPHIER",AQ2595="NX – RT À REFAIRE"),OR('PROGRAMME RT'!$D$5="TOUTES",B2595='PROGRAMME RT'!$D$5)),1,0)</f>
        <v>0</v>
      </c>
      <c r="AT2595" s="82" t="str">
        <f aca="false">IF(AS2595=1,SUM(AS$7:AS2595),"")</f>
        <v/>
      </c>
      <c r="AU2595" s="82" t="n">
        <f aca="false">IF(AND(OR(AA2595="R",AA2595="NX",AA2595="NT",AA2595="CO"),OR('JOINTS DE RÉPARATION'!$D$5="TOUTES",B2595='JOINTS DE RÉPARATION'!$D$5),OR('JOINTS DE RÉPARATION'!$L$4="TOUS",AQ2595&lt;&gt;"ACCEPTÉ")),1,0)</f>
        <v>0</v>
      </c>
      <c r="AV2595" s="82" t="str">
        <f aca="false">IF(AU2595=1,SUM(AU$7:AU2595),"")</f>
        <v/>
      </c>
      <c r="AW2595" s="82" t="str">
        <f aca="false">IF(E2595="","",B2595&amp;"|"&amp;E2595)</f>
        <v/>
      </c>
    </row>
    <row r="2596" customFormat="false" ht="15" hidden="false" customHeight="false" outlineLevel="0" collapsed="false">
      <c r="A2596" s="79" t="str">
        <f aca="false">IF(E2596="","",ROW()-6)</f>
        <v/>
      </c>
      <c r="B2596" s="80"/>
      <c r="C2596" s="81"/>
      <c r="D2596" s="81"/>
      <c r="E2596" s="81"/>
      <c r="F2596" s="82" t="str">
        <f aca="false">IF(E2596="","",IF(LEFT(E2596,2)="DJ","DJ","JN"))</f>
        <v/>
      </c>
      <c r="G2596" s="81"/>
      <c r="H2596" s="81"/>
      <c r="I2596" s="81"/>
      <c r="J2596" s="81"/>
      <c r="K2596" s="81"/>
      <c r="L2596" s="81"/>
      <c r="M2596" s="81"/>
      <c r="N2596" s="81"/>
      <c r="O2596" s="81"/>
      <c r="P2596" s="81"/>
      <c r="Q2596" s="81"/>
      <c r="R2596" s="81"/>
      <c r="S2596" s="81"/>
      <c r="T2596" s="81"/>
      <c r="U2596" s="83"/>
      <c r="V2596" s="83"/>
      <c r="W2596" s="81"/>
      <c r="X2596" s="81"/>
      <c r="Y2596" s="83"/>
      <c r="Z2596" s="81"/>
      <c r="AA2596" s="81"/>
      <c r="AB2596" s="81"/>
      <c r="AC2596" s="81"/>
      <c r="AD2596" s="81"/>
      <c r="AE2596" s="83"/>
      <c r="AF2596" s="81"/>
      <c r="AG2596" s="81"/>
      <c r="AH2596" s="81"/>
      <c r="AI2596" s="81"/>
      <c r="AJ2596" s="83"/>
      <c r="AK2596" s="81"/>
      <c r="AL2596" s="81"/>
      <c r="AM2596" s="83"/>
      <c r="AN2596" s="80"/>
      <c r="AO2596" s="82" t="str">
        <f aca="false">IF(E2596="","",(AA2596&lt;&gt;"")+(AG2596&lt;&gt;"")+(AL2596&lt;&gt;""))</f>
        <v/>
      </c>
      <c r="AP2596" s="82" t="str">
        <f aca="false">IF(AL2596&lt;&gt;"",AL2596,IF(AG2596&lt;&gt;"",AG2596,IF(AA2596&lt;&gt;"",AA2596,"")))</f>
        <v/>
      </c>
      <c r="AQ2596" s="84" t="str">
        <f aca="false">IF(E2596="","",IF(U2596="","À SOUDER",IF(X2596="","VT EN ATTENTE",IF(X2596="R","VT REJETÉ – À REPRENDRE",IF(AP2596="","À RADIOGRAPHIER",IF(AP2596="A","ACCEPTÉ",IF(AP2596="NX","NX – RT À REFAIRE",IF(IF(AO2596=1,AD2596,IF(AO2596=2,AI2596,""))="A","RÉPARÉ – À RADIOGRAPHIER",IF(IF(AO2596=1,AD2596,IF(AO2596=2,AI2596,""))="R","VT REJETÉ – À REPRENDRE",IF(OR(AP2596="CO",AP2596="NT"),"COUPE – À RESOUDER","À RÉPARER"))))))))))</f>
        <v/>
      </c>
      <c r="AR2596" s="82" t="str">
        <f aca="false">IF(AND(ISNUMBER(U2596),OR(AQ2596="À RADIOGRAPHIER",AQ2596="RÉPARÉ – À RADIOGRAPHIER",AQ2596="NX – RT À REFAIRE",AQ2596="À RÉPARER",AQ2596="COUPE – À RESOUDER",AQ2596="VT REJETÉ – À REPRENDRE")),MAX(0,'PROGRAMME RT'!$C$4-U2596),"")</f>
        <v/>
      </c>
      <c r="AS2596" s="82" t="n">
        <f aca="false">IF(AND(OR(AQ2596="À RADIOGRAPHIER",AQ2596="RÉPARÉ – À RADIOGRAPHIER",AQ2596="NX – RT À REFAIRE"),OR('PROGRAMME RT'!$D$5="TOUTES",B2596='PROGRAMME RT'!$D$5)),1,0)</f>
        <v>0</v>
      </c>
      <c r="AT2596" s="82" t="str">
        <f aca="false">IF(AS2596=1,SUM(AS$7:AS2596),"")</f>
        <v/>
      </c>
      <c r="AU2596" s="82" t="n">
        <f aca="false">IF(AND(OR(AA2596="R",AA2596="NX",AA2596="NT",AA2596="CO"),OR('JOINTS DE RÉPARATION'!$D$5="TOUTES",B2596='JOINTS DE RÉPARATION'!$D$5),OR('JOINTS DE RÉPARATION'!$L$4="TOUS",AQ2596&lt;&gt;"ACCEPTÉ")),1,0)</f>
        <v>0</v>
      </c>
      <c r="AV2596" s="82" t="str">
        <f aca="false">IF(AU2596=1,SUM(AU$7:AU2596),"")</f>
        <v/>
      </c>
      <c r="AW2596" s="82" t="str">
        <f aca="false">IF(E2596="","",B2596&amp;"|"&amp;E2596)</f>
        <v/>
      </c>
    </row>
    <row r="2597" customFormat="false" ht="15" hidden="false" customHeight="false" outlineLevel="0" collapsed="false">
      <c r="A2597" s="79" t="str">
        <f aca="false">IF(E2597="","",ROW()-6)</f>
        <v/>
      </c>
      <c r="B2597" s="80"/>
      <c r="C2597" s="81"/>
      <c r="D2597" s="81"/>
      <c r="E2597" s="81"/>
      <c r="F2597" s="82" t="str">
        <f aca="false">IF(E2597="","",IF(LEFT(E2597,2)="DJ","DJ","JN"))</f>
        <v/>
      </c>
      <c r="G2597" s="81"/>
      <c r="H2597" s="81"/>
      <c r="I2597" s="81"/>
      <c r="J2597" s="81"/>
      <c r="K2597" s="81"/>
      <c r="L2597" s="81"/>
      <c r="M2597" s="81"/>
      <c r="N2597" s="81"/>
      <c r="O2597" s="81"/>
      <c r="P2597" s="81"/>
      <c r="Q2597" s="81"/>
      <c r="R2597" s="81"/>
      <c r="S2597" s="81"/>
      <c r="T2597" s="81"/>
      <c r="U2597" s="83"/>
      <c r="V2597" s="83"/>
      <c r="W2597" s="81"/>
      <c r="X2597" s="81"/>
      <c r="Y2597" s="83"/>
      <c r="Z2597" s="81"/>
      <c r="AA2597" s="81"/>
      <c r="AB2597" s="81"/>
      <c r="AC2597" s="81"/>
      <c r="AD2597" s="81"/>
      <c r="AE2597" s="83"/>
      <c r="AF2597" s="81"/>
      <c r="AG2597" s="81"/>
      <c r="AH2597" s="81"/>
      <c r="AI2597" s="81"/>
      <c r="AJ2597" s="83"/>
      <c r="AK2597" s="81"/>
      <c r="AL2597" s="81"/>
      <c r="AM2597" s="83"/>
      <c r="AN2597" s="80"/>
      <c r="AO2597" s="82" t="str">
        <f aca="false">IF(E2597="","",(AA2597&lt;&gt;"")+(AG2597&lt;&gt;"")+(AL2597&lt;&gt;""))</f>
        <v/>
      </c>
      <c r="AP2597" s="82" t="str">
        <f aca="false">IF(AL2597&lt;&gt;"",AL2597,IF(AG2597&lt;&gt;"",AG2597,IF(AA2597&lt;&gt;"",AA2597,"")))</f>
        <v/>
      </c>
      <c r="AQ2597" s="84" t="str">
        <f aca="false">IF(E2597="","",IF(U2597="","À SOUDER",IF(X2597="","VT EN ATTENTE",IF(X2597="R","VT REJETÉ – À REPRENDRE",IF(AP2597="","À RADIOGRAPHIER",IF(AP2597="A","ACCEPTÉ",IF(AP2597="NX","NX – RT À REFAIRE",IF(IF(AO2597=1,AD2597,IF(AO2597=2,AI2597,""))="A","RÉPARÉ – À RADIOGRAPHIER",IF(IF(AO2597=1,AD2597,IF(AO2597=2,AI2597,""))="R","VT REJETÉ – À REPRENDRE",IF(OR(AP2597="CO",AP2597="NT"),"COUPE – À RESOUDER","À RÉPARER"))))))))))</f>
        <v/>
      </c>
      <c r="AR2597" s="82" t="str">
        <f aca="false">IF(AND(ISNUMBER(U2597),OR(AQ2597="À RADIOGRAPHIER",AQ2597="RÉPARÉ – À RADIOGRAPHIER",AQ2597="NX – RT À REFAIRE",AQ2597="À RÉPARER",AQ2597="COUPE – À RESOUDER",AQ2597="VT REJETÉ – À REPRENDRE")),MAX(0,'PROGRAMME RT'!$C$4-U2597),"")</f>
        <v/>
      </c>
      <c r="AS2597" s="82" t="n">
        <f aca="false">IF(AND(OR(AQ2597="À RADIOGRAPHIER",AQ2597="RÉPARÉ – À RADIOGRAPHIER",AQ2597="NX – RT À REFAIRE"),OR('PROGRAMME RT'!$D$5="TOUTES",B2597='PROGRAMME RT'!$D$5)),1,0)</f>
        <v>0</v>
      </c>
      <c r="AT2597" s="82" t="str">
        <f aca="false">IF(AS2597=1,SUM(AS$7:AS2597),"")</f>
        <v/>
      </c>
      <c r="AU2597" s="82" t="n">
        <f aca="false">IF(AND(OR(AA2597="R",AA2597="NX",AA2597="NT",AA2597="CO"),OR('JOINTS DE RÉPARATION'!$D$5="TOUTES",B2597='JOINTS DE RÉPARATION'!$D$5),OR('JOINTS DE RÉPARATION'!$L$4="TOUS",AQ2597&lt;&gt;"ACCEPTÉ")),1,0)</f>
        <v>0</v>
      </c>
      <c r="AV2597" s="82" t="str">
        <f aca="false">IF(AU2597=1,SUM(AU$7:AU2597),"")</f>
        <v/>
      </c>
      <c r="AW2597" s="82" t="str">
        <f aca="false">IF(E2597="","",B2597&amp;"|"&amp;E2597)</f>
        <v/>
      </c>
    </row>
    <row r="2598" customFormat="false" ht="15" hidden="false" customHeight="false" outlineLevel="0" collapsed="false">
      <c r="A2598" s="79" t="str">
        <f aca="false">IF(E2598="","",ROW()-6)</f>
        <v/>
      </c>
      <c r="B2598" s="80"/>
      <c r="C2598" s="81"/>
      <c r="D2598" s="81"/>
      <c r="E2598" s="81"/>
      <c r="F2598" s="82" t="str">
        <f aca="false">IF(E2598="","",IF(LEFT(E2598,2)="DJ","DJ","JN"))</f>
        <v/>
      </c>
      <c r="G2598" s="81"/>
      <c r="H2598" s="81"/>
      <c r="I2598" s="81"/>
      <c r="J2598" s="81"/>
      <c r="K2598" s="81"/>
      <c r="L2598" s="81"/>
      <c r="M2598" s="81"/>
      <c r="N2598" s="81"/>
      <c r="O2598" s="81"/>
      <c r="P2598" s="81"/>
      <c r="Q2598" s="81"/>
      <c r="R2598" s="81"/>
      <c r="S2598" s="81"/>
      <c r="T2598" s="81"/>
      <c r="U2598" s="83"/>
      <c r="V2598" s="83"/>
      <c r="W2598" s="81"/>
      <c r="X2598" s="81"/>
      <c r="Y2598" s="83"/>
      <c r="Z2598" s="81"/>
      <c r="AA2598" s="81"/>
      <c r="AB2598" s="81"/>
      <c r="AC2598" s="81"/>
      <c r="AD2598" s="81"/>
      <c r="AE2598" s="83"/>
      <c r="AF2598" s="81"/>
      <c r="AG2598" s="81"/>
      <c r="AH2598" s="81"/>
      <c r="AI2598" s="81"/>
      <c r="AJ2598" s="83"/>
      <c r="AK2598" s="81"/>
      <c r="AL2598" s="81"/>
      <c r="AM2598" s="83"/>
      <c r="AN2598" s="80"/>
      <c r="AO2598" s="82" t="str">
        <f aca="false">IF(E2598="","",(AA2598&lt;&gt;"")+(AG2598&lt;&gt;"")+(AL2598&lt;&gt;""))</f>
        <v/>
      </c>
      <c r="AP2598" s="82" t="str">
        <f aca="false">IF(AL2598&lt;&gt;"",AL2598,IF(AG2598&lt;&gt;"",AG2598,IF(AA2598&lt;&gt;"",AA2598,"")))</f>
        <v/>
      </c>
      <c r="AQ2598" s="84" t="str">
        <f aca="false">IF(E2598="","",IF(U2598="","À SOUDER",IF(X2598="","VT EN ATTENTE",IF(X2598="R","VT REJETÉ – À REPRENDRE",IF(AP2598="","À RADIOGRAPHIER",IF(AP2598="A","ACCEPTÉ",IF(AP2598="NX","NX – RT À REFAIRE",IF(IF(AO2598=1,AD2598,IF(AO2598=2,AI2598,""))="A","RÉPARÉ – À RADIOGRAPHIER",IF(IF(AO2598=1,AD2598,IF(AO2598=2,AI2598,""))="R","VT REJETÉ – À REPRENDRE",IF(OR(AP2598="CO",AP2598="NT"),"COUPE – À RESOUDER","À RÉPARER"))))))))))</f>
        <v/>
      </c>
      <c r="AR2598" s="82" t="str">
        <f aca="false">IF(AND(ISNUMBER(U2598),OR(AQ2598="À RADIOGRAPHIER",AQ2598="RÉPARÉ – À RADIOGRAPHIER",AQ2598="NX – RT À REFAIRE",AQ2598="À RÉPARER",AQ2598="COUPE – À RESOUDER",AQ2598="VT REJETÉ – À REPRENDRE")),MAX(0,'PROGRAMME RT'!$C$4-U2598),"")</f>
        <v/>
      </c>
      <c r="AS2598" s="82" t="n">
        <f aca="false">IF(AND(OR(AQ2598="À RADIOGRAPHIER",AQ2598="RÉPARÉ – À RADIOGRAPHIER",AQ2598="NX – RT À REFAIRE"),OR('PROGRAMME RT'!$D$5="TOUTES",B2598='PROGRAMME RT'!$D$5)),1,0)</f>
        <v>0</v>
      </c>
      <c r="AT2598" s="82" t="str">
        <f aca="false">IF(AS2598=1,SUM(AS$7:AS2598),"")</f>
        <v/>
      </c>
      <c r="AU2598" s="82" t="n">
        <f aca="false">IF(AND(OR(AA2598="R",AA2598="NX",AA2598="NT",AA2598="CO"),OR('JOINTS DE RÉPARATION'!$D$5="TOUTES",B2598='JOINTS DE RÉPARATION'!$D$5),OR('JOINTS DE RÉPARATION'!$L$4="TOUS",AQ2598&lt;&gt;"ACCEPTÉ")),1,0)</f>
        <v>0</v>
      </c>
      <c r="AV2598" s="82" t="str">
        <f aca="false">IF(AU2598=1,SUM(AU$7:AU2598),"")</f>
        <v/>
      </c>
      <c r="AW2598" s="82" t="str">
        <f aca="false">IF(E2598="","",B2598&amp;"|"&amp;E2598)</f>
        <v/>
      </c>
    </row>
    <row r="2599" customFormat="false" ht="15" hidden="false" customHeight="false" outlineLevel="0" collapsed="false">
      <c r="A2599" s="79" t="str">
        <f aca="false">IF(E2599="","",ROW()-6)</f>
        <v/>
      </c>
      <c r="B2599" s="80"/>
      <c r="C2599" s="81"/>
      <c r="D2599" s="81"/>
      <c r="E2599" s="81"/>
      <c r="F2599" s="82" t="str">
        <f aca="false">IF(E2599="","",IF(LEFT(E2599,2)="DJ","DJ","JN"))</f>
        <v/>
      </c>
      <c r="G2599" s="81"/>
      <c r="H2599" s="81"/>
      <c r="I2599" s="81"/>
      <c r="J2599" s="81"/>
      <c r="K2599" s="81"/>
      <c r="L2599" s="81"/>
      <c r="M2599" s="81"/>
      <c r="N2599" s="81"/>
      <c r="O2599" s="81"/>
      <c r="P2599" s="81"/>
      <c r="Q2599" s="81"/>
      <c r="R2599" s="81"/>
      <c r="S2599" s="81"/>
      <c r="T2599" s="81"/>
      <c r="U2599" s="83"/>
      <c r="V2599" s="83"/>
      <c r="W2599" s="81"/>
      <c r="X2599" s="81"/>
      <c r="Y2599" s="83"/>
      <c r="Z2599" s="81"/>
      <c r="AA2599" s="81"/>
      <c r="AB2599" s="81"/>
      <c r="AC2599" s="81"/>
      <c r="AD2599" s="81"/>
      <c r="AE2599" s="83"/>
      <c r="AF2599" s="81"/>
      <c r="AG2599" s="81"/>
      <c r="AH2599" s="81"/>
      <c r="AI2599" s="81"/>
      <c r="AJ2599" s="83"/>
      <c r="AK2599" s="81"/>
      <c r="AL2599" s="81"/>
      <c r="AM2599" s="83"/>
      <c r="AN2599" s="80"/>
      <c r="AO2599" s="82" t="str">
        <f aca="false">IF(E2599="","",(AA2599&lt;&gt;"")+(AG2599&lt;&gt;"")+(AL2599&lt;&gt;""))</f>
        <v/>
      </c>
      <c r="AP2599" s="82" t="str">
        <f aca="false">IF(AL2599&lt;&gt;"",AL2599,IF(AG2599&lt;&gt;"",AG2599,IF(AA2599&lt;&gt;"",AA2599,"")))</f>
        <v/>
      </c>
      <c r="AQ2599" s="84" t="str">
        <f aca="false">IF(E2599="","",IF(U2599="","À SOUDER",IF(X2599="","VT EN ATTENTE",IF(X2599="R","VT REJETÉ – À REPRENDRE",IF(AP2599="","À RADIOGRAPHIER",IF(AP2599="A","ACCEPTÉ",IF(AP2599="NX","NX – RT À REFAIRE",IF(IF(AO2599=1,AD2599,IF(AO2599=2,AI2599,""))="A","RÉPARÉ – À RADIOGRAPHIER",IF(IF(AO2599=1,AD2599,IF(AO2599=2,AI2599,""))="R","VT REJETÉ – À REPRENDRE",IF(OR(AP2599="CO",AP2599="NT"),"COUPE – À RESOUDER","À RÉPARER"))))))))))</f>
        <v/>
      </c>
      <c r="AR2599" s="82" t="str">
        <f aca="false">IF(AND(ISNUMBER(U2599),OR(AQ2599="À RADIOGRAPHIER",AQ2599="RÉPARÉ – À RADIOGRAPHIER",AQ2599="NX – RT À REFAIRE",AQ2599="À RÉPARER",AQ2599="COUPE – À RESOUDER",AQ2599="VT REJETÉ – À REPRENDRE")),MAX(0,'PROGRAMME RT'!$C$4-U2599),"")</f>
        <v/>
      </c>
      <c r="AS2599" s="82" t="n">
        <f aca="false">IF(AND(OR(AQ2599="À RADIOGRAPHIER",AQ2599="RÉPARÉ – À RADIOGRAPHIER",AQ2599="NX – RT À REFAIRE"),OR('PROGRAMME RT'!$D$5="TOUTES",B2599='PROGRAMME RT'!$D$5)),1,0)</f>
        <v>0</v>
      </c>
      <c r="AT2599" s="82" t="str">
        <f aca="false">IF(AS2599=1,SUM(AS$7:AS2599),"")</f>
        <v/>
      </c>
      <c r="AU2599" s="82" t="n">
        <f aca="false">IF(AND(OR(AA2599="R",AA2599="NX",AA2599="NT",AA2599="CO"),OR('JOINTS DE RÉPARATION'!$D$5="TOUTES",B2599='JOINTS DE RÉPARATION'!$D$5),OR('JOINTS DE RÉPARATION'!$L$4="TOUS",AQ2599&lt;&gt;"ACCEPTÉ")),1,0)</f>
        <v>0</v>
      </c>
      <c r="AV2599" s="82" t="str">
        <f aca="false">IF(AU2599=1,SUM(AU$7:AU2599),"")</f>
        <v/>
      </c>
      <c r="AW2599" s="82" t="str">
        <f aca="false">IF(E2599="","",B2599&amp;"|"&amp;E2599)</f>
        <v/>
      </c>
    </row>
    <row r="2600" customFormat="false" ht="15" hidden="false" customHeight="false" outlineLevel="0" collapsed="false">
      <c r="A2600" s="79" t="str">
        <f aca="false">IF(E2600="","",ROW()-6)</f>
        <v/>
      </c>
      <c r="B2600" s="80"/>
      <c r="C2600" s="81"/>
      <c r="D2600" s="81"/>
      <c r="E2600" s="81"/>
      <c r="F2600" s="82" t="str">
        <f aca="false">IF(E2600="","",IF(LEFT(E2600,2)="DJ","DJ","JN"))</f>
        <v/>
      </c>
      <c r="G2600" s="81"/>
      <c r="H2600" s="81"/>
      <c r="I2600" s="81"/>
      <c r="J2600" s="81"/>
      <c r="K2600" s="81"/>
      <c r="L2600" s="81"/>
      <c r="M2600" s="81"/>
      <c r="N2600" s="81"/>
      <c r="O2600" s="81"/>
      <c r="P2600" s="81"/>
      <c r="Q2600" s="81"/>
      <c r="R2600" s="81"/>
      <c r="S2600" s="81"/>
      <c r="T2600" s="81"/>
      <c r="U2600" s="83"/>
      <c r="V2600" s="83"/>
      <c r="W2600" s="81"/>
      <c r="X2600" s="81"/>
      <c r="Y2600" s="83"/>
      <c r="Z2600" s="81"/>
      <c r="AA2600" s="81"/>
      <c r="AB2600" s="81"/>
      <c r="AC2600" s="81"/>
      <c r="AD2600" s="81"/>
      <c r="AE2600" s="83"/>
      <c r="AF2600" s="81"/>
      <c r="AG2600" s="81"/>
      <c r="AH2600" s="81"/>
      <c r="AI2600" s="81"/>
      <c r="AJ2600" s="83"/>
      <c r="AK2600" s="81"/>
      <c r="AL2600" s="81"/>
      <c r="AM2600" s="83"/>
      <c r="AN2600" s="80"/>
      <c r="AO2600" s="82" t="str">
        <f aca="false">IF(E2600="","",(AA2600&lt;&gt;"")+(AG2600&lt;&gt;"")+(AL2600&lt;&gt;""))</f>
        <v/>
      </c>
      <c r="AP2600" s="82" t="str">
        <f aca="false">IF(AL2600&lt;&gt;"",AL2600,IF(AG2600&lt;&gt;"",AG2600,IF(AA2600&lt;&gt;"",AA2600,"")))</f>
        <v/>
      </c>
      <c r="AQ2600" s="84" t="str">
        <f aca="false">IF(E2600="","",IF(U2600="","À SOUDER",IF(X2600="","VT EN ATTENTE",IF(X2600="R","VT REJETÉ – À REPRENDRE",IF(AP2600="","À RADIOGRAPHIER",IF(AP2600="A","ACCEPTÉ",IF(AP2600="NX","NX – RT À REFAIRE",IF(IF(AO2600=1,AD2600,IF(AO2600=2,AI2600,""))="A","RÉPARÉ – À RADIOGRAPHIER",IF(IF(AO2600=1,AD2600,IF(AO2600=2,AI2600,""))="R","VT REJETÉ – À REPRENDRE",IF(OR(AP2600="CO",AP2600="NT"),"COUPE – À RESOUDER","À RÉPARER"))))))))))</f>
        <v/>
      </c>
      <c r="AR2600" s="82" t="str">
        <f aca="false">IF(AND(ISNUMBER(U2600),OR(AQ2600="À RADIOGRAPHIER",AQ2600="RÉPARÉ – À RADIOGRAPHIER",AQ2600="NX – RT À REFAIRE",AQ2600="À RÉPARER",AQ2600="COUPE – À RESOUDER",AQ2600="VT REJETÉ – À REPRENDRE")),MAX(0,'PROGRAMME RT'!$C$4-U2600),"")</f>
        <v/>
      </c>
      <c r="AS2600" s="82" t="n">
        <f aca="false">IF(AND(OR(AQ2600="À RADIOGRAPHIER",AQ2600="RÉPARÉ – À RADIOGRAPHIER",AQ2600="NX – RT À REFAIRE"),OR('PROGRAMME RT'!$D$5="TOUTES",B2600='PROGRAMME RT'!$D$5)),1,0)</f>
        <v>0</v>
      </c>
      <c r="AT2600" s="82" t="str">
        <f aca="false">IF(AS2600=1,SUM(AS$7:AS2600),"")</f>
        <v/>
      </c>
      <c r="AU2600" s="82" t="n">
        <f aca="false">IF(AND(OR(AA2600="R",AA2600="NX",AA2600="NT",AA2600="CO"),OR('JOINTS DE RÉPARATION'!$D$5="TOUTES",B2600='JOINTS DE RÉPARATION'!$D$5),OR('JOINTS DE RÉPARATION'!$L$4="TOUS",AQ2600&lt;&gt;"ACCEPTÉ")),1,0)</f>
        <v>0</v>
      </c>
      <c r="AV2600" s="82" t="str">
        <f aca="false">IF(AU2600=1,SUM(AU$7:AU2600),"")</f>
        <v/>
      </c>
      <c r="AW2600" s="82" t="str">
        <f aca="false">IF(E2600="","",B2600&amp;"|"&amp;E2600)</f>
        <v/>
      </c>
    </row>
    <row r="2601" customFormat="false" ht="15" hidden="false" customHeight="false" outlineLevel="0" collapsed="false">
      <c r="A2601" s="79" t="str">
        <f aca="false">IF(E2601="","",ROW()-6)</f>
        <v/>
      </c>
      <c r="B2601" s="80"/>
      <c r="C2601" s="81"/>
      <c r="D2601" s="81"/>
      <c r="E2601" s="81"/>
      <c r="F2601" s="82" t="str">
        <f aca="false">IF(E2601="","",IF(LEFT(E2601,2)="DJ","DJ","JN"))</f>
        <v/>
      </c>
      <c r="G2601" s="81"/>
      <c r="H2601" s="81"/>
      <c r="I2601" s="81"/>
      <c r="J2601" s="81"/>
      <c r="K2601" s="81"/>
      <c r="L2601" s="81"/>
      <c r="M2601" s="81"/>
      <c r="N2601" s="81"/>
      <c r="O2601" s="81"/>
      <c r="P2601" s="81"/>
      <c r="Q2601" s="81"/>
      <c r="R2601" s="81"/>
      <c r="S2601" s="81"/>
      <c r="T2601" s="81"/>
      <c r="U2601" s="83"/>
      <c r="V2601" s="83"/>
      <c r="W2601" s="81"/>
      <c r="X2601" s="81"/>
      <c r="Y2601" s="83"/>
      <c r="Z2601" s="81"/>
      <c r="AA2601" s="81"/>
      <c r="AB2601" s="81"/>
      <c r="AC2601" s="81"/>
      <c r="AD2601" s="81"/>
      <c r="AE2601" s="83"/>
      <c r="AF2601" s="81"/>
      <c r="AG2601" s="81"/>
      <c r="AH2601" s="81"/>
      <c r="AI2601" s="81"/>
      <c r="AJ2601" s="83"/>
      <c r="AK2601" s="81"/>
      <c r="AL2601" s="81"/>
      <c r="AM2601" s="83"/>
      <c r="AN2601" s="80"/>
      <c r="AO2601" s="82" t="str">
        <f aca="false">IF(E2601="","",(AA2601&lt;&gt;"")+(AG2601&lt;&gt;"")+(AL2601&lt;&gt;""))</f>
        <v/>
      </c>
      <c r="AP2601" s="82" t="str">
        <f aca="false">IF(AL2601&lt;&gt;"",AL2601,IF(AG2601&lt;&gt;"",AG2601,IF(AA2601&lt;&gt;"",AA2601,"")))</f>
        <v/>
      </c>
      <c r="AQ2601" s="84" t="str">
        <f aca="false">IF(E2601="","",IF(U2601="","À SOUDER",IF(X2601="","VT EN ATTENTE",IF(X2601="R","VT REJETÉ – À REPRENDRE",IF(AP2601="","À RADIOGRAPHIER",IF(AP2601="A","ACCEPTÉ",IF(AP2601="NX","NX – RT À REFAIRE",IF(IF(AO2601=1,AD2601,IF(AO2601=2,AI2601,""))="A","RÉPARÉ – À RADIOGRAPHIER",IF(IF(AO2601=1,AD2601,IF(AO2601=2,AI2601,""))="R","VT REJETÉ – À REPRENDRE",IF(OR(AP2601="CO",AP2601="NT"),"COUPE – À RESOUDER","À RÉPARER"))))))))))</f>
        <v/>
      </c>
      <c r="AR2601" s="82" t="str">
        <f aca="false">IF(AND(ISNUMBER(U2601),OR(AQ2601="À RADIOGRAPHIER",AQ2601="RÉPARÉ – À RADIOGRAPHIER",AQ2601="NX – RT À REFAIRE",AQ2601="À RÉPARER",AQ2601="COUPE – À RESOUDER",AQ2601="VT REJETÉ – À REPRENDRE")),MAX(0,'PROGRAMME RT'!$C$4-U2601),"")</f>
        <v/>
      </c>
      <c r="AS2601" s="82" t="n">
        <f aca="false">IF(AND(OR(AQ2601="À RADIOGRAPHIER",AQ2601="RÉPARÉ – À RADIOGRAPHIER",AQ2601="NX – RT À REFAIRE"),OR('PROGRAMME RT'!$D$5="TOUTES",B2601='PROGRAMME RT'!$D$5)),1,0)</f>
        <v>0</v>
      </c>
      <c r="AT2601" s="82" t="str">
        <f aca="false">IF(AS2601=1,SUM(AS$7:AS2601),"")</f>
        <v/>
      </c>
      <c r="AU2601" s="82" t="n">
        <f aca="false">IF(AND(OR(AA2601="R",AA2601="NX",AA2601="NT",AA2601="CO"),OR('JOINTS DE RÉPARATION'!$D$5="TOUTES",B2601='JOINTS DE RÉPARATION'!$D$5),OR('JOINTS DE RÉPARATION'!$L$4="TOUS",AQ2601&lt;&gt;"ACCEPTÉ")),1,0)</f>
        <v>0</v>
      </c>
      <c r="AV2601" s="82" t="str">
        <f aca="false">IF(AU2601=1,SUM(AU$7:AU2601),"")</f>
        <v/>
      </c>
      <c r="AW2601" s="82" t="str">
        <f aca="false">IF(E2601="","",B2601&amp;"|"&amp;E2601)</f>
        <v/>
      </c>
    </row>
    <row r="2602" customFormat="false" ht="15" hidden="false" customHeight="false" outlineLevel="0" collapsed="false">
      <c r="A2602" s="79" t="str">
        <f aca="false">IF(E2602="","",ROW()-6)</f>
        <v/>
      </c>
      <c r="B2602" s="80"/>
      <c r="C2602" s="81"/>
      <c r="D2602" s="81"/>
      <c r="E2602" s="81"/>
      <c r="F2602" s="82" t="str">
        <f aca="false">IF(E2602="","",IF(LEFT(E2602,2)="DJ","DJ","JN"))</f>
        <v/>
      </c>
      <c r="G2602" s="81"/>
      <c r="H2602" s="81"/>
      <c r="I2602" s="81"/>
      <c r="J2602" s="81"/>
      <c r="K2602" s="81"/>
      <c r="L2602" s="81"/>
      <c r="M2602" s="81"/>
      <c r="N2602" s="81"/>
      <c r="O2602" s="81"/>
      <c r="P2602" s="81"/>
      <c r="Q2602" s="81"/>
      <c r="R2602" s="81"/>
      <c r="S2602" s="81"/>
      <c r="T2602" s="81"/>
      <c r="U2602" s="83"/>
      <c r="V2602" s="83"/>
      <c r="W2602" s="81"/>
      <c r="X2602" s="81"/>
      <c r="Y2602" s="83"/>
      <c r="Z2602" s="81"/>
      <c r="AA2602" s="81"/>
      <c r="AB2602" s="81"/>
      <c r="AC2602" s="81"/>
      <c r="AD2602" s="81"/>
      <c r="AE2602" s="83"/>
      <c r="AF2602" s="81"/>
      <c r="AG2602" s="81"/>
      <c r="AH2602" s="81"/>
      <c r="AI2602" s="81"/>
      <c r="AJ2602" s="83"/>
      <c r="AK2602" s="81"/>
      <c r="AL2602" s="81"/>
      <c r="AM2602" s="83"/>
      <c r="AN2602" s="80"/>
      <c r="AO2602" s="82" t="str">
        <f aca="false">IF(E2602="","",(AA2602&lt;&gt;"")+(AG2602&lt;&gt;"")+(AL2602&lt;&gt;""))</f>
        <v/>
      </c>
      <c r="AP2602" s="82" t="str">
        <f aca="false">IF(AL2602&lt;&gt;"",AL2602,IF(AG2602&lt;&gt;"",AG2602,IF(AA2602&lt;&gt;"",AA2602,"")))</f>
        <v/>
      </c>
      <c r="AQ2602" s="84" t="str">
        <f aca="false">IF(E2602="","",IF(U2602="","À SOUDER",IF(X2602="","VT EN ATTENTE",IF(X2602="R","VT REJETÉ – À REPRENDRE",IF(AP2602="","À RADIOGRAPHIER",IF(AP2602="A","ACCEPTÉ",IF(AP2602="NX","NX – RT À REFAIRE",IF(IF(AO2602=1,AD2602,IF(AO2602=2,AI2602,""))="A","RÉPARÉ – À RADIOGRAPHIER",IF(IF(AO2602=1,AD2602,IF(AO2602=2,AI2602,""))="R","VT REJETÉ – À REPRENDRE",IF(OR(AP2602="CO",AP2602="NT"),"COUPE – À RESOUDER","À RÉPARER"))))))))))</f>
        <v/>
      </c>
      <c r="AR2602" s="82" t="str">
        <f aca="false">IF(AND(ISNUMBER(U2602),OR(AQ2602="À RADIOGRAPHIER",AQ2602="RÉPARÉ – À RADIOGRAPHIER",AQ2602="NX – RT À REFAIRE",AQ2602="À RÉPARER",AQ2602="COUPE – À RESOUDER",AQ2602="VT REJETÉ – À REPRENDRE")),MAX(0,'PROGRAMME RT'!$C$4-U2602),"")</f>
        <v/>
      </c>
      <c r="AS2602" s="82" t="n">
        <f aca="false">IF(AND(OR(AQ2602="À RADIOGRAPHIER",AQ2602="RÉPARÉ – À RADIOGRAPHIER",AQ2602="NX – RT À REFAIRE"),OR('PROGRAMME RT'!$D$5="TOUTES",B2602='PROGRAMME RT'!$D$5)),1,0)</f>
        <v>0</v>
      </c>
      <c r="AT2602" s="82" t="str">
        <f aca="false">IF(AS2602=1,SUM(AS$7:AS2602),"")</f>
        <v/>
      </c>
      <c r="AU2602" s="82" t="n">
        <f aca="false">IF(AND(OR(AA2602="R",AA2602="NX",AA2602="NT",AA2602="CO"),OR('JOINTS DE RÉPARATION'!$D$5="TOUTES",B2602='JOINTS DE RÉPARATION'!$D$5),OR('JOINTS DE RÉPARATION'!$L$4="TOUS",AQ2602&lt;&gt;"ACCEPTÉ")),1,0)</f>
        <v>0</v>
      </c>
      <c r="AV2602" s="82" t="str">
        <f aca="false">IF(AU2602=1,SUM(AU$7:AU2602),"")</f>
        <v/>
      </c>
      <c r="AW2602" s="82" t="str">
        <f aca="false">IF(E2602="","",B2602&amp;"|"&amp;E2602)</f>
        <v/>
      </c>
    </row>
    <row r="2603" customFormat="false" ht="15" hidden="false" customHeight="false" outlineLevel="0" collapsed="false">
      <c r="A2603" s="79" t="str">
        <f aca="false">IF(E2603="","",ROW()-6)</f>
        <v/>
      </c>
      <c r="B2603" s="80"/>
      <c r="C2603" s="81"/>
      <c r="D2603" s="81"/>
      <c r="E2603" s="81"/>
      <c r="F2603" s="82" t="str">
        <f aca="false">IF(E2603="","",IF(LEFT(E2603,2)="DJ","DJ","JN"))</f>
        <v/>
      </c>
      <c r="G2603" s="81"/>
      <c r="H2603" s="81"/>
      <c r="I2603" s="81"/>
      <c r="J2603" s="81"/>
      <c r="K2603" s="81"/>
      <c r="L2603" s="81"/>
      <c r="M2603" s="81"/>
      <c r="N2603" s="81"/>
      <c r="O2603" s="81"/>
      <c r="P2603" s="81"/>
      <c r="Q2603" s="81"/>
      <c r="R2603" s="81"/>
      <c r="S2603" s="81"/>
      <c r="T2603" s="81"/>
      <c r="U2603" s="83"/>
      <c r="V2603" s="83"/>
      <c r="W2603" s="81"/>
      <c r="X2603" s="81"/>
      <c r="Y2603" s="83"/>
      <c r="Z2603" s="81"/>
      <c r="AA2603" s="81"/>
      <c r="AB2603" s="81"/>
      <c r="AC2603" s="81"/>
      <c r="AD2603" s="81"/>
      <c r="AE2603" s="83"/>
      <c r="AF2603" s="81"/>
      <c r="AG2603" s="81"/>
      <c r="AH2603" s="81"/>
      <c r="AI2603" s="81"/>
      <c r="AJ2603" s="83"/>
      <c r="AK2603" s="81"/>
      <c r="AL2603" s="81"/>
      <c r="AM2603" s="83"/>
      <c r="AN2603" s="80"/>
      <c r="AO2603" s="82" t="str">
        <f aca="false">IF(E2603="","",(AA2603&lt;&gt;"")+(AG2603&lt;&gt;"")+(AL2603&lt;&gt;""))</f>
        <v/>
      </c>
      <c r="AP2603" s="82" t="str">
        <f aca="false">IF(AL2603&lt;&gt;"",AL2603,IF(AG2603&lt;&gt;"",AG2603,IF(AA2603&lt;&gt;"",AA2603,"")))</f>
        <v/>
      </c>
      <c r="AQ2603" s="84" t="str">
        <f aca="false">IF(E2603="","",IF(U2603="","À SOUDER",IF(X2603="","VT EN ATTENTE",IF(X2603="R","VT REJETÉ – À REPRENDRE",IF(AP2603="","À RADIOGRAPHIER",IF(AP2603="A","ACCEPTÉ",IF(AP2603="NX","NX – RT À REFAIRE",IF(IF(AO2603=1,AD2603,IF(AO2603=2,AI2603,""))="A","RÉPARÉ – À RADIOGRAPHIER",IF(IF(AO2603=1,AD2603,IF(AO2603=2,AI2603,""))="R","VT REJETÉ – À REPRENDRE",IF(OR(AP2603="CO",AP2603="NT"),"COUPE – À RESOUDER","À RÉPARER"))))))))))</f>
        <v/>
      </c>
      <c r="AR2603" s="82" t="str">
        <f aca="false">IF(AND(ISNUMBER(U2603),OR(AQ2603="À RADIOGRAPHIER",AQ2603="RÉPARÉ – À RADIOGRAPHIER",AQ2603="NX – RT À REFAIRE",AQ2603="À RÉPARER",AQ2603="COUPE – À RESOUDER",AQ2603="VT REJETÉ – À REPRENDRE")),MAX(0,'PROGRAMME RT'!$C$4-U2603),"")</f>
        <v/>
      </c>
      <c r="AS2603" s="82" t="n">
        <f aca="false">IF(AND(OR(AQ2603="À RADIOGRAPHIER",AQ2603="RÉPARÉ – À RADIOGRAPHIER",AQ2603="NX – RT À REFAIRE"),OR('PROGRAMME RT'!$D$5="TOUTES",B2603='PROGRAMME RT'!$D$5)),1,0)</f>
        <v>0</v>
      </c>
      <c r="AT2603" s="82" t="str">
        <f aca="false">IF(AS2603=1,SUM(AS$7:AS2603),"")</f>
        <v/>
      </c>
      <c r="AU2603" s="82" t="n">
        <f aca="false">IF(AND(OR(AA2603="R",AA2603="NX",AA2603="NT",AA2603="CO"),OR('JOINTS DE RÉPARATION'!$D$5="TOUTES",B2603='JOINTS DE RÉPARATION'!$D$5),OR('JOINTS DE RÉPARATION'!$L$4="TOUS",AQ2603&lt;&gt;"ACCEPTÉ")),1,0)</f>
        <v>0</v>
      </c>
      <c r="AV2603" s="82" t="str">
        <f aca="false">IF(AU2603=1,SUM(AU$7:AU2603),"")</f>
        <v/>
      </c>
      <c r="AW2603" s="82" t="str">
        <f aca="false">IF(E2603="","",B2603&amp;"|"&amp;E2603)</f>
        <v/>
      </c>
    </row>
    <row r="2604" customFormat="false" ht="15" hidden="false" customHeight="false" outlineLevel="0" collapsed="false">
      <c r="A2604" s="79" t="str">
        <f aca="false">IF(E2604="","",ROW()-6)</f>
        <v/>
      </c>
      <c r="B2604" s="80"/>
      <c r="C2604" s="81"/>
      <c r="D2604" s="81"/>
      <c r="E2604" s="81"/>
      <c r="F2604" s="82" t="str">
        <f aca="false">IF(E2604="","",IF(LEFT(E2604,2)="DJ","DJ","JN"))</f>
        <v/>
      </c>
      <c r="G2604" s="81"/>
      <c r="H2604" s="81"/>
      <c r="I2604" s="81"/>
      <c r="J2604" s="81"/>
      <c r="K2604" s="81"/>
      <c r="L2604" s="81"/>
      <c r="M2604" s="81"/>
      <c r="N2604" s="81"/>
      <c r="O2604" s="81"/>
      <c r="P2604" s="81"/>
      <c r="Q2604" s="81"/>
      <c r="R2604" s="81"/>
      <c r="S2604" s="81"/>
      <c r="T2604" s="81"/>
      <c r="U2604" s="83"/>
      <c r="V2604" s="83"/>
      <c r="W2604" s="81"/>
      <c r="X2604" s="81"/>
      <c r="Y2604" s="83"/>
      <c r="Z2604" s="81"/>
      <c r="AA2604" s="81"/>
      <c r="AB2604" s="81"/>
      <c r="AC2604" s="81"/>
      <c r="AD2604" s="81"/>
      <c r="AE2604" s="83"/>
      <c r="AF2604" s="81"/>
      <c r="AG2604" s="81"/>
      <c r="AH2604" s="81"/>
      <c r="AI2604" s="81"/>
      <c r="AJ2604" s="83"/>
      <c r="AK2604" s="81"/>
      <c r="AL2604" s="81"/>
      <c r="AM2604" s="83"/>
      <c r="AN2604" s="80"/>
      <c r="AO2604" s="82" t="str">
        <f aca="false">IF(E2604="","",(AA2604&lt;&gt;"")+(AG2604&lt;&gt;"")+(AL2604&lt;&gt;""))</f>
        <v/>
      </c>
      <c r="AP2604" s="82" t="str">
        <f aca="false">IF(AL2604&lt;&gt;"",AL2604,IF(AG2604&lt;&gt;"",AG2604,IF(AA2604&lt;&gt;"",AA2604,"")))</f>
        <v/>
      </c>
      <c r="AQ2604" s="84" t="str">
        <f aca="false">IF(E2604="","",IF(U2604="","À SOUDER",IF(X2604="","VT EN ATTENTE",IF(X2604="R","VT REJETÉ – À REPRENDRE",IF(AP2604="","À RADIOGRAPHIER",IF(AP2604="A","ACCEPTÉ",IF(AP2604="NX","NX – RT À REFAIRE",IF(IF(AO2604=1,AD2604,IF(AO2604=2,AI2604,""))="A","RÉPARÉ – À RADIOGRAPHIER",IF(IF(AO2604=1,AD2604,IF(AO2604=2,AI2604,""))="R","VT REJETÉ – À REPRENDRE",IF(OR(AP2604="CO",AP2604="NT"),"COUPE – À RESOUDER","À RÉPARER"))))))))))</f>
        <v/>
      </c>
      <c r="AR2604" s="82" t="str">
        <f aca="false">IF(AND(ISNUMBER(U2604),OR(AQ2604="À RADIOGRAPHIER",AQ2604="RÉPARÉ – À RADIOGRAPHIER",AQ2604="NX – RT À REFAIRE",AQ2604="À RÉPARER",AQ2604="COUPE – À RESOUDER",AQ2604="VT REJETÉ – À REPRENDRE")),MAX(0,'PROGRAMME RT'!$C$4-U2604),"")</f>
        <v/>
      </c>
      <c r="AS2604" s="82" t="n">
        <f aca="false">IF(AND(OR(AQ2604="À RADIOGRAPHIER",AQ2604="RÉPARÉ – À RADIOGRAPHIER",AQ2604="NX – RT À REFAIRE"),OR('PROGRAMME RT'!$D$5="TOUTES",B2604='PROGRAMME RT'!$D$5)),1,0)</f>
        <v>0</v>
      </c>
      <c r="AT2604" s="82" t="str">
        <f aca="false">IF(AS2604=1,SUM(AS$7:AS2604),"")</f>
        <v/>
      </c>
      <c r="AU2604" s="82" t="n">
        <f aca="false">IF(AND(OR(AA2604="R",AA2604="NX",AA2604="NT",AA2604="CO"),OR('JOINTS DE RÉPARATION'!$D$5="TOUTES",B2604='JOINTS DE RÉPARATION'!$D$5),OR('JOINTS DE RÉPARATION'!$L$4="TOUS",AQ2604&lt;&gt;"ACCEPTÉ")),1,0)</f>
        <v>0</v>
      </c>
      <c r="AV2604" s="82" t="str">
        <f aca="false">IF(AU2604=1,SUM(AU$7:AU2604),"")</f>
        <v/>
      </c>
      <c r="AW2604" s="82" t="str">
        <f aca="false">IF(E2604="","",B2604&amp;"|"&amp;E2604)</f>
        <v/>
      </c>
    </row>
    <row r="2605" customFormat="false" ht="15" hidden="false" customHeight="false" outlineLevel="0" collapsed="false">
      <c r="A2605" s="79" t="str">
        <f aca="false">IF(E2605="","",ROW()-6)</f>
        <v/>
      </c>
      <c r="B2605" s="80"/>
      <c r="C2605" s="81"/>
      <c r="D2605" s="81"/>
      <c r="E2605" s="81"/>
      <c r="F2605" s="82" t="str">
        <f aca="false">IF(E2605="","",IF(LEFT(E2605,2)="DJ","DJ","JN"))</f>
        <v/>
      </c>
      <c r="G2605" s="81"/>
      <c r="H2605" s="81"/>
      <c r="I2605" s="81"/>
      <c r="J2605" s="81"/>
      <c r="K2605" s="81"/>
      <c r="L2605" s="81"/>
      <c r="M2605" s="81"/>
      <c r="N2605" s="81"/>
      <c r="O2605" s="81"/>
      <c r="P2605" s="81"/>
      <c r="Q2605" s="81"/>
      <c r="R2605" s="81"/>
      <c r="S2605" s="81"/>
      <c r="T2605" s="81"/>
      <c r="U2605" s="83"/>
      <c r="V2605" s="83"/>
      <c r="W2605" s="81"/>
      <c r="X2605" s="81"/>
      <c r="Y2605" s="83"/>
      <c r="Z2605" s="81"/>
      <c r="AA2605" s="81"/>
      <c r="AB2605" s="81"/>
      <c r="AC2605" s="81"/>
      <c r="AD2605" s="81"/>
      <c r="AE2605" s="83"/>
      <c r="AF2605" s="81"/>
      <c r="AG2605" s="81"/>
      <c r="AH2605" s="81"/>
      <c r="AI2605" s="81"/>
      <c r="AJ2605" s="83"/>
      <c r="AK2605" s="81"/>
      <c r="AL2605" s="81"/>
      <c r="AM2605" s="83"/>
      <c r="AN2605" s="80"/>
      <c r="AO2605" s="82" t="str">
        <f aca="false">IF(E2605="","",(AA2605&lt;&gt;"")+(AG2605&lt;&gt;"")+(AL2605&lt;&gt;""))</f>
        <v/>
      </c>
      <c r="AP2605" s="82" t="str">
        <f aca="false">IF(AL2605&lt;&gt;"",AL2605,IF(AG2605&lt;&gt;"",AG2605,IF(AA2605&lt;&gt;"",AA2605,"")))</f>
        <v/>
      </c>
      <c r="AQ2605" s="84" t="str">
        <f aca="false">IF(E2605="","",IF(U2605="","À SOUDER",IF(X2605="","VT EN ATTENTE",IF(X2605="R","VT REJETÉ – À REPRENDRE",IF(AP2605="","À RADIOGRAPHIER",IF(AP2605="A","ACCEPTÉ",IF(AP2605="NX","NX – RT À REFAIRE",IF(IF(AO2605=1,AD2605,IF(AO2605=2,AI2605,""))="A","RÉPARÉ – À RADIOGRAPHIER",IF(IF(AO2605=1,AD2605,IF(AO2605=2,AI2605,""))="R","VT REJETÉ – À REPRENDRE",IF(OR(AP2605="CO",AP2605="NT"),"COUPE – À RESOUDER","À RÉPARER"))))))))))</f>
        <v/>
      </c>
      <c r="AR2605" s="82" t="str">
        <f aca="false">IF(AND(ISNUMBER(U2605),OR(AQ2605="À RADIOGRAPHIER",AQ2605="RÉPARÉ – À RADIOGRAPHIER",AQ2605="NX – RT À REFAIRE",AQ2605="À RÉPARER",AQ2605="COUPE – À RESOUDER",AQ2605="VT REJETÉ – À REPRENDRE")),MAX(0,'PROGRAMME RT'!$C$4-U2605),"")</f>
        <v/>
      </c>
      <c r="AS2605" s="82" t="n">
        <f aca="false">IF(AND(OR(AQ2605="À RADIOGRAPHIER",AQ2605="RÉPARÉ – À RADIOGRAPHIER",AQ2605="NX – RT À REFAIRE"),OR('PROGRAMME RT'!$D$5="TOUTES",B2605='PROGRAMME RT'!$D$5)),1,0)</f>
        <v>0</v>
      </c>
      <c r="AT2605" s="82" t="str">
        <f aca="false">IF(AS2605=1,SUM(AS$7:AS2605),"")</f>
        <v/>
      </c>
      <c r="AU2605" s="82" t="n">
        <f aca="false">IF(AND(OR(AA2605="R",AA2605="NX",AA2605="NT",AA2605="CO"),OR('JOINTS DE RÉPARATION'!$D$5="TOUTES",B2605='JOINTS DE RÉPARATION'!$D$5),OR('JOINTS DE RÉPARATION'!$L$4="TOUS",AQ2605&lt;&gt;"ACCEPTÉ")),1,0)</f>
        <v>0</v>
      </c>
      <c r="AV2605" s="82" t="str">
        <f aca="false">IF(AU2605=1,SUM(AU$7:AU2605),"")</f>
        <v/>
      </c>
      <c r="AW2605" s="82" t="str">
        <f aca="false">IF(E2605="","",B2605&amp;"|"&amp;E2605)</f>
        <v/>
      </c>
    </row>
    <row r="2606" customFormat="false" ht="15" hidden="false" customHeight="false" outlineLevel="0" collapsed="false">
      <c r="A2606" s="79" t="str">
        <f aca="false">IF(E2606="","",ROW()-6)</f>
        <v/>
      </c>
      <c r="B2606" s="80"/>
      <c r="C2606" s="81"/>
      <c r="D2606" s="81"/>
      <c r="E2606" s="81"/>
      <c r="F2606" s="82" t="str">
        <f aca="false">IF(E2606="","",IF(LEFT(E2606,2)="DJ","DJ","JN"))</f>
        <v/>
      </c>
      <c r="G2606" s="81"/>
      <c r="H2606" s="81"/>
      <c r="I2606" s="81"/>
      <c r="J2606" s="81"/>
      <c r="K2606" s="81"/>
      <c r="L2606" s="81"/>
      <c r="M2606" s="81"/>
      <c r="N2606" s="81"/>
      <c r="O2606" s="81"/>
      <c r="P2606" s="81"/>
      <c r="Q2606" s="81"/>
      <c r="R2606" s="81"/>
      <c r="S2606" s="81"/>
      <c r="T2606" s="81"/>
      <c r="U2606" s="83"/>
      <c r="V2606" s="83"/>
      <c r="W2606" s="81"/>
      <c r="X2606" s="81"/>
      <c r="Y2606" s="83"/>
      <c r="Z2606" s="81"/>
      <c r="AA2606" s="81"/>
      <c r="AB2606" s="81"/>
      <c r="AC2606" s="81"/>
      <c r="AD2606" s="81"/>
      <c r="AE2606" s="83"/>
      <c r="AF2606" s="81"/>
      <c r="AG2606" s="81"/>
      <c r="AH2606" s="81"/>
      <c r="AI2606" s="81"/>
      <c r="AJ2606" s="83"/>
      <c r="AK2606" s="81"/>
      <c r="AL2606" s="81"/>
      <c r="AM2606" s="83"/>
      <c r="AN2606" s="80"/>
      <c r="AO2606" s="82" t="str">
        <f aca="false">IF(E2606="","",(AA2606&lt;&gt;"")+(AG2606&lt;&gt;"")+(AL2606&lt;&gt;""))</f>
        <v/>
      </c>
      <c r="AP2606" s="82" t="str">
        <f aca="false">IF(AL2606&lt;&gt;"",AL2606,IF(AG2606&lt;&gt;"",AG2606,IF(AA2606&lt;&gt;"",AA2606,"")))</f>
        <v/>
      </c>
      <c r="AQ2606" s="84" t="str">
        <f aca="false">IF(E2606="","",IF(U2606="","À SOUDER",IF(X2606="","VT EN ATTENTE",IF(X2606="R","VT REJETÉ – À REPRENDRE",IF(AP2606="","À RADIOGRAPHIER",IF(AP2606="A","ACCEPTÉ",IF(AP2606="NX","NX – RT À REFAIRE",IF(IF(AO2606=1,AD2606,IF(AO2606=2,AI2606,""))="A","RÉPARÉ – À RADIOGRAPHIER",IF(IF(AO2606=1,AD2606,IF(AO2606=2,AI2606,""))="R","VT REJETÉ – À REPRENDRE",IF(OR(AP2606="CO",AP2606="NT"),"COUPE – À RESOUDER","À RÉPARER"))))))))))</f>
        <v/>
      </c>
      <c r="AR2606" s="82" t="str">
        <f aca="false">IF(AND(ISNUMBER(U2606),OR(AQ2606="À RADIOGRAPHIER",AQ2606="RÉPARÉ – À RADIOGRAPHIER",AQ2606="NX – RT À REFAIRE",AQ2606="À RÉPARER",AQ2606="COUPE – À RESOUDER",AQ2606="VT REJETÉ – À REPRENDRE")),MAX(0,'PROGRAMME RT'!$C$4-U2606),"")</f>
        <v/>
      </c>
      <c r="AS2606" s="82" t="n">
        <f aca="false">IF(AND(OR(AQ2606="À RADIOGRAPHIER",AQ2606="RÉPARÉ – À RADIOGRAPHIER",AQ2606="NX – RT À REFAIRE"),OR('PROGRAMME RT'!$D$5="TOUTES",B2606='PROGRAMME RT'!$D$5)),1,0)</f>
        <v>0</v>
      </c>
      <c r="AT2606" s="82" t="str">
        <f aca="false">IF(AS2606=1,SUM(AS$7:AS2606),"")</f>
        <v/>
      </c>
      <c r="AU2606" s="82" t="n">
        <f aca="false">IF(AND(OR(AA2606="R",AA2606="NX",AA2606="NT",AA2606="CO"),OR('JOINTS DE RÉPARATION'!$D$5="TOUTES",B2606='JOINTS DE RÉPARATION'!$D$5),OR('JOINTS DE RÉPARATION'!$L$4="TOUS",AQ2606&lt;&gt;"ACCEPTÉ")),1,0)</f>
        <v>0</v>
      </c>
      <c r="AV2606" s="82" t="str">
        <f aca="false">IF(AU2606=1,SUM(AU$7:AU2606),"")</f>
        <v/>
      </c>
      <c r="AW2606" s="82" t="str">
        <f aca="false">IF(E2606="","",B2606&amp;"|"&amp;E2606)</f>
        <v/>
      </c>
    </row>
    <row r="2607" customFormat="false" ht="15" hidden="false" customHeight="false" outlineLevel="0" collapsed="false">
      <c r="A2607" s="79" t="str">
        <f aca="false">IF(E2607="","",ROW()-6)</f>
        <v/>
      </c>
      <c r="B2607" s="80"/>
      <c r="C2607" s="81"/>
      <c r="D2607" s="81"/>
      <c r="E2607" s="81"/>
      <c r="F2607" s="82" t="str">
        <f aca="false">IF(E2607="","",IF(LEFT(E2607,2)="DJ","DJ","JN"))</f>
        <v/>
      </c>
      <c r="G2607" s="81"/>
      <c r="H2607" s="81"/>
      <c r="I2607" s="81"/>
      <c r="J2607" s="81"/>
      <c r="K2607" s="81"/>
      <c r="L2607" s="81"/>
      <c r="M2607" s="81"/>
      <c r="N2607" s="81"/>
      <c r="O2607" s="81"/>
      <c r="P2607" s="81"/>
      <c r="Q2607" s="81"/>
      <c r="R2607" s="81"/>
      <c r="S2607" s="81"/>
      <c r="T2607" s="81"/>
      <c r="U2607" s="83"/>
      <c r="V2607" s="83"/>
      <c r="W2607" s="81"/>
      <c r="X2607" s="81"/>
      <c r="Y2607" s="83"/>
      <c r="Z2607" s="81"/>
      <c r="AA2607" s="81"/>
      <c r="AB2607" s="81"/>
      <c r="AC2607" s="81"/>
      <c r="AD2607" s="81"/>
      <c r="AE2607" s="83"/>
      <c r="AF2607" s="81"/>
      <c r="AG2607" s="81"/>
      <c r="AH2607" s="81"/>
      <c r="AI2607" s="81"/>
      <c r="AJ2607" s="83"/>
      <c r="AK2607" s="81"/>
      <c r="AL2607" s="81"/>
      <c r="AM2607" s="83"/>
      <c r="AN2607" s="80"/>
      <c r="AO2607" s="82" t="str">
        <f aca="false">IF(E2607="","",(AA2607&lt;&gt;"")+(AG2607&lt;&gt;"")+(AL2607&lt;&gt;""))</f>
        <v/>
      </c>
      <c r="AP2607" s="82" t="str">
        <f aca="false">IF(AL2607&lt;&gt;"",AL2607,IF(AG2607&lt;&gt;"",AG2607,IF(AA2607&lt;&gt;"",AA2607,"")))</f>
        <v/>
      </c>
      <c r="AQ2607" s="84" t="str">
        <f aca="false">IF(E2607="","",IF(U2607="","À SOUDER",IF(X2607="","VT EN ATTENTE",IF(X2607="R","VT REJETÉ – À REPRENDRE",IF(AP2607="","À RADIOGRAPHIER",IF(AP2607="A","ACCEPTÉ",IF(AP2607="NX","NX – RT À REFAIRE",IF(IF(AO2607=1,AD2607,IF(AO2607=2,AI2607,""))="A","RÉPARÉ – À RADIOGRAPHIER",IF(IF(AO2607=1,AD2607,IF(AO2607=2,AI2607,""))="R","VT REJETÉ – À REPRENDRE",IF(OR(AP2607="CO",AP2607="NT"),"COUPE – À RESOUDER","À RÉPARER"))))))))))</f>
        <v/>
      </c>
      <c r="AR2607" s="82" t="str">
        <f aca="false">IF(AND(ISNUMBER(U2607),OR(AQ2607="À RADIOGRAPHIER",AQ2607="RÉPARÉ – À RADIOGRAPHIER",AQ2607="NX – RT À REFAIRE",AQ2607="À RÉPARER",AQ2607="COUPE – À RESOUDER",AQ2607="VT REJETÉ – À REPRENDRE")),MAX(0,'PROGRAMME RT'!$C$4-U2607),"")</f>
        <v/>
      </c>
      <c r="AS2607" s="82" t="n">
        <f aca="false">IF(AND(OR(AQ2607="À RADIOGRAPHIER",AQ2607="RÉPARÉ – À RADIOGRAPHIER",AQ2607="NX – RT À REFAIRE"),OR('PROGRAMME RT'!$D$5="TOUTES",B2607='PROGRAMME RT'!$D$5)),1,0)</f>
        <v>0</v>
      </c>
      <c r="AT2607" s="82" t="str">
        <f aca="false">IF(AS2607=1,SUM(AS$7:AS2607),"")</f>
        <v/>
      </c>
      <c r="AU2607" s="82" t="n">
        <f aca="false">IF(AND(OR(AA2607="R",AA2607="NX",AA2607="NT",AA2607="CO"),OR('JOINTS DE RÉPARATION'!$D$5="TOUTES",B2607='JOINTS DE RÉPARATION'!$D$5),OR('JOINTS DE RÉPARATION'!$L$4="TOUS",AQ2607&lt;&gt;"ACCEPTÉ")),1,0)</f>
        <v>0</v>
      </c>
      <c r="AV2607" s="82" t="str">
        <f aca="false">IF(AU2607=1,SUM(AU$7:AU2607),"")</f>
        <v/>
      </c>
      <c r="AW2607" s="82" t="str">
        <f aca="false">IF(E2607="","",B2607&amp;"|"&amp;E2607)</f>
        <v/>
      </c>
    </row>
    <row r="2608" customFormat="false" ht="15" hidden="false" customHeight="false" outlineLevel="0" collapsed="false">
      <c r="A2608" s="79" t="str">
        <f aca="false">IF(E2608="","",ROW()-6)</f>
        <v/>
      </c>
      <c r="B2608" s="80"/>
      <c r="C2608" s="81"/>
      <c r="D2608" s="81"/>
      <c r="E2608" s="81"/>
      <c r="F2608" s="82" t="str">
        <f aca="false">IF(E2608="","",IF(LEFT(E2608,2)="DJ","DJ","JN"))</f>
        <v/>
      </c>
      <c r="G2608" s="81"/>
      <c r="H2608" s="81"/>
      <c r="I2608" s="81"/>
      <c r="J2608" s="81"/>
      <c r="K2608" s="81"/>
      <c r="L2608" s="81"/>
      <c r="M2608" s="81"/>
      <c r="N2608" s="81"/>
      <c r="O2608" s="81"/>
      <c r="P2608" s="81"/>
      <c r="Q2608" s="81"/>
      <c r="R2608" s="81"/>
      <c r="S2608" s="81"/>
      <c r="T2608" s="81"/>
      <c r="U2608" s="83"/>
      <c r="V2608" s="83"/>
      <c r="W2608" s="81"/>
      <c r="X2608" s="81"/>
      <c r="Y2608" s="83"/>
      <c r="Z2608" s="81"/>
      <c r="AA2608" s="81"/>
      <c r="AB2608" s="81"/>
      <c r="AC2608" s="81"/>
      <c r="AD2608" s="81"/>
      <c r="AE2608" s="83"/>
      <c r="AF2608" s="81"/>
      <c r="AG2608" s="81"/>
      <c r="AH2608" s="81"/>
      <c r="AI2608" s="81"/>
      <c r="AJ2608" s="83"/>
      <c r="AK2608" s="81"/>
      <c r="AL2608" s="81"/>
      <c r="AM2608" s="83"/>
      <c r="AN2608" s="80"/>
      <c r="AO2608" s="82" t="str">
        <f aca="false">IF(E2608="","",(AA2608&lt;&gt;"")+(AG2608&lt;&gt;"")+(AL2608&lt;&gt;""))</f>
        <v/>
      </c>
      <c r="AP2608" s="82" t="str">
        <f aca="false">IF(AL2608&lt;&gt;"",AL2608,IF(AG2608&lt;&gt;"",AG2608,IF(AA2608&lt;&gt;"",AA2608,"")))</f>
        <v/>
      </c>
      <c r="AQ2608" s="84" t="str">
        <f aca="false">IF(E2608="","",IF(U2608="","À SOUDER",IF(X2608="","VT EN ATTENTE",IF(X2608="R","VT REJETÉ – À REPRENDRE",IF(AP2608="","À RADIOGRAPHIER",IF(AP2608="A","ACCEPTÉ",IF(AP2608="NX","NX – RT À REFAIRE",IF(IF(AO2608=1,AD2608,IF(AO2608=2,AI2608,""))="A","RÉPARÉ – À RADIOGRAPHIER",IF(IF(AO2608=1,AD2608,IF(AO2608=2,AI2608,""))="R","VT REJETÉ – À REPRENDRE",IF(OR(AP2608="CO",AP2608="NT"),"COUPE – À RESOUDER","À RÉPARER"))))))))))</f>
        <v/>
      </c>
      <c r="AR2608" s="82" t="str">
        <f aca="false">IF(AND(ISNUMBER(U2608),OR(AQ2608="À RADIOGRAPHIER",AQ2608="RÉPARÉ – À RADIOGRAPHIER",AQ2608="NX – RT À REFAIRE",AQ2608="À RÉPARER",AQ2608="COUPE – À RESOUDER",AQ2608="VT REJETÉ – À REPRENDRE")),MAX(0,'PROGRAMME RT'!$C$4-U2608),"")</f>
        <v/>
      </c>
      <c r="AS2608" s="82" t="n">
        <f aca="false">IF(AND(OR(AQ2608="À RADIOGRAPHIER",AQ2608="RÉPARÉ – À RADIOGRAPHIER",AQ2608="NX – RT À REFAIRE"),OR('PROGRAMME RT'!$D$5="TOUTES",B2608='PROGRAMME RT'!$D$5)),1,0)</f>
        <v>0</v>
      </c>
      <c r="AT2608" s="82" t="str">
        <f aca="false">IF(AS2608=1,SUM(AS$7:AS2608),"")</f>
        <v/>
      </c>
      <c r="AU2608" s="82" t="n">
        <f aca="false">IF(AND(OR(AA2608="R",AA2608="NX",AA2608="NT",AA2608="CO"),OR('JOINTS DE RÉPARATION'!$D$5="TOUTES",B2608='JOINTS DE RÉPARATION'!$D$5),OR('JOINTS DE RÉPARATION'!$L$4="TOUS",AQ2608&lt;&gt;"ACCEPTÉ")),1,0)</f>
        <v>0</v>
      </c>
      <c r="AV2608" s="82" t="str">
        <f aca="false">IF(AU2608=1,SUM(AU$7:AU2608),"")</f>
        <v/>
      </c>
      <c r="AW2608" s="82" t="str">
        <f aca="false">IF(E2608="","",B2608&amp;"|"&amp;E2608)</f>
        <v/>
      </c>
    </row>
    <row r="2609" customFormat="false" ht="15" hidden="false" customHeight="false" outlineLevel="0" collapsed="false">
      <c r="A2609" s="79" t="str">
        <f aca="false">IF(E2609="","",ROW()-6)</f>
        <v/>
      </c>
      <c r="B2609" s="80"/>
      <c r="C2609" s="81"/>
      <c r="D2609" s="81"/>
      <c r="E2609" s="81"/>
      <c r="F2609" s="82" t="str">
        <f aca="false">IF(E2609="","",IF(LEFT(E2609,2)="DJ","DJ","JN"))</f>
        <v/>
      </c>
      <c r="G2609" s="81"/>
      <c r="H2609" s="81"/>
      <c r="I2609" s="81"/>
      <c r="J2609" s="81"/>
      <c r="K2609" s="81"/>
      <c r="L2609" s="81"/>
      <c r="M2609" s="81"/>
      <c r="N2609" s="81"/>
      <c r="O2609" s="81"/>
      <c r="P2609" s="81"/>
      <c r="Q2609" s="81"/>
      <c r="R2609" s="81"/>
      <c r="S2609" s="81"/>
      <c r="T2609" s="81"/>
      <c r="U2609" s="83"/>
      <c r="V2609" s="83"/>
      <c r="W2609" s="81"/>
      <c r="X2609" s="81"/>
      <c r="Y2609" s="83"/>
      <c r="Z2609" s="81"/>
      <c r="AA2609" s="81"/>
      <c r="AB2609" s="81"/>
      <c r="AC2609" s="81"/>
      <c r="AD2609" s="81"/>
      <c r="AE2609" s="83"/>
      <c r="AF2609" s="81"/>
      <c r="AG2609" s="81"/>
      <c r="AH2609" s="81"/>
      <c r="AI2609" s="81"/>
      <c r="AJ2609" s="83"/>
      <c r="AK2609" s="81"/>
      <c r="AL2609" s="81"/>
      <c r="AM2609" s="83"/>
      <c r="AN2609" s="80"/>
      <c r="AO2609" s="82" t="str">
        <f aca="false">IF(E2609="","",(AA2609&lt;&gt;"")+(AG2609&lt;&gt;"")+(AL2609&lt;&gt;""))</f>
        <v/>
      </c>
      <c r="AP2609" s="82" t="str">
        <f aca="false">IF(AL2609&lt;&gt;"",AL2609,IF(AG2609&lt;&gt;"",AG2609,IF(AA2609&lt;&gt;"",AA2609,"")))</f>
        <v/>
      </c>
      <c r="AQ2609" s="84" t="str">
        <f aca="false">IF(E2609="","",IF(U2609="","À SOUDER",IF(X2609="","VT EN ATTENTE",IF(X2609="R","VT REJETÉ – À REPRENDRE",IF(AP2609="","À RADIOGRAPHIER",IF(AP2609="A","ACCEPTÉ",IF(AP2609="NX","NX – RT À REFAIRE",IF(IF(AO2609=1,AD2609,IF(AO2609=2,AI2609,""))="A","RÉPARÉ – À RADIOGRAPHIER",IF(IF(AO2609=1,AD2609,IF(AO2609=2,AI2609,""))="R","VT REJETÉ – À REPRENDRE",IF(OR(AP2609="CO",AP2609="NT"),"COUPE – À RESOUDER","À RÉPARER"))))))))))</f>
        <v/>
      </c>
      <c r="AR2609" s="82" t="str">
        <f aca="false">IF(AND(ISNUMBER(U2609),OR(AQ2609="À RADIOGRAPHIER",AQ2609="RÉPARÉ – À RADIOGRAPHIER",AQ2609="NX – RT À REFAIRE",AQ2609="À RÉPARER",AQ2609="COUPE – À RESOUDER",AQ2609="VT REJETÉ – À REPRENDRE")),MAX(0,'PROGRAMME RT'!$C$4-U2609),"")</f>
        <v/>
      </c>
      <c r="AS2609" s="82" t="n">
        <f aca="false">IF(AND(OR(AQ2609="À RADIOGRAPHIER",AQ2609="RÉPARÉ – À RADIOGRAPHIER",AQ2609="NX – RT À REFAIRE"),OR('PROGRAMME RT'!$D$5="TOUTES",B2609='PROGRAMME RT'!$D$5)),1,0)</f>
        <v>0</v>
      </c>
      <c r="AT2609" s="82" t="str">
        <f aca="false">IF(AS2609=1,SUM(AS$7:AS2609),"")</f>
        <v/>
      </c>
      <c r="AU2609" s="82" t="n">
        <f aca="false">IF(AND(OR(AA2609="R",AA2609="NX",AA2609="NT",AA2609="CO"),OR('JOINTS DE RÉPARATION'!$D$5="TOUTES",B2609='JOINTS DE RÉPARATION'!$D$5),OR('JOINTS DE RÉPARATION'!$L$4="TOUS",AQ2609&lt;&gt;"ACCEPTÉ")),1,0)</f>
        <v>0</v>
      </c>
      <c r="AV2609" s="82" t="str">
        <f aca="false">IF(AU2609=1,SUM(AU$7:AU2609),"")</f>
        <v/>
      </c>
      <c r="AW2609" s="82" t="str">
        <f aca="false">IF(E2609="","",B2609&amp;"|"&amp;E2609)</f>
        <v/>
      </c>
    </row>
    <row r="2610" customFormat="false" ht="15" hidden="false" customHeight="false" outlineLevel="0" collapsed="false">
      <c r="A2610" s="79" t="str">
        <f aca="false">IF(E2610="","",ROW()-6)</f>
        <v/>
      </c>
      <c r="B2610" s="80"/>
      <c r="C2610" s="81"/>
      <c r="D2610" s="81"/>
      <c r="E2610" s="81"/>
      <c r="F2610" s="82" t="str">
        <f aca="false">IF(E2610="","",IF(LEFT(E2610,2)="DJ","DJ","JN"))</f>
        <v/>
      </c>
      <c r="G2610" s="81"/>
      <c r="H2610" s="81"/>
      <c r="I2610" s="81"/>
      <c r="J2610" s="81"/>
      <c r="K2610" s="81"/>
      <c r="L2610" s="81"/>
      <c r="M2610" s="81"/>
      <c r="N2610" s="81"/>
      <c r="O2610" s="81"/>
      <c r="P2610" s="81"/>
      <c r="Q2610" s="81"/>
      <c r="R2610" s="81"/>
      <c r="S2610" s="81"/>
      <c r="T2610" s="81"/>
      <c r="U2610" s="83"/>
      <c r="V2610" s="83"/>
      <c r="W2610" s="81"/>
      <c r="X2610" s="81"/>
      <c r="Y2610" s="83"/>
      <c r="Z2610" s="81"/>
      <c r="AA2610" s="81"/>
      <c r="AB2610" s="81"/>
      <c r="AC2610" s="81"/>
      <c r="AD2610" s="81"/>
      <c r="AE2610" s="83"/>
      <c r="AF2610" s="81"/>
      <c r="AG2610" s="81"/>
      <c r="AH2610" s="81"/>
      <c r="AI2610" s="81"/>
      <c r="AJ2610" s="83"/>
      <c r="AK2610" s="81"/>
      <c r="AL2610" s="81"/>
      <c r="AM2610" s="83"/>
      <c r="AN2610" s="80"/>
      <c r="AO2610" s="82" t="str">
        <f aca="false">IF(E2610="","",(AA2610&lt;&gt;"")+(AG2610&lt;&gt;"")+(AL2610&lt;&gt;""))</f>
        <v/>
      </c>
      <c r="AP2610" s="82" t="str">
        <f aca="false">IF(AL2610&lt;&gt;"",AL2610,IF(AG2610&lt;&gt;"",AG2610,IF(AA2610&lt;&gt;"",AA2610,"")))</f>
        <v/>
      </c>
      <c r="AQ2610" s="84" t="str">
        <f aca="false">IF(E2610="","",IF(U2610="","À SOUDER",IF(X2610="","VT EN ATTENTE",IF(X2610="R","VT REJETÉ – À REPRENDRE",IF(AP2610="","À RADIOGRAPHIER",IF(AP2610="A","ACCEPTÉ",IF(AP2610="NX","NX – RT À REFAIRE",IF(IF(AO2610=1,AD2610,IF(AO2610=2,AI2610,""))="A","RÉPARÉ – À RADIOGRAPHIER",IF(IF(AO2610=1,AD2610,IF(AO2610=2,AI2610,""))="R","VT REJETÉ – À REPRENDRE",IF(OR(AP2610="CO",AP2610="NT"),"COUPE – À RESOUDER","À RÉPARER"))))))))))</f>
        <v/>
      </c>
      <c r="AR2610" s="82" t="str">
        <f aca="false">IF(AND(ISNUMBER(U2610),OR(AQ2610="À RADIOGRAPHIER",AQ2610="RÉPARÉ – À RADIOGRAPHIER",AQ2610="NX – RT À REFAIRE",AQ2610="À RÉPARER",AQ2610="COUPE – À RESOUDER",AQ2610="VT REJETÉ – À REPRENDRE")),MAX(0,'PROGRAMME RT'!$C$4-U2610),"")</f>
        <v/>
      </c>
      <c r="AS2610" s="82" t="n">
        <f aca="false">IF(AND(OR(AQ2610="À RADIOGRAPHIER",AQ2610="RÉPARÉ – À RADIOGRAPHIER",AQ2610="NX – RT À REFAIRE"),OR('PROGRAMME RT'!$D$5="TOUTES",B2610='PROGRAMME RT'!$D$5)),1,0)</f>
        <v>0</v>
      </c>
      <c r="AT2610" s="82" t="str">
        <f aca="false">IF(AS2610=1,SUM(AS$7:AS2610),"")</f>
        <v/>
      </c>
      <c r="AU2610" s="82" t="n">
        <f aca="false">IF(AND(OR(AA2610="R",AA2610="NX",AA2610="NT",AA2610="CO"),OR('JOINTS DE RÉPARATION'!$D$5="TOUTES",B2610='JOINTS DE RÉPARATION'!$D$5),OR('JOINTS DE RÉPARATION'!$L$4="TOUS",AQ2610&lt;&gt;"ACCEPTÉ")),1,0)</f>
        <v>0</v>
      </c>
      <c r="AV2610" s="82" t="str">
        <f aca="false">IF(AU2610=1,SUM(AU$7:AU2610),"")</f>
        <v/>
      </c>
      <c r="AW2610" s="82" t="str">
        <f aca="false">IF(E2610="","",B2610&amp;"|"&amp;E2610)</f>
        <v/>
      </c>
    </row>
    <row r="2611" customFormat="false" ht="15" hidden="false" customHeight="false" outlineLevel="0" collapsed="false">
      <c r="A2611" s="79" t="str">
        <f aca="false">IF(E2611="","",ROW()-6)</f>
        <v/>
      </c>
      <c r="B2611" s="80"/>
      <c r="C2611" s="81"/>
      <c r="D2611" s="81"/>
      <c r="E2611" s="81"/>
      <c r="F2611" s="82" t="str">
        <f aca="false">IF(E2611="","",IF(LEFT(E2611,2)="DJ","DJ","JN"))</f>
        <v/>
      </c>
      <c r="G2611" s="81"/>
      <c r="H2611" s="81"/>
      <c r="I2611" s="81"/>
      <c r="J2611" s="81"/>
      <c r="K2611" s="81"/>
      <c r="L2611" s="81"/>
      <c r="M2611" s="81"/>
      <c r="N2611" s="81"/>
      <c r="O2611" s="81"/>
      <c r="P2611" s="81"/>
      <c r="Q2611" s="81"/>
      <c r="R2611" s="81"/>
      <c r="S2611" s="81"/>
      <c r="T2611" s="81"/>
      <c r="U2611" s="83"/>
      <c r="V2611" s="83"/>
      <c r="W2611" s="81"/>
      <c r="X2611" s="81"/>
      <c r="Y2611" s="83"/>
      <c r="Z2611" s="81"/>
      <c r="AA2611" s="81"/>
      <c r="AB2611" s="81"/>
      <c r="AC2611" s="81"/>
      <c r="AD2611" s="81"/>
      <c r="AE2611" s="83"/>
      <c r="AF2611" s="81"/>
      <c r="AG2611" s="81"/>
      <c r="AH2611" s="81"/>
      <c r="AI2611" s="81"/>
      <c r="AJ2611" s="83"/>
      <c r="AK2611" s="81"/>
      <c r="AL2611" s="81"/>
      <c r="AM2611" s="83"/>
      <c r="AN2611" s="80"/>
      <c r="AO2611" s="82" t="str">
        <f aca="false">IF(E2611="","",(AA2611&lt;&gt;"")+(AG2611&lt;&gt;"")+(AL2611&lt;&gt;""))</f>
        <v/>
      </c>
      <c r="AP2611" s="82" t="str">
        <f aca="false">IF(AL2611&lt;&gt;"",AL2611,IF(AG2611&lt;&gt;"",AG2611,IF(AA2611&lt;&gt;"",AA2611,"")))</f>
        <v/>
      </c>
      <c r="AQ2611" s="84" t="str">
        <f aca="false">IF(E2611="","",IF(U2611="","À SOUDER",IF(X2611="","VT EN ATTENTE",IF(X2611="R","VT REJETÉ – À REPRENDRE",IF(AP2611="","À RADIOGRAPHIER",IF(AP2611="A","ACCEPTÉ",IF(AP2611="NX","NX – RT À REFAIRE",IF(IF(AO2611=1,AD2611,IF(AO2611=2,AI2611,""))="A","RÉPARÉ – À RADIOGRAPHIER",IF(IF(AO2611=1,AD2611,IF(AO2611=2,AI2611,""))="R","VT REJETÉ – À REPRENDRE",IF(OR(AP2611="CO",AP2611="NT"),"COUPE – À RESOUDER","À RÉPARER"))))))))))</f>
        <v/>
      </c>
      <c r="AR2611" s="82" t="str">
        <f aca="false">IF(AND(ISNUMBER(U2611),OR(AQ2611="À RADIOGRAPHIER",AQ2611="RÉPARÉ – À RADIOGRAPHIER",AQ2611="NX – RT À REFAIRE",AQ2611="À RÉPARER",AQ2611="COUPE – À RESOUDER",AQ2611="VT REJETÉ – À REPRENDRE")),MAX(0,'PROGRAMME RT'!$C$4-U2611),"")</f>
        <v/>
      </c>
      <c r="AS2611" s="82" t="n">
        <f aca="false">IF(AND(OR(AQ2611="À RADIOGRAPHIER",AQ2611="RÉPARÉ – À RADIOGRAPHIER",AQ2611="NX – RT À REFAIRE"),OR('PROGRAMME RT'!$D$5="TOUTES",B2611='PROGRAMME RT'!$D$5)),1,0)</f>
        <v>0</v>
      </c>
      <c r="AT2611" s="82" t="str">
        <f aca="false">IF(AS2611=1,SUM(AS$7:AS2611),"")</f>
        <v/>
      </c>
      <c r="AU2611" s="82" t="n">
        <f aca="false">IF(AND(OR(AA2611="R",AA2611="NX",AA2611="NT",AA2611="CO"),OR('JOINTS DE RÉPARATION'!$D$5="TOUTES",B2611='JOINTS DE RÉPARATION'!$D$5),OR('JOINTS DE RÉPARATION'!$L$4="TOUS",AQ2611&lt;&gt;"ACCEPTÉ")),1,0)</f>
        <v>0</v>
      </c>
      <c r="AV2611" s="82" t="str">
        <f aca="false">IF(AU2611=1,SUM(AU$7:AU2611),"")</f>
        <v/>
      </c>
      <c r="AW2611" s="82" t="str">
        <f aca="false">IF(E2611="","",B2611&amp;"|"&amp;E2611)</f>
        <v/>
      </c>
    </row>
    <row r="2612" customFormat="false" ht="15" hidden="false" customHeight="false" outlineLevel="0" collapsed="false">
      <c r="A2612" s="79" t="str">
        <f aca="false">IF(E2612="","",ROW()-6)</f>
        <v/>
      </c>
      <c r="B2612" s="80"/>
      <c r="C2612" s="81"/>
      <c r="D2612" s="81"/>
      <c r="E2612" s="81"/>
      <c r="F2612" s="82" t="str">
        <f aca="false">IF(E2612="","",IF(LEFT(E2612,2)="DJ","DJ","JN"))</f>
        <v/>
      </c>
      <c r="G2612" s="81"/>
      <c r="H2612" s="81"/>
      <c r="I2612" s="81"/>
      <c r="J2612" s="81"/>
      <c r="K2612" s="81"/>
      <c r="L2612" s="81"/>
      <c r="M2612" s="81"/>
      <c r="N2612" s="81"/>
      <c r="O2612" s="81"/>
      <c r="P2612" s="81"/>
      <c r="Q2612" s="81"/>
      <c r="R2612" s="81"/>
      <c r="S2612" s="81"/>
      <c r="T2612" s="81"/>
      <c r="U2612" s="83"/>
      <c r="V2612" s="83"/>
      <c r="W2612" s="81"/>
      <c r="X2612" s="81"/>
      <c r="Y2612" s="83"/>
      <c r="Z2612" s="81"/>
      <c r="AA2612" s="81"/>
      <c r="AB2612" s="81"/>
      <c r="AC2612" s="81"/>
      <c r="AD2612" s="81"/>
      <c r="AE2612" s="83"/>
      <c r="AF2612" s="81"/>
      <c r="AG2612" s="81"/>
      <c r="AH2612" s="81"/>
      <c r="AI2612" s="81"/>
      <c r="AJ2612" s="83"/>
      <c r="AK2612" s="81"/>
      <c r="AL2612" s="81"/>
      <c r="AM2612" s="83"/>
      <c r="AN2612" s="80"/>
      <c r="AO2612" s="82" t="str">
        <f aca="false">IF(E2612="","",(AA2612&lt;&gt;"")+(AG2612&lt;&gt;"")+(AL2612&lt;&gt;""))</f>
        <v/>
      </c>
      <c r="AP2612" s="82" t="str">
        <f aca="false">IF(AL2612&lt;&gt;"",AL2612,IF(AG2612&lt;&gt;"",AG2612,IF(AA2612&lt;&gt;"",AA2612,"")))</f>
        <v/>
      </c>
      <c r="AQ2612" s="84" t="str">
        <f aca="false">IF(E2612="","",IF(U2612="","À SOUDER",IF(X2612="","VT EN ATTENTE",IF(X2612="R","VT REJETÉ – À REPRENDRE",IF(AP2612="","À RADIOGRAPHIER",IF(AP2612="A","ACCEPTÉ",IF(AP2612="NX","NX – RT À REFAIRE",IF(IF(AO2612=1,AD2612,IF(AO2612=2,AI2612,""))="A","RÉPARÉ – À RADIOGRAPHIER",IF(IF(AO2612=1,AD2612,IF(AO2612=2,AI2612,""))="R","VT REJETÉ – À REPRENDRE",IF(OR(AP2612="CO",AP2612="NT"),"COUPE – À RESOUDER","À RÉPARER"))))))))))</f>
        <v/>
      </c>
      <c r="AR2612" s="82" t="str">
        <f aca="false">IF(AND(ISNUMBER(U2612),OR(AQ2612="À RADIOGRAPHIER",AQ2612="RÉPARÉ – À RADIOGRAPHIER",AQ2612="NX – RT À REFAIRE",AQ2612="À RÉPARER",AQ2612="COUPE – À RESOUDER",AQ2612="VT REJETÉ – À REPRENDRE")),MAX(0,'PROGRAMME RT'!$C$4-U2612),"")</f>
        <v/>
      </c>
      <c r="AS2612" s="82" t="n">
        <f aca="false">IF(AND(OR(AQ2612="À RADIOGRAPHIER",AQ2612="RÉPARÉ – À RADIOGRAPHIER",AQ2612="NX – RT À REFAIRE"),OR('PROGRAMME RT'!$D$5="TOUTES",B2612='PROGRAMME RT'!$D$5)),1,0)</f>
        <v>0</v>
      </c>
      <c r="AT2612" s="82" t="str">
        <f aca="false">IF(AS2612=1,SUM(AS$7:AS2612),"")</f>
        <v/>
      </c>
      <c r="AU2612" s="82" t="n">
        <f aca="false">IF(AND(OR(AA2612="R",AA2612="NX",AA2612="NT",AA2612="CO"),OR('JOINTS DE RÉPARATION'!$D$5="TOUTES",B2612='JOINTS DE RÉPARATION'!$D$5),OR('JOINTS DE RÉPARATION'!$L$4="TOUS",AQ2612&lt;&gt;"ACCEPTÉ")),1,0)</f>
        <v>0</v>
      </c>
      <c r="AV2612" s="82" t="str">
        <f aca="false">IF(AU2612=1,SUM(AU$7:AU2612),"")</f>
        <v/>
      </c>
      <c r="AW2612" s="82" t="str">
        <f aca="false">IF(E2612="","",B2612&amp;"|"&amp;E2612)</f>
        <v/>
      </c>
    </row>
    <row r="2613" customFormat="false" ht="15" hidden="false" customHeight="false" outlineLevel="0" collapsed="false">
      <c r="A2613" s="79" t="str">
        <f aca="false">IF(E2613="","",ROW()-6)</f>
        <v/>
      </c>
      <c r="B2613" s="80"/>
      <c r="C2613" s="81"/>
      <c r="D2613" s="81"/>
      <c r="E2613" s="81"/>
      <c r="F2613" s="82" t="str">
        <f aca="false">IF(E2613="","",IF(LEFT(E2613,2)="DJ","DJ","JN"))</f>
        <v/>
      </c>
      <c r="G2613" s="81"/>
      <c r="H2613" s="81"/>
      <c r="I2613" s="81"/>
      <c r="J2613" s="81"/>
      <c r="K2613" s="81"/>
      <c r="L2613" s="81"/>
      <c r="M2613" s="81"/>
      <c r="N2613" s="81"/>
      <c r="O2613" s="81"/>
      <c r="P2613" s="81"/>
      <c r="Q2613" s="81"/>
      <c r="R2613" s="81"/>
      <c r="S2613" s="81"/>
      <c r="T2613" s="81"/>
      <c r="U2613" s="83"/>
      <c r="V2613" s="83"/>
      <c r="W2613" s="81"/>
      <c r="X2613" s="81"/>
      <c r="Y2613" s="83"/>
      <c r="Z2613" s="81"/>
      <c r="AA2613" s="81"/>
      <c r="AB2613" s="81"/>
      <c r="AC2613" s="81"/>
      <c r="AD2613" s="81"/>
      <c r="AE2613" s="83"/>
      <c r="AF2613" s="81"/>
      <c r="AG2613" s="81"/>
      <c r="AH2613" s="81"/>
      <c r="AI2613" s="81"/>
      <c r="AJ2613" s="83"/>
      <c r="AK2613" s="81"/>
      <c r="AL2613" s="81"/>
      <c r="AM2613" s="83"/>
      <c r="AN2613" s="80"/>
      <c r="AO2613" s="82" t="str">
        <f aca="false">IF(E2613="","",(AA2613&lt;&gt;"")+(AG2613&lt;&gt;"")+(AL2613&lt;&gt;""))</f>
        <v/>
      </c>
      <c r="AP2613" s="82" t="str">
        <f aca="false">IF(AL2613&lt;&gt;"",AL2613,IF(AG2613&lt;&gt;"",AG2613,IF(AA2613&lt;&gt;"",AA2613,"")))</f>
        <v/>
      </c>
      <c r="AQ2613" s="84" t="str">
        <f aca="false">IF(E2613="","",IF(U2613="","À SOUDER",IF(X2613="","VT EN ATTENTE",IF(X2613="R","VT REJETÉ – À REPRENDRE",IF(AP2613="","À RADIOGRAPHIER",IF(AP2613="A","ACCEPTÉ",IF(AP2613="NX","NX – RT À REFAIRE",IF(IF(AO2613=1,AD2613,IF(AO2613=2,AI2613,""))="A","RÉPARÉ – À RADIOGRAPHIER",IF(IF(AO2613=1,AD2613,IF(AO2613=2,AI2613,""))="R","VT REJETÉ – À REPRENDRE",IF(OR(AP2613="CO",AP2613="NT"),"COUPE – À RESOUDER","À RÉPARER"))))))))))</f>
        <v/>
      </c>
      <c r="AR2613" s="82" t="str">
        <f aca="false">IF(AND(ISNUMBER(U2613),OR(AQ2613="À RADIOGRAPHIER",AQ2613="RÉPARÉ – À RADIOGRAPHIER",AQ2613="NX – RT À REFAIRE",AQ2613="À RÉPARER",AQ2613="COUPE – À RESOUDER",AQ2613="VT REJETÉ – À REPRENDRE")),MAX(0,'PROGRAMME RT'!$C$4-U2613),"")</f>
        <v/>
      </c>
      <c r="AS2613" s="82" t="n">
        <f aca="false">IF(AND(OR(AQ2613="À RADIOGRAPHIER",AQ2613="RÉPARÉ – À RADIOGRAPHIER",AQ2613="NX – RT À REFAIRE"),OR('PROGRAMME RT'!$D$5="TOUTES",B2613='PROGRAMME RT'!$D$5)),1,0)</f>
        <v>0</v>
      </c>
      <c r="AT2613" s="82" t="str">
        <f aca="false">IF(AS2613=1,SUM(AS$7:AS2613),"")</f>
        <v/>
      </c>
      <c r="AU2613" s="82" t="n">
        <f aca="false">IF(AND(OR(AA2613="R",AA2613="NX",AA2613="NT",AA2613="CO"),OR('JOINTS DE RÉPARATION'!$D$5="TOUTES",B2613='JOINTS DE RÉPARATION'!$D$5),OR('JOINTS DE RÉPARATION'!$L$4="TOUS",AQ2613&lt;&gt;"ACCEPTÉ")),1,0)</f>
        <v>0</v>
      </c>
      <c r="AV2613" s="82" t="str">
        <f aca="false">IF(AU2613=1,SUM(AU$7:AU2613),"")</f>
        <v/>
      </c>
      <c r="AW2613" s="82" t="str">
        <f aca="false">IF(E2613="","",B2613&amp;"|"&amp;E2613)</f>
        <v/>
      </c>
    </row>
    <row r="2614" customFormat="false" ht="15" hidden="false" customHeight="false" outlineLevel="0" collapsed="false">
      <c r="A2614" s="79" t="str">
        <f aca="false">IF(E2614="","",ROW()-6)</f>
        <v/>
      </c>
      <c r="B2614" s="80"/>
      <c r="C2614" s="81"/>
      <c r="D2614" s="81"/>
      <c r="E2614" s="81"/>
      <c r="F2614" s="82" t="str">
        <f aca="false">IF(E2614="","",IF(LEFT(E2614,2)="DJ","DJ","JN"))</f>
        <v/>
      </c>
      <c r="G2614" s="81"/>
      <c r="H2614" s="81"/>
      <c r="I2614" s="81"/>
      <c r="J2614" s="81"/>
      <c r="K2614" s="81"/>
      <c r="L2614" s="81"/>
      <c r="M2614" s="81"/>
      <c r="N2614" s="81"/>
      <c r="O2614" s="81"/>
      <c r="P2614" s="81"/>
      <c r="Q2614" s="81"/>
      <c r="R2614" s="81"/>
      <c r="S2614" s="81"/>
      <c r="T2614" s="81"/>
      <c r="U2614" s="83"/>
      <c r="V2614" s="83"/>
      <c r="W2614" s="81"/>
      <c r="X2614" s="81"/>
      <c r="Y2614" s="83"/>
      <c r="Z2614" s="81"/>
      <c r="AA2614" s="81"/>
      <c r="AB2614" s="81"/>
      <c r="AC2614" s="81"/>
      <c r="AD2614" s="81"/>
      <c r="AE2614" s="83"/>
      <c r="AF2614" s="81"/>
      <c r="AG2614" s="81"/>
      <c r="AH2614" s="81"/>
      <c r="AI2614" s="81"/>
      <c r="AJ2614" s="83"/>
      <c r="AK2614" s="81"/>
      <c r="AL2614" s="81"/>
      <c r="AM2614" s="83"/>
      <c r="AN2614" s="80"/>
      <c r="AO2614" s="82" t="str">
        <f aca="false">IF(E2614="","",(AA2614&lt;&gt;"")+(AG2614&lt;&gt;"")+(AL2614&lt;&gt;""))</f>
        <v/>
      </c>
      <c r="AP2614" s="82" t="str">
        <f aca="false">IF(AL2614&lt;&gt;"",AL2614,IF(AG2614&lt;&gt;"",AG2614,IF(AA2614&lt;&gt;"",AA2614,"")))</f>
        <v/>
      </c>
      <c r="AQ2614" s="84" t="str">
        <f aca="false">IF(E2614="","",IF(U2614="","À SOUDER",IF(X2614="","VT EN ATTENTE",IF(X2614="R","VT REJETÉ – À REPRENDRE",IF(AP2614="","À RADIOGRAPHIER",IF(AP2614="A","ACCEPTÉ",IF(AP2614="NX","NX – RT À REFAIRE",IF(IF(AO2614=1,AD2614,IF(AO2614=2,AI2614,""))="A","RÉPARÉ – À RADIOGRAPHIER",IF(IF(AO2614=1,AD2614,IF(AO2614=2,AI2614,""))="R","VT REJETÉ – À REPRENDRE",IF(OR(AP2614="CO",AP2614="NT"),"COUPE – À RESOUDER","À RÉPARER"))))))))))</f>
        <v/>
      </c>
      <c r="AR2614" s="82" t="str">
        <f aca="false">IF(AND(ISNUMBER(U2614),OR(AQ2614="À RADIOGRAPHIER",AQ2614="RÉPARÉ – À RADIOGRAPHIER",AQ2614="NX – RT À REFAIRE",AQ2614="À RÉPARER",AQ2614="COUPE – À RESOUDER",AQ2614="VT REJETÉ – À REPRENDRE")),MAX(0,'PROGRAMME RT'!$C$4-U2614),"")</f>
        <v/>
      </c>
      <c r="AS2614" s="82" t="n">
        <f aca="false">IF(AND(OR(AQ2614="À RADIOGRAPHIER",AQ2614="RÉPARÉ – À RADIOGRAPHIER",AQ2614="NX – RT À REFAIRE"),OR('PROGRAMME RT'!$D$5="TOUTES",B2614='PROGRAMME RT'!$D$5)),1,0)</f>
        <v>0</v>
      </c>
      <c r="AT2614" s="82" t="str">
        <f aca="false">IF(AS2614=1,SUM(AS$7:AS2614),"")</f>
        <v/>
      </c>
      <c r="AU2614" s="82" t="n">
        <f aca="false">IF(AND(OR(AA2614="R",AA2614="NX",AA2614="NT",AA2614="CO"),OR('JOINTS DE RÉPARATION'!$D$5="TOUTES",B2614='JOINTS DE RÉPARATION'!$D$5),OR('JOINTS DE RÉPARATION'!$L$4="TOUS",AQ2614&lt;&gt;"ACCEPTÉ")),1,0)</f>
        <v>0</v>
      </c>
      <c r="AV2614" s="82" t="str">
        <f aca="false">IF(AU2614=1,SUM(AU$7:AU2614),"")</f>
        <v/>
      </c>
      <c r="AW2614" s="82" t="str">
        <f aca="false">IF(E2614="","",B2614&amp;"|"&amp;E2614)</f>
        <v/>
      </c>
    </row>
    <row r="2615" customFormat="false" ht="15" hidden="false" customHeight="false" outlineLevel="0" collapsed="false">
      <c r="A2615" s="79" t="str">
        <f aca="false">IF(E2615="","",ROW()-6)</f>
        <v/>
      </c>
      <c r="B2615" s="80"/>
      <c r="C2615" s="81"/>
      <c r="D2615" s="81"/>
      <c r="E2615" s="81"/>
      <c r="F2615" s="82" t="str">
        <f aca="false">IF(E2615="","",IF(LEFT(E2615,2)="DJ","DJ","JN"))</f>
        <v/>
      </c>
      <c r="G2615" s="81"/>
      <c r="H2615" s="81"/>
      <c r="I2615" s="81"/>
      <c r="J2615" s="81"/>
      <c r="K2615" s="81"/>
      <c r="L2615" s="81"/>
      <c r="M2615" s="81"/>
      <c r="N2615" s="81"/>
      <c r="O2615" s="81"/>
      <c r="P2615" s="81"/>
      <c r="Q2615" s="81"/>
      <c r="R2615" s="81"/>
      <c r="S2615" s="81"/>
      <c r="T2615" s="81"/>
      <c r="U2615" s="83"/>
      <c r="V2615" s="83"/>
      <c r="W2615" s="81"/>
      <c r="X2615" s="81"/>
      <c r="Y2615" s="83"/>
      <c r="Z2615" s="81"/>
      <c r="AA2615" s="81"/>
      <c r="AB2615" s="81"/>
      <c r="AC2615" s="81"/>
      <c r="AD2615" s="81"/>
      <c r="AE2615" s="83"/>
      <c r="AF2615" s="81"/>
      <c r="AG2615" s="81"/>
      <c r="AH2615" s="81"/>
      <c r="AI2615" s="81"/>
      <c r="AJ2615" s="83"/>
      <c r="AK2615" s="81"/>
      <c r="AL2615" s="81"/>
      <c r="AM2615" s="83"/>
      <c r="AN2615" s="80"/>
      <c r="AO2615" s="82" t="str">
        <f aca="false">IF(E2615="","",(AA2615&lt;&gt;"")+(AG2615&lt;&gt;"")+(AL2615&lt;&gt;""))</f>
        <v/>
      </c>
      <c r="AP2615" s="82" t="str">
        <f aca="false">IF(AL2615&lt;&gt;"",AL2615,IF(AG2615&lt;&gt;"",AG2615,IF(AA2615&lt;&gt;"",AA2615,"")))</f>
        <v/>
      </c>
      <c r="AQ2615" s="84" t="str">
        <f aca="false">IF(E2615="","",IF(U2615="","À SOUDER",IF(X2615="","VT EN ATTENTE",IF(X2615="R","VT REJETÉ – À REPRENDRE",IF(AP2615="","À RADIOGRAPHIER",IF(AP2615="A","ACCEPTÉ",IF(AP2615="NX","NX – RT À REFAIRE",IF(IF(AO2615=1,AD2615,IF(AO2615=2,AI2615,""))="A","RÉPARÉ – À RADIOGRAPHIER",IF(IF(AO2615=1,AD2615,IF(AO2615=2,AI2615,""))="R","VT REJETÉ – À REPRENDRE",IF(OR(AP2615="CO",AP2615="NT"),"COUPE – À RESOUDER","À RÉPARER"))))))))))</f>
        <v/>
      </c>
      <c r="AR2615" s="82" t="str">
        <f aca="false">IF(AND(ISNUMBER(U2615),OR(AQ2615="À RADIOGRAPHIER",AQ2615="RÉPARÉ – À RADIOGRAPHIER",AQ2615="NX – RT À REFAIRE",AQ2615="À RÉPARER",AQ2615="COUPE – À RESOUDER",AQ2615="VT REJETÉ – À REPRENDRE")),MAX(0,'PROGRAMME RT'!$C$4-U2615),"")</f>
        <v/>
      </c>
      <c r="AS2615" s="82" t="n">
        <f aca="false">IF(AND(OR(AQ2615="À RADIOGRAPHIER",AQ2615="RÉPARÉ – À RADIOGRAPHIER",AQ2615="NX – RT À REFAIRE"),OR('PROGRAMME RT'!$D$5="TOUTES",B2615='PROGRAMME RT'!$D$5)),1,0)</f>
        <v>0</v>
      </c>
      <c r="AT2615" s="82" t="str">
        <f aca="false">IF(AS2615=1,SUM(AS$7:AS2615),"")</f>
        <v/>
      </c>
      <c r="AU2615" s="82" t="n">
        <f aca="false">IF(AND(OR(AA2615="R",AA2615="NX",AA2615="NT",AA2615="CO"),OR('JOINTS DE RÉPARATION'!$D$5="TOUTES",B2615='JOINTS DE RÉPARATION'!$D$5),OR('JOINTS DE RÉPARATION'!$L$4="TOUS",AQ2615&lt;&gt;"ACCEPTÉ")),1,0)</f>
        <v>0</v>
      </c>
      <c r="AV2615" s="82" t="str">
        <f aca="false">IF(AU2615=1,SUM(AU$7:AU2615),"")</f>
        <v/>
      </c>
      <c r="AW2615" s="82" t="str">
        <f aca="false">IF(E2615="","",B2615&amp;"|"&amp;E2615)</f>
        <v/>
      </c>
    </row>
    <row r="2616" customFormat="false" ht="15" hidden="false" customHeight="false" outlineLevel="0" collapsed="false">
      <c r="A2616" s="79" t="str">
        <f aca="false">IF(E2616="","",ROW()-6)</f>
        <v/>
      </c>
      <c r="B2616" s="80"/>
      <c r="C2616" s="81"/>
      <c r="D2616" s="81"/>
      <c r="E2616" s="81"/>
      <c r="F2616" s="82" t="str">
        <f aca="false">IF(E2616="","",IF(LEFT(E2616,2)="DJ","DJ","JN"))</f>
        <v/>
      </c>
      <c r="G2616" s="81"/>
      <c r="H2616" s="81"/>
      <c r="I2616" s="81"/>
      <c r="J2616" s="81"/>
      <c r="K2616" s="81"/>
      <c r="L2616" s="81"/>
      <c r="M2616" s="81"/>
      <c r="N2616" s="81"/>
      <c r="O2616" s="81"/>
      <c r="P2616" s="81"/>
      <c r="Q2616" s="81"/>
      <c r="R2616" s="81"/>
      <c r="S2616" s="81"/>
      <c r="T2616" s="81"/>
      <c r="U2616" s="83"/>
      <c r="V2616" s="83"/>
      <c r="W2616" s="81"/>
      <c r="X2616" s="81"/>
      <c r="Y2616" s="83"/>
      <c r="Z2616" s="81"/>
      <c r="AA2616" s="81"/>
      <c r="AB2616" s="81"/>
      <c r="AC2616" s="81"/>
      <c r="AD2616" s="81"/>
      <c r="AE2616" s="83"/>
      <c r="AF2616" s="81"/>
      <c r="AG2616" s="81"/>
      <c r="AH2616" s="81"/>
      <c r="AI2616" s="81"/>
      <c r="AJ2616" s="83"/>
      <c r="AK2616" s="81"/>
      <c r="AL2616" s="81"/>
      <c r="AM2616" s="83"/>
      <c r="AN2616" s="80"/>
      <c r="AO2616" s="82" t="str">
        <f aca="false">IF(E2616="","",(AA2616&lt;&gt;"")+(AG2616&lt;&gt;"")+(AL2616&lt;&gt;""))</f>
        <v/>
      </c>
      <c r="AP2616" s="82" t="str">
        <f aca="false">IF(AL2616&lt;&gt;"",AL2616,IF(AG2616&lt;&gt;"",AG2616,IF(AA2616&lt;&gt;"",AA2616,"")))</f>
        <v/>
      </c>
      <c r="AQ2616" s="84" t="str">
        <f aca="false">IF(E2616="","",IF(U2616="","À SOUDER",IF(X2616="","VT EN ATTENTE",IF(X2616="R","VT REJETÉ – À REPRENDRE",IF(AP2616="","À RADIOGRAPHIER",IF(AP2616="A","ACCEPTÉ",IF(AP2616="NX","NX – RT À REFAIRE",IF(IF(AO2616=1,AD2616,IF(AO2616=2,AI2616,""))="A","RÉPARÉ – À RADIOGRAPHIER",IF(IF(AO2616=1,AD2616,IF(AO2616=2,AI2616,""))="R","VT REJETÉ – À REPRENDRE",IF(OR(AP2616="CO",AP2616="NT"),"COUPE – À RESOUDER","À RÉPARER"))))))))))</f>
        <v/>
      </c>
      <c r="AR2616" s="82" t="str">
        <f aca="false">IF(AND(ISNUMBER(U2616),OR(AQ2616="À RADIOGRAPHIER",AQ2616="RÉPARÉ – À RADIOGRAPHIER",AQ2616="NX – RT À REFAIRE",AQ2616="À RÉPARER",AQ2616="COUPE – À RESOUDER",AQ2616="VT REJETÉ – À REPRENDRE")),MAX(0,'PROGRAMME RT'!$C$4-U2616),"")</f>
        <v/>
      </c>
      <c r="AS2616" s="82" t="n">
        <f aca="false">IF(AND(OR(AQ2616="À RADIOGRAPHIER",AQ2616="RÉPARÉ – À RADIOGRAPHIER",AQ2616="NX – RT À REFAIRE"),OR('PROGRAMME RT'!$D$5="TOUTES",B2616='PROGRAMME RT'!$D$5)),1,0)</f>
        <v>0</v>
      </c>
      <c r="AT2616" s="82" t="str">
        <f aca="false">IF(AS2616=1,SUM(AS$7:AS2616),"")</f>
        <v/>
      </c>
      <c r="AU2616" s="82" t="n">
        <f aca="false">IF(AND(OR(AA2616="R",AA2616="NX",AA2616="NT",AA2616="CO"),OR('JOINTS DE RÉPARATION'!$D$5="TOUTES",B2616='JOINTS DE RÉPARATION'!$D$5),OR('JOINTS DE RÉPARATION'!$L$4="TOUS",AQ2616&lt;&gt;"ACCEPTÉ")),1,0)</f>
        <v>0</v>
      </c>
      <c r="AV2616" s="82" t="str">
        <f aca="false">IF(AU2616=1,SUM(AU$7:AU2616),"")</f>
        <v/>
      </c>
      <c r="AW2616" s="82" t="str">
        <f aca="false">IF(E2616="","",B2616&amp;"|"&amp;E2616)</f>
        <v/>
      </c>
    </row>
    <row r="2617" customFormat="false" ht="15" hidden="false" customHeight="false" outlineLevel="0" collapsed="false">
      <c r="A2617" s="79" t="str">
        <f aca="false">IF(E2617="","",ROW()-6)</f>
        <v/>
      </c>
      <c r="B2617" s="80"/>
      <c r="C2617" s="81"/>
      <c r="D2617" s="81"/>
      <c r="E2617" s="81"/>
      <c r="F2617" s="82" t="str">
        <f aca="false">IF(E2617="","",IF(LEFT(E2617,2)="DJ","DJ","JN"))</f>
        <v/>
      </c>
      <c r="G2617" s="81"/>
      <c r="H2617" s="81"/>
      <c r="I2617" s="81"/>
      <c r="J2617" s="81"/>
      <c r="K2617" s="81"/>
      <c r="L2617" s="81"/>
      <c r="M2617" s="81"/>
      <c r="N2617" s="81"/>
      <c r="O2617" s="81"/>
      <c r="P2617" s="81"/>
      <c r="Q2617" s="81"/>
      <c r="R2617" s="81"/>
      <c r="S2617" s="81"/>
      <c r="T2617" s="81"/>
      <c r="U2617" s="83"/>
      <c r="V2617" s="83"/>
      <c r="W2617" s="81"/>
      <c r="X2617" s="81"/>
      <c r="Y2617" s="83"/>
      <c r="Z2617" s="81"/>
      <c r="AA2617" s="81"/>
      <c r="AB2617" s="81"/>
      <c r="AC2617" s="81"/>
      <c r="AD2617" s="81"/>
      <c r="AE2617" s="83"/>
      <c r="AF2617" s="81"/>
      <c r="AG2617" s="81"/>
      <c r="AH2617" s="81"/>
      <c r="AI2617" s="81"/>
      <c r="AJ2617" s="83"/>
      <c r="AK2617" s="81"/>
      <c r="AL2617" s="81"/>
      <c r="AM2617" s="83"/>
      <c r="AN2617" s="80"/>
      <c r="AO2617" s="82" t="str">
        <f aca="false">IF(E2617="","",(AA2617&lt;&gt;"")+(AG2617&lt;&gt;"")+(AL2617&lt;&gt;""))</f>
        <v/>
      </c>
      <c r="AP2617" s="82" t="str">
        <f aca="false">IF(AL2617&lt;&gt;"",AL2617,IF(AG2617&lt;&gt;"",AG2617,IF(AA2617&lt;&gt;"",AA2617,"")))</f>
        <v/>
      </c>
      <c r="AQ2617" s="84" t="str">
        <f aca="false">IF(E2617="","",IF(U2617="","À SOUDER",IF(X2617="","VT EN ATTENTE",IF(X2617="R","VT REJETÉ – À REPRENDRE",IF(AP2617="","À RADIOGRAPHIER",IF(AP2617="A","ACCEPTÉ",IF(AP2617="NX","NX – RT À REFAIRE",IF(IF(AO2617=1,AD2617,IF(AO2617=2,AI2617,""))="A","RÉPARÉ – À RADIOGRAPHIER",IF(IF(AO2617=1,AD2617,IF(AO2617=2,AI2617,""))="R","VT REJETÉ – À REPRENDRE",IF(OR(AP2617="CO",AP2617="NT"),"COUPE – À RESOUDER","À RÉPARER"))))))))))</f>
        <v/>
      </c>
      <c r="AR2617" s="82" t="str">
        <f aca="false">IF(AND(ISNUMBER(U2617),OR(AQ2617="À RADIOGRAPHIER",AQ2617="RÉPARÉ – À RADIOGRAPHIER",AQ2617="NX – RT À REFAIRE",AQ2617="À RÉPARER",AQ2617="COUPE – À RESOUDER",AQ2617="VT REJETÉ – À REPRENDRE")),MAX(0,'PROGRAMME RT'!$C$4-U2617),"")</f>
        <v/>
      </c>
      <c r="AS2617" s="82" t="n">
        <f aca="false">IF(AND(OR(AQ2617="À RADIOGRAPHIER",AQ2617="RÉPARÉ – À RADIOGRAPHIER",AQ2617="NX – RT À REFAIRE"),OR('PROGRAMME RT'!$D$5="TOUTES",B2617='PROGRAMME RT'!$D$5)),1,0)</f>
        <v>0</v>
      </c>
      <c r="AT2617" s="82" t="str">
        <f aca="false">IF(AS2617=1,SUM(AS$7:AS2617),"")</f>
        <v/>
      </c>
      <c r="AU2617" s="82" t="n">
        <f aca="false">IF(AND(OR(AA2617="R",AA2617="NX",AA2617="NT",AA2617="CO"),OR('JOINTS DE RÉPARATION'!$D$5="TOUTES",B2617='JOINTS DE RÉPARATION'!$D$5),OR('JOINTS DE RÉPARATION'!$L$4="TOUS",AQ2617&lt;&gt;"ACCEPTÉ")),1,0)</f>
        <v>0</v>
      </c>
      <c r="AV2617" s="82" t="str">
        <f aca="false">IF(AU2617=1,SUM(AU$7:AU2617),"")</f>
        <v/>
      </c>
      <c r="AW2617" s="82" t="str">
        <f aca="false">IF(E2617="","",B2617&amp;"|"&amp;E2617)</f>
        <v/>
      </c>
    </row>
    <row r="2618" customFormat="false" ht="15" hidden="false" customHeight="false" outlineLevel="0" collapsed="false">
      <c r="A2618" s="79" t="str">
        <f aca="false">IF(E2618="","",ROW()-6)</f>
        <v/>
      </c>
      <c r="B2618" s="80"/>
      <c r="C2618" s="81"/>
      <c r="D2618" s="81"/>
      <c r="E2618" s="81"/>
      <c r="F2618" s="82" t="str">
        <f aca="false">IF(E2618="","",IF(LEFT(E2618,2)="DJ","DJ","JN"))</f>
        <v/>
      </c>
      <c r="G2618" s="81"/>
      <c r="H2618" s="81"/>
      <c r="I2618" s="81"/>
      <c r="J2618" s="81"/>
      <c r="K2618" s="81"/>
      <c r="L2618" s="81"/>
      <c r="M2618" s="81"/>
      <c r="N2618" s="81"/>
      <c r="O2618" s="81"/>
      <c r="P2618" s="81"/>
      <c r="Q2618" s="81"/>
      <c r="R2618" s="81"/>
      <c r="S2618" s="81"/>
      <c r="T2618" s="81"/>
      <c r="U2618" s="83"/>
      <c r="V2618" s="83"/>
      <c r="W2618" s="81"/>
      <c r="X2618" s="81"/>
      <c r="Y2618" s="83"/>
      <c r="Z2618" s="81"/>
      <c r="AA2618" s="81"/>
      <c r="AB2618" s="81"/>
      <c r="AC2618" s="81"/>
      <c r="AD2618" s="81"/>
      <c r="AE2618" s="83"/>
      <c r="AF2618" s="81"/>
      <c r="AG2618" s="81"/>
      <c r="AH2618" s="81"/>
      <c r="AI2618" s="81"/>
      <c r="AJ2618" s="83"/>
      <c r="AK2618" s="81"/>
      <c r="AL2618" s="81"/>
      <c r="AM2618" s="83"/>
      <c r="AN2618" s="80"/>
      <c r="AO2618" s="82" t="str">
        <f aca="false">IF(E2618="","",(AA2618&lt;&gt;"")+(AG2618&lt;&gt;"")+(AL2618&lt;&gt;""))</f>
        <v/>
      </c>
      <c r="AP2618" s="82" t="str">
        <f aca="false">IF(AL2618&lt;&gt;"",AL2618,IF(AG2618&lt;&gt;"",AG2618,IF(AA2618&lt;&gt;"",AA2618,"")))</f>
        <v/>
      </c>
      <c r="AQ2618" s="84" t="str">
        <f aca="false">IF(E2618="","",IF(U2618="","À SOUDER",IF(X2618="","VT EN ATTENTE",IF(X2618="R","VT REJETÉ – À REPRENDRE",IF(AP2618="","À RADIOGRAPHIER",IF(AP2618="A","ACCEPTÉ",IF(AP2618="NX","NX – RT À REFAIRE",IF(IF(AO2618=1,AD2618,IF(AO2618=2,AI2618,""))="A","RÉPARÉ – À RADIOGRAPHIER",IF(IF(AO2618=1,AD2618,IF(AO2618=2,AI2618,""))="R","VT REJETÉ – À REPRENDRE",IF(OR(AP2618="CO",AP2618="NT"),"COUPE – À RESOUDER","À RÉPARER"))))))))))</f>
        <v/>
      </c>
      <c r="AR2618" s="82" t="str">
        <f aca="false">IF(AND(ISNUMBER(U2618),OR(AQ2618="À RADIOGRAPHIER",AQ2618="RÉPARÉ – À RADIOGRAPHIER",AQ2618="NX – RT À REFAIRE",AQ2618="À RÉPARER",AQ2618="COUPE – À RESOUDER",AQ2618="VT REJETÉ – À REPRENDRE")),MAX(0,'PROGRAMME RT'!$C$4-U2618),"")</f>
        <v/>
      </c>
      <c r="AS2618" s="82" t="n">
        <f aca="false">IF(AND(OR(AQ2618="À RADIOGRAPHIER",AQ2618="RÉPARÉ – À RADIOGRAPHIER",AQ2618="NX – RT À REFAIRE"),OR('PROGRAMME RT'!$D$5="TOUTES",B2618='PROGRAMME RT'!$D$5)),1,0)</f>
        <v>0</v>
      </c>
      <c r="AT2618" s="82" t="str">
        <f aca="false">IF(AS2618=1,SUM(AS$7:AS2618),"")</f>
        <v/>
      </c>
      <c r="AU2618" s="82" t="n">
        <f aca="false">IF(AND(OR(AA2618="R",AA2618="NX",AA2618="NT",AA2618="CO"),OR('JOINTS DE RÉPARATION'!$D$5="TOUTES",B2618='JOINTS DE RÉPARATION'!$D$5),OR('JOINTS DE RÉPARATION'!$L$4="TOUS",AQ2618&lt;&gt;"ACCEPTÉ")),1,0)</f>
        <v>0</v>
      </c>
      <c r="AV2618" s="82" t="str">
        <f aca="false">IF(AU2618=1,SUM(AU$7:AU2618),"")</f>
        <v/>
      </c>
      <c r="AW2618" s="82" t="str">
        <f aca="false">IF(E2618="","",B2618&amp;"|"&amp;E2618)</f>
        <v/>
      </c>
    </row>
    <row r="2619" customFormat="false" ht="15" hidden="false" customHeight="false" outlineLevel="0" collapsed="false">
      <c r="A2619" s="79" t="str">
        <f aca="false">IF(E2619="","",ROW()-6)</f>
        <v/>
      </c>
      <c r="B2619" s="80"/>
      <c r="C2619" s="81"/>
      <c r="D2619" s="81"/>
      <c r="E2619" s="81"/>
      <c r="F2619" s="82" t="str">
        <f aca="false">IF(E2619="","",IF(LEFT(E2619,2)="DJ","DJ","JN"))</f>
        <v/>
      </c>
      <c r="G2619" s="81"/>
      <c r="H2619" s="81"/>
      <c r="I2619" s="81"/>
      <c r="J2619" s="81"/>
      <c r="K2619" s="81"/>
      <c r="L2619" s="81"/>
      <c r="M2619" s="81"/>
      <c r="N2619" s="81"/>
      <c r="O2619" s="81"/>
      <c r="P2619" s="81"/>
      <c r="Q2619" s="81"/>
      <c r="R2619" s="81"/>
      <c r="S2619" s="81"/>
      <c r="T2619" s="81"/>
      <c r="U2619" s="83"/>
      <c r="V2619" s="83"/>
      <c r="W2619" s="81"/>
      <c r="X2619" s="81"/>
      <c r="Y2619" s="83"/>
      <c r="Z2619" s="81"/>
      <c r="AA2619" s="81"/>
      <c r="AB2619" s="81"/>
      <c r="AC2619" s="81"/>
      <c r="AD2619" s="81"/>
      <c r="AE2619" s="83"/>
      <c r="AF2619" s="81"/>
      <c r="AG2619" s="81"/>
      <c r="AH2619" s="81"/>
      <c r="AI2619" s="81"/>
      <c r="AJ2619" s="83"/>
      <c r="AK2619" s="81"/>
      <c r="AL2619" s="81"/>
      <c r="AM2619" s="83"/>
      <c r="AN2619" s="80"/>
      <c r="AO2619" s="82" t="str">
        <f aca="false">IF(E2619="","",(AA2619&lt;&gt;"")+(AG2619&lt;&gt;"")+(AL2619&lt;&gt;""))</f>
        <v/>
      </c>
      <c r="AP2619" s="82" t="str">
        <f aca="false">IF(AL2619&lt;&gt;"",AL2619,IF(AG2619&lt;&gt;"",AG2619,IF(AA2619&lt;&gt;"",AA2619,"")))</f>
        <v/>
      </c>
      <c r="AQ2619" s="84" t="str">
        <f aca="false">IF(E2619="","",IF(U2619="","À SOUDER",IF(X2619="","VT EN ATTENTE",IF(X2619="R","VT REJETÉ – À REPRENDRE",IF(AP2619="","À RADIOGRAPHIER",IF(AP2619="A","ACCEPTÉ",IF(AP2619="NX","NX – RT À REFAIRE",IF(IF(AO2619=1,AD2619,IF(AO2619=2,AI2619,""))="A","RÉPARÉ – À RADIOGRAPHIER",IF(IF(AO2619=1,AD2619,IF(AO2619=2,AI2619,""))="R","VT REJETÉ – À REPRENDRE",IF(OR(AP2619="CO",AP2619="NT"),"COUPE – À RESOUDER","À RÉPARER"))))))))))</f>
        <v/>
      </c>
      <c r="AR2619" s="82" t="str">
        <f aca="false">IF(AND(ISNUMBER(U2619),OR(AQ2619="À RADIOGRAPHIER",AQ2619="RÉPARÉ – À RADIOGRAPHIER",AQ2619="NX – RT À REFAIRE",AQ2619="À RÉPARER",AQ2619="COUPE – À RESOUDER",AQ2619="VT REJETÉ – À REPRENDRE")),MAX(0,'PROGRAMME RT'!$C$4-U2619),"")</f>
        <v/>
      </c>
      <c r="AS2619" s="82" t="n">
        <f aca="false">IF(AND(OR(AQ2619="À RADIOGRAPHIER",AQ2619="RÉPARÉ – À RADIOGRAPHIER",AQ2619="NX – RT À REFAIRE"),OR('PROGRAMME RT'!$D$5="TOUTES",B2619='PROGRAMME RT'!$D$5)),1,0)</f>
        <v>0</v>
      </c>
      <c r="AT2619" s="82" t="str">
        <f aca="false">IF(AS2619=1,SUM(AS$7:AS2619),"")</f>
        <v/>
      </c>
      <c r="AU2619" s="82" t="n">
        <f aca="false">IF(AND(OR(AA2619="R",AA2619="NX",AA2619="NT",AA2619="CO"),OR('JOINTS DE RÉPARATION'!$D$5="TOUTES",B2619='JOINTS DE RÉPARATION'!$D$5),OR('JOINTS DE RÉPARATION'!$L$4="TOUS",AQ2619&lt;&gt;"ACCEPTÉ")),1,0)</f>
        <v>0</v>
      </c>
      <c r="AV2619" s="82" t="str">
        <f aca="false">IF(AU2619=1,SUM(AU$7:AU2619),"")</f>
        <v/>
      </c>
      <c r="AW2619" s="82" t="str">
        <f aca="false">IF(E2619="","",B2619&amp;"|"&amp;E2619)</f>
        <v/>
      </c>
    </row>
    <row r="2620" customFormat="false" ht="15" hidden="false" customHeight="false" outlineLevel="0" collapsed="false">
      <c r="A2620" s="79" t="str">
        <f aca="false">IF(E2620="","",ROW()-6)</f>
        <v/>
      </c>
      <c r="B2620" s="80"/>
      <c r="C2620" s="81"/>
      <c r="D2620" s="81"/>
      <c r="E2620" s="81"/>
      <c r="F2620" s="82" t="str">
        <f aca="false">IF(E2620="","",IF(LEFT(E2620,2)="DJ","DJ","JN"))</f>
        <v/>
      </c>
      <c r="G2620" s="81"/>
      <c r="H2620" s="81"/>
      <c r="I2620" s="81"/>
      <c r="J2620" s="81"/>
      <c r="K2620" s="81"/>
      <c r="L2620" s="81"/>
      <c r="M2620" s="81"/>
      <c r="N2620" s="81"/>
      <c r="O2620" s="81"/>
      <c r="P2620" s="81"/>
      <c r="Q2620" s="81"/>
      <c r="R2620" s="81"/>
      <c r="S2620" s="81"/>
      <c r="T2620" s="81"/>
      <c r="U2620" s="83"/>
      <c r="V2620" s="83"/>
      <c r="W2620" s="81"/>
      <c r="X2620" s="81"/>
      <c r="Y2620" s="83"/>
      <c r="Z2620" s="81"/>
      <c r="AA2620" s="81"/>
      <c r="AB2620" s="81"/>
      <c r="AC2620" s="81"/>
      <c r="AD2620" s="81"/>
      <c r="AE2620" s="83"/>
      <c r="AF2620" s="81"/>
      <c r="AG2620" s="81"/>
      <c r="AH2620" s="81"/>
      <c r="AI2620" s="81"/>
      <c r="AJ2620" s="83"/>
      <c r="AK2620" s="81"/>
      <c r="AL2620" s="81"/>
      <c r="AM2620" s="83"/>
      <c r="AN2620" s="80"/>
      <c r="AO2620" s="82" t="str">
        <f aca="false">IF(E2620="","",(AA2620&lt;&gt;"")+(AG2620&lt;&gt;"")+(AL2620&lt;&gt;""))</f>
        <v/>
      </c>
      <c r="AP2620" s="82" t="str">
        <f aca="false">IF(AL2620&lt;&gt;"",AL2620,IF(AG2620&lt;&gt;"",AG2620,IF(AA2620&lt;&gt;"",AA2620,"")))</f>
        <v/>
      </c>
      <c r="AQ2620" s="84" t="str">
        <f aca="false">IF(E2620="","",IF(U2620="","À SOUDER",IF(X2620="","VT EN ATTENTE",IF(X2620="R","VT REJETÉ – À REPRENDRE",IF(AP2620="","À RADIOGRAPHIER",IF(AP2620="A","ACCEPTÉ",IF(AP2620="NX","NX – RT À REFAIRE",IF(IF(AO2620=1,AD2620,IF(AO2620=2,AI2620,""))="A","RÉPARÉ – À RADIOGRAPHIER",IF(IF(AO2620=1,AD2620,IF(AO2620=2,AI2620,""))="R","VT REJETÉ – À REPRENDRE",IF(OR(AP2620="CO",AP2620="NT"),"COUPE – À RESOUDER","À RÉPARER"))))))))))</f>
        <v/>
      </c>
      <c r="AR2620" s="82" t="str">
        <f aca="false">IF(AND(ISNUMBER(U2620),OR(AQ2620="À RADIOGRAPHIER",AQ2620="RÉPARÉ – À RADIOGRAPHIER",AQ2620="NX – RT À REFAIRE",AQ2620="À RÉPARER",AQ2620="COUPE – À RESOUDER",AQ2620="VT REJETÉ – À REPRENDRE")),MAX(0,'PROGRAMME RT'!$C$4-U2620),"")</f>
        <v/>
      </c>
      <c r="AS2620" s="82" t="n">
        <f aca="false">IF(AND(OR(AQ2620="À RADIOGRAPHIER",AQ2620="RÉPARÉ – À RADIOGRAPHIER",AQ2620="NX – RT À REFAIRE"),OR('PROGRAMME RT'!$D$5="TOUTES",B2620='PROGRAMME RT'!$D$5)),1,0)</f>
        <v>0</v>
      </c>
      <c r="AT2620" s="82" t="str">
        <f aca="false">IF(AS2620=1,SUM(AS$7:AS2620),"")</f>
        <v/>
      </c>
      <c r="AU2620" s="82" t="n">
        <f aca="false">IF(AND(OR(AA2620="R",AA2620="NX",AA2620="NT",AA2620="CO"),OR('JOINTS DE RÉPARATION'!$D$5="TOUTES",B2620='JOINTS DE RÉPARATION'!$D$5),OR('JOINTS DE RÉPARATION'!$L$4="TOUS",AQ2620&lt;&gt;"ACCEPTÉ")),1,0)</f>
        <v>0</v>
      </c>
      <c r="AV2620" s="82" t="str">
        <f aca="false">IF(AU2620=1,SUM(AU$7:AU2620),"")</f>
        <v/>
      </c>
      <c r="AW2620" s="82" t="str">
        <f aca="false">IF(E2620="","",B2620&amp;"|"&amp;E2620)</f>
        <v/>
      </c>
    </row>
    <row r="2621" customFormat="false" ht="15" hidden="false" customHeight="false" outlineLevel="0" collapsed="false">
      <c r="A2621" s="79" t="str">
        <f aca="false">IF(E2621="","",ROW()-6)</f>
        <v/>
      </c>
      <c r="B2621" s="80"/>
      <c r="C2621" s="81"/>
      <c r="D2621" s="81"/>
      <c r="E2621" s="81"/>
      <c r="F2621" s="82" t="str">
        <f aca="false">IF(E2621="","",IF(LEFT(E2621,2)="DJ","DJ","JN"))</f>
        <v/>
      </c>
      <c r="G2621" s="81"/>
      <c r="H2621" s="81"/>
      <c r="I2621" s="81"/>
      <c r="J2621" s="81"/>
      <c r="K2621" s="81"/>
      <c r="L2621" s="81"/>
      <c r="M2621" s="81"/>
      <c r="N2621" s="81"/>
      <c r="O2621" s="81"/>
      <c r="P2621" s="81"/>
      <c r="Q2621" s="81"/>
      <c r="R2621" s="81"/>
      <c r="S2621" s="81"/>
      <c r="T2621" s="81"/>
      <c r="U2621" s="83"/>
      <c r="V2621" s="83"/>
      <c r="W2621" s="81"/>
      <c r="X2621" s="81"/>
      <c r="Y2621" s="83"/>
      <c r="Z2621" s="81"/>
      <c r="AA2621" s="81"/>
      <c r="AB2621" s="81"/>
      <c r="AC2621" s="81"/>
      <c r="AD2621" s="81"/>
      <c r="AE2621" s="83"/>
      <c r="AF2621" s="81"/>
      <c r="AG2621" s="81"/>
      <c r="AH2621" s="81"/>
      <c r="AI2621" s="81"/>
      <c r="AJ2621" s="83"/>
      <c r="AK2621" s="81"/>
      <c r="AL2621" s="81"/>
      <c r="AM2621" s="83"/>
      <c r="AN2621" s="80"/>
      <c r="AO2621" s="82" t="str">
        <f aca="false">IF(E2621="","",(AA2621&lt;&gt;"")+(AG2621&lt;&gt;"")+(AL2621&lt;&gt;""))</f>
        <v/>
      </c>
      <c r="AP2621" s="82" t="str">
        <f aca="false">IF(AL2621&lt;&gt;"",AL2621,IF(AG2621&lt;&gt;"",AG2621,IF(AA2621&lt;&gt;"",AA2621,"")))</f>
        <v/>
      </c>
      <c r="AQ2621" s="84" t="str">
        <f aca="false">IF(E2621="","",IF(U2621="","À SOUDER",IF(X2621="","VT EN ATTENTE",IF(X2621="R","VT REJETÉ – À REPRENDRE",IF(AP2621="","À RADIOGRAPHIER",IF(AP2621="A","ACCEPTÉ",IF(AP2621="NX","NX – RT À REFAIRE",IF(IF(AO2621=1,AD2621,IF(AO2621=2,AI2621,""))="A","RÉPARÉ – À RADIOGRAPHIER",IF(IF(AO2621=1,AD2621,IF(AO2621=2,AI2621,""))="R","VT REJETÉ – À REPRENDRE",IF(OR(AP2621="CO",AP2621="NT"),"COUPE – À RESOUDER","À RÉPARER"))))))))))</f>
        <v/>
      </c>
      <c r="AR2621" s="82" t="str">
        <f aca="false">IF(AND(ISNUMBER(U2621),OR(AQ2621="À RADIOGRAPHIER",AQ2621="RÉPARÉ – À RADIOGRAPHIER",AQ2621="NX – RT À REFAIRE",AQ2621="À RÉPARER",AQ2621="COUPE – À RESOUDER",AQ2621="VT REJETÉ – À REPRENDRE")),MAX(0,'PROGRAMME RT'!$C$4-U2621),"")</f>
        <v/>
      </c>
      <c r="AS2621" s="82" t="n">
        <f aca="false">IF(AND(OR(AQ2621="À RADIOGRAPHIER",AQ2621="RÉPARÉ – À RADIOGRAPHIER",AQ2621="NX – RT À REFAIRE"),OR('PROGRAMME RT'!$D$5="TOUTES",B2621='PROGRAMME RT'!$D$5)),1,0)</f>
        <v>0</v>
      </c>
      <c r="AT2621" s="82" t="str">
        <f aca="false">IF(AS2621=1,SUM(AS$7:AS2621),"")</f>
        <v/>
      </c>
      <c r="AU2621" s="82" t="n">
        <f aca="false">IF(AND(OR(AA2621="R",AA2621="NX",AA2621="NT",AA2621="CO"),OR('JOINTS DE RÉPARATION'!$D$5="TOUTES",B2621='JOINTS DE RÉPARATION'!$D$5),OR('JOINTS DE RÉPARATION'!$L$4="TOUS",AQ2621&lt;&gt;"ACCEPTÉ")),1,0)</f>
        <v>0</v>
      </c>
      <c r="AV2621" s="82" t="str">
        <f aca="false">IF(AU2621=1,SUM(AU$7:AU2621),"")</f>
        <v/>
      </c>
      <c r="AW2621" s="82" t="str">
        <f aca="false">IF(E2621="","",B2621&amp;"|"&amp;E2621)</f>
        <v/>
      </c>
    </row>
    <row r="2622" customFormat="false" ht="15" hidden="false" customHeight="false" outlineLevel="0" collapsed="false">
      <c r="A2622" s="79" t="str">
        <f aca="false">IF(E2622="","",ROW()-6)</f>
        <v/>
      </c>
      <c r="B2622" s="80"/>
      <c r="C2622" s="81"/>
      <c r="D2622" s="81"/>
      <c r="E2622" s="81"/>
      <c r="F2622" s="82" t="str">
        <f aca="false">IF(E2622="","",IF(LEFT(E2622,2)="DJ","DJ","JN"))</f>
        <v/>
      </c>
      <c r="G2622" s="81"/>
      <c r="H2622" s="81"/>
      <c r="I2622" s="81"/>
      <c r="J2622" s="81"/>
      <c r="K2622" s="81"/>
      <c r="L2622" s="81"/>
      <c r="M2622" s="81"/>
      <c r="N2622" s="81"/>
      <c r="O2622" s="81"/>
      <c r="P2622" s="81"/>
      <c r="Q2622" s="81"/>
      <c r="R2622" s="81"/>
      <c r="S2622" s="81"/>
      <c r="T2622" s="81"/>
      <c r="U2622" s="83"/>
      <c r="V2622" s="83"/>
      <c r="W2622" s="81"/>
      <c r="X2622" s="81"/>
      <c r="Y2622" s="83"/>
      <c r="Z2622" s="81"/>
      <c r="AA2622" s="81"/>
      <c r="AB2622" s="81"/>
      <c r="AC2622" s="81"/>
      <c r="AD2622" s="81"/>
      <c r="AE2622" s="83"/>
      <c r="AF2622" s="81"/>
      <c r="AG2622" s="81"/>
      <c r="AH2622" s="81"/>
      <c r="AI2622" s="81"/>
      <c r="AJ2622" s="83"/>
      <c r="AK2622" s="81"/>
      <c r="AL2622" s="81"/>
      <c r="AM2622" s="83"/>
      <c r="AN2622" s="80"/>
      <c r="AO2622" s="82" t="str">
        <f aca="false">IF(E2622="","",(AA2622&lt;&gt;"")+(AG2622&lt;&gt;"")+(AL2622&lt;&gt;""))</f>
        <v/>
      </c>
      <c r="AP2622" s="82" t="str">
        <f aca="false">IF(AL2622&lt;&gt;"",AL2622,IF(AG2622&lt;&gt;"",AG2622,IF(AA2622&lt;&gt;"",AA2622,"")))</f>
        <v/>
      </c>
      <c r="AQ2622" s="84" t="str">
        <f aca="false">IF(E2622="","",IF(U2622="","À SOUDER",IF(X2622="","VT EN ATTENTE",IF(X2622="R","VT REJETÉ – À REPRENDRE",IF(AP2622="","À RADIOGRAPHIER",IF(AP2622="A","ACCEPTÉ",IF(AP2622="NX","NX – RT À REFAIRE",IF(IF(AO2622=1,AD2622,IF(AO2622=2,AI2622,""))="A","RÉPARÉ – À RADIOGRAPHIER",IF(IF(AO2622=1,AD2622,IF(AO2622=2,AI2622,""))="R","VT REJETÉ – À REPRENDRE",IF(OR(AP2622="CO",AP2622="NT"),"COUPE – À RESOUDER","À RÉPARER"))))))))))</f>
        <v/>
      </c>
      <c r="AR2622" s="82" t="str">
        <f aca="false">IF(AND(ISNUMBER(U2622),OR(AQ2622="À RADIOGRAPHIER",AQ2622="RÉPARÉ – À RADIOGRAPHIER",AQ2622="NX – RT À REFAIRE",AQ2622="À RÉPARER",AQ2622="COUPE – À RESOUDER",AQ2622="VT REJETÉ – À REPRENDRE")),MAX(0,'PROGRAMME RT'!$C$4-U2622),"")</f>
        <v/>
      </c>
      <c r="AS2622" s="82" t="n">
        <f aca="false">IF(AND(OR(AQ2622="À RADIOGRAPHIER",AQ2622="RÉPARÉ – À RADIOGRAPHIER",AQ2622="NX – RT À REFAIRE"),OR('PROGRAMME RT'!$D$5="TOUTES",B2622='PROGRAMME RT'!$D$5)),1,0)</f>
        <v>0</v>
      </c>
      <c r="AT2622" s="82" t="str">
        <f aca="false">IF(AS2622=1,SUM(AS$7:AS2622),"")</f>
        <v/>
      </c>
      <c r="AU2622" s="82" t="n">
        <f aca="false">IF(AND(OR(AA2622="R",AA2622="NX",AA2622="NT",AA2622="CO"),OR('JOINTS DE RÉPARATION'!$D$5="TOUTES",B2622='JOINTS DE RÉPARATION'!$D$5),OR('JOINTS DE RÉPARATION'!$L$4="TOUS",AQ2622&lt;&gt;"ACCEPTÉ")),1,0)</f>
        <v>0</v>
      </c>
      <c r="AV2622" s="82" t="str">
        <f aca="false">IF(AU2622=1,SUM(AU$7:AU2622),"")</f>
        <v/>
      </c>
      <c r="AW2622" s="82" t="str">
        <f aca="false">IF(E2622="","",B2622&amp;"|"&amp;E2622)</f>
        <v/>
      </c>
    </row>
    <row r="2623" customFormat="false" ht="15" hidden="false" customHeight="false" outlineLevel="0" collapsed="false">
      <c r="A2623" s="79" t="str">
        <f aca="false">IF(E2623="","",ROW()-6)</f>
        <v/>
      </c>
      <c r="B2623" s="80"/>
      <c r="C2623" s="81"/>
      <c r="D2623" s="81"/>
      <c r="E2623" s="81"/>
      <c r="F2623" s="82" t="str">
        <f aca="false">IF(E2623="","",IF(LEFT(E2623,2)="DJ","DJ","JN"))</f>
        <v/>
      </c>
      <c r="G2623" s="81"/>
      <c r="H2623" s="81"/>
      <c r="I2623" s="81"/>
      <c r="J2623" s="81"/>
      <c r="K2623" s="81"/>
      <c r="L2623" s="81"/>
      <c r="M2623" s="81"/>
      <c r="N2623" s="81"/>
      <c r="O2623" s="81"/>
      <c r="P2623" s="81"/>
      <c r="Q2623" s="81"/>
      <c r="R2623" s="81"/>
      <c r="S2623" s="81"/>
      <c r="T2623" s="81"/>
      <c r="U2623" s="83"/>
      <c r="V2623" s="83"/>
      <c r="W2623" s="81"/>
      <c r="X2623" s="81"/>
      <c r="Y2623" s="83"/>
      <c r="Z2623" s="81"/>
      <c r="AA2623" s="81"/>
      <c r="AB2623" s="81"/>
      <c r="AC2623" s="81"/>
      <c r="AD2623" s="81"/>
      <c r="AE2623" s="83"/>
      <c r="AF2623" s="81"/>
      <c r="AG2623" s="81"/>
      <c r="AH2623" s="81"/>
      <c r="AI2623" s="81"/>
      <c r="AJ2623" s="83"/>
      <c r="AK2623" s="81"/>
      <c r="AL2623" s="81"/>
      <c r="AM2623" s="83"/>
      <c r="AN2623" s="80"/>
      <c r="AO2623" s="82" t="str">
        <f aca="false">IF(E2623="","",(AA2623&lt;&gt;"")+(AG2623&lt;&gt;"")+(AL2623&lt;&gt;""))</f>
        <v/>
      </c>
      <c r="AP2623" s="82" t="str">
        <f aca="false">IF(AL2623&lt;&gt;"",AL2623,IF(AG2623&lt;&gt;"",AG2623,IF(AA2623&lt;&gt;"",AA2623,"")))</f>
        <v/>
      </c>
      <c r="AQ2623" s="84" t="str">
        <f aca="false">IF(E2623="","",IF(U2623="","À SOUDER",IF(X2623="","VT EN ATTENTE",IF(X2623="R","VT REJETÉ – À REPRENDRE",IF(AP2623="","À RADIOGRAPHIER",IF(AP2623="A","ACCEPTÉ",IF(AP2623="NX","NX – RT À REFAIRE",IF(IF(AO2623=1,AD2623,IF(AO2623=2,AI2623,""))="A","RÉPARÉ – À RADIOGRAPHIER",IF(IF(AO2623=1,AD2623,IF(AO2623=2,AI2623,""))="R","VT REJETÉ – À REPRENDRE",IF(OR(AP2623="CO",AP2623="NT"),"COUPE – À RESOUDER","À RÉPARER"))))))))))</f>
        <v/>
      </c>
      <c r="AR2623" s="82" t="str">
        <f aca="false">IF(AND(ISNUMBER(U2623),OR(AQ2623="À RADIOGRAPHIER",AQ2623="RÉPARÉ – À RADIOGRAPHIER",AQ2623="NX – RT À REFAIRE",AQ2623="À RÉPARER",AQ2623="COUPE – À RESOUDER",AQ2623="VT REJETÉ – À REPRENDRE")),MAX(0,'PROGRAMME RT'!$C$4-U2623),"")</f>
        <v/>
      </c>
      <c r="AS2623" s="82" t="n">
        <f aca="false">IF(AND(OR(AQ2623="À RADIOGRAPHIER",AQ2623="RÉPARÉ – À RADIOGRAPHIER",AQ2623="NX – RT À REFAIRE"),OR('PROGRAMME RT'!$D$5="TOUTES",B2623='PROGRAMME RT'!$D$5)),1,0)</f>
        <v>0</v>
      </c>
      <c r="AT2623" s="82" t="str">
        <f aca="false">IF(AS2623=1,SUM(AS$7:AS2623),"")</f>
        <v/>
      </c>
      <c r="AU2623" s="82" t="n">
        <f aca="false">IF(AND(OR(AA2623="R",AA2623="NX",AA2623="NT",AA2623="CO"),OR('JOINTS DE RÉPARATION'!$D$5="TOUTES",B2623='JOINTS DE RÉPARATION'!$D$5),OR('JOINTS DE RÉPARATION'!$L$4="TOUS",AQ2623&lt;&gt;"ACCEPTÉ")),1,0)</f>
        <v>0</v>
      </c>
      <c r="AV2623" s="82" t="str">
        <f aca="false">IF(AU2623=1,SUM(AU$7:AU2623),"")</f>
        <v/>
      </c>
      <c r="AW2623" s="82" t="str">
        <f aca="false">IF(E2623="","",B2623&amp;"|"&amp;E2623)</f>
        <v/>
      </c>
    </row>
    <row r="2624" customFormat="false" ht="15" hidden="false" customHeight="false" outlineLevel="0" collapsed="false">
      <c r="A2624" s="79" t="str">
        <f aca="false">IF(E2624="","",ROW()-6)</f>
        <v/>
      </c>
      <c r="B2624" s="80"/>
      <c r="C2624" s="81"/>
      <c r="D2624" s="81"/>
      <c r="E2624" s="81"/>
      <c r="F2624" s="82" t="str">
        <f aca="false">IF(E2624="","",IF(LEFT(E2624,2)="DJ","DJ","JN"))</f>
        <v/>
      </c>
      <c r="G2624" s="81"/>
      <c r="H2624" s="81"/>
      <c r="I2624" s="81"/>
      <c r="J2624" s="81"/>
      <c r="K2624" s="81"/>
      <c r="L2624" s="81"/>
      <c r="M2624" s="81"/>
      <c r="N2624" s="81"/>
      <c r="O2624" s="81"/>
      <c r="P2624" s="81"/>
      <c r="Q2624" s="81"/>
      <c r="R2624" s="81"/>
      <c r="S2624" s="81"/>
      <c r="T2624" s="81"/>
      <c r="U2624" s="83"/>
      <c r="V2624" s="83"/>
      <c r="W2624" s="81"/>
      <c r="X2624" s="81"/>
      <c r="Y2624" s="83"/>
      <c r="Z2624" s="81"/>
      <c r="AA2624" s="81"/>
      <c r="AB2624" s="81"/>
      <c r="AC2624" s="81"/>
      <c r="AD2624" s="81"/>
      <c r="AE2624" s="83"/>
      <c r="AF2624" s="81"/>
      <c r="AG2624" s="81"/>
      <c r="AH2624" s="81"/>
      <c r="AI2624" s="81"/>
      <c r="AJ2624" s="83"/>
      <c r="AK2624" s="81"/>
      <c r="AL2624" s="81"/>
      <c r="AM2624" s="83"/>
      <c r="AN2624" s="80"/>
      <c r="AO2624" s="82" t="str">
        <f aca="false">IF(E2624="","",(AA2624&lt;&gt;"")+(AG2624&lt;&gt;"")+(AL2624&lt;&gt;""))</f>
        <v/>
      </c>
      <c r="AP2624" s="82" t="str">
        <f aca="false">IF(AL2624&lt;&gt;"",AL2624,IF(AG2624&lt;&gt;"",AG2624,IF(AA2624&lt;&gt;"",AA2624,"")))</f>
        <v/>
      </c>
      <c r="AQ2624" s="84" t="str">
        <f aca="false">IF(E2624="","",IF(U2624="","À SOUDER",IF(X2624="","VT EN ATTENTE",IF(X2624="R","VT REJETÉ – À REPRENDRE",IF(AP2624="","À RADIOGRAPHIER",IF(AP2624="A","ACCEPTÉ",IF(AP2624="NX","NX – RT À REFAIRE",IF(IF(AO2624=1,AD2624,IF(AO2624=2,AI2624,""))="A","RÉPARÉ – À RADIOGRAPHIER",IF(IF(AO2624=1,AD2624,IF(AO2624=2,AI2624,""))="R","VT REJETÉ – À REPRENDRE",IF(OR(AP2624="CO",AP2624="NT"),"COUPE – À RESOUDER","À RÉPARER"))))))))))</f>
        <v/>
      </c>
      <c r="AR2624" s="82" t="str">
        <f aca="false">IF(AND(ISNUMBER(U2624),OR(AQ2624="À RADIOGRAPHIER",AQ2624="RÉPARÉ – À RADIOGRAPHIER",AQ2624="NX – RT À REFAIRE",AQ2624="À RÉPARER",AQ2624="COUPE – À RESOUDER",AQ2624="VT REJETÉ – À REPRENDRE")),MAX(0,'PROGRAMME RT'!$C$4-U2624),"")</f>
        <v/>
      </c>
      <c r="AS2624" s="82" t="n">
        <f aca="false">IF(AND(OR(AQ2624="À RADIOGRAPHIER",AQ2624="RÉPARÉ – À RADIOGRAPHIER",AQ2624="NX – RT À REFAIRE"),OR('PROGRAMME RT'!$D$5="TOUTES",B2624='PROGRAMME RT'!$D$5)),1,0)</f>
        <v>0</v>
      </c>
      <c r="AT2624" s="82" t="str">
        <f aca="false">IF(AS2624=1,SUM(AS$7:AS2624),"")</f>
        <v/>
      </c>
      <c r="AU2624" s="82" t="n">
        <f aca="false">IF(AND(OR(AA2624="R",AA2624="NX",AA2624="NT",AA2624="CO"),OR('JOINTS DE RÉPARATION'!$D$5="TOUTES",B2624='JOINTS DE RÉPARATION'!$D$5),OR('JOINTS DE RÉPARATION'!$L$4="TOUS",AQ2624&lt;&gt;"ACCEPTÉ")),1,0)</f>
        <v>0</v>
      </c>
      <c r="AV2624" s="82" t="str">
        <f aca="false">IF(AU2624=1,SUM(AU$7:AU2624),"")</f>
        <v/>
      </c>
      <c r="AW2624" s="82" t="str">
        <f aca="false">IF(E2624="","",B2624&amp;"|"&amp;E2624)</f>
        <v/>
      </c>
    </row>
    <row r="2625" customFormat="false" ht="15" hidden="false" customHeight="false" outlineLevel="0" collapsed="false">
      <c r="A2625" s="79" t="str">
        <f aca="false">IF(E2625="","",ROW()-6)</f>
        <v/>
      </c>
      <c r="B2625" s="80"/>
      <c r="C2625" s="81"/>
      <c r="D2625" s="81"/>
      <c r="E2625" s="81"/>
      <c r="F2625" s="82" t="str">
        <f aca="false">IF(E2625="","",IF(LEFT(E2625,2)="DJ","DJ","JN"))</f>
        <v/>
      </c>
      <c r="G2625" s="81"/>
      <c r="H2625" s="81"/>
      <c r="I2625" s="81"/>
      <c r="J2625" s="81"/>
      <c r="K2625" s="81"/>
      <c r="L2625" s="81"/>
      <c r="M2625" s="81"/>
      <c r="N2625" s="81"/>
      <c r="O2625" s="81"/>
      <c r="P2625" s="81"/>
      <c r="Q2625" s="81"/>
      <c r="R2625" s="81"/>
      <c r="S2625" s="81"/>
      <c r="T2625" s="81"/>
      <c r="U2625" s="83"/>
      <c r="V2625" s="83"/>
      <c r="W2625" s="81"/>
      <c r="X2625" s="81"/>
      <c r="Y2625" s="83"/>
      <c r="Z2625" s="81"/>
      <c r="AA2625" s="81"/>
      <c r="AB2625" s="81"/>
      <c r="AC2625" s="81"/>
      <c r="AD2625" s="81"/>
      <c r="AE2625" s="83"/>
      <c r="AF2625" s="81"/>
      <c r="AG2625" s="81"/>
      <c r="AH2625" s="81"/>
      <c r="AI2625" s="81"/>
      <c r="AJ2625" s="83"/>
      <c r="AK2625" s="81"/>
      <c r="AL2625" s="81"/>
      <c r="AM2625" s="83"/>
      <c r="AN2625" s="80"/>
      <c r="AO2625" s="82" t="str">
        <f aca="false">IF(E2625="","",(AA2625&lt;&gt;"")+(AG2625&lt;&gt;"")+(AL2625&lt;&gt;""))</f>
        <v/>
      </c>
      <c r="AP2625" s="82" t="str">
        <f aca="false">IF(AL2625&lt;&gt;"",AL2625,IF(AG2625&lt;&gt;"",AG2625,IF(AA2625&lt;&gt;"",AA2625,"")))</f>
        <v/>
      </c>
      <c r="AQ2625" s="84" t="str">
        <f aca="false">IF(E2625="","",IF(U2625="","À SOUDER",IF(X2625="","VT EN ATTENTE",IF(X2625="R","VT REJETÉ – À REPRENDRE",IF(AP2625="","À RADIOGRAPHIER",IF(AP2625="A","ACCEPTÉ",IF(AP2625="NX","NX – RT À REFAIRE",IF(IF(AO2625=1,AD2625,IF(AO2625=2,AI2625,""))="A","RÉPARÉ – À RADIOGRAPHIER",IF(IF(AO2625=1,AD2625,IF(AO2625=2,AI2625,""))="R","VT REJETÉ – À REPRENDRE",IF(OR(AP2625="CO",AP2625="NT"),"COUPE – À RESOUDER","À RÉPARER"))))))))))</f>
        <v/>
      </c>
      <c r="AR2625" s="82" t="str">
        <f aca="false">IF(AND(ISNUMBER(U2625),OR(AQ2625="À RADIOGRAPHIER",AQ2625="RÉPARÉ – À RADIOGRAPHIER",AQ2625="NX – RT À REFAIRE",AQ2625="À RÉPARER",AQ2625="COUPE – À RESOUDER",AQ2625="VT REJETÉ – À REPRENDRE")),MAX(0,'PROGRAMME RT'!$C$4-U2625),"")</f>
        <v/>
      </c>
      <c r="AS2625" s="82" t="n">
        <f aca="false">IF(AND(OR(AQ2625="À RADIOGRAPHIER",AQ2625="RÉPARÉ – À RADIOGRAPHIER",AQ2625="NX – RT À REFAIRE"),OR('PROGRAMME RT'!$D$5="TOUTES",B2625='PROGRAMME RT'!$D$5)),1,0)</f>
        <v>0</v>
      </c>
      <c r="AT2625" s="82" t="str">
        <f aca="false">IF(AS2625=1,SUM(AS$7:AS2625),"")</f>
        <v/>
      </c>
      <c r="AU2625" s="82" t="n">
        <f aca="false">IF(AND(OR(AA2625="R",AA2625="NX",AA2625="NT",AA2625="CO"),OR('JOINTS DE RÉPARATION'!$D$5="TOUTES",B2625='JOINTS DE RÉPARATION'!$D$5),OR('JOINTS DE RÉPARATION'!$L$4="TOUS",AQ2625&lt;&gt;"ACCEPTÉ")),1,0)</f>
        <v>0</v>
      </c>
      <c r="AV2625" s="82" t="str">
        <f aca="false">IF(AU2625=1,SUM(AU$7:AU2625),"")</f>
        <v/>
      </c>
      <c r="AW2625" s="82" t="str">
        <f aca="false">IF(E2625="","",B2625&amp;"|"&amp;E2625)</f>
        <v/>
      </c>
    </row>
    <row r="2626" customFormat="false" ht="15" hidden="false" customHeight="false" outlineLevel="0" collapsed="false">
      <c r="A2626" s="79" t="str">
        <f aca="false">IF(E2626="","",ROW()-6)</f>
        <v/>
      </c>
      <c r="B2626" s="80"/>
      <c r="C2626" s="81"/>
      <c r="D2626" s="81"/>
      <c r="E2626" s="81"/>
      <c r="F2626" s="82" t="str">
        <f aca="false">IF(E2626="","",IF(LEFT(E2626,2)="DJ","DJ","JN"))</f>
        <v/>
      </c>
      <c r="G2626" s="81"/>
      <c r="H2626" s="81"/>
      <c r="I2626" s="81"/>
      <c r="J2626" s="81"/>
      <c r="K2626" s="81"/>
      <c r="L2626" s="81"/>
      <c r="M2626" s="81"/>
      <c r="N2626" s="81"/>
      <c r="O2626" s="81"/>
      <c r="P2626" s="81"/>
      <c r="Q2626" s="81"/>
      <c r="R2626" s="81"/>
      <c r="S2626" s="81"/>
      <c r="T2626" s="81"/>
      <c r="U2626" s="83"/>
      <c r="V2626" s="83"/>
      <c r="W2626" s="81"/>
      <c r="X2626" s="81"/>
      <c r="Y2626" s="83"/>
      <c r="Z2626" s="81"/>
      <c r="AA2626" s="81"/>
      <c r="AB2626" s="81"/>
      <c r="AC2626" s="81"/>
      <c r="AD2626" s="81"/>
      <c r="AE2626" s="83"/>
      <c r="AF2626" s="81"/>
      <c r="AG2626" s="81"/>
      <c r="AH2626" s="81"/>
      <c r="AI2626" s="81"/>
      <c r="AJ2626" s="83"/>
      <c r="AK2626" s="81"/>
      <c r="AL2626" s="81"/>
      <c r="AM2626" s="83"/>
      <c r="AN2626" s="80"/>
      <c r="AO2626" s="82" t="str">
        <f aca="false">IF(E2626="","",(AA2626&lt;&gt;"")+(AG2626&lt;&gt;"")+(AL2626&lt;&gt;""))</f>
        <v/>
      </c>
      <c r="AP2626" s="82" t="str">
        <f aca="false">IF(AL2626&lt;&gt;"",AL2626,IF(AG2626&lt;&gt;"",AG2626,IF(AA2626&lt;&gt;"",AA2626,"")))</f>
        <v/>
      </c>
      <c r="AQ2626" s="84" t="str">
        <f aca="false">IF(E2626="","",IF(U2626="","À SOUDER",IF(X2626="","VT EN ATTENTE",IF(X2626="R","VT REJETÉ – À REPRENDRE",IF(AP2626="","À RADIOGRAPHIER",IF(AP2626="A","ACCEPTÉ",IF(AP2626="NX","NX – RT À REFAIRE",IF(IF(AO2626=1,AD2626,IF(AO2626=2,AI2626,""))="A","RÉPARÉ – À RADIOGRAPHIER",IF(IF(AO2626=1,AD2626,IF(AO2626=2,AI2626,""))="R","VT REJETÉ – À REPRENDRE",IF(OR(AP2626="CO",AP2626="NT"),"COUPE – À RESOUDER","À RÉPARER"))))))))))</f>
        <v/>
      </c>
      <c r="AR2626" s="82" t="str">
        <f aca="false">IF(AND(ISNUMBER(U2626),OR(AQ2626="À RADIOGRAPHIER",AQ2626="RÉPARÉ – À RADIOGRAPHIER",AQ2626="NX – RT À REFAIRE",AQ2626="À RÉPARER",AQ2626="COUPE – À RESOUDER",AQ2626="VT REJETÉ – À REPRENDRE")),MAX(0,'PROGRAMME RT'!$C$4-U2626),"")</f>
        <v/>
      </c>
      <c r="AS2626" s="82" t="n">
        <f aca="false">IF(AND(OR(AQ2626="À RADIOGRAPHIER",AQ2626="RÉPARÉ – À RADIOGRAPHIER",AQ2626="NX – RT À REFAIRE"),OR('PROGRAMME RT'!$D$5="TOUTES",B2626='PROGRAMME RT'!$D$5)),1,0)</f>
        <v>0</v>
      </c>
      <c r="AT2626" s="82" t="str">
        <f aca="false">IF(AS2626=1,SUM(AS$7:AS2626),"")</f>
        <v/>
      </c>
      <c r="AU2626" s="82" t="n">
        <f aca="false">IF(AND(OR(AA2626="R",AA2626="NX",AA2626="NT",AA2626="CO"),OR('JOINTS DE RÉPARATION'!$D$5="TOUTES",B2626='JOINTS DE RÉPARATION'!$D$5),OR('JOINTS DE RÉPARATION'!$L$4="TOUS",AQ2626&lt;&gt;"ACCEPTÉ")),1,0)</f>
        <v>0</v>
      </c>
      <c r="AV2626" s="82" t="str">
        <f aca="false">IF(AU2626=1,SUM(AU$7:AU2626),"")</f>
        <v/>
      </c>
      <c r="AW2626" s="82" t="str">
        <f aca="false">IF(E2626="","",B2626&amp;"|"&amp;E2626)</f>
        <v/>
      </c>
    </row>
    <row r="2627" customFormat="false" ht="15" hidden="false" customHeight="false" outlineLevel="0" collapsed="false">
      <c r="A2627" s="79" t="str">
        <f aca="false">IF(E2627="","",ROW()-6)</f>
        <v/>
      </c>
      <c r="B2627" s="80"/>
      <c r="C2627" s="81"/>
      <c r="D2627" s="81"/>
      <c r="E2627" s="81"/>
      <c r="F2627" s="82" t="str">
        <f aca="false">IF(E2627="","",IF(LEFT(E2627,2)="DJ","DJ","JN"))</f>
        <v/>
      </c>
      <c r="G2627" s="81"/>
      <c r="H2627" s="81"/>
      <c r="I2627" s="81"/>
      <c r="J2627" s="81"/>
      <c r="K2627" s="81"/>
      <c r="L2627" s="81"/>
      <c r="M2627" s="81"/>
      <c r="N2627" s="81"/>
      <c r="O2627" s="81"/>
      <c r="P2627" s="81"/>
      <c r="Q2627" s="81"/>
      <c r="R2627" s="81"/>
      <c r="S2627" s="81"/>
      <c r="T2627" s="81"/>
      <c r="U2627" s="83"/>
      <c r="V2627" s="83"/>
      <c r="W2627" s="81"/>
      <c r="X2627" s="81"/>
      <c r="Y2627" s="83"/>
      <c r="Z2627" s="81"/>
      <c r="AA2627" s="81"/>
      <c r="AB2627" s="81"/>
      <c r="AC2627" s="81"/>
      <c r="AD2627" s="81"/>
      <c r="AE2627" s="83"/>
      <c r="AF2627" s="81"/>
      <c r="AG2627" s="81"/>
      <c r="AH2627" s="81"/>
      <c r="AI2627" s="81"/>
      <c r="AJ2627" s="83"/>
      <c r="AK2627" s="81"/>
      <c r="AL2627" s="81"/>
      <c r="AM2627" s="83"/>
      <c r="AN2627" s="80"/>
      <c r="AO2627" s="82" t="str">
        <f aca="false">IF(E2627="","",(AA2627&lt;&gt;"")+(AG2627&lt;&gt;"")+(AL2627&lt;&gt;""))</f>
        <v/>
      </c>
      <c r="AP2627" s="82" t="str">
        <f aca="false">IF(AL2627&lt;&gt;"",AL2627,IF(AG2627&lt;&gt;"",AG2627,IF(AA2627&lt;&gt;"",AA2627,"")))</f>
        <v/>
      </c>
      <c r="AQ2627" s="84" t="str">
        <f aca="false">IF(E2627="","",IF(U2627="","À SOUDER",IF(X2627="","VT EN ATTENTE",IF(X2627="R","VT REJETÉ – À REPRENDRE",IF(AP2627="","À RADIOGRAPHIER",IF(AP2627="A","ACCEPTÉ",IF(AP2627="NX","NX – RT À REFAIRE",IF(IF(AO2627=1,AD2627,IF(AO2627=2,AI2627,""))="A","RÉPARÉ – À RADIOGRAPHIER",IF(IF(AO2627=1,AD2627,IF(AO2627=2,AI2627,""))="R","VT REJETÉ – À REPRENDRE",IF(OR(AP2627="CO",AP2627="NT"),"COUPE – À RESOUDER","À RÉPARER"))))))))))</f>
        <v/>
      </c>
      <c r="AR2627" s="82" t="str">
        <f aca="false">IF(AND(ISNUMBER(U2627),OR(AQ2627="À RADIOGRAPHIER",AQ2627="RÉPARÉ – À RADIOGRAPHIER",AQ2627="NX – RT À REFAIRE",AQ2627="À RÉPARER",AQ2627="COUPE – À RESOUDER",AQ2627="VT REJETÉ – À REPRENDRE")),MAX(0,'PROGRAMME RT'!$C$4-U2627),"")</f>
        <v/>
      </c>
      <c r="AS2627" s="82" t="n">
        <f aca="false">IF(AND(OR(AQ2627="À RADIOGRAPHIER",AQ2627="RÉPARÉ – À RADIOGRAPHIER",AQ2627="NX – RT À REFAIRE"),OR('PROGRAMME RT'!$D$5="TOUTES",B2627='PROGRAMME RT'!$D$5)),1,0)</f>
        <v>0</v>
      </c>
      <c r="AT2627" s="82" t="str">
        <f aca="false">IF(AS2627=1,SUM(AS$7:AS2627),"")</f>
        <v/>
      </c>
      <c r="AU2627" s="82" t="n">
        <f aca="false">IF(AND(OR(AA2627="R",AA2627="NX",AA2627="NT",AA2627="CO"),OR('JOINTS DE RÉPARATION'!$D$5="TOUTES",B2627='JOINTS DE RÉPARATION'!$D$5),OR('JOINTS DE RÉPARATION'!$L$4="TOUS",AQ2627&lt;&gt;"ACCEPTÉ")),1,0)</f>
        <v>0</v>
      </c>
      <c r="AV2627" s="82" t="str">
        <f aca="false">IF(AU2627=1,SUM(AU$7:AU2627),"")</f>
        <v/>
      </c>
      <c r="AW2627" s="82" t="str">
        <f aca="false">IF(E2627="","",B2627&amp;"|"&amp;E2627)</f>
        <v/>
      </c>
    </row>
    <row r="2628" customFormat="false" ht="15" hidden="false" customHeight="false" outlineLevel="0" collapsed="false">
      <c r="A2628" s="79" t="str">
        <f aca="false">IF(E2628="","",ROW()-6)</f>
        <v/>
      </c>
      <c r="B2628" s="80"/>
      <c r="C2628" s="81"/>
      <c r="D2628" s="81"/>
      <c r="E2628" s="81"/>
      <c r="F2628" s="82" t="str">
        <f aca="false">IF(E2628="","",IF(LEFT(E2628,2)="DJ","DJ","JN"))</f>
        <v/>
      </c>
      <c r="G2628" s="81"/>
      <c r="H2628" s="81"/>
      <c r="I2628" s="81"/>
      <c r="J2628" s="81"/>
      <c r="K2628" s="81"/>
      <c r="L2628" s="81"/>
      <c r="M2628" s="81"/>
      <c r="N2628" s="81"/>
      <c r="O2628" s="81"/>
      <c r="P2628" s="81"/>
      <c r="Q2628" s="81"/>
      <c r="R2628" s="81"/>
      <c r="S2628" s="81"/>
      <c r="T2628" s="81"/>
      <c r="U2628" s="83"/>
      <c r="V2628" s="83"/>
      <c r="W2628" s="81"/>
      <c r="X2628" s="81"/>
      <c r="Y2628" s="83"/>
      <c r="Z2628" s="81"/>
      <c r="AA2628" s="81"/>
      <c r="AB2628" s="81"/>
      <c r="AC2628" s="81"/>
      <c r="AD2628" s="81"/>
      <c r="AE2628" s="83"/>
      <c r="AF2628" s="81"/>
      <c r="AG2628" s="81"/>
      <c r="AH2628" s="81"/>
      <c r="AI2628" s="81"/>
      <c r="AJ2628" s="83"/>
      <c r="AK2628" s="81"/>
      <c r="AL2628" s="81"/>
      <c r="AM2628" s="83"/>
      <c r="AN2628" s="80"/>
      <c r="AO2628" s="82" t="str">
        <f aca="false">IF(E2628="","",(AA2628&lt;&gt;"")+(AG2628&lt;&gt;"")+(AL2628&lt;&gt;""))</f>
        <v/>
      </c>
      <c r="AP2628" s="82" t="str">
        <f aca="false">IF(AL2628&lt;&gt;"",AL2628,IF(AG2628&lt;&gt;"",AG2628,IF(AA2628&lt;&gt;"",AA2628,"")))</f>
        <v/>
      </c>
      <c r="AQ2628" s="84" t="str">
        <f aca="false">IF(E2628="","",IF(U2628="","À SOUDER",IF(X2628="","VT EN ATTENTE",IF(X2628="R","VT REJETÉ – À REPRENDRE",IF(AP2628="","À RADIOGRAPHIER",IF(AP2628="A","ACCEPTÉ",IF(AP2628="NX","NX – RT À REFAIRE",IF(IF(AO2628=1,AD2628,IF(AO2628=2,AI2628,""))="A","RÉPARÉ – À RADIOGRAPHIER",IF(IF(AO2628=1,AD2628,IF(AO2628=2,AI2628,""))="R","VT REJETÉ – À REPRENDRE",IF(OR(AP2628="CO",AP2628="NT"),"COUPE – À RESOUDER","À RÉPARER"))))))))))</f>
        <v/>
      </c>
      <c r="AR2628" s="82" t="str">
        <f aca="false">IF(AND(ISNUMBER(U2628),OR(AQ2628="À RADIOGRAPHIER",AQ2628="RÉPARÉ – À RADIOGRAPHIER",AQ2628="NX – RT À REFAIRE",AQ2628="À RÉPARER",AQ2628="COUPE – À RESOUDER",AQ2628="VT REJETÉ – À REPRENDRE")),MAX(0,'PROGRAMME RT'!$C$4-U2628),"")</f>
        <v/>
      </c>
      <c r="AS2628" s="82" t="n">
        <f aca="false">IF(AND(OR(AQ2628="À RADIOGRAPHIER",AQ2628="RÉPARÉ – À RADIOGRAPHIER",AQ2628="NX – RT À REFAIRE"),OR('PROGRAMME RT'!$D$5="TOUTES",B2628='PROGRAMME RT'!$D$5)),1,0)</f>
        <v>0</v>
      </c>
      <c r="AT2628" s="82" t="str">
        <f aca="false">IF(AS2628=1,SUM(AS$7:AS2628),"")</f>
        <v/>
      </c>
      <c r="AU2628" s="82" t="n">
        <f aca="false">IF(AND(OR(AA2628="R",AA2628="NX",AA2628="NT",AA2628="CO"),OR('JOINTS DE RÉPARATION'!$D$5="TOUTES",B2628='JOINTS DE RÉPARATION'!$D$5),OR('JOINTS DE RÉPARATION'!$L$4="TOUS",AQ2628&lt;&gt;"ACCEPTÉ")),1,0)</f>
        <v>0</v>
      </c>
      <c r="AV2628" s="82" t="str">
        <f aca="false">IF(AU2628=1,SUM(AU$7:AU2628),"")</f>
        <v/>
      </c>
      <c r="AW2628" s="82" t="str">
        <f aca="false">IF(E2628="","",B2628&amp;"|"&amp;E2628)</f>
        <v/>
      </c>
    </row>
    <row r="2629" customFormat="false" ht="15" hidden="false" customHeight="false" outlineLevel="0" collapsed="false">
      <c r="A2629" s="79" t="str">
        <f aca="false">IF(E2629="","",ROW()-6)</f>
        <v/>
      </c>
      <c r="B2629" s="80"/>
      <c r="C2629" s="81"/>
      <c r="D2629" s="81"/>
      <c r="E2629" s="81"/>
      <c r="F2629" s="82" t="str">
        <f aca="false">IF(E2629="","",IF(LEFT(E2629,2)="DJ","DJ","JN"))</f>
        <v/>
      </c>
      <c r="G2629" s="81"/>
      <c r="H2629" s="81"/>
      <c r="I2629" s="81"/>
      <c r="J2629" s="81"/>
      <c r="K2629" s="81"/>
      <c r="L2629" s="81"/>
      <c r="M2629" s="81"/>
      <c r="N2629" s="81"/>
      <c r="O2629" s="81"/>
      <c r="P2629" s="81"/>
      <c r="Q2629" s="81"/>
      <c r="R2629" s="81"/>
      <c r="S2629" s="81"/>
      <c r="T2629" s="81"/>
      <c r="U2629" s="83"/>
      <c r="V2629" s="83"/>
      <c r="W2629" s="81"/>
      <c r="X2629" s="81"/>
      <c r="Y2629" s="83"/>
      <c r="Z2629" s="81"/>
      <c r="AA2629" s="81"/>
      <c r="AB2629" s="81"/>
      <c r="AC2629" s="81"/>
      <c r="AD2629" s="81"/>
      <c r="AE2629" s="83"/>
      <c r="AF2629" s="81"/>
      <c r="AG2629" s="81"/>
      <c r="AH2629" s="81"/>
      <c r="AI2629" s="81"/>
      <c r="AJ2629" s="83"/>
      <c r="AK2629" s="81"/>
      <c r="AL2629" s="81"/>
      <c r="AM2629" s="83"/>
      <c r="AN2629" s="80"/>
      <c r="AO2629" s="82" t="str">
        <f aca="false">IF(E2629="","",(AA2629&lt;&gt;"")+(AG2629&lt;&gt;"")+(AL2629&lt;&gt;""))</f>
        <v/>
      </c>
      <c r="AP2629" s="82" t="str">
        <f aca="false">IF(AL2629&lt;&gt;"",AL2629,IF(AG2629&lt;&gt;"",AG2629,IF(AA2629&lt;&gt;"",AA2629,"")))</f>
        <v/>
      </c>
      <c r="AQ2629" s="84" t="str">
        <f aca="false">IF(E2629="","",IF(U2629="","À SOUDER",IF(X2629="","VT EN ATTENTE",IF(X2629="R","VT REJETÉ – À REPRENDRE",IF(AP2629="","À RADIOGRAPHIER",IF(AP2629="A","ACCEPTÉ",IF(AP2629="NX","NX – RT À REFAIRE",IF(IF(AO2629=1,AD2629,IF(AO2629=2,AI2629,""))="A","RÉPARÉ – À RADIOGRAPHIER",IF(IF(AO2629=1,AD2629,IF(AO2629=2,AI2629,""))="R","VT REJETÉ – À REPRENDRE",IF(OR(AP2629="CO",AP2629="NT"),"COUPE – À RESOUDER","À RÉPARER"))))))))))</f>
        <v/>
      </c>
      <c r="AR2629" s="82" t="str">
        <f aca="false">IF(AND(ISNUMBER(U2629),OR(AQ2629="À RADIOGRAPHIER",AQ2629="RÉPARÉ – À RADIOGRAPHIER",AQ2629="NX – RT À REFAIRE",AQ2629="À RÉPARER",AQ2629="COUPE – À RESOUDER",AQ2629="VT REJETÉ – À REPRENDRE")),MAX(0,'PROGRAMME RT'!$C$4-U2629),"")</f>
        <v/>
      </c>
      <c r="AS2629" s="82" t="n">
        <f aca="false">IF(AND(OR(AQ2629="À RADIOGRAPHIER",AQ2629="RÉPARÉ – À RADIOGRAPHIER",AQ2629="NX – RT À REFAIRE"),OR('PROGRAMME RT'!$D$5="TOUTES",B2629='PROGRAMME RT'!$D$5)),1,0)</f>
        <v>0</v>
      </c>
      <c r="AT2629" s="82" t="str">
        <f aca="false">IF(AS2629=1,SUM(AS$7:AS2629),"")</f>
        <v/>
      </c>
      <c r="AU2629" s="82" t="n">
        <f aca="false">IF(AND(OR(AA2629="R",AA2629="NX",AA2629="NT",AA2629="CO"),OR('JOINTS DE RÉPARATION'!$D$5="TOUTES",B2629='JOINTS DE RÉPARATION'!$D$5),OR('JOINTS DE RÉPARATION'!$L$4="TOUS",AQ2629&lt;&gt;"ACCEPTÉ")),1,0)</f>
        <v>0</v>
      </c>
      <c r="AV2629" s="82" t="str">
        <f aca="false">IF(AU2629=1,SUM(AU$7:AU2629),"")</f>
        <v/>
      </c>
      <c r="AW2629" s="82" t="str">
        <f aca="false">IF(E2629="","",B2629&amp;"|"&amp;E2629)</f>
        <v/>
      </c>
    </row>
    <row r="2630" customFormat="false" ht="15" hidden="false" customHeight="false" outlineLevel="0" collapsed="false">
      <c r="A2630" s="79" t="str">
        <f aca="false">IF(E2630="","",ROW()-6)</f>
        <v/>
      </c>
      <c r="B2630" s="80"/>
      <c r="C2630" s="81"/>
      <c r="D2630" s="81"/>
      <c r="E2630" s="81"/>
      <c r="F2630" s="82" t="str">
        <f aca="false">IF(E2630="","",IF(LEFT(E2630,2)="DJ","DJ","JN"))</f>
        <v/>
      </c>
      <c r="G2630" s="81"/>
      <c r="H2630" s="81"/>
      <c r="I2630" s="81"/>
      <c r="J2630" s="81"/>
      <c r="K2630" s="81"/>
      <c r="L2630" s="81"/>
      <c r="M2630" s="81"/>
      <c r="N2630" s="81"/>
      <c r="O2630" s="81"/>
      <c r="P2630" s="81"/>
      <c r="Q2630" s="81"/>
      <c r="R2630" s="81"/>
      <c r="S2630" s="81"/>
      <c r="T2630" s="81"/>
      <c r="U2630" s="83"/>
      <c r="V2630" s="83"/>
      <c r="W2630" s="81"/>
      <c r="X2630" s="81"/>
      <c r="Y2630" s="83"/>
      <c r="Z2630" s="81"/>
      <c r="AA2630" s="81"/>
      <c r="AB2630" s="81"/>
      <c r="AC2630" s="81"/>
      <c r="AD2630" s="81"/>
      <c r="AE2630" s="83"/>
      <c r="AF2630" s="81"/>
      <c r="AG2630" s="81"/>
      <c r="AH2630" s="81"/>
      <c r="AI2630" s="81"/>
      <c r="AJ2630" s="83"/>
      <c r="AK2630" s="81"/>
      <c r="AL2630" s="81"/>
      <c r="AM2630" s="83"/>
      <c r="AN2630" s="80"/>
      <c r="AO2630" s="82" t="str">
        <f aca="false">IF(E2630="","",(AA2630&lt;&gt;"")+(AG2630&lt;&gt;"")+(AL2630&lt;&gt;""))</f>
        <v/>
      </c>
      <c r="AP2630" s="82" t="str">
        <f aca="false">IF(AL2630&lt;&gt;"",AL2630,IF(AG2630&lt;&gt;"",AG2630,IF(AA2630&lt;&gt;"",AA2630,"")))</f>
        <v/>
      </c>
      <c r="AQ2630" s="84" t="str">
        <f aca="false">IF(E2630="","",IF(U2630="","À SOUDER",IF(X2630="","VT EN ATTENTE",IF(X2630="R","VT REJETÉ – À REPRENDRE",IF(AP2630="","À RADIOGRAPHIER",IF(AP2630="A","ACCEPTÉ",IF(AP2630="NX","NX – RT À REFAIRE",IF(IF(AO2630=1,AD2630,IF(AO2630=2,AI2630,""))="A","RÉPARÉ – À RADIOGRAPHIER",IF(IF(AO2630=1,AD2630,IF(AO2630=2,AI2630,""))="R","VT REJETÉ – À REPRENDRE",IF(OR(AP2630="CO",AP2630="NT"),"COUPE – À RESOUDER","À RÉPARER"))))))))))</f>
        <v/>
      </c>
      <c r="AR2630" s="82" t="str">
        <f aca="false">IF(AND(ISNUMBER(U2630),OR(AQ2630="À RADIOGRAPHIER",AQ2630="RÉPARÉ – À RADIOGRAPHIER",AQ2630="NX – RT À REFAIRE",AQ2630="À RÉPARER",AQ2630="COUPE – À RESOUDER",AQ2630="VT REJETÉ – À REPRENDRE")),MAX(0,'PROGRAMME RT'!$C$4-U2630),"")</f>
        <v/>
      </c>
      <c r="AS2630" s="82" t="n">
        <f aca="false">IF(AND(OR(AQ2630="À RADIOGRAPHIER",AQ2630="RÉPARÉ – À RADIOGRAPHIER",AQ2630="NX – RT À REFAIRE"),OR('PROGRAMME RT'!$D$5="TOUTES",B2630='PROGRAMME RT'!$D$5)),1,0)</f>
        <v>0</v>
      </c>
      <c r="AT2630" s="82" t="str">
        <f aca="false">IF(AS2630=1,SUM(AS$7:AS2630),"")</f>
        <v/>
      </c>
      <c r="AU2630" s="82" t="n">
        <f aca="false">IF(AND(OR(AA2630="R",AA2630="NX",AA2630="NT",AA2630="CO"),OR('JOINTS DE RÉPARATION'!$D$5="TOUTES",B2630='JOINTS DE RÉPARATION'!$D$5),OR('JOINTS DE RÉPARATION'!$L$4="TOUS",AQ2630&lt;&gt;"ACCEPTÉ")),1,0)</f>
        <v>0</v>
      </c>
      <c r="AV2630" s="82" t="str">
        <f aca="false">IF(AU2630=1,SUM(AU$7:AU2630),"")</f>
        <v/>
      </c>
      <c r="AW2630" s="82" t="str">
        <f aca="false">IF(E2630="","",B2630&amp;"|"&amp;E2630)</f>
        <v/>
      </c>
    </row>
    <row r="2631" customFormat="false" ht="15" hidden="false" customHeight="false" outlineLevel="0" collapsed="false">
      <c r="A2631" s="79" t="str">
        <f aca="false">IF(E2631="","",ROW()-6)</f>
        <v/>
      </c>
      <c r="B2631" s="80"/>
      <c r="C2631" s="81"/>
      <c r="D2631" s="81"/>
      <c r="E2631" s="81"/>
      <c r="F2631" s="82" t="str">
        <f aca="false">IF(E2631="","",IF(LEFT(E2631,2)="DJ","DJ","JN"))</f>
        <v/>
      </c>
      <c r="G2631" s="81"/>
      <c r="H2631" s="81"/>
      <c r="I2631" s="81"/>
      <c r="J2631" s="81"/>
      <c r="K2631" s="81"/>
      <c r="L2631" s="81"/>
      <c r="M2631" s="81"/>
      <c r="N2631" s="81"/>
      <c r="O2631" s="81"/>
      <c r="P2631" s="81"/>
      <c r="Q2631" s="81"/>
      <c r="R2631" s="81"/>
      <c r="S2631" s="81"/>
      <c r="T2631" s="81"/>
      <c r="U2631" s="83"/>
      <c r="V2631" s="83"/>
      <c r="W2631" s="81"/>
      <c r="X2631" s="81"/>
      <c r="Y2631" s="83"/>
      <c r="Z2631" s="81"/>
      <c r="AA2631" s="81"/>
      <c r="AB2631" s="81"/>
      <c r="AC2631" s="81"/>
      <c r="AD2631" s="81"/>
      <c r="AE2631" s="83"/>
      <c r="AF2631" s="81"/>
      <c r="AG2631" s="81"/>
      <c r="AH2631" s="81"/>
      <c r="AI2631" s="81"/>
      <c r="AJ2631" s="83"/>
      <c r="AK2631" s="81"/>
      <c r="AL2631" s="81"/>
      <c r="AM2631" s="83"/>
      <c r="AN2631" s="80"/>
      <c r="AO2631" s="82" t="str">
        <f aca="false">IF(E2631="","",(AA2631&lt;&gt;"")+(AG2631&lt;&gt;"")+(AL2631&lt;&gt;""))</f>
        <v/>
      </c>
      <c r="AP2631" s="82" t="str">
        <f aca="false">IF(AL2631&lt;&gt;"",AL2631,IF(AG2631&lt;&gt;"",AG2631,IF(AA2631&lt;&gt;"",AA2631,"")))</f>
        <v/>
      </c>
      <c r="AQ2631" s="84" t="str">
        <f aca="false">IF(E2631="","",IF(U2631="","À SOUDER",IF(X2631="","VT EN ATTENTE",IF(X2631="R","VT REJETÉ – À REPRENDRE",IF(AP2631="","À RADIOGRAPHIER",IF(AP2631="A","ACCEPTÉ",IF(AP2631="NX","NX – RT À REFAIRE",IF(IF(AO2631=1,AD2631,IF(AO2631=2,AI2631,""))="A","RÉPARÉ – À RADIOGRAPHIER",IF(IF(AO2631=1,AD2631,IF(AO2631=2,AI2631,""))="R","VT REJETÉ – À REPRENDRE",IF(OR(AP2631="CO",AP2631="NT"),"COUPE – À RESOUDER","À RÉPARER"))))))))))</f>
        <v/>
      </c>
      <c r="AR2631" s="82" t="str">
        <f aca="false">IF(AND(ISNUMBER(U2631),OR(AQ2631="À RADIOGRAPHIER",AQ2631="RÉPARÉ – À RADIOGRAPHIER",AQ2631="NX – RT À REFAIRE",AQ2631="À RÉPARER",AQ2631="COUPE – À RESOUDER",AQ2631="VT REJETÉ – À REPRENDRE")),MAX(0,'PROGRAMME RT'!$C$4-U2631),"")</f>
        <v/>
      </c>
      <c r="AS2631" s="82" t="n">
        <f aca="false">IF(AND(OR(AQ2631="À RADIOGRAPHIER",AQ2631="RÉPARÉ – À RADIOGRAPHIER",AQ2631="NX – RT À REFAIRE"),OR('PROGRAMME RT'!$D$5="TOUTES",B2631='PROGRAMME RT'!$D$5)),1,0)</f>
        <v>0</v>
      </c>
      <c r="AT2631" s="82" t="str">
        <f aca="false">IF(AS2631=1,SUM(AS$7:AS2631),"")</f>
        <v/>
      </c>
      <c r="AU2631" s="82" t="n">
        <f aca="false">IF(AND(OR(AA2631="R",AA2631="NX",AA2631="NT",AA2631="CO"),OR('JOINTS DE RÉPARATION'!$D$5="TOUTES",B2631='JOINTS DE RÉPARATION'!$D$5),OR('JOINTS DE RÉPARATION'!$L$4="TOUS",AQ2631&lt;&gt;"ACCEPTÉ")),1,0)</f>
        <v>0</v>
      </c>
      <c r="AV2631" s="82" t="str">
        <f aca="false">IF(AU2631=1,SUM(AU$7:AU2631),"")</f>
        <v/>
      </c>
      <c r="AW2631" s="82" t="str">
        <f aca="false">IF(E2631="","",B2631&amp;"|"&amp;E2631)</f>
        <v/>
      </c>
    </row>
    <row r="2632" customFormat="false" ht="15" hidden="false" customHeight="false" outlineLevel="0" collapsed="false">
      <c r="A2632" s="79" t="str">
        <f aca="false">IF(E2632="","",ROW()-6)</f>
        <v/>
      </c>
      <c r="B2632" s="80"/>
      <c r="C2632" s="81"/>
      <c r="D2632" s="81"/>
      <c r="E2632" s="81"/>
      <c r="F2632" s="82" t="str">
        <f aca="false">IF(E2632="","",IF(LEFT(E2632,2)="DJ","DJ","JN"))</f>
        <v/>
      </c>
      <c r="G2632" s="81"/>
      <c r="H2632" s="81"/>
      <c r="I2632" s="81"/>
      <c r="J2632" s="81"/>
      <c r="K2632" s="81"/>
      <c r="L2632" s="81"/>
      <c r="M2632" s="81"/>
      <c r="N2632" s="81"/>
      <c r="O2632" s="81"/>
      <c r="P2632" s="81"/>
      <c r="Q2632" s="81"/>
      <c r="R2632" s="81"/>
      <c r="S2632" s="81"/>
      <c r="T2632" s="81"/>
      <c r="U2632" s="83"/>
      <c r="V2632" s="83"/>
      <c r="W2632" s="81"/>
      <c r="X2632" s="81"/>
      <c r="Y2632" s="83"/>
      <c r="Z2632" s="81"/>
      <c r="AA2632" s="81"/>
      <c r="AB2632" s="81"/>
      <c r="AC2632" s="81"/>
      <c r="AD2632" s="81"/>
      <c r="AE2632" s="83"/>
      <c r="AF2632" s="81"/>
      <c r="AG2632" s="81"/>
      <c r="AH2632" s="81"/>
      <c r="AI2632" s="81"/>
      <c r="AJ2632" s="83"/>
      <c r="AK2632" s="81"/>
      <c r="AL2632" s="81"/>
      <c r="AM2632" s="83"/>
      <c r="AN2632" s="80"/>
      <c r="AO2632" s="82" t="str">
        <f aca="false">IF(E2632="","",(AA2632&lt;&gt;"")+(AG2632&lt;&gt;"")+(AL2632&lt;&gt;""))</f>
        <v/>
      </c>
      <c r="AP2632" s="82" t="str">
        <f aca="false">IF(AL2632&lt;&gt;"",AL2632,IF(AG2632&lt;&gt;"",AG2632,IF(AA2632&lt;&gt;"",AA2632,"")))</f>
        <v/>
      </c>
      <c r="AQ2632" s="84" t="str">
        <f aca="false">IF(E2632="","",IF(U2632="","À SOUDER",IF(X2632="","VT EN ATTENTE",IF(X2632="R","VT REJETÉ – À REPRENDRE",IF(AP2632="","À RADIOGRAPHIER",IF(AP2632="A","ACCEPTÉ",IF(AP2632="NX","NX – RT À REFAIRE",IF(IF(AO2632=1,AD2632,IF(AO2632=2,AI2632,""))="A","RÉPARÉ – À RADIOGRAPHIER",IF(IF(AO2632=1,AD2632,IF(AO2632=2,AI2632,""))="R","VT REJETÉ – À REPRENDRE",IF(OR(AP2632="CO",AP2632="NT"),"COUPE – À RESOUDER","À RÉPARER"))))))))))</f>
        <v/>
      </c>
      <c r="AR2632" s="82" t="str">
        <f aca="false">IF(AND(ISNUMBER(U2632),OR(AQ2632="À RADIOGRAPHIER",AQ2632="RÉPARÉ – À RADIOGRAPHIER",AQ2632="NX – RT À REFAIRE",AQ2632="À RÉPARER",AQ2632="COUPE – À RESOUDER",AQ2632="VT REJETÉ – À REPRENDRE")),MAX(0,'PROGRAMME RT'!$C$4-U2632),"")</f>
        <v/>
      </c>
      <c r="AS2632" s="82" t="n">
        <f aca="false">IF(AND(OR(AQ2632="À RADIOGRAPHIER",AQ2632="RÉPARÉ – À RADIOGRAPHIER",AQ2632="NX – RT À REFAIRE"),OR('PROGRAMME RT'!$D$5="TOUTES",B2632='PROGRAMME RT'!$D$5)),1,0)</f>
        <v>0</v>
      </c>
      <c r="AT2632" s="82" t="str">
        <f aca="false">IF(AS2632=1,SUM(AS$7:AS2632),"")</f>
        <v/>
      </c>
      <c r="AU2632" s="82" t="n">
        <f aca="false">IF(AND(OR(AA2632="R",AA2632="NX",AA2632="NT",AA2632="CO"),OR('JOINTS DE RÉPARATION'!$D$5="TOUTES",B2632='JOINTS DE RÉPARATION'!$D$5),OR('JOINTS DE RÉPARATION'!$L$4="TOUS",AQ2632&lt;&gt;"ACCEPTÉ")),1,0)</f>
        <v>0</v>
      </c>
      <c r="AV2632" s="82" t="str">
        <f aca="false">IF(AU2632=1,SUM(AU$7:AU2632),"")</f>
        <v/>
      </c>
      <c r="AW2632" s="82" t="str">
        <f aca="false">IF(E2632="","",B2632&amp;"|"&amp;E2632)</f>
        <v/>
      </c>
    </row>
    <row r="2633" customFormat="false" ht="15" hidden="false" customHeight="false" outlineLevel="0" collapsed="false">
      <c r="A2633" s="79" t="str">
        <f aca="false">IF(E2633="","",ROW()-6)</f>
        <v/>
      </c>
      <c r="B2633" s="80"/>
      <c r="C2633" s="81"/>
      <c r="D2633" s="81"/>
      <c r="E2633" s="81"/>
      <c r="F2633" s="82" t="str">
        <f aca="false">IF(E2633="","",IF(LEFT(E2633,2)="DJ","DJ","JN"))</f>
        <v/>
      </c>
      <c r="G2633" s="81"/>
      <c r="H2633" s="81"/>
      <c r="I2633" s="81"/>
      <c r="J2633" s="81"/>
      <c r="K2633" s="81"/>
      <c r="L2633" s="81"/>
      <c r="M2633" s="81"/>
      <c r="N2633" s="81"/>
      <c r="O2633" s="81"/>
      <c r="P2633" s="81"/>
      <c r="Q2633" s="81"/>
      <c r="R2633" s="81"/>
      <c r="S2633" s="81"/>
      <c r="T2633" s="81"/>
      <c r="U2633" s="83"/>
      <c r="V2633" s="83"/>
      <c r="W2633" s="81"/>
      <c r="X2633" s="81"/>
      <c r="Y2633" s="83"/>
      <c r="Z2633" s="81"/>
      <c r="AA2633" s="81"/>
      <c r="AB2633" s="81"/>
      <c r="AC2633" s="81"/>
      <c r="AD2633" s="81"/>
      <c r="AE2633" s="83"/>
      <c r="AF2633" s="81"/>
      <c r="AG2633" s="81"/>
      <c r="AH2633" s="81"/>
      <c r="AI2633" s="81"/>
      <c r="AJ2633" s="83"/>
      <c r="AK2633" s="81"/>
      <c r="AL2633" s="81"/>
      <c r="AM2633" s="83"/>
      <c r="AN2633" s="80"/>
      <c r="AO2633" s="82" t="str">
        <f aca="false">IF(E2633="","",(AA2633&lt;&gt;"")+(AG2633&lt;&gt;"")+(AL2633&lt;&gt;""))</f>
        <v/>
      </c>
      <c r="AP2633" s="82" t="str">
        <f aca="false">IF(AL2633&lt;&gt;"",AL2633,IF(AG2633&lt;&gt;"",AG2633,IF(AA2633&lt;&gt;"",AA2633,"")))</f>
        <v/>
      </c>
      <c r="AQ2633" s="84" t="str">
        <f aca="false">IF(E2633="","",IF(U2633="","À SOUDER",IF(X2633="","VT EN ATTENTE",IF(X2633="R","VT REJETÉ – À REPRENDRE",IF(AP2633="","À RADIOGRAPHIER",IF(AP2633="A","ACCEPTÉ",IF(AP2633="NX","NX – RT À REFAIRE",IF(IF(AO2633=1,AD2633,IF(AO2633=2,AI2633,""))="A","RÉPARÉ – À RADIOGRAPHIER",IF(IF(AO2633=1,AD2633,IF(AO2633=2,AI2633,""))="R","VT REJETÉ – À REPRENDRE",IF(OR(AP2633="CO",AP2633="NT"),"COUPE – À RESOUDER","À RÉPARER"))))))))))</f>
        <v/>
      </c>
      <c r="AR2633" s="82" t="str">
        <f aca="false">IF(AND(ISNUMBER(U2633),OR(AQ2633="À RADIOGRAPHIER",AQ2633="RÉPARÉ – À RADIOGRAPHIER",AQ2633="NX – RT À REFAIRE",AQ2633="À RÉPARER",AQ2633="COUPE – À RESOUDER",AQ2633="VT REJETÉ – À REPRENDRE")),MAX(0,'PROGRAMME RT'!$C$4-U2633),"")</f>
        <v/>
      </c>
      <c r="AS2633" s="82" t="n">
        <f aca="false">IF(AND(OR(AQ2633="À RADIOGRAPHIER",AQ2633="RÉPARÉ – À RADIOGRAPHIER",AQ2633="NX – RT À REFAIRE"),OR('PROGRAMME RT'!$D$5="TOUTES",B2633='PROGRAMME RT'!$D$5)),1,0)</f>
        <v>0</v>
      </c>
      <c r="AT2633" s="82" t="str">
        <f aca="false">IF(AS2633=1,SUM(AS$7:AS2633),"")</f>
        <v/>
      </c>
      <c r="AU2633" s="82" t="n">
        <f aca="false">IF(AND(OR(AA2633="R",AA2633="NX",AA2633="NT",AA2633="CO"),OR('JOINTS DE RÉPARATION'!$D$5="TOUTES",B2633='JOINTS DE RÉPARATION'!$D$5),OR('JOINTS DE RÉPARATION'!$L$4="TOUS",AQ2633&lt;&gt;"ACCEPTÉ")),1,0)</f>
        <v>0</v>
      </c>
      <c r="AV2633" s="82" t="str">
        <f aca="false">IF(AU2633=1,SUM(AU$7:AU2633),"")</f>
        <v/>
      </c>
      <c r="AW2633" s="82" t="str">
        <f aca="false">IF(E2633="","",B2633&amp;"|"&amp;E2633)</f>
        <v/>
      </c>
    </row>
    <row r="2634" customFormat="false" ht="15" hidden="false" customHeight="false" outlineLevel="0" collapsed="false">
      <c r="A2634" s="79" t="str">
        <f aca="false">IF(E2634="","",ROW()-6)</f>
        <v/>
      </c>
      <c r="B2634" s="80"/>
      <c r="C2634" s="81"/>
      <c r="D2634" s="81"/>
      <c r="E2634" s="81"/>
      <c r="F2634" s="82" t="str">
        <f aca="false">IF(E2634="","",IF(LEFT(E2634,2)="DJ","DJ","JN"))</f>
        <v/>
      </c>
      <c r="G2634" s="81"/>
      <c r="H2634" s="81"/>
      <c r="I2634" s="81"/>
      <c r="J2634" s="81"/>
      <c r="K2634" s="81"/>
      <c r="L2634" s="81"/>
      <c r="M2634" s="81"/>
      <c r="N2634" s="81"/>
      <c r="O2634" s="81"/>
      <c r="P2634" s="81"/>
      <c r="Q2634" s="81"/>
      <c r="R2634" s="81"/>
      <c r="S2634" s="81"/>
      <c r="T2634" s="81"/>
      <c r="U2634" s="83"/>
      <c r="V2634" s="83"/>
      <c r="W2634" s="81"/>
      <c r="X2634" s="81"/>
      <c r="Y2634" s="83"/>
      <c r="Z2634" s="81"/>
      <c r="AA2634" s="81"/>
      <c r="AB2634" s="81"/>
      <c r="AC2634" s="81"/>
      <c r="AD2634" s="81"/>
      <c r="AE2634" s="83"/>
      <c r="AF2634" s="81"/>
      <c r="AG2634" s="81"/>
      <c r="AH2634" s="81"/>
      <c r="AI2634" s="81"/>
      <c r="AJ2634" s="83"/>
      <c r="AK2634" s="81"/>
      <c r="AL2634" s="81"/>
      <c r="AM2634" s="83"/>
      <c r="AN2634" s="80"/>
      <c r="AO2634" s="82" t="str">
        <f aca="false">IF(E2634="","",(AA2634&lt;&gt;"")+(AG2634&lt;&gt;"")+(AL2634&lt;&gt;""))</f>
        <v/>
      </c>
      <c r="AP2634" s="82" t="str">
        <f aca="false">IF(AL2634&lt;&gt;"",AL2634,IF(AG2634&lt;&gt;"",AG2634,IF(AA2634&lt;&gt;"",AA2634,"")))</f>
        <v/>
      </c>
      <c r="AQ2634" s="84" t="str">
        <f aca="false">IF(E2634="","",IF(U2634="","À SOUDER",IF(X2634="","VT EN ATTENTE",IF(X2634="R","VT REJETÉ – À REPRENDRE",IF(AP2634="","À RADIOGRAPHIER",IF(AP2634="A","ACCEPTÉ",IF(AP2634="NX","NX – RT À REFAIRE",IF(IF(AO2634=1,AD2634,IF(AO2634=2,AI2634,""))="A","RÉPARÉ – À RADIOGRAPHIER",IF(IF(AO2634=1,AD2634,IF(AO2634=2,AI2634,""))="R","VT REJETÉ – À REPRENDRE",IF(OR(AP2634="CO",AP2634="NT"),"COUPE – À RESOUDER","À RÉPARER"))))))))))</f>
        <v/>
      </c>
      <c r="AR2634" s="82" t="str">
        <f aca="false">IF(AND(ISNUMBER(U2634),OR(AQ2634="À RADIOGRAPHIER",AQ2634="RÉPARÉ – À RADIOGRAPHIER",AQ2634="NX – RT À REFAIRE",AQ2634="À RÉPARER",AQ2634="COUPE – À RESOUDER",AQ2634="VT REJETÉ – À REPRENDRE")),MAX(0,'PROGRAMME RT'!$C$4-U2634),"")</f>
        <v/>
      </c>
      <c r="AS2634" s="82" t="n">
        <f aca="false">IF(AND(OR(AQ2634="À RADIOGRAPHIER",AQ2634="RÉPARÉ – À RADIOGRAPHIER",AQ2634="NX – RT À REFAIRE"),OR('PROGRAMME RT'!$D$5="TOUTES",B2634='PROGRAMME RT'!$D$5)),1,0)</f>
        <v>0</v>
      </c>
      <c r="AT2634" s="82" t="str">
        <f aca="false">IF(AS2634=1,SUM(AS$7:AS2634),"")</f>
        <v/>
      </c>
      <c r="AU2634" s="82" t="n">
        <f aca="false">IF(AND(OR(AA2634="R",AA2634="NX",AA2634="NT",AA2634="CO"),OR('JOINTS DE RÉPARATION'!$D$5="TOUTES",B2634='JOINTS DE RÉPARATION'!$D$5),OR('JOINTS DE RÉPARATION'!$L$4="TOUS",AQ2634&lt;&gt;"ACCEPTÉ")),1,0)</f>
        <v>0</v>
      </c>
      <c r="AV2634" s="82" t="str">
        <f aca="false">IF(AU2634=1,SUM(AU$7:AU2634),"")</f>
        <v/>
      </c>
      <c r="AW2634" s="82" t="str">
        <f aca="false">IF(E2634="","",B2634&amp;"|"&amp;E2634)</f>
        <v/>
      </c>
    </row>
    <row r="2635" customFormat="false" ht="15" hidden="false" customHeight="false" outlineLevel="0" collapsed="false">
      <c r="A2635" s="79" t="str">
        <f aca="false">IF(E2635="","",ROW()-6)</f>
        <v/>
      </c>
      <c r="B2635" s="80"/>
      <c r="C2635" s="81"/>
      <c r="D2635" s="81"/>
      <c r="E2635" s="81"/>
      <c r="F2635" s="82" t="str">
        <f aca="false">IF(E2635="","",IF(LEFT(E2635,2)="DJ","DJ","JN"))</f>
        <v/>
      </c>
      <c r="G2635" s="81"/>
      <c r="H2635" s="81"/>
      <c r="I2635" s="81"/>
      <c r="J2635" s="81"/>
      <c r="K2635" s="81"/>
      <c r="L2635" s="81"/>
      <c r="M2635" s="81"/>
      <c r="N2635" s="81"/>
      <c r="O2635" s="81"/>
      <c r="P2635" s="81"/>
      <c r="Q2635" s="81"/>
      <c r="R2635" s="81"/>
      <c r="S2635" s="81"/>
      <c r="T2635" s="81"/>
      <c r="U2635" s="83"/>
      <c r="V2635" s="83"/>
      <c r="W2635" s="81"/>
      <c r="X2635" s="81"/>
      <c r="Y2635" s="83"/>
      <c r="Z2635" s="81"/>
      <c r="AA2635" s="81"/>
      <c r="AB2635" s="81"/>
      <c r="AC2635" s="81"/>
      <c r="AD2635" s="81"/>
      <c r="AE2635" s="83"/>
      <c r="AF2635" s="81"/>
      <c r="AG2635" s="81"/>
      <c r="AH2635" s="81"/>
      <c r="AI2635" s="81"/>
      <c r="AJ2635" s="83"/>
      <c r="AK2635" s="81"/>
      <c r="AL2635" s="81"/>
      <c r="AM2635" s="83"/>
      <c r="AN2635" s="80"/>
      <c r="AO2635" s="82" t="str">
        <f aca="false">IF(E2635="","",(AA2635&lt;&gt;"")+(AG2635&lt;&gt;"")+(AL2635&lt;&gt;""))</f>
        <v/>
      </c>
      <c r="AP2635" s="82" t="str">
        <f aca="false">IF(AL2635&lt;&gt;"",AL2635,IF(AG2635&lt;&gt;"",AG2635,IF(AA2635&lt;&gt;"",AA2635,"")))</f>
        <v/>
      </c>
      <c r="AQ2635" s="84" t="str">
        <f aca="false">IF(E2635="","",IF(U2635="","À SOUDER",IF(X2635="","VT EN ATTENTE",IF(X2635="R","VT REJETÉ – À REPRENDRE",IF(AP2635="","À RADIOGRAPHIER",IF(AP2635="A","ACCEPTÉ",IF(AP2635="NX","NX – RT À REFAIRE",IF(IF(AO2635=1,AD2635,IF(AO2635=2,AI2635,""))="A","RÉPARÉ – À RADIOGRAPHIER",IF(IF(AO2635=1,AD2635,IF(AO2635=2,AI2635,""))="R","VT REJETÉ – À REPRENDRE",IF(OR(AP2635="CO",AP2635="NT"),"COUPE – À RESOUDER","À RÉPARER"))))))))))</f>
        <v/>
      </c>
      <c r="AR2635" s="82" t="str">
        <f aca="false">IF(AND(ISNUMBER(U2635),OR(AQ2635="À RADIOGRAPHIER",AQ2635="RÉPARÉ – À RADIOGRAPHIER",AQ2635="NX – RT À REFAIRE",AQ2635="À RÉPARER",AQ2635="COUPE – À RESOUDER",AQ2635="VT REJETÉ – À REPRENDRE")),MAX(0,'PROGRAMME RT'!$C$4-U2635),"")</f>
        <v/>
      </c>
      <c r="AS2635" s="82" t="n">
        <f aca="false">IF(AND(OR(AQ2635="À RADIOGRAPHIER",AQ2635="RÉPARÉ – À RADIOGRAPHIER",AQ2635="NX – RT À REFAIRE"),OR('PROGRAMME RT'!$D$5="TOUTES",B2635='PROGRAMME RT'!$D$5)),1,0)</f>
        <v>0</v>
      </c>
      <c r="AT2635" s="82" t="str">
        <f aca="false">IF(AS2635=1,SUM(AS$7:AS2635),"")</f>
        <v/>
      </c>
      <c r="AU2635" s="82" t="n">
        <f aca="false">IF(AND(OR(AA2635="R",AA2635="NX",AA2635="NT",AA2635="CO"),OR('JOINTS DE RÉPARATION'!$D$5="TOUTES",B2635='JOINTS DE RÉPARATION'!$D$5),OR('JOINTS DE RÉPARATION'!$L$4="TOUS",AQ2635&lt;&gt;"ACCEPTÉ")),1,0)</f>
        <v>0</v>
      </c>
      <c r="AV2635" s="82" t="str">
        <f aca="false">IF(AU2635=1,SUM(AU$7:AU2635),"")</f>
        <v/>
      </c>
      <c r="AW2635" s="82" t="str">
        <f aca="false">IF(E2635="","",B2635&amp;"|"&amp;E2635)</f>
        <v/>
      </c>
    </row>
    <row r="2636" customFormat="false" ht="15" hidden="false" customHeight="false" outlineLevel="0" collapsed="false">
      <c r="A2636" s="79" t="str">
        <f aca="false">IF(E2636="","",ROW()-6)</f>
        <v/>
      </c>
      <c r="B2636" s="80"/>
      <c r="C2636" s="81"/>
      <c r="D2636" s="81"/>
      <c r="E2636" s="81"/>
      <c r="F2636" s="82" t="str">
        <f aca="false">IF(E2636="","",IF(LEFT(E2636,2)="DJ","DJ","JN"))</f>
        <v/>
      </c>
      <c r="G2636" s="81"/>
      <c r="H2636" s="81"/>
      <c r="I2636" s="81"/>
      <c r="J2636" s="81"/>
      <c r="K2636" s="81"/>
      <c r="L2636" s="81"/>
      <c r="M2636" s="81"/>
      <c r="N2636" s="81"/>
      <c r="O2636" s="81"/>
      <c r="P2636" s="81"/>
      <c r="Q2636" s="81"/>
      <c r="R2636" s="81"/>
      <c r="S2636" s="81"/>
      <c r="T2636" s="81"/>
      <c r="U2636" s="83"/>
      <c r="V2636" s="83"/>
      <c r="W2636" s="81"/>
      <c r="X2636" s="81"/>
      <c r="Y2636" s="83"/>
      <c r="Z2636" s="81"/>
      <c r="AA2636" s="81"/>
      <c r="AB2636" s="81"/>
      <c r="AC2636" s="81"/>
      <c r="AD2636" s="81"/>
      <c r="AE2636" s="83"/>
      <c r="AF2636" s="81"/>
      <c r="AG2636" s="81"/>
      <c r="AH2636" s="81"/>
      <c r="AI2636" s="81"/>
      <c r="AJ2636" s="83"/>
      <c r="AK2636" s="81"/>
      <c r="AL2636" s="81"/>
      <c r="AM2636" s="83"/>
      <c r="AN2636" s="80"/>
      <c r="AO2636" s="82" t="str">
        <f aca="false">IF(E2636="","",(AA2636&lt;&gt;"")+(AG2636&lt;&gt;"")+(AL2636&lt;&gt;""))</f>
        <v/>
      </c>
      <c r="AP2636" s="82" t="str">
        <f aca="false">IF(AL2636&lt;&gt;"",AL2636,IF(AG2636&lt;&gt;"",AG2636,IF(AA2636&lt;&gt;"",AA2636,"")))</f>
        <v/>
      </c>
      <c r="AQ2636" s="84" t="str">
        <f aca="false">IF(E2636="","",IF(U2636="","À SOUDER",IF(X2636="","VT EN ATTENTE",IF(X2636="R","VT REJETÉ – À REPRENDRE",IF(AP2636="","À RADIOGRAPHIER",IF(AP2636="A","ACCEPTÉ",IF(AP2636="NX","NX – RT À REFAIRE",IF(IF(AO2636=1,AD2636,IF(AO2636=2,AI2636,""))="A","RÉPARÉ – À RADIOGRAPHIER",IF(IF(AO2636=1,AD2636,IF(AO2636=2,AI2636,""))="R","VT REJETÉ – À REPRENDRE",IF(OR(AP2636="CO",AP2636="NT"),"COUPE – À RESOUDER","À RÉPARER"))))))))))</f>
        <v/>
      </c>
      <c r="AR2636" s="82" t="str">
        <f aca="false">IF(AND(ISNUMBER(U2636),OR(AQ2636="À RADIOGRAPHIER",AQ2636="RÉPARÉ – À RADIOGRAPHIER",AQ2636="NX – RT À REFAIRE",AQ2636="À RÉPARER",AQ2636="COUPE – À RESOUDER",AQ2636="VT REJETÉ – À REPRENDRE")),MAX(0,'PROGRAMME RT'!$C$4-U2636),"")</f>
        <v/>
      </c>
      <c r="AS2636" s="82" t="n">
        <f aca="false">IF(AND(OR(AQ2636="À RADIOGRAPHIER",AQ2636="RÉPARÉ – À RADIOGRAPHIER",AQ2636="NX – RT À REFAIRE"),OR('PROGRAMME RT'!$D$5="TOUTES",B2636='PROGRAMME RT'!$D$5)),1,0)</f>
        <v>0</v>
      </c>
      <c r="AT2636" s="82" t="str">
        <f aca="false">IF(AS2636=1,SUM(AS$7:AS2636),"")</f>
        <v/>
      </c>
      <c r="AU2636" s="82" t="n">
        <f aca="false">IF(AND(OR(AA2636="R",AA2636="NX",AA2636="NT",AA2636="CO"),OR('JOINTS DE RÉPARATION'!$D$5="TOUTES",B2636='JOINTS DE RÉPARATION'!$D$5),OR('JOINTS DE RÉPARATION'!$L$4="TOUS",AQ2636&lt;&gt;"ACCEPTÉ")),1,0)</f>
        <v>0</v>
      </c>
      <c r="AV2636" s="82" t="str">
        <f aca="false">IF(AU2636=1,SUM(AU$7:AU2636),"")</f>
        <v/>
      </c>
      <c r="AW2636" s="82" t="str">
        <f aca="false">IF(E2636="","",B2636&amp;"|"&amp;E2636)</f>
        <v/>
      </c>
    </row>
    <row r="2637" customFormat="false" ht="15" hidden="false" customHeight="false" outlineLevel="0" collapsed="false">
      <c r="A2637" s="79" t="str">
        <f aca="false">IF(E2637="","",ROW()-6)</f>
        <v/>
      </c>
      <c r="B2637" s="80"/>
      <c r="C2637" s="81"/>
      <c r="D2637" s="81"/>
      <c r="E2637" s="81"/>
      <c r="F2637" s="82" t="str">
        <f aca="false">IF(E2637="","",IF(LEFT(E2637,2)="DJ","DJ","JN"))</f>
        <v/>
      </c>
      <c r="G2637" s="81"/>
      <c r="H2637" s="81"/>
      <c r="I2637" s="81"/>
      <c r="J2637" s="81"/>
      <c r="K2637" s="81"/>
      <c r="L2637" s="81"/>
      <c r="M2637" s="81"/>
      <c r="N2637" s="81"/>
      <c r="O2637" s="81"/>
      <c r="P2637" s="81"/>
      <c r="Q2637" s="81"/>
      <c r="R2637" s="81"/>
      <c r="S2637" s="81"/>
      <c r="T2637" s="81"/>
      <c r="U2637" s="83"/>
      <c r="V2637" s="83"/>
      <c r="W2637" s="81"/>
      <c r="X2637" s="81"/>
      <c r="Y2637" s="83"/>
      <c r="Z2637" s="81"/>
      <c r="AA2637" s="81"/>
      <c r="AB2637" s="81"/>
      <c r="AC2637" s="81"/>
      <c r="AD2637" s="81"/>
      <c r="AE2637" s="83"/>
      <c r="AF2637" s="81"/>
      <c r="AG2637" s="81"/>
      <c r="AH2637" s="81"/>
      <c r="AI2637" s="81"/>
      <c r="AJ2637" s="83"/>
      <c r="AK2637" s="81"/>
      <c r="AL2637" s="81"/>
      <c r="AM2637" s="83"/>
      <c r="AN2637" s="80"/>
      <c r="AO2637" s="82" t="str">
        <f aca="false">IF(E2637="","",(AA2637&lt;&gt;"")+(AG2637&lt;&gt;"")+(AL2637&lt;&gt;""))</f>
        <v/>
      </c>
      <c r="AP2637" s="82" t="str">
        <f aca="false">IF(AL2637&lt;&gt;"",AL2637,IF(AG2637&lt;&gt;"",AG2637,IF(AA2637&lt;&gt;"",AA2637,"")))</f>
        <v/>
      </c>
      <c r="AQ2637" s="84" t="str">
        <f aca="false">IF(E2637="","",IF(U2637="","À SOUDER",IF(X2637="","VT EN ATTENTE",IF(X2637="R","VT REJETÉ – À REPRENDRE",IF(AP2637="","À RADIOGRAPHIER",IF(AP2637="A","ACCEPTÉ",IF(AP2637="NX","NX – RT À REFAIRE",IF(IF(AO2637=1,AD2637,IF(AO2637=2,AI2637,""))="A","RÉPARÉ – À RADIOGRAPHIER",IF(IF(AO2637=1,AD2637,IF(AO2637=2,AI2637,""))="R","VT REJETÉ – À REPRENDRE",IF(OR(AP2637="CO",AP2637="NT"),"COUPE – À RESOUDER","À RÉPARER"))))))))))</f>
        <v/>
      </c>
      <c r="AR2637" s="82" t="str">
        <f aca="false">IF(AND(ISNUMBER(U2637),OR(AQ2637="À RADIOGRAPHIER",AQ2637="RÉPARÉ – À RADIOGRAPHIER",AQ2637="NX – RT À REFAIRE",AQ2637="À RÉPARER",AQ2637="COUPE – À RESOUDER",AQ2637="VT REJETÉ – À REPRENDRE")),MAX(0,'PROGRAMME RT'!$C$4-U2637),"")</f>
        <v/>
      </c>
      <c r="AS2637" s="82" t="n">
        <f aca="false">IF(AND(OR(AQ2637="À RADIOGRAPHIER",AQ2637="RÉPARÉ – À RADIOGRAPHIER",AQ2637="NX – RT À REFAIRE"),OR('PROGRAMME RT'!$D$5="TOUTES",B2637='PROGRAMME RT'!$D$5)),1,0)</f>
        <v>0</v>
      </c>
      <c r="AT2637" s="82" t="str">
        <f aca="false">IF(AS2637=1,SUM(AS$7:AS2637),"")</f>
        <v/>
      </c>
      <c r="AU2637" s="82" t="n">
        <f aca="false">IF(AND(OR(AA2637="R",AA2637="NX",AA2637="NT",AA2637="CO"),OR('JOINTS DE RÉPARATION'!$D$5="TOUTES",B2637='JOINTS DE RÉPARATION'!$D$5),OR('JOINTS DE RÉPARATION'!$L$4="TOUS",AQ2637&lt;&gt;"ACCEPTÉ")),1,0)</f>
        <v>0</v>
      </c>
      <c r="AV2637" s="82" t="str">
        <f aca="false">IF(AU2637=1,SUM(AU$7:AU2637),"")</f>
        <v/>
      </c>
      <c r="AW2637" s="82" t="str">
        <f aca="false">IF(E2637="","",B2637&amp;"|"&amp;E2637)</f>
        <v/>
      </c>
    </row>
    <row r="2638" customFormat="false" ht="15" hidden="false" customHeight="false" outlineLevel="0" collapsed="false">
      <c r="A2638" s="79" t="str">
        <f aca="false">IF(E2638="","",ROW()-6)</f>
        <v/>
      </c>
      <c r="B2638" s="80"/>
      <c r="C2638" s="81"/>
      <c r="D2638" s="81"/>
      <c r="E2638" s="81"/>
      <c r="F2638" s="82" t="str">
        <f aca="false">IF(E2638="","",IF(LEFT(E2638,2)="DJ","DJ","JN"))</f>
        <v/>
      </c>
      <c r="G2638" s="81"/>
      <c r="H2638" s="81"/>
      <c r="I2638" s="81"/>
      <c r="J2638" s="81"/>
      <c r="K2638" s="81"/>
      <c r="L2638" s="81"/>
      <c r="M2638" s="81"/>
      <c r="N2638" s="81"/>
      <c r="O2638" s="81"/>
      <c r="P2638" s="81"/>
      <c r="Q2638" s="81"/>
      <c r="R2638" s="81"/>
      <c r="S2638" s="81"/>
      <c r="T2638" s="81"/>
      <c r="U2638" s="83"/>
      <c r="V2638" s="83"/>
      <c r="W2638" s="81"/>
      <c r="X2638" s="81"/>
      <c r="Y2638" s="83"/>
      <c r="Z2638" s="81"/>
      <c r="AA2638" s="81"/>
      <c r="AB2638" s="81"/>
      <c r="AC2638" s="81"/>
      <c r="AD2638" s="81"/>
      <c r="AE2638" s="83"/>
      <c r="AF2638" s="81"/>
      <c r="AG2638" s="81"/>
      <c r="AH2638" s="81"/>
      <c r="AI2638" s="81"/>
      <c r="AJ2638" s="83"/>
      <c r="AK2638" s="81"/>
      <c r="AL2638" s="81"/>
      <c r="AM2638" s="83"/>
      <c r="AN2638" s="80"/>
      <c r="AO2638" s="82" t="str">
        <f aca="false">IF(E2638="","",(AA2638&lt;&gt;"")+(AG2638&lt;&gt;"")+(AL2638&lt;&gt;""))</f>
        <v/>
      </c>
      <c r="AP2638" s="82" t="str">
        <f aca="false">IF(AL2638&lt;&gt;"",AL2638,IF(AG2638&lt;&gt;"",AG2638,IF(AA2638&lt;&gt;"",AA2638,"")))</f>
        <v/>
      </c>
      <c r="AQ2638" s="84" t="str">
        <f aca="false">IF(E2638="","",IF(U2638="","À SOUDER",IF(X2638="","VT EN ATTENTE",IF(X2638="R","VT REJETÉ – À REPRENDRE",IF(AP2638="","À RADIOGRAPHIER",IF(AP2638="A","ACCEPTÉ",IF(AP2638="NX","NX – RT À REFAIRE",IF(IF(AO2638=1,AD2638,IF(AO2638=2,AI2638,""))="A","RÉPARÉ – À RADIOGRAPHIER",IF(IF(AO2638=1,AD2638,IF(AO2638=2,AI2638,""))="R","VT REJETÉ – À REPRENDRE",IF(OR(AP2638="CO",AP2638="NT"),"COUPE – À RESOUDER","À RÉPARER"))))))))))</f>
        <v/>
      </c>
      <c r="AR2638" s="82" t="str">
        <f aca="false">IF(AND(ISNUMBER(U2638),OR(AQ2638="À RADIOGRAPHIER",AQ2638="RÉPARÉ – À RADIOGRAPHIER",AQ2638="NX – RT À REFAIRE",AQ2638="À RÉPARER",AQ2638="COUPE – À RESOUDER",AQ2638="VT REJETÉ – À REPRENDRE")),MAX(0,'PROGRAMME RT'!$C$4-U2638),"")</f>
        <v/>
      </c>
      <c r="AS2638" s="82" t="n">
        <f aca="false">IF(AND(OR(AQ2638="À RADIOGRAPHIER",AQ2638="RÉPARÉ – À RADIOGRAPHIER",AQ2638="NX – RT À REFAIRE"),OR('PROGRAMME RT'!$D$5="TOUTES",B2638='PROGRAMME RT'!$D$5)),1,0)</f>
        <v>0</v>
      </c>
      <c r="AT2638" s="82" t="str">
        <f aca="false">IF(AS2638=1,SUM(AS$7:AS2638),"")</f>
        <v/>
      </c>
      <c r="AU2638" s="82" t="n">
        <f aca="false">IF(AND(OR(AA2638="R",AA2638="NX",AA2638="NT",AA2638="CO"),OR('JOINTS DE RÉPARATION'!$D$5="TOUTES",B2638='JOINTS DE RÉPARATION'!$D$5),OR('JOINTS DE RÉPARATION'!$L$4="TOUS",AQ2638&lt;&gt;"ACCEPTÉ")),1,0)</f>
        <v>0</v>
      </c>
      <c r="AV2638" s="82" t="str">
        <f aca="false">IF(AU2638=1,SUM(AU$7:AU2638),"")</f>
        <v/>
      </c>
      <c r="AW2638" s="82" t="str">
        <f aca="false">IF(E2638="","",B2638&amp;"|"&amp;E2638)</f>
        <v/>
      </c>
    </row>
    <row r="2639" customFormat="false" ht="15" hidden="false" customHeight="false" outlineLevel="0" collapsed="false">
      <c r="A2639" s="79" t="str">
        <f aca="false">IF(E2639="","",ROW()-6)</f>
        <v/>
      </c>
      <c r="B2639" s="80"/>
      <c r="C2639" s="81"/>
      <c r="D2639" s="81"/>
      <c r="E2639" s="81"/>
      <c r="F2639" s="82" t="str">
        <f aca="false">IF(E2639="","",IF(LEFT(E2639,2)="DJ","DJ","JN"))</f>
        <v/>
      </c>
      <c r="G2639" s="81"/>
      <c r="H2639" s="81"/>
      <c r="I2639" s="81"/>
      <c r="J2639" s="81"/>
      <c r="K2639" s="81"/>
      <c r="L2639" s="81"/>
      <c r="M2639" s="81"/>
      <c r="N2639" s="81"/>
      <c r="O2639" s="81"/>
      <c r="P2639" s="81"/>
      <c r="Q2639" s="81"/>
      <c r="R2639" s="81"/>
      <c r="S2639" s="81"/>
      <c r="T2639" s="81"/>
      <c r="U2639" s="83"/>
      <c r="V2639" s="83"/>
      <c r="W2639" s="81"/>
      <c r="X2639" s="81"/>
      <c r="Y2639" s="83"/>
      <c r="Z2639" s="81"/>
      <c r="AA2639" s="81"/>
      <c r="AB2639" s="81"/>
      <c r="AC2639" s="81"/>
      <c r="AD2639" s="81"/>
      <c r="AE2639" s="83"/>
      <c r="AF2639" s="81"/>
      <c r="AG2639" s="81"/>
      <c r="AH2639" s="81"/>
      <c r="AI2639" s="81"/>
      <c r="AJ2639" s="83"/>
      <c r="AK2639" s="81"/>
      <c r="AL2639" s="81"/>
      <c r="AM2639" s="83"/>
      <c r="AN2639" s="80"/>
      <c r="AO2639" s="82" t="str">
        <f aca="false">IF(E2639="","",(AA2639&lt;&gt;"")+(AG2639&lt;&gt;"")+(AL2639&lt;&gt;""))</f>
        <v/>
      </c>
      <c r="AP2639" s="82" t="str">
        <f aca="false">IF(AL2639&lt;&gt;"",AL2639,IF(AG2639&lt;&gt;"",AG2639,IF(AA2639&lt;&gt;"",AA2639,"")))</f>
        <v/>
      </c>
      <c r="AQ2639" s="84" t="str">
        <f aca="false">IF(E2639="","",IF(U2639="","À SOUDER",IF(X2639="","VT EN ATTENTE",IF(X2639="R","VT REJETÉ – À REPRENDRE",IF(AP2639="","À RADIOGRAPHIER",IF(AP2639="A","ACCEPTÉ",IF(AP2639="NX","NX – RT À REFAIRE",IF(IF(AO2639=1,AD2639,IF(AO2639=2,AI2639,""))="A","RÉPARÉ – À RADIOGRAPHIER",IF(IF(AO2639=1,AD2639,IF(AO2639=2,AI2639,""))="R","VT REJETÉ – À REPRENDRE",IF(OR(AP2639="CO",AP2639="NT"),"COUPE – À RESOUDER","À RÉPARER"))))))))))</f>
        <v/>
      </c>
      <c r="AR2639" s="82" t="str">
        <f aca="false">IF(AND(ISNUMBER(U2639),OR(AQ2639="À RADIOGRAPHIER",AQ2639="RÉPARÉ – À RADIOGRAPHIER",AQ2639="NX – RT À REFAIRE",AQ2639="À RÉPARER",AQ2639="COUPE – À RESOUDER",AQ2639="VT REJETÉ – À REPRENDRE")),MAX(0,'PROGRAMME RT'!$C$4-U2639),"")</f>
        <v/>
      </c>
      <c r="AS2639" s="82" t="n">
        <f aca="false">IF(AND(OR(AQ2639="À RADIOGRAPHIER",AQ2639="RÉPARÉ – À RADIOGRAPHIER",AQ2639="NX – RT À REFAIRE"),OR('PROGRAMME RT'!$D$5="TOUTES",B2639='PROGRAMME RT'!$D$5)),1,0)</f>
        <v>0</v>
      </c>
      <c r="AT2639" s="82" t="str">
        <f aca="false">IF(AS2639=1,SUM(AS$7:AS2639),"")</f>
        <v/>
      </c>
      <c r="AU2639" s="82" t="n">
        <f aca="false">IF(AND(OR(AA2639="R",AA2639="NX",AA2639="NT",AA2639="CO"),OR('JOINTS DE RÉPARATION'!$D$5="TOUTES",B2639='JOINTS DE RÉPARATION'!$D$5),OR('JOINTS DE RÉPARATION'!$L$4="TOUS",AQ2639&lt;&gt;"ACCEPTÉ")),1,0)</f>
        <v>0</v>
      </c>
      <c r="AV2639" s="82" t="str">
        <f aca="false">IF(AU2639=1,SUM(AU$7:AU2639),"")</f>
        <v/>
      </c>
      <c r="AW2639" s="82" t="str">
        <f aca="false">IF(E2639="","",B2639&amp;"|"&amp;E2639)</f>
        <v/>
      </c>
    </row>
    <row r="2640" customFormat="false" ht="15" hidden="false" customHeight="false" outlineLevel="0" collapsed="false">
      <c r="A2640" s="79" t="str">
        <f aca="false">IF(E2640="","",ROW()-6)</f>
        <v/>
      </c>
      <c r="B2640" s="80"/>
      <c r="C2640" s="81"/>
      <c r="D2640" s="81"/>
      <c r="E2640" s="81"/>
      <c r="F2640" s="82" t="str">
        <f aca="false">IF(E2640="","",IF(LEFT(E2640,2)="DJ","DJ","JN"))</f>
        <v/>
      </c>
      <c r="G2640" s="81"/>
      <c r="H2640" s="81"/>
      <c r="I2640" s="81"/>
      <c r="J2640" s="81"/>
      <c r="K2640" s="81"/>
      <c r="L2640" s="81"/>
      <c r="M2640" s="81"/>
      <c r="N2640" s="81"/>
      <c r="O2640" s="81"/>
      <c r="P2640" s="81"/>
      <c r="Q2640" s="81"/>
      <c r="R2640" s="81"/>
      <c r="S2640" s="81"/>
      <c r="T2640" s="81"/>
      <c r="U2640" s="83"/>
      <c r="V2640" s="83"/>
      <c r="W2640" s="81"/>
      <c r="X2640" s="81"/>
      <c r="Y2640" s="83"/>
      <c r="Z2640" s="81"/>
      <c r="AA2640" s="81"/>
      <c r="AB2640" s="81"/>
      <c r="AC2640" s="81"/>
      <c r="AD2640" s="81"/>
      <c r="AE2640" s="83"/>
      <c r="AF2640" s="81"/>
      <c r="AG2640" s="81"/>
      <c r="AH2640" s="81"/>
      <c r="AI2640" s="81"/>
      <c r="AJ2640" s="83"/>
      <c r="AK2640" s="81"/>
      <c r="AL2640" s="81"/>
      <c r="AM2640" s="83"/>
      <c r="AN2640" s="80"/>
      <c r="AO2640" s="82" t="str">
        <f aca="false">IF(E2640="","",(AA2640&lt;&gt;"")+(AG2640&lt;&gt;"")+(AL2640&lt;&gt;""))</f>
        <v/>
      </c>
      <c r="AP2640" s="82" t="str">
        <f aca="false">IF(AL2640&lt;&gt;"",AL2640,IF(AG2640&lt;&gt;"",AG2640,IF(AA2640&lt;&gt;"",AA2640,"")))</f>
        <v/>
      </c>
      <c r="AQ2640" s="84" t="str">
        <f aca="false">IF(E2640="","",IF(U2640="","À SOUDER",IF(X2640="","VT EN ATTENTE",IF(X2640="R","VT REJETÉ – À REPRENDRE",IF(AP2640="","À RADIOGRAPHIER",IF(AP2640="A","ACCEPTÉ",IF(AP2640="NX","NX – RT À REFAIRE",IF(IF(AO2640=1,AD2640,IF(AO2640=2,AI2640,""))="A","RÉPARÉ – À RADIOGRAPHIER",IF(IF(AO2640=1,AD2640,IF(AO2640=2,AI2640,""))="R","VT REJETÉ – À REPRENDRE",IF(OR(AP2640="CO",AP2640="NT"),"COUPE – À RESOUDER","À RÉPARER"))))))))))</f>
        <v/>
      </c>
      <c r="AR2640" s="82" t="str">
        <f aca="false">IF(AND(ISNUMBER(U2640),OR(AQ2640="À RADIOGRAPHIER",AQ2640="RÉPARÉ – À RADIOGRAPHIER",AQ2640="NX – RT À REFAIRE",AQ2640="À RÉPARER",AQ2640="COUPE – À RESOUDER",AQ2640="VT REJETÉ – À REPRENDRE")),MAX(0,'PROGRAMME RT'!$C$4-U2640),"")</f>
        <v/>
      </c>
      <c r="AS2640" s="82" t="n">
        <f aca="false">IF(AND(OR(AQ2640="À RADIOGRAPHIER",AQ2640="RÉPARÉ – À RADIOGRAPHIER",AQ2640="NX – RT À REFAIRE"),OR('PROGRAMME RT'!$D$5="TOUTES",B2640='PROGRAMME RT'!$D$5)),1,0)</f>
        <v>0</v>
      </c>
      <c r="AT2640" s="82" t="str">
        <f aca="false">IF(AS2640=1,SUM(AS$7:AS2640),"")</f>
        <v/>
      </c>
      <c r="AU2640" s="82" t="n">
        <f aca="false">IF(AND(OR(AA2640="R",AA2640="NX",AA2640="NT",AA2640="CO"),OR('JOINTS DE RÉPARATION'!$D$5="TOUTES",B2640='JOINTS DE RÉPARATION'!$D$5),OR('JOINTS DE RÉPARATION'!$L$4="TOUS",AQ2640&lt;&gt;"ACCEPTÉ")),1,0)</f>
        <v>0</v>
      </c>
      <c r="AV2640" s="82" t="str">
        <f aca="false">IF(AU2640=1,SUM(AU$7:AU2640),"")</f>
        <v/>
      </c>
      <c r="AW2640" s="82" t="str">
        <f aca="false">IF(E2640="","",B2640&amp;"|"&amp;E2640)</f>
        <v/>
      </c>
    </row>
    <row r="2641" customFormat="false" ht="15" hidden="false" customHeight="false" outlineLevel="0" collapsed="false">
      <c r="A2641" s="79" t="str">
        <f aca="false">IF(E2641="","",ROW()-6)</f>
        <v/>
      </c>
      <c r="B2641" s="80"/>
      <c r="C2641" s="81"/>
      <c r="D2641" s="81"/>
      <c r="E2641" s="81"/>
      <c r="F2641" s="82" t="str">
        <f aca="false">IF(E2641="","",IF(LEFT(E2641,2)="DJ","DJ","JN"))</f>
        <v/>
      </c>
      <c r="G2641" s="81"/>
      <c r="H2641" s="81"/>
      <c r="I2641" s="81"/>
      <c r="J2641" s="81"/>
      <c r="K2641" s="81"/>
      <c r="L2641" s="81"/>
      <c r="M2641" s="81"/>
      <c r="N2641" s="81"/>
      <c r="O2641" s="81"/>
      <c r="P2641" s="81"/>
      <c r="Q2641" s="81"/>
      <c r="R2641" s="81"/>
      <c r="S2641" s="81"/>
      <c r="T2641" s="81"/>
      <c r="U2641" s="83"/>
      <c r="V2641" s="83"/>
      <c r="W2641" s="81"/>
      <c r="X2641" s="81"/>
      <c r="Y2641" s="83"/>
      <c r="Z2641" s="81"/>
      <c r="AA2641" s="81"/>
      <c r="AB2641" s="81"/>
      <c r="AC2641" s="81"/>
      <c r="AD2641" s="81"/>
      <c r="AE2641" s="83"/>
      <c r="AF2641" s="81"/>
      <c r="AG2641" s="81"/>
      <c r="AH2641" s="81"/>
      <c r="AI2641" s="81"/>
      <c r="AJ2641" s="83"/>
      <c r="AK2641" s="81"/>
      <c r="AL2641" s="81"/>
      <c r="AM2641" s="83"/>
      <c r="AN2641" s="80"/>
      <c r="AO2641" s="82" t="str">
        <f aca="false">IF(E2641="","",(AA2641&lt;&gt;"")+(AG2641&lt;&gt;"")+(AL2641&lt;&gt;""))</f>
        <v/>
      </c>
      <c r="AP2641" s="82" t="str">
        <f aca="false">IF(AL2641&lt;&gt;"",AL2641,IF(AG2641&lt;&gt;"",AG2641,IF(AA2641&lt;&gt;"",AA2641,"")))</f>
        <v/>
      </c>
      <c r="AQ2641" s="84" t="str">
        <f aca="false">IF(E2641="","",IF(U2641="","À SOUDER",IF(X2641="","VT EN ATTENTE",IF(X2641="R","VT REJETÉ – À REPRENDRE",IF(AP2641="","À RADIOGRAPHIER",IF(AP2641="A","ACCEPTÉ",IF(AP2641="NX","NX – RT À REFAIRE",IF(IF(AO2641=1,AD2641,IF(AO2641=2,AI2641,""))="A","RÉPARÉ – À RADIOGRAPHIER",IF(IF(AO2641=1,AD2641,IF(AO2641=2,AI2641,""))="R","VT REJETÉ – À REPRENDRE",IF(OR(AP2641="CO",AP2641="NT"),"COUPE – À RESOUDER","À RÉPARER"))))))))))</f>
        <v/>
      </c>
      <c r="AR2641" s="82" t="str">
        <f aca="false">IF(AND(ISNUMBER(U2641),OR(AQ2641="À RADIOGRAPHIER",AQ2641="RÉPARÉ – À RADIOGRAPHIER",AQ2641="NX – RT À REFAIRE",AQ2641="À RÉPARER",AQ2641="COUPE – À RESOUDER",AQ2641="VT REJETÉ – À REPRENDRE")),MAX(0,'PROGRAMME RT'!$C$4-U2641),"")</f>
        <v/>
      </c>
      <c r="AS2641" s="82" t="n">
        <f aca="false">IF(AND(OR(AQ2641="À RADIOGRAPHIER",AQ2641="RÉPARÉ – À RADIOGRAPHIER",AQ2641="NX – RT À REFAIRE"),OR('PROGRAMME RT'!$D$5="TOUTES",B2641='PROGRAMME RT'!$D$5)),1,0)</f>
        <v>0</v>
      </c>
      <c r="AT2641" s="82" t="str">
        <f aca="false">IF(AS2641=1,SUM(AS$7:AS2641),"")</f>
        <v/>
      </c>
      <c r="AU2641" s="82" t="n">
        <f aca="false">IF(AND(OR(AA2641="R",AA2641="NX",AA2641="NT",AA2641="CO"),OR('JOINTS DE RÉPARATION'!$D$5="TOUTES",B2641='JOINTS DE RÉPARATION'!$D$5),OR('JOINTS DE RÉPARATION'!$L$4="TOUS",AQ2641&lt;&gt;"ACCEPTÉ")),1,0)</f>
        <v>0</v>
      </c>
      <c r="AV2641" s="82" t="str">
        <f aca="false">IF(AU2641=1,SUM(AU$7:AU2641),"")</f>
        <v/>
      </c>
      <c r="AW2641" s="82" t="str">
        <f aca="false">IF(E2641="","",B2641&amp;"|"&amp;E2641)</f>
        <v/>
      </c>
    </row>
    <row r="2642" customFormat="false" ht="15" hidden="false" customHeight="false" outlineLevel="0" collapsed="false">
      <c r="A2642" s="79" t="str">
        <f aca="false">IF(E2642="","",ROW()-6)</f>
        <v/>
      </c>
      <c r="B2642" s="80"/>
      <c r="C2642" s="81"/>
      <c r="D2642" s="81"/>
      <c r="E2642" s="81"/>
      <c r="F2642" s="82" t="str">
        <f aca="false">IF(E2642="","",IF(LEFT(E2642,2)="DJ","DJ","JN"))</f>
        <v/>
      </c>
      <c r="G2642" s="81"/>
      <c r="H2642" s="81"/>
      <c r="I2642" s="81"/>
      <c r="J2642" s="81"/>
      <c r="K2642" s="81"/>
      <c r="L2642" s="81"/>
      <c r="M2642" s="81"/>
      <c r="N2642" s="81"/>
      <c r="O2642" s="81"/>
      <c r="P2642" s="81"/>
      <c r="Q2642" s="81"/>
      <c r="R2642" s="81"/>
      <c r="S2642" s="81"/>
      <c r="T2642" s="81"/>
      <c r="U2642" s="83"/>
      <c r="V2642" s="83"/>
      <c r="W2642" s="81"/>
      <c r="X2642" s="81"/>
      <c r="Y2642" s="83"/>
      <c r="Z2642" s="81"/>
      <c r="AA2642" s="81"/>
      <c r="AB2642" s="81"/>
      <c r="AC2642" s="81"/>
      <c r="AD2642" s="81"/>
      <c r="AE2642" s="83"/>
      <c r="AF2642" s="81"/>
      <c r="AG2642" s="81"/>
      <c r="AH2642" s="81"/>
      <c r="AI2642" s="81"/>
      <c r="AJ2642" s="83"/>
      <c r="AK2642" s="81"/>
      <c r="AL2642" s="81"/>
      <c r="AM2642" s="83"/>
      <c r="AN2642" s="80"/>
      <c r="AO2642" s="82" t="str">
        <f aca="false">IF(E2642="","",(AA2642&lt;&gt;"")+(AG2642&lt;&gt;"")+(AL2642&lt;&gt;""))</f>
        <v/>
      </c>
      <c r="AP2642" s="82" t="str">
        <f aca="false">IF(AL2642&lt;&gt;"",AL2642,IF(AG2642&lt;&gt;"",AG2642,IF(AA2642&lt;&gt;"",AA2642,"")))</f>
        <v/>
      </c>
      <c r="AQ2642" s="84" t="str">
        <f aca="false">IF(E2642="","",IF(U2642="","À SOUDER",IF(X2642="","VT EN ATTENTE",IF(X2642="R","VT REJETÉ – À REPRENDRE",IF(AP2642="","À RADIOGRAPHIER",IF(AP2642="A","ACCEPTÉ",IF(AP2642="NX","NX – RT À REFAIRE",IF(IF(AO2642=1,AD2642,IF(AO2642=2,AI2642,""))="A","RÉPARÉ – À RADIOGRAPHIER",IF(IF(AO2642=1,AD2642,IF(AO2642=2,AI2642,""))="R","VT REJETÉ – À REPRENDRE",IF(OR(AP2642="CO",AP2642="NT"),"COUPE – À RESOUDER","À RÉPARER"))))))))))</f>
        <v/>
      </c>
      <c r="AR2642" s="82" t="str">
        <f aca="false">IF(AND(ISNUMBER(U2642),OR(AQ2642="À RADIOGRAPHIER",AQ2642="RÉPARÉ – À RADIOGRAPHIER",AQ2642="NX – RT À REFAIRE",AQ2642="À RÉPARER",AQ2642="COUPE – À RESOUDER",AQ2642="VT REJETÉ – À REPRENDRE")),MAX(0,'PROGRAMME RT'!$C$4-U2642),"")</f>
        <v/>
      </c>
      <c r="AS2642" s="82" t="n">
        <f aca="false">IF(AND(OR(AQ2642="À RADIOGRAPHIER",AQ2642="RÉPARÉ – À RADIOGRAPHIER",AQ2642="NX – RT À REFAIRE"),OR('PROGRAMME RT'!$D$5="TOUTES",B2642='PROGRAMME RT'!$D$5)),1,0)</f>
        <v>0</v>
      </c>
      <c r="AT2642" s="82" t="str">
        <f aca="false">IF(AS2642=1,SUM(AS$7:AS2642),"")</f>
        <v/>
      </c>
      <c r="AU2642" s="82" t="n">
        <f aca="false">IF(AND(OR(AA2642="R",AA2642="NX",AA2642="NT",AA2642="CO"),OR('JOINTS DE RÉPARATION'!$D$5="TOUTES",B2642='JOINTS DE RÉPARATION'!$D$5),OR('JOINTS DE RÉPARATION'!$L$4="TOUS",AQ2642&lt;&gt;"ACCEPTÉ")),1,0)</f>
        <v>0</v>
      </c>
      <c r="AV2642" s="82" t="str">
        <f aca="false">IF(AU2642=1,SUM(AU$7:AU2642),"")</f>
        <v/>
      </c>
      <c r="AW2642" s="82" t="str">
        <f aca="false">IF(E2642="","",B2642&amp;"|"&amp;E2642)</f>
        <v/>
      </c>
    </row>
    <row r="2643" customFormat="false" ht="15" hidden="false" customHeight="false" outlineLevel="0" collapsed="false">
      <c r="A2643" s="79" t="str">
        <f aca="false">IF(E2643="","",ROW()-6)</f>
        <v/>
      </c>
      <c r="B2643" s="80"/>
      <c r="C2643" s="81"/>
      <c r="D2643" s="81"/>
      <c r="E2643" s="81"/>
      <c r="F2643" s="82" t="str">
        <f aca="false">IF(E2643="","",IF(LEFT(E2643,2)="DJ","DJ","JN"))</f>
        <v/>
      </c>
      <c r="G2643" s="81"/>
      <c r="H2643" s="81"/>
      <c r="I2643" s="81"/>
      <c r="J2643" s="81"/>
      <c r="K2643" s="81"/>
      <c r="L2643" s="81"/>
      <c r="M2643" s="81"/>
      <c r="N2643" s="81"/>
      <c r="O2643" s="81"/>
      <c r="P2643" s="81"/>
      <c r="Q2643" s="81"/>
      <c r="R2643" s="81"/>
      <c r="S2643" s="81"/>
      <c r="T2643" s="81"/>
      <c r="U2643" s="83"/>
      <c r="V2643" s="83"/>
      <c r="W2643" s="81"/>
      <c r="X2643" s="81"/>
      <c r="Y2643" s="83"/>
      <c r="Z2643" s="81"/>
      <c r="AA2643" s="81"/>
      <c r="AB2643" s="81"/>
      <c r="AC2643" s="81"/>
      <c r="AD2643" s="81"/>
      <c r="AE2643" s="83"/>
      <c r="AF2643" s="81"/>
      <c r="AG2643" s="81"/>
      <c r="AH2643" s="81"/>
      <c r="AI2643" s="81"/>
      <c r="AJ2643" s="83"/>
      <c r="AK2643" s="81"/>
      <c r="AL2643" s="81"/>
      <c r="AM2643" s="83"/>
      <c r="AN2643" s="80"/>
      <c r="AO2643" s="82" t="str">
        <f aca="false">IF(E2643="","",(AA2643&lt;&gt;"")+(AG2643&lt;&gt;"")+(AL2643&lt;&gt;""))</f>
        <v/>
      </c>
      <c r="AP2643" s="82" t="str">
        <f aca="false">IF(AL2643&lt;&gt;"",AL2643,IF(AG2643&lt;&gt;"",AG2643,IF(AA2643&lt;&gt;"",AA2643,"")))</f>
        <v/>
      </c>
      <c r="AQ2643" s="84" t="str">
        <f aca="false">IF(E2643="","",IF(U2643="","À SOUDER",IF(X2643="","VT EN ATTENTE",IF(X2643="R","VT REJETÉ – À REPRENDRE",IF(AP2643="","À RADIOGRAPHIER",IF(AP2643="A","ACCEPTÉ",IF(AP2643="NX","NX – RT À REFAIRE",IF(IF(AO2643=1,AD2643,IF(AO2643=2,AI2643,""))="A","RÉPARÉ – À RADIOGRAPHIER",IF(IF(AO2643=1,AD2643,IF(AO2643=2,AI2643,""))="R","VT REJETÉ – À REPRENDRE",IF(OR(AP2643="CO",AP2643="NT"),"COUPE – À RESOUDER","À RÉPARER"))))))))))</f>
        <v/>
      </c>
      <c r="AR2643" s="82" t="str">
        <f aca="false">IF(AND(ISNUMBER(U2643),OR(AQ2643="À RADIOGRAPHIER",AQ2643="RÉPARÉ – À RADIOGRAPHIER",AQ2643="NX – RT À REFAIRE",AQ2643="À RÉPARER",AQ2643="COUPE – À RESOUDER",AQ2643="VT REJETÉ – À REPRENDRE")),MAX(0,'PROGRAMME RT'!$C$4-U2643),"")</f>
        <v/>
      </c>
      <c r="AS2643" s="82" t="n">
        <f aca="false">IF(AND(OR(AQ2643="À RADIOGRAPHIER",AQ2643="RÉPARÉ – À RADIOGRAPHIER",AQ2643="NX – RT À REFAIRE"),OR('PROGRAMME RT'!$D$5="TOUTES",B2643='PROGRAMME RT'!$D$5)),1,0)</f>
        <v>0</v>
      </c>
      <c r="AT2643" s="82" t="str">
        <f aca="false">IF(AS2643=1,SUM(AS$7:AS2643),"")</f>
        <v/>
      </c>
      <c r="AU2643" s="82" t="n">
        <f aca="false">IF(AND(OR(AA2643="R",AA2643="NX",AA2643="NT",AA2643="CO"),OR('JOINTS DE RÉPARATION'!$D$5="TOUTES",B2643='JOINTS DE RÉPARATION'!$D$5),OR('JOINTS DE RÉPARATION'!$L$4="TOUS",AQ2643&lt;&gt;"ACCEPTÉ")),1,0)</f>
        <v>0</v>
      </c>
      <c r="AV2643" s="82" t="str">
        <f aca="false">IF(AU2643=1,SUM(AU$7:AU2643),"")</f>
        <v/>
      </c>
      <c r="AW2643" s="82" t="str">
        <f aca="false">IF(E2643="","",B2643&amp;"|"&amp;E2643)</f>
        <v/>
      </c>
    </row>
    <row r="2644" customFormat="false" ht="15" hidden="false" customHeight="false" outlineLevel="0" collapsed="false">
      <c r="A2644" s="79" t="str">
        <f aca="false">IF(E2644="","",ROW()-6)</f>
        <v/>
      </c>
      <c r="B2644" s="80"/>
      <c r="C2644" s="81"/>
      <c r="D2644" s="81"/>
      <c r="E2644" s="81"/>
      <c r="F2644" s="82" t="str">
        <f aca="false">IF(E2644="","",IF(LEFT(E2644,2)="DJ","DJ","JN"))</f>
        <v/>
      </c>
      <c r="G2644" s="81"/>
      <c r="H2644" s="81"/>
      <c r="I2644" s="81"/>
      <c r="J2644" s="81"/>
      <c r="K2644" s="81"/>
      <c r="L2644" s="81"/>
      <c r="M2644" s="81"/>
      <c r="N2644" s="81"/>
      <c r="O2644" s="81"/>
      <c r="P2644" s="81"/>
      <c r="Q2644" s="81"/>
      <c r="R2644" s="81"/>
      <c r="S2644" s="81"/>
      <c r="T2644" s="81"/>
      <c r="U2644" s="83"/>
      <c r="V2644" s="83"/>
      <c r="W2644" s="81"/>
      <c r="X2644" s="81"/>
      <c r="Y2644" s="83"/>
      <c r="Z2644" s="81"/>
      <c r="AA2644" s="81"/>
      <c r="AB2644" s="81"/>
      <c r="AC2644" s="81"/>
      <c r="AD2644" s="81"/>
      <c r="AE2644" s="83"/>
      <c r="AF2644" s="81"/>
      <c r="AG2644" s="81"/>
      <c r="AH2644" s="81"/>
      <c r="AI2644" s="81"/>
      <c r="AJ2644" s="83"/>
      <c r="AK2644" s="81"/>
      <c r="AL2644" s="81"/>
      <c r="AM2644" s="83"/>
      <c r="AN2644" s="80"/>
      <c r="AO2644" s="82" t="str">
        <f aca="false">IF(E2644="","",(AA2644&lt;&gt;"")+(AG2644&lt;&gt;"")+(AL2644&lt;&gt;""))</f>
        <v/>
      </c>
      <c r="AP2644" s="82" t="str">
        <f aca="false">IF(AL2644&lt;&gt;"",AL2644,IF(AG2644&lt;&gt;"",AG2644,IF(AA2644&lt;&gt;"",AA2644,"")))</f>
        <v/>
      </c>
      <c r="AQ2644" s="84" t="str">
        <f aca="false">IF(E2644="","",IF(U2644="","À SOUDER",IF(X2644="","VT EN ATTENTE",IF(X2644="R","VT REJETÉ – À REPRENDRE",IF(AP2644="","À RADIOGRAPHIER",IF(AP2644="A","ACCEPTÉ",IF(AP2644="NX","NX – RT À REFAIRE",IF(IF(AO2644=1,AD2644,IF(AO2644=2,AI2644,""))="A","RÉPARÉ – À RADIOGRAPHIER",IF(IF(AO2644=1,AD2644,IF(AO2644=2,AI2644,""))="R","VT REJETÉ – À REPRENDRE",IF(OR(AP2644="CO",AP2644="NT"),"COUPE – À RESOUDER","À RÉPARER"))))))))))</f>
        <v/>
      </c>
      <c r="AR2644" s="82" t="str">
        <f aca="false">IF(AND(ISNUMBER(U2644),OR(AQ2644="À RADIOGRAPHIER",AQ2644="RÉPARÉ – À RADIOGRAPHIER",AQ2644="NX – RT À REFAIRE",AQ2644="À RÉPARER",AQ2644="COUPE – À RESOUDER",AQ2644="VT REJETÉ – À REPRENDRE")),MAX(0,'PROGRAMME RT'!$C$4-U2644),"")</f>
        <v/>
      </c>
      <c r="AS2644" s="82" t="n">
        <f aca="false">IF(AND(OR(AQ2644="À RADIOGRAPHIER",AQ2644="RÉPARÉ – À RADIOGRAPHIER",AQ2644="NX – RT À REFAIRE"),OR('PROGRAMME RT'!$D$5="TOUTES",B2644='PROGRAMME RT'!$D$5)),1,0)</f>
        <v>0</v>
      </c>
      <c r="AT2644" s="82" t="str">
        <f aca="false">IF(AS2644=1,SUM(AS$7:AS2644),"")</f>
        <v/>
      </c>
      <c r="AU2644" s="82" t="n">
        <f aca="false">IF(AND(OR(AA2644="R",AA2644="NX",AA2644="NT",AA2644="CO"),OR('JOINTS DE RÉPARATION'!$D$5="TOUTES",B2644='JOINTS DE RÉPARATION'!$D$5),OR('JOINTS DE RÉPARATION'!$L$4="TOUS",AQ2644&lt;&gt;"ACCEPTÉ")),1,0)</f>
        <v>0</v>
      </c>
      <c r="AV2644" s="82" t="str">
        <f aca="false">IF(AU2644=1,SUM(AU$7:AU2644),"")</f>
        <v/>
      </c>
      <c r="AW2644" s="82" t="str">
        <f aca="false">IF(E2644="","",B2644&amp;"|"&amp;E2644)</f>
        <v/>
      </c>
    </row>
    <row r="2645" customFormat="false" ht="15" hidden="false" customHeight="false" outlineLevel="0" collapsed="false">
      <c r="A2645" s="79" t="str">
        <f aca="false">IF(E2645="","",ROW()-6)</f>
        <v/>
      </c>
      <c r="B2645" s="80"/>
      <c r="C2645" s="81"/>
      <c r="D2645" s="81"/>
      <c r="E2645" s="81"/>
      <c r="F2645" s="82" t="str">
        <f aca="false">IF(E2645="","",IF(LEFT(E2645,2)="DJ","DJ","JN"))</f>
        <v/>
      </c>
      <c r="G2645" s="81"/>
      <c r="H2645" s="81"/>
      <c r="I2645" s="81"/>
      <c r="J2645" s="81"/>
      <c r="K2645" s="81"/>
      <c r="L2645" s="81"/>
      <c r="M2645" s="81"/>
      <c r="N2645" s="81"/>
      <c r="O2645" s="81"/>
      <c r="P2645" s="81"/>
      <c r="Q2645" s="81"/>
      <c r="R2645" s="81"/>
      <c r="S2645" s="81"/>
      <c r="T2645" s="81"/>
      <c r="U2645" s="83"/>
      <c r="V2645" s="83"/>
      <c r="W2645" s="81"/>
      <c r="X2645" s="81"/>
      <c r="Y2645" s="83"/>
      <c r="Z2645" s="81"/>
      <c r="AA2645" s="81"/>
      <c r="AB2645" s="81"/>
      <c r="AC2645" s="81"/>
      <c r="AD2645" s="81"/>
      <c r="AE2645" s="83"/>
      <c r="AF2645" s="81"/>
      <c r="AG2645" s="81"/>
      <c r="AH2645" s="81"/>
      <c r="AI2645" s="81"/>
      <c r="AJ2645" s="83"/>
      <c r="AK2645" s="81"/>
      <c r="AL2645" s="81"/>
      <c r="AM2645" s="83"/>
      <c r="AN2645" s="80"/>
      <c r="AO2645" s="82" t="str">
        <f aca="false">IF(E2645="","",(AA2645&lt;&gt;"")+(AG2645&lt;&gt;"")+(AL2645&lt;&gt;""))</f>
        <v/>
      </c>
      <c r="AP2645" s="82" t="str">
        <f aca="false">IF(AL2645&lt;&gt;"",AL2645,IF(AG2645&lt;&gt;"",AG2645,IF(AA2645&lt;&gt;"",AA2645,"")))</f>
        <v/>
      </c>
      <c r="AQ2645" s="84" t="str">
        <f aca="false">IF(E2645="","",IF(U2645="","À SOUDER",IF(X2645="","VT EN ATTENTE",IF(X2645="R","VT REJETÉ – À REPRENDRE",IF(AP2645="","À RADIOGRAPHIER",IF(AP2645="A","ACCEPTÉ",IF(AP2645="NX","NX – RT À REFAIRE",IF(IF(AO2645=1,AD2645,IF(AO2645=2,AI2645,""))="A","RÉPARÉ – À RADIOGRAPHIER",IF(IF(AO2645=1,AD2645,IF(AO2645=2,AI2645,""))="R","VT REJETÉ – À REPRENDRE",IF(OR(AP2645="CO",AP2645="NT"),"COUPE – À RESOUDER","À RÉPARER"))))))))))</f>
        <v/>
      </c>
      <c r="AR2645" s="82" t="str">
        <f aca="false">IF(AND(ISNUMBER(U2645),OR(AQ2645="À RADIOGRAPHIER",AQ2645="RÉPARÉ – À RADIOGRAPHIER",AQ2645="NX – RT À REFAIRE",AQ2645="À RÉPARER",AQ2645="COUPE – À RESOUDER",AQ2645="VT REJETÉ – À REPRENDRE")),MAX(0,'PROGRAMME RT'!$C$4-U2645),"")</f>
        <v/>
      </c>
      <c r="AS2645" s="82" t="n">
        <f aca="false">IF(AND(OR(AQ2645="À RADIOGRAPHIER",AQ2645="RÉPARÉ – À RADIOGRAPHIER",AQ2645="NX – RT À REFAIRE"),OR('PROGRAMME RT'!$D$5="TOUTES",B2645='PROGRAMME RT'!$D$5)),1,0)</f>
        <v>0</v>
      </c>
      <c r="AT2645" s="82" t="str">
        <f aca="false">IF(AS2645=1,SUM(AS$7:AS2645),"")</f>
        <v/>
      </c>
      <c r="AU2645" s="82" t="n">
        <f aca="false">IF(AND(OR(AA2645="R",AA2645="NX",AA2645="NT",AA2645="CO"),OR('JOINTS DE RÉPARATION'!$D$5="TOUTES",B2645='JOINTS DE RÉPARATION'!$D$5),OR('JOINTS DE RÉPARATION'!$L$4="TOUS",AQ2645&lt;&gt;"ACCEPTÉ")),1,0)</f>
        <v>0</v>
      </c>
      <c r="AV2645" s="82" t="str">
        <f aca="false">IF(AU2645=1,SUM(AU$7:AU2645),"")</f>
        <v/>
      </c>
      <c r="AW2645" s="82" t="str">
        <f aca="false">IF(E2645="","",B2645&amp;"|"&amp;E2645)</f>
        <v/>
      </c>
    </row>
    <row r="2646" customFormat="false" ht="15" hidden="false" customHeight="false" outlineLevel="0" collapsed="false">
      <c r="A2646" s="79" t="str">
        <f aca="false">IF(E2646="","",ROW()-6)</f>
        <v/>
      </c>
      <c r="B2646" s="80"/>
      <c r="C2646" s="81"/>
      <c r="D2646" s="81"/>
      <c r="E2646" s="81"/>
      <c r="F2646" s="82" t="str">
        <f aca="false">IF(E2646="","",IF(LEFT(E2646,2)="DJ","DJ","JN"))</f>
        <v/>
      </c>
      <c r="G2646" s="81"/>
      <c r="H2646" s="81"/>
      <c r="I2646" s="81"/>
      <c r="J2646" s="81"/>
      <c r="K2646" s="81"/>
      <c r="L2646" s="81"/>
      <c r="M2646" s="81"/>
      <c r="N2646" s="81"/>
      <c r="O2646" s="81"/>
      <c r="P2646" s="81"/>
      <c r="Q2646" s="81"/>
      <c r="R2646" s="81"/>
      <c r="S2646" s="81"/>
      <c r="T2646" s="81"/>
      <c r="U2646" s="83"/>
      <c r="V2646" s="83"/>
      <c r="W2646" s="81"/>
      <c r="X2646" s="81"/>
      <c r="Y2646" s="83"/>
      <c r="Z2646" s="81"/>
      <c r="AA2646" s="81"/>
      <c r="AB2646" s="81"/>
      <c r="AC2646" s="81"/>
      <c r="AD2646" s="81"/>
      <c r="AE2646" s="83"/>
      <c r="AF2646" s="81"/>
      <c r="AG2646" s="81"/>
      <c r="AH2646" s="81"/>
      <c r="AI2646" s="81"/>
      <c r="AJ2646" s="83"/>
      <c r="AK2646" s="81"/>
      <c r="AL2646" s="81"/>
      <c r="AM2646" s="83"/>
      <c r="AN2646" s="80"/>
      <c r="AO2646" s="82" t="str">
        <f aca="false">IF(E2646="","",(AA2646&lt;&gt;"")+(AG2646&lt;&gt;"")+(AL2646&lt;&gt;""))</f>
        <v/>
      </c>
      <c r="AP2646" s="82" t="str">
        <f aca="false">IF(AL2646&lt;&gt;"",AL2646,IF(AG2646&lt;&gt;"",AG2646,IF(AA2646&lt;&gt;"",AA2646,"")))</f>
        <v/>
      </c>
      <c r="AQ2646" s="84" t="str">
        <f aca="false">IF(E2646="","",IF(U2646="","À SOUDER",IF(X2646="","VT EN ATTENTE",IF(X2646="R","VT REJETÉ – À REPRENDRE",IF(AP2646="","À RADIOGRAPHIER",IF(AP2646="A","ACCEPTÉ",IF(AP2646="NX","NX – RT À REFAIRE",IF(IF(AO2646=1,AD2646,IF(AO2646=2,AI2646,""))="A","RÉPARÉ – À RADIOGRAPHIER",IF(IF(AO2646=1,AD2646,IF(AO2646=2,AI2646,""))="R","VT REJETÉ – À REPRENDRE",IF(OR(AP2646="CO",AP2646="NT"),"COUPE – À RESOUDER","À RÉPARER"))))))))))</f>
        <v/>
      </c>
      <c r="AR2646" s="82" t="str">
        <f aca="false">IF(AND(ISNUMBER(U2646),OR(AQ2646="À RADIOGRAPHIER",AQ2646="RÉPARÉ – À RADIOGRAPHIER",AQ2646="NX – RT À REFAIRE",AQ2646="À RÉPARER",AQ2646="COUPE – À RESOUDER",AQ2646="VT REJETÉ – À REPRENDRE")),MAX(0,'PROGRAMME RT'!$C$4-U2646),"")</f>
        <v/>
      </c>
      <c r="AS2646" s="82" t="n">
        <f aca="false">IF(AND(OR(AQ2646="À RADIOGRAPHIER",AQ2646="RÉPARÉ – À RADIOGRAPHIER",AQ2646="NX – RT À REFAIRE"),OR('PROGRAMME RT'!$D$5="TOUTES",B2646='PROGRAMME RT'!$D$5)),1,0)</f>
        <v>0</v>
      </c>
      <c r="AT2646" s="82" t="str">
        <f aca="false">IF(AS2646=1,SUM(AS$7:AS2646),"")</f>
        <v/>
      </c>
      <c r="AU2646" s="82" t="n">
        <f aca="false">IF(AND(OR(AA2646="R",AA2646="NX",AA2646="NT",AA2646="CO"),OR('JOINTS DE RÉPARATION'!$D$5="TOUTES",B2646='JOINTS DE RÉPARATION'!$D$5),OR('JOINTS DE RÉPARATION'!$L$4="TOUS",AQ2646&lt;&gt;"ACCEPTÉ")),1,0)</f>
        <v>0</v>
      </c>
      <c r="AV2646" s="82" t="str">
        <f aca="false">IF(AU2646=1,SUM(AU$7:AU2646),"")</f>
        <v/>
      </c>
      <c r="AW2646" s="82" t="str">
        <f aca="false">IF(E2646="","",B2646&amp;"|"&amp;E2646)</f>
        <v/>
      </c>
    </row>
    <row r="2647" customFormat="false" ht="15" hidden="false" customHeight="false" outlineLevel="0" collapsed="false">
      <c r="A2647" s="79" t="str">
        <f aca="false">IF(E2647="","",ROW()-6)</f>
        <v/>
      </c>
      <c r="B2647" s="80"/>
      <c r="C2647" s="81"/>
      <c r="D2647" s="81"/>
      <c r="E2647" s="81"/>
      <c r="F2647" s="82" t="str">
        <f aca="false">IF(E2647="","",IF(LEFT(E2647,2)="DJ","DJ","JN"))</f>
        <v/>
      </c>
      <c r="G2647" s="81"/>
      <c r="H2647" s="81"/>
      <c r="I2647" s="81"/>
      <c r="J2647" s="81"/>
      <c r="K2647" s="81"/>
      <c r="L2647" s="81"/>
      <c r="M2647" s="81"/>
      <c r="N2647" s="81"/>
      <c r="O2647" s="81"/>
      <c r="P2647" s="81"/>
      <c r="Q2647" s="81"/>
      <c r="R2647" s="81"/>
      <c r="S2647" s="81"/>
      <c r="T2647" s="81"/>
      <c r="U2647" s="83"/>
      <c r="V2647" s="83"/>
      <c r="W2647" s="81"/>
      <c r="X2647" s="81"/>
      <c r="Y2647" s="83"/>
      <c r="Z2647" s="81"/>
      <c r="AA2647" s="81"/>
      <c r="AB2647" s="81"/>
      <c r="AC2647" s="81"/>
      <c r="AD2647" s="81"/>
      <c r="AE2647" s="83"/>
      <c r="AF2647" s="81"/>
      <c r="AG2647" s="81"/>
      <c r="AH2647" s="81"/>
      <c r="AI2647" s="81"/>
      <c r="AJ2647" s="83"/>
      <c r="AK2647" s="81"/>
      <c r="AL2647" s="81"/>
      <c r="AM2647" s="83"/>
      <c r="AN2647" s="80"/>
      <c r="AO2647" s="82" t="str">
        <f aca="false">IF(E2647="","",(AA2647&lt;&gt;"")+(AG2647&lt;&gt;"")+(AL2647&lt;&gt;""))</f>
        <v/>
      </c>
      <c r="AP2647" s="82" t="str">
        <f aca="false">IF(AL2647&lt;&gt;"",AL2647,IF(AG2647&lt;&gt;"",AG2647,IF(AA2647&lt;&gt;"",AA2647,"")))</f>
        <v/>
      </c>
      <c r="AQ2647" s="84" t="str">
        <f aca="false">IF(E2647="","",IF(U2647="","À SOUDER",IF(X2647="","VT EN ATTENTE",IF(X2647="R","VT REJETÉ – À REPRENDRE",IF(AP2647="","À RADIOGRAPHIER",IF(AP2647="A","ACCEPTÉ",IF(AP2647="NX","NX – RT À REFAIRE",IF(IF(AO2647=1,AD2647,IF(AO2647=2,AI2647,""))="A","RÉPARÉ – À RADIOGRAPHIER",IF(IF(AO2647=1,AD2647,IF(AO2647=2,AI2647,""))="R","VT REJETÉ – À REPRENDRE",IF(OR(AP2647="CO",AP2647="NT"),"COUPE – À RESOUDER","À RÉPARER"))))))))))</f>
        <v/>
      </c>
      <c r="AR2647" s="82" t="str">
        <f aca="false">IF(AND(ISNUMBER(U2647),OR(AQ2647="À RADIOGRAPHIER",AQ2647="RÉPARÉ – À RADIOGRAPHIER",AQ2647="NX – RT À REFAIRE",AQ2647="À RÉPARER",AQ2647="COUPE – À RESOUDER",AQ2647="VT REJETÉ – À REPRENDRE")),MAX(0,'PROGRAMME RT'!$C$4-U2647),"")</f>
        <v/>
      </c>
      <c r="AS2647" s="82" t="n">
        <f aca="false">IF(AND(OR(AQ2647="À RADIOGRAPHIER",AQ2647="RÉPARÉ – À RADIOGRAPHIER",AQ2647="NX – RT À REFAIRE"),OR('PROGRAMME RT'!$D$5="TOUTES",B2647='PROGRAMME RT'!$D$5)),1,0)</f>
        <v>0</v>
      </c>
      <c r="AT2647" s="82" t="str">
        <f aca="false">IF(AS2647=1,SUM(AS$7:AS2647),"")</f>
        <v/>
      </c>
      <c r="AU2647" s="82" t="n">
        <f aca="false">IF(AND(OR(AA2647="R",AA2647="NX",AA2647="NT",AA2647="CO"),OR('JOINTS DE RÉPARATION'!$D$5="TOUTES",B2647='JOINTS DE RÉPARATION'!$D$5),OR('JOINTS DE RÉPARATION'!$L$4="TOUS",AQ2647&lt;&gt;"ACCEPTÉ")),1,0)</f>
        <v>0</v>
      </c>
      <c r="AV2647" s="82" t="str">
        <f aca="false">IF(AU2647=1,SUM(AU$7:AU2647),"")</f>
        <v/>
      </c>
      <c r="AW2647" s="82" t="str">
        <f aca="false">IF(E2647="","",B2647&amp;"|"&amp;E2647)</f>
        <v/>
      </c>
    </row>
    <row r="2648" customFormat="false" ht="15" hidden="false" customHeight="false" outlineLevel="0" collapsed="false">
      <c r="A2648" s="79" t="str">
        <f aca="false">IF(E2648="","",ROW()-6)</f>
        <v/>
      </c>
      <c r="B2648" s="80"/>
      <c r="C2648" s="81"/>
      <c r="D2648" s="81"/>
      <c r="E2648" s="81"/>
      <c r="F2648" s="82" t="str">
        <f aca="false">IF(E2648="","",IF(LEFT(E2648,2)="DJ","DJ","JN"))</f>
        <v/>
      </c>
      <c r="G2648" s="81"/>
      <c r="H2648" s="81"/>
      <c r="I2648" s="81"/>
      <c r="J2648" s="81"/>
      <c r="K2648" s="81"/>
      <c r="L2648" s="81"/>
      <c r="M2648" s="81"/>
      <c r="N2648" s="81"/>
      <c r="O2648" s="81"/>
      <c r="P2648" s="81"/>
      <c r="Q2648" s="81"/>
      <c r="R2648" s="81"/>
      <c r="S2648" s="81"/>
      <c r="T2648" s="81"/>
      <c r="U2648" s="83"/>
      <c r="V2648" s="83"/>
      <c r="W2648" s="81"/>
      <c r="X2648" s="81"/>
      <c r="Y2648" s="83"/>
      <c r="Z2648" s="81"/>
      <c r="AA2648" s="81"/>
      <c r="AB2648" s="81"/>
      <c r="AC2648" s="81"/>
      <c r="AD2648" s="81"/>
      <c r="AE2648" s="83"/>
      <c r="AF2648" s="81"/>
      <c r="AG2648" s="81"/>
      <c r="AH2648" s="81"/>
      <c r="AI2648" s="81"/>
      <c r="AJ2648" s="83"/>
      <c r="AK2648" s="81"/>
      <c r="AL2648" s="81"/>
      <c r="AM2648" s="83"/>
      <c r="AN2648" s="80"/>
      <c r="AO2648" s="82" t="str">
        <f aca="false">IF(E2648="","",(AA2648&lt;&gt;"")+(AG2648&lt;&gt;"")+(AL2648&lt;&gt;""))</f>
        <v/>
      </c>
      <c r="AP2648" s="82" t="str">
        <f aca="false">IF(AL2648&lt;&gt;"",AL2648,IF(AG2648&lt;&gt;"",AG2648,IF(AA2648&lt;&gt;"",AA2648,"")))</f>
        <v/>
      </c>
      <c r="AQ2648" s="84" t="str">
        <f aca="false">IF(E2648="","",IF(U2648="","À SOUDER",IF(X2648="","VT EN ATTENTE",IF(X2648="R","VT REJETÉ – À REPRENDRE",IF(AP2648="","À RADIOGRAPHIER",IF(AP2648="A","ACCEPTÉ",IF(AP2648="NX","NX – RT À REFAIRE",IF(IF(AO2648=1,AD2648,IF(AO2648=2,AI2648,""))="A","RÉPARÉ – À RADIOGRAPHIER",IF(IF(AO2648=1,AD2648,IF(AO2648=2,AI2648,""))="R","VT REJETÉ – À REPRENDRE",IF(OR(AP2648="CO",AP2648="NT"),"COUPE – À RESOUDER","À RÉPARER"))))))))))</f>
        <v/>
      </c>
      <c r="AR2648" s="82" t="str">
        <f aca="false">IF(AND(ISNUMBER(U2648),OR(AQ2648="À RADIOGRAPHIER",AQ2648="RÉPARÉ – À RADIOGRAPHIER",AQ2648="NX – RT À REFAIRE",AQ2648="À RÉPARER",AQ2648="COUPE – À RESOUDER",AQ2648="VT REJETÉ – À REPRENDRE")),MAX(0,'PROGRAMME RT'!$C$4-U2648),"")</f>
        <v/>
      </c>
      <c r="AS2648" s="82" t="n">
        <f aca="false">IF(AND(OR(AQ2648="À RADIOGRAPHIER",AQ2648="RÉPARÉ – À RADIOGRAPHIER",AQ2648="NX – RT À REFAIRE"),OR('PROGRAMME RT'!$D$5="TOUTES",B2648='PROGRAMME RT'!$D$5)),1,0)</f>
        <v>0</v>
      </c>
      <c r="AT2648" s="82" t="str">
        <f aca="false">IF(AS2648=1,SUM(AS$7:AS2648),"")</f>
        <v/>
      </c>
      <c r="AU2648" s="82" t="n">
        <f aca="false">IF(AND(OR(AA2648="R",AA2648="NX",AA2648="NT",AA2648="CO"),OR('JOINTS DE RÉPARATION'!$D$5="TOUTES",B2648='JOINTS DE RÉPARATION'!$D$5),OR('JOINTS DE RÉPARATION'!$L$4="TOUS",AQ2648&lt;&gt;"ACCEPTÉ")),1,0)</f>
        <v>0</v>
      </c>
      <c r="AV2648" s="82" t="str">
        <f aca="false">IF(AU2648=1,SUM(AU$7:AU2648),"")</f>
        <v/>
      </c>
      <c r="AW2648" s="82" t="str">
        <f aca="false">IF(E2648="","",B2648&amp;"|"&amp;E2648)</f>
        <v/>
      </c>
    </row>
    <row r="2649" customFormat="false" ht="15" hidden="false" customHeight="false" outlineLevel="0" collapsed="false">
      <c r="A2649" s="79" t="str">
        <f aca="false">IF(E2649="","",ROW()-6)</f>
        <v/>
      </c>
      <c r="B2649" s="80"/>
      <c r="C2649" s="81"/>
      <c r="D2649" s="81"/>
      <c r="E2649" s="81"/>
      <c r="F2649" s="82" t="str">
        <f aca="false">IF(E2649="","",IF(LEFT(E2649,2)="DJ","DJ","JN"))</f>
        <v/>
      </c>
      <c r="G2649" s="81"/>
      <c r="H2649" s="81"/>
      <c r="I2649" s="81"/>
      <c r="J2649" s="81"/>
      <c r="K2649" s="81"/>
      <c r="L2649" s="81"/>
      <c r="M2649" s="81"/>
      <c r="N2649" s="81"/>
      <c r="O2649" s="81"/>
      <c r="P2649" s="81"/>
      <c r="Q2649" s="81"/>
      <c r="R2649" s="81"/>
      <c r="S2649" s="81"/>
      <c r="T2649" s="81"/>
      <c r="U2649" s="83"/>
      <c r="V2649" s="83"/>
      <c r="W2649" s="81"/>
      <c r="X2649" s="81"/>
      <c r="Y2649" s="83"/>
      <c r="Z2649" s="81"/>
      <c r="AA2649" s="81"/>
      <c r="AB2649" s="81"/>
      <c r="AC2649" s="81"/>
      <c r="AD2649" s="81"/>
      <c r="AE2649" s="83"/>
      <c r="AF2649" s="81"/>
      <c r="AG2649" s="81"/>
      <c r="AH2649" s="81"/>
      <c r="AI2649" s="81"/>
      <c r="AJ2649" s="83"/>
      <c r="AK2649" s="81"/>
      <c r="AL2649" s="81"/>
      <c r="AM2649" s="83"/>
      <c r="AN2649" s="80"/>
      <c r="AO2649" s="82" t="str">
        <f aca="false">IF(E2649="","",(AA2649&lt;&gt;"")+(AG2649&lt;&gt;"")+(AL2649&lt;&gt;""))</f>
        <v/>
      </c>
      <c r="AP2649" s="82" t="str">
        <f aca="false">IF(AL2649&lt;&gt;"",AL2649,IF(AG2649&lt;&gt;"",AG2649,IF(AA2649&lt;&gt;"",AA2649,"")))</f>
        <v/>
      </c>
      <c r="AQ2649" s="84" t="str">
        <f aca="false">IF(E2649="","",IF(U2649="","À SOUDER",IF(X2649="","VT EN ATTENTE",IF(X2649="R","VT REJETÉ – À REPRENDRE",IF(AP2649="","À RADIOGRAPHIER",IF(AP2649="A","ACCEPTÉ",IF(AP2649="NX","NX – RT À REFAIRE",IF(IF(AO2649=1,AD2649,IF(AO2649=2,AI2649,""))="A","RÉPARÉ – À RADIOGRAPHIER",IF(IF(AO2649=1,AD2649,IF(AO2649=2,AI2649,""))="R","VT REJETÉ – À REPRENDRE",IF(OR(AP2649="CO",AP2649="NT"),"COUPE – À RESOUDER","À RÉPARER"))))))))))</f>
        <v/>
      </c>
      <c r="AR2649" s="82" t="str">
        <f aca="false">IF(AND(ISNUMBER(U2649),OR(AQ2649="À RADIOGRAPHIER",AQ2649="RÉPARÉ – À RADIOGRAPHIER",AQ2649="NX – RT À REFAIRE",AQ2649="À RÉPARER",AQ2649="COUPE – À RESOUDER",AQ2649="VT REJETÉ – À REPRENDRE")),MAX(0,'PROGRAMME RT'!$C$4-U2649),"")</f>
        <v/>
      </c>
      <c r="AS2649" s="82" t="n">
        <f aca="false">IF(AND(OR(AQ2649="À RADIOGRAPHIER",AQ2649="RÉPARÉ – À RADIOGRAPHIER",AQ2649="NX – RT À REFAIRE"),OR('PROGRAMME RT'!$D$5="TOUTES",B2649='PROGRAMME RT'!$D$5)),1,0)</f>
        <v>0</v>
      </c>
      <c r="AT2649" s="82" t="str">
        <f aca="false">IF(AS2649=1,SUM(AS$7:AS2649),"")</f>
        <v/>
      </c>
      <c r="AU2649" s="82" t="n">
        <f aca="false">IF(AND(OR(AA2649="R",AA2649="NX",AA2649="NT",AA2649="CO"),OR('JOINTS DE RÉPARATION'!$D$5="TOUTES",B2649='JOINTS DE RÉPARATION'!$D$5),OR('JOINTS DE RÉPARATION'!$L$4="TOUS",AQ2649&lt;&gt;"ACCEPTÉ")),1,0)</f>
        <v>0</v>
      </c>
      <c r="AV2649" s="82" t="str">
        <f aca="false">IF(AU2649=1,SUM(AU$7:AU2649),"")</f>
        <v/>
      </c>
      <c r="AW2649" s="82" t="str">
        <f aca="false">IF(E2649="","",B2649&amp;"|"&amp;E2649)</f>
        <v/>
      </c>
    </row>
    <row r="2650" customFormat="false" ht="15" hidden="false" customHeight="false" outlineLevel="0" collapsed="false">
      <c r="A2650" s="79" t="str">
        <f aca="false">IF(E2650="","",ROW()-6)</f>
        <v/>
      </c>
      <c r="B2650" s="80"/>
      <c r="C2650" s="81"/>
      <c r="D2650" s="81"/>
      <c r="E2650" s="81"/>
      <c r="F2650" s="82" t="str">
        <f aca="false">IF(E2650="","",IF(LEFT(E2650,2)="DJ","DJ","JN"))</f>
        <v/>
      </c>
      <c r="G2650" s="81"/>
      <c r="H2650" s="81"/>
      <c r="I2650" s="81"/>
      <c r="J2650" s="81"/>
      <c r="K2650" s="81"/>
      <c r="L2650" s="81"/>
      <c r="M2650" s="81"/>
      <c r="N2650" s="81"/>
      <c r="O2650" s="81"/>
      <c r="P2650" s="81"/>
      <c r="Q2650" s="81"/>
      <c r="R2650" s="81"/>
      <c r="S2650" s="81"/>
      <c r="T2650" s="81"/>
      <c r="U2650" s="83"/>
      <c r="V2650" s="83"/>
      <c r="W2650" s="81"/>
      <c r="X2650" s="81"/>
      <c r="Y2650" s="83"/>
      <c r="Z2650" s="81"/>
      <c r="AA2650" s="81"/>
      <c r="AB2650" s="81"/>
      <c r="AC2650" s="81"/>
      <c r="AD2650" s="81"/>
      <c r="AE2650" s="83"/>
      <c r="AF2650" s="81"/>
      <c r="AG2650" s="81"/>
      <c r="AH2650" s="81"/>
      <c r="AI2650" s="81"/>
      <c r="AJ2650" s="83"/>
      <c r="AK2650" s="81"/>
      <c r="AL2650" s="81"/>
      <c r="AM2650" s="83"/>
      <c r="AN2650" s="80"/>
      <c r="AO2650" s="82" t="str">
        <f aca="false">IF(E2650="","",(AA2650&lt;&gt;"")+(AG2650&lt;&gt;"")+(AL2650&lt;&gt;""))</f>
        <v/>
      </c>
      <c r="AP2650" s="82" t="str">
        <f aca="false">IF(AL2650&lt;&gt;"",AL2650,IF(AG2650&lt;&gt;"",AG2650,IF(AA2650&lt;&gt;"",AA2650,"")))</f>
        <v/>
      </c>
      <c r="AQ2650" s="84" t="str">
        <f aca="false">IF(E2650="","",IF(U2650="","À SOUDER",IF(X2650="","VT EN ATTENTE",IF(X2650="R","VT REJETÉ – À REPRENDRE",IF(AP2650="","À RADIOGRAPHIER",IF(AP2650="A","ACCEPTÉ",IF(AP2650="NX","NX – RT À REFAIRE",IF(IF(AO2650=1,AD2650,IF(AO2650=2,AI2650,""))="A","RÉPARÉ – À RADIOGRAPHIER",IF(IF(AO2650=1,AD2650,IF(AO2650=2,AI2650,""))="R","VT REJETÉ – À REPRENDRE",IF(OR(AP2650="CO",AP2650="NT"),"COUPE – À RESOUDER","À RÉPARER"))))))))))</f>
        <v/>
      </c>
      <c r="AR2650" s="82" t="str">
        <f aca="false">IF(AND(ISNUMBER(U2650),OR(AQ2650="À RADIOGRAPHIER",AQ2650="RÉPARÉ – À RADIOGRAPHIER",AQ2650="NX – RT À REFAIRE",AQ2650="À RÉPARER",AQ2650="COUPE – À RESOUDER",AQ2650="VT REJETÉ – À REPRENDRE")),MAX(0,'PROGRAMME RT'!$C$4-U2650),"")</f>
        <v/>
      </c>
      <c r="AS2650" s="82" t="n">
        <f aca="false">IF(AND(OR(AQ2650="À RADIOGRAPHIER",AQ2650="RÉPARÉ – À RADIOGRAPHIER",AQ2650="NX – RT À REFAIRE"),OR('PROGRAMME RT'!$D$5="TOUTES",B2650='PROGRAMME RT'!$D$5)),1,0)</f>
        <v>0</v>
      </c>
      <c r="AT2650" s="82" t="str">
        <f aca="false">IF(AS2650=1,SUM(AS$7:AS2650),"")</f>
        <v/>
      </c>
      <c r="AU2650" s="82" t="n">
        <f aca="false">IF(AND(OR(AA2650="R",AA2650="NX",AA2650="NT",AA2650="CO"),OR('JOINTS DE RÉPARATION'!$D$5="TOUTES",B2650='JOINTS DE RÉPARATION'!$D$5),OR('JOINTS DE RÉPARATION'!$L$4="TOUS",AQ2650&lt;&gt;"ACCEPTÉ")),1,0)</f>
        <v>0</v>
      </c>
      <c r="AV2650" s="82" t="str">
        <f aca="false">IF(AU2650=1,SUM(AU$7:AU2650),"")</f>
        <v/>
      </c>
      <c r="AW2650" s="82" t="str">
        <f aca="false">IF(E2650="","",B2650&amp;"|"&amp;E2650)</f>
        <v/>
      </c>
    </row>
    <row r="2651" customFormat="false" ht="15" hidden="false" customHeight="false" outlineLevel="0" collapsed="false">
      <c r="A2651" s="79" t="str">
        <f aca="false">IF(E2651="","",ROW()-6)</f>
        <v/>
      </c>
      <c r="B2651" s="80"/>
      <c r="C2651" s="81"/>
      <c r="D2651" s="81"/>
      <c r="E2651" s="81"/>
      <c r="F2651" s="82" t="str">
        <f aca="false">IF(E2651="","",IF(LEFT(E2651,2)="DJ","DJ","JN"))</f>
        <v/>
      </c>
      <c r="G2651" s="81"/>
      <c r="H2651" s="81"/>
      <c r="I2651" s="81"/>
      <c r="J2651" s="81"/>
      <c r="K2651" s="81"/>
      <c r="L2651" s="81"/>
      <c r="M2651" s="81"/>
      <c r="N2651" s="81"/>
      <c r="O2651" s="81"/>
      <c r="P2651" s="81"/>
      <c r="Q2651" s="81"/>
      <c r="R2651" s="81"/>
      <c r="S2651" s="81"/>
      <c r="T2651" s="81"/>
      <c r="U2651" s="83"/>
      <c r="V2651" s="83"/>
      <c r="W2651" s="81"/>
      <c r="X2651" s="81"/>
      <c r="Y2651" s="83"/>
      <c r="Z2651" s="81"/>
      <c r="AA2651" s="81"/>
      <c r="AB2651" s="81"/>
      <c r="AC2651" s="81"/>
      <c r="AD2651" s="81"/>
      <c r="AE2651" s="83"/>
      <c r="AF2651" s="81"/>
      <c r="AG2651" s="81"/>
      <c r="AH2651" s="81"/>
      <c r="AI2651" s="81"/>
      <c r="AJ2651" s="83"/>
      <c r="AK2651" s="81"/>
      <c r="AL2651" s="81"/>
      <c r="AM2651" s="83"/>
      <c r="AN2651" s="80"/>
      <c r="AO2651" s="82" t="str">
        <f aca="false">IF(E2651="","",(AA2651&lt;&gt;"")+(AG2651&lt;&gt;"")+(AL2651&lt;&gt;""))</f>
        <v/>
      </c>
      <c r="AP2651" s="82" t="str">
        <f aca="false">IF(AL2651&lt;&gt;"",AL2651,IF(AG2651&lt;&gt;"",AG2651,IF(AA2651&lt;&gt;"",AA2651,"")))</f>
        <v/>
      </c>
      <c r="AQ2651" s="84" t="str">
        <f aca="false">IF(E2651="","",IF(U2651="","À SOUDER",IF(X2651="","VT EN ATTENTE",IF(X2651="R","VT REJETÉ – À REPRENDRE",IF(AP2651="","À RADIOGRAPHIER",IF(AP2651="A","ACCEPTÉ",IF(AP2651="NX","NX – RT À REFAIRE",IF(IF(AO2651=1,AD2651,IF(AO2651=2,AI2651,""))="A","RÉPARÉ – À RADIOGRAPHIER",IF(IF(AO2651=1,AD2651,IF(AO2651=2,AI2651,""))="R","VT REJETÉ – À REPRENDRE",IF(OR(AP2651="CO",AP2651="NT"),"COUPE – À RESOUDER","À RÉPARER"))))))))))</f>
        <v/>
      </c>
      <c r="AR2651" s="82" t="str">
        <f aca="false">IF(AND(ISNUMBER(U2651),OR(AQ2651="À RADIOGRAPHIER",AQ2651="RÉPARÉ – À RADIOGRAPHIER",AQ2651="NX – RT À REFAIRE",AQ2651="À RÉPARER",AQ2651="COUPE – À RESOUDER",AQ2651="VT REJETÉ – À REPRENDRE")),MAX(0,'PROGRAMME RT'!$C$4-U2651),"")</f>
        <v/>
      </c>
      <c r="AS2651" s="82" t="n">
        <f aca="false">IF(AND(OR(AQ2651="À RADIOGRAPHIER",AQ2651="RÉPARÉ – À RADIOGRAPHIER",AQ2651="NX – RT À REFAIRE"),OR('PROGRAMME RT'!$D$5="TOUTES",B2651='PROGRAMME RT'!$D$5)),1,0)</f>
        <v>0</v>
      </c>
      <c r="AT2651" s="82" t="str">
        <f aca="false">IF(AS2651=1,SUM(AS$7:AS2651),"")</f>
        <v/>
      </c>
      <c r="AU2651" s="82" t="n">
        <f aca="false">IF(AND(OR(AA2651="R",AA2651="NX",AA2651="NT",AA2651="CO"),OR('JOINTS DE RÉPARATION'!$D$5="TOUTES",B2651='JOINTS DE RÉPARATION'!$D$5),OR('JOINTS DE RÉPARATION'!$L$4="TOUS",AQ2651&lt;&gt;"ACCEPTÉ")),1,0)</f>
        <v>0</v>
      </c>
      <c r="AV2651" s="82" t="str">
        <f aca="false">IF(AU2651=1,SUM(AU$7:AU2651),"")</f>
        <v/>
      </c>
      <c r="AW2651" s="82" t="str">
        <f aca="false">IF(E2651="","",B2651&amp;"|"&amp;E2651)</f>
        <v/>
      </c>
    </row>
    <row r="2652" customFormat="false" ht="15" hidden="false" customHeight="false" outlineLevel="0" collapsed="false">
      <c r="A2652" s="79" t="str">
        <f aca="false">IF(E2652="","",ROW()-6)</f>
        <v/>
      </c>
      <c r="B2652" s="80"/>
      <c r="C2652" s="81"/>
      <c r="D2652" s="81"/>
      <c r="E2652" s="81"/>
      <c r="F2652" s="82" t="str">
        <f aca="false">IF(E2652="","",IF(LEFT(E2652,2)="DJ","DJ","JN"))</f>
        <v/>
      </c>
      <c r="G2652" s="81"/>
      <c r="H2652" s="81"/>
      <c r="I2652" s="81"/>
      <c r="J2652" s="81"/>
      <c r="K2652" s="81"/>
      <c r="L2652" s="81"/>
      <c r="M2652" s="81"/>
      <c r="N2652" s="81"/>
      <c r="O2652" s="81"/>
      <c r="P2652" s="81"/>
      <c r="Q2652" s="81"/>
      <c r="R2652" s="81"/>
      <c r="S2652" s="81"/>
      <c r="T2652" s="81"/>
      <c r="U2652" s="83"/>
      <c r="V2652" s="83"/>
      <c r="W2652" s="81"/>
      <c r="X2652" s="81"/>
      <c r="Y2652" s="83"/>
      <c r="Z2652" s="81"/>
      <c r="AA2652" s="81"/>
      <c r="AB2652" s="81"/>
      <c r="AC2652" s="81"/>
      <c r="AD2652" s="81"/>
      <c r="AE2652" s="83"/>
      <c r="AF2652" s="81"/>
      <c r="AG2652" s="81"/>
      <c r="AH2652" s="81"/>
      <c r="AI2652" s="81"/>
      <c r="AJ2652" s="83"/>
      <c r="AK2652" s="81"/>
      <c r="AL2652" s="81"/>
      <c r="AM2652" s="83"/>
      <c r="AN2652" s="80"/>
      <c r="AO2652" s="82" t="str">
        <f aca="false">IF(E2652="","",(AA2652&lt;&gt;"")+(AG2652&lt;&gt;"")+(AL2652&lt;&gt;""))</f>
        <v/>
      </c>
      <c r="AP2652" s="82" t="str">
        <f aca="false">IF(AL2652&lt;&gt;"",AL2652,IF(AG2652&lt;&gt;"",AG2652,IF(AA2652&lt;&gt;"",AA2652,"")))</f>
        <v/>
      </c>
      <c r="AQ2652" s="84" t="str">
        <f aca="false">IF(E2652="","",IF(U2652="","À SOUDER",IF(X2652="","VT EN ATTENTE",IF(X2652="R","VT REJETÉ – À REPRENDRE",IF(AP2652="","À RADIOGRAPHIER",IF(AP2652="A","ACCEPTÉ",IF(AP2652="NX","NX – RT À REFAIRE",IF(IF(AO2652=1,AD2652,IF(AO2652=2,AI2652,""))="A","RÉPARÉ – À RADIOGRAPHIER",IF(IF(AO2652=1,AD2652,IF(AO2652=2,AI2652,""))="R","VT REJETÉ – À REPRENDRE",IF(OR(AP2652="CO",AP2652="NT"),"COUPE – À RESOUDER","À RÉPARER"))))))))))</f>
        <v/>
      </c>
      <c r="AR2652" s="82" t="str">
        <f aca="false">IF(AND(ISNUMBER(U2652),OR(AQ2652="À RADIOGRAPHIER",AQ2652="RÉPARÉ – À RADIOGRAPHIER",AQ2652="NX – RT À REFAIRE",AQ2652="À RÉPARER",AQ2652="COUPE – À RESOUDER",AQ2652="VT REJETÉ – À REPRENDRE")),MAX(0,'PROGRAMME RT'!$C$4-U2652),"")</f>
        <v/>
      </c>
      <c r="AS2652" s="82" t="n">
        <f aca="false">IF(AND(OR(AQ2652="À RADIOGRAPHIER",AQ2652="RÉPARÉ – À RADIOGRAPHIER",AQ2652="NX – RT À REFAIRE"),OR('PROGRAMME RT'!$D$5="TOUTES",B2652='PROGRAMME RT'!$D$5)),1,0)</f>
        <v>0</v>
      </c>
      <c r="AT2652" s="82" t="str">
        <f aca="false">IF(AS2652=1,SUM(AS$7:AS2652),"")</f>
        <v/>
      </c>
      <c r="AU2652" s="82" t="n">
        <f aca="false">IF(AND(OR(AA2652="R",AA2652="NX",AA2652="NT",AA2652="CO"),OR('JOINTS DE RÉPARATION'!$D$5="TOUTES",B2652='JOINTS DE RÉPARATION'!$D$5),OR('JOINTS DE RÉPARATION'!$L$4="TOUS",AQ2652&lt;&gt;"ACCEPTÉ")),1,0)</f>
        <v>0</v>
      </c>
      <c r="AV2652" s="82" t="str">
        <f aca="false">IF(AU2652=1,SUM(AU$7:AU2652),"")</f>
        <v/>
      </c>
      <c r="AW2652" s="82" t="str">
        <f aca="false">IF(E2652="","",B2652&amp;"|"&amp;E2652)</f>
        <v/>
      </c>
    </row>
    <row r="2653" customFormat="false" ht="15" hidden="false" customHeight="false" outlineLevel="0" collapsed="false">
      <c r="A2653" s="79" t="str">
        <f aca="false">IF(E2653="","",ROW()-6)</f>
        <v/>
      </c>
      <c r="B2653" s="80"/>
      <c r="C2653" s="81"/>
      <c r="D2653" s="81"/>
      <c r="E2653" s="81"/>
      <c r="F2653" s="82" t="str">
        <f aca="false">IF(E2653="","",IF(LEFT(E2653,2)="DJ","DJ","JN"))</f>
        <v/>
      </c>
      <c r="G2653" s="81"/>
      <c r="H2653" s="81"/>
      <c r="I2653" s="81"/>
      <c r="J2653" s="81"/>
      <c r="K2653" s="81"/>
      <c r="L2653" s="81"/>
      <c r="M2653" s="81"/>
      <c r="N2653" s="81"/>
      <c r="O2653" s="81"/>
      <c r="P2653" s="81"/>
      <c r="Q2653" s="81"/>
      <c r="R2653" s="81"/>
      <c r="S2653" s="81"/>
      <c r="T2653" s="81"/>
      <c r="U2653" s="83"/>
      <c r="V2653" s="83"/>
      <c r="W2653" s="81"/>
      <c r="X2653" s="81"/>
      <c r="Y2653" s="83"/>
      <c r="Z2653" s="81"/>
      <c r="AA2653" s="81"/>
      <c r="AB2653" s="81"/>
      <c r="AC2653" s="81"/>
      <c r="AD2653" s="81"/>
      <c r="AE2653" s="83"/>
      <c r="AF2653" s="81"/>
      <c r="AG2653" s="81"/>
      <c r="AH2653" s="81"/>
      <c r="AI2653" s="81"/>
      <c r="AJ2653" s="83"/>
      <c r="AK2653" s="81"/>
      <c r="AL2653" s="81"/>
      <c r="AM2653" s="83"/>
      <c r="AN2653" s="80"/>
      <c r="AO2653" s="82" t="str">
        <f aca="false">IF(E2653="","",(AA2653&lt;&gt;"")+(AG2653&lt;&gt;"")+(AL2653&lt;&gt;""))</f>
        <v/>
      </c>
      <c r="AP2653" s="82" t="str">
        <f aca="false">IF(AL2653&lt;&gt;"",AL2653,IF(AG2653&lt;&gt;"",AG2653,IF(AA2653&lt;&gt;"",AA2653,"")))</f>
        <v/>
      </c>
      <c r="AQ2653" s="84" t="str">
        <f aca="false">IF(E2653="","",IF(U2653="","À SOUDER",IF(X2653="","VT EN ATTENTE",IF(X2653="R","VT REJETÉ – À REPRENDRE",IF(AP2653="","À RADIOGRAPHIER",IF(AP2653="A","ACCEPTÉ",IF(AP2653="NX","NX – RT À REFAIRE",IF(IF(AO2653=1,AD2653,IF(AO2653=2,AI2653,""))="A","RÉPARÉ – À RADIOGRAPHIER",IF(IF(AO2653=1,AD2653,IF(AO2653=2,AI2653,""))="R","VT REJETÉ – À REPRENDRE",IF(OR(AP2653="CO",AP2653="NT"),"COUPE – À RESOUDER","À RÉPARER"))))))))))</f>
        <v/>
      </c>
      <c r="AR2653" s="82" t="str">
        <f aca="false">IF(AND(ISNUMBER(U2653),OR(AQ2653="À RADIOGRAPHIER",AQ2653="RÉPARÉ – À RADIOGRAPHIER",AQ2653="NX – RT À REFAIRE",AQ2653="À RÉPARER",AQ2653="COUPE – À RESOUDER",AQ2653="VT REJETÉ – À REPRENDRE")),MAX(0,'PROGRAMME RT'!$C$4-U2653),"")</f>
        <v/>
      </c>
      <c r="AS2653" s="82" t="n">
        <f aca="false">IF(AND(OR(AQ2653="À RADIOGRAPHIER",AQ2653="RÉPARÉ – À RADIOGRAPHIER",AQ2653="NX – RT À REFAIRE"),OR('PROGRAMME RT'!$D$5="TOUTES",B2653='PROGRAMME RT'!$D$5)),1,0)</f>
        <v>0</v>
      </c>
      <c r="AT2653" s="82" t="str">
        <f aca="false">IF(AS2653=1,SUM(AS$7:AS2653),"")</f>
        <v/>
      </c>
      <c r="AU2653" s="82" t="n">
        <f aca="false">IF(AND(OR(AA2653="R",AA2653="NX",AA2653="NT",AA2653="CO"),OR('JOINTS DE RÉPARATION'!$D$5="TOUTES",B2653='JOINTS DE RÉPARATION'!$D$5),OR('JOINTS DE RÉPARATION'!$L$4="TOUS",AQ2653&lt;&gt;"ACCEPTÉ")),1,0)</f>
        <v>0</v>
      </c>
      <c r="AV2653" s="82" t="str">
        <f aca="false">IF(AU2653=1,SUM(AU$7:AU2653),"")</f>
        <v/>
      </c>
      <c r="AW2653" s="82" t="str">
        <f aca="false">IF(E2653="","",B2653&amp;"|"&amp;E2653)</f>
        <v/>
      </c>
    </row>
    <row r="2654" customFormat="false" ht="15" hidden="false" customHeight="false" outlineLevel="0" collapsed="false">
      <c r="A2654" s="79" t="str">
        <f aca="false">IF(E2654="","",ROW()-6)</f>
        <v/>
      </c>
      <c r="B2654" s="80"/>
      <c r="C2654" s="81"/>
      <c r="D2654" s="81"/>
      <c r="E2654" s="81"/>
      <c r="F2654" s="82" t="str">
        <f aca="false">IF(E2654="","",IF(LEFT(E2654,2)="DJ","DJ","JN"))</f>
        <v/>
      </c>
      <c r="G2654" s="81"/>
      <c r="H2654" s="81"/>
      <c r="I2654" s="81"/>
      <c r="J2654" s="81"/>
      <c r="K2654" s="81"/>
      <c r="L2654" s="81"/>
      <c r="M2654" s="81"/>
      <c r="N2654" s="81"/>
      <c r="O2654" s="81"/>
      <c r="P2654" s="81"/>
      <c r="Q2654" s="81"/>
      <c r="R2654" s="81"/>
      <c r="S2654" s="81"/>
      <c r="T2654" s="81"/>
      <c r="U2654" s="83"/>
      <c r="V2654" s="83"/>
      <c r="W2654" s="81"/>
      <c r="X2654" s="81"/>
      <c r="Y2654" s="83"/>
      <c r="Z2654" s="81"/>
      <c r="AA2654" s="81"/>
      <c r="AB2654" s="81"/>
      <c r="AC2654" s="81"/>
      <c r="AD2654" s="81"/>
      <c r="AE2654" s="83"/>
      <c r="AF2654" s="81"/>
      <c r="AG2654" s="81"/>
      <c r="AH2654" s="81"/>
      <c r="AI2654" s="81"/>
      <c r="AJ2654" s="83"/>
      <c r="AK2654" s="81"/>
      <c r="AL2654" s="81"/>
      <c r="AM2654" s="83"/>
      <c r="AN2654" s="80"/>
      <c r="AO2654" s="82" t="str">
        <f aca="false">IF(E2654="","",(AA2654&lt;&gt;"")+(AG2654&lt;&gt;"")+(AL2654&lt;&gt;""))</f>
        <v/>
      </c>
      <c r="AP2654" s="82" t="str">
        <f aca="false">IF(AL2654&lt;&gt;"",AL2654,IF(AG2654&lt;&gt;"",AG2654,IF(AA2654&lt;&gt;"",AA2654,"")))</f>
        <v/>
      </c>
      <c r="AQ2654" s="84" t="str">
        <f aca="false">IF(E2654="","",IF(U2654="","À SOUDER",IF(X2654="","VT EN ATTENTE",IF(X2654="R","VT REJETÉ – À REPRENDRE",IF(AP2654="","À RADIOGRAPHIER",IF(AP2654="A","ACCEPTÉ",IF(AP2654="NX","NX – RT À REFAIRE",IF(IF(AO2654=1,AD2654,IF(AO2654=2,AI2654,""))="A","RÉPARÉ – À RADIOGRAPHIER",IF(IF(AO2654=1,AD2654,IF(AO2654=2,AI2654,""))="R","VT REJETÉ – À REPRENDRE",IF(OR(AP2654="CO",AP2654="NT"),"COUPE – À RESOUDER","À RÉPARER"))))))))))</f>
        <v/>
      </c>
      <c r="AR2654" s="82" t="str">
        <f aca="false">IF(AND(ISNUMBER(U2654),OR(AQ2654="À RADIOGRAPHIER",AQ2654="RÉPARÉ – À RADIOGRAPHIER",AQ2654="NX – RT À REFAIRE",AQ2654="À RÉPARER",AQ2654="COUPE – À RESOUDER",AQ2654="VT REJETÉ – À REPRENDRE")),MAX(0,'PROGRAMME RT'!$C$4-U2654),"")</f>
        <v/>
      </c>
      <c r="AS2654" s="82" t="n">
        <f aca="false">IF(AND(OR(AQ2654="À RADIOGRAPHIER",AQ2654="RÉPARÉ – À RADIOGRAPHIER",AQ2654="NX – RT À REFAIRE"),OR('PROGRAMME RT'!$D$5="TOUTES",B2654='PROGRAMME RT'!$D$5)),1,0)</f>
        <v>0</v>
      </c>
      <c r="AT2654" s="82" t="str">
        <f aca="false">IF(AS2654=1,SUM(AS$7:AS2654),"")</f>
        <v/>
      </c>
      <c r="AU2654" s="82" t="n">
        <f aca="false">IF(AND(OR(AA2654="R",AA2654="NX",AA2654="NT",AA2654="CO"),OR('JOINTS DE RÉPARATION'!$D$5="TOUTES",B2654='JOINTS DE RÉPARATION'!$D$5),OR('JOINTS DE RÉPARATION'!$L$4="TOUS",AQ2654&lt;&gt;"ACCEPTÉ")),1,0)</f>
        <v>0</v>
      </c>
      <c r="AV2654" s="82" t="str">
        <f aca="false">IF(AU2654=1,SUM(AU$7:AU2654),"")</f>
        <v/>
      </c>
      <c r="AW2654" s="82" t="str">
        <f aca="false">IF(E2654="","",B2654&amp;"|"&amp;E2654)</f>
        <v/>
      </c>
    </row>
    <row r="2655" customFormat="false" ht="15" hidden="false" customHeight="false" outlineLevel="0" collapsed="false">
      <c r="A2655" s="79" t="str">
        <f aca="false">IF(E2655="","",ROW()-6)</f>
        <v/>
      </c>
      <c r="B2655" s="80"/>
      <c r="C2655" s="81"/>
      <c r="D2655" s="81"/>
      <c r="E2655" s="81"/>
      <c r="F2655" s="82" t="str">
        <f aca="false">IF(E2655="","",IF(LEFT(E2655,2)="DJ","DJ","JN"))</f>
        <v/>
      </c>
      <c r="G2655" s="81"/>
      <c r="H2655" s="81"/>
      <c r="I2655" s="81"/>
      <c r="J2655" s="81"/>
      <c r="K2655" s="81"/>
      <c r="L2655" s="81"/>
      <c r="M2655" s="81"/>
      <c r="N2655" s="81"/>
      <c r="O2655" s="81"/>
      <c r="P2655" s="81"/>
      <c r="Q2655" s="81"/>
      <c r="R2655" s="81"/>
      <c r="S2655" s="81"/>
      <c r="T2655" s="81"/>
      <c r="U2655" s="83"/>
      <c r="V2655" s="83"/>
      <c r="W2655" s="81"/>
      <c r="X2655" s="81"/>
      <c r="Y2655" s="83"/>
      <c r="Z2655" s="81"/>
      <c r="AA2655" s="81"/>
      <c r="AB2655" s="81"/>
      <c r="AC2655" s="81"/>
      <c r="AD2655" s="81"/>
      <c r="AE2655" s="83"/>
      <c r="AF2655" s="81"/>
      <c r="AG2655" s="81"/>
      <c r="AH2655" s="81"/>
      <c r="AI2655" s="81"/>
      <c r="AJ2655" s="83"/>
      <c r="AK2655" s="81"/>
      <c r="AL2655" s="81"/>
      <c r="AM2655" s="83"/>
      <c r="AN2655" s="80"/>
      <c r="AO2655" s="82" t="str">
        <f aca="false">IF(E2655="","",(AA2655&lt;&gt;"")+(AG2655&lt;&gt;"")+(AL2655&lt;&gt;""))</f>
        <v/>
      </c>
      <c r="AP2655" s="82" t="str">
        <f aca="false">IF(AL2655&lt;&gt;"",AL2655,IF(AG2655&lt;&gt;"",AG2655,IF(AA2655&lt;&gt;"",AA2655,"")))</f>
        <v/>
      </c>
      <c r="AQ2655" s="84" t="str">
        <f aca="false">IF(E2655="","",IF(U2655="","À SOUDER",IF(X2655="","VT EN ATTENTE",IF(X2655="R","VT REJETÉ – À REPRENDRE",IF(AP2655="","À RADIOGRAPHIER",IF(AP2655="A","ACCEPTÉ",IF(AP2655="NX","NX – RT À REFAIRE",IF(IF(AO2655=1,AD2655,IF(AO2655=2,AI2655,""))="A","RÉPARÉ – À RADIOGRAPHIER",IF(IF(AO2655=1,AD2655,IF(AO2655=2,AI2655,""))="R","VT REJETÉ – À REPRENDRE",IF(OR(AP2655="CO",AP2655="NT"),"COUPE – À RESOUDER","À RÉPARER"))))))))))</f>
        <v/>
      </c>
      <c r="AR2655" s="82" t="str">
        <f aca="false">IF(AND(ISNUMBER(U2655),OR(AQ2655="À RADIOGRAPHIER",AQ2655="RÉPARÉ – À RADIOGRAPHIER",AQ2655="NX – RT À REFAIRE",AQ2655="À RÉPARER",AQ2655="COUPE – À RESOUDER",AQ2655="VT REJETÉ – À REPRENDRE")),MAX(0,'PROGRAMME RT'!$C$4-U2655),"")</f>
        <v/>
      </c>
      <c r="AS2655" s="82" t="n">
        <f aca="false">IF(AND(OR(AQ2655="À RADIOGRAPHIER",AQ2655="RÉPARÉ – À RADIOGRAPHIER",AQ2655="NX – RT À REFAIRE"),OR('PROGRAMME RT'!$D$5="TOUTES",B2655='PROGRAMME RT'!$D$5)),1,0)</f>
        <v>0</v>
      </c>
      <c r="AT2655" s="82" t="str">
        <f aca="false">IF(AS2655=1,SUM(AS$7:AS2655),"")</f>
        <v/>
      </c>
      <c r="AU2655" s="82" t="n">
        <f aca="false">IF(AND(OR(AA2655="R",AA2655="NX",AA2655="NT",AA2655="CO"),OR('JOINTS DE RÉPARATION'!$D$5="TOUTES",B2655='JOINTS DE RÉPARATION'!$D$5),OR('JOINTS DE RÉPARATION'!$L$4="TOUS",AQ2655&lt;&gt;"ACCEPTÉ")),1,0)</f>
        <v>0</v>
      </c>
      <c r="AV2655" s="82" t="str">
        <f aca="false">IF(AU2655=1,SUM(AU$7:AU2655),"")</f>
        <v/>
      </c>
      <c r="AW2655" s="82" t="str">
        <f aca="false">IF(E2655="","",B2655&amp;"|"&amp;E2655)</f>
        <v/>
      </c>
    </row>
    <row r="2656" customFormat="false" ht="15" hidden="false" customHeight="false" outlineLevel="0" collapsed="false">
      <c r="A2656" s="79" t="str">
        <f aca="false">IF(E2656="","",ROW()-6)</f>
        <v/>
      </c>
      <c r="B2656" s="80"/>
      <c r="C2656" s="81"/>
      <c r="D2656" s="81"/>
      <c r="E2656" s="81"/>
      <c r="F2656" s="82" t="str">
        <f aca="false">IF(E2656="","",IF(LEFT(E2656,2)="DJ","DJ","JN"))</f>
        <v/>
      </c>
      <c r="G2656" s="81"/>
      <c r="H2656" s="81"/>
      <c r="I2656" s="81"/>
      <c r="J2656" s="81"/>
      <c r="K2656" s="81"/>
      <c r="L2656" s="81"/>
      <c r="M2656" s="81"/>
      <c r="N2656" s="81"/>
      <c r="O2656" s="81"/>
      <c r="P2656" s="81"/>
      <c r="Q2656" s="81"/>
      <c r="R2656" s="81"/>
      <c r="S2656" s="81"/>
      <c r="T2656" s="81"/>
      <c r="U2656" s="83"/>
      <c r="V2656" s="83"/>
      <c r="W2656" s="81"/>
      <c r="X2656" s="81"/>
      <c r="Y2656" s="83"/>
      <c r="Z2656" s="81"/>
      <c r="AA2656" s="81"/>
      <c r="AB2656" s="81"/>
      <c r="AC2656" s="81"/>
      <c r="AD2656" s="81"/>
      <c r="AE2656" s="83"/>
      <c r="AF2656" s="81"/>
      <c r="AG2656" s="81"/>
      <c r="AH2656" s="81"/>
      <c r="AI2656" s="81"/>
      <c r="AJ2656" s="83"/>
      <c r="AK2656" s="81"/>
      <c r="AL2656" s="81"/>
      <c r="AM2656" s="83"/>
      <c r="AN2656" s="80"/>
      <c r="AO2656" s="82" t="str">
        <f aca="false">IF(E2656="","",(AA2656&lt;&gt;"")+(AG2656&lt;&gt;"")+(AL2656&lt;&gt;""))</f>
        <v/>
      </c>
      <c r="AP2656" s="82" t="str">
        <f aca="false">IF(AL2656&lt;&gt;"",AL2656,IF(AG2656&lt;&gt;"",AG2656,IF(AA2656&lt;&gt;"",AA2656,"")))</f>
        <v/>
      </c>
      <c r="AQ2656" s="84" t="str">
        <f aca="false">IF(E2656="","",IF(U2656="","À SOUDER",IF(X2656="","VT EN ATTENTE",IF(X2656="R","VT REJETÉ – À REPRENDRE",IF(AP2656="","À RADIOGRAPHIER",IF(AP2656="A","ACCEPTÉ",IF(AP2656="NX","NX – RT À REFAIRE",IF(IF(AO2656=1,AD2656,IF(AO2656=2,AI2656,""))="A","RÉPARÉ – À RADIOGRAPHIER",IF(IF(AO2656=1,AD2656,IF(AO2656=2,AI2656,""))="R","VT REJETÉ – À REPRENDRE",IF(OR(AP2656="CO",AP2656="NT"),"COUPE – À RESOUDER","À RÉPARER"))))))))))</f>
        <v/>
      </c>
      <c r="AR2656" s="82" t="str">
        <f aca="false">IF(AND(ISNUMBER(U2656),OR(AQ2656="À RADIOGRAPHIER",AQ2656="RÉPARÉ – À RADIOGRAPHIER",AQ2656="NX – RT À REFAIRE",AQ2656="À RÉPARER",AQ2656="COUPE – À RESOUDER",AQ2656="VT REJETÉ – À REPRENDRE")),MAX(0,'PROGRAMME RT'!$C$4-U2656),"")</f>
        <v/>
      </c>
      <c r="AS2656" s="82" t="n">
        <f aca="false">IF(AND(OR(AQ2656="À RADIOGRAPHIER",AQ2656="RÉPARÉ – À RADIOGRAPHIER",AQ2656="NX – RT À REFAIRE"),OR('PROGRAMME RT'!$D$5="TOUTES",B2656='PROGRAMME RT'!$D$5)),1,0)</f>
        <v>0</v>
      </c>
      <c r="AT2656" s="82" t="str">
        <f aca="false">IF(AS2656=1,SUM(AS$7:AS2656),"")</f>
        <v/>
      </c>
      <c r="AU2656" s="82" t="n">
        <f aca="false">IF(AND(OR(AA2656="R",AA2656="NX",AA2656="NT",AA2656="CO"),OR('JOINTS DE RÉPARATION'!$D$5="TOUTES",B2656='JOINTS DE RÉPARATION'!$D$5),OR('JOINTS DE RÉPARATION'!$L$4="TOUS",AQ2656&lt;&gt;"ACCEPTÉ")),1,0)</f>
        <v>0</v>
      </c>
      <c r="AV2656" s="82" t="str">
        <f aca="false">IF(AU2656=1,SUM(AU$7:AU2656),"")</f>
        <v/>
      </c>
      <c r="AW2656" s="82" t="str">
        <f aca="false">IF(E2656="","",B2656&amp;"|"&amp;E2656)</f>
        <v/>
      </c>
    </row>
    <row r="2657" customFormat="false" ht="15" hidden="false" customHeight="false" outlineLevel="0" collapsed="false">
      <c r="A2657" s="79" t="str">
        <f aca="false">IF(E2657="","",ROW()-6)</f>
        <v/>
      </c>
      <c r="B2657" s="80"/>
      <c r="C2657" s="81"/>
      <c r="D2657" s="81"/>
      <c r="E2657" s="81"/>
      <c r="F2657" s="82" t="str">
        <f aca="false">IF(E2657="","",IF(LEFT(E2657,2)="DJ","DJ","JN"))</f>
        <v/>
      </c>
      <c r="G2657" s="81"/>
      <c r="H2657" s="81"/>
      <c r="I2657" s="81"/>
      <c r="J2657" s="81"/>
      <c r="K2657" s="81"/>
      <c r="L2657" s="81"/>
      <c r="M2657" s="81"/>
      <c r="N2657" s="81"/>
      <c r="O2657" s="81"/>
      <c r="P2657" s="81"/>
      <c r="Q2657" s="81"/>
      <c r="R2657" s="81"/>
      <c r="S2657" s="81"/>
      <c r="T2657" s="81"/>
      <c r="U2657" s="83"/>
      <c r="V2657" s="83"/>
      <c r="W2657" s="81"/>
      <c r="X2657" s="81"/>
      <c r="Y2657" s="83"/>
      <c r="Z2657" s="81"/>
      <c r="AA2657" s="81"/>
      <c r="AB2657" s="81"/>
      <c r="AC2657" s="81"/>
      <c r="AD2657" s="81"/>
      <c r="AE2657" s="83"/>
      <c r="AF2657" s="81"/>
      <c r="AG2657" s="81"/>
      <c r="AH2657" s="81"/>
      <c r="AI2657" s="81"/>
      <c r="AJ2657" s="83"/>
      <c r="AK2657" s="81"/>
      <c r="AL2657" s="81"/>
      <c r="AM2657" s="83"/>
      <c r="AN2657" s="80"/>
      <c r="AO2657" s="82" t="str">
        <f aca="false">IF(E2657="","",(AA2657&lt;&gt;"")+(AG2657&lt;&gt;"")+(AL2657&lt;&gt;""))</f>
        <v/>
      </c>
      <c r="AP2657" s="82" t="str">
        <f aca="false">IF(AL2657&lt;&gt;"",AL2657,IF(AG2657&lt;&gt;"",AG2657,IF(AA2657&lt;&gt;"",AA2657,"")))</f>
        <v/>
      </c>
      <c r="AQ2657" s="84" t="str">
        <f aca="false">IF(E2657="","",IF(U2657="","À SOUDER",IF(X2657="","VT EN ATTENTE",IF(X2657="R","VT REJETÉ – À REPRENDRE",IF(AP2657="","À RADIOGRAPHIER",IF(AP2657="A","ACCEPTÉ",IF(AP2657="NX","NX – RT À REFAIRE",IF(IF(AO2657=1,AD2657,IF(AO2657=2,AI2657,""))="A","RÉPARÉ – À RADIOGRAPHIER",IF(IF(AO2657=1,AD2657,IF(AO2657=2,AI2657,""))="R","VT REJETÉ – À REPRENDRE",IF(OR(AP2657="CO",AP2657="NT"),"COUPE – À RESOUDER","À RÉPARER"))))))))))</f>
        <v/>
      </c>
      <c r="AR2657" s="82" t="str">
        <f aca="false">IF(AND(ISNUMBER(U2657),OR(AQ2657="À RADIOGRAPHIER",AQ2657="RÉPARÉ – À RADIOGRAPHIER",AQ2657="NX – RT À REFAIRE",AQ2657="À RÉPARER",AQ2657="COUPE – À RESOUDER",AQ2657="VT REJETÉ – À REPRENDRE")),MAX(0,'PROGRAMME RT'!$C$4-U2657),"")</f>
        <v/>
      </c>
      <c r="AS2657" s="82" t="n">
        <f aca="false">IF(AND(OR(AQ2657="À RADIOGRAPHIER",AQ2657="RÉPARÉ – À RADIOGRAPHIER",AQ2657="NX – RT À REFAIRE"),OR('PROGRAMME RT'!$D$5="TOUTES",B2657='PROGRAMME RT'!$D$5)),1,0)</f>
        <v>0</v>
      </c>
      <c r="AT2657" s="82" t="str">
        <f aca="false">IF(AS2657=1,SUM(AS$7:AS2657),"")</f>
        <v/>
      </c>
      <c r="AU2657" s="82" t="n">
        <f aca="false">IF(AND(OR(AA2657="R",AA2657="NX",AA2657="NT",AA2657="CO"),OR('JOINTS DE RÉPARATION'!$D$5="TOUTES",B2657='JOINTS DE RÉPARATION'!$D$5),OR('JOINTS DE RÉPARATION'!$L$4="TOUS",AQ2657&lt;&gt;"ACCEPTÉ")),1,0)</f>
        <v>0</v>
      </c>
      <c r="AV2657" s="82" t="str">
        <f aca="false">IF(AU2657=1,SUM(AU$7:AU2657),"")</f>
        <v/>
      </c>
      <c r="AW2657" s="82" t="str">
        <f aca="false">IF(E2657="","",B2657&amp;"|"&amp;E2657)</f>
        <v/>
      </c>
    </row>
    <row r="2658" customFormat="false" ht="15" hidden="false" customHeight="false" outlineLevel="0" collapsed="false">
      <c r="A2658" s="79" t="str">
        <f aca="false">IF(E2658="","",ROW()-6)</f>
        <v/>
      </c>
      <c r="B2658" s="80"/>
      <c r="C2658" s="81"/>
      <c r="D2658" s="81"/>
      <c r="E2658" s="81"/>
      <c r="F2658" s="82" t="str">
        <f aca="false">IF(E2658="","",IF(LEFT(E2658,2)="DJ","DJ","JN"))</f>
        <v/>
      </c>
      <c r="G2658" s="81"/>
      <c r="H2658" s="81"/>
      <c r="I2658" s="81"/>
      <c r="J2658" s="81"/>
      <c r="K2658" s="81"/>
      <c r="L2658" s="81"/>
      <c r="M2658" s="81"/>
      <c r="N2658" s="81"/>
      <c r="O2658" s="81"/>
      <c r="P2658" s="81"/>
      <c r="Q2658" s="81"/>
      <c r="R2658" s="81"/>
      <c r="S2658" s="81"/>
      <c r="T2658" s="81"/>
      <c r="U2658" s="83"/>
      <c r="V2658" s="83"/>
      <c r="W2658" s="81"/>
      <c r="X2658" s="81"/>
      <c r="Y2658" s="83"/>
      <c r="Z2658" s="81"/>
      <c r="AA2658" s="81"/>
      <c r="AB2658" s="81"/>
      <c r="AC2658" s="81"/>
      <c r="AD2658" s="81"/>
      <c r="AE2658" s="83"/>
      <c r="AF2658" s="81"/>
      <c r="AG2658" s="81"/>
      <c r="AH2658" s="81"/>
      <c r="AI2658" s="81"/>
      <c r="AJ2658" s="83"/>
      <c r="AK2658" s="81"/>
      <c r="AL2658" s="81"/>
      <c r="AM2658" s="83"/>
      <c r="AN2658" s="80"/>
      <c r="AO2658" s="82" t="str">
        <f aca="false">IF(E2658="","",(AA2658&lt;&gt;"")+(AG2658&lt;&gt;"")+(AL2658&lt;&gt;""))</f>
        <v/>
      </c>
      <c r="AP2658" s="82" t="str">
        <f aca="false">IF(AL2658&lt;&gt;"",AL2658,IF(AG2658&lt;&gt;"",AG2658,IF(AA2658&lt;&gt;"",AA2658,"")))</f>
        <v/>
      </c>
      <c r="AQ2658" s="84" t="str">
        <f aca="false">IF(E2658="","",IF(U2658="","À SOUDER",IF(X2658="","VT EN ATTENTE",IF(X2658="R","VT REJETÉ – À REPRENDRE",IF(AP2658="","À RADIOGRAPHIER",IF(AP2658="A","ACCEPTÉ",IF(AP2658="NX","NX – RT À REFAIRE",IF(IF(AO2658=1,AD2658,IF(AO2658=2,AI2658,""))="A","RÉPARÉ – À RADIOGRAPHIER",IF(IF(AO2658=1,AD2658,IF(AO2658=2,AI2658,""))="R","VT REJETÉ – À REPRENDRE",IF(OR(AP2658="CO",AP2658="NT"),"COUPE – À RESOUDER","À RÉPARER"))))))))))</f>
        <v/>
      </c>
      <c r="AR2658" s="82" t="str">
        <f aca="false">IF(AND(ISNUMBER(U2658),OR(AQ2658="À RADIOGRAPHIER",AQ2658="RÉPARÉ – À RADIOGRAPHIER",AQ2658="NX – RT À REFAIRE",AQ2658="À RÉPARER",AQ2658="COUPE – À RESOUDER",AQ2658="VT REJETÉ – À REPRENDRE")),MAX(0,'PROGRAMME RT'!$C$4-U2658),"")</f>
        <v/>
      </c>
      <c r="AS2658" s="82" t="n">
        <f aca="false">IF(AND(OR(AQ2658="À RADIOGRAPHIER",AQ2658="RÉPARÉ – À RADIOGRAPHIER",AQ2658="NX – RT À REFAIRE"),OR('PROGRAMME RT'!$D$5="TOUTES",B2658='PROGRAMME RT'!$D$5)),1,0)</f>
        <v>0</v>
      </c>
      <c r="AT2658" s="82" t="str">
        <f aca="false">IF(AS2658=1,SUM(AS$7:AS2658),"")</f>
        <v/>
      </c>
      <c r="AU2658" s="82" t="n">
        <f aca="false">IF(AND(OR(AA2658="R",AA2658="NX",AA2658="NT",AA2658="CO"),OR('JOINTS DE RÉPARATION'!$D$5="TOUTES",B2658='JOINTS DE RÉPARATION'!$D$5),OR('JOINTS DE RÉPARATION'!$L$4="TOUS",AQ2658&lt;&gt;"ACCEPTÉ")),1,0)</f>
        <v>0</v>
      </c>
      <c r="AV2658" s="82" t="str">
        <f aca="false">IF(AU2658=1,SUM(AU$7:AU2658),"")</f>
        <v/>
      </c>
      <c r="AW2658" s="82" t="str">
        <f aca="false">IF(E2658="","",B2658&amp;"|"&amp;E2658)</f>
        <v/>
      </c>
    </row>
    <row r="2659" customFormat="false" ht="15" hidden="false" customHeight="false" outlineLevel="0" collapsed="false">
      <c r="A2659" s="79" t="str">
        <f aca="false">IF(E2659="","",ROW()-6)</f>
        <v/>
      </c>
      <c r="B2659" s="80"/>
      <c r="C2659" s="81"/>
      <c r="D2659" s="81"/>
      <c r="E2659" s="81"/>
      <c r="F2659" s="82" t="str">
        <f aca="false">IF(E2659="","",IF(LEFT(E2659,2)="DJ","DJ","JN"))</f>
        <v/>
      </c>
      <c r="G2659" s="81"/>
      <c r="H2659" s="81"/>
      <c r="I2659" s="81"/>
      <c r="J2659" s="81"/>
      <c r="K2659" s="81"/>
      <c r="L2659" s="81"/>
      <c r="M2659" s="81"/>
      <c r="N2659" s="81"/>
      <c r="O2659" s="81"/>
      <c r="P2659" s="81"/>
      <c r="Q2659" s="81"/>
      <c r="R2659" s="81"/>
      <c r="S2659" s="81"/>
      <c r="T2659" s="81"/>
      <c r="U2659" s="83"/>
      <c r="V2659" s="83"/>
      <c r="W2659" s="81"/>
      <c r="X2659" s="81"/>
      <c r="Y2659" s="83"/>
      <c r="Z2659" s="81"/>
      <c r="AA2659" s="81"/>
      <c r="AB2659" s="81"/>
      <c r="AC2659" s="81"/>
      <c r="AD2659" s="81"/>
      <c r="AE2659" s="83"/>
      <c r="AF2659" s="81"/>
      <c r="AG2659" s="81"/>
      <c r="AH2659" s="81"/>
      <c r="AI2659" s="81"/>
      <c r="AJ2659" s="83"/>
      <c r="AK2659" s="81"/>
      <c r="AL2659" s="81"/>
      <c r="AM2659" s="83"/>
      <c r="AN2659" s="80"/>
      <c r="AO2659" s="82" t="str">
        <f aca="false">IF(E2659="","",(AA2659&lt;&gt;"")+(AG2659&lt;&gt;"")+(AL2659&lt;&gt;""))</f>
        <v/>
      </c>
      <c r="AP2659" s="82" t="str">
        <f aca="false">IF(AL2659&lt;&gt;"",AL2659,IF(AG2659&lt;&gt;"",AG2659,IF(AA2659&lt;&gt;"",AA2659,"")))</f>
        <v/>
      </c>
      <c r="AQ2659" s="84" t="str">
        <f aca="false">IF(E2659="","",IF(U2659="","À SOUDER",IF(X2659="","VT EN ATTENTE",IF(X2659="R","VT REJETÉ – À REPRENDRE",IF(AP2659="","À RADIOGRAPHIER",IF(AP2659="A","ACCEPTÉ",IF(AP2659="NX","NX – RT À REFAIRE",IF(IF(AO2659=1,AD2659,IF(AO2659=2,AI2659,""))="A","RÉPARÉ – À RADIOGRAPHIER",IF(IF(AO2659=1,AD2659,IF(AO2659=2,AI2659,""))="R","VT REJETÉ – À REPRENDRE",IF(OR(AP2659="CO",AP2659="NT"),"COUPE – À RESOUDER","À RÉPARER"))))))))))</f>
        <v/>
      </c>
      <c r="AR2659" s="82" t="str">
        <f aca="false">IF(AND(ISNUMBER(U2659),OR(AQ2659="À RADIOGRAPHIER",AQ2659="RÉPARÉ – À RADIOGRAPHIER",AQ2659="NX – RT À REFAIRE",AQ2659="À RÉPARER",AQ2659="COUPE – À RESOUDER",AQ2659="VT REJETÉ – À REPRENDRE")),MAX(0,'PROGRAMME RT'!$C$4-U2659),"")</f>
        <v/>
      </c>
      <c r="AS2659" s="82" t="n">
        <f aca="false">IF(AND(OR(AQ2659="À RADIOGRAPHIER",AQ2659="RÉPARÉ – À RADIOGRAPHIER",AQ2659="NX – RT À REFAIRE"),OR('PROGRAMME RT'!$D$5="TOUTES",B2659='PROGRAMME RT'!$D$5)),1,0)</f>
        <v>0</v>
      </c>
      <c r="AT2659" s="82" t="str">
        <f aca="false">IF(AS2659=1,SUM(AS$7:AS2659),"")</f>
        <v/>
      </c>
      <c r="AU2659" s="82" t="n">
        <f aca="false">IF(AND(OR(AA2659="R",AA2659="NX",AA2659="NT",AA2659="CO"),OR('JOINTS DE RÉPARATION'!$D$5="TOUTES",B2659='JOINTS DE RÉPARATION'!$D$5),OR('JOINTS DE RÉPARATION'!$L$4="TOUS",AQ2659&lt;&gt;"ACCEPTÉ")),1,0)</f>
        <v>0</v>
      </c>
      <c r="AV2659" s="82" t="str">
        <f aca="false">IF(AU2659=1,SUM(AU$7:AU2659),"")</f>
        <v/>
      </c>
      <c r="AW2659" s="82" t="str">
        <f aca="false">IF(E2659="","",B2659&amp;"|"&amp;E2659)</f>
        <v/>
      </c>
    </row>
    <row r="2660" customFormat="false" ht="15" hidden="false" customHeight="false" outlineLevel="0" collapsed="false">
      <c r="A2660" s="79" t="str">
        <f aca="false">IF(E2660="","",ROW()-6)</f>
        <v/>
      </c>
      <c r="B2660" s="80"/>
      <c r="C2660" s="81"/>
      <c r="D2660" s="81"/>
      <c r="E2660" s="81"/>
      <c r="F2660" s="82" t="str">
        <f aca="false">IF(E2660="","",IF(LEFT(E2660,2)="DJ","DJ","JN"))</f>
        <v/>
      </c>
      <c r="G2660" s="81"/>
      <c r="H2660" s="81"/>
      <c r="I2660" s="81"/>
      <c r="J2660" s="81"/>
      <c r="K2660" s="81"/>
      <c r="L2660" s="81"/>
      <c r="M2660" s="81"/>
      <c r="N2660" s="81"/>
      <c r="O2660" s="81"/>
      <c r="P2660" s="81"/>
      <c r="Q2660" s="81"/>
      <c r="R2660" s="81"/>
      <c r="S2660" s="81"/>
      <c r="T2660" s="81"/>
      <c r="U2660" s="83"/>
      <c r="V2660" s="83"/>
      <c r="W2660" s="81"/>
      <c r="X2660" s="81"/>
      <c r="Y2660" s="83"/>
      <c r="Z2660" s="81"/>
      <c r="AA2660" s="81"/>
      <c r="AB2660" s="81"/>
      <c r="AC2660" s="81"/>
      <c r="AD2660" s="81"/>
      <c r="AE2660" s="83"/>
      <c r="AF2660" s="81"/>
      <c r="AG2660" s="81"/>
      <c r="AH2660" s="81"/>
      <c r="AI2660" s="81"/>
      <c r="AJ2660" s="83"/>
      <c r="AK2660" s="81"/>
      <c r="AL2660" s="81"/>
      <c r="AM2660" s="83"/>
      <c r="AN2660" s="80"/>
      <c r="AO2660" s="82" t="str">
        <f aca="false">IF(E2660="","",(AA2660&lt;&gt;"")+(AG2660&lt;&gt;"")+(AL2660&lt;&gt;""))</f>
        <v/>
      </c>
      <c r="AP2660" s="82" t="str">
        <f aca="false">IF(AL2660&lt;&gt;"",AL2660,IF(AG2660&lt;&gt;"",AG2660,IF(AA2660&lt;&gt;"",AA2660,"")))</f>
        <v/>
      </c>
      <c r="AQ2660" s="84" t="str">
        <f aca="false">IF(E2660="","",IF(U2660="","À SOUDER",IF(X2660="","VT EN ATTENTE",IF(X2660="R","VT REJETÉ – À REPRENDRE",IF(AP2660="","À RADIOGRAPHIER",IF(AP2660="A","ACCEPTÉ",IF(AP2660="NX","NX – RT À REFAIRE",IF(IF(AO2660=1,AD2660,IF(AO2660=2,AI2660,""))="A","RÉPARÉ – À RADIOGRAPHIER",IF(IF(AO2660=1,AD2660,IF(AO2660=2,AI2660,""))="R","VT REJETÉ – À REPRENDRE",IF(OR(AP2660="CO",AP2660="NT"),"COUPE – À RESOUDER","À RÉPARER"))))))))))</f>
        <v/>
      </c>
      <c r="AR2660" s="82" t="str">
        <f aca="false">IF(AND(ISNUMBER(U2660),OR(AQ2660="À RADIOGRAPHIER",AQ2660="RÉPARÉ – À RADIOGRAPHIER",AQ2660="NX – RT À REFAIRE",AQ2660="À RÉPARER",AQ2660="COUPE – À RESOUDER",AQ2660="VT REJETÉ – À REPRENDRE")),MAX(0,'PROGRAMME RT'!$C$4-U2660),"")</f>
        <v/>
      </c>
      <c r="AS2660" s="82" t="n">
        <f aca="false">IF(AND(OR(AQ2660="À RADIOGRAPHIER",AQ2660="RÉPARÉ – À RADIOGRAPHIER",AQ2660="NX – RT À REFAIRE"),OR('PROGRAMME RT'!$D$5="TOUTES",B2660='PROGRAMME RT'!$D$5)),1,0)</f>
        <v>0</v>
      </c>
      <c r="AT2660" s="82" t="str">
        <f aca="false">IF(AS2660=1,SUM(AS$7:AS2660),"")</f>
        <v/>
      </c>
      <c r="AU2660" s="82" t="n">
        <f aca="false">IF(AND(OR(AA2660="R",AA2660="NX",AA2660="NT",AA2660="CO"),OR('JOINTS DE RÉPARATION'!$D$5="TOUTES",B2660='JOINTS DE RÉPARATION'!$D$5),OR('JOINTS DE RÉPARATION'!$L$4="TOUS",AQ2660&lt;&gt;"ACCEPTÉ")),1,0)</f>
        <v>0</v>
      </c>
      <c r="AV2660" s="82" t="str">
        <f aca="false">IF(AU2660=1,SUM(AU$7:AU2660),"")</f>
        <v/>
      </c>
      <c r="AW2660" s="82" t="str">
        <f aca="false">IF(E2660="","",B2660&amp;"|"&amp;E2660)</f>
        <v/>
      </c>
    </row>
    <row r="2661" customFormat="false" ht="15" hidden="false" customHeight="false" outlineLevel="0" collapsed="false">
      <c r="A2661" s="79" t="str">
        <f aca="false">IF(E2661="","",ROW()-6)</f>
        <v/>
      </c>
      <c r="B2661" s="80"/>
      <c r="C2661" s="81"/>
      <c r="D2661" s="81"/>
      <c r="E2661" s="81"/>
      <c r="F2661" s="82" t="str">
        <f aca="false">IF(E2661="","",IF(LEFT(E2661,2)="DJ","DJ","JN"))</f>
        <v/>
      </c>
      <c r="G2661" s="81"/>
      <c r="H2661" s="81"/>
      <c r="I2661" s="81"/>
      <c r="J2661" s="81"/>
      <c r="K2661" s="81"/>
      <c r="L2661" s="81"/>
      <c r="M2661" s="81"/>
      <c r="N2661" s="81"/>
      <c r="O2661" s="81"/>
      <c r="P2661" s="81"/>
      <c r="Q2661" s="81"/>
      <c r="R2661" s="81"/>
      <c r="S2661" s="81"/>
      <c r="T2661" s="81"/>
      <c r="U2661" s="83"/>
      <c r="V2661" s="83"/>
      <c r="W2661" s="81"/>
      <c r="X2661" s="81"/>
      <c r="Y2661" s="83"/>
      <c r="Z2661" s="81"/>
      <c r="AA2661" s="81"/>
      <c r="AB2661" s="81"/>
      <c r="AC2661" s="81"/>
      <c r="AD2661" s="81"/>
      <c r="AE2661" s="83"/>
      <c r="AF2661" s="81"/>
      <c r="AG2661" s="81"/>
      <c r="AH2661" s="81"/>
      <c r="AI2661" s="81"/>
      <c r="AJ2661" s="83"/>
      <c r="AK2661" s="81"/>
      <c r="AL2661" s="81"/>
      <c r="AM2661" s="83"/>
      <c r="AN2661" s="80"/>
      <c r="AO2661" s="82" t="str">
        <f aca="false">IF(E2661="","",(AA2661&lt;&gt;"")+(AG2661&lt;&gt;"")+(AL2661&lt;&gt;""))</f>
        <v/>
      </c>
      <c r="AP2661" s="82" t="str">
        <f aca="false">IF(AL2661&lt;&gt;"",AL2661,IF(AG2661&lt;&gt;"",AG2661,IF(AA2661&lt;&gt;"",AA2661,"")))</f>
        <v/>
      </c>
      <c r="AQ2661" s="84" t="str">
        <f aca="false">IF(E2661="","",IF(U2661="","À SOUDER",IF(X2661="","VT EN ATTENTE",IF(X2661="R","VT REJETÉ – À REPRENDRE",IF(AP2661="","À RADIOGRAPHIER",IF(AP2661="A","ACCEPTÉ",IF(AP2661="NX","NX – RT À REFAIRE",IF(IF(AO2661=1,AD2661,IF(AO2661=2,AI2661,""))="A","RÉPARÉ – À RADIOGRAPHIER",IF(IF(AO2661=1,AD2661,IF(AO2661=2,AI2661,""))="R","VT REJETÉ – À REPRENDRE",IF(OR(AP2661="CO",AP2661="NT"),"COUPE – À RESOUDER","À RÉPARER"))))))))))</f>
        <v/>
      </c>
      <c r="AR2661" s="82" t="str">
        <f aca="false">IF(AND(ISNUMBER(U2661),OR(AQ2661="À RADIOGRAPHIER",AQ2661="RÉPARÉ – À RADIOGRAPHIER",AQ2661="NX – RT À REFAIRE",AQ2661="À RÉPARER",AQ2661="COUPE – À RESOUDER",AQ2661="VT REJETÉ – À REPRENDRE")),MAX(0,'PROGRAMME RT'!$C$4-U2661),"")</f>
        <v/>
      </c>
      <c r="AS2661" s="82" t="n">
        <f aca="false">IF(AND(OR(AQ2661="À RADIOGRAPHIER",AQ2661="RÉPARÉ – À RADIOGRAPHIER",AQ2661="NX – RT À REFAIRE"),OR('PROGRAMME RT'!$D$5="TOUTES",B2661='PROGRAMME RT'!$D$5)),1,0)</f>
        <v>0</v>
      </c>
      <c r="AT2661" s="82" t="str">
        <f aca="false">IF(AS2661=1,SUM(AS$7:AS2661),"")</f>
        <v/>
      </c>
      <c r="AU2661" s="82" t="n">
        <f aca="false">IF(AND(OR(AA2661="R",AA2661="NX",AA2661="NT",AA2661="CO"),OR('JOINTS DE RÉPARATION'!$D$5="TOUTES",B2661='JOINTS DE RÉPARATION'!$D$5),OR('JOINTS DE RÉPARATION'!$L$4="TOUS",AQ2661&lt;&gt;"ACCEPTÉ")),1,0)</f>
        <v>0</v>
      </c>
      <c r="AV2661" s="82" t="str">
        <f aca="false">IF(AU2661=1,SUM(AU$7:AU2661),"")</f>
        <v/>
      </c>
      <c r="AW2661" s="82" t="str">
        <f aca="false">IF(E2661="","",B2661&amp;"|"&amp;E2661)</f>
        <v/>
      </c>
    </row>
    <row r="2662" customFormat="false" ht="15" hidden="false" customHeight="false" outlineLevel="0" collapsed="false">
      <c r="A2662" s="79" t="str">
        <f aca="false">IF(E2662="","",ROW()-6)</f>
        <v/>
      </c>
      <c r="B2662" s="80"/>
      <c r="C2662" s="81"/>
      <c r="D2662" s="81"/>
      <c r="E2662" s="81"/>
      <c r="F2662" s="82" t="str">
        <f aca="false">IF(E2662="","",IF(LEFT(E2662,2)="DJ","DJ","JN"))</f>
        <v/>
      </c>
      <c r="G2662" s="81"/>
      <c r="H2662" s="81"/>
      <c r="I2662" s="81"/>
      <c r="J2662" s="81"/>
      <c r="K2662" s="81"/>
      <c r="L2662" s="81"/>
      <c r="M2662" s="81"/>
      <c r="N2662" s="81"/>
      <c r="O2662" s="81"/>
      <c r="P2662" s="81"/>
      <c r="Q2662" s="81"/>
      <c r="R2662" s="81"/>
      <c r="S2662" s="81"/>
      <c r="T2662" s="81"/>
      <c r="U2662" s="83"/>
      <c r="V2662" s="83"/>
      <c r="W2662" s="81"/>
      <c r="X2662" s="81"/>
      <c r="Y2662" s="83"/>
      <c r="Z2662" s="81"/>
      <c r="AA2662" s="81"/>
      <c r="AB2662" s="81"/>
      <c r="AC2662" s="81"/>
      <c r="AD2662" s="81"/>
      <c r="AE2662" s="83"/>
      <c r="AF2662" s="81"/>
      <c r="AG2662" s="81"/>
      <c r="AH2662" s="81"/>
      <c r="AI2662" s="81"/>
      <c r="AJ2662" s="83"/>
      <c r="AK2662" s="81"/>
      <c r="AL2662" s="81"/>
      <c r="AM2662" s="83"/>
      <c r="AN2662" s="80"/>
      <c r="AO2662" s="82" t="str">
        <f aca="false">IF(E2662="","",(AA2662&lt;&gt;"")+(AG2662&lt;&gt;"")+(AL2662&lt;&gt;""))</f>
        <v/>
      </c>
      <c r="AP2662" s="82" t="str">
        <f aca="false">IF(AL2662&lt;&gt;"",AL2662,IF(AG2662&lt;&gt;"",AG2662,IF(AA2662&lt;&gt;"",AA2662,"")))</f>
        <v/>
      </c>
      <c r="AQ2662" s="84" t="str">
        <f aca="false">IF(E2662="","",IF(U2662="","À SOUDER",IF(X2662="","VT EN ATTENTE",IF(X2662="R","VT REJETÉ – À REPRENDRE",IF(AP2662="","À RADIOGRAPHIER",IF(AP2662="A","ACCEPTÉ",IF(AP2662="NX","NX – RT À REFAIRE",IF(IF(AO2662=1,AD2662,IF(AO2662=2,AI2662,""))="A","RÉPARÉ – À RADIOGRAPHIER",IF(IF(AO2662=1,AD2662,IF(AO2662=2,AI2662,""))="R","VT REJETÉ – À REPRENDRE",IF(OR(AP2662="CO",AP2662="NT"),"COUPE – À RESOUDER","À RÉPARER"))))))))))</f>
        <v/>
      </c>
      <c r="AR2662" s="82" t="str">
        <f aca="false">IF(AND(ISNUMBER(U2662),OR(AQ2662="À RADIOGRAPHIER",AQ2662="RÉPARÉ – À RADIOGRAPHIER",AQ2662="NX – RT À REFAIRE",AQ2662="À RÉPARER",AQ2662="COUPE – À RESOUDER",AQ2662="VT REJETÉ – À REPRENDRE")),MAX(0,'PROGRAMME RT'!$C$4-U2662),"")</f>
        <v/>
      </c>
      <c r="AS2662" s="82" t="n">
        <f aca="false">IF(AND(OR(AQ2662="À RADIOGRAPHIER",AQ2662="RÉPARÉ – À RADIOGRAPHIER",AQ2662="NX – RT À REFAIRE"),OR('PROGRAMME RT'!$D$5="TOUTES",B2662='PROGRAMME RT'!$D$5)),1,0)</f>
        <v>0</v>
      </c>
      <c r="AT2662" s="82" t="str">
        <f aca="false">IF(AS2662=1,SUM(AS$7:AS2662),"")</f>
        <v/>
      </c>
      <c r="AU2662" s="82" t="n">
        <f aca="false">IF(AND(OR(AA2662="R",AA2662="NX",AA2662="NT",AA2662="CO"),OR('JOINTS DE RÉPARATION'!$D$5="TOUTES",B2662='JOINTS DE RÉPARATION'!$D$5),OR('JOINTS DE RÉPARATION'!$L$4="TOUS",AQ2662&lt;&gt;"ACCEPTÉ")),1,0)</f>
        <v>0</v>
      </c>
      <c r="AV2662" s="82" t="str">
        <f aca="false">IF(AU2662=1,SUM(AU$7:AU2662),"")</f>
        <v/>
      </c>
      <c r="AW2662" s="82" t="str">
        <f aca="false">IF(E2662="","",B2662&amp;"|"&amp;E2662)</f>
        <v/>
      </c>
    </row>
    <row r="2663" customFormat="false" ht="15" hidden="false" customHeight="false" outlineLevel="0" collapsed="false">
      <c r="A2663" s="79" t="str">
        <f aca="false">IF(E2663="","",ROW()-6)</f>
        <v/>
      </c>
      <c r="B2663" s="80"/>
      <c r="C2663" s="81"/>
      <c r="D2663" s="81"/>
      <c r="E2663" s="81"/>
      <c r="F2663" s="82" t="str">
        <f aca="false">IF(E2663="","",IF(LEFT(E2663,2)="DJ","DJ","JN"))</f>
        <v/>
      </c>
      <c r="G2663" s="81"/>
      <c r="H2663" s="81"/>
      <c r="I2663" s="81"/>
      <c r="J2663" s="81"/>
      <c r="K2663" s="81"/>
      <c r="L2663" s="81"/>
      <c r="M2663" s="81"/>
      <c r="N2663" s="81"/>
      <c r="O2663" s="81"/>
      <c r="P2663" s="81"/>
      <c r="Q2663" s="81"/>
      <c r="R2663" s="81"/>
      <c r="S2663" s="81"/>
      <c r="T2663" s="81"/>
      <c r="U2663" s="83"/>
      <c r="V2663" s="83"/>
      <c r="W2663" s="81"/>
      <c r="X2663" s="81"/>
      <c r="Y2663" s="83"/>
      <c r="Z2663" s="81"/>
      <c r="AA2663" s="81"/>
      <c r="AB2663" s="81"/>
      <c r="AC2663" s="81"/>
      <c r="AD2663" s="81"/>
      <c r="AE2663" s="83"/>
      <c r="AF2663" s="81"/>
      <c r="AG2663" s="81"/>
      <c r="AH2663" s="81"/>
      <c r="AI2663" s="81"/>
      <c r="AJ2663" s="83"/>
      <c r="AK2663" s="81"/>
      <c r="AL2663" s="81"/>
      <c r="AM2663" s="83"/>
      <c r="AN2663" s="80"/>
      <c r="AO2663" s="82" t="str">
        <f aca="false">IF(E2663="","",(AA2663&lt;&gt;"")+(AG2663&lt;&gt;"")+(AL2663&lt;&gt;""))</f>
        <v/>
      </c>
      <c r="AP2663" s="82" t="str">
        <f aca="false">IF(AL2663&lt;&gt;"",AL2663,IF(AG2663&lt;&gt;"",AG2663,IF(AA2663&lt;&gt;"",AA2663,"")))</f>
        <v/>
      </c>
      <c r="AQ2663" s="84" t="str">
        <f aca="false">IF(E2663="","",IF(U2663="","À SOUDER",IF(X2663="","VT EN ATTENTE",IF(X2663="R","VT REJETÉ – À REPRENDRE",IF(AP2663="","À RADIOGRAPHIER",IF(AP2663="A","ACCEPTÉ",IF(AP2663="NX","NX – RT À REFAIRE",IF(IF(AO2663=1,AD2663,IF(AO2663=2,AI2663,""))="A","RÉPARÉ – À RADIOGRAPHIER",IF(IF(AO2663=1,AD2663,IF(AO2663=2,AI2663,""))="R","VT REJETÉ – À REPRENDRE",IF(OR(AP2663="CO",AP2663="NT"),"COUPE – À RESOUDER","À RÉPARER"))))))))))</f>
        <v/>
      </c>
      <c r="AR2663" s="82" t="str">
        <f aca="false">IF(AND(ISNUMBER(U2663),OR(AQ2663="À RADIOGRAPHIER",AQ2663="RÉPARÉ – À RADIOGRAPHIER",AQ2663="NX – RT À REFAIRE",AQ2663="À RÉPARER",AQ2663="COUPE – À RESOUDER",AQ2663="VT REJETÉ – À REPRENDRE")),MAX(0,'PROGRAMME RT'!$C$4-U2663),"")</f>
        <v/>
      </c>
      <c r="AS2663" s="82" t="n">
        <f aca="false">IF(AND(OR(AQ2663="À RADIOGRAPHIER",AQ2663="RÉPARÉ – À RADIOGRAPHIER",AQ2663="NX – RT À REFAIRE"),OR('PROGRAMME RT'!$D$5="TOUTES",B2663='PROGRAMME RT'!$D$5)),1,0)</f>
        <v>0</v>
      </c>
      <c r="AT2663" s="82" t="str">
        <f aca="false">IF(AS2663=1,SUM(AS$7:AS2663),"")</f>
        <v/>
      </c>
      <c r="AU2663" s="82" t="n">
        <f aca="false">IF(AND(OR(AA2663="R",AA2663="NX",AA2663="NT",AA2663="CO"),OR('JOINTS DE RÉPARATION'!$D$5="TOUTES",B2663='JOINTS DE RÉPARATION'!$D$5),OR('JOINTS DE RÉPARATION'!$L$4="TOUS",AQ2663&lt;&gt;"ACCEPTÉ")),1,0)</f>
        <v>0</v>
      </c>
      <c r="AV2663" s="82" t="str">
        <f aca="false">IF(AU2663=1,SUM(AU$7:AU2663),"")</f>
        <v/>
      </c>
      <c r="AW2663" s="82" t="str">
        <f aca="false">IF(E2663="","",B2663&amp;"|"&amp;E2663)</f>
        <v/>
      </c>
    </row>
    <row r="2664" customFormat="false" ht="15" hidden="false" customHeight="false" outlineLevel="0" collapsed="false">
      <c r="A2664" s="79" t="str">
        <f aca="false">IF(E2664="","",ROW()-6)</f>
        <v/>
      </c>
      <c r="B2664" s="80"/>
      <c r="C2664" s="81"/>
      <c r="D2664" s="81"/>
      <c r="E2664" s="81"/>
      <c r="F2664" s="82" t="str">
        <f aca="false">IF(E2664="","",IF(LEFT(E2664,2)="DJ","DJ","JN"))</f>
        <v/>
      </c>
      <c r="G2664" s="81"/>
      <c r="H2664" s="81"/>
      <c r="I2664" s="81"/>
      <c r="J2664" s="81"/>
      <c r="K2664" s="81"/>
      <c r="L2664" s="81"/>
      <c r="M2664" s="81"/>
      <c r="N2664" s="81"/>
      <c r="O2664" s="81"/>
      <c r="P2664" s="81"/>
      <c r="Q2664" s="81"/>
      <c r="R2664" s="81"/>
      <c r="S2664" s="81"/>
      <c r="T2664" s="81"/>
      <c r="U2664" s="83"/>
      <c r="V2664" s="83"/>
      <c r="W2664" s="81"/>
      <c r="X2664" s="81"/>
      <c r="Y2664" s="83"/>
      <c r="Z2664" s="81"/>
      <c r="AA2664" s="81"/>
      <c r="AB2664" s="81"/>
      <c r="AC2664" s="81"/>
      <c r="AD2664" s="81"/>
      <c r="AE2664" s="83"/>
      <c r="AF2664" s="81"/>
      <c r="AG2664" s="81"/>
      <c r="AH2664" s="81"/>
      <c r="AI2664" s="81"/>
      <c r="AJ2664" s="83"/>
      <c r="AK2664" s="81"/>
      <c r="AL2664" s="81"/>
      <c r="AM2664" s="83"/>
      <c r="AN2664" s="80"/>
      <c r="AO2664" s="82" t="str">
        <f aca="false">IF(E2664="","",(AA2664&lt;&gt;"")+(AG2664&lt;&gt;"")+(AL2664&lt;&gt;""))</f>
        <v/>
      </c>
      <c r="AP2664" s="82" t="str">
        <f aca="false">IF(AL2664&lt;&gt;"",AL2664,IF(AG2664&lt;&gt;"",AG2664,IF(AA2664&lt;&gt;"",AA2664,"")))</f>
        <v/>
      </c>
      <c r="AQ2664" s="84" t="str">
        <f aca="false">IF(E2664="","",IF(U2664="","À SOUDER",IF(X2664="","VT EN ATTENTE",IF(X2664="R","VT REJETÉ – À REPRENDRE",IF(AP2664="","À RADIOGRAPHIER",IF(AP2664="A","ACCEPTÉ",IF(AP2664="NX","NX – RT À REFAIRE",IF(IF(AO2664=1,AD2664,IF(AO2664=2,AI2664,""))="A","RÉPARÉ – À RADIOGRAPHIER",IF(IF(AO2664=1,AD2664,IF(AO2664=2,AI2664,""))="R","VT REJETÉ – À REPRENDRE",IF(OR(AP2664="CO",AP2664="NT"),"COUPE – À RESOUDER","À RÉPARER"))))))))))</f>
        <v/>
      </c>
      <c r="AR2664" s="82" t="str">
        <f aca="false">IF(AND(ISNUMBER(U2664),OR(AQ2664="À RADIOGRAPHIER",AQ2664="RÉPARÉ – À RADIOGRAPHIER",AQ2664="NX – RT À REFAIRE",AQ2664="À RÉPARER",AQ2664="COUPE – À RESOUDER",AQ2664="VT REJETÉ – À REPRENDRE")),MAX(0,'PROGRAMME RT'!$C$4-U2664),"")</f>
        <v/>
      </c>
      <c r="AS2664" s="82" t="n">
        <f aca="false">IF(AND(OR(AQ2664="À RADIOGRAPHIER",AQ2664="RÉPARÉ – À RADIOGRAPHIER",AQ2664="NX – RT À REFAIRE"),OR('PROGRAMME RT'!$D$5="TOUTES",B2664='PROGRAMME RT'!$D$5)),1,0)</f>
        <v>0</v>
      </c>
      <c r="AT2664" s="82" t="str">
        <f aca="false">IF(AS2664=1,SUM(AS$7:AS2664),"")</f>
        <v/>
      </c>
      <c r="AU2664" s="82" t="n">
        <f aca="false">IF(AND(OR(AA2664="R",AA2664="NX",AA2664="NT",AA2664="CO"),OR('JOINTS DE RÉPARATION'!$D$5="TOUTES",B2664='JOINTS DE RÉPARATION'!$D$5),OR('JOINTS DE RÉPARATION'!$L$4="TOUS",AQ2664&lt;&gt;"ACCEPTÉ")),1,0)</f>
        <v>0</v>
      </c>
      <c r="AV2664" s="82" t="str">
        <f aca="false">IF(AU2664=1,SUM(AU$7:AU2664),"")</f>
        <v/>
      </c>
      <c r="AW2664" s="82" t="str">
        <f aca="false">IF(E2664="","",B2664&amp;"|"&amp;E2664)</f>
        <v/>
      </c>
    </row>
    <row r="2665" customFormat="false" ht="15" hidden="false" customHeight="false" outlineLevel="0" collapsed="false">
      <c r="A2665" s="79" t="str">
        <f aca="false">IF(E2665="","",ROW()-6)</f>
        <v/>
      </c>
      <c r="B2665" s="80"/>
      <c r="C2665" s="81"/>
      <c r="D2665" s="81"/>
      <c r="E2665" s="81"/>
      <c r="F2665" s="82" t="str">
        <f aca="false">IF(E2665="","",IF(LEFT(E2665,2)="DJ","DJ","JN"))</f>
        <v/>
      </c>
      <c r="G2665" s="81"/>
      <c r="H2665" s="81"/>
      <c r="I2665" s="81"/>
      <c r="J2665" s="81"/>
      <c r="K2665" s="81"/>
      <c r="L2665" s="81"/>
      <c r="M2665" s="81"/>
      <c r="N2665" s="81"/>
      <c r="O2665" s="81"/>
      <c r="P2665" s="81"/>
      <c r="Q2665" s="81"/>
      <c r="R2665" s="81"/>
      <c r="S2665" s="81"/>
      <c r="T2665" s="81"/>
      <c r="U2665" s="83"/>
      <c r="V2665" s="83"/>
      <c r="W2665" s="81"/>
      <c r="X2665" s="81"/>
      <c r="Y2665" s="83"/>
      <c r="Z2665" s="81"/>
      <c r="AA2665" s="81"/>
      <c r="AB2665" s="81"/>
      <c r="AC2665" s="81"/>
      <c r="AD2665" s="81"/>
      <c r="AE2665" s="83"/>
      <c r="AF2665" s="81"/>
      <c r="AG2665" s="81"/>
      <c r="AH2665" s="81"/>
      <c r="AI2665" s="81"/>
      <c r="AJ2665" s="83"/>
      <c r="AK2665" s="81"/>
      <c r="AL2665" s="81"/>
      <c r="AM2665" s="83"/>
      <c r="AN2665" s="80"/>
      <c r="AO2665" s="82" t="str">
        <f aca="false">IF(E2665="","",(AA2665&lt;&gt;"")+(AG2665&lt;&gt;"")+(AL2665&lt;&gt;""))</f>
        <v/>
      </c>
      <c r="AP2665" s="82" t="str">
        <f aca="false">IF(AL2665&lt;&gt;"",AL2665,IF(AG2665&lt;&gt;"",AG2665,IF(AA2665&lt;&gt;"",AA2665,"")))</f>
        <v/>
      </c>
      <c r="AQ2665" s="84" t="str">
        <f aca="false">IF(E2665="","",IF(U2665="","À SOUDER",IF(X2665="","VT EN ATTENTE",IF(X2665="R","VT REJETÉ – À REPRENDRE",IF(AP2665="","À RADIOGRAPHIER",IF(AP2665="A","ACCEPTÉ",IF(AP2665="NX","NX – RT À REFAIRE",IF(IF(AO2665=1,AD2665,IF(AO2665=2,AI2665,""))="A","RÉPARÉ – À RADIOGRAPHIER",IF(IF(AO2665=1,AD2665,IF(AO2665=2,AI2665,""))="R","VT REJETÉ – À REPRENDRE",IF(OR(AP2665="CO",AP2665="NT"),"COUPE – À RESOUDER","À RÉPARER"))))))))))</f>
        <v/>
      </c>
      <c r="AR2665" s="82" t="str">
        <f aca="false">IF(AND(ISNUMBER(U2665),OR(AQ2665="À RADIOGRAPHIER",AQ2665="RÉPARÉ – À RADIOGRAPHIER",AQ2665="NX – RT À REFAIRE",AQ2665="À RÉPARER",AQ2665="COUPE – À RESOUDER",AQ2665="VT REJETÉ – À REPRENDRE")),MAX(0,'PROGRAMME RT'!$C$4-U2665),"")</f>
        <v/>
      </c>
      <c r="AS2665" s="82" t="n">
        <f aca="false">IF(AND(OR(AQ2665="À RADIOGRAPHIER",AQ2665="RÉPARÉ – À RADIOGRAPHIER",AQ2665="NX – RT À REFAIRE"),OR('PROGRAMME RT'!$D$5="TOUTES",B2665='PROGRAMME RT'!$D$5)),1,0)</f>
        <v>0</v>
      </c>
      <c r="AT2665" s="82" t="str">
        <f aca="false">IF(AS2665=1,SUM(AS$7:AS2665),"")</f>
        <v/>
      </c>
      <c r="AU2665" s="82" t="n">
        <f aca="false">IF(AND(OR(AA2665="R",AA2665="NX",AA2665="NT",AA2665="CO"),OR('JOINTS DE RÉPARATION'!$D$5="TOUTES",B2665='JOINTS DE RÉPARATION'!$D$5),OR('JOINTS DE RÉPARATION'!$L$4="TOUS",AQ2665&lt;&gt;"ACCEPTÉ")),1,0)</f>
        <v>0</v>
      </c>
      <c r="AV2665" s="82" t="str">
        <f aca="false">IF(AU2665=1,SUM(AU$7:AU2665),"")</f>
        <v/>
      </c>
      <c r="AW2665" s="82" t="str">
        <f aca="false">IF(E2665="","",B2665&amp;"|"&amp;E2665)</f>
        <v/>
      </c>
    </row>
    <row r="2666" customFormat="false" ht="15" hidden="false" customHeight="false" outlineLevel="0" collapsed="false">
      <c r="A2666" s="79" t="str">
        <f aca="false">IF(E2666="","",ROW()-6)</f>
        <v/>
      </c>
      <c r="B2666" s="80"/>
      <c r="C2666" s="81"/>
      <c r="D2666" s="81"/>
      <c r="E2666" s="81"/>
      <c r="F2666" s="82" t="str">
        <f aca="false">IF(E2666="","",IF(LEFT(E2666,2)="DJ","DJ","JN"))</f>
        <v/>
      </c>
      <c r="G2666" s="81"/>
      <c r="H2666" s="81"/>
      <c r="I2666" s="81"/>
      <c r="J2666" s="81"/>
      <c r="K2666" s="81"/>
      <c r="L2666" s="81"/>
      <c r="M2666" s="81"/>
      <c r="N2666" s="81"/>
      <c r="O2666" s="81"/>
      <c r="P2666" s="81"/>
      <c r="Q2666" s="81"/>
      <c r="R2666" s="81"/>
      <c r="S2666" s="81"/>
      <c r="T2666" s="81"/>
      <c r="U2666" s="83"/>
      <c r="V2666" s="83"/>
      <c r="W2666" s="81"/>
      <c r="X2666" s="81"/>
      <c r="Y2666" s="83"/>
      <c r="Z2666" s="81"/>
      <c r="AA2666" s="81"/>
      <c r="AB2666" s="81"/>
      <c r="AC2666" s="81"/>
      <c r="AD2666" s="81"/>
      <c r="AE2666" s="83"/>
      <c r="AF2666" s="81"/>
      <c r="AG2666" s="81"/>
      <c r="AH2666" s="81"/>
      <c r="AI2666" s="81"/>
      <c r="AJ2666" s="83"/>
      <c r="AK2666" s="81"/>
      <c r="AL2666" s="81"/>
      <c r="AM2666" s="83"/>
      <c r="AN2666" s="80"/>
      <c r="AO2666" s="82" t="str">
        <f aca="false">IF(E2666="","",(AA2666&lt;&gt;"")+(AG2666&lt;&gt;"")+(AL2666&lt;&gt;""))</f>
        <v/>
      </c>
      <c r="AP2666" s="82" t="str">
        <f aca="false">IF(AL2666&lt;&gt;"",AL2666,IF(AG2666&lt;&gt;"",AG2666,IF(AA2666&lt;&gt;"",AA2666,"")))</f>
        <v/>
      </c>
      <c r="AQ2666" s="84" t="str">
        <f aca="false">IF(E2666="","",IF(U2666="","À SOUDER",IF(X2666="","VT EN ATTENTE",IF(X2666="R","VT REJETÉ – À REPRENDRE",IF(AP2666="","À RADIOGRAPHIER",IF(AP2666="A","ACCEPTÉ",IF(AP2666="NX","NX – RT À REFAIRE",IF(IF(AO2666=1,AD2666,IF(AO2666=2,AI2666,""))="A","RÉPARÉ – À RADIOGRAPHIER",IF(IF(AO2666=1,AD2666,IF(AO2666=2,AI2666,""))="R","VT REJETÉ – À REPRENDRE",IF(OR(AP2666="CO",AP2666="NT"),"COUPE – À RESOUDER","À RÉPARER"))))))))))</f>
        <v/>
      </c>
      <c r="AR2666" s="82" t="str">
        <f aca="false">IF(AND(ISNUMBER(U2666),OR(AQ2666="À RADIOGRAPHIER",AQ2666="RÉPARÉ – À RADIOGRAPHIER",AQ2666="NX – RT À REFAIRE",AQ2666="À RÉPARER",AQ2666="COUPE – À RESOUDER",AQ2666="VT REJETÉ – À REPRENDRE")),MAX(0,'PROGRAMME RT'!$C$4-U2666),"")</f>
        <v/>
      </c>
      <c r="AS2666" s="82" t="n">
        <f aca="false">IF(AND(OR(AQ2666="À RADIOGRAPHIER",AQ2666="RÉPARÉ – À RADIOGRAPHIER",AQ2666="NX – RT À REFAIRE"),OR('PROGRAMME RT'!$D$5="TOUTES",B2666='PROGRAMME RT'!$D$5)),1,0)</f>
        <v>0</v>
      </c>
      <c r="AT2666" s="82" t="str">
        <f aca="false">IF(AS2666=1,SUM(AS$7:AS2666),"")</f>
        <v/>
      </c>
      <c r="AU2666" s="82" t="n">
        <f aca="false">IF(AND(OR(AA2666="R",AA2666="NX",AA2666="NT",AA2666="CO"),OR('JOINTS DE RÉPARATION'!$D$5="TOUTES",B2666='JOINTS DE RÉPARATION'!$D$5),OR('JOINTS DE RÉPARATION'!$L$4="TOUS",AQ2666&lt;&gt;"ACCEPTÉ")),1,0)</f>
        <v>0</v>
      </c>
      <c r="AV2666" s="82" t="str">
        <f aca="false">IF(AU2666=1,SUM(AU$7:AU2666),"")</f>
        <v/>
      </c>
      <c r="AW2666" s="82" t="str">
        <f aca="false">IF(E2666="","",B2666&amp;"|"&amp;E2666)</f>
        <v/>
      </c>
    </row>
    <row r="2667" customFormat="false" ht="15" hidden="false" customHeight="false" outlineLevel="0" collapsed="false">
      <c r="A2667" s="79" t="str">
        <f aca="false">IF(E2667="","",ROW()-6)</f>
        <v/>
      </c>
      <c r="B2667" s="80"/>
      <c r="C2667" s="81"/>
      <c r="D2667" s="81"/>
      <c r="E2667" s="81"/>
      <c r="F2667" s="82" t="str">
        <f aca="false">IF(E2667="","",IF(LEFT(E2667,2)="DJ","DJ","JN"))</f>
        <v/>
      </c>
      <c r="G2667" s="81"/>
      <c r="H2667" s="81"/>
      <c r="I2667" s="81"/>
      <c r="J2667" s="81"/>
      <c r="K2667" s="81"/>
      <c r="L2667" s="81"/>
      <c r="M2667" s="81"/>
      <c r="N2667" s="81"/>
      <c r="O2667" s="81"/>
      <c r="P2667" s="81"/>
      <c r="Q2667" s="81"/>
      <c r="R2667" s="81"/>
      <c r="S2667" s="81"/>
      <c r="T2667" s="81"/>
      <c r="U2667" s="83"/>
      <c r="V2667" s="83"/>
      <c r="W2667" s="81"/>
      <c r="X2667" s="81"/>
      <c r="Y2667" s="83"/>
      <c r="Z2667" s="81"/>
      <c r="AA2667" s="81"/>
      <c r="AB2667" s="81"/>
      <c r="AC2667" s="81"/>
      <c r="AD2667" s="81"/>
      <c r="AE2667" s="83"/>
      <c r="AF2667" s="81"/>
      <c r="AG2667" s="81"/>
      <c r="AH2667" s="81"/>
      <c r="AI2667" s="81"/>
      <c r="AJ2667" s="83"/>
      <c r="AK2667" s="81"/>
      <c r="AL2667" s="81"/>
      <c r="AM2667" s="83"/>
      <c r="AN2667" s="80"/>
      <c r="AO2667" s="82" t="str">
        <f aca="false">IF(E2667="","",(AA2667&lt;&gt;"")+(AG2667&lt;&gt;"")+(AL2667&lt;&gt;""))</f>
        <v/>
      </c>
      <c r="AP2667" s="82" t="str">
        <f aca="false">IF(AL2667&lt;&gt;"",AL2667,IF(AG2667&lt;&gt;"",AG2667,IF(AA2667&lt;&gt;"",AA2667,"")))</f>
        <v/>
      </c>
      <c r="AQ2667" s="84" t="str">
        <f aca="false">IF(E2667="","",IF(U2667="","À SOUDER",IF(X2667="","VT EN ATTENTE",IF(X2667="R","VT REJETÉ – À REPRENDRE",IF(AP2667="","À RADIOGRAPHIER",IF(AP2667="A","ACCEPTÉ",IF(AP2667="NX","NX – RT À REFAIRE",IF(IF(AO2667=1,AD2667,IF(AO2667=2,AI2667,""))="A","RÉPARÉ – À RADIOGRAPHIER",IF(IF(AO2667=1,AD2667,IF(AO2667=2,AI2667,""))="R","VT REJETÉ – À REPRENDRE",IF(OR(AP2667="CO",AP2667="NT"),"COUPE – À RESOUDER","À RÉPARER"))))))))))</f>
        <v/>
      </c>
      <c r="AR2667" s="82" t="str">
        <f aca="false">IF(AND(ISNUMBER(U2667),OR(AQ2667="À RADIOGRAPHIER",AQ2667="RÉPARÉ – À RADIOGRAPHIER",AQ2667="NX – RT À REFAIRE",AQ2667="À RÉPARER",AQ2667="COUPE – À RESOUDER",AQ2667="VT REJETÉ – À REPRENDRE")),MAX(0,'PROGRAMME RT'!$C$4-U2667),"")</f>
        <v/>
      </c>
      <c r="AS2667" s="82" t="n">
        <f aca="false">IF(AND(OR(AQ2667="À RADIOGRAPHIER",AQ2667="RÉPARÉ – À RADIOGRAPHIER",AQ2667="NX – RT À REFAIRE"),OR('PROGRAMME RT'!$D$5="TOUTES",B2667='PROGRAMME RT'!$D$5)),1,0)</f>
        <v>0</v>
      </c>
      <c r="AT2667" s="82" t="str">
        <f aca="false">IF(AS2667=1,SUM(AS$7:AS2667),"")</f>
        <v/>
      </c>
      <c r="AU2667" s="82" t="n">
        <f aca="false">IF(AND(OR(AA2667="R",AA2667="NX",AA2667="NT",AA2667="CO"),OR('JOINTS DE RÉPARATION'!$D$5="TOUTES",B2667='JOINTS DE RÉPARATION'!$D$5),OR('JOINTS DE RÉPARATION'!$L$4="TOUS",AQ2667&lt;&gt;"ACCEPTÉ")),1,0)</f>
        <v>0</v>
      </c>
      <c r="AV2667" s="82" t="str">
        <f aca="false">IF(AU2667=1,SUM(AU$7:AU2667),"")</f>
        <v/>
      </c>
      <c r="AW2667" s="82" t="str">
        <f aca="false">IF(E2667="","",B2667&amp;"|"&amp;E2667)</f>
        <v/>
      </c>
    </row>
    <row r="2668" customFormat="false" ht="15" hidden="false" customHeight="false" outlineLevel="0" collapsed="false">
      <c r="A2668" s="79" t="str">
        <f aca="false">IF(E2668="","",ROW()-6)</f>
        <v/>
      </c>
      <c r="B2668" s="80"/>
      <c r="C2668" s="81"/>
      <c r="D2668" s="81"/>
      <c r="E2668" s="81"/>
      <c r="F2668" s="82" t="str">
        <f aca="false">IF(E2668="","",IF(LEFT(E2668,2)="DJ","DJ","JN"))</f>
        <v/>
      </c>
      <c r="G2668" s="81"/>
      <c r="H2668" s="81"/>
      <c r="I2668" s="81"/>
      <c r="J2668" s="81"/>
      <c r="K2668" s="81"/>
      <c r="L2668" s="81"/>
      <c r="M2668" s="81"/>
      <c r="N2668" s="81"/>
      <c r="O2668" s="81"/>
      <c r="P2668" s="81"/>
      <c r="Q2668" s="81"/>
      <c r="R2668" s="81"/>
      <c r="S2668" s="81"/>
      <c r="T2668" s="81"/>
      <c r="U2668" s="83"/>
      <c r="V2668" s="83"/>
      <c r="W2668" s="81"/>
      <c r="X2668" s="81"/>
      <c r="Y2668" s="83"/>
      <c r="Z2668" s="81"/>
      <c r="AA2668" s="81"/>
      <c r="AB2668" s="81"/>
      <c r="AC2668" s="81"/>
      <c r="AD2668" s="81"/>
      <c r="AE2668" s="83"/>
      <c r="AF2668" s="81"/>
      <c r="AG2668" s="81"/>
      <c r="AH2668" s="81"/>
      <c r="AI2668" s="81"/>
      <c r="AJ2668" s="83"/>
      <c r="AK2668" s="81"/>
      <c r="AL2668" s="81"/>
      <c r="AM2668" s="83"/>
      <c r="AN2668" s="80"/>
      <c r="AO2668" s="82" t="str">
        <f aca="false">IF(E2668="","",(AA2668&lt;&gt;"")+(AG2668&lt;&gt;"")+(AL2668&lt;&gt;""))</f>
        <v/>
      </c>
      <c r="AP2668" s="82" t="str">
        <f aca="false">IF(AL2668&lt;&gt;"",AL2668,IF(AG2668&lt;&gt;"",AG2668,IF(AA2668&lt;&gt;"",AA2668,"")))</f>
        <v/>
      </c>
      <c r="AQ2668" s="84" t="str">
        <f aca="false">IF(E2668="","",IF(U2668="","À SOUDER",IF(X2668="","VT EN ATTENTE",IF(X2668="R","VT REJETÉ – À REPRENDRE",IF(AP2668="","À RADIOGRAPHIER",IF(AP2668="A","ACCEPTÉ",IF(AP2668="NX","NX – RT À REFAIRE",IF(IF(AO2668=1,AD2668,IF(AO2668=2,AI2668,""))="A","RÉPARÉ – À RADIOGRAPHIER",IF(IF(AO2668=1,AD2668,IF(AO2668=2,AI2668,""))="R","VT REJETÉ – À REPRENDRE",IF(OR(AP2668="CO",AP2668="NT"),"COUPE – À RESOUDER","À RÉPARER"))))))))))</f>
        <v/>
      </c>
      <c r="AR2668" s="82" t="str">
        <f aca="false">IF(AND(ISNUMBER(U2668),OR(AQ2668="À RADIOGRAPHIER",AQ2668="RÉPARÉ – À RADIOGRAPHIER",AQ2668="NX – RT À REFAIRE",AQ2668="À RÉPARER",AQ2668="COUPE – À RESOUDER",AQ2668="VT REJETÉ – À REPRENDRE")),MAX(0,'PROGRAMME RT'!$C$4-U2668),"")</f>
        <v/>
      </c>
      <c r="AS2668" s="82" t="n">
        <f aca="false">IF(AND(OR(AQ2668="À RADIOGRAPHIER",AQ2668="RÉPARÉ – À RADIOGRAPHIER",AQ2668="NX – RT À REFAIRE"),OR('PROGRAMME RT'!$D$5="TOUTES",B2668='PROGRAMME RT'!$D$5)),1,0)</f>
        <v>0</v>
      </c>
      <c r="AT2668" s="82" t="str">
        <f aca="false">IF(AS2668=1,SUM(AS$7:AS2668),"")</f>
        <v/>
      </c>
      <c r="AU2668" s="82" t="n">
        <f aca="false">IF(AND(OR(AA2668="R",AA2668="NX",AA2668="NT",AA2668="CO"),OR('JOINTS DE RÉPARATION'!$D$5="TOUTES",B2668='JOINTS DE RÉPARATION'!$D$5),OR('JOINTS DE RÉPARATION'!$L$4="TOUS",AQ2668&lt;&gt;"ACCEPTÉ")),1,0)</f>
        <v>0</v>
      </c>
      <c r="AV2668" s="82" t="str">
        <f aca="false">IF(AU2668=1,SUM(AU$7:AU2668),"")</f>
        <v/>
      </c>
      <c r="AW2668" s="82" t="str">
        <f aca="false">IF(E2668="","",B2668&amp;"|"&amp;E2668)</f>
        <v/>
      </c>
    </row>
    <row r="2669" customFormat="false" ht="15" hidden="false" customHeight="false" outlineLevel="0" collapsed="false">
      <c r="A2669" s="79" t="str">
        <f aca="false">IF(E2669="","",ROW()-6)</f>
        <v/>
      </c>
      <c r="B2669" s="80"/>
      <c r="C2669" s="81"/>
      <c r="D2669" s="81"/>
      <c r="E2669" s="81"/>
      <c r="F2669" s="82" t="str">
        <f aca="false">IF(E2669="","",IF(LEFT(E2669,2)="DJ","DJ","JN"))</f>
        <v/>
      </c>
      <c r="G2669" s="81"/>
      <c r="H2669" s="81"/>
      <c r="I2669" s="81"/>
      <c r="J2669" s="81"/>
      <c r="K2669" s="81"/>
      <c r="L2669" s="81"/>
      <c r="M2669" s="81"/>
      <c r="N2669" s="81"/>
      <c r="O2669" s="81"/>
      <c r="P2669" s="81"/>
      <c r="Q2669" s="81"/>
      <c r="R2669" s="81"/>
      <c r="S2669" s="81"/>
      <c r="T2669" s="81"/>
      <c r="U2669" s="83"/>
      <c r="V2669" s="83"/>
      <c r="W2669" s="81"/>
      <c r="X2669" s="81"/>
      <c r="Y2669" s="83"/>
      <c r="Z2669" s="81"/>
      <c r="AA2669" s="81"/>
      <c r="AB2669" s="81"/>
      <c r="AC2669" s="81"/>
      <c r="AD2669" s="81"/>
      <c r="AE2669" s="83"/>
      <c r="AF2669" s="81"/>
      <c r="AG2669" s="81"/>
      <c r="AH2669" s="81"/>
      <c r="AI2669" s="81"/>
      <c r="AJ2669" s="83"/>
      <c r="AK2669" s="81"/>
      <c r="AL2669" s="81"/>
      <c r="AM2669" s="83"/>
      <c r="AN2669" s="80"/>
      <c r="AO2669" s="82" t="str">
        <f aca="false">IF(E2669="","",(AA2669&lt;&gt;"")+(AG2669&lt;&gt;"")+(AL2669&lt;&gt;""))</f>
        <v/>
      </c>
      <c r="AP2669" s="82" t="str">
        <f aca="false">IF(AL2669&lt;&gt;"",AL2669,IF(AG2669&lt;&gt;"",AG2669,IF(AA2669&lt;&gt;"",AA2669,"")))</f>
        <v/>
      </c>
      <c r="AQ2669" s="84" t="str">
        <f aca="false">IF(E2669="","",IF(U2669="","À SOUDER",IF(X2669="","VT EN ATTENTE",IF(X2669="R","VT REJETÉ – À REPRENDRE",IF(AP2669="","À RADIOGRAPHIER",IF(AP2669="A","ACCEPTÉ",IF(AP2669="NX","NX – RT À REFAIRE",IF(IF(AO2669=1,AD2669,IF(AO2669=2,AI2669,""))="A","RÉPARÉ – À RADIOGRAPHIER",IF(IF(AO2669=1,AD2669,IF(AO2669=2,AI2669,""))="R","VT REJETÉ – À REPRENDRE",IF(OR(AP2669="CO",AP2669="NT"),"COUPE – À RESOUDER","À RÉPARER"))))))))))</f>
        <v/>
      </c>
      <c r="AR2669" s="82" t="str">
        <f aca="false">IF(AND(ISNUMBER(U2669),OR(AQ2669="À RADIOGRAPHIER",AQ2669="RÉPARÉ – À RADIOGRAPHIER",AQ2669="NX – RT À REFAIRE",AQ2669="À RÉPARER",AQ2669="COUPE – À RESOUDER",AQ2669="VT REJETÉ – À REPRENDRE")),MAX(0,'PROGRAMME RT'!$C$4-U2669),"")</f>
        <v/>
      </c>
      <c r="AS2669" s="82" t="n">
        <f aca="false">IF(AND(OR(AQ2669="À RADIOGRAPHIER",AQ2669="RÉPARÉ – À RADIOGRAPHIER",AQ2669="NX – RT À REFAIRE"),OR('PROGRAMME RT'!$D$5="TOUTES",B2669='PROGRAMME RT'!$D$5)),1,0)</f>
        <v>0</v>
      </c>
      <c r="AT2669" s="82" t="str">
        <f aca="false">IF(AS2669=1,SUM(AS$7:AS2669),"")</f>
        <v/>
      </c>
      <c r="AU2669" s="82" t="n">
        <f aca="false">IF(AND(OR(AA2669="R",AA2669="NX",AA2669="NT",AA2669="CO"),OR('JOINTS DE RÉPARATION'!$D$5="TOUTES",B2669='JOINTS DE RÉPARATION'!$D$5),OR('JOINTS DE RÉPARATION'!$L$4="TOUS",AQ2669&lt;&gt;"ACCEPTÉ")),1,0)</f>
        <v>0</v>
      </c>
      <c r="AV2669" s="82" t="str">
        <f aca="false">IF(AU2669=1,SUM(AU$7:AU2669),"")</f>
        <v/>
      </c>
      <c r="AW2669" s="82" t="str">
        <f aca="false">IF(E2669="","",B2669&amp;"|"&amp;E2669)</f>
        <v/>
      </c>
    </row>
    <row r="2670" customFormat="false" ht="15" hidden="false" customHeight="false" outlineLevel="0" collapsed="false">
      <c r="A2670" s="79" t="str">
        <f aca="false">IF(E2670="","",ROW()-6)</f>
        <v/>
      </c>
      <c r="B2670" s="80"/>
      <c r="C2670" s="81"/>
      <c r="D2670" s="81"/>
      <c r="E2670" s="81"/>
      <c r="F2670" s="82" t="str">
        <f aca="false">IF(E2670="","",IF(LEFT(E2670,2)="DJ","DJ","JN"))</f>
        <v/>
      </c>
      <c r="G2670" s="81"/>
      <c r="H2670" s="81"/>
      <c r="I2670" s="81"/>
      <c r="J2670" s="81"/>
      <c r="K2670" s="81"/>
      <c r="L2670" s="81"/>
      <c r="M2670" s="81"/>
      <c r="N2670" s="81"/>
      <c r="O2670" s="81"/>
      <c r="P2670" s="81"/>
      <c r="Q2670" s="81"/>
      <c r="R2670" s="81"/>
      <c r="S2670" s="81"/>
      <c r="T2670" s="81"/>
      <c r="U2670" s="83"/>
      <c r="V2670" s="83"/>
      <c r="W2670" s="81"/>
      <c r="X2670" s="81"/>
      <c r="Y2670" s="83"/>
      <c r="Z2670" s="81"/>
      <c r="AA2670" s="81"/>
      <c r="AB2670" s="81"/>
      <c r="AC2670" s="81"/>
      <c r="AD2670" s="81"/>
      <c r="AE2670" s="83"/>
      <c r="AF2670" s="81"/>
      <c r="AG2670" s="81"/>
      <c r="AH2670" s="81"/>
      <c r="AI2670" s="81"/>
      <c r="AJ2670" s="83"/>
      <c r="AK2670" s="81"/>
      <c r="AL2670" s="81"/>
      <c r="AM2670" s="83"/>
      <c r="AN2670" s="80"/>
      <c r="AO2670" s="82" t="str">
        <f aca="false">IF(E2670="","",(AA2670&lt;&gt;"")+(AG2670&lt;&gt;"")+(AL2670&lt;&gt;""))</f>
        <v/>
      </c>
      <c r="AP2670" s="82" t="str">
        <f aca="false">IF(AL2670&lt;&gt;"",AL2670,IF(AG2670&lt;&gt;"",AG2670,IF(AA2670&lt;&gt;"",AA2670,"")))</f>
        <v/>
      </c>
      <c r="AQ2670" s="84" t="str">
        <f aca="false">IF(E2670="","",IF(U2670="","À SOUDER",IF(X2670="","VT EN ATTENTE",IF(X2670="R","VT REJETÉ – À REPRENDRE",IF(AP2670="","À RADIOGRAPHIER",IF(AP2670="A","ACCEPTÉ",IF(AP2670="NX","NX – RT À REFAIRE",IF(IF(AO2670=1,AD2670,IF(AO2670=2,AI2670,""))="A","RÉPARÉ – À RADIOGRAPHIER",IF(IF(AO2670=1,AD2670,IF(AO2670=2,AI2670,""))="R","VT REJETÉ – À REPRENDRE",IF(OR(AP2670="CO",AP2670="NT"),"COUPE – À RESOUDER","À RÉPARER"))))))))))</f>
        <v/>
      </c>
      <c r="AR2670" s="82" t="str">
        <f aca="false">IF(AND(ISNUMBER(U2670),OR(AQ2670="À RADIOGRAPHIER",AQ2670="RÉPARÉ – À RADIOGRAPHIER",AQ2670="NX – RT À REFAIRE",AQ2670="À RÉPARER",AQ2670="COUPE – À RESOUDER",AQ2670="VT REJETÉ – À REPRENDRE")),MAX(0,'PROGRAMME RT'!$C$4-U2670),"")</f>
        <v/>
      </c>
      <c r="AS2670" s="82" t="n">
        <f aca="false">IF(AND(OR(AQ2670="À RADIOGRAPHIER",AQ2670="RÉPARÉ – À RADIOGRAPHIER",AQ2670="NX – RT À REFAIRE"),OR('PROGRAMME RT'!$D$5="TOUTES",B2670='PROGRAMME RT'!$D$5)),1,0)</f>
        <v>0</v>
      </c>
      <c r="AT2670" s="82" t="str">
        <f aca="false">IF(AS2670=1,SUM(AS$7:AS2670),"")</f>
        <v/>
      </c>
      <c r="AU2670" s="82" t="n">
        <f aca="false">IF(AND(OR(AA2670="R",AA2670="NX",AA2670="NT",AA2670="CO"),OR('JOINTS DE RÉPARATION'!$D$5="TOUTES",B2670='JOINTS DE RÉPARATION'!$D$5),OR('JOINTS DE RÉPARATION'!$L$4="TOUS",AQ2670&lt;&gt;"ACCEPTÉ")),1,0)</f>
        <v>0</v>
      </c>
      <c r="AV2670" s="82" t="str">
        <f aca="false">IF(AU2670=1,SUM(AU$7:AU2670),"")</f>
        <v/>
      </c>
      <c r="AW2670" s="82" t="str">
        <f aca="false">IF(E2670="","",B2670&amp;"|"&amp;E2670)</f>
        <v/>
      </c>
    </row>
    <row r="2671" customFormat="false" ht="15" hidden="false" customHeight="false" outlineLevel="0" collapsed="false">
      <c r="A2671" s="79" t="str">
        <f aca="false">IF(E2671="","",ROW()-6)</f>
        <v/>
      </c>
      <c r="B2671" s="80"/>
      <c r="C2671" s="81"/>
      <c r="D2671" s="81"/>
      <c r="E2671" s="81"/>
      <c r="F2671" s="82" t="str">
        <f aca="false">IF(E2671="","",IF(LEFT(E2671,2)="DJ","DJ","JN"))</f>
        <v/>
      </c>
      <c r="G2671" s="81"/>
      <c r="H2671" s="81"/>
      <c r="I2671" s="81"/>
      <c r="J2671" s="81"/>
      <c r="K2671" s="81"/>
      <c r="L2671" s="81"/>
      <c r="M2671" s="81"/>
      <c r="N2671" s="81"/>
      <c r="O2671" s="81"/>
      <c r="P2671" s="81"/>
      <c r="Q2671" s="81"/>
      <c r="R2671" s="81"/>
      <c r="S2671" s="81"/>
      <c r="T2671" s="81"/>
      <c r="U2671" s="83"/>
      <c r="V2671" s="83"/>
      <c r="W2671" s="81"/>
      <c r="X2671" s="81"/>
      <c r="Y2671" s="83"/>
      <c r="Z2671" s="81"/>
      <c r="AA2671" s="81"/>
      <c r="AB2671" s="81"/>
      <c r="AC2671" s="81"/>
      <c r="AD2671" s="81"/>
      <c r="AE2671" s="83"/>
      <c r="AF2671" s="81"/>
      <c r="AG2671" s="81"/>
      <c r="AH2671" s="81"/>
      <c r="AI2671" s="81"/>
      <c r="AJ2671" s="83"/>
      <c r="AK2671" s="81"/>
      <c r="AL2671" s="81"/>
      <c r="AM2671" s="83"/>
      <c r="AN2671" s="80"/>
      <c r="AO2671" s="82" t="str">
        <f aca="false">IF(E2671="","",(AA2671&lt;&gt;"")+(AG2671&lt;&gt;"")+(AL2671&lt;&gt;""))</f>
        <v/>
      </c>
      <c r="AP2671" s="82" t="str">
        <f aca="false">IF(AL2671&lt;&gt;"",AL2671,IF(AG2671&lt;&gt;"",AG2671,IF(AA2671&lt;&gt;"",AA2671,"")))</f>
        <v/>
      </c>
      <c r="AQ2671" s="84" t="str">
        <f aca="false">IF(E2671="","",IF(U2671="","À SOUDER",IF(X2671="","VT EN ATTENTE",IF(X2671="R","VT REJETÉ – À REPRENDRE",IF(AP2671="","À RADIOGRAPHIER",IF(AP2671="A","ACCEPTÉ",IF(AP2671="NX","NX – RT À REFAIRE",IF(IF(AO2671=1,AD2671,IF(AO2671=2,AI2671,""))="A","RÉPARÉ – À RADIOGRAPHIER",IF(IF(AO2671=1,AD2671,IF(AO2671=2,AI2671,""))="R","VT REJETÉ – À REPRENDRE",IF(OR(AP2671="CO",AP2671="NT"),"COUPE – À RESOUDER","À RÉPARER"))))))))))</f>
        <v/>
      </c>
      <c r="AR2671" s="82" t="str">
        <f aca="false">IF(AND(ISNUMBER(U2671),OR(AQ2671="À RADIOGRAPHIER",AQ2671="RÉPARÉ – À RADIOGRAPHIER",AQ2671="NX – RT À REFAIRE",AQ2671="À RÉPARER",AQ2671="COUPE – À RESOUDER",AQ2671="VT REJETÉ – À REPRENDRE")),MAX(0,'PROGRAMME RT'!$C$4-U2671),"")</f>
        <v/>
      </c>
      <c r="AS2671" s="82" t="n">
        <f aca="false">IF(AND(OR(AQ2671="À RADIOGRAPHIER",AQ2671="RÉPARÉ – À RADIOGRAPHIER",AQ2671="NX – RT À REFAIRE"),OR('PROGRAMME RT'!$D$5="TOUTES",B2671='PROGRAMME RT'!$D$5)),1,0)</f>
        <v>0</v>
      </c>
      <c r="AT2671" s="82" t="str">
        <f aca="false">IF(AS2671=1,SUM(AS$7:AS2671),"")</f>
        <v/>
      </c>
      <c r="AU2671" s="82" t="n">
        <f aca="false">IF(AND(OR(AA2671="R",AA2671="NX",AA2671="NT",AA2671="CO"),OR('JOINTS DE RÉPARATION'!$D$5="TOUTES",B2671='JOINTS DE RÉPARATION'!$D$5),OR('JOINTS DE RÉPARATION'!$L$4="TOUS",AQ2671&lt;&gt;"ACCEPTÉ")),1,0)</f>
        <v>0</v>
      </c>
      <c r="AV2671" s="82" t="str">
        <f aca="false">IF(AU2671=1,SUM(AU$7:AU2671),"")</f>
        <v/>
      </c>
      <c r="AW2671" s="82" t="str">
        <f aca="false">IF(E2671="","",B2671&amp;"|"&amp;E2671)</f>
        <v/>
      </c>
    </row>
    <row r="2672" customFormat="false" ht="15" hidden="false" customHeight="false" outlineLevel="0" collapsed="false">
      <c r="A2672" s="79" t="str">
        <f aca="false">IF(E2672="","",ROW()-6)</f>
        <v/>
      </c>
      <c r="B2672" s="80"/>
      <c r="C2672" s="81"/>
      <c r="D2672" s="81"/>
      <c r="E2672" s="81"/>
      <c r="F2672" s="82" t="str">
        <f aca="false">IF(E2672="","",IF(LEFT(E2672,2)="DJ","DJ","JN"))</f>
        <v/>
      </c>
      <c r="G2672" s="81"/>
      <c r="H2672" s="81"/>
      <c r="I2672" s="81"/>
      <c r="J2672" s="81"/>
      <c r="K2672" s="81"/>
      <c r="L2672" s="81"/>
      <c r="M2672" s="81"/>
      <c r="N2672" s="81"/>
      <c r="O2672" s="81"/>
      <c r="P2672" s="81"/>
      <c r="Q2672" s="81"/>
      <c r="R2672" s="81"/>
      <c r="S2672" s="81"/>
      <c r="T2672" s="81"/>
      <c r="U2672" s="83"/>
      <c r="V2672" s="83"/>
      <c r="W2672" s="81"/>
      <c r="X2672" s="81"/>
      <c r="Y2672" s="83"/>
      <c r="Z2672" s="81"/>
      <c r="AA2672" s="81"/>
      <c r="AB2672" s="81"/>
      <c r="AC2672" s="81"/>
      <c r="AD2672" s="81"/>
      <c r="AE2672" s="83"/>
      <c r="AF2672" s="81"/>
      <c r="AG2672" s="81"/>
      <c r="AH2672" s="81"/>
      <c r="AI2672" s="81"/>
      <c r="AJ2672" s="83"/>
      <c r="AK2672" s="81"/>
      <c r="AL2672" s="81"/>
      <c r="AM2672" s="83"/>
      <c r="AN2672" s="80"/>
      <c r="AO2672" s="82" t="str">
        <f aca="false">IF(E2672="","",(AA2672&lt;&gt;"")+(AG2672&lt;&gt;"")+(AL2672&lt;&gt;""))</f>
        <v/>
      </c>
      <c r="AP2672" s="82" t="str">
        <f aca="false">IF(AL2672&lt;&gt;"",AL2672,IF(AG2672&lt;&gt;"",AG2672,IF(AA2672&lt;&gt;"",AA2672,"")))</f>
        <v/>
      </c>
      <c r="AQ2672" s="84" t="str">
        <f aca="false">IF(E2672="","",IF(U2672="","À SOUDER",IF(X2672="","VT EN ATTENTE",IF(X2672="R","VT REJETÉ – À REPRENDRE",IF(AP2672="","À RADIOGRAPHIER",IF(AP2672="A","ACCEPTÉ",IF(AP2672="NX","NX – RT À REFAIRE",IF(IF(AO2672=1,AD2672,IF(AO2672=2,AI2672,""))="A","RÉPARÉ – À RADIOGRAPHIER",IF(IF(AO2672=1,AD2672,IF(AO2672=2,AI2672,""))="R","VT REJETÉ – À REPRENDRE",IF(OR(AP2672="CO",AP2672="NT"),"COUPE – À RESOUDER","À RÉPARER"))))))))))</f>
        <v/>
      </c>
      <c r="AR2672" s="82" t="str">
        <f aca="false">IF(AND(ISNUMBER(U2672),OR(AQ2672="À RADIOGRAPHIER",AQ2672="RÉPARÉ – À RADIOGRAPHIER",AQ2672="NX – RT À REFAIRE",AQ2672="À RÉPARER",AQ2672="COUPE – À RESOUDER",AQ2672="VT REJETÉ – À REPRENDRE")),MAX(0,'PROGRAMME RT'!$C$4-U2672),"")</f>
        <v/>
      </c>
      <c r="AS2672" s="82" t="n">
        <f aca="false">IF(AND(OR(AQ2672="À RADIOGRAPHIER",AQ2672="RÉPARÉ – À RADIOGRAPHIER",AQ2672="NX – RT À REFAIRE"),OR('PROGRAMME RT'!$D$5="TOUTES",B2672='PROGRAMME RT'!$D$5)),1,0)</f>
        <v>0</v>
      </c>
      <c r="AT2672" s="82" t="str">
        <f aca="false">IF(AS2672=1,SUM(AS$7:AS2672),"")</f>
        <v/>
      </c>
      <c r="AU2672" s="82" t="n">
        <f aca="false">IF(AND(OR(AA2672="R",AA2672="NX",AA2672="NT",AA2672="CO"),OR('JOINTS DE RÉPARATION'!$D$5="TOUTES",B2672='JOINTS DE RÉPARATION'!$D$5),OR('JOINTS DE RÉPARATION'!$L$4="TOUS",AQ2672&lt;&gt;"ACCEPTÉ")),1,0)</f>
        <v>0</v>
      </c>
      <c r="AV2672" s="82" t="str">
        <f aca="false">IF(AU2672=1,SUM(AU$7:AU2672),"")</f>
        <v/>
      </c>
      <c r="AW2672" s="82" t="str">
        <f aca="false">IF(E2672="","",B2672&amp;"|"&amp;E2672)</f>
        <v/>
      </c>
    </row>
    <row r="2673" customFormat="false" ht="15" hidden="false" customHeight="false" outlineLevel="0" collapsed="false">
      <c r="A2673" s="79" t="str">
        <f aca="false">IF(E2673="","",ROW()-6)</f>
        <v/>
      </c>
      <c r="B2673" s="80"/>
      <c r="C2673" s="81"/>
      <c r="D2673" s="81"/>
      <c r="E2673" s="81"/>
      <c r="F2673" s="82" t="str">
        <f aca="false">IF(E2673="","",IF(LEFT(E2673,2)="DJ","DJ","JN"))</f>
        <v/>
      </c>
      <c r="G2673" s="81"/>
      <c r="H2673" s="81"/>
      <c r="I2673" s="81"/>
      <c r="J2673" s="81"/>
      <c r="K2673" s="81"/>
      <c r="L2673" s="81"/>
      <c r="M2673" s="81"/>
      <c r="N2673" s="81"/>
      <c r="O2673" s="81"/>
      <c r="P2673" s="81"/>
      <c r="Q2673" s="81"/>
      <c r="R2673" s="81"/>
      <c r="S2673" s="81"/>
      <c r="T2673" s="81"/>
      <c r="U2673" s="83"/>
      <c r="V2673" s="83"/>
      <c r="W2673" s="81"/>
      <c r="X2673" s="81"/>
      <c r="Y2673" s="83"/>
      <c r="Z2673" s="81"/>
      <c r="AA2673" s="81"/>
      <c r="AB2673" s="81"/>
      <c r="AC2673" s="81"/>
      <c r="AD2673" s="81"/>
      <c r="AE2673" s="83"/>
      <c r="AF2673" s="81"/>
      <c r="AG2673" s="81"/>
      <c r="AH2673" s="81"/>
      <c r="AI2673" s="81"/>
      <c r="AJ2673" s="83"/>
      <c r="AK2673" s="81"/>
      <c r="AL2673" s="81"/>
      <c r="AM2673" s="83"/>
      <c r="AN2673" s="80"/>
      <c r="AO2673" s="82" t="str">
        <f aca="false">IF(E2673="","",(AA2673&lt;&gt;"")+(AG2673&lt;&gt;"")+(AL2673&lt;&gt;""))</f>
        <v/>
      </c>
      <c r="AP2673" s="82" t="str">
        <f aca="false">IF(AL2673&lt;&gt;"",AL2673,IF(AG2673&lt;&gt;"",AG2673,IF(AA2673&lt;&gt;"",AA2673,"")))</f>
        <v/>
      </c>
      <c r="AQ2673" s="84" t="str">
        <f aca="false">IF(E2673="","",IF(U2673="","À SOUDER",IF(X2673="","VT EN ATTENTE",IF(X2673="R","VT REJETÉ – À REPRENDRE",IF(AP2673="","À RADIOGRAPHIER",IF(AP2673="A","ACCEPTÉ",IF(AP2673="NX","NX – RT À REFAIRE",IF(IF(AO2673=1,AD2673,IF(AO2673=2,AI2673,""))="A","RÉPARÉ – À RADIOGRAPHIER",IF(IF(AO2673=1,AD2673,IF(AO2673=2,AI2673,""))="R","VT REJETÉ – À REPRENDRE",IF(OR(AP2673="CO",AP2673="NT"),"COUPE – À RESOUDER","À RÉPARER"))))))))))</f>
        <v/>
      </c>
      <c r="AR2673" s="82" t="str">
        <f aca="false">IF(AND(ISNUMBER(U2673),OR(AQ2673="À RADIOGRAPHIER",AQ2673="RÉPARÉ – À RADIOGRAPHIER",AQ2673="NX – RT À REFAIRE",AQ2673="À RÉPARER",AQ2673="COUPE – À RESOUDER",AQ2673="VT REJETÉ – À REPRENDRE")),MAX(0,'PROGRAMME RT'!$C$4-U2673),"")</f>
        <v/>
      </c>
      <c r="AS2673" s="82" t="n">
        <f aca="false">IF(AND(OR(AQ2673="À RADIOGRAPHIER",AQ2673="RÉPARÉ – À RADIOGRAPHIER",AQ2673="NX – RT À REFAIRE"),OR('PROGRAMME RT'!$D$5="TOUTES",B2673='PROGRAMME RT'!$D$5)),1,0)</f>
        <v>0</v>
      </c>
      <c r="AT2673" s="82" t="str">
        <f aca="false">IF(AS2673=1,SUM(AS$7:AS2673),"")</f>
        <v/>
      </c>
      <c r="AU2673" s="82" t="n">
        <f aca="false">IF(AND(OR(AA2673="R",AA2673="NX",AA2673="NT",AA2673="CO"),OR('JOINTS DE RÉPARATION'!$D$5="TOUTES",B2673='JOINTS DE RÉPARATION'!$D$5),OR('JOINTS DE RÉPARATION'!$L$4="TOUS",AQ2673&lt;&gt;"ACCEPTÉ")),1,0)</f>
        <v>0</v>
      </c>
      <c r="AV2673" s="82" t="str">
        <f aca="false">IF(AU2673=1,SUM(AU$7:AU2673),"")</f>
        <v/>
      </c>
      <c r="AW2673" s="82" t="str">
        <f aca="false">IF(E2673="","",B2673&amp;"|"&amp;E2673)</f>
        <v/>
      </c>
    </row>
    <row r="2674" customFormat="false" ht="15" hidden="false" customHeight="false" outlineLevel="0" collapsed="false">
      <c r="A2674" s="79" t="str">
        <f aca="false">IF(E2674="","",ROW()-6)</f>
        <v/>
      </c>
      <c r="B2674" s="80"/>
      <c r="C2674" s="81"/>
      <c r="D2674" s="81"/>
      <c r="E2674" s="81"/>
      <c r="F2674" s="82" t="str">
        <f aca="false">IF(E2674="","",IF(LEFT(E2674,2)="DJ","DJ","JN"))</f>
        <v/>
      </c>
      <c r="G2674" s="81"/>
      <c r="H2674" s="81"/>
      <c r="I2674" s="81"/>
      <c r="J2674" s="81"/>
      <c r="K2674" s="81"/>
      <c r="L2674" s="81"/>
      <c r="M2674" s="81"/>
      <c r="N2674" s="81"/>
      <c r="O2674" s="81"/>
      <c r="P2674" s="81"/>
      <c r="Q2674" s="81"/>
      <c r="R2674" s="81"/>
      <c r="S2674" s="81"/>
      <c r="T2674" s="81"/>
      <c r="U2674" s="83"/>
      <c r="V2674" s="83"/>
      <c r="W2674" s="81"/>
      <c r="X2674" s="81"/>
      <c r="Y2674" s="83"/>
      <c r="Z2674" s="81"/>
      <c r="AA2674" s="81"/>
      <c r="AB2674" s="81"/>
      <c r="AC2674" s="81"/>
      <c r="AD2674" s="81"/>
      <c r="AE2674" s="83"/>
      <c r="AF2674" s="81"/>
      <c r="AG2674" s="81"/>
      <c r="AH2674" s="81"/>
      <c r="AI2674" s="81"/>
      <c r="AJ2674" s="83"/>
      <c r="AK2674" s="81"/>
      <c r="AL2674" s="81"/>
      <c r="AM2674" s="83"/>
      <c r="AN2674" s="80"/>
      <c r="AO2674" s="82" t="str">
        <f aca="false">IF(E2674="","",(AA2674&lt;&gt;"")+(AG2674&lt;&gt;"")+(AL2674&lt;&gt;""))</f>
        <v/>
      </c>
      <c r="AP2674" s="82" t="str">
        <f aca="false">IF(AL2674&lt;&gt;"",AL2674,IF(AG2674&lt;&gt;"",AG2674,IF(AA2674&lt;&gt;"",AA2674,"")))</f>
        <v/>
      </c>
      <c r="AQ2674" s="84" t="str">
        <f aca="false">IF(E2674="","",IF(U2674="","À SOUDER",IF(X2674="","VT EN ATTENTE",IF(X2674="R","VT REJETÉ – À REPRENDRE",IF(AP2674="","À RADIOGRAPHIER",IF(AP2674="A","ACCEPTÉ",IF(AP2674="NX","NX – RT À REFAIRE",IF(IF(AO2674=1,AD2674,IF(AO2674=2,AI2674,""))="A","RÉPARÉ – À RADIOGRAPHIER",IF(IF(AO2674=1,AD2674,IF(AO2674=2,AI2674,""))="R","VT REJETÉ – À REPRENDRE",IF(OR(AP2674="CO",AP2674="NT"),"COUPE – À RESOUDER","À RÉPARER"))))))))))</f>
        <v/>
      </c>
      <c r="AR2674" s="82" t="str">
        <f aca="false">IF(AND(ISNUMBER(U2674),OR(AQ2674="À RADIOGRAPHIER",AQ2674="RÉPARÉ – À RADIOGRAPHIER",AQ2674="NX – RT À REFAIRE",AQ2674="À RÉPARER",AQ2674="COUPE – À RESOUDER",AQ2674="VT REJETÉ – À REPRENDRE")),MAX(0,'PROGRAMME RT'!$C$4-U2674),"")</f>
        <v/>
      </c>
      <c r="AS2674" s="82" t="n">
        <f aca="false">IF(AND(OR(AQ2674="À RADIOGRAPHIER",AQ2674="RÉPARÉ – À RADIOGRAPHIER",AQ2674="NX – RT À REFAIRE"),OR('PROGRAMME RT'!$D$5="TOUTES",B2674='PROGRAMME RT'!$D$5)),1,0)</f>
        <v>0</v>
      </c>
      <c r="AT2674" s="82" t="str">
        <f aca="false">IF(AS2674=1,SUM(AS$7:AS2674),"")</f>
        <v/>
      </c>
      <c r="AU2674" s="82" t="n">
        <f aca="false">IF(AND(OR(AA2674="R",AA2674="NX",AA2674="NT",AA2674="CO"),OR('JOINTS DE RÉPARATION'!$D$5="TOUTES",B2674='JOINTS DE RÉPARATION'!$D$5),OR('JOINTS DE RÉPARATION'!$L$4="TOUS",AQ2674&lt;&gt;"ACCEPTÉ")),1,0)</f>
        <v>0</v>
      </c>
      <c r="AV2674" s="82" t="str">
        <f aca="false">IF(AU2674=1,SUM(AU$7:AU2674),"")</f>
        <v/>
      </c>
      <c r="AW2674" s="82" t="str">
        <f aca="false">IF(E2674="","",B2674&amp;"|"&amp;E2674)</f>
        <v/>
      </c>
    </row>
    <row r="2675" customFormat="false" ht="15" hidden="false" customHeight="false" outlineLevel="0" collapsed="false">
      <c r="A2675" s="79" t="str">
        <f aca="false">IF(E2675="","",ROW()-6)</f>
        <v/>
      </c>
      <c r="B2675" s="80"/>
      <c r="C2675" s="81"/>
      <c r="D2675" s="81"/>
      <c r="E2675" s="81"/>
      <c r="F2675" s="82" t="str">
        <f aca="false">IF(E2675="","",IF(LEFT(E2675,2)="DJ","DJ","JN"))</f>
        <v/>
      </c>
      <c r="G2675" s="81"/>
      <c r="H2675" s="81"/>
      <c r="I2675" s="81"/>
      <c r="J2675" s="81"/>
      <c r="K2675" s="81"/>
      <c r="L2675" s="81"/>
      <c r="M2675" s="81"/>
      <c r="N2675" s="81"/>
      <c r="O2675" s="81"/>
      <c r="P2675" s="81"/>
      <c r="Q2675" s="81"/>
      <c r="R2675" s="81"/>
      <c r="S2675" s="81"/>
      <c r="T2675" s="81"/>
      <c r="U2675" s="83"/>
      <c r="V2675" s="83"/>
      <c r="W2675" s="81"/>
      <c r="X2675" s="81"/>
      <c r="Y2675" s="83"/>
      <c r="Z2675" s="81"/>
      <c r="AA2675" s="81"/>
      <c r="AB2675" s="81"/>
      <c r="AC2675" s="81"/>
      <c r="AD2675" s="81"/>
      <c r="AE2675" s="83"/>
      <c r="AF2675" s="81"/>
      <c r="AG2675" s="81"/>
      <c r="AH2675" s="81"/>
      <c r="AI2675" s="81"/>
      <c r="AJ2675" s="83"/>
      <c r="AK2675" s="81"/>
      <c r="AL2675" s="81"/>
      <c r="AM2675" s="83"/>
      <c r="AN2675" s="80"/>
      <c r="AO2675" s="82" t="str">
        <f aca="false">IF(E2675="","",(AA2675&lt;&gt;"")+(AG2675&lt;&gt;"")+(AL2675&lt;&gt;""))</f>
        <v/>
      </c>
      <c r="AP2675" s="82" t="str">
        <f aca="false">IF(AL2675&lt;&gt;"",AL2675,IF(AG2675&lt;&gt;"",AG2675,IF(AA2675&lt;&gt;"",AA2675,"")))</f>
        <v/>
      </c>
      <c r="AQ2675" s="84" t="str">
        <f aca="false">IF(E2675="","",IF(U2675="","À SOUDER",IF(X2675="","VT EN ATTENTE",IF(X2675="R","VT REJETÉ – À REPRENDRE",IF(AP2675="","À RADIOGRAPHIER",IF(AP2675="A","ACCEPTÉ",IF(AP2675="NX","NX – RT À REFAIRE",IF(IF(AO2675=1,AD2675,IF(AO2675=2,AI2675,""))="A","RÉPARÉ – À RADIOGRAPHIER",IF(IF(AO2675=1,AD2675,IF(AO2675=2,AI2675,""))="R","VT REJETÉ – À REPRENDRE",IF(OR(AP2675="CO",AP2675="NT"),"COUPE – À RESOUDER","À RÉPARER"))))))))))</f>
        <v/>
      </c>
      <c r="AR2675" s="82" t="str">
        <f aca="false">IF(AND(ISNUMBER(U2675),OR(AQ2675="À RADIOGRAPHIER",AQ2675="RÉPARÉ – À RADIOGRAPHIER",AQ2675="NX – RT À REFAIRE",AQ2675="À RÉPARER",AQ2675="COUPE – À RESOUDER",AQ2675="VT REJETÉ – À REPRENDRE")),MAX(0,'PROGRAMME RT'!$C$4-U2675),"")</f>
        <v/>
      </c>
      <c r="AS2675" s="82" t="n">
        <f aca="false">IF(AND(OR(AQ2675="À RADIOGRAPHIER",AQ2675="RÉPARÉ – À RADIOGRAPHIER",AQ2675="NX – RT À REFAIRE"),OR('PROGRAMME RT'!$D$5="TOUTES",B2675='PROGRAMME RT'!$D$5)),1,0)</f>
        <v>0</v>
      </c>
      <c r="AT2675" s="82" t="str">
        <f aca="false">IF(AS2675=1,SUM(AS$7:AS2675),"")</f>
        <v/>
      </c>
      <c r="AU2675" s="82" t="n">
        <f aca="false">IF(AND(OR(AA2675="R",AA2675="NX",AA2675="NT",AA2675="CO"),OR('JOINTS DE RÉPARATION'!$D$5="TOUTES",B2675='JOINTS DE RÉPARATION'!$D$5),OR('JOINTS DE RÉPARATION'!$L$4="TOUS",AQ2675&lt;&gt;"ACCEPTÉ")),1,0)</f>
        <v>0</v>
      </c>
      <c r="AV2675" s="82" t="str">
        <f aca="false">IF(AU2675=1,SUM(AU$7:AU2675),"")</f>
        <v/>
      </c>
      <c r="AW2675" s="82" t="str">
        <f aca="false">IF(E2675="","",B2675&amp;"|"&amp;E2675)</f>
        <v/>
      </c>
    </row>
    <row r="2676" customFormat="false" ht="15" hidden="false" customHeight="false" outlineLevel="0" collapsed="false">
      <c r="A2676" s="79" t="str">
        <f aca="false">IF(E2676="","",ROW()-6)</f>
        <v/>
      </c>
      <c r="B2676" s="80"/>
      <c r="C2676" s="81"/>
      <c r="D2676" s="81"/>
      <c r="E2676" s="81"/>
      <c r="F2676" s="82" t="str">
        <f aca="false">IF(E2676="","",IF(LEFT(E2676,2)="DJ","DJ","JN"))</f>
        <v/>
      </c>
      <c r="G2676" s="81"/>
      <c r="H2676" s="81"/>
      <c r="I2676" s="81"/>
      <c r="J2676" s="81"/>
      <c r="K2676" s="81"/>
      <c r="L2676" s="81"/>
      <c r="M2676" s="81"/>
      <c r="N2676" s="81"/>
      <c r="O2676" s="81"/>
      <c r="P2676" s="81"/>
      <c r="Q2676" s="81"/>
      <c r="R2676" s="81"/>
      <c r="S2676" s="81"/>
      <c r="T2676" s="81"/>
      <c r="U2676" s="83"/>
      <c r="V2676" s="83"/>
      <c r="W2676" s="81"/>
      <c r="X2676" s="81"/>
      <c r="Y2676" s="83"/>
      <c r="Z2676" s="81"/>
      <c r="AA2676" s="81"/>
      <c r="AB2676" s="81"/>
      <c r="AC2676" s="81"/>
      <c r="AD2676" s="81"/>
      <c r="AE2676" s="83"/>
      <c r="AF2676" s="81"/>
      <c r="AG2676" s="81"/>
      <c r="AH2676" s="81"/>
      <c r="AI2676" s="81"/>
      <c r="AJ2676" s="83"/>
      <c r="AK2676" s="81"/>
      <c r="AL2676" s="81"/>
      <c r="AM2676" s="83"/>
      <c r="AN2676" s="80"/>
      <c r="AO2676" s="82" t="str">
        <f aca="false">IF(E2676="","",(AA2676&lt;&gt;"")+(AG2676&lt;&gt;"")+(AL2676&lt;&gt;""))</f>
        <v/>
      </c>
      <c r="AP2676" s="82" t="str">
        <f aca="false">IF(AL2676&lt;&gt;"",AL2676,IF(AG2676&lt;&gt;"",AG2676,IF(AA2676&lt;&gt;"",AA2676,"")))</f>
        <v/>
      </c>
      <c r="AQ2676" s="84" t="str">
        <f aca="false">IF(E2676="","",IF(U2676="","À SOUDER",IF(X2676="","VT EN ATTENTE",IF(X2676="R","VT REJETÉ – À REPRENDRE",IF(AP2676="","À RADIOGRAPHIER",IF(AP2676="A","ACCEPTÉ",IF(AP2676="NX","NX – RT À REFAIRE",IF(IF(AO2676=1,AD2676,IF(AO2676=2,AI2676,""))="A","RÉPARÉ – À RADIOGRAPHIER",IF(IF(AO2676=1,AD2676,IF(AO2676=2,AI2676,""))="R","VT REJETÉ – À REPRENDRE",IF(OR(AP2676="CO",AP2676="NT"),"COUPE – À RESOUDER","À RÉPARER"))))))))))</f>
        <v/>
      </c>
      <c r="AR2676" s="82" t="str">
        <f aca="false">IF(AND(ISNUMBER(U2676),OR(AQ2676="À RADIOGRAPHIER",AQ2676="RÉPARÉ – À RADIOGRAPHIER",AQ2676="NX – RT À REFAIRE",AQ2676="À RÉPARER",AQ2676="COUPE – À RESOUDER",AQ2676="VT REJETÉ – À REPRENDRE")),MAX(0,'PROGRAMME RT'!$C$4-U2676),"")</f>
        <v/>
      </c>
      <c r="AS2676" s="82" t="n">
        <f aca="false">IF(AND(OR(AQ2676="À RADIOGRAPHIER",AQ2676="RÉPARÉ – À RADIOGRAPHIER",AQ2676="NX – RT À REFAIRE"),OR('PROGRAMME RT'!$D$5="TOUTES",B2676='PROGRAMME RT'!$D$5)),1,0)</f>
        <v>0</v>
      </c>
      <c r="AT2676" s="82" t="str">
        <f aca="false">IF(AS2676=1,SUM(AS$7:AS2676),"")</f>
        <v/>
      </c>
      <c r="AU2676" s="82" t="n">
        <f aca="false">IF(AND(OR(AA2676="R",AA2676="NX",AA2676="NT",AA2676="CO"),OR('JOINTS DE RÉPARATION'!$D$5="TOUTES",B2676='JOINTS DE RÉPARATION'!$D$5),OR('JOINTS DE RÉPARATION'!$L$4="TOUS",AQ2676&lt;&gt;"ACCEPTÉ")),1,0)</f>
        <v>0</v>
      </c>
      <c r="AV2676" s="82" t="str">
        <f aca="false">IF(AU2676=1,SUM(AU$7:AU2676),"")</f>
        <v/>
      </c>
      <c r="AW2676" s="82" t="str">
        <f aca="false">IF(E2676="","",B2676&amp;"|"&amp;E2676)</f>
        <v/>
      </c>
    </row>
    <row r="2677" customFormat="false" ht="15" hidden="false" customHeight="false" outlineLevel="0" collapsed="false">
      <c r="A2677" s="79" t="str">
        <f aca="false">IF(E2677="","",ROW()-6)</f>
        <v/>
      </c>
      <c r="B2677" s="80"/>
      <c r="C2677" s="81"/>
      <c r="D2677" s="81"/>
      <c r="E2677" s="81"/>
      <c r="F2677" s="82" t="str">
        <f aca="false">IF(E2677="","",IF(LEFT(E2677,2)="DJ","DJ","JN"))</f>
        <v/>
      </c>
      <c r="G2677" s="81"/>
      <c r="H2677" s="81"/>
      <c r="I2677" s="81"/>
      <c r="J2677" s="81"/>
      <c r="K2677" s="81"/>
      <c r="L2677" s="81"/>
      <c r="M2677" s="81"/>
      <c r="N2677" s="81"/>
      <c r="O2677" s="81"/>
      <c r="P2677" s="81"/>
      <c r="Q2677" s="81"/>
      <c r="R2677" s="81"/>
      <c r="S2677" s="81"/>
      <c r="T2677" s="81"/>
      <c r="U2677" s="83"/>
      <c r="V2677" s="83"/>
      <c r="W2677" s="81"/>
      <c r="X2677" s="81"/>
      <c r="Y2677" s="83"/>
      <c r="Z2677" s="81"/>
      <c r="AA2677" s="81"/>
      <c r="AB2677" s="81"/>
      <c r="AC2677" s="81"/>
      <c r="AD2677" s="81"/>
      <c r="AE2677" s="83"/>
      <c r="AF2677" s="81"/>
      <c r="AG2677" s="81"/>
      <c r="AH2677" s="81"/>
      <c r="AI2677" s="81"/>
      <c r="AJ2677" s="83"/>
      <c r="AK2677" s="81"/>
      <c r="AL2677" s="81"/>
      <c r="AM2677" s="83"/>
      <c r="AN2677" s="80"/>
      <c r="AO2677" s="82" t="str">
        <f aca="false">IF(E2677="","",(AA2677&lt;&gt;"")+(AG2677&lt;&gt;"")+(AL2677&lt;&gt;""))</f>
        <v/>
      </c>
      <c r="AP2677" s="82" t="str">
        <f aca="false">IF(AL2677&lt;&gt;"",AL2677,IF(AG2677&lt;&gt;"",AG2677,IF(AA2677&lt;&gt;"",AA2677,"")))</f>
        <v/>
      </c>
      <c r="AQ2677" s="84" t="str">
        <f aca="false">IF(E2677="","",IF(U2677="","À SOUDER",IF(X2677="","VT EN ATTENTE",IF(X2677="R","VT REJETÉ – À REPRENDRE",IF(AP2677="","À RADIOGRAPHIER",IF(AP2677="A","ACCEPTÉ",IF(AP2677="NX","NX – RT À REFAIRE",IF(IF(AO2677=1,AD2677,IF(AO2677=2,AI2677,""))="A","RÉPARÉ – À RADIOGRAPHIER",IF(IF(AO2677=1,AD2677,IF(AO2677=2,AI2677,""))="R","VT REJETÉ – À REPRENDRE",IF(OR(AP2677="CO",AP2677="NT"),"COUPE – À RESOUDER","À RÉPARER"))))))))))</f>
        <v/>
      </c>
      <c r="AR2677" s="82" t="str">
        <f aca="false">IF(AND(ISNUMBER(U2677),OR(AQ2677="À RADIOGRAPHIER",AQ2677="RÉPARÉ – À RADIOGRAPHIER",AQ2677="NX – RT À REFAIRE",AQ2677="À RÉPARER",AQ2677="COUPE – À RESOUDER",AQ2677="VT REJETÉ – À REPRENDRE")),MAX(0,'PROGRAMME RT'!$C$4-U2677),"")</f>
        <v/>
      </c>
      <c r="AS2677" s="82" t="n">
        <f aca="false">IF(AND(OR(AQ2677="À RADIOGRAPHIER",AQ2677="RÉPARÉ – À RADIOGRAPHIER",AQ2677="NX – RT À REFAIRE"),OR('PROGRAMME RT'!$D$5="TOUTES",B2677='PROGRAMME RT'!$D$5)),1,0)</f>
        <v>0</v>
      </c>
      <c r="AT2677" s="82" t="str">
        <f aca="false">IF(AS2677=1,SUM(AS$7:AS2677),"")</f>
        <v/>
      </c>
      <c r="AU2677" s="82" t="n">
        <f aca="false">IF(AND(OR(AA2677="R",AA2677="NX",AA2677="NT",AA2677="CO"),OR('JOINTS DE RÉPARATION'!$D$5="TOUTES",B2677='JOINTS DE RÉPARATION'!$D$5),OR('JOINTS DE RÉPARATION'!$L$4="TOUS",AQ2677&lt;&gt;"ACCEPTÉ")),1,0)</f>
        <v>0</v>
      </c>
      <c r="AV2677" s="82" t="str">
        <f aca="false">IF(AU2677=1,SUM(AU$7:AU2677),"")</f>
        <v/>
      </c>
      <c r="AW2677" s="82" t="str">
        <f aca="false">IF(E2677="","",B2677&amp;"|"&amp;E2677)</f>
        <v/>
      </c>
    </row>
    <row r="2678" customFormat="false" ht="15" hidden="false" customHeight="false" outlineLevel="0" collapsed="false">
      <c r="A2678" s="79" t="str">
        <f aca="false">IF(E2678="","",ROW()-6)</f>
        <v/>
      </c>
      <c r="B2678" s="80"/>
      <c r="C2678" s="81"/>
      <c r="D2678" s="81"/>
      <c r="E2678" s="81"/>
      <c r="F2678" s="82" t="str">
        <f aca="false">IF(E2678="","",IF(LEFT(E2678,2)="DJ","DJ","JN"))</f>
        <v/>
      </c>
      <c r="G2678" s="81"/>
      <c r="H2678" s="81"/>
      <c r="I2678" s="81"/>
      <c r="J2678" s="81"/>
      <c r="K2678" s="81"/>
      <c r="L2678" s="81"/>
      <c r="M2678" s="81"/>
      <c r="N2678" s="81"/>
      <c r="O2678" s="81"/>
      <c r="P2678" s="81"/>
      <c r="Q2678" s="81"/>
      <c r="R2678" s="81"/>
      <c r="S2678" s="81"/>
      <c r="T2678" s="81"/>
      <c r="U2678" s="83"/>
      <c r="V2678" s="83"/>
      <c r="W2678" s="81"/>
      <c r="X2678" s="81"/>
      <c r="Y2678" s="83"/>
      <c r="Z2678" s="81"/>
      <c r="AA2678" s="81"/>
      <c r="AB2678" s="81"/>
      <c r="AC2678" s="81"/>
      <c r="AD2678" s="81"/>
      <c r="AE2678" s="83"/>
      <c r="AF2678" s="81"/>
      <c r="AG2678" s="81"/>
      <c r="AH2678" s="81"/>
      <c r="AI2678" s="81"/>
      <c r="AJ2678" s="83"/>
      <c r="AK2678" s="81"/>
      <c r="AL2678" s="81"/>
      <c r="AM2678" s="83"/>
      <c r="AN2678" s="80"/>
      <c r="AO2678" s="82" t="str">
        <f aca="false">IF(E2678="","",(AA2678&lt;&gt;"")+(AG2678&lt;&gt;"")+(AL2678&lt;&gt;""))</f>
        <v/>
      </c>
      <c r="AP2678" s="82" t="str">
        <f aca="false">IF(AL2678&lt;&gt;"",AL2678,IF(AG2678&lt;&gt;"",AG2678,IF(AA2678&lt;&gt;"",AA2678,"")))</f>
        <v/>
      </c>
      <c r="AQ2678" s="84" t="str">
        <f aca="false">IF(E2678="","",IF(U2678="","À SOUDER",IF(X2678="","VT EN ATTENTE",IF(X2678="R","VT REJETÉ – À REPRENDRE",IF(AP2678="","À RADIOGRAPHIER",IF(AP2678="A","ACCEPTÉ",IF(AP2678="NX","NX – RT À REFAIRE",IF(IF(AO2678=1,AD2678,IF(AO2678=2,AI2678,""))="A","RÉPARÉ – À RADIOGRAPHIER",IF(IF(AO2678=1,AD2678,IF(AO2678=2,AI2678,""))="R","VT REJETÉ – À REPRENDRE",IF(OR(AP2678="CO",AP2678="NT"),"COUPE – À RESOUDER","À RÉPARER"))))))))))</f>
        <v/>
      </c>
      <c r="AR2678" s="82" t="str">
        <f aca="false">IF(AND(ISNUMBER(U2678),OR(AQ2678="À RADIOGRAPHIER",AQ2678="RÉPARÉ – À RADIOGRAPHIER",AQ2678="NX – RT À REFAIRE",AQ2678="À RÉPARER",AQ2678="COUPE – À RESOUDER",AQ2678="VT REJETÉ – À REPRENDRE")),MAX(0,'PROGRAMME RT'!$C$4-U2678),"")</f>
        <v/>
      </c>
      <c r="AS2678" s="82" t="n">
        <f aca="false">IF(AND(OR(AQ2678="À RADIOGRAPHIER",AQ2678="RÉPARÉ – À RADIOGRAPHIER",AQ2678="NX – RT À REFAIRE"),OR('PROGRAMME RT'!$D$5="TOUTES",B2678='PROGRAMME RT'!$D$5)),1,0)</f>
        <v>0</v>
      </c>
      <c r="AT2678" s="82" t="str">
        <f aca="false">IF(AS2678=1,SUM(AS$7:AS2678),"")</f>
        <v/>
      </c>
      <c r="AU2678" s="82" t="n">
        <f aca="false">IF(AND(OR(AA2678="R",AA2678="NX",AA2678="NT",AA2678="CO"),OR('JOINTS DE RÉPARATION'!$D$5="TOUTES",B2678='JOINTS DE RÉPARATION'!$D$5),OR('JOINTS DE RÉPARATION'!$L$4="TOUS",AQ2678&lt;&gt;"ACCEPTÉ")),1,0)</f>
        <v>0</v>
      </c>
      <c r="AV2678" s="82" t="str">
        <f aca="false">IF(AU2678=1,SUM(AU$7:AU2678),"")</f>
        <v/>
      </c>
      <c r="AW2678" s="82" t="str">
        <f aca="false">IF(E2678="","",B2678&amp;"|"&amp;E2678)</f>
        <v/>
      </c>
    </row>
    <row r="2679" customFormat="false" ht="15" hidden="false" customHeight="false" outlineLevel="0" collapsed="false">
      <c r="A2679" s="79" t="str">
        <f aca="false">IF(E2679="","",ROW()-6)</f>
        <v/>
      </c>
      <c r="B2679" s="80"/>
      <c r="C2679" s="81"/>
      <c r="D2679" s="81"/>
      <c r="E2679" s="81"/>
      <c r="F2679" s="82" t="str">
        <f aca="false">IF(E2679="","",IF(LEFT(E2679,2)="DJ","DJ","JN"))</f>
        <v/>
      </c>
      <c r="G2679" s="81"/>
      <c r="H2679" s="81"/>
      <c r="I2679" s="81"/>
      <c r="J2679" s="81"/>
      <c r="K2679" s="81"/>
      <c r="L2679" s="81"/>
      <c r="M2679" s="81"/>
      <c r="N2679" s="81"/>
      <c r="O2679" s="81"/>
      <c r="P2679" s="81"/>
      <c r="Q2679" s="81"/>
      <c r="R2679" s="81"/>
      <c r="S2679" s="81"/>
      <c r="T2679" s="81"/>
      <c r="U2679" s="83"/>
      <c r="V2679" s="83"/>
      <c r="W2679" s="81"/>
      <c r="X2679" s="81"/>
      <c r="Y2679" s="83"/>
      <c r="Z2679" s="81"/>
      <c r="AA2679" s="81"/>
      <c r="AB2679" s="81"/>
      <c r="AC2679" s="81"/>
      <c r="AD2679" s="81"/>
      <c r="AE2679" s="83"/>
      <c r="AF2679" s="81"/>
      <c r="AG2679" s="81"/>
      <c r="AH2679" s="81"/>
      <c r="AI2679" s="81"/>
      <c r="AJ2679" s="83"/>
      <c r="AK2679" s="81"/>
      <c r="AL2679" s="81"/>
      <c r="AM2679" s="83"/>
      <c r="AN2679" s="80"/>
      <c r="AO2679" s="82" t="str">
        <f aca="false">IF(E2679="","",(AA2679&lt;&gt;"")+(AG2679&lt;&gt;"")+(AL2679&lt;&gt;""))</f>
        <v/>
      </c>
      <c r="AP2679" s="82" t="str">
        <f aca="false">IF(AL2679&lt;&gt;"",AL2679,IF(AG2679&lt;&gt;"",AG2679,IF(AA2679&lt;&gt;"",AA2679,"")))</f>
        <v/>
      </c>
      <c r="AQ2679" s="84" t="str">
        <f aca="false">IF(E2679="","",IF(U2679="","À SOUDER",IF(X2679="","VT EN ATTENTE",IF(X2679="R","VT REJETÉ – À REPRENDRE",IF(AP2679="","À RADIOGRAPHIER",IF(AP2679="A","ACCEPTÉ",IF(AP2679="NX","NX – RT À REFAIRE",IF(IF(AO2679=1,AD2679,IF(AO2679=2,AI2679,""))="A","RÉPARÉ – À RADIOGRAPHIER",IF(IF(AO2679=1,AD2679,IF(AO2679=2,AI2679,""))="R","VT REJETÉ – À REPRENDRE",IF(OR(AP2679="CO",AP2679="NT"),"COUPE – À RESOUDER","À RÉPARER"))))))))))</f>
        <v/>
      </c>
      <c r="AR2679" s="82" t="str">
        <f aca="false">IF(AND(ISNUMBER(U2679),OR(AQ2679="À RADIOGRAPHIER",AQ2679="RÉPARÉ – À RADIOGRAPHIER",AQ2679="NX – RT À REFAIRE",AQ2679="À RÉPARER",AQ2679="COUPE – À RESOUDER",AQ2679="VT REJETÉ – À REPRENDRE")),MAX(0,'PROGRAMME RT'!$C$4-U2679),"")</f>
        <v/>
      </c>
      <c r="AS2679" s="82" t="n">
        <f aca="false">IF(AND(OR(AQ2679="À RADIOGRAPHIER",AQ2679="RÉPARÉ – À RADIOGRAPHIER",AQ2679="NX – RT À REFAIRE"),OR('PROGRAMME RT'!$D$5="TOUTES",B2679='PROGRAMME RT'!$D$5)),1,0)</f>
        <v>0</v>
      </c>
      <c r="AT2679" s="82" t="str">
        <f aca="false">IF(AS2679=1,SUM(AS$7:AS2679),"")</f>
        <v/>
      </c>
      <c r="AU2679" s="82" t="n">
        <f aca="false">IF(AND(OR(AA2679="R",AA2679="NX",AA2679="NT",AA2679="CO"),OR('JOINTS DE RÉPARATION'!$D$5="TOUTES",B2679='JOINTS DE RÉPARATION'!$D$5),OR('JOINTS DE RÉPARATION'!$L$4="TOUS",AQ2679&lt;&gt;"ACCEPTÉ")),1,0)</f>
        <v>0</v>
      </c>
      <c r="AV2679" s="82" t="str">
        <f aca="false">IF(AU2679=1,SUM(AU$7:AU2679),"")</f>
        <v/>
      </c>
      <c r="AW2679" s="82" t="str">
        <f aca="false">IF(E2679="","",B2679&amp;"|"&amp;E2679)</f>
        <v/>
      </c>
    </row>
    <row r="2680" customFormat="false" ht="15" hidden="false" customHeight="false" outlineLevel="0" collapsed="false">
      <c r="A2680" s="79" t="str">
        <f aca="false">IF(E2680="","",ROW()-6)</f>
        <v/>
      </c>
      <c r="B2680" s="80"/>
      <c r="C2680" s="81"/>
      <c r="D2680" s="81"/>
      <c r="E2680" s="81"/>
      <c r="F2680" s="82" t="str">
        <f aca="false">IF(E2680="","",IF(LEFT(E2680,2)="DJ","DJ","JN"))</f>
        <v/>
      </c>
      <c r="G2680" s="81"/>
      <c r="H2680" s="81"/>
      <c r="I2680" s="81"/>
      <c r="J2680" s="81"/>
      <c r="K2680" s="81"/>
      <c r="L2680" s="81"/>
      <c r="M2680" s="81"/>
      <c r="N2680" s="81"/>
      <c r="O2680" s="81"/>
      <c r="P2680" s="81"/>
      <c r="Q2680" s="81"/>
      <c r="R2680" s="81"/>
      <c r="S2680" s="81"/>
      <c r="T2680" s="81"/>
      <c r="U2680" s="83"/>
      <c r="V2680" s="83"/>
      <c r="W2680" s="81"/>
      <c r="X2680" s="81"/>
      <c r="Y2680" s="83"/>
      <c r="Z2680" s="81"/>
      <c r="AA2680" s="81"/>
      <c r="AB2680" s="81"/>
      <c r="AC2680" s="81"/>
      <c r="AD2680" s="81"/>
      <c r="AE2680" s="83"/>
      <c r="AF2680" s="81"/>
      <c r="AG2680" s="81"/>
      <c r="AH2680" s="81"/>
      <c r="AI2680" s="81"/>
      <c r="AJ2680" s="83"/>
      <c r="AK2680" s="81"/>
      <c r="AL2680" s="81"/>
      <c r="AM2680" s="83"/>
      <c r="AN2680" s="80"/>
      <c r="AO2680" s="82" t="str">
        <f aca="false">IF(E2680="","",(AA2680&lt;&gt;"")+(AG2680&lt;&gt;"")+(AL2680&lt;&gt;""))</f>
        <v/>
      </c>
      <c r="AP2680" s="82" t="str">
        <f aca="false">IF(AL2680&lt;&gt;"",AL2680,IF(AG2680&lt;&gt;"",AG2680,IF(AA2680&lt;&gt;"",AA2680,"")))</f>
        <v/>
      </c>
      <c r="AQ2680" s="84" t="str">
        <f aca="false">IF(E2680="","",IF(U2680="","À SOUDER",IF(X2680="","VT EN ATTENTE",IF(X2680="R","VT REJETÉ – À REPRENDRE",IF(AP2680="","À RADIOGRAPHIER",IF(AP2680="A","ACCEPTÉ",IF(AP2680="NX","NX – RT À REFAIRE",IF(IF(AO2680=1,AD2680,IF(AO2680=2,AI2680,""))="A","RÉPARÉ – À RADIOGRAPHIER",IF(IF(AO2680=1,AD2680,IF(AO2680=2,AI2680,""))="R","VT REJETÉ – À REPRENDRE",IF(OR(AP2680="CO",AP2680="NT"),"COUPE – À RESOUDER","À RÉPARER"))))))))))</f>
        <v/>
      </c>
      <c r="AR2680" s="82" t="str">
        <f aca="false">IF(AND(ISNUMBER(U2680),OR(AQ2680="À RADIOGRAPHIER",AQ2680="RÉPARÉ – À RADIOGRAPHIER",AQ2680="NX – RT À REFAIRE",AQ2680="À RÉPARER",AQ2680="COUPE – À RESOUDER",AQ2680="VT REJETÉ – À REPRENDRE")),MAX(0,'PROGRAMME RT'!$C$4-U2680),"")</f>
        <v/>
      </c>
      <c r="AS2680" s="82" t="n">
        <f aca="false">IF(AND(OR(AQ2680="À RADIOGRAPHIER",AQ2680="RÉPARÉ – À RADIOGRAPHIER",AQ2680="NX – RT À REFAIRE"),OR('PROGRAMME RT'!$D$5="TOUTES",B2680='PROGRAMME RT'!$D$5)),1,0)</f>
        <v>0</v>
      </c>
      <c r="AT2680" s="82" t="str">
        <f aca="false">IF(AS2680=1,SUM(AS$7:AS2680),"")</f>
        <v/>
      </c>
      <c r="AU2680" s="82" t="n">
        <f aca="false">IF(AND(OR(AA2680="R",AA2680="NX",AA2680="NT",AA2680="CO"),OR('JOINTS DE RÉPARATION'!$D$5="TOUTES",B2680='JOINTS DE RÉPARATION'!$D$5),OR('JOINTS DE RÉPARATION'!$L$4="TOUS",AQ2680&lt;&gt;"ACCEPTÉ")),1,0)</f>
        <v>0</v>
      </c>
      <c r="AV2680" s="82" t="str">
        <f aca="false">IF(AU2680=1,SUM(AU$7:AU2680),"")</f>
        <v/>
      </c>
      <c r="AW2680" s="82" t="str">
        <f aca="false">IF(E2680="","",B2680&amp;"|"&amp;E2680)</f>
        <v/>
      </c>
    </row>
    <row r="2681" customFormat="false" ht="15" hidden="false" customHeight="false" outlineLevel="0" collapsed="false">
      <c r="A2681" s="79" t="str">
        <f aca="false">IF(E2681="","",ROW()-6)</f>
        <v/>
      </c>
      <c r="B2681" s="80"/>
      <c r="C2681" s="81"/>
      <c r="D2681" s="81"/>
      <c r="E2681" s="81"/>
      <c r="F2681" s="82" t="str">
        <f aca="false">IF(E2681="","",IF(LEFT(E2681,2)="DJ","DJ","JN"))</f>
        <v/>
      </c>
      <c r="G2681" s="81"/>
      <c r="H2681" s="81"/>
      <c r="I2681" s="81"/>
      <c r="J2681" s="81"/>
      <c r="K2681" s="81"/>
      <c r="L2681" s="81"/>
      <c r="M2681" s="81"/>
      <c r="N2681" s="81"/>
      <c r="O2681" s="81"/>
      <c r="P2681" s="81"/>
      <c r="Q2681" s="81"/>
      <c r="R2681" s="81"/>
      <c r="S2681" s="81"/>
      <c r="T2681" s="81"/>
      <c r="U2681" s="83"/>
      <c r="V2681" s="83"/>
      <c r="W2681" s="81"/>
      <c r="X2681" s="81"/>
      <c r="Y2681" s="83"/>
      <c r="Z2681" s="81"/>
      <c r="AA2681" s="81"/>
      <c r="AB2681" s="81"/>
      <c r="AC2681" s="81"/>
      <c r="AD2681" s="81"/>
      <c r="AE2681" s="83"/>
      <c r="AF2681" s="81"/>
      <c r="AG2681" s="81"/>
      <c r="AH2681" s="81"/>
      <c r="AI2681" s="81"/>
      <c r="AJ2681" s="83"/>
      <c r="AK2681" s="81"/>
      <c r="AL2681" s="81"/>
      <c r="AM2681" s="83"/>
      <c r="AN2681" s="80"/>
      <c r="AO2681" s="82" t="str">
        <f aca="false">IF(E2681="","",(AA2681&lt;&gt;"")+(AG2681&lt;&gt;"")+(AL2681&lt;&gt;""))</f>
        <v/>
      </c>
      <c r="AP2681" s="82" t="str">
        <f aca="false">IF(AL2681&lt;&gt;"",AL2681,IF(AG2681&lt;&gt;"",AG2681,IF(AA2681&lt;&gt;"",AA2681,"")))</f>
        <v/>
      </c>
      <c r="AQ2681" s="84" t="str">
        <f aca="false">IF(E2681="","",IF(U2681="","À SOUDER",IF(X2681="","VT EN ATTENTE",IF(X2681="R","VT REJETÉ – À REPRENDRE",IF(AP2681="","À RADIOGRAPHIER",IF(AP2681="A","ACCEPTÉ",IF(AP2681="NX","NX – RT À REFAIRE",IF(IF(AO2681=1,AD2681,IF(AO2681=2,AI2681,""))="A","RÉPARÉ – À RADIOGRAPHIER",IF(IF(AO2681=1,AD2681,IF(AO2681=2,AI2681,""))="R","VT REJETÉ – À REPRENDRE",IF(OR(AP2681="CO",AP2681="NT"),"COUPE – À RESOUDER","À RÉPARER"))))))))))</f>
        <v/>
      </c>
      <c r="AR2681" s="82" t="str">
        <f aca="false">IF(AND(ISNUMBER(U2681),OR(AQ2681="À RADIOGRAPHIER",AQ2681="RÉPARÉ – À RADIOGRAPHIER",AQ2681="NX – RT À REFAIRE",AQ2681="À RÉPARER",AQ2681="COUPE – À RESOUDER",AQ2681="VT REJETÉ – À REPRENDRE")),MAX(0,'PROGRAMME RT'!$C$4-U2681),"")</f>
        <v/>
      </c>
      <c r="AS2681" s="82" t="n">
        <f aca="false">IF(AND(OR(AQ2681="À RADIOGRAPHIER",AQ2681="RÉPARÉ – À RADIOGRAPHIER",AQ2681="NX – RT À REFAIRE"),OR('PROGRAMME RT'!$D$5="TOUTES",B2681='PROGRAMME RT'!$D$5)),1,0)</f>
        <v>0</v>
      </c>
      <c r="AT2681" s="82" t="str">
        <f aca="false">IF(AS2681=1,SUM(AS$7:AS2681),"")</f>
        <v/>
      </c>
      <c r="AU2681" s="82" t="n">
        <f aca="false">IF(AND(OR(AA2681="R",AA2681="NX",AA2681="NT",AA2681="CO"),OR('JOINTS DE RÉPARATION'!$D$5="TOUTES",B2681='JOINTS DE RÉPARATION'!$D$5),OR('JOINTS DE RÉPARATION'!$L$4="TOUS",AQ2681&lt;&gt;"ACCEPTÉ")),1,0)</f>
        <v>0</v>
      </c>
      <c r="AV2681" s="82" t="str">
        <f aca="false">IF(AU2681=1,SUM(AU$7:AU2681),"")</f>
        <v/>
      </c>
      <c r="AW2681" s="82" t="str">
        <f aca="false">IF(E2681="","",B2681&amp;"|"&amp;E2681)</f>
        <v/>
      </c>
    </row>
    <row r="2682" customFormat="false" ht="15" hidden="false" customHeight="false" outlineLevel="0" collapsed="false">
      <c r="A2682" s="79" t="str">
        <f aca="false">IF(E2682="","",ROW()-6)</f>
        <v/>
      </c>
      <c r="B2682" s="80"/>
      <c r="C2682" s="81"/>
      <c r="D2682" s="81"/>
      <c r="E2682" s="81"/>
      <c r="F2682" s="82" t="str">
        <f aca="false">IF(E2682="","",IF(LEFT(E2682,2)="DJ","DJ","JN"))</f>
        <v/>
      </c>
      <c r="G2682" s="81"/>
      <c r="H2682" s="81"/>
      <c r="I2682" s="81"/>
      <c r="J2682" s="81"/>
      <c r="K2682" s="81"/>
      <c r="L2682" s="81"/>
      <c r="M2682" s="81"/>
      <c r="N2682" s="81"/>
      <c r="O2682" s="81"/>
      <c r="P2682" s="81"/>
      <c r="Q2682" s="81"/>
      <c r="R2682" s="81"/>
      <c r="S2682" s="81"/>
      <c r="T2682" s="81"/>
      <c r="U2682" s="83"/>
      <c r="V2682" s="83"/>
      <c r="W2682" s="81"/>
      <c r="X2682" s="81"/>
      <c r="Y2682" s="83"/>
      <c r="Z2682" s="81"/>
      <c r="AA2682" s="81"/>
      <c r="AB2682" s="81"/>
      <c r="AC2682" s="81"/>
      <c r="AD2682" s="81"/>
      <c r="AE2682" s="83"/>
      <c r="AF2682" s="81"/>
      <c r="AG2682" s="81"/>
      <c r="AH2682" s="81"/>
      <c r="AI2682" s="81"/>
      <c r="AJ2682" s="83"/>
      <c r="AK2682" s="81"/>
      <c r="AL2682" s="81"/>
      <c r="AM2682" s="83"/>
      <c r="AN2682" s="80"/>
      <c r="AO2682" s="82" t="str">
        <f aca="false">IF(E2682="","",(AA2682&lt;&gt;"")+(AG2682&lt;&gt;"")+(AL2682&lt;&gt;""))</f>
        <v/>
      </c>
      <c r="AP2682" s="82" t="str">
        <f aca="false">IF(AL2682&lt;&gt;"",AL2682,IF(AG2682&lt;&gt;"",AG2682,IF(AA2682&lt;&gt;"",AA2682,"")))</f>
        <v/>
      </c>
      <c r="AQ2682" s="84" t="str">
        <f aca="false">IF(E2682="","",IF(U2682="","À SOUDER",IF(X2682="","VT EN ATTENTE",IF(X2682="R","VT REJETÉ – À REPRENDRE",IF(AP2682="","À RADIOGRAPHIER",IF(AP2682="A","ACCEPTÉ",IF(AP2682="NX","NX – RT À REFAIRE",IF(IF(AO2682=1,AD2682,IF(AO2682=2,AI2682,""))="A","RÉPARÉ – À RADIOGRAPHIER",IF(IF(AO2682=1,AD2682,IF(AO2682=2,AI2682,""))="R","VT REJETÉ – À REPRENDRE",IF(OR(AP2682="CO",AP2682="NT"),"COUPE – À RESOUDER","À RÉPARER"))))))))))</f>
        <v/>
      </c>
      <c r="AR2682" s="82" t="str">
        <f aca="false">IF(AND(ISNUMBER(U2682),OR(AQ2682="À RADIOGRAPHIER",AQ2682="RÉPARÉ – À RADIOGRAPHIER",AQ2682="NX – RT À REFAIRE",AQ2682="À RÉPARER",AQ2682="COUPE – À RESOUDER",AQ2682="VT REJETÉ – À REPRENDRE")),MAX(0,'PROGRAMME RT'!$C$4-U2682),"")</f>
        <v/>
      </c>
      <c r="AS2682" s="82" t="n">
        <f aca="false">IF(AND(OR(AQ2682="À RADIOGRAPHIER",AQ2682="RÉPARÉ – À RADIOGRAPHIER",AQ2682="NX – RT À REFAIRE"),OR('PROGRAMME RT'!$D$5="TOUTES",B2682='PROGRAMME RT'!$D$5)),1,0)</f>
        <v>0</v>
      </c>
      <c r="AT2682" s="82" t="str">
        <f aca="false">IF(AS2682=1,SUM(AS$7:AS2682),"")</f>
        <v/>
      </c>
      <c r="AU2682" s="82" t="n">
        <f aca="false">IF(AND(OR(AA2682="R",AA2682="NX",AA2682="NT",AA2682="CO"),OR('JOINTS DE RÉPARATION'!$D$5="TOUTES",B2682='JOINTS DE RÉPARATION'!$D$5),OR('JOINTS DE RÉPARATION'!$L$4="TOUS",AQ2682&lt;&gt;"ACCEPTÉ")),1,0)</f>
        <v>0</v>
      </c>
      <c r="AV2682" s="82" t="str">
        <f aca="false">IF(AU2682=1,SUM(AU$7:AU2682),"")</f>
        <v/>
      </c>
      <c r="AW2682" s="82" t="str">
        <f aca="false">IF(E2682="","",B2682&amp;"|"&amp;E2682)</f>
        <v/>
      </c>
    </row>
    <row r="2683" customFormat="false" ht="15" hidden="false" customHeight="false" outlineLevel="0" collapsed="false">
      <c r="A2683" s="79" t="str">
        <f aca="false">IF(E2683="","",ROW()-6)</f>
        <v/>
      </c>
      <c r="B2683" s="80"/>
      <c r="C2683" s="81"/>
      <c r="D2683" s="81"/>
      <c r="E2683" s="81"/>
      <c r="F2683" s="82" t="str">
        <f aca="false">IF(E2683="","",IF(LEFT(E2683,2)="DJ","DJ","JN"))</f>
        <v/>
      </c>
      <c r="G2683" s="81"/>
      <c r="H2683" s="81"/>
      <c r="I2683" s="81"/>
      <c r="J2683" s="81"/>
      <c r="K2683" s="81"/>
      <c r="L2683" s="81"/>
      <c r="M2683" s="81"/>
      <c r="N2683" s="81"/>
      <c r="O2683" s="81"/>
      <c r="P2683" s="81"/>
      <c r="Q2683" s="81"/>
      <c r="R2683" s="81"/>
      <c r="S2683" s="81"/>
      <c r="T2683" s="81"/>
      <c r="U2683" s="83"/>
      <c r="V2683" s="83"/>
      <c r="W2683" s="81"/>
      <c r="X2683" s="81"/>
      <c r="Y2683" s="83"/>
      <c r="Z2683" s="81"/>
      <c r="AA2683" s="81"/>
      <c r="AB2683" s="81"/>
      <c r="AC2683" s="81"/>
      <c r="AD2683" s="81"/>
      <c r="AE2683" s="83"/>
      <c r="AF2683" s="81"/>
      <c r="AG2683" s="81"/>
      <c r="AH2683" s="81"/>
      <c r="AI2683" s="81"/>
      <c r="AJ2683" s="83"/>
      <c r="AK2683" s="81"/>
      <c r="AL2683" s="81"/>
      <c r="AM2683" s="83"/>
      <c r="AN2683" s="80"/>
      <c r="AO2683" s="82" t="str">
        <f aca="false">IF(E2683="","",(AA2683&lt;&gt;"")+(AG2683&lt;&gt;"")+(AL2683&lt;&gt;""))</f>
        <v/>
      </c>
      <c r="AP2683" s="82" t="str">
        <f aca="false">IF(AL2683&lt;&gt;"",AL2683,IF(AG2683&lt;&gt;"",AG2683,IF(AA2683&lt;&gt;"",AA2683,"")))</f>
        <v/>
      </c>
      <c r="AQ2683" s="84" t="str">
        <f aca="false">IF(E2683="","",IF(U2683="","À SOUDER",IF(X2683="","VT EN ATTENTE",IF(X2683="R","VT REJETÉ – À REPRENDRE",IF(AP2683="","À RADIOGRAPHIER",IF(AP2683="A","ACCEPTÉ",IF(AP2683="NX","NX – RT À REFAIRE",IF(IF(AO2683=1,AD2683,IF(AO2683=2,AI2683,""))="A","RÉPARÉ – À RADIOGRAPHIER",IF(IF(AO2683=1,AD2683,IF(AO2683=2,AI2683,""))="R","VT REJETÉ – À REPRENDRE",IF(OR(AP2683="CO",AP2683="NT"),"COUPE – À RESOUDER","À RÉPARER"))))))))))</f>
        <v/>
      </c>
      <c r="AR2683" s="82" t="str">
        <f aca="false">IF(AND(ISNUMBER(U2683),OR(AQ2683="À RADIOGRAPHIER",AQ2683="RÉPARÉ – À RADIOGRAPHIER",AQ2683="NX – RT À REFAIRE",AQ2683="À RÉPARER",AQ2683="COUPE – À RESOUDER",AQ2683="VT REJETÉ – À REPRENDRE")),MAX(0,'PROGRAMME RT'!$C$4-U2683),"")</f>
        <v/>
      </c>
      <c r="AS2683" s="82" t="n">
        <f aca="false">IF(AND(OR(AQ2683="À RADIOGRAPHIER",AQ2683="RÉPARÉ – À RADIOGRAPHIER",AQ2683="NX – RT À REFAIRE"),OR('PROGRAMME RT'!$D$5="TOUTES",B2683='PROGRAMME RT'!$D$5)),1,0)</f>
        <v>0</v>
      </c>
      <c r="AT2683" s="82" t="str">
        <f aca="false">IF(AS2683=1,SUM(AS$7:AS2683),"")</f>
        <v/>
      </c>
      <c r="AU2683" s="82" t="n">
        <f aca="false">IF(AND(OR(AA2683="R",AA2683="NX",AA2683="NT",AA2683="CO"),OR('JOINTS DE RÉPARATION'!$D$5="TOUTES",B2683='JOINTS DE RÉPARATION'!$D$5),OR('JOINTS DE RÉPARATION'!$L$4="TOUS",AQ2683&lt;&gt;"ACCEPTÉ")),1,0)</f>
        <v>0</v>
      </c>
      <c r="AV2683" s="82" t="str">
        <f aca="false">IF(AU2683=1,SUM(AU$7:AU2683),"")</f>
        <v/>
      </c>
      <c r="AW2683" s="82" t="str">
        <f aca="false">IF(E2683="","",B2683&amp;"|"&amp;E2683)</f>
        <v/>
      </c>
    </row>
    <row r="2684" customFormat="false" ht="15" hidden="false" customHeight="false" outlineLevel="0" collapsed="false">
      <c r="A2684" s="79" t="str">
        <f aca="false">IF(E2684="","",ROW()-6)</f>
        <v/>
      </c>
      <c r="B2684" s="80"/>
      <c r="C2684" s="81"/>
      <c r="D2684" s="81"/>
      <c r="E2684" s="81"/>
      <c r="F2684" s="82" t="str">
        <f aca="false">IF(E2684="","",IF(LEFT(E2684,2)="DJ","DJ","JN"))</f>
        <v/>
      </c>
      <c r="G2684" s="81"/>
      <c r="H2684" s="81"/>
      <c r="I2684" s="81"/>
      <c r="J2684" s="81"/>
      <c r="K2684" s="81"/>
      <c r="L2684" s="81"/>
      <c r="M2684" s="81"/>
      <c r="N2684" s="81"/>
      <c r="O2684" s="81"/>
      <c r="P2684" s="81"/>
      <c r="Q2684" s="81"/>
      <c r="R2684" s="81"/>
      <c r="S2684" s="81"/>
      <c r="T2684" s="81"/>
      <c r="U2684" s="83"/>
      <c r="V2684" s="83"/>
      <c r="W2684" s="81"/>
      <c r="X2684" s="81"/>
      <c r="Y2684" s="83"/>
      <c r="Z2684" s="81"/>
      <c r="AA2684" s="81"/>
      <c r="AB2684" s="81"/>
      <c r="AC2684" s="81"/>
      <c r="AD2684" s="81"/>
      <c r="AE2684" s="83"/>
      <c r="AF2684" s="81"/>
      <c r="AG2684" s="81"/>
      <c r="AH2684" s="81"/>
      <c r="AI2684" s="81"/>
      <c r="AJ2684" s="83"/>
      <c r="AK2684" s="81"/>
      <c r="AL2684" s="81"/>
      <c r="AM2684" s="83"/>
      <c r="AN2684" s="80"/>
      <c r="AO2684" s="82" t="str">
        <f aca="false">IF(E2684="","",(AA2684&lt;&gt;"")+(AG2684&lt;&gt;"")+(AL2684&lt;&gt;""))</f>
        <v/>
      </c>
      <c r="AP2684" s="82" t="str">
        <f aca="false">IF(AL2684&lt;&gt;"",AL2684,IF(AG2684&lt;&gt;"",AG2684,IF(AA2684&lt;&gt;"",AA2684,"")))</f>
        <v/>
      </c>
      <c r="AQ2684" s="84" t="str">
        <f aca="false">IF(E2684="","",IF(U2684="","À SOUDER",IF(X2684="","VT EN ATTENTE",IF(X2684="R","VT REJETÉ – À REPRENDRE",IF(AP2684="","À RADIOGRAPHIER",IF(AP2684="A","ACCEPTÉ",IF(AP2684="NX","NX – RT À REFAIRE",IF(IF(AO2684=1,AD2684,IF(AO2684=2,AI2684,""))="A","RÉPARÉ – À RADIOGRAPHIER",IF(IF(AO2684=1,AD2684,IF(AO2684=2,AI2684,""))="R","VT REJETÉ – À REPRENDRE",IF(OR(AP2684="CO",AP2684="NT"),"COUPE – À RESOUDER","À RÉPARER"))))))))))</f>
        <v/>
      </c>
      <c r="AR2684" s="82" t="str">
        <f aca="false">IF(AND(ISNUMBER(U2684),OR(AQ2684="À RADIOGRAPHIER",AQ2684="RÉPARÉ – À RADIOGRAPHIER",AQ2684="NX – RT À REFAIRE",AQ2684="À RÉPARER",AQ2684="COUPE – À RESOUDER",AQ2684="VT REJETÉ – À REPRENDRE")),MAX(0,'PROGRAMME RT'!$C$4-U2684),"")</f>
        <v/>
      </c>
      <c r="AS2684" s="82" t="n">
        <f aca="false">IF(AND(OR(AQ2684="À RADIOGRAPHIER",AQ2684="RÉPARÉ – À RADIOGRAPHIER",AQ2684="NX – RT À REFAIRE"),OR('PROGRAMME RT'!$D$5="TOUTES",B2684='PROGRAMME RT'!$D$5)),1,0)</f>
        <v>0</v>
      </c>
      <c r="AT2684" s="82" t="str">
        <f aca="false">IF(AS2684=1,SUM(AS$7:AS2684),"")</f>
        <v/>
      </c>
      <c r="AU2684" s="82" t="n">
        <f aca="false">IF(AND(OR(AA2684="R",AA2684="NX",AA2684="NT",AA2684="CO"),OR('JOINTS DE RÉPARATION'!$D$5="TOUTES",B2684='JOINTS DE RÉPARATION'!$D$5),OR('JOINTS DE RÉPARATION'!$L$4="TOUS",AQ2684&lt;&gt;"ACCEPTÉ")),1,0)</f>
        <v>0</v>
      </c>
      <c r="AV2684" s="82" t="str">
        <f aca="false">IF(AU2684=1,SUM(AU$7:AU2684),"")</f>
        <v/>
      </c>
      <c r="AW2684" s="82" t="str">
        <f aca="false">IF(E2684="","",B2684&amp;"|"&amp;E2684)</f>
        <v/>
      </c>
    </row>
    <row r="2685" customFormat="false" ht="15" hidden="false" customHeight="false" outlineLevel="0" collapsed="false">
      <c r="A2685" s="79" t="str">
        <f aca="false">IF(E2685="","",ROW()-6)</f>
        <v/>
      </c>
      <c r="B2685" s="80"/>
      <c r="C2685" s="81"/>
      <c r="D2685" s="81"/>
      <c r="E2685" s="81"/>
      <c r="F2685" s="82" t="str">
        <f aca="false">IF(E2685="","",IF(LEFT(E2685,2)="DJ","DJ","JN"))</f>
        <v/>
      </c>
      <c r="G2685" s="81"/>
      <c r="H2685" s="81"/>
      <c r="I2685" s="81"/>
      <c r="J2685" s="81"/>
      <c r="K2685" s="81"/>
      <c r="L2685" s="81"/>
      <c r="M2685" s="81"/>
      <c r="N2685" s="81"/>
      <c r="O2685" s="81"/>
      <c r="P2685" s="81"/>
      <c r="Q2685" s="81"/>
      <c r="R2685" s="81"/>
      <c r="S2685" s="81"/>
      <c r="T2685" s="81"/>
      <c r="U2685" s="83"/>
      <c r="V2685" s="83"/>
      <c r="W2685" s="81"/>
      <c r="X2685" s="81"/>
      <c r="Y2685" s="83"/>
      <c r="Z2685" s="81"/>
      <c r="AA2685" s="81"/>
      <c r="AB2685" s="81"/>
      <c r="AC2685" s="81"/>
      <c r="AD2685" s="81"/>
      <c r="AE2685" s="83"/>
      <c r="AF2685" s="81"/>
      <c r="AG2685" s="81"/>
      <c r="AH2685" s="81"/>
      <c r="AI2685" s="81"/>
      <c r="AJ2685" s="83"/>
      <c r="AK2685" s="81"/>
      <c r="AL2685" s="81"/>
      <c r="AM2685" s="83"/>
      <c r="AN2685" s="80"/>
      <c r="AO2685" s="82" t="str">
        <f aca="false">IF(E2685="","",(AA2685&lt;&gt;"")+(AG2685&lt;&gt;"")+(AL2685&lt;&gt;""))</f>
        <v/>
      </c>
      <c r="AP2685" s="82" t="str">
        <f aca="false">IF(AL2685&lt;&gt;"",AL2685,IF(AG2685&lt;&gt;"",AG2685,IF(AA2685&lt;&gt;"",AA2685,"")))</f>
        <v/>
      </c>
      <c r="AQ2685" s="84" t="str">
        <f aca="false">IF(E2685="","",IF(U2685="","À SOUDER",IF(X2685="","VT EN ATTENTE",IF(X2685="R","VT REJETÉ – À REPRENDRE",IF(AP2685="","À RADIOGRAPHIER",IF(AP2685="A","ACCEPTÉ",IF(AP2685="NX","NX – RT À REFAIRE",IF(IF(AO2685=1,AD2685,IF(AO2685=2,AI2685,""))="A","RÉPARÉ – À RADIOGRAPHIER",IF(IF(AO2685=1,AD2685,IF(AO2685=2,AI2685,""))="R","VT REJETÉ – À REPRENDRE",IF(OR(AP2685="CO",AP2685="NT"),"COUPE – À RESOUDER","À RÉPARER"))))))))))</f>
        <v/>
      </c>
      <c r="AR2685" s="82" t="str">
        <f aca="false">IF(AND(ISNUMBER(U2685),OR(AQ2685="À RADIOGRAPHIER",AQ2685="RÉPARÉ – À RADIOGRAPHIER",AQ2685="NX – RT À REFAIRE",AQ2685="À RÉPARER",AQ2685="COUPE – À RESOUDER",AQ2685="VT REJETÉ – À REPRENDRE")),MAX(0,'PROGRAMME RT'!$C$4-U2685),"")</f>
        <v/>
      </c>
      <c r="AS2685" s="82" t="n">
        <f aca="false">IF(AND(OR(AQ2685="À RADIOGRAPHIER",AQ2685="RÉPARÉ – À RADIOGRAPHIER",AQ2685="NX – RT À REFAIRE"),OR('PROGRAMME RT'!$D$5="TOUTES",B2685='PROGRAMME RT'!$D$5)),1,0)</f>
        <v>0</v>
      </c>
      <c r="AT2685" s="82" t="str">
        <f aca="false">IF(AS2685=1,SUM(AS$7:AS2685),"")</f>
        <v/>
      </c>
      <c r="AU2685" s="82" t="n">
        <f aca="false">IF(AND(OR(AA2685="R",AA2685="NX",AA2685="NT",AA2685="CO"),OR('JOINTS DE RÉPARATION'!$D$5="TOUTES",B2685='JOINTS DE RÉPARATION'!$D$5),OR('JOINTS DE RÉPARATION'!$L$4="TOUS",AQ2685&lt;&gt;"ACCEPTÉ")),1,0)</f>
        <v>0</v>
      </c>
      <c r="AV2685" s="82" t="str">
        <f aca="false">IF(AU2685=1,SUM(AU$7:AU2685),"")</f>
        <v/>
      </c>
      <c r="AW2685" s="82" t="str">
        <f aca="false">IF(E2685="","",B2685&amp;"|"&amp;E2685)</f>
        <v/>
      </c>
    </row>
    <row r="2686" customFormat="false" ht="15" hidden="false" customHeight="false" outlineLevel="0" collapsed="false">
      <c r="A2686" s="79" t="str">
        <f aca="false">IF(E2686="","",ROW()-6)</f>
        <v/>
      </c>
      <c r="B2686" s="80"/>
      <c r="C2686" s="81"/>
      <c r="D2686" s="81"/>
      <c r="E2686" s="81"/>
      <c r="F2686" s="82" t="str">
        <f aca="false">IF(E2686="","",IF(LEFT(E2686,2)="DJ","DJ","JN"))</f>
        <v/>
      </c>
      <c r="G2686" s="81"/>
      <c r="H2686" s="81"/>
      <c r="I2686" s="81"/>
      <c r="J2686" s="81"/>
      <c r="K2686" s="81"/>
      <c r="L2686" s="81"/>
      <c r="M2686" s="81"/>
      <c r="N2686" s="81"/>
      <c r="O2686" s="81"/>
      <c r="P2686" s="81"/>
      <c r="Q2686" s="81"/>
      <c r="R2686" s="81"/>
      <c r="S2686" s="81"/>
      <c r="T2686" s="81"/>
      <c r="U2686" s="83"/>
      <c r="V2686" s="83"/>
      <c r="W2686" s="81"/>
      <c r="X2686" s="81"/>
      <c r="Y2686" s="83"/>
      <c r="Z2686" s="81"/>
      <c r="AA2686" s="81"/>
      <c r="AB2686" s="81"/>
      <c r="AC2686" s="81"/>
      <c r="AD2686" s="81"/>
      <c r="AE2686" s="83"/>
      <c r="AF2686" s="81"/>
      <c r="AG2686" s="81"/>
      <c r="AH2686" s="81"/>
      <c r="AI2686" s="81"/>
      <c r="AJ2686" s="83"/>
      <c r="AK2686" s="81"/>
      <c r="AL2686" s="81"/>
      <c r="AM2686" s="83"/>
      <c r="AN2686" s="80"/>
      <c r="AO2686" s="82" t="str">
        <f aca="false">IF(E2686="","",(AA2686&lt;&gt;"")+(AG2686&lt;&gt;"")+(AL2686&lt;&gt;""))</f>
        <v/>
      </c>
      <c r="AP2686" s="82" t="str">
        <f aca="false">IF(AL2686&lt;&gt;"",AL2686,IF(AG2686&lt;&gt;"",AG2686,IF(AA2686&lt;&gt;"",AA2686,"")))</f>
        <v/>
      </c>
      <c r="AQ2686" s="84" t="str">
        <f aca="false">IF(E2686="","",IF(U2686="","À SOUDER",IF(X2686="","VT EN ATTENTE",IF(X2686="R","VT REJETÉ – À REPRENDRE",IF(AP2686="","À RADIOGRAPHIER",IF(AP2686="A","ACCEPTÉ",IF(AP2686="NX","NX – RT À REFAIRE",IF(IF(AO2686=1,AD2686,IF(AO2686=2,AI2686,""))="A","RÉPARÉ – À RADIOGRAPHIER",IF(IF(AO2686=1,AD2686,IF(AO2686=2,AI2686,""))="R","VT REJETÉ – À REPRENDRE",IF(OR(AP2686="CO",AP2686="NT"),"COUPE – À RESOUDER","À RÉPARER"))))))))))</f>
        <v/>
      </c>
      <c r="AR2686" s="82" t="str">
        <f aca="false">IF(AND(ISNUMBER(U2686),OR(AQ2686="À RADIOGRAPHIER",AQ2686="RÉPARÉ – À RADIOGRAPHIER",AQ2686="NX – RT À REFAIRE",AQ2686="À RÉPARER",AQ2686="COUPE – À RESOUDER",AQ2686="VT REJETÉ – À REPRENDRE")),MAX(0,'PROGRAMME RT'!$C$4-U2686),"")</f>
        <v/>
      </c>
      <c r="AS2686" s="82" t="n">
        <f aca="false">IF(AND(OR(AQ2686="À RADIOGRAPHIER",AQ2686="RÉPARÉ – À RADIOGRAPHIER",AQ2686="NX – RT À REFAIRE"),OR('PROGRAMME RT'!$D$5="TOUTES",B2686='PROGRAMME RT'!$D$5)),1,0)</f>
        <v>0</v>
      </c>
      <c r="AT2686" s="82" t="str">
        <f aca="false">IF(AS2686=1,SUM(AS$7:AS2686),"")</f>
        <v/>
      </c>
      <c r="AU2686" s="82" t="n">
        <f aca="false">IF(AND(OR(AA2686="R",AA2686="NX",AA2686="NT",AA2686="CO"),OR('JOINTS DE RÉPARATION'!$D$5="TOUTES",B2686='JOINTS DE RÉPARATION'!$D$5),OR('JOINTS DE RÉPARATION'!$L$4="TOUS",AQ2686&lt;&gt;"ACCEPTÉ")),1,0)</f>
        <v>0</v>
      </c>
      <c r="AV2686" s="82" t="str">
        <f aca="false">IF(AU2686=1,SUM(AU$7:AU2686),"")</f>
        <v/>
      </c>
      <c r="AW2686" s="82" t="str">
        <f aca="false">IF(E2686="","",B2686&amp;"|"&amp;E2686)</f>
        <v/>
      </c>
    </row>
    <row r="2687" customFormat="false" ht="15" hidden="false" customHeight="false" outlineLevel="0" collapsed="false">
      <c r="A2687" s="79" t="str">
        <f aca="false">IF(E2687="","",ROW()-6)</f>
        <v/>
      </c>
      <c r="B2687" s="80"/>
      <c r="C2687" s="81"/>
      <c r="D2687" s="81"/>
      <c r="E2687" s="81"/>
      <c r="F2687" s="82" t="str">
        <f aca="false">IF(E2687="","",IF(LEFT(E2687,2)="DJ","DJ","JN"))</f>
        <v/>
      </c>
      <c r="G2687" s="81"/>
      <c r="H2687" s="81"/>
      <c r="I2687" s="81"/>
      <c r="J2687" s="81"/>
      <c r="K2687" s="81"/>
      <c r="L2687" s="81"/>
      <c r="M2687" s="81"/>
      <c r="N2687" s="81"/>
      <c r="O2687" s="81"/>
      <c r="P2687" s="81"/>
      <c r="Q2687" s="81"/>
      <c r="R2687" s="81"/>
      <c r="S2687" s="81"/>
      <c r="T2687" s="81"/>
      <c r="U2687" s="83"/>
      <c r="V2687" s="83"/>
      <c r="W2687" s="81"/>
      <c r="X2687" s="81"/>
      <c r="Y2687" s="83"/>
      <c r="Z2687" s="81"/>
      <c r="AA2687" s="81"/>
      <c r="AB2687" s="81"/>
      <c r="AC2687" s="81"/>
      <c r="AD2687" s="81"/>
      <c r="AE2687" s="83"/>
      <c r="AF2687" s="81"/>
      <c r="AG2687" s="81"/>
      <c r="AH2687" s="81"/>
      <c r="AI2687" s="81"/>
      <c r="AJ2687" s="83"/>
      <c r="AK2687" s="81"/>
      <c r="AL2687" s="81"/>
      <c r="AM2687" s="83"/>
      <c r="AN2687" s="80"/>
      <c r="AO2687" s="82" t="str">
        <f aca="false">IF(E2687="","",(AA2687&lt;&gt;"")+(AG2687&lt;&gt;"")+(AL2687&lt;&gt;""))</f>
        <v/>
      </c>
      <c r="AP2687" s="82" t="str">
        <f aca="false">IF(AL2687&lt;&gt;"",AL2687,IF(AG2687&lt;&gt;"",AG2687,IF(AA2687&lt;&gt;"",AA2687,"")))</f>
        <v/>
      </c>
      <c r="AQ2687" s="84" t="str">
        <f aca="false">IF(E2687="","",IF(U2687="","À SOUDER",IF(X2687="","VT EN ATTENTE",IF(X2687="R","VT REJETÉ – À REPRENDRE",IF(AP2687="","À RADIOGRAPHIER",IF(AP2687="A","ACCEPTÉ",IF(AP2687="NX","NX – RT À REFAIRE",IF(IF(AO2687=1,AD2687,IF(AO2687=2,AI2687,""))="A","RÉPARÉ – À RADIOGRAPHIER",IF(IF(AO2687=1,AD2687,IF(AO2687=2,AI2687,""))="R","VT REJETÉ – À REPRENDRE",IF(OR(AP2687="CO",AP2687="NT"),"COUPE – À RESOUDER","À RÉPARER"))))))))))</f>
        <v/>
      </c>
      <c r="AR2687" s="82" t="str">
        <f aca="false">IF(AND(ISNUMBER(U2687),OR(AQ2687="À RADIOGRAPHIER",AQ2687="RÉPARÉ – À RADIOGRAPHIER",AQ2687="NX – RT À REFAIRE",AQ2687="À RÉPARER",AQ2687="COUPE – À RESOUDER",AQ2687="VT REJETÉ – À REPRENDRE")),MAX(0,'PROGRAMME RT'!$C$4-U2687),"")</f>
        <v/>
      </c>
      <c r="AS2687" s="82" t="n">
        <f aca="false">IF(AND(OR(AQ2687="À RADIOGRAPHIER",AQ2687="RÉPARÉ – À RADIOGRAPHIER",AQ2687="NX – RT À REFAIRE"),OR('PROGRAMME RT'!$D$5="TOUTES",B2687='PROGRAMME RT'!$D$5)),1,0)</f>
        <v>0</v>
      </c>
      <c r="AT2687" s="82" t="str">
        <f aca="false">IF(AS2687=1,SUM(AS$7:AS2687),"")</f>
        <v/>
      </c>
      <c r="AU2687" s="82" t="n">
        <f aca="false">IF(AND(OR(AA2687="R",AA2687="NX",AA2687="NT",AA2687="CO"),OR('JOINTS DE RÉPARATION'!$D$5="TOUTES",B2687='JOINTS DE RÉPARATION'!$D$5),OR('JOINTS DE RÉPARATION'!$L$4="TOUS",AQ2687&lt;&gt;"ACCEPTÉ")),1,0)</f>
        <v>0</v>
      </c>
      <c r="AV2687" s="82" t="str">
        <f aca="false">IF(AU2687=1,SUM(AU$7:AU2687),"")</f>
        <v/>
      </c>
      <c r="AW2687" s="82" t="str">
        <f aca="false">IF(E2687="","",B2687&amp;"|"&amp;E2687)</f>
        <v/>
      </c>
    </row>
    <row r="2688" customFormat="false" ht="15" hidden="false" customHeight="false" outlineLevel="0" collapsed="false">
      <c r="A2688" s="79" t="str">
        <f aca="false">IF(E2688="","",ROW()-6)</f>
        <v/>
      </c>
      <c r="B2688" s="80"/>
      <c r="C2688" s="81"/>
      <c r="D2688" s="81"/>
      <c r="E2688" s="81"/>
      <c r="F2688" s="82" t="str">
        <f aca="false">IF(E2688="","",IF(LEFT(E2688,2)="DJ","DJ","JN"))</f>
        <v/>
      </c>
      <c r="G2688" s="81"/>
      <c r="H2688" s="81"/>
      <c r="I2688" s="81"/>
      <c r="J2688" s="81"/>
      <c r="K2688" s="81"/>
      <c r="L2688" s="81"/>
      <c r="M2688" s="81"/>
      <c r="N2688" s="81"/>
      <c r="O2688" s="81"/>
      <c r="P2688" s="81"/>
      <c r="Q2688" s="81"/>
      <c r="R2688" s="81"/>
      <c r="S2688" s="81"/>
      <c r="T2688" s="81"/>
      <c r="U2688" s="83"/>
      <c r="V2688" s="83"/>
      <c r="W2688" s="81"/>
      <c r="X2688" s="81"/>
      <c r="Y2688" s="83"/>
      <c r="Z2688" s="81"/>
      <c r="AA2688" s="81"/>
      <c r="AB2688" s="81"/>
      <c r="AC2688" s="81"/>
      <c r="AD2688" s="81"/>
      <c r="AE2688" s="83"/>
      <c r="AF2688" s="81"/>
      <c r="AG2688" s="81"/>
      <c r="AH2688" s="81"/>
      <c r="AI2688" s="81"/>
      <c r="AJ2688" s="83"/>
      <c r="AK2688" s="81"/>
      <c r="AL2688" s="81"/>
      <c r="AM2688" s="83"/>
      <c r="AN2688" s="80"/>
      <c r="AO2688" s="82" t="str">
        <f aca="false">IF(E2688="","",(AA2688&lt;&gt;"")+(AG2688&lt;&gt;"")+(AL2688&lt;&gt;""))</f>
        <v/>
      </c>
      <c r="AP2688" s="82" t="str">
        <f aca="false">IF(AL2688&lt;&gt;"",AL2688,IF(AG2688&lt;&gt;"",AG2688,IF(AA2688&lt;&gt;"",AA2688,"")))</f>
        <v/>
      </c>
      <c r="AQ2688" s="84" t="str">
        <f aca="false">IF(E2688="","",IF(U2688="","À SOUDER",IF(X2688="","VT EN ATTENTE",IF(X2688="R","VT REJETÉ – À REPRENDRE",IF(AP2688="","À RADIOGRAPHIER",IF(AP2688="A","ACCEPTÉ",IF(AP2688="NX","NX – RT À REFAIRE",IF(IF(AO2688=1,AD2688,IF(AO2688=2,AI2688,""))="A","RÉPARÉ – À RADIOGRAPHIER",IF(IF(AO2688=1,AD2688,IF(AO2688=2,AI2688,""))="R","VT REJETÉ – À REPRENDRE",IF(OR(AP2688="CO",AP2688="NT"),"COUPE – À RESOUDER","À RÉPARER"))))))))))</f>
        <v/>
      </c>
      <c r="AR2688" s="82" t="str">
        <f aca="false">IF(AND(ISNUMBER(U2688),OR(AQ2688="À RADIOGRAPHIER",AQ2688="RÉPARÉ – À RADIOGRAPHIER",AQ2688="NX – RT À REFAIRE",AQ2688="À RÉPARER",AQ2688="COUPE – À RESOUDER",AQ2688="VT REJETÉ – À REPRENDRE")),MAX(0,'PROGRAMME RT'!$C$4-U2688),"")</f>
        <v/>
      </c>
      <c r="AS2688" s="82" t="n">
        <f aca="false">IF(AND(OR(AQ2688="À RADIOGRAPHIER",AQ2688="RÉPARÉ – À RADIOGRAPHIER",AQ2688="NX – RT À REFAIRE"),OR('PROGRAMME RT'!$D$5="TOUTES",B2688='PROGRAMME RT'!$D$5)),1,0)</f>
        <v>0</v>
      </c>
      <c r="AT2688" s="82" t="str">
        <f aca="false">IF(AS2688=1,SUM(AS$7:AS2688),"")</f>
        <v/>
      </c>
      <c r="AU2688" s="82" t="n">
        <f aca="false">IF(AND(OR(AA2688="R",AA2688="NX",AA2688="NT",AA2688="CO"),OR('JOINTS DE RÉPARATION'!$D$5="TOUTES",B2688='JOINTS DE RÉPARATION'!$D$5),OR('JOINTS DE RÉPARATION'!$L$4="TOUS",AQ2688&lt;&gt;"ACCEPTÉ")),1,0)</f>
        <v>0</v>
      </c>
      <c r="AV2688" s="82" t="str">
        <f aca="false">IF(AU2688=1,SUM(AU$7:AU2688),"")</f>
        <v/>
      </c>
      <c r="AW2688" s="82" t="str">
        <f aca="false">IF(E2688="","",B2688&amp;"|"&amp;E2688)</f>
        <v/>
      </c>
    </row>
    <row r="2689" customFormat="false" ht="15" hidden="false" customHeight="false" outlineLevel="0" collapsed="false">
      <c r="A2689" s="79" t="str">
        <f aca="false">IF(E2689="","",ROW()-6)</f>
        <v/>
      </c>
      <c r="B2689" s="80"/>
      <c r="C2689" s="81"/>
      <c r="D2689" s="81"/>
      <c r="E2689" s="81"/>
      <c r="F2689" s="82" t="str">
        <f aca="false">IF(E2689="","",IF(LEFT(E2689,2)="DJ","DJ","JN"))</f>
        <v/>
      </c>
      <c r="G2689" s="81"/>
      <c r="H2689" s="81"/>
      <c r="I2689" s="81"/>
      <c r="J2689" s="81"/>
      <c r="K2689" s="81"/>
      <c r="L2689" s="81"/>
      <c r="M2689" s="81"/>
      <c r="N2689" s="81"/>
      <c r="O2689" s="81"/>
      <c r="P2689" s="81"/>
      <c r="Q2689" s="81"/>
      <c r="R2689" s="81"/>
      <c r="S2689" s="81"/>
      <c r="T2689" s="81"/>
      <c r="U2689" s="83"/>
      <c r="V2689" s="83"/>
      <c r="W2689" s="81"/>
      <c r="X2689" s="81"/>
      <c r="Y2689" s="83"/>
      <c r="Z2689" s="81"/>
      <c r="AA2689" s="81"/>
      <c r="AB2689" s="81"/>
      <c r="AC2689" s="81"/>
      <c r="AD2689" s="81"/>
      <c r="AE2689" s="83"/>
      <c r="AF2689" s="81"/>
      <c r="AG2689" s="81"/>
      <c r="AH2689" s="81"/>
      <c r="AI2689" s="81"/>
      <c r="AJ2689" s="83"/>
      <c r="AK2689" s="81"/>
      <c r="AL2689" s="81"/>
      <c r="AM2689" s="83"/>
      <c r="AN2689" s="80"/>
      <c r="AO2689" s="82" t="str">
        <f aca="false">IF(E2689="","",(AA2689&lt;&gt;"")+(AG2689&lt;&gt;"")+(AL2689&lt;&gt;""))</f>
        <v/>
      </c>
      <c r="AP2689" s="82" t="str">
        <f aca="false">IF(AL2689&lt;&gt;"",AL2689,IF(AG2689&lt;&gt;"",AG2689,IF(AA2689&lt;&gt;"",AA2689,"")))</f>
        <v/>
      </c>
      <c r="AQ2689" s="84" t="str">
        <f aca="false">IF(E2689="","",IF(U2689="","À SOUDER",IF(X2689="","VT EN ATTENTE",IF(X2689="R","VT REJETÉ – À REPRENDRE",IF(AP2689="","À RADIOGRAPHIER",IF(AP2689="A","ACCEPTÉ",IF(AP2689="NX","NX – RT À REFAIRE",IF(IF(AO2689=1,AD2689,IF(AO2689=2,AI2689,""))="A","RÉPARÉ – À RADIOGRAPHIER",IF(IF(AO2689=1,AD2689,IF(AO2689=2,AI2689,""))="R","VT REJETÉ – À REPRENDRE",IF(OR(AP2689="CO",AP2689="NT"),"COUPE – À RESOUDER","À RÉPARER"))))))))))</f>
        <v/>
      </c>
      <c r="AR2689" s="82" t="str">
        <f aca="false">IF(AND(ISNUMBER(U2689),OR(AQ2689="À RADIOGRAPHIER",AQ2689="RÉPARÉ – À RADIOGRAPHIER",AQ2689="NX – RT À REFAIRE",AQ2689="À RÉPARER",AQ2689="COUPE – À RESOUDER",AQ2689="VT REJETÉ – À REPRENDRE")),MAX(0,'PROGRAMME RT'!$C$4-U2689),"")</f>
        <v/>
      </c>
      <c r="AS2689" s="82" t="n">
        <f aca="false">IF(AND(OR(AQ2689="À RADIOGRAPHIER",AQ2689="RÉPARÉ – À RADIOGRAPHIER",AQ2689="NX – RT À REFAIRE"),OR('PROGRAMME RT'!$D$5="TOUTES",B2689='PROGRAMME RT'!$D$5)),1,0)</f>
        <v>0</v>
      </c>
      <c r="AT2689" s="82" t="str">
        <f aca="false">IF(AS2689=1,SUM(AS$7:AS2689),"")</f>
        <v/>
      </c>
      <c r="AU2689" s="82" t="n">
        <f aca="false">IF(AND(OR(AA2689="R",AA2689="NX",AA2689="NT",AA2689="CO"),OR('JOINTS DE RÉPARATION'!$D$5="TOUTES",B2689='JOINTS DE RÉPARATION'!$D$5),OR('JOINTS DE RÉPARATION'!$L$4="TOUS",AQ2689&lt;&gt;"ACCEPTÉ")),1,0)</f>
        <v>0</v>
      </c>
      <c r="AV2689" s="82" t="str">
        <f aca="false">IF(AU2689=1,SUM(AU$7:AU2689),"")</f>
        <v/>
      </c>
      <c r="AW2689" s="82" t="str">
        <f aca="false">IF(E2689="","",B2689&amp;"|"&amp;E2689)</f>
        <v/>
      </c>
    </row>
    <row r="2690" customFormat="false" ht="15" hidden="false" customHeight="false" outlineLevel="0" collapsed="false">
      <c r="A2690" s="79" t="str">
        <f aca="false">IF(E2690="","",ROW()-6)</f>
        <v/>
      </c>
      <c r="B2690" s="80"/>
      <c r="C2690" s="81"/>
      <c r="D2690" s="81"/>
      <c r="E2690" s="81"/>
      <c r="F2690" s="82" t="str">
        <f aca="false">IF(E2690="","",IF(LEFT(E2690,2)="DJ","DJ","JN"))</f>
        <v/>
      </c>
      <c r="G2690" s="81"/>
      <c r="H2690" s="81"/>
      <c r="I2690" s="81"/>
      <c r="J2690" s="81"/>
      <c r="K2690" s="81"/>
      <c r="L2690" s="81"/>
      <c r="M2690" s="81"/>
      <c r="N2690" s="81"/>
      <c r="O2690" s="81"/>
      <c r="P2690" s="81"/>
      <c r="Q2690" s="81"/>
      <c r="R2690" s="81"/>
      <c r="S2690" s="81"/>
      <c r="T2690" s="81"/>
      <c r="U2690" s="83"/>
      <c r="V2690" s="83"/>
      <c r="W2690" s="81"/>
      <c r="X2690" s="81"/>
      <c r="Y2690" s="83"/>
      <c r="Z2690" s="81"/>
      <c r="AA2690" s="81"/>
      <c r="AB2690" s="81"/>
      <c r="AC2690" s="81"/>
      <c r="AD2690" s="81"/>
      <c r="AE2690" s="83"/>
      <c r="AF2690" s="81"/>
      <c r="AG2690" s="81"/>
      <c r="AH2690" s="81"/>
      <c r="AI2690" s="81"/>
      <c r="AJ2690" s="83"/>
      <c r="AK2690" s="81"/>
      <c r="AL2690" s="81"/>
      <c r="AM2690" s="83"/>
      <c r="AN2690" s="80"/>
      <c r="AO2690" s="82" t="str">
        <f aca="false">IF(E2690="","",(AA2690&lt;&gt;"")+(AG2690&lt;&gt;"")+(AL2690&lt;&gt;""))</f>
        <v/>
      </c>
      <c r="AP2690" s="82" t="str">
        <f aca="false">IF(AL2690&lt;&gt;"",AL2690,IF(AG2690&lt;&gt;"",AG2690,IF(AA2690&lt;&gt;"",AA2690,"")))</f>
        <v/>
      </c>
      <c r="AQ2690" s="84" t="str">
        <f aca="false">IF(E2690="","",IF(U2690="","À SOUDER",IF(X2690="","VT EN ATTENTE",IF(X2690="R","VT REJETÉ – À REPRENDRE",IF(AP2690="","À RADIOGRAPHIER",IF(AP2690="A","ACCEPTÉ",IF(AP2690="NX","NX – RT À REFAIRE",IF(IF(AO2690=1,AD2690,IF(AO2690=2,AI2690,""))="A","RÉPARÉ – À RADIOGRAPHIER",IF(IF(AO2690=1,AD2690,IF(AO2690=2,AI2690,""))="R","VT REJETÉ – À REPRENDRE",IF(OR(AP2690="CO",AP2690="NT"),"COUPE – À RESOUDER","À RÉPARER"))))))))))</f>
        <v/>
      </c>
      <c r="AR2690" s="82" t="str">
        <f aca="false">IF(AND(ISNUMBER(U2690),OR(AQ2690="À RADIOGRAPHIER",AQ2690="RÉPARÉ – À RADIOGRAPHIER",AQ2690="NX – RT À REFAIRE",AQ2690="À RÉPARER",AQ2690="COUPE – À RESOUDER",AQ2690="VT REJETÉ – À REPRENDRE")),MAX(0,'PROGRAMME RT'!$C$4-U2690),"")</f>
        <v/>
      </c>
      <c r="AS2690" s="82" t="n">
        <f aca="false">IF(AND(OR(AQ2690="À RADIOGRAPHIER",AQ2690="RÉPARÉ – À RADIOGRAPHIER",AQ2690="NX – RT À REFAIRE"),OR('PROGRAMME RT'!$D$5="TOUTES",B2690='PROGRAMME RT'!$D$5)),1,0)</f>
        <v>0</v>
      </c>
      <c r="AT2690" s="82" t="str">
        <f aca="false">IF(AS2690=1,SUM(AS$7:AS2690),"")</f>
        <v/>
      </c>
      <c r="AU2690" s="82" t="n">
        <f aca="false">IF(AND(OR(AA2690="R",AA2690="NX",AA2690="NT",AA2690="CO"),OR('JOINTS DE RÉPARATION'!$D$5="TOUTES",B2690='JOINTS DE RÉPARATION'!$D$5),OR('JOINTS DE RÉPARATION'!$L$4="TOUS",AQ2690&lt;&gt;"ACCEPTÉ")),1,0)</f>
        <v>0</v>
      </c>
      <c r="AV2690" s="82" t="str">
        <f aca="false">IF(AU2690=1,SUM(AU$7:AU2690),"")</f>
        <v/>
      </c>
      <c r="AW2690" s="82" t="str">
        <f aca="false">IF(E2690="","",B2690&amp;"|"&amp;E2690)</f>
        <v/>
      </c>
    </row>
    <row r="2691" customFormat="false" ht="15" hidden="false" customHeight="false" outlineLevel="0" collapsed="false">
      <c r="A2691" s="79" t="str">
        <f aca="false">IF(E2691="","",ROW()-6)</f>
        <v/>
      </c>
      <c r="B2691" s="80"/>
      <c r="C2691" s="81"/>
      <c r="D2691" s="81"/>
      <c r="E2691" s="81"/>
      <c r="F2691" s="82" t="str">
        <f aca="false">IF(E2691="","",IF(LEFT(E2691,2)="DJ","DJ","JN"))</f>
        <v/>
      </c>
      <c r="G2691" s="81"/>
      <c r="H2691" s="81"/>
      <c r="I2691" s="81"/>
      <c r="J2691" s="81"/>
      <c r="K2691" s="81"/>
      <c r="L2691" s="81"/>
      <c r="M2691" s="81"/>
      <c r="N2691" s="81"/>
      <c r="O2691" s="81"/>
      <c r="P2691" s="81"/>
      <c r="Q2691" s="81"/>
      <c r="R2691" s="81"/>
      <c r="S2691" s="81"/>
      <c r="T2691" s="81"/>
      <c r="U2691" s="83"/>
      <c r="V2691" s="83"/>
      <c r="W2691" s="81"/>
      <c r="X2691" s="81"/>
      <c r="Y2691" s="83"/>
      <c r="Z2691" s="81"/>
      <c r="AA2691" s="81"/>
      <c r="AB2691" s="81"/>
      <c r="AC2691" s="81"/>
      <c r="AD2691" s="81"/>
      <c r="AE2691" s="83"/>
      <c r="AF2691" s="81"/>
      <c r="AG2691" s="81"/>
      <c r="AH2691" s="81"/>
      <c r="AI2691" s="81"/>
      <c r="AJ2691" s="83"/>
      <c r="AK2691" s="81"/>
      <c r="AL2691" s="81"/>
      <c r="AM2691" s="83"/>
      <c r="AN2691" s="80"/>
      <c r="AO2691" s="82" t="str">
        <f aca="false">IF(E2691="","",(AA2691&lt;&gt;"")+(AG2691&lt;&gt;"")+(AL2691&lt;&gt;""))</f>
        <v/>
      </c>
      <c r="AP2691" s="82" t="str">
        <f aca="false">IF(AL2691&lt;&gt;"",AL2691,IF(AG2691&lt;&gt;"",AG2691,IF(AA2691&lt;&gt;"",AA2691,"")))</f>
        <v/>
      </c>
      <c r="AQ2691" s="84" t="str">
        <f aca="false">IF(E2691="","",IF(U2691="","À SOUDER",IF(X2691="","VT EN ATTENTE",IF(X2691="R","VT REJETÉ – À REPRENDRE",IF(AP2691="","À RADIOGRAPHIER",IF(AP2691="A","ACCEPTÉ",IF(AP2691="NX","NX – RT À REFAIRE",IF(IF(AO2691=1,AD2691,IF(AO2691=2,AI2691,""))="A","RÉPARÉ – À RADIOGRAPHIER",IF(IF(AO2691=1,AD2691,IF(AO2691=2,AI2691,""))="R","VT REJETÉ – À REPRENDRE",IF(OR(AP2691="CO",AP2691="NT"),"COUPE – À RESOUDER","À RÉPARER"))))))))))</f>
        <v/>
      </c>
      <c r="AR2691" s="82" t="str">
        <f aca="false">IF(AND(ISNUMBER(U2691),OR(AQ2691="À RADIOGRAPHIER",AQ2691="RÉPARÉ – À RADIOGRAPHIER",AQ2691="NX – RT À REFAIRE",AQ2691="À RÉPARER",AQ2691="COUPE – À RESOUDER",AQ2691="VT REJETÉ – À REPRENDRE")),MAX(0,'PROGRAMME RT'!$C$4-U2691),"")</f>
        <v/>
      </c>
      <c r="AS2691" s="82" t="n">
        <f aca="false">IF(AND(OR(AQ2691="À RADIOGRAPHIER",AQ2691="RÉPARÉ – À RADIOGRAPHIER",AQ2691="NX – RT À REFAIRE"),OR('PROGRAMME RT'!$D$5="TOUTES",B2691='PROGRAMME RT'!$D$5)),1,0)</f>
        <v>0</v>
      </c>
      <c r="AT2691" s="82" t="str">
        <f aca="false">IF(AS2691=1,SUM(AS$7:AS2691),"")</f>
        <v/>
      </c>
      <c r="AU2691" s="82" t="n">
        <f aca="false">IF(AND(OR(AA2691="R",AA2691="NX",AA2691="NT",AA2691="CO"),OR('JOINTS DE RÉPARATION'!$D$5="TOUTES",B2691='JOINTS DE RÉPARATION'!$D$5),OR('JOINTS DE RÉPARATION'!$L$4="TOUS",AQ2691&lt;&gt;"ACCEPTÉ")),1,0)</f>
        <v>0</v>
      </c>
      <c r="AV2691" s="82" t="str">
        <f aca="false">IF(AU2691=1,SUM(AU$7:AU2691),"")</f>
        <v/>
      </c>
      <c r="AW2691" s="82" t="str">
        <f aca="false">IF(E2691="","",B2691&amp;"|"&amp;E2691)</f>
        <v/>
      </c>
    </row>
    <row r="2692" customFormat="false" ht="15" hidden="false" customHeight="false" outlineLevel="0" collapsed="false">
      <c r="A2692" s="79" t="str">
        <f aca="false">IF(E2692="","",ROW()-6)</f>
        <v/>
      </c>
      <c r="B2692" s="80"/>
      <c r="C2692" s="81"/>
      <c r="D2692" s="81"/>
      <c r="E2692" s="81"/>
      <c r="F2692" s="82" t="str">
        <f aca="false">IF(E2692="","",IF(LEFT(E2692,2)="DJ","DJ","JN"))</f>
        <v/>
      </c>
      <c r="G2692" s="81"/>
      <c r="H2692" s="81"/>
      <c r="I2692" s="81"/>
      <c r="J2692" s="81"/>
      <c r="K2692" s="81"/>
      <c r="L2692" s="81"/>
      <c r="M2692" s="81"/>
      <c r="N2692" s="81"/>
      <c r="O2692" s="81"/>
      <c r="P2692" s="81"/>
      <c r="Q2692" s="81"/>
      <c r="R2692" s="81"/>
      <c r="S2692" s="81"/>
      <c r="T2692" s="81"/>
      <c r="U2692" s="83"/>
      <c r="V2692" s="83"/>
      <c r="W2692" s="81"/>
      <c r="X2692" s="81"/>
      <c r="Y2692" s="83"/>
      <c r="Z2692" s="81"/>
      <c r="AA2692" s="81"/>
      <c r="AB2692" s="81"/>
      <c r="AC2692" s="81"/>
      <c r="AD2692" s="81"/>
      <c r="AE2692" s="83"/>
      <c r="AF2692" s="81"/>
      <c r="AG2692" s="81"/>
      <c r="AH2692" s="81"/>
      <c r="AI2692" s="81"/>
      <c r="AJ2692" s="83"/>
      <c r="AK2692" s="81"/>
      <c r="AL2692" s="81"/>
      <c r="AM2692" s="83"/>
      <c r="AN2692" s="80"/>
      <c r="AO2692" s="82" t="str">
        <f aca="false">IF(E2692="","",(AA2692&lt;&gt;"")+(AG2692&lt;&gt;"")+(AL2692&lt;&gt;""))</f>
        <v/>
      </c>
      <c r="AP2692" s="82" t="str">
        <f aca="false">IF(AL2692&lt;&gt;"",AL2692,IF(AG2692&lt;&gt;"",AG2692,IF(AA2692&lt;&gt;"",AA2692,"")))</f>
        <v/>
      </c>
      <c r="AQ2692" s="84" t="str">
        <f aca="false">IF(E2692="","",IF(U2692="","À SOUDER",IF(X2692="","VT EN ATTENTE",IF(X2692="R","VT REJETÉ – À REPRENDRE",IF(AP2692="","À RADIOGRAPHIER",IF(AP2692="A","ACCEPTÉ",IF(AP2692="NX","NX – RT À REFAIRE",IF(IF(AO2692=1,AD2692,IF(AO2692=2,AI2692,""))="A","RÉPARÉ – À RADIOGRAPHIER",IF(IF(AO2692=1,AD2692,IF(AO2692=2,AI2692,""))="R","VT REJETÉ – À REPRENDRE",IF(OR(AP2692="CO",AP2692="NT"),"COUPE – À RESOUDER","À RÉPARER"))))))))))</f>
        <v/>
      </c>
      <c r="AR2692" s="82" t="str">
        <f aca="false">IF(AND(ISNUMBER(U2692),OR(AQ2692="À RADIOGRAPHIER",AQ2692="RÉPARÉ – À RADIOGRAPHIER",AQ2692="NX – RT À REFAIRE",AQ2692="À RÉPARER",AQ2692="COUPE – À RESOUDER",AQ2692="VT REJETÉ – À REPRENDRE")),MAX(0,'PROGRAMME RT'!$C$4-U2692),"")</f>
        <v/>
      </c>
      <c r="AS2692" s="82" t="n">
        <f aca="false">IF(AND(OR(AQ2692="À RADIOGRAPHIER",AQ2692="RÉPARÉ – À RADIOGRAPHIER",AQ2692="NX – RT À REFAIRE"),OR('PROGRAMME RT'!$D$5="TOUTES",B2692='PROGRAMME RT'!$D$5)),1,0)</f>
        <v>0</v>
      </c>
      <c r="AT2692" s="82" t="str">
        <f aca="false">IF(AS2692=1,SUM(AS$7:AS2692),"")</f>
        <v/>
      </c>
      <c r="AU2692" s="82" t="n">
        <f aca="false">IF(AND(OR(AA2692="R",AA2692="NX",AA2692="NT",AA2692="CO"),OR('JOINTS DE RÉPARATION'!$D$5="TOUTES",B2692='JOINTS DE RÉPARATION'!$D$5),OR('JOINTS DE RÉPARATION'!$L$4="TOUS",AQ2692&lt;&gt;"ACCEPTÉ")),1,0)</f>
        <v>0</v>
      </c>
      <c r="AV2692" s="82" t="str">
        <f aca="false">IF(AU2692=1,SUM(AU$7:AU2692),"")</f>
        <v/>
      </c>
      <c r="AW2692" s="82" t="str">
        <f aca="false">IF(E2692="","",B2692&amp;"|"&amp;E2692)</f>
        <v/>
      </c>
    </row>
    <row r="2693" customFormat="false" ht="15" hidden="false" customHeight="false" outlineLevel="0" collapsed="false">
      <c r="A2693" s="79" t="str">
        <f aca="false">IF(E2693="","",ROW()-6)</f>
        <v/>
      </c>
      <c r="B2693" s="80"/>
      <c r="C2693" s="81"/>
      <c r="D2693" s="81"/>
      <c r="E2693" s="81"/>
      <c r="F2693" s="82" t="str">
        <f aca="false">IF(E2693="","",IF(LEFT(E2693,2)="DJ","DJ","JN"))</f>
        <v/>
      </c>
      <c r="G2693" s="81"/>
      <c r="H2693" s="81"/>
      <c r="I2693" s="81"/>
      <c r="J2693" s="81"/>
      <c r="K2693" s="81"/>
      <c r="L2693" s="81"/>
      <c r="M2693" s="81"/>
      <c r="N2693" s="81"/>
      <c r="O2693" s="81"/>
      <c r="P2693" s="81"/>
      <c r="Q2693" s="81"/>
      <c r="R2693" s="81"/>
      <c r="S2693" s="81"/>
      <c r="T2693" s="81"/>
      <c r="U2693" s="83"/>
      <c r="V2693" s="83"/>
      <c r="W2693" s="81"/>
      <c r="X2693" s="81"/>
      <c r="Y2693" s="83"/>
      <c r="Z2693" s="81"/>
      <c r="AA2693" s="81"/>
      <c r="AB2693" s="81"/>
      <c r="AC2693" s="81"/>
      <c r="AD2693" s="81"/>
      <c r="AE2693" s="83"/>
      <c r="AF2693" s="81"/>
      <c r="AG2693" s="81"/>
      <c r="AH2693" s="81"/>
      <c r="AI2693" s="81"/>
      <c r="AJ2693" s="83"/>
      <c r="AK2693" s="81"/>
      <c r="AL2693" s="81"/>
      <c r="AM2693" s="83"/>
      <c r="AN2693" s="80"/>
      <c r="AO2693" s="82" t="str">
        <f aca="false">IF(E2693="","",(AA2693&lt;&gt;"")+(AG2693&lt;&gt;"")+(AL2693&lt;&gt;""))</f>
        <v/>
      </c>
      <c r="AP2693" s="82" t="str">
        <f aca="false">IF(AL2693&lt;&gt;"",AL2693,IF(AG2693&lt;&gt;"",AG2693,IF(AA2693&lt;&gt;"",AA2693,"")))</f>
        <v/>
      </c>
      <c r="AQ2693" s="84" t="str">
        <f aca="false">IF(E2693="","",IF(U2693="","À SOUDER",IF(X2693="","VT EN ATTENTE",IF(X2693="R","VT REJETÉ – À REPRENDRE",IF(AP2693="","À RADIOGRAPHIER",IF(AP2693="A","ACCEPTÉ",IF(AP2693="NX","NX – RT À REFAIRE",IF(IF(AO2693=1,AD2693,IF(AO2693=2,AI2693,""))="A","RÉPARÉ – À RADIOGRAPHIER",IF(IF(AO2693=1,AD2693,IF(AO2693=2,AI2693,""))="R","VT REJETÉ – À REPRENDRE",IF(OR(AP2693="CO",AP2693="NT"),"COUPE – À RESOUDER","À RÉPARER"))))))))))</f>
        <v/>
      </c>
      <c r="AR2693" s="82" t="str">
        <f aca="false">IF(AND(ISNUMBER(U2693),OR(AQ2693="À RADIOGRAPHIER",AQ2693="RÉPARÉ – À RADIOGRAPHIER",AQ2693="NX – RT À REFAIRE",AQ2693="À RÉPARER",AQ2693="COUPE – À RESOUDER",AQ2693="VT REJETÉ – À REPRENDRE")),MAX(0,'PROGRAMME RT'!$C$4-U2693),"")</f>
        <v/>
      </c>
      <c r="AS2693" s="82" t="n">
        <f aca="false">IF(AND(OR(AQ2693="À RADIOGRAPHIER",AQ2693="RÉPARÉ – À RADIOGRAPHIER",AQ2693="NX – RT À REFAIRE"),OR('PROGRAMME RT'!$D$5="TOUTES",B2693='PROGRAMME RT'!$D$5)),1,0)</f>
        <v>0</v>
      </c>
      <c r="AT2693" s="82" t="str">
        <f aca="false">IF(AS2693=1,SUM(AS$7:AS2693),"")</f>
        <v/>
      </c>
      <c r="AU2693" s="82" t="n">
        <f aca="false">IF(AND(OR(AA2693="R",AA2693="NX",AA2693="NT",AA2693="CO"),OR('JOINTS DE RÉPARATION'!$D$5="TOUTES",B2693='JOINTS DE RÉPARATION'!$D$5),OR('JOINTS DE RÉPARATION'!$L$4="TOUS",AQ2693&lt;&gt;"ACCEPTÉ")),1,0)</f>
        <v>0</v>
      </c>
      <c r="AV2693" s="82" t="str">
        <f aca="false">IF(AU2693=1,SUM(AU$7:AU2693),"")</f>
        <v/>
      </c>
      <c r="AW2693" s="82" t="str">
        <f aca="false">IF(E2693="","",B2693&amp;"|"&amp;E2693)</f>
        <v/>
      </c>
    </row>
    <row r="2694" customFormat="false" ht="15" hidden="false" customHeight="false" outlineLevel="0" collapsed="false">
      <c r="A2694" s="79" t="str">
        <f aca="false">IF(E2694="","",ROW()-6)</f>
        <v/>
      </c>
      <c r="B2694" s="80"/>
      <c r="C2694" s="81"/>
      <c r="D2694" s="81"/>
      <c r="E2694" s="81"/>
      <c r="F2694" s="82" t="str">
        <f aca="false">IF(E2694="","",IF(LEFT(E2694,2)="DJ","DJ","JN"))</f>
        <v/>
      </c>
      <c r="G2694" s="81"/>
      <c r="H2694" s="81"/>
      <c r="I2694" s="81"/>
      <c r="J2694" s="81"/>
      <c r="K2694" s="81"/>
      <c r="L2694" s="81"/>
      <c r="M2694" s="81"/>
      <c r="N2694" s="81"/>
      <c r="O2694" s="81"/>
      <c r="P2694" s="81"/>
      <c r="Q2694" s="81"/>
      <c r="R2694" s="81"/>
      <c r="S2694" s="81"/>
      <c r="T2694" s="81"/>
      <c r="U2694" s="83"/>
      <c r="V2694" s="83"/>
      <c r="W2694" s="81"/>
      <c r="X2694" s="81"/>
      <c r="Y2694" s="83"/>
      <c r="Z2694" s="81"/>
      <c r="AA2694" s="81"/>
      <c r="AB2694" s="81"/>
      <c r="AC2694" s="81"/>
      <c r="AD2694" s="81"/>
      <c r="AE2694" s="83"/>
      <c r="AF2694" s="81"/>
      <c r="AG2694" s="81"/>
      <c r="AH2694" s="81"/>
      <c r="AI2694" s="81"/>
      <c r="AJ2694" s="83"/>
      <c r="AK2694" s="81"/>
      <c r="AL2694" s="81"/>
      <c r="AM2694" s="83"/>
      <c r="AN2694" s="80"/>
      <c r="AO2694" s="82" t="str">
        <f aca="false">IF(E2694="","",(AA2694&lt;&gt;"")+(AG2694&lt;&gt;"")+(AL2694&lt;&gt;""))</f>
        <v/>
      </c>
      <c r="AP2694" s="82" t="str">
        <f aca="false">IF(AL2694&lt;&gt;"",AL2694,IF(AG2694&lt;&gt;"",AG2694,IF(AA2694&lt;&gt;"",AA2694,"")))</f>
        <v/>
      </c>
      <c r="AQ2694" s="84" t="str">
        <f aca="false">IF(E2694="","",IF(U2694="","À SOUDER",IF(X2694="","VT EN ATTENTE",IF(X2694="R","VT REJETÉ – À REPRENDRE",IF(AP2694="","À RADIOGRAPHIER",IF(AP2694="A","ACCEPTÉ",IF(AP2694="NX","NX – RT À REFAIRE",IF(IF(AO2694=1,AD2694,IF(AO2694=2,AI2694,""))="A","RÉPARÉ – À RADIOGRAPHIER",IF(IF(AO2694=1,AD2694,IF(AO2694=2,AI2694,""))="R","VT REJETÉ – À REPRENDRE",IF(OR(AP2694="CO",AP2694="NT"),"COUPE – À RESOUDER","À RÉPARER"))))))))))</f>
        <v/>
      </c>
      <c r="AR2694" s="82" t="str">
        <f aca="false">IF(AND(ISNUMBER(U2694),OR(AQ2694="À RADIOGRAPHIER",AQ2694="RÉPARÉ – À RADIOGRAPHIER",AQ2694="NX – RT À REFAIRE",AQ2694="À RÉPARER",AQ2694="COUPE – À RESOUDER",AQ2694="VT REJETÉ – À REPRENDRE")),MAX(0,'PROGRAMME RT'!$C$4-U2694),"")</f>
        <v/>
      </c>
      <c r="AS2694" s="82" t="n">
        <f aca="false">IF(AND(OR(AQ2694="À RADIOGRAPHIER",AQ2694="RÉPARÉ – À RADIOGRAPHIER",AQ2694="NX – RT À REFAIRE"),OR('PROGRAMME RT'!$D$5="TOUTES",B2694='PROGRAMME RT'!$D$5)),1,0)</f>
        <v>0</v>
      </c>
      <c r="AT2694" s="82" t="str">
        <f aca="false">IF(AS2694=1,SUM(AS$7:AS2694),"")</f>
        <v/>
      </c>
      <c r="AU2694" s="82" t="n">
        <f aca="false">IF(AND(OR(AA2694="R",AA2694="NX",AA2694="NT",AA2694="CO"),OR('JOINTS DE RÉPARATION'!$D$5="TOUTES",B2694='JOINTS DE RÉPARATION'!$D$5),OR('JOINTS DE RÉPARATION'!$L$4="TOUS",AQ2694&lt;&gt;"ACCEPTÉ")),1,0)</f>
        <v>0</v>
      </c>
      <c r="AV2694" s="82" t="str">
        <f aca="false">IF(AU2694=1,SUM(AU$7:AU2694),"")</f>
        <v/>
      </c>
      <c r="AW2694" s="82" t="str">
        <f aca="false">IF(E2694="","",B2694&amp;"|"&amp;E2694)</f>
        <v/>
      </c>
    </row>
    <row r="2695" customFormat="false" ht="15" hidden="false" customHeight="false" outlineLevel="0" collapsed="false">
      <c r="A2695" s="79" t="str">
        <f aca="false">IF(E2695="","",ROW()-6)</f>
        <v/>
      </c>
      <c r="B2695" s="80"/>
      <c r="C2695" s="81"/>
      <c r="D2695" s="81"/>
      <c r="E2695" s="81"/>
      <c r="F2695" s="82" t="str">
        <f aca="false">IF(E2695="","",IF(LEFT(E2695,2)="DJ","DJ","JN"))</f>
        <v/>
      </c>
      <c r="G2695" s="81"/>
      <c r="H2695" s="81"/>
      <c r="I2695" s="81"/>
      <c r="J2695" s="81"/>
      <c r="K2695" s="81"/>
      <c r="L2695" s="81"/>
      <c r="M2695" s="81"/>
      <c r="N2695" s="81"/>
      <c r="O2695" s="81"/>
      <c r="P2695" s="81"/>
      <c r="Q2695" s="81"/>
      <c r="R2695" s="81"/>
      <c r="S2695" s="81"/>
      <c r="T2695" s="81"/>
      <c r="U2695" s="83"/>
      <c r="V2695" s="83"/>
      <c r="W2695" s="81"/>
      <c r="X2695" s="81"/>
      <c r="Y2695" s="83"/>
      <c r="Z2695" s="81"/>
      <c r="AA2695" s="81"/>
      <c r="AB2695" s="81"/>
      <c r="AC2695" s="81"/>
      <c r="AD2695" s="81"/>
      <c r="AE2695" s="83"/>
      <c r="AF2695" s="81"/>
      <c r="AG2695" s="81"/>
      <c r="AH2695" s="81"/>
      <c r="AI2695" s="81"/>
      <c r="AJ2695" s="83"/>
      <c r="AK2695" s="81"/>
      <c r="AL2695" s="81"/>
      <c r="AM2695" s="83"/>
      <c r="AN2695" s="80"/>
      <c r="AO2695" s="82" t="str">
        <f aca="false">IF(E2695="","",(AA2695&lt;&gt;"")+(AG2695&lt;&gt;"")+(AL2695&lt;&gt;""))</f>
        <v/>
      </c>
      <c r="AP2695" s="82" t="str">
        <f aca="false">IF(AL2695&lt;&gt;"",AL2695,IF(AG2695&lt;&gt;"",AG2695,IF(AA2695&lt;&gt;"",AA2695,"")))</f>
        <v/>
      </c>
      <c r="AQ2695" s="84" t="str">
        <f aca="false">IF(E2695="","",IF(U2695="","À SOUDER",IF(X2695="","VT EN ATTENTE",IF(X2695="R","VT REJETÉ – À REPRENDRE",IF(AP2695="","À RADIOGRAPHIER",IF(AP2695="A","ACCEPTÉ",IF(AP2695="NX","NX – RT À REFAIRE",IF(IF(AO2695=1,AD2695,IF(AO2695=2,AI2695,""))="A","RÉPARÉ – À RADIOGRAPHIER",IF(IF(AO2695=1,AD2695,IF(AO2695=2,AI2695,""))="R","VT REJETÉ – À REPRENDRE",IF(OR(AP2695="CO",AP2695="NT"),"COUPE – À RESOUDER","À RÉPARER"))))))))))</f>
        <v/>
      </c>
      <c r="AR2695" s="82" t="str">
        <f aca="false">IF(AND(ISNUMBER(U2695),OR(AQ2695="À RADIOGRAPHIER",AQ2695="RÉPARÉ – À RADIOGRAPHIER",AQ2695="NX – RT À REFAIRE",AQ2695="À RÉPARER",AQ2695="COUPE – À RESOUDER",AQ2695="VT REJETÉ – À REPRENDRE")),MAX(0,'PROGRAMME RT'!$C$4-U2695),"")</f>
        <v/>
      </c>
      <c r="AS2695" s="82" t="n">
        <f aca="false">IF(AND(OR(AQ2695="À RADIOGRAPHIER",AQ2695="RÉPARÉ – À RADIOGRAPHIER",AQ2695="NX – RT À REFAIRE"),OR('PROGRAMME RT'!$D$5="TOUTES",B2695='PROGRAMME RT'!$D$5)),1,0)</f>
        <v>0</v>
      </c>
      <c r="AT2695" s="82" t="str">
        <f aca="false">IF(AS2695=1,SUM(AS$7:AS2695),"")</f>
        <v/>
      </c>
      <c r="AU2695" s="82" t="n">
        <f aca="false">IF(AND(OR(AA2695="R",AA2695="NX",AA2695="NT",AA2695="CO"),OR('JOINTS DE RÉPARATION'!$D$5="TOUTES",B2695='JOINTS DE RÉPARATION'!$D$5),OR('JOINTS DE RÉPARATION'!$L$4="TOUS",AQ2695&lt;&gt;"ACCEPTÉ")),1,0)</f>
        <v>0</v>
      </c>
      <c r="AV2695" s="82" t="str">
        <f aca="false">IF(AU2695=1,SUM(AU$7:AU2695),"")</f>
        <v/>
      </c>
      <c r="AW2695" s="82" t="str">
        <f aca="false">IF(E2695="","",B2695&amp;"|"&amp;E2695)</f>
        <v/>
      </c>
    </row>
    <row r="2696" customFormat="false" ht="15" hidden="false" customHeight="false" outlineLevel="0" collapsed="false">
      <c r="A2696" s="79" t="str">
        <f aca="false">IF(E2696="","",ROW()-6)</f>
        <v/>
      </c>
      <c r="B2696" s="80"/>
      <c r="C2696" s="81"/>
      <c r="D2696" s="81"/>
      <c r="E2696" s="81"/>
      <c r="F2696" s="82" t="str">
        <f aca="false">IF(E2696="","",IF(LEFT(E2696,2)="DJ","DJ","JN"))</f>
        <v/>
      </c>
      <c r="G2696" s="81"/>
      <c r="H2696" s="81"/>
      <c r="I2696" s="81"/>
      <c r="J2696" s="81"/>
      <c r="K2696" s="81"/>
      <c r="L2696" s="81"/>
      <c r="M2696" s="81"/>
      <c r="N2696" s="81"/>
      <c r="O2696" s="81"/>
      <c r="P2696" s="81"/>
      <c r="Q2696" s="81"/>
      <c r="R2696" s="81"/>
      <c r="S2696" s="81"/>
      <c r="T2696" s="81"/>
      <c r="U2696" s="83"/>
      <c r="V2696" s="83"/>
      <c r="W2696" s="81"/>
      <c r="X2696" s="81"/>
      <c r="Y2696" s="83"/>
      <c r="Z2696" s="81"/>
      <c r="AA2696" s="81"/>
      <c r="AB2696" s="81"/>
      <c r="AC2696" s="81"/>
      <c r="AD2696" s="81"/>
      <c r="AE2696" s="83"/>
      <c r="AF2696" s="81"/>
      <c r="AG2696" s="81"/>
      <c r="AH2696" s="81"/>
      <c r="AI2696" s="81"/>
      <c r="AJ2696" s="83"/>
      <c r="AK2696" s="81"/>
      <c r="AL2696" s="81"/>
      <c r="AM2696" s="83"/>
      <c r="AN2696" s="80"/>
      <c r="AO2696" s="82" t="str">
        <f aca="false">IF(E2696="","",(AA2696&lt;&gt;"")+(AG2696&lt;&gt;"")+(AL2696&lt;&gt;""))</f>
        <v/>
      </c>
      <c r="AP2696" s="82" t="str">
        <f aca="false">IF(AL2696&lt;&gt;"",AL2696,IF(AG2696&lt;&gt;"",AG2696,IF(AA2696&lt;&gt;"",AA2696,"")))</f>
        <v/>
      </c>
      <c r="AQ2696" s="84" t="str">
        <f aca="false">IF(E2696="","",IF(U2696="","À SOUDER",IF(X2696="","VT EN ATTENTE",IF(X2696="R","VT REJETÉ – À REPRENDRE",IF(AP2696="","À RADIOGRAPHIER",IF(AP2696="A","ACCEPTÉ",IF(AP2696="NX","NX – RT À REFAIRE",IF(IF(AO2696=1,AD2696,IF(AO2696=2,AI2696,""))="A","RÉPARÉ – À RADIOGRAPHIER",IF(IF(AO2696=1,AD2696,IF(AO2696=2,AI2696,""))="R","VT REJETÉ – À REPRENDRE",IF(OR(AP2696="CO",AP2696="NT"),"COUPE – À RESOUDER","À RÉPARER"))))))))))</f>
        <v/>
      </c>
      <c r="AR2696" s="82" t="str">
        <f aca="false">IF(AND(ISNUMBER(U2696),OR(AQ2696="À RADIOGRAPHIER",AQ2696="RÉPARÉ – À RADIOGRAPHIER",AQ2696="NX – RT À REFAIRE",AQ2696="À RÉPARER",AQ2696="COUPE – À RESOUDER",AQ2696="VT REJETÉ – À REPRENDRE")),MAX(0,'PROGRAMME RT'!$C$4-U2696),"")</f>
        <v/>
      </c>
      <c r="AS2696" s="82" t="n">
        <f aca="false">IF(AND(OR(AQ2696="À RADIOGRAPHIER",AQ2696="RÉPARÉ – À RADIOGRAPHIER",AQ2696="NX – RT À REFAIRE"),OR('PROGRAMME RT'!$D$5="TOUTES",B2696='PROGRAMME RT'!$D$5)),1,0)</f>
        <v>0</v>
      </c>
      <c r="AT2696" s="82" t="str">
        <f aca="false">IF(AS2696=1,SUM(AS$7:AS2696),"")</f>
        <v/>
      </c>
      <c r="AU2696" s="82" t="n">
        <f aca="false">IF(AND(OR(AA2696="R",AA2696="NX",AA2696="NT",AA2696="CO"),OR('JOINTS DE RÉPARATION'!$D$5="TOUTES",B2696='JOINTS DE RÉPARATION'!$D$5),OR('JOINTS DE RÉPARATION'!$L$4="TOUS",AQ2696&lt;&gt;"ACCEPTÉ")),1,0)</f>
        <v>0</v>
      </c>
      <c r="AV2696" s="82" t="str">
        <f aca="false">IF(AU2696=1,SUM(AU$7:AU2696),"")</f>
        <v/>
      </c>
      <c r="AW2696" s="82" t="str">
        <f aca="false">IF(E2696="","",B2696&amp;"|"&amp;E2696)</f>
        <v/>
      </c>
    </row>
    <row r="2697" customFormat="false" ht="15" hidden="false" customHeight="false" outlineLevel="0" collapsed="false">
      <c r="A2697" s="79" t="str">
        <f aca="false">IF(E2697="","",ROW()-6)</f>
        <v/>
      </c>
      <c r="B2697" s="80"/>
      <c r="C2697" s="81"/>
      <c r="D2697" s="81"/>
      <c r="E2697" s="81"/>
      <c r="F2697" s="82" t="str">
        <f aca="false">IF(E2697="","",IF(LEFT(E2697,2)="DJ","DJ","JN"))</f>
        <v/>
      </c>
      <c r="G2697" s="81"/>
      <c r="H2697" s="81"/>
      <c r="I2697" s="81"/>
      <c r="J2697" s="81"/>
      <c r="K2697" s="81"/>
      <c r="L2697" s="81"/>
      <c r="M2697" s="81"/>
      <c r="N2697" s="81"/>
      <c r="O2697" s="81"/>
      <c r="P2697" s="81"/>
      <c r="Q2697" s="81"/>
      <c r="R2697" s="81"/>
      <c r="S2697" s="81"/>
      <c r="T2697" s="81"/>
      <c r="U2697" s="83"/>
      <c r="V2697" s="83"/>
      <c r="W2697" s="81"/>
      <c r="X2697" s="81"/>
      <c r="Y2697" s="83"/>
      <c r="Z2697" s="81"/>
      <c r="AA2697" s="81"/>
      <c r="AB2697" s="81"/>
      <c r="AC2697" s="81"/>
      <c r="AD2697" s="81"/>
      <c r="AE2697" s="83"/>
      <c r="AF2697" s="81"/>
      <c r="AG2697" s="81"/>
      <c r="AH2697" s="81"/>
      <c r="AI2697" s="81"/>
      <c r="AJ2697" s="83"/>
      <c r="AK2697" s="81"/>
      <c r="AL2697" s="81"/>
      <c r="AM2697" s="83"/>
      <c r="AN2697" s="80"/>
      <c r="AO2697" s="82" t="str">
        <f aca="false">IF(E2697="","",(AA2697&lt;&gt;"")+(AG2697&lt;&gt;"")+(AL2697&lt;&gt;""))</f>
        <v/>
      </c>
      <c r="AP2697" s="82" t="str">
        <f aca="false">IF(AL2697&lt;&gt;"",AL2697,IF(AG2697&lt;&gt;"",AG2697,IF(AA2697&lt;&gt;"",AA2697,"")))</f>
        <v/>
      </c>
      <c r="AQ2697" s="84" t="str">
        <f aca="false">IF(E2697="","",IF(U2697="","À SOUDER",IF(X2697="","VT EN ATTENTE",IF(X2697="R","VT REJETÉ – À REPRENDRE",IF(AP2697="","À RADIOGRAPHIER",IF(AP2697="A","ACCEPTÉ",IF(AP2697="NX","NX – RT À REFAIRE",IF(IF(AO2697=1,AD2697,IF(AO2697=2,AI2697,""))="A","RÉPARÉ – À RADIOGRAPHIER",IF(IF(AO2697=1,AD2697,IF(AO2697=2,AI2697,""))="R","VT REJETÉ – À REPRENDRE",IF(OR(AP2697="CO",AP2697="NT"),"COUPE – À RESOUDER","À RÉPARER"))))))))))</f>
        <v/>
      </c>
      <c r="AR2697" s="82" t="str">
        <f aca="false">IF(AND(ISNUMBER(U2697),OR(AQ2697="À RADIOGRAPHIER",AQ2697="RÉPARÉ – À RADIOGRAPHIER",AQ2697="NX – RT À REFAIRE",AQ2697="À RÉPARER",AQ2697="COUPE – À RESOUDER",AQ2697="VT REJETÉ – À REPRENDRE")),MAX(0,'PROGRAMME RT'!$C$4-U2697),"")</f>
        <v/>
      </c>
      <c r="AS2697" s="82" t="n">
        <f aca="false">IF(AND(OR(AQ2697="À RADIOGRAPHIER",AQ2697="RÉPARÉ – À RADIOGRAPHIER",AQ2697="NX – RT À REFAIRE"),OR('PROGRAMME RT'!$D$5="TOUTES",B2697='PROGRAMME RT'!$D$5)),1,0)</f>
        <v>0</v>
      </c>
      <c r="AT2697" s="82" t="str">
        <f aca="false">IF(AS2697=1,SUM(AS$7:AS2697),"")</f>
        <v/>
      </c>
      <c r="AU2697" s="82" t="n">
        <f aca="false">IF(AND(OR(AA2697="R",AA2697="NX",AA2697="NT",AA2697="CO"),OR('JOINTS DE RÉPARATION'!$D$5="TOUTES",B2697='JOINTS DE RÉPARATION'!$D$5),OR('JOINTS DE RÉPARATION'!$L$4="TOUS",AQ2697&lt;&gt;"ACCEPTÉ")),1,0)</f>
        <v>0</v>
      </c>
      <c r="AV2697" s="82" t="str">
        <f aca="false">IF(AU2697=1,SUM(AU$7:AU2697),"")</f>
        <v/>
      </c>
      <c r="AW2697" s="82" t="str">
        <f aca="false">IF(E2697="","",B2697&amp;"|"&amp;E2697)</f>
        <v/>
      </c>
    </row>
    <row r="2698" customFormat="false" ht="15" hidden="false" customHeight="false" outlineLevel="0" collapsed="false">
      <c r="A2698" s="79" t="str">
        <f aca="false">IF(E2698="","",ROW()-6)</f>
        <v/>
      </c>
      <c r="B2698" s="80"/>
      <c r="C2698" s="81"/>
      <c r="D2698" s="81"/>
      <c r="E2698" s="81"/>
      <c r="F2698" s="82" t="str">
        <f aca="false">IF(E2698="","",IF(LEFT(E2698,2)="DJ","DJ","JN"))</f>
        <v/>
      </c>
      <c r="G2698" s="81"/>
      <c r="H2698" s="81"/>
      <c r="I2698" s="81"/>
      <c r="J2698" s="81"/>
      <c r="K2698" s="81"/>
      <c r="L2698" s="81"/>
      <c r="M2698" s="81"/>
      <c r="N2698" s="81"/>
      <c r="O2698" s="81"/>
      <c r="P2698" s="81"/>
      <c r="Q2698" s="81"/>
      <c r="R2698" s="81"/>
      <c r="S2698" s="81"/>
      <c r="T2698" s="81"/>
      <c r="U2698" s="83"/>
      <c r="V2698" s="83"/>
      <c r="W2698" s="81"/>
      <c r="X2698" s="81"/>
      <c r="Y2698" s="83"/>
      <c r="Z2698" s="81"/>
      <c r="AA2698" s="81"/>
      <c r="AB2698" s="81"/>
      <c r="AC2698" s="81"/>
      <c r="AD2698" s="81"/>
      <c r="AE2698" s="83"/>
      <c r="AF2698" s="81"/>
      <c r="AG2698" s="81"/>
      <c r="AH2698" s="81"/>
      <c r="AI2698" s="81"/>
      <c r="AJ2698" s="83"/>
      <c r="AK2698" s="81"/>
      <c r="AL2698" s="81"/>
      <c r="AM2698" s="83"/>
      <c r="AN2698" s="80"/>
      <c r="AO2698" s="82" t="str">
        <f aca="false">IF(E2698="","",(AA2698&lt;&gt;"")+(AG2698&lt;&gt;"")+(AL2698&lt;&gt;""))</f>
        <v/>
      </c>
      <c r="AP2698" s="82" t="str">
        <f aca="false">IF(AL2698&lt;&gt;"",AL2698,IF(AG2698&lt;&gt;"",AG2698,IF(AA2698&lt;&gt;"",AA2698,"")))</f>
        <v/>
      </c>
      <c r="AQ2698" s="84" t="str">
        <f aca="false">IF(E2698="","",IF(U2698="","À SOUDER",IF(X2698="","VT EN ATTENTE",IF(X2698="R","VT REJETÉ – À REPRENDRE",IF(AP2698="","À RADIOGRAPHIER",IF(AP2698="A","ACCEPTÉ",IF(AP2698="NX","NX – RT À REFAIRE",IF(IF(AO2698=1,AD2698,IF(AO2698=2,AI2698,""))="A","RÉPARÉ – À RADIOGRAPHIER",IF(IF(AO2698=1,AD2698,IF(AO2698=2,AI2698,""))="R","VT REJETÉ – À REPRENDRE",IF(OR(AP2698="CO",AP2698="NT"),"COUPE – À RESOUDER","À RÉPARER"))))))))))</f>
        <v/>
      </c>
      <c r="AR2698" s="82" t="str">
        <f aca="false">IF(AND(ISNUMBER(U2698),OR(AQ2698="À RADIOGRAPHIER",AQ2698="RÉPARÉ – À RADIOGRAPHIER",AQ2698="NX – RT À REFAIRE",AQ2698="À RÉPARER",AQ2698="COUPE – À RESOUDER",AQ2698="VT REJETÉ – À REPRENDRE")),MAX(0,'PROGRAMME RT'!$C$4-U2698),"")</f>
        <v/>
      </c>
      <c r="AS2698" s="82" t="n">
        <f aca="false">IF(AND(OR(AQ2698="À RADIOGRAPHIER",AQ2698="RÉPARÉ – À RADIOGRAPHIER",AQ2698="NX – RT À REFAIRE"),OR('PROGRAMME RT'!$D$5="TOUTES",B2698='PROGRAMME RT'!$D$5)),1,0)</f>
        <v>0</v>
      </c>
      <c r="AT2698" s="82" t="str">
        <f aca="false">IF(AS2698=1,SUM(AS$7:AS2698),"")</f>
        <v/>
      </c>
      <c r="AU2698" s="82" t="n">
        <f aca="false">IF(AND(OR(AA2698="R",AA2698="NX",AA2698="NT",AA2698="CO"),OR('JOINTS DE RÉPARATION'!$D$5="TOUTES",B2698='JOINTS DE RÉPARATION'!$D$5),OR('JOINTS DE RÉPARATION'!$L$4="TOUS",AQ2698&lt;&gt;"ACCEPTÉ")),1,0)</f>
        <v>0</v>
      </c>
      <c r="AV2698" s="82" t="str">
        <f aca="false">IF(AU2698=1,SUM(AU$7:AU2698),"")</f>
        <v/>
      </c>
      <c r="AW2698" s="82" t="str">
        <f aca="false">IF(E2698="","",B2698&amp;"|"&amp;E2698)</f>
        <v/>
      </c>
    </row>
    <row r="2699" customFormat="false" ht="15" hidden="false" customHeight="false" outlineLevel="0" collapsed="false">
      <c r="A2699" s="79" t="str">
        <f aca="false">IF(E2699="","",ROW()-6)</f>
        <v/>
      </c>
      <c r="B2699" s="80"/>
      <c r="C2699" s="81"/>
      <c r="D2699" s="81"/>
      <c r="E2699" s="81"/>
      <c r="F2699" s="82" t="str">
        <f aca="false">IF(E2699="","",IF(LEFT(E2699,2)="DJ","DJ","JN"))</f>
        <v/>
      </c>
      <c r="G2699" s="81"/>
      <c r="H2699" s="81"/>
      <c r="I2699" s="81"/>
      <c r="J2699" s="81"/>
      <c r="K2699" s="81"/>
      <c r="L2699" s="81"/>
      <c r="M2699" s="81"/>
      <c r="N2699" s="81"/>
      <c r="O2699" s="81"/>
      <c r="P2699" s="81"/>
      <c r="Q2699" s="81"/>
      <c r="R2699" s="81"/>
      <c r="S2699" s="81"/>
      <c r="T2699" s="81"/>
      <c r="U2699" s="83"/>
      <c r="V2699" s="83"/>
      <c r="W2699" s="81"/>
      <c r="X2699" s="81"/>
      <c r="Y2699" s="83"/>
      <c r="Z2699" s="81"/>
      <c r="AA2699" s="81"/>
      <c r="AB2699" s="81"/>
      <c r="AC2699" s="81"/>
      <c r="AD2699" s="81"/>
      <c r="AE2699" s="83"/>
      <c r="AF2699" s="81"/>
      <c r="AG2699" s="81"/>
      <c r="AH2699" s="81"/>
      <c r="AI2699" s="81"/>
      <c r="AJ2699" s="83"/>
      <c r="AK2699" s="81"/>
      <c r="AL2699" s="81"/>
      <c r="AM2699" s="83"/>
      <c r="AN2699" s="80"/>
      <c r="AO2699" s="82" t="str">
        <f aca="false">IF(E2699="","",(AA2699&lt;&gt;"")+(AG2699&lt;&gt;"")+(AL2699&lt;&gt;""))</f>
        <v/>
      </c>
      <c r="AP2699" s="82" t="str">
        <f aca="false">IF(AL2699&lt;&gt;"",AL2699,IF(AG2699&lt;&gt;"",AG2699,IF(AA2699&lt;&gt;"",AA2699,"")))</f>
        <v/>
      </c>
      <c r="AQ2699" s="84" t="str">
        <f aca="false">IF(E2699="","",IF(U2699="","À SOUDER",IF(X2699="","VT EN ATTENTE",IF(X2699="R","VT REJETÉ – À REPRENDRE",IF(AP2699="","À RADIOGRAPHIER",IF(AP2699="A","ACCEPTÉ",IF(AP2699="NX","NX – RT À REFAIRE",IF(IF(AO2699=1,AD2699,IF(AO2699=2,AI2699,""))="A","RÉPARÉ – À RADIOGRAPHIER",IF(IF(AO2699=1,AD2699,IF(AO2699=2,AI2699,""))="R","VT REJETÉ – À REPRENDRE",IF(OR(AP2699="CO",AP2699="NT"),"COUPE – À RESOUDER","À RÉPARER"))))))))))</f>
        <v/>
      </c>
      <c r="AR2699" s="82" t="str">
        <f aca="false">IF(AND(ISNUMBER(U2699),OR(AQ2699="À RADIOGRAPHIER",AQ2699="RÉPARÉ – À RADIOGRAPHIER",AQ2699="NX – RT À REFAIRE",AQ2699="À RÉPARER",AQ2699="COUPE – À RESOUDER",AQ2699="VT REJETÉ – À REPRENDRE")),MAX(0,'PROGRAMME RT'!$C$4-U2699),"")</f>
        <v/>
      </c>
      <c r="AS2699" s="82" t="n">
        <f aca="false">IF(AND(OR(AQ2699="À RADIOGRAPHIER",AQ2699="RÉPARÉ – À RADIOGRAPHIER",AQ2699="NX – RT À REFAIRE"),OR('PROGRAMME RT'!$D$5="TOUTES",B2699='PROGRAMME RT'!$D$5)),1,0)</f>
        <v>0</v>
      </c>
      <c r="AT2699" s="82" t="str">
        <f aca="false">IF(AS2699=1,SUM(AS$7:AS2699),"")</f>
        <v/>
      </c>
      <c r="AU2699" s="82" t="n">
        <f aca="false">IF(AND(OR(AA2699="R",AA2699="NX",AA2699="NT",AA2699="CO"),OR('JOINTS DE RÉPARATION'!$D$5="TOUTES",B2699='JOINTS DE RÉPARATION'!$D$5),OR('JOINTS DE RÉPARATION'!$L$4="TOUS",AQ2699&lt;&gt;"ACCEPTÉ")),1,0)</f>
        <v>0</v>
      </c>
      <c r="AV2699" s="82" t="str">
        <f aca="false">IF(AU2699=1,SUM(AU$7:AU2699),"")</f>
        <v/>
      </c>
      <c r="AW2699" s="82" t="str">
        <f aca="false">IF(E2699="","",B2699&amp;"|"&amp;E2699)</f>
        <v/>
      </c>
    </row>
    <row r="2700" customFormat="false" ht="15" hidden="false" customHeight="false" outlineLevel="0" collapsed="false">
      <c r="A2700" s="79" t="str">
        <f aca="false">IF(E2700="","",ROW()-6)</f>
        <v/>
      </c>
      <c r="B2700" s="80"/>
      <c r="C2700" s="81"/>
      <c r="D2700" s="81"/>
      <c r="E2700" s="81"/>
      <c r="F2700" s="82" t="str">
        <f aca="false">IF(E2700="","",IF(LEFT(E2700,2)="DJ","DJ","JN"))</f>
        <v/>
      </c>
      <c r="G2700" s="81"/>
      <c r="H2700" s="81"/>
      <c r="I2700" s="81"/>
      <c r="J2700" s="81"/>
      <c r="K2700" s="81"/>
      <c r="L2700" s="81"/>
      <c r="M2700" s="81"/>
      <c r="N2700" s="81"/>
      <c r="O2700" s="81"/>
      <c r="P2700" s="81"/>
      <c r="Q2700" s="81"/>
      <c r="R2700" s="81"/>
      <c r="S2700" s="81"/>
      <c r="T2700" s="81"/>
      <c r="U2700" s="83"/>
      <c r="V2700" s="83"/>
      <c r="W2700" s="81"/>
      <c r="X2700" s="81"/>
      <c r="Y2700" s="83"/>
      <c r="Z2700" s="81"/>
      <c r="AA2700" s="81"/>
      <c r="AB2700" s="81"/>
      <c r="AC2700" s="81"/>
      <c r="AD2700" s="81"/>
      <c r="AE2700" s="83"/>
      <c r="AF2700" s="81"/>
      <c r="AG2700" s="81"/>
      <c r="AH2700" s="81"/>
      <c r="AI2700" s="81"/>
      <c r="AJ2700" s="83"/>
      <c r="AK2700" s="81"/>
      <c r="AL2700" s="81"/>
      <c r="AM2700" s="83"/>
      <c r="AN2700" s="80"/>
      <c r="AO2700" s="82" t="str">
        <f aca="false">IF(E2700="","",(AA2700&lt;&gt;"")+(AG2700&lt;&gt;"")+(AL2700&lt;&gt;""))</f>
        <v/>
      </c>
      <c r="AP2700" s="82" t="str">
        <f aca="false">IF(AL2700&lt;&gt;"",AL2700,IF(AG2700&lt;&gt;"",AG2700,IF(AA2700&lt;&gt;"",AA2700,"")))</f>
        <v/>
      </c>
      <c r="AQ2700" s="84" t="str">
        <f aca="false">IF(E2700="","",IF(U2700="","À SOUDER",IF(X2700="","VT EN ATTENTE",IF(X2700="R","VT REJETÉ – À REPRENDRE",IF(AP2700="","À RADIOGRAPHIER",IF(AP2700="A","ACCEPTÉ",IF(AP2700="NX","NX – RT À REFAIRE",IF(IF(AO2700=1,AD2700,IF(AO2700=2,AI2700,""))="A","RÉPARÉ – À RADIOGRAPHIER",IF(IF(AO2700=1,AD2700,IF(AO2700=2,AI2700,""))="R","VT REJETÉ – À REPRENDRE",IF(OR(AP2700="CO",AP2700="NT"),"COUPE – À RESOUDER","À RÉPARER"))))))))))</f>
        <v/>
      </c>
      <c r="AR2700" s="82" t="str">
        <f aca="false">IF(AND(ISNUMBER(U2700),OR(AQ2700="À RADIOGRAPHIER",AQ2700="RÉPARÉ – À RADIOGRAPHIER",AQ2700="NX – RT À REFAIRE",AQ2700="À RÉPARER",AQ2700="COUPE – À RESOUDER",AQ2700="VT REJETÉ – À REPRENDRE")),MAX(0,'PROGRAMME RT'!$C$4-U2700),"")</f>
        <v/>
      </c>
      <c r="AS2700" s="82" t="n">
        <f aca="false">IF(AND(OR(AQ2700="À RADIOGRAPHIER",AQ2700="RÉPARÉ – À RADIOGRAPHIER",AQ2700="NX – RT À REFAIRE"),OR('PROGRAMME RT'!$D$5="TOUTES",B2700='PROGRAMME RT'!$D$5)),1,0)</f>
        <v>0</v>
      </c>
      <c r="AT2700" s="82" t="str">
        <f aca="false">IF(AS2700=1,SUM(AS$7:AS2700),"")</f>
        <v/>
      </c>
      <c r="AU2700" s="82" t="n">
        <f aca="false">IF(AND(OR(AA2700="R",AA2700="NX",AA2700="NT",AA2700="CO"),OR('JOINTS DE RÉPARATION'!$D$5="TOUTES",B2700='JOINTS DE RÉPARATION'!$D$5),OR('JOINTS DE RÉPARATION'!$L$4="TOUS",AQ2700&lt;&gt;"ACCEPTÉ")),1,0)</f>
        <v>0</v>
      </c>
      <c r="AV2700" s="82" t="str">
        <f aca="false">IF(AU2700=1,SUM(AU$7:AU2700),"")</f>
        <v/>
      </c>
      <c r="AW2700" s="82" t="str">
        <f aca="false">IF(E2700="","",B2700&amp;"|"&amp;E2700)</f>
        <v/>
      </c>
    </row>
    <row r="2701" customFormat="false" ht="15" hidden="false" customHeight="false" outlineLevel="0" collapsed="false">
      <c r="A2701" s="79" t="str">
        <f aca="false">IF(E2701="","",ROW()-6)</f>
        <v/>
      </c>
      <c r="B2701" s="80"/>
      <c r="C2701" s="81"/>
      <c r="D2701" s="81"/>
      <c r="E2701" s="81"/>
      <c r="F2701" s="82" t="str">
        <f aca="false">IF(E2701="","",IF(LEFT(E2701,2)="DJ","DJ","JN"))</f>
        <v/>
      </c>
      <c r="G2701" s="81"/>
      <c r="H2701" s="81"/>
      <c r="I2701" s="81"/>
      <c r="J2701" s="81"/>
      <c r="K2701" s="81"/>
      <c r="L2701" s="81"/>
      <c r="M2701" s="81"/>
      <c r="N2701" s="81"/>
      <c r="O2701" s="81"/>
      <c r="P2701" s="81"/>
      <c r="Q2701" s="81"/>
      <c r="R2701" s="81"/>
      <c r="S2701" s="81"/>
      <c r="T2701" s="81"/>
      <c r="U2701" s="83"/>
      <c r="V2701" s="83"/>
      <c r="W2701" s="81"/>
      <c r="X2701" s="81"/>
      <c r="Y2701" s="83"/>
      <c r="Z2701" s="81"/>
      <c r="AA2701" s="81"/>
      <c r="AB2701" s="81"/>
      <c r="AC2701" s="81"/>
      <c r="AD2701" s="81"/>
      <c r="AE2701" s="83"/>
      <c r="AF2701" s="81"/>
      <c r="AG2701" s="81"/>
      <c r="AH2701" s="81"/>
      <c r="AI2701" s="81"/>
      <c r="AJ2701" s="83"/>
      <c r="AK2701" s="81"/>
      <c r="AL2701" s="81"/>
      <c r="AM2701" s="83"/>
      <c r="AN2701" s="80"/>
      <c r="AO2701" s="82" t="str">
        <f aca="false">IF(E2701="","",(AA2701&lt;&gt;"")+(AG2701&lt;&gt;"")+(AL2701&lt;&gt;""))</f>
        <v/>
      </c>
      <c r="AP2701" s="82" t="str">
        <f aca="false">IF(AL2701&lt;&gt;"",AL2701,IF(AG2701&lt;&gt;"",AG2701,IF(AA2701&lt;&gt;"",AA2701,"")))</f>
        <v/>
      </c>
      <c r="AQ2701" s="84" t="str">
        <f aca="false">IF(E2701="","",IF(U2701="","À SOUDER",IF(X2701="","VT EN ATTENTE",IF(X2701="R","VT REJETÉ – À REPRENDRE",IF(AP2701="","À RADIOGRAPHIER",IF(AP2701="A","ACCEPTÉ",IF(AP2701="NX","NX – RT À REFAIRE",IF(IF(AO2701=1,AD2701,IF(AO2701=2,AI2701,""))="A","RÉPARÉ – À RADIOGRAPHIER",IF(IF(AO2701=1,AD2701,IF(AO2701=2,AI2701,""))="R","VT REJETÉ – À REPRENDRE",IF(OR(AP2701="CO",AP2701="NT"),"COUPE – À RESOUDER","À RÉPARER"))))))))))</f>
        <v/>
      </c>
      <c r="AR2701" s="82" t="str">
        <f aca="false">IF(AND(ISNUMBER(U2701),OR(AQ2701="À RADIOGRAPHIER",AQ2701="RÉPARÉ – À RADIOGRAPHIER",AQ2701="NX – RT À REFAIRE",AQ2701="À RÉPARER",AQ2701="COUPE – À RESOUDER",AQ2701="VT REJETÉ – À REPRENDRE")),MAX(0,'PROGRAMME RT'!$C$4-U2701),"")</f>
        <v/>
      </c>
      <c r="AS2701" s="82" t="n">
        <f aca="false">IF(AND(OR(AQ2701="À RADIOGRAPHIER",AQ2701="RÉPARÉ – À RADIOGRAPHIER",AQ2701="NX – RT À REFAIRE"),OR('PROGRAMME RT'!$D$5="TOUTES",B2701='PROGRAMME RT'!$D$5)),1,0)</f>
        <v>0</v>
      </c>
      <c r="AT2701" s="82" t="str">
        <f aca="false">IF(AS2701=1,SUM(AS$7:AS2701),"")</f>
        <v/>
      </c>
      <c r="AU2701" s="82" t="n">
        <f aca="false">IF(AND(OR(AA2701="R",AA2701="NX",AA2701="NT",AA2701="CO"),OR('JOINTS DE RÉPARATION'!$D$5="TOUTES",B2701='JOINTS DE RÉPARATION'!$D$5),OR('JOINTS DE RÉPARATION'!$L$4="TOUS",AQ2701&lt;&gt;"ACCEPTÉ")),1,0)</f>
        <v>0</v>
      </c>
      <c r="AV2701" s="82" t="str">
        <f aca="false">IF(AU2701=1,SUM(AU$7:AU2701),"")</f>
        <v/>
      </c>
      <c r="AW2701" s="82" t="str">
        <f aca="false">IF(E2701="","",B2701&amp;"|"&amp;E2701)</f>
        <v/>
      </c>
    </row>
    <row r="2702" customFormat="false" ht="15" hidden="false" customHeight="false" outlineLevel="0" collapsed="false">
      <c r="A2702" s="79" t="str">
        <f aca="false">IF(E2702="","",ROW()-6)</f>
        <v/>
      </c>
      <c r="B2702" s="80"/>
      <c r="C2702" s="81"/>
      <c r="D2702" s="81"/>
      <c r="E2702" s="81"/>
      <c r="F2702" s="82" t="str">
        <f aca="false">IF(E2702="","",IF(LEFT(E2702,2)="DJ","DJ","JN"))</f>
        <v/>
      </c>
      <c r="G2702" s="81"/>
      <c r="H2702" s="81"/>
      <c r="I2702" s="81"/>
      <c r="J2702" s="81"/>
      <c r="K2702" s="81"/>
      <c r="L2702" s="81"/>
      <c r="M2702" s="81"/>
      <c r="N2702" s="81"/>
      <c r="O2702" s="81"/>
      <c r="P2702" s="81"/>
      <c r="Q2702" s="81"/>
      <c r="R2702" s="81"/>
      <c r="S2702" s="81"/>
      <c r="T2702" s="81"/>
      <c r="U2702" s="83"/>
      <c r="V2702" s="83"/>
      <c r="W2702" s="81"/>
      <c r="X2702" s="81"/>
      <c r="Y2702" s="83"/>
      <c r="Z2702" s="81"/>
      <c r="AA2702" s="81"/>
      <c r="AB2702" s="81"/>
      <c r="AC2702" s="81"/>
      <c r="AD2702" s="81"/>
      <c r="AE2702" s="83"/>
      <c r="AF2702" s="81"/>
      <c r="AG2702" s="81"/>
      <c r="AH2702" s="81"/>
      <c r="AI2702" s="81"/>
      <c r="AJ2702" s="83"/>
      <c r="AK2702" s="81"/>
      <c r="AL2702" s="81"/>
      <c r="AM2702" s="83"/>
      <c r="AN2702" s="80"/>
      <c r="AO2702" s="82" t="str">
        <f aca="false">IF(E2702="","",(AA2702&lt;&gt;"")+(AG2702&lt;&gt;"")+(AL2702&lt;&gt;""))</f>
        <v/>
      </c>
      <c r="AP2702" s="82" t="str">
        <f aca="false">IF(AL2702&lt;&gt;"",AL2702,IF(AG2702&lt;&gt;"",AG2702,IF(AA2702&lt;&gt;"",AA2702,"")))</f>
        <v/>
      </c>
      <c r="AQ2702" s="84" t="str">
        <f aca="false">IF(E2702="","",IF(U2702="","À SOUDER",IF(X2702="","VT EN ATTENTE",IF(X2702="R","VT REJETÉ – À REPRENDRE",IF(AP2702="","À RADIOGRAPHIER",IF(AP2702="A","ACCEPTÉ",IF(AP2702="NX","NX – RT À REFAIRE",IF(IF(AO2702=1,AD2702,IF(AO2702=2,AI2702,""))="A","RÉPARÉ – À RADIOGRAPHIER",IF(IF(AO2702=1,AD2702,IF(AO2702=2,AI2702,""))="R","VT REJETÉ – À REPRENDRE",IF(OR(AP2702="CO",AP2702="NT"),"COUPE – À RESOUDER","À RÉPARER"))))))))))</f>
        <v/>
      </c>
      <c r="AR2702" s="82" t="str">
        <f aca="false">IF(AND(ISNUMBER(U2702),OR(AQ2702="À RADIOGRAPHIER",AQ2702="RÉPARÉ – À RADIOGRAPHIER",AQ2702="NX – RT À REFAIRE",AQ2702="À RÉPARER",AQ2702="COUPE – À RESOUDER",AQ2702="VT REJETÉ – À REPRENDRE")),MAX(0,'PROGRAMME RT'!$C$4-U2702),"")</f>
        <v/>
      </c>
      <c r="AS2702" s="82" t="n">
        <f aca="false">IF(AND(OR(AQ2702="À RADIOGRAPHIER",AQ2702="RÉPARÉ – À RADIOGRAPHIER",AQ2702="NX – RT À REFAIRE"),OR('PROGRAMME RT'!$D$5="TOUTES",B2702='PROGRAMME RT'!$D$5)),1,0)</f>
        <v>0</v>
      </c>
      <c r="AT2702" s="82" t="str">
        <f aca="false">IF(AS2702=1,SUM(AS$7:AS2702),"")</f>
        <v/>
      </c>
      <c r="AU2702" s="82" t="n">
        <f aca="false">IF(AND(OR(AA2702="R",AA2702="NX",AA2702="NT",AA2702="CO"),OR('JOINTS DE RÉPARATION'!$D$5="TOUTES",B2702='JOINTS DE RÉPARATION'!$D$5),OR('JOINTS DE RÉPARATION'!$L$4="TOUS",AQ2702&lt;&gt;"ACCEPTÉ")),1,0)</f>
        <v>0</v>
      </c>
      <c r="AV2702" s="82" t="str">
        <f aca="false">IF(AU2702=1,SUM(AU$7:AU2702),"")</f>
        <v/>
      </c>
      <c r="AW2702" s="82" t="str">
        <f aca="false">IF(E2702="","",B2702&amp;"|"&amp;E2702)</f>
        <v/>
      </c>
    </row>
    <row r="2703" customFormat="false" ht="15" hidden="false" customHeight="false" outlineLevel="0" collapsed="false">
      <c r="A2703" s="79" t="str">
        <f aca="false">IF(E2703="","",ROW()-6)</f>
        <v/>
      </c>
      <c r="B2703" s="80"/>
      <c r="C2703" s="81"/>
      <c r="D2703" s="81"/>
      <c r="E2703" s="81"/>
      <c r="F2703" s="82" t="str">
        <f aca="false">IF(E2703="","",IF(LEFT(E2703,2)="DJ","DJ","JN"))</f>
        <v/>
      </c>
      <c r="G2703" s="81"/>
      <c r="H2703" s="81"/>
      <c r="I2703" s="81"/>
      <c r="J2703" s="81"/>
      <c r="K2703" s="81"/>
      <c r="L2703" s="81"/>
      <c r="M2703" s="81"/>
      <c r="N2703" s="81"/>
      <c r="O2703" s="81"/>
      <c r="P2703" s="81"/>
      <c r="Q2703" s="81"/>
      <c r="R2703" s="81"/>
      <c r="S2703" s="81"/>
      <c r="T2703" s="81"/>
      <c r="U2703" s="83"/>
      <c r="V2703" s="83"/>
      <c r="W2703" s="81"/>
      <c r="X2703" s="81"/>
      <c r="Y2703" s="83"/>
      <c r="Z2703" s="81"/>
      <c r="AA2703" s="81"/>
      <c r="AB2703" s="81"/>
      <c r="AC2703" s="81"/>
      <c r="AD2703" s="81"/>
      <c r="AE2703" s="83"/>
      <c r="AF2703" s="81"/>
      <c r="AG2703" s="81"/>
      <c r="AH2703" s="81"/>
      <c r="AI2703" s="81"/>
      <c r="AJ2703" s="83"/>
      <c r="AK2703" s="81"/>
      <c r="AL2703" s="81"/>
      <c r="AM2703" s="83"/>
      <c r="AN2703" s="80"/>
      <c r="AO2703" s="82" t="str">
        <f aca="false">IF(E2703="","",(AA2703&lt;&gt;"")+(AG2703&lt;&gt;"")+(AL2703&lt;&gt;""))</f>
        <v/>
      </c>
      <c r="AP2703" s="82" t="str">
        <f aca="false">IF(AL2703&lt;&gt;"",AL2703,IF(AG2703&lt;&gt;"",AG2703,IF(AA2703&lt;&gt;"",AA2703,"")))</f>
        <v/>
      </c>
      <c r="AQ2703" s="84" t="str">
        <f aca="false">IF(E2703="","",IF(U2703="","À SOUDER",IF(X2703="","VT EN ATTENTE",IF(X2703="R","VT REJETÉ – À REPRENDRE",IF(AP2703="","À RADIOGRAPHIER",IF(AP2703="A","ACCEPTÉ",IF(AP2703="NX","NX – RT À REFAIRE",IF(IF(AO2703=1,AD2703,IF(AO2703=2,AI2703,""))="A","RÉPARÉ – À RADIOGRAPHIER",IF(IF(AO2703=1,AD2703,IF(AO2703=2,AI2703,""))="R","VT REJETÉ – À REPRENDRE",IF(OR(AP2703="CO",AP2703="NT"),"COUPE – À RESOUDER","À RÉPARER"))))))))))</f>
        <v/>
      </c>
      <c r="AR2703" s="82" t="str">
        <f aca="false">IF(AND(ISNUMBER(U2703),OR(AQ2703="À RADIOGRAPHIER",AQ2703="RÉPARÉ – À RADIOGRAPHIER",AQ2703="NX – RT À REFAIRE",AQ2703="À RÉPARER",AQ2703="COUPE – À RESOUDER",AQ2703="VT REJETÉ – À REPRENDRE")),MAX(0,'PROGRAMME RT'!$C$4-U2703),"")</f>
        <v/>
      </c>
      <c r="AS2703" s="82" t="n">
        <f aca="false">IF(AND(OR(AQ2703="À RADIOGRAPHIER",AQ2703="RÉPARÉ – À RADIOGRAPHIER",AQ2703="NX – RT À REFAIRE"),OR('PROGRAMME RT'!$D$5="TOUTES",B2703='PROGRAMME RT'!$D$5)),1,0)</f>
        <v>0</v>
      </c>
      <c r="AT2703" s="82" t="str">
        <f aca="false">IF(AS2703=1,SUM(AS$7:AS2703),"")</f>
        <v/>
      </c>
      <c r="AU2703" s="82" t="n">
        <f aca="false">IF(AND(OR(AA2703="R",AA2703="NX",AA2703="NT",AA2703="CO"),OR('JOINTS DE RÉPARATION'!$D$5="TOUTES",B2703='JOINTS DE RÉPARATION'!$D$5),OR('JOINTS DE RÉPARATION'!$L$4="TOUS",AQ2703&lt;&gt;"ACCEPTÉ")),1,0)</f>
        <v>0</v>
      </c>
      <c r="AV2703" s="82" t="str">
        <f aca="false">IF(AU2703=1,SUM(AU$7:AU2703),"")</f>
        <v/>
      </c>
      <c r="AW2703" s="82" t="str">
        <f aca="false">IF(E2703="","",B2703&amp;"|"&amp;E2703)</f>
        <v/>
      </c>
    </row>
    <row r="2704" customFormat="false" ht="15" hidden="false" customHeight="false" outlineLevel="0" collapsed="false">
      <c r="A2704" s="79" t="str">
        <f aca="false">IF(E2704="","",ROW()-6)</f>
        <v/>
      </c>
      <c r="B2704" s="80"/>
      <c r="C2704" s="81"/>
      <c r="D2704" s="81"/>
      <c r="E2704" s="81"/>
      <c r="F2704" s="82" t="str">
        <f aca="false">IF(E2704="","",IF(LEFT(E2704,2)="DJ","DJ","JN"))</f>
        <v/>
      </c>
      <c r="G2704" s="81"/>
      <c r="H2704" s="81"/>
      <c r="I2704" s="81"/>
      <c r="J2704" s="81"/>
      <c r="K2704" s="81"/>
      <c r="L2704" s="81"/>
      <c r="M2704" s="81"/>
      <c r="N2704" s="81"/>
      <c r="O2704" s="81"/>
      <c r="P2704" s="81"/>
      <c r="Q2704" s="81"/>
      <c r="R2704" s="81"/>
      <c r="S2704" s="81"/>
      <c r="T2704" s="81"/>
      <c r="U2704" s="83"/>
      <c r="V2704" s="83"/>
      <c r="W2704" s="81"/>
      <c r="X2704" s="81"/>
      <c r="Y2704" s="83"/>
      <c r="Z2704" s="81"/>
      <c r="AA2704" s="81"/>
      <c r="AB2704" s="81"/>
      <c r="AC2704" s="81"/>
      <c r="AD2704" s="81"/>
      <c r="AE2704" s="83"/>
      <c r="AF2704" s="81"/>
      <c r="AG2704" s="81"/>
      <c r="AH2704" s="81"/>
      <c r="AI2704" s="81"/>
      <c r="AJ2704" s="83"/>
      <c r="AK2704" s="81"/>
      <c r="AL2704" s="81"/>
      <c r="AM2704" s="83"/>
      <c r="AN2704" s="80"/>
      <c r="AO2704" s="82" t="str">
        <f aca="false">IF(E2704="","",(AA2704&lt;&gt;"")+(AG2704&lt;&gt;"")+(AL2704&lt;&gt;""))</f>
        <v/>
      </c>
      <c r="AP2704" s="82" t="str">
        <f aca="false">IF(AL2704&lt;&gt;"",AL2704,IF(AG2704&lt;&gt;"",AG2704,IF(AA2704&lt;&gt;"",AA2704,"")))</f>
        <v/>
      </c>
      <c r="AQ2704" s="84" t="str">
        <f aca="false">IF(E2704="","",IF(U2704="","À SOUDER",IF(X2704="","VT EN ATTENTE",IF(X2704="R","VT REJETÉ – À REPRENDRE",IF(AP2704="","À RADIOGRAPHIER",IF(AP2704="A","ACCEPTÉ",IF(AP2704="NX","NX – RT À REFAIRE",IF(IF(AO2704=1,AD2704,IF(AO2704=2,AI2704,""))="A","RÉPARÉ – À RADIOGRAPHIER",IF(IF(AO2704=1,AD2704,IF(AO2704=2,AI2704,""))="R","VT REJETÉ – À REPRENDRE",IF(OR(AP2704="CO",AP2704="NT"),"COUPE – À RESOUDER","À RÉPARER"))))))))))</f>
        <v/>
      </c>
      <c r="AR2704" s="82" t="str">
        <f aca="false">IF(AND(ISNUMBER(U2704),OR(AQ2704="À RADIOGRAPHIER",AQ2704="RÉPARÉ – À RADIOGRAPHIER",AQ2704="NX – RT À REFAIRE",AQ2704="À RÉPARER",AQ2704="COUPE – À RESOUDER",AQ2704="VT REJETÉ – À REPRENDRE")),MAX(0,'PROGRAMME RT'!$C$4-U2704),"")</f>
        <v/>
      </c>
      <c r="AS2704" s="82" t="n">
        <f aca="false">IF(AND(OR(AQ2704="À RADIOGRAPHIER",AQ2704="RÉPARÉ – À RADIOGRAPHIER",AQ2704="NX – RT À REFAIRE"),OR('PROGRAMME RT'!$D$5="TOUTES",B2704='PROGRAMME RT'!$D$5)),1,0)</f>
        <v>0</v>
      </c>
      <c r="AT2704" s="82" t="str">
        <f aca="false">IF(AS2704=1,SUM(AS$7:AS2704),"")</f>
        <v/>
      </c>
      <c r="AU2704" s="82" t="n">
        <f aca="false">IF(AND(OR(AA2704="R",AA2704="NX",AA2704="NT",AA2704="CO"),OR('JOINTS DE RÉPARATION'!$D$5="TOUTES",B2704='JOINTS DE RÉPARATION'!$D$5),OR('JOINTS DE RÉPARATION'!$L$4="TOUS",AQ2704&lt;&gt;"ACCEPTÉ")),1,0)</f>
        <v>0</v>
      </c>
      <c r="AV2704" s="82" t="str">
        <f aca="false">IF(AU2704=1,SUM(AU$7:AU2704),"")</f>
        <v/>
      </c>
      <c r="AW2704" s="82" t="str">
        <f aca="false">IF(E2704="","",B2704&amp;"|"&amp;E2704)</f>
        <v/>
      </c>
    </row>
    <row r="2705" customFormat="false" ht="15" hidden="false" customHeight="false" outlineLevel="0" collapsed="false">
      <c r="A2705" s="79" t="str">
        <f aca="false">IF(E2705="","",ROW()-6)</f>
        <v/>
      </c>
      <c r="B2705" s="80"/>
      <c r="C2705" s="81"/>
      <c r="D2705" s="81"/>
      <c r="E2705" s="81"/>
      <c r="F2705" s="82" t="str">
        <f aca="false">IF(E2705="","",IF(LEFT(E2705,2)="DJ","DJ","JN"))</f>
        <v/>
      </c>
      <c r="G2705" s="81"/>
      <c r="H2705" s="81"/>
      <c r="I2705" s="81"/>
      <c r="J2705" s="81"/>
      <c r="K2705" s="81"/>
      <c r="L2705" s="81"/>
      <c r="M2705" s="81"/>
      <c r="N2705" s="81"/>
      <c r="O2705" s="81"/>
      <c r="P2705" s="81"/>
      <c r="Q2705" s="81"/>
      <c r="R2705" s="81"/>
      <c r="S2705" s="81"/>
      <c r="T2705" s="81"/>
      <c r="U2705" s="83"/>
      <c r="V2705" s="83"/>
      <c r="W2705" s="81"/>
      <c r="X2705" s="81"/>
      <c r="Y2705" s="83"/>
      <c r="Z2705" s="81"/>
      <c r="AA2705" s="81"/>
      <c r="AB2705" s="81"/>
      <c r="AC2705" s="81"/>
      <c r="AD2705" s="81"/>
      <c r="AE2705" s="83"/>
      <c r="AF2705" s="81"/>
      <c r="AG2705" s="81"/>
      <c r="AH2705" s="81"/>
      <c r="AI2705" s="81"/>
      <c r="AJ2705" s="83"/>
      <c r="AK2705" s="81"/>
      <c r="AL2705" s="81"/>
      <c r="AM2705" s="83"/>
      <c r="AN2705" s="80"/>
      <c r="AO2705" s="82" t="str">
        <f aca="false">IF(E2705="","",(AA2705&lt;&gt;"")+(AG2705&lt;&gt;"")+(AL2705&lt;&gt;""))</f>
        <v/>
      </c>
      <c r="AP2705" s="82" t="str">
        <f aca="false">IF(AL2705&lt;&gt;"",AL2705,IF(AG2705&lt;&gt;"",AG2705,IF(AA2705&lt;&gt;"",AA2705,"")))</f>
        <v/>
      </c>
      <c r="AQ2705" s="84" t="str">
        <f aca="false">IF(E2705="","",IF(U2705="","À SOUDER",IF(X2705="","VT EN ATTENTE",IF(X2705="R","VT REJETÉ – À REPRENDRE",IF(AP2705="","À RADIOGRAPHIER",IF(AP2705="A","ACCEPTÉ",IF(AP2705="NX","NX – RT À REFAIRE",IF(IF(AO2705=1,AD2705,IF(AO2705=2,AI2705,""))="A","RÉPARÉ – À RADIOGRAPHIER",IF(IF(AO2705=1,AD2705,IF(AO2705=2,AI2705,""))="R","VT REJETÉ – À REPRENDRE",IF(OR(AP2705="CO",AP2705="NT"),"COUPE – À RESOUDER","À RÉPARER"))))))))))</f>
        <v/>
      </c>
      <c r="AR2705" s="82" t="str">
        <f aca="false">IF(AND(ISNUMBER(U2705),OR(AQ2705="À RADIOGRAPHIER",AQ2705="RÉPARÉ – À RADIOGRAPHIER",AQ2705="NX – RT À REFAIRE",AQ2705="À RÉPARER",AQ2705="COUPE – À RESOUDER",AQ2705="VT REJETÉ – À REPRENDRE")),MAX(0,'PROGRAMME RT'!$C$4-U2705),"")</f>
        <v/>
      </c>
      <c r="AS2705" s="82" t="n">
        <f aca="false">IF(AND(OR(AQ2705="À RADIOGRAPHIER",AQ2705="RÉPARÉ – À RADIOGRAPHIER",AQ2705="NX – RT À REFAIRE"),OR('PROGRAMME RT'!$D$5="TOUTES",B2705='PROGRAMME RT'!$D$5)),1,0)</f>
        <v>0</v>
      </c>
      <c r="AT2705" s="82" t="str">
        <f aca="false">IF(AS2705=1,SUM(AS$7:AS2705),"")</f>
        <v/>
      </c>
      <c r="AU2705" s="82" t="n">
        <f aca="false">IF(AND(OR(AA2705="R",AA2705="NX",AA2705="NT",AA2705="CO"),OR('JOINTS DE RÉPARATION'!$D$5="TOUTES",B2705='JOINTS DE RÉPARATION'!$D$5),OR('JOINTS DE RÉPARATION'!$L$4="TOUS",AQ2705&lt;&gt;"ACCEPTÉ")),1,0)</f>
        <v>0</v>
      </c>
      <c r="AV2705" s="82" t="str">
        <f aca="false">IF(AU2705=1,SUM(AU$7:AU2705),"")</f>
        <v/>
      </c>
      <c r="AW2705" s="82" t="str">
        <f aca="false">IF(E2705="","",B2705&amp;"|"&amp;E2705)</f>
        <v/>
      </c>
    </row>
    <row r="2706" customFormat="false" ht="15" hidden="false" customHeight="false" outlineLevel="0" collapsed="false">
      <c r="A2706" s="79" t="str">
        <f aca="false">IF(E2706="","",ROW()-6)</f>
        <v/>
      </c>
      <c r="B2706" s="80"/>
      <c r="C2706" s="81"/>
      <c r="D2706" s="81"/>
      <c r="E2706" s="81"/>
      <c r="F2706" s="82" t="str">
        <f aca="false">IF(E2706="","",IF(LEFT(E2706,2)="DJ","DJ","JN"))</f>
        <v/>
      </c>
      <c r="G2706" s="81"/>
      <c r="H2706" s="81"/>
      <c r="I2706" s="81"/>
      <c r="J2706" s="81"/>
      <c r="K2706" s="81"/>
      <c r="L2706" s="81"/>
      <c r="M2706" s="81"/>
      <c r="N2706" s="81"/>
      <c r="O2706" s="81"/>
      <c r="P2706" s="81"/>
      <c r="Q2706" s="81"/>
      <c r="R2706" s="81"/>
      <c r="S2706" s="81"/>
      <c r="T2706" s="81"/>
      <c r="U2706" s="83"/>
      <c r="V2706" s="83"/>
      <c r="W2706" s="81"/>
      <c r="X2706" s="81"/>
      <c r="Y2706" s="83"/>
      <c r="Z2706" s="81"/>
      <c r="AA2706" s="81"/>
      <c r="AB2706" s="81"/>
      <c r="AC2706" s="81"/>
      <c r="AD2706" s="81"/>
      <c r="AE2706" s="83"/>
      <c r="AF2706" s="81"/>
      <c r="AG2706" s="81"/>
      <c r="AH2706" s="81"/>
      <c r="AI2706" s="81"/>
      <c r="AJ2706" s="83"/>
      <c r="AK2706" s="81"/>
      <c r="AL2706" s="81"/>
      <c r="AM2706" s="83"/>
      <c r="AN2706" s="80"/>
      <c r="AO2706" s="82" t="str">
        <f aca="false">IF(E2706="","",(AA2706&lt;&gt;"")+(AG2706&lt;&gt;"")+(AL2706&lt;&gt;""))</f>
        <v/>
      </c>
      <c r="AP2706" s="82" t="str">
        <f aca="false">IF(AL2706&lt;&gt;"",AL2706,IF(AG2706&lt;&gt;"",AG2706,IF(AA2706&lt;&gt;"",AA2706,"")))</f>
        <v/>
      </c>
      <c r="AQ2706" s="84" t="str">
        <f aca="false">IF(E2706="","",IF(U2706="","À SOUDER",IF(X2706="","VT EN ATTENTE",IF(X2706="R","VT REJETÉ – À REPRENDRE",IF(AP2706="","À RADIOGRAPHIER",IF(AP2706="A","ACCEPTÉ",IF(AP2706="NX","NX – RT À REFAIRE",IF(IF(AO2706=1,AD2706,IF(AO2706=2,AI2706,""))="A","RÉPARÉ – À RADIOGRAPHIER",IF(IF(AO2706=1,AD2706,IF(AO2706=2,AI2706,""))="R","VT REJETÉ – À REPRENDRE",IF(OR(AP2706="CO",AP2706="NT"),"COUPE – À RESOUDER","À RÉPARER"))))))))))</f>
        <v/>
      </c>
      <c r="AR2706" s="82" t="str">
        <f aca="false">IF(AND(ISNUMBER(U2706),OR(AQ2706="À RADIOGRAPHIER",AQ2706="RÉPARÉ – À RADIOGRAPHIER",AQ2706="NX – RT À REFAIRE",AQ2706="À RÉPARER",AQ2706="COUPE – À RESOUDER",AQ2706="VT REJETÉ – À REPRENDRE")),MAX(0,'PROGRAMME RT'!$C$4-U2706),"")</f>
        <v/>
      </c>
      <c r="AS2706" s="82" t="n">
        <f aca="false">IF(AND(OR(AQ2706="À RADIOGRAPHIER",AQ2706="RÉPARÉ – À RADIOGRAPHIER",AQ2706="NX – RT À REFAIRE"),OR('PROGRAMME RT'!$D$5="TOUTES",B2706='PROGRAMME RT'!$D$5)),1,0)</f>
        <v>0</v>
      </c>
      <c r="AT2706" s="82" t="str">
        <f aca="false">IF(AS2706=1,SUM(AS$7:AS2706),"")</f>
        <v/>
      </c>
      <c r="AU2706" s="82" t="n">
        <f aca="false">IF(AND(OR(AA2706="R",AA2706="NX",AA2706="NT",AA2706="CO"),OR('JOINTS DE RÉPARATION'!$D$5="TOUTES",B2706='JOINTS DE RÉPARATION'!$D$5),OR('JOINTS DE RÉPARATION'!$L$4="TOUS",AQ2706&lt;&gt;"ACCEPTÉ")),1,0)</f>
        <v>0</v>
      </c>
      <c r="AV2706" s="82" t="str">
        <f aca="false">IF(AU2706=1,SUM(AU$7:AU2706),"")</f>
        <v/>
      </c>
      <c r="AW2706" s="82" t="str">
        <f aca="false">IF(E2706="","",B2706&amp;"|"&amp;E2706)</f>
        <v/>
      </c>
    </row>
    <row r="2707" customFormat="false" ht="15" hidden="false" customHeight="false" outlineLevel="0" collapsed="false">
      <c r="A2707" s="79" t="str">
        <f aca="false">IF(E2707="","",ROW()-6)</f>
        <v/>
      </c>
      <c r="B2707" s="80"/>
      <c r="C2707" s="81"/>
      <c r="D2707" s="81"/>
      <c r="E2707" s="81"/>
      <c r="F2707" s="82" t="str">
        <f aca="false">IF(E2707="","",IF(LEFT(E2707,2)="DJ","DJ","JN"))</f>
        <v/>
      </c>
      <c r="G2707" s="81"/>
      <c r="H2707" s="81"/>
      <c r="I2707" s="81"/>
      <c r="J2707" s="81"/>
      <c r="K2707" s="81"/>
      <c r="L2707" s="81"/>
      <c r="M2707" s="81"/>
      <c r="N2707" s="81"/>
      <c r="O2707" s="81"/>
      <c r="P2707" s="81"/>
      <c r="Q2707" s="81"/>
      <c r="R2707" s="81"/>
      <c r="S2707" s="81"/>
      <c r="T2707" s="81"/>
      <c r="U2707" s="83"/>
      <c r="V2707" s="83"/>
      <c r="W2707" s="81"/>
      <c r="X2707" s="81"/>
      <c r="Y2707" s="83"/>
      <c r="Z2707" s="81"/>
      <c r="AA2707" s="81"/>
      <c r="AB2707" s="81"/>
      <c r="AC2707" s="81"/>
      <c r="AD2707" s="81"/>
      <c r="AE2707" s="83"/>
      <c r="AF2707" s="81"/>
      <c r="AG2707" s="81"/>
      <c r="AH2707" s="81"/>
      <c r="AI2707" s="81"/>
      <c r="AJ2707" s="83"/>
      <c r="AK2707" s="81"/>
      <c r="AL2707" s="81"/>
      <c r="AM2707" s="83"/>
      <c r="AN2707" s="80"/>
      <c r="AO2707" s="82" t="str">
        <f aca="false">IF(E2707="","",(AA2707&lt;&gt;"")+(AG2707&lt;&gt;"")+(AL2707&lt;&gt;""))</f>
        <v/>
      </c>
      <c r="AP2707" s="82" t="str">
        <f aca="false">IF(AL2707&lt;&gt;"",AL2707,IF(AG2707&lt;&gt;"",AG2707,IF(AA2707&lt;&gt;"",AA2707,"")))</f>
        <v/>
      </c>
      <c r="AQ2707" s="84" t="str">
        <f aca="false">IF(E2707="","",IF(U2707="","À SOUDER",IF(X2707="","VT EN ATTENTE",IF(X2707="R","VT REJETÉ – À REPRENDRE",IF(AP2707="","À RADIOGRAPHIER",IF(AP2707="A","ACCEPTÉ",IF(AP2707="NX","NX – RT À REFAIRE",IF(IF(AO2707=1,AD2707,IF(AO2707=2,AI2707,""))="A","RÉPARÉ – À RADIOGRAPHIER",IF(IF(AO2707=1,AD2707,IF(AO2707=2,AI2707,""))="R","VT REJETÉ – À REPRENDRE",IF(OR(AP2707="CO",AP2707="NT"),"COUPE – À RESOUDER","À RÉPARER"))))))))))</f>
        <v/>
      </c>
      <c r="AR2707" s="82" t="str">
        <f aca="false">IF(AND(ISNUMBER(U2707),OR(AQ2707="À RADIOGRAPHIER",AQ2707="RÉPARÉ – À RADIOGRAPHIER",AQ2707="NX – RT À REFAIRE",AQ2707="À RÉPARER",AQ2707="COUPE – À RESOUDER",AQ2707="VT REJETÉ – À REPRENDRE")),MAX(0,'PROGRAMME RT'!$C$4-U2707),"")</f>
        <v/>
      </c>
      <c r="AS2707" s="82" t="n">
        <f aca="false">IF(AND(OR(AQ2707="À RADIOGRAPHIER",AQ2707="RÉPARÉ – À RADIOGRAPHIER",AQ2707="NX – RT À REFAIRE"),OR('PROGRAMME RT'!$D$5="TOUTES",B2707='PROGRAMME RT'!$D$5)),1,0)</f>
        <v>0</v>
      </c>
      <c r="AT2707" s="82" t="str">
        <f aca="false">IF(AS2707=1,SUM(AS$7:AS2707),"")</f>
        <v/>
      </c>
      <c r="AU2707" s="82" t="n">
        <f aca="false">IF(AND(OR(AA2707="R",AA2707="NX",AA2707="NT",AA2707="CO"),OR('JOINTS DE RÉPARATION'!$D$5="TOUTES",B2707='JOINTS DE RÉPARATION'!$D$5),OR('JOINTS DE RÉPARATION'!$L$4="TOUS",AQ2707&lt;&gt;"ACCEPTÉ")),1,0)</f>
        <v>0</v>
      </c>
      <c r="AV2707" s="82" t="str">
        <f aca="false">IF(AU2707=1,SUM(AU$7:AU2707),"")</f>
        <v/>
      </c>
      <c r="AW2707" s="82" t="str">
        <f aca="false">IF(E2707="","",B2707&amp;"|"&amp;E2707)</f>
        <v/>
      </c>
    </row>
    <row r="2708" customFormat="false" ht="15" hidden="false" customHeight="false" outlineLevel="0" collapsed="false">
      <c r="A2708" s="79" t="str">
        <f aca="false">IF(E2708="","",ROW()-6)</f>
        <v/>
      </c>
      <c r="B2708" s="80"/>
      <c r="C2708" s="81"/>
      <c r="D2708" s="81"/>
      <c r="E2708" s="81"/>
      <c r="F2708" s="82" t="str">
        <f aca="false">IF(E2708="","",IF(LEFT(E2708,2)="DJ","DJ","JN"))</f>
        <v/>
      </c>
      <c r="G2708" s="81"/>
      <c r="H2708" s="81"/>
      <c r="I2708" s="81"/>
      <c r="J2708" s="81"/>
      <c r="K2708" s="81"/>
      <c r="L2708" s="81"/>
      <c r="M2708" s="81"/>
      <c r="N2708" s="81"/>
      <c r="O2708" s="81"/>
      <c r="P2708" s="81"/>
      <c r="Q2708" s="81"/>
      <c r="R2708" s="81"/>
      <c r="S2708" s="81"/>
      <c r="T2708" s="81"/>
      <c r="U2708" s="83"/>
      <c r="V2708" s="83"/>
      <c r="W2708" s="81"/>
      <c r="X2708" s="81"/>
      <c r="Y2708" s="83"/>
      <c r="Z2708" s="81"/>
      <c r="AA2708" s="81"/>
      <c r="AB2708" s="81"/>
      <c r="AC2708" s="81"/>
      <c r="AD2708" s="81"/>
      <c r="AE2708" s="83"/>
      <c r="AF2708" s="81"/>
      <c r="AG2708" s="81"/>
      <c r="AH2708" s="81"/>
      <c r="AI2708" s="81"/>
      <c r="AJ2708" s="83"/>
      <c r="AK2708" s="81"/>
      <c r="AL2708" s="81"/>
      <c r="AM2708" s="83"/>
      <c r="AN2708" s="80"/>
      <c r="AO2708" s="82" t="str">
        <f aca="false">IF(E2708="","",(AA2708&lt;&gt;"")+(AG2708&lt;&gt;"")+(AL2708&lt;&gt;""))</f>
        <v/>
      </c>
      <c r="AP2708" s="82" t="str">
        <f aca="false">IF(AL2708&lt;&gt;"",AL2708,IF(AG2708&lt;&gt;"",AG2708,IF(AA2708&lt;&gt;"",AA2708,"")))</f>
        <v/>
      </c>
      <c r="AQ2708" s="84" t="str">
        <f aca="false">IF(E2708="","",IF(U2708="","À SOUDER",IF(X2708="","VT EN ATTENTE",IF(X2708="R","VT REJETÉ – À REPRENDRE",IF(AP2708="","À RADIOGRAPHIER",IF(AP2708="A","ACCEPTÉ",IF(AP2708="NX","NX – RT À REFAIRE",IF(IF(AO2708=1,AD2708,IF(AO2708=2,AI2708,""))="A","RÉPARÉ – À RADIOGRAPHIER",IF(IF(AO2708=1,AD2708,IF(AO2708=2,AI2708,""))="R","VT REJETÉ – À REPRENDRE",IF(OR(AP2708="CO",AP2708="NT"),"COUPE – À RESOUDER","À RÉPARER"))))))))))</f>
        <v/>
      </c>
      <c r="AR2708" s="82" t="str">
        <f aca="false">IF(AND(ISNUMBER(U2708),OR(AQ2708="À RADIOGRAPHIER",AQ2708="RÉPARÉ – À RADIOGRAPHIER",AQ2708="NX – RT À REFAIRE",AQ2708="À RÉPARER",AQ2708="COUPE – À RESOUDER",AQ2708="VT REJETÉ – À REPRENDRE")),MAX(0,'PROGRAMME RT'!$C$4-U2708),"")</f>
        <v/>
      </c>
      <c r="AS2708" s="82" t="n">
        <f aca="false">IF(AND(OR(AQ2708="À RADIOGRAPHIER",AQ2708="RÉPARÉ – À RADIOGRAPHIER",AQ2708="NX – RT À REFAIRE"),OR('PROGRAMME RT'!$D$5="TOUTES",B2708='PROGRAMME RT'!$D$5)),1,0)</f>
        <v>0</v>
      </c>
      <c r="AT2708" s="82" t="str">
        <f aca="false">IF(AS2708=1,SUM(AS$7:AS2708),"")</f>
        <v/>
      </c>
      <c r="AU2708" s="82" t="n">
        <f aca="false">IF(AND(OR(AA2708="R",AA2708="NX",AA2708="NT",AA2708="CO"),OR('JOINTS DE RÉPARATION'!$D$5="TOUTES",B2708='JOINTS DE RÉPARATION'!$D$5),OR('JOINTS DE RÉPARATION'!$L$4="TOUS",AQ2708&lt;&gt;"ACCEPTÉ")),1,0)</f>
        <v>0</v>
      </c>
      <c r="AV2708" s="82" t="str">
        <f aca="false">IF(AU2708=1,SUM(AU$7:AU2708),"")</f>
        <v/>
      </c>
      <c r="AW2708" s="82" t="str">
        <f aca="false">IF(E2708="","",B2708&amp;"|"&amp;E2708)</f>
        <v/>
      </c>
    </row>
    <row r="2709" customFormat="false" ht="15" hidden="false" customHeight="false" outlineLevel="0" collapsed="false">
      <c r="A2709" s="79" t="str">
        <f aca="false">IF(E2709="","",ROW()-6)</f>
        <v/>
      </c>
      <c r="B2709" s="80"/>
      <c r="C2709" s="81"/>
      <c r="D2709" s="81"/>
      <c r="E2709" s="81"/>
      <c r="F2709" s="82" t="str">
        <f aca="false">IF(E2709="","",IF(LEFT(E2709,2)="DJ","DJ","JN"))</f>
        <v/>
      </c>
      <c r="G2709" s="81"/>
      <c r="H2709" s="81"/>
      <c r="I2709" s="81"/>
      <c r="J2709" s="81"/>
      <c r="K2709" s="81"/>
      <c r="L2709" s="81"/>
      <c r="M2709" s="81"/>
      <c r="N2709" s="81"/>
      <c r="O2709" s="81"/>
      <c r="P2709" s="81"/>
      <c r="Q2709" s="81"/>
      <c r="R2709" s="81"/>
      <c r="S2709" s="81"/>
      <c r="T2709" s="81"/>
      <c r="U2709" s="83"/>
      <c r="V2709" s="83"/>
      <c r="W2709" s="81"/>
      <c r="X2709" s="81"/>
      <c r="Y2709" s="83"/>
      <c r="Z2709" s="81"/>
      <c r="AA2709" s="81"/>
      <c r="AB2709" s="81"/>
      <c r="AC2709" s="81"/>
      <c r="AD2709" s="81"/>
      <c r="AE2709" s="83"/>
      <c r="AF2709" s="81"/>
      <c r="AG2709" s="81"/>
      <c r="AH2709" s="81"/>
      <c r="AI2709" s="81"/>
      <c r="AJ2709" s="83"/>
      <c r="AK2709" s="81"/>
      <c r="AL2709" s="81"/>
      <c r="AM2709" s="83"/>
      <c r="AN2709" s="80"/>
      <c r="AO2709" s="82" t="str">
        <f aca="false">IF(E2709="","",(AA2709&lt;&gt;"")+(AG2709&lt;&gt;"")+(AL2709&lt;&gt;""))</f>
        <v/>
      </c>
      <c r="AP2709" s="82" t="str">
        <f aca="false">IF(AL2709&lt;&gt;"",AL2709,IF(AG2709&lt;&gt;"",AG2709,IF(AA2709&lt;&gt;"",AA2709,"")))</f>
        <v/>
      </c>
      <c r="AQ2709" s="84" t="str">
        <f aca="false">IF(E2709="","",IF(U2709="","À SOUDER",IF(X2709="","VT EN ATTENTE",IF(X2709="R","VT REJETÉ – À REPRENDRE",IF(AP2709="","À RADIOGRAPHIER",IF(AP2709="A","ACCEPTÉ",IF(AP2709="NX","NX – RT À REFAIRE",IF(IF(AO2709=1,AD2709,IF(AO2709=2,AI2709,""))="A","RÉPARÉ – À RADIOGRAPHIER",IF(IF(AO2709=1,AD2709,IF(AO2709=2,AI2709,""))="R","VT REJETÉ – À REPRENDRE",IF(OR(AP2709="CO",AP2709="NT"),"COUPE – À RESOUDER","À RÉPARER"))))))))))</f>
        <v/>
      </c>
      <c r="AR2709" s="82" t="str">
        <f aca="false">IF(AND(ISNUMBER(U2709),OR(AQ2709="À RADIOGRAPHIER",AQ2709="RÉPARÉ – À RADIOGRAPHIER",AQ2709="NX – RT À REFAIRE",AQ2709="À RÉPARER",AQ2709="COUPE – À RESOUDER",AQ2709="VT REJETÉ – À REPRENDRE")),MAX(0,'PROGRAMME RT'!$C$4-U2709),"")</f>
        <v/>
      </c>
      <c r="AS2709" s="82" t="n">
        <f aca="false">IF(AND(OR(AQ2709="À RADIOGRAPHIER",AQ2709="RÉPARÉ – À RADIOGRAPHIER",AQ2709="NX – RT À REFAIRE"),OR('PROGRAMME RT'!$D$5="TOUTES",B2709='PROGRAMME RT'!$D$5)),1,0)</f>
        <v>0</v>
      </c>
      <c r="AT2709" s="82" t="str">
        <f aca="false">IF(AS2709=1,SUM(AS$7:AS2709),"")</f>
        <v/>
      </c>
      <c r="AU2709" s="82" t="n">
        <f aca="false">IF(AND(OR(AA2709="R",AA2709="NX",AA2709="NT",AA2709="CO"),OR('JOINTS DE RÉPARATION'!$D$5="TOUTES",B2709='JOINTS DE RÉPARATION'!$D$5),OR('JOINTS DE RÉPARATION'!$L$4="TOUS",AQ2709&lt;&gt;"ACCEPTÉ")),1,0)</f>
        <v>0</v>
      </c>
      <c r="AV2709" s="82" t="str">
        <f aca="false">IF(AU2709=1,SUM(AU$7:AU2709),"")</f>
        <v/>
      </c>
      <c r="AW2709" s="82" t="str">
        <f aca="false">IF(E2709="","",B2709&amp;"|"&amp;E2709)</f>
        <v/>
      </c>
    </row>
    <row r="2710" customFormat="false" ht="15" hidden="false" customHeight="false" outlineLevel="0" collapsed="false">
      <c r="A2710" s="79" t="str">
        <f aca="false">IF(E2710="","",ROW()-6)</f>
        <v/>
      </c>
      <c r="B2710" s="80"/>
      <c r="C2710" s="81"/>
      <c r="D2710" s="81"/>
      <c r="E2710" s="81"/>
      <c r="F2710" s="82" t="str">
        <f aca="false">IF(E2710="","",IF(LEFT(E2710,2)="DJ","DJ","JN"))</f>
        <v/>
      </c>
      <c r="G2710" s="81"/>
      <c r="H2710" s="81"/>
      <c r="I2710" s="81"/>
      <c r="J2710" s="81"/>
      <c r="K2710" s="81"/>
      <c r="L2710" s="81"/>
      <c r="M2710" s="81"/>
      <c r="N2710" s="81"/>
      <c r="O2710" s="81"/>
      <c r="P2710" s="81"/>
      <c r="Q2710" s="81"/>
      <c r="R2710" s="81"/>
      <c r="S2710" s="81"/>
      <c r="T2710" s="81"/>
      <c r="U2710" s="83"/>
      <c r="V2710" s="83"/>
      <c r="W2710" s="81"/>
      <c r="X2710" s="81"/>
      <c r="Y2710" s="83"/>
      <c r="Z2710" s="81"/>
      <c r="AA2710" s="81"/>
      <c r="AB2710" s="81"/>
      <c r="AC2710" s="81"/>
      <c r="AD2710" s="81"/>
      <c r="AE2710" s="83"/>
      <c r="AF2710" s="81"/>
      <c r="AG2710" s="81"/>
      <c r="AH2710" s="81"/>
      <c r="AI2710" s="81"/>
      <c r="AJ2710" s="83"/>
      <c r="AK2710" s="81"/>
      <c r="AL2710" s="81"/>
      <c r="AM2710" s="83"/>
      <c r="AN2710" s="80"/>
      <c r="AO2710" s="82" t="str">
        <f aca="false">IF(E2710="","",(AA2710&lt;&gt;"")+(AG2710&lt;&gt;"")+(AL2710&lt;&gt;""))</f>
        <v/>
      </c>
      <c r="AP2710" s="82" t="str">
        <f aca="false">IF(AL2710&lt;&gt;"",AL2710,IF(AG2710&lt;&gt;"",AG2710,IF(AA2710&lt;&gt;"",AA2710,"")))</f>
        <v/>
      </c>
      <c r="AQ2710" s="84" t="str">
        <f aca="false">IF(E2710="","",IF(U2710="","À SOUDER",IF(X2710="","VT EN ATTENTE",IF(X2710="R","VT REJETÉ – À REPRENDRE",IF(AP2710="","À RADIOGRAPHIER",IF(AP2710="A","ACCEPTÉ",IF(AP2710="NX","NX – RT À REFAIRE",IF(IF(AO2710=1,AD2710,IF(AO2710=2,AI2710,""))="A","RÉPARÉ – À RADIOGRAPHIER",IF(IF(AO2710=1,AD2710,IF(AO2710=2,AI2710,""))="R","VT REJETÉ – À REPRENDRE",IF(OR(AP2710="CO",AP2710="NT"),"COUPE – À RESOUDER","À RÉPARER"))))))))))</f>
        <v/>
      </c>
      <c r="AR2710" s="82" t="str">
        <f aca="false">IF(AND(ISNUMBER(U2710),OR(AQ2710="À RADIOGRAPHIER",AQ2710="RÉPARÉ – À RADIOGRAPHIER",AQ2710="NX – RT À REFAIRE",AQ2710="À RÉPARER",AQ2710="COUPE – À RESOUDER",AQ2710="VT REJETÉ – À REPRENDRE")),MAX(0,'PROGRAMME RT'!$C$4-U2710),"")</f>
        <v/>
      </c>
      <c r="AS2710" s="82" t="n">
        <f aca="false">IF(AND(OR(AQ2710="À RADIOGRAPHIER",AQ2710="RÉPARÉ – À RADIOGRAPHIER",AQ2710="NX – RT À REFAIRE"),OR('PROGRAMME RT'!$D$5="TOUTES",B2710='PROGRAMME RT'!$D$5)),1,0)</f>
        <v>0</v>
      </c>
      <c r="AT2710" s="82" t="str">
        <f aca="false">IF(AS2710=1,SUM(AS$7:AS2710),"")</f>
        <v/>
      </c>
      <c r="AU2710" s="82" t="n">
        <f aca="false">IF(AND(OR(AA2710="R",AA2710="NX",AA2710="NT",AA2710="CO"),OR('JOINTS DE RÉPARATION'!$D$5="TOUTES",B2710='JOINTS DE RÉPARATION'!$D$5),OR('JOINTS DE RÉPARATION'!$L$4="TOUS",AQ2710&lt;&gt;"ACCEPTÉ")),1,0)</f>
        <v>0</v>
      </c>
      <c r="AV2710" s="82" t="str">
        <f aca="false">IF(AU2710=1,SUM(AU$7:AU2710),"")</f>
        <v/>
      </c>
      <c r="AW2710" s="82" t="str">
        <f aca="false">IF(E2710="","",B2710&amp;"|"&amp;E2710)</f>
        <v/>
      </c>
    </row>
    <row r="2711" customFormat="false" ht="15" hidden="false" customHeight="false" outlineLevel="0" collapsed="false">
      <c r="A2711" s="79" t="str">
        <f aca="false">IF(E2711="","",ROW()-6)</f>
        <v/>
      </c>
      <c r="B2711" s="80"/>
      <c r="C2711" s="81"/>
      <c r="D2711" s="81"/>
      <c r="E2711" s="81"/>
      <c r="F2711" s="82" t="str">
        <f aca="false">IF(E2711="","",IF(LEFT(E2711,2)="DJ","DJ","JN"))</f>
        <v/>
      </c>
      <c r="G2711" s="81"/>
      <c r="H2711" s="81"/>
      <c r="I2711" s="81"/>
      <c r="J2711" s="81"/>
      <c r="K2711" s="81"/>
      <c r="L2711" s="81"/>
      <c r="M2711" s="81"/>
      <c r="N2711" s="81"/>
      <c r="O2711" s="81"/>
      <c r="P2711" s="81"/>
      <c r="Q2711" s="81"/>
      <c r="R2711" s="81"/>
      <c r="S2711" s="81"/>
      <c r="T2711" s="81"/>
      <c r="U2711" s="83"/>
      <c r="V2711" s="83"/>
      <c r="W2711" s="81"/>
      <c r="X2711" s="81"/>
      <c r="Y2711" s="83"/>
      <c r="Z2711" s="81"/>
      <c r="AA2711" s="81"/>
      <c r="AB2711" s="81"/>
      <c r="AC2711" s="81"/>
      <c r="AD2711" s="81"/>
      <c r="AE2711" s="83"/>
      <c r="AF2711" s="81"/>
      <c r="AG2711" s="81"/>
      <c r="AH2711" s="81"/>
      <c r="AI2711" s="81"/>
      <c r="AJ2711" s="83"/>
      <c r="AK2711" s="81"/>
      <c r="AL2711" s="81"/>
      <c r="AM2711" s="83"/>
      <c r="AN2711" s="80"/>
      <c r="AO2711" s="82" t="str">
        <f aca="false">IF(E2711="","",(AA2711&lt;&gt;"")+(AG2711&lt;&gt;"")+(AL2711&lt;&gt;""))</f>
        <v/>
      </c>
      <c r="AP2711" s="82" t="str">
        <f aca="false">IF(AL2711&lt;&gt;"",AL2711,IF(AG2711&lt;&gt;"",AG2711,IF(AA2711&lt;&gt;"",AA2711,"")))</f>
        <v/>
      </c>
      <c r="AQ2711" s="84" t="str">
        <f aca="false">IF(E2711="","",IF(U2711="","À SOUDER",IF(X2711="","VT EN ATTENTE",IF(X2711="R","VT REJETÉ – À REPRENDRE",IF(AP2711="","À RADIOGRAPHIER",IF(AP2711="A","ACCEPTÉ",IF(AP2711="NX","NX – RT À REFAIRE",IF(IF(AO2711=1,AD2711,IF(AO2711=2,AI2711,""))="A","RÉPARÉ – À RADIOGRAPHIER",IF(IF(AO2711=1,AD2711,IF(AO2711=2,AI2711,""))="R","VT REJETÉ – À REPRENDRE",IF(OR(AP2711="CO",AP2711="NT"),"COUPE – À RESOUDER","À RÉPARER"))))))))))</f>
        <v/>
      </c>
      <c r="AR2711" s="82" t="str">
        <f aca="false">IF(AND(ISNUMBER(U2711),OR(AQ2711="À RADIOGRAPHIER",AQ2711="RÉPARÉ – À RADIOGRAPHIER",AQ2711="NX – RT À REFAIRE",AQ2711="À RÉPARER",AQ2711="COUPE – À RESOUDER",AQ2711="VT REJETÉ – À REPRENDRE")),MAX(0,'PROGRAMME RT'!$C$4-U2711),"")</f>
        <v/>
      </c>
      <c r="AS2711" s="82" t="n">
        <f aca="false">IF(AND(OR(AQ2711="À RADIOGRAPHIER",AQ2711="RÉPARÉ – À RADIOGRAPHIER",AQ2711="NX – RT À REFAIRE"),OR('PROGRAMME RT'!$D$5="TOUTES",B2711='PROGRAMME RT'!$D$5)),1,0)</f>
        <v>0</v>
      </c>
      <c r="AT2711" s="82" t="str">
        <f aca="false">IF(AS2711=1,SUM(AS$7:AS2711),"")</f>
        <v/>
      </c>
      <c r="AU2711" s="82" t="n">
        <f aca="false">IF(AND(OR(AA2711="R",AA2711="NX",AA2711="NT",AA2711="CO"),OR('JOINTS DE RÉPARATION'!$D$5="TOUTES",B2711='JOINTS DE RÉPARATION'!$D$5),OR('JOINTS DE RÉPARATION'!$L$4="TOUS",AQ2711&lt;&gt;"ACCEPTÉ")),1,0)</f>
        <v>0</v>
      </c>
      <c r="AV2711" s="82" t="str">
        <f aca="false">IF(AU2711=1,SUM(AU$7:AU2711),"")</f>
        <v/>
      </c>
      <c r="AW2711" s="82" t="str">
        <f aca="false">IF(E2711="","",B2711&amp;"|"&amp;E2711)</f>
        <v/>
      </c>
    </row>
    <row r="2712" customFormat="false" ht="15" hidden="false" customHeight="false" outlineLevel="0" collapsed="false">
      <c r="A2712" s="79" t="str">
        <f aca="false">IF(E2712="","",ROW()-6)</f>
        <v/>
      </c>
      <c r="B2712" s="80"/>
      <c r="C2712" s="81"/>
      <c r="D2712" s="81"/>
      <c r="E2712" s="81"/>
      <c r="F2712" s="82" t="str">
        <f aca="false">IF(E2712="","",IF(LEFT(E2712,2)="DJ","DJ","JN"))</f>
        <v/>
      </c>
      <c r="G2712" s="81"/>
      <c r="H2712" s="81"/>
      <c r="I2712" s="81"/>
      <c r="J2712" s="81"/>
      <c r="K2712" s="81"/>
      <c r="L2712" s="81"/>
      <c r="M2712" s="81"/>
      <c r="N2712" s="81"/>
      <c r="O2712" s="81"/>
      <c r="P2712" s="81"/>
      <c r="Q2712" s="81"/>
      <c r="R2712" s="81"/>
      <c r="S2712" s="81"/>
      <c r="T2712" s="81"/>
      <c r="U2712" s="83"/>
      <c r="V2712" s="83"/>
      <c r="W2712" s="81"/>
      <c r="X2712" s="81"/>
      <c r="Y2712" s="83"/>
      <c r="Z2712" s="81"/>
      <c r="AA2712" s="81"/>
      <c r="AB2712" s="81"/>
      <c r="AC2712" s="81"/>
      <c r="AD2712" s="81"/>
      <c r="AE2712" s="83"/>
      <c r="AF2712" s="81"/>
      <c r="AG2712" s="81"/>
      <c r="AH2712" s="81"/>
      <c r="AI2712" s="81"/>
      <c r="AJ2712" s="83"/>
      <c r="AK2712" s="81"/>
      <c r="AL2712" s="81"/>
      <c r="AM2712" s="83"/>
      <c r="AN2712" s="80"/>
      <c r="AO2712" s="82" t="str">
        <f aca="false">IF(E2712="","",(AA2712&lt;&gt;"")+(AG2712&lt;&gt;"")+(AL2712&lt;&gt;""))</f>
        <v/>
      </c>
      <c r="AP2712" s="82" t="str">
        <f aca="false">IF(AL2712&lt;&gt;"",AL2712,IF(AG2712&lt;&gt;"",AG2712,IF(AA2712&lt;&gt;"",AA2712,"")))</f>
        <v/>
      </c>
      <c r="AQ2712" s="84" t="str">
        <f aca="false">IF(E2712="","",IF(U2712="","À SOUDER",IF(X2712="","VT EN ATTENTE",IF(X2712="R","VT REJETÉ – À REPRENDRE",IF(AP2712="","À RADIOGRAPHIER",IF(AP2712="A","ACCEPTÉ",IF(AP2712="NX","NX – RT À REFAIRE",IF(IF(AO2712=1,AD2712,IF(AO2712=2,AI2712,""))="A","RÉPARÉ – À RADIOGRAPHIER",IF(IF(AO2712=1,AD2712,IF(AO2712=2,AI2712,""))="R","VT REJETÉ – À REPRENDRE",IF(OR(AP2712="CO",AP2712="NT"),"COUPE – À RESOUDER","À RÉPARER"))))))))))</f>
        <v/>
      </c>
      <c r="AR2712" s="82" t="str">
        <f aca="false">IF(AND(ISNUMBER(U2712),OR(AQ2712="À RADIOGRAPHIER",AQ2712="RÉPARÉ – À RADIOGRAPHIER",AQ2712="NX – RT À REFAIRE",AQ2712="À RÉPARER",AQ2712="COUPE – À RESOUDER",AQ2712="VT REJETÉ – À REPRENDRE")),MAX(0,'PROGRAMME RT'!$C$4-U2712),"")</f>
        <v/>
      </c>
      <c r="AS2712" s="82" t="n">
        <f aca="false">IF(AND(OR(AQ2712="À RADIOGRAPHIER",AQ2712="RÉPARÉ – À RADIOGRAPHIER",AQ2712="NX – RT À REFAIRE"),OR('PROGRAMME RT'!$D$5="TOUTES",B2712='PROGRAMME RT'!$D$5)),1,0)</f>
        <v>0</v>
      </c>
      <c r="AT2712" s="82" t="str">
        <f aca="false">IF(AS2712=1,SUM(AS$7:AS2712),"")</f>
        <v/>
      </c>
      <c r="AU2712" s="82" t="n">
        <f aca="false">IF(AND(OR(AA2712="R",AA2712="NX",AA2712="NT",AA2712="CO"),OR('JOINTS DE RÉPARATION'!$D$5="TOUTES",B2712='JOINTS DE RÉPARATION'!$D$5),OR('JOINTS DE RÉPARATION'!$L$4="TOUS",AQ2712&lt;&gt;"ACCEPTÉ")),1,0)</f>
        <v>0</v>
      </c>
      <c r="AV2712" s="82" t="str">
        <f aca="false">IF(AU2712=1,SUM(AU$7:AU2712),"")</f>
        <v/>
      </c>
      <c r="AW2712" s="82" t="str">
        <f aca="false">IF(E2712="","",B2712&amp;"|"&amp;E2712)</f>
        <v/>
      </c>
    </row>
    <row r="2713" customFormat="false" ht="15" hidden="false" customHeight="false" outlineLevel="0" collapsed="false">
      <c r="A2713" s="79" t="str">
        <f aca="false">IF(E2713="","",ROW()-6)</f>
        <v/>
      </c>
      <c r="B2713" s="80"/>
      <c r="C2713" s="81"/>
      <c r="D2713" s="81"/>
      <c r="E2713" s="81"/>
      <c r="F2713" s="82" t="str">
        <f aca="false">IF(E2713="","",IF(LEFT(E2713,2)="DJ","DJ","JN"))</f>
        <v/>
      </c>
      <c r="G2713" s="81"/>
      <c r="H2713" s="81"/>
      <c r="I2713" s="81"/>
      <c r="J2713" s="81"/>
      <c r="K2713" s="81"/>
      <c r="L2713" s="81"/>
      <c r="M2713" s="81"/>
      <c r="N2713" s="81"/>
      <c r="O2713" s="81"/>
      <c r="P2713" s="81"/>
      <c r="Q2713" s="81"/>
      <c r="R2713" s="81"/>
      <c r="S2713" s="81"/>
      <c r="T2713" s="81"/>
      <c r="U2713" s="83"/>
      <c r="V2713" s="83"/>
      <c r="W2713" s="81"/>
      <c r="X2713" s="81"/>
      <c r="Y2713" s="83"/>
      <c r="Z2713" s="81"/>
      <c r="AA2713" s="81"/>
      <c r="AB2713" s="81"/>
      <c r="AC2713" s="81"/>
      <c r="AD2713" s="81"/>
      <c r="AE2713" s="83"/>
      <c r="AF2713" s="81"/>
      <c r="AG2713" s="81"/>
      <c r="AH2713" s="81"/>
      <c r="AI2713" s="81"/>
      <c r="AJ2713" s="83"/>
      <c r="AK2713" s="81"/>
      <c r="AL2713" s="81"/>
      <c r="AM2713" s="83"/>
      <c r="AN2713" s="80"/>
      <c r="AO2713" s="82" t="str">
        <f aca="false">IF(E2713="","",(AA2713&lt;&gt;"")+(AG2713&lt;&gt;"")+(AL2713&lt;&gt;""))</f>
        <v/>
      </c>
      <c r="AP2713" s="82" t="str">
        <f aca="false">IF(AL2713&lt;&gt;"",AL2713,IF(AG2713&lt;&gt;"",AG2713,IF(AA2713&lt;&gt;"",AA2713,"")))</f>
        <v/>
      </c>
      <c r="AQ2713" s="84" t="str">
        <f aca="false">IF(E2713="","",IF(U2713="","À SOUDER",IF(X2713="","VT EN ATTENTE",IF(X2713="R","VT REJETÉ – À REPRENDRE",IF(AP2713="","À RADIOGRAPHIER",IF(AP2713="A","ACCEPTÉ",IF(AP2713="NX","NX – RT À REFAIRE",IF(IF(AO2713=1,AD2713,IF(AO2713=2,AI2713,""))="A","RÉPARÉ – À RADIOGRAPHIER",IF(IF(AO2713=1,AD2713,IF(AO2713=2,AI2713,""))="R","VT REJETÉ – À REPRENDRE",IF(OR(AP2713="CO",AP2713="NT"),"COUPE – À RESOUDER","À RÉPARER"))))))))))</f>
        <v/>
      </c>
      <c r="AR2713" s="82" t="str">
        <f aca="false">IF(AND(ISNUMBER(U2713),OR(AQ2713="À RADIOGRAPHIER",AQ2713="RÉPARÉ – À RADIOGRAPHIER",AQ2713="NX – RT À REFAIRE",AQ2713="À RÉPARER",AQ2713="COUPE – À RESOUDER",AQ2713="VT REJETÉ – À REPRENDRE")),MAX(0,'PROGRAMME RT'!$C$4-U2713),"")</f>
        <v/>
      </c>
      <c r="AS2713" s="82" t="n">
        <f aca="false">IF(AND(OR(AQ2713="À RADIOGRAPHIER",AQ2713="RÉPARÉ – À RADIOGRAPHIER",AQ2713="NX – RT À REFAIRE"),OR('PROGRAMME RT'!$D$5="TOUTES",B2713='PROGRAMME RT'!$D$5)),1,0)</f>
        <v>0</v>
      </c>
      <c r="AT2713" s="82" t="str">
        <f aca="false">IF(AS2713=1,SUM(AS$7:AS2713),"")</f>
        <v/>
      </c>
      <c r="AU2713" s="82" t="n">
        <f aca="false">IF(AND(OR(AA2713="R",AA2713="NX",AA2713="NT",AA2713="CO"),OR('JOINTS DE RÉPARATION'!$D$5="TOUTES",B2713='JOINTS DE RÉPARATION'!$D$5),OR('JOINTS DE RÉPARATION'!$L$4="TOUS",AQ2713&lt;&gt;"ACCEPTÉ")),1,0)</f>
        <v>0</v>
      </c>
      <c r="AV2713" s="82" t="str">
        <f aca="false">IF(AU2713=1,SUM(AU$7:AU2713),"")</f>
        <v/>
      </c>
      <c r="AW2713" s="82" t="str">
        <f aca="false">IF(E2713="","",B2713&amp;"|"&amp;E2713)</f>
        <v/>
      </c>
    </row>
    <row r="2714" customFormat="false" ht="15" hidden="false" customHeight="false" outlineLevel="0" collapsed="false">
      <c r="A2714" s="79" t="str">
        <f aca="false">IF(E2714="","",ROW()-6)</f>
        <v/>
      </c>
      <c r="B2714" s="80"/>
      <c r="C2714" s="81"/>
      <c r="D2714" s="81"/>
      <c r="E2714" s="81"/>
      <c r="F2714" s="82" t="str">
        <f aca="false">IF(E2714="","",IF(LEFT(E2714,2)="DJ","DJ","JN"))</f>
        <v/>
      </c>
      <c r="G2714" s="81"/>
      <c r="H2714" s="81"/>
      <c r="I2714" s="81"/>
      <c r="J2714" s="81"/>
      <c r="K2714" s="81"/>
      <c r="L2714" s="81"/>
      <c r="M2714" s="81"/>
      <c r="N2714" s="81"/>
      <c r="O2714" s="81"/>
      <c r="P2714" s="81"/>
      <c r="Q2714" s="81"/>
      <c r="R2714" s="81"/>
      <c r="S2714" s="81"/>
      <c r="T2714" s="81"/>
      <c r="U2714" s="83"/>
      <c r="V2714" s="83"/>
      <c r="W2714" s="81"/>
      <c r="X2714" s="81"/>
      <c r="Y2714" s="83"/>
      <c r="Z2714" s="81"/>
      <c r="AA2714" s="81"/>
      <c r="AB2714" s="81"/>
      <c r="AC2714" s="81"/>
      <c r="AD2714" s="81"/>
      <c r="AE2714" s="83"/>
      <c r="AF2714" s="81"/>
      <c r="AG2714" s="81"/>
      <c r="AH2714" s="81"/>
      <c r="AI2714" s="81"/>
      <c r="AJ2714" s="83"/>
      <c r="AK2714" s="81"/>
      <c r="AL2714" s="81"/>
      <c r="AM2714" s="83"/>
      <c r="AN2714" s="80"/>
      <c r="AO2714" s="82" t="str">
        <f aca="false">IF(E2714="","",(AA2714&lt;&gt;"")+(AG2714&lt;&gt;"")+(AL2714&lt;&gt;""))</f>
        <v/>
      </c>
      <c r="AP2714" s="82" t="str">
        <f aca="false">IF(AL2714&lt;&gt;"",AL2714,IF(AG2714&lt;&gt;"",AG2714,IF(AA2714&lt;&gt;"",AA2714,"")))</f>
        <v/>
      </c>
      <c r="AQ2714" s="84" t="str">
        <f aca="false">IF(E2714="","",IF(U2714="","À SOUDER",IF(X2714="","VT EN ATTENTE",IF(X2714="R","VT REJETÉ – À REPRENDRE",IF(AP2714="","À RADIOGRAPHIER",IF(AP2714="A","ACCEPTÉ",IF(AP2714="NX","NX – RT À REFAIRE",IF(IF(AO2714=1,AD2714,IF(AO2714=2,AI2714,""))="A","RÉPARÉ – À RADIOGRAPHIER",IF(IF(AO2714=1,AD2714,IF(AO2714=2,AI2714,""))="R","VT REJETÉ – À REPRENDRE",IF(OR(AP2714="CO",AP2714="NT"),"COUPE – À RESOUDER","À RÉPARER"))))))))))</f>
        <v/>
      </c>
      <c r="AR2714" s="82" t="str">
        <f aca="false">IF(AND(ISNUMBER(U2714),OR(AQ2714="À RADIOGRAPHIER",AQ2714="RÉPARÉ – À RADIOGRAPHIER",AQ2714="NX – RT À REFAIRE",AQ2714="À RÉPARER",AQ2714="COUPE – À RESOUDER",AQ2714="VT REJETÉ – À REPRENDRE")),MAX(0,'PROGRAMME RT'!$C$4-U2714),"")</f>
        <v/>
      </c>
      <c r="AS2714" s="82" t="n">
        <f aca="false">IF(AND(OR(AQ2714="À RADIOGRAPHIER",AQ2714="RÉPARÉ – À RADIOGRAPHIER",AQ2714="NX – RT À REFAIRE"),OR('PROGRAMME RT'!$D$5="TOUTES",B2714='PROGRAMME RT'!$D$5)),1,0)</f>
        <v>0</v>
      </c>
      <c r="AT2714" s="82" t="str">
        <f aca="false">IF(AS2714=1,SUM(AS$7:AS2714),"")</f>
        <v/>
      </c>
      <c r="AU2714" s="82" t="n">
        <f aca="false">IF(AND(OR(AA2714="R",AA2714="NX",AA2714="NT",AA2714="CO"),OR('JOINTS DE RÉPARATION'!$D$5="TOUTES",B2714='JOINTS DE RÉPARATION'!$D$5),OR('JOINTS DE RÉPARATION'!$L$4="TOUS",AQ2714&lt;&gt;"ACCEPTÉ")),1,0)</f>
        <v>0</v>
      </c>
      <c r="AV2714" s="82" t="str">
        <f aca="false">IF(AU2714=1,SUM(AU$7:AU2714),"")</f>
        <v/>
      </c>
      <c r="AW2714" s="82" t="str">
        <f aca="false">IF(E2714="","",B2714&amp;"|"&amp;E2714)</f>
        <v/>
      </c>
    </row>
    <row r="2715" customFormat="false" ht="15" hidden="false" customHeight="false" outlineLevel="0" collapsed="false">
      <c r="A2715" s="79" t="str">
        <f aca="false">IF(E2715="","",ROW()-6)</f>
        <v/>
      </c>
      <c r="B2715" s="80"/>
      <c r="C2715" s="81"/>
      <c r="D2715" s="81"/>
      <c r="E2715" s="81"/>
      <c r="F2715" s="82" t="str">
        <f aca="false">IF(E2715="","",IF(LEFT(E2715,2)="DJ","DJ","JN"))</f>
        <v/>
      </c>
      <c r="G2715" s="81"/>
      <c r="H2715" s="81"/>
      <c r="I2715" s="81"/>
      <c r="J2715" s="81"/>
      <c r="K2715" s="81"/>
      <c r="L2715" s="81"/>
      <c r="M2715" s="81"/>
      <c r="N2715" s="81"/>
      <c r="O2715" s="81"/>
      <c r="P2715" s="81"/>
      <c r="Q2715" s="81"/>
      <c r="R2715" s="81"/>
      <c r="S2715" s="81"/>
      <c r="T2715" s="81"/>
      <c r="U2715" s="83"/>
      <c r="V2715" s="83"/>
      <c r="W2715" s="81"/>
      <c r="X2715" s="81"/>
      <c r="Y2715" s="83"/>
      <c r="Z2715" s="81"/>
      <c r="AA2715" s="81"/>
      <c r="AB2715" s="81"/>
      <c r="AC2715" s="81"/>
      <c r="AD2715" s="81"/>
      <c r="AE2715" s="83"/>
      <c r="AF2715" s="81"/>
      <c r="AG2715" s="81"/>
      <c r="AH2715" s="81"/>
      <c r="AI2715" s="81"/>
      <c r="AJ2715" s="83"/>
      <c r="AK2715" s="81"/>
      <c r="AL2715" s="81"/>
      <c r="AM2715" s="83"/>
      <c r="AN2715" s="80"/>
      <c r="AO2715" s="82" t="str">
        <f aca="false">IF(E2715="","",(AA2715&lt;&gt;"")+(AG2715&lt;&gt;"")+(AL2715&lt;&gt;""))</f>
        <v/>
      </c>
      <c r="AP2715" s="82" t="str">
        <f aca="false">IF(AL2715&lt;&gt;"",AL2715,IF(AG2715&lt;&gt;"",AG2715,IF(AA2715&lt;&gt;"",AA2715,"")))</f>
        <v/>
      </c>
      <c r="AQ2715" s="84" t="str">
        <f aca="false">IF(E2715="","",IF(U2715="","À SOUDER",IF(X2715="","VT EN ATTENTE",IF(X2715="R","VT REJETÉ – À REPRENDRE",IF(AP2715="","À RADIOGRAPHIER",IF(AP2715="A","ACCEPTÉ",IF(AP2715="NX","NX – RT À REFAIRE",IF(IF(AO2715=1,AD2715,IF(AO2715=2,AI2715,""))="A","RÉPARÉ – À RADIOGRAPHIER",IF(IF(AO2715=1,AD2715,IF(AO2715=2,AI2715,""))="R","VT REJETÉ – À REPRENDRE",IF(OR(AP2715="CO",AP2715="NT"),"COUPE – À RESOUDER","À RÉPARER"))))))))))</f>
        <v/>
      </c>
      <c r="AR2715" s="82" t="str">
        <f aca="false">IF(AND(ISNUMBER(U2715),OR(AQ2715="À RADIOGRAPHIER",AQ2715="RÉPARÉ – À RADIOGRAPHIER",AQ2715="NX – RT À REFAIRE",AQ2715="À RÉPARER",AQ2715="COUPE – À RESOUDER",AQ2715="VT REJETÉ – À REPRENDRE")),MAX(0,'PROGRAMME RT'!$C$4-U2715),"")</f>
        <v/>
      </c>
      <c r="AS2715" s="82" t="n">
        <f aca="false">IF(AND(OR(AQ2715="À RADIOGRAPHIER",AQ2715="RÉPARÉ – À RADIOGRAPHIER",AQ2715="NX – RT À REFAIRE"),OR('PROGRAMME RT'!$D$5="TOUTES",B2715='PROGRAMME RT'!$D$5)),1,0)</f>
        <v>0</v>
      </c>
      <c r="AT2715" s="82" t="str">
        <f aca="false">IF(AS2715=1,SUM(AS$7:AS2715),"")</f>
        <v/>
      </c>
      <c r="AU2715" s="82" t="n">
        <f aca="false">IF(AND(OR(AA2715="R",AA2715="NX",AA2715="NT",AA2715="CO"),OR('JOINTS DE RÉPARATION'!$D$5="TOUTES",B2715='JOINTS DE RÉPARATION'!$D$5),OR('JOINTS DE RÉPARATION'!$L$4="TOUS",AQ2715&lt;&gt;"ACCEPTÉ")),1,0)</f>
        <v>0</v>
      </c>
      <c r="AV2715" s="82" t="str">
        <f aca="false">IF(AU2715=1,SUM(AU$7:AU2715),"")</f>
        <v/>
      </c>
      <c r="AW2715" s="82" t="str">
        <f aca="false">IF(E2715="","",B2715&amp;"|"&amp;E2715)</f>
        <v/>
      </c>
    </row>
    <row r="2716" customFormat="false" ht="15" hidden="false" customHeight="false" outlineLevel="0" collapsed="false">
      <c r="A2716" s="79" t="str">
        <f aca="false">IF(E2716="","",ROW()-6)</f>
        <v/>
      </c>
      <c r="B2716" s="80"/>
      <c r="C2716" s="81"/>
      <c r="D2716" s="81"/>
      <c r="E2716" s="81"/>
      <c r="F2716" s="82" t="str">
        <f aca="false">IF(E2716="","",IF(LEFT(E2716,2)="DJ","DJ","JN"))</f>
        <v/>
      </c>
      <c r="G2716" s="81"/>
      <c r="H2716" s="81"/>
      <c r="I2716" s="81"/>
      <c r="J2716" s="81"/>
      <c r="K2716" s="81"/>
      <c r="L2716" s="81"/>
      <c r="M2716" s="81"/>
      <c r="N2716" s="81"/>
      <c r="O2716" s="81"/>
      <c r="P2716" s="81"/>
      <c r="Q2716" s="81"/>
      <c r="R2716" s="81"/>
      <c r="S2716" s="81"/>
      <c r="T2716" s="81"/>
      <c r="U2716" s="83"/>
      <c r="V2716" s="83"/>
      <c r="W2716" s="81"/>
      <c r="X2716" s="81"/>
      <c r="Y2716" s="83"/>
      <c r="Z2716" s="81"/>
      <c r="AA2716" s="81"/>
      <c r="AB2716" s="81"/>
      <c r="AC2716" s="81"/>
      <c r="AD2716" s="81"/>
      <c r="AE2716" s="83"/>
      <c r="AF2716" s="81"/>
      <c r="AG2716" s="81"/>
      <c r="AH2716" s="81"/>
      <c r="AI2716" s="81"/>
      <c r="AJ2716" s="83"/>
      <c r="AK2716" s="81"/>
      <c r="AL2716" s="81"/>
      <c r="AM2716" s="83"/>
      <c r="AN2716" s="80"/>
      <c r="AO2716" s="82" t="str">
        <f aca="false">IF(E2716="","",(AA2716&lt;&gt;"")+(AG2716&lt;&gt;"")+(AL2716&lt;&gt;""))</f>
        <v/>
      </c>
      <c r="AP2716" s="82" t="str">
        <f aca="false">IF(AL2716&lt;&gt;"",AL2716,IF(AG2716&lt;&gt;"",AG2716,IF(AA2716&lt;&gt;"",AA2716,"")))</f>
        <v/>
      </c>
      <c r="AQ2716" s="84" t="str">
        <f aca="false">IF(E2716="","",IF(U2716="","À SOUDER",IF(X2716="","VT EN ATTENTE",IF(X2716="R","VT REJETÉ – À REPRENDRE",IF(AP2716="","À RADIOGRAPHIER",IF(AP2716="A","ACCEPTÉ",IF(AP2716="NX","NX – RT À REFAIRE",IF(IF(AO2716=1,AD2716,IF(AO2716=2,AI2716,""))="A","RÉPARÉ – À RADIOGRAPHIER",IF(IF(AO2716=1,AD2716,IF(AO2716=2,AI2716,""))="R","VT REJETÉ – À REPRENDRE",IF(OR(AP2716="CO",AP2716="NT"),"COUPE – À RESOUDER","À RÉPARER"))))))))))</f>
        <v/>
      </c>
      <c r="AR2716" s="82" t="str">
        <f aca="false">IF(AND(ISNUMBER(U2716),OR(AQ2716="À RADIOGRAPHIER",AQ2716="RÉPARÉ – À RADIOGRAPHIER",AQ2716="NX – RT À REFAIRE",AQ2716="À RÉPARER",AQ2716="COUPE – À RESOUDER",AQ2716="VT REJETÉ – À REPRENDRE")),MAX(0,'PROGRAMME RT'!$C$4-U2716),"")</f>
        <v/>
      </c>
      <c r="AS2716" s="82" t="n">
        <f aca="false">IF(AND(OR(AQ2716="À RADIOGRAPHIER",AQ2716="RÉPARÉ – À RADIOGRAPHIER",AQ2716="NX – RT À REFAIRE"),OR('PROGRAMME RT'!$D$5="TOUTES",B2716='PROGRAMME RT'!$D$5)),1,0)</f>
        <v>0</v>
      </c>
      <c r="AT2716" s="82" t="str">
        <f aca="false">IF(AS2716=1,SUM(AS$7:AS2716),"")</f>
        <v/>
      </c>
      <c r="AU2716" s="82" t="n">
        <f aca="false">IF(AND(OR(AA2716="R",AA2716="NX",AA2716="NT",AA2716="CO"),OR('JOINTS DE RÉPARATION'!$D$5="TOUTES",B2716='JOINTS DE RÉPARATION'!$D$5),OR('JOINTS DE RÉPARATION'!$L$4="TOUS",AQ2716&lt;&gt;"ACCEPTÉ")),1,0)</f>
        <v>0</v>
      </c>
      <c r="AV2716" s="82" t="str">
        <f aca="false">IF(AU2716=1,SUM(AU$7:AU2716),"")</f>
        <v/>
      </c>
      <c r="AW2716" s="82" t="str">
        <f aca="false">IF(E2716="","",B2716&amp;"|"&amp;E2716)</f>
        <v/>
      </c>
    </row>
    <row r="2717" customFormat="false" ht="15" hidden="false" customHeight="false" outlineLevel="0" collapsed="false">
      <c r="A2717" s="79" t="str">
        <f aca="false">IF(E2717="","",ROW()-6)</f>
        <v/>
      </c>
      <c r="B2717" s="80"/>
      <c r="C2717" s="81"/>
      <c r="D2717" s="81"/>
      <c r="E2717" s="81"/>
      <c r="F2717" s="82" t="str">
        <f aca="false">IF(E2717="","",IF(LEFT(E2717,2)="DJ","DJ","JN"))</f>
        <v/>
      </c>
      <c r="G2717" s="81"/>
      <c r="H2717" s="81"/>
      <c r="I2717" s="81"/>
      <c r="J2717" s="81"/>
      <c r="K2717" s="81"/>
      <c r="L2717" s="81"/>
      <c r="M2717" s="81"/>
      <c r="N2717" s="81"/>
      <c r="O2717" s="81"/>
      <c r="P2717" s="81"/>
      <c r="Q2717" s="81"/>
      <c r="R2717" s="81"/>
      <c r="S2717" s="81"/>
      <c r="T2717" s="81"/>
      <c r="U2717" s="83"/>
      <c r="V2717" s="83"/>
      <c r="W2717" s="81"/>
      <c r="X2717" s="81"/>
      <c r="Y2717" s="83"/>
      <c r="Z2717" s="81"/>
      <c r="AA2717" s="81"/>
      <c r="AB2717" s="81"/>
      <c r="AC2717" s="81"/>
      <c r="AD2717" s="81"/>
      <c r="AE2717" s="83"/>
      <c r="AF2717" s="81"/>
      <c r="AG2717" s="81"/>
      <c r="AH2717" s="81"/>
      <c r="AI2717" s="81"/>
      <c r="AJ2717" s="83"/>
      <c r="AK2717" s="81"/>
      <c r="AL2717" s="81"/>
      <c r="AM2717" s="83"/>
      <c r="AN2717" s="80"/>
      <c r="AO2717" s="82" t="str">
        <f aca="false">IF(E2717="","",(AA2717&lt;&gt;"")+(AG2717&lt;&gt;"")+(AL2717&lt;&gt;""))</f>
        <v/>
      </c>
      <c r="AP2717" s="82" t="str">
        <f aca="false">IF(AL2717&lt;&gt;"",AL2717,IF(AG2717&lt;&gt;"",AG2717,IF(AA2717&lt;&gt;"",AA2717,"")))</f>
        <v/>
      </c>
      <c r="AQ2717" s="84" t="str">
        <f aca="false">IF(E2717="","",IF(U2717="","À SOUDER",IF(X2717="","VT EN ATTENTE",IF(X2717="R","VT REJETÉ – À REPRENDRE",IF(AP2717="","À RADIOGRAPHIER",IF(AP2717="A","ACCEPTÉ",IF(AP2717="NX","NX – RT À REFAIRE",IF(IF(AO2717=1,AD2717,IF(AO2717=2,AI2717,""))="A","RÉPARÉ – À RADIOGRAPHIER",IF(IF(AO2717=1,AD2717,IF(AO2717=2,AI2717,""))="R","VT REJETÉ – À REPRENDRE",IF(OR(AP2717="CO",AP2717="NT"),"COUPE – À RESOUDER","À RÉPARER"))))))))))</f>
        <v/>
      </c>
      <c r="AR2717" s="82" t="str">
        <f aca="false">IF(AND(ISNUMBER(U2717),OR(AQ2717="À RADIOGRAPHIER",AQ2717="RÉPARÉ – À RADIOGRAPHIER",AQ2717="NX – RT À REFAIRE",AQ2717="À RÉPARER",AQ2717="COUPE – À RESOUDER",AQ2717="VT REJETÉ – À REPRENDRE")),MAX(0,'PROGRAMME RT'!$C$4-U2717),"")</f>
        <v/>
      </c>
      <c r="AS2717" s="82" t="n">
        <f aca="false">IF(AND(OR(AQ2717="À RADIOGRAPHIER",AQ2717="RÉPARÉ – À RADIOGRAPHIER",AQ2717="NX – RT À REFAIRE"),OR('PROGRAMME RT'!$D$5="TOUTES",B2717='PROGRAMME RT'!$D$5)),1,0)</f>
        <v>0</v>
      </c>
      <c r="AT2717" s="82" t="str">
        <f aca="false">IF(AS2717=1,SUM(AS$7:AS2717),"")</f>
        <v/>
      </c>
      <c r="AU2717" s="82" t="n">
        <f aca="false">IF(AND(OR(AA2717="R",AA2717="NX",AA2717="NT",AA2717="CO"),OR('JOINTS DE RÉPARATION'!$D$5="TOUTES",B2717='JOINTS DE RÉPARATION'!$D$5),OR('JOINTS DE RÉPARATION'!$L$4="TOUS",AQ2717&lt;&gt;"ACCEPTÉ")),1,0)</f>
        <v>0</v>
      </c>
      <c r="AV2717" s="82" t="str">
        <f aca="false">IF(AU2717=1,SUM(AU$7:AU2717),"")</f>
        <v/>
      </c>
      <c r="AW2717" s="82" t="str">
        <f aca="false">IF(E2717="","",B2717&amp;"|"&amp;E2717)</f>
        <v/>
      </c>
    </row>
    <row r="2718" customFormat="false" ht="15" hidden="false" customHeight="false" outlineLevel="0" collapsed="false">
      <c r="A2718" s="79" t="str">
        <f aca="false">IF(E2718="","",ROW()-6)</f>
        <v/>
      </c>
      <c r="B2718" s="80"/>
      <c r="C2718" s="81"/>
      <c r="D2718" s="81"/>
      <c r="E2718" s="81"/>
      <c r="F2718" s="82" t="str">
        <f aca="false">IF(E2718="","",IF(LEFT(E2718,2)="DJ","DJ","JN"))</f>
        <v/>
      </c>
      <c r="G2718" s="81"/>
      <c r="H2718" s="81"/>
      <c r="I2718" s="81"/>
      <c r="J2718" s="81"/>
      <c r="K2718" s="81"/>
      <c r="L2718" s="81"/>
      <c r="M2718" s="81"/>
      <c r="N2718" s="81"/>
      <c r="O2718" s="81"/>
      <c r="P2718" s="81"/>
      <c r="Q2718" s="81"/>
      <c r="R2718" s="81"/>
      <c r="S2718" s="81"/>
      <c r="T2718" s="81"/>
      <c r="U2718" s="83"/>
      <c r="V2718" s="83"/>
      <c r="W2718" s="81"/>
      <c r="X2718" s="81"/>
      <c r="Y2718" s="83"/>
      <c r="Z2718" s="81"/>
      <c r="AA2718" s="81"/>
      <c r="AB2718" s="81"/>
      <c r="AC2718" s="81"/>
      <c r="AD2718" s="81"/>
      <c r="AE2718" s="83"/>
      <c r="AF2718" s="81"/>
      <c r="AG2718" s="81"/>
      <c r="AH2718" s="81"/>
      <c r="AI2718" s="81"/>
      <c r="AJ2718" s="83"/>
      <c r="AK2718" s="81"/>
      <c r="AL2718" s="81"/>
      <c r="AM2718" s="83"/>
      <c r="AN2718" s="80"/>
      <c r="AO2718" s="82" t="str">
        <f aca="false">IF(E2718="","",(AA2718&lt;&gt;"")+(AG2718&lt;&gt;"")+(AL2718&lt;&gt;""))</f>
        <v/>
      </c>
      <c r="AP2718" s="82" t="str">
        <f aca="false">IF(AL2718&lt;&gt;"",AL2718,IF(AG2718&lt;&gt;"",AG2718,IF(AA2718&lt;&gt;"",AA2718,"")))</f>
        <v/>
      </c>
      <c r="AQ2718" s="84" t="str">
        <f aca="false">IF(E2718="","",IF(U2718="","À SOUDER",IF(X2718="","VT EN ATTENTE",IF(X2718="R","VT REJETÉ – À REPRENDRE",IF(AP2718="","À RADIOGRAPHIER",IF(AP2718="A","ACCEPTÉ",IF(AP2718="NX","NX – RT À REFAIRE",IF(IF(AO2718=1,AD2718,IF(AO2718=2,AI2718,""))="A","RÉPARÉ – À RADIOGRAPHIER",IF(IF(AO2718=1,AD2718,IF(AO2718=2,AI2718,""))="R","VT REJETÉ – À REPRENDRE",IF(OR(AP2718="CO",AP2718="NT"),"COUPE – À RESOUDER","À RÉPARER"))))))))))</f>
        <v/>
      </c>
      <c r="AR2718" s="82" t="str">
        <f aca="false">IF(AND(ISNUMBER(U2718),OR(AQ2718="À RADIOGRAPHIER",AQ2718="RÉPARÉ – À RADIOGRAPHIER",AQ2718="NX – RT À REFAIRE",AQ2718="À RÉPARER",AQ2718="COUPE – À RESOUDER",AQ2718="VT REJETÉ – À REPRENDRE")),MAX(0,'PROGRAMME RT'!$C$4-U2718),"")</f>
        <v/>
      </c>
      <c r="AS2718" s="82" t="n">
        <f aca="false">IF(AND(OR(AQ2718="À RADIOGRAPHIER",AQ2718="RÉPARÉ – À RADIOGRAPHIER",AQ2718="NX – RT À REFAIRE"),OR('PROGRAMME RT'!$D$5="TOUTES",B2718='PROGRAMME RT'!$D$5)),1,0)</f>
        <v>0</v>
      </c>
      <c r="AT2718" s="82" t="str">
        <f aca="false">IF(AS2718=1,SUM(AS$7:AS2718),"")</f>
        <v/>
      </c>
      <c r="AU2718" s="82" t="n">
        <f aca="false">IF(AND(OR(AA2718="R",AA2718="NX",AA2718="NT",AA2718="CO"),OR('JOINTS DE RÉPARATION'!$D$5="TOUTES",B2718='JOINTS DE RÉPARATION'!$D$5),OR('JOINTS DE RÉPARATION'!$L$4="TOUS",AQ2718&lt;&gt;"ACCEPTÉ")),1,0)</f>
        <v>0</v>
      </c>
      <c r="AV2718" s="82" t="str">
        <f aca="false">IF(AU2718=1,SUM(AU$7:AU2718),"")</f>
        <v/>
      </c>
      <c r="AW2718" s="82" t="str">
        <f aca="false">IF(E2718="","",B2718&amp;"|"&amp;E2718)</f>
        <v/>
      </c>
    </row>
    <row r="2719" customFormat="false" ht="15" hidden="false" customHeight="false" outlineLevel="0" collapsed="false">
      <c r="A2719" s="79" t="str">
        <f aca="false">IF(E2719="","",ROW()-6)</f>
        <v/>
      </c>
      <c r="B2719" s="80"/>
      <c r="C2719" s="81"/>
      <c r="D2719" s="81"/>
      <c r="E2719" s="81"/>
      <c r="F2719" s="82" t="str">
        <f aca="false">IF(E2719="","",IF(LEFT(E2719,2)="DJ","DJ","JN"))</f>
        <v/>
      </c>
      <c r="G2719" s="81"/>
      <c r="H2719" s="81"/>
      <c r="I2719" s="81"/>
      <c r="J2719" s="81"/>
      <c r="K2719" s="81"/>
      <c r="L2719" s="81"/>
      <c r="M2719" s="81"/>
      <c r="N2719" s="81"/>
      <c r="O2719" s="81"/>
      <c r="P2719" s="81"/>
      <c r="Q2719" s="81"/>
      <c r="R2719" s="81"/>
      <c r="S2719" s="81"/>
      <c r="T2719" s="81"/>
      <c r="U2719" s="83"/>
      <c r="V2719" s="83"/>
      <c r="W2719" s="81"/>
      <c r="X2719" s="81"/>
      <c r="Y2719" s="83"/>
      <c r="Z2719" s="81"/>
      <c r="AA2719" s="81"/>
      <c r="AB2719" s="81"/>
      <c r="AC2719" s="81"/>
      <c r="AD2719" s="81"/>
      <c r="AE2719" s="83"/>
      <c r="AF2719" s="81"/>
      <c r="AG2719" s="81"/>
      <c r="AH2719" s="81"/>
      <c r="AI2719" s="81"/>
      <c r="AJ2719" s="83"/>
      <c r="AK2719" s="81"/>
      <c r="AL2719" s="81"/>
      <c r="AM2719" s="83"/>
      <c r="AN2719" s="80"/>
      <c r="AO2719" s="82" t="str">
        <f aca="false">IF(E2719="","",(AA2719&lt;&gt;"")+(AG2719&lt;&gt;"")+(AL2719&lt;&gt;""))</f>
        <v/>
      </c>
      <c r="AP2719" s="82" t="str">
        <f aca="false">IF(AL2719&lt;&gt;"",AL2719,IF(AG2719&lt;&gt;"",AG2719,IF(AA2719&lt;&gt;"",AA2719,"")))</f>
        <v/>
      </c>
      <c r="AQ2719" s="84" t="str">
        <f aca="false">IF(E2719="","",IF(U2719="","À SOUDER",IF(X2719="","VT EN ATTENTE",IF(X2719="R","VT REJETÉ – À REPRENDRE",IF(AP2719="","À RADIOGRAPHIER",IF(AP2719="A","ACCEPTÉ",IF(AP2719="NX","NX – RT À REFAIRE",IF(IF(AO2719=1,AD2719,IF(AO2719=2,AI2719,""))="A","RÉPARÉ – À RADIOGRAPHIER",IF(IF(AO2719=1,AD2719,IF(AO2719=2,AI2719,""))="R","VT REJETÉ – À REPRENDRE",IF(OR(AP2719="CO",AP2719="NT"),"COUPE – À RESOUDER","À RÉPARER"))))))))))</f>
        <v/>
      </c>
      <c r="AR2719" s="82" t="str">
        <f aca="false">IF(AND(ISNUMBER(U2719),OR(AQ2719="À RADIOGRAPHIER",AQ2719="RÉPARÉ – À RADIOGRAPHIER",AQ2719="NX – RT À REFAIRE",AQ2719="À RÉPARER",AQ2719="COUPE – À RESOUDER",AQ2719="VT REJETÉ – À REPRENDRE")),MAX(0,'PROGRAMME RT'!$C$4-U2719),"")</f>
        <v/>
      </c>
      <c r="AS2719" s="82" t="n">
        <f aca="false">IF(AND(OR(AQ2719="À RADIOGRAPHIER",AQ2719="RÉPARÉ – À RADIOGRAPHIER",AQ2719="NX – RT À REFAIRE"),OR('PROGRAMME RT'!$D$5="TOUTES",B2719='PROGRAMME RT'!$D$5)),1,0)</f>
        <v>0</v>
      </c>
      <c r="AT2719" s="82" t="str">
        <f aca="false">IF(AS2719=1,SUM(AS$7:AS2719),"")</f>
        <v/>
      </c>
      <c r="AU2719" s="82" t="n">
        <f aca="false">IF(AND(OR(AA2719="R",AA2719="NX",AA2719="NT",AA2719="CO"),OR('JOINTS DE RÉPARATION'!$D$5="TOUTES",B2719='JOINTS DE RÉPARATION'!$D$5),OR('JOINTS DE RÉPARATION'!$L$4="TOUS",AQ2719&lt;&gt;"ACCEPTÉ")),1,0)</f>
        <v>0</v>
      </c>
      <c r="AV2719" s="82" t="str">
        <f aca="false">IF(AU2719=1,SUM(AU$7:AU2719),"")</f>
        <v/>
      </c>
      <c r="AW2719" s="82" t="str">
        <f aca="false">IF(E2719="","",B2719&amp;"|"&amp;E2719)</f>
        <v/>
      </c>
    </row>
    <row r="2720" customFormat="false" ht="15" hidden="false" customHeight="false" outlineLevel="0" collapsed="false">
      <c r="A2720" s="79" t="str">
        <f aca="false">IF(E2720="","",ROW()-6)</f>
        <v/>
      </c>
      <c r="B2720" s="80"/>
      <c r="C2720" s="81"/>
      <c r="D2720" s="81"/>
      <c r="E2720" s="81"/>
      <c r="F2720" s="82" t="str">
        <f aca="false">IF(E2720="","",IF(LEFT(E2720,2)="DJ","DJ","JN"))</f>
        <v/>
      </c>
      <c r="G2720" s="81"/>
      <c r="H2720" s="81"/>
      <c r="I2720" s="81"/>
      <c r="J2720" s="81"/>
      <c r="K2720" s="81"/>
      <c r="L2720" s="81"/>
      <c r="M2720" s="81"/>
      <c r="N2720" s="81"/>
      <c r="O2720" s="81"/>
      <c r="P2720" s="81"/>
      <c r="Q2720" s="81"/>
      <c r="R2720" s="81"/>
      <c r="S2720" s="81"/>
      <c r="T2720" s="81"/>
      <c r="U2720" s="83"/>
      <c r="V2720" s="83"/>
      <c r="W2720" s="81"/>
      <c r="X2720" s="81"/>
      <c r="Y2720" s="83"/>
      <c r="Z2720" s="81"/>
      <c r="AA2720" s="81"/>
      <c r="AB2720" s="81"/>
      <c r="AC2720" s="81"/>
      <c r="AD2720" s="81"/>
      <c r="AE2720" s="83"/>
      <c r="AF2720" s="81"/>
      <c r="AG2720" s="81"/>
      <c r="AH2720" s="81"/>
      <c r="AI2720" s="81"/>
      <c r="AJ2720" s="83"/>
      <c r="AK2720" s="81"/>
      <c r="AL2720" s="81"/>
      <c r="AM2720" s="83"/>
      <c r="AN2720" s="80"/>
      <c r="AO2720" s="82" t="str">
        <f aca="false">IF(E2720="","",(AA2720&lt;&gt;"")+(AG2720&lt;&gt;"")+(AL2720&lt;&gt;""))</f>
        <v/>
      </c>
      <c r="AP2720" s="82" t="str">
        <f aca="false">IF(AL2720&lt;&gt;"",AL2720,IF(AG2720&lt;&gt;"",AG2720,IF(AA2720&lt;&gt;"",AA2720,"")))</f>
        <v/>
      </c>
      <c r="AQ2720" s="84" t="str">
        <f aca="false">IF(E2720="","",IF(U2720="","À SOUDER",IF(X2720="","VT EN ATTENTE",IF(X2720="R","VT REJETÉ – À REPRENDRE",IF(AP2720="","À RADIOGRAPHIER",IF(AP2720="A","ACCEPTÉ",IF(AP2720="NX","NX – RT À REFAIRE",IF(IF(AO2720=1,AD2720,IF(AO2720=2,AI2720,""))="A","RÉPARÉ – À RADIOGRAPHIER",IF(IF(AO2720=1,AD2720,IF(AO2720=2,AI2720,""))="R","VT REJETÉ – À REPRENDRE",IF(OR(AP2720="CO",AP2720="NT"),"COUPE – À RESOUDER","À RÉPARER"))))))))))</f>
        <v/>
      </c>
      <c r="AR2720" s="82" t="str">
        <f aca="false">IF(AND(ISNUMBER(U2720),OR(AQ2720="À RADIOGRAPHIER",AQ2720="RÉPARÉ – À RADIOGRAPHIER",AQ2720="NX – RT À REFAIRE",AQ2720="À RÉPARER",AQ2720="COUPE – À RESOUDER",AQ2720="VT REJETÉ – À REPRENDRE")),MAX(0,'PROGRAMME RT'!$C$4-U2720),"")</f>
        <v/>
      </c>
      <c r="AS2720" s="82" t="n">
        <f aca="false">IF(AND(OR(AQ2720="À RADIOGRAPHIER",AQ2720="RÉPARÉ – À RADIOGRAPHIER",AQ2720="NX – RT À REFAIRE"),OR('PROGRAMME RT'!$D$5="TOUTES",B2720='PROGRAMME RT'!$D$5)),1,0)</f>
        <v>0</v>
      </c>
      <c r="AT2720" s="82" t="str">
        <f aca="false">IF(AS2720=1,SUM(AS$7:AS2720),"")</f>
        <v/>
      </c>
      <c r="AU2720" s="82" t="n">
        <f aca="false">IF(AND(OR(AA2720="R",AA2720="NX",AA2720="NT",AA2720="CO"),OR('JOINTS DE RÉPARATION'!$D$5="TOUTES",B2720='JOINTS DE RÉPARATION'!$D$5),OR('JOINTS DE RÉPARATION'!$L$4="TOUS",AQ2720&lt;&gt;"ACCEPTÉ")),1,0)</f>
        <v>0</v>
      </c>
      <c r="AV2720" s="82" t="str">
        <f aca="false">IF(AU2720=1,SUM(AU$7:AU2720),"")</f>
        <v/>
      </c>
      <c r="AW2720" s="82" t="str">
        <f aca="false">IF(E2720="","",B2720&amp;"|"&amp;E2720)</f>
        <v/>
      </c>
    </row>
    <row r="2721" customFormat="false" ht="15" hidden="false" customHeight="false" outlineLevel="0" collapsed="false">
      <c r="A2721" s="79" t="str">
        <f aca="false">IF(E2721="","",ROW()-6)</f>
        <v/>
      </c>
      <c r="B2721" s="80"/>
      <c r="C2721" s="81"/>
      <c r="D2721" s="81"/>
      <c r="E2721" s="81"/>
      <c r="F2721" s="82" t="str">
        <f aca="false">IF(E2721="","",IF(LEFT(E2721,2)="DJ","DJ","JN"))</f>
        <v/>
      </c>
      <c r="G2721" s="81"/>
      <c r="H2721" s="81"/>
      <c r="I2721" s="81"/>
      <c r="J2721" s="81"/>
      <c r="K2721" s="81"/>
      <c r="L2721" s="81"/>
      <c r="M2721" s="81"/>
      <c r="N2721" s="81"/>
      <c r="O2721" s="81"/>
      <c r="P2721" s="81"/>
      <c r="Q2721" s="81"/>
      <c r="R2721" s="81"/>
      <c r="S2721" s="81"/>
      <c r="T2721" s="81"/>
      <c r="U2721" s="83"/>
      <c r="V2721" s="83"/>
      <c r="W2721" s="81"/>
      <c r="X2721" s="81"/>
      <c r="Y2721" s="83"/>
      <c r="Z2721" s="81"/>
      <c r="AA2721" s="81"/>
      <c r="AB2721" s="81"/>
      <c r="AC2721" s="81"/>
      <c r="AD2721" s="81"/>
      <c r="AE2721" s="83"/>
      <c r="AF2721" s="81"/>
      <c r="AG2721" s="81"/>
      <c r="AH2721" s="81"/>
      <c r="AI2721" s="81"/>
      <c r="AJ2721" s="83"/>
      <c r="AK2721" s="81"/>
      <c r="AL2721" s="81"/>
      <c r="AM2721" s="83"/>
      <c r="AN2721" s="80"/>
      <c r="AO2721" s="82" t="str">
        <f aca="false">IF(E2721="","",(AA2721&lt;&gt;"")+(AG2721&lt;&gt;"")+(AL2721&lt;&gt;""))</f>
        <v/>
      </c>
      <c r="AP2721" s="82" t="str">
        <f aca="false">IF(AL2721&lt;&gt;"",AL2721,IF(AG2721&lt;&gt;"",AG2721,IF(AA2721&lt;&gt;"",AA2721,"")))</f>
        <v/>
      </c>
      <c r="AQ2721" s="84" t="str">
        <f aca="false">IF(E2721="","",IF(U2721="","À SOUDER",IF(X2721="","VT EN ATTENTE",IF(X2721="R","VT REJETÉ – À REPRENDRE",IF(AP2721="","À RADIOGRAPHIER",IF(AP2721="A","ACCEPTÉ",IF(AP2721="NX","NX – RT À REFAIRE",IF(IF(AO2721=1,AD2721,IF(AO2721=2,AI2721,""))="A","RÉPARÉ – À RADIOGRAPHIER",IF(IF(AO2721=1,AD2721,IF(AO2721=2,AI2721,""))="R","VT REJETÉ – À REPRENDRE",IF(OR(AP2721="CO",AP2721="NT"),"COUPE – À RESOUDER","À RÉPARER"))))))))))</f>
        <v/>
      </c>
      <c r="AR2721" s="82" t="str">
        <f aca="false">IF(AND(ISNUMBER(U2721),OR(AQ2721="À RADIOGRAPHIER",AQ2721="RÉPARÉ – À RADIOGRAPHIER",AQ2721="NX – RT À REFAIRE",AQ2721="À RÉPARER",AQ2721="COUPE – À RESOUDER",AQ2721="VT REJETÉ – À REPRENDRE")),MAX(0,'PROGRAMME RT'!$C$4-U2721),"")</f>
        <v/>
      </c>
      <c r="AS2721" s="82" t="n">
        <f aca="false">IF(AND(OR(AQ2721="À RADIOGRAPHIER",AQ2721="RÉPARÉ – À RADIOGRAPHIER",AQ2721="NX – RT À REFAIRE"),OR('PROGRAMME RT'!$D$5="TOUTES",B2721='PROGRAMME RT'!$D$5)),1,0)</f>
        <v>0</v>
      </c>
      <c r="AT2721" s="82" t="str">
        <f aca="false">IF(AS2721=1,SUM(AS$7:AS2721),"")</f>
        <v/>
      </c>
      <c r="AU2721" s="82" t="n">
        <f aca="false">IF(AND(OR(AA2721="R",AA2721="NX",AA2721="NT",AA2721="CO"),OR('JOINTS DE RÉPARATION'!$D$5="TOUTES",B2721='JOINTS DE RÉPARATION'!$D$5),OR('JOINTS DE RÉPARATION'!$L$4="TOUS",AQ2721&lt;&gt;"ACCEPTÉ")),1,0)</f>
        <v>0</v>
      </c>
      <c r="AV2721" s="82" t="str">
        <f aca="false">IF(AU2721=1,SUM(AU$7:AU2721),"")</f>
        <v/>
      </c>
      <c r="AW2721" s="82" t="str">
        <f aca="false">IF(E2721="","",B2721&amp;"|"&amp;E2721)</f>
        <v/>
      </c>
    </row>
    <row r="2722" customFormat="false" ht="15" hidden="false" customHeight="false" outlineLevel="0" collapsed="false">
      <c r="A2722" s="79" t="str">
        <f aca="false">IF(E2722="","",ROW()-6)</f>
        <v/>
      </c>
      <c r="B2722" s="80"/>
      <c r="C2722" s="81"/>
      <c r="D2722" s="81"/>
      <c r="E2722" s="81"/>
      <c r="F2722" s="82" t="str">
        <f aca="false">IF(E2722="","",IF(LEFT(E2722,2)="DJ","DJ","JN"))</f>
        <v/>
      </c>
      <c r="G2722" s="81"/>
      <c r="H2722" s="81"/>
      <c r="I2722" s="81"/>
      <c r="J2722" s="81"/>
      <c r="K2722" s="81"/>
      <c r="L2722" s="81"/>
      <c r="M2722" s="81"/>
      <c r="N2722" s="81"/>
      <c r="O2722" s="81"/>
      <c r="P2722" s="81"/>
      <c r="Q2722" s="81"/>
      <c r="R2722" s="81"/>
      <c r="S2722" s="81"/>
      <c r="T2722" s="81"/>
      <c r="U2722" s="83"/>
      <c r="V2722" s="83"/>
      <c r="W2722" s="81"/>
      <c r="X2722" s="81"/>
      <c r="Y2722" s="83"/>
      <c r="Z2722" s="81"/>
      <c r="AA2722" s="81"/>
      <c r="AB2722" s="81"/>
      <c r="AC2722" s="81"/>
      <c r="AD2722" s="81"/>
      <c r="AE2722" s="83"/>
      <c r="AF2722" s="81"/>
      <c r="AG2722" s="81"/>
      <c r="AH2722" s="81"/>
      <c r="AI2722" s="81"/>
      <c r="AJ2722" s="83"/>
      <c r="AK2722" s="81"/>
      <c r="AL2722" s="81"/>
      <c r="AM2722" s="83"/>
      <c r="AN2722" s="80"/>
      <c r="AO2722" s="82" t="str">
        <f aca="false">IF(E2722="","",(AA2722&lt;&gt;"")+(AG2722&lt;&gt;"")+(AL2722&lt;&gt;""))</f>
        <v/>
      </c>
      <c r="AP2722" s="82" t="str">
        <f aca="false">IF(AL2722&lt;&gt;"",AL2722,IF(AG2722&lt;&gt;"",AG2722,IF(AA2722&lt;&gt;"",AA2722,"")))</f>
        <v/>
      </c>
      <c r="AQ2722" s="84" t="str">
        <f aca="false">IF(E2722="","",IF(U2722="","À SOUDER",IF(X2722="","VT EN ATTENTE",IF(X2722="R","VT REJETÉ – À REPRENDRE",IF(AP2722="","À RADIOGRAPHIER",IF(AP2722="A","ACCEPTÉ",IF(AP2722="NX","NX – RT À REFAIRE",IF(IF(AO2722=1,AD2722,IF(AO2722=2,AI2722,""))="A","RÉPARÉ – À RADIOGRAPHIER",IF(IF(AO2722=1,AD2722,IF(AO2722=2,AI2722,""))="R","VT REJETÉ – À REPRENDRE",IF(OR(AP2722="CO",AP2722="NT"),"COUPE – À RESOUDER","À RÉPARER"))))))))))</f>
        <v/>
      </c>
      <c r="AR2722" s="82" t="str">
        <f aca="false">IF(AND(ISNUMBER(U2722),OR(AQ2722="À RADIOGRAPHIER",AQ2722="RÉPARÉ – À RADIOGRAPHIER",AQ2722="NX – RT À REFAIRE",AQ2722="À RÉPARER",AQ2722="COUPE – À RESOUDER",AQ2722="VT REJETÉ – À REPRENDRE")),MAX(0,'PROGRAMME RT'!$C$4-U2722),"")</f>
        <v/>
      </c>
      <c r="AS2722" s="82" t="n">
        <f aca="false">IF(AND(OR(AQ2722="À RADIOGRAPHIER",AQ2722="RÉPARÉ – À RADIOGRAPHIER",AQ2722="NX – RT À REFAIRE"),OR('PROGRAMME RT'!$D$5="TOUTES",B2722='PROGRAMME RT'!$D$5)),1,0)</f>
        <v>0</v>
      </c>
      <c r="AT2722" s="82" t="str">
        <f aca="false">IF(AS2722=1,SUM(AS$7:AS2722),"")</f>
        <v/>
      </c>
      <c r="AU2722" s="82" t="n">
        <f aca="false">IF(AND(OR(AA2722="R",AA2722="NX",AA2722="NT",AA2722="CO"),OR('JOINTS DE RÉPARATION'!$D$5="TOUTES",B2722='JOINTS DE RÉPARATION'!$D$5),OR('JOINTS DE RÉPARATION'!$L$4="TOUS",AQ2722&lt;&gt;"ACCEPTÉ")),1,0)</f>
        <v>0</v>
      </c>
      <c r="AV2722" s="82" t="str">
        <f aca="false">IF(AU2722=1,SUM(AU$7:AU2722),"")</f>
        <v/>
      </c>
      <c r="AW2722" s="82" t="str">
        <f aca="false">IF(E2722="","",B2722&amp;"|"&amp;E2722)</f>
        <v/>
      </c>
    </row>
    <row r="2723" customFormat="false" ht="15" hidden="false" customHeight="false" outlineLevel="0" collapsed="false">
      <c r="A2723" s="79" t="str">
        <f aca="false">IF(E2723="","",ROW()-6)</f>
        <v/>
      </c>
      <c r="B2723" s="80"/>
      <c r="C2723" s="81"/>
      <c r="D2723" s="81"/>
      <c r="E2723" s="81"/>
      <c r="F2723" s="82" t="str">
        <f aca="false">IF(E2723="","",IF(LEFT(E2723,2)="DJ","DJ","JN"))</f>
        <v/>
      </c>
      <c r="G2723" s="81"/>
      <c r="H2723" s="81"/>
      <c r="I2723" s="81"/>
      <c r="J2723" s="81"/>
      <c r="K2723" s="81"/>
      <c r="L2723" s="81"/>
      <c r="M2723" s="81"/>
      <c r="N2723" s="81"/>
      <c r="O2723" s="81"/>
      <c r="P2723" s="81"/>
      <c r="Q2723" s="81"/>
      <c r="R2723" s="81"/>
      <c r="S2723" s="81"/>
      <c r="T2723" s="81"/>
      <c r="U2723" s="83"/>
      <c r="V2723" s="83"/>
      <c r="W2723" s="81"/>
      <c r="X2723" s="81"/>
      <c r="Y2723" s="83"/>
      <c r="Z2723" s="81"/>
      <c r="AA2723" s="81"/>
      <c r="AB2723" s="81"/>
      <c r="AC2723" s="81"/>
      <c r="AD2723" s="81"/>
      <c r="AE2723" s="83"/>
      <c r="AF2723" s="81"/>
      <c r="AG2723" s="81"/>
      <c r="AH2723" s="81"/>
      <c r="AI2723" s="81"/>
      <c r="AJ2723" s="83"/>
      <c r="AK2723" s="81"/>
      <c r="AL2723" s="81"/>
      <c r="AM2723" s="83"/>
      <c r="AN2723" s="80"/>
      <c r="AO2723" s="82" t="str">
        <f aca="false">IF(E2723="","",(AA2723&lt;&gt;"")+(AG2723&lt;&gt;"")+(AL2723&lt;&gt;""))</f>
        <v/>
      </c>
      <c r="AP2723" s="82" t="str">
        <f aca="false">IF(AL2723&lt;&gt;"",AL2723,IF(AG2723&lt;&gt;"",AG2723,IF(AA2723&lt;&gt;"",AA2723,"")))</f>
        <v/>
      </c>
      <c r="AQ2723" s="84" t="str">
        <f aca="false">IF(E2723="","",IF(U2723="","À SOUDER",IF(X2723="","VT EN ATTENTE",IF(X2723="R","VT REJETÉ – À REPRENDRE",IF(AP2723="","À RADIOGRAPHIER",IF(AP2723="A","ACCEPTÉ",IF(AP2723="NX","NX – RT À REFAIRE",IF(IF(AO2723=1,AD2723,IF(AO2723=2,AI2723,""))="A","RÉPARÉ – À RADIOGRAPHIER",IF(IF(AO2723=1,AD2723,IF(AO2723=2,AI2723,""))="R","VT REJETÉ – À REPRENDRE",IF(OR(AP2723="CO",AP2723="NT"),"COUPE – À RESOUDER","À RÉPARER"))))))))))</f>
        <v/>
      </c>
      <c r="AR2723" s="82" t="str">
        <f aca="false">IF(AND(ISNUMBER(U2723),OR(AQ2723="À RADIOGRAPHIER",AQ2723="RÉPARÉ – À RADIOGRAPHIER",AQ2723="NX – RT À REFAIRE",AQ2723="À RÉPARER",AQ2723="COUPE – À RESOUDER",AQ2723="VT REJETÉ – À REPRENDRE")),MAX(0,'PROGRAMME RT'!$C$4-U2723),"")</f>
        <v/>
      </c>
      <c r="AS2723" s="82" t="n">
        <f aca="false">IF(AND(OR(AQ2723="À RADIOGRAPHIER",AQ2723="RÉPARÉ – À RADIOGRAPHIER",AQ2723="NX – RT À REFAIRE"),OR('PROGRAMME RT'!$D$5="TOUTES",B2723='PROGRAMME RT'!$D$5)),1,0)</f>
        <v>0</v>
      </c>
      <c r="AT2723" s="82" t="str">
        <f aca="false">IF(AS2723=1,SUM(AS$7:AS2723),"")</f>
        <v/>
      </c>
      <c r="AU2723" s="82" t="n">
        <f aca="false">IF(AND(OR(AA2723="R",AA2723="NX",AA2723="NT",AA2723="CO"),OR('JOINTS DE RÉPARATION'!$D$5="TOUTES",B2723='JOINTS DE RÉPARATION'!$D$5),OR('JOINTS DE RÉPARATION'!$L$4="TOUS",AQ2723&lt;&gt;"ACCEPTÉ")),1,0)</f>
        <v>0</v>
      </c>
      <c r="AV2723" s="82" t="str">
        <f aca="false">IF(AU2723=1,SUM(AU$7:AU2723),"")</f>
        <v/>
      </c>
      <c r="AW2723" s="82" t="str">
        <f aca="false">IF(E2723="","",B2723&amp;"|"&amp;E2723)</f>
        <v/>
      </c>
    </row>
    <row r="2724" customFormat="false" ht="15" hidden="false" customHeight="false" outlineLevel="0" collapsed="false">
      <c r="A2724" s="79" t="str">
        <f aca="false">IF(E2724="","",ROW()-6)</f>
        <v/>
      </c>
      <c r="B2724" s="80"/>
      <c r="C2724" s="81"/>
      <c r="D2724" s="81"/>
      <c r="E2724" s="81"/>
      <c r="F2724" s="82" t="str">
        <f aca="false">IF(E2724="","",IF(LEFT(E2724,2)="DJ","DJ","JN"))</f>
        <v/>
      </c>
      <c r="G2724" s="81"/>
      <c r="H2724" s="81"/>
      <c r="I2724" s="81"/>
      <c r="J2724" s="81"/>
      <c r="K2724" s="81"/>
      <c r="L2724" s="81"/>
      <c r="M2724" s="81"/>
      <c r="N2724" s="81"/>
      <c r="O2724" s="81"/>
      <c r="P2724" s="81"/>
      <c r="Q2724" s="81"/>
      <c r="R2724" s="81"/>
      <c r="S2724" s="81"/>
      <c r="T2724" s="81"/>
      <c r="U2724" s="83"/>
      <c r="V2724" s="83"/>
      <c r="W2724" s="81"/>
      <c r="X2724" s="81"/>
      <c r="Y2724" s="83"/>
      <c r="Z2724" s="81"/>
      <c r="AA2724" s="81"/>
      <c r="AB2724" s="81"/>
      <c r="AC2724" s="81"/>
      <c r="AD2724" s="81"/>
      <c r="AE2724" s="83"/>
      <c r="AF2724" s="81"/>
      <c r="AG2724" s="81"/>
      <c r="AH2724" s="81"/>
      <c r="AI2724" s="81"/>
      <c r="AJ2724" s="83"/>
      <c r="AK2724" s="81"/>
      <c r="AL2724" s="81"/>
      <c r="AM2724" s="83"/>
      <c r="AN2724" s="80"/>
      <c r="AO2724" s="82" t="str">
        <f aca="false">IF(E2724="","",(AA2724&lt;&gt;"")+(AG2724&lt;&gt;"")+(AL2724&lt;&gt;""))</f>
        <v/>
      </c>
      <c r="AP2724" s="82" t="str">
        <f aca="false">IF(AL2724&lt;&gt;"",AL2724,IF(AG2724&lt;&gt;"",AG2724,IF(AA2724&lt;&gt;"",AA2724,"")))</f>
        <v/>
      </c>
      <c r="AQ2724" s="84" t="str">
        <f aca="false">IF(E2724="","",IF(U2724="","À SOUDER",IF(X2724="","VT EN ATTENTE",IF(X2724="R","VT REJETÉ – À REPRENDRE",IF(AP2724="","À RADIOGRAPHIER",IF(AP2724="A","ACCEPTÉ",IF(AP2724="NX","NX – RT À REFAIRE",IF(IF(AO2724=1,AD2724,IF(AO2724=2,AI2724,""))="A","RÉPARÉ – À RADIOGRAPHIER",IF(IF(AO2724=1,AD2724,IF(AO2724=2,AI2724,""))="R","VT REJETÉ – À REPRENDRE",IF(OR(AP2724="CO",AP2724="NT"),"COUPE – À RESOUDER","À RÉPARER"))))))))))</f>
        <v/>
      </c>
      <c r="AR2724" s="82" t="str">
        <f aca="false">IF(AND(ISNUMBER(U2724),OR(AQ2724="À RADIOGRAPHIER",AQ2724="RÉPARÉ – À RADIOGRAPHIER",AQ2724="NX – RT À REFAIRE",AQ2724="À RÉPARER",AQ2724="COUPE – À RESOUDER",AQ2724="VT REJETÉ – À REPRENDRE")),MAX(0,'PROGRAMME RT'!$C$4-U2724),"")</f>
        <v/>
      </c>
      <c r="AS2724" s="82" t="n">
        <f aca="false">IF(AND(OR(AQ2724="À RADIOGRAPHIER",AQ2724="RÉPARÉ – À RADIOGRAPHIER",AQ2724="NX – RT À REFAIRE"),OR('PROGRAMME RT'!$D$5="TOUTES",B2724='PROGRAMME RT'!$D$5)),1,0)</f>
        <v>0</v>
      </c>
      <c r="AT2724" s="82" t="str">
        <f aca="false">IF(AS2724=1,SUM(AS$7:AS2724),"")</f>
        <v/>
      </c>
      <c r="AU2724" s="82" t="n">
        <f aca="false">IF(AND(OR(AA2724="R",AA2724="NX",AA2724="NT",AA2724="CO"),OR('JOINTS DE RÉPARATION'!$D$5="TOUTES",B2724='JOINTS DE RÉPARATION'!$D$5),OR('JOINTS DE RÉPARATION'!$L$4="TOUS",AQ2724&lt;&gt;"ACCEPTÉ")),1,0)</f>
        <v>0</v>
      </c>
      <c r="AV2724" s="82" t="str">
        <f aca="false">IF(AU2724=1,SUM(AU$7:AU2724),"")</f>
        <v/>
      </c>
      <c r="AW2724" s="82" t="str">
        <f aca="false">IF(E2724="","",B2724&amp;"|"&amp;E2724)</f>
        <v/>
      </c>
    </row>
    <row r="2725" customFormat="false" ht="15" hidden="false" customHeight="false" outlineLevel="0" collapsed="false">
      <c r="A2725" s="79" t="str">
        <f aca="false">IF(E2725="","",ROW()-6)</f>
        <v/>
      </c>
      <c r="B2725" s="80"/>
      <c r="C2725" s="81"/>
      <c r="D2725" s="81"/>
      <c r="E2725" s="81"/>
      <c r="F2725" s="82" t="str">
        <f aca="false">IF(E2725="","",IF(LEFT(E2725,2)="DJ","DJ","JN"))</f>
        <v/>
      </c>
      <c r="G2725" s="81"/>
      <c r="H2725" s="81"/>
      <c r="I2725" s="81"/>
      <c r="J2725" s="81"/>
      <c r="K2725" s="81"/>
      <c r="L2725" s="81"/>
      <c r="M2725" s="81"/>
      <c r="N2725" s="81"/>
      <c r="O2725" s="81"/>
      <c r="P2725" s="81"/>
      <c r="Q2725" s="81"/>
      <c r="R2725" s="81"/>
      <c r="S2725" s="81"/>
      <c r="T2725" s="81"/>
      <c r="U2725" s="83"/>
      <c r="V2725" s="83"/>
      <c r="W2725" s="81"/>
      <c r="X2725" s="81"/>
      <c r="Y2725" s="83"/>
      <c r="Z2725" s="81"/>
      <c r="AA2725" s="81"/>
      <c r="AB2725" s="81"/>
      <c r="AC2725" s="81"/>
      <c r="AD2725" s="81"/>
      <c r="AE2725" s="83"/>
      <c r="AF2725" s="81"/>
      <c r="AG2725" s="81"/>
      <c r="AH2725" s="81"/>
      <c r="AI2725" s="81"/>
      <c r="AJ2725" s="83"/>
      <c r="AK2725" s="81"/>
      <c r="AL2725" s="81"/>
      <c r="AM2725" s="83"/>
      <c r="AN2725" s="80"/>
      <c r="AO2725" s="82" t="str">
        <f aca="false">IF(E2725="","",(AA2725&lt;&gt;"")+(AG2725&lt;&gt;"")+(AL2725&lt;&gt;""))</f>
        <v/>
      </c>
      <c r="AP2725" s="82" t="str">
        <f aca="false">IF(AL2725&lt;&gt;"",AL2725,IF(AG2725&lt;&gt;"",AG2725,IF(AA2725&lt;&gt;"",AA2725,"")))</f>
        <v/>
      </c>
      <c r="AQ2725" s="84" t="str">
        <f aca="false">IF(E2725="","",IF(U2725="","À SOUDER",IF(X2725="","VT EN ATTENTE",IF(X2725="R","VT REJETÉ – À REPRENDRE",IF(AP2725="","À RADIOGRAPHIER",IF(AP2725="A","ACCEPTÉ",IF(AP2725="NX","NX – RT À REFAIRE",IF(IF(AO2725=1,AD2725,IF(AO2725=2,AI2725,""))="A","RÉPARÉ – À RADIOGRAPHIER",IF(IF(AO2725=1,AD2725,IF(AO2725=2,AI2725,""))="R","VT REJETÉ – À REPRENDRE",IF(OR(AP2725="CO",AP2725="NT"),"COUPE – À RESOUDER","À RÉPARER"))))))))))</f>
        <v/>
      </c>
      <c r="AR2725" s="82" t="str">
        <f aca="false">IF(AND(ISNUMBER(U2725),OR(AQ2725="À RADIOGRAPHIER",AQ2725="RÉPARÉ – À RADIOGRAPHIER",AQ2725="NX – RT À REFAIRE",AQ2725="À RÉPARER",AQ2725="COUPE – À RESOUDER",AQ2725="VT REJETÉ – À REPRENDRE")),MAX(0,'PROGRAMME RT'!$C$4-U2725),"")</f>
        <v/>
      </c>
      <c r="AS2725" s="82" t="n">
        <f aca="false">IF(AND(OR(AQ2725="À RADIOGRAPHIER",AQ2725="RÉPARÉ – À RADIOGRAPHIER",AQ2725="NX – RT À REFAIRE"),OR('PROGRAMME RT'!$D$5="TOUTES",B2725='PROGRAMME RT'!$D$5)),1,0)</f>
        <v>0</v>
      </c>
      <c r="AT2725" s="82" t="str">
        <f aca="false">IF(AS2725=1,SUM(AS$7:AS2725),"")</f>
        <v/>
      </c>
      <c r="AU2725" s="82" t="n">
        <f aca="false">IF(AND(OR(AA2725="R",AA2725="NX",AA2725="NT",AA2725="CO"),OR('JOINTS DE RÉPARATION'!$D$5="TOUTES",B2725='JOINTS DE RÉPARATION'!$D$5),OR('JOINTS DE RÉPARATION'!$L$4="TOUS",AQ2725&lt;&gt;"ACCEPTÉ")),1,0)</f>
        <v>0</v>
      </c>
      <c r="AV2725" s="82" t="str">
        <f aca="false">IF(AU2725=1,SUM(AU$7:AU2725),"")</f>
        <v/>
      </c>
      <c r="AW2725" s="82" t="str">
        <f aca="false">IF(E2725="","",B2725&amp;"|"&amp;E2725)</f>
        <v/>
      </c>
    </row>
    <row r="2726" customFormat="false" ht="15" hidden="false" customHeight="false" outlineLevel="0" collapsed="false">
      <c r="A2726" s="79" t="str">
        <f aca="false">IF(E2726="","",ROW()-6)</f>
        <v/>
      </c>
      <c r="B2726" s="80"/>
      <c r="C2726" s="81"/>
      <c r="D2726" s="81"/>
      <c r="E2726" s="81"/>
      <c r="F2726" s="82" t="str">
        <f aca="false">IF(E2726="","",IF(LEFT(E2726,2)="DJ","DJ","JN"))</f>
        <v/>
      </c>
      <c r="G2726" s="81"/>
      <c r="H2726" s="81"/>
      <c r="I2726" s="81"/>
      <c r="J2726" s="81"/>
      <c r="K2726" s="81"/>
      <c r="L2726" s="81"/>
      <c r="M2726" s="81"/>
      <c r="N2726" s="81"/>
      <c r="O2726" s="81"/>
      <c r="P2726" s="81"/>
      <c r="Q2726" s="81"/>
      <c r="R2726" s="81"/>
      <c r="S2726" s="81"/>
      <c r="T2726" s="81"/>
      <c r="U2726" s="83"/>
      <c r="V2726" s="83"/>
      <c r="W2726" s="81"/>
      <c r="X2726" s="81"/>
      <c r="Y2726" s="83"/>
      <c r="Z2726" s="81"/>
      <c r="AA2726" s="81"/>
      <c r="AB2726" s="81"/>
      <c r="AC2726" s="81"/>
      <c r="AD2726" s="81"/>
      <c r="AE2726" s="83"/>
      <c r="AF2726" s="81"/>
      <c r="AG2726" s="81"/>
      <c r="AH2726" s="81"/>
      <c r="AI2726" s="81"/>
      <c r="AJ2726" s="83"/>
      <c r="AK2726" s="81"/>
      <c r="AL2726" s="81"/>
      <c r="AM2726" s="83"/>
      <c r="AN2726" s="80"/>
      <c r="AO2726" s="82" t="str">
        <f aca="false">IF(E2726="","",(AA2726&lt;&gt;"")+(AG2726&lt;&gt;"")+(AL2726&lt;&gt;""))</f>
        <v/>
      </c>
      <c r="AP2726" s="82" t="str">
        <f aca="false">IF(AL2726&lt;&gt;"",AL2726,IF(AG2726&lt;&gt;"",AG2726,IF(AA2726&lt;&gt;"",AA2726,"")))</f>
        <v/>
      </c>
      <c r="AQ2726" s="84" t="str">
        <f aca="false">IF(E2726="","",IF(U2726="","À SOUDER",IF(X2726="","VT EN ATTENTE",IF(X2726="R","VT REJETÉ – À REPRENDRE",IF(AP2726="","À RADIOGRAPHIER",IF(AP2726="A","ACCEPTÉ",IF(AP2726="NX","NX – RT À REFAIRE",IF(IF(AO2726=1,AD2726,IF(AO2726=2,AI2726,""))="A","RÉPARÉ – À RADIOGRAPHIER",IF(IF(AO2726=1,AD2726,IF(AO2726=2,AI2726,""))="R","VT REJETÉ – À REPRENDRE",IF(OR(AP2726="CO",AP2726="NT"),"COUPE – À RESOUDER","À RÉPARER"))))))))))</f>
        <v/>
      </c>
      <c r="AR2726" s="82" t="str">
        <f aca="false">IF(AND(ISNUMBER(U2726),OR(AQ2726="À RADIOGRAPHIER",AQ2726="RÉPARÉ – À RADIOGRAPHIER",AQ2726="NX – RT À REFAIRE",AQ2726="À RÉPARER",AQ2726="COUPE – À RESOUDER",AQ2726="VT REJETÉ – À REPRENDRE")),MAX(0,'PROGRAMME RT'!$C$4-U2726),"")</f>
        <v/>
      </c>
      <c r="AS2726" s="82" t="n">
        <f aca="false">IF(AND(OR(AQ2726="À RADIOGRAPHIER",AQ2726="RÉPARÉ – À RADIOGRAPHIER",AQ2726="NX – RT À REFAIRE"),OR('PROGRAMME RT'!$D$5="TOUTES",B2726='PROGRAMME RT'!$D$5)),1,0)</f>
        <v>0</v>
      </c>
      <c r="AT2726" s="82" t="str">
        <f aca="false">IF(AS2726=1,SUM(AS$7:AS2726),"")</f>
        <v/>
      </c>
      <c r="AU2726" s="82" t="n">
        <f aca="false">IF(AND(OR(AA2726="R",AA2726="NX",AA2726="NT",AA2726="CO"),OR('JOINTS DE RÉPARATION'!$D$5="TOUTES",B2726='JOINTS DE RÉPARATION'!$D$5),OR('JOINTS DE RÉPARATION'!$L$4="TOUS",AQ2726&lt;&gt;"ACCEPTÉ")),1,0)</f>
        <v>0</v>
      </c>
      <c r="AV2726" s="82" t="str">
        <f aca="false">IF(AU2726=1,SUM(AU$7:AU2726),"")</f>
        <v/>
      </c>
      <c r="AW2726" s="82" t="str">
        <f aca="false">IF(E2726="","",B2726&amp;"|"&amp;E2726)</f>
        <v/>
      </c>
    </row>
    <row r="2727" customFormat="false" ht="15" hidden="false" customHeight="false" outlineLevel="0" collapsed="false">
      <c r="A2727" s="79" t="str">
        <f aca="false">IF(E2727="","",ROW()-6)</f>
        <v/>
      </c>
      <c r="B2727" s="80"/>
      <c r="C2727" s="81"/>
      <c r="D2727" s="81"/>
      <c r="E2727" s="81"/>
      <c r="F2727" s="82" t="str">
        <f aca="false">IF(E2727="","",IF(LEFT(E2727,2)="DJ","DJ","JN"))</f>
        <v/>
      </c>
      <c r="G2727" s="81"/>
      <c r="H2727" s="81"/>
      <c r="I2727" s="81"/>
      <c r="J2727" s="81"/>
      <c r="K2727" s="81"/>
      <c r="L2727" s="81"/>
      <c r="M2727" s="81"/>
      <c r="N2727" s="81"/>
      <c r="O2727" s="81"/>
      <c r="P2727" s="81"/>
      <c r="Q2727" s="81"/>
      <c r="R2727" s="81"/>
      <c r="S2727" s="81"/>
      <c r="T2727" s="81"/>
      <c r="U2727" s="83"/>
      <c r="V2727" s="83"/>
      <c r="W2727" s="81"/>
      <c r="X2727" s="81"/>
      <c r="Y2727" s="83"/>
      <c r="Z2727" s="81"/>
      <c r="AA2727" s="81"/>
      <c r="AB2727" s="81"/>
      <c r="AC2727" s="81"/>
      <c r="AD2727" s="81"/>
      <c r="AE2727" s="83"/>
      <c r="AF2727" s="81"/>
      <c r="AG2727" s="81"/>
      <c r="AH2727" s="81"/>
      <c r="AI2727" s="81"/>
      <c r="AJ2727" s="83"/>
      <c r="AK2727" s="81"/>
      <c r="AL2727" s="81"/>
      <c r="AM2727" s="83"/>
      <c r="AN2727" s="80"/>
      <c r="AO2727" s="82" t="str">
        <f aca="false">IF(E2727="","",(AA2727&lt;&gt;"")+(AG2727&lt;&gt;"")+(AL2727&lt;&gt;""))</f>
        <v/>
      </c>
      <c r="AP2727" s="82" t="str">
        <f aca="false">IF(AL2727&lt;&gt;"",AL2727,IF(AG2727&lt;&gt;"",AG2727,IF(AA2727&lt;&gt;"",AA2727,"")))</f>
        <v/>
      </c>
      <c r="AQ2727" s="84" t="str">
        <f aca="false">IF(E2727="","",IF(U2727="","À SOUDER",IF(X2727="","VT EN ATTENTE",IF(X2727="R","VT REJETÉ – À REPRENDRE",IF(AP2727="","À RADIOGRAPHIER",IF(AP2727="A","ACCEPTÉ",IF(AP2727="NX","NX – RT À REFAIRE",IF(IF(AO2727=1,AD2727,IF(AO2727=2,AI2727,""))="A","RÉPARÉ – À RADIOGRAPHIER",IF(IF(AO2727=1,AD2727,IF(AO2727=2,AI2727,""))="R","VT REJETÉ – À REPRENDRE",IF(OR(AP2727="CO",AP2727="NT"),"COUPE – À RESOUDER","À RÉPARER"))))))))))</f>
        <v/>
      </c>
      <c r="AR2727" s="82" t="str">
        <f aca="false">IF(AND(ISNUMBER(U2727),OR(AQ2727="À RADIOGRAPHIER",AQ2727="RÉPARÉ – À RADIOGRAPHIER",AQ2727="NX – RT À REFAIRE",AQ2727="À RÉPARER",AQ2727="COUPE – À RESOUDER",AQ2727="VT REJETÉ – À REPRENDRE")),MAX(0,'PROGRAMME RT'!$C$4-U2727),"")</f>
        <v/>
      </c>
      <c r="AS2727" s="82" t="n">
        <f aca="false">IF(AND(OR(AQ2727="À RADIOGRAPHIER",AQ2727="RÉPARÉ – À RADIOGRAPHIER",AQ2727="NX – RT À REFAIRE"),OR('PROGRAMME RT'!$D$5="TOUTES",B2727='PROGRAMME RT'!$D$5)),1,0)</f>
        <v>0</v>
      </c>
      <c r="AT2727" s="82" t="str">
        <f aca="false">IF(AS2727=1,SUM(AS$7:AS2727),"")</f>
        <v/>
      </c>
      <c r="AU2727" s="82" t="n">
        <f aca="false">IF(AND(OR(AA2727="R",AA2727="NX",AA2727="NT",AA2727="CO"),OR('JOINTS DE RÉPARATION'!$D$5="TOUTES",B2727='JOINTS DE RÉPARATION'!$D$5),OR('JOINTS DE RÉPARATION'!$L$4="TOUS",AQ2727&lt;&gt;"ACCEPTÉ")),1,0)</f>
        <v>0</v>
      </c>
      <c r="AV2727" s="82" t="str">
        <f aca="false">IF(AU2727=1,SUM(AU$7:AU2727),"")</f>
        <v/>
      </c>
      <c r="AW2727" s="82" t="str">
        <f aca="false">IF(E2727="","",B2727&amp;"|"&amp;E2727)</f>
        <v/>
      </c>
    </row>
    <row r="2728" customFormat="false" ht="15" hidden="false" customHeight="false" outlineLevel="0" collapsed="false">
      <c r="A2728" s="79" t="str">
        <f aca="false">IF(E2728="","",ROW()-6)</f>
        <v/>
      </c>
      <c r="B2728" s="80"/>
      <c r="C2728" s="81"/>
      <c r="D2728" s="81"/>
      <c r="E2728" s="81"/>
      <c r="F2728" s="82" t="str">
        <f aca="false">IF(E2728="","",IF(LEFT(E2728,2)="DJ","DJ","JN"))</f>
        <v/>
      </c>
      <c r="G2728" s="81"/>
      <c r="H2728" s="81"/>
      <c r="I2728" s="81"/>
      <c r="J2728" s="81"/>
      <c r="K2728" s="81"/>
      <c r="L2728" s="81"/>
      <c r="M2728" s="81"/>
      <c r="N2728" s="81"/>
      <c r="O2728" s="81"/>
      <c r="P2728" s="81"/>
      <c r="Q2728" s="81"/>
      <c r="R2728" s="81"/>
      <c r="S2728" s="81"/>
      <c r="T2728" s="81"/>
      <c r="U2728" s="83"/>
      <c r="V2728" s="83"/>
      <c r="W2728" s="81"/>
      <c r="X2728" s="81"/>
      <c r="Y2728" s="83"/>
      <c r="Z2728" s="81"/>
      <c r="AA2728" s="81"/>
      <c r="AB2728" s="81"/>
      <c r="AC2728" s="81"/>
      <c r="AD2728" s="81"/>
      <c r="AE2728" s="83"/>
      <c r="AF2728" s="81"/>
      <c r="AG2728" s="81"/>
      <c r="AH2728" s="81"/>
      <c r="AI2728" s="81"/>
      <c r="AJ2728" s="83"/>
      <c r="AK2728" s="81"/>
      <c r="AL2728" s="81"/>
      <c r="AM2728" s="83"/>
      <c r="AN2728" s="80"/>
      <c r="AO2728" s="82" t="str">
        <f aca="false">IF(E2728="","",(AA2728&lt;&gt;"")+(AG2728&lt;&gt;"")+(AL2728&lt;&gt;""))</f>
        <v/>
      </c>
      <c r="AP2728" s="82" t="str">
        <f aca="false">IF(AL2728&lt;&gt;"",AL2728,IF(AG2728&lt;&gt;"",AG2728,IF(AA2728&lt;&gt;"",AA2728,"")))</f>
        <v/>
      </c>
      <c r="AQ2728" s="84" t="str">
        <f aca="false">IF(E2728="","",IF(U2728="","À SOUDER",IF(X2728="","VT EN ATTENTE",IF(X2728="R","VT REJETÉ – À REPRENDRE",IF(AP2728="","À RADIOGRAPHIER",IF(AP2728="A","ACCEPTÉ",IF(AP2728="NX","NX – RT À REFAIRE",IF(IF(AO2728=1,AD2728,IF(AO2728=2,AI2728,""))="A","RÉPARÉ – À RADIOGRAPHIER",IF(IF(AO2728=1,AD2728,IF(AO2728=2,AI2728,""))="R","VT REJETÉ – À REPRENDRE",IF(OR(AP2728="CO",AP2728="NT"),"COUPE – À RESOUDER","À RÉPARER"))))))))))</f>
        <v/>
      </c>
      <c r="AR2728" s="82" t="str">
        <f aca="false">IF(AND(ISNUMBER(U2728),OR(AQ2728="À RADIOGRAPHIER",AQ2728="RÉPARÉ – À RADIOGRAPHIER",AQ2728="NX – RT À REFAIRE",AQ2728="À RÉPARER",AQ2728="COUPE – À RESOUDER",AQ2728="VT REJETÉ – À REPRENDRE")),MAX(0,'PROGRAMME RT'!$C$4-U2728),"")</f>
        <v/>
      </c>
      <c r="AS2728" s="82" t="n">
        <f aca="false">IF(AND(OR(AQ2728="À RADIOGRAPHIER",AQ2728="RÉPARÉ – À RADIOGRAPHIER",AQ2728="NX – RT À REFAIRE"),OR('PROGRAMME RT'!$D$5="TOUTES",B2728='PROGRAMME RT'!$D$5)),1,0)</f>
        <v>0</v>
      </c>
      <c r="AT2728" s="82" t="str">
        <f aca="false">IF(AS2728=1,SUM(AS$7:AS2728),"")</f>
        <v/>
      </c>
      <c r="AU2728" s="82" t="n">
        <f aca="false">IF(AND(OR(AA2728="R",AA2728="NX",AA2728="NT",AA2728="CO"),OR('JOINTS DE RÉPARATION'!$D$5="TOUTES",B2728='JOINTS DE RÉPARATION'!$D$5),OR('JOINTS DE RÉPARATION'!$L$4="TOUS",AQ2728&lt;&gt;"ACCEPTÉ")),1,0)</f>
        <v>0</v>
      </c>
      <c r="AV2728" s="82" t="str">
        <f aca="false">IF(AU2728=1,SUM(AU$7:AU2728),"")</f>
        <v/>
      </c>
      <c r="AW2728" s="82" t="str">
        <f aca="false">IF(E2728="","",B2728&amp;"|"&amp;E2728)</f>
        <v/>
      </c>
    </row>
    <row r="2729" customFormat="false" ht="15" hidden="false" customHeight="false" outlineLevel="0" collapsed="false">
      <c r="A2729" s="79" t="str">
        <f aca="false">IF(E2729="","",ROW()-6)</f>
        <v/>
      </c>
      <c r="B2729" s="80"/>
      <c r="C2729" s="81"/>
      <c r="D2729" s="81"/>
      <c r="E2729" s="81"/>
      <c r="F2729" s="82" t="str">
        <f aca="false">IF(E2729="","",IF(LEFT(E2729,2)="DJ","DJ","JN"))</f>
        <v/>
      </c>
      <c r="G2729" s="81"/>
      <c r="H2729" s="81"/>
      <c r="I2729" s="81"/>
      <c r="J2729" s="81"/>
      <c r="K2729" s="81"/>
      <c r="L2729" s="81"/>
      <c r="M2729" s="81"/>
      <c r="N2729" s="81"/>
      <c r="O2729" s="81"/>
      <c r="P2729" s="81"/>
      <c r="Q2729" s="81"/>
      <c r="R2729" s="81"/>
      <c r="S2729" s="81"/>
      <c r="T2729" s="81"/>
      <c r="U2729" s="83"/>
      <c r="V2729" s="83"/>
      <c r="W2729" s="81"/>
      <c r="X2729" s="81"/>
      <c r="Y2729" s="83"/>
      <c r="Z2729" s="81"/>
      <c r="AA2729" s="81"/>
      <c r="AB2729" s="81"/>
      <c r="AC2729" s="81"/>
      <c r="AD2729" s="81"/>
      <c r="AE2729" s="83"/>
      <c r="AF2729" s="81"/>
      <c r="AG2729" s="81"/>
      <c r="AH2729" s="81"/>
      <c r="AI2729" s="81"/>
      <c r="AJ2729" s="83"/>
      <c r="AK2729" s="81"/>
      <c r="AL2729" s="81"/>
      <c r="AM2729" s="83"/>
      <c r="AN2729" s="80"/>
      <c r="AO2729" s="82" t="str">
        <f aca="false">IF(E2729="","",(AA2729&lt;&gt;"")+(AG2729&lt;&gt;"")+(AL2729&lt;&gt;""))</f>
        <v/>
      </c>
      <c r="AP2729" s="82" t="str">
        <f aca="false">IF(AL2729&lt;&gt;"",AL2729,IF(AG2729&lt;&gt;"",AG2729,IF(AA2729&lt;&gt;"",AA2729,"")))</f>
        <v/>
      </c>
      <c r="AQ2729" s="84" t="str">
        <f aca="false">IF(E2729="","",IF(U2729="","À SOUDER",IF(X2729="","VT EN ATTENTE",IF(X2729="R","VT REJETÉ – À REPRENDRE",IF(AP2729="","À RADIOGRAPHIER",IF(AP2729="A","ACCEPTÉ",IF(AP2729="NX","NX – RT À REFAIRE",IF(IF(AO2729=1,AD2729,IF(AO2729=2,AI2729,""))="A","RÉPARÉ – À RADIOGRAPHIER",IF(IF(AO2729=1,AD2729,IF(AO2729=2,AI2729,""))="R","VT REJETÉ – À REPRENDRE",IF(OR(AP2729="CO",AP2729="NT"),"COUPE – À RESOUDER","À RÉPARER"))))))))))</f>
        <v/>
      </c>
      <c r="AR2729" s="82" t="str">
        <f aca="false">IF(AND(ISNUMBER(U2729),OR(AQ2729="À RADIOGRAPHIER",AQ2729="RÉPARÉ – À RADIOGRAPHIER",AQ2729="NX – RT À REFAIRE",AQ2729="À RÉPARER",AQ2729="COUPE – À RESOUDER",AQ2729="VT REJETÉ – À REPRENDRE")),MAX(0,'PROGRAMME RT'!$C$4-U2729),"")</f>
        <v/>
      </c>
      <c r="AS2729" s="82" t="n">
        <f aca="false">IF(AND(OR(AQ2729="À RADIOGRAPHIER",AQ2729="RÉPARÉ – À RADIOGRAPHIER",AQ2729="NX – RT À REFAIRE"),OR('PROGRAMME RT'!$D$5="TOUTES",B2729='PROGRAMME RT'!$D$5)),1,0)</f>
        <v>0</v>
      </c>
      <c r="AT2729" s="82" t="str">
        <f aca="false">IF(AS2729=1,SUM(AS$7:AS2729),"")</f>
        <v/>
      </c>
      <c r="AU2729" s="82" t="n">
        <f aca="false">IF(AND(OR(AA2729="R",AA2729="NX",AA2729="NT",AA2729="CO"),OR('JOINTS DE RÉPARATION'!$D$5="TOUTES",B2729='JOINTS DE RÉPARATION'!$D$5),OR('JOINTS DE RÉPARATION'!$L$4="TOUS",AQ2729&lt;&gt;"ACCEPTÉ")),1,0)</f>
        <v>0</v>
      </c>
      <c r="AV2729" s="82" t="str">
        <f aca="false">IF(AU2729=1,SUM(AU$7:AU2729),"")</f>
        <v/>
      </c>
      <c r="AW2729" s="82" t="str">
        <f aca="false">IF(E2729="","",B2729&amp;"|"&amp;E2729)</f>
        <v/>
      </c>
    </row>
    <row r="2730" customFormat="false" ht="15" hidden="false" customHeight="false" outlineLevel="0" collapsed="false">
      <c r="A2730" s="79" t="str">
        <f aca="false">IF(E2730="","",ROW()-6)</f>
        <v/>
      </c>
      <c r="B2730" s="80"/>
      <c r="C2730" s="81"/>
      <c r="D2730" s="81"/>
      <c r="E2730" s="81"/>
      <c r="F2730" s="82" t="str">
        <f aca="false">IF(E2730="","",IF(LEFT(E2730,2)="DJ","DJ","JN"))</f>
        <v/>
      </c>
      <c r="G2730" s="81"/>
      <c r="H2730" s="81"/>
      <c r="I2730" s="81"/>
      <c r="J2730" s="81"/>
      <c r="K2730" s="81"/>
      <c r="L2730" s="81"/>
      <c r="M2730" s="81"/>
      <c r="N2730" s="81"/>
      <c r="O2730" s="81"/>
      <c r="P2730" s="81"/>
      <c r="Q2730" s="81"/>
      <c r="R2730" s="81"/>
      <c r="S2730" s="81"/>
      <c r="T2730" s="81"/>
      <c r="U2730" s="83"/>
      <c r="V2730" s="83"/>
      <c r="W2730" s="81"/>
      <c r="X2730" s="81"/>
      <c r="Y2730" s="83"/>
      <c r="Z2730" s="81"/>
      <c r="AA2730" s="81"/>
      <c r="AB2730" s="81"/>
      <c r="AC2730" s="81"/>
      <c r="AD2730" s="81"/>
      <c r="AE2730" s="83"/>
      <c r="AF2730" s="81"/>
      <c r="AG2730" s="81"/>
      <c r="AH2730" s="81"/>
      <c r="AI2730" s="81"/>
      <c r="AJ2730" s="83"/>
      <c r="AK2730" s="81"/>
      <c r="AL2730" s="81"/>
      <c r="AM2730" s="83"/>
      <c r="AN2730" s="80"/>
      <c r="AO2730" s="82" t="str">
        <f aca="false">IF(E2730="","",(AA2730&lt;&gt;"")+(AG2730&lt;&gt;"")+(AL2730&lt;&gt;""))</f>
        <v/>
      </c>
      <c r="AP2730" s="82" t="str">
        <f aca="false">IF(AL2730&lt;&gt;"",AL2730,IF(AG2730&lt;&gt;"",AG2730,IF(AA2730&lt;&gt;"",AA2730,"")))</f>
        <v/>
      </c>
      <c r="AQ2730" s="84" t="str">
        <f aca="false">IF(E2730="","",IF(U2730="","À SOUDER",IF(X2730="","VT EN ATTENTE",IF(X2730="R","VT REJETÉ – À REPRENDRE",IF(AP2730="","À RADIOGRAPHIER",IF(AP2730="A","ACCEPTÉ",IF(AP2730="NX","NX – RT À REFAIRE",IF(IF(AO2730=1,AD2730,IF(AO2730=2,AI2730,""))="A","RÉPARÉ – À RADIOGRAPHIER",IF(IF(AO2730=1,AD2730,IF(AO2730=2,AI2730,""))="R","VT REJETÉ – À REPRENDRE",IF(OR(AP2730="CO",AP2730="NT"),"COUPE – À RESOUDER","À RÉPARER"))))))))))</f>
        <v/>
      </c>
      <c r="AR2730" s="82" t="str">
        <f aca="false">IF(AND(ISNUMBER(U2730),OR(AQ2730="À RADIOGRAPHIER",AQ2730="RÉPARÉ – À RADIOGRAPHIER",AQ2730="NX – RT À REFAIRE",AQ2730="À RÉPARER",AQ2730="COUPE – À RESOUDER",AQ2730="VT REJETÉ – À REPRENDRE")),MAX(0,'PROGRAMME RT'!$C$4-U2730),"")</f>
        <v/>
      </c>
      <c r="AS2730" s="82" t="n">
        <f aca="false">IF(AND(OR(AQ2730="À RADIOGRAPHIER",AQ2730="RÉPARÉ – À RADIOGRAPHIER",AQ2730="NX – RT À REFAIRE"),OR('PROGRAMME RT'!$D$5="TOUTES",B2730='PROGRAMME RT'!$D$5)),1,0)</f>
        <v>0</v>
      </c>
      <c r="AT2730" s="82" t="str">
        <f aca="false">IF(AS2730=1,SUM(AS$7:AS2730),"")</f>
        <v/>
      </c>
      <c r="AU2730" s="82" t="n">
        <f aca="false">IF(AND(OR(AA2730="R",AA2730="NX",AA2730="NT",AA2730="CO"),OR('JOINTS DE RÉPARATION'!$D$5="TOUTES",B2730='JOINTS DE RÉPARATION'!$D$5),OR('JOINTS DE RÉPARATION'!$L$4="TOUS",AQ2730&lt;&gt;"ACCEPTÉ")),1,0)</f>
        <v>0</v>
      </c>
      <c r="AV2730" s="82" t="str">
        <f aca="false">IF(AU2730=1,SUM(AU$7:AU2730),"")</f>
        <v/>
      </c>
      <c r="AW2730" s="82" t="str">
        <f aca="false">IF(E2730="","",B2730&amp;"|"&amp;E2730)</f>
        <v/>
      </c>
    </row>
    <row r="2731" customFormat="false" ht="15" hidden="false" customHeight="false" outlineLevel="0" collapsed="false">
      <c r="A2731" s="79" t="str">
        <f aca="false">IF(E2731="","",ROW()-6)</f>
        <v/>
      </c>
      <c r="B2731" s="80"/>
      <c r="C2731" s="81"/>
      <c r="D2731" s="81"/>
      <c r="E2731" s="81"/>
      <c r="F2731" s="82" t="str">
        <f aca="false">IF(E2731="","",IF(LEFT(E2731,2)="DJ","DJ","JN"))</f>
        <v/>
      </c>
      <c r="G2731" s="81"/>
      <c r="H2731" s="81"/>
      <c r="I2731" s="81"/>
      <c r="J2731" s="81"/>
      <c r="K2731" s="81"/>
      <c r="L2731" s="81"/>
      <c r="M2731" s="81"/>
      <c r="N2731" s="81"/>
      <c r="O2731" s="81"/>
      <c r="P2731" s="81"/>
      <c r="Q2731" s="81"/>
      <c r="R2731" s="81"/>
      <c r="S2731" s="81"/>
      <c r="T2731" s="81"/>
      <c r="U2731" s="83"/>
      <c r="V2731" s="83"/>
      <c r="W2731" s="81"/>
      <c r="X2731" s="81"/>
      <c r="Y2731" s="83"/>
      <c r="Z2731" s="81"/>
      <c r="AA2731" s="81"/>
      <c r="AB2731" s="81"/>
      <c r="AC2731" s="81"/>
      <c r="AD2731" s="81"/>
      <c r="AE2731" s="83"/>
      <c r="AF2731" s="81"/>
      <c r="AG2731" s="81"/>
      <c r="AH2731" s="81"/>
      <c r="AI2731" s="81"/>
      <c r="AJ2731" s="83"/>
      <c r="AK2731" s="81"/>
      <c r="AL2731" s="81"/>
      <c r="AM2731" s="83"/>
      <c r="AN2731" s="80"/>
      <c r="AO2731" s="82" t="str">
        <f aca="false">IF(E2731="","",(AA2731&lt;&gt;"")+(AG2731&lt;&gt;"")+(AL2731&lt;&gt;""))</f>
        <v/>
      </c>
      <c r="AP2731" s="82" t="str">
        <f aca="false">IF(AL2731&lt;&gt;"",AL2731,IF(AG2731&lt;&gt;"",AG2731,IF(AA2731&lt;&gt;"",AA2731,"")))</f>
        <v/>
      </c>
      <c r="AQ2731" s="84" t="str">
        <f aca="false">IF(E2731="","",IF(U2731="","À SOUDER",IF(X2731="","VT EN ATTENTE",IF(X2731="R","VT REJETÉ – À REPRENDRE",IF(AP2731="","À RADIOGRAPHIER",IF(AP2731="A","ACCEPTÉ",IF(AP2731="NX","NX – RT À REFAIRE",IF(IF(AO2731=1,AD2731,IF(AO2731=2,AI2731,""))="A","RÉPARÉ – À RADIOGRAPHIER",IF(IF(AO2731=1,AD2731,IF(AO2731=2,AI2731,""))="R","VT REJETÉ – À REPRENDRE",IF(OR(AP2731="CO",AP2731="NT"),"COUPE – À RESOUDER","À RÉPARER"))))))))))</f>
        <v/>
      </c>
      <c r="AR2731" s="82" t="str">
        <f aca="false">IF(AND(ISNUMBER(U2731),OR(AQ2731="À RADIOGRAPHIER",AQ2731="RÉPARÉ – À RADIOGRAPHIER",AQ2731="NX – RT À REFAIRE",AQ2731="À RÉPARER",AQ2731="COUPE – À RESOUDER",AQ2731="VT REJETÉ – À REPRENDRE")),MAX(0,'PROGRAMME RT'!$C$4-U2731),"")</f>
        <v/>
      </c>
      <c r="AS2731" s="82" t="n">
        <f aca="false">IF(AND(OR(AQ2731="À RADIOGRAPHIER",AQ2731="RÉPARÉ – À RADIOGRAPHIER",AQ2731="NX – RT À REFAIRE"),OR('PROGRAMME RT'!$D$5="TOUTES",B2731='PROGRAMME RT'!$D$5)),1,0)</f>
        <v>0</v>
      </c>
      <c r="AT2731" s="82" t="str">
        <f aca="false">IF(AS2731=1,SUM(AS$7:AS2731),"")</f>
        <v/>
      </c>
      <c r="AU2731" s="82" t="n">
        <f aca="false">IF(AND(OR(AA2731="R",AA2731="NX",AA2731="NT",AA2731="CO"),OR('JOINTS DE RÉPARATION'!$D$5="TOUTES",B2731='JOINTS DE RÉPARATION'!$D$5),OR('JOINTS DE RÉPARATION'!$L$4="TOUS",AQ2731&lt;&gt;"ACCEPTÉ")),1,0)</f>
        <v>0</v>
      </c>
      <c r="AV2731" s="82" t="str">
        <f aca="false">IF(AU2731=1,SUM(AU$7:AU2731),"")</f>
        <v/>
      </c>
      <c r="AW2731" s="82" t="str">
        <f aca="false">IF(E2731="","",B2731&amp;"|"&amp;E2731)</f>
        <v/>
      </c>
    </row>
    <row r="2732" customFormat="false" ht="15" hidden="false" customHeight="false" outlineLevel="0" collapsed="false">
      <c r="A2732" s="79" t="str">
        <f aca="false">IF(E2732="","",ROW()-6)</f>
        <v/>
      </c>
      <c r="B2732" s="80"/>
      <c r="C2732" s="81"/>
      <c r="D2732" s="81"/>
      <c r="E2732" s="81"/>
      <c r="F2732" s="82" t="str">
        <f aca="false">IF(E2732="","",IF(LEFT(E2732,2)="DJ","DJ","JN"))</f>
        <v/>
      </c>
      <c r="G2732" s="81"/>
      <c r="H2732" s="81"/>
      <c r="I2732" s="81"/>
      <c r="J2732" s="81"/>
      <c r="K2732" s="81"/>
      <c r="L2732" s="81"/>
      <c r="M2732" s="81"/>
      <c r="N2732" s="81"/>
      <c r="O2732" s="81"/>
      <c r="P2732" s="81"/>
      <c r="Q2732" s="81"/>
      <c r="R2732" s="81"/>
      <c r="S2732" s="81"/>
      <c r="T2732" s="81"/>
      <c r="U2732" s="83"/>
      <c r="V2732" s="83"/>
      <c r="W2732" s="81"/>
      <c r="X2732" s="81"/>
      <c r="Y2732" s="83"/>
      <c r="Z2732" s="81"/>
      <c r="AA2732" s="81"/>
      <c r="AB2732" s="81"/>
      <c r="AC2732" s="81"/>
      <c r="AD2732" s="81"/>
      <c r="AE2732" s="83"/>
      <c r="AF2732" s="81"/>
      <c r="AG2732" s="81"/>
      <c r="AH2732" s="81"/>
      <c r="AI2732" s="81"/>
      <c r="AJ2732" s="83"/>
      <c r="AK2732" s="81"/>
      <c r="AL2732" s="81"/>
      <c r="AM2732" s="83"/>
      <c r="AN2732" s="80"/>
      <c r="AO2732" s="82" t="str">
        <f aca="false">IF(E2732="","",(AA2732&lt;&gt;"")+(AG2732&lt;&gt;"")+(AL2732&lt;&gt;""))</f>
        <v/>
      </c>
      <c r="AP2732" s="82" t="str">
        <f aca="false">IF(AL2732&lt;&gt;"",AL2732,IF(AG2732&lt;&gt;"",AG2732,IF(AA2732&lt;&gt;"",AA2732,"")))</f>
        <v/>
      </c>
      <c r="AQ2732" s="84" t="str">
        <f aca="false">IF(E2732="","",IF(U2732="","À SOUDER",IF(X2732="","VT EN ATTENTE",IF(X2732="R","VT REJETÉ – À REPRENDRE",IF(AP2732="","À RADIOGRAPHIER",IF(AP2732="A","ACCEPTÉ",IF(AP2732="NX","NX – RT À REFAIRE",IF(IF(AO2732=1,AD2732,IF(AO2732=2,AI2732,""))="A","RÉPARÉ – À RADIOGRAPHIER",IF(IF(AO2732=1,AD2732,IF(AO2732=2,AI2732,""))="R","VT REJETÉ – À REPRENDRE",IF(OR(AP2732="CO",AP2732="NT"),"COUPE – À RESOUDER","À RÉPARER"))))))))))</f>
        <v/>
      </c>
      <c r="AR2732" s="82" t="str">
        <f aca="false">IF(AND(ISNUMBER(U2732),OR(AQ2732="À RADIOGRAPHIER",AQ2732="RÉPARÉ – À RADIOGRAPHIER",AQ2732="NX – RT À REFAIRE",AQ2732="À RÉPARER",AQ2732="COUPE – À RESOUDER",AQ2732="VT REJETÉ – À REPRENDRE")),MAX(0,'PROGRAMME RT'!$C$4-U2732),"")</f>
        <v/>
      </c>
      <c r="AS2732" s="82" t="n">
        <f aca="false">IF(AND(OR(AQ2732="À RADIOGRAPHIER",AQ2732="RÉPARÉ – À RADIOGRAPHIER",AQ2732="NX – RT À REFAIRE"),OR('PROGRAMME RT'!$D$5="TOUTES",B2732='PROGRAMME RT'!$D$5)),1,0)</f>
        <v>0</v>
      </c>
      <c r="AT2732" s="82" t="str">
        <f aca="false">IF(AS2732=1,SUM(AS$7:AS2732),"")</f>
        <v/>
      </c>
      <c r="AU2732" s="82" t="n">
        <f aca="false">IF(AND(OR(AA2732="R",AA2732="NX",AA2732="NT",AA2732="CO"),OR('JOINTS DE RÉPARATION'!$D$5="TOUTES",B2732='JOINTS DE RÉPARATION'!$D$5),OR('JOINTS DE RÉPARATION'!$L$4="TOUS",AQ2732&lt;&gt;"ACCEPTÉ")),1,0)</f>
        <v>0</v>
      </c>
      <c r="AV2732" s="82" t="str">
        <f aca="false">IF(AU2732=1,SUM(AU$7:AU2732),"")</f>
        <v/>
      </c>
      <c r="AW2732" s="82" t="str">
        <f aca="false">IF(E2732="","",B2732&amp;"|"&amp;E2732)</f>
        <v/>
      </c>
    </row>
    <row r="2733" customFormat="false" ht="15" hidden="false" customHeight="false" outlineLevel="0" collapsed="false">
      <c r="A2733" s="79" t="str">
        <f aca="false">IF(E2733="","",ROW()-6)</f>
        <v/>
      </c>
      <c r="B2733" s="80"/>
      <c r="C2733" s="81"/>
      <c r="D2733" s="81"/>
      <c r="E2733" s="81"/>
      <c r="F2733" s="82" t="str">
        <f aca="false">IF(E2733="","",IF(LEFT(E2733,2)="DJ","DJ","JN"))</f>
        <v/>
      </c>
      <c r="G2733" s="81"/>
      <c r="H2733" s="81"/>
      <c r="I2733" s="81"/>
      <c r="J2733" s="81"/>
      <c r="K2733" s="81"/>
      <c r="L2733" s="81"/>
      <c r="M2733" s="81"/>
      <c r="N2733" s="81"/>
      <c r="O2733" s="81"/>
      <c r="P2733" s="81"/>
      <c r="Q2733" s="81"/>
      <c r="R2733" s="81"/>
      <c r="S2733" s="81"/>
      <c r="T2733" s="81"/>
      <c r="U2733" s="83"/>
      <c r="V2733" s="83"/>
      <c r="W2733" s="81"/>
      <c r="X2733" s="81"/>
      <c r="Y2733" s="83"/>
      <c r="Z2733" s="81"/>
      <c r="AA2733" s="81"/>
      <c r="AB2733" s="81"/>
      <c r="AC2733" s="81"/>
      <c r="AD2733" s="81"/>
      <c r="AE2733" s="83"/>
      <c r="AF2733" s="81"/>
      <c r="AG2733" s="81"/>
      <c r="AH2733" s="81"/>
      <c r="AI2733" s="81"/>
      <c r="AJ2733" s="83"/>
      <c r="AK2733" s="81"/>
      <c r="AL2733" s="81"/>
      <c r="AM2733" s="83"/>
      <c r="AN2733" s="80"/>
      <c r="AO2733" s="82" t="str">
        <f aca="false">IF(E2733="","",(AA2733&lt;&gt;"")+(AG2733&lt;&gt;"")+(AL2733&lt;&gt;""))</f>
        <v/>
      </c>
      <c r="AP2733" s="82" t="str">
        <f aca="false">IF(AL2733&lt;&gt;"",AL2733,IF(AG2733&lt;&gt;"",AG2733,IF(AA2733&lt;&gt;"",AA2733,"")))</f>
        <v/>
      </c>
      <c r="AQ2733" s="84" t="str">
        <f aca="false">IF(E2733="","",IF(U2733="","À SOUDER",IF(X2733="","VT EN ATTENTE",IF(X2733="R","VT REJETÉ – À REPRENDRE",IF(AP2733="","À RADIOGRAPHIER",IF(AP2733="A","ACCEPTÉ",IF(AP2733="NX","NX – RT À REFAIRE",IF(IF(AO2733=1,AD2733,IF(AO2733=2,AI2733,""))="A","RÉPARÉ – À RADIOGRAPHIER",IF(IF(AO2733=1,AD2733,IF(AO2733=2,AI2733,""))="R","VT REJETÉ – À REPRENDRE",IF(OR(AP2733="CO",AP2733="NT"),"COUPE – À RESOUDER","À RÉPARER"))))))))))</f>
        <v/>
      </c>
      <c r="AR2733" s="82" t="str">
        <f aca="false">IF(AND(ISNUMBER(U2733),OR(AQ2733="À RADIOGRAPHIER",AQ2733="RÉPARÉ – À RADIOGRAPHIER",AQ2733="NX – RT À REFAIRE",AQ2733="À RÉPARER",AQ2733="COUPE – À RESOUDER",AQ2733="VT REJETÉ – À REPRENDRE")),MAX(0,'PROGRAMME RT'!$C$4-U2733),"")</f>
        <v/>
      </c>
      <c r="AS2733" s="82" t="n">
        <f aca="false">IF(AND(OR(AQ2733="À RADIOGRAPHIER",AQ2733="RÉPARÉ – À RADIOGRAPHIER",AQ2733="NX – RT À REFAIRE"),OR('PROGRAMME RT'!$D$5="TOUTES",B2733='PROGRAMME RT'!$D$5)),1,0)</f>
        <v>0</v>
      </c>
      <c r="AT2733" s="82" t="str">
        <f aca="false">IF(AS2733=1,SUM(AS$7:AS2733),"")</f>
        <v/>
      </c>
      <c r="AU2733" s="82" t="n">
        <f aca="false">IF(AND(OR(AA2733="R",AA2733="NX",AA2733="NT",AA2733="CO"),OR('JOINTS DE RÉPARATION'!$D$5="TOUTES",B2733='JOINTS DE RÉPARATION'!$D$5),OR('JOINTS DE RÉPARATION'!$L$4="TOUS",AQ2733&lt;&gt;"ACCEPTÉ")),1,0)</f>
        <v>0</v>
      </c>
      <c r="AV2733" s="82" t="str">
        <f aca="false">IF(AU2733=1,SUM(AU$7:AU2733),"")</f>
        <v/>
      </c>
      <c r="AW2733" s="82" t="str">
        <f aca="false">IF(E2733="","",B2733&amp;"|"&amp;E2733)</f>
        <v/>
      </c>
    </row>
    <row r="2734" customFormat="false" ht="15" hidden="false" customHeight="false" outlineLevel="0" collapsed="false">
      <c r="A2734" s="79" t="str">
        <f aca="false">IF(E2734="","",ROW()-6)</f>
        <v/>
      </c>
      <c r="B2734" s="80"/>
      <c r="C2734" s="81"/>
      <c r="D2734" s="81"/>
      <c r="E2734" s="81"/>
      <c r="F2734" s="82" t="str">
        <f aca="false">IF(E2734="","",IF(LEFT(E2734,2)="DJ","DJ","JN"))</f>
        <v/>
      </c>
      <c r="G2734" s="81"/>
      <c r="H2734" s="81"/>
      <c r="I2734" s="81"/>
      <c r="J2734" s="81"/>
      <c r="K2734" s="81"/>
      <c r="L2734" s="81"/>
      <c r="M2734" s="81"/>
      <c r="N2734" s="81"/>
      <c r="O2734" s="81"/>
      <c r="P2734" s="81"/>
      <c r="Q2734" s="81"/>
      <c r="R2734" s="81"/>
      <c r="S2734" s="81"/>
      <c r="T2734" s="81"/>
      <c r="U2734" s="83"/>
      <c r="V2734" s="83"/>
      <c r="W2734" s="81"/>
      <c r="X2734" s="81"/>
      <c r="Y2734" s="83"/>
      <c r="Z2734" s="81"/>
      <c r="AA2734" s="81"/>
      <c r="AB2734" s="81"/>
      <c r="AC2734" s="81"/>
      <c r="AD2734" s="81"/>
      <c r="AE2734" s="83"/>
      <c r="AF2734" s="81"/>
      <c r="AG2734" s="81"/>
      <c r="AH2734" s="81"/>
      <c r="AI2734" s="81"/>
      <c r="AJ2734" s="83"/>
      <c r="AK2734" s="81"/>
      <c r="AL2734" s="81"/>
      <c r="AM2734" s="83"/>
      <c r="AN2734" s="80"/>
      <c r="AO2734" s="82" t="str">
        <f aca="false">IF(E2734="","",(AA2734&lt;&gt;"")+(AG2734&lt;&gt;"")+(AL2734&lt;&gt;""))</f>
        <v/>
      </c>
      <c r="AP2734" s="82" t="str">
        <f aca="false">IF(AL2734&lt;&gt;"",AL2734,IF(AG2734&lt;&gt;"",AG2734,IF(AA2734&lt;&gt;"",AA2734,"")))</f>
        <v/>
      </c>
      <c r="AQ2734" s="84" t="str">
        <f aca="false">IF(E2734="","",IF(U2734="","À SOUDER",IF(X2734="","VT EN ATTENTE",IF(X2734="R","VT REJETÉ – À REPRENDRE",IF(AP2734="","À RADIOGRAPHIER",IF(AP2734="A","ACCEPTÉ",IF(AP2734="NX","NX – RT À REFAIRE",IF(IF(AO2734=1,AD2734,IF(AO2734=2,AI2734,""))="A","RÉPARÉ – À RADIOGRAPHIER",IF(IF(AO2734=1,AD2734,IF(AO2734=2,AI2734,""))="R","VT REJETÉ – À REPRENDRE",IF(OR(AP2734="CO",AP2734="NT"),"COUPE – À RESOUDER","À RÉPARER"))))))))))</f>
        <v/>
      </c>
      <c r="AR2734" s="82" t="str">
        <f aca="false">IF(AND(ISNUMBER(U2734),OR(AQ2734="À RADIOGRAPHIER",AQ2734="RÉPARÉ – À RADIOGRAPHIER",AQ2734="NX – RT À REFAIRE",AQ2734="À RÉPARER",AQ2734="COUPE – À RESOUDER",AQ2734="VT REJETÉ – À REPRENDRE")),MAX(0,'PROGRAMME RT'!$C$4-U2734),"")</f>
        <v/>
      </c>
      <c r="AS2734" s="82" t="n">
        <f aca="false">IF(AND(OR(AQ2734="À RADIOGRAPHIER",AQ2734="RÉPARÉ – À RADIOGRAPHIER",AQ2734="NX – RT À REFAIRE"),OR('PROGRAMME RT'!$D$5="TOUTES",B2734='PROGRAMME RT'!$D$5)),1,0)</f>
        <v>0</v>
      </c>
      <c r="AT2734" s="82" t="str">
        <f aca="false">IF(AS2734=1,SUM(AS$7:AS2734),"")</f>
        <v/>
      </c>
      <c r="AU2734" s="82" t="n">
        <f aca="false">IF(AND(OR(AA2734="R",AA2734="NX",AA2734="NT",AA2734="CO"),OR('JOINTS DE RÉPARATION'!$D$5="TOUTES",B2734='JOINTS DE RÉPARATION'!$D$5),OR('JOINTS DE RÉPARATION'!$L$4="TOUS",AQ2734&lt;&gt;"ACCEPTÉ")),1,0)</f>
        <v>0</v>
      </c>
      <c r="AV2734" s="82" t="str">
        <f aca="false">IF(AU2734=1,SUM(AU$7:AU2734),"")</f>
        <v/>
      </c>
      <c r="AW2734" s="82" t="str">
        <f aca="false">IF(E2734="","",B2734&amp;"|"&amp;E2734)</f>
        <v/>
      </c>
    </row>
    <row r="2735" customFormat="false" ht="15" hidden="false" customHeight="false" outlineLevel="0" collapsed="false">
      <c r="A2735" s="79" t="str">
        <f aca="false">IF(E2735="","",ROW()-6)</f>
        <v/>
      </c>
      <c r="B2735" s="80"/>
      <c r="C2735" s="81"/>
      <c r="D2735" s="81"/>
      <c r="E2735" s="81"/>
      <c r="F2735" s="82" t="str">
        <f aca="false">IF(E2735="","",IF(LEFT(E2735,2)="DJ","DJ","JN"))</f>
        <v/>
      </c>
      <c r="G2735" s="81"/>
      <c r="H2735" s="81"/>
      <c r="I2735" s="81"/>
      <c r="J2735" s="81"/>
      <c r="K2735" s="81"/>
      <c r="L2735" s="81"/>
      <c r="M2735" s="81"/>
      <c r="N2735" s="81"/>
      <c r="O2735" s="81"/>
      <c r="P2735" s="81"/>
      <c r="Q2735" s="81"/>
      <c r="R2735" s="81"/>
      <c r="S2735" s="81"/>
      <c r="T2735" s="81"/>
      <c r="U2735" s="83"/>
      <c r="V2735" s="83"/>
      <c r="W2735" s="81"/>
      <c r="X2735" s="81"/>
      <c r="Y2735" s="83"/>
      <c r="Z2735" s="81"/>
      <c r="AA2735" s="81"/>
      <c r="AB2735" s="81"/>
      <c r="AC2735" s="81"/>
      <c r="AD2735" s="81"/>
      <c r="AE2735" s="83"/>
      <c r="AF2735" s="81"/>
      <c r="AG2735" s="81"/>
      <c r="AH2735" s="81"/>
      <c r="AI2735" s="81"/>
      <c r="AJ2735" s="83"/>
      <c r="AK2735" s="81"/>
      <c r="AL2735" s="81"/>
      <c r="AM2735" s="83"/>
      <c r="AN2735" s="80"/>
      <c r="AO2735" s="82" t="str">
        <f aca="false">IF(E2735="","",(AA2735&lt;&gt;"")+(AG2735&lt;&gt;"")+(AL2735&lt;&gt;""))</f>
        <v/>
      </c>
      <c r="AP2735" s="82" t="str">
        <f aca="false">IF(AL2735&lt;&gt;"",AL2735,IF(AG2735&lt;&gt;"",AG2735,IF(AA2735&lt;&gt;"",AA2735,"")))</f>
        <v/>
      </c>
      <c r="AQ2735" s="84" t="str">
        <f aca="false">IF(E2735="","",IF(U2735="","À SOUDER",IF(X2735="","VT EN ATTENTE",IF(X2735="R","VT REJETÉ – À REPRENDRE",IF(AP2735="","À RADIOGRAPHIER",IF(AP2735="A","ACCEPTÉ",IF(AP2735="NX","NX – RT À REFAIRE",IF(IF(AO2735=1,AD2735,IF(AO2735=2,AI2735,""))="A","RÉPARÉ – À RADIOGRAPHIER",IF(IF(AO2735=1,AD2735,IF(AO2735=2,AI2735,""))="R","VT REJETÉ – À REPRENDRE",IF(OR(AP2735="CO",AP2735="NT"),"COUPE – À RESOUDER","À RÉPARER"))))))))))</f>
        <v/>
      </c>
      <c r="AR2735" s="82" t="str">
        <f aca="false">IF(AND(ISNUMBER(U2735),OR(AQ2735="À RADIOGRAPHIER",AQ2735="RÉPARÉ – À RADIOGRAPHIER",AQ2735="NX – RT À REFAIRE",AQ2735="À RÉPARER",AQ2735="COUPE – À RESOUDER",AQ2735="VT REJETÉ – À REPRENDRE")),MAX(0,'PROGRAMME RT'!$C$4-U2735),"")</f>
        <v/>
      </c>
      <c r="AS2735" s="82" t="n">
        <f aca="false">IF(AND(OR(AQ2735="À RADIOGRAPHIER",AQ2735="RÉPARÉ – À RADIOGRAPHIER",AQ2735="NX – RT À REFAIRE"),OR('PROGRAMME RT'!$D$5="TOUTES",B2735='PROGRAMME RT'!$D$5)),1,0)</f>
        <v>0</v>
      </c>
      <c r="AT2735" s="82" t="str">
        <f aca="false">IF(AS2735=1,SUM(AS$7:AS2735),"")</f>
        <v/>
      </c>
      <c r="AU2735" s="82" t="n">
        <f aca="false">IF(AND(OR(AA2735="R",AA2735="NX",AA2735="NT",AA2735="CO"),OR('JOINTS DE RÉPARATION'!$D$5="TOUTES",B2735='JOINTS DE RÉPARATION'!$D$5),OR('JOINTS DE RÉPARATION'!$L$4="TOUS",AQ2735&lt;&gt;"ACCEPTÉ")),1,0)</f>
        <v>0</v>
      </c>
      <c r="AV2735" s="82" t="str">
        <f aca="false">IF(AU2735=1,SUM(AU$7:AU2735),"")</f>
        <v/>
      </c>
      <c r="AW2735" s="82" t="str">
        <f aca="false">IF(E2735="","",B2735&amp;"|"&amp;E2735)</f>
        <v/>
      </c>
    </row>
    <row r="2736" customFormat="false" ht="15" hidden="false" customHeight="false" outlineLevel="0" collapsed="false">
      <c r="A2736" s="79" t="str">
        <f aca="false">IF(E2736="","",ROW()-6)</f>
        <v/>
      </c>
      <c r="B2736" s="80"/>
      <c r="C2736" s="81"/>
      <c r="D2736" s="81"/>
      <c r="E2736" s="81"/>
      <c r="F2736" s="82" t="str">
        <f aca="false">IF(E2736="","",IF(LEFT(E2736,2)="DJ","DJ","JN"))</f>
        <v/>
      </c>
      <c r="G2736" s="81"/>
      <c r="H2736" s="81"/>
      <c r="I2736" s="81"/>
      <c r="J2736" s="81"/>
      <c r="K2736" s="81"/>
      <c r="L2736" s="81"/>
      <c r="M2736" s="81"/>
      <c r="N2736" s="81"/>
      <c r="O2736" s="81"/>
      <c r="P2736" s="81"/>
      <c r="Q2736" s="81"/>
      <c r="R2736" s="81"/>
      <c r="S2736" s="81"/>
      <c r="T2736" s="81"/>
      <c r="U2736" s="83"/>
      <c r="V2736" s="83"/>
      <c r="W2736" s="81"/>
      <c r="X2736" s="81"/>
      <c r="Y2736" s="83"/>
      <c r="Z2736" s="81"/>
      <c r="AA2736" s="81"/>
      <c r="AB2736" s="81"/>
      <c r="AC2736" s="81"/>
      <c r="AD2736" s="81"/>
      <c r="AE2736" s="83"/>
      <c r="AF2736" s="81"/>
      <c r="AG2736" s="81"/>
      <c r="AH2736" s="81"/>
      <c r="AI2736" s="81"/>
      <c r="AJ2736" s="83"/>
      <c r="AK2736" s="81"/>
      <c r="AL2736" s="81"/>
      <c r="AM2736" s="83"/>
      <c r="AN2736" s="80"/>
      <c r="AO2736" s="82" t="str">
        <f aca="false">IF(E2736="","",(AA2736&lt;&gt;"")+(AG2736&lt;&gt;"")+(AL2736&lt;&gt;""))</f>
        <v/>
      </c>
      <c r="AP2736" s="82" t="str">
        <f aca="false">IF(AL2736&lt;&gt;"",AL2736,IF(AG2736&lt;&gt;"",AG2736,IF(AA2736&lt;&gt;"",AA2736,"")))</f>
        <v/>
      </c>
      <c r="AQ2736" s="84" t="str">
        <f aca="false">IF(E2736="","",IF(U2736="","À SOUDER",IF(X2736="","VT EN ATTENTE",IF(X2736="R","VT REJETÉ – À REPRENDRE",IF(AP2736="","À RADIOGRAPHIER",IF(AP2736="A","ACCEPTÉ",IF(AP2736="NX","NX – RT À REFAIRE",IF(IF(AO2736=1,AD2736,IF(AO2736=2,AI2736,""))="A","RÉPARÉ – À RADIOGRAPHIER",IF(IF(AO2736=1,AD2736,IF(AO2736=2,AI2736,""))="R","VT REJETÉ – À REPRENDRE",IF(OR(AP2736="CO",AP2736="NT"),"COUPE – À RESOUDER","À RÉPARER"))))))))))</f>
        <v/>
      </c>
      <c r="AR2736" s="82" t="str">
        <f aca="false">IF(AND(ISNUMBER(U2736),OR(AQ2736="À RADIOGRAPHIER",AQ2736="RÉPARÉ – À RADIOGRAPHIER",AQ2736="NX – RT À REFAIRE",AQ2736="À RÉPARER",AQ2736="COUPE – À RESOUDER",AQ2736="VT REJETÉ – À REPRENDRE")),MAX(0,'PROGRAMME RT'!$C$4-U2736),"")</f>
        <v/>
      </c>
      <c r="AS2736" s="82" t="n">
        <f aca="false">IF(AND(OR(AQ2736="À RADIOGRAPHIER",AQ2736="RÉPARÉ – À RADIOGRAPHIER",AQ2736="NX – RT À REFAIRE"),OR('PROGRAMME RT'!$D$5="TOUTES",B2736='PROGRAMME RT'!$D$5)),1,0)</f>
        <v>0</v>
      </c>
      <c r="AT2736" s="82" t="str">
        <f aca="false">IF(AS2736=1,SUM(AS$7:AS2736),"")</f>
        <v/>
      </c>
      <c r="AU2736" s="82" t="n">
        <f aca="false">IF(AND(OR(AA2736="R",AA2736="NX",AA2736="NT",AA2736="CO"),OR('JOINTS DE RÉPARATION'!$D$5="TOUTES",B2736='JOINTS DE RÉPARATION'!$D$5),OR('JOINTS DE RÉPARATION'!$L$4="TOUS",AQ2736&lt;&gt;"ACCEPTÉ")),1,0)</f>
        <v>0</v>
      </c>
      <c r="AV2736" s="82" t="str">
        <f aca="false">IF(AU2736=1,SUM(AU$7:AU2736),"")</f>
        <v/>
      </c>
      <c r="AW2736" s="82" t="str">
        <f aca="false">IF(E2736="","",B2736&amp;"|"&amp;E2736)</f>
        <v/>
      </c>
    </row>
    <row r="2737" customFormat="false" ht="15" hidden="false" customHeight="false" outlineLevel="0" collapsed="false">
      <c r="A2737" s="79" t="str">
        <f aca="false">IF(E2737="","",ROW()-6)</f>
        <v/>
      </c>
      <c r="B2737" s="80"/>
      <c r="C2737" s="81"/>
      <c r="D2737" s="81"/>
      <c r="E2737" s="81"/>
      <c r="F2737" s="82" t="str">
        <f aca="false">IF(E2737="","",IF(LEFT(E2737,2)="DJ","DJ","JN"))</f>
        <v/>
      </c>
      <c r="G2737" s="81"/>
      <c r="H2737" s="81"/>
      <c r="I2737" s="81"/>
      <c r="J2737" s="81"/>
      <c r="K2737" s="81"/>
      <c r="L2737" s="81"/>
      <c r="M2737" s="81"/>
      <c r="N2737" s="81"/>
      <c r="O2737" s="81"/>
      <c r="P2737" s="81"/>
      <c r="Q2737" s="81"/>
      <c r="R2737" s="81"/>
      <c r="S2737" s="81"/>
      <c r="T2737" s="81"/>
      <c r="U2737" s="83"/>
      <c r="V2737" s="83"/>
      <c r="W2737" s="81"/>
      <c r="X2737" s="81"/>
      <c r="Y2737" s="83"/>
      <c r="Z2737" s="81"/>
      <c r="AA2737" s="81"/>
      <c r="AB2737" s="81"/>
      <c r="AC2737" s="81"/>
      <c r="AD2737" s="81"/>
      <c r="AE2737" s="83"/>
      <c r="AF2737" s="81"/>
      <c r="AG2737" s="81"/>
      <c r="AH2737" s="81"/>
      <c r="AI2737" s="81"/>
      <c r="AJ2737" s="83"/>
      <c r="AK2737" s="81"/>
      <c r="AL2737" s="81"/>
      <c r="AM2737" s="83"/>
      <c r="AN2737" s="80"/>
      <c r="AO2737" s="82" t="str">
        <f aca="false">IF(E2737="","",(AA2737&lt;&gt;"")+(AG2737&lt;&gt;"")+(AL2737&lt;&gt;""))</f>
        <v/>
      </c>
      <c r="AP2737" s="82" t="str">
        <f aca="false">IF(AL2737&lt;&gt;"",AL2737,IF(AG2737&lt;&gt;"",AG2737,IF(AA2737&lt;&gt;"",AA2737,"")))</f>
        <v/>
      </c>
      <c r="AQ2737" s="84" t="str">
        <f aca="false">IF(E2737="","",IF(U2737="","À SOUDER",IF(X2737="","VT EN ATTENTE",IF(X2737="R","VT REJETÉ – À REPRENDRE",IF(AP2737="","À RADIOGRAPHIER",IF(AP2737="A","ACCEPTÉ",IF(AP2737="NX","NX – RT À REFAIRE",IF(IF(AO2737=1,AD2737,IF(AO2737=2,AI2737,""))="A","RÉPARÉ – À RADIOGRAPHIER",IF(IF(AO2737=1,AD2737,IF(AO2737=2,AI2737,""))="R","VT REJETÉ – À REPRENDRE",IF(OR(AP2737="CO",AP2737="NT"),"COUPE – À RESOUDER","À RÉPARER"))))))))))</f>
        <v/>
      </c>
      <c r="AR2737" s="82" t="str">
        <f aca="false">IF(AND(ISNUMBER(U2737),OR(AQ2737="À RADIOGRAPHIER",AQ2737="RÉPARÉ – À RADIOGRAPHIER",AQ2737="NX – RT À REFAIRE",AQ2737="À RÉPARER",AQ2737="COUPE – À RESOUDER",AQ2737="VT REJETÉ – À REPRENDRE")),MAX(0,'PROGRAMME RT'!$C$4-U2737),"")</f>
        <v/>
      </c>
      <c r="AS2737" s="82" t="n">
        <f aca="false">IF(AND(OR(AQ2737="À RADIOGRAPHIER",AQ2737="RÉPARÉ – À RADIOGRAPHIER",AQ2737="NX – RT À REFAIRE"),OR('PROGRAMME RT'!$D$5="TOUTES",B2737='PROGRAMME RT'!$D$5)),1,0)</f>
        <v>0</v>
      </c>
      <c r="AT2737" s="82" t="str">
        <f aca="false">IF(AS2737=1,SUM(AS$7:AS2737),"")</f>
        <v/>
      </c>
      <c r="AU2737" s="82" t="n">
        <f aca="false">IF(AND(OR(AA2737="R",AA2737="NX",AA2737="NT",AA2737="CO"),OR('JOINTS DE RÉPARATION'!$D$5="TOUTES",B2737='JOINTS DE RÉPARATION'!$D$5),OR('JOINTS DE RÉPARATION'!$L$4="TOUS",AQ2737&lt;&gt;"ACCEPTÉ")),1,0)</f>
        <v>0</v>
      </c>
      <c r="AV2737" s="82" t="str">
        <f aca="false">IF(AU2737=1,SUM(AU$7:AU2737),"")</f>
        <v/>
      </c>
      <c r="AW2737" s="82" t="str">
        <f aca="false">IF(E2737="","",B2737&amp;"|"&amp;E2737)</f>
        <v/>
      </c>
    </row>
    <row r="2738" customFormat="false" ht="15" hidden="false" customHeight="false" outlineLevel="0" collapsed="false">
      <c r="A2738" s="79" t="str">
        <f aca="false">IF(E2738="","",ROW()-6)</f>
        <v/>
      </c>
      <c r="B2738" s="80"/>
      <c r="C2738" s="81"/>
      <c r="D2738" s="81"/>
      <c r="E2738" s="81"/>
      <c r="F2738" s="82" t="str">
        <f aca="false">IF(E2738="","",IF(LEFT(E2738,2)="DJ","DJ","JN"))</f>
        <v/>
      </c>
      <c r="G2738" s="81"/>
      <c r="H2738" s="81"/>
      <c r="I2738" s="81"/>
      <c r="J2738" s="81"/>
      <c r="K2738" s="81"/>
      <c r="L2738" s="81"/>
      <c r="M2738" s="81"/>
      <c r="N2738" s="81"/>
      <c r="O2738" s="81"/>
      <c r="P2738" s="81"/>
      <c r="Q2738" s="81"/>
      <c r="R2738" s="81"/>
      <c r="S2738" s="81"/>
      <c r="T2738" s="81"/>
      <c r="U2738" s="83"/>
      <c r="V2738" s="83"/>
      <c r="W2738" s="81"/>
      <c r="X2738" s="81"/>
      <c r="Y2738" s="83"/>
      <c r="Z2738" s="81"/>
      <c r="AA2738" s="81"/>
      <c r="AB2738" s="81"/>
      <c r="AC2738" s="81"/>
      <c r="AD2738" s="81"/>
      <c r="AE2738" s="83"/>
      <c r="AF2738" s="81"/>
      <c r="AG2738" s="81"/>
      <c r="AH2738" s="81"/>
      <c r="AI2738" s="81"/>
      <c r="AJ2738" s="83"/>
      <c r="AK2738" s="81"/>
      <c r="AL2738" s="81"/>
      <c r="AM2738" s="83"/>
      <c r="AN2738" s="80"/>
      <c r="AO2738" s="82" t="str">
        <f aca="false">IF(E2738="","",(AA2738&lt;&gt;"")+(AG2738&lt;&gt;"")+(AL2738&lt;&gt;""))</f>
        <v/>
      </c>
      <c r="AP2738" s="82" t="str">
        <f aca="false">IF(AL2738&lt;&gt;"",AL2738,IF(AG2738&lt;&gt;"",AG2738,IF(AA2738&lt;&gt;"",AA2738,"")))</f>
        <v/>
      </c>
      <c r="AQ2738" s="84" t="str">
        <f aca="false">IF(E2738="","",IF(U2738="","À SOUDER",IF(X2738="","VT EN ATTENTE",IF(X2738="R","VT REJETÉ – À REPRENDRE",IF(AP2738="","À RADIOGRAPHIER",IF(AP2738="A","ACCEPTÉ",IF(AP2738="NX","NX – RT À REFAIRE",IF(IF(AO2738=1,AD2738,IF(AO2738=2,AI2738,""))="A","RÉPARÉ – À RADIOGRAPHIER",IF(IF(AO2738=1,AD2738,IF(AO2738=2,AI2738,""))="R","VT REJETÉ – À REPRENDRE",IF(OR(AP2738="CO",AP2738="NT"),"COUPE – À RESOUDER","À RÉPARER"))))))))))</f>
        <v/>
      </c>
      <c r="AR2738" s="82" t="str">
        <f aca="false">IF(AND(ISNUMBER(U2738),OR(AQ2738="À RADIOGRAPHIER",AQ2738="RÉPARÉ – À RADIOGRAPHIER",AQ2738="NX – RT À REFAIRE",AQ2738="À RÉPARER",AQ2738="COUPE – À RESOUDER",AQ2738="VT REJETÉ – À REPRENDRE")),MAX(0,'PROGRAMME RT'!$C$4-U2738),"")</f>
        <v/>
      </c>
      <c r="AS2738" s="82" t="n">
        <f aca="false">IF(AND(OR(AQ2738="À RADIOGRAPHIER",AQ2738="RÉPARÉ – À RADIOGRAPHIER",AQ2738="NX – RT À REFAIRE"),OR('PROGRAMME RT'!$D$5="TOUTES",B2738='PROGRAMME RT'!$D$5)),1,0)</f>
        <v>0</v>
      </c>
      <c r="AT2738" s="82" t="str">
        <f aca="false">IF(AS2738=1,SUM(AS$7:AS2738),"")</f>
        <v/>
      </c>
      <c r="AU2738" s="82" t="n">
        <f aca="false">IF(AND(OR(AA2738="R",AA2738="NX",AA2738="NT",AA2738="CO"),OR('JOINTS DE RÉPARATION'!$D$5="TOUTES",B2738='JOINTS DE RÉPARATION'!$D$5),OR('JOINTS DE RÉPARATION'!$L$4="TOUS",AQ2738&lt;&gt;"ACCEPTÉ")),1,0)</f>
        <v>0</v>
      </c>
      <c r="AV2738" s="82" t="str">
        <f aca="false">IF(AU2738=1,SUM(AU$7:AU2738),"")</f>
        <v/>
      </c>
      <c r="AW2738" s="82" t="str">
        <f aca="false">IF(E2738="","",B2738&amp;"|"&amp;E2738)</f>
        <v/>
      </c>
    </row>
    <row r="2739" customFormat="false" ht="15" hidden="false" customHeight="false" outlineLevel="0" collapsed="false">
      <c r="A2739" s="79" t="str">
        <f aca="false">IF(E2739="","",ROW()-6)</f>
        <v/>
      </c>
      <c r="B2739" s="80"/>
      <c r="C2739" s="81"/>
      <c r="D2739" s="81"/>
      <c r="E2739" s="81"/>
      <c r="F2739" s="82" t="str">
        <f aca="false">IF(E2739="","",IF(LEFT(E2739,2)="DJ","DJ","JN"))</f>
        <v/>
      </c>
      <c r="G2739" s="81"/>
      <c r="H2739" s="81"/>
      <c r="I2739" s="81"/>
      <c r="J2739" s="81"/>
      <c r="K2739" s="81"/>
      <c r="L2739" s="81"/>
      <c r="M2739" s="81"/>
      <c r="N2739" s="81"/>
      <c r="O2739" s="81"/>
      <c r="P2739" s="81"/>
      <c r="Q2739" s="81"/>
      <c r="R2739" s="81"/>
      <c r="S2739" s="81"/>
      <c r="T2739" s="81"/>
      <c r="U2739" s="83"/>
      <c r="V2739" s="83"/>
      <c r="W2739" s="81"/>
      <c r="X2739" s="81"/>
      <c r="Y2739" s="83"/>
      <c r="Z2739" s="81"/>
      <c r="AA2739" s="81"/>
      <c r="AB2739" s="81"/>
      <c r="AC2739" s="81"/>
      <c r="AD2739" s="81"/>
      <c r="AE2739" s="83"/>
      <c r="AF2739" s="81"/>
      <c r="AG2739" s="81"/>
      <c r="AH2739" s="81"/>
      <c r="AI2739" s="81"/>
      <c r="AJ2739" s="83"/>
      <c r="AK2739" s="81"/>
      <c r="AL2739" s="81"/>
      <c r="AM2739" s="83"/>
      <c r="AN2739" s="80"/>
      <c r="AO2739" s="82" t="str">
        <f aca="false">IF(E2739="","",(AA2739&lt;&gt;"")+(AG2739&lt;&gt;"")+(AL2739&lt;&gt;""))</f>
        <v/>
      </c>
      <c r="AP2739" s="82" t="str">
        <f aca="false">IF(AL2739&lt;&gt;"",AL2739,IF(AG2739&lt;&gt;"",AG2739,IF(AA2739&lt;&gt;"",AA2739,"")))</f>
        <v/>
      </c>
      <c r="AQ2739" s="84" t="str">
        <f aca="false">IF(E2739="","",IF(U2739="","À SOUDER",IF(X2739="","VT EN ATTENTE",IF(X2739="R","VT REJETÉ – À REPRENDRE",IF(AP2739="","À RADIOGRAPHIER",IF(AP2739="A","ACCEPTÉ",IF(AP2739="NX","NX – RT À REFAIRE",IF(IF(AO2739=1,AD2739,IF(AO2739=2,AI2739,""))="A","RÉPARÉ – À RADIOGRAPHIER",IF(IF(AO2739=1,AD2739,IF(AO2739=2,AI2739,""))="R","VT REJETÉ – À REPRENDRE",IF(OR(AP2739="CO",AP2739="NT"),"COUPE – À RESOUDER","À RÉPARER"))))))))))</f>
        <v/>
      </c>
      <c r="AR2739" s="82" t="str">
        <f aca="false">IF(AND(ISNUMBER(U2739),OR(AQ2739="À RADIOGRAPHIER",AQ2739="RÉPARÉ – À RADIOGRAPHIER",AQ2739="NX – RT À REFAIRE",AQ2739="À RÉPARER",AQ2739="COUPE – À RESOUDER",AQ2739="VT REJETÉ – À REPRENDRE")),MAX(0,'PROGRAMME RT'!$C$4-U2739),"")</f>
        <v/>
      </c>
      <c r="AS2739" s="82" t="n">
        <f aca="false">IF(AND(OR(AQ2739="À RADIOGRAPHIER",AQ2739="RÉPARÉ – À RADIOGRAPHIER",AQ2739="NX – RT À REFAIRE"),OR('PROGRAMME RT'!$D$5="TOUTES",B2739='PROGRAMME RT'!$D$5)),1,0)</f>
        <v>0</v>
      </c>
      <c r="AT2739" s="82" t="str">
        <f aca="false">IF(AS2739=1,SUM(AS$7:AS2739),"")</f>
        <v/>
      </c>
      <c r="AU2739" s="82" t="n">
        <f aca="false">IF(AND(OR(AA2739="R",AA2739="NX",AA2739="NT",AA2739="CO"),OR('JOINTS DE RÉPARATION'!$D$5="TOUTES",B2739='JOINTS DE RÉPARATION'!$D$5),OR('JOINTS DE RÉPARATION'!$L$4="TOUS",AQ2739&lt;&gt;"ACCEPTÉ")),1,0)</f>
        <v>0</v>
      </c>
      <c r="AV2739" s="82" t="str">
        <f aca="false">IF(AU2739=1,SUM(AU$7:AU2739),"")</f>
        <v/>
      </c>
      <c r="AW2739" s="82" t="str">
        <f aca="false">IF(E2739="","",B2739&amp;"|"&amp;E2739)</f>
        <v/>
      </c>
    </row>
    <row r="2740" customFormat="false" ht="15" hidden="false" customHeight="false" outlineLevel="0" collapsed="false">
      <c r="A2740" s="79" t="str">
        <f aca="false">IF(E2740="","",ROW()-6)</f>
        <v/>
      </c>
      <c r="B2740" s="80"/>
      <c r="C2740" s="81"/>
      <c r="D2740" s="81"/>
      <c r="E2740" s="81"/>
      <c r="F2740" s="82" t="str">
        <f aca="false">IF(E2740="","",IF(LEFT(E2740,2)="DJ","DJ","JN"))</f>
        <v/>
      </c>
      <c r="G2740" s="81"/>
      <c r="H2740" s="81"/>
      <c r="I2740" s="81"/>
      <c r="J2740" s="81"/>
      <c r="K2740" s="81"/>
      <c r="L2740" s="81"/>
      <c r="M2740" s="81"/>
      <c r="N2740" s="81"/>
      <c r="O2740" s="81"/>
      <c r="P2740" s="81"/>
      <c r="Q2740" s="81"/>
      <c r="R2740" s="81"/>
      <c r="S2740" s="81"/>
      <c r="T2740" s="81"/>
      <c r="U2740" s="83"/>
      <c r="V2740" s="83"/>
      <c r="W2740" s="81"/>
      <c r="X2740" s="81"/>
      <c r="Y2740" s="83"/>
      <c r="Z2740" s="81"/>
      <c r="AA2740" s="81"/>
      <c r="AB2740" s="81"/>
      <c r="AC2740" s="81"/>
      <c r="AD2740" s="81"/>
      <c r="AE2740" s="83"/>
      <c r="AF2740" s="81"/>
      <c r="AG2740" s="81"/>
      <c r="AH2740" s="81"/>
      <c r="AI2740" s="81"/>
      <c r="AJ2740" s="83"/>
      <c r="AK2740" s="81"/>
      <c r="AL2740" s="81"/>
      <c r="AM2740" s="83"/>
      <c r="AN2740" s="80"/>
      <c r="AO2740" s="82" t="str">
        <f aca="false">IF(E2740="","",(AA2740&lt;&gt;"")+(AG2740&lt;&gt;"")+(AL2740&lt;&gt;""))</f>
        <v/>
      </c>
      <c r="AP2740" s="82" t="str">
        <f aca="false">IF(AL2740&lt;&gt;"",AL2740,IF(AG2740&lt;&gt;"",AG2740,IF(AA2740&lt;&gt;"",AA2740,"")))</f>
        <v/>
      </c>
      <c r="AQ2740" s="84" t="str">
        <f aca="false">IF(E2740="","",IF(U2740="","À SOUDER",IF(X2740="","VT EN ATTENTE",IF(X2740="R","VT REJETÉ – À REPRENDRE",IF(AP2740="","À RADIOGRAPHIER",IF(AP2740="A","ACCEPTÉ",IF(AP2740="NX","NX – RT À REFAIRE",IF(IF(AO2740=1,AD2740,IF(AO2740=2,AI2740,""))="A","RÉPARÉ – À RADIOGRAPHIER",IF(IF(AO2740=1,AD2740,IF(AO2740=2,AI2740,""))="R","VT REJETÉ – À REPRENDRE",IF(OR(AP2740="CO",AP2740="NT"),"COUPE – À RESOUDER","À RÉPARER"))))))))))</f>
        <v/>
      </c>
      <c r="AR2740" s="82" t="str">
        <f aca="false">IF(AND(ISNUMBER(U2740),OR(AQ2740="À RADIOGRAPHIER",AQ2740="RÉPARÉ – À RADIOGRAPHIER",AQ2740="NX – RT À REFAIRE",AQ2740="À RÉPARER",AQ2740="COUPE – À RESOUDER",AQ2740="VT REJETÉ – À REPRENDRE")),MAX(0,'PROGRAMME RT'!$C$4-U2740),"")</f>
        <v/>
      </c>
      <c r="AS2740" s="82" t="n">
        <f aca="false">IF(AND(OR(AQ2740="À RADIOGRAPHIER",AQ2740="RÉPARÉ – À RADIOGRAPHIER",AQ2740="NX – RT À REFAIRE"),OR('PROGRAMME RT'!$D$5="TOUTES",B2740='PROGRAMME RT'!$D$5)),1,0)</f>
        <v>0</v>
      </c>
      <c r="AT2740" s="82" t="str">
        <f aca="false">IF(AS2740=1,SUM(AS$7:AS2740),"")</f>
        <v/>
      </c>
      <c r="AU2740" s="82" t="n">
        <f aca="false">IF(AND(OR(AA2740="R",AA2740="NX",AA2740="NT",AA2740="CO"),OR('JOINTS DE RÉPARATION'!$D$5="TOUTES",B2740='JOINTS DE RÉPARATION'!$D$5),OR('JOINTS DE RÉPARATION'!$L$4="TOUS",AQ2740&lt;&gt;"ACCEPTÉ")),1,0)</f>
        <v>0</v>
      </c>
      <c r="AV2740" s="82" t="str">
        <f aca="false">IF(AU2740=1,SUM(AU$7:AU2740),"")</f>
        <v/>
      </c>
      <c r="AW2740" s="82" t="str">
        <f aca="false">IF(E2740="","",B2740&amp;"|"&amp;E2740)</f>
        <v/>
      </c>
    </row>
    <row r="2741" customFormat="false" ht="15" hidden="false" customHeight="false" outlineLevel="0" collapsed="false">
      <c r="A2741" s="79" t="str">
        <f aca="false">IF(E2741="","",ROW()-6)</f>
        <v/>
      </c>
      <c r="B2741" s="80"/>
      <c r="C2741" s="81"/>
      <c r="D2741" s="81"/>
      <c r="E2741" s="81"/>
      <c r="F2741" s="82" t="str">
        <f aca="false">IF(E2741="","",IF(LEFT(E2741,2)="DJ","DJ","JN"))</f>
        <v/>
      </c>
      <c r="G2741" s="81"/>
      <c r="H2741" s="81"/>
      <c r="I2741" s="81"/>
      <c r="J2741" s="81"/>
      <c r="K2741" s="81"/>
      <c r="L2741" s="81"/>
      <c r="M2741" s="81"/>
      <c r="N2741" s="81"/>
      <c r="O2741" s="81"/>
      <c r="P2741" s="81"/>
      <c r="Q2741" s="81"/>
      <c r="R2741" s="81"/>
      <c r="S2741" s="81"/>
      <c r="T2741" s="81"/>
      <c r="U2741" s="83"/>
      <c r="V2741" s="83"/>
      <c r="W2741" s="81"/>
      <c r="X2741" s="81"/>
      <c r="Y2741" s="83"/>
      <c r="Z2741" s="81"/>
      <c r="AA2741" s="81"/>
      <c r="AB2741" s="81"/>
      <c r="AC2741" s="81"/>
      <c r="AD2741" s="81"/>
      <c r="AE2741" s="83"/>
      <c r="AF2741" s="81"/>
      <c r="AG2741" s="81"/>
      <c r="AH2741" s="81"/>
      <c r="AI2741" s="81"/>
      <c r="AJ2741" s="83"/>
      <c r="AK2741" s="81"/>
      <c r="AL2741" s="81"/>
      <c r="AM2741" s="83"/>
      <c r="AN2741" s="80"/>
      <c r="AO2741" s="82" t="str">
        <f aca="false">IF(E2741="","",(AA2741&lt;&gt;"")+(AG2741&lt;&gt;"")+(AL2741&lt;&gt;""))</f>
        <v/>
      </c>
      <c r="AP2741" s="82" t="str">
        <f aca="false">IF(AL2741&lt;&gt;"",AL2741,IF(AG2741&lt;&gt;"",AG2741,IF(AA2741&lt;&gt;"",AA2741,"")))</f>
        <v/>
      </c>
      <c r="AQ2741" s="84" t="str">
        <f aca="false">IF(E2741="","",IF(U2741="","À SOUDER",IF(X2741="","VT EN ATTENTE",IF(X2741="R","VT REJETÉ – À REPRENDRE",IF(AP2741="","À RADIOGRAPHIER",IF(AP2741="A","ACCEPTÉ",IF(AP2741="NX","NX – RT À REFAIRE",IF(IF(AO2741=1,AD2741,IF(AO2741=2,AI2741,""))="A","RÉPARÉ – À RADIOGRAPHIER",IF(IF(AO2741=1,AD2741,IF(AO2741=2,AI2741,""))="R","VT REJETÉ – À REPRENDRE",IF(OR(AP2741="CO",AP2741="NT"),"COUPE – À RESOUDER","À RÉPARER"))))))))))</f>
        <v/>
      </c>
      <c r="AR2741" s="82" t="str">
        <f aca="false">IF(AND(ISNUMBER(U2741),OR(AQ2741="À RADIOGRAPHIER",AQ2741="RÉPARÉ – À RADIOGRAPHIER",AQ2741="NX – RT À REFAIRE",AQ2741="À RÉPARER",AQ2741="COUPE – À RESOUDER",AQ2741="VT REJETÉ – À REPRENDRE")),MAX(0,'PROGRAMME RT'!$C$4-U2741),"")</f>
        <v/>
      </c>
      <c r="AS2741" s="82" t="n">
        <f aca="false">IF(AND(OR(AQ2741="À RADIOGRAPHIER",AQ2741="RÉPARÉ – À RADIOGRAPHIER",AQ2741="NX – RT À REFAIRE"),OR('PROGRAMME RT'!$D$5="TOUTES",B2741='PROGRAMME RT'!$D$5)),1,0)</f>
        <v>0</v>
      </c>
      <c r="AT2741" s="82" t="str">
        <f aca="false">IF(AS2741=1,SUM(AS$7:AS2741),"")</f>
        <v/>
      </c>
      <c r="AU2741" s="82" t="n">
        <f aca="false">IF(AND(OR(AA2741="R",AA2741="NX",AA2741="NT",AA2741="CO"),OR('JOINTS DE RÉPARATION'!$D$5="TOUTES",B2741='JOINTS DE RÉPARATION'!$D$5),OR('JOINTS DE RÉPARATION'!$L$4="TOUS",AQ2741&lt;&gt;"ACCEPTÉ")),1,0)</f>
        <v>0</v>
      </c>
      <c r="AV2741" s="82" t="str">
        <f aca="false">IF(AU2741=1,SUM(AU$7:AU2741),"")</f>
        <v/>
      </c>
      <c r="AW2741" s="82" t="str">
        <f aca="false">IF(E2741="","",B2741&amp;"|"&amp;E2741)</f>
        <v/>
      </c>
    </row>
    <row r="2742" customFormat="false" ht="15" hidden="false" customHeight="false" outlineLevel="0" collapsed="false">
      <c r="A2742" s="79" t="str">
        <f aca="false">IF(E2742="","",ROW()-6)</f>
        <v/>
      </c>
      <c r="B2742" s="80"/>
      <c r="C2742" s="81"/>
      <c r="D2742" s="81"/>
      <c r="E2742" s="81"/>
      <c r="F2742" s="82" t="str">
        <f aca="false">IF(E2742="","",IF(LEFT(E2742,2)="DJ","DJ","JN"))</f>
        <v/>
      </c>
      <c r="G2742" s="81"/>
      <c r="H2742" s="81"/>
      <c r="I2742" s="81"/>
      <c r="J2742" s="81"/>
      <c r="K2742" s="81"/>
      <c r="L2742" s="81"/>
      <c r="M2742" s="81"/>
      <c r="N2742" s="81"/>
      <c r="O2742" s="81"/>
      <c r="P2742" s="81"/>
      <c r="Q2742" s="81"/>
      <c r="R2742" s="81"/>
      <c r="S2742" s="81"/>
      <c r="T2742" s="81"/>
      <c r="U2742" s="83"/>
      <c r="V2742" s="83"/>
      <c r="W2742" s="81"/>
      <c r="X2742" s="81"/>
      <c r="Y2742" s="83"/>
      <c r="Z2742" s="81"/>
      <c r="AA2742" s="81"/>
      <c r="AB2742" s="81"/>
      <c r="AC2742" s="81"/>
      <c r="AD2742" s="81"/>
      <c r="AE2742" s="83"/>
      <c r="AF2742" s="81"/>
      <c r="AG2742" s="81"/>
      <c r="AH2742" s="81"/>
      <c r="AI2742" s="81"/>
      <c r="AJ2742" s="83"/>
      <c r="AK2742" s="81"/>
      <c r="AL2742" s="81"/>
      <c r="AM2742" s="83"/>
      <c r="AN2742" s="80"/>
      <c r="AO2742" s="82" t="str">
        <f aca="false">IF(E2742="","",(AA2742&lt;&gt;"")+(AG2742&lt;&gt;"")+(AL2742&lt;&gt;""))</f>
        <v/>
      </c>
      <c r="AP2742" s="82" t="str">
        <f aca="false">IF(AL2742&lt;&gt;"",AL2742,IF(AG2742&lt;&gt;"",AG2742,IF(AA2742&lt;&gt;"",AA2742,"")))</f>
        <v/>
      </c>
      <c r="AQ2742" s="84" t="str">
        <f aca="false">IF(E2742="","",IF(U2742="","À SOUDER",IF(X2742="","VT EN ATTENTE",IF(X2742="R","VT REJETÉ – À REPRENDRE",IF(AP2742="","À RADIOGRAPHIER",IF(AP2742="A","ACCEPTÉ",IF(AP2742="NX","NX – RT À REFAIRE",IF(IF(AO2742=1,AD2742,IF(AO2742=2,AI2742,""))="A","RÉPARÉ – À RADIOGRAPHIER",IF(IF(AO2742=1,AD2742,IF(AO2742=2,AI2742,""))="R","VT REJETÉ – À REPRENDRE",IF(OR(AP2742="CO",AP2742="NT"),"COUPE – À RESOUDER","À RÉPARER"))))))))))</f>
        <v/>
      </c>
      <c r="AR2742" s="82" t="str">
        <f aca="false">IF(AND(ISNUMBER(U2742),OR(AQ2742="À RADIOGRAPHIER",AQ2742="RÉPARÉ – À RADIOGRAPHIER",AQ2742="NX – RT À REFAIRE",AQ2742="À RÉPARER",AQ2742="COUPE – À RESOUDER",AQ2742="VT REJETÉ – À REPRENDRE")),MAX(0,'PROGRAMME RT'!$C$4-U2742),"")</f>
        <v/>
      </c>
      <c r="AS2742" s="82" t="n">
        <f aca="false">IF(AND(OR(AQ2742="À RADIOGRAPHIER",AQ2742="RÉPARÉ – À RADIOGRAPHIER",AQ2742="NX – RT À REFAIRE"),OR('PROGRAMME RT'!$D$5="TOUTES",B2742='PROGRAMME RT'!$D$5)),1,0)</f>
        <v>0</v>
      </c>
      <c r="AT2742" s="82" t="str">
        <f aca="false">IF(AS2742=1,SUM(AS$7:AS2742),"")</f>
        <v/>
      </c>
      <c r="AU2742" s="82" t="n">
        <f aca="false">IF(AND(OR(AA2742="R",AA2742="NX",AA2742="NT",AA2742="CO"),OR('JOINTS DE RÉPARATION'!$D$5="TOUTES",B2742='JOINTS DE RÉPARATION'!$D$5),OR('JOINTS DE RÉPARATION'!$L$4="TOUS",AQ2742&lt;&gt;"ACCEPTÉ")),1,0)</f>
        <v>0</v>
      </c>
      <c r="AV2742" s="82" t="str">
        <f aca="false">IF(AU2742=1,SUM(AU$7:AU2742),"")</f>
        <v/>
      </c>
      <c r="AW2742" s="82" t="str">
        <f aca="false">IF(E2742="","",B2742&amp;"|"&amp;E2742)</f>
        <v/>
      </c>
    </row>
    <row r="2743" customFormat="false" ht="15" hidden="false" customHeight="false" outlineLevel="0" collapsed="false">
      <c r="A2743" s="79" t="str">
        <f aca="false">IF(E2743="","",ROW()-6)</f>
        <v/>
      </c>
      <c r="B2743" s="80"/>
      <c r="C2743" s="81"/>
      <c r="D2743" s="81"/>
      <c r="E2743" s="81"/>
      <c r="F2743" s="82" t="str">
        <f aca="false">IF(E2743="","",IF(LEFT(E2743,2)="DJ","DJ","JN"))</f>
        <v/>
      </c>
      <c r="G2743" s="81"/>
      <c r="H2743" s="81"/>
      <c r="I2743" s="81"/>
      <c r="J2743" s="81"/>
      <c r="K2743" s="81"/>
      <c r="L2743" s="81"/>
      <c r="M2743" s="81"/>
      <c r="N2743" s="81"/>
      <c r="O2743" s="81"/>
      <c r="P2743" s="81"/>
      <c r="Q2743" s="81"/>
      <c r="R2743" s="81"/>
      <c r="S2743" s="81"/>
      <c r="T2743" s="81"/>
      <c r="U2743" s="83"/>
      <c r="V2743" s="83"/>
      <c r="W2743" s="81"/>
      <c r="X2743" s="81"/>
      <c r="Y2743" s="83"/>
      <c r="Z2743" s="81"/>
      <c r="AA2743" s="81"/>
      <c r="AB2743" s="81"/>
      <c r="AC2743" s="81"/>
      <c r="AD2743" s="81"/>
      <c r="AE2743" s="83"/>
      <c r="AF2743" s="81"/>
      <c r="AG2743" s="81"/>
      <c r="AH2743" s="81"/>
      <c r="AI2743" s="81"/>
      <c r="AJ2743" s="83"/>
      <c r="AK2743" s="81"/>
      <c r="AL2743" s="81"/>
      <c r="AM2743" s="83"/>
      <c r="AN2743" s="80"/>
      <c r="AO2743" s="82" t="str">
        <f aca="false">IF(E2743="","",(AA2743&lt;&gt;"")+(AG2743&lt;&gt;"")+(AL2743&lt;&gt;""))</f>
        <v/>
      </c>
      <c r="AP2743" s="82" t="str">
        <f aca="false">IF(AL2743&lt;&gt;"",AL2743,IF(AG2743&lt;&gt;"",AG2743,IF(AA2743&lt;&gt;"",AA2743,"")))</f>
        <v/>
      </c>
      <c r="AQ2743" s="84" t="str">
        <f aca="false">IF(E2743="","",IF(U2743="","À SOUDER",IF(X2743="","VT EN ATTENTE",IF(X2743="R","VT REJETÉ – À REPRENDRE",IF(AP2743="","À RADIOGRAPHIER",IF(AP2743="A","ACCEPTÉ",IF(AP2743="NX","NX – RT À REFAIRE",IF(IF(AO2743=1,AD2743,IF(AO2743=2,AI2743,""))="A","RÉPARÉ – À RADIOGRAPHIER",IF(IF(AO2743=1,AD2743,IF(AO2743=2,AI2743,""))="R","VT REJETÉ – À REPRENDRE",IF(OR(AP2743="CO",AP2743="NT"),"COUPE – À RESOUDER","À RÉPARER"))))))))))</f>
        <v/>
      </c>
      <c r="AR2743" s="82" t="str">
        <f aca="false">IF(AND(ISNUMBER(U2743),OR(AQ2743="À RADIOGRAPHIER",AQ2743="RÉPARÉ – À RADIOGRAPHIER",AQ2743="NX – RT À REFAIRE",AQ2743="À RÉPARER",AQ2743="COUPE – À RESOUDER",AQ2743="VT REJETÉ – À REPRENDRE")),MAX(0,'PROGRAMME RT'!$C$4-U2743),"")</f>
        <v/>
      </c>
      <c r="AS2743" s="82" t="n">
        <f aca="false">IF(AND(OR(AQ2743="À RADIOGRAPHIER",AQ2743="RÉPARÉ – À RADIOGRAPHIER",AQ2743="NX – RT À REFAIRE"),OR('PROGRAMME RT'!$D$5="TOUTES",B2743='PROGRAMME RT'!$D$5)),1,0)</f>
        <v>0</v>
      </c>
      <c r="AT2743" s="82" t="str">
        <f aca="false">IF(AS2743=1,SUM(AS$7:AS2743),"")</f>
        <v/>
      </c>
      <c r="AU2743" s="82" t="n">
        <f aca="false">IF(AND(OR(AA2743="R",AA2743="NX",AA2743="NT",AA2743="CO"),OR('JOINTS DE RÉPARATION'!$D$5="TOUTES",B2743='JOINTS DE RÉPARATION'!$D$5),OR('JOINTS DE RÉPARATION'!$L$4="TOUS",AQ2743&lt;&gt;"ACCEPTÉ")),1,0)</f>
        <v>0</v>
      </c>
      <c r="AV2743" s="82" t="str">
        <f aca="false">IF(AU2743=1,SUM(AU$7:AU2743),"")</f>
        <v/>
      </c>
      <c r="AW2743" s="82" t="str">
        <f aca="false">IF(E2743="","",B2743&amp;"|"&amp;E2743)</f>
        <v/>
      </c>
    </row>
    <row r="2744" customFormat="false" ht="15" hidden="false" customHeight="false" outlineLevel="0" collapsed="false">
      <c r="A2744" s="79" t="str">
        <f aca="false">IF(E2744="","",ROW()-6)</f>
        <v/>
      </c>
      <c r="B2744" s="80"/>
      <c r="C2744" s="81"/>
      <c r="D2744" s="81"/>
      <c r="E2744" s="81"/>
      <c r="F2744" s="82" t="str">
        <f aca="false">IF(E2744="","",IF(LEFT(E2744,2)="DJ","DJ","JN"))</f>
        <v/>
      </c>
      <c r="G2744" s="81"/>
      <c r="H2744" s="81"/>
      <c r="I2744" s="81"/>
      <c r="J2744" s="81"/>
      <c r="K2744" s="81"/>
      <c r="L2744" s="81"/>
      <c r="M2744" s="81"/>
      <c r="N2744" s="81"/>
      <c r="O2744" s="81"/>
      <c r="P2744" s="81"/>
      <c r="Q2744" s="81"/>
      <c r="R2744" s="81"/>
      <c r="S2744" s="81"/>
      <c r="T2744" s="81"/>
      <c r="U2744" s="83"/>
      <c r="V2744" s="83"/>
      <c r="W2744" s="81"/>
      <c r="X2744" s="81"/>
      <c r="Y2744" s="83"/>
      <c r="Z2744" s="81"/>
      <c r="AA2744" s="81"/>
      <c r="AB2744" s="81"/>
      <c r="AC2744" s="81"/>
      <c r="AD2744" s="81"/>
      <c r="AE2744" s="83"/>
      <c r="AF2744" s="81"/>
      <c r="AG2744" s="81"/>
      <c r="AH2744" s="81"/>
      <c r="AI2744" s="81"/>
      <c r="AJ2744" s="83"/>
      <c r="AK2744" s="81"/>
      <c r="AL2744" s="81"/>
      <c r="AM2744" s="83"/>
      <c r="AN2744" s="80"/>
      <c r="AO2744" s="82" t="str">
        <f aca="false">IF(E2744="","",(AA2744&lt;&gt;"")+(AG2744&lt;&gt;"")+(AL2744&lt;&gt;""))</f>
        <v/>
      </c>
      <c r="AP2744" s="82" t="str">
        <f aca="false">IF(AL2744&lt;&gt;"",AL2744,IF(AG2744&lt;&gt;"",AG2744,IF(AA2744&lt;&gt;"",AA2744,"")))</f>
        <v/>
      </c>
      <c r="AQ2744" s="84" t="str">
        <f aca="false">IF(E2744="","",IF(U2744="","À SOUDER",IF(X2744="","VT EN ATTENTE",IF(X2744="R","VT REJETÉ – À REPRENDRE",IF(AP2744="","À RADIOGRAPHIER",IF(AP2744="A","ACCEPTÉ",IF(AP2744="NX","NX – RT À REFAIRE",IF(IF(AO2744=1,AD2744,IF(AO2744=2,AI2744,""))="A","RÉPARÉ – À RADIOGRAPHIER",IF(IF(AO2744=1,AD2744,IF(AO2744=2,AI2744,""))="R","VT REJETÉ – À REPRENDRE",IF(OR(AP2744="CO",AP2744="NT"),"COUPE – À RESOUDER","À RÉPARER"))))))))))</f>
        <v/>
      </c>
      <c r="AR2744" s="82" t="str">
        <f aca="false">IF(AND(ISNUMBER(U2744),OR(AQ2744="À RADIOGRAPHIER",AQ2744="RÉPARÉ – À RADIOGRAPHIER",AQ2744="NX – RT À REFAIRE",AQ2744="À RÉPARER",AQ2744="COUPE – À RESOUDER",AQ2744="VT REJETÉ – À REPRENDRE")),MAX(0,'PROGRAMME RT'!$C$4-U2744),"")</f>
        <v/>
      </c>
      <c r="AS2744" s="82" t="n">
        <f aca="false">IF(AND(OR(AQ2744="À RADIOGRAPHIER",AQ2744="RÉPARÉ – À RADIOGRAPHIER",AQ2744="NX – RT À REFAIRE"),OR('PROGRAMME RT'!$D$5="TOUTES",B2744='PROGRAMME RT'!$D$5)),1,0)</f>
        <v>0</v>
      </c>
      <c r="AT2744" s="82" t="str">
        <f aca="false">IF(AS2744=1,SUM(AS$7:AS2744),"")</f>
        <v/>
      </c>
      <c r="AU2744" s="82" t="n">
        <f aca="false">IF(AND(OR(AA2744="R",AA2744="NX",AA2744="NT",AA2744="CO"),OR('JOINTS DE RÉPARATION'!$D$5="TOUTES",B2744='JOINTS DE RÉPARATION'!$D$5),OR('JOINTS DE RÉPARATION'!$L$4="TOUS",AQ2744&lt;&gt;"ACCEPTÉ")),1,0)</f>
        <v>0</v>
      </c>
      <c r="AV2744" s="82" t="str">
        <f aca="false">IF(AU2744=1,SUM(AU$7:AU2744),"")</f>
        <v/>
      </c>
      <c r="AW2744" s="82" t="str">
        <f aca="false">IF(E2744="","",B2744&amp;"|"&amp;E2744)</f>
        <v/>
      </c>
    </row>
    <row r="2745" customFormat="false" ht="15" hidden="false" customHeight="false" outlineLevel="0" collapsed="false">
      <c r="A2745" s="79" t="str">
        <f aca="false">IF(E2745="","",ROW()-6)</f>
        <v/>
      </c>
      <c r="B2745" s="80"/>
      <c r="C2745" s="81"/>
      <c r="D2745" s="81"/>
      <c r="E2745" s="81"/>
      <c r="F2745" s="82" t="str">
        <f aca="false">IF(E2745="","",IF(LEFT(E2745,2)="DJ","DJ","JN"))</f>
        <v/>
      </c>
      <c r="G2745" s="81"/>
      <c r="H2745" s="81"/>
      <c r="I2745" s="81"/>
      <c r="J2745" s="81"/>
      <c r="K2745" s="81"/>
      <c r="L2745" s="81"/>
      <c r="M2745" s="81"/>
      <c r="N2745" s="81"/>
      <c r="O2745" s="81"/>
      <c r="P2745" s="81"/>
      <c r="Q2745" s="81"/>
      <c r="R2745" s="81"/>
      <c r="S2745" s="81"/>
      <c r="T2745" s="81"/>
      <c r="U2745" s="83"/>
      <c r="V2745" s="83"/>
      <c r="W2745" s="81"/>
      <c r="X2745" s="81"/>
      <c r="Y2745" s="83"/>
      <c r="Z2745" s="81"/>
      <c r="AA2745" s="81"/>
      <c r="AB2745" s="81"/>
      <c r="AC2745" s="81"/>
      <c r="AD2745" s="81"/>
      <c r="AE2745" s="83"/>
      <c r="AF2745" s="81"/>
      <c r="AG2745" s="81"/>
      <c r="AH2745" s="81"/>
      <c r="AI2745" s="81"/>
      <c r="AJ2745" s="83"/>
      <c r="AK2745" s="81"/>
      <c r="AL2745" s="81"/>
      <c r="AM2745" s="83"/>
      <c r="AN2745" s="80"/>
      <c r="AO2745" s="82" t="str">
        <f aca="false">IF(E2745="","",(AA2745&lt;&gt;"")+(AG2745&lt;&gt;"")+(AL2745&lt;&gt;""))</f>
        <v/>
      </c>
      <c r="AP2745" s="82" t="str">
        <f aca="false">IF(AL2745&lt;&gt;"",AL2745,IF(AG2745&lt;&gt;"",AG2745,IF(AA2745&lt;&gt;"",AA2745,"")))</f>
        <v/>
      </c>
      <c r="AQ2745" s="84" t="str">
        <f aca="false">IF(E2745="","",IF(U2745="","À SOUDER",IF(X2745="","VT EN ATTENTE",IF(X2745="R","VT REJETÉ – À REPRENDRE",IF(AP2745="","À RADIOGRAPHIER",IF(AP2745="A","ACCEPTÉ",IF(AP2745="NX","NX – RT À REFAIRE",IF(IF(AO2745=1,AD2745,IF(AO2745=2,AI2745,""))="A","RÉPARÉ – À RADIOGRAPHIER",IF(IF(AO2745=1,AD2745,IF(AO2745=2,AI2745,""))="R","VT REJETÉ – À REPRENDRE",IF(OR(AP2745="CO",AP2745="NT"),"COUPE – À RESOUDER","À RÉPARER"))))))))))</f>
        <v/>
      </c>
      <c r="AR2745" s="82" t="str">
        <f aca="false">IF(AND(ISNUMBER(U2745),OR(AQ2745="À RADIOGRAPHIER",AQ2745="RÉPARÉ – À RADIOGRAPHIER",AQ2745="NX – RT À REFAIRE",AQ2745="À RÉPARER",AQ2745="COUPE – À RESOUDER",AQ2745="VT REJETÉ – À REPRENDRE")),MAX(0,'PROGRAMME RT'!$C$4-U2745),"")</f>
        <v/>
      </c>
      <c r="AS2745" s="82" t="n">
        <f aca="false">IF(AND(OR(AQ2745="À RADIOGRAPHIER",AQ2745="RÉPARÉ – À RADIOGRAPHIER",AQ2745="NX – RT À REFAIRE"),OR('PROGRAMME RT'!$D$5="TOUTES",B2745='PROGRAMME RT'!$D$5)),1,0)</f>
        <v>0</v>
      </c>
      <c r="AT2745" s="82" t="str">
        <f aca="false">IF(AS2745=1,SUM(AS$7:AS2745),"")</f>
        <v/>
      </c>
      <c r="AU2745" s="82" t="n">
        <f aca="false">IF(AND(OR(AA2745="R",AA2745="NX",AA2745="NT",AA2745="CO"),OR('JOINTS DE RÉPARATION'!$D$5="TOUTES",B2745='JOINTS DE RÉPARATION'!$D$5),OR('JOINTS DE RÉPARATION'!$L$4="TOUS",AQ2745&lt;&gt;"ACCEPTÉ")),1,0)</f>
        <v>0</v>
      </c>
      <c r="AV2745" s="82" t="str">
        <f aca="false">IF(AU2745=1,SUM(AU$7:AU2745),"")</f>
        <v/>
      </c>
      <c r="AW2745" s="82" t="str">
        <f aca="false">IF(E2745="","",B2745&amp;"|"&amp;E2745)</f>
        <v/>
      </c>
    </row>
    <row r="2746" customFormat="false" ht="15" hidden="false" customHeight="false" outlineLevel="0" collapsed="false">
      <c r="A2746" s="79" t="str">
        <f aca="false">IF(E2746="","",ROW()-6)</f>
        <v/>
      </c>
      <c r="B2746" s="80"/>
      <c r="C2746" s="81"/>
      <c r="D2746" s="81"/>
      <c r="E2746" s="81"/>
      <c r="F2746" s="82" t="str">
        <f aca="false">IF(E2746="","",IF(LEFT(E2746,2)="DJ","DJ","JN"))</f>
        <v/>
      </c>
      <c r="G2746" s="81"/>
      <c r="H2746" s="81"/>
      <c r="I2746" s="81"/>
      <c r="J2746" s="81"/>
      <c r="K2746" s="81"/>
      <c r="L2746" s="81"/>
      <c r="M2746" s="81"/>
      <c r="N2746" s="81"/>
      <c r="O2746" s="81"/>
      <c r="P2746" s="81"/>
      <c r="Q2746" s="81"/>
      <c r="R2746" s="81"/>
      <c r="S2746" s="81"/>
      <c r="T2746" s="81"/>
      <c r="U2746" s="83"/>
      <c r="V2746" s="83"/>
      <c r="W2746" s="81"/>
      <c r="X2746" s="81"/>
      <c r="Y2746" s="83"/>
      <c r="Z2746" s="81"/>
      <c r="AA2746" s="81"/>
      <c r="AB2746" s="81"/>
      <c r="AC2746" s="81"/>
      <c r="AD2746" s="81"/>
      <c r="AE2746" s="83"/>
      <c r="AF2746" s="81"/>
      <c r="AG2746" s="81"/>
      <c r="AH2746" s="81"/>
      <c r="AI2746" s="81"/>
      <c r="AJ2746" s="83"/>
      <c r="AK2746" s="81"/>
      <c r="AL2746" s="81"/>
      <c r="AM2746" s="83"/>
      <c r="AN2746" s="80"/>
      <c r="AO2746" s="82" t="str">
        <f aca="false">IF(E2746="","",(AA2746&lt;&gt;"")+(AG2746&lt;&gt;"")+(AL2746&lt;&gt;""))</f>
        <v/>
      </c>
      <c r="AP2746" s="82" t="str">
        <f aca="false">IF(AL2746&lt;&gt;"",AL2746,IF(AG2746&lt;&gt;"",AG2746,IF(AA2746&lt;&gt;"",AA2746,"")))</f>
        <v/>
      </c>
      <c r="AQ2746" s="84" t="str">
        <f aca="false">IF(E2746="","",IF(U2746="","À SOUDER",IF(X2746="","VT EN ATTENTE",IF(X2746="R","VT REJETÉ – À REPRENDRE",IF(AP2746="","À RADIOGRAPHIER",IF(AP2746="A","ACCEPTÉ",IF(AP2746="NX","NX – RT À REFAIRE",IF(IF(AO2746=1,AD2746,IF(AO2746=2,AI2746,""))="A","RÉPARÉ – À RADIOGRAPHIER",IF(IF(AO2746=1,AD2746,IF(AO2746=2,AI2746,""))="R","VT REJETÉ – À REPRENDRE",IF(OR(AP2746="CO",AP2746="NT"),"COUPE – À RESOUDER","À RÉPARER"))))))))))</f>
        <v/>
      </c>
      <c r="AR2746" s="82" t="str">
        <f aca="false">IF(AND(ISNUMBER(U2746),OR(AQ2746="À RADIOGRAPHIER",AQ2746="RÉPARÉ – À RADIOGRAPHIER",AQ2746="NX – RT À REFAIRE",AQ2746="À RÉPARER",AQ2746="COUPE – À RESOUDER",AQ2746="VT REJETÉ – À REPRENDRE")),MAX(0,'PROGRAMME RT'!$C$4-U2746),"")</f>
        <v/>
      </c>
      <c r="AS2746" s="82" t="n">
        <f aca="false">IF(AND(OR(AQ2746="À RADIOGRAPHIER",AQ2746="RÉPARÉ – À RADIOGRAPHIER",AQ2746="NX – RT À REFAIRE"),OR('PROGRAMME RT'!$D$5="TOUTES",B2746='PROGRAMME RT'!$D$5)),1,0)</f>
        <v>0</v>
      </c>
      <c r="AT2746" s="82" t="str">
        <f aca="false">IF(AS2746=1,SUM(AS$7:AS2746),"")</f>
        <v/>
      </c>
      <c r="AU2746" s="82" t="n">
        <f aca="false">IF(AND(OR(AA2746="R",AA2746="NX",AA2746="NT",AA2746="CO"),OR('JOINTS DE RÉPARATION'!$D$5="TOUTES",B2746='JOINTS DE RÉPARATION'!$D$5),OR('JOINTS DE RÉPARATION'!$L$4="TOUS",AQ2746&lt;&gt;"ACCEPTÉ")),1,0)</f>
        <v>0</v>
      </c>
      <c r="AV2746" s="82" t="str">
        <f aca="false">IF(AU2746=1,SUM(AU$7:AU2746),"")</f>
        <v/>
      </c>
      <c r="AW2746" s="82" t="str">
        <f aca="false">IF(E2746="","",B2746&amp;"|"&amp;E2746)</f>
        <v/>
      </c>
    </row>
    <row r="2747" customFormat="false" ht="15" hidden="false" customHeight="false" outlineLevel="0" collapsed="false">
      <c r="A2747" s="79" t="str">
        <f aca="false">IF(E2747="","",ROW()-6)</f>
        <v/>
      </c>
      <c r="B2747" s="80"/>
      <c r="C2747" s="81"/>
      <c r="D2747" s="81"/>
      <c r="E2747" s="81"/>
      <c r="F2747" s="82" t="str">
        <f aca="false">IF(E2747="","",IF(LEFT(E2747,2)="DJ","DJ","JN"))</f>
        <v/>
      </c>
      <c r="G2747" s="81"/>
      <c r="H2747" s="81"/>
      <c r="I2747" s="81"/>
      <c r="J2747" s="81"/>
      <c r="K2747" s="81"/>
      <c r="L2747" s="81"/>
      <c r="M2747" s="81"/>
      <c r="N2747" s="81"/>
      <c r="O2747" s="81"/>
      <c r="P2747" s="81"/>
      <c r="Q2747" s="81"/>
      <c r="R2747" s="81"/>
      <c r="S2747" s="81"/>
      <c r="T2747" s="81"/>
      <c r="U2747" s="83"/>
      <c r="V2747" s="83"/>
      <c r="W2747" s="81"/>
      <c r="X2747" s="81"/>
      <c r="Y2747" s="83"/>
      <c r="Z2747" s="81"/>
      <c r="AA2747" s="81"/>
      <c r="AB2747" s="81"/>
      <c r="AC2747" s="81"/>
      <c r="AD2747" s="81"/>
      <c r="AE2747" s="83"/>
      <c r="AF2747" s="81"/>
      <c r="AG2747" s="81"/>
      <c r="AH2747" s="81"/>
      <c r="AI2747" s="81"/>
      <c r="AJ2747" s="83"/>
      <c r="AK2747" s="81"/>
      <c r="AL2747" s="81"/>
      <c r="AM2747" s="83"/>
      <c r="AN2747" s="80"/>
      <c r="AO2747" s="82" t="str">
        <f aca="false">IF(E2747="","",(AA2747&lt;&gt;"")+(AG2747&lt;&gt;"")+(AL2747&lt;&gt;""))</f>
        <v/>
      </c>
      <c r="AP2747" s="82" t="str">
        <f aca="false">IF(AL2747&lt;&gt;"",AL2747,IF(AG2747&lt;&gt;"",AG2747,IF(AA2747&lt;&gt;"",AA2747,"")))</f>
        <v/>
      </c>
      <c r="AQ2747" s="84" t="str">
        <f aca="false">IF(E2747="","",IF(U2747="","À SOUDER",IF(X2747="","VT EN ATTENTE",IF(X2747="R","VT REJETÉ – À REPRENDRE",IF(AP2747="","À RADIOGRAPHIER",IF(AP2747="A","ACCEPTÉ",IF(AP2747="NX","NX – RT À REFAIRE",IF(IF(AO2747=1,AD2747,IF(AO2747=2,AI2747,""))="A","RÉPARÉ – À RADIOGRAPHIER",IF(IF(AO2747=1,AD2747,IF(AO2747=2,AI2747,""))="R","VT REJETÉ – À REPRENDRE",IF(OR(AP2747="CO",AP2747="NT"),"COUPE – À RESOUDER","À RÉPARER"))))))))))</f>
        <v/>
      </c>
      <c r="AR2747" s="82" t="str">
        <f aca="false">IF(AND(ISNUMBER(U2747),OR(AQ2747="À RADIOGRAPHIER",AQ2747="RÉPARÉ – À RADIOGRAPHIER",AQ2747="NX – RT À REFAIRE",AQ2747="À RÉPARER",AQ2747="COUPE – À RESOUDER",AQ2747="VT REJETÉ – À REPRENDRE")),MAX(0,'PROGRAMME RT'!$C$4-U2747),"")</f>
        <v/>
      </c>
      <c r="AS2747" s="82" t="n">
        <f aca="false">IF(AND(OR(AQ2747="À RADIOGRAPHIER",AQ2747="RÉPARÉ – À RADIOGRAPHIER",AQ2747="NX – RT À REFAIRE"),OR('PROGRAMME RT'!$D$5="TOUTES",B2747='PROGRAMME RT'!$D$5)),1,0)</f>
        <v>0</v>
      </c>
      <c r="AT2747" s="82" t="str">
        <f aca="false">IF(AS2747=1,SUM(AS$7:AS2747),"")</f>
        <v/>
      </c>
      <c r="AU2747" s="82" t="n">
        <f aca="false">IF(AND(OR(AA2747="R",AA2747="NX",AA2747="NT",AA2747="CO"),OR('JOINTS DE RÉPARATION'!$D$5="TOUTES",B2747='JOINTS DE RÉPARATION'!$D$5),OR('JOINTS DE RÉPARATION'!$L$4="TOUS",AQ2747&lt;&gt;"ACCEPTÉ")),1,0)</f>
        <v>0</v>
      </c>
      <c r="AV2747" s="82" t="str">
        <f aca="false">IF(AU2747=1,SUM(AU$7:AU2747),"")</f>
        <v/>
      </c>
      <c r="AW2747" s="82" t="str">
        <f aca="false">IF(E2747="","",B2747&amp;"|"&amp;E2747)</f>
        <v/>
      </c>
    </row>
    <row r="2748" customFormat="false" ht="15" hidden="false" customHeight="false" outlineLevel="0" collapsed="false">
      <c r="A2748" s="79" t="str">
        <f aca="false">IF(E2748="","",ROW()-6)</f>
        <v/>
      </c>
      <c r="B2748" s="80"/>
      <c r="C2748" s="81"/>
      <c r="D2748" s="81"/>
      <c r="E2748" s="81"/>
      <c r="F2748" s="82" t="str">
        <f aca="false">IF(E2748="","",IF(LEFT(E2748,2)="DJ","DJ","JN"))</f>
        <v/>
      </c>
      <c r="G2748" s="81"/>
      <c r="H2748" s="81"/>
      <c r="I2748" s="81"/>
      <c r="J2748" s="81"/>
      <c r="K2748" s="81"/>
      <c r="L2748" s="81"/>
      <c r="M2748" s="81"/>
      <c r="N2748" s="81"/>
      <c r="O2748" s="81"/>
      <c r="P2748" s="81"/>
      <c r="Q2748" s="81"/>
      <c r="R2748" s="81"/>
      <c r="S2748" s="81"/>
      <c r="T2748" s="81"/>
      <c r="U2748" s="83"/>
      <c r="V2748" s="83"/>
      <c r="W2748" s="81"/>
      <c r="X2748" s="81"/>
      <c r="Y2748" s="83"/>
      <c r="Z2748" s="81"/>
      <c r="AA2748" s="81"/>
      <c r="AB2748" s="81"/>
      <c r="AC2748" s="81"/>
      <c r="AD2748" s="81"/>
      <c r="AE2748" s="83"/>
      <c r="AF2748" s="81"/>
      <c r="AG2748" s="81"/>
      <c r="AH2748" s="81"/>
      <c r="AI2748" s="81"/>
      <c r="AJ2748" s="83"/>
      <c r="AK2748" s="81"/>
      <c r="AL2748" s="81"/>
      <c r="AM2748" s="83"/>
      <c r="AN2748" s="80"/>
      <c r="AO2748" s="82" t="str">
        <f aca="false">IF(E2748="","",(AA2748&lt;&gt;"")+(AG2748&lt;&gt;"")+(AL2748&lt;&gt;""))</f>
        <v/>
      </c>
      <c r="AP2748" s="82" t="str">
        <f aca="false">IF(AL2748&lt;&gt;"",AL2748,IF(AG2748&lt;&gt;"",AG2748,IF(AA2748&lt;&gt;"",AA2748,"")))</f>
        <v/>
      </c>
      <c r="AQ2748" s="84" t="str">
        <f aca="false">IF(E2748="","",IF(U2748="","À SOUDER",IF(X2748="","VT EN ATTENTE",IF(X2748="R","VT REJETÉ – À REPRENDRE",IF(AP2748="","À RADIOGRAPHIER",IF(AP2748="A","ACCEPTÉ",IF(AP2748="NX","NX – RT À REFAIRE",IF(IF(AO2748=1,AD2748,IF(AO2748=2,AI2748,""))="A","RÉPARÉ – À RADIOGRAPHIER",IF(IF(AO2748=1,AD2748,IF(AO2748=2,AI2748,""))="R","VT REJETÉ – À REPRENDRE",IF(OR(AP2748="CO",AP2748="NT"),"COUPE – À RESOUDER","À RÉPARER"))))))))))</f>
        <v/>
      </c>
      <c r="AR2748" s="82" t="str">
        <f aca="false">IF(AND(ISNUMBER(U2748),OR(AQ2748="À RADIOGRAPHIER",AQ2748="RÉPARÉ – À RADIOGRAPHIER",AQ2748="NX – RT À REFAIRE",AQ2748="À RÉPARER",AQ2748="COUPE – À RESOUDER",AQ2748="VT REJETÉ – À REPRENDRE")),MAX(0,'PROGRAMME RT'!$C$4-U2748),"")</f>
        <v/>
      </c>
      <c r="AS2748" s="82" t="n">
        <f aca="false">IF(AND(OR(AQ2748="À RADIOGRAPHIER",AQ2748="RÉPARÉ – À RADIOGRAPHIER",AQ2748="NX – RT À REFAIRE"),OR('PROGRAMME RT'!$D$5="TOUTES",B2748='PROGRAMME RT'!$D$5)),1,0)</f>
        <v>0</v>
      </c>
      <c r="AT2748" s="82" t="str">
        <f aca="false">IF(AS2748=1,SUM(AS$7:AS2748),"")</f>
        <v/>
      </c>
      <c r="AU2748" s="82" t="n">
        <f aca="false">IF(AND(OR(AA2748="R",AA2748="NX",AA2748="NT",AA2748="CO"),OR('JOINTS DE RÉPARATION'!$D$5="TOUTES",B2748='JOINTS DE RÉPARATION'!$D$5),OR('JOINTS DE RÉPARATION'!$L$4="TOUS",AQ2748&lt;&gt;"ACCEPTÉ")),1,0)</f>
        <v>0</v>
      </c>
      <c r="AV2748" s="82" t="str">
        <f aca="false">IF(AU2748=1,SUM(AU$7:AU2748),"")</f>
        <v/>
      </c>
      <c r="AW2748" s="82" t="str">
        <f aca="false">IF(E2748="","",B2748&amp;"|"&amp;E2748)</f>
        <v/>
      </c>
    </row>
    <row r="2749" customFormat="false" ht="15" hidden="false" customHeight="false" outlineLevel="0" collapsed="false">
      <c r="A2749" s="79" t="str">
        <f aca="false">IF(E2749="","",ROW()-6)</f>
        <v/>
      </c>
      <c r="B2749" s="80"/>
      <c r="C2749" s="81"/>
      <c r="D2749" s="81"/>
      <c r="E2749" s="81"/>
      <c r="F2749" s="82" t="str">
        <f aca="false">IF(E2749="","",IF(LEFT(E2749,2)="DJ","DJ","JN"))</f>
        <v/>
      </c>
      <c r="G2749" s="81"/>
      <c r="H2749" s="81"/>
      <c r="I2749" s="81"/>
      <c r="J2749" s="81"/>
      <c r="K2749" s="81"/>
      <c r="L2749" s="81"/>
      <c r="M2749" s="81"/>
      <c r="N2749" s="81"/>
      <c r="O2749" s="81"/>
      <c r="P2749" s="81"/>
      <c r="Q2749" s="81"/>
      <c r="R2749" s="81"/>
      <c r="S2749" s="81"/>
      <c r="T2749" s="81"/>
      <c r="U2749" s="83"/>
      <c r="V2749" s="83"/>
      <c r="W2749" s="81"/>
      <c r="X2749" s="81"/>
      <c r="Y2749" s="83"/>
      <c r="Z2749" s="81"/>
      <c r="AA2749" s="81"/>
      <c r="AB2749" s="81"/>
      <c r="AC2749" s="81"/>
      <c r="AD2749" s="81"/>
      <c r="AE2749" s="83"/>
      <c r="AF2749" s="81"/>
      <c r="AG2749" s="81"/>
      <c r="AH2749" s="81"/>
      <c r="AI2749" s="81"/>
      <c r="AJ2749" s="83"/>
      <c r="AK2749" s="81"/>
      <c r="AL2749" s="81"/>
      <c r="AM2749" s="83"/>
      <c r="AN2749" s="80"/>
      <c r="AO2749" s="82" t="str">
        <f aca="false">IF(E2749="","",(AA2749&lt;&gt;"")+(AG2749&lt;&gt;"")+(AL2749&lt;&gt;""))</f>
        <v/>
      </c>
      <c r="AP2749" s="82" t="str">
        <f aca="false">IF(AL2749&lt;&gt;"",AL2749,IF(AG2749&lt;&gt;"",AG2749,IF(AA2749&lt;&gt;"",AA2749,"")))</f>
        <v/>
      </c>
      <c r="AQ2749" s="84" t="str">
        <f aca="false">IF(E2749="","",IF(U2749="","À SOUDER",IF(X2749="","VT EN ATTENTE",IF(X2749="R","VT REJETÉ – À REPRENDRE",IF(AP2749="","À RADIOGRAPHIER",IF(AP2749="A","ACCEPTÉ",IF(AP2749="NX","NX – RT À REFAIRE",IF(IF(AO2749=1,AD2749,IF(AO2749=2,AI2749,""))="A","RÉPARÉ – À RADIOGRAPHIER",IF(IF(AO2749=1,AD2749,IF(AO2749=2,AI2749,""))="R","VT REJETÉ – À REPRENDRE",IF(OR(AP2749="CO",AP2749="NT"),"COUPE – À RESOUDER","À RÉPARER"))))))))))</f>
        <v/>
      </c>
      <c r="AR2749" s="82" t="str">
        <f aca="false">IF(AND(ISNUMBER(U2749),OR(AQ2749="À RADIOGRAPHIER",AQ2749="RÉPARÉ – À RADIOGRAPHIER",AQ2749="NX – RT À REFAIRE",AQ2749="À RÉPARER",AQ2749="COUPE – À RESOUDER",AQ2749="VT REJETÉ – À REPRENDRE")),MAX(0,'PROGRAMME RT'!$C$4-U2749),"")</f>
        <v/>
      </c>
      <c r="AS2749" s="82" t="n">
        <f aca="false">IF(AND(OR(AQ2749="À RADIOGRAPHIER",AQ2749="RÉPARÉ – À RADIOGRAPHIER",AQ2749="NX – RT À REFAIRE"),OR('PROGRAMME RT'!$D$5="TOUTES",B2749='PROGRAMME RT'!$D$5)),1,0)</f>
        <v>0</v>
      </c>
      <c r="AT2749" s="82" t="str">
        <f aca="false">IF(AS2749=1,SUM(AS$7:AS2749),"")</f>
        <v/>
      </c>
      <c r="AU2749" s="82" t="n">
        <f aca="false">IF(AND(OR(AA2749="R",AA2749="NX",AA2749="NT",AA2749="CO"),OR('JOINTS DE RÉPARATION'!$D$5="TOUTES",B2749='JOINTS DE RÉPARATION'!$D$5),OR('JOINTS DE RÉPARATION'!$L$4="TOUS",AQ2749&lt;&gt;"ACCEPTÉ")),1,0)</f>
        <v>0</v>
      </c>
      <c r="AV2749" s="82" t="str">
        <f aca="false">IF(AU2749=1,SUM(AU$7:AU2749),"")</f>
        <v/>
      </c>
      <c r="AW2749" s="82" t="str">
        <f aca="false">IF(E2749="","",B2749&amp;"|"&amp;E2749)</f>
        <v/>
      </c>
    </row>
    <row r="2750" customFormat="false" ht="15" hidden="false" customHeight="false" outlineLevel="0" collapsed="false">
      <c r="A2750" s="79" t="str">
        <f aca="false">IF(E2750="","",ROW()-6)</f>
        <v/>
      </c>
      <c r="B2750" s="80"/>
      <c r="C2750" s="81"/>
      <c r="D2750" s="81"/>
      <c r="E2750" s="81"/>
      <c r="F2750" s="82" t="str">
        <f aca="false">IF(E2750="","",IF(LEFT(E2750,2)="DJ","DJ","JN"))</f>
        <v/>
      </c>
      <c r="G2750" s="81"/>
      <c r="H2750" s="81"/>
      <c r="I2750" s="81"/>
      <c r="J2750" s="81"/>
      <c r="K2750" s="81"/>
      <c r="L2750" s="81"/>
      <c r="M2750" s="81"/>
      <c r="N2750" s="81"/>
      <c r="O2750" s="81"/>
      <c r="P2750" s="81"/>
      <c r="Q2750" s="81"/>
      <c r="R2750" s="81"/>
      <c r="S2750" s="81"/>
      <c r="T2750" s="81"/>
      <c r="U2750" s="83"/>
      <c r="V2750" s="83"/>
      <c r="W2750" s="81"/>
      <c r="X2750" s="81"/>
      <c r="Y2750" s="83"/>
      <c r="Z2750" s="81"/>
      <c r="AA2750" s="81"/>
      <c r="AB2750" s="81"/>
      <c r="AC2750" s="81"/>
      <c r="AD2750" s="81"/>
      <c r="AE2750" s="83"/>
      <c r="AF2750" s="81"/>
      <c r="AG2750" s="81"/>
      <c r="AH2750" s="81"/>
      <c r="AI2750" s="81"/>
      <c r="AJ2750" s="83"/>
      <c r="AK2750" s="81"/>
      <c r="AL2750" s="81"/>
      <c r="AM2750" s="83"/>
      <c r="AN2750" s="80"/>
      <c r="AO2750" s="82" t="str">
        <f aca="false">IF(E2750="","",(AA2750&lt;&gt;"")+(AG2750&lt;&gt;"")+(AL2750&lt;&gt;""))</f>
        <v/>
      </c>
      <c r="AP2750" s="82" t="str">
        <f aca="false">IF(AL2750&lt;&gt;"",AL2750,IF(AG2750&lt;&gt;"",AG2750,IF(AA2750&lt;&gt;"",AA2750,"")))</f>
        <v/>
      </c>
      <c r="AQ2750" s="84" t="str">
        <f aca="false">IF(E2750="","",IF(U2750="","À SOUDER",IF(X2750="","VT EN ATTENTE",IF(X2750="R","VT REJETÉ – À REPRENDRE",IF(AP2750="","À RADIOGRAPHIER",IF(AP2750="A","ACCEPTÉ",IF(AP2750="NX","NX – RT À REFAIRE",IF(IF(AO2750=1,AD2750,IF(AO2750=2,AI2750,""))="A","RÉPARÉ – À RADIOGRAPHIER",IF(IF(AO2750=1,AD2750,IF(AO2750=2,AI2750,""))="R","VT REJETÉ – À REPRENDRE",IF(OR(AP2750="CO",AP2750="NT"),"COUPE – À RESOUDER","À RÉPARER"))))))))))</f>
        <v/>
      </c>
      <c r="AR2750" s="82" t="str">
        <f aca="false">IF(AND(ISNUMBER(U2750),OR(AQ2750="À RADIOGRAPHIER",AQ2750="RÉPARÉ – À RADIOGRAPHIER",AQ2750="NX – RT À REFAIRE",AQ2750="À RÉPARER",AQ2750="COUPE – À RESOUDER",AQ2750="VT REJETÉ – À REPRENDRE")),MAX(0,'PROGRAMME RT'!$C$4-U2750),"")</f>
        <v/>
      </c>
      <c r="AS2750" s="82" t="n">
        <f aca="false">IF(AND(OR(AQ2750="À RADIOGRAPHIER",AQ2750="RÉPARÉ – À RADIOGRAPHIER",AQ2750="NX – RT À REFAIRE"),OR('PROGRAMME RT'!$D$5="TOUTES",B2750='PROGRAMME RT'!$D$5)),1,0)</f>
        <v>0</v>
      </c>
      <c r="AT2750" s="82" t="str">
        <f aca="false">IF(AS2750=1,SUM(AS$7:AS2750),"")</f>
        <v/>
      </c>
      <c r="AU2750" s="82" t="n">
        <f aca="false">IF(AND(OR(AA2750="R",AA2750="NX",AA2750="NT",AA2750="CO"),OR('JOINTS DE RÉPARATION'!$D$5="TOUTES",B2750='JOINTS DE RÉPARATION'!$D$5),OR('JOINTS DE RÉPARATION'!$L$4="TOUS",AQ2750&lt;&gt;"ACCEPTÉ")),1,0)</f>
        <v>0</v>
      </c>
      <c r="AV2750" s="82" t="str">
        <f aca="false">IF(AU2750=1,SUM(AU$7:AU2750),"")</f>
        <v/>
      </c>
      <c r="AW2750" s="82" t="str">
        <f aca="false">IF(E2750="","",B2750&amp;"|"&amp;E2750)</f>
        <v/>
      </c>
    </row>
    <row r="2751" customFormat="false" ht="15" hidden="false" customHeight="false" outlineLevel="0" collapsed="false">
      <c r="A2751" s="79" t="str">
        <f aca="false">IF(E2751="","",ROW()-6)</f>
        <v/>
      </c>
      <c r="B2751" s="80"/>
      <c r="C2751" s="81"/>
      <c r="D2751" s="81"/>
      <c r="E2751" s="81"/>
      <c r="F2751" s="82" t="str">
        <f aca="false">IF(E2751="","",IF(LEFT(E2751,2)="DJ","DJ","JN"))</f>
        <v/>
      </c>
      <c r="G2751" s="81"/>
      <c r="H2751" s="81"/>
      <c r="I2751" s="81"/>
      <c r="J2751" s="81"/>
      <c r="K2751" s="81"/>
      <c r="L2751" s="81"/>
      <c r="M2751" s="81"/>
      <c r="N2751" s="81"/>
      <c r="O2751" s="81"/>
      <c r="P2751" s="81"/>
      <c r="Q2751" s="81"/>
      <c r="R2751" s="81"/>
      <c r="S2751" s="81"/>
      <c r="T2751" s="81"/>
      <c r="U2751" s="83"/>
      <c r="V2751" s="83"/>
      <c r="W2751" s="81"/>
      <c r="X2751" s="81"/>
      <c r="Y2751" s="83"/>
      <c r="Z2751" s="81"/>
      <c r="AA2751" s="81"/>
      <c r="AB2751" s="81"/>
      <c r="AC2751" s="81"/>
      <c r="AD2751" s="81"/>
      <c r="AE2751" s="83"/>
      <c r="AF2751" s="81"/>
      <c r="AG2751" s="81"/>
      <c r="AH2751" s="81"/>
      <c r="AI2751" s="81"/>
      <c r="AJ2751" s="83"/>
      <c r="AK2751" s="81"/>
      <c r="AL2751" s="81"/>
      <c r="AM2751" s="83"/>
      <c r="AN2751" s="80"/>
      <c r="AO2751" s="82" t="str">
        <f aca="false">IF(E2751="","",(AA2751&lt;&gt;"")+(AG2751&lt;&gt;"")+(AL2751&lt;&gt;""))</f>
        <v/>
      </c>
      <c r="AP2751" s="82" t="str">
        <f aca="false">IF(AL2751&lt;&gt;"",AL2751,IF(AG2751&lt;&gt;"",AG2751,IF(AA2751&lt;&gt;"",AA2751,"")))</f>
        <v/>
      </c>
      <c r="AQ2751" s="84" t="str">
        <f aca="false">IF(E2751="","",IF(U2751="","À SOUDER",IF(X2751="","VT EN ATTENTE",IF(X2751="R","VT REJETÉ – À REPRENDRE",IF(AP2751="","À RADIOGRAPHIER",IF(AP2751="A","ACCEPTÉ",IF(AP2751="NX","NX – RT À REFAIRE",IF(IF(AO2751=1,AD2751,IF(AO2751=2,AI2751,""))="A","RÉPARÉ – À RADIOGRAPHIER",IF(IF(AO2751=1,AD2751,IF(AO2751=2,AI2751,""))="R","VT REJETÉ – À REPRENDRE",IF(OR(AP2751="CO",AP2751="NT"),"COUPE – À RESOUDER","À RÉPARER"))))))))))</f>
        <v/>
      </c>
      <c r="AR2751" s="82" t="str">
        <f aca="false">IF(AND(ISNUMBER(U2751),OR(AQ2751="À RADIOGRAPHIER",AQ2751="RÉPARÉ – À RADIOGRAPHIER",AQ2751="NX – RT À REFAIRE",AQ2751="À RÉPARER",AQ2751="COUPE – À RESOUDER",AQ2751="VT REJETÉ – À REPRENDRE")),MAX(0,'PROGRAMME RT'!$C$4-U2751),"")</f>
        <v/>
      </c>
      <c r="AS2751" s="82" t="n">
        <f aca="false">IF(AND(OR(AQ2751="À RADIOGRAPHIER",AQ2751="RÉPARÉ – À RADIOGRAPHIER",AQ2751="NX – RT À REFAIRE"),OR('PROGRAMME RT'!$D$5="TOUTES",B2751='PROGRAMME RT'!$D$5)),1,0)</f>
        <v>0</v>
      </c>
      <c r="AT2751" s="82" t="str">
        <f aca="false">IF(AS2751=1,SUM(AS$7:AS2751),"")</f>
        <v/>
      </c>
      <c r="AU2751" s="82" t="n">
        <f aca="false">IF(AND(OR(AA2751="R",AA2751="NX",AA2751="NT",AA2751="CO"),OR('JOINTS DE RÉPARATION'!$D$5="TOUTES",B2751='JOINTS DE RÉPARATION'!$D$5),OR('JOINTS DE RÉPARATION'!$L$4="TOUS",AQ2751&lt;&gt;"ACCEPTÉ")),1,0)</f>
        <v>0</v>
      </c>
      <c r="AV2751" s="82" t="str">
        <f aca="false">IF(AU2751=1,SUM(AU$7:AU2751),"")</f>
        <v/>
      </c>
      <c r="AW2751" s="82" t="str">
        <f aca="false">IF(E2751="","",B2751&amp;"|"&amp;E2751)</f>
        <v/>
      </c>
    </row>
    <row r="2752" customFormat="false" ht="15" hidden="false" customHeight="false" outlineLevel="0" collapsed="false">
      <c r="A2752" s="79" t="str">
        <f aca="false">IF(E2752="","",ROW()-6)</f>
        <v/>
      </c>
      <c r="B2752" s="80"/>
      <c r="C2752" s="81"/>
      <c r="D2752" s="81"/>
      <c r="E2752" s="81"/>
      <c r="F2752" s="82" t="str">
        <f aca="false">IF(E2752="","",IF(LEFT(E2752,2)="DJ","DJ","JN"))</f>
        <v/>
      </c>
      <c r="G2752" s="81"/>
      <c r="H2752" s="81"/>
      <c r="I2752" s="81"/>
      <c r="J2752" s="81"/>
      <c r="K2752" s="81"/>
      <c r="L2752" s="81"/>
      <c r="M2752" s="81"/>
      <c r="N2752" s="81"/>
      <c r="O2752" s="81"/>
      <c r="P2752" s="81"/>
      <c r="Q2752" s="81"/>
      <c r="R2752" s="81"/>
      <c r="S2752" s="81"/>
      <c r="T2752" s="81"/>
      <c r="U2752" s="83"/>
      <c r="V2752" s="83"/>
      <c r="W2752" s="81"/>
      <c r="X2752" s="81"/>
      <c r="Y2752" s="83"/>
      <c r="Z2752" s="81"/>
      <c r="AA2752" s="81"/>
      <c r="AB2752" s="81"/>
      <c r="AC2752" s="81"/>
      <c r="AD2752" s="81"/>
      <c r="AE2752" s="83"/>
      <c r="AF2752" s="81"/>
      <c r="AG2752" s="81"/>
      <c r="AH2752" s="81"/>
      <c r="AI2752" s="81"/>
      <c r="AJ2752" s="83"/>
      <c r="AK2752" s="81"/>
      <c r="AL2752" s="81"/>
      <c r="AM2752" s="83"/>
      <c r="AN2752" s="80"/>
      <c r="AO2752" s="82" t="str">
        <f aca="false">IF(E2752="","",(AA2752&lt;&gt;"")+(AG2752&lt;&gt;"")+(AL2752&lt;&gt;""))</f>
        <v/>
      </c>
      <c r="AP2752" s="82" t="str">
        <f aca="false">IF(AL2752&lt;&gt;"",AL2752,IF(AG2752&lt;&gt;"",AG2752,IF(AA2752&lt;&gt;"",AA2752,"")))</f>
        <v/>
      </c>
      <c r="AQ2752" s="84" t="str">
        <f aca="false">IF(E2752="","",IF(U2752="","À SOUDER",IF(X2752="","VT EN ATTENTE",IF(X2752="R","VT REJETÉ – À REPRENDRE",IF(AP2752="","À RADIOGRAPHIER",IF(AP2752="A","ACCEPTÉ",IF(AP2752="NX","NX – RT À REFAIRE",IF(IF(AO2752=1,AD2752,IF(AO2752=2,AI2752,""))="A","RÉPARÉ – À RADIOGRAPHIER",IF(IF(AO2752=1,AD2752,IF(AO2752=2,AI2752,""))="R","VT REJETÉ – À REPRENDRE",IF(OR(AP2752="CO",AP2752="NT"),"COUPE – À RESOUDER","À RÉPARER"))))))))))</f>
        <v/>
      </c>
      <c r="AR2752" s="82" t="str">
        <f aca="false">IF(AND(ISNUMBER(U2752),OR(AQ2752="À RADIOGRAPHIER",AQ2752="RÉPARÉ – À RADIOGRAPHIER",AQ2752="NX – RT À REFAIRE",AQ2752="À RÉPARER",AQ2752="COUPE – À RESOUDER",AQ2752="VT REJETÉ – À REPRENDRE")),MAX(0,'PROGRAMME RT'!$C$4-U2752),"")</f>
        <v/>
      </c>
      <c r="AS2752" s="82" t="n">
        <f aca="false">IF(AND(OR(AQ2752="À RADIOGRAPHIER",AQ2752="RÉPARÉ – À RADIOGRAPHIER",AQ2752="NX – RT À REFAIRE"),OR('PROGRAMME RT'!$D$5="TOUTES",B2752='PROGRAMME RT'!$D$5)),1,0)</f>
        <v>0</v>
      </c>
      <c r="AT2752" s="82" t="str">
        <f aca="false">IF(AS2752=1,SUM(AS$7:AS2752),"")</f>
        <v/>
      </c>
      <c r="AU2752" s="82" t="n">
        <f aca="false">IF(AND(OR(AA2752="R",AA2752="NX",AA2752="NT",AA2752="CO"),OR('JOINTS DE RÉPARATION'!$D$5="TOUTES",B2752='JOINTS DE RÉPARATION'!$D$5),OR('JOINTS DE RÉPARATION'!$L$4="TOUS",AQ2752&lt;&gt;"ACCEPTÉ")),1,0)</f>
        <v>0</v>
      </c>
      <c r="AV2752" s="82" t="str">
        <f aca="false">IF(AU2752=1,SUM(AU$7:AU2752),"")</f>
        <v/>
      </c>
      <c r="AW2752" s="82" t="str">
        <f aca="false">IF(E2752="","",B2752&amp;"|"&amp;E2752)</f>
        <v/>
      </c>
    </row>
    <row r="2753" customFormat="false" ht="15" hidden="false" customHeight="false" outlineLevel="0" collapsed="false">
      <c r="A2753" s="79" t="str">
        <f aca="false">IF(E2753="","",ROW()-6)</f>
        <v/>
      </c>
      <c r="B2753" s="80"/>
      <c r="C2753" s="81"/>
      <c r="D2753" s="81"/>
      <c r="E2753" s="81"/>
      <c r="F2753" s="82" t="str">
        <f aca="false">IF(E2753="","",IF(LEFT(E2753,2)="DJ","DJ","JN"))</f>
        <v/>
      </c>
      <c r="G2753" s="81"/>
      <c r="H2753" s="81"/>
      <c r="I2753" s="81"/>
      <c r="J2753" s="81"/>
      <c r="K2753" s="81"/>
      <c r="L2753" s="81"/>
      <c r="M2753" s="81"/>
      <c r="N2753" s="81"/>
      <c r="O2753" s="81"/>
      <c r="P2753" s="81"/>
      <c r="Q2753" s="81"/>
      <c r="R2753" s="81"/>
      <c r="S2753" s="81"/>
      <c r="T2753" s="81"/>
      <c r="U2753" s="83"/>
      <c r="V2753" s="83"/>
      <c r="W2753" s="81"/>
      <c r="X2753" s="81"/>
      <c r="Y2753" s="83"/>
      <c r="Z2753" s="81"/>
      <c r="AA2753" s="81"/>
      <c r="AB2753" s="81"/>
      <c r="AC2753" s="81"/>
      <c r="AD2753" s="81"/>
      <c r="AE2753" s="83"/>
      <c r="AF2753" s="81"/>
      <c r="AG2753" s="81"/>
      <c r="AH2753" s="81"/>
      <c r="AI2753" s="81"/>
      <c r="AJ2753" s="83"/>
      <c r="AK2753" s="81"/>
      <c r="AL2753" s="81"/>
      <c r="AM2753" s="83"/>
      <c r="AN2753" s="80"/>
      <c r="AO2753" s="82" t="str">
        <f aca="false">IF(E2753="","",(AA2753&lt;&gt;"")+(AG2753&lt;&gt;"")+(AL2753&lt;&gt;""))</f>
        <v/>
      </c>
      <c r="AP2753" s="82" t="str">
        <f aca="false">IF(AL2753&lt;&gt;"",AL2753,IF(AG2753&lt;&gt;"",AG2753,IF(AA2753&lt;&gt;"",AA2753,"")))</f>
        <v/>
      </c>
      <c r="AQ2753" s="84" t="str">
        <f aca="false">IF(E2753="","",IF(U2753="","À SOUDER",IF(X2753="","VT EN ATTENTE",IF(X2753="R","VT REJETÉ – À REPRENDRE",IF(AP2753="","À RADIOGRAPHIER",IF(AP2753="A","ACCEPTÉ",IF(AP2753="NX","NX – RT À REFAIRE",IF(IF(AO2753=1,AD2753,IF(AO2753=2,AI2753,""))="A","RÉPARÉ – À RADIOGRAPHIER",IF(IF(AO2753=1,AD2753,IF(AO2753=2,AI2753,""))="R","VT REJETÉ – À REPRENDRE",IF(OR(AP2753="CO",AP2753="NT"),"COUPE – À RESOUDER","À RÉPARER"))))))))))</f>
        <v/>
      </c>
      <c r="AR2753" s="82" t="str">
        <f aca="false">IF(AND(ISNUMBER(U2753),OR(AQ2753="À RADIOGRAPHIER",AQ2753="RÉPARÉ – À RADIOGRAPHIER",AQ2753="NX – RT À REFAIRE",AQ2753="À RÉPARER",AQ2753="COUPE – À RESOUDER",AQ2753="VT REJETÉ – À REPRENDRE")),MAX(0,'PROGRAMME RT'!$C$4-U2753),"")</f>
        <v/>
      </c>
      <c r="AS2753" s="82" t="n">
        <f aca="false">IF(AND(OR(AQ2753="À RADIOGRAPHIER",AQ2753="RÉPARÉ – À RADIOGRAPHIER",AQ2753="NX – RT À REFAIRE"),OR('PROGRAMME RT'!$D$5="TOUTES",B2753='PROGRAMME RT'!$D$5)),1,0)</f>
        <v>0</v>
      </c>
      <c r="AT2753" s="82" t="str">
        <f aca="false">IF(AS2753=1,SUM(AS$7:AS2753),"")</f>
        <v/>
      </c>
      <c r="AU2753" s="82" t="n">
        <f aca="false">IF(AND(OR(AA2753="R",AA2753="NX",AA2753="NT",AA2753="CO"),OR('JOINTS DE RÉPARATION'!$D$5="TOUTES",B2753='JOINTS DE RÉPARATION'!$D$5),OR('JOINTS DE RÉPARATION'!$L$4="TOUS",AQ2753&lt;&gt;"ACCEPTÉ")),1,0)</f>
        <v>0</v>
      </c>
      <c r="AV2753" s="82" t="str">
        <f aca="false">IF(AU2753=1,SUM(AU$7:AU2753),"")</f>
        <v/>
      </c>
      <c r="AW2753" s="82" t="str">
        <f aca="false">IF(E2753="","",B2753&amp;"|"&amp;E2753)</f>
        <v/>
      </c>
    </row>
    <row r="2754" customFormat="false" ht="15" hidden="false" customHeight="false" outlineLevel="0" collapsed="false">
      <c r="A2754" s="79" t="str">
        <f aca="false">IF(E2754="","",ROW()-6)</f>
        <v/>
      </c>
      <c r="B2754" s="80"/>
      <c r="C2754" s="81"/>
      <c r="D2754" s="81"/>
      <c r="E2754" s="81"/>
      <c r="F2754" s="82" t="str">
        <f aca="false">IF(E2754="","",IF(LEFT(E2754,2)="DJ","DJ","JN"))</f>
        <v/>
      </c>
      <c r="G2754" s="81"/>
      <c r="H2754" s="81"/>
      <c r="I2754" s="81"/>
      <c r="J2754" s="81"/>
      <c r="K2754" s="81"/>
      <c r="L2754" s="81"/>
      <c r="M2754" s="81"/>
      <c r="N2754" s="81"/>
      <c r="O2754" s="81"/>
      <c r="P2754" s="81"/>
      <c r="Q2754" s="81"/>
      <c r="R2754" s="81"/>
      <c r="S2754" s="81"/>
      <c r="T2754" s="81"/>
      <c r="U2754" s="83"/>
      <c r="V2754" s="83"/>
      <c r="W2754" s="81"/>
      <c r="X2754" s="81"/>
      <c r="Y2754" s="83"/>
      <c r="Z2754" s="81"/>
      <c r="AA2754" s="81"/>
      <c r="AB2754" s="81"/>
      <c r="AC2754" s="81"/>
      <c r="AD2754" s="81"/>
      <c r="AE2754" s="83"/>
      <c r="AF2754" s="81"/>
      <c r="AG2754" s="81"/>
      <c r="AH2754" s="81"/>
      <c r="AI2754" s="81"/>
      <c r="AJ2754" s="83"/>
      <c r="AK2754" s="81"/>
      <c r="AL2754" s="81"/>
      <c r="AM2754" s="83"/>
      <c r="AN2754" s="80"/>
      <c r="AO2754" s="82" t="str">
        <f aca="false">IF(E2754="","",(AA2754&lt;&gt;"")+(AG2754&lt;&gt;"")+(AL2754&lt;&gt;""))</f>
        <v/>
      </c>
      <c r="AP2754" s="82" t="str">
        <f aca="false">IF(AL2754&lt;&gt;"",AL2754,IF(AG2754&lt;&gt;"",AG2754,IF(AA2754&lt;&gt;"",AA2754,"")))</f>
        <v/>
      </c>
      <c r="AQ2754" s="84" t="str">
        <f aca="false">IF(E2754="","",IF(U2754="","À SOUDER",IF(X2754="","VT EN ATTENTE",IF(X2754="R","VT REJETÉ – À REPRENDRE",IF(AP2754="","À RADIOGRAPHIER",IF(AP2754="A","ACCEPTÉ",IF(AP2754="NX","NX – RT À REFAIRE",IF(IF(AO2754=1,AD2754,IF(AO2754=2,AI2754,""))="A","RÉPARÉ – À RADIOGRAPHIER",IF(IF(AO2754=1,AD2754,IF(AO2754=2,AI2754,""))="R","VT REJETÉ – À REPRENDRE",IF(OR(AP2754="CO",AP2754="NT"),"COUPE – À RESOUDER","À RÉPARER"))))))))))</f>
        <v/>
      </c>
      <c r="AR2754" s="82" t="str">
        <f aca="false">IF(AND(ISNUMBER(U2754),OR(AQ2754="À RADIOGRAPHIER",AQ2754="RÉPARÉ – À RADIOGRAPHIER",AQ2754="NX – RT À REFAIRE",AQ2754="À RÉPARER",AQ2754="COUPE – À RESOUDER",AQ2754="VT REJETÉ – À REPRENDRE")),MAX(0,'PROGRAMME RT'!$C$4-U2754),"")</f>
        <v/>
      </c>
      <c r="AS2754" s="82" t="n">
        <f aca="false">IF(AND(OR(AQ2754="À RADIOGRAPHIER",AQ2754="RÉPARÉ – À RADIOGRAPHIER",AQ2754="NX – RT À REFAIRE"),OR('PROGRAMME RT'!$D$5="TOUTES",B2754='PROGRAMME RT'!$D$5)),1,0)</f>
        <v>0</v>
      </c>
      <c r="AT2754" s="82" t="str">
        <f aca="false">IF(AS2754=1,SUM(AS$7:AS2754),"")</f>
        <v/>
      </c>
      <c r="AU2754" s="82" t="n">
        <f aca="false">IF(AND(OR(AA2754="R",AA2754="NX",AA2754="NT",AA2754="CO"),OR('JOINTS DE RÉPARATION'!$D$5="TOUTES",B2754='JOINTS DE RÉPARATION'!$D$5),OR('JOINTS DE RÉPARATION'!$L$4="TOUS",AQ2754&lt;&gt;"ACCEPTÉ")),1,0)</f>
        <v>0</v>
      </c>
      <c r="AV2754" s="82" t="str">
        <f aca="false">IF(AU2754=1,SUM(AU$7:AU2754),"")</f>
        <v/>
      </c>
      <c r="AW2754" s="82" t="str">
        <f aca="false">IF(E2754="","",B2754&amp;"|"&amp;E2754)</f>
        <v/>
      </c>
    </row>
    <row r="2755" customFormat="false" ht="15" hidden="false" customHeight="false" outlineLevel="0" collapsed="false">
      <c r="A2755" s="79" t="str">
        <f aca="false">IF(E2755="","",ROW()-6)</f>
        <v/>
      </c>
      <c r="B2755" s="80"/>
      <c r="C2755" s="81"/>
      <c r="D2755" s="81"/>
      <c r="E2755" s="81"/>
      <c r="F2755" s="82" t="str">
        <f aca="false">IF(E2755="","",IF(LEFT(E2755,2)="DJ","DJ","JN"))</f>
        <v/>
      </c>
      <c r="G2755" s="81"/>
      <c r="H2755" s="81"/>
      <c r="I2755" s="81"/>
      <c r="J2755" s="81"/>
      <c r="K2755" s="81"/>
      <c r="L2755" s="81"/>
      <c r="M2755" s="81"/>
      <c r="N2755" s="81"/>
      <c r="O2755" s="81"/>
      <c r="P2755" s="81"/>
      <c r="Q2755" s="81"/>
      <c r="R2755" s="81"/>
      <c r="S2755" s="81"/>
      <c r="T2755" s="81"/>
      <c r="U2755" s="83"/>
      <c r="V2755" s="83"/>
      <c r="W2755" s="81"/>
      <c r="X2755" s="81"/>
      <c r="Y2755" s="83"/>
      <c r="Z2755" s="81"/>
      <c r="AA2755" s="81"/>
      <c r="AB2755" s="81"/>
      <c r="AC2755" s="81"/>
      <c r="AD2755" s="81"/>
      <c r="AE2755" s="83"/>
      <c r="AF2755" s="81"/>
      <c r="AG2755" s="81"/>
      <c r="AH2755" s="81"/>
      <c r="AI2755" s="81"/>
      <c r="AJ2755" s="83"/>
      <c r="AK2755" s="81"/>
      <c r="AL2755" s="81"/>
      <c r="AM2755" s="83"/>
      <c r="AN2755" s="80"/>
      <c r="AO2755" s="82" t="str">
        <f aca="false">IF(E2755="","",(AA2755&lt;&gt;"")+(AG2755&lt;&gt;"")+(AL2755&lt;&gt;""))</f>
        <v/>
      </c>
      <c r="AP2755" s="82" t="str">
        <f aca="false">IF(AL2755&lt;&gt;"",AL2755,IF(AG2755&lt;&gt;"",AG2755,IF(AA2755&lt;&gt;"",AA2755,"")))</f>
        <v/>
      </c>
      <c r="AQ2755" s="84" t="str">
        <f aca="false">IF(E2755="","",IF(U2755="","À SOUDER",IF(X2755="","VT EN ATTENTE",IF(X2755="R","VT REJETÉ – À REPRENDRE",IF(AP2755="","À RADIOGRAPHIER",IF(AP2755="A","ACCEPTÉ",IF(AP2755="NX","NX – RT À REFAIRE",IF(IF(AO2755=1,AD2755,IF(AO2755=2,AI2755,""))="A","RÉPARÉ – À RADIOGRAPHIER",IF(IF(AO2755=1,AD2755,IF(AO2755=2,AI2755,""))="R","VT REJETÉ – À REPRENDRE",IF(OR(AP2755="CO",AP2755="NT"),"COUPE – À RESOUDER","À RÉPARER"))))))))))</f>
        <v/>
      </c>
      <c r="AR2755" s="82" t="str">
        <f aca="false">IF(AND(ISNUMBER(U2755),OR(AQ2755="À RADIOGRAPHIER",AQ2755="RÉPARÉ – À RADIOGRAPHIER",AQ2755="NX – RT À REFAIRE",AQ2755="À RÉPARER",AQ2755="COUPE – À RESOUDER",AQ2755="VT REJETÉ – À REPRENDRE")),MAX(0,'PROGRAMME RT'!$C$4-U2755),"")</f>
        <v/>
      </c>
      <c r="AS2755" s="82" t="n">
        <f aca="false">IF(AND(OR(AQ2755="À RADIOGRAPHIER",AQ2755="RÉPARÉ – À RADIOGRAPHIER",AQ2755="NX – RT À REFAIRE"),OR('PROGRAMME RT'!$D$5="TOUTES",B2755='PROGRAMME RT'!$D$5)),1,0)</f>
        <v>0</v>
      </c>
      <c r="AT2755" s="82" t="str">
        <f aca="false">IF(AS2755=1,SUM(AS$7:AS2755),"")</f>
        <v/>
      </c>
      <c r="AU2755" s="82" t="n">
        <f aca="false">IF(AND(OR(AA2755="R",AA2755="NX",AA2755="NT",AA2755="CO"),OR('JOINTS DE RÉPARATION'!$D$5="TOUTES",B2755='JOINTS DE RÉPARATION'!$D$5),OR('JOINTS DE RÉPARATION'!$L$4="TOUS",AQ2755&lt;&gt;"ACCEPTÉ")),1,0)</f>
        <v>0</v>
      </c>
      <c r="AV2755" s="82" t="str">
        <f aca="false">IF(AU2755=1,SUM(AU$7:AU2755),"")</f>
        <v/>
      </c>
      <c r="AW2755" s="82" t="str">
        <f aca="false">IF(E2755="","",B2755&amp;"|"&amp;E2755)</f>
        <v/>
      </c>
    </row>
    <row r="2756" customFormat="false" ht="15" hidden="false" customHeight="false" outlineLevel="0" collapsed="false">
      <c r="A2756" s="79" t="str">
        <f aca="false">IF(E2756="","",ROW()-6)</f>
        <v/>
      </c>
      <c r="B2756" s="80"/>
      <c r="C2756" s="81"/>
      <c r="D2756" s="81"/>
      <c r="E2756" s="81"/>
      <c r="F2756" s="82" t="str">
        <f aca="false">IF(E2756="","",IF(LEFT(E2756,2)="DJ","DJ","JN"))</f>
        <v/>
      </c>
      <c r="G2756" s="81"/>
      <c r="H2756" s="81"/>
      <c r="I2756" s="81"/>
      <c r="J2756" s="81"/>
      <c r="K2756" s="81"/>
      <c r="L2756" s="81"/>
      <c r="M2756" s="81"/>
      <c r="N2756" s="81"/>
      <c r="O2756" s="81"/>
      <c r="P2756" s="81"/>
      <c r="Q2756" s="81"/>
      <c r="R2756" s="81"/>
      <c r="S2756" s="81"/>
      <c r="T2756" s="81"/>
      <c r="U2756" s="83"/>
      <c r="V2756" s="83"/>
      <c r="W2756" s="81"/>
      <c r="X2756" s="81"/>
      <c r="Y2756" s="83"/>
      <c r="Z2756" s="81"/>
      <c r="AA2756" s="81"/>
      <c r="AB2756" s="81"/>
      <c r="AC2756" s="81"/>
      <c r="AD2756" s="81"/>
      <c r="AE2756" s="83"/>
      <c r="AF2756" s="81"/>
      <c r="AG2756" s="81"/>
      <c r="AH2756" s="81"/>
      <c r="AI2756" s="81"/>
      <c r="AJ2756" s="83"/>
      <c r="AK2756" s="81"/>
      <c r="AL2756" s="81"/>
      <c r="AM2756" s="83"/>
      <c r="AN2756" s="80"/>
      <c r="AO2756" s="82" t="str">
        <f aca="false">IF(E2756="","",(AA2756&lt;&gt;"")+(AG2756&lt;&gt;"")+(AL2756&lt;&gt;""))</f>
        <v/>
      </c>
      <c r="AP2756" s="82" t="str">
        <f aca="false">IF(AL2756&lt;&gt;"",AL2756,IF(AG2756&lt;&gt;"",AG2756,IF(AA2756&lt;&gt;"",AA2756,"")))</f>
        <v/>
      </c>
      <c r="AQ2756" s="84" t="str">
        <f aca="false">IF(E2756="","",IF(U2756="","À SOUDER",IF(X2756="","VT EN ATTENTE",IF(X2756="R","VT REJETÉ – À REPRENDRE",IF(AP2756="","À RADIOGRAPHIER",IF(AP2756="A","ACCEPTÉ",IF(AP2756="NX","NX – RT À REFAIRE",IF(IF(AO2756=1,AD2756,IF(AO2756=2,AI2756,""))="A","RÉPARÉ – À RADIOGRAPHIER",IF(IF(AO2756=1,AD2756,IF(AO2756=2,AI2756,""))="R","VT REJETÉ – À REPRENDRE",IF(OR(AP2756="CO",AP2756="NT"),"COUPE – À RESOUDER","À RÉPARER"))))))))))</f>
        <v/>
      </c>
      <c r="AR2756" s="82" t="str">
        <f aca="false">IF(AND(ISNUMBER(U2756),OR(AQ2756="À RADIOGRAPHIER",AQ2756="RÉPARÉ – À RADIOGRAPHIER",AQ2756="NX – RT À REFAIRE",AQ2756="À RÉPARER",AQ2756="COUPE – À RESOUDER",AQ2756="VT REJETÉ – À REPRENDRE")),MAX(0,'PROGRAMME RT'!$C$4-U2756),"")</f>
        <v/>
      </c>
      <c r="AS2756" s="82" t="n">
        <f aca="false">IF(AND(OR(AQ2756="À RADIOGRAPHIER",AQ2756="RÉPARÉ – À RADIOGRAPHIER",AQ2756="NX – RT À REFAIRE"),OR('PROGRAMME RT'!$D$5="TOUTES",B2756='PROGRAMME RT'!$D$5)),1,0)</f>
        <v>0</v>
      </c>
      <c r="AT2756" s="82" t="str">
        <f aca="false">IF(AS2756=1,SUM(AS$7:AS2756),"")</f>
        <v/>
      </c>
      <c r="AU2756" s="82" t="n">
        <f aca="false">IF(AND(OR(AA2756="R",AA2756="NX",AA2756="NT",AA2756="CO"),OR('JOINTS DE RÉPARATION'!$D$5="TOUTES",B2756='JOINTS DE RÉPARATION'!$D$5),OR('JOINTS DE RÉPARATION'!$L$4="TOUS",AQ2756&lt;&gt;"ACCEPTÉ")),1,0)</f>
        <v>0</v>
      </c>
      <c r="AV2756" s="82" t="str">
        <f aca="false">IF(AU2756=1,SUM(AU$7:AU2756),"")</f>
        <v/>
      </c>
      <c r="AW2756" s="82" t="str">
        <f aca="false">IF(E2756="","",B2756&amp;"|"&amp;E2756)</f>
        <v/>
      </c>
    </row>
    <row r="2757" customFormat="false" ht="15" hidden="false" customHeight="false" outlineLevel="0" collapsed="false">
      <c r="A2757" s="79" t="str">
        <f aca="false">IF(E2757="","",ROW()-6)</f>
        <v/>
      </c>
      <c r="B2757" s="80"/>
      <c r="C2757" s="81"/>
      <c r="D2757" s="81"/>
      <c r="E2757" s="81"/>
      <c r="F2757" s="82" t="str">
        <f aca="false">IF(E2757="","",IF(LEFT(E2757,2)="DJ","DJ","JN"))</f>
        <v/>
      </c>
      <c r="G2757" s="81"/>
      <c r="H2757" s="81"/>
      <c r="I2757" s="81"/>
      <c r="J2757" s="81"/>
      <c r="K2757" s="81"/>
      <c r="L2757" s="81"/>
      <c r="M2757" s="81"/>
      <c r="N2757" s="81"/>
      <c r="O2757" s="81"/>
      <c r="P2757" s="81"/>
      <c r="Q2757" s="81"/>
      <c r="R2757" s="81"/>
      <c r="S2757" s="81"/>
      <c r="T2757" s="81"/>
      <c r="U2757" s="83"/>
      <c r="V2757" s="83"/>
      <c r="W2757" s="81"/>
      <c r="X2757" s="81"/>
      <c r="Y2757" s="83"/>
      <c r="Z2757" s="81"/>
      <c r="AA2757" s="81"/>
      <c r="AB2757" s="81"/>
      <c r="AC2757" s="81"/>
      <c r="AD2757" s="81"/>
      <c r="AE2757" s="83"/>
      <c r="AF2757" s="81"/>
      <c r="AG2757" s="81"/>
      <c r="AH2757" s="81"/>
      <c r="AI2757" s="81"/>
      <c r="AJ2757" s="83"/>
      <c r="AK2757" s="81"/>
      <c r="AL2757" s="81"/>
      <c r="AM2757" s="83"/>
      <c r="AN2757" s="80"/>
      <c r="AO2757" s="82" t="str">
        <f aca="false">IF(E2757="","",(AA2757&lt;&gt;"")+(AG2757&lt;&gt;"")+(AL2757&lt;&gt;""))</f>
        <v/>
      </c>
      <c r="AP2757" s="82" t="str">
        <f aca="false">IF(AL2757&lt;&gt;"",AL2757,IF(AG2757&lt;&gt;"",AG2757,IF(AA2757&lt;&gt;"",AA2757,"")))</f>
        <v/>
      </c>
      <c r="AQ2757" s="84" t="str">
        <f aca="false">IF(E2757="","",IF(U2757="","À SOUDER",IF(X2757="","VT EN ATTENTE",IF(X2757="R","VT REJETÉ – À REPRENDRE",IF(AP2757="","À RADIOGRAPHIER",IF(AP2757="A","ACCEPTÉ",IF(AP2757="NX","NX – RT À REFAIRE",IF(IF(AO2757=1,AD2757,IF(AO2757=2,AI2757,""))="A","RÉPARÉ – À RADIOGRAPHIER",IF(IF(AO2757=1,AD2757,IF(AO2757=2,AI2757,""))="R","VT REJETÉ – À REPRENDRE",IF(OR(AP2757="CO",AP2757="NT"),"COUPE – À RESOUDER","À RÉPARER"))))))))))</f>
        <v/>
      </c>
      <c r="AR2757" s="82" t="str">
        <f aca="false">IF(AND(ISNUMBER(U2757),OR(AQ2757="À RADIOGRAPHIER",AQ2757="RÉPARÉ – À RADIOGRAPHIER",AQ2757="NX – RT À REFAIRE",AQ2757="À RÉPARER",AQ2757="COUPE – À RESOUDER",AQ2757="VT REJETÉ – À REPRENDRE")),MAX(0,'PROGRAMME RT'!$C$4-U2757),"")</f>
        <v/>
      </c>
      <c r="AS2757" s="82" t="n">
        <f aca="false">IF(AND(OR(AQ2757="À RADIOGRAPHIER",AQ2757="RÉPARÉ – À RADIOGRAPHIER",AQ2757="NX – RT À REFAIRE"),OR('PROGRAMME RT'!$D$5="TOUTES",B2757='PROGRAMME RT'!$D$5)),1,0)</f>
        <v>0</v>
      </c>
      <c r="AT2757" s="82" t="str">
        <f aca="false">IF(AS2757=1,SUM(AS$7:AS2757),"")</f>
        <v/>
      </c>
      <c r="AU2757" s="82" t="n">
        <f aca="false">IF(AND(OR(AA2757="R",AA2757="NX",AA2757="NT",AA2757="CO"),OR('JOINTS DE RÉPARATION'!$D$5="TOUTES",B2757='JOINTS DE RÉPARATION'!$D$5),OR('JOINTS DE RÉPARATION'!$L$4="TOUS",AQ2757&lt;&gt;"ACCEPTÉ")),1,0)</f>
        <v>0</v>
      </c>
      <c r="AV2757" s="82" t="str">
        <f aca="false">IF(AU2757=1,SUM(AU$7:AU2757),"")</f>
        <v/>
      </c>
      <c r="AW2757" s="82" t="str">
        <f aca="false">IF(E2757="","",B2757&amp;"|"&amp;E2757)</f>
        <v/>
      </c>
    </row>
    <row r="2758" customFormat="false" ht="15" hidden="false" customHeight="false" outlineLevel="0" collapsed="false">
      <c r="A2758" s="79" t="str">
        <f aca="false">IF(E2758="","",ROW()-6)</f>
        <v/>
      </c>
      <c r="B2758" s="80"/>
      <c r="C2758" s="81"/>
      <c r="D2758" s="81"/>
      <c r="E2758" s="81"/>
      <c r="F2758" s="82" t="str">
        <f aca="false">IF(E2758="","",IF(LEFT(E2758,2)="DJ","DJ","JN"))</f>
        <v/>
      </c>
      <c r="G2758" s="81"/>
      <c r="H2758" s="81"/>
      <c r="I2758" s="81"/>
      <c r="J2758" s="81"/>
      <c r="K2758" s="81"/>
      <c r="L2758" s="81"/>
      <c r="M2758" s="81"/>
      <c r="N2758" s="81"/>
      <c r="O2758" s="81"/>
      <c r="P2758" s="81"/>
      <c r="Q2758" s="81"/>
      <c r="R2758" s="81"/>
      <c r="S2758" s="81"/>
      <c r="T2758" s="81"/>
      <c r="U2758" s="83"/>
      <c r="V2758" s="83"/>
      <c r="W2758" s="81"/>
      <c r="X2758" s="81"/>
      <c r="Y2758" s="83"/>
      <c r="Z2758" s="81"/>
      <c r="AA2758" s="81"/>
      <c r="AB2758" s="81"/>
      <c r="AC2758" s="81"/>
      <c r="AD2758" s="81"/>
      <c r="AE2758" s="83"/>
      <c r="AF2758" s="81"/>
      <c r="AG2758" s="81"/>
      <c r="AH2758" s="81"/>
      <c r="AI2758" s="81"/>
      <c r="AJ2758" s="83"/>
      <c r="AK2758" s="81"/>
      <c r="AL2758" s="81"/>
      <c r="AM2758" s="83"/>
      <c r="AN2758" s="80"/>
      <c r="AO2758" s="82" t="str">
        <f aca="false">IF(E2758="","",(AA2758&lt;&gt;"")+(AG2758&lt;&gt;"")+(AL2758&lt;&gt;""))</f>
        <v/>
      </c>
      <c r="AP2758" s="82" t="str">
        <f aca="false">IF(AL2758&lt;&gt;"",AL2758,IF(AG2758&lt;&gt;"",AG2758,IF(AA2758&lt;&gt;"",AA2758,"")))</f>
        <v/>
      </c>
      <c r="AQ2758" s="84" t="str">
        <f aca="false">IF(E2758="","",IF(U2758="","À SOUDER",IF(X2758="","VT EN ATTENTE",IF(X2758="R","VT REJETÉ – À REPRENDRE",IF(AP2758="","À RADIOGRAPHIER",IF(AP2758="A","ACCEPTÉ",IF(AP2758="NX","NX – RT À REFAIRE",IF(IF(AO2758=1,AD2758,IF(AO2758=2,AI2758,""))="A","RÉPARÉ – À RADIOGRAPHIER",IF(IF(AO2758=1,AD2758,IF(AO2758=2,AI2758,""))="R","VT REJETÉ – À REPRENDRE",IF(OR(AP2758="CO",AP2758="NT"),"COUPE – À RESOUDER","À RÉPARER"))))))))))</f>
        <v/>
      </c>
      <c r="AR2758" s="82" t="str">
        <f aca="false">IF(AND(ISNUMBER(U2758),OR(AQ2758="À RADIOGRAPHIER",AQ2758="RÉPARÉ – À RADIOGRAPHIER",AQ2758="NX – RT À REFAIRE",AQ2758="À RÉPARER",AQ2758="COUPE – À RESOUDER",AQ2758="VT REJETÉ – À REPRENDRE")),MAX(0,'PROGRAMME RT'!$C$4-U2758),"")</f>
        <v/>
      </c>
      <c r="AS2758" s="82" t="n">
        <f aca="false">IF(AND(OR(AQ2758="À RADIOGRAPHIER",AQ2758="RÉPARÉ – À RADIOGRAPHIER",AQ2758="NX – RT À REFAIRE"),OR('PROGRAMME RT'!$D$5="TOUTES",B2758='PROGRAMME RT'!$D$5)),1,0)</f>
        <v>0</v>
      </c>
      <c r="AT2758" s="82" t="str">
        <f aca="false">IF(AS2758=1,SUM(AS$7:AS2758),"")</f>
        <v/>
      </c>
      <c r="AU2758" s="82" t="n">
        <f aca="false">IF(AND(OR(AA2758="R",AA2758="NX",AA2758="NT",AA2758="CO"),OR('JOINTS DE RÉPARATION'!$D$5="TOUTES",B2758='JOINTS DE RÉPARATION'!$D$5),OR('JOINTS DE RÉPARATION'!$L$4="TOUS",AQ2758&lt;&gt;"ACCEPTÉ")),1,0)</f>
        <v>0</v>
      </c>
      <c r="AV2758" s="82" t="str">
        <f aca="false">IF(AU2758=1,SUM(AU$7:AU2758),"")</f>
        <v/>
      </c>
      <c r="AW2758" s="82" t="str">
        <f aca="false">IF(E2758="","",B2758&amp;"|"&amp;E2758)</f>
        <v/>
      </c>
    </row>
    <row r="2759" customFormat="false" ht="15" hidden="false" customHeight="false" outlineLevel="0" collapsed="false">
      <c r="A2759" s="79" t="str">
        <f aca="false">IF(E2759="","",ROW()-6)</f>
        <v/>
      </c>
      <c r="B2759" s="80"/>
      <c r="C2759" s="81"/>
      <c r="D2759" s="81"/>
      <c r="E2759" s="81"/>
      <c r="F2759" s="82" t="str">
        <f aca="false">IF(E2759="","",IF(LEFT(E2759,2)="DJ","DJ","JN"))</f>
        <v/>
      </c>
      <c r="G2759" s="81"/>
      <c r="H2759" s="81"/>
      <c r="I2759" s="81"/>
      <c r="J2759" s="81"/>
      <c r="K2759" s="81"/>
      <c r="L2759" s="81"/>
      <c r="M2759" s="81"/>
      <c r="N2759" s="81"/>
      <c r="O2759" s="81"/>
      <c r="P2759" s="81"/>
      <c r="Q2759" s="81"/>
      <c r="R2759" s="81"/>
      <c r="S2759" s="81"/>
      <c r="T2759" s="81"/>
      <c r="U2759" s="83"/>
      <c r="V2759" s="83"/>
      <c r="W2759" s="81"/>
      <c r="X2759" s="81"/>
      <c r="Y2759" s="83"/>
      <c r="Z2759" s="81"/>
      <c r="AA2759" s="81"/>
      <c r="AB2759" s="81"/>
      <c r="AC2759" s="81"/>
      <c r="AD2759" s="81"/>
      <c r="AE2759" s="83"/>
      <c r="AF2759" s="81"/>
      <c r="AG2759" s="81"/>
      <c r="AH2759" s="81"/>
      <c r="AI2759" s="81"/>
      <c r="AJ2759" s="83"/>
      <c r="AK2759" s="81"/>
      <c r="AL2759" s="81"/>
      <c r="AM2759" s="83"/>
      <c r="AN2759" s="80"/>
      <c r="AO2759" s="82" t="str">
        <f aca="false">IF(E2759="","",(AA2759&lt;&gt;"")+(AG2759&lt;&gt;"")+(AL2759&lt;&gt;""))</f>
        <v/>
      </c>
      <c r="AP2759" s="82" t="str">
        <f aca="false">IF(AL2759&lt;&gt;"",AL2759,IF(AG2759&lt;&gt;"",AG2759,IF(AA2759&lt;&gt;"",AA2759,"")))</f>
        <v/>
      </c>
      <c r="AQ2759" s="84" t="str">
        <f aca="false">IF(E2759="","",IF(U2759="","À SOUDER",IF(X2759="","VT EN ATTENTE",IF(X2759="R","VT REJETÉ – À REPRENDRE",IF(AP2759="","À RADIOGRAPHIER",IF(AP2759="A","ACCEPTÉ",IF(AP2759="NX","NX – RT À REFAIRE",IF(IF(AO2759=1,AD2759,IF(AO2759=2,AI2759,""))="A","RÉPARÉ – À RADIOGRAPHIER",IF(IF(AO2759=1,AD2759,IF(AO2759=2,AI2759,""))="R","VT REJETÉ – À REPRENDRE",IF(OR(AP2759="CO",AP2759="NT"),"COUPE – À RESOUDER","À RÉPARER"))))))))))</f>
        <v/>
      </c>
      <c r="AR2759" s="82" t="str">
        <f aca="false">IF(AND(ISNUMBER(U2759),OR(AQ2759="À RADIOGRAPHIER",AQ2759="RÉPARÉ – À RADIOGRAPHIER",AQ2759="NX – RT À REFAIRE",AQ2759="À RÉPARER",AQ2759="COUPE – À RESOUDER",AQ2759="VT REJETÉ – À REPRENDRE")),MAX(0,'PROGRAMME RT'!$C$4-U2759),"")</f>
        <v/>
      </c>
      <c r="AS2759" s="82" t="n">
        <f aca="false">IF(AND(OR(AQ2759="À RADIOGRAPHIER",AQ2759="RÉPARÉ – À RADIOGRAPHIER",AQ2759="NX – RT À REFAIRE"),OR('PROGRAMME RT'!$D$5="TOUTES",B2759='PROGRAMME RT'!$D$5)),1,0)</f>
        <v>0</v>
      </c>
      <c r="AT2759" s="82" t="str">
        <f aca="false">IF(AS2759=1,SUM(AS$7:AS2759),"")</f>
        <v/>
      </c>
      <c r="AU2759" s="82" t="n">
        <f aca="false">IF(AND(OR(AA2759="R",AA2759="NX",AA2759="NT",AA2759="CO"),OR('JOINTS DE RÉPARATION'!$D$5="TOUTES",B2759='JOINTS DE RÉPARATION'!$D$5),OR('JOINTS DE RÉPARATION'!$L$4="TOUS",AQ2759&lt;&gt;"ACCEPTÉ")),1,0)</f>
        <v>0</v>
      </c>
      <c r="AV2759" s="82" t="str">
        <f aca="false">IF(AU2759=1,SUM(AU$7:AU2759),"")</f>
        <v/>
      </c>
      <c r="AW2759" s="82" t="str">
        <f aca="false">IF(E2759="","",B2759&amp;"|"&amp;E2759)</f>
        <v/>
      </c>
    </row>
    <row r="2760" customFormat="false" ht="15" hidden="false" customHeight="false" outlineLevel="0" collapsed="false">
      <c r="A2760" s="79" t="str">
        <f aca="false">IF(E2760="","",ROW()-6)</f>
        <v/>
      </c>
      <c r="B2760" s="80"/>
      <c r="C2760" s="81"/>
      <c r="D2760" s="81"/>
      <c r="E2760" s="81"/>
      <c r="F2760" s="82" t="str">
        <f aca="false">IF(E2760="","",IF(LEFT(E2760,2)="DJ","DJ","JN"))</f>
        <v/>
      </c>
      <c r="G2760" s="81"/>
      <c r="H2760" s="81"/>
      <c r="I2760" s="81"/>
      <c r="J2760" s="81"/>
      <c r="K2760" s="81"/>
      <c r="L2760" s="81"/>
      <c r="M2760" s="81"/>
      <c r="N2760" s="81"/>
      <c r="O2760" s="81"/>
      <c r="P2760" s="81"/>
      <c r="Q2760" s="81"/>
      <c r="R2760" s="81"/>
      <c r="S2760" s="81"/>
      <c r="T2760" s="81"/>
      <c r="U2760" s="83"/>
      <c r="V2760" s="83"/>
      <c r="W2760" s="81"/>
      <c r="X2760" s="81"/>
      <c r="Y2760" s="83"/>
      <c r="Z2760" s="81"/>
      <c r="AA2760" s="81"/>
      <c r="AB2760" s="81"/>
      <c r="AC2760" s="81"/>
      <c r="AD2760" s="81"/>
      <c r="AE2760" s="83"/>
      <c r="AF2760" s="81"/>
      <c r="AG2760" s="81"/>
      <c r="AH2760" s="81"/>
      <c r="AI2760" s="81"/>
      <c r="AJ2760" s="83"/>
      <c r="AK2760" s="81"/>
      <c r="AL2760" s="81"/>
      <c r="AM2760" s="83"/>
      <c r="AN2760" s="80"/>
      <c r="AO2760" s="82" t="str">
        <f aca="false">IF(E2760="","",(AA2760&lt;&gt;"")+(AG2760&lt;&gt;"")+(AL2760&lt;&gt;""))</f>
        <v/>
      </c>
      <c r="AP2760" s="82" t="str">
        <f aca="false">IF(AL2760&lt;&gt;"",AL2760,IF(AG2760&lt;&gt;"",AG2760,IF(AA2760&lt;&gt;"",AA2760,"")))</f>
        <v/>
      </c>
      <c r="AQ2760" s="84" t="str">
        <f aca="false">IF(E2760="","",IF(U2760="","À SOUDER",IF(X2760="","VT EN ATTENTE",IF(X2760="R","VT REJETÉ – À REPRENDRE",IF(AP2760="","À RADIOGRAPHIER",IF(AP2760="A","ACCEPTÉ",IF(AP2760="NX","NX – RT À REFAIRE",IF(IF(AO2760=1,AD2760,IF(AO2760=2,AI2760,""))="A","RÉPARÉ – À RADIOGRAPHIER",IF(IF(AO2760=1,AD2760,IF(AO2760=2,AI2760,""))="R","VT REJETÉ – À REPRENDRE",IF(OR(AP2760="CO",AP2760="NT"),"COUPE – À RESOUDER","À RÉPARER"))))))))))</f>
        <v/>
      </c>
      <c r="AR2760" s="82" t="str">
        <f aca="false">IF(AND(ISNUMBER(U2760),OR(AQ2760="À RADIOGRAPHIER",AQ2760="RÉPARÉ – À RADIOGRAPHIER",AQ2760="NX – RT À REFAIRE",AQ2760="À RÉPARER",AQ2760="COUPE – À RESOUDER",AQ2760="VT REJETÉ – À REPRENDRE")),MAX(0,'PROGRAMME RT'!$C$4-U2760),"")</f>
        <v/>
      </c>
      <c r="AS2760" s="82" t="n">
        <f aca="false">IF(AND(OR(AQ2760="À RADIOGRAPHIER",AQ2760="RÉPARÉ – À RADIOGRAPHIER",AQ2760="NX – RT À REFAIRE"),OR('PROGRAMME RT'!$D$5="TOUTES",B2760='PROGRAMME RT'!$D$5)),1,0)</f>
        <v>0</v>
      </c>
      <c r="AT2760" s="82" t="str">
        <f aca="false">IF(AS2760=1,SUM(AS$7:AS2760),"")</f>
        <v/>
      </c>
      <c r="AU2760" s="82" t="n">
        <f aca="false">IF(AND(OR(AA2760="R",AA2760="NX",AA2760="NT",AA2760="CO"),OR('JOINTS DE RÉPARATION'!$D$5="TOUTES",B2760='JOINTS DE RÉPARATION'!$D$5),OR('JOINTS DE RÉPARATION'!$L$4="TOUS",AQ2760&lt;&gt;"ACCEPTÉ")),1,0)</f>
        <v>0</v>
      </c>
      <c r="AV2760" s="82" t="str">
        <f aca="false">IF(AU2760=1,SUM(AU$7:AU2760),"")</f>
        <v/>
      </c>
      <c r="AW2760" s="82" t="str">
        <f aca="false">IF(E2760="","",B2760&amp;"|"&amp;E2760)</f>
        <v/>
      </c>
    </row>
    <row r="2761" customFormat="false" ht="15" hidden="false" customHeight="false" outlineLevel="0" collapsed="false">
      <c r="A2761" s="79" t="str">
        <f aca="false">IF(E2761="","",ROW()-6)</f>
        <v/>
      </c>
      <c r="B2761" s="80"/>
      <c r="C2761" s="81"/>
      <c r="D2761" s="81"/>
      <c r="E2761" s="81"/>
      <c r="F2761" s="82" t="str">
        <f aca="false">IF(E2761="","",IF(LEFT(E2761,2)="DJ","DJ","JN"))</f>
        <v/>
      </c>
      <c r="G2761" s="81"/>
      <c r="H2761" s="81"/>
      <c r="I2761" s="81"/>
      <c r="J2761" s="81"/>
      <c r="K2761" s="81"/>
      <c r="L2761" s="81"/>
      <c r="M2761" s="81"/>
      <c r="N2761" s="81"/>
      <c r="O2761" s="81"/>
      <c r="P2761" s="81"/>
      <c r="Q2761" s="81"/>
      <c r="R2761" s="81"/>
      <c r="S2761" s="81"/>
      <c r="T2761" s="81"/>
      <c r="U2761" s="83"/>
      <c r="V2761" s="83"/>
      <c r="W2761" s="81"/>
      <c r="X2761" s="81"/>
      <c r="Y2761" s="83"/>
      <c r="Z2761" s="81"/>
      <c r="AA2761" s="81"/>
      <c r="AB2761" s="81"/>
      <c r="AC2761" s="81"/>
      <c r="AD2761" s="81"/>
      <c r="AE2761" s="83"/>
      <c r="AF2761" s="81"/>
      <c r="AG2761" s="81"/>
      <c r="AH2761" s="81"/>
      <c r="AI2761" s="81"/>
      <c r="AJ2761" s="83"/>
      <c r="AK2761" s="81"/>
      <c r="AL2761" s="81"/>
      <c r="AM2761" s="83"/>
      <c r="AN2761" s="80"/>
      <c r="AO2761" s="82" t="str">
        <f aca="false">IF(E2761="","",(AA2761&lt;&gt;"")+(AG2761&lt;&gt;"")+(AL2761&lt;&gt;""))</f>
        <v/>
      </c>
      <c r="AP2761" s="82" t="str">
        <f aca="false">IF(AL2761&lt;&gt;"",AL2761,IF(AG2761&lt;&gt;"",AG2761,IF(AA2761&lt;&gt;"",AA2761,"")))</f>
        <v/>
      </c>
      <c r="AQ2761" s="84" t="str">
        <f aca="false">IF(E2761="","",IF(U2761="","À SOUDER",IF(X2761="","VT EN ATTENTE",IF(X2761="R","VT REJETÉ – À REPRENDRE",IF(AP2761="","À RADIOGRAPHIER",IF(AP2761="A","ACCEPTÉ",IF(AP2761="NX","NX – RT À REFAIRE",IF(IF(AO2761=1,AD2761,IF(AO2761=2,AI2761,""))="A","RÉPARÉ – À RADIOGRAPHIER",IF(IF(AO2761=1,AD2761,IF(AO2761=2,AI2761,""))="R","VT REJETÉ – À REPRENDRE",IF(OR(AP2761="CO",AP2761="NT"),"COUPE – À RESOUDER","À RÉPARER"))))))))))</f>
        <v/>
      </c>
      <c r="AR2761" s="82" t="str">
        <f aca="false">IF(AND(ISNUMBER(U2761),OR(AQ2761="À RADIOGRAPHIER",AQ2761="RÉPARÉ – À RADIOGRAPHIER",AQ2761="NX – RT À REFAIRE",AQ2761="À RÉPARER",AQ2761="COUPE – À RESOUDER",AQ2761="VT REJETÉ – À REPRENDRE")),MAX(0,'PROGRAMME RT'!$C$4-U2761),"")</f>
        <v/>
      </c>
      <c r="AS2761" s="82" t="n">
        <f aca="false">IF(AND(OR(AQ2761="À RADIOGRAPHIER",AQ2761="RÉPARÉ – À RADIOGRAPHIER",AQ2761="NX – RT À REFAIRE"),OR('PROGRAMME RT'!$D$5="TOUTES",B2761='PROGRAMME RT'!$D$5)),1,0)</f>
        <v>0</v>
      </c>
      <c r="AT2761" s="82" t="str">
        <f aca="false">IF(AS2761=1,SUM(AS$7:AS2761),"")</f>
        <v/>
      </c>
      <c r="AU2761" s="82" t="n">
        <f aca="false">IF(AND(OR(AA2761="R",AA2761="NX",AA2761="NT",AA2761="CO"),OR('JOINTS DE RÉPARATION'!$D$5="TOUTES",B2761='JOINTS DE RÉPARATION'!$D$5),OR('JOINTS DE RÉPARATION'!$L$4="TOUS",AQ2761&lt;&gt;"ACCEPTÉ")),1,0)</f>
        <v>0</v>
      </c>
      <c r="AV2761" s="82" t="str">
        <f aca="false">IF(AU2761=1,SUM(AU$7:AU2761),"")</f>
        <v/>
      </c>
      <c r="AW2761" s="82" t="str">
        <f aca="false">IF(E2761="","",B2761&amp;"|"&amp;E2761)</f>
        <v/>
      </c>
    </row>
    <row r="2762" customFormat="false" ht="15" hidden="false" customHeight="false" outlineLevel="0" collapsed="false">
      <c r="A2762" s="79" t="str">
        <f aca="false">IF(E2762="","",ROW()-6)</f>
        <v/>
      </c>
      <c r="B2762" s="80"/>
      <c r="C2762" s="81"/>
      <c r="D2762" s="81"/>
      <c r="E2762" s="81"/>
      <c r="F2762" s="82" t="str">
        <f aca="false">IF(E2762="","",IF(LEFT(E2762,2)="DJ","DJ","JN"))</f>
        <v/>
      </c>
      <c r="G2762" s="81"/>
      <c r="H2762" s="81"/>
      <c r="I2762" s="81"/>
      <c r="J2762" s="81"/>
      <c r="K2762" s="81"/>
      <c r="L2762" s="81"/>
      <c r="M2762" s="81"/>
      <c r="N2762" s="81"/>
      <c r="O2762" s="81"/>
      <c r="P2762" s="81"/>
      <c r="Q2762" s="81"/>
      <c r="R2762" s="81"/>
      <c r="S2762" s="81"/>
      <c r="T2762" s="81"/>
      <c r="U2762" s="83"/>
      <c r="V2762" s="83"/>
      <c r="W2762" s="81"/>
      <c r="X2762" s="81"/>
      <c r="Y2762" s="83"/>
      <c r="Z2762" s="81"/>
      <c r="AA2762" s="81"/>
      <c r="AB2762" s="81"/>
      <c r="AC2762" s="81"/>
      <c r="AD2762" s="81"/>
      <c r="AE2762" s="83"/>
      <c r="AF2762" s="81"/>
      <c r="AG2762" s="81"/>
      <c r="AH2762" s="81"/>
      <c r="AI2762" s="81"/>
      <c r="AJ2762" s="83"/>
      <c r="AK2762" s="81"/>
      <c r="AL2762" s="81"/>
      <c r="AM2762" s="83"/>
      <c r="AN2762" s="80"/>
      <c r="AO2762" s="82" t="str">
        <f aca="false">IF(E2762="","",(AA2762&lt;&gt;"")+(AG2762&lt;&gt;"")+(AL2762&lt;&gt;""))</f>
        <v/>
      </c>
      <c r="AP2762" s="82" t="str">
        <f aca="false">IF(AL2762&lt;&gt;"",AL2762,IF(AG2762&lt;&gt;"",AG2762,IF(AA2762&lt;&gt;"",AA2762,"")))</f>
        <v/>
      </c>
      <c r="AQ2762" s="84" t="str">
        <f aca="false">IF(E2762="","",IF(U2762="","À SOUDER",IF(X2762="","VT EN ATTENTE",IF(X2762="R","VT REJETÉ – À REPRENDRE",IF(AP2762="","À RADIOGRAPHIER",IF(AP2762="A","ACCEPTÉ",IF(AP2762="NX","NX – RT À REFAIRE",IF(IF(AO2762=1,AD2762,IF(AO2762=2,AI2762,""))="A","RÉPARÉ – À RADIOGRAPHIER",IF(IF(AO2762=1,AD2762,IF(AO2762=2,AI2762,""))="R","VT REJETÉ – À REPRENDRE",IF(OR(AP2762="CO",AP2762="NT"),"COUPE – À RESOUDER","À RÉPARER"))))))))))</f>
        <v/>
      </c>
      <c r="AR2762" s="82" t="str">
        <f aca="false">IF(AND(ISNUMBER(U2762),OR(AQ2762="À RADIOGRAPHIER",AQ2762="RÉPARÉ – À RADIOGRAPHIER",AQ2762="NX – RT À REFAIRE",AQ2762="À RÉPARER",AQ2762="COUPE – À RESOUDER",AQ2762="VT REJETÉ – À REPRENDRE")),MAX(0,'PROGRAMME RT'!$C$4-U2762),"")</f>
        <v/>
      </c>
      <c r="AS2762" s="82" t="n">
        <f aca="false">IF(AND(OR(AQ2762="À RADIOGRAPHIER",AQ2762="RÉPARÉ – À RADIOGRAPHIER",AQ2762="NX – RT À REFAIRE"),OR('PROGRAMME RT'!$D$5="TOUTES",B2762='PROGRAMME RT'!$D$5)),1,0)</f>
        <v>0</v>
      </c>
      <c r="AT2762" s="82" t="str">
        <f aca="false">IF(AS2762=1,SUM(AS$7:AS2762),"")</f>
        <v/>
      </c>
      <c r="AU2762" s="82" t="n">
        <f aca="false">IF(AND(OR(AA2762="R",AA2762="NX",AA2762="NT",AA2762="CO"),OR('JOINTS DE RÉPARATION'!$D$5="TOUTES",B2762='JOINTS DE RÉPARATION'!$D$5),OR('JOINTS DE RÉPARATION'!$L$4="TOUS",AQ2762&lt;&gt;"ACCEPTÉ")),1,0)</f>
        <v>0</v>
      </c>
      <c r="AV2762" s="82" t="str">
        <f aca="false">IF(AU2762=1,SUM(AU$7:AU2762),"")</f>
        <v/>
      </c>
      <c r="AW2762" s="82" t="str">
        <f aca="false">IF(E2762="","",B2762&amp;"|"&amp;E2762)</f>
        <v/>
      </c>
    </row>
    <row r="2763" customFormat="false" ht="15" hidden="false" customHeight="false" outlineLevel="0" collapsed="false">
      <c r="A2763" s="79" t="str">
        <f aca="false">IF(E2763="","",ROW()-6)</f>
        <v/>
      </c>
      <c r="B2763" s="80"/>
      <c r="C2763" s="81"/>
      <c r="D2763" s="81"/>
      <c r="E2763" s="81"/>
      <c r="F2763" s="82" t="str">
        <f aca="false">IF(E2763="","",IF(LEFT(E2763,2)="DJ","DJ","JN"))</f>
        <v/>
      </c>
      <c r="G2763" s="81"/>
      <c r="H2763" s="81"/>
      <c r="I2763" s="81"/>
      <c r="J2763" s="81"/>
      <c r="K2763" s="81"/>
      <c r="L2763" s="81"/>
      <c r="M2763" s="81"/>
      <c r="N2763" s="81"/>
      <c r="O2763" s="81"/>
      <c r="P2763" s="81"/>
      <c r="Q2763" s="81"/>
      <c r="R2763" s="81"/>
      <c r="S2763" s="81"/>
      <c r="T2763" s="81"/>
      <c r="U2763" s="83"/>
      <c r="V2763" s="83"/>
      <c r="W2763" s="81"/>
      <c r="X2763" s="81"/>
      <c r="Y2763" s="83"/>
      <c r="Z2763" s="81"/>
      <c r="AA2763" s="81"/>
      <c r="AB2763" s="81"/>
      <c r="AC2763" s="81"/>
      <c r="AD2763" s="81"/>
      <c r="AE2763" s="83"/>
      <c r="AF2763" s="81"/>
      <c r="AG2763" s="81"/>
      <c r="AH2763" s="81"/>
      <c r="AI2763" s="81"/>
      <c r="AJ2763" s="83"/>
      <c r="AK2763" s="81"/>
      <c r="AL2763" s="81"/>
      <c r="AM2763" s="83"/>
      <c r="AN2763" s="80"/>
      <c r="AO2763" s="82" t="str">
        <f aca="false">IF(E2763="","",(AA2763&lt;&gt;"")+(AG2763&lt;&gt;"")+(AL2763&lt;&gt;""))</f>
        <v/>
      </c>
      <c r="AP2763" s="82" t="str">
        <f aca="false">IF(AL2763&lt;&gt;"",AL2763,IF(AG2763&lt;&gt;"",AG2763,IF(AA2763&lt;&gt;"",AA2763,"")))</f>
        <v/>
      </c>
      <c r="AQ2763" s="84" t="str">
        <f aca="false">IF(E2763="","",IF(U2763="","À SOUDER",IF(X2763="","VT EN ATTENTE",IF(X2763="R","VT REJETÉ – À REPRENDRE",IF(AP2763="","À RADIOGRAPHIER",IF(AP2763="A","ACCEPTÉ",IF(AP2763="NX","NX – RT À REFAIRE",IF(IF(AO2763=1,AD2763,IF(AO2763=2,AI2763,""))="A","RÉPARÉ – À RADIOGRAPHIER",IF(IF(AO2763=1,AD2763,IF(AO2763=2,AI2763,""))="R","VT REJETÉ – À REPRENDRE",IF(OR(AP2763="CO",AP2763="NT"),"COUPE – À RESOUDER","À RÉPARER"))))))))))</f>
        <v/>
      </c>
      <c r="AR2763" s="82" t="str">
        <f aca="false">IF(AND(ISNUMBER(U2763),OR(AQ2763="À RADIOGRAPHIER",AQ2763="RÉPARÉ – À RADIOGRAPHIER",AQ2763="NX – RT À REFAIRE",AQ2763="À RÉPARER",AQ2763="COUPE – À RESOUDER",AQ2763="VT REJETÉ – À REPRENDRE")),MAX(0,'PROGRAMME RT'!$C$4-U2763),"")</f>
        <v/>
      </c>
      <c r="AS2763" s="82" t="n">
        <f aca="false">IF(AND(OR(AQ2763="À RADIOGRAPHIER",AQ2763="RÉPARÉ – À RADIOGRAPHIER",AQ2763="NX – RT À REFAIRE"),OR('PROGRAMME RT'!$D$5="TOUTES",B2763='PROGRAMME RT'!$D$5)),1,0)</f>
        <v>0</v>
      </c>
      <c r="AT2763" s="82" t="str">
        <f aca="false">IF(AS2763=1,SUM(AS$7:AS2763),"")</f>
        <v/>
      </c>
      <c r="AU2763" s="82" t="n">
        <f aca="false">IF(AND(OR(AA2763="R",AA2763="NX",AA2763="NT",AA2763="CO"),OR('JOINTS DE RÉPARATION'!$D$5="TOUTES",B2763='JOINTS DE RÉPARATION'!$D$5),OR('JOINTS DE RÉPARATION'!$L$4="TOUS",AQ2763&lt;&gt;"ACCEPTÉ")),1,0)</f>
        <v>0</v>
      </c>
      <c r="AV2763" s="82" t="str">
        <f aca="false">IF(AU2763=1,SUM(AU$7:AU2763),"")</f>
        <v/>
      </c>
      <c r="AW2763" s="82" t="str">
        <f aca="false">IF(E2763="","",B2763&amp;"|"&amp;E2763)</f>
        <v/>
      </c>
    </row>
    <row r="2764" customFormat="false" ht="15" hidden="false" customHeight="false" outlineLevel="0" collapsed="false">
      <c r="A2764" s="79" t="str">
        <f aca="false">IF(E2764="","",ROW()-6)</f>
        <v/>
      </c>
      <c r="B2764" s="80"/>
      <c r="C2764" s="81"/>
      <c r="D2764" s="81"/>
      <c r="E2764" s="81"/>
      <c r="F2764" s="82" t="str">
        <f aca="false">IF(E2764="","",IF(LEFT(E2764,2)="DJ","DJ","JN"))</f>
        <v/>
      </c>
      <c r="G2764" s="81"/>
      <c r="H2764" s="81"/>
      <c r="I2764" s="81"/>
      <c r="J2764" s="81"/>
      <c r="K2764" s="81"/>
      <c r="L2764" s="81"/>
      <c r="M2764" s="81"/>
      <c r="N2764" s="81"/>
      <c r="O2764" s="81"/>
      <c r="P2764" s="81"/>
      <c r="Q2764" s="81"/>
      <c r="R2764" s="81"/>
      <c r="S2764" s="81"/>
      <c r="T2764" s="81"/>
      <c r="U2764" s="83"/>
      <c r="V2764" s="83"/>
      <c r="W2764" s="81"/>
      <c r="X2764" s="81"/>
      <c r="Y2764" s="83"/>
      <c r="Z2764" s="81"/>
      <c r="AA2764" s="81"/>
      <c r="AB2764" s="81"/>
      <c r="AC2764" s="81"/>
      <c r="AD2764" s="81"/>
      <c r="AE2764" s="83"/>
      <c r="AF2764" s="81"/>
      <c r="AG2764" s="81"/>
      <c r="AH2764" s="81"/>
      <c r="AI2764" s="81"/>
      <c r="AJ2764" s="83"/>
      <c r="AK2764" s="81"/>
      <c r="AL2764" s="81"/>
      <c r="AM2764" s="83"/>
      <c r="AN2764" s="80"/>
      <c r="AO2764" s="82" t="str">
        <f aca="false">IF(E2764="","",(AA2764&lt;&gt;"")+(AG2764&lt;&gt;"")+(AL2764&lt;&gt;""))</f>
        <v/>
      </c>
      <c r="AP2764" s="82" t="str">
        <f aca="false">IF(AL2764&lt;&gt;"",AL2764,IF(AG2764&lt;&gt;"",AG2764,IF(AA2764&lt;&gt;"",AA2764,"")))</f>
        <v/>
      </c>
      <c r="AQ2764" s="84" t="str">
        <f aca="false">IF(E2764="","",IF(U2764="","À SOUDER",IF(X2764="","VT EN ATTENTE",IF(X2764="R","VT REJETÉ – À REPRENDRE",IF(AP2764="","À RADIOGRAPHIER",IF(AP2764="A","ACCEPTÉ",IF(AP2764="NX","NX – RT À REFAIRE",IF(IF(AO2764=1,AD2764,IF(AO2764=2,AI2764,""))="A","RÉPARÉ – À RADIOGRAPHIER",IF(IF(AO2764=1,AD2764,IF(AO2764=2,AI2764,""))="R","VT REJETÉ – À REPRENDRE",IF(OR(AP2764="CO",AP2764="NT"),"COUPE – À RESOUDER","À RÉPARER"))))))))))</f>
        <v/>
      </c>
      <c r="AR2764" s="82" t="str">
        <f aca="false">IF(AND(ISNUMBER(U2764),OR(AQ2764="À RADIOGRAPHIER",AQ2764="RÉPARÉ – À RADIOGRAPHIER",AQ2764="NX – RT À REFAIRE",AQ2764="À RÉPARER",AQ2764="COUPE – À RESOUDER",AQ2764="VT REJETÉ – À REPRENDRE")),MAX(0,'PROGRAMME RT'!$C$4-U2764),"")</f>
        <v/>
      </c>
      <c r="AS2764" s="82" t="n">
        <f aca="false">IF(AND(OR(AQ2764="À RADIOGRAPHIER",AQ2764="RÉPARÉ – À RADIOGRAPHIER",AQ2764="NX – RT À REFAIRE"),OR('PROGRAMME RT'!$D$5="TOUTES",B2764='PROGRAMME RT'!$D$5)),1,0)</f>
        <v>0</v>
      </c>
      <c r="AT2764" s="82" t="str">
        <f aca="false">IF(AS2764=1,SUM(AS$7:AS2764),"")</f>
        <v/>
      </c>
      <c r="AU2764" s="82" t="n">
        <f aca="false">IF(AND(OR(AA2764="R",AA2764="NX",AA2764="NT",AA2764="CO"),OR('JOINTS DE RÉPARATION'!$D$5="TOUTES",B2764='JOINTS DE RÉPARATION'!$D$5),OR('JOINTS DE RÉPARATION'!$L$4="TOUS",AQ2764&lt;&gt;"ACCEPTÉ")),1,0)</f>
        <v>0</v>
      </c>
      <c r="AV2764" s="82" t="str">
        <f aca="false">IF(AU2764=1,SUM(AU$7:AU2764),"")</f>
        <v/>
      </c>
      <c r="AW2764" s="82" t="str">
        <f aca="false">IF(E2764="","",B2764&amp;"|"&amp;E2764)</f>
        <v/>
      </c>
    </row>
    <row r="2765" customFormat="false" ht="15" hidden="false" customHeight="false" outlineLevel="0" collapsed="false">
      <c r="A2765" s="79" t="str">
        <f aca="false">IF(E2765="","",ROW()-6)</f>
        <v/>
      </c>
      <c r="B2765" s="80"/>
      <c r="C2765" s="81"/>
      <c r="D2765" s="81"/>
      <c r="E2765" s="81"/>
      <c r="F2765" s="82" t="str">
        <f aca="false">IF(E2765="","",IF(LEFT(E2765,2)="DJ","DJ","JN"))</f>
        <v/>
      </c>
      <c r="G2765" s="81"/>
      <c r="H2765" s="81"/>
      <c r="I2765" s="81"/>
      <c r="J2765" s="81"/>
      <c r="K2765" s="81"/>
      <c r="L2765" s="81"/>
      <c r="M2765" s="81"/>
      <c r="N2765" s="81"/>
      <c r="O2765" s="81"/>
      <c r="P2765" s="81"/>
      <c r="Q2765" s="81"/>
      <c r="R2765" s="81"/>
      <c r="S2765" s="81"/>
      <c r="T2765" s="81"/>
      <c r="U2765" s="83"/>
      <c r="V2765" s="83"/>
      <c r="W2765" s="81"/>
      <c r="X2765" s="81"/>
      <c r="Y2765" s="83"/>
      <c r="Z2765" s="81"/>
      <c r="AA2765" s="81"/>
      <c r="AB2765" s="81"/>
      <c r="AC2765" s="81"/>
      <c r="AD2765" s="81"/>
      <c r="AE2765" s="83"/>
      <c r="AF2765" s="81"/>
      <c r="AG2765" s="81"/>
      <c r="AH2765" s="81"/>
      <c r="AI2765" s="81"/>
      <c r="AJ2765" s="83"/>
      <c r="AK2765" s="81"/>
      <c r="AL2765" s="81"/>
      <c r="AM2765" s="83"/>
      <c r="AN2765" s="80"/>
      <c r="AO2765" s="82" t="str">
        <f aca="false">IF(E2765="","",(AA2765&lt;&gt;"")+(AG2765&lt;&gt;"")+(AL2765&lt;&gt;""))</f>
        <v/>
      </c>
      <c r="AP2765" s="82" t="str">
        <f aca="false">IF(AL2765&lt;&gt;"",AL2765,IF(AG2765&lt;&gt;"",AG2765,IF(AA2765&lt;&gt;"",AA2765,"")))</f>
        <v/>
      </c>
      <c r="AQ2765" s="84" t="str">
        <f aca="false">IF(E2765="","",IF(U2765="","À SOUDER",IF(X2765="","VT EN ATTENTE",IF(X2765="R","VT REJETÉ – À REPRENDRE",IF(AP2765="","À RADIOGRAPHIER",IF(AP2765="A","ACCEPTÉ",IF(AP2765="NX","NX – RT À REFAIRE",IF(IF(AO2765=1,AD2765,IF(AO2765=2,AI2765,""))="A","RÉPARÉ – À RADIOGRAPHIER",IF(IF(AO2765=1,AD2765,IF(AO2765=2,AI2765,""))="R","VT REJETÉ – À REPRENDRE",IF(OR(AP2765="CO",AP2765="NT"),"COUPE – À RESOUDER","À RÉPARER"))))))))))</f>
        <v/>
      </c>
      <c r="AR2765" s="82" t="str">
        <f aca="false">IF(AND(ISNUMBER(U2765),OR(AQ2765="À RADIOGRAPHIER",AQ2765="RÉPARÉ – À RADIOGRAPHIER",AQ2765="NX – RT À REFAIRE",AQ2765="À RÉPARER",AQ2765="COUPE – À RESOUDER",AQ2765="VT REJETÉ – À REPRENDRE")),MAX(0,'PROGRAMME RT'!$C$4-U2765),"")</f>
        <v/>
      </c>
      <c r="AS2765" s="82" t="n">
        <f aca="false">IF(AND(OR(AQ2765="À RADIOGRAPHIER",AQ2765="RÉPARÉ – À RADIOGRAPHIER",AQ2765="NX – RT À REFAIRE"),OR('PROGRAMME RT'!$D$5="TOUTES",B2765='PROGRAMME RT'!$D$5)),1,0)</f>
        <v>0</v>
      </c>
      <c r="AT2765" s="82" t="str">
        <f aca="false">IF(AS2765=1,SUM(AS$7:AS2765),"")</f>
        <v/>
      </c>
      <c r="AU2765" s="82" t="n">
        <f aca="false">IF(AND(OR(AA2765="R",AA2765="NX",AA2765="NT",AA2765="CO"),OR('JOINTS DE RÉPARATION'!$D$5="TOUTES",B2765='JOINTS DE RÉPARATION'!$D$5),OR('JOINTS DE RÉPARATION'!$L$4="TOUS",AQ2765&lt;&gt;"ACCEPTÉ")),1,0)</f>
        <v>0</v>
      </c>
      <c r="AV2765" s="82" t="str">
        <f aca="false">IF(AU2765=1,SUM(AU$7:AU2765),"")</f>
        <v/>
      </c>
      <c r="AW2765" s="82" t="str">
        <f aca="false">IF(E2765="","",B2765&amp;"|"&amp;E2765)</f>
        <v/>
      </c>
    </row>
    <row r="2766" customFormat="false" ht="15" hidden="false" customHeight="false" outlineLevel="0" collapsed="false">
      <c r="A2766" s="79" t="str">
        <f aca="false">IF(E2766="","",ROW()-6)</f>
        <v/>
      </c>
      <c r="B2766" s="80"/>
      <c r="C2766" s="81"/>
      <c r="D2766" s="81"/>
      <c r="E2766" s="81"/>
      <c r="F2766" s="82" t="str">
        <f aca="false">IF(E2766="","",IF(LEFT(E2766,2)="DJ","DJ","JN"))</f>
        <v/>
      </c>
      <c r="G2766" s="81"/>
      <c r="H2766" s="81"/>
      <c r="I2766" s="81"/>
      <c r="J2766" s="81"/>
      <c r="K2766" s="81"/>
      <c r="L2766" s="81"/>
      <c r="M2766" s="81"/>
      <c r="N2766" s="81"/>
      <c r="O2766" s="81"/>
      <c r="P2766" s="81"/>
      <c r="Q2766" s="81"/>
      <c r="R2766" s="81"/>
      <c r="S2766" s="81"/>
      <c r="T2766" s="81"/>
      <c r="U2766" s="83"/>
      <c r="V2766" s="83"/>
      <c r="W2766" s="81"/>
      <c r="X2766" s="81"/>
      <c r="Y2766" s="83"/>
      <c r="Z2766" s="81"/>
      <c r="AA2766" s="81"/>
      <c r="AB2766" s="81"/>
      <c r="AC2766" s="81"/>
      <c r="AD2766" s="81"/>
      <c r="AE2766" s="83"/>
      <c r="AF2766" s="81"/>
      <c r="AG2766" s="81"/>
      <c r="AH2766" s="81"/>
      <c r="AI2766" s="81"/>
      <c r="AJ2766" s="83"/>
      <c r="AK2766" s="81"/>
      <c r="AL2766" s="81"/>
      <c r="AM2766" s="83"/>
      <c r="AN2766" s="80"/>
      <c r="AO2766" s="82" t="str">
        <f aca="false">IF(E2766="","",(AA2766&lt;&gt;"")+(AG2766&lt;&gt;"")+(AL2766&lt;&gt;""))</f>
        <v/>
      </c>
      <c r="AP2766" s="82" t="str">
        <f aca="false">IF(AL2766&lt;&gt;"",AL2766,IF(AG2766&lt;&gt;"",AG2766,IF(AA2766&lt;&gt;"",AA2766,"")))</f>
        <v/>
      </c>
      <c r="AQ2766" s="84" t="str">
        <f aca="false">IF(E2766="","",IF(U2766="","À SOUDER",IF(X2766="","VT EN ATTENTE",IF(X2766="R","VT REJETÉ – À REPRENDRE",IF(AP2766="","À RADIOGRAPHIER",IF(AP2766="A","ACCEPTÉ",IF(AP2766="NX","NX – RT À REFAIRE",IF(IF(AO2766=1,AD2766,IF(AO2766=2,AI2766,""))="A","RÉPARÉ – À RADIOGRAPHIER",IF(IF(AO2766=1,AD2766,IF(AO2766=2,AI2766,""))="R","VT REJETÉ – À REPRENDRE",IF(OR(AP2766="CO",AP2766="NT"),"COUPE – À RESOUDER","À RÉPARER"))))))))))</f>
        <v/>
      </c>
      <c r="AR2766" s="82" t="str">
        <f aca="false">IF(AND(ISNUMBER(U2766),OR(AQ2766="À RADIOGRAPHIER",AQ2766="RÉPARÉ – À RADIOGRAPHIER",AQ2766="NX – RT À REFAIRE",AQ2766="À RÉPARER",AQ2766="COUPE – À RESOUDER",AQ2766="VT REJETÉ – À REPRENDRE")),MAX(0,'PROGRAMME RT'!$C$4-U2766),"")</f>
        <v/>
      </c>
      <c r="AS2766" s="82" t="n">
        <f aca="false">IF(AND(OR(AQ2766="À RADIOGRAPHIER",AQ2766="RÉPARÉ – À RADIOGRAPHIER",AQ2766="NX – RT À REFAIRE"),OR('PROGRAMME RT'!$D$5="TOUTES",B2766='PROGRAMME RT'!$D$5)),1,0)</f>
        <v>0</v>
      </c>
      <c r="AT2766" s="82" t="str">
        <f aca="false">IF(AS2766=1,SUM(AS$7:AS2766),"")</f>
        <v/>
      </c>
      <c r="AU2766" s="82" t="n">
        <f aca="false">IF(AND(OR(AA2766="R",AA2766="NX",AA2766="NT",AA2766="CO"),OR('JOINTS DE RÉPARATION'!$D$5="TOUTES",B2766='JOINTS DE RÉPARATION'!$D$5),OR('JOINTS DE RÉPARATION'!$L$4="TOUS",AQ2766&lt;&gt;"ACCEPTÉ")),1,0)</f>
        <v>0</v>
      </c>
      <c r="AV2766" s="82" t="str">
        <f aca="false">IF(AU2766=1,SUM(AU$7:AU2766),"")</f>
        <v/>
      </c>
      <c r="AW2766" s="82" t="str">
        <f aca="false">IF(E2766="","",B2766&amp;"|"&amp;E2766)</f>
        <v/>
      </c>
    </row>
    <row r="2767" customFormat="false" ht="15" hidden="false" customHeight="false" outlineLevel="0" collapsed="false">
      <c r="A2767" s="79" t="str">
        <f aca="false">IF(E2767="","",ROW()-6)</f>
        <v/>
      </c>
      <c r="B2767" s="80"/>
      <c r="C2767" s="81"/>
      <c r="D2767" s="81"/>
      <c r="E2767" s="81"/>
      <c r="F2767" s="82" t="str">
        <f aca="false">IF(E2767="","",IF(LEFT(E2767,2)="DJ","DJ","JN"))</f>
        <v/>
      </c>
      <c r="G2767" s="81"/>
      <c r="H2767" s="81"/>
      <c r="I2767" s="81"/>
      <c r="J2767" s="81"/>
      <c r="K2767" s="81"/>
      <c r="L2767" s="81"/>
      <c r="M2767" s="81"/>
      <c r="N2767" s="81"/>
      <c r="O2767" s="81"/>
      <c r="P2767" s="81"/>
      <c r="Q2767" s="81"/>
      <c r="R2767" s="81"/>
      <c r="S2767" s="81"/>
      <c r="T2767" s="81"/>
      <c r="U2767" s="83"/>
      <c r="V2767" s="83"/>
      <c r="W2767" s="81"/>
      <c r="X2767" s="81"/>
      <c r="Y2767" s="83"/>
      <c r="Z2767" s="81"/>
      <c r="AA2767" s="81"/>
      <c r="AB2767" s="81"/>
      <c r="AC2767" s="81"/>
      <c r="AD2767" s="81"/>
      <c r="AE2767" s="83"/>
      <c r="AF2767" s="81"/>
      <c r="AG2767" s="81"/>
      <c r="AH2767" s="81"/>
      <c r="AI2767" s="81"/>
      <c r="AJ2767" s="83"/>
      <c r="AK2767" s="81"/>
      <c r="AL2767" s="81"/>
      <c r="AM2767" s="83"/>
      <c r="AN2767" s="80"/>
      <c r="AO2767" s="82" t="str">
        <f aca="false">IF(E2767="","",(AA2767&lt;&gt;"")+(AG2767&lt;&gt;"")+(AL2767&lt;&gt;""))</f>
        <v/>
      </c>
      <c r="AP2767" s="82" t="str">
        <f aca="false">IF(AL2767&lt;&gt;"",AL2767,IF(AG2767&lt;&gt;"",AG2767,IF(AA2767&lt;&gt;"",AA2767,"")))</f>
        <v/>
      </c>
      <c r="AQ2767" s="84" t="str">
        <f aca="false">IF(E2767="","",IF(U2767="","À SOUDER",IF(X2767="","VT EN ATTENTE",IF(X2767="R","VT REJETÉ – À REPRENDRE",IF(AP2767="","À RADIOGRAPHIER",IF(AP2767="A","ACCEPTÉ",IF(AP2767="NX","NX – RT À REFAIRE",IF(IF(AO2767=1,AD2767,IF(AO2767=2,AI2767,""))="A","RÉPARÉ – À RADIOGRAPHIER",IF(IF(AO2767=1,AD2767,IF(AO2767=2,AI2767,""))="R","VT REJETÉ – À REPRENDRE",IF(OR(AP2767="CO",AP2767="NT"),"COUPE – À RESOUDER","À RÉPARER"))))))))))</f>
        <v/>
      </c>
      <c r="AR2767" s="82" t="str">
        <f aca="false">IF(AND(ISNUMBER(U2767),OR(AQ2767="À RADIOGRAPHIER",AQ2767="RÉPARÉ – À RADIOGRAPHIER",AQ2767="NX – RT À REFAIRE",AQ2767="À RÉPARER",AQ2767="COUPE – À RESOUDER",AQ2767="VT REJETÉ – À REPRENDRE")),MAX(0,'PROGRAMME RT'!$C$4-U2767),"")</f>
        <v/>
      </c>
      <c r="AS2767" s="82" t="n">
        <f aca="false">IF(AND(OR(AQ2767="À RADIOGRAPHIER",AQ2767="RÉPARÉ – À RADIOGRAPHIER",AQ2767="NX – RT À REFAIRE"),OR('PROGRAMME RT'!$D$5="TOUTES",B2767='PROGRAMME RT'!$D$5)),1,0)</f>
        <v>0</v>
      </c>
      <c r="AT2767" s="82" t="str">
        <f aca="false">IF(AS2767=1,SUM(AS$7:AS2767),"")</f>
        <v/>
      </c>
      <c r="AU2767" s="82" t="n">
        <f aca="false">IF(AND(OR(AA2767="R",AA2767="NX",AA2767="NT",AA2767="CO"),OR('JOINTS DE RÉPARATION'!$D$5="TOUTES",B2767='JOINTS DE RÉPARATION'!$D$5),OR('JOINTS DE RÉPARATION'!$L$4="TOUS",AQ2767&lt;&gt;"ACCEPTÉ")),1,0)</f>
        <v>0</v>
      </c>
      <c r="AV2767" s="82" t="str">
        <f aca="false">IF(AU2767=1,SUM(AU$7:AU2767),"")</f>
        <v/>
      </c>
      <c r="AW2767" s="82" t="str">
        <f aca="false">IF(E2767="","",B2767&amp;"|"&amp;E2767)</f>
        <v/>
      </c>
    </row>
    <row r="2768" customFormat="false" ht="15" hidden="false" customHeight="false" outlineLevel="0" collapsed="false">
      <c r="A2768" s="79" t="str">
        <f aca="false">IF(E2768="","",ROW()-6)</f>
        <v/>
      </c>
      <c r="B2768" s="80"/>
      <c r="C2768" s="81"/>
      <c r="D2768" s="81"/>
      <c r="E2768" s="81"/>
      <c r="F2768" s="82" t="str">
        <f aca="false">IF(E2768="","",IF(LEFT(E2768,2)="DJ","DJ","JN"))</f>
        <v/>
      </c>
      <c r="G2768" s="81"/>
      <c r="H2768" s="81"/>
      <c r="I2768" s="81"/>
      <c r="J2768" s="81"/>
      <c r="K2768" s="81"/>
      <c r="L2768" s="81"/>
      <c r="M2768" s="81"/>
      <c r="N2768" s="81"/>
      <c r="O2768" s="81"/>
      <c r="P2768" s="81"/>
      <c r="Q2768" s="81"/>
      <c r="R2768" s="81"/>
      <c r="S2768" s="81"/>
      <c r="T2768" s="81"/>
      <c r="U2768" s="83"/>
      <c r="V2768" s="83"/>
      <c r="W2768" s="81"/>
      <c r="X2768" s="81"/>
      <c r="Y2768" s="83"/>
      <c r="Z2768" s="81"/>
      <c r="AA2768" s="81"/>
      <c r="AB2768" s="81"/>
      <c r="AC2768" s="81"/>
      <c r="AD2768" s="81"/>
      <c r="AE2768" s="83"/>
      <c r="AF2768" s="81"/>
      <c r="AG2768" s="81"/>
      <c r="AH2768" s="81"/>
      <c r="AI2768" s="81"/>
      <c r="AJ2768" s="83"/>
      <c r="AK2768" s="81"/>
      <c r="AL2768" s="81"/>
      <c r="AM2768" s="83"/>
      <c r="AN2768" s="80"/>
      <c r="AO2768" s="82" t="str">
        <f aca="false">IF(E2768="","",(AA2768&lt;&gt;"")+(AG2768&lt;&gt;"")+(AL2768&lt;&gt;""))</f>
        <v/>
      </c>
      <c r="AP2768" s="82" t="str">
        <f aca="false">IF(AL2768&lt;&gt;"",AL2768,IF(AG2768&lt;&gt;"",AG2768,IF(AA2768&lt;&gt;"",AA2768,"")))</f>
        <v/>
      </c>
      <c r="AQ2768" s="84" t="str">
        <f aca="false">IF(E2768="","",IF(U2768="","À SOUDER",IF(X2768="","VT EN ATTENTE",IF(X2768="R","VT REJETÉ – À REPRENDRE",IF(AP2768="","À RADIOGRAPHIER",IF(AP2768="A","ACCEPTÉ",IF(AP2768="NX","NX – RT À REFAIRE",IF(IF(AO2768=1,AD2768,IF(AO2768=2,AI2768,""))="A","RÉPARÉ – À RADIOGRAPHIER",IF(IF(AO2768=1,AD2768,IF(AO2768=2,AI2768,""))="R","VT REJETÉ – À REPRENDRE",IF(OR(AP2768="CO",AP2768="NT"),"COUPE – À RESOUDER","À RÉPARER"))))))))))</f>
        <v/>
      </c>
      <c r="AR2768" s="82" t="str">
        <f aca="false">IF(AND(ISNUMBER(U2768),OR(AQ2768="À RADIOGRAPHIER",AQ2768="RÉPARÉ – À RADIOGRAPHIER",AQ2768="NX – RT À REFAIRE",AQ2768="À RÉPARER",AQ2768="COUPE – À RESOUDER",AQ2768="VT REJETÉ – À REPRENDRE")),MAX(0,'PROGRAMME RT'!$C$4-U2768),"")</f>
        <v/>
      </c>
      <c r="AS2768" s="82" t="n">
        <f aca="false">IF(AND(OR(AQ2768="À RADIOGRAPHIER",AQ2768="RÉPARÉ – À RADIOGRAPHIER",AQ2768="NX – RT À REFAIRE"),OR('PROGRAMME RT'!$D$5="TOUTES",B2768='PROGRAMME RT'!$D$5)),1,0)</f>
        <v>0</v>
      </c>
      <c r="AT2768" s="82" t="str">
        <f aca="false">IF(AS2768=1,SUM(AS$7:AS2768),"")</f>
        <v/>
      </c>
      <c r="AU2768" s="82" t="n">
        <f aca="false">IF(AND(OR(AA2768="R",AA2768="NX",AA2768="NT",AA2768="CO"),OR('JOINTS DE RÉPARATION'!$D$5="TOUTES",B2768='JOINTS DE RÉPARATION'!$D$5),OR('JOINTS DE RÉPARATION'!$L$4="TOUS",AQ2768&lt;&gt;"ACCEPTÉ")),1,0)</f>
        <v>0</v>
      </c>
      <c r="AV2768" s="82" t="str">
        <f aca="false">IF(AU2768=1,SUM(AU$7:AU2768),"")</f>
        <v/>
      </c>
      <c r="AW2768" s="82" t="str">
        <f aca="false">IF(E2768="","",B2768&amp;"|"&amp;E2768)</f>
        <v/>
      </c>
    </row>
    <row r="2769" customFormat="false" ht="15" hidden="false" customHeight="false" outlineLevel="0" collapsed="false">
      <c r="A2769" s="79" t="str">
        <f aca="false">IF(E2769="","",ROW()-6)</f>
        <v/>
      </c>
      <c r="B2769" s="80"/>
      <c r="C2769" s="81"/>
      <c r="D2769" s="81"/>
      <c r="E2769" s="81"/>
      <c r="F2769" s="82" t="str">
        <f aca="false">IF(E2769="","",IF(LEFT(E2769,2)="DJ","DJ","JN"))</f>
        <v/>
      </c>
      <c r="G2769" s="81"/>
      <c r="H2769" s="81"/>
      <c r="I2769" s="81"/>
      <c r="J2769" s="81"/>
      <c r="K2769" s="81"/>
      <c r="L2769" s="81"/>
      <c r="M2769" s="81"/>
      <c r="N2769" s="81"/>
      <c r="O2769" s="81"/>
      <c r="P2769" s="81"/>
      <c r="Q2769" s="81"/>
      <c r="R2769" s="81"/>
      <c r="S2769" s="81"/>
      <c r="T2769" s="81"/>
      <c r="U2769" s="83"/>
      <c r="V2769" s="83"/>
      <c r="W2769" s="81"/>
      <c r="X2769" s="81"/>
      <c r="Y2769" s="83"/>
      <c r="Z2769" s="81"/>
      <c r="AA2769" s="81"/>
      <c r="AB2769" s="81"/>
      <c r="AC2769" s="81"/>
      <c r="AD2769" s="81"/>
      <c r="AE2769" s="83"/>
      <c r="AF2769" s="81"/>
      <c r="AG2769" s="81"/>
      <c r="AH2769" s="81"/>
      <c r="AI2769" s="81"/>
      <c r="AJ2769" s="83"/>
      <c r="AK2769" s="81"/>
      <c r="AL2769" s="81"/>
      <c r="AM2769" s="83"/>
      <c r="AN2769" s="80"/>
      <c r="AO2769" s="82" t="str">
        <f aca="false">IF(E2769="","",(AA2769&lt;&gt;"")+(AG2769&lt;&gt;"")+(AL2769&lt;&gt;""))</f>
        <v/>
      </c>
      <c r="AP2769" s="82" t="str">
        <f aca="false">IF(AL2769&lt;&gt;"",AL2769,IF(AG2769&lt;&gt;"",AG2769,IF(AA2769&lt;&gt;"",AA2769,"")))</f>
        <v/>
      </c>
      <c r="AQ2769" s="84" t="str">
        <f aca="false">IF(E2769="","",IF(U2769="","À SOUDER",IF(X2769="","VT EN ATTENTE",IF(X2769="R","VT REJETÉ – À REPRENDRE",IF(AP2769="","À RADIOGRAPHIER",IF(AP2769="A","ACCEPTÉ",IF(AP2769="NX","NX – RT À REFAIRE",IF(IF(AO2769=1,AD2769,IF(AO2769=2,AI2769,""))="A","RÉPARÉ – À RADIOGRAPHIER",IF(IF(AO2769=1,AD2769,IF(AO2769=2,AI2769,""))="R","VT REJETÉ – À REPRENDRE",IF(OR(AP2769="CO",AP2769="NT"),"COUPE – À RESOUDER","À RÉPARER"))))))))))</f>
        <v/>
      </c>
      <c r="AR2769" s="82" t="str">
        <f aca="false">IF(AND(ISNUMBER(U2769),OR(AQ2769="À RADIOGRAPHIER",AQ2769="RÉPARÉ – À RADIOGRAPHIER",AQ2769="NX – RT À REFAIRE",AQ2769="À RÉPARER",AQ2769="COUPE – À RESOUDER",AQ2769="VT REJETÉ – À REPRENDRE")),MAX(0,'PROGRAMME RT'!$C$4-U2769),"")</f>
        <v/>
      </c>
      <c r="AS2769" s="82" t="n">
        <f aca="false">IF(AND(OR(AQ2769="À RADIOGRAPHIER",AQ2769="RÉPARÉ – À RADIOGRAPHIER",AQ2769="NX – RT À REFAIRE"),OR('PROGRAMME RT'!$D$5="TOUTES",B2769='PROGRAMME RT'!$D$5)),1,0)</f>
        <v>0</v>
      </c>
      <c r="AT2769" s="82" t="str">
        <f aca="false">IF(AS2769=1,SUM(AS$7:AS2769),"")</f>
        <v/>
      </c>
      <c r="AU2769" s="82" t="n">
        <f aca="false">IF(AND(OR(AA2769="R",AA2769="NX",AA2769="NT",AA2769="CO"),OR('JOINTS DE RÉPARATION'!$D$5="TOUTES",B2769='JOINTS DE RÉPARATION'!$D$5),OR('JOINTS DE RÉPARATION'!$L$4="TOUS",AQ2769&lt;&gt;"ACCEPTÉ")),1,0)</f>
        <v>0</v>
      </c>
      <c r="AV2769" s="82" t="str">
        <f aca="false">IF(AU2769=1,SUM(AU$7:AU2769),"")</f>
        <v/>
      </c>
      <c r="AW2769" s="82" t="str">
        <f aca="false">IF(E2769="","",B2769&amp;"|"&amp;E2769)</f>
        <v/>
      </c>
    </row>
    <row r="2770" customFormat="false" ht="15" hidden="false" customHeight="false" outlineLevel="0" collapsed="false">
      <c r="A2770" s="79" t="str">
        <f aca="false">IF(E2770="","",ROW()-6)</f>
        <v/>
      </c>
      <c r="B2770" s="80"/>
      <c r="C2770" s="81"/>
      <c r="D2770" s="81"/>
      <c r="E2770" s="81"/>
      <c r="F2770" s="82" t="str">
        <f aca="false">IF(E2770="","",IF(LEFT(E2770,2)="DJ","DJ","JN"))</f>
        <v/>
      </c>
      <c r="G2770" s="81"/>
      <c r="H2770" s="81"/>
      <c r="I2770" s="81"/>
      <c r="J2770" s="81"/>
      <c r="K2770" s="81"/>
      <c r="L2770" s="81"/>
      <c r="M2770" s="81"/>
      <c r="N2770" s="81"/>
      <c r="O2770" s="81"/>
      <c r="P2770" s="81"/>
      <c r="Q2770" s="81"/>
      <c r="R2770" s="81"/>
      <c r="S2770" s="81"/>
      <c r="T2770" s="81"/>
      <c r="U2770" s="83"/>
      <c r="V2770" s="83"/>
      <c r="W2770" s="81"/>
      <c r="X2770" s="81"/>
      <c r="Y2770" s="83"/>
      <c r="Z2770" s="81"/>
      <c r="AA2770" s="81"/>
      <c r="AB2770" s="81"/>
      <c r="AC2770" s="81"/>
      <c r="AD2770" s="81"/>
      <c r="AE2770" s="83"/>
      <c r="AF2770" s="81"/>
      <c r="AG2770" s="81"/>
      <c r="AH2770" s="81"/>
      <c r="AI2770" s="81"/>
      <c r="AJ2770" s="83"/>
      <c r="AK2770" s="81"/>
      <c r="AL2770" s="81"/>
      <c r="AM2770" s="83"/>
      <c r="AN2770" s="80"/>
      <c r="AO2770" s="82" t="str">
        <f aca="false">IF(E2770="","",(AA2770&lt;&gt;"")+(AG2770&lt;&gt;"")+(AL2770&lt;&gt;""))</f>
        <v/>
      </c>
      <c r="AP2770" s="82" t="str">
        <f aca="false">IF(AL2770&lt;&gt;"",AL2770,IF(AG2770&lt;&gt;"",AG2770,IF(AA2770&lt;&gt;"",AA2770,"")))</f>
        <v/>
      </c>
      <c r="AQ2770" s="84" t="str">
        <f aca="false">IF(E2770="","",IF(U2770="","À SOUDER",IF(X2770="","VT EN ATTENTE",IF(X2770="R","VT REJETÉ – À REPRENDRE",IF(AP2770="","À RADIOGRAPHIER",IF(AP2770="A","ACCEPTÉ",IF(AP2770="NX","NX – RT À REFAIRE",IF(IF(AO2770=1,AD2770,IF(AO2770=2,AI2770,""))="A","RÉPARÉ – À RADIOGRAPHIER",IF(IF(AO2770=1,AD2770,IF(AO2770=2,AI2770,""))="R","VT REJETÉ – À REPRENDRE",IF(OR(AP2770="CO",AP2770="NT"),"COUPE – À RESOUDER","À RÉPARER"))))))))))</f>
        <v/>
      </c>
      <c r="AR2770" s="82" t="str">
        <f aca="false">IF(AND(ISNUMBER(U2770),OR(AQ2770="À RADIOGRAPHIER",AQ2770="RÉPARÉ – À RADIOGRAPHIER",AQ2770="NX – RT À REFAIRE",AQ2770="À RÉPARER",AQ2770="COUPE – À RESOUDER",AQ2770="VT REJETÉ – À REPRENDRE")),MAX(0,'PROGRAMME RT'!$C$4-U2770),"")</f>
        <v/>
      </c>
      <c r="AS2770" s="82" t="n">
        <f aca="false">IF(AND(OR(AQ2770="À RADIOGRAPHIER",AQ2770="RÉPARÉ – À RADIOGRAPHIER",AQ2770="NX – RT À REFAIRE"),OR('PROGRAMME RT'!$D$5="TOUTES",B2770='PROGRAMME RT'!$D$5)),1,0)</f>
        <v>0</v>
      </c>
      <c r="AT2770" s="82" t="str">
        <f aca="false">IF(AS2770=1,SUM(AS$7:AS2770),"")</f>
        <v/>
      </c>
      <c r="AU2770" s="82" t="n">
        <f aca="false">IF(AND(OR(AA2770="R",AA2770="NX",AA2770="NT",AA2770="CO"),OR('JOINTS DE RÉPARATION'!$D$5="TOUTES",B2770='JOINTS DE RÉPARATION'!$D$5),OR('JOINTS DE RÉPARATION'!$L$4="TOUS",AQ2770&lt;&gt;"ACCEPTÉ")),1,0)</f>
        <v>0</v>
      </c>
      <c r="AV2770" s="82" t="str">
        <f aca="false">IF(AU2770=1,SUM(AU$7:AU2770),"")</f>
        <v/>
      </c>
      <c r="AW2770" s="82" t="str">
        <f aca="false">IF(E2770="","",B2770&amp;"|"&amp;E2770)</f>
        <v/>
      </c>
    </row>
    <row r="2771" customFormat="false" ht="15" hidden="false" customHeight="false" outlineLevel="0" collapsed="false">
      <c r="A2771" s="79" t="str">
        <f aca="false">IF(E2771="","",ROW()-6)</f>
        <v/>
      </c>
      <c r="B2771" s="80"/>
      <c r="C2771" s="81"/>
      <c r="D2771" s="81"/>
      <c r="E2771" s="81"/>
      <c r="F2771" s="82" t="str">
        <f aca="false">IF(E2771="","",IF(LEFT(E2771,2)="DJ","DJ","JN"))</f>
        <v/>
      </c>
      <c r="G2771" s="81"/>
      <c r="H2771" s="81"/>
      <c r="I2771" s="81"/>
      <c r="J2771" s="81"/>
      <c r="K2771" s="81"/>
      <c r="L2771" s="81"/>
      <c r="M2771" s="81"/>
      <c r="N2771" s="81"/>
      <c r="O2771" s="81"/>
      <c r="P2771" s="81"/>
      <c r="Q2771" s="81"/>
      <c r="R2771" s="81"/>
      <c r="S2771" s="81"/>
      <c r="T2771" s="81"/>
      <c r="U2771" s="83"/>
      <c r="V2771" s="83"/>
      <c r="W2771" s="81"/>
      <c r="X2771" s="81"/>
      <c r="Y2771" s="83"/>
      <c r="Z2771" s="81"/>
      <c r="AA2771" s="81"/>
      <c r="AB2771" s="81"/>
      <c r="AC2771" s="81"/>
      <c r="AD2771" s="81"/>
      <c r="AE2771" s="83"/>
      <c r="AF2771" s="81"/>
      <c r="AG2771" s="81"/>
      <c r="AH2771" s="81"/>
      <c r="AI2771" s="81"/>
      <c r="AJ2771" s="83"/>
      <c r="AK2771" s="81"/>
      <c r="AL2771" s="81"/>
      <c r="AM2771" s="83"/>
      <c r="AN2771" s="80"/>
      <c r="AO2771" s="82" t="str">
        <f aca="false">IF(E2771="","",(AA2771&lt;&gt;"")+(AG2771&lt;&gt;"")+(AL2771&lt;&gt;""))</f>
        <v/>
      </c>
      <c r="AP2771" s="82" t="str">
        <f aca="false">IF(AL2771&lt;&gt;"",AL2771,IF(AG2771&lt;&gt;"",AG2771,IF(AA2771&lt;&gt;"",AA2771,"")))</f>
        <v/>
      </c>
      <c r="AQ2771" s="84" t="str">
        <f aca="false">IF(E2771="","",IF(U2771="","À SOUDER",IF(X2771="","VT EN ATTENTE",IF(X2771="R","VT REJETÉ – À REPRENDRE",IF(AP2771="","À RADIOGRAPHIER",IF(AP2771="A","ACCEPTÉ",IF(AP2771="NX","NX – RT À REFAIRE",IF(IF(AO2771=1,AD2771,IF(AO2771=2,AI2771,""))="A","RÉPARÉ – À RADIOGRAPHIER",IF(IF(AO2771=1,AD2771,IF(AO2771=2,AI2771,""))="R","VT REJETÉ – À REPRENDRE",IF(OR(AP2771="CO",AP2771="NT"),"COUPE – À RESOUDER","À RÉPARER"))))))))))</f>
        <v/>
      </c>
      <c r="AR2771" s="82" t="str">
        <f aca="false">IF(AND(ISNUMBER(U2771),OR(AQ2771="À RADIOGRAPHIER",AQ2771="RÉPARÉ – À RADIOGRAPHIER",AQ2771="NX – RT À REFAIRE",AQ2771="À RÉPARER",AQ2771="COUPE – À RESOUDER",AQ2771="VT REJETÉ – À REPRENDRE")),MAX(0,'PROGRAMME RT'!$C$4-U2771),"")</f>
        <v/>
      </c>
      <c r="AS2771" s="82" t="n">
        <f aca="false">IF(AND(OR(AQ2771="À RADIOGRAPHIER",AQ2771="RÉPARÉ – À RADIOGRAPHIER",AQ2771="NX – RT À REFAIRE"),OR('PROGRAMME RT'!$D$5="TOUTES",B2771='PROGRAMME RT'!$D$5)),1,0)</f>
        <v>0</v>
      </c>
      <c r="AT2771" s="82" t="str">
        <f aca="false">IF(AS2771=1,SUM(AS$7:AS2771),"")</f>
        <v/>
      </c>
      <c r="AU2771" s="82" t="n">
        <f aca="false">IF(AND(OR(AA2771="R",AA2771="NX",AA2771="NT",AA2771="CO"),OR('JOINTS DE RÉPARATION'!$D$5="TOUTES",B2771='JOINTS DE RÉPARATION'!$D$5),OR('JOINTS DE RÉPARATION'!$L$4="TOUS",AQ2771&lt;&gt;"ACCEPTÉ")),1,0)</f>
        <v>0</v>
      </c>
      <c r="AV2771" s="82" t="str">
        <f aca="false">IF(AU2771=1,SUM(AU$7:AU2771),"")</f>
        <v/>
      </c>
      <c r="AW2771" s="82" t="str">
        <f aca="false">IF(E2771="","",B2771&amp;"|"&amp;E2771)</f>
        <v/>
      </c>
    </row>
    <row r="2772" customFormat="false" ht="15" hidden="false" customHeight="false" outlineLevel="0" collapsed="false">
      <c r="A2772" s="79" t="str">
        <f aca="false">IF(E2772="","",ROW()-6)</f>
        <v/>
      </c>
      <c r="B2772" s="80"/>
      <c r="C2772" s="81"/>
      <c r="D2772" s="81"/>
      <c r="E2772" s="81"/>
      <c r="F2772" s="82" t="str">
        <f aca="false">IF(E2772="","",IF(LEFT(E2772,2)="DJ","DJ","JN"))</f>
        <v/>
      </c>
      <c r="G2772" s="81"/>
      <c r="H2772" s="81"/>
      <c r="I2772" s="81"/>
      <c r="J2772" s="81"/>
      <c r="K2772" s="81"/>
      <c r="L2772" s="81"/>
      <c r="M2772" s="81"/>
      <c r="N2772" s="81"/>
      <c r="O2772" s="81"/>
      <c r="P2772" s="81"/>
      <c r="Q2772" s="81"/>
      <c r="R2772" s="81"/>
      <c r="S2772" s="81"/>
      <c r="T2772" s="81"/>
      <c r="U2772" s="83"/>
      <c r="V2772" s="83"/>
      <c r="W2772" s="81"/>
      <c r="X2772" s="81"/>
      <c r="Y2772" s="83"/>
      <c r="Z2772" s="81"/>
      <c r="AA2772" s="81"/>
      <c r="AB2772" s="81"/>
      <c r="AC2772" s="81"/>
      <c r="AD2772" s="81"/>
      <c r="AE2772" s="83"/>
      <c r="AF2772" s="81"/>
      <c r="AG2772" s="81"/>
      <c r="AH2772" s="81"/>
      <c r="AI2772" s="81"/>
      <c r="AJ2772" s="83"/>
      <c r="AK2772" s="81"/>
      <c r="AL2772" s="81"/>
      <c r="AM2772" s="83"/>
      <c r="AN2772" s="80"/>
      <c r="AO2772" s="82" t="str">
        <f aca="false">IF(E2772="","",(AA2772&lt;&gt;"")+(AG2772&lt;&gt;"")+(AL2772&lt;&gt;""))</f>
        <v/>
      </c>
      <c r="AP2772" s="82" t="str">
        <f aca="false">IF(AL2772&lt;&gt;"",AL2772,IF(AG2772&lt;&gt;"",AG2772,IF(AA2772&lt;&gt;"",AA2772,"")))</f>
        <v/>
      </c>
      <c r="AQ2772" s="84" t="str">
        <f aca="false">IF(E2772="","",IF(U2772="","À SOUDER",IF(X2772="","VT EN ATTENTE",IF(X2772="R","VT REJETÉ – À REPRENDRE",IF(AP2772="","À RADIOGRAPHIER",IF(AP2772="A","ACCEPTÉ",IF(AP2772="NX","NX – RT À REFAIRE",IF(IF(AO2772=1,AD2772,IF(AO2772=2,AI2772,""))="A","RÉPARÉ – À RADIOGRAPHIER",IF(IF(AO2772=1,AD2772,IF(AO2772=2,AI2772,""))="R","VT REJETÉ – À REPRENDRE",IF(OR(AP2772="CO",AP2772="NT"),"COUPE – À RESOUDER","À RÉPARER"))))))))))</f>
        <v/>
      </c>
      <c r="AR2772" s="82" t="str">
        <f aca="false">IF(AND(ISNUMBER(U2772),OR(AQ2772="À RADIOGRAPHIER",AQ2772="RÉPARÉ – À RADIOGRAPHIER",AQ2772="NX – RT À REFAIRE",AQ2772="À RÉPARER",AQ2772="COUPE – À RESOUDER",AQ2772="VT REJETÉ – À REPRENDRE")),MAX(0,'PROGRAMME RT'!$C$4-U2772),"")</f>
        <v/>
      </c>
      <c r="AS2772" s="82" t="n">
        <f aca="false">IF(AND(OR(AQ2772="À RADIOGRAPHIER",AQ2772="RÉPARÉ – À RADIOGRAPHIER",AQ2772="NX – RT À REFAIRE"),OR('PROGRAMME RT'!$D$5="TOUTES",B2772='PROGRAMME RT'!$D$5)),1,0)</f>
        <v>0</v>
      </c>
      <c r="AT2772" s="82" t="str">
        <f aca="false">IF(AS2772=1,SUM(AS$7:AS2772),"")</f>
        <v/>
      </c>
      <c r="AU2772" s="82" t="n">
        <f aca="false">IF(AND(OR(AA2772="R",AA2772="NX",AA2772="NT",AA2772="CO"),OR('JOINTS DE RÉPARATION'!$D$5="TOUTES",B2772='JOINTS DE RÉPARATION'!$D$5),OR('JOINTS DE RÉPARATION'!$L$4="TOUS",AQ2772&lt;&gt;"ACCEPTÉ")),1,0)</f>
        <v>0</v>
      </c>
      <c r="AV2772" s="82" t="str">
        <f aca="false">IF(AU2772=1,SUM(AU$7:AU2772),"")</f>
        <v/>
      </c>
      <c r="AW2772" s="82" t="str">
        <f aca="false">IF(E2772="","",B2772&amp;"|"&amp;E2772)</f>
        <v/>
      </c>
    </row>
    <row r="2773" customFormat="false" ht="15" hidden="false" customHeight="false" outlineLevel="0" collapsed="false">
      <c r="A2773" s="79" t="str">
        <f aca="false">IF(E2773="","",ROW()-6)</f>
        <v/>
      </c>
      <c r="B2773" s="80"/>
      <c r="C2773" s="81"/>
      <c r="D2773" s="81"/>
      <c r="E2773" s="81"/>
      <c r="F2773" s="82" t="str">
        <f aca="false">IF(E2773="","",IF(LEFT(E2773,2)="DJ","DJ","JN"))</f>
        <v/>
      </c>
      <c r="G2773" s="81"/>
      <c r="H2773" s="81"/>
      <c r="I2773" s="81"/>
      <c r="J2773" s="81"/>
      <c r="K2773" s="81"/>
      <c r="L2773" s="81"/>
      <c r="M2773" s="81"/>
      <c r="N2773" s="81"/>
      <c r="O2773" s="81"/>
      <c r="P2773" s="81"/>
      <c r="Q2773" s="81"/>
      <c r="R2773" s="81"/>
      <c r="S2773" s="81"/>
      <c r="T2773" s="81"/>
      <c r="U2773" s="83"/>
      <c r="V2773" s="83"/>
      <c r="W2773" s="81"/>
      <c r="X2773" s="81"/>
      <c r="Y2773" s="83"/>
      <c r="Z2773" s="81"/>
      <c r="AA2773" s="81"/>
      <c r="AB2773" s="81"/>
      <c r="AC2773" s="81"/>
      <c r="AD2773" s="81"/>
      <c r="AE2773" s="83"/>
      <c r="AF2773" s="81"/>
      <c r="AG2773" s="81"/>
      <c r="AH2773" s="81"/>
      <c r="AI2773" s="81"/>
      <c r="AJ2773" s="83"/>
      <c r="AK2773" s="81"/>
      <c r="AL2773" s="81"/>
      <c r="AM2773" s="83"/>
      <c r="AN2773" s="80"/>
      <c r="AO2773" s="82" t="str">
        <f aca="false">IF(E2773="","",(AA2773&lt;&gt;"")+(AG2773&lt;&gt;"")+(AL2773&lt;&gt;""))</f>
        <v/>
      </c>
      <c r="AP2773" s="82" t="str">
        <f aca="false">IF(AL2773&lt;&gt;"",AL2773,IF(AG2773&lt;&gt;"",AG2773,IF(AA2773&lt;&gt;"",AA2773,"")))</f>
        <v/>
      </c>
      <c r="AQ2773" s="84" t="str">
        <f aca="false">IF(E2773="","",IF(U2773="","À SOUDER",IF(X2773="","VT EN ATTENTE",IF(X2773="R","VT REJETÉ – À REPRENDRE",IF(AP2773="","À RADIOGRAPHIER",IF(AP2773="A","ACCEPTÉ",IF(AP2773="NX","NX – RT À REFAIRE",IF(IF(AO2773=1,AD2773,IF(AO2773=2,AI2773,""))="A","RÉPARÉ – À RADIOGRAPHIER",IF(IF(AO2773=1,AD2773,IF(AO2773=2,AI2773,""))="R","VT REJETÉ – À REPRENDRE",IF(OR(AP2773="CO",AP2773="NT"),"COUPE – À RESOUDER","À RÉPARER"))))))))))</f>
        <v/>
      </c>
      <c r="AR2773" s="82" t="str">
        <f aca="false">IF(AND(ISNUMBER(U2773),OR(AQ2773="À RADIOGRAPHIER",AQ2773="RÉPARÉ – À RADIOGRAPHIER",AQ2773="NX – RT À REFAIRE",AQ2773="À RÉPARER",AQ2773="COUPE – À RESOUDER",AQ2773="VT REJETÉ – À REPRENDRE")),MAX(0,'PROGRAMME RT'!$C$4-U2773),"")</f>
        <v/>
      </c>
      <c r="AS2773" s="82" t="n">
        <f aca="false">IF(AND(OR(AQ2773="À RADIOGRAPHIER",AQ2773="RÉPARÉ – À RADIOGRAPHIER",AQ2773="NX – RT À REFAIRE"),OR('PROGRAMME RT'!$D$5="TOUTES",B2773='PROGRAMME RT'!$D$5)),1,0)</f>
        <v>0</v>
      </c>
      <c r="AT2773" s="82" t="str">
        <f aca="false">IF(AS2773=1,SUM(AS$7:AS2773),"")</f>
        <v/>
      </c>
      <c r="AU2773" s="82" t="n">
        <f aca="false">IF(AND(OR(AA2773="R",AA2773="NX",AA2773="NT",AA2773="CO"),OR('JOINTS DE RÉPARATION'!$D$5="TOUTES",B2773='JOINTS DE RÉPARATION'!$D$5),OR('JOINTS DE RÉPARATION'!$L$4="TOUS",AQ2773&lt;&gt;"ACCEPTÉ")),1,0)</f>
        <v>0</v>
      </c>
      <c r="AV2773" s="82" t="str">
        <f aca="false">IF(AU2773=1,SUM(AU$7:AU2773),"")</f>
        <v/>
      </c>
      <c r="AW2773" s="82" t="str">
        <f aca="false">IF(E2773="","",B2773&amp;"|"&amp;E2773)</f>
        <v/>
      </c>
    </row>
    <row r="2774" customFormat="false" ht="15" hidden="false" customHeight="false" outlineLevel="0" collapsed="false">
      <c r="A2774" s="79" t="str">
        <f aca="false">IF(E2774="","",ROW()-6)</f>
        <v/>
      </c>
      <c r="B2774" s="80"/>
      <c r="C2774" s="81"/>
      <c r="D2774" s="81"/>
      <c r="E2774" s="81"/>
      <c r="F2774" s="82" t="str">
        <f aca="false">IF(E2774="","",IF(LEFT(E2774,2)="DJ","DJ","JN"))</f>
        <v/>
      </c>
      <c r="G2774" s="81"/>
      <c r="H2774" s="81"/>
      <c r="I2774" s="81"/>
      <c r="J2774" s="81"/>
      <c r="K2774" s="81"/>
      <c r="L2774" s="81"/>
      <c r="M2774" s="81"/>
      <c r="N2774" s="81"/>
      <c r="O2774" s="81"/>
      <c r="P2774" s="81"/>
      <c r="Q2774" s="81"/>
      <c r="R2774" s="81"/>
      <c r="S2774" s="81"/>
      <c r="T2774" s="81"/>
      <c r="U2774" s="83"/>
      <c r="V2774" s="83"/>
      <c r="W2774" s="81"/>
      <c r="X2774" s="81"/>
      <c r="Y2774" s="83"/>
      <c r="Z2774" s="81"/>
      <c r="AA2774" s="81"/>
      <c r="AB2774" s="81"/>
      <c r="AC2774" s="81"/>
      <c r="AD2774" s="81"/>
      <c r="AE2774" s="83"/>
      <c r="AF2774" s="81"/>
      <c r="AG2774" s="81"/>
      <c r="AH2774" s="81"/>
      <c r="AI2774" s="81"/>
      <c r="AJ2774" s="83"/>
      <c r="AK2774" s="81"/>
      <c r="AL2774" s="81"/>
      <c r="AM2774" s="83"/>
      <c r="AN2774" s="80"/>
      <c r="AO2774" s="82" t="str">
        <f aca="false">IF(E2774="","",(AA2774&lt;&gt;"")+(AG2774&lt;&gt;"")+(AL2774&lt;&gt;""))</f>
        <v/>
      </c>
      <c r="AP2774" s="82" t="str">
        <f aca="false">IF(AL2774&lt;&gt;"",AL2774,IF(AG2774&lt;&gt;"",AG2774,IF(AA2774&lt;&gt;"",AA2774,"")))</f>
        <v/>
      </c>
      <c r="AQ2774" s="84" t="str">
        <f aca="false">IF(E2774="","",IF(U2774="","À SOUDER",IF(X2774="","VT EN ATTENTE",IF(X2774="R","VT REJETÉ – À REPRENDRE",IF(AP2774="","À RADIOGRAPHIER",IF(AP2774="A","ACCEPTÉ",IF(AP2774="NX","NX – RT À REFAIRE",IF(IF(AO2774=1,AD2774,IF(AO2774=2,AI2774,""))="A","RÉPARÉ – À RADIOGRAPHIER",IF(IF(AO2774=1,AD2774,IF(AO2774=2,AI2774,""))="R","VT REJETÉ – À REPRENDRE",IF(OR(AP2774="CO",AP2774="NT"),"COUPE – À RESOUDER","À RÉPARER"))))))))))</f>
        <v/>
      </c>
      <c r="AR2774" s="82" t="str">
        <f aca="false">IF(AND(ISNUMBER(U2774),OR(AQ2774="À RADIOGRAPHIER",AQ2774="RÉPARÉ – À RADIOGRAPHIER",AQ2774="NX – RT À REFAIRE",AQ2774="À RÉPARER",AQ2774="COUPE – À RESOUDER",AQ2774="VT REJETÉ – À REPRENDRE")),MAX(0,'PROGRAMME RT'!$C$4-U2774),"")</f>
        <v/>
      </c>
      <c r="AS2774" s="82" t="n">
        <f aca="false">IF(AND(OR(AQ2774="À RADIOGRAPHIER",AQ2774="RÉPARÉ – À RADIOGRAPHIER",AQ2774="NX – RT À REFAIRE"),OR('PROGRAMME RT'!$D$5="TOUTES",B2774='PROGRAMME RT'!$D$5)),1,0)</f>
        <v>0</v>
      </c>
      <c r="AT2774" s="82" t="str">
        <f aca="false">IF(AS2774=1,SUM(AS$7:AS2774),"")</f>
        <v/>
      </c>
      <c r="AU2774" s="82" t="n">
        <f aca="false">IF(AND(OR(AA2774="R",AA2774="NX",AA2774="NT",AA2774="CO"),OR('JOINTS DE RÉPARATION'!$D$5="TOUTES",B2774='JOINTS DE RÉPARATION'!$D$5),OR('JOINTS DE RÉPARATION'!$L$4="TOUS",AQ2774&lt;&gt;"ACCEPTÉ")),1,0)</f>
        <v>0</v>
      </c>
      <c r="AV2774" s="82" t="str">
        <f aca="false">IF(AU2774=1,SUM(AU$7:AU2774),"")</f>
        <v/>
      </c>
      <c r="AW2774" s="82" t="str">
        <f aca="false">IF(E2774="","",B2774&amp;"|"&amp;E2774)</f>
        <v/>
      </c>
    </row>
    <row r="2775" customFormat="false" ht="15" hidden="false" customHeight="false" outlineLevel="0" collapsed="false">
      <c r="A2775" s="79" t="str">
        <f aca="false">IF(E2775="","",ROW()-6)</f>
        <v/>
      </c>
      <c r="B2775" s="80"/>
      <c r="C2775" s="81"/>
      <c r="D2775" s="81"/>
      <c r="E2775" s="81"/>
      <c r="F2775" s="82" t="str">
        <f aca="false">IF(E2775="","",IF(LEFT(E2775,2)="DJ","DJ","JN"))</f>
        <v/>
      </c>
      <c r="G2775" s="81"/>
      <c r="H2775" s="81"/>
      <c r="I2775" s="81"/>
      <c r="J2775" s="81"/>
      <c r="K2775" s="81"/>
      <c r="L2775" s="81"/>
      <c r="M2775" s="81"/>
      <c r="N2775" s="81"/>
      <c r="O2775" s="81"/>
      <c r="P2775" s="81"/>
      <c r="Q2775" s="81"/>
      <c r="R2775" s="81"/>
      <c r="S2775" s="81"/>
      <c r="T2775" s="81"/>
      <c r="U2775" s="83"/>
      <c r="V2775" s="83"/>
      <c r="W2775" s="81"/>
      <c r="X2775" s="81"/>
      <c r="Y2775" s="83"/>
      <c r="Z2775" s="81"/>
      <c r="AA2775" s="81"/>
      <c r="AB2775" s="81"/>
      <c r="AC2775" s="81"/>
      <c r="AD2775" s="81"/>
      <c r="AE2775" s="83"/>
      <c r="AF2775" s="81"/>
      <c r="AG2775" s="81"/>
      <c r="AH2775" s="81"/>
      <c r="AI2775" s="81"/>
      <c r="AJ2775" s="83"/>
      <c r="AK2775" s="81"/>
      <c r="AL2775" s="81"/>
      <c r="AM2775" s="83"/>
      <c r="AN2775" s="80"/>
      <c r="AO2775" s="82" t="str">
        <f aca="false">IF(E2775="","",(AA2775&lt;&gt;"")+(AG2775&lt;&gt;"")+(AL2775&lt;&gt;""))</f>
        <v/>
      </c>
      <c r="AP2775" s="82" t="str">
        <f aca="false">IF(AL2775&lt;&gt;"",AL2775,IF(AG2775&lt;&gt;"",AG2775,IF(AA2775&lt;&gt;"",AA2775,"")))</f>
        <v/>
      </c>
      <c r="AQ2775" s="84" t="str">
        <f aca="false">IF(E2775="","",IF(U2775="","À SOUDER",IF(X2775="","VT EN ATTENTE",IF(X2775="R","VT REJETÉ – À REPRENDRE",IF(AP2775="","À RADIOGRAPHIER",IF(AP2775="A","ACCEPTÉ",IF(AP2775="NX","NX – RT À REFAIRE",IF(IF(AO2775=1,AD2775,IF(AO2775=2,AI2775,""))="A","RÉPARÉ – À RADIOGRAPHIER",IF(IF(AO2775=1,AD2775,IF(AO2775=2,AI2775,""))="R","VT REJETÉ – À REPRENDRE",IF(OR(AP2775="CO",AP2775="NT"),"COUPE – À RESOUDER","À RÉPARER"))))))))))</f>
        <v/>
      </c>
      <c r="AR2775" s="82" t="str">
        <f aca="false">IF(AND(ISNUMBER(U2775),OR(AQ2775="À RADIOGRAPHIER",AQ2775="RÉPARÉ – À RADIOGRAPHIER",AQ2775="NX – RT À REFAIRE",AQ2775="À RÉPARER",AQ2775="COUPE – À RESOUDER",AQ2775="VT REJETÉ – À REPRENDRE")),MAX(0,'PROGRAMME RT'!$C$4-U2775),"")</f>
        <v/>
      </c>
      <c r="AS2775" s="82" t="n">
        <f aca="false">IF(AND(OR(AQ2775="À RADIOGRAPHIER",AQ2775="RÉPARÉ – À RADIOGRAPHIER",AQ2775="NX – RT À REFAIRE"),OR('PROGRAMME RT'!$D$5="TOUTES",B2775='PROGRAMME RT'!$D$5)),1,0)</f>
        <v>0</v>
      </c>
      <c r="AT2775" s="82" t="str">
        <f aca="false">IF(AS2775=1,SUM(AS$7:AS2775),"")</f>
        <v/>
      </c>
      <c r="AU2775" s="82" t="n">
        <f aca="false">IF(AND(OR(AA2775="R",AA2775="NX",AA2775="NT",AA2775="CO"),OR('JOINTS DE RÉPARATION'!$D$5="TOUTES",B2775='JOINTS DE RÉPARATION'!$D$5),OR('JOINTS DE RÉPARATION'!$L$4="TOUS",AQ2775&lt;&gt;"ACCEPTÉ")),1,0)</f>
        <v>0</v>
      </c>
      <c r="AV2775" s="82" t="str">
        <f aca="false">IF(AU2775=1,SUM(AU$7:AU2775),"")</f>
        <v/>
      </c>
      <c r="AW2775" s="82" t="str">
        <f aca="false">IF(E2775="","",B2775&amp;"|"&amp;E2775)</f>
        <v/>
      </c>
    </row>
    <row r="2776" customFormat="false" ht="15" hidden="false" customHeight="false" outlineLevel="0" collapsed="false">
      <c r="A2776" s="79" t="str">
        <f aca="false">IF(E2776="","",ROW()-6)</f>
        <v/>
      </c>
      <c r="B2776" s="80"/>
      <c r="C2776" s="81"/>
      <c r="D2776" s="81"/>
      <c r="E2776" s="81"/>
      <c r="F2776" s="82" t="str">
        <f aca="false">IF(E2776="","",IF(LEFT(E2776,2)="DJ","DJ","JN"))</f>
        <v/>
      </c>
      <c r="G2776" s="81"/>
      <c r="H2776" s="81"/>
      <c r="I2776" s="81"/>
      <c r="J2776" s="81"/>
      <c r="K2776" s="81"/>
      <c r="L2776" s="81"/>
      <c r="M2776" s="81"/>
      <c r="N2776" s="81"/>
      <c r="O2776" s="81"/>
      <c r="P2776" s="81"/>
      <c r="Q2776" s="81"/>
      <c r="R2776" s="81"/>
      <c r="S2776" s="81"/>
      <c r="T2776" s="81"/>
      <c r="U2776" s="83"/>
      <c r="V2776" s="83"/>
      <c r="W2776" s="81"/>
      <c r="X2776" s="81"/>
      <c r="Y2776" s="83"/>
      <c r="Z2776" s="81"/>
      <c r="AA2776" s="81"/>
      <c r="AB2776" s="81"/>
      <c r="AC2776" s="81"/>
      <c r="AD2776" s="81"/>
      <c r="AE2776" s="83"/>
      <c r="AF2776" s="81"/>
      <c r="AG2776" s="81"/>
      <c r="AH2776" s="81"/>
      <c r="AI2776" s="81"/>
      <c r="AJ2776" s="83"/>
      <c r="AK2776" s="81"/>
      <c r="AL2776" s="81"/>
      <c r="AM2776" s="83"/>
      <c r="AN2776" s="80"/>
      <c r="AO2776" s="82" t="str">
        <f aca="false">IF(E2776="","",(AA2776&lt;&gt;"")+(AG2776&lt;&gt;"")+(AL2776&lt;&gt;""))</f>
        <v/>
      </c>
      <c r="AP2776" s="82" t="str">
        <f aca="false">IF(AL2776&lt;&gt;"",AL2776,IF(AG2776&lt;&gt;"",AG2776,IF(AA2776&lt;&gt;"",AA2776,"")))</f>
        <v/>
      </c>
      <c r="AQ2776" s="84" t="str">
        <f aca="false">IF(E2776="","",IF(U2776="","À SOUDER",IF(X2776="","VT EN ATTENTE",IF(X2776="R","VT REJETÉ – À REPRENDRE",IF(AP2776="","À RADIOGRAPHIER",IF(AP2776="A","ACCEPTÉ",IF(AP2776="NX","NX – RT À REFAIRE",IF(IF(AO2776=1,AD2776,IF(AO2776=2,AI2776,""))="A","RÉPARÉ – À RADIOGRAPHIER",IF(IF(AO2776=1,AD2776,IF(AO2776=2,AI2776,""))="R","VT REJETÉ – À REPRENDRE",IF(OR(AP2776="CO",AP2776="NT"),"COUPE – À RESOUDER","À RÉPARER"))))))))))</f>
        <v/>
      </c>
      <c r="AR2776" s="82" t="str">
        <f aca="false">IF(AND(ISNUMBER(U2776),OR(AQ2776="À RADIOGRAPHIER",AQ2776="RÉPARÉ – À RADIOGRAPHIER",AQ2776="NX – RT À REFAIRE",AQ2776="À RÉPARER",AQ2776="COUPE – À RESOUDER",AQ2776="VT REJETÉ – À REPRENDRE")),MAX(0,'PROGRAMME RT'!$C$4-U2776),"")</f>
        <v/>
      </c>
      <c r="AS2776" s="82" t="n">
        <f aca="false">IF(AND(OR(AQ2776="À RADIOGRAPHIER",AQ2776="RÉPARÉ – À RADIOGRAPHIER",AQ2776="NX – RT À REFAIRE"),OR('PROGRAMME RT'!$D$5="TOUTES",B2776='PROGRAMME RT'!$D$5)),1,0)</f>
        <v>0</v>
      </c>
      <c r="AT2776" s="82" t="str">
        <f aca="false">IF(AS2776=1,SUM(AS$7:AS2776),"")</f>
        <v/>
      </c>
      <c r="AU2776" s="82" t="n">
        <f aca="false">IF(AND(OR(AA2776="R",AA2776="NX",AA2776="NT",AA2776="CO"),OR('JOINTS DE RÉPARATION'!$D$5="TOUTES",B2776='JOINTS DE RÉPARATION'!$D$5),OR('JOINTS DE RÉPARATION'!$L$4="TOUS",AQ2776&lt;&gt;"ACCEPTÉ")),1,0)</f>
        <v>0</v>
      </c>
      <c r="AV2776" s="82" t="str">
        <f aca="false">IF(AU2776=1,SUM(AU$7:AU2776),"")</f>
        <v/>
      </c>
      <c r="AW2776" s="82" t="str">
        <f aca="false">IF(E2776="","",B2776&amp;"|"&amp;E2776)</f>
        <v/>
      </c>
    </row>
    <row r="2777" customFormat="false" ht="15" hidden="false" customHeight="false" outlineLevel="0" collapsed="false">
      <c r="A2777" s="79" t="str">
        <f aca="false">IF(E2777="","",ROW()-6)</f>
        <v/>
      </c>
      <c r="B2777" s="80"/>
      <c r="C2777" s="81"/>
      <c r="D2777" s="81"/>
      <c r="E2777" s="81"/>
      <c r="F2777" s="82" t="str">
        <f aca="false">IF(E2777="","",IF(LEFT(E2777,2)="DJ","DJ","JN"))</f>
        <v/>
      </c>
      <c r="G2777" s="81"/>
      <c r="H2777" s="81"/>
      <c r="I2777" s="81"/>
      <c r="J2777" s="81"/>
      <c r="K2777" s="81"/>
      <c r="L2777" s="81"/>
      <c r="M2777" s="81"/>
      <c r="N2777" s="81"/>
      <c r="O2777" s="81"/>
      <c r="P2777" s="81"/>
      <c r="Q2777" s="81"/>
      <c r="R2777" s="81"/>
      <c r="S2777" s="81"/>
      <c r="T2777" s="81"/>
      <c r="U2777" s="83"/>
      <c r="V2777" s="83"/>
      <c r="W2777" s="81"/>
      <c r="X2777" s="81"/>
      <c r="Y2777" s="83"/>
      <c r="Z2777" s="81"/>
      <c r="AA2777" s="81"/>
      <c r="AB2777" s="81"/>
      <c r="AC2777" s="81"/>
      <c r="AD2777" s="81"/>
      <c r="AE2777" s="83"/>
      <c r="AF2777" s="81"/>
      <c r="AG2777" s="81"/>
      <c r="AH2777" s="81"/>
      <c r="AI2777" s="81"/>
      <c r="AJ2777" s="83"/>
      <c r="AK2777" s="81"/>
      <c r="AL2777" s="81"/>
      <c r="AM2777" s="83"/>
      <c r="AN2777" s="80"/>
      <c r="AO2777" s="82" t="str">
        <f aca="false">IF(E2777="","",(AA2777&lt;&gt;"")+(AG2777&lt;&gt;"")+(AL2777&lt;&gt;""))</f>
        <v/>
      </c>
      <c r="AP2777" s="82" t="str">
        <f aca="false">IF(AL2777&lt;&gt;"",AL2777,IF(AG2777&lt;&gt;"",AG2777,IF(AA2777&lt;&gt;"",AA2777,"")))</f>
        <v/>
      </c>
      <c r="AQ2777" s="84" t="str">
        <f aca="false">IF(E2777="","",IF(U2777="","À SOUDER",IF(X2777="","VT EN ATTENTE",IF(X2777="R","VT REJETÉ – À REPRENDRE",IF(AP2777="","À RADIOGRAPHIER",IF(AP2777="A","ACCEPTÉ",IF(AP2777="NX","NX – RT À REFAIRE",IF(IF(AO2777=1,AD2777,IF(AO2777=2,AI2777,""))="A","RÉPARÉ – À RADIOGRAPHIER",IF(IF(AO2777=1,AD2777,IF(AO2777=2,AI2777,""))="R","VT REJETÉ – À REPRENDRE",IF(OR(AP2777="CO",AP2777="NT"),"COUPE – À RESOUDER","À RÉPARER"))))))))))</f>
        <v/>
      </c>
      <c r="AR2777" s="82" t="str">
        <f aca="false">IF(AND(ISNUMBER(U2777),OR(AQ2777="À RADIOGRAPHIER",AQ2777="RÉPARÉ – À RADIOGRAPHIER",AQ2777="NX – RT À REFAIRE",AQ2777="À RÉPARER",AQ2777="COUPE – À RESOUDER",AQ2777="VT REJETÉ – À REPRENDRE")),MAX(0,'PROGRAMME RT'!$C$4-U2777),"")</f>
        <v/>
      </c>
      <c r="AS2777" s="82" t="n">
        <f aca="false">IF(AND(OR(AQ2777="À RADIOGRAPHIER",AQ2777="RÉPARÉ – À RADIOGRAPHIER",AQ2777="NX – RT À REFAIRE"),OR('PROGRAMME RT'!$D$5="TOUTES",B2777='PROGRAMME RT'!$D$5)),1,0)</f>
        <v>0</v>
      </c>
      <c r="AT2777" s="82" t="str">
        <f aca="false">IF(AS2777=1,SUM(AS$7:AS2777),"")</f>
        <v/>
      </c>
      <c r="AU2777" s="82" t="n">
        <f aca="false">IF(AND(OR(AA2777="R",AA2777="NX",AA2777="NT",AA2777="CO"),OR('JOINTS DE RÉPARATION'!$D$5="TOUTES",B2777='JOINTS DE RÉPARATION'!$D$5),OR('JOINTS DE RÉPARATION'!$L$4="TOUS",AQ2777&lt;&gt;"ACCEPTÉ")),1,0)</f>
        <v>0</v>
      </c>
      <c r="AV2777" s="82" t="str">
        <f aca="false">IF(AU2777=1,SUM(AU$7:AU2777),"")</f>
        <v/>
      </c>
      <c r="AW2777" s="82" t="str">
        <f aca="false">IF(E2777="","",B2777&amp;"|"&amp;E2777)</f>
        <v/>
      </c>
    </row>
    <row r="2778" customFormat="false" ht="15" hidden="false" customHeight="false" outlineLevel="0" collapsed="false">
      <c r="A2778" s="79" t="str">
        <f aca="false">IF(E2778="","",ROW()-6)</f>
        <v/>
      </c>
      <c r="B2778" s="80"/>
      <c r="C2778" s="81"/>
      <c r="D2778" s="81"/>
      <c r="E2778" s="81"/>
      <c r="F2778" s="82" t="str">
        <f aca="false">IF(E2778="","",IF(LEFT(E2778,2)="DJ","DJ","JN"))</f>
        <v/>
      </c>
      <c r="G2778" s="81"/>
      <c r="H2778" s="81"/>
      <c r="I2778" s="81"/>
      <c r="J2778" s="81"/>
      <c r="K2778" s="81"/>
      <c r="L2778" s="81"/>
      <c r="M2778" s="81"/>
      <c r="N2778" s="81"/>
      <c r="O2778" s="81"/>
      <c r="P2778" s="81"/>
      <c r="Q2778" s="81"/>
      <c r="R2778" s="81"/>
      <c r="S2778" s="81"/>
      <c r="T2778" s="81"/>
      <c r="U2778" s="83"/>
      <c r="V2778" s="83"/>
      <c r="W2778" s="81"/>
      <c r="X2778" s="81"/>
      <c r="Y2778" s="83"/>
      <c r="Z2778" s="81"/>
      <c r="AA2778" s="81"/>
      <c r="AB2778" s="81"/>
      <c r="AC2778" s="81"/>
      <c r="AD2778" s="81"/>
      <c r="AE2778" s="83"/>
      <c r="AF2778" s="81"/>
      <c r="AG2778" s="81"/>
      <c r="AH2778" s="81"/>
      <c r="AI2778" s="81"/>
      <c r="AJ2778" s="83"/>
      <c r="AK2778" s="81"/>
      <c r="AL2778" s="81"/>
      <c r="AM2778" s="83"/>
      <c r="AN2778" s="80"/>
      <c r="AO2778" s="82" t="str">
        <f aca="false">IF(E2778="","",(AA2778&lt;&gt;"")+(AG2778&lt;&gt;"")+(AL2778&lt;&gt;""))</f>
        <v/>
      </c>
      <c r="AP2778" s="82" t="str">
        <f aca="false">IF(AL2778&lt;&gt;"",AL2778,IF(AG2778&lt;&gt;"",AG2778,IF(AA2778&lt;&gt;"",AA2778,"")))</f>
        <v/>
      </c>
      <c r="AQ2778" s="84" t="str">
        <f aca="false">IF(E2778="","",IF(U2778="","À SOUDER",IF(X2778="","VT EN ATTENTE",IF(X2778="R","VT REJETÉ – À REPRENDRE",IF(AP2778="","À RADIOGRAPHIER",IF(AP2778="A","ACCEPTÉ",IF(AP2778="NX","NX – RT À REFAIRE",IF(IF(AO2778=1,AD2778,IF(AO2778=2,AI2778,""))="A","RÉPARÉ – À RADIOGRAPHIER",IF(IF(AO2778=1,AD2778,IF(AO2778=2,AI2778,""))="R","VT REJETÉ – À REPRENDRE",IF(OR(AP2778="CO",AP2778="NT"),"COUPE – À RESOUDER","À RÉPARER"))))))))))</f>
        <v/>
      </c>
      <c r="AR2778" s="82" t="str">
        <f aca="false">IF(AND(ISNUMBER(U2778),OR(AQ2778="À RADIOGRAPHIER",AQ2778="RÉPARÉ – À RADIOGRAPHIER",AQ2778="NX – RT À REFAIRE",AQ2778="À RÉPARER",AQ2778="COUPE – À RESOUDER",AQ2778="VT REJETÉ – À REPRENDRE")),MAX(0,'PROGRAMME RT'!$C$4-U2778),"")</f>
        <v/>
      </c>
      <c r="AS2778" s="82" t="n">
        <f aca="false">IF(AND(OR(AQ2778="À RADIOGRAPHIER",AQ2778="RÉPARÉ – À RADIOGRAPHIER",AQ2778="NX – RT À REFAIRE"),OR('PROGRAMME RT'!$D$5="TOUTES",B2778='PROGRAMME RT'!$D$5)),1,0)</f>
        <v>0</v>
      </c>
      <c r="AT2778" s="82" t="str">
        <f aca="false">IF(AS2778=1,SUM(AS$7:AS2778),"")</f>
        <v/>
      </c>
      <c r="AU2778" s="82" t="n">
        <f aca="false">IF(AND(OR(AA2778="R",AA2778="NX",AA2778="NT",AA2778="CO"),OR('JOINTS DE RÉPARATION'!$D$5="TOUTES",B2778='JOINTS DE RÉPARATION'!$D$5),OR('JOINTS DE RÉPARATION'!$L$4="TOUS",AQ2778&lt;&gt;"ACCEPTÉ")),1,0)</f>
        <v>0</v>
      </c>
      <c r="AV2778" s="82" t="str">
        <f aca="false">IF(AU2778=1,SUM(AU$7:AU2778),"")</f>
        <v/>
      </c>
      <c r="AW2778" s="82" t="str">
        <f aca="false">IF(E2778="","",B2778&amp;"|"&amp;E2778)</f>
        <v/>
      </c>
    </row>
    <row r="2779" customFormat="false" ht="15" hidden="false" customHeight="false" outlineLevel="0" collapsed="false">
      <c r="A2779" s="79" t="str">
        <f aca="false">IF(E2779="","",ROW()-6)</f>
        <v/>
      </c>
      <c r="B2779" s="80"/>
      <c r="C2779" s="81"/>
      <c r="D2779" s="81"/>
      <c r="E2779" s="81"/>
      <c r="F2779" s="82" t="str">
        <f aca="false">IF(E2779="","",IF(LEFT(E2779,2)="DJ","DJ","JN"))</f>
        <v/>
      </c>
      <c r="G2779" s="81"/>
      <c r="H2779" s="81"/>
      <c r="I2779" s="81"/>
      <c r="J2779" s="81"/>
      <c r="K2779" s="81"/>
      <c r="L2779" s="81"/>
      <c r="M2779" s="81"/>
      <c r="N2779" s="81"/>
      <c r="O2779" s="81"/>
      <c r="P2779" s="81"/>
      <c r="Q2779" s="81"/>
      <c r="R2779" s="81"/>
      <c r="S2779" s="81"/>
      <c r="T2779" s="81"/>
      <c r="U2779" s="83"/>
      <c r="V2779" s="83"/>
      <c r="W2779" s="81"/>
      <c r="X2779" s="81"/>
      <c r="Y2779" s="83"/>
      <c r="Z2779" s="81"/>
      <c r="AA2779" s="81"/>
      <c r="AB2779" s="81"/>
      <c r="AC2779" s="81"/>
      <c r="AD2779" s="81"/>
      <c r="AE2779" s="83"/>
      <c r="AF2779" s="81"/>
      <c r="AG2779" s="81"/>
      <c r="AH2779" s="81"/>
      <c r="AI2779" s="81"/>
      <c r="AJ2779" s="83"/>
      <c r="AK2779" s="81"/>
      <c r="AL2779" s="81"/>
      <c r="AM2779" s="83"/>
      <c r="AN2779" s="80"/>
      <c r="AO2779" s="82" t="str">
        <f aca="false">IF(E2779="","",(AA2779&lt;&gt;"")+(AG2779&lt;&gt;"")+(AL2779&lt;&gt;""))</f>
        <v/>
      </c>
      <c r="AP2779" s="82" t="str">
        <f aca="false">IF(AL2779&lt;&gt;"",AL2779,IF(AG2779&lt;&gt;"",AG2779,IF(AA2779&lt;&gt;"",AA2779,"")))</f>
        <v/>
      </c>
      <c r="AQ2779" s="84" t="str">
        <f aca="false">IF(E2779="","",IF(U2779="","À SOUDER",IF(X2779="","VT EN ATTENTE",IF(X2779="R","VT REJETÉ – À REPRENDRE",IF(AP2779="","À RADIOGRAPHIER",IF(AP2779="A","ACCEPTÉ",IF(AP2779="NX","NX – RT À REFAIRE",IF(IF(AO2779=1,AD2779,IF(AO2779=2,AI2779,""))="A","RÉPARÉ – À RADIOGRAPHIER",IF(IF(AO2779=1,AD2779,IF(AO2779=2,AI2779,""))="R","VT REJETÉ – À REPRENDRE",IF(OR(AP2779="CO",AP2779="NT"),"COUPE – À RESOUDER","À RÉPARER"))))))))))</f>
        <v/>
      </c>
      <c r="AR2779" s="82" t="str">
        <f aca="false">IF(AND(ISNUMBER(U2779),OR(AQ2779="À RADIOGRAPHIER",AQ2779="RÉPARÉ – À RADIOGRAPHIER",AQ2779="NX – RT À REFAIRE",AQ2779="À RÉPARER",AQ2779="COUPE – À RESOUDER",AQ2779="VT REJETÉ – À REPRENDRE")),MAX(0,'PROGRAMME RT'!$C$4-U2779),"")</f>
        <v/>
      </c>
      <c r="AS2779" s="82" t="n">
        <f aca="false">IF(AND(OR(AQ2779="À RADIOGRAPHIER",AQ2779="RÉPARÉ – À RADIOGRAPHIER",AQ2779="NX – RT À REFAIRE"),OR('PROGRAMME RT'!$D$5="TOUTES",B2779='PROGRAMME RT'!$D$5)),1,0)</f>
        <v>0</v>
      </c>
      <c r="AT2779" s="82" t="str">
        <f aca="false">IF(AS2779=1,SUM(AS$7:AS2779),"")</f>
        <v/>
      </c>
      <c r="AU2779" s="82" t="n">
        <f aca="false">IF(AND(OR(AA2779="R",AA2779="NX",AA2779="NT",AA2779="CO"),OR('JOINTS DE RÉPARATION'!$D$5="TOUTES",B2779='JOINTS DE RÉPARATION'!$D$5),OR('JOINTS DE RÉPARATION'!$L$4="TOUS",AQ2779&lt;&gt;"ACCEPTÉ")),1,0)</f>
        <v>0</v>
      </c>
      <c r="AV2779" s="82" t="str">
        <f aca="false">IF(AU2779=1,SUM(AU$7:AU2779),"")</f>
        <v/>
      </c>
      <c r="AW2779" s="82" t="str">
        <f aca="false">IF(E2779="","",B2779&amp;"|"&amp;E2779)</f>
        <v/>
      </c>
    </row>
    <row r="2780" customFormat="false" ht="15" hidden="false" customHeight="false" outlineLevel="0" collapsed="false">
      <c r="A2780" s="79" t="str">
        <f aca="false">IF(E2780="","",ROW()-6)</f>
        <v/>
      </c>
      <c r="B2780" s="80"/>
      <c r="C2780" s="81"/>
      <c r="D2780" s="81"/>
      <c r="E2780" s="81"/>
      <c r="F2780" s="82" t="str">
        <f aca="false">IF(E2780="","",IF(LEFT(E2780,2)="DJ","DJ","JN"))</f>
        <v/>
      </c>
      <c r="G2780" s="81"/>
      <c r="H2780" s="81"/>
      <c r="I2780" s="81"/>
      <c r="J2780" s="81"/>
      <c r="K2780" s="81"/>
      <c r="L2780" s="81"/>
      <c r="M2780" s="81"/>
      <c r="N2780" s="81"/>
      <c r="O2780" s="81"/>
      <c r="P2780" s="81"/>
      <c r="Q2780" s="81"/>
      <c r="R2780" s="81"/>
      <c r="S2780" s="81"/>
      <c r="T2780" s="81"/>
      <c r="U2780" s="83"/>
      <c r="V2780" s="83"/>
      <c r="W2780" s="81"/>
      <c r="X2780" s="81"/>
      <c r="Y2780" s="83"/>
      <c r="Z2780" s="81"/>
      <c r="AA2780" s="81"/>
      <c r="AB2780" s="81"/>
      <c r="AC2780" s="81"/>
      <c r="AD2780" s="81"/>
      <c r="AE2780" s="83"/>
      <c r="AF2780" s="81"/>
      <c r="AG2780" s="81"/>
      <c r="AH2780" s="81"/>
      <c r="AI2780" s="81"/>
      <c r="AJ2780" s="83"/>
      <c r="AK2780" s="81"/>
      <c r="AL2780" s="81"/>
      <c r="AM2780" s="83"/>
      <c r="AN2780" s="80"/>
      <c r="AO2780" s="82" t="str">
        <f aca="false">IF(E2780="","",(AA2780&lt;&gt;"")+(AG2780&lt;&gt;"")+(AL2780&lt;&gt;""))</f>
        <v/>
      </c>
      <c r="AP2780" s="82" t="str">
        <f aca="false">IF(AL2780&lt;&gt;"",AL2780,IF(AG2780&lt;&gt;"",AG2780,IF(AA2780&lt;&gt;"",AA2780,"")))</f>
        <v/>
      </c>
      <c r="AQ2780" s="84" t="str">
        <f aca="false">IF(E2780="","",IF(U2780="","À SOUDER",IF(X2780="","VT EN ATTENTE",IF(X2780="R","VT REJETÉ – À REPRENDRE",IF(AP2780="","À RADIOGRAPHIER",IF(AP2780="A","ACCEPTÉ",IF(AP2780="NX","NX – RT À REFAIRE",IF(IF(AO2780=1,AD2780,IF(AO2780=2,AI2780,""))="A","RÉPARÉ – À RADIOGRAPHIER",IF(IF(AO2780=1,AD2780,IF(AO2780=2,AI2780,""))="R","VT REJETÉ – À REPRENDRE",IF(OR(AP2780="CO",AP2780="NT"),"COUPE – À RESOUDER","À RÉPARER"))))))))))</f>
        <v/>
      </c>
      <c r="AR2780" s="82" t="str">
        <f aca="false">IF(AND(ISNUMBER(U2780),OR(AQ2780="À RADIOGRAPHIER",AQ2780="RÉPARÉ – À RADIOGRAPHIER",AQ2780="NX – RT À REFAIRE",AQ2780="À RÉPARER",AQ2780="COUPE – À RESOUDER",AQ2780="VT REJETÉ – À REPRENDRE")),MAX(0,'PROGRAMME RT'!$C$4-U2780),"")</f>
        <v/>
      </c>
      <c r="AS2780" s="82" t="n">
        <f aca="false">IF(AND(OR(AQ2780="À RADIOGRAPHIER",AQ2780="RÉPARÉ – À RADIOGRAPHIER",AQ2780="NX – RT À REFAIRE"),OR('PROGRAMME RT'!$D$5="TOUTES",B2780='PROGRAMME RT'!$D$5)),1,0)</f>
        <v>0</v>
      </c>
      <c r="AT2780" s="82" t="str">
        <f aca="false">IF(AS2780=1,SUM(AS$7:AS2780),"")</f>
        <v/>
      </c>
      <c r="AU2780" s="82" t="n">
        <f aca="false">IF(AND(OR(AA2780="R",AA2780="NX",AA2780="NT",AA2780="CO"),OR('JOINTS DE RÉPARATION'!$D$5="TOUTES",B2780='JOINTS DE RÉPARATION'!$D$5),OR('JOINTS DE RÉPARATION'!$L$4="TOUS",AQ2780&lt;&gt;"ACCEPTÉ")),1,0)</f>
        <v>0</v>
      </c>
      <c r="AV2780" s="82" t="str">
        <f aca="false">IF(AU2780=1,SUM(AU$7:AU2780),"")</f>
        <v/>
      </c>
      <c r="AW2780" s="82" t="str">
        <f aca="false">IF(E2780="","",B2780&amp;"|"&amp;E2780)</f>
        <v/>
      </c>
    </row>
    <row r="2781" customFormat="false" ht="15" hidden="false" customHeight="false" outlineLevel="0" collapsed="false">
      <c r="A2781" s="79" t="str">
        <f aca="false">IF(E2781="","",ROW()-6)</f>
        <v/>
      </c>
      <c r="B2781" s="80"/>
      <c r="C2781" s="81"/>
      <c r="D2781" s="81"/>
      <c r="E2781" s="81"/>
      <c r="F2781" s="82" t="str">
        <f aca="false">IF(E2781="","",IF(LEFT(E2781,2)="DJ","DJ","JN"))</f>
        <v/>
      </c>
      <c r="G2781" s="81"/>
      <c r="H2781" s="81"/>
      <c r="I2781" s="81"/>
      <c r="J2781" s="81"/>
      <c r="K2781" s="81"/>
      <c r="L2781" s="81"/>
      <c r="M2781" s="81"/>
      <c r="N2781" s="81"/>
      <c r="O2781" s="81"/>
      <c r="P2781" s="81"/>
      <c r="Q2781" s="81"/>
      <c r="R2781" s="81"/>
      <c r="S2781" s="81"/>
      <c r="T2781" s="81"/>
      <c r="U2781" s="83"/>
      <c r="V2781" s="83"/>
      <c r="W2781" s="81"/>
      <c r="X2781" s="81"/>
      <c r="Y2781" s="83"/>
      <c r="Z2781" s="81"/>
      <c r="AA2781" s="81"/>
      <c r="AB2781" s="81"/>
      <c r="AC2781" s="81"/>
      <c r="AD2781" s="81"/>
      <c r="AE2781" s="83"/>
      <c r="AF2781" s="81"/>
      <c r="AG2781" s="81"/>
      <c r="AH2781" s="81"/>
      <c r="AI2781" s="81"/>
      <c r="AJ2781" s="83"/>
      <c r="AK2781" s="81"/>
      <c r="AL2781" s="81"/>
      <c r="AM2781" s="83"/>
      <c r="AN2781" s="80"/>
      <c r="AO2781" s="82" t="str">
        <f aca="false">IF(E2781="","",(AA2781&lt;&gt;"")+(AG2781&lt;&gt;"")+(AL2781&lt;&gt;""))</f>
        <v/>
      </c>
      <c r="AP2781" s="82" t="str">
        <f aca="false">IF(AL2781&lt;&gt;"",AL2781,IF(AG2781&lt;&gt;"",AG2781,IF(AA2781&lt;&gt;"",AA2781,"")))</f>
        <v/>
      </c>
      <c r="AQ2781" s="84" t="str">
        <f aca="false">IF(E2781="","",IF(U2781="","À SOUDER",IF(X2781="","VT EN ATTENTE",IF(X2781="R","VT REJETÉ – À REPRENDRE",IF(AP2781="","À RADIOGRAPHIER",IF(AP2781="A","ACCEPTÉ",IF(AP2781="NX","NX – RT À REFAIRE",IF(IF(AO2781=1,AD2781,IF(AO2781=2,AI2781,""))="A","RÉPARÉ – À RADIOGRAPHIER",IF(IF(AO2781=1,AD2781,IF(AO2781=2,AI2781,""))="R","VT REJETÉ – À REPRENDRE",IF(OR(AP2781="CO",AP2781="NT"),"COUPE – À RESOUDER","À RÉPARER"))))))))))</f>
        <v/>
      </c>
      <c r="AR2781" s="82" t="str">
        <f aca="false">IF(AND(ISNUMBER(U2781),OR(AQ2781="À RADIOGRAPHIER",AQ2781="RÉPARÉ – À RADIOGRAPHIER",AQ2781="NX – RT À REFAIRE",AQ2781="À RÉPARER",AQ2781="COUPE – À RESOUDER",AQ2781="VT REJETÉ – À REPRENDRE")),MAX(0,'PROGRAMME RT'!$C$4-U2781),"")</f>
        <v/>
      </c>
      <c r="AS2781" s="82" t="n">
        <f aca="false">IF(AND(OR(AQ2781="À RADIOGRAPHIER",AQ2781="RÉPARÉ – À RADIOGRAPHIER",AQ2781="NX – RT À REFAIRE"),OR('PROGRAMME RT'!$D$5="TOUTES",B2781='PROGRAMME RT'!$D$5)),1,0)</f>
        <v>0</v>
      </c>
      <c r="AT2781" s="82" t="str">
        <f aca="false">IF(AS2781=1,SUM(AS$7:AS2781),"")</f>
        <v/>
      </c>
      <c r="AU2781" s="82" t="n">
        <f aca="false">IF(AND(OR(AA2781="R",AA2781="NX",AA2781="NT",AA2781="CO"),OR('JOINTS DE RÉPARATION'!$D$5="TOUTES",B2781='JOINTS DE RÉPARATION'!$D$5),OR('JOINTS DE RÉPARATION'!$L$4="TOUS",AQ2781&lt;&gt;"ACCEPTÉ")),1,0)</f>
        <v>0</v>
      </c>
      <c r="AV2781" s="82" t="str">
        <f aca="false">IF(AU2781=1,SUM(AU$7:AU2781),"")</f>
        <v/>
      </c>
      <c r="AW2781" s="82" t="str">
        <f aca="false">IF(E2781="","",B2781&amp;"|"&amp;E2781)</f>
        <v/>
      </c>
    </row>
    <row r="2782" customFormat="false" ht="15" hidden="false" customHeight="false" outlineLevel="0" collapsed="false">
      <c r="A2782" s="79" t="str">
        <f aca="false">IF(E2782="","",ROW()-6)</f>
        <v/>
      </c>
      <c r="B2782" s="80"/>
      <c r="C2782" s="81"/>
      <c r="D2782" s="81"/>
      <c r="E2782" s="81"/>
      <c r="F2782" s="82" t="str">
        <f aca="false">IF(E2782="","",IF(LEFT(E2782,2)="DJ","DJ","JN"))</f>
        <v/>
      </c>
      <c r="G2782" s="81"/>
      <c r="H2782" s="81"/>
      <c r="I2782" s="81"/>
      <c r="J2782" s="81"/>
      <c r="K2782" s="81"/>
      <c r="L2782" s="81"/>
      <c r="M2782" s="81"/>
      <c r="N2782" s="81"/>
      <c r="O2782" s="81"/>
      <c r="P2782" s="81"/>
      <c r="Q2782" s="81"/>
      <c r="R2782" s="81"/>
      <c r="S2782" s="81"/>
      <c r="T2782" s="81"/>
      <c r="U2782" s="83"/>
      <c r="V2782" s="83"/>
      <c r="W2782" s="81"/>
      <c r="X2782" s="81"/>
      <c r="Y2782" s="83"/>
      <c r="Z2782" s="81"/>
      <c r="AA2782" s="81"/>
      <c r="AB2782" s="81"/>
      <c r="AC2782" s="81"/>
      <c r="AD2782" s="81"/>
      <c r="AE2782" s="83"/>
      <c r="AF2782" s="81"/>
      <c r="AG2782" s="81"/>
      <c r="AH2782" s="81"/>
      <c r="AI2782" s="81"/>
      <c r="AJ2782" s="83"/>
      <c r="AK2782" s="81"/>
      <c r="AL2782" s="81"/>
      <c r="AM2782" s="83"/>
      <c r="AN2782" s="80"/>
      <c r="AO2782" s="82" t="str">
        <f aca="false">IF(E2782="","",(AA2782&lt;&gt;"")+(AG2782&lt;&gt;"")+(AL2782&lt;&gt;""))</f>
        <v/>
      </c>
      <c r="AP2782" s="82" t="str">
        <f aca="false">IF(AL2782&lt;&gt;"",AL2782,IF(AG2782&lt;&gt;"",AG2782,IF(AA2782&lt;&gt;"",AA2782,"")))</f>
        <v/>
      </c>
      <c r="AQ2782" s="84" t="str">
        <f aca="false">IF(E2782="","",IF(U2782="","À SOUDER",IF(X2782="","VT EN ATTENTE",IF(X2782="R","VT REJETÉ – À REPRENDRE",IF(AP2782="","À RADIOGRAPHIER",IF(AP2782="A","ACCEPTÉ",IF(AP2782="NX","NX – RT À REFAIRE",IF(IF(AO2782=1,AD2782,IF(AO2782=2,AI2782,""))="A","RÉPARÉ – À RADIOGRAPHIER",IF(IF(AO2782=1,AD2782,IF(AO2782=2,AI2782,""))="R","VT REJETÉ – À REPRENDRE",IF(OR(AP2782="CO",AP2782="NT"),"COUPE – À RESOUDER","À RÉPARER"))))))))))</f>
        <v/>
      </c>
      <c r="AR2782" s="82" t="str">
        <f aca="false">IF(AND(ISNUMBER(U2782),OR(AQ2782="À RADIOGRAPHIER",AQ2782="RÉPARÉ – À RADIOGRAPHIER",AQ2782="NX – RT À REFAIRE",AQ2782="À RÉPARER",AQ2782="COUPE – À RESOUDER",AQ2782="VT REJETÉ – À REPRENDRE")),MAX(0,'PROGRAMME RT'!$C$4-U2782),"")</f>
        <v/>
      </c>
      <c r="AS2782" s="82" t="n">
        <f aca="false">IF(AND(OR(AQ2782="À RADIOGRAPHIER",AQ2782="RÉPARÉ – À RADIOGRAPHIER",AQ2782="NX – RT À REFAIRE"),OR('PROGRAMME RT'!$D$5="TOUTES",B2782='PROGRAMME RT'!$D$5)),1,0)</f>
        <v>0</v>
      </c>
      <c r="AT2782" s="82" t="str">
        <f aca="false">IF(AS2782=1,SUM(AS$7:AS2782),"")</f>
        <v/>
      </c>
      <c r="AU2782" s="82" t="n">
        <f aca="false">IF(AND(OR(AA2782="R",AA2782="NX",AA2782="NT",AA2782="CO"),OR('JOINTS DE RÉPARATION'!$D$5="TOUTES",B2782='JOINTS DE RÉPARATION'!$D$5),OR('JOINTS DE RÉPARATION'!$L$4="TOUS",AQ2782&lt;&gt;"ACCEPTÉ")),1,0)</f>
        <v>0</v>
      </c>
      <c r="AV2782" s="82" t="str">
        <f aca="false">IF(AU2782=1,SUM(AU$7:AU2782),"")</f>
        <v/>
      </c>
      <c r="AW2782" s="82" t="str">
        <f aca="false">IF(E2782="","",B2782&amp;"|"&amp;E2782)</f>
        <v/>
      </c>
    </row>
    <row r="2783" customFormat="false" ht="15" hidden="false" customHeight="false" outlineLevel="0" collapsed="false">
      <c r="A2783" s="79" t="str">
        <f aca="false">IF(E2783="","",ROW()-6)</f>
        <v/>
      </c>
      <c r="B2783" s="80"/>
      <c r="C2783" s="81"/>
      <c r="D2783" s="81"/>
      <c r="E2783" s="81"/>
      <c r="F2783" s="82" t="str">
        <f aca="false">IF(E2783="","",IF(LEFT(E2783,2)="DJ","DJ","JN"))</f>
        <v/>
      </c>
      <c r="G2783" s="81"/>
      <c r="H2783" s="81"/>
      <c r="I2783" s="81"/>
      <c r="J2783" s="81"/>
      <c r="K2783" s="81"/>
      <c r="L2783" s="81"/>
      <c r="M2783" s="81"/>
      <c r="N2783" s="81"/>
      <c r="O2783" s="81"/>
      <c r="P2783" s="81"/>
      <c r="Q2783" s="81"/>
      <c r="R2783" s="81"/>
      <c r="S2783" s="81"/>
      <c r="T2783" s="81"/>
      <c r="U2783" s="83"/>
      <c r="V2783" s="83"/>
      <c r="W2783" s="81"/>
      <c r="X2783" s="81"/>
      <c r="Y2783" s="83"/>
      <c r="Z2783" s="81"/>
      <c r="AA2783" s="81"/>
      <c r="AB2783" s="81"/>
      <c r="AC2783" s="81"/>
      <c r="AD2783" s="81"/>
      <c r="AE2783" s="83"/>
      <c r="AF2783" s="81"/>
      <c r="AG2783" s="81"/>
      <c r="AH2783" s="81"/>
      <c r="AI2783" s="81"/>
      <c r="AJ2783" s="83"/>
      <c r="AK2783" s="81"/>
      <c r="AL2783" s="81"/>
      <c r="AM2783" s="83"/>
      <c r="AN2783" s="80"/>
      <c r="AO2783" s="82" t="str">
        <f aca="false">IF(E2783="","",(AA2783&lt;&gt;"")+(AG2783&lt;&gt;"")+(AL2783&lt;&gt;""))</f>
        <v/>
      </c>
      <c r="AP2783" s="82" t="str">
        <f aca="false">IF(AL2783&lt;&gt;"",AL2783,IF(AG2783&lt;&gt;"",AG2783,IF(AA2783&lt;&gt;"",AA2783,"")))</f>
        <v/>
      </c>
      <c r="AQ2783" s="84" t="str">
        <f aca="false">IF(E2783="","",IF(U2783="","À SOUDER",IF(X2783="","VT EN ATTENTE",IF(X2783="R","VT REJETÉ – À REPRENDRE",IF(AP2783="","À RADIOGRAPHIER",IF(AP2783="A","ACCEPTÉ",IF(AP2783="NX","NX – RT À REFAIRE",IF(IF(AO2783=1,AD2783,IF(AO2783=2,AI2783,""))="A","RÉPARÉ – À RADIOGRAPHIER",IF(IF(AO2783=1,AD2783,IF(AO2783=2,AI2783,""))="R","VT REJETÉ – À REPRENDRE",IF(OR(AP2783="CO",AP2783="NT"),"COUPE – À RESOUDER","À RÉPARER"))))))))))</f>
        <v/>
      </c>
      <c r="AR2783" s="82" t="str">
        <f aca="false">IF(AND(ISNUMBER(U2783),OR(AQ2783="À RADIOGRAPHIER",AQ2783="RÉPARÉ – À RADIOGRAPHIER",AQ2783="NX – RT À REFAIRE",AQ2783="À RÉPARER",AQ2783="COUPE – À RESOUDER",AQ2783="VT REJETÉ – À REPRENDRE")),MAX(0,'PROGRAMME RT'!$C$4-U2783),"")</f>
        <v/>
      </c>
      <c r="AS2783" s="82" t="n">
        <f aca="false">IF(AND(OR(AQ2783="À RADIOGRAPHIER",AQ2783="RÉPARÉ – À RADIOGRAPHIER",AQ2783="NX – RT À REFAIRE"),OR('PROGRAMME RT'!$D$5="TOUTES",B2783='PROGRAMME RT'!$D$5)),1,0)</f>
        <v>0</v>
      </c>
      <c r="AT2783" s="82" t="str">
        <f aca="false">IF(AS2783=1,SUM(AS$7:AS2783),"")</f>
        <v/>
      </c>
      <c r="AU2783" s="82" t="n">
        <f aca="false">IF(AND(OR(AA2783="R",AA2783="NX",AA2783="NT",AA2783="CO"),OR('JOINTS DE RÉPARATION'!$D$5="TOUTES",B2783='JOINTS DE RÉPARATION'!$D$5),OR('JOINTS DE RÉPARATION'!$L$4="TOUS",AQ2783&lt;&gt;"ACCEPTÉ")),1,0)</f>
        <v>0</v>
      </c>
      <c r="AV2783" s="82" t="str">
        <f aca="false">IF(AU2783=1,SUM(AU$7:AU2783),"")</f>
        <v/>
      </c>
      <c r="AW2783" s="82" t="str">
        <f aca="false">IF(E2783="","",B2783&amp;"|"&amp;E2783)</f>
        <v/>
      </c>
    </row>
    <row r="2784" customFormat="false" ht="15" hidden="false" customHeight="false" outlineLevel="0" collapsed="false">
      <c r="A2784" s="79" t="str">
        <f aca="false">IF(E2784="","",ROW()-6)</f>
        <v/>
      </c>
      <c r="B2784" s="80"/>
      <c r="C2784" s="81"/>
      <c r="D2784" s="81"/>
      <c r="E2784" s="81"/>
      <c r="F2784" s="82" t="str">
        <f aca="false">IF(E2784="","",IF(LEFT(E2784,2)="DJ","DJ","JN"))</f>
        <v/>
      </c>
      <c r="G2784" s="81"/>
      <c r="H2784" s="81"/>
      <c r="I2784" s="81"/>
      <c r="J2784" s="81"/>
      <c r="K2784" s="81"/>
      <c r="L2784" s="81"/>
      <c r="M2784" s="81"/>
      <c r="N2784" s="81"/>
      <c r="O2784" s="81"/>
      <c r="P2784" s="81"/>
      <c r="Q2784" s="81"/>
      <c r="R2784" s="81"/>
      <c r="S2784" s="81"/>
      <c r="T2784" s="81"/>
      <c r="U2784" s="83"/>
      <c r="V2784" s="83"/>
      <c r="W2784" s="81"/>
      <c r="X2784" s="81"/>
      <c r="Y2784" s="83"/>
      <c r="Z2784" s="81"/>
      <c r="AA2784" s="81"/>
      <c r="AB2784" s="81"/>
      <c r="AC2784" s="81"/>
      <c r="AD2784" s="81"/>
      <c r="AE2784" s="83"/>
      <c r="AF2784" s="81"/>
      <c r="AG2784" s="81"/>
      <c r="AH2784" s="81"/>
      <c r="AI2784" s="81"/>
      <c r="AJ2784" s="83"/>
      <c r="AK2784" s="81"/>
      <c r="AL2784" s="81"/>
      <c r="AM2784" s="83"/>
      <c r="AN2784" s="80"/>
      <c r="AO2784" s="82" t="str">
        <f aca="false">IF(E2784="","",(AA2784&lt;&gt;"")+(AG2784&lt;&gt;"")+(AL2784&lt;&gt;""))</f>
        <v/>
      </c>
      <c r="AP2784" s="82" t="str">
        <f aca="false">IF(AL2784&lt;&gt;"",AL2784,IF(AG2784&lt;&gt;"",AG2784,IF(AA2784&lt;&gt;"",AA2784,"")))</f>
        <v/>
      </c>
      <c r="AQ2784" s="84" t="str">
        <f aca="false">IF(E2784="","",IF(U2784="","À SOUDER",IF(X2784="","VT EN ATTENTE",IF(X2784="R","VT REJETÉ – À REPRENDRE",IF(AP2784="","À RADIOGRAPHIER",IF(AP2784="A","ACCEPTÉ",IF(AP2784="NX","NX – RT À REFAIRE",IF(IF(AO2784=1,AD2784,IF(AO2784=2,AI2784,""))="A","RÉPARÉ – À RADIOGRAPHIER",IF(IF(AO2784=1,AD2784,IF(AO2784=2,AI2784,""))="R","VT REJETÉ – À REPRENDRE",IF(OR(AP2784="CO",AP2784="NT"),"COUPE – À RESOUDER","À RÉPARER"))))))))))</f>
        <v/>
      </c>
      <c r="AR2784" s="82" t="str">
        <f aca="false">IF(AND(ISNUMBER(U2784),OR(AQ2784="À RADIOGRAPHIER",AQ2784="RÉPARÉ – À RADIOGRAPHIER",AQ2784="NX – RT À REFAIRE",AQ2784="À RÉPARER",AQ2784="COUPE – À RESOUDER",AQ2784="VT REJETÉ – À REPRENDRE")),MAX(0,'PROGRAMME RT'!$C$4-U2784),"")</f>
        <v/>
      </c>
      <c r="AS2784" s="82" t="n">
        <f aca="false">IF(AND(OR(AQ2784="À RADIOGRAPHIER",AQ2784="RÉPARÉ – À RADIOGRAPHIER",AQ2784="NX – RT À REFAIRE"),OR('PROGRAMME RT'!$D$5="TOUTES",B2784='PROGRAMME RT'!$D$5)),1,0)</f>
        <v>0</v>
      </c>
      <c r="AT2784" s="82" t="str">
        <f aca="false">IF(AS2784=1,SUM(AS$7:AS2784),"")</f>
        <v/>
      </c>
      <c r="AU2784" s="82" t="n">
        <f aca="false">IF(AND(OR(AA2784="R",AA2784="NX",AA2784="NT",AA2784="CO"),OR('JOINTS DE RÉPARATION'!$D$5="TOUTES",B2784='JOINTS DE RÉPARATION'!$D$5),OR('JOINTS DE RÉPARATION'!$L$4="TOUS",AQ2784&lt;&gt;"ACCEPTÉ")),1,0)</f>
        <v>0</v>
      </c>
      <c r="AV2784" s="82" t="str">
        <f aca="false">IF(AU2784=1,SUM(AU$7:AU2784),"")</f>
        <v/>
      </c>
      <c r="AW2784" s="82" t="str">
        <f aca="false">IF(E2784="","",B2784&amp;"|"&amp;E2784)</f>
        <v/>
      </c>
    </row>
    <row r="2785" customFormat="false" ht="15" hidden="false" customHeight="false" outlineLevel="0" collapsed="false">
      <c r="A2785" s="79" t="str">
        <f aca="false">IF(E2785="","",ROW()-6)</f>
        <v/>
      </c>
      <c r="B2785" s="80"/>
      <c r="C2785" s="81"/>
      <c r="D2785" s="81"/>
      <c r="E2785" s="81"/>
      <c r="F2785" s="82" t="str">
        <f aca="false">IF(E2785="","",IF(LEFT(E2785,2)="DJ","DJ","JN"))</f>
        <v/>
      </c>
      <c r="G2785" s="81"/>
      <c r="H2785" s="81"/>
      <c r="I2785" s="81"/>
      <c r="J2785" s="81"/>
      <c r="K2785" s="81"/>
      <c r="L2785" s="81"/>
      <c r="M2785" s="81"/>
      <c r="N2785" s="81"/>
      <c r="O2785" s="81"/>
      <c r="P2785" s="81"/>
      <c r="Q2785" s="81"/>
      <c r="R2785" s="81"/>
      <c r="S2785" s="81"/>
      <c r="T2785" s="81"/>
      <c r="U2785" s="83"/>
      <c r="V2785" s="83"/>
      <c r="W2785" s="81"/>
      <c r="X2785" s="81"/>
      <c r="Y2785" s="83"/>
      <c r="Z2785" s="81"/>
      <c r="AA2785" s="81"/>
      <c r="AB2785" s="81"/>
      <c r="AC2785" s="81"/>
      <c r="AD2785" s="81"/>
      <c r="AE2785" s="83"/>
      <c r="AF2785" s="81"/>
      <c r="AG2785" s="81"/>
      <c r="AH2785" s="81"/>
      <c r="AI2785" s="81"/>
      <c r="AJ2785" s="83"/>
      <c r="AK2785" s="81"/>
      <c r="AL2785" s="81"/>
      <c r="AM2785" s="83"/>
      <c r="AN2785" s="80"/>
      <c r="AO2785" s="82" t="str">
        <f aca="false">IF(E2785="","",(AA2785&lt;&gt;"")+(AG2785&lt;&gt;"")+(AL2785&lt;&gt;""))</f>
        <v/>
      </c>
      <c r="AP2785" s="82" t="str">
        <f aca="false">IF(AL2785&lt;&gt;"",AL2785,IF(AG2785&lt;&gt;"",AG2785,IF(AA2785&lt;&gt;"",AA2785,"")))</f>
        <v/>
      </c>
      <c r="AQ2785" s="84" t="str">
        <f aca="false">IF(E2785="","",IF(U2785="","À SOUDER",IF(X2785="","VT EN ATTENTE",IF(X2785="R","VT REJETÉ – À REPRENDRE",IF(AP2785="","À RADIOGRAPHIER",IF(AP2785="A","ACCEPTÉ",IF(AP2785="NX","NX – RT À REFAIRE",IF(IF(AO2785=1,AD2785,IF(AO2785=2,AI2785,""))="A","RÉPARÉ – À RADIOGRAPHIER",IF(IF(AO2785=1,AD2785,IF(AO2785=2,AI2785,""))="R","VT REJETÉ – À REPRENDRE",IF(OR(AP2785="CO",AP2785="NT"),"COUPE – À RESOUDER","À RÉPARER"))))))))))</f>
        <v/>
      </c>
      <c r="AR2785" s="82" t="str">
        <f aca="false">IF(AND(ISNUMBER(U2785),OR(AQ2785="À RADIOGRAPHIER",AQ2785="RÉPARÉ – À RADIOGRAPHIER",AQ2785="NX – RT À REFAIRE",AQ2785="À RÉPARER",AQ2785="COUPE – À RESOUDER",AQ2785="VT REJETÉ – À REPRENDRE")),MAX(0,'PROGRAMME RT'!$C$4-U2785),"")</f>
        <v/>
      </c>
      <c r="AS2785" s="82" t="n">
        <f aca="false">IF(AND(OR(AQ2785="À RADIOGRAPHIER",AQ2785="RÉPARÉ – À RADIOGRAPHIER",AQ2785="NX – RT À REFAIRE"),OR('PROGRAMME RT'!$D$5="TOUTES",B2785='PROGRAMME RT'!$D$5)),1,0)</f>
        <v>0</v>
      </c>
      <c r="AT2785" s="82" t="str">
        <f aca="false">IF(AS2785=1,SUM(AS$7:AS2785),"")</f>
        <v/>
      </c>
      <c r="AU2785" s="82" t="n">
        <f aca="false">IF(AND(OR(AA2785="R",AA2785="NX",AA2785="NT",AA2785="CO"),OR('JOINTS DE RÉPARATION'!$D$5="TOUTES",B2785='JOINTS DE RÉPARATION'!$D$5),OR('JOINTS DE RÉPARATION'!$L$4="TOUS",AQ2785&lt;&gt;"ACCEPTÉ")),1,0)</f>
        <v>0</v>
      </c>
      <c r="AV2785" s="82" t="str">
        <f aca="false">IF(AU2785=1,SUM(AU$7:AU2785),"")</f>
        <v/>
      </c>
      <c r="AW2785" s="82" t="str">
        <f aca="false">IF(E2785="","",B2785&amp;"|"&amp;E2785)</f>
        <v/>
      </c>
    </row>
    <row r="2786" customFormat="false" ht="15" hidden="false" customHeight="false" outlineLevel="0" collapsed="false">
      <c r="A2786" s="79" t="str">
        <f aca="false">IF(E2786="","",ROW()-6)</f>
        <v/>
      </c>
      <c r="B2786" s="80"/>
      <c r="C2786" s="81"/>
      <c r="D2786" s="81"/>
      <c r="E2786" s="81"/>
      <c r="F2786" s="82" t="str">
        <f aca="false">IF(E2786="","",IF(LEFT(E2786,2)="DJ","DJ","JN"))</f>
        <v/>
      </c>
      <c r="G2786" s="81"/>
      <c r="H2786" s="81"/>
      <c r="I2786" s="81"/>
      <c r="J2786" s="81"/>
      <c r="K2786" s="81"/>
      <c r="L2786" s="81"/>
      <c r="M2786" s="81"/>
      <c r="N2786" s="81"/>
      <c r="O2786" s="81"/>
      <c r="P2786" s="81"/>
      <c r="Q2786" s="81"/>
      <c r="R2786" s="81"/>
      <c r="S2786" s="81"/>
      <c r="T2786" s="81"/>
      <c r="U2786" s="83"/>
      <c r="V2786" s="83"/>
      <c r="W2786" s="81"/>
      <c r="X2786" s="81"/>
      <c r="Y2786" s="83"/>
      <c r="Z2786" s="81"/>
      <c r="AA2786" s="81"/>
      <c r="AB2786" s="81"/>
      <c r="AC2786" s="81"/>
      <c r="AD2786" s="81"/>
      <c r="AE2786" s="83"/>
      <c r="AF2786" s="81"/>
      <c r="AG2786" s="81"/>
      <c r="AH2786" s="81"/>
      <c r="AI2786" s="81"/>
      <c r="AJ2786" s="83"/>
      <c r="AK2786" s="81"/>
      <c r="AL2786" s="81"/>
      <c r="AM2786" s="83"/>
      <c r="AN2786" s="80"/>
      <c r="AO2786" s="82" t="str">
        <f aca="false">IF(E2786="","",(AA2786&lt;&gt;"")+(AG2786&lt;&gt;"")+(AL2786&lt;&gt;""))</f>
        <v/>
      </c>
      <c r="AP2786" s="82" t="str">
        <f aca="false">IF(AL2786&lt;&gt;"",AL2786,IF(AG2786&lt;&gt;"",AG2786,IF(AA2786&lt;&gt;"",AA2786,"")))</f>
        <v/>
      </c>
      <c r="AQ2786" s="84" t="str">
        <f aca="false">IF(E2786="","",IF(U2786="","À SOUDER",IF(X2786="","VT EN ATTENTE",IF(X2786="R","VT REJETÉ – À REPRENDRE",IF(AP2786="","À RADIOGRAPHIER",IF(AP2786="A","ACCEPTÉ",IF(AP2786="NX","NX – RT À REFAIRE",IF(IF(AO2786=1,AD2786,IF(AO2786=2,AI2786,""))="A","RÉPARÉ – À RADIOGRAPHIER",IF(IF(AO2786=1,AD2786,IF(AO2786=2,AI2786,""))="R","VT REJETÉ – À REPRENDRE",IF(OR(AP2786="CO",AP2786="NT"),"COUPE – À RESOUDER","À RÉPARER"))))))))))</f>
        <v/>
      </c>
      <c r="AR2786" s="82" t="str">
        <f aca="false">IF(AND(ISNUMBER(U2786),OR(AQ2786="À RADIOGRAPHIER",AQ2786="RÉPARÉ – À RADIOGRAPHIER",AQ2786="NX – RT À REFAIRE",AQ2786="À RÉPARER",AQ2786="COUPE – À RESOUDER",AQ2786="VT REJETÉ – À REPRENDRE")),MAX(0,'PROGRAMME RT'!$C$4-U2786),"")</f>
        <v/>
      </c>
      <c r="AS2786" s="82" t="n">
        <f aca="false">IF(AND(OR(AQ2786="À RADIOGRAPHIER",AQ2786="RÉPARÉ – À RADIOGRAPHIER",AQ2786="NX – RT À REFAIRE"),OR('PROGRAMME RT'!$D$5="TOUTES",B2786='PROGRAMME RT'!$D$5)),1,0)</f>
        <v>0</v>
      </c>
      <c r="AT2786" s="82" t="str">
        <f aca="false">IF(AS2786=1,SUM(AS$7:AS2786),"")</f>
        <v/>
      </c>
      <c r="AU2786" s="82" t="n">
        <f aca="false">IF(AND(OR(AA2786="R",AA2786="NX",AA2786="NT",AA2786="CO"),OR('JOINTS DE RÉPARATION'!$D$5="TOUTES",B2786='JOINTS DE RÉPARATION'!$D$5),OR('JOINTS DE RÉPARATION'!$L$4="TOUS",AQ2786&lt;&gt;"ACCEPTÉ")),1,0)</f>
        <v>0</v>
      </c>
      <c r="AV2786" s="82" t="str">
        <f aca="false">IF(AU2786=1,SUM(AU$7:AU2786),"")</f>
        <v/>
      </c>
      <c r="AW2786" s="82" t="str">
        <f aca="false">IF(E2786="","",B2786&amp;"|"&amp;E2786)</f>
        <v/>
      </c>
    </row>
    <row r="2787" customFormat="false" ht="15" hidden="false" customHeight="false" outlineLevel="0" collapsed="false">
      <c r="A2787" s="79" t="str">
        <f aca="false">IF(E2787="","",ROW()-6)</f>
        <v/>
      </c>
      <c r="B2787" s="80"/>
      <c r="C2787" s="81"/>
      <c r="D2787" s="81"/>
      <c r="E2787" s="81"/>
      <c r="F2787" s="82" t="str">
        <f aca="false">IF(E2787="","",IF(LEFT(E2787,2)="DJ","DJ","JN"))</f>
        <v/>
      </c>
      <c r="G2787" s="81"/>
      <c r="H2787" s="81"/>
      <c r="I2787" s="81"/>
      <c r="J2787" s="81"/>
      <c r="K2787" s="81"/>
      <c r="L2787" s="81"/>
      <c r="M2787" s="81"/>
      <c r="N2787" s="81"/>
      <c r="O2787" s="81"/>
      <c r="P2787" s="81"/>
      <c r="Q2787" s="81"/>
      <c r="R2787" s="81"/>
      <c r="S2787" s="81"/>
      <c r="T2787" s="81"/>
      <c r="U2787" s="83"/>
      <c r="V2787" s="83"/>
      <c r="W2787" s="81"/>
      <c r="X2787" s="81"/>
      <c r="Y2787" s="83"/>
      <c r="Z2787" s="81"/>
      <c r="AA2787" s="81"/>
      <c r="AB2787" s="81"/>
      <c r="AC2787" s="81"/>
      <c r="AD2787" s="81"/>
      <c r="AE2787" s="83"/>
      <c r="AF2787" s="81"/>
      <c r="AG2787" s="81"/>
      <c r="AH2787" s="81"/>
      <c r="AI2787" s="81"/>
      <c r="AJ2787" s="83"/>
      <c r="AK2787" s="81"/>
      <c r="AL2787" s="81"/>
      <c r="AM2787" s="83"/>
      <c r="AN2787" s="80"/>
      <c r="AO2787" s="82" t="str">
        <f aca="false">IF(E2787="","",(AA2787&lt;&gt;"")+(AG2787&lt;&gt;"")+(AL2787&lt;&gt;""))</f>
        <v/>
      </c>
      <c r="AP2787" s="82" t="str">
        <f aca="false">IF(AL2787&lt;&gt;"",AL2787,IF(AG2787&lt;&gt;"",AG2787,IF(AA2787&lt;&gt;"",AA2787,"")))</f>
        <v/>
      </c>
      <c r="AQ2787" s="84" t="str">
        <f aca="false">IF(E2787="","",IF(U2787="","À SOUDER",IF(X2787="","VT EN ATTENTE",IF(X2787="R","VT REJETÉ – À REPRENDRE",IF(AP2787="","À RADIOGRAPHIER",IF(AP2787="A","ACCEPTÉ",IF(AP2787="NX","NX – RT À REFAIRE",IF(IF(AO2787=1,AD2787,IF(AO2787=2,AI2787,""))="A","RÉPARÉ – À RADIOGRAPHIER",IF(IF(AO2787=1,AD2787,IF(AO2787=2,AI2787,""))="R","VT REJETÉ – À REPRENDRE",IF(OR(AP2787="CO",AP2787="NT"),"COUPE – À RESOUDER","À RÉPARER"))))))))))</f>
        <v/>
      </c>
      <c r="AR2787" s="82" t="str">
        <f aca="false">IF(AND(ISNUMBER(U2787),OR(AQ2787="À RADIOGRAPHIER",AQ2787="RÉPARÉ – À RADIOGRAPHIER",AQ2787="NX – RT À REFAIRE",AQ2787="À RÉPARER",AQ2787="COUPE – À RESOUDER",AQ2787="VT REJETÉ – À REPRENDRE")),MAX(0,'PROGRAMME RT'!$C$4-U2787),"")</f>
        <v/>
      </c>
      <c r="AS2787" s="82" t="n">
        <f aca="false">IF(AND(OR(AQ2787="À RADIOGRAPHIER",AQ2787="RÉPARÉ – À RADIOGRAPHIER",AQ2787="NX – RT À REFAIRE"),OR('PROGRAMME RT'!$D$5="TOUTES",B2787='PROGRAMME RT'!$D$5)),1,0)</f>
        <v>0</v>
      </c>
      <c r="AT2787" s="82" t="str">
        <f aca="false">IF(AS2787=1,SUM(AS$7:AS2787),"")</f>
        <v/>
      </c>
      <c r="AU2787" s="82" t="n">
        <f aca="false">IF(AND(OR(AA2787="R",AA2787="NX",AA2787="NT",AA2787="CO"),OR('JOINTS DE RÉPARATION'!$D$5="TOUTES",B2787='JOINTS DE RÉPARATION'!$D$5),OR('JOINTS DE RÉPARATION'!$L$4="TOUS",AQ2787&lt;&gt;"ACCEPTÉ")),1,0)</f>
        <v>0</v>
      </c>
      <c r="AV2787" s="82" t="str">
        <f aca="false">IF(AU2787=1,SUM(AU$7:AU2787),"")</f>
        <v/>
      </c>
      <c r="AW2787" s="82" t="str">
        <f aca="false">IF(E2787="","",B2787&amp;"|"&amp;E2787)</f>
        <v/>
      </c>
    </row>
    <row r="2788" customFormat="false" ht="15" hidden="false" customHeight="false" outlineLevel="0" collapsed="false">
      <c r="A2788" s="79" t="str">
        <f aca="false">IF(E2788="","",ROW()-6)</f>
        <v/>
      </c>
      <c r="B2788" s="80"/>
      <c r="C2788" s="81"/>
      <c r="D2788" s="81"/>
      <c r="E2788" s="81"/>
      <c r="F2788" s="82" t="str">
        <f aca="false">IF(E2788="","",IF(LEFT(E2788,2)="DJ","DJ","JN"))</f>
        <v/>
      </c>
      <c r="G2788" s="81"/>
      <c r="H2788" s="81"/>
      <c r="I2788" s="81"/>
      <c r="J2788" s="81"/>
      <c r="K2788" s="81"/>
      <c r="L2788" s="81"/>
      <c r="M2788" s="81"/>
      <c r="N2788" s="81"/>
      <c r="O2788" s="81"/>
      <c r="P2788" s="81"/>
      <c r="Q2788" s="81"/>
      <c r="R2788" s="81"/>
      <c r="S2788" s="81"/>
      <c r="T2788" s="81"/>
      <c r="U2788" s="83"/>
      <c r="V2788" s="83"/>
      <c r="W2788" s="81"/>
      <c r="X2788" s="81"/>
      <c r="Y2788" s="83"/>
      <c r="Z2788" s="81"/>
      <c r="AA2788" s="81"/>
      <c r="AB2788" s="81"/>
      <c r="AC2788" s="81"/>
      <c r="AD2788" s="81"/>
      <c r="AE2788" s="83"/>
      <c r="AF2788" s="81"/>
      <c r="AG2788" s="81"/>
      <c r="AH2788" s="81"/>
      <c r="AI2788" s="81"/>
      <c r="AJ2788" s="83"/>
      <c r="AK2788" s="81"/>
      <c r="AL2788" s="81"/>
      <c r="AM2788" s="83"/>
      <c r="AN2788" s="80"/>
      <c r="AO2788" s="82" t="str">
        <f aca="false">IF(E2788="","",(AA2788&lt;&gt;"")+(AG2788&lt;&gt;"")+(AL2788&lt;&gt;""))</f>
        <v/>
      </c>
      <c r="AP2788" s="82" t="str">
        <f aca="false">IF(AL2788&lt;&gt;"",AL2788,IF(AG2788&lt;&gt;"",AG2788,IF(AA2788&lt;&gt;"",AA2788,"")))</f>
        <v/>
      </c>
      <c r="AQ2788" s="84" t="str">
        <f aca="false">IF(E2788="","",IF(U2788="","À SOUDER",IF(X2788="","VT EN ATTENTE",IF(X2788="R","VT REJETÉ – À REPRENDRE",IF(AP2788="","À RADIOGRAPHIER",IF(AP2788="A","ACCEPTÉ",IF(AP2788="NX","NX – RT À REFAIRE",IF(IF(AO2788=1,AD2788,IF(AO2788=2,AI2788,""))="A","RÉPARÉ – À RADIOGRAPHIER",IF(IF(AO2788=1,AD2788,IF(AO2788=2,AI2788,""))="R","VT REJETÉ – À REPRENDRE",IF(OR(AP2788="CO",AP2788="NT"),"COUPE – À RESOUDER","À RÉPARER"))))))))))</f>
        <v/>
      </c>
      <c r="AR2788" s="82" t="str">
        <f aca="false">IF(AND(ISNUMBER(U2788),OR(AQ2788="À RADIOGRAPHIER",AQ2788="RÉPARÉ – À RADIOGRAPHIER",AQ2788="NX – RT À REFAIRE",AQ2788="À RÉPARER",AQ2788="COUPE – À RESOUDER",AQ2788="VT REJETÉ – À REPRENDRE")),MAX(0,'PROGRAMME RT'!$C$4-U2788),"")</f>
        <v/>
      </c>
      <c r="AS2788" s="82" t="n">
        <f aca="false">IF(AND(OR(AQ2788="À RADIOGRAPHIER",AQ2788="RÉPARÉ – À RADIOGRAPHIER",AQ2788="NX – RT À REFAIRE"),OR('PROGRAMME RT'!$D$5="TOUTES",B2788='PROGRAMME RT'!$D$5)),1,0)</f>
        <v>0</v>
      </c>
      <c r="AT2788" s="82" t="str">
        <f aca="false">IF(AS2788=1,SUM(AS$7:AS2788),"")</f>
        <v/>
      </c>
      <c r="AU2788" s="82" t="n">
        <f aca="false">IF(AND(OR(AA2788="R",AA2788="NX",AA2788="NT",AA2788="CO"),OR('JOINTS DE RÉPARATION'!$D$5="TOUTES",B2788='JOINTS DE RÉPARATION'!$D$5),OR('JOINTS DE RÉPARATION'!$L$4="TOUS",AQ2788&lt;&gt;"ACCEPTÉ")),1,0)</f>
        <v>0</v>
      </c>
      <c r="AV2788" s="82" t="str">
        <f aca="false">IF(AU2788=1,SUM(AU$7:AU2788),"")</f>
        <v/>
      </c>
      <c r="AW2788" s="82" t="str">
        <f aca="false">IF(E2788="","",B2788&amp;"|"&amp;E2788)</f>
        <v/>
      </c>
    </row>
    <row r="2789" customFormat="false" ht="15" hidden="false" customHeight="false" outlineLevel="0" collapsed="false">
      <c r="A2789" s="79" t="str">
        <f aca="false">IF(E2789="","",ROW()-6)</f>
        <v/>
      </c>
      <c r="B2789" s="80"/>
      <c r="C2789" s="81"/>
      <c r="D2789" s="81"/>
      <c r="E2789" s="81"/>
      <c r="F2789" s="82" t="str">
        <f aca="false">IF(E2789="","",IF(LEFT(E2789,2)="DJ","DJ","JN"))</f>
        <v/>
      </c>
      <c r="G2789" s="81"/>
      <c r="H2789" s="81"/>
      <c r="I2789" s="81"/>
      <c r="J2789" s="81"/>
      <c r="K2789" s="81"/>
      <c r="L2789" s="81"/>
      <c r="M2789" s="81"/>
      <c r="N2789" s="81"/>
      <c r="O2789" s="81"/>
      <c r="P2789" s="81"/>
      <c r="Q2789" s="81"/>
      <c r="R2789" s="81"/>
      <c r="S2789" s="81"/>
      <c r="T2789" s="81"/>
      <c r="U2789" s="83"/>
      <c r="V2789" s="83"/>
      <c r="W2789" s="81"/>
      <c r="X2789" s="81"/>
      <c r="Y2789" s="83"/>
      <c r="Z2789" s="81"/>
      <c r="AA2789" s="81"/>
      <c r="AB2789" s="81"/>
      <c r="AC2789" s="81"/>
      <c r="AD2789" s="81"/>
      <c r="AE2789" s="83"/>
      <c r="AF2789" s="81"/>
      <c r="AG2789" s="81"/>
      <c r="AH2789" s="81"/>
      <c r="AI2789" s="81"/>
      <c r="AJ2789" s="83"/>
      <c r="AK2789" s="81"/>
      <c r="AL2789" s="81"/>
      <c r="AM2789" s="83"/>
      <c r="AN2789" s="80"/>
      <c r="AO2789" s="82" t="str">
        <f aca="false">IF(E2789="","",(AA2789&lt;&gt;"")+(AG2789&lt;&gt;"")+(AL2789&lt;&gt;""))</f>
        <v/>
      </c>
      <c r="AP2789" s="82" t="str">
        <f aca="false">IF(AL2789&lt;&gt;"",AL2789,IF(AG2789&lt;&gt;"",AG2789,IF(AA2789&lt;&gt;"",AA2789,"")))</f>
        <v/>
      </c>
      <c r="AQ2789" s="84" t="str">
        <f aca="false">IF(E2789="","",IF(U2789="","À SOUDER",IF(X2789="","VT EN ATTENTE",IF(X2789="R","VT REJETÉ – À REPRENDRE",IF(AP2789="","À RADIOGRAPHIER",IF(AP2789="A","ACCEPTÉ",IF(AP2789="NX","NX – RT À REFAIRE",IF(IF(AO2789=1,AD2789,IF(AO2789=2,AI2789,""))="A","RÉPARÉ – À RADIOGRAPHIER",IF(IF(AO2789=1,AD2789,IF(AO2789=2,AI2789,""))="R","VT REJETÉ – À REPRENDRE",IF(OR(AP2789="CO",AP2789="NT"),"COUPE – À RESOUDER","À RÉPARER"))))))))))</f>
        <v/>
      </c>
      <c r="AR2789" s="82" t="str">
        <f aca="false">IF(AND(ISNUMBER(U2789),OR(AQ2789="À RADIOGRAPHIER",AQ2789="RÉPARÉ – À RADIOGRAPHIER",AQ2789="NX – RT À REFAIRE",AQ2789="À RÉPARER",AQ2789="COUPE – À RESOUDER",AQ2789="VT REJETÉ – À REPRENDRE")),MAX(0,'PROGRAMME RT'!$C$4-U2789),"")</f>
        <v/>
      </c>
      <c r="AS2789" s="82" t="n">
        <f aca="false">IF(AND(OR(AQ2789="À RADIOGRAPHIER",AQ2789="RÉPARÉ – À RADIOGRAPHIER",AQ2789="NX – RT À REFAIRE"),OR('PROGRAMME RT'!$D$5="TOUTES",B2789='PROGRAMME RT'!$D$5)),1,0)</f>
        <v>0</v>
      </c>
      <c r="AT2789" s="82" t="str">
        <f aca="false">IF(AS2789=1,SUM(AS$7:AS2789),"")</f>
        <v/>
      </c>
      <c r="AU2789" s="82" t="n">
        <f aca="false">IF(AND(OR(AA2789="R",AA2789="NX",AA2789="NT",AA2789="CO"),OR('JOINTS DE RÉPARATION'!$D$5="TOUTES",B2789='JOINTS DE RÉPARATION'!$D$5),OR('JOINTS DE RÉPARATION'!$L$4="TOUS",AQ2789&lt;&gt;"ACCEPTÉ")),1,0)</f>
        <v>0</v>
      </c>
      <c r="AV2789" s="82" t="str">
        <f aca="false">IF(AU2789=1,SUM(AU$7:AU2789),"")</f>
        <v/>
      </c>
      <c r="AW2789" s="82" t="str">
        <f aca="false">IF(E2789="","",B2789&amp;"|"&amp;E2789)</f>
        <v/>
      </c>
    </row>
    <row r="2790" customFormat="false" ht="15" hidden="false" customHeight="false" outlineLevel="0" collapsed="false">
      <c r="A2790" s="79" t="str">
        <f aca="false">IF(E2790="","",ROW()-6)</f>
        <v/>
      </c>
      <c r="B2790" s="80"/>
      <c r="C2790" s="81"/>
      <c r="D2790" s="81"/>
      <c r="E2790" s="81"/>
      <c r="F2790" s="82" t="str">
        <f aca="false">IF(E2790="","",IF(LEFT(E2790,2)="DJ","DJ","JN"))</f>
        <v/>
      </c>
      <c r="G2790" s="81"/>
      <c r="H2790" s="81"/>
      <c r="I2790" s="81"/>
      <c r="J2790" s="81"/>
      <c r="K2790" s="81"/>
      <c r="L2790" s="81"/>
      <c r="M2790" s="81"/>
      <c r="N2790" s="81"/>
      <c r="O2790" s="81"/>
      <c r="P2790" s="81"/>
      <c r="Q2790" s="81"/>
      <c r="R2790" s="81"/>
      <c r="S2790" s="81"/>
      <c r="T2790" s="81"/>
      <c r="U2790" s="83"/>
      <c r="V2790" s="83"/>
      <c r="W2790" s="81"/>
      <c r="X2790" s="81"/>
      <c r="Y2790" s="83"/>
      <c r="Z2790" s="81"/>
      <c r="AA2790" s="81"/>
      <c r="AB2790" s="81"/>
      <c r="AC2790" s="81"/>
      <c r="AD2790" s="81"/>
      <c r="AE2790" s="83"/>
      <c r="AF2790" s="81"/>
      <c r="AG2790" s="81"/>
      <c r="AH2790" s="81"/>
      <c r="AI2790" s="81"/>
      <c r="AJ2790" s="83"/>
      <c r="AK2790" s="81"/>
      <c r="AL2790" s="81"/>
      <c r="AM2790" s="83"/>
      <c r="AN2790" s="80"/>
      <c r="AO2790" s="82" t="str">
        <f aca="false">IF(E2790="","",(AA2790&lt;&gt;"")+(AG2790&lt;&gt;"")+(AL2790&lt;&gt;""))</f>
        <v/>
      </c>
      <c r="AP2790" s="82" t="str">
        <f aca="false">IF(AL2790&lt;&gt;"",AL2790,IF(AG2790&lt;&gt;"",AG2790,IF(AA2790&lt;&gt;"",AA2790,"")))</f>
        <v/>
      </c>
      <c r="AQ2790" s="84" t="str">
        <f aca="false">IF(E2790="","",IF(U2790="","À SOUDER",IF(X2790="","VT EN ATTENTE",IF(X2790="R","VT REJETÉ – À REPRENDRE",IF(AP2790="","À RADIOGRAPHIER",IF(AP2790="A","ACCEPTÉ",IF(AP2790="NX","NX – RT À REFAIRE",IF(IF(AO2790=1,AD2790,IF(AO2790=2,AI2790,""))="A","RÉPARÉ – À RADIOGRAPHIER",IF(IF(AO2790=1,AD2790,IF(AO2790=2,AI2790,""))="R","VT REJETÉ – À REPRENDRE",IF(OR(AP2790="CO",AP2790="NT"),"COUPE – À RESOUDER","À RÉPARER"))))))))))</f>
        <v/>
      </c>
      <c r="AR2790" s="82" t="str">
        <f aca="false">IF(AND(ISNUMBER(U2790),OR(AQ2790="À RADIOGRAPHIER",AQ2790="RÉPARÉ – À RADIOGRAPHIER",AQ2790="NX – RT À REFAIRE",AQ2790="À RÉPARER",AQ2790="COUPE – À RESOUDER",AQ2790="VT REJETÉ – À REPRENDRE")),MAX(0,'PROGRAMME RT'!$C$4-U2790),"")</f>
        <v/>
      </c>
      <c r="AS2790" s="82" t="n">
        <f aca="false">IF(AND(OR(AQ2790="À RADIOGRAPHIER",AQ2790="RÉPARÉ – À RADIOGRAPHIER",AQ2790="NX – RT À REFAIRE"),OR('PROGRAMME RT'!$D$5="TOUTES",B2790='PROGRAMME RT'!$D$5)),1,0)</f>
        <v>0</v>
      </c>
      <c r="AT2790" s="82" t="str">
        <f aca="false">IF(AS2790=1,SUM(AS$7:AS2790),"")</f>
        <v/>
      </c>
      <c r="AU2790" s="82" t="n">
        <f aca="false">IF(AND(OR(AA2790="R",AA2790="NX",AA2790="NT",AA2790="CO"),OR('JOINTS DE RÉPARATION'!$D$5="TOUTES",B2790='JOINTS DE RÉPARATION'!$D$5),OR('JOINTS DE RÉPARATION'!$L$4="TOUS",AQ2790&lt;&gt;"ACCEPTÉ")),1,0)</f>
        <v>0</v>
      </c>
      <c r="AV2790" s="82" t="str">
        <f aca="false">IF(AU2790=1,SUM(AU$7:AU2790),"")</f>
        <v/>
      </c>
      <c r="AW2790" s="82" t="str">
        <f aca="false">IF(E2790="","",B2790&amp;"|"&amp;E2790)</f>
        <v/>
      </c>
    </row>
    <row r="2791" customFormat="false" ht="15" hidden="false" customHeight="false" outlineLevel="0" collapsed="false">
      <c r="A2791" s="79" t="str">
        <f aca="false">IF(E2791="","",ROW()-6)</f>
        <v/>
      </c>
      <c r="B2791" s="80"/>
      <c r="C2791" s="81"/>
      <c r="D2791" s="81"/>
      <c r="E2791" s="81"/>
      <c r="F2791" s="82" t="str">
        <f aca="false">IF(E2791="","",IF(LEFT(E2791,2)="DJ","DJ","JN"))</f>
        <v/>
      </c>
      <c r="G2791" s="81"/>
      <c r="H2791" s="81"/>
      <c r="I2791" s="81"/>
      <c r="J2791" s="81"/>
      <c r="K2791" s="81"/>
      <c r="L2791" s="81"/>
      <c r="M2791" s="81"/>
      <c r="N2791" s="81"/>
      <c r="O2791" s="81"/>
      <c r="P2791" s="81"/>
      <c r="Q2791" s="81"/>
      <c r="R2791" s="81"/>
      <c r="S2791" s="81"/>
      <c r="T2791" s="81"/>
      <c r="U2791" s="83"/>
      <c r="V2791" s="83"/>
      <c r="W2791" s="81"/>
      <c r="X2791" s="81"/>
      <c r="Y2791" s="83"/>
      <c r="Z2791" s="81"/>
      <c r="AA2791" s="81"/>
      <c r="AB2791" s="81"/>
      <c r="AC2791" s="81"/>
      <c r="AD2791" s="81"/>
      <c r="AE2791" s="83"/>
      <c r="AF2791" s="81"/>
      <c r="AG2791" s="81"/>
      <c r="AH2791" s="81"/>
      <c r="AI2791" s="81"/>
      <c r="AJ2791" s="83"/>
      <c r="AK2791" s="81"/>
      <c r="AL2791" s="81"/>
      <c r="AM2791" s="83"/>
      <c r="AN2791" s="80"/>
      <c r="AO2791" s="82" t="str">
        <f aca="false">IF(E2791="","",(AA2791&lt;&gt;"")+(AG2791&lt;&gt;"")+(AL2791&lt;&gt;""))</f>
        <v/>
      </c>
      <c r="AP2791" s="82" t="str">
        <f aca="false">IF(AL2791&lt;&gt;"",AL2791,IF(AG2791&lt;&gt;"",AG2791,IF(AA2791&lt;&gt;"",AA2791,"")))</f>
        <v/>
      </c>
      <c r="AQ2791" s="84" t="str">
        <f aca="false">IF(E2791="","",IF(U2791="","À SOUDER",IF(X2791="","VT EN ATTENTE",IF(X2791="R","VT REJETÉ – À REPRENDRE",IF(AP2791="","À RADIOGRAPHIER",IF(AP2791="A","ACCEPTÉ",IF(AP2791="NX","NX – RT À REFAIRE",IF(IF(AO2791=1,AD2791,IF(AO2791=2,AI2791,""))="A","RÉPARÉ – À RADIOGRAPHIER",IF(IF(AO2791=1,AD2791,IF(AO2791=2,AI2791,""))="R","VT REJETÉ – À REPRENDRE",IF(OR(AP2791="CO",AP2791="NT"),"COUPE – À RESOUDER","À RÉPARER"))))))))))</f>
        <v/>
      </c>
      <c r="AR2791" s="82" t="str">
        <f aca="false">IF(AND(ISNUMBER(U2791),OR(AQ2791="À RADIOGRAPHIER",AQ2791="RÉPARÉ – À RADIOGRAPHIER",AQ2791="NX – RT À REFAIRE",AQ2791="À RÉPARER",AQ2791="COUPE – À RESOUDER",AQ2791="VT REJETÉ – À REPRENDRE")),MAX(0,'PROGRAMME RT'!$C$4-U2791),"")</f>
        <v/>
      </c>
      <c r="AS2791" s="82" t="n">
        <f aca="false">IF(AND(OR(AQ2791="À RADIOGRAPHIER",AQ2791="RÉPARÉ – À RADIOGRAPHIER",AQ2791="NX – RT À REFAIRE"),OR('PROGRAMME RT'!$D$5="TOUTES",B2791='PROGRAMME RT'!$D$5)),1,0)</f>
        <v>0</v>
      </c>
      <c r="AT2791" s="82" t="str">
        <f aca="false">IF(AS2791=1,SUM(AS$7:AS2791),"")</f>
        <v/>
      </c>
      <c r="AU2791" s="82" t="n">
        <f aca="false">IF(AND(OR(AA2791="R",AA2791="NX",AA2791="NT",AA2791="CO"),OR('JOINTS DE RÉPARATION'!$D$5="TOUTES",B2791='JOINTS DE RÉPARATION'!$D$5),OR('JOINTS DE RÉPARATION'!$L$4="TOUS",AQ2791&lt;&gt;"ACCEPTÉ")),1,0)</f>
        <v>0</v>
      </c>
      <c r="AV2791" s="82" t="str">
        <f aca="false">IF(AU2791=1,SUM(AU$7:AU2791),"")</f>
        <v/>
      </c>
      <c r="AW2791" s="82" t="str">
        <f aca="false">IF(E2791="","",B2791&amp;"|"&amp;E2791)</f>
        <v/>
      </c>
    </row>
    <row r="2792" customFormat="false" ht="15" hidden="false" customHeight="false" outlineLevel="0" collapsed="false">
      <c r="A2792" s="79" t="str">
        <f aca="false">IF(E2792="","",ROW()-6)</f>
        <v/>
      </c>
      <c r="B2792" s="80"/>
      <c r="C2792" s="81"/>
      <c r="D2792" s="81"/>
      <c r="E2792" s="81"/>
      <c r="F2792" s="82" t="str">
        <f aca="false">IF(E2792="","",IF(LEFT(E2792,2)="DJ","DJ","JN"))</f>
        <v/>
      </c>
      <c r="G2792" s="81"/>
      <c r="H2792" s="81"/>
      <c r="I2792" s="81"/>
      <c r="J2792" s="81"/>
      <c r="K2792" s="81"/>
      <c r="L2792" s="81"/>
      <c r="M2792" s="81"/>
      <c r="N2792" s="81"/>
      <c r="O2792" s="81"/>
      <c r="P2792" s="81"/>
      <c r="Q2792" s="81"/>
      <c r="R2792" s="81"/>
      <c r="S2792" s="81"/>
      <c r="T2792" s="81"/>
      <c r="U2792" s="83"/>
      <c r="V2792" s="83"/>
      <c r="W2792" s="81"/>
      <c r="X2792" s="81"/>
      <c r="Y2792" s="83"/>
      <c r="Z2792" s="81"/>
      <c r="AA2792" s="81"/>
      <c r="AB2792" s="81"/>
      <c r="AC2792" s="81"/>
      <c r="AD2792" s="81"/>
      <c r="AE2792" s="83"/>
      <c r="AF2792" s="81"/>
      <c r="AG2792" s="81"/>
      <c r="AH2792" s="81"/>
      <c r="AI2792" s="81"/>
      <c r="AJ2792" s="83"/>
      <c r="AK2792" s="81"/>
      <c r="AL2792" s="81"/>
      <c r="AM2792" s="83"/>
      <c r="AN2792" s="80"/>
      <c r="AO2792" s="82" t="str">
        <f aca="false">IF(E2792="","",(AA2792&lt;&gt;"")+(AG2792&lt;&gt;"")+(AL2792&lt;&gt;""))</f>
        <v/>
      </c>
      <c r="AP2792" s="82" t="str">
        <f aca="false">IF(AL2792&lt;&gt;"",AL2792,IF(AG2792&lt;&gt;"",AG2792,IF(AA2792&lt;&gt;"",AA2792,"")))</f>
        <v/>
      </c>
      <c r="AQ2792" s="84" t="str">
        <f aca="false">IF(E2792="","",IF(U2792="","À SOUDER",IF(X2792="","VT EN ATTENTE",IF(X2792="R","VT REJETÉ – À REPRENDRE",IF(AP2792="","À RADIOGRAPHIER",IF(AP2792="A","ACCEPTÉ",IF(AP2792="NX","NX – RT À REFAIRE",IF(IF(AO2792=1,AD2792,IF(AO2792=2,AI2792,""))="A","RÉPARÉ – À RADIOGRAPHIER",IF(IF(AO2792=1,AD2792,IF(AO2792=2,AI2792,""))="R","VT REJETÉ – À REPRENDRE",IF(OR(AP2792="CO",AP2792="NT"),"COUPE – À RESOUDER","À RÉPARER"))))))))))</f>
        <v/>
      </c>
      <c r="AR2792" s="82" t="str">
        <f aca="false">IF(AND(ISNUMBER(U2792),OR(AQ2792="À RADIOGRAPHIER",AQ2792="RÉPARÉ – À RADIOGRAPHIER",AQ2792="NX – RT À REFAIRE",AQ2792="À RÉPARER",AQ2792="COUPE – À RESOUDER",AQ2792="VT REJETÉ – À REPRENDRE")),MAX(0,'PROGRAMME RT'!$C$4-U2792),"")</f>
        <v/>
      </c>
      <c r="AS2792" s="82" t="n">
        <f aca="false">IF(AND(OR(AQ2792="À RADIOGRAPHIER",AQ2792="RÉPARÉ – À RADIOGRAPHIER",AQ2792="NX – RT À REFAIRE"),OR('PROGRAMME RT'!$D$5="TOUTES",B2792='PROGRAMME RT'!$D$5)),1,0)</f>
        <v>0</v>
      </c>
      <c r="AT2792" s="82" t="str">
        <f aca="false">IF(AS2792=1,SUM(AS$7:AS2792),"")</f>
        <v/>
      </c>
      <c r="AU2792" s="82" t="n">
        <f aca="false">IF(AND(OR(AA2792="R",AA2792="NX",AA2792="NT",AA2792="CO"),OR('JOINTS DE RÉPARATION'!$D$5="TOUTES",B2792='JOINTS DE RÉPARATION'!$D$5),OR('JOINTS DE RÉPARATION'!$L$4="TOUS",AQ2792&lt;&gt;"ACCEPTÉ")),1,0)</f>
        <v>0</v>
      </c>
      <c r="AV2792" s="82" t="str">
        <f aca="false">IF(AU2792=1,SUM(AU$7:AU2792),"")</f>
        <v/>
      </c>
      <c r="AW2792" s="82" t="str">
        <f aca="false">IF(E2792="","",B2792&amp;"|"&amp;E2792)</f>
        <v/>
      </c>
    </row>
    <row r="2793" customFormat="false" ht="15" hidden="false" customHeight="false" outlineLevel="0" collapsed="false">
      <c r="A2793" s="79" t="str">
        <f aca="false">IF(E2793="","",ROW()-6)</f>
        <v/>
      </c>
      <c r="B2793" s="80"/>
      <c r="C2793" s="81"/>
      <c r="D2793" s="81"/>
      <c r="E2793" s="81"/>
      <c r="F2793" s="82" t="str">
        <f aca="false">IF(E2793="","",IF(LEFT(E2793,2)="DJ","DJ","JN"))</f>
        <v/>
      </c>
      <c r="G2793" s="81"/>
      <c r="H2793" s="81"/>
      <c r="I2793" s="81"/>
      <c r="J2793" s="81"/>
      <c r="K2793" s="81"/>
      <c r="L2793" s="81"/>
      <c r="M2793" s="81"/>
      <c r="N2793" s="81"/>
      <c r="O2793" s="81"/>
      <c r="P2793" s="81"/>
      <c r="Q2793" s="81"/>
      <c r="R2793" s="81"/>
      <c r="S2793" s="81"/>
      <c r="T2793" s="81"/>
      <c r="U2793" s="83"/>
      <c r="V2793" s="83"/>
      <c r="W2793" s="81"/>
      <c r="X2793" s="81"/>
      <c r="Y2793" s="83"/>
      <c r="Z2793" s="81"/>
      <c r="AA2793" s="81"/>
      <c r="AB2793" s="81"/>
      <c r="AC2793" s="81"/>
      <c r="AD2793" s="81"/>
      <c r="AE2793" s="83"/>
      <c r="AF2793" s="81"/>
      <c r="AG2793" s="81"/>
      <c r="AH2793" s="81"/>
      <c r="AI2793" s="81"/>
      <c r="AJ2793" s="83"/>
      <c r="AK2793" s="81"/>
      <c r="AL2793" s="81"/>
      <c r="AM2793" s="83"/>
      <c r="AN2793" s="80"/>
      <c r="AO2793" s="82" t="str">
        <f aca="false">IF(E2793="","",(AA2793&lt;&gt;"")+(AG2793&lt;&gt;"")+(AL2793&lt;&gt;""))</f>
        <v/>
      </c>
      <c r="AP2793" s="82" t="str">
        <f aca="false">IF(AL2793&lt;&gt;"",AL2793,IF(AG2793&lt;&gt;"",AG2793,IF(AA2793&lt;&gt;"",AA2793,"")))</f>
        <v/>
      </c>
      <c r="AQ2793" s="84" t="str">
        <f aca="false">IF(E2793="","",IF(U2793="","À SOUDER",IF(X2793="","VT EN ATTENTE",IF(X2793="R","VT REJETÉ – À REPRENDRE",IF(AP2793="","À RADIOGRAPHIER",IF(AP2793="A","ACCEPTÉ",IF(AP2793="NX","NX – RT À REFAIRE",IF(IF(AO2793=1,AD2793,IF(AO2793=2,AI2793,""))="A","RÉPARÉ – À RADIOGRAPHIER",IF(IF(AO2793=1,AD2793,IF(AO2793=2,AI2793,""))="R","VT REJETÉ – À REPRENDRE",IF(OR(AP2793="CO",AP2793="NT"),"COUPE – À RESOUDER","À RÉPARER"))))))))))</f>
        <v/>
      </c>
      <c r="AR2793" s="82" t="str">
        <f aca="false">IF(AND(ISNUMBER(U2793),OR(AQ2793="À RADIOGRAPHIER",AQ2793="RÉPARÉ – À RADIOGRAPHIER",AQ2793="NX – RT À REFAIRE",AQ2793="À RÉPARER",AQ2793="COUPE – À RESOUDER",AQ2793="VT REJETÉ – À REPRENDRE")),MAX(0,'PROGRAMME RT'!$C$4-U2793),"")</f>
        <v/>
      </c>
      <c r="AS2793" s="82" t="n">
        <f aca="false">IF(AND(OR(AQ2793="À RADIOGRAPHIER",AQ2793="RÉPARÉ – À RADIOGRAPHIER",AQ2793="NX – RT À REFAIRE"),OR('PROGRAMME RT'!$D$5="TOUTES",B2793='PROGRAMME RT'!$D$5)),1,0)</f>
        <v>0</v>
      </c>
      <c r="AT2793" s="82" t="str">
        <f aca="false">IF(AS2793=1,SUM(AS$7:AS2793),"")</f>
        <v/>
      </c>
      <c r="AU2793" s="82" t="n">
        <f aca="false">IF(AND(OR(AA2793="R",AA2793="NX",AA2793="NT",AA2793="CO"),OR('JOINTS DE RÉPARATION'!$D$5="TOUTES",B2793='JOINTS DE RÉPARATION'!$D$5),OR('JOINTS DE RÉPARATION'!$L$4="TOUS",AQ2793&lt;&gt;"ACCEPTÉ")),1,0)</f>
        <v>0</v>
      </c>
      <c r="AV2793" s="82" t="str">
        <f aca="false">IF(AU2793=1,SUM(AU$7:AU2793),"")</f>
        <v/>
      </c>
      <c r="AW2793" s="82" t="str">
        <f aca="false">IF(E2793="","",B2793&amp;"|"&amp;E2793)</f>
        <v/>
      </c>
    </row>
    <row r="2794" customFormat="false" ht="15" hidden="false" customHeight="false" outlineLevel="0" collapsed="false">
      <c r="A2794" s="79" t="str">
        <f aca="false">IF(E2794="","",ROW()-6)</f>
        <v/>
      </c>
      <c r="B2794" s="80"/>
      <c r="C2794" s="81"/>
      <c r="D2794" s="81"/>
      <c r="E2794" s="81"/>
      <c r="F2794" s="82" t="str">
        <f aca="false">IF(E2794="","",IF(LEFT(E2794,2)="DJ","DJ","JN"))</f>
        <v/>
      </c>
      <c r="G2794" s="81"/>
      <c r="H2794" s="81"/>
      <c r="I2794" s="81"/>
      <c r="J2794" s="81"/>
      <c r="K2794" s="81"/>
      <c r="L2794" s="81"/>
      <c r="M2794" s="81"/>
      <c r="N2794" s="81"/>
      <c r="O2794" s="81"/>
      <c r="P2794" s="81"/>
      <c r="Q2794" s="81"/>
      <c r="R2794" s="81"/>
      <c r="S2794" s="81"/>
      <c r="T2794" s="81"/>
      <c r="U2794" s="83"/>
      <c r="V2794" s="83"/>
      <c r="W2794" s="81"/>
      <c r="X2794" s="81"/>
      <c r="Y2794" s="83"/>
      <c r="Z2794" s="81"/>
      <c r="AA2794" s="81"/>
      <c r="AB2794" s="81"/>
      <c r="AC2794" s="81"/>
      <c r="AD2794" s="81"/>
      <c r="AE2794" s="83"/>
      <c r="AF2794" s="81"/>
      <c r="AG2794" s="81"/>
      <c r="AH2794" s="81"/>
      <c r="AI2794" s="81"/>
      <c r="AJ2794" s="83"/>
      <c r="AK2794" s="81"/>
      <c r="AL2794" s="81"/>
      <c r="AM2794" s="83"/>
      <c r="AN2794" s="80"/>
      <c r="AO2794" s="82" t="str">
        <f aca="false">IF(E2794="","",(AA2794&lt;&gt;"")+(AG2794&lt;&gt;"")+(AL2794&lt;&gt;""))</f>
        <v/>
      </c>
      <c r="AP2794" s="82" t="str">
        <f aca="false">IF(AL2794&lt;&gt;"",AL2794,IF(AG2794&lt;&gt;"",AG2794,IF(AA2794&lt;&gt;"",AA2794,"")))</f>
        <v/>
      </c>
      <c r="AQ2794" s="84" t="str">
        <f aca="false">IF(E2794="","",IF(U2794="","À SOUDER",IF(X2794="","VT EN ATTENTE",IF(X2794="R","VT REJETÉ – À REPRENDRE",IF(AP2794="","À RADIOGRAPHIER",IF(AP2794="A","ACCEPTÉ",IF(AP2794="NX","NX – RT À REFAIRE",IF(IF(AO2794=1,AD2794,IF(AO2794=2,AI2794,""))="A","RÉPARÉ – À RADIOGRAPHIER",IF(IF(AO2794=1,AD2794,IF(AO2794=2,AI2794,""))="R","VT REJETÉ – À REPRENDRE",IF(OR(AP2794="CO",AP2794="NT"),"COUPE – À RESOUDER","À RÉPARER"))))))))))</f>
        <v/>
      </c>
      <c r="AR2794" s="82" t="str">
        <f aca="false">IF(AND(ISNUMBER(U2794),OR(AQ2794="À RADIOGRAPHIER",AQ2794="RÉPARÉ – À RADIOGRAPHIER",AQ2794="NX – RT À REFAIRE",AQ2794="À RÉPARER",AQ2794="COUPE – À RESOUDER",AQ2794="VT REJETÉ – À REPRENDRE")),MAX(0,'PROGRAMME RT'!$C$4-U2794),"")</f>
        <v/>
      </c>
      <c r="AS2794" s="82" t="n">
        <f aca="false">IF(AND(OR(AQ2794="À RADIOGRAPHIER",AQ2794="RÉPARÉ – À RADIOGRAPHIER",AQ2794="NX – RT À REFAIRE"),OR('PROGRAMME RT'!$D$5="TOUTES",B2794='PROGRAMME RT'!$D$5)),1,0)</f>
        <v>0</v>
      </c>
      <c r="AT2794" s="82" t="str">
        <f aca="false">IF(AS2794=1,SUM(AS$7:AS2794),"")</f>
        <v/>
      </c>
      <c r="AU2794" s="82" t="n">
        <f aca="false">IF(AND(OR(AA2794="R",AA2794="NX",AA2794="NT",AA2794="CO"),OR('JOINTS DE RÉPARATION'!$D$5="TOUTES",B2794='JOINTS DE RÉPARATION'!$D$5),OR('JOINTS DE RÉPARATION'!$L$4="TOUS",AQ2794&lt;&gt;"ACCEPTÉ")),1,0)</f>
        <v>0</v>
      </c>
      <c r="AV2794" s="82" t="str">
        <f aca="false">IF(AU2794=1,SUM(AU$7:AU2794),"")</f>
        <v/>
      </c>
      <c r="AW2794" s="82" t="str">
        <f aca="false">IF(E2794="","",B2794&amp;"|"&amp;E2794)</f>
        <v/>
      </c>
    </row>
    <row r="2795" customFormat="false" ht="15" hidden="false" customHeight="false" outlineLevel="0" collapsed="false">
      <c r="A2795" s="79" t="str">
        <f aca="false">IF(E2795="","",ROW()-6)</f>
        <v/>
      </c>
      <c r="B2795" s="80"/>
      <c r="C2795" s="81"/>
      <c r="D2795" s="81"/>
      <c r="E2795" s="81"/>
      <c r="F2795" s="82" t="str">
        <f aca="false">IF(E2795="","",IF(LEFT(E2795,2)="DJ","DJ","JN"))</f>
        <v/>
      </c>
      <c r="G2795" s="81"/>
      <c r="H2795" s="81"/>
      <c r="I2795" s="81"/>
      <c r="J2795" s="81"/>
      <c r="K2795" s="81"/>
      <c r="L2795" s="81"/>
      <c r="M2795" s="81"/>
      <c r="N2795" s="81"/>
      <c r="O2795" s="81"/>
      <c r="P2795" s="81"/>
      <c r="Q2795" s="81"/>
      <c r="R2795" s="81"/>
      <c r="S2795" s="81"/>
      <c r="T2795" s="81"/>
      <c r="U2795" s="83"/>
      <c r="V2795" s="83"/>
      <c r="W2795" s="81"/>
      <c r="X2795" s="81"/>
      <c r="Y2795" s="83"/>
      <c r="Z2795" s="81"/>
      <c r="AA2795" s="81"/>
      <c r="AB2795" s="81"/>
      <c r="AC2795" s="81"/>
      <c r="AD2795" s="81"/>
      <c r="AE2795" s="83"/>
      <c r="AF2795" s="81"/>
      <c r="AG2795" s="81"/>
      <c r="AH2795" s="81"/>
      <c r="AI2795" s="81"/>
      <c r="AJ2795" s="83"/>
      <c r="AK2795" s="81"/>
      <c r="AL2795" s="81"/>
      <c r="AM2795" s="83"/>
      <c r="AN2795" s="80"/>
      <c r="AO2795" s="82" t="str">
        <f aca="false">IF(E2795="","",(AA2795&lt;&gt;"")+(AG2795&lt;&gt;"")+(AL2795&lt;&gt;""))</f>
        <v/>
      </c>
      <c r="AP2795" s="82" t="str">
        <f aca="false">IF(AL2795&lt;&gt;"",AL2795,IF(AG2795&lt;&gt;"",AG2795,IF(AA2795&lt;&gt;"",AA2795,"")))</f>
        <v/>
      </c>
      <c r="AQ2795" s="84" t="str">
        <f aca="false">IF(E2795="","",IF(U2795="","À SOUDER",IF(X2795="","VT EN ATTENTE",IF(X2795="R","VT REJETÉ – À REPRENDRE",IF(AP2795="","À RADIOGRAPHIER",IF(AP2795="A","ACCEPTÉ",IF(AP2795="NX","NX – RT À REFAIRE",IF(IF(AO2795=1,AD2795,IF(AO2795=2,AI2795,""))="A","RÉPARÉ – À RADIOGRAPHIER",IF(IF(AO2795=1,AD2795,IF(AO2795=2,AI2795,""))="R","VT REJETÉ – À REPRENDRE",IF(OR(AP2795="CO",AP2795="NT"),"COUPE – À RESOUDER","À RÉPARER"))))))))))</f>
        <v/>
      </c>
      <c r="AR2795" s="82" t="str">
        <f aca="false">IF(AND(ISNUMBER(U2795),OR(AQ2795="À RADIOGRAPHIER",AQ2795="RÉPARÉ – À RADIOGRAPHIER",AQ2795="NX – RT À REFAIRE",AQ2795="À RÉPARER",AQ2795="COUPE – À RESOUDER",AQ2795="VT REJETÉ – À REPRENDRE")),MAX(0,'PROGRAMME RT'!$C$4-U2795),"")</f>
        <v/>
      </c>
      <c r="AS2795" s="82" t="n">
        <f aca="false">IF(AND(OR(AQ2795="À RADIOGRAPHIER",AQ2795="RÉPARÉ – À RADIOGRAPHIER",AQ2795="NX – RT À REFAIRE"),OR('PROGRAMME RT'!$D$5="TOUTES",B2795='PROGRAMME RT'!$D$5)),1,0)</f>
        <v>0</v>
      </c>
      <c r="AT2795" s="82" t="str">
        <f aca="false">IF(AS2795=1,SUM(AS$7:AS2795),"")</f>
        <v/>
      </c>
      <c r="AU2795" s="82" t="n">
        <f aca="false">IF(AND(OR(AA2795="R",AA2795="NX",AA2795="NT",AA2795="CO"),OR('JOINTS DE RÉPARATION'!$D$5="TOUTES",B2795='JOINTS DE RÉPARATION'!$D$5),OR('JOINTS DE RÉPARATION'!$L$4="TOUS",AQ2795&lt;&gt;"ACCEPTÉ")),1,0)</f>
        <v>0</v>
      </c>
      <c r="AV2795" s="82" t="str">
        <f aca="false">IF(AU2795=1,SUM(AU$7:AU2795),"")</f>
        <v/>
      </c>
      <c r="AW2795" s="82" t="str">
        <f aca="false">IF(E2795="","",B2795&amp;"|"&amp;E2795)</f>
        <v/>
      </c>
    </row>
    <row r="2796" customFormat="false" ht="15" hidden="false" customHeight="false" outlineLevel="0" collapsed="false">
      <c r="A2796" s="79" t="str">
        <f aca="false">IF(E2796="","",ROW()-6)</f>
        <v/>
      </c>
      <c r="B2796" s="80"/>
      <c r="C2796" s="81"/>
      <c r="D2796" s="81"/>
      <c r="E2796" s="81"/>
      <c r="F2796" s="82" t="str">
        <f aca="false">IF(E2796="","",IF(LEFT(E2796,2)="DJ","DJ","JN"))</f>
        <v/>
      </c>
      <c r="G2796" s="81"/>
      <c r="H2796" s="81"/>
      <c r="I2796" s="81"/>
      <c r="J2796" s="81"/>
      <c r="K2796" s="81"/>
      <c r="L2796" s="81"/>
      <c r="M2796" s="81"/>
      <c r="N2796" s="81"/>
      <c r="O2796" s="81"/>
      <c r="P2796" s="81"/>
      <c r="Q2796" s="81"/>
      <c r="R2796" s="81"/>
      <c r="S2796" s="81"/>
      <c r="T2796" s="81"/>
      <c r="U2796" s="83"/>
      <c r="V2796" s="83"/>
      <c r="W2796" s="81"/>
      <c r="X2796" s="81"/>
      <c r="Y2796" s="83"/>
      <c r="Z2796" s="81"/>
      <c r="AA2796" s="81"/>
      <c r="AB2796" s="81"/>
      <c r="AC2796" s="81"/>
      <c r="AD2796" s="81"/>
      <c r="AE2796" s="83"/>
      <c r="AF2796" s="81"/>
      <c r="AG2796" s="81"/>
      <c r="AH2796" s="81"/>
      <c r="AI2796" s="81"/>
      <c r="AJ2796" s="83"/>
      <c r="AK2796" s="81"/>
      <c r="AL2796" s="81"/>
      <c r="AM2796" s="83"/>
      <c r="AN2796" s="80"/>
      <c r="AO2796" s="82" t="str">
        <f aca="false">IF(E2796="","",(AA2796&lt;&gt;"")+(AG2796&lt;&gt;"")+(AL2796&lt;&gt;""))</f>
        <v/>
      </c>
      <c r="AP2796" s="82" t="str">
        <f aca="false">IF(AL2796&lt;&gt;"",AL2796,IF(AG2796&lt;&gt;"",AG2796,IF(AA2796&lt;&gt;"",AA2796,"")))</f>
        <v/>
      </c>
      <c r="AQ2796" s="84" t="str">
        <f aca="false">IF(E2796="","",IF(U2796="","À SOUDER",IF(X2796="","VT EN ATTENTE",IF(X2796="R","VT REJETÉ – À REPRENDRE",IF(AP2796="","À RADIOGRAPHIER",IF(AP2796="A","ACCEPTÉ",IF(AP2796="NX","NX – RT À REFAIRE",IF(IF(AO2796=1,AD2796,IF(AO2796=2,AI2796,""))="A","RÉPARÉ – À RADIOGRAPHIER",IF(IF(AO2796=1,AD2796,IF(AO2796=2,AI2796,""))="R","VT REJETÉ – À REPRENDRE",IF(OR(AP2796="CO",AP2796="NT"),"COUPE – À RESOUDER","À RÉPARER"))))))))))</f>
        <v/>
      </c>
      <c r="AR2796" s="82" t="str">
        <f aca="false">IF(AND(ISNUMBER(U2796),OR(AQ2796="À RADIOGRAPHIER",AQ2796="RÉPARÉ – À RADIOGRAPHIER",AQ2796="NX – RT À REFAIRE",AQ2796="À RÉPARER",AQ2796="COUPE – À RESOUDER",AQ2796="VT REJETÉ – À REPRENDRE")),MAX(0,'PROGRAMME RT'!$C$4-U2796),"")</f>
        <v/>
      </c>
      <c r="AS2796" s="82" t="n">
        <f aca="false">IF(AND(OR(AQ2796="À RADIOGRAPHIER",AQ2796="RÉPARÉ – À RADIOGRAPHIER",AQ2796="NX – RT À REFAIRE"),OR('PROGRAMME RT'!$D$5="TOUTES",B2796='PROGRAMME RT'!$D$5)),1,0)</f>
        <v>0</v>
      </c>
      <c r="AT2796" s="82" t="str">
        <f aca="false">IF(AS2796=1,SUM(AS$7:AS2796),"")</f>
        <v/>
      </c>
      <c r="AU2796" s="82" t="n">
        <f aca="false">IF(AND(OR(AA2796="R",AA2796="NX",AA2796="NT",AA2796="CO"),OR('JOINTS DE RÉPARATION'!$D$5="TOUTES",B2796='JOINTS DE RÉPARATION'!$D$5),OR('JOINTS DE RÉPARATION'!$L$4="TOUS",AQ2796&lt;&gt;"ACCEPTÉ")),1,0)</f>
        <v>0</v>
      </c>
      <c r="AV2796" s="82" t="str">
        <f aca="false">IF(AU2796=1,SUM(AU$7:AU2796),"")</f>
        <v/>
      </c>
      <c r="AW2796" s="82" t="str">
        <f aca="false">IF(E2796="","",B2796&amp;"|"&amp;E2796)</f>
        <v/>
      </c>
    </row>
    <row r="2797" customFormat="false" ht="15" hidden="false" customHeight="false" outlineLevel="0" collapsed="false">
      <c r="A2797" s="79" t="str">
        <f aca="false">IF(E2797="","",ROW()-6)</f>
        <v/>
      </c>
      <c r="B2797" s="80"/>
      <c r="C2797" s="81"/>
      <c r="D2797" s="81"/>
      <c r="E2797" s="81"/>
      <c r="F2797" s="82" t="str">
        <f aca="false">IF(E2797="","",IF(LEFT(E2797,2)="DJ","DJ","JN"))</f>
        <v/>
      </c>
      <c r="G2797" s="81"/>
      <c r="H2797" s="81"/>
      <c r="I2797" s="81"/>
      <c r="J2797" s="81"/>
      <c r="K2797" s="81"/>
      <c r="L2797" s="81"/>
      <c r="M2797" s="81"/>
      <c r="N2797" s="81"/>
      <c r="O2797" s="81"/>
      <c r="P2797" s="81"/>
      <c r="Q2797" s="81"/>
      <c r="R2797" s="81"/>
      <c r="S2797" s="81"/>
      <c r="T2797" s="81"/>
      <c r="U2797" s="83"/>
      <c r="V2797" s="83"/>
      <c r="W2797" s="81"/>
      <c r="X2797" s="81"/>
      <c r="Y2797" s="83"/>
      <c r="Z2797" s="81"/>
      <c r="AA2797" s="81"/>
      <c r="AB2797" s="81"/>
      <c r="AC2797" s="81"/>
      <c r="AD2797" s="81"/>
      <c r="AE2797" s="83"/>
      <c r="AF2797" s="81"/>
      <c r="AG2797" s="81"/>
      <c r="AH2797" s="81"/>
      <c r="AI2797" s="81"/>
      <c r="AJ2797" s="83"/>
      <c r="AK2797" s="81"/>
      <c r="AL2797" s="81"/>
      <c r="AM2797" s="83"/>
      <c r="AN2797" s="80"/>
      <c r="AO2797" s="82" t="str">
        <f aca="false">IF(E2797="","",(AA2797&lt;&gt;"")+(AG2797&lt;&gt;"")+(AL2797&lt;&gt;""))</f>
        <v/>
      </c>
      <c r="AP2797" s="82" t="str">
        <f aca="false">IF(AL2797&lt;&gt;"",AL2797,IF(AG2797&lt;&gt;"",AG2797,IF(AA2797&lt;&gt;"",AA2797,"")))</f>
        <v/>
      </c>
      <c r="AQ2797" s="84" t="str">
        <f aca="false">IF(E2797="","",IF(U2797="","À SOUDER",IF(X2797="","VT EN ATTENTE",IF(X2797="R","VT REJETÉ – À REPRENDRE",IF(AP2797="","À RADIOGRAPHIER",IF(AP2797="A","ACCEPTÉ",IF(AP2797="NX","NX – RT À REFAIRE",IF(IF(AO2797=1,AD2797,IF(AO2797=2,AI2797,""))="A","RÉPARÉ – À RADIOGRAPHIER",IF(IF(AO2797=1,AD2797,IF(AO2797=2,AI2797,""))="R","VT REJETÉ – À REPRENDRE",IF(OR(AP2797="CO",AP2797="NT"),"COUPE – À RESOUDER","À RÉPARER"))))))))))</f>
        <v/>
      </c>
      <c r="AR2797" s="82" t="str">
        <f aca="false">IF(AND(ISNUMBER(U2797),OR(AQ2797="À RADIOGRAPHIER",AQ2797="RÉPARÉ – À RADIOGRAPHIER",AQ2797="NX – RT À REFAIRE",AQ2797="À RÉPARER",AQ2797="COUPE – À RESOUDER",AQ2797="VT REJETÉ – À REPRENDRE")),MAX(0,'PROGRAMME RT'!$C$4-U2797),"")</f>
        <v/>
      </c>
      <c r="AS2797" s="82" t="n">
        <f aca="false">IF(AND(OR(AQ2797="À RADIOGRAPHIER",AQ2797="RÉPARÉ – À RADIOGRAPHIER",AQ2797="NX – RT À REFAIRE"),OR('PROGRAMME RT'!$D$5="TOUTES",B2797='PROGRAMME RT'!$D$5)),1,0)</f>
        <v>0</v>
      </c>
      <c r="AT2797" s="82" t="str">
        <f aca="false">IF(AS2797=1,SUM(AS$7:AS2797),"")</f>
        <v/>
      </c>
      <c r="AU2797" s="82" t="n">
        <f aca="false">IF(AND(OR(AA2797="R",AA2797="NX",AA2797="NT",AA2797="CO"),OR('JOINTS DE RÉPARATION'!$D$5="TOUTES",B2797='JOINTS DE RÉPARATION'!$D$5),OR('JOINTS DE RÉPARATION'!$L$4="TOUS",AQ2797&lt;&gt;"ACCEPTÉ")),1,0)</f>
        <v>0</v>
      </c>
      <c r="AV2797" s="82" t="str">
        <f aca="false">IF(AU2797=1,SUM(AU$7:AU2797),"")</f>
        <v/>
      </c>
      <c r="AW2797" s="82" t="str">
        <f aca="false">IF(E2797="","",B2797&amp;"|"&amp;E2797)</f>
        <v/>
      </c>
    </row>
    <row r="2798" customFormat="false" ht="15" hidden="false" customHeight="false" outlineLevel="0" collapsed="false">
      <c r="A2798" s="79" t="str">
        <f aca="false">IF(E2798="","",ROW()-6)</f>
        <v/>
      </c>
      <c r="B2798" s="80"/>
      <c r="C2798" s="81"/>
      <c r="D2798" s="81"/>
      <c r="E2798" s="81"/>
      <c r="F2798" s="82" t="str">
        <f aca="false">IF(E2798="","",IF(LEFT(E2798,2)="DJ","DJ","JN"))</f>
        <v/>
      </c>
      <c r="G2798" s="81"/>
      <c r="H2798" s="81"/>
      <c r="I2798" s="81"/>
      <c r="J2798" s="81"/>
      <c r="K2798" s="81"/>
      <c r="L2798" s="81"/>
      <c r="M2798" s="81"/>
      <c r="N2798" s="81"/>
      <c r="O2798" s="81"/>
      <c r="P2798" s="81"/>
      <c r="Q2798" s="81"/>
      <c r="R2798" s="81"/>
      <c r="S2798" s="81"/>
      <c r="T2798" s="81"/>
      <c r="U2798" s="83"/>
      <c r="V2798" s="83"/>
      <c r="W2798" s="81"/>
      <c r="X2798" s="81"/>
      <c r="Y2798" s="83"/>
      <c r="Z2798" s="81"/>
      <c r="AA2798" s="81"/>
      <c r="AB2798" s="81"/>
      <c r="AC2798" s="81"/>
      <c r="AD2798" s="81"/>
      <c r="AE2798" s="83"/>
      <c r="AF2798" s="81"/>
      <c r="AG2798" s="81"/>
      <c r="AH2798" s="81"/>
      <c r="AI2798" s="81"/>
      <c r="AJ2798" s="83"/>
      <c r="AK2798" s="81"/>
      <c r="AL2798" s="81"/>
      <c r="AM2798" s="83"/>
      <c r="AN2798" s="80"/>
      <c r="AO2798" s="82" t="str">
        <f aca="false">IF(E2798="","",(AA2798&lt;&gt;"")+(AG2798&lt;&gt;"")+(AL2798&lt;&gt;""))</f>
        <v/>
      </c>
      <c r="AP2798" s="82" t="str">
        <f aca="false">IF(AL2798&lt;&gt;"",AL2798,IF(AG2798&lt;&gt;"",AG2798,IF(AA2798&lt;&gt;"",AA2798,"")))</f>
        <v/>
      </c>
      <c r="AQ2798" s="84" t="str">
        <f aca="false">IF(E2798="","",IF(U2798="","À SOUDER",IF(X2798="","VT EN ATTENTE",IF(X2798="R","VT REJETÉ – À REPRENDRE",IF(AP2798="","À RADIOGRAPHIER",IF(AP2798="A","ACCEPTÉ",IF(AP2798="NX","NX – RT À REFAIRE",IF(IF(AO2798=1,AD2798,IF(AO2798=2,AI2798,""))="A","RÉPARÉ – À RADIOGRAPHIER",IF(IF(AO2798=1,AD2798,IF(AO2798=2,AI2798,""))="R","VT REJETÉ – À REPRENDRE",IF(OR(AP2798="CO",AP2798="NT"),"COUPE – À RESOUDER","À RÉPARER"))))))))))</f>
        <v/>
      </c>
      <c r="AR2798" s="82" t="str">
        <f aca="false">IF(AND(ISNUMBER(U2798),OR(AQ2798="À RADIOGRAPHIER",AQ2798="RÉPARÉ – À RADIOGRAPHIER",AQ2798="NX – RT À REFAIRE",AQ2798="À RÉPARER",AQ2798="COUPE – À RESOUDER",AQ2798="VT REJETÉ – À REPRENDRE")),MAX(0,'PROGRAMME RT'!$C$4-U2798),"")</f>
        <v/>
      </c>
      <c r="AS2798" s="82" t="n">
        <f aca="false">IF(AND(OR(AQ2798="À RADIOGRAPHIER",AQ2798="RÉPARÉ – À RADIOGRAPHIER",AQ2798="NX – RT À REFAIRE"),OR('PROGRAMME RT'!$D$5="TOUTES",B2798='PROGRAMME RT'!$D$5)),1,0)</f>
        <v>0</v>
      </c>
      <c r="AT2798" s="82" t="str">
        <f aca="false">IF(AS2798=1,SUM(AS$7:AS2798),"")</f>
        <v/>
      </c>
      <c r="AU2798" s="82" t="n">
        <f aca="false">IF(AND(OR(AA2798="R",AA2798="NX",AA2798="NT",AA2798="CO"),OR('JOINTS DE RÉPARATION'!$D$5="TOUTES",B2798='JOINTS DE RÉPARATION'!$D$5),OR('JOINTS DE RÉPARATION'!$L$4="TOUS",AQ2798&lt;&gt;"ACCEPTÉ")),1,0)</f>
        <v>0</v>
      </c>
      <c r="AV2798" s="82" t="str">
        <f aca="false">IF(AU2798=1,SUM(AU$7:AU2798),"")</f>
        <v/>
      </c>
      <c r="AW2798" s="82" t="str">
        <f aca="false">IF(E2798="","",B2798&amp;"|"&amp;E2798)</f>
        <v/>
      </c>
    </row>
    <row r="2799" customFormat="false" ht="15" hidden="false" customHeight="false" outlineLevel="0" collapsed="false">
      <c r="A2799" s="79" t="str">
        <f aca="false">IF(E2799="","",ROW()-6)</f>
        <v/>
      </c>
      <c r="B2799" s="80"/>
      <c r="C2799" s="81"/>
      <c r="D2799" s="81"/>
      <c r="E2799" s="81"/>
      <c r="F2799" s="82" t="str">
        <f aca="false">IF(E2799="","",IF(LEFT(E2799,2)="DJ","DJ","JN"))</f>
        <v/>
      </c>
      <c r="G2799" s="81"/>
      <c r="H2799" s="81"/>
      <c r="I2799" s="81"/>
      <c r="J2799" s="81"/>
      <c r="K2799" s="81"/>
      <c r="L2799" s="81"/>
      <c r="M2799" s="81"/>
      <c r="N2799" s="81"/>
      <c r="O2799" s="81"/>
      <c r="P2799" s="81"/>
      <c r="Q2799" s="81"/>
      <c r="R2799" s="81"/>
      <c r="S2799" s="81"/>
      <c r="T2799" s="81"/>
      <c r="U2799" s="83"/>
      <c r="V2799" s="83"/>
      <c r="W2799" s="81"/>
      <c r="X2799" s="81"/>
      <c r="Y2799" s="83"/>
      <c r="Z2799" s="81"/>
      <c r="AA2799" s="81"/>
      <c r="AB2799" s="81"/>
      <c r="AC2799" s="81"/>
      <c r="AD2799" s="81"/>
      <c r="AE2799" s="83"/>
      <c r="AF2799" s="81"/>
      <c r="AG2799" s="81"/>
      <c r="AH2799" s="81"/>
      <c r="AI2799" s="81"/>
      <c r="AJ2799" s="83"/>
      <c r="AK2799" s="81"/>
      <c r="AL2799" s="81"/>
      <c r="AM2799" s="83"/>
      <c r="AN2799" s="80"/>
      <c r="AO2799" s="82" t="str">
        <f aca="false">IF(E2799="","",(AA2799&lt;&gt;"")+(AG2799&lt;&gt;"")+(AL2799&lt;&gt;""))</f>
        <v/>
      </c>
      <c r="AP2799" s="82" t="str">
        <f aca="false">IF(AL2799&lt;&gt;"",AL2799,IF(AG2799&lt;&gt;"",AG2799,IF(AA2799&lt;&gt;"",AA2799,"")))</f>
        <v/>
      </c>
      <c r="AQ2799" s="84" t="str">
        <f aca="false">IF(E2799="","",IF(U2799="","À SOUDER",IF(X2799="","VT EN ATTENTE",IF(X2799="R","VT REJETÉ – À REPRENDRE",IF(AP2799="","À RADIOGRAPHIER",IF(AP2799="A","ACCEPTÉ",IF(AP2799="NX","NX – RT À REFAIRE",IF(IF(AO2799=1,AD2799,IF(AO2799=2,AI2799,""))="A","RÉPARÉ – À RADIOGRAPHIER",IF(IF(AO2799=1,AD2799,IF(AO2799=2,AI2799,""))="R","VT REJETÉ – À REPRENDRE",IF(OR(AP2799="CO",AP2799="NT"),"COUPE – À RESOUDER","À RÉPARER"))))))))))</f>
        <v/>
      </c>
      <c r="AR2799" s="82" t="str">
        <f aca="false">IF(AND(ISNUMBER(U2799),OR(AQ2799="À RADIOGRAPHIER",AQ2799="RÉPARÉ – À RADIOGRAPHIER",AQ2799="NX – RT À REFAIRE",AQ2799="À RÉPARER",AQ2799="COUPE – À RESOUDER",AQ2799="VT REJETÉ – À REPRENDRE")),MAX(0,'PROGRAMME RT'!$C$4-U2799),"")</f>
        <v/>
      </c>
      <c r="AS2799" s="82" t="n">
        <f aca="false">IF(AND(OR(AQ2799="À RADIOGRAPHIER",AQ2799="RÉPARÉ – À RADIOGRAPHIER",AQ2799="NX – RT À REFAIRE"),OR('PROGRAMME RT'!$D$5="TOUTES",B2799='PROGRAMME RT'!$D$5)),1,0)</f>
        <v>0</v>
      </c>
      <c r="AT2799" s="82" t="str">
        <f aca="false">IF(AS2799=1,SUM(AS$7:AS2799),"")</f>
        <v/>
      </c>
      <c r="AU2799" s="82" t="n">
        <f aca="false">IF(AND(OR(AA2799="R",AA2799="NX",AA2799="NT",AA2799="CO"),OR('JOINTS DE RÉPARATION'!$D$5="TOUTES",B2799='JOINTS DE RÉPARATION'!$D$5),OR('JOINTS DE RÉPARATION'!$L$4="TOUS",AQ2799&lt;&gt;"ACCEPTÉ")),1,0)</f>
        <v>0</v>
      </c>
      <c r="AV2799" s="82" t="str">
        <f aca="false">IF(AU2799=1,SUM(AU$7:AU2799),"")</f>
        <v/>
      </c>
      <c r="AW2799" s="82" t="str">
        <f aca="false">IF(E2799="","",B2799&amp;"|"&amp;E2799)</f>
        <v/>
      </c>
    </row>
    <row r="2800" customFormat="false" ht="15" hidden="false" customHeight="false" outlineLevel="0" collapsed="false">
      <c r="A2800" s="79" t="str">
        <f aca="false">IF(E2800="","",ROW()-6)</f>
        <v/>
      </c>
      <c r="B2800" s="80"/>
      <c r="C2800" s="81"/>
      <c r="D2800" s="81"/>
      <c r="E2800" s="81"/>
      <c r="F2800" s="82" t="str">
        <f aca="false">IF(E2800="","",IF(LEFT(E2800,2)="DJ","DJ","JN"))</f>
        <v/>
      </c>
      <c r="G2800" s="81"/>
      <c r="H2800" s="81"/>
      <c r="I2800" s="81"/>
      <c r="J2800" s="81"/>
      <c r="K2800" s="81"/>
      <c r="L2800" s="81"/>
      <c r="M2800" s="81"/>
      <c r="N2800" s="81"/>
      <c r="O2800" s="81"/>
      <c r="P2800" s="81"/>
      <c r="Q2800" s="81"/>
      <c r="R2800" s="81"/>
      <c r="S2800" s="81"/>
      <c r="T2800" s="81"/>
      <c r="U2800" s="83"/>
      <c r="V2800" s="83"/>
      <c r="W2800" s="81"/>
      <c r="X2800" s="81"/>
      <c r="Y2800" s="83"/>
      <c r="Z2800" s="81"/>
      <c r="AA2800" s="81"/>
      <c r="AB2800" s="81"/>
      <c r="AC2800" s="81"/>
      <c r="AD2800" s="81"/>
      <c r="AE2800" s="83"/>
      <c r="AF2800" s="81"/>
      <c r="AG2800" s="81"/>
      <c r="AH2800" s="81"/>
      <c r="AI2800" s="81"/>
      <c r="AJ2800" s="83"/>
      <c r="AK2800" s="81"/>
      <c r="AL2800" s="81"/>
      <c r="AM2800" s="83"/>
      <c r="AN2800" s="80"/>
      <c r="AO2800" s="82" t="str">
        <f aca="false">IF(E2800="","",(AA2800&lt;&gt;"")+(AG2800&lt;&gt;"")+(AL2800&lt;&gt;""))</f>
        <v/>
      </c>
      <c r="AP2800" s="82" t="str">
        <f aca="false">IF(AL2800&lt;&gt;"",AL2800,IF(AG2800&lt;&gt;"",AG2800,IF(AA2800&lt;&gt;"",AA2800,"")))</f>
        <v/>
      </c>
      <c r="AQ2800" s="84" t="str">
        <f aca="false">IF(E2800="","",IF(U2800="","À SOUDER",IF(X2800="","VT EN ATTENTE",IF(X2800="R","VT REJETÉ – À REPRENDRE",IF(AP2800="","À RADIOGRAPHIER",IF(AP2800="A","ACCEPTÉ",IF(AP2800="NX","NX – RT À REFAIRE",IF(IF(AO2800=1,AD2800,IF(AO2800=2,AI2800,""))="A","RÉPARÉ – À RADIOGRAPHIER",IF(IF(AO2800=1,AD2800,IF(AO2800=2,AI2800,""))="R","VT REJETÉ – À REPRENDRE",IF(OR(AP2800="CO",AP2800="NT"),"COUPE – À RESOUDER","À RÉPARER"))))))))))</f>
        <v/>
      </c>
      <c r="AR2800" s="82" t="str">
        <f aca="false">IF(AND(ISNUMBER(U2800),OR(AQ2800="À RADIOGRAPHIER",AQ2800="RÉPARÉ – À RADIOGRAPHIER",AQ2800="NX – RT À REFAIRE",AQ2800="À RÉPARER",AQ2800="COUPE – À RESOUDER",AQ2800="VT REJETÉ – À REPRENDRE")),MAX(0,'PROGRAMME RT'!$C$4-U2800),"")</f>
        <v/>
      </c>
      <c r="AS2800" s="82" t="n">
        <f aca="false">IF(AND(OR(AQ2800="À RADIOGRAPHIER",AQ2800="RÉPARÉ – À RADIOGRAPHIER",AQ2800="NX – RT À REFAIRE"),OR('PROGRAMME RT'!$D$5="TOUTES",B2800='PROGRAMME RT'!$D$5)),1,0)</f>
        <v>0</v>
      </c>
      <c r="AT2800" s="82" t="str">
        <f aca="false">IF(AS2800=1,SUM(AS$7:AS2800),"")</f>
        <v/>
      </c>
      <c r="AU2800" s="82" t="n">
        <f aca="false">IF(AND(OR(AA2800="R",AA2800="NX",AA2800="NT",AA2800="CO"),OR('JOINTS DE RÉPARATION'!$D$5="TOUTES",B2800='JOINTS DE RÉPARATION'!$D$5),OR('JOINTS DE RÉPARATION'!$L$4="TOUS",AQ2800&lt;&gt;"ACCEPTÉ")),1,0)</f>
        <v>0</v>
      </c>
      <c r="AV2800" s="82" t="str">
        <f aca="false">IF(AU2800=1,SUM(AU$7:AU2800),"")</f>
        <v/>
      </c>
      <c r="AW2800" s="82" t="str">
        <f aca="false">IF(E2800="","",B2800&amp;"|"&amp;E2800)</f>
        <v/>
      </c>
    </row>
    <row r="2801" customFormat="false" ht="15" hidden="false" customHeight="false" outlineLevel="0" collapsed="false">
      <c r="A2801" s="79" t="str">
        <f aca="false">IF(E2801="","",ROW()-6)</f>
        <v/>
      </c>
      <c r="B2801" s="80"/>
      <c r="C2801" s="81"/>
      <c r="D2801" s="81"/>
      <c r="E2801" s="81"/>
      <c r="F2801" s="82" t="str">
        <f aca="false">IF(E2801="","",IF(LEFT(E2801,2)="DJ","DJ","JN"))</f>
        <v/>
      </c>
      <c r="G2801" s="81"/>
      <c r="H2801" s="81"/>
      <c r="I2801" s="81"/>
      <c r="J2801" s="81"/>
      <c r="K2801" s="81"/>
      <c r="L2801" s="81"/>
      <c r="M2801" s="81"/>
      <c r="N2801" s="81"/>
      <c r="O2801" s="81"/>
      <c r="P2801" s="81"/>
      <c r="Q2801" s="81"/>
      <c r="R2801" s="81"/>
      <c r="S2801" s="81"/>
      <c r="T2801" s="81"/>
      <c r="U2801" s="83"/>
      <c r="V2801" s="83"/>
      <c r="W2801" s="81"/>
      <c r="X2801" s="81"/>
      <c r="Y2801" s="83"/>
      <c r="Z2801" s="81"/>
      <c r="AA2801" s="81"/>
      <c r="AB2801" s="81"/>
      <c r="AC2801" s="81"/>
      <c r="AD2801" s="81"/>
      <c r="AE2801" s="83"/>
      <c r="AF2801" s="81"/>
      <c r="AG2801" s="81"/>
      <c r="AH2801" s="81"/>
      <c r="AI2801" s="81"/>
      <c r="AJ2801" s="83"/>
      <c r="AK2801" s="81"/>
      <c r="AL2801" s="81"/>
      <c r="AM2801" s="83"/>
      <c r="AN2801" s="80"/>
      <c r="AO2801" s="82" t="str">
        <f aca="false">IF(E2801="","",(AA2801&lt;&gt;"")+(AG2801&lt;&gt;"")+(AL2801&lt;&gt;""))</f>
        <v/>
      </c>
      <c r="AP2801" s="82" t="str">
        <f aca="false">IF(AL2801&lt;&gt;"",AL2801,IF(AG2801&lt;&gt;"",AG2801,IF(AA2801&lt;&gt;"",AA2801,"")))</f>
        <v/>
      </c>
      <c r="AQ2801" s="84" t="str">
        <f aca="false">IF(E2801="","",IF(U2801="","À SOUDER",IF(X2801="","VT EN ATTENTE",IF(X2801="R","VT REJETÉ – À REPRENDRE",IF(AP2801="","À RADIOGRAPHIER",IF(AP2801="A","ACCEPTÉ",IF(AP2801="NX","NX – RT À REFAIRE",IF(IF(AO2801=1,AD2801,IF(AO2801=2,AI2801,""))="A","RÉPARÉ – À RADIOGRAPHIER",IF(IF(AO2801=1,AD2801,IF(AO2801=2,AI2801,""))="R","VT REJETÉ – À REPRENDRE",IF(OR(AP2801="CO",AP2801="NT"),"COUPE – À RESOUDER","À RÉPARER"))))))))))</f>
        <v/>
      </c>
      <c r="AR2801" s="82" t="str">
        <f aca="false">IF(AND(ISNUMBER(U2801),OR(AQ2801="À RADIOGRAPHIER",AQ2801="RÉPARÉ – À RADIOGRAPHIER",AQ2801="NX – RT À REFAIRE",AQ2801="À RÉPARER",AQ2801="COUPE – À RESOUDER",AQ2801="VT REJETÉ – À REPRENDRE")),MAX(0,'PROGRAMME RT'!$C$4-U2801),"")</f>
        <v/>
      </c>
      <c r="AS2801" s="82" t="n">
        <f aca="false">IF(AND(OR(AQ2801="À RADIOGRAPHIER",AQ2801="RÉPARÉ – À RADIOGRAPHIER",AQ2801="NX – RT À REFAIRE"),OR('PROGRAMME RT'!$D$5="TOUTES",B2801='PROGRAMME RT'!$D$5)),1,0)</f>
        <v>0</v>
      </c>
      <c r="AT2801" s="82" t="str">
        <f aca="false">IF(AS2801=1,SUM(AS$7:AS2801),"")</f>
        <v/>
      </c>
      <c r="AU2801" s="82" t="n">
        <f aca="false">IF(AND(OR(AA2801="R",AA2801="NX",AA2801="NT",AA2801="CO"),OR('JOINTS DE RÉPARATION'!$D$5="TOUTES",B2801='JOINTS DE RÉPARATION'!$D$5),OR('JOINTS DE RÉPARATION'!$L$4="TOUS",AQ2801&lt;&gt;"ACCEPTÉ")),1,0)</f>
        <v>0</v>
      </c>
      <c r="AV2801" s="82" t="str">
        <f aca="false">IF(AU2801=1,SUM(AU$7:AU2801),"")</f>
        <v/>
      </c>
      <c r="AW2801" s="82" t="str">
        <f aca="false">IF(E2801="","",B2801&amp;"|"&amp;E2801)</f>
        <v/>
      </c>
    </row>
    <row r="2802" customFormat="false" ht="15" hidden="false" customHeight="false" outlineLevel="0" collapsed="false">
      <c r="A2802" s="79" t="str">
        <f aca="false">IF(E2802="","",ROW()-6)</f>
        <v/>
      </c>
      <c r="B2802" s="80"/>
      <c r="C2802" s="81"/>
      <c r="D2802" s="81"/>
      <c r="E2802" s="81"/>
      <c r="F2802" s="82" t="str">
        <f aca="false">IF(E2802="","",IF(LEFT(E2802,2)="DJ","DJ","JN"))</f>
        <v/>
      </c>
      <c r="G2802" s="81"/>
      <c r="H2802" s="81"/>
      <c r="I2802" s="81"/>
      <c r="J2802" s="81"/>
      <c r="K2802" s="81"/>
      <c r="L2802" s="81"/>
      <c r="M2802" s="81"/>
      <c r="N2802" s="81"/>
      <c r="O2802" s="81"/>
      <c r="P2802" s="81"/>
      <c r="Q2802" s="81"/>
      <c r="R2802" s="81"/>
      <c r="S2802" s="81"/>
      <c r="T2802" s="81"/>
      <c r="U2802" s="83"/>
      <c r="V2802" s="83"/>
      <c r="W2802" s="81"/>
      <c r="X2802" s="81"/>
      <c r="Y2802" s="83"/>
      <c r="Z2802" s="81"/>
      <c r="AA2802" s="81"/>
      <c r="AB2802" s="81"/>
      <c r="AC2802" s="81"/>
      <c r="AD2802" s="81"/>
      <c r="AE2802" s="83"/>
      <c r="AF2802" s="81"/>
      <c r="AG2802" s="81"/>
      <c r="AH2802" s="81"/>
      <c r="AI2802" s="81"/>
      <c r="AJ2802" s="83"/>
      <c r="AK2802" s="81"/>
      <c r="AL2802" s="81"/>
      <c r="AM2802" s="83"/>
      <c r="AN2802" s="80"/>
      <c r="AO2802" s="82" t="str">
        <f aca="false">IF(E2802="","",(AA2802&lt;&gt;"")+(AG2802&lt;&gt;"")+(AL2802&lt;&gt;""))</f>
        <v/>
      </c>
      <c r="AP2802" s="82" t="str">
        <f aca="false">IF(AL2802&lt;&gt;"",AL2802,IF(AG2802&lt;&gt;"",AG2802,IF(AA2802&lt;&gt;"",AA2802,"")))</f>
        <v/>
      </c>
      <c r="AQ2802" s="84" t="str">
        <f aca="false">IF(E2802="","",IF(U2802="","À SOUDER",IF(X2802="","VT EN ATTENTE",IF(X2802="R","VT REJETÉ – À REPRENDRE",IF(AP2802="","À RADIOGRAPHIER",IF(AP2802="A","ACCEPTÉ",IF(AP2802="NX","NX – RT À REFAIRE",IF(IF(AO2802=1,AD2802,IF(AO2802=2,AI2802,""))="A","RÉPARÉ – À RADIOGRAPHIER",IF(IF(AO2802=1,AD2802,IF(AO2802=2,AI2802,""))="R","VT REJETÉ – À REPRENDRE",IF(OR(AP2802="CO",AP2802="NT"),"COUPE – À RESOUDER","À RÉPARER"))))))))))</f>
        <v/>
      </c>
      <c r="AR2802" s="82" t="str">
        <f aca="false">IF(AND(ISNUMBER(U2802),OR(AQ2802="À RADIOGRAPHIER",AQ2802="RÉPARÉ – À RADIOGRAPHIER",AQ2802="NX – RT À REFAIRE",AQ2802="À RÉPARER",AQ2802="COUPE – À RESOUDER",AQ2802="VT REJETÉ – À REPRENDRE")),MAX(0,'PROGRAMME RT'!$C$4-U2802),"")</f>
        <v/>
      </c>
      <c r="AS2802" s="82" t="n">
        <f aca="false">IF(AND(OR(AQ2802="À RADIOGRAPHIER",AQ2802="RÉPARÉ – À RADIOGRAPHIER",AQ2802="NX – RT À REFAIRE"),OR('PROGRAMME RT'!$D$5="TOUTES",B2802='PROGRAMME RT'!$D$5)),1,0)</f>
        <v>0</v>
      </c>
      <c r="AT2802" s="82" t="str">
        <f aca="false">IF(AS2802=1,SUM(AS$7:AS2802),"")</f>
        <v/>
      </c>
      <c r="AU2802" s="82" t="n">
        <f aca="false">IF(AND(OR(AA2802="R",AA2802="NX",AA2802="NT",AA2802="CO"),OR('JOINTS DE RÉPARATION'!$D$5="TOUTES",B2802='JOINTS DE RÉPARATION'!$D$5),OR('JOINTS DE RÉPARATION'!$L$4="TOUS",AQ2802&lt;&gt;"ACCEPTÉ")),1,0)</f>
        <v>0</v>
      </c>
      <c r="AV2802" s="82" t="str">
        <f aca="false">IF(AU2802=1,SUM(AU$7:AU2802),"")</f>
        <v/>
      </c>
      <c r="AW2802" s="82" t="str">
        <f aca="false">IF(E2802="","",B2802&amp;"|"&amp;E2802)</f>
        <v/>
      </c>
    </row>
    <row r="2803" customFormat="false" ht="15" hidden="false" customHeight="false" outlineLevel="0" collapsed="false">
      <c r="A2803" s="79" t="str">
        <f aca="false">IF(E2803="","",ROW()-6)</f>
        <v/>
      </c>
      <c r="B2803" s="80"/>
      <c r="C2803" s="81"/>
      <c r="D2803" s="81"/>
      <c r="E2803" s="81"/>
      <c r="F2803" s="82" t="str">
        <f aca="false">IF(E2803="","",IF(LEFT(E2803,2)="DJ","DJ","JN"))</f>
        <v/>
      </c>
      <c r="G2803" s="81"/>
      <c r="H2803" s="81"/>
      <c r="I2803" s="81"/>
      <c r="J2803" s="81"/>
      <c r="K2803" s="81"/>
      <c r="L2803" s="81"/>
      <c r="M2803" s="81"/>
      <c r="N2803" s="81"/>
      <c r="O2803" s="81"/>
      <c r="P2803" s="81"/>
      <c r="Q2803" s="81"/>
      <c r="R2803" s="81"/>
      <c r="S2803" s="81"/>
      <c r="T2803" s="81"/>
      <c r="U2803" s="83"/>
      <c r="V2803" s="83"/>
      <c r="W2803" s="81"/>
      <c r="X2803" s="81"/>
      <c r="Y2803" s="83"/>
      <c r="Z2803" s="81"/>
      <c r="AA2803" s="81"/>
      <c r="AB2803" s="81"/>
      <c r="AC2803" s="81"/>
      <c r="AD2803" s="81"/>
      <c r="AE2803" s="83"/>
      <c r="AF2803" s="81"/>
      <c r="AG2803" s="81"/>
      <c r="AH2803" s="81"/>
      <c r="AI2803" s="81"/>
      <c r="AJ2803" s="83"/>
      <c r="AK2803" s="81"/>
      <c r="AL2803" s="81"/>
      <c r="AM2803" s="83"/>
      <c r="AN2803" s="80"/>
      <c r="AO2803" s="82" t="str">
        <f aca="false">IF(E2803="","",(AA2803&lt;&gt;"")+(AG2803&lt;&gt;"")+(AL2803&lt;&gt;""))</f>
        <v/>
      </c>
      <c r="AP2803" s="82" t="str">
        <f aca="false">IF(AL2803&lt;&gt;"",AL2803,IF(AG2803&lt;&gt;"",AG2803,IF(AA2803&lt;&gt;"",AA2803,"")))</f>
        <v/>
      </c>
      <c r="AQ2803" s="84" t="str">
        <f aca="false">IF(E2803="","",IF(U2803="","À SOUDER",IF(X2803="","VT EN ATTENTE",IF(X2803="R","VT REJETÉ – À REPRENDRE",IF(AP2803="","À RADIOGRAPHIER",IF(AP2803="A","ACCEPTÉ",IF(AP2803="NX","NX – RT À REFAIRE",IF(IF(AO2803=1,AD2803,IF(AO2803=2,AI2803,""))="A","RÉPARÉ – À RADIOGRAPHIER",IF(IF(AO2803=1,AD2803,IF(AO2803=2,AI2803,""))="R","VT REJETÉ – À REPRENDRE",IF(OR(AP2803="CO",AP2803="NT"),"COUPE – À RESOUDER","À RÉPARER"))))))))))</f>
        <v/>
      </c>
      <c r="AR2803" s="82" t="str">
        <f aca="false">IF(AND(ISNUMBER(U2803),OR(AQ2803="À RADIOGRAPHIER",AQ2803="RÉPARÉ – À RADIOGRAPHIER",AQ2803="NX – RT À REFAIRE",AQ2803="À RÉPARER",AQ2803="COUPE – À RESOUDER",AQ2803="VT REJETÉ – À REPRENDRE")),MAX(0,'PROGRAMME RT'!$C$4-U2803),"")</f>
        <v/>
      </c>
      <c r="AS2803" s="82" t="n">
        <f aca="false">IF(AND(OR(AQ2803="À RADIOGRAPHIER",AQ2803="RÉPARÉ – À RADIOGRAPHIER",AQ2803="NX – RT À REFAIRE"),OR('PROGRAMME RT'!$D$5="TOUTES",B2803='PROGRAMME RT'!$D$5)),1,0)</f>
        <v>0</v>
      </c>
      <c r="AT2803" s="82" t="str">
        <f aca="false">IF(AS2803=1,SUM(AS$7:AS2803),"")</f>
        <v/>
      </c>
      <c r="AU2803" s="82" t="n">
        <f aca="false">IF(AND(OR(AA2803="R",AA2803="NX",AA2803="NT",AA2803="CO"),OR('JOINTS DE RÉPARATION'!$D$5="TOUTES",B2803='JOINTS DE RÉPARATION'!$D$5),OR('JOINTS DE RÉPARATION'!$L$4="TOUS",AQ2803&lt;&gt;"ACCEPTÉ")),1,0)</f>
        <v>0</v>
      </c>
      <c r="AV2803" s="82" t="str">
        <f aca="false">IF(AU2803=1,SUM(AU$7:AU2803),"")</f>
        <v/>
      </c>
      <c r="AW2803" s="82" t="str">
        <f aca="false">IF(E2803="","",B2803&amp;"|"&amp;E2803)</f>
        <v/>
      </c>
    </row>
    <row r="2804" customFormat="false" ht="15" hidden="false" customHeight="false" outlineLevel="0" collapsed="false">
      <c r="A2804" s="79" t="str">
        <f aca="false">IF(E2804="","",ROW()-6)</f>
        <v/>
      </c>
      <c r="B2804" s="80"/>
      <c r="C2804" s="81"/>
      <c r="D2804" s="81"/>
      <c r="E2804" s="81"/>
      <c r="F2804" s="82" t="str">
        <f aca="false">IF(E2804="","",IF(LEFT(E2804,2)="DJ","DJ","JN"))</f>
        <v/>
      </c>
      <c r="G2804" s="81"/>
      <c r="H2804" s="81"/>
      <c r="I2804" s="81"/>
      <c r="J2804" s="81"/>
      <c r="K2804" s="81"/>
      <c r="L2804" s="81"/>
      <c r="M2804" s="81"/>
      <c r="N2804" s="81"/>
      <c r="O2804" s="81"/>
      <c r="P2804" s="81"/>
      <c r="Q2804" s="81"/>
      <c r="R2804" s="81"/>
      <c r="S2804" s="81"/>
      <c r="T2804" s="81"/>
      <c r="U2804" s="83"/>
      <c r="V2804" s="83"/>
      <c r="W2804" s="81"/>
      <c r="X2804" s="81"/>
      <c r="Y2804" s="83"/>
      <c r="Z2804" s="81"/>
      <c r="AA2804" s="81"/>
      <c r="AB2804" s="81"/>
      <c r="AC2804" s="81"/>
      <c r="AD2804" s="81"/>
      <c r="AE2804" s="83"/>
      <c r="AF2804" s="81"/>
      <c r="AG2804" s="81"/>
      <c r="AH2804" s="81"/>
      <c r="AI2804" s="81"/>
      <c r="AJ2804" s="83"/>
      <c r="AK2804" s="81"/>
      <c r="AL2804" s="81"/>
      <c r="AM2804" s="83"/>
      <c r="AN2804" s="80"/>
      <c r="AO2804" s="82" t="str">
        <f aca="false">IF(E2804="","",(AA2804&lt;&gt;"")+(AG2804&lt;&gt;"")+(AL2804&lt;&gt;""))</f>
        <v/>
      </c>
      <c r="AP2804" s="82" t="str">
        <f aca="false">IF(AL2804&lt;&gt;"",AL2804,IF(AG2804&lt;&gt;"",AG2804,IF(AA2804&lt;&gt;"",AA2804,"")))</f>
        <v/>
      </c>
      <c r="AQ2804" s="84" t="str">
        <f aca="false">IF(E2804="","",IF(U2804="","À SOUDER",IF(X2804="","VT EN ATTENTE",IF(X2804="R","VT REJETÉ – À REPRENDRE",IF(AP2804="","À RADIOGRAPHIER",IF(AP2804="A","ACCEPTÉ",IF(AP2804="NX","NX – RT À REFAIRE",IF(IF(AO2804=1,AD2804,IF(AO2804=2,AI2804,""))="A","RÉPARÉ – À RADIOGRAPHIER",IF(IF(AO2804=1,AD2804,IF(AO2804=2,AI2804,""))="R","VT REJETÉ – À REPRENDRE",IF(OR(AP2804="CO",AP2804="NT"),"COUPE – À RESOUDER","À RÉPARER"))))))))))</f>
        <v/>
      </c>
      <c r="AR2804" s="82" t="str">
        <f aca="false">IF(AND(ISNUMBER(U2804),OR(AQ2804="À RADIOGRAPHIER",AQ2804="RÉPARÉ – À RADIOGRAPHIER",AQ2804="NX – RT À REFAIRE",AQ2804="À RÉPARER",AQ2804="COUPE – À RESOUDER",AQ2804="VT REJETÉ – À REPRENDRE")),MAX(0,'PROGRAMME RT'!$C$4-U2804),"")</f>
        <v/>
      </c>
      <c r="AS2804" s="82" t="n">
        <f aca="false">IF(AND(OR(AQ2804="À RADIOGRAPHIER",AQ2804="RÉPARÉ – À RADIOGRAPHIER",AQ2804="NX – RT À REFAIRE"),OR('PROGRAMME RT'!$D$5="TOUTES",B2804='PROGRAMME RT'!$D$5)),1,0)</f>
        <v>0</v>
      </c>
      <c r="AT2804" s="82" t="str">
        <f aca="false">IF(AS2804=1,SUM(AS$7:AS2804),"")</f>
        <v/>
      </c>
      <c r="AU2804" s="82" t="n">
        <f aca="false">IF(AND(OR(AA2804="R",AA2804="NX",AA2804="NT",AA2804="CO"),OR('JOINTS DE RÉPARATION'!$D$5="TOUTES",B2804='JOINTS DE RÉPARATION'!$D$5),OR('JOINTS DE RÉPARATION'!$L$4="TOUS",AQ2804&lt;&gt;"ACCEPTÉ")),1,0)</f>
        <v>0</v>
      </c>
      <c r="AV2804" s="82" t="str">
        <f aca="false">IF(AU2804=1,SUM(AU$7:AU2804),"")</f>
        <v/>
      </c>
      <c r="AW2804" s="82" t="str">
        <f aca="false">IF(E2804="","",B2804&amp;"|"&amp;E2804)</f>
        <v/>
      </c>
    </row>
    <row r="2805" customFormat="false" ht="15" hidden="false" customHeight="false" outlineLevel="0" collapsed="false">
      <c r="A2805" s="79" t="str">
        <f aca="false">IF(E2805="","",ROW()-6)</f>
        <v/>
      </c>
      <c r="B2805" s="80"/>
      <c r="C2805" s="81"/>
      <c r="D2805" s="81"/>
      <c r="E2805" s="81"/>
      <c r="F2805" s="82" t="str">
        <f aca="false">IF(E2805="","",IF(LEFT(E2805,2)="DJ","DJ","JN"))</f>
        <v/>
      </c>
      <c r="G2805" s="81"/>
      <c r="H2805" s="81"/>
      <c r="I2805" s="81"/>
      <c r="J2805" s="81"/>
      <c r="K2805" s="81"/>
      <c r="L2805" s="81"/>
      <c r="M2805" s="81"/>
      <c r="N2805" s="81"/>
      <c r="O2805" s="81"/>
      <c r="P2805" s="81"/>
      <c r="Q2805" s="81"/>
      <c r="R2805" s="81"/>
      <c r="S2805" s="81"/>
      <c r="T2805" s="81"/>
      <c r="U2805" s="83"/>
      <c r="V2805" s="83"/>
      <c r="W2805" s="81"/>
      <c r="X2805" s="81"/>
      <c r="Y2805" s="83"/>
      <c r="Z2805" s="81"/>
      <c r="AA2805" s="81"/>
      <c r="AB2805" s="81"/>
      <c r="AC2805" s="81"/>
      <c r="AD2805" s="81"/>
      <c r="AE2805" s="83"/>
      <c r="AF2805" s="81"/>
      <c r="AG2805" s="81"/>
      <c r="AH2805" s="81"/>
      <c r="AI2805" s="81"/>
      <c r="AJ2805" s="83"/>
      <c r="AK2805" s="81"/>
      <c r="AL2805" s="81"/>
      <c r="AM2805" s="83"/>
      <c r="AN2805" s="80"/>
      <c r="AO2805" s="82" t="str">
        <f aca="false">IF(E2805="","",(AA2805&lt;&gt;"")+(AG2805&lt;&gt;"")+(AL2805&lt;&gt;""))</f>
        <v/>
      </c>
      <c r="AP2805" s="82" t="str">
        <f aca="false">IF(AL2805&lt;&gt;"",AL2805,IF(AG2805&lt;&gt;"",AG2805,IF(AA2805&lt;&gt;"",AA2805,"")))</f>
        <v/>
      </c>
      <c r="AQ2805" s="84" t="str">
        <f aca="false">IF(E2805="","",IF(U2805="","À SOUDER",IF(X2805="","VT EN ATTENTE",IF(X2805="R","VT REJETÉ – À REPRENDRE",IF(AP2805="","À RADIOGRAPHIER",IF(AP2805="A","ACCEPTÉ",IF(AP2805="NX","NX – RT À REFAIRE",IF(IF(AO2805=1,AD2805,IF(AO2805=2,AI2805,""))="A","RÉPARÉ – À RADIOGRAPHIER",IF(IF(AO2805=1,AD2805,IF(AO2805=2,AI2805,""))="R","VT REJETÉ – À REPRENDRE",IF(OR(AP2805="CO",AP2805="NT"),"COUPE – À RESOUDER","À RÉPARER"))))))))))</f>
        <v/>
      </c>
      <c r="AR2805" s="82" t="str">
        <f aca="false">IF(AND(ISNUMBER(U2805),OR(AQ2805="À RADIOGRAPHIER",AQ2805="RÉPARÉ – À RADIOGRAPHIER",AQ2805="NX – RT À REFAIRE",AQ2805="À RÉPARER",AQ2805="COUPE – À RESOUDER",AQ2805="VT REJETÉ – À REPRENDRE")),MAX(0,'PROGRAMME RT'!$C$4-U2805),"")</f>
        <v/>
      </c>
      <c r="AS2805" s="82" t="n">
        <f aca="false">IF(AND(OR(AQ2805="À RADIOGRAPHIER",AQ2805="RÉPARÉ – À RADIOGRAPHIER",AQ2805="NX – RT À REFAIRE"),OR('PROGRAMME RT'!$D$5="TOUTES",B2805='PROGRAMME RT'!$D$5)),1,0)</f>
        <v>0</v>
      </c>
      <c r="AT2805" s="82" t="str">
        <f aca="false">IF(AS2805=1,SUM(AS$7:AS2805),"")</f>
        <v/>
      </c>
      <c r="AU2805" s="82" t="n">
        <f aca="false">IF(AND(OR(AA2805="R",AA2805="NX",AA2805="NT",AA2805="CO"),OR('JOINTS DE RÉPARATION'!$D$5="TOUTES",B2805='JOINTS DE RÉPARATION'!$D$5),OR('JOINTS DE RÉPARATION'!$L$4="TOUS",AQ2805&lt;&gt;"ACCEPTÉ")),1,0)</f>
        <v>0</v>
      </c>
      <c r="AV2805" s="82" t="str">
        <f aca="false">IF(AU2805=1,SUM(AU$7:AU2805),"")</f>
        <v/>
      </c>
      <c r="AW2805" s="82" t="str">
        <f aca="false">IF(E2805="","",B2805&amp;"|"&amp;E2805)</f>
        <v/>
      </c>
    </row>
    <row r="2806" customFormat="false" ht="15" hidden="false" customHeight="false" outlineLevel="0" collapsed="false">
      <c r="A2806" s="79" t="str">
        <f aca="false">IF(E2806="","",ROW()-6)</f>
        <v/>
      </c>
      <c r="B2806" s="80"/>
      <c r="C2806" s="81"/>
      <c r="D2806" s="81"/>
      <c r="E2806" s="81"/>
      <c r="F2806" s="82" t="str">
        <f aca="false">IF(E2806="","",IF(LEFT(E2806,2)="DJ","DJ","JN"))</f>
        <v/>
      </c>
      <c r="G2806" s="81"/>
      <c r="H2806" s="81"/>
      <c r="I2806" s="81"/>
      <c r="J2806" s="81"/>
      <c r="K2806" s="81"/>
      <c r="L2806" s="81"/>
      <c r="M2806" s="81"/>
      <c r="N2806" s="81"/>
      <c r="O2806" s="81"/>
      <c r="P2806" s="81"/>
      <c r="Q2806" s="81"/>
      <c r="R2806" s="81"/>
      <c r="S2806" s="81"/>
      <c r="T2806" s="81"/>
      <c r="U2806" s="83"/>
      <c r="V2806" s="83"/>
      <c r="W2806" s="81"/>
      <c r="X2806" s="81"/>
      <c r="Y2806" s="83"/>
      <c r="Z2806" s="81"/>
      <c r="AA2806" s="81"/>
      <c r="AB2806" s="81"/>
      <c r="AC2806" s="81"/>
      <c r="AD2806" s="81"/>
      <c r="AE2806" s="83"/>
      <c r="AF2806" s="81"/>
      <c r="AG2806" s="81"/>
      <c r="AH2806" s="81"/>
      <c r="AI2806" s="81"/>
      <c r="AJ2806" s="83"/>
      <c r="AK2806" s="81"/>
      <c r="AL2806" s="81"/>
      <c r="AM2806" s="83"/>
      <c r="AN2806" s="80"/>
      <c r="AO2806" s="82" t="str">
        <f aca="false">IF(E2806="","",(AA2806&lt;&gt;"")+(AG2806&lt;&gt;"")+(AL2806&lt;&gt;""))</f>
        <v/>
      </c>
      <c r="AP2806" s="82" t="str">
        <f aca="false">IF(AL2806&lt;&gt;"",AL2806,IF(AG2806&lt;&gt;"",AG2806,IF(AA2806&lt;&gt;"",AA2806,"")))</f>
        <v/>
      </c>
      <c r="AQ2806" s="84" t="str">
        <f aca="false">IF(E2806="","",IF(U2806="","À SOUDER",IF(X2806="","VT EN ATTENTE",IF(X2806="R","VT REJETÉ – À REPRENDRE",IF(AP2806="","À RADIOGRAPHIER",IF(AP2806="A","ACCEPTÉ",IF(AP2806="NX","NX – RT À REFAIRE",IF(IF(AO2806=1,AD2806,IF(AO2806=2,AI2806,""))="A","RÉPARÉ – À RADIOGRAPHIER",IF(IF(AO2806=1,AD2806,IF(AO2806=2,AI2806,""))="R","VT REJETÉ – À REPRENDRE",IF(OR(AP2806="CO",AP2806="NT"),"COUPE – À RESOUDER","À RÉPARER"))))))))))</f>
        <v/>
      </c>
      <c r="AR2806" s="82" t="str">
        <f aca="false">IF(AND(ISNUMBER(U2806),OR(AQ2806="À RADIOGRAPHIER",AQ2806="RÉPARÉ – À RADIOGRAPHIER",AQ2806="NX – RT À REFAIRE",AQ2806="À RÉPARER",AQ2806="COUPE – À RESOUDER",AQ2806="VT REJETÉ – À REPRENDRE")),MAX(0,'PROGRAMME RT'!$C$4-U2806),"")</f>
        <v/>
      </c>
      <c r="AS2806" s="82" t="n">
        <f aca="false">IF(AND(OR(AQ2806="À RADIOGRAPHIER",AQ2806="RÉPARÉ – À RADIOGRAPHIER",AQ2806="NX – RT À REFAIRE"),OR('PROGRAMME RT'!$D$5="TOUTES",B2806='PROGRAMME RT'!$D$5)),1,0)</f>
        <v>0</v>
      </c>
      <c r="AT2806" s="82" t="str">
        <f aca="false">IF(AS2806=1,SUM(AS$7:AS2806),"")</f>
        <v/>
      </c>
      <c r="AU2806" s="82" t="n">
        <f aca="false">IF(AND(OR(AA2806="R",AA2806="NX",AA2806="NT",AA2806="CO"),OR('JOINTS DE RÉPARATION'!$D$5="TOUTES",B2806='JOINTS DE RÉPARATION'!$D$5),OR('JOINTS DE RÉPARATION'!$L$4="TOUS",AQ2806&lt;&gt;"ACCEPTÉ")),1,0)</f>
        <v>0</v>
      </c>
      <c r="AV2806" s="82" t="str">
        <f aca="false">IF(AU2806=1,SUM(AU$7:AU2806),"")</f>
        <v/>
      </c>
      <c r="AW2806" s="82" t="str">
        <f aca="false">IF(E2806="","",B2806&amp;"|"&amp;E2806)</f>
        <v/>
      </c>
    </row>
    <row r="2807" customFormat="false" ht="15" hidden="false" customHeight="false" outlineLevel="0" collapsed="false">
      <c r="A2807" s="79" t="str">
        <f aca="false">IF(E2807="","",ROW()-6)</f>
        <v/>
      </c>
      <c r="B2807" s="80"/>
      <c r="C2807" s="81"/>
      <c r="D2807" s="81"/>
      <c r="E2807" s="81"/>
      <c r="F2807" s="82" t="str">
        <f aca="false">IF(E2807="","",IF(LEFT(E2807,2)="DJ","DJ","JN"))</f>
        <v/>
      </c>
      <c r="G2807" s="81"/>
      <c r="H2807" s="81"/>
      <c r="I2807" s="81"/>
      <c r="J2807" s="81"/>
      <c r="K2807" s="81"/>
      <c r="L2807" s="81"/>
      <c r="M2807" s="81"/>
      <c r="N2807" s="81"/>
      <c r="O2807" s="81"/>
      <c r="P2807" s="81"/>
      <c r="Q2807" s="81"/>
      <c r="R2807" s="81"/>
      <c r="S2807" s="81"/>
      <c r="T2807" s="81"/>
      <c r="U2807" s="83"/>
      <c r="V2807" s="83"/>
      <c r="W2807" s="81"/>
      <c r="X2807" s="81"/>
      <c r="Y2807" s="83"/>
      <c r="Z2807" s="81"/>
      <c r="AA2807" s="81"/>
      <c r="AB2807" s="81"/>
      <c r="AC2807" s="81"/>
      <c r="AD2807" s="81"/>
      <c r="AE2807" s="83"/>
      <c r="AF2807" s="81"/>
      <c r="AG2807" s="81"/>
      <c r="AH2807" s="81"/>
      <c r="AI2807" s="81"/>
      <c r="AJ2807" s="83"/>
      <c r="AK2807" s="81"/>
      <c r="AL2807" s="81"/>
      <c r="AM2807" s="83"/>
      <c r="AN2807" s="80"/>
      <c r="AO2807" s="82" t="str">
        <f aca="false">IF(E2807="","",(AA2807&lt;&gt;"")+(AG2807&lt;&gt;"")+(AL2807&lt;&gt;""))</f>
        <v/>
      </c>
      <c r="AP2807" s="82" t="str">
        <f aca="false">IF(AL2807&lt;&gt;"",AL2807,IF(AG2807&lt;&gt;"",AG2807,IF(AA2807&lt;&gt;"",AA2807,"")))</f>
        <v/>
      </c>
      <c r="AQ2807" s="84" t="str">
        <f aca="false">IF(E2807="","",IF(U2807="","À SOUDER",IF(X2807="","VT EN ATTENTE",IF(X2807="R","VT REJETÉ – À REPRENDRE",IF(AP2807="","À RADIOGRAPHIER",IF(AP2807="A","ACCEPTÉ",IF(AP2807="NX","NX – RT À REFAIRE",IF(IF(AO2807=1,AD2807,IF(AO2807=2,AI2807,""))="A","RÉPARÉ – À RADIOGRAPHIER",IF(IF(AO2807=1,AD2807,IF(AO2807=2,AI2807,""))="R","VT REJETÉ – À REPRENDRE",IF(OR(AP2807="CO",AP2807="NT"),"COUPE – À RESOUDER","À RÉPARER"))))))))))</f>
        <v/>
      </c>
      <c r="AR2807" s="82" t="str">
        <f aca="false">IF(AND(ISNUMBER(U2807),OR(AQ2807="À RADIOGRAPHIER",AQ2807="RÉPARÉ – À RADIOGRAPHIER",AQ2807="NX – RT À REFAIRE",AQ2807="À RÉPARER",AQ2807="COUPE – À RESOUDER",AQ2807="VT REJETÉ – À REPRENDRE")),MAX(0,'PROGRAMME RT'!$C$4-U2807),"")</f>
        <v/>
      </c>
      <c r="AS2807" s="82" t="n">
        <f aca="false">IF(AND(OR(AQ2807="À RADIOGRAPHIER",AQ2807="RÉPARÉ – À RADIOGRAPHIER",AQ2807="NX – RT À REFAIRE"),OR('PROGRAMME RT'!$D$5="TOUTES",B2807='PROGRAMME RT'!$D$5)),1,0)</f>
        <v>0</v>
      </c>
      <c r="AT2807" s="82" t="str">
        <f aca="false">IF(AS2807=1,SUM(AS$7:AS2807),"")</f>
        <v/>
      </c>
      <c r="AU2807" s="82" t="n">
        <f aca="false">IF(AND(OR(AA2807="R",AA2807="NX",AA2807="NT",AA2807="CO"),OR('JOINTS DE RÉPARATION'!$D$5="TOUTES",B2807='JOINTS DE RÉPARATION'!$D$5),OR('JOINTS DE RÉPARATION'!$L$4="TOUS",AQ2807&lt;&gt;"ACCEPTÉ")),1,0)</f>
        <v>0</v>
      </c>
      <c r="AV2807" s="82" t="str">
        <f aca="false">IF(AU2807=1,SUM(AU$7:AU2807),"")</f>
        <v/>
      </c>
      <c r="AW2807" s="82" t="str">
        <f aca="false">IF(E2807="","",B2807&amp;"|"&amp;E2807)</f>
        <v/>
      </c>
    </row>
    <row r="2808" customFormat="false" ht="15" hidden="false" customHeight="false" outlineLevel="0" collapsed="false">
      <c r="A2808" s="79" t="str">
        <f aca="false">IF(E2808="","",ROW()-6)</f>
        <v/>
      </c>
      <c r="B2808" s="80"/>
      <c r="C2808" s="81"/>
      <c r="D2808" s="81"/>
      <c r="E2808" s="81"/>
      <c r="F2808" s="82" t="str">
        <f aca="false">IF(E2808="","",IF(LEFT(E2808,2)="DJ","DJ","JN"))</f>
        <v/>
      </c>
      <c r="G2808" s="81"/>
      <c r="H2808" s="81"/>
      <c r="I2808" s="81"/>
      <c r="J2808" s="81"/>
      <c r="K2808" s="81"/>
      <c r="L2808" s="81"/>
      <c r="M2808" s="81"/>
      <c r="N2808" s="81"/>
      <c r="O2808" s="81"/>
      <c r="P2808" s="81"/>
      <c r="Q2808" s="81"/>
      <c r="R2808" s="81"/>
      <c r="S2808" s="81"/>
      <c r="T2808" s="81"/>
      <c r="U2808" s="83"/>
      <c r="V2808" s="83"/>
      <c r="W2808" s="81"/>
      <c r="X2808" s="81"/>
      <c r="Y2808" s="83"/>
      <c r="Z2808" s="81"/>
      <c r="AA2808" s="81"/>
      <c r="AB2808" s="81"/>
      <c r="AC2808" s="81"/>
      <c r="AD2808" s="81"/>
      <c r="AE2808" s="83"/>
      <c r="AF2808" s="81"/>
      <c r="AG2808" s="81"/>
      <c r="AH2808" s="81"/>
      <c r="AI2808" s="81"/>
      <c r="AJ2808" s="83"/>
      <c r="AK2808" s="81"/>
      <c r="AL2808" s="81"/>
      <c r="AM2808" s="83"/>
      <c r="AN2808" s="80"/>
      <c r="AO2808" s="82" t="str">
        <f aca="false">IF(E2808="","",(AA2808&lt;&gt;"")+(AG2808&lt;&gt;"")+(AL2808&lt;&gt;""))</f>
        <v/>
      </c>
      <c r="AP2808" s="82" t="str">
        <f aca="false">IF(AL2808&lt;&gt;"",AL2808,IF(AG2808&lt;&gt;"",AG2808,IF(AA2808&lt;&gt;"",AA2808,"")))</f>
        <v/>
      </c>
      <c r="AQ2808" s="84" t="str">
        <f aca="false">IF(E2808="","",IF(U2808="","À SOUDER",IF(X2808="","VT EN ATTENTE",IF(X2808="R","VT REJETÉ – À REPRENDRE",IF(AP2808="","À RADIOGRAPHIER",IF(AP2808="A","ACCEPTÉ",IF(AP2808="NX","NX – RT À REFAIRE",IF(IF(AO2808=1,AD2808,IF(AO2808=2,AI2808,""))="A","RÉPARÉ – À RADIOGRAPHIER",IF(IF(AO2808=1,AD2808,IF(AO2808=2,AI2808,""))="R","VT REJETÉ – À REPRENDRE",IF(OR(AP2808="CO",AP2808="NT"),"COUPE – À RESOUDER","À RÉPARER"))))))))))</f>
        <v/>
      </c>
      <c r="AR2808" s="82" t="str">
        <f aca="false">IF(AND(ISNUMBER(U2808),OR(AQ2808="À RADIOGRAPHIER",AQ2808="RÉPARÉ – À RADIOGRAPHIER",AQ2808="NX – RT À REFAIRE",AQ2808="À RÉPARER",AQ2808="COUPE – À RESOUDER",AQ2808="VT REJETÉ – À REPRENDRE")),MAX(0,'PROGRAMME RT'!$C$4-U2808),"")</f>
        <v/>
      </c>
      <c r="AS2808" s="82" t="n">
        <f aca="false">IF(AND(OR(AQ2808="À RADIOGRAPHIER",AQ2808="RÉPARÉ – À RADIOGRAPHIER",AQ2808="NX – RT À REFAIRE"),OR('PROGRAMME RT'!$D$5="TOUTES",B2808='PROGRAMME RT'!$D$5)),1,0)</f>
        <v>0</v>
      </c>
      <c r="AT2808" s="82" t="str">
        <f aca="false">IF(AS2808=1,SUM(AS$7:AS2808),"")</f>
        <v/>
      </c>
      <c r="AU2808" s="82" t="n">
        <f aca="false">IF(AND(OR(AA2808="R",AA2808="NX",AA2808="NT",AA2808="CO"),OR('JOINTS DE RÉPARATION'!$D$5="TOUTES",B2808='JOINTS DE RÉPARATION'!$D$5),OR('JOINTS DE RÉPARATION'!$L$4="TOUS",AQ2808&lt;&gt;"ACCEPTÉ")),1,0)</f>
        <v>0</v>
      </c>
      <c r="AV2808" s="82" t="str">
        <f aca="false">IF(AU2808=1,SUM(AU$7:AU2808),"")</f>
        <v/>
      </c>
      <c r="AW2808" s="82" t="str">
        <f aca="false">IF(E2808="","",B2808&amp;"|"&amp;E2808)</f>
        <v/>
      </c>
    </row>
    <row r="2809" customFormat="false" ht="15" hidden="false" customHeight="false" outlineLevel="0" collapsed="false">
      <c r="A2809" s="79" t="str">
        <f aca="false">IF(E2809="","",ROW()-6)</f>
        <v/>
      </c>
      <c r="B2809" s="80"/>
      <c r="C2809" s="81"/>
      <c r="D2809" s="81"/>
      <c r="E2809" s="81"/>
      <c r="F2809" s="82" t="str">
        <f aca="false">IF(E2809="","",IF(LEFT(E2809,2)="DJ","DJ","JN"))</f>
        <v/>
      </c>
      <c r="G2809" s="81"/>
      <c r="H2809" s="81"/>
      <c r="I2809" s="81"/>
      <c r="J2809" s="81"/>
      <c r="K2809" s="81"/>
      <c r="L2809" s="81"/>
      <c r="M2809" s="81"/>
      <c r="N2809" s="81"/>
      <c r="O2809" s="81"/>
      <c r="P2809" s="81"/>
      <c r="Q2809" s="81"/>
      <c r="R2809" s="81"/>
      <c r="S2809" s="81"/>
      <c r="T2809" s="81"/>
      <c r="U2809" s="83"/>
      <c r="V2809" s="83"/>
      <c r="W2809" s="81"/>
      <c r="X2809" s="81"/>
      <c r="Y2809" s="83"/>
      <c r="Z2809" s="81"/>
      <c r="AA2809" s="81"/>
      <c r="AB2809" s="81"/>
      <c r="AC2809" s="81"/>
      <c r="AD2809" s="81"/>
      <c r="AE2809" s="83"/>
      <c r="AF2809" s="81"/>
      <c r="AG2809" s="81"/>
      <c r="AH2809" s="81"/>
      <c r="AI2809" s="81"/>
      <c r="AJ2809" s="83"/>
      <c r="AK2809" s="81"/>
      <c r="AL2809" s="81"/>
      <c r="AM2809" s="83"/>
      <c r="AN2809" s="80"/>
      <c r="AO2809" s="82" t="str">
        <f aca="false">IF(E2809="","",(AA2809&lt;&gt;"")+(AG2809&lt;&gt;"")+(AL2809&lt;&gt;""))</f>
        <v/>
      </c>
      <c r="AP2809" s="82" t="str">
        <f aca="false">IF(AL2809&lt;&gt;"",AL2809,IF(AG2809&lt;&gt;"",AG2809,IF(AA2809&lt;&gt;"",AA2809,"")))</f>
        <v/>
      </c>
      <c r="AQ2809" s="84" t="str">
        <f aca="false">IF(E2809="","",IF(U2809="","À SOUDER",IF(X2809="","VT EN ATTENTE",IF(X2809="R","VT REJETÉ – À REPRENDRE",IF(AP2809="","À RADIOGRAPHIER",IF(AP2809="A","ACCEPTÉ",IF(AP2809="NX","NX – RT À REFAIRE",IF(IF(AO2809=1,AD2809,IF(AO2809=2,AI2809,""))="A","RÉPARÉ – À RADIOGRAPHIER",IF(IF(AO2809=1,AD2809,IF(AO2809=2,AI2809,""))="R","VT REJETÉ – À REPRENDRE",IF(OR(AP2809="CO",AP2809="NT"),"COUPE – À RESOUDER","À RÉPARER"))))))))))</f>
        <v/>
      </c>
      <c r="AR2809" s="82" t="str">
        <f aca="false">IF(AND(ISNUMBER(U2809),OR(AQ2809="À RADIOGRAPHIER",AQ2809="RÉPARÉ – À RADIOGRAPHIER",AQ2809="NX – RT À REFAIRE",AQ2809="À RÉPARER",AQ2809="COUPE – À RESOUDER",AQ2809="VT REJETÉ – À REPRENDRE")),MAX(0,'PROGRAMME RT'!$C$4-U2809),"")</f>
        <v/>
      </c>
      <c r="AS2809" s="82" t="n">
        <f aca="false">IF(AND(OR(AQ2809="À RADIOGRAPHIER",AQ2809="RÉPARÉ – À RADIOGRAPHIER",AQ2809="NX – RT À REFAIRE"),OR('PROGRAMME RT'!$D$5="TOUTES",B2809='PROGRAMME RT'!$D$5)),1,0)</f>
        <v>0</v>
      </c>
      <c r="AT2809" s="82" t="str">
        <f aca="false">IF(AS2809=1,SUM(AS$7:AS2809),"")</f>
        <v/>
      </c>
      <c r="AU2809" s="82" t="n">
        <f aca="false">IF(AND(OR(AA2809="R",AA2809="NX",AA2809="NT",AA2809="CO"),OR('JOINTS DE RÉPARATION'!$D$5="TOUTES",B2809='JOINTS DE RÉPARATION'!$D$5),OR('JOINTS DE RÉPARATION'!$L$4="TOUS",AQ2809&lt;&gt;"ACCEPTÉ")),1,0)</f>
        <v>0</v>
      </c>
      <c r="AV2809" s="82" t="str">
        <f aca="false">IF(AU2809=1,SUM(AU$7:AU2809),"")</f>
        <v/>
      </c>
      <c r="AW2809" s="82" t="str">
        <f aca="false">IF(E2809="","",B2809&amp;"|"&amp;E2809)</f>
        <v/>
      </c>
    </row>
    <row r="2810" customFormat="false" ht="15" hidden="false" customHeight="false" outlineLevel="0" collapsed="false">
      <c r="A2810" s="79" t="str">
        <f aca="false">IF(E2810="","",ROW()-6)</f>
        <v/>
      </c>
      <c r="B2810" s="80"/>
      <c r="C2810" s="81"/>
      <c r="D2810" s="81"/>
      <c r="E2810" s="81"/>
      <c r="F2810" s="82" t="str">
        <f aca="false">IF(E2810="","",IF(LEFT(E2810,2)="DJ","DJ","JN"))</f>
        <v/>
      </c>
      <c r="G2810" s="81"/>
      <c r="H2810" s="81"/>
      <c r="I2810" s="81"/>
      <c r="J2810" s="81"/>
      <c r="K2810" s="81"/>
      <c r="L2810" s="81"/>
      <c r="M2810" s="81"/>
      <c r="N2810" s="81"/>
      <c r="O2810" s="81"/>
      <c r="P2810" s="81"/>
      <c r="Q2810" s="81"/>
      <c r="R2810" s="81"/>
      <c r="S2810" s="81"/>
      <c r="T2810" s="81"/>
      <c r="U2810" s="83"/>
      <c r="V2810" s="83"/>
      <c r="W2810" s="81"/>
      <c r="X2810" s="81"/>
      <c r="Y2810" s="83"/>
      <c r="Z2810" s="81"/>
      <c r="AA2810" s="81"/>
      <c r="AB2810" s="81"/>
      <c r="AC2810" s="81"/>
      <c r="AD2810" s="81"/>
      <c r="AE2810" s="83"/>
      <c r="AF2810" s="81"/>
      <c r="AG2810" s="81"/>
      <c r="AH2810" s="81"/>
      <c r="AI2810" s="81"/>
      <c r="AJ2810" s="83"/>
      <c r="AK2810" s="81"/>
      <c r="AL2810" s="81"/>
      <c r="AM2810" s="83"/>
      <c r="AN2810" s="80"/>
      <c r="AO2810" s="82" t="str">
        <f aca="false">IF(E2810="","",(AA2810&lt;&gt;"")+(AG2810&lt;&gt;"")+(AL2810&lt;&gt;""))</f>
        <v/>
      </c>
      <c r="AP2810" s="82" t="str">
        <f aca="false">IF(AL2810&lt;&gt;"",AL2810,IF(AG2810&lt;&gt;"",AG2810,IF(AA2810&lt;&gt;"",AA2810,"")))</f>
        <v/>
      </c>
      <c r="AQ2810" s="84" t="str">
        <f aca="false">IF(E2810="","",IF(U2810="","À SOUDER",IF(X2810="","VT EN ATTENTE",IF(X2810="R","VT REJETÉ – À REPRENDRE",IF(AP2810="","À RADIOGRAPHIER",IF(AP2810="A","ACCEPTÉ",IF(AP2810="NX","NX – RT À REFAIRE",IF(IF(AO2810=1,AD2810,IF(AO2810=2,AI2810,""))="A","RÉPARÉ – À RADIOGRAPHIER",IF(IF(AO2810=1,AD2810,IF(AO2810=2,AI2810,""))="R","VT REJETÉ – À REPRENDRE",IF(OR(AP2810="CO",AP2810="NT"),"COUPE – À RESOUDER","À RÉPARER"))))))))))</f>
        <v/>
      </c>
      <c r="AR2810" s="82" t="str">
        <f aca="false">IF(AND(ISNUMBER(U2810),OR(AQ2810="À RADIOGRAPHIER",AQ2810="RÉPARÉ – À RADIOGRAPHIER",AQ2810="NX – RT À REFAIRE",AQ2810="À RÉPARER",AQ2810="COUPE – À RESOUDER",AQ2810="VT REJETÉ – À REPRENDRE")),MAX(0,'PROGRAMME RT'!$C$4-U2810),"")</f>
        <v/>
      </c>
      <c r="AS2810" s="82" t="n">
        <f aca="false">IF(AND(OR(AQ2810="À RADIOGRAPHIER",AQ2810="RÉPARÉ – À RADIOGRAPHIER",AQ2810="NX – RT À REFAIRE"),OR('PROGRAMME RT'!$D$5="TOUTES",B2810='PROGRAMME RT'!$D$5)),1,0)</f>
        <v>0</v>
      </c>
      <c r="AT2810" s="82" t="str">
        <f aca="false">IF(AS2810=1,SUM(AS$7:AS2810),"")</f>
        <v/>
      </c>
      <c r="AU2810" s="82" t="n">
        <f aca="false">IF(AND(OR(AA2810="R",AA2810="NX",AA2810="NT",AA2810="CO"),OR('JOINTS DE RÉPARATION'!$D$5="TOUTES",B2810='JOINTS DE RÉPARATION'!$D$5),OR('JOINTS DE RÉPARATION'!$L$4="TOUS",AQ2810&lt;&gt;"ACCEPTÉ")),1,0)</f>
        <v>0</v>
      </c>
      <c r="AV2810" s="82" t="str">
        <f aca="false">IF(AU2810=1,SUM(AU$7:AU2810),"")</f>
        <v/>
      </c>
      <c r="AW2810" s="82" t="str">
        <f aca="false">IF(E2810="","",B2810&amp;"|"&amp;E2810)</f>
        <v/>
      </c>
    </row>
    <row r="2811" customFormat="false" ht="15" hidden="false" customHeight="false" outlineLevel="0" collapsed="false">
      <c r="A2811" s="79" t="str">
        <f aca="false">IF(E2811="","",ROW()-6)</f>
        <v/>
      </c>
      <c r="B2811" s="80"/>
      <c r="C2811" s="81"/>
      <c r="D2811" s="81"/>
      <c r="E2811" s="81"/>
      <c r="F2811" s="82" t="str">
        <f aca="false">IF(E2811="","",IF(LEFT(E2811,2)="DJ","DJ","JN"))</f>
        <v/>
      </c>
      <c r="G2811" s="81"/>
      <c r="H2811" s="81"/>
      <c r="I2811" s="81"/>
      <c r="J2811" s="81"/>
      <c r="K2811" s="81"/>
      <c r="L2811" s="81"/>
      <c r="M2811" s="81"/>
      <c r="N2811" s="81"/>
      <c r="O2811" s="81"/>
      <c r="P2811" s="81"/>
      <c r="Q2811" s="81"/>
      <c r="R2811" s="81"/>
      <c r="S2811" s="81"/>
      <c r="T2811" s="81"/>
      <c r="U2811" s="83"/>
      <c r="V2811" s="83"/>
      <c r="W2811" s="81"/>
      <c r="X2811" s="81"/>
      <c r="Y2811" s="83"/>
      <c r="Z2811" s="81"/>
      <c r="AA2811" s="81"/>
      <c r="AB2811" s="81"/>
      <c r="AC2811" s="81"/>
      <c r="AD2811" s="81"/>
      <c r="AE2811" s="83"/>
      <c r="AF2811" s="81"/>
      <c r="AG2811" s="81"/>
      <c r="AH2811" s="81"/>
      <c r="AI2811" s="81"/>
      <c r="AJ2811" s="83"/>
      <c r="AK2811" s="81"/>
      <c r="AL2811" s="81"/>
      <c r="AM2811" s="83"/>
      <c r="AN2811" s="80"/>
      <c r="AO2811" s="82" t="str">
        <f aca="false">IF(E2811="","",(AA2811&lt;&gt;"")+(AG2811&lt;&gt;"")+(AL2811&lt;&gt;""))</f>
        <v/>
      </c>
      <c r="AP2811" s="82" t="str">
        <f aca="false">IF(AL2811&lt;&gt;"",AL2811,IF(AG2811&lt;&gt;"",AG2811,IF(AA2811&lt;&gt;"",AA2811,"")))</f>
        <v/>
      </c>
      <c r="AQ2811" s="84" t="str">
        <f aca="false">IF(E2811="","",IF(U2811="","À SOUDER",IF(X2811="","VT EN ATTENTE",IF(X2811="R","VT REJETÉ – À REPRENDRE",IF(AP2811="","À RADIOGRAPHIER",IF(AP2811="A","ACCEPTÉ",IF(AP2811="NX","NX – RT À REFAIRE",IF(IF(AO2811=1,AD2811,IF(AO2811=2,AI2811,""))="A","RÉPARÉ – À RADIOGRAPHIER",IF(IF(AO2811=1,AD2811,IF(AO2811=2,AI2811,""))="R","VT REJETÉ – À REPRENDRE",IF(OR(AP2811="CO",AP2811="NT"),"COUPE – À RESOUDER","À RÉPARER"))))))))))</f>
        <v/>
      </c>
      <c r="AR2811" s="82" t="str">
        <f aca="false">IF(AND(ISNUMBER(U2811),OR(AQ2811="À RADIOGRAPHIER",AQ2811="RÉPARÉ – À RADIOGRAPHIER",AQ2811="NX – RT À REFAIRE",AQ2811="À RÉPARER",AQ2811="COUPE – À RESOUDER",AQ2811="VT REJETÉ – À REPRENDRE")),MAX(0,'PROGRAMME RT'!$C$4-U2811),"")</f>
        <v/>
      </c>
      <c r="AS2811" s="82" t="n">
        <f aca="false">IF(AND(OR(AQ2811="À RADIOGRAPHIER",AQ2811="RÉPARÉ – À RADIOGRAPHIER",AQ2811="NX – RT À REFAIRE"),OR('PROGRAMME RT'!$D$5="TOUTES",B2811='PROGRAMME RT'!$D$5)),1,0)</f>
        <v>0</v>
      </c>
      <c r="AT2811" s="82" t="str">
        <f aca="false">IF(AS2811=1,SUM(AS$7:AS2811),"")</f>
        <v/>
      </c>
      <c r="AU2811" s="82" t="n">
        <f aca="false">IF(AND(OR(AA2811="R",AA2811="NX",AA2811="NT",AA2811="CO"),OR('JOINTS DE RÉPARATION'!$D$5="TOUTES",B2811='JOINTS DE RÉPARATION'!$D$5),OR('JOINTS DE RÉPARATION'!$L$4="TOUS",AQ2811&lt;&gt;"ACCEPTÉ")),1,0)</f>
        <v>0</v>
      </c>
      <c r="AV2811" s="82" t="str">
        <f aca="false">IF(AU2811=1,SUM(AU$7:AU2811),"")</f>
        <v/>
      </c>
      <c r="AW2811" s="82" t="str">
        <f aca="false">IF(E2811="","",B2811&amp;"|"&amp;E2811)</f>
        <v/>
      </c>
    </row>
    <row r="2812" customFormat="false" ht="15" hidden="false" customHeight="false" outlineLevel="0" collapsed="false">
      <c r="A2812" s="79" t="str">
        <f aca="false">IF(E2812="","",ROW()-6)</f>
        <v/>
      </c>
      <c r="B2812" s="80"/>
      <c r="C2812" s="81"/>
      <c r="D2812" s="81"/>
      <c r="E2812" s="81"/>
      <c r="F2812" s="82" t="str">
        <f aca="false">IF(E2812="","",IF(LEFT(E2812,2)="DJ","DJ","JN"))</f>
        <v/>
      </c>
      <c r="G2812" s="81"/>
      <c r="H2812" s="81"/>
      <c r="I2812" s="81"/>
      <c r="J2812" s="81"/>
      <c r="K2812" s="81"/>
      <c r="L2812" s="81"/>
      <c r="M2812" s="81"/>
      <c r="N2812" s="81"/>
      <c r="O2812" s="81"/>
      <c r="P2812" s="81"/>
      <c r="Q2812" s="81"/>
      <c r="R2812" s="81"/>
      <c r="S2812" s="81"/>
      <c r="T2812" s="81"/>
      <c r="U2812" s="83"/>
      <c r="V2812" s="83"/>
      <c r="W2812" s="81"/>
      <c r="X2812" s="81"/>
      <c r="Y2812" s="83"/>
      <c r="Z2812" s="81"/>
      <c r="AA2812" s="81"/>
      <c r="AB2812" s="81"/>
      <c r="AC2812" s="81"/>
      <c r="AD2812" s="81"/>
      <c r="AE2812" s="83"/>
      <c r="AF2812" s="81"/>
      <c r="AG2812" s="81"/>
      <c r="AH2812" s="81"/>
      <c r="AI2812" s="81"/>
      <c r="AJ2812" s="83"/>
      <c r="AK2812" s="81"/>
      <c r="AL2812" s="81"/>
      <c r="AM2812" s="83"/>
      <c r="AN2812" s="80"/>
      <c r="AO2812" s="82" t="str">
        <f aca="false">IF(E2812="","",(AA2812&lt;&gt;"")+(AG2812&lt;&gt;"")+(AL2812&lt;&gt;""))</f>
        <v/>
      </c>
      <c r="AP2812" s="82" t="str">
        <f aca="false">IF(AL2812&lt;&gt;"",AL2812,IF(AG2812&lt;&gt;"",AG2812,IF(AA2812&lt;&gt;"",AA2812,"")))</f>
        <v/>
      </c>
      <c r="AQ2812" s="84" t="str">
        <f aca="false">IF(E2812="","",IF(U2812="","À SOUDER",IF(X2812="","VT EN ATTENTE",IF(X2812="R","VT REJETÉ – À REPRENDRE",IF(AP2812="","À RADIOGRAPHIER",IF(AP2812="A","ACCEPTÉ",IF(AP2812="NX","NX – RT À REFAIRE",IF(IF(AO2812=1,AD2812,IF(AO2812=2,AI2812,""))="A","RÉPARÉ – À RADIOGRAPHIER",IF(IF(AO2812=1,AD2812,IF(AO2812=2,AI2812,""))="R","VT REJETÉ – À REPRENDRE",IF(OR(AP2812="CO",AP2812="NT"),"COUPE – À RESOUDER","À RÉPARER"))))))))))</f>
        <v/>
      </c>
      <c r="AR2812" s="82" t="str">
        <f aca="false">IF(AND(ISNUMBER(U2812),OR(AQ2812="À RADIOGRAPHIER",AQ2812="RÉPARÉ – À RADIOGRAPHIER",AQ2812="NX – RT À REFAIRE",AQ2812="À RÉPARER",AQ2812="COUPE – À RESOUDER",AQ2812="VT REJETÉ – À REPRENDRE")),MAX(0,'PROGRAMME RT'!$C$4-U2812),"")</f>
        <v/>
      </c>
      <c r="AS2812" s="82" t="n">
        <f aca="false">IF(AND(OR(AQ2812="À RADIOGRAPHIER",AQ2812="RÉPARÉ – À RADIOGRAPHIER",AQ2812="NX – RT À REFAIRE"),OR('PROGRAMME RT'!$D$5="TOUTES",B2812='PROGRAMME RT'!$D$5)),1,0)</f>
        <v>0</v>
      </c>
      <c r="AT2812" s="82" t="str">
        <f aca="false">IF(AS2812=1,SUM(AS$7:AS2812),"")</f>
        <v/>
      </c>
      <c r="AU2812" s="82" t="n">
        <f aca="false">IF(AND(OR(AA2812="R",AA2812="NX",AA2812="NT",AA2812="CO"),OR('JOINTS DE RÉPARATION'!$D$5="TOUTES",B2812='JOINTS DE RÉPARATION'!$D$5),OR('JOINTS DE RÉPARATION'!$L$4="TOUS",AQ2812&lt;&gt;"ACCEPTÉ")),1,0)</f>
        <v>0</v>
      </c>
      <c r="AV2812" s="82" t="str">
        <f aca="false">IF(AU2812=1,SUM(AU$7:AU2812),"")</f>
        <v/>
      </c>
      <c r="AW2812" s="82" t="str">
        <f aca="false">IF(E2812="","",B2812&amp;"|"&amp;E2812)</f>
        <v/>
      </c>
    </row>
    <row r="2813" customFormat="false" ht="15" hidden="false" customHeight="false" outlineLevel="0" collapsed="false">
      <c r="A2813" s="79" t="str">
        <f aca="false">IF(E2813="","",ROW()-6)</f>
        <v/>
      </c>
      <c r="B2813" s="80"/>
      <c r="C2813" s="81"/>
      <c r="D2813" s="81"/>
      <c r="E2813" s="81"/>
      <c r="F2813" s="82" t="str">
        <f aca="false">IF(E2813="","",IF(LEFT(E2813,2)="DJ","DJ","JN"))</f>
        <v/>
      </c>
      <c r="G2813" s="81"/>
      <c r="H2813" s="81"/>
      <c r="I2813" s="81"/>
      <c r="J2813" s="81"/>
      <c r="K2813" s="81"/>
      <c r="L2813" s="81"/>
      <c r="M2813" s="81"/>
      <c r="N2813" s="81"/>
      <c r="O2813" s="81"/>
      <c r="P2813" s="81"/>
      <c r="Q2813" s="81"/>
      <c r="R2813" s="81"/>
      <c r="S2813" s="81"/>
      <c r="T2813" s="81"/>
      <c r="U2813" s="83"/>
      <c r="V2813" s="83"/>
      <c r="W2813" s="81"/>
      <c r="X2813" s="81"/>
      <c r="Y2813" s="83"/>
      <c r="Z2813" s="81"/>
      <c r="AA2813" s="81"/>
      <c r="AB2813" s="81"/>
      <c r="AC2813" s="81"/>
      <c r="AD2813" s="81"/>
      <c r="AE2813" s="83"/>
      <c r="AF2813" s="81"/>
      <c r="AG2813" s="81"/>
      <c r="AH2813" s="81"/>
      <c r="AI2813" s="81"/>
      <c r="AJ2813" s="83"/>
      <c r="AK2813" s="81"/>
      <c r="AL2813" s="81"/>
      <c r="AM2813" s="83"/>
      <c r="AN2813" s="80"/>
      <c r="AO2813" s="82" t="str">
        <f aca="false">IF(E2813="","",(AA2813&lt;&gt;"")+(AG2813&lt;&gt;"")+(AL2813&lt;&gt;""))</f>
        <v/>
      </c>
      <c r="AP2813" s="82" t="str">
        <f aca="false">IF(AL2813&lt;&gt;"",AL2813,IF(AG2813&lt;&gt;"",AG2813,IF(AA2813&lt;&gt;"",AA2813,"")))</f>
        <v/>
      </c>
      <c r="AQ2813" s="84" t="str">
        <f aca="false">IF(E2813="","",IF(U2813="","À SOUDER",IF(X2813="","VT EN ATTENTE",IF(X2813="R","VT REJETÉ – À REPRENDRE",IF(AP2813="","À RADIOGRAPHIER",IF(AP2813="A","ACCEPTÉ",IF(AP2813="NX","NX – RT À REFAIRE",IF(IF(AO2813=1,AD2813,IF(AO2813=2,AI2813,""))="A","RÉPARÉ – À RADIOGRAPHIER",IF(IF(AO2813=1,AD2813,IF(AO2813=2,AI2813,""))="R","VT REJETÉ – À REPRENDRE",IF(OR(AP2813="CO",AP2813="NT"),"COUPE – À RESOUDER","À RÉPARER"))))))))))</f>
        <v/>
      </c>
      <c r="AR2813" s="82" t="str">
        <f aca="false">IF(AND(ISNUMBER(U2813),OR(AQ2813="À RADIOGRAPHIER",AQ2813="RÉPARÉ – À RADIOGRAPHIER",AQ2813="NX – RT À REFAIRE",AQ2813="À RÉPARER",AQ2813="COUPE – À RESOUDER",AQ2813="VT REJETÉ – À REPRENDRE")),MAX(0,'PROGRAMME RT'!$C$4-U2813),"")</f>
        <v/>
      </c>
      <c r="AS2813" s="82" t="n">
        <f aca="false">IF(AND(OR(AQ2813="À RADIOGRAPHIER",AQ2813="RÉPARÉ – À RADIOGRAPHIER",AQ2813="NX – RT À REFAIRE"),OR('PROGRAMME RT'!$D$5="TOUTES",B2813='PROGRAMME RT'!$D$5)),1,0)</f>
        <v>0</v>
      </c>
      <c r="AT2813" s="82" t="str">
        <f aca="false">IF(AS2813=1,SUM(AS$7:AS2813),"")</f>
        <v/>
      </c>
      <c r="AU2813" s="82" t="n">
        <f aca="false">IF(AND(OR(AA2813="R",AA2813="NX",AA2813="NT",AA2813="CO"),OR('JOINTS DE RÉPARATION'!$D$5="TOUTES",B2813='JOINTS DE RÉPARATION'!$D$5),OR('JOINTS DE RÉPARATION'!$L$4="TOUS",AQ2813&lt;&gt;"ACCEPTÉ")),1,0)</f>
        <v>0</v>
      </c>
      <c r="AV2813" s="82" t="str">
        <f aca="false">IF(AU2813=1,SUM(AU$7:AU2813),"")</f>
        <v/>
      </c>
      <c r="AW2813" s="82" t="str">
        <f aca="false">IF(E2813="","",B2813&amp;"|"&amp;E2813)</f>
        <v/>
      </c>
    </row>
    <row r="2814" customFormat="false" ht="15" hidden="false" customHeight="false" outlineLevel="0" collapsed="false">
      <c r="A2814" s="79" t="str">
        <f aca="false">IF(E2814="","",ROW()-6)</f>
        <v/>
      </c>
      <c r="B2814" s="80"/>
      <c r="C2814" s="81"/>
      <c r="D2814" s="81"/>
      <c r="E2814" s="81"/>
      <c r="F2814" s="82" t="str">
        <f aca="false">IF(E2814="","",IF(LEFT(E2814,2)="DJ","DJ","JN"))</f>
        <v/>
      </c>
      <c r="G2814" s="81"/>
      <c r="H2814" s="81"/>
      <c r="I2814" s="81"/>
      <c r="J2814" s="81"/>
      <c r="K2814" s="81"/>
      <c r="L2814" s="81"/>
      <c r="M2814" s="81"/>
      <c r="N2814" s="81"/>
      <c r="O2814" s="81"/>
      <c r="P2814" s="81"/>
      <c r="Q2814" s="81"/>
      <c r="R2814" s="81"/>
      <c r="S2814" s="81"/>
      <c r="T2814" s="81"/>
      <c r="U2814" s="83"/>
      <c r="V2814" s="83"/>
      <c r="W2814" s="81"/>
      <c r="X2814" s="81"/>
      <c r="Y2814" s="83"/>
      <c r="Z2814" s="81"/>
      <c r="AA2814" s="81"/>
      <c r="AB2814" s="81"/>
      <c r="AC2814" s="81"/>
      <c r="AD2814" s="81"/>
      <c r="AE2814" s="83"/>
      <c r="AF2814" s="81"/>
      <c r="AG2814" s="81"/>
      <c r="AH2814" s="81"/>
      <c r="AI2814" s="81"/>
      <c r="AJ2814" s="83"/>
      <c r="AK2814" s="81"/>
      <c r="AL2814" s="81"/>
      <c r="AM2814" s="83"/>
      <c r="AN2814" s="80"/>
      <c r="AO2814" s="82" t="str">
        <f aca="false">IF(E2814="","",(AA2814&lt;&gt;"")+(AG2814&lt;&gt;"")+(AL2814&lt;&gt;""))</f>
        <v/>
      </c>
      <c r="AP2814" s="82" t="str">
        <f aca="false">IF(AL2814&lt;&gt;"",AL2814,IF(AG2814&lt;&gt;"",AG2814,IF(AA2814&lt;&gt;"",AA2814,"")))</f>
        <v/>
      </c>
      <c r="AQ2814" s="84" t="str">
        <f aca="false">IF(E2814="","",IF(U2814="","À SOUDER",IF(X2814="","VT EN ATTENTE",IF(X2814="R","VT REJETÉ – À REPRENDRE",IF(AP2814="","À RADIOGRAPHIER",IF(AP2814="A","ACCEPTÉ",IF(AP2814="NX","NX – RT À REFAIRE",IF(IF(AO2814=1,AD2814,IF(AO2814=2,AI2814,""))="A","RÉPARÉ – À RADIOGRAPHIER",IF(IF(AO2814=1,AD2814,IF(AO2814=2,AI2814,""))="R","VT REJETÉ – À REPRENDRE",IF(OR(AP2814="CO",AP2814="NT"),"COUPE – À RESOUDER","À RÉPARER"))))))))))</f>
        <v/>
      </c>
      <c r="AR2814" s="82" t="str">
        <f aca="false">IF(AND(ISNUMBER(U2814),OR(AQ2814="À RADIOGRAPHIER",AQ2814="RÉPARÉ – À RADIOGRAPHIER",AQ2814="NX – RT À REFAIRE",AQ2814="À RÉPARER",AQ2814="COUPE – À RESOUDER",AQ2814="VT REJETÉ – À REPRENDRE")),MAX(0,'PROGRAMME RT'!$C$4-U2814),"")</f>
        <v/>
      </c>
      <c r="AS2814" s="82" t="n">
        <f aca="false">IF(AND(OR(AQ2814="À RADIOGRAPHIER",AQ2814="RÉPARÉ – À RADIOGRAPHIER",AQ2814="NX – RT À REFAIRE"),OR('PROGRAMME RT'!$D$5="TOUTES",B2814='PROGRAMME RT'!$D$5)),1,0)</f>
        <v>0</v>
      </c>
      <c r="AT2814" s="82" t="str">
        <f aca="false">IF(AS2814=1,SUM(AS$7:AS2814),"")</f>
        <v/>
      </c>
      <c r="AU2814" s="82" t="n">
        <f aca="false">IF(AND(OR(AA2814="R",AA2814="NX",AA2814="NT",AA2814="CO"),OR('JOINTS DE RÉPARATION'!$D$5="TOUTES",B2814='JOINTS DE RÉPARATION'!$D$5),OR('JOINTS DE RÉPARATION'!$L$4="TOUS",AQ2814&lt;&gt;"ACCEPTÉ")),1,0)</f>
        <v>0</v>
      </c>
      <c r="AV2814" s="82" t="str">
        <f aca="false">IF(AU2814=1,SUM(AU$7:AU2814),"")</f>
        <v/>
      </c>
      <c r="AW2814" s="82" t="str">
        <f aca="false">IF(E2814="","",B2814&amp;"|"&amp;E2814)</f>
        <v/>
      </c>
    </row>
    <row r="2815" customFormat="false" ht="15" hidden="false" customHeight="false" outlineLevel="0" collapsed="false">
      <c r="A2815" s="79" t="str">
        <f aca="false">IF(E2815="","",ROW()-6)</f>
        <v/>
      </c>
      <c r="B2815" s="80"/>
      <c r="C2815" s="81"/>
      <c r="D2815" s="81"/>
      <c r="E2815" s="81"/>
      <c r="F2815" s="82" t="str">
        <f aca="false">IF(E2815="","",IF(LEFT(E2815,2)="DJ","DJ","JN"))</f>
        <v/>
      </c>
      <c r="G2815" s="81"/>
      <c r="H2815" s="81"/>
      <c r="I2815" s="81"/>
      <c r="J2815" s="81"/>
      <c r="K2815" s="81"/>
      <c r="L2815" s="81"/>
      <c r="M2815" s="81"/>
      <c r="N2815" s="81"/>
      <c r="O2815" s="81"/>
      <c r="P2815" s="81"/>
      <c r="Q2815" s="81"/>
      <c r="R2815" s="81"/>
      <c r="S2815" s="81"/>
      <c r="T2815" s="81"/>
      <c r="U2815" s="83"/>
      <c r="V2815" s="83"/>
      <c r="W2815" s="81"/>
      <c r="X2815" s="81"/>
      <c r="Y2815" s="83"/>
      <c r="Z2815" s="81"/>
      <c r="AA2815" s="81"/>
      <c r="AB2815" s="81"/>
      <c r="AC2815" s="81"/>
      <c r="AD2815" s="81"/>
      <c r="AE2815" s="83"/>
      <c r="AF2815" s="81"/>
      <c r="AG2815" s="81"/>
      <c r="AH2815" s="81"/>
      <c r="AI2815" s="81"/>
      <c r="AJ2815" s="83"/>
      <c r="AK2815" s="81"/>
      <c r="AL2815" s="81"/>
      <c r="AM2815" s="83"/>
      <c r="AN2815" s="80"/>
      <c r="AO2815" s="82" t="str">
        <f aca="false">IF(E2815="","",(AA2815&lt;&gt;"")+(AG2815&lt;&gt;"")+(AL2815&lt;&gt;""))</f>
        <v/>
      </c>
      <c r="AP2815" s="82" t="str">
        <f aca="false">IF(AL2815&lt;&gt;"",AL2815,IF(AG2815&lt;&gt;"",AG2815,IF(AA2815&lt;&gt;"",AA2815,"")))</f>
        <v/>
      </c>
      <c r="AQ2815" s="84" t="str">
        <f aca="false">IF(E2815="","",IF(U2815="","À SOUDER",IF(X2815="","VT EN ATTENTE",IF(X2815="R","VT REJETÉ – À REPRENDRE",IF(AP2815="","À RADIOGRAPHIER",IF(AP2815="A","ACCEPTÉ",IF(AP2815="NX","NX – RT À REFAIRE",IF(IF(AO2815=1,AD2815,IF(AO2815=2,AI2815,""))="A","RÉPARÉ – À RADIOGRAPHIER",IF(IF(AO2815=1,AD2815,IF(AO2815=2,AI2815,""))="R","VT REJETÉ – À REPRENDRE",IF(OR(AP2815="CO",AP2815="NT"),"COUPE – À RESOUDER","À RÉPARER"))))))))))</f>
        <v/>
      </c>
      <c r="AR2815" s="82" t="str">
        <f aca="false">IF(AND(ISNUMBER(U2815),OR(AQ2815="À RADIOGRAPHIER",AQ2815="RÉPARÉ – À RADIOGRAPHIER",AQ2815="NX – RT À REFAIRE",AQ2815="À RÉPARER",AQ2815="COUPE – À RESOUDER",AQ2815="VT REJETÉ – À REPRENDRE")),MAX(0,'PROGRAMME RT'!$C$4-U2815),"")</f>
        <v/>
      </c>
      <c r="AS2815" s="82" t="n">
        <f aca="false">IF(AND(OR(AQ2815="À RADIOGRAPHIER",AQ2815="RÉPARÉ – À RADIOGRAPHIER",AQ2815="NX – RT À REFAIRE"),OR('PROGRAMME RT'!$D$5="TOUTES",B2815='PROGRAMME RT'!$D$5)),1,0)</f>
        <v>0</v>
      </c>
      <c r="AT2815" s="82" t="str">
        <f aca="false">IF(AS2815=1,SUM(AS$7:AS2815),"")</f>
        <v/>
      </c>
      <c r="AU2815" s="82" t="n">
        <f aca="false">IF(AND(OR(AA2815="R",AA2815="NX",AA2815="NT",AA2815="CO"),OR('JOINTS DE RÉPARATION'!$D$5="TOUTES",B2815='JOINTS DE RÉPARATION'!$D$5),OR('JOINTS DE RÉPARATION'!$L$4="TOUS",AQ2815&lt;&gt;"ACCEPTÉ")),1,0)</f>
        <v>0</v>
      </c>
      <c r="AV2815" s="82" t="str">
        <f aca="false">IF(AU2815=1,SUM(AU$7:AU2815),"")</f>
        <v/>
      </c>
      <c r="AW2815" s="82" t="str">
        <f aca="false">IF(E2815="","",B2815&amp;"|"&amp;E2815)</f>
        <v/>
      </c>
    </row>
    <row r="2816" customFormat="false" ht="15" hidden="false" customHeight="false" outlineLevel="0" collapsed="false">
      <c r="A2816" s="79" t="str">
        <f aca="false">IF(E2816="","",ROW()-6)</f>
        <v/>
      </c>
      <c r="B2816" s="80"/>
      <c r="C2816" s="81"/>
      <c r="D2816" s="81"/>
      <c r="E2816" s="81"/>
      <c r="F2816" s="82" t="str">
        <f aca="false">IF(E2816="","",IF(LEFT(E2816,2)="DJ","DJ","JN"))</f>
        <v/>
      </c>
      <c r="G2816" s="81"/>
      <c r="H2816" s="81"/>
      <c r="I2816" s="81"/>
      <c r="J2816" s="81"/>
      <c r="K2816" s="81"/>
      <c r="L2816" s="81"/>
      <c r="M2816" s="81"/>
      <c r="N2816" s="81"/>
      <c r="O2816" s="81"/>
      <c r="P2816" s="81"/>
      <c r="Q2816" s="81"/>
      <c r="R2816" s="81"/>
      <c r="S2816" s="81"/>
      <c r="T2816" s="81"/>
      <c r="U2816" s="83"/>
      <c r="V2816" s="83"/>
      <c r="W2816" s="81"/>
      <c r="X2816" s="81"/>
      <c r="Y2816" s="83"/>
      <c r="Z2816" s="81"/>
      <c r="AA2816" s="81"/>
      <c r="AB2816" s="81"/>
      <c r="AC2816" s="81"/>
      <c r="AD2816" s="81"/>
      <c r="AE2816" s="83"/>
      <c r="AF2816" s="81"/>
      <c r="AG2816" s="81"/>
      <c r="AH2816" s="81"/>
      <c r="AI2816" s="81"/>
      <c r="AJ2816" s="83"/>
      <c r="AK2816" s="81"/>
      <c r="AL2816" s="81"/>
      <c r="AM2816" s="83"/>
      <c r="AN2816" s="80"/>
      <c r="AO2816" s="82" t="str">
        <f aca="false">IF(E2816="","",(AA2816&lt;&gt;"")+(AG2816&lt;&gt;"")+(AL2816&lt;&gt;""))</f>
        <v/>
      </c>
      <c r="AP2816" s="82" t="str">
        <f aca="false">IF(AL2816&lt;&gt;"",AL2816,IF(AG2816&lt;&gt;"",AG2816,IF(AA2816&lt;&gt;"",AA2816,"")))</f>
        <v/>
      </c>
      <c r="AQ2816" s="84" t="str">
        <f aca="false">IF(E2816="","",IF(U2816="","À SOUDER",IF(X2816="","VT EN ATTENTE",IF(X2816="R","VT REJETÉ – À REPRENDRE",IF(AP2816="","À RADIOGRAPHIER",IF(AP2816="A","ACCEPTÉ",IF(AP2816="NX","NX – RT À REFAIRE",IF(IF(AO2816=1,AD2816,IF(AO2816=2,AI2816,""))="A","RÉPARÉ – À RADIOGRAPHIER",IF(IF(AO2816=1,AD2816,IF(AO2816=2,AI2816,""))="R","VT REJETÉ – À REPRENDRE",IF(OR(AP2816="CO",AP2816="NT"),"COUPE – À RESOUDER","À RÉPARER"))))))))))</f>
        <v/>
      </c>
      <c r="AR2816" s="82" t="str">
        <f aca="false">IF(AND(ISNUMBER(U2816),OR(AQ2816="À RADIOGRAPHIER",AQ2816="RÉPARÉ – À RADIOGRAPHIER",AQ2816="NX – RT À REFAIRE",AQ2816="À RÉPARER",AQ2816="COUPE – À RESOUDER",AQ2816="VT REJETÉ – À REPRENDRE")),MAX(0,'PROGRAMME RT'!$C$4-U2816),"")</f>
        <v/>
      </c>
      <c r="AS2816" s="82" t="n">
        <f aca="false">IF(AND(OR(AQ2816="À RADIOGRAPHIER",AQ2816="RÉPARÉ – À RADIOGRAPHIER",AQ2816="NX – RT À REFAIRE"),OR('PROGRAMME RT'!$D$5="TOUTES",B2816='PROGRAMME RT'!$D$5)),1,0)</f>
        <v>0</v>
      </c>
      <c r="AT2816" s="82" t="str">
        <f aca="false">IF(AS2816=1,SUM(AS$7:AS2816),"")</f>
        <v/>
      </c>
      <c r="AU2816" s="82" t="n">
        <f aca="false">IF(AND(OR(AA2816="R",AA2816="NX",AA2816="NT",AA2816="CO"),OR('JOINTS DE RÉPARATION'!$D$5="TOUTES",B2816='JOINTS DE RÉPARATION'!$D$5),OR('JOINTS DE RÉPARATION'!$L$4="TOUS",AQ2816&lt;&gt;"ACCEPTÉ")),1,0)</f>
        <v>0</v>
      </c>
      <c r="AV2816" s="82" t="str">
        <f aca="false">IF(AU2816=1,SUM(AU$7:AU2816),"")</f>
        <v/>
      </c>
      <c r="AW2816" s="82" t="str">
        <f aca="false">IF(E2816="","",B2816&amp;"|"&amp;E2816)</f>
        <v/>
      </c>
    </row>
    <row r="2817" customFormat="false" ht="15" hidden="false" customHeight="false" outlineLevel="0" collapsed="false">
      <c r="A2817" s="79" t="str">
        <f aca="false">IF(E2817="","",ROW()-6)</f>
        <v/>
      </c>
      <c r="B2817" s="80"/>
      <c r="C2817" s="81"/>
      <c r="D2817" s="81"/>
      <c r="E2817" s="81"/>
      <c r="F2817" s="82" t="str">
        <f aca="false">IF(E2817="","",IF(LEFT(E2817,2)="DJ","DJ","JN"))</f>
        <v/>
      </c>
      <c r="G2817" s="81"/>
      <c r="H2817" s="81"/>
      <c r="I2817" s="81"/>
      <c r="J2817" s="81"/>
      <c r="K2817" s="81"/>
      <c r="L2817" s="81"/>
      <c r="M2817" s="81"/>
      <c r="N2817" s="81"/>
      <c r="O2817" s="81"/>
      <c r="P2817" s="81"/>
      <c r="Q2817" s="81"/>
      <c r="R2817" s="81"/>
      <c r="S2817" s="81"/>
      <c r="T2817" s="81"/>
      <c r="U2817" s="83"/>
      <c r="V2817" s="83"/>
      <c r="W2817" s="81"/>
      <c r="X2817" s="81"/>
      <c r="Y2817" s="83"/>
      <c r="Z2817" s="81"/>
      <c r="AA2817" s="81"/>
      <c r="AB2817" s="81"/>
      <c r="AC2817" s="81"/>
      <c r="AD2817" s="81"/>
      <c r="AE2817" s="83"/>
      <c r="AF2817" s="81"/>
      <c r="AG2817" s="81"/>
      <c r="AH2817" s="81"/>
      <c r="AI2817" s="81"/>
      <c r="AJ2817" s="83"/>
      <c r="AK2817" s="81"/>
      <c r="AL2817" s="81"/>
      <c r="AM2817" s="83"/>
      <c r="AN2817" s="80"/>
      <c r="AO2817" s="82" t="str">
        <f aca="false">IF(E2817="","",(AA2817&lt;&gt;"")+(AG2817&lt;&gt;"")+(AL2817&lt;&gt;""))</f>
        <v/>
      </c>
      <c r="AP2817" s="82" t="str">
        <f aca="false">IF(AL2817&lt;&gt;"",AL2817,IF(AG2817&lt;&gt;"",AG2817,IF(AA2817&lt;&gt;"",AA2817,"")))</f>
        <v/>
      </c>
      <c r="AQ2817" s="84" t="str">
        <f aca="false">IF(E2817="","",IF(U2817="","À SOUDER",IF(X2817="","VT EN ATTENTE",IF(X2817="R","VT REJETÉ – À REPRENDRE",IF(AP2817="","À RADIOGRAPHIER",IF(AP2817="A","ACCEPTÉ",IF(AP2817="NX","NX – RT À REFAIRE",IF(IF(AO2817=1,AD2817,IF(AO2817=2,AI2817,""))="A","RÉPARÉ – À RADIOGRAPHIER",IF(IF(AO2817=1,AD2817,IF(AO2817=2,AI2817,""))="R","VT REJETÉ – À REPRENDRE",IF(OR(AP2817="CO",AP2817="NT"),"COUPE – À RESOUDER","À RÉPARER"))))))))))</f>
        <v/>
      </c>
      <c r="AR2817" s="82" t="str">
        <f aca="false">IF(AND(ISNUMBER(U2817),OR(AQ2817="À RADIOGRAPHIER",AQ2817="RÉPARÉ – À RADIOGRAPHIER",AQ2817="NX – RT À REFAIRE",AQ2817="À RÉPARER",AQ2817="COUPE – À RESOUDER",AQ2817="VT REJETÉ – À REPRENDRE")),MAX(0,'PROGRAMME RT'!$C$4-U2817),"")</f>
        <v/>
      </c>
      <c r="AS2817" s="82" t="n">
        <f aca="false">IF(AND(OR(AQ2817="À RADIOGRAPHIER",AQ2817="RÉPARÉ – À RADIOGRAPHIER",AQ2817="NX – RT À REFAIRE"),OR('PROGRAMME RT'!$D$5="TOUTES",B2817='PROGRAMME RT'!$D$5)),1,0)</f>
        <v>0</v>
      </c>
      <c r="AT2817" s="82" t="str">
        <f aca="false">IF(AS2817=1,SUM(AS$7:AS2817),"")</f>
        <v/>
      </c>
      <c r="AU2817" s="82" t="n">
        <f aca="false">IF(AND(OR(AA2817="R",AA2817="NX",AA2817="NT",AA2817="CO"),OR('JOINTS DE RÉPARATION'!$D$5="TOUTES",B2817='JOINTS DE RÉPARATION'!$D$5),OR('JOINTS DE RÉPARATION'!$L$4="TOUS",AQ2817&lt;&gt;"ACCEPTÉ")),1,0)</f>
        <v>0</v>
      </c>
      <c r="AV2817" s="82" t="str">
        <f aca="false">IF(AU2817=1,SUM(AU$7:AU2817),"")</f>
        <v/>
      </c>
      <c r="AW2817" s="82" t="str">
        <f aca="false">IF(E2817="","",B2817&amp;"|"&amp;E2817)</f>
        <v/>
      </c>
    </row>
    <row r="2818" customFormat="false" ht="15" hidden="false" customHeight="false" outlineLevel="0" collapsed="false">
      <c r="A2818" s="79" t="str">
        <f aca="false">IF(E2818="","",ROW()-6)</f>
        <v/>
      </c>
      <c r="B2818" s="80"/>
      <c r="C2818" s="81"/>
      <c r="D2818" s="81"/>
      <c r="E2818" s="81"/>
      <c r="F2818" s="82" t="str">
        <f aca="false">IF(E2818="","",IF(LEFT(E2818,2)="DJ","DJ","JN"))</f>
        <v/>
      </c>
      <c r="G2818" s="81"/>
      <c r="H2818" s="81"/>
      <c r="I2818" s="81"/>
      <c r="J2818" s="81"/>
      <c r="K2818" s="81"/>
      <c r="L2818" s="81"/>
      <c r="M2818" s="81"/>
      <c r="N2818" s="81"/>
      <c r="O2818" s="81"/>
      <c r="P2818" s="81"/>
      <c r="Q2818" s="81"/>
      <c r="R2818" s="81"/>
      <c r="S2818" s="81"/>
      <c r="T2818" s="81"/>
      <c r="U2818" s="83"/>
      <c r="V2818" s="83"/>
      <c r="W2818" s="81"/>
      <c r="X2818" s="81"/>
      <c r="Y2818" s="83"/>
      <c r="Z2818" s="81"/>
      <c r="AA2818" s="81"/>
      <c r="AB2818" s="81"/>
      <c r="AC2818" s="81"/>
      <c r="AD2818" s="81"/>
      <c r="AE2818" s="83"/>
      <c r="AF2818" s="81"/>
      <c r="AG2818" s="81"/>
      <c r="AH2818" s="81"/>
      <c r="AI2818" s="81"/>
      <c r="AJ2818" s="83"/>
      <c r="AK2818" s="81"/>
      <c r="AL2818" s="81"/>
      <c r="AM2818" s="83"/>
      <c r="AN2818" s="80"/>
      <c r="AO2818" s="82" t="str">
        <f aca="false">IF(E2818="","",(AA2818&lt;&gt;"")+(AG2818&lt;&gt;"")+(AL2818&lt;&gt;""))</f>
        <v/>
      </c>
      <c r="AP2818" s="82" t="str">
        <f aca="false">IF(AL2818&lt;&gt;"",AL2818,IF(AG2818&lt;&gt;"",AG2818,IF(AA2818&lt;&gt;"",AA2818,"")))</f>
        <v/>
      </c>
      <c r="AQ2818" s="84" t="str">
        <f aca="false">IF(E2818="","",IF(U2818="","À SOUDER",IF(X2818="","VT EN ATTENTE",IF(X2818="R","VT REJETÉ – À REPRENDRE",IF(AP2818="","À RADIOGRAPHIER",IF(AP2818="A","ACCEPTÉ",IF(AP2818="NX","NX – RT À REFAIRE",IF(IF(AO2818=1,AD2818,IF(AO2818=2,AI2818,""))="A","RÉPARÉ – À RADIOGRAPHIER",IF(IF(AO2818=1,AD2818,IF(AO2818=2,AI2818,""))="R","VT REJETÉ – À REPRENDRE",IF(OR(AP2818="CO",AP2818="NT"),"COUPE – À RESOUDER","À RÉPARER"))))))))))</f>
        <v/>
      </c>
      <c r="AR2818" s="82" t="str">
        <f aca="false">IF(AND(ISNUMBER(U2818),OR(AQ2818="À RADIOGRAPHIER",AQ2818="RÉPARÉ – À RADIOGRAPHIER",AQ2818="NX – RT À REFAIRE",AQ2818="À RÉPARER",AQ2818="COUPE – À RESOUDER",AQ2818="VT REJETÉ – À REPRENDRE")),MAX(0,'PROGRAMME RT'!$C$4-U2818),"")</f>
        <v/>
      </c>
      <c r="AS2818" s="82" t="n">
        <f aca="false">IF(AND(OR(AQ2818="À RADIOGRAPHIER",AQ2818="RÉPARÉ – À RADIOGRAPHIER",AQ2818="NX – RT À REFAIRE"),OR('PROGRAMME RT'!$D$5="TOUTES",B2818='PROGRAMME RT'!$D$5)),1,0)</f>
        <v>0</v>
      </c>
      <c r="AT2818" s="82" t="str">
        <f aca="false">IF(AS2818=1,SUM(AS$7:AS2818),"")</f>
        <v/>
      </c>
      <c r="AU2818" s="82" t="n">
        <f aca="false">IF(AND(OR(AA2818="R",AA2818="NX",AA2818="NT",AA2818="CO"),OR('JOINTS DE RÉPARATION'!$D$5="TOUTES",B2818='JOINTS DE RÉPARATION'!$D$5),OR('JOINTS DE RÉPARATION'!$L$4="TOUS",AQ2818&lt;&gt;"ACCEPTÉ")),1,0)</f>
        <v>0</v>
      </c>
      <c r="AV2818" s="82" t="str">
        <f aca="false">IF(AU2818=1,SUM(AU$7:AU2818),"")</f>
        <v/>
      </c>
      <c r="AW2818" s="82" t="str">
        <f aca="false">IF(E2818="","",B2818&amp;"|"&amp;E2818)</f>
        <v/>
      </c>
    </row>
    <row r="2819" customFormat="false" ht="15" hidden="false" customHeight="false" outlineLevel="0" collapsed="false">
      <c r="A2819" s="79" t="str">
        <f aca="false">IF(E2819="","",ROW()-6)</f>
        <v/>
      </c>
      <c r="B2819" s="80"/>
      <c r="C2819" s="81"/>
      <c r="D2819" s="81"/>
      <c r="E2819" s="81"/>
      <c r="F2819" s="82" t="str">
        <f aca="false">IF(E2819="","",IF(LEFT(E2819,2)="DJ","DJ","JN"))</f>
        <v/>
      </c>
      <c r="G2819" s="81"/>
      <c r="H2819" s="81"/>
      <c r="I2819" s="81"/>
      <c r="J2819" s="81"/>
      <c r="K2819" s="81"/>
      <c r="L2819" s="81"/>
      <c r="M2819" s="81"/>
      <c r="N2819" s="81"/>
      <c r="O2819" s="81"/>
      <c r="P2819" s="81"/>
      <c r="Q2819" s="81"/>
      <c r="R2819" s="81"/>
      <c r="S2819" s="81"/>
      <c r="T2819" s="81"/>
      <c r="U2819" s="83"/>
      <c r="V2819" s="83"/>
      <c r="W2819" s="81"/>
      <c r="X2819" s="81"/>
      <c r="Y2819" s="83"/>
      <c r="Z2819" s="81"/>
      <c r="AA2819" s="81"/>
      <c r="AB2819" s="81"/>
      <c r="AC2819" s="81"/>
      <c r="AD2819" s="81"/>
      <c r="AE2819" s="83"/>
      <c r="AF2819" s="81"/>
      <c r="AG2819" s="81"/>
      <c r="AH2819" s="81"/>
      <c r="AI2819" s="81"/>
      <c r="AJ2819" s="83"/>
      <c r="AK2819" s="81"/>
      <c r="AL2819" s="81"/>
      <c r="AM2819" s="83"/>
      <c r="AN2819" s="80"/>
      <c r="AO2819" s="82" t="str">
        <f aca="false">IF(E2819="","",(AA2819&lt;&gt;"")+(AG2819&lt;&gt;"")+(AL2819&lt;&gt;""))</f>
        <v/>
      </c>
      <c r="AP2819" s="82" t="str">
        <f aca="false">IF(AL2819&lt;&gt;"",AL2819,IF(AG2819&lt;&gt;"",AG2819,IF(AA2819&lt;&gt;"",AA2819,"")))</f>
        <v/>
      </c>
      <c r="AQ2819" s="84" t="str">
        <f aca="false">IF(E2819="","",IF(U2819="","À SOUDER",IF(X2819="","VT EN ATTENTE",IF(X2819="R","VT REJETÉ – À REPRENDRE",IF(AP2819="","À RADIOGRAPHIER",IF(AP2819="A","ACCEPTÉ",IF(AP2819="NX","NX – RT À REFAIRE",IF(IF(AO2819=1,AD2819,IF(AO2819=2,AI2819,""))="A","RÉPARÉ – À RADIOGRAPHIER",IF(IF(AO2819=1,AD2819,IF(AO2819=2,AI2819,""))="R","VT REJETÉ – À REPRENDRE",IF(OR(AP2819="CO",AP2819="NT"),"COUPE – À RESOUDER","À RÉPARER"))))))))))</f>
        <v/>
      </c>
      <c r="AR2819" s="82" t="str">
        <f aca="false">IF(AND(ISNUMBER(U2819),OR(AQ2819="À RADIOGRAPHIER",AQ2819="RÉPARÉ – À RADIOGRAPHIER",AQ2819="NX – RT À REFAIRE",AQ2819="À RÉPARER",AQ2819="COUPE – À RESOUDER",AQ2819="VT REJETÉ – À REPRENDRE")),MAX(0,'PROGRAMME RT'!$C$4-U2819),"")</f>
        <v/>
      </c>
      <c r="AS2819" s="82" t="n">
        <f aca="false">IF(AND(OR(AQ2819="À RADIOGRAPHIER",AQ2819="RÉPARÉ – À RADIOGRAPHIER",AQ2819="NX – RT À REFAIRE"),OR('PROGRAMME RT'!$D$5="TOUTES",B2819='PROGRAMME RT'!$D$5)),1,0)</f>
        <v>0</v>
      </c>
      <c r="AT2819" s="82" t="str">
        <f aca="false">IF(AS2819=1,SUM(AS$7:AS2819),"")</f>
        <v/>
      </c>
      <c r="AU2819" s="82" t="n">
        <f aca="false">IF(AND(OR(AA2819="R",AA2819="NX",AA2819="NT",AA2819="CO"),OR('JOINTS DE RÉPARATION'!$D$5="TOUTES",B2819='JOINTS DE RÉPARATION'!$D$5),OR('JOINTS DE RÉPARATION'!$L$4="TOUS",AQ2819&lt;&gt;"ACCEPTÉ")),1,0)</f>
        <v>0</v>
      </c>
      <c r="AV2819" s="82" t="str">
        <f aca="false">IF(AU2819=1,SUM(AU$7:AU2819),"")</f>
        <v/>
      </c>
      <c r="AW2819" s="82" t="str">
        <f aca="false">IF(E2819="","",B2819&amp;"|"&amp;E2819)</f>
        <v/>
      </c>
    </row>
    <row r="2820" customFormat="false" ht="15" hidden="false" customHeight="false" outlineLevel="0" collapsed="false">
      <c r="A2820" s="79" t="str">
        <f aca="false">IF(E2820="","",ROW()-6)</f>
        <v/>
      </c>
      <c r="B2820" s="80"/>
      <c r="C2820" s="81"/>
      <c r="D2820" s="81"/>
      <c r="E2820" s="81"/>
      <c r="F2820" s="82" t="str">
        <f aca="false">IF(E2820="","",IF(LEFT(E2820,2)="DJ","DJ","JN"))</f>
        <v/>
      </c>
      <c r="G2820" s="81"/>
      <c r="H2820" s="81"/>
      <c r="I2820" s="81"/>
      <c r="J2820" s="81"/>
      <c r="K2820" s="81"/>
      <c r="L2820" s="81"/>
      <c r="M2820" s="81"/>
      <c r="N2820" s="81"/>
      <c r="O2820" s="81"/>
      <c r="P2820" s="81"/>
      <c r="Q2820" s="81"/>
      <c r="R2820" s="81"/>
      <c r="S2820" s="81"/>
      <c r="T2820" s="81"/>
      <c r="U2820" s="83"/>
      <c r="V2820" s="83"/>
      <c r="W2820" s="81"/>
      <c r="X2820" s="81"/>
      <c r="Y2820" s="83"/>
      <c r="Z2820" s="81"/>
      <c r="AA2820" s="81"/>
      <c r="AB2820" s="81"/>
      <c r="AC2820" s="81"/>
      <c r="AD2820" s="81"/>
      <c r="AE2820" s="83"/>
      <c r="AF2820" s="81"/>
      <c r="AG2820" s="81"/>
      <c r="AH2820" s="81"/>
      <c r="AI2820" s="81"/>
      <c r="AJ2820" s="83"/>
      <c r="AK2820" s="81"/>
      <c r="AL2820" s="81"/>
      <c r="AM2820" s="83"/>
      <c r="AN2820" s="80"/>
      <c r="AO2820" s="82" t="str">
        <f aca="false">IF(E2820="","",(AA2820&lt;&gt;"")+(AG2820&lt;&gt;"")+(AL2820&lt;&gt;""))</f>
        <v/>
      </c>
      <c r="AP2820" s="82" t="str">
        <f aca="false">IF(AL2820&lt;&gt;"",AL2820,IF(AG2820&lt;&gt;"",AG2820,IF(AA2820&lt;&gt;"",AA2820,"")))</f>
        <v/>
      </c>
      <c r="AQ2820" s="84" t="str">
        <f aca="false">IF(E2820="","",IF(U2820="","À SOUDER",IF(X2820="","VT EN ATTENTE",IF(X2820="R","VT REJETÉ – À REPRENDRE",IF(AP2820="","À RADIOGRAPHIER",IF(AP2820="A","ACCEPTÉ",IF(AP2820="NX","NX – RT À REFAIRE",IF(IF(AO2820=1,AD2820,IF(AO2820=2,AI2820,""))="A","RÉPARÉ – À RADIOGRAPHIER",IF(IF(AO2820=1,AD2820,IF(AO2820=2,AI2820,""))="R","VT REJETÉ – À REPRENDRE",IF(OR(AP2820="CO",AP2820="NT"),"COUPE – À RESOUDER","À RÉPARER"))))))))))</f>
        <v/>
      </c>
      <c r="AR2820" s="82" t="str">
        <f aca="false">IF(AND(ISNUMBER(U2820),OR(AQ2820="À RADIOGRAPHIER",AQ2820="RÉPARÉ – À RADIOGRAPHIER",AQ2820="NX – RT À REFAIRE",AQ2820="À RÉPARER",AQ2820="COUPE – À RESOUDER",AQ2820="VT REJETÉ – À REPRENDRE")),MAX(0,'PROGRAMME RT'!$C$4-U2820),"")</f>
        <v/>
      </c>
      <c r="AS2820" s="82" t="n">
        <f aca="false">IF(AND(OR(AQ2820="À RADIOGRAPHIER",AQ2820="RÉPARÉ – À RADIOGRAPHIER",AQ2820="NX – RT À REFAIRE"),OR('PROGRAMME RT'!$D$5="TOUTES",B2820='PROGRAMME RT'!$D$5)),1,0)</f>
        <v>0</v>
      </c>
      <c r="AT2820" s="82" t="str">
        <f aca="false">IF(AS2820=1,SUM(AS$7:AS2820),"")</f>
        <v/>
      </c>
      <c r="AU2820" s="82" t="n">
        <f aca="false">IF(AND(OR(AA2820="R",AA2820="NX",AA2820="NT",AA2820="CO"),OR('JOINTS DE RÉPARATION'!$D$5="TOUTES",B2820='JOINTS DE RÉPARATION'!$D$5),OR('JOINTS DE RÉPARATION'!$L$4="TOUS",AQ2820&lt;&gt;"ACCEPTÉ")),1,0)</f>
        <v>0</v>
      </c>
      <c r="AV2820" s="82" t="str">
        <f aca="false">IF(AU2820=1,SUM(AU$7:AU2820),"")</f>
        <v/>
      </c>
      <c r="AW2820" s="82" t="str">
        <f aca="false">IF(E2820="","",B2820&amp;"|"&amp;E2820)</f>
        <v/>
      </c>
    </row>
    <row r="2821" customFormat="false" ht="15" hidden="false" customHeight="false" outlineLevel="0" collapsed="false">
      <c r="A2821" s="79" t="str">
        <f aca="false">IF(E2821="","",ROW()-6)</f>
        <v/>
      </c>
      <c r="B2821" s="80"/>
      <c r="C2821" s="81"/>
      <c r="D2821" s="81"/>
      <c r="E2821" s="81"/>
      <c r="F2821" s="82" t="str">
        <f aca="false">IF(E2821="","",IF(LEFT(E2821,2)="DJ","DJ","JN"))</f>
        <v/>
      </c>
      <c r="G2821" s="81"/>
      <c r="H2821" s="81"/>
      <c r="I2821" s="81"/>
      <c r="J2821" s="81"/>
      <c r="K2821" s="81"/>
      <c r="L2821" s="81"/>
      <c r="M2821" s="81"/>
      <c r="N2821" s="81"/>
      <c r="O2821" s="81"/>
      <c r="P2821" s="81"/>
      <c r="Q2821" s="81"/>
      <c r="R2821" s="81"/>
      <c r="S2821" s="81"/>
      <c r="T2821" s="81"/>
      <c r="U2821" s="83"/>
      <c r="V2821" s="83"/>
      <c r="W2821" s="81"/>
      <c r="X2821" s="81"/>
      <c r="Y2821" s="83"/>
      <c r="Z2821" s="81"/>
      <c r="AA2821" s="81"/>
      <c r="AB2821" s="81"/>
      <c r="AC2821" s="81"/>
      <c r="AD2821" s="81"/>
      <c r="AE2821" s="83"/>
      <c r="AF2821" s="81"/>
      <c r="AG2821" s="81"/>
      <c r="AH2821" s="81"/>
      <c r="AI2821" s="81"/>
      <c r="AJ2821" s="83"/>
      <c r="AK2821" s="81"/>
      <c r="AL2821" s="81"/>
      <c r="AM2821" s="83"/>
      <c r="AN2821" s="80"/>
      <c r="AO2821" s="82" t="str">
        <f aca="false">IF(E2821="","",(AA2821&lt;&gt;"")+(AG2821&lt;&gt;"")+(AL2821&lt;&gt;""))</f>
        <v/>
      </c>
      <c r="AP2821" s="82" t="str">
        <f aca="false">IF(AL2821&lt;&gt;"",AL2821,IF(AG2821&lt;&gt;"",AG2821,IF(AA2821&lt;&gt;"",AA2821,"")))</f>
        <v/>
      </c>
      <c r="AQ2821" s="84" t="str">
        <f aca="false">IF(E2821="","",IF(U2821="","À SOUDER",IF(X2821="","VT EN ATTENTE",IF(X2821="R","VT REJETÉ – À REPRENDRE",IF(AP2821="","À RADIOGRAPHIER",IF(AP2821="A","ACCEPTÉ",IF(AP2821="NX","NX – RT À REFAIRE",IF(IF(AO2821=1,AD2821,IF(AO2821=2,AI2821,""))="A","RÉPARÉ – À RADIOGRAPHIER",IF(IF(AO2821=1,AD2821,IF(AO2821=2,AI2821,""))="R","VT REJETÉ – À REPRENDRE",IF(OR(AP2821="CO",AP2821="NT"),"COUPE – À RESOUDER","À RÉPARER"))))))))))</f>
        <v/>
      </c>
      <c r="AR2821" s="82" t="str">
        <f aca="false">IF(AND(ISNUMBER(U2821),OR(AQ2821="À RADIOGRAPHIER",AQ2821="RÉPARÉ – À RADIOGRAPHIER",AQ2821="NX – RT À REFAIRE",AQ2821="À RÉPARER",AQ2821="COUPE – À RESOUDER",AQ2821="VT REJETÉ – À REPRENDRE")),MAX(0,'PROGRAMME RT'!$C$4-U2821),"")</f>
        <v/>
      </c>
      <c r="AS2821" s="82" t="n">
        <f aca="false">IF(AND(OR(AQ2821="À RADIOGRAPHIER",AQ2821="RÉPARÉ – À RADIOGRAPHIER",AQ2821="NX – RT À REFAIRE"),OR('PROGRAMME RT'!$D$5="TOUTES",B2821='PROGRAMME RT'!$D$5)),1,0)</f>
        <v>0</v>
      </c>
      <c r="AT2821" s="82" t="str">
        <f aca="false">IF(AS2821=1,SUM(AS$7:AS2821),"")</f>
        <v/>
      </c>
      <c r="AU2821" s="82" t="n">
        <f aca="false">IF(AND(OR(AA2821="R",AA2821="NX",AA2821="NT",AA2821="CO"),OR('JOINTS DE RÉPARATION'!$D$5="TOUTES",B2821='JOINTS DE RÉPARATION'!$D$5),OR('JOINTS DE RÉPARATION'!$L$4="TOUS",AQ2821&lt;&gt;"ACCEPTÉ")),1,0)</f>
        <v>0</v>
      </c>
      <c r="AV2821" s="82" t="str">
        <f aca="false">IF(AU2821=1,SUM(AU$7:AU2821),"")</f>
        <v/>
      </c>
      <c r="AW2821" s="82" t="str">
        <f aca="false">IF(E2821="","",B2821&amp;"|"&amp;E2821)</f>
        <v/>
      </c>
    </row>
    <row r="2822" customFormat="false" ht="15" hidden="false" customHeight="false" outlineLevel="0" collapsed="false">
      <c r="A2822" s="79" t="str">
        <f aca="false">IF(E2822="","",ROW()-6)</f>
        <v/>
      </c>
      <c r="B2822" s="80"/>
      <c r="C2822" s="81"/>
      <c r="D2822" s="81"/>
      <c r="E2822" s="81"/>
      <c r="F2822" s="82" t="str">
        <f aca="false">IF(E2822="","",IF(LEFT(E2822,2)="DJ","DJ","JN"))</f>
        <v/>
      </c>
      <c r="G2822" s="81"/>
      <c r="H2822" s="81"/>
      <c r="I2822" s="81"/>
      <c r="J2822" s="81"/>
      <c r="K2822" s="81"/>
      <c r="L2822" s="81"/>
      <c r="M2822" s="81"/>
      <c r="N2822" s="81"/>
      <c r="O2822" s="81"/>
      <c r="P2822" s="81"/>
      <c r="Q2822" s="81"/>
      <c r="R2822" s="81"/>
      <c r="S2822" s="81"/>
      <c r="T2822" s="81"/>
      <c r="U2822" s="83"/>
      <c r="V2822" s="83"/>
      <c r="W2822" s="81"/>
      <c r="X2822" s="81"/>
      <c r="Y2822" s="83"/>
      <c r="Z2822" s="81"/>
      <c r="AA2822" s="81"/>
      <c r="AB2822" s="81"/>
      <c r="AC2822" s="81"/>
      <c r="AD2822" s="81"/>
      <c r="AE2822" s="83"/>
      <c r="AF2822" s="81"/>
      <c r="AG2822" s="81"/>
      <c r="AH2822" s="81"/>
      <c r="AI2822" s="81"/>
      <c r="AJ2822" s="83"/>
      <c r="AK2822" s="81"/>
      <c r="AL2822" s="81"/>
      <c r="AM2822" s="83"/>
      <c r="AN2822" s="80"/>
      <c r="AO2822" s="82" t="str">
        <f aca="false">IF(E2822="","",(AA2822&lt;&gt;"")+(AG2822&lt;&gt;"")+(AL2822&lt;&gt;""))</f>
        <v/>
      </c>
      <c r="AP2822" s="82" t="str">
        <f aca="false">IF(AL2822&lt;&gt;"",AL2822,IF(AG2822&lt;&gt;"",AG2822,IF(AA2822&lt;&gt;"",AA2822,"")))</f>
        <v/>
      </c>
      <c r="AQ2822" s="84" t="str">
        <f aca="false">IF(E2822="","",IF(U2822="","À SOUDER",IF(X2822="","VT EN ATTENTE",IF(X2822="R","VT REJETÉ – À REPRENDRE",IF(AP2822="","À RADIOGRAPHIER",IF(AP2822="A","ACCEPTÉ",IF(AP2822="NX","NX – RT À REFAIRE",IF(IF(AO2822=1,AD2822,IF(AO2822=2,AI2822,""))="A","RÉPARÉ – À RADIOGRAPHIER",IF(IF(AO2822=1,AD2822,IF(AO2822=2,AI2822,""))="R","VT REJETÉ – À REPRENDRE",IF(OR(AP2822="CO",AP2822="NT"),"COUPE – À RESOUDER","À RÉPARER"))))))))))</f>
        <v/>
      </c>
      <c r="AR2822" s="82" t="str">
        <f aca="false">IF(AND(ISNUMBER(U2822),OR(AQ2822="À RADIOGRAPHIER",AQ2822="RÉPARÉ – À RADIOGRAPHIER",AQ2822="NX – RT À REFAIRE",AQ2822="À RÉPARER",AQ2822="COUPE – À RESOUDER",AQ2822="VT REJETÉ – À REPRENDRE")),MAX(0,'PROGRAMME RT'!$C$4-U2822),"")</f>
        <v/>
      </c>
      <c r="AS2822" s="82" t="n">
        <f aca="false">IF(AND(OR(AQ2822="À RADIOGRAPHIER",AQ2822="RÉPARÉ – À RADIOGRAPHIER",AQ2822="NX – RT À REFAIRE"),OR('PROGRAMME RT'!$D$5="TOUTES",B2822='PROGRAMME RT'!$D$5)),1,0)</f>
        <v>0</v>
      </c>
      <c r="AT2822" s="82" t="str">
        <f aca="false">IF(AS2822=1,SUM(AS$7:AS2822),"")</f>
        <v/>
      </c>
      <c r="AU2822" s="82" t="n">
        <f aca="false">IF(AND(OR(AA2822="R",AA2822="NX",AA2822="NT",AA2822="CO"),OR('JOINTS DE RÉPARATION'!$D$5="TOUTES",B2822='JOINTS DE RÉPARATION'!$D$5),OR('JOINTS DE RÉPARATION'!$L$4="TOUS",AQ2822&lt;&gt;"ACCEPTÉ")),1,0)</f>
        <v>0</v>
      </c>
      <c r="AV2822" s="82" t="str">
        <f aca="false">IF(AU2822=1,SUM(AU$7:AU2822),"")</f>
        <v/>
      </c>
      <c r="AW2822" s="82" t="str">
        <f aca="false">IF(E2822="","",B2822&amp;"|"&amp;E2822)</f>
        <v/>
      </c>
    </row>
    <row r="2823" customFormat="false" ht="15" hidden="false" customHeight="false" outlineLevel="0" collapsed="false">
      <c r="A2823" s="79" t="str">
        <f aca="false">IF(E2823="","",ROW()-6)</f>
        <v/>
      </c>
      <c r="B2823" s="80"/>
      <c r="C2823" s="81"/>
      <c r="D2823" s="81"/>
      <c r="E2823" s="81"/>
      <c r="F2823" s="82" t="str">
        <f aca="false">IF(E2823="","",IF(LEFT(E2823,2)="DJ","DJ","JN"))</f>
        <v/>
      </c>
      <c r="G2823" s="81"/>
      <c r="H2823" s="81"/>
      <c r="I2823" s="81"/>
      <c r="J2823" s="81"/>
      <c r="K2823" s="81"/>
      <c r="L2823" s="81"/>
      <c r="M2823" s="81"/>
      <c r="N2823" s="81"/>
      <c r="O2823" s="81"/>
      <c r="P2823" s="81"/>
      <c r="Q2823" s="81"/>
      <c r="R2823" s="81"/>
      <c r="S2823" s="81"/>
      <c r="T2823" s="81"/>
      <c r="U2823" s="83"/>
      <c r="V2823" s="83"/>
      <c r="W2823" s="81"/>
      <c r="X2823" s="81"/>
      <c r="Y2823" s="83"/>
      <c r="Z2823" s="81"/>
      <c r="AA2823" s="81"/>
      <c r="AB2823" s="81"/>
      <c r="AC2823" s="81"/>
      <c r="AD2823" s="81"/>
      <c r="AE2823" s="83"/>
      <c r="AF2823" s="81"/>
      <c r="AG2823" s="81"/>
      <c r="AH2823" s="81"/>
      <c r="AI2823" s="81"/>
      <c r="AJ2823" s="83"/>
      <c r="AK2823" s="81"/>
      <c r="AL2823" s="81"/>
      <c r="AM2823" s="83"/>
      <c r="AN2823" s="80"/>
      <c r="AO2823" s="82" t="str">
        <f aca="false">IF(E2823="","",(AA2823&lt;&gt;"")+(AG2823&lt;&gt;"")+(AL2823&lt;&gt;""))</f>
        <v/>
      </c>
      <c r="AP2823" s="82" t="str">
        <f aca="false">IF(AL2823&lt;&gt;"",AL2823,IF(AG2823&lt;&gt;"",AG2823,IF(AA2823&lt;&gt;"",AA2823,"")))</f>
        <v/>
      </c>
      <c r="AQ2823" s="84" t="str">
        <f aca="false">IF(E2823="","",IF(U2823="","À SOUDER",IF(X2823="","VT EN ATTENTE",IF(X2823="R","VT REJETÉ – À REPRENDRE",IF(AP2823="","À RADIOGRAPHIER",IF(AP2823="A","ACCEPTÉ",IF(AP2823="NX","NX – RT À REFAIRE",IF(IF(AO2823=1,AD2823,IF(AO2823=2,AI2823,""))="A","RÉPARÉ – À RADIOGRAPHIER",IF(IF(AO2823=1,AD2823,IF(AO2823=2,AI2823,""))="R","VT REJETÉ – À REPRENDRE",IF(OR(AP2823="CO",AP2823="NT"),"COUPE – À RESOUDER","À RÉPARER"))))))))))</f>
        <v/>
      </c>
      <c r="AR2823" s="82" t="str">
        <f aca="false">IF(AND(ISNUMBER(U2823),OR(AQ2823="À RADIOGRAPHIER",AQ2823="RÉPARÉ – À RADIOGRAPHIER",AQ2823="NX – RT À REFAIRE",AQ2823="À RÉPARER",AQ2823="COUPE – À RESOUDER",AQ2823="VT REJETÉ – À REPRENDRE")),MAX(0,'PROGRAMME RT'!$C$4-U2823),"")</f>
        <v/>
      </c>
      <c r="AS2823" s="82" t="n">
        <f aca="false">IF(AND(OR(AQ2823="À RADIOGRAPHIER",AQ2823="RÉPARÉ – À RADIOGRAPHIER",AQ2823="NX – RT À REFAIRE"),OR('PROGRAMME RT'!$D$5="TOUTES",B2823='PROGRAMME RT'!$D$5)),1,0)</f>
        <v>0</v>
      </c>
      <c r="AT2823" s="82" t="str">
        <f aca="false">IF(AS2823=1,SUM(AS$7:AS2823),"")</f>
        <v/>
      </c>
      <c r="AU2823" s="82" t="n">
        <f aca="false">IF(AND(OR(AA2823="R",AA2823="NX",AA2823="NT",AA2823="CO"),OR('JOINTS DE RÉPARATION'!$D$5="TOUTES",B2823='JOINTS DE RÉPARATION'!$D$5),OR('JOINTS DE RÉPARATION'!$L$4="TOUS",AQ2823&lt;&gt;"ACCEPTÉ")),1,0)</f>
        <v>0</v>
      </c>
      <c r="AV2823" s="82" t="str">
        <f aca="false">IF(AU2823=1,SUM(AU$7:AU2823),"")</f>
        <v/>
      </c>
      <c r="AW2823" s="82" t="str">
        <f aca="false">IF(E2823="","",B2823&amp;"|"&amp;E2823)</f>
        <v/>
      </c>
    </row>
    <row r="2824" customFormat="false" ht="15" hidden="false" customHeight="false" outlineLevel="0" collapsed="false">
      <c r="A2824" s="79" t="str">
        <f aca="false">IF(E2824="","",ROW()-6)</f>
        <v/>
      </c>
      <c r="B2824" s="80"/>
      <c r="C2824" s="81"/>
      <c r="D2824" s="81"/>
      <c r="E2824" s="81"/>
      <c r="F2824" s="82" t="str">
        <f aca="false">IF(E2824="","",IF(LEFT(E2824,2)="DJ","DJ","JN"))</f>
        <v/>
      </c>
      <c r="G2824" s="81"/>
      <c r="H2824" s="81"/>
      <c r="I2824" s="81"/>
      <c r="J2824" s="81"/>
      <c r="K2824" s="81"/>
      <c r="L2824" s="81"/>
      <c r="M2824" s="81"/>
      <c r="N2824" s="81"/>
      <c r="O2824" s="81"/>
      <c r="P2824" s="81"/>
      <c r="Q2824" s="81"/>
      <c r="R2824" s="81"/>
      <c r="S2824" s="81"/>
      <c r="T2824" s="81"/>
      <c r="U2824" s="83"/>
      <c r="V2824" s="83"/>
      <c r="W2824" s="81"/>
      <c r="X2824" s="81"/>
      <c r="Y2824" s="83"/>
      <c r="Z2824" s="81"/>
      <c r="AA2824" s="81"/>
      <c r="AB2824" s="81"/>
      <c r="AC2824" s="81"/>
      <c r="AD2824" s="81"/>
      <c r="AE2824" s="83"/>
      <c r="AF2824" s="81"/>
      <c r="AG2824" s="81"/>
      <c r="AH2824" s="81"/>
      <c r="AI2824" s="81"/>
      <c r="AJ2824" s="83"/>
      <c r="AK2824" s="81"/>
      <c r="AL2824" s="81"/>
      <c r="AM2824" s="83"/>
      <c r="AN2824" s="80"/>
      <c r="AO2824" s="82" t="str">
        <f aca="false">IF(E2824="","",(AA2824&lt;&gt;"")+(AG2824&lt;&gt;"")+(AL2824&lt;&gt;""))</f>
        <v/>
      </c>
      <c r="AP2824" s="82" t="str">
        <f aca="false">IF(AL2824&lt;&gt;"",AL2824,IF(AG2824&lt;&gt;"",AG2824,IF(AA2824&lt;&gt;"",AA2824,"")))</f>
        <v/>
      </c>
      <c r="AQ2824" s="84" t="str">
        <f aca="false">IF(E2824="","",IF(U2824="","À SOUDER",IF(X2824="","VT EN ATTENTE",IF(X2824="R","VT REJETÉ – À REPRENDRE",IF(AP2824="","À RADIOGRAPHIER",IF(AP2824="A","ACCEPTÉ",IF(AP2824="NX","NX – RT À REFAIRE",IF(IF(AO2824=1,AD2824,IF(AO2824=2,AI2824,""))="A","RÉPARÉ – À RADIOGRAPHIER",IF(IF(AO2824=1,AD2824,IF(AO2824=2,AI2824,""))="R","VT REJETÉ – À REPRENDRE",IF(OR(AP2824="CO",AP2824="NT"),"COUPE – À RESOUDER","À RÉPARER"))))))))))</f>
        <v/>
      </c>
      <c r="AR2824" s="82" t="str">
        <f aca="false">IF(AND(ISNUMBER(U2824),OR(AQ2824="À RADIOGRAPHIER",AQ2824="RÉPARÉ – À RADIOGRAPHIER",AQ2824="NX – RT À REFAIRE",AQ2824="À RÉPARER",AQ2824="COUPE – À RESOUDER",AQ2824="VT REJETÉ – À REPRENDRE")),MAX(0,'PROGRAMME RT'!$C$4-U2824),"")</f>
        <v/>
      </c>
      <c r="AS2824" s="82" t="n">
        <f aca="false">IF(AND(OR(AQ2824="À RADIOGRAPHIER",AQ2824="RÉPARÉ – À RADIOGRAPHIER",AQ2824="NX – RT À REFAIRE"),OR('PROGRAMME RT'!$D$5="TOUTES",B2824='PROGRAMME RT'!$D$5)),1,0)</f>
        <v>0</v>
      </c>
      <c r="AT2824" s="82" t="str">
        <f aca="false">IF(AS2824=1,SUM(AS$7:AS2824),"")</f>
        <v/>
      </c>
      <c r="AU2824" s="82" t="n">
        <f aca="false">IF(AND(OR(AA2824="R",AA2824="NX",AA2824="NT",AA2824="CO"),OR('JOINTS DE RÉPARATION'!$D$5="TOUTES",B2824='JOINTS DE RÉPARATION'!$D$5),OR('JOINTS DE RÉPARATION'!$L$4="TOUS",AQ2824&lt;&gt;"ACCEPTÉ")),1,0)</f>
        <v>0</v>
      </c>
      <c r="AV2824" s="82" t="str">
        <f aca="false">IF(AU2824=1,SUM(AU$7:AU2824),"")</f>
        <v/>
      </c>
      <c r="AW2824" s="82" t="str">
        <f aca="false">IF(E2824="","",B2824&amp;"|"&amp;E2824)</f>
        <v/>
      </c>
    </row>
    <row r="2825" customFormat="false" ht="15" hidden="false" customHeight="false" outlineLevel="0" collapsed="false">
      <c r="A2825" s="79" t="str">
        <f aca="false">IF(E2825="","",ROW()-6)</f>
        <v/>
      </c>
      <c r="B2825" s="80"/>
      <c r="C2825" s="81"/>
      <c r="D2825" s="81"/>
      <c r="E2825" s="81"/>
      <c r="F2825" s="82" t="str">
        <f aca="false">IF(E2825="","",IF(LEFT(E2825,2)="DJ","DJ","JN"))</f>
        <v/>
      </c>
      <c r="G2825" s="81"/>
      <c r="H2825" s="81"/>
      <c r="I2825" s="81"/>
      <c r="J2825" s="81"/>
      <c r="K2825" s="81"/>
      <c r="L2825" s="81"/>
      <c r="M2825" s="81"/>
      <c r="N2825" s="81"/>
      <c r="O2825" s="81"/>
      <c r="P2825" s="81"/>
      <c r="Q2825" s="81"/>
      <c r="R2825" s="81"/>
      <c r="S2825" s="81"/>
      <c r="T2825" s="81"/>
      <c r="U2825" s="83"/>
      <c r="V2825" s="83"/>
      <c r="W2825" s="81"/>
      <c r="X2825" s="81"/>
      <c r="Y2825" s="83"/>
      <c r="Z2825" s="81"/>
      <c r="AA2825" s="81"/>
      <c r="AB2825" s="81"/>
      <c r="AC2825" s="81"/>
      <c r="AD2825" s="81"/>
      <c r="AE2825" s="83"/>
      <c r="AF2825" s="81"/>
      <c r="AG2825" s="81"/>
      <c r="AH2825" s="81"/>
      <c r="AI2825" s="81"/>
      <c r="AJ2825" s="83"/>
      <c r="AK2825" s="81"/>
      <c r="AL2825" s="81"/>
      <c r="AM2825" s="83"/>
      <c r="AN2825" s="80"/>
      <c r="AO2825" s="82" t="str">
        <f aca="false">IF(E2825="","",(AA2825&lt;&gt;"")+(AG2825&lt;&gt;"")+(AL2825&lt;&gt;""))</f>
        <v/>
      </c>
      <c r="AP2825" s="82" t="str">
        <f aca="false">IF(AL2825&lt;&gt;"",AL2825,IF(AG2825&lt;&gt;"",AG2825,IF(AA2825&lt;&gt;"",AA2825,"")))</f>
        <v/>
      </c>
      <c r="AQ2825" s="84" t="str">
        <f aca="false">IF(E2825="","",IF(U2825="","À SOUDER",IF(X2825="","VT EN ATTENTE",IF(X2825="R","VT REJETÉ – À REPRENDRE",IF(AP2825="","À RADIOGRAPHIER",IF(AP2825="A","ACCEPTÉ",IF(AP2825="NX","NX – RT À REFAIRE",IF(IF(AO2825=1,AD2825,IF(AO2825=2,AI2825,""))="A","RÉPARÉ – À RADIOGRAPHIER",IF(IF(AO2825=1,AD2825,IF(AO2825=2,AI2825,""))="R","VT REJETÉ – À REPRENDRE",IF(OR(AP2825="CO",AP2825="NT"),"COUPE – À RESOUDER","À RÉPARER"))))))))))</f>
        <v/>
      </c>
      <c r="AR2825" s="82" t="str">
        <f aca="false">IF(AND(ISNUMBER(U2825),OR(AQ2825="À RADIOGRAPHIER",AQ2825="RÉPARÉ – À RADIOGRAPHIER",AQ2825="NX – RT À REFAIRE",AQ2825="À RÉPARER",AQ2825="COUPE – À RESOUDER",AQ2825="VT REJETÉ – À REPRENDRE")),MAX(0,'PROGRAMME RT'!$C$4-U2825),"")</f>
        <v/>
      </c>
      <c r="AS2825" s="82" t="n">
        <f aca="false">IF(AND(OR(AQ2825="À RADIOGRAPHIER",AQ2825="RÉPARÉ – À RADIOGRAPHIER",AQ2825="NX – RT À REFAIRE"),OR('PROGRAMME RT'!$D$5="TOUTES",B2825='PROGRAMME RT'!$D$5)),1,0)</f>
        <v>0</v>
      </c>
      <c r="AT2825" s="82" t="str">
        <f aca="false">IF(AS2825=1,SUM(AS$7:AS2825),"")</f>
        <v/>
      </c>
      <c r="AU2825" s="82" t="n">
        <f aca="false">IF(AND(OR(AA2825="R",AA2825="NX",AA2825="NT",AA2825="CO"),OR('JOINTS DE RÉPARATION'!$D$5="TOUTES",B2825='JOINTS DE RÉPARATION'!$D$5),OR('JOINTS DE RÉPARATION'!$L$4="TOUS",AQ2825&lt;&gt;"ACCEPTÉ")),1,0)</f>
        <v>0</v>
      </c>
      <c r="AV2825" s="82" t="str">
        <f aca="false">IF(AU2825=1,SUM(AU$7:AU2825),"")</f>
        <v/>
      </c>
      <c r="AW2825" s="82" t="str">
        <f aca="false">IF(E2825="","",B2825&amp;"|"&amp;E2825)</f>
        <v/>
      </c>
    </row>
    <row r="2826" customFormat="false" ht="15" hidden="false" customHeight="false" outlineLevel="0" collapsed="false">
      <c r="A2826" s="79" t="str">
        <f aca="false">IF(E2826="","",ROW()-6)</f>
        <v/>
      </c>
      <c r="B2826" s="80"/>
      <c r="C2826" s="81"/>
      <c r="D2826" s="81"/>
      <c r="E2826" s="81"/>
      <c r="F2826" s="82" t="str">
        <f aca="false">IF(E2826="","",IF(LEFT(E2826,2)="DJ","DJ","JN"))</f>
        <v/>
      </c>
      <c r="G2826" s="81"/>
      <c r="H2826" s="81"/>
      <c r="I2826" s="81"/>
      <c r="J2826" s="81"/>
      <c r="K2826" s="81"/>
      <c r="L2826" s="81"/>
      <c r="M2826" s="81"/>
      <c r="N2826" s="81"/>
      <c r="O2826" s="81"/>
      <c r="P2826" s="81"/>
      <c r="Q2826" s="81"/>
      <c r="R2826" s="81"/>
      <c r="S2826" s="81"/>
      <c r="T2826" s="81"/>
      <c r="U2826" s="83"/>
      <c r="V2826" s="83"/>
      <c r="W2826" s="81"/>
      <c r="X2826" s="81"/>
      <c r="Y2826" s="83"/>
      <c r="Z2826" s="81"/>
      <c r="AA2826" s="81"/>
      <c r="AB2826" s="81"/>
      <c r="AC2826" s="81"/>
      <c r="AD2826" s="81"/>
      <c r="AE2826" s="83"/>
      <c r="AF2826" s="81"/>
      <c r="AG2826" s="81"/>
      <c r="AH2826" s="81"/>
      <c r="AI2826" s="81"/>
      <c r="AJ2826" s="83"/>
      <c r="AK2826" s="81"/>
      <c r="AL2826" s="81"/>
      <c r="AM2826" s="83"/>
      <c r="AN2826" s="80"/>
      <c r="AO2826" s="82" t="str">
        <f aca="false">IF(E2826="","",(AA2826&lt;&gt;"")+(AG2826&lt;&gt;"")+(AL2826&lt;&gt;""))</f>
        <v/>
      </c>
      <c r="AP2826" s="82" t="str">
        <f aca="false">IF(AL2826&lt;&gt;"",AL2826,IF(AG2826&lt;&gt;"",AG2826,IF(AA2826&lt;&gt;"",AA2826,"")))</f>
        <v/>
      </c>
      <c r="AQ2826" s="84" t="str">
        <f aca="false">IF(E2826="","",IF(U2826="","À SOUDER",IF(X2826="","VT EN ATTENTE",IF(X2826="R","VT REJETÉ – À REPRENDRE",IF(AP2826="","À RADIOGRAPHIER",IF(AP2826="A","ACCEPTÉ",IF(AP2826="NX","NX – RT À REFAIRE",IF(IF(AO2826=1,AD2826,IF(AO2826=2,AI2826,""))="A","RÉPARÉ – À RADIOGRAPHIER",IF(IF(AO2826=1,AD2826,IF(AO2826=2,AI2826,""))="R","VT REJETÉ – À REPRENDRE",IF(OR(AP2826="CO",AP2826="NT"),"COUPE – À RESOUDER","À RÉPARER"))))))))))</f>
        <v/>
      </c>
      <c r="AR2826" s="82" t="str">
        <f aca="false">IF(AND(ISNUMBER(U2826),OR(AQ2826="À RADIOGRAPHIER",AQ2826="RÉPARÉ – À RADIOGRAPHIER",AQ2826="NX – RT À REFAIRE",AQ2826="À RÉPARER",AQ2826="COUPE – À RESOUDER",AQ2826="VT REJETÉ – À REPRENDRE")),MAX(0,'PROGRAMME RT'!$C$4-U2826),"")</f>
        <v/>
      </c>
      <c r="AS2826" s="82" t="n">
        <f aca="false">IF(AND(OR(AQ2826="À RADIOGRAPHIER",AQ2826="RÉPARÉ – À RADIOGRAPHIER",AQ2826="NX – RT À REFAIRE"),OR('PROGRAMME RT'!$D$5="TOUTES",B2826='PROGRAMME RT'!$D$5)),1,0)</f>
        <v>0</v>
      </c>
      <c r="AT2826" s="82" t="str">
        <f aca="false">IF(AS2826=1,SUM(AS$7:AS2826),"")</f>
        <v/>
      </c>
      <c r="AU2826" s="82" t="n">
        <f aca="false">IF(AND(OR(AA2826="R",AA2826="NX",AA2826="NT",AA2826="CO"),OR('JOINTS DE RÉPARATION'!$D$5="TOUTES",B2826='JOINTS DE RÉPARATION'!$D$5),OR('JOINTS DE RÉPARATION'!$L$4="TOUS",AQ2826&lt;&gt;"ACCEPTÉ")),1,0)</f>
        <v>0</v>
      </c>
      <c r="AV2826" s="82" t="str">
        <f aca="false">IF(AU2826=1,SUM(AU$7:AU2826),"")</f>
        <v/>
      </c>
      <c r="AW2826" s="82" t="str">
        <f aca="false">IF(E2826="","",B2826&amp;"|"&amp;E2826)</f>
        <v/>
      </c>
    </row>
    <row r="2827" customFormat="false" ht="15" hidden="false" customHeight="false" outlineLevel="0" collapsed="false">
      <c r="A2827" s="79" t="str">
        <f aca="false">IF(E2827="","",ROW()-6)</f>
        <v/>
      </c>
      <c r="B2827" s="80"/>
      <c r="C2827" s="81"/>
      <c r="D2827" s="81"/>
      <c r="E2827" s="81"/>
      <c r="F2827" s="82" t="str">
        <f aca="false">IF(E2827="","",IF(LEFT(E2827,2)="DJ","DJ","JN"))</f>
        <v/>
      </c>
      <c r="G2827" s="81"/>
      <c r="H2827" s="81"/>
      <c r="I2827" s="81"/>
      <c r="J2827" s="81"/>
      <c r="K2827" s="81"/>
      <c r="L2827" s="81"/>
      <c r="M2827" s="81"/>
      <c r="N2827" s="81"/>
      <c r="O2827" s="81"/>
      <c r="P2827" s="81"/>
      <c r="Q2827" s="81"/>
      <c r="R2827" s="81"/>
      <c r="S2827" s="81"/>
      <c r="T2827" s="81"/>
      <c r="U2827" s="83"/>
      <c r="V2827" s="83"/>
      <c r="W2827" s="81"/>
      <c r="X2827" s="81"/>
      <c r="Y2827" s="83"/>
      <c r="Z2827" s="81"/>
      <c r="AA2827" s="81"/>
      <c r="AB2827" s="81"/>
      <c r="AC2827" s="81"/>
      <c r="AD2827" s="81"/>
      <c r="AE2827" s="83"/>
      <c r="AF2827" s="81"/>
      <c r="AG2827" s="81"/>
      <c r="AH2827" s="81"/>
      <c r="AI2827" s="81"/>
      <c r="AJ2827" s="83"/>
      <c r="AK2827" s="81"/>
      <c r="AL2827" s="81"/>
      <c r="AM2827" s="83"/>
      <c r="AN2827" s="80"/>
      <c r="AO2827" s="82" t="str">
        <f aca="false">IF(E2827="","",(AA2827&lt;&gt;"")+(AG2827&lt;&gt;"")+(AL2827&lt;&gt;""))</f>
        <v/>
      </c>
      <c r="AP2827" s="82" t="str">
        <f aca="false">IF(AL2827&lt;&gt;"",AL2827,IF(AG2827&lt;&gt;"",AG2827,IF(AA2827&lt;&gt;"",AA2827,"")))</f>
        <v/>
      </c>
      <c r="AQ2827" s="84" t="str">
        <f aca="false">IF(E2827="","",IF(U2827="","À SOUDER",IF(X2827="","VT EN ATTENTE",IF(X2827="R","VT REJETÉ – À REPRENDRE",IF(AP2827="","À RADIOGRAPHIER",IF(AP2827="A","ACCEPTÉ",IF(AP2827="NX","NX – RT À REFAIRE",IF(IF(AO2827=1,AD2827,IF(AO2827=2,AI2827,""))="A","RÉPARÉ – À RADIOGRAPHIER",IF(IF(AO2827=1,AD2827,IF(AO2827=2,AI2827,""))="R","VT REJETÉ – À REPRENDRE",IF(OR(AP2827="CO",AP2827="NT"),"COUPE – À RESOUDER","À RÉPARER"))))))))))</f>
        <v/>
      </c>
      <c r="AR2827" s="82" t="str">
        <f aca="false">IF(AND(ISNUMBER(U2827),OR(AQ2827="À RADIOGRAPHIER",AQ2827="RÉPARÉ – À RADIOGRAPHIER",AQ2827="NX – RT À REFAIRE",AQ2827="À RÉPARER",AQ2827="COUPE – À RESOUDER",AQ2827="VT REJETÉ – À REPRENDRE")),MAX(0,'PROGRAMME RT'!$C$4-U2827),"")</f>
        <v/>
      </c>
      <c r="AS2827" s="82" t="n">
        <f aca="false">IF(AND(OR(AQ2827="À RADIOGRAPHIER",AQ2827="RÉPARÉ – À RADIOGRAPHIER",AQ2827="NX – RT À REFAIRE"),OR('PROGRAMME RT'!$D$5="TOUTES",B2827='PROGRAMME RT'!$D$5)),1,0)</f>
        <v>0</v>
      </c>
      <c r="AT2827" s="82" t="str">
        <f aca="false">IF(AS2827=1,SUM(AS$7:AS2827),"")</f>
        <v/>
      </c>
      <c r="AU2827" s="82" t="n">
        <f aca="false">IF(AND(OR(AA2827="R",AA2827="NX",AA2827="NT",AA2827="CO"),OR('JOINTS DE RÉPARATION'!$D$5="TOUTES",B2827='JOINTS DE RÉPARATION'!$D$5),OR('JOINTS DE RÉPARATION'!$L$4="TOUS",AQ2827&lt;&gt;"ACCEPTÉ")),1,0)</f>
        <v>0</v>
      </c>
      <c r="AV2827" s="82" t="str">
        <f aca="false">IF(AU2827=1,SUM(AU$7:AU2827),"")</f>
        <v/>
      </c>
      <c r="AW2827" s="82" t="str">
        <f aca="false">IF(E2827="","",B2827&amp;"|"&amp;E2827)</f>
        <v/>
      </c>
    </row>
    <row r="2828" customFormat="false" ht="15" hidden="false" customHeight="false" outlineLevel="0" collapsed="false">
      <c r="A2828" s="79" t="str">
        <f aca="false">IF(E2828="","",ROW()-6)</f>
        <v/>
      </c>
      <c r="B2828" s="80"/>
      <c r="C2828" s="81"/>
      <c r="D2828" s="81"/>
      <c r="E2828" s="81"/>
      <c r="F2828" s="82" t="str">
        <f aca="false">IF(E2828="","",IF(LEFT(E2828,2)="DJ","DJ","JN"))</f>
        <v/>
      </c>
      <c r="G2828" s="81"/>
      <c r="H2828" s="81"/>
      <c r="I2828" s="81"/>
      <c r="J2828" s="81"/>
      <c r="K2828" s="81"/>
      <c r="L2828" s="81"/>
      <c r="M2828" s="81"/>
      <c r="N2828" s="81"/>
      <c r="O2828" s="81"/>
      <c r="P2828" s="81"/>
      <c r="Q2828" s="81"/>
      <c r="R2828" s="81"/>
      <c r="S2828" s="81"/>
      <c r="T2828" s="81"/>
      <c r="U2828" s="83"/>
      <c r="V2828" s="83"/>
      <c r="W2828" s="81"/>
      <c r="X2828" s="81"/>
      <c r="Y2828" s="83"/>
      <c r="Z2828" s="81"/>
      <c r="AA2828" s="81"/>
      <c r="AB2828" s="81"/>
      <c r="AC2828" s="81"/>
      <c r="AD2828" s="81"/>
      <c r="AE2828" s="83"/>
      <c r="AF2828" s="81"/>
      <c r="AG2828" s="81"/>
      <c r="AH2828" s="81"/>
      <c r="AI2828" s="81"/>
      <c r="AJ2828" s="83"/>
      <c r="AK2828" s="81"/>
      <c r="AL2828" s="81"/>
      <c r="AM2828" s="83"/>
      <c r="AN2828" s="80"/>
      <c r="AO2828" s="82" t="str">
        <f aca="false">IF(E2828="","",(AA2828&lt;&gt;"")+(AG2828&lt;&gt;"")+(AL2828&lt;&gt;""))</f>
        <v/>
      </c>
      <c r="AP2828" s="82" t="str">
        <f aca="false">IF(AL2828&lt;&gt;"",AL2828,IF(AG2828&lt;&gt;"",AG2828,IF(AA2828&lt;&gt;"",AA2828,"")))</f>
        <v/>
      </c>
      <c r="AQ2828" s="84" t="str">
        <f aca="false">IF(E2828="","",IF(U2828="","À SOUDER",IF(X2828="","VT EN ATTENTE",IF(X2828="R","VT REJETÉ – À REPRENDRE",IF(AP2828="","À RADIOGRAPHIER",IF(AP2828="A","ACCEPTÉ",IF(AP2828="NX","NX – RT À REFAIRE",IF(IF(AO2828=1,AD2828,IF(AO2828=2,AI2828,""))="A","RÉPARÉ – À RADIOGRAPHIER",IF(IF(AO2828=1,AD2828,IF(AO2828=2,AI2828,""))="R","VT REJETÉ – À REPRENDRE",IF(OR(AP2828="CO",AP2828="NT"),"COUPE – À RESOUDER","À RÉPARER"))))))))))</f>
        <v/>
      </c>
      <c r="AR2828" s="82" t="str">
        <f aca="false">IF(AND(ISNUMBER(U2828),OR(AQ2828="À RADIOGRAPHIER",AQ2828="RÉPARÉ – À RADIOGRAPHIER",AQ2828="NX – RT À REFAIRE",AQ2828="À RÉPARER",AQ2828="COUPE – À RESOUDER",AQ2828="VT REJETÉ – À REPRENDRE")),MAX(0,'PROGRAMME RT'!$C$4-U2828),"")</f>
        <v/>
      </c>
      <c r="AS2828" s="82" t="n">
        <f aca="false">IF(AND(OR(AQ2828="À RADIOGRAPHIER",AQ2828="RÉPARÉ – À RADIOGRAPHIER",AQ2828="NX – RT À REFAIRE"),OR('PROGRAMME RT'!$D$5="TOUTES",B2828='PROGRAMME RT'!$D$5)),1,0)</f>
        <v>0</v>
      </c>
      <c r="AT2828" s="82" t="str">
        <f aca="false">IF(AS2828=1,SUM(AS$7:AS2828),"")</f>
        <v/>
      </c>
      <c r="AU2828" s="82" t="n">
        <f aca="false">IF(AND(OR(AA2828="R",AA2828="NX",AA2828="NT",AA2828="CO"),OR('JOINTS DE RÉPARATION'!$D$5="TOUTES",B2828='JOINTS DE RÉPARATION'!$D$5),OR('JOINTS DE RÉPARATION'!$L$4="TOUS",AQ2828&lt;&gt;"ACCEPTÉ")),1,0)</f>
        <v>0</v>
      </c>
      <c r="AV2828" s="82" t="str">
        <f aca="false">IF(AU2828=1,SUM(AU$7:AU2828),"")</f>
        <v/>
      </c>
      <c r="AW2828" s="82" t="str">
        <f aca="false">IF(E2828="","",B2828&amp;"|"&amp;E2828)</f>
        <v/>
      </c>
    </row>
    <row r="2829" customFormat="false" ht="15" hidden="false" customHeight="false" outlineLevel="0" collapsed="false">
      <c r="A2829" s="79" t="str">
        <f aca="false">IF(E2829="","",ROW()-6)</f>
        <v/>
      </c>
      <c r="B2829" s="80"/>
      <c r="C2829" s="81"/>
      <c r="D2829" s="81"/>
      <c r="E2829" s="81"/>
      <c r="F2829" s="82" t="str">
        <f aca="false">IF(E2829="","",IF(LEFT(E2829,2)="DJ","DJ","JN"))</f>
        <v/>
      </c>
      <c r="G2829" s="81"/>
      <c r="H2829" s="81"/>
      <c r="I2829" s="81"/>
      <c r="J2829" s="81"/>
      <c r="K2829" s="81"/>
      <c r="L2829" s="81"/>
      <c r="M2829" s="81"/>
      <c r="N2829" s="81"/>
      <c r="O2829" s="81"/>
      <c r="P2829" s="81"/>
      <c r="Q2829" s="81"/>
      <c r="R2829" s="81"/>
      <c r="S2829" s="81"/>
      <c r="T2829" s="81"/>
      <c r="U2829" s="83"/>
      <c r="V2829" s="83"/>
      <c r="W2829" s="81"/>
      <c r="X2829" s="81"/>
      <c r="Y2829" s="83"/>
      <c r="Z2829" s="81"/>
      <c r="AA2829" s="81"/>
      <c r="AB2829" s="81"/>
      <c r="AC2829" s="81"/>
      <c r="AD2829" s="81"/>
      <c r="AE2829" s="83"/>
      <c r="AF2829" s="81"/>
      <c r="AG2829" s="81"/>
      <c r="AH2829" s="81"/>
      <c r="AI2829" s="81"/>
      <c r="AJ2829" s="83"/>
      <c r="AK2829" s="81"/>
      <c r="AL2829" s="81"/>
      <c r="AM2829" s="83"/>
      <c r="AN2829" s="80"/>
      <c r="AO2829" s="82" t="str">
        <f aca="false">IF(E2829="","",(AA2829&lt;&gt;"")+(AG2829&lt;&gt;"")+(AL2829&lt;&gt;""))</f>
        <v/>
      </c>
      <c r="AP2829" s="82" t="str">
        <f aca="false">IF(AL2829&lt;&gt;"",AL2829,IF(AG2829&lt;&gt;"",AG2829,IF(AA2829&lt;&gt;"",AA2829,"")))</f>
        <v/>
      </c>
      <c r="AQ2829" s="84" t="str">
        <f aca="false">IF(E2829="","",IF(U2829="","À SOUDER",IF(X2829="","VT EN ATTENTE",IF(X2829="R","VT REJETÉ – À REPRENDRE",IF(AP2829="","À RADIOGRAPHIER",IF(AP2829="A","ACCEPTÉ",IF(AP2829="NX","NX – RT À REFAIRE",IF(IF(AO2829=1,AD2829,IF(AO2829=2,AI2829,""))="A","RÉPARÉ – À RADIOGRAPHIER",IF(IF(AO2829=1,AD2829,IF(AO2829=2,AI2829,""))="R","VT REJETÉ – À REPRENDRE",IF(OR(AP2829="CO",AP2829="NT"),"COUPE – À RESOUDER","À RÉPARER"))))))))))</f>
        <v/>
      </c>
      <c r="AR2829" s="82" t="str">
        <f aca="false">IF(AND(ISNUMBER(U2829),OR(AQ2829="À RADIOGRAPHIER",AQ2829="RÉPARÉ – À RADIOGRAPHIER",AQ2829="NX – RT À REFAIRE",AQ2829="À RÉPARER",AQ2829="COUPE – À RESOUDER",AQ2829="VT REJETÉ – À REPRENDRE")),MAX(0,'PROGRAMME RT'!$C$4-U2829),"")</f>
        <v/>
      </c>
      <c r="AS2829" s="82" t="n">
        <f aca="false">IF(AND(OR(AQ2829="À RADIOGRAPHIER",AQ2829="RÉPARÉ – À RADIOGRAPHIER",AQ2829="NX – RT À REFAIRE"),OR('PROGRAMME RT'!$D$5="TOUTES",B2829='PROGRAMME RT'!$D$5)),1,0)</f>
        <v>0</v>
      </c>
      <c r="AT2829" s="82" t="str">
        <f aca="false">IF(AS2829=1,SUM(AS$7:AS2829),"")</f>
        <v/>
      </c>
      <c r="AU2829" s="82" t="n">
        <f aca="false">IF(AND(OR(AA2829="R",AA2829="NX",AA2829="NT",AA2829="CO"),OR('JOINTS DE RÉPARATION'!$D$5="TOUTES",B2829='JOINTS DE RÉPARATION'!$D$5),OR('JOINTS DE RÉPARATION'!$L$4="TOUS",AQ2829&lt;&gt;"ACCEPTÉ")),1,0)</f>
        <v>0</v>
      </c>
      <c r="AV2829" s="82" t="str">
        <f aca="false">IF(AU2829=1,SUM(AU$7:AU2829),"")</f>
        <v/>
      </c>
      <c r="AW2829" s="82" t="str">
        <f aca="false">IF(E2829="","",B2829&amp;"|"&amp;E2829)</f>
        <v/>
      </c>
    </row>
    <row r="2830" customFormat="false" ht="15" hidden="false" customHeight="false" outlineLevel="0" collapsed="false">
      <c r="A2830" s="79" t="str">
        <f aca="false">IF(E2830="","",ROW()-6)</f>
        <v/>
      </c>
      <c r="B2830" s="80"/>
      <c r="C2830" s="81"/>
      <c r="D2830" s="81"/>
      <c r="E2830" s="81"/>
      <c r="F2830" s="82" t="str">
        <f aca="false">IF(E2830="","",IF(LEFT(E2830,2)="DJ","DJ","JN"))</f>
        <v/>
      </c>
      <c r="G2830" s="81"/>
      <c r="H2830" s="81"/>
      <c r="I2830" s="81"/>
      <c r="J2830" s="81"/>
      <c r="K2830" s="81"/>
      <c r="L2830" s="81"/>
      <c r="M2830" s="81"/>
      <c r="N2830" s="81"/>
      <c r="O2830" s="81"/>
      <c r="P2830" s="81"/>
      <c r="Q2830" s="81"/>
      <c r="R2830" s="81"/>
      <c r="S2830" s="81"/>
      <c r="T2830" s="81"/>
      <c r="U2830" s="83"/>
      <c r="V2830" s="83"/>
      <c r="W2830" s="81"/>
      <c r="X2830" s="81"/>
      <c r="Y2830" s="83"/>
      <c r="Z2830" s="81"/>
      <c r="AA2830" s="81"/>
      <c r="AB2830" s="81"/>
      <c r="AC2830" s="81"/>
      <c r="AD2830" s="81"/>
      <c r="AE2830" s="83"/>
      <c r="AF2830" s="81"/>
      <c r="AG2830" s="81"/>
      <c r="AH2830" s="81"/>
      <c r="AI2830" s="81"/>
      <c r="AJ2830" s="83"/>
      <c r="AK2830" s="81"/>
      <c r="AL2830" s="81"/>
      <c r="AM2830" s="83"/>
      <c r="AN2830" s="80"/>
      <c r="AO2830" s="82" t="str">
        <f aca="false">IF(E2830="","",(AA2830&lt;&gt;"")+(AG2830&lt;&gt;"")+(AL2830&lt;&gt;""))</f>
        <v/>
      </c>
      <c r="AP2830" s="82" t="str">
        <f aca="false">IF(AL2830&lt;&gt;"",AL2830,IF(AG2830&lt;&gt;"",AG2830,IF(AA2830&lt;&gt;"",AA2830,"")))</f>
        <v/>
      </c>
      <c r="AQ2830" s="84" t="str">
        <f aca="false">IF(E2830="","",IF(U2830="","À SOUDER",IF(X2830="","VT EN ATTENTE",IF(X2830="R","VT REJETÉ – À REPRENDRE",IF(AP2830="","À RADIOGRAPHIER",IF(AP2830="A","ACCEPTÉ",IF(AP2830="NX","NX – RT À REFAIRE",IF(IF(AO2830=1,AD2830,IF(AO2830=2,AI2830,""))="A","RÉPARÉ – À RADIOGRAPHIER",IF(IF(AO2830=1,AD2830,IF(AO2830=2,AI2830,""))="R","VT REJETÉ – À REPRENDRE",IF(OR(AP2830="CO",AP2830="NT"),"COUPE – À RESOUDER","À RÉPARER"))))))))))</f>
        <v/>
      </c>
      <c r="AR2830" s="82" t="str">
        <f aca="false">IF(AND(ISNUMBER(U2830),OR(AQ2830="À RADIOGRAPHIER",AQ2830="RÉPARÉ – À RADIOGRAPHIER",AQ2830="NX – RT À REFAIRE",AQ2830="À RÉPARER",AQ2830="COUPE – À RESOUDER",AQ2830="VT REJETÉ – À REPRENDRE")),MAX(0,'PROGRAMME RT'!$C$4-U2830),"")</f>
        <v/>
      </c>
      <c r="AS2830" s="82" t="n">
        <f aca="false">IF(AND(OR(AQ2830="À RADIOGRAPHIER",AQ2830="RÉPARÉ – À RADIOGRAPHIER",AQ2830="NX – RT À REFAIRE"),OR('PROGRAMME RT'!$D$5="TOUTES",B2830='PROGRAMME RT'!$D$5)),1,0)</f>
        <v>0</v>
      </c>
      <c r="AT2830" s="82" t="str">
        <f aca="false">IF(AS2830=1,SUM(AS$7:AS2830),"")</f>
        <v/>
      </c>
      <c r="AU2830" s="82" t="n">
        <f aca="false">IF(AND(OR(AA2830="R",AA2830="NX",AA2830="NT",AA2830="CO"),OR('JOINTS DE RÉPARATION'!$D$5="TOUTES",B2830='JOINTS DE RÉPARATION'!$D$5),OR('JOINTS DE RÉPARATION'!$L$4="TOUS",AQ2830&lt;&gt;"ACCEPTÉ")),1,0)</f>
        <v>0</v>
      </c>
      <c r="AV2830" s="82" t="str">
        <f aca="false">IF(AU2830=1,SUM(AU$7:AU2830),"")</f>
        <v/>
      </c>
      <c r="AW2830" s="82" t="str">
        <f aca="false">IF(E2830="","",B2830&amp;"|"&amp;E2830)</f>
        <v/>
      </c>
    </row>
    <row r="2831" customFormat="false" ht="15" hidden="false" customHeight="false" outlineLevel="0" collapsed="false">
      <c r="A2831" s="79" t="str">
        <f aca="false">IF(E2831="","",ROW()-6)</f>
        <v/>
      </c>
      <c r="B2831" s="80"/>
      <c r="C2831" s="81"/>
      <c r="D2831" s="81"/>
      <c r="E2831" s="81"/>
      <c r="F2831" s="82" t="str">
        <f aca="false">IF(E2831="","",IF(LEFT(E2831,2)="DJ","DJ","JN"))</f>
        <v/>
      </c>
      <c r="G2831" s="81"/>
      <c r="H2831" s="81"/>
      <c r="I2831" s="81"/>
      <c r="J2831" s="81"/>
      <c r="K2831" s="81"/>
      <c r="L2831" s="81"/>
      <c r="M2831" s="81"/>
      <c r="N2831" s="81"/>
      <c r="O2831" s="81"/>
      <c r="P2831" s="81"/>
      <c r="Q2831" s="81"/>
      <c r="R2831" s="81"/>
      <c r="S2831" s="81"/>
      <c r="T2831" s="81"/>
      <c r="U2831" s="83"/>
      <c r="V2831" s="83"/>
      <c r="W2831" s="81"/>
      <c r="X2831" s="81"/>
      <c r="Y2831" s="83"/>
      <c r="Z2831" s="81"/>
      <c r="AA2831" s="81"/>
      <c r="AB2831" s="81"/>
      <c r="AC2831" s="81"/>
      <c r="AD2831" s="81"/>
      <c r="AE2831" s="83"/>
      <c r="AF2831" s="81"/>
      <c r="AG2831" s="81"/>
      <c r="AH2831" s="81"/>
      <c r="AI2831" s="81"/>
      <c r="AJ2831" s="83"/>
      <c r="AK2831" s="81"/>
      <c r="AL2831" s="81"/>
      <c r="AM2831" s="83"/>
      <c r="AN2831" s="80"/>
      <c r="AO2831" s="82" t="str">
        <f aca="false">IF(E2831="","",(AA2831&lt;&gt;"")+(AG2831&lt;&gt;"")+(AL2831&lt;&gt;""))</f>
        <v/>
      </c>
      <c r="AP2831" s="82" t="str">
        <f aca="false">IF(AL2831&lt;&gt;"",AL2831,IF(AG2831&lt;&gt;"",AG2831,IF(AA2831&lt;&gt;"",AA2831,"")))</f>
        <v/>
      </c>
      <c r="AQ2831" s="84" t="str">
        <f aca="false">IF(E2831="","",IF(U2831="","À SOUDER",IF(X2831="","VT EN ATTENTE",IF(X2831="R","VT REJETÉ – À REPRENDRE",IF(AP2831="","À RADIOGRAPHIER",IF(AP2831="A","ACCEPTÉ",IF(AP2831="NX","NX – RT À REFAIRE",IF(IF(AO2831=1,AD2831,IF(AO2831=2,AI2831,""))="A","RÉPARÉ – À RADIOGRAPHIER",IF(IF(AO2831=1,AD2831,IF(AO2831=2,AI2831,""))="R","VT REJETÉ – À REPRENDRE",IF(OR(AP2831="CO",AP2831="NT"),"COUPE – À RESOUDER","À RÉPARER"))))))))))</f>
        <v/>
      </c>
      <c r="AR2831" s="82" t="str">
        <f aca="false">IF(AND(ISNUMBER(U2831),OR(AQ2831="À RADIOGRAPHIER",AQ2831="RÉPARÉ – À RADIOGRAPHIER",AQ2831="NX – RT À REFAIRE",AQ2831="À RÉPARER",AQ2831="COUPE – À RESOUDER",AQ2831="VT REJETÉ – À REPRENDRE")),MAX(0,'PROGRAMME RT'!$C$4-U2831),"")</f>
        <v/>
      </c>
      <c r="AS2831" s="82" t="n">
        <f aca="false">IF(AND(OR(AQ2831="À RADIOGRAPHIER",AQ2831="RÉPARÉ – À RADIOGRAPHIER",AQ2831="NX – RT À REFAIRE"),OR('PROGRAMME RT'!$D$5="TOUTES",B2831='PROGRAMME RT'!$D$5)),1,0)</f>
        <v>0</v>
      </c>
      <c r="AT2831" s="82" t="str">
        <f aca="false">IF(AS2831=1,SUM(AS$7:AS2831),"")</f>
        <v/>
      </c>
      <c r="AU2831" s="82" t="n">
        <f aca="false">IF(AND(OR(AA2831="R",AA2831="NX",AA2831="NT",AA2831="CO"),OR('JOINTS DE RÉPARATION'!$D$5="TOUTES",B2831='JOINTS DE RÉPARATION'!$D$5),OR('JOINTS DE RÉPARATION'!$L$4="TOUS",AQ2831&lt;&gt;"ACCEPTÉ")),1,0)</f>
        <v>0</v>
      </c>
      <c r="AV2831" s="82" t="str">
        <f aca="false">IF(AU2831=1,SUM(AU$7:AU2831),"")</f>
        <v/>
      </c>
      <c r="AW2831" s="82" t="str">
        <f aca="false">IF(E2831="","",B2831&amp;"|"&amp;E2831)</f>
        <v/>
      </c>
    </row>
    <row r="2832" customFormat="false" ht="15" hidden="false" customHeight="false" outlineLevel="0" collapsed="false">
      <c r="A2832" s="79" t="str">
        <f aca="false">IF(E2832="","",ROW()-6)</f>
        <v/>
      </c>
      <c r="B2832" s="80"/>
      <c r="C2832" s="81"/>
      <c r="D2832" s="81"/>
      <c r="E2832" s="81"/>
      <c r="F2832" s="82" t="str">
        <f aca="false">IF(E2832="","",IF(LEFT(E2832,2)="DJ","DJ","JN"))</f>
        <v/>
      </c>
      <c r="G2832" s="81"/>
      <c r="H2832" s="81"/>
      <c r="I2832" s="81"/>
      <c r="J2832" s="81"/>
      <c r="K2832" s="81"/>
      <c r="L2832" s="81"/>
      <c r="M2832" s="81"/>
      <c r="N2832" s="81"/>
      <c r="O2832" s="81"/>
      <c r="P2832" s="81"/>
      <c r="Q2832" s="81"/>
      <c r="R2832" s="81"/>
      <c r="S2832" s="81"/>
      <c r="T2832" s="81"/>
      <c r="U2832" s="83"/>
      <c r="V2832" s="83"/>
      <c r="W2832" s="81"/>
      <c r="X2832" s="81"/>
      <c r="Y2832" s="83"/>
      <c r="Z2832" s="81"/>
      <c r="AA2832" s="81"/>
      <c r="AB2832" s="81"/>
      <c r="AC2832" s="81"/>
      <c r="AD2832" s="81"/>
      <c r="AE2832" s="83"/>
      <c r="AF2832" s="81"/>
      <c r="AG2832" s="81"/>
      <c r="AH2832" s="81"/>
      <c r="AI2832" s="81"/>
      <c r="AJ2832" s="83"/>
      <c r="AK2832" s="81"/>
      <c r="AL2832" s="81"/>
      <c r="AM2832" s="83"/>
      <c r="AN2832" s="80"/>
      <c r="AO2832" s="82" t="str">
        <f aca="false">IF(E2832="","",(AA2832&lt;&gt;"")+(AG2832&lt;&gt;"")+(AL2832&lt;&gt;""))</f>
        <v/>
      </c>
      <c r="AP2832" s="82" t="str">
        <f aca="false">IF(AL2832&lt;&gt;"",AL2832,IF(AG2832&lt;&gt;"",AG2832,IF(AA2832&lt;&gt;"",AA2832,"")))</f>
        <v/>
      </c>
      <c r="AQ2832" s="84" t="str">
        <f aca="false">IF(E2832="","",IF(U2832="","À SOUDER",IF(X2832="","VT EN ATTENTE",IF(X2832="R","VT REJETÉ – À REPRENDRE",IF(AP2832="","À RADIOGRAPHIER",IF(AP2832="A","ACCEPTÉ",IF(AP2832="NX","NX – RT À REFAIRE",IF(IF(AO2832=1,AD2832,IF(AO2832=2,AI2832,""))="A","RÉPARÉ – À RADIOGRAPHIER",IF(IF(AO2832=1,AD2832,IF(AO2832=2,AI2832,""))="R","VT REJETÉ – À REPRENDRE",IF(OR(AP2832="CO",AP2832="NT"),"COUPE – À RESOUDER","À RÉPARER"))))))))))</f>
        <v/>
      </c>
      <c r="AR2832" s="82" t="str">
        <f aca="false">IF(AND(ISNUMBER(U2832),OR(AQ2832="À RADIOGRAPHIER",AQ2832="RÉPARÉ – À RADIOGRAPHIER",AQ2832="NX – RT À REFAIRE",AQ2832="À RÉPARER",AQ2832="COUPE – À RESOUDER",AQ2832="VT REJETÉ – À REPRENDRE")),MAX(0,'PROGRAMME RT'!$C$4-U2832),"")</f>
        <v/>
      </c>
      <c r="AS2832" s="82" t="n">
        <f aca="false">IF(AND(OR(AQ2832="À RADIOGRAPHIER",AQ2832="RÉPARÉ – À RADIOGRAPHIER",AQ2832="NX – RT À REFAIRE"),OR('PROGRAMME RT'!$D$5="TOUTES",B2832='PROGRAMME RT'!$D$5)),1,0)</f>
        <v>0</v>
      </c>
      <c r="AT2832" s="82" t="str">
        <f aca="false">IF(AS2832=1,SUM(AS$7:AS2832),"")</f>
        <v/>
      </c>
      <c r="AU2832" s="82" t="n">
        <f aca="false">IF(AND(OR(AA2832="R",AA2832="NX",AA2832="NT",AA2832="CO"),OR('JOINTS DE RÉPARATION'!$D$5="TOUTES",B2832='JOINTS DE RÉPARATION'!$D$5),OR('JOINTS DE RÉPARATION'!$L$4="TOUS",AQ2832&lt;&gt;"ACCEPTÉ")),1,0)</f>
        <v>0</v>
      </c>
      <c r="AV2832" s="82" t="str">
        <f aca="false">IF(AU2832=1,SUM(AU$7:AU2832),"")</f>
        <v/>
      </c>
      <c r="AW2832" s="82" t="str">
        <f aca="false">IF(E2832="","",B2832&amp;"|"&amp;E2832)</f>
        <v/>
      </c>
    </row>
    <row r="2833" customFormat="false" ht="15" hidden="false" customHeight="false" outlineLevel="0" collapsed="false">
      <c r="A2833" s="79" t="str">
        <f aca="false">IF(E2833="","",ROW()-6)</f>
        <v/>
      </c>
      <c r="B2833" s="80"/>
      <c r="C2833" s="81"/>
      <c r="D2833" s="81"/>
      <c r="E2833" s="81"/>
      <c r="F2833" s="82" t="str">
        <f aca="false">IF(E2833="","",IF(LEFT(E2833,2)="DJ","DJ","JN"))</f>
        <v/>
      </c>
      <c r="G2833" s="81"/>
      <c r="H2833" s="81"/>
      <c r="I2833" s="81"/>
      <c r="J2833" s="81"/>
      <c r="K2833" s="81"/>
      <c r="L2833" s="81"/>
      <c r="M2833" s="81"/>
      <c r="N2833" s="81"/>
      <c r="O2833" s="81"/>
      <c r="P2833" s="81"/>
      <c r="Q2833" s="81"/>
      <c r="R2833" s="81"/>
      <c r="S2833" s="81"/>
      <c r="T2833" s="81"/>
      <c r="U2833" s="83"/>
      <c r="V2833" s="83"/>
      <c r="W2833" s="81"/>
      <c r="X2833" s="81"/>
      <c r="Y2833" s="83"/>
      <c r="Z2833" s="81"/>
      <c r="AA2833" s="81"/>
      <c r="AB2833" s="81"/>
      <c r="AC2833" s="81"/>
      <c r="AD2833" s="81"/>
      <c r="AE2833" s="83"/>
      <c r="AF2833" s="81"/>
      <c r="AG2833" s="81"/>
      <c r="AH2833" s="81"/>
      <c r="AI2833" s="81"/>
      <c r="AJ2833" s="83"/>
      <c r="AK2833" s="81"/>
      <c r="AL2833" s="81"/>
      <c r="AM2833" s="83"/>
      <c r="AN2833" s="80"/>
      <c r="AO2833" s="82" t="str">
        <f aca="false">IF(E2833="","",(AA2833&lt;&gt;"")+(AG2833&lt;&gt;"")+(AL2833&lt;&gt;""))</f>
        <v/>
      </c>
      <c r="AP2833" s="82" t="str">
        <f aca="false">IF(AL2833&lt;&gt;"",AL2833,IF(AG2833&lt;&gt;"",AG2833,IF(AA2833&lt;&gt;"",AA2833,"")))</f>
        <v/>
      </c>
      <c r="AQ2833" s="84" t="str">
        <f aca="false">IF(E2833="","",IF(U2833="","À SOUDER",IF(X2833="","VT EN ATTENTE",IF(X2833="R","VT REJETÉ – À REPRENDRE",IF(AP2833="","À RADIOGRAPHIER",IF(AP2833="A","ACCEPTÉ",IF(AP2833="NX","NX – RT À REFAIRE",IF(IF(AO2833=1,AD2833,IF(AO2833=2,AI2833,""))="A","RÉPARÉ – À RADIOGRAPHIER",IF(IF(AO2833=1,AD2833,IF(AO2833=2,AI2833,""))="R","VT REJETÉ – À REPRENDRE",IF(OR(AP2833="CO",AP2833="NT"),"COUPE – À RESOUDER","À RÉPARER"))))))))))</f>
        <v/>
      </c>
      <c r="AR2833" s="82" t="str">
        <f aca="false">IF(AND(ISNUMBER(U2833),OR(AQ2833="À RADIOGRAPHIER",AQ2833="RÉPARÉ – À RADIOGRAPHIER",AQ2833="NX – RT À REFAIRE",AQ2833="À RÉPARER",AQ2833="COUPE – À RESOUDER",AQ2833="VT REJETÉ – À REPRENDRE")),MAX(0,'PROGRAMME RT'!$C$4-U2833),"")</f>
        <v/>
      </c>
      <c r="AS2833" s="82" t="n">
        <f aca="false">IF(AND(OR(AQ2833="À RADIOGRAPHIER",AQ2833="RÉPARÉ – À RADIOGRAPHIER",AQ2833="NX – RT À REFAIRE"),OR('PROGRAMME RT'!$D$5="TOUTES",B2833='PROGRAMME RT'!$D$5)),1,0)</f>
        <v>0</v>
      </c>
      <c r="AT2833" s="82" t="str">
        <f aca="false">IF(AS2833=1,SUM(AS$7:AS2833),"")</f>
        <v/>
      </c>
      <c r="AU2833" s="82" t="n">
        <f aca="false">IF(AND(OR(AA2833="R",AA2833="NX",AA2833="NT",AA2833="CO"),OR('JOINTS DE RÉPARATION'!$D$5="TOUTES",B2833='JOINTS DE RÉPARATION'!$D$5),OR('JOINTS DE RÉPARATION'!$L$4="TOUS",AQ2833&lt;&gt;"ACCEPTÉ")),1,0)</f>
        <v>0</v>
      </c>
      <c r="AV2833" s="82" t="str">
        <f aca="false">IF(AU2833=1,SUM(AU$7:AU2833),"")</f>
        <v/>
      </c>
      <c r="AW2833" s="82" t="str">
        <f aca="false">IF(E2833="","",B2833&amp;"|"&amp;E2833)</f>
        <v/>
      </c>
    </row>
    <row r="2834" customFormat="false" ht="15" hidden="false" customHeight="false" outlineLevel="0" collapsed="false">
      <c r="A2834" s="79" t="str">
        <f aca="false">IF(E2834="","",ROW()-6)</f>
        <v/>
      </c>
      <c r="B2834" s="80"/>
      <c r="C2834" s="81"/>
      <c r="D2834" s="81"/>
      <c r="E2834" s="81"/>
      <c r="F2834" s="82" t="str">
        <f aca="false">IF(E2834="","",IF(LEFT(E2834,2)="DJ","DJ","JN"))</f>
        <v/>
      </c>
      <c r="G2834" s="81"/>
      <c r="H2834" s="81"/>
      <c r="I2834" s="81"/>
      <c r="J2834" s="81"/>
      <c r="K2834" s="81"/>
      <c r="L2834" s="81"/>
      <c r="M2834" s="81"/>
      <c r="N2834" s="81"/>
      <c r="O2834" s="81"/>
      <c r="P2834" s="81"/>
      <c r="Q2834" s="81"/>
      <c r="R2834" s="81"/>
      <c r="S2834" s="81"/>
      <c r="T2834" s="81"/>
      <c r="U2834" s="83"/>
      <c r="V2834" s="83"/>
      <c r="W2834" s="81"/>
      <c r="X2834" s="81"/>
      <c r="Y2834" s="83"/>
      <c r="Z2834" s="81"/>
      <c r="AA2834" s="81"/>
      <c r="AB2834" s="81"/>
      <c r="AC2834" s="81"/>
      <c r="AD2834" s="81"/>
      <c r="AE2834" s="83"/>
      <c r="AF2834" s="81"/>
      <c r="AG2834" s="81"/>
      <c r="AH2834" s="81"/>
      <c r="AI2834" s="81"/>
      <c r="AJ2834" s="83"/>
      <c r="AK2834" s="81"/>
      <c r="AL2834" s="81"/>
      <c r="AM2834" s="83"/>
      <c r="AN2834" s="80"/>
      <c r="AO2834" s="82" t="str">
        <f aca="false">IF(E2834="","",(AA2834&lt;&gt;"")+(AG2834&lt;&gt;"")+(AL2834&lt;&gt;""))</f>
        <v/>
      </c>
      <c r="AP2834" s="82" t="str">
        <f aca="false">IF(AL2834&lt;&gt;"",AL2834,IF(AG2834&lt;&gt;"",AG2834,IF(AA2834&lt;&gt;"",AA2834,"")))</f>
        <v/>
      </c>
      <c r="AQ2834" s="84" t="str">
        <f aca="false">IF(E2834="","",IF(U2834="","À SOUDER",IF(X2834="","VT EN ATTENTE",IF(X2834="R","VT REJETÉ – À REPRENDRE",IF(AP2834="","À RADIOGRAPHIER",IF(AP2834="A","ACCEPTÉ",IF(AP2834="NX","NX – RT À REFAIRE",IF(IF(AO2834=1,AD2834,IF(AO2834=2,AI2834,""))="A","RÉPARÉ – À RADIOGRAPHIER",IF(IF(AO2834=1,AD2834,IF(AO2834=2,AI2834,""))="R","VT REJETÉ – À REPRENDRE",IF(OR(AP2834="CO",AP2834="NT"),"COUPE – À RESOUDER","À RÉPARER"))))))))))</f>
        <v/>
      </c>
      <c r="AR2834" s="82" t="str">
        <f aca="false">IF(AND(ISNUMBER(U2834),OR(AQ2834="À RADIOGRAPHIER",AQ2834="RÉPARÉ – À RADIOGRAPHIER",AQ2834="NX – RT À REFAIRE",AQ2834="À RÉPARER",AQ2834="COUPE – À RESOUDER",AQ2834="VT REJETÉ – À REPRENDRE")),MAX(0,'PROGRAMME RT'!$C$4-U2834),"")</f>
        <v/>
      </c>
      <c r="AS2834" s="82" t="n">
        <f aca="false">IF(AND(OR(AQ2834="À RADIOGRAPHIER",AQ2834="RÉPARÉ – À RADIOGRAPHIER",AQ2834="NX – RT À REFAIRE"),OR('PROGRAMME RT'!$D$5="TOUTES",B2834='PROGRAMME RT'!$D$5)),1,0)</f>
        <v>0</v>
      </c>
      <c r="AT2834" s="82" t="str">
        <f aca="false">IF(AS2834=1,SUM(AS$7:AS2834),"")</f>
        <v/>
      </c>
      <c r="AU2834" s="82" t="n">
        <f aca="false">IF(AND(OR(AA2834="R",AA2834="NX",AA2834="NT",AA2834="CO"),OR('JOINTS DE RÉPARATION'!$D$5="TOUTES",B2834='JOINTS DE RÉPARATION'!$D$5),OR('JOINTS DE RÉPARATION'!$L$4="TOUS",AQ2834&lt;&gt;"ACCEPTÉ")),1,0)</f>
        <v>0</v>
      </c>
      <c r="AV2834" s="82" t="str">
        <f aca="false">IF(AU2834=1,SUM(AU$7:AU2834),"")</f>
        <v/>
      </c>
      <c r="AW2834" s="82" t="str">
        <f aca="false">IF(E2834="","",B2834&amp;"|"&amp;E2834)</f>
        <v/>
      </c>
    </row>
    <row r="2835" customFormat="false" ht="15" hidden="false" customHeight="false" outlineLevel="0" collapsed="false">
      <c r="A2835" s="79" t="str">
        <f aca="false">IF(E2835="","",ROW()-6)</f>
        <v/>
      </c>
      <c r="B2835" s="80"/>
      <c r="C2835" s="81"/>
      <c r="D2835" s="81"/>
      <c r="E2835" s="81"/>
      <c r="F2835" s="82" t="str">
        <f aca="false">IF(E2835="","",IF(LEFT(E2835,2)="DJ","DJ","JN"))</f>
        <v/>
      </c>
      <c r="G2835" s="81"/>
      <c r="H2835" s="81"/>
      <c r="I2835" s="81"/>
      <c r="J2835" s="81"/>
      <c r="K2835" s="81"/>
      <c r="L2835" s="81"/>
      <c r="M2835" s="81"/>
      <c r="N2835" s="81"/>
      <c r="O2835" s="81"/>
      <c r="P2835" s="81"/>
      <c r="Q2835" s="81"/>
      <c r="R2835" s="81"/>
      <c r="S2835" s="81"/>
      <c r="T2835" s="81"/>
      <c r="U2835" s="83"/>
      <c r="V2835" s="83"/>
      <c r="W2835" s="81"/>
      <c r="X2835" s="81"/>
      <c r="Y2835" s="83"/>
      <c r="Z2835" s="81"/>
      <c r="AA2835" s="81"/>
      <c r="AB2835" s="81"/>
      <c r="AC2835" s="81"/>
      <c r="AD2835" s="81"/>
      <c r="AE2835" s="83"/>
      <c r="AF2835" s="81"/>
      <c r="AG2835" s="81"/>
      <c r="AH2835" s="81"/>
      <c r="AI2835" s="81"/>
      <c r="AJ2835" s="83"/>
      <c r="AK2835" s="81"/>
      <c r="AL2835" s="81"/>
      <c r="AM2835" s="83"/>
      <c r="AN2835" s="80"/>
      <c r="AO2835" s="82" t="str">
        <f aca="false">IF(E2835="","",(AA2835&lt;&gt;"")+(AG2835&lt;&gt;"")+(AL2835&lt;&gt;""))</f>
        <v/>
      </c>
      <c r="AP2835" s="82" t="str">
        <f aca="false">IF(AL2835&lt;&gt;"",AL2835,IF(AG2835&lt;&gt;"",AG2835,IF(AA2835&lt;&gt;"",AA2835,"")))</f>
        <v/>
      </c>
      <c r="AQ2835" s="84" t="str">
        <f aca="false">IF(E2835="","",IF(U2835="","À SOUDER",IF(X2835="","VT EN ATTENTE",IF(X2835="R","VT REJETÉ – À REPRENDRE",IF(AP2835="","À RADIOGRAPHIER",IF(AP2835="A","ACCEPTÉ",IF(AP2835="NX","NX – RT À REFAIRE",IF(IF(AO2835=1,AD2835,IF(AO2835=2,AI2835,""))="A","RÉPARÉ – À RADIOGRAPHIER",IF(IF(AO2835=1,AD2835,IF(AO2835=2,AI2835,""))="R","VT REJETÉ – À REPRENDRE",IF(OR(AP2835="CO",AP2835="NT"),"COUPE – À RESOUDER","À RÉPARER"))))))))))</f>
        <v/>
      </c>
      <c r="AR2835" s="82" t="str">
        <f aca="false">IF(AND(ISNUMBER(U2835),OR(AQ2835="À RADIOGRAPHIER",AQ2835="RÉPARÉ – À RADIOGRAPHIER",AQ2835="NX – RT À REFAIRE",AQ2835="À RÉPARER",AQ2835="COUPE – À RESOUDER",AQ2835="VT REJETÉ – À REPRENDRE")),MAX(0,'PROGRAMME RT'!$C$4-U2835),"")</f>
        <v/>
      </c>
      <c r="AS2835" s="82" t="n">
        <f aca="false">IF(AND(OR(AQ2835="À RADIOGRAPHIER",AQ2835="RÉPARÉ – À RADIOGRAPHIER",AQ2835="NX – RT À REFAIRE"),OR('PROGRAMME RT'!$D$5="TOUTES",B2835='PROGRAMME RT'!$D$5)),1,0)</f>
        <v>0</v>
      </c>
      <c r="AT2835" s="82" t="str">
        <f aca="false">IF(AS2835=1,SUM(AS$7:AS2835),"")</f>
        <v/>
      </c>
      <c r="AU2835" s="82" t="n">
        <f aca="false">IF(AND(OR(AA2835="R",AA2835="NX",AA2835="NT",AA2835="CO"),OR('JOINTS DE RÉPARATION'!$D$5="TOUTES",B2835='JOINTS DE RÉPARATION'!$D$5),OR('JOINTS DE RÉPARATION'!$L$4="TOUS",AQ2835&lt;&gt;"ACCEPTÉ")),1,0)</f>
        <v>0</v>
      </c>
      <c r="AV2835" s="82" t="str">
        <f aca="false">IF(AU2835=1,SUM(AU$7:AU2835),"")</f>
        <v/>
      </c>
      <c r="AW2835" s="82" t="str">
        <f aca="false">IF(E2835="","",B2835&amp;"|"&amp;E2835)</f>
        <v/>
      </c>
    </row>
    <row r="2836" customFormat="false" ht="15" hidden="false" customHeight="false" outlineLevel="0" collapsed="false">
      <c r="A2836" s="79" t="str">
        <f aca="false">IF(E2836="","",ROW()-6)</f>
        <v/>
      </c>
      <c r="B2836" s="80"/>
      <c r="C2836" s="81"/>
      <c r="D2836" s="81"/>
      <c r="E2836" s="81"/>
      <c r="F2836" s="82" t="str">
        <f aca="false">IF(E2836="","",IF(LEFT(E2836,2)="DJ","DJ","JN"))</f>
        <v/>
      </c>
      <c r="G2836" s="81"/>
      <c r="H2836" s="81"/>
      <c r="I2836" s="81"/>
      <c r="J2836" s="81"/>
      <c r="K2836" s="81"/>
      <c r="L2836" s="81"/>
      <c r="M2836" s="81"/>
      <c r="N2836" s="81"/>
      <c r="O2836" s="81"/>
      <c r="P2836" s="81"/>
      <c r="Q2836" s="81"/>
      <c r="R2836" s="81"/>
      <c r="S2836" s="81"/>
      <c r="T2836" s="81"/>
      <c r="U2836" s="83"/>
      <c r="V2836" s="83"/>
      <c r="W2836" s="81"/>
      <c r="X2836" s="81"/>
      <c r="Y2836" s="83"/>
      <c r="Z2836" s="81"/>
      <c r="AA2836" s="81"/>
      <c r="AB2836" s="81"/>
      <c r="AC2836" s="81"/>
      <c r="AD2836" s="81"/>
      <c r="AE2836" s="83"/>
      <c r="AF2836" s="81"/>
      <c r="AG2836" s="81"/>
      <c r="AH2836" s="81"/>
      <c r="AI2836" s="81"/>
      <c r="AJ2836" s="83"/>
      <c r="AK2836" s="81"/>
      <c r="AL2836" s="81"/>
      <c r="AM2836" s="83"/>
      <c r="AN2836" s="80"/>
      <c r="AO2836" s="82" t="str">
        <f aca="false">IF(E2836="","",(AA2836&lt;&gt;"")+(AG2836&lt;&gt;"")+(AL2836&lt;&gt;""))</f>
        <v/>
      </c>
      <c r="AP2836" s="82" t="str">
        <f aca="false">IF(AL2836&lt;&gt;"",AL2836,IF(AG2836&lt;&gt;"",AG2836,IF(AA2836&lt;&gt;"",AA2836,"")))</f>
        <v/>
      </c>
      <c r="AQ2836" s="84" t="str">
        <f aca="false">IF(E2836="","",IF(U2836="","À SOUDER",IF(X2836="","VT EN ATTENTE",IF(X2836="R","VT REJETÉ – À REPRENDRE",IF(AP2836="","À RADIOGRAPHIER",IF(AP2836="A","ACCEPTÉ",IF(AP2836="NX","NX – RT À REFAIRE",IF(IF(AO2836=1,AD2836,IF(AO2836=2,AI2836,""))="A","RÉPARÉ – À RADIOGRAPHIER",IF(IF(AO2836=1,AD2836,IF(AO2836=2,AI2836,""))="R","VT REJETÉ – À REPRENDRE",IF(OR(AP2836="CO",AP2836="NT"),"COUPE – À RESOUDER","À RÉPARER"))))))))))</f>
        <v/>
      </c>
      <c r="AR2836" s="82" t="str">
        <f aca="false">IF(AND(ISNUMBER(U2836),OR(AQ2836="À RADIOGRAPHIER",AQ2836="RÉPARÉ – À RADIOGRAPHIER",AQ2836="NX – RT À REFAIRE",AQ2836="À RÉPARER",AQ2836="COUPE – À RESOUDER",AQ2836="VT REJETÉ – À REPRENDRE")),MAX(0,'PROGRAMME RT'!$C$4-U2836),"")</f>
        <v/>
      </c>
      <c r="AS2836" s="82" t="n">
        <f aca="false">IF(AND(OR(AQ2836="À RADIOGRAPHIER",AQ2836="RÉPARÉ – À RADIOGRAPHIER",AQ2836="NX – RT À REFAIRE"),OR('PROGRAMME RT'!$D$5="TOUTES",B2836='PROGRAMME RT'!$D$5)),1,0)</f>
        <v>0</v>
      </c>
      <c r="AT2836" s="82" t="str">
        <f aca="false">IF(AS2836=1,SUM(AS$7:AS2836),"")</f>
        <v/>
      </c>
      <c r="AU2836" s="82" t="n">
        <f aca="false">IF(AND(OR(AA2836="R",AA2836="NX",AA2836="NT",AA2836="CO"),OR('JOINTS DE RÉPARATION'!$D$5="TOUTES",B2836='JOINTS DE RÉPARATION'!$D$5),OR('JOINTS DE RÉPARATION'!$L$4="TOUS",AQ2836&lt;&gt;"ACCEPTÉ")),1,0)</f>
        <v>0</v>
      </c>
      <c r="AV2836" s="82" t="str">
        <f aca="false">IF(AU2836=1,SUM(AU$7:AU2836),"")</f>
        <v/>
      </c>
      <c r="AW2836" s="82" t="str">
        <f aca="false">IF(E2836="","",B2836&amp;"|"&amp;E2836)</f>
        <v/>
      </c>
    </row>
    <row r="2837" customFormat="false" ht="15" hidden="false" customHeight="false" outlineLevel="0" collapsed="false">
      <c r="A2837" s="79" t="str">
        <f aca="false">IF(E2837="","",ROW()-6)</f>
        <v/>
      </c>
      <c r="B2837" s="80"/>
      <c r="C2837" s="81"/>
      <c r="D2837" s="81"/>
      <c r="E2837" s="81"/>
      <c r="F2837" s="82" t="str">
        <f aca="false">IF(E2837="","",IF(LEFT(E2837,2)="DJ","DJ","JN"))</f>
        <v/>
      </c>
      <c r="G2837" s="81"/>
      <c r="H2837" s="81"/>
      <c r="I2837" s="81"/>
      <c r="J2837" s="81"/>
      <c r="K2837" s="81"/>
      <c r="L2837" s="81"/>
      <c r="M2837" s="81"/>
      <c r="N2837" s="81"/>
      <c r="O2837" s="81"/>
      <c r="P2837" s="81"/>
      <c r="Q2837" s="81"/>
      <c r="R2837" s="81"/>
      <c r="S2837" s="81"/>
      <c r="T2837" s="81"/>
      <c r="U2837" s="83"/>
      <c r="V2837" s="83"/>
      <c r="W2837" s="81"/>
      <c r="X2837" s="81"/>
      <c r="Y2837" s="83"/>
      <c r="Z2837" s="81"/>
      <c r="AA2837" s="81"/>
      <c r="AB2837" s="81"/>
      <c r="AC2837" s="81"/>
      <c r="AD2837" s="81"/>
      <c r="AE2837" s="83"/>
      <c r="AF2837" s="81"/>
      <c r="AG2837" s="81"/>
      <c r="AH2837" s="81"/>
      <c r="AI2837" s="81"/>
      <c r="AJ2837" s="83"/>
      <c r="AK2837" s="81"/>
      <c r="AL2837" s="81"/>
      <c r="AM2837" s="83"/>
      <c r="AN2837" s="80"/>
      <c r="AO2837" s="82" t="str">
        <f aca="false">IF(E2837="","",(AA2837&lt;&gt;"")+(AG2837&lt;&gt;"")+(AL2837&lt;&gt;""))</f>
        <v/>
      </c>
      <c r="AP2837" s="82" t="str">
        <f aca="false">IF(AL2837&lt;&gt;"",AL2837,IF(AG2837&lt;&gt;"",AG2837,IF(AA2837&lt;&gt;"",AA2837,"")))</f>
        <v/>
      </c>
      <c r="AQ2837" s="84" t="str">
        <f aca="false">IF(E2837="","",IF(U2837="","À SOUDER",IF(X2837="","VT EN ATTENTE",IF(X2837="R","VT REJETÉ – À REPRENDRE",IF(AP2837="","À RADIOGRAPHIER",IF(AP2837="A","ACCEPTÉ",IF(AP2837="NX","NX – RT À REFAIRE",IF(IF(AO2837=1,AD2837,IF(AO2837=2,AI2837,""))="A","RÉPARÉ – À RADIOGRAPHIER",IF(IF(AO2837=1,AD2837,IF(AO2837=2,AI2837,""))="R","VT REJETÉ – À REPRENDRE",IF(OR(AP2837="CO",AP2837="NT"),"COUPE – À RESOUDER","À RÉPARER"))))))))))</f>
        <v/>
      </c>
      <c r="AR2837" s="82" t="str">
        <f aca="false">IF(AND(ISNUMBER(U2837),OR(AQ2837="À RADIOGRAPHIER",AQ2837="RÉPARÉ – À RADIOGRAPHIER",AQ2837="NX – RT À REFAIRE",AQ2837="À RÉPARER",AQ2837="COUPE – À RESOUDER",AQ2837="VT REJETÉ – À REPRENDRE")),MAX(0,'PROGRAMME RT'!$C$4-U2837),"")</f>
        <v/>
      </c>
      <c r="AS2837" s="82" t="n">
        <f aca="false">IF(AND(OR(AQ2837="À RADIOGRAPHIER",AQ2837="RÉPARÉ – À RADIOGRAPHIER",AQ2837="NX – RT À REFAIRE"),OR('PROGRAMME RT'!$D$5="TOUTES",B2837='PROGRAMME RT'!$D$5)),1,0)</f>
        <v>0</v>
      </c>
      <c r="AT2837" s="82" t="str">
        <f aca="false">IF(AS2837=1,SUM(AS$7:AS2837),"")</f>
        <v/>
      </c>
      <c r="AU2837" s="82" t="n">
        <f aca="false">IF(AND(OR(AA2837="R",AA2837="NX",AA2837="NT",AA2837="CO"),OR('JOINTS DE RÉPARATION'!$D$5="TOUTES",B2837='JOINTS DE RÉPARATION'!$D$5),OR('JOINTS DE RÉPARATION'!$L$4="TOUS",AQ2837&lt;&gt;"ACCEPTÉ")),1,0)</f>
        <v>0</v>
      </c>
      <c r="AV2837" s="82" t="str">
        <f aca="false">IF(AU2837=1,SUM(AU$7:AU2837),"")</f>
        <v/>
      </c>
      <c r="AW2837" s="82" t="str">
        <f aca="false">IF(E2837="","",B2837&amp;"|"&amp;E2837)</f>
        <v/>
      </c>
    </row>
    <row r="2838" customFormat="false" ht="15" hidden="false" customHeight="false" outlineLevel="0" collapsed="false">
      <c r="A2838" s="79" t="str">
        <f aca="false">IF(E2838="","",ROW()-6)</f>
        <v/>
      </c>
      <c r="B2838" s="80"/>
      <c r="C2838" s="81"/>
      <c r="D2838" s="81"/>
      <c r="E2838" s="81"/>
      <c r="F2838" s="82" t="str">
        <f aca="false">IF(E2838="","",IF(LEFT(E2838,2)="DJ","DJ","JN"))</f>
        <v/>
      </c>
      <c r="G2838" s="81"/>
      <c r="H2838" s="81"/>
      <c r="I2838" s="81"/>
      <c r="J2838" s="81"/>
      <c r="K2838" s="81"/>
      <c r="L2838" s="81"/>
      <c r="M2838" s="81"/>
      <c r="N2838" s="81"/>
      <c r="O2838" s="81"/>
      <c r="P2838" s="81"/>
      <c r="Q2838" s="81"/>
      <c r="R2838" s="81"/>
      <c r="S2838" s="81"/>
      <c r="T2838" s="81"/>
      <c r="U2838" s="83"/>
      <c r="V2838" s="83"/>
      <c r="W2838" s="81"/>
      <c r="X2838" s="81"/>
      <c r="Y2838" s="83"/>
      <c r="Z2838" s="81"/>
      <c r="AA2838" s="81"/>
      <c r="AB2838" s="81"/>
      <c r="AC2838" s="81"/>
      <c r="AD2838" s="81"/>
      <c r="AE2838" s="83"/>
      <c r="AF2838" s="81"/>
      <c r="AG2838" s="81"/>
      <c r="AH2838" s="81"/>
      <c r="AI2838" s="81"/>
      <c r="AJ2838" s="83"/>
      <c r="AK2838" s="81"/>
      <c r="AL2838" s="81"/>
      <c r="AM2838" s="83"/>
      <c r="AN2838" s="80"/>
      <c r="AO2838" s="82" t="str">
        <f aca="false">IF(E2838="","",(AA2838&lt;&gt;"")+(AG2838&lt;&gt;"")+(AL2838&lt;&gt;""))</f>
        <v/>
      </c>
      <c r="AP2838" s="82" t="str">
        <f aca="false">IF(AL2838&lt;&gt;"",AL2838,IF(AG2838&lt;&gt;"",AG2838,IF(AA2838&lt;&gt;"",AA2838,"")))</f>
        <v/>
      </c>
      <c r="AQ2838" s="84" t="str">
        <f aca="false">IF(E2838="","",IF(U2838="","À SOUDER",IF(X2838="","VT EN ATTENTE",IF(X2838="R","VT REJETÉ – À REPRENDRE",IF(AP2838="","À RADIOGRAPHIER",IF(AP2838="A","ACCEPTÉ",IF(AP2838="NX","NX – RT À REFAIRE",IF(IF(AO2838=1,AD2838,IF(AO2838=2,AI2838,""))="A","RÉPARÉ – À RADIOGRAPHIER",IF(IF(AO2838=1,AD2838,IF(AO2838=2,AI2838,""))="R","VT REJETÉ – À REPRENDRE",IF(OR(AP2838="CO",AP2838="NT"),"COUPE – À RESOUDER","À RÉPARER"))))))))))</f>
        <v/>
      </c>
      <c r="AR2838" s="82" t="str">
        <f aca="false">IF(AND(ISNUMBER(U2838),OR(AQ2838="À RADIOGRAPHIER",AQ2838="RÉPARÉ – À RADIOGRAPHIER",AQ2838="NX – RT À REFAIRE",AQ2838="À RÉPARER",AQ2838="COUPE – À RESOUDER",AQ2838="VT REJETÉ – À REPRENDRE")),MAX(0,'PROGRAMME RT'!$C$4-U2838),"")</f>
        <v/>
      </c>
      <c r="AS2838" s="82" t="n">
        <f aca="false">IF(AND(OR(AQ2838="À RADIOGRAPHIER",AQ2838="RÉPARÉ – À RADIOGRAPHIER",AQ2838="NX – RT À REFAIRE"),OR('PROGRAMME RT'!$D$5="TOUTES",B2838='PROGRAMME RT'!$D$5)),1,0)</f>
        <v>0</v>
      </c>
      <c r="AT2838" s="82" t="str">
        <f aca="false">IF(AS2838=1,SUM(AS$7:AS2838),"")</f>
        <v/>
      </c>
      <c r="AU2838" s="82" t="n">
        <f aca="false">IF(AND(OR(AA2838="R",AA2838="NX",AA2838="NT",AA2838="CO"),OR('JOINTS DE RÉPARATION'!$D$5="TOUTES",B2838='JOINTS DE RÉPARATION'!$D$5),OR('JOINTS DE RÉPARATION'!$L$4="TOUS",AQ2838&lt;&gt;"ACCEPTÉ")),1,0)</f>
        <v>0</v>
      </c>
      <c r="AV2838" s="82" t="str">
        <f aca="false">IF(AU2838=1,SUM(AU$7:AU2838),"")</f>
        <v/>
      </c>
      <c r="AW2838" s="82" t="str">
        <f aca="false">IF(E2838="","",B2838&amp;"|"&amp;E2838)</f>
        <v/>
      </c>
    </row>
    <row r="2839" customFormat="false" ht="15" hidden="false" customHeight="false" outlineLevel="0" collapsed="false">
      <c r="A2839" s="79" t="str">
        <f aca="false">IF(E2839="","",ROW()-6)</f>
        <v/>
      </c>
      <c r="B2839" s="80"/>
      <c r="C2839" s="81"/>
      <c r="D2839" s="81"/>
      <c r="E2839" s="81"/>
      <c r="F2839" s="82" t="str">
        <f aca="false">IF(E2839="","",IF(LEFT(E2839,2)="DJ","DJ","JN"))</f>
        <v/>
      </c>
      <c r="G2839" s="81"/>
      <c r="H2839" s="81"/>
      <c r="I2839" s="81"/>
      <c r="J2839" s="81"/>
      <c r="K2839" s="81"/>
      <c r="L2839" s="81"/>
      <c r="M2839" s="81"/>
      <c r="N2839" s="81"/>
      <c r="O2839" s="81"/>
      <c r="P2839" s="81"/>
      <c r="Q2839" s="81"/>
      <c r="R2839" s="81"/>
      <c r="S2839" s="81"/>
      <c r="T2839" s="81"/>
      <c r="U2839" s="83"/>
      <c r="V2839" s="83"/>
      <c r="W2839" s="81"/>
      <c r="X2839" s="81"/>
      <c r="Y2839" s="83"/>
      <c r="Z2839" s="81"/>
      <c r="AA2839" s="81"/>
      <c r="AB2839" s="81"/>
      <c r="AC2839" s="81"/>
      <c r="AD2839" s="81"/>
      <c r="AE2839" s="83"/>
      <c r="AF2839" s="81"/>
      <c r="AG2839" s="81"/>
      <c r="AH2839" s="81"/>
      <c r="AI2839" s="81"/>
      <c r="AJ2839" s="83"/>
      <c r="AK2839" s="81"/>
      <c r="AL2839" s="81"/>
      <c r="AM2839" s="83"/>
      <c r="AN2839" s="80"/>
      <c r="AO2839" s="82" t="str">
        <f aca="false">IF(E2839="","",(AA2839&lt;&gt;"")+(AG2839&lt;&gt;"")+(AL2839&lt;&gt;""))</f>
        <v/>
      </c>
      <c r="AP2839" s="82" t="str">
        <f aca="false">IF(AL2839&lt;&gt;"",AL2839,IF(AG2839&lt;&gt;"",AG2839,IF(AA2839&lt;&gt;"",AA2839,"")))</f>
        <v/>
      </c>
      <c r="AQ2839" s="84" t="str">
        <f aca="false">IF(E2839="","",IF(U2839="","À SOUDER",IF(X2839="","VT EN ATTENTE",IF(X2839="R","VT REJETÉ – À REPRENDRE",IF(AP2839="","À RADIOGRAPHIER",IF(AP2839="A","ACCEPTÉ",IF(AP2839="NX","NX – RT À REFAIRE",IF(IF(AO2839=1,AD2839,IF(AO2839=2,AI2839,""))="A","RÉPARÉ – À RADIOGRAPHIER",IF(IF(AO2839=1,AD2839,IF(AO2839=2,AI2839,""))="R","VT REJETÉ – À REPRENDRE",IF(OR(AP2839="CO",AP2839="NT"),"COUPE – À RESOUDER","À RÉPARER"))))))))))</f>
        <v/>
      </c>
      <c r="AR2839" s="82" t="str">
        <f aca="false">IF(AND(ISNUMBER(U2839),OR(AQ2839="À RADIOGRAPHIER",AQ2839="RÉPARÉ – À RADIOGRAPHIER",AQ2839="NX – RT À REFAIRE",AQ2839="À RÉPARER",AQ2839="COUPE – À RESOUDER",AQ2839="VT REJETÉ – À REPRENDRE")),MAX(0,'PROGRAMME RT'!$C$4-U2839),"")</f>
        <v/>
      </c>
      <c r="AS2839" s="82" t="n">
        <f aca="false">IF(AND(OR(AQ2839="À RADIOGRAPHIER",AQ2839="RÉPARÉ – À RADIOGRAPHIER",AQ2839="NX – RT À REFAIRE"),OR('PROGRAMME RT'!$D$5="TOUTES",B2839='PROGRAMME RT'!$D$5)),1,0)</f>
        <v>0</v>
      </c>
      <c r="AT2839" s="82" t="str">
        <f aca="false">IF(AS2839=1,SUM(AS$7:AS2839),"")</f>
        <v/>
      </c>
      <c r="AU2839" s="82" t="n">
        <f aca="false">IF(AND(OR(AA2839="R",AA2839="NX",AA2839="NT",AA2839="CO"),OR('JOINTS DE RÉPARATION'!$D$5="TOUTES",B2839='JOINTS DE RÉPARATION'!$D$5),OR('JOINTS DE RÉPARATION'!$L$4="TOUS",AQ2839&lt;&gt;"ACCEPTÉ")),1,0)</f>
        <v>0</v>
      </c>
      <c r="AV2839" s="82" t="str">
        <f aca="false">IF(AU2839=1,SUM(AU$7:AU2839),"")</f>
        <v/>
      </c>
      <c r="AW2839" s="82" t="str">
        <f aca="false">IF(E2839="","",B2839&amp;"|"&amp;E2839)</f>
        <v/>
      </c>
    </row>
    <row r="2840" customFormat="false" ht="15" hidden="false" customHeight="false" outlineLevel="0" collapsed="false">
      <c r="A2840" s="79" t="str">
        <f aca="false">IF(E2840="","",ROW()-6)</f>
        <v/>
      </c>
      <c r="B2840" s="80"/>
      <c r="C2840" s="81"/>
      <c r="D2840" s="81"/>
      <c r="E2840" s="81"/>
      <c r="F2840" s="82" t="str">
        <f aca="false">IF(E2840="","",IF(LEFT(E2840,2)="DJ","DJ","JN"))</f>
        <v/>
      </c>
      <c r="G2840" s="81"/>
      <c r="H2840" s="81"/>
      <c r="I2840" s="81"/>
      <c r="J2840" s="81"/>
      <c r="K2840" s="81"/>
      <c r="L2840" s="81"/>
      <c r="M2840" s="81"/>
      <c r="N2840" s="81"/>
      <c r="O2840" s="81"/>
      <c r="P2840" s="81"/>
      <c r="Q2840" s="81"/>
      <c r="R2840" s="81"/>
      <c r="S2840" s="81"/>
      <c r="T2840" s="81"/>
      <c r="U2840" s="83"/>
      <c r="V2840" s="83"/>
      <c r="W2840" s="81"/>
      <c r="X2840" s="81"/>
      <c r="Y2840" s="83"/>
      <c r="Z2840" s="81"/>
      <c r="AA2840" s="81"/>
      <c r="AB2840" s="81"/>
      <c r="AC2840" s="81"/>
      <c r="AD2840" s="81"/>
      <c r="AE2840" s="83"/>
      <c r="AF2840" s="81"/>
      <c r="AG2840" s="81"/>
      <c r="AH2840" s="81"/>
      <c r="AI2840" s="81"/>
      <c r="AJ2840" s="83"/>
      <c r="AK2840" s="81"/>
      <c r="AL2840" s="81"/>
      <c r="AM2840" s="83"/>
      <c r="AN2840" s="80"/>
      <c r="AO2840" s="82" t="str">
        <f aca="false">IF(E2840="","",(AA2840&lt;&gt;"")+(AG2840&lt;&gt;"")+(AL2840&lt;&gt;""))</f>
        <v/>
      </c>
      <c r="AP2840" s="82" t="str">
        <f aca="false">IF(AL2840&lt;&gt;"",AL2840,IF(AG2840&lt;&gt;"",AG2840,IF(AA2840&lt;&gt;"",AA2840,"")))</f>
        <v/>
      </c>
      <c r="AQ2840" s="84" t="str">
        <f aca="false">IF(E2840="","",IF(U2840="","À SOUDER",IF(X2840="","VT EN ATTENTE",IF(X2840="R","VT REJETÉ – À REPRENDRE",IF(AP2840="","À RADIOGRAPHIER",IF(AP2840="A","ACCEPTÉ",IF(AP2840="NX","NX – RT À REFAIRE",IF(IF(AO2840=1,AD2840,IF(AO2840=2,AI2840,""))="A","RÉPARÉ – À RADIOGRAPHIER",IF(IF(AO2840=1,AD2840,IF(AO2840=2,AI2840,""))="R","VT REJETÉ – À REPRENDRE",IF(OR(AP2840="CO",AP2840="NT"),"COUPE – À RESOUDER","À RÉPARER"))))))))))</f>
        <v/>
      </c>
      <c r="AR2840" s="82" t="str">
        <f aca="false">IF(AND(ISNUMBER(U2840),OR(AQ2840="À RADIOGRAPHIER",AQ2840="RÉPARÉ – À RADIOGRAPHIER",AQ2840="NX – RT À REFAIRE",AQ2840="À RÉPARER",AQ2840="COUPE – À RESOUDER",AQ2840="VT REJETÉ – À REPRENDRE")),MAX(0,'PROGRAMME RT'!$C$4-U2840),"")</f>
        <v/>
      </c>
      <c r="AS2840" s="82" t="n">
        <f aca="false">IF(AND(OR(AQ2840="À RADIOGRAPHIER",AQ2840="RÉPARÉ – À RADIOGRAPHIER",AQ2840="NX – RT À REFAIRE"),OR('PROGRAMME RT'!$D$5="TOUTES",B2840='PROGRAMME RT'!$D$5)),1,0)</f>
        <v>0</v>
      </c>
      <c r="AT2840" s="82" t="str">
        <f aca="false">IF(AS2840=1,SUM(AS$7:AS2840),"")</f>
        <v/>
      </c>
      <c r="AU2840" s="82" t="n">
        <f aca="false">IF(AND(OR(AA2840="R",AA2840="NX",AA2840="NT",AA2840="CO"),OR('JOINTS DE RÉPARATION'!$D$5="TOUTES",B2840='JOINTS DE RÉPARATION'!$D$5),OR('JOINTS DE RÉPARATION'!$L$4="TOUS",AQ2840&lt;&gt;"ACCEPTÉ")),1,0)</f>
        <v>0</v>
      </c>
      <c r="AV2840" s="82" t="str">
        <f aca="false">IF(AU2840=1,SUM(AU$7:AU2840),"")</f>
        <v/>
      </c>
      <c r="AW2840" s="82" t="str">
        <f aca="false">IF(E2840="","",B2840&amp;"|"&amp;E2840)</f>
        <v/>
      </c>
    </row>
    <row r="2841" customFormat="false" ht="15" hidden="false" customHeight="false" outlineLevel="0" collapsed="false">
      <c r="A2841" s="79" t="str">
        <f aca="false">IF(E2841="","",ROW()-6)</f>
        <v/>
      </c>
      <c r="B2841" s="80"/>
      <c r="C2841" s="81"/>
      <c r="D2841" s="81"/>
      <c r="E2841" s="81"/>
      <c r="F2841" s="82" t="str">
        <f aca="false">IF(E2841="","",IF(LEFT(E2841,2)="DJ","DJ","JN"))</f>
        <v/>
      </c>
      <c r="G2841" s="81"/>
      <c r="H2841" s="81"/>
      <c r="I2841" s="81"/>
      <c r="J2841" s="81"/>
      <c r="K2841" s="81"/>
      <c r="L2841" s="81"/>
      <c r="M2841" s="81"/>
      <c r="N2841" s="81"/>
      <c r="O2841" s="81"/>
      <c r="P2841" s="81"/>
      <c r="Q2841" s="81"/>
      <c r="R2841" s="81"/>
      <c r="S2841" s="81"/>
      <c r="T2841" s="81"/>
      <c r="U2841" s="83"/>
      <c r="V2841" s="83"/>
      <c r="W2841" s="81"/>
      <c r="X2841" s="81"/>
      <c r="Y2841" s="83"/>
      <c r="Z2841" s="81"/>
      <c r="AA2841" s="81"/>
      <c r="AB2841" s="81"/>
      <c r="AC2841" s="81"/>
      <c r="AD2841" s="81"/>
      <c r="AE2841" s="83"/>
      <c r="AF2841" s="81"/>
      <c r="AG2841" s="81"/>
      <c r="AH2841" s="81"/>
      <c r="AI2841" s="81"/>
      <c r="AJ2841" s="83"/>
      <c r="AK2841" s="81"/>
      <c r="AL2841" s="81"/>
      <c r="AM2841" s="83"/>
      <c r="AN2841" s="80"/>
      <c r="AO2841" s="82" t="str">
        <f aca="false">IF(E2841="","",(AA2841&lt;&gt;"")+(AG2841&lt;&gt;"")+(AL2841&lt;&gt;""))</f>
        <v/>
      </c>
      <c r="AP2841" s="82" t="str">
        <f aca="false">IF(AL2841&lt;&gt;"",AL2841,IF(AG2841&lt;&gt;"",AG2841,IF(AA2841&lt;&gt;"",AA2841,"")))</f>
        <v/>
      </c>
      <c r="AQ2841" s="84" t="str">
        <f aca="false">IF(E2841="","",IF(U2841="","À SOUDER",IF(X2841="","VT EN ATTENTE",IF(X2841="R","VT REJETÉ – À REPRENDRE",IF(AP2841="","À RADIOGRAPHIER",IF(AP2841="A","ACCEPTÉ",IF(AP2841="NX","NX – RT À REFAIRE",IF(IF(AO2841=1,AD2841,IF(AO2841=2,AI2841,""))="A","RÉPARÉ – À RADIOGRAPHIER",IF(IF(AO2841=1,AD2841,IF(AO2841=2,AI2841,""))="R","VT REJETÉ – À REPRENDRE",IF(OR(AP2841="CO",AP2841="NT"),"COUPE – À RESOUDER","À RÉPARER"))))))))))</f>
        <v/>
      </c>
      <c r="AR2841" s="82" t="str">
        <f aca="false">IF(AND(ISNUMBER(U2841),OR(AQ2841="À RADIOGRAPHIER",AQ2841="RÉPARÉ – À RADIOGRAPHIER",AQ2841="NX – RT À REFAIRE",AQ2841="À RÉPARER",AQ2841="COUPE – À RESOUDER",AQ2841="VT REJETÉ – À REPRENDRE")),MAX(0,'PROGRAMME RT'!$C$4-U2841),"")</f>
        <v/>
      </c>
      <c r="AS2841" s="82" t="n">
        <f aca="false">IF(AND(OR(AQ2841="À RADIOGRAPHIER",AQ2841="RÉPARÉ – À RADIOGRAPHIER",AQ2841="NX – RT À REFAIRE"),OR('PROGRAMME RT'!$D$5="TOUTES",B2841='PROGRAMME RT'!$D$5)),1,0)</f>
        <v>0</v>
      </c>
      <c r="AT2841" s="82" t="str">
        <f aca="false">IF(AS2841=1,SUM(AS$7:AS2841),"")</f>
        <v/>
      </c>
      <c r="AU2841" s="82" t="n">
        <f aca="false">IF(AND(OR(AA2841="R",AA2841="NX",AA2841="NT",AA2841="CO"),OR('JOINTS DE RÉPARATION'!$D$5="TOUTES",B2841='JOINTS DE RÉPARATION'!$D$5),OR('JOINTS DE RÉPARATION'!$L$4="TOUS",AQ2841&lt;&gt;"ACCEPTÉ")),1,0)</f>
        <v>0</v>
      </c>
      <c r="AV2841" s="82" t="str">
        <f aca="false">IF(AU2841=1,SUM(AU$7:AU2841),"")</f>
        <v/>
      </c>
      <c r="AW2841" s="82" t="str">
        <f aca="false">IF(E2841="","",B2841&amp;"|"&amp;E2841)</f>
        <v/>
      </c>
    </row>
    <row r="2842" customFormat="false" ht="15" hidden="false" customHeight="false" outlineLevel="0" collapsed="false">
      <c r="A2842" s="79" t="str">
        <f aca="false">IF(E2842="","",ROW()-6)</f>
        <v/>
      </c>
      <c r="B2842" s="80"/>
      <c r="C2842" s="81"/>
      <c r="D2842" s="81"/>
      <c r="E2842" s="81"/>
      <c r="F2842" s="82" t="str">
        <f aca="false">IF(E2842="","",IF(LEFT(E2842,2)="DJ","DJ","JN"))</f>
        <v/>
      </c>
      <c r="G2842" s="81"/>
      <c r="H2842" s="81"/>
      <c r="I2842" s="81"/>
      <c r="J2842" s="81"/>
      <c r="K2842" s="81"/>
      <c r="L2842" s="81"/>
      <c r="M2842" s="81"/>
      <c r="N2842" s="81"/>
      <c r="O2842" s="81"/>
      <c r="P2842" s="81"/>
      <c r="Q2842" s="81"/>
      <c r="R2842" s="81"/>
      <c r="S2842" s="81"/>
      <c r="T2842" s="81"/>
      <c r="U2842" s="83"/>
      <c r="V2842" s="83"/>
      <c r="W2842" s="81"/>
      <c r="X2842" s="81"/>
      <c r="Y2842" s="83"/>
      <c r="Z2842" s="81"/>
      <c r="AA2842" s="81"/>
      <c r="AB2842" s="81"/>
      <c r="AC2842" s="81"/>
      <c r="AD2842" s="81"/>
      <c r="AE2842" s="83"/>
      <c r="AF2842" s="81"/>
      <c r="AG2842" s="81"/>
      <c r="AH2842" s="81"/>
      <c r="AI2842" s="81"/>
      <c r="AJ2842" s="83"/>
      <c r="AK2842" s="81"/>
      <c r="AL2842" s="81"/>
      <c r="AM2842" s="83"/>
      <c r="AN2842" s="80"/>
      <c r="AO2842" s="82" t="str">
        <f aca="false">IF(E2842="","",(AA2842&lt;&gt;"")+(AG2842&lt;&gt;"")+(AL2842&lt;&gt;""))</f>
        <v/>
      </c>
      <c r="AP2842" s="82" t="str">
        <f aca="false">IF(AL2842&lt;&gt;"",AL2842,IF(AG2842&lt;&gt;"",AG2842,IF(AA2842&lt;&gt;"",AA2842,"")))</f>
        <v/>
      </c>
      <c r="AQ2842" s="84" t="str">
        <f aca="false">IF(E2842="","",IF(U2842="","À SOUDER",IF(X2842="","VT EN ATTENTE",IF(X2842="R","VT REJETÉ – À REPRENDRE",IF(AP2842="","À RADIOGRAPHIER",IF(AP2842="A","ACCEPTÉ",IF(AP2842="NX","NX – RT À REFAIRE",IF(IF(AO2842=1,AD2842,IF(AO2842=2,AI2842,""))="A","RÉPARÉ – À RADIOGRAPHIER",IF(IF(AO2842=1,AD2842,IF(AO2842=2,AI2842,""))="R","VT REJETÉ – À REPRENDRE",IF(OR(AP2842="CO",AP2842="NT"),"COUPE – À RESOUDER","À RÉPARER"))))))))))</f>
        <v/>
      </c>
      <c r="AR2842" s="82" t="str">
        <f aca="false">IF(AND(ISNUMBER(U2842),OR(AQ2842="À RADIOGRAPHIER",AQ2842="RÉPARÉ – À RADIOGRAPHIER",AQ2842="NX – RT À REFAIRE",AQ2842="À RÉPARER",AQ2842="COUPE – À RESOUDER",AQ2842="VT REJETÉ – À REPRENDRE")),MAX(0,'PROGRAMME RT'!$C$4-U2842),"")</f>
        <v/>
      </c>
      <c r="AS2842" s="82" t="n">
        <f aca="false">IF(AND(OR(AQ2842="À RADIOGRAPHIER",AQ2842="RÉPARÉ – À RADIOGRAPHIER",AQ2842="NX – RT À REFAIRE"),OR('PROGRAMME RT'!$D$5="TOUTES",B2842='PROGRAMME RT'!$D$5)),1,0)</f>
        <v>0</v>
      </c>
      <c r="AT2842" s="82" t="str">
        <f aca="false">IF(AS2842=1,SUM(AS$7:AS2842),"")</f>
        <v/>
      </c>
      <c r="AU2842" s="82" t="n">
        <f aca="false">IF(AND(OR(AA2842="R",AA2842="NX",AA2842="NT",AA2842="CO"),OR('JOINTS DE RÉPARATION'!$D$5="TOUTES",B2842='JOINTS DE RÉPARATION'!$D$5),OR('JOINTS DE RÉPARATION'!$L$4="TOUS",AQ2842&lt;&gt;"ACCEPTÉ")),1,0)</f>
        <v>0</v>
      </c>
      <c r="AV2842" s="82" t="str">
        <f aca="false">IF(AU2842=1,SUM(AU$7:AU2842),"")</f>
        <v/>
      </c>
      <c r="AW2842" s="82" t="str">
        <f aca="false">IF(E2842="","",B2842&amp;"|"&amp;E2842)</f>
        <v/>
      </c>
    </row>
    <row r="2843" customFormat="false" ht="15" hidden="false" customHeight="false" outlineLevel="0" collapsed="false">
      <c r="A2843" s="79" t="str">
        <f aca="false">IF(E2843="","",ROW()-6)</f>
        <v/>
      </c>
      <c r="B2843" s="80"/>
      <c r="C2843" s="81"/>
      <c r="D2843" s="81"/>
      <c r="E2843" s="81"/>
      <c r="F2843" s="82" t="str">
        <f aca="false">IF(E2843="","",IF(LEFT(E2843,2)="DJ","DJ","JN"))</f>
        <v/>
      </c>
      <c r="G2843" s="81"/>
      <c r="H2843" s="81"/>
      <c r="I2843" s="81"/>
      <c r="J2843" s="81"/>
      <c r="K2843" s="81"/>
      <c r="L2843" s="81"/>
      <c r="M2843" s="81"/>
      <c r="N2843" s="81"/>
      <c r="O2843" s="81"/>
      <c r="P2843" s="81"/>
      <c r="Q2843" s="81"/>
      <c r="R2843" s="81"/>
      <c r="S2843" s="81"/>
      <c r="T2843" s="81"/>
      <c r="U2843" s="83"/>
      <c r="V2843" s="83"/>
      <c r="W2843" s="81"/>
      <c r="X2843" s="81"/>
      <c r="Y2843" s="83"/>
      <c r="Z2843" s="81"/>
      <c r="AA2843" s="81"/>
      <c r="AB2843" s="81"/>
      <c r="AC2843" s="81"/>
      <c r="AD2843" s="81"/>
      <c r="AE2843" s="83"/>
      <c r="AF2843" s="81"/>
      <c r="AG2843" s="81"/>
      <c r="AH2843" s="81"/>
      <c r="AI2843" s="81"/>
      <c r="AJ2843" s="83"/>
      <c r="AK2843" s="81"/>
      <c r="AL2843" s="81"/>
      <c r="AM2843" s="83"/>
      <c r="AN2843" s="80"/>
      <c r="AO2843" s="82" t="str">
        <f aca="false">IF(E2843="","",(AA2843&lt;&gt;"")+(AG2843&lt;&gt;"")+(AL2843&lt;&gt;""))</f>
        <v/>
      </c>
      <c r="AP2843" s="82" t="str">
        <f aca="false">IF(AL2843&lt;&gt;"",AL2843,IF(AG2843&lt;&gt;"",AG2843,IF(AA2843&lt;&gt;"",AA2843,"")))</f>
        <v/>
      </c>
      <c r="AQ2843" s="84" t="str">
        <f aca="false">IF(E2843="","",IF(U2843="","À SOUDER",IF(X2843="","VT EN ATTENTE",IF(X2843="R","VT REJETÉ – À REPRENDRE",IF(AP2843="","À RADIOGRAPHIER",IF(AP2843="A","ACCEPTÉ",IF(AP2843="NX","NX – RT À REFAIRE",IF(IF(AO2843=1,AD2843,IF(AO2843=2,AI2843,""))="A","RÉPARÉ – À RADIOGRAPHIER",IF(IF(AO2843=1,AD2843,IF(AO2843=2,AI2843,""))="R","VT REJETÉ – À REPRENDRE",IF(OR(AP2843="CO",AP2843="NT"),"COUPE – À RESOUDER","À RÉPARER"))))))))))</f>
        <v/>
      </c>
      <c r="AR2843" s="82" t="str">
        <f aca="false">IF(AND(ISNUMBER(U2843),OR(AQ2843="À RADIOGRAPHIER",AQ2843="RÉPARÉ – À RADIOGRAPHIER",AQ2843="NX – RT À REFAIRE",AQ2843="À RÉPARER",AQ2843="COUPE – À RESOUDER",AQ2843="VT REJETÉ – À REPRENDRE")),MAX(0,'PROGRAMME RT'!$C$4-U2843),"")</f>
        <v/>
      </c>
      <c r="AS2843" s="82" t="n">
        <f aca="false">IF(AND(OR(AQ2843="À RADIOGRAPHIER",AQ2843="RÉPARÉ – À RADIOGRAPHIER",AQ2843="NX – RT À REFAIRE"),OR('PROGRAMME RT'!$D$5="TOUTES",B2843='PROGRAMME RT'!$D$5)),1,0)</f>
        <v>0</v>
      </c>
      <c r="AT2843" s="82" t="str">
        <f aca="false">IF(AS2843=1,SUM(AS$7:AS2843),"")</f>
        <v/>
      </c>
      <c r="AU2843" s="82" t="n">
        <f aca="false">IF(AND(OR(AA2843="R",AA2843="NX",AA2843="NT",AA2843="CO"),OR('JOINTS DE RÉPARATION'!$D$5="TOUTES",B2843='JOINTS DE RÉPARATION'!$D$5),OR('JOINTS DE RÉPARATION'!$L$4="TOUS",AQ2843&lt;&gt;"ACCEPTÉ")),1,0)</f>
        <v>0</v>
      </c>
      <c r="AV2843" s="82" t="str">
        <f aca="false">IF(AU2843=1,SUM(AU$7:AU2843),"")</f>
        <v/>
      </c>
      <c r="AW2843" s="82" t="str">
        <f aca="false">IF(E2843="","",B2843&amp;"|"&amp;E2843)</f>
        <v/>
      </c>
    </row>
    <row r="2844" customFormat="false" ht="15" hidden="false" customHeight="false" outlineLevel="0" collapsed="false">
      <c r="A2844" s="79" t="str">
        <f aca="false">IF(E2844="","",ROW()-6)</f>
        <v/>
      </c>
      <c r="B2844" s="80"/>
      <c r="C2844" s="81"/>
      <c r="D2844" s="81"/>
      <c r="E2844" s="81"/>
      <c r="F2844" s="82" t="str">
        <f aca="false">IF(E2844="","",IF(LEFT(E2844,2)="DJ","DJ","JN"))</f>
        <v/>
      </c>
      <c r="G2844" s="81"/>
      <c r="H2844" s="81"/>
      <c r="I2844" s="81"/>
      <c r="J2844" s="81"/>
      <c r="K2844" s="81"/>
      <c r="L2844" s="81"/>
      <c r="M2844" s="81"/>
      <c r="N2844" s="81"/>
      <c r="O2844" s="81"/>
      <c r="P2844" s="81"/>
      <c r="Q2844" s="81"/>
      <c r="R2844" s="81"/>
      <c r="S2844" s="81"/>
      <c r="T2844" s="81"/>
      <c r="U2844" s="83"/>
      <c r="V2844" s="83"/>
      <c r="W2844" s="81"/>
      <c r="X2844" s="81"/>
      <c r="Y2844" s="83"/>
      <c r="Z2844" s="81"/>
      <c r="AA2844" s="81"/>
      <c r="AB2844" s="81"/>
      <c r="AC2844" s="81"/>
      <c r="AD2844" s="81"/>
      <c r="AE2844" s="83"/>
      <c r="AF2844" s="81"/>
      <c r="AG2844" s="81"/>
      <c r="AH2844" s="81"/>
      <c r="AI2844" s="81"/>
      <c r="AJ2844" s="83"/>
      <c r="AK2844" s="81"/>
      <c r="AL2844" s="81"/>
      <c r="AM2844" s="83"/>
      <c r="AN2844" s="80"/>
      <c r="AO2844" s="82" t="str">
        <f aca="false">IF(E2844="","",(AA2844&lt;&gt;"")+(AG2844&lt;&gt;"")+(AL2844&lt;&gt;""))</f>
        <v/>
      </c>
      <c r="AP2844" s="82" t="str">
        <f aca="false">IF(AL2844&lt;&gt;"",AL2844,IF(AG2844&lt;&gt;"",AG2844,IF(AA2844&lt;&gt;"",AA2844,"")))</f>
        <v/>
      </c>
      <c r="AQ2844" s="84" t="str">
        <f aca="false">IF(E2844="","",IF(U2844="","À SOUDER",IF(X2844="","VT EN ATTENTE",IF(X2844="R","VT REJETÉ – À REPRENDRE",IF(AP2844="","À RADIOGRAPHIER",IF(AP2844="A","ACCEPTÉ",IF(AP2844="NX","NX – RT À REFAIRE",IF(IF(AO2844=1,AD2844,IF(AO2844=2,AI2844,""))="A","RÉPARÉ – À RADIOGRAPHIER",IF(IF(AO2844=1,AD2844,IF(AO2844=2,AI2844,""))="R","VT REJETÉ – À REPRENDRE",IF(OR(AP2844="CO",AP2844="NT"),"COUPE – À RESOUDER","À RÉPARER"))))))))))</f>
        <v/>
      </c>
      <c r="AR2844" s="82" t="str">
        <f aca="false">IF(AND(ISNUMBER(U2844),OR(AQ2844="À RADIOGRAPHIER",AQ2844="RÉPARÉ – À RADIOGRAPHIER",AQ2844="NX – RT À REFAIRE",AQ2844="À RÉPARER",AQ2844="COUPE – À RESOUDER",AQ2844="VT REJETÉ – À REPRENDRE")),MAX(0,'PROGRAMME RT'!$C$4-U2844),"")</f>
        <v/>
      </c>
      <c r="AS2844" s="82" t="n">
        <f aca="false">IF(AND(OR(AQ2844="À RADIOGRAPHIER",AQ2844="RÉPARÉ – À RADIOGRAPHIER",AQ2844="NX – RT À REFAIRE"),OR('PROGRAMME RT'!$D$5="TOUTES",B2844='PROGRAMME RT'!$D$5)),1,0)</f>
        <v>0</v>
      </c>
      <c r="AT2844" s="82" t="str">
        <f aca="false">IF(AS2844=1,SUM(AS$7:AS2844),"")</f>
        <v/>
      </c>
      <c r="AU2844" s="82" t="n">
        <f aca="false">IF(AND(OR(AA2844="R",AA2844="NX",AA2844="NT",AA2844="CO"),OR('JOINTS DE RÉPARATION'!$D$5="TOUTES",B2844='JOINTS DE RÉPARATION'!$D$5),OR('JOINTS DE RÉPARATION'!$L$4="TOUS",AQ2844&lt;&gt;"ACCEPTÉ")),1,0)</f>
        <v>0</v>
      </c>
      <c r="AV2844" s="82" t="str">
        <f aca="false">IF(AU2844=1,SUM(AU$7:AU2844),"")</f>
        <v/>
      </c>
      <c r="AW2844" s="82" t="str">
        <f aca="false">IF(E2844="","",B2844&amp;"|"&amp;E2844)</f>
        <v/>
      </c>
    </row>
    <row r="2845" customFormat="false" ht="15" hidden="false" customHeight="false" outlineLevel="0" collapsed="false">
      <c r="A2845" s="79" t="str">
        <f aca="false">IF(E2845="","",ROW()-6)</f>
        <v/>
      </c>
      <c r="B2845" s="80"/>
      <c r="C2845" s="81"/>
      <c r="D2845" s="81"/>
      <c r="E2845" s="81"/>
      <c r="F2845" s="82" t="str">
        <f aca="false">IF(E2845="","",IF(LEFT(E2845,2)="DJ","DJ","JN"))</f>
        <v/>
      </c>
      <c r="G2845" s="81"/>
      <c r="H2845" s="81"/>
      <c r="I2845" s="81"/>
      <c r="J2845" s="81"/>
      <c r="K2845" s="81"/>
      <c r="L2845" s="81"/>
      <c r="M2845" s="81"/>
      <c r="N2845" s="81"/>
      <c r="O2845" s="81"/>
      <c r="P2845" s="81"/>
      <c r="Q2845" s="81"/>
      <c r="R2845" s="81"/>
      <c r="S2845" s="81"/>
      <c r="T2845" s="81"/>
      <c r="U2845" s="83"/>
      <c r="V2845" s="83"/>
      <c r="W2845" s="81"/>
      <c r="X2845" s="81"/>
      <c r="Y2845" s="83"/>
      <c r="Z2845" s="81"/>
      <c r="AA2845" s="81"/>
      <c r="AB2845" s="81"/>
      <c r="AC2845" s="81"/>
      <c r="AD2845" s="81"/>
      <c r="AE2845" s="83"/>
      <c r="AF2845" s="81"/>
      <c r="AG2845" s="81"/>
      <c r="AH2845" s="81"/>
      <c r="AI2845" s="81"/>
      <c r="AJ2845" s="83"/>
      <c r="AK2845" s="81"/>
      <c r="AL2845" s="81"/>
      <c r="AM2845" s="83"/>
      <c r="AN2845" s="80"/>
      <c r="AO2845" s="82" t="str">
        <f aca="false">IF(E2845="","",(AA2845&lt;&gt;"")+(AG2845&lt;&gt;"")+(AL2845&lt;&gt;""))</f>
        <v/>
      </c>
      <c r="AP2845" s="82" t="str">
        <f aca="false">IF(AL2845&lt;&gt;"",AL2845,IF(AG2845&lt;&gt;"",AG2845,IF(AA2845&lt;&gt;"",AA2845,"")))</f>
        <v/>
      </c>
      <c r="AQ2845" s="84" t="str">
        <f aca="false">IF(E2845="","",IF(U2845="","À SOUDER",IF(X2845="","VT EN ATTENTE",IF(X2845="R","VT REJETÉ – À REPRENDRE",IF(AP2845="","À RADIOGRAPHIER",IF(AP2845="A","ACCEPTÉ",IF(AP2845="NX","NX – RT À REFAIRE",IF(IF(AO2845=1,AD2845,IF(AO2845=2,AI2845,""))="A","RÉPARÉ – À RADIOGRAPHIER",IF(IF(AO2845=1,AD2845,IF(AO2845=2,AI2845,""))="R","VT REJETÉ – À REPRENDRE",IF(OR(AP2845="CO",AP2845="NT"),"COUPE – À RESOUDER","À RÉPARER"))))))))))</f>
        <v/>
      </c>
      <c r="AR2845" s="82" t="str">
        <f aca="false">IF(AND(ISNUMBER(U2845),OR(AQ2845="À RADIOGRAPHIER",AQ2845="RÉPARÉ – À RADIOGRAPHIER",AQ2845="NX – RT À REFAIRE",AQ2845="À RÉPARER",AQ2845="COUPE – À RESOUDER",AQ2845="VT REJETÉ – À REPRENDRE")),MAX(0,'PROGRAMME RT'!$C$4-U2845),"")</f>
        <v/>
      </c>
      <c r="AS2845" s="82" t="n">
        <f aca="false">IF(AND(OR(AQ2845="À RADIOGRAPHIER",AQ2845="RÉPARÉ – À RADIOGRAPHIER",AQ2845="NX – RT À REFAIRE"),OR('PROGRAMME RT'!$D$5="TOUTES",B2845='PROGRAMME RT'!$D$5)),1,0)</f>
        <v>0</v>
      </c>
      <c r="AT2845" s="82" t="str">
        <f aca="false">IF(AS2845=1,SUM(AS$7:AS2845),"")</f>
        <v/>
      </c>
      <c r="AU2845" s="82" t="n">
        <f aca="false">IF(AND(OR(AA2845="R",AA2845="NX",AA2845="NT",AA2845="CO"),OR('JOINTS DE RÉPARATION'!$D$5="TOUTES",B2845='JOINTS DE RÉPARATION'!$D$5),OR('JOINTS DE RÉPARATION'!$L$4="TOUS",AQ2845&lt;&gt;"ACCEPTÉ")),1,0)</f>
        <v>0</v>
      </c>
      <c r="AV2845" s="82" t="str">
        <f aca="false">IF(AU2845=1,SUM(AU$7:AU2845),"")</f>
        <v/>
      </c>
      <c r="AW2845" s="82" t="str">
        <f aca="false">IF(E2845="","",B2845&amp;"|"&amp;E2845)</f>
        <v/>
      </c>
    </row>
    <row r="2846" customFormat="false" ht="15" hidden="false" customHeight="false" outlineLevel="0" collapsed="false">
      <c r="A2846" s="79" t="str">
        <f aca="false">IF(E2846="","",ROW()-6)</f>
        <v/>
      </c>
      <c r="B2846" s="80"/>
      <c r="C2846" s="81"/>
      <c r="D2846" s="81"/>
      <c r="E2846" s="81"/>
      <c r="F2846" s="82" t="str">
        <f aca="false">IF(E2846="","",IF(LEFT(E2846,2)="DJ","DJ","JN"))</f>
        <v/>
      </c>
      <c r="G2846" s="81"/>
      <c r="H2846" s="81"/>
      <c r="I2846" s="81"/>
      <c r="J2846" s="81"/>
      <c r="K2846" s="81"/>
      <c r="L2846" s="81"/>
      <c r="M2846" s="81"/>
      <c r="N2846" s="81"/>
      <c r="O2846" s="81"/>
      <c r="P2846" s="81"/>
      <c r="Q2846" s="81"/>
      <c r="R2846" s="81"/>
      <c r="S2846" s="81"/>
      <c r="T2846" s="81"/>
      <c r="U2846" s="83"/>
      <c r="V2846" s="83"/>
      <c r="W2846" s="81"/>
      <c r="X2846" s="81"/>
      <c r="Y2846" s="83"/>
      <c r="Z2846" s="81"/>
      <c r="AA2846" s="81"/>
      <c r="AB2846" s="81"/>
      <c r="AC2846" s="81"/>
      <c r="AD2846" s="81"/>
      <c r="AE2846" s="83"/>
      <c r="AF2846" s="81"/>
      <c r="AG2846" s="81"/>
      <c r="AH2846" s="81"/>
      <c r="AI2846" s="81"/>
      <c r="AJ2846" s="83"/>
      <c r="AK2846" s="81"/>
      <c r="AL2846" s="81"/>
      <c r="AM2846" s="83"/>
      <c r="AN2846" s="80"/>
      <c r="AO2846" s="82" t="str">
        <f aca="false">IF(E2846="","",(AA2846&lt;&gt;"")+(AG2846&lt;&gt;"")+(AL2846&lt;&gt;""))</f>
        <v/>
      </c>
      <c r="AP2846" s="82" t="str">
        <f aca="false">IF(AL2846&lt;&gt;"",AL2846,IF(AG2846&lt;&gt;"",AG2846,IF(AA2846&lt;&gt;"",AA2846,"")))</f>
        <v/>
      </c>
      <c r="AQ2846" s="84" t="str">
        <f aca="false">IF(E2846="","",IF(U2846="","À SOUDER",IF(X2846="","VT EN ATTENTE",IF(X2846="R","VT REJETÉ – À REPRENDRE",IF(AP2846="","À RADIOGRAPHIER",IF(AP2846="A","ACCEPTÉ",IF(AP2846="NX","NX – RT À REFAIRE",IF(IF(AO2846=1,AD2846,IF(AO2846=2,AI2846,""))="A","RÉPARÉ – À RADIOGRAPHIER",IF(IF(AO2846=1,AD2846,IF(AO2846=2,AI2846,""))="R","VT REJETÉ – À REPRENDRE",IF(OR(AP2846="CO",AP2846="NT"),"COUPE – À RESOUDER","À RÉPARER"))))))))))</f>
        <v/>
      </c>
      <c r="AR2846" s="82" t="str">
        <f aca="false">IF(AND(ISNUMBER(U2846),OR(AQ2846="À RADIOGRAPHIER",AQ2846="RÉPARÉ – À RADIOGRAPHIER",AQ2846="NX – RT À REFAIRE",AQ2846="À RÉPARER",AQ2846="COUPE – À RESOUDER",AQ2846="VT REJETÉ – À REPRENDRE")),MAX(0,'PROGRAMME RT'!$C$4-U2846),"")</f>
        <v/>
      </c>
      <c r="AS2846" s="82" t="n">
        <f aca="false">IF(AND(OR(AQ2846="À RADIOGRAPHIER",AQ2846="RÉPARÉ – À RADIOGRAPHIER",AQ2846="NX – RT À REFAIRE"),OR('PROGRAMME RT'!$D$5="TOUTES",B2846='PROGRAMME RT'!$D$5)),1,0)</f>
        <v>0</v>
      </c>
      <c r="AT2846" s="82" t="str">
        <f aca="false">IF(AS2846=1,SUM(AS$7:AS2846),"")</f>
        <v/>
      </c>
      <c r="AU2846" s="82" t="n">
        <f aca="false">IF(AND(OR(AA2846="R",AA2846="NX",AA2846="NT",AA2846="CO"),OR('JOINTS DE RÉPARATION'!$D$5="TOUTES",B2846='JOINTS DE RÉPARATION'!$D$5),OR('JOINTS DE RÉPARATION'!$L$4="TOUS",AQ2846&lt;&gt;"ACCEPTÉ")),1,0)</f>
        <v>0</v>
      </c>
      <c r="AV2846" s="82" t="str">
        <f aca="false">IF(AU2846=1,SUM(AU$7:AU2846),"")</f>
        <v/>
      </c>
      <c r="AW2846" s="82" t="str">
        <f aca="false">IF(E2846="","",B2846&amp;"|"&amp;E2846)</f>
        <v/>
      </c>
    </row>
    <row r="2847" customFormat="false" ht="15" hidden="false" customHeight="false" outlineLevel="0" collapsed="false">
      <c r="A2847" s="79" t="str">
        <f aca="false">IF(E2847="","",ROW()-6)</f>
        <v/>
      </c>
      <c r="B2847" s="80"/>
      <c r="C2847" s="81"/>
      <c r="D2847" s="81"/>
      <c r="E2847" s="81"/>
      <c r="F2847" s="82" t="str">
        <f aca="false">IF(E2847="","",IF(LEFT(E2847,2)="DJ","DJ","JN"))</f>
        <v/>
      </c>
      <c r="G2847" s="81"/>
      <c r="H2847" s="81"/>
      <c r="I2847" s="81"/>
      <c r="J2847" s="81"/>
      <c r="K2847" s="81"/>
      <c r="L2847" s="81"/>
      <c r="M2847" s="81"/>
      <c r="N2847" s="81"/>
      <c r="O2847" s="81"/>
      <c r="P2847" s="81"/>
      <c r="Q2847" s="81"/>
      <c r="R2847" s="81"/>
      <c r="S2847" s="81"/>
      <c r="T2847" s="81"/>
      <c r="U2847" s="83"/>
      <c r="V2847" s="83"/>
      <c r="W2847" s="81"/>
      <c r="X2847" s="81"/>
      <c r="Y2847" s="83"/>
      <c r="Z2847" s="81"/>
      <c r="AA2847" s="81"/>
      <c r="AB2847" s="81"/>
      <c r="AC2847" s="81"/>
      <c r="AD2847" s="81"/>
      <c r="AE2847" s="83"/>
      <c r="AF2847" s="81"/>
      <c r="AG2847" s="81"/>
      <c r="AH2847" s="81"/>
      <c r="AI2847" s="81"/>
      <c r="AJ2847" s="83"/>
      <c r="AK2847" s="81"/>
      <c r="AL2847" s="81"/>
      <c r="AM2847" s="83"/>
      <c r="AN2847" s="80"/>
      <c r="AO2847" s="82" t="str">
        <f aca="false">IF(E2847="","",(AA2847&lt;&gt;"")+(AG2847&lt;&gt;"")+(AL2847&lt;&gt;""))</f>
        <v/>
      </c>
      <c r="AP2847" s="82" t="str">
        <f aca="false">IF(AL2847&lt;&gt;"",AL2847,IF(AG2847&lt;&gt;"",AG2847,IF(AA2847&lt;&gt;"",AA2847,"")))</f>
        <v/>
      </c>
      <c r="AQ2847" s="84" t="str">
        <f aca="false">IF(E2847="","",IF(U2847="","À SOUDER",IF(X2847="","VT EN ATTENTE",IF(X2847="R","VT REJETÉ – À REPRENDRE",IF(AP2847="","À RADIOGRAPHIER",IF(AP2847="A","ACCEPTÉ",IF(AP2847="NX","NX – RT À REFAIRE",IF(IF(AO2847=1,AD2847,IF(AO2847=2,AI2847,""))="A","RÉPARÉ – À RADIOGRAPHIER",IF(IF(AO2847=1,AD2847,IF(AO2847=2,AI2847,""))="R","VT REJETÉ – À REPRENDRE",IF(OR(AP2847="CO",AP2847="NT"),"COUPE – À RESOUDER","À RÉPARER"))))))))))</f>
        <v/>
      </c>
      <c r="AR2847" s="82" t="str">
        <f aca="false">IF(AND(ISNUMBER(U2847),OR(AQ2847="À RADIOGRAPHIER",AQ2847="RÉPARÉ – À RADIOGRAPHIER",AQ2847="NX – RT À REFAIRE",AQ2847="À RÉPARER",AQ2847="COUPE – À RESOUDER",AQ2847="VT REJETÉ – À REPRENDRE")),MAX(0,'PROGRAMME RT'!$C$4-U2847),"")</f>
        <v/>
      </c>
      <c r="AS2847" s="82" t="n">
        <f aca="false">IF(AND(OR(AQ2847="À RADIOGRAPHIER",AQ2847="RÉPARÉ – À RADIOGRAPHIER",AQ2847="NX – RT À REFAIRE"),OR('PROGRAMME RT'!$D$5="TOUTES",B2847='PROGRAMME RT'!$D$5)),1,0)</f>
        <v>0</v>
      </c>
      <c r="AT2847" s="82" t="str">
        <f aca="false">IF(AS2847=1,SUM(AS$7:AS2847),"")</f>
        <v/>
      </c>
      <c r="AU2847" s="82" t="n">
        <f aca="false">IF(AND(OR(AA2847="R",AA2847="NX",AA2847="NT",AA2847="CO"),OR('JOINTS DE RÉPARATION'!$D$5="TOUTES",B2847='JOINTS DE RÉPARATION'!$D$5),OR('JOINTS DE RÉPARATION'!$L$4="TOUS",AQ2847&lt;&gt;"ACCEPTÉ")),1,0)</f>
        <v>0</v>
      </c>
      <c r="AV2847" s="82" t="str">
        <f aca="false">IF(AU2847=1,SUM(AU$7:AU2847),"")</f>
        <v/>
      </c>
      <c r="AW2847" s="82" t="str">
        <f aca="false">IF(E2847="","",B2847&amp;"|"&amp;E2847)</f>
        <v/>
      </c>
    </row>
    <row r="2848" customFormat="false" ht="15" hidden="false" customHeight="false" outlineLevel="0" collapsed="false">
      <c r="A2848" s="79" t="str">
        <f aca="false">IF(E2848="","",ROW()-6)</f>
        <v/>
      </c>
      <c r="B2848" s="80"/>
      <c r="C2848" s="81"/>
      <c r="D2848" s="81"/>
      <c r="E2848" s="81"/>
      <c r="F2848" s="82" t="str">
        <f aca="false">IF(E2848="","",IF(LEFT(E2848,2)="DJ","DJ","JN"))</f>
        <v/>
      </c>
      <c r="G2848" s="81"/>
      <c r="H2848" s="81"/>
      <c r="I2848" s="81"/>
      <c r="J2848" s="81"/>
      <c r="K2848" s="81"/>
      <c r="L2848" s="81"/>
      <c r="M2848" s="81"/>
      <c r="N2848" s="81"/>
      <c r="O2848" s="81"/>
      <c r="P2848" s="81"/>
      <c r="Q2848" s="81"/>
      <c r="R2848" s="81"/>
      <c r="S2848" s="81"/>
      <c r="T2848" s="81"/>
      <c r="U2848" s="83"/>
      <c r="V2848" s="83"/>
      <c r="W2848" s="81"/>
      <c r="X2848" s="81"/>
      <c r="Y2848" s="83"/>
      <c r="Z2848" s="81"/>
      <c r="AA2848" s="81"/>
      <c r="AB2848" s="81"/>
      <c r="AC2848" s="81"/>
      <c r="AD2848" s="81"/>
      <c r="AE2848" s="83"/>
      <c r="AF2848" s="81"/>
      <c r="AG2848" s="81"/>
      <c r="AH2848" s="81"/>
      <c r="AI2848" s="81"/>
      <c r="AJ2848" s="83"/>
      <c r="AK2848" s="81"/>
      <c r="AL2848" s="81"/>
      <c r="AM2848" s="83"/>
      <c r="AN2848" s="80"/>
      <c r="AO2848" s="82" t="str">
        <f aca="false">IF(E2848="","",(AA2848&lt;&gt;"")+(AG2848&lt;&gt;"")+(AL2848&lt;&gt;""))</f>
        <v/>
      </c>
      <c r="AP2848" s="82" t="str">
        <f aca="false">IF(AL2848&lt;&gt;"",AL2848,IF(AG2848&lt;&gt;"",AG2848,IF(AA2848&lt;&gt;"",AA2848,"")))</f>
        <v/>
      </c>
      <c r="AQ2848" s="84" t="str">
        <f aca="false">IF(E2848="","",IF(U2848="","À SOUDER",IF(X2848="","VT EN ATTENTE",IF(X2848="R","VT REJETÉ – À REPRENDRE",IF(AP2848="","À RADIOGRAPHIER",IF(AP2848="A","ACCEPTÉ",IF(AP2848="NX","NX – RT À REFAIRE",IF(IF(AO2848=1,AD2848,IF(AO2848=2,AI2848,""))="A","RÉPARÉ – À RADIOGRAPHIER",IF(IF(AO2848=1,AD2848,IF(AO2848=2,AI2848,""))="R","VT REJETÉ – À REPRENDRE",IF(OR(AP2848="CO",AP2848="NT"),"COUPE – À RESOUDER","À RÉPARER"))))))))))</f>
        <v/>
      </c>
      <c r="AR2848" s="82" t="str">
        <f aca="false">IF(AND(ISNUMBER(U2848),OR(AQ2848="À RADIOGRAPHIER",AQ2848="RÉPARÉ – À RADIOGRAPHIER",AQ2848="NX – RT À REFAIRE",AQ2848="À RÉPARER",AQ2848="COUPE – À RESOUDER",AQ2848="VT REJETÉ – À REPRENDRE")),MAX(0,'PROGRAMME RT'!$C$4-U2848),"")</f>
        <v/>
      </c>
      <c r="AS2848" s="82" t="n">
        <f aca="false">IF(AND(OR(AQ2848="À RADIOGRAPHIER",AQ2848="RÉPARÉ – À RADIOGRAPHIER",AQ2848="NX – RT À REFAIRE"),OR('PROGRAMME RT'!$D$5="TOUTES",B2848='PROGRAMME RT'!$D$5)),1,0)</f>
        <v>0</v>
      </c>
      <c r="AT2848" s="82" t="str">
        <f aca="false">IF(AS2848=1,SUM(AS$7:AS2848),"")</f>
        <v/>
      </c>
      <c r="AU2848" s="82" t="n">
        <f aca="false">IF(AND(OR(AA2848="R",AA2848="NX",AA2848="NT",AA2848="CO"),OR('JOINTS DE RÉPARATION'!$D$5="TOUTES",B2848='JOINTS DE RÉPARATION'!$D$5),OR('JOINTS DE RÉPARATION'!$L$4="TOUS",AQ2848&lt;&gt;"ACCEPTÉ")),1,0)</f>
        <v>0</v>
      </c>
      <c r="AV2848" s="82" t="str">
        <f aca="false">IF(AU2848=1,SUM(AU$7:AU2848),"")</f>
        <v/>
      </c>
      <c r="AW2848" s="82" t="str">
        <f aca="false">IF(E2848="","",B2848&amp;"|"&amp;E2848)</f>
        <v/>
      </c>
    </row>
    <row r="2849" customFormat="false" ht="15" hidden="false" customHeight="false" outlineLevel="0" collapsed="false">
      <c r="A2849" s="79" t="str">
        <f aca="false">IF(E2849="","",ROW()-6)</f>
        <v/>
      </c>
      <c r="B2849" s="80"/>
      <c r="C2849" s="81"/>
      <c r="D2849" s="81"/>
      <c r="E2849" s="81"/>
      <c r="F2849" s="82" t="str">
        <f aca="false">IF(E2849="","",IF(LEFT(E2849,2)="DJ","DJ","JN"))</f>
        <v/>
      </c>
      <c r="G2849" s="81"/>
      <c r="H2849" s="81"/>
      <c r="I2849" s="81"/>
      <c r="J2849" s="81"/>
      <c r="K2849" s="81"/>
      <c r="L2849" s="81"/>
      <c r="M2849" s="81"/>
      <c r="N2849" s="81"/>
      <c r="O2849" s="81"/>
      <c r="P2849" s="81"/>
      <c r="Q2849" s="81"/>
      <c r="R2849" s="81"/>
      <c r="S2849" s="81"/>
      <c r="T2849" s="81"/>
      <c r="U2849" s="83"/>
      <c r="V2849" s="83"/>
      <c r="W2849" s="81"/>
      <c r="X2849" s="81"/>
      <c r="Y2849" s="83"/>
      <c r="Z2849" s="81"/>
      <c r="AA2849" s="81"/>
      <c r="AB2849" s="81"/>
      <c r="AC2849" s="81"/>
      <c r="AD2849" s="81"/>
      <c r="AE2849" s="83"/>
      <c r="AF2849" s="81"/>
      <c r="AG2849" s="81"/>
      <c r="AH2849" s="81"/>
      <c r="AI2849" s="81"/>
      <c r="AJ2849" s="83"/>
      <c r="AK2849" s="81"/>
      <c r="AL2849" s="81"/>
      <c r="AM2849" s="83"/>
      <c r="AN2849" s="80"/>
      <c r="AO2849" s="82" t="str">
        <f aca="false">IF(E2849="","",(AA2849&lt;&gt;"")+(AG2849&lt;&gt;"")+(AL2849&lt;&gt;""))</f>
        <v/>
      </c>
      <c r="AP2849" s="82" t="str">
        <f aca="false">IF(AL2849&lt;&gt;"",AL2849,IF(AG2849&lt;&gt;"",AG2849,IF(AA2849&lt;&gt;"",AA2849,"")))</f>
        <v/>
      </c>
      <c r="AQ2849" s="84" t="str">
        <f aca="false">IF(E2849="","",IF(U2849="","À SOUDER",IF(X2849="","VT EN ATTENTE",IF(X2849="R","VT REJETÉ – À REPRENDRE",IF(AP2849="","À RADIOGRAPHIER",IF(AP2849="A","ACCEPTÉ",IF(AP2849="NX","NX – RT À REFAIRE",IF(IF(AO2849=1,AD2849,IF(AO2849=2,AI2849,""))="A","RÉPARÉ – À RADIOGRAPHIER",IF(IF(AO2849=1,AD2849,IF(AO2849=2,AI2849,""))="R","VT REJETÉ – À REPRENDRE",IF(OR(AP2849="CO",AP2849="NT"),"COUPE – À RESOUDER","À RÉPARER"))))))))))</f>
        <v/>
      </c>
      <c r="AR2849" s="82" t="str">
        <f aca="false">IF(AND(ISNUMBER(U2849),OR(AQ2849="À RADIOGRAPHIER",AQ2849="RÉPARÉ – À RADIOGRAPHIER",AQ2849="NX – RT À REFAIRE",AQ2849="À RÉPARER",AQ2849="COUPE – À RESOUDER",AQ2849="VT REJETÉ – À REPRENDRE")),MAX(0,'PROGRAMME RT'!$C$4-U2849),"")</f>
        <v/>
      </c>
      <c r="AS2849" s="82" t="n">
        <f aca="false">IF(AND(OR(AQ2849="À RADIOGRAPHIER",AQ2849="RÉPARÉ – À RADIOGRAPHIER",AQ2849="NX – RT À REFAIRE"),OR('PROGRAMME RT'!$D$5="TOUTES",B2849='PROGRAMME RT'!$D$5)),1,0)</f>
        <v>0</v>
      </c>
      <c r="AT2849" s="82" t="str">
        <f aca="false">IF(AS2849=1,SUM(AS$7:AS2849),"")</f>
        <v/>
      </c>
      <c r="AU2849" s="82" t="n">
        <f aca="false">IF(AND(OR(AA2849="R",AA2849="NX",AA2849="NT",AA2849="CO"),OR('JOINTS DE RÉPARATION'!$D$5="TOUTES",B2849='JOINTS DE RÉPARATION'!$D$5),OR('JOINTS DE RÉPARATION'!$L$4="TOUS",AQ2849&lt;&gt;"ACCEPTÉ")),1,0)</f>
        <v>0</v>
      </c>
      <c r="AV2849" s="82" t="str">
        <f aca="false">IF(AU2849=1,SUM(AU$7:AU2849),"")</f>
        <v/>
      </c>
      <c r="AW2849" s="82" t="str">
        <f aca="false">IF(E2849="","",B2849&amp;"|"&amp;E2849)</f>
        <v/>
      </c>
    </row>
    <row r="2850" customFormat="false" ht="15" hidden="false" customHeight="false" outlineLevel="0" collapsed="false">
      <c r="A2850" s="79" t="str">
        <f aca="false">IF(E2850="","",ROW()-6)</f>
        <v/>
      </c>
      <c r="B2850" s="80"/>
      <c r="C2850" s="81"/>
      <c r="D2850" s="81"/>
      <c r="E2850" s="81"/>
      <c r="F2850" s="82" t="str">
        <f aca="false">IF(E2850="","",IF(LEFT(E2850,2)="DJ","DJ","JN"))</f>
        <v/>
      </c>
      <c r="G2850" s="81"/>
      <c r="H2850" s="81"/>
      <c r="I2850" s="81"/>
      <c r="J2850" s="81"/>
      <c r="K2850" s="81"/>
      <c r="L2850" s="81"/>
      <c r="M2850" s="81"/>
      <c r="N2850" s="81"/>
      <c r="O2850" s="81"/>
      <c r="P2850" s="81"/>
      <c r="Q2850" s="81"/>
      <c r="R2850" s="81"/>
      <c r="S2850" s="81"/>
      <c r="T2850" s="81"/>
      <c r="U2850" s="83"/>
      <c r="V2850" s="83"/>
      <c r="W2850" s="81"/>
      <c r="X2850" s="81"/>
      <c r="Y2850" s="83"/>
      <c r="Z2850" s="81"/>
      <c r="AA2850" s="81"/>
      <c r="AB2850" s="81"/>
      <c r="AC2850" s="81"/>
      <c r="AD2850" s="81"/>
      <c r="AE2850" s="83"/>
      <c r="AF2850" s="81"/>
      <c r="AG2850" s="81"/>
      <c r="AH2850" s="81"/>
      <c r="AI2850" s="81"/>
      <c r="AJ2850" s="83"/>
      <c r="AK2850" s="81"/>
      <c r="AL2850" s="81"/>
      <c r="AM2850" s="83"/>
      <c r="AN2850" s="80"/>
      <c r="AO2850" s="82" t="str">
        <f aca="false">IF(E2850="","",(AA2850&lt;&gt;"")+(AG2850&lt;&gt;"")+(AL2850&lt;&gt;""))</f>
        <v/>
      </c>
      <c r="AP2850" s="82" t="str">
        <f aca="false">IF(AL2850&lt;&gt;"",AL2850,IF(AG2850&lt;&gt;"",AG2850,IF(AA2850&lt;&gt;"",AA2850,"")))</f>
        <v/>
      </c>
      <c r="AQ2850" s="84" t="str">
        <f aca="false">IF(E2850="","",IF(U2850="","À SOUDER",IF(X2850="","VT EN ATTENTE",IF(X2850="R","VT REJETÉ – À REPRENDRE",IF(AP2850="","À RADIOGRAPHIER",IF(AP2850="A","ACCEPTÉ",IF(AP2850="NX","NX – RT À REFAIRE",IF(IF(AO2850=1,AD2850,IF(AO2850=2,AI2850,""))="A","RÉPARÉ – À RADIOGRAPHIER",IF(IF(AO2850=1,AD2850,IF(AO2850=2,AI2850,""))="R","VT REJETÉ – À REPRENDRE",IF(OR(AP2850="CO",AP2850="NT"),"COUPE – À RESOUDER","À RÉPARER"))))))))))</f>
        <v/>
      </c>
      <c r="AR2850" s="82" t="str">
        <f aca="false">IF(AND(ISNUMBER(U2850),OR(AQ2850="À RADIOGRAPHIER",AQ2850="RÉPARÉ – À RADIOGRAPHIER",AQ2850="NX – RT À REFAIRE",AQ2850="À RÉPARER",AQ2850="COUPE – À RESOUDER",AQ2850="VT REJETÉ – À REPRENDRE")),MAX(0,'PROGRAMME RT'!$C$4-U2850),"")</f>
        <v/>
      </c>
      <c r="AS2850" s="82" t="n">
        <f aca="false">IF(AND(OR(AQ2850="À RADIOGRAPHIER",AQ2850="RÉPARÉ – À RADIOGRAPHIER",AQ2850="NX – RT À REFAIRE"),OR('PROGRAMME RT'!$D$5="TOUTES",B2850='PROGRAMME RT'!$D$5)),1,0)</f>
        <v>0</v>
      </c>
      <c r="AT2850" s="82" t="str">
        <f aca="false">IF(AS2850=1,SUM(AS$7:AS2850),"")</f>
        <v/>
      </c>
      <c r="AU2850" s="82" t="n">
        <f aca="false">IF(AND(OR(AA2850="R",AA2850="NX",AA2850="NT",AA2850="CO"),OR('JOINTS DE RÉPARATION'!$D$5="TOUTES",B2850='JOINTS DE RÉPARATION'!$D$5),OR('JOINTS DE RÉPARATION'!$L$4="TOUS",AQ2850&lt;&gt;"ACCEPTÉ")),1,0)</f>
        <v>0</v>
      </c>
      <c r="AV2850" s="82" t="str">
        <f aca="false">IF(AU2850=1,SUM(AU$7:AU2850),"")</f>
        <v/>
      </c>
      <c r="AW2850" s="82" t="str">
        <f aca="false">IF(E2850="","",B2850&amp;"|"&amp;E2850)</f>
        <v/>
      </c>
    </row>
    <row r="2851" customFormat="false" ht="15" hidden="false" customHeight="false" outlineLevel="0" collapsed="false">
      <c r="A2851" s="79" t="str">
        <f aca="false">IF(E2851="","",ROW()-6)</f>
        <v/>
      </c>
      <c r="B2851" s="80"/>
      <c r="C2851" s="81"/>
      <c r="D2851" s="81"/>
      <c r="E2851" s="81"/>
      <c r="F2851" s="82" t="str">
        <f aca="false">IF(E2851="","",IF(LEFT(E2851,2)="DJ","DJ","JN"))</f>
        <v/>
      </c>
      <c r="G2851" s="81"/>
      <c r="H2851" s="81"/>
      <c r="I2851" s="81"/>
      <c r="J2851" s="81"/>
      <c r="K2851" s="81"/>
      <c r="L2851" s="81"/>
      <c r="M2851" s="81"/>
      <c r="N2851" s="81"/>
      <c r="O2851" s="81"/>
      <c r="P2851" s="81"/>
      <c r="Q2851" s="81"/>
      <c r="R2851" s="81"/>
      <c r="S2851" s="81"/>
      <c r="T2851" s="81"/>
      <c r="U2851" s="83"/>
      <c r="V2851" s="83"/>
      <c r="W2851" s="81"/>
      <c r="X2851" s="81"/>
      <c r="Y2851" s="83"/>
      <c r="Z2851" s="81"/>
      <c r="AA2851" s="81"/>
      <c r="AB2851" s="81"/>
      <c r="AC2851" s="81"/>
      <c r="AD2851" s="81"/>
      <c r="AE2851" s="83"/>
      <c r="AF2851" s="81"/>
      <c r="AG2851" s="81"/>
      <c r="AH2851" s="81"/>
      <c r="AI2851" s="81"/>
      <c r="AJ2851" s="83"/>
      <c r="AK2851" s="81"/>
      <c r="AL2851" s="81"/>
      <c r="AM2851" s="83"/>
      <c r="AN2851" s="80"/>
      <c r="AO2851" s="82" t="str">
        <f aca="false">IF(E2851="","",(AA2851&lt;&gt;"")+(AG2851&lt;&gt;"")+(AL2851&lt;&gt;""))</f>
        <v/>
      </c>
      <c r="AP2851" s="82" t="str">
        <f aca="false">IF(AL2851&lt;&gt;"",AL2851,IF(AG2851&lt;&gt;"",AG2851,IF(AA2851&lt;&gt;"",AA2851,"")))</f>
        <v/>
      </c>
      <c r="AQ2851" s="84" t="str">
        <f aca="false">IF(E2851="","",IF(U2851="","À SOUDER",IF(X2851="","VT EN ATTENTE",IF(X2851="R","VT REJETÉ – À REPRENDRE",IF(AP2851="","À RADIOGRAPHIER",IF(AP2851="A","ACCEPTÉ",IF(AP2851="NX","NX – RT À REFAIRE",IF(IF(AO2851=1,AD2851,IF(AO2851=2,AI2851,""))="A","RÉPARÉ – À RADIOGRAPHIER",IF(IF(AO2851=1,AD2851,IF(AO2851=2,AI2851,""))="R","VT REJETÉ – À REPRENDRE",IF(OR(AP2851="CO",AP2851="NT"),"COUPE – À RESOUDER","À RÉPARER"))))))))))</f>
        <v/>
      </c>
      <c r="AR2851" s="82" t="str">
        <f aca="false">IF(AND(ISNUMBER(U2851),OR(AQ2851="À RADIOGRAPHIER",AQ2851="RÉPARÉ – À RADIOGRAPHIER",AQ2851="NX – RT À REFAIRE",AQ2851="À RÉPARER",AQ2851="COUPE – À RESOUDER",AQ2851="VT REJETÉ – À REPRENDRE")),MAX(0,'PROGRAMME RT'!$C$4-U2851),"")</f>
        <v/>
      </c>
      <c r="AS2851" s="82" t="n">
        <f aca="false">IF(AND(OR(AQ2851="À RADIOGRAPHIER",AQ2851="RÉPARÉ – À RADIOGRAPHIER",AQ2851="NX – RT À REFAIRE"),OR('PROGRAMME RT'!$D$5="TOUTES",B2851='PROGRAMME RT'!$D$5)),1,0)</f>
        <v>0</v>
      </c>
      <c r="AT2851" s="82" t="str">
        <f aca="false">IF(AS2851=1,SUM(AS$7:AS2851),"")</f>
        <v/>
      </c>
      <c r="AU2851" s="82" t="n">
        <f aca="false">IF(AND(OR(AA2851="R",AA2851="NX",AA2851="NT",AA2851="CO"),OR('JOINTS DE RÉPARATION'!$D$5="TOUTES",B2851='JOINTS DE RÉPARATION'!$D$5),OR('JOINTS DE RÉPARATION'!$L$4="TOUS",AQ2851&lt;&gt;"ACCEPTÉ")),1,0)</f>
        <v>0</v>
      </c>
      <c r="AV2851" s="82" t="str">
        <f aca="false">IF(AU2851=1,SUM(AU$7:AU2851),"")</f>
        <v/>
      </c>
      <c r="AW2851" s="82" t="str">
        <f aca="false">IF(E2851="","",B2851&amp;"|"&amp;E2851)</f>
        <v/>
      </c>
    </row>
    <row r="2852" customFormat="false" ht="15" hidden="false" customHeight="false" outlineLevel="0" collapsed="false">
      <c r="A2852" s="79" t="str">
        <f aca="false">IF(E2852="","",ROW()-6)</f>
        <v/>
      </c>
      <c r="B2852" s="80"/>
      <c r="C2852" s="81"/>
      <c r="D2852" s="81"/>
      <c r="E2852" s="81"/>
      <c r="F2852" s="82" t="str">
        <f aca="false">IF(E2852="","",IF(LEFT(E2852,2)="DJ","DJ","JN"))</f>
        <v/>
      </c>
      <c r="G2852" s="81"/>
      <c r="H2852" s="81"/>
      <c r="I2852" s="81"/>
      <c r="J2852" s="81"/>
      <c r="K2852" s="81"/>
      <c r="L2852" s="81"/>
      <c r="M2852" s="81"/>
      <c r="N2852" s="81"/>
      <c r="O2852" s="81"/>
      <c r="P2852" s="81"/>
      <c r="Q2852" s="81"/>
      <c r="R2852" s="81"/>
      <c r="S2852" s="81"/>
      <c r="T2852" s="81"/>
      <c r="U2852" s="83"/>
      <c r="V2852" s="83"/>
      <c r="W2852" s="81"/>
      <c r="X2852" s="81"/>
      <c r="Y2852" s="83"/>
      <c r="Z2852" s="81"/>
      <c r="AA2852" s="81"/>
      <c r="AB2852" s="81"/>
      <c r="AC2852" s="81"/>
      <c r="AD2852" s="81"/>
      <c r="AE2852" s="83"/>
      <c r="AF2852" s="81"/>
      <c r="AG2852" s="81"/>
      <c r="AH2852" s="81"/>
      <c r="AI2852" s="81"/>
      <c r="AJ2852" s="83"/>
      <c r="AK2852" s="81"/>
      <c r="AL2852" s="81"/>
      <c r="AM2852" s="83"/>
      <c r="AN2852" s="80"/>
      <c r="AO2852" s="82" t="str">
        <f aca="false">IF(E2852="","",(AA2852&lt;&gt;"")+(AG2852&lt;&gt;"")+(AL2852&lt;&gt;""))</f>
        <v/>
      </c>
      <c r="AP2852" s="82" t="str">
        <f aca="false">IF(AL2852&lt;&gt;"",AL2852,IF(AG2852&lt;&gt;"",AG2852,IF(AA2852&lt;&gt;"",AA2852,"")))</f>
        <v/>
      </c>
      <c r="AQ2852" s="84" t="str">
        <f aca="false">IF(E2852="","",IF(U2852="","À SOUDER",IF(X2852="","VT EN ATTENTE",IF(X2852="R","VT REJETÉ – À REPRENDRE",IF(AP2852="","À RADIOGRAPHIER",IF(AP2852="A","ACCEPTÉ",IF(AP2852="NX","NX – RT À REFAIRE",IF(IF(AO2852=1,AD2852,IF(AO2852=2,AI2852,""))="A","RÉPARÉ – À RADIOGRAPHIER",IF(IF(AO2852=1,AD2852,IF(AO2852=2,AI2852,""))="R","VT REJETÉ – À REPRENDRE",IF(OR(AP2852="CO",AP2852="NT"),"COUPE – À RESOUDER","À RÉPARER"))))))))))</f>
        <v/>
      </c>
      <c r="AR2852" s="82" t="str">
        <f aca="false">IF(AND(ISNUMBER(U2852),OR(AQ2852="À RADIOGRAPHIER",AQ2852="RÉPARÉ – À RADIOGRAPHIER",AQ2852="NX – RT À REFAIRE",AQ2852="À RÉPARER",AQ2852="COUPE – À RESOUDER",AQ2852="VT REJETÉ – À REPRENDRE")),MAX(0,'PROGRAMME RT'!$C$4-U2852),"")</f>
        <v/>
      </c>
      <c r="AS2852" s="82" t="n">
        <f aca="false">IF(AND(OR(AQ2852="À RADIOGRAPHIER",AQ2852="RÉPARÉ – À RADIOGRAPHIER",AQ2852="NX – RT À REFAIRE"),OR('PROGRAMME RT'!$D$5="TOUTES",B2852='PROGRAMME RT'!$D$5)),1,0)</f>
        <v>0</v>
      </c>
      <c r="AT2852" s="82" t="str">
        <f aca="false">IF(AS2852=1,SUM(AS$7:AS2852),"")</f>
        <v/>
      </c>
      <c r="AU2852" s="82" t="n">
        <f aca="false">IF(AND(OR(AA2852="R",AA2852="NX",AA2852="NT",AA2852="CO"),OR('JOINTS DE RÉPARATION'!$D$5="TOUTES",B2852='JOINTS DE RÉPARATION'!$D$5),OR('JOINTS DE RÉPARATION'!$L$4="TOUS",AQ2852&lt;&gt;"ACCEPTÉ")),1,0)</f>
        <v>0</v>
      </c>
      <c r="AV2852" s="82" t="str">
        <f aca="false">IF(AU2852=1,SUM(AU$7:AU2852),"")</f>
        <v/>
      </c>
      <c r="AW2852" s="82" t="str">
        <f aca="false">IF(E2852="","",B2852&amp;"|"&amp;E2852)</f>
        <v/>
      </c>
    </row>
    <row r="2853" customFormat="false" ht="15" hidden="false" customHeight="false" outlineLevel="0" collapsed="false">
      <c r="A2853" s="79" t="str">
        <f aca="false">IF(E2853="","",ROW()-6)</f>
        <v/>
      </c>
      <c r="B2853" s="80"/>
      <c r="C2853" s="81"/>
      <c r="D2853" s="81"/>
      <c r="E2853" s="81"/>
      <c r="F2853" s="82" t="str">
        <f aca="false">IF(E2853="","",IF(LEFT(E2853,2)="DJ","DJ","JN"))</f>
        <v/>
      </c>
      <c r="G2853" s="81"/>
      <c r="H2853" s="81"/>
      <c r="I2853" s="81"/>
      <c r="J2853" s="81"/>
      <c r="K2853" s="81"/>
      <c r="L2853" s="81"/>
      <c r="M2853" s="81"/>
      <c r="N2853" s="81"/>
      <c r="O2853" s="81"/>
      <c r="P2853" s="81"/>
      <c r="Q2853" s="81"/>
      <c r="R2853" s="81"/>
      <c r="S2853" s="81"/>
      <c r="T2853" s="81"/>
      <c r="U2853" s="83"/>
      <c r="V2853" s="83"/>
      <c r="W2853" s="81"/>
      <c r="X2853" s="81"/>
      <c r="Y2853" s="83"/>
      <c r="Z2853" s="81"/>
      <c r="AA2853" s="81"/>
      <c r="AB2853" s="81"/>
      <c r="AC2853" s="81"/>
      <c r="AD2853" s="81"/>
      <c r="AE2853" s="83"/>
      <c r="AF2853" s="81"/>
      <c r="AG2853" s="81"/>
      <c r="AH2853" s="81"/>
      <c r="AI2853" s="81"/>
      <c r="AJ2853" s="83"/>
      <c r="AK2853" s="81"/>
      <c r="AL2853" s="81"/>
      <c r="AM2853" s="83"/>
      <c r="AN2853" s="80"/>
      <c r="AO2853" s="82" t="str">
        <f aca="false">IF(E2853="","",(AA2853&lt;&gt;"")+(AG2853&lt;&gt;"")+(AL2853&lt;&gt;""))</f>
        <v/>
      </c>
      <c r="AP2853" s="82" t="str">
        <f aca="false">IF(AL2853&lt;&gt;"",AL2853,IF(AG2853&lt;&gt;"",AG2853,IF(AA2853&lt;&gt;"",AA2853,"")))</f>
        <v/>
      </c>
      <c r="AQ2853" s="84" t="str">
        <f aca="false">IF(E2853="","",IF(U2853="","À SOUDER",IF(X2853="","VT EN ATTENTE",IF(X2853="R","VT REJETÉ – À REPRENDRE",IF(AP2853="","À RADIOGRAPHIER",IF(AP2853="A","ACCEPTÉ",IF(AP2853="NX","NX – RT À REFAIRE",IF(IF(AO2853=1,AD2853,IF(AO2853=2,AI2853,""))="A","RÉPARÉ – À RADIOGRAPHIER",IF(IF(AO2853=1,AD2853,IF(AO2853=2,AI2853,""))="R","VT REJETÉ – À REPRENDRE",IF(OR(AP2853="CO",AP2853="NT"),"COUPE – À RESOUDER","À RÉPARER"))))))))))</f>
        <v/>
      </c>
      <c r="AR2853" s="82" t="str">
        <f aca="false">IF(AND(ISNUMBER(U2853),OR(AQ2853="À RADIOGRAPHIER",AQ2853="RÉPARÉ – À RADIOGRAPHIER",AQ2853="NX – RT À REFAIRE",AQ2853="À RÉPARER",AQ2853="COUPE – À RESOUDER",AQ2853="VT REJETÉ – À REPRENDRE")),MAX(0,'PROGRAMME RT'!$C$4-U2853),"")</f>
        <v/>
      </c>
      <c r="AS2853" s="82" t="n">
        <f aca="false">IF(AND(OR(AQ2853="À RADIOGRAPHIER",AQ2853="RÉPARÉ – À RADIOGRAPHIER",AQ2853="NX – RT À REFAIRE"),OR('PROGRAMME RT'!$D$5="TOUTES",B2853='PROGRAMME RT'!$D$5)),1,0)</f>
        <v>0</v>
      </c>
      <c r="AT2853" s="82" t="str">
        <f aca="false">IF(AS2853=1,SUM(AS$7:AS2853),"")</f>
        <v/>
      </c>
      <c r="AU2853" s="82" t="n">
        <f aca="false">IF(AND(OR(AA2853="R",AA2853="NX",AA2853="NT",AA2853="CO"),OR('JOINTS DE RÉPARATION'!$D$5="TOUTES",B2853='JOINTS DE RÉPARATION'!$D$5),OR('JOINTS DE RÉPARATION'!$L$4="TOUS",AQ2853&lt;&gt;"ACCEPTÉ")),1,0)</f>
        <v>0</v>
      </c>
      <c r="AV2853" s="82" t="str">
        <f aca="false">IF(AU2853=1,SUM(AU$7:AU2853),"")</f>
        <v/>
      </c>
      <c r="AW2853" s="82" t="str">
        <f aca="false">IF(E2853="","",B2853&amp;"|"&amp;E2853)</f>
        <v/>
      </c>
    </row>
    <row r="2854" customFormat="false" ht="15" hidden="false" customHeight="false" outlineLevel="0" collapsed="false">
      <c r="A2854" s="79" t="str">
        <f aca="false">IF(E2854="","",ROW()-6)</f>
        <v/>
      </c>
      <c r="B2854" s="80"/>
      <c r="C2854" s="81"/>
      <c r="D2854" s="81"/>
      <c r="E2854" s="81"/>
      <c r="F2854" s="82" t="str">
        <f aca="false">IF(E2854="","",IF(LEFT(E2854,2)="DJ","DJ","JN"))</f>
        <v/>
      </c>
      <c r="G2854" s="81"/>
      <c r="H2854" s="81"/>
      <c r="I2854" s="81"/>
      <c r="J2854" s="81"/>
      <c r="K2854" s="81"/>
      <c r="L2854" s="81"/>
      <c r="M2854" s="81"/>
      <c r="N2854" s="81"/>
      <c r="O2854" s="81"/>
      <c r="P2854" s="81"/>
      <c r="Q2854" s="81"/>
      <c r="R2854" s="81"/>
      <c r="S2854" s="81"/>
      <c r="T2854" s="81"/>
      <c r="U2854" s="83"/>
      <c r="V2854" s="83"/>
      <c r="W2854" s="81"/>
      <c r="X2854" s="81"/>
      <c r="Y2854" s="83"/>
      <c r="Z2854" s="81"/>
      <c r="AA2854" s="81"/>
      <c r="AB2854" s="81"/>
      <c r="AC2854" s="81"/>
      <c r="AD2854" s="81"/>
      <c r="AE2854" s="83"/>
      <c r="AF2854" s="81"/>
      <c r="AG2854" s="81"/>
      <c r="AH2854" s="81"/>
      <c r="AI2854" s="81"/>
      <c r="AJ2854" s="83"/>
      <c r="AK2854" s="81"/>
      <c r="AL2854" s="81"/>
      <c r="AM2854" s="83"/>
      <c r="AN2854" s="80"/>
      <c r="AO2854" s="82" t="str">
        <f aca="false">IF(E2854="","",(AA2854&lt;&gt;"")+(AG2854&lt;&gt;"")+(AL2854&lt;&gt;""))</f>
        <v/>
      </c>
      <c r="AP2854" s="82" t="str">
        <f aca="false">IF(AL2854&lt;&gt;"",AL2854,IF(AG2854&lt;&gt;"",AG2854,IF(AA2854&lt;&gt;"",AA2854,"")))</f>
        <v/>
      </c>
      <c r="AQ2854" s="84" t="str">
        <f aca="false">IF(E2854="","",IF(U2854="","À SOUDER",IF(X2854="","VT EN ATTENTE",IF(X2854="R","VT REJETÉ – À REPRENDRE",IF(AP2854="","À RADIOGRAPHIER",IF(AP2854="A","ACCEPTÉ",IF(AP2854="NX","NX – RT À REFAIRE",IF(IF(AO2854=1,AD2854,IF(AO2854=2,AI2854,""))="A","RÉPARÉ – À RADIOGRAPHIER",IF(IF(AO2854=1,AD2854,IF(AO2854=2,AI2854,""))="R","VT REJETÉ – À REPRENDRE",IF(OR(AP2854="CO",AP2854="NT"),"COUPE – À RESOUDER","À RÉPARER"))))))))))</f>
        <v/>
      </c>
      <c r="AR2854" s="82" t="str">
        <f aca="false">IF(AND(ISNUMBER(U2854),OR(AQ2854="À RADIOGRAPHIER",AQ2854="RÉPARÉ – À RADIOGRAPHIER",AQ2854="NX – RT À REFAIRE",AQ2854="À RÉPARER",AQ2854="COUPE – À RESOUDER",AQ2854="VT REJETÉ – À REPRENDRE")),MAX(0,'PROGRAMME RT'!$C$4-U2854),"")</f>
        <v/>
      </c>
      <c r="AS2854" s="82" t="n">
        <f aca="false">IF(AND(OR(AQ2854="À RADIOGRAPHIER",AQ2854="RÉPARÉ – À RADIOGRAPHIER",AQ2854="NX – RT À REFAIRE"),OR('PROGRAMME RT'!$D$5="TOUTES",B2854='PROGRAMME RT'!$D$5)),1,0)</f>
        <v>0</v>
      </c>
      <c r="AT2854" s="82" t="str">
        <f aca="false">IF(AS2854=1,SUM(AS$7:AS2854),"")</f>
        <v/>
      </c>
      <c r="AU2854" s="82" t="n">
        <f aca="false">IF(AND(OR(AA2854="R",AA2854="NX",AA2854="NT",AA2854="CO"),OR('JOINTS DE RÉPARATION'!$D$5="TOUTES",B2854='JOINTS DE RÉPARATION'!$D$5),OR('JOINTS DE RÉPARATION'!$L$4="TOUS",AQ2854&lt;&gt;"ACCEPTÉ")),1,0)</f>
        <v>0</v>
      </c>
      <c r="AV2854" s="82" t="str">
        <f aca="false">IF(AU2854=1,SUM(AU$7:AU2854),"")</f>
        <v/>
      </c>
      <c r="AW2854" s="82" t="str">
        <f aca="false">IF(E2854="","",B2854&amp;"|"&amp;E2854)</f>
        <v/>
      </c>
    </row>
    <row r="2855" customFormat="false" ht="15" hidden="false" customHeight="false" outlineLevel="0" collapsed="false">
      <c r="A2855" s="79" t="str">
        <f aca="false">IF(E2855="","",ROW()-6)</f>
        <v/>
      </c>
      <c r="B2855" s="80"/>
      <c r="C2855" s="81"/>
      <c r="D2855" s="81"/>
      <c r="E2855" s="81"/>
      <c r="F2855" s="82" t="str">
        <f aca="false">IF(E2855="","",IF(LEFT(E2855,2)="DJ","DJ","JN"))</f>
        <v/>
      </c>
      <c r="G2855" s="81"/>
      <c r="H2855" s="81"/>
      <c r="I2855" s="81"/>
      <c r="J2855" s="81"/>
      <c r="K2855" s="81"/>
      <c r="L2855" s="81"/>
      <c r="M2855" s="81"/>
      <c r="N2855" s="81"/>
      <c r="O2855" s="81"/>
      <c r="P2855" s="81"/>
      <c r="Q2855" s="81"/>
      <c r="R2855" s="81"/>
      <c r="S2855" s="81"/>
      <c r="T2855" s="81"/>
      <c r="U2855" s="83"/>
      <c r="V2855" s="83"/>
      <c r="W2855" s="81"/>
      <c r="X2855" s="81"/>
      <c r="Y2855" s="83"/>
      <c r="Z2855" s="81"/>
      <c r="AA2855" s="81"/>
      <c r="AB2855" s="81"/>
      <c r="AC2855" s="81"/>
      <c r="AD2855" s="81"/>
      <c r="AE2855" s="83"/>
      <c r="AF2855" s="81"/>
      <c r="AG2855" s="81"/>
      <c r="AH2855" s="81"/>
      <c r="AI2855" s="81"/>
      <c r="AJ2855" s="83"/>
      <c r="AK2855" s="81"/>
      <c r="AL2855" s="81"/>
      <c r="AM2855" s="83"/>
      <c r="AN2855" s="80"/>
      <c r="AO2855" s="82" t="str">
        <f aca="false">IF(E2855="","",(AA2855&lt;&gt;"")+(AG2855&lt;&gt;"")+(AL2855&lt;&gt;""))</f>
        <v/>
      </c>
      <c r="AP2855" s="82" t="str">
        <f aca="false">IF(AL2855&lt;&gt;"",AL2855,IF(AG2855&lt;&gt;"",AG2855,IF(AA2855&lt;&gt;"",AA2855,"")))</f>
        <v/>
      </c>
      <c r="AQ2855" s="84" t="str">
        <f aca="false">IF(E2855="","",IF(U2855="","À SOUDER",IF(X2855="","VT EN ATTENTE",IF(X2855="R","VT REJETÉ – À REPRENDRE",IF(AP2855="","À RADIOGRAPHIER",IF(AP2855="A","ACCEPTÉ",IF(AP2855="NX","NX – RT À REFAIRE",IF(IF(AO2855=1,AD2855,IF(AO2855=2,AI2855,""))="A","RÉPARÉ – À RADIOGRAPHIER",IF(IF(AO2855=1,AD2855,IF(AO2855=2,AI2855,""))="R","VT REJETÉ – À REPRENDRE",IF(OR(AP2855="CO",AP2855="NT"),"COUPE – À RESOUDER","À RÉPARER"))))))))))</f>
        <v/>
      </c>
      <c r="AR2855" s="82" t="str">
        <f aca="false">IF(AND(ISNUMBER(U2855),OR(AQ2855="À RADIOGRAPHIER",AQ2855="RÉPARÉ – À RADIOGRAPHIER",AQ2855="NX – RT À REFAIRE",AQ2855="À RÉPARER",AQ2855="COUPE – À RESOUDER",AQ2855="VT REJETÉ – À REPRENDRE")),MAX(0,'PROGRAMME RT'!$C$4-U2855),"")</f>
        <v/>
      </c>
      <c r="AS2855" s="82" t="n">
        <f aca="false">IF(AND(OR(AQ2855="À RADIOGRAPHIER",AQ2855="RÉPARÉ – À RADIOGRAPHIER",AQ2855="NX – RT À REFAIRE"),OR('PROGRAMME RT'!$D$5="TOUTES",B2855='PROGRAMME RT'!$D$5)),1,0)</f>
        <v>0</v>
      </c>
      <c r="AT2855" s="82" t="str">
        <f aca="false">IF(AS2855=1,SUM(AS$7:AS2855),"")</f>
        <v/>
      </c>
      <c r="AU2855" s="82" t="n">
        <f aca="false">IF(AND(OR(AA2855="R",AA2855="NX",AA2855="NT",AA2855="CO"),OR('JOINTS DE RÉPARATION'!$D$5="TOUTES",B2855='JOINTS DE RÉPARATION'!$D$5),OR('JOINTS DE RÉPARATION'!$L$4="TOUS",AQ2855&lt;&gt;"ACCEPTÉ")),1,0)</f>
        <v>0</v>
      </c>
      <c r="AV2855" s="82" t="str">
        <f aca="false">IF(AU2855=1,SUM(AU$7:AU2855),"")</f>
        <v/>
      </c>
      <c r="AW2855" s="82" t="str">
        <f aca="false">IF(E2855="","",B2855&amp;"|"&amp;E2855)</f>
        <v/>
      </c>
    </row>
    <row r="2856" customFormat="false" ht="15" hidden="false" customHeight="false" outlineLevel="0" collapsed="false">
      <c r="A2856" s="79" t="str">
        <f aca="false">IF(E2856="","",ROW()-6)</f>
        <v/>
      </c>
      <c r="B2856" s="80"/>
      <c r="C2856" s="81"/>
      <c r="D2856" s="81"/>
      <c r="E2856" s="81"/>
      <c r="F2856" s="82" t="str">
        <f aca="false">IF(E2856="","",IF(LEFT(E2856,2)="DJ","DJ","JN"))</f>
        <v/>
      </c>
      <c r="G2856" s="81"/>
      <c r="H2856" s="81"/>
      <c r="I2856" s="81"/>
      <c r="J2856" s="81"/>
      <c r="K2856" s="81"/>
      <c r="L2856" s="81"/>
      <c r="M2856" s="81"/>
      <c r="N2856" s="81"/>
      <c r="O2856" s="81"/>
      <c r="P2856" s="81"/>
      <c r="Q2856" s="81"/>
      <c r="R2856" s="81"/>
      <c r="S2856" s="81"/>
      <c r="T2856" s="81"/>
      <c r="U2856" s="83"/>
      <c r="V2856" s="83"/>
      <c r="W2856" s="81"/>
      <c r="X2856" s="81"/>
      <c r="Y2856" s="83"/>
      <c r="Z2856" s="81"/>
      <c r="AA2856" s="81"/>
      <c r="AB2856" s="81"/>
      <c r="AC2856" s="81"/>
      <c r="AD2856" s="81"/>
      <c r="AE2856" s="83"/>
      <c r="AF2856" s="81"/>
      <c r="AG2856" s="81"/>
      <c r="AH2856" s="81"/>
      <c r="AI2856" s="81"/>
      <c r="AJ2856" s="83"/>
      <c r="AK2856" s="81"/>
      <c r="AL2856" s="81"/>
      <c r="AM2856" s="83"/>
      <c r="AN2856" s="80"/>
      <c r="AO2856" s="82" t="str">
        <f aca="false">IF(E2856="","",(AA2856&lt;&gt;"")+(AG2856&lt;&gt;"")+(AL2856&lt;&gt;""))</f>
        <v/>
      </c>
      <c r="AP2856" s="82" t="str">
        <f aca="false">IF(AL2856&lt;&gt;"",AL2856,IF(AG2856&lt;&gt;"",AG2856,IF(AA2856&lt;&gt;"",AA2856,"")))</f>
        <v/>
      </c>
      <c r="AQ2856" s="84" t="str">
        <f aca="false">IF(E2856="","",IF(U2856="","À SOUDER",IF(X2856="","VT EN ATTENTE",IF(X2856="R","VT REJETÉ – À REPRENDRE",IF(AP2856="","À RADIOGRAPHIER",IF(AP2856="A","ACCEPTÉ",IF(AP2856="NX","NX – RT À REFAIRE",IF(IF(AO2856=1,AD2856,IF(AO2856=2,AI2856,""))="A","RÉPARÉ – À RADIOGRAPHIER",IF(IF(AO2856=1,AD2856,IF(AO2856=2,AI2856,""))="R","VT REJETÉ – À REPRENDRE",IF(OR(AP2856="CO",AP2856="NT"),"COUPE – À RESOUDER","À RÉPARER"))))))))))</f>
        <v/>
      </c>
      <c r="AR2856" s="82" t="str">
        <f aca="false">IF(AND(ISNUMBER(U2856),OR(AQ2856="À RADIOGRAPHIER",AQ2856="RÉPARÉ – À RADIOGRAPHIER",AQ2856="NX – RT À REFAIRE",AQ2856="À RÉPARER",AQ2856="COUPE – À RESOUDER",AQ2856="VT REJETÉ – À REPRENDRE")),MAX(0,'PROGRAMME RT'!$C$4-U2856),"")</f>
        <v/>
      </c>
      <c r="AS2856" s="82" t="n">
        <f aca="false">IF(AND(OR(AQ2856="À RADIOGRAPHIER",AQ2856="RÉPARÉ – À RADIOGRAPHIER",AQ2856="NX – RT À REFAIRE"),OR('PROGRAMME RT'!$D$5="TOUTES",B2856='PROGRAMME RT'!$D$5)),1,0)</f>
        <v>0</v>
      </c>
      <c r="AT2856" s="82" t="str">
        <f aca="false">IF(AS2856=1,SUM(AS$7:AS2856),"")</f>
        <v/>
      </c>
      <c r="AU2856" s="82" t="n">
        <f aca="false">IF(AND(OR(AA2856="R",AA2856="NX",AA2856="NT",AA2856="CO"),OR('JOINTS DE RÉPARATION'!$D$5="TOUTES",B2856='JOINTS DE RÉPARATION'!$D$5),OR('JOINTS DE RÉPARATION'!$L$4="TOUS",AQ2856&lt;&gt;"ACCEPTÉ")),1,0)</f>
        <v>0</v>
      </c>
      <c r="AV2856" s="82" t="str">
        <f aca="false">IF(AU2856=1,SUM(AU$7:AU2856),"")</f>
        <v/>
      </c>
      <c r="AW2856" s="82" t="str">
        <f aca="false">IF(E2856="","",B2856&amp;"|"&amp;E2856)</f>
        <v/>
      </c>
    </row>
    <row r="2857" customFormat="false" ht="15" hidden="false" customHeight="false" outlineLevel="0" collapsed="false">
      <c r="A2857" s="79" t="str">
        <f aca="false">IF(E2857="","",ROW()-6)</f>
        <v/>
      </c>
      <c r="B2857" s="80"/>
      <c r="C2857" s="81"/>
      <c r="D2857" s="81"/>
      <c r="E2857" s="81"/>
      <c r="F2857" s="82" t="str">
        <f aca="false">IF(E2857="","",IF(LEFT(E2857,2)="DJ","DJ","JN"))</f>
        <v/>
      </c>
      <c r="G2857" s="81"/>
      <c r="H2857" s="81"/>
      <c r="I2857" s="81"/>
      <c r="J2857" s="81"/>
      <c r="K2857" s="81"/>
      <c r="L2857" s="81"/>
      <c r="M2857" s="81"/>
      <c r="N2857" s="81"/>
      <c r="O2857" s="81"/>
      <c r="P2857" s="81"/>
      <c r="Q2857" s="81"/>
      <c r="R2857" s="81"/>
      <c r="S2857" s="81"/>
      <c r="T2857" s="81"/>
      <c r="U2857" s="83"/>
      <c r="V2857" s="83"/>
      <c r="W2857" s="81"/>
      <c r="X2857" s="81"/>
      <c r="Y2857" s="83"/>
      <c r="Z2857" s="81"/>
      <c r="AA2857" s="81"/>
      <c r="AB2857" s="81"/>
      <c r="AC2857" s="81"/>
      <c r="AD2857" s="81"/>
      <c r="AE2857" s="83"/>
      <c r="AF2857" s="81"/>
      <c r="AG2857" s="81"/>
      <c r="AH2857" s="81"/>
      <c r="AI2857" s="81"/>
      <c r="AJ2857" s="83"/>
      <c r="AK2857" s="81"/>
      <c r="AL2857" s="81"/>
      <c r="AM2857" s="83"/>
      <c r="AN2857" s="80"/>
      <c r="AO2857" s="82" t="str">
        <f aca="false">IF(E2857="","",(AA2857&lt;&gt;"")+(AG2857&lt;&gt;"")+(AL2857&lt;&gt;""))</f>
        <v/>
      </c>
      <c r="AP2857" s="82" t="str">
        <f aca="false">IF(AL2857&lt;&gt;"",AL2857,IF(AG2857&lt;&gt;"",AG2857,IF(AA2857&lt;&gt;"",AA2857,"")))</f>
        <v/>
      </c>
      <c r="AQ2857" s="84" t="str">
        <f aca="false">IF(E2857="","",IF(U2857="","À SOUDER",IF(X2857="","VT EN ATTENTE",IF(X2857="R","VT REJETÉ – À REPRENDRE",IF(AP2857="","À RADIOGRAPHIER",IF(AP2857="A","ACCEPTÉ",IF(AP2857="NX","NX – RT À REFAIRE",IF(IF(AO2857=1,AD2857,IF(AO2857=2,AI2857,""))="A","RÉPARÉ – À RADIOGRAPHIER",IF(IF(AO2857=1,AD2857,IF(AO2857=2,AI2857,""))="R","VT REJETÉ – À REPRENDRE",IF(OR(AP2857="CO",AP2857="NT"),"COUPE – À RESOUDER","À RÉPARER"))))))))))</f>
        <v/>
      </c>
      <c r="AR2857" s="82" t="str">
        <f aca="false">IF(AND(ISNUMBER(U2857),OR(AQ2857="À RADIOGRAPHIER",AQ2857="RÉPARÉ – À RADIOGRAPHIER",AQ2857="NX – RT À REFAIRE",AQ2857="À RÉPARER",AQ2857="COUPE – À RESOUDER",AQ2857="VT REJETÉ – À REPRENDRE")),MAX(0,'PROGRAMME RT'!$C$4-U2857),"")</f>
        <v/>
      </c>
      <c r="AS2857" s="82" t="n">
        <f aca="false">IF(AND(OR(AQ2857="À RADIOGRAPHIER",AQ2857="RÉPARÉ – À RADIOGRAPHIER",AQ2857="NX – RT À REFAIRE"),OR('PROGRAMME RT'!$D$5="TOUTES",B2857='PROGRAMME RT'!$D$5)),1,0)</f>
        <v>0</v>
      </c>
      <c r="AT2857" s="82" t="str">
        <f aca="false">IF(AS2857=1,SUM(AS$7:AS2857),"")</f>
        <v/>
      </c>
      <c r="AU2857" s="82" t="n">
        <f aca="false">IF(AND(OR(AA2857="R",AA2857="NX",AA2857="NT",AA2857="CO"),OR('JOINTS DE RÉPARATION'!$D$5="TOUTES",B2857='JOINTS DE RÉPARATION'!$D$5),OR('JOINTS DE RÉPARATION'!$L$4="TOUS",AQ2857&lt;&gt;"ACCEPTÉ")),1,0)</f>
        <v>0</v>
      </c>
      <c r="AV2857" s="82" t="str">
        <f aca="false">IF(AU2857=1,SUM(AU$7:AU2857),"")</f>
        <v/>
      </c>
      <c r="AW2857" s="82" t="str">
        <f aca="false">IF(E2857="","",B2857&amp;"|"&amp;E2857)</f>
        <v/>
      </c>
    </row>
    <row r="2858" customFormat="false" ht="15" hidden="false" customHeight="false" outlineLevel="0" collapsed="false">
      <c r="A2858" s="79" t="str">
        <f aca="false">IF(E2858="","",ROW()-6)</f>
        <v/>
      </c>
      <c r="B2858" s="80"/>
      <c r="C2858" s="81"/>
      <c r="D2858" s="81"/>
      <c r="E2858" s="81"/>
      <c r="F2858" s="82" t="str">
        <f aca="false">IF(E2858="","",IF(LEFT(E2858,2)="DJ","DJ","JN"))</f>
        <v/>
      </c>
      <c r="G2858" s="81"/>
      <c r="H2858" s="81"/>
      <c r="I2858" s="81"/>
      <c r="J2858" s="81"/>
      <c r="K2858" s="81"/>
      <c r="L2858" s="81"/>
      <c r="M2858" s="81"/>
      <c r="N2858" s="81"/>
      <c r="O2858" s="81"/>
      <c r="P2858" s="81"/>
      <c r="Q2858" s="81"/>
      <c r="R2858" s="81"/>
      <c r="S2858" s="81"/>
      <c r="T2858" s="81"/>
      <c r="U2858" s="83"/>
      <c r="V2858" s="83"/>
      <c r="W2858" s="81"/>
      <c r="X2858" s="81"/>
      <c r="Y2858" s="83"/>
      <c r="Z2858" s="81"/>
      <c r="AA2858" s="81"/>
      <c r="AB2858" s="81"/>
      <c r="AC2858" s="81"/>
      <c r="AD2858" s="81"/>
      <c r="AE2858" s="83"/>
      <c r="AF2858" s="81"/>
      <c r="AG2858" s="81"/>
      <c r="AH2858" s="81"/>
      <c r="AI2858" s="81"/>
      <c r="AJ2858" s="83"/>
      <c r="AK2858" s="81"/>
      <c r="AL2858" s="81"/>
      <c r="AM2858" s="83"/>
      <c r="AN2858" s="80"/>
      <c r="AO2858" s="82" t="str">
        <f aca="false">IF(E2858="","",(AA2858&lt;&gt;"")+(AG2858&lt;&gt;"")+(AL2858&lt;&gt;""))</f>
        <v/>
      </c>
      <c r="AP2858" s="82" t="str">
        <f aca="false">IF(AL2858&lt;&gt;"",AL2858,IF(AG2858&lt;&gt;"",AG2858,IF(AA2858&lt;&gt;"",AA2858,"")))</f>
        <v/>
      </c>
      <c r="AQ2858" s="84" t="str">
        <f aca="false">IF(E2858="","",IF(U2858="","À SOUDER",IF(X2858="","VT EN ATTENTE",IF(X2858="R","VT REJETÉ – À REPRENDRE",IF(AP2858="","À RADIOGRAPHIER",IF(AP2858="A","ACCEPTÉ",IF(AP2858="NX","NX – RT À REFAIRE",IF(IF(AO2858=1,AD2858,IF(AO2858=2,AI2858,""))="A","RÉPARÉ – À RADIOGRAPHIER",IF(IF(AO2858=1,AD2858,IF(AO2858=2,AI2858,""))="R","VT REJETÉ – À REPRENDRE",IF(OR(AP2858="CO",AP2858="NT"),"COUPE – À RESOUDER","À RÉPARER"))))))))))</f>
        <v/>
      </c>
      <c r="AR2858" s="82" t="str">
        <f aca="false">IF(AND(ISNUMBER(U2858),OR(AQ2858="À RADIOGRAPHIER",AQ2858="RÉPARÉ – À RADIOGRAPHIER",AQ2858="NX – RT À REFAIRE",AQ2858="À RÉPARER",AQ2858="COUPE – À RESOUDER",AQ2858="VT REJETÉ – À REPRENDRE")),MAX(0,'PROGRAMME RT'!$C$4-U2858),"")</f>
        <v/>
      </c>
      <c r="AS2858" s="82" t="n">
        <f aca="false">IF(AND(OR(AQ2858="À RADIOGRAPHIER",AQ2858="RÉPARÉ – À RADIOGRAPHIER",AQ2858="NX – RT À REFAIRE"),OR('PROGRAMME RT'!$D$5="TOUTES",B2858='PROGRAMME RT'!$D$5)),1,0)</f>
        <v>0</v>
      </c>
      <c r="AT2858" s="82" t="str">
        <f aca="false">IF(AS2858=1,SUM(AS$7:AS2858),"")</f>
        <v/>
      </c>
      <c r="AU2858" s="82" t="n">
        <f aca="false">IF(AND(OR(AA2858="R",AA2858="NX",AA2858="NT",AA2858="CO"),OR('JOINTS DE RÉPARATION'!$D$5="TOUTES",B2858='JOINTS DE RÉPARATION'!$D$5),OR('JOINTS DE RÉPARATION'!$L$4="TOUS",AQ2858&lt;&gt;"ACCEPTÉ")),1,0)</f>
        <v>0</v>
      </c>
      <c r="AV2858" s="82" t="str">
        <f aca="false">IF(AU2858=1,SUM(AU$7:AU2858),"")</f>
        <v/>
      </c>
      <c r="AW2858" s="82" t="str">
        <f aca="false">IF(E2858="","",B2858&amp;"|"&amp;E2858)</f>
        <v/>
      </c>
    </row>
    <row r="2859" customFormat="false" ht="15" hidden="false" customHeight="false" outlineLevel="0" collapsed="false">
      <c r="A2859" s="79" t="str">
        <f aca="false">IF(E2859="","",ROW()-6)</f>
        <v/>
      </c>
      <c r="B2859" s="80"/>
      <c r="C2859" s="81"/>
      <c r="D2859" s="81"/>
      <c r="E2859" s="81"/>
      <c r="F2859" s="82" t="str">
        <f aca="false">IF(E2859="","",IF(LEFT(E2859,2)="DJ","DJ","JN"))</f>
        <v/>
      </c>
      <c r="G2859" s="81"/>
      <c r="H2859" s="81"/>
      <c r="I2859" s="81"/>
      <c r="J2859" s="81"/>
      <c r="K2859" s="81"/>
      <c r="L2859" s="81"/>
      <c r="M2859" s="81"/>
      <c r="N2859" s="81"/>
      <c r="O2859" s="81"/>
      <c r="P2859" s="81"/>
      <c r="Q2859" s="81"/>
      <c r="R2859" s="81"/>
      <c r="S2859" s="81"/>
      <c r="T2859" s="81"/>
      <c r="U2859" s="83"/>
      <c r="V2859" s="83"/>
      <c r="W2859" s="81"/>
      <c r="X2859" s="81"/>
      <c r="Y2859" s="83"/>
      <c r="Z2859" s="81"/>
      <c r="AA2859" s="81"/>
      <c r="AB2859" s="81"/>
      <c r="AC2859" s="81"/>
      <c r="AD2859" s="81"/>
      <c r="AE2859" s="83"/>
      <c r="AF2859" s="81"/>
      <c r="AG2859" s="81"/>
      <c r="AH2859" s="81"/>
      <c r="AI2859" s="81"/>
      <c r="AJ2859" s="83"/>
      <c r="AK2859" s="81"/>
      <c r="AL2859" s="81"/>
      <c r="AM2859" s="83"/>
      <c r="AN2859" s="80"/>
      <c r="AO2859" s="82" t="str">
        <f aca="false">IF(E2859="","",(AA2859&lt;&gt;"")+(AG2859&lt;&gt;"")+(AL2859&lt;&gt;""))</f>
        <v/>
      </c>
      <c r="AP2859" s="82" t="str">
        <f aca="false">IF(AL2859&lt;&gt;"",AL2859,IF(AG2859&lt;&gt;"",AG2859,IF(AA2859&lt;&gt;"",AA2859,"")))</f>
        <v/>
      </c>
      <c r="AQ2859" s="84" t="str">
        <f aca="false">IF(E2859="","",IF(U2859="","À SOUDER",IF(X2859="","VT EN ATTENTE",IF(X2859="R","VT REJETÉ – À REPRENDRE",IF(AP2859="","À RADIOGRAPHIER",IF(AP2859="A","ACCEPTÉ",IF(AP2859="NX","NX – RT À REFAIRE",IF(IF(AO2859=1,AD2859,IF(AO2859=2,AI2859,""))="A","RÉPARÉ – À RADIOGRAPHIER",IF(IF(AO2859=1,AD2859,IF(AO2859=2,AI2859,""))="R","VT REJETÉ – À REPRENDRE",IF(OR(AP2859="CO",AP2859="NT"),"COUPE – À RESOUDER","À RÉPARER"))))))))))</f>
        <v/>
      </c>
      <c r="AR2859" s="82" t="str">
        <f aca="false">IF(AND(ISNUMBER(U2859),OR(AQ2859="À RADIOGRAPHIER",AQ2859="RÉPARÉ – À RADIOGRAPHIER",AQ2859="NX – RT À REFAIRE",AQ2859="À RÉPARER",AQ2859="COUPE – À RESOUDER",AQ2859="VT REJETÉ – À REPRENDRE")),MAX(0,'PROGRAMME RT'!$C$4-U2859),"")</f>
        <v/>
      </c>
      <c r="AS2859" s="82" t="n">
        <f aca="false">IF(AND(OR(AQ2859="À RADIOGRAPHIER",AQ2859="RÉPARÉ – À RADIOGRAPHIER",AQ2859="NX – RT À REFAIRE"),OR('PROGRAMME RT'!$D$5="TOUTES",B2859='PROGRAMME RT'!$D$5)),1,0)</f>
        <v>0</v>
      </c>
      <c r="AT2859" s="82" t="str">
        <f aca="false">IF(AS2859=1,SUM(AS$7:AS2859),"")</f>
        <v/>
      </c>
      <c r="AU2859" s="82" t="n">
        <f aca="false">IF(AND(OR(AA2859="R",AA2859="NX",AA2859="NT",AA2859="CO"),OR('JOINTS DE RÉPARATION'!$D$5="TOUTES",B2859='JOINTS DE RÉPARATION'!$D$5),OR('JOINTS DE RÉPARATION'!$L$4="TOUS",AQ2859&lt;&gt;"ACCEPTÉ")),1,0)</f>
        <v>0</v>
      </c>
      <c r="AV2859" s="82" t="str">
        <f aca="false">IF(AU2859=1,SUM(AU$7:AU2859),"")</f>
        <v/>
      </c>
      <c r="AW2859" s="82" t="str">
        <f aca="false">IF(E2859="","",B2859&amp;"|"&amp;E2859)</f>
        <v/>
      </c>
    </row>
    <row r="2860" customFormat="false" ht="15" hidden="false" customHeight="false" outlineLevel="0" collapsed="false">
      <c r="A2860" s="79" t="str">
        <f aca="false">IF(E2860="","",ROW()-6)</f>
        <v/>
      </c>
      <c r="B2860" s="80"/>
      <c r="C2860" s="81"/>
      <c r="D2860" s="81"/>
      <c r="E2860" s="81"/>
      <c r="F2860" s="82" t="str">
        <f aca="false">IF(E2860="","",IF(LEFT(E2860,2)="DJ","DJ","JN"))</f>
        <v/>
      </c>
      <c r="G2860" s="81"/>
      <c r="H2860" s="81"/>
      <c r="I2860" s="81"/>
      <c r="J2860" s="81"/>
      <c r="K2860" s="81"/>
      <c r="L2860" s="81"/>
      <c r="M2860" s="81"/>
      <c r="N2860" s="81"/>
      <c r="O2860" s="81"/>
      <c r="P2860" s="81"/>
      <c r="Q2860" s="81"/>
      <c r="R2860" s="81"/>
      <c r="S2860" s="81"/>
      <c r="T2860" s="81"/>
      <c r="U2860" s="83"/>
      <c r="V2860" s="83"/>
      <c r="W2860" s="81"/>
      <c r="X2860" s="81"/>
      <c r="Y2860" s="83"/>
      <c r="Z2860" s="81"/>
      <c r="AA2860" s="81"/>
      <c r="AB2860" s="81"/>
      <c r="AC2860" s="81"/>
      <c r="AD2860" s="81"/>
      <c r="AE2860" s="83"/>
      <c r="AF2860" s="81"/>
      <c r="AG2860" s="81"/>
      <c r="AH2860" s="81"/>
      <c r="AI2860" s="81"/>
      <c r="AJ2860" s="83"/>
      <c r="AK2860" s="81"/>
      <c r="AL2860" s="81"/>
      <c r="AM2860" s="83"/>
      <c r="AN2860" s="80"/>
      <c r="AO2860" s="82" t="str">
        <f aca="false">IF(E2860="","",(AA2860&lt;&gt;"")+(AG2860&lt;&gt;"")+(AL2860&lt;&gt;""))</f>
        <v/>
      </c>
      <c r="AP2860" s="82" t="str">
        <f aca="false">IF(AL2860&lt;&gt;"",AL2860,IF(AG2860&lt;&gt;"",AG2860,IF(AA2860&lt;&gt;"",AA2860,"")))</f>
        <v/>
      </c>
      <c r="AQ2860" s="84" t="str">
        <f aca="false">IF(E2860="","",IF(U2860="","À SOUDER",IF(X2860="","VT EN ATTENTE",IF(X2860="R","VT REJETÉ – À REPRENDRE",IF(AP2860="","À RADIOGRAPHIER",IF(AP2860="A","ACCEPTÉ",IF(AP2860="NX","NX – RT À REFAIRE",IF(IF(AO2860=1,AD2860,IF(AO2860=2,AI2860,""))="A","RÉPARÉ – À RADIOGRAPHIER",IF(IF(AO2860=1,AD2860,IF(AO2860=2,AI2860,""))="R","VT REJETÉ – À REPRENDRE",IF(OR(AP2860="CO",AP2860="NT"),"COUPE – À RESOUDER","À RÉPARER"))))))))))</f>
        <v/>
      </c>
      <c r="AR2860" s="82" t="str">
        <f aca="false">IF(AND(ISNUMBER(U2860),OR(AQ2860="À RADIOGRAPHIER",AQ2860="RÉPARÉ – À RADIOGRAPHIER",AQ2860="NX – RT À REFAIRE",AQ2860="À RÉPARER",AQ2860="COUPE – À RESOUDER",AQ2860="VT REJETÉ – À REPRENDRE")),MAX(0,'PROGRAMME RT'!$C$4-U2860),"")</f>
        <v/>
      </c>
      <c r="AS2860" s="82" t="n">
        <f aca="false">IF(AND(OR(AQ2860="À RADIOGRAPHIER",AQ2860="RÉPARÉ – À RADIOGRAPHIER",AQ2860="NX – RT À REFAIRE"),OR('PROGRAMME RT'!$D$5="TOUTES",B2860='PROGRAMME RT'!$D$5)),1,0)</f>
        <v>0</v>
      </c>
      <c r="AT2860" s="82" t="str">
        <f aca="false">IF(AS2860=1,SUM(AS$7:AS2860),"")</f>
        <v/>
      </c>
      <c r="AU2860" s="82" t="n">
        <f aca="false">IF(AND(OR(AA2860="R",AA2860="NX",AA2860="NT",AA2860="CO"),OR('JOINTS DE RÉPARATION'!$D$5="TOUTES",B2860='JOINTS DE RÉPARATION'!$D$5),OR('JOINTS DE RÉPARATION'!$L$4="TOUS",AQ2860&lt;&gt;"ACCEPTÉ")),1,0)</f>
        <v>0</v>
      </c>
      <c r="AV2860" s="82" t="str">
        <f aca="false">IF(AU2860=1,SUM(AU$7:AU2860),"")</f>
        <v/>
      </c>
      <c r="AW2860" s="82" t="str">
        <f aca="false">IF(E2860="","",B2860&amp;"|"&amp;E2860)</f>
        <v/>
      </c>
    </row>
    <row r="2861" customFormat="false" ht="15" hidden="false" customHeight="false" outlineLevel="0" collapsed="false">
      <c r="A2861" s="79" t="str">
        <f aca="false">IF(E2861="","",ROW()-6)</f>
        <v/>
      </c>
      <c r="B2861" s="80"/>
      <c r="C2861" s="81"/>
      <c r="D2861" s="81"/>
      <c r="E2861" s="81"/>
      <c r="F2861" s="82" t="str">
        <f aca="false">IF(E2861="","",IF(LEFT(E2861,2)="DJ","DJ","JN"))</f>
        <v/>
      </c>
      <c r="G2861" s="81"/>
      <c r="H2861" s="81"/>
      <c r="I2861" s="81"/>
      <c r="J2861" s="81"/>
      <c r="K2861" s="81"/>
      <c r="L2861" s="81"/>
      <c r="M2861" s="81"/>
      <c r="N2861" s="81"/>
      <c r="O2861" s="81"/>
      <c r="P2861" s="81"/>
      <c r="Q2861" s="81"/>
      <c r="R2861" s="81"/>
      <c r="S2861" s="81"/>
      <c r="T2861" s="81"/>
      <c r="U2861" s="83"/>
      <c r="V2861" s="83"/>
      <c r="W2861" s="81"/>
      <c r="X2861" s="81"/>
      <c r="Y2861" s="83"/>
      <c r="Z2861" s="81"/>
      <c r="AA2861" s="81"/>
      <c r="AB2861" s="81"/>
      <c r="AC2861" s="81"/>
      <c r="AD2861" s="81"/>
      <c r="AE2861" s="83"/>
      <c r="AF2861" s="81"/>
      <c r="AG2861" s="81"/>
      <c r="AH2861" s="81"/>
      <c r="AI2861" s="81"/>
      <c r="AJ2861" s="83"/>
      <c r="AK2861" s="81"/>
      <c r="AL2861" s="81"/>
      <c r="AM2861" s="83"/>
      <c r="AN2861" s="80"/>
      <c r="AO2861" s="82" t="str">
        <f aca="false">IF(E2861="","",(AA2861&lt;&gt;"")+(AG2861&lt;&gt;"")+(AL2861&lt;&gt;""))</f>
        <v/>
      </c>
      <c r="AP2861" s="82" t="str">
        <f aca="false">IF(AL2861&lt;&gt;"",AL2861,IF(AG2861&lt;&gt;"",AG2861,IF(AA2861&lt;&gt;"",AA2861,"")))</f>
        <v/>
      </c>
      <c r="AQ2861" s="84" t="str">
        <f aca="false">IF(E2861="","",IF(U2861="","À SOUDER",IF(X2861="","VT EN ATTENTE",IF(X2861="R","VT REJETÉ – À REPRENDRE",IF(AP2861="","À RADIOGRAPHIER",IF(AP2861="A","ACCEPTÉ",IF(AP2861="NX","NX – RT À REFAIRE",IF(IF(AO2861=1,AD2861,IF(AO2861=2,AI2861,""))="A","RÉPARÉ – À RADIOGRAPHIER",IF(IF(AO2861=1,AD2861,IF(AO2861=2,AI2861,""))="R","VT REJETÉ – À REPRENDRE",IF(OR(AP2861="CO",AP2861="NT"),"COUPE – À RESOUDER","À RÉPARER"))))))))))</f>
        <v/>
      </c>
      <c r="AR2861" s="82" t="str">
        <f aca="false">IF(AND(ISNUMBER(U2861),OR(AQ2861="À RADIOGRAPHIER",AQ2861="RÉPARÉ – À RADIOGRAPHIER",AQ2861="NX – RT À REFAIRE",AQ2861="À RÉPARER",AQ2861="COUPE – À RESOUDER",AQ2861="VT REJETÉ – À REPRENDRE")),MAX(0,'PROGRAMME RT'!$C$4-U2861),"")</f>
        <v/>
      </c>
      <c r="AS2861" s="82" t="n">
        <f aca="false">IF(AND(OR(AQ2861="À RADIOGRAPHIER",AQ2861="RÉPARÉ – À RADIOGRAPHIER",AQ2861="NX – RT À REFAIRE"),OR('PROGRAMME RT'!$D$5="TOUTES",B2861='PROGRAMME RT'!$D$5)),1,0)</f>
        <v>0</v>
      </c>
      <c r="AT2861" s="82" t="str">
        <f aca="false">IF(AS2861=1,SUM(AS$7:AS2861),"")</f>
        <v/>
      </c>
      <c r="AU2861" s="82" t="n">
        <f aca="false">IF(AND(OR(AA2861="R",AA2861="NX",AA2861="NT",AA2861="CO"),OR('JOINTS DE RÉPARATION'!$D$5="TOUTES",B2861='JOINTS DE RÉPARATION'!$D$5),OR('JOINTS DE RÉPARATION'!$L$4="TOUS",AQ2861&lt;&gt;"ACCEPTÉ")),1,0)</f>
        <v>0</v>
      </c>
      <c r="AV2861" s="82" t="str">
        <f aca="false">IF(AU2861=1,SUM(AU$7:AU2861),"")</f>
        <v/>
      </c>
      <c r="AW2861" s="82" t="str">
        <f aca="false">IF(E2861="","",B2861&amp;"|"&amp;E2861)</f>
        <v/>
      </c>
    </row>
    <row r="2862" customFormat="false" ht="15" hidden="false" customHeight="false" outlineLevel="0" collapsed="false">
      <c r="A2862" s="79" t="str">
        <f aca="false">IF(E2862="","",ROW()-6)</f>
        <v/>
      </c>
      <c r="B2862" s="80"/>
      <c r="C2862" s="81"/>
      <c r="D2862" s="81"/>
      <c r="E2862" s="81"/>
      <c r="F2862" s="82" t="str">
        <f aca="false">IF(E2862="","",IF(LEFT(E2862,2)="DJ","DJ","JN"))</f>
        <v/>
      </c>
      <c r="G2862" s="81"/>
      <c r="H2862" s="81"/>
      <c r="I2862" s="81"/>
      <c r="J2862" s="81"/>
      <c r="K2862" s="81"/>
      <c r="L2862" s="81"/>
      <c r="M2862" s="81"/>
      <c r="N2862" s="81"/>
      <c r="O2862" s="81"/>
      <c r="P2862" s="81"/>
      <c r="Q2862" s="81"/>
      <c r="R2862" s="81"/>
      <c r="S2862" s="81"/>
      <c r="T2862" s="81"/>
      <c r="U2862" s="83"/>
      <c r="V2862" s="83"/>
      <c r="W2862" s="81"/>
      <c r="X2862" s="81"/>
      <c r="Y2862" s="83"/>
      <c r="Z2862" s="81"/>
      <c r="AA2862" s="81"/>
      <c r="AB2862" s="81"/>
      <c r="AC2862" s="81"/>
      <c r="AD2862" s="81"/>
      <c r="AE2862" s="83"/>
      <c r="AF2862" s="81"/>
      <c r="AG2862" s="81"/>
      <c r="AH2862" s="81"/>
      <c r="AI2862" s="81"/>
      <c r="AJ2862" s="83"/>
      <c r="AK2862" s="81"/>
      <c r="AL2862" s="81"/>
      <c r="AM2862" s="83"/>
      <c r="AN2862" s="80"/>
      <c r="AO2862" s="82" t="str">
        <f aca="false">IF(E2862="","",(AA2862&lt;&gt;"")+(AG2862&lt;&gt;"")+(AL2862&lt;&gt;""))</f>
        <v/>
      </c>
      <c r="AP2862" s="82" t="str">
        <f aca="false">IF(AL2862&lt;&gt;"",AL2862,IF(AG2862&lt;&gt;"",AG2862,IF(AA2862&lt;&gt;"",AA2862,"")))</f>
        <v/>
      </c>
      <c r="AQ2862" s="84" t="str">
        <f aca="false">IF(E2862="","",IF(U2862="","À SOUDER",IF(X2862="","VT EN ATTENTE",IF(X2862="R","VT REJETÉ – À REPRENDRE",IF(AP2862="","À RADIOGRAPHIER",IF(AP2862="A","ACCEPTÉ",IF(AP2862="NX","NX – RT À REFAIRE",IF(IF(AO2862=1,AD2862,IF(AO2862=2,AI2862,""))="A","RÉPARÉ – À RADIOGRAPHIER",IF(IF(AO2862=1,AD2862,IF(AO2862=2,AI2862,""))="R","VT REJETÉ – À REPRENDRE",IF(OR(AP2862="CO",AP2862="NT"),"COUPE – À RESOUDER","À RÉPARER"))))))))))</f>
        <v/>
      </c>
      <c r="AR2862" s="82" t="str">
        <f aca="false">IF(AND(ISNUMBER(U2862),OR(AQ2862="À RADIOGRAPHIER",AQ2862="RÉPARÉ – À RADIOGRAPHIER",AQ2862="NX – RT À REFAIRE",AQ2862="À RÉPARER",AQ2862="COUPE – À RESOUDER",AQ2862="VT REJETÉ – À REPRENDRE")),MAX(0,'PROGRAMME RT'!$C$4-U2862),"")</f>
        <v/>
      </c>
      <c r="AS2862" s="82" t="n">
        <f aca="false">IF(AND(OR(AQ2862="À RADIOGRAPHIER",AQ2862="RÉPARÉ – À RADIOGRAPHIER",AQ2862="NX – RT À REFAIRE"),OR('PROGRAMME RT'!$D$5="TOUTES",B2862='PROGRAMME RT'!$D$5)),1,0)</f>
        <v>0</v>
      </c>
      <c r="AT2862" s="82" t="str">
        <f aca="false">IF(AS2862=1,SUM(AS$7:AS2862),"")</f>
        <v/>
      </c>
      <c r="AU2862" s="82" t="n">
        <f aca="false">IF(AND(OR(AA2862="R",AA2862="NX",AA2862="NT",AA2862="CO"),OR('JOINTS DE RÉPARATION'!$D$5="TOUTES",B2862='JOINTS DE RÉPARATION'!$D$5),OR('JOINTS DE RÉPARATION'!$L$4="TOUS",AQ2862&lt;&gt;"ACCEPTÉ")),1,0)</f>
        <v>0</v>
      </c>
      <c r="AV2862" s="82" t="str">
        <f aca="false">IF(AU2862=1,SUM(AU$7:AU2862),"")</f>
        <v/>
      </c>
      <c r="AW2862" s="82" t="str">
        <f aca="false">IF(E2862="","",B2862&amp;"|"&amp;E2862)</f>
        <v/>
      </c>
    </row>
    <row r="2863" customFormat="false" ht="15" hidden="false" customHeight="false" outlineLevel="0" collapsed="false">
      <c r="A2863" s="79" t="str">
        <f aca="false">IF(E2863="","",ROW()-6)</f>
        <v/>
      </c>
      <c r="B2863" s="80"/>
      <c r="C2863" s="81"/>
      <c r="D2863" s="81"/>
      <c r="E2863" s="81"/>
      <c r="F2863" s="82" t="str">
        <f aca="false">IF(E2863="","",IF(LEFT(E2863,2)="DJ","DJ","JN"))</f>
        <v/>
      </c>
      <c r="G2863" s="81"/>
      <c r="H2863" s="81"/>
      <c r="I2863" s="81"/>
      <c r="J2863" s="81"/>
      <c r="K2863" s="81"/>
      <c r="L2863" s="81"/>
      <c r="M2863" s="81"/>
      <c r="N2863" s="81"/>
      <c r="O2863" s="81"/>
      <c r="P2863" s="81"/>
      <c r="Q2863" s="81"/>
      <c r="R2863" s="81"/>
      <c r="S2863" s="81"/>
      <c r="T2863" s="81"/>
      <c r="U2863" s="83"/>
      <c r="V2863" s="83"/>
      <c r="W2863" s="81"/>
      <c r="X2863" s="81"/>
      <c r="Y2863" s="83"/>
      <c r="Z2863" s="81"/>
      <c r="AA2863" s="81"/>
      <c r="AB2863" s="81"/>
      <c r="AC2863" s="81"/>
      <c r="AD2863" s="81"/>
      <c r="AE2863" s="83"/>
      <c r="AF2863" s="81"/>
      <c r="AG2863" s="81"/>
      <c r="AH2863" s="81"/>
      <c r="AI2863" s="81"/>
      <c r="AJ2863" s="83"/>
      <c r="AK2863" s="81"/>
      <c r="AL2863" s="81"/>
      <c r="AM2863" s="83"/>
      <c r="AN2863" s="80"/>
      <c r="AO2863" s="82" t="str">
        <f aca="false">IF(E2863="","",(AA2863&lt;&gt;"")+(AG2863&lt;&gt;"")+(AL2863&lt;&gt;""))</f>
        <v/>
      </c>
      <c r="AP2863" s="82" t="str">
        <f aca="false">IF(AL2863&lt;&gt;"",AL2863,IF(AG2863&lt;&gt;"",AG2863,IF(AA2863&lt;&gt;"",AA2863,"")))</f>
        <v/>
      </c>
      <c r="AQ2863" s="84" t="str">
        <f aca="false">IF(E2863="","",IF(U2863="","À SOUDER",IF(X2863="","VT EN ATTENTE",IF(X2863="R","VT REJETÉ – À REPRENDRE",IF(AP2863="","À RADIOGRAPHIER",IF(AP2863="A","ACCEPTÉ",IF(AP2863="NX","NX – RT À REFAIRE",IF(IF(AO2863=1,AD2863,IF(AO2863=2,AI2863,""))="A","RÉPARÉ – À RADIOGRAPHIER",IF(IF(AO2863=1,AD2863,IF(AO2863=2,AI2863,""))="R","VT REJETÉ – À REPRENDRE",IF(OR(AP2863="CO",AP2863="NT"),"COUPE – À RESOUDER","À RÉPARER"))))))))))</f>
        <v/>
      </c>
      <c r="AR2863" s="82" t="str">
        <f aca="false">IF(AND(ISNUMBER(U2863),OR(AQ2863="À RADIOGRAPHIER",AQ2863="RÉPARÉ – À RADIOGRAPHIER",AQ2863="NX – RT À REFAIRE",AQ2863="À RÉPARER",AQ2863="COUPE – À RESOUDER",AQ2863="VT REJETÉ – À REPRENDRE")),MAX(0,'PROGRAMME RT'!$C$4-U2863),"")</f>
        <v/>
      </c>
      <c r="AS2863" s="82" t="n">
        <f aca="false">IF(AND(OR(AQ2863="À RADIOGRAPHIER",AQ2863="RÉPARÉ – À RADIOGRAPHIER",AQ2863="NX – RT À REFAIRE"),OR('PROGRAMME RT'!$D$5="TOUTES",B2863='PROGRAMME RT'!$D$5)),1,0)</f>
        <v>0</v>
      </c>
      <c r="AT2863" s="82" t="str">
        <f aca="false">IF(AS2863=1,SUM(AS$7:AS2863),"")</f>
        <v/>
      </c>
      <c r="AU2863" s="82" t="n">
        <f aca="false">IF(AND(OR(AA2863="R",AA2863="NX",AA2863="NT",AA2863="CO"),OR('JOINTS DE RÉPARATION'!$D$5="TOUTES",B2863='JOINTS DE RÉPARATION'!$D$5),OR('JOINTS DE RÉPARATION'!$L$4="TOUS",AQ2863&lt;&gt;"ACCEPTÉ")),1,0)</f>
        <v>0</v>
      </c>
      <c r="AV2863" s="82" t="str">
        <f aca="false">IF(AU2863=1,SUM(AU$7:AU2863),"")</f>
        <v/>
      </c>
      <c r="AW2863" s="82" t="str">
        <f aca="false">IF(E2863="","",B2863&amp;"|"&amp;E2863)</f>
        <v/>
      </c>
    </row>
    <row r="2864" customFormat="false" ht="15" hidden="false" customHeight="false" outlineLevel="0" collapsed="false">
      <c r="A2864" s="79" t="str">
        <f aca="false">IF(E2864="","",ROW()-6)</f>
        <v/>
      </c>
      <c r="B2864" s="80"/>
      <c r="C2864" s="81"/>
      <c r="D2864" s="81"/>
      <c r="E2864" s="81"/>
      <c r="F2864" s="82" t="str">
        <f aca="false">IF(E2864="","",IF(LEFT(E2864,2)="DJ","DJ","JN"))</f>
        <v/>
      </c>
      <c r="G2864" s="81"/>
      <c r="H2864" s="81"/>
      <c r="I2864" s="81"/>
      <c r="J2864" s="81"/>
      <c r="K2864" s="81"/>
      <c r="L2864" s="81"/>
      <c r="M2864" s="81"/>
      <c r="N2864" s="81"/>
      <c r="O2864" s="81"/>
      <c r="P2864" s="81"/>
      <c r="Q2864" s="81"/>
      <c r="R2864" s="81"/>
      <c r="S2864" s="81"/>
      <c r="T2864" s="81"/>
      <c r="U2864" s="83"/>
      <c r="V2864" s="83"/>
      <c r="W2864" s="81"/>
      <c r="X2864" s="81"/>
      <c r="Y2864" s="83"/>
      <c r="Z2864" s="81"/>
      <c r="AA2864" s="81"/>
      <c r="AB2864" s="81"/>
      <c r="AC2864" s="81"/>
      <c r="AD2864" s="81"/>
      <c r="AE2864" s="83"/>
      <c r="AF2864" s="81"/>
      <c r="AG2864" s="81"/>
      <c r="AH2864" s="81"/>
      <c r="AI2864" s="81"/>
      <c r="AJ2864" s="83"/>
      <c r="AK2864" s="81"/>
      <c r="AL2864" s="81"/>
      <c r="AM2864" s="83"/>
      <c r="AN2864" s="80"/>
      <c r="AO2864" s="82" t="str">
        <f aca="false">IF(E2864="","",(AA2864&lt;&gt;"")+(AG2864&lt;&gt;"")+(AL2864&lt;&gt;""))</f>
        <v/>
      </c>
      <c r="AP2864" s="82" t="str">
        <f aca="false">IF(AL2864&lt;&gt;"",AL2864,IF(AG2864&lt;&gt;"",AG2864,IF(AA2864&lt;&gt;"",AA2864,"")))</f>
        <v/>
      </c>
      <c r="AQ2864" s="84" t="str">
        <f aca="false">IF(E2864="","",IF(U2864="","À SOUDER",IF(X2864="","VT EN ATTENTE",IF(X2864="R","VT REJETÉ – À REPRENDRE",IF(AP2864="","À RADIOGRAPHIER",IF(AP2864="A","ACCEPTÉ",IF(AP2864="NX","NX – RT À REFAIRE",IF(IF(AO2864=1,AD2864,IF(AO2864=2,AI2864,""))="A","RÉPARÉ – À RADIOGRAPHIER",IF(IF(AO2864=1,AD2864,IF(AO2864=2,AI2864,""))="R","VT REJETÉ – À REPRENDRE",IF(OR(AP2864="CO",AP2864="NT"),"COUPE – À RESOUDER","À RÉPARER"))))))))))</f>
        <v/>
      </c>
      <c r="AR2864" s="82" t="str">
        <f aca="false">IF(AND(ISNUMBER(U2864),OR(AQ2864="À RADIOGRAPHIER",AQ2864="RÉPARÉ – À RADIOGRAPHIER",AQ2864="NX – RT À REFAIRE",AQ2864="À RÉPARER",AQ2864="COUPE – À RESOUDER",AQ2864="VT REJETÉ – À REPRENDRE")),MAX(0,'PROGRAMME RT'!$C$4-U2864),"")</f>
        <v/>
      </c>
      <c r="AS2864" s="82" t="n">
        <f aca="false">IF(AND(OR(AQ2864="À RADIOGRAPHIER",AQ2864="RÉPARÉ – À RADIOGRAPHIER",AQ2864="NX – RT À REFAIRE"),OR('PROGRAMME RT'!$D$5="TOUTES",B2864='PROGRAMME RT'!$D$5)),1,0)</f>
        <v>0</v>
      </c>
      <c r="AT2864" s="82" t="str">
        <f aca="false">IF(AS2864=1,SUM(AS$7:AS2864),"")</f>
        <v/>
      </c>
      <c r="AU2864" s="82" t="n">
        <f aca="false">IF(AND(OR(AA2864="R",AA2864="NX",AA2864="NT",AA2864="CO"),OR('JOINTS DE RÉPARATION'!$D$5="TOUTES",B2864='JOINTS DE RÉPARATION'!$D$5),OR('JOINTS DE RÉPARATION'!$L$4="TOUS",AQ2864&lt;&gt;"ACCEPTÉ")),1,0)</f>
        <v>0</v>
      </c>
      <c r="AV2864" s="82" t="str">
        <f aca="false">IF(AU2864=1,SUM(AU$7:AU2864),"")</f>
        <v/>
      </c>
      <c r="AW2864" s="82" t="str">
        <f aca="false">IF(E2864="","",B2864&amp;"|"&amp;E2864)</f>
        <v/>
      </c>
    </row>
    <row r="2865" customFormat="false" ht="15" hidden="false" customHeight="false" outlineLevel="0" collapsed="false">
      <c r="A2865" s="79" t="str">
        <f aca="false">IF(E2865="","",ROW()-6)</f>
        <v/>
      </c>
      <c r="B2865" s="80"/>
      <c r="C2865" s="81"/>
      <c r="D2865" s="81"/>
      <c r="E2865" s="81"/>
      <c r="F2865" s="82" t="str">
        <f aca="false">IF(E2865="","",IF(LEFT(E2865,2)="DJ","DJ","JN"))</f>
        <v/>
      </c>
      <c r="G2865" s="81"/>
      <c r="H2865" s="81"/>
      <c r="I2865" s="81"/>
      <c r="J2865" s="81"/>
      <c r="K2865" s="81"/>
      <c r="L2865" s="81"/>
      <c r="M2865" s="81"/>
      <c r="N2865" s="81"/>
      <c r="O2865" s="81"/>
      <c r="P2865" s="81"/>
      <c r="Q2865" s="81"/>
      <c r="R2865" s="81"/>
      <c r="S2865" s="81"/>
      <c r="T2865" s="81"/>
      <c r="U2865" s="83"/>
      <c r="V2865" s="83"/>
      <c r="W2865" s="81"/>
      <c r="X2865" s="81"/>
      <c r="Y2865" s="83"/>
      <c r="Z2865" s="81"/>
      <c r="AA2865" s="81"/>
      <c r="AB2865" s="81"/>
      <c r="AC2865" s="81"/>
      <c r="AD2865" s="81"/>
      <c r="AE2865" s="83"/>
      <c r="AF2865" s="81"/>
      <c r="AG2865" s="81"/>
      <c r="AH2865" s="81"/>
      <c r="AI2865" s="81"/>
      <c r="AJ2865" s="83"/>
      <c r="AK2865" s="81"/>
      <c r="AL2865" s="81"/>
      <c r="AM2865" s="83"/>
      <c r="AN2865" s="80"/>
      <c r="AO2865" s="82" t="str">
        <f aca="false">IF(E2865="","",(AA2865&lt;&gt;"")+(AG2865&lt;&gt;"")+(AL2865&lt;&gt;""))</f>
        <v/>
      </c>
      <c r="AP2865" s="82" t="str">
        <f aca="false">IF(AL2865&lt;&gt;"",AL2865,IF(AG2865&lt;&gt;"",AG2865,IF(AA2865&lt;&gt;"",AA2865,"")))</f>
        <v/>
      </c>
      <c r="AQ2865" s="84" t="str">
        <f aca="false">IF(E2865="","",IF(U2865="","À SOUDER",IF(X2865="","VT EN ATTENTE",IF(X2865="R","VT REJETÉ – À REPRENDRE",IF(AP2865="","À RADIOGRAPHIER",IF(AP2865="A","ACCEPTÉ",IF(AP2865="NX","NX – RT À REFAIRE",IF(IF(AO2865=1,AD2865,IF(AO2865=2,AI2865,""))="A","RÉPARÉ – À RADIOGRAPHIER",IF(IF(AO2865=1,AD2865,IF(AO2865=2,AI2865,""))="R","VT REJETÉ – À REPRENDRE",IF(OR(AP2865="CO",AP2865="NT"),"COUPE – À RESOUDER","À RÉPARER"))))))))))</f>
        <v/>
      </c>
      <c r="AR2865" s="82" t="str">
        <f aca="false">IF(AND(ISNUMBER(U2865),OR(AQ2865="À RADIOGRAPHIER",AQ2865="RÉPARÉ – À RADIOGRAPHIER",AQ2865="NX – RT À REFAIRE",AQ2865="À RÉPARER",AQ2865="COUPE – À RESOUDER",AQ2865="VT REJETÉ – À REPRENDRE")),MAX(0,'PROGRAMME RT'!$C$4-U2865),"")</f>
        <v/>
      </c>
      <c r="AS2865" s="82" t="n">
        <f aca="false">IF(AND(OR(AQ2865="À RADIOGRAPHIER",AQ2865="RÉPARÉ – À RADIOGRAPHIER",AQ2865="NX – RT À REFAIRE"),OR('PROGRAMME RT'!$D$5="TOUTES",B2865='PROGRAMME RT'!$D$5)),1,0)</f>
        <v>0</v>
      </c>
      <c r="AT2865" s="82" t="str">
        <f aca="false">IF(AS2865=1,SUM(AS$7:AS2865),"")</f>
        <v/>
      </c>
      <c r="AU2865" s="82" t="n">
        <f aca="false">IF(AND(OR(AA2865="R",AA2865="NX",AA2865="NT",AA2865="CO"),OR('JOINTS DE RÉPARATION'!$D$5="TOUTES",B2865='JOINTS DE RÉPARATION'!$D$5),OR('JOINTS DE RÉPARATION'!$L$4="TOUS",AQ2865&lt;&gt;"ACCEPTÉ")),1,0)</f>
        <v>0</v>
      </c>
      <c r="AV2865" s="82" t="str">
        <f aca="false">IF(AU2865=1,SUM(AU$7:AU2865),"")</f>
        <v/>
      </c>
      <c r="AW2865" s="82" t="str">
        <f aca="false">IF(E2865="","",B2865&amp;"|"&amp;E2865)</f>
        <v/>
      </c>
    </row>
    <row r="2866" customFormat="false" ht="15" hidden="false" customHeight="false" outlineLevel="0" collapsed="false">
      <c r="A2866" s="79" t="str">
        <f aca="false">IF(E2866="","",ROW()-6)</f>
        <v/>
      </c>
      <c r="B2866" s="80"/>
      <c r="C2866" s="81"/>
      <c r="D2866" s="81"/>
      <c r="E2866" s="81"/>
      <c r="F2866" s="82" t="str">
        <f aca="false">IF(E2866="","",IF(LEFT(E2866,2)="DJ","DJ","JN"))</f>
        <v/>
      </c>
      <c r="G2866" s="81"/>
      <c r="H2866" s="81"/>
      <c r="I2866" s="81"/>
      <c r="J2866" s="81"/>
      <c r="K2866" s="81"/>
      <c r="L2866" s="81"/>
      <c r="M2866" s="81"/>
      <c r="N2866" s="81"/>
      <c r="O2866" s="81"/>
      <c r="P2866" s="81"/>
      <c r="Q2866" s="81"/>
      <c r="R2866" s="81"/>
      <c r="S2866" s="81"/>
      <c r="T2866" s="81"/>
      <c r="U2866" s="83"/>
      <c r="V2866" s="83"/>
      <c r="W2866" s="81"/>
      <c r="X2866" s="81"/>
      <c r="Y2866" s="83"/>
      <c r="Z2866" s="81"/>
      <c r="AA2866" s="81"/>
      <c r="AB2866" s="81"/>
      <c r="AC2866" s="81"/>
      <c r="AD2866" s="81"/>
      <c r="AE2866" s="83"/>
      <c r="AF2866" s="81"/>
      <c r="AG2866" s="81"/>
      <c r="AH2866" s="81"/>
      <c r="AI2866" s="81"/>
      <c r="AJ2866" s="83"/>
      <c r="AK2866" s="81"/>
      <c r="AL2866" s="81"/>
      <c r="AM2866" s="83"/>
      <c r="AN2866" s="80"/>
      <c r="AO2866" s="82" t="str">
        <f aca="false">IF(E2866="","",(AA2866&lt;&gt;"")+(AG2866&lt;&gt;"")+(AL2866&lt;&gt;""))</f>
        <v/>
      </c>
      <c r="AP2866" s="82" t="str">
        <f aca="false">IF(AL2866&lt;&gt;"",AL2866,IF(AG2866&lt;&gt;"",AG2866,IF(AA2866&lt;&gt;"",AA2866,"")))</f>
        <v/>
      </c>
      <c r="AQ2866" s="84" t="str">
        <f aca="false">IF(E2866="","",IF(U2866="","À SOUDER",IF(X2866="","VT EN ATTENTE",IF(X2866="R","VT REJETÉ – À REPRENDRE",IF(AP2866="","À RADIOGRAPHIER",IF(AP2866="A","ACCEPTÉ",IF(AP2866="NX","NX – RT À REFAIRE",IF(IF(AO2866=1,AD2866,IF(AO2866=2,AI2866,""))="A","RÉPARÉ – À RADIOGRAPHIER",IF(IF(AO2866=1,AD2866,IF(AO2866=2,AI2866,""))="R","VT REJETÉ – À REPRENDRE",IF(OR(AP2866="CO",AP2866="NT"),"COUPE – À RESOUDER","À RÉPARER"))))))))))</f>
        <v/>
      </c>
      <c r="AR2866" s="82" t="str">
        <f aca="false">IF(AND(ISNUMBER(U2866),OR(AQ2866="À RADIOGRAPHIER",AQ2866="RÉPARÉ – À RADIOGRAPHIER",AQ2866="NX – RT À REFAIRE",AQ2866="À RÉPARER",AQ2866="COUPE – À RESOUDER",AQ2866="VT REJETÉ – À REPRENDRE")),MAX(0,'PROGRAMME RT'!$C$4-U2866),"")</f>
        <v/>
      </c>
      <c r="AS2866" s="82" t="n">
        <f aca="false">IF(AND(OR(AQ2866="À RADIOGRAPHIER",AQ2866="RÉPARÉ – À RADIOGRAPHIER",AQ2866="NX – RT À REFAIRE"),OR('PROGRAMME RT'!$D$5="TOUTES",B2866='PROGRAMME RT'!$D$5)),1,0)</f>
        <v>0</v>
      </c>
      <c r="AT2866" s="82" t="str">
        <f aca="false">IF(AS2866=1,SUM(AS$7:AS2866),"")</f>
        <v/>
      </c>
      <c r="AU2866" s="82" t="n">
        <f aca="false">IF(AND(OR(AA2866="R",AA2866="NX",AA2866="NT",AA2866="CO"),OR('JOINTS DE RÉPARATION'!$D$5="TOUTES",B2866='JOINTS DE RÉPARATION'!$D$5),OR('JOINTS DE RÉPARATION'!$L$4="TOUS",AQ2866&lt;&gt;"ACCEPTÉ")),1,0)</f>
        <v>0</v>
      </c>
      <c r="AV2866" s="82" t="str">
        <f aca="false">IF(AU2866=1,SUM(AU$7:AU2866),"")</f>
        <v/>
      </c>
      <c r="AW2866" s="82" t="str">
        <f aca="false">IF(E2866="","",B2866&amp;"|"&amp;E2866)</f>
        <v/>
      </c>
    </row>
    <row r="2867" customFormat="false" ht="15" hidden="false" customHeight="false" outlineLevel="0" collapsed="false">
      <c r="A2867" s="79" t="str">
        <f aca="false">IF(E2867="","",ROW()-6)</f>
        <v/>
      </c>
      <c r="B2867" s="80"/>
      <c r="C2867" s="81"/>
      <c r="D2867" s="81"/>
      <c r="E2867" s="81"/>
      <c r="F2867" s="82" t="str">
        <f aca="false">IF(E2867="","",IF(LEFT(E2867,2)="DJ","DJ","JN"))</f>
        <v/>
      </c>
      <c r="G2867" s="81"/>
      <c r="H2867" s="81"/>
      <c r="I2867" s="81"/>
      <c r="J2867" s="81"/>
      <c r="K2867" s="81"/>
      <c r="L2867" s="81"/>
      <c r="M2867" s="81"/>
      <c r="N2867" s="81"/>
      <c r="O2867" s="81"/>
      <c r="P2867" s="81"/>
      <c r="Q2867" s="81"/>
      <c r="R2867" s="81"/>
      <c r="S2867" s="81"/>
      <c r="T2867" s="81"/>
      <c r="U2867" s="83"/>
      <c r="V2867" s="83"/>
      <c r="W2867" s="81"/>
      <c r="X2867" s="81"/>
      <c r="Y2867" s="83"/>
      <c r="Z2867" s="81"/>
      <c r="AA2867" s="81"/>
      <c r="AB2867" s="81"/>
      <c r="AC2867" s="81"/>
      <c r="AD2867" s="81"/>
      <c r="AE2867" s="83"/>
      <c r="AF2867" s="81"/>
      <c r="AG2867" s="81"/>
      <c r="AH2867" s="81"/>
      <c r="AI2867" s="81"/>
      <c r="AJ2867" s="83"/>
      <c r="AK2867" s="81"/>
      <c r="AL2867" s="81"/>
      <c r="AM2867" s="83"/>
      <c r="AN2867" s="80"/>
      <c r="AO2867" s="82" t="str">
        <f aca="false">IF(E2867="","",(AA2867&lt;&gt;"")+(AG2867&lt;&gt;"")+(AL2867&lt;&gt;""))</f>
        <v/>
      </c>
      <c r="AP2867" s="82" t="str">
        <f aca="false">IF(AL2867&lt;&gt;"",AL2867,IF(AG2867&lt;&gt;"",AG2867,IF(AA2867&lt;&gt;"",AA2867,"")))</f>
        <v/>
      </c>
      <c r="AQ2867" s="84" t="str">
        <f aca="false">IF(E2867="","",IF(U2867="","À SOUDER",IF(X2867="","VT EN ATTENTE",IF(X2867="R","VT REJETÉ – À REPRENDRE",IF(AP2867="","À RADIOGRAPHIER",IF(AP2867="A","ACCEPTÉ",IF(AP2867="NX","NX – RT À REFAIRE",IF(IF(AO2867=1,AD2867,IF(AO2867=2,AI2867,""))="A","RÉPARÉ – À RADIOGRAPHIER",IF(IF(AO2867=1,AD2867,IF(AO2867=2,AI2867,""))="R","VT REJETÉ – À REPRENDRE",IF(OR(AP2867="CO",AP2867="NT"),"COUPE – À RESOUDER","À RÉPARER"))))))))))</f>
        <v/>
      </c>
      <c r="AR2867" s="82" t="str">
        <f aca="false">IF(AND(ISNUMBER(U2867),OR(AQ2867="À RADIOGRAPHIER",AQ2867="RÉPARÉ – À RADIOGRAPHIER",AQ2867="NX – RT À REFAIRE",AQ2867="À RÉPARER",AQ2867="COUPE – À RESOUDER",AQ2867="VT REJETÉ – À REPRENDRE")),MAX(0,'PROGRAMME RT'!$C$4-U2867),"")</f>
        <v/>
      </c>
      <c r="AS2867" s="82" t="n">
        <f aca="false">IF(AND(OR(AQ2867="À RADIOGRAPHIER",AQ2867="RÉPARÉ – À RADIOGRAPHIER",AQ2867="NX – RT À REFAIRE"),OR('PROGRAMME RT'!$D$5="TOUTES",B2867='PROGRAMME RT'!$D$5)),1,0)</f>
        <v>0</v>
      </c>
      <c r="AT2867" s="82" t="str">
        <f aca="false">IF(AS2867=1,SUM(AS$7:AS2867),"")</f>
        <v/>
      </c>
      <c r="AU2867" s="82" t="n">
        <f aca="false">IF(AND(OR(AA2867="R",AA2867="NX",AA2867="NT",AA2867="CO"),OR('JOINTS DE RÉPARATION'!$D$5="TOUTES",B2867='JOINTS DE RÉPARATION'!$D$5),OR('JOINTS DE RÉPARATION'!$L$4="TOUS",AQ2867&lt;&gt;"ACCEPTÉ")),1,0)</f>
        <v>0</v>
      </c>
      <c r="AV2867" s="82" t="str">
        <f aca="false">IF(AU2867=1,SUM(AU$7:AU2867),"")</f>
        <v/>
      </c>
      <c r="AW2867" s="82" t="str">
        <f aca="false">IF(E2867="","",B2867&amp;"|"&amp;E2867)</f>
        <v/>
      </c>
    </row>
    <row r="2868" customFormat="false" ht="15" hidden="false" customHeight="false" outlineLevel="0" collapsed="false">
      <c r="A2868" s="79" t="str">
        <f aca="false">IF(E2868="","",ROW()-6)</f>
        <v/>
      </c>
      <c r="B2868" s="80"/>
      <c r="C2868" s="81"/>
      <c r="D2868" s="81"/>
      <c r="E2868" s="81"/>
      <c r="F2868" s="82" t="str">
        <f aca="false">IF(E2868="","",IF(LEFT(E2868,2)="DJ","DJ","JN"))</f>
        <v/>
      </c>
      <c r="G2868" s="81"/>
      <c r="H2868" s="81"/>
      <c r="I2868" s="81"/>
      <c r="J2868" s="81"/>
      <c r="K2868" s="81"/>
      <c r="L2868" s="81"/>
      <c r="M2868" s="81"/>
      <c r="N2868" s="81"/>
      <c r="O2868" s="81"/>
      <c r="P2868" s="81"/>
      <c r="Q2868" s="81"/>
      <c r="R2868" s="81"/>
      <c r="S2868" s="81"/>
      <c r="T2868" s="81"/>
      <c r="U2868" s="83"/>
      <c r="V2868" s="83"/>
      <c r="W2868" s="81"/>
      <c r="X2868" s="81"/>
      <c r="Y2868" s="83"/>
      <c r="Z2868" s="81"/>
      <c r="AA2868" s="81"/>
      <c r="AB2868" s="81"/>
      <c r="AC2868" s="81"/>
      <c r="AD2868" s="81"/>
      <c r="AE2868" s="83"/>
      <c r="AF2868" s="81"/>
      <c r="AG2868" s="81"/>
      <c r="AH2868" s="81"/>
      <c r="AI2868" s="81"/>
      <c r="AJ2868" s="83"/>
      <c r="AK2868" s="81"/>
      <c r="AL2868" s="81"/>
      <c r="AM2868" s="83"/>
      <c r="AN2868" s="80"/>
      <c r="AO2868" s="82" t="str">
        <f aca="false">IF(E2868="","",(AA2868&lt;&gt;"")+(AG2868&lt;&gt;"")+(AL2868&lt;&gt;""))</f>
        <v/>
      </c>
      <c r="AP2868" s="82" t="str">
        <f aca="false">IF(AL2868&lt;&gt;"",AL2868,IF(AG2868&lt;&gt;"",AG2868,IF(AA2868&lt;&gt;"",AA2868,"")))</f>
        <v/>
      </c>
      <c r="AQ2868" s="84" t="str">
        <f aca="false">IF(E2868="","",IF(U2868="","À SOUDER",IF(X2868="","VT EN ATTENTE",IF(X2868="R","VT REJETÉ – À REPRENDRE",IF(AP2868="","À RADIOGRAPHIER",IF(AP2868="A","ACCEPTÉ",IF(AP2868="NX","NX – RT À REFAIRE",IF(IF(AO2868=1,AD2868,IF(AO2868=2,AI2868,""))="A","RÉPARÉ – À RADIOGRAPHIER",IF(IF(AO2868=1,AD2868,IF(AO2868=2,AI2868,""))="R","VT REJETÉ – À REPRENDRE",IF(OR(AP2868="CO",AP2868="NT"),"COUPE – À RESOUDER","À RÉPARER"))))))))))</f>
        <v/>
      </c>
      <c r="AR2868" s="82" t="str">
        <f aca="false">IF(AND(ISNUMBER(U2868),OR(AQ2868="À RADIOGRAPHIER",AQ2868="RÉPARÉ – À RADIOGRAPHIER",AQ2868="NX – RT À REFAIRE",AQ2868="À RÉPARER",AQ2868="COUPE – À RESOUDER",AQ2868="VT REJETÉ – À REPRENDRE")),MAX(0,'PROGRAMME RT'!$C$4-U2868),"")</f>
        <v/>
      </c>
      <c r="AS2868" s="82" t="n">
        <f aca="false">IF(AND(OR(AQ2868="À RADIOGRAPHIER",AQ2868="RÉPARÉ – À RADIOGRAPHIER",AQ2868="NX – RT À REFAIRE"),OR('PROGRAMME RT'!$D$5="TOUTES",B2868='PROGRAMME RT'!$D$5)),1,0)</f>
        <v>0</v>
      </c>
      <c r="AT2868" s="82" t="str">
        <f aca="false">IF(AS2868=1,SUM(AS$7:AS2868),"")</f>
        <v/>
      </c>
      <c r="AU2868" s="82" t="n">
        <f aca="false">IF(AND(OR(AA2868="R",AA2868="NX",AA2868="NT",AA2868="CO"),OR('JOINTS DE RÉPARATION'!$D$5="TOUTES",B2868='JOINTS DE RÉPARATION'!$D$5),OR('JOINTS DE RÉPARATION'!$L$4="TOUS",AQ2868&lt;&gt;"ACCEPTÉ")),1,0)</f>
        <v>0</v>
      </c>
      <c r="AV2868" s="82" t="str">
        <f aca="false">IF(AU2868=1,SUM(AU$7:AU2868),"")</f>
        <v/>
      </c>
      <c r="AW2868" s="82" t="str">
        <f aca="false">IF(E2868="","",B2868&amp;"|"&amp;E2868)</f>
        <v/>
      </c>
    </row>
    <row r="2869" customFormat="false" ht="15" hidden="false" customHeight="false" outlineLevel="0" collapsed="false">
      <c r="A2869" s="79" t="str">
        <f aca="false">IF(E2869="","",ROW()-6)</f>
        <v/>
      </c>
      <c r="B2869" s="80"/>
      <c r="C2869" s="81"/>
      <c r="D2869" s="81"/>
      <c r="E2869" s="81"/>
      <c r="F2869" s="82" t="str">
        <f aca="false">IF(E2869="","",IF(LEFT(E2869,2)="DJ","DJ","JN"))</f>
        <v/>
      </c>
      <c r="G2869" s="81"/>
      <c r="H2869" s="81"/>
      <c r="I2869" s="81"/>
      <c r="J2869" s="81"/>
      <c r="K2869" s="81"/>
      <c r="L2869" s="81"/>
      <c r="M2869" s="81"/>
      <c r="N2869" s="81"/>
      <c r="O2869" s="81"/>
      <c r="P2869" s="81"/>
      <c r="Q2869" s="81"/>
      <c r="R2869" s="81"/>
      <c r="S2869" s="81"/>
      <c r="T2869" s="81"/>
      <c r="U2869" s="83"/>
      <c r="V2869" s="83"/>
      <c r="W2869" s="81"/>
      <c r="X2869" s="81"/>
      <c r="Y2869" s="83"/>
      <c r="Z2869" s="81"/>
      <c r="AA2869" s="81"/>
      <c r="AB2869" s="81"/>
      <c r="AC2869" s="81"/>
      <c r="AD2869" s="81"/>
      <c r="AE2869" s="83"/>
      <c r="AF2869" s="81"/>
      <c r="AG2869" s="81"/>
      <c r="AH2869" s="81"/>
      <c r="AI2869" s="81"/>
      <c r="AJ2869" s="83"/>
      <c r="AK2869" s="81"/>
      <c r="AL2869" s="81"/>
      <c r="AM2869" s="83"/>
      <c r="AN2869" s="80"/>
      <c r="AO2869" s="82" t="str">
        <f aca="false">IF(E2869="","",(AA2869&lt;&gt;"")+(AG2869&lt;&gt;"")+(AL2869&lt;&gt;""))</f>
        <v/>
      </c>
      <c r="AP2869" s="82" t="str">
        <f aca="false">IF(AL2869&lt;&gt;"",AL2869,IF(AG2869&lt;&gt;"",AG2869,IF(AA2869&lt;&gt;"",AA2869,"")))</f>
        <v/>
      </c>
      <c r="AQ2869" s="84" t="str">
        <f aca="false">IF(E2869="","",IF(U2869="","À SOUDER",IF(X2869="","VT EN ATTENTE",IF(X2869="R","VT REJETÉ – À REPRENDRE",IF(AP2869="","À RADIOGRAPHIER",IF(AP2869="A","ACCEPTÉ",IF(AP2869="NX","NX – RT À REFAIRE",IF(IF(AO2869=1,AD2869,IF(AO2869=2,AI2869,""))="A","RÉPARÉ – À RADIOGRAPHIER",IF(IF(AO2869=1,AD2869,IF(AO2869=2,AI2869,""))="R","VT REJETÉ – À REPRENDRE",IF(OR(AP2869="CO",AP2869="NT"),"COUPE – À RESOUDER","À RÉPARER"))))))))))</f>
        <v/>
      </c>
      <c r="AR2869" s="82" t="str">
        <f aca="false">IF(AND(ISNUMBER(U2869),OR(AQ2869="À RADIOGRAPHIER",AQ2869="RÉPARÉ – À RADIOGRAPHIER",AQ2869="NX – RT À REFAIRE",AQ2869="À RÉPARER",AQ2869="COUPE – À RESOUDER",AQ2869="VT REJETÉ – À REPRENDRE")),MAX(0,'PROGRAMME RT'!$C$4-U2869),"")</f>
        <v/>
      </c>
      <c r="AS2869" s="82" t="n">
        <f aca="false">IF(AND(OR(AQ2869="À RADIOGRAPHIER",AQ2869="RÉPARÉ – À RADIOGRAPHIER",AQ2869="NX – RT À REFAIRE"),OR('PROGRAMME RT'!$D$5="TOUTES",B2869='PROGRAMME RT'!$D$5)),1,0)</f>
        <v>0</v>
      </c>
      <c r="AT2869" s="82" t="str">
        <f aca="false">IF(AS2869=1,SUM(AS$7:AS2869),"")</f>
        <v/>
      </c>
      <c r="AU2869" s="82" t="n">
        <f aca="false">IF(AND(OR(AA2869="R",AA2869="NX",AA2869="NT",AA2869="CO"),OR('JOINTS DE RÉPARATION'!$D$5="TOUTES",B2869='JOINTS DE RÉPARATION'!$D$5),OR('JOINTS DE RÉPARATION'!$L$4="TOUS",AQ2869&lt;&gt;"ACCEPTÉ")),1,0)</f>
        <v>0</v>
      </c>
      <c r="AV2869" s="82" t="str">
        <f aca="false">IF(AU2869=1,SUM(AU$7:AU2869),"")</f>
        <v/>
      </c>
      <c r="AW2869" s="82" t="str">
        <f aca="false">IF(E2869="","",B2869&amp;"|"&amp;E2869)</f>
        <v/>
      </c>
    </row>
    <row r="2870" customFormat="false" ht="15" hidden="false" customHeight="false" outlineLevel="0" collapsed="false">
      <c r="A2870" s="79" t="str">
        <f aca="false">IF(E2870="","",ROW()-6)</f>
        <v/>
      </c>
      <c r="B2870" s="80"/>
      <c r="C2870" s="81"/>
      <c r="D2870" s="81"/>
      <c r="E2870" s="81"/>
      <c r="F2870" s="82" t="str">
        <f aca="false">IF(E2870="","",IF(LEFT(E2870,2)="DJ","DJ","JN"))</f>
        <v/>
      </c>
      <c r="G2870" s="81"/>
      <c r="H2870" s="81"/>
      <c r="I2870" s="81"/>
      <c r="J2870" s="81"/>
      <c r="K2870" s="81"/>
      <c r="L2870" s="81"/>
      <c r="M2870" s="81"/>
      <c r="N2870" s="81"/>
      <c r="O2870" s="81"/>
      <c r="P2870" s="81"/>
      <c r="Q2870" s="81"/>
      <c r="R2870" s="81"/>
      <c r="S2870" s="81"/>
      <c r="T2870" s="81"/>
      <c r="U2870" s="83"/>
      <c r="V2870" s="83"/>
      <c r="W2870" s="81"/>
      <c r="X2870" s="81"/>
      <c r="Y2870" s="83"/>
      <c r="Z2870" s="81"/>
      <c r="AA2870" s="81"/>
      <c r="AB2870" s="81"/>
      <c r="AC2870" s="81"/>
      <c r="AD2870" s="81"/>
      <c r="AE2870" s="83"/>
      <c r="AF2870" s="81"/>
      <c r="AG2870" s="81"/>
      <c r="AH2870" s="81"/>
      <c r="AI2870" s="81"/>
      <c r="AJ2870" s="83"/>
      <c r="AK2870" s="81"/>
      <c r="AL2870" s="81"/>
      <c r="AM2870" s="83"/>
      <c r="AN2870" s="80"/>
      <c r="AO2870" s="82" t="str">
        <f aca="false">IF(E2870="","",(AA2870&lt;&gt;"")+(AG2870&lt;&gt;"")+(AL2870&lt;&gt;""))</f>
        <v/>
      </c>
      <c r="AP2870" s="82" t="str">
        <f aca="false">IF(AL2870&lt;&gt;"",AL2870,IF(AG2870&lt;&gt;"",AG2870,IF(AA2870&lt;&gt;"",AA2870,"")))</f>
        <v/>
      </c>
      <c r="AQ2870" s="84" t="str">
        <f aca="false">IF(E2870="","",IF(U2870="","À SOUDER",IF(X2870="","VT EN ATTENTE",IF(X2870="R","VT REJETÉ – À REPRENDRE",IF(AP2870="","À RADIOGRAPHIER",IF(AP2870="A","ACCEPTÉ",IF(AP2870="NX","NX – RT À REFAIRE",IF(IF(AO2870=1,AD2870,IF(AO2870=2,AI2870,""))="A","RÉPARÉ – À RADIOGRAPHIER",IF(IF(AO2870=1,AD2870,IF(AO2870=2,AI2870,""))="R","VT REJETÉ – À REPRENDRE",IF(OR(AP2870="CO",AP2870="NT"),"COUPE – À RESOUDER","À RÉPARER"))))))))))</f>
        <v/>
      </c>
      <c r="AR2870" s="82" t="str">
        <f aca="false">IF(AND(ISNUMBER(U2870),OR(AQ2870="À RADIOGRAPHIER",AQ2870="RÉPARÉ – À RADIOGRAPHIER",AQ2870="NX – RT À REFAIRE",AQ2870="À RÉPARER",AQ2870="COUPE – À RESOUDER",AQ2870="VT REJETÉ – À REPRENDRE")),MAX(0,'PROGRAMME RT'!$C$4-U2870),"")</f>
        <v/>
      </c>
      <c r="AS2870" s="82" t="n">
        <f aca="false">IF(AND(OR(AQ2870="À RADIOGRAPHIER",AQ2870="RÉPARÉ – À RADIOGRAPHIER",AQ2870="NX – RT À REFAIRE"),OR('PROGRAMME RT'!$D$5="TOUTES",B2870='PROGRAMME RT'!$D$5)),1,0)</f>
        <v>0</v>
      </c>
      <c r="AT2870" s="82" t="str">
        <f aca="false">IF(AS2870=1,SUM(AS$7:AS2870),"")</f>
        <v/>
      </c>
      <c r="AU2870" s="82" t="n">
        <f aca="false">IF(AND(OR(AA2870="R",AA2870="NX",AA2870="NT",AA2870="CO"),OR('JOINTS DE RÉPARATION'!$D$5="TOUTES",B2870='JOINTS DE RÉPARATION'!$D$5),OR('JOINTS DE RÉPARATION'!$L$4="TOUS",AQ2870&lt;&gt;"ACCEPTÉ")),1,0)</f>
        <v>0</v>
      </c>
      <c r="AV2870" s="82" t="str">
        <f aca="false">IF(AU2870=1,SUM(AU$7:AU2870),"")</f>
        <v/>
      </c>
      <c r="AW2870" s="82" t="str">
        <f aca="false">IF(E2870="","",B2870&amp;"|"&amp;E2870)</f>
        <v/>
      </c>
    </row>
    <row r="2871" customFormat="false" ht="15" hidden="false" customHeight="false" outlineLevel="0" collapsed="false">
      <c r="A2871" s="79" t="str">
        <f aca="false">IF(E2871="","",ROW()-6)</f>
        <v/>
      </c>
      <c r="B2871" s="80"/>
      <c r="C2871" s="81"/>
      <c r="D2871" s="81"/>
      <c r="E2871" s="81"/>
      <c r="F2871" s="82" t="str">
        <f aca="false">IF(E2871="","",IF(LEFT(E2871,2)="DJ","DJ","JN"))</f>
        <v/>
      </c>
      <c r="G2871" s="81"/>
      <c r="H2871" s="81"/>
      <c r="I2871" s="81"/>
      <c r="J2871" s="81"/>
      <c r="K2871" s="81"/>
      <c r="L2871" s="81"/>
      <c r="M2871" s="81"/>
      <c r="N2871" s="81"/>
      <c r="O2871" s="81"/>
      <c r="P2871" s="81"/>
      <c r="Q2871" s="81"/>
      <c r="R2871" s="81"/>
      <c r="S2871" s="81"/>
      <c r="T2871" s="81"/>
      <c r="U2871" s="83"/>
      <c r="V2871" s="83"/>
      <c r="W2871" s="81"/>
      <c r="X2871" s="81"/>
      <c r="Y2871" s="83"/>
      <c r="Z2871" s="81"/>
      <c r="AA2871" s="81"/>
      <c r="AB2871" s="81"/>
      <c r="AC2871" s="81"/>
      <c r="AD2871" s="81"/>
      <c r="AE2871" s="83"/>
      <c r="AF2871" s="81"/>
      <c r="AG2871" s="81"/>
      <c r="AH2871" s="81"/>
      <c r="AI2871" s="81"/>
      <c r="AJ2871" s="83"/>
      <c r="AK2871" s="81"/>
      <c r="AL2871" s="81"/>
      <c r="AM2871" s="83"/>
      <c r="AN2871" s="80"/>
      <c r="AO2871" s="82" t="str">
        <f aca="false">IF(E2871="","",(AA2871&lt;&gt;"")+(AG2871&lt;&gt;"")+(AL2871&lt;&gt;""))</f>
        <v/>
      </c>
      <c r="AP2871" s="82" t="str">
        <f aca="false">IF(AL2871&lt;&gt;"",AL2871,IF(AG2871&lt;&gt;"",AG2871,IF(AA2871&lt;&gt;"",AA2871,"")))</f>
        <v/>
      </c>
      <c r="AQ2871" s="84" t="str">
        <f aca="false">IF(E2871="","",IF(U2871="","À SOUDER",IF(X2871="","VT EN ATTENTE",IF(X2871="R","VT REJETÉ – À REPRENDRE",IF(AP2871="","À RADIOGRAPHIER",IF(AP2871="A","ACCEPTÉ",IF(AP2871="NX","NX – RT À REFAIRE",IF(IF(AO2871=1,AD2871,IF(AO2871=2,AI2871,""))="A","RÉPARÉ – À RADIOGRAPHIER",IF(IF(AO2871=1,AD2871,IF(AO2871=2,AI2871,""))="R","VT REJETÉ – À REPRENDRE",IF(OR(AP2871="CO",AP2871="NT"),"COUPE – À RESOUDER","À RÉPARER"))))))))))</f>
        <v/>
      </c>
      <c r="AR2871" s="82" t="str">
        <f aca="false">IF(AND(ISNUMBER(U2871),OR(AQ2871="À RADIOGRAPHIER",AQ2871="RÉPARÉ – À RADIOGRAPHIER",AQ2871="NX – RT À REFAIRE",AQ2871="À RÉPARER",AQ2871="COUPE – À RESOUDER",AQ2871="VT REJETÉ – À REPRENDRE")),MAX(0,'PROGRAMME RT'!$C$4-U2871),"")</f>
        <v/>
      </c>
      <c r="AS2871" s="82" t="n">
        <f aca="false">IF(AND(OR(AQ2871="À RADIOGRAPHIER",AQ2871="RÉPARÉ – À RADIOGRAPHIER",AQ2871="NX – RT À REFAIRE"),OR('PROGRAMME RT'!$D$5="TOUTES",B2871='PROGRAMME RT'!$D$5)),1,0)</f>
        <v>0</v>
      </c>
      <c r="AT2871" s="82" t="str">
        <f aca="false">IF(AS2871=1,SUM(AS$7:AS2871),"")</f>
        <v/>
      </c>
      <c r="AU2871" s="82" t="n">
        <f aca="false">IF(AND(OR(AA2871="R",AA2871="NX",AA2871="NT",AA2871="CO"),OR('JOINTS DE RÉPARATION'!$D$5="TOUTES",B2871='JOINTS DE RÉPARATION'!$D$5),OR('JOINTS DE RÉPARATION'!$L$4="TOUS",AQ2871&lt;&gt;"ACCEPTÉ")),1,0)</f>
        <v>0</v>
      </c>
      <c r="AV2871" s="82" t="str">
        <f aca="false">IF(AU2871=1,SUM(AU$7:AU2871),"")</f>
        <v/>
      </c>
      <c r="AW2871" s="82" t="str">
        <f aca="false">IF(E2871="","",B2871&amp;"|"&amp;E2871)</f>
        <v/>
      </c>
    </row>
    <row r="2872" customFormat="false" ht="15" hidden="false" customHeight="false" outlineLevel="0" collapsed="false">
      <c r="A2872" s="79" t="str">
        <f aca="false">IF(E2872="","",ROW()-6)</f>
        <v/>
      </c>
      <c r="B2872" s="80"/>
      <c r="C2872" s="81"/>
      <c r="D2872" s="81"/>
      <c r="E2872" s="81"/>
      <c r="F2872" s="82" t="str">
        <f aca="false">IF(E2872="","",IF(LEFT(E2872,2)="DJ","DJ","JN"))</f>
        <v/>
      </c>
      <c r="G2872" s="81"/>
      <c r="H2872" s="81"/>
      <c r="I2872" s="81"/>
      <c r="J2872" s="81"/>
      <c r="K2872" s="81"/>
      <c r="L2872" s="81"/>
      <c r="M2872" s="81"/>
      <c r="N2872" s="81"/>
      <c r="O2872" s="81"/>
      <c r="P2872" s="81"/>
      <c r="Q2872" s="81"/>
      <c r="R2872" s="81"/>
      <c r="S2872" s="81"/>
      <c r="T2872" s="81"/>
      <c r="U2872" s="83"/>
      <c r="V2872" s="83"/>
      <c r="W2872" s="81"/>
      <c r="X2872" s="81"/>
      <c r="Y2872" s="83"/>
      <c r="Z2872" s="81"/>
      <c r="AA2872" s="81"/>
      <c r="AB2872" s="81"/>
      <c r="AC2872" s="81"/>
      <c r="AD2872" s="81"/>
      <c r="AE2872" s="83"/>
      <c r="AF2872" s="81"/>
      <c r="AG2872" s="81"/>
      <c r="AH2872" s="81"/>
      <c r="AI2872" s="81"/>
      <c r="AJ2872" s="83"/>
      <c r="AK2872" s="81"/>
      <c r="AL2872" s="81"/>
      <c r="AM2872" s="83"/>
      <c r="AN2872" s="80"/>
      <c r="AO2872" s="82" t="str">
        <f aca="false">IF(E2872="","",(AA2872&lt;&gt;"")+(AG2872&lt;&gt;"")+(AL2872&lt;&gt;""))</f>
        <v/>
      </c>
      <c r="AP2872" s="82" t="str">
        <f aca="false">IF(AL2872&lt;&gt;"",AL2872,IF(AG2872&lt;&gt;"",AG2872,IF(AA2872&lt;&gt;"",AA2872,"")))</f>
        <v/>
      </c>
      <c r="AQ2872" s="84" t="str">
        <f aca="false">IF(E2872="","",IF(U2872="","À SOUDER",IF(X2872="","VT EN ATTENTE",IF(X2872="R","VT REJETÉ – À REPRENDRE",IF(AP2872="","À RADIOGRAPHIER",IF(AP2872="A","ACCEPTÉ",IF(AP2872="NX","NX – RT À REFAIRE",IF(IF(AO2872=1,AD2872,IF(AO2872=2,AI2872,""))="A","RÉPARÉ – À RADIOGRAPHIER",IF(IF(AO2872=1,AD2872,IF(AO2872=2,AI2872,""))="R","VT REJETÉ – À REPRENDRE",IF(OR(AP2872="CO",AP2872="NT"),"COUPE – À RESOUDER","À RÉPARER"))))))))))</f>
        <v/>
      </c>
      <c r="AR2872" s="82" t="str">
        <f aca="false">IF(AND(ISNUMBER(U2872),OR(AQ2872="À RADIOGRAPHIER",AQ2872="RÉPARÉ – À RADIOGRAPHIER",AQ2872="NX – RT À REFAIRE",AQ2872="À RÉPARER",AQ2872="COUPE – À RESOUDER",AQ2872="VT REJETÉ – À REPRENDRE")),MAX(0,'PROGRAMME RT'!$C$4-U2872),"")</f>
        <v/>
      </c>
      <c r="AS2872" s="82" t="n">
        <f aca="false">IF(AND(OR(AQ2872="À RADIOGRAPHIER",AQ2872="RÉPARÉ – À RADIOGRAPHIER",AQ2872="NX – RT À REFAIRE"),OR('PROGRAMME RT'!$D$5="TOUTES",B2872='PROGRAMME RT'!$D$5)),1,0)</f>
        <v>0</v>
      </c>
      <c r="AT2872" s="82" t="str">
        <f aca="false">IF(AS2872=1,SUM(AS$7:AS2872),"")</f>
        <v/>
      </c>
      <c r="AU2872" s="82" t="n">
        <f aca="false">IF(AND(OR(AA2872="R",AA2872="NX",AA2872="NT",AA2872="CO"),OR('JOINTS DE RÉPARATION'!$D$5="TOUTES",B2872='JOINTS DE RÉPARATION'!$D$5),OR('JOINTS DE RÉPARATION'!$L$4="TOUS",AQ2872&lt;&gt;"ACCEPTÉ")),1,0)</f>
        <v>0</v>
      </c>
      <c r="AV2872" s="82" t="str">
        <f aca="false">IF(AU2872=1,SUM(AU$7:AU2872),"")</f>
        <v/>
      </c>
      <c r="AW2872" s="82" t="str">
        <f aca="false">IF(E2872="","",B2872&amp;"|"&amp;E2872)</f>
        <v/>
      </c>
    </row>
    <row r="2873" customFormat="false" ht="15" hidden="false" customHeight="false" outlineLevel="0" collapsed="false">
      <c r="A2873" s="79" t="str">
        <f aca="false">IF(E2873="","",ROW()-6)</f>
        <v/>
      </c>
      <c r="B2873" s="80"/>
      <c r="C2873" s="81"/>
      <c r="D2873" s="81"/>
      <c r="E2873" s="81"/>
      <c r="F2873" s="82" t="str">
        <f aca="false">IF(E2873="","",IF(LEFT(E2873,2)="DJ","DJ","JN"))</f>
        <v/>
      </c>
      <c r="G2873" s="81"/>
      <c r="H2873" s="81"/>
      <c r="I2873" s="81"/>
      <c r="J2873" s="81"/>
      <c r="K2873" s="81"/>
      <c r="L2873" s="81"/>
      <c r="M2873" s="81"/>
      <c r="N2873" s="81"/>
      <c r="O2873" s="81"/>
      <c r="P2873" s="81"/>
      <c r="Q2873" s="81"/>
      <c r="R2873" s="81"/>
      <c r="S2873" s="81"/>
      <c r="T2873" s="81"/>
      <c r="U2873" s="83"/>
      <c r="V2873" s="83"/>
      <c r="W2873" s="81"/>
      <c r="X2873" s="81"/>
      <c r="Y2873" s="83"/>
      <c r="Z2873" s="81"/>
      <c r="AA2873" s="81"/>
      <c r="AB2873" s="81"/>
      <c r="AC2873" s="81"/>
      <c r="AD2873" s="81"/>
      <c r="AE2873" s="83"/>
      <c r="AF2873" s="81"/>
      <c r="AG2873" s="81"/>
      <c r="AH2873" s="81"/>
      <c r="AI2873" s="81"/>
      <c r="AJ2873" s="83"/>
      <c r="AK2873" s="81"/>
      <c r="AL2873" s="81"/>
      <c r="AM2873" s="83"/>
      <c r="AN2873" s="80"/>
      <c r="AO2873" s="82" t="str">
        <f aca="false">IF(E2873="","",(AA2873&lt;&gt;"")+(AG2873&lt;&gt;"")+(AL2873&lt;&gt;""))</f>
        <v/>
      </c>
      <c r="AP2873" s="82" t="str">
        <f aca="false">IF(AL2873&lt;&gt;"",AL2873,IF(AG2873&lt;&gt;"",AG2873,IF(AA2873&lt;&gt;"",AA2873,"")))</f>
        <v/>
      </c>
      <c r="AQ2873" s="84" t="str">
        <f aca="false">IF(E2873="","",IF(U2873="","À SOUDER",IF(X2873="","VT EN ATTENTE",IF(X2873="R","VT REJETÉ – À REPRENDRE",IF(AP2873="","À RADIOGRAPHIER",IF(AP2873="A","ACCEPTÉ",IF(AP2873="NX","NX – RT À REFAIRE",IF(IF(AO2873=1,AD2873,IF(AO2873=2,AI2873,""))="A","RÉPARÉ – À RADIOGRAPHIER",IF(IF(AO2873=1,AD2873,IF(AO2873=2,AI2873,""))="R","VT REJETÉ – À REPRENDRE",IF(OR(AP2873="CO",AP2873="NT"),"COUPE – À RESOUDER","À RÉPARER"))))))))))</f>
        <v/>
      </c>
      <c r="AR2873" s="82" t="str">
        <f aca="false">IF(AND(ISNUMBER(U2873),OR(AQ2873="À RADIOGRAPHIER",AQ2873="RÉPARÉ – À RADIOGRAPHIER",AQ2873="NX – RT À REFAIRE",AQ2873="À RÉPARER",AQ2873="COUPE – À RESOUDER",AQ2873="VT REJETÉ – À REPRENDRE")),MAX(0,'PROGRAMME RT'!$C$4-U2873),"")</f>
        <v/>
      </c>
      <c r="AS2873" s="82" t="n">
        <f aca="false">IF(AND(OR(AQ2873="À RADIOGRAPHIER",AQ2873="RÉPARÉ – À RADIOGRAPHIER",AQ2873="NX – RT À REFAIRE"),OR('PROGRAMME RT'!$D$5="TOUTES",B2873='PROGRAMME RT'!$D$5)),1,0)</f>
        <v>0</v>
      </c>
      <c r="AT2873" s="82" t="str">
        <f aca="false">IF(AS2873=1,SUM(AS$7:AS2873),"")</f>
        <v/>
      </c>
      <c r="AU2873" s="82" t="n">
        <f aca="false">IF(AND(OR(AA2873="R",AA2873="NX",AA2873="NT",AA2873="CO"),OR('JOINTS DE RÉPARATION'!$D$5="TOUTES",B2873='JOINTS DE RÉPARATION'!$D$5),OR('JOINTS DE RÉPARATION'!$L$4="TOUS",AQ2873&lt;&gt;"ACCEPTÉ")),1,0)</f>
        <v>0</v>
      </c>
      <c r="AV2873" s="82" t="str">
        <f aca="false">IF(AU2873=1,SUM(AU$7:AU2873),"")</f>
        <v/>
      </c>
      <c r="AW2873" s="82" t="str">
        <f aca="false">IF(E2873="","",B2873&amp;"|"&amp;E2873)</f>
        <v/>
      </c>
    </row>
    <row r="2874" customFormat="false" ht="15" hidden="false" customHeight="false" outlineLevel="0" collapsed="false">
      <c r="A2874" s="79" t="str">
        <f aca="false">IF(E2874="","",ROW()-6)</f>
        <v/>
      </c>
      <c r="B2874" s="80"/>
      <c r="C2874" s="81"/>
      <c r="D2874" s="81"/>
      <c r="E2874" s="81"/>
      <c r="F2874" s="82" t="str">
        <f aca="false">IF(E2874="","",IF(LEFT(E2874,2)="DJ","DJ","JN"))</f>
        <v/>
      </c>
      <c r="G2874" s="81"/>
      <c r="H2874" s="81"/>
      <c r="I2874" s="81"/>
      <c r="J2874" s="81"/>
      <c r="K2874" s="81"/>
      <c r="L2874" s="81"/>
      <c r="M2874" s="81"/>
      <c r="N2874" s="81"/>
      <c r="O2874" s="81"/>
      <c r="P2874" s="81"/>
      <c r="Q2874" s="81"/>
      <c r="R2874" s="81"/>
      <c r="S2874" s="81"/>
      <c r="T2874" s="81"/>
      <c r="U2874" s="83"/>
      <c r="V2874" s="83"/>
      <c r="W2874" s="81"/>
      <c r="X2874" s="81"/>
      <c r="Y2874" s="83"/>
      <c r="Z2874" s="81"/>
      <c r="AA2874" s="81"/>
      <c r="AB2874" s="81"/>
      <c r="AC2874" s="81"/>
      <c r="AD2874" s="81"/>
      <c r="AE2874" s="83"/>
      <c r="AF2874" s="81"/>
      <c r="AG2874" s="81"/>
      <c r="AH2874" s="81"/>
      <c r="AI2874" s="81"/>
      <c r="AJ2874" s="83"/>
      <c r="AK2874" s="81"/>
      <c r="AL2874" s="81"/>
      <c r="AM2874" s="83"/>
      <c r="AN2874" s="80"/>
      <c r="AO2874" s="82" t="str">
        <f aca="false">IF(E2874="","",(AA2874&lt;&gt;"")+(AG2874&lt;&gt;"")+(AL2874&lt;&gt;""))</f>
        <v/>
      </c>
      <c r="AP2874" s="82" t="str">
        <f aca="false">IF(AL2874&lt;&gt;"",AL2874,IF(AG2874&lt;&gt;"",AG2874,IF(AA2874&lt;&gt;"",AA2874,"")))</f>
        <v/>
      </c>
      <c r="AQ2874" s="84" t="str">
        <f aca="false">IF(E2874="","",IF(U2874="","À SOUDER",IF(X2874="","VT EN ATTENTE",IF(X2874="R","VT REJETÉ – À REPRENDRE",IF(AP2874="","À RADIOGRAPHIER",IF(AP2874="A","ACCEPTÉ",IF(AP2874="NX","NX – RT À REFAIRE",IF(IF(AO2874=1,AD2874,IF(AO2874=2,AI2874,""))="A","RÉPARÉ – À RADIOGRAPHIER",IF(IF(AO2874=1,AD2874,IF(AO2874=2,AI2874,""))="R","VT REJETÉ – À REPRENDRE",IF(OR(AP2874="CO",AP2874="NT"),"COUPE – À RESOUDER","À RÉPARER"))))))))))</f>
        <v/>
      </c>
      <c r="AR2874" s="82" t="str">
        <f aca="false">IF(AND(ISNUMBER(U2874),OR(AQ2874="À RADIOGRAPHIER",AQ2874="RÉPARÉ – À RADIOGRAPHIER",AQ2874="NX – RT À REFAIRE",AQ2874="À RÉPARER",AQ2874="COUPE – À RESOUDER",AQ2874="VT REJETÉ – À REPRENDRE")),MAX(0,'PROGRAMME RT'!$C$4-U2874),"")</f>
        <v/>
      </c>
      <c r="AS2874" s="82" t="n">
        <f aca="false">IF(AND(OR(AQ2874="À RADIOGRAPHIER",AQ2874="RÉPARÉ – À RADIOGRAPHIER",AQ2874="NX – RT À REFAIRE"),OR('PROGRAMME RT'!$D$5="TOUTES",B2874='PROGRAMME RT'!$D$5)),1,0)</f>
        <v>0</v>
      </c>
      <c r="AT2874" s="82" t="str">
        <f aca="false">IF(AS2874=1,SUM(AS$7:AS2874),"")</f>
        <v/>
      </c>
      <c r="AU2874" s="82" t="n">
        <f aca="false">IF(AND(OR(AA2874="R",AA2874="NX",AA2874="NT",AA2874="CO"),OR('JOINTS DE RÉPARATION'!$D$5="TOUTES",B2874='JOINTS DE RÉPARATION'!$D$5),OR('JOINTS DE RÉPARATION'!$L$4="TOUS",AQ2874&lt;&gt;"ACCEPTÉ")),1,0)</f>
        <v>0</v>
      </c>
      <c r="AV2874" s="82" t="str">
        <f aca="false">IF(AU2874=1,SUM(AU$7:AU2874),"")</f>
        <v/>
      </c>
      <c r="AW2874" s="82" t="str">
        <f aca="false">IF(E2874="","",B2874&amp;"|"&amp;E2874)</f>
        <v/>
      </c>
    </row>
    <row r="2875" customFormat="false" ht="15" hidden="false" customHeight="false" outlineLevel="0" collapsed="false">
      <c r="A2875" s="79" t="str">
        <f aca="false">IF(E2875="","",ROW()-6)</f>
        <v/>
      </c>
      <c r="B2875" s="80"/>
      <c r="C2875" s="81"/>
      <c r="D2875" s="81"/>
      <c r="E2875" s="81"/>
      <c r="F2875" s="82" t="str">
        <f aca="false">IF(E2875="","",IF(LEFT(E2875,2)="DJ","DJ","JN"))</f>
        <v/>
      </c>
      <c r="G2875" s="81"/>
      <c r="H2875" s="81"/>
      <c r="I2875" s="81"/>
      <c r="J2875" s="81"/>
      <c r="K2875" s="81"/>
      <c r="L2875" s="81"/>
      <c r="M2875" s="81"/>
      <c r="N2875" s="81"/>
      <c r="O2875" s="81"/>
      <c r="P2875" s="81"/>
      <c r="Q2875" s="81"/>
      <c r="R2875" s="81"/>
      <c r="S2875" s="81"/>
      <c r="T2875" s="81"/>
      <c r="U2875" s="83"/>
      <c r="V2875" s="83"/>
      <c r="W2875" s="81"/>
      <c r="X2875" s="81"/>
      <c r="Y2875" s="83"/>
      <c r="Z2875" s="81"/>
      <c r="AA2875" s="81"/>
      <c r="AB2875" s="81"/>
      <c r="AC2875" s="81"/>
      <c r="AD2875" s="81"/>
      <c r="AE2875" s="83"/>
      <c r="AF2875" s="81"/>
      <c r="AG2875" s="81"/>
      <c r="AH2875" s="81"/>
      <c r="AI2875" s="81"/>
      <c r="AJ2875" s="83"/>
      <c r="AK2875" s="81"/>
      <c r="AL2875" s="81"/>
      <c r="AM2875" s="83"/>
      <c r="AN2875" s="80"/>
      <c r="AO2875" s="82" t="str">
        <f aca="false">IF(E2875="","",(AA2875&lt;&gt;"")+(AG2875&lt;&gt;"")+(AL2875&lt;&gt;""))</f>
        <v/>
      </c>
      <c r="AP2875" s="82" t="str">
        <f aca="false">IF(AL2875&lt;&gt;"",AL2875,IF(AG2875&lt;&gt;"",AG2875,IF(AA2875&lt;&gt;"",AA2875,"")))</f>
        <v/>
      </c>
      <c r="AQ2875" s="84" t="str">
        <f aca="false">IF(E2875="","",IF(U2875="","À SOUDER",IF(X2875="","VT EN ATTENTE",IF(X2875="R","VT REJETÉ – À REPRENDRE",IF(AP2875="","À RADIOGRAPHIER",IF(AP2875="A","ACCEPTÉ",IF(AP2875="NX","NX – RT À REFAIRE",IF(IF(AO2875=1,AD2875,IF(AO2875=2,AI2875,""))="A","RÉPARÉ – À RADIOGRAPHIER",IF(IF(AO2875=1,AD2875,IF(AO2875=2,AI2875,""))="R","VT REJETÉ – À REPRENDRE",IF(OR(AP2875="CO",AP2875="NT"),"COUPE – À RESOUDER","À RÉPARER"))))))))))</f>
        <v/>
      </c>
      <c r="AR2875" s="82" t="str">
        <f aca="false">IF(AND(ISNUMBER(U2875),OR(AQ2875="À RADIOGRAPHIER",AQ2875="RÉPARÉ – À RADIOGRAPHIER",AQ2875="NX – RT À REFAIRE",AQ2875="À RÉPARER",AQ2875="COUPE – À RESOUDER",AQ2875="VT REJETÉ – À REPRENDRE")),MAX(0,'PROGRAMME RT'!$C$4-U2875),"")</f>
        <v/>
      </c>
      <c r="AS2875" s="82" t="n">
        <f aca="false">IF(AND(OR(AQ2875="À RADIOGRAPHIER",AQ2875="RÉPARÉ – À RADIOGRAPHIER",AQ2875="NX – RT À REFAIRE"),OR('PROGRAMME RT'!$D$5="TOUTES",B2875='PROGRAMME RT'!$D$5)),1,0)</f>
        <v>0</v>
      </c>
      <c r="AT2875" s="82" t="str">
        <f aca="false">IF(AS2875=1,SUM(AS$7:AS2875),"")</f>
        <v/>
      </c>
      <c r="AU2875" s="82" t="n">
        <f aca="false">IF(AND(OR(AA2875="R",AA2875="NX",AA2875="NT",AA2875="CO"),OR('JOINTS DE RÉPARATION'!$D$5="TOUTES",B2875='JOINTS DE RÉPARATION'!$D$5),OR('JOINTS DE RÉPARATION'!$L$4="TOUS",AQ2875&lt;&gt;"ACCEPTÉ")),1,0)</f>
        <v>0</v>
      </c>
      <c r="AV2875" s="82" t="str">
        <f aca="false">IF(AU2875=1,SUM(AU$7:AU2875),"")</f>
        <v/>
      </c>
      <c r="AW2875" s="82" t="str">
        <f aca="false">IF(E2875="","",B2875&amp;"|"&amp;E2875)</f>
        <v/>
      </c>
    </row>
    <row r="2876" customFormat="false" ht="15" hidden="false" customHeight="false" outlineLevel="0" collapsed="false">
      <c r="A2876" s="79" t="str">
        <f aca="false">IF(E2876="","",ROW()-6)</f>
        <v/>
      </c>
      <c r="B2876" s="80"/>
      <c r="C2876" s="81"/>
      <c r="D2876" s="81"/>
      <c r="E2876" s="81"/>
      <c r="F2876" s="82" t="str">
        <f aca="false">IF(E2876="","",IF(LEFT(E2876,2)="DJ","DJ","JN"))</f>
        <v/>
      </c>
      <c r="G2876" s="81"/>
      <c r="H2876" s="81"/>
      <c r="I2876" s="81"/>
      <c r="J2876" s="81"/>
      <c r="K2876" s="81"/>
      <c r="L2876" s="81"/>
      <c r="M2876" s="81"/>
      <c r="N2876" s="81"/>
      <c r="O2876" s="81"/>
      <c r="P2876" s="81"/>
      <c r="Q2876" s="81"/>
      <c r="R2876" s="81"/>
      <c r="S2876" s="81"/>
      <c r="T2876" s="81"/>
      <c r="U2876" s="83"/>
      <c r="V2876" s="83"/>
      <c r="W2876" s="81"/>
      <c r="X2876" s="81"/>
      <c r="Y2876" s="83"/>
      <c r="Z2876" s="81"/>
      <c r="AA2876" s="81"/>
      <c r="AB2876" s="81"/>
      <c r="AC2876" s="81"/>
      <c r="AD2876" s="81"/>
      <c r="AE2876" s="83"/>
      <c r="AF2876" s="81"/>
      <c r="AG2876" s="81"/>
      <c r="AH2876" s="81"/>
      <c r="AI2876" s="81"/>
      <c r="AJ2876" s="83"/>
      <c r="AK2876" s="81"/>
      <c r="AL2876" s="81"/>
      <c r="AM2876" s="83"/>
      <c r="AN2876" s="80"/>
      <c r="AO2876" s="82" t="str">
        <f aca="false">IF(E2876="","",(AA2876&lt;&gt;"")+(AG2876&lt;&gt;"")+(AL2876&lt;&gt;""))</f>
        <v/>
      </c>
      <c r="AP2876" s="82" t="str">
        <f aca="false">IF(AL2876&lt;&gt;"",AL2876,IF(AG2876&lt;&gt;"",AG2876,IF(AA2876&lt;&gt;"",AA2876,"")))</f>
        <v/>
      </c>
      <c r="AQ2876" s="84" t="str">
        <f aca="false">IF(E2876="","",IF(U2876="","À SOUDER",IF(X2876="","VT EN ATTENTE",IF(X2876="R","VT REJETÉ – À REPRENDRE",IF(AP2876="","À RADIOGRAPHIER",IF(AP2876="A","ACCEPTÉ",IF(AP2876="NX","NX – RT À REFAIRE",IF(IF(AO2876=1,AD2876,IF(AO2876=2,AI2876,""))="A","RÉPARÉ – À RADIOGRAPHIER",IF(IF(AO2876=1,AD2876,IF(AO2876=2,AI2876,""))="R","VT REJETÉ – À REPRENDRE",IF(OR(AP2876="CO",AP2876="NT"),"COUPE – À RESOUDER","À RÉPARER"))))))))))</f>
        <v/>
      </c>
      <c r="AR2876" s="82" t="str">
        <f aca="false">IF(AND(ISNUMBER(U2876),OR(AQ2876="À RADIOGRAPHIER",AQ2876="RÉPARÉ – À RADIOGRAPHIER",AQ2876="NX – RT À REFAIRE",AQ2876="À RÉPARER",AQ2876="COUPE – À RESOUDER",AQ2876="VT REJETÉ – À REPRENDRE")),MAX(0,'PROGRAMME RT'!$C$4-U2876),"")</f>
        <v/>
      </c>
      <c r="AS2876" s="82" t="n">
        <f aca="false">IF(AND(OR(AQ2876="À RADIOGRAPHIER",AQ2876="RÉPARÉ – À RADIOGRAPHIER",AQ2876="NX – RT À REFAIRE"),OR('PROGRAMME RT'!$D$5="TOUTES",B2876='PROGRAMME RT'!$D$5)),1,0)</f>
        <v>0</v>
      </c>
      <c r="AT2876" s="82" t="str">
        <f aca="false">IF(AS2876=1,SUM(AS$7:AS2876),"")</f>
        <v/>
      </c>
      <c r="AU2876" s="82" t="n">
        <f aca="false">IF(AND(OR(AA2876="R",AA2876="NX",AA2876="NT",AA2876="CO"),OR('JOINTS DE RÉPARATION'!$D$5="TOUTES",B2876='JOINTS DE RÉPARATION'!$D$5),OR('JOINTS DE RÉPARATION'!$L$4="TOUS",AQ2876&lt;&gt;"ACCEPTÉ")),1,0)</f>
        <v>0</v>
      </c>
      <c r="AV2876" s="82" t="str">
        <f aca="false">IF(AU2876=1,SUM(AU$7:AU2876),"")</f>
        <v/>
      </c>
      <c r="AW2876" s="82" t="str">
        <f aca="false">IF(E2876="","",B2876&amp;"|"&amp;E2876)</f>
        <v/>
      </c>
    </row>
    <row r="2877" customFormat="false" ht="15" hidden="false" customHeight="false" outlineLevel="0" collapsed="false">
      <c r="A2877" s="79" t="str">
        <f aca="false">IF(E2877="","",ROW()-6)</f>
        <v/>
      </c>
      <c r="B2877" s="80"/>
      <c r="C2877" s="81"/>
      <c r="D2877" s="81"/>
      <c r="E2877" s="81"/>
      <c r="F2877" s="82" t="str">
        <f aca="false">IF(E2877="","",IF(LEFT(E2877,2)="DJ","DJ","JN"))</f>
        <v/>
      </c>
      <c r="G2877" s="81"/>
      <c r="H2877" s="81"/>
      <c r="I2877" s="81"/>
      <c r="J2877" s="81"/>
      <c r="K2877" s="81"/>
      <c r="L2877" s="81"/>
      <c r="M2877" s="81"/>
      <c r="N2877" s="81"/>
      <c r="O2877" s="81"/>
      <c r="P2877" s="81"/>
      <c r="Q2877" s="81"/>
      <c r="R2877" s="81"/>
      <c r="S2877" s="81"/>
      <c r="T2877" s="81"/>
      <c r="U2877" s="83"/>
      <c r="V2877" s="83"/>
      <c r="W2877" s="81"/>
      <c r="X2877" s="81"/>
      <c r="Y2877" s="83"/>
      <c r="Z2877" s="81"/>
      <c r="AA2877" s="81"/>
      <c r="AB2877" s="81"/>
      <c r="AC2877" s="81"/>
      <c r="AD2877" s="81"/>
      <c r="AE2877" s="83"/>
      <c r="AF2877" s="81"/>
      <c r="AG2877" s="81"/>
      <c r="AH2877" s="81"/>
      <c r="AI2877" s="81"/>
      <c r="AJ2877" s="83"/>
      <c r="AK2877" s="81"/>
      <c r="AL2877" s="81"/>
      <c r="AM2877" s="83"/>
      <c r="AN2877" s="80"/>
      <c r="AO2877" s="82" t="str">
        <f aca="false">IF(E2877="","",(AA2877&lt;&gt;"")+(AG2877&lt;&gt;"")+(AL2877&lt;&gt;""))</f>
        <v/>
      </c>
      <c r="AP2877" s="82" t="str">
        <f aca="false">IF(AL2877&lt;&gt;"",AL2877,IF(AG2877&lt;&gt;"",AG2877,IF(AA2877&lt;&gt;"",AA2877,"")))</f>
        <v/>
      </c>
      <c r="AQ2877" s="84" t="str">
        <f aca="false">IF(E2877="","",IF(U2877="","À SOUDER",IF(X2877="","VT EN ATTENTE",IF(X2877="R","VT REJETÉ – À REPRENDRE",IF(AP2877="","À RADIOGRAPHIER",IF(AP2877="A","ACCEPTÉ",IF(AP2877="NX","NX – RT À REFAIRE",IF(IF(AO2877=1,AD2877,IF(AO2877=2,AI2877,""))="A","RÉPARÉ – À RADIOGRAPHIER",IF(IF(AO2877=1,AD2877,IF(AO2877=2,AI2877,""))="R","VT REJETÉ – À REPRENDRE",IF(OR(AP2877="CO",AP2877="NT"),"COUPE – À RESOUDER","À RÉPARER"))))))))))</f>
        <v/>
      </c>
      <c r="AR2877" s="82" t="str">
        <f aca="false">IF(AND(ISNUMBER(U2877),OR(AQ2877="À RADIOGRAPHIER",AQ2877="RÉPARÉ – À RADIOGRAPHIER",AQ2877="NX – RT À REFAIRE",AQ2877="À RÉPARER",AQ2877="COUPE – À RESOUDER",AQ2877="VT REJETÉ – À REPRENDRE")),MAX(0,'PROGRAMME RT'!$C$4-U2877),"")</f>
        <v/>
      </c>
      <c r="AS2877" s="82" t="n">
        <f aca="false">IF(AND(OR(AQ2877="À RADIOGRAPHIER",AQ2877="RÉPARÉ – À RADIOGRAPHIER",AQ2877="NX – RT À REFAIRE"),OR('PROGRAMME RT'!$D$5="TOUTES",B2877='PROGRAMME RT'!$D$5)),1,0)</f>
        <v>0</v>
      </c>
      <c r="AT2877" s="82" t="str">
        <f aca="false">IF(AS2877=1,SUM(AS$7:AS2877),"")</f>
        <v/>
      </c>
      <c r="AU2877" s="82" t="n">
        <f aca="false">IF(AND(OR(AA2877="R",AA2877="NX",AA2877="NT",AA2877="CO"),OR('JOINTS DE RÉPARATION'!$D$5="TOUTES",B2877='JOINTS DE RÉPARATION'!$D$5),OR('JOINTS DE RÉPARATION'!$L$4="TOUS",AQ2877&lt;&gt;"ACCEPTÉ")),1,0)</f>
        <v>0</v>
      </c>
      <c r="AV2877" s="82" t="str">
        <f aca="false">IF(AU2877=1,SUM(AU$7:AU2877),"")</f>
        <v/>
      </c>
      <c r="AW2877" s="82" t="str">
        <f aca="false">IF(E2877="","",B2877&amp;"|"&amp;E2877)</f>
        <v/>
      </c>
    </row>
    <row r="2878" customFormat="false" ht="15" hidden="false" customHeight="false" outlineLevel="0" collapsed="false">
      <c r="A2878" s="79" t="str">
        <f aca="false">IF(E2878="","",ROW()-6)</f>
        <v/>
      </c>
      <c r="B2878" s="80"/>
      <c r="C2878" s="81"/>
      <c r="D2878" s="81"/>
      <c r="E2878" s="81"/>
      <c r="F2878" s="82" t="str">
        <f aca="false">IF(E2878="","",IF(LEFT(E2878,2)="DJ","DJ","JN"))</f>
        <v/>
      </c>
      <c r="G2878" s="81"/>
      <c r="H2878" s="81"/>
      <c r="I2878" s="81"/>
      <c r="J2878" s="81"/>
      <c r="K2878" s="81"/>
      <c r="L2878" s="81"/>
      <c r="M2878" s="81"/>
      <c r="N2878" s="81"/>
      <c r="O2878" s="81"/>
      <c r="P2878" s="81"/>
      <c r="Q2878" s="81"/>
      <c r="R2878" s="81"/>
      <c r="S2878" s="81"/>
      <c r="T2878" s="81"/>
      <c r="U2878" s="83"/>
      <c r="V2878" s="83"/>
      <c r="W2878" s="81"/>
      <c r="X2878" s="81"/>
      <c r="Y2878" s="83"/>
      <c r="Z2878" s="81"/>
      <c r="AA2878" s="81"/>
      <c r="AB2878" s="81"/>
      <c r="AC2878" s="81"/>
      <c r="AD2878" s="81"/>
      <c r="AE2878" s="83"/>
      <c r="AF2878" s="81"/>
      <c r="AG2878" s="81"/>
      <c r="AH2878" s="81"/>
      <c r="AI2878" s="81"/>
      <c r="AJ2878" s="83"/>
      <c r="AK2878" s="81"/>
      <c r="AL2878" s="81"/>
      <c r="AM2878" s="83"/>
      <c r="AN2878" s="80"/>
      <c r="AO2878" s="82" t="str">
        <f aca="false">IF(E2878="","",(AA2878&lt;&gt;"")+(AG2878&lt;&gt;"")+(AL2878&lt;&gt;""))</f>
        <v/>
      </c>
      <c r="AP2878" s="82" t="str">
        <f aca="false">IF(AL2878&lt;&gt;"",AL2878,IF(AG2878&lt;&gt;"",AG2878,IF(AA2878&lt;&gt;"",AA2878,"")))</f>
        <v/>
      </c>
      <c r="AQ2878" s="84" t="str">
        <f aca="false">IF(E2878="","",IF(U2878="","À SOUDER",IF(X2878="","VT EN ATTENTE",IF(X2878="R","VT REJETÉ – À REPRENDRE",IF(AP2878="","À RADIOGRAPHIER",IF(AP2878="A","ACCEPTÉ",IF(AP2878="NX","NX – RT À REFAIRE",IF(IF(AO2878=1,AD2878,IF(AO2878=2,AI2878,""))="A","RÉPARÉ – À RADIOGRAPHIER",IF(IF(AO2878=1,AD2878,IF(AO2878=2,AI2878,""))="R","VT REJETÉ – À REPRENDRE",IF(OR(AP2878="CO",AP2878="NT"),"COUPE – À RESOUDER","À RÉPARER"))))))))))</f>
        <v/>
      </c>
      <c r="AR2878" s="82" t="str">
        <f aca="false">IF(AND(ISNUMBER(U2878),OR(AQ2878="À RADIOGRAPHIER",AQ2878="RÉPARÉ – À RADIOGRAPHIER",AQ2878="NX – RT À REFAIRE",AQ2878="À RÉPARER",AQ2878="COUPE – À RESOUDER",AQ2878="VT REJETÉ – À REPRENDRE")),MAX(0,'PROGRAMME RT'!$C$4-U2878),"")</f>
        <v/>
      </c>
      <c r="AS2878" s="82" t="n">
        <f aca="false">IF(AND(OR(AQ2878="À RADIOGRAPHIER",AQ2878="RÉPARÉ – À RADIOGRAPHIER",AQ2878="NX – RT À REFAIRE"),OR('PROGRAMME RT'!$D$5="TOUTES",B2878='PROGRAMME RT'!$D$5)),1,0)</f>
        <v>0</v>
      </c>
      <c r="AT2878" s="82" t="str">
        <f aca="false">IF(AS2878=1,SUM(AS$7:AS2878),"")</f>
        <v/>
      </c>
      <c r="AU2878" s="82" t="n">
        <f aca="false">IF(AND(OR(AA2878="R",AA2878="NX",AA2878="NT",AA2878="CO"),OR('JOINTS DE RÉPARATION'!$D$5="TOUTES",B2878='JOINTS DE RÉPARATION'!$D$5),OR('JOINTS DE RÉPARATION'!$L$4="TOUS",AQ2878&lt;&gt;"ACCEPTÉ")),1,0)</f>
        <v>0</v>
      </c>
      <c r="AV2878" s="82" t="str">
        <f aca="false">IF(AU2878=1,SUM(AU$7:AU2878),"")</f>
        <v/>
      </c>
      <c r="AW2878" s="82" t="str">
        <f aca="false">IF(E2878="","",B2878&amp;"|"&amp;E2878)</f>
        <v/>
      </c>
    </row>
    <row r="2879" customFormat="false" ht="15" hidden="false" customHeight="false" outlineLevel="0" collapsed="false">
      <c r="A2879" s="79" t="str">
        <f aca="false">IF(E2879="","",ROW()-6)</f>
        <v/>
      </c>
      <c r="B2879" s="80"/>
      <c r="C2879" s="81"/>
      <c r="D2879" s="81"/>
      <c r="E2879" s="81"/>
      <c r="F2879" s="82" t="str">
        <f aca="false">IF(E2879="","",IF(LEFT(E2879,2)="DJ","DJ","JN"))</f>
        <v/>
      </c>
      <c r="G2879" s="81"/>
      <c r="H2879" s="81"/>
      <c r="I2879" s="81"/>
      <c r="J2879" s="81"/>
      <c r="K2879" s="81"/>
      <c r="L2879" s="81"/>
      <c r="M2879" s="81"/>
      <c r="N2879" s="81"/>
      <c r="O2879" s="81"/>
      <c r="P2879" s="81"/>
      <c r="Q2879" s="81"/>
      <c r="R2879" s="81"/>
      <c r="S2879" s="81"/>
      <c r="T2879" s="81"/>
      <c r="U2879" s="83"/>
      <c r="V2879" s="83"/>
      <c r="W2879" s="81"/>
      <c r="X2879" s="81"/>
      <c r="Y2879" s="83"/>
      <c r="Z2879" s="81"/>
      <c r="AA2879" s="81"/>
      <c r="AB2879" s="81"/>
      <c r="AC2879" s="81"/>
      <c r="AD2879" s="81"/>
      <c r="AE2879" s="83"/>
      <c r="AF2879" s="81"/>
      <c r="AG2879" s="81"/>
      <c r="AH2879" s="81"/>
      <c r="AI2879" s="81"/>
      <c r="AJ2879" s="83"/>
      <c r="AK2879" s="81"/>
      <c r="AL2879" s="81"/>
      <c r="AM2879" s="83"/>
      <c r="AN2879" s="80"/>
      <c r="AO2879" s="82" t="str">
        <f aca="false">IF(E2879="","",(AA2879&lt;&gt;"")+(AG2879&lt;&gt;"")+(AL2879&lt;&gt;""))</f>
        <v/>
      </c>
      <c r="AP2879" s="82" t="str">
        <f aca="false">IF(AL2879&lt;&gt;"",AL2879,IF(AG2879&lt;&gt;"",AG2879,IF(AA2879&lt;&gt;"",AA2879,"")))</f>
        <v/>
      </c>
      <c r="AQ2879" s="84" t="str">
        <f aca="false">IF(E2879="","",IF(U2879="","À SOUDER",IF(X2879="","VT EN ATTENTE",IF(X2879="R","VT REJETÉ – À REPRENDRE",IF(AP2879="","À RADIOGRAPHIER",IF(AP2879="A","ACCEPTÉ",IF(AP2879="NX","NX – RT À REFAIRE",IF(IF(AO2879=1,AD2879,IF(AO2879=2,AI2879,""))="A","RÉPARÉ – À RADIOGRAPHIER",IF(IF(AO2879=1,AD2879,IF(AO2879=2,AI2879,""))="R","VT REJETÉ – À REPRENDRE",IF(OR(AP2879="CO",AP2879="NT"),"COUPE – À RESOUDER","À RÉPARER"))))))))))</f>
        <v/>
      </c>
      <c r="AR2879" s="82" t="str">
        <f aca="false">IF(AND(ISNUMBER(U2879),OR(AQ2879="À RADIOGRAPHIER",AQ2879="RÉPARÉ – À RADIOGRAPHIER",AQ2879="NX – RT À REFAIRE",AQ2879="À RÉPARER",AQ2879="COUPE – À RESOUDER",AQ2879="VT REJETÉ – À REPRENDRE")),MAX(0,'PROGRAMME RT'!$C$4-U2879),"")</f>
        <v/>
      </c>
      <c r="AS2879" s="82" t="n">
        <f aca="false">IF(AND(OR(AQ2879="À RADIOGRAPHIER",AQ2879="RÉPARÉ – À RADIOGRAPHIER",AQ2879="NX – RT À REFAIRE"),OR('PROGRAMME RT'!$D$5="TOUTES",B2879='PROGRAMME RT'!$D$5)),1,0)</f>
        <v>0</v>
      </c>
      <c r="AT2879" s="82" t="str">
        <f aca="false">IF(AS2879=1,SUM(AS$7:AS2879),"")</f>
        <v/>
      </c>
      <c r="AU2879" s="82" t="n">
        <f aca="false">IF(AND(OR(AA2879="R",AA2879="NX",AA2879="NT",AA2879="CO"),OR('JOINTS DE RÉPARATION'!$D$5="TOUTES",B2879='JOINTS DE RÉPARATION'!$D$5),OR('JOINTS DE RÉPARATION'!$L$4="TOUS",AQ2879&lt;&gt;"ACCEPTÉ")),1,0)</f>
        <v>0</v>
      </c>
      <c r="AV2879" s="82" t="str">
        <f aca="false">IF(AU2879=1,SUM(AU$7:AU2879),"")</f>
        <v/>
      </c>
      <c r="AW2879" s="82" t="str">
        <f aca="false">IF(E2879="","",B2879&amp;"|"&amp;E2879)</f>
        <v/>
      </c>
    </row>
    <row r="2880" customFormat="false" ht="15" hidden="false" customHeight="false" outlineLevel="0" collapsed="false">
      <c r="A2880" s="79" t="str">
        <f aca="false">IF(E2880="","",ROW()-6)</f>
        <v/>
      </c>
      <c r="B2880" s="80"/>
      <c r="C2880" s="81"/>
      <c r="D2880" s="81"/>
      <c r="E2880" s="81"/>
      <c r="F2880" s="82" t="str">
        <f aca="false">IF(E2880="","",IF(LEFT(E2880,2)="DJ","DJ","JN"))</f>
        <v/>
      </c>
      <c r="G2880" s="81"/>
      <c r="H2880" s="81"/>
      <c r="I2880" s="81"/>
      <c r="J2880" s="81"/>
      <c r="K2880" s="81"/>
      <c r="L2880" s="81"/>
      <c r="M2880" s="81"/>
      <c r="N2880" s="81"/>
      <c r="O2880" s="81"/>
      <c r="P2880" s="81"/>
      <c r="Q2880" s="81"/>
      <c r="R2880" s="81"/>
      <c r="S2880" s="81"/>
      <c r="T2880" s="81"/>
      <c r="U2880" s="83"/>
      <c r="V2880" s="83"/>
      <c r="W2880" s="81"/>
      <c r="X2880" s="81"/>
      <c r="Y2880" s="83"/>
      <c r="Z2880" s="81"/>
      <c r="AA2880" s="81"/>
      <c r="AB2880" s="81"/>
      <c r="AC2880" s="81"/>
      <c r="AD2880" s="81"/>
      <c r="AE2880" s="83"/>
      <c r="AF2880" s="81"/>
      <c r="AG2880" s="81"/>
      <c r="AH2880" s="81"/>
      <c r="AI2880" s="81"/>
      <c r="AJ2880" s="83"/>
      <c r="AK2880" s="81"/>
      <c r="AL2880" s="81"/>
      <c r="AM2880" s="83"/>
      <c r="AN2880" s="80"/>
      <c r="AO2880" s="82" t="str">
        <f aca="false">IF(E2880="","",(AA2880&lt;&gt;"")+(AG2880&lt;&gt;"")+(AL2880&lt;&gt;""))</f>
        <v/>
      </c>
      <c r="AP2880" s="82" t="str">
        <f aca="false">IF(AL2880&lt;&gt;"",AL2880,IF(AG2880&lt;&gt;"",AG2880,IF(AA2880&lt;&gt;"",AA2880,"")))</f>
        <v/>
      </c>
      <c r="AQ2880" s="84" t="str">
        <f aca="false">IF(E2880="","",IF(U2880="","À SOUDER",IF(X2880="","VT EN ATTENTE",IF(X2880="R","VT REJETÉ – À REPRENDRE",IF(AP2880="","À RADIOGRAPHIER",IF(AP2880="A","ACCEPTÉ",IF(AP2880="NX","NX – RT À REFAIRE",IF(IF(AO2880=1,AD2880,IF(AO2880=2,AI2880,""))="A","RÉPARÉ – À RADIOGRAPHIER",IF(IF(AO2880=1,AD2880,IF(AO2880=2,AI2880,""))="R","VT REJETÉ – À REPRENDRE",IF(OR(AP2880="CO",AP2880="NT"),"COUPE – À RESOUDER","À RÉPARER"))))))))))</f>
        <v/>
      </c>
      <c r="AR2880" s="82" t="str">
        <f aca="false">IF(AND(ISNUMBER(U2880),OR(AQ2880="À RADIOGRAPHIER",AQ2880="RÉPARÉ – À RADIOGRAPHIER",AQ2880="NX – RT À REFAIRE",AQ2880="À RÉPARER",AQ2880="COUPE – À RESOUDER",AQ2880="VT REJETÉ – À REPRENDRE")),MAX(0,'PROGRAMME RT'!$C$4-U2880),"")</f>
        <v/>
      </c>
      <c r="AS2880" s="82" t="n">
        <f aca="false">IF(AND(OR(AQ2880="À RADIOGRAPHIER",AQ2880="RÉPARÉ – À RADIOGRAPHIER",AQ2880="NX – RT À REFAIRE"),OR('PROGRAMME RT'!$D$5="TOUTES",B2880='PROGRAMME RT'!$D$5)),1,0)</f>
        <v>0</v>
      </c>
      <c r="AT2880" s="82" t="str">
        <f aca="false">IF(AS2880=1,SUM(AS$7:AS2880),"")</f>
        <v/>
      </c>
      <c r="AU2880" s="82" t="n">
        <f aca="false">IF(AND(OR(AA2880="R",AA2880="NX",AA2880="NT",AA2880="CO"),OR('JOINTS DE RÉPARATION'!$D$5="TOUTES",B2880='JOINTS DE RÉPARATION'!$D$5),OR('JOINTS DE RÉPARATION'!$L$4="TOUS",AQ2880&lt;&gt;"ACCEPTÉ")),1,0)</f>
        <v>0</v>
      </c>
      <c r="AV2880" s="82" t="str">
        <f aca="false">IF(AU2880=1,SUM(AU$7:AU2880),"")</f>
        <v/>
      </c>
      <c r="AW2880" s="82" t="str">
        <f aca="false">IF(E2880="","",B2880&amp;"|"&amp;E2880)</f>
        <v/>
      </c>
    </row>
    <row r="2881" customFormat="false" ht="15" hidden="false" customHeight="false" outlineLevel="0" collapsed="false">
      <c r="A2881" s="79" t="str">
        <f aca="false">IF(E2881="","",ROW()-6)</f>
        <v/>
      </c>
      <c r="B2881" s="80"/>
      <c r="C2881" s="81"/>
      <c r="D2881" s="81"/>
      <c r="E2881" s="81"/>
      <c r="F2881" s="82" t="str">
        <f aca="false">IF(E2881="","",IF(LEFT(E2881,2)="DJ","DJ","JN"))</f>
        <v/>
      </c>
      <c r="G2881" s="81"/>
      <c r="H2881" s="81"/>
      <c r="I2881" s="81"/>
      <c r="J2881" s="81"/>
      <c r="K2881" s="81"/>
      <c r="L2881" s="81"/>
      <c r="M2881" s="81"/>
      <c r="N2881" s="81"/>
      <c r="O2881" s="81"/>
      <c r="P2881" s="81"/>
      <c r="Q2881" s="81"/>
      <c r="R2881" s="81"/>
      <c r="S2881" s="81"/>
      <c r="T2881" s="81"/>
      <c r="U2881" s="83"/>
      <c r="V2881" s="83"/>
      <c r="W2881" s="81"/>
      <c r="X2881" s="81"/>
      <c r="Y2881" s="83"/>
      <c r="Z2881" s="81"/>
      <c r="AA2881" s="81"/>
      <c r="AB2881" s="81"/>
      <c r="AC2881" s="81"/>
      <c r="AD2881" s="81"/>
      <c r="AE2881" s="83"/>
      <c r="AF2881" s="81"/>
      <c r="AG2881" s="81"/>
      <c r="AH2881" s="81"/>
      <c r="AI2881" s="81"/>
      <c r="AJ2881" s="83"/>
      <c r="AK2881" s="81"/>
      <c r="AL2881" s="81"/>
      <c r="AM2881" s="83"/>
      <c r="AN2881" s="80"/>
      <c r="AO2881" s="82" t="str">
        <f aca="false">IF(E2881="","",(AA2881&lt;&gt;"")+(AG2881&lt;&gt;"")+(AL2881&lt;&gt;""))</f>
        <v/>
      </c>
      <c r="AP2881" s="82" t="str">
        <f aca="false">IF(AL2881&lt;&gt;"",AL2881,IF(AG2881&lt;&gt;"",AG2881,IF(AA2881&lt;&gt;"",AA2881,"")))</f>
        <v/>
      </c>
      <c r="AQ2881" s="84" t="str">
        <f aca="false">IF(E2881="","",IF(U2881="","À SOUDER",IF(X2881="","VT EN ATTENTE",IF(X2881="R","VT REJETÉ – À REPRENDRE",IF(AP2881="","À RADIOGRAPHIER",IF(AP2881="A","ACCEPTÉ",IF(AP2881="NX","NX – RT À REFAIRE",IF(IF(AO2881=1,AD2881,IF(AO2881=2,AI2881,""))="A","RÉPARÉ – À RADIOGRAPHIER",IF(IF(AO2881=1,AD2881,IF(AO2881=2,AI2881,""))="R","VT REJETÉ – À REPRENDRE",IF(OR(AP2881="CO",AP2881="NT"),"COUPE – À RESOUDER","À RÉPARER"))))))))))</f>
        <v/>
      </c>
      <c r="AR2881" s="82" t="str">
        <f aca="false">IF(AND(ISNUMBER(U2881),OR(AQ2881="À RADIOGRAPHIER",AQ2881="RÉPARÉ – À RADIOGRAPHIER",AQ2881="NX – RT À REFAIRE",AQ2881="À RÉPARER",AQ2881="COUPE – À RESOUDER",AQ2881="VT REJETÉ – À REPRENDRE")),MAX(0,'PROGRAMME RT'!$C$4-U2881),"")</f>
        <v/>
      </c>
      <c r="AS2881" s="82" t="n">
        <f aca="false">IF(AND(OR(AQ2881="À RADIOGRAPHIER",AQ2881="RÉPARÉ – À RADIOGRAPHIER",AQ2881="NX – RT À REFAIRE"),OR('PROGRAMME RT'!$D$5="TOUTES",B2881='PROGRAMME RT'!$D$5)),1,0)</f>
        <v>0</v>
      </c>
      <c r="AT2881" s="82" t="str">
        <f aca="false">IF(AS2881=1,SUM(AS$7:AS2881),"")</f>
        <v/>
      </c>
      <c r="AU2881" s="82" t="n">
        <f aca="false">IF(AND(OR(AA2881="R",AA2881="NX",AA2881="NT",AA2881="CO"),OR('JOINTS DE RÉPARATION'!$D$5="TOUTES",B2881='JOINTS DE RÉPARATION'!$D$5),OR('JOINTS DE RÉPARATION'!$L$4="TOUS",AQ2881&lt;&gt;"ACCEPTÉ")),1,0)</f>
        <v>0</v>
      </c>
      <c r="AV2881" s="82" t="str">
        <f aca="false">IF(AU2881=1,SUM(AU$7:AU2881),"")</f>
        <v/>
      </c>
      <c r="AW2881" s="82" t="str">
        <f aca="false">IF(E2881="","",B2881&amp;"|"&amp;E2881)</f>
        <v/>
      </c>
    </row>
    <row r="2882" customFormat="false" ht="15" hidden="false" customHeight="false" outlineLevel="0" collapsed="false">
      <c r="A2882" s="79" t="str">
        <f aca="false">IF(E2882="","",ROW()-6)</f>
        <v/>
      </c>
      <c r="B2882" s="80"/>
      <c r="C2882" s="81"/>
      <c r="D2882" s="81"/>
      <c r="E2882" s="81"/>
      <c r="F2882" s="82" t="str">
        <f aca="false">IF(E2882="","",IF(LEFT(E2882,2)="DJ","DJ","JN"))</f>
        <v/>
      </c>
      <c r="G2882" s="81"/>
      <c r="H2882" s="81"/>
      <c r="I2882" s="81"/>
      <c r="J2882" s="81"/>
      <c r="K2882" s="81"/>
      <c r="L2882" s="81"/>
      <c r="M2882" s="81"/>
      <c r="N2882" s="81"/>
      <c r="O2882" s="81"/>
      <c r="P2882" s="81"/>
      <c r="Q2882" s="81"/>
      <c r="R2882" s="81"/>
      <c r="S2882" s="81"/>
      <c r="T2882" s="81"/>
      <c r="U2882" s="83"/>
      <c r="V2882" s="83"/>
      <c r="W2882" s="81"/>
      <c r="X2882" s="81"/>
      <c r="Y2882" s="83"/>
      <c r="Z2882" s="81"/>
      <c r="AA2882" s="81"/>
      <c r="AB2882" s="81"/>
      <c r="AC2882" s="81"/>
      <c r="AD2882" s="81"/>
      <c r="AE2882" s="83"/>
      <c r="AF2882" s="81"/>
      <c r="AG2882" s="81"/>
      <c r="AH2882" s="81"/>
      <c r="AI2882" s="81"/>
      <c r="AJ2882" s="83"/>
      <c r="AK2882" s="81"/>
      <c r="AL2882" s="81"/>
      <c r="AM2882" s="83"/>
      <c r="AN2882" s="80"/>
      <c r="AO2882" s="82" t="str">
        <f aca="false">IF(E2882="","",(AA2882&lt;&gt;"")+(AG2882&lt;&gt;"")+(AL2882&lt;&gt;""))</f>
        <v/>
      </c>
      <c r="AP2882" s="82" t="str">
        <f aca="false">IF(AL2882&lt;&gt;"",AL2882,IF(AG2882&lt;&gt;"",AG2882,IF(AA2882&lt;&gt;"",AA2882,"")))</f>
        <v/>
      </c>
      <c r="AQ2882" s="84" t="str">
        <f aca="false">IF(E2882="","",IF(U2882="","À SOUDER",IF(X2882="","VT EN ATTENTE",IF(X2882="R","VT REJETÉ – À REPRENDRE",IF(AP2882="","À RADIOGRAPHIER",IF(AP2882="A","ACCEPTÉ",IF(AP2882="NX","NX – RT À REFAIRE",IF(IF(AO2882=1,AD2882,IF(AO2882=2,AI2882,""))="A","RÉPARÉ – À RADIOGRAPHIER",IF(IF(AO2882=1,AD2882,IF(AO2882=2,AI2882,""))="R","VT REJETÉ – À REPRENDRE",IF(OR(AP2882="CO",AP2882="NT"),"COUPE – À RESOUDER","À RÉPARER"))))))))))</f>
        <v/>
      </c>
      <c r="AR2882" s="82" t="str">
        <f aca="false">IF(AND(ISNUMBER(U2882),OR(AQ2882="À RADIOGRAPHIER",AQ2882="RÉPARÉ – À RADIOGRAPHIER",AQ2882="NX – RT À REFAIRE",AQ2882="À RÉPARER",AQ2882="COUPE – À RESOUDER",AQ2882="VT REJETÉ – À REPRENDRE")),MAX(0,'PROGRAMME RT'!$C$4-U2882),"")</f>
        <v/>
      </c>
      <c r="AS2882" s="82" t="n">
        <f aca="false">IF(AND(OR(AQ2882="À RADIOGRAPHIER",AQ2882="RÉPARÉ – À RADIOGRAPHIER",AQ2882="NX – RT À REFAIRE"),OR('PROGRAMME RT'!$D$5="TOUTES",B2882='PROGRAMME RT'!$D$5)),1,0)</f>
        <v>0</v>
      </c>
      <c r="AT2882" s="82" t="str">
        <f aca="false">IF(AS2882=1,SUM(AS$7:AS2882),"")</f>
        <v/>
      </c>
      <c r="AU2882" s="82" t="n">
        <f aca="false">IF(AND(OR(AA2882="R",AA2882="NX",AA2882="NT",AA2882="CO"),OR('JOINTS DE RÉPARATION'!$D$5="TOUTES",B2882='JOINTS DE RÉPARATION'!$D$5),OR('JOINTS DE RÉPARATION'!$L$4="TOUS",AQ2882&lt;&gt;"ACCEPTÉ")),1,0)</f>
        <v>0</v>
      </c>
      <c r="AV2882" s="82" t="str">
        <f aca="false">IF(AU2882=1,SUM(AU$7:AU2882),"")</f>
        <v/>
      </c>
      <c r="AW2882" s="82" t="str">
        <f aca="false">IF(E2882="","",B2882&amp;"|"&amp;E2882)</f>
        <v/>
      </c>
    </row>
    <row r="2883" customFormat="false" ht="15" hidden="false" customHeight="false" outlineLevel="0" collapsed="false">
      <c r="A2883" s="79" t="str">
        <f aca="false">IF(E2883="","",ROW()-6)</f>
        <v/>
      </c>
      <c r="B2883" s="80"/>
      <c r="C2883" s="81"/>
      <c r="D2883" s="81"/>
      <c r="E2883" s="81"/>
      <c r="F2883" s="82" t="str">
        <f aca="false">IF(E2883="","",IF(LEFT(E2883,2)="DJ","DJ","JN"))</f>
        <v/>
      </c>
      <c r="G2883" s="81"/>
      <c r="H2883" s="81"/>
      <c r="I2883" s="81"/>
      <c r="J2883" s="81"/>
      <c r="K2883" s="81"/>
      <c r="L2883" s="81"/>
      <c r="M2883" s="81"/>
      <c r="N2883" s="81"/>
      <c r="O2883" s="81"/>
      <c r="P2883" s="81"/>
      <c r="Q2883" s="81"/>
      <c r="R2883" s="81"/>
      <c r="S2883" s="81"/>
      <c r="T2883" s="81"/>
      <c r="U2883" s="83"/>
      <c r="V2883" s="83"/>
      <c r="W2883" s="81"/>
      <c r="X2883" s="81"/>
      <c r="Y2883" s="83"/>
      <c r="Z2883" s="81"/>
      <c r="AA2883" s="81"/>
      <c r="AB2883" s="81"/>
      <c r="AC2883" s="81"/>
      <c r="AD2883" s="81"/>
      <c r="AE2883" s="83"/>
      <c r="AF2883" s="81"/>
      <c r="AG2883" s="81"/>
      <c r="AH2883" s="81"/>
      <c r="AI2883" s="81"/>
      <c r="AJ2883" s="83"/>
      <c r="AK2883" s="81"/>
      <c r="AL2883" s="81"/>
      <c r="AM2883" s="83"/>
      <c r="AN2883" s="80"/>
      <c r="AO2883" s="82" t="str">
        <f aca="false">IF(E2883="","",(AA2883&lt;&gt;"")+(AG2883&lt;&gt;"")+(AL2883&lt;&gt;""))</f>
        <v/>
      </c>
      <c r="AP2883" s="82" t="str">
        <f aca="false">IF(AL2883&lt;&gt;"",AL2883,IF(AG2883&lt;&gt;"",AG2883,IF(AA2883&lt;&gt;"",AA2883,"")))</f>
        <v/>
      </c>
      <c r="AQ2883" s="84" t="str">
        <f aca="false">IF(E2883="","",IF(U2883="","À SOUDER",IF(X2883="","VT EN ATTENTE",IF(X2883="R","VT REJETÉ – À REPRENDRE",IF(AP2883="","À RADIOGRAPHIER",IF(AP2883="A","ACCEPTÉ",IF(AP2883="NX","NX – RT À REFAIRE",IF(IF(AO2883=1,AD2883,IF(AO2883=2,AI2883,""))="A","RÉPARÉ – À RADIOGRAPHIER",IF(IF(AO2883=1,AD2883,IF(AO2883=2,AI2883,""))="R","VT REJETÉ – À REPRENDRE",IF(OR(AP2883="CO",AP2883="NT"),"COUPE – À RESOUDER","À RÉPARER"))))))))))</f>
        <v/>
      </c>
      <c r="AR2883" s="82" t="str">
        <f aca="false">IF(AND(ISNUMBER(U2883),OR(AQ2883="À RADIOGRAPHIER",AQ2883="RÉPARÉ – À RADIOGRAPHIER",AQ2883="NX – RT À REFAIRE",AQ2883="À RÉPARER",AQ2883="COUPE – À RESOUDER",AQ2883="VT REJETÉ – À REPRENDRE")),MAX(0,'PROGRAMME RT'!$C$4-U2883),"")</f>
        <v/>
      </c>
      <c r="AS2883" s="82" t="n">
        <f aca="false">IF(AND(OR(AQ2883="À RADIOGRAPHIER",AQ2883="RÉPARÉ – À RADIOGRAPHIER",AQ2883="NX – RT À REFAIRE"),OR('PROGRAMME RT'!$D$5="TOUTES",B2883='PROGRAMME RT'!$D$5)),1,0)</f>
        <v>0</v>
      </c>
      <c r="AT2883" s="82" t="str">
        <f aca="false">IF(AS2883=1,SUM(AS$7:AS2883),"")</f>
        <v/>
      </c>
      <c r="AU2883" s="82" t="n">
        <f aca="false">IF(AND(OR(AA2883="R",AA2883="NX",AA2883="NT",AA2883="CO"),OR('JOINTS DE RÉPARATION'!$D$5="TOUTES",B2883='JOINTS DE RÉPARATION'!$D$5),OR('JOINTS DE RÉPARATION'!$L$4="TOUS",AQ2883&lt;&gt;"ACCEPTÉ")),1,0)</f>
        <v>0</v>
      </c>
      <c r="AV2883" s="82" t="str">
        <f aca="false">IF(AU2883=1,SUM(AU$7:AU2883),"")</f>
        <v/>
      </c>
      <c r="AW2883" s="82" t="str">
        <f aca="false">IF(E2883="","",B2883&amp;"|"&amp;E2883)</f>
        <v/>
      </c>
    </row>
    <row r="2884" customFormat="false" ht="15" hidden="false" customHeight="false" outlineLevel="0" collapsed="false">
      <c r="A2884" s="79" t="str">
        <f aca="false">IF(E2884="","",ROW()-6)</f>
        <v/>
      </c>
      <c r="B2884" s="80"/>
      <c r="C2884" s="81"/>
      <c r="D2884" s="81"/>
      <c r="E2884" s="81"/>
      <c r="F2884" s="82" t="str">
        <f aca="false">IF(E2884="","",IF(LEFT(E2884,2)="DJ","DJ","JN"))</f>
        <v/>
      </c>
      <c r="G2884" s="81"/>
      <c r="H2884" s="81"/>
      <c r="I2884" s="81"/>
      <c r="J2884" s="81"/>
      <c r="K2884" s="81"/>
      <c r="L2884" s="81"/>
      <c r="M2884" s="81"/>
      <c r="N2884" s="81"/>
      <c r="O2884" s="81"/>
      <c r="P2884" s="81"/>
      <c r="Q2884" s="81"/>
      <c r="R2884" s="81"/>
      <c r="S2884" s="81"/>
      <c r="T2884" s="81"/>
      <c r="U2884" s="83"/>
      <c r="V2884" s="83"/>
      <c r="W2884" s="81"/>
      <c r="X2884" s="81"/>
      <c r="Y2884" s="83"/>
      <c r="Z2884" s="81"/>
      <c r="AA2884" s="81"/>
      <c r="AB2884" s="81"/>
      <c r="AC2884" s="81"/>
      <c r="AD2884" s="81"/>
      <c r="AE2884" s="83"/>
      <c r="AF2884" s="81"/>
      <c r="AG2884" s="81"/>
      <c r="AH2884" s="81"/>
      <c r="AI2884" s="81"/>
      <c r="AJ2884" s="83"/>
      <c r="AK2884" s="81"/>
      <c r="AL2884" s="81"/>
      <c r="AM2884" s="83"/>
      <c r="AN2884" s="80"/>
      <c r="AO2884" s="82" t="str">
        <f aca="false">IF(E2884="","",(AA2884&lt;&gt;"")+(AG2884&lt;&gt;"")+(AL2884&lt;&gt;""))</f>
        <v/>
      </c>
      <c r="AP2884" s="82" t="str">
        <f aca="false">IF(AL2884&lt;&gt;"",AL2884,IF(AG2884&lt;&gt;"",AG2884,IF(AA2884&lt;&gt;"",AA2884,"")))</f>
        <v/>
      </c>
      <c r="AQ2884" s="84" t="str">
        <f aca="false">IF(E2884="","",IF(U2884="","À SOUDER",IF(X2884="","VT EN ATTENTE",IF(X2884="R","VT REJETÉ – À REPRENDRE",IF(AP2884="","À RADIOGRAPHIER",IF(AP2884="A","ACCEPTÉ",IF(AP2884="NX","NX – RT À REFAIRE",IF(IF(AO2884=1,AD2884,IF(AO2884=2,AI2884,""))="A","RÉPARÉ – À RADIOGRAPHIER",IF(IF(AO2884=1,AD2884,IF(AO2884=2,AI2884,""))="R","VT REJETÉ – À REPRENDRE",IF(OR(AP2884="CO",AP2884="NT"),"COUPE – À RESOUDER","À RÉPARER"))))))))))</f>
        <v/>
      </c>
      <c r="AR2884" s="82" t="str">
        <f aca="false">IF(AND(ISNUMBER(U2884),OR(AQ2884="À RADIOGRAPHIER",AQ2884="RÉPARÉ – À RADIOGRAPHIER",AQ2884="NX – RT À REFAIRE",AQ2884="À RÉPARER",AQ2884="COUPE – À RESOUDER",AQ2884="VT REJETÉ – À REPRENDRE")),MAX(0,'PROGRAMME RT'!$C$4-U2884),"")</f>
        <v/>
      </c>
      <c r="AS2884" s="82" t="n">
        <f aca="false">IF(AND(OR(AQ2884="À RADIOGRAPHIER",AQ2884="RÉPARÉ – À RADIOGRAPHIER",AQ2884="NX – RT À REFAIRE"),OR('PROGRAMME RT'!$D$5="TOUTES",B2884='PROGRAMME RT'!$D$5)),1,0)</f>
        <v>0</v>
      </c>
      <c r="AT2884" s="82" t="str">
        <f aca="false">IF(AS2884=1,SUM(AS$7:AS2884),"")</f>
        <v/>
      </c>
      <c r="AU2884" s="82" t="n">
        <f aca="false">IF(AND(OR(AA2884="R",AA2884="NX",AA2884="NT",AA2884="CO"),OR('JOINTS DE RÉPARATION'!$D$5="TOUTES",B2884='JOINTS DE RÉPARATION'!$D$5),OR('JOINTS DE RÉPARATION'!$L$4="TOUS",AQ2884&lt;&gt;"ACCEPTÉ")),1,0)</f>
        <v>0</v>
      </c>
      <c r="AV2884" s="82" t="str">
        <f aca="false">IF(AU2884=1,SUM(AU$7:AU2884),"")</f>
        <v/>
      </c>
      <c r="AW2884" s="82" t="str">
        <f aca="false">IF(E2884="","",B2884&amp;"|"&amp;E2884)</f>
        <v/>
      </c>
    </row>
    <row r="2885" customFormat="false" ht="15" hidden="false" customHeight="false" outlineLevel="0" collapsed="false">
      <c r="A2885" s="79" t="str">
        <f aca="false">IF(E2885="","",ROW()-6)</f>
        <v/>
      </c>
      <c r="B2885" s="80"/>
      <c r="C2885" s="81"/>
      <c r="D2885" s="81"/>
      <c r="E2885" s="81"/>
      <c r="F2885" s="82" t="str">
        <f aca="false">IF(E2885="","",IF(LEFT(E2885,2)="DJ","DJ","JN"))</f>
        <v/>
      </c>
      <c r="G2885" s="81"/>
      <c r="H2885" s="81"/>
      <c r="I2885" s="81"/>
      <c r="J2885" s="81"/>
      <c r="K2885" s="81"/>
      <c r="L2885" s="81"/>
      <c r="M2885" s="81"/>
      <c r="N2885" s="81"/>
      <c r="O2885" s="81"/>
      <c r="P2885" s="81"/>
      <c r="Q2885" s="81"/>
      <c r="R2885" s="81"/>
      <c r="S2885" s="81"/>
      <c r="T2885" s="81"/>
      <c r="U2885" s="83"/>
      <c r="V2885" s="83"/>
      <c r="W2885" s="81"/>
      <c r="X2885" s="81"/>
      <c r="Y2885" s="83"/>
      <c r="Z2885" s="81"/>
      <c r="AA2885" s="81"/>
      <c r="AB2885" s="81"/>
      <c r="AC2885" s="81"/>
      <c r="AD2885" s="81"/>
      <c r="AE2885" s="83"/>
      <c r="AF2885" s="81"/>
      <c r="AG2885" s="81"/>
      <c r="AH2885" s="81"/>
      <c r="AI2885" s="81"/>
      <c r="AJ2885" s="83"/>
      <c r="AK2885" s="81"/>
      <c r="AL2885" s="81"/>
      <c r="AM2885" s="83"/>
      <c r="AN2885" s="80"/>
      <c r="AO2885" s="82" t="str">
        <f aca="false">IF(E2885="","",(AA2885&lt;&gt;"")+(AG2885&lt;&gt;"")+(AL2885&lt;&gt;""))</f>
        <v/>
      </c>
      <c r="AP2885" s="82" t="str">
        <f aca="false">IF(AL2885&lt;&gt;"",AL2885,IF(AG2885&lt;&gt;"",AG2885,IF(AA2885&lt;&gt;"",AA2885,"")))</f>
        <v/>
      </c>
      <c r="AQ2885" s="84" t="str">
        <f aca="false">IF(E2885="","",IF(U2885="","À SOUDER",IF(X2885="","VT EN ATTENTE",IF(X2885="R","VT REJETÉ – À REPRENDRE",IF(AP2885="","À RADIOGRAPHIER",IF(AP2885="A","ACCEPTÉ",IF(AP2885="NX","NX – RT À REFAIRE",IF(IF(AO2885=1,AD2885,IF(AO2885=2,AI2885,""))="A","RÉPARÉ – À RADIOGRAPHIER",IF(IF(AO2885=1,AD2885,IF(AO2885=2,AI2885,""))="R","VT REJETÉ – À REPRENDRE",IF(OR(AP2885="CO",AP2885="NT"),"COUPE – À RESOUDER","À RÉPARER"))))))))))</f>
        <v/>
      </c>
      <c r="AR2885" s="82" t="str">
        <f aca="false">IF(AND(ISNUMBER(U2885),OR(AQ2885="À RADIOGRAPHIER",AQ2885="RÉPARÉ – À RADIOGRAPHIER",AQ2885="NX – RT À REFAIRE",AQ2885="À RÉPARER",AQ2885="COUPE – À RESOUDER",AQ2885="VT REJETÉ – À REPRENDRE")),MAX(0,'PROGRAMME RT'!$C$4-U2885),"")</f>
        <v/>
      </c>
      <c r="AS2885" s="82" t="n">
        <f aca="false">IF(AND(OR(AQ2885="À RADIOGRAPHIER",AQ2885="RÉPARÉ – À RADIOGRAPHIER",AQ2885="NX – RT À REFAIRE"),OR('PROGRAMME RT'!$D$5="TOUTES",B2885='PROGRAMME RT'!$D$5)),1,0)</f>
        <v>0</v>
      </c>
      <c r="AT2885" s="82" t="str">
        <f aca="false">IF(AS2885=1,SUM(AS$7:AS2885),"")</f>
        <v/>
      </c>
      <c r="AU2885" s="82" t="n">
        <f aca="false">IF(AND(OR(AA2885="R",AA2885="NX",AA2885="NT",AA2885="CO"),OR('JOINTS DE RÉPARATION'!$D$5="TOUTES",B2885='JOINTS DE RÉPARATION'!$D$5),OR('JOINTS DE RÉPARATION'!$L$4="TOUS",AQ2885&lt;&gt;"ACCEPTÉ")),1,0)</f>
        <v>0</v>
      </c>
      <c r="AV2885" s="82" t="str">
        <f aca="false">IF(AU2885=1,SUM(AU$7:AU2885),"")</f>
        <v/>
      </c>
      <c r="AW2885" s="82" t="str">
        <f aca="false">IF(E2885="","",B2885&amp;"|"&amp;E2885)</f>
        <v/>
      </c>
    </row>
    <row r="2886" customFormat="false" ht="15" hidden="false" customHeight="false" outlineLevel="0" collapsed="false">
      <c r="A2886" s="79" t="str">
        <f aca="false">IF(E2886="","",ROW()-6)</f>
        <v/>
      </c>
      <c r="B2886" s="80"/>
      <c r="C2886" s="81"/>
      <c r="D2886" s="81"/>
      <c r="E2886" s="81"/>
      <c r="F2886" s="82" t="str">
        <f aca="false">IF(E2886="","",IF(LEFT(E2886,2)="DJ","DJ","JN"))</f>
        <v/>
      </c>
      <c r="G2886" s="81"/>
      <c r="H2886" s="81"/>
      <c r="I2886" s="81"/>
      <c r="J2886" s="81"/>
      <c r="K2886" s="81"/>
      <c r="L2886" s="81"/>
      <c r="M2886" s="81"/>
      <c r="N2886" s="81"/>
      <c r="O2886" s="81"/>
      <c r="P2886" s="81"/>
      <c r="Q2886" s="81"/>
      <c r="R2886" s="81"/>
      <c r="S2886" s="81"/>
      <c r="T2886" s="81"/>
      <c r="U2886" s="83"/>
      <c r="V2886" s="83"/>
      <c r="W2886" s="81"/>
      <c r="X2886" s="81"/>
      <c r="Y2886" s="83"/>
      <c r="Z2886" s="81"/>
      <c r="AA2886" s="81"/>
      <c r="AB2886" s="81"/>
      <c r="AC2886" s="81"/>
      <c r="AD2886" s="81"/>
      <c r="AE2886" s="83"/>
      <c r="AF2886" s="81"/>
      <c r="AG2886" s="81"/>
      <c r="AH2886" s="81"/>
      <c r="AI2886" s="81"/>
      <c r="AJ2886" s="83"/>
      <c r="AK2886" s="81"/>
      <c r="AL2886" s="81"/>
      <c r="AM2886" s="83"/>
      <c r="AN2886" s="80"/>
      <c r="AO2886" s="82" t="str">
        <f aca="false">IF(E2886="","",(AA2886&lt;&gt;"")+(AG2886&lt;&gt;"")+(AL2886&lt;&gt;""))</f>
        <v/>
      </c>
      <c r="AP2886" s="82" t="str">
        <f aca="false">IF(AL2886&lt;&gt;"",AL2886,IF(AG2886&lt;&gt;"",AG2886,IF(AA2886&lt;&gt;"",AA2886,"")))</f>
        <v/>
      </c>
      <c r="AQ2886" s="84" t="str">
        <f aca="false">IF(E2886="","",IF(U2886="","À SOUDER",IF(X2886="","VT EN ATTENTE",IF(X2886="R","VT REJETÉ – À REPRENDRE",IF(AP2886="","À RADIOGRAPHIER",IF(AP2886="A","ACCEPTÉ",IF(AP2886="NX","NX – RT À REFAIRE",IF(IF(AO2886=1,AD2886,IF(AO2886=2,AI2886,""))="A","RÉPARÉ – À RADIOGRAPHIER",IF(IF(AO2886=1,AD2886,IF(AO2886=2,AI2886,""))="R","VT REJETÉ – À REPRENDRE",IF(OR(AP2886="CO",AP2886="NT"),"COUPE – À RESOUDER","À RÉPARER"))))))))))</f>
        <v/>
      </c>
      <c r="AR2886" s="82" t="str">
        <f aca="false">IF(AND(ISNUMBER(U2886),OR(AQ2886="À RADIOGRAPHIER",AQ2886="RÉPARÉ – À RADIOGRAPHIER",AQ2886="NX – RT À REFAIRE",AQ2886="À RÉPARER",AQ2886="COUPE – À RESOUDER",AQ2886="VT REJETÉ – À REPRENDRE")),MAX(0,'PROGRAMME RT'!$C$4-U2886),"")</f>
        <v/>
      </c>
      <c r="AS2886" s="82" t="n">
        <f aca="false">IF(AND(OR(AQ2886="À RADIOGRAPHIER",AQ2886="RÉPARÉ – À RADIOGRAPHIER",AQ2886="NX – RT À REFAIRE"),OR('PROGRAMME RT'!$D$5="TOUTES",B2886='PROGRAMME RT'!$D$5)),1,0)</f>
        <v>0</v>
      </c>
      <c r="AT2886" s="82" t="str">
        <f aca="false">IF(AS2886=1,SUM(AS$7:AS2886),"")</f>
        <v/>
      </c>
      <c r="AU2886" s="82" t="n">
        <f aca="false">IF(AND(OR(AA2886="R",AA2886="NX",AA2886="NT",AA2886="CO"),OR('JOINTS DE RÉPARATION'!$D$5="TOUTES",B2886='JOINTS DE RÉPARATION'!$D$5),OR('JOINTS DE RÉPARATION'!$L$4="TOUS",AQ2886&lt;&gt;"ACCEPTÉ")),1,0)</f>
        <v>0</v>
      </c>
      <c r="AV2886" s="82" t="str">
        <f aca="false">IF(AU2886=1,SUM(AU$7:AU2886),"")</f>
        <v/>
      </c>
      <c r="AW2886" s="82" t="str">
        <f aca="false">IF(E2886="","",B2886&amp;"|"&amp;E2886)</f>
        <v/>
      </c>
    </row>
    <row r="2887" customFormat="false" ht="15" hidden="false" customHeight="false" outlineLevel="0" collapsed="false">
      <c r="A2887" s="79" t="str">
        <f aca="false">IF(E2887="","",ROW()-6)</f>
        <v/>
      </c>
      <c r="B2887" s="80"/>
      <c r="C2887" s="81"/>
      <c r="D2887" s="81"/>
      <c r="E2887" s="81"/>
      <c r="F2887" s="82" t="str">
        <f aca="false">IF(E2887="","",IF(LEFT(E2887,2)="DJ","DJ","JN"))</f>
        <v/>
      </c>
      <c r="G2887" s="81"/>
      <c r="H2887" s="81"/>
      <c r="I2887" s="81"/>
      <c r="J2887" s="81"/>
      <c r="K2887" s="81"/>
      <c r="L2887" s="81"/>
      <c r="M2887" s="81"/>
      <c r="N2887" s="81"/>
      <c r="O2887" s="81"/>
      <c r="P2887" s="81"/>
      <c r="Q2887" s="81"/>
      <c r="R2887" s="81"/>
      <c r="S2887" s="81"/>
      <c r="T2887" s="81"/>
      <c r="U2887" s="83"/>
      <c r="V2887" s="83"/>
      <c r="W2887" s="81"/>
      <c r="X2887" s="81"/>
      <c r="Y2887" s="83"/>
      <c r="Z2887" s="81"/>
      <c r="AA2887" s="81"/>
      <c r="AB2887" s="81"/>
      <c r="AC2887" s="81"/>
      <c r="AD2887" s="81"/>
      <c r="AE2887" s="83"/>
      <c r="AF2887" s="81"/>
      <c r="AG2887" s="81"/>
      <c r="AH2887" s="81"/>
      <c r="AI2887" s="81"/>
      <c r="AJ2887" s="83"/>
      <c r="AK2887" s="81"/>
      <c r="AL2887" s="81"/>
      <c r="AM2887" s="83"/>
      <c r="AN2887" s="80"/>
      <c r="AO2887" s="82" t="str">
        <f aca="false">IF(E2887="","",(AA2887&lt;&gt;"")+(AG2887&lt;&gt;"")+(AL2887&lt;&gt;""))</f>
        <v/>
      </c>
      <c r="AP2887" s="82" t="str">
        <f aca="false">IF(AL2887&lt;&gt;"",AL2887,IF(AG2887&lt;&gt;"",AG2887,IF(AA2887&lt;&gt;"",AA2887,"")))</f>
        <v/>
      </c>
      <c r="AQ2887" s="84" t="str">
        <f aca="false">IF(E2887="","",IF(U2887="","À SOUDER",IF(X2887="","VT EN ATTENTE",IF(X2887="R","VT REJETÉ – À REPRENDRE",IF(AP2887="","À RADIOGRAPHIER",IF(AP2887="A","ACCEPTÉ",IF(AP2887="NX","NX – RT À REFAIRE",IF(IF(AO2887=1,AD2887,IF(AO2887=2,AI2887,""))="A","RÉPARÉ – À RADIOGRAPHIER",IF(IF(AO2887=1,AD2887,IF(AO2887=2,AI2887,""))="R","VT REJETÉ – À REPRENDRE",IF(OR(AP2887="CO",AP2887="NT"),"COUPE – À RESOUDER","À RÉPARER"))))))))))</f>
        <v/>
      </c>
      <c r="AR2887" s="82" t="str">
        <f aca="false">IF(AND(ISNUMBER(U2887),OR(AQ2887="À RADIOGRAPHIER",AQ2887="RÉPARÉ – À RADIOGRAPHIER",AQ2887="NX – RT À REFAIRE",AQ2887="À RÉPARER",AQ2887="COUPE – À RESOUDER",AQ2887="VT REJETÉ – À REPRENDRE")),MAX(0,'PROGRAMME RT'!$C$4-U2887),"")</f>
        <v/>
      </c>
      <c r="AS2887" s="82" t="n">
        <f aca="false">IF(AND(OR(AQ2887="À RADIOGRAPHIER",AQ2887="RÉPARÉ – À RADIOGRAPHIER",AQ2887="NX – RT À REFAIRE"),OR('PROGRAMME RT'!$D$5="TOUTES",B2887='PROGRAMME RT'!$D$5)),1,0)</f>
        <v>0</v>
      </c>
      <c r="AT2887" s="82" t="str">
        <f aca="false">IF(AS2887=1,SUM(AS$7:AS2887),"")</f>
        <v/>
      </c>
      <c r="AU2887" s="82" t="n">
        <f aca="false">IF(AND(OR(AA2887="R",AA2887="NX",AA2887="NT",AA2887="CO"),OR('JOINTS DE RÉPARATION'!$D$5="TOUTES",B2887='JOINTS DE RÉPARATION'!$D$5),OR('JOINTS DE RÉPARATION'!$L$4="TOUS",AQ2887&lt;&gt;"ACCEPTÉ")),1,0)</f>
        <v>0</v>
      </c>
      <c r="AV2887" s="82" t="str">
        <f aca="false">IF(AU2887=1,SUM(AU$7:AU2887),"")</f>
        <v/>
      </c>
      <c r="AW2887" s="82" t="str">
        <f aca="false">IF(E2887="","",B2887&amp;"|"&amp;E2887)</f>
        <v/>
      </c>
    </row>
    <row r="2888" customFormat="false" ht="15" hidden="false" customHeight="false" outlineLevel="0" collapsed="false">
      <c r="A2888" s="79" t="str">
        <f aca="false">IF(E2888="","",ROW()-6)</f>
        <v/>
      </c>
      <c r="B2888" s="80"/>
      <c r="C2888" s="81"/>
      <c r="D2888" s="81"/>
      <c r="E2888" s="81"/>
      <c r="F2888" s="82" t="str">
        <f aca="false">IF(E2888="","",IF(LEFT(E2888,2)="DJ","DJ","JN"))</f>
        <v/>
      </c>
      <c r="G2888" s="81"/>
      <c r="H2888" s="81"/>
      <c r="I2888" s="81"/>
      <c r="J2888" s="81"/>
      <c r="K2888" s="81"/>
      <c r="L2888" s="81"/>
      <c r="M2888" s="81"/>
      <c r="N2888" s="81"/>
      <c r="O2888" s="81"/>
      <c r="P2888" s="81"/>
      <c r="Q2888" s="81"/>
      <c r="R2888" s="81"/>
      <c r="S2888" s="81"/>
      <c r="T2888" s="81"/>
      <c r="U2888" s="83"/>
      <c r="V2888" s="83"/>
      <c r="W2888" s="81"/>
      <c r="X2888" s="81"/>
      <c r="Y2888" s="83"/>
      <c r="Z2888" s="81"/>
      <c r="AA2888" s="81"/>
      <c r="AB2888" s="81"/>
      <c r="AC2888" s="81"/>
      <c r="AD2888" s="81"/>
      <c r="AE2888" s="83"/>
      <c r="AF2888" s="81"/>
      <c r="AG2888" s="81"/>
      <c r="AH2888" s="81"/>
      <c r="AI2888" s="81"/>
      <c r="AJ2888" s="83"/>
      <c r="AK2888" s="81"/>
      <c r="AL2888" s="81"/>
      <c r="AM2888" s="83"/>
      <c r="AN2888" s="80"/>
      <c r="AO2888" s="82" t="str">
        <f aca="false">IF(E2888="","",(AA2888&lt;&gt;"")+(AG2888&lt;&gt;"")+(AL2888&lt;&gt;""))</f>
        <v/>
      </c>
      <c r="AP2888" s="82" t="str">
        <f aca="false">IF(AL2888&lt;&gt;"",AL2888,IF(AG2888&lt;&gt;"",AG2888,IF(AA2888&lt;&gt;"",AA2888,"")))</f>
        <v/>
      </c>
      <c r="AQ2888" s="84" t="str">
        <f aca="false">IF(E2888="","",IF(U2888="","À SOUDER",IF(X2888="","VT EN ATTENTE",IF(X2888="R","VT REJETÉ – À REPRENDRE",IF(AP2888="","À RADIOGRAPHIER",IF(AP2888="A","ACCEPTÉ",IF(AP2888="NX","NX – RT À REFAIRE",IF(IF(AO2888=1,AD2888,IF(AO2888=2,AI2888,""))="A","RÉPARÉ – À RADIOGRAPHIER",IF(IF(AO2888=1,AD2888,IF(AO2888=2,AI2888,""))="R","VT REJETÉ – À REPRENDRE",IF(OR(AP2888="CO",AP2888="NT"),"COUPE – À RESOUDER","À RÉPARER"))))))))))</f>
        <v/>
      </c>
      <c r="AR2888" s="82" t="str">
        <f aca="false">IF(AND(ISNUMBER(U2888),OR(AQ2888="À RADIOGRAPHIER",AQ2888="RÉPARÉ – À RADIOGRAPHIER",AQ2888="NX – RT À REFAIRE",AQ2888="À RÉPARER",AQ2888="COUPE – À RESOUDER",AQ2888="VT REJETÉ – À REPRENDRE")),MAX(0,'PROGRAMME RT'!$C$4-U2888),"")</f>
        <v/>
      </c>
      <c r="AS2888" s="82" t="n">
        <f aca="false">IF(AND(OR(AQ2888="À RADIOGRAPHIER",AQ2888="RÉPARÉ – À RADIOGRAPHIER",AQ2888="NX – RT À REFAIRE"),OR('PROGRAMME RT'!$D$5="TOUTES",B2888='PROGRAMME RT'!$D$5)),1,0)</f>
        <v>0</v>
      </c>
      <c r="AT2888" s="82" t="str">
        <f aca="false">IF(AS2888=1,SUM(AS$7:AS2888),"")</f>
        <v/>
      </c>
      <c r="AU2888" s="82" t="n">
        <f aca="false">IF(AND(OR(AA2888="R",AA2888="NX",AA2888="NT",AA2888="CO"),OR('JOINTS DE RÉPARATION'!$D$5="TOUTES",B2888='JOINTS DE RÉPARATION'!$D$5),OR('JOINTS DE RÉPARATION'!$L$4="TOUS",AQ2888&lt;&gt;"ACCEPTÉ")),1,0)</f>
        <v>0</v>
      </c>
      <c r="AV2888" s="82" t="str">
        <f aca="false">IF(AU2888=1,SUM(AU$7:AU2888),"")</f>
        <v/>
      </c>
      <c r="AW2888" s="82" t="str">
        <f aca="false">IF(E2888="","",B2888&amp;"|"&amp;E2888)</f>
        <v/>
      </c>
    </row>
    <row r="2889" customFormat="false" ht="15" hidden="false" customHeight="false" outlineLevel="0" collapsed="false">
      <c r="A2889" s="79" t="str">
        <f aca="false">IF(E2889="","",ROW()-6)</f>
        <v/>
      </c>
      <c r="B2889" s="80"/>
      <c r="C2889" s="81"/>
      <c r="D2889" s="81"/>
      <c r="E2889" s="81"/>
      <c r="F2889" s="82" t="str">
        <f aca="false">IF(E2889="","",IF(LEFT(E2889,2)="DJ","DJ","JN"))</f>
        <v/>
      </c>
      <c r="G2889" s="81"/>
      <c r="H2889" s="81"/>
      <c r="I2889" s="81"/>
      <c r="J2889" s="81"/>
      <c r="K2889" s="81"/>
      <c r="L2889" s="81"/>
      <c r="M2889" s="81"/>
      <c r="N2889" s="81"/>
      <c r="O2889" s="81"/>
      <c r="P2889" s="81"/>
      <c r="Q2889" s="81"/>
      <c r="R2889" s="81"/>
      <c r="S2889" s="81"/>
      <c r="T2889" s="81"/>
      <c r="U2889" s="83"/>
      <c r="V2889" s="83"/>
      <c r="W2889" s="81"/>
      <c r="X2889" s="81"/>
      <c r="Y2889" s="83"/>
      <c r="Z2889" s="81"/>
      <c r="AA2889" s="81"/>
      <c r="AB2889" s="81"/>
      <c r="AC2889" s="81"/>
      <c r="AD2889" s="81"/>
      <c r="AE2889" s="83"/>
      <c r="AF2889" s="81"/>
      <c r="AG2889" s="81"/>
      <c r="AH2889" s="81"/>
      <c r="AI2889" s="81"/>
      <c r="AJ2889" s="83"/>
      <c r="AK2889" s="81"/>
      <c r="AL2889" s="81"/>
      <c r="AM2889" s="83"/>
      <c r="AN2889" s="80"/>
      <c r="AO2889" s="82" t="str">
        <f aca="false">IF(E2889="","",(AA2889&lt;&gt;"")+(AG2889&lt;&gt;"")+(AL2889&lt;&gt;""))</f>
        <v/>
      </c>
      <c r="AP2889" s="82" t="str">
        <f aca="false">IF(AL2889&lt;&gt;"",AL2889,IF(AG2889&lt;&gt;"",AG2889,IF(AA2889&lt;&gt;"",AA2889,"")))</f>
        <v/>
      </c>
      <c r="AQ2889" s="84" t="str">
        <f aca="false">IF(E2889="","",IF(U2889="","À SOUDER",IF(X2889="","VT EN ATTENTE",IF(X2889="R","VT REJETÉ – À REPRENDRE",IF(AP2889="","À RADIOGRAPHIER",IF(AP2889="A","ACCEPTÉ",IF(AP2889="NX","NX – RT À REFAIRE",IF(IF(AO2889=1,AD2889,IF(AO2889=2,AI2889,""))="A","RÉPARÉ – À RADIOGRAPHIER",IF(IF(AO2889=1,AD2889,IF(AO2889=2,AI2889,""))="R","VT REJETÉ – À REPRENDRE",IF(OR(AP2889="CO",AP2889="NT"),"COUPE – À RESOUDER","À RÉPARER"))))))))))</f>
        <v/>
      </c>
      <c r="AR2889" s="82" t="str">
        <f aca="false">IF(AND(ISNUMBER(U2889),OR(AQ2889="À RADIOGRAPHIER",AQ2889="RÉPARÉ – À RADIOGRAPHIER",AQ2889="NX – RT À REFAIRE",AQ2889="À RÉPARER",AQ2889="COUPE – À RESOUDER",AQ2889="VT REJETÉ – À REPRENDRE")),MAX(0,'PROGRAMME RT'!$C$4-U2889),"")</f>
        <v/>
      </c>
      <c r="AS2889" s="82" t="n">
        <f aca="false">IF(AND(OR(AQ2889="À RADIOGRAPHIER",AQ2889="RÉPARÉ – À RADIOGRAPHIER",AQ2889="NX – RT À REFAIRE"),OR('PROGRAMME RT'!$D$5="TOUTES",B2889='PROGRAMME RT'!$D$5)),1,0)</f>
        <v>0</v>
      </c>
      <c r="AT2889" s="82" t="str">
        <f aca="false">IF(AS2889=1,SUM(AS$7:AS2889),"")</f>
        <v/>
      </c>
      <c r="AU2889" s="82" t="n">
        <f aca="false">IF(AND(OR(AA2889="R",AA2889="NX",AA2889="NT",AA2889="CO"),OR('JOINTS DE RÉPARATION'!$D$5="TOUTES",B2889='JOINTS DE RÉPARATION'!$D$5),OR('JOINTS DE RÉPARATION'!$L$4="TOUS",AQ2889&lt;&gt;"ACCEPTÉ")),1,0)</f>
        <v>0</v>
      </c>
      <c r="AV2889" s="82" t="str">
        <f aca="false">IF(AU2889=1,SUM(AU$7:AU2889),"")</f>
        <v/>
      </c>
      <c r="AW2889" s="82" t="str">
        <f aca="false">IF(E2889="","",B2889&amp;"|"&amp;E2889)</f>
        <v/>
      </c>
    </row>
    <row r="2890" customFormat="false" ht="15" hidden="false" customHeight="false" outlineLevel="0" collapsed="false">
      <c r="A2890" s="79" t="str">
        <f aca="false">IF(E2890="","",ROW()-6)</f>
        <v/>
      </c>
      <c r="B2890" s="80"/>
      <c r="C2890" s="81"/>
      <c r="D2890" s="81"/>
      <c r="E2890" s="81"/>
      <c r="F2890" s="82" t="str">
        <f aca="false">IF(E2890="","",IF(LEFT(E2890,2)="DJ","DJ","JN"))</f>
        <v/>
      </c>
      <c r="G2890" s="81"/>
      <c r="H2890" s="81"/>
      <c r="I2890" s="81"/>
      <c r="J2890" s="81"/>
      <c r="K2890" s="81"/>
      <c r="L2890" s="81"/>
      <c r="M2890" s="81"/>
      <c r="N2890" s="81"/>
      <c r="O2890" s="81"/>
      <c r="P2890" s="81"/>
      <c r="Q2890" s="81"/>
      <c r="R2890" s="81"/>
      <c r="S2890" s="81"/>
      <c r="T2890" s="81"/>
      <c r="U2890" s="83"/>
      <c r="V2890" s="83"/>
      <c r="W2890" s="81"/>
      <c r="X2890" s="81"/>
      <c r="Y2890" s="83"/>
      <c r="Z2890" s="81"/>
      <c r="AA2890" s="81"/>
      <c r="AB2890" s="81"/>
      <c r="AC2890" s="81"/>
      <c r="AD2890" s="81"/>
      <c r="AE2890" s="83"/>
      <c r="AF2890" s="81"/>
      <c r="AG2890" s="81"/>
      <c r="AH2890" s="81"/>
      <c r="AI2890" s="81"/>
      <c r="AJ2890" s="83"/>
      <c r="AK2890" s="81"/>
      <c r="AL2890" s="81"/>
      <c r="AM2890" s="83"/>
      <c r="AN2890" s="80"/>
      <c r="AO2890" s="82" t="str">
        <f aca="false">IF(E2890="","",(AA2890&lt;&gt;"")+(AG2890&lt;&gt;"")+(AL2890&lt;&gt;""))</f>
        <v/>
      </c>
      <c r="AP2890" s="82" t="str">
        <f aca="false">IF(AL2890&lt;&gt;"",AL2890,IF(AG2890&lt;&gt;"",AG2890,IF(AA2890&lt;&gt;"",AA2890,"")))</f>
        <v/>
      </c>
      <c r="AQ2890" s="84" t="str">
        <f aca="false">IF(E2890="","",IF(U2890="","À SOUDER",IF(X2890="","VT EN ATTENTE",IF(X2890="R","VT REJETÉ – À REPRENDRE",IF(AP2890="","À RADIOGRAPHIER",IF(AP2890="A","ACCEPTÉ",IF(AP2890="NX","NX – RT À REFAIRE",IF(IF(AO2890=1,AD2890,IF(AO2890=2,AI2890,""))="A","RÉPARÉ – À RADIOGRAPHIER",IF(IF(AO2890=1,AD2890,IF(AO2890=2,AI2890,""))="R","VT REJETÉ – À REPRENDRE",IF(OR(AP2890="CO",AP2890="NT"),"COUPE – À RESOUDER","À RÉPARER"))))))))))</f>
        <v/>
      </c>
      <c r="AR2890" s="82" t="str">
        <f aca="false">IF(AND(ISNUMBER(U2890),OR(AQ2890="À RADIOGRAPHIER",AQ2890="RÉPARÉ – À RADIOGRAPHIER",AQ2890="NX – RT À REFAIRE",AQ2890="À RÉPARER",AQ2890="COUPE – À RESOUDER",AQ2890="VT REJETÉ – À REPRENDRE")),MAX(0,'PROGRAMME RT'!$C$4-U2890),"")</f>
        <v/>
      </c>
      <c r="AS2890" s="82" t="n">
        <f aca="false">IF(AND(OR(AQ2890="À RADIOGRAPHIER",AQ2890="RÉPARÉ – À RADIOGRAPHIER",AQ2890="NX – RT À REFAIRE"),OR('PROGRAMME RT'!$D$5="TOUTES",B2890='PROGRAMME RT'!$D$5)),1,0)</f>
        <v>0</v>
      </c>
      <c r="AT2890" s="82" t="str">
        <f aca="false">IF(AS2890=1,SUM(AS$7:AS2890),"")</f>
        <v/>
      </c>
      <c r="AU2890" s="82" t="n">
        <f aca="false">IF(AND(OR(AA2890="R",AA2890="NX",AA2890="NT",AA2890="CO"),OR('JOINTS DE RÉPARATION'!$D$5="TOUTES",B2890='JOINTS DE RÉPARATION'!$D$5),OR('JOINTS DE RÉPARATION'!$L$4="TOUS",AQ2890&lt;&gt;"ACCEPTÉ")),1,0)</f>
        <v>0</v>
      </c>
      <c r="AV2890" s="82" t="str">
        <f aca="false">IF(AU2890=1,SUM(AU$7:AU2890),"")</f>
        <v/>
      </c>
      <c r="AW2890" s="82" t="str">
        <f aca="false">IF(E2890="","",B2890&amp;"|"&amp;E2890)</f>
        <v/>
      </c>
    </row>
    <row r="2891" customFormat="false" ht="15" hidden="false" customHeight="false" outlineLevel="0" collapsed="false">
      <c r="A2891" s="79" t="str">
        <f aca="false">IF(E2891="","",ROW()-6)</f>
        <v/>
      </c>
      <c r="B2891" s="80"/>
      <c r="C2891" s="81"/>
      <c r="D2891" s="81"/>
      <c r="E2891" s="81"/>
      <c r="F2891" s="82" t="str">
        <f aca="false">IF(E2891="","",IF(LEFT(E2891,2)="DJ","DJ","JN"))</f>
        <v/>
      </c>
      <c r="G2891" s="81"/>
      <c r="H2891" s="81"/>
      <c r="I2891" s="81"/>
      <c r="J2891" s="81"/>
      <c r="K2891" s="81"/>
      <c r="L2891" s="81"/>
      <c r="M2891" s="81"/>
      <c r="N2891" s="81"/>
      <c r="O2891" s="81"/>
      <c r="P2891" s="81"/>
      <c r="Q2891" s="81"/>
      <c r="R2891" s="81"/>
      <c r="S2891" s="81"/>
      <c r="T2891" s="81"/>
      <c r="U2891" s="83"/>
      <c r="V2891" s="83"/>
      <c r="W2891" s="81"/>
      <c r="X2891" s="81"/>
      <c r="Y2891" s="83"/>
      <c r="Z2891" s="81"/>
      <c r="AA2891" s="81"/>
      <c r="AB2891" s="81"/>
      <c r="AC2891" s="81"/>
      <c r="AD2891" s="81"/>
      <c r="AE2891" s="83"/>
      <c r="AF2891" s="81"/>
      <c r="AG2891" s="81"/>
      <c r="AH2891" s="81"/>
      <c r="AI2891" s="81"/>
      <c r="AJ2891" s="83"/>
      <c r="AK2891" s="81"/>
      <c r="AL2891" s="81"/>
      <c r="AM2891" s="83"/>
      <c r="AN2891" s="80"/>
      <c r="AO2891" s="82" t="str">
        <f aca="false">IF(E2891="","",(AA2891&lt;&gt;"")+(AG2891&lt;&gt;"")+(AL2891&lt;&gt;""))</f>
        <v/>
      </c>
      <c r="AP2891" s="82" t="str">
        <f aca="false">IF(AL2891&lt;&gt;"",AL2891,IF(AG2891&lt;&gt;"",AG2891,IF(AA2891&lt;&gt;"",AA2891,"")))</f>
        <v/>
      </c>
      <c r="AQ2891" s="84" t="str">
        <f aca="false">IF(E2891="","",IF(U2891="","À SOUDER",IF(X2891="","VT EN ATTENTE",IF(X2891="R","VT REJETÉ – À REPRENDRE",IF(AP2891="","À RADIOGRAPHIER",IF(AP2891="A","ACCEPTÉ",IF(AP2891="NX","NX – RT À REFAIRE",IF(IF(AO2891=1,AD2891,IF(AO2891=2,AI2891,""))="A","RÉPARÉ – À RADIOGRAPHIER",IF(IF(AO2891=1,AD2891,IF(AO2891=2,AI2891,""))="R","VT REJETÉ – À REPRENDRE",IF(OR(AP2891="CO",AP2891="NT"),"COUPE – À RESOUDER","À RÉPARER"))))))))))</f>
        <v/>
      </c>
      <c r="AR2891" s="82" t="str">
        <f aca="false">IF(AND(ISNUMBER(U2891),OR(AQ2891="À RADIOGRAPHIER",AQ2891="RÉPARÉ – À RADIOGRAPHIER",AQ2891="NX – RT À REFAIRE",AQ2891="À RÉPARER",AQ2891="COUPE – À RESOUDER",AQ2891="VT REJETÉ – À REPRENDRE")),MAX(0,'PROGRAMME RT'!$C$4-U2891),"")</f>
        <v/>
      </c>
      <c r="AS2891" s="82" t="n">
        <f aca="false">IF(AND(OR(AQ2891="À RADIOGRAPHIER",AQ2891="RÉPARÉ – À RADIOGRAPHIER",AQ2891="NX – RT À REFAIRE"),OR('PROGRAMME RT'!$D$5="TOUTES",B2891='PROGRAMME RT'!$D$5)),1,0)</f>
        <v>0</v>
      </c>
      <c r="AT2891" s="82" t="str">
        <f aca="false">IF(AS2891=1,SUM(AS$7:AS2891),"")</f>
        <v/>
      </c>
      <c r="AU2891" s="82" t="n">
        <f aca="false">IF(AND(OR(AA2891="R",AA2891="NX",AA2891="NT",AA2891="CO"),OR('JOINTS DE RÉPARATION'!$D$5="TOUTES",B2891='JOINTS DE RÉPARATION'!$D$5),OR('JOINTS DE RÉPARATION'!$L$4="TOUS",AQ2891&lt;&gt;"ACCEPTÉ")),1,0)</f>
        <v>0</v>
      </c>
      <c r="AV2891" s="82" t="str">
        <f aca="false">IF(AU2891=1,SUM(AU$7:AU2891),"")</f>
        <v/>
      </c>
      <c r="AW2891" s="82" t="str">
        <f aca="false">IF(E2891="","",B2891&amp;"|"&amp;E2891)</f>
        <v/>
      </c>
    </row>
    <row r="2892" customFormat="false" ht="15" hidden="false" customHeight="false" outlineLevel="0" collapsed="false">
      <c r="A2892" s="79" t="str">
        <f aca="false">IF(E2892="","",ROW()-6)</f>
        <v/>
      </c>
      <c r="B2892" s="80"/>
      <c r="C2892" s="81"/>
      <c r="D2892" s="81"/>
      <c r="E2892" s="81"/>
      <c r="F2892" s="82" t="str">
        <f aca="false">IF(E2892="","",IF(LEFT(E2892,2)="DJ","DJ","JN"))</f>
        <v/>
      </c>
      <c r="G2892" s="81"/>
      <c r="H2892" s="81"/>
      <c r="I2892" s="81"/>
      <c r="J2892" s="81"/>
      <c r="K2892" s="81"/>
      <c r="L2892" s="81"/>
      <c r="M2892" s="81"/>
      <c r="N2892" s="81"/>
      <c r="O2892" s="81"/>
      <c r="P2892" s="81"/>
      <c r="Q2892" s="81"/>
      <c r="R2892" s="81"/>
      <c r="S2892" s="81"/>
      <c r="T2892" s="81"/>
      <c r="U2892" s="83"/>
      <c r="V2892" s="83"/>
      <c r="W2892" s="81"/>
      <c r="X2892" s="81"/>
      <c r="Y2892" s="83"/>
      <c r="Z2892" s="81"/>
      <c r="AA2892" s="81"/>
      <c r="AB2892" s="81"/>
      <c r="AC2892" s="81"/>
      <c r="AD2892" s="81"/>
      <c r="AE2892" s="83"/>
      <c r="AF2892" s="81"/>
      <c r="AG2892" s="81"/>
      <c r="AH2892" s="81"/>
      <c r="AI2892" s="81"/>
      <c r="AJ2892" s="83"/>
      <c r="AK2892" s="81"/>
      <c r="AL2892" s="81"/>
      <c r="AM2892" s="83"/>
      <c r="AN2892" s="80"/>
      <c r="AO2892" s="82" t="str">
        <f aca="false">IF(E2892="","",(AA2892&lt;&gt;"")+(AG2892&lt;&gt;"")+(AL2892&lt;&gt;""))</f>
        <v/>
      </c>
      <c r="AP2892" s="82" t="str">
        <f aca="false">IF(AL2892&lt;&gt;"",AL2892,IF(AG2892&lt;&gt;"",AG2892,IF(AA2892&lt;&gt;"",AA2892,"")))</f>
        <v/>
      </c>
      <c r="AQ2892" s="84" t="str">
        <f aca="false">IF(E2892="","",IF(U2892="","À SOUDER",IF(X2892="","VT EN ATTENTE",IF(X2892="R","VT REJETÉ – À REPRENDRE",IF(AP2892="","À RADIOGRAPHIER",IF(AP2892="A","ACCEPTÉ",IF(AP2892="NX","NX – RT À REFAIRE",IF(IF(AO2892=1,AD2892,IF(AO2892=2,AI2892,""))="A","RÉPARÉ – À RADIOGRAPHIER",IF(IF(AO2892=1,AD2892,IF(AO2892=2,AI2892,""))="R","VT REJETÉ – À REPRENDRE",IF(OR(AP2892="CO",AP2892="NT"),"COUPE – À RESOUDER","À RÉPARER"))))))))))</f>
        <v/>
      </c>
      <c r="AR2892" s="82" t="str">
        <f aca="false">IF(AND(ISNUMBER(U2892),OR(AQ2892="À RADIOGRAPHIER",AQ2892="RÉPARÉ – À RADIOGRAPHIER",AQ2892="NX – RT À REFAIRE",AQ2892="À RÉPARER",AQ2892="COUPE – À RESOUDER",AQ2892="VT REJETÉ – À REPRENDRE")),MAX(0,'PROGRAMME RT'!$C$4-U2892),"")</f>
        <v/>
      </c>
      <c r="AS2892" s="82" t="n">
        <f aca="false">IF(AND(OR(AQ2892="À RADIOGRAPHIER",AQ2892="RÉPARÉ – À RADIOGRAPHIER",AQ2892="NX – RT À REFAIRE"),OR('PROGRAMME RT'!$D$5="TOUTES",B2892='PROGRAMME RT'!$D$5)),1,0)</f>
        <v>0</v>
      </c>
      <c r="AT2892" s="82" t="str">
        <f aca="false">IF(AS2892=1,SUM(AS$7:AS2892),"")</f>
        <v/>
      </c>
      <c r="AU2892" s="82" t="n">
        <f aca="false">IF(AND(OR(AA2892="R",AA2892="NX",AA2892="NT",AA2892="CO"),OR('JOINTS DE RÉPARATION'!$D$5="TOUTES",B2892='JOINTS DE RÉPARATION'!$D$5),OR('JOINTS DE RÉPARATION'!$L$4="TOUS",AQ2892&lt;&gt;"ACCEPTÉ")),1,0)</f>
        <v>0</v>
      </c>
      <c r="AV2892" s="82" t="str">
        <f aca="false">IF(AU2892=1,SUM(AU$7:AU2892),"")</f>
        <v/>
      </c>
      <c r="AW2892" s="82" t="str">
        <f aca="false">IF(E2892="","",B2892&amp;"|"&amp;E2892)</f>
        <v/>
      </c>
    </row>
    <row r="2893" customFormat="false" ht="15" hidden="false" customHeight="false" outlineLevel="0" collapsed="false">
      <c r="A2893" s="79" t="str">
        <f aca="false">IF(E2893="","",ROW()-6)</f>
        <v/>
      </c>
      <c r="B2893" s="80"/>
      <c r="C2893" s="81"/>
      <c r="D2893" s="81"/>
      <c r="E2893" s="81"/>
      <c r="F2893" s="82" t="str">
        <f aca="false">IF(E2893="","",IF(LEFT(E2893,2)="DJ","DJ","JN"))</f>
        <v/>
      </c>
      <c r="G2893" s="81"/>
      <c r="H2893" s="81"/>
      <c r="I2893" s="81"/>
      <c r="J2893" s="81"/>
      <c r="K2893" s="81"/>
      <c r="L2893" s="81"/>
      <c r="M2893" s="81"/>
      <c r="N2893" s="81"/>
      <c r="O2893" s="81"/>
      <c r="P2893" s="81"/>
      <c r="Q2893" s="81"/>
      <c r="R2893" s="81"/>
      <c r="S2893" s="81"/>
      <c r="T2893" s="81"/>
      <c r="U2893" s="83"/>
      <c r="V2893" s="83"/>
      <c r="W2893" s="81"/>
      <c r="X2893" s="81"/>
      <c r="Y2893" s="83"/>
      <c r="Z2893" s="81"/>
      <c r="AA2893" s="81"/>
      <c r="AB2893" s="81"/>
      <c r="AC2893" s="81"/>
      <c r="AD2893" s="81"/>
      <c r="AE2893" s="83"/>
      <c r="AF2893" s="81"/>
      <c r="AG2893" s="81"/>
      <c r="AH2893" s="81"/>
      <c r="AI2893" s="81"/>
      <c r="AJ2893" s="83"/>
      <c r="AK2893" s="81"/>
      <c r="AL2893" s="81"/>
      <c r="AM2893" s="83"/>
      <c r="AN2893" s="80"/>
      <c r="AO2893" s="82" t="str">
        <f aca="false">IF(E2893="","",(AA2893&lt;&gt;"")+(AG2893&lt;&gt;"")+(AL2893&lt;&gt;""))</f>
        <v/>
      </c>
      <c r="AP2893" s="82" t="str">
        <f aca="false">IF(AL2893&lt;&gt;"",AL2893,IF(AG2893&lt;&gt;"",AG2893,IF(AA2893&lt;&gt;"",AA2893,"")))</f>
        <v/>
      </c>
      <c r="AQ2893" s="84" t="str">
        <f aca="false">IF(E2893="","",IF(U2893="","À SOUDER",IF(X2893="","VT EN ATTENTE",IF(X2893="R","VT REJETÉ – À REPRENDRE",IF(AP2893="","À RADIOGRAPHIER",IF(AP2893="A","ACCEPTÉ",IF(AP2893="NX","NX – RT À REFAIRE",IF(IF(AO2893=1,AD2893,IF(AO2893=2,AI2893,""))="A","RÉPARÉ – À RADIOGRAPHIER",IF(IF(AO2893=1,AD2893,IF(AO2893=2,AI2893,""))="R","VT REJETÉ – À REPRENDRE",IF(OR(AP2893="CO",AP2893="NT"),"COUPE – À RESOUDER","À RÉPARER"))))))))))</f>
        <v/>
      </c>
      <c r="AR2893" s="82" t="str">
        <f aca="false">IF(AND(ISNUMBER(U2893),OR(AQ2893="À RADIOGRAPHIER",AQ2893="RÉPARÉ – À RADIOGRAPHIER",AQ2893="NX – RT À REFAIRE",AQ2893="À RÉPARER",AQ2893="COUPE – À RESOUDER",AQ2893="VT REJETÉ – À REPRENDRE")),MAX(0,'PROGRAMME RT'!$C$4-U2893),"")</f>
        <v/>
      </c>
      <c r="AS2893" s="82" t="n">
        <f aca="false">IF(AND(OR(AQ2893="À RADIOGRAPHIER",AQ2893="RÉPARÉ – À RADIOGRAPHIER",AQ2893="NX – RT À REFAIRE"),OR('PROGRAMME RT'!$D$5="TOUTES",B2893='PROGRAMME RT'!$D$5)),1,0)</f>
        <v>0</v>
      </c>
      <c r="AT2893" s="82" t="str">
        <f aca="false">IF(AS2893=1,SUM(AS$7:AS2893),"")</f>
        <v/>
      </c>
      <c r="AU2893" s="82" t="n">
        <f aca="false">IF(AND(OR(AA2893="R",AA2893="NX",AA2893="NT",AA2893="CO"),OR('JOINTS DE RÉPARATION'!$D$5="TOUTES",B2893='JOINTS DE RÉPARATION'!$D$5),OR('JOINTS DE RÉPARATION'!$L$4="TOUS",AQ2893&lt;&gt;"ACCEPTÉ")),1,0)</f>
        <v>0</v>
      </c>
      <c r="AV2893" s="82" t="str">
        <f aca="false">IF(AU2893=1,SUM(AU$7:AU2893),"")</f>
        <v/>
      </c>
      <c r="AW2893" s="82" t="str">
        <f aca="false">IF(E2893="","",B2893&amp;"|"&amp;E2893)</f>
        <v/>
      </c>
    </row>
    <row r="2894" customFormat="false" ht="15" hidden="false" customHeight="false" outlineLevel="0" collapsed="false">
      <c r="A2894" s="79" t="str">
        <f aca="false">IF(E2894="","",ROW()-6)</f>
        <v/>
      </c>
      <c r="B2894" s="80"/>
      <c r="C2894" s="81"/>
      <c r="D2894" s="81"/>
      <c r="E2894" s="81"/>
      <c r="F2894" s="82" t="str">
        <f aca="false">IF(E2894="","",IF(LEFT(E2894,2)="DJ","DJ","JN"))</f>
        <v/>
      </c>
      <c r="G2894" s="81"/>
      <c r="H2894" s="81"/>
      <c r="I2894" s="81"/>
      <c r="J2894" s="81"/>
      <c r="K2894" s="81"/>
      <c r="L2894" s="81"/>
      <c r="M2894" s="81"/>
      <c r="N2894" s="81"/>
      <c r="O2894" s="81"/>
      <c r="P2894" s="81"/>
      <c r="Q2894" s="81"/>
      <c r="R2894" s="81"/>
      <c r="S2894" s="81"/>
      <c r="T2894" s="81"/>
      <c r="U2894" s="83"/>
      <c r="V2894" s="83"/>
      <c r="W2894" s="81"/>
      <c r="X2894" s="81"/>
      <c r="Y2894" s="83"/>
      <c r="Z2894" s="81"/>
      <c r="AA2894" s="81"/>
      <c r="AB2894" s="81"/>
      <c r="AC2894" s="81"/>
      <c r="AD2894" s="81"/>
      <c r="AE2894" s="83"/>
      <c r="AF2894" s="81"/>
      <c r="AG2894" s="81"/>
      <c r="AH2894" s="81"/>
      <c r="AI2894" s="81"/>
      <c r="AJ2894" s="83"/>
      <c r="AK2894" s="81"/>
      <c r="AL2894" s="81"/>
      <c r="AM2894" s="83"/>
      <c r="AN2894" s="80"/>
      <c r="AO2894" s="82" t="str">
        <f aca="false">IF(E2894="","",(AA2894&lt;&gt;"")+(AG2894&lt;&gt;"")+(AL2894&lt;&gt;""))</f>
        <v/>
      </c>
      <c r="AP2894" s="82" t="str">
        <f aca="false">IF(AL2894&lt;&gt;"",AL2894,IF(AG2894&lt;&gt;"",AG2894,IF(AA2894&lt;&gt;"",AA2894,"")))</f>
        <v/>
      </c>
      <c r="AQ2894" s="84" t="str">
        <f aca="false">IF(E2894="","",IF(U2894="","À SOUDER",IF(X2894="","VT EN ATTENTE",IF(X2894="R","VT REJETÉ – À REPRENDRE",IF(AP2894="","À RADIOGRAPHIER",IF(AP2894="A","ACCEPTÉ",IF(AP2894="NX","NX – RT À REFAIRE",IF(IF(AO2894=1,AD2894,IF(AO2894=2,AI2894,""))="A","RÉPARÉ – À RADIOGRAPHIER",IF(IF(AO2894=1,AD2894,IF(AO2894=2,AI2894,""))="R","VT REJETÉ – À REPRENDRE",IF(OR(AP2894="CO",AP2894="NT"),"COUPE – À RESOUDER","À RÉPARER"))))))))))</f>
        <v/>
      </c>
      <c r="AR2894" s="82" t="str">
        <f aca="false">IF(AND(ISNUMBER(U2894),OR(AQ2894="À RADIOGRAPHIER",AQ2894="RÉPARÉ – À RADIOGRAPHIER",AQ2894="NX – RT À REFAIRE",AQ2894="À RÉPARER",AQ2894="COUPE – À RESOUDER",AQ2894="VT REJETÉ – À REPRENDRE")),MAX(0,'PROGRAMME RT'!$C$4-U2894),"")</f>
        <v/>
      </c>
      <c r="AS2894" s="82" t="n">
        <f aca="false">IF(AND(OR(AQ2894="À RADIOGRAPHIER",AQ2894="RÉPARÉ – À RADIOGRAPHIER",AQ2894="NX – RT À REFAIRE"),OR('PROGRAMME RT'!$D$5="TOUTES",B2894='PROGRAMME RT'!$D$5)),1,0)</f>
        <v>0</v>
      </c>
      <c r="AT2894" s="82" t="str">
        <f aca="false">IF(AS2894=1,SUM(AS$7:AS2894),"")</f>
        <v/>
      </c>
      <c r="AU2894" s="82" t="n">
        <f aca="false">IF(AND(OR(AA2894="R",AA2894="NX",AA2894="NT",AA2894="CO"),OR('JOINTS DE RÉPARATION'!$D$5="TOUTES",B2894='JOINTS DE RÉPARATION'!$D$5),OR('JOINTS DE RÉPARATION'!$L$4="TOUS",AQ2894&lt;&gt;"ACCEPTÉ")),1,0)</f>
        <v>0</v>
      </c>
      <c r="AV2894" s="82" t="str">
        <f aca="false">IF(AU2894=1,SUM(AU$7:AU2894),"")</f>
        <v/>
      </c>
      <c r="AW2894" s="82" t="str">
        <f aca="false">IF(E2894="","",B2894&amp;"|"&amp;E2894)</f>
        <v/>
      </c>
    </row>
    <row r="2895" customFormat="false" ht="15" hidden="false" customHeight="false" outlineLevel="0" collapsed="false">
      <c r="A2895" s="79" t="str">
        <f aca="false">IF(E2895="","",ROW()-6)</f>
        <v/>
      </c>
      <c r="B2895" s="80"/>
      <c r="C2895" s="81"/>
      <c r="D2895" s="81"/>
      <c r="E2895" s="81"/>
      <c r="F2895" s="82" t="str">
        <f aca="false">IF(E2895="","",IF(LEFT(E2895,2)="DJ","DJ","JN"))</f>
        <v/>
      </c>
      <c r="G2895" s="81"/>
      <c r="H2895" s="81"/>
      <c r="I2895" s="81"/>
      <c r="J2895" s="81"/>
      <c r="K2895" s="81"/>
      <c r="L2895" s="81"/>
      <c r="M2895" s="81"/>
      <c r="N2895" s="81"/>
      <c r="O2895" s="81"/>
      <c r="P2895" s="81"/>
      <c r="Q2895" s="81"/>
      <c r="R2895" s="81"/>
      <c r="S2895" s="81"/>
      <c r="T2895" s="81"/>
      <c r="U2895" s="83"/>
      <c r="V2895" s="83"/>
      <c r="W2895" s="81"/>
      <c r="X2895" s="81"/>
      <c r="Y2895" s="83"/>
      <c r="Z2895" s="81"/>
      <c r="AA2895" s="81"/>
      <c r="AB2895" s="81"/>
      <c r="AC2895" s="81"/>
      <c r="AD2895" s="81"/>
      <c r="AE2895" s="83"/>
      <c r="AF2895" s="81"/>
      <c r="AG2895" s="81"/>
      <c r="AH2895" s="81"/>
      <c r="AI2895" s="81"/>
      <c r="AJ2895" s="83"/>
      <c r="AK2895" s="81"/>
      <c r="AL2895" s="81"/>
      <c r="AM2895" s="83"/>
      <c r="AN2895" s="80"/>
      <c r="AO2895" s="82" t="str">
        <f aca="false">IF(E2895="","",(AA2895&lt;&gt;"")+(AG2895&lt;&gt;"")+(AL2895&lt;&gt;""))</f>
        <v/>
      </c>
      <c r="AP2895" s="82" t="str">
        <f aca="false">IF(AL2895&lt;&gt;"",AL2895,IF(AG2895&lt;&gt;"",AG2895,IF(AA2895&lt;&gt;"",AA2895,"")))</f>
        <v/>
      </c>
      <c r="AQ2895" s="84" t="str">
        <f aca="false">IF(E2895="","",IF(U2895="","À SOUDER",IF(X2895="","VT EN ATTENTE",IF(X2895="R","VT REJETÉ – À REPRENDRE",IF(AP2895="","À RADIOGRAPHIER",IF(AP2895="A","ACCEPTÉ",IF(AP2895="NX","NX – RT À REFAIRE",IF(IF(AO2895=1,AD2895,IF(AO2895=2,AI2895,""))="A","RÉPARÉ – À RADIOGRAPHIER",IF(IF(AO2895=1,AD2895,IF(AO2895=2,AI2895,""))="R","VT REJETÉ – À REPRENDRE",IF(OR(AP2895="CO",AP2895="NT"),"COUPE – À RESOUDER","À RÉPARER"))))))))))</f>
        <v/>
      </c>
      <c r="AR2895" s="82" t="str">
        <f aca="false">IF(AND(ISNUMBER(U2895),OR(AQ2895="À RADIOGRAPHIER",AQ2895="RÉPARÉ – À RADIOGRAPHIER",AQ2895="NX – RT À REFAIRE",AQ2895="À RÉPARER",AQ2895="COUPE – À RESOUDER",AQ2895="VT REJETÉ – À REPRENDRE")),MAX(0,'PROGRAMME RT'!$C$4-U2895),"")</f>
        <v/>
      </c>
      <c r="AS2895" s="82" t="n">
        <f aca="false">IF(AND(OR(AQ2895="À RADIOGRAPHIER",AQ2895="RÉPARÉ – À RADIOGRAPHIER",AQ2895="NX – RT À REFAIRE"),OR('PROGRAMME RT'!$D$5="TOUTES",B2895='PROGRAMME RT'!$D$5)),1,0)</f>
        <v>0</v>
      </c>
      <c r="AT2895" s="82" t="str">
        <f aca="false">IF(AS2895=1,SUM(AS$7:AS2895),"")</f>
        <v/>
      </c>
      <c r="AU2895" s="82" t="n">
        <f aca="false">IF(AND(OR(AA2895="R",AA2895="NX",AA2895="NT",AA2895="CO"),OR('JOINTS DE RÉPARATION'!$D$5="TOUTES",B2895='JOINTS DE RÉPARATION'!$D$5),OR('JOINTS DE RÉPARATION'!$L$4="TOUS",AQ2895&lt;&gt;"ACCEPTÉ")),1,0)</f>
        <v>0</v>
      </c>
      <c r="AV2895" s="82" t="str">
        <f aca="false">IF(AU2895=1,SUM(AU$7:AU2895),"")</f>
        <v/>
      </c>
      <c r="AW2895" s="82" t="str">
        <f aca="false">IF(E2895="","",B2895&amp;"|"&amp;E2895)</f>
        <v/>
      </c>
    </row>
    <row r="2896" customFormat="false" ht="15" hidden="false" customHeight="false" outlineLevel="0" collapsed="false">
      <c r="A2896" s="79" t="str">
        <f aca="false">IF(E2896="","",ROW()-6)</f>
        <v/>
      </c>
      <c r="B2896" s="80"/>
      <c r="C2896" s="81"/>
      <c r="D2896" s="81"/>
      <c r="E2896" s="81"/>
      <c r="F2896" s="82" t="str">
        <f aca="false">IF(E2896="","",IF(LEFT(E2896,2)="DJ","DJ","JN"))</f>
        <v/>
      </c>
      <c r="G2896" s="81"/>
      <c r="H2896" s="81"/>
      <c r="I2896" s="81"/>
      <c r="J2896" s="81"/>
      <c r="K2896" s="81"/>
      <c r="L2896" s="81"/>
      <c r="M2896" s="81"/>
      <c r="N2896" s="81"/>
      <c r="O2896" s="81"/>
      <c r="P2896" s="81"/>
      <c r="Q2896" s="81"/>
      <c r="R2896" s="81"/>
      <c r="S2896" s="81"/>
      <c r="T2896" s="81"/>
      <c r="U2896" s="83"/>
      <c r="V2896" s="83"/>
      <c r="W2896" s="81"/>
      <c r="X2896" s="81"/>
      <c r="Y2896" s="83"/>
      <c r="Z2896" s="81"/>
      <c r="AA2896" s="81"/>
      <c r="AB2896" s="81"/>
      <c r="AC2896" s="81"/>
      <c r="AD2896" s="81"/>
      <c r="AE2896" s="83"/>
      <c r="AF2896" s="81"/>
      <c r="AG2896" s="81"/>
      <c r="AH2896" s="81"/>
      <c r="AI2896" s="81"/>
      <c r="AJ2896" s="83"/>
      <c r="AK2896" s="81"/>
      <c r="AL2896" s="81"/>
      <c r="AM2896" s="83"/>
      <c r="AN2896" s="80"/>
      <c r="AO2896" s="82" t="str">
        <f aca="false">IF(E2896="","",(AA2896&lt;&gt;"")+(AG2896&lt;&gt;"")+(AL2896&lt;&gt;""))</f>
        <v/>
      </c>
      <c r="AP2896" s="82" t="str">
        <f aca="false">IF(AL2896&lt;&gt;"",AL2896,IF(AG2896&lt;&gt;"",AG2896,IF(AA2896&lt;&gt;"",AA2896,"")))</f>
        <v/>
      </c>
      <c r="AQ2896" s="84" t="str">
        <f aca="false">IF(E2896="","",IF(U2896="","À SOUDER",IF(X2896="","VT EN ATTENTE",IF(X2896="R","VT REJETÉ – À REPRENDRE",IF(AP2896="","À RADIOGRAPHIER",IF(AP2896="A","ACCEPTÉ",IF(AP2896="NX","NX – RT À REFAIRE",IF(IF(AO2896=1,AD2896,IF(AO2896=2,AI2896,""))="A","RÉPARÉ – À RADIOGRAPHIER",IF(IF(AO2896=1,AD2896,IF(AO2896=2,AI2896,""))="R","VT REJETÉ – À REPRENDRE",IF(OR(AP2896="CO",AP2896="NT"),"COUPE – À RESOUDER","À RÉPARER"))))))))))</f>
        <v/>
      </c>
      <c r="AR2896" s="82" t="str">
        <f aca="false">IF(AND(ISNUMBER(U2896),OR(AQ2896="À RADIOGRAPHIER",AQ2896="RÉPARÉ – À RADIOGRAPHIER",AQ2896="NX – RT À REFAIRE",AQ2896="À RÉPARER",AQ2896="COUPE – À RESOUDER",AQ2896="VT REJETÉ – À REPRENDRE")),MAX(0,'PROGRAMME RT'!$C$4-U2896),"")</f>
        <v/>
      </c>
      <c r="AS2896" s="82" t="n">
        <f aca="false">IF(AND(OR(AQ2896="À RADIOGRAPHIER",AQ2896="RÉPARÉ – À RADIOGRAPHIER",AQ2896="NX – RT À REFAIRE"),OR('PROGRAMME RT'!$D$5="TOUTES",B2896='PROGRAMME RT'!$D$5)),1,0)</f>
        <v>0</v>
      </c>
      <c r="AT2896" s="82" t="str">
        <f aca="false">IF(AS2896=1,SUM(AS$7:AS2896),"")</f>
        <v/>
      </c>
      <c r="AU2896" s="82" t="n">
        <f aca="false">IF(AND(OR(AA2896="R",AA2896="NX",AA2896="NT",AA2896="CO"),OR('JOINTS DE RÉPARATION'!$D$5="TOUTES",B2896='JOINTS DE RÉPARATION'!$D$5),OR('JOINTS DE RÉPARATION'!$L$4="TOUS",AQ2896&lt;&gt;"ACCEPTÉ")),1,0)</f>
        <v>0</v>
      </c>
      <c r="AV2896" s="82" t="str">
        <f aca="false">IF(AU2896=1,SUM(AU$7:AU2896),"")</f>
        <v/>
      </c>
      <c r="AW2896" s="82" t="str">
        <f aca="false">IF(E2896="","",B2896&amp;"|"&amp;E2896)</f>
        <v/>
      </c>
    </row>
    <row r="2897" customFormat="false" ht="15" hidden="false" customHeight="false" outlineLevel="0" collapsed="false">
      <c r="A2897" s="79" t="str">
        <f aca="false">IF(E2897="","",ROW()-6)</f>
        <v/>
      </c>
      <c r="B2897" s="80"/>
      <c r="C2897" s="81"/>
      <c r="D2897" s="81"/>
      <c r="E2897" s="81"/>
      <c r="F2897" s="82" t="str">
        <f aca="false">IF(E2897="","",IF(LEFT(E2897,2)="DJ","DJ","JN"))</f>
        <v/>
      </c>
      <c r="G2897" s="81"/>
      <c r="H2897" s="81"/>
      <c r="I2897" s="81"/>
      <c r="J2897" s="81"/>
      <c r="K2897" s="81"/>
      <c r="L2897" s="81"/>
      <c r="M2897" s="81"/>
      <c r="N2897" s="81"/>
      <c r="O2897" s="81"/>
      <c r="P2897" s="81"/>
      <c r="Q2897" s="81"/>
      <c r="R2897" s="81"/>
      <c r="S2897" s="81"/>
      <c r="T2897" s="81"/>
      <c r="U2897" s="83"/>
      <c r="V2897" s="83"/>
      <c r="W2897" s="81"/>
      <c r="X2897" s="81"/>
      <c r="Y2897" s="83"/>
      <c r="Z2897" s="81"/>
      <c r="AA2897" s="81"/>
      <c r="AB2897" s="81"/>
      <c r="AC2897" s="81"/>
      <c r="AD2897" s="81"/>
      <c r="AE2897" s="83"/>
      <c r="AF2897" s="81"/>
      <c r="AG2897" s="81"/>
      <c r="AH2897" s="81"/>
      <c r="AI2897" s="81"/>
      <c r="AJ2897" s="83"/>
      <c r="AK2897" s="81"/>
      <c r="AL2897" s="81"/>
      <c r="AM2897" s="83"/>
      <c r="AN2897" s="80"/>
      <c r="AO2897" s="82" t="str">
        <f aca="false">IF(E2897="","",(AA2897&lt;&gt;"")+(AG2897&lt;&gt;"")+(AL2897&lt;&gt;""))</f>
        <v/>
      </c>
      <c r="AP2897" s="82" t="str">
        <f aca="false">IF(AL2897&lt;&gt;"",AL2897,IF(AG2897&lt;&gt;"",AG2897,IF(AA2897&lt;&gt;"",AA2897,"")))</f>
        <v/>
      </c>
      <c r="AQ2897" s="84" t="str">
        <f aca="false">IF(E2897="","",IF(U2897="","À SOUDER",IF(X2897="","VT EN ATTENTE",IF(X2897="R","VT REJETÉ – À REPRENDRE",IF(AP2897="","À RADIOGRAPHIER",IF(AP2897="A","ACCEPTÉ",IF(AP2897="NX","NX – RT À REFAIRE",IF(IF(AO2897=1,AD2897,IF(AO2897=2,AI2897,""))="A","RÉPARÉ – À RADIOGRAPHIER",IF(IF(AO2897=1,AD2897,IF(AO2897=2,AI2897,""))="R","VT REJETÉ – À REPRENDRE",IF(OR(AP2897="CO",AP2897="NT"),"COUPE – À RESOUDER","À RÉPARER"))))))))))</f>
        <v/>
      </c>
      <c r="AR2897" s="82" t="str">
        <f aca="false">IF(AND(ISNUMBER(U2897),OR(AQ2897="À RADIOGRAPHIER",AQ2897="RÉPARÉ – À RADIOGRAPHIER",AQ2897="NX – RT À REFAIRE",AQ2897="À RÉPARER",AQ2897="COUPE – À RESOUDER",AQ2897="VT REJETÉ – À REPRENDRE")),MAX(0,'PROGRAMME RT'!$C$4-U2897),"")</f>
        <v/>
      </c>
      <c r="AS2897" s="82" t="n">
        <f aca="false">IF(AND(OR(AQ2897="À RADIOGRAPHIER",AQ2897="RÉPARÉ – À RADIOGRAPHIER",AQ2897="NX – RT À REFAIRE"),OR('PROGRAMME RT'!$D$5="TOUTES",B2897='PROGRAMME RT'!$D$5)),1,0)</f>
        <v>0</v>
      </c>
      <c r="AT2897" s="82" t="str">
        <f aca="false">IF(AS2897=1,SUM(AS$7:AS2897),"")</f>
        <v/>
      </c>
      <c r="AU2897" s="82" t="n">
        <f aca="false">IF(AND(OR(AA2897="R",AA2897="NX",AA2897="NT",AA2897="CO"),OR('JOINTS DE RÉPARATION'!$D$5="TOUTES",B2897='JOINTS DE RÉPARATION'!$D$5),OR('JOINTS DE RÉPARATION'!$L$4="TOUS",AQ2897&lt;&gt;"ACCEPTÉ")),1,0)</f>
        <v>0</v>
      </c>
      <c r="AV2897" s="82" t="str">
        <f aca="false">IF(AU2897=1,SUM(AU$7:AU2897),"")</f>
        <v/>
      </c>
      <c r="AW2897" s="82" t="str">
        <f aca="false">IF(E2897="","",B2897&amp;"|"&amp;E2897)</f>
        <v/>
      </c>
    </row>
    <row r="2898" customFormat="false" ht="15" hidden="false" customHeight="false" outlineLevel="0" collapsed="false">
      <c r="A2898" s="79" t="str">
        <f aca="false">IF(E2898="","",ROW()-6)</f>
        <v/>
      </c>
      <c r="B2898" s="80"/>
      <c r="C2898" s="81"/>
      <c r="D2898" s="81"/>
      <c r="E2898" s="81"/>
      <c r="F2898" s="82" t="str">
        <f aca="false">IF(E2898="","",IF(LEFT(E2898,2)="DJ","DJ","JN"))</f>
        <v/>
      </c>
      <c r="G2898" s="81"/>
      <c r="H2898" s="81"/>
      <c r="I2898" s="81"/>
      <c r="J2898" s="81"/>
      <c r="K2898" s="81"/>
      <c r="L2898" s="81"/>
      <c r="M2898" s="81"/>
      <c r="N2898" s="81"/>
      <c r="O2898" s="81"/>
      <c r="P2898" s="81"/>
      <c r="Q2898" s="81"/>
      <c r="R2898" s="81"/>
      <c r="S2898" s="81"/>
      <c r="T2898" s="81"/>
      <c r="U2898" s="83"/>
      <c r="V2898" s="83"/>
      <c r="W2898" s="81"/>
      <c r="X2898" s="81"/>
      <c r="Y2898" s="83"/>
      <c r="Z2898" s="81"/>
      <c r="AA2898" s="81"/>
      <c r="AB2898" s="81"/>
      <c r="AC2898" s="81"/>
      <c r="AD2898" s="81"/>
      <c r="AE2898" s="83"/>
      <c r="AF2898" s="81"/>
      <c r="AG2898" s="81"/>
      <c r="AH2898" s="81"/>
      <c r="AI2898" s="81"/>
      <c r="AJ2898" s="83"/>
      <c r="AK2898" s="81"/>
      <c r="AL2898" s="81"/>
      <c r="AM2898" s="83"/>
      <c r="AN2898" s="80"/>
      <c r="AO2898" s="82" t="str">
        <f aca="false">IF(E2898="","",(AA2898&lt;&gt;"")+(AG2898&lt;&gt;"")+(AL2898&lt;&gt;""))</f>
        <v/>
      </c>
      <c r="AP2898" s="82" t="str">
        <f aca="false">IF(AL2898&lt;&gt;"",AL2898,IF(AG2898&lt;&gt;"",AG2898,IF(AA2898&lt;&gt;"",AA2898,"")))</f>
        <v/>
      </c>
      <c r="AQ2898" s="84" t="str">
        <f aca="false">IF(E2898="","",IF(U2898="","À SOUDER",IF(X2898="","VT EN ATTENTE",IF(X2898="R","VT REJETÉ – À REPRENDRE",IF(AP2898="","À RADIOGRAPHIER",IF(AP2898="A","ACCEPTÉ",IF(AP2898="NX","NX – RT À REFAIRE",IF(IF(AO2898=1,AD2898,IF(AO2898=2,AI2898,""))="A","RÉPARÉ – À RADIOGRAPHIER",IF(IF(AO2898=1,AD2898,IF(AO2898=2,AI2898,""))="R","VT REJETÉ – À REPRENDRE",IF(OR(AP2898="CO",AP2898="NT"),"COUPE – À RESOUDER","À RÉPARER"))))))))))</f>
        <v/>
      </c>
      <c r="AR2898" s="82" t="str">
        <f aca="false">IF(AND(ISNUMBER(U2898),OR(AQ2898="À RADIOGRAPHIER",AQ2898="RÉPARÉ – À RADIOGRAPHIER",AQ2898="NX – RT À REFAIRE",AQ2898="À RÉPARER",AQ2898="COUPE – À RESOUDER",AQ2898="VT REJETÉ – À REPRENDRE")),MAX(0,'PROGRAMME RT'!$C$4-U2898),"")</f>
        <v/>
      </c>
      <c r="AS2898" s="82" t="n">
        <f aca="false">IF(AND(OR(AQ2898="À RADIOGRAPHIER",AQ2898="RÉPARÉ – À RADIOGRAPHIER",AQ2898="NX – RT À REFAIRE"),OR('PROGRAMME RT'!$D$5="TOUTES",B2898='PROGRAMME RT'!$D$5)),1,0)</f>
        <v>0</v>
      </c>
      <c r="AT2898" s="82" t="str">
        <f aca="false">IF(AS2898=1,SUM(AS$7:AS2898),"")</f>
        <v/>
      </c>
      <c r="AU2898" s="82" t="n">
        <f aca="false">IF(AND(OR(AA2898="R",AA2898="NX",AA2898="NT",AA2898="CO"),OR('JOINTS DE RÉPARATION'!$D$5="TOUTES",B2898='JOINTS DE RÉPARATION'!$D$5),OR('JOINTS DE RÉPARATION'!$L$4="TOUS",AQ2898&lt;&gt;"ACCEPTÉ")),1,0)</f>
        <v>0</v>
      </c>
      <c r="AV2898" s="82" t="str">
        <f aca="false">IF(AU2898=1,SUM(AU$7:AU2898),"")</f>
        <v/>
      </c>
      <c r="AW2898" s="82" t="str">
        <f aca="false">IF(E2898="","",B2898&amp;"|"&amp;E2898)</f>
        <v/>
      </c>
    </row>
    <row r="2899" customFormat="false" ht="15" hidden="false" customHeight="false" outlineLevel="0" collapsed="false">
      <c r="A2899" s="79" t="str">
        <f aca="false">IF(E2899="","",ROW()-6)</f>
        <v/>
      </c>
      <c r="B2899" s="80"/>
      <c r="C2899" s="81"/>
      <c r="D2899" s="81"/>
      <c r="E2899" s="81"/>
      <c r="F2899" s="82" t="str">
        <f aca="false">IF(E2899="","",IF(LEFT(E2899,2)="DJ","DJ","JN"))</f>
        <v/>
      </c>
      <c r="G2899" s="81"/>
      <c r="H2899" s="81"/>
      <c r="I2899" s="81"/>
      <c r="J2899" s="81"/>
      <c r="K2899" s="81"/>
      <c r="L2899" s="81"/>
      <c r="M2899" s="81"/>
      <c r="N2899" s="81"/>
      <c r="O2899" s="81"/>
      <c r="P2899" s="81"/>
      <c r="Q2899" s="81"/>
      <c r="R2899" s="81"/>
      <c r="S2899" s="81"/>
      <c r="T2899" s="81"/>
      <c r="U2899" s="83"/>
      <c r="V2899" s="83"/>
      <c r="W2899" s="81"/>
      <c r="X2899" s="81"/>
      <c r="Y2899" s="83"/>
      <c r="Z2899" s="81"/>
      <c r="AA2899" s="81"/>
      <c r="AB2899" s="81"/>
      <c r="AC2899" s="81"/>
      <c r="AD2899" s="81"/>
      <c r="AE2899" s="83"/>
      <c r="AF2899" s="81"/>
      <c r="AG2899" s="81"/>
      <c r="AH2899" s="81"/>
      <c r="AI2899" s="81"/>
      <c r="AJ2899" s="83"/>
      <c r="AK2899" s="81"/>
      <c r="AL2899" s="81"/>
      <c r="AM2899" s="83"/>
      <c r="AN2899" s="80"/>
      <c r="AO2899" s="82" t="str">
        <f aca="false">IF(E2899="","",(AA2899&lt;&gt;"")+(AG2899&lt;&gt;"")+(AL2899&lt;&gt;""))</f>
        <v/>
      </c>
      <c r="AP2899" s="82" t="str">
        <f aca="false">IF(AL2899&lt;&gt;"",AL2899,IF(AG2899&lt;&gt;"",AG2899,IF(AA2899&lt;&gt;"",AA2899,"")))</f>
        <v/>
      </c>
      <c r="AQ2899" s="84" t="str">
        <f aca="false">IF(E2899="","",IF(U2899="","À SOUDER",IF(X2899="","VT EN ATTENTE",IF(X2899="R","VT REJETÉ – À REPRENDRE",IF(AP2899="","À RADIOGRAPHIER",IF(AP2899="A","ACCEPTÉ",IF(AP2899="NX","NX – RT À REFAIRE",IF(IF(AO2899=1,AD2899,IF(AO2899=2,AI2899,""))="A","RÉPARÉ – À RADIOGRAPHIER",IF(IF(AO2899=1,AD2899,IF(AO2899=2,AI2899,""))="R","VT REJETÉ – À REPRENDRE",IF(OR(AP2899="CO",AP2899="NT"),"COUPE – À RESOUDER","À RÉPARER"))))))))))</f>
        <v/>
      </c>
      <c r="AR2899" s="82" t="str">
        <f aca="false">IF(AND(ISNUMBER(U2899),OR(AQ2899="À RADIOGRAPHIER",AQ2899="RÉPARÉ – À RADIOGRAPHIER",AQ2899="NX – RT À REFAIRE",AQ2899="À RÉPARER",AQ2899="COUPE – À RESOUDER",AQ2899="VT REJETÉ – À REPRENDRE")),MAX(0,'PROGRAMME RT'!$C$4-U2899),"")</f>
        <v/>
      </c>
      <c r="AS2899" s="82" t="n">
        <f aca="false">IF(AND(OR(AQ2899="À RADIOGRAPHIER",AQ2899="RÉPARÉ – À RADIOGRAPHIER",AQ2899="NX – RT À REFAIRE"),OR('PROGRAMME RT'!$D$5="TOUTES",B2899='PROGRAMME RT'!$D$5)),1,0)</f>
        <v>0</v>
      </c>
      <c r="AT2899" s="82" t="str">
        <f aca="false">IF(AS2899=1,SUM(AS$7:AS2899),"")</f>
        <v/>
      </c>
      <c r="AU2899" s="82" t="n">
        <f aca="false">IF(AND(OR(AA2899="R",AA2899="NX",AA2899="NT",AA2899="CO"),OR('JOINTS DE RÉPARATION'!$D$5="TOUTES",B2899='JOINTS DE RÉPARATION'!$D$5),OR('JOINTS DE RÉPARATION'!$L$4="TOUS",AQ2899&lt;&gt;"ACCEPTÉ")),1,0)</f>
        <v>0</v>
      </c>
      <c r="AV2899" s="82" t="str">
        <f aca="false">IF(AU2899=1,SUM(AU$7:AU2899),"")</f>
        <v/>
      </c>
      <c r="AW2899" s="82" t="str">
        <f aca="false">IF(E2899="","",B2899&amp;"|"&amp;E2899)</f>
        <v/>
      </c>
    </row>
    <row r="2900" customFormat="false" ht="15" hidden="false" customHeight="false" outlineLevel="0" collapsed="false">
      <c r="A2900" s="79" t="str">
        <f aca="false">IF(E2900="","",ROW()-6)</f>
        <v/>
      </c>
      <c r="B2900" s="80"/>
      <c r="C2900" s="81"/>
      <c r="D2900" s="81"/>
      <c r="E2900" s="81"/>
      <c r="F2900" s="82" t="str">
        <f aca="false">IF(E2900="","",IF(LEFT(E2900,2)="DJ","DJ","JN"))</f>
        <v/>
      </c>
      <c r="G2900" s="81"/>
      <c r="H2900" s="81"/>
      <c r="I2900" s="81"/>
      <c r="J2900" s="81"/>
      <c r="K2900" s="81"/>
      <c r="L2900" s="81"/>
      <c r="M2900" s="81"/>
      <c r="N2900" s="81"/>
      <c r="O2900" s="81"/>
      <c r="P2900" s="81"/>
      <c r="Q2900" s="81"/>
      <c r="R2900" s="81"/>
      <c r="S2900" s="81"/>
      <c r="T2900" s="81"/>
      <c r="U2900" s="83"/>
      <c r="V2900" s="83"/>
      <c r="W2900" s="81"/>
      <c r="X2900" s="81"/>
      <c r="Y2900" s="83"/>
      <c r="Z2900" s="81"/>
      <c r="AA2900" s="81"/>
      <c r="AB2900" s="81"/>
      <c r="AC2900" s="81"/>
      <c r="AD2900" s="81"/>
      <c r="AE2900" s="83"/>
      <c r="AF2900" s="81"/>
      <c r="AG2900" s="81"/>
      <c r="AH2900" s="81"/>
      <c r="AI2900" s="81"/>
      <c r="AJ2900" s="83"/>
      <c r="AK2900" s="81"/>
      <c r="AL2900" s="81"/>
      <c r="AM2900" s="83"/>
      <c r="AN2900" s="80"/>
      <c r="AO2900" s="82" t="str">
        <f aca="false">IF(E2900="","",(AA2900&lt;&gt;"")+(AG2900&lt;&gt;"")+(AL2900&lt;&gt;""))</f>
        <v/>
      </c>
      <c r="AP2900" s="82" t="str">
        <f aca="false">IF(AL2900&lt;&gt;"",AL2900,IF(AG2900&lt;&gt;"",AG2900,IF(AA2900&lt;&gt;"",AA2900,"")))</f>
        <v/>
      </c>
      <c r="AQ2900" s="84" t="str">
        <f aca="false">IF(E2900="","",IF(U2900="","À SOUDER",IF(X2900="","VT EN ATTENTE",IF(X2900="R","VT REJETÉ – À REPRENDRE",IF(AP2900="","À RADIOGRAPHIER",IF(AP2900="A","ACCEPTÉ",IF(AP2900="NX","NX – RT À REFAIRE",IF(IF(AO2900=1,AD2900,IF(AO2900=2,AI2900,""))="A","RÉPARÉ – À RADIOGRAPHIER",IF(IF(AO2900=1,AD2900,IF(AO2900=2,AI2900,""))="R","VT REJETÉ – À REPRENDRE",IF(OR(AP2900="CO",AP2900="NT"),"COUPE – À RESOUDER","À RÉPARER"))))))))))</f>
        <v/>
      </c>
      <c r="AR2900" s="82" t="str">
        <f aca="false">IF(AND(ISNUMBER(U2900),OR(AQ2900="À RADIOGRAPHIER",AQ2900="RÉPARÉ – À RADIOGRAPHIER",AQ2900="NX – RT À REFAIRE",AQ2900="À RÉPARER",AQ2900="COUPE – À RESOUDER",AQ2900="VT REJETÉ – À REPRENDRE")),MAX(0,'PROGRAMME RT'!$C$4-U2900),"")</f>
        <v/>
      </c>
      <c r="AS2900" s="82" t="n">
        <f aca="false">IF(AND(OR(AQ2900="À RADIOGRAPHIER",AQ2900="RÉPARÉ – À RADIOGRAPHIER",AQ2900="NX – RT À REFAIRE"),OR('PROGRAMME RT'!$D$5="TOUTES",B2900='PROGRAMME RT'!$D$5)),1,0)</f>
        <v>0</v>
      </c>
      <c r="AT2900" s="82" t="str">
        <f aca="false">IF(AS2900=1,SUM(AS$7:AS2900),"")</f>
        <v/>
      </c>
      <c r="AU2900" s="82" t="n">
        <f aca="false">IF(AND(OR(AA2900="R",AA2900="NX",AA2900="NT",AA2900="CO"),OR('JOINTS DE RÉPARATION'!$D$5="TOUTES",B2900='JOINTS DE RÉPARATION'!$D$5),OR('JOINTS DE RÉPARATION'!$L$4="TOUS",AQ2900&lt;&gt;"ACCEPTÉ")),1,0)</f>
        <v>0</v>
      </c>
      <c r="AV2900" s="82" t="str">
        <f aca="false">IF(AU2900=1,SUM(AU$7:AU2900),"")</f>
        <v/>
      </c>
      <c r="AW2900" s="82" t="str">
        <f aca="false">IF(E2900="","",B2900&amp;"|"&amp;E2900)</f>
        <v/>
      </c>
    </row>
    <row r="2901" customFormat="false" ht="15" hidden="false" customHeight="false" outlineLevel="0" collapsed="false">
      <c r="A2901" s="79" t="str">
        <f aca="false">IF(E2901="","",ROW()-6)</f>
        <v/>
      </c>
      <c r="B2901" s="80"/>
      <c r="C2901" s="81"/>
      <c r="D2901" s="81"/>
      <c r="E2901" s="81"/>
      <c r="F2901" s="82" t="str">
        <f aca="false">IF(E2901="","",IF(LEFT(E2901,2)="DJ","DJ","JN"))</f>
        <v/>
      </c>
      <c r="G2901" s="81"/>
      <c r="H2901" s="81"/>
      <c r="I2901" s="81"/>
      <c r="J2901" s="81"/>
      <c r="K2901" s="81"/>
      <c r="L2901" s="81"/>
      <c r="M2901" s="81"/>
      <c r="N2901" s="81"/>
      <c r="O2901" s="81"/>
      <c r="P2901" s="81"/>
      <c r="Q2901" s="81"/>
      <c r="R2901" s="81"/>
      <c r="S2901" s="81"/>
      <c r="T2901" s="81"/>
      <c r="U2901" s="83"/>
      <c r="V2901" s="83"/>
      <c r="W2901" s="81"/>
      <c r="X2901" s="81"/>
      <c r="Y2901" s="83"/>
      <c r="Z2901" s="81"/>
      <c r="AA2901" s="81"/>
      <c r="AB2901" s="81"/>
      <c r="AC2901" s="81"/>
      <c r="AD2901" s="81"/>
      <c r="AE2901" s="83"/>
      <c r="AF2901" s="81"/>
      <c r="AG2901" s="81"/>
      <c r="AH2901" s="81"/>
      <c r="AI2901" s="81"/>
      <c r="AJ2901" s="83"/>
      <c r="AK2901" s="81"/>
      <c r="AL2901" s="81"/>
      <c r="AM2901" s="83"/>
      <c r="AN2901" s="80"/>
      <c r="AO2901" s="82" t="str">
        <f aca="false">IF(E2901="","",(AA2901&lt;&gt;"")+(AG2901&lt;&gt;"")+(AL2901&lt;&gt;""))</f>
        <v/>
      </c>
      <c r="AP2901" s="82" t="str">
        <f aca="false">IF(AL2901&lt;&gt;"",AL2901,IF(AG2901&lt;&gt;"",AG2901,IF(AA2901&lt;&gt;"",AA2901,"")))</f>
        <v/>
      </c>
      <c r="AQ2901" s="84" t="str">
        <f aca="false">IF(E2901="","",IF(U2901="","À SOUDER",IF(X2901="","VT EN ATTENTE",IF(X2901="R","VT REJETÉ – À REPRENDRE",IF(AP2901="","À RADIOGRAPHIER",IF(AP2901="A","ACCEPTÉ",IF(AP2901="NX","NX – RT À REFAIRE",IF(IF(AO2901=1,AD2901,IF(AO2901=2,AI2901,""))="A","RÉPARÉ – À RADIOGRAPHIER",IF(IF(AO2901=1,AD2901,IF(AO2901=2,AI2901,""))="R","VT REJETÉ – À REPRENDRE",IF(OR(AP2901="CO",AP2901="NT"),"COUPE – À RESOUDER","À RÉPARER"))))))))))</f>
        <v/>
      </c>
      <c r="AR2901" s="82" t="str">
        <f aca="false">IF(AND(ISNUMBER(U2901),OR(AQ2901="À RADIOGRAPHIER",AQ2901="RÉPARÉ – À RADIOGRAPHIER",AQ2901="NX – RT À REFAIRE",AQ2901="À RÉPARER",AQ2901="COUPE – À RESOUDER",AQ2901="VT REJETÉ – À REPRENDRE")),MAX(0,'PROGRAMME RT'!$C$4-U2901),"")</f>
        <v/>
      </c>
      <c r="AS2901" s="82" t="n">
        <f aca="false">IF(AND(OR(AQ2901="À RADIOGRAPHIER",AQ2901="RÉPARÉ – À RADIOGRAPHIER",AQ2901="NX – RT À REFAIRE"),OR('PROGRAMME RT'!$D$5="TOUTES",B2901='PROGRAMME RT'!$D$5)),1,0)</f>
        <v>0</v>
      </c>
      <c r="AT2901" s="82" t="str">
        <f aca="false">IF(AS2901=1,SUM(AS$7:AS2901),"")</f>
        <v/>
      </c>
      <c r="AU2901" s="82" t="n">
        <f aca="false">IF(AND(OR(AA2901="R",AA2901="NX",AA2901="NT",AA2901="CO"),OR('JOINTS DE RÉPARATION'!$D$5="TOUTES",B2901='JOINTS DE RÉPARATION'!$D$5),OR('JOINTS DE RÉPARATION'!$L$4="TOUS",AQ2901&lt;&gt;"ACCEPTÉ")),1,0)</f>
        <v>0</v>
      </c>
      <c r="AV2901" s="82" t="str">
        <f aca="false">IF(AU2901=1,SUM(AU$7:AU2901),"")</f>
        <v/>
      </c>
      <c r="AW2901" s="82" t="str">
        <f aca="false">IF(E2901="","",B2901&amp;"|"&amp;E2901)</f>
        <v/>
      </c>
    </row>
    <row r="2902" customFormat="false" ht="15" hidden="false" customHeight="false" outlineLevel="0" collapsed="false">
      <c r="A2902" s="79" t="str">
        <f aca="false">IF(E2902="","",ROW()-6)</f>
        <v/>
      </c>
      <c r="B2902" s="80"/>
      <c r="C2902" s="81"/>
      <c r="D2902" s="81"/>
      <c r="E2902" s="81"/>
      <c r="F2902" s="82" t="str">
        <f aca="false">IF(E2902="","",IF(LEFT(E2902,2)="DJ","DJ","JN"))</f>
        <v/>
      </c>
      <c r="G2902" s="81"/>
      <c r="H2902" s="81"/>
      <c r="I2902" s="81"/>
      <c r="J2902" s="81"/>
      <c r="K2902" s="81"/>
      <c r="L2902" s="81"/>
      <c r="M2902" s="81"/>
      <c r="N2902" s="81"/>
      <c r="O2902" s="81"/>
      <c r="P2902" s="81"/>
      <c r="Q2902" s="81"/>
      <c r="R2902" s="81"/>
      <c r="S2902" s="81"/>
      <c r="T2902" s="81"/>
      <c r="U2902" s="83"/>
      <c r="V2902" s="83"/>
      <c r="W2902" s="81"/>
      <c r="X2902" s="81"/>
      <c r="Y2902" s="83"/>
      <c r="Z2902" s="81"/>
      <c r="AA2902" s="81"/>
      <c r="AB2902" s="81"/>
      <c r="AC2902" s="81"/>
      <c r="AD2902" s="81"/>
      <c r="AE2902" s="83"/>
      <c r="AF2902" s="81"/>
      <c r="AG2902" s="81"/>
      <c r="AH2902" s="81"/>
      <c r="AI2902" s="81"/>
      <c r="AJ2902" s="83"/>
      <c r="AK2902" s="81"/>
      <c r="AL2902" s="81"/>
      <c r="AM2902" s="83"/>
      <c r="AN2902" s="80"/>
      <c r="AO2902" s="82" t="str">
        <f aca="false">IF(E2902="","",(AA2902&lt;&gt;"")+(AG2902&lt;&gt;"")+(AL2902&lt;&gt;""))</f>
        <v/>
      </c>
      <c r="AP2902" s="82" t="str">
        <f aca="false">IF(AL2902&lt;&gt;"",AL2902,IF(AG2902&lt;&gt;"",AG2902,IF(AA2902&lt;&gt;"",AA2902,"")))</f>
        <v/>
      </c>
      <c r="AQ2902" s="84" t="str">
        <f aca="false">IF(E2902="","",IF(U2902="","À SOUDER",IF(X2902="","VT EN ATTENTE",IF(X2902="R","VT REJETÉ – À REPRENDRE",IF(AP2902="","À RADIOGRAPHIER",IF(AP2902="A","ACCEPTÉ",IF(AP2902="NX","NX – RT À REFAIRE",IF(IF(AO2902=1,AD2902,IF(AO2902=2,AI2902,""))="A","RÉPARÉ – À RADIOGRAPHIER",IF(IF(AO2902=1,AD2902,IF(AO2902=2,AI2902,""))="R","VT REJETÉ – À REPRENDRE",IF(OR(AP2902="CO",AP2902="NT"),"COUPE – À RESOUDER","À RÉPARER"))))))))))</f>
        <v/>
      </c>
      <c r="AR2902" s="82" t="str">
        <f aca="false">IF(AND(ISNUMBER(U2902),OR(AQ2902="À RADIOGRAPHIER",AQ2902="RÉPARÉ – À RADIOGRAPHIER",AQ2902="NX – RT À REFAIRE",AQ2902="À RÉPARER",AQ2902="COUPE – À RESOUDER",AQ2902="VT REJETÉ – À REPRENDRE")),MAX(0,'PROGRAMME RT'!$C$4-U2902),"")</f>
        <v/>
      </c>
      <c r="AS2902" s="82" t="n">
        <f aca="false">IF(AND(OR(AQ2902="À RADIOGRAPHIER",AQ2902="RÉPARÉ – À RADIOGRAPHIER",AQ2902="NX – RT À REFAIRE"),OR('PROGRAMME RT'!$D$5="TOUTES",B2902='PROGRAMME RT'!$D$5)),1,0)</f>
        <v>0</v>
      </c>
      <c r="AT2902" s="82" t="str">
        <f aca="false">IF(AS2902=1,SUM(AS$7:AS2902),"")</f>
        <v/>
      </c>
      <c r="AU2902" s="82" t="n">
        <f aca="false">IF(AND(OR(AA2902="R",AA2902="NX",AA2902="NT",AA2902="CO"),OR('JOINTS DE RÉPARATION'!$D$5="TOUTES",B2902='JOINTS DE RÉPARATION'!$D$5),OR('JOINTS DE RÉPARATION'!$L$4="TOUS",AQ2902&lt;&gt;"ACCEPTÉ")),1,0)</f>
        <v>0</v>
      </c>
      <c r="AV2902" s="82" t="str">
        <f aca="false">IF(AU2902=1,SUM(AU$7:AU2902),"")</f>
        <v/>
      </c>
      <c r="AW2902" s="82" t="str">
        <f aca="false">IF(E2902="","",B2902&amp;"|"&amp;E2902)</f>
        <v/>
      </c>
    </row>
    <row r="2903" customFormat="false" ht="15" hidden="false" customHeight="false" outlineLevel="0" collapsed="false">
      <c r="A2903" s="79" t="str">
        <f aca="false">IF(E2903="","",ROW()-6)</f>
        <v/>
      </c>
      <c r="B2903" s="80"/>
      <c r="C2903" s="81"/>
      <c r="D2903" s="81"/>
      <c r="E2903" s="81"/>
      <c r="F2903" s="82" t="str">
        <f aca="false">IF(E2903="","",IF(LEFT(E2903,2)="DJ","DJ","JN"))</f>
        <v/>
      </c>
      <c r="G2903" s="81"/>
      <c r="H2903" s="81"/>
      <c r="I2903" s="81"/>
      <c r="J2903" s="81"/>
      <c r="K2903" s="81"/>
      <c r="L2903" s="81"/>
      <c r="M2903" s="81"/>
      <c r="N2903" s="81"/>
      <c r="O2903" s="81"/>
      <c r="P2903" s="81"/>
      <c r="Q2903" s="81"/>
      <c r="R2903" s="81"/>
      <c r="S2903" s="81"/>
      <c r="T2903" s="81"/>
      <c r="U2903" s="83"/>
      <c r="V2903" s="83"/>
      <c r="W2903" s="81"/>
      <c r="X2903" s="81"/>
      <c r="Y2903" s="83"/>
      <c r="Z2903" s="81"/>
      <c r="AA2903" s="81"/>
      <c r="AB2903" s="81"/>
      <c r="AC2903" s="81"/>
      <c r="AD2903" s="81"/>
      <c r="AE2903" s="83"/>
      <c r="AF2903" s="81"/>
      <c r="AG2903" s="81"/>
      <c r="AH2903" s="81"/>
      <c r="AI2903" s="81"/>
      <c r="AJ2903" s="83"/>
      <c r="AK2903" s="81"/>
      <c r="AL2903" s="81"/>
      <c r="AM2903" s="83"/>
      <c r="AN2903" s="80"/>
      <c r="AO2903" s="82" t="str">
        <f aca="false">IF(E2903="","",(AA2903&lt;&gt;"")+(AG2903&lt;&gt;"")+(AL2903&lt;&gt;""))</f>
        <v/>
      </c>
      <c r="AP2903" s="82" t="str">
        <f aca="false">IF(AL2903&lt;&gt;"",AL2903,IF(AG2903&lt;&gt;"",AG2903,IF(AA2903&lt;&gt;"",AA2903,"")))</f>
        <v/>
      </c>
      <c r="AQ2903" s="84" t="str">
        <f aca="false">IF(E2903="","",IF(U2903="","À SOUDER",IF(X2903="","VT EN ATTENTE",IF(X2903="R","VT REJETÉ – À REPRENDRE",IF(AP2903="","À RADIOGRAPHIER",IF(AP2903="A","ACCEPTÉ",IF(AP2903="NX","NX – RT À REFAIRE",IF(IF(AO2903=1,AD2903,IF(AO2903=2,AI2903,""))="A","RÉPARÉ – À RADIOGRAPHIER",IF(IF(AO2903=1,AD2903,IF(AO2903=2,AI2903,""))="R","VT REJETÉ – À REPRENDRE",IF(OR(AP2903="CO",AP2903="NT"),"COUPE – À RESOUDER","À RÉPARER"))))))))))</f>
        <v/>
      </c>
      <c r="AR2903" s="82" t="str">
        <f aca="false">IF(AND(ISNUMBER(U2903),OR(AQ2903="À RADIOGRAPHIER",AQ2903="RÉPARÉ – À RADIOGRAPHIER",AQ2903="NX – RT À REFAIRE",AQ2903="À RÉPARER",AQ2903="COUPE – À RESOUDER",AQ2903="VT REJETÉ – À REPRENDRE")),MAX(0,'PROGRAMME RT'!$C$4-U2903),"")</f>
        <v/>
      </c>
      <c r="AS2903" s="82" t="n">
        <f aca="false">IF(AND(OR(AQ2903="À RADIOGRAPHIER",AQ2903="RÉPARÉ – À RADIOGRAPHIER",AQ2903="NX – RT À REFAIRE"),OR('PROGRAMME RT'!$D$5="TOUTES",B2903='PROGRAMME RT'!$D$5)),1,0)</f>
        <v>0</v>
      </c>
      <c r="AT2903" s="82" t="str">
        <f aca="false">IF(AS2903=1,SUM(AS$7:AS2903),"")</f>
        <v/>
      </c>
      <c r="AU2903" s="82" t="n">
        <f aca="false">IF(AND(OR(AA2903="R",AA2903="NX",AA2903="NT",AA2903="CO"),OR('JOINTS DE RÉPARATION'!$D$5="TOUTES",B2903='JOINTS DE RÉPARATION'!$D$5),OR('JOINTS DE RÉPARATION'!$L$4="TOUS",AQ2903&lt;&gt;"ACCEPTÉ")),1,0)</f>
        <v>0</v>
      </c>
      <c r="AV2903" s="82" t="str">
        <f aca="false">IF(AU2903=1,SUM(AU$7:AU2903),"")</f>
        <v/>
      </c>
      <c r="AW2903" s="82" t="str">
        <f aca="false">IF(E2903="","",B2903&amp;"|"&amp;E2903)</f>
        <v/>
      </c>
    </row>
    <row r="2904" customFormat="false" ht="15" hidden="false" customHeight="false" outlineLevel="0" collapsed="false">
      <c r="A2904" s="79" t="str">
        <f aca="false">IF(E2904="","",ROW()-6)</f>
        <v/>
      </c>
      <c r="B2904" s="80"/>
      <c r="C2904" s="81"/>
      <c r="D2904" s="81"/>
      <c r="E2904" s="81"/>
      <c r="F2904" s="82" t="str">
        <f aca="false">IF(E2904="","",IF(LEFT(E2904,2)="DJ","DJ","JN"))</f>
        <v/>
      </c>
      <c r="G2904" s="81"/>
      <c r="H2904" s="81"/>
      <c r="I2904" s="81"/>
      <c r="J2904" s="81"/>
      <c r="K2904" s="81"/>
      <c r="L2904" s="81"/>
      <c r="M2904" s="81"/>
      <c r="N2904" s="81"/>
      <c r="O2904" s="81"/>
      <c r="P2904" s="81"/>
      <c r="Q2904" s="81"/>
      <c r="R2904" s="81"/>
      <c r="S2904" s="81"/>
      <c r="T2904" s="81"/>
      <c r="U2904" s="83"/>
      <c r="V2904" s="83"/>
      <c r="W2904" s="81"/>
      <c r="X2904" s="81"/>
      <c r="Y2904" s="83"/>
      <c r="Z2904" s="81"/>
      <c r="AA2904" s="81"/>
      <c r="AB2904" s="81"/>
      <c r="AC2904" s="81"/>
      <c r="AD2904" s="81"/>
      <c r="AE2904" s="83"/>
      <c r="AF2904" s="81"/>
      <c r="AG2904" s="81"/>
      <c r="AH2904" s="81"/>
      <c r="AI2904" s="81"/>
      <c r="AJ2904" s="83"/>
      <c r="AK2904" s="81"/>
      <c r="AL2904" s="81"/>
      <c r="AM2904" s="83"/>
      <c r="AN2904" s="80"/>
      <c r="AO2904" s="82" t="str">
        <f aca="false">IF(E2904="","",(AA2904&lt;&gt;"")+(AG2904&lt;&gt;"")+(AL2904&lt;&gt;""))</f>
        <v/>
      </c>
      <c r="AP2904" s="82" t="str">
        <f aca="false">IF(AL2904&lt;&gt;"",AL2904,IF(AG2904&lt;&gt;"",AG2904,IF(AA2904&lt;&gt;"",AA2904,"")))</f>
        <v/>
      </c>
      <c r="AQ2904" s="84" t="str">
        <f aca="false">IF(E2904="","",IF(U2904="","À SOUDER",IF(X2904="","VT EN ATTENTE",IF(X2904="R","VT REJETÉ – À REPRENDRE",IF(AP2904="","À RADIOGRAPHIER",IF(AP2904="A","ACCEPTÉ",IF(AP2904="NX","NX – RT À REFAIRE",IF(IF(AO2904=1,AD2904,IF(AO2904=2,AI2904,""))="A","RÉPARÉ – À RADIOGRAPHIER",IF(IF(AO2904=1,AD2904,IF(AO2904=2,AI2904,""))="R","VT REJETÉ – À REPRENDRE",IF(OR(AP2904="CO",AP2904="NT"),"COUPE – À RESOUDER","À RÉPARER"))))))))))</f>
        <v/>
      </c>
      <c r="AR2904" s="82" t="str">
        <f aca="false">IF(AND(ISNUMBER(U2904),OR(AQ2904="À RADIOGRAPHIER",AQ2904="RÉPARÉ – À RADIOGRAPHIER",AQ2904="NX – RT À REFAIRE",AQ2904="À RÉPARER",AQ2904="COUPE – À RESOUDER",AQ2904="VT REJETÉ – À REPRENDRE")),MAX(0,'PROGRAMME RT'!$C$4-U2904),"")</f>
        <v/>
      </c>
      <c r="AS2904" s="82" t="n">
        <f aca="false">IF(AND(OR(AQ2904="À RADIOGRAPHIER",AQ2904="RÉPARÉ – À RADIOGRAPHIER",AQ2904="NX – RT À REFAIRE"),OR('PROGRAMME RT'!$D$5="TOUTES",B2904='PROGRAMME RT'!$D$5)),1,0)</f>
        <v>0</v>
      </c>
      <c r="AT2904" s="82" t="str">
        <f aca="false">IF(AS2904=1,SUM(AS$7:AS2904),"")</f>
        <v/>
      </c>
      <c r="AU2904" s="82" t="n">
        <f aca="false">IF(AND(OR(AA2904="R",AA2904="NX",AA2904="NT",AA2904="CO"),OR('JOINTS DE RÉPARATION'!$D$5="TOUTES",B2904='JOINTS DE RÉPARATION'!$D$5),OR('JOINTS DE RÉPARATION'!$L$4="TOUS",AQ2904&lt;&gt;"ACCEPTÉ")),1,0)</f>
        <v>0</v>
      </c>
      <c r="AV2904" s="82" t="str">
        <f aca="false">IF(AU2904=1,SUM(AU$7:AU2904),"")</f>
        <v/>
      </c>
      <c r="AW2904" s="82" t="str">
        <f aca="false">IF(E2904="","",B2904&amp;"|"&amp;E2904)</f>
        <v/>
      </c>
    </row>
    <row r="2905" customFormat="false" ht="15" hidden="false" customHeight="false" outlineLevel="0" collapsed="false">
      <c r="A2905" s="79" t="str">
        <f aca="false">IF(E2905="","",ROW()-6)</f>
        <v/>
      </c>
      <c r="B2905" s="80"/>
      <c r="C2905" s="81"/>
      <c r="D2905" s="81"/>
      <c r="E2905" s="81"/>
      <c r="F2905" s="82" t="str">
        <f aca="false">IF(E2905="","",IF(LEFT(E2905,2)="DJ","DJ","JN"))</f>
        <v/>
      </c>
      <c r="G2905" s="81"/>
      <c r="H2905" s="81"/>
      <c r="I2905" s="81"/>
      <c r="J2905" s="81"/>
      <c r="K2905" s="81"/>
      <c r="L2905" s="81"/>
      <c r="M2905" s="81"/>
      <c r="N2905" s="81"/>
      <c r="O2905" s="81"/>
      <c r="P2905" s="81"/>
      <c r="Q2905" s="81"/>
      <c r="R2905" s="81"/>
      <c r="S2905" s="81"/>
      <c r="T2905" s="81"/>
      <c r="U2905" s="83"/>
      <c r="V2905" s="83"/>
      <c r="W2905" s="81"/>
      <c r="X2905" s="81"/>
      <c r="Y2905" s="83"/>
      <c r="Z2905" s="81"/>
      <c r="AA2905" s="81"/>
      <c r="AB2905" s="81"/>
      <c r="AC2905" s="81"/>
      <c r="AD2905" s="81"/>
      <c r="AE2905" s="83"/>
      <c r="AF2905" s="81"/>
      <c r="AG2905" s="81"/>
      <c r="AH2905" s="81"/>
      <c r="AI2905" s="81"/>
      <c r="AJ2905" s="83"/>
      <c r="AK2905" s="81"/>
      <c r="AL2905" s="81"/>
      <c r="AM2905" s="83"/>
      <c r="AN2905" s="80"/>
      <c r="AO2905" s="82" t="str">
        <f aca="false">IF(E2905="","",(AA2905&lt;&gt;"")+(AG2905&lt;&gt;"")+(AL2905&lt;&gt;""))</f>
        <v/>
      </c>
      <c r="AP2905" s="82" t="str">
        <f aca="false">IF(AL2905&lt;&gt;"",AL2905,IF(AG2905&lt;&gt;"",AG2905,IF(AA2905&lt;&gt;"",AA2905,"")))</f>
        <v/>
      </c>
      <c r="AQ2905" s="84" t="str">
        <f aca="false">IF(E2905="","",IF(U2905="","À SOUDER",IF(X2905="","VT EN ATTENTE",IF(X2905="R","VT REJETÉ – À REPRENDRE",IF(AP2905="","À RADIOGRAPHIER",IF(AP2905="A","ACCEPTÉ",IF(AP2905="NX","NX – RT À REFAIRE",IF(IF(AO2905=1,AD2905,IF(AO2905=2,AI2905,""))="A","RÉPARÉ – À RADIOGRAPHIER",IF(IF(AO2905=1,AD2905,IF(AO2905=2,AI2905,""))="R","VT REJETÉ – À REPRENDRE",IF(OR(AP2905="CO",AP2905="NT"),"COUPE – À RESOUDER","À RÉPARER"))))))))))</f>
        <v/>
      </c>
      <c r="AR2905" s="82" t="str">
        <f aca="false">IF(AND(ISNUMBER(U2905),OR(AQ2905="À RADIOGRAPHIER",AQ2905="RÉPARÉ – À RADIOGRAPHIER",AQ2905="NX – RT À REFAIRE",AQ2905="À RÉPARER",AQ2905="COUPE – À RESOUDER",AQ2905="VT REJETÉ – À REPRENDRE")),MAX(0,'PROGRAMME RT'!$C$4-U2905),"")</f>
        <v/>
      </c>
      <c r="AS2905" s="82" t="n">
        <f aca="false">IF(AND(OR(AQ2905="À RADIOGRAPHIER",AQ2905="RÉPARÉ – À RADIOGRAPHIER",AQ2905="NX – RT À REFAIRE"),OR('PROGRAMME RT'!$D$5="TOUTES",B2905='PROGRAMME RT'!$D$5)),1,0)</f>
        <v>0</v>
      </c>
      <c r="AT2905" s="82" t="str">
        <f aca="false">IF(AS2905=1,SUM(AS$7:AS2905),"")</f>
        <v/>
      </c>
      <c r="AU2905" s="82" t="n">
        <f aca="false">IF(AND(OR(AA2905="R",AA2905="NX",AA2905="NT",AA2905="CO"),OR('JOINTS DE RÉPARATION'!$D$5="TOUTES",B2905='JOINTS DE RÉPARATION'!$D$5),OR('JOINTS DE RÉPARATION'!$L$4="TOUS",AQ2905&lt;&gt;"ACCEPTÉ")),1,0)</f>
        <v>0</v>
      </c>
      <c r="AV2905" s="82" t="str">
        <f aca="false">IF(AU2905=1,SUM(AU$7:AU2905),"")</f>
        <v/>
      </c>
      <c r="AW2905" s="82" t="str">
        <f aca="false">IF(E2905="","",B2905&amp;"|"&amp;E2905)</f>
        <v/>
      </c>
    </row>
    <row r="2906" customFormat="false" ht="15" hidden="false" customHeight="false" outlineLevel="0" collapsed="false">
      <c r="A2906" s="79" t="str">
        <f aca="false">IF(E2906="","",ROW()-6)</f>
        <v/>
      </c>
      <c r="B2906" s="80"/>
      <c r="C2906" s="81"/>
      <c r="D2906" s="81"/>
      <c r="E2906" s="81"/>
      <c r="F2906" s="82" t="str">
        <f aca="false">IF(E2906="","",IF(LEFT(E2906,2)="DJ","DJ","JN"))</f>
        <v/>
      </c>
      <c r="G2906" s="81"/>
      <c r="H2906" s="81"/>
      <c r="I2906" s="81"/>
      <c r="J2906" s="81"/>
      <c r="K2906" s="81"/>
      <c r="L2906" s="81"/>
      <c r="M2906" s="81"/>
      <c r="N2906" s="81"/>
      <c r="O2906" s="81"/>
      <c r="P2906" s="81"/>
      <c r="Q2906" s="81"/>
      <c r="R2906" s="81"/>
      <c r="S2906" s="81"/>
      <c r="T2906" s="81"/>
      <c r="U2906" s="83"/>
      <c r="V2906" s="83"/>
      <c r="W2906" s="81"/>
      <c r="X2906" s="81"/>
      <c r="Y2906" s="83"/>
      <c r="Z2906" s="81"/>
      <c r="AA2906" s="81"/>
      <c r="AB2906" s="81"/>
      <c r="AC2906" s="81"/>
      <c r="AD2906" s="81"/>
      <c r="AE2906" s="83"/>
      <c r="AF2906" s="81"/>
      <c r="AG2906" s="81"/>
      <c r="AH2906" s="81"/>
      <c r="AI2906" s="81"/>
      <c r="AJ2906" s="83"/>
      <c r="AK2906" s="81"/>
      <c r="AL2906" s="81"/>
      <c r="AM2906" s="83"/>
      <c r="AN2906" s="80"/>
      <c r="AO2906" s="82" t="str">
        <f aca="false">IF(E2906="","",(AA2906&lt;&gt;"")+(AG2906&lt;&gt;"")+(AL2906&lt;&gt;""))</f>
        <v/>
      </c>
      <c r="AP2906" s="82" t="str">
        <f aca="false">IF(AL2906&lt;&gt;"",AL2906,IF(AG2906&lt;&gt;"",AG2906,IF(AA2906&lt;&gt;"",AA2906,"")))</f>
        <v/>
      </c>
      <c r="AQ2906" s="84" t="str">
        <f aca="false">IF(E2906="","",IF(U2906="","À SOUDER",IF(X2906="","VT EN ATTENTE",IF(X2906="R","VT REJETÉ – À REPRENDRE",IF(AP2906="","À RADIOGRAPHIER",IF(AP2906="A","ACCEPTÉ",IF(AP2906="NX","NX – RT À REFAIRE",IF(IF(AO2906=1,AD2906,IF(AO2906=2,AI2906,""))="A","RÉPARÉ – À RADIOGRAPHIER",IF(IF(AO2906=1,AD2906,IF(AO2906=2,AI2906,""))="R","VT REJETÉ – À REPRENDRE",IF(OR(AP2906="CO",AP2906="NT"),"COUPE – À RESOUDER","À RÉPARER"))))))))))</f>
        <v/>
      </c>
      <c r="AR2906" s="82" t="str">
        <f aca="false">IF(AND(ISNUMBER(U2906),OR(AQ2906="À RADIOGRAPHIER",AQ2906="RÉPARÉ – À RADIOGRAPHIER",AQ2906="NX – RT À REFAIRE",AQ2906="À RÉPARER",AQ2906="COUPE – À RESOUDER",AQ2906="VT REJETÉ – À REPRENDRE")),MAX(0,'PROGRAMME RT'!$C$4-U2906),"")</f>
        <v/>
      </c>
      <c r="AS2906" s="82" t="n">
        <f aca="false">IF(AND(OR(AQ2906="À RADIOGRAPHIER",AQ2906="RÉPARÉ – À RADIOGRAPHIER",AQ2906="NX – RT À REFAIRE"),OR('PROGRAMME RT'!$D$5="TOUTES",B2906='PROGRAMME RT'!$D$5)),1,0)</f>
        <v>0</v>
      </c>
      <c r="AT2906" s="82" t="str">
        <f aca="false">IF(AS2906=1,SUM(AS$7:AS2906),"")</f>
        <v/>
      </c>
      <c r="AU2906" s="82" t="n">
        <f aca="false">IF(AND(OR(AA2906="R",AA2906="NX",AA2906="NT",AA2906="CO"),OR('JOINTS DE RÉPARATION'!$D$5="TOUTES",B2906='JOINTS DE RÉPARATION'!$D$5),OR('JOINTS DE RÉPARATION'!$L$4="TOUS",AQ2906&lt;&gt;"ACCEPTÉ")),1,0)</f>
        <v>0</v>
      </c>
      <c r="AV2906" s="82" t="str">
        <f aca="false">IF(AU2906=1,SUM(AU$7:AU2906),"")</f>
        <v/>
      </c>
      <c r="AW2906" s="82" t="str">
        <f aca="false">IF(E2906="","",B2906&amp;"|"&amp;E2906)</f>
        <v/>
      </c>
    </row>
    <row r="2907" customFormat="false" ht="15" hidden="false" customHeight="false" outlineLevel="0" collapsed="false">
      <c r="A2907" s="79" t="str">
        <f aca="false">IF(E2907="","",ROW()-6)</f>
        <v/>
      </c>
      <c r="B2907" s="80"/>
      <c r="C2907" s="81"/>
      <c r="D2907" s="81"/>
      <c r="E2907" s="81"/>
      <c r="F2907" s="82" t="str">
        <f aca="false">IF(E2907="","",IF(LEFT(E2907,2)="DJ","DJ","JN"))</f>
        <v/>
      </c>
      <c r="G2907" s="81"/>
      <c r="H2907" s="81"/>
      <c r="I2907" s="81"/>
      <c r="J2907" s="81"/>
      <c r="K2907" s="81"/>
      <c r="L2907" s="81"/>
      <c r="M2907" s="81"/>
      <c r="N2907" s="81"/>
      <c r="O2907" s="81"/>
      <c r="P2907" s="81"/>
      <c r="Q2907" s="81"/>
      <c r="R2907" s="81"/>
      <c r="S2907" s="81"/>
      <c r="T2907" s="81"/>
      <c r="U2907" s="83"/>
      <c r="V2907" s="83"/>
      <c r="W2907" s="81"/>
      <c r="X2907" s="81"/>
      <c r="Y2907" s="83"/>
      <c r="Z2907" s="81"/>
      <c r="AA2907" s="81"/>
      <c r="AB2907" s="81"/>
      <c r="AC2907" s="81"/>
      <c r="AD2907" s="81"/>
      <c r="AE2907" s="83"/>
      <c r="AF2907" s="81"/>
      <c r="AG2907" s="81"/>
      <c r="AH2907" s="81"/>
      <c r="AI2907" s="81"/>
      <c r="AJ2907" s="83"/>
      <c r="AK2907" s="81"/>
      <c r="AL2907" s="81"/>
      <c r="AM2907" s="83"/>
      <c r="AN2907" s="80"/>
      <c r="AO2907" s="82" t="str">
        <f aca="false">IF(E2907="","",(AA2907&lt;&gt;"")+(AG2907&lt;&gt;"")+(AL2907&lt;&gt;""))</f>
        <v/>
      </c>
      <c r="AP2907" s="82" t="str">
        <f aca="false">IF(AL2907&lt;&gt;"",AL2907,IF(AG2907&lt;&gt;"",AG2907,IF(AA2907&lt;&gt;"",AA2907,"")))</f>
        <v/>
      </c>
      <c r="AQ2907" s="84" t="str">
        <f aca="false">IF(E2907="","",IF(U2907="","À SOUDER",IF(X2907="","VT EN ATTENTE",IF(X2907="R","VT REJETÉ – À REPRENDRE",IF(AP2907="","À RADIOGRAPHIER",IF(AP2907="A","ACCEPTÉ",IF(AP2907="NX","NX – RT À REFAIRE",IF(IF(AO2907=1,AD2907,IF(AO2907=2,AI2907,""))="A","RÉPARÉ – À RADIOGRAPHIER",IF(IF(AO2907=1,AD2907,IF(AO2907=2,AI2907,""))="R","VT REJETÉ – À REPRENDRE",IF(OR(AP2907="CO",AP2907="NT"),"COUPE – À RESOUDER","À RÉPARER"))))))))))</f>
        <v/>
      </c>
      <c r="AR2907" s="82" t="str">
        <f aca="false">IF(AND(ISNUMBER(U2907),OR(AQ2907="À RADIOGRAPHIER",AQ2907="RÉPARÉ – À RADIOGRAPHIER",AQ2907="NX – RT À REFAIRE",AQ2907="À RÉPARER",AQ2907="COUPE – À RESOUDER",AQ2907="VT REJETÉ – À REPRENDRE")),MAX(0,'PROGRAMME RT'!$C$4-U2907),"")</f>
        <v/>
      </c>
      <c r="AS2907" s="82" t="n">
        <f aca="false">IF(AND(OR(AQ2907="À RADIOGRAPHIER",AQ2907="RÉPARÉ – À RADIOGRAPHIER",AQ2907="NX – RT À REFAIRE"),OR('PROGRAMME RT'!$D$5="TOUTES",B2907='PROGRAMME RT'!$D$5)),1,0)</f>
        <v>0</v>
      </c>
      <c r="AT2907" s="82" t="str">
        <f aca="false">IF(AS2907=1,SUM(AS$7:AS2907),"")</f>
        <v/>
      </c>
      <c r="AU2907" s="82" t="n">
        <f aca="false">IF(AND(OR(AA2907="R",AA2907="NX",AA2907="NT",AA2907="CO"),OR('JOINTS DE RÉPARATION'!$D$5="TOUTES",B2907='JOINTS DE RÉPARATION'!$D$5),OR('JOINTS DE RÉPARATION'!$L$4="TOUS",AQ2907&lt;&gt;"ACCEPTÉ")),1,0)</f>
        <v>0</v>
      </c>
      <c r="AV2907" s="82" t="str">
        <f aca="false">IF(AU2907=1,SUM(AU$7:AU2907),"")</f>
        <v/>
      </c>
      <c r="AW2907" s="82" t="str">
        <f aca="false">IF(E2907="","",B2907&amp;"|"&amp;E2907)</f>
        <v/>
      </c>
    </row>
    <row r="2908" customFormat="false" ht="15" hidden="false" customHeight="false" outlineLevel="0" collapsed="false">
      <c r="A2908" s="79" t="str">
        <f aca="false">IF(E2908="","",ROW()-6)</f>
        <v/>
      </c>
      <c r="B2908" s="80"/>
      <c r="C2908" s="81"/>
      <c r="D2908" s="81"/>
      <c r="E2908" s="81"/>
      <c r="F2908" s="82" t="str">
        <f aca="false">IF(E2908="","",IF(LEFT(E2908,2)="DJ","DJ","JN"))</f>
        <v/>
      </c>
      <c r="G2908" s="81"/>
      <c r="H2908" s="81"/>
      <c r="I2908" s="81"/>
      <c r="J2908" s="81"/>
      <c r="K2908" s="81"/>
      <c r="L2908" s="81"/>
      <c r="M2908" s="81"/>
      <c r="N2908" s="81"/>
      <c r="O2908" s="81"/>
      <c r="P2908" s="81"/>
      <c r="Q2908" s="81"/>
      <c r="R2908" s="81"/>
      <c r="S2908" s="81"/>
      <c r="T2908" s="81"/>
      <c r="U2908" s="83"/>
      <c r="V2908" s="83"/>
      <c r="W2908" s="81"/>
      <c r="X2908" s="81"/>
      <c r="Y2908" s="83"/>
      <c r="Z2908" s="81"/>
      <c r="AA2908" s="81"/>
      <c r="AB2908" s="81"/>
      <c r="AC2908" s="81"/>
      <c r="AD2908" s="81"/>
      <c r="AE2908" s="83"/>
      <c r="AF2908" s="81"/>
      <c r="AG2908" s="81"/>
      <c r="AH2908" s="81"/>
      <c r="AI2908" s="81"/>
      <c r="AJ2908" s="83"/>
      <c r="AK2908" s="81"/>
      <c r="AL2908" s="81"/>
      <c r="AM2908" s="83"/>
      <c r="AN2908" s="80"/>
      <c r="AO2908" s="82" t="str">
        <f aca="false">IF(E2908="","",(AA2908&lt;&gt;"")+(AG2908&lt;&gt;"")+(AL2908&lt;&gt;""))</f>
        <v/>
      </c>
      <c r="AP2908" s="82" t="str">
        <f aca="false">IF(AL2908&lt;&gt;"",AL2908,IF(AG2908&lt;&gt;"",AG2908,IF(AA2908&lt;&gt;"",AA2908,"")))</f>
        <v/>
      </c>
      <c r="AQ2908" s="84" t="str">
        <f aca="false">IF(E2908="","",IF(U2908="","À SOUDER",IF(X2908="","VT EN ATTENTE",IF(X2908="R","VT REJETÉ – À REPRENDRE",IF(AP2908="","À RADIOGRAPHIER",IF(AP2908="A","ACCEPTÉ",IF(AP2908="NX","NX – RT À REFAIRE",IF(IF(AO2908=1,AD2908,IF(AO2908=2,AI2908,""))="A","RÉPARÉ – À RADIOGRAPHIER",IF(IF(AO2908=1,AD2908,IF(AO2908=2,AI2908,""))="R","VT REJETÉ – À REPRENDRE",IF(OR(AP2908="CO",AP2908="NT"),"COUPE – À RESOUDER","À RÉPARER"))))))))))</f>
        <v/>
      </c>
      <c r="AR2908" s="82" t="str">
        <f aca="false">IF(AND(ISNUMBER(U2908),OR(AQ2908="À RADIOGRAPHIER",AQ2908="RÉPARÉ – À RADIOGRAPHIER",AQ2908="NX – RT À REFAIRE",AQ2908="À RÉPARER",AQ2908="COUPE – À RESOUDER",AQ2908="VT REJETÉ – À REPRENDRE")),MAX(0,'PROGRAMME RT'!$C$4-U2908),"")</f>
        <v/>
      </c>
      <c r="AS2908" s="82" t="n">
        <f aca="false">IF(AND(OR(AQ2908="À RADIOGRAPHIER",AQ2908="RÉPARÉ – À RADIOGRAPHIER",AQ2908="NX – RT À REFAIRE"),OR('PROGRAMME RT'!$D$5="TOUTES",B2908='PROGRAMME RT'!$D$5)),1,0)</f>
        <v>0</v>
      </c>
      <c r="AT2908" s="82" t="str">
        <f aca="false">IF(AS2908=1,SUM(AS$7:AS2908),"")</f>
        <v/>
      </c>
      <c r="AU2908" s="82" t="n">
        <f aca="false">IF(AND(OR(AA2908="R",AA2908="NX",AA2908="NT",AA2908="CO"),OR('JOINTS DE RÉPARATION'!$D$5="TOUTES",B2908='JOINTS DE RÉPARATION'!$D$5),OR('JOINTS DE RÉPARATION'!$L$4="TOUS",AQ2908&lt;&gt;"ACCEPTÉ")),1,0)</f>
        <v>0</v>
      </c>
      <c r="AV2908" s="82" t="str">
        <f aca="false">IF(AU2908=1,SUM(AU$7:AU2908),"")</f>
        <v/>
      </c>
      <c r="AW2908" s="82" t="str">
        <f aca="false">IF(E2908="","",B2908&amp;"|"&amp;E2908)</f>
        <v/>
      </c>
    </row>
    <row r="2909" customFormat="false" ht="15" hidden="false" customHeight="false" outlineLevel="0" collapsed="false">
      <c r="A2909" s="79" t="str">
        <f aca="false">IF(E2909="","",ROW()-6)</f>
        <v/>
      </c>
      <c r="B2909" s="80"/>
      <c r="C2909" s="81"/>
      <c r="D2909" s="81"/>
      <c r="E2909" s="81"/>
      <c r="F2909" s="82" t="str">
        <f aca="false">IF(E2909="","",IF(LEFT(E2909,2)="DJ","DJ","JN"))</f>
        <v/>
      </c>
      <c r="G2909" s="81"/>
      <c r="H2909" s="81"/>
      <c r="I2909" s="81"/>
      <c r="J2909" s="81"/>
      <c r="K2909" s="81"/>
      <c r="L2909" s="81"/>
      <c r="M2909" s="81"/>
      <c r="N2909" s="81"/>
      <c r="O2909" s="81"/>
      <c r="P2909" s="81"/>
      <c r="Q2909" s="81"/>
      <c r="R2909" s="81"/>
      <c r="S2909" s="81"/>
      <c r="T2909" s="81"/>
      <c r="U2909" s="83"/>
      <c r="V2909" s="83"/>
      <c r="W2909" s="81"/>
      <c r="X2909" s="81"/>
      <c r="Y2909" s="83"/>
      <c r="Z2909" s="81"/>
      <c r="AA2909" s="81"/>
      <c r="AB2909" s="81"/>
      <c r="AC2909" s="81"/>
      <c r="AD2909" s="81"/>
      <c r="AE2909" s="83"/>
      <c r="AF2909" s="81"/>
      <c r="AG2909" s="81"/>
      <c r="AH2909" s="81"/>
      <c r="AI2909" s="81"/>
      <c r="AJ2909" s="83"/>
      <c r="AK2909" s="81"/>
      <c r="AL2909" s="81"/>
      <c r="AM2909" s="83"/>
      <c r="AN2909" s="80"/>
      <c r="AO2909" s="82" t="str">
        <f aca="false">IF(E2909="","",(AA2909&lt;&gt;"")+(AG2909&lt;&gt;"")+(AL2909&lt;&gt;""))</f>
        <v/>
      </c>
      <c r="AP2909" s="82" t="str">
        <f aca="false">IF(AL2909&lt;&gt;"",AL2909,IF(AG2909&lt;&gt;"",AG2909,IF(AA2909&lt;&gt;"",AA2909,"")))</f>
        <v/>
      </c>
      <c r="AQ2909" s="84" t="str">
        <f aca="false">IF(E2909="","",IF(U2909="","À SOUDER",IF(X2909="","VT EN ATTENTE",IF(X2909="R","VT REJETÉ – À REPRENDRE",IF(AP2909="","À RADIOGRAPHIER",IF(AP2909="A","ACCEPTÉ",IF(AP2909="NX","NX – RT À REFAIRE",IF(IF(AO2909=1,AD2909,IF(AO2909=2,AI2909,""))="A","RÉPARÉ – À RADIOGRAPHIER",IF(IF(AO2909=1,AD2909,IF(AO2909=2,AI2909,""))="R","VT REJETÉ – À REPRENDRE",IF(OR(AP2909="CO",AP2909="NT"),"COUPE – À RESOUDER","À RÉPARER"))))))))))</f>
        <v/>
      </c>
      <c r="AR2909" s="82" t="str">
        <f aca="false">IF(AND(ISNUMBER(U2909),OR(AQ2909="À RADIOGRAPHIER",AQ2909="RÉPARÉ – À RADIOGRAPHIER",AQ2909="NX – RT À REFAIRE",AQ2909="À RÉPARER",AQ2909="COUPE – À RESOUDER",AQ2909="VT REJETÉ – À REPRENDRE")),MAX(0,'PROGRAMME RT'!$C$4-U2909),"")</f>
        <v/>
      </c>
      <c r="AS2909" s="82" t="n">
        <f aca="false">IF(AND(OR(AQ2909="À RADIOGRAPHIER",AQ2909="RÉPARÉ – À RADIOGRAPHIER",AQ2909="NX – RT À REFAIRE"),OR('PROGRAMME RT'!$D$5="TOUTES",B2909='PROGRAMME RT'!$D$5)),1,0)</f>
        <v>0</v>
      </c>
      <c r="AT2909" s="82" t="str">
        <f aca="false">IF(AS2909=1,SUM(AS$7:AS2909),"")</f>
        <v/>
      </c>
      <c r="AU2909" s="82" t="n">
        <f aca="false">IF(AND(OR(AA2909="R",AA2909="NX",AA2909="NT",AA2909="CO"),OR('JOINTS DE RÉPARATION'!$D$5="TOUTES",B2909='JOINTS DE RÉPARATION'!$D$5),OR('JOINTS DE RÉPARATION'!$L$4="TOUS",AQ2909&lt;&gt;"ACCEPTÉ")),1,0)</f>
        <v>0</v>
      </c>
      <c r="AV2909" s="82" t="str">
        <f aca="false">IF(AU2909=1,SUM(AU$7:AU2909),"")</f>
        <v/>
      </c>
      <c r="AW2909" s="82" t="str">
        <f aca="false">IF(E2909="","",B2909&amp;"|"&amp;E2909)</f>
        <v/>
      </c>
    </row>
    <row r="2910" customFormat="false" ht="15" hidden="false" customHeight="false" outlineLevel="0" collapsed="false">
      <c r="A2910" s="79" t="str">
        <f aca="false">IF(E2910="","",ROW()-6)</f>
        <v/>
      </c>
      <c r="B2910" s="80"/>
      <c r="C2910" s="81"/>
      <c r="D2910" s="81"/>
      <c r="E2910" s="81"/>
      <c r="F2910" s="82" t="str">
        <f aca="false">IF(E2910="","",IF(LEFT(E2910,2)="DJ","DJ","JN"))</f>
        <v/>
      </c>
      <c r="G2910" s="81"/>
      <c r="H2910" s="81"/>
      <c r="I2910" s="81"/>
      <c r="J2910" s="81"/>
      <c r="K2910" s="81"/>
      <c r="L2910" s="81"/>
      <c r="M2910" s="81"/>
      <c r="N2910" s="81"/>
      <c r="O2910" s="81"/>
      <c r="P2910" s="81"/>
      <c r="Q2910" s="81"/>
      <c r="R2910" s="81"/>
      <c r="S2910" s="81"/>
      <c r="T2910" s="81"/>
      <c r="U2910" s="83"/>
      <c r="V2910" s="83"/>
      <c r="W2910" s="81"/>
      <c r="X2910" s="81"/>
      <c r="Y2910" s="83"/>
      <c r="Z2910" s="81"/>
      <c r="AA2910" s="81"/>
      <c r="AB2910" s="81"/>
      <c r="AC2910" s="81"/>
      <c r="AD2910" s="81"/>
      <c r="AE2910" s="83"/>
      <c r="AF2910" s="81"/>
      <c r="AG2910" s="81"/>
      <c r="AH2910" s="81"/>
      <c r="AI2910" s="81"/>
      <c r="AJ2910" s="83"/>
      <c r="AK2910" s="81"/>
      <c r="AL2910" s="81"/>
      <c r="AM2910" s="83"/>
      <c r="AN2910" s="80"/>
      <c r="AO2910" s="82" t="str">
        <f aca="false">IF(E2910="","",(AA2910&lt;&gt;"")+(AG2910&lt;&gt;"")+(AL2910&lt;&gt;""))</f>
        <v/>
      </c>
      <c r="AP2910" s="82" t="str">
        <f aca="false">IF(AL2910&lt;&gt;"",AL2910,IF(AG2910&lt;&gt;"",AG2910,IF(AA2910&lt;&gt;"",AA2910,"")))</f>
        <v/>
      </c>
      <c r="AQ2910" s="84" t="str">
        <f aca="false">IF(E2910="","",IF(U2910="","À SOUDER",IF(X2910="","VT EN ATTENTE",IF(X2910="R","VT REJETÉ – À REPRENDRE",IF(AP2910="","À RADIOGRAPHIER",IF(AP2910="A","ACCEPTÉ",IF(AP2910="NX","NX – RT À REFAIRE",IF(IF(AO2910=1,AD2910,IF(AO2910=2,AI2910,""))="A","RÉPARÉ – À RADIOGRAPHIER",IF(IF(AO2910=1,AD2910,IF(AO2910=2,AI2910,""))="R","VT REJETÉ – À REPRENDRE",IF(OR(AP2910="CO",AP2910="NT"),"COUPE – À RESOUDER","À RÉPARER"))))))))))</f>
        <v/>
      </c>
      <c r="AR2910" s="82" t="str">
        <f aca="false">IF(AND(ISNUMBER(U2910),OR(AQ2910="À RADIOGRAPHIER",AQ2910="RÉPARÉ – À RADIOGRAPHIER",AQ2910="NX – RT À REFAIRE",AQ2910="À RÉPARER",AQ2910="COUPE – À RESOUDER",AQ2910="VT REJETÉ – À REPRENDRE")),MAX(0,'PROGRAMME RT'!$C$4-U2910),"")</f>
        <v/>
      </c>
      <c r="AS2910" s="82" t="n">
        <f aca="false">IF(AND(OR(AQ2910="À RADIOGRAPHIER",AQ2910="RÉPARÉ – À RADIOGRAPHIER",AQ2910="NX – RT À REFAIRE"),OR('PROGRAMME RT'!$D$5="TOUTES",B2910='PROGRAMME RT'!$D$5)),1,0)</f>
        <v>0</v>
      </c>
      <c r="AT2910" s="82" t="str">
        <f aca="false">IF(AS2910=1,SUM(AS$7:AS2910),"")</f>
        <v/>
      </c>
      <c r="AU2910" s="82" t="n">
        <f aca="false">IF(AND(OR(AA2910="R",AA2910="NX",AA2910="NT",AA2910="CO"),OR('JOINTS DE RÉPARATION'!$D$5="TOUTES",B2910='JOINTS DE RÉPARATION'!$D$5),OR('JOINTS DE RÉPARATION'!$L$4="TOUS",AQ2910&lt;&gt;"ACCEPTÉ")),1,0)</f>
        <v>0</v>
      </c>
      <c r="AV2910" s="82" t="str">
        <f aca="false">IF(AU2910=1,SUM(AU$7:AU2910),"")</f>
        <v/>
      </c>
      <c r="AW2910" s="82" t="str">
        <f aca="false">IF(E2910="","",B2910&amp;"|"&amp;E2910)</f>
        <v/>
      </c>
    </row>
    <row r="2911" customFormat="false" ht="15" hidden="false" customHeight="false" outlineLevel="0" collapsed="false">
      <c r="A2911" s="79" t="str">
        <f aca="false">IF(E2911="","",ROW()-6)</f>
        <v/>
      </c>
      <c r="B2911" s="80"/>
      <c r="C2911" s="81"/>
      <c r="D2911" s="81"/>
      <c r="E2911" s="81"/>
      <c r="F2911" s="82" t="str">
        <f aca="false">IF(E2911="","",IF(LEFT(E2911,2)="DJ","DJ","JN"))</f>
        <v/>
      </c>
      <c r="G2911" s="81"/>
      <c r="H2911" s="81"/>
      <c r="I2911" s="81"/>
      <c r="J2911" s="81"/>
      <c r="K2911" s="81"/>
      <c r="L2911" s="81"/>
      <c r="M2911" s="81"/>
      <c r="N2911" s="81"/>
      <c r="O2911" s="81"/>
      <c r="P2911" s="81"/>
      <c r="Q2911" s="81"/>
      <c r="R2911" s="81"/>
      <c r="S2911" s="81"/>
      <c r="T2911" s="81"/>
      <c r="U2911" s="83"/>
      <c r="V2911" s="83"/>
      <c r="W2911" s="81"/>
      <c r="X2911" s="81"/>
      <c r="Y2911" s="83"/>
      <c r="Z2911" s="81"/>
      <c r="AA2911" s="81"/>
      <c r="AB2911" s="81"/>
      <c r="AC2911" s="81"/>
      <c r="AD2911" s="81"/>
      <c r="AE2911" s="83"/>
      <c r="AF2911" s="81"/>
      <c r="AG2911" s="81"/>
      <c r="AH2911" s="81"/>
      <c r="AI2911" s="81"/>
      <c r="AJ2911" s="83"/>
      <c r="AK2911" s="81"/>
      <c r="AL2911" s="81"/>
      <c r="AM2911" s="83"/>
      <c r="AN2911" s="80"/>
      <c r="AO2911" s="82" t="str">
        <f aca="false">IF(E2911="","",(AA2911&lt;&gt;"")+(AG2911&lt;&gt;"")+(AL2911&lt;&gt;""))</f>
        <v/>
      </c>
      <c r="AP2911" s="82" t="str">
        <f aca="false">IF(AL2911&lt;&gt;"",AL2911,IF(AG2911&lt;&gt;"",AG2911,IF(AA2911&lt;&gt;"",AA2911,"")))</f>
        <v/>
      </c>
      <c r="AQ2911" s="84" t="str">
        <f aca="false">IF(E2911="","",IF(U2911="","À SOUDER",IF(X2911="","VT EN ATTENTE",IF(X2911="R","VT REJETÉ – À REPRENDRE",IF(AP2911="","À RADIOGRAPHIER",IF(AP2911="A","ACCEPTÉ",IF(AP2911="NX","NX – RT À REFAIRE",IF(IF(AO2911=1,AD2911,IF(AO2911=2,AI2911,""))="A","RÉPARÉ – À RADIOGRAPHIER",IF(IF(AO2911=1,AD2911,IF(AO2911=2,AI2911,""))="R","VT REJETÉ – À REPRENDRE",IF(OR(AP2911="CO",AP2911="NT"),"COUPE – À RESOUDER","À RÉPARER"))))))))))</f>
        <v/>
      </c>
      <c r="AR2911" s="82" t="str">
        <f aca="false">IF(AND(ISNUMBER(U2911),OR(AQ2911="À RADIOGRAPHIER",AQ2911="RÉPARÉ – À RADIOGRAPHIER",AQ2911="NX – RT À REFAIRE",AQ2911="À RÉPARER",AQ2911="COUPE – À RESOUDER",AQ2911="VT REJETÉ – À REPRENDRE")),MAX(0,'PROGRAMME RT'!$C$4-U2911),"")</f>
        <v/>
      </c>
      <c r="AS2911" s="82" t="n">
        <f aca="false">IF(AND(OR(AQ2911="À RADIOGRAPHIER",AQ2911="RÉPARÉ – À RADIOGRAPHIER",AQ2911="NX – RT À REFAIRE"),OR('PROGRAMME RT'!$D$5="TOUTES",B2911='PROGRAMME RT'!$D$5)),1,0)</f>
        <v>0</v>
      </c>
      <c r="AT2911" s="82" t="str">
        <f aca="false">IF(AS2911=1,SUM(AS$7:AS2911),"")</f>
        <v/>
      </c>
      <c r="AU2911" s="82" t="n">
        <f aca="false">IF(AND(OR(AA2911="R",AA2911="NX",AA2911="NT",AA2911="CO"),OR('JOINTS DE RÉPARATION'!$D$5="TOUTES",B2911='JOINTS DE RÉPARATION'!$D$5),OR('JOINTS DE RÉPARATION'!$L$4="TOUS",AQ2911&lt;&gt;"ACCEPTÉ")),1,0)</f>
        <v>0</v>
      </c>
      <c r="AV2911" s="82" t="str">
        <f aca="false">IF(AU2911=1,SUM(AU$7:AU2911),"")</f>
        <v/>
      </c>
      <c r="AW2911" s="82" t="str">
        <f aca="false">IF(E2911="","",B2911&amp;"|"&amp;E2911)</f>
        <v/>
      </c>
    </row>
    <row r="2912" customFormat="false" ht="15" hidden="false" customHeight="false" outlineLevel="0" collapsed="false">
      <c r="A2912" s="79" t="str">
        <f aca="false">IF(E2912="","",ROW()-6)</f>
        <v/>
      </c>
      <c r="B2912" s="80"/>
      <c r="C2912" s="81"/>
      <c r="D2912" s="81"/>
      <c r="E2912" s="81"/>
      <c r="F2912" s="82" t="str">
        <f aca="false">IF(E2912="","",IF(LEFT(E2912,2)="DJ","DJ","JN"))</f>
        <v/>
      </c>
      <c r="G2912" s="81"/>
      <c r="H2912" s="81"/>
      <c r="I2912" s="81"/>
      <c r="J2912" s="81"/>
      <c r="K2912" s="81"/>
      <c r="L2912" s="81"/>
      <c r="M2912" s="81"/>
      <c r="N2912" s="81"/>
      <c r="O2912" s="81"/>
      <c r="P2912" s="81"/>
      <c r="Q2912" s="81"/>
      <c r="R2912" s="81"/>
      <c r="S2912" s="81"/>
      <c r="T2912" s="81"/>
      <c r="U2912" s="83"/>
      <c r="V2912" s="83"/>
      <c r="W2912" s="81"/>
      <c r="X2912" s="81"/>
      <c r="Y2912" s="83"/>
      <c r="Z2912" s="81"/>
      <c r="AA2912" s="81"/>
      <c r="AB2912" s="81"/>
      <c r="AC2912" s="81"/>
      <c r="AD2912" s="81"/>
      <c r="AE2912" s="83"/>
      <c r="AF2912" s="81"/>
      <c r="AG2912" s="81"/>
      <c r="AH2912" s="81"/>
      <c r="AI2912" s="81"/>
      <c r="AJ2912" s="83"/>
      <c r="AK2912" s="81"/>
      <c r="AL2912" s="81"/>
      <c r="AM2912" s="83"/>
      <c r="AN2912" s="80"/>
      <c r="AO2912" s="82" t="str">
        <f aca="false">IF(E2912="","",(AA2912&lt;&gt;"")+(AG2912&lt;&gt;"")+(AL2912&lt;&gt;""))</f>
        <v/>
      </c>
      <c r="AP2912" s="82" t="str">
        <f aca="false">IF(AL2912&lt;&gt;"",AL2912,IF(AG2912&lt;&gt;"",AG2912,IF(AA2912&lt;&gt;"",AA2912,"")))</f>
        <v/>
      </c>
      <c r="AQ2912" s="84" t="str">
        <f aca="false">IF(E2912="","",IF(U2912="","À SOUDER",IF(X2912="","VT EN ATTENTE",IF(X2912="R","VT REJETÉ – À REPRENDRE",IF(AP2912="","À RADIOGRAPHIER",IF(AP2912="A","ACCEPTÉ",IF(AP2912="NX","NX – RT À REFAIRE",IF(IF(AO2912=1,AD2912,IF(AO2912=2,AI2912,""))="A","RÉPARÉ – À RADIOGRAPHIER",IF(IF(AO2912=1,AD2912,IF(AO2912=2,AI2912,""))="R","VT REJETÉ – À REPRENDRE",IF(OR(AP2912="CO",AP2912="NT"),"COUPE – À RESOUDER","À RÉPARER"))))))))))</f>
        <v/>
      </c>
      <c r="AR2912" s="82" t="str">
        <f aca="false">IF(AND(ISNUMBER(U2912),OR(AQ2912="À RADIOGRAPHIER",AQ2912="RÉPARÉ – À RADIOGRAPHIER",AQ2912="NX – RT À REFAIRE",AQ2912="À RÉPARER",AQ2912="COUPE – À RESOUDER",AQ2912="VT REJETÉ – À REPRENDRE")),MAX(0,'PROGRAMME RT'!$C$4-U2912),"")</f>
        <v/>
      </c>
      <c r="AS2912" s="82" t="n">
        <f aca="false">IF(AND(OR(AQ2912="À RADIOGRAPHIER",AQ2912="RÉPARÉ – À RADIOGRAPHIER",AQ2912="NX – RT À REFAIRE"),OR('PROGRAMME RT'!$D$5="TOUTES",B2912='PROGRAMME RT'!$D$5)),1,0)</f>
        <v>0</v>
      </c>
      <c r="AT2912" s="82" t="str">
        <f aca="false">IF(AS2912=1,SUM(AS$7:AS2912),"")</f>
        <v/>
      </c>
      <c r="AU2912" s="82" t="n">
        <f aca="false">IF(AND(OR(AA2912="R",AA2912="NX",AA2912="NT",AA2912="CO"),OR('JOINTS DE RÉPARATION'!$D$5="TOUTES",B2912='JOINTS DE RÉPARATION'!$D$5),OR('JOINTS DE RÉPARATION'!$L$4="TOUS",AQ2912&lt;&gt;"ACCEPTÉ")),1,0)</f>
        <v>0</v>
      </c>
      <c r="AV2912" s="82" t="str">
        <f aca="false">IF(AU2912=1,SUM(AU$7:AU2912),"")</f>
        <v/>
      </c>
      <c r="AW2912" s="82" t="str">
        <f aca="false">IF(E2912="","",B2912&amp;"|"&amp;E2912)</f>
        <v/>
      </c>
    </row>
    <row r="2913" customFormat="false" ht="15" hidden="false" customHeight="false" outlineLevel="0" collapsed="false">
      <c r="A2913" s="79" t="str">
        <f aca="false">IF(E2913="","",ROW()-6)</f>
        <v/>
      </c>
      <c r="B2913" s="80"/>
      <c r="C2913" s="81"/>
      <c r="D2913" s="81"/>
      <c r="E2913" s="81"/>
      <c r="F2913" s="82" t="str">
        <f aca="false">IF(E2913="","",IF(LEFT(E2913,2)="DJ","DJ","JN"))</f>
        <v/>
      </c>
      <c r="G2913" s="81"/>
      <c r="H2913" s="81"/>
      <c r="I2913" s="81"/>
      <c r="J2913" s="81"/>
      <c r="K2913" s="81"/>
      <c r="L2913" s="81"/>
      <c r="M2913" s="81"/>
      <c r="N2913" s="81"/>
      <c r="O2913" s="81"/>
      <c r="P2913" s="81"/>
      <c r="Q2913" s="81"/>
      <c r="R2913" s="81"/>
      <c r="S2913" s="81"/>
      <c r="T2913" s="81"/>
      <c r="U2913" s="83"/>
      <c r="V2913" s="83"/>
      <c r="W2913" s="81"/>
      <c r="X2913" s="81"/>
      <c r="Y2913" s="83"/>
      <c r="Z2913" s="81"/>
      <c r="AA2913" s="81"/>
      <c r="AB2913" s="81"/>
      <c r="AC2913" s="81"/>
      <c r="AD2913" s="81"/>
      <c r="AE2913" s="83"/>
      <c r="AF2913" s="81"/>
      <c r="AG2913" s="81"/>
      <c r="AH2913" s="81"/>
      <c r="AI2913" s="81"/>
      <c r="AJ2913" s="83"/>
      <c r="AK2913" s="81"/>
      <c r="AL2913" s="81"/>
      <c r="AM2913" s="83"/>
      <c r="AN2913" s="80"/>
      <c r="AO2913" s="82" t="str">
        <f aca="false">IF(E2913="","",(AA2913&lt;&gt;"")+(AG2913&lt;&gt;"")+(AL2913&lt;&gt;""))</f>
        <v/>
      </c>
      <c r="AP2913" s="82" t="str">
        <f aca="false">IF(AL2913&lt;&gt;"",AL2913,IF(AG2913&lt;&gt;"",AG2913,IF(AA2913&lt;&gt;"",AA2913,"")))</f>
        <v/>
      </c>
      <c r="AQ2913" s="84" t="str">
        <f aca="false">IF(E2913="","",IF(U2913="","À SOUDER",IF(X2913="","VT EN ATTENTE",IF(X2913="R","VT REJETÉ – À REPRENDRE",IF(AP2913="","À RADIOGRAPHIER",IF(AP2913="A","ACCEPTÉ",IF(AP2913="NX","NX – RT À REFAIRE",IF(IF(AO2913=1,AD2913,IF(AO2913=2,AI2913,""))="A","RÉPARÉ – À RADIOGRAPHIER",IF(IF(AO2913=1,AD2913,IF(AO2913=2,AI2913,""))="R","VT REJETÉ – À REPRENDRE",IF(OR(AP2913="CO",AP2913="NT"),"COUPE – À RESOUDER","À RÉPARER"))))))))))</f>
        <v/>
      </c>
      <c r="AR2913" s="82" t="str">
        <f aca="false">IF(AND(ISNUMBER(U2913),OR(AQ2913="À RADIOGRAPHIER",AQ2913="RÉPARÉ – À RADIOGRAPHIER",AQ2913="NX – RT À REFAIRE",AQ2913="À RÉPARER",AQ2913="COUPE – À RESOUDER",AQ2913="VT REJETÉ – À REPRENDRE")),MAX(0,'PROGRAMME RT'!$C$4-U2913),"")</f>
        <v/>
      </c>
      <c r="AS2913" s="82" t="n">
        <f aca="false">IF(AND(OR(AQ2913="À RADIOGRAPHIER",AQ2913="RÉPARÉ – À RADIOGRAPHIER",AQ2913="NX – RT À REFAIRE"),OR('PROGRAMME RT'!$D$5="TOUTES",B2913='PROGRAMME RT'!$D$5)),1,0)</f>
        <v>0</v>
      </c>
      <c r="AT2913" s="82" t="str">
        <f aca="false">IF(AS2913=1,SUM(AS$7:AS2913),"")</f>
        <v/>
      </c>
      <c r="AU2913" s="82" t="n">
        <f aca="false">IF(AND(OR(AA2913="R",AA2913="NX",AA2913="NT",AA2913="CO"),OR('JOINTS DE RÉPARATION'!$D$5="TOUTES",B2913='JOINTS DE RÉPARATION'!$D$5),OR('JOINTS DE RÉPARATION'!$L$4="TOUS",AQ2913&lt;&gt;"ACCEPTÉ")),1,0)</f>
        <v>0</v>
      </c>
      <c r="AV2913" s="82" t="str">
        <f aca="false">IF(AU2913=1,SUM(AU$7:AU2913),"")</f>
        <v/>
      </c>
      <c r="AW2913" s="82" t="str">
        <f aca="false">IF(E2913="","",B2913&amp;"|"&amp;E2913)</f>
        <v/>
      </c>
    </row>
    <row r="2914" customFormat="false" ht="15" hidden="false" customHeight="false" outlineLevel="0" collapsed="false">
      <c r="A2914" s="79" t="str">
        <f aca="false">IF(E2914="","",ROW()-6)</f>
        <v/>
      </c>
      <c r="B2914" s="80"/>
      <c r="C2914" s="81"/>
      <c r="D2914" s="81"/>
      <c r="E2914" s="81"/>
      <c r="F2914" s="82" t="str">
        <f aca="false">IF(E2914="","",IF(LEFT(E2914,2)="DJ","DJ","JN"))</f>
        <v/>
      </c>
      <c r="G2914" s="81"/>
      <c r="H2914" s="81"/>
      <c r="I2914" s="81"/>
      <c r="J2914" s="81"/>
      <c r="K2914" s="81"/>
      <c r="L2914" s="81"/>
      <c r="M2914" s="81"/>
      <c r="N2914" s="81"/>
      <c r="O2914" s="81"/>
      <c r="P2914" s="81"/>
      <c r="Q2914" s="81"/>
      <c r="R2914" s="81"/>
      <c r="S2914" s="81"/>
      <c r="T2914" s="81"/>
      <c r="U2914" s="83"/>
      <c r="V2914" s="83"/>
      <c r="W2914" s="81"/>
      <c r="X2914" s="81"/>
      <c r="Y2914" s="83"/>
      <c r="Z2914" s="81"/>
      <c r="AA2914" s="81"/>
      <c r="AB2914" s="81"/>
      <c r="AC2914" s="81"/>
      <c r="AD2914" s="81"/>
      <c r="AE2914" s="83"/>
      <c r="AF2914" s="81"/>
      <c r="AG2914" s="81"/>
      <c r="AH2914" s="81"/>
      <c r="AI2914" s="81"/>
      <c r="AJ2914" s="83"/>
      <c r="AK2914" s="81"/>
      <c r="AL2914" s="81"/>
      <c r="AM2914" s="83"/>
      <c r="AN2914" s="80"/>
      <c r="AO2914" s="82" t="str">
        <f aca="false">IF(E2914="","",(AA2914&lt;&gt;"")+(AG2914&lt;&gt;"")+(AL2914&lt;&gt;""))</f>
        <v/>
      </c>
      <c r="AP2914" s="82" t="str">
        <f aca="false">IF(AL2914&lt;&gt;"",AL2914,IF(AG2914&lt;&gt;"",AG2914,IF(AA2914&lt;&gt;"",AA2914,"")))</f>
        <v/>
      </c>
      <c r="AQ2914" s="84" t="str">
        <f aca="false">IF(E2914="","",IF(U2914="","À SOUDER",IF(X2914="","VT EN ATTENTE",IF(X2914="R","VT REJETÉ – À REPRENDRE",IF(AP2914="","À RADIOGRAPHIER",IF(AP2914="A","ACCEPTÉ",IF(AP2914="NX","NX – RT À REFAIRE",IF(IF(AO2914=1,AD2914,IF(AO2914=2,AI2914,""))="A","RÉPARÉ – À RADIOGRAPHIER",IF(IF(AO2914=1,AD2914,IF(AO2914=2,AI2914,""))="R","VT REJETÉ – À REPRENDRE",IF(OR(AP2914="CO",AP2914="NT"),"COUPE – À RESOUDER","À RÉPARER"))))))))))</f>
        <v/>
      </c>
      <c r="AR2914" s="82" t="str">
        <f aca="false">IF(AND(ISNUMBER(U2914),OR(AQ2914="À RADIOGRAPHIER",AQ2914="RÉPARÉ – À RADIOGRAPHIER",AQ2914="NX – RT À REFAIRE",AQ2914="À RÉPARER",AQ2914="COUPE – À RESOUDER",AQ2914="VT REJETÉ – À REPRENDRE")),MAX(0,'PROGRAMME RT'!$C$4-U2914),"")</f>
        <v/>
      </c>
      <c r="AS2914" s="82" t="n">
        <f aca="false">IF(AND(OR(AQ2914="À RADIOGRAPHIER",AQ2914="RÉPARÉ – À RADIOGRAPHIER",AQ2914="NX – RT À REFAIRE"),OR('PROGRAMME RT'!$D$5="TOUTES",B2914='PROGRAMME RT'!$D$5)),1,0)</f>
        <v>0</v>
      </c>
      <c r="AT2914" s="82" t="str">
        <f aca="false">IF(AS2914=1,SUM(AS$7:AS2914),"")</f>
        <v/>
      </c>
      <c r="AU2914" s="82" t="n">
        <f aca="false">IF(AND(OR(AA2914="R",AA2914="NX",AA2914="NT",AA2914="CO"),OR('JOINTS DE RÉPARATION'!$D$5="TOUTES",B2914='JOINTS DE RÉPARATION'!$D$5),OR('JOINTS DE RÉPARATION'!$L$4="TOUS",AQ2914&lt;&gt;"ACCEPTÉ")),1,0)</f>
        <v>0</v>
      </c>
      <c r="AV2914" s="82" t="str">
        <f aca="false">IF(AU2914=1,SUM(AU$7:AU2914),"")</f>
        <v/>
      </c>
      <c r="AW2914" s="82" t="str">
        <f aca="false">IF(E2914="","",B2914&amp;"|"&amp;E2914)</f>
        <v/>
      </c>
    </row>
    <row r="2915" customFormat="false" ht="15" hidden="false" customHeight="false" outlineLevel="0" collapsed="false">
      <c r="A2915" s="79" t="str">
        <f aca="false">IF(E2915="","",ROW()-6)</f>
        <v/>
      </c>
      <c r="B2915" s="80"/>
      <c r="C2915" s="81"/>
      <c r="D2915" s="81"/>
      <c r="E2915" s="81"/>
      <c r="F2915" s="82" t="str">
        <f aca="false">IF(E2915="","",IF(LEFT(E2915,2)="DJ","DJ","JN"))</f>
        <v/>
      </c>
      <c r="G2915" s="81"/>
      <c r="H2915" s="81"/>
      <c r="I2915" s="81"/>
      <c r="J2915" s="81"/>
      <c r="K2915" s="81"/>
      <c r="L2915" s="81"/>
      <c r="M2915" s="81"/>
      <c r="N2915" s="81"/>
      <c r="O2915" s="81"/>
      <c r="P2915" s="81"/>
      <c r="Q2915" s="81"/>
      <c r="R2915" s="81"/>
      <c r="S2915" s="81"/>
      <c r="T2915" s="81"/>
      <c r="U2915" s="83"/>
      <c r="V2915" s="83"/>
      <c r="W2915" s="81"/>
      <c r="X2915" s="81"/>
      <c r="Y2915" s="83"/>
      <c r="Z2915" s="81"/>
      <c r="AA2915" s="81"/>
      <c r="AB2915" s="81"/>
      <c r="AC2915" s="81"/>
      <c r="AD2915" s="81"/>
      <c r="AE2915" s="83"/>
      <c r="AF2915" s="81"/>
      <c r="AG2915" s="81"/>
      <c r="AH2915" s="81"/>
      <c r="AI2915" s="81"/>
      <c r="AJ2915" s="83"/>
      <c r="AK2915" s="81"/>
      <c r="AL2915" s="81"/>
      <c r="AM2915" s="83"/>
      <c r="AN2915" s="80"/>
      <c r="AO2915" s="82" t="str">
        <f aca="false">IF(E2915="","",(AA2915&lt;&gt;"")+(AG2915&lt;&gt;"")+(AL2915&lt;&gt;""))</f>
        <v/>
      </c>
      <c r="AP2915" s="82" t="str">
        <f aca="false">IF(AL2915&lt;&gt;"",AL2915,IF(AG2915&lt;&gt;"",AG2915,IF(AA2915&lt;&gt;"",AA2915,"")))</f>
        <v/>
      </c>
      <c r="AQ2915" s="84" t="str">
        <f aca="false">IF(E2915="","",IF(U2915="","À SOUDER",IF(X2915="","VT EN ATTENTE",IF(X2915="R","VT REJETÉ – À REPRENDRE",IF(AP2915="","À RADIOGRAPHIER",IF(AP2915="A","ACCEPTÉ",IF(AP2915="NX","NX – RT À REFAIRE",IF(IF(AO2915=1,AD2915,IF(AO2915=2,AI2915,""))="A","RÉPARÉ – À RADIOGRAPHIER",IF(IF(AO2915=1,AD2915,IF(AO2915=2,AI2915,""))="R","VT REJETÉ – À REPRENDRE",IF(OR(AP2915="CO",AP2915="NT"),"COUPE – À RESOUDER","À RÉPARER"))))))))))</f>
        <v/>
      </c>
      <c r="AR2915" s="82" t="str">
        <f aca="false">IF(AND(ISNUMBER(U2915),OR(AQ2915="À RADIOGRAPHIER",AQ2915="RÉPARÉ – À RADIOGRAPHIER",AQ2915="NX – RT À REFAIRE",AQ2915="À RÉPARER",AQ2915="COUPE – À RESOUDER",AQ2915="VT REJETÉ – À REPRENDRE")),MAX(0,'PROGRAMME RT'!$C$4-U2915),"")</f>
        <v/>
      </c>
      <c r="AS2915" s="82" t="n">
        <f aca="false">IF(AND(OR(AQ2915="À RADIOGRAPHIER",AQ2915="RÉPARÉ – À RADIOGRAPHIER",AQ2915="NX – RT À REFAIRE"),OR('PROGRAMME RT'!$D$5="TOUTES",B2915='PROGRAMME RT'!$D$5)),1,0)</f>
        <v>0</v>
      </c>
      <c r="AT2915" s="82" t="str">
        <f aca="false">IF(AS2915=1,SUM(AS$7:AS2915),"")</f>
        <v/>
      </c>
      <c r="AU2915" s="82" t="n">
        <f aca="false">IF(AND(OR(AA2915="R",AA2915="NX",AA2915="NT",AA2915="CO"),OR('JOINTS DE RÉPARATION'!$D$5="TOUTES",B2915='JOINTS DE RÉPARATION'!$D$5),OR('JOINTS DE RÉPARATION'!$L$4="TOUS",AQ2915&lt;&gt;"ACCEPTÉ")),1,0)</f>
        <v>0</v>
      </c>
      <c r="AV2915" s="82" t="str">
        <f aca="false">IF(AU2915=1,SUM(AU$7:AU2915),"")</f>
        <v/>
      </c>
      <c r="AW2915" s="82" t="str">
        <f aca="false">IF(E2915="","",B2915&amp;"|"&amp;E2915)</f>
        <v/>
      </c>
    </row>
    <row r="2916" customFormat="false" ht="15" hidden="false" customHeight="false" outlineLevel="0" collapsed="false">
      <c r="A2916" s="79" t="str">
        <f aca="false">IF(E2916="","",ROW()-6)</f>
        <v/>
      </c>
      <c r="B2916" s="80"/>
      <c r="C2916" s="81"/>
      <c r="D2916" s="81"/>
      <c r="E2916" s="81"/>
      <c r="F2916" s="82" t="str">
        <f aca="false">IF(E2916="","",IF(LEFT(E2916,2)="DJ","DJ","JN"))</f>
        <v/>
      </c>
      <c r="G2916" s="81"/>
      <c r="H2916" s="81"/>
      <c r="I2916" s="81"/>
      <c r="J2916" s="81"/>
      <c r="K2916" s="81"/>
      <c r="L2916" s="81"/>
      <c r="M2916" s="81"/>
      <c r="N2916" s="81"/>
      <c r="O2916" s="81"/>
      <c r="P2916" s="81"/>
      <c r="Q2916" s="81"/>
      <c r="R2916" s="81"/>
      <c r="S2916" s="81"/>
      <c r="T2916" s="81"/>
      <c r="U2916" s="83"/>
      <c r="V2916" s="83"/>
      <c r="W2916" s="81"/>
      <c r="X2916" s="81"/>
      <c r="Y2916" s="83"/>
      <c r="Z2916" s="81"/>
      <c r="AA2916" s="81"/>
      <c r="AB2916" s="81"/>
      <c r="AC2916" s="81"/>
      <c r="AD2916" s="81"/>
      <c r="AE2916" s="83"/>
      <c r="AF2916" s="81"/>
      <c r="AG2916" s="81"/>
      <c r="AH2916" s="81"/>
      <c r="AI2916" s="81"/>
      <c r="AJ2916" s="83"/>
      <c r="AK2916" s="81"/>
      <c r="AL2916" s="81"/>
      <c r="AM2916" s="83"/>
      <c r="AN2916" s="80"/>
      <c r="AO2916" s="82" t="str">
        <f aca="false">IF(E2916="","",(AA2916&lt;&gt;"")+(AG2916&lt;&gt;"")+(AL2916&lt;&gt;""))</f>
        <v/>
      </c>
      <c r="AP2916" s="82" t="str">
        <f aca="false">IF(AL2916&lt;&gt;"",AL2916,IF(AG2916&lt;&gt;"",AG2916,IF(AA2916&lt;&gt;"",AA2916,"")))</f>
        <v/>
      </c>
      <c r="AQ2916" s="84" t="str">
        <f aca="false">IF(E2916="","",IF(U2916="","À SOUDER",IF(X2916="","VT EN ATTENTE",IF(X2916="R","VT REJETÉ – À REPRENDRE",IF(AP2916="","À RADIOGRAPHIER",IF(AP2916="A","ACCEPTÉ",IF(AP2916="NX","NX – RT À REFAIRE",IF(IF(AO2916=1,AD2916,IF(AO2916=2,AI2916,""))="A","RÉPARÉ – À RADIOGRAPHIER",IF(IF(AO2916=1,AD2916,IF(AO2916=2,AI2916,""))="R","VT REJETÉ – À REPRENDRE",IF(OR(AP2916="CO",AP2916="NT"),"COUPE – À RESOUDER","À RÉPARER"))))))))))</f>
        <v/>
      </c>
      <c r="AR2916" s="82" t="str">
        <f aca="false">IF(AND(ISNUMBER(U2916),OR(AQ2916="À RADIOGRAPHIER",AQ2916="RÉPARÉ – À RADIOGRAPHIER",AQ2916="NX – RT À REFAIRE",AQ2916="À RÉPARER",AQ2916="COUPE – À RESOUDER",AQ2916="VT REJETÉ – À REPRENDRE")),MAX(0,'PROGRAMME RT'!$C$4-U2916),"")</f>
        <v/>
      </c>
      <c r="AS2916" s="82" t="n">
        <f aca="false">IF(AND(OR(AQ2916="À RADIOGRAPHIER",AQ2916="RÉPARÉ – À RADIOGRAPHIER",AQ2916="NX – RT À REFAIRE"),OR('PROGRAMME RT'!$D$5="TOUTES",B2916='PROGRAMME RT'!$D$5)),1,0)</f>
        <v>0</v>
      </c>
      <c r="AT2916" s="82" t="str">
        <f aca="false">IF(AS2916=1,SUM(AS$7:AS2916),"")</f>
        <v/>
      </c>
      <c r="AU2916" s="82" t="n">
        <f aca="false">IF(AND(OR(AA2916="R",AA2916="NX",AA2916="NT",AA2916="CO"),OR('JOINTS DE RÉPARATION'!$D$5="TOUTES",B2916='JOINTS DE RÉPARATION'!$D$5),OR('JOINTS DE RÉPARATION'!$L$4="TOUS",AQ2916&lt;&gt;"ACCEPTÉ")),1,0)</f>
        <v>0</v>
      </c>
      <c r="AV2916" s="82" t="str">
        <f aca="false">IF(AU2916=1,SUM(AU$7:AU2916),"")</f>
        <v/>
      </c>
      <c r="AW2916" s="82" t="str">
        <f aca="false">IF(E2916="","",B2916&amp;"|"&amp;E2916)</f>
        <v/>
      </c>
    </row>
    <row r="2917" customFormat="false" ht="15" hidden="false" customHeight="false" outlineLevel="0" collapsed="false">
      <c r="A2917" s="79" t="str">
        <f aca="false">IF(E2917="","",ROW()-6)</f>
        <v/>
      </c>
      <c r="B2917" s="80"/>
      <c r="C2917" s="81"/>
      <c r="D2917" s="81"/>
      <c r="E2917" s="81"/>
      <c r="F2917" s="82" t="str">
        <f aca="false">IF(E2917="","",IF(LEFT(E2917,2)="DJ","DJ","JN"))</f>
        <v/>
      </c>
      <c r="G2917" s="81"/>
      <c r="H2917" s="81"/>
      <c r="I2917" s="81"/>
      <c r="J2917" s="81"/>
      <c r="K2917" s="81"/>
      <c r="L2917" s="81"/>
      <c r="M2917" s="81"/>
      <c r="N2917" s="81"/>
      <c r="O2917" s="81"/>
      <c r="P2917" s="81"/>
      <c r="Q2917" s="81"/>
      <c r="R2917" s="81"/>
      <c r="S2917" s="81"/>
      <c r="T2917" s="81"/>
      <c r="U2917" s="83"/>
      <c r="V2917" s="83"/>
      <c r="W2917" s="81"/>
      <c r="X2917" s="81"/>
      <c r="Y2917" s="83"/>
      <c r="Z2917" s="81"/>
      <c r="AA2917" s="81"/>
      <c r="AB2917" s="81"/>
      <c r="AC2917" s="81"/>
      <c r="AD2917" s="81"/>
      <c r="AE2917" s="83"/>
      <c r="AF2917" s="81"/>
      <c r="AG2917" s="81"/>
      <c r="AH2917" s="81"/>
      <c r="AI2917" s="81"/>
      <c r="AJ2917" s="83"/>
      <c r="AK2917" s="81"/>
      <c r="AL2917" s="81"/>
      <c r="AM2917" s="83"/>
      <c r="AN2917" s="80"/>
      <c r="AO2917" s="82" t="str">
        <f aca="false">IF(E2917="","",(AA2917&lt;&gt;"")+(AG2917&lt;&gt;"")+(AL2917&lt;&gt;""))</f>
        <v/>
      </c>
      <c r="AP2917" s="82" t="str">
        <f aca="false">IF(AL2917&lt;&gt;"",AL2917,IF(AG2917&lt;&gt;"",AG2917,IF(AA2917&lt;&gt;"",AA2917,"")))</f>
        <v/>
      </c>
      <c r="AQ2917" s="84" t="str">
        <f aca="false">IF(E2917="","",IF(U2917="","À SOUDER",IF(X2917="","VT EN ATTENTE",IF(X2917="R","VT REJETÉ – À REPRENDRE",IF(AP2917="","À RADIOGRAPHIER",IF(AP2917="A","ACCEPTÉ",IF(AP2917="NX","NX – RT À REFAIRE",IF(IF(AO2917=1,AD2917,IF(AO2917=2,AI2917,""))="A","RÉPARÉ – À RADIOGRAPHIER",IF(IF(AO2917=1,AD2917,IF(AO2917=2,AI2917,""))="R","VT REJETÉ – À REPRENDRE",IF(OR(AP2917="CO",AP2917="NT"),"COUPE – À RESOUDER","À RÉPARER"))))))))))</f>
        <v/>
      </c>
      <c r="AR2917" s="82" t="str">
        <f aca="false">IF(AND(ISNUMBER(U2917),OR(AQ2917="À RADIOGRAPHIER",AQ2917="RÉPARÉ – À RADIOGRAPHIER",AQ2917="NX – RT À REFAIRE",AQ2917="À RÉPARER",AQ2917="COUPE – À RESOUDER",AQ2917="VT REJETÉ – À REPRENDRE")),MAX(0,'PROGRAMME RT'!$C$4-U2917),"")</f>
        <v/>
      </c>
      <c r="AS2917" s="82" t="n">
        <f aca="false">IF(AND(OR(AQ2917="À RADIOGRAPHIER",AQ2917="RÉPARÉ – À RADIOGRAPHIER",AQ2917="NX – RT À REFAIRE"),OR('PROGRAMME RT'!$D$5="TOUTES",B2917='PROGRAMME RT'!$D$5)),1,0)</f>
        <v>0</v>
      </c>
      <c r="AT2917" s="82" t="str">
        <f aca="false">IF(AS2917=1,SUM(AS$7:AS2917),"")</f>
        <v/>
      </c>
      <c r="AU2917" s="82" t="n">
        <f aca="false">IF(AND(OR(AA2917="R",AA2917="NX",AA2917="NT",AA2917="CO"),OR('JOINTS DE RÉPARATION'!$D$5="TOUTES",B2917='JOINTS DE RÉPARATION'!$D$5),OR('JOINTS DE RÉPARATION'!$L$4="TOUS",AQ2917&lt;&gt;"ACCEPTÉ")),1,0)</f>
        <v>0</v>
      </c>
      <c r="AV2917" s="82" t="str">
        <f aca="false">IF(AU2917=1,SUM(AU$7:AU2917),"")</f>
        <v/>
      </c>
      <c r="AW2917" s="82" t="str">
        <f aca="false">IF(E2917="","",B2917&amp;"|"&amp;E2917)</f>
        <v/>
      </c>
    </row>
    <row r="2918" customFormat="false" ht="15" hidden="false" customHeight="false" outlineLevel="0" collapsed="false">
      <c r="A2918" s="79" t="str">
        <f aca="false">IF(E2918="","",ROW()-6)</f>
        <v/>
      </c>
      <c r="B2918" s="80"/>
      <c r="C2918" s="81"/>
      <c r="D2918" s="81"/>
      <c r="E2918" s="81"/>
      <c r="F2918" s="82" t="str">
        <f aca="false">IF(E2918="","",IF(LEFT(E2918,2)="DJ","DJ","JN"))</f>
        <v/>
      </c>
      <c r="G2918" s="81"/>
      <c r="H2918" s="81"/>
      <c r="I2918" s="81"/>
      <c r="J2918" s="81"/>
      <c r="K2918" s="81"/>
      <c r="L2918" s="81"/>
      <c r="M2918" s="81"/>
      <c r="N2918" s="81"/>
      <c r="O2918" s="81"/>
      <c r="P2918" s="81"/>
      <c r="Q2918" s="81"/>
      <c r="R2918" s="81"/>
      <c r="S2918" s="81"/>
      <c r="T2918" s="81"/>
      <c r="U2918" s="83"/>
      <c r="V2918" s="83"/>
      <c r="W2918" s="81"/>
      <c r="X2918" s="81"/>
      <c r="Y2918" s="83"/>
      <c r="Z2918" s="81"/>
      <c r="AA2918" s="81"/>
      <c r="AB2918" s="81"/>
      <c r="AC2918" s="81"/>
      <c r="AD2918" s="81"/>
      <c r="AE2918" s="83"/>
      <c r="AF2918" s="81"/>
      <c r="AG2918" s="81"/>
      <c r="AH2918" s="81"/>
      <c r="AI2918" s="81"/>
      <c r="AJ2918" s="83"/>
      <c r="AK2918" s="81"/>
      <c r="AL2918" s="81"/>
      <c r="AM2918" s="83"/>
      <c r="AN2918" s="80"/>
      <c r="AO2918" s="82" t="str">
        <f aca="false">IF(E2918="","",(AA2918&lt;&gt;"")+(AG2918&lt;&gt;"")+(AL2918&lt;&gt;""))</f>
        <v/>
      </c>
      <c r="AP2918" s="82" t="str">
        <f aca="false">IF(AL2918&lt;&gt;"",AL2918,IF(AG2918&lt;&gt;"",AG2918,IF(AA2918&lt;&gt;"",AA2918,"")))</f>
        <v/>
      </c>
      <c r="AQ2918" s="84" t="str">
        <f aca="false">IF(E2918="","",IF(U2918="","À SOUDER",IF(X2918="","VT EN ATTENTE",IF(X2918="R","VT REJETÉ – À REPRENDRE",IF(AP2918="","À RADIOGRAPHIER",IF(AP2918="A","ACCEPTÉ",IF(AP2918="NX","NX – RT À REFAIRE",IF(IF(AO2918=1,AD2918,IF(AO2918=2,AI2918,""))="A","RÉPARÉ – À RADIOGRAPHIER",IF(IF(AO2918=1,AD2918,IF(AO2918=2,AI2918,""))="R","VT REJETÉ – À REPRENDRE",IF(OR(AP2918="CO",AP2918="NT"),"COUPE – À RESOUDER","À RÉPARER"))))))))))</f>
        <v/>
      </c>
      <c r="AR2918" s="82" t="str">
        <f aca="false">IF(AND(ISNUMBER(U2918),OR(AQ2918="À RADIOGRAPHIER",AQ2918="RÉPARÉ – À RADIOGRAPHIER",AQ2918="NX – RT À REFAIRE",AQ2918="À RÉPARER",AQ2918="COUPE – À RESOUDER",AQ2918="VT REJETÉ – À REPRENDRE")),MAX(0,'PROGRAMME RT'!$C$4-U2918),"")</f>
        <v/>
      </c>
      <c r="AS2918" s="82" t="n">
        <f aca="false">IF(AND(OR(AQ2918="À RADIOGRAPHIER",AQ2918="RÉPARÉ – À RADIOGRAPHIER",AQ2918="NX – RT À REFAIRE"),OR('PROGRAMME RT'!$D$5="TOUTES",B2918='PROGRAMME RT'!$D$5)),1,0)</f>
        <v>0</v>
      </c>
      <c r="AT2918" s="82" t="str">
        <f aca="false">IF(AS2918=1,SUM(AS$7:AS2918),"")</f>
        <v/>
      </c>
      <c r="AU2918" s="82" t="n">
        <f aca="false">IF(AND(OR(AA2918="R",AA2918="NX",AA2918="NT",AA2918="CO"),OR('JOINTS DE RÉPARATION'!$D$5="TOUTES",B2918='JOINTS DE RÉPARATION'!$D$5),OR('JOINTS DE RÉPARATION'!$L$4="TOUS",AQ2918&lt;&gt;"ACCEPTÉ")),1,0)</f>
        <v>0</v>
      </c>
      <c r="AV2918" s="82" t="str">
        <f aca="false">IF(AU2918=1,SUM(AU$7:AU2918),"")</f>
        <v/>
      </c>
      <c r="AW2918" s="82" t="str">
        <f aca="false">IF(E2918="","",B2918&amp;"|"&amp;E2918)</f>
        <v/>
      </c>
    </row>
    <row r="2919" customFormat="false" ht="15" hidden="false" customHeight="false" outlineLevel="0" collapsed="false">
      <c r="A2919" s="79" t="str">
        <f aca="false">IF(E2919="","",ROW()-6)</f>
        <v/>
      </c>
      <c r="B2919" s="80"/>
      <c r="C2919" s="81"/>
      <c r="D2919" s="81"/>
      <c r="E2919" s="81"/>
      <c r="F2919" s="82" t="str">
        <f aca="false">IF(E2919="","",IF(LEFT(E2919,2)="DJ","DJ","JN"))</f>
        <v/>
      </c>
      <c r="G2919" s="81"/>
      <c r="H2919" s="81"/>
      <c r="I2919" s="81"/>
      <c r="J2919" s="81"/>
      <c r="K2919" s="81"/>
      <c r="L2919" s="81"/>
      <c r="M2919" s="81"/>
      <c r="N2919" s="81"/>
      <c r="O2919" s="81"/>
      <c r="P2919" s="81"/>
      <c r="Q2919" s="81"/>
      <c r="R2919" s="81"/>
      <c r="S2919" s="81"/>
      <c r="T2919" s="81"/>
      <c r="U2919" s="83"/>
      <c r="V2919" s="83"/>
      <c r="W2919" s="81"/>
      <c r="X2919" s="81"/>
      <c r="Y2919" s="83"/>
      <c r="Z2919" s="81"/>
      <c r="AA2919" s="81"/>
      <c r="AB2919" s="81"/>
      <c r="AC2919" s="81"/>
      <c r="AD2919" s="81"/>
      <c r="AE2919" s="83"/>
      <c r="AF2919" s="81"/>
      <c r="AG2919" s="81"/>
      <c r="AH2919" s="81"/>
      <c r="AI2919" s="81"/>
      <c r="AJ2919" s="83"/>
      <c r="AK2919" s="81"/>
      <c r="AL2919" s="81"/>
      <c r="AM2919" s="83"/>
      <c r="AN2919" s="80"/>
      <c r="AO2919" s="82" t="str">
        <f aca="false">IF(E2919="","",(AA2919&lt;&gt;"")+(AG2919&lt;&gt;"")+(AL2919&lt;&gt;""))</f>
        <v/>
      </c>
      <c r="AP2919" s="82" t="str">
        <f aca="false">IF(AL2919&lt;&gt;"",AL2919,IF(AG2919&lt;&gt;"",AG2919,IF(AA2919&lt;&gt;"",AA2919,"")))</f>
        <v/>
      </c>
      <c r="AQ2919" s="84" t="str">
        <f aca="false">IF(E2919="","",IF(U2919="","À SOUDER",IF(X2919="","VT EN ATTENTE",IF(X2919="R","VT REJETÉ – À REPRENDRE",IF(AP2919="","À RADIOGRAPHIER",IF(AP2919="A","ACCEPTÉ",IF(AP2919="NX","NX – RT À REFAIRE",IF(IF(AO2919=1,AD2919,IF(AO2919=2,AI2919,""))="A","RÉPARÉ – À RADIOGRAPHIER",IF(IF(AO2919=1,AD2919,IF(AO2919=2,AI2919,""))="R","VT REJETÉ – À REPRENDRE",IF(OR(AP2919="CO",AP2919="NT"),"COUPE – À RESOUDER","À RÉPARER"))))))))))</f>
        <v/>
      </c>
      <c r="AR2919" s="82" t="str">
        <f aca="false">IF(AND(ISNUMBER(U2919),OR(AQ2919="À RADIOGRAPHIER",AQ2919="RÉPARÉ – À RADIOGRAPHIER",AQ2919="NX – RT À REFAIRE",AQ2919="À RÉPARER",AQ2919="COUPE – À RESOUDER",AQ2919="VT REJETÉ – À REPRENDRE")),MAX(0,'PROGRAMME RT'!$C$4-U2919),"")</f>
        <v/>
      </c>
      <c r="AS2919" s="82" t="n">
        <f aca="false">IF(AND(OR(AQ2919="À RADIOGRAPHIER",AQ2919="RÉPARÉ – À RADIOGRAPHIER",AQ2919="NX – RT À REFAIRE"),OR('PROGRAMME RT'!$D$5="TOUTES",B2919='PROGRAMME RT'!$D$5)),1,0)</f>
        <v>0</v>
      </c>
      <c r="AT2919" s="82" t="str">
        <f aca="false">IF(AS2919=1,SUM(AS$7:AS2919),"")</f>
        <v/>
      </c>
      <c r="AU2919" s="82" t="n">
        <f aca="false">IF(AND(OR(AA2919="R",AA2919="NX",AA2919="NT",AA2919="CO"),OR('JOINTS DE RÉPARATION'!$D$5="TOUTES",B2919='JOINTS DE RÉPARATION'!$D$5),OR('JOINTS DE RÉPARATION'!$L$4="TOUS",AQ2919&lt;&gt;"ACCEPTÉ")),1,0)</f>
        <v>0</v>
      </c>
      <c r="AV2919" s="82" t="str">
        <f aca="false">IF(AU2919=1,SUM(AU$7:AU2919),"")</f>
        <v/>
      </c>
      <c r="AW2919" s="82" t="str">
        <f aca="false">IF(E2919="","",B2919&amp;"|"&amp;E2919)</f>
        <v/>
      </c>
    </row>
    <row r="2920" customFormat="false" ht="15" hidden="false" customHeight="false" outlineLevel="0" collapsed="false">
      <c r="A2920" s="79" t="str">
        <f aca="false">IF(E2920="","",ROW()-6)</f>
        <v/>
      </c>
      <c r="B2920" s="80"/>
      <c r="C2920" s="81"/>
      <c r="D2920" s="81"/>
      <c r="E2920" s="81"/>
      <c r="F2920" s="82" t="str">
        <f aca="false">IF(E2920="","",IF(LEFT(E2920,2)="DJ","DJ","JN"))</f>
        <v/>
      </c>
      <c r="G2920" s="81"/>
      <c r="H2920" s="81"/>
      <c r="I2920" s="81"/>
      <c r="J2920" s="81"/>
      <c r="K2920" s="81"/>
      <c r="L2920" s="81"/>
      <c r="M2920" s="81"/>
      <c r="N2920" s="81"/>
      <c r="O2920" s="81"/>
      <c r="P2920" s="81"/>
      <c r="Q2920" s="81"/>
      <c r="R2920" s="81"/>
      <c r="S2920" s="81"/>
      <c r="T2920" s="81"/>
      <c r="U2920" s="83"/>
      <c r="V2920" s="83"/>
      <c r="W2920" s="81"/>
      <c r="X2920" s="81"/>
      <c r="Y2920" s="83"/>
      <c r="Z2920" s="81"/>
      <c r="AA2920" s="81"/>
      <c r="AB2920" s="81"/>
      <c r="AC2920" s="81"/>
      <c r="AD2920" s="81"/>
      <c r="AE2920" s="83"/>
      <c r="AF2920" s="81"/>
      <c r="AG2920" s="81"/>
      <c r="AH2920" s="81"/>
      <c r="AI2920" s="81"/>
      <c r="AJ2920" s="83"/>
      <c r="AK2920" s="81"/>
      <c r="AL2920" s="81"/>
      <c r="AM2920" s="83"/>
      <c r="AN2920" s="80"/>
      <c r="AO2920" s="82" t="str">
        <f aca="false">IF(E2920="","",(AA2920&lt;&gt;"")+(AG2920&lt;&gt;"")+(AL2920&lt;&gt;""))</f>
        <v/>
      </c>
      <c r="AP2920" s="82" t="str">
        <f aca="false">IF(AL2920&lt;&gt;"",AL2920,IF(AG2920&lt;&gt;"",AG2920,IF(AA2920&lt;&gt;"",AA2920,"")))</f>
        <v/>
      </c>
      <c r="AQ2920" s="84" t="str">
        <f aca="false">IF(E2920="","",IF(U2920="","À SOUDER",IF(X2920="","VT EN ATTENTE",IF(X2920="R","VT REJETÉ – À REPRENDRE",IF(AP2920="","À RADIOGRAPHIER",IF(AP2920="A","ACCEPTÉ",IF(AP2920="NX","NX – RT À REFAIRE",IF(IF(AO2920=1,AD2920,IF(AO2920=2,AI2920,""))="A","RÉPARÉ – À RADIOGRAPHIER",IF(IF(AO2920=1,AD2920,IF(AO2920=2,AI2920,""))="R","VT REJETÉ – À REPRENDRE",IF(OR(AP2920="CO",AP2920="NT"),"COUPE – À RESOUDER","À RÉPARER"))))))))))</f>
        <v/>
      </c>
      <c r="AR2920" s="82" t="str">
        <f aca="false">IF(AND(ISNUMBER(U2920),OR(AQ2920="À RADIOGRAPHIER",AQ2920="RÉPARÉ – À RADIOGRAPHIER",AQ2920="NX – RT À REFAIRE",AQ2920="À RÉPARER",AQ2920="COUPE – À RESOUDER",AQ2920="VT REJETÉ – À REPRENDRE")),MAX(0,'PROGRAMME RT'!$C$4-U2920),"")</f>
        <v/>
      </c>
      <c r="AS2920" s="82" t="n">
        <f aca="false">IF(AND(OR(AQ2920="À RADIOGRAPHIER",AQ2920="RÉPARÉ – À RADIOGRAPHIER",AQ2920="NX – RT À REFAIRE"),OR('PROGRAMME RT'!$D$5="TOUTES",B2920='PROGRAMME RT'!$D$5)),1,0)</f>
        <v>0</v>
      </c>
      <c r="AT2920" s="82" t="str">
        <f aca="false">IF(AS2920=1,SUM(AS$7:AS2920),"")</f>
        <v/>
      </c>
      <c r="AU2920" s="82" t="n">
        <f aca="false">IF(AND(OR(AA2920="R",AA2920="NX",AA2920="NT",AA2920="CO"),OR('JOINTS DE RÉPARATION'!$D$5="TOUTES",B2920='JOINTS DE RÉPARATION'!$D$5),OR('JOINTS DE RÉPARATION'!$L$4="TOUS",AQ2920&lt;&gt;"ACCEPTÉ")),1,0)</f>
        <v>0</v>
      </c>
      <c r="AV2920" s="82" t="str">
        <f aca="false">IF(AU2920=1,SUM(AU$7:AU2920),"")</f>
        <v/>
      </c>
      <c r="AW2920" s="82" t="str">
        <f aca="false">IF(E2920="","",B2920&amp;"|"&amp;E2920)</f>
        <v/>
      </c>
    </row>
    <row r="2921" customFormat="false" ht="15" hidden="false" customHeight="false" outlineLevel="0" collapsed="false">
      <c r="A2921" s="79" t="str">
        <f aca="false">IF(E2921="","",ROW()-6)</f>
        <v/>
      </c>
      <c r="B2921" s="80"/>
      <c r="C2921" s="81"/>
      <c r="D2921" s="81"/>
      <c r="E2921" s="81"/>
      <c r="F2921" s="82" t="str">
        <f aca="false">IF(E2921="","",IF(LEFT(E2921,2)="DJ","DJ","JN"))</f>
        <v/>
      </c>
      <c r="G2921" s="81"/>
      <c r="H2921" s="81"/>
      <c r="I2921" s="81"/>
      <c r="J2921" s="81"/>
      <c r="K2921" s="81"/>
      <c r="L2921" s="81"/>
      <c r="M2921" s="81"/>
      <c r="N2921" s="81"/>
      <c r="O2921" s="81"/>
      <c r="P2921" s="81"/>
      <c r="Q2921" s="81"/>
      <c r="R2921" s="81"/>
      <c r="S2921" s="81"/>
      <c r="T2921" s="81"/>
      <c r="U2921" s="83"/>
      <c r="V2921" s="83"/>
      <c r="W2921" s="81"/>
      <c r="X2921" s="81"/>
      <c r="Y2921" s="83"/>
      <c r="Z2921" s="81"/>
      <c r="AA2921" s="81"/>
      <c r="AB2921" s="81"/>
      <c r="AC2921" s="81"/>
      <c r="AD2921" s="81"/>
      <c r="AE2921" s="83"/>
      <c r="AF2921" s="81"/>
      <c r="AG2921" s="81"/>
      <c r="AH2921" s="81"/>
      <c r="AI2921" s="81"/>
      <c r="AJ2921" s="83"/>
      <c r="AK2921" s="81"/>
      <c r="AL2921" s="81"/>
      <c r="AM2921" s="83"/>
      <c r="AN2921" s="80"/>
      <c r="AO2921" s="82" t="str">
        <f aca="false">IF(E2921="","",(AA2921&lt;&gt;"")+(AG2921&lt;&gt;"")+(AL2921&lt;&gt;""))</f>
        <v/>
      </c>
      <c r="AP2921" s="82" t="str">
        <f aca="false">IF(AL2921&lt;&gt;"",AL2921,IF(AG2921&lt;&gt;"",AG2921,IF(AA2921&lt;&gt;"",AA2921,"")))</f>
        <v/>
      </c>
      <c r="AQ2921" s="84" t="str">
        <f aca="false">IF(E2921="","",IF(U2921="","À SOUDER",IF(X2921="","VT EN ATTENTE",IF(X2921="R","VT REJETÉ – À REPRENDRE",IF(AP2921="","À RADIOGRAPHIER",IF(AP2921="A","ACCEPTÉ",IF(AP2921="NX","NX – RT À REFAIRE",IF(IF(AO2921=1,AD2921,IF(AO2921=2,AI2921,""))="A","RÉPARÉ – À RADIOGRAPHIER",IF(IF(AO2921=1,AD2921,IF(AO2921=2,AI2921,""))="R","VT REJETÉ – À REPRENDRE",IF(OR(AP2921="CO",AP2921="NT"),"COUPE – À RESOUDER","À RÉPARER"))))))))))</f>
        <v/>
      </c>
      <c r="AR2921" s="82" t="str">
        <f aca="false">IF(AND(ISNUMBER(U2921),OR(AQ2921="À RADIOGRAPHIER",AQ2921="RÉPARÉ – À RADIOGRAPHIER",AQ2921="NX – RT À REFAIRE",AQ2921="À RÉPARER",AQ2921="COUPE – À RESOUDER",AQ2921="VT REJETÉ – À REPRENDRE")),MAX(0,'PROGRAMME RT'!$C$4-U2921),"")</f>
        <v/>
      </c>
      <c r="AS2921" s="82" t="n">
        <f aca="false">IF(AND(OR(AQ2921="À RADIOGRAPHIER",AQ2921="RÉPARÉ – À RADIOGRAPHIER",AQ2921="NX – RT À REFAIRE"),OR('PROGRAMME RT'!$D$5="TOUTES",B2921='PROGRAMME RT'!$D$5)),1,0)</f>
        <v>0</v>
      </c>
      <c r="AT2921" s="82" t="str">
        <f aca="false">IF(AS2921=1,SUM(AS$7:AS2921),"")</f>
        <v/>
      </c>
      <c r="AU2921" s="82" t="n">
        <f aca="false">IF(AND(OR(AA2921="R",AA2921="NX",AA2921="NT",AA2921="CO"),OR('JOINTS DE RÉPARATION'!$D$5="TOUTES",B2921='JOINTS DE RÉPARATION'!$D$5),OR('JOINTS DE RÉPARATION'!$L$4="TOUS",AQ2921&lt;&gt;"ACCEPTÉ")),1,0)</f>
        <v>0</v>
      </c>
      <c r="AV2921" s="82" t="str">
        <f aca="false">IF(AU2921=1,SUM(AU$7:AU2921),"")</f>
        <v/>
      </c>
      <c r="AW2921" s="82" t="str">
        <f aca="false">IF(E2921="","",B2921&amp;"|"&amp;E2921)</f>
        <v/>
      </c>
    </row>
    <row r="2922" customFormat="false" ht="15" hidden="false" customHeight="false" outlineLevel="0" collapsed="false">
      <c r="A2922" s="79" t="str">
        <f aca="false">IF(E2922="","",ROW()-6)</f>
        <v/>
      </c>
      <c r="B2922" s="80"/>
      <c r="C2922" s="81"/>
      <c r="D2922" s="81"/>
      <c r="E2922" s="81"/>
      <c r="F2922" s="82" t="str">
        <f aca="false">IF(E2922="","",IF(LEFT(E2922,2)="DJ","DJ","JN"))</f>
        <v/>
      </c>
      <c r="G2922" s="81"/>
      <c r="H2922" s="81"/>
      <c r="I2922" s="81"/>
      <c r="J2922" s="81"/>
      <c r="K2922" s="81"/>
      <c r="L2922" s="81"/>
      <c r="M2922" s="81"/>
      <c r="N2922" s="81"/>
      <c r="O2922" s="81"/>
      <c r="P2922" s="81"/>
      <c r="Q2922" s="81"/>
      <c r="R2922" s="81"/>
      <c r="S2922" s="81"/>
      <c r="T2922" s="81"/>
      <c r="U2922" s="83"/>
      <c r="V2922" s="83"/>
      <c r="W2922" s="81"/>
      <c r="X2922" s="81"/>
      <c r="Y2922" s="83"/>
      <c r="Z2922" s="81"/>
      <c r="AA2922" s="81"/>
      <c r="AB2922" s="81"/>
      <c r="AC2922" s="81"/>
      <c r="AD2922" s="81"/>
      <c r="AE2922" s="83"/>
      <c r="AF2922" s="81"/>
      <c r="AG2922" s="81"/>
      <c r="AH2922" s="81"/>
      <c r="AI2922" s="81"/>
      <c r="AJ2922" s="83"/>
      <c r="AK2922" s="81"/>
      <c r="AL2922" s="81"/>
      <c r="AM2922" s="83"/>
      <c r="AN2922" s="80"/>
      <c r="AO2922" s="82" t="str">
        <f aca="false">IF(E2922="","",(AA2922&lt;&gt;"")+(AG2922&lt;&gt;"")+(AL2922&lt;&gt;""))</f>
        <v/>
      </c>
      <c r="AP2922" s="82" t="str">
        <f aca="false">IF(AL2922&lt;&gt;"",AL2922,IF(AG2922&lt;&gt;"",AG2922,IF(AA2922&lt;&gt;"",AA2922,"")))</f>
        <v/>
      </c>
      <c r="AQ2922" s="84" t="str">
        <f aca="false">IF(E2922="","",IF(U2922="","À SOUDER",IF(X2922="","VT EN ATTENTE",IF(X2922="R","VT REJETÉ – À REPRENDRE",IF(AP2922="","À RADIOGRAPHIER",IF(AP2922="A","ACCEPTÉ",IF(AP2922="NX","NX – RT À REFAIRE",IF(IF(AO2922=1,AD2922,IF(AO2922=2,AI2922,""))="A","RÉPARÉ – À RADIOGRAPHIER",IF(IF(AO2922=1,AD2922,IF(AO2922=2,AI2922,""))="R","VT REJETÉ – À REPRENDRE",IF(OR(AP2922="CO",AP2922="NT"),"COUPE – À RESOUDER","À RÉPARER"))))))))))</f>
        <v/>
      </c>
      <c r="AR2922" s="82" t="str">
        <f aca="false">IF(AND(ISNUMBER(U2922),OR(AQ2922="À RADIOGRAPHIER",AQ2922="RÉPARÉ – À RADIOGRAPHIER",AQ2922="NX – RT À REFAIRE",AQ2922="À RÉPARER",AQ2922="COUPE – À RESOUDER",AQ2922="VT REJETÉ – À REPRENDRE")),MAX(0,'PROGRAMME RT'!$C$4-U2922),"")</f>
        <v/>
      </c>
      <c r="AS2922" s="82" t="n">
        <f aca="false">IF(AND(OR(AQ2922="À RADIOGRAPHIER",AQ2922="RÉPARÉ – À RADIOGRAPHIER",AQ2922="NX – RT À REFAIRE"),OR('PROGRAMME RT'!$D$5="TOUTES",B2922='PROGRAMME RT'!$D$5)),1,0)</f>
        <v>0</v>
      </c>
      <c r="AT2922" s="82" t="str">
        <f aca="false">IF(AS2922=1,SUM(AS$7:AS2922),"")</f>
        <v/>
      </c>
      <c r="AU2922" s="82" t="n">
        <f aca="false">IF(AND(OR(AA2922="R",AA2922="NX",AA2922="NT",AA2922="CO"),OR('JOINTS DE RÉPARATION'!$D$5="TOUTES",B2922='JOINTS DE RÉPARATION'!$D$5),OR('JOINTS DE RÉPARATION'!$L$4="TOUS",AQ2922&lt;&gt;"ACCEPTÉ")),1,0)</f>
        <v>0</v>
      </c>
      <c r="AV2922" s="82" t="str">
        <f aca="false">IF(AU2922=1,SUM(AU$7:AU2922),"")</f>
        <v/>
      </c>
      <c r="AW2922" s="82" t="str">
        <f aca="false">IF(E2922="","",B2922&amp;"|"&amp;E2922)</f>
        <v/>
      </c>
    </row>
    <row r="2923" customFormat="false" ht="15" hidden="false" customHeight="false" outlineLevel="0" collapsed="false">
      <c r="A2923" s="79" t="str">
        <f aca="false">IF(E2923="","",ROW()-6)</f>
        <v/>
      </c>
      <c r="B2923" s="80"/>
      <c r="C2923" s="81"/>
      <c r="D2923" s="81"/>
      <c r="E2923" s="81"/>
      <c r="F2923" s="82" t="str">
        <f aca="false">IF(E2923="","",IF(LEFT(E2923,2)="DJ","DJ","JN"))</f>
        <v/>
      </c>
      <c r="G2923" s="81"/>
      <c r="H2923" s="81"/>
      <c r="I2923" s="81"/>
      <c r="J2923" s="81"/>
      <c r="K2923" s="81"/>
      <c r="L2923" s="81"/>
      <c r="M2923" s="81"/>
      <c r="N2923" s="81"/>
      <c r="O2923" s="81"/>
      <c r="P2923" s="81"/>
      <c r="Q2923" s="81"/>
      <c r="R2923" s="81"/>
      <c r="S2923" s="81"/>
      <c r="T2923" s="81"/>
      <c r="U2923" s="83"/>
      <c r="V2923" s="83"/>
      <c r="W2923" s="81"/>
      <c r="X2923" s="81"/>
      <c r="Y2923" s="83"/>
      <c r="Z2923" s="81"/>
      <c r="AA2923" s="81"/>
      <c r="AB2923" s="81"/>
      <c r="AC2923" s="81"/>
      <c r="AD2923" s="81"/>
      <c r="AE2923" s="83"/>
      <c r="AF2923" s="81"/>
      <c r="AG2923" s="81"/>
      <c r="AH2923" s="81"/>
      <c r="AI2923" s="81"/>
      <c r="AJ2923" s="83"/>
      <c r="AK2923" s="81"/>
      <c r="AL2923" s="81"/>
      <c r="AM2923" s="83"/>
      <c r="AN2923" s="80"/>
      <c r="AO2923" s="82" t="str">
        <f aca="false">IF(E2923="","",(AA2923&lt;&gt;"")+(AG2923&lt;&gt;"")+(AL2923&lt;&gt;""))</f>
        <v/>
      </c>
      <c r="AP2923" s="82" t="str">
        <f aca="false">IF(AL2923&lt;&gt;"",AL2923,IF(AG2923&lt;&gt;"",AG2923,IF(AA2923&lt;&gt;"",AA2923,"")))</f>
        <v/>
      </c>
      <c r="AQ2923" s="84" t="str">
        <f aca="false">IF(E2923="","",IF(U2923="","À SOUDER",IF(X2923="","VT EN ATTENTE",IF(X2923="R","VT REJETÉ – À REPRENDRE",IF(AP2923="","À RADIOGRAPHIER",IF(AP2923="A","ACCEPTÉ",IF(AP2923="NX","NX – RT À REFAIRE",IF(IF(AO2923=1,AD2923,IF(AO2923=2,AI2923,""))="A","RÉPARÉ – À RADIOGRAPHIER",IF(IF(AO2923=1,AD2923,IF(AO2923=2,AI2923,""))="R","VT REJETÉ – À REPRENDRE",IF(OR(AP2923="CO",AP2923="NT"),"COUPE – À RESOUDER","À RÉPARER"))))))))))</f>
        <v/>
      </c>
      <c r="AR2923" s="82" t="str">
        <f aca="false">IF(AND(ISNUMBER(U2923),OR(AQ2923="À RADIOGRAPHIER",AQ2923="RÉPARÉ – À RADIOGRAPHIER",AQ2923="NX – RT À REFAIRE",AQ2923="À RÉPARER",AQ2923="COUPE – À RESOUDER",AQ2923="VT REJETÉ – À REPRENDRE")),MAX(0,'PROGRAMME RT'!$C$4-U2923),"")</f>
        <v/>
      </c>
      <c r="AS2923" s="82" t="n">
        <f aca="false">IF(AND(OR(AQ2923="À RADIOGRAPHIER",AQ2923="RÉPARÉ – À RADIOGRAPHIER",AQ2923="NX – RT À REFAIRE"),OR('PROGRAMME RT'!$D$5="TOUTES",B2923='PROGRAMME RT'!$D$5)),1,0)</f>
        <v>0</v>
      </c>
      <c r="AT2923" s="82" t="str">
        <f aca="false">IF(AS2923=1,SUM(AS$7:AS2923),"")</f>
        <v/>
      </c>
      <c r="AU2923" s="82" t="n">
        <f aca="false">IF(AND(OR(AA2923="R",AA2923="NX",AA2923="NT",AA2923="CO"),OR('JOINTS DE RÉPARATION'!$D$5="TOUTES",B2923='JOINTS DE RÉPARATION'!$D$5),OR('JOINTS DE RÉPARATION'!$L$4="TOUS",AQ2923&lt;&gt;"ACCEPTÉ")),1,0)</f>
        <v>0</v>
      </c>
      <c r="AV2923" s="82" t="str">
        <f aca="false">IF(AU2923=1,SUM(AU$7:AU2923),"")</f>
        <v/>
      </c>
      <c r="AW2923" s="82" t="str">
        <f aca="false">IF(E2923="","",B2923&amp;"|"&amp;E2923)</f>
        <v/>
      </c>
    </row>
    <row r="2924" customFormat="false" ht="15" hidden="false" customHeight="false" outlineLevel="0" collapsed="false">
      <c r="A2924" s="79" t="str">
        <f aca="false">IF(E2924="","",ROW()-6)</f>
        <v/>
      </c>
      <c r="B2924" s="80"/>
      <c r="C2924" s="81"/>
      <c r="D2924" s="81"/>
      <c r="E2924" s="81"/>
      <c r="F2924" s="82" t="str">
        <f aca="false">IF(E2924="","",IF(LEFT(E2924,2)="DJ","DJ","JN"))</f>
        <v/>
      </c>
      <c r="G2924" s="81"/>
      <c r="H2924" s="81"/>
      <c r="I2924" s="81"/>
      <c r="J2924" s="81"/>
      <c r="K2924" s="81"/>
      <c r="L2924" s="81"/>
      <c r="M2924" s="81"/>
      <c r="N2924" s="81"/>
      <c r="O2924" s="81"/>
      <c r="P2924" s="81"/>
      <c r="Q2924" s="81"/>
      <c r="R2924" s="81"/>
      <c r="S2924" s="81"/>
      <c r="T2924" s="81"/>
      <c r="U2924" s="83"/>
      <c r="V2924" s="83"/>
      <c r="W2924" s="81"/>
      <c r="X2924" s="81"/>
      <c r="Y2924" s="83"/>
      <c r="Z2924" s="81"/>
      <c r="AA2924" s="81"/>
      <c r="AB2924" s="81"/>
      <c r="AC2924" s="81"/>
      <c r="AD2924" s="81"/>
      <c r="AE2924" s="83"/>
      <c r="AF2924" s="81"/>
      <c r="AG2924" s="81"/>
      <c r="AH2924" s="81"/>
      <c r="AI2924" s="81"/>
      <c r="AJ2924" s="83"/>
      <c r="AK2924" s="81"/>
      <c r="AL2924" s="81"/>
      <c r="AM2924" s="83"/>
      <c r="AN2924" s="80"/>
      <c r="AO2924" s="82" t="str">
        <f aca="false">IF(E2924="","",(AA2924&lt;&gt;"")+(AG2924&lt;&gt;"")+(AL2924&lt;&gt;""))</f>
        <v/>
      </c>
      <c r="AP2924" s="82" t="str">
        <f aca="false">IF(AL2924&lt;&gt;"",AL2924,IF(AG2924&lt;&gt;"",AG2924,IF(AA2924&lt;&gt;"",AA2924,"")))</f>
        <v/>
      </c>
      <c r="AQ2924" s="84" t="str">
        <f aca="false">IF(E2924="","",IF(U2924="","À SOUDER",IF(X2924="","VT EN ATTENTE",IF(X2924="R","VT REJETÉ – À REPRENDRE",IF(AP2924="","À RADIOGRAPHIER",IF(AP2924="A","ACCEPTÉ",IF(AP2924="NX","NX – RT À REFAIRE",IF(IF(AO2924=1,AD2924,IF(AO2924=2,AI2924,""))="A","RÉPARÉ – À RADIOGRAPHIER",IF(IF(AO2924=1,AD2924,IF(AO2924=2,AI2924,""))="R","VT REJETÉ – À REPRENDRE",IF(OR(AP2924="CO",AP2924="NT"),"COUPE – À RESOUDER","À RÉPARER"))))))))))</f>
        <v/>
      </c>
      <c r="AR2924" s="82" t="str">
        <f aca="false">IF(AND(ISNUMBER(U2924),OR(AQ2924="À RADIOGRAPHIER",AQ2924="RÉPARÉ – À RADIOGRAPHIER",AQ2924="NX – RT À REFAIRE",AQ2924="À RÉPARER",AQ2924="COUPE – À RESOUDER",AQ2924="VT REJETÉ – À REPRENDRE")),MAX(0,'PROGRAMME RT'!$C$4-U2924),"")</f>
        <v/>
      </c>
      <c r="AS2924" s="82" t="n">
        <f aca="false">IF(AND(OR(AQ2924="À RADIOGRAPHIER",AQ2924="RÉPARÉ – À RADIOGRAPHIER",AQ2924="NX – RT À REFAIRE"),OR('PROGRAMME RT'!$D$5="TOUTES",B2924='PROGRAMME RT'!$D$5)),1,0)</f>
        <v>0</v>
      </c>
      <c r="AT2924" s="82" t="str">
        <f aca="false">IF(AS2924=1,SUM(AS$7:AS2924),"")</f>
        <v/>
      </c>
      <c r="AU2924" s="82" t="n">
        <f aca="false">IF(AND(OR(AA2924="R",AA2924="NX",AA2924="NT",AA2924="CO"),OR('JOINTS DE RÉPARATION'!$D$5="TOUTES",B2924='JOINTS DE RÉPARATION'!$D$5),OR('JOINTS DE RÉPARATION'!$L$4="TOUS",AQ2924&lt;&gt;"ACCEPTÉ")),1,0)</f>
        <v>0</v>
      </c>
      <c r="AV2924" s="82" t="str">
        <f aca="false">IF(AU2924=1,SUM(AU$7:AU2924),"")</f>
        <v/>
      </c>
      <c r="AW2924" s="82" t="str">
        <f aca="false">IF(E2924="","",B2924&amp;"|"&amp;E2924)</f>
        <v/>
      </c>
    </row>
    <row r="2925" customFormat="false" ht="15" hidden="false" customHeight="false" outlineLevel="0" collapsed="false">
      <c r="A2925" s="79" t="str">
        <f aca="false">IF(E2925="","",ROW()-6)</f>
        <v/>
      </c>
      <c r="B2925" s="80"/>
      <c r="C2925" s="81"/>
      <c r="D2925" s="81"/>
      <c r="E2925" s="81"/>
      <c r="F2925" s="82" t="str">
        <f aca="false">IF(E2925="","",IF(LEFT(E2925,2)="DJ","DJ","JN"))</f>
        <v/>
      </c>
      <c r="G2925" s="81"/>
      <c r="H2925" s="81"/>
      <c r="I2925" s="81"/>
      <c r="J2925" s="81"/>
      <c r="K2925" s="81"/>
      <c r="L2925" s="81"/>
      <c r="M2925" s="81"/>
      <c r="N2925" s="81"/>
      <c r="O2925" s="81"/>
      <c r="P2925" s="81"/>
      <c r="Q2925" s="81"/>
      <c r="R2925" s="81"/>
      <c r="S2925" s="81"/>
      <c r="T2925" s="81"/>
      <c r="U2925" s="83"/>
      <c r="V2925" s="83"/>
      <c r="W2925" s="81"/>
      <c r="X2925" s="81"/>
      <c r="Y2925" s="83"/>
      <c r="Z2925" s="81"/>
      <c r="AA2925" s="81"/>
      <c r="AB2925" s="81"/>
      <c r="AC2925" s="81"/>
      <c r="AD2925" s="81"/>
      <c r="AE2925" s="83"/>
      <c r="AF2925" s="81"/>
      <c r="AG2925" s="81"/>
      <c r="AH2925" s="81"/>
      <c r="AI2925" s="81"/>
      <c r="AJ2925" s="83"/>
      <c r="AK2925" s="81"/>
      <c r="AL2925" s="81"/>
      <c r="AM2925" s="83"/>
      <c r="AN2925" s="80"/>
      <c r="AO2925" s="82" t="str">
        <f aca="false">IF(E2925="","",(AA2925&lt;&gt;"")+(AG2925&lt;&gt;"")+(AL2925&lt;&gt;""))</f>
        <v/>
      </c>
      <c r="AP2925" s="82" t="str">
        <f aca="false">IF(AL2925&lt;&gt;"",AL2925,IF(AG2925&lt;&gt;"",AG2925,IF(AA2925&lt;&gt;"",AA2925,"")))</f>
        <v/>
      </c>
      <c r="AQ2925" s="84" t="str">
        <f aca="false">IF(E2925="","",IF(U2925="","À SOUDER",IF(X2925="","VT EN ATTENTE",IF(X2925="R","VT REJETÉ – À REPRENDRE",IF(AP2925="","À RADIOGRAPHIER",IF(AP2925="A","ACCEPTÉ",IF(AP2925="NX","NX – RT À REFAIRE",IF(IF(AO2925=1,AD2925,IF(AO2925=2,AI2925,""))="A","RÉPARÉ – À RADIOGRAPHIER",IF(IF(AO2925=1,AD2925,IF(AO2925=2,AI2925,""))="R","VT REJETÉ – À REPRENDRE",IF(OR(AP2925="CO",AP2925="NT"),"COUPE – À RESOUDER","À RÉPARER"))))))))))</f>
        <v/>
      </c>
      <c r="AR2925" s="82" t="str">
        <f aca="false">IF(AND(ISNUMBER(U2925),OR(AQ2925="À RADIOGRAPHIER",AQ2925="RÉPARÉ – À RADIOGRAPHIER",AQ2925="NX – RT À REFAIRE",AQ2925="À RÉPARER",AQ2925="COUPE – À RESOUDER",AQ2925="VT REJETÉ – À REPRENDRE")),MAX(0,'PROGRAMME RT'!$C$4-U2925),"")</f>
        <v/>
      </c>
      <c r="AS2925" s="82" t="n">
        <f aca="false">IF(AND(OR(AQ2925="À RADIOGRAPHIER",AQ2925="RÉPARÉ – À RADIOGRAPHIER",AQ2925="NX – RT À REFAIRE"),OR('PROGRAMME RT'!$D$5="TOUTES",B2925='PROGRAMME RT'!$D$5)),1,0)</f>
        <v>0</v>
      </c>
      <c r="AT2925" s="82" t="str">
        <f aca="false">IF(AS2925=1,SUM(AS$7:AS2925),"")</f>
        <v/>
      </c>
      <c r="AU2925" s="82" t="n">
        <f aca="false">IF(AND(OR(AA2925="R",AA2925="NX",AA2925="NT",AA2925="CO"),OR('JOINTS DE RÉPARATION'!$D$5="TOUTES",B2925='JOINTS DE RÉPARATION'!$D$5),OR('JOINTS DE RÉPARATION'!$L$4="TOUS",AQ2925&lt;&gt;"ACCEPTÉ")),1,0)</f>
        <v>0</v>
      </c>
      <c r="AV2925" s="82" t="str">
        <f aca="false">IF(AU2925=1,SUM(AU$7:AU2925),"")</f>
        <v/>
      </c>
      <c r="AW2925" s="82" t="str">
        <f aca="false">IF(E2925="","",B2925&amp;"|"&amp;E2925)</f>
        <v/>
      </c>
    </row>
    <row r="2926" customFormat="false" ht="15" hidden="false" customHeight="false" outlineLevel="0" collapsed="false">
      <c r="A2926" s="79" t="str">
        <f aca="false">IF(E2926="","",ROW()-6)</f>
        <v/>
      </c>
      <c r="B2926" s="80"/>
      <c r="C2926" s="81"/>
      <c r="D2926" s="81"/>
      <c r="E2926" s="81"/>
      <c r="F2926" s="82" t="str">
        <f aca="false">IF(E2926="","",IF(LEFT(E2926,2)="DJ","DJ","JN"))</f>
        <v/>
      </c>
      <c r="G2926" s="81"/>
      <c r="H2926" s="81"/>
      <c r="I2926" s="81"/>
      <c r="J2926" s="81"/>
      <c r="K2926" s="81"/>
      <c r="L2926" s="81"/>
      <c r="M2926" s="81"/>
      <c r="N2926" s="81"/>
      <c r="O2926" s="81"/>
      <c r="P2926" s="81"/>
      <c r="Q2926" s="81"/>
      <c r="R2926" s="81"/>
      <c r="S2926" s="81"/>
      <c r="T2926" s="81"/>
      <c r="U2926" s="83"/>
      <c r="V2926" s="83"/>
      <c r="W2926" s="81"/>
      <c r="X2926" s="81"/>
      <c r="Y2926" s="83"/>
      <c r="Z2926" s="81"/>
      <c r="AA2926" s="81"/>
      <c r="AB2926" s="81"/>
      <c r="AC2926" s="81"/>
      <c r="AD2926" s="81"/>
      <c r="AE2926" s="83"/>
      <c r="AF2926" s="81"/>
      <c r="AG2926" s="81"/>
      <c r="AH2926" s="81"/>
      <c r="AI2926" s="81"/>
      <c r="AJ2926" s="83"/>
      <c r="AK2926" s="81"/>
      <c r="AL2926" s="81"/>
      <c r="AM2926" s="83"/>
      <c r="AN2926" s="80"/>
      <c r="AO2926" s="82" t="str">
        <f aca="false">IF(E2926="","",(AA2926&lt;&gt;"")+(AG2926&lt;&gt;"")+(AL2926&lt;&gt;""))</f>
        <v/>
      </c>
      <c r="AP2926" s="82" t="str">
        <f aca="false">IF(AL2926&lt;&gt;"",AL2926,IF(AG2926&lt;&gt;"",AG2926,IF(AA2926&lt;&gt;"",AA2926,"")))</f>
        <v/>
      </c>
      <c r="AQ2926" s="84" t="str">
        <f aca="false">IF(E2926="","",IF(U2926="","À SOUDER",IF(X2926="","VT EN ATTENTE",IF(X2926="R","VT REJETÉ – À REPRENDRE",IF(AP2926="","À RADIOGRAPHIER",IF(AP2926="A","ACCEPTÉ",IF(AP2926="NX","NX – RT À REFAIRE",IF(IF(AO2926=1,AD2926,IF(AO2926=2,AI2926,""))="A","RÉPARÉ – À RADIOGRAPHIER",IF(IF(AO2926=1,AD2926,IF(AO2926=2,AI2926,""))="R","VT REJETÉ – À REPRENDRE",IF(OR(AP2926="CO",AP2926="NT"),"COUPE – À RESOUDER","À RÉPARER"))))))))))</f>
        <v/>
      </c>
      <c r="AR2926" s="82" t="str">
        <f aca="false">IF(AND(ISNUMBER(U2926),OR(AQ2926="À RADIOGRAPHIER",AQ2926="RÉPARÉ – À RADIOGRAPHIER",AQ2926="NX – RT À REFAIRE",AQ2926="À RÉPARER",AQ2926="COUPE – À RESOUDER",AQ2926="VT REJETÉ – À REPRENDRE")),MAX(0,'PROGRAMME RT'!$C$4-U2926),"")</f>
        <v/>
      </c>
      <c r="AS2926" s="82" t="n">
        <f aca="false">IF(AND(OR(AQ2926="À RADIOGRAPHIER",AQ2926="RÉPARÉ – À RADIOGRAPHIER",AQ2926="NX – RT À REFAIRE"),OR('PROGRAMME RT'!$D$5="TOUTES",B2926='PROGRAMME RT'!$D$5)),1,0)</f>
        <v>0</v>
      </c>
      <c r="AT2926" s="82" t="str">
        <f aca="false">IF(AS2926=1,SUM(AS$7:AS2926),"")</f>
        <v/>
      </c>
      <c r="AU2926" s="82" t="n">
        <f aca="false">IF(AND(OR(AA2926="R",AA2926="NX",AA2926="NT",AA2926="CO"),OR('JOINTS DE RÉPARATION'!$D$5="TOUTES",B2926='JOINTS DE RÉPARATION'!$D$5),OR('JOINTS DE RÉPARATION'!$L$4="TOUS",AQ2926&lt;&gt;"ACCEPTÉ")),1,0)</f>
        <v>0</v>
      </c>
      <c r="AV2926" s="82" t="str">
        <f aca="false">IF(AU2926=1,SUM(AU$7:AU2926),"")</f>
        <v/>
      </c>
      <c r="AW2926" s="82" t="str">
        <f aca="false">IF(E2926="","",B2926&amp;"|"&amp;E2926)</f>
        <v/>
      </c>
    </row>
    <row r="2927" customFormat="false" ht="15" hidden="false" customHeight="false" outlineLevel="0" collapsed="false">
      <c r="A2927" s="79" t="str">
        <f aca="false">IF(E2927="","",ROW()-6)</f>
        <v/>
      </c>
      <c r="B2927" s="80"/>
      <c r="C2927" s="81"/>
      <c r="D2927" s="81"/>
      <c r="E2927" s="81"/>
      <c r="F2927" s="82" t="str">
        <f aca="false">IF(E2927="","",IF(LEFT(E2927,2)="DJ","DJ","JN"))</f>
        <v/>
      </c>
      <c r="G2927" s="81"/>
      <c r="H2927" s="81"/>
      <c r="I2927" s="81"/>
      <c r="J2927" s="81"/>
      <c r="K2927" s="81"/>
      <c r="L2927" s="81"/>
      <c r="M2927" s="81"/>
      <c r="N2927" s="81"/>
      <c r="O2927" s="81"/>
      <c r="P2927" s="81"/>
      <c r="Q2927" s="81"/>
      <c r="R2927" s="81"/>
      <c r="S2927" s="81"/>
      <c r="T2927" s="81"/>
      <c r="U2927" s="83"/>
      <c r="V2927" s="83"/>
      <c r="W2927" s="81"/>
      <c r="X2927" s="81"/>
      <c r="Y2927" s="83"/>
      <c r="Z2927" s="81"/>
      <c r="AA2927" s="81"/>
      <c r="AB2927" s="81"/>
      <c r="AC2927" s="81"/>
      <c r="AD2927" s="81"/>
      <c r="AE2927" s="83"/>
      <c r="AF2927" s="81"/>
      <c r="AG2927" s="81"/>
      <c r="AH2927" s="81"/>
      <c r="AI2927" s="81"/>
      <c r="AJ2927" s="83"/>
      <c r="AK2927" s="81"/>
      <c r="AL2927" s="81"/>
      <c r="AM2927" s="83"/>
      <c r="AN2927" s="80"/>
      <c r="AO2927" s="82" t="str">
        <f aca="false">IF(E2927="","",(AA2927&lt;&gt;"")+(AG2927&lt;&gt;"")+(AL2927&lt;&gt;""))</f>
        <v/>
      </c>
      <c r="AP2927" s="82" t="str">
        <f aca="false">IF(AL2927&lt;&gt;"",AL2927,IF(AG2927&lt;&gt;"",AG2927,IF(AA2927&lt;&gt;"",AA2927,"")))</f>
        <v/>
      </c>
      <c r="AQ2927" s="84" t="str">
        <f aca="false">IF(E2927="","",IF(U2927="","À SOUDER",IF(X2927="","VT EN ATTENTE",IF(X2927="R","VT REJETÉ – À REPRENDRE",IF(AP2927="","À RADIOGRAPHIER",IF(AP2927="A","ACCEPTÉ",IF(AP2927="NX","NX – RT À REFAIRE",IF(IF(AO2927=1,AD2927,IF(AO2927=2,AI2927,""))="A","RÉPARÉ – À RADIOGRAPHIER",IF(IF(AO2927=1,AD2927,IF(AO2927=2,AI2927,""))="R","VT REJETÉ – À REPRENDRE",IF(OR(AP2927="CO",AP2927="NT"),"COUPE – À RESOUDER","À RÉPARER"))))))))))</f>
        <v/>
      </c>
      <c r="AR2927" s="82" t="str">
        <f aca="false">IF(AND(ISNUMBER(U2927),OR(AQ2927="À RADIOGRAPHIER",AQ2927="RÉPARÉ – À RADIOGRAPHIER",AQ2927="NX – RT À REFAIRE",AQ2927="À RÉPARER",AQ2927="COUPE – À RESOUDER",AQ2927="VT REJETÉ – À REPRENDRE")),MAX(0,'PROGRAMME RT'!$C$4-U2927),"")</f>
        <v/>
      </c>
      <c r="AS2927" s="82" t="n">
        <f aca="false">IF(AND(OR(AQ2927="À RADIOGRAPHIER",AQ2927="RÉPARÉ – À RADIOGRAPHIER",AQ2927="NX – RT À REFAIRE"),OR('PROGRAMME RT'!$D$5="TOUTES",B2927='PROGRAMME RT'!$D$5)),1,0)</f>
        <v>0</v>
      </c>
      <c r="AT2927" s="82" t="str">
        <f aca="false">IF(AS2927=1,SUM(AS$7:AS2927),"")</f>
        <v/>
      </c>
      <c r="AU2927" s="82" t="n">
        <f aca="false">IF(AND(OR(AA2927="R",AA2927="NX",AA2927="NT",AA2927="CO"),OR('JOINTS DE RÉPARATION'!$D$5="TOUTES",B2927='JOINTS DE RÉPARATION'!$D$5),OR('JOINTS DE RÉPARATION'!$L$4="TOUS",AQ2927&lt;&gt;"ACCEPTÉ")),1,0)</f>
        <v>0</v>
      </c>
      <c r="AV2927" s="82" t="str">
        <f aca="false">IF(AU2927=1,SUM(AU$7:AU2927),"")</f>
        <v/>
      </c>
      <c r="AW2927" s="82" t="str">
        <f aca="false">IF(E2927="","",B2927&amp;"|"&amp;E2927)</f>
        <v/>
      </c>
    </row>
    <row r="2928" customFormat="false" ht="15" hidden="false" customHeight="false" outlineLevel="0" collapsed="false">
      <c r="A2928" s="79" t="str">
        <f aca="false">IF(E2928="","",ROW()-6)</f>
        <v/>
      </c>
      <c r="B2928" s="80"/>
      <c r="C2928" s="81"/>
      <c r="D2928" s="81"/>
      <c r="E2928" s="81"/>
      <c r="F2928" s="82" t="str">
        <f aca="false">IF(E2928="","",IF(LEFT(E2928,2)="DJ","DJ","JN"))</f>
        <v/>
      </c>
      <c r="G2928" s="81"/>
      <c r="H2928" s="81"/>
      <c r="I2928" s="81"/>
      <c r="J2928" s="81"/>
      <c r="K2928" s="81"/>
      <c r="L2928" s="81"/>
      <c r="M2928" s="81"/>
      <c r="N2928" s="81"/>
      <c r="O2928" s="81"/>
      <c r="P2928" s="81"/>
      <c r="Q2928" s="81"/>
      <c r="R2928" s="81"/>
      <c r="S2928" s="81"/>
      <c r="T2928" s="81"/>
      <c r="U2928" s="83"/>
      <c r="V2928" s="83"/>
      <c r="W2928" s="81"/>
      <c r="X2928" s="81"/>
      <c r="Y2928" s="83"/>
      <c r="Z2928" s="81"/>
      <c r="AA2928" s="81"/>
      <c r="AB2928" s="81"/>
      <c r="AC2928" s="81"/>
      <c r="AD2928" s="81"/>
      <c r="AE2928" s="83"/>
      <c r="AF2928" s="81"/>
      <c r="AG2928" s="81"/>
      <c r="AH2928" s="81"/>
      <c r="AI2928" s="81"/>
      <c r="AJ2928" s="83"/>
      <c r="AK2928" s="81"/>
      <c r="AL2928" s="81"/>
      <c r="AM2928" s="83"/>
      <c r="AN2928" s="80"/>
      <c r="AO2928" s="82" t="str">
        <f aca="false">IF(E2928="","",(AA2928&lt;&gt;"")+(AG2928&lt;&gt;"")+(AL2928&lt;&gt;""))</f>
        <v/>
      </c>
      <c r="AP2928" s="82" t="str">
        <f aca="false">IF(AL2928&lt;&gt;"",AL2928,IF(AG2928&lt;&gt;"",AG2928,IF(AA2928&lt;&gt;"",AA2928,"")))</f>
        <v/>
      </c>
      <c r="AQ2928" s="84" t="str">
        <f aca="false">IF(E2928="","",IF(U2928="","À SOUDER",IF(X2928="","VT EN ATTENTE",IF(X2928="R","VT REJETÉ – À REPRENDRE",IF(AP2928="","À RADIOGRAPHIER",IF(AP2928="A","ACCEPTÉ",IF(AP2928="NX","NX – RT À REFAIRE",IF(IF(AO2928=1,AD2928,IF(AO2928=2,AI2928,""))="A","RÉPARÉ – À RADIOGRAPHIER",IF(IF(AO2928=1,AD2928,IF(AO2928=2,AI2928,""))="R","VT REJETÉ – À REPRENDRE",IF(OR(AP2928="CO",AP2928="NT"),"COUPE – À RESOUDER","À RÉPARER"))))))))))</f>
        <v/>
      </c>
      <c r="AR2928" s="82" t="str">
        <f aca="false">IF(AND(ISNUMBER(U2928),OR(AQ2928="À RADIOGRAPHIER",AQ2928="RÉPARÉ – À RADIOGRAPHIER",AQ2928="NX – RT À REFAIRE",AQ2928="À RÉPARER",AQ2928="COUPE – À RESOUDER",AQ2928="VT REJETÉ – À REPRENDRE")),MAX(0,'PROGRAMME RT'!$C$4-U2928),"")</f>
        <v/>
      </c>
      <c r="AS2928" s="82" t="n">
        <f aca="false">IF(AND(OR(AQ2928="À RADIOGRAPHIER",AQ2928="RÉPARÉ – À RADIOGRAPHIER",AQ2928="NX – RT À REFAIRE"),OR('PROGRAMME RT'!$D$5="TOUTES",B2928='PROGRAMME RT'!$D$5)),1,0)</f>
        <v>0</v>
      </c>
      <c r="AT2928" s="82" t="str">
        <f aca="false">IF(AS2928=1,SUM(AS$7:AS2928),"")</f>
        <v/>
      </c>
      <c r="AU2928" s="82" t="n">
        <f aca="false">IF(AND(OR(AA2928="R",AA2928="NX",AA2928="NT",AA2928="CO"),OR('JOINTS DE RÉPARATION'!$D$5="TOUTES",B2928='JOINTS DE RÉPARATION'!$D$5),OR('JOINTS DE RÉPARATION'!$L$4="TOUS",AQ2928&lt;&gt;"ACCEPTÉ")),1,0)</f>
        <v>0</v>
      </c>
      <c r="AV2928" s="82" t="str">
        <f aca="false">IF(AU2928=1,SUM(AU$7:AU2928),"")</f>
        <v/>
      </c>
      <c r="AW2928" s="82" t="str">
        <f aca="false">IF(E2928="","",B2928&amp;"|"&amp;E2928)</f>
        <v/>
      </c>
    </row>
    <row r="2929" customFormat="false" ht="15" hidden="false" customHeight="false" outlineLevel="0" collapsed="false">
      <c r="A2929" s="79" t="str">
        <f aca="false">IF(E2929="","",ROW()-6)</f>
        <v/>
      </c>
      <c r="B2929" s="80"/>
      <c r="C2929" s="81"/>
      <c r="D2929" s="81"/>
      <c r="E2929" s="81"/>
      <c r="F2929" s="82" t="str">
        <f aca="false">IF(E2929="","",IF(LEFT(E2929,2)="DJ","DJ","JN"))</f>
        <v/>
      </c>
      <c r="G2929" s="81"/>
      <c r="H2929" s="81"/>
      <c r="I2929" s="81"/>
      <c r="J2929" s="81"/>
      <c r="K2929" s="81"/>
      <c r="L2929" s="81"/>
      <c r="M2929" s="81"/>
      <c r="N2929" s="81"/>
      <c r="O2929" s="81"/>
      <c r="P2929" s="81"/>
      <c r="Q2929" s="81"/>
      <c r="R2929" s="81"/>
      <c r="S2929" s="81"/>
      <c r="T2929" s="81"/>
      <c r="U2929" s="83"/>
      <c r="V2929" s="83"/>
      <c r="W2929" s="81"/>
      <c r="X2929" s="81"/>
      <c r="Y2929" s="83"/>
      <c r="Z2929" s="81"/>
      <c r="AA2929" s="81"/>
      <c r="AB2929" s="81"/>
      <c r="AC2929" s="81"/>
      <c r="AD2929" s="81"/>
      <c r="AE2929" s="83"/>
      <c r="AF2929" s="81"/>
      <c r="AG2929" s="81"/>
      <c r="AH2929" s="81"/>
      <c r="AI2929" s="81"/>
      <c r="AJ2929" s="83"/>
      <c r="AK2929" s="81"/>
      <c r="AL2929" s="81"/>
      <c r="AM2929" s="83"/>
      <c r="AN2929" s="80"/>
      <c r="AO2929" s="82" t="str">
        <f aca="false">IF(E2929="","",(AA2929&lt;&gt;"")+(AG2929&lt;&gt;"")+(AL2929&lt;&gt;""))</f>
        <v/>
      </c>
      <c r="AP2929" s="82" t="str">
        <f aca="false">IF(AL2929&lt;&gt;"",AL2929,IF(AG2929&lt;&gt;"",AG2929,IF(AA2929&lt;&gt;"",AA2929,"")))</f>
        <v/>
      </c>
      <c r="AQ2929" s="84" t="str">
        <f aca="false">IF(E2929="","",IF(U2929="","À SOUDER",IF(X2929="","VT EN ATTENTE",IF(X2929="R","VT REJETÉ – À REPRENDRE",IF(AP2929="","À RADIOGRAPHIER",IF(AP2929="A","ACCEPTÉ",IF(AP2929="NX","NX – RT À REFAIRE",IF(IF(AO2929=1,AD2929,IF(AO2929=2,AI2929,""))="A","RÉPARÉ – À RADIOGRAPHIER",IF(IF(AO2929=1,AD2929,IF(AO2929=2,AI2929,""))="R","VT REJETÉ – À REPRENDRE",IF(OR(AP2929="CO",AP2929="NT"),"COUPE – À RESOUDER","À RÉPARER"))))))))))</f>
        <v/>
      </c>
      <c r="AR2929" s="82" t="str">
        <f aca="false">IF(AND(ISNUMBER(U2929),OR(AQ2929="À RADIOGRAPHIER",AQ2929="RÉPARÉ – À RADIOGRAPHIER",AQ2929="NX – RT À REFAIRE",AQ2929="À RÉPARER",AQ2929="COUPE – À RESOUDER",AQ2929="VT REJETÉ – À REPRENDRE")),MAX(0,'PROGRAMME RT'!$C$4-U2929),"")</f>
        <v/>
      </c>
      <c r="AS2929" s="82" t="n">
        <f aca="false">IF(AND(OR(AQ2929="À RADIOGRAPHIER",AQ2929="RÉPARÉ – À RADIOGRAPHIER",AQ2929="NX – RT À REFAIRE"),OR('PROGRAMME RT'!$D$5="TOUTES",B2929='PROGRAMME RT'!$D$5)),1,0)</f>
        <v>0</v>
      </c>
      <c r="AT2929" s="82" t="str">
        <f aca="false">IF(AS2929=1,SUM(AS$7:AS2929),"")</f>
        <v/>
      </c>
      <c r="AU2929" s="82" t="n">
        <f aca="false">IF(AND(OR(AA2929="R",AA2929="NX",AA2929="NT",AA2929="CO"),OR('JOINTS DE RÉPARATION'!$D$5="TOUTES",B2929='JOINTS DE RÉPARATION'!$D$5),OR('JOINTS DE RÉPARATION'!$L$4="TOUS",AQ2929&lt;&gt;"ACCEPTÉ")),1,0)</f>
        <v>0</v>
      </c>
      <c r="AV2929" s="82" t="str">
        <f aca="false">IF(AU2929=1,SUM(AU$7:AU2929),"")</f>
        <v/>
      </c>
      <c r="AW2929" s="82" t="str">
        <f aca="false">IF(E2929="","",B2929&amp;"|"&amp;E2929)</f>
        <v/>
      </c>
    </row>
    <row r="2930" customFormat="false" ht="15" hidden="false" customHeight="false" outlineLevel="0" collapsed="false">
      <c r="A2930" s="79" t="str">
        <f aca="false">IF(E2930="","",ROW()-6)</f>
        <v/>
      </c>
      <c r="B2930" s="80"/>
      <c r="C2930" s="81"/>
      <c r="D2930" s="81"/>
      <c r="E2930" s="81"/>
      <c r="F2930" s="82" t="str">
        <f aca="false">IF(E2930="","",IF(LEFT(E2930,2)="DJ","DJ","JN"))</f>
        <v/>
      </c>
      <c r="G2930" s="81"/>
      <c r="H2930" s="81"/>
      <c r="I2930" s="81"/>
      <c r="J2930" s="81"/>
      <c r="K2930" s="81"/>
      <c r="L2930" s="81"/>
      <c r="M2930" s="81"/>
      <c r="N2930" s="81"/>
      <c r="O2930" s="81"/>
      <c r="P2930" s="81"/>
      <c r="Q2930" s="81"/>
      <c r="R2930" s="81"/>
      <c r="S2930" s="81"/>
      <c r="T2930" s="81"/>
      <c r="U2930" s="83"/>
      <c r="V2930" s="83"/>
      <c r="W2930" s="81"/>
      <c r="X2930" s="81"/>
      <c r="Y2930" s="83"/>
      <c r="Z2930" s="81"/>
      <c r="AA2930" s="81"/>
      <c r="AB2930" s="81"/>
      <c r="AC2930" s="81"/>
      <c r="AD2930" s="81"/>
      <c r="AE2930" s="83"/>
      <c r="AF2930" s="81"/>
      <c r="AG2930" s="81"/>
      <c r="AH2930" s="81"/>
      <c r="AI2930" s="81"/>
      <c r="AJ2930" s="83"/>
      <c r="AK2930" s="81"/>
      <c r="AL2930" s="81"/>
      <c r="AM2930" s="83"/>
      <c r="AN2930" s="80"/>
      <c r="AO2930" s="82" t="str">
        <f aca="false">IF(E2930="","",(AA2930&lt;&gt;"")+(AG2930&lt;&gt;"")+(AL2930&lt;&gt;""))</f>
        <v/>
      </c>
      <c r="AP2930" s="82" t="str">
        <f aca="false">IF(AL2930&lt;&gt;"",AL2930,IF(AG2930&lt;&gt;"",AG2930,IF(AA2930&lt;&gt;"",AA2930,"")))</f>
        <v/>
      </c>
      <c r="AQ2930" s="84" t="str">
        <f aca="false">IF(E2930="","",IF(U2930="","À SOUDER",IF(X2930="","VT EN ATTENTE",IF(X2930="R","VT REJETÉ – À REPRENDRE",IF(AP2930="","À RADIOGRAPHIER",IF(AP2930="A","ACCEPTÉ",IF(AP2930="NX","NX – RT À REFAIRE",IF(IF(AO2930=1,AD2930,IF(AO2930=2,AI2930,""))="A","RÉPARÉ – À RADIOGRAPHIER",IF(IF(AO2930=1,AD2930,IF(AO2930=2,AI2930,""))="R","VT REJETÉ – À REPRENDRE",IF(OR(AP2930="CO",AP2930="NT"),"COUPE – À RESOUDER","À RÉPARER"))))))))))</f>
        <v/>
      </c>
      <c r="AR2930" s="82" t="str">
        <f aca="false">IF(AND(ISNUMBER(U2930),OR(AQ2930="À RADIOGRAPHIER",AQ2930="RÉPARÉ – À RADIOGRAPHIER",AQ2930="NX – RT À REFAIRE",AQ2930="À RÉPARER",AQ2930="COUPE – À RESOUDER",AQ2930="VT REJETÉ – À REPRENDRE")),MAX(0,'PROGRAMME RT'!$C$4-U2930),"")</f>
        <v/>
      </c>
      <c r="AS2930" s="82" t="n">
        <f aca="false">IF(AND(OR(AQ2930="À RADIOGRAPHIER",AQ2930="RÉPARÉ – À RADIOGRAPHIER",AQ2930="NX – RT À REFAIRE"),OR('PROGRAMME RT'!$D$5="TOUTES",B2930='PROGRAMME RT'!$D$5)),1,0)</f>
        <v>0</v>
      </c>
      <c r="AT2930" s="82" t="str">
        <f aca="false">IF(AS2930=1,SUM(AS$7:AS2930),"")</f>
        <v/>
      </c>
      <c r="AU2930" s="82" t="n">
        <f aca="false">IF(AND(OR(AA2930="R",AA2930="NX",AA2930="NT",AA2930="CO"),OR('JOINTS DE RÉPARATION'!$D$5="TOUTES",B2930='JOINTS DE RÉPARATION'!$D$5),OR('JOINTS DE RÉPARATION'!$L$4="TOUS",AQ2930&lt;&gt;"ACCEPTÉ")),1,0)</f>
        <v>0</v>
      </c>
      <c r="AV2930" s="82" t="str">
        <f aca="false">IF(AU2930=1,SUM(AU$7:AU2930),"")</f>
        <v/>
      </c>
      <c r="AW2930" s="82" t="str">
        <f aca="false">IF(E2930="","",B2930&amp;"|"&amp;E2930)</f>
        <v/>
      </c>
    </row>
    <row r="2931" customFormat="false" ht="15" hidden="false" customHeight="false" outlineLevel="0" collapsed="false">
      <c r="A2931" s="79" t="str">
        <f aca="false">IF(E2931="","",ROW()-6)</f>
        <v/>
      </c>
      <c r="B2931" s="80"/>
      <c r="C2931" s="81"/>
      <c r="D2931" s="81"/>
      <c r="E2931" s="81"/>
      <c r="F2931" s="82" t="str">
        <f aca="false">IF(E2931="","",IF(LEFT(E2931,2)="DJ","DJ","JN"))</f>
        <v/>
      </c>
      <c r="G2931" s="81"/>
      <c r="H2931" s="81"/>
      <c r="I2931" s="81"/>
      <c r="J2931" s="81"/>
      <c r="K2931" s="81"/>
      <c r="L2931" s="81"/>
      <c r="M2931" s="81"/>
      <c r="N2931" s="81"/>
      <c r="O2931" s="81"/>
      <c r="P2931" s="81"/>
      <c r="Q2931" s="81"/>
      <c r="R2931" s="81"/>
      <c r="S2931" s="81"/>
      <c r="T2931" s="81"/>
      <c r="U2931" s="83"/>
      <c r="V2931" s="83"/>
      <c r="W2931" s="81"/>
      <c r="X2931" s="81"/>
      <c r="Y2931" s="83"/>
      <c r="Z2931" s="81"/>
      <c r="AA2931" s="81"/>
      <c r="AB2931" s="81"/>
      <c r="AC2931" s="81"/>
      <c r="AD2931" s="81"/>
      <c r="AE2931" s="83"/>
      <c r="AF2931" s="81"/>
      <c r="AG2931" s="81"/>
      <c r="AH2931" s="81"/>
      <c r="AI2931" s="81"/>
      <c r="AJ2931" s="83"/>
      <c r="AK2931" s="81"/>
      <c r="AL2931" s="81"/>
      <c r="AM2931" s="83"/>
      <c r="AN2931" s="80"/>
      <c r="AO2931" s="82" t="str">
        <f aca="false">IF(E2931="","",(AA2931&lt;&gt;"")+(AG2931&lt;&gt;"")+(AL2931&lt;&gt;""))</f>
        <v/>
      </c>
      <c r="AP2931" s="82" t="str">
        <f aca="false">IF(AL2931&lt;&gt;"",AL2931,IF(AG2931&lt;&gt;"",AG2931,IF(AA2931&lt;&gt;"",AA2931,"")))</f>
        <v/>
      </c>
      <c r="AQ2931" s="84" t="str">
        <f aca="false">IF(E2931="","",IF(U2931="","À SOUDER",IF(X2931="","VT EN ATTENTE",IF(X2931="R","VT REJETÉ – À REPRENDRE",IF(AP2931="","À RADIOGRAPHIER",IF(AP2931="A","ACCEPTÉ",IF(AP2931="NX","NX – RT À REFAIRE",IF(IF(AO2931=1,AD2931,IF(AO2931=2,AI2931,""))="A","RÉPARÉ – À RADIOGRAPHIER",IF(IF(AO2931=1,AD2931,IF(AO2931=2,AI2931,""))="R","VT REJETÉ – À REPRENDRE",IF(OR(AP2931="CO",AP2931="NT"),"COUPE – À RESOUDER","À RÉPARER"))))))))))</f>
        <v/>
      </c>
      <c r="AR2931" s="82" t="str">
        <f aca="false">IF(AND(ISNUMBER(U2931),OR(AQ2931="À RADIOGRAPHIER",AQ2931="RÉPARÉ – À RADIOGRAPHIER",AQ2931="NX – RT À REFAIRE",AQ2931="À RÉPARER",AQ2931="COUPE – À RESOUDER",AQ2931="VT REJETÉ – À REPRENDRE")),MAX(0,'PROGRAMME RT'!$C$4-U2931),"")</f>
        <v/>
      </c>
      <c r="AS2931" s="82" t="n">
        <f aca="false">IF(AND(OR(AQ2931="À RADIOGRAPHIER",AQ2931="RÉPARÉ – À RADIOGRAPHIER",AQ2931="NX – RT À REFAIRE"),OR('PROGRAMME RT'!$D$5="TOUTES",B2931='PROGRAMME RT'!$D$5)),1,0)</f>
        <v>0</v>
      </c>
      <c r="AT2931" s="82" t="str">
        <f aca="false">IF(AS2931=1,SUM(AS$7:AS2931),"")</f>
        <v/>
      </c>
      <c r="AU2931" s="82" t="n">
        <f aca="false">IF(AND(OR(AA2931="R",AA2931="NX",AA2931="NT",AA2931="CO"),OR('JOINTS DE RÉPARATION'!$D$5="TOUTES",B2931='JOINTS DE RÉPARATION'!$D$5),OR('JOINTS DE RÉPARATION'!$L$4="TOUS",AQ2931&lt;&gt;"ACCEPTÉ")),1,0)</f>
        <v>0</v>
      </c>
      <c r="AV2931" s="82" t="str">
        <f aca="false">IF(AU2931=1,SUM(AU$7:AU2931),"")</f>
        <v/>
      </c>
      <c r="AW2931" s="82" t="str">
        <f aca="false">IF(E2931="","",B2931&amp;"|"&amp;E2931)</f>
        <v/>
      </c>
    </row>
    <row r="2932" customFormat="false" ht="15" hidden="false" customHeight="false" outlineLevel="0" collapsed="false">
      <c r="A2932" s="79" t="str">
        <f aca="false">IF(E2932="","",ROW()-6)</f>
        <v/>
      </c>
      <c r="B2932" s="80"/>
      <c r="C2932" s="81"/>
      <c r="D2932" s="81"/>
      <c r="E2932" s="81"/>
      <c r="F2932" s="82" t="str">
        <f aca="false">IF(E2932="","",IF(LEFT(E2932,2)="DJ","DJ","JN"))</f>
        <v/>
      </c>
      <c r="G2932" s="81"/>
      <c r="H2932" s="81"/>
      <c r="I2932" s="81"/>
      <c r="J2932" s="81"/>
      <c r="K2932" s="81"/>
      <c r="L2932" s="81"/>
      <c r="M2932" s="81"/>
      <c r="N2932" s="81"/>
      <c r="O2932" s="81"/>
      <c r="P2932" s="81"/>
      <c r="Q2932" s="81"/>
      <c r="R2932" s="81"/>
      <c r="S2932" s="81"/>
      <c r="T2932" s="81"/>
      <c r="U2932" s="83"/>
      <c r="V2932" s="83"/>
      <c r="W2932" s="81"/>
      <c r="X2932" s="81"/>
      <c r="Y2932" s="83"/>
      <c r="Z2932" s="81"/>
      <c r="AA2932" s="81"/>
      <c r="AB2932" s="81"/>
      <c r="AC2932" s="81"/>
      <c r="AD2932" s="81"/>
      <c r="AE2932" s="83"/>
      <c r="AF2932" s="81"/>
      <c r="AG2932" s="81"/>
      <c r="AH2932" s="81"/>
      <c r="AI2932" s="81"/>
      <c r="AJ2932" s="83"/>
      <c r="AK2932" s="81"/>
      <c r="AL2932" s="81"/>
      <c r="AM2932" s="83"/>
      <c r="AN2932" s="80"/>
      <c r="AO2932" s="82" t="str">
        <f aca="false">IF(E2932="","",(AA2932&lt;&gt;"")+(AG2932&lt;&gt;"")+(AL2932&lt;&gt;""))</f>
        <v/>
      </c>
      <c r="AP2932" s="82" t="str">
        <f aca="false">IF(AL2932&lt;&gt;"",AL2932,IF(AG2932&lt;&gt;"",AG2932,IF(AA2932&lt;&gt;"",AA2932,"")))</f>
        <v/>
      </c>
      <c r="AQ2932" s="84" t="str">
        <f aca="false">IF(E2932="","",IF(U2932="","À SOUDER",IF(X2932="","VT EN ATTENTE",IF(X2932="R","VT REJETÉ – À REPRENDRE",IF(AP2932="","À RADIOGRAPHIER",IF(AP2932="A","ACCEPTÉ",IF(AP2932="NX","NX – RT À REFAIRE",IF(IF(AO2932=1,AD2932,IF(AO2932=2,AI2932,""))="A","RÉPARÉ – À RADIOGRAPHIER",IF(IF(AO2932=1,AD2932,IF(AO2932=2,AI2932,""))="R","VT REJETÉ – À REPRENDRE",IF(OR(AP2932="CO",AP2932="NT"),"COUPE – À RESOUDER","À RÉPARER"))))))))))</f>
        <v/>
      </c>
      <c r="AR2932" s="82" t="str">
        <f aca="false">IF(AND(ISNUMBER(U2932),OR(AQ2932="À RADIOGRAPHIER",AQ2932="RÉPARÉ – À RADIOGRAPHIER",AQ2932="NX – RT À REFAIRE",AQ2932="À RÉPARER",AQ2932="COUPE – À RESOUDER",AQ2932="VT REJETÉ – À REPRENDRE")),MAX(0,'PROGRAMME RT'!$C$4-U2932),"")</f>
        <v/>
      </c>
      <c r="AS2932" s="82" t="n">
        <f aca="false">IF(AND(OR(AQ2932="À RADIOGRAPHIER",AQ2932="RÉPARÉ – À RADIOGRAPHIER",AQ2932="NX – RT À REFAIRE"),OR('PROGRAMME RT'!$D$5="TOUTES",B2932='PROGRAMME RT'!$D$5)),1,0)</f>
        <v>0</v>
      </c>
      <c r="AT2932" s="82" t="str">
        <f aca="false">IF(AS2932=1,SUM(AS$7:AS2932),"")</f>
        <v/>
      </c>
      <c r="AU2932" s="82" t="n">
        <f aca="false">IF(AND(OR(AA2932="R",AA2932="NX",AA2932="NT",AA2932="CO"),OR('JOINTS DE RÉPARATION'!$D$5="TOUTES",B2932='JOINTS DE RÉPARATION'!$D$5),OR('JOINTS DE RÉPARATION'!$L$4="TOUS",AQ2932&lt;&gt;"ACCEPTÉ")),1,0)</f>
        <v>0</v>
      </c>
      <c r="AV2932" s="82" t="str">
        <f aca="false">IF(AU2932=1,SUM(AU$7:AU2932),"")</f>
        <v/>
      </c>
      <c r="AW2932" s="82" t="str">
        <f aca="false">IF(E2932="","",B2932&amp;"|"&amp;E2932)</f>
        <v/>
      </c>
    </row>
    <row r="2933" customFormat="false" ht="15" hidden="false" customHeight="false" outlineLevel="0" collapsed="false">
      <c r="A2933" s="79" t="str">
        <f aca="false">IF(E2933="","",ROW()-6)</f>
        <v/>
      </c>
      <c r="B2933" s="80"/>
      <c r="C2933" s="81"/>
      <c r="D2933" s="81"/>
      <c r="E2933" s="81"/>
      <c r="F2933" s="82" t="str">
        <f aca="false">IF(E2933="","",IF(LEFT(E2933,2)="DJ","DJ","JN"))</f>
        <v/>
      </c>
      <c r="G2933" s="81"/>
      <c r="H2933" s="81"/>
      <c r="I2933" s="81"/>
      <c r="J2933" s="81"/>
      <c r="K2933" s="81"/>
      <c r="L2933" s="81"/>
      <c r="M2933" s="81"/>
      <c r="N2933" s="81"/>
      <c r="O2933" s="81"/>
      <c r="P2933" s="81"/>
      <c r="Q2933" s="81"/>
      <c r="R2933" s="81"/>
      <c r="S2933" s="81"/>
      <c r="T2933" s="81"/>
      <c r="U2933" s="83"/>
      <c r="V2933" s="83"/>
      <c r="W2933" s="81"/>
      <c r="X2933" s="81"/>
      <c r="Y2933" s="83"/>
      <c r="Z2933" s="81"/>
      <c r="AA2933" s="81"/>
      <c r="AB2933" s="81"/>
      <c r="AC2933" s="81"/>
      <c r="AD2933" s="81"/>
      <c r="AE2933" s="83"/>
      <c r="AF2933" s="81"/>
      <c r="AG2933" s="81"/>
      <c r="AH2933" s="81"/>
      <c r="AI2933" s="81"/>
      <c r="AJ2933" s="83"/>
      <c r="AK2933" s="81"/>
      <c r="AL2933" s="81"/>
      <c r="AM2933" s="83"/>
      <c r="AN2933" s="80"/>
      <c r="AO2933" s="82" t="str">
        <f aca="false">IF(E2933="","",(AA2933&lt;&gt;"")+(AG2933&lt;&gt;"")+(AL2933&lt;&gt;""))</f>
        <v/>
      </c>
      <c r="AP2933" s="82" t="str">
        <f aca="false">IF(AL2933&lt;&gt;"",AL2933,IF(AG2933&lt;&gt;"",AG2933,IF(AA2933&lt;&gt;"",AA2933,"")))</f>
        <v/>
      </c>
      <c r="AQ2933" s="84" t="str">
        <f aca="false">IF(E2933="","",IF(U2933="","À SOUDER",IF(X2933="","VT EN ATTENTE",IF(X2933="R","VT REJETÉ – À REPRENDRE",IF(AP2933="","À RADIOGRAPHIER",IF(AP2933="A","ACCEPTÉ",IF(AP2933="NX","NX – RT À REFAIRE",IF(IF(AO2933=1,AD2933,IF(AO2933=2,AI2933,""))="A","RÉPARÉ – À RADIOGRAPHIER",IF(IF(AO2933=1,AD2933,IF(AO2933=2,AI2933,""))="R","VT REJETÉ – À REPRENDRE",IF(OR(AP2933="CO",AP2933="NT"),"COUPE – À RESOUDER","À RÉPARER"))))))))))</f>
        <v/>
      </c>
      <c r="AR2933" s="82" t="str">
        <f aca="false">IF(AND(ISNUMBER(U2933),OR(AQ2933="À RADIOGRAPHIER",AQ2933="RÉPARÉ – À RADIOGRAPHIER",AQ2933="NX – RT À REFAIRE",AQ2933="À RÉPARER",AQ2933="COUPE – À RESOUDER",AQ2933="VT REJETÉ – À REPRENDRE")),MAX(0,'PROGRAMME RT'!$C$4-U2933),"")</f>
        <v/>
      </c>
      <c r="AS2933" s="82" t="n">
        <f aca="false">IF(AND(OR(AQ2933="À RADIOGRAPHIER",AQ2933="RÉPARÉ – À RADIOGRAPHIER",AQ2933="NX – RT À REFAIRE"),OR('PROGRAMME RT'!$D$5="TOUTES",B2933='PROGRAMME RT'!$D$5)),1,0)</f>
        <v>0</v>
      </c>
      <c r="AT2933" s="82" t="str">
        <f aca="false">IF(AS2933=1,SUM(AS$7:AS2933),"")</f>
        <v/>
      </c>
      <c r="AU2933" s="82" t="n">
        <f aca="false">IF(AND(OR(AA2933="R",AA2933="NX",AA2933="NT",AA2933="CO"),OR('JOINTS DE RÉPARATION'!$D$5="TOUTES",B2933='JOINTS DE RÉPARATION'!$D$5),OR('JOINTS DE RÉPARATION'!$L$4="TOUS",AQ2933&lt;&gt;"ACCEPTÉ")),1,0)</f>
        <v>0</v>
      </c>
      <c r="AV2933" s="82" t="str">
        <f aca="false">IF(AU2933=1,SUM(AU$7:AU2933),"")</f>
        <v/>
      </c>
      <c r="AW2933" s="82" t="str">
        <f aca="false">IF(E2933="","",B2933&amp;"|"&amp;E2933)</f>
        <v/>
      </c>
    </row>
    <row r="2934" customFormat="false" ht="15" hidden="false" customHeight="false" outlineLevel="0" collapsed="false">
      <c r="A2934" s="79" t="str">
        <f aca="false">IF(E2934="","",ROW()-6)</f>
        <v/>
      </c>
      <c r="B2934" s="80"/>
      <c r="C2934" s="81"/>
      <c r="D2934" s="81"/>
      <c r="E2934" s="81"/>
      <c r="F2934" s="82" t="str">
        <f aca="false">IF(E2934="","",IF(LEFT(E2934,2)="DJ","DJ","JN"))</f>
        <v/>
      </c>
      <c r="G2934" s="81"/>
      <c r="H2934" s="81"/>
      <c r="I2934" s="81"/>
      <c r="J2934" s="81"/>
      <c r="K2934" s="81"/>
      <c r="L2934" s="81"/>
      <c r="M2934" s="81"/>
      <c r="N2934" s="81"/>
      <c r="O2934" s="81"/>
      <c r="P2934" s="81"/>
      <c r="Q2934" s="81"/>
      <c r="R2934" s="81"/>
      <c r="S2934" s="81"/>
      <c r="T2934" s="81"/>
      <c r="U2934" s="83"/>
      <c r="V2934" s="83"/>
      <c r="W2934" s="81"/>
      <c r="X2934" s="81"/>
      <c r="Y2934" s="83"/>
      <c r="Z2934" s="81"/>
      <c r="AA2934" s="81"/>
      <c r="AB2934" s="81"/>
      <c r="AC2934" s="81"/>
      <c r="AD2934" s="81"/>
      <c r="AE2934" s="83"/>
      <c r="AF2934" s="81"/>
      <c r="AG2934" s="81"/>
      <c r="AH2934" s="81"/>
      <c r="AI2934" s="81"/>
      <c r="AJ2934" s="83"/>
      <c r="AK2934" s="81"/>
      <c r="AL2934" s="81"/>
      <c r="AM2934" s="83"/>
      <c r="AN2934" s="80"/>
      <c r="AO2934" s="82" t="str">
        <f aca="false">IF(E2934="","",(AA2934&lt;&gt;"")+(AG2934&lt;&gt;"")+(AL2934&lt;&gt;""))</f>
        <v/>
      </c>
      <c r="AP2934" s="82" t="str">
        <f aca="false">IF(AL2934&lt;&gt;"",AL2934,IF(AG2934&lt;&gt;"",AG2934,IF(AA2934&lt;&gt;"",AA2934,"")))</f>
        <v/>
      </c>
      <c r="AQ2934" s="84" t="str">
        <f aca="false">IF(E2934="","",IF(U2934="","À SOUDER",IF(X2934="","VT EN ATTENTE",IF(X2934="R","VT REJETÉ – À REPRENDRE",IF(AP2934="","À RADIOGRAPHIER",IF(AP2934="A","ACCEPTÉ",IF(AP2934="NX","NX – RT À REFAIRE",IF(IF(AO2934=1,AD2934,IF(AO2934=2,AI2934,""))="A","RÉPARÉ – À RADIOGRAPHIER",IF(IF(AO2934=1,AD2934,IF(AO2934=2,AI2934,""))="R","VT REJETÉ – À REPRENDRE",IF(OR(AP2934="CO",AP2934="NT"),"COUPE – À RESOUDER","À RÉPARER"))))))))))</f>
        <v/>
      </c>
      <c r="AR2934" s="82" t="str">
        <f aca="false">IF(AND(ISNUMBER(U2934),OR(AQ2934="À RADIOGRAPHIER",AQ2934="RÉPARÉ – À RADIOGRAPHIER",AQ2934="NX – RT À REFAIRE",AQ2934="À RÉPARER",AQ2934="COUPE – À RESOUDER",AQ2934="VT REJETÉ – À REPRENDRE")),MAX(0,'PROGRAMME RT'!$C$4-U2934),"")</f>
        <v/>
      </c>
      <c r="AS2934" s="82" t="n">
        <f aca="false">IF(AND(OR(AQ2934="À RADIOGRAPHIER",AQ2934="RÉPARÉ – À RADIOGRAPHIER",AQ2934="NX – RT À REFAIRE"),OR('PROGRAMME RT'!$D$5="TOUTES",B2934='PROGRAMME RT'!$D$5)),1,0)</f>
        <v>0</v>
      </c>
      <c r="AT2934" s="82" t="str">
        <f aca="false">IF(AS2934=1,SUM(AS$7:AS2934),"")</f>
        <v/>
      </c>
      <c r="AU2934" s="82" t="n">
        <f aca="false">IF(AND(OR(AA2934="R",AA2934="NX",AA2934="NT",AA2934="CO"),OR('JOINTS DE RÉPARATION'!$D$5="TOUTES",B2934='JOINTS DE RÉPARATION'!$D$5),OR('JOINTS DE RÉPARATION'!$L$4="TOUS",AQ2934&lt;&gt;"ACCEPTÉ")),1,0)</f>
        <v>0</v>
      </c>
      <c r="AV2934" s="82" t="str">
        <f aca="false">IF(AU2934=1,SUM(AU$7:AU2934),"")</f>
        <v/>
      </c>
      <c r="AW2934" s="82" t="str">
        <f aca="false">IF(E2934="","",B2934&amp;"|"&amp;E2934)</f>
        <v/>
      </c>
    </row>
    <row r="2935" customFormat="false" ht="15" hidden="false" customHeight="false" outlineLevel="0" collapsed="false">
      <c r="A2935" s="79" t="str">
        <f aca="false">IF(E2935="","",ROW()-6)</f>
        <v/>
      </c>
      <c r="B2935" s="80"/>
      <c r="C2935" s="81"/>
      <c r="D2935" s="81"/>
      <c r="E2935" s="81"/>
      <c r="F2935" s="82" t="str">
        <f aca="false">IF(E2935="","",IF(LEFT(E2935,2)="DJ","DJ","JN"))</f>
        <v/>
      </c>
      <c r="G2935" s="81"/>
      <c r="H2935" s="81"/>
      <c r="I2935" s="81"/>
      <c r="J2935" s="81"/>
      <c r="K2935" s="81"/>
      <c r="L2935" s="81"/>
      <c r="M2935" s="81"/>
      <c r="N2935" s="81"/>
      <c r="O2935" s="81"/>
      <c r="P2935" s="81"/>
      <c r="Q2935" s="81"/>
      <c r="R2935" s="81"/>
      <c r="S2935" s="81"/>
      <c r="T2935" s="81"/>
      <c r="U2935" s="83"/>
      <c r="V2935" s="83"/>
      <c r="W2935" s="81"/>
      <c r="X2935" s="81"/>
      <c r="Y2935" s="83"/>
      <c r="Z2935" s="81"/>
      <c r="AA2935" s="81"/>
      <c r="AB2935" s="81"/>
      <c r="AC2935" s="81"/>
      <c r="AD2935" s="81"/>
      <c r="AE2935" s="83"/>
      <c r="AF2935" s="81"/>
      <c r="AG2935" s="81"/>
      <c r="AH2935" s="81"/>
      <c r="AI2935" s="81"/>
      <c r="AJ2935" s="83"/>
      <c r="AK2935" s="81"/>
      <c r="AL2935" s="81"/>
      <c r="AM2935" s="83"/>
      <c r="AN2935" s="80"/>
      <c r="AO2935" s="82" t="str">
        <f aca="false">IF(E2935="","",(AA2935&lt;&gt;"")+(AG2935&lt;&gt;"")+(AL2935&lt;&gt;""))</f>
        <v/>
      </c>
      <c r="AP2935" s="82" t="str">
        <f aca="false">IF(AL2935&lt;&gt;"",AL2935,IF(AG2935&lt;&gt;"",AG2935,IF(AA2935&lt;&gt;"",AA2935,"")))</f>
        <v/>
      </c>
      <c r="AQ2935" s="84" t="str">
        <f aca="false">IF(E2935="","",IF(U2935="","À SOUDER",IF(X2935="","VT EN ATTENTE",IF(X2935="R","VT REJETÉ – À REPRENDRE",IF(AP2935="","À RADIOGRAPHIER",IF(AP2935="A","ACCEPTÉ",IF(AP2935="NX","NX – RT À REFAIRE",IF(IF(AO2935=1,AD2935,IF(AO2935=2,AI2935,""))="A","RÉPARÉ – À RADIOGRAPHIER",IF(IF(AO2935=1,AD2935,IF(AO2935=2,AI2935,""))="R","VT REJETÉ – À REPRENDRE",IF(OR(AP2935="CO",AP2935="NT"),"COUPE – À RESOUDER","À RÉPARER"))))))))))</f>
        <v/>
      </c>
      <c r="AR2935" s="82" t="str">
        <f aca="false">IF(AND(ISNUMBER(U2935),OR(AQ2935="À RADIOGRAPHIER",AQ2935="RÉPARÉ – À RADIOGRAPHIER",AQ2935="NX – RT À REFAIRE",AQ2935="À RÉPARER",AQ2935="COUPE – À RESOUDER",AQ2935="VT REJETÉ – À REPRENDRE")),MAX(0,'PROGRAMME RT'!$C$4-U2935),"")</f>
        <v/>
      </c>
      <c r="AS2935" s="82" t="n">
        <f aca="false">IF(AND(OR(AQ2935="À RADIOGRAPHIER",AQ2935="RÉPARÉ – À RADIOGRAPHIER",AQ2935="NX – RT À REFAIRE"),OR('PROGRAMME RT'!$D$5="TOUTES",B2935='PROGRAMME RT'!$D$5)),1,0)</f>
        <v>0</v>
      </c>
      <c r="AT2935" s="82" t="str">
        <f aca="false">IF(AS2935=1,SUM(AS$7:AS2935),"")</f>
        <v/>
      </c>
      <c r="AU2935" s="82" t="n">
        <f aca="false">IF(AND(OR(AA2935="R",AA2935="NX",AA2935="NT",AA2935="CO"),OR('JOINTS DE RÉPARATION'!$D$5="TOUTES",B2935='JOINTS DE RÉPARATION'!$D$5),OR('JOINTS DE RÉPARATION'!$L$4="TOUS",AQ2935&lt;&gt;"ACCEPTÉ")),1,0)</f>
        <v>0</v>
      </c>
      <c r="AV2935" s="82" t="str">
        <f aca="false">IF(AU2935=1,SUM(AU$7:AU2935),"")</f>
        <v/>
      </c>
      <c r="AW2935" s="82" t="str">
        <f aca="false">IF(E2935="","",B2935&amp;"|"&amp;E2935)</f>
        <v/>
      </c>
    </row>
    <row r="2936" customFormat="false" ht="15" hidden="false" customHeight="false" outlineLevel="0" collapsed="false">
      <c r="A2936" s="79" t="str">
        <f aca="false">IF(E2936="","",ROW()-6)</f>
        <v/>
      </c>
      <c r="B2936" s="80"/>
      <c r="C2936" s="81"/>
      <c r="D2936" s="81"/>
      <c r="E2936" s="81"/>
      <c r="F2936" s="82" t="str">
        <f aca="false">IF(E2936="","",IF(LEFT(E2936,2)="DJ","DJ","JN"))</f>
        <v/>
      </c>
      <c r="G2936" s="81"/>
      <c r="H2936" s="81"/>
      <c r="I2936" s="81"/>
      <c r="J2936" s="81"/>
      <c r="K2936" s="81"/>
      <c r="L2936" s="81"/>
      <c r="M2936" s="81"/>
      <c r="N2936" s="81"/>
      <c r="O2936" s="81"/>
      <c r="P2936" s="81"/>
      <c r="Q2936" s="81"/>
      <c r="R2936" s="81"/>
      <c r="S2936" s="81"/>
      <c r="T2936" s="81"/>
      <c r="U2936" s="83"/>
      <c r="V2936" s="83"/>
      <c r="W2936" s="81"/>
      <c r="X2936" s="81"/>
      <c r="Y2936" s="83"/>
      <c r="Z2936" s="81"/>
      <c r="AA2936" s="81"/>
      <c r="AB2936" s="81"/>
      <c r="AC2936" s="81"/>
      <c r="AD2936" s="81"/>
      <c r="AE2936" s="83"/>
      <c r="AF2936" s="81"/>
      <c r="AG2936" s="81"/>
      <c r="AH2936" s="81"/>
      <c r="AI2936" s="81"/>
      <c r="AJ2936" s="83"/>
      <c r="AK2936" s="81"/>
      <c r="AL2936" s="81"/>
      <c r="AM2936" s="83"/>
      <c r="AN2936" s="80"/>
      <c r="AO2936" s="82" t="str">
        <f aca="false">IF(E2936="","",(AA2936&lt;&gt;"")+(AG2936&lt;&gt;"")+(AL2936&lt;&gt;""))</f>
        <v/>
      </c>
      <c r="AP2936" s="82" t="str">
        <f aca="false">IF(AL2936&lt;&gt;"",AL2936,IF(AG2936&lt;&gt;"",AG2936,IF(AA2936&lt;&gt;"",AA2936,"")))</f>
        <v/>
      </c>
      <c r="AQ2936" s="84" t="str">
        <f aca="false">IF(E2936="","",IF(U2936="","À SOUDER",IF(X2936="","VT EN ATTENTE",IF(X2936="R","VT REJETÉ – À REPRENDRE",IF(AP2936="","À RADIOGRAPHIER",IF(AP2936="A","ACCEPTÉ",IF(AP2936="NX","NX – RT À REFAIRE",IF(IF(AO2936=1,AD2936,IF(AO2936=2,AI2936,""))="A","RÉPARÉ – À RADIOGRAPHIER",IF(IF(AO2936=1,AD2936,IF(AO2936=2,AI2936,""))="R","VT REJETÉ – À REPRENDRE",IF(OR(AP2936="CO",AP2936="NT"),"COUPE – À RESOUDER","À RÉPARER"))))))))))</f>
        <v/>
      </c>
      <c r="AR2936" s="82" t="str">
        <f aca="false">IF(AND(ISNUMBER(U2936),OR(AQ2936="À RADIOGRAPHIER",AQ2936="RÉPARÉ – À RADIOGRAPHIER",AQ2936="NX – RT À REFAIRE",AQ2936="À RÉPARER",AQ2936="COUPE – À RESOUDER",AQ2936="VT REJETÉ – À REPRENDRE")),MAX(0,'PROGRAMME RT'!$C$4-U2936),"")</f>
        <v/>
      </c>
      <c r="AS2936" s="82" t="n">
        <f aca="false">IF(AND(OR(AQ2936="À RADIOGRAPHIER",AQ2936="RÉPARÉ – À RADIOGRAPHIER",AQ2936="NX – RT À REFAIRE"),OR('PROGRAMME RT'!$D$5="TOUTES",B2936='PROGRAMME RT'!$D$5)),1,0)</f>
        <v>0</v>
      </c>
      <c r="AT2936" s="82" t="str">
        <f aca="false">IF(AS2936=1,SUM(AS$7:AS2936),"")</f>
        <v/>
      </c>
      <c r="AU2936" s="82" t="n">
        <f aca="false">IF(AND(OR(AA2936="R",AA2936="NX",AA2936="NT",AA2936="CO"),OR('JOINTS DE RÉPARATION'!$D$5="TOUTES",B2936='JOINTS DE RÉPARATION'!$D$5),OR('JOINTS DE RÉPARATION'!$L$4="TOUS",AQ2936&lt;&gt;"ACCEPTÉ")),1,0)</f>
        <v>0</v>
      </c>
      <c r="AV2936" s="82" t="str">
        <f aca="false">IF(AU2936=1,SUM(AU$7:AU2936),"")</f>
        <v/>
      </c>
      <c r="AW2936" s="82" t="str">
        <f aca="false">IF(E2936="","",B2936&amp;"|"&amp;E2936)</f>
        <v/>
      </c>
    </row>
    <row r="2937" customFormat="false" ht="15" hidden="false" customHeight="false" outlineLevel="0" collapsed="false">
      <c r="A2937" s="79" t="str">
        <f aca="false">IF(E2937="","",ROW()-6)</f>
        <v/>
      </c>
      <c r="B2937" s="80"/>
      <c r="C2937" s="81"/>
      <c r="D2937" s="81"/>
      <c r="E2937" s="81"/>
      <c r="F2937" s="82" t="str">
        <f aca="false">IF(E2937="","",IF(LEFT(E2937,2)="DJ","DJ","JN"))</f>
        <v/>
      </c>
      <c r="G2937" s="81"/>
      <c r="H2937" s="81"/>
      <c r="I2937" s="81"/>
      <c r="J2937" s="81"/>
      <c r="K2937" s="81"/>
      <c r="L2937" s="81"/>
      <c r="M2937" s="81"/>
      <c r="N2937" s="81"/>
      <c r="O2937" s="81"/>
      <c r="P2937" s="81"/>
      <c r="Q2937" s="81"/>
      <c r="R2937" s="81"/>
      <c r="S2937" s="81"/>
      <c r="T2937" s="81"/>
      <c r="U2937" s="83"/>
      <c r="V2937" s="83"/>
      <c r="W2937" s="81"/>
      <c r="X2937" s="81"/>
      <c r="Y2937" s="83"/>
      <c r="Z2937" s="81"/>
      <c r="AA2937" s="81"/>
      <c r="AB2937" s="81"/>
      <c r="AC2937" s="81"/>
      <c r="AD2937" s="81"/>
      <c r="AE2937" s="83"/>
      <c r="AF2937" s="81"/>
      <c r="AG2937" s="81"/>
      <c r="AH2937" s="81"/>
      <c r="AI2937" s="81"/>
      <c r="AJ2937" s="83"/>
      <c r="AK2937" s="81"/>
      <c r="AL2937" s="81"/>
      <c r="AM2937" s="83"/>
      <c r="AN2937" s="80"/>
      <c r="AO2937" s="82" t="str">
        <f aca="false">IF(E2937="","",(AA2937&lt;&gt;"")+(AG2937&lt;&gt;"")+(AL2937&lt;&gt;""))</f>
        <v/>
      </c>
      <c r="AP2937" s="82" t="str">
        <f aca="false">IF(AL2937&lt;&gt;"",AL2937,IF(AG2937&lt;&gt;"",AG2937,IF(AA2937&lt;&gt;"",AA2937,"")))</f>
        <v/>
      </c>
      <c r="AQ2937" s="84" t="str">
        <f aca="false">IF(E2937="","",IF(U2937="","À SOUDER",IF(X2937="","VT EN ATTENTE",IF(X2937="R","VT REJETÉ – À REPRENDRE",IF(AP2937="","À RADIOGRAPHIER",IF(AP2937="A","ACCEPTÉ",IF(AP2937="NX","NX – RT À REFAIRE",IF(IF(AO2937=1,AD2937,IF(AO2937=2,AI2937,""))="A","RÉPARÉ – À RADIOGRAPHIER",IF(IF(AO2937=1,AD2937,IF(AO2937=2,AI2937,""))="R","VT REJETÉ – À REPRENDRE",IF(OR(AP2937="CO",AP2937="NT"),"COUPE – À RESOUDER","À RÉPARER"))))))))))</f>
        <v/>
      </c>
      <c r="AR2937" s="82" t="str">
        <f aca="false">IF(AND(ISNUMBER(U2937),OR(AQ2937="À RADIOGRAPHIER",AQ2937="RÉPARÉ – À RADIOGRAPHIER",AQ2937="NX – RT À REFAIRE",AQ2937="À RÉPARER",AQ2937="COUPE – À RESOUDER",AQ2937="VT REJETÉ – À REPRENDRE")),MAX(0,'PROGRAMME RT'!$C$4-U2937),"")</f>
        <v/>
      </c>
      <c r="AS2937" s="82" t="n">
        <f aca="false">IF(AND(OR(AQ2937="À RADIOGRAPHIER",AQ2937="RÉPARÉ – À RADIOGRAPHIER",AQ2937="NX – RT À REFAIRE"),OR('PROGRAMME RT'!$D$5="TOUTES",B2937='PROGRAMME RT'!$D$5)),1,0)</f>
        <v>0</v>
      </c>
      <c r="AT2937" s="82" t="str">
        <f aca="false">IF(AS2937=1,SUM(AS$7:AS2937),"")</f>
        <v/>
      </c>
      <c r="AU2937" s="82" t="n">
        <f aca="false">IF(AND(OR(AA2937="R",AA2937="NX",AA2937="NT",AA2937="CO"),OR('JOINTS DE RÉPARATION'!$D$5="TOUTES",B2937='JOINTS DE RÉPARATION'!$D$5),OR('JOINTS DE RÉPARATION'!$L$4="TOUS",AQ2937&lt;&gt;"ACCEPTÉ")),1,0)</f>
        <v>0</v>
      </c>
      <c r="AV2937" s="82" t="str">
        <f aca="false">IF(AU2937=1,SUM(AU$7:AU2937),"")</f>
        <v/>
      </c>
      <c r="AW2937" s="82" t="str">
        <f aca="false">IF(E2937="","",B2937&amp;"|"&amp;E2937)</f>
        <v/>
      </c>
    </row>
    <row r="2938" customFormat="false" ht="15" hidden="false" customHeight="false" outlineLevel="0" collapsed="false">
      <c r="A2938" s="79" t="str">
        <f aca="false">IF(E2938="","",ROW()-6)</f>
        <v/>
      </c>
      <c r="B2938" s="80"/>
      <c r="C2938" s="81"/>
      <c r="D2938" s="81"/>
      <c r="E2938" s="81"/>
      <c r="F2938" s="82" t="str">
        <f aca="false">IF(E2938="","",IF(LEFT(E2938,2)="DJ","DJ","JN"))</f>
        <v/>
      </c>
      <c r="G2938" s="81"/>
      <c r="H2938" s="81"/>
      <c r="I2938" s="81"/>
      <c r="J2938" s="81"/>
      <c r="K2938" s="81"/>
      <c r="L2938" s="81"/>
      <c r="M2938" s="81"/>
      <c r="N2938" s="81"/>
      <c r="O2938" s="81"/>
      <c r="P2938" s="81"/>
      <c r="Q2938" s="81"/>
      <c r="R2938" s="81"/>
      <c r="S2938" s="81"/>
      <c r="T2938" s="81"/>
      <c r="U2938" s="83"/>
      <c r="V2938" s="83"/>
      <c r="W2938" s="81"/>
      <c r="X2938" s="81"/>
      <c r="Y2938" s="83"/>
      <c r="Z2938" s="81"/>
      <c r="AA2938" s="81"/>
      <c r="AB2938" s="81"/>
      <c r="AC2938" s="81"/>
      <c r="AD2938" s="81"/>
      <c r="AE2938" s="83"/>
      <c r="AF2938" s="81"/>
      <c r="AG2938" s="81"/>
      <c r="AH2938" s="81"/>
      <c r="AI2938" s="81"/>
      <c r="AJ2938" s="83"/>
      <c r="AK2938" s="81"/>
      <c r="AL2938" s="81"/>
      <c r="AM2938" s="83"/>
      <c r="AN2938" s="80"/>
      <c r="AO2938" s="82" t="str">
        <f aca="false">IF(E2938="","",(AA2938&lt;&gt;"")+(AG2938&lt;&gt;"")+(AL2938&lt;&gt;""))</f>
        <v/>
      </c>
      <c r="AP2938" s="82" t="str">
        <f aca="false">IF(AL2938&lt;&gt;"",AL2938,IF(AG2938&lt;&gt;"",AG2938,IF(AA2938&lt;&gt;"",AA2938,"")))</f>
        <v/>
      </c>
      <c r="AQ2938" s="84" t="str">
        <f aca="false">IF(E2938="","",IF(U2938="","À SOUDER",IF(X2938="","VT EN ATTENTE",IF(X2938="R","VT REJETÉ – À REPRENDRE",IF(AP2938="","À RADIOGRAPHIER",IF(AP2938="A","ACCEPTÉ",IF(AP2938="NX","NX – RT À REFAIRE",IF(IF(AO2938=1,AD2938,IF(AO2938=2,AI2938,""))="A","RÉPARÉ – À RADIOGRAPHIER",IF(IF(AO2938=1,AD2938,IF(AO2938=2,AI2938,""))="R","VT REJETÉ – À REPRENDRE",IF(OR(AP2938="CO",AP2938="NT"),"COUPE – À RESOUDER","À RÉPARER"))))))))))</f>
        <v/>
      </c>
      <c r="AR2938" s="82" t="str">
        <f aca="false">IF(AND(ISNUMBER(U2938),OR(AQ2938="À RADIOGRAPHIER",AQ2938="RÉPARÉ – À RADIOGRAPHIER",AQ2938="NX – RT À REFAIRE",AQ2938="À RÉPARER",AQ2938="COUPE – À RESOUDER",AQ2938="VT REJETÉ – À REPRENDRE")),MAX(0,'PROGRAMME RT'!$C$4-U2938),"")</f>
        <v/>
      </c>
      <c r="AS2938" s="82" t="n">
        <f aca="false">IF(AND(OR(AQ2938="À RADIOGRAPHIER",AQ2938="RÉPARÉ – À RADIOGRAPHIER",AQ2938="NX – RT À REFAIRE"),OR('PROGRAMME RT'!$D$5="TOUTES",B2938='PROGRAMME RT'!$D$5)),1,0)</f>
        <v>0</v>
      </c>
      <c r="AT2938" s="82" t="str">
        <f aca="false">IF(AS2938=1,SUM(AS$7:AS2938),"")</f>
        <v/>
      </c>
      <c r="AU2938" s="82" t="n">
        <f aca="false">IF(AND(OR(AA2938="R",AA2938="NX",AA2938="NT",AA2938="CO"),OR('JOINTS DE RÉPARATION'!$D$5="TOUTES",B2938='JOINTS DE RÉPARATION'!$D$5),OR('JOINTS DE RÉPARATION'!$L$4="TOUS",AQ2938&lt;&gt;"ACCEPTÉ")),1,0)</f>
        <v>0</v>
      </c>
      <c r="AV2938" s="82" t="str">
        <f aca="false">IF(AU2938=1,SUM(AU$7:AU2938),"")</f>
        <v/>
      </c>
      <c r="AW2938" s="82" t="str">
        <f aca="false">IF(E2938="","",B2938&amp;"|"&amp;E2938)</f>
        <v/>
      </c>
    </row>
    <row r="2939" customFormat="false" ht="15" hidden="false" customHeight="false" outlineLevel="0" collapsed="false">
      <c r="A2939" s="79" t="str">
        <f aca="false">IF(E2939="","",ROW()-6)</f>
        <v/>
      </c>
      <c r="B2939" s="80"/>
      <c r="C2939" s="81"/>
      <c r="D2939" s="81"/>
      <c r="E2939" s="81"/>
      <c r="F2939" s="82" t="str">
        <f aca="false">IF(E2939="","",IF(LEFT(E2939,2)="DJ","DJ","JN"))</f>
        <v/>
      </c>
      <c r="G2939" s="81"/>
      <c r="H2939" s="81"/>
      <c r="I2939" s="81"/>
      <c r="J2939" s="81"/>
      <c r="K2939" s="81"/>
      <c r="L2939" s="81"/>
      <c r="M2939" s="81"/>
      <c r="N2939" s="81"/>
      <c r="O2939" s="81"/>
      <c r="P2939" s="81"/>
      <c r="Q2939" s="81"/>
      <c r="R2939" s="81"/>
      <c r="S2939" s="81"/>
      <c r="T2939" s="81"/>
      <c r="U2939" s="83"/>
      <c r="V2939" s="83"/>
      <c r="W2939" s="81"/>
      <c r="X2939" s="81"/>
      <c r="Y2939" s="83"/>
      <c r="Z2939" s="81"/>
      <c r="AA2939" s="81"/>
      <c r="AB2939" s="81"/>
      <c r="AC2939" s="81"/>
      <c r="AD2939" s="81"/>
      <c r="AE2939" s="83"/>
      <c r="AF2939" s="81"/>
      <c r="AG2939" s="81"/>
      <c r="AH2939" s="81"/>
      <c r="AI2939" s="81"/>
      <c r="AJ2939" s="83"/>
      <c r="AK2939" s="81"/>
      <c r="AL2939" s="81"/>
      <c r="AM2939" s="83"/>
      <c r="AN2939" s="80"/>
      <c r="AO2939" s="82" t="str">
        <f aca="false">IF(E2939="","",(AA2939&lt;&gt;"")+(AG2939&lt;&gt;"")+(AL2939&lt;&gt;""))</f>
        <v/>
      </c>
      <c r="AP2939" s="82" t="str">
        <f aca="false">IF(AL2939&lt;&gt;"",AL2939,IF(AG2939&lt;&gt;"",AG2939,IF(AA2939&lt;&gt;"",AA2939,"")))</f>
        <v/>
      </c>
      <c r="AQ2939" s="84" t="str">
        <f aca="false">IF(E2939="","",IF(U2939="","À SOUDER",IF(X2939="","VT EN ATTENTE",IF(X2939="R","VT REJETÉ – À REPRENDRE",IF(AP2939="","À RADIOGRAPHIER",IF(AP2939="A","ACCEPTÉ",IF(AP2939="NX","NX – RT À REFAIRE",IF(IF(AO2939=1,AD2939,IF(AO2939=2,AI2939,""))="A","RÉPARÉ – À RADIOGRAPHIER",IF(IF(AO2939=1,AD2939,IF(AO2939=2,AI2939,""))="R","VT REJETÉ – À REPRENDRE",IF(OR(AP2939="CO",AP2939="NT"),"COUPE – À RESOUDER","À RÉPARER"))))))))))</f>
        <v/>
      </c>
      <c r="AR2939" s="82" t="str">
        <f aca="false">IF(AND(ISNUMBER(U2939),OR(AQ2939="À RADIOGRAPHIER",AQ2939="RÉPARÉ – À RADIOGRAPHIER",AQ2939="NX – RT À REFAIRE",AQ2939="À RÉPARER",AQ2939="COUPE – À RESOUDER",AQ2939="VT REJETÉ – À REPRENDRE")),MAX(0,'PROGRAMME RT'!$C$4-U2939),"")</f>
        <v/>
      </c>
      <c r="AS2939" s="82" t="n">
        <f aca="false">IF(AND(OR(AQ2939="À RADIOGRAPHIER",AQ2939="RÉPARÉ – À RADIOGRAPHIER",AQ2939="NX – RT À REFAIRE"),OR('PROGRAMME RT'!$D$5="TOUTES",B2939='PROGRAMME RT'!$D$5)),1,0)</f>
        <v>0</v>
      </c>
      <c r="AT2939" s="82" t="str">
        <f aca="false">IF(AS2939=1,SUM(AS$7:AS2939),"")</f>
        <v/>
      </c>
      <c r="AU2939" s="82" t="n">
        <f aca="false">IF(AND(OR(AA2939="R",AA2939="NX",AA2939="NT",AA2939="CO"),OR('JOINTS DE RÉPARATION'!$D$5="TOUTES",B2939='JOINTS DE RÉPARATION'!$D$5),OR('JOINTS DE RÉPARATION'!$L$4="TOUS",AQ2939&lt;&gt;"ACCEPTÉ")),1,0)</f>
        <v>0</v>
      </c>
      <c r="AV2939" s="82" t="str">
        <f aca="false">IF(AU2939=1,SUM(AU$7:AU2939),"")</f>
        <v/>
      </c>
      <c r="AW2939" s="82" t="str">
        <f aca="false">IF(E2939="","",B2939&amp;"|"&amp;E2939)</f>
        <v/>
      </c>
    </row>
    <row r="2940" customFormat="false" ht="15" hidden="false" customHeight="false" outlineLevel="0" collapsed="false">
      <c r="A2940" s="79" t="str">
        <f aca="false">IF(E2940="","",ROW()-6)</f>
        <v/>
      </c>
      <c r="B2940" s="80"/>
      <c r="C2940" s="81"/>
      <c r="D2940" s="81"/>
      <c r="E2940" s="81"/>
      <c r="F2940" s="82" t="str">
        <f aca="false">IF(E2940="","",IF(LEFT(E2940,2)="DJ","DJ","JN"))</f>
        <v/>
      </c>
      <c r="G2940" s="81"/>
      <c r="H2940" s="81"/>
      <c r="I2940" s="81"/>
      <c r="J2940" s="81"/>
      <c r="K2940" s="81"/>
      <c r="L2940" s="81"/>
      <c r="M2940" s="81"/>
      <c r="N2940" s="81"/>
      <c r="O2940" s="81"/>
      <c r="P2940" s="81"/>
      <c r="Q2940" s="81"/>
      <c r="R2940" s="81"/>
      <c r="S2940" s="81"/>
      <c r="T2940" s="81"/>
      <c r="U2940" s="83"/>
      <c r="V2940" s="83"/>
      <c r="W2940" s="81"/>
      <c r="X2940" s="81"/>
      <c r="Y2940" s="83"/>
      <c r="Z2940" s="81"/>
      <c r="AA2940" s="81"/>
      <c r="AB2940" s="81"/>
      <c r="AC2940" s="81"/>
      <c r="AD2940" s="81"/>
      <c r="AE2940" s="83"/>
      <c r="AF2940" s="81"/>
      <c r="AG2940" s="81"/>
      <c r="AH2940" s="81"/>
      <c r="AI2940" s="81"/>
      <c r="AJ2940" s="83"/>
      <c r="AK2940" s="81"/>
      <c r="AL2940" s="81"/>
      <c r="AM2940" s="83"/>
      <c r="AN2940" s="80"/>
      <c r="AO2940" s="82" t="str">
        <f aca="false">IF(E2940="","",(AA2940&lt;&gt;"")+(AG2940&lt;&gt;"")+(AL2940&lt;&gt;""))</f>
        <v/>
      </c>
      <c r="AP2940" s="82" t="str">
        <f aca="false">IF(AL2940&lt;&gt;"",AL2940,IF(AG2940&lt;&gt;"",AG2940,IF(AA2940&lt;&gt;"",AA2940,"")))</f>
        <v/>
      </c>
      <c r="AQ2940" s="84" t="str">
        <f aca="false">IF(E2940="","",IF(U2940="","À SOUDER",IF(X2940="","VT EN ATTENTE",IF(X2940="R","VT REJETÉ – À REPRENDRE",IF(AP2940="","À RADIOGRAPHIER",IF(AP2940="A","ACCEPTÉ",IF(AP2940="NX","NX – RT À REFAIRE",IF(IF(AO2940=1,AD2940,IF(AO2940=2,AI2940,""))="A","RÉPARÉ – À RADIOGRAPHIER",IF(IF(AO2940=1,AD2940,IF(AO2940=2,AI2940,""))="R","VT REJETÉ – À REPRENDRE",IF(OR(AP2940="CO",AP2940="NT"),"COUPE – À RESOUDER","À RÉPARER"))))))))))</f>
        <v/>
      </c>
      <c r="AR2940" s="82" t="str">
        <f aca="false">IF(AND(ISNUMBER(U2940),OR(AQ2940="À RADIOGRAPHIER",AQ2940="RÉPARÉ – À RADIOGRAPHIER",AQ2940="NX – RT À REFAIRE",AQ2940="À RÉPARER",AQ2940="COUPE – À RESOUDER",AQ2940="VT REJETÉ – À REPRENDRE")),MAX(0,'PROGRAMME RT'!$C$4-U2940),"")</f>
        <v/>
      </c>
      <c r="AS2940" s="82" t="n">
        <f aca="false">IF(AND(OR(AQ2940="À RADIOGRAPHIER",AQ2940="RÉPARÉ – À RADIOGRAPHIER",AQ2940="NX – RT À REFAIRE"),OR('PROGRAMME RT'!$D$5="TOUTES",B2940='PROGRAMME RT'!$D$5)),1,0)</f>
        <v>0</v>
      </c>
      <c r="AT2940" s="82" t="str">
        <f aca="false">IF(AS2940=1,SUM(AS$7:AS2940),"")</f>
        <v/>
      </c>
      <c r="AU2940" s="82" t="n">
        <f aca="false">IF(AND(OR(AA2940="R",AA2940="NX",AA2940="NT",AA2940="CO"),OR('JOINTS DE RÉPARATION'!$D$5="TOUTES",B2940='JOINTS DE RÉPARATION'!$D$5),OR('JOINTS DE RÉPARATION'!$L$4="TOUS",AQ2940&lt;&gt;"ACCEPTÉ")),1,0)</f>
        <v>0</v>
      </c>
      <c r="AV2940" s="82" t="str">
        <f aca="false">IF(AU2940=1,SUM(AU$7:AU2940),"")</f>
        <v/>
      </c>
      <c r="AW2940" s="82" t="str">
        <f aca="false">IF(E2940="","",B2940&amp;"|"&amp;E2940)</f>
        <v/>
      </c>
    </row>
    <row r="2941" customFormat="false" ht="15" hidden="false" customHeight="false" outlineLevel="0" collapsed="false">
      <c r="A2941" s="79" t="str">
        <f aca="false">IF(E2941="","",ROW()-6)</f>
        <v/>
      </c>
      <c r="B2941" s="80"/>
      <c r="C2941" s="81"/>
      <c r="D2941" s="81"/>
      <c r="E2941" s="81"/>
      <c r="F2941" s="82" t="str">
        <f aca="false">IF(E2941="","",IF(LEFT(E2941,2)="DJ","DJ","JN"))</f>
        <v/>
      </c>
      <c r="G2941" s="81"/>
      <c r="H2941" s="81"/>
      <c r="I2941" s="81"/>
      <c r="J2941" s="81"/>
      <c r="K2941" s="81"/>
      <c r="L2941" s="81"/>
      <c r="M2941" s="81"/>
      <c r="N2941" s="81"/>
      <c r="O2941" s="81"/>
      <c r="P2941" s="81"/>
      <c r="Q2941" s="81"/>
      <c r="R2941" s="81"/>
      <c r="S2941" s="81"/>
      <c r="T2941" s="81"/>
      <c r="U2941" s="83"/>
      <c r="V2941" s="83"/>
      <c r="W2941" s="81"/>
      <c r="X2941" s="81"/>
      <c r="Y2941" s="83"/>
      <c r="Z2941" s="81"/>
      <c r="AA2941" s="81"/>
      <c r="AB2941" s="81"/>
      <c r="AC2941" s="81"/>
      <c r="AD2941" s="81"/>
      <c r="AE2941" s="83"/>
      <c r="AF2941" s="81"/>
      <c r="AG2941" s="81"/>
      <c r="AH2941" s="81"/>
      <c r="AI2941" s="81"/>
      <c r="AJ2941" s="83"/>
      <c r="AK2941" s="81"/>
      <c r="AL2941" s="81"/>
      <c r="AM2941" s="83"/>
      <c r="AN2941" s="80"/>
      <c r="AO2941" s="82" t="str">
        <f aca="false">IF(E2941="","",(AA2941&lt;&gt;"")+(AG2941&lt;&gt;"")+(AL2941&lt;&gt;""))</f>
        <v/>
      </c>
      <c r="AP2941" s="82" t="str">
        <f aca="false">IF(AL2941&lt;&gt;"",AL2941,IF(AG2941&lt;&gt;"",AG2941,IF(AA2941&lt;&gt;"",AA2941,"")))</f>
        <v/>
      </c>
      <c r="AQ2941" s="84" t="str">
        <f aca="false">IF(E2941="","",IF(U2941="","À SOUDER",IF(X2941="","VT EN ATTENTE",IF(X2941="R","VT REJETÉ – À REPRENDRE",IF(AP2941="","À RADIOGRAPHIER",IF(AP2941="A","ACCEPTÉ",IF(AP2941="NX","NX – RT À REFAIRE",IF(IF(AO2941=1,AD2941,IF(AO2941=2,AI2941,""))="A","RÉPARÉ – À RADIOGRAPHIER",IF(IF(AO2941=1,AD2941,IF(AO2941=2,AI2941,""))="R","VT REJETÉ – À REPRENDRE",IF(OR(AP2941="CO",AP2941="NT"),"COUPE – À RESOUDER","À RÉPARER"))))))))))</f>
        <v/>
      </c>
      <c r="AR2941" s="82" t="str">
        <f aca="false">IF(AND(ISNUMBER(U2941),OR(AQ2941="À RADIOGRAPHIER",AQ2941="RÉPARÉ – À RADIOGRAPHIER",AQ2941="NX – RT À REFAIRE",AQ2941="À RÉPARER",AQ2941="COUPE – À RESOUDER",AQ2941="VT REJETÉ – À REPRENDRE")),MAX(0,'PROGRAMME RT'!$C$4-U2941),"")</f>
        <v/>
      </c>
      <c r="AS2941" s="82" t="n">
        <f aca="false">IF(AND(OR(AQ2941="À RADIOGRAPHIER",AQ2941="RÉPARÉ – À RADIOGRAPHIER",AQ2941="NX – RT À REFAIRE"),OR('PROGRAMME RT'!$D$5="TOUTES",B2941='PROGRAMME RT'!$D$5)),1,0)</f>
        <v>0</v>
      </c>
      <c r="AT2941" s="82" t="str">
        <f aca="false">IF(AS2941=1,SUM(AS$7:AS2941),"")</f>
        <v/>
      </c>
      <c r="AU2941" s="82" t="n">
        <f aca="false">IF(AND(OR(AA2941="R",AA2941="NX",AA2941="NT",AA2941="CO"),OR('JOINTS DE RÉPARATION'!$D$5="TOUTES",B2941='JOINTS DE RÉPARATION'!$D$5),OR('JOINTS DE RÉPARATION'!$L$4="TOUS",AQ2941&lt;&gt;"ACCEPTÉ")),1,0)</f>
        <v>0</v>
      </c>
      <c r="AV2941" s="82" t="str">
        <f aca="false">IF(AU2941=1,SUM(AU$7:AU2941),"")</f>
        <v/>
      </c>
      <c r="AW2941" s="82" t="str">
        <f aca="false">IF(E2941="","",B2941&amp;"|"&amp;E2941)</f>
        <v/>
      </c>
    </row>
    <row r="2942" customFormat="false" ht="15" hidden="false" customHeight="false" outlineLevel="0" collapsed="false">
      <c r="A2942" s="79" t="str">
        <f aca="false">IF(E2942="","",ROW()-6)</f>
        <v/>
      </c>
      <c r="B2942" s="80"/>
      <c r="C2942" s="81"/>
      <c r="D2942" s="81"/>
      <c r="E2942" s="81"/>
      <c r="F2942" s="82" t="str">
        <f aca="false">IF(E2942="","",IF(LEFT(E2942,2)="DJ","DJ","JN"))</f>
        <v/>
      </c>
      <c r="G2942" s="81"/>
      <c r="H2942" s="81"/>
      <c r="I2942" s="81"/>
      <c r="J2942" s="81"/>
      <c r="K2942" s="81"/>
      <c r="L2942" s="81"/>
      <c r="M2942" s="81"/>
      <c r="N2942" s="81"/>
      <c r="O2942" s="81"/>
      <c r="P2942" s="81"/>
      <c r="Q2942" s="81"/>
      <c r="R2942" s="81"/>
      <c r="S2942" s="81"/>
      <c r="T2942" s="81"/>
      <c r="U2942" s="83"/>
      <c r="V2942" s="83"/>
      <c r="W2942" s="81"/>
      <c r="X2942" s="81"/>
      <c r="Y2942" s="83"/>
      <c r="Z2942" s="81"/>
      <c r="AA2942" s="81"/>
      <c r="AB2942" s="81"/>
      <c r="AC2942" s="81"/>
      <c r="AD2942" s="81"/>
      <c r="AE2942" s="83"/>
      <c r="AF2942" s="81"/>
      <c r="AG2942" s="81"/>
      <c r="AH2942" s="81"/>
      <c r="AI2942" s="81"/>
      <c r="AJ2942" s="83"/>
      <c r="AK2942" s="81"/>
      <c r="AL2942" s="81"/>
      <c r="AM2942" s="83"/>
      <c r="AN2942" s="80"/>
      <c r="AO2942" s="82" t="str">
        <f aca="false">IF(E2942="","",(AA2942&lt;&gt;"")+(AG2942&lt;&gt;"")+(AL2942&lt;&gt;""))</f>
        <v/>
      </c>
      <c r="AP2942" s="82" t="str">
        <f aca="false">IF(AL2942&lt;&gt;"",AL2942,IF(AG2942&lt;&gt;"",AG2942,IF(AA2942&lt;&gt;"",AA2942,"")))</f>
        <v/>
      </c>
      <c r="AQ2942" s="84" t="str">
        <f aca="false">IF(E2942="","",IF(U2942="","À SOUDER",IF(X2942="","VT EN ATTENTE",IF(X2942="R","VT REJETÉ – À REPRENDRE",IF(AP2942="","À RADIOGRAPHIER",IF(AP2942="A","ACCEPTÉ",IF(AP2942="NX","NX – RT À REFAIRE",IF(IF(AO2942=1,AD2942,IF(AO2942=2,AI2942,""))="A","RÉPARÉ – À RADIOGRAPHIER",IF(IF(AO2942=1,AD2942,IF(AO2942=2,AI2942,""))="R","VT REJETÉ – À REPRENDRE",IF(OR(AP2942="CO",AP2942="NT"),"COUPE – À RESOUDER","À RÉPARER"))))))))))</f>
        <v/>
      </c>
      <c r="AR2942" s="82" t="str">
        <f aca="false">IF(AND(ISNUMBER(U2942),OR(AQ2942="À RADIOGRAPHIER",AQ2942="RÉPARÉ – À RADIOGRAPHIER",AQ2942="NX – RT À REFAIRE",AQ2942="À RÉPARER",AQ2942="COUPE – À RESOUDER",AQ2942="VT REJETÉ – À REPRENDRE")),MAX(0,'PROGRAMME RT'!$C$4-U2942),"")</f>
        <v/>
      </c>
      <c r="AS2942" s="82" t="n">
        <f aca="false">IF(AND(OR(AQ2942="À RADIOGRAPHIER",AQ2942="RÉPARÉ – À RADIOGRAPHIER",AQ2942="NX – RT À REFAIRE"),OR('PROGRAMME RT'!$D$5="TOUTES",B2942='PROGRAMME RT'!$D$5)),1,0)</f>
        <v>0</v>
      </c>
      <c r="AT2942" s="82" t="str">
        <f aca="false">IF(AS2942=1,SUM(AS$7:AS2942),"")</f>
        <v/>
      </c>
      <c r="AU2942" s="82" t="n">
        <f aca="false">IF(AND(OR(AA2942="R",AA2942="NX",AA2942="NT",AA2942="CO"),OR('JOINTS DE RÉPARATION'!$D$5="TOUTES",B2942='JOINTS DE RÉPARATION'!$D$5),OR('JOINTS DE RÉPARATION'!$L$4="TOUS",AQ2942&lt;&gt;"ACCEPTÉ")),1,0)</f>
        <v>0</v>
      </c>
      <c r="AV2942" s="82" t="str">
        <f aca="false">IF(AU2942=1,SUM(AU$7:AU2942),"")</f>
        <v/>
      </c>
      <c r="AW2942" s="82" t="str">
        <f aca="false">IF(E2942="","",B2942&amp;"|"&amp;E2942)</f>
        <v/>
      </c>
    </row>
    <row r="2943" customFormat="false" ht="15" hidden="false" customHeight="false" outlineLevel="0" collapsed="false">
      <c r="A2943" s="79" t="str">
        <f aca="false">IF(E2943="","",ROW()-6)</f>
        <v/>
      </c>
      <c r="B2943" s="80"/>
      <c r="C2943" s="81"/>
      <c r="D2943" s="81"/>
      <c r="E2943" s="81"/>
      <c r="F2943" s="82" t="str">
        <f aca="false">IF(E2943="","",IF(LEFT(E2943,2)="DJ","DJ","JN"))</f>
        <v/>
      </c>
      <c r="G2943" s="81"/>
      <c r="H2943" s="81"/>
      <c r="I2943" s="81"/>
      <c r="J2943" s="81"/>
      <c r="K2943" s="81"/>
      <c r="L2943" s="81"/>
      <c r="M2943" s="81"/>
      <c r="N2943" s="81"/>
      <c r="O2943" s="81"/>
      <c r="P2943" s="81"/>
      <c r="Q2943" s="81"/>
      <c r="R2943" s="81"/>
      <c r="S2943" s="81"/>
      <c r="T2943" s="81"/>
      <c r="U2943" s="83"/>
      <c r="V2943" s="83"/>
      <c r="W2943" s="81"/>
      <c r="X2943" s="81"/>
      <c r="Y2943" s="83"/>
      <c r="Z2943" s="81"/>
      <c r="AA2943" s="81"/>
      <c r="AB2943" s="81"/>
      <c r="AC2943" s="81"/>
      <c r="AD2943" s="81"/>
      <c r="AE2943" s="83"/>
      <c r="AF2943" s="81"/>
      <c r="AG2943" s="81"/>
      <c r="AH2943" s="81"/>
      <c r="AI2943" s="81"/>
      <c r="AJ2943" s="83"/>
      <c r="AK2943" s="81"/>
      <c r="AL2943" s="81"/>
      <c r="AM2943" s="83"/>
      <c r="AN2943" s="80"/>
      <c r="AO2943" s="82" t="str">
        <f aca="false">IF(E2943="","",(AA2943&lt;&gt;"")+(AG2943&lt;&gt;"")+(AL2943&lt;&gt;""))</f>
        <v/>
      </c>
      <c r="AP2943" s="82" t="str">
        <f aca="false">IF(AL2943&lt;&gt;"",AL2943,IF(AG2943&lt;&gt;"",AG2943,IF(AA2943&lt;&gt;"",AA2943,"")))</f>
        <v/>
      </c>
      <c r="AQ2943" s="84" t="str">
        <f aca="false">IF(E2943="","",IF(U2943="","À SOUDER",IF(X2943="","VT EN ATTENTE",IF(X2943="R","VT REJETÉ – À REPRENDRE",IF(AP2943="","À RADIOGRAPHIER",IF(AP2943="A","ACCEPTÉ",IF(AP2943="NX","NX – RT À REFAIRE",IF(IF(AO2943=1,AD2943,IF(AO2943=2,AI2943,""))="A","RÉPARÉ – À RADIOGRAPHIER",IF(IF(AO2943=1,AD2943,IF(AO2943=2,AI2943,""))="R","VT REJETÉ – À REPRENDRE",IF(OR(AP2943="CO",AP2943="NT"),"COUPE – À RESOUDER","À RÉPARER"))))))))))</f>
        <v/>
      </c>
      <c r="AR2943" s="82" t="str">
        <f aca="false">IF(AND(ISNUMBER(U2943),OR(AQ2943="À RADIOGRAPHIER",AQ2943="RÉPARÉ – À RADIOGRAPHIER",AQ2943="NX – RT À REFAIRE",AQ2943="À RÉPARER",AQ2943="COUPE – À RESOUDER",AQ2943="VT REJETÉ – À REPRENDRE")),MAX(0,'PROGRAMME RT'!$C$4-U2943),"")</f>
        <v/>
      </c>
      <c r="AS2943" s="82" t="n">
        <f aca="false">IF(AND(OR(AQ2943="À RADIOGRAPHIER",AQ2943="RÉPARÉ – À RADIOGRAPHIER",AQ2943="NX – RT À REFAIRE"),OR('PROGRAMME RT'!$D$5="TOUTES",B2943='PROGRAMME RT'!$D$5)),1,0)</f>
        <v>0</v>
      </c>
      <c r="AT2943" s="82" t="str">
        <f aca="false">IF(AS2943=1,SUM(AS$7:AS2943),"")</f>
        <v/>
      </c>
      <c r="AU2943" s="82" t="n">
        <f aca="false">IF(AND(OR(AA2943="R",AA2943="NX",AA2943="NT",AA2943="CO"),OR('JOINTS DE RÉPARATION'!$D$5="TOUTES",B2943='JOINTS DE RÉPARATION'!$D$5),OR('JOINTS DE RÉPARATION'!$L$4="TOUS",AQ2943&lt;&gt;"ACCEPTÉ")),1,0)</f>
        <v>0</v>
      </c>
      <c r="AV2943" s="82" t="str">
        <f aca="false">IF(AU2943=1,SUM(AU$7:AU2943),"")</f>
        <v/>
      </c>
      <c r="AW2943" s="82" t="str">
        <f aca="false">IF(E2943="","",B2943&amp;"|"&amp;E2943)</f>
        <v/>
      </c>
    </row>
    <row r="2944" customFormat="false" ht="15" hidden="false" customHeight="false" outlineLevel="0" collapsed="false">
      <c r="A2944" s="79" t="str">
        <f aca="false">IF(E2944="","",ROW()-6)</f>
        <v/>
      </c>
      <c r="B2944" s="80"/>
      <c r="C2944" s="81"/>
      <c r="D2944" s="81"/>
      <c r="E2944" s="81"/>
      <c r="F2944" s="82" t="str">
        <f aca="false">IF(E2944="","",IF(LEFT(E2944,2)="DJ","DJ","JN"))</f>
        <v/>
      </c>
      <c r="G2944" s="81"/>
      <c r="H2944" s="81"/>
      <c r="I2944" s="81"/>
      <c r="J2944" s="81"/>
      <c r="K2944" s="81"/>
      <c r="L2944" s="81"/>
      <c r="M2944" s="81"/>
      <c r="N2944" s="81"/>
      <c r="O2944" s="81"/>
      <c r="P2944" s="81"/>
      <c r="Q2944" s="81"/>
      <c r="R2944" s="81"/>
      <c r="S2944" s="81"/>
      <c r="T2944" s="81"/>
      <c r="U2944" s="83"/>
      <c r="V2944" s="83"/>
      <c r="W2944" s="81"/>
      <c r="X2944" s="81"/>
      <c r="Y2944" s="83"/>
      <c r="Z2944" s="81"/>
      <c r="AA2944" s="81"/>
      <c r="AB2944" s="81"/>
      <c r="AC2944" s="81"/>
      <c r="AD2944" s="81"/>
      <c r="AE2944" s="83"/>
      <c r="AF2944" s="81"/>
      <c r="AG2944" s="81"/>
      <c r="AH2944" s="81"/>
      <c r="AI2944" s="81"/>
      <c r="AJ2944" s="83"/>
      <c r="AK2944" s="81"/>
      <c r="AL2944" s="81"/>
      <c r="AM2944" s="83"/>
      <c r="AN2944" s="80"/>
      <c r="AO2944" s="82" t="str">
        <f aca="false">IF(E2944="","",(AA2944&lt;&gt;"")+(AG2944&lt;&gt;"")+(AL2944&lt;&gt;""))</f>
        <v/>
      </c>
      <c r="AP2944" s="82" t="str">
        <f aca="false">IF(AL2944&lt;&gt;"",AL2944,IF(AG2944&lt;&gt;"",AG2944,IF(AA2944&lt;&gt;"",AA2944,"")))</f>
        <v/>
      </c>
      <c r="AQ2944" s="84" t="str">
        <f aca="false">IF(E2944="","",IF(U2944="","À SOUDER",IF(X2944="","VT EN ATTENTE",IF(X2944="R","VT REJETÉ – À REPRENDRE",IF(AP2944="","À RADIOGRAPHIER",IF(AP2944="A","ACCEPTÉ",IF(AP2944="NX","NX – RT À REFAIRE",IF(IF(AO2944=1,AD2944,IF(AO2944=2,AI2944,""))="A","RÉPARÉ – À RADIOGRAPHIER",IF(IF(AO2944=1,AD2944,IF(AO2944=2,AI2944,""))="R","VT REJETÉ – À REPRENDRE",IF(OR(AP2944="CO",AP2944="NT"),"COUPE – À RESOUDER","À RÉPARER"))))))))))</f>
        <v/>
      </c>
      <c r="AR2944" s="82" t="str">
        <f aca="false">IF(AND(ISNUMBER(U2944),OR(AQ2944="À RADIOGRAPHIER",AQ2944="RÉPARÉ – À RADIOGRAPHIER",AQ2944="NX – RT À REFAIRE",AQ2944="À RÉPARER",AQ2944="COUPE – À RESOUDER",AQ2944="VT REJETÉ – À REPRENDRE")),MAX(0,'PROGRAMME RT'!$C$4-U2944),"")</f>
        <v/>
      </c>
      <c r="AS2944" s="82" t="n">
        <f aca="false">IF(AND(OR(AQ2944="À RADIOGRAPHIER",AQ2944="RÉPARÉ – À RADIOGRAPHIER",AQ2944="NX – RT À REFAIRE"),OR('PROGRAMME RT'!$D$5="TOUTES",B2944='PROGRAMME RT'!$D$5)),1,0)</f>
        <v>0</v>
      </c>
      <c r="AT2944" s="82" t="str">
        <f aca="false">IF(AS2944=1,SUM(AS$7:AS2944),"")</f>
        <v/>
      </c>
      <c r="AU2944" s="82" t="n">
        <f aca="false">IF(AND(OR(AA2944="R",AA2944="NX",AA2944="NT",AA2944="CO"),OR('JOINTS DE RÉPARATION'!$D$5="TOUTES",B2944='JOINTS DE RÉPARATION'!$D$5),OR('JOINTS DE RÉPARATION'!$L$4="TOUS",AQ2944&lt;&gt;"ACCEPTÉ")),1,0)</f>
        <v>0</v>
      </c>
      <c r="AV2944" s="82" t="str">
        <f aca="false">IF(AU2944=1,SUM(AU$7:AU2944),"")</f>
        <v/>
      </c>
      <c r="AW2944" s="82" t="str">
        <f aca="false">IF(E2944="","",B2944&amp;"|"&amp;E2944)</f>
        <v/>
      </c>
    </row>
    <row r="2945" customFormat="false" ht="15" hidden="false" customHeight="false" outlineLevel="0" collapsed="false">
      <c r="A2945" s="79" t="str">
        <f aca="false">IF(E2945="","",ROW()-6)</f>
        <v/>
      </c>
      <c r="B2945" s="80"/>
      <c r="C2945" s="81"/>
      <c r="D2945" s="81"/>
      <c r="E2945" s="81"/>
      <c r="F2945" s="82" t="str">
        <f aca="false">IF(E2945="","",IF(LEFT(E2945,2)="DJ","DJ","JN"))</f>
        <v/>
      </c>
      <c r="G2945" s="81"/>
      <c r="H2945" s="81"/>
      <c r="I2945" s="81"/>
      <c r="J2945" s="81"/>
      <c r="K2945" s="81"/>
      <c r="L2945" s="81"/>
      <c r="M2945" s="81"/>
      <c r="N2945" s="81"/>
      <c r="O2945" s="81"/>
      <c r="P2945" s="81"/>
      <c r="Q2945" s="81"/>
      <c r="R2945" s="81"/>
      <c r="S2945" s="81"/>
      <c r="T2945" s="81"/>
      <c r="U2945" s="83"/>
      <c r="V2945" s="83"/>
      <c r="W2945" s="81"/>
      <c r="X2945" s="81"/>
      <c r="Y2945" s="83"/>
      <c r="Z2945" s="81"/>
      <c r="AA2945" s="81"/>
      <c r="AB2945" s="81"/>
      <c r="AC2945" s="81"/>
      <c r="AD2945" s="81"/>
      <c r="AE2945" s="83"/>
      <c r="AF2945" s="81"/>
      <c r="AG2945" s="81"/>
      <c r="AH2945" s="81"/>
      <c r="AI2945" s="81"/>
      <c r="AJ2945" s="83"/>
      <c r="AK2945" s="81"/>
      <c r="AL2945" s="81"/>
      <c r="AM2945" s="83"/>
      <c r="AN2945" s="80"/>
      <c r="AO2945" s="82" t="str">
        <f aca="false">IF(E2945="","",(AA2945&lt;&gt;"")+(AG2945&lt;&gt;"")+(AL2945&lt;&gt;""))</f>
        <v/>
      </c>
      <c r="AP2945" s="82" t="str">
        <f aca="false">IF(AL2945&lt;&gt;"",AL2945,IF(AG2945&lt;&gt;"",AG2945,IF(AA2945&lt;&gt;"",AA2945,"")))</f>
        <v/>
      </c>
      <c r="AQ2945" s="84" t="str">
        <f aca="false">IF(E2945="","",IF(U2945="","À SOUDER",IF(X2945="","VT EN ATTENTE",IF(X2945="R","VT REJETÉ – À REPRENDRE",IF(AP2945="","À RADIOGRAPHIER",IF(AP2945="A","ACCEPTÉ",IF(AP2945="NX","NX – RT À REFAIRE",IF(IF(AO2945=1,AD2945,IF(AO2945=2,AI2945,""))="A","RÉPARÉ – À RADIOGRAPHIER",IF(IF(AO2945=1,AD2945,IF(AO2945=2,AI2945,""))="R","VT REJETÉ – À REPRENDRE",IF(OR(AP2945="CO",AP2945="NT"),"COUPE – À RESOUDER","À RÉPARER"))))))))))</f>
        <v/>
      </c>
      <c r="AR2945" s="82" t="str">
        <f aca="false">IF(AND(ISNUMBER(U2945),OR(AQ2945="À RADIOGRAPHIER",AQ2945="RÉPARÉ – À RADIOGRAPHIER",AQ2945="NX – RT À REFAIRE",AQ2945="À RÉPARER",AQ2945="COUPE – À RESOUDER",AQ2945="VT REJETÉ – À REPRENDRE")),MAX(0,'PROGRAMME RT'!$C$4-U2945),"")</f>
        <v/>
      </c>
      <c r="AS2945" s="82" t="n">
        <f aca="false">IF(AND(OR(AQ2945="À RADIOGRAPHIER",AQ2945="RÉPARÉ – À RADIOGRAPHIER",AQ2945="NX – RT À REFAIRE"),OR('PROGRAMME RT'!$D$5="TOUTES",B2945='PROGRAMME RT'!$D$5)),1,0)</f>
        <v>0</v>
      </c>
      <c r="AT2945" s="82" t="str">
        <f aca="false">IF(AS2945=1,SUM(AS$7:AS2945),"")</f>
        <v/>
      </c>
      <c r="AU2945" s="82" t="n">
        <f aca="false">IF(AND(OR(AA2945="R",AA2945="NX",AA2945="NT",AA2945="CO"),OR('JOINTS DE RÉPARATION'!$D$5="TOUTES",B2945='JOINTS DE RÉPARATION'!$D$5),OR('JOINTS DE RÉPARATION'!$L$4="TOUS",AQ2945&lt;&gt;"ACCEPTÉ")),1,0)</f>
        <v>0</v>
      </c>
      <c r="AV2945" s="82" t="str">
        <f aca="false">IF(AU2945=1,SUM(AU$7:AU2945),"")</f>
        <v/>
      </c>
      <c r="AW2945" s="82" t="str">
        <f aca="false">IF(E2945="","",B2945&amp;"|"&amp;E2945)</f>
        <v/>
      </c>
    </row>
    <row r="2946" customFormat="false" ht="15" hidden="false" customHeight="false" outlineLevel="0" collapsed="false">
      <c r="A2946" s="79" t="str">
        <f aca="false">IF(E2946="","",ROW()-6)</f>
        <v/>
      </c>
      <c r="B2946" s="80"/>
      <c r="C2946" s="81"/>
      <c r="D2946" s="81"/>
      <c r="E2946" s="81"/>
      <c r="F2946" s="82" t="str">
        <f aca="false">IF(E2946="","",IF(LEFT(E2946,2)="DJ","DJ","JN"))</f>
        <v/>
      </c>
      <c r="G2946" s="81"/>
      <c r="H2946" s="81"/>
      <c r="I2946" s="81"/>
      <c r="J2946" s="81"/>
      <c r="K2946" s="81"/>
      <c r="L2946" s="81"/>
      <c r="M2946" s="81"/>
      <c r="N2946" s="81"/>
      <c r="O2946" s="81"/>
      <c r="P2946" s="81"/>
      <c r="Q2946" s="81"/>
      <c r="R2946" s="81"/>
      <c r="S2946" s="81"/>
      <c r="T2946" s="81"/>
      <c r="U2946" s="83"/>
      <c r="V2946" s="83"/>
      <c r="W2946" s="81"/>
      <c r="X2946" s="81"/>
      <c r="Y2946" s="83"/>
      <c r="Z2946" s="81"/>
      <c r="AA2946" s="81"/>
      <c r="AB2946" s="81"/>
      <c r="AC2946" s="81"/>
      <c r="AD2946" s="81"/>
      <c r="AE2946" s="83"/>
      <c r="AF2946" s="81"/>
      <c r="AG2946" s="81"/>
      <c r="AH2946" s="81"/>
      <c r="AI2946" s="81"/>
      <c r="AJ2946" s="83"/>
      <c r="AK2946" s="81"/>
      <c r="AL2946" s="81"/>
      <c r="AM2946" s="83"/>
      <c r="AN2946" s="80"/>
      <c r="AO2946" s="82" t="str">
        <f aca="false">IF(E2946="","",(AA2946&lt;&gt;"")+(AG2946&lt;&gt;"")+(AL2946&lt;&gt;""))</f>
        <v/>
      </c>
      <c r="AP2946" s="82" t="str">
        <f aca="false">IF(AL2946&lt;&gt;"",AL2946,IF(AG2946&lt;&gt;"",AG2946,IF(AA2946&lt;&gt;"",AA2946,"")))</f>
        <v/>
      </c>
      <c r="AQ2946" s="84" t="str">
        <f aca="false">IF(E2946="","",IF(U2946="","À SOUDER",IF(X2946="","VT EN ATTENTE",IF(X2946="R","VT REJETÉ – À REPRENDRE",IF(AP2946="","À RADIOGRAPHIER",IF(AP2946="A","ACCEPTÉ",IF(AP2946="NX","NX – RT À REFAIRE",IF(IF(AO2946=1,AD2946,IF(AO2946=2,AI2946,""))="A","RÉPARÉ – À RADIOGRAPHIER",IF(IF(AO2946=1,AD2946,IF(AO2946=2,AI2946,""))="R","VT REJETÉ – À REPRENDRE",IF(OR(AP2946="CO",AP2946="NT"),"COUPE – À RESOUDER","À RÉPARER"))))))))))</f>
        <v/>
      </c>
      <c r="AR2946" s="82" t="str">
        <f aca="false">IF(AND(ISNUMBER(U2946),OR(AQ2946="À RADIOGRAPHIER",AQ2946="RÉPARÉ – À RADIOGRAPHIER",AQ2946="NX – RT À REFAIRE",AQ2946="À RÉPARER",AQ2946="COUPE – À RESOUDER",AQ2946="VT REJETÉ – À REPRENDRE")),MAX(0,'PROGRAMME RT'!$C$4-U2946),"")</f>
        <v/>
      </c>
      <c r="AS2946" s="82" t="n">
        <f aca="false">IF(AND(OR(AQ2946="À RADIOGRAPHIER",AQ2946="RÉPARÉ – À RADIOGRAPHIER",AQ2946="NX – RT À REFAIRE"),OR('PROGRAMME RT'!$D$5="TOUTES",B2946='PROGRAMME RT'!$D$5)),1,0)</f>
        <v>0</v>
      </c>
      <c r="AT2946" s="82" t="str">
        <f aca="false">IF(AS2946=1,SUM(AS$7:AS2946),"")</f>
        <v/>
      </c>
      <c r="AU2946" s="82" t="n">
        <f aca="false">IF(AND(OR(AA2946="R",AA2946="NX",AA2946="NT",AA2946="CO"),OR('JOINTS DE RÉPARATION'!$D$5="TOUTES",B2946='JOINTS DE RÉPARATION'!$D$5),OR('JOINTS DE RÉPARATION'!$L$4="TOUS",AQ2946&lt;&gt;"ACCEPTÉ")),1,0)</f>
        <v>0</v>
      </c>
      <c r="AV2946" s="82" t="str">
        <f aca="false">IF(AU2946=1,SUM(AU$7:AU2946),"")</f>
        <v/>
      </c>
      <c r="AW2946" s="82" t="str">
        <f aca="false">IF(E2946="","",B2946&amp;"|"&amp;E2946)</f>
        <v/>
      </c>
    </row>
    <row r="2947" customFormat="false" ht="15" hidden="false" customHeight="false" outlineLevel="0" collapsed="false">
      <c r="A2947" s="79" t="str">
        <f aca="false">IF(E2947="","",ROW()-6)</f>
        <v/>
      </c>
      <c r="B2947" s="80"/>
      <c r="C2947" s="81"/>
      <c r="D2947" s="81"/>
      <c r="E2947" s="81"/>
      <c r="F2947" s="82" t="str">
        <f aca="false">IF(E2947="","",IF(LEFT(E2947,2)="DJ","DJ","JN"))</f>
        <v/>
      </c>
      <c r="G2947" s="81"/>
      <c r="H2947" s="81"/>
      <c r="I2947" s="81"/>
      <c r="J2947" s="81"/>
      <c r="K2947" s="81"/>
      <c r="L2947" s="81"/>
      <c r="M2947" s="81"/>
      <c r="N2947" s="81"/>
      <c r="O2947" s="81"/>
      <c r="P2947" s="81"/>
      <c r="Q2947" s="81"/>
      <c r="R2947" s="81"/>
      <c r="S2947" s="81"/>
      <c r="T2947" s="81"/>
      <c r="U2947" s="83"/>
      <c r="V2947" s="83"/>
      <c r="W2947" s="81"/>
      <c r="X2947" s="81"/>
      <c r="Y2947" s="83"/>
      <c r="Z2947" s="81"/>
      <c r="AA2947" s="81"/>
      <c r="AB2947" s="81"/>
      <c r="AC2947" s="81"/>
      <c r="AD2947" s="81"/>
      <c r="AE2947" s="83"/>
      <c r="AF2947" s="81"/>
      <c r="AG2947" s="81"/>
      <c r="AH2947" s="81"/>
      <c r="AI2947" s="81"/>
      <c r="AJ2947" s="83"/>
      <c r="AK2947" s="81"/>
      <c r="AL2947" s="81"/>
      <c r="AM2947" s="83"/>
      <c r="AN2947" s="80"/>
      <c r="AO2947" s="82" t="str">
        <f aca="false">IF(E2947="","",(AA2947&lt;&gt;"")+(AG2947&lt;&gt;"")+(AL2947&lt;&gt;""))</f>
        <v/>
      </c>
      <c r="AP2947" s="82" t="str">
        <f aca="false">IF(AL2947&lt;&gt;"",AL2947,IF(AG2947&lt;&gt;"",AG2947,IF(AA2947&lt;&gt;"",AA2947,"")))</f>
        <v/>
      </c>
      <c r="AQ2947" s="84" t="str">
        <f aca="false">IF(E2947="","",IF(U2947="","À SOUDER",IF(X2947="","VT EN ATTENTE",IF(X2947="R","VT REJETÉ – À REPRENDRE",IF(AP2947="","À RADIOGRAPHIER",IF(AP2947="A","ACCEPTÉ",IF(AP2947="NX","NX – RT À REFAIRE",IF(IF(AO2947=1,AD2947,IF(AO2947=2,AI2947,""))="A","RÉPARÉ – À RADIOGRAPHIER",IF(IF(AO2947=1,AD2947,IF(AO2947=2,AI2947,""))="R","VT REJETÉ – À REPRENDRE",IF(OR(AP2947="CO",AP2947="NT"),"COUPE – À RESOUDER","À RÉPARER"))))))))))</f>
        <v/>
      </c>
      <c r="AR2947" s="82" t="str">
        <f aca="false">IF(AND(ISNUMBER(U2947),OR(AQ2947="À RADIOGRAPHIER",AQ2947="RÉPARÉ – À RADIOGRAPHIER",AQ2947="NX – RT À REFAIRE",AQ2947="À RÉPARER",AQ2947="COUPE – À RESOUDER",AQ2947="VT REJETÉ – À REPRENDRE")),MAX(0,'PROGRAMME RT'!$C$4-U2947),"")</f>
        <v/>
      </c>
      <c r="AS2947" s="82" t="n">
        <f aca="false">IF(AND(OR(AQ2947="À RADIOGRAPHIER",AQ2947="RÉPARÉ – À RADIOGRAPHIER",AQ2947="NX – RT À REFAIRE"),OR('PROGRAMME RT'!$D$5="TOUTES",B2947='PROGRAMME RT'!$D$5)),1,0)</f>
        <v>0</v>
      </c>
      <c r="AT2947" s="82" t="str">
        <f aca="false">IF(AS2947=1,SUM(AS$7:AS2947),"")</f>
        <v/>
      </c>
      <c r="AU2947" s="82" t="n">
        <f aca="false">IF(AND(OR(AA2947="R",AA2947="NX",AA2947="NT",AA2947="CO"),OR('JOINTS DE RÉPARATION'!$D$5="TOUTES",B2947='JOINTS DE RÉPARATION'!$D$5),OR('JOINTS DE RÉPARATION'!$L$4="TOUS",AQ2947&lt;&gt;"ACCEPTÉ")),1,0)</f>
        <v>0</v>
      </c>
      <c r="AV2947" s="82" t="str">
        <f aca="false">IF(AU2947=1,SUM(AU$7:AU2947),"")</f>
        <v/>
      </c>
      <c r="AW2947" s="82" t="str">
        <f aca="false">IF(E2947="","",B2947&amp;"|"&amp;E2947)</f>
        <v/>
      </c>
    </row>
    <row r="2948" customFormat="false" ht="15" hidden="false" customHeight="false" outlineLevel="0" collapsed="false">
      <c r="A2948" s="79" t="str">
        <f aca="false">IF(E2948="","",ROW()-6)</f>
        <v/>
      </c>
      <c r="B2948" s="80"/>
      <c r="C2948" s="81"/>
      <c r="D2948" s="81"/>
      <c r="E2948" s="81"/>
      <c r="F2948" s="82" t="str">
        <f aca="false">IF(E2948="","",IF(LEFT(E2948,2)="DJ","DJ","JN"))</f>
        <v/>
      </c>
      <c r="G2948" s="81"/>
      <c r="H2948" s="81"/>
      <c r="I2948" s="81"/>
      <c r="J2948" s="81"/>
      <c r="K2948" s="81"/>
      <c r="L2948" s="81"/>
      <c r="M2948" s="81"/>
      <c r="N2948" s="81"/>
      <c r="O2948" s="81"/>
      <c r="P2948" s="81"/>
      <c r="Q2948" s="81"/>
      <c r="R2948" s="81"/>
      <c r="S2948" s="81"/>
      <c r="T2948" s="81"/>
      <c r="U2948" s="83"/>
      <c r="V2948" s="83"/>
      <c r="W2948" s="81"/>
      <c r="X2948" s="81"/>
      <c r="Y2948" s="83"/>
      <c r="Z2948" s="81"/>
      <c r="AA2948" s="81"/>
      <c r="AB2948" s="81"/>
      <c r="AC2948" s="81"/>
      <c r="AD2948" s="81"/>
      <c r="AE2948" s="83"/>
      <c r="AF2948" s="81"/>
      <c r="AG2948" s="81"/>
      <c r="AH2948" s="81"/>
      <c r="AI2948" s="81"/>
      <c r="AJ2948" s="83"/>
      <c r="AK2948" s="81"/>
      <c r="AL2948" s="81"/>
      <c r="AM2948" s="83"/>
      <c r="AN2948" s="80"/>
      <c r="AO2948" s="82" t="str">
        <f aca="false">IF(E2948="","",(AA2948&lt;&gt;"")+(AG2948&lt;&gt;"")+(AL2948&lt;&gt;""))</f>
        <v/>
      </c>
      <c r="AP2948" s="82" t="str">
        <f aca="false">IF(AL2948&lt;&gt;"",AL2948,IF(AG2948&lt;&gt;"",AG2948,IF(AA2948&lt;&gt;"",AA2948,"")))</f>
        <v/>
      </c>
      <c r="AQ2948" s="84" t="str">
        <f aca="false">IF(E2948="","",IF(U2948="","À SOUDER",IF(X2948="","VT EN ATTENTE",IF(X2948="R","VT REJETÉ – À REPRENDRE",IF(AP2948="","À RADIOGRAPHIER",IF(AP2948="A","ACCEPTÉ",IF(AP2948="NX","NX – RT À REFAIRE",IF(IF(AO2948=1,AD2948,IF(AO2948=2,AI2948,""))="A","RÉPARÉ – À RADIOGRAPHIER",IF(IF(AO2948=1,AD2948,IF(AO2948=2,AI2948,""))="R","VT REJETÉ – À REPRENDRE",IF(OR(AP2948="CO",AP2948="NT"),"COUPE – À RESOUDER","À RÉPARER"))))))))))</f>
        <v/>
      </c>
      <c r="AR2948" s="82" t="str">
        <f aca="false">IF(AND(ISNUMBER(U2948),OR(AQ2948="À RADIOGRAPHIER",AQ2948="RÉPARÉ – À RADIOGRAPHIER",AQ2948="NX – RT À REFAIRE",AQ2948="À RÉPARER",AQ2948="COUPE – À RESOUDER",AQ2948="VT REJETÉ – À REPRENDRE")),MAX(0,'PROGRAMME RT'!$C$4-U2948),"")</f>
        <v/>
      </c>
      <c r="AS2948" s="82" t="n">
        <f aca="false">IF(AND(OR(AQ2948="À RADIOGRAPHIER",AQ2948="RÉPARÉ – À RADIOGRAPHIER",AQ2948="NX – RT À REFAIRE"),OR('PROGRAMME RT'!$D$5="TOUTES",B2948='PROGRAMME RT'!$D$5)),1,0)</f>
        <v>0</v>
      </c>
      <c r="AT2948" s="82" t="str">
        <f aca="false">IF(AS2948=1,SUM(AS$7:AS2948),"")</f>
        <v/>
      </c>
      <c r="AU2948" s="82" t="n">
        <f aca="false">IF(AND(OR(AA2948="R",AA2948="NX",AA2948="NT",AA2948="CO"),OR('JOINTS DE RÉPARATION'!$D$5="TOUTES",B2948='JOINTS DE RÉPARATION'!$D$5),OR('JOINTS DE RÉPARATION'!$L$4="TOUS",AQ2948&lt;&gt;"ACCEPTÉ")),1,0)</f>
        <v>0</v>
      </c>
      <c r="AV2948" s="82" t="str">
        <f aca="false">IF(AU2948=1,SUM(AU$7:AU2948),"")</f>
        <v/>
      </c>
      <c r="AW2948" s="82" t="str">
        <f aca="false">IF(E2948="","",B2948&amp;"|"&amp;E2948)</f>
        <v/>
      </c>
    </row>
    <row r="2949" customFormat="false" ht="15" hidden="false" customHeight="false" outlineLevel="0" collapsed="false">
      <c r="A2949" s="79" t="str">
        <f aca="false">IF(E2949="","",ROW()-6)</f>
        <v/>
      </c>
      <c r="B2949" s="80"/>
      <c r="C2949" s="81"/>
      <c r="D2949" s="81"/>
      <c r="E2949" s="81"/>
      <c r="F2949" s="82" t="str">
        <f aca="false">IF(E2949="","",IF(LEFT(E2949,2)="DJ","DJ","JN"))</f>
        <v/>
      </c>
      <c r="G2949" s="81"/>
      <c r="H2949" s="81"/>
      <c r="I2949" s="81"/>
      <c r="J2949" s="81"/>
      <c r="K2949" s="81"/>
      <c r="L2949" s="81"/>
      <c r="M2949" s="81"/>
      <c r="N2949" s="81"/>
      <c r="O2949" s="81"/>
      <c r="P2949" s="81"/>
      <c r="Q2949" s="81"/>
      <c r="R2949" s="81"/>
      <c r="S2949" s="81"/>
      <c r="T2949" s="81"/>
      <c r="U2949" s="83"/>
      <c r="V2949" s="83"/>
      <c r="W2949" s="81"/>
      <c r="X2949" s="81"/>
      <c r="Y2949" s="83"/>
      <c r="Z2949" s="81"/>
      <c r="AA2949" s="81"/>
      <c r="AB2949" s="81"/>
      <c r="AC2949" s="81"/>
      <c r="AD2949" s="81"/>
      <c r="AE2949" s="83"/>
      <c r="AF2949" s="81"/>
      <c r="AG2949" s="81"/>
      <c r="AH2949" s="81"/>
      <c r="AI2949" s="81"/>
      <c r="AJ2949" s="83"/>
      <c r="AK2949" s="81"/>
      <c r="AL2949" s="81"/>
      <c r="AM2949" s="83"/>
      <c r="AN2949" s="80"/>
      <c r="AO2949" s="82" t="str">
        <f aca="false">IF(E2949="","",(AA2949&lt;&gt;"")+(AG2949&lt;&gt;"")+(AL2949&lt;&gt;""))</f>
        <v/>
      </c>
      <c r="AP2949" s="82" t="str">
        <f aca="false">IF(AL2949&lt;&gt;"",AL2949,IF(AG2949&lt;&gt;"",AG2949,IF(AA2949&lt;&gt;"",AA2949,"")))</f>
        <v/>
      </c>
      <c r="AQ2949" s="84" t="str">
        <f aca="false">IF(E2949="","",IF(U2949="","À SOUDER",IF(X2949="","VT EN ATTENTE",IF(X2949="R","VT REJETÉ – À REPRENDRE",IF(AP2949="","À RADIOGRAPHIER",IF(AP2949="A","ACCEPTÉ",IF(AP2949="NX","NX – RT À REFAIRE",IF(IF(AO2949=1,AD2949,IF(AO2949=2,AI2949,""))="A","RÉPARÉ – À RADIOGRAPHIER",IF(IF(AO2949=1,AD2949,IF(AO2949=2,AI2949,""))="R","VT REJETÉ – À REPRENDRE",IF(OR(AP2949="CO",AP2949="NT"),"COUPE – À RESOUDER","À RÉPARER"))))))))))</f>
        <v/>
      </c>
      <c r="AR2949" s="82" t="str">
        <f aca="false">IF(AND(ISNUMBER(U2949),OR(AQ2949="À RADIOGRAPHIER",AQ2949="RÉPARÉ – À RADIOGRAPHIER",AQ2949="NX – RT À REFAIRE",AQ2949="À RÉPARER",AQ2949="COUPE – À RESOUDER",AQ2949="VT REJETÉ – À REPRENDRE")),MAX(0,'PROGRAMME RT'!$C$4-U2949),"")</f>
        <v/>
      </c>
      <c r="AS2949" s="82" t="n">
        <f aca="false">IF(AND(OR(AQ2949="À RADIOGRAPHIER",AQ2949="RÉPARÉ – À RADIOGRAPHIER",AQ2949="NX – RT À REFAIRE"),OR('PROGRAMME RT'!$D$5="TOUTES",B2949='PROGRAMME RT'!$D$5)),1,0)</f>
        <v>0</v>
      </c>
      <c r="AT2949" s="82" t="str">
        <f aca="false">IF(AS2949=1,SUM(AS$7:AS2949),"")</f>
        <v/>
      </c>
      <c r="AU2949" s="82" t="n">
        <f aca="false">IF(AND(OR(AA2949="R",AA2949="NX",AA2949="NT",AA2949="CO"),OR('JOINTS DE RÉPARATION'!$D$5="TOUTES",B2949='JOINTS DE RÉPARATION'!$D$5),OR('JOINTS DE RÉPARATION'!$L$4="TOUS",AQ2949&lt;&gt;"ACCEPTÉ")),1,0)</f>
        <v>0</v>
      </c>
      <c r="AV2949" s="82" t="str">
        <f aca="false">IF(AU2949=1,SUM(AU$7:AU2949),"")</f>
        <v/>
      </c>
      <c r="AW2949" s="82" t="str">
        <f aca="false">IF(E2949="","",B2949&amp;"|"&amp;E2949)</f>
        <v/>
      </c>
    </row>
    <row r="2950" customFormat="false" ht="15" hidden="false" customHeight="false" outlineLevel="0" collapsed="false">
      <c r="A2950" s="79" t="str">
        <f aca="false">IF(E2950="","",ROW()-6)</f>
        <v/>
      </c>
      <c r="B2950" s="80"/>
      <c r="C2950" s="81"/>
      <c r="D2950" s="81"/>
      <c r="E2950" s="81"/>
      <c r="F2950" s="82" t="str">
        <f aca="false">IF(E2950="","",IF(LEFT(E2950,2)="DJ","DJ","JN"))</f>
        <v/>
      </c>
      <c r="G2950" s="81"/>
      <c r="H2950" s="81"/>
      <c r="I2950" s="81"/>
      <c r="J2950" s="81"/>
      <c r="K2950" s="81"/>
      <c r="L2950" s="81"/>
      <c r="M2950" s="81"/>
      <c r="N2950" s="81"/>
      <c r="O2950" s="81"/>
      <c r="P2950" s="81"/>
      <c r="Q2950" s="81"/>
      <c r="R2950" s="81"/>
      <c r="S2950" s="81"/>
      <c r="T2950" s="81"/>
      <c r="U2950" s="83"/>
      <c r="V2950" s="83"/>
      <c r="W2950" s="81"/>
      <c r="X2950" s="81"/>
      <c r="Y2950" s="83"/>
      <c r="Z2950" s="81"/>
      <c r="AA2950" s="81"/>
      <c r="AB2950" s="81"/>
      <c r="AC2950" s="81"/>
      <c r="AD2950" s="81"/>
      <c r="AE2950" s="83"/>
      <c r="AF2950" s="81"/>
      <c r="AG2950" s="81"/>
      <c r="AH2950" s="81"/>
      <c r="AI2950" s="81"/>
      <c r="AJ2950" s="83"/>
      <c r="AK2950" s="81"/>
      <c r="AL2950" s="81"/>
      <c r="AM2950" s="83"/>
      <c r="AN2950" s="80"/>
      <c r="AO2950" s="82" t="str">
        <f aca="false">IF(E2950="","",(AA2950&lt;&gt;"")+(AG2950&lt;&gt;"")+(AL2950&lt;&gt;""))</f>
        <v/>
      </c>
      <c r="AP2950" s="82" t="str">
        <f aca="false">IF(AL2950&lt;&gt;"",AL2950,IF(AG2950&lt;&gt;"",AG2950,IF(AA2950&lt;&gt;"",AA2950,"")))</f>
        <v/>
      </c>
      <c r="AQ2950" s="84" t="str">
        <f aca="false">IF(E2950="","",IF(U2950="","À SOUDER",IF(X2950="","VT EN ATTENTE",IF(X2950="R","VT REJETÉ – À REPRENDRE",IF(AP2950="","À RADIOGRAPHIER",IF(AP2950="A","ACCEPTÉ",IF(AP2950="NX","NX – RT À REFAIRE",IF(IF(AO2950=1,AD2950,IF(AO2950=2,AI2950,""))="A","RÉPARÉ – À RADIOGRAPHIER",IF(IF(AO2950=1,AD2950,IF(AO2950=2,AI2950,""))="R","VT REJETÉ – À REPRENDRE",IF(OR(AP2950="CO",AP2950="NT"),"COUPE – À RESOUDER","À RÉPARER"))))))))))</f>
        <v/>
      </c>
      <c r="AR2950" s="82" t="str">
        <f aca="false">IF(AND(ISNUMBER(U2950),OR(AQ2950="À RADIOGRAPHIER",AQ2950="RÉPARÉ – À RADIOGRAPHIER",AQ2950="NX – RT À REFAIRE",AQ2950="À RÉPARER",AQ2950="COUPE – À RESOUDER",AQ2950="VT REJETÉ – À REPRENDRE")),MAX(0,'PROGRAMME RT'!$C$4-U2950),"")</f>
        <v/>
      </c>
      <c r="AS2950" s="82" t="n">
        <f aca="false">IF(AND(OR(AQ2950="À RADIOGRAPHIER",AQ2950="RÉPARÉ – À RADIOGRAPHIER",AQ2950="NX – RT À REFAIRE"),OR('PROGRAMME RT'!$D$5="TOUTES",B2950='PROGRAMME RT'!$D$5)),1,0)</f>
        <v>0</v>
      </c>
      <c r="AT2950" s="82" t="str">
        <f aca="false">IF(AS2950=1,SUM(AS$7:AS2950),"")</f>
        <v/>
      </c>
      <c r="AU2950" s="82" t="n">
        <f aca="false">IF(AND(OR(AA2950="R",AA2950="NX",AA2950="NT",AA2950="CO"),OR('JOINTS DE RÉPARATION'!$D$5="TOUTES",B2950='JOINTS DE RÉPARATION'!$D$5),OR('JOINTS DE RÉPARATION'!$L$4="TOUS",AQ2950&lt;&gt;"ACCEPTÉ")),1,0)</f>
        <v>0</v>
      </c>
      <c r="AV2950" s="82" t="str">
        <f aca="false">IF(AU2950=1,SUM(AU$7:AU2950),"")</f>
        <v/>
      </c>
      <c r="AW2950" s="82" t="str">
        <f aca="false">IF(E2950="","",B2950&amp;"|"&amp;E2950)</f>
        <v/>
      </c>
    </row>
    <row r="2951" customFormat="false" ht="15" hidden="false" customHeight="false" outlineLevel="0" collapsed="false">
      <c r="A2951" s="79" t="str">
        <f aca="false">IF(E2951="","",ROW()-6)</f>
        <v/>
      </c>
      <c r="B2951" s="80"/>
      <c r="C2951" s="81"/>
      <c r="D2951" s="81"/>
      <c r="E2951" s="81"/>
      <c r="F2951" s="82" t="str">
        <f aca="false">IF(E2951="","",IF(LEFT(E2951,2)="DJ","DJ","JN"))</f>
        <v/>
      </c>
      <c r="G2951" s="81"/>
      <c r="H2951" s="81"/>
      <c r="I2951" s="81"/>
      <c r="J2951" s="81"/>
      <c r="K2951" s="81"/>
      <c r="L2951" s="81"/>
      <c r="M2951" s="81"/>
      <c r="N2951" s="81"/>
      <c r="O2951" s="81"/>
      <c r="P2951" s="81"/>
      <c r="Q2951" s="81"/>
      <c r="R2951" s="81"/>
      <c r="S2951" s="81"/>
      <c r="T2951" s="81"/>
      <c r="U2951" s="83"/>
      <c r="V2951" s="83"/>
      <c r="W2951" s="81"/>
      <c r="X2951" s="81"/>
      <c r="Y2951" s="83"/>
      <c r="Z2951" s="81"/>
      <c r="AA2951" s="81"/>
      <c r="AB2951" s="81"/>
      <c r="AC2951" s="81"/>
      <c r="AD2951" s="81"/>
      <c r="AE2951" s="83"/>
      <c r="AF2951" s="81"/>
      <c r="AG2951" s="81"/>
      <c r="AH2951" s="81"/>
      <c r="AI2951" s="81"/>
      <c r="AJ2951" s="83"/>
      <c r="AK2951" s="81"/>
      <c r="AL2951" s="81"/>
      <c r="AM2951" s="83"/>
      <c r="AN2951" s="80"/>
      <c r="AO2951" s="82" t="str">
        <f aca="false">IF(E2951="","",(AA2951&lt;&gt;"")+(AG2951&lt;&gt;"")+(AL2951&lt;&gt;""))</f>
        <v/>
      </c>
      <c r="AP2951" s="82" t="str">
        <f aca="false">IF(AL2951&lt;&gt;"",AL2951,IF(AG2951&lt;&gt;"",AG2951,IF(AA2951&lt;&gt;"",AA2951,"")))</f>
        <v/>
      </c>
      <c r="AQ2951" s="84" t="str">
        <f aca="false">IF(E2951="","",IF(U2951="","À SOUDER",IF(X2951="","VT EN ATTENTE",IF(X2951="R","VT REJETÉ – À REPRENDRE",IF(AP2951="","À RADIOGRAPHIER",IF(AP2951="A","ACCEPTÉ",IF(AP2951="NX","NX – RT À REFAIRE",IF(IF(AO2951=1,AD2951,IF(AO2951=2,AI2951,""))="A","RÉPARÉ – À RADIOGRAPHIER",IF(IF(AO2951=1,AD2951,IF(AO2951=2,AI2951,""))="R","VT REJETÉ – À REPRENDRE",IF(OR(AP2951="CO",AP2951="NT"),"COUPE – À RESOUDER","À RÉPARER"))))))))))</f>
        <v/>
      </c>
      <c r="AR2951" s="82" t="str">
        <f aca="false">IF(AND(ISNUMBER(U2951),OR(AQ2951="À RADIOGRAPHIER",AQ2951="RÉPARÉ – À RADIOGRAPHIER",AQ2951="NX – RT À REFAIRE",AQ2951="À RÉPARER",AQ2951="COUPE – À RESOUDER",AQ2951="VT REJETÉ – À REPRENDRE")),MAX(0,'PROGRAMME RT'!$C$4-U2951),"")</f>
        <v/>
      </c>
      <c r="AS2951" s="82" t="n">
        <f aca="false">IF(AND(OR(AQ2951="À RADIOGRAPHIER",AQ2951="RÉPARÉ – À RADIOGRAPHIER",AQ2951="NX – RT À REFAIRE"),OR('PROGRAMME RT'!$D$5="TOUTES",B2951='PROGRAMME RT'!$D$5)),1,0)</f>
        <v>0</v>
      </c>
      <c r="AT2951" s="82" t="str">
        <f aca="false">IF(AS2951=1,SUM(AS$7:AS2951),"")</f>
        <v/>
      </c>
      <c r="AU2951" s="82" t="n">
        <f aca="false">IF(AND(OR(AA2951="R",AA2951="NX",AA2951="NT",AA2951="CO"),OR('JOINTS DE RÉPARATION'!$D$5="TOUTES",B2951='JOINTS DE RÉPARATION'!$D$5),OR('JOINTS DE RÉPARATION'!$L$4="TOUS",AQ2951&lt;&gt;"ACCEPTÉ")),1,0)</f>
        <v>0</v>
      </c>
      <c r="AV2951" s="82" t="str">
        <f aca="false">IF(AU2951=1,SUM(AU$7:AU2951),"")</f>
        <v/>
      </c>
      <c r="AW2951" s="82" t="str">
        <f aca="false">IF(E2951="","",B2951&amp;"|"&amp;E2951)</f>
        <v/>
      </c>
    </row>
    <row r="2952" customFormat="false" ht="15" hidden="false" customHeight="false" outlineLevel="0" collapsed="false">
      <c r="A2952" s="79" t="str">
        <f aca="false">IF(E2952="","",ROW()-6)</f>
        <v/>
      </c>
      <c r="B2952" s="80"/>
      <c r="C2952" s="81"/>
      <c r="D2952" s="81"/>
      <c r="E2952" s="81"/>
      <c r="F2952" s="82" t="str">
        <f aca="false">IF(E2952="","",IF(LEFT(E2952,2)="DJ","DJ","JN"))</f>
        <v/>
      </c>
      <c r="G2952" s="81"/>
      <c r="H2952" s="81"/>
      <c r="I2952" s="81"/>
      <c r="J2952" s="81"/>
      <c r="K2952" s="81"/>
      <c r="L2952" s="81"/>
      <c r="M2952" s="81"/>
      <c r="N2952" s="81"/>
      <c r="O2952" s="81"/>
      <c r="P2952" s="81"/>
      <c r="Q2952" s="81"/>
      <c r="R2952" s="81"/>
      <c r="S2952" s="81"/>
      <c r="T2952" s="81"/>
      <c r="U2952" s="83"/>
      <c r="V2952" s="83"/>
      <c r="W2952" s="81"/>
      <c r="X2952" s="81"/>
      <c r="Y2952" s="83"/>
      <c r="Z2952" s="81"/>
      <c r="AA2952" s="81"/>
      <c r="AB2952" s="81"/>
      <c r="AC2952" s="81"/>
      <c r="AD2952" s="81"/>
      <c r="AE2952" s="83"/>
      <c r="AF2952" s="81"/>
      <c r="AG2952" s="81"/>
      <c r="AH2952" s="81"/>
      <c r="AI2952" s="81"/>
      <c r="AJ2952" s="83"/>
      <c r="AK2952" s="81"/>
      <c r="AL2952" s="81"/>
      <c r="AM2952" s="83"/>
      <c r="AN2952" s="80"/>
      <c r="AO2952" s="82" t="str">
        <f aca="false">IF(E2952="","",(AA2952&lt;&gt;"")+(AG2952&lt;&gt;"")+(AL2952&lt;&gt;""))</f>
        <v/>
      </c>
      <c r="AP2952" s="82" t="str">
        <f aca="false">IF(AL2952&lt;&gt;"",AL2952,IF(AG2952&lt;&gt;"",AG2952,IF(AA2952&lt;&gt;"",AA2952,"")))</f>
        <v/>
      </c>
      <c r="AQ2952" s="84" t="str">
        <f aca="false">IF(E2952="","",IF(U2952="","À SOUDER",IF(X2952="","VT EN ATTENTE",IF(X2952="R","VT REJETÉ – À REPRENDRE",IF(AP2952="","À RADIOGRAPHIER",IF(AP2952="A","ACCEPTÉ",IF(AP2952="NX","NX – RT À REFAIRE",IF(IF(AO2952=1,AD2952,IF(AO2952=2,AI2952,""))="A","RÉPARÉ – À RADIOGRAPHIER",IF(IF(AO2952=1,AD2952,IF(AO2952=2,AI2952,""))="R","VT REJETÉ – À REPRENDRE",IF(OR(AP2952="CO",AP2952="NT"),"COUPE – À RESOUDER","À RÉPARER"))))))))))</f>
        <v/>
      </c>
      <c r="AR2952" s="82" t="str">
        <f aca="false">IF(AND(ISNUMBER(U2952),OR(AQ2952="À RADIOGRAPHIER",AQ2952="RÉPARÉ – À RADIOGRAPHIER",AQ2952="NX – RT À REFAIRE",AQ2952="À RÉPARER",AQ2952="COUPE – À RESOUDER",AQ2952="VT REJETÉ – À REPRENDRE")),MAX(0,'PROGRAMME RT'!$C$4-U2952),"")</f>
        <v/>
      </c>
      <c r="AS2952" s="82" t="n">
        <f aca="false">IF(AND(OR(AQ2952="À RADIOGRAPHIER",AQ2952="RÉPARÉ – À RADIOGRAPHIER",AQ2952="NX – RT À REFAIRE"),OR('PROGRAMME RT'!$D$5="TOUTES",B2952='PROGRAMME RT'!$D$5)),1,0)</f>
        <v>0</v>
      </c>
      <c r="AT2952" s="82" t="str">
        <f aca="false">IF(AS2952=1,SUM(AS$7:AS2952),"")</f>
        <v/>
      </c>
      <c r="AU2952" s="82" t="n">
        <f aca="false">IF(AND(OR(AA2952="R",AA2952="NX",AA2952="NT",AA2952="CO"),OR('JOINTS DE RÉPARATION'!$D$5="TOUTES",B2952='JOINTS DE RÉPARATION'!$D$5),OR('JOINTS DE RÉPARATION'!$L$4="TOUS",AQ2952&lt;&gt;"ACCEPTÉ")),1,0)</f>
        <v>0</v>
      </c>
      <c r="AV2952" s="82" t="str">
        <f aca="false">IF(AU2952=1,SUM(AU$7:AU2952),"")</f>
        <v/>
      </c>
      <c r="AW2952" s="82" t="str">
        <f aca="false">IF(E2952="","",B2952&amp;"|"&amp;E2952)</f>
        <v/>
      </c>
    </row>
    <row r="2953" customFormat="false" ht="15" hidden="false" customHeight="false" outlineLevel="0" collapsed="false">
      <c r="A2953" s="79" t="str">
        <f aca="false">IF(E2953="","",ROW()-6)</f>
        <v/>
      </c>
      <c r="B2953" s="80"/>
      <c r="C2953" s="81"/>
      <c r="D2953" s="81"/>
      <c r="E2953" s="81"/>
      <c r="F2953" s="82" t="str">
        <f aca="false">IF(E2953="","",IF(LEFT(E2953,2)="DJ","DJ","JN"))</f>
        <v/>
      </c>
      <c r="G2953" s="81"/>
      <c r="H2953" s="81"/>
      <c r="I2953" s="81"/>
      <c r="J2953" s="81"/>
      <c r="K2953" s="81"/>
      <c r="L2953" s="81"/>
      <c r="M2953" s="81"/>
      <c r="N2953" s="81"/>
      <c r="O2953" s="81"/>
      <c r="P2953" s="81"/>
      <c r="Q2953" s="81"/>
      <c r="R2953" s="81"/>
      <c r="S2953" s="81"/>
      <c r="T2953" s="81"/>
      <c r="U2953" s="83"/>
      <c r="V2953" s="83"/>
      <c r="W2953" s="81"/>
      <c r="X2953" s="81"/>
      <c r="Y2953" s="83"/>
      <c r="Z2953" s="81"/>
      <c r="AA2953" s="81"/>
      <c r="AB2953" s="81"/>
      <c r="AC2953" s="81"/>
      <c r="AD2953" s="81"/>
      <c r="AE2953" s="83"/>
      <c r="AF2953" s="81"/>
      <c r="AG2953" s="81"/>
      <c r="AH2953" s="81"/>
      <c r="AI2953" s="81"/>
      <c r="AJ2953" s="83"/>
      <c r="AK2953" s="81"/>
      <c r="AL2953" s="81"/>
      <c r="AM2953" s="83"/>
      <c r="AN2953" s="80"/>
      <c r="AO2953" s="82" t="str">
        <f aca="false">IF(E2953="","",(AA2953&lt;&gt;"")+(AG2953&lt;&gt;"")+(AL2953&lt;&gt;""))</f>
        <v/>
      </c>
      <c r="AP2953" s="82" t="str">
        <f aca="false">IF(AL2953&lt;&gt;"",AL2953,IF(AG2953&lt;&gt;"",AG2953,IF(AA2953&lt;&gt;"",AA2953,"")))</f>
        <v/>
      </c>
      <c r="AQ2953" s="84" t="str">
        <f aca="false">IF(E2953="","",IF(U2953="","À SOUDER",IF(X2953="","VT EN ATTENTE",IF(X2953="R","VT REJETÉ – À REPRENDRE",IF(AP2953="","À RADIOGRAPHIER",IF(AP2953="A","ACCEPTÉ",IF(AP2953="NX","NX – RT À REFAIRE",IF(IF(AO2953=1,AD2953,IF(AO2953=2,AI2953,""))="A","RÉPARÉ – À RADIOGRAPHIER",IF(IF(AO2953=1,AD2953,IF(AO2953=2,AI2953,""))="R","VT REJETÉ – À REPRENDRE",IF(OR(AP2953="CO",AP2953="NT"),"COUPE – À RESOUDER","À RÉPARER"))))))))))</f>
        <v/>
      </c>
      <c r="AR2953" s="82" t="str">
        <f aca="false">IF(AND(ISNUMBER(U2953),OR(AQ2953="À RADIOGRAPHIER",AQ2953="RÉPARÉ – À RADIOGRAPHIER",AQ2953="NX – RT À REFAIRE",AQ2953="À RÉPARER",AQ2953="COUPE – À RESOUDER",AQ2953="VT REJETÉ – À REPRENDRE")),MAX(0,'PROGRAMME RT'!$C$4-U2953),"")</f>
        <v/>
      </c>
      <c r="AS2953" s="82" t="n">
        <f aca="false">IF(AND(OR(AQ2953="À RADIOGRAPHIER",AQ2953="RÉPARÉ – À RADIOGRAPHIER",AQ2953="NX – RT À REFAIRE"),OR('PROGRAMME RT'!$D$5="TOUTES",B2953='PROGRAMME RT'!$D$5)),1,0)</f>
        <v>0</v>
      </c>
      <c r="AT2953" s="82" t="str">
        <f aca="false">IF(AS2953=1,SUM(AS$7:AS2953),"")</f>
        <v/>
      </c>
      <c r="AU2953" s="82" t="n">
        <f aca="false">IF(AND(OR(AA2953="R",AA2953="NX",AA2953="NT",AA2953="CO"),OR('JOINTS DE RÉPARATION'!$D$5="TOUTES",B2953='JOINTS DE RÉPARATION'!$D$5),OR('JOINTS DE RÉPARATION'!$L$4="TOUS",AQ2953&lt;&gt;"ACCEPTÉ")),1,0)</f>
        <v>0</v>
      </c>
      <c r="AV2953" s="82" t="str">
        <f aca="false">IF(AU2953=1,SUM(AU$7:AU2953),"")</f>
        <v/>
      </c>
      <c r="AW2953" s="82" t="str">
        <f aca="false">IF(E2953="","",B2953&amp;"|"&amp;E2953)</f>
        <v/>
      </c>
    </row>
    <row r="2954" customFormat="false" ht="15" hidden="false" customHeight="false" outlineLevel="0" collapsed="false">
      <c r="A2954" s="79" t="str">
        <f aca="false">IF(E2954="","",ROW()-6)</f>
        <v/>
      </c>
      <c r="B2954" s="80"/>
      <c r="C2954" s="81"/>
      <c r="D2954" s="81"/>
      <c r="E2954" s="81"/>
      <c r="F2954" s="82" t="str">
        <f aca="false">IF(E2954="","",IF(LEFT(E2954,2)="DJ","DJ","JN"))</f>
        <v/>
      </c>
      <c r="G2954" s="81"/>
      <c r="H2954" s="81"/>
      <c r="I2954" s="81"/>
      <c r="J2954" s="81"/>
      <c r="K2954" s="81"/>
      <c r="L2954" s="81"/>
      <c r="M2954" s="81"/>
      <c r="N2954" s="81"/>
      <c r="O2954" s="81"/>
      <c r="P2954" s="81"/>
      <c r="Q2954" s="81"/>
      <c r="R2954" s="81"/>
      <c r="S2954" s="81"/>
      <c r="T2954" s="81"/>
      <c r="U2954" s="83"/>
      <c r="V2954" s="83"/>
      <c r="W2954" s="81"/>
      <c r="X2954" s="81"/>
      <c r="Y2954" s="83"/>
      <c r="Z2954" s="81"/>
      <c r="AA2954" s="81"/>
      <c r="AB2954" s="81"/>
      <c r="AC2954" s="81"/>
      <c r="AD2954" s="81"/>
      <c r="AE2954" s="83"/>
      <c r="AF2954" s="81"/>
      <c r="AG2954" s="81"/>
      <c r="AH2954" s="81"/>
      <c r="AI2954" s="81"/>
      <c r="AJ2954" s="83"/>
      <c r="AK2954" s="81"/>
      <c r="AL2954" s="81"/>
      <c r="AM2954" s="83"/>
      <c r="AN2954" s="80"/>
      <c r="AO2954" s="82" t="str">
        <f aca="false">IF(E2954="","",(AA2954&lt;&gt;"")+(AG2954&lt;&gt;"")+(AL2954&lt;&gt;""))</f>
        <v/>
      </c>
      <c r="AP2954" s="82" t="str">
        <f aca="false">IF(AL2954&lt;&gt;"",AL2954,IF(AG2954&lt;&gt;"",AG2954,IF(AA2954&lt;&gt;"",AA2954,"")))</f>
        <v/>
      </c>
      <c r="AQ2954" s="84" t="str">
        <f aca="false">IF(E2954="","",IF(U2954="","À SOUDER",IF(X2954="","VT EN ATTENTE",IF(X2954="R","VT REJETÉ – À REPRENDRE",IF(AP2954="","À RADIOGRAPHIER",IF(AP2954="A","ACCEPTÉ",IF(AP2954="NX","NX – RT À REFAIRE",IF(IF(AO2954=1,AD2954,IF(AO2954=2,AI2954,""))="A","RÉPARÉ – À RADIOGRAPHIER",IF(IF(AO2954=1,AD2954,IF(AO2954=2,AI2954,""))="R","VT REJETÉ – À REPRENDRE",IF(OR(AP2954="CO",AP2954="NT"),"COUPE – À RESOUDER","À RÉPARER"))))))))))</f>
        <v/>
      </c>
      <c r="AR2954" s="82" t="str">
        <f aca="false">IF(AND(ISNUMBER(U2954),OR(AQ2954="À RADIOGRAPHIER",AQ2954="RÉPARÉ – À RADIOGRAPHIER",AQ2954="NX – RT À REFAIRE",AQ2954="À RÉPARER",AQ2954="COUPE – À RESOUDER",AQ2954="VT REJETÉ – À REPRENDRE")),MAX(0,'PROGRAMME RT'!$C$4-U2954),"")</f>
        <v/>
      </c>
      <c r="AS2954" s="82" t="n">
        <f aca="false">IF(AND(OR(AQ2954="À RADIOGRAPHIER",AQ2954="RÉPARÉ – À RADIOGRAPHIER",AQ2954="NX – RT À REFAIRE"),OR('PROGRAMME RT'!$D$5="TOUTES",B2954='PROGRAMME RT'!$D$5)),1,0)</f>
        <v>0</v>
      </c>
      <c r="AT2954" s="82" t="str">
        <f aca="false">IF(AS2954=1,SUM(AS$7:AS2954),"")</f>
        <v/>
      </c>
      <c r="AU2954" s="82" t="n">
        <f aca="false">IF(AND(OR(AA2954="R",AA2954="NX",AA2954="NT",AA2954="CO"),OR('JOINTS DE RÉPARATION'!$D$5="TOUTES",B2954='JOINTS DE RÉPARATION'!$D$5),OR('JOINTS DE RÉPARATION'!$L$4="TOUS",AQ2954&lt;&gt;"ACCEPTÉ")),1,0)</f>
        <v>0</v>
      </c>
      <c r="AV2954" s="82" t="str">
        <f aca="false">IF(AU2954=1,SUM(AU$7:AU2954),"")</f>
        <v/>
      </c>
      <c r="AW2954" s="82" t="str">
        <f aca="false">IF(E2954="","",B2954&amp;"|"&amp;E2954)</f>
        <v/>
      </c>
    </row>
    <row r="2955" customFormat="false" ht="15" hidden="false" customHeight="false" outlineLevel="0" collapsed="false">
      <c r="A2955" s="79" t="str">
        <f aca="false">IF(E2955="","",ROW()-6)</f>
        <v/>
      </c>
      <c r="B2955" s="80"/>
      <c r="C2955" s="81"/>
      <c r="D2955" s="81"/>
      <c r="E2955" s="81"/>
      <c r="F2955" s="82" t="str">
        <f aca="false">IF(E2955="","",IF(LEFT(E2955,2)="DJ","DJ","JN"))</f>
        <v/>
      </c>
      <c r="G2955" s="81"/>
      <c r="H2955" s="81"/>
      <c r="I2955" s="81"/>
      <c r="J2955" s="81"/>
      <c r="K2955" s="81"/>
      <c r="L2955" s="81"/>
      <c r="M2955" s="81"/>
      <c r="N2955" s="81"/>
      <c r="O2955" s="81"/>
      <c r="P2955" s="81"/>
      <c r="Q2955" s="81"/>
      <c r="R2955" s="81"/>
      <c r="S2955" s="81"/>
      <c r="T2955" s="81"/>
      <c r="U2955" s="83"/>
      <c r="V2955" s="83"/>
      <c r="W2955" s="81"/>
      <c r="X2955" s="81"/>
      <c r="Y2955" s="83"/>
      <c r="Z2955" s="81"/>
      <c r="AA2955" s="81"/>
      <c r="AB2955" s="81"/>
      <c r="AC2955" s="81"/>
      <c r="AD2955" s="81"/>
      <c r="AE2955" s="83"/>
      <c r="AF2955" s="81"/>
      <c r="AG2955" s="81"/>
      <c r="AH2955" s="81"/>
      <c r="AI2955" s="81"/>
      <c r="AJ2955" s="83"/>
      <c r="AK2955" s="81"/>
      <c r="AL2955" s="81"/>
      <c r="AM2955" s="83"/>
      <c r="AN2955" s="80"/>
      <c r="AO2955" s="82" t="str">
        <f aca="false">IF(E2955="","",(AA2955&lt;&gt;"")+(AG2955&lt;&gt;"")+(AL2955&lt;&gt;""))</f>
        <v/>
      </c>
      <c r="AP2955" s="82" t="str">
        <f aca="false">IF(AL2955&lt;&gt;"",AL2955,IF(AG2955&lt;&gt;"",AG2955,IF(AA2955&lt;&gt;"",AA2955,"")))</f>
        <v/>
      </c>
      <c r="AQ2955" s="84" t="str">
        <f aca="false">IF(E2955="","",IF(U2955="","À SOUDER",IF(X2955="","VT EN ATTENTE",IF(X2955="R","VT REJETÉ – À REPRENDRE",IF(AP2955="","À RADIOGRAPHIER",IF(AP2955="A","ACCEPTÉ",IF(AP2955="NX","NX – RT À REFAIRE",IF(IF(AO2955=1,AD2955,IF(AO2955=2,AI2955,""))="A","RÉPARÉ – À RADIOGRAPHIER",IF(IF(AO2955=1,AD2955,IF(AO2955=2,AI2955,""))="R","VT REJETÉ – À REPRENDRE",IF(OR(AP2955="CO",AP2955="NT"),"COUPE – À RESOUDER","À RÉPARER"))))))))))</f>
        <v/>
      </c>
      <c r="AR2955" s="82" t="str">
        <f aca="false">IF(AND(ISNUMBER(U2955),OR(AQ2955="À RADIOGRAPHIER",AQ2955="RÉPARÉ – À RADIOGRAPHIER",AQ2955="NX – RT À REFAIRE",AQ2955="À RÉPARER",AQ2955="COUPE – À RESOUDER",AQ2955="VT REJETÉ – À REPRENDRE")),MAX(0,'PROGRAMME RT'!$C$4-U2955),"")</f>
        <v/>
      </c>
      <c r="AS2955" s="82" t="n">
        <f aca="false">IF(AND(OR(AQ2955="À RADIOGRAPHIER",AQ2955="RÉPARÉ – À RADIOGRAPHIER",AQ2955="NX – RT À REFAIRE"),OR('PROGRAMME RT'!$D$5="TOUTES",B2955='PROGRAMME RT'!$D$5)),1,0)</f>
        <v>0</v>
      </c>
      <c r="AT2955" s="82" t="str">
        <f aca="false">IF(AS2955=1,SUM(AS$7:AS2955),"")</f>
        <v/>
      </c>
      <c r="AU2955" s="82" t="n">
        <f aca="false">IF(AND(OR(AA2955="R",AA2955="NX",AA2955="NT",AA2955="CO"),OR('JOINTS DE RÉPARATION'!$D$5="TOUTES",B2955='JOINTS DE RÉPARATION'!$D$5),OR('JOINTS DE RÉPARATION'!$L$4="TOUS",AQ2955&lt;&gt;"ACCEPTÉ")),1,0)</f>
        <v>0</v>
      </c>
      <c r="AV2955" s="82" t="str">
        <f aca="false">IF(AU2955=1,SUM(AU$7:AU2955),"")</f>
        <v/>
      </c>
      <c r="AW2955" s="82" t="str">
        <f aca="false">IF(E2955="","",B2955&amp;"|"&amp;E2955)</f>
        <v/>
      </c>
    </row>
    <row r="2956" customFormat="false" ht="15" hidden="false" customHeight="false" outlineLevel="0" collapsed="false">
      <c r="A2956" s="79" t="str">
        <f aca="false">IF(E2956="","",ROW()-6)</f>
        <v/>
      </c>
      <c r="B2956" s="80"/>
      <c r="C2956" s="81"/>
      <c r="D2956" s="81"/>
      <c r="E2956" s="81"/>
      <c r="F2956" s="82" t="str">
        <f aca="false">IF(E2956="","",IF(LEFT(E2956,2)="DJ","DJ","JN"))</f>
        <v/>
      </c>
      <c r="G2956" s="81"/>
      <c r="H2956" s="81"/>
      <c r="I2956" s="81"/>
      <c r="J2956" s="81"/>
      <c r="K2956" s="81"/>
      <c r="L2956" s="81"/>
      <c r="M2956" s="81"/>
      <c r="N2956" s="81"/>
      <c r="O2956" s="81"/>
      <c r="P2956" s="81"/>
      <c r="Q2956" s="81"/>
      <c r="R2956" s="81"/>
      <c r="S2956" s="81"/>
      <c r="T2956" s="81"/>
      <c r="U2956" s="83"/>
      <c r="V2956" s="83"/>
      <c r="W2956" s="81"/>
      <c r="X2956" s="81"/>
      <c r="Y2956" s="83"/>
      <c r="Z2956" s="81"/>
      <c r="AA2956" s="81"/>
      <c r="AB2956" s="81"/>
      <c r="AC2956" s="81"/>
      <c r="AD2956" s="81"/>
      <c r="AE2956" s="83"/>
      <c r="AF2956" s="81"/>
      <c r="AG2956" s="81"/>
      <c r="AH2956" s="81"/>
      <c r="AI2956" s="81"/>
      <c r="AJ2956" s="83"/>
      <c r="AK2956" s="81"/>
      <c r="AL2956" s="81"/>
      <c r="AM2956" s="83"/>
      <c r="AN2956" s="80"/>
      <c r="AO2956" s="82" t="str">
        <f aca="false">IF(E2956="","",(AA2956&lt;&gt;"")+(AG2956&lt;&gt;"")+(AL2956&lt;&gt;""))</f>
        <v/>
      </c>
      <c r="AP2956" s="82" t="str">
        <f aca="false">IF(AL2956&lt;&gt;"",AL2956,IF(AG2956&lt;&gt;"",AG2956,IF(AA2956&lt;&gt;"",AA2956,"")))</f>
        <v/>
      </c>
      <c r="AQ2956" s="84" t="str">
        <f aca="false">IF(E2956="","",IF(U2956="","À SOUDER",IF(X2956="","VT EN ATTENTE",IF(X2956="R","VT REJETÉ – À REPRENDRE",IF(AP2956="","À RADIOGRAPHIER",IF(AP2956="A","ACCEPTÉ",IF(AP2956="NX","NX – RT À REFAIRE",IF(IF(AO2956=1,AD2956,IF(AO2956=2,AI2956,""))="A","RÉPARÉ – À RADIOGRAPHIER",IF(IF(AO2956=1,AD2956,IF(AO2956=2,AI2956,""))="R","VT REJETÉ – À REPRENDRE",IF(OR(AP2956="CO",AP2956="NT"),"COUPE – À RESOUDER","À RÉPARER"))))))))))</f>
        <v/>
      </c>
      <c r="AR2956" s="82" t="str">
        <f aca="false">IF(AND(ISNUMBER(U2956),OR(AQ2956="À RADIOGRAPHIER",AQ2956="RÉPARÉ – À RADIOGRAPHIER",AQ2956="NX – RT À REFAIRE",AQ2956="À RÉPARER",AQ2956="COUPE – À RESOUDER",AQ2956="VT REJETÉ – À REPRENDRE")),MAX(0,'PROGRAMME RT'!$C$4-U2956),"")</f>
        <v/>
      </c>
      <c r="AS2956" s="82" t="n">
        <f aca="false">IF(AND(OR(AQ2956="À RADIOGRAPHIER",AQ2956="RÉPARÉ – À RADIOGRAPHIER",AQ2956="NX – RT À REFAIRE"),OR('PROGRAMME RT'!$D$5="TOUTES",B2956='PROGRAMME RT'!$D$5)),1,0)</f>
        <v>0</v>
      </c>
      <c r="AT2956" s="82" t="str">
        <f aca="false">IF(AS2956=1,SUM(AS$7:AS2956),"")</f>
        <v/>
      </c>
      <c r="AU2956" s="82" t="n">
        <f aca="false">IF(AND(OR(AA2956="R",AA2956="NX",AA2956="NT",AA2956="CO"),OR('JOINTS DE RÉPARATION'!$D$5="TOUTES",B2956='JOINTS DE RÉPARATION'!$D$5),OR('JOINTS DE RÉPARATION'!$L$4="TOUS",AQ2956&lt;&gt;"ACCEPTÉ")),1,0)</f>
        <v>0</v>
      </c>
      <c r="AV2956" s="82" t="str">
        <f aca="false">IF(AU2956=1,SUM(AU$7:AU2956),"")</f>
        <v/>
      </c>
      <c r="AW2956" s="82" t="str">
        <f aca="false">IF(E2956="","",B2956&amp;"|"&amp;E2956)</f>
        <v/>
      </c>
    </row>
    <row r="2957" customFormat="false" ht="15" hidden="false" customHeight="false" outlineLevel="0" collapsed="false">
      <c r="A2957" s="79" t="str">
        <f aca="false">IF(E2957="","",ROW()-6)</f>
        <v/>
      </c>
      <c r="B2957" s="80"/>
      <c r="C2957" s="81"/>
      <c r="D2957" s="81"/>
      <c r="E2957" s="81"/>
      <c r="F2957" s="82" t="str">
        <f aca="false">IF(E2957="","",IF(LEFT(E2957,2)="DJ","DJ","JN"))</f>
        <v/>
      </c>
      <c r="G2957" s="81"/>
      <c r="H2957" s="81"/>
      <c r="I2957" s="81"/>
      <c r="J2957" s="81"/>
      <c r="K2957" s="81"/>
      <c r="L2957" s="81"/>
      <c r="M2957" s="81"/>
      <c r="N2957" s="81"/>
      <c r="O2957" s="81"/>
      <c r="P2957" s="81"/>
      <c r="Q2957" s="81"/>
      <c r="R2957" s="81"/>
      <c r="S2957" s="81"/>
      <c r="T2957" s="81"/>
      <c r="U2957" s="83"/>
      <c r="V2957" s="83"/>
      <c r="W2957" s="81"/>
      <c r="X2957" s="81"/>
      <c r="Y2957" s="83"/>
      <c r="Z2957" s="81"/>
      <c r="AA2957" s="81"/>
      <c r="AB2957" s="81"/>
      <c r="AC2957" s="81"/>
      <c r="AD2957" s="81"/>
      <c r="AE2957" s="83"/>
      <c r="AF2957" s="81"/>
      <c r="AG2957" s="81"/>
      <c r="AH2957" s="81"/>
      <c r="AI2957" s="81"/>
      <c r="AJ2957" s="83"/>
      <c r="AK2957" s="81"/>
      <c r="AL2957" s="81"/>
      <c r="AM2957" s="83"/>
      <c r="AN2957" s="80"/>
      <c r="AO2957" s="82" t="str">
        <f aca="false">IF(E2957="","",(AA2957&lt;&gt;"")+(AG2957&lt;&gt;"")+(AL2957&lt;&gt;""))</f>
        <v/>
      </c>
      <c r="AP2957" s="82" t="str">
        <f aca="false">IF(AL2957&lt;&gt;"",AL2957,IF(AG2957&lt;&gt;"",AG2957,IF(AA2957&lt;&gt;"",AA2957,"")))</f>
        <v/>
      </c>
      <c r="AQ2957" s="84" t="str">
        <f aca="false">IF(E2957="","",IF(U2957="","À SOUDER",IF(X2957="","VT EN ATTENTE",IF(X2957="R","VT REJETÉ – À REPRENDRE",IF(AP2957="","À RADIOGRAPHIER",IF(AP2957="A","ACCEPTÉ",IF(AP2957="NX","NX – RT À REFAIRE",IF(IF(AO2957=1,AD2957,IF(AO2957=2,AI2957,""))="A","RÉPARÉ – À RADIOGRAPHIER",IF(IF(AO2957=1,AD2957,IF(AO2957=2,AI2957,""))="R","VT REJETÉ – À REPRENDRE",IF(OR(AP2957="CO",AP2957="NT"),"COUPE – À RESOUDER","À RÉPARER"))))))))))</f>
        <v/>
      </c>
      <c r="AR2957" s="82" t="str">
        <f aca="false">IF(AND(ISNUMBER(U2957),OR(AQ2957="À RADIOGRAPHIER",AQ2957="RÉPARÉ – À RADIOGRAPHIER",AQ2957="NX – RT À REFAIRE",AQ2957="À RÉPARER",AQ2957="COUPE – À RESOUDER",AQ2957="VT REJETÉ – À REPRENDRE")),MAX(0,'PROGRAMME RT'!$C$4-U2957),"")</f>
        <v/>
      </c>
      <c r="AS2957" s="82" t="n">
        <f aca="false">IF(AND(OR(AQ2957="À RADIOGRAPHIER",AQ2957="RÉPARÉ – À RADIOGRAPHIER",AQ2957="NX – RT À REFAIRE"),OR('PROGRAMME RT'!$D$5="TOUTES",B2957='PROGRAMME RT'!$D$5)),1,0)</f>
        <v>0</v>
      </c>
      <c r="AT2957" s="82" t="str">
        <f aca="false">IF(AS2957=1,SUM(AS$7:AS2957),"")</f>
        <v/>
      </c>
      <c r="AU2957" s="82" t="n">
        <f aca="false">IF(AND(OR(AA2957="R",AA2957="NX",AA2957="NT",AA2957="CO"),OR('JOINTS DE RÉPARATION'!$D$5="TOUTES",B2957='JOINTS DE RÉPARATION'!$D$5),OR('JOINTS DE RÉPARATION'!$L$4="TOUS",AQ2957&lt;&gt;"ACCEPTÉ")),1,0)</f>
        <v>0</v>
      </c>
      <c r="AV2957" s="82" t="str">
        <f aca="false">IF(AU2957=1,SUM(AU$7:AU2957),"")</f>
        <v/>
      </c>
      <c r="AW2957" s="82" t="str">
        <f aca="false">IF(E2957="","",B2957&amp;"|"&amp;E2957)</f>
        <v/>
      </c>
    </row>
    <row r="2958" customFormat="false" ht="15" hidden="false" customHeight="false" outlineLevel="0" collapsed="false">
      <c r="A2958" s="79" t="str">
        <f aca="false">IF(E2958="","",ROW()-6)</f>
        <v/>
      </c>
      <c r="B2958" s="80"/>
      <c r="C2958" s="81"/>
      <c r="D2958" s="81"/>
      <c r="E2958" s="81"/>
      <c r="F2958" s="82" t="str">
        <f aca="false">IF(E2958="","",IF(LEFT(E2958,2)="DJ","DJ","JN"))</f>
        <v/>
      </c>
      <c r="G2958" s="81"/>
      <c r="H2958" s="81"/>
      <c r="I2958" s="81"/>
      <c r="J2958" s="81"/>
      <c r="K2958" s="81"/>
      <c r="L2958" s="81"/>
      <c r="M2958" s="81"/>
      <c r="N2958" s="81"/>
      <c r="O2958" s="81"/>
      <c r="P2958" s="81"/>
      <c r="Q2958" s="81"/>
      <c r="R2958" s="81"/>
      <c r="S2958" s="81"/>
      <c r="T2958" s="81"/>
      <c r="U2958" s="83"/>
      <c r="V2958" s="83"/>
      <c r="W2958" s="81"/>
      <c r="X2958" s="81"/>
      <c r="Y2958" s="83"/>
      <c r="Z2958" s="81"/>
      <c r="AA2958" s="81"/>
      <c r="AB2958" s="81"/>
      <c r="AC2958" s="81"/>
      <c r="AD2958" s="81"/>
      <c r="AE2958" s="83"/>
      <c r="AF2958" s="81"/>
      <c r="AG2958" s="81"/>
      <c r="AH2958" s="81"/>
      <c r="AI2958" s="81"/>
      <c r="AJ2958" s="83"/>
      <c r="AK2958" s="81"/>
      <c r="AL2958" s="81"/>
      <c r="AM2958" s="83"/>
      <c r="AN2958" s="80"/>
      <c r="AO2958" s="82" t="str">
        <f aca="false">IF(E2958="","",(AA2958&lt;&gt;"")+(AG2958&lt;&gt;"")+(AL2958&lt;&gt;""))</f>
        <v/>
      </c>
      <c r="AP2958" s="82" t="str">
        <f aca="false">IF(AL2958&lt;&gt;"",AL2958,IF(AG2958&lt;&gt;"",AG2958,IF(AA2958&lt;&gt;"",AA2958,"")))</f>
        <v/>
      </c>
      <c r="AQ2958" s="84" t="str">
        <f aca="false">IF(E2958="","",IF(U2958="","À SOUDER",IF(X2958="","VT EN ATTENTE",IF(X2958="R","VT REJETÉ – À REPRENDRE",IF(AP2958="","À RADIOGRAPHIER",IF(AP2958="A","ACCEPTÉ",IF(AP2958="NX","NX – RT À REFAIRE",IF(IF(AO2958=1,AD2958,IF(AO2958=2,AI2958,""))="A","RÉPARÉ – À RADIOGRAPHIER",IF(IF(AO2958=1,AD2958,IF(AO2958=2,AI2958,""))="R","VT REJETÉ – À REPRENDRE",IF(OR(AP2958="CO",AP2958="NT"),"COUPE – À RESOUDER","À RÉPARER"))))))))))</f>
        <v/>
      </c>
      <c r="AR2958" s="82" t="str">
        <f aca="false">IF(AND(ISNUMBER(U2958),OR(AQ2958="À RADIOGRAPHIER",AQ2958="RÉPARÉ – À RADIOGRAPHIER",AQ2958="NX – RT À REFAIRE",AQ2958="À RÉPARER",AQ2958="COUPE – À RESOUDER",AQ2958="VT REJETÉ – À REPRENDRE")),MAX(0,'PROGRAMME RT'!$C$4-U2958),"")</f>
        <v/>
      </c>
      <c r="AS2958" s="82" t="n">
        <f aca="false">IF(AND(OR(AQ2958="À RADIOGRAPHIER",AQ2958="RÉPARÉ – À RADIOGRAPHIER",AQ2958="NX – RT À REFAIRE"),OR('PROGRAMME RT'!$D$5="TOUTES",B2958='PROGRAMME RT'!$D$5)),1,0)</f>
        <v>0</v>
      </c>
      <c r="AT2958" s="82" t="str">
        <f aca="false">IF(AS2958=1,SUM(AS$7:AS2958),"")</f>
        <v/>
      </c>
      <c r="AU2958" s="82" t="n">
        <f aca="false">IF(AND(OR(AA2958="R",AA2958="NX",AA2958="NT",AA2958="CO"),OR('JOINTS DE RÉPARATION'!$D$5="TOUTES",B2958='JOINTS DE RÉPARATION'!$D$5),OR('JOINTS DE RÉPARATION'!$L$4="TOUS",AQ2958&lt;&gt;"ACCEPTÉ")),1,0)</f>
        <v>0</v>
      </c>
      <c r="AV2958" s="82" t="str">
        <f aca="false">IF(AU2958=1,SUM(AU$7:AU2958),"")</f>
        <v/>
      </c>
      <c r="AW2958" s="82" t="str">
        <f aca="false">IF(E2958="","",B2958&amp;"|"&amp;E2958)</f>
        <v/>
      </c>
    </row>
    <row r="2959" customFormat="false" ht="15" hidden="false" customHeight="false" outlineLevel="0" collapsed="false">
      <c r="A2959" s="79" t="str">
        <f aca="false">IF(E2959="","",ROW()-6)</f>
        <v/>
      </c>
      <c r="B2959" s="80"/>
      <c r="C2959" s="81"/>
      <c r="D2959" s="81"/>
      <c r="E2959" s="81"/>
      <c r="F2959" s="82" t="str">
        <f aca="false">IF(E2959="","",IF(LEFT(E2959,2)="DJ","DJ","JN"))</f>
        <v/>
      </c>
      <c r="G2959" s="81"/>
      <c r="H2959" s="81"/>
      <c r="I2959" s="81"/>
      <c r="J2959" s="81"/>
      <c r="K2959" s="81"/>
      <c r="L2959" s="81"/>
      <c r="M2959" s="81"/>
      <c r="N2959" s="81"/>
      <c r="O2959" s="81"/>
      <c r="P2959" s="81"/>
      <c r="Q2959" s="81"/>
      <c r="R2959" s="81"/>
      <c r="S2959" s="81"/>
      <c r="T2959" s="81"/>
      <c r="U2959" s="83"/>
      <c r="V2959" s="83"/>
      <c r="W2959" s="81"/>
      <c r="X2959" s="81"/>
      <c r="Y2959" s="83"/>
      <c r="Z2959" s="81"/>
      <c r="AA2959" s="81"/>
      <c r="AB2959" s="81"/>
      <c r="AC2959" s="81"/>
      <c r="AD2959" s="81"/>
      <c r="AE2959" s="83"/>
      <c r="AF2959" s="81"/>
      <c r="AG2959" s="81"/>
      <c r="AH2959" s="81"/>
      <c r="AI2959" s="81"/>
      <c r="AJ2959" s="83"/>
      <c r="AK2959" s="81"/>
      <c r="AL2959" s="81"/>
      <c r="AM2959" s="83"/>
      <c r="AN2959" s="80"/>
      <c r="AO2959" s="82" t="str">
        <f aca="false">IF(E2959="","",(AA2959&lt;&gt;"")+(AG2959&lt;&gt;"")+(AL2959&lt;&gt;""))</f>
        <v/>
      </c>
      <c r="AP2959" s="82" t="str">
        <f aca="false">IF(AL2959&lt;&gt;"",AL2959,IF(AG2959&lt;&gt;"",AG2959,IF(AA2959&lt;&gt;"",AA2959,"")))</f>
        <v/>
      </c>
      <c r="AQ2959" s="84" t="str">
        <f aca="false">IF(E2959="","",IF(U2959="","À SOUDER",IF(X2959="","VT EN ATTENTE",IF(X2959="R","VT REJETÉ – À REPRENDRE",IF(AP2959="","À RADIOGRAPHIER",IF(AP2959="A","ACCEPTÉ",IF(AP2959="NX","NX – RT À REFAIRE",IF(IF(AO2959=1,AD2959,IF(AO2959=2,AI2959,""))="A","RÉPARÉ – À RADIOGRAPHIER",IF(IF(AO2959=1,AD2959,IF(AO2959=2,AI2959,""))="R","VT REJETÉ – À REPRENDRE",IF(OR(AP2959="CO",AP2959="NT"),"COUPE – À RESOUDER","À RÉPARER"))))))))))</f>
        <v/>
      </c>
      <c r="AR2959" s="82" t="str">
        <f aca="false">IF(AND(ISNUMBER(U2959),OR(AQ2959="À RADIOGRAPHIER",AQ2959="RÉPARÉ – À RADIOGRAPHIER",AQ2959="NX – RT À REFAIRE",AQ2959="À RÉPARER",AQ2959="COUPE – À RESOUDER",AQ2959="VT REJETÉ – À REPRENDRE")),MAX(0,'PROGRAMME RT'!$C$4-U2959),"")</f>
        <v/>
      </c>
      <c r="AS2959" s="82" t="n">
        <f aca="false">IF(AND(OR(AQ2959="À RADIOGRAPHIER",AQ2959="RÉPARÉ – À RADIOGRAPHIER",AQ2959="NX – RT À REFAIRE"),OR('PROGRAMME RT'!$D$5="TOUTES",B2959='PROGRAMME RT'!$D$5)),1,0)</f>
        <v>0</v>
      </c>
      <c r="AT2959" s="82" t="str">
        <f aca="false">IF(AS2959=1,SUM(AS$7:AS2959),"")</f>
        <v/>
      </c>
      <c r="AU2959" s="82" t="n">
        <f aca="false">IF(AND(OR(AA2959="R",AA2959="NX",AA2959="NT",AA2959="CO"),OR('JOINTS DE RÉPARATION'!$D$5="TOUTES",B2959='JOINTS DE RÉPARATION'!$D$5),OR('JOINTS DE RÉPARATION'!$L$4="TOUS",AQ2959&lt;&gt;"ACCEPTÉ")),1,0)</f>
        <v>0</v>
      </c>
      <c r="AV2959" s="82" t="str">
        <f aca="false">IF(AU2959=1,SUM(AU$7:AU2959),"")</f>
        <v/>
      </c>
      <c r="AW2959" s="82" t="str">
        <f aca="false">IF(E2959="","",B2959&amp;"|"&amp;E2959)</f>
        <v/>
      </c>
    </row>
    <row r="2960" customFormat="false" ht="15" hidden="false" customHeight="false" outlineLevel="0" collapsed="false">
      <c r="A2960" s="79" t="str">
        <f aca="false">IF(E2960="","",ROW()-6)</f>
        <v/>
      </c>
      <c r="B2960" s="80"/>
      <c r="C2960" s="81"/>
      <c r="D2960" s="81"/>
      <c r="E2960" s="81"/>
      <c r="F2960" s="82" t="str">
        <f aca="false">IF(E2960="","",IF(LEFT(E2960,2)="DJ","DJ","JN"))</f>
        <v/>
      </c>
      <c r="G2960" s="81"/>
      <c r="H2960" s="81"/>
      <c r="I2960" s="81"/>
      <c r="J2960" s="81"/>
      <c r="K2960" s="81"/>
      <c r="L2960" s="81"/>
      <c r="M2960" s="81"/>
      <c r="N2960" s="81"/>
      <c r="O2960" s="81"/>
      <c r="P2960" s="81"/>
      <c r="Q2960" s="81"/>
      <c r="R2960" s="81"/>
      <c r="S2960" s="81"/>
      <c r="T2960" s="81"/>
      <c r="U2960" s="83"/>
      <c r="V2960" s="83"/>
      <c r="W2960" s="81"/>
      <c r="X2960" s="81"/>
      <c r="Y2960" s="83"/>
      <c r="Z2960" s="81"/>
      <c r="AA2960" s="81"/>
      <c r="AB2960" s="81"/>
      <c r="AC2960" s="81"/>
      <c r="AD2960" s="81"/>
      <c r="AE2960" s="83"/>
      <c r="AF2960" s="81"/>
      <c r="AG2960" s="81"/>
      <c r="AH2960" s="81"/>
      <c r="AI2960" s="81"/>
      <c r="AJ2960" s="83"/>
      <c r="AK2960" s="81"/>
      <c r="AL2960" s="81"/>
      <c r="AM2960" s="83"/>
      <c r="AN2960" s="80"/>
      <c r="AO2960" s="82" t="str">
        <f aca="false">IF(E2960="","",(AA2960&lt;&gt;"")+(AG2960&lt;&gt;"")+(AL2960&lt;&gt;""))</f>
        <v/>
      </c>
      <c r="AP2960" s="82" t="str">
        <f aca="false">IF(AL2960&lt;&gt;"",AL2960,IF(AG2960&lt;&gt;"",AG2960,IF(AA2960&lt;&gt;"",AA2960,"")))</f>
        <v/>
      </c>
      <c r="AQ2960" s="84" t="str">
        <f aca="false">IF(E2960="","",IF(U2960="","À SOUDER",IF(X2960="","VT EN ATTENTE",IF(X2960="R","VT REJETÉ – À REPRENDRE",IF(AP2960="","À RADIOGRAPHIER",IF(AP2960="A","ACCEPTÉ",IF(AP2960="NX","NX – RT À REFAIRE",IF(IF(AO2960=1,AD2960,IF(AO2960=2,AI2960,""))="A","RÉPARÉ – À RADIOGRAPHIER",IF(IF(AO2960=1,AD2960,IF(AO2960=2,AI2960,""))="R","VT REJETÉ – À REPRENDRE",IF(OR(AP2960="CO",AP2960="NT"),"COUPE – À RESOUDER","À RÉPARER"))))))))))</f>
        <v/>
      </c>
      <c r="AR2960" s="82" t="str">
        <f aca="false">IF(AND(ISNUMBER(U2960),OR(AQ2960="À RADIOGRAPHIER",AQ2960="RÉPARÉ – À RADIOGRAPHIER",AQ2960="NX – RT À REFAIRE",AQ2960="À RÉPARER",AQ2960="COUPE – À RESOUDER",AQ2960="VT REJETÉ – À REPRENDRE")),MAX(0,'PROGRAMME RT'!$C$4-U2960),"")</f>
        <v/>
      </c>
      <c r="AS2960" s="82" t="n">
        <f aca="false">IF(AND(OR(AQ2960="À RADIOGRAPHIER",AQ2960="RÉPARÉ – À RADIOGRAPHIER",AQ2960="NX – RT À REFAIRE"),OR('PROGRAMME RT'!$D$5="TOUTES",B2960='PROGRAMME RT'!$D$5)),1,0)</f>
        <v>0</v>
      </c>
      <c r="AT2960" s="82" t="str">
        <f aca="false">IF(AS2960=1,SUM(AS$7:AS2960),"")</f>
        <v/>
      </c>
      <c r="AU2960" s="82" t="n">
        <f aca="false">IF(AND(OR(AA2960="R",AA2960="NX",AA2960="NT",AA2960="CO"),OR('JOINTS DE RÉPARATION'!$D$5="TOUTES",B2960='JOINTS DE RÉPARATION'!$D$5),OR('JOINTS DE RÉPARATION'!$L$4="TOUS",AQ2960&lt;&gt;"ACCEPTÉ")),1,0)</f>
        <v>0</v>
      </c>
      <c r="AV2960" s="82" t="str">
        <f aca="false">IF(AU2960=1,SUM(AU$7:AU2960),"")</f>
        <v/>
      </c>
      <c r="AW2960" s="82" t="str">
        <f aca="false">IF(E2960="","",B2960&amp;"|"&amp;E2960)</f>
        <v/>
      </c>
    </row>
    <row r="2961" customFormat="false" ht="15" hidden="false" customHeight="false" outlineLevel="0" collapsed="false">
      <c r="A2961" s="79" t="str">
        <f aca="false">IF(E2961="","",ROW()-6)</f>
        <v/>
      </c>
      <c r="B2961" s="80"/>
      <c r="C2961" s="81"/>
      <c r="D2961" s="81"/>
      <c r="E2961" s="81"/>
      <c r="F2961" s="82" t="str">
        <f aca="false">IF(E2961="","",IF(LEFT(E2961,2)="DJ","DJ","JN"))</f>
        <v/>
      </c>
      <c r="G2961" s="81"/>
      <c r="H2961" s="81"/>
      <c r="I2961" s="81"/>
      <c r="J2961" s="81"/>
      <c r="K2961" s="81"/>
      <c r="L2961" s="81"/>
      <c r="M2961" s="81"/>
      <c r="N2961" s="81"/>
      <c r="O2961" s="81"/>
      <c r="P2961" s="81"/>
      <c r="Q2961" s="81"/>
      <c r="R2961" s="81"/>
      <c r="S2961" s="81"/>
      <c r="T2961" s="81"/>
      <c r="U2961" s="83"/>
      <c r="V2961" s="83"/>
      <c r="W2961" s="81"/>
      <c r="X2961" s="81"/>
      <c r="Y2961" s="83"/>
      <c r="Z2961" s="81"/>
      <c r="AA2961" s="81"/>
      <c r="AB2961" s="81"/>
      <c r="AC2961" s="81"/>
      <c r="AD2961" s="81"/>
      <c r="AE2961" s="83"/>
      <c r="AF2961" s="81"/>
      <c r="AG2961" s="81"/>
      <c r="AH2961" s="81"/>
      <c r="AI2961" s="81"/>
      <c r="AJ2961" s="83"/>
      <c r="AK2961" s="81"/>
      <c r="AL2961" s="81"/>
      <c r="AM2961" s="83"/>
      <c r="AN2961" s="80"/>
      <c r="AO2961" s="82" t="str">
        <f aca="false">IF(E2961="","",(AA2961&lt;&gt;"")+(AG2961&lt;&gt;"")+(AL2961&lt;&gt;""))</f>
        <v/>
      </c>
      <c r="AP2961" s="82" t="str">
        <f aca="false">IF(AL2961&lt;&gt;"",AL2961,IF(AG2961&lt;&gt;"",AG2961,IF(AA2961&lt;&gt;"",AA2961,"")))</f>
        <v/>
      </c>
      <c r="AQ2961" s="84" t="str">
        <f aca="false">IF(E2961="","",IF(U2961="","À SOUDER",IF(X2961="","VT EN ATTENTE",IF(X2961="R","VT REJETÉ – À REPRENDRE",IF(AP2961="","À RADIOGRAPHIER",IF(AP2961="A","ACCEPTÉ",IF(AP2961="NX","NX – RT À REFAIRE",IF(IF(AO2961=1,AD2961,IF(AO2961=2,AI2961,""))="A","RÉPARÉ – À RADIOGRAPHIER",IF(IF(AO2961=1,AD2961,IF(AO2961=2,AI2961,""))="R","VT REJETÉ – À REPRENDRE",IF(OR(AP2961="CO",AP2961="NT"),"COUPE – À RESOUDER","À RÉPARER"))))))))))</f>
        <v/>
      </c>
      <c r="AR2961" s="82" t="str">
        <f aca="false">IF(AND(ISNUMBER(U2961),OR(AQ2961="À RADIOGRAPHIER",AQ2961="RÉPARÉ – À RADIOGRAPHIER",AQ2961="NX – RT À REFAIRE",AQ2961="À RÉPARER",AQ2961="COUPE – À RESOUDER",AQ2961="VT REJETÉ – À REPRENDRE")),MAX(0,'PROGRAMME RT'!$C$4-U2961),"")</f>
        <v/>
      </c>
      <c r="AS2961" s="82" t="n">
        <f aca="false">IF(AND(OR(AQ2961="À RADIOGRAPHIER",AQ2961="RÉPARÉ – À RADIOGRAPHIER",AQ2961="NX – RT À REFAIRE"),OR('PROGRAMME RT'!$D$5="TOUTES",B2961='PROGRAMME RT'!$D$5)),1,0)</f>
        <v>0</v>
      </c>
      <c r="AT2961" s="82" t="str">
        <f aca="false">IF(AS2961=1,SUM(AS$7:AS2961),"")</f>
        <v/>
      </c>
      <c r="AU2961" s="82" t="n">
        <f aca="false">IF(AND(OR(AA2961="R",AA2961="NX",AA2961="NT",AA2961="CO"),OR('JOINTS DE RÉPARATION'!$D$5="TOUTES",B2961='JOINTS DE RÉPARATION'!$D$5),OR('JOINTS DE RÉPARATION'!$L$4="TOUS",AQ2961&lt;&gt;"ACCEPTÉ")),1,0)</f>
        <v>0</v>
      </c>
      <c r="AV2961" s="82" t="str">
        <f aca="false">IF(AU2961=1,SUM(AU$7:AU2961),"")</f>
        <v/>
      </c>
      <c r="AW2961" s="82" t="str">
        <f aca="false">IF(E2961="","",B2961&amp;"|"&amp;E2961)</f>
        <v/>
      </c>
    </row>
    <row r="2962" customFormat="false" ht="15" hidden="false" customHeight="false" outlineLevel="0" collapsed="false">
      <c r="A2962" s="79" t="str">
        <f aca="false">IF(E2962="","",ROW()-6)</f>
        <v/>
      </c>
      <c r="B2962" s="80"/>
      <c r="C2962" s="81"/>
      <c r="D2962" s="81"/>
      <c r="E2962" s="81"/>
      <c r="F2962" s="82" t="str">
        <f aca="false">IF(E2962="","",IF(LEFT(E2962,2)="DJ","DJ","JN"))</f>
        <v/>
      </c>
      <c r="G2962" s="81"/>
      <c r="H2962" s="81"/>
      <c r="I2962" s="81"/>
      <c r="J2962" s="81"/>
      <c r="K2962" s="81"/>
      <c r="L2962" s="81"/>
      <c r="M2962" s="81"/>
      <c r="N2962" s="81"/>
      <c r="O2962" s="81"/>
      <c r="P2962" s="81"/>
      <c r="Q2962" s="81"/>
      <c r="R2962" s="81"/>
      <c r="S2962" s="81"/>
      <c r="T2962" s="81"/>
      <c r="U2962" s="83"/>
      <c r="V2962" s="83"/>
      <c r="W2962" s="81"/>
      <c r="X2962" s="81"/>
      <c r="Y2962" s="83"/>
      <c r="Z2962" s="81"/>
      <c r="AA2962" s="81"/>
      <c r="AB2962" s="81"/>
      <c r="AC2962" s="81"/>
      <c r="AD2962" s="81"/>
      <c r="AE2962" s="83"/>
      <c r="AF2962" s="81"/>
      <c r="AG2962" s="81"/>
      <c r="AH2962" s="81"/>
      <c r="AI2962" s="81"/>
      <c r="AJ2962" s="83"/>
      <c r="AK2962" s="81"/>
      <c r="AL2962" s="81"/>
      <c r="AM2962" s="83"/>
      <c r="AN2962" s="80"/>
      <c r="AO2962" s="82" t="str">
        <f aca="false">IF(E2962="","",(AA2962&lt;&gt;"")+(AG2962&lt;&gt;"")+(AL2962&lt;&gt;""))</f>
        <v/>
      </c>
      <c r="AP2962" s="82" t="str">
        <f aca="false">IF(AL2962&lt;&gt;"",AL2962,IF(AG2962&lt;&gt;"",AG2962,IF(AA2962&lt;&gt;"",AA2962,"")))</f>
        <v/>
      </c>
      <c r="AQ2962" s="84" t="str">
        <f aca="false">IF(E2962="","",IF(U2962="","À SOUDER",IF(X2962="","VT EN ATTENTE",IF(X2962="R","VT REJETÉ – À REPRENDRE",IF(AP2962="","À RADIOGRAPHIER",IF(AP2962="A","ACCEPTÉ",IF(AP2962="NX","NX – RT À REFAIRE",IF(IF(AO2962=1,AD2962,IF(AO2962=2,AI2962,""))="A","RÉPARÉ – À RADIOGRAPHIER",IF(IF(AO2962=1,AD2962,IF(AO2962=2,AI2962,""))="R","VT REJETÉ – À REPRENDRE",IF(OR(AP2962="CO",AP2962="NT"),"COUPE – À RESOUDER","À RÉPARER"))))))))))</f>
        <v/>
      </c>
      <c r="AR2962" s="82" t="str">
        <f aca="false">IF(AND(ISNUMBER(U2962),OR(AQ2962="À RADIOGRAPHIER",AQ2962="RÉPARÉ – À RADIOGRAPHIER",AQ2962="NX – RT À REFAIRE",AQ2962="À RÉPARER",AQ2962="COUPE – À RESOUDER",AQ2962="VT REJETÉ – À REPRENDRE")),MAX(0,'PROGRAMME RT'!$C$4-U2962),"")</f>
        <v/>
      </c>
      <c r="AS2962" s="82" t="n">
        <f aca="false">IF(AND(OR(AQ2962="À RADIOGRAPHIER",AQ2962="RÉPARÉ – À RADIOGRAPHIER",AQ2962="NX – RT À REFAIRE"),OR('PROGRAMME RT'!$D$5="TOUTES",B2962='PROGRAMME RT'!$D$5)),1,0)</f>
        <v>0</v>
      </c>
      <c r="AT2962" s="82" t="str">
        <f aca="false">IF(AS2962=1,SUM(AS$7:AS2962),"")</f>
        <v/>
      </c>
      <c r="AU2962" s="82" t="n">
        <f aca="false">IF(AND(OR(AA2962="R",AA2962="NX",AA2962="NT",AA2962="CO"),OR('JOINTS DE RÉPARATION'!$D$5="TOUTES",B2962='JOINTS DE RÉPARATION'!$D$5),OR('JOINTS DE RÉPARATION'!$L$4="TOUS",AQ2962&lt;&gt;"ACCEPTÉ")),1,0)</f>
        <v>0</v>
      </c>
      <c r="AV2962" s="82" t="str">
        <f aca="false">IF(AU2962=1,SUM(AU$7:AU2962),"")</f>
        <v/>
      </c>
      <c r="AW2962" s="82" t="str">
        <f aca="false">IF(E2962="","",B2962&amp;"|"&amp;E2962)</f>
        <v/>
      </c>
    </row>
    <row r="2963" customFormat="false" ht="15" hidden="false" customHeight="false" outlineLevel="0" collapsed="false">
      <c r="A2963" s="79" t="str">
        <f aca="false">IF(E2963="","",ROW()-6)</f>
        <v/>
      </c>
      <c r="B2963" s="80"/>
      <c r="C2963" s="81"/>
      <c r="D2963" s="81"/>
      <c r="E2963" s="81"/>
      <c r="F2963" s="82" t="str">
        <f aca="false">IF(E2963="","",IF(LEFT(E2963,2)="DJ","DJ","JN"))</f>
        <v/>
      </c>
      <c r="G2963" s="81"/>
      <c r="H2963" s="81"/>
      <c r="I2963" s="81"/>
      <c r="J2963" s="81"/>
      <c r="K2963" s="81"/>
      <c r="L2963" s="81"/>
      <c r="M2963" s="81"/>
      <c r="N2963" s="81"/>
      <c r="O2963" s="81"/>
      <c r="P2963" s="81"/>
      <c r="Q2963" s="81"/>
      <c r="R2963" s="81"/>
      <c r="S2963" s="81"/>
      <c r="T2963" s="81"/>
      <c r="U2963" s="83"/>
      <c r="V2963" s="83"/>
      <c r="W2963" s="81"/>
      <c r="X2963" s="81"/>
      <c r="Y2963" s="83"/>
      <c r="Z2963" s="81"/>
      <c r="AA2963" s="81"/>
      <c r="AB2963" s="81"/>
      <c r="AC2963" s="81"/>
      <c r="AD2963" s="81"/>
      <c r="AE2963" s="83"/>
      <c r="AF2963" s="81"/>
      <c r="AG2963" s="81"/>
      <c r="AH2963" s="81"/>
      <c r="AI2963" s="81"/>
      <c r="AJ2963" s="83"/>
      <c r="AK2963" s="81"/>
      <c r="AL2963" s="81"/>
      <c r="AM2963" s="83"/>
      <c r="AN2963" s="80"/>
      <c r="AO2963" s="82" t="str">
        <f aca="false">IF(E2963="","",(AA2963&lt;&gt;"")+(AG2963&lt;&gt;"")+(AL2963&lt;&gt;""))</f>
        <v/>
      </c>
      <c r="AP2963" s="82" t="str">
        <f aca="false">IF(AL2963&lt;&gt;"",AL2963,IF(AG2963&lt;&gt;"",AG2963,IF(AA2963&lt;&gt;"",AA2963,"")))</f>
        <v/>
      </c>
      <c r="AQ2963" s="84" t="str">
        <f aca="false">IF(E2963="","",IF(U2963="","À SOUDER",IF(X2963="","VT EN ATTENTE",IF(X2963="R","VT REJETÉ – À REPRENDRE",IF(AP2963="","À RADIOGRAPHIER",IF(AP2963="A","ACCEPTÉ",IF(AP2963="NX","NX – RT À REFAIRE",IF(IF(AO2963=1,AD2963,IF(AO2963=2,AI2963,""))="A","RÉPARÉ – À RADIOGRAPHIER",IF(IF(AO2963=1,AD2963,IF(AO2963=2,AI2963,""))="R","VT REJETÉ – À REPRENDRE",IF(OR(AP2963="CO",AP2963="NT"),"COUPE – À RESOUDER","À RÉPARER"))))))))))</f>
        <v/>
      </c>
      <c r="AR2963" s="82" t="str">
        <f aca="false">IF(AND(ISNUMBER(U2963),OR(AQ2963="À RADIOGRAPHIER",AQ2963="RÉPARÉ – À RADIOGRAPHIER",AQ2963="NX – RT À REFAIRE",AQ2963="À RÉPARER",AQ2963="COUPE – À RESOUDER",AQ2963="VT REJETÉ – À REPRENDRE")),MAX(0,'PROGRAMME RT'!$C$4-U2963),"")</f>
        <v/>
      </c>
      <c r="AS2963" s="82" t="n">
        <f aca="false">IF(AND(OR(AQ2963="À RADIOGRAPHIER",AQ2963="RÉPARÉ – À RADIOGRAPHIER",AQ2963="NX – RT À REFAIRE"),OR('PROGRAMME RT'!$D$5="TOUTES",B2963='PROGRAMME RT'!$D$5)),1,0)</f>
        <v>0</v>
      </c>
      <c r="AT2963" s="82" t="str">
        <f aca="false">IF(AS2963=1,SUM(AS$7:AS2963),"")</f>
        <v/>
      </c>
      <c r="AU2963" s="82" t="n">
        <f aca="false">IF(AND(OR(AA2963="R",AA2963="NX",AA2963="NT",AA2963="CO"),OR('JOINTS DE RÉPARATION'!$D$5="TOUTES",B2963='JOINTS DE RÉPARATION'!$D$5),OR('JOINTS DE RÉPARATION'!$L$4="TOUS",AQ2963&lt;&gt;"ACCEPTÉ")),1,0)</f>
        <v>0</v>
      </c>
      <c r="AV2963" s="82" t="str">
        <f aca="false">IF(AU2963=1,SUM(AU$7:AU2963),"")</f>
        <v/>
      </c>
      <c r="AW2963" s="82" t="str">
        <f aca="false">IF(E2963="","",B2963&amp;"|"&amp;E2963)</f>
        <v/>
      </c>
    </row>
    <row r="2964" customFormat="false" ht="15" hidden="false" customHeight="false" outlineLevel="0" collapsed="false">
      <c r="A2964" s="79" t="str">
        <f aca="false">IF(E2964="","",ROW()-6)</f>
        <v/>
      </c>
      <c r="B2964" s="80"/>
      <c r="C2964" s="81"/>
      <c r="D2964" s="81"/>
      <c r="E2964" s="81"/>
      <c r="F2964" s="82" t="str">
        <f aca="false">IF(E2964="","",IF(LEFT(E2964,2)="DJ","DJ","JN"))</f>
        <v/>
      </c>
      <c r="G2964" s="81"/>
      <c r="H2964" s="81"/>
      <c r="I2964" s="81"/>
      <c r="J2964" s="81"/>
      <c r="K2964" s="81"/>
      <c r="L2964" s="81"/>
      <c r="M2964" s="81"/>
      <c r="N2964" s="81"/>
      <c r="O2964" s="81"/>
      <c r="P2964" s="81"/>
      <c r="Q2964" s="81"/>
      <c r="R2964" s="81"/>
      <c r="S2964" s="81"/>
      <c r="T2964" s="81"/>
      <c r="U2964" s="83"/>
      <c r="V2964" s="83"/>
      <c r="W2964" s="81"/>
      <c r="X2964" s="81"/>
      <c r="Y2964" s="83"/>
      <c r="Z2964" s="81"/>
      <c r="AA2964" s="81"/>
      <c r="AB2964" s="81"/>
      <c r="AC2964" s="81"/>
      <c r="AD2964" s="81"/>
      <c r="AE2964" s="83"/>
      <c r="AF2964" s="81"/>
      <c r="AG2964" s="81"/>
      <c r="AH2964" s="81"/>
      <c r="AI2964" s="81"/>
      <c r="AJ2964" s="83"/>
      <c r="AK2964" s="81"/>
      <c r="AL2964" s="81"/>
      <c r="AM2964" s="83"/>
      <c r="AN2964" s="80"/>
      <c r="AO2964" s="82" t="str">
        <f aca="false">IF(E2964="","",(AA2964&lt;&gt;"")+(AG2964&lt;&gt;"")+(AL2964&lt;&gt;""))</f>
        <v/>
      </c>
      <c r="AP2964" s="82" t="str">
        <f aca="false">IF(AL2964&lt;&gt;"",AL2964,IF(AG2964&lt;&gt;"",AG2964,IF(AA2964&lt;&gt;"",AA2964,"")))</f>
        <v/>
      </c>
      <c r="AQ2964" s="84" t="str">
        <f aca="false">IF(E2964="","",IF(U2964="","À SOUDER",IF(X2964="","VT EN ATTENTE",IF(X2964="R","VT REJETÉ – À REPRENDRE",IF(AP2964="","À RADIOGRAPHIER",IF(AP2964="A","ACCEPTÉ",IF(AP2964="NX","NX – RT À REFAIRE",IF(IF(AO2964=1,AD2964,IF(AO2964=2,AI2964,""))="A","RÉPARÉ – À RADIOGRAPHIER",IF(IF(AO2964=1,AD2964,IF(AO2964=2,AI2964,""))="R","VT REJETÉ – À REPRENDRE",IF(OR(AP2964="CO",AP2964="NT"),"COUPE – À RESOUDER","À RÉPARER"))))))))))</f>
        <v/>
      </c>
      <c r="AR2964" s="82" t="str">
        <f aca="false">IF(AND(ISNUMBER(U2964),OR(AQ2964="À RADIOGRAPHIER",AQ2964="RÉPARÉ – À RADIOGRAPHIER",AQ2964="NX – RT À REFAIRE",AQ2964="À RÉPARER",AQ2964="COUPE – À RESOUDER",AQ2964="VT REJETÉ – À REPRENDRE")),MAX(0,'PROGRAMME RT'!$C$4-U2964),"")</f>
        <v/>
      </c>
      <c r="AS2964" s="82" t="n">
        <f aca="false">IF(AND(OR(AQ2964="À RADIOGRAPHIER",AQ2964="RÉPARÉ – À RADIOGRAPHIER",AQ2964="NX – RT À REFAIRE"),OR('PROGRAMME RT'!$D$5="TOUTES",B2964='PROGRAMME RT'!$D$5)),1,0)</f>
        <v>0</v>
      </c>
      <c r="AT2964" s="82" t="str">
        <f aca="false">IF(AS2964=1,SUM(AS$7:AS2964),"")</f>
        <v/>
      </c>
      <c r="AU2964" s="82" t="n">
        <f aca="false">IF(AND(OR(AA2964="R",AA2964="NX",AA2964="NT",AA2964="CO"),OR('JOINTS DE RÉPARATION'!$D$5="TOUTES",B2964='JOINTS DE RÉPARATION'!$D$5),OR('JOINTS DE RÉPARATION'!$L$4="TOUS",AQ2964&lt;&gt;"ACCEPTÉ")),1,0)</f>
        <v>0</v>
      </c>
      <c r="AV2964" s="82" t="str">
        <f aca="false">IF(AU2964=1,SUM(AU$7:AU2964),"")</f>
        <v/>
      </c>
      <c r="AW2964" s="82" t="str">
        <f aca="false">IF(E2964="","",B2964&amp;"|"&amp;E2964)</f>
        <v/>
      </c>
    </row>
    <row r="2965" customFormat="false" ht="15" hidden="false" customHeight="false" outlineLevel="0" collapsed="false">
      <c r="A2965" s="79" t="str">
        <f aca="false">IF(E2965="","",ROW()-6)</f>
        <v/>
      </c>
      <c r="B2965" s="80"/>
      <c r="C2965" s="81"/>
      <c r="D2965" s="81"/>
      <c r="E2965" s="81"/>
      <c r="F2965" s="82" t="str">
        <f aca="false">IF(E2965="","",IF(LEFT(E2965,2)="DJ","DJ","JN"))</f>
        <v/>
      </c>
      <c r="G2965" s="81"/>
      <c r="H2965" s="81"/>
      <c r="I2965" s="81"/>
      <c r="J2965" s="81"/>
      <c r="K2965" s="81"/>
      <c r="L2965" s="81"/>
      <c r="M2965" s="81"/>
      <c r="N2965" s="81"/>
      <c r="O2965" s="81"/>
      <c r="P2965" s="81"/>
      <c r="Q2965" s="81"/>
      <c r="R2965" s="81"/>
      <c r="S2965" s="81"/>
      <c r="T2965" s="81"/>
      <c r="U2965" s="83"/>
      <c r="V2965" s="83"/>
      <c r="W2965" s="81"/>
      <c r="X2965" s="81"/>
      <c r="Y2965" s="83"/>
      <c r="Z2965" s="81"/>
      <c r="AA2965" s="81"/>
      <c r="AB2965" s="81"/>
      <c r="AC2965" s="81"/>
      <c r="AD2965" s="81"/>
      <c r="AE2965" s="83"/>
      <c r="AF2965" s="81"/>
      <c r="AG2965" s="81"/>
      <c r="AH2965" s="81"/>
      <c r="AI2965" s="81"/>
      <c r="AJ2965" s="83"/>
      <c r="AK2965" s="81"/>
      <c r="AL2965" s="81"/>
      <c r="AM2965" s="83"/>
      <c r="AN2965" s="80"/>
      <c r="AO2965" s="82" t="str">
        <f aca="false">IF(E2965="","",(AA2965&lt;&gt;"")+(AG2965&lt;&gt;"")+(AL2965&lt;&gt;""))</f>
        <v/>
      </c>
      <c r="AP2965" s="82" t="str">
        <f aca="false">IF(AL2965&lt;&gt;"",AL2965,IF(AG2965&lt;&gt;"",AG2965,IF(AA2965&lt;&gt;"",AA2965,"")))</f>
        <v/>
      </c>
      <c r="AQ2965" s="84" t="str">
        <f aca="false">IF(E2965="","",IF(U2965="","À SOUDER",IF(X2965="","VT EN ATTENTE",IF(X2965="R","VT REJETÉ – À REPRENDRE",IF(AP2965="","À RADIOGRAPHIER",IF(AP2965="A","ACCEPTÉ",IF(AP2965="NX","NX – RT À REFAIRE",IF(IF(AO2965=1,AD2965,IF(AO2965=2,AI2965,""))="A","RÉPARÉ – À RADIOGRAPHIER",IF(IF(AO2965=1,AD2965,IF(AO2965=2,AI2965,""))="R","VT REJETÉ – À REPRENDRE",IF(OR(AP2965="CO",AP2965="NT"),"COUPE – À RESOUDER","À RÉPARER"))))))))))</f>
        <v/>
      </c>
      <c r="AR2965" s="82" t="str">
        <f aca="false">IF(AND(ISNUMBER(U2965),OR(AQ2965="À RADIOGRAPHIER",AQ2965="RÉPARÉ – À RADIOGRAPHIER",AQ2965="NX – RT À REFAIRE",AQ2965="À RÉPARER",AQ2965="COUPE – À RESOUDER",AQ2965="VT REJETÉ – À REPRENDRE")),MAX(0,'PROGRAMME RT'!$C$4-U2965),"")</f>
        <v/>
      </c>
      <c r="AS2965" s="82" t="n">
        <f aca="false">IF(AND(OR(AQ2965="À RADIOGRAPHIER",AQ2965="RÉPARÉ – À RADIOGRAPHIER",AQ2965="NX – RT À REFAIRE"),OR('PROGRAMME RT'!$D$5="TOUTES",B2965='PROGRAMME RT'!$D$5)),1,0)</f>
        <v>0</v>
      </c>
      <c r="AT2965" s="82" t="str">
        <f aca="false">IF(AS2965=1,SUM(AS$7:AS2965),"")</f>
        <v/>
      </c>
      <c r="AU2965" s="82" t="n">
        <f aca="false">IF(AND(OR(AA2965="R",AA2965="NX",AA2965="NT",AA2965="CO"),OR('JOINTS DE RÉPARATION'!$D$5="TOUTES",B2965='JOINTS DE RÉPARATION'!$D$5),OR('JOINTS DE RÉPARATION'!$L$4="TOUS",AQ2965&lt;&gt;"ACCEPTÉ")),1,0)</f>
        <v>0</v>
      </c>
      <c r="AV2965" s="82" t="str">
        <f aca="false">IF(AU2965=1,SUM(AU$7:AU2965),"")</f>
        <v/>
      </c>
      <c r="AW2965" s="82" t="str">
        <f aca="false">IF(E2965="","",B2965&amp;"|"&amp;E2965)</f>
        <v/>
      </c>
    </row>
    <row r="2966" customFormat="false" ht="15" hidden="false" customHeight="false" outlineLevel="0" collapsed="false">
      <c r="A2966" s="79" t="str">
        <f aca="false">IF(E2966="","",ROW()-6)</f>
        <v/>
      </c>
      <c r="B2966" s="80"/>
      <c r="C2966" s="81"/>
      <c r="D2966" s="81"/>
      <c r="E2966" s="81"/>
      <c r="F2966" s="82" t="str">
        <f aca="false">IF(E2966="","",IF(LEFT(E2966,2)="DJ","DJ","JN"))</f>
        <v/>
      </c>
      <c r="G2966" s="81"/>
      <c r="H2966" s="81"/>
      <c r="I2966" s="81"/>
      <c r="J2966" s="81"/>
      <c r="K2966" s="81"/>
      <c r="L2966" s="81"/>
      <c r="M2966" s="81"/>
      <c r="N2966" s="81"/>
      <c r="O2966" s="81"/>
      <c r="P2966" s="81"/>
      <c r="Q2966" s="81"/>
      <c r="R2966" s="81"/>
      <c r="S2966" s="81"/>
      <c r="T2966" s="81"/>
      <c r="U2966" s="83"/>
      <c r="V2966" s="83"/>
      <c r="W2966" s="81"/>
      <c r="X2966" s="81"/>
      <c r="Y2966" s="83"/>
      <c r="Z2966" s="81"/>
      <c r="AA2966" s="81"/>
      <c r="AB2966" s="81"/>
      <c r="AC2966" s="81"/>
      <c r="AD2966" s="81"/>
      <c r="AE2966" s="83"/>
      <c r="AF2966" s="81"/>
      <c r="AG2966" s="81"/>
      <c r="AH2966" s="81"/>
      <c r="AI2966" s="81"/>
      <c r="AJ2966" s="83"/>
      <c r="AK2966" s="81"/>
      <c r="AL2966" s="81"/>
      <c r="AM2966" s="83"/>
      <c r="AN2966" s="80"/>
      <c r="AO2966" s="82" t="str">
        <f aca="false">IF(E2966="","",(AA2966&lt;&gt;"")+(AG2966&lt;&gt;"")+(AL2966&lt;&gt;""))</f>
        <v/>
      </c>
      <c r="AP2966" s="82" t="str">
        <f aca="false">IF(AL2966&lt;&gt;"",AL2966,IF(AG2966&lt;&gt;"",AG2966,IF(AA2966&lt;&gt;"",AA2966,"")))</f>
        <v/>
      </c>
      <c r="AQ2966" s="84" t="str">
        <f aca="false">IF(E2966="","",IF(U2966="","À SOUDER",IF(X2966="","VT EN ATTENTE",IF(X2966="R","VT REJETÉ – À REPRENDRE",IF(AP2966="","À RADIOGRAPHIER",IF(AP2966="A","ACCEPTÉ",IF(AP2966="NX","NX – RT À REFAIRE",IF(IF(AO2966=1,AD2966,IF(AO2966=2,AI2966,""))="A","RÉPARÉ – À RADIOGRAPHIER",IF(IF(AO2966=1,AD2966,IF(AO2966=2,AI2966,""))="R","VT REJETÉ – À REPRENDRE",IF(OR(AP2966="CO",AP2966="NT"),"COUPE – À RESOUDER","À RÉPARER"))))))))))</f>
        <v/>
      </c>
      <c r="AR2966" s="82" t="str">
        <f aca="false">IF(AND(ISNUMBER(U2966),OR(AQ2966="À RADIOGRAPHIER",AQ2966="RÉPARÉ – À RADIOGRAPHIER",AQ2966="NX – RT À REFAIRE",AQ2966="À RÉPARER",AQ2966="COUPE – À RESOUDER",AQ2966="VT REJETÉ – À REPRENDRE")),MAX(0,'PROGRAMME RT'!$C$4-U2966),"")</f>
        <v/>
      </c>
      <c r="AS2966" s="82" t="n">
        <f aca="false">IF(AND(OR(AQ2966="À RADIOGRAPHIER",AQ2966="RÉPARÉ – À RADIOGRAPHIER",AQ2966="NX – RT À REFAIRE"),OR('PROGRAMME RT'!$D$5="TOUTES",B2966='PROGRAMME RT'!$D$5)),1,0)</f>
        <v>0</v>
      </c>
      <c r="AT2966" s="82" t="str">
        <f aca="false">IF(AS2966=1,SUM(AS$7:AS2966),"")</f>
        <v/>
      </c>
      <c r="AU2966" s="82" t="n">
        <f aca="false">IF(AND(OR(AA2966="R",AA2966="NX",AA2966="NT",AA2966="CO"),OR('JOINTS DE RÉPARATION'!$D$5="TOUTES",B2966='JOINTS DE RÉPARATION'!$D$5),OR('JOINTS DE RÉPARATION'!$L$4="TOUS",AQ2966&lt;&gt;"ACCEPTÉ")),1,0)</f>
        <v>0</v>
      </c>
      <c r="AV2966" s="82" t="str">
        <f aca="false">IF(AU2966=1,SUM(AU$7:AU2966),"")</f>
        <v/>
      </c>
      <c r="AW2966" s="82" t="str">
        <f aca="false">IF(E2966="","",B2966&amp;"|"&amp;E2966)</f>
        <v/>
      </c>
    </row>
    <row r="2967" customFormat="false" ht="15" hidden="false" customHeight="false" outlineLevel="0" collapsed="false">
      <c r="A2967" s="79" t="str">
        <f aca="false">IF(E2967="","",ROW()-6)</f>
        <v/>
      </c>
      <c r="B2967" s="80"/>
      <c r="C2967" s="81"/>
      <c r="D2967" s="81"/>
      <c r="E2967" s="81"/>
      <c r="F2967" s="82" t="str">
        <f aca="false">IF(E2967="","",IF(LEFT(E2967,2)="DJ","DJ","JN"))</f>
        <v/>
      </c>
      <c r="G2967" s="81"/>
      <c r="H2967" s="81"/>
      <c r="I2967" s="81"/>
      <c r="J2967" s="81"/>
      <c r="K2967" s="81"/>
      <c r="L2967" s="81"/>
      <c r="M2967" s="81"/>
      <c r="N2967" s="81"/>
      <c r="O2967" s="81"/>
      <c r="P2967" s="81"/>
      <c r="Q2967" s="81"/>
      <c r="R2967" s="81"/>
      <c r="S2967" s="81"/>
      <c r="T2967" s="81"/>
      <c r="U2967" s="83"/>
      <c r="V2967" s="83"/>
      <c r="W2967" s="81"/>
      <c r="X2967" s="81"/>
      <c r="Y2967" s="83"/>
      <c r="Z2967" s="81"/>
      <c r="AA2967" s="81"/>
      <c r="AB2967" s="81"/>
      <c r="AC2967" s="81"/>
      <c r="AD2967" s="81"/>
      <c r="AE2967" s="83"/>
      <c r="AF2967" s="81"/>
      <c r="AG2967" s="81"/>
      <c r="AH2967" s="81"/>
      <c r="AI2967" s="81"/>
      <c r="AJ2967" s="83"/>
      <c r="AK2967" s="81"/>
      <c r="AL2967" s="81"/>
      <c r="AM2967" s="83"/>
      <c r="AN2967" s="80"/>
      <c r="AO2967" s="82" t="str">
        <f aca="false">IF(E2967="","",(AA2967&lt;&gt;"")+(AG2967&lt;&gt;"")+(AL2967&lt;&gt;""))</f>
        <v/>
      </c>
      <c r="AP2967" s="82" t="str">
        <f aca="false">IF(AL2967&lt;&gt;"",AL2967,IF(AG2967&lt;&gt;"",AG2967,IF(AA2967&lt;&gt;"",AA2967,"")))</f>
        <v/>
      </c>
      <c r="AQ2967" s="84" t="str">
        <f aca="false">IF(E2967="","",IF(U2967="","À SOUDER",IF(X2967="","VT EN ATTENTE",IF(X2967="R","VT REJETÉ – À REPRENDRE",IF(AP2967="","À RADIOGRAPHIER",IF(AP2967="A","ACCEPTÉ",IF(AP2967="NX","NX – RT À REFAIRE",IF(IF(AO2967=1,AD2967,IF(AO2967=2,AI2967,""))="A","RÉPARÉ – À RADIOGRAPHIER",IF(IF(AO2967=1,AD2967,IF(AO2967=2,AI2967,""))="R","VT REJETÉ – À REPRENDRE",IF(OR(AP2967="CO",AP2967="NT"),"COUPE – À RESOUDER","À RÉPARER"))))))))))</f>
        <v/>
      </c>
      <c r="AR2967" s="82" t="str">
        <f aca="false">IF(AND(ISNUMBER(U2967),OR(AQ2967="À RADIOGRAPHIER",AQ2967="RÉPARÉ – À RADIOGRAPHIER",AQ2967="NX – RT À REFAIRE",AQ2967="À RÉPARER",AQ2967="COUPE – À RESOUDER",AQ2967="VT REJETÉ – À REPRENDRE")),MAX(0,'PROGRAMME RT'!$C$4-U2967),"")</f>
        <v/>
      </c>
      <c r="AS2967" s="82" t="n">
        <f aca="false">IF(AND(OR(AQ2967="À RADIOGRAPHIER",AQ2967="RÉPARÉ – À RADIOGRAPHIER",AQ2967="NX – RT À REFAIRE"),OR('PROGRAMME RT'!$D$5="TOUTES",B2967='PROGRAMME RT'!$D$5)),1,0)</f>
        <v>0</v>
      </c>
      <c r="AT2967" s="82" t="str">
        <f aca="false">IF(AS2967=1,SUM(AS$7:AS2967),"")</f>
        <v/>
      </c>
      <c r="AU2967" s="82" t="n">
        <f aca="false">IF(AND(OR(AA2967="R",AA2967="NX",AA2967="NT",AA2967="CO"),OR('JOINTS DE RÉPARATION'!$D$5="TOUTES",B2967='JOINTS DE RÉPARATION'!$D$5),OR('JOINTS DE RÉPARATION'!$L$4="TOUS",AQ2967&lt;&gt;"ACCEPTÉ")),1,0)</f>
        <v>0</v>
      </c>
      <c r="AV2967" s="82" t="str">
        <f aca="false">IF(AU2967=1,SUM(AU$7:AU2967),"")</f>
        <v/>
      </c>
      <c r="AW2967" s="82" t="str">
        <f aca="false">IF(E2967="","",B2967&amp;"|"&amp;E2967)</f>
        <v/>
      </c>
    </row>
    <row r="2968" customFormat="false" ht="15" hidden="false" customHeight="false" outlineLevel="0" collapsed="false">
      <c r="A2968" s="79" t="str">
        <f aca="false">IF(E2968="","",ROW()-6)</f>
        <v/>
      </c>
      <c r="B2968" s="80"/>
      <c r="C2968" s="81"/>
      <c r="D2968" s="81"/>
      <c r="E2968" s="81"/>
      <c r="F2968" s="82" t="str">
        <f aca="false">IF(E2968="","",IF(LEFT(E2968,2)="DJ","DJ","JN"))</f>
        <v/>
      </c>
      <c r="G2968" s="81"/>
      <c r="H2968" s="81"/>
      <c r="I2968" s="81"/>
      <c r="J2968" s="81"/>
      <c r="K2968" s="81"/>
      <c r="L2968" s="81"/>
      <c r="M2968" s="81"/>
      <c r="N2968" s="81"/>
      <c r="O2968" s="81"/>
      <c r="P2968" s="81"/>
      <c r="Q2968" s="81"/>
      <c r="R2968" s="81"/>
      <c r="S2968" s="81"/>
      <c r="T2968" s="81"/>
      <c r="U2968" s="83"/>
      <c r="V2968" s="83"/>
      <c r="W2968" s="81"/>
      <c r="X2968" s="81"/>
      <c r="Y2968" s="83"/>
      <c r="Z2968" s="81"/>
      <c r="AA2968" s="81"/>
      <c r="AB2968" s="81"/>
      <c r="AC2968" s="81"/>
      <c r="AD2968" s="81"/>
      <c r="AE2968" s="83"/>
      <c r="AF2968" s="81"/>
      <c r="AG2968" s="81"/>
      <c r="AH2968" s="81"/>
      <c r="AI2968" s="81"/>
      <c r="AJ2968" s="83"/>
      <c r="AK2968" s="81"/>
      <c r="AL2968" s="81"/>
      <c r="AM2968" s="83"/>
      <c r="AN2968" s="80"/>
      <c r="AO2968" s="82" t="str">
        <f aca="false">IF(E2968="","",(AA2968&lt;&gt;"")+(AG2968&lt;&gt;"")+(AL2968&lt;&gt;""))</f>
        <v/>
      </c>
      <c r="AP2968" s="82" t="str">
        <f aca="false">IF(AL2968&lt;&gt;"",AL2968,IF(AG2968&lt;&gt;"",AG2968,IF(AA2968&lt;&gt;"",AA2968,"")))</f>
        <v/>
      </c>
      <c r="AQ2968" s="84" t="str">
        <f aca="false">IF(E2968="","",IF(U2968="","À SOUDER",IF(X2968="","VT EN ATTENTE",IF(X2968="R","VT REJETÉ – À REPRENDRE",IF(AP2968="","À RADIOGRAPHIER",IF(AP2968="A","ACCEPTÉ",IF(AP2968="NX","NX – RT À REFAIRE",IF(IF(AO2968=1,AD2968,IF(AO2968=2,AI2968,""))="A","RÉPARÉ – À RADIOGRAPHIER",IF(IF(AO2968=1,AD2968,IF(AO2968=2,AI2968,""))="R","VT REJETÉ – À REPRENDRE",IF(OR(AP2968="CO",AP2968="NT"),"COUPE – À RESOUDER","À RÉPARER"))))))))))</f>
        <v/>
      </c>
      <c r="AR2968" s="82" t="str">
        <f aca="false">IF(AND(ISNUMBER(U2968),OR(AQ2968="À RADIOGRAPHIER",AQ2968="RÉPARÉ – À RADIOGRAPHIER",AQ2968="NX – RT À REFAIRE",AQ2968="À RÉPARER",AQ2968="COUPE – À RESOUDER",AQ2968="VT REJETÉ – À REPRENDRE")),MAX(0,'PROGRAMME RT'!$C$4-U2968),"")</f>
        <v/>
      </c>
      <c r="AS2968" s="82" t="n">
        <f aca="false">IF(AND(OR(AQ2968="À RADIOGRAPHIER",AQ2968="RÉPARÉ – À RADIOGRAPHIER",AQ2968="NX – RT À REFAIRE"),OR('PROGRAMME RT'!$D$5="TOUTES",B2968='PROGRAMME RT'!$D$5)),1,0)</f>
        <v>0</v>
      </c>
      <c r="AT2968" s="82" t="str">
        <f aca="false">IF(AS2968=1,SUM(AS$7:AS2968),"")</f>
        <v/>
      </c>
      <c r="AU2968" s="82" t="n">
        <f aca="false">IF(AND(OR(AA2968="R",AA2968="NX",AA2968="NT",AA2968="CO"),OR('JOINTS DE RÉPARATION'!$D$5="TOUTES",B2968='JOINTS DE RÉPARATION'!$D$5),OR('JOINTS DE RÉPARATION'!$L$4="TOUS",AQ2968&lt;&gt;"ACCEPTÉ")),1,0)</f>
        <v>0</v>
      </c>
      <c r="AV2968" s="82" t="str">
        <f aca="false">IF(AU2968=1,SUM(AU$7:AU2968),"")</f>
        <v/>
      </c>
      <c r="AW2968" s="82" t="str">
        <f aca="false">IF(E2968="","",B2968&amp;"|"&amp;E2968)</f>
        <v/>
      </c>
    </row>
    <row r="2969" customFormat="false" ht="15" hidden="false" customHeight="false" outlineLevel="0" collapsed="false">
      <c r="A2969" s="79" t="str">
        <f aca="false">IF(E2969="","",ROW()-6)</f>
        <v/>
      </c>
      <c r="B2969" s="80"/>
      <c r="C2969" s="81"/>
      <c r="D2969" s="81"/>
      <c r="E2969" s="81"/>
      <c r="F2969" s="82" t="str">
        <f aca="false">IF(E2969="","",IF(LEFT(E2969,2)="DJ","DJ","JN"))</f>
        <v/>
      </c>
      <c r="G2969" s="81"/>
      <c r="H2969" s="81"/>
      <c r="I2969" s="81"/>
      <c r="J2969" s="81"/>
      <c r="K2969" s="81"/>
      <c r="L2969" s="81"/>
      <c r="M2969" s="81"/>
      <c r="N2969" s="81"/>
      <c r="O2969" s="81"/>
      <c r="P2969" s="81"/>
      <c r="Q2969" s="81"/>
      <c r="R2969" s="81"/>
      <c r="S2969" s="81"/>
      <c r="T2969" s="81"/>
      <c r="U2969" s="83"/>
      <c r="V2969" s="83"/>
      <c r="W2969" s="81"/>
      <c r="X2969" s="81"/>
      <c r="Y2969" s="83"/>
      <c r="Z2969" s="81"/>
      <c r="AA2969" s="81"/>
      <c r="AB2969" s="81"/>
      <c r="AC2969" s="81"/>
      <c r="AD2969" s="81"/>
      <c r="AE2969" s="83"/>
      <c r="AF2969" s="81"/>
      <c r="AG2969" s="81"/>
      <c r="AH2969" s="81"/>
      <c r="AI2969" s="81"/>
      <c r="AJ2969" s="83"/>
      <c r="AK2969" s="81"/>
      <c r="AL2969" s="81"/>
      <c r="AM2969" s="83"/>
      <c r="AN2969" s="80"/>
      <c r="AO2969" s="82" t="str">
        <f aca="false">IF(E2969="","",(AA2969&lt;&gt;"")+(AG2969&lt;&gt;"")+(AL2969&lt;&gt;""))</f>
        <v/>
      </c>
      <c r="AP2969" s="82" t="str">
        <f aca="false">IF(AL2969&lt;&gt;"",AL2969,IF(AG2969&lt;&gt;"",AG2969,IF(AA2969&lt;&gt;"",AA2969,"")))</f>
        <v/>
      </c>
      <c r="AQ2969" s="84" t="str">
        <f aca="false">IF(E2969="","",IF(U2969="","À SOUDER",IF(X2969="","VT EN ATTENTE",IF(X2969="R","VT REJETÉ – À REPRENDRE",IF(AP2969="","À RADIOGRAPHIER",IF(AP2969="A","ACCEPTÉ",IF(AP2969="NX","NX – RT À REFAIRE",IF(IF(AO2969=1,AD2969,IF(AO2969=2,AI2969,""))="A","RÉPARÉ – À RADIOGRAPHIER",IF(IF(AO2969=1,AD2969,IF(AO2969=2,AI2969,""))="R","VT REJETÉ – À REPRENDRE",IF(OR(AP2969="CO",AP2969="NT"),"COUPE – À RESOUDER","À RÉPARER"))))))))))</f>
        <v/>
      </c>
      <c r="AR2969" s="82" t="str">
        <f aca="false">IF(AND(ISNUMBER(U2969),OR(AQ2969="À RADIOGRAPHIER",AQ2969="RÉPARÉ – À RADIOGRAPHIER",AQ2969="NX – RT À REFAIRE",AQ2969="À RÉPARER",AQ2969="COUPE – À RESOUDER",AQ2969="VT REJETÉ – À REPRENDRE")),MAX(0,'PROGRAMME RT'!$C$4-U2969),"")</f>
        <v/>
      </c>
      <c r="AS2969" s="82" t="n">
        <f aca="false">IF(AND(OR(AQ2969="À RADIOGRAPHIER",AQ2969="RÉPARÉ – À RADIOGRAPHIER",AQ2969="NX – RT À REFAIRE"),OR('PROGRAMME RT'!$D$5="TOUTES",B2969='PROGRAMME RT'!$D$5)),1,0)</f>
        <v>0</v>
      </c>
      <c r="AT2969" s="82" t="str">
        <f aca="false">IF(AS2969=1,SUM(AS$7:AS2969),"")</f>
        <v/>
      </c>
      <c r="AU2969" s="82" t="n">
        <f aca="false">IF(AND(OR(AA2969="R",AA2969="NX",AA2969="NT",AA2969="CO"),OR('JOINTS DE RÉPARATION'!$D$5="TOUTES",B2969='JOINTS DE RÉPARATION'!$D$5),OR('JOINTS DE RÉPARATION'!$L$4="TOUS",AQ2969&lt;&gt;"ACCEPTÉ")),1,0)</f>
        <v>0</v>
      </c>
      <c r="AV2969" s="82" t="str">
        <f aca="false">IF(AU2969=1,SUM(AU$7:AU2969),"")</f>
        <v/>
      </c>
      <c r="AW2969" s="82" t="str">
        <f aca="false">IF(E2969="","",B2969&amp;"|"&amp;E2969)</f>
        <v/>
      </c>
    </row>
    <row r="2970" customFormat="false" ht="15" hidden="false" customHeight="false" outlineLevel="0" collapsed="false">
      <c r="A2970" s="79" t="str">
        <f aca="false">IF(E2970="","",ROW()-6)</f>
        <v/>
      </c>
      <c r="B2970" s="80"/>
      <c r="C2970" s="81"/>
      <c r="D2970" s="81"/>
      <c r="E2970" s="81"/>
      <c r="F2970" s="82" t="str">
        <f aca="false">IF(E2970="","",IF(LEFT(E2970,2)="DJ","DJ","JN"))</f>
        <v/>
      </c>
      <c r="G2970" s="81"/>
      <c r="H2970" s="81"/>
      <c r="I2970" s="81"/>
      <c r="J2970" s="81"/>
      <c r="K2970" s="81"/>
      <c r="L2970" s="81"/>
      <c r="M2970" s="81"/>
      <c r="N2970" s="81"/>
      <c r="O2970" s="81"/>
      <c r="P2970" s="81"/>
      <c r="Q2970" s="81"/>
      <c r="R2970" s="81"/>
      <c r="S2970" s="81"/>
      <c r="T2970" s="81"/>
      <c r="U2970" s="83"/>
      <c r="V2970" s="83"/>
      <c r="W2970" s="81"/>
      <c r="X2970" s="81"/>
      <c r="Y2970" s="83"/>
      <c r="Z2970" s="81"/>
      <c r="AA2970" s="81"/>
      <c r="AB2970" s="81"/>
      <c r="AC2970" s="81"/>
      <c r="AD2970" s="81"/>
      <c r="AE2970" s="83"/>
      <c r="AF2970" s="81"/>
      <c r="AG2970" s="81"/>
      <c r="AH2970" s="81"/>
      <c r="AI2970" s="81"/>
      <c r="AJ2970" s="83"/>
      <c r="AK2970" s="81"/>
      <c r="AL2970" s="81"/>
      <c r="AM2970" s="83"/>
      <c r="AN2970" s="80"/>
      <c r="AO2970" s="82" t="str">
        <f aca="false">IF(E2970="","",(AA2970&lt;&gt;"")+(AG2970&lt;&gt;"")+(AL2970&lt;&gt;""))</f>
        <v/>
      </c>
      <c r="AP2970" s="82" t="str">
        <f aca="false">IF(AL2970&lt;&gt;"",AL2970,IF(AG2970&lt;&gt;"",AG2970,IF(AA2970&lt;&gt;"",AA2970,"")))</f>
        <v/>
      </c>
      <c r="AQ2970" s="84" t="str">
        <f aca="false">IF(E2970="","",IF(U2970="","À SOUDER",IF(X2970="","VT EN ATTENTE",IF(X2970="R","VT REJETÉ – À REPRENDRE",IF(AP2970="","À RADIOGRAPHIER",IF(AP2970="A","ACCEPTÉ",IF(AP2970="NX","NX – RT À REFAIRE",IF(IF(AO2970=1,AD2970,IF(AO2970=2,AI2970,""))="A","RÉPARÉ – À RADIOGRAPHIER",IF(IF(AO2970=1,AD2970,IF(AO2970=2,AI2970,""))="R","VT REJETÉ – À REPRENDRE",IF(OR(AP2970="CO",AP2970="NT"),"COUPE – À RESOUDER","À RÉPARER"))))))))))</f>
        <v/>
      </c>
      <c r="AR2970" s="82" t="str">
        <f aca="false">IF(AND(ISNUMBER(U2970),OR(AQ2970="À RADIOGRAPHIER",AQ2970="RÉPARÉ – À RADIOGRAPHIER",AQ2970="NX – RT À REFAIRE",AQ2970="À RÉPARER",AQ2970="COUPE – À RESOUDER",AQ2970="VT REJETÉ – À REPRENDRE")),MAX(0,'PROGRAMME RT'!$C$4-U2970),"")</f>
        <v/>
      </c>
      <c r="AS2970" s="82" t="n">
        <f aca="false">IF(AND(OR(AQ2970="À RADIOGRAPHIER",AQ2970="RÉPARÉ – À RADIOGRAPHIER",AQ2970="NX – RT À REFAIRE"),OR('PROGRAMME RT'!$D$5="TOUTES",B2970='PROGRAMME RT'!$D$5)),1,0)</f>
        <v>0</v>
      </c>
      <c r="AT2970" s="82" t="str">
        <f aca="false">IF(AS2970=1,SUM(AS$7:AS2970),"")</f>
        <v/>
      </c>
      <c r="AU2970" s="82" t="n">
        <f aca="false">IF(AND(OR(AA2970="R",AA2970="NX",AA2970="NT",AA2970="CO"),OR('JOINTS DE RÉPARATION'!$D$5="TOUTES",B2970='JOINTS DE RÉPARATION'!$D$5),OR('JOINTS DE RÉPARATION'!$L$4="TOUS",AQ2970&lt;&gt;"ACCEPTÉ")),1,0)</f>
        <v>0</v>
      </c>
      <c r="AV2970" s="82" t="str">
        <f aca="false">IF(AU2970=1,SUM(AU$7:AU2970),"")</f>
        <v/>
      </c>
      <c r="AW2970" s="82" t="str">
        <f aca="false">IF(E2970="","",B2970&amp;"|"&amp;E2970)</f>
        <v/>
      </c>
    </row>
    <row r="2971" customFormat="false" ht="15" hidden="false" customHeight="false" outlineLevel="0" collapsed="false">
      <c r="A2971" s="79" t="str">
        <f aca="false">IF(E2971="","",ROW()-6)</f>
        <v/>
      </c>
      <c r="B2971" s="80"/>
      <c r="C2971" s="81"/>
      <c r="D2971" s="81"/>
      <c r="E2971" s="81"/>
      <c r="F2971" s="82" t="str">
        <f aca="false">IF(E2971="","",IF(LEFT(E2971,2)="DJ","DJ","JN"))</f>
        <v/>
      </c>
      <c r="G2971" s="81"/>
      <c r="H2971" s="81"/>
      <c r="I2971" s="81"/>
      <c r="J2971" s="81"/>
      <c r="K2971" s="81"/>
      <c r="L2971" s="81"/>
      <c r="M2971" s="81"/>
      <c r="N2971" s="81"/>
      <c r="O2971" s="81"/>
      <c r="P2971" s="81"/>
      <c r="Q2971" s="81"/>
      <c r="R2971" s="81"/>
      <c r="S2971" s="81"/>
      <c r="T2971" s="81"/>
      <c r="U2971" s="83"/>
      <c r="V2971" s="83"/>
      <c r="W2971" s="81"/>
      <c r="X2971" s="81"/>
      <c r="Y2971" s="83"/>
      <c r="Z2971" s="81"/>
      <c r="AA2971" s="81"/>
      <c r="AB2971" s="81"/>
      <c r="AC2971" s="81"/>
      <c r="AD2971" s="81"/>
      <c r="AE2971" s="83"/>
      <c r="AF2971" s="81"/>
      <c r="AG2971" s="81"/>
      <c r="AH2971" s="81"/>
      <c r="AI2971" s="81"/>
      <c r="AJ2971" s="83"/>
      <c r="AK2971" s="81"/>
      <c r="AL2971" s="81"/>
      <c r="AM2971" s="83"/>
      <c r="AN2971" s="80"/>
      <c r="AO2971" s="82" t="str">
        <f aca="false">IF(E2971="","",(AA2971&lt;&gt;"")+(AG2971&lt;&gt;"")+(AL2971&lt;&gt;""))</f>
        <v/>
      </c>
      <c r="AP2971" s="82" t="str">
        <f aca="false">IF(AL2971&lt;&gt;"",AL2971,IF(AG2971&lt;&gt;"",AG2971,IF(AA2971&lt;&gt;"",AA2971,"")))</f>
        <v/>
      </c>
      <c r="AQ2971" s="84" t="str">
        <f aca="false">IF(E2971="","",IF(U2971="","À SOUDER",IF(X2971="","VT EN ATTENTE",IF(X2971="R","VT REJETÉ – À REPRENDRE",IF(AP2971="","À RADIOGRAPHIER",IF(AP2971="A","ACCEPTÉ",IF(AP2971="NX","NX – RT À REFAIRE",IF(IF(AO2971=1,AD2971,IF(AO2971=2,AI2971,""))="A","RÉPARÉ – À RADIOGRAPHIER",IF(IF(AO2971=1,AD2971,IF(AO2971=2,AI2971,""))="R","VT REJETÉ – À REPRENDRE",IF(OR(AP2971="CO",AP2971="NT"),"COUPE – À RESOUDER","À RÉPARER"))))))))))</f>
        <v/>
      </c>
      <c r="AR2971" s="82" t="str">
        <f aca="false">IF(AND(ISNUMBER(U2971),OR(AQ2971="À RADIOGRAPHIER",AQ2971="RÉPARÉ – À RADIOGRAPHIER",AQ2971="NX – RT À REFAIRE",AQ2971="À RÉPARER",AQ2971="COUPE – À RESOUDER",AQ2971="VT REJETÉ – À REPRENDRE")),MAX(0,'PROGRAMME RT'!$C$4-U2971),"")</f>
        <v/>
      </c>
      <c r="AS2971" s="82" t="n">
        <f aca="false">IF(AND(OR(AQ2971="À RADIOGRAPHIER",AQ2971="RÉPARÉ – À RADIOGRAPHIER",AQ2971="NX – RT À REFAIRE"),OR('PROGRAMME RT'!$D$5="TOUTES",B2971='PROGRAMME RT'!$D$5)),1,0)</f>
        <v>0</v>
      </c>
      <c r="AT2971" s="82" t="str">
        <f aca="false">IF(AS2971=1,SUM(AS$7:AS2971),"")</f>
        <v/>
      </c>
      <c r="AU2971" s="82" t="n">
        <f aca="false">IF(AND(OR(AA2971="R",AA2971="NX",AA2971="NT",AA2971="CO"),OR('JOINTS DE RÉPARATION'!$D$5="TOUTES",B2971='JOINTS DE RÉPARATION'!$D$5),OR('JOINTS DE RÉPARATION'!$L$4="TOUS",AQ2971&lt;&gt;"ACCEPTÉ")),1,0)</f>
        <v>0</v>
      </c>
      <c r="AV2971" s="82" t="str">
        <f aca="false">IF(AU2971=1,SUM(AU$7:AU2971),"")</f>
        <v/>
      </c>
      <c r="AW2971" s="82" t="str">
        <f aca="false">IF(E2971="","",B2971&amp;"|"&amp;E2971)</f>
        <v/>
      </c>
    </row>
    <row r="2972" customFormat="false" ht="15" hidden="false" customHeight="false" outlineLevel="0" collapsed="false">
      <c r="A2972" s="79" t="str">
        <f aca="false">IF(E2972="","",ROW()-6)</f>
        <v/>
      </c>
      <c r="B2972" s="80"/>
      <c r="C2972" s="81"/>
      <c r="D2972" s="81"/>
      <c r="E2972" s="81"/>
      <c r="F2972" s="82" t="str">
        <f aca="false">IF(E2972="","",IF(LEFT(E2972,2)="DJ","DJ","JN"))</f>
        <v/>
      </c>
      <c r="G2972" s="81"/>
      <c r="H2972" s="81"/>
      <c r="I2972" s="81"/>
      <c r="J2972" s="81"/>
      <c r="K2972" s="81"/>
      <c r="L2972" s="81"/>
      <c r="M2972" s="81"/>
      <c r="N2972" s="81"/>
      <c r="O2972" s="81"/>
      <c r="P2972" s="81"/>
      <c r="Q2972" s="81"/>
      <c r="R2972" s="81"/>
      <c r="S2972" s="81"/>
      <c r="T2972" s="81"/>
      <c r="U2972" s="83"/>
      <c r="V2972" s="83"/>
      <c r="W2972" s="81"/>
      <c r="X2972" s="81"/>
      <c r="Y2972" s="83"/>
      <c r="Z2972" s="81"/>
      <c r="AA2972" s="81"/>
      <c r="AB2972" s="81"/>
      <c r="AC2972" s="81"/>
      <c r="AD2972" s="81"/>
      <c r="AE2972" s="83"/>
      <c r="AF2972" s="81"/>
      <c r="AG2972" s="81"/>
      <c r="AH2972" s="81"/>
      <c r="AI2972" s="81"/>
      <c r="AJ2972" s="83"/>
      <c r="AK2972" s="81"/>
      <c r="AL2972" s="81"/>
      <c r="AM2972" s="83"/>
      <c r="AN2972" s="80"/>
      <c r="AO2972" s="82" t="str">
        <f aca="false">IF(E2972="","",(AA2972&lt;&gt;"")+(AG2972&lt;&gt;"")+(AL2972&lt;&gt;""))</f>
        <v/>
      </c>
      <c r="AP2972" s="82" t="str">
        <f aca="false">IF(AL2972&lt;&gt;"",AL2972,IF(AG2972&lt;&gt;"",AG2972,IF(AA2972&lt;&gt;"",AA2972,"")))</f>
        <v/>
      </c>
      <c r="AQ2972" s="84" t="str">
        <f aca="false">IF(E2972="","",IF(U2972="","À SOUDER",IF(X2972="","VT EN ATTENTE",IF(X2972="R","VT REJETÉ – À REPRENDRE",IF(AP2972="","À RADIOGRAPHIER",IF(AP2972="A","ACCEPTÉ",IF(AP2972="NX","NX – RT À REFAIRE",IF(IF(AO2972=1,AD2972,IF(AO2972=2,AI2972,""))="A","RÉPARÉ – À RADIOGRAPHIER",IF(IF(AO2972=1,AD2972,IF(AO2972=2,AI2972,""))="R","VT REJETÉ – À REPRENDRE",IF(OR(AP2972="CO",AP2972="NT"),"COUPE – À RESOUDER","À RÉPARER"))))))))))</f>
        <v/>
      </c>
      <c r="AR2972" s="82" t="str">
        <f aca="false">IF(AND(ISNUMBER(U2972),OR(AQ2972="À RADIOGRAPHIER",AQ2972="RÉPARÉ – À RADIOGRAPHIER",AQ2972="NX – RT À REFAIRE",AQ2972="À RÉPARER",AQ2972="COUPE – À RESOUDER",AQ2972="VT REJETÉ – À REPRENDRE")),MAX(0,'PROGRAMME RT'!$C$4-U2972),"")</f>
        <v/>
      </c>
      <c r="AS2972" s="82" t="n">
        <f aca="false">IF(AND(OR(AQ2972="À RADIOGRAPHIER",AQ2972="RÉPARÉ – À RADIOGRAPHIER",AQ2972="NX – RT À REFAIRE"),OR('PROGRAMME RT'!$D$5="TOUTES",B2972='PROGRAMME RT'!$D$5)),1,0)</f>
        <v>0</v>
      </c>
      <c r="AT2972" s="82" t="str">
        <f aca="false">IF(AS2972=1,SUM(AS$7:AS2972),"")</f>
        <v/>
      </c>
      <c r="AU2972" s="82" t="n">
        <f aca="false">IF(AND(OR(AA2972="R",AA2972="NX",AA2972="NT",AA2972="CO"),OR('JOINTS DE RÉPARATION'!$D$5="TOUTES",B2972='JOINTS DE RÉPARATION'!$D$5),OR('JOINTS DE RÉPARATION'!$L$4="TOUS",AQ2972&lt;&gt;"ACCEPTÉ")),1,0)</f>
        <v>0</v>
      </c>
      <c r="AV2972" s="82" t="str">
        <f aca="false">IF(AU2972=1,SUM(AU$7:AU2972),"")</f>
        <v/>
      </c>
      <c r="AW2972" s="82" t="str">
        <f aca="false">IF(E2972="","",B2972&amp;"|"&amp;E2972)</f>
        <v/>
      </c>
    </row>
    <row r="2973" customFormat="false" ht="15" hidden="false" customHeight="false" outlineLevel="0" collapsed="false">
      <c r="A2973" s="79" t="str">
        <f aca="false">IF(E2973="","",ROW()-6)</f>
        <v/>
      </c>
      <c r="B2973" s="80"/>
      <c r="C2973" s="81"/>
      <c r="D2973" s="81"/>
      <c r="E2973" s="81"/>
      <c r="F2973" s="82" t="str">
        <f aca="false">IF(E2973="","",IF(LEFT(E2973,2)="DJ","DJ","JN"))</f>
        <v/>
      </c>
      <c r="G2973" s="81"/>
      <c r="H2973" s="81"/>
      <c r="I2973" s="81"/>
      <c r="J2973" s="81"/>
      <c r="K2973" s="81"/>
      <c r="L2973" s="81"/>
      <c r="M2973" s="81"/>
      <c r="N2973" s="81"/>
      <c r="O2973" s="81"/>
      <c r="P2973" s="81"/>
      <c r="Q2973" s="81"/>
      <c r="R2973" s="81"/>
      <c r="S2973" s="81"/>
      <c r="T2973" s="81"/>
      <c r="U2973" s="83"/>
      <c r="V2973" s="83"/>
      <c r="W2973" s="81"/>
      <c r="X2973" s="81"/>
      <c r="Y2973" s="83"/>
      <c r="Z2973" s="81"/>
      <c r="AA2973" s="81"/>
      <c r="AB2973" s="81"/>
      <c r="AC2973" s="81"/>
      <c r="AD2973" s="81"/>
      <c r="AE2973" s="83"/>
      <c r="AF2973" s="81"/>
      <c r="AG2973" s="81"/>
      <c r="AH2973" s="81"/>
      <c r="AI2973" s="81"/>
      <c r="AJ2973" s="83"/>
      <c r="AK2973" s="81"/>
      <c r="AL2973" s="81"/>
      <c r="AM2973" s="83"/>
      <c r="AN2973" s="80"/>
      <c r="AO2973" s="82" t="str">
        <f aca="false">IF(E2973="","",(AA2973&lt;&gt;"")+(AG2973&lt;&gt;"")+(AL2973&lt;&gt;""))</f>
        <v/>
      </c>
      <c r="AP2973" s="82" t="str">
        <f aca="false">IF(AL2973&lt;&gt;"",AL2973,IF(AG2973&lt;&gt;"",AG2973,IF(AA2973&lt;&gt;"",AA2973,"")))</f>
        <v/>
      </c>
      <c r="AQ2973" s="84" t="str">
        <f aca="false">IF(E2973="","",IF(U2973="","À SOUDER",IF(X2973="","VT EN ATTENTE",IF(X2973="R","VT REJETÉ – À REPRENDRE",IF(AP2973="","À RADIOGRAPHIER",IF(AP2973="A","ACCEPTÉ",IF(AP2973="NX","NX – RT À REFAIRE",IF(IF(AO2973=1,AD2973,IF(AO2973=2,AI2973,""))="A","RÉPARÉ – À RADIOGRAPHIER",IF(IF(AO2973=1,AD2973,IF(AO2973=2,AI2973,""))="R","VT REJETÉ – À REPRENDRE",IF(OR(AP2973="CO",AP2973="NT"),"COUPE – À RESOUDER","À RÉPARER"))))))))))</f>
        <v/>
      </c>
      <c r="AR2973" s="82" t="str">
        <f aca="false">IF(AND(ISNUMBER(U2973),OR(AQ2973="À RADIOGRAPHIER",AQ2973="RÉPARÉ – À RADIOGRAPHIER",AQ2973="NX – RT À REFAIRE",AQ2973="À RÉPARER",AQ2973="COUPE – À RESOUDER",AQ2973="VT REJETÉ – À REPRENDRE")),MAX(0,'PROGRAMME RT'!$C$4-U2973),"")</f>
        <v/>
      </c>
      <c r="AS2973" s="82" t="n">
        <f aca="false">IF(AND(OR(AQ2973="À RADIOGRAPHIER",AQ2973="RÉPARÉ – À RADIOGRAPHIER",AQ2973="NX – RT À REFAIRE"),OR('PROGRAMME RT'!$D$5="TOUTES",B2973='PROGRAMME RT'!$D$5)),1,0)</f>
        <v>0</v>
      </c>
      <c r="AT2973" s="82" t="str">
        <f aca="false">IF(AS2973=1,SUM(AS$7:AS2973),"")</f>
        <v/>
      </c>
      <c r="AU2973" s="82" t="n">
        <f aca="false">IF(AND(OR(AA2973="R",AA2973="NX",AA2973="NT",AA2973="CO"),OR('JOINTS DE RÉPARATION'!$D$5="TOUTES",B2973='JOINTS DE RÉPARATION'!$D$5),OR('JOINTS DE RÉPARATION'!$L$4="TOUS",AQ2973&lt;&gt;"ACCEPTÉ")),1,0)</f>
        <v>0</v>
      </c>
      <c r="AV2973" s="82" t="str">
        <f aca="false">IF(AU2973=1,SUM(AU$7:AU2973),"")</f>
        <v/>
      </c>
      <c r="AW2973" s="82" t="str">
        <f aca="false">IF(E2973="","",B2973&amp;"|"&amp;E2973)</f>
        <v/>
      </c>
    </row>
    <row r="2974" customFormat="false" ht="15" hidden="false" customHeight="false" outlineLevel="0" collapsed="false">
      <c r="A2974" s="79" t="str">
        <f aca="false">IF(E2974="","",ROW()-6)</f>
        <v/>
      </c>
      <c r="B2974" s="80"/>
      <c r="C2974" s="81"/>
      <c r="D2974" s="81"/>
      <c r="E2974" s="81"/>
      <c r="F2974" s="82" t="str">
        <f aca="false">IF(E2974="","",IF(LEFT(E2974,2)="DJ","DJ","JN"))</f>
        <v/>
      </c>
      <c r="G2974" s="81"/>
      <c r="H2974" s="81"/>
      <c r="I2974" s="81"/>
      <c r="J2974" s="81"/>
      <c r="K2974" s="81"/>
      <c r="L2974" s="81"/>
      <c r="M2974" s="81"/>
      <c r="N2974" s="81"/>
      <c r="O2974" s="81"/>
      <c r="P2974" s="81"/>
      <c r="Q2974" s="81"/>
      <c r="R2974" s="81"/>
      <c r="S2974" s="81"/>
      <c r="T2974" s="81"/>
      <c r="U2974" s="83"/>
      <c r="V2974" s="83"/>
      <c r="W2974" s="81"/>
      <c r="X2974" s="81"/>
      <c r="Y2974" s="83"/>
      <c r="Z2974" s="81"/>
      <c r="AA2974" s="81"/>
      <c r="AB2974" s="81"/>
      <c r="AC2974" s="81"/>
      <c r="AD2974" s="81"/>
      <c r="AE2974" s="83"/>
      <c r="AF2974" s="81"/>
      <c r="AG2974" s="81"/>
      <c r="AH2974" s="81"/>
      <c r="AI2974" s="81"/>
      <c r="AJ2974" s="83"/>
      <c r="AK2974" s="81"/>
      <c r="AL2974" s="81"/>
      <c r="AM2974" s="83"/>
      <c r="AN2974" s="80"/>
      <c r="AO2974" s="82" t="str">
        <f aca="false">IF(E2974="","",(AA2974&lt;&gt;"")+(AG2974&lt;&gt;"")+(AL2974&lt;&gt;""))</f>
        <v/>
      </c>
      <c r="AP2974" s="82" t="str">
        <f aca="false">IF(AL2974&lt;&gt;"",AL2974,IF(AG2974&lt;&gt;"",AG2974,IF(AA2974&lt;&gt;"",AA2974,"")))</f>
        <v/>
      </c>
      <c r="AQ2974" s="84" t="str">
        <f aca="false">IF(E2974="","",IF(U2974="","À SOUDER",IF(X2974="","VT EN ATTENTE",IF(X2974="R","VT REJETÉ – À REPRENDRE",IF(AP2974="","À RADIOGRAPHIER",IF(AP2974="A","ACCEPTÉ",IF(AP2974="NX","NX – RT À REFAIRE",IF(IF(AO2974=1,AD2974,IF(AO2974=2,AI2974,""))="A","RÉPARÉ – À RADIOGRAPHIER",IF(IF(AO2974=1,AD2974,IF(AO2974=2,AI2974,""))="R","VT REJETÉ – À REPRENDRE",IF(OR(AP2974="CO",AP2974="NT"),"COUPE – À RESOUDER","À RÉPARER"))))))))))</f>
        <v/>
      </c>
      <c r="AR2974" s="82" t="str">
        <f aca="false">IF(AND(ISNUMBER(U2974),OR(AQ2974="À RADIOGRAPHIER",AQ2974="RÉPARÉ – À RADIOGRAPHIER",AQ2974="NX – RT À REFAIRE",AQ2974="À RÉPARER",AQ2974="COUPE – À RESOUDER",AQ2974="VT REJETÉ – À REPRENDRE")),MAX(0,'PROGRAMME RT'!$C$4-U2974),"")</f>
        <v/>
      </c>
      <c r="AS2974" s="82" t="n">
        <f aca="false">IF(AND(OR(AQ2974="À RADIOGRAPHIER",AQ2974="RÉPARÉ – À RADIOGRAPHIER",AQ2974="NX – RT À REFAIRE"),OR('PROGRAMME RT'!$D$5="TOUTES",B2974='PROGRAMME RT'!$D$5)),1,0)</f>
        <v>0</v>
      </c>
      <c r="AT2974" s="82" t="str">
        <f aca="false">IF(AS2974=1,SUM(AS$7:AS2974),"")</f>
        <v/>
      </c>
      <c r="AU2974" s="82" t="n">
        <f aca="false">IF(AND(OR(AA2974="R",AA2974="NX",AA2974="NT",AA2974="CO"),OR('JOINTS DE RÉPARATION'!$D$5="TOUTES",B2974='JOINTS DE RÉPARATION'!$D$5),OR('JOINTS DE RÉPARATION'!$L$4="TOUS",AQ2974&lt;&gt;"ACCEPTÉ")),1,0)</f>
        <v>0</v>
      </c>
      <c r="AV2974" s="82" t="str">
        <f aca="false">IF(AU2974=1,SUM(AU$7:AU2974),"")</f>
        <v/>
      </c>
      <c r="AW2974" s="82" t="str">
        <f aca="false">IF(E2974="","",B2974&amp;"|"&amp;E2974)</f>
        <v/>
      </c>
    </row>
    <row r="2975" customFormat="false" ht="15" hidden="false" customHeight="false" outlineLevel="0" collapsed="false">
      <c r="A2975" s="79" t="str">
        <f aca="false">IF(E2975="","",ROW()-6)</f>
        <v/>
      </c>
      <c r="B2975" s="80"/>
      <c r="C2975" s="81"/>
      <c r="D2975" s="81"/>
      <c r="E2975" s="81"/>
      <c r="F2975" s="82" t="str">
        <f aca="false">IF(E2975="","",IF(LEFT(E2975,2)="DJ","DJ","JN"))</f>
        <v/>
      </c>
      <c r="G2975" s="81"/>
      <c r="H2975" s="81"/>
      <c r="I2975" s="81"/>
      <c r="J2975" s="81"/>
      <c r="K2975" s="81"/>
      <c r="L2975" s="81"/>
      <c r="M2975" s="81"/>
      <c r="N2975" s="81"/>
      <c r="O2975" s="81"/>
      <c r="P2975" s="81"/>
      <c r="Q2975" s="81"/>
      <c r="R2975" s="81"/>
      <c r="S2975" s="81"/>
      <c r="T2975" s="81"/>
      <c r="U2975" s="83"/>
      <c r="V2975" s="83"/>
      <c r="W2975" s="81"/>
      <c r="X2975" s="81"/>
      <c r="Y2975" s="83"/>
      <c r="Z2975" s="81"/>
      <c r="AA2975" s="81"/>
      <c r="AB2975" s="81"/>
      <c r="AC2975" s="81"/>
      <c r="AD2975" s="81"/>
      <c r="AE2975" s="83"/>
      <c r="AF2975" s="81"/>
      <c r="AG2975" s="81"/>
      <c r="AH2975" s="81"/>
      <c r="AI2975" s="81"/>
      <c r="AJ2975" s="83"/>
      <c r="AK2975" s="81"/>
      <c r="AL2975" s="81"/>
      <c r="AM2975" s="83"/>
      <c r="AN2975" s="80"/>
      <c r="AO2975" s="82" t="str">
        <f aca="false">IF(E2975="","",(AA2975&lt;&gt;"")+(AG2975&lt;&gt;"")+(AL2975&lt;&gt;""))</f>
        <v/>
      </c>
      <c r="AP2975" s="82" t="str">
        <f aca="false">IF(AL2975&lt;&gt;"",AL2975,IF(AG2975&lt;&gt;"",AG2975,IF(AA2975&lt;&gt;"",AA2975,"")))</f>
        <v/>
      </c>
      <c r="AQ2975" s="84" t="str">
        <f aca="false">IF(E2975="","",IF(U2975="","À SOUDER",IF(X2975="","VT EN ATTENTE",IF(X2975="R","VT REJETÉ – À REPRENDRE",IF(AP2975="","À RADIOGRAPHIER",IF(AP2975="A","ACCEPTÉ",IF(AP2975="NX","NX – RT À REFAIRE",IF(IF(AO2975=1,AD2975,IF(AO2975=2,AI2975,""))="A","RÉPARÉ – À RADIOGRAPHIER",IF(IF(AO2975=1,AD2975,IF(AO2975=2,AI2975,""))="R","VT REJETÉ – À REPRENDRE",IF(OR(AP2975="CO",AP2975="NT"),"COUPE – À RESOUDER","À RÉPARER"))))))))))</f>
        <v/>
      </c>
      <c r="AR2975" s="82" t="str">
        <f aca="false">IF(AND(ISNUMBER(U2975),OR(AQ2975="À RADIOGRAPHIER",AQ2975="RÉPARÉ – À RADIOGRAPHIER",AQ2975="NX – RT À REFAIRE",AQ2975="À RÉPARER",AQ2975="COUPE – À RESOUDER",AQ2975="VT REJETÉ – À REPRENDRE")),MAX(0,'PROGRAMME RT'!$C$4-U2975),"")</f>
        <v/>
      </c>
      <c r="AS2975" s="82" t="n">
        <f aca="false">IF(AND(OR(AQ2975="À RADIOGRAPHIER",AQ2975="RÉPARÉ – À RADIOGRAPHIER",AQ2975="NX – RT À REFAIRE"),OR('PROGRAMME RT'!$D$5="TOUTES",B2975='PROGRAMME RT'!$D$5)),1,0)</f>
        <v>0</v>
      </c>
      <c r="AT2975" s="82" t="str">
        <f aca="false">IF(AS2975=1,SUM(AS$7:AS2975),"")</f>
        <v/>
      </c>
      <c r="AU2975" s="82" t="n">
        <f aca="false">IF(AND(OR(AA2975="R",AA2975="NX",AA2975="NT",AA2975="CO"),OR('JOINTS DE RÉPARATION'!$D$5="TOUTES",B2975='JOINTS DE RÉPARATION'!$D$5),OR('JOINTS DE RÉPARATION'!$L$4="TOUS",AQ2975&lt;&gt;"ACCEPTÉ")),1,0)</f>
        <v>0</v>
      </c>
      <c r="AV2975" s="82" t="str">
        <f aca="false">IF(AU2975=1,SUM(AU$7:AU2975),"")</f>
        <v/>
      </c>
      <c r="AW2975" s="82" t="str">
        <f aca="false">IF(E2975="","",B2975&amp;"|"&amp;E2975)</f>
        <v/>
      </c>
    </row>
    <row r="2976" customFormat="false" ht="15" hidden="false" customHeight="false" outlineLevel="0" collapsed="false">
      <c r="A2976" s="79" t="str">
        <f aca="false">IF(E2976="","",ROW()-6)</f>
        <v/>
      </c>
      <c r="B2976" s="80"/>
      <c r="C2976" s="81"/>
      <c r="D2976" s="81"/>
      <c r="E2976" s="81"/>
      <c r="F2976" s="82" t="str">
        <f aca="false">IF(E2976="","",IF(LEFT(E2976,2)="DJ","DJ","JN"))</f>
        <v/>
      </c>
      <c r="G2976" s="81"/>
      <c r="H2976" s="81"/>
      <c r="I2976" s="81"/>
      <c r="J2976" s="81"/>
      <c r="K2976" s="81"/>
      <c r="L2976" s="81"/>
      <c r="M2976" s="81"/>
      <c r="N2976" s="81"/>
      <c r="O2976" s="81"/>
      <c r="P2976" s="81"/>
      <c r="Q2976" s="81"/>
      <c r="R2976" s="81"/>
      <c r="S2976" s="81"/>
      <c r="T2976" s="81"/>
      <c r="U2976" s="83"/>
      <c r="V2976" s="83"/>
      <c r="W2976" s="81"/>
      <c r="X2976" s="81"/>
      <c r="Y2976" s="83"/>
      <c r="Z2976" s="81"/>
      <c r="AA2976" s="81"/>
      <c r="AB2976" s="81"/>
      <c r="AC2976" s="81"/>
      <c r="AD2976" s="81"/>
      <c r="AE2976" s="83"/>
      <c r="AF2976" s="81"/>
      <c r="AG2976" s="81"/>
      <c r="AH2976" s="81"/>
      <c r="AI2976" s="81"/>
      <c r="AJ2976" s="83"/>
      <c r="AK2976" s="81"/>
      <c r="AL2976" s="81"/>
      <c r="AM2976" s="83"/>
      <c r="AN2976" s="80"/>
      <c r="AO2976" s="82" t="str">
        <f aca="false">IF(E2976="","",(AA2976&lt;&gt;"")+(AG2976&lt;&gt;"")+(AL2976&lt;&gt;""))</f>
        <v/>
      </c>
      <c r="AP2976" s="82" t="str">
        <f aca="false">IF(AL2976&lt;&gt;"",AL2976,IF(AG2976&lt;&gt;"",AG2976,IF(AA2976&lt;&gt;"",AA2976,"")))</f>
        <v/>
      </c>
      <c r="AQ2976" s="84" t="str">
        <f aca="false">IF(E2976="","",IF(U2976="","À SOUDER",IF(X2976="","VT EN ATTENTE",IF(X2976="R","VT REJETÉ – À REPRENDRE",IF(AP2976="","À RADIOGRAPHIER",IF(AP2976="A","ACCEPTÉ",IF(AP2976="NX","NX – RT À REFAIRE",IF(IF(AO2976=1,AD2976,IF(AO2976=2,AI2976,""))="A","RÉPARÉ – À RADIOGRAPHIER",IF(IF(AO2976=1,AD2976,IF(AO2976=2,AI2976,""))="R","VT REJETÉ – À REPRENDRE",IF(OR(AP2976="CO",AP2976="NT"),"COUPE – À RESOUDER","À RÉPARER"))))))))))</f>
        <v/>
      </c>
      <c r="AR2976" s="82" t="str">
        <f aca="false">IF(AND(ISNUMBER(U2976),OR(AQ2976="À RADIOGRAPHIER",AQ2976="RÉPARÉ – À RADIOGRAPHIER",AQ2976="NX – RT À REFAIRE",AQ2976="À RÉPARER",AQ2976="COUPE – À RESOUDER",AQ2976="VT REJETÉ – À REPRENDRE")),MAX(0,'PROGRAMME RT'!$C$4-U2976),"")</f>
        <v/>
      </c>
      <c r="AS2976" s="82" t="n">
        <f aca="false">IF(AND(OR(AQ2976="À RADIOGRAPHIER",AQ2976="RÉPARÉ – À RADIOGRAPHIER",AQ2976="NX – RT À REFAIRE"),OR('PROGRAMME RT'!$D$5="TOUTES",B2976='PROGRAMME RT'!$D$5)),1,0)</f>
        <v>0</v>
      </c>
      <c r="AT2976" s="82" t="str">
        <f aca="false">IF(AS2976=1,SUM(AS$7:AS2976),"")</f>
        <v/>
      </c>
      <c r="AU2976" s="82" t="n">
        <f aca="false">IF(AND(OR(AA2976="R",AA2976="NX",AA2976="NT",AA2976="CO"),OR('JOINTS DE RÉPARATION'!$D$5="TOUTES",B2976='JOINTS DE RÉPARATION'!$D$5),OR('JOINTS DE RÉPARATION'!$L$4="TOUS",AQ2976&lt;&gt;"ACCEPTÉ")),1,0)</f>
        <v>0</v>
      </c>
      <c r="AV2976" s="82" t="str">
        <f aca="false">IF(AU2976=1,SUM(AU$7:AU2976),"")</f>
        <v/>
      </c>
      <c r="AW2976" s="82" t="str">
        <f aca="false">IF(E2976="","",B2976&amp;"|"&amp;E2976)</f>
        <v/>
      </c>
    </row>
    <row r="2977" customFormat="false" ht="15" hidden="false" customHeight="false" outlineLevel="0" collapsed="false">
      <c r="A2977" s="79" t="str">
        <f aca="false">IF(E2977="","",ROW()-6)</f>
        <v/>
      </c>
      <c r="B2977" s="80"/>
      <c r="C2977" s="81"/>
      <c r="D2977" s="81"/>
      <c r="E2977" s="81"/>
      <c r="F2977" s="82" t="str">
        <f aca="false">IF(E2977="","",IF(LEFT(E2977,2)="DJ","DJ","JN"))</f>
        <v/>
      </c>
      <c r="G2977" s="81"/>
      <c r="H2977" s="81"/>
      <c r="I2977" s="81"/>
      <c r="J2977" s="81"/>
      <c r="K2977" s="81"/>
      <c r="L2977" s="81"/>
      <c r="M2977" s="81"/>
      <c r="N2977" s="81"/>
      <c r="O2977" s="81"/>
      <c r="P2977" s="81"/>
      <c r="Q2977" s="81"/>
      <c r="R2977" s="81"/>
      <c r="S2977" s="81"/>
      <c r="T2977" s="81"/>
      <c r="U2977" s="83"/>
      <c r="V2977" s="83"/>
      <c r="W2977" s="81"/>
      <c r="X2977" s="81"/>
      <c r="Y2977" s="83"/>
      <c r="Z2977" s="81"/>
      <c r="AA2977" s="81"/>
      <c r="AB2977" s="81"/>
      <c r="AC2977" s="81"/>
      <c r="AD2977" s="81"/>
      <c r="AE2977" s="83"/>
      <c r="AF2977" s="81"/>
      <c r="AG2977" s="81"/>
      <c r="AH2977" s="81"/>
      <c r="AI2977" s="81"/>
      <c r="AJ2977" s="83"/>
      <c r="AK2977" s="81"/>
      <c r="AL2977" s="81"/>
      <c r="AM2977" s="83"/>
      <c r="AN2977" s="80"/>
      <c r="AO2977" s="82" t="str">
        <f aca="false">IF(E2977="","",(AA2977&lt;&gt;"")+(AG2977&lt;&gt;"")+(AL2977&lt;&gt;""))</f>
        <v/>
      </c>
      <c r="AP2977" s="82" t="str">
        <f aca="false">IF(AL2977&lt;&gt;"",AL2977,IF(AG2977&lt;&gt;"",AG2977,IF(AA2977&lt;&gt;"",AA2977,"")))</f>
        <v/>
      </c>
      <c r="AQ2977" s="84" t="str">
        <f aca="false">IF(E2977="","",IF(U2977="","À SOUDER",IF(X2977="","VT EN ATTENTE",IF(X2977="R","VT REJETÉ – À REPRENDRE",IF(AP2977="","À RADIOGRAPHIER",IF(AP2977="A","ACCEPTÉ",IF(AP2977="NX","NX – RT À REFAIRE",IF(IF(AO2977=1,AD2977,IF(AO2977=2,AI2977,""))="A","RÉPARÉ – À RADIOGRAPHIER",IF(IF(AO2977=1,AD2977,IF(AO2977=2,AI2977,""))="R","VT REJETÉ – À REPRENDRE",IF(OR(AP2977="CO",AP2977="NT"),"COUPE – À RESOUDER","À RÉPARER"))))))))))</f>
        <v/>
      </c>
      <c r="AR2977" s="82" t="str">
        <f aca="false">IF(AND(ISNUMBER(U2977),OR(AQ2977="À RADIOGRAPHIER",AQ2977="RÉPARÉ – À RADIOGRAPHIER",AQ2977="NX – RT À REFAIRE",AQ2977="À RÉPARER",AQ2977="COUPE – À RESOUDER",AQ2977="VT REJETÉ – À REPRENDRE")),MAX(0,'PROGRAMME RT'!$C$4-U2977),"")</f>
        <v/>
      </c>
      <c r="AS2977" s="82" t="n">
        <f aca="false">IF(AND(OR(AQ2977="À RADIOGRAPHIER",AQ2977="RÉPARÉ – À RADIOGRAPHIER",AQ2977="NX – RT À REFAIRE"),OR('PROGRAMME RT'!$D$5="TOUTES",B2977='PROGRAMME RT'!$D$5)),1,0)</f>
        <v>0</v>
      </c>
      <c r="AT2977" s="82" t="str">
        <f aca="false">IF(AS2977=1,SUM(AS$7:AS2977),"")</f>
        <v/>
      </c>
      <c r="AU2977" s="82" t="n">
        <f aca="false">IF(AND(OR(AA2977="R",AA2977="NX",AA2977="NT",AA2977="CO"),OR('JOINTS DE RÉPARATION'!$D$5="TOUTES",B2977='JOINTS DE RÉPARATION'!$D$5),OR('JOINTS DE RÉPARATION'!$L$4="TOUS",AQ2977&lt;&gt;"ACCEPTÉ")),1,0)</f>
        <v>0</v>
      </c>
      <c r="AV2977" s="82" t="str">
        <f aca="false">IF(AU2977=1,SUM(AU$7:AU2977),"")</f>
        <v/>
      </c>
      <c r="AW2977" s="82" t="str">
        <f aca="false">IF(E2977="","",B2977&amp;"|"&amp;E2977)</f>
        <v/>
      </c>
    </row>
    <row r="2978" customFormat="false" ht="15" hidden="false" customHeight="false" outlineLevel="0" collapsed="false">
      <c r="A2978" s="79" t="str">
        <f aca="false">IF(E2978="","",ROW()-6)</f>
        <v/>
      </c>
      <c r="B2978" s="80"/>
      <c r="C2978" s="81"/>
      <c r="D2978" s="81"/>
      <c r="E2978" s="81"/>
      <c r="F2978" s="82" t="str">
        <f aca="false">IF(E2978="","",IF(LEFT(E2978,2)="DJ","DJ","JN"))</f>
        <v/>
      </c>
      <c r="G2978" s="81"/>
      <c r="H2978" s="81"/>
      <c r="I2978" s="81"/>
      <c r="J2978" s="81"/>
      <c r="K2978" s="81"/>
      <c r="L2978" s="81"/>
      <c r="M2978" s="81"/>
      <c r="N2978" s="81"/>
      <c r="O2978" s="81"/>
      <c r="P2978" s="81"/>
      <c r="Q2978" s="81"/>
      <c r="R2978" s="81"/>
      <c r="S2978" s="81"/>
      <c r="T2978" s="81"/>
      <c r="U2978" s="83"/>
      <c r="V2978" s="83"/>
      <c r="W2978" s="81"/>
      <c r="X2978" s="81"/>
      <c r="Y2978" s="83"/>
      <c r="Z2978" s="81"/>
      <c r="AA2978" s="81"/>
      <c r="AB2978" s="81"/>
      <c r="AC2978" s="81"/>
      <c r="AD2978" s="81"/>
      <c r="AE2978" s="83"/>
      <c r="AF2978" s="81"/>
      <c r="AG2978" s="81"/>
      <c r="AH2978" s="81"/>
      <c r="AI2978" s="81"/>
      <c r="AJ2978" s="83"/>
      <c r="AK2978" s="81"/>
      <c r="AL2978" s="81"/>
      <c r="AM2978" s="83"/>
      <c r="AN2978" s="80"/>
      <c r="AO2978" s="82" t="str">
        <f aca="false">IF(E2978="","",(AA2978&lt;&gt;"")+(AG2978&lt;&gt;"")+(AL2978&lt;&gt;""))</f>
        <v/>
      </c>
      <c r="AP2978" s="82" t="str">
        <f aca="false">IF(AL2978&lt;&gt;"",AL2978,IF(AG2978&lt;&gt;"",AG2978,IF(AA2978&lt;&gt;"",AA2978,"")))</f>
        <v/>
      </c>
      <c r="AQ2978" s="84" t="str">
        <f aca="false">IF(E2978="","",IF(U2978="","À SOUDER",IF(X2978="","VT EN ATTENTE",IF(X2978="R","VT REJETÉ – À REPRENDRE",IF(AP2978="","À RADIOGRAPHIER",IF(AP2978="A","ACCEPTÉ",IF(AP2978="NX","NX – RT À REFAIRE",IF(IF(AO2978=1,AD2978,IF(AO2978=2,AI2978,""))="A","RÉPARÉ – À RADIOGRAPHIER",IF(IF(AO2978=1,AD2978,IF(AO2978=2,AI2978,""))="R","VT REJETÉ – À REPRENDRE",IF(OR(AP2978="CO",AP2978="NT"),"COUPE – À RESOUDER","À RÉPARER"))))))))))</f>
        <v/>
      </c>
      <c r="AR2978" s="82" t="str">
        <f aca="false">IF(AND(ISNUMBER(U2978),OR(AQ2978="À RADIOGRAPHIER",AQ2978="RÉPARÉ – À RADIOGRAPHIER",AQ2978="NX – RT À REFAIRE",AQ2978="À RÉPARER",AQ2978="COUPE – À RESOUDER",AQ2978="VT REJETÉ – À REPRENDRE")),MAX(0,'PROGRAMME RT'!$C$4-U2978),"")</f>
        <v/>
      </c>
      <c r="AS2978" s="82" t="n">
        <f aca="false">IF(AND(OR(AQ2978="À RADIOGRAPHIER",AQ2978="RÉPARÉ – À RADIOGRAPHIER",AQ2978="NX – RT À REFAIRE"),OR('PROGRAMME RT'!$D$5="TOUTES",B2978='PROGRAMME RT'!$D$5)),1,0)</f>
        <v>0</v>
      </c>
      <c r="AT2978" s="82" t="str">
        <f aca="false">IF(AS2978=1,SUM(AS$7:AS2978),"")</f>
        <v/>
      </c>
      <c r="AU2978" s="82" t="n">
        <f aca="false">IF(AND(OR(AA2978="R",AA2978="NX",AA2978="NT",AA2978="CO"),OR('JOINTS DE RÉPARATION'!$D$5="TOUTES",B2978='JOINTS DE RÉPARATION'!$D$5),OR('JOINTS DE RÉPARATION'!$L$4="TOUS",AQ2978&lt;&gt;"ACCEPTÉ")),1,0)</f>
        <v>0</v>
      </c>
      <c r="AV2978" s="82" t="str">
        <f aca="false">IF(AU2978=1,SUM(AU$7:AU2978),"")</f>
        <v/>
      </c>
      <c r="AW2978" s="82" t="str">
        <f aca="false">IF(E2978="","",B2978&amp;"|"&amp;E2978)</f>
        <v/>
      </c>
    </row>
    <row r="2979" customFormat="false" ht="15" hidden="false" customHeight="false" outlineLevel="0" collapsed="false">
      <c r="A2979" s="79" t="str">
        <f aca="false">IF(E2979="","",ROW()-6)</f>
        <v/>
      </c>
      <c r="B2979" s="80"/>
      <c r="C2979" s="81"/>
      <c r="D2979" s="81"/>
      <c r="E2979" s="81"/>
      <c r="F2979" s="82" t="str">
        <f aca="false">IF(E2979="","",IF(LEFT(E2979,2)="DJ","DJ","JN"))</f>
        <v/>
      </c>
      <c r="G2979" s="81"/>
      <c r="H2979" s="81"/>
      <c r="I2979" s="81"/>
      <c r="J2979" s="81"/>
      <c r="K2979" s="81"/>
      <c r="L2979" s="81"/>
      <c r="M2979" s="81"/>
      <c r="N2979" s="81"/>
      <c r="O2979" s="81"/>
      <c r="P2979" s="81"/>
      <c r="Q2979" s="81"/>
      <c r="R2979" s="81"/>
      <c r="S2979" s="81"/>
      <c r="T2979" s="81"/>
      <c r="U2979" s="83"/>
      <c r="V2979" s="83"/>
      <c r="W2979" s="81"/>
      <c r="X2979" s="81"/>
      <c r="Y2979" s="83"/>
      <c r="Z2979" s="81"/>
      <c r="AA2979" s="81"/>
      <c r="AB2979" s="81"/>
      <c r="AC2979" s="81"/>
      <c r="AD2979" s="81"/>
      <c r="AE2979" s="83"/>
      <c r="AF2979" s="81"/>
      <c r="AG2979" s="81"/>
      <c r="AH2979" s="81"/>
      <c r="AI2979" s="81"/>
      <c r="AJ2979" s="83"/>
      <c r="AK2979" s="81"/>
      <c r="AL2979" s="81"/>
      <c r="AM2979" s="83"/>
      <c r="AN2979" s="80"/>
      <c r="AO2979" s="82" t="str">
        <f aca="false">IF(E2979="","",(AA2979&lt;&gt;"")+(AG2979&lt;&gt;"")+(AL2979&lt;&gt;""))</f>
        <v/>
      </c>
      <c r="AP2979" s="82" t="str">
        <f aca="false">IF(AL2979&lt;&gt;"",AL2979,IF(AG2979&lt;&gt;"",AG2979,IF(AA2979&lt;&gt;"",AA2979,"")))</f>
        <v/>
      </c>
      <c r="AQ2979" s="84" t="str">
        <f aca="false">IF(E2979="","",IF(U2979="","À SOUDER",IF(X2979="","VT EN ATTENTE",IF(X2979="R","VT REJETÉ – À REPRENDRE",IF(AP2979="","À RADIOGRAPHIER",IF(AP2979="A","ACCEPTÉ",IF(AP2979="NX","NX – RT À REFAIRE",IF(IF(AO2979=1,AD2979,IF(AO2979=2,AI2979,""))="A","RÉPARÉ – À RADIOGRAPHIER",IF(IF(AO2979=1,AD2979,IF(AO2979=2,AI2979,""))="R","VT REJETÉ – À REPRENDRE",IF(OR(AP2979="CO",AP2979="NT"),"COUPE – À RESOUDER","À RÉPARER"))))))))))</f>
        <v/>
      </c>
      <c r="AR2979" s="82" t="str">
        <f aca="false">IF(AND(ISNUMBER(U2979),OR(AQ2979="À RADIOGRAPHIER",AQ2979="RÉPARÉ – À RADIOGRAPHIER",AQ2979="NX – RT À REFAIRE",AQ2979="À RÉPARER",AQ2979="COUPE – À RESOUDER",AQ2979="VT REJETÉ – À REPRENDRE")),MAX(0,'PROGRAMME RT'!$C$4-U2979),"")</f>
        <v/>
      </c>
      <c r="AS2979" s="82" t="n">
        <f aca="false">IF(AND(OR(AQ2979="À RADIOGRAPHIER",AQ2979="RÉPARÉ – À RADIOGRAPHIER",AQ2979="NX – RT À REFAIRE"),OR('PROGRAMME RT'!$D$5="TOUTES",B2979='PROGRAMME RT'!$D$5)),1,0)</f>
        <v>0</v>
      </c>
      <c r="AT2979" s="82" t="str">
        <f aca="false">IF(AS2979=1,SUM(AS$7:AS2979),"")</f>
        <v/>
      </c>
      <c r="AU2979" s="82" t="n">
        <f aca="false">IF(AND(OR(AA2979="R",AA2979="NX",AA2979="NT",AA2979="CO"),OR('JOINTS DE RÉPARATION'!$D$5="TOUTES",B2979='JOINTS DE RÉPARATION'!$D$5),OR('JOINTS DE RÉPARATION'!$L$4="TOUS",AQ2979&lt;&gt;"ACCEPTÉ")),1,0)</f>
        <v>0</v>
      </c>
      <c r="AV2979" s="82" t="str">
        <f aca="false">IF(AU2979=1,SUM(AU$7:AU2979),"")</f>
        <v/>
      </c>
      <c r="AW2979" s="82" t="str">
        <f aca="false">IF(E2979="","",B2979&amp;"|"&amp;E2979)</f>
        <v/>
      </c>
    </row>
    <row r="2980" customFormat="false" ht="15" hidden="false" customHeight="false" outlineLevel="0" collapsed="false">
      <c r="A2980" s="79" t="str">
        <f aca="false">IF(E2980="","",ROW()-6)</f>
        <v/>
      </c>
      <c r="B2980" s="80"/>
      <c r="C2980" s="81"/>
      <c r="D2980" s="81"/>
      <c r="E2980" s="81"/>
      <c r="F2980" s="82" t="str">
        <f aca="false">IF(E2980="","",IF(LEFT(E2980,2)="DJ","DJ","JN"))</f>
        <v/>
      </c>
      <c r="G2980" s="81"/>
      <c r="H2980" s="81"/>
      <c r="I2980" s="81"/>
      <c r="J2980" s="81"/>
      <c r="K2980" s="81"/>
      <c r="L2980" s="81"/>
      <c r="M2980" s="81"/>
      <c r="N2980" s="81"/>
      <c r="O2980" s="81"/>
      <c r="P2980" s="81"/>
      <c r="Q2980" s="81"/>
      <c r="R2980" s="81"/>
      <c r="S2980" s="81"/>
      <c r="T2980" s="81"/>
      <c r="U2980" s="83"/>
      <c r="V2980" s="83"/>
      <c r="W2980" s="81"/>
      <c r="X2980" s="81"/>
      <c r="Y2980" s="83"/>
      <c r="Z2980" s="81"/>
      <c r="AA2980" s="81"/>
      <c r="AB2980" s="81"/>
      <c r="AC2980" s="81"/>
      <c r="AD2980" s="81"/>
      <c r="AE2980" s="83"/>
      <c r="AF2980" s="81"/>
      <c r="AG2980" s="81"/>
      <c r="AH2980" s="81"/>
      <c r="AI2980" s="81"/>
      <c r="AJ2980" s="83"/>
      <c r="AK2980" s="81"/>
      <c r="AL2980" s="81"/>
      <c r="AM2980" s="83"/>
      <c r="AN2980" s="80"/>
      <c r="AO2980" s="82" t="str">
        <f aca="false">IF(E2980="","",(AA2980&lt;&gt;"")+(AG2980&lt;&gt;"")+(AL2980&lt;&gt;""))</f>
        <v/>
      </c>
      <c r="AP2980" s="82" t="str">
        <f aca="false">IF(AL2980&lt;&gt;"",AL2980,IF(AG2980&lt;&gt;"",AG2980,IF(AA2980&lt;&gt;"",AA2980,"")))</f>
        <v/>
      </c>
      <c r="AQ2980" s="84" t="str">
        <f aca="false">IF(E2980="","",IF(U2980="","À SOUDER",IF(X2980="","VT EN ATTENTE",IF(X2980="R","VT REJETÉ – À REPRENDRE",IF(AP2980="","À RADIOGRAPHIER",IF(AP2980="A","ACCEPTÉ",IF(AP2980="NX","NX – RT À REFAIRE",IF(IF(AO2980=1,AD2980,IF(AO2980=2,AI2980,""))="A","RÉPARÉ – À RADIOGRAPHIER",IF(IF(AO2980=1,AD2980,IF(AO2980=2,AI2980,""))="R","VT REJETÉ – À REPRENDRE",IF(OR(AP2980="CO",AP2980="NT"),"COUPE – À RESOUDER","À RÉPARER"))))))))))</f>
        <v/>
      </c>
      <c r="AR2980" s="82" t="str">
        <f aca="false">IF(AND(ISNUMBER(U2980),OR(AQ2980="À RADIOGRAPHIER",AQ2980="RÉPARÉ – À RADIOGRAPHIER",AQ2980="NX – RT À REFAIRE",AQ2980="À RÉPARER",AQ2980="COUPE – À RESOUDER",AQ2980="VT REJETÉ – À REPRENDRE")),MAX(0,'PROGRAMME RT'!$C$4-U2980),"")</f>
        <v/>
      </c>
      <c r="AS2980" s="82" t="n">
        <f aca="false">IF(AND(OR(AQ2980="À RADIOGRAPHIER",AQ2980="RÉPARÉ – À RADIOGRAPHIER",AQ2980="NX – RT À REFAIRE"),OR('PROGRAMME RT'!$D$5="TOUTES",B2980='PROGRAMME RT'!$D$5)),1,0)</f>
        <v>0</v>
      </c>
      <c r="AT2980" s="82" t="str">
        <f aca="false">IF(AS2980=1,SUM(AS$7:AS2980),"")</f>
        <v/>
      </c>
      <c r="AU2980" s="82" t="n">
        <f aca="false">IF(AND(OR(AA2980="R",AA2980="NX",AA2980="NT",AA2980="CO"),OR('JOINTS DE RÉPARATION'!$D$5="TOUTES",B2980='JOINTS DE RÉPARATION'!$D$5),OR('JOINTS DE RÉPARATION'!$L$4="TOUS",AQ2980&lt;&gt;"ACCEPTÉ")),1,0)</f>
        <v>0</v>
      </c>
      <c r="AV2980" s="82" t="str">
        <f aca="false">IF(AU2980=1,SUM(AU$7:AU2980),"")</f>
        <v/>
      </c>
      <c r="AW2980" s="82" t="str">
        <f aca="false">IF(E2980="","",B2980&amp;"|"&amp;E2980)</f>
        <v/>
      </c>
    </row>
    <row r="2981" customFormat="false" ht="15" hidden="false" customHeight="false" outlineLevel="0" collapsed="false">
      <c r="A2981" s="79" t="str">
        <f aca="false">IF(E2981="","",ROW()-6)</f>
        <v/>
      </c>
      <c r="B2981" s="80"/>
      <c r="C2981" s="81"/>
      <c r="D2981" s="81"/>
      <c r="E2981" s="81"/>
      <c r="F2981" s="82" t="str">
        <f aca="false">IF(E2981="","",IF(LEFT(E2981,2)="DJ","DJ","JN"))</f>
        <v/>
      </c>
      <c r="G2981" s="81"/>
      <c r="H2981" s="81"/>
      <c r="I2981" s="81"/>
      <c r="J2981" s="81"/>
      <c r="K2981" s="81"/>
      <c r="L2981" s="81"/>
      <c r="M2981" s="81"/>
      <c r="N2981" s="81"/>
      <c r="O2981" s="81"/>
      <c r="P2981" s="81"/>
      <c r="Q2981" s="81"/>
      <c r="R2981" s="81"/>
      <c r="S2981" s="81"/>
      <c r="T2981" s="81"/>
      <c r="U2981" s="83"/>
      <c r="V2981" s="83"/>
      <c r="W2981" s="81"/>
      <c r="X2981" s="81"/>
      <c r="Y2981" s="83"/>
      <c r="Z2981" s="81"/>
      <c r="AA2981" s="81"/>
      <c r="AB2981" s="81"/>
      <c r="AC2981" s="81"/>
      <c r="AD2981" s="81"/>
      <c r="AE2981" s="83"/>
      <c r="AF2981" s="81"/>
      <c r="AG2981" s="81"/>
      <c r="AH2981" s="81"/>
      <c r="AI2981" s="81"/>
      <c r="AJ2981" s="83"/>
      <c r="AK2981" s="81"/>
      <c r="AL2981" s="81"/>
      <c r="AM2981" s="83"/>
      <c r="AN2981" s="80"/>
      <c r="AO2981" s="82" t="str">
        <f aca="false">IF(E2981="","",(AA2981&lt;&gt;"")+(AG2981&lt;&gt;"")+(AL2981&lt;&gt;""))</f>
        <v/>
      </c>
      <c r="AP2981" s="82" t="str">
        <f aca="false">IF(AL2981&lt;&gt;"",AL2981,IF(AG2981&lt;&gt;"",AG2981,IF(AA2981&lt;&gt;"",AA2981,"")))</f>
        <v/>
      </c>
      <c r="AQ2981" s="84" t="str">
        <f aca="false">IF(E2981="","",IF(U2981="","À SOUDER",IF(X2981="","VT EN ATTENTE",IF(X2981="R","VT REJETÉ – À REPRENDRE",IF(AP2981="","À RADIOGRAPHIER",IF(AP2981="A","ACCEPTÉ",IF(AP2981="NX","NX – RT À REFAIRE",IF(IF(AO2981=1,AD2981,IF(AO2981=2,AI2981,""))="A","RÉPARÉ – À RADIOGRAPHIER",IF(IF(AO2981=1,AD2981,IF(AO2981=2,AI2981,""))="R","VT REJETÉ – À REPRENDRE",IF(OR(AP2981="CO",AP2981="NT"),"COUPE – À RESOUDER","À RÉPARER"))))))))))</f>
        <v/>
      </c>
      <c r="AR2981" s="82" t="str">
        <f aca="false">IF(AND(ISNUMBER(U2981),OR(AQ2981="À RADIOGRAPHIER",AQ2981="RÉPARÉ – À RADIOGRAPHIER",AQ2981="NX – RT À REFAIRE",AQ2981="À RÉPARER",AQ2981="COUPE – À RESOUDER",AQ2981="VT REJETÉ – À REPRENDRE")),MAX(0,'PROGRAMME RT'!$C$4-U2981),"")</f>
        <v/>
      </c>
      <c r="AS2981" s="82" t="n">
        <f aca="false">IF(AND(OR(AQ2981="À RADIOGRAPHIER",AQ2981="RÉPARÉ – À RADIOGRAPHIER",AQ2981="NX – RT À REFAIRE"),OR('PROGRAMME RT'!$D$5="TOUTES",B2981='PROGRAMME RT'!$D$5)),1,0)</f>
        <v>0</v>
      </c>
      <c r="AT2981" s="82" t="str">
        <f aca="false">IF(AS2981=1,SUM(AS$7:AS2981),"")</f>
        <v/>
      </c>
      <c r="AU2981" s="82" t="n">
        <f aca="false">IF(AND(OR(AA2981="R",AA2981="NX",AA2981="NT",AA2981="CO"),OR('JOINTS DE RÉPARATION'!$D$5="TOUTES",B2981='JOINTS DE RÉPARATION'!$D$5),OR('JOINTS DE RÉPARATION'!$L$4="TOUS",AQ2981&lt;&gt;"ACCEPTÉ")),1,0)</f>
        <v>0</v>
      </c>
      <c r="AV2981" s="82" t="str">
        <f aca="false">IF(AU2981=1,SUM(AU$7:AU2981),"")</f>
        <v/>
      </c>
      <c r="AW2981" s="82" t="str">
        <f aca="false">IF(E2981="","",B2981&amp;"|"&amp;E2981)</f>
        <v/>
      </c>
    </row>
    <row r="2982" customFormat="false" ht="15" hidden="false" customHeight="false" outlineLevel="0" collapsed="false">
      <c r="A2982" s="79" t="str">
        <f aca="false">IF(E2982="","",ROW()-6)</f>
        <v/>
      </c>
      <c r="B2982" s="80"/>
      <c r="C2982" s="81"/>
      <c r="D2982" s="81"/>
      <c r="E2982" s="81"/>
      <c r="F2982" s="82" t="str">
        <f aca="false">IF(E2982="","",IF(LEFT(E2982,2)="DJ","DJ","JN"))</f>
        <v/>
      </c>
      <c r="G2982" s="81"/>
      <c r="H2982" s="81"/>
      <c r="I2982" s="81"/>
      <c r="J2982" s="81"/>
      <c r="K2982" s="81"/>
      <c r="L2982" s="81"/>
      <c r="M2982" s="81"/>
      <c r="N2982" s="81"/>
      <c r="O2982" s="81"/>
      <c r="P2982" s="81"/>
      <c r="Q2982" s="81"/>
      <c r="R2982" s="81"/>
      <c r="S2982" s="81"/>
      <c r="T2982" s="81"/>
      <c r="U2982" s="83"/>
      <c r="V2982" s="83"/>
      <c r="W2982" s="81"/>
      <c r="X2982" s="81"/>
      <c r="Y2982" s="83"/>
      <c r="Z2982" s="81"/>
      <c r="AA2982" s="81"/>
      <c r="AB2982" s="81"/>
      <c r="AC2982" s="81"/>
      <c r="AD2982" s="81"/>
      <c r="AE2982" s="83"/>
      <c r="AF2982" s="81"/>
      <c r="AG2982" s="81"/>
      <c r="AH2982" s="81"/>
      <c r="AI2982" s="81"/>
      <c r="AJ2982" s="83"/>
      <c r="AK2982" s="81"/>
      <c r="AL2982" s="81"/>
      <c r="AM2982" s="83"/>
      <c r="AN2982" s="80"/>
      <c r="AO2982" s="82" t="str">
        <f aca="false">IF(E2982="","",(AA2982&lt;&gt;"")+(AG2982&lt;&gt;"")+(AL2982&lt;&gt;""))</f>
        <v/>
      </c>
      <c r="AP2982" s="82" t="str">
        <f aca="false">IF(AL2982&lt;&gt;"",AL2982,IF(AG2982&lt;&gt;"",AG2982,IF(AA2982&lt;&gt;"",AA2982,"")))</f>
        <v/>
      </c>
      <c r="AQ2982" s="84" t="str">
        <f aca="false">IF(E2982="","",IF(U2982="","À SOUDER",IF(X2982="","VT EN ATTENTE",IF(X2982="R","VT REJETÉ – À REPRENDRE",IF(AP2982="","À RADIOGRAPHIER",IF(AP2982="A","ACCEPTÉ",IF(AP2982="NX","NX – RT À REFAIRE",IF(IF(AO2982=1,AD2982,IF(AO2982=2,AI2982,""))="A","RÉPARÉ – À RADIOGRAPHIER",IF(IF(AO2982=1,AD2982,IF(AO2982=2,AI2982,""))="R","VT REJETÉ – À REPRENDRE",IF(OR(AP2982="CO",AP2982="NT"),"COUPE – À RESOUDER","À RÉPARER"))))))))))</f>
        <v/>
      </c>
      <c r="AR2982" s="82" t="str">
        <f aca="false">IF(AND(ISNUMBER(U2982),OR(AQ2982="À RADIOGRAPHIER",AQ2982="RÉPARÉ – À RADIOGRAPHIER",AQ2982="NX – RT À REFAIRE",AQ2982="À RÉPARER",AQ2982="COUPE – À RESOUDER",AQ2982="VT REJETÉ – À REPRENDRE")),MAX(0,'PROGRAMME RT'!$C$4-U2982),"")</f>
        <v/>
      </c>
      <c r="AS2982" s="82" t="n">
        <f aca="false">IF(AND(OR(AQ2982="À RADIOGRAPHIER",AQ2982="RÉPARÉ – À RADIOGRAPHIER",AQ2982="NX – RT À REFAIRE"),OR('PROGRAMME RT'!$D$5="TOUTES",B2982='PROGRAMME RT'!$D$5)),1,0)</f>
        <v>0</v>
      </c>
      <c r="AT2982" s="82" t="str">
        <f aca="false">IF(AS2982=1,SUM(AS$7:AS2982),"")</f>
        <v/>
      </c>
      <c r="AU2982" s="82" t="n">
        <f aca="false">IF(AND(OR(AA2982="R",AA2982="NX",AA2982="NT",AA2982="CO"),OR('JOINTS DE RÉPARATION'!$D$5="TOUTES",B2982='JOINTS DE RÉPARATION'!$D$5),OR('JOINTS DE RÉPARATION'!$L$4="TOUS",AQ2982&lt;&gt;"ACCEPTÉ")),1,0)</f>
        <v>0</v>
      </c>
      <c r="AV2982" s="82" t="str">
        <f aca="false">IF(AU2982=1,SUM(AU$7:AU2982),"")</f>
        <v/>
      </c>
      <c r="AW2982" s="82" t="str">
        <f aca="false">IF(E2982="","",B2982&amp;"|"&amp;E2982)</f>
        <v/>
      </c>
    </row>
    <row r="2983" customFormat="false" ht="15" hidden="false" customHeight="false" outlineLevel="0" collapsed="false">
      <c r="A2983" s="79" t="str">
        <f aca="false">IF(E2983="","",ROW()-6)</f>
        <v/>
      </c>
      <c r="B2983" s="80"/>
      <c r="C2983" s="81"/>
      <c r="D2983" s="81"/>
      <c r="E2983" s="81"/>
      <c r="F2983" s="82" t="str">
        <f aca="false">IF(E2983="","",IF(LEFT(E2983,2)="DJ","DJ","JN"))</f>
        <v/>
      </c>
      <c r="G2983" s="81"/>
      <c r="H2983" s="81"/>
      <c r="I2983" s="81"/>
      <c r="J2983" s="81"/>
      <c r="K2983" s="81"/>
      <c r="L2983" s="81"/>
      <c r="M2983" s="81"/>
      <c r="N2983" s="81"/>
      <c r="O2983" s="81"/>
      <c r="P2983" s="81"/>
      <c r="Q2983" s="81"/>
      <c r="R2983" s="81"/>
      <c r="S2983" s="81"/>
      <c r="T2983" s="81"/>
      <c r="U2983" s="83"/>
      <c r="V2983" s="83"/>
      <c r="W2983" s="81"/>
      <c r="X2983" s="81"/>
      <c r="Y2983" s="83"/>
      <c r="Z2983" s="81"/>
      <c r="AA2983" s="81"/>
      <c r="AB2983" s="81"/>
      <c r="AC2983" s="81"/>
      <c r="AD2983" s="81"/>
      <c r="AE2983" s="83"/>
      <c r="AF2983" s="81"/>
      <c r="AG2983" s="81"/>
      <c r="AH2983" s="81"/>
      <c r="AI2983" s="81"/>
      <c r="AJ2983" s="83"/>
      <c r="AK2983" s="81"/>
      <c r="AL2983" s="81"/>
      <c r="AM2983" s="83"/>
      <c r="AN2983" s="80"/>
      <c r="AO2983" s="82" t="str">
        <f aca="false">IF(E2983="","",(AA2983&lt;&gt;"")+(AG2983&lt;&gt;"")+(AL2983&lt;&gt;""))</f>
        <v/>
      </c>
      <c r="AP2983" s="82" t="str">
        <f aca="false">IF(AL2983&lt;&gt;"",AL2983,IF(AG2983&lt;&gt;"",AG2983,IF(AA2983&lt;&gt;"",AA2983,"")))</f>
        <v/>
      </c>
      <c r="AQ2983" s="84" t="str">
        <f aca="false">IF(E2983="","",IF(U2983="","À SOUDER",IF(X2983="","VT EN ATTENTE",IF(X2983="R","VT REJETÉ – À REPRENDRE",IF(AP2983="","À RADIOGRAPHIER",IF(AP2983="A","ACCEPTÉ",IF(AP2983="NX","NX – RT À REFAIRE",IF(IF(AO2983=1,AD2983,IF(AO2983=2,AI2983,""))="A","RÉPARÉ – À RADIOGRAPHIER",IF(IF(AO2983=1,AD2983,IF(AO2983=2,AI2983,""))="R","VT REJETÉ – À REPRENDRE",IF(OR(AP2983="CO",AP2983="NT"),"COUPE – À RESOUDER","À RÉPARER"))))))))))</f>
        <v/>
      </c>
      <c r="AR2983" s="82" t="str">
        <f aca="false">IF(AND(ISNUMBER(U2983),OR(AQ2983="À RADIOGRAPHIER",AQ2983="RÉPARÉ – À RADIOGRAPHIER",AQ2983="NX – RT À REFAIRE",AQ2983="À RÉPARER",AQ2983="COUPE – À RESOUDER",AQ2983="VT REJETÉ – À REPRENDRE")),MAX(0,'PROGRAMME RT'!$C$4-U2983),"")</f>
        <v/>
      </c>
      <c r="AS2983" s="82" t="n">
        <f aca="false">IF(AND(OR(AQ2983="À RADIOGRAPHIER",AQ2983="RÉPARÉ – À RADIOGRAPHIER",AQ2983="NX – RT À REFAIRE"),OR('PROGRAMME RT'!$D$5="TOUTES",B2983='PROGRAMME RT'!$D$5)),1,0)</f>
        <v>0</v>
      </c>
      <c r="AT2983" s="82" t="str">
        <f aca="false">IF(AS2983=1,SUM(AS$7:AS2983),"")</f>
        <v/>
      </c>
      <c r="AU2983" s="82" t="n">
        <f aca="false">IF(AND(OR(AA2983="R",AA2983="NX",AA2983="NT",AA2983="CO"),OR('JOINTS DE RÉPARATION'!$D$5="TOUTES",B2983='JOINTS DE RÉPARATION'!$D$5),OR('JOINTS DE RÉPARATION'!$L$4="TOUS",AQ2983&lt;&gt;"ACCEPTÉ")),1,0)</f>
        <v>0</v>
      </c>
      <c r="AV2983" s="82" t="str">
        <f aca="false">IF(AU2983=1,SUM(AU$7:AU2983),"")</f>
        <v/>
      </c>
      <c r="AW2983" s="82" t="str">
        <f aca="false">IF(E2983="","",B2983&amp;"|"&amp;E2983)</f>
        <v/>
      </c>
    </row>
    <row r="2984" customFormat="false" ht="15" hidden="false" customHeight="false" outlineLevel="0" collapsed="false">
      <c r="A2984" s="79" t="str">
        <f aca="false">IF(E2984="","",ROW()-6)</f>
        <v/>
      </c>
      <c r="B2984" s="80"/>
      <c r="C2984" s="81"/>
      <c r="D2984" s="81"/>
      <c r="E2984" s="81"/>
      <c r="F2984" s="82" t="str">
        <f aca="false">IF(E2984="","",IF(LEFT(E2984,2)="DJ","DJ","JN"))</f>
        <v/>
      </c>
      <c r="G2984" s="81"/>
      <c r="H2984" s="81"/>
      <c r="I2984" s="81"/>
      <c r="J2984" s="81"/>
      <c r="K2984" s="81"/>
      <c r="L2984" s="81"/>
      <c r="M2984" s="81"/>
      <c r="N2984" s="81"/>
      <c r="O2984" s="81"/>
      <c r="P2984" s="81"/>
      <c r="Q2984" s="81"/>
      <c r="R2984" s="81"/>
      <c r="S2984" s="81"/>
      <c r="T2984" s="81"/>
      <c r="U2984" s="83"/>
      <c r="V2984" s="83"/>
      <c r="W2984" s="81"/>
      <c r="X2984" s="81"/>
      <c r="Y2984" s="83"/>
      <c r="Z2984" s="81"/>
      <c r="AA2984" s="81"/>
      <c r="AB2984" s="81"/>
      <c r="AC2984" s="81"/>
      <c r="AD2984" s="81"/>
      <c r="AE2984" s="83"/>
      <c r="AF2984" s="81"/>
      <c r="AG2984" s="81"/>
      <c r="AH2984" s="81"/>
      <c r="AI2984" s="81"/>
      <c r="AJ2984" s="83"/>
      <c r="AK2984" s="81"/>
      <c r="AL2984" s="81"/>
      <c r="AM2984" s="83"/>
      <c r="AN2984" s="80"/>
      <c r="AO2984" s="82" t="str">
        <f aca="false">IF(E2984="","",(AA2984&lt;&gt;"")+(AG2984&lt;&gt;"")+(AL2984&lt;&gt;""))</f>
        <v/>
      </c>
      <c r="AP2984" s="82" t="str">
        <f aca="false">IF(AL2984&lt;&gt;"",AL2984,IF(AG2984&lt;&gt;"",AG2984,IF(AA2984&lt;&gt;"",AA2984,"")))</f>
        <v/>
      </c>
      <c r="AQ2984" s="84" t="str">
        <f aca="false">IF(E2984="","",IF(U2984="","À SOUDER",IF(X2984="","VT EN ATTENTE",IF(X2984="R","VT REJETÉ – À REPRENDRE",IF(AP2984="","À RADIOGRAPHIER",IF(AP2984="A","ACCEPTÉ",IF(AP2984="NX","NX – RT À REFAIRE",IF(IF(AO2984=1,AD2984,IF(AO2984=2,AI2984,""))="A","RÉPARÉ – À RADIOGRAPHIER",IF(IF(AO2984=1,AD2984,IF(AO2984=2,AI2984,""))="R","VT REJETÉ – À REPRENDRE",IF(OR(AP2984="CO",AP2984="NT"),"COUPE – À RESOUDER","À RÉPARER"))))))))))</f>
        <v/>
      </c>
      <c r="AR2984" s="82" t="str">
        <f aca="false">IF(AND(ISNUMBER(U2984),OR(AQ2984="À RADIOGRAPHIER",AQ2984="RÉPARÉ – À RADIOGRAPHIER",AQ2984="NX – RT À REFAIRE",AQ2984="À RÉPARER",AQ2984="COUPE – À RESOUDER",AQ2984="VT REJETÉ – À REPRENDRE")),MAX(0,'PROGRAMME RT'!$C$4-U2984),"")</f>
        <v/>
      </c>
      <c r="AS2984" s="82" t="n">
        <f aca="false">IF(AND(OR(AQ2984="À RADIOGRAPHIER",AQ2984="RÉPARÉ – À RADIOGRAPHIER",AQ2984="NX – RT À REFAIRE"),OR('PROGRAMME RT'!$D$5="TOUTES",B2984='PROGRAMME RT'!$D$5)),1,0)</f>
        <v>0</v>
      </c>
      <c r="AT2984" s="82" t="str">
        <f aca="false">IF(AS2984=1,SUM(AS$7:AS2984),"")</f>
        <v/>
      </c>
      <c r="AU2984" s="82" t="n">
        <f aca="false">IF(AND(OR(AA2984="R",AA2984="NX",AA2984="NT",AA2984="CO"),OR('JOINTS DE RÉPARATION'!$D$5="TOUTES",B2984='JOINTS DE RÉPARATION'!$D$5),OR('JOINTS DE RÉPARATION'!$L$4="TOUS",AQ2984&lt;&gt;"ACCEPTÉ")),1,0)</f>
        <v>0</v>
      </c>
      <c r="AV2984" s="82" t="str">
        <f aca="false">IF(AU2984=1,SUM(AU$7:AU2984),"")</f>
        <v/>
      </c>
      <c r="AW2984" s="82" t="str">
        <f aca="false">IF(E2984="","",B2984&amp;"|"&amp;E2984)</f>
        <v/>
      </c>
    </row>
    <row r="2985" customFormat="false" ht="15" hidden="false" customHeight="false" outlineLevel="0" collapsed="false">
      <c r="A2985" s="79" t="str">
        <f aca="false">IF(E2985="","",ROW()-6)</f>
        <v/>
      </c>
      <c r="B2985" s="80"/>
      <c r="C2985" s="81"/>
      <c r="D2985" s="81"/>
      <c r="E2985" s="81"/>
      <c r="F2985" s="82" t="str">
        <f aca="false">IF(E2985="","",IF(LEFT(E2985,2)="DJ","DJ","JN"))</f>
        <v/>
      </c>
      <c r="G2985" s="81"/>
      <c r="H2985" s="81"/>
      <c r="I2985" s="81"/>
      <c r="J2985" s="81"/>
      <c r="K2985" s="81"/>
      <c r="L2985" s="81"/>
      <c r="M2985" s="81"/>
      <c r="N2985" s="81"/>
      <c r="O2985" s="81"/>
      <c r="P2985" s="81"/>
      <c r="Q2985" s="81"/>
      <c r="R2985" s="81"/>
      <c r="S2985" s="81"/>
      <c r="T2985" s="81"/>
      <c r="U2985" s="83"/>
      <c r="V2985" s="83"/>
      <c r="W2985" s="81"/>
      <c r="X2985" s="81"/>
      <c r="Y2985" s="83"/>
      <c r="Z2985" s="81"/>
      <c r="AA2985" s="81"/>
      <c r="AB2985" s="81"/>
      <c r="AC2985" s="81"/>
      <c r="AD2985" s="81"/>
      <c r="AE2985" s="83"/>
      <c r="AF2985" s="81"/>
      <c r="AG2985" s="81"/>
      <c r="AH2985" s="81"/>
      <c r="AI2985" s="81"/>
      <c r="AJ2985" s="83"/>
      <c r="AK2985" s="81"/>
      <c r="AL2985" s="81"/>
      <c r="AM2985" s="83"/>
      <c r="AN2985" s="80"/>
      <c r="AO2985" s="82" t="str">
        <f aca="false">IF(E2985="","",(AA2985&lt;&gt;"")+(AG2985&lt;&gt;"")+(AL2985&lt;&gt;""))</f>
        <v/>
      </c>
      <c r="AP2985" s="82" t="str">
        <f aca="false">IF(AL2985&lt;&gt;"",AL2985,IF(AG2985&lt;&gt;"",AG2985,IF(AA2985&lt;&gt;"",AA2985,"")))</f>
        <v/>
      </c>
      <c r="AQ2985" s="84" t="str">
        <f aca="false">IF(E2985="","",IF(U2985="","À SOUDER",IF(X2985="","VT EN ATTENTE",IF(X2985="R","VT REJETÉ – À REPRENDRE",IF(AP2985="","À RADIOGRAPHIER",IF(AP2985="A","ACCEPTÉ",IF(AP2985="NX","NX – RT À REFAIRE",IF(IF(AO2985=1,AD2985,IF(AO2985=2,AI2985,""))="A","RÉPARÉ – À RADIOGRAPHIER",IF(IF(AO2985=1,AD2985,IF(AO2985=2,AI2985,""))="R","VT REJETÉ – À REPRENDRE",IF(OR(AP2985="CO",AP2985="NT"),"COUPE – À RESOUDER","À RÉPARER"))))))))))</f>
        <v/>
      </c>
      <c r="AR2985" s="82" t="str">
        <f aca="false">IF(AND(ISNUMBER(U2985),OR(AQ2985="À RADIOGRAPHIER",AQ2985="RÉPARÉ – À RADIOGRAPHIER",AQ2985="NX – RT À REFAIRE",AQ2985="À RÉPARER",AQ2985="COUPE – À RESOUDER",AQ2985="VT REJETÉ – À REPRENDRE")),MAX(0,'PROGRAMME RT'!$C$4-U2985),"")</f>
        <v/>
      </c>
      <c r="AS2985" s="82" t="n">
        <f aca="false">IF(AND(OR(AQ2985="À RADIOGRAPHIER",AQ2985="RÉPARÉ – À RADIOGRAPHIER",AQ2985="NX – RT À REFAIRE"),OR('PROGRAMME RT'!$D$5="TOUTES",B2985='PROGRAMME RT'!$D$5)),1,0)</f>
        <v>0</v>
      </c>
      <c r="AT2985" s="82" t="str">
        <f aca="false">IF(AS2985=1,SUM(AS$7:AS2985),"")</f>
        <v/>
      </c>
      <c r="AU2985" s="82" t="n">
        <f aca="false">IF(AND(OR(AA2985="R",AA2985="NX",AA2985="NT",AA2985="CO"),OR('JOINTS DE RÉPARATION'!$D$5="TOUTES",B2985='JOINTS DE RÉPARATION'!$D$5),OR('JOINTS DE RÉPARATION'!$L$4="TOUS",AQ2985&lt;&gt;"ACCEPTÉ")),1,0)</f>
        <v>0</v>
      </c>
      <c r="AV2985" s="82" t="str">
        <f aca="false">IF(AU2985=1,SUM(AU$7:AU2985),"")</f>
        <v/>
      </c>
      <c r="AW2985" s="82" t="str">
        <f aca="false">IF(E2985="","",B2985&amp;"|"&amp;E2985)</f>
        <v/>
      </c>
    </row>
    <row r="2986" customFormat="false" ht="15" hidden="false" customHeight="false" outlineLevel="0" collapsed="false">
      <c r="A2986" s="79" t="str">
        <f aca="false">IF(E2986="","",ROW()-6)</f>
        <v/>
      </c>
      <c r="B2986" s="80"/>
      <c r="C2986" s="81"/>
      <c r="D2986" s="81"/>
      <c r="E2986" s="81"/>
      <c r="F2986" s="82" t="str">
        <f aca="false">IF(E2986="","",IF(LEFT(E2986,2)="DJ","DJ","JN"))</f>
        <v/>
      </c>
      <c r="G2986" s="81"/>
      <c r="H2986" s="81"/>
      <c r="I2986" s="81"/>
      <c r="J2986" s="81"/>
      <c r="K2986" s="81"/>
      <c r="L2986" s="81"/>
      <c r="M2986" s="81"/>
      <c r="N2986" s="81"/>
      <c r="O2986" s="81"/>
      <c r="P2986" s="81"/>
      <c r="Q2986" s="81"/>
      <c r="R2986" s="81"/>
      <c r="S2986" s="81"/>
      <c r="T2986" s="81"/>
      <c r="U2986" s="83"/>
      <c r="V2986" s="83"/>
      <c r="W2986" s="81"/>
      <c r="X2986" s="81"/>
      <c r="Y2986" s="83"/>
      <c r="Z2986" s="81"/>
      <c r="AA2986" s="81"/>
      <c r="AB2986" s="81"/>
      <c r="AC2986" s="81"/>
      <c r="AD2986" s="81"/>
      <c r="AE2986" s="83"/>
      <c r="AF2986" s="81"/>
      <c r="AG2986" s="81"/>
      <c r="AH2986" s="81"/>
      <c r="AI2986" s="81"/>
      <c r="AJ2986" s="83"/>
      <c r="AK2986" s="81"/>
      <c r="AL2986" s="81"/>
      <c r="AM2986" s="83"/>
      <c r="AN2986" s="80"/>
      <c r="AO2986" s="82" t="str">
        <f aca="false">IF(E2986="","",(AA2986&lt;&gt;"")+(AG2986&lt;&gt;"")+(AL2986&lt;&gt;""))</f>
        <v/>
      </c>
      <c r="AP2986" s="82" t="str">
        <f aca="false">IF(AL2986&lt;&gt;"",AL2986,IF(AG2986&lt;&gt;"",AG2986,IF(AA2986&lt;&gt;"",AA2986,"")))</f>
        <v/>
      </c>
      <c r="AQ2986" s="84" t="str">
        <f aca="false">IF(E2986="","",IF(U2986="","À SOUDER",IF(X2986="","VT EN ATTENTE",IF(X2986="R","VT REJETÉ – À REPRENDRE",IF(AP2986="","À RADIOGRAPHIER",IF(AP2986="A","ACCEPTÉ",IF(AP2986="NX","NX – RT À REFAIRE",IF(IF(AO2986=1,AD2986,IF(AO2986=2,AI2986,""))="A","RÉPARÉ – À RADIOGRAPHIER",IF(IF(AO2986=1,AD2986,IF(AO2986=2,AI2986,""))="R","VT REJETÉ – À REPRENDRE",IF(OR(AP2986="CO",AP2986="NT"),"COUPE – À RESOUDER","À RÉPARER"))))))))))</f>
        <v/>
      </c>
      <c r="AR2986" s="82" t="str">
        <f aca="false">IF(AND(ISNUMBER(U2986),OR(AQ2986="À RADIOGRAPHIER",AQ2986="RÉPARÉ – À RADIOGRAPHIER",AQ2986="NX – RT À REFAIRE",AQ2986="À RÉPARER",AQ2986="COUPE – À RESOUDER",AQ2986="VT REJETÉ – À REPRENDRE")),MAX(0,'PROGRAMME RT'!$C$4-U2986),"")</f>
        <v/>
      </c>
      <c r="AS2986" s="82" t="n">
        <f aca="false">IF(AND(OR(AQ2986="À RADIOGRAPHIER",AQ2986="RÉPARÉ – À RADIOGRAPHIER",AQ2986="NX – RT À REFAIRE"),OR('PROGRAMME RT'!$D$5="TOUTES",B2986='PROGRAMME RT'!$D$5)),1,0)</f>
        <v>0</v>
      </c>
      <c r="AT2986" s="82" t="str">
        <f aca="false">IF(AS2986=1,SUM(AS$7:AS2986),"")</f>
        <v/>
      </c>
      <c r="AU2986" s="82" t="n">
        <f aca="false">IF(AND(OR(AA2986="R",AA2986="NX",AA2986="NT",AA2986="CO"),OR('JOINTS DE RÉPARATION'!$D$5="TOUTES",B2986='JOINTS DE RÉPARATION'!$D$5),OR('JOINTS DE RÉPARATION'!$L$4="TOUS",AQ2986&lt;&gt;"ACCEPTÉ")),1,0)</f>
        <v>0</v>
      </c>
      <c r="AV2986" s="82" t="str">
        <f aca="false">IF(AU2986=1,SUM(AU$7:AU2986),"")</f>
        <v/>
      </c>
      <c r="AW2986" s="82" t="str">
        <f aca="false">IF(E2986="","",B2986&amp;"|"&amp;E2986)</f>
        <v/>
      </c>
    </row>
    <row r="2987" customFormat="false" ht="15" hidden="false" customHeight="false" outlineLevel="0" collapsed="false">
      <c r="A2987" s="79" t="str">
        <f aca="false">IF(E2987="","",ROW()-6)</f>
        <v/>
      </c>
      <c r="B2987" s="80"/>
      <c r="C2987" s="81"/>
      <c r="D2987" s="81"/>
      <c r="E2987" s="81"/>
      <c r="F2987" s="82" t="str">
        <f aca="false">IF(E2987="","",IF(LEFT(E2987,2)="DJ","DJ","JN"))</f>
        <v/>
      </c>
      <c r="G2987" s="81"/>
      <c r="H2987" s="81"/>
      <c r="I2987" s="81"/>
      <c r="J2987" s="81"/>
      <c r="K2987" s="81"/>
      <c r="L2987" s="81"/>
      <c r="M2987" s="81"/>
      <c r="N2987" s="81"/>
      <c r="O2987" s="81"/>
      <c r="P2987" s="81"/>
      <c r="Q2987" s="81"/>
      <c r="R2987" s="81"/>
      <c r="S2987" s="81"/>
      <c r="T2987" s="81"/>
      <c r="U2987" s="83"/>
      <c r="V2987" s="83"/>
      <c r="W2987" s="81"/>
      <c r="X2987" s="81"/>
      <c r="Y2987" s="83"/>
      <c r="Z2987" s="81"/>
      <c r="AA2987" s="81"/>
      <c r="AB2987" s="81"/>
      <c r="AC2987" s="81"/>
      <c r="AD2987" s="81"/>
      <c r="AE2987" s="83"/>
      <c r="AF2987" s="81"/>
      <c r="AG2987" s="81"/>
      <c r="AH2987" s="81"/>
      <c r="AI2987" s="81"/>
      <c r="AJ2987" s="83"/>
      <c r="AK2987" s="81"/>
      <c r="AL2987" s="81"/>
      <c r="AM2987" s="83"/>
      <c r="AN2987" s="80"/>
      <c r="AO2987" s="82" t="str">
        <f aca="false">IF(E2987="","",(AA2987&lt;&gt;"")+(AG2987&lt;&gt;"")+(AL2987&lt;&gt;""))</f>
        <v/>
      </c>
      <c r="AP2987" s="82" t="str">
        <f aca="false">IF(AL2987&lt;&gt;"",AL2987,IF(AG2987&lt;&gt;"",AG2987,IF(AA2987&lt;&gt;"",AA2987,"")))</f>
        <v/>
      </c>
      <c r="AQ2987" s="84" t="str">
        <f aca="false">IF(E2987="","",IF(U2987="","À SOUDER",IF(X2987="","VT EN ATTENTE",IF(X2987="R","VT REJETÉ – À REPRENDRE",IF(AP2987="","À RADIOGRAPHIER",IF(AP2987="A","ACCEPTÉ",IF(AP2987="NX","NX – RT À REFAIRE",IF(IF(AO2987=1,AD2987,IF(AO2987=2,AI2987,""))="A","RÉPARÉ – À RADIOGRAPHIER",IF(IF(AO2987=1,AD2987,IF(AO2987=2,AI2987,""))="R","VT REJETÉ – À REPRENDRE",IF(OR(AP2987="CO",AP2987="NT"),"COUPE – À RESOUDER","À RÉPARER"))))))))))</f>
        <v/>
      </c>
      <c r="AR2987" s="82" t="str">
        <f aca="false">IF(AND(ISNUMBER(U2987),OR(AQ2987="À RADIOGRAPHIER",AQ2987="RÉPARÉ – À RADIOGRAPHIER",AQ2987="NX – RT À REFAIRE",AQ2987="À RÉPARER",AQ2987="COUPE – À RESOUDER",AQ2987="VT REJETÉ – À REPRENDRE")),MAX(0,'PROGRAMME RT'!$C$4-U2987),"")</f>
        <v/>
      </c>
      <c r="AS2987" s="82" t="n">
        <f aca="false">IF(AND(OR(AQ2987="À RADIOGRAPHIER",AQ2987="RÉPARÉ – À RADIOGRAPHIER",AQ2987="NX – RT À REFAIRE"),OR('PROGRAMME RT'!$D$5="TOUTES",B2987='PROGRAMME RT'!$D$5)),1,0)</f>
        <v>0</v>
      </c>
      <c r="AT2987" s="82" t="str">
        <f aca="false">IF(AS2987=1,SUM(AS$7:AS2987),"")</f>
        <v/>
      </c>
      <c r="AU2987" s="82" t="n">
        <f aca="false">IF(AND(OR(AA2987="R",AA2987="NX",AA2987="NT",AA2987="CO"),OR('JOINTS DE RÉPARATION'!$D$5="TOUTES",B2987='JOINTS DE RÉPARATION'!$D$5),OR('JOINTS DE RÉPARATION'!$L$4="TOUS",AQ2987&lt;&gt;"ACCEPTÉ")),1,0)</f>
        <v>0</v>
      </c>
      <c r="AV2987" s="82" t="str">
        <f aca="false">IF(AU2987=1,SUM(AU$7:AU2987),"")</f>
        <v/>
      </c>
      <c r="AW2987" s="82" t="str">
        <f aca="false">IF(E2987="","",B2987&amp;"|"&amp;E2987)</f>
        <v/>
      </c>
    </row>
    <row r="2988" customFormat="false" ht="15" hidden="false" customHeight="false" outlineLevel="0" collapsed="false">
      <c r="A2988" s="79" t="str">
        <f aca="false">IF(E2988="","",ROW()-6)</f>
        <v/>
      </c>
      <c r="B2988" s="80"/>
      <c r="C2988" s="81"/>
      <c r="D2988" s="81"/>
      <c r="E2988" s="81"/>
      <c r="F2988" s="82" t="str">
        <f aca="false">IF(E2988="","",IF(LEFT(E2988,2)="DJ","DJ","JN"))</f>
        <v/>
      </c>
      <c r="G2988" s="81"/>
      <c r="H2988" s="81"/>
      <c r="I2988" s="81"/>
      <c r="J2988" s="81"/>
      <c r="K2988" s="81"/>
      <c r="L2988" s="81"/>
      <c r="M2988" s="81"/>
      <c r="N2988" s="81"/>
      <c r="O2988" s="81"/>
      <c r="P2988" s="81"/>
      <c r="Q2988" s="81"/>
      <c r="R2988" s="81"/>
      <c r="S2988" s="81"/>
      <c r="T2988" s="81"/>
      <c r="U2988" s="83"/>
      <c r="V2988" s="83"/>
      <c r="W2988" s="81"/>
      <c r="X2988" s="81"/>
      <c r="Y2988" s="83"/>
      <c r="Z2988" s="81"/>
      <c r="AA2988" s="81"/>
      <c r="AB2988" s="81"/>
      <c r="AC2988" s="81"/>
      <c r="AD2988" s="81"/>
      <c r="AE2988" s="83"/>
      <c r="AF2988" s="81"/>
      <c r="AG2988" s="81"/>
      <c r="AH2988" s="81"/>
      <c r="AI2988" s="81"/>
      <c r="AJ2988" s="83"/>
      <c r="AK2988" s="81"/>
      <c r="AL2988" s="81"/>
      <c r="AM2988" s="83"/>
      <c r="AN2988" s="80"/>
      <c r="AO2988" s="82" t="str">
        <f aca="false">IF(E2988="","",(AA2988&lt;&gt;"")+(AG2988&lt;&gt;"")+(AL2988&lt;&gt;""))</f>
        <v/>
      </c>
      <c r="AP2988" s="82" t="str">
        <f aca="false">IF(AL2988&lt;&gt;"",AL2988,IF(AG2988&lt;&gt;"",AG2988,IF(AA2988&lt;&gt;"",AA2988,"")))</f>
        <v/>
      </c>
      <c r="AQ2988" s="84" t="str">
        <f aca="false">IF(E2988="","",IF(U2988="","À SOUDER",IF(X2988="","VT EN ATTENTE",IF(X2988="R","VT REJETÉ – À REPRENDRE",IF(AP2988="","À RADIOGRAPHIER",IF(AP2988="A","ACCEPTÉ",IF(AP2988="NX","NX – RT À REFAIRE",IF(IF(AO2988=1,AD2988,IF(AO2988=2,AI2988,""))="A","RÉPARÉ – À RADIOGRAPHIER",IF(IF(AO2988=1,AD2988,IF(AO2988=2,AI2988,""))="R","VT REJETÉ – À REPRENDRE",IF(OR(AP2988="CO",AP2988="NT"),"COUPE – À RESOUDER","À RÉPARER"))))))))))</f>
        <v/>
      </c>
      <c r="AR2988" s="82" t="str">
        <f aca="false">IF(AND(ISNUMBER(U2988),OR(AQ2988="À RADIOGRAPHIER",AQ2988="RÉPARÉ – À RADIOGRAPHIER",AQ2988="NX – RT À REFAIRE",AQ2988="À RÉPARER",AQ2988="COUPE – À RESOUDER",AQ2988="VT REJETÉ – À REPRENDRE")),MAX(0,'PROGRAMME RT'!$C$4-U2988),"")</f>
        <v/>
      </c>
      <c r="AS2988" s="82" t="n">
        <f aca="false">IF(AND(OR(AQ2988="À RADIOGRAPHIER",AQ2988="RÉPARÉ – À RADIOGRAPHIER",AQ2988="NX – RT À REFAIRE"),OR('PROGRAMME RT'!$D$5="TOUTES",B2988='PROGRAMME RT'!$D$5)),1,0)</f>
        <v>0</v>
      </c>
      <c r="AT2988" s="82" t="str">
        <f aca="false">IF(AS2988=1,SUM(AS$7:AS2988),"")</f>
        <v/>
      </c>
      <c r="AU2988" s="82" t="n">
        <f aca="false">IF(AND(OR(AA2988="R",AA2988="NX",AA2988="NT",AA2988="CO"),OR('JOINTS DE RÉPARATION'!$D$5="TOUTES",B2988='JOINTS DE RÉPARATION'!$D$5),OR('JOINTS DE RÉPARATION'!$L$4="TOUS",AQ2988&lt;&gt;"ACCEPTÉ")),1,0)</f>
        <v>0</v>
      </c>
      <c r="AV2988" s="82" t="str">
        <f aca="false">IF(AU2988=1,SUM(AU$7:AU2988),"")</f>
        <v/>
      </c>
      <c r="AW2988" s="82" t="str">
        <f aca="false">IF(E2988="","",B2988&amp;"|"&amp;E2988)</f>
        <v/>
      </c>
    </row>
    <row r="2989" customFormat="false" ht="15" hidden="false" customHeight="false" outlineLevel="0" collapsed="false">
      <c r="A2989" s="79" t="str">
        <f aca="false">IF(E2989="","",ROW()-6)</f>
        <v/>
      </c>
      <c r="B2989" s="80"/>
      <c r="C2989" s="81"/>
      <c r="D2989" s="81"/>
      <c r="E2989" s="81"/>
      <c r="F2989" s="82" t="str">
        <f aca="false">IF(E2989="","",IF(LEFT(E2989,2)="DJ","DJ","JN"))</f>
        <v/>
      </c>
      <c r="G2989" s="81"/>
      <c r="H2989" s="81"/>
      <c r="I2989" s="81"/>
      <c r="J2989" s="81"/>
      <c r="K2989" s="81"/>
      <c r="L2989" s="81"/>
      <c r="M2989" s="81"/>
      <c r="N2989" s="81"/>
      <c r="O2989" s="81"/>
      <c r="P2989" s="81"/>
      <c r="Q2989" s="81"/>
      <c r="R2989" s="81"/>
      <c r="S2989" s="81"/>
      <c r="T2989" s="81"/>
      <c r="U2989" s="83"/>
      <c r="V2989" s="83"/>
      <c r="W2989" s="81"/>
      <c r="X2989" s="81"/>
      <c r="Y2989" s="83"/>
      <c r="Z2989" s="81"/>
      <c r="AA2989" s="81"/>
      <c r="AB2989" s="81"/>
      <c r="AC2989" s="81"/>
      <c r="AD2989" s="81"/>
      <c r="AE2989" s="83"/>
      <c r="AF2989" s="81"/>
      <c r="AG2989" s="81"/>
      <c r="AH2989" s="81"/>
      <c r="AI2989" s="81"/>
      <c r="AJ2989" s="83"/>
      <c r="AK2989" s="81"/>
      <c r="AL2989" s="81"/>
      <c r="AM2989" s="83"/>
      <c r="AN2989" s="80"/>
      <c r="AO2989" s="82" t="str">
        <f aca="false">IF(E2989="","",(AA2989&lt;&gt;"")+(AG2989&lt;&gt;"")+(AL2989&lt;&gt;""))</f>
        <v/>
      </c>
      <c r="AP2989" s="82" t="str">
        <f aca="false">IF(AL2989&lt;&gt;"",AL2989,IF(AG2989&lt;&gt;"",AG2989,IF(AA2989&lt;&gt;"",AA2989,"")))</f>
        <v/>
      </c>
      <c r="AQ2989" s="84" t="str">
        <f aca="false">IF(E2989="","",IF(U2989="","À SOUDER",IF(X2989="","VT EN ATTENTE",IF(X2989="R","VT REJETÉ – À REPRENDRE",IF(AP2989="","À RADIOGRAPHIER",IF(AP2989="A","ACCEPTÉ",IF(AP2989="NX","NX – RT À REFAIRE",IF(IF(AO2989=1,AD2989,IF(AO2989=2,AI2989,""))="A","RÉPARÉ – À RADIOGRAPHIER",IF(IF(AO2989=1,AD2989,IF(AO2989=2,AI2989,""))="R","VT REJETÉ – À REPRENDRE",IF(OR(AP2989="CO",AP2989="NT"),"COUPE – À RESOUDER","À RÉPARER"))))))))))</f>
        <v/>
      </c>
      <c r="AR2989" s="82" t="str">
        <f aca="false">IF(AND(ISNUMBER(U2989),OR(AQ2989="À RADIOGRAPHIER",AQ2989="RÉPARÉ – À RADIOGRAPHIER",AQ2989="NX – RT À REFAIRE",AQ2989="À RÉPARER",AQ2989="COUPE – À RESOUDER",AQ2989="VT REJETÉ – À REPRENDRE")),MAX(0,'PROGRAMME RT'!$C$4-U2989),"")</f>
        <v/>
      </c>
      <c r="AS2989" s="82" t="n">
        <f aca="false">IF(AND(OR(AQ2989="À RADIOGRAPHIER",AQ2989="RÉPARÉ – À RADIOGRAPHIER",AQ2989="NX – RT À REFAIRE"),OR('PROGRAMME RT'!$D$5="TOUTES",B2989='PROGRAMME RT'!$D$5)),1,0)</f>
        <v>0</v>
      </c>
      <c r="AT2989" s="82" t="str">
        <f aca="false">IF(AS2989=1,SUM(AS$7:AS2989),"")</f>
        <v/>
      </c>
      <c r="AU2989" s="82" t="n">
        <f aca="false">IF(AND(OR(AA2989="R",AA2989="NX",AA2989="NT",AA2989="CO"),OR('JOINTS DE RÉPARATION'!$D$5="TOUTES",B2989='JOINTS DE RÉPARATION'!$D$5),OR('JOINTS DE RÉPARATION'!$L$4="TOUS",AQ2989&lt;&gt;"ACCEPTÉ")),1,0)</f>
        <v>0</v>
      </c>
      <c r="AV2989" s="82" t="str">
        <f aca="false">IF(AU2989=1,SUM(AU$7:AU2989),"")</f>
        <v/>
      </c>
      <c r="AW2989" s="82" t="str">
        <f aca="false">IF(E2989="","",B2989&amp;"|"&amp;E2989)</f>
        <v/>
      </c>
    </row>
    <row r="2990" customFormat="false" ht="15" hidden="false" customHeight="false" outlineLevel="0" collapsed="false">
      <c r="A2990" s="79" t="str">
        <f aca="false">IF(E2990="","",ROW()-6)</f>
        <v/>
      </c>
      <c r="B2990" s="80"/>
      <c r="C2990" s="81"/>
      <c r="D2990" s="81"/>
      <c r="E2990" s="81"/>
      <c r="F2990" s="82" t="str">
        <f aca="false">IF(E2990="","",IF(LEFT(E2990,2)="DJ","DJ","JN"))</f>
        <v/>
      </c>
      <c r="G2990" s="81"/>
      <c r="H2990" s="81"/>
      <c r="I2990" s="81"/>
      <c r="J2990" s="81"/>
      <c r="K2990" s="81"/>
      <c r="L2990" s="81"/>
      <c r="M2990" s="81"/>
      <c r="N2990" s="81"/>
      <c r="O2990" s="81"/>
      <c r="P2990" s="81"/>
      <c r="Q2990" s="81"/>
      <c r="R2990" s="81"/>
      <c r="S2990" s="81"/>
      <c r="T2990" s="81"/>
      <c r="U2990" s="83"/>
      <c r="V2990" s="83"/>
      <c r="W2990" s="81"/>
      <c r="X2990" s="81"/>
      <c r="Y2990" s="83"/>
      <c r="Z2990" s="81"/>
      <c r="AA2990" s="81"/>
      <c r="AB2990" s="81"/>
      <c r="AC2990" s="81"/>
      <c r="AD2990" s="81"/>
      <c r="AE2990" s="83"/>
      <c r="AF2990" s="81"/>
      <c r="AG2990" s="81"/>
      <c r="AH2990" s="81"/>
      <c r="AI2990" s="81"/>
      <c r="AJ2990" s="83"/>
      <c r="AK2990" s="81"/>
      <c r="AL2990" s="81"/>
      <c r="AM2990" s="83"/>
      <c r="AN2990" s="80"/>
      <c r="AO2990" s="82" t="str">
        <f aca="false">IF(E2990="","",(AA2990&lt;&gt;"")+(AG2990&lt;&gt;"")+(AL2990&lt;&gt;""))</f>
        <v/>
      </c>
      <c r="AP2990" s="82" t="str">
        <f aca="false">IF(AL2990&lt;&gt;"",AL2990,IF(AG2990&lt;&gt;"",AG2990,IF(AA2990&lt;&gt;"",AA2990,"")))</f>
        <v/>
      </c>
      <c r="AQ2990" s="84" t="str">
        <f aca="false">IF(E2990="","",IF(U2990="","À SOUDER",IF(X2990="","VT EN ATTENTE",IF(X2990="R","VT REJETÉ – À REPRENDRE",IF(AP2990="","À RADIOGRAPHIER",IF(AP2990="A","ACCEPTÉ",IF(AP2990="NX","NX – RT À REFAIRE",IF(IF(AO2990=1,AD2990,IF(AO2990=2,AI2990,""))="A","RÉPARÉ – À RADIOGRAPHIER",IF(IF(AO2990=1,AD2990,IF(AO2990=2,AI2990,""))="R","VT REJETÉ – À REPRENDRE",IF(OR(AP2990="CO",AP2990="NT"),"COUPE – À RESOUDER","À RÉPARER"))))))))))</f>
        <v/>
      </c>
      <c r="AR2990" s="82" t="str">
        <f aca="false">IF(AND(ISNUMBER(U2990),OR(AQ2990="À RADIOGRAPHIER",AQ2990="RÉPARÉ – À RADIOGRAPHIER",AQ2990="NX – RT À REFAIRE",AQ2990="À RÉPARER",AQ2990="COUPE – À RESOUDER",AQ2990="VT REJETÉ – À REPRENDRE")),MAX(0,'PROGRAMME RT'!$C$4-U2990),"")</f>
        <v/>
      </c>
      <c r="AS2990" s="82" t="n">
        <f aca="false">IF(AND(OR(AQ2990="À RADIOGRAPHIER",AQ2990="RÉPARÉ – À RADIOGRAPHIER",AQ2990="NX – RT À REFAIRE"),OR('PROGRAMME RT'!$D$5="TOUTES",B2990='PROGRAMME RT'!$D$5)),1,0)</f>
        <v>0</v>
      </c>
      <c r="AT2990" s="82" t="str">
        <f aca="false">IF(AS2990=1,SUM(AS$7:AS2990),"")</f>
        <v/>
      </c>
      <c r="AU2990" s="82" t="n">
        <f aca="false">IF(AND(OR(AA2990="R",AA2990="NX",AA2990="NT",AA2990="CO"),OR('JOINTS DE RÉPARATION'!$D$5="TOUTES",B2990='JOINTS DE RÉPARATION'!$D$5),OR('JOINTS DE RÉPARATION'!$L$4="TOUS",AQ2990&lt;&gt;"ACCEPTÉ")),1,0)</f>
        <v>0</v>
      </c>
      <c r="AV2990" s="82" t="str">
        <f aca="false">IF(AU2990=1,SUM(AU$7:AU2990),"")</f>
        <v/>
      </c>
      <c r="AW2990" s="82" t="str">
        <f aca="false">IF(E2990="","",B2990&amp;"|"&amp;E2990)</f>
        <v/>
      </c>
    </row>
    <row r="2991" customFormat="false" ht="15" hidden="false" customHeight="false" outlineLevel="0" collapsed="false">
      <c r="A2991" s="79" t="str">
        <f aca="false">IF(E2991="","",ROW()-6)</f>
        <v/>
      </c>
      <c r="B2991" s="80"/>
      <c r="C2991" s="81"/>
      <c r="D2991" s="81"/>
      <c r="E2991" s="81"/>
      <c r="F2991" s="82" t="str">
        <f aca="false">IF(E2991="","",IF(LEFT(E2991,2)="DJ","DJ","JN"))</f>
        <v/>
      </c>
      <c r="G2991" s="81"/>
      <c r="H2991" s="81"/>
      <c r="I2991" s="81"/>
      <c r="J2991" s="81"/>
      <c r="K2991" s="81"/>
      <c r="L2991" s="81"/>
      <c r="M2991" s="81"/>
      <c r="N2991" s="81"/>
      <c r="O2991" s="81"/>
      <c r="P2991" s="81"/>
      <c r="Q2991" s="81"/>
      <c r="R2991" s="81"/>
      <c r="S2991" s="81"/>
      <c r="T2991" s="81"/>
      <c r="U2991" s="83"/>
      <c r="V2991" s="83"/>
      <c r="W2991" s="81"/>
      <c r="X2991" s="81"/>
      <c r="Y2991" s="83"/>
      <c r="Z2991" s="81"/>
      <c r="AA2991" s="81"/>
      <c r="AB2991" s="81"/>
      <c r="AC2991" s="81"/>
      <c r="AD2991" s="81"/>
      <c r="AE2991" s="83"/>
      <c r="AF2991" s="81"/>
      <c r="AG2991" s="81"/>
      <c r="AH2991" s="81"/>
      <c r="AI2991" s="81"/>
      <c r="AJ2991" s="83"/>
      <c r="AK2991" s="81"/>
      <c r="AL2991" s="81"/>
      <c r="AM2991" s="83"/>
      <c r="AN2991" s="80"/>
      <c r="AO2991" s="82" t="str">
        <f aca="false">IF(E2991="","",(AA2991&lt;&gt;"")+(AG2991&lt;&gt;"")+(AL2991&lt;&gt;""))</f>
        <v/>
      </c>
      <c r="AP2991" s="82" t="str">
        <f aca="false">IF(AL2991&lt;&gt;"",AL2991,IF(AG2991&lt;&gt;"",AG2991,IF(AA2991&lt;&gt;"",AA2991,"")))</f>
        <v/>
      </c>
      <c r="AQ2991" s="84" t="str">
        <f aca="false">IF(E2991="","",IF(U2991="","À SOUDER",IF(X2991="","VT EN ATTENTE",IF(X2991="R","VT REJETÉ – À REPRENDRE",IF(AP2991="","À RADIOGRAPHIER",IF(AP2991="A","ACCEPTÉ",IF(AP2991="NX","NX – RT À REFAIRE",IF(IF(AO2991=1,AD2991,IF(AO2991=2,AI2991,""))="A","RÉPARÉ – À RADIOGRAPHIER",IF(IF(AO2991=1,AD2991,IF(AO2991=2,AI2991,""))="R","VT REJETÉ – À REPRENDRE",IF(OR(AP2991="CO",AP2991="NT"),"COUPE – À RESOUDER","À RÉPARER"))))))))))</f>
        <v/>
      </c>
      <c r="AR2991" s="82" t="str">
        <f aca="false">IF(AND(ISNUMBER(U2991),OR(AQ2991="À RADIOGRAPHIER",AQ2991="RÉPARÉ – À RADIOGRAPHIER",AQ2991="NX – RT À REFAIRE",AQ2991="À RÉPARER",AQ2991="COUPE – À RESOUDER",AQ2991="VT REJETÉ – À REPRENDRE")),MAX(0,'PROGRAMME RT'!$C$4-U2991),"")</f>
        <v/>
      </c>
      <c r="AS2991" s="82" t="n">
        <f aca="false">IF(AND(OR(AQ2991="À RADIOGRAPHIER",AQ2991="RÉPARÉ – À RADIOGRAPHIER",AQ2991="NX – RT À REFAIRE"),OR('PROGRAMME RT'!$D$5="TOUTES",B2991='PROGRAMME RT'!$D$5)),1,0)</f>
        <v>0</v>
      </c>
      <c r="AT2991" s="82" t="str">
        <f aca="false">IF(AS2991=1,SUM(AS$7:AS2991),"")</f>
        <v/>
      </c>
      <c r="AU2991" s="82" t="n">
        <f aca="false">IF(AND(OR(AA2991="R",AA2991="NX",AA2991="NT",AA2991="CO"),OR('JOINTS DE RÉPARATION'!$D$5="TOUTES",B2991='JOINTS DE RÉPARATION'!$D$5),OR('JOINTS DE RÉPARATION'!$L$4="TOUS",AQ2991&lt;&gt;"ACCEPTÉ")),1,0)</f>
        <v>0</v>
      </c>
      <c r="AV2991" s="82" t="str">
        <f aca="false">IF(AU2991=1,SUM(AU$7:AU2991),"")</f>
        <v/>
      </c>
      <c r="AW2991" s="82" t="str">
        <f aca="false">IF(E2991="","",B2991&amp;"|"&amp;E2991)</f>
        <v/>
      </c>
    </row>
    <row r="2992" customFormat="false" ht="15" hidden="false" customHeight="false" outlineLevel="0" collapsed="false">
      <c r="A2992" s="79" t="str">
        <f aca="false">IF(E2992="","",ROW()-6)</f>
        <v/>
      </c>
      <c r="B2992" s="80"/>
      <c r="C2992" s="81"/>
      <c r="D2992" s="81"/>
      <c r="E2992" s="81"/>
      <c r="F2992" s="82" t="str">
        <f aca="false">IF(E2992="","",IF(LEFT(E2992,2)="DJ","DJ","JN"))</f>
        <v/>
      </c>
      <c r="G2992" s="81"/>
      <c r="H2992" s="81"/>
      <c r="I2992" s="81"/>
      <c r="J2992" s="81"/>
      <c r="K2992" s="81"/>
      <c r="L2992" s="81"/>
      <c r="M2992" s="81"/>
      <c r="N2992" s="81"/>
      <c r="O2992" s="81"/>
      <c r="P2992" s="81"/>
      <c r="Q2992" s="81"/>
      <c r="R2992" s="81"/>
      <c r="S2992" s="81"/>
      <c r="T2992" s="81"/>
      <c r="U2992" s="83"/>
      <c r="V2992" s="83"/>
      <c r="W2992" s="81"/>
      <c r="X2992" s="81"/>
      <c r="Y2992" s="83"/>
      <c r="Z2992" s="81"/>
      <c r="AA2992" s="81"/>
      <c r="AB2992" s="81"/>
      <c r="AC2992" s="81"/>
      <c r="AD2992" s="81"/>
      <c r="AE2992" s="83"/>
      <c r="AF2992" s="81"/>
      <c r="AG2992" s="81"/>
      <c r="AH2992" s="81"/>
      <c r="AI2992" s="81"/>
      <c r="AJ2992" s="83"/>
      <c r="AK2992" s="81"/>
      <c r="AL2992" s="81"/>
      <c r="AM2992" s="83"/>
      <c r="AN2992" s="80"/>
      <c r="AO2992" s="82" t="str">
        <f aca="false">IF(E2992="","",(AA2992&lt;&gt;"")+(AG2992&lt;&gt;"")+(AL2992&lt;&gt;""))</f>
        <v/>
      </c>
      <c r="AP2992" s="82" t="str">
        <f aca="false">IF(AL2992&lt;&gt;"",AL2992,IF(AG2992&lt;&gt;"",AG2992,IF(AA2992&lt;&gt;"",AA2992,"")))</f>
        <v/>
      </c>
      <c r="AQ2992" s="84" t="str">
        <f aca="false">IF(E2992="","",IF(U2992="","À SOUDER",IF(X2992="","VT EN ATTENTE",IF(X2992="R","VT REJETÉ – À REPRENDRE",IF(AP2992="","À RADIOGRAPHIER",IF(AP2992="A","ACCEPTÉ",IF(AP2992="NX","NX – RT À REFAIRE",IF(IF(AO2992=1,AD2992,IF(AO2992=2,AI2992,""))="A","RÉPARÉ – À RADIOGRAPHIER",IF(IF(AO2992=1,AD2992,IF(AO2992=2,AI2992,""))="R","VT REJETÉ – À REPRENDRE",IF(OR(AP2992="CO",AP2992="NT"),"COUPE – À RESOUDER","À RÉPARER"))))))))))</f>
        <v/>
      </c>
      <c r="AR2992" s="82" t="str">
        <f aca="false">IF(AND(ISNUMBER(U2992),OR(AQ2992="À RADIOGRAPHIER",AQ2992="RÉPARÉ – À RADIOGRAPHIER",AQ2992="NX – RT À REFAIRE",AQ2992="À RÉPARER",AQ2992="COUPE – À RESOUDER",AQ2992="VT REJETÉ – À REPRENDRE")),MAX(0,'PROGRAMME RT'!$C$4-U2992),"")</f>
        <v/>
      </c>
      <c r="AS2992" s="82" t="n">
        <f aca="false">IF(AND(OR(AQ2992="À RADIOGRAPHIER",AQ2992="RÉPARÉ – À RADIOGRAPHIER",AQ2992="NX – RT À REFAIRE"),OR('PROGRAMME RT'!$D$5="TOUTES",B2992='PROGRAMME RT'!$D$5)),1,0)</f>
        <v>0</v>
      </c>
      <c r="AT2992" s="82" t="str">
        <f aca="false">IF(AS2992=1,SUM(AS$7:AS2992),"")</f>
        <v/>
      </c>
      <c r="AU2992" s="82" t="n">
        <f aca="false">IF(AND(OR(AA2992="R",AA2992="NX",AA2992="NT",AA2992="CO"),OR('JOINTS DE RÉPARATION'!$D$5="TOUTES",B2992='JOINTS DE RÉPARATION'!$D$5),OR('JOINTS DE RÉPARATION'!$L$4="TOUS",AQ2992&lt;&gt;"ACCEPTÉ")),1,0)</f>
        <v>0</v>
      </c>
      <c r="AV2992" s="82" t="str">
        <f aca="false">IF(AU2992=1,SUM(AU$7:AU2992),"")</f>
        <v/>
      </c>
      <c r="AW2992" s="82" t="str">
        <f aca="false">IF(E2992="","",B2992&amp;"|"&amp;E2992)</f>
        <v/>
      </c>
    </row>
    <row r="2993" customFormat="false" ht="15" hidden="false" customHeight="false" outlineLevel="0" collapsed="false">
      <c r="A2993" s="79" t="str">
        <f aca="false">IF(E2993="","",ROW()-6)</f>
        <v/>
      </c>
      <c r="B2993" s="80"/>
      <c r="C2993" s="81"/>
      <c r="D2993" s="81"/>
      <c r="E2993" s="81"/>
      <c r="F2993" s="82" t="str">
        <f aca="false">IF(E2993="","",IF(LEFT(E2993,2)="DJ","DJ","JN"))</f>
        <v/>
      </c>
      <c r="G2993" s="81"/>
      <c r="H2993" s="81"/>
      <c r="I2993" s="81"/>
      <c r="J2993" s="81"/>
      <c r="K2993" s="81"/>
      <c r="L2993" s="81"/>
      <c r="M2993" s="81"/>
      <c r="N2993" s="81"/>
      <c r="O2993" s="81"/>
      <c r="P2993" s="81"/>
      <c r="Q2993" s="81"/>
      <c r="R2993" s="81"/>
      <c r="S2993" s="81"/>
      <c r="T2993" s="81"/>
      <c r="U2993" s="83"/>
      <c r="V2993" s="83"/>
      <c r="W2993" s="81"/>
      <c r="X2993" s="81"/>
      <c r="Y2993" s="83"/>
      <c r="Z2993" s="81"/>
      <c r="AA2993" s="81"/>
      <c r="AB2993" s="81"/>
      <c r="AC2993" s="81"/>
      <c r="AD2993" s="81"/>
      <c r="AE2993" s="83"/>
      <c r="AF2993" s="81"/>
      <c r="AG2993" s="81"/>
      <c r="AH2993" s="81"/>
      <c r="AI2993" s="81"/>
      <c r="AJ2993" s="83"/>
      <c r="AK2993" s="81"/>
      <c r="AL2993" s="81"/>
      <c r="AM2993" s="83"/>
      <c r="AN2993" s="80"/>
      <c r="AO2993" s="82" t="str">
        <f aca="false">IF(E2993="","",(AA2993&lt;&gt;"")+(AG2993&lt;&gt;"")+(AL2993&lt;&gt;""))</f>
        <v/>
      </c>
      <c r="AP2993" s="82" t="str">
        <f aca="false">IF(AL2993&lt;&gt;"",AL2993,IF(AG2993&lt;&gt;"",AG2993,IF(AA2993&lt;&gt;"",AA2993,"")))</f>
        <v/>
      </c>
      <c r="AQ2993" s="84" t="str">
        <f aca="false">IF(E2993="","",IF(U2993="","À SOUDER",IF(X2993="","VT EN ATTENTE",IF(X2993="R","VT REJETÉ – À REPRENDRE",IF(AP2993="","À RADIOGRAPHIER",IF(AP2993="A","ACCEPTÉ",IF(AP2993="NX","NX – RT À REFAIRE",IF(IF(AO2993=1,AD2993,IF(AO2993=2,AI2993,""))="A","RÉPARÉ – À RADIOGRAPHIER",IF(IF(AO2993=1,AD2993,IF(AO2993=2,AI2993,""))="R","VT REJETÉ – À REPRENDRE",IF(OR(AP2993="CO",AP2993="NT"),"COUPE – À RESOUDER","À RÉPARER"))))))))))</f>
        <v/>
      </c>
      <c r="AR2993" s="82" t="str">
        <f aca="false">IF(AND(ISNUMBER(U2993),OR(AQ2993="À RADIOGRAPHIER",AQ2993="RÉPARÉ – À RADIOGRAPHIER",AQ2993="NX – RT À REFAIRE",AQ2993="À RÉPARER",AQ2993="COUPE – À RESOUDER",AQ2993="VT REJETÉ – À REPRENDRE")),MAX(0,'PROGRAMME RT'!$C$4-U2993),"")</f>
        <v/>
      </c>
      <c r="AS2993" s="82" t="n">
        <f aca="false">IF(AND(OR(AQ2993="À RADIOGRAPHIER",AQ2993="RÉPARÉ – À RADIOGRAPHIER",AQ2993="NX – RT À REFAIRE"),OR('PROGRAMME RT'!$D$5="TOUTES",B2993='PROGRAMME RT'!$D$5)),1,0)</f>
        <v>0</v>
      </c>
      <c r="AT2993" s="82" t="str">
        <f aca="false">IF(AS2993=1,SUM(AS$7:AS2993),"")</f>
        <v/>
      </c>
      <c r="AU2993" s="82" t="n">
        <f aca="false">IF(AND(OR(AA2993="R",AA2993="NX",AA2993="NT",AA2993="CO"),OR('JOINTS DE RÉPARATION'!$D$5="TOUTES",B2993='JOINTS DE RÉPARATION'!$D$5),OR('JOINTS DE RÉPARATION'!$L$4="TOUS",AQ2993&lt;&gt;"ACCEPTÉ")),1,0)</f>
        <v>0</v>
      </c>
      <c r="AV2993" s="82" t="str">
        <f aca="false">IF(AU2993=1,SUM(AU$7:AU2993),"")</f>
        <v/>
      </c>
      <c r="AW2993" s="82" t="str">
        <f aca="false">IF(E2993="","",B2993&amp;"|"&amp;E2993)</f>
        <v/>
      </c>
    </row>
    <row r="2994" customFormat="false" ht="15" hidden="false" customHeight="false" outlineLevel="0" collapsed="false">
      <c r="A2994" s="79" t="str">
        <f aca="false">IF(E2994="","",ROW()-6)</f>
        <v/>
      </c>
      <c r="B2994" s="80"/>
      <c r="C2994" s="81"/>
      <c r="D2994" s="81"/>
      <c r="E2994" s="81"/>
      <c r="F2994" s="82" t="str">
        <f aca="false">IF(E2994="","",IF(LEFT(E2994,2)="DJ","DJ","JN"))</f>
        <v/>
      </c>
      <c r="G2994" s="81"/>
      <c r="H2994" s="81"/>
      <c r="I2994" s="81"/>
      <c r="J2994" s="81"/>
      <c r="K2994" s="81"/>
      <c r="L2994" s="81"/>
      <c r="M2994" s="81"/>
      <c r="N2994" s="81"/>
      <c r="O2994" s="81"/>
      <c r="P2994" s="81"/>
      <c r="Q2994" s="81"/>
      <c r="R2994" s="81"/>
      <c r="S2994" s="81"/>
      <c r="T2994" s="81"/>
      <c r="U2994" s="83"/>
      <c r="V2994" s="83"/>
      <c r="W2994" s="81"/>
      <c r="X2994" s="81"/>
      <c r="Y2994" s="83"/>
      <c r="Z2994" s="81"/>
      <c r="AA2994" s="81"/>
      <c r="AB2994" s="81"/>
      <c r="AC2994" s="81"/>
      <c r="AD2994" s="81"/>
      <c r="AE2994" s="83"/>
      <c r="AF2994" s="81"/>
      <c r="AG2994" s="81"/>
      <c r="AH2994" s="81"/>
      <c r="AI2994" s="81"/>
      <c r="AJ2994" s="83"/>
      <c r="AK2994" s="81"/>
      <c r="AL2994" s="81"/>
      <c r="AM2994" s="83"/>
      <c r="AN2994" s="80"/>
      <c r="AO2994" s="82" t="str">
        <f aca="false">IF(E2994="","",(AA2994&lt;&gt;"")+(AG2994&lt;&gt;"")+(AL2994&lt;&gt;""))</f>
        <v/>
      </c>
      <c r="AP2994" s="82" t="str">
        <f aca="false">IF(AL2994&lt;&gt;"",AL2994,IF(AG2994&lt;&gt;"",AG2994,IF(AA2994&lt;&gt;"",AA2994,"")))</f>
        <v/>
      </c>
      <c r="AQ2994" s="84" t="str">
        <f aca="false">IF(E2994="","",IF(U2994="","À SOUDER",IF(X2994="","VT EN ATTENTE",IF(X2994="R","VT REJETÉ – À REPRENDRE",IF(AP2994="","À RADIOGRAPHIER",IF(AP2994="A","ACCEPTÉ",IF(AP2994="NX","NX – RT À REFAIRE",IF(IF(AO2994=1,AD2994,IF(AO2994=2,AI2994,""))="A","RÉPARÉ – À RADIOGRAPHIER",IF(IF(AO2994=1,AD2994,IF(AO2994=2,AI2994,""))="R","VT REJETÉ – À REPRENDRE",IF(OR(AP2994="CO",AP2994="NT"),"COUPE – À RESOUDER","À RÉPARER"))))))))))</f>
        <v/>
      </c>
      <c r="AR2994" s="82" t="str">
        <f aca="false">IF(AND(ISNUMBER(U2994),OR(AQ2994="À RADIOGRAPHIER",AQ2994="RÉPARÉ – À RADIOGRAPHIER",AQ2994="NX – RT À REFAIRE",AQ2994="À RÉPARER",AQ2994="COUPE – À RESOUDER",AQ2994="VT REJETÉ – À REPRENDRE")),MAX(0,'PROGRAMME RT'!$C$4-U2994),"")</f>
        <v/>
      </c>
      <c r="AS2994" s="82" t="n">
        <f aca="false">IF(AND(OR(AQ2994="À RADIOGRAPHIER",AQ2994="RÉPARÉ – À RADIOGRAPHIER",AQ2994="NX – RT À REFAIRE"),OR('PROGRAMME RT'!$D$5="TOUTES",B2994='PROGRAMME RT'!$D$5)),1,0)</f>
        <v>0</v>
      </c>
      <c r="AT2994" s="82" t="str">
        <f aca="false">IF(AS2994=1,SUM(AS$7:AS2994),"")</f>
        <v/>
      </c>
      <c r="AU2994" s="82" t="n">
        <f aca="false">IF(AND(OR(AA2994="R",AA2994="NX",AA2994="NT",AA2994="CO"),OR('JOINTS DE RÉPARATION'!$D$5="TOUTES",B2994='JOINTS DE RÉPARATION'!$D$5),OR('JOINTS DE RÉPARATION'!$L$4="TOUS",AQ2994&lt;&gt;"ACCEPTÉ")),1,0)</f>
        <v>0</v>
      </c>
      <c r="AV2994" s="82" t="str">
        <f aca="false">IF(AU2994=1,SUM(AU$7:AU2994),"")</f>
        <v/>
      </c>
      <c r="AW2994" s="82" t="str">
        <f aca="false">IF(E2994="","",B2994&amp;"|"&amp;E2994)</f>
        <v/>
      </c>
    </row>
    <row r="2995" customFormat="false" ht="15" hidden="false" customHeight="false" outlineLevel="0" collapsed="false">
      <c r="A2995" s="79" t="str">
        <f aca="false">IF(E2995="","",ROW()-6)</f>
        <v/>
      </c>
      <c r="B2995" s="80"/>
      <c r="C2995" s="81"/>
      <c r="D2995" s="81"/>
      <c r="E2995" s="81"/>
      <c r="F2995" s="82" t="str">
        <f aca="false">IF(E2995="","",IF(LEFT(E2995,2)="DJ","DJ","JN"))</f>
        <v/>
      </c>
      <c r="G2995" s="81"/>
      <c r="H2995" s="81"/>
      <c r="I2995" s="81"/>
      <c r="J2995" s="81"/>
      <c r="K2995" s="81"/>
      <c r="L2995" s="81"/>
      <c r="M2995" s="81"/>
      <c r="N2995" s="81"/>
      <c r="O2995" s="81"/>
      <c r="P2995" s="81"/>
      <c r="Q2995" s="81"/>
      <c r="R2995" s="81"/>
      <c r="S2995" s="81"/>
      <c r="T2995" s="81"/>
      <c r="U2995" s="83"/>
      <c r="V2995" s="83"/>
      <c r="W2995" s="81"/>
      <c r="X2995" s="81"/>
      <c r="Y2995" s="83"/>
      <c r="Z2995" s="81"/>
      <c r="AA2995" s="81"/>
      <c r="AB2995" s="81"/>
      <c r="AC2995" s="81"/>
      <c r="AD2995" s="81"/>
      <c r="AE2995" s="83"/>
      <c r="AF2995" s="81"/>
      <c r="AG2995" s="81"/>
      <c r="AH2995" s="81"/>
      <c r="AI2995" s="81"/>
      <c r="AJ2995" s="83"/>
      <c r="AK2995" s="81"/>
      <c r="AL2995" s="81"/>
      <c r="AM2995" s="83"/>
      <c r="AN2995" s="80"/>
      <c r="AO2995" s="82" t="str">
        <f aca="false">IF(E2995="","",(AA2995&lt;&gt;"")+(AG2995&lt;&gt;"")+(AL2995&lt;&gt;""))</f>
        <v/>
      </c>
      <c r="AP2995" s="82" t="str">
        <f aca="false">IF(AL2995&lt;&gt;"",AL2995,IF(AG2995&lt;&gt;"",AG2995,IF(AA2995&lt;&gt;"",AA2995,"")))</f>
        <v/>
      </c>
      <c r="AQ2995" s="84" t="str">
        <f aca="false">IF(E2995="","",IF(U2995="","À SOUDER",IF(X2995="","VT EN ATTENTE",IF(X2995="R","VT REJETÉ – À REPRENDRE",IF(AP2995="","À RADIOGRAPHIER",IF(AP2995="A","ACCEPTÉ",IF(AP2995="NX","NX – RT À REFAIRE",IF(IF(AO2995=1,AD2995,IF(AO2995=2,AI2995,""))="A","RÉPARÉ – À RADIOGRAPHIER",IF(IF(AO2995=1,AD2995,IF(AO2995=2,AI2995,""))="R","VT REJETÉ – À REPRENDRE",IF(OR(AP2995="CO",AP2995="NT"),"COUPE – À RESOUDER","À RÉPARER"))))))))))</f>
        <v/>
      </c>
      <c r="AR2995" s="82" t="str">
        <f aca="false">IF(AND(ISNUMBER(U2995),OR(AQ2995="À RADIOGRAPHIER",AQ2995="RÉPARÉ – À RADIOGRAPHIER",AQ2995="NX – RT À REFAIRE",AQ2995="À RÉPARER",AQ2995="COUPE – À RESOUDER",AQ2995="VT REJETÉ – À REPRENDRE")),MAX(0,'PROGRAMME RT'!$C$4-U2995),"")</f>
        <v/>
      </c>
      <c r="AS2995" s="82" t="n">
        <f aca="false">IF(AND(OR(AQ2995="À RADIOGRAPHIER",AQ2995="RÉPARÉ – À RADIOGRAPHIER",AQ2995="NX – RT À REFAIRE"),OR('PROGRAMME RT'!$D$5="TOUTES",B2995='PROGRAMME RT'!$D$5)),1,0)</f>
        <v>0</v>
      </c>
      <c r="AT2995" s="82" t="str">
        <f aca="false">IF(AS2995=1,SUM(AS$7:AS2995),"")</f>
        <v/>
      </c>
      <c r="AU2995" s="82" t="n">
        <f aca="false">IF(AND(OR(AA2995="R",AA2995="NX",AA2995="NT",AA2995="CO"),OR('JOINTS DE RÉPARATION'!$D$5="TOUTES",B2995='JOINTS DE RÉPARATION'!$D$5),OR('JOINTS DE RÉPARATION'!$L$4="TOUS",AQ2995&lt;&gt;"ACCEPTÉ")),1,0)</f>
        <v>0</v>
      </c>
      <c r="AV2995" s="82" t="str">
        <f aca="false">IF(AU2995=1,SUM(AU$7:AU2995),"")</f>
        <v/>
      </c>
      <c r="AW2995" s="82" t="str">
        <f aca="false">IF(E2995="","",B2995&amp;"|"&amp;E2995)</f>
        <v/>
      </c>
    </row>
    <row r="2996" customFormat="false" ht="15" hidden="false" customHeight="false" outlineLevel="0" collapsed="false">
      <c r="A2996" s="79" t="str">
        <f aca="false">IF(E2996="","",ROW()-6)</f>
        <v/>
      </c>
      <c r="B2996" s="80"/>
      <c r="C2996" s="81"/>
      <c r="D2996" s="81"/>
      <c r="E2996" s="81"/>
      <c r="F2996" s="82" t="str">
        <f aca="false">IF(E2996="","",IF(LEFT(E2996,2)="DJ","DJ","JN"))</f>
        <v/>
      </c>
      <c r="G2996" s="81"/>
      <c r="H2996" s="81"/>
      <c r="I2996" s="81"/>
      <c r="J2996" s="81"/>
      <c r="K2996" s="81"/>
      <c r="L2996" s="81"/>
      <c r="M2996" s="81"/>
      <c r="N2996" s="81"/>
      <c r="O2996" s="81"/>
      <c r="P2996" s="81"/>
      <c r="Q2996" s="81"/>
      <c r="R2996" s="81"/>
      <c r="S2996" s="81"/>
      <c r="T2996" s="81"/>
      <c r="U2996" s="83"/>
      <c r="V2996" s="83"/>
      <c r="W2996" s="81"/>
      <c r="X2996" s="81"/>
      <c r="Y2996" s="83"/>
      <c r="Z2996" s="81"/>
      <c r="AA2996" s="81"/>
      <c r="AB2996" s="81"/>
      <c r="AC2996" s="81"/>
      <c r="AD2996" s="81"/>
      <c r="AE2996" s="83"/>
      <c r="AF2996" s="81"/>
      <c r="AG2996" s="81"/>
      <c r="AH2996" s="81"/>
      <c r="AI2996" s="81"/>
      <c r="AJ2996" s="83"/>
      <c r="AK2996" s="81"/>
      <c r="AL2996" s="81"/>
      <c r="AM2996" s="83"/>
      <c r="AN2996" s="80"/>
      <c r="AO2996" s="82" t="str">
        <f aca="false">IF(E2996="","",(AA2996&lt;&gt;"")+(AG2996&lt;&gt;"")+(AL2996&lt;&gt;""))</f>
        <v/>
      </c>
      <c r="AP2996" s="82" t="str">
        <f aca="false">IF(AL2996&lt;&gt;"",AL2996,IF(AG2996&lt;&gt;"",AG2996,IF(AA2996&lt;&gt;"",AA2996,"")))</f>
        <v/>
      </c>
      <c r="AQ2996" s="84" t="str">
        <f aca="false">IF(E2996="","",IF(U2996="","À SOUDER",IF(X2996="","VT EN ATTENTE",IF(X2996="R","VT REJETÉ – À REPRENDRE",IF(AP2996="","À RADIOGRAPHIER",IF(AP2996="A","ACCEPTÉ",IF(AP2996="NX","NX – RT À REFAIRE",IF(IF(AO2996=1,AD2996,IF(AO2996=2,AI2996,""))="A","RÉPARÉ – À RADIOGRAPHIER",IF(IF(AO2996=1,AD2996,IF(AO2996=2,AI2996,""))="R","VT REJETÉ – À REPRENDRE",IF(OR(AP2996="CO",AP2996="NT"),"COUPE – À RESOUDER","À RÉPARER"))))))))))</f>
        <v/>
      </c>
      <c r="AR2996" s="82" t="str">
        <f aca="false">IF(AND(ISNUMBER(U2996),OR(AQ2996="À RADIOGRAPHIER",AQ2996="RÉPARÉ – À RADIOGRAPHIER",AQ2996="NX – RT À REFAIRE",AQ2996="À RÉPARER",AQ2996="COUPE – À RESOUDER",AQ2996="VT REJETÉ – À REPRENDRE")),MAX(0,'PROGRAMME RT'!$C$4-U2996),"")</f>
        <v/>
      </c>
      <c r="AS2996" s="82" t="n">
        <f aca="false">IF(AND(OR(AQ2996="À RADIOGRAPHIER",AQ2996="RÉPARÉ – À RADIOGRAPHIER",AQ2996="NX – RT À REFAIRE"),OR('PROGRAMME RT'!$D$5="TOUTES",B2996='PROGRAMME RT'!$D$5)),1,0)</f>
        <v>0</v>
      </c>
      <c r="AT2996" s="82" t="str">
        <f aca="false">IF(AS2996=1,SUM(AS$7:AS2996),"")</f>
        <v/>
      </c>
      <c r="AU2996" s="82" t="n">
        <f aca="false">IF(AND(OR(AA2996="R",AA2996="NX",AA2996="NT",AA2996="CO"),OR('JOINTS DE RÉPARATION'!$D$5="TOUTES",B2996='JOINTS DE RÉPARATION'!$D$5),OR('JOINTS DE RÉPARATION'!$L$4="TOUS",AQ2996&lt;&gt;"ACCEPTÉ")),1,0)</f>
        <v>0</v>
      </c>
      <c r="AV2996" s="82" t="str">
        <f aca="false">IF(AU2996=1,SUM(AU$7:AU2996),"")</f>
        <v/>
      </c>
      <c r="AW2996" s="82" t="str">
        <f aca="false">IF(E2996="","",B2996&amp;"|"&amp;E2996)</f>
        <v/>
      </c>
    </row>
    <row r="2997" customFormat="false" ht="15" hidden="false" customHeight="false" outlineLevel="0" collapsed="false">
      <c r="A2997" s="79" t="str">
        <f aca="false">IF(E2997="","",ROW()-6)</f>
        <v/>
      </c>
      <c r="B2997" s="80"/>
      <c r="C2997" s="81"/>
      <c r="D2997" s="81"/>
      <c r="E2997" s="81"/>
      <c r="F2997" s="82" t="str">
        <f aca="false">IF(E2997="","",IF(LEFT(E2997,2)="DJ","DJ","JN"))</f>
        <v/>
      </c>
      <c r="G2997" s="81"/>
      <c r="H2997" s="81"/>
      <c r="I2997" s="81"/>
      <c r="J2997" s="81"/>
      <c r="K2997" s="81"/>
      <c r="L2997" s="81"/>
      <c r="M2997" s="81"/>
      <c r="N2997" s="81"/>
      <c r="O2997" s="81"/>
      <c r="P2997" s="81"/>
      <c r="Q2997" s="81"/>
      <c r="R2997" s="81"/>
      <c r="S2997" s="81"/>
      <c r="T2997" s="81"/>
      <c r="U2997" s="83"/>
      <c r="V2997" s="83"/>
      <c r="W2997" s="81"/>
      <c r="X2997" s="81"/>
      <c r="Y2997" s="83"/>
      <c r="Z2997" s="81"/>
      <c r="AA2997" s="81"/>
      <c r="AB2997" s="81"/>
      <c r="AC2997" s="81"/>
      <c r="AD2997" s="81"/>
      <c r="AE2997" s="83"/>
      <c r="AF2997" s="81"/>
      <c r="AG2997" s="81"/>
      <c r="AH2997" s="81"/>
      <c r="AI2997" s="81"/>
      <c r="AJ2997" s="83"/>
      <c r="AK2997" s="81"/>
      <c r="AL2997" s="81"/>
      <c r="AM2997" s="83"/>
      <c r="AN2997" s="80"/>
      <c r="AO2997" s="82" t="str">
        <f aca="false">IF(E2997="","",(AA2997&lt;&gt;"")+(AG2997&lt;&gt;"")+(AL2997&lt;&gt;""))</f>
        <v/>
      </c>
      <c r="AP2997" s="82" t="str">
        <f aca="false">IF(AL2997&lt;&gt;"",AL2997,IF(AG2997&lt;&gt;"",AG2997,IF(AA2997&lt;&gt;"",AA2997,"")))</f>
        <v/>
      </c>
      <c r="AQ2997" s="84" t="str">
        <f aca="false">IF(E2997="","",IF(U2997="","À SOUDER",IF(X2997="","VT EN ATTENTE",IF(X2997="R","VT REJETÉ – À REPRENDRE",IF(AP2997="","À RADIOGRAPHIER",IF(AP2997="A","ACCEPTÉ",IF(AP2997="NX","NX – RT À REFAIRE",IF(IF(AO2997=1,AD2997,IF(AO2997=2,AI2997,""))="A","RÉPARÉ – À RADIOGRAPHIER",IF(IF(AO2997=1,AD2997,IF(AO2997=2,AI2997,""))="R","VT REJETÉ – À REPRENDRE",IF(OR(AP2997="CO",AP2997="NT"),"COUPE – À RESOUDER","À RÉPARER"))))))))))</f>
        <v/>
      </c>
      <c r="AR2997" s="82" t="str">
        <f aca="false">IF(AND(ISNUMBER(U2997),OR(AQ2997="À RADIOGRAPHIER",AQ2997="RÉPARÉ – À RADIOGRAPHIER",AQ2997="NX – RT À REFAIRE",AQ2997="À RÉPARER",AQ2997="COUPE – À RESOUDER",AQ2997="VT REJETÉ – À REPRENDRE")),MAX(0,'PROGRAMME RT'!$C$4-U2997),"")</f>
        <v/>
      </c>
      <c r="AS2997" s="82" t="n">
        <f aca="false">IF(AND(OR(AQ2997="À RADIOGRAPHIER",AQ2997="RÉPARÉ – À RADIOGRAPHIER",AQ2997="NX – RT À REFAIRE"),OR('PROGRAMME RT'!$D$5="TOUTES",B2997='PROGRAMME RT'!$D$5)),1,0)</f>
        <v>0</v>
      </c>
      <c r="AT2997" s="82" t="str">
        <f aca="false">IF(AS2997=1,SUM(AS$7:AS2997),"")</f>
        <v/>
      </c>
      <c r="AU2997" s="82" t="n">
        <f aca="false">IF(AND(OR(AA2997="R",AA2997="NX",AA2997="NT",AA2997="CO"),OR('JOINTS DE RÉPARATION'!$D$5="TOUTES",B2997='JOINTS DE RÉPARATION'!$D$5),OR('JOINTS DE RÉPARATION'!$L$4="TOUS",AQ2997&lt;&gt;"ACCEPTÉ")),1,0)</f>
        <v>0</v>
      </c>
      <c r="AV2997" s="82" t="str">
        <f aca="false">IF(AU2997=1,SUM(AU$7:AU2997),"")</f>
        <v/>
      </c>
      <c r="AW2997" s="82" t="str">
        <f aca="false">IF(E2997="","",B2997&amp;"|"&amp;E2997)</f>
        <v/>
      </c>
    </row>
    <row r="2998" customFormat="false" ht="15" hidden="false" customHeight="false" outlineLevel="0" collapsed="false">
      <c r="A2998" s="79" t="str">
        <f aca="false">IF(E2998="","",ROW()-6)</f>
        <v/>
      </c>
      <c r="B2998" s="80"/>
      <c r="C2998" s="81"/>
      <c r="D2998" s="81"/>
      <c r="E2998" s="81"/>
      <c r="F2998" s="82" t="str">
        <f aca="false">IF(E2998="","",IF(LEFT(E2998,2)="DJ","DJ","JN"))</f>
        <v/>
      </c>
      <c r="G2998" s="81"/>
      <c r="H2998" s="81"/>
      <c r="I2998" s="81"/>
      <c r="J2998" s="81"/>
      <c r="K2998" s="81"/>
      <c r="L2998" s="81"/>
      <c r="M2998" s="81"/>
      <c r="N2998" s="81"/>
      <c r="O2998" s="81"/>
      <c r="P2998" s="81"/>
      <c r="Q2998" s="81"/>
      <c r="R2998" s="81"/>
      <c r="S2998" s="81"/>
      <c r="T2998" s="81"/>
      <c r="U2998" s="83"/>
      <c r="V2998" s="83"/>
      <c r="W2998" s="81"/>
      <c r="X2998" s="81"/>
      <c r="Y2998" s="83"/>
      <c r="Z2998" s="81"/>
      <c r="AA2998" s="81"/>
      <c r="AB2998" s="81"/>
      <c r="AC2998" s="81"/>
      <c r="AD2998" s="81"/>
      <c r="AE2998" s="83"/>
      <c r="AF2998" s="81"/>
      <c r="AG2998" s="81"/>
      <c r="AH2998" s="81"/>
      <c r="AI2998" s="81"/>
      <c r="AJ2998" s="83"/>
      <c r="AK2998" s="81"/>
      <c r="AL2998" s="81"/>
      <c r="AM2998" s="83"/>
      <c r="AN2998" s="80"/>
      <c r="AO2998" s="82" t="str">
        <f aca="false">IF(E2998="","",(AA2998&lt;&gt;"")+(AG2998&lt;&gt;"")+(AL2998&lt;&gt;""))</f>
        <v/>
      </c>
      <c r="AP2998" s="82" t="str">
        <f aca="false">IF(AL2998&lt;&gt;"",AL2998,IF(AG2998&lt;&gt;"",AG2998,IF(AA2998&lt;&gt;"",AA2998,"")))</f>
        <v/>
      </c>
      <c r="AQ2998" s="84" t="str">
        <f aca="false">IF(E2998="","",IF(U2998="","À SOUDER",IF(X2998="","VT EN ATTENTE",IF(X2998="R","VT REJETÉ – À REPRENDRE",IF(AP2998="","À RADIOGRAPHIER",IF(AP2998="A","ACCEPTÉ",IF(AP2998="NX","NX – RT À REFAIRE",IF(IF(AO2998=1,AD2998,IF(AO2998=2,AI2998,""))="A","RÉPARÉ – À RADIOGRAPHIER",IF(IF(AO2998=1,AD2998,IF(AO2998=2,AI2998,""))="R","VT REJETÉ – À REPRENDRE",IF(OR(AP2998="CO",AP2998="NT"),"COUPE – À RESOUDER","À RÉPARER"))))))))))</f>
        <v/>
      </c>
      <c r="AR2998" s="82" t="str">
        <f aca="false">IF(AND(ISNUMBER(U2998),OR(AQ2998="À RADIOGRAPHIER",AQ2998="RÉPARÉ – À RADIOGRAPHIER",AQ2998="NX – RT À REFAIRE",AQ2998="À RÉPARER",AQ2998="COUPE – À RESOUDER",AQ2998="VT REJETÉ – À REPRENDRE")),MAX(0,'PROGRAMME RT'!$C$4-U2998),"")</f>
        <v/>
      </c>
      <c r="AS2998" s="82" t="n">
        <f aca="false">IF(AND(OR(AQ2998="À RADIOGRAPHIER",AQ2998="RÉPARÉ – À RADIOGRAPHIER",AQ2998="NX – RT À REFAIRE"),OR('PROGRAMME RT'!$D$5="TOUTES",B2998='PROGRAMME RT'!$D$5)),1,0)</f>
        <v>0</v>
      </c>
      <c r="AT2998" s="82" t="str">
        <f aca="false">IF(AS2998=1,SUM(AS$7:AS2998),"")</f>
        <v/>
      </c>
      <c r="AU2998" s="82" t="n">
        <f aca="false">IF(AND(OR(AA2998="R",AA2998="NX",AA2998="NT",AA2998="CO"),OR('JOINTS DE RÉPARATION'!$D$5="TOUTES",B2998='JOINTS DE RÉPARATION'!$D$5),OR('JOINTS DE RÉPARATION'!$L$4="TOUS",AQ2998&lt;&gt;"ACCEPTÉ")),1,0)</f>
        <v>0</v>
      </c>
      <c r="AV2998" s="82" t="str">
        <f aca="false">IF(AU2998=1,SUM(AU$7:AU2998),"")</f>
        <v/>
      </c>
      <c r="AW2998" s="82" t="str">
        <f aca="false">IF(E2998="","",B2998&amp;"|"&amp;E2998)</f>
        <v/>
      </c>
    </row>
    <row r="2999" customFormat="false" ht="15" hidden="false" customHeight="false" outlineLevel="0" collapsed="false">
      <c r="A2999" s="79" t="str">
        <f aca="false">IF(E2999="","",ROW()-6)</f>
        <v/>
      </c>
      <c r="B2999" s="80"/>
      <c r="C2999" s="81"/>
      <c r="D2999" s="81"/>
      <c r="E2999" s="81"/>
      <c r="F2999" s="82" t="str">
        <f aca="false">IF(E2999="","",IF(LEFT(E2999,2)="DJ","DJ","JN"))</f>
        <v/>
      </c>
      <c r="G2999" s="81"/>
      <c r="H2999" s="81"/>
      <c r="I2999" s="81"/>
      <c r="J2999" s="81"/>
      <c r="K2999" s="81"/>
      <c r="L2999" s="81"/>
      <c r="M2999" s="81"/>
      <c r="N2999" s="81"/>
      <c r="O2999" s="81"/>
      <c r="P2999" s="81"/>
      <c r="Q2999" s="81"/>
      <c r="R2999" s="81"/>
      <c r="S2999" s="81"/>
      <c r="T2999" s="81"/>
      <c r="U2999" s="83"/>
      <c r="V2999" s="83"/>
      <c r="W2999" s="81"/>
      <c r="X2999" s="81"/>
      <c r="Y2999" s="83"/>
      <c r="Z2999" s="81"/>
      <c r="AA2999" s="81"/>
      <c r="AB2999" s="81"/>
      <c r="AC2999" s="81"/>
      <c r="AD2999" s="81"/>
      <c r="AE2999" s="83"/>
      <c r="AF2999" s="81"/>
      <c r="AG2999" s="81"/>
      <c r="AH2999" s="81"/>
      <c r="AI2999" s="81"/>
      <c r="AJ2999" s="83"/>
      <c r="AK2999" s="81"/>
      <c r="AL2999" s="81"/>
      <c r="AM2999" s="83"/>
      <c r="AN2999" s="80"/>
      <c r="AO2999" s="82" t="str">
        <f aca="false">IF(E2999="","",(AA2999&lt;&gt;"")+(AG2999&lt;&gt;"")+(AL2999&lt;&gt;""))</f>
        <v/>
      </c>
      <c r="AP2999" s="82" t="str">
        <f aca="false">IF(AL2999&lt;&gt;"",AL2999,IF(AG2999&lt;&gt;"",AG2999,IF(AA2999&lt;&gt;"",AA2999,"")))</f>
        <v/>
      </c>
      <c r="AQ2999" s="84" t="str">
        <f aca="false">IF(E2999="","",IF(U2999="","À SOUDER",IF(X2999="","VT EN ATTENTE",IF(X2999="R","VT REJETÉ – À REPRENDRE",IF(AP2999="","À RADIOGRAPHIER",IF(AP2999="A","ACCEPTÉ",IF(AP2999="NX","NX – RT À REFAIRE",IF(IF(AO2999=1,AD2999,IF(AO2999=2,AI2999,""))="A","RÉPARÉ – À RADIOGRAPHIER",IF(IF(AO2999=1,AD2999,IF(AO2999=2,AI2999,""))="R","VT REJETÉ – À REPRENDRE",IF(OR(AP2999="CO",AP2999="NT"),"COUPE – À RESOUDER","À RÉPARER"))))))))))</f>
        <v/>
      </c>
      <c r="AR2999" s="82" t="str">
        <f aca="false">IF(AND(ISNUMBER(U2999),OR(AQ2999="À RADIOGRAPHIER",AQ2999="RÉPARÉ – À RADIOGRAPHIER",AQ2999="NX – RT À REFAIRE",AQ2999="À RÉPARER",AQ2999="COUPE – À RESOUDER",AQ2999="VT REJETÉ – À REPRENDRE")),MAX(0,'PROGRAMME RT'!$C$4-U2999),"")</f>
        <v/>
      </c>
      <c r="AS2999" s="82" t="n">
        <f aca="false">IF(AND(OR(AQ2999="À RADIOGRAPHIER",AQ2999="RÉPARÉ – À RADIOGRAPHIER",AQ2999="NX – RT À REFAIRE"),OR('PROGRAMME RT'!$D$5="TOUTES",B2999='PROGRAMME RT'!$D$5)),1,0)</f>
        <v>0</v>
      </c>
      <c r="AT2999" s="82" t="str">
        <f aca="false">IF(AS2999=1,SUM(AS$7:AS2999),"")</f>
        <v/>
      </c>
      <c r="AU2999" s="82" t="n">
        <f aca="false">IF(AND(OR(AA2999="R",AA2999="NX",AA2999="NT",AA2999="CO"),OR('JOINTS DE RÉPARATION'!$D$5="TOUTES",B2999='JOINTS DE RÉPARATION'!$D$5),OR('JOINTS DE RÉPARATION'!$L$4="TOUS",AQ2999&lt;&gt;"ACCEPTÉ")),1,0)</f>
        <v>0</v>
      </c>
      <c r="AV2999" s="82" t="str">
        <f aca="false">IF(AU2999=1,SUM(AU$7:AU2999),"")</f>
        <v/>
      </c>
      <c r="AW2999" s="82" t="str">
        <f aca="false">IF(E2999="","",B2999&amp;"|"&amp;E2999)</f>
        <v/>
      </c>
    </row>
    <row r="3000" customFormat="false" ht="15" hidden="false" customHeight="false" outlineLevel="0" collapsed="false">
      <c r="A3000" s="79" t="str">
        <f aca="false">IF(E3000="","",ROW()-6)</f>
        <v/>
      </c>
      <c r="B3000" s="80"/>
      <c r="C3000" s="81"/>
      <c r="D3000" s="81"/>
      <c r="E3000" s="81"/>
      <c r="F3000" s="82" t="str">
        <f aca="false">IF(E3000="","",IF(LEFT(E3000,2)="DJ","DJ","JN"))</f>
        <v/>
      </c>
      <c r="G3000" s="81"/>
      <c r="H3000" s="81"/>
      <c r="I3000" s="81"/>
      <c r="J3000" s="81"/>
      <c r="K3000" s="81"/>
      <c r="L3000" s="81"/>
      <c r="M3000" s="81"/>
      <c r="N3000" s="81"/>
      <c r="O3000" s="81"/>
      <c r="P3000" s="81"/>
      <c r="Q3000" s="81"/>
      <c r="R3000" s="81"/>
      <c r="S3000" s="81"/>
      <c r="T3000" s="81"/>
      <c r="U3000" s="83"/>
      <c r="V3000" s="83"/>
      <c r="W3000" s="81"/>
      <c r="X3000" s="81"/>
      <c r="Y3000" s="83"/>
      <c r="Z3000" s="81"/>
      <c r="AA3000" s="81"/>
      <c r="AB3000" s="81"/>
      <c r="AC3000" s="81"/>
      <c r="AD3000" s="81"/>
      <c r="AE3000" s="83"/>
      <c r="AF3000" s="81"/>
      <c r="AG3000" s="81"/>
      <c r="AH3000" s="81"/>
      <c r="AI3000" s="81"/>
      <c r="AJ3000" s="83"/>
      <c r="AK3000" s="81"/>
      <c r="AL3000" s="81"/>
      <c r="AM3000" s="83"/>
      <c r="AN3000" s="80"/>
      <c r="AO3000" s="82" t="str">
        <f aca="false">IF(E3000="","",(AA3000&lt;&gt;"")+(AG3000&lt;&gt;"")+(AL3000&lt;&gt;""))</f>
        <v/>
      </c>
      <c r="AP3000" s="82" t="str">
        <f aca="false">IF(AL3000&lt;&gt;"",AL3000,IF(AG3000&lt;&gt;"",AG3000,IF(AA3000&lt;&gt;"",AA3000,"")))</f>
        <v/>
      </c>
      <c r="AQ3000" s="84" t="str">
        <f aca="false">IF(E3000="","",IF(U3000="","À SOUDER",IF(X3000="","VT EN ATTENTE",IF(X3000="R","VT REJETÉ – À REPRENDRE",IF(AP3000="","À RADIOGRAPHIER",IF(AP3000="A","ACCEPTÉ",IF(AP3000="NX","NX – RT À REFAIRE",IF(IF(AO3000=1,AD3000,IF(AO3000=2,AI3000,""))="A","RÉPARÉ – À RADIOGRAPHIER",IF(IF(AO3000=1,AD3000,IF(AO3000=2,AI3000,""))="R","VT REJETÉ – À REPRENDRE",IF(OR(AP3000="CO",AP3000="NT"),"COUPE – À RESOUDER","À RÉPARER"))))))))))</f>
        <v/>
      </c>
      <c r="AR3000" s="82" t="str">
        <f aca="false">IF(AND(ISNUMBER(U3000),OR(AQ3000="À RADIOGRAPHIER",AQ3000="RÉPARÉ – À RADIOGRAPHIER",AQ3000="NX – RT À REFAIRE",AQ3000="À RÉPARER",AQ3000="COUPE – À RESOUDER",AQ3000="VT REJETÉ – À REPRENDRE")),MAX(0,'PROGRAMME RT'!$C$4-U3000),"")</f>
        <v/>
      </c>
      <c r="AS3000" s="82" t="n">
        <f aca="false">IF(AND(OR(AQ3000="À RADIOGRAPHIER",AQ3000="RÉPARÉ – À RADIOGRAPHIER",AQ3000="NX – RT À REFAIRE"),OR('PROGRAMME RT'!$D$5="TOUTES",B3000='PROGRAMME RT'!$D$5)),1,0)</f>
        <v>0</v>
      </c>
      <c r="AT3000" s="82" t="str">
        <f aca="false">IF(AS3000=1,SUM(AS$7:AS3000),"")</f>
        <v/>
      </c>
      <c r="AU3000" s="82" t="n">
        <f aca="false">IF(AND(OR(AA3000="R",AA3000="NX",AA3000="NT",AA3000="CO"),OR('JOINTS DE RÉPARATION'!$D$5="TOUTES",B3000='JOINTS DE RÉPARATION'!$D$5),OR('JOINTS DE RÉPARATION'!$L$4="TOUS",AQ3000&lt;&gt;"ACCEPTÉ")),1,0)</f>
        <v>0</v>
      </c>
      <c r="AV3000" s="82" t="str">
        <f aca="false">IF(AU3000=1,SUM(AU$7:AU3000),"")</f>
        <v/>
      </c>
      <c r="AW3000" s="82" t="str">
        <f aca="false">IF(E3000="","",B3000&amp;"|"&amp;E3000)</f>
        <v/>
      </c>
    </row>
    <row r="3001" customFormat="false" ht="15" hidden="false" customHeight="false" outlineLevel="0" collapsed="false">
      <c r="A3001" s="79" t="str">
        <f aca="false">IF(E3001="","",ROW()-6)</f>
        <v/>
      </c>
      <c r="B3001" s="80"/>
      <c r="C3001" s="81"/>
      <c r="D3001" s="81"/>
      <c r="E3001" s="81"/>
      <c r="F3001" s="82" t="str">
        <f aca="false">IF(E3001="","",IF(LEFT(E3001,2)="DJ","DJ","JN"))</f>
        <v/>
      </c>
      <c r="G3001" s="81"/>
      <c r="H3001" s="81"/>
      <c r="I3001" s="81"/>
      <c r="J3001" s="81"/>
      <c r="K3001" s="81"/>
      <c r="L3001" s="81"/>
      <c r="M3001" s="81"/>
      <c r="N3001" s="81"/>
      <c r="O3001" s="81"/>
      <c r="P3001" s="81"/>
      <c r="Q3001" s="81"/>
      <c r="R3001" s="81"/>
      <c r="S3001" s="81"/>
      <c r="T3001" s="81"/>
      <c r="U3001" s="83"/>
      <c r="V3001" s="83"/>
      <c r="W3001" s="81"/>
      <c r="X3001" s="81"/>
      <c r="Y3001" s="83"/>
      <c r="Z3001" s="81"/>
      <c r="AA3001" s="81"/>
      <c r="AB3001" s="81"/>
      <c r="AC3001" s="81"/>
      <c r="AD3001" s="81"/>
      <c r="AE3001" s="83"/>
      <c r="AF3001" s="81"/>
      <c r="AG3001" s="81"/>
      <c r="AH3001" s="81"/>
      <c r="AI3001" s="81"/>
      <c r="AJ3001" s="83"/>
      <c r="AK3001" s="81"/>
      <c r="AL3001" s="81"/>
      <c r="AM3001" s="83"/>
      <c r="AN3001" s="80"/>
      <c r="AO3001" s="82" t="str">
        <f aca="false">IF(E3001="","",(AA3001&lt;&gt;"")+(AG3001&lt;&gt;"")+(AL3001&lt;&gt;""))</f>
        <v/>
      </c>
      <c r="AP3001" s="82" t="str">
        <f aca="false">IF(AL3001&lt;&gt;"",AL3001,IF(AG3001&lt;&gt;"",AG3001,IF(AA3001&lt;&gt;"",AA3001,"")))</f>
        <v/>
      </c>
      <c r="AQ3001" s="84" t="str">
        <f aca="false">IF(E3001="","",IF(U3001="","À SOUDER",IF(X3001="","VT EN ATTENTE",IF(X3001="R","VT REJETÉ – À REPRENDRE",IF(AP3001="","À RADIOGRAPHIER",IF(AP3001="A","ACCEPTÉ",IF(AP3001="NX","NX – RT À REFAIRE",IF(IF(AO3001=1,AD3001,IF(AO3001=2,AI3001,""))="A","RÉPARÉ – À RADIOGRAPHIER",IF(IF(AO3001=1,AD3001,IF(AO3001=2,AI3001,""))="R","VT REJETÉ – À REPRENDRE",IF(OR(AP3001="CO",AP3001="NT"),"COUPE – À RESOUDER","À RÉPARER"))))))))))</f>
        <v/>
      </c>
      <c r="AR3001" s="82" t="str">
        <f aca="false">IF(AND(ISNUMBER(U3001),OR(AQ3001="À RADIOGRAPHIER",AQ3001="RÉPARÉ – À RADIOGRAPHIER",AQ3001="NX – RT À REFAIRE",AQ3001="À RÉPARER",AQ3001="COUPE – À RESOUDER",AQ3001="VT REJETÉ – À REPRENDRE")),MAX(0,'PROGRAMME RT'!$C$4-U3001),"")</f>
        <v/>
      </c>
      <c r="AS3001" s="82" t="n">
        <f aca="false">IF(AND(OR(AQ3001="À RADIOGRAPHIER",AQ3001="RÉPARÉ – À RADIOGRAPHIER",AQ3001="NX – RT À REFAIRE"),OR('PROGRAMME RT'!$D$5="TOUTES",B3001='PROGRAMME RT'!$D$5)),1,0)</f>
        <v>0</v>
      </c>
      <c r="AT3001" s="82" t="str">
        <f aca="false">IF(AS3001=1,SUM(AS$7:AS3001),"")</f>
        <v/>
      </c>
      <c r="AU3001" s="82" t="n">
        <f aca="false">IF(AND(OR(AA3001="R",AA3001="NX",AA3001="NT",AA3001="CO"),OR('JOINTS DE RÉPARATION'!$D$5="TOUTES",B3001='JOINTS DE RÉPARATION'!$D$5),OR('JOINTS DE RÉPARATION'!$L$4="TOUS",AQ3001&lt;&gt;"ACCEPTÉ")),1,0)</f>
        <v>0</v>
      </c>
      <c r="AV3001" s="82" t="str">
        <f aca="false">IF(AU3001=1,SUM(AU$7:AU3001),"")</f>
        <v/>
      </c>
      <c r="AW3001" s="82" t="str">
        <f aca="false">IF(E3001="","",B3001&amp;"|"&amp;E3001)</f>
        <v/>
      </c>
    </row>
    <row r="3002" customFormat="false" ht="15" hidden="false" customHeight="false" outlineLevel="0" collapsed="false">
      <c r="A3002" s="79" t="str">
        <f aca="false">IF(E3002="","",ROW()-6)</f>
        <v/>
      </c>
      <c r="B3002" s="80"/>
      <c r="C3002" s="81"/>
      <c r="D3002" s="81"/>
      <c r="E3002" s="81"/>
      <c r="F3002" s="82" t="str">
        <f aca="false">IF(E3002="","",IF(LEFT(E3002,2)="DJ","DJ","JN"))</f>
        <v/>
      </c>
      <c r="G3002" s="81"/>
      <c r="H3002" s="81"/>
      <c r="I3002" s="81"/>
      <c r="J3002" s="81"/>
      <c r="K3002" s="81"/>
      <c r="L3002" s="81"/>
      <c r="M3002" s="81"/>
      <c r="N3002" s="81"/>
      <c r="O3002" s="81"/>
      <c r="P3002" s="81"/>
      <c r="Q3002" s="81"/>
      <c r="R3002" s="81"/>
      <c r="S3002" s="81"/>
      <c r="T3002" s="81"/>
      <c r="U3002" s="83"/>
      <c r="V3002" s="83"/>
      <c r="W3002" s="81"/>
      <c r="X3002" s="81"/>
      <c r="Y3002" s="83"/>
      <c r="Z3002" s="81"/>
      <c r="AA3002" s="81"/>
      <c r="AB3002" s="81"/>
      <c r="AC3002" s="81"/>
      <c r="AD3002" s="81"/>
      <c r="AE3002" s="83"/>
      <c r="AF3002" s="81"/>
      <c r="AG3002" s="81"/>
      <c r="AH3002" s="81"/>
      <c r="AI3002" s="81"/>
      <c r="AJ3002" s="83"/>
      <c r="AK3002" s="81"/>
      <c r="AL3002" s="81"/>
      <c r="AM3002" s="83"/>
      <c r="AN3002" s="80"/>
      <c r="AO3002" s="82" t="str">
        <f aca="false">IF(E3002="","",(AA3002&lt;&gt;"")+(AG3002&lt;&gt;"")+(AL3002&lt;&gt;""))</f>
        <v/>
      </c>
      <c r="AP3002" s="82" t="str">
        <f aca="false">IF(AL3002&lt;&gt;"",AL3002,IF(AG3002&lt;&gt;"",AG3002,IF(AA3002&lt;&gt;"",AA3002,"")))</f>
        <v/>
      </c>
      <c r="AQ3002" s="84" t="str">
        <f aca="false">IF(E3002="","",IF(U3002="","À SOUDER",IF(X3002="","VT EN ATTENTE",IF(X3002="R","VT REJETÉ – À REPRENDRE",IF(AP3002="","À RADIOGRAPHIER",IF(AP3002="A","ACCEPTÉ",IF(AP3002="NX","NX – RT À REFAIRE",IF(IF(AO3002=1,AD3002,IF(AO3002=2,AI3002,""))="A","RÉPARÉ – À RADIOGRAPHIER",IF(IF(AO3002=1,AD3002,IF(AO3002=2,AI3002,""))="R","VT REJETÉ – À REPRENDRE",IF(OR(AP3002="CO",AP3002="NT"),"COUPE – À RESOUDER","À RÉPARER"))))))))))</f>
        <v/>
      </c>
      <c r="AR3002" s="82" t="str">
        <f aca="false">IF(AND(ISNUMBER(U3002),OR(AQ3002="À RADIOGRAPHIER",AQ3002="RÉPARÉ – À RADIOGRAPHIER",AQ3002="NX – RT À REFAIRE",AQ3002="À RÉPARER",AQ3002="COUPE – À RESOUDER",AQ3002="VT REJETÉ – À REPRENDRE")),MAX(0,'PROGRAMME RT'!$C$4-U3002),"")</f>
        <v/>
      </c>
      <c r="AS3002" s="82" t="n">
        <f aca="false">IF(AND(OR(AQ3002="À RADIOGRAPHIER",AQ3002="RÉPARÉ – À RADIOGRAPHIER",AQ3002="NX – RT À REFAIRE"),OR('PROGRAMME RT'!$D$5="TOUTES",B3002='PROGRAMME RT'!$D$5)),1,0)</f>
        <v>0</v>
      </c>
      <c r="AT3002" s="82" t="str">
        <f aca="false">IF(AS3002=1,SUM(AS$7:AS3002),"")</f>
        <v/>
      </c>
      <c r="AU3002" s="82" t="n">
        <f aca="false">IF(AND(OR(AA3002="R",AA3002="NX",AA3002="NT",AA3002="CO"),OR('JOINTS DE RÉPARATION'!$D$5="TOUTES",B3002='JOINTS DE RÉPARATION'!$D$5),OR('JOINTS DE RÉPARATION'!$L$4="TOUS",AQ3002&lt;&gt;"ACCEPTÉ")),1,0)</f>
        <v>0</v>
      </c>
      <c r="AV3002" s="82" t="str">
        <f aca="false">IF(AU3002=1,SUM(AU$7:AU3002),"")</f>
        <v/>
      </c>
      <c r="AW3002" s="82" t="str">
        <f aca="false">IF(E3002="","",B3002&amp;"|"&amp;E3002)</f>
        <v/>
      </c>
    </row>
    <row r="3003" customFormat="false" ht="15" hidden="false" customHeight="false" outlineLevel="0" collapsed="false">
      <c r="A3003" s="79" t="str">
        <f aca="false">IF(E3003="","",ROW()-6)</f>
        <v/>
      </c>
      <c r="B3003" s="80"/>
      <c r="C3003" s="81"/>
      <c r="D3003" s="81"/>
      <c r="E3003" s="81"/>
      <c r="F3003" s="82" t="str">
        <f aca="false">IF(E3003="","",IF(LEFT(E3003,2)="DJ","DJ","JN"))</f>
        <v/>
      </c>
      <c r="G3003" s="81"/>
      <c r="H3003" s="81"/>
      <c r="I3003" s="81"/>
      <c r="J3003" s="81"/>
      <c r="K3003" s="81"/>
      <c r="L3003" s="81"/>
      <c r="M3003" s="81"/>
      <c r="N3003" s="81"/>
      <c r="O3003" s="81"/>
      <c r="P3003" s="81"/>
      <c r="Q3003" s="81"/>
      <c r="R3003" s="81"/>
      <c r="S3003" s="81"/>
      <c r="T3003" s="81"/>
      <c r="U3003" s="83"/>
      <c r="V3003" s="83"/>
      <c r="W3003" s="81"/>
      <c r="X3003" s="81"/>
      <c r="Y3003" s="83"/>
      <c r="Z3003" s="81"/>
      <c r="AA3003" s="81"/>
      <c r="AB3003" s="81"/>
      <c r="AC3003" s="81"/>
      <c r="AD3003" s="81"/>
      <c r="AE3003" s="83"/>
      <c r="AF3003" s="81"/>
      <c r="AG3003" s="81"/>
      <c r="AH3003" s="81"/>
      <c r="AI3003" s="81"/>
      <c r="AJ3003" s="83"/>
      <c r="AK3003" s="81"/>
      <c r="AL3003" s="81"/>
      <c r="AM3003" s="83"/>
      <c r="AN3003" s="80"/>
      <c r="AO3003" s="82" t="str">
        <f aca="false">IF(E3003="","",(AA3003&lt;&gt;"")+(AG3003&lt;&gt;"")+(AL3003&lt;&gt;""))</f>
        <v/>
      </c>
      <c r="AP3003" s="82" t="str">
        <f aca="false">IF(AL3003&lt;&gt;"",AL3003,IF(AG3003&lt;&gt;"",AG3003,IF(AA3003&lt;&gt;"",AA3003,"")))</f>
        <v/>
      </c>
      <c r="AQ3003" s="84" t="str">
        <f aca="false">IF(E3003="","",IF(U3003="","À SOUDER",IF(X3003="","VT EN ATTENTE",IF(X3003="R","VT REJETÉ – À REPRENDRE",IF(AP3003="","À RADIOGRAPHIER",IF(AP3003="A","ACCEPTÉ",IF(AP3003="NX","NX – RT À REFAIRE",IF(IF(AO3003=1,AD3003,IF(AO3003=2,AI3003,""))="A","RÉPARÉ – À RADIOGRAPHIER",IF(IF(AO3003=1,AD3003,IF(AO3003=2,AI3003,""))="R","VT REJETÉ – À REPRENDRE",IF(OR(AP3003="CO",AP3003="NT"),"COUPE – À RESOUDER","À RÉPARER"))))))))))</f>
        <v/>
      </c>
      <c r="AR3003" s="82" t="str">
        <f aca="false">IF(AND(ISNUMBER(U3003),OR(AQ3003="À RADIOGRAPHIER",AQ3003="RÉPARÉ – À RADIOGRAPHIER",AQ3003="NX – RT À REFAIRE",AQ3003="À RÉPARER",AQ3003="COUPE – À RESOUDER",AQ3003="VT REJETÉ – À REPRENDRE")),MAX(0,'PROGRAMME RT'!$C$4-U3003),"")</f>
        <v/>
      </c>
      <c r="AS3003" s="82" t="n">
        <f aca="false">IF(AND(OR(AQ3003="À RADIOGRAPHIER",AQ3003="RÉPARÉ – À RADIOGRAPHIER",AQ3003="NX – RT À REFAIRE"),OR('PROGRAMME RT'!$D$5="TOUTES",B3003='PROGRAMME RT'!$D$5)),1,0)</f>
        <v>0</v>
      </c>
      <c r="AT3003" s="82" t="str">
        <f aca="false">IF(AS3003=1,SUM(AS$7:AS3003),"")</f>
        <v/>
      </c>
      <c r="AU3003" s="82" t="n">
        <f aca="false">IF(AND(OR(AA3003="R",AA3003="NX",AA3003="NT",AA3003="CO"),OR('JOINTS DE RÉPARATION'!$D$5="TOUTES",B3003='JOINTS DE RÉPARATION'!$D$5),OR('JOINTS DE RÉPARATION'!$L$4="TOUS",AQ3003&lt;&gt;"ACCEPTÉ")),1,0)</f>
        <v>0</v>
      </c>
      <c r="AV3003" s="82" t="str">
        <f aca="false">IF(AU3003=1,SUM(AU$7:AU3003),"")</f>
        <v/>
      </c>
      <c r="AW3003" s="82" t="str">
        <f aca="false">IF(E3003="","",B3003&amp;"|"&amp;E3003)</f>
        <v/>
      </c>
    </row>
    <row r="3004" customFormat="false" ht="15" hidden="false" customHeight="false" outlineLevel="0" collapsed="false">
      <c r="A3004" s="79" t="str">
        <f aca="false">IF(E3004="","",ROW()-6)</f>
        <v/>
      </c>
      <c r="B3004" s="80"/>
      <c r="C3004" s="81"/>
      <c r="D3004" s="81"/>
      <c r="E3004" s="81"/>
      <c r="F3004" s="82" t="str">
        <f aca="false">IF(E3004="","",IF(LEFT(E3004,2)="DJ","DJ","JN"))</f>
        <v/>
      </c>
      <c r="G3004" s="81"/>
      <c r="H3004" s="81"/>
      <c r="I3004" s="81"/>
      <c r="J3004" s="81"/>
      <c r="K3004" s="81"/>
      <c r="L3004" s="81"/>
      <c r="M3004" s="81"/>
      <c r="N3004" s="81"/>
      <c r="O3004" s="81"/>
      <c r="P3004" s="81"/>
      <c r="Q3004" s="81"/>
      <c r="R3004" s="81"/>
      <c r="S3004" s="81"/>
      <c r="T3004" s="81"/>
      <c r="U3004" s="83"/>
      <c r="V3004" s="83"/>
      <c r="W3004" s="81"/>
      <c r="X3004" s="81"/>
      <c r="Y3004" s="83"/>
      <c r="Z3004" s="81"/>
      <c r="AA3004" s="81"/>
      <c r="AB3004" s="81"/>
      <c r="AC3004" s="81"/>
      <c r="AD3004" s="81"/>
      <c r="AE3004" s="83"/>
      <c r="AF3004" s="81"/>
      <c r="AG3004" s="81"/>
      <c r="AH3004" s="81"/>
      <c r="AI3004" s="81"/>
      <c r="AJ3004" s="83"/>
      <c r="AK3004" s="81"/>
      <c r="AL3004" s="81"/>
      <c r="AM3004" s="83"/>
      <c r="AN3004" s="80"/>
      <c r="AO3004" s="82" t="str">
        <f aca="false">IF(E3004="","",(AA3004&lt;&gt;"")+(AG3004&lt;&gt;"")+(AL3004&lt;&gt;""))</f>
        <v/>
      </c>
      <c r="AP3004" s="82" t="str">
        <f aca="false">IF(AL3004&lt;&gt;"",AL3004,IF(AG3004&lt;&gt;"",AG3004,IF(AA3004&lt;&gt;"",AA3004,"")))</f>
        <v/>
      </c>
      <c r="AQ3004" s="84" t="str">
        <f aca="false">IF(E3004="","",IF(U3004="","À SOUDER",IF(X3004="","VT EN ATTENTE",IF(X3004="R","VT REJETÉ – À REPRENDRE",IF(AP3004="","À RADIOGRAPHIER",IF(AP3004="A","ACCEPTÉ",IF(AP3004="NX","NX – RT À REFAIRE",IF(IF(AO3004=1,AD3004,IF(AO3004=2,AI3004,""))="A","RÉPARÉ – À RADIOGRAPHIER",IF(IF(AO3004=1,AD3004,IF(AO3004=2,AI3004,""))="R","VT REJETÉ – À REPRENDRE",IF(OR(AP3004="CO",AP3004="NT"),"COUPE – À RESOUDER","À RÉPARER"))))))))))</f>
        <v/>
      </c>
      <c r="AR3004" s="82" t="str">
        <f aca="false">IF(AND(ISNUMBER(U3004),OR(AQ3004="À RADIOGRAPHIER",AQ3004="RÉPARÉ – À RADIOGRAPHIER",AQ3004="NX – RT À REFAIRE",AQ3004="À RÉPARER",AQ3004="COUPE – À RESOUDER",AQ3004="VT REJETÉ – À REPRENDRE")),MAX(0,'PROGRAMME RT'!$C$4-U3004),"")</f>
        <v/>
      </c>
      <c r="AS3004" s="82" t="n">
        <f aca="false">IF(AND(OR(AQ3004="À RADIOGRAPHIER",AQ3004="RÉPARÉ – À RADIOGRAPHIER",AQ3004="NX – RT À REFAIRE"),OR('PROGRAMME RT'!$D$5="TOUTES",B3004='PROGRAMME RT'!$D$5)),1,0)</f>
        <v>0</v>
      </c>
      <c r="AT3004" s="82" t="str">
        <f aca="false">IF(AS3004=1,SUM(AS$7:AS3004),"")</f>
        <v/>
      </c>
      <c r="AU3004" s="82" t="n">
        <f aca="false">IF(AND(OR(AA3004="R",AA3004="NX",AA3004="NT",AA3004="CO"),OR('JOINTS DE RÉPARATION'!$D$5="TOUTES",B3004='JOINTS DE RÉPARATION'!$D$5),OR('JOINTS DE RÉPARATION'!$L$4="TOUS",AQ3004&lt;&gt;"ACCEPTÉ")),1,0)</f>
        <v>0</v>
      </c>
      <c r="AV3004" s="82" t="str">
        <f aca="false">IF(AU3004=1,SUM(AU$7:AU3004),"")</f>
        <v/>
      </c>
      <c r="AW3004" s="82" t="str">
        <f aca="false">IF(E3004="","",B3004&amp;"|"&amp;E3004)</f>
        <v/>
      </c>
    </row>
    <row r="3005" customFormat="false" ht="15" hidden="false" customHeight="false" outlineLevel="0" collapsed="false">
      <c r="A3005" s="79" t="str">
        <f aca="false">IF(E3005="","",ROW()-6)</f>
        <v/>
      </c>
      <c r="B3005" s="80"/>
      <c r="C3005" s="81"/>
      <c r="D3005" s="81"/>
      <c r="E3005" s="81"/>
      <c r="F3005" s="82" t="str">
        <f aca="false">IF(E3005="","",IF(LEFT(E3005,2)="DJ","DJ","JN"))</f>
        <v/>
      </c>
      <c r="G3005" s="81"/>
      <c r="H3005" s="81"/>
      <c r="I3005" s="81"/>
      <c r="J3005" s="81"/>
      <c r="K3005" s="81"/>
      <c r="L3005" s="81"/>
      <c r="M3005" s="81"/>
      <c r="N3005" s="81"/>
      <c r="O3005" s="81"/>
      <c r="P3005" s="81"/>
      <c r="Q3005" s="81"/>
      <c r="R3005" s="81"/>
      <c r="S3005" s="81"/>
      <c r="T3005" s="81"/>
      <c r="U3005" s="83"/>
      <c r="V3005" s="83"/>
      <c r="W3005" s="81"/>
      <c r="X3005" s="81"/>
      <c r="Y3005" s="83"/>
      <c r="Z3005" s="81"/>
      <c r="AA3005" s="81"/>
      <c r="AB3005" s="81"/>
      <c r="AC3005" s="81"/>
      <c r="AD3005" s="81"/>
      <c r="AE3005" s="83"/>
      <c r="AF3005" s="81"/>
      <c r="AG3005" s="81"/>
      <c r="AH3005" s="81"/>
      <c r="AI3005" s="81"/>
      <c r="AJ3005" s="83"/>
      <c r="AK3005" s="81"/>
      <c r="AL3005" s="81"/>
      <c r="AM3005" s="83"/>
      <c r="AN3005" s="80"/>
      <c r="AO3005" s="82" t="str">
        <f aca="false">IF(E3005="","",(AA3005&lt;&gt;"")+(AG3005&lt;&gt;"")+(AL3005&lt;&gt;""))</f>
        <v/>
      </c>
      <c r="AP3005" s="82" t="str">
        <f aca="false">IF(AL3005&lt;&gt;"",AL3005,IF(AG3005&lt;&gt;"",AG3005,IF(AA3005&lt;&gt;"",AA3005,"")))</f>
        <v/>
      </c>
      <c r="AQ3005" s="84" t="str">
        <f aca="false">IF(E3005="","",IF(U3005="","À SOUDER",IF(X3005="","VT EN ATTENTE",IF(X3005="R","VT REJETÉ – À REPRENDRE",IF(AP3005="","À RADIOGRAPHIER",IF(AP3005="A","ACCEPTÉ",IF(AP3005="NX","NX – RT À REFAIRE",IF(IF(AO3005=1,AD3005,IF(AO3005=2,AI3005,""))="A","RÉPARÉ – À RADIOGRAPHIER",IF(IF(AO3005=1,AD3005,IF(AO3005=2,AI3005,""))="R","VT REJETÉ – À REPRENDRE",IF(OR(AP3005="CO",AP3005="NT"),"COUPE – À RESOUDER","À RÉPARER"))))))))))</f>
        <v/>
      </c>
      <c r="AR3005" s="82" t="str">
        <f aca="false">IF(AND(ISNUMBER(U3005),OR(AQ3005="À RADIOGRAPHIER",AQ3005="RÉPARÉ – À RADIOGRAPHIER",AQ3005="NX – RT À REFAIRE",AQ3005="À RÉPARER",AQ3005="COUPE – À RESOUDER",AQ3005="VT REJETÉ – À REPRENDRE")),MAX(0,'PROGRAMME RT'!$C$4-U3005),"")</f>
        <v/>
      </c>
      <c r="AS3005" s="82" t="n">
        <f aca="false">IF(AND(OR(AQ3005="À RADIOGRAPHIER",AQ3005="RÉPARÉ – À RADIOGRAPHIER",AQ3005="NX – RT À REFAIRE"),OR('PROGRAMME RT'!$D$5="TOUTES",B3005='PROGRAMME RT'!$D$5)),1,0)</f>
        <v>0</v>
      </c>
      <c r="AT3005" s="82" t="str">
        <f aca="false">IF(AS3005=1,SUM(AS$7:AS3005),"")</f>
        <v/>
      </c>
      <c r="AU3005" s="82" t="n">
        <f aca="false">IF(AND(OR(AA3005="R",AA3005="NX",AA3005="NT",AA3005="CO"),OR('JOINTS DE RÉPARATION'!$D$5="TOUTES",B3005='JOINTS DE RÉPARATION'!$D$5),OR('JOINTS DE RÉPARATION'!$L$4="TOUS",AQ3005&lt;&gt;"ACCEPTÉ")),1,0)</f>
        <v>0</v>
      </c>
      <c r="AV3005" s="82" t="str">
        <f aca="false">IF(AU3005=1,SUM(AU$7:AU3005),"")</f>
        <v/>
      </c>
      <c r="AW3005" s="82" t="str">
        <f aca="false">IF(E3005="","",B3005&amp;"|"&amp;E3005)</f>
        <v/>
      </c>
    </row>
    <row r="3006" customFormat="false" ht="15" hidden="false" customHeight="false" outlineLevel="0" collapsed="false">
      <c r="A3006" s="79" t="str">
        <f aca="false">IF(E3006="","",ROW()-6)</f>
        <v/>
      </c>
      <c r="B3006" s="80"/>
      <c r="C3006" s="81"/>
      <c r="D3006" s="81"/>
      <c r="E3006" s="81"/>
      <c r="F3006" s="82" t="str">
        <f aca="false">IF(E3006="","",IF(LEFT(E3006,2)="DJ","DJ","JN"))</f>
        <v/>
      </c>
      <c r="G3006" s="81"/>
      <c r="H3006" s="81"/>
      <c r="I3006" s="81"/>
      <c r="J3006" s="81"/>
      <c r="K3006" s="81"/>
      <c r="L3006" s="81"/>
      <c r="M3006" s="81"/>
      <c r="N3006" s="81"/>
      <c r="O3006" s="81"/>
      <c r="P3006" s="81"/>
      <c r="Q3006" s="81"/>
      <c r="R3006" s="81"/>
      <c r="S3006" s="81"/>
      <c r="T3006" s="81"/>
      <c r="U3006" s="83"/>
      <c r="V3006" s="83"/>
      <c r="W3006" s="81"/>
      <c r="X3006" s="81"/>
      <c r="Y3006" s="83"/>
      <c r="Z3006" s="81"/>
      <c r="AA3006" s="81"/>
      <c r="AB3006" s="81"/>
      <c r="AC3006" s="81"/>
      <c r="AD3006" s="81"/>
      <c r="AE3006" s="83"/>
      <c r="AF3006" s="81"/>
      <c r="AG3006" s="81"/>
      <c r="AH3006" s="81"/>
      <c r="AI3006" s="81"/>
      <c r="AJ3006" s="83"/>
      <c r="AK3006" s="81"/>
      <c r="AL3006" s="81"/>
      <c r="AM3006" s="83"/>
      <c r="AN3006" s="80"/>
      <c r="AO3006" s="82" t="str">
        <f aca="false">IF(E3006="","",(AA3006&lt;&gt;"")+(AG3006&lt;&gt;"")+(AL3006&lt;&gt;""))</f>
        <v/>
      </c>
      <c r="AP3006" s="82" t="str">
        <f aca="false">IF(AL3006&lt;&gt;"",AL3006,IF(AG3006&lt;&gt;"",AG3006,IF(AA3006&lt;&gt;"",AA3006,"")))</f>
        <v/>
      </c>
      <c r="AQ3006" s="84" t="str">
        <f aca="false">IF(E3006="","",IF(U3006="","À SOUDER",IF(X3006="","VT EN ATTENTE",IF(X3006="R","VT REJETÉ – À REPRENDRE",IF(AP3006="","À RADIOGRAPHIER",IF(AP3006="A","ACCEPTÉ",IF(AP3006="NX","NX – RT À REFAIRE",IF(IF(AO3006=1,AD3006,IF(AO3006=2,AI3006,""))="A","RÉPARÉ – À RADIOGRAPHIER",IF(IF(AO3006=1,AD3006,IF(AO3006=2,AI3006,""))="R","VT REJETÉ – À REPRENDRE",IF(OR(AP3006="CO",AP3006="NT"),"COUPE – À RESOUDER","À RÉPARER"))))))))))</f>
        <v/>
      </c>
      <c r="AR3006" s="82" t="str">
        <f aca="false">IF(AND(ISNUMBER(U3006),OR(AQ3006="À RADIOGRAPHIER",AQ3006="RÉPARÉ – À RADIOGRAPHIER",AQ3006="NX – RT À REFAIRE",AQ3006="À RÉPARER",AQ3006="COUPE – À RESOUDER",AQ3006="VT REJETÉ – À REPRENDRE")),MAX(0,'PROGRAMME RT'!$C$4-U3006),"")</f>
        <v/>
      </c>
      <c r="AS3006" s="82" t="n">
        <f aca="false">IF(AND(OR(AQ3006="À RADIOGRAPHIER",AQ3006="RÉPARÉ – À RADIOGRAPHIER",AQ3006="NX – RT À REFAIRE"),OR('PROGRAMME RT'!$D$5="TOUTES",B3006='PROGRAMME RT'!$D$5)),1,0)</f>
        <v>0</v>
      </c>
      <c r="AT3006" s="82" t="str">
        <f aca="false">IF(AS3006=1,SUM(AS$7:AS3006),"")</f>
        <v/>
      </c>
      <c r="AU3006" s="82" t="n">
        <f aca="false">IF(AND(OR(AA3006="R",AA3006="NX",AA3006="NT",AA3006="CO"),OR('JOINTS DE RÉPARATION'!$D$5="TOUTES",B3006='JOINTS DE RÉPARATION'!$D$5),OR('JOINTS DE RÉPARATION'!$L$4="TOUS",AQ3006&lt;&gt;"ACCEPTÉ")),1,0)</f>
        <v>0</v>
      </c>
      <c r="AV3006" s="82" t="str">
        <f aca="false">IF(AU3006=1,SUM(AU$7:AU3006),"")</f>
        <v/>
      </c>
      <c r="AW3006" s="82" t="str">
        <f aca="false">IF(E3006="","",B3006&amp;"|"&amp;E3006)</f>
        <v/>
      </c>
    </row>
  </sheetData>
  <mergeCells count="12">
    <mergeCell ref="A1:AR1"/>
    <mergeCell ref="A2:AR2"/>
    <mergeCell ref="M3:O3"/>
    <mergeCell ref="S3:U3"/>
    <mergeCell ref="A5:Q5"/>
    <mergeCell ref="R5:U5"/>
    <mergeCell ref="V5:X5"/>
    <mergeCell ref="Y5:AB5"/>
    <mergeCell ref="AC5:AG5"/>
    <mergeCell ref="AH5:AL5"/>
    <mergeCell ref="AM5:AR5"/>
    <mergeCell ref="AS5:AW5"/>
  </mergeCells>
  <conditionalFormatting sqref="X7:X3006">
    <cfRule type="cellIs" priority="2" operator="equal" aboveAverage="0" equalAverage="0" bottom="0" percent="0" rank="0" text="" dxfId="1">
      <formula>"A"</formula>
    </cfRule>
    <cfRule type="cellIs" priority="3" operator="equal" aboveAverage="0" equalAverage="0" bottom="0" percent="0" rank="0" text="" dxfId="0">
      <formula>"R"</formula>
    </cfRule>
    <cfRule type="cellIs" priority="4" operator="equal" aboveAverage="0" equalAverage="0" bottom="0" percent="0" rank="0" text="" dxfId="27">
      <formula>"NX"</formula>
    </cfRule>
    <cfRule type="cellIs" priority="5" operator="equal" aboveAverage="0" equalAverage="0" bottom="0" percent="0" rank="0" text="" dxfId="28">
      <formula>"NT"</formula>
    </cfRule>
    <cfRule type="cellIs" priority="6" operator="equal" aboveAverage="0" equalAverage="0" bottom="0" percent="0" rank="0" text="" dxfId="29">
      <formula>"CO"</formula>
    </cfRule>
  </conditionalFormatting>
  <conditionalFormatting sqref="AA7:AA3006">
    <cfRule type="cellIs" priority="7" operator="equal" aboveAverage="0" equalAverage="0" bottom="0" percent="0" rank="0" text="" dxfId="1">
      <formula>"A"</formula>
    </cfRule>
    <cfRule type="cellIs" priority="8" operator="equal" aboveAverage="0" equalAverage="0" bottom="0" percent="0" rank="0" text="" dxfId="0">
      <formula>"R"</formula>
    </cfRule>
    <cfRule type="cellIs" priority="9" operator="equal" aboveAverage="0" equalAverage="0" bottom="0" percent="0" rank="0" text="" dxfId="27">
      <formula>"NX"</formula>
    </cfRule>
    <cfRule type="cellIs" priority="10" operator="equal" aboveAverage="0" equalAverage="0" bottom="0" percent="0" rank="0" text="" dxfId="28">
      <formula>"NT"</formula>
    </cfRule>
    <cfRule type="cellIs" priority="11" operator="equal" aboveAverage="0" equalAverage="0" bottom="0" percent="0" rank="0" text="" dxfId="29">
      <formula>"CO"</formula>
    </cfRule>
  </conditionalFormatting>
  <conditionalFormatting sqref="AD7:AD3006">
    <cfRule type="cellIs" priority="12" operator="equal" aboveAverage="0" equalAverage="0" bottom="0" percent="0" rank="0" text="" dxfId="1">
      <formula>"A"</formula>
    </cfRule>
    <cfRule type="cellIs" priority="13" operator="equal" aboveAverage="0" equalAverage="0" bottom="0" percent="0" rank="0" text="" dxfId="0">
      <formula>"R"</formula>
    </cfRule>
    <cfRule type="cellIs" priority="14" operator="equal" aboveAverage="0" equalAverage="0" bottom="0" percent="0" rank="0" text="" dxfId="27">
      <formula>"NX"</formula>
    </cfRule>
    <cfRule type="cellIs" priority="15" operator="equal" aboveAverage="0" equalAverage="0" bottom="0" percent="0" rank="0" text="" dxfId="28">
      <formula>"NT"</formula>
    </cfRule>
    <cfRule type="cellIs" priority="16" operator="equal" aboveAverage="0" equalAverage="0" bottom="0" percent="0" rank="0" text="" dxfId="29">
      <formula>"CO"</formula>
    </cfRule>
  </conditionalFormatting>
  <conditionalFormatting sqref="AG7:AG3006">
    <cfRule type="cellIs" priority="17" operator="equal" aboveAverage="0" equalAverage="0" bottom="0" percent="0" rank="0" text="" dxfId="1">
      <formula>"A"</formula>
    </cfRule>
    <cfRule type="cellIs" priority="18" operator="equal" aboveAverage="0" equalAverage="0" bottom="0" percent="0" rank="0" text="" dxfId="0">
      <formula>"R"</formula>
    </cfRule>
    <cfRule type="cellIs" priority="19" operator="equal" aboveAverage="0" equalAverage="0" bottom="0" percent="0" rank="0" text="" dxfId="27">
      <formula>"NX"</formula>
    </cfRule>
    <cfRule type="cellIs" priority="20" operator="equal" aboveAverage="0" equalAverage="0" bottom="0" percent="0" rank="0" text="" dxfId="28">
      <formula>"NT"</formula>
    </cfRule>
    <cfRule type="cellIs" priority="21" operator="equal" aboveAverage="0" equalAverage="0" bottom="0" percent="0" rank="0" text="" dxfId="29">
      <formula>"CO"</formula>
    </cfRule>
  </conditionalFormatting>
  <conditionalFormatting sqref="AI7:AI3006">
    <cfRule type="cellIs" priority="22" operator="equal" aboveAverage="0" equalAverage="0" bottom="0" percent="0" rank="0" text="" dxfId="1">
      <formula>"A"</formula>
    </cfRule>
    <cfRule type="cellIs" priority="23" operator="equal" aboveAverage="0" equalAverage="0" bottom="0" percent="0" rank="0" text="" dxfId="0">
      <formula>"R"</formula>
    </cfRule>
    <cfRule type="cellIs" priority="24" operator="equal" aboveAverage="0" equalAverage="0" bottom="0" percent="0" rank="0" text="" dxfId="27">
      <formula>"NX"</formula>
    </cfRule>
    <cfRule type="cellIs" priority="25" operator="equal" aboveAverage="0" equalAverage="0" bottom="0" percent="0" rank="0" text="" dxfId="28">
      <formula>"NT"</formula>
    </cfRule>
    <cfRule type="cellIs" priority="26" operator="equal" aboveAverage="0" equalAverage="0" bottom="0" percent="0" rank="0" text="" dxfId="29">
      <formula>"CO"</formula>
    </cfRule>
  </conditionalFormatting>
  <conditionalFormatting sqref="AL7:AL3006">
    <cfRule type="cellIs" priority="27" operator="equal" aboveAverage="0" equalAverage="0" bottom="0" percent="0" rank="0" text="" dxfId="1">
      <formula>"A"</formula>
    </cfRule>
    <cfRule type="cellIs" priority="28" operator="equal" aboveAverage="0" equalAverage="0" bottom="0" percent="0" rank="0" text="" dxfId="0">
      <formula>"R"</formula>
    </cfRule>
    <cfRule type="cellIs" priority="29" operator="equal" aboveAverage="0" equalAverage="0" bottom="0" percent="0" rank="0" text="" dxfId="27">
      <formula>"NX"</formula>
    </cfRule>
    <cfRule type="cellIs" priority="30" operator="equal" aboveAverage="0" equalAverage="0" bottom="0" percent="0" rank="0" text="" dxfId="28">
      <formula>"NT"</formula>
    </cfRule>
    <cfRule type="cellIs" priority="31" operator="equal" aboveAverage="0" equalAverage="0" bottom="0" percent="0" rank="0" text="" dxfId="29">
      <formula>"CO"</formula>
    </cfRule>
  </conditionalFormatting>
  <conditionalFormatting sqref="AP7:AP3006">
    <cfRule type="cellIs" priority="32" operator="equal" aboveAverage="0" equalAverage="0" bottom="0" percent="0" rank="0" text="" dxfId="1">
      <formula>"A"</formula>
    </cfRule>
    <cfRule type="cellIs" priority="33" operator="equal" aboveAverage="0" equalAverage="0" bottom="0" percent="0" rank="0" text="" dxfId="0">
      <formula>"R"</formula>
    </cfRule>
    <cfRule type="cellIs" priority="34" operator="equal" aboveAverage="0" equalAverage="0" bottom="0" percent="0" rank="0" text="" dxfId="27">
      <formula>"NX"</formula>
    </cfRule>
    <cfRule type="cellIs" priority="35" operator="equal" aboveAverage="0" equalAverage="0" bottom="0" percent="0" rank="0" text="" dxfId="28">
      <formula>"NT"</formula>
    </cfRule>
    <cfRule type="cellIs" priority="36" operator="equal" aboveAverage="0" equalAverage="0" bottom="0" percent="0" rank="0" text="" dxfId="29">
      <formula>"CO"</formula>
    </cfRule>
  </conditionalFormatting>
  <conditionalFormatting sqref="AQ7:AQ3006">
    <cfRule type="cellIs" priority="37" operator="equal" aboveAverage="0" equalAverage="0" bottom="0" percent="0" rank="0" text="" dxfId="1">
      <formula>"ACCEPTÉ"</formula>
    </cfRule>
    <cfRule type="cellIs" priority="38" operator="equal" aboveAverage="0" equalAverage="0" bottom="0" percent="0" rank="0" text="" dxfId="30">
      <formula>"À RADIOGRAPHIER"</formula>
    </cfRule>
    <cfRule type="cellIs" priority="39" operator="equal" aboveAverage="0" equalAverage="0" bottom="0" percent="0" rank="0" text="" dxfId="30">
      <formula>"RÉPARÉ – À RADIOGRAPHIER"</formula>
    </cfRule>
    <cfRule type="cellIs" priority="40" operator="equal" aboveAverage="0" equalAverage="0" bottom="0" percent="0" rank="0" text="" dxfId="27">
      <formula>"NX – RT À REFAIRE"</formula>
    </cfRule>
    <cfRule type="cellIs" priority="41" operator="equal" aboveAverage="0" equalAverage="0" bottom="0" percent="0" rank="0" text="" dxfId="0">
      <formula>"À RÉPARER"</formula>
    </cfRule>
    <cfRule type="cellIs" priority="42" operator="equal" aboveAverage="0" equalAverage="0" bottom="0" percent="0" rank="0" text="" dxfId="29">
      <formula>"COUPE – À RESOUDER"</formula>
    </cfRule>
    <cfRule type="cellIs" priority="43" operator="equal" aboveAverage="0" equalAverage="0" bottom="0" percent="0" rank="0" text="" dxfId="0">
      <formula>"VT REJETÉ – À REPRENDRE"</formula>
    </cfRule>
    <cfRule type="cellIs" priority="44" operator="equal" aboveAverage="0" equalAverage="0" bottom="0" percent="0" rank="0" text="" dxfId="31">
      <formula>"VT EN ATTENTE"</formula>
    </cfRule>
    <cfRule type="cellIs" priority="45" operator="equal" aboveAverage="0" equalAverage="0" bottom="0" percent="0" rank="0" text="" dxfId="32">
      <formula>"À SOUDER"</formula>
    </cfRule>
  </conditionalFormatting>
  <conditionalFormatting sqref="AR7:AR3006">
    <cfRule type="expression" priority="46" aboveAverage="0" equalAverage="0" bottom="0" percent="0" rank="0" text="" dxfId="0">
      <formula>AND(ISNUMBER(AR7),AR7&gt;3)</formula>
    </cfRule>
  </conditionalFormatting>
  <conditionalFormatting sqref="A7:E3006">
    <cfRule type="expression" priority="47" aboveAverage="0" equalAverage="0" bottom="0" percent="0" rank="0" text="" dxfId="33">
      <formula>$AQ7="ACCEPTÉ"</formula>
    </cfRule>
  </conditionalFormatting>
  <conditionalFormatting sqref="E7:E3006">
    <cfRule type="expression" priority="48" aboveAverage="0" equalAverage="0" bottom="0" percent="0" rank="0" text="" dxfId="34">
      <formula>AND(E7&lt;&gt;"",COUNTIFS($B$7:$B$3006,B7,$E$7:$E$3006,E7)&gt;1)</formula>
    </cfRule>
  </conditionalFormatting>
  <dataValidations count="4">
    <dataValidation allowBlank="true" error="Choisir la ligne dans la liste (PARAMÈTRES)" errorStyle="stop" errorTitle="Valeur non valide" operator="between" prompt="Choisir la ligne dans la liste (PARAMÈTRES)" showDropDown="false" showErrorMessage="true" showInputMessage="true" sqref="B7:B3006" type="list">
      <formula1>PARAMÈTRES!$B$12:$B$19</formula1>
      <formula2>0</formula2>
    </dataValidation>
    <dataValidation allowBlank="true" error="VT : A = Accepté, R = Rejeté" errorStyle="stop" errorTitle="Valeur non valide" operator="between" prompt="VT : A = Accepté, R = Rejeté" showDropDown="false" showErrorMessage="true" showInputMessage="true" sqref="X7:X3006 AD7:AD3006 AI7:AI3006" type="list">
      <formula1>PARAMÈTRES!$C$32:$C$33</formula1>
      <formula2>0</formula2>
    </dataValidation>
    <dataValidation allowBlank="true" error="RT : A = Accepté, R = À réparer, NX = Reprise de film, NT / CO = À couper" errorStyle="stop" errorTitle="Valeur non valide" operator="between" prompt="RT : A = Accepté, R = À réparer, NX = Reprise de film, NT / CO = À couper" showDropDown="false" showErrorMessage="true" showInputMessage="true" sqref="AA7:AA3006 AG7:AG3006 AL7:AL3006" type="list">
      <formula1>PARAMÈTRES!$D$32:$D$36</formula1>
      <formula2>0</formula2>
    </dataValidation>
    <dataValidation allowBlank="true" error="Saisir une date valide (jj/mm/aaaa)" errorStyle="stop" errorTitle="Date" operator="between" showDropDown="false" showErrorMessage="true" showInputMessage="false" sqref="U7:V3006 Y7:Y3006 AE7:AE3006 AJ7:AJ3006 AM7:AM3006" type="date">
      <formula1>DATE(2020,1,1)</formula1>
      <formula2>DATE(2040,12,31)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6000"/>
    <pageSetUpPr fitToPage="true"/>
  </sheetPr>
  <dimension ref="B1:J198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13"/>
    <col collapsed="false" customWidth="true" hidden="false" outlineLevel="0" max="6" min="6" style="0" width="11"/>
    <col collapsed="false" customWidth="true" hidden="false" outlineLevel="0" max="9" min="7" style="0" width="12"/>
    <col collapsed="false" customWidth="true" hidden="false" outlineLevel="0" max="10" min="10" style="0" width="22"/>
  </cols>
  <sheetData>
    <row r="1" customFormat="false" ht="25.5" hidden="false" customHeight="true" outlineLevel="0" collapsed="false">
      <c r="B1" s="85" t="s">
        <v>3015</v>
      </c>
      <c r="C1" s="85"/>
      <c r="D1" s="85"/>
      <c r="E1" s="85"/>
      <c r="F1" s="85"/>
      <c r="G1" s="85"/>
      <c r="H1" s="85"/>
      <c r="I1" s="85"/>
      <c r="J1" s="85"/>
    </row>
    <row r="2" customFormat="false" ht="15" hidden="false" customHeight="false" outlineLevel="0" collapsed="false">
      <c r="B2" s="86" t="str">
        <f aca="false">PARAMÈTRES!$C$4&amp;"   •   Affaire N° "&amp;PARAMÈTRES!$C$5</f>
        <v>Développement des champs gaziers TFT II — réseau de collecte TFT Sud (LIGNE-16)   •   Affaire N° 8546</v>
      </c>
      <c r="C2" s="86"/>
      <c r="D2" s="86"/>
      <c r="E2" s="86"/>
      <c r="F2" s="86"/>
      <c r="G2" s="86"/>
      <c r="H2" s="86"/>
      <c r="I2" s="86"/>
      <c r="J2" s="86"/>
    </row>
    <row r="3" customFormat="false" ht="19.5" hidden="false" customHeight="true" outlineLevel="0" collapsed="false">
      <c r="B3" s="87" t="s">
        <v>3016</v>
      </c>
      <c r="C3" s="88" t="s">
        <v>110</v>
      </c>
      <c r="D3" s="88"/>
      <c r="E3" s="87" t="s">
        <v>3017</v>
      </c>
      <c r="F3" s="88" t="s">
        <v>3018</v>
      </c>
      <c r="G3" s="87" t="s">
        <v>3019</v>
      </c>
      <c r="H3" s="88" t="s">
        <v>3020</v>
      </c>
      <c r="I3" s="87" t="s">
        <v>3021</v>
      </c>
      <c r="J3" s="89"/>
    </row>
    <row r="4" customFormat="false" ht="27.75" hidden="false" customHeight="true" outlineLevel="0" collapsed="false">
      <c r="B4" s="71" t="s">
        <v>3022</v>
      </c>
      <c r="C4" s="71" t="s">
        <v>3023</v>
      </c>
      <c r="D4" s="71" t="s">
        <v>3024</v>
      </c>
      <c r="E4" s="71" t="s">
        <v>3025</v>
      </c>
      <c r="F4" s="71" t="s">
        <v>3026</v>
      </c>
      <c r="G4" s="71" t="s">
        <v>3027</v>
      </c>
      <c r="H4" s="71" t="s">
        <v>3028</v>
      </c>
      <c r="I4" s="71" t="s">
        <v>3029</v>
      </c>
      <c r="J4" s="71" t="s">
        <v>3030</v>
      </c>
    </row>
    <row r="5" customFormat="false" ht="15" hidden="false" customHeight="false" outlineLevel="0" collapsed="false">
      <c r="B5" s="90" t="n">
        <v>1</v>
      </c>
      <c r="C5" s="91" t="n">
        <v>2091210</v>
      </c>
      <c r="D5" s="92" t="n">
        <f aca="false">IF($C5="","",IFERROR(IF(INDEX('REGISTRE TUBES'!$C$7:$C$2506,MATCH($C5,'REGISTRE TUBES'!$B$7:$B$2506,0))="","",INDEX('REGISTRE TUBES'!$C$7:$C$2506,MATCH($C5,'REGISTRE TUBES'!$B$7:$B$2506,0))),"?"))</f>
        <v>15421109</v>
      </c>
      <c r="E5" s="92" t="str">
        <f aca="false">IF($C5="","",IFERROR(IF(INDEX('REGISTRE TUBES'!$D$7:$D$2506,MATCH($C5,'REGISTRE TUBES'!$B$7:$B$2506,0))="","",INDEX('REGISTRE TUBES'!$D$7:$D$2506,MATCH($C5,'REGISTRE TUBES'!$B$7:$B$2506,0))),"?"))</f>
        <v/>
      </c>
      <c r="F5" s="93" t="n">
        <f aca="false">IF($C5="","",IFERROR(IF(INDEX('REGISTRE TUBES'!$F$7:$F$2506,MATCH($C5,'REGISTRE TUBES'!$B$7:$B$2506,0))="","",INDEX('REGISTRE TUBES'!$F$7:$F$2506,MATCH($C5,'REGISTRE TUBES'!$B$7:$B$2506,0))),"?"))</f>
        <v>11.94</v>
      </c>
      <c r="G5" s="94" t="n">
        <f aca="false">IF($C5="","",N(F5))</f>
        <v>11.94</v>
      </c>
      <c r="H5" s="95" t="s">
        <v>870</v>
      </c>
      <c r="I5" s="96"/>
      <c r="J5" s="97"/>
    </row>
    <row r="6" customFormat="false" ht="15" hidden="false" customHeight="false" outlineLevel="0" collapsed="false">
      <c r="B6" s="98" t="n">
        <v>2</v>
      </c>
      <c r="C6" s="99" t="n">
        <v>2095480</v>
      </c>
      <c r="D6" s="100" t="n">
        <f aca="false">IF($C6="","",IFERROR(IF(INDEX('REGISTRE TUBES'!$C$7:$C$2506,MATCH($C6,'REGISTRE TUBES'!$B$7:$B$2506,0))="","",INDEX('REGISTRE TUBES'!$C$7:$C$2506,MATCH($C6,'REGISTRE TUBES'!$B$7:$B$2506,0))),"?"))</f>
        <v>15421107</v>
      </c>
      <c r="E6" s="100" t="str">
        <f aca="false">IF($C6="","",IFERROR(IF(INDEX('REGISTRE TUBES'!$D$7:$D$2506,MATCH($C6,'REGISTRE TUBES'!$B$7:$B$2506,0))="","",INDEX('REGISTRE TUBES'!$D$7:$D$2506,MATCH($C6,'REGISTRE TUBES'!$B$7:$B$2506,0))),"?"))</f>
        <v/>
      </c>
      <c r="F6" s="101" t="n">
        <f aca="false">IF($C6="","",IFERROR(IF(INDEX('REGISTRE TUBES'!$F$7:$F$2506,MATCH($C6,'REGISTRE TUBES'!$B$7:$B$2506,0))="","",INDEX('REGISTRE TUBES'!$F$7:$F$2506,MATCH($C6,'REGISTRE TUBES'!$B$7:$B$2506,0))),"?"))</f>
        <v>11.94</v>
      </c>
      <c r="G6" s="102" t="n">
        <f aca="false">IF($C6="","",N(G5)+N(F6))</f>
        <v>23.88</v>
      </c>
      <c r="H6" s="103" t="s">
        <v>878</v>
      </c>
      <c r="I6" s="104"/>
      <c r="J6" s="105"/>
    </row>
    <row r="7" customFormat="false" ht="15" hidden="false" customHeight="false" outlineLevel="0" collapsed="false">
      <c r="B7" s="90" t="n">
        <v>3</v>
      </c>
      <c r="C7" s="91" t="n">
        <v>2084910</v>
      </c>
      <c r="D7" s="92" t="n">
        <f aca="false">IF($C7="","",IFERROR(IF(INDEX('REGISTRE TUBES'!$C$7:$C$2506,MATCH($C7,'REGISTRE TUBES'!$B$7:$B$2506,0))="","",INDEX('REGISTRE TUBES'!$C$7:$C$2506,MATCH($C7,'REGISTRE TUBES'!$B$7:$B$2506,0))),"?"))</f>
        <v>15421106</v>
      </c>
      <c r="E7" s="92" t="str">
        <f aca="false">IF($C7="","",IFERROR(IF(INDEX('REGISTRE TUBES'!$D$7:$D$2506,MATCH($C7,'REGISTRE TUBES'!$B$7:$B$2506,0))="","",INDEX('REGISTRE TUBES'!$D$7:$D$2506,MATCH($C7,'REGISTRE TUBES'!$B$7:$B$2506,0))),"?"))</f>
        <v/>
      </c>
      <c r="F7" s="93" t="n">
        <f aca="false">IF($C7="","",IFERROR(IF(INDEX('REGISTRE TUBES'!$F$7:$F$2506,MATCH($C7,'REGISTRE TUBES'!$B$7:$B$2506,0))="","",INDEX('REGISTRE TUBES'!$F$7:$F$2506,MATCH($C7,'REGISTRE TUBES'!$B$7:$B$2506,0))),"?"))</f>
        <v>11.94</v>
      </c>
      <c r="G7" s="94" t="n">
        <f aca="false">IF($C7="","",N(G6)+N(F7))</f>
        <v>35.82</v>
      </c>
      <c r="H7" s="95" t="s">
        <v>881</v>
      </c>
      <c r="I7" s="96"/>
      <c r="J7" s="97"/>
    </row>
    <row r="8" customFormat="false" ht="15" hidden="false" customHeight="false" outlineLevel="0" collapsed="false">
      <c r="B8" s="98" t="n">
        <v>4</v>
      </c>
      <c r="C8" s="99" t="n">
        <v>2085870</v>
      </c>
      <c r="D8" s="100" t="n">
        <f aca="false">IF($C8="","",IFERROR(IF(INDEX('REGISTRE TUBES'!$C$7:$C$2506,MATCH($C8,'REGISTRE TUBES'!$B$7:$B$2506,0))="","",INDEX('REGISTRE TUBES'!$C$7:$C$2506,MATCH($C8,'REGISTRE TUBES'!$B$7:$B$2506,0))),"?"))</f>
        <v>15421106</v>
      </c>
      <c r="E8" s="100" t="str">
        <f aca="false">IF($C8="","",IFERROR(IF(INDEX('REGISTRE TUBES'!$D$7:$D$2506,MATCH($C8,'REGISTRE TUBES'!$B$7:$B$2506,0))="","",INDEX('REGISTRE TUBES'!$D$7:$D$2506,MATCH($C8,'REGISTRE TUBES'!$B$7:$B$2506,0))),"?"))</f>
        <v/>
      </c>
      <c r="F8" s="101" t="n">
        <f aca="false">IF($C8="","",IFERROR(IF(INDEX('REGISTRE TUBES'!$F$7:$F$2506,MATCH($C8,'REGISTRE TUBES'!$B$7:$B$2506,0))="","",INDEX('REGISTRE TUBES'!$F$7:$F$2506,MATCH($C8,'REGISTRE TUBES'!$B$7:$B$2506,0))),"?"))</f>
        <v>11.94</v>
      </c>
      <c r="G8" s="102" t="n">
        <f aca="false">IF($C8="","",N(G7)+N(F8))</f>
        <v>47.76</v>
      </c>
      <c r="H8" s="103" t="s">
        <v>885</v>
      </c>
      <c r="I8" s="104"/>
      <c r="J8" s="105"/>
    </row>
    <row r="9" customFormat="false" ht="15" hidden="false" customHeight="false" outlineLevel="0" collapsed="false">
      <c r="B9" s="90" t="n">
        <v>5</v>
      </c>
      <c r="C9" s="91" t="n">
        <v>2089470</v>
      </c>
      <c r="D9" s="92" t="n">
        <f aca="false">IF($C9="","",IFERROR(IF(INDEX('REGISTRE TUBES'!$C$7:$C$2506,MATCH($C9,'REGISTRE TUBES'!$B$7:$B$2506,0))="","",INDEX('REGISTRE TUBES'!$C$7:$C$2506,MATCH($C9,'REGISTRE TUBES'!$B$7:$B$2506,0))),"?"))</f>
        <v>15421109</v>
      </c>
      <c r="E9" s="92" t="str">
        <f aca="false">IF($C9="","",IFERROR(IF(INDEX('REGISTRE TUBES'!$D$7:$D$2506,MATCH($C9,'REGISTRE TUBES'!$B$7:$B$2506,0))="","",INDEX('REGISTRE TUBES'!$D$7:$D$2506,MATCH($C9,'REGISTRE TUBES'!$B$7:$B$2506,0))),"?"))</f>
        <v/>
      </c>
      <c r="F9" s="93" t="n">
        <f aca="false">IF($C9="","",IFERROR(IF(INDEX('REGISTRE TUBES'!$F$7:$F$2506,MATCH($C9,'REGISTRE TUBES'!$B$7:$B$2506,0))="","",INDEX('REGISTRE TUBES'!$F$7:$F$2506,MATCH($C9,'REGISTRE TUBES'!$B$7:$B$2506,0))),"?"))</f>
        <v>11.94</v>
      </c>
      <c r="G9" s="94" t="n">
        <f aca="false">IF($C9="","",N(G8)+N(F9))</f>
        <v>59.7</v>
      </c>
      <c r="H9" s="95" t="s">
        <v>887</v>
      </c>
      <c r="I9" s="96"/>
      <c r="J9" s="97"/>
    </row>
    <row r="10" customFormat="false" ht="15" hidden="false" customHeight="false" outlineLevel="0" collapsed="false">
      <c r="B10" s="98" t="n">
        <v>6</v>
      </c>
      <c r="C10" s="99" t="n">
        <v>2091760</v>
      </c>
      <c r="D10" s="100" t="n">
        <f aca="false">IF($C10="","",IFERROR(IF(INDEX('REGISTRE TUBES'!$C$7:$C$2506,MATCH($C10,'REGISTRE TUBES'!$B$7:$B$2506,0))="","",INDEX('REGISTRE TUBES'!$C$7:$C$2506,MATCH($C10,'REGISTRE TUBES'!$B$7:$B$2506,0))),"?"))</f>
        <v>15421109</v>
      </c>
      <c r="E10" s="100" t="str">
        <f aca="false">IF($C10="","",IFERROR(IF(INDEX('REGISTRE TUBES'!$D$7:$D$2506,MATCH($C10,'REGISTRE TUBES'!$B$7:$B$2506,0))="","",INDEX('REGISTRE TUBES'!$D$7:$D$2506,MATCH($C10,'REGISTRE TUBES'!$B$7:$B$2506,0))),"?"))</f>
        <v/>
      </c>
      <c r="F10" s="101" t="n">
        <f aca="false">IF($C10="","",IFERROR(IF(INDEX('REGISTRE TUBES'!$F$7:$F$2506,MATCH($C10,'REGISTRE TUBES'!$B$7:$B$2506,0))="","",INDEX('REGISTRE TUBES'!$F$7:$F$2506,MATCH($C10,'REGISTRE TUBES'!$B$7:$B$2506,0))),"?"))</f>
        <v>11.94</v>
      </c>
      <c r="G10" s="102" t="n">
        <f aca="false">IF($C10="","",N(G9)+N(F10))</f>
        <v>71.64</v>
      </c>
      <c r="H10" s="103" t="s">
        <v>888</v>
      </c>
      <c r="I10" s="104"/>
      <c r="J10" s="105"/>
    </row>
    <row r="11" customFormat="false" ht="15" hidden="false" customHeight="false" outlineLevel="0" collapsed="false">
      <c r="B11" s="90" t="n">
        <v>7</v>
      </c>
      <c r="C11" s="91" t="n">
        <v>2085850</v>
      </c>
      <c r="D11" s="92" t="n">
        <f aca="false">IF($C11="","",IFERROR(IF(INDEX('REGISTRE TUBES'!$C$7:$C$2506,MATCH($C11,'REGISTRE TUBES'!$B$7:$B$2506,0))="","",INDEX('REGISTRE TUBES'!$C$7:$C$2506,MATCH($C11,'REGISTRE TUBES'!$B$7:$B$2506,0))),"?"))</f>
        <v>15421107</v>
      </c>
      <c r="E11" s="92" t="str">
        <f aca="false">IF($C11="","",IFERROR(IF(INDEX('REGISTRE TUBES'!$D$7:$D$2506,MATCH($C11,'REGISTRE TUBES'!$B$7:$B$2506,0))="","",INDEX('REGISTRE TUBES'!$D$7:$D$2506,MATCH($C11,'REGISTRE TUBES'!$B$7:$B$2506,0))),"?"))</f>
        <v/>
      </c>
      <c r="F11" s="93" t="n">
        <f aca="false">IF($C11="","",IFERROR(IF(INDEX('REGISTRE TUBES'!$F$7:$F$2506,MATCH($C11,'REGISTRE TUBES'!$B$7:$B$2506,0))="","",INDEX('REGISTRE TUBES'!$F$7:$F$2506,MATCH($C11,'REGISTRE TUBES'!$B$7:$B$2506,0))),"?"))</f>
        <v>11.94</v>
      </c>
      <c r="G11" s="94" t="n">
        <f aca="false">IF($C11="","",N(G10)+N(F11))</f>
        <v>83.58</v>
      </c>
      <c r="H11" s="95" t="s">
        <v>889</v>
      </c>
      <c r="I11" s="96"/>
      <c r="J11" s="97"/>
    </row>
    <row r="12" customFormat="false" ht="15" hidden="false" customHeight="false" outlineLevel="0" collapsed="false">
      <c r="B12" s="98" t="n">
        <v>8</v>
      </c>
      <c r="C12" s="99" t="n">
        <v>2096300</v>
      </c>
      <c r="D12" s="100" t="n">
        <f aca="false">IF($C12="","",IFERROR(IF(INDEX('REGISTRE TUBES'!$C$7:$C$2506,MATCH($C12,'REGISTRE TUBES'!$B$7:$B$2506,0))="","",INDEX('REGISTRE TUBES'!$C$7:$C$2506,MATCH($C12,'REGISTRE TUBES'!$B$7:$B$2506,0))),"?"))</f>
        <v>15421111</v>
      </c>
      <c r="E12" s="100" t="str">
        <f aca="false">IF($C12="","",IFERROR(IF(INDEX('REGISTRE TUBES'!$D$7:$D$2506,MATCH($C12,'REGISTRE TUBES'!$B$7:$B$2506,0))="","",INDEX('REGISTRE TUBES'!$D$7:$D$2506,MATCH($C12,'REGISTRE TUBES'!$B$7:$B$2506,0))),"?"))</f>
        <v/>
      </c>
      <c r="F12" s="101" t="n">
        <f aca="false">IF($C12="","",IFERROR(IF(INDEX('REGISTRE TUBES'!$F$7:$F$2506,MATCH($C12,'REGISTRE TUBES'!$B$7:$B$2506,0))="","",INDEX('REGISTRE TUBES'!$F$7:$F$2506,MATCH($C12,'REGISTRE TUBES'!$B$7:$B$2506,0))),"?"))</f>
        <v>11.94</v>
      </c>
      <c r="G12" s="102" t="n">
        <f aca="false">IF($C12="","",N(G11)+N(F12))</f>
        <v>95.52</v>
      </c>
      <c r="H12" s="103" t="s">
        <v>890</v>
      </c>
      <c r="I12" s="104"/>
      <c r="J12" s="105"/>
    </row>
    <row r="13" customFormat="false" ht="15" hidden="false" customHeight="false" outlineLevel="0" collapsed="false">
      <c r="B13" s="90" t="n">
        <v>9</v>
      </c>
      <c r="C13" s="91" t="n">
        <v>2092850</v>
      </c>
      <c r="D13" s="92" t="n">
        <f aca="false">IF($C13="","",IFERROR(IF(INDEX('REGISTRE TUBES'!$C$7:$C$2506,MATCH($C13,'REGISTRE TUBES'!$B$7:$B$2506,0))="","",INDEX('REGISTRE TUBES'!$C$7:$C$2506,MATCH($C13,'REGISTRE TUBES'!$B$7:$B$2506,0))),"?"))</f>
        <v>15421110</v>
      </c>
      <c r="E13" s="92" t="str">
        <f aca="false">IF($C13="","",IFERROR(IF(INDEX('REGISTRE TUBES'!$D$7:$D$2506,MATCH($C13,'REGISTRE TUBES'!$B$7:$B$2506,0))="","",INDEX('REGISTRE TUBES'!$D$7:$D$2506,MATCH($C13,'REGISTRE TUBES'!$B$7:$B$2506,0))),"?"))</f>
        <v/>
      </c>
      <c r="F13" s="93" t="n">
        <f aca="false">IF($C13="","",IFERROR(IF(INDEX('REGISTRE TUBES'!$F$7:$F$2506,MATCH($C13,'REGISTRE TUBES'!$B$7:$B$2506,0))="","",INDEX('REGISTRE TUBES'!$F$7:$F$2506,MATCH($C13,'REGISTRE TUBES'!$B$7:$B$2506,0))),"?"))</f>
        <v>11.94</v>
      </c>
      <c r="G13" s="94" t="n">
        <f aca="false">IF($C13="","",N(G12)+N(F13))</f>
        <v>107.46</v>
      </c>
      <c r="H13" s="95" t="s">
        <v>891</v>
      </c>
      <c r="I13" s="96"/>
      <c r="J13" s="97"/>
    </row>
    <row r="14" customFormat="false" ht="15" hidden="false" customHeight="false" outlineLevel="0" collapsed="false">
      <c r="B14" s="98" t="n">
        <v>10</v>
      </c>
      <c r="C14" s="99" t="n">
        <v>2083450</v>
      </c>
      <c r="D14" s="100" t="n">
        <f aca="false">IF($C14="","",IFERROR(IF(INDEX('REGISTRE TUBES'!$C$7:$C$2506,MATCH($C14,'REGISTRE TUBES'!$B$7:$B$2506,0))="","",INDEX('REGISTRE TUBES'!$C$7:$C$2506,MATCH($C14,'REGISTRE TUBES'!$B$7:$B$2506,0))),"?"))</f>
        <v>15421103</v>
      </c>
      <c r="E14" s="100" t="str">
        <f aca="false">IF($C14="","",IFERROR(IF(INDEX('REGISTRE TUBES'!$D$7:$D$2506,MATCH($C14,'REGISTRE TUBES'!$B$7:$B$2506,0))="","",INDEX('REGISTRE TUBES'!$D$7:$D$2506,MATCH($C14,'REGISTRE TUBES'!$B$7:$B$2506,0))),"?"))</f>
        <v/>
      </c>
      <c r="F14" s="101" t="n">
        <f aca="false">IF($C14="","",IFERROR(IF(INDEX('REGISTRE TUBES'!$F$7:$F$2506,MATCH($C14,'REGISTRE TUBES'!$B$7:$B$2506,0))="","",INDEX('REGISTRE TUBES'!$F$7:$F$2506,MATCH($C14,'REGISTRE TUBES'!$B$7:$B$2506,0))),"?"))</f>
        <v>11.94</v>
      </c>
      <c r="G14" s="102" t="n">
        <f aca="false">IF($C14="","",N(G13)+N(F14))</f>
        <v>119.4</v>
      </c>
      <c r="H14" s="103" t="s">
        <v>893</v>
      </c>
      <c r="I14" s="104"/>
      <c r="J14" s="105"/>
    </row>
    <row r="15" customFormat="false" ht="15" hidden="false" customHeight="false" outlineLevel="0" collapsed="false">
      <c r="B15" s="90" t="n">
        <v>11</v>
      </c>
      <c r="C15" s="91" t="n">
        <v>2093110</v>
      </c>
      <c r="D15" s="92" t="n">
        <f aca="false">IF($C15="","",IFERROR(IF(INDEX('REGISTRE TUBES'!$C$7:$C$2506,MATCH($C15,'REGISTRE TUBES'!$B$7:$B$2506,0))="","",INDEX('REGISTRE TUBES'!$C$7:$C$2506,MATCH($C15,'REGISTRE TUBES'!$B$7:$B$2506,0))),"?"))</f>
        <v>15421110</v>
      </c>
      <c r="E15" s="92" t="str">
        <f aca="false">IF($C15="","",IFERROR(IF(INDEX('REGISTRE TUBES'!$D$7:$D$2506,MATCH($C15,'REGISTRE TUBES'!$B$7:$B$2506,0))="","",INDEX('REGISTRE TUBES'!$D$7:$D$2506,MATCH($C15,'REGISTRE TUBES'!$B$7:$B$2506,0))),"?"))</f>
        <v/>
      </c>
      <c r="F15" s="93" t="n">
        <f aca="false">IF($C15="","",IFERROR(IF(INDEX('REGISTRE TUBES'!$F$7:$F$2506,MATCH($C15,'REGISTRE TUBES'!$B$7:$B$2506,0))="","",INDEX('REGISTRE TUBES'!$F$7:$F$2506,MATCH($C15,'REGISTRE TUBES'!$B$7:$B$2506,0))),"?"))</f>
        <v>11.94</v>
      </c>
      <c r="G15" s="94" t="n">
        <f aca="false">IF($C15="","",N(G14)+N(F15))</f>
        <v>131.34</v>
      </c>
      <c r="H15" s="95" t="s">
        <v>894</v>
      </c>
      <c r="I15" s="96"/>
      <c r="J15" s="97"/>
    </row>
    <row r="16" customFormat="false" ht="15" hidden="false" customHeight="false" outlineLevel="0" collapsed="false">
      <c r="B16" s="98" t="n">
        <v>12</v>
      </c>
      <c r="C16" s="99" t="n">
        <v>2094210</v>
      </c>
      <c r="D16" s="100" t="n">
        <f aca="false">IF($C16="","",IFERROR(IF(INDEX('REGISTRE TUBES'!$C$7:$C$2506,MATCH($C16,'REGISTRE TUBES'!$B$7:$B$2506,0))="","",INDEX('REGISTRE TUBES'!$C$7:$C$2506,MATCH($C16,'REGISTRE TUBES'!$B$7:$B$2506,0))),"?"))</f>
        <v>15421110</v>
      </c>
      <c r="E16" s="100" t="str">
        <f aca="false">IF($C16="","",IFERROR(IF(INDEX('REGISTRE TUBES'!$D$7:$D$2506,MATCH($C16,'REGISTRE TUBES'!$B$7:$B$2506,0))="","",INDEX('REGISTRE TUBES'!$D$7:$D$2506,MATCH($C16,'REGISTRE TUBES'!$B$7:$B$2506,0))),"?"))</f>
        <v/>
      </c>
      <c r="F16" s="101" t="n">
        <f aca="false">IF($C16="","",IFERROR(IF(INDEX('REGISTRE TUBES'!$F$7:$F$2506,MATCH($C16,'REGISTRE TUBES'!$B$7:$B$2506,0))="","",INDEX('REGISTRE TUBES'!$F$7:$F$2506,MATCH($C16,'REGISTRE TUBES'!$B$7:$B$2506,0))),"?"))</f>
        <v>11.94</v>
      </c>
      <c r="G16" s="102" t="n">
        <f aca="false">IF($C16="","",N(G15)+N(F16))</f>
        <v>143.28</v>
      </c>
      <c r="H16" s="103"/>
      <c r="I16" s="104"/>
      <c r="J16" s="105"/>
    </row>
    <row r="17" customFormat="false" ht="15" hidden="false" customHeight="false" outlineLevel="0" collapsed="false">
      <c r="B17" s="90" t="n">
        <v>13</v>
      </c>
      <c r="C17" s="91" t="n">
        <v>2078980</v>
      </c>
      <c r="D17" s="92" t="n">
        <f aca="false">IF($C17="","",IFERROR(IF(INDEX('REGISTRE TUBES'!$C$7:$C$2506,MATCH($C17,'REGISTRE TUBES'!$B$7:$B$2506,0))="","",INDEX('REGISTRE TUBES'!$C$7:$C$2506,MATCH($C17,'REGISTRE TUBES'!$B$7:$B$2506,0))),"?"))</f>
        <v>15421102</v>
      </c>
      <c r="E17" s="92" t="str">
        <f aca="false">IF($C17="","",IFERROR(IF(INDEX('REGISTRE TUBES'!$D$7:$D$2506,MATCH($C17,'REGISTRE TUBES'!$B$7:$B$2506,0))="","",INDEX('REGISTRE TUBES'!$D$7:$D$2506,MATCH($C17,'REGISTRE TUBES'!$B$7:$B$2506,0))),"?"))</f>
        <v/>
      </c>
      <c r="F17" s="93" t="n">
        <f aca="false">IF($C17="","",IFERROR(IF(INDEX('REGISTRE TUBES'!$F$7:$F$2506,MATCH($C17,'REGISTRE TUBES'!$B$7:$B$2506,0))="","",INDEX('REGISTRE TUBES'!$F$7:$F$2506,MATCH($C17,'REGISTRE TUBES'!$B$7:$B$2506,0))),"?"))</f>
        <v>11.94</v>
      </c>
      <c r="G17" s="94" t="n">
        <f aca="false">IF($C17="","",N(G16)+N(F17))</f>
        <v>155.22</v>
      </c>
      <c r="H17" s="95" t="s">
        <v>898</v>
      </c>
      <c r="I17" s="96"/>
      <c r="J17" s="97"/>
    </row>
    <row r="18" customFormat="false" ht="15" hidden="false" customHeight="false" outlineLevel="0" collapsed="false">
      <c r="B18" s="98" t="n">
        <v>14</v>
      </c>
      <c r="C18" s="99" t="n">
        <v>2095190</v>
      </c>
      <c r="D18" s="100" t="n">
        <f aca="false">IF($C18="","",IFERROR(IF(INDEX('REGISTRE TUBES'!$C$7:$C$2506,MATCH($C18,'REGISTRE TUBES'!$B$7:$B$2506,0))="","",INDEX('REGISTRE TUBES'!$C$7:$C$2506,MATCH($C18,'REGISTRE TUBES'!$B$7:$B$2506,0))),"?"))</f>
        <v>15421111</v>
      </c>
      <c r="E18" s="100" t="str">
        <f aca="false">IF($C18="","",IFERROR(IF(INDEX('REGISTRE TUBES'!$D$7:$D$2506,MATCH($C18,'REGISTRE TUBES'!$B$7:$B$2506,0))="","",INDEX('REGISTRE TUBES'!$D$7:$D$2506,MATCH($C18,'REGISTRE TUBES'!$B$7:$B$2506,0))),"?"))</f>
        <v/>
      </c>
      <c r="F18" s="101" t="n">
        <f aca="false">IF($C18="","",IFERROR(IF(INDEX('REGISTRE TUBES'!$F$7:$F$2506,MATCH($C18,'REGISTRE TUBES'!$B$7:$B$2506,0))="","",INDEX('REGISTRE TUBES'!$F$7:$F$2506,MATCH($C18,'REGISTRE TUBES'!$B$7:$B$2506,0))),"?"))</f>
        <v>11.94</v>
      </c>
      <c r="G18" s="102" t="n">
        <f aca="false">IF($C18="","",N(G17)+N(F18))</f>
        <v>167.16</v>
      </c>
      <c r="H18" s="103" t="s">
        <v>900</v>
      </c>
      <c r="I18" s="104"/>
      <c r="J18" s="105"/>
    </row>
    <row r="19" customFormat="false" ht="15" hidden="false" customHeight="false" outlineLevel="0" collapsed="false">
      <c r="B19" s="90" t="n">
        <v>15</v>
      </c>
      <c r="C19" s="91" t="n">
        <v>2092040</v>
      </c>
      <c r="D19" s="92" t="n">
        <f aca="false">IF($C19="","",IFERROR(IF(INDEX('REGISTRE TUBES'!$C$7:$C$2506,MATCH($C19,'REGISTRE TUBES'!$B$7:$B$2506,0))="","",INDEX('REGISTRE TUBES'!$C$7:$C$2506,MATCH($C19,'REGISTRE TUBES'!$B$7:$B$2506,0))),"?"))</f>
        <v>15421109</v>
      </c>
      <c r="E19" s="92" t="str">
        <f aca="false">IF($C19="","",IFERROR(IF(INDEX('REGISTRE TUBES'!$D$7:$D$2506,MATCH($C19,'REGISTRE TUBES'!$B$7:$B$2506,0))="","",INDEX('REGISTRE TUBES'!$D$7:$D$2506,MATCH($C19,'REGISTRE TUBES'!$B$7:$B$2506,0))),"?"))</f>
        <v/>
      </c>
      <c r="F19" s="93" t="n">
        <f aca="false">IF($C19="","",IFERROR(IF(INDEX('REGISTRE TUBES'!$F$7:$F$2506,MATCH($C19,'REGISTRE TUBES'!$B$7:$B$2506,0))="","",INDEX('REGISTRE TUBES'!$F$7:$F$2506,MATCH($C19,'REGISTRE TUBES'!$B$7:$B$2506,0))),"?"))</f>
        <v>11.94</v>
      </c>
      <c r="G19" s="94" t="n">
        <f aca="false">IF($C19="","",N(G18)+N(F19))</f>
        <v>179.1</v>
      </c>
      <c r="H19" s="95" t="s">
        <v>901</v>
      </c>
      <c r="I19" s="96"/>
      <c r="J19" s="97"/>
    </row>
    <row r="20" customFormat="false" ht="15" hidden="false" customHeight="false" outlineLevel="0" collapsed="false">
      <c r="B20" s="98" t="n">
        <v>16</v>
      </c>
      <c r="C20" s="99" t="n">
        <v>2091970</v>
      </c>
      <c r="D20" s="100" t="n">
        <f aca="false">IF($C20="","",IFERROR(IF(INDEX('REGISTRE TUBES'!$C$7:$C$2506,MATCH($C20,'REGISTRE TUBES'!$B$7:$B$2506,0))="","",INDEX('REGISTRE TUBES'!$C$7:$C$2506,MATCH($C20,'REGISTRE TUBES'!$B$7:$B$2506,0))),"?"))</f>
        <v>15421109</v>
      </c>
      <c r="E20" s="100" t="str">
        <f aca="false">IF($C20="","",IFERROR(IF(INDEX('REGISTRE TUBES'!$D$7:$D$2506,MATCH($C20,'REGISTRE TUBES'!$B$7:$B$2506,0))="","",INDEX('REGISTRE TUBES'!$D$7:$D$2506,MATCH($C20,'REGISTRE TUBES'!$B$7:$B$2506,0))),"?"))</f>
        <v/>
      </c>
      <c r="F20" s="101" t="n">
        <f aca="false">IF($C20="","",IFERROR(IF(INDEX('REGISTRE TUBES'!$F$7:$F$2506,MATCH($C20,'REGISTRE TUBES'!$B$7:$B$2506,0))="","",INDEX('REGISTRE TUBES'!$F$7:$F$2506,MATCH($C20,'REGISTRE TUBES'!$B$7:$B$2506,0))),"?"))</f>
        <v>11.94</v>
      </c>
      <c r="G20" s="102" t="n">
        <f aca="false">IF($C20="","",N(G19)+N(F20))</f>
        <v>191.04</v>
      </c>
      <c r="H20" s="103" t="s">
        <v>902</v>
      </c>
      <c r="I20" s="104"/>
      <c r="J20" s="105"/>
    </row>
    <row r="21" customFormat="false" ht="15" hidden="false" customHeight="false" outlineLevel="0" collapsed="false">
      <c r="B21" s="90" t="n">
        <v>17</v>
      </c>
      <c r="C21" s="91" t="n">
        <v>2082570</v>
      </c>
      <c r="D21" s="92" t="n">
        <f aca="false">IF($C21="","",IFERROR(IF(INDEX('REGISTRE TUBES'!$C$7:$C$2506,MATCH($C21,'REGISTRE TUBES'!$B$7:$B$2506,0))="","",INDEX('REGISTRE TUBES'!$C$7:$C$2506,MATCH($C21,'REGISTRE TUBES'!$B$7:$B$2506,0))),"?"))</f>
        <v>15421104</v>
      </c>
      <c r="E21" s="92" t="str">
        <f aca="false">IF($C21="","",IFERROR(IF(INDEX('REGISTRE TUBES'!$D$7:$D$2506,MATCH($C21,'REGISTRE TUBES'!$B$7:$B$2506,0))="","",INDEX('REGISTRE TUBES'!$D$7:$D$2506,MATCH($C21,'REGISTRE TUBES'!$B$7:$B$2506,0))),"?"))</f>
        <v/>
      </c>
      <c r="F21" s="93" t="n">
        <f aca="false">IF($C21="","",IFERROR(IF(INDEX('REGISTRE TUBES'!$F$7:$F$2506,MATCH($C21,'REGISTRE TUBES'!$B$7:$B$2506,0))="","",INDEX('REGISTRE TUBES'!$F$7:$F$2506,MATCH($C21,'REGISTRE TUBES'!$B$7:$B$2506,0))),"?"))</f>
        <v>11.94</v>
      </c>
      <c r="G21" s="94" t="n">
        <f aca="false">IF($C21="","",N(G20)+N(F21))</f>
        <v>202.98</v>
      </c>
      <c r="H21" s="95" t="s">
        <v>903</v>
      </c>
      <c r="I21" s="96"/>
      <c r="J21" s="97"/>
    </row>
    <row r="22" customFormat="false" ht="15" hidden="false" customHeight="false" outlineLevel="0" collapsed="false">
      <c r="B22" s="98" t="n">
        <v>18</v>
      </c>
      <c r="C22" s="99" t="n">
        <v>2094190</v>
      </c>
      <c r="D22" s="100" t="n">
        <f aca="false">IF($C22="","",IFERROR(IF(INDEX('REGISTRE TUBES'!$C$7:$C$2506,MATCH($C22,'REGISTRE TUBES'!$B$7:$B$2506,0))="","",INDEX('REGISTRE TUBES'!$C$7:$C$2506,MATCH($C22,'REGISTRE TUBES'!$B$7:$B$2506,0))),"?"))</f>
        <v>15421110</v>
      </c>
      <c r="E22" s="100" t="str">
        <f aca="false">IF($C22="","",IFERROR(IF(INDEX('REGISTRE TUBES'!$D$7:$D$2506,MATCH($C22,'REGISTRE TUBES'!$B$7:$B$2506,0))="","",INDEX('REGISTRE TUBES'!$D$7:$D$2506,MATCH($C22,'REGISTRE TUBES'!$B$7:$B$2506,0))),"?"))</f>
        <v/>
      </c>
      <c r="F22" s="101" t="n">
        <f aca="false">IF($C22="","",IFERROR(IF(INDEX('REGISTRE TUBES'!$F$7:$F$2506,MATCH($C22,'REGISTRE TUBES'!$B$7:$B$2506,0))="","",INDEX('REGISTRE TUBES'!$F$7:$F$2506,MATCH($C22,'REGISTRE TUBES'!$B$7:$B$2506,0))),"?"))</f>
        <v>11.94</v>
      </c>
      <c r="G22" s="102" t="n">
        <f aca="false">IF($C22="","",N(G21)+N(F22))</f>
        <v>214.92</v>
      </c>
      <c r="H22" s="103" t="s">
        <v>904</v>
      </c>
      <c r="I22" s="104"/>
      <c r="J22" s="105"/>
    </row>
    <row r="23" customFormat="false" ht="15" hidden="false" customHeight="false" outlineLevel="0" collapsed="false">
      <c r="B23" s="90" t="n">
        <v>19</v>
      </c>
      <c r="C23" s="91" t="n">
        <v>2081000</v>
      </c>
      <c r="D23" s="92" t="n">
        <f aca="false">IF($C23="","",IFERROR(IF(INDEX('REGISTRE TUBES'!$C$7:$C$2506,MATCH($C23,'REGISTRE TUBES'!$B$7:$B$2506,0))="","",INDEX('REGISTRE TUBES'!$C$7:$C$2506,MATCH($C23,'REGISTRE TUBES'!$B$7:$B$2506,0))),"?"))</f>
        <v>15421109</v>
      </c>
      <c r="E23" s="92" t="str">
        <f aca="false">IF($C23="","",IFERROR(IF(INDEX('REGISTRE TUBES'!$D$7:$D$2506,MATCH($C23,'REGISTRE TUBES'!$B$7:$B$2506,0))="","",INDEX('REGISTRE TUBES'!$D$7:$D$2506,MATCH($C23,'REGISTRE TUBES'!$B$7:$B$2506,0))),"?"))</f>
        <v/>
      </c>
      <c r="F23" s="93" t="n">
        <f aca="false">IF($C23="","",IFERROR(IF(INDEX('REGISTRE TUBES'!$F$7:$F$2506,MATCH($C23,'REGISTRE TUBES'!$B$7:$B$2506,0))="","",INDEX('REGISTRE TUBES'!$F$7:$F$2506,MATCH($C23,'REGISTRE TUBES'!$B$7:$B$2506,0))),"?"))</f>
        <v>11.94</v>
      </c>
      <c r="G23" s="94" t="n">
        <f aca="false">IF($C23="","",N(G22)+N(F23))</f>
        <v>226.86</v>
      </c>
      <c r="H23" s="95" t="s">
        <v>905</v>
      </c>
      <c r="I23" s="96"/>
      <c r="J23" s="97"/>
    </row>
    <row r="24" customFormat="false" ht="15" hidden="false" customHeight="true" outlineLevel="0" collapsed="false">
      <c r="B24" s="106" t="s">
        <v>3031</v>
      </c>
      <c r="C24" s="106"/>
      <c r="D24" s="106"/>
      <c r="E24" s="106"/>
      <c r="F24" s="107" t="n">
        <f aca="false">SUM(F5:F23)</f>
        <v>226.86</v>
      </c>
      <c r="G24" s="108" t="n">
        <f aca="false">IF(COUNT(G5:G23)=0,"",MAX(G5:G23))</f>
        <v>226.86</v>
      </c>
      <c r="H24" s="106" t="str">
        <f aca="false">COUNTA(C5:C23)&amp;" tube(s)"</f>
        <v>19 tube(s)</v>
      </c>
      <c r="I24" s="106"/>
      <c r="J24" s="106"/>
    </row>
    <row r="26" customFormat="false" ht="15" hidden="false" customHeight="false" outlineLevel="0" collapsed="false">
      <c r="B26" s="109" t="s">
        <v>3032</v>
      </c>
      <c r="F26" s="109" t="s">
        <v>3033</v>
      </c>
      <c r="I26" s="109" t="s">
        <v>3034</v>
      </c>
    </row>
    <row r="29" customFormat="false" ht="25.5" hidden="false" customHeight="true" outlineLevel="0" collapsed="false">
      <c r="B29" s="85" t="s">
        <v>3015</v>
      </c>
      <c r="C29" s="85"/>
      <c r="D29" s="85"/>
      <c r="E29" s="85"/>
      <c r="F29" s="85"/>
      <c r="G29" s="85"/>
      <c r="H29" s="85"/>
      <c r="I29" s="85"/>
      <c r="J29" s="85"/>
    </row>
    <row r="30" customFormat="false" ht="15" hidden="false" customHeight="false" outlineLevel="0" collapsed="false">
      <c r="B30" s="86" t="str">
        <f aca="false">PARAMÈTRES!$C$4&amp;"   •   Affaire N° "&amp;PARAMÈTRES!$C$5</f>
        <v>Développement des champs gaziers TFT II — réseau de collecte TFT Sud (LIGNE-16)   •   Affaire N° 8546</v>
      </c>
      <c r="C30" s="86"/>
      <c r="D30" s="86"/>
      <c r="E30" s="86"/>
      <c r="F30" s="86"/>
      <c r="G30" s="86"/>
      <c r="H30" s="86"/>
      <c r="I30" s="86"/>
      <c r="J30" s="86"/>
    </row>
    <row r="31" customFormat="false" ht="19.5" hidden="false" customHeight="true" outlineLevel="0" collapsed="false">
      <c r="B31" s="87" t="s">
        <v>3016</v>
      </c>
      <c r="C31" s="88" t="s">
        <v>110</v>
      </c>
      <c r="D31" s="88"/>
      <c r="E31" s="87" t="s">
        <v>3017</v>
      </c>
      <c r="F31" s="88" t="s">
        <v>3035</v>
      </c>
      <c r="G31" s="87" t="s">
        <v>3019</v>
      </c>
      <c r="H31" s="88" t="s">
        <v>3036</v>
      </c>
      <c r="I31" s="87" t="s">
        <v>3021</v>
      </c>
      <c r="J31" s="89"/>
    </row>
    <row r="32" customFormat="false" ht="27.75" hidden="false" customHeight="true" outlineLevel="0" collapsed="false">
      <c r="B32" s="71" t="s">
        <v>3022</v>
      </c>
      <c r="C32" s="71" t="s">
        <v>3023</v>
      </c>
      <c r="D32" s="71" t="s">
        <v>3024</v>
      </c>
      <c r="E32" s="71" t="s">
        <v>3025</v>
      </c>
      <c r="F32" s="71" t="s">
        <v>3026</v>
      </c>
      <c r="G32" s="71" t="s">
        <v>3027</v>
      </c>
      <c r="H32" s="71" t="s">
        <v>3028</v>
      </c>
      <c r="I32" s="71" t="s">
        <v>3029</v>
      </c>
      <c r="J32" s="71" t="s">
        <v>3030</v>
      </c>
    </row>
    <row r="33" customFormat="false" ht="15" hidden="false" customHeight="false" outlineLevel="0" collapsed="false">
      <c r="B33" s="90" t="n">
        <v>20</v>
      </c>
      <c r="C33" s="91" t="n">
        <v>2097230</v>
      </c>
      <c r="D33" s="92" t="n">
        <f aca="false">IF($C33="","",IFERROR(IF(INDEX('REGISTRE TUBES'!$C$7:$C$2506,MATCH($C33,'REGISTRE TUBES'!$B$7:$B$2506,0))="","",INDEX('REGISTRE TUBES'!$C$7:$C$2506,MATCH($C33,'REGISTRE TUBES'!$B$7:$B$2506,0))),"?"))</f>
        <v>15421109</v>
      </c>
      <c r="E33" s="92" t="str">
        <f aca="false">IF($C33="","",IFERROR(IF(INDEX('REGISTRE TUBES'!$D$7:$D$2506,MATCH($C33,'REGISTRE TUBES'!$B$7:$B$2506,0))="","",INDEX('REGISTRE TUBES'!$D$7:$D$2506,MATCH($C33,'REGISTRE TUBES'!$B$7:$B$2506,0))),"?"))</f>
        <v/>
      </c>
      <c r="F33" s="93" t="n">
        <f aca="false">IF($C33="","",IFERROR(IF(INDEX('REGISTRE TUBES'!$F$7:$F$2506,MATCH($C33,'REGISTRE TUBES'!$B$7:$B$2506,0))="","",INDEX('REGISTRE TUBES'!$F$7:$F$2506,MATCH($C33,'REGISTRE TUBES'!$B$7:$B$2506,0))),"?"))</f>
        <v>11.94</v>
      </c>
      <c r="G33" s="94" t="n">
        <f aca="false">IF($C33="","",N(G23)+N(F33))</f>
        <v>238.8</v>
      </c>
      <c r="H33" s="95" t="s">
        <v>906</v>
      </c>
      <c r="I33" s="96"/>
      <c r="J33" s="97"/>
    </row>
    <row r="34" customFormat="false" ht="15" hidden="false" customHeight="false" outlineLevel="0" collapsed="false">
      <c r="B34" s="98" t="n">
        <v>21</v>
      </c>
      <c r="C34" s="99" t="n">
        <v>2085050</v>
      </c>
      <c r="D34" s="100" t="n">
        <f aca="false">IF($C34="","",IFERROR(IF(INDEX('REGISTRE TUBES'!$C$7:$C$2506,MATCH($C34,'REGISTRE TUBES'!$B$7:$B$2506,0))="","",INDEX('REGISTRE TUBES'!$C$7:$C$2506,MATCH($C34,'REGISTRE TUBES'!$B$7:$B$2506,0))),"?"))</f>
        <v>15421106</v>
      </c>
      <c r="E34" s="100" t="str">
        <f aca="false">IF($C34="","",IFERROR(IF(INDEX('REGISTRE TUBES'!$D$7:$D$2506,MATCH($C34,'REGISTRE TUBES'!$B$7:$B$2506,0))="","",INDEX('REGISTRE TUBES'!$D$7:$D$2506,MATCH($C34,'REGISTRE TUBES'!$B$7:$B$2506,0))),"?"))</f>
        <v/>
      </c>
      <c r="F34" s="101" t="n">
        <f aca="false">IF($C34="","",IFERROR(IF(INDEX('REGISTRE TUBES'!$F$7:$F$2506,MATCH($C34,'REGISTRE TUBES'!$B$7:$B$2506,0))="","",INDEX('REGISTRE TUBES'!$F$7:$F$2506,MATCH($C34,'REGISTRE TUBES'!$B$7:$B$2506,0))),"?"))</f>
        <v>11.94</v>
      </c>
      <c r="G34" s="102" t="n">
        <f aca="false">IF($C34="","",N(G33)+N(F34))</f>
        <v>250.74</v>
      </c>
      <c r="H34" s="103" t="s">
        <v>907</v>
      </c>
      <c r="I34" s="104"/>
      <c r="J34" s="105"/>
    </row>
    <row r="35" customFormat="false" ht="15" hidden="false" customHeight="false" outlineLevel="0" collapsed="false">
      <c r="B35" s="90" t="n">
        <v>22</v>
      </c>
      <c r="C35" s="91" t="n">
        <v>2079150</v>
      </c>
      <c r="D35" s="92" t="n">
        <f aca="false">IF($C35="","",IFERROR(IF(INDEX('REGISTRE TUBES'!$C$7:$C$2506,MATCH($C35,'REGISTRE TUBES'!$B$7:$B$2506,0))="","",INDEX('REGISTRE TUBES'!$C$7:$C$2506,MATCH($C35,'REGISTRE TUBES'!$B$7:$B$2506,0))),"?"))</f>
        <v>15421102</v>
      </c>
      <c r="E35" s="92" t="str">
        <f aca="false">IF($C35="","",IFERROR(IF(INDEX('REGISTRE TUBES'!$D$7:$D$2506,MATCH($C35,'REGISTRE TUBES'!$B$7:$B$2506,0))="","",INDEX('REGISTRE TUBES'!$D$7:$D$2506,MATCH($C35,'REGISTRE TUBES'!$B$7:$B$2506,0))),"?"))</f>
        <v/>
      </c>
      <c r="F35" s="93" t="n">
        <f aca="false">IF($C35="","",IFERROR(IF(INDEX('REGISTRE TUBES'!$F$7:$F$2506,MATCH($C35,'REGISTRE TUBES'!$B$7:$B$2506,0))="","",INDEX('REGISTRE TUBES'!$F$7:$F$2506,MATCH($C35,'REGISTRE TUBES'!$B$7:$B$2506,0))),"?"))</f>
        <v>11.94</v>
      </c>
      <c r="G35" s="94" t="n">
        <f aca="false">IF($C35="","",N(G34)+N(F35))</f>
        <v>262.68</v>
      </c>
      <c r="H35" s="95" t="s">
        <v>908</v>
      </c>
      <c r="I35" s="96"/>
      <c r="J35" s="97"/>
    </row>
    <row r="36" customFormat="false" ht="15" hidden="false" customHeight="false" outlineLevel="0" collapsed="false">
      <c r="B36" s="98" t="n">
        <v>23</v>
      </c>
      <c r="C36" s="99" t="n">
        <v>2089800</v>
      </c>
      <c r="D36" s="100" t="n">
        <f aca="false">IF($C36="","",IFERROR(IF(INDEX('REGISTRE TUBES'!$C$7:$C$2506,MATCH($C36,'REGISTRE TUBES'!$B$7:$B$2506,0))="","",INDEX('REGISTRE TUBES'!$C$7:$C$2506,MATCH($C36,'REGISTRE TUBES'!$B$7:$B$2506,0))),"?"))</f>
        <v>15421108</v>
      </c>
      <c r="E36" s="100" t="str">
        <f aca="false">IF($C36="","",IFERROR(IF(INDEX('REGISTRE TUBES'!$D$7:$D$2506,MATCH($C36,'REGISTRE TUBES'!$B$7:$B$2506,0))="","",INDEX('REGISTRE TUBES'!$D$7:$D$2506,MATCH($C36,'REGISTRE TUBES'!$B$7:$B$2506,0))),"?"))</f>
        <v/>
      </c>
      <c r="F36" s="101" t="n">
        <f aca="false">IF($C36="","",IFERROR(IF(INDEX('REGISTRE TUBES'!$F$7:$F$2506,MATCH($C36,'REGISTRE TUBES'!$B$7:$B$2506,0))="","",INDEX('REGISTRE TUBES'!$F$7:$F$2506,MATCH($C36,'REGISTRE TUBES'!$B$7:$B$2506,0))),"?"))</f>
        <v>11.94</v>
      </c>
      <c r="G36" s="102" t="n">
        <f aca="false">IF($C36="","",N(G35)+N(F36))</f>
        <v>274.62</v>
      </c>
      <c r="H36" s="103" t="s">
        <v>909</v>
      </c>
      <c r="I36" s="104"/>
      <c r="J36" s="105"/>
    </row>
    <row r="37" customFormat="false" ht="15" hidden="false" customHeight="false" outlineLevel="0" collapsed="false">
      <c r="B37" s="90" t="n">
        <v>24</v>
      </c>
      <c r="C37" s="91" t="n">
        <v>2081110</v>
      </c>
      <c r="D37" s="92" t="n">
        <f aca="false">IF($C37="","",IFERROR(IF(INDEX('REGISTRE TUBES'!$C$7:$C$2506,MATCH($C37,'REGISTRE TUBES'!$B$7:$B$2506,0))="","",INDEX('REGISTRE TUBES'!$C$7:$C$2506,MATCH($C37,'REGISTRE TUBES'!$B$7:$B$2506,0))),"?"))</f>
        <v>15421103</v>
      </c>
      <c r="E37" s="92" t="str">
        <f aca="false">IF($C37="","",IFERROR(IF(INDEX('REGISTRE TUBES'!$D$7:$D$2506,MATCH($C37,'REGISTRE TUBES'!$B$7:$B$2506,0))="","",INDEX('REGISTRE TUBES'!$D$7:$D$2506,MATCH($C37,'REGISTRE TUBES'!$B$7:$B$2506,0))),"?"))</f>
        <v/>
      </c>
      <c r="F37" s="93" t="n">
        <f aca="false">IF($C37="","",IFERROR(IF(INDEX('REGISTRE TUBES'!$F$7:$F$2506,MATCH($C37,'REGISTRE TUBES'!$B$7:$B$2506,0))="","",INDEX('REGISTRE TUBES'!$F$7:$F$2506,MATCH($C37,'REGISTRE TUBES'!$B$7:$B$2506,0))),"?"))</f>
        <v>11.94</v>
      </c>
      <c r="G37" s="94" t="n">
        <f aca="false">IF($C37="","",N(G36)+N(F37))</f>
        <v>286.56</v>
      </c>
      <c r="H37" s="95" t="s">
        <v>910</v>
      </c>
      <c r="I37" s="96"/>
      <c r="J37" s="97"/>
    </row>
    <row r="38" customFormat="false" ht="15" hidden="false" customHeight="false" outlineLevel="0" collapsed="false">
      <c r="B38" s="98" t="n">
        <v>25</v>
      </c>
      <c r="C38" s="99" t="n">
        <v>2085700</v>
      </c>
      <c r="D38" s="100" t="n">
        <f aca="false">IF($C38="","",IFERROR(IF(INDEX('REGISTRE TUBES'!$C$7:$C$2506,MATCH($C38,'REGISTRE TUBES'!$B$7:$B$2506,0))="","",INDEX('REGISTRE TUBES'!$C$7:$C$2506,MATCH($C38,'REGISTRE TUBES'!$B$7:$B$2506,0))),"?"))</f>
        <v>15421107</v>
      </c>
      <c r="E38" s="100" t="str">
        <f aca="false">IF($C38="","",IFERROR(IF(INDEX('REGISTRE TUBES'!$D$7:$D$2506,MATCH($C38,'REGISTRE TUBES'!$B$7:$B$2506,0))="","",INDEX('REGISTRE TUBES'!$D$7:$D$2506,MATCH($C38,'REGISTRE TUBES'!$B$7:$B$2506,0))),"?"))</f>
        <v/>
      </c>
      <c r="F38" s="101" t="n">
        <f aca="false">IF($C38="","",IFERROR(IF(INDEX('REGISTRE TUBES'!$F$7:$F$2506,MATCH($C38,'REGISTRE TUBES'!$B$7:$B$2506,0))="","",INDEX('REGISTRE TUBES'!$F$7:$F$2506,MATCH($C38,'REGISTRE TUBES'!$B$7:$B$2506,0))),"?"))</f>
        <v>11.94</v>
      </c>
      <c r="G38" s="102" t="n">
        <f aca="false">IF($C38="","",N(G37)+N(F38))</f>
        <v>298.5</v>
      </c>
      <c r="H38" s="103" t="s">
        <v>911</v>
      </c>
      <c r="I38" s="104"/>
      <c r="J38" s="105"/>
    </row>
    <row r="39" customFormat="false" ht="15" hidden="false" customHeight="false" outlineLevel="0" collapsed="false">
      <c r="B39" s="90" t="n">
        <v>26</v>
      </c>
      <c r="C39" s="91" t="n">
        <v>2078860</v>
      </c>
      <c r="D39" s="92" t="n">
        <f aca="false">IF($C39="","",IFERROR(IF(INDEX('REGISTRE TUBES'!$C$7:$C$2506,MATCH($C39,'REGISTRE TUBES'!$B$7:$B$2506,0))="","",INDEX('REGISTRE TUBES'!$C$7:$C$2506,MATCH($C39,'REGISTRE TUBES'!$B$7:$B$2506,0))),"?"))</f>
        <v>15421101</v>
      </c>
      <c r="E39" s="92" t="str">
        <f aca="false">IF($C39="","",IFERROR(IF(INDEX('REGISTRE TUBES'!$D$7:$D$2506,MATCH($C39,'REGISTRE TUBES'!$B$7:$B$2506,0))="","",INDEX('REGISTRE TUBES'!$D$7:$D$2506,MATCH($C39,'REGISTRE TUBES'!$B$7:$B$2506,0))),"?"))</f>
        <v/>
      </c>
      <c r="F39" s="93" t="n">
        <f aca="false">IF($C39="","",IFERROR(IF(INDEX('REGISTRE TUBES'!$F$7:$F$2506,MATCH($C39,'REGISTRE TUBES'!$B$7:$B$2506,0))="","",INDEX('REGISTRE TUBES'!$F$7:$F$2506,MATCH($C39,'REGISTRE TUBES'!$B$7:$B$2506,0))),"?"))</f>
        <v>11.94</v>
      </c>
      <c r="G39" s="94" t="n">
        <f aca="false">IF($C39="","",N(G38)+N(F39))</f>
        <v>310.44</v>
      </c>
      <c r="H39" s="95" t="s">
        <v>912</v>
      </c>
      <c r="I39" s="96"/>
      <c r="J39" s="97"/>
    </row>
    <row r="40" customFormat="false" ht="15" hidden="false" customHeight="false" outlineLevel="0" collapsed="false">
      <c r="B40" s="98" t="n">
        <v>27</v>
      </c>
      <c r="C40" s="99" t="n">
        <v>2093120</v>
      </c>
      <c r="D40" s="100" t="n">
        <f aca="false">IF($C40="","",IFERROR(IF(INDEX('REGISTRE TUBES'!$C$7:$C$2506,MATCH($C40,'REGISTRE TUBES'!$B$7:$B$2506,0))="","",INDEX('REGISTRE TUBES'!$C$7:$C$2506,MATCH($C40,'REGISTRE TUBES'!$B$7:$B$2506,0))),"?"))</f>
        <v>15421104</v>
      </c>
      <c r="E40" s="100" t="str">
        <f aca="false">IF($C40="","",IFERROR(IF(INDEX('REGISTRE TUBES'!$D$7:$D$2506,MATCH($C40,'REGISTRE TUBES'!$B$7:$B$2506,0))="","",INDEX('REGISTRE TUBES'!$D$7:$D$2506,MATCH($C40,'REGISTRE TUBES'!$B$7:$B$2506,0))),"?"))</f>
        <v/>
      </c>
      <c r="F40" s="101" t="n">
        <f aca="false">IF($C40="","",IFERROR(IF(INDEX('REGISTRE TUBES'!$F$7:$F$2506,MATCH($C40,'REGISTRE TUBES'!$B$7:$B$2506,0))="","",INDEX('REGISTRE TUBES'!$F$7:$F$2506,MATCH($C40,'REGISTRE TUBES'!$B$7:$B$2506,0))),"?"))</f>
        <v>11.94</v>
      </c>
      <c r="G40" s="102" t="n">
        <f aca="false">IF($C40="","",N(G39)+N(F40))</f>
        <v>322.38</v>
      </c>
      <c r="H40" s="103" t="s">
        <v>913</v>
      </c>
      <c r="I40" s="104"/>
      <c r="J40" s="105"/>
    </row>
    <row r="41" customFormat="false" ht="15" hidden="false" customHeight="false" outlineLevel="0" collapsed="false">
      <c r="B41" s="90" t="n">
        <v>28</v>
      </c>
      <c r="C41" s="91" t="n">
        <v>2079630</v>
      </c>
      <c r="D41" s="92" t="n">
        <f aca="false">IF($C41="","",IFERROR(IF(INDEX('REGISTRE TUBES'!$C$7:$C$2506,MATCH($C41,'REGISTRE TUBES'!$B$7:$B$2506,0))="","",INDEX('REGISTRE TUBES'!$C$7:$C$2506,MATCH($C41,'REGISTRE TUBES'!$B$7:$B$2506,0))),"?"))</f>
        <v>15421110</v>
      </c>
      <c r="E41" s="92" t="str">
        <f aca="false">IF($C41="","",IFERROR(IF(INDEX('REGISTRE TUBES'!$D$7:$D$2506,MATCH($C41,'REGISTRE TUBES'!$B$7:$B$2506,0))="","",INDEX('REGISTRE TUBES'!$D$7:$D$2506,MATCH($C41,'REGISTRE TUBES'!$B$7:$B$2506,0))),"?"))</f>
        <v/>
      </c>
      <c r="F41" s="93" t="n">
        <f aca="false">IF($C41="","",IFERROR(IF(INDEX('REGISTRE TUBES'!$F$7:$F$2506,MATCH($C41,'REGISTRE TUBES'!$B$7:$B$2506,0))="","",INDEX('REGISTRE TUBES'!$F$7:$F$2506,MATCH($C41,'REGISTRE TUBES'!$B$7:$B$2506,0))),"?"))</f>
        <v>11.94</v>
      </c>
      <c r="G41" s="94" t="n">
        <f aca="false">IF($C41="","",N(G40)+N(F41))</f>
        <v>334.32</v>
      </c>
      <c r="H41" s="95" t="s">
        <v>914</v>
      </c>
      <c r="I41" s="96"/>
      <c r="J41" s="97"/>
    </row>
    <row r="42" customFormat="false" ht="15" hidden="false" customHeight="false" outlineLevel="0" collapsed="false">
      <c r="B42" s="98" t="n">
        <v>29</v>
      </c>
      <c r="C42" s="99" t="n">
        <v>2081080</v>
      </c>
      <c r="D42" s="100" t="n">
        <f aca="false">IF($C42="","",IFERROR(IF(INDEX('REGISTRE TUBES'!$C$7:$C$2506,MATCH($C42,'REGISTRE TUBES'!$B$7:$B$2506,0))="","",INDEX('REGISTRE TUBES'!$C$7:$C$2506,MATCH($C42,'REGISTRE TUBES'!$B$7:$B$2506,0))),"?"))</f>
        <v>15421103</v>
      </c>
      <c r="E42" s="100" t="str">
        <f aca="false">IF($C42="","",IFERROR(IF(INDEX('REGISTRE TUBES'!$D$7:$D$2506,MATCH($C42,'REGISTRE TUBES'!$B$7:$B$2506,0))="","",INDEX('REGISTRE TUBES'!$D$7:$D$2506,MATCH($C42,'REGISTRE TUBES'!$B$7:$B$2506,0))),"?"))</f>
        <v/>
      </c>
      <c r="F42" s="101" t="n">
        <f aca="false">IF($C42="","",IFERROR(IF(INDEX('REGISTRE TUBES'!$F$7:$F$2506,MATCH($C42,'REGISTRE TUBES'!$B$7:$B$2506,0))="","",INDEX('REGISTRE TUBES'!$F$7:$F$2506,MATCH($C42,'REGISTRE TUBES'!$B$7:$B$2506,0))),"?"))</f>
        <v>11.94</v>
      </c>
      <c r="G42" s="102" t="n">
        <f aca="false">IF($C42="","",N(G41)+N(F42))</f>
        <v>346.26</v>
      </c>
      <c r="H42" s="103" t="s">
        <v>915</v>
      </c>
      <c r="I42" s="104"/>
      <c r="J42" s="105"/>
    </row>
    <row r="43" customFormat="false" ht="15" hidden="false" customHeight="false" outlineLevel="0" collapsed="false">
      <c r="B43" s="90" t="n">
        <v>30</v>
      </c>
      <c r="C43" s="91" t="n">
        <v>2082730</v>
      </c>
      <c r="D43" s="92" t="n">
        <f aca="false">IF($C43="","",IFERROR(IF(INDEX('REGISTRE TUBES'!$C$7:$C$2506,MATCH($C43,'REGISTRE TUBES'!$B$7:$B$2506,0))="","",INDEX('REGISTRE TUBES'!$C$7:$C$2506,MATCH($C43,'REGISTRE TUBES'!$B$7:$B$2506,0))),"?"))</f>
        <v>15421104</v>
      </c>
      <c r="E43" s="92" t="str">
        <f aca="false">IF($C43="","",IFERROR(IF(INDEX('REGISTRE TUBES'!$D$7:$D$2506,MATCH($C43,'REGISTRE TUBES'!$B$7:$B$2506,0))="","",INDEX('REGISTRE TUBES'!$D$7:$D$2506,MATCH($C43,'REGISTRE TUBES'!$B$7:$B$2506,0))),"?"))</f>
        <v/>
      </c>
      <c r="F43" s="93" t="n">
        <f aca="false">IF($C43="","",IFERROR(IF(INDEX('REGISTRE TUBES'!$F$7:$F$2506,MATCH($C43,'REGISTRE TUBES'!$B$7:$B$2506,0))="","",INDEX('REGISTRE TUBES'!$F$7:$F$2506,MATCH($C43,'REGISTRE TUBES'!$B$7:$B$2506,0))),"?"))</f>
        <v>11.94</v>
      </c>
      <c r="G43" s="94" t="n">
        <f aca="false">IF($C43="","",N(G42)+N(F43))</f>
        <v>358.2</v>
      </c>
      <c r="H43" s="95" t="s">
        <v>916</v>
      </c>
      <c r="I43" s="96"/>
      <c r="J43" s="97"/>
    </row>
    <row r="44" customFormat="false" ht="15" hidden="false" customHeight="false" outlineLevel="0" collapsed="false">
      <c r="B44" s="98" t="n">
        <v>31</v>
      </c>
      <c r="C44" s="99" t="n">
        <v>2089150</v>
      </c>
      <c r="D44" s="100" t="n">
        <f aca="false">IF($C44="","",IFERROR(IF(INDEX('REGISTRE TUBES'!$C$7:$C$2506,MATCH($C44,'REGISTRE TUBES'!$B$7:$B$2506,0))="","",INDEX('REGISTRE TUBES'!$C$7:$C$2506,MATCH($C44,'REGISTRE TUBES'!$B$7:$B$2506,0))),"?"))</f>
        <v>15421108</v>
      </c>
      <c r="E44" s="100" t="str">
        <f aca="false">IF($C44="","",IFERROR(IF(INDEX('REGISTRE TUBES'!$D$7:$D$2506,MATCH($C44,'REGISTRE TUBES'!$B$7:$B$2506,0))="","",INDEX('REGISTRE TUBES'!$D$7:$D$2506,MATCH($C44,'REGISTRE TUBES'!$B$7:$B$2506,0))),"?"))</f>
        <v/>
      </c>
      <c r="F44" s="101" t="n">
        <f aca="false">IF($C44="","",IFERROR(IF(INDEX('REGISTRE TUBES'!$F$7:$F$2506,MATCH($C44,'REGISTRE TUBES'!$B$7:$B$2506,0))="","",INDEX('REGISTRE TUBES'!$F$7:$F$2506,MATCH($C44,'REGISTRE TUBES'!$B$7:$B$2506,0))),"?"))</f>
        <v>11.94</v>
      </c>
      <c r="G44" s="102" t="n">
        <f aca="false">IF($C44="","",N(G43)+N(F44))</f>
        <v>370.14</v>
      </c>
      <c r="H44" s="103" t="s">
        <v>917</v>
      </c>
      <c r="I44" s="104"/>
      <c r="J44" s="105"/>
    </row>
    <row r="45" customFormat="false" ht="15" hidden="false" customHeight="false" outlineLevel="0" collapsed="false">
      <c r="B45" s="90" t="n">
        <v>32</v>
      </c>
      <c r="C45" s="91" t="n">
        <v>2087120</v>
      </c>
      <c r="D45" s="92" t="n">
        <f aca="false">IF($C45="","",IFERROR(IF(INDEX('REGISTRE TUBES'!$C$7:$C$2506,MATCH($C45,'REGISTRE TUBES'!$B$7:$B$2506,0))="","",INDEX('REGISTRE TUBES'!$C$7:$C$2506,MATCH($C45,'REGISTRE TUBES'!$B$7:$B$2506,0))),"?"))</f>
        <v>15421107</v>
      </c>
      <c r="E45" s="92" t="str">
        <f aca="false">IF($C45="","",IFERROR(IF(INDEX('REGISTRE TUBES'!$D$7:$D$2506,MATCH($C45,'REGISTRE TUBES'!$B$7:$B$2506,0))="","",INDEX('REGISTRE TUBES'!$D$7:$D$2506,MATCH($C45,'REGISTRE TUBES'!$B$7:$B$2506,0))),"?"))</f>
        <v/>
      </c>
      <c r="F45" s="93" t="n">
        <f aca="false">IF($C45="","",IFERROR(IF(INDEX('REGISTRE TUBES'!$F$7:$F$2506,MATCH($C45,'REGISTRE TUBES'!$B$7:$B$2506,0))="","",INDEX('REGISTRE TUBES'!$F$7:$F$2506,MATCH($C45,'REGISTRE TUBES'!$B$7:$B$2506,0))),"?"))</f>
        <v>11.94</v>
      </c>
      <c r="G45" s="94" t="n">
        <f aca="false">IF($C45="","",N(G44)+N(F45))</f>
        <v>382.08</v>
      </c>
      <c r="H45" s="95" t="s">
        <v>918</v>
      </c>
      <c r="I45" s="96"/>
      <c r="J45" s="97"/>
    </row>
    <row r="46" customFormat="false" ht="15" hidden="false" customHeight="false" outlineLevel="0" collapsed="false">
      <c r="B46" s="98" t="n">
        <v>33</v>
      </c>
      <c r="C46" s="99" t="n">
        <v>2089310</v>
      </c>
      <c r="D46" s="100" t="n">
        <f aca="false">IF($C46="","",IFERROR(IF(INDEX('REGISTRE TUBES'!$C$7:$C$2506,MATCH($C46,'REGISTRE TUBES'!$B$7:$B$2506,0))="","",INDEX('REGISTRE TUBES'!$C$7:$C$2506,MATCH($C46,'REGISTRE TUBES'!$B$7:$B$2506,0))),"?"))</f>
        <v>15421108</v>
      </c>
      <c r="E46" s="100" t="str">
        <f aca="false">IF($C46="","",IFERROR(IF(INDEX('REGISTRE TUBES'!$D$7:$D$2506,MATCH($C46,'REGISTRE TUBES'!$B$7:$B$2506,0))="","",INDEX('REGISTRE TUBES'!$D$7:$D$2506,MATCH($C46,'REGISTRE TUBES'!$B$7:$B$2506,0))),"?"))</f>
        <v/>
      </c>
      <c r="F46" s="101" t="n">
        <f aca="false">IF($C46="","",IFERROR(IF(INDEX('REGISTRE TUBES'!$F$7:$F$2506,MATCH($C46,'REGISTRE TUBES'!$B$7:$B$2506,0))="","",INDEX('REGISTRE TUBES'!$F$7:$F$2506,MATCH($C46,'REGISTRE TUBES'!$B$7:$B$2506,0))),"?"))</f>
        <v>11.94</v>
      </c>
      <c r="G46" s="102" t="n">
        <f aca="false">IF($C46="","",N(G45)+N(F46))</f>
        <v>394.02</v>
      </c>
      <c r="H46" s="103" t="s">
        <v>919</v>
      </c>
      <c r="I46" s="104"/>
      <c r="J46" s="105"/>
    </row>
    <row r="47" customFormat="false" ht="15" hidden="false" customHeight="false" outlineLevel="0" collapsed="false">
      <c r="B47" s="90" t="n">
        <v>34</v>
      </c>
      <c r="C47" s="91" t="n">
        <v>2097900</v>
      </c>
      <c r="D47" s="92" t="n">
        <f aca="false">IF($C47="","",IFERROR(IF(INDEX('REGISTRE TUBES'!$C$7:$C$2506,MATCH($C47,'REGISTRE TUBES'!$B$7:$B$2506,0))="","",INDEX('REGISTRE TUBES'!$C$7:$C$2506,MATCH($C47,'REGISTRE TUBES'!$B$7:$B$2506,0))),"?"))</f>
        <v>15421112</v>
      </c>
      <c r="E47" s="92" t="str">
        <f aca="false">IF($C47="","",IFERROR(IF(INDEX('REGISTRE TUBES'!$D$7:$D$2506,MATCH($C47,'REGISTRE TUBES'!$B$7:$B$2506,0))="","",INDEX('REGISTRE TUBES'!$D$7:$D$2506,MATCH($C47,'REGISTRE TUBES'!$B$7:$B$2506,0))),"?"))</f>
        <v/>
      </c>
      <c r="F47" s="93" t="n">
        <f aca="false">IF($C47="","",IFERROR(IF(INDEX('REGISTRE TUBES'!$F$7:$F$2506,MATCH($C47,'REGISTRE TUBES'!$B$7:$B$2506,0))="","",INDEX('REGISTRE TUBES'!$F$7:$F$2506,MATCH($C47,'REGISTRE TUBES'!$B$7:$B$2506,0))),"?"))</f>
        <v>11.94</v>
      </c>
      <c r="G47" s="94" t="n">
        <f aca="false">IF($C47="","",N(G46)+N(F47))</f>
        <v>405.96</v>
      </c>
      <c r="H47" s="95" t="s">
        <v>922</v>
      </c>
      <c r="I47" s="96"/>
      <c r="J47" s="97"/>
    </row>
    <row r="48" customFormat="false" ht="15" hidden="false" customHeight="false" outlineLevel="0" collapsed="false">
      <c r="B48" s="98" t="n">
        <v>35</v>
      </c>
      <c r="C48" s="99" t="n">
        <v>2088790</v>
      </c>
      <c r="D48" s="100" t="n">
        <f aca="false">IF($C48="","",IFERROR(IF(INDEX('REGISTRE TUBES'!$C$7:$C$2506,MATCH($C48,'REGISTRE TUBES'!$B$7:$B$2506,0))="","",INDEX('REGISTRE TUBES'!$C$7:$C$2506,MATCH($C48,'REGISTRE TUBES'!$B$7:$B$2506,0))),"?"))</f>
        <v>15421108</v>
      </c>
      <c r="E48" s="100" t="str">
        <f aca="false">IF($C48="","",IFERROR(IF(INDEX('REGISTRE TUBES'!$D$7:$D$2506,MATCH($C48,'REGISTRE TUBES'!$B$7:$B$2506,0))="","",INDEX('REGISTRE TUBES'!$D$7:$D$2506,MATCH($C48,'REGISTRE TUBES'!$B$7:$B$2506,0))),"?"))</f>
        <v/>
      </c>
      <c r="F48" s="101" t="n">
        <f aca="false">IF($C48="","",IFERROR(IF(INDEX('REGISTRE TUBES'!$F$7:$F$2506,MATCH($C48,'REGISTRE TUBES'!$B$7:$B$2506,0))="","",INDEX('REGISTRE TUBES'!$F$7:$F$2506,MATCH($C48,'REGISTRE TUBES'!$B$7:$B$2506,0))),"?"))</f>
        <v>11.94</v>
      </c>
      <c r="G48" s="102" t="n">
        <f aca="false">IF($C48="","",N(G47)+N(F48))</f>
        <v>417.9</v>
      </c>
      <c r="H48" s="103" t="s">
        <v>923</v>
      </c>
      <c r="I48" s="104"/>
      <c r="J48" s="105"/>
    </row>
    <row r="49" customFormat="false" ht="15" hidden="false" customHeight="false" outlineLevel="0" collapsed="false">
      <c r="B49" s="90" t="n">
        <v>36</v>
      </c>
      <c r="C49" s="91" t="n">
        <v>2093150</v>
      </c>
      <c r="D49" s="92" t="n">
        <f aca="false">IF($C49="","",IFERROR(IF(INDEX('REGISTRE TUBES'!$C$7:$C$2506,MATCH($C49,'REGISTRE TUBES'!$B$7:$B$2506,0))="","",INDEX('REGISTRE TUBES'!$C$7:$C$2506,MATCH($C49,'REGISTRE TUBES'!$B$7:$B$2506,0))),"?"))</f>
        <v>15421110</v>
      </c>
      <c r="E49" s="92" t="str">
        <f aca="false">IF($C49="","",IFERROR(IF(INDEX('REGISTRE TUBES'!$D$7:$D$2506,MATCH($C49,'REGISTRE TUBES'!$B$7:$B$2506,0))="","",INDEX('REGISTRE TUBES'!$D$7:$D$2506,MATCH($C49,'REGISTRE TUBES'!$B$7:$B$2506,0))),"?"))</f>
        <v/>
      </c>
      <c r="F49" s="93" t="n">
        <f aca="false">IF($C49="","",IFERROR(IF(INDEX('REGISTRE TUBES'!$F$7:$F$2506,MATCH($C49,'REGISTRE TUBES'!$B$7:$B$2506,0))="","",INDEX('REGISTRE TUBES'!$F$7:$F$2506,MATCH($C49,'REGISTRE TUBES'!$B$7:$B$2506,0))),"?"))</f>
        <v>11.94</v>
      </c>
      <c r="G49" s="94" t="n">
        <f aca="false">IF($C49="","",N(G48)+N(F49))</f>
        <v>429.84</v>
      </c>
      <c r="H49" s="95"/>
      <c r="I49" s="96"/>
      <c r="J49" s="97"/>
    </row>
    <row r="50" customFormat="false" ht="15" hidden="false" customHeight="false" outlineLevel="0" collapsed="false">
      <c r="B50" s="98" t="n">
        <v>37</v>
      </c>
      <c r="C50" s="99" t="n">
        <v>2093220</v>
      </c>
      <c r="D50" s="100" t="n">
        <f aca="false">IF($C50="","",IFERROR(IF(INDEX('REGISTRE TUBES'!$C$7:$C$2506,MATCH($C50,'REGISTRE TUBES'!$B$7:$B$2506,0))="","",INDEX('REGISTRE TUBES'!$C$7:$C$2506,MATCH($C50,'REGISTRE TUBES'!$B$7:$B$2506,0))),"?"))</f>
        <v>15421110</v>
      </c>
      <c r="E50" s="100" t="str">
        <f aca="false">IF($C50="","",IFERROR(IF(INDEX('REGISTRE TUBES'!$D$7:$D$2506,MATCH($C50,'REGISTRE TUBES'!$B$7:$B$2506,0))="","",INDEX('REGISTRE TUBES'!$D$7:$D$2506,MATCH($C50,'REGISTRE TUBES'!$B$7:$B$2506,0))),"?"))</f>
        <v/>
      </c>
      <c r="F50" s="101" t="n">
        <f aca="false">IF($C50="","",IFERROR(IF(INDEX('REGISTRE TUBES'!$F$7:$F$2506,MATCH($C50,'REGISTRE TUBES'!$B$7:$B$2506,0))="","",INDEX('REGISTRE TUBES'!$F$7:$F$2506,MATCH($C50,'REGISTRE TUBES'!$B$7:$B$2506,0))),"?"))</f>
        <v>11.94</v>
      </c>
      <c r="G50" s="102" t="n">
        <f aca="false">IF($C50="","",N(G49)+N(F50))</f>
        <v>441.78</v>
      </c>
      <c r="H50" s="103" t="s">
        <v>929</v>
      </c>
      <c r="I50" s="104"/>
      <c r="J50" s="105"/>
    </row>
    <row r="51" customFormat="false" ht="15" hidden="false" customHeight="false" outlineLevel="0" collapsed="false">
      <c r="B51" s="90" t="n">
        <v>38</v>
      </c>
      <c r="C51" s="91" t="n">
        <v>2092840</v>
      </c>
      <c r="D51" s="92" t="n">
        <f aca="false">IF($C51="","",IFERROR(IF(INDEX('REGISTRE TUBES'!$C$7:$C$2506,MATCH($C51,'REGISTRE TUBES'!$B$7:$B$2506,0))="","",INDEX('REGISTRE TUBES'!$C$7:$C$2506,MATCH($C51,'REGISTRE TUBES'!$B$7:$B$2506,0))),"?"))</f>
        <v>15421110</v>
      </c>
      <c r="E51" s="92" t="str">
        <f aca="false">IF($C51="","",IFERROR(IF(INDEX('REGISTRE TUBES'!$D$7:$D$2506,MATCH($C51,'REGISTRE TUBES'!$B$7:$B$2506,0))="","",INDEX('REGISTRE TUBES'!$D$7:$D$2506,MATCH($C51,'REGISTRE TUBES'!$B$7:$B$2506,0))),"?"))</f>
        <v/>
      </c>
      <c r="F51" s="93" t="n">
        <f aca="false">IF($C51="","",IFERROR(IF(INDEX('REGISTRE TUBES'!$F$7:$F$2506,MATCH($C51,'REGISTRE TUBES'!$B$7:$B$2506,0))="","",INDEX('REGISTRE TUBES'!$F$7:$F$2506,MATCH($C51,'REGISTRE TUBES'!$B$7:$B$2506,0))),"?"))</f>
        <v>11.94</v>
      </c>
      <c r="G51" s="94" t="n">
        <f aca="false">IF($C51="","",N(G50)+N(F51))</f>
        <v>453.72</v>
      </c>
      <c r="H51" s="95" t="s">
        <v>930</v>
      </c>
      <c r="I51" s="96"/>
      <c r="J51" s="97"/>
    </row>
    <row r="52" customFormat="false" ht="15" hidden="false" customHeight="true" outlineLevel="0" collapsed="false">
      <c r="B52" s="106" t="s">
        <v>3031</v>
      </c>
      <c r="C52" s="106"/>
      <c r="D52" s="106"/>
      <c r="E52" s="106"/>
      <c r="F52" s="107" t="n">
        <f aca="false">SUM(F33:F51)</f>
        <v>226.86</v>
      </c>
      <c r="G52" s="108" t="n">
        <f aca="false">IF(COUNT(G33:G51)=0,"",MAX(G33:G51))</f>
        <v>453.72</v>
      </c>
      <c r="H52" s="106" t="str">
        <f aca="false">COUNTA(C33:C51)&amp;" tube(s)"</f>
        <v>19 tube(s)</v>
      </c>
      <c r="I52" s="106"/>
      <c r="J52" s="106"/>
    </row>
    <row r="54" customFormat="false" ht="15" hidden="false" customHeight="false" outlineLevel="0" collapsed="false">
      <c r="B54" s="109" t="s">
        <v>3032</v>
      </c>
      <c r="F54" s="109" t="s">
        <v>3033</v>
      </c>
      <c r="I54" s="109" t="s">
        <v>3034</v>
      </c>
    </row>
    <row r="57" customFormat="false" ht="25.5" hidden="false" customHeight="true" outlineLevel="0" collapsed="false">
      <c r="B57" s="85" t="s">
        <v>3015</v>
      </c>
      <c r="C57" s="85"/>
      <c r="D57" s="85"/>
      <c r="E57" s="85"/>
      <c r="F57" s="85"/>
      <c r="G57" s="85"/>
      <c r="H57" s="85"/>
      <c r="I57" s="85"/>
      <c r="J57" s="85"/>
    </row>
    <row r="58" customFormat="false" ht="15" hidden="false" customHeight="false" outlineLevel="0" collapsed="false">
      <c r="B58" s="86" t="str">
        <f aca="false">PARAMÈTRES!$C$4&amp;"   •   Affaire N° "&amp;PARAMÈTRES!$C$5</f>
        <v>Développement des champs gaziers TFT II — réseau de collecte TFT Sud (LIGNE-16)   •   Affaire N° 8546</v>
      </c>
      <c r="C58" s="86"/>
      <c r="D58" s="86"/>
      <c r="E58" s="86"/>
      <c r="F58" s="86"/>
      <c r="G58" s="86"/>
      <c r="H58" s="86"/>
      <c r="I58" s="86"/>
      <c r="J58" s="86"/>
    </row>
    <row r="59" customFormat="false" ht="19.5" hidden="false" customHeight="true" outlineLevel="0" collapsed="false">
      <c r="B59" s="87" t="s">
        <v>3016</v>
      </c>
      <c r="C59" s="88" t="s">
        <v>110</v>
      </c>
      <c r="D59" s="88"/>
      <c r="E59" s="87" t="s">
        <v>3017</v>
      </c>
      <c r="F59" s="88" t="s">
        <v>3037</v>
      </c>
      <c r="G59" s="87" t="s">
        <v>3019</v>
      </c>
      <c r="H59" s="88" t="s">
        <v>3038</v>
      </c>
      <c r="I59" s="87" t="s">
        <v>3021</v>
      </c>
      <c r="J59" s="89"/>
    </row>
    <row r="60" customFormat="false" ht="27.75" hidden="false" customHeight="true" outlineLevel="0" collapsed="false">
      <c r="B60" s="71" t="s">
        <v>3022</v>
      </c>
      <c r="C60" s="71" t="s">
        <v>3023</v>
      </c>
      <c r="D60" s="71" t="s">
        <v>3024</v>
      </c>
      <c r="E60" s="71" t="s">
        <v>3025</v>
      </c>
      <c r="F60" s="71" t="s">
        <v>3026</v>
      </c>
      <c r="G60" s="71" t="s">
        <v>3027</v>
      </c>
      <c r="H60" s="71" t="s">
        <v>3028</v>
      </c>
      <c r="I60" s="71" t="s">
        <v>3029</v>
      </c>
      <c r="J60" s="71" t="s">
        <v>3030</v>
      </c>
    </row>
    <row r="61" customFormat="false" ht="15" hidden="false" customHeight="false" outlineLevel="0" collapsed="false">
      <c r="B61" s="90" t="n">
        <v>39</v>
      </c>
      <c r="C61" s="91" t="n">
        <v>2079260</v>
      </c>
      <c r="D61" s="92" t="n">
        <f aca="false">IF($C61="","",IFERROR(IF(INDEX('REGISTRE TUBES'!$C$7:$C$2506,MATCH($C61,'REGISTRE TUBES'!$B$7:$B$2506,0))="","",INDEX('REGISTRE TUBES'!$C$7:$C$2506,MATCH($C61,'REGISTRE TUBES'!$B$7:$B$2506,0))),"?"))</f>
        <v>15421102</v>
      </c>
      <c r="E61" s="92" t="str">
        <f aca="false">IF($C61="","",IFERROR(IF(INDEX('REGISTRE TUBES'!$D$7:$D$2506,MATCH($C61,'REGISTRE TUBES'!$B$7:$B$2506,0))="","",INDEX('REGISTRE TUBES'!$D$7:$D$2506,MATCH($C61,'REGISTRE TUBES'!$B$7:$B$2506,0))),"?"))</f>
        <v/>
      </c>
      <c r="F61" s="93" t="n">
        <f aca="false">IF($C61="","",IFERROR(IF(INDEX('REGISTRE TUBES'!$F$7:$F$2506,MATCH($C61,'REGISTRE TUBES'!$B$7:$B$2506,0))="","",INDEX('REGISTRE TUBES'!$F$7:$F$2506,MATCH($C61,'REGISTRE TUBES'!$B$7:$B$2506,0))),"?"))</f>
        <v>11.94</v>
      </c>
      <c r="G61" s="94" t="n">
        <f aca="false">IF($C61="","",N(G51)+N(F61))</f>
        <v>465.66</v>
      </c>
      <c r="H61" s="95" t="s">
        <v>931</v>
      </c>
      <c r="I61" s="96"/>
      <c r="J61" s="97"/>
    </row>
    <row r="62" customFormat="false" ht="15" hidden="false" customHeight="false" outlineLevel="0" collapsed="false">
      <c r="B62" s="98" t="n">
        <v>40</v>
      </c>
      <c r="C62" s="99" t="n">
        <v>2094120</v>
      </c>
      <c r="D62" s="100" t="n">
        <f aca="false">IF($C62="","",IFERROR(IF(INDEX('REGISTRE TUBES'!$C$7:$C$2506,MATCH($C62,'REGISTRE TUBES'!$B$7:$B$2506,0))="","",INDEX('REGISTRE TUBES'!$C$7:$C$2506,MATCH($C62,'REGISTRE TUBES'!$B$7:$B$2506,0))),"?"))</f>
        <v>15421110</v>
      </c>
      <c r="E62" s="100" t="str">
        <f aca="false">IF($C62="","",IFERROR(IF(INDEX('REGISTRE TUBES'!$D$7:$D$2506,MATCH($C62,'REGISTRE TUBES'!$B$7:$B$2506,0))="","",INDEX('REGISTRE TUBES'!$D$7:$D$2506,MATCH($C62,'REGISTRE TUBES'!$B$7:$B$2506,0))),"?"))</f>
        <v/>
      </c>
      <c r="F62" s="101" t="n">
        <f aca="false">IF($C62="","",IFERROR(IF(INDEX('REGISTRE TUBES'!$F$7:$F$2506,MATCH($C62,'REGISTRE TUBES'!$B$7:$B$2506,0))="","",INDEX('REGISTRE TUBES'!$F$7:$F$2506,MATCH($C62,'REGISTRE TUBES'!$B$7:$B$2506,0))),"?"))</f>
        <v>11.94</v>
      </c>
      <c r="G62" s="102" t="n">
        <f aca="false">IF($C62="","",N(G61)+N(F62))</f>
        <v>477.6</v>
      </c>
      <c r="H62" s="103" t="s">
        <v>932</v>
      </c>
      <c r="I62" s="104"/>
      <c r="J62" s="105"/>
    </row>
    <row r="63" customFormat="false" ht="15" hidden="false" customHeight="false" outlineLevel="0" collapsed="false">
      <c r="B63" s="90" t="n">
        <v>41</v>
      </c>
      <c r="C63" s="91" t="n">
        <v>2091950</v>
      </c>
      <c r="D63" s="92" t="n">
        <f aca="false">IF($C63="","",IFERROR(IF(INDEX('REGISTRE TUBES'!$C$7:$C$2506,MATCH($C63,'REGISTRE TUBES'!$B$7:$B$2506,0))="","",INDEX('REGISTRE TUBES'!$C$7:$C$2506,MATCH($C63,'REGISTRE TUBES'!$B$7:$B$2506,0))),"?"))</f>
        <v>15421109</v>
      </c>
      <c r="E63" s="92" t="str">
        <f aca="false">IF($C63="","",IFERROR(IF(INDEX('REGISTRE TUBES'!$D$7:$D$2506,MATCH($C63,'REGISTRE TUBES'!$B$7:$B$2506,0))="","",INDEX('REGISTRE TUBES'!$D$7:$D$2506,MATCH($C63,'REGISTRE TUBES'!$B$7:$B$2506,0))),"?"))</f>
        <v/>
      </c>
      <c r="F63" s="93" t="n">
        <f aca="false">IF($C63="","",IFERROR(IF(INDEX('REGISTRE TUBES'!$F$7:$F$2506,MATCH($C63,'REGISTRE TUBES'!$B$7:$B$2506,0))="","",INDEX('REGISTRE TUBES'!$F$7:$F$2506,MATCH($C63,'REGISTRE TUBES'!$B$7:$B$2506,0))),"?"))</f>
        <v>11.94</v>
      </c>
      <c r="G63" s="94" t="n">
        <f aca="false">IF($C63="","",N(G62)+N(F63))</f>
        <v>489.54</v>
      </c>
      <c r="H63" s="95" t="s">
        <v>933</v>
      </c>
      <c r="I63" s="96"/>
      <c r="J63" s="97"/>
    </row>
    <row r="64" customFormat="false" ht="15" hidden="false" customHeight="false" outlineLevel="0" collapsed="false">
      <c r="B64" s="98" t="n">
        <v>42</v>
      </c>
      <c r="C64" s="99" t="n">
        <v>2093350</v>
      </c>
      <c r="D64" s="100" t="n">
        <f aca="false">IF($C64="","",IFERROR(IF(INDEX('REGISTRE TUBES'!$C$7:$C$2506,MATCH($C64,'REGISTRE TUBES'!$B$7:$B$2506,0))="","",INDEX('REGISTRE TUBES'!$C$7:$C$2506,MATCH($C64,'REGISTRE TUBES'!$B$7:$B$2506,0))),"?"))</f>
        <v>15421110</v>
      </c>
      <c r="E64" s="100" t="str">
        <f aca="false">IF($C64="","",IFERROR(IF(INDEX('REGISTRE TUBES'!$D$7:$D$2506,MATCH($C64,'REGISTRE TUBES'!$B$7:$B$2506,0))="","",INDEX('REGISTRE TUBES'!$D$7:$D$2506,MATCH($C64,'REGISTRE TUBES'!$B$7:$B$2506,0))),"?"))</f>
        <v/>
      </c>
      <c r="F64" s="101" t="n">
        <f aca="false">IF($C64="","",IFERROR(IF(INDEX('REGISTRE TUBES'!$F$7:$F$2506,MATCH($C64,'REGISTRE TUBES'!$B$7:$B$2506,0))="","",INDEX('REGISTRE TUBES'!$F$7:$F$2506,MATCH($C64,'REGISTRE TUBES'!$B$7:$B$2506,0))),"?"))</f>
        <v>11.94</v>
      </c>
      <c r="G64" s="102" t="n">
        <f aca="false">IF($C64="","",N(G63)+N(F64))</f>
        <v>501.48</v>
      </c>
      <c r="H64" s="103" t="s">
        <v>934</v>
      </c>
      <c r="I64" s="104"/>
      <c r="J64" s="105"/>
    </row>
    <row r="65" customFormat="false" ht="15" hidden="false" customHeight="false" outlineLevel="0" collapsed="false">
      <c r="B65" s="90" t="n">
        <v>43</v>
      </c>
      <c r="C65" s="91" t="n">
        <v>2087560</v>
      </c>
      <c r="D65" s="92" t="n">
        <f aca="false">IF($C65="","",IFERROR(IF(INDEX('REGISTRE TUBES'!$C$7:$C$2506,MATCH($C65,'REGISTRE TUBES'!$B$7:$B$2506,0))="","",INDEX('REGISTRE TUBES'!$C$7:$C$2506,MATCH($C65,'REGISTRE TUBES'!$B$7:$B$2506,0))),"?"))</f>
        <v>15421107</v>
      </c>
      <c r="E65" s="92" t="str">
        <f aca="false">IF($C65="","",IFERROR(IF(INDEX('REGISTRE TUBES'!$D$7:$D$2506,MATCH($C65,'REGISTRE TUBES'!$B$7:$B$2506,0))="","",INDEX('REGISTRE TUBES'!$D$7:$D$2506,MATCH($C65,'REGISTRE TUBES'!$B$7:$B$2506,0))),"?"))</f>
        <v/>
      </c>
      <c r="F65" s="93" t="n">
        <f aca="false">IF($C65="","",IFERROR(IF(INDEX('REGISTRE TUBES'!$F$7:$F$2506,MATCH($C65,'REGISTRE TUBES'!$B$7:$B$2506,0))="","",INDEX('REGISTRE TUBES'!$F$7:$F$2506,MATCH($C65,'REGISTRE TUBES'!$B$7:$B$2506,0))),"?"))</f>
        <v>11.94</v>
      </c>
      <c r="G65" s="94" t="n">
        <f aca="false">IF($C65="","",N(G64)+N(F65))</f>
        <v>513.42</v>
      </c>
      <c r="H65" s="95" t="s">
        <v>937</v>
      </c>
      <c r="I65" s="96"/>
      <c r="J65" s="97"/>
    </row>
    <row r="66" customFormat="false" ht="15" hidden="false" customHeight="false" outlineLevel="0" collapsed="false">
      <c r="B66" s="98" t="n">
        <v>44</v>
      </c>
      <c r="C66" s="99" t="n">
        <v>2094130</v>
      </c>
      <c r="D66" s="100" t="n">
        <f aca="false">IF($C66="","",IFERROR(IF(INDEX('REGISTRE TUBES'!$C$7:$C$2506,MATCH($C66,'REGISTRE TUBES'!$B$7:$B$2506,0))="","",INDEX('REGISTRE TUBES'!$C$7:$C$2506,MATCH($C66,'REGISTRE TUBES'!$B$7:$B$2506,0))),"?"))</f>
        <v>15421110</v>
      </c>
      <c r="E66" s="100" t="str">
        <f aca="false">IF($C66="","",IFERROR(IF(INDEX('REGISTRE TUBES'!$D$7:$D$2506,MATCH($C66,'REGISTRE TUBES'!$B$7:$B$2506,0))="","",INDEX('REGISTRE TUBES'!$D$7:$D$2506,MATCH($C66,'REGISTRE TUBES'!$B$7:$B$2506,0))),"?"))</f>
        <v/>
      </c>
      <c r="F66" s="101" t="n">
        <f aca="false">IF($C66="","",IFERROR(IF(INDEX('REGISTRE TUBES'!$F$7:$F$2506,MATCH($C66,'REGISTRE TUBES'!$B$7:$B$2506,0))="","",INDEX('REGISTRE TUBES'!$F$7:$F$2506,MATCH($C66,'REGISTRE TUBES'!$B$7:$B$2506,0))),"?"))</f>
        <v>11.94</v>
      </c>
      <c r="G66" s="102" t="n">
        <f aca="false">IF($C66="","",N(G65)+N(F66))</f>
        <v>525.36</v>
      </c>
      <c r="H66" s="103" t="s">
        <v>940</v>
      </c>
      <c r="I66" s="104"/>
      <c r="J66" s="105"/>
    </row>
    <row r="67" customFormat="false" ht="15" hidden="false" customHeight="false" outlineLevel="0" collapsed="false">
      <c r="B67" s="90" t="n">
        <v>45</v>
      </c>
      <c r="C67" s="91" t="n">
        <v>2095100</v>
      </c>
      <c r="D67" s="92" t="n">
        <f aca="false">IF($C67="","",IFERROR(IF(INDEX('REGISTRE TUBES'!$C$7:$C$2506,MATCH($C67,'REGISTRE TUBES'!$B$7:$B$2506,0))="","",INDEX('REGISTRE TUBES'!$C$7:$C$2506,MATCH($C67,'REGISTRE TUBES'!$B$7:$B$2506,0))),"?"))</f>
        <v>15421102</v>
      </c>
      <c r="E67" s="92" t="str">
        <f aca="false">IF($C67="","",IFERROR(IF(INDEX('REGISTRE TUBES'!$D$7:$D$2506,MATCH($C67,'REGISTRE TUBES'!$B$7:$B$2506,0))="","",INDEX('REGISTRE TUBES'!$D$7:$D$2506,MATCH($C67,'REGISTRE TUBES'!$B$7:$B$2506,0))),"?"))</f>
        <v/>
      </c>
      <c r="F67" s="93" t="n">
        <f aca="false">IF($C67="","",IFERROR(IF(INDEX('REGISTRE TUBES'!$F$7:$F$2506,MATCH($C67,'REGISTRE TUBES'!$B$7:$B$2506,0))="","",INDEX('REGISTRE TUBES'!$F$7:$F$2506,MATCH($C67,'REGISTRE TUBES'!$B$7:$B$2506,0))),"?"))</f>
        <v>11.94</v>
      </c>
      <c r="G67" s="94" t="n">
        <f aca="false">IF($C67="","",N(G66)+N(F67))</f>
        <v>537.3</v>
      </c>
      <c r="H67" s="95" t="s">
        <v>941</v>
      </c>
      <c r="I67" s="96"/>
      <c r="J67" s="97"/>
    </row>
    <row r="68" customFormat="false" ht="15" hidden="false" customHeight="false" outlineLevel="0" collapsed="false">
      <c r="B68" s="98" t="n">
        <v>46</v>
      </c>
      <c r="C68" s="99" t="n">
        <v>2083750</v>
      </c>
      <c r="D68" s="100" t="n">
        <f aca="false">IF($C68="","",IFERROR(IF(INDEX('REGISTRE TUBES'!$C$7:$C$2506,MATCH($C68,'REGISTRE TUBES'!$B$7:$B$2506,0))="","",INDEX('REGISTRE TUBES'!$C$7:$C$2506,MATCH($C68,'REGISTRE TUBES'!$B$7:$B$2506,0))),"?"))</f>
        <v>15421105</v>
      </c>
      <c r="E68" s="100" t="str">
        <f aca="false">IF($C68="","",IFERROR(IF(INDEX('REGISTRE TUBES'!$D$7:$D$2506,MATCH($C68,'REGISTRE TUBES'!$B$7:$B$2506,0))="","",INDEX('REGISTRE TUBES'!$D$7:$D$2506,MATCH($C68,'REGISTRE TUBES'!$B$7:$B$2506,0))),"?"))</f>
        <v/>
      </c>
      <c r="F68" s="101" t="n">
        <f aca="false">IF($C68="","",IFERROR(IF(INDEX('REGISTRE TUBES'!$F$7:$F$2506,MATCH($C68,'REGISTRE TUBES'!$B$7:$B$2506,0))="","",INDEX('REGISTRE TUBES'!$F$7:$F$2506,MATCH($C68,'REGISTRE TUBES'!$B$7:$B$2506,0))),"?"))</f>
        <v>11.94</v>
      </c>
      <c r="G68" s="102" t="n">
        <f aca="false">IF($C68="","",N(G67)+N(F68))</f>
        <v>549.24</v>
      </c>
      <c r="H68" s="103" t="s">
        <v>942</v>
      </c>
      <c r="I68" s="104"/>
      <c r="J68" s="105"/>
    </row>
    <row r="69" customFormat="false" ht="15" hidden="false" customHeight="false" outlineLevel="0" collapsed="false">
      <c r="B69" s="90" t="n">
        <v>47</v>
      </c>
      <c r="C69" s="91" t="n">
        <v>2097330</v>
      </c>
      <c r="D69" s="92" t="n">
        <f aca="false">IF($C69="","",IFERROR(IF(INDEX('REGISTRE TUBES'!$C$7:$C$2506,MATCH($C69,'REGISTRE TUBES'!$B$7:$B$2506,0))="","",INDEX('REGISTRE TUBES'!$C$7:$C$2506,MATCH($C69,'REGISTRE TUBES'!$B$7:$B$2506,0))),"?"))</f>
        <v>15421112</v>
      </c>
      <c r="E69" s="92" t="str">
        <f aca="false">IF($C69="","",IFERROR(IF(INDEX('REGISTRE TUBES'!$D$7:$D$2506,MATCH($C69,'REGISTRE TUBES'!$B$7:$B$2506,0))="","",INDEX('REGISTRE TUBES'!$D$7:$D$2506,MATCH($C69,'REGISTRE TUBES'!$B$7:$B$2506,0))),"?"))</f>
        <v/>
      </c>
      <c r="F69" s="93" t="n">
        <f aca="false">IF($C69="","",IFERROR(IF(INDEX('REGISTRE TUBES'!$F$7:$F$2506,MATCH($C69,'REGISTRE TUBES'!$B$7:$B$2506,0))="","",INDEX('REGISTRE TUBES'!$F$7:$F$2506,MATCH($C69,'REGISTRE TUBES'!$B$7:$B$2506,0))),"?"))</f>
        <v>11.94</v>
      </c>
      <c r="G69" s="94" t="n">
        <f aca="false">IF($C69="","",N(G68)+N(F69))</f>
        <v>561.18</v>
      </c>
      <c r="H69" s="95" t="s">
        <v>943</v>
      </c>
      <c r="I69" s="96"/>
      <c r="J69" s="97"/>
    </row>
    <row r="70" customFormat="false" ht="15" hidden="false" customHeight="false" outlineLevel="0" collapsed="false">
      <c r="B70" s="98" t="n">
        <v>48</v>
      </c>
      <c r="C70" s="99" t="n">
        <v>2094260</v>
      </c>
      <c r="D70" s="100" t="n">
        <f aca="false">IF($C70="","",IFERROR(IF(INDEX('REGISTRE TUBES'!$C$7:$C$2506,MATCH($C70,'REGISTRE TUBES'!$B$7:$B$2506,0))="","",INDEX('REGISTRE TUBES'!$C$7:$C$2506,MATCH($C70,'REGISTRE TUBES'!$B$7:$B$2506,0))),"?"))</f>
        <v>15421111</v>
      </c>
      <c r="E70" s="100" t="str">
        <f aca="false">IF($C70="","",IFERROR(IF(INDEX('REGISTRE TUBES'!$D$7:$D$2506,MATCH($C70,'REGISTRE TUBES'!$B$7:$B$2506,0))="","",INDEX('REGISTRE TUBES'!$D$7:$D$2506,MATCH($C70,'REGISTRE TUBES'!$B$7:$B$2506,0))),"?"))</f>
        <v/>
      </c>
      <c r="F70" s="101" t="n">
        <f aca="false">IF($C70="","",IFERROR(IF(INDEX('REGISTRE TUBES'!$F$7:$F$2506,MATCH($C70,'REGISTRE TUBES'!$B$7:$B$2506,0))="","",INDEX('REGISTRE TUBES'!$F$7:$F$2506,MATCH($C70,'REGISTRE TUBES'!$B$7:$B$2506,0))),"?"))</f>
        <v>11.94</v>
      </c>
      <c r="G70" s="102" t="n">
        <f aca="false">IF($C70="","",N(G69)+N(F70))</f>
        <v>573.12</v>
      </c>
      <c r="H70" s="103" t="s">
        <v>944</v>
      </c>
      <c r="I70" s="104"/>
      <c r="J70" s="105"/>
    </row>
    <row r="71" customFormat="false" ht="15" hidden="false" customHeight="false" outlineLevel="0" collapsed="false">
      <c r="B71" s="90" t="n">
        <v>49</v>
      </c>
      <c r="C71" s="91" t="n">
        <v>2087450</v>
      </c>
      <c r="D71" s="92" t="n">
        <f aca="false">IF($C71="","",IFERROR(IF(INDEX('REGISTRE TUBES'!$C$7:$C$2506,MATCH($C71,'REGISTRE TUBES'!$B$7:$B$2506,0))="","",INDEX('REGISTRE TUBES'!$C$7:$C$2506,MATCH($C71,'REGISTRE TUBES'!$B$7:$B$2506,0))),"?"))</f>
        <v>15421110</v>
      </c>
      <c r="E71" s="92" t="str">
        <f aca="false">IF($C71="","",IFERROR(IF(INDEX('REGISTRE TUBES'!$D$7:$D$2506,MATCH($C71,'REGISTRE TUBES'!$B$7:$B$2506,0))="","",INDEX('REGISTRE TUBES'!$D$7:$D$2506,MATCH($C71,'REGISTRE TUBES'!$B$7:$B$2506,0))),"?"))</f>
        <v/>
      </c>
      <c r="F71" s="93" t="n">
        <f aca="false">IF($C71="","",IFERROR(IF(INDEX('REGISTRE TUBES'!$F$7:$F$2506,MATCH($C71,'REGISTRE TUBES'!$B$7:$B$2506,0))="","",INDEX('REGISTRE TUBES'!$F$7:$F$2506,MATCH($C71,'REGISTRE TUBES'!$B$7:$B$2506,0))),"?"))</f>
        <v>11.94</v>
      </c>
      <c r="G71" s="94" t="n">
        <f aca="false">IF($C71="","",N(G70)+N(F71))</f>
        <v>585.06</v>
      </c>
      <c r="H71" s="95" t="s">
        <v>945</v>
      </c>
      <c r="I71" s="96"/>
      <c r="J71" s="97"/>
    </row>
    <row r="72" customFormat="false" ht="15" hidden="false" customHeight="false" outlineLevel="0" collapsed="false">
      <c r="B72" s="98" t="n">
        <v>50</v>
      </c>
      <c r="C72" s="99" t="n">
        <v>2080970</v>
      </c>
      <c r="D72" s="100" t="n">
        <f aca="false">IF($C72="","",IFERROR(IF(INDEX('REGISTRE TUBES'!$C$7:$C$2506,MATCH($C72,'REGISTRE TUBES'!$B$7:$B$2506,0))="","",INDEX('REGISTRE TUBES'!$C$7:$C$2506,MATCH($C72,'REGISTRE TUBES'!$B$7:$B$2506,0))),"?"))</f>
        <v>15421109</v>
      </c>
      <c r="E72" s="100" t="str">
        <f aca="false">IF($C72="","",IFERROR(IF(INDEX('REGISTRE TUBES'!$D$7:$D$2506,MATCH($C72,'REGISTRE TUBES'!$B$7:$B$2506,0))="","",INDEX('REGISTRE TUBES'!$D$7:$D$2506,MATCH($C72,'REGISTRE TUBES'!$B$7:$B$2506,0))),"?"))</f>
        <v/>
      </c>
      <c r="F72" s="101" t="n">
        <f aca="false">IF($C72="","",IFERROR(IF(INDEX('REGISTRE TUBES'!$F$7:$F$2506,MATCH($C72,'REGISTRE TUBES'!$B$7:$B$2506,0))="","",INDEX('REGISTRE TUBES'!$F$7:$F$2506,MATCH($C72,'REGISTRE TUBES'!$B$7:$B$2506,0))),"?"))</f>
        <v>11.94</v>
      </c>
      <c r="G72" s="102" t="n">
        <f aca="false">IF($C72="","",N(G71)+N(F72))</f>
        <v>597</v>
      </c>
      <c r="H72" s="103" t="s">
        <v>946</v>
      </c>
      <c r="I72" s="104"/>
      <c r="J72" s="105"/>
    </row>
    <row r="73" customFormat="false" ht="15" hidden="false" customHeight="false" outlineLevel="0" collapsed="false">
      <c r="B73" s="90" t="n">
        <v>51</v>
      </c>
      <c r="C73" s="91" t="n">
        <v>2080960</v>
      </c>
      <c r="D73" s="92" t="n">
        <f aca="false">IF($C73="","",IFERROR(IF(INDEX('REGISTRE TUBES'!$C$7:$C$2506,MATCH($C73,'REGISTRE TUBES'!$B$7:$B$2506,0))="","",INDEX('REGISTRE TUBES'!$C$7:$C$2506,MATCH($C73,'REGISTRE TUBES'!$B$7:$B$2506,0))),"?"))</f>
        <v>15421103</v>
      </c>
      <c r="E73" s="92" t="str">
        <f aca="false">IF($C73="","",IFERROR(IF(INDEX('REGISTRE TUBES'!$D$7:$D$2506,MATCH($C73,'REGISTRE TUBES'!$B$7:$B$2506,0))="","",INDEX('REGISTRE TUBES'!$D$7:$D$2506,MATCH($C73,'REGISTRE TUBES'!$B$7:$B$2506,0))),"?"))</f>
        <v/>
      </c>
      <c r="F73" s="93" t="n">
        <f aca="false">IF($C73="","",IFERROR(IF(INDEX('REGISTRE TUBES'!$F$7:$F$2506,MATCH($C73,'REGISTRE TUBES'!$B$7:$B$2506,0))="","",INDEX('REGISTRE TUBES'!$F$7:$F$2506,MATCH($C73,'REGISTRE TUBES'!$B$7:$B$2506,0))),"?"))</f>
        <v>11.94</v>
      </c>
      <c r="G73" s="94" t="n">
        <f aca="false">IF($C73="","",N(G72)+N(F73))</f>
        <v>608.94</v>
      </c>
      <c r="H73" s="95" t="s">
        <v>947</v>
      </c>
      <c r="I73" s="96"/>
      <c r="J73" s="97"/>
    </row>
    <row r="74" customFormat="false" ht="15" hidden="false" customHeight="false" outlineLevel="0" collapsed="false">
      <c r="B74" s="98" t="n">
        <v>52</v>
      </c>
      <c r="C74" s="99" t="n">
        <v>2094270</v>
      </c>
      <c r="D74" s="100" t="n">
        <f aca="false">IF($C74="","",IFERROR(IF(INDEX('REGISTRE TUBES'!$C$7:$C$2506,MATCH($C74,'REGISTRE TUBES'!$B$7:$B$2506,0))="","",INDEX('REGISTRE TUBES'!$C$7:$C$2506,MATCH($C74,'REGISTRE TUBES'!$B$7:$B$2506,0))),"?"))</f>
        <v>15421110</v>
      </c>
      <c r="E74" s="100" t="str">
        <f aca="false">IF($C74="","",IFERROR(IF(INDEX('REGISTRE TUBES'!$D$7:$D$2506,MATCH($C74,'REGISTRE TUBES'!$B$7:$B$2506,0))="","",INDEX('REGISTRE TUBES'!$D$7:$D$2506,MATCH($C74,'REGISTRE TUBES'!$B$7:$B$2506,0))),"?"))</f>
        <v/>
      </c>
      <c r="F74" s="101" t="n">
        <f aca="false">IF($C74="","",IFERROR(IF(INDEX('REGISTRE TUBES'!$F$7:$F$2506,MATCH($C74,'REGISTRE TUBES'!$B$7:$B$2506,0))="","",INDEX('REGISTRE TUBES'!$F$7:$F$2506,MATCH($C74,'REGISTRE TUBES'!$B$7:$B$2506,0))),"?"))</f>
        <v>11.94</v>
      </c>
      <c r="G74" s="102" t="n">
        <f aca="false">IF($C74="","",N(G73)+N(F74))</f>
        <v>620.880000000001</v>
      </c>
      <c r="H74" s="103" t="s">
        <v>948</v>
      </c>
      <c r="I74" s="104"/>
      <c r="J74" s="105"/>
    </row>
    <row r="75" customFormat="false" ht="15" hidden="false" customHeight="false" outlineLevel="0" collapsed="false">
      <c r="B75" s="90" t="n">
        <v>53</v>
      </c>
      <c r="C75" s="91" t="n">
        <v>2090350</v>
      </c>
      <c r="D75" s="92" t="n">
        <f aca="false">IF($C75="","",IFERROR(IF(INDEX('REGISTRE TUBES'!$C$7:$C$2506,MATCH($C75,'REGISTRE TUBES'!$B$7:$B$2506,0))="","",INDEX('REGISTRE TUBES'!$C$7:$C$2506,MATCH($C75,'REGISTRE TUBES'!$B$7:$B$2506,0))),"?"))</f>
        <v>15421109</v>
      </c>
      <c r="E75" s="92" t="str">
        <f aca="false">IF($C75="","",IFERROR(IF(INDEX('REGISTRE TUBES'!$D$7:$D$2506,MATCH($C75,'REGISTRE TUBES'!$B$7:$B$2506,0))="","",INDEX('REGISTRE TUBES'!$D$7:$D$2506,MATCH($C75,'REGISTRE TUBES'!$B$7:$B$2506,0))),"?"))</f>
        <v/>
      </c>
      <c r="F75" s="93" t="n">
        <f aca="false">IF($C75="","",IFERROR(IF(INDEX('REGISTRE TUBES'!$F$7:$F$2506,MATCH($C75,'REGISTRE TUBES'!$B$7:$B$2506,0))="","",INDEX('REGISTRE TUBES'!$F$7:$F$2506,MATCH($C75,'REGISTRE TUBES'!$B$7:$B$2506,0))),"?"))</f>
        <v>11.94</v>
      </c>
      <c r="G75" s="94" t="n">
        <f aca="false">IF($C75="","",N(G74)+N(F75))</f>
        <v>632.820000000001</v>
      </c>
      <c r="H75" s="95" t="s">
        <v>949</v>
      </c>
      <c r="I75" s="96"/>
      <c r="J75" s="97"/>
    </row>
    <row r="76" customFormat="false" ht="15" hidden="false" customHeight="false" outlineLevel="0" collapsed="false">
      <c r="B76" s="98" t="n">
        <v>54</v>
      </c>
      <c r="C76" s="99" t="n">
        <v>2090250</v>
      </c>
      <c r="D76" s="100" t="n">
        <f aca="false">IF($C76="","",IFERROR(IF(INDEX('REGISTRE TUBES'!$C$7:$C$2506,MATCH($C76,'REGISTRE TUBES'!$B$7:$B$2506,0))="","",INDEX('REGISTRE TUBES'!$C$7:$C$2506,MATCH($C76,'REGISTRE TUBES'!$B$7:$B$2506,0))),"?"))</f>
        <v>15421109</v>
      </c>
      <c r="E76" s="100" t="str">
        <f aca="false">IF($C76="","",IFERROR(IF(INDEX('REGISTRE TUBES'!$D$7:$D$2506,MATCH($C76,'REGISTRE TUBES'!$B$7:$B$2506,0))="","",INDEX('REGISTRE TUBES'!$D$7:$D$2506,MATCH($C76,'REGISTRE TUBES'!$B$7:$B$2506,0))),"?"))</f>
        <v/>
      </c>
      <c r="F76" s="101" t="n">
        <f aca="false">IF($C76="","",IFERROR(IF(INDEX('REGISTRE TUBES'!$F$7:$F$2506,MATCH($C76,'REGISTRE TUBES'!$B$7:$B$2506,0))="","",INDEX('REGISTRE TUBES'!$F$7:$F$2506,MATCH($C76,'REGISTRE TUBES'!$B$7:$B$2506,0))),"?"))</f>
        <v>11.94</v>
      </c>
      <c r="G76" s="102" t="n">
        <f aca="false">IF($C76="","",N(G75)+N(F76))</f>
        <v>644.760000000001</v>
      </c>
      <c r="H76" s="103" t="s">
        <v>950</v>
      </c>
      <c r="I76" s="104"/>
      <c r="J76" s="105"/>
    </row>
    <row r="77" customFormat="false" ht="15" hidden="false" customHeight="false" outlineLevel="0" collapsed="false">
      <c r="B77" s="90" t="n">
        <v>55</v>
      </c>
      <c r="C77" s="91" t="n">
        <v>2094000</v>
      </c>
      <c r="D77" s="92" t="n">
        <f aca="false">IF($C77="","",IFERROR(IF(INDEX('REGISTRE TUBES'!$C$7:$C$2506,MATCH($C77,'REGISTRE TUBES'!$B$7:$B$2506,0))="","",INDEX('REGISTRE TUBES'!$C$7:$C$2506,MATCH($C77,'REGISTRE TUBES'!$B$7:$B$2506,0))),"?"))</f>
        <v>15421110</v>
      </c>
      <c r="E77" s="92" t="str">
        <f aca="false">IF($C77="","",IFERROR(IF(INDEX('REGISTRE TUBES'!$D$7:$D$2506,MATCH($C77,'REGISTRE TUBES'!$B$7:$B$2506,0))="","",INDEX('REGISTRE TUBES'!$D$7:$D$2506,MATCH($C77,'REGISTRE TUBES'!$B$7:$B$2506,0))),"?"))</f>
        <v/>
      </c>
      <c r="F77" s="93" t="n">
        <f aca="false">IF($C77="","",IFERROR(IF(INDEX('REGISTRE TUBES'!$F$7:$F$2506,MATCH($C77,'REGISTRE TUBES'!$B$7:$B$2506,0))="","",INDEX('REGISTRE TUBES'!$F$7:$F$2506,MATCH($C77,'REGISTRE TUBES'!$B$7:$B$2506,0))),"?"))</f>
        <v>11.95</v>
      </c>
      <c r="G77" s="94" t="n">
        <f aca="false">IF($C77="","",N(G76)+N(F77))</f>
        <v>656.710000000001</v>
      </c>
      <c r="H77" s="95" t="s">
        <v>951</v>
      </c>
      <c r="I77" s="96"/>
      <c r="J77" s="97"/>
    </row>
    <row r="78" customFormat="false" ht="15" hidden="false" customHeight="false" outlineLevel="0" collapsed="false">
      <c r="B78" s="98" t="n">
        <v>56</v>
      </c>
      <c r="C78" s="99" t="n">
        <v>2095740</v>
      </c>
      <c r="D78" s="100" t="n">
        <f aca="false">IF($C78="","",IFERROR(IF(INDEX('REGISTRE TUBES'!$C$7:$C$2506,MATCH($C78,'REGISTRE TUBES'!$B$7:$B$2506,0))="","",INDEX('REGISTRE TUBES'!$C$7:$C$2506,MATCH($C78,'REGISTRE TUBES'!$B$7:$B$2506,0))),"?"))</f>
        <v>15421111</v>
      </c>
      <c r="E78" s="100" t="str">
        <f aca="false">IF($C78="","",IFERROR(IF(INDEX('REGISTRE TUBES'!$D$7:$D$2506,MATCH($C78,'REGISTRE TUBES'!$B$7:$B$2506,0))="","",INDEX('REGISTRE TUBES'!$D$7:$D$2506,MATCH($C78,'REGISTRE TUBES'!$B$7:$B$2506,0))),"?"))</f>
        <v/>
      </c>
      <c r="F78" s="101" t="n">
        <f aca="false">IF($C78="","",IFERROR(IF(INDEX('REGISTRE TUBES'!$F$7:$F$2506,MATCH($C78,'REGISTRE TUBES'!$B$7:$B$2506,0))="","",INDEX('REGISTRE TUBES'!$F$7:$F$2506,MATCH($C78,'REGISTRE TUBES'!$B$7:$B$2506,0))),"?"))</f>
        <v>11.95</v>
      </c>
      <c r="G78" s="102" t="n">
        <f aca="false">IF($C78="","",N(G77)+N(F78))</f>
        <v>668.660000000001</v>
      </c>
      <c r="H78" s="103"/>
      <c r="I78" s="104"/>
      <c r="J78" s="105"/>
    </row>
    <row r="79" customFormat="false" ht="15" hidden="false" customHeight="false" outlineLevel="0" collapsed="false">
      <c r="B79" s="90" t="n">
        <v>57</v>
      </c>
      <c r="C79" s="91" t="n">
        <v>2082890</v>
      </c>
      <c r="D79" s="92" t="n">
        <f aca="false">IF($C79="","",IFERROR(IF(INDEX('REGISTRE TUBES'!$C$7:$C$2506,MATCH($C79,'REGISTRE TUBES'!$B$7:$B$2506,0))="","",INDEX('REGISTRE TUBES'!$C$7:$C$2506,MATCH($C79,'REGISTRE TUBES'!$B$7:$B$2506,0))),"?"))</f>
        <v>15421105</v>
      </c>
      <c r="E79" s="92" t="str">
        <f aca="false">IF($C79="","",IFERROR(IF(INDEX('REGISTRE TUBES'!$D$7:$D$2506,MATCH($C79,'REGISTRE TUBES'!$B$7:$B$2506,0))="","",INDEX('REGISTRE TUBES'!$D$7:$D$2506,MATCH($C79,'REGISTRE TUBES'!$B$7:$B$2506,0))),"?"))</f>
        <v/>
      </c>
      <c r="F79" s="93" t="n">
        <f aca="false">IF($C79="","",IFERROR(IF(INDEX('REGISTRE TUBES'!$F$7:$F$2506,MATCH($C79,'REGISTRE TUBES'!$B$7:$B$2506,0))="","",INDEX('REGISTRE TUBES'!$F$7:$F$2506,MATCH($C79,'REGISTRE TUBES'!$B$7:$B$2506,0))),"?"))</f>
        <v>11.94</v>
      </c>
      <c r="G79" s="94" t="n">
        <f aca="false">IF($C79="","",N(G78)+N(F79))</f>
        <v>680.600000000001</v>
      </c>
      <c r="H79" s="95" t="s">
        <v>955</v>
      </c>
      <c r="I79" s="96"/>
      <c r="J79" s="97"/>
    </row>
    <row r="80" customFormat="false" ht="15" hidden="false" customHeight="true" outlineLevel="0" collapsed="false">
      <c r="B80" s="106" t="s">
        <v>3031</v>
      </c>
      <c r="C80" s="106"/>
      <c r="D80" s="106"/>
      <c r="E80" s="106"/>
      <c r="F80" s="107" t="n">
        <f aca="false">SUM(F61:F79)</f>
        <v>226.88</v>
      </c>
      <c r="G80" s="108" t="n">
        <f aca="false">IF(COUNT(G61:G79)=0,"",MAX(G61:G79))</f>
        <v>680.600000000001</v>
      </c>
      <c r="H80" s="106" t="str">
        <f aca="false">COUNTA(C61:C79)&amp;" tube(s)"</f>
        <v>19 tube(s)</v>
      </c>
      <c r="I80" s="106"/>
      <c r="J80" s="106"/>
    </row>
    <row r="82" customFormat="false" ht="15" hidden="false" customHeight="false" outlineLevel="0" collapsed="false">
      <c r="B82" s="109" t="s">
        <v>3032</v>
      </c>
      <c r="F82" s="109" t="s">
        <v>3033</v>
      </c>
      <c r="I82" s="109" t="s">
        <v>3034</v>
      </c>
    </row>
    <row r="85" customFormat="false" ht="25.5" hidden="false" customHeight="true" outlineLevel="0" collapsed="false">
      <c r="B85" s="85" t="s">
        <v>3015</v>
      </c>
      <c r="C85" s="85"/>
      <c r="D85" s="85"/>
      <c r="E85" s="85"/>
      <c r="F85" s="85"/>
      <c r="G85" s="85"/>
      <c r="H85" s="85"/>
      <c r="I85" s="85"/>
      <c r="J85" s="85"/>
    </row>
    <row r="86" customFormat="false" ht="15" hidden="false" customHeight="false" outlineLevel="0" collapsed="false">
      <c r="B86" s="86" t="str">
        <f aca="false">PARAMÈTRES!$C$4&amp;"   •   Affaire N° "&amp;PARAMÈTRES!$C$5</f>
        <v>Développement des champs gaziers TFT II — réseau de collecte TFT Sud (LIGNE-16)   •   Affaire N° 8546</v>
      </c>
      <c r="C86" s="86"/>
      <c r="D86" s="86"/>
      <c r="E86" s="86"/>
      <c r="F86" s="86"/>
      <c r="G86" s="86"/>
      <c r="H86" s="86"/>
      <c r="I86" s="86"/>
      <c r="J86" s="86"/>
    </row>
    <row r="87" customFormat="false" ht="19.5" hidden="false" customHeight="true" outlineLevel="0" collapsed="false">
      <c r="B87" s="87" t="s">
        <v>3016</v>
      </c>
      <c r="C87" s="88" t="s">
        <v>110</v>
      </c>
      <c r="D87" s="88"/>
      <c r="E87" s="87" t="s">
        <v>3017</v>
      </c>
      <c r="F87" s="88" t="s">
        <v>3039</v>
      </c>
      <c r="G87" s="87" t="s">
        <v>3019</v>
      </c>
      <c r="H87" s="88" t="s">
        <v>3040</v>
      </c>
      <c r="I87" s="87" t="s">
        <v>3021</v>
      </c>
      <c r="J87" s="89"/>
    </row>
    <row r="88" customFormat="false" ht="27.75" hidden="false" customHeight="true" outlineLevel="0" collapsed="false">
      <c r="B88" s="71" t="s">
        <v>3022</v>
      </c>
      <c r="C88" s="71" t="s">
        <v>3023</v>
      </c>
      <c r="D88" s="71" t="s">
        <v>3024</v>
      </c>
      <c r="E88" s="71" t="s">
        <v>3025</v>
      </c>
      <c r="F88" s="71" t="s">
        <v>3026</v>
      </c>
      <c r="G88" s="71" t="s">
        <v>3027</v>
      </c>
      <c r="H88" s="71" t="s">
        <v>3028</v>
      </c>
      <c r="I88" s="71" t="s">
        <v>3029</v>
      </c>
      <c r="J88" s="71" t="s">
        <v>3030</v>
      </c>
    </row>
    <row r="89" customFormat="false" ht="15" hidden="false" customHeight="false" outlineLevel="0" collapsed="false">
      <c r="B89" s="90" t="n">
        <v>58</v>
      </c>
      <c r="C89" s="91" t="n">
        <v>2084800</v>
      </c>
      <c r="D89" s="92" t="n">
        <f aca="false">IF($C89="","",IFERROR(IF(INDEX('REGISTRE TUBES'!$C$7:$C$2506,MATCH($C89,'REGISTRE TUBES'!$B$7:$B$2506,0))="","",INDEX('REGISTRE TUBES'!$C$7:$C$2506,MATCH($C89,'REGISTRE TUBES'!$B$7:$B$2506,0))),"?"))</f>
        <v>15421106</v>
      </c>
      <c r="E89" s="92" t="str">
        <f aca="false">IF($C89="","",IFERROR(IF(INDEX('REGISTRE TUBES'!$D$7:$D$2506,MATCH($C89,'REGISTRE TUBES'!$B$7:$B$2506,0))="","",INDEX('REGISTRE TUBES'!$D$7:$D$2506,MATCH($C89,'REGISTRE TUBES'!$B$7:$B$2506,0))),"?"))</f>
        <v/>
      </c>
      <c r="F89" s="93" t="n">
        <f aca="false">IF($C89="","",IFERROR(IF(INDEX('REGISTRE TUBES'!$F$7:$F$2506,MATCH($C89,'REGISTRE TUBES'!$B$7:$B$2506,0))="","",INDEX('REGISTRE TUBES'!$F$7:$F$2506,MATCH($C89,'REGISTRE TUBES'!$B$7:$B$2506,0))),"?"))</f>
        <v>11.94</v>
      </c>
      <c r="G89" s="94" t="n">
        <f aca="false">IF($C89="","",N(G79)+N(F89))</f>
        <v>692.540000000001</v>
      </c>
      <c r="H89" s="95" t="s">
        <v>958</v>
      </c>
      <c r="I89" s="96"/>
      <c r="J89" s="97"/>
    </row>
    <row r="90" customFormat="false" ht="15" hidden="false" customHeight="false" outlineLevel="0" collapsed="false">
      <c r="B90" s="98" t="n">
        <v>59</v>
      </c>
      <c r="C90" s="99" t="n">
        <v>2088770</v>
      </c>
      <c r="D90" s="100" t="n">
        <f aca="false">IF($C90="","",IFERROR(IF(INDEX('REGISTRE TUBES'!$C$7:$C$2506,MATCH($C90,'REGISTRE TUBES'!$B$7:$B$2506,0))="","",INDEX('REGISTRE TUBES'!$C$7:$C$2506,MATCH($C90,'REGISTRE TUBES'!$B$7:$B$2506,0))),"?"))</f>
        <v>15421105</v>
      </c>
      <c r="E90" s="100" t="str">
        <f aca="false">IF($C90="","",IFERROR(IF(INDEX('REGISTRE TUBES'!$D$7:$D$2506,MATCH($C90,'REGISTRE TUBES'!$B$7:$B$2506,0))="","",INDEX('REGISTRE TUBES'!$D$7:$D$2506,MATCH($C90,'REGISTRE TUBES'!$B$7:$B$2506,0))),"?"))</f>
        <v/>
      </c>
      <c r="F90" s="101" t="n">
        <f aca="false">IF($C90="","",IFERROR(IF(INDEX('REGISTRE TUBES'!$F$7:$F$2506,MATCH($C90,'REGISTRE TUBES'!$B$7:$B$2506,0))="","",INDEX('REGISTRE TUBES'!$F$7:$F$2506,MATCH($C90,'REGISTRE TUBES'!$B$7:$B$2506,0))),"?"))</f>
        <v>11.94</v>
      </c>
      <c r="G90" s="102" t="n">
        <f aca="false">IF($C90="","",N(G89)+N(F90))</f>
        <v>704.480000000001</v>
      </c>
      <c r="H90" s="103" t="s">
        <v>960</v>
      </c>
      <c r="I90" s="104"/>
      <c r="J90" s="105"/>
    </row>
    <row r="91" customFormat="false" ht="15" hidden="false" customHeight="false" outlineLevel="0" collapsed="false">
      <c r="B91" s="90" t="n">
        <v>60</v>
      </c>
      <c r="C91" s="91" t="n">
        <v>2094150</v>
      </c>
      <c r="D91" s="92" t="n">
        <f aca="false">IF($C91="","",IFERROR(IF(INDEX('REGISTRE TUBES'!$C$7:$C$2506,MATCH($C91,'REGISTRE TUBES'!$B$7:$B$2506,0))="","",INDEX('REGISTRE TUBES'!$C$7:$C$2506,MATCH($C91,'REGISTRE TUBES'!$B$7:$B$2506,0))),"?"))</f>
        <v>15421109</v>
      </c>
      <c r="E91" s="92" t="str">
        <f aca="false">IF($C91="","",IFERROR(IF(INDEX('REGISTRE TUBES'!$D$7:$D$2506,MATCH($C91,'REGISTRE TUBES'!$B$7:$B$2506,0))="","",INDEX('REGISTRE TUBES'!$D$7:$D$2506,MATCH($C91,'REGISTRE TUBES'!$B$7:$B$2506,0))),"?"))</f>
        <v/>
      </c>
      <c r="F91" s="93" t="n">
        <f aca="false">IF($C91="","",IFERROR(IF(INDEX('REGISTRE TUBES'!$F$7:$F$2506,MATCH($C91,'REGISTRE TUBES'!$B$7:$B$2506,0))="","",INDEX('REGISTRE TUBES'!$F$7:$F$2506,MATCH($C91,'REGISTRE TUBES'!$B$7:$B$2506,0))),"?"))</f>
        <v>11.94</v>
      </c>
      <c r="G91" s="94" t="n">
        <f aca="false">IF($C91="","",N(G90)+N(F91))</f>
        <v>716.420000000001</v>
      </c>
      <c r="H91" s="95" t="s">
        <v>961</v>
      </c>
      <c r="I91" s="96"/>
      <c r="J91" s="97"/>
    </row>
    <row r="92" customFormat="false" ht="15" hidden="false" customHeight="false" outlineLevel="0" collapsed="false">
      <c r="B92" s="98" t="n">
        <v>61</v>
      </c>
      <c r="C92" s="99" t="n">
        <v>2095360</v>
      </c>
      <c r="D92" s="100" t="n">
        <f aca="false">IF($C92="","",IFERROR(IF(INDEX('REGISTRE TUBES'!$C$7:$C$2506,MATCH($C92,'REGISTRE TUBES'!$B$7:$B$2506,0))="","",INDEX('REGISTRE TUBES'!$C$7:$C$2506,MATCH($C92,'REGISTRE TUBES'!$B$7:$B$2506,0))),"?"))</f>
        <v>15421111</v>
      </c>
      <c r="E92" s="100" t="str">
        <f aca="false">IF($C92="","",IFERROR(IF(INDEX('REGISTRE TUBES'!$D$7:$D$2506,MATCH($C92,'REGISTRE TUBES'!$B$7:$B$2506,0))="","",INDEX('REGISTRE TUBES'!$D$7:$D$2506,MATCH($C92,'REGISTRE TUBES'!$B$7:$B$2506,0))),"?"))</f>
        <v/>
      </c>
      <c r="F92" s="101" t="n">
        <f aca="false">IF($C92="","",IFERROR(IF(INDEX('REGISTRE TUBES'!$F$7:$F$2506,MATCH($C92,'REGISTRE TUBES'!$B$7:$B$2506,0))="","",INDEX('REGISTRE TUBES'!$F$7:$F$2506,MATCH($C92,'REGISTRE TUBES'!$B$7:$B$2506,0))),"?"))</f>
        <v>11.94</v>
      </c>
      <c r="G92" s="102" t="n">
        <f aca="false">IF($C92="","",N(G91)+N(F92))</f>
        <v>728.360000000001</v>
      </c>
      <c r="H92" s="103" t="s">
        <v>962</v>
      </c>
      <c r="I92" s="104"/>
      <c r="J92" s="105"/>
    </row>
    <row r="93" customFormat="false" ht="15" hidden="false" customHeight="false" outlineLevel="0" collapsed="false">
      <c r="B93" s="90" t="n">
        <v>62</v>
      </c>
      <c r="C93" s="91" t="n">
        <v>2095330</v>
      </c>
      <c r="D93" s="92" t="n">
        <f aca="false">IF($C93="","",IFERROR(IF(INDEX('REGISTRE TUBES'!$C$7:$C$2506,MATCH($C93,'REGISTRE TUBES'!$B$7:$B$2506,0))="","",INDEX('REGISTRE TUBES'!$C$7:$C$2506,MATCH($C93,'REGISTRE TUBES'!$B$7:$B$2506,0))),"?"))</f>
        <v>15421111</v>
      </c>
      <c r="E93" s="92" t="str">
        <f aca="false">IF($C93="","",IFERROR(IF(INDEX('REGISTRE TUBES'!$D$7:$D$2506,MATCH($C93,'REGISTRE TUBES'!$B$7:$B$2506,0))="","",INDEX('REGISTRE TUBES'!$D$7:$D$2506,MATCH($C93,'REGISTRE TUBES'!$B$7:$B$2506,0))),"?"))</f>
        <v/>
      </c>
      <c r="F93" s="93" t="n">
        <f aca="false">IF($C93="","",IFERROR(IF(INDEX('REGISTRE TUBES'!$F$7:$F$2506,MATCH($C93,'REGISTRE TUBES'!$B$7:$B$2506,0))="","",INDEX('REGISTRE TUBES'!$F$7:$F$2506,MATCH($C93,'REGISTRE TUBES'!$B$7:$B$2506,0))),"?"))</f>
        <v>11.94</v>
      </c>
      <c r="G93" s="94" t="n">
        <f aca="false">IF($C93="","",N(G92)+N(F93))</f>
        <v>740.300000000001</v>
      </c>
      <c r="H93" s="95" t="s">
        <v>964</v>
      </c>
      <c r="I93" s="96"/>
      <c r="J93" s="97"/>
    </row>
    <row r="94" customFormat="false" ht="15" hidden="false" customHeight="false" outlineLevel="0" collapsed="false">
      <c r="B94" s="98" t="n">
        <v>63</v>
      </c>
      <c r="C94" s="99" t="n">
        <v>2096130</v>
      </c>
      <c r="D94" s="100" t="n">
        <f aca="false">IF($C94="","",IFERROR(IF(INDEX('REGISTRE TUBES'!$C$7:$C$2506,MATCH($C94,'REGISTRE TUBES'!$B$7:$B$2506,0))="","",INDEX('REGISTRE TUBES'!$C$7:$C$2506,MATCH($C94,'REGISTRE TUBES'!$B$7:$B$2506,0))),"?"))</f>
        <v>15421110</v>
      </c>
      <c r="E94" s="100" t="str">
        <f aca="false">IF($C94="","",IFERROR(IF(INDEX('REGISTRE TUBES'!$D$7:$D$2506,MATCH($C94,'REGISTRE TUBES'!$B$7:$B$2506,0))="","",INDEX('REGISTRE TUBES'!$D$7:$D$2506,MATCH($C94,'REGISTRE TUBES'!$B$7:$B$2506,0))),"?"))</f>
        <v/>
      </c>
      <c r="F94" s="101" t="n">
        <f aca="false">IF($C94="","",IFERROR(IF(INDEX('REGISTRE TUBES'!$F$7:$F$2506,MATCH($C94,'REGISTRE TUBES'!$B$7:$B$2506,0))="","",INDEX('REGISTRE TUBES'!$F$7:$F$2506,MATCH($C94,'REGISTRE TUBES'!$B$7:$B$2506,0))),"?"))</f>
        <v>11.94</v>
      </c>
      <c r="G94" s="102" t="n">
        <f aca="false">IF($C94="","",N(G93)+N(F94))</f>
        <v>752.240000000001</v>
      </c>
      <c r="H94" s="103" t="s">
        <v>965</v>
      </c>
      <c r="I94" s="104"/>
      <c r="J94" s="105"/>
    </row>
    <row r="95" customFormat="false" ht="15" hidden="false" customHeight="false" outlineLevel="0" collapsed="false">
      <c r="B95" s="90" t="n">
        <v>64</v>
      </c>
      <c r="C95" s="91" t="n">
        <v>2082340</v>
      </c>
      <c r="D95" s="92" t="n">
        <f aca="false">IF($C95="","",IFERROR(IF(INDEX('REGISTRE TUBES'!$C$7:$C$2506,MATCH($C95,'REGISTRE TUBES'!$B$7:$B$2506,0))="","",INDEX('REGISTRE TUBES'!$C$7:$C$2506,MATCH($C95,'REGISTRE TUBES'!$B$7:$B$2506,0))),"?"))</f>
        <v>15421104</v>
      </c>
      <c r="E95" s="92" t="str">
        <f aca="false">IF($C95="","",IFERROR(IF(INDEX('REGISTRE TUBES'!$D$7:$D$2506,MATCH($C95,'REGISTRE TUBES'!$B$7:$B$2506,0))="","",INDEX('REGISTRE TUBES'!$D$7:$D$2506,MATCH($C95,'REGISTRE TUBES'!$B$7:$B$2506,0))),"?"))</f>
        <v/>
      </c>
      <c r="F95" s="93" t="n">
        <f aca="false">IF($C95="","",IFERROR(IF(INDEX('REGISTRE TUBES'!$F$7:$F$2506,MATCH($C95,'REGISTRE TUBES'!$B$7:$B$2506,0))="","",INDEX('REGISTRE TUBES'!$F$7:$F$2506,MATCH($C95,'REGISTRE TUBES'!$B$7:$B$2506,0))),"?"))</f>
        <v>11.94</v>
      </c>
      <c r="G95" s="94" t="n">
        <f aca="false">IF($C95="","",N(G94)+N(F95))</f>
        <v>764.180000000001</v>
      </c>
      <c r="H95" s="95" t="s">
        <v>966</v>
      </c>
      <c r="I95" s="96"/>
      <c r="J95" s="97"/>
    </row>
    <row r="96" customFormat="false" ht="15" hidden="false" customHeight="false" outlineLevel="0" collapsed="false">
      <c r="B96" s="98" t="n">
        <v>65</v>
      </c>
      <c r="C96" s="99" t="n">
        <v>2084860</v>
      </c>
      <c r="D96" s="100" t="n">
        <f aca="false">IF($C96="","",IFERROR(IF(INDEX('REGISTRE TUBES'!$C$7:$C$2506,MATCH($C96,'REGISTRE TUBES'!$B$7:$B$2506,0))="","",INDEX('REGISTRE TUBES'!$C$7:$C$2506,MATCH($C96,'REGISTRE TUBES'!$B$7:$B$2506,0))),"?"))</f>
        <v>15421106</v>
      </c>
      <c r="E96" s="100" t="str">
        <f aca="false">IF($C96="","",IFERROR(IF(INDEX('REGISTRE TUBES'!$D$7:$D$2506,MATCH($C96,'REGISTRE TUBES'!$B$7:$B$2506,0))="","",INDEX('REGISTRE TUBES'!$D$7:$D$2506,MATCH($C96,'REGISTRE TUBES'!$B$7:$B$2506,0))),"?"))</f>
        <v/>
      </c>
      <c r="F96" s="101" t="n">
        <f aca="false">IF($C96="","",IFERROR(IF(INDEX('REGISTRE TUBES'!$F$7:$F$2506,MATCH($C96,'REGISTRE TUBES'!$B$7:$B$2506,0))="","",INDEX('REGISTRE TUBES'!$F$7:$F$2506,MATCH($C96,'REGISTRE TUBES'!$B$7:$B$2506,0))),"?"))</f>
        <v>11.94</v>
      </c>
      <c r="G96" s="102" t="n">
        <f aca="false">IF($C96="","",N(G95)+N(F96))</f>
        <v>776.120000000001</v>
      </c>
      <c r="H96" s="103" t="s">
        <v>967</v>
      </c>
      <c r="I96" s="104"/>
      <c r="J96" s="105"/>
    </row>
    <row r="97" customFormat="false" ht="15" hidden="false" customHeight="false" outlineLevel="0" collapsed="false">
      <c r="B97" s="90" t="n">
        <v>66</v>
      </c>
      <c r="C97" s="91" t="n">
        <v>2088960</v>
      </c>
      <c r="D97" s="92" t="n">
        <f aca="false">IF($C97="","",IFERROR(IF(INDEX('REGISTRE TUBES'!$C$7:$C$2506,MATCH($C97,'REGISTRE TUBES'!$B$7:$B$2506,0))="","",INDEX('REGISTRE TUBES'!$C$7:$C$2506,MATCH($C97,'REGISTRE TUBES'!$B$7:$B$2506,0))),"?"))</f>
        <v>15421108</v>
      </c>
      <c r="E97" s="92" t="str">
        <f aca="false">IF($C97="","",IFERROR(IF(INDEX('REGISTRE TUBES'!$D$7:$D$2506,MATCH($C97,'REGISTRE TUBES'!$B$7:$B$2506,0))="","",INDEX('REGISTRE TUBES'!$D$7:$D$2506,MATCH($C97,'REGISTRE TUBES'!$B$7:$B$2506,0))),"?"))</f>
        <v/>
      </c>
      <c r="F97" s="93" t="n">
        <f aca="false">IF($C97="","",IFERROR(IF(INDEX('REGISTRE TUBES'!$F$7:$F$2506,MATCH($C97,'REGISTRE TUBES'!$B$7:$B$2506,0))="","",INDEX('REGISTRE TUBES'!$F$7:$F$2506,MATCH($C97,'REGISTRE TUBES'!$B$7:$B$2506,0))),"?"))</f>
        <v>11.94</v>
      </c>
      <c r="G97" s="94" t="n">
        <f aca="false">IF($C97="","",N(G96)+N(F97))</f>
        <v>788.060000000001</v>
      </c>
      <c r="H97" s="95" t="s">
        <v>968</v>
      </c>
      <c r="I97" s="96"/>
      <c r="J97" s="97"/>
    </row>
    <row r="98" customFormat="false" ht="15" hidden="false" customHeight="false" outlineLevel="0" collapsed="false">
      <c r="B98" s="98" t="n">
        <v>67</v>
      </c>
      <c r="C98" s="99" t="n">
        <v>2090090</v>
      </c>
      <c r="D98" s="100" t="n">
        <f aca="false">IF($C98="","",IFERROR(IF(INDEX('REGISTRE TUBES'!$C$7:$C$2506,MATCH($C98,'REGISTRE TUBES'!$B$7:$B$2506,0))="","",INDEX('REGISTRE TUBES'!$C$7:$C$2506,MATCH($C98,'REGISTRE TUBES'!$B$7:$B$2506,0))),"?"))</f>
        <v>15421109</v>
      </c>
      <c r="E98" s="100" t="str">
        <f aca="false">IF($C98="","",IFERROR(IF(INDEX('REGISTRE TUBES'!$D$7:$D$2506,MATCH($C98,'REGISTRE TUBES'!$B$7:$B$2506,0))="","",INDEX('REGISTRE TUBES'!$D$7:$D$2506,MATCH($C98,'REGISTRE TUBES'!$B$7:$B$2506,0))),"?"))</f>
        <v/>
      </c>
      <c r="F98" s="101" t="n">
        <f aca="false">IF($C98="","",IFERROR(IF(INDEX('REGISTRE TUBES'!$F$7:$F$2506,MATCH($C98,'REGISTRE TUBES'!$B$7:$B$2506,0))="","",INDEX('REGISTRE TUBES'!$F$7:$F$2506,MATCH($C98,'REGISTRE TUBES'!$B$7:$B$2506,0))),"?"))</f>
        <v>11.94</v>
      </c>
      <c r="G98" s="102" t="n">
        <f aca="false">IF($C98="","",N(G97)+N(F98))</f>
        <v>800.000000000001</v>
      </c>
      <c r="H98" s="103" t="s">
        <v>969</v>
      </c>
      <c r="I98" s="104"/>
      <c r="J98" s="105"/>
    </row>
    <row r="99" customFormat="false" ht="15" hidden="false" customHeight="false" outlineLevel="0" collapsed="false">
      <c r="B99" s="90" t="n">
        <v>68</v>
      </c>
      <c r="C99" s="91" t="n">
        <v>2090740</v>
      </c>
      <c r="D99" s="92" t="n">
        <f aca="false">IF($C99="","",IFERROR(IF(INDEX('REGISTRE TUBES'!$C$7:$C$2506,MATCH($C99,'REGISTRE TUBES'!$B$7:$B$2506,0))="","",INDEX('REGISTRE TUBES'!$C$7:$C$2506,MATCH($C99,'REGISTRE TUBES'!$B$7:$B$2506,0))),"?"))</f>
        <v>15421109</v>
      </c>
      <c r="E99" s="92" t="str">
        <f aca="false">IF($C99="","",IFERROR(IF(INDEX('REGISTRE TUBES'!$D$7:$D$2506,MATCH($C99,'REGISTRE TUBES'!$B$7:$B$2506,0))="","",INDEX('REGISTRE TUBES'!$D$7:$D$2506,MATCH($C99,'REGISTRE TUBES'!$B$7:$B$2506,0))),"?"))</f>
        <v/>
      </c>
      <c r="F99" s="93" t="n">
        <f aca="false">IF($C99="","",IFERROR(IF(INDEX('REGISTRE TUBES'!$F$7:$F$2506,MATCH($C99,'REGISTRE TUBES'!$B$7:$B$2506,0))="","",INDEX('REGISTRE TUBES'!$F$7:$F$2506,MATCH($C99,'REGISTRE TUBES'!$B$7:$B$2506,0))),"?"))</f>
        <v>11.94</v>
      </c>
      <c r="G99" s="94" t="n">
        <f aca="false">IF($C99="","",N(G98)+N(F99))</f>
        <v>811.940000000001</v>
      </c>
      <c r="H99" s="95" t="s">
        <v>970</v>
      </c>
      <c r="I99" s="96"/>
      <c r="J99" s="97"/>
    </row>
    <row r="100" customFormat="false" ht="15" hidden="false" customHeight="false" outlineLevel="0" collapsed="false">
      <c r="B100" s="98" t="n">
        <v>69</v>
      </c>
      <c r="C100" s="99" t="n">
        <v>2096590</v>
      </c>
      <c r="D100" s="100" t="n">
        <f aca="false">IF($C100="","",IFERROR(IF(INDEX('REGISTRE TUBES'!$C$7:$C$2506,MATCH($C100,'REGISTRE TUBES'!$B$7:$B$2506,0))="","",INDEX('REGISTRE TUBES'!$C$7:$C$2506,MATCH($C100,'REGISTRE TUBES'!$B$7:$B$2506,0))),"?"))</f>
        <v>15421108</v>
      </c>
      <c r="E100" s="100" t="str">
        <f aca="false">IF($C100="","",IFERROR(IF(INDEX('REGISTRE TUBES'!$D$7:$D$2506,MATCH($C100,'REGISTRE TUBES'!$B$7:$B$2506,0))="","",INDEX('REGISTRE TUBES'!$D$7:$D$2506,MATCH($C100,'REGISTRE TUBES'!$B$7:$B$2506,0))),"?"))</f>
        <v/>
      </c>
      <c r="F100" s="101" t="n">
        <f aca="false">IF($C100="","",IFERROR(IF(INDEX('REGISTRE TUBES'!$F$7:$F$2506,MATCH($C100,'REGISTRE TUBES'!$B$7:$B$2506,0))="","",INDEX('REGISTRE TUBES'!$F$7:$F$2506,MATCH($C100,'REGISTRE TUBES'!$B$7:$B$2506,0))),"?"))</f>
        <v>11.94</v>
      </c>
      <c r="G100" s="102" t="n">
        <f aca="false">IF($C100="","",N(G99)+N(F100))</f>
        <v>823.880000000001</v>
      </c>
      <c r="H100" s="103" t="s">
        <v>972</v>
      </c>
      <c r="I100" s="104"/>
      <c r="J100" s="105"/>
    </row>
    <row r="101" customFormat="false" ht="15" hidden="false" customHeight="false" outlineLevel="0" collapsed="false">
      <c r="B101" s="90" t="n">
        <v>70</v>
      </c>
      <c r="C101" s="91" t="n">
        <v>2097840</v>
      </c>
      <c r="D101" s="92" t="n">
        <f aca="false">IF($C101="","",IFERROR(IF(INDEX('REGISTRE TUBES'!$C$7:$C$2506,MATCH($C101,'REGISTRE TUBES'!$B$7:$B$2506,0))="","",INDEX('REGISTRE TUBES'!$C$7:$C$2506,MATCH($C101,'REGISTRE TUBES'!$B$7:$B$2506,0))),"?"))</f>
        <v>15421109</v>
      </c>
      <c r="E101" s="92" t="str">
        <f aca="false">IF($C101="","",IFERROR(IF(INDEX('REGISTRE TUBES'!$D$7:$D$2506,MATCH($C101,'REGISTRE TUBES'!$B$7:$B$2506,0))="","",INDEX('REGISTRE TUBES'!$D$7:$D$2506,MATCH($C101,'REGISTRE TUBES'!$B$7:$B$2506,0))),"?"))</f>
        <v/>
      </c>
      <c r="F101" s="93" t="n">
        <f aca="false">IF($C101="","",IFERROR(IF(INDEX('REGISTRE TUBES'!$F$7:$F$2506,MATCH($C101,'REGISTRE TUBES'!$B$7:$B$2506,0))="","",INDEX('REGISTRE TUBES'!$F$7:$F$2506,MATCH($C101,'REGISTRE TUBES'!$B$7:$B$2506,0))),"?"))</f>
        <v>11.94</v>
      </c>
      <c r="G101" s="94" t="n">
        <f aca="false">IF($C101="","",N(G100)+N(F101))</f>
        <v>835.820000000001</v>
      </c>
      <c r="H101" s="95" t="s">
        <v>973</v>
      </c>
      <c r="I101" s="96"/>
      <c r="J101" s="97"/>
    </row>
    <row r="102" customFormat="false" ht="15" hidden="false" customHeight="false" outlineLevel="0" collapsed="false">
      <c r="B102" s="98" t="n">
        <v>71</v>
      </c>
      <c r="C102" s="99" t="n">
        <v>2087970</v>
      </c>
      <c r="D102" s="100" t="n">
        <f aca="false">IF($C102="","",IFERROR(IF(INDEX('REGISTRE TUBES'!$C$7:$C$2506,MATCH($C102,'REGISTRE TUBES'!$B$7:$B$2506,0))="","",INDEX('REGISTRE TUBES'!$C$7:$C$2506,MATCH($C102,'REGISTRE TUBES'!$B$7:$B$2506,0))),"?"))</f>
        <v>15421108</v>
      </c>
      <c r="E102" s="100" t="str">
        <f aca="false">IF($C102="","",IFERROR(IF(INDEX('REGISTRE TUBES'!$D$7:$D$2506,MATCH($C102,'REGISTRE TUBES'!$B$7:$B$2506,0))="","",INDEX('REGISTRE TUBES'!$D$7:$D$2506,MATCH($C102,'REGISTRE TUBES'!$B$7:$B$2506,0))),"?"))</f>
        <v/>
      </c>
      <c r="F102" s="101" t="n">
        <f aca="false">IF($C102="","",IFERROR(IF(INDEX('REGISTRE TUBES'!$F$7:$F$2506,MATCH($C102,'REGISTRE TUBES'!$B$7:$B$2506,0))="","",INDEX('REGISTRE TUBES'!$F$7:$F$2506,MATCH($C102,'REGISTRE TUBES'!$B$7:$B$2506,0))),"?"))</f>
        <v>11.94</v>
      </c>
      <c r="G102" s="102" t="n">
        <f aca="false">IF($C102="","",N(G101)+N(F102))</f>
        <v>847.760000000002</v>
      </c>
      <c r="H102" s="103" t="s">
        <v>974</v>
      </c>
      <c r="I102" s="104"/>
      <c r="J102" s="105"/>
    </row>
    <row r="103" customFormat="false" ht="15" hidden="false" customHeight="false" outlineLevel="0" collapsed="false">
      <c r="B103" s="90" t="n">
        <v>72</v>
      </c>
      <c r="C103" s="91" t="n">
        <v>2096150</v>
      </c>
      <c r="D103" s="92" t="n">
        <f aca="false">IF($C103="","",IFERROR(IF(INDEX('REGISTRE TUBES'!$C$7:$C$2506,MATCH($C103,'REGISTRE TUBES'!$B$7:$B$2506,0))="","",INDEX('REGISTRE TUBES'!$C$7:$C$2506,MATCH($C103,'REGISTRE TUBES'!$B$7:$B$2506,0))),"?"))</f>
        <v>15421108</v>
      </c>
      <c r="E103" s="92" t="str">
        <f aca="false">IF($C103="","",IFERROR(IF(INDEX('REGISTRE TUBES'!$D$7:$D$2506,MATCH($C103,'REGISTRE TUBES'!$B$7:$B$2506,0))="","",INDEX('REGISTRE TUBES'!$D$7:$D$2506,MATCH($C103,'REGISTRE TUBES'!$B$7:$B$2506,0))),"?"))</f>
        <v/>
      </c>
      <c r="F103" s="93" t="n">
        <f aca="false">IF($C103="","",IFERROR(IF(INDEX('REGISTRE TUBES'!$F$7:$F$2506,MATCH($C103,'REGISTRE TUBES'!$B$7:$B$2506,0))="","",INDEX('REGISTRE TUBES'!$F$7:$F$2506,MATCH($C103,'REGISTRE TUBES'!$B$7:$B$2506,0))),"?"))</f>
        <v>11.94</v>
      </c>
      <c r="G103" s="94" t="n">
        <f aca="false">IF($C103="","",N(G102)+N(F103))</f>
        <v>859.700000000002</v>
      </c>
      <c r="H103" s="95" t="s">
        <v>975</v>
      </c>
      <c r="I103" s="96"/>
      <c r="J103" s="97"/>
    </row>
    <row r="104" customFormat="false" ht="15" hidden="false" customHeight="false" outlineLevel="0" collapsed="false">
      <c r="B104" s="98" t="n">
        <v>73</v>
      </c>
      <c r="C104" s="99" t="n">
        <v>2096040</v>
      </c>
      <c r="D104" s="100" t="n">
        <f aca="false">IF($C104="","",IFERROR(IF(INDEX('REGISTRE TUBES'!$C$7:$C$2506,MATCH($C104,'REGISTRE TUBES'!$B$7:$B$2506,0))="","",INDEX('REGISTRE TUBES'!$C$7:$C$2506,MATCH($C104,'REGISTRE TUBES'!$B$7:$B$2506,0))),"?"))</f>
        <v>15421109</v>
      </c>
      <c r="E104" s="100" t="str">
        <f aca="false">IF($C104="","",IFERROR(IF(INDEX('REGISTRE TUBES'!$D$7:$D$2506,MATCH($C104,'REGISTRE TUBES'!$B$7:$B$2506,0))="","",INDEX('REGISTRE TUBES'!$D$7:$D$2506,MATCH($C104,'REGISTRE TUBES'!$B$7:$B$2506,0))),"?"))</f>
        <v/>
      </c>
      <c r="F104" s="101" t="n">
        <f aca="false">IF($C104="","",IFERROR(IF(INDEX('REGISTRE TUBES'!$F$7:$F$2506,MATCH($C104,'REGISTRE TUBES'!$B$7:$B$2506,0))="","",INDEX('REGISTRE TUBES'!$F$7:$F$2506,MATCH($C104,'REGISTRE TUBES'!$B$7:$B$2506,0))),"?"))</f>
        <v>11.94</v>
      </c>
      <c r="G104" s="102" t="n">
        <f aca="false">IF($C104="","",N(G103)+N(F104))</f>
        <v>871.640000000002</v>
      </c>
      <c r="H104" s="103" t="s">
        <v>976</v>
      </c>
      <c r="I104" s="104"/>
      <c r="J104" s="105"/>
    </row>
    <row r="105" customFormat="false" ht="15" hidden="false" customHeight="false" outlineLevel="0" collapsed="false">
      <c r="B105" s="90" t="n">
        <v>74</v>
      </c>
      <c r="C105" s="91" t="n">
        <v>2097200</v>
      </c>
      <c r="D105" s="92" t="n">
        <f aca="false">IF($C105="","",IFERROR(IF(INDEX('REGISTRE TUBES'!$C$7:$C$2506,MATCH($C105,'REGISTRE TUBES'!$B$7:$B$2506,0))="","",INDEX('REGISTRE TUBES'!$C$7:$C$2506,MATCH($C105,'REGISTRE TUBES'!$B$7:$B$2506,0))),"?"))</f>
        <v>15421102</v>
      </c>
      <c r="E105" s="92" t="str">
        <f aca="false">IF($C105="","",IFERROR(IF(INDEX('REGISTRE TUBES'!$D$7:$D$2506,MATCH($C105,'REGISTRE TUBES'!$B$7:$B$2506,0))="","",INDEX('REGISTRE TUBES'!$D$7:$D$2506,MATCH($C105,'REGISTRE TUBES'!$B$7:$B$2506,0))),"?"))</f>
        <v/>
      </c>
      <c r="F105" s="93" t="n">
        <f aca="false">IF($C105="","",IFERROR(IF(INDEX('REGISTRE TUBES'!$F$7:$F$2506,MATCH($C105,'REGISTRE TUBES'!$B$7:$B$2506,0))="","",INDEX('REGISTRE TUBES'!$F$7:$F$2506,MATCH($C105,'REGISTRE TUBES'!$B$7:$B$2506,0))),"?"))</f>
        <v>11.94</v>
      </c>
      <c r="G105" s="94" t="n">
        <f aca="false">IF($C105="","",N(G104)+N(F105))</f>
        <v>883.580000000002</v>
      </c>
      <c r="H105" s="95" t="s">
        <v>977</v>
      </c>
      <c r="I105" s="96"/>
      <c r="J105" s="97"/>
    </row>
    <row r="106" customFormat="false" ht="15" hidden="false" customHeight="false" outlineLevel="0" collapsed="false">
      <c r="B106" s="98" t="n">
        <v>75</v>
      </c>
      <c r="C106" s="99" t="n">
        <v>2084880</v>
      </c>
      <c r="D106" s="100" t="n">
        <f aca="false">IF($C106="","",IFERROR(IF(INDEX('REGISTRE TUBES'!$C$7:$C$2506,MATCH($C106,'REGISTRE TUBES'!$B$7:$B$2506,0))="","",INDEX('REGISTRE TUBES'!$C$7:$C$2506,MATCH($C106,'REGISTRE TUBES'!$B$7:$B$2506,0))),"?"))</f>
        <v>15421106</v>
      </c>
      <c r="E106" s="100" t="str">
        <f aca="false">IF($C106="","",IFERROR(IF(INDEX('REGISTRE TUBES'!$D$7:$D$2506,MATCH($C106,'REGISTRE TUBES'!$B$7:$B$2506,0))="","",INDEX('REGISTRE TUBES'!$D$7:$D$2506,MATCH($C106,'REGISTRE TUBES'!$B$7:$B$2506,0))),"?"))</f>
        <v/>
      </c>
      <c r="F106" s="101" t="n">
        <f aca="false">IF($C106="","",IFERROR(IF(INDEX('REGISTRE TUBES'!$F$7:$F$2506,MATCH($C106,'REGISTRE TUBES'!$B$7:$B$2506,0))="","",INDEX('REGISTRE TUBES'!$F$7:$F$2506,MATCH($C106,'REGISTRE TUBES'!$B$7:$B$2506,0))),"?"))</f>
        <v>11.94</v>
      </c>
      <c r="G106" s="102" t="n">
        <f aca="false">IF($C106="","",N(G105)+N(F106))</f>
        <v>895.520000000002</v>
      </c>
      <c r="H106" s="103" t="s">
        <v>978</v>
      </c>
      <c r="I106" s="104"/>
      <c r="J106" s="105"/>
    </row>
    <row r="107" customFormat="false" ht="15" hidden="false" customHeight="false" outlineLevel="0" collapsed="false">
      <c r="B107" s="90" t="n">
        <v>76</v>
      </c>
      <c r="C107" s="91" t="n">
        <v>2092950</v>
      </c>
      <c r="D107" s="92" t="n">
        <f aca="false">IF($C107="","",IFERROR(IF(INDEX('REGISTRE TUBES'!$C$7:$C$2506,MATCH($C107,'REGISTRE TUBES'!$B$7:$B$2506,0))="","",INDEX('REGISTRE TUBES'!$C$7:$C$2506,MATCH($C107,'REGISTRE TUBES'!$B$7:$B$2506,0))),"?"))</f>
        <v>15421110</v>
      </c>
      <c r="E107" s="92" t="str">
        <f aca="false">IF($C107="","",IFERROR(IF(INDEX('REGISTRE TUBES'!$D$7:$D$2506,MATCH($C107,'REGISTRE TUBES'!$B$7:$B$2506,0))="","",INDEX('REGISTRE TUBES'!$D$7:$D$2506,MATCH($C107,'REGISTRE TUBES'!$B$7:$B$2506,0))),"?"))</f>
        <v/>
      </c>
      <c r="F107" s="93" t="n">
        <f aca="false">IF($C107="","",IFERROR(IF(INDEX('REGISTRE TUBES'!$F$7:$F$2506,MATCH($C107,'REGISTRE TUBES'!$B$7:$B$2506,0))="","",INDEX('REGISTRE TUBES'!$F$7:$F$2506,MATCH($C107,'REGISTRE TUBES'!$B$7:$B$2506,0))),"?"))</f>
        <v>11.94</v>
      </c>
      <c r="G107" s="94" t="n">
        <f aca="false">IF($C107="","",N(G106)+N(F107))</f>
        <v>907.460000000002</v>
      </c>
      <c r="H107" s="95" t="s">
        <v>979</v>
      </c>
      <c r="I107" s="96"/>
      <c r="J107" s="97"/>
    </row>
    <row r="108" customFormat="false" ht="15" hidden="false" customHeight="true" outlineLevel="0" collapsed="false">
      <c r="B108" s="106" t="s">
        <v>3031</v>
      </c>
      <c r="C108" s="106"/>
      <c r="D108" s="106"/>
      <c r="E108" s="106"/>
      <c r="F108" s="107" t="n">
        <f aca="false">SUM(F89:F107)</f>
        <v>226.86</v>
      </c>
      <c r="G108" s="108" t="n">
        <f aca="false">IF(COUNT(G89:G107)=0,"",MAX(G89:G107))</f>
        <v>907.460000000002</v>
      </c>
      <c r="H108" s="106" t="str">
        <f aca="false">COUNTA(C89:C107)&amp;" tube(s)"</f>
        <v>19 tube(s)</v>
      </c>
      <c r="I108" s="106"/>
      <c r="J108" s="106"/>
    </row>
    <row r="110" customFormat="false" ht="15" hidden="false" customHeight="false" outlineLevel="0" collapsed="false">
      <c r="B110" s="109" t="s">
        <v>3032</v>
      </c>
      <c r="F110" s="109" t="s">
        <v>3033</v>
      </c>
      <c r="I110" s="109" t="s">
        <v>3034</v>
      </c>
    </row>
    <row r="113" customFormat="false" ht="25.5" hidden="false" customHeight="true" outlineLevel="0" collapsed="false">
      <c r="B113" s="85" t="s">
        <v>3015</v>
      </c>
      <c r="C113" s="85"/>
      <c r="D113" s="85"/>
      <c r="E113" s="85"/>
      <c r="F113" s="85"/>
      <c r="G113" s="85"/>
      <c r="H113" s="85"/>
      <c r="I113" s="85"/>
      <c r="J113" s="85"/>
    </row>
    <row r="114" customFormat="false" ht="15" hidden="false" customHeight="false" outlineLevel="0" collapsed="false">
      <c r="B114" s="86" t="str">
        <f aca="false">PARAMÈTRES!$C$4&amp;"   •   Affaire N° "&amp;PARAMÈTRES!$C$5</f>
        <v>Développement des champs gaziers TFT II — réseau de collecte TFT Sud (LIGNE-16)   •   Affaire N° 8546</v>
      </c>
      <c r="C114" s="86"/>
      <c r="D114" s="86"/>
      <c r="E114" s="86"/>
      <c r="F114" s="86"/>
      <c r="G114" s="86"/>
      <c r="H114" s="86"/>
      <c r="I114" s="86"/>
      <c r="J114" s="86"/>
    </row>
    <row r="115" customFormat="false" ht="19.5" hidden="false" customHeight="true" outlineLevel="0" collapsed="false">
      <c r="B115" s="87" t="s">
        <v>3016</v>
      </c>
      <c r="C115" s="88" t="s">
        <v>110</v>
      </c>
      <c r="D115" s="88"/>
      <c r="E115" s="87" t="s">
        <v>3017</v>
      </c>
      <c r="F115" s="88" t="s">
        <v>3041</v>
      </c>
      <c r="G115" s="87" t="s">
        <v>3019</v>
      </c>
      <c r="H115" s="88" t="s">
        <v>3042</v>
      </c>
      <c r="I115" s="87" t="s">
        <v>3021</v>
      </c>
      <c r="J115" s="89"/>
    </row>
    <row r="116" customFormat="false" ht="27.75" hidden="false" customHeight="true" outlineLevel="0" collapsed="false">
      <c r="B116" s="71" t="s">
        <v>3022</v>
      </c>
      <c r="C116" s="71" t="s">
        <v>3023</v>
      </c>
      <c r="D116" s="71" t="s">
        <v>3024</v>
      </c>
      <c r="E116" s="71" t="s">
        <v>3025</v>
      </c>
      <c r="F116" s="71" t="s">
        <v>3026</v>
      </c>
      <c r="G116" s="71" t="s">
        <v>3027</v>
      </c>
      <c r="H116" s="71" t="s">
        <v>3028</v>
      </c>
      <c r="I116" s="71" t="s">
        <v>3029</v>
      </c>
      <c r="J116" s="71" t="s">
        <v>3030</v>
      </c>
    </row>
    <row r="117" customFormat="false" ht="15" hidden="false" customHeight="false" outlineLevel="0" collapsed="false">
      <c r="B117" s="90" t="n">
        <v>77</v>
      </c>
      <c r="C117" s="91" t="n">
        <v>2094220</v>
      </c>
      <c r="D117" s="92" t="n">
        <f aca="false">IF($C117="","",IFERROR(IF(INDEX('REGISTRE TUBES'!$C$7:$C$2506,MATCH($C117,'REGISTRE TUBES'!$B$7:$B$2506,0))="","",INDEX('REGISTRE TUBES'!$C$7:$C$2506,MATCH($C117,'REGISTRE TUBES'!$B$7:$B$2506,0))),"?"))</f>
        <v>15421110</v>
      </c>
      <c r="E117" s="92" t="str">
        <f aca="false">IF($C117="","",IFERROR(IF(INDEX('REGISTRE TUBES'!$D$7:$D$2506,MATCH($C117,'REGISTRE TUBES'!$B$7:$B$2506,0))="","",INDEX('REGISTRE TUBES'!$D$7:$D$2506,MATCH($C117,'REGISTRE TUBES'!$B$7:$B$2506,0))),"?"))</f>
        <v/>
      </c>
      <c r="F117" s="93" t="n">
        <f aca="false">IF($C117="","",IFERROR(IF(INDEX('REGISTRE TUBES'!$F$7:$F$2506,MATCH($C117,'REGISTRE TUBES'!$B$7:$B$2506,0))="","",INDEX('REGISTRE TUBES'!$F$7:$F$2506,MATCH($C117,'REGISTRE TUBES'!$B$7:$B$2506,0))),"?"))</f>
        <v>11.94</v>
      </c>
      <c r="G117" s="94" t="n">
        <f aca="false">IF($C117="","",N(G107)+N(F117))</f>
        <v>919.400000000002</v>
      </c>
      <c r="H117" s="95" t="s">
        <v>980</v>
      </c>
      <c r="I117" s="96"/>
      <c r="J117" s="97"/>
    </row>
    <row r="118" customFormat="false" ht="15" hidden="false" customHeight="false" outlineLevel="0" collapsed="false">
      <c r="B118" s="98" t="n">
        <v>78</v>
      </c>
      <c r="C118" s="99" t="n">
        <v>2094200</v>
      </c>
      <c r="D118" s="100" t="n">
        <f aca="false">IF($C118="","",IFERROR(IF(INDEX('REGISTRE TUBES'!$C$7:$C$2506,MATCH($C118,'REGISTRE TUBES'!$B$7:$B$2506,0))="","",INDEX('REGISTRE TUBES'!$C$7:$C$2506,MATCH($C118,'REGISTRE TUBES'!$B$7:$B$2506,0))),"?"))</f>
        <v>15421110</v>
      </c>
      <c r="E118" s="100" t="str">
        <f aca="false">IF($C118="","",IFERROR(IF(INDEX('REGISTRE TUBES'!$D$7:$D$2506,MATCH($C118,'REGISTRE TUBES'!$B$7:$B$2506,0))="","",INDEX('REGISTRE TUBES'!$D$7:$D$2506,MATCH($C118,'REGISTRE TUBES'!$B$7:$B$2506,0))),"?"))</f>
        <v/>
      </c>
      <c r="F118" s="101" t="n">
        <f aca="false">IF($C118="","",IFERROR(IF(INDEX('REGISTRE TUBES'!$F$7:$F$2506,MATCH($C118,'REGISTRE TUBES'!$B$7:$B$2506,0))="","",INDEX('REGISTRE TUBES'!$F$7:$F$2506,MATCH($C118,'REGISTRE TUBES'!$B$7:$B$2506,0))),"?"))</f>
        <v>11.94</v>
      </c>
      <c r="G118" s="102" t="n">
        <f aca="false">IF($C118="","",N(G117)+N(F118))</f>
        <v>931.340000000002</v>
      </c>
      <c r="H118" s="103" t="s">
        <v>981</v>
      </c>
      <c r="I118" s="104"/>
      <c r="J118" s="105"/>
    </row>
    <row r="119" customFormat="false" ht="15" hidden="false" customHeight="false" outlineLevel="0" collapsed="false">
      <c r="B119" s="90" t="n">
        <v>79</v>
      </c>
      <c r="C119" s="91" t="n">
        <v>2092010</v>
      </c>
      <c r="D119" s="92" t="n">
        <f aca="false">IF($C119="","",IFERROR(IF(INDEX('REGISTRE TUBES'!$C$7:$C$2506,MATCH($C119,'REGISTRE TUBES'!$B$7:$B$2506,0))="","",INDEX('REGISTRE TUBES'!$C$7:$C$2506,MATCH($C119,'REGISTRE TUBES'!$B$7:$B$2506,0))),"?"))</f>
        <v>15421109</v>
      </c>
      <c r="E119" s="92" t="str">
        <f aca="false">IF($C119="","",IFERROR(IF(INDEX('REGISTRE TUBES'!$D$7:$D$2506,MATCH($C119,'REGISTRE TUBES'!$B$7:$B$2506,0))="","",INDEX('REGISTRE TUBES'!$D$7:$D$2506,MATCH($C119,'REGISTRE TUBES'!$B$7:$B$2506,0))),"?"))</f>
        <v/>
      </c>
      <c r="F119" s="93" t="n">
        <f aca="false">IF($C119="","",IFERROR(IF(INDEX('REGISTRE TUBES'!$F$7:$F$2506,MATCH($C119,'REGISTRE TUBES'!$B$7:$B$2506,0))="","",INDEX('REGISTRE TUBES'!$F$7:$F$2506,MATCH($C119,'REGISTRE TUBES'!$B$7:$B$2506,0))),"?"))</f>
        <v>11.94</v>
      </c>
      <c r="G119" s="94" t="n">
        <f aca="false">IF($C119="","",N(G118)+N(F119))</f>
        <v>943.280000000002</v>
      </c>
      <c r="H119" s="95" t="s">
        <v>983</v>
      </c>
      <c r="I119" s="96"/>
      <c r="J119" s="97"/>
    </row>
    <row r="120" customFormat="false" ht="15" hidden="false" customHeight="false" outlineLevel="0" collapsed="false">
      <c r="B120" s="98" t="n">
        <v>80</v>
      </c>
      <c r="C120" s="99" t="n">
        <v>2083410</v>
      </c>
      <c r="D120" s="100" t="n">
        <f aca="false">IF($C120="","",IFERROR(IF(INDEX('REGISTRE TUBES'!$C$7:$C$2506,MATCH($C120,'REGISTRE TUBES'!$B$7:$B$2506,0))="","",INDEX('REGISTRE TUBES'!$C$7:$C$2506,MATCH($C120,'REGISTRE TUBES'!$B$7:$B$2506,0))),"?"))</f>
        <v>15421105</v>
      </c>
      <c r="E120" s="100" t="str">
        <f aca="false">IF($C120="","",IFERROR(IF(INDEX('REGISTRE TUBES'!$D$7:$D$2506,MATCH($C120,'REGISTRE TUBES'!$B$7:$B$2506,0))="","",INDEX('REGISTRE TUBES'!$D$7:$D$2506,MATCH($C120,'REGISTRE TUBES'!$B$7:$B$2506,0))),"?"))</f>
        <v/>
      </c>
      <c r="F120" s="101" t="n">
        <f aca="false">IF($C120="","",IFERROR(IF(INDEX('REGISTRE TUBES'!$F$7:$F$2506,MATCH($C120,'REGISTRE TUBES'!$B$7:$B$2506,0))="","",INDEX('REGISTRE TUBES'!$F$7:$F$2506,MATCH($C120,'REGISTRE TUBES'!$B$7:$B$2506,0))),"?"))</f>
        <v>11.94</v>
      </c>
      <c r="G120" s="102" t="n">
        <f aca="false">IF($C120="","",N(G119)+N(F120))</f>
        <v>955.220000000002</v>
      </c>
      <c r="H120" s="103" t="s">
        <v>984</v>
      </c>
      <c r="I120" s="104"/>
      <c r="J120" s="105"/>
    </row>
    <row r="121" customFormat="false" ht="15" hidden="false" customHeight="false" outlineLevel="0" collapsed="false">
      <c r="B121" s="90" t="n">
        <v>81</v>
      </c>
      <c r="C121" s="91" t="n">
        <v>2088140</v>
      </c>
      <c r="D121" s="92" t="n">
        <f aca="false">IF($C121="","",IFERROR(IF(INDEX('REGISTRE TUBES'!$C$7:$C$2506,MATCH($C121,'REGISTRE TUBES'!$B$7:$B$2506,0))="","",INDEX('REGISTRE TUBES'!$C$7:$C$2506,MATCH($C121,'REGISTRE TUBES'!$B$7:$B$2506,0))),"?"))</f>
        <v>15421108</v>
      </c>
      <c r="E121" s="92" t="str">
        <f aca="false">IF($C121="","",IFERROR(IF(INDEX('REGISTRE TUBES'!$D$7:$D$2506,MATCH($C121,'REGISTRE TUBES'!$B$7:$B$2506,0))="","",INDEX('REGISTRE TUBES'!$D$7:$D$2506,MATCH($C121,'REGISTRE TUBES'!$B$7:$B$2506,0))),"?"))</f>
        <v/>
      </c>
      <c r="F121" s="93" t="n">
        <f aca="false">IF($C121="","",IFERROR(IF(INDEX('REGISTRE TUBES'!$F$7:$F$2506,MATCH($C121,'REGISTRE TUBES'!$B$7:$B$2506,0))="","",INDEX('REGISTRE TUBES'!$F$7:$F$2506,MATCH($C121,'REGISTRE TUBES'!$B$7:$B$2506,0))),"?"))</f>
        <v>11.94</v>
      </c>
      <c r="G121" s="94" t="n">
        <f aca="false">IF($C121="","",N(G120)+N(F121))</f>
        <v>967.160000000002</v>
      </c>
      <c r="H121" s="95" t="s">
        <v>986</v>
      </c>
      <c r="I121" s="96"/>
      <c r="J121" s="97"/>
    </row>
    <row r="122" customFormat="false" ht="15" hidden="false" customHeight="false" outlineLevel="0" collapsed="false">
      <c r="B122" s="98" t="n">
        <v>82</v>
      </c>
      <c r="C122" s="99" t="n">
        <v>2094590</v>
      </c>
      <c r="D122" s="100" t="n">
        <f aca="false">IF($C122="","",IFERROR(IF(INDEX('REGISTRE TUBES'!$C$7:$C$2506,MATCH($C122,'REGISTRE TUBES'!$B$7:$B$2506,0))="","",INDEX('REGISTRE TUBES'!$C$7:$C$2506,MATCH($C122,'REGISTRE TUBES'!$B$7:$B$2506,0))),"?"))</f>
        <v>15421108</v>
      </c>
      <c r="E122" s="100" t="str">
        <f aca="false">IF($C122="","",IFERROR(IF(INDEX('REGISTRE TUBES'!$D$7:$D$2506,MATCH($C122,'REGISTRE TUBES'!$B$7:$B$2506,0))="","",INDEX('REGISTRE TUBES'!$D$7:$D$2506,MATCH($C122,'REGISTRE TUBES'!$B$7:$B$2506,0))),"?"))</f>
        <v/>
      </c>
      <c r="F122" s="101" t="n">
        <f aca="false">IF($C122="","",IFERROR(IF(INDEX('REGISTRE TUBES'!$F$7:$F$2506,MATCH($C122,'REGISTRE TUBES'!$B$7:$B$2506,0))="","",INDEX('REGISTRE TUBES'!$F$7:$F$2506,MATCH($C122,'REGISTRE TUBES'!$B$7:$B$2506,0))),"?"))</f>
        <v>11.94</v>
      </c>
      <c r="G122" s="102" t="n">
        <f aca="false">IF($C122="","",N(G121)+N(F122))</f>
        <v>979.100000000002</v>
      </c>
      <c r="H122" s="103" t="s">
        <v>987</v>
      </c>
      <c r="I122" s="104"/>
      <c r="J122" s="105"/>
    </row>
    <row r="123" customFormat="false" ht="15" hidden="false" customHeight="false" outlineLevel="0" collapsed="false">
      <c r="B123" s="90" t="n">
        <v>83</v>
      </c>
      <c r="C123" s="91" t="n">
        <v>2081240</v>
      </c>
      <c r="D123" s="92" t="n">
        <f aca="false">IF($C123="","",IFERROR(IF(INDEX('REGISTRE TUBES'!$C$7:$C$2506,MATCH($C123,'REGISTRE TUBES'!$B$7:$B$2506,0))="","",INDEX('REGISTRE TUBES'!$C$7:$C$2506,MATCH($C123,'REGISTRE TUBES'!$B$7:$B$2506,0))),"?"))</f>
        <v>15421109</v>
      </c>
      <c r="E123" s="92" t="str">
        <f aca="false">IF($C123="","",IFERROR(IF(INDEX('REGISTRE TUBES'!$D$7:$D$2506,MATCH($C123,'REGISTRE TUBES'!$B$7:$B$2506,0))="","",INDEX('REGISTRE TUBES'!$D$7:$D$2506,MATCH($C123,'REGISTRE TUBES'!$B$7:$B$2506,0))),"?"))</f>
        <v/>
      </c>
      <c r="F123" s="93" t="n">
        <f aca="false">IF($C123="","",IFERROR(IF(INDEX('REGISTRE TUBES'!$F$7:$F$2506,MATCH($C123,'REGISTRE TUBES'!$B$7:$B$2506,0))="","",INDEX('REGISTRE TUBES'!$F$7:$F$2506,MATCH($C123,'REGISTRE TUBES'!$B$7:$B$2506,0))),"?"))</f>
        <v>11.94</v>
      </c>
      <c r="G123" s="94" t="n">
        <f aca="false">IF($C123="","",N(G122)+N(F123))</f>
        <v>991.040000000002</v>
      </c>
      <c r="H123" s="95" t="s">
        <v>988</v>
      </c>
      <c r="I123" s="96"/>
      <c r="J123" s="97"/>
    </row>
    <row r="124" customFormat="false" ht="15" hidden="false" customHeight="false" outlineLevel="0" collapsed="false">
      <c r="B124" s="98" t="n">
        <v>84</v>
      </c>
      <c r="C124" s="99" t="n">
        <v>2082550</v>
      </c>
      <c r="D124" s="100" t="n">
        <f aca="false">IF($C124="","",IFERROR(IF(INDEX('REGISTRE TUBES'!$C$7:$C$2506,MATCH($C124,'REGISTRE TUBES'!$B$7:$B$2506,0))="","",INDEX('REGISTRE TUBES'!$C$7:$C$2506,MATCH($C124,'REGISTRE TUBES'!$B$7:$B$2506,0))),"?"))</f>
        <v>15421104</v>
      </c>
      <c r="E124" s="100" t="str">
        <f aca="false">IF($C124="","",IFERROR(IF(INDEX('REGISTRE TUBES'!$D$7:$D$2506,MATCH($C124,'REGISTRE TUBES'!$B$7:$B$2506,0))="","",INDEX('REGISTRE TUBES'!$D$7:$D$2506,MATCH($C124,'REGISTRE TUBES'!$B$7:$B$2506,0))),"?"))</f>
        <v/>
      </c>
      <c r="F124" s="101" t="n">
        <f aca="false">IF($C124="","",IFERROR(IF(INDEX('REGISTRE TUBES'!$F$7:$F$2506,MATCH($C124,'REGISTRE TUBES'!$B$7:$B$2506,0))="","",INDEX('REGISTRE TUBES'!$F$7:$F$2506,MATCH($C124,'REGISTRE TUBES'!$B$7:$B$2506,0))),"?"))</f>
        <v>11.94</v>
      </c>
      <c r="G124" s="102" t="n">
        <f aca="false">IF($C124="","",N(G123)+N(F124))</f>
        <v>1002.98</v>
      </c>
      <c r="H124" s="103" t="s">
        <v>989</v>
      </c>
      <c r="I124" s="104"/>
      <c r="J124" s="105"/>
    </row>
    <row r="125" customFormat="false" ht="15" hidden="false" customHeight="false" outlineLevel="0" collapsed="false">
      <c r="B125" s="90" t="n">
        <v>85</v>
      </c>
      <c r="C125" s="91" t="n">
        <v>2089770</v>
      </c>
      <c r="D125" s="92" t="n">
        <f aca="false">IF($C125="","",IFERROR(IF(INDEX('REGISTRE TUBES'!$C$7:$C$2506,MATCH($C125,'REGISTRE TUBES'!$B$7:$B$2506,0))="","",INDEX('REGISTRE TUBES'!$C$7:$C$2506,MATCH($C125,'REGISTRE TUBES'!$B$7:$B$2506,0))),"?"))</f>
        <v>15421109</v>
      </c>
      <c r="E125" s="92" t="str">
        <f aca="false">IF($C125="","",IFERROR(IF(INDEX('REGISTRE TUBES'!$D$7:$D$2506,MATCH($C125,'REGISTRE TUBES'!$B$7:$B$2506,0))="","",INDEX('REGISTRE TUBES'!$D$7:$D$2506,MATCH($C125,'REGISTRE TUBES'!$B$7:$B$2506,0))),"?"))</f>
        <v/>
      </c>
      <c r="F125" s="93" t="n">
        <f aca="false">IF($C125="","",IFERROR(IF(INDEX('REGISTRE TUBES'!$F$7:$F$2506,MATCH($C125,'REGISTRE TUBES'!$B$7:$B$2506,0))="","",INDEX('REGISTRE TUBES'!$F$7:$F$2506,MATCH($C125,'REGISTRE TUBES'!$B$7:$B$2506,0))),"?"))</f>
        <v>11.94</v>
      </c>
      <c r="G125" s="94" t="n">
        <f aca="false">IF($C125="","",N(G124)+N(F125))</f>
        <v>1014.92</v>
      </c>
      <c r="H125" s="95" t="s">
        <v>990</v>
      </c>
      <c r="I125" s="96"/>
      <c r="J125" s="97"/>
    </row>
    <row r="126" customFormat="false" ht="15" hidden="false" customHeight="false" outlineLevel="0" collapsed="false">
      <c r="B126" s="98" t="n">
        <v>86</v>
      </c>
      <c r="C126" s="99" t="n">
        <v>2081340</v>
      </c>
      <c r="D126" s="100" t="n">
        <f aca="false">IF($C126="","",IFERROR(IF(INDEX('REGISTRE TUBES'!$C$7:$C$2506,MATCH($C126,'REGISTRE TUBES'!$B$7:$B$2506,0))="","",INDEX('REGISTRE TUBES'!$C$7:$C$2506,MATCH($C126,'REGISTRE TUBES'!$B$7:$B$2506,0))),"?"))</f>
        <v>15421103</v>
      </c>
      <c r="E126" s="100" t="str">
        <f aca="false">IF($C126="","",IFERROR(IF(INDEX('REGISTRE TUBES'!$D$7:$D$2506,MATCH($C126,'REGISTRE TUBES'!$B$7:$B$2506,0))="","",INDEX('REGISTRE TUBES'!$D$7:$D$2506,MATCH($C126,'REGISTRE TUBES'!$B$7:$B$2506,0))),"?"))</f>
        <v/>
      </c>
      <c r="F126" s="101" t="n">
        <f aca="false">IF($C126="","",IFERROR(IF(INDEX('REGISTRE TUBES'!$F$7:$F$2506,MATCH($C126,'REGISTRE TUBES'!$B$7:$B$2506,0))="","",INDEX('REGISTRE TUBES'!$F$7:$F$2506,MATCH($C126,'REGISTRE TUBES'!$B$7:$B$2506,0))),"?"))</f>
        <v>11.94</v>
      </c>
      <c r="G126" s="102" t="n">
        <f aca="false">IF($C126="","",N(G125)+N(F126))</f>
        <v>1026.86</v>
      </c>
      <c r="H126" s="103" t="s">
        <v>991</v>
      </c>
      <c r="I126" s="104"/>
      <c r="J126" s="105"/>
    </row>
    <row r="127" customFormat="false" ht="15" hidden="false" customHeight="false" outlineLevel="0" collapsed="false">
      <c r="B127" s="90" t="n">
        <v>87</v>
      </c>
      <c r="C127" s="91" t="n">
        <v>2096720</v>
      </c>
      <c r="D127" s="92" t="n">
        <f aca="false">IF($C127="","",IFERROR(IF(INDEX('REGISTRE TUBES'!$C$7:$C$2506,MATCH($C127,'REGISTRE TUBES'!$B$7:$B$2506,0))="","",INDEX('REGISTRE TUBES'!$C$7:$C$2506,MATCH($C127,'REGISTRE TUBES'!$B$7:$B$2506,0))),"?"))</f>
        <v>2096850</v>
      </c>
      <c r="E127" s="92" t="str">
        <f aca="false">IF($C127="","",IFERROR(IF(INDEX('REGISTRE TUBES'!$D$7:$D$2506,MATCH($C127,'REGISTRE TUBES'!$B$7:$B$2506,0))="","",INDEX('REGISTRE TUBES'!$D$7:$D$2506,MATCH($C127,'REGISTRE TUBES'!$B$7:$B$2506,0))),"?"))</f>
        <v/>
      </c>
      <c r="F127" s="93" t="n">
        <f aca="false">IF($C127="","",IFERROR(IF(INDEX('REGISTRE TUBES'!$F$7:$F$2506,MATCH($C127,'REGISTRE TUBES'!$B$7:$B$2506,0))="","",INDEX('REGISTRE TUBES'!$F$7:$F$2506,MATCH($C127,'REGISTRE TUBES'!$B$7:$B$2506,0))),"?"))</f>
        <v>11.94</v>
      </c>
      <c r="G127" s="94" t="n">
        <f aca="false">IF($C127="","",N(G126)+N(F127))</f>
        <v>1038.8</v>
      </c>
      <c r="H127" s="95" t="s">
        <v>992</v>
      </c>
      <c r="I127" s="96"/>
      <c r="J127" s="97"/>
    </row>
    <row r="128" customFormat="false" ht="15" hidden="false" customHeight="false" outlineLevel="0" collapsed="false">
      <c r="B128" s="98" t="n">
        <v>88</v>
      </c>
      <c r="C128" s="99" t="n">
        <v>2096850</v>
      </c>
      <c r="D128" s="100" t="n">
        <f aca="false">IF($C128="","",IFERROR(IF(INDEX('REGISTRE TUBES'!$C$7:$C$2506,MATCH($C128,'REGISTRE TUBES'!$B$7:$B$2506,0))="","",INDEX('REGISTRE TUBES'!$C$7:$C$2506,MATCH($C128,'REGISTRE TUBES'!$B$7:$B$2506,0))),"?"))</f>
        <v>15421111</v>
      </c>
      <c r="E128" s="100" t="str">
        <f aca="false">IF($C128="","",IFERROR(IF(INDEX('REGISTRE TUBES'!$D$7:$D$2506,MATCH($C128,'REGISTRE TUBES'!$B$7:$B$2506,0))="","",INDEX('REGISTRE TUBES'!$D$7:$D$2506,MATCH($C128,'REGISTRE TUBES'!$B$7:$B$2506,0))),"?"))</f>
        <v/>
      </c>
      <c r="F128" s="101" t="n">
        <f aca="false">IF($C128="","",IFERROR(IF(INDEX('REGISTRE TUBES'!$F$7:$F$2506,MATCH($C128,'REGISTRE TUBES'!$B$7:$B$2506,0))="","",INDEX('REGISTRE TUBES'!$F$7:$F$2506,MATCH($C128,'REGISTRE TUBES'!$B$7:$B$2506,0))),"?"))</f>
        <v>11.94</v>
      </c>
      <c r="G128" s="102" t="n">
        <f aca="false">IF($C128="","",N(G127)+N(F128))</f>
        <v>1050.74</v>
      </c>
      <c r="H128" s="103" t="s">
        <v>993</v>
      </c>
      <c r="I128" s="104"/>
      <c r="J128" s="105"/>
    </row>
    <row r="129" customFormat="false" ht="15" hidden="false" customHeight="false" outlineLevel="0" collapsed="false">
      <c r="B129" s="90" t="n">
        <v>89</v>
      </c>
      <c r="C129" s="91" t="n">
        <v>2094170</v>
      </c>
      <c r="D129" s="92" t="n">
        <f aca="false">IF($C129="","",IFERROR(IF(INDEX('REGISTRE TUBES'!$C$7:$C$2506,MATCH($C129,'REGISTRE TUBES'!$B$7:$B$2506,0))="","",INDEX('REGISTRE TUBES'!$C$7:$C$2506,MATCH($C129,'REGISTRE TUBES'!$B$7:$B$2506,0))),"?"))</f>
        <v>15421106</v>
      </c>
      <c r="E129" s="92" t="str">
        <f aca="false">IF($C129="","",IFERROR(IF(INDEX('REGISTRE TUBES'!$D$7:$D$2506,MATCH($C129,'REGISTRE TUBES'!$B$7:$B$2506,0))="","",INDEX('REGISTRE TUBES'!$D$7:$D$2506,MATCH($C129,'REGISTRE TUBES'!$B$7:$B$2506,0))),"?"))</f>
        <v/>
      </c>
      <c r="F129" s="93" t="n">
        <f aca="false">IF($C129="","",IFERROR(IF(INDEX('REGISTRE TUBES'!$F$7:$F$2506,MATCH($C129,'REGISTRE TUBES'!$B$7:$B$2506,0))="","",INDEX('REGISTRE TUBES'!$F$7:$F$2506,MATCH($C129,'REGISTRE TUBES'!$B$7:$B$2506,0))),"?"))</f>
        <v>11.94</v>
      </c>
      <c r="G129" s="94" t="n">
        <f aca="false">IF($C129="","",N(G128)+N(F129))</f>
        <v>1062.68</v>
      </c>
      <c r="H129" s="95" t="s">
        <v>994</v>
      </c>
      <c r="I129" s="96"/>
      <c r="J129" s="97"/>
    </row>
    <row r="130" customFormat="false" ht="15" hidden="false" customHeight="false" outlineLevel="0" collapsed="false">
      <c r="B130" s="98" t="n">
        <v>90</v>
      </c>
      <c r="C130" s="99" t="n">
        <v>2089030</v>
      </c>
      <c r="D130" s="100" t="n">
        <f aca="false">IF($C130="","",IFERROR(IF(INDEX('REGISTRE TUBES'!$C$7:$C$2506,MATCH($C130,'REGISTRE TUBES'!$B$7:$B$2506,0))="","",INDEX('REGISTRE TUBES'!$C$7:$C$2506,MATCH($C130,'REGISTRE TUBES'!$B$7:$B$2506,0))),"?"))</f>
        <v>15421108</v>
      </c>
      <c r="E130" s="100" t="str">
        <f aca="false">IF($C130="","",IFERROR(IF(INDEX('REGISTRE TUBES'!$D$7:$D$2506,MATCH($C130,'REGISTRE TUBES'!$B$7:$B$2506,0))="","",INDEX('REGISTRE TUBES'!$D$7:$D$2506,MATCH($C130,'REGISTRE TUBES'!$B$7:$B$2506,0))),"?"))</f>
        <v/>
      </c>
      <c r="F130" s="101" t="n">
        <f aca="false">IF($C130="","",IFERROR(IF(INDEX('REGISTRE TUBES'!$F$7:$F$2506,MATCH($C130,'REGISTRE TUBES'!$B$7:$B$2506,0))="","",INDEX('REGISTRE TUBES'!$F$7:$F$2506,MATCH($C130,'REGISTRE TUBES'!$B$7:$B$2506,0))),"?"))</f>
        <v>11.94</v>
      </c>
      <c r="G130" s="102" t="n">
        <f aca="false">IF($C130="","",N(G129)+N(F130))</f>
        <v>1074.62</v>
      </c>
      <c r="H130" s="103" t="s">
        <v>995</v>
      </c>
      <c r="I130" s="104"/>
      <c r="J130" s="105"/>
    </row>
    <row r="131" customFormat="false" ht="15" hidden="false" customHeight="false" outlineLevel="0" collapsed="false">
      <c r="B131" s="90" t="n">
        <v>91</v>
      </c>
      <c r="C131" s="91" t="n">
        <v>2085340</v>
      </c>
      <c r="D131" s="92" t="n">
        <f aca="false">IF($C131="","",IFERROR(IF(INDEX('REGISTRE TUBES'!$C$7:$C$2506,MATCH($C131,'REGISTRE TUBES'!$B$7:$B$2506,0))="","",INDEX('REGISTRE TUBES'!$C$7:$C$2506,MATCH($C131,'REGISTRE TUBES'!$B$7:$B$2506,0))),"?"))</f>
        <v>15421106</v>
      </c>
      <c r="E131" s="92" t="str">
        <f aca="false">IF($C131="","",IFERROR(IF(INDEX('REGISTRE TUBES'!$D$7:$D$2506,MATCH($C131,'REGISTRE TUBES'!$B$7:$B$2506,0))="","",INDEX('REGISTRE TUBES'!$D$7:$D$2506,MATCH($C131,'REGISTRE TUBES'!$B$7:$B$2506,0))),"?"))</f>
        <v/>
      </c>
      <c r="F131" s="93" t="n">
        <f aca="false">IF($C131="","",IFERROR(IF(INDEX('REGISTRE TUBES'!$F$7:$F$2506,MATCH($C131,'REGISTRE TUBES'!$B$7:$B$2506,0))="","",INDEX('REGISTRE TUBES'!$F$7:$F$2506,MATCH($C131,'REGISTRE TUBES'!$B$7:$B$2506,0))),"?"))</f>
        <v>11.94</v>
      </c>
      <c r="G131" s="94" t="n">
        <f aca="false">IF($C131="","",N(G130)+N(F131))</f>
        <v>1086.56</v>
      </c>
      <c r="H131" s="95" t="s">
        <v>996</v>
      </c>
      <c r="I131" s="96"/>
      <c r="J131" s="97"/>
    </row>
    <row r="132" customFormat="false" ht="15" hidden="false" customHeight="false" outlineLevel="0" collapsed="false">
      <c r="B132" s="98" t="n">
        <v>92</v>
      </c>
      <c r="C132" s="99" t="n">
        <v>2080270</v>
      </c>
      <c r="D132" s="100" t="n">
        <f aca="false">IF($C132="","",IFERROR(IF(INDEX('REGISTRE TUBES'!$C$7:$C$2506,MATCH($C132,'REGISTRE TUBES'!$B$7:$B$2506,0))="","",INDEX('REGISTRE TUBES'!$C$7:$C$2506,MATCH($C132,'REGISTRE TUBES'!$B$7:$B$2506,0))),"?"))</f>
        <v>15421108</v>
      </c>
      <c r="E132" s="100" t="str">
        <f aca="false">IF($C132="","",IFERROR(IF(INDEX('REGISTRE TUBES'!$D$7:$D$2506,MATCH($C132,'REGISTRE TUBES'!$B$7:$B$2506,0))="","",INDEX('REGISTRE TUBES'!$D$7:$D$2506,MATCH($C132,'REGISTRE TUBES'!$B$7:$B$2506,0))),"?"))</f>
        <v/>
      </c>
      <c r="F132" s="101" t="n">
        <f aca="false">IF($C132="","",IFERROR(IF(INDEX('REGISTRE TUBES'!$F$7:$F$2506,MATCH($C132,'REGISTRE TUBES'!$B$7:$B$2506,0))="","",INDEX('REGISTRE TUBES'!$F$7:$F$2506,MATCH($C132,'REGISTRE TUBES'!$B$7:$B$2506,0))),"?"))</f>
        <v>11.94</v>
      </c>
      <c r="G132" s="102" t="n">
        <f aca="false">IF($C132="","",N(G131)+N(F132))</f>
        <v>1098.5</v>
      </c>
      <c r="H132" s="103" t="s">
        <v>997</v>
      </c>
      <c r="I132" s="104"/>
      <c r="J132" s="105"/>
    </row>
    <row r="133" customFormat="false" ht="15" hidden="false" customHeight="false" outlineLevel="0" collapsed="false">
      <c r="B133" s="90" t="n">
        <v>93</v>
      </c>
      <c r="C133" s="91" t="n">
        <v>2080650</v>
      </c>
      <c r="D133" s="92" t="n">
        <f aca="false">IF($C133="","",IFERROR(IF(INDEX('REGISTRE TUBES'!$C$7:$C$2506,MATCH($C133,'REGISTRE TUBES'!$B$7:$B$2506,0))="","",INDEX('REGISTRE TUBES'!$C$7:$C$2506,MATCH($C133,'REGISTRE TUBES'!$B$7:$B$2506,0))),"?"))</f>
        <v>15421103</v>
      </c>
      <c r="E133" s="92" t="str">
        <f aca="false">IF($C133="","",IFERROR(IF(INDEX('REGISTRE TUBES'!$D$7:$D$2506,MATCH($C133,'REGISTRE TUBES'!$B$7:$B$2506,0))="","",INDEX('REGISTRE TUBES'!$D$7:$D$2506,MATCH($C133,'REGISTRE TUBES'!$B$7:$B$2506,0))),"?"))</f>
        <v/>
      </c>
      <c r="F133" s="93" t="n">
        <f aca="false">IF($C133="","",IFERROR(IF(INDEX('REGISTRE TUBES'!$F$7:$F$2506,MATCH($C133,'REGISTRE TUBES'!$B$7:$B$2506,0))="","",INDEX('REGISTRE TUBES'!$F$7:$F$2506,MATCH($C133,'REGISTRE TUBES'!$B$7:$B$2506,0))),"?"))</f>
        <v>11.94</v>
      </c>
      <c r="G133" s="94" t="n">
        <f aca="false">IF($C133="","",N(G132)+N(F133))</f>
        <v>1110.44</v>
      </c>
      <c r="H133" s="95" t="s">
        <v>998</v>
      </c>
      <c r="I133" s="96"/>
      <c r="J133" s="97"/>
    </row>
    <row r="134" customFormat="false" ht="15" hidden="false" customHeight="false" outlineLevel="0" collapsed="false">
      <c r="B134" s="98" t="n">
        <v>94</v>
      </c>
      <c r="C134" s="99" t="n">
        <v>2082030</v>
      </c>
      <c r="D134" s="100" t="n">
        <f aca="false">IF($C134="","",IFERROR(IF(INDEX('REGISTRE TUBES'!$C$7:$C$2506,MATCH($C134,'REGISTRE TUBES'!$B$7:$B$2506,0))="","",INDEX('REGISTRE TUBES'!$C$7:$C$2506,MATCH($C134,'REGISTRE TUBES'!$B$7:$B$2506,0))),"?"))</f>
        <v>15421104</v>
      </c>
      <c r="E134" s="100" t="str">
        <f aca="false">IF($C134="","",IFERROR(IF(INDEX('REGISTRE TUBES'!$D$7:$D$2506,MATCH($C134,'REGISTRE TUBES'!$B$7:$B$2506,0))="","",INDEX('REGISTRE TUBES'!$D$7:$D$2506,MATCH($C134,'REGISTRE TUBES'!$B$7:$B$2506,0))),"?"))</f>
        <v/>
      </c>
      <c r="F134" s="101" t="n">
        <f aca="false">IF($C134="","",IFERROR(IF(INDEX('REGISTRE TUBES'!$F$7:$F$2506,MATCH($C134,'REGISTRE TUBES'!$B$7:$B$2506,0))="","",INDEX('REGISTRE TUBES'!$F$7:$F$2506,MATCH($C134,'REGISTRE TUBES'!$B$7:$B$2506,0))),"?"))</f>
        <v>11.94</v>
      </c>
      <c r="G134" s="102" t="n">
        <f aca="false">IF($C134="","",N(G133)+N(F134))</f>
        <v>1122.38</v>
      </c>
      <c r="H134" s="103" t="s">
        <v>999</v>
      </c>
      <c r="I134" s="104"/>
      <c r="J134" s="105"/>
    </row>
    <row r="135" customFormat="false" ht="15" hidden="false" customHeight="false" outlineLevel="0" collapsed="false">
      <c r="B135" s="90" t="n">
        <v>95</v>
      </c>
      <c r="C135" s="91" t="n">
        <v>2093090</v>
      </c>
      <c r="D135" s="92" t="n">
        <f aca="false">IF($C135="","",IFERROR(IF(INDEX('REGISTRE TUBES'!$C$7:$C$2506,MATCH($C135,'REGISTRE TUBES'!$B$7:$B$2506,0))="","",INDEX('REGISTRE TUBES'!$C$7:$C$2506,MATCH($C135,'REGISTRE TUBES'!$B$7:$B$2506,0))),"?"))</f>
        <v>15421110</v>
      </c>
      <c r="E135" s="92" t="str">
        <f aca="false">IF($C135="","",IFERROR(IF(INDEX('REGISTRE TUBES'!$D$7:$D$2506,MATCH($C135,'REGISTRE TUBES'!$B$7:$B$2506,0))="","",INDEX('REGISTRE TUBES'!$D$7:$D$2506,MATCH($C135,'REGISTRE TUBES'!$B$7:$B$2506,0))),"?"))</f>
        <v/>
      </c>
      <c r="F135" s="93" t="n">
        <f aca="false">IF($C135="","",IFERROR(IF(INDEX('REGISTRE TUBES'!$F$7:$F$2506,MATCH($C135,'REGISTRE TUBES'!$B$7:$B$2506,0))="","",INDEX('REGISTRE TUBES'!$F$7:$F$2506,MATCH($C135,'REGISTRE TUBES'!$B$7:$B$2506,0))),"?"))</f>
        <v>11.94</v>
      </c>
      <c r="G135" s="94" t="n">
        <f aca="false">IF($C135="","",N(G134)+N(F135))</f>
        <v>1134.32</v>
      </c>
      <c r="H135" s="95" t="s">
        <v>1000</v>
      </c>
      <c r="I135" s="96"/>
      <c r="J135" s="97"/>
    </row>
    <row r="136" customFormat="false" ht="15" hidden="false" customHeight="true" outlineLevel="0" collapsed="false">
      <c r="B136" s="106" t="s">
        <v>3031</v>
      </c>
      <c r="C136" s="106"/>
      <c r="D136" s="106"/>
      <c r="E136" s="106"/>
      <c r="F136" s="107" t="n">
        <f aca="false">SUM(F117:F135)</f>
        <v>226.86</v>
      </c>
      <c r="G136" s="108" t="n">
        <f aca="false">IF(COUNT(G117:G135)=0,"",MAX(G117:G135))</f>
        <v>1134.32</v>
      </c>
      <c r="H136" s="106" t="str">
        <f aca="false">COUNTA(C117:C135)&amp;" tube(s)"</f>
        <v>19 tube(s)</v>
      </c>
      <c r="I136" s="106"/>
      <c r="J136" s="106"/>
    </row>
    <row r="138" customFormat="false" ht="15" hidden="false" customHeight="false" outlineLevel="0" collapsed="false">
      <c r="B138" s="109" t="s">
        <v>3032</v>
      </c>
      <c r="F138" s="109" t="s">
        <v>3033</v>
      </c>
      <c r="I138" s="109" t="s">
        <v>3034</v>
      </c>
    </row>
    <row r="141" customFormat="false" ht="25.5" hidden="false" customHeight="true" outlineLevel="0" collapsed="false">
      <c r="B141" s="85" t="s">
        <v>3015</v>
      </c>
      <c r="C141" s="85"/>
      <c r="D141" s="85"/>
      <c r="E141" s="85"/>
      <c r="F141" s="85"/>
      <c r="G141" s="85"/>
      <c r="H141" s="85"/>
      <c r="I141" s="85"/>
      <c r="J141" s="85"/>
    </row>
    <row r="142" customFormat="false" ht="15" hidden="false" customHeight="false" outlineLevel="0" collapsed="false">
      <c r="B142" s="86" t="str">
        <f aca="false">PARAMÈTRES!$C$4&amp;"   •   Affaire N° "&amp;PARAMÈTRES!$C$5</f>
        <v>Développement des champs gaziers TFT II — réseau de collecte TFT Sud (LIGNE-16)   •   Affaire N° 8546</v>
      </c>
      <c r="C142" s="86"/>
      <c r="D142" s="86"/>
      <c r="E142" s="86"/>
      <c r="F142" s="86"/>
      <c r="G142" s="86"/>
      <c r="H142" s="86"/>
      <c r="I142" s="86"/>
      <c r="J142" s="86"/>
    </row>
    <row r="143" customFormat="false" ht="19.5" hidden="false" customHeight="true" outlineLevel="0" collapsed="false">
      <c r="B143" s="87" t="s">
        <v>3016</v>
      </c>
      <c r="C143" s="88" t="s">
        <v>110</v>
      </c>
      <c r="D143" s="88"/>
      <c r="E143" s="87" t="s">
        <v>3017</v>
      </c>
      <c r="F143" s="88" t="s">
        <v>3043</v>
      </c>
      <c r="G143" s="87" t="s">
        <v>3019</v>
      </c>
      <c r="H143" s="88" t="s">
        <v>3044</v>
      </c>
      <c r="I143" s="87" t="s">
        <v>3021</v>
      </c>
      <c r="J143" s="89"/>
    </row>
    <row r="144" customFormat="false" ht="27.75" hidden="false" customHeight="true" outlineLevel="0" collapsed="false">
      <c r="B144" s="71" t="s">
        <v>3022</v>
      </c>
      <c r="C144" s="71" t="s">
        <v>3023</v>
      </c>
      <c r="D144" s="71" t="s">
        <v>3024</v>
      </c>
      <c r="E144" s="71" t="s">
        <v>3025</v>
      </c>
      <c r="F144" s="71" t="s">
        <v>3026</v>
      </c>
      <c r="G144" s="71" t="s">
        <v>3027</v>
      </c>
      <c r="H144" s="71" t="s">
        <v>3028</v>
      </c>
      <c r="I144" s="71" t="s">
        <v>3029</v>
      </c>
      <c r="J144" s="71" t="s">
        <v>3030</v>
      </c>
    </row>
    <row r="145" customFormat="false" ht="15" hidden="false" customHeight="false" outlineLevel="0" collapsed="false">
      <c r="B145" s="90" t="n">
        <v>96</v>
      </c>
      <c r="C145" s="91" t="n">
        <v>2092910</v>
      </c>
      <c r="D145" s="92" t="n">
        <f aca="false">IF($C145="","",IFERROR(IF(INDEX('REGISTRE TUBES'!$C$7:$C$2506,MATCH($C145,'REGISTRE TUBES'!$B$7:$B$2506,0))="","",INDEX('REGISTRE TUBES'!$C$7:$C$2506,MATCH($C145,'REGISTRE TUBES'!$B$7:$B$2506,0))),"?"))</f>
        <v>15421103</v>
      </c>
      <c r="E145" s="92" t="str">
        <f aca="false">IF($C145="","",IFERROR(IF(INDEX('REGISTRE TUBES'!$D$7:$D$2506,MATCH($C145,'REGISTRE TUBES'!$B$7:$B$2506,0))="","",INDEX('REGISTRE TUBES'!$D$7:$D$2506,MATCH($C145,'REGISTRE TUBES'!$B$7:$B$2506,0))),"?"))</f>
        <v/>
      </c>
      <c r="F145" s="93" t="n">
        <f aca="false">IF($C145="","",IFERROR(IF(INDEX('REGISTRE TUBES'!$F$7:$F$2506,MATCH($C145,'REGISTRE TUBES'!$B$7:$B$2506,0))="","",INDEX('REGISTRE TUBES'!$F$7:$F$2506,MATCH($C145,'REGISTRE TUBES'!$B$7:$B$2506,0))),"?"))</f>
        <v>11.94</v>
      </c>
      <c r="G145" s="94" t="n">
        <f aca="false">IF($C145="","",N(G135)+N(F145))</f>
        <v>1146.26</v>
      </c>
      <c r="H145" s="95" t="s">
        <v>1001</v>
      </c>
      <c r="I145" s="96"/>
      <c r="J145" s="97"/>
    </row>
    <row r="146" customFormat="false" ht="15" hidden="false" customHeight="false" outlineLevel="0" collapsed="false">
      <c r="B146" s="98" t="n">
        <v>97</v>
      </c>
      <c r="C146" s="99" t="n">
        <v>2081470</v>
      </c>
      <c r="D146" s="100" t="n">
        <f aca="false">IF($C146="","",IFERROR(IF(INDEX('REGISTRE TUBES'!$C$7:$C$2506,MATCH($C146,'REGISTRE TUBES'!$B$7:$B$2506,0))="","",INDEX('REGISTRE TUBES'!$C$7:$C$2506,MATCH($C146,'REGISTRE TUBES'!$B$7:$B$2506,0))),"?"))</f>
        <v>15421103</v>
      </c>
      <c r="E146" s="100" t="str">
        <f aca="false">IF($C146="","",IFERROR(IF(INDEX('REGISTRE TUBES'!$D$7:$D$2506,MATCH($C146,'REGISTRE TUBES'!$B$7:$B$2506,0))="","",INDEX('REGISTRE TUBES'!$D$7:$D$2506,MATCH($C146,'REGISTRE TUBES'!$B$7:$B$2506,0))),"?"))</f>
        <v/>
      </c>
      <c r="F146" s="101" t="n">
        <f aca="false">IF($C146="","",IFERROR(IF(INDEX('REGISTRE TUBES'!$F$7:$F$2506,MATCH($C146,'REGISTRE TUBES'!$B$7:$B$2506,0))="","",INDEX('REGISTRE TUBES'!$F$7:$F$2506,MATCH($C146,'REGISTRE TUBES'!$B$7:$B$2506,0))),"?"))</f>
        <v>11.94</v>
      </c>
      <c r="G146" s="102" t="n">
        <f aca="false">IF($C146="","",N(G145)+N(F146))</f>
        <v>1158.2</v>
      </c>
      <c r="H146" s="103" t="s">
        <v>1002</v>
      </c>
      <c r="I146" s="104"/>
      <c r="J146" s="105"/>
    </row>
    <row r="147" customFormat="false" ht="15" hidden="false" customHeight="false" outlineLevel="0" collapsed="false">
      <c r="B147" s="90" t="n">
        <v>98</v>
      </c>
      <c r="C147" s="91" t="n">
        <v>2082040</v>
      </c>
      <c r="D147" s="92" t="n">
        <f aca="false">IF($C147="","",IFERROR(IF(INDEX('REGISTRE TUBES'!$C$7:$C$2506,MATCH($C147,'REGISTRE TUBES'!$B$7:$B$2506,0))="","",INDEX('REGISTRE TUBES'!$C$7:$C$2506,MATCH($C147,'REGISTRE TUBES'!$B$7:$B$2506,0))),"?"))</f>
        <v>15421104</v>
      </c>
      <c r="E147" s="92" t="str">
        <f aca="false">IF($C147="","",IFERROR(IF(INDEX('REGISTRE TUBES'!$D$7:$D$2506,MATCH($C147,'REGISTRE TUBES'!$B$7:$B$2506,0))="","",INDEX('REGISTRE TUBES'!$D$7:$D$2506,MATCH($C147,'REGISTRE TUBES'!$B$7:$B$2506,0))),"?"))</f>
        <v/>
      </c>
      <c r="F147" s="93" t="n">
        <f aca="false">IF($C147="","",IFERROR(IF(INDEX('REGISTRE TUBES'!$F$7:$F$2506,MATCH($C147,'REGISTRE TUBES'!$B$7:$B$2506,0))="","",INDEX('REGISTRE TUBES'!$F$7:$F$2506,MATCH($C147,'REGISTRE TUBES'!$B$7:$B$2506,0))),"?"))</f>
        <v>11.94</v>
      </c>
      <c r="G147" s="94" t="n">
        <f aca="false">IF($C147="","",N(G146)+N(F147))</f>
        <v>1170.14</v>
      </c>
      <c r="H147" s="95" t="s">
        <v>1003</v>
      </c>
      <c r="I147" s="96"/>
      <c r="J147" s="97"/>
    </row>
    <row r="148" customFormat="false" ht="15" hidden="false" customHeight="false" outlineLevel="0" collapsed="false">
      <c r="B148" s="98" t="n">
        <v>99</v>
      </c>
      <c r="C148" s="99" t="n">
        <v>2090570</v>
      </c>
      <c r="D148" s="100" t="n">
        <f aca="false">IF($C148="","",IFERROR(IF(INDEX('REGISTRE TUBES'!$C$7:$C$2506,MATCH($C148,'REGISTRE TUBES'!$B$7:$B$2506,0))="","",INDEX('REGISTRE TUBES'!$C$7:$C$2506,MATCH($C148,'REGISTRE TUBES'!$B$7:$B$2506,0))),"?"))</f>
        <v>15421109</v>
      </c>
      <c r="E148" s="100" t="str">
        <f aca="false">IF($C148="","",IFERROR(IF(INDEX('REGISTRE TUBES'!$D$7:$D$2506,MATCH($C148,'REGISTRE TUBES'!$B$7:$B$2506,0))="","",INDEX('REGISTRE TUBES'!$D$7:$D$2506,MATCH($C148,'REGISTRE TUBES'!$B$7:$B$2506,0))),"?"))</f>
        <v/>
      </c>
      <c r="F148" s="101" t="n">
        <f aca="false">IF($C148="","",IFERROR(IF(INDEX('REGISTRE TUBES'!$F$7:$F$2506,MATCH($C148,'REGISTRE TUBES'!$B$7:$B$2506,0))="","",INDEX('REGISTRE TUBES'!$F$7:$F$2506,MATCH($C148,'REGISTRE TUBES'!$B$7:$B$2506,0))),"?"))</f>
        <v>11.94</v>
      </c>
      <c r="G148" s="102" t="n">
        <f aca="false">IF($C148="","",N(G147)+N(F148))</f>
        <v>1182.08</v>
      </c>
      <c r="H148" s="103" t="s">
        <v>1005</v>
      </c>
      <c r="I148" s="104"/>
      <c r="J148" s="105"/>
    </row>
    <row r="149" customFormat="false" ht="15" hidden="false" customHeight="false" outlineLevel="0" collapsed="false">
      <c r="B149" s="90" t="n">
        <v>100</v>
      </c>
      <c r="C149" s="91" t="n">
        <v>2079320</v>
      </c>
      <c r="D149" s="92" t="n">
        <f aca="false">IF($C149="","",IFERROR(IF(INDEX('REGISTRE TUBES'!$C$7:$C$2506,MATCH($C149,'REGISTRE TUBES'!$B$7:$B$2506,0))="","",INDEX('REGISTRE TUBES'!$C$7:$C$2506,MATCH($C149,'REGISTRE TUBES'!$B$7:$B$2506,0))),"?"))</f>
        <v>15421102</v>
      </c>
      <c r="E149" s="92" t="str">
        <f aca="false">IF($C149="","",IFERROR(IF(INDEX('REGISTRE TUBES'!$D$7:$D$2506,MATCH($C149,'REGISTRE TUBES'!$B$7:$B$2506,0))="","",INDEX('REGISTRE TUBES'!$D$7:$D$2506,MATCH($C149,'REGISTRE TUBES'!$B$7:$B$2506,0))),"?"))</f>
        <v/>
      </c>
      <c r="F149" s="93" t="n">
        <f aca="false">IF($C149="","",IFERROR(IF(INDEX('REGISTRE TUBES'!$F$7:$F$2506,MATCH($C149,'REGISTRE TUBES'!$B$7:$B$2506,0))="","",INDEX('REGISTRE TUBES'!$F$7:$F$2506,MATCH($C149,'REGISTRE TUBES'!$B$7:$B$2506,0))),"?"))</f>
        <v>11.94</v>
      </c>
      <c r="G149" s="94" t="n">
        <f aca="false">IF($C149="","",N(G148)+N(F149))</f>
        <v>1194.02</v>
      </c>
      <c r="H149" s="95" t="s">
        <v>1006</v>
      </c>
      <c r="I149" s="96"/>
      <c r="J149" s="97"/>
    </row>
    <row r="150" customFormat="false" ht="15" hidden="false" customHeight="false" outlineLevel="0" collapsed="false">
      <c r="B150" s="98" t="n">
        <v>101</v>
      </c>
      <c r="C150" s="99" t="n">
        <v>2098380</v>
      </c>
      <c r="D150" s="100" t="n">
        <f aca="false">IF($C150="","",IFERROR(IF(INDEX('REGISTRE TUBES'!$C$7:$C$2506,MATCH($C150,'REGISTRE TUBES'!$B$7:$B$2506,0))="","",INDEX('REGISTRE TUBES'!$C$7:$C$2506,MATCH($C150,'REGISTRE TUBES'!$B$7:$B$2506,0))),"?"))</f>
        <v>15421112</v>
      </c>
      <c r="E150" s="100" t="str">
        <f aca="false">IF($C150="","",IFERROR(IF(INDEX('REGISTRE TUBES'!$D$7:$D$2506,MATCH($C150,'REGISTRE TUBES'!$B$7:$B$2506,0))="","",INDEX('REGISTRE TUBES'!$D$7:$D$2506,MATCH($C150,'REGISTRE TUBES'!$B$7:$B$2506,0))),"?"))</f>
        <v/>
      </c>
      <c r="F150" s="101" t="n">
        <f aca="false">IF($C150="","",IFERROR(IF(INDEX('REGISTRE TUBES'!$F$7:$F$2506,MATCH($C150,'REGISTRE TUBES'!$B$7:$B$2506,0))="","",INDEX('REGISTRE TUBES'!$F$7:$F$2506,MATCH($C150,'REGISTRE TUBES'!$B$7:$B$2506,0))),"?"))</f>
        <v>11.94</v>
      </c>
      <c r="G150" s="102" t="n">
        <f aca="false">IF($C150="","",N(G149)+N(F150))</f>
        <v>1205.96</v>
      </c>
      <c r="H150" s="103" t="s">
        <v>1008</v>
      </c>
      <c r="I150" s="104"/>
      <c r="J150" s="105"/>
    </row>
    <row r="151" customFormat="false" ht="15" hidden="false" customHeight="false" outlineLevel="0" collapsed="false">
      <c r="B151" s="90" t="n">
        <v>102</v>
      </c>
      <c r="C151" s="91" t="n">
        <v>2089890</v>
      </c>
      <c r="D151" s="92" t="n">
        <f aca="false">IF($C151="","",IFERROR(IF(INDEX('REGISTRE TUBES'!$C$7:$C$2506,MATCH($C151,'REGISTRE TUBES'!$B$7:$B$2506,0))="","",INDEX('REGISTRE TUBES'!$C$7:$C$2506,MATCH($C151,'REGISTRE TUBES'!$B$7:$B$2506,0))),"?"))</f>
        <v>15421109</v>
      </c>
      <c r="E151" s="92" t="str">
        <f aca="false">IF($C151="","",IFERROR(IF(INDEX('REGISTRE TUBES'!$D$7:$D$2506,MATCH($C151,'REGISTRE TUBES'!$B$7:$B$2506,0))="","",INDEX('REGISTRE TUBES'!$D$7:$D$2506,MATCH($C151,'REGISTRE TUBES'!$B$7:$B$2506,0))),"?"))</f>
        <v/>
      </c>
      <c r="F151" s="93" t="n">
        <f aca="false">IF($C151="","",IFERROR(IF(INDEX('REGISTRE TUBES'!$F$7:$F$2506,MATCH($C151,'REGISTRE TUBES'!$B$7:$B$2506,0))="","",INDEX('REGISTRE TUBES'!$F$7:$F$2506,MATCH($C151,'REGISTRE TUBES'!$B$7:$B$2506,0))),"?"))</f>
        <v>11.94</v>
      </c>
      <c r="G151" s="94" t="n">
        <f aca="false">IF($C151="","",N(G150)+N(F151))</f>
        <v>1217.9</v>
      </c>
      <c r="H151" s="95" t="s">
        <v>1009</v>
      </c>
      <c r="I151" s="96"/>
      <c r="J151" s="97"/>
    </row>
    <row r="152" customFormat="false" ht="15" hidden="false" customHeight="false" outlineLevel="0" collapsed="false">
      <c r="B152" s="98" t="n">
        <v>103</v>
      </c>
      <c r="C152" s="99" t="n">
        <v>2082390</v>
      </c>
      <c r="D152" s="100" t="n">
        <f aca="false">IF($C152="","",IFERROR(IF(INDEX('REGISTRE TUBES'!$C$7:$C$2506,MATCH($C152,'REGISTRE TUBES'!$B$7:$B$2506,0))="","",INDEX('REGISTRE TUBES'!$C$7:$C$2506,MATCH($C152,'REGISTRE TUBES'!$B$7:$B$2506,0))),"?"))</f>
        <v>15421110</v>
      </c>
      <c r="E152" s="100" t="str">
        <f aca="false">IF($C152="","",IFERROR(IF(INDEX('REGISTRE TUBES'!$D$7:$D$2506,MATCH($C152,'REGISTRE TUBES'!$B$7:$B$2506,0))="","",INDEX('REGISTRE TUBES'!$D$7:$D$2506,MATCH($C152,'REGISTRE TUBES'!$B$7:$B$2506,0))),"?"))</f>
        <v/>
      </c>
      <c r="F152" s="101" t="n">
        <f aca="false">IF($C152="","",IFERROR(IF(INDEX('REGISTRE TUBES'!$F$7:$F$2506,MATCH($C152,'REGISTRE TUBES'!$B$7:$B$2506,0))="","",INDEX('REGISTRE TUBES'!$F$7:$F$2506,MATCH($C152,'REGISTRE TUBES'!$B$7:$B$2506,0))),"?"))</f>
        <v>11.94</v>
      </c>
      <c r="G152" s="102" t="n">
        <f aca="false">IF($C152="","",N(G151)+N(F152))</f>
        <v>1229.84</v>
      </c>
      <c r="H152" s="103" t="s">
        <v>1010</v>
      </c>
      <c r="I152" s="104"/>
      <c r="J152" s="105"/>
    </row>
    <row r="153" customFormat="false" ht="15" hidden="false" customHeight="false" outlineLevel="0" collapsed="false">
      <c r="B153" s="90" t="n">
        <v>104</v>
      </c>
      <c r="C153" s="91" t="n">
        <v>2078870</v>
      </c>
      <c r="D153" s="92" t="n">
        <f aca="false">IF($C153="","",IFERROR(IF(INDEX('REGISTRE TUBES'!$C$7:$C$2506,MATCH($C153,'REGISTRE TUBES'!$B$7:$B$2506,0))="","",INDEX('REGISTRE TUBES'!$C$7:$C$2506,MATCH($C153,'REGISTRE TUBES'!$B$7:$B$2506,0))),"?"))</f>
        <v>15421101</v>
      </c>
      <c r="E153" s="92" t="str">
        <f aca="false">IF($C153="","",IFERROR(IF(INDEX('REGISTRE TUBES'!$D$7:$D$2506,MATCH($C153,'REGISTRE TUBES'!$B$7:$B$2506,0))="","",INDEX('REGISTRE TUBES'!$D$7:$D$2506,MATCH($C153,'REGISTRE TUBES'!$B$7:$B$2506,0))),"?"))</f>
        <v/>
      </c>
      <c r="F153" s="93" t="n">
        <f aca="false">IF($C153="","",IFERROR(IF(INDEX('REGISTRE TUBES'!$F$7:$F$2506,MATCH($C153,'REGISTRE TUBES'!$B$7:$B$2506,0))="","",INDEX('REGISTRE TUBES'!$F$7:$F$2506,MATCH($C153,'REGISTRE TUBES'!$B$7:$B$2506,0))),"?"))</f>
        <v>11.94</v>
      </c>
      <c r="G153" s="94" t="n">
        <f aca="false">IF($C153="","",N(G152)+N(F153))</f>
        <v>1241.78</v>
      </c>
      <c r="H153" s="95" t="s">
        <v>1011</v>
      </c>
      <c r="I153" s="96"/>
      <c r="J153" s="97"/>
    </row>
    <row r="154" customFormat="false" ht="15" hidden="false" customHeight="false" outlineLevel="0" collapsed="false">
      <c r="B154" s="98" t="n">
        <v>105</v>
      </c>
      <c r="C154" s="99" t="n">
        <v>2083670</v>
      </c>
      <c r="D154" s="100" t="n">
        <f aca="false">IF($C154="","",IFERROR(IF(INDEX('REGISTRE TUBES'!$C$7:$C$2506,MATCH($C154,'REGISTRE TUBES'!$B$7:$B$2506,0))="","",INDEX('REGISTRE TUBES'!$C$7:$C$2506,MATCH($C154,'REGISTRE TUBES'!$B$7:$B$2506,0))),"?"))</f>
        <v>15421105</v>
      </c>
      <c r="E154" s="100" t="str">
        <f aca="false">IF($C154="","",IFERROR(IF(INDEX('REGISTRE TUBES'!$D$7:$D$2506,MATCH($C154,'REGISTRE TUBES'!$B$7:$B$2506,0))="","",INDEX('REGISTRE TUBES'!$D$7:$D$2506,MATCH($C154,'REGISTRE TUBES'!$B$7:$B$2506,0))),"?"))</f>
        <v/>
      </c>
      <c r="F154" s="101" t="n">
        <f aca="false">IF($C154="","",IFERROR(IF(INDEX('REGISTRE TUBES'!$F$7:$F$2506,MATCH($C154,'REGISTRE TUBES'!$B$7:$B$2506,0))="","",INDEX('REGISTRE TUBES'!$F$7:$F$2506,MATCH($C154,'REGISTRE TUBES'!$B$7:$B$2506,0))),"?"))</f>
        <v>11.94</v>
      </c>
      <c r="G154" s="102" t="n">
        <f aca="false">IF($C154="","",N(G153)+N(F154))</f>
        <v>1253.72</v>
      </c>
      <c r="H154" s="103" t="s">
        <v>1012</v>
      </c>
      <c r="I154" s="104"/>
      <c r="J154" s="105"/>
    </row>
    <row r="155" customFormat="false" ht="15" hidden="false" customHeight="false" outlineLevel="0" collapsed="false">
      <c r="B155" s="90" t="n">
        <v>106</v>
      </c>
      <c r="C155" s="91" t="n">
        <v>2085440</v>
      </c>
      <c r="D155" s="92" t="n">
        <f aca="false">IF($C155="","",IFERROR(IF(INDEX('REGISTRE TUBES'!$C$7:$C$2506,MATCH($C155,'REGISTRE TUBES'!$B$7:$B$2506,0))="","",INDEX('REGISTRE TUBES'!$C$7:$C$2506,MATCH($C155,'REGISTRE TUBES'!$B$7:$B$2506,0))),"?"))</f>
        <v>15421106</v>
      </c>
      <c r="E155" s="92" t="str">
        <f aca="false">IF($C155="","",IFERROR(IF(INDEX('REGISTRE TUBES'!$D$7:$D$2506,MATCH($C155,'REGISTRE TUBES'!$B$7:$B$2506,0))="","",INDEX('REGISTRE TUBES'!$D$7:$D$2506,MATCH($C155,'REGISTRE TUBES'!$B$7:$B$2506,0))),"?"))</f>
        <v/>
      </c>
      <c r="F155" s="93" t="n">
        <f aca="false">IF($C155="","",IFERROR(IF(INDEX('REGISTRE TUBES'!$F$7:$F$2506,MATCH($C155,'REGISTRE TUBES'!$B$7:$B$2506,0))="","",INDEX('REGISTRE TUBES'!$F$7:$F$2506,MATCH($C155,'REGISTRE TUBES'!$B$7:$B$2506,0))),"?"))</f>
        <v>11.94</v>
      </c>
      <c r="G155" s="94" t="n">
        <f aca="false">IF($C155="","",N(G154)+N(F155))</f>
        <v>1265.66</v>
      </c>
      <c r="H155" s="95" t="s">
        <v>1013</v>
      </c>
      <c r="I155" s="96"/>
      <c r="J155" s="97"/>
    </row>
    <row r="156" customFormat="false" ht="15" hidden="false" customHeight="false" outlineLevel="0" collapsed="false">
      <c r="B156" s="98" t="n">
        <v>107</v>
      </c>
      <c r="C156" s="99" t="n">
        <v>2081310</v>
      </c>
      <c r="D156" s="100" t="n">
        <f aca="false">IF($C156="","",IFERROR(IF(INDEX('REGISTRE TUBES'!$C$7:$C$2506,MATCH($C156,'REGISTRE TUBES'!$B$7:$B$2506,0))="","",INDEX('REGISTRE TUBES'!$C$7:$C$2506,MATCH($C156,'REGISTRE TUBES'!$B$7:$B$2506,0))),"?"))</f>
        <v>15421103</v>
      </c>
      <c r="E156" s="100" t="str">
        <f aca="false">IF($C156="","",IFERROR(IF(INDEX('REGISTRE TUBES'!$D$7:$D$2506,MATCH($C156,'REGISTRE TUBES'!$B$7:$B$2506,0))="","",INDEX('REGISTRE TUBES'!$D$7:$D$2506,MATCH($C156,'REGISTRE TUBES'!$B$7:$B$2506,0))),"?"))</f>
        <v/>
      </c>
      <c r="F156" s="101" t="n">
        <f aca="false">IF($C156="","",IFERROR(IF(INDEX('REGISTRE TUBES'!$F$7:$F$2506,MATCH($C156,'REGISTRE TUBES'!$B$7:$B$2506,0))="","",INDEX('REGISTRE TUBES'!$F$7:$F$2506,MATCH($C156,'REGISTRE TUBES'!$B$7:$B$2506,0))),"?"))</f>
        <v>11.94</v>
      </c>
      <c r="G156" s="102" t="n">
        <f aca="false">IF($C156="","",N(G155)+N(F156))</f>
        <v>1277.6</v>
      </c>
      <c r="H156" s="103" t="s">
        <v>1014</v>
      </c>
      <c r="I156" s="104"/>
      <c r="J156" s="105"/>
    </row>
    <row r="157" customFormat="false" ht="15" hidden="false" customHeight="false" outlineLevel="0" collapsed="false">
      <c r="B157" s="90" t="n">
        <v>108</v>
      </c>
      <c r="C157" s="91" t="n">
        <v>2087430</v>
      </c>
      <c r="D157" s="92" t="n">
        <f aca="false">IF($C157="","",IFERROR(IF(INDEX('REGISTRE TUBES'!$C$7:$C$2506,MATCH($C157,'REGISTRE TUBES'!$B$7:$B$2506,0))="","",INDEX('REGISTRE TUBES'!$C$7:$C$2506,MATCH($C157,'REGISTRE TUBES'!$B$7:$B$2506,0))),"?"))</f>
        <v>15421107</v>
      </c>
      <c r="E157" s="92" t="str">
        <f aca="false">IF($C157="","",IFERROR(IF(INDEX('REGISTRE TUBES'!$D$7:$D$2506,MATCH($C157,'REGISTRE TUBES'!$B$7:$B$2506,0))="","",INDEX('REGISTRE TUBES'!$D$7:$D$2506,MATCH($C157,'REGISTRE TUBES'!$B$7:$B$2506,0))),"?"))</f>
        <v/>
      </c>
      <c r="F157" s="93" t="n">
        <f aca="false">IF($C157="","",IFERROR(IF(INDEX('REGISTRE TUBES'!$F$7:$F$2506,MATCH($C157,'REGISTRE TUBES'!$B$7:$B$2506,0))="","",INDEX('REGISTRE TUBES'!$F$7:$F$2506,MATCH($C157,'REGISTRE TUBES'!$B$7:$B$2506,0))),"?"))</f>
        <v>11.94</v>
      </c>
      <c r="G157" s="94" t="n">
        <f aca="false">IF($C157="","",N(G156)+N(F157))</f>
        <v>1289.54</v>
      </c>
      <c r="H157" s="95" t="s">
        <v>1015</v>
      </c>
      <c r="I157" s="96"/>
      <c r="J157" s="97"/>
    </row>
    <row r="158" customFormat="false" ht="15" hidden="false" customHeight="false" outlineLevel="0" collapsed="false">
      <c r="B158" s="98" t="n">
        <v>109</v>
      </c>
      <c r="C158" s="99" t="n">
        <v>2087280</v>
      </c>
      <c r="D158" s="100" t="n">
        <f aca="false">IF($C158="","",IFERROR(IF(INDEX('REGISTRE TUBES'!$C$7:$C$2506,MATCH($C158,'REGISTRE TUBES'!$B$7:$B$2506,0))="","",INDEX('REGISTRE TUBES'!$C$7:$C$2506,MATCH($C158,'REGISTRE TUBES'!$B$7:$B$2506,0))),"?"))</f>
        <v>15421107</v>
      </c>
      <c r="E158" s="100" t="str">
        <f aca="false">IF($C158="","",IFERROR(IF(INDEX('REGISTRE TUBES'!$D$7:$D$2506,MATCH($C158,'REGISTRE TUBES'!$B$7:$B$2506,0))="","",INDEX('REGISTRE TUBES'!$D$7:$D$2506,MATCH($C158,'REGISTRE TUBES'!$B$7:$B$2506,0))),"?"))</f>
        <v/>
      </c>
      <c r="F158" s="101" t="n">
        <f aca="false">IF($C158="","",IFERROR(IF(INDEX('REGISTRE TUBES'!$F$7:$F$2506,MATCH($C158,'REGISTRE TUBES'!$B$7:$B$2506,0))="","",INDEX('REGISTRE TUBES'!$F$7:$F$2506,MATCH($C158,'REGISTRE TUBES'!$B$7:$B$2506,0))),"?"))</f>
        <v>11.94</v>
      </c>
      <c r="G158" s="102" t="n">
        <f aca="false">IF($C158="","",N(G157)+N(F158))</f>
        <v>1301.48</v>
      </c>
      <c r="H158" s="103" t="s">
        <v>1017</v>
      </c>
      <c r="I158" s="104"/>
      <c r="J158" s="105"/>
    </row>
    <row r="159" customFormat="false" ht="15" hidden="false" customHeight="false" outlineLevel="0" collapsed="false">
      <c r="B159" s="90" t="n">
        <v>110</v>
      </c>
      <c r="C159" s="91" t="n">
        <v>2089170</v>
      </c>
      <c r="D159" s="92" t="n">
        <f aca="false">IF($C159="","",IFERROR(IF(INDEX('REGISTRE TUBES'!$C$7:$C$2506,MATCH($C159,'REGISTRE TUBES'!$B$7:$B$2506,0))="","",INDEX('REGISTRE TUBES'!$C$7:$C$2506,MATCH($C159,'REGISTRE TUBES'!$B$7:$B$2506,0))),"?"))</f>
        <v>15421108</v>
      </c>
      <c r="E159" s="92" t="str">
        <f aca="false">IF($C159="","",IFERROR(IF(INDEX('REGISTRE TUBES'!$D$7:$D$2506,MATCH($C159,'REGISTRE TUBES'!$B$7:$B$2506,0))="","",INDEX('REGISTRE TUBES'!$D$7:$D$2506,MATCH($C159,'REGISTRE TUBES'!$B$7:$B$2506,0))),"?"))</f>
        <v/>
      </c>
      <c r="F159" s="93" t="n">
        <f aca="false">IF($C159="","",IFERROR(IF(INDEX('REGISTRE TUBES'!$F$7:$F$2506,MATCH($C159,'REGISTRE TUBES'!$B$7:$B$2506,0))="","",INDEX('REGISTRE TUBES'!$F$7:$F$2506,MATCH($C159,'REGISTRE TUBES'!$B$7:$B$2506,0))),"?"))</f>
        <v>11.94</v>
      </c>
      <c r="G159" s="94" t="n">
        <f aca="false">IF($C159="","",N(G158)+N(F159))</f>
        <v>1313.42</v>
      </c>
      <c r="H159" s="95" t="s">
        <v>1018</v>
      </c>
      <c r="I159" s="96"/>
      <c r="J159" s="97"/>
    </row>
    <row r="160" customFormat="false" ht="15" hidden="false" customHeight="false" outlineLevel="0" collapsed="false">
      <c r="B160" s="98" t="n">
        <v>111</v>
      </c>
      <c r="C160" s="99" t="n">
        <v>2079050</v>
      </c>
      <c r="D160" s="100" t="n">
        <f aca="false">IF($C160="","",IFERROR(IF(INDEX('REGISTRE TUBES'!$C$7:$C$2506,MATCH($C160,'REGISTRE TUBES'!$B$7:$B$2506,0))="","",INDEX('REGISTRE TUBES'!$C$7:$C$2506,MATCH($C160,'REGISTRE TUBES'!$B$7:$B$2506,0))),"?"))</f>
        <v>15421102</v>
      </c>
      <c r="E160" s="100" t="str">
        <f aca="false">IF($C160="","",IFERROR(IF(INDEX('REGISTRE TUBES'!$D$7:$D$2506,MATCH($C160,'REGISTRE TUBES'!$B$7:$B$2506,0))="","",INDEX('REGISTRE TUBES'!$D$7:$D$2506,MATCH($C160,'REGISTRE TUBES'!$B$7:$B$2506,0))),"?"))</f>
        <v/>
      </c>
      <c r="F160" s="101" t="n">
        <f aca="false">IF($C160="","",IFERROR(IF(INDEX('REGISTRE TUBES'!$F$7:$F$2506,MATCH($C160,'REGISTRE TUBES'!$B$7:$B$2506,0))="","",INDEX('REGISTRE TUBES'!$F$7:$F$2506,MATCH($C160,'REGISTRE TUBES'!$B$7:$B$2506,0))),"?"))</f>
        <v>11.94</v>
      </c>
      <c r="G160" s="102" t="n">
        <f aca="false">IF($C160="","",N(G159)+N(F160))</f>
        <v>1325.36</v>
      </c>
      <c r="H160" s="103" t="s">
        <v>1019</v>
      </c>
      <c r="I160" s="104"/>
      <c r="J160" s="105"/>
    </row>
    <row r="161" customFormat="false" ht="15" hidden="false" customHeight="false" outlineLevel="0" collapsed="false">
      <c r="B161" s="90" t="n">
        <v>112</v>
      </c>
      <c r="C161" s="91" t="n">
        <v>2095460</v>
      </c>
      <c r="D161" s="92" t="n">
        <f aca="false">IF($C161="","",IFERROR(IF(INDEX('REGISTRE TUBES'!$C$7:$C$2506,MATCH($C161,'REGISTRE TUBES'!$B$7:$B$2506,0))="","",INDEX('REGISTRE TUBES'!$C$7:$C$2506,MATCH($C161,'REGISTRE TUBES'!$B$7:$B$2506,0))),"?"))</f>
        <v>15421109</v>
      </c>
      <c r="E161" s="92" t="str">
        <f aca="false">IF($C161="","",IFERROR(IF(INDEX('REGISTRE TUBES'!$D$7:$D$2506,MATCH($C161,'REGISTRE TUBES'!$B$7:$B$2506,0))="","",INDEX('REGISTRE TUBES'!$D$7:$D$2506,MATCH($C161,'REGISTRE TUBES'!$B$7:$B$2506,0))),"?"))</f>
        <v/>
      </c>
      <c r="F161" s="93" t="n">
        <f aca="false">IF($C161="","",IFERROR(IF(INDEX('REGISTRE TUBES'!$F$7:$F$2506,MATCH($C161,'REGISTRE TUBES'!$B$7:$B$2506,0))="","",INDEX('REGISTRE TUBES'!$F$7:$F$2506,MATCH($C161,'REGISTRE TUBES'!$B$7:$B$2506,0))),"?"))</f>
        <v>11.94</v>
      </c>
      <c r="G161" s="94" t="n">
        <f aca="false">IF($C161="","",N(G160)+N(F161))</f>
        <v>1337.3</v>
      </c>
      <c r="H161" s="95"/>
      <c r="I161" s="96"/>
      <c r="J161" s="97"/>
    </row>
    <row r="162" customFormat="false" ht="15" hidden="false" customHeight="false" outlineLevel="0" collapsed="false">
      <c r="B162" s="98" t="n">
        <v>113</v>
      </c>
      <c r="C162" s="99" t="n">
        <v>2091440</v>
      </c>
      <c r="D162" s="100" t="n">
        <f aca="false">IF($C162="","",IFERROR(IF(INDEX('REGISTRE TUBES'!$C$7:$C$2506,MATCH($C162,'REGISTRE TUBES'!$B$7:$B$2506,0))="","",INDEX('REGISTRE TUBES'!$C$7:$C$2506,MATCH($C162,'REGISTRE TUBES'!$B$7:$B$2506,0))),"?"))</f>
        <v>15421110</v>
      </c>
      <c r="E162" s="100" t="str">
        <f aca="false">IF($C162="","",IFERROR(IF(INDEX('REGISTRE TUBES'!$D$7:$D$2506,MATCH($C162,'REGISTRE TUBES'!$B$7:$B$2506,0))="","",INDEX('REGISTRE TUBES'!$D$7:$D$2506,MATCH($C162,'REGISTRE TUBES'!$B$7:$B$2506,0))),"?"))</f>
        <v/>
      </c>
      <c r="F162" s="101" t="n">
        <f aca="false">IF($C162="","",IFERROR(IF(INDEX('REGISTRE TUBES'!$F$7:$F$2506,MATCH($C162,'REGISTRE TUBES'!$B$7:$B$2506,0))="","",INDEX('REGISTRE TUBES'!$F$7:$F$2506,MATCH($C162,'REGISTRE TUBES'!$B$7:$B$2506,0))),"?"))</f>
        <v>11.94</v>
      </c>
      <c r="G162" s="102" t="n">
        <f aca="false">IF($C162="","",N(G161)+N(F162))</f>
        <v>1349.24</v>
      </c>
      <c r="H162" s="103" t="s">
        <v>1023</v>
      </c>
      <c r="I162" s="104"/>
      <c r="J162" s="105"/>
    </row>
    <row r="163" customFormat="false" ht="15" hidden="false" customHeight="false" outlineLevel="0" collapsed="false">
      <c r="B163" s="90" t="n">
        <v>114</v>
      </c>
      <c r="C163" s="91" t="n">
        <v>2094010</v>
      </c>
      <c r="D163" s="92" t="n">
        <f aca="false">IF($C163="","",IFERROR(IF(INDEX('REGISTRE TUBES'!$C$7:$C$2506,MATCH($C163,'REGISTRE TUBES'!$B$7:$B$2506,0))="","",INDEX('REGISTRE TUBES'!$C$7:$C$2506,MATCH($C163,'REGISTRE TUBES'!$B$7:$B$2506,0))),"?"))</f>
        <v>15421110</v>
      </c>
      <c r="E163" s="92" t="str">
        <f aca="false">IF($C163="","",IFERROR(IF(INDEX('REGISTRE TUBES'!$D$7:$D$2506,MATCH($C163,'REGISTRE TUBES'!$B$7:$B$2506,0))="","",INDEX('REGISTRE TUBES'!$D$7:$D$2506,MATCH($C163,'REGISTRE TUBES'!$B$7:$B$2506,0))),"?"))</f>
        <v/>
      </c>
      <c r="F163" s="93" t="n">
        <f aca="false">IF($C163="","",IFERROR(IF(INDEX('REGISTRE TUBES'!$F$7:$F$2506,MATCH($C163,'REGISTRE TUBES'!$B$7:$B$2506,0))="","",INDEX('REGISTRE TUBES'!$F$7:$F$2506,MATCH($C163,'REGISTRE TUBES'!$B$7:$B$2506,0))),"?"))</f>
        <v>11.94</v>
      </c>
      <c r="G163" s="94" t="n">
        <f aca="false">IF($C163="","",N(G162)+N(F163))</f>
        <v>1361.18</v>
      </c>
      <c r="H163" s="95" t="s">
        <v>1026</v>
      </c>
      <c r="I163" s="96"/>
      <c r="J163" s="97"/>
    </row>
    <row r="164" customFormat="false" ht="15" hidden="false" customHeight="true" outlineLevel="0" collapsed="false">
      <c r="B164" s="106" t="s">
        <v>3031</v>
      </c>
      <c r="C164" s="106"/>
      <c r="D164" s="106"/>
      <c r="E164" s="106"/>
      <c r="F164" s="107" t="n">
        <f aca="false">SUM(F145:F163)</f>
        <v>226.86</v>
      </c>
      <c r="G164" s="108" t="n">
        <f aca="false">IF(COUNT(G145:G163)=0,"",MAX(G145:G163))</f>
        <v>1361.18</v>
      </c>
      <c r="H164" s="106" t="str">
        <f aca="false">COUNTA(C145:C163)&amp;" tube(s)"</f>
        <v>19 tube(s)</v>
      </c>
      <c r="I164" s="106"/>
      <c r="J164" s="106"/>
    </row>
    <row r="166" customFormat="false" ht="15" hidden="false" customHeight="false" outlineLevel="0" collapsed="false">
      <c r="B166" s="109" t="s">
        <v>3032</v>
      </c>
      <c r="F166" s="109" t="s">
        <v>3033</v>
      </c>
      <c r="I166" s="109" t="s">
        <v>3034</v>
      </c>
    </row>
    <row r="169" customFormat="false" ht="25.5" hidden="false" customHeight="true" outlineLevel="0" collapsed="false">
      <c r="B169" s="85" t="s">
        <v>3015</v>
      </c>
      <c r="C169" s="85"/>
      <c r="D169" s="85"/>
      <c r="E169" s="85"/>
      <c r="F169" s="85"/>
      <c r="G169" s="85"/>
      <c r="H169" s="85"/>
      <c r="I169" s="85"/>
      <c r="J169" s="85"/>
    </row>
    <row r="170" customFormat="false" ht="15" hidden="false" customHeight="false" outlineLevel="0" collapsed="false">
      <c r="B170" s="86" t="str">
        <f aca="false">PARAMÈTRES!$C$4&amp;"   •   Affaire N° "&amp;PARAMÈTRES!$C$5</f>
        <v>Développement des champs gaziers TFT II — réseau de collecte TFT Sud (LIGNE-16)   •   Affaire N° 8546</v>
      </c>
      <c r="C170" s="86"/>
      <c r="D170" s="86"/>
      <c r="E170" s="86"/>
      <c r="F170" s="86"/>
      <c r="G170" s="86"/>
      <c r="H170" s="86"/>
      <c r="I170" s="86"/>
      <c r="J170" s="86"/>
    </row>
    <row r="171" customFormat="false" ht="19.5" hidden="false" customHeight="true" outlineLevel="0" collapsed="false">
      <c r="B171" s="87" t="s">
        <v>3016</v>
      </c>
      <c r="C171" s="88" t="s">
        <v>110</v>
      </c>
      <c r="D171" s="88"/>
      <c r="E171" s="87" t="s">
        <v>3017</v>
      </c>
      <c r="F171" s="88" t="s">
        <v>3045</v>
      </c>
      <c r="G171" s="87" t="s">
        <v>3019</v>
      </c>
      <c r="H171" s="88" t="s">
        <v>3046</v>
      </c>
      <c r="I171" s="87" t="s">
        <v>3021</v>
      </c>
      <c r="J171" s="89"/>
    </row>
    <row r="172" customFormat="false" ht="27.75" hidden="false" customHeight="true" outlineLevel="0" collapsed="false">
      <c r="B172" s="71" t="s">
        <v>3022</v>
      </c>
      <c r="C172" s="71" t="s">
        <v>3023</v>
      </c>
      <c r="D172" s="71" t="s">
        <v>3024</v>
      </c>
      <c r="E172" s="71" t="s">
        <v>3025</v>
      </c>
      <c r="F172" s="71" t="s">
        <v>3026</v>
      </c>
      <c r="G172" s="71" t="s">
        <v>3027</v>
      </c>
      <c r="H172" s="71" t="s">
        <v>3028</v>
      </c>
      <c r="I172" s="71" t="s">
        <v>3029</v>
      </c>
      <c r="J172" s="71" t="s">
        <v>3030</v>
      </c>
    </row>
    <row r="173" customFormat="false" ht="15" hidden="false" customHeight="false" outlineLevel="0" collapsed="false">
      <c r="B173" s="90" t="n">
        <v>115</v>
      </c>
      <c r="C173" s="91" t="n">
        <v>2094560</v>
      </c>
      <c r="D173" s="92" t="n">
        <f aca="false">IF($C173="","",IFERROR(IF(INDEX('REGISTRE TUBES'!$C$7:$C$2506,MATCH($C173,'REGISTRE TUBES'!$B$7:$B$2506,0))="","",INDEX('REGISTRE TUBES'!$C$7:$C$2506,MATCH($C173,'REGISTRE TUBES'!$B$7:$B$2506,0))),"?"))</f>
        <v>15421111</v>
      </c>
      <c r="E173" s="92" t="str">
        <f aca="false">IF($C173="","",IFERROR(IF(INDEX('REGISTRE TUBES'!$D$7:$D$2506,MATCH($C173,'REGISTRE TUBES'!$B$7:$B$2506,0))="","",INDEX('REGISTRE TUBES'!$D$7:$D$2506,MATCH($C173,'REGISTRE TUBES'!$B$7:$B$2506,0))),"?"))</f>
        <v/>
      </c>
      <c r="F173" s="93" t="n">
        <f aca="false">IF($C173="","",IFERROR(IF(INDEX('REGISTRE TUBES'!$F$7:$F$2506,MATCH($C173,'REGISTRE TUBES'!$B$7:$B$2506,0))="","",INDEX('REGISTRE TUBES'!$F$7:$F$2506,MATCH($C173,'REGISTRE TUBES'!$B$7:$B$2506,0))),"?"))</f>
        <v>11.94</v>
      </c>
      <c r="G173" s="94" t="n">
        <f aca="false">IF($C173="","",N(G163)+N(F173))</f>
        <v>1373.12</v>
      </c>
      <c r="H173" s="95" t="s">
        <v>1027</v>
      </c>
      <c r="I173" s="96"/>
      <c r="J173" s="97"/>
    </row>
    <row r="174" customFormat="false" ht="15" hidden="false" customHeight="false" outlineLevel="0" collapsed="false">
      <c r="B174" s="98" t="n">
        <v>116</v>
      </c>
      <c r="C174" s="99" t="n">
        <v>2084980</v>
      </c>
      <c r="D174" s="100" t="n">
        <f aca="false">IF($C174="","",IFERROR(IF(INDEX('REGISTRE TUBES'!$C$7:$C$2506,MATCH($C174,'REGISTRE TUBES'!$B$7:$B$2506,0))="","",INDEX('REGISTRE TUBES'!$C$7:$C$2506,MATCH($C174,'REGISTRE TUBES'!$B$7:$B$2506,0))),"?"))</f>
        <v>15421106</v>
      </c>
      <c r="E174" s="100" t="str">
        <f aca="false">IF($C174="","",IFERROR(IF(INDEX('REGISTRE TUBES'!$D$7:$D$2506,MATCH($C174,'REGISTRE TUBES'!$B$7:$B$2506,0))="","",INDEX('REGISTRE TUBES'!$D$7:$D$2506,MATCH($C174,'REGISTRE TUBES'!$B$7:$B$2506,0))),"?"))</f>
        <v/>
      </c>
      <c r="F174" s="101" t="n">
        <f aca="false">IF($C174="","",IFERROR(IF(INDEX('REGISTRE TUBES'!$F$7:$F$2506,MATCH($C174,'REGISTRE TUBES'!$B$7:$B$2506,0))="","",INDEX('REGISTRE TUBES'!$F$7:$F$2506,MATCH($C174,'REGISTRE TUBES'!$B$7:$B$2506,0))),"?"))</f>
        <v>11.94</v>
      </c>
      <c r="G174" s="102" t="n">
        <f aca="false">IF($C174="","",N(G173)+N(F174))</f>
        <v>1385.06</v>
      </c>
      <c r="H174" s="103" t="s">
        <v>1029</v>
      </c>
      <c r="I174" s="104"/>
      <c r="J174" s="105"/>
    </row>
    <row r="175" customFormat="false" ht="15" hidden="false" customHeight="false" outlineLevel="0" collapsed="false">
      <c r="B175" s="90" t="n">
        <v>117</v>
      </c>
      <c r="C175" s="91" t="n">
        <v>2086230</v>
      </c>
      <c r="D175" s="92" t="n">
        <f aca="false">IF($C175="","",IFERROR(IF(INDEX('REGISTRE TUBES'!$C$7:$C$2506,MATCH($C175,'REGISTRE TUBES'!$B$7:$B$2506,0))="","",INDEX('REGISTRE TUBES'!$C$7:$C$2506,MATCH($C175,'REGISTRE TUBES'!$B$7:$B$2506,0))),"?"))</f>
        <v>15421107</v>
      </c>
      <c r="E175" s="92" t="str">
        <f aca="false">IF($C175="","",IFERROR(IF(INDEX('REGISTRE TUBES'!$D$7:$D$2506,MATCH($C175,'REGISTRE TUBES'!$B$7:$B$2506,0))="","",INDEX('REGISTRE TUBES'!$D$7:$D$2506,MATCH($C175,'REGISTRE TUBES'!$B$7:$B$2506,0))),"?"))</f>
        <v/>
      </c>
      <c r="F175" s="93" t="n">
        <f aca="false">IF($C175="","",IFERROR(IF(INDEX('REGISTRE TUBES'!$F$7:$F$2506,MATCH($C175,'REGISTRE TUBES'!$B$7:$B$2506,0))="","",INDEX('REGISTRE TUBES'!$F$7:$F$2506,MATCH($C175,'REGISTRE TUBES'!$B$7:$B$2506,0))),"?"))</f>
        <v>11.94</v>
      </c>
      <c r="G175" s="94" t="n">
        <f aca="false">IF($C175="","",N(G174)+N(F175))</f>
        <v>1397</v>
      </c>
      <c r="H175" s="95" t="s">
        <v>1030</v>
      </c>
      <c r="I175" s="96"/>
      <c r="J175" s="97"/>
    </row>
    <row r="176" customFormat="false" ht="15" hidden="false" customHeight="false" outlineLevel="0" collapsed="false">
      <c r="B176" s="98" t="n">
        <v>118</v>
      </c>
      <c r="C176" s="99" t="n">
        <v>2078620</v>
      </c>
      <c r="D176" s="100" t="n">
        <f aca="false">IF($C176="","",IFERROR(IF(INDEX('REGISTRE TUBES'!$C$7:$C$2506,MATCH($C176,'REGISTRE TUBES'!$B$7:$B$2506,0))="","",INDEX('REGISTRE TUBES'!$C$7:$C$2506,MATCH($C176,'REGISTRE TUBES'!$B$7:$B$2506,0))),"?"))</f>
        <v>15421101</v>
      </c>
      <c r="E176" s="100" t="str">
        <f aca="false">IF($C176="","",IFERROR(IF(INDEX('REGISTRE TUBES'!$D$7:$D$2506,MATCH($C176,'REGISTRE TUBES'!$B$7:$B$2506,0))="","",INDEX('REGISTRE TUBES'!$D$7:$D$2506,MATCH($C176,'REGISTRE TUBES'!$B$7:$B$2506,0))),"?"))</f>
        <v/>
      </c>
      <c r="F176" s="101" t="n">
        <f aca="false">IF($C176="","",IFERROR(IF(INDEX('REGISTRE TUBES'!$F$7:$F$2506,MATCH($C176,'REGISTRE TUBES'!$B$7:$B$2506,0))="","",INDEX('REGISTRE TUBES'!$F$7:$F$2506,MATCH($C176,'REGISTRE TUBES'!$B$7:$B$2506,0))),"?"))</f>
        <v>11.94</v>
      </c>
      <c r="G176" s="102" t="n">
        <f aca="false">IF($C176="","",N(G175)+N(F176))</f>
        <v>1408.94</v>
      </c>
      <c r="H176" s="103" t="s">
        <v>1031</v>
      </c>
      <c r="I176" s="104"/>
      <c r="J176" s="105"/>
    </row>
    <row r="177" customFormat="false" ht="15" hidden="false" customHeight="false" outlineLevel="0" collapsed="false">
      <c r="B177" s="90" t="n">
        <v>119</v>
      </c>
      <c r="C177" s="91" t="n">
        <v>2085020</v>
      </c>
      <c r="D177" s="92" t="n">
        <f aca="false">IF($C177="","",IFERROR(IF(INDEX('REGISTRE TUBES'!$C$7:$C$2506,MATCH($C177,'REGISTRE TUBES'!$B$7:$B$2506,0))="","",INDEX('REGISTRE TUBES'!$C$7:$C$2506,MATCH($C177,'REGISTRE TUBES'!$B$7:$B$2506,0))),"?"))</f>
        <v>15421106</v>
      </c>
      <c r="E177" s="92" t="str">
        <f aca="false">IF($C177="","",IFERROR(IF(INDEX('REGISTRE TUBES'!$D$7:$D$2506,MATCH($C177,'REGISTRE TUBES'!$B$7:$B$2506,0))="","",INDEX('REGISTRE TUBES'!$D$7:$D$2506,MATCH($C177,'REGISTRE TUBES'!$B$7:$B$2506,0))),"?"))</f>
        <v/>
      </c>
      <c r="F177" s="93" t="n">
        <f aca="false">IF($C177="","",IFERROR(IF(INDEX('REGISTRE TUBES'!$F$7:$F$2506,MATCH($C177,'REGISTRE TUBES'!$B$7:$B$2506,0))="","",INDEX('REGISTRE TUBES'!$F$7:$F$2506,MATCH($C177,'REGISTRE TUBES'!$B$7:$B$2506,0))),"?"))</f>
        <v>11.94</v>
      </c>
      <c r="G177" s="94" t="n">
        <f aca="false">IF($C177="","",N(G176)+N(F177))</f>
        <v>1420.88</v>
      </c>
      <c r="H177" s="95" t="s">
        <v>1032</v>
      </c>
      <c r="I177" s="96"/>
      <c r="J177" s="97"/>
    </row>
    <row r="178" customFormat="false" ht="15" hidden="false" customHeight="false" outlineLevel="0" collapsed="false">
      <c r="B178" s="98" t="n">
        <v>120</v>
      </c>
      <c r="C178" s="99" t="n">
        <v>2054520</v>
      </c>
      <c r="D178" s="100" t="n">
        <f aca="false">IF($C178="","",IFERROR(IF(INDEX('REGISTRE TUBES'!$C$7:$C$2506,MATCH($C178,'REGISTRE TUBES'!$B$7:$B$2506,0))="","",INDEX('REGISTRE TUBES'!$C$7:$C$2506,MATCH($C178,'REGISTRE TUBES'!$B$7:$B$2506,0))),"?"))</f>
        <v>15421111</v>
      </c>
      <c r="E178" s="100" t="str">
        <f aca="false">IF($C178="","",IFERROR(IF(INDEX('REGISTRE TUBES'!$D$7:$D$2506,MATCH($C178,'REGISTRE TUBES'!$B$7:$B$2506,0))="","",INDEX('REGISTRE TUBES'!$D$7:$D$2506,MATCH($C178,'REGISTRE TUBES'!$B$7:$B$2506,0))),"?"))</f>
        <v/>
      </c>
      <c r="F178" s="101" t="n">
        <f aca="false">IF($C178="","",IFERROR(IF(INDEX('REGISTRE TUBES'!$F$7:$F$2506,MATCH($C178,'REGISTRE TUBES'!$B$7:$B$2506,0))="","",INDEX('REGISTRE TUBES'!$F$7:$F$2506,MATCH($C178,'REGISTRE TUBES'!$B$7:$B$2506,0))),"?"))</f>
        <v>11.94</v>
      </c>
      <c r="G178" s="102" t="n">
        <f aca="false">IF($C178="","",N(G177)+N(F178))</f>
        <v>1432.82</v>
      </c>
      <c r="H178" s="103" t="s">
        <v>1033</v>
      </c>
      <c r="I178" s="104"/>
      <c r="J178" s="105"/>
    </row>
    <row r="179" customFormat="false" ht="15" hidden="false" customHeight="false" outlineLevel="0" collapsed="false">
      <c r="B179" s="90" t="n">
        <v>121</v>
      </c>
      <c r="C179" s="91" t="n">
        <v>2086030</v>
      </c>
      <c r="D179" s="92" t="n">
        <f aca="false">IF($C179="","",IFERROR(IF(INDEX('REGISTRE TUBES'!$C$7:$C$2506,MATCH($C179,'REGISTRE TUBES'!$B$7:$B$2506,0))="","",INDEX('REGISTRE TUBES'!$C$7:$C$2506,MATCH($C179,'REGISTRE TUBES'!$B$7:$B$2506,0))),"?"))</f>
        <v>15421107</v>
      </c>
      <c r="E179" s="92" t="str">
        <f aca="false">IF($C179="","",IFERROR(IF(INDEX('REGISTRE TUBES'!$D$7:$D$2506,MATCH($C179,'REGISTRE TUBES'!$B$7:$B$2506,0))="","",INDEX('REGISTRE TUBES'!$D$7:$D$2506,MATCH($C179,'REGISTRE TUBES'!$B$7:$B$2506,0))),"?"))</f>
        <v/>
      </c>
      <c r="F179" s="93" t="n">
        <f aca="false">IF($C179="","",IFERROR(IF(INDEX('REGISTRE TUBES'!$F$7:$F$2506,MATCH($C179,'REGISTRE TUBES'!$B$7:$B$2506,0))="","",INDEX('REGISTRE TUBES'!$F$7:$F$2506,MATCH($C179,'REGISTRE TUBES'!$B$7:$B$2506,0))),"?"))</f>
        <v>11.95</v>
      </c>
      <c r="G179" s="94" t="n">
        <f aca="false">IF($C179="","",N(G178)+N(F179))</f>
        <v>1444.77</v>
      </c>
      <c r="H179" s="95" t="s">
        <v>1034</v>
      </c>
      <c r="I179" s="96"/>
      <c r="J179" s="97"/>
    </row>
    <row r="180" customFormat="false" ht="15" hidden="false" customHeight="false" outlineLevel="0" collapsed="false">
      <c r="B180" s="98" t="n">
        <v>122</v>
      </c>
      <c r="C180" s="99" t="n">
        <v>2083090</v>
      </c>
      <c r="D180" s="100" t="n">
        <f aca="false">IF($C180="","",IFERROR(IF(INDEX('REGISTRE TUBES'!$C$7:$C$2506,MATCH($C180,'REGISTRE TUBES'!$B$7:$B$2506,0))="","",INDEX('REGISTRE TUBES'!$C$7:$C$2506,MATCH($C180,'REGISTRE TUBES'!$B$7:$B$2506,0))),"?"))</f>
        <v>15421106</v>
      </c>
      <c r="E180" s="100" t="str">
        <f aca="false">IF($C180="","",IFERROR(IF(INDEX('REGISTRE TUBES'!$D$7:$D$2506,MATCH($C180,'REGISTRE TUBES'!$B$7:$B$2506,0))="","",INDEX('REGISTRE TUBES'!$D$7:$D$2506,MATCH($C180,'REGISTRE TUBES'!$B$7:$B$2506,0))),"?"))</f>
        <v/>
      </c>
      <c r="F180" s="101" t="n">
        <f aca="false">IF($C180="","",IFERROR(IF(INDEX('REGISTRE TUBES'!$F$7:$F$2506,MATCH($C180,'REGISTRE TUBES'!$B$7:$B$2506,0))="","",INDEX('REGISTRE TUBES'!$F$7:$F$2506,MATCH($C180,'REGISTRE TUBES'!$B$7:$B$2506,0))),"?"))</f>
        <v>11.94</v>
      </c>
      <c r="G180" s="102" t="n">
        <f aca="false">IF($C180="","",N(G179)+N(F180))</f>
        <v>1456.71</v>
      </c>
      <c r="H180" s="103" t="s">
        <v>1035</v>
      </c>
      <c r="I180" s="104"/>
      <c r="J180" s="105"/>
    </row>
    <row r="181" customFormat="false" ht="15" hidden="false" customHeight="false" outlineLevel="0" collapsed="false">
      <c r="B181" s="90" t="n">
        <v>123</v>
      </c>
      <c r="C181" s="91" t="n">
        <v>2078840</v>
      </c>
      <c r="D181" s="92" t="n">
        <f aca="false">IF($C181="","",IFERROR(IF(INDEX('REGISTRE TUBES'!$C$7:$C$2506,MATCH($C181,'REGISTRE TUBES'!$B$7:$B$2506,0))="","",INDEX('REGISTRE TUBES'!$C$7:$C$2506,MATCH($C181,'REGISTRE TUBES'!$B$7:$B$2506,0))),"?"))</f>
        <v>15421101</v>
      </c>
      <c r="E181" s="92" t="str">
        <f aca="false">IF($C181="","",IFERROR(IF(INDEX('REGISTRE TUBES'!$D$7:$D$2506,MATCH($C181,'REGISTRE TUBES'!$B$7:$B$2506,0))="","",INDEX('REGISTRE TUBES'!$D$7:$D$2506,MATCH($C181,'REGISTRE TUBES'!$B$7:$B$2506,0))),"?"))</f>
        <v/>
      </c>
      <c r="F181" s="93" t="n">
        <f aca="false">IF($C181="","",IFERROR(IF(INDEX('REGISTRE TUBES'!$F$7:$F$2506,MATCH($C181,'REGISTRE TUBES'!$B$7:$B$2506,0))="","",INDEX('REGISTRE TUBES'!$F$7:$F$2506,MATCH($C181,'REGISTRE TUBES'!$B$7:$B$2506,0))),"?"))</f>
        <v>11.94</v>
      </c>
      <c r="G181" s="94" t="n">
        <f aca="false">IF($C181="","",N(G180)+N(F181))</f>
        <v>1468.65</v>
      </c>
      <c r="H181" s="95" t="s">
        <v>1036</v>
      </c>
      <c r="I181" s="96"/>
      <c r="J181" s="97"/>
    </row>
    <row r="182" customFormat="false" ht="15" hidden="false" customHeight="false" outlineLevel="0" collapsed="false">
      <c r="B182" s="98" t="n">
        <v>124</v>
      </c>
      <c r="C182" s="99" t="n">
        <v>2092570</v>
      </c>
      <c r="D182" s="100" t="n">
        <f aca="false">IF($C182="","",IFERROR(IF(INDEX('REGISTRE TUBES'!$C$7:$C$2506,MATCH($C182,'REGISTRE TUBES'!$B$7:$B$2506,0))="","",INDEX('REGISTRE TUBES'!$C$7:$C$2506,MATCH($C182,'REGISTRE TUBES'!$B$7:$B$2506,0))),"?"))</f>
        <v>15421110</v>
      </c>
      <c r="E182" s="100" t="str">
        <f aca="false">IF($C182="","",IFERROR(IF(INDEX('REGISTRE TUBES'!$D$7:$D$2506,MATCH($C182,'REGISTRE TUBES'!$B$7:$B$2506,0))="","",INDEX('REGISTRE TUBES'!$D$7:$D$2506,MATCH($C182,'REGISTRE TUBES'!$B$7:$B$2506,0))),"?"))</f>
        <v/>
      </c>
      <c r="F182" s="101" t="n">
        <f aca="false">IF($C182="","",IFERROR(IF(INDEX('REGISTRE TUBES'!$F$7:$F$2506,MATCH($C182,'REGISTRE TUBES'!$B$7:$B$2506,0))="","",INDEX('REGISTRE TUBES'!$F$7:$F$2506,MATCH($C182,'REGISTRE TUBES'!$B$7:$B$2506,0))),"?"))</f>
        <v>11.94</v>
      </c>
      <c r="G182" s="102" t="n">
        <f aca="false">IF($C182="","",N(G181)+N(F182))</f>
        <v>1480.59</v>
      </c>
      <c r="H182" s="103" t="s">
        <v>1037</v>
      </c>
      <c r="I182" s="104"/>
      <c r="J182" s="105"/>
    </row>
    <row r="183" customFormat="false" ht="15" hidden="false" customHeight="false" outlineLevel="0" collapsed="false">
      <c r="B183" s="90" t="n">
        <v>125</v>
      </c>
      <c r="C183" s="91" t="n">
        <v>2086220</v>
      </c>
      <c r="D183" s="92" t="n">
        <f aca="false">IF($C183="","",IFERROR(IF(INDEX('REGISTRE TUBES'!$C$7:$C$2506,MATCH($C183,'REGISTRE TUBES'!$B$7:$B$2506,0))="","",INDEX('REGISTRE TUBES'!$C$7:$C$2506,MATCH($C183,'REGISTRE TUBES'!$B$7:$B$2506,0))),"?"))</f>
        <v>15421107</v>
      </c>
      <c r="E183" s="92" t="str">
        <f aca="false">IF($C183="","",IFERROR(IF(INDEX('REGISTRE TUBES'!$D$7:$D$2506,MATCH($C183,'REGISTRE TUBES'!$B$7:$B$2506,0))="","",INDEX('REGISTRE TUBES'!$D$7:$D$2506,MATCH($C183,'REGISTRE TUBES'!$B$7:$B$2506,0))),"?"))</f>
        <v/>
      </c>
      <c r="F183" s="93" t="n">
        <f aca="false">IF($C183="","",IFERROR(IF(INDEX('REGISTRE TUBES'!$F$7:$F$2506,MATCH($C183,'REGISTRE TUBES'!$B$7:$B$2506,0))="","",INDEX('REGISTRE TUBES'!$F$7:$F$2506,MATCH($C183,'REGISTRE TUBES'!$B$7:$B$2506,0))),"?"))</f>
        <v>11.94</v>
      </c>
      <c r="G183" s="94" t="n">
        <f aca="false">IF($C183="","",N(G182)+N(F183))</f>
        <v>1492.53</v>
      </c>
      <c r="H183" s="95" t="s">
        <v>1038</v>
      </c>
      <c r="I183" s="96"/>
      <c r="J183" s="97"/>
    </row>
    <row r="184" customFormat="false" ht="15" hidden="false" customHeight="false" outlineLevel="0" collapsed="false">
      <c r="B184" s="98" t="n">
        <v>126</v>
      </c>
      <c r="C184" s="99" t="n">
        <v>2092020</v>
      </c>
      <c r="D184" s="100" t="n">
        <f aca="false">IF($C184="","",IFERROR(IF(INDEX('REGISTRE TUBES'!$C$7:$C$2506,MATCH($C184,'REGISTRE TUBES'!$B$7:$B$2506,0))="","",INDEX('REGISTRE TUBES'!$C$7:$C$2506,MATCH($C184,'REGISTRE TUBES'!$B$7:$B$2506,0))),"?"))</f>
        <v>15421109</v>
      </c>
      <c r="E184" s="100" t="str">
        <f aca="false">IF($C184="","",IFERROR(IF(INDEX('REGISTRE TUBES'!$D$7:$D$2506,MATCH($C184,'REGISTRE TUBES'!$B$7:$B$2506,0))="","",INDEX('REGISTRE TUBES'!$D$7:$D$2506,MATCH($C184,'REGISTRE TUBES'!$B$7:$B$2506,0))),"?"))</f>
        <v/>
      </c>
      <c r="F184" s="101" t="n">
        <f aca="false">IF($C184="","",IFERROR(IF(INDEX('REGISTRE TUBES'!$F$7:$F$2506,MATCH($C184,'REGISTRE TUBES'!$B$7:$B$2506,0))="","",INDEX('REGISTRE TUBES'!$F$7:$F$2506,MATCH($C184,'REGISTRE TUBES'!$B$7:$B$2506,0))),"?"))</f>
        <v>11.94</v>
      </c>
      <c r="G184" s="102" t="n">
        <f aca="false">IF($C184="","",N(G183)+N(F184))</f>
        <v>1504.47</v>
      </c>
      <c r="H184" s="103" t="s">
        <v>1039</v>
      </c>
      <c r="I184" s="104"/>
      <c r="J184" s="105"/>
    </row>
    <row r="185" customFormat="false" ht="15" hidden="false" customHeight="false" outlineLevel="0" collapsed="false">
      <c r="B185" s="90" t="n">
        <v>127</v>
      </c>
      <c r="C185" s="91" t="n">
        <v>2086150</v>
      </c>
      <c r="D185" s="92" t="n">
        <f aca="false">IF($C185="","",IFERROR(IF(INDEX('REGISTRE TUBES'!$C$7:$C$2506,MATCH($C185,'REGISTRE TUBES'!$B$7:$B$2506,0))="","",INDEX('REGISTRE TUBES'!$C$7:$C$2506,MATCH($C185,'REGISTRE TUBES'!$B$7:$B$2506,0))),"?"))</f>
        <v>15421107</v>
      </c>
      <c r="E185" s="92" t="str">
        <f aca="false">IF($C185="","",IFERROR(IF(INDEX('REGISTRE TUBES'!$D$7:$D$2506,MATCH($C185,'REGISTRE TUBES'!$B$7:$B$2506,0))="","",INDEX('REGISTRE TUBES'!$D$7:$D$2506,MATCH($C185,'REGISTRE TUBES'!$B$7:$B$2506,0))),"?"))</f>
        <v/>
      </c>
      <c r="F185" s="93" t="n">
        <f aca="false">IF($C185="","",IFERROR(IF(INDEX('REGISTRE TUBES'!$F$7:$F$2506,MATCH($C185,'REGISTRE TUBES'!$B$7:$B$2506,0))="","",INDEX('REGISTRE TUBES'!$F$7:$F$2506,MATCH($C185,'REGISTRE TUBES'!$B$7:$B$2506,0))),"?"))</f>
        <v>11.94</v>
      </c>
      <c r="G185" s="94" t="n">
        <f aca="false">IF($C185="","",N(G184)+N(F185))</f>
        <v>1516.41</v>
      </c>
      <c r="H185" s="95" t="s">
        <v>1040</v>
      </c>
      <c r="I185" s="96"/>
      <c r="J185" s="97"/>
    </row>
    <row r="186" customFormat="false" ht="15" hidden="false" customHeight="false" outlineLevel="0" collapsed="false">
      <c r="B186" s="98" t="n">
        <v>128</v>
      </c>
      <c r="C186" s="99" t="n">
        <v>2092170</v>
      </c>
      <c r="D186" s="100" t="n">
        <f aca="false">IF($C186="","",IFERROR(IF(INDEX('REGISTRE TUBES'!$C$7:$C$2506,MATCH($C186,'REGISTRE TUBES'!$B$7:$B$2506,0))="","",INDEX('REGISTRE TUBES'!$C$7:$C$2506,MATCH($C186,'REGISTRE TUBES'!$B$7:$B$2506,0))),"?"))</f>
        <v>15421110</v>
      </c>
      <c r="E186" s="100" t="str">
        <f aca="false">IF($C186="","",IFERROR(IF(INDEX('REGISTRE TUBES'!$D$7:$D$2506,MATCH($C186,'REGISTRE TUBES'!$B$7:$B$2506,0))="","",INDEX('REGISTRE TUBES'!$D$7:$D$2506,MATCH($C186,'REGISTRE TUBES'!$B$7:$B$2506,0))),"?"))</f>
        <v/>
      </c>
      <c r="F186" s="101" t="n">
        <f aca="false">IF($C186="","",IFERROR(IF(INDEX('REGISTRE TUBES'!$F$7:$F$2506,MATCH($C186,'REGISTRE TUBES'!$B$7:$B$2506,0))="","",INDEX('REGISTRE TUBES'!$F$7:$F$2506,MATCH($C186,'REGISTRE TUBES'!$B$7:$B$2506,0))),"?"))</f>
        <v>11.94</v>
      </c>
      <c r="G186" s="102" t="n">
        <f aca="false">IF($C186="","",N(G185)+N(F186))</f>
        <v>1528.35</v>
      </c>
      <c r="H186" s="103" t="s">
        <v>1041</v>
      </c>
      <c r="I186" s="104"/>
      <c r="J186" s="105"/>
    </row>
    <row r="187" customFormat="false" ht="15" hidden="false" customHeight="false" outlineLevel="0" collapsed="false">
      <c r="B187" s="90" t="n">
        <v>129</v>
      </c>
      <c r="C187" s="91" t="n">
        <v>2092550</v>
      </c>
      <c r="D187" s="92" t="n">
        <f aca="false">IF($C187="","",IFERROR(IF(INDEX('REGISTRE TUBES'!$C$7:$C$2506,MATCH($C187,'REGISTRE TUBES'!$B$7:$B$2506,0))="","",INDEX('REGISTRE TUBES'!$C$7:$C$2506,MATCH($C187,'REGISTRE TUBES'!$B$7:$B$2506,0))),"?"))</f>
        <v>15421110</v>
      </c>
      <c r="E187" s="92" t="str">
        <f aca="false">IF($C187="","",IFERROR(IF(INDEX('REGISTRE TUBES'!$D$7:$D$2506,MATCH($C187,'REGISTRE TUBES'!$B$7:$B$2506,0))="","",INDEX('REGISTRE TUBES'!$D$7:$D$2506,MATCH($C187,'REGISTRE TUBES'!$B$7:$B$2506,0))),"?"))</f>
        <v/>
      </c>
      <c r="F187" s="93" t="n">
        <f aca="false">IF($C187="","",IFERROR(IF(INDEX('REGISTRE TUBES'!$F$7:$F$2506,MATCH($C187,'REGISTRE TUBES'!$B$7:$B$2506,0))="","",INDEX('REGISTRE TUBES'!$F$7:$F$2506,MATCH($C187,'REGISTRE TUBES'!$B$7:$B$2506,0))),"?"))</f>
        <v>11.94</v>
      </c>
      <c r="G187" s="94" t="n">
        <f aca="false">IF($C187="","",N(G186)+N(F187))</f>
        <v>1540.29</v>
      </c>
      <c r="H187" s="95" t="s">
        <v>1042</v>
      </c>
      <c r="I187" s="96"/>
      <c r="J187" s="97"/>
    </row>
    <row r="188" customFormat="false" ht="15" hidden="false" customHeight="false" outlineLevel="0" collapsed="false">
      <c r="B188" s="98" t="n">
        <v>130</v>
      </c>
      <c r="C188" s="99" t="n">
        <v>2090370</v>
      </c>
      <c r="D188" s="100" t="n">
        <f aca="false">IF($C188="","",IFERROR(IF(INDEX('REGISTRE TUBES'!$C$7:$C$2506,MATCH($C188,'REGISTRE TUBES'!$B$7:$B$2506,0))="","",INDEX('REGISTRE TUBES'!$C$7:$C$2506,MATCH($C188,'REGISTRE TUBES'!$B$7:$B$2506,0))),"?"))</f>
        <v>15421109</v>
      </c>
      <c r="E188" s="100" t="str">
        <f aca="false">IF($C188="","",IFERROR(IF(INDEX('REGISTRE TUBES'!$D$7:$D$2506,MATCH($C188,'REGISTRE TUBES'!$B$7:$B$2506,0))="","",INDEX('REGISTRE TUBES'!$D$7:$D$2506,MATCH($C188,'REGISTRE TUBES'!$B$7:$B$2506,0))),"?"))</f>
        <v/>
      </c>
      <c r="F188" s="101" t="n">
        <f aca="false">IF($C188="","",IFERROR(IF(INDEX('REGISTRE TUBES'!$F$7:$F$2506,MATCH($C188,'REGISTRE TUBES'!$B$7:$B$2506,0))="","",INDEX('REGISTRE TUBES'!$F$7:$F$2506,MATCH($C188,'REGISTRE TUBES'!$B$7:$B$2506,0))),"?"))</f>
        <v>11.94</v>
      </c>
      <c r="G188" s="102" t="n">
        <f aca="false">IF($C188="","",N(G187)+N(F188))</f>
        <v>1552.23</v>
      </c>
      <c r="H188" s="103" t="s">
        <v>1043</v>
      </c>
      <c r="I188" s="104"/>
      <c r="J188" s="105"/>
    </row>
    <row r="189" customFormat="false" ht="15" hidden="false" customHeight="false" outlineLevel="0" collapsed="false">
      <c r="B189" s="90" t="n">
        <v>131</v>
      </c>
      <c r="C189" s="91" t="n">
        <v>2085670</v>
      </c>
      <c r="D189" s="92" t="n">
        <f aca="false">IF($C189="","",IFERROR(IF(INDEX('REGISTRE TUBES'!$C$7:$C$2506,MATCH($C189,'REGISTRE TUBES'!$B$7:$B$2506,0))="","",INDEX('REGISTRE TUBES'!$C$7:$C$2506,MATCH($C189,'REGISTRE TUBES'!$B$7:$B$2506,0))),"?"))</f>
        <v>15421107</v>
      </c>
      <c r="E189" s="92" t="str">
        <f aca="false">IF($C189="","",IFERROR(IF(INDEX('REGISTRE TUBES'!$D$7:$D$2506,MATCH($C189,'REGISTRE TUBES'!$B$7:$B$2506,0))="","",INDEX('REGISTRE TUBES'!$D$7:$D$2506,MATCH($C189,'REGISTRE TUBES'!$B$7:$B$2506,0))),"?"))</f>
        <v/>
      </c>
      <c r="F189" s="93" t="n">
        <f aca="false">IF($C189="","",IFERROR(IF(INDEX('REGISTRE TUBES'!$F$7:$F$2506,MATCH($C189,'REGISTRE TUBES'!$B$7:$B$2506,0))="","",INDEX('REGISTRE TUBES'!$F$7:$F$2506,MATCH($C189,'REGISTRE TUBES'!$B$7:$B$2506,0))),"?"))</f>
        <v>11.94</v>
      </c>
      <c r="G189" s="94" t="n">
        <f aca="false">IF($C189="","",N(G188)+N(F189))</f>
        <v>1564.17</v>
      </c>
      <c r="H189" s="95" t="s">
        <v>1044</v>
      </c>
      <c r="I189" s="96"/>
      <c r="J189" s="97"/>
    </row>
    <row r="190" customFormat="false" ht="15" hidden="false" customHeight="false" outlineLevel="0" collapsed="false">
      <c r="B190" s="98" t="n">
        <v>132</v>
      </c>
      <c r="C190" s="99" t="n">
        <v>2091530</v>
      </c>
      <c r="D190" s="100" t="n">
        <f aca="false">IF($C190="","",IFERROR(IF(INDEX('REGISTRE TUBES'!$C$7:$C$2506,MATCH($C190,'REGISTRE TUBES'!$B$7:$B$2506,0))="","",INDEX('REGISTRE TUBES'!$C$7:$C$2506,MATCH($C190,'REGISTRE TUBES'!$B$7:$B$2506,0))),"?"))</f>
        <v>15421111</v>
      </c>
      <c r="E190" s="100" t="str">
        <f aca="false">IF($C190="","",IFERROR(IF(INDEX('REGISTRE TUBES'!$D$7:$D$2506,MATCH($C190,'REGISTRE TUBES'!$B$7:$B$2506,0))="","",INDEX('REGISTRE TUBES'!$D$7:$D$2506,MATCH($C190,'REGISTRE TUBES'!$B$7:$B$2506,0))),"?"))</f>
        <v/>
      </c>
      <c r="F190" s="101" t="n">
        <f aca="false">IF($C190="","",IFERROR(IF(INDEX('REGISTRE TUBES'!$F$7:$F$2506,MATCH($C190,'REGISTRE TUBES'!$B$7:$B$2506,0))="","",INDEX('REGISTRE TUBES'!$F$7:$F$2506,MATCH($C190,'REGISTRE TUBES'!$B$7:$B$2506,0))),"?"))</f>
        <v>11.94</v>
      </c>
      <c r="G190" s="102" t="n">
        <f aca="false">IF($C190="","",N(G189)+N(F190))</f>
        <v>1576.11</v>
      </c>
      <c r="H190" s="103" t="s">
        <v>1045</v>
      </c>
      <c r="I190" s="104"/>
      <c r="J190" s="105"/>
    </row>
    <row r="191" customFormat="false" ht="15" hidden="false" customHeight="false" outlineLevel="0" collapsed="false">
      <c r="B191" s="90" t="n">
        <v>133</v>
      </c>
      <c r="C191" s="91" t="n">
        <v>2087620</v>
      </c>
      <c r="D191" s="92" t="n">
        <f aca="false">IF($C191="","",IFERROR(IF(INDEX('REGISTRE TUBES'!$C$7:$C$2506,MATCH($C191,'REGISTRE TUBES'!$B$7:$B$2506,0))="","",INDEX('REGISTRE TUBES'!$C$7:$C$2506,MATCH($C191,'REGISTRE TUBES'!$B$7:$B$2506,0))),"?"))</f>
        <v>15421110</v>
      </c>
      <c r="E191" s="92" t="str">
        <f aca="false">IF($C191="","",IFERROR(IF(INDEX('REGISTRE TUBES'!$D$7:$D$2506,MATCH($C191,'REGISTRE TUBES'!$B$7:$B$2506,0))="","",INDEX('REGISTRE TUBES'!$D$7:$D$2506,MATCH($C191,'REGISTRE TUBES'!$B$7:$B$2506,0))),"?"))</f>
        <v/>
      </c>
      <c r="F191" s="93" t="n">
        <f aca="false">IF($C191="","",IFERROR(IF(INDEX('REGISTRE TUBES'!$F$7:$F$2506,MATCH($C191,'REGISTRE TUBES'!$B$7:$B$2506,0))="","",INDEX('REGISTRE TUBES'!$F$7:$F$2506,MATCH($C191,'REGISTRE TUBES'!$B$7:$B$2506,0))),"?"))</f>
        <v>11.94</v>
      </c>
      <c r="G191" s="94" t="n">
        <f aca="false">IF($C191="","",N(G190)+N(F191))</f>
        <v>1588.05</v>
      </c>
      <c r="H191" s="95" t="s">
        <v>1046</v>
      </c>
      <c r="I191" s="96"/>
      <c r="J191" s="97"/>
    </row>
    <row r="192" customFormat="false" ht="15" hidden="false" customHeight="true" outlineLevel="0" collapsed="false">
      <c r="B192" s="106" t="s">
        <v>3031</v>
      </c>
      <c r="C192" s="106"/>
      <c r="D192" s="106"/>
      <c r="E192" s="106"/>
      <c r="F192" s="107" t="n">
        <f aca="false">SUM(F173:F191)</f>
        <v>226.87</v>
      </c>
      <c r="G192" s="108" t="n">
        <f aca="false">IF(COUNT(G173:G191)=0,"",MAX(G173:G191))</f>
        <v>1588.05</v>
      </c>
      <c r="H192" s="106" t="str">
        <f aca="false">COUNTA(C173:C191)&amp;" tube(s)"</f>
        <v>19 tube(s)</v>
      </c>
      <c r="I192" s="106"/>
      <c r="J192" s="106"/>
    </row>
    <row r="194" customFormat="false" ht="15" hidden="false" customHeight="false" outlineLevel="0" collapsed="false">
      <c r="B194" s="109" t="s">
        <v>3032</v>
      </c>
      <c r="F194" s="109" t="s">
        <v>3033</v>
      </c>
      <c r="I194" s="109" t="s">
        <v>3034</v>
      </c>
    </row>
    <row r="197" customFormat="false" ht="25.5" hidden="false" customHeight="true" outlineLevel="0" collapsed="false">
      <c r="B197" s="85" t="s">
        <v>3015</v>
      </c>
      <c r="C197" s="85"/>
      <c r="D197" s="85"/>
      <c r="E197" s="85"/>
      <c r="F197" s="85"/>
      <c r="G197" s="85"/>
      <c r="H197" s="85"/>
      <c r="I197" s="85"/>
      <c r="J197" s="85"/>
    </row>
    <row r="198" customFormat="false" ht="15" hidden="false" customHeight="false" outlineLevel="0" collapsed="false">
      <c r="B198" s="86" t="str">
        <f aca="false">PARAMÈTRES!$C$4&amp;"   •   Affaire N° "&amp;PARAMÈTRES!$C$5</f>
        <v>Développement des champs gaziers TFT II — réseau de collecte TFT Sud (LIGNE-16)   •   Affaire N° 8546</v>
      </c>
      <c r="C198" s="86"/>
      <c r="D198" s="86"/>
      <c r="E198" s="86"/>
      <c r="F198" s="86"/>
      <c r="G198" s="86"/>
      <c r="H198" s="86"/>
      <c r="I198" s="86"/>
      <c r="J198" s="86"/>
    </row>
    <row r="199" customFormat="false" ht="19.5" hidden="false" customHeight="true" outlineLevel="0" collapsed="false">
      <c r="B199" s="87" t="s">
        <v>3016</v>
      </c>
      <c r="C199" s="88" t="s">
        <v>110</v>
      </c>
      <c r="D199" s="88"/>
      <c r="E199" s="87" t="s">
        <v>3017</v>
      </c>
      <c r="F199" s="88" t="s">
        <v>3047</v>
      </c>
      <c r="G199" s="87" t="s">
        <v>3019</v>
      </c>
      <c r="H199" s="88" t="s">
        <v>3048</v>
      </c>
      <c r="I199" s="87" t="s">
        <v>3021</v>
      </c>
      <c r="J199" s="89"/>
    </row>
    <row r="200" customFormat="false" ht="27.75" hidden="false" customHeight="true" outlineLevel="0" collapsed="false">
      <c r="B200" s="71" t="s">
        <v>3022</v>
      </c>
      <c r="C200" s="71" t="s">
        <v>3023</v>
      </c>
      <c r="D200" s="71" t="s">
        <v>3024</v>
      </c>
      <c r="E200" s="71" t="s">
        <v>3025</v>
      </c>
      <c r="F200" s="71" t="s">
        <v>3026</v>
      </c>
      <c r="G200" s="71" t="s">
        <v>3027</v>
      </c>
      <c r="H200" s="71" t="s">
        <v>3028</v>
      </c>
      <c r="I200" s="71" t="s">
        <v>3029</v>
      </c>
      <c r="J200" s="71" t="s">
        <v>3030</v>
      </c>
    </row>
    <row r="201" customFormat="false" ht="15" hidden="false" customHeight="false" outlineLevel="0" collapsed="false">
      <c r="B201" s="90" t="n">
        <v>134</v>
      </c>
      <c r="C201" s="91" t="n">
        <v>2095320</v>
      </c>
      <c r="D201" s="92" t="n">
        <f aca="false">IF($C201="","",IFERROR(IF(INDEX('REGISTRE TUBES'!$C$7:$C$2506,MATCH($C201,'REGISTRE TUBES'!$B$7:$B$2506,0))="","",INDEX('REGISTRE TUBES'!$C$7:$C$2506,MATCH($C201,'REGISTRE TUBES'!$B$7:$B$2506,0))),"?"))</f>
        <v>15421111</v>
      </c>
      <c r="E201" s="92" t="str">
        <f aca="false">IF($C201="","",IFERROR(IF(INDEX('REGISTRE TUBES'!$D$7:$D$2506,MATCH($C201,'REGISTRE TUBES'!$B$7:$B$2506,0))="","",INDEX('REGISTRE TUBES'!$D$7:$D$2506,MATCH($C201,'REGISTRE TUBES'!$B$7:$B$2506,0))),"?"))</f>
        <v/>
      </c>
      <c r="F201" s="93" t="n">
        <f aca="false">IF($C201="","",IFERROR(IF(INDEX('REGISTRE TUBES'!$F$7:$F$2506,MATCH($C201,'REGISTRE TUBES'!$B$7:$B$2506,0))="","",INDEX('REGISTRE TUBES'!$F$7:$F$2506,MATCH($C201,'REGISTRE TUBES'!$B$7:$B$2506,0))),"?"))</f>
        <v>11.94</v>
      </c>
      <c r="G201" s="94" t="n">
        <f aca="false">IF($C201="","",N(G191)+N(F201))</f>
        <v>1599.99</v>
      </c>
      <c r="H201" s="95" t="s">
        <v>1047</v>
      </c>
      <c r="I201" s="96"/>
      <c r="J201" s="97"/>
    </row>
    <row r="202" customFormat="false" ht="15" hidden="false" customHeight="false" outlineLevel="0" collapsed="false">
      <c r="B202" s="98" t="n">
        <v>135</v>
      </c>
      <c r="C202" s="99" t="n">
        <v>2086330</v>
      </c>
      <c r="D202" s="100" t="n">
        <f aca="false">IF($C202="","",IFERROR(IF(INDEX('REGISTRE TUBES'!$C$7:$C$2506,MATCH($C202,'REGISTRE TUBES'!$B$7:$B$2506,0))="","",INDEX('REGISTRE TUBES'!$C$7:$C$2506,MATCH($C202,'REGISTRE TUBES'!$B$7:$B$2506,0))),"?"))</f>
        <v>15421107</v>
      </c>
      <c r="E202" s="100" t="str">
        <f aca="false">IF($C202="","",IFERROR(IF(INDEX('REGISTRE TUBES'!$D$7:$D$2506,MATCH($C202,'REGISTRE TUBES'!$B$7:$B$2506,0))="","",INDEX('REGISTRE TUBES'!$D$7:$D$2506,MATCH($C202,'REGISTRE TUBES'!$B$7:$B$2506,0))),"?"))</f>
        <v/>
      </c>
      <c r="F202" s="101" t="n">
        <f aca="false">IF($C202="","",IFERROR(IF(INDEX('REGISTRE TUBES'!$F$7:$F$2506,MATCH($C202,'REGISTRE TUBES'!$B$7:$B$2506,0))="","",INDEX('REGISTRE TUBES'!$F$7:$F$2506,MATCH($C202,'REGISTRE TUBES'!$B$7:$B$2506,0))),"?"))</f>
        <v>11.94</v>
      </c>
      <c r="G202" s="102" t="n">
        <f aca="false">IF($C202="","",N(G201)+N(F202))</f>
        <v>1611.93</v>
      </c>
      <c r="H202" s="103" t="s">
        <v>1048</v>
      </c>
      <c r="I202" s="104"/>
      <c r="J202" s="105"/>
    </row>
    <row r="203" customFormat="false" ht="15" hidden="false" customHeight="false" outlineLevel="0" collapsed="false">
      <c r="B203" s="90" t="n">
        <v>136</v>
      </c>
      <c r="C203" s="91" t="n">
        <v>2082300</v>
      </c>
      <c r="D203" s="92" t="n">
        <f aca="false">IF($C203="","",IFERROR(IF(INDEX('REGISTRE TUBES'!$C$7:$C$2506,MATCH($C203,'REGISTRE TUBES'!$B$7:$B$2506,0))="","",INDEX('REGISTRE TUBES'!$C$7:$C$2506,MATCH($C203,'REGISTRE TUBES'!$B$7:$B$2506,0))),"?"))</f>
        <v>15421105</v>
      </c>
      <c r="E203" s="92" t="str">
        <f aca="false">IF($C203="","",IFERROR(IF(INDEX('REGISTRE TUBES'!$D$7:$D$2506,MATCH($C203,'REGISTRE TUBES'!$B$7:$B$2506,0))="","",INDEX('REGISTRE TUBES'!$D$7:$D$2506,MATCH($C203,'REGISTRE TUBES'!$B$7:$B$2506,0))),"?"))</f>
        <v/>
      </c>
      <c r="F203" s="93" t="n">
        <f aca="false">IF($C203="","",IFERROR(IF(INDEX('REGISTRE TUBES'!$F$7:$F$2506,MATCH($C203,'REGISTRE TUBES'!$B$7:$B$2506,0))="","",INDEX('REGISTRE TUBES'!$F$7:$F$2506,MATCH($C203,'REGISTRE TUBES'!$B$7:$B$2506,0))),"?"))</f>
        <v>11.94</v>
      </c>
      <c r="G203" s="94" t="n">
        <f aca="false">IF($C203="","",N(G202)+N(F203))</f>
        <v>1623.87000000001</v>
      </c>
      <c r="H203" s="95" t="s">
        <v>1049</v>
      </c>
      <c r="I203" s="96"/>
      <c r="J203" s="97"/>
    </row>
    <row r="204" customFormat="false" ht="15" hidden="false" customHeight="false" outlineLevel="0" collapsed="false">
      <c r="B204" s="98" t="n">
        <v>137</v>
      </c>
      <c r="C204" s="99" t="n">
        <v>2097970</v>
      </c>
      <c r="D204" s="100" t="n">
        <f aca="false">IF($C204="","",IFERROR(IF(INDEX('REGISTRE TUBES'!$C$7:$C$2506,MATCH($C204,'REGISTRE TUBES'!$B$7:$B$2506,0))="","",INDEX('REGISTRE TUBES'!$C$7:$C$2506,MATCH($C204,'REGISTRE TUBES'!$B$7:$B$2506,0))),"?"))</f>
        <v>15421112</v>
      </c>
      <c r="E204" s="100" t="str">
        <f aca="false">IF($C204="","",IFERROR(IF(INDEX('REGISTRE TUBES'!$D$7:$D$2506,MATCH($C204,'REGISTRE TUBES'!$B$7:$B$2506,0))="","",INDEX('REGISTRE TUBES'!$D$7:$D$2506,MATCH($C204,'REGISTRE TUBES'!$B$7:$B$2506,0))),"?"))</f>
        <v/>
      </c>
      <c r="F204" s="101" t="n">
        <f aca="false">IF($C204="","",IFERROR(IF(INDEX('REGISTRE TUBES'!$F$7:$F$2506,MATCH($C204,'REGISTRE TUBES'!$B$7:$B$2506,0))="","",INDEX('REGISTRE TUBES'!$F$7:$F$2506,MATCH($C204,'REGISTRE TUBES'!$B$7:$B$2506,0))),"?"))</f>
        <v>11.94</v>
      </c>
      <c r="G204" s="102" t="n">
        <f aca="false">IF($C204="","",N(G203)+N(F204))</f>
        <v>1635.81000000001</v>
      </c>
      <c r="H204" s="103" t="s">
        <v>1050</v>
      </c>
      <c r="I204" s="104"/>
      <c r="J204" s="105"/>
    </row>
    <row r="205" customFormat="false" ht="15" hidden="false" customHeight="false" outlineLevel="0" collapsed="false">
      <c r="B205" s="90" t="n">
        <v>138</v>
      </c>
      <c r="C205" s="91" t="n">
        <v>2085950</v>
      </c>
      <c r="D205" s="92" t="n">
        <f aca="false">IF($C205="","",IFERROR(IF(INDEX('REGISTRE TUBES'!$C$7:$C$2506,MATCH($C205,'REGISTRE TUBES'!$B$7:$B$2506,0))="","",INDEX('REGISTRE TUBES'!$C$7:$C$2506,MATCH($C205,'REGISTRE TUBES'!$B$7:$B$2506,0))),"?"))</f>
        <v>15421107</v>
      </c>
      <c r="E205" s="92" t="str">
        <f aca="false">IF($C205="","",IFERROR(IF(INDEX('REGISTRE TUBES'!$D$7:$D$2506,MATCH($C205,'REGISTRE TUBES'!$B$7:$B$2506,0))="","",INDEX('REGISTRE TUBES'!$D$7:$D$2506,MATCH($C205,'REGISTRE TUBES'!$B$7:$B$2506,0))),"?"))</f>
        <v/>
      </c>
      <c r="F205" s="93" t="n">
        <f aca="false">IF($C205="","",IFERROR(IF(INDEX('REGISTRE TUBES'!$F$7:$F$2506,MATCH($C205,'REGISTRE TUBES'!$B$7:$B$2506,0))="","",INDEX('REGISTRE TUBES'!$F$7:$F$2506,MATCH($C205,'REGISTRE TUBES'!$B$7:$B$2506,0))),"?"))</f>
        <v>11.94</v>
      </c>
      <c r="G205" s="94" t="n">
        <f aca="false">IF($C205="","",N(G204)+N(F205))</f>
        <v>1647.75000000001</v>
      </c>
      <c r="H205" s="95" t="s">
        <v>1051</v>
      </c>
      <c r="I205" s="96"/>
      <c r="J205" s="97"/>
    </row>
    <row r="206" customFormat="false" ht="15" hidden="false" customHeight="false" outlineLevel="0" collapsed="false">
      <c r="B206" s="98" t="n">
        <v>139</v>
      </c>
      <c r="C206" s="99" t="n">
        <v>2085330</v>
      </c>
      <c r="D206" s="100" t="n">
        <f aca="false">IF($C206="","",IFERROR(IF(INDEX('REGISTRE TUBES'!$C$7:$C$2506,MATCH($C206,'REGISTRE TUBES'!$B$7:$B$2506,0))="","",INDEX('REGISTRE TUBES'!$C$7:$C$2506,MATCH($C206,'REGISTRE TUBES'!$B$7:$B$2506,0))),"?"))</f>
        <v>15421106</v>
      </c>
      <c r="E206" s="100" t="str">
        <f aca="false">IF($C206="","",IFERROR(IF(INDEX('REGISTRE TUBES'!$D$7:$D$2506,MATCH($C206,'REGISTRE TUBES'!$B$7:$B$2506,0))="","",INDEX('REGISTRE TUBES'!$D$7:$D$2506,MATCH($C206,'REGISTRE TUBES'!$B$7:$B$2506,0))),"?"))</f>
        <v/>
      </c>
      <c r="F206" s="101" t="n">
        <f aca="false">IF($C206="","",IFERROR(IF(INDEX('REGISTRE TUBES'!$F$7:$F$2506,MATCH($C206,'REGISTRE TUBES'!$B$7:$B$2506,0))="","",INDEX('REGISTRE TUBES'!$F$7:$F$2506,MATCH($C206,'REGISTRE TUBES'!$B$7:$B$2506,0))),"?"))</f>
        <v>11.94</v>
      </c>
      <c r="G206" s="102" t="n">
        <f aca="false">IF($C206="","",N(G205)+N(F206))</f>
        <v>1659.69000000001</v>
      </c>
      <c r="H206" s="103" t="s">
        <v>1052</v>
      </c>
      <c r="I206" s="104"/>
      <c r="J206" s="105"/>
    </row>
    <row r="207" customFormat="false" ht="15" hidden="false" customHeight="false" outlineLevel="0" collapsed="false">
      <c r="B207" s="90" t="n">
        <v>140</v>
      </c>
      <c r="C207" s="91" t="n">
        <v>2090030</v>
      </c>
      <c r="D207" s="92" t="n">
        <f aca="false">IF($C207="","",IFERROR(IF(INDEX('REGISTRE TUBES'!$C$7:$C$2506,MATCH($C207,'REGISTRE TUBES'!$B$7:$B$2506,0))="","",INDEX('REGISTRE TUBES'!$C$7:$C$2506,MATCH($C207,'REGISTRE TUBES'!$B$7:$B$2506,0))),"?"))</f>
        <v>15421109</v>
      </c>
      <c r="E207" s="92" t="str">
        <f aca="false">IF($C207="","",IFERROR(IF(INDEX('REGISTRE TUBES'!$D$7:$D$2506,MATCH($C207,'REGISTRE TUBES'!$B$7:$B$2506,0))="","",INDEX('REGISTRE TUBES'!$D$7:$D$2506,MATCH($C207,'REGISTRE TUBES'!$B$7:$B$2506,0))),"?"))</f>
        <v/>
      </c>
      <c r="F207" s="93" t="n">
        <f aca="false">IF($C207="","",IFERROR(IF(INDEX('REGISTRE TUBES'!$F$7:$F$2506,MATCH($C207,'REGISTRE TUBES'!$B$7:$B$2506,0))="","",INDEX('REGISTRE TUBES'!$F$7:$F$2506,MATCH($C207,'REGISTRE TUBES'!$B$7:$B$2506,0))),"?"))</f>
        <v>11.94</v>
      </c>
      <c r="G207" s="94" t="n">
        <f aca="false">IF($C207="","",N(G206)+N(F207))</f>
        <v>1671.63000000001</v>
      </c>
      <c r="H207" s="95"/>
      <c r="I207" s="96"/>
      <c r="J207" s="97"/>
    </row>
    <row r="208" customFormat="false" ht="15" hidden="false" customHeight="false" outlineLevel="0" collapsed="false">
      <c r="B208" s="98" t="n">
        <v>141</v>
      </c>
      <c r="C208" s="99" t="n">
        <v>2085260</v>
      </c>
      <c r="D208" s="100" t="n">
        <f aca="false">IF($C208="","",IFERROR(IF(INDEX('REGISTRE TUBES'!$C$7:$C$2506,MATCH($C208,'REGISTRE TUBES'!$B$7:$B$2506,0))="","",INDEX('REGISTRE TUBES'!$C$7:$C$2506,MATCH($C208,'REGISTRE TUBES'!$B$7:$B$2506,0))),"?"))</f>
        <v>15421106</v>
      </c>
      <c r="E208" s="100" t="str">
        <f aca="false">IF($C208="","",IFERROR(IF(INDEX('REGISTRE TUBES'!$D$7:$D$2506,MATCH($C208,'REGISTRE TUBES'!$B$7:$B$2506,0))="","",INDEX('REGISTRE TUBES'!$D$7:$D$2506,MATCH($C208,'REGISTRE TUBES'!$B$7:$B$2506,0))),"?"))</f>
        <v/>
      </c>
      <c r="F208" s="101" t="n">
        <f aca="false">IF($C208="","",IFERROR(IF(INDEX('REGISTRE TUBES'!$F$7:$F$2506,MATCH($C208,'REGISTRE TUBES'!$B$7:$B$2506,0))="","",INDEX('REGISTRE TUBES'!$F$7:$F$2506,MATCH($C208,'REGISTRE TUBES'!$B$7:$B$2506,0))),"?"))</f>
        <v>11.94</v>
      </c>
      <c r="G208" s="102" t="n">
        <f aca="false">IF($C208="","",N(G207)+N(F208))</f>
        <v>1683.57000000001</v>
      </c>
      <c r="H208" s="103" t="s">
        <v>1055</v>
      </c>
      <c r="I208" s="104"/>
      <c r="J208" s="105"/>
    </row>
    <row r="209" customFormat="false" ht="15" hidden="false" customHeight="false" outlineLevel="0" collapsed="false">
      <c r="B209" s="90" t="n">
        <v>142</v>
      </c>
      <c r="C209" s="91" t="n">
        <v>2095810</v>
      </c>
      <c r="D209" s="92" t="n">
        <f aca="false">IF($C209="","",IFERROR(IF(INDEX('REGISTRE TUBES'!$C$7:$C$2506,MATCH($C209,'REGISTRE TUBES'!$B$7:$B$2506,0))="","",INDEX('REGISTRE TUBES'!$C$7:$C$2506,MATCH($C209,'REGISTRE TUBES'!$B$7:$B$2506,0))),"?"))</f>
        <v>15421111</v>
      </c>
      <c r="E209" s="92" t="str">
        <f aca="false">IF($C209="","",IFERROR(IF(INDEX('REGISTRE TUBES'!$D$7:$D$2506,MATCH($C209,'REGISTRE TUBES'!$B$7:$B$2506,0))="","",INDEX('REGISTRE TUBES'!$D$7:$D$2506,MATCH($C209,'REGISTRE TUBES'!$B$7:$B$2506,0))),"?"))</f>
        <v/>
      </c>
      <c r="F209" s="93" t="n">
        <f aca="false">IF($C209="","",IFERROR(IF(INDEX('REGISTRE TUBES'!$F$7:$F$2506,MATCH($C209,'REGISTRE TUBES'!$B$7:$B$2506,0))="","",INDEX('REGISTRE TUBES'!$F$7:$F$2506,MATCH($C209,'REGISTRE TUBES'!$B$7:$B$2506,0))),"?"))</f>
        <v>11.94</v>
      </c>
      <c r="G209" s="94" t="n">
        <f aca="false">IF($C209="","",N(G208)+N(F209))</f>
        <v>1695.51000000001</v>
      </c>
      <c r="H209" s="95" t="s">
        <v>1056</v>
      </c>
      <c r="I209" s="96"/>
      <c r="J209" s="97"/>
    </row>
    <row r="210" customFormat="false" ht="15" hidden="false" customHeight="false" outlineLevel="0" collapsed="false">
      <c r="B210" s="98" t="n">
        <v>143</v>
      </c>
      <c r="C210" s="99" t="n">
        <v>2083220</v>
      </c>
      <c r="D210" s="100" t="n">
        <f aca="false">IF($C210="","",IFERROR(IF(INDEX('REGISTRE TUBES'!$C$7:$C$2506,MATCH($C210,'REGISTRE TUBES'!$B$7:$B$2506,0))="","",INDEX('REGISTRE TUBES'!$C$7:$C$2506,MATCH($C210,'REGISTRE TUBES'!$B$7:$B$2506,0))),"?"))</f>
        <v>15421105</v>
      </c>
      <c r="E210" s="100" t="str">
        <f aca="false">IF($C210="","",IFERROR(IF(INDEX('REGISTRE TUBES'!$D$7:$D$2506,MATCH($C210,'REGISTRE TUBES'!$B$7:$B$2506,0))="","",INDEX('REGISTRE TUBES'!$D$7:$D$2506,MATCH($C210,'REGISTRE TUBES'!$B$7:$B$2506,0))),"?"))</f>
        <v/>
      </c>
      <c r="F210" s="101" t="n">
        <f aca="false">IF($C210="","",IFERROR(IF(INDEX('REGISTRE TUBES'!$F$7:$F$2506,MATCH($C210,'REGISTRE TUBES'!$B$7:$B$2506,0))="","",INDEX('REGISTRE TUBES'!$F$7:$F$2506,MATCH($C210,'REGISTRE TUBES'!$B$7:$B$2506,0))),"?"))</f>
        <v>11.94</v>
      </c>
      <c r="G210" s="102" t="n">
        <f aca="false">IF($C210="","",N(G209)+N(F210))</f>
        <v>1707.45000000001</v>
      </c>
      <c r="H210" s="103" t="s">
        <v>1058</v>
      </c>
      <c r="I210" s="104"/>
      <c r="J210" s="105"/>
    </row>
    <row r="211" customFormat="false" ht="15" hidden="false" customHeight="false" outlineLevel="0" collapsed="false">
      <c r="B211" s="90" t="n">
        <v>144</v>
      </c>
      <c r="C211" s="91" t="n">
        <v>2087520</v>
      </c>
      <c r="D211" s="92" t="n">
        <f aca="false">IF($C211="","",IFERROR(IF(INDEX('REGISTRE TUBES'!$C$7:$C$2506,MATCH($C211,'REGISTRE TUBES'!$B$7:$B$2506,0))="","",INDEX('REGISTRE TUBES'!$C$7:$C$2506,MATCH($C211,'REGISTRE TUBES'!$B$7:$B$2506,0))),"?"))</f>
        <v>15421107</v>
      </c>
      <c r="E211" s="92" t="str">
        <f aca="false">IF($C211="","",IFERROR(IF(INDEX('REGISTRE TUBES'!$D$7:$D$2506,MATCH($C211,'REGISTRE TUBES'!$B$7:$B$2506,0))="","",INDEX('REGISTRE TUBES'!$D$7:$D$2506,MATCH($C211,'REGISTRE TUBES'!$B$7:$B$2506,0))),"?"))</f>
        <v/>
      </c>
      <c r="F211" s="93" t="n">
        <f aca="false">IF($C211="","",IFERROR(IF(INDEX('REGISTRE TUBES'!$F$7:$F$2506,MATCH($C211,'REGISTRE TUBES'!$B$7:$B$2506,0))="","",INDEX('REGISTRE TUBES'!$F$7:$F$2506,MATCH($C211,'REGISTRE TUBES'!$B$7:$B$2506,0))),"?"))</f>
        <v>11.94</v>
      </c>
      <c r="G211" s="94" t="n">
        <f aca="false">IF($C211="","",N(G210)+N(F211))</f>
        <v>1719.39000000001</v>
      </c>
      <c r="H211" s="95" t="s">
        <v>1059</v>
      </c>
      <c r="I211" s="96"/>
      <c r="J211" s="97"/>
    </row>
    <row r="212" customFormat="false" ht="15" hidden="false" customHeight="false" outlineLevel="0" collapsed="false">
      <c r="B212" s="98" t="n">
        <v>145</v>
      </c>
      <c r="C212" s="99" t="n">
        <v>2096940</v>
      </c>
      <c r="D212" s="100" t="n">
        <f aca="false">IF($C212="","",IFERROR(IF(INDEX('REGISTRE TUBES'!$C$7:$C$2506,MATCH($C212,'REGISTRE TUBES'!$B$7:$B$2506,0))="","",INDEX('REGISTRE TUBES'!$C$7:$C$2506,MATCH($C212,'REGISTRE TUBES'!$B$7:$B$2506,0))),"?"))</f>
        <v>15421111</v>
      </c>
      <c r="E212" s="100" t="str">
        <f aca="false">IF($C212="","",IFERROR(IF(INDEX('REGISTRE TUBES'!$D$7:$D$2506,MATCH($C212,'REGISTRE TUBES'!$B$7:$B$2506,0))="","",INDEX('REGISTRE TUBES'!$D$7:$D$2506,MATCH($C212,'REGISTRE TUBES'!$B$7:$B$2506,0))),"?"))</f>
        <v/>
      </c>
      <c r="F212" s="101" t="n">
        <f aca="false">IF($C212="","",IFERROR(IF(INDEX('REGISTRE TUBES'!$F$7:$F$2506,MATCH($C212,'REGISTRE TUBES'!$B$7:$B$2506,0))="","",INDEX('REGISTRE TUBES'!$F$7:$F$2506,MATCH($C212,'REGISTRE TUBES'!$B$7:$B$2506,0))),"?"))</f>
        <v>11.94</v>
      </c>
      <c r="G212" s="102" t="n">
        <f aca="false">IF($C212="","",N(G211)+N(F212))</f>
        <v>1731.33000000001</v>
      </c>
      <c r="H212" s="103" t="s">
        <v>1060</v>
      </c>
      <c r="I212" s="104"/>
      <c r="J212" s="105"/>
    </row>
    <row r="213" customFormat="false" ht="15" hidden="false" customHeight="false" outlineLevel="0" collapsed="false">
      <c r="B213" s="90" t="n">
        <v>146</v>
      </c>
      <c r="C213" s="91" t="n">
        <v>2084770</v>
      </c>
      <c r="D213" s="92" t="n">
        <f aca="false">IF($C213="","",IFERROR(IF(INDEX('REGISTRE TUBES'!$C$7:$C$2506,MATCH($C213,'REGISTRE TUBES'!$B$7:$B$2506,0))="","",INDEX('REGISTRE TUBES'!$C$7:$C$2506,MATCH($C213,'REGISTRE TUBES'!$B$7:$B$2506,0))),"?"))</f>
        <v>15421106</v>
      </c>
      <c r="E213" s="92" t="str">
        <f aca="false">IF($C213="","",IFERROR(IF(INDEX('REGISTRE TUBES'!$D$7:$D$2506,MATCH($C213,'REGISTRE TUBES'!$B$7:$B$2506,0))="","",INDEX('REGISTRE TUBES'!$D$7:$D$2506,MATCH($C213,'REGISTRE TUBES'!$B$7:$B$2506,0))),"?"))</f>
        <v/>
      </c>
      <c r="F213" s="93" t="n">
        <f aca="false">IF($C213="","",IFERROR(IF(INDEX('REGISTRE TUBES'!$F$7:$F$2506,MATCH($C213,'REGISTRE TUBES'!$B$7:$B$2506,0))="","",INDEX('REGISTRE TUBES'!$F$7:$F$2506,MATCH($C213,'REGISTRE TUBES'!$B$7:$B$2506,0))),"?"))</f>
        <v>11.94</v>
      </c>
      <c r="G213" s="94" t="n">
        <f aca="false">IF($C213="","",N(G212)+N(F213))</f>
        <v>1743.27000000001</v>
      </c>
      <c r="H213" s="95" t="s">
        <v>1061</v>
      </c>
      <c r="I213" s="96"/>
      <c r="J213" s="97"/>
    </row>
    <row r="214" customFormat="false" ht="15" hidden="false" customHeight="false" outlineLevel="0" collapsed="false">
      <c r="B214" s="98" t="n">
        <v>147</v>
      </c>
      <c r="C214" s="99" t="n">
        <v>2084780</v>
      </c>
      <c r="D214" s="100" t="n">
        <f aca="false">IF($C214="","",IFERROR(IF(INDEX('REGISTRE TUBES'!$C$7:$C$2506,MATCH($C214,'REGISTRE TUBES'!$B$7:$B$2506,0))="","",INDEX('REGISTRE TUBES'!$C$7:$C$2506,MATCH($C214,'REGISTRE TUBES'!$B$7:$B$2506,0))),"?"))</f>
        <v>15421106</v>
      </c>
      <c r="E214" s="100" t="str">
        <f aca="false">IF($C214="","",IFERROR(IF(INDEX('REGISTRE TUBES'!$D$7:$D$2506,MATCH($C214,'REGISTRE TUBES'!$B$7:$B$2506,0))="","",INDEX('REGISTRE TUBES'!$D$7:$D$2506,MATCH($C214,'REGISTRE TUBES'!$B$7:$B$2506,0))),"?"))</f>
        <v/>
      </c>
      <c r="F214" s="101" t="n">
        <f aca="false">IF($C214="","",IFERROR(IF(INDEX('REGISTRE TUBES'!$F$7:$F$2506,MATCH($C214,'REGISTRE TUBES'!$B$7:$B$2506,0))="","",INDEX('REGISTRE TUBES'!$F$7:$F$2506,MATCH($C214,'REGISTRE TUBES'!$B$7:$B$2506,0))),"?"))</f>
        <v>11.94</v>
      </c>
      <c r="G214" s="102" t="n">
        <f aca="false">IF($C214="","",N(G213)+N(F214))</f>
        <v>1755.21000000001</v>
      </c>
      <c r="H214" s="103" t="s">
        <v>1064</v>
      </c>
      <c r="I214" s="104"/>
      <c r="J214" s="105"/>
    </row>
    <row r="215" customFormat="false" ht="15" hidden="false" customHeight="false" outlineLevel="0" collapsed="false">
      <c r="B215" s="90" t="n">
        <v>148</v>
      </c>
      <c r="C215" s="91" t="n">
        <v>2085760</v>
      </c>
      <c r="D215" s="92" t="n">
        <f aca="false">IF($C215="","",IFERROR(IF(INDEX('REGISTRE TUBES'!$C$7:$C$2506,MATCH($C215,'REGISTRE TUBES'!$B$7:$B$2506,0))="","",INDEX('REGISTRE TUBES'!$C$7:$C$2506,MATCH($C215,'REGISTRE TUBES'!$B$7:$B$2506,0))),"?"))</f>
        <v>15421107</v>
      </c>
      <c r="E215" s="92" t="str">
        <f aca="false">IF($C215="","",IFERROR(IF(INDEX('REGISTRE TUBES'!$D$7:$D$2506,MATCH($C215,'REGISTRE TUBES'!$B$7:$B$2506,0))="","",INDEX('REGISTRE TUBES'!$D$7:$D$2506,MATCH($C215,'REGISTRE TUBES'!$B$7:$B$2506,0))),"?"))</f>
        <v/>
      </c>
      <c r="F215" s="93" t="n">
        <f aca="false">IF($C215="","",IFERROR(IF(INDEX('REGISTRE TUBES'!$F$7:$F$2506,MATCH($C215,'REGISTRE TUBES'!$B$7:$B$2506,0))="","",INDEX('REGISTRE TUBES'!$F$7:$F$2506,MATCH($C215,'REGISTRE TUBES'!$B$7:$B$2506,0))),"?"))</f>
        <v>11.94</v>
      </c>
      <c r="G215" s="94" t="n">
        <f aca="false">IF($C215="","",N(G214)+N(F215))</f>
        <v>1767.15000000001</v>
      </c>
      <c r="H215" s="95" t="s">
        <v>1065</v>
      </c>
      <c r="I215" s="96"/>
      <c r="J215" s="97"/>
    </row>
    <row r="216" customFormat="false" ht="15" hidden="false" customHeight="false" outlineLevel="0" collapsed="false">
      <c r="B216" s="98" t="n">
        <v>149</v>
      </c>
      <c r="C216" s="99" t="n">
        <v>2085740</v>
      </c>
      <c r="D216" s="100" t="n">
        <f aca="false">IF($C216="","",IFERROR(IF(INDEX('REGISTRE TUBES'!$C$7:$C$2506,MATCH($C216,'REGISTRE TUBES'!$B$7:$B$2506,0))="","",INDEX('REGISTRE TUBES'!$C$7:$C$2506,MATCH($C216,'REGISTRE TUBES'!$B$7:$B$2506,0))),"?"))</f>
        <v>15421107</v>
      </c>
      <c r="E216" s="100" t="str">
        <f aca="false">IF($C216="","",IFERROR(IF(INDEX('REGISTRE TUBES'!$D$7:$D$2506,MATCH($C216,'REGISTRE TUBES'!$B$7:$B$2506,0))="","",INDEX('REGISTRE TUBES'!$D$7:$D$2506,MATCH($C216,'REGISTRE TUBES'!$B$7:$B$2506,0))),"?"))</f>
        <v/>
      </c>
      <c r="F216" s="101" t="n">
        <f aca="false">IF($C216="","",IFERROR(IF(INDEX('REGISTRE TUBES'!$F$7:$F$2506,MATCH($C216,'REGISTRE TUBES'!$B$7:$B$2506,0))="","",INDEX('REGISTRE TUBES'!$F$7:$F$2506,MATCH($C216,'REGISTRE TUBES'!$B$7:$B$2506,0))),"?"))</f>
        <v>11.94</v>
      </c>
      <c r="G216" s="102" t="n">
        <f aca="false">IF($C216="","",N(G215)+N(F216))</f>
        <v>1779.09000000001</v>
      </c>
      <c r="H216" s="103" t="s">
        <v>1066</v>
      </c>
      <c r="I216" s="104"/>
      <c r="J216" s="105"/>
    </row>
    <row r="217" customFormat="false" ht="15" hidden="false" customHeight="false" outlineLevel="0" collapsed="false">
      <c r="B217" s="90" t="n">
        <v>150</v>
      </c>
      <c r="C217" s="91" t="n">
        <v>2083780</v>
      </c>
      <c r="D217" s="92" t="n">
        <f aca="false">IF($C217="","",IFERROR(IF(INDEX('REGISTRE TUBES'!$C$7:$C$2506,MATCH($C217,'REGISTRE TUBES'!$B$7:$B$2506,0))="","",INDEX('REGISTRE TUBES'!$C$7:$C$2506,MATCH($C217,'REGISTRE TUBES'!$B$7:$B$2506,0))),"?"))</f>
        <v>15421105</v>
      </c>
      <c r="E217" s="92" t="str">
        <f aca="false">IF($C217="","",IFERROR(IF(INDEX('REGISTRE TUBES'!$D$7:$D$2506,MATCH($C217,'REGISTRE TUBES'!$B$7:$B$2506,0))="","",INDEX('REGISTRE TUBES'!$D$7:$D$2506,MATCH($C217,'REGISTRE TUBES'!$B$7:$B$2506,0))),"?"))</f>
        <v/>
      </c>
      <c r="F217" s="93" t="n">
        <f aca="false">IF($C217="","",IFERROR(IF(INDEX('REGISTRE TUBES'!$F$7:$F$2506,MATCH($C217,'REGISTRE TUBES'!$B$7:$B$2506,0))="","",INDEX('REGISTRE TUBES'!$F$7:$F$2506,MATCH($C217,'REGISTRE TUBES'!$B$7:$B$2506,0))),"?"))</f>
        <v>11.94</v>
      </c>
      <c r="G217" s="94" t="n">
        <f aca="false">IF($C217="","",N(G216)+N(F217))</f>
        <v>1791.03000000001</v>
      </c>
      <c r="H217" s="95" t="s">
        <v>1067</v>
      </c>
      <c r="I217" s="96"/>
      <c r="J217" s="97"/>
    </row>
    <row r="218" customFormat="false" ht="15" hidden="false" customHeight="false" outlineLevel="0" collapsed="false">
      <c r="B218" s="98" t="n">
        <v>151</v>
      </c>
      <c r="C218" s="99" t="n">
        <v>2095180</v>
      </c>
      <c r="D218" s="100" t="n">
        <f aca="false">IF($C218="","",IFERROR(IF(INDEX('REGISTRE TUBES'!$C$7:$C$2506,MATCH($C218,'REGISTRE TUBES'!$B$7:$B$2506,0))="","",INDEX('REGISTRE TUBES'!$C$7:$C$2506,MATCH($C218,'REGISTRE TUBES'!$B$7:$B$2506,0))),"?"))</f>
        <v>15421111</v>
      </c>
      <c r="E218" s="100" t="str">
        <f aca="false">IF($C218="","",IFERROR(IF(INDEX('REGISTRE TUBES'!$D$7:$D$2506,MATCH($C218,'REGISTRE TUBES'!$B$7:$B$2506,0))="","",INDEX('REGISTRE TUBES'!$D$7:$D$2506,MATCH($C218,'REGISTRE TUBES'!$B$7:$B$2506,0))),"?"))</f>
        <v/>
      </c>
      <c r="F218" s="101" t="n">
        <f aca="false">IF($C218="","",IFERROR(IF(INDEX('REGISTRE TUBES'!$F$7:$F$2506,MATCH($C218,'REGISTRE TUBES'!$B$7:$B$2506,0))="","",INDEX('REGISTRE TUBES'!$F$7:$F$2506,MATCH($C218,'REGISTRE TUBES'!$B$7:$B$2506,0))),"?"))</f>
        <v>11.94</v>
      </c>
      <c r="G218" s="102" t="n">
        <f aca="false">IF($C218="","",N(G217)+N(F218))</f>
        <v>1802.97000000001</v>
      </c>
      <c r="H218" s="103" t="s">
        <v>1069</v>
      </c>
      <c r="I218" s="104"/>
      <c r="J218" s="105"/>
    </row>
    <row r="219" customFormat="false" ht="15" hidden="false" customHeight="false" outlineLevel="0" collapsed="false">
      <c r="B219" s="90" t="n">
        <v>152</v>
      </c>
      <c r="C219" s="91" t="n">
        <v>2092430</v>
      </c>
      <c r="D219" s="92" t="n">
        <f aca="false">IF($C219="","",IFERROR(IF(INDEX('REGISTRE TUBES'!$C$7:$C$2506,MATCH($C219,'REGISTRE TUBES'!$B$7:$B$2506,0))="","",INDEX('REGISTRE TUBES'!$C$7:$C$2506,MATCH($C219,'REGISTRE TUBES'!$B$7:$B$2506,0))),"?"))</f>
        <v>15421110</v>
      </c>
      <c r="E219" s="92" t="str">
        <f aca="false">IF($C219="","",IFERROR(IF(INDEX('REGISTRE TUBES'!$D$7:$D$2506,MATCH($C219,'REGISTRE TUBES'!$B$7:$B$2506,0))="","",INDEX('REGISTRE TUBES'!$D$7:$D$2506,MATCH($C219,'REGISTRE TUBES'!$B$7:$B$2506,0))),"?"))</f>
        <v/>
      </c>
      <c r="F219" s="93" t="n">
        <f aca="false">IF($C219="","",IFERROR(IF(INDEX('REGISTRE TUBES'!$F$7:$F$2506,MATCH($C219,'REGISTRE TUBES'!$B$7:$B$2506,0))="","",INDEX('REGISTRE TUBES'!$F$7:$F$2506,MATCH($C219,'REGISTRE TUBES'!$B$7:$B$2506,0))),"?"))</f>
        <v>11.94</v>
      </c>
      <c r="G219" s="94" t="n">
        <f aca="false">IF($C219="","",N(G218)+N(F219))</f>
        <v>1814.91000000001</v>
      </c>
      <c r="H219" s="95" t="s">
        <v>1070</v>
      </c>
      <c r="I219" s="96"/>
      <c r="J219" s="97"/>
    </row>
    <row r="220" customFormat="false" ht="15" hidden="false" customHeight="true" outlineLevel="0" collapsed="false">
      <c r="B220" s="106" t="s">
        <v>3031</v>
      </c>
      <c r="C220" s="106"/>
      <c r="D220" s="106"/>
      <c r="E220" s="106"/>
      <c r="F220" s="107" t="n">
        <f aca="false">SUM(F201:F219)</f>
        <v>226.86</v>
      </c>
      <c r="G220" s="108" t="n">
        <f aca="false">IF(COUNT(G201:G219)=0,"",MAX(G201:G219))</f>
        <v>1814.91000000001</v>
      </c>
      <c r="H220" s="106" t="str">
        <f aca="false">COUNTA(C201:C219)&amp;" tube(s)"</f>
        <v>19 tube(s)</v>
      </c>
      <c r="I220" s="106"/>
      <c r="J220" s="106"/>
    </row>
    <row r="222" customFormat="false" ht="15" hidden="false" customHeight="false" outlineLevel="0" collapsed="false">
      <c r="B222" s="109" t="s">
        <v>3032</v>
      </c>
      <c r="F222" s="109" t="s">
        <v>3033</v>
      </c>
      <c r="I222" s="109" t="s">
        <v>3034</v>
      </c>
    </row>
    <row r="225" customFormat="false" ht="25.5" hidden="false" customHeight="true" outlineLevel="0" collapsed="false">
      <c r="B225" s="85" t="s">
        <v>3015</v>
      </c>
      <c r="C225" s="85"/>
      <c r="D225" s="85"/>
      <c r="E225" s="85"/>
      <c r="F225" s="85"/>
      <c r="G225" s="85"/>
      <c r="H225" s="85"/>
      <c r="I225" s="85"/>
      <c r="J225" s="85"/>
    </row>
    <row r="226" customFormat="false" ht="15" hidden="false" customHeight="false" outlineLevel="0" collapsed="false">
      <c r="B226" s="86" t="str">
        <f aca="false">PARAMÈTRES!$C$4&amp;"   •   Affaire N° "&amp;PARAMÈTRES!$C$5</f>
        <v>Développement des champs gaziers TFT II — réseau de collecte TFT Sud (LIGNE-16)   •   Affaire N° 8546</v>
      </c>
      <c r="C226" s="86"/>
      <c r="D226" s="86"/>
      <c r="E226" s="86"/>
      <c r="F226" s="86"/>
      <c r="G226" s="86"/>
      <c r="H226" s="86"/>
      <c r="I226" s="86"/>
      <c r="J226" s="86"/>
    </row>
    <row r="227" customFormat="false" ht="19.5" hidden="false" customHeight="true" outlineLevel="0" collapsed="false">
      <c r="B227" s="87" t="s">
        <v>3016</v>
      </c>
      <c r="C227" s="88" t="s">
        <v>110</v>
      </c>
      <c r="D227" s="88"/>
      <c r="E227" s="87" t="s">
        <v>3017</v>
      </c>
      <c r="F227" s="88" t="s">
        <v>3049</v>
      </c>
      <c r="G227" s="87" t="s">
        <v>3019</v>
      </c>
      <c r="H227" s="88" t="s">
        <v>3050</v>
      </c>
      <c r="I227" s="87" t="s">
        <v>3021</v>
      </c>
      <c r="J227" s="89"/>
    </row>
    <row r="228" customFormat="false" ht="27.75" hidden="false" customHeight="true" outlineLevel="0" collapsed="false">
      <c r="B228" s="71" t="s">
        <v>3022</v>
      </c>
      <c r="C228" s="71" t="s">
        <v>3023</v>
      </c>
      <c r="D228" s="71" t="s">
        <v>3024</v>
      </c>
      <c r="E228" s="71" t="s">
        <v>3025</v>
      </c>
      <c r="F228" s="71" t="s">
        <v>3026</v>
      </c>
      <c r="G228" s="71" t="s">
        <v>3027</v>
      </c>
      <c r="H228" s="71" t="s">
        <v>3028</v>
      </c>
      <c r="I228" s="71" t="s">
        <v>3029</v>
      </c>
      <c r="J228" s="71" t="s">
        <v>3030</v>
      </c>
    </row>
    <row r="229" customFormat="false" ht="15" hidden="false" customHeight="false" outlineLevel="0" collapsed="false">
      <c r="B229" s="90" t="n">
        <v>153</v>
      </c>
      <c r="C229" s="91" t="n">
        <v>2095710</v>
      </c>
      <c r="D229" s="92" t="n">
        <f aca="false">IF($C229="","",IFERROR(IF(INDEX('REGISTRE TUBES'!$C$7:$C$2506,MATCH($C229,'REGISTRE TUBES'!$B$7:$B$2506,0))="","",INDEX('REGISTRE TUBES'!$C$7:$C$2506,MATCH($C229,'REGISTRE TUBES'!$B$7:$B$2506,0))),"?"))</f>
        <v>15421111</v>
      </c>
      <c r="E229" s="92" t="str">
        <f aca="false">IF($C229="","",IFERROR(IF(INDEX('REGISTRE TUBES'!$D$7:$D$2506,MATCH($C229,'REGISTRE TUBES'!$B$7:$B$2506,0))="","",INDEX('REGISTRE TUBES'!$D$7:$D$2506,MATCH($C229,'REGISTRE TUBES'!$B$7:$B$2506,0))),"?"))</f>
        <v/>
      </c>
      <c r="F229" s="93" t="n">
        <f aca="false">IF($C229="","",IFERROR(IF(INDEX('REGISTRE TUBES'!$F$7:$F$2506,MATCH($C229,'REGISTRE TUBES'!$B$7:$B$2506,0))="","",INDEX('REGISTRE TUBES'!$F$7:$F$2506,MATCH($C229,'REGISTRE TUBES'!$B$7:$B$2506,0))),"?"))</f>
        <v>11.94</v>
      </c>
      <c r="G229" s="94" t="n">
        <f aca="false">IF($C229="","",N(G219)+N(F229))</f>
        <v>1826.85000000001</v>
      </c>
      <c r="H229" s="95" t="s">
        <v>1071</v>
      </c>
      <c r="I229" s="96"/>
      <c r="J229" s="97"/>
    </row>
    <row r="230" customFormat="false" ht="15" hidden="false" customHeight="false" outlineLevel="0" collapsed="false">
      <c r="B230" s="98" t="n">
        <v>154</v>
      </c>
      <c r="C230" s="99" t="n">
        <v>2084850</v>
      </c>
      <c r="D230" s="100" t="n">
        <f aca="false">IF($C230="","",IFERROR(IF(INDEX('REGISTRE TUBES'!$C$7:$C$2506,MATCH($C230,'REGISTRE TUBES'!$B$7:$B$2506,0))="","",INDEX('REGISTRE TUBES'!$C$7:$C$2506,MATCH($C230,'REGISTRE TUBES'!$B$7:$B$2506,0))),"?"))</f>
        <v>15421106</v>
      </c>
      <c r="E230" s="100" t="str">
        <f aca="false">IF($C230="","",IFERROR(IF(INDEX('REGISTRE TUBES'!$D$7:$D$2506,MATCH($C230,'REGISTRE TUBES'!$B$7:$B$2506,0))="","",INDEX('REGISTRE TUBES'!$D$7:$D$2506,MATCH($C230,'REGISTRE TUBES'!$B$7:$B$2506,0))),"?"))</f>
        <v/>
      </c>
      <c r="F230" s="101" t="n">
        <f aca="false">IF($C230="","",IFERROR(IF(INDEX('REGISTRE TUBES'!$F$7:$F$2506,MATCH($C230,'REGISTRE TUBES'!$B$7:$B$2506,0))="","",INDEX('REGISTRE TUBES'!$F$7:$F$2506,MATCH($C230,'REGISTRE TUBES'!$B$7:$B$2506,0))),"?"))</f>
        <v>11.94</v>
      </c>
      <c r="G230" s="102" t="n">
        <f aca="false">IF($C230="","",N(G229)+N(F230))</f>
        <v>1838.79000000001</v>
      </c>
      <c r="H230" s="103" t="s">
        <v>1075</v>
      </c>
      <c r="I230" s="104"/>
      <c r="J230" s="105"/>
    </row>
    <row r="231" customFormat="false" ht="15" hidden="false" customHeight="false" outlineLevel="0" collapsed="false">
      <c r="B231" s="90" t="n">
        <v>155</v>
      </c>
      <c r="C231" s="91" t="n">
        <v>2082020</v>
      </c>
      <c r="D231" s="92" t="n">
        <f aca="false">IF($C231="","",IFERROR(IF(INDEX('REGISTRE TUBES'!$C$7:$C$2506,MATCH($C231,'REGISTRE TUBES'!$B$7:$B$2506,0))="","",INDEX('REGISTRE TUBES'!$C$7:$C$2506,MATCH($C231,'REGISTRE TUBES'!$B$7:$B$2506,0))),"?"))</f>
        <v>15421104</v>
      </c>
      <c r="E231" s="92" t="str">
        <f aca="false">IF($C231="","",IFERROR(IF(INDEX('REGISTRE TUBES'!$D$7:$D$2506,MATCH($C231,'REGISTRE TUBES'!$B$7:$B$2506,0))="","",INDEX('REGISTRE TUBES'!$D$7:$D$2506,MATCH($C231,'REGISTRE TUBES'!$B$7:$B$2506,0))),"?"))</f>
        <v/>
      </c>
      <c r="F231" s="93" t="n">
        <f aca="false">IF($C231="","",IFERROR(IF(INDEX('REGISTRE TUBES'!$F$7:$F$2506,MATCH($C231,'REGISTRE TUBES'!$B$7:$B$2506,0))="","",INDEX('REGISTRE TUBES'!$F$7:$F$2506,MATCH($C231,'REGISTRE TUBES'!$B$7:$B$2506,0))),"?"))</f>
        <v>11.94</v>
      </c>
      <c r="G231" s="94" t="n">
        <f aca="false">IF($C231="","",N(G230)+N(F231))</f>
        <v>1850.73000000001</v>
      </c>
      <c r="H231" s="95" t="s">
        <v>1076</v>
      </c>
      <c r="I231" s="96"/>
      <c r="J231" s="97"/>
    </row>
    <row r="232" customFormat="false" ht="15" hidden="false" customHeight="false" outlineLevel="0" collapsed="false">
      <c r="B232" s="98" t="n">
        <v>156</v>
      </c>
      <c r="C232" s="99" t="n">
        <v>2098570</v>
      </c>
      <c r="D232" s="100" t="n">
        <f aca="false">IF($C232="","",IFERROR(IF(INDEX('REGISTRE TUBES'!$C$7:$C$2506,MATCH($C232,'REGISTRE TUBES'!$B$7:$B$2506,0))="","",INDEX('REGISTRE TUBES'!$C$7:$C$2506,MATCH($C232,'REGISTRE TUBES'!$B$7:$B$2506,0))),"?"))</f>
        <v>15421112</v>
      </c>
      <c r="E232" s="100" t="str">
        <f aca="false">IF($C232="","",IFERROR(IF(INDEX('REGISTRE TUBES'!$D$7:$D$2506,MATCH($C232,'REGISTRE TUBES'!$B$7:$B$2506,0))="","",INDEX('REGISTRE TUBES'!$D$7:$D$2506,MATCH($C232,'REGISTRE TUBES'!$B$7:$B$2506,0))),"?"))</f>
        <v/>
      </c>
      <c r="F232" s="101" t="n">
        <f aca="false">IF($C232="","",IFERROR(IF(INDEX('REGISTRE TUBES'!$F$7:$F$2506,MATCH($C232,'REGISTRE TUBES'!$B$7:$B$2506,0))="","",INDEX('REGISTRE TUBES'!$F$7:$F$2506,MATCH($C232,'REGISTRE TUBES'!$B$7:$B$2506,0))),"?"))</f>
        <v>11.94</v>
      </c>
      <c r="G232" s="102" t="n">
        <f aca="false">IF($C232="","",N(G231)+N(F232))</f>
        <v>1862.67000000001</v>
      </c>
      <c r="H232" s="103" t="s">
        <v>1079</v>
      </c>
      <c r="I232" s="104"/>
      <c r="J232" s="105"/>
    </row>
    <row r="233" customFormat="false" ht="15" hidden="false" customHeight="false" outlineLevel="0" collapsed="false">
      <c r="B233" s="90" t="n">
        <v>157</v>
      </c>
      <c r="C233" s="91" t="n">
        <v>2084460</v>
      </c>
      <c r="D233" s="92" t="n">
        <f aca="false">IF($C233="","",IFERROR(IF(INDEX('REGISTRE TUBES'!$C$7:$C$2506,MATCH($C233,'REGISTRE TUBES'!$B$7:$B$2506,0))="","",INDEX('REGISTRE TUBES'!$C$7:$C$2506,MATCH($C233,'REGISTRE TUBES'!$B$7:$B$2506,0))),"?"))</f>
        <v>15421106</v>
      </c>
      <c r="E233" s="92" t="str">
        <f aca="false">IF($C233="","",IFERROR(IF(INDEX('REGISTRE TUBES'!$D$7:$D$2506,MATCH($C233,'REGISTRE TUBES'!$B$7:$B$2506,0))="","",INDEX('REGISTRE TUBES'!$D$7:$D$2506,MATCH($C233,'REGISTRE TUBES'!$B$7:$B$2506,0))),"?"))</f>
        <v/>
      </c>
      <c r="F233" s="93" t="n">
        <f aca="false">IF($C233="","",IFERROR(IF(INDEX('REGISTRE TUBES'!$F$7:$F$2506,MATCH($C233,'REGISTRE TUBES'!$B$7:$B$2506,0))="","",INDEX('REGISTRE TUBES'!$F$7:$F$2506,MATCH($C233,'REGISTRE TUBES'!$B$7:$B$2506,0))),"?"))</f>
        <v>11.94</v>
      </c>
      <c r="G233" s="94" t="n">
        <f aca="false">IF($C233="","",N(G232)+N(F233))</f>
        <v>1874.61000000001</v>
      </c>
      <c r="H233" s="95" t="s">
        <v>1080</v>
      </c>
      <c r="I233" s="96"/>
      <c r="J233" s="97"/>
    </row>
    <row r="234" customFormat="false" ht="15" hidden="false" customHeight="false" outlineLevel="0" collapsed="false">
      <c r="B234" s="98" t="n">
        <v>158</v>
      </c>
      <c r="C234" s="99" t="n">
        <v>2080300</v>
      </c>
      <c r="D234" s="100" t="n">
        <f aca="false">IF($C234="","",IFERROR(IF(INDEX('REGISTRE TUBES'!$C$7:$C$2506,MATCH($C234,'REGISTRE TUBES'!$B$7:$B$2506,0))="","",INDEX('REGISTRE TUBES'!$C$7:$C$2506,MATCH($C234,'REGISTRE TUBES'!$B$7:$B$2506,0))),"?"))</f>
        <v>15421107</v>
      </c>
      <c r="E234" s="100" t="str">
        <f aca="false">IF($C234="","",IFERROR(IF(INDEX('REGISTRE TUBES'!$D$7:$D$2506,MATCH($C234,'REGISTRE TUBES'!$B$7:$B$2506,0))="","",INDEX('REGISTRE TUBES'!$D$7:$D$2506,MATCH($C234,'REGISTRE TUBES'!$B$7:$B$2506,0))),"?"))</f>
        <v/>
      </c>
      <c r="F234" s="101" t="n">
        <f aca="false">IF($C234="","",IFERROR(IF(INDEX('REGISTRE TUBES'!$F$7:$F$2506,MATCH($C234,'REGISTRE TUBES'!$B$7:$B$2506,0))="","",INDEX('REGISTRE TUBES'!$F$7:$F$2506,MATCH($C234,'REGISTRE TUBES'!$B$7:$B$2506,0))),"?"))</f>
        <v>11.94</v>
      </c>
      <c r="G234" s="102" t="n">
        <f aca="false">IF($C234="","",N(G233)+N(F234))</f>
        <v>1886.55000000001</v>
      </c>
      <c r="H234" s="103" t="s">
        <v>1081</v>
      </c>
      <c r="I234" s="104"/>
      <c r="J234" s="105"/>
    </row>
    <row r="235" customFormat="false" ht="15" hidden="false" customHeight="false" outlineLevel="0" collapsed="false">
      <c r="B235" s="90" t="n">
        <v>159</v>
      </c>
      <c r="C235" s="91" t="n">
        <v>2086320</v>
      </c>
      <c r="D235" s="92" t="n">
        <f aca="false">IF($C235="","",IFERROR(IF(INDEX('REGISTRE TUBES'!$C$7:$C$2506,MATCH($C235,'REGISTRE TUBES'!$B$7:$B$2506,0))="","",INDEX('REGISTRE TUBES'!$C$7:$C$2506,MATCH($C235,'REGISTRE TUBES'!$B$7:$B$2506,0))),"?"))</f>
        <v>15421107</v>
      </c>
      <c r="E235" s="92" t="str">
        <f aca="false">IF($C235="","",IFERROR(IF(INDEX('REGISTRE TUBES'!$D$7:$D$2506,MATCH($C235,'REGISTRE TUBES'!$B$7:$B$2506,0))="","",INDEX('REGISTRE TUBES'!$D$7:$D$2506,MATCH($C235,'REGISTRE TUBES'!$B$7:$B$2506,0))),"?"))</f>
        <v/>
      </c>
      <c r="F235" s="93" t="n">
        <f aca="false">IF($C235="","",IFERROR(IF(INDEX('REGISTRE TUBES'!$F$7:$F$2506,MATCH($C235,'REGISTRE TUBES'!$B$7:$B$2506,0))="","",INDEX('REGISTRE TUBES'!$F$7:$F$2506,MATCH($C235,'REGISTRE TUBES'!$B$7:$B$2506,0))),"?"))</f>
        <v>11.94</v>
      </c>
      <c r="G235" s="94" t="n">
        <f aca="false">IF($C235="","",N(G234)+N(F235))</f>
        <v>1898.49000000001</v>
      </c>
      <c r="H235" s="95" t="s">
        <v>1082</v>
      </c>
      <c r="I235" s="96"/>
      <c r="J235" s="97"/>
    </row>
    <row r="236" customFormat="false" ht="15" hidden="false" customHeight="false" outlineLevel="0" collapsed="false">
      <c r="B236" s="98" t="n">
        <v>160</v>
      </c>
      <c r="C236" s="99" t="n">
        <v>2080520</v>
      </c>
      <c r="D236" s="100" t="n">
        <f aca="false">IF($C236="","",IFERROR(IF(INDEX('REGISTRE TUBES'!$C$7:$C$2506,MATCH($C236,'REGISTRE TUBES'!$B$7:$B$2506,0))="","",INDEX('REGISTRE TUBES'!$C$7:$C$2506,MATCH($C236,'REGISTRE TUBES'!$B$7:$B$2506,0))),"?"))</f>
        <v>15421103</v>
      </c>
      <c r="E236" s="100" t="str">
        <f aca="false">IF($C236="","",IFERROR(IF(INDEX('REGISTRE TUBES'!$D$7:$D$2506,MATCH($C236,'REGISTRE TUBES'!$B$7:$B$2506,0))="","",INDEX('REGISTRE TUBES'!$D$7:$D$2506,MATCH($C236,'REGISTRE TUBES'!$B$7:$B$2506,0))),"?"))</f>
        <v/>
      </c>
      <c r="F236" s="101" t="n">
        <f aca="false">IF($C236="","",IFERROR(IF(INDEX('REGISTRE TUBES'!$F$7:$F$2506,MATCH($C236,'REGISTRE TUBES'!$B$7:$B$2506,0))="","",INDEX('REGISTRE TUBES'!$F$7:$F$2506,MATCH($C236,'REGISTRE TUBES'!$B$7:$B$2506,0))),"?"))</f>
        <v>11.94</v>
      </c>
      <c r="G236" s="102" t="n">
        <f aca="false">IF($C236="","",N(G235)+N(F236))</f>
        <v>1910.43000000001</v>
      </c>
      <c r="H236" s="103" t="s">
        <v>1083</v>
      </c>
      <c r="I236" s="104"/>
      <c r="J236" s="105"/>
    </row>
    <row r="237" customFormat="false" ht="15" hidden="false" customHeight="false" outlineLevel="0" collapsed="false">
      <c r="B237" s="90" t="n">
        <v>161</v>
      </c>
      <c r="C237" s="91" t="n">
        <v>2084740</v>
      </c>
      <c r="D237" s="92" t="n">
        <f aca="false">IF($C237="","",IFERROR(IF(INDEX('REGISTRE TUBES'!$C$7:$C$2506,MATCH($C237,'REGISTRE TUBES'!$B$7:$B$2506,0))="","",INDEX('REGISTRE TUBES'!$C$7:$C$2506,MATCH($C237,'REGISTRE TUBES'!$B$7:$B$2506,0))),"?"))</f>
        <v>15421106</v>
      </c>
      <c r="E237" s="92" t="str">
        <f aca="false">IF($C237="","",IFERROR(IF(INDEX('REGISTRE TUBES'!$D$7:$D$2506,MATCH($C237,'REGISTRE TUBES'!$B$7:$B$2506,0))="","",INDEX('REGISTRE TUBES'!$D$7:$D$2506,MATCH($C237,'REGISTRE TUBES'!$B$7:$B$2506,0))),"?"))</f>
        <v/>
      </c>
      <c r="F237" s="93" t="n">
        <f aca="false">IF($C237="","",IFERROR(IF(INDEX('REGISTRE TUBES'!$F$7:$F$2506,MATCH($C237,'REGISTRE TUBES'!$B$7:$B$2506,0))="","",INDEX('REGISTRE TUBES'!$F$7:$F$2506,MATCH($C237,'REGISTRE TUBES'!$B$7:$B$2506,0))),"?"))</f>
        <v>11.94</v>
      </c>
      <c r="G237" s="94" t="n">
        <f aca="false">IF($C237="","",N(G236)+N(F237))</f>
        <v>1922.37000000001</v>
      </c>
      <c r="H237" s="95" t="s">
        <v>1084</v>
      </c>
      <c r="I237" s="96"/>
      <c r="J237" s="97"/>
    </row>
    <row r="238" customFormat="false" ht="15" hidden="false" customHeight="false" outlineLevel="0" collapsed="false">
      <c r="B238" s="98" t="n">
        <v>162</v>
      </c>
      <c r="C238" s="99" t="n">
        <v>2078640</v>
      </c>
      <c r="D238" s="100" t="n">
        <f aca="false">IF($C238="","",IFERROR(IF(INDEX('REGISTRE TUBES'!$C$7:$C$2506,MATCH($C238,'REGISTRE TUBES'!$B$7:$B$2506,0))="","",INDEX('REGISTRE TUBES'!$C$7:$C$2506,MATCH($C238,'REGISTRE TUBES'!$B$7:$B$2506,0))),"?"))</f>
        <v>15421101</v>
      </c>
      <c r="E238" s="100" t="str">
        <f aca="false">IF($C238="","",IFERROR(IF(INDEX('REGISTRE TUBES'!$D$7:$D$2506,MATCH($C238,'REGISTRE TUBES'!$B$7:$B$2506,0))="","",INDEX('REGISTRE TUBES'!$D$7:$D$2506,MATCH($C238,'REGISTRE TUBES'!$B$7:$B$2506,0))),"?"))</f>
        <v/>
      </c>
      <c r="F238" s="101" t="n">
        <f aca="false">IF($C238="","",IFERROR(IF(INDEX('REGISTRE TUBES'!$F$7:$F$2506,MATCH($C238,'REGISTRE TUBES'!$B$7:$B$2506,0))="","",INDEX('REGISTRE TUBES'!$F$7:$F$2506,MATCH($C238,'REGISTRE TUBES'!$B$7:$B$2506,0))),"?"))</f>
        <v>11.94</v>
      </c>
      <c r="G238" s="102" t="n">
        <f aca="false">IF($C238="","",N(G237)+N(F238))</f>
        <v>1934.31000000001</v>
      </c>
      <c r="H238" s="103" t="s">
        <v>1085</v>
      </c>
      <c r="I238" s="104"/>
      <c r="J238" s="105"/>
    </row>
    <row r="239" customFormat="false" ht="15" hidden="false" customHeight="false" outlineLevel="0" collapsed="false">
      <c r="B239" s="90" t="n">
        <v>163</v>
      </c>
      <c r="C239" s="91" t="n">
        <v>2098580</v>
      </c>
      <c r="D239" s="92" t="n">
        <f aca="false">IF($C239="","",IFERROR(IF(INDEX('REGISTRE TUBES'!$C$7:$C$2506,MATCH($C239,'REGISTRE TUBES'!$B$7:$B$2506,0))="","",INDEX('REGISTRE TUBES'!$C$7:$C$2506,MATCH($C239,'REGISTRE TUBES'!$B$7:$B$2506,0))),"?"))</f>
        <v>15421112</v>
      </c>
      <c r="E239" s="92" t="str">
        <f aca="false">IF($C239="","",IFERROR(IF(INDEX('REGISTRE TUBES'!$D$7:$D$2506,MATCH($C239,'REGISTRE TUBES'!$B$7:$B$2506,0))="","",INDEX('REGISTRE TUBES'!$D$7:$D$2506,MATCH($C239,'REGISTRE TUBES'!$B$7:$B$2506,0))),"?"))</f>
        <v/>
      </c>
      <c r="F239" s="93" t="n">
        <f aca="false">IF($C239="","",IFERROR(IF(INDEX('REGISTRE TUBES'!$F$7:$F$2506,MATCH($C239,'REGISTRE TUBES'!$B$7:$B$2506,0))="","",INDEX('REGISTRE TUBES'!$F$7:$F$2506,MATCH($C239,'REGISTRE TUBES'!$B$7:$B$2506,0))),"?"))</f>
        <v>11.94</v>
      </c>
      <c r="G239" s="94" t="n">
        <f aca="false">IF($C239="","",N(G238)+N(F239))</f>
        <v>1946.25000000001</v>
      </c>
      <c r="H239" s="95" t="s">
        <v>1086</v>
      </c>
      <c r="I239" s="96"/>
      <c r="J239" s="97"/>
    </row>
    <row r="240" customFormat="false" ht="15" hidden="false" customHeight="false" outlineLevel="0" collapsed="false">
      <c r="B240" s="98" t="n">
        <v>164</v>
      </c>
      <c r="C240" s="99" t="n">
        <v>2086110</v>
      </c>
      <c r="D240" s="100" t="n">
        <f aca="false">IF($C240="","",IFERROR(IF(INDEX('REGISTRE TUBES'!$C$7:$C$2506,MATCH($C240,'REGISTRE TUBES'!$B$7:$B$2506,0))="","",INDEX('REGISTRE TUBES'!$C$7:$C$2506,MATCH($C240,'REGISTRE TUBES'!$B$7:$B$2506,0))),"?"))</f>
        <v>15421107</v>
      </c>
      <c r="E240" s="100" t="str">
        <f aca="false">IF($C240="","",IFERROR(IF(INDEX('REGISTRE TUBES'!$D$7:$D$2506,MATCH($C240,'REGISTRE TUBES'!$B$7:$B$2506,0))="","",INDEX('REGISTRE TUBES'!$D$7:$D$2506,MATCH($C240,'REGISTRE TUBES'!$B$7:$B$2506,0))),"?"))</f>
        <v/>
      </c>
      <c r="F240" s="101" t="n">
        <f aca="false">IF($C240="","",IFERROR(IF(INDEX('REGISTRE TUBES'!$F$7:$F$2506,MATCH($C240,'REGISTRE TUBES'!$B$7:$B$2506,0))="","",INDEX('REGISTRE TUBES'!$F$7:$F$2506,MATCH($C240,'REGISTRE TUBES'!$B$7:$B$2506,0))),"?"))</f>
        <v>11.94</v>
      </c>
      <c r="G240" s="102" t="n">
        <f aca="false">IF($C240="","",N(G239)+N(F240))</f>
        <v>1958.19000000001</v>
      </c>
      <c r="H240" s="103" t="s">
        <v>1087</v>
      </c>
      <c r="I240" s="104"/>
      <c r="J240" s="105"/>
    </row>
    <row r="241" customFormat="false" ht="15" hidden="false" customHeight="false" outlineLevel="0" collapsed="false">
      <c r="B241" s="90" t="n">
        <v>165</v>
      </c>
      <c r="C241" s="91" t="n">
        <v>2092440</v>
      </c>
      <c r="D241" s="92" t="n">
        <f aca="false">IF($C241="","",IFERROR(IF(INDEX('REGISTRE TUBES'!$C$7:$C$2506,MATCH($C241,'REGISTRE TUBES'!$B$7:$B$2506,0))="","",INDEX('REGISTRE TUBES'!$C$7:$C$2506,MATCH($C241,'REGISTRE TUBES'!$B$7:$B$2506,0))),"?"))</f>
        <v>15421110</v>
      </c>
      <c r="E241" s="92" t="str">
        <f aca="false">IF($C241="","",IFERROR(IF(INDEX('REGISTRE TUBES'!$D$7:$D$2506,MATCH($C241,'REGISTRE TUBES'!$B$7:$B$2506,0))="","",INDEX('REGISTRE TUBES'!$D$7:$D$2506,MATCH($C241,'REGISTRE TUBES'!$B$7:$B$2506,0))),"?"))</f>
        <v/>
      </c>
      <c r="F241" s="93" t="n">
        <f aca="false">IF($C241="","",IFERROR(IF(INDEX('REGISTRE TUBES'!$F$7:$F$2506,MATCH($C241,'REGISTRE TUBES'!$B$7:$B$2506,0))="","",INDEX('REGISTRE TUBES'!$F$7:$F$2506,MATCH($C241,'REGISTRE TUBES'!$B$7:$B$2506,0))),"?"))</f>
        <v>11.94</v>
      </c>
      <c r="G241" s="94" t="n">
        <f aca="false">IF($C241="","",N(G240)+N(F241))</f>
        <v>1970.13000000001</v>
      </c>
      <c r="H241" s="95" t="s">
        <v>1088</v>
      </c>
      <c r="I241" s="96"/>
      <c r="J241" s="97"/>
    </row>
    <row r="242" customFormat="false" ht="15" hidden="false" customHeight="false" outlineLevel="0" collapsed="false">
      <c r="B242" s="98" t="n">
        <v>166</v>
      </c>
      <c r="C242" s="99" t="n">
        <v>2085890</v>
      </c>
      <c r="D242" s="100" t="n">
        <f aca="false">IF($C242="","",IFERROR(IF(INDEX('REGISTRE TUBES'!$C$7:$C$2506,MATCH($C242,'REGISTRE TUBES'!$B$7:$B$2506,0))="","",INDEX('REGISTRE TUBES'!$C$7:$C$2506,MATCH($C242,'REGISTRE TUBES'!$B$7:$B$2506,0))),"?"))</f>
        <v>15421107</v>
      </c>
      <c r="E242" s="100" t="str">
        <f aca="false">IF($C242="","",IFERROR(IF(INDEX('REGISTRE TUBES'!$D$7:$D$2506,MATCH($C242,'REGISTRE TUBES'!$B$7:$B$2506,0))="","",INDEX('REGISTRE TUBES'!$D$7:$D$2506,MATCH($C242,'REGISTRE TUBES'!$B$7:$B$2506,0))),"?"))</f>
        <v/>
      </c>
      <c r="F242" s="101" t="n">
        <f aca="false">IF($C242="","",IFERROR(IF(INDEX('REGISTRE TUBES'!$F$7:$F$2506,MATCH($C242,'REGISTRE TUBES'!$B$7:$B$2506,0))="","",INDEX('REGISTRE TUBES'!$F$7:$F$2506,MATCH($C242,'REGISTRE TUBES'!$B$7:$B$2506,0))),"?"))</f>
        <v>11.94</v>
      </c>
      <c r="G242" s="102" t="n">
        <f aca="false">IF($C242="","",N(G241)+N(F242))</f>
        <v>1982.07000000001</v>
      </c>
      <c r="H242" s="103" t="s">
        <v>1092</v>
      </c>
      <c r="I242" s="104"/>
      <c r="J242" s="105"/>
    </row>
    <row r="243" customFormat="false" ht="15" hidden="false" customHeight="false" outlineLevel="0" collapsed="false">
      <c r="B243" s="90" t="n">
        <v>167</v>
      </c>
      <c r="C243" s="91" t="n">
        <v>2089560</v>
      </c>
      <c r="D243" s="92" t="n">
        <f aca="false">IF($C243="","",IFERROR(IF(INDEX('REGISTRE TUBES'!$C$7:$C$2506,MATCH($C243,'REGISTRE TUBES'!$B$7:$B$2506,0))="","",INDEX('REGISTRE TUBES'!$C$7:$C$2506,MATCH($C243,'REGISTRE TUBES'!$B$7:$B$2506,0))),"?"))</f>
        <v>15421109</v>
      </c>
      <c r="E243" s="92" t="str">
        <f aca="false">IF($C243="","",IFERROR(IF(INDEX('REGISTRE TUBES'!$D$7:$D$2506,MATCH($C243,'REGISTRE TUBES'!$B$7:$B$2506,0))="","",INDEX('REGISTRE TUBES'!$D$7:$D$2506,MATCH($C243,'REGISTRE TUBES'!$B$7:$B$2506,0))),"?"))</f>
        <v/>
      </c>
      <c r="F243" s="93" t="n">
        <f aca="false">IF($C243="","",IFERROR(IF(INDEX('REGISTRE TUBES'!$F$7:$F$2506,MATCH($C243,'REGISTRE TUBES'!$B$7:$B$2506,0))="","",INDEX('REGISTRE TUBES'!$F$7:$F$2506,MATCH($C243,'REGISTRE TUBES'!$B$7:$B$2506,0))),"?"))</f>
        <v>11.94</v>
      </c>
      <c r="G243" s="94" t="n">
        <f aca="false">IF($C243="","",N(G242)+N(F243))</f>
        <v>1994.01000000001</v>
      </c>
      <c r="H243" s="95" t="s">
        <v>1093</v>
      </c>
      <c r="I243" s="96"/>
      <c r="J243" s="97"/>
    </row>
    <row r="244" customFormat="false" ht="15" hidden="false" customHeight="false" outlineLevel="0" collapsed="false">
      <c r="B244" s="98" t="n">
        <v>168</v>
      </c>
      <c r="C244" s="99" t="n">
        <v>2088640</v>
      </c>
      <c r="D244" s="100" t="n">
        <f aca="false">IF($C244="","",IFERROR(IF(INDEX('REGISTRE TUBES'!$C$7:$C$2506,MATCH($C244,'REGISTRE TUBES'!$B$7:$B$2506,0))="","",INDEX('REGISTRE TUBES'!$C$7:$C$2506,MATCH($C244,'REGISTRE TUBES'!$B$7:$B$2506,0))),"?"))</f>
        <v>15421108</v>
      </c>
      <c r="E244" s="100" t="str">
        <f aca="false">IF($C244="","",IFERROR(IF(INDEX('REGISTRE TUBES'!$D$7:$D$2506,MATCH($C244,'REGISTRE TUBES'!$B$7:$B$2506,0))="","",INDEX('REGISTRE TUBES'!$D$7:$D$2506,MATCH($C244,'REGISTRE TUBES'!$B$7:$B$2506,0))),"?"))</f>
        <v/>
      </c>
      <c r="F244" s="101" t="n">
        <f aca="false">IF($C244="","",IFERROR(IF(INDEX('REGISTRE TUBES'!$F$7:$F$2506,MATCH($C244,'REGISTRE TUBES'!$B$7:$B$2506,0))="","",INDEX('REGISTRE TUBES'!$F$7:$F$2506,MATCH($C244,'REGISTRE TUBES'!$B$7:$B$2506,0))),"?"))</f>
        <v>11.94</v>
      </c>
      <c r="G244" s="102" t="n">
        <f aca="false">IF($C244="","",N(G243)+N(F244))</f>
        <v>2005.95000000001</v>
      </c>
      <c r="H244" s="103" t="s">
        <v>1096</v>
      </c>
      <c r="I244" s="104"/>
      <c r="J244" s="105"/>
    </row>
    <row r="245" customFormat="false" ht="15" hidden="false" customHeight="false" outlineLevel="0" collapsed="false">
      <c r="B245" s="90" t="n">
        <v>169</v>
      </c>
      <c r="C245" s="91" t="n">
        <v>2085720</v>
      </c>
      <c r="D245" s="92" t="n">
        <f aca="false">IF($C245="","",IFERROR(IF(INDEX('REGISTRE TUBES'!$C$7:$C$2506,MATCH($C245,'REGISTRE TUBES'!$B$7:$B$2506,0))="","",INDEX('REGISTRE TUBES'!$C$7:$C$2506,MATCH($C245,'REGISTRE TUBES'!$B$7:$B$2506,0))),"?"))</f>
        <v>15421107</v>
      </c>
      <c r="E245" s="92" t="str">
        <f aca="false">IF($C245="","",IFERROR(IF(INDEX('REGISTRE TUBES'!$D$7:$D$2506,MATCH($C245,'REGISTRE TUBES'!$B$7:$B$2506,0))="","",INDEX('REGISTRE TUBES'!$D$7:$D$2506,MATCH($C245,'REGISTRE TUBES'!$B$7:$B$2506,0))),"?"))</f>
        <v/>
      </c>
      <c r="F245" s="93" t="n">
        <f aca="false">IF($C245="","",IFERROR(IF(INDEX('REGISTRE TUBES'!$F$7:$F$2506,MATCH($C245,'REGISTRE TUBES'!$B$7:$B$2506,0))="","",INDEX('REGISTRE TUBES'!$F$7:$F$2506,MATCH($C245,'REGISTRE TUBES'!$B$7:$B$2506,0))),"?"))</f>
        <v>11.94</v>
      </c>
      <c r="G245" s="94" t="n">
        <f aca="false">IF($C245="","",N(G244)+N(F245))</f>
        <v>2017.89000000001</v>
      </c>
      <c r="H245" s="95" t="s">
        <v>1097</v>
      </c>
      <c r="I245" s="96"/>
      <c r="J245" s="97"/>
    </row>
    <row r="246" customFormat="false" ht="15" hidden="false" customHeight="false" outlineLevel="0" collapsed="false">
      <c r="B246" s="98" t="n">
        <v>170</v>
      </c>
      <c r="C246" s="99" t="n">
        <v>2098250</v>
      </c>
      <c r="D246" s="100" t="n">
        <f aca="false">IF($C246="","",IFERROR(IF(INDEX('REGISTRE TUBES'!$C$7:$C$2506,MATCH($C246,'REGISTRE TUBES'!$B$7:$B$2506,0))="","",INDEX('REGISTRE TUBES'!$C$7:$C$2506,MATCH($C246,'REGISTRE TUBES'!$B$7:$B$2506,0))),"?"))</f>
        <v>15421112</v>
      </c>
      <c r="E246" s="100" t="str">
        <f aca="false">IF($C246="","",IFERROR(IF(INDEX('REGISTRE TUBES'!$D$7:$D$2506,MATCH($C246,'REGISTRE TUBES'!$B$7:$B$2506,0))="","",INDEX('REGISTRE TUBES'!$D$7:$D$2506,MATCH($C246,'REGISTRE TUBES'!$B$7:$B$2506,0))),"?"))</f>
        <v/>
      </c>
      <c r="F246" s="101" t="n">
        <f aca="false">IF($C246="","",IFERROR(IF(INDEX('REGISTRE TUBES'!$F$7:$F$2506,MATCH($C246,'REGISTRE TUBES'!$B$7:$B$2506,0))="","",INDEX('REGISTRE TUBES'!$F$7:$F$2506,MATCH($C246,'REGISTRE TUBES'!$B$7:$B$2506,0))),"?"))</f>
        <v>11.94</v>
      </c>
      <c r="G246" s="102" t="n">
        <f aca="false">IF($C246="","",N(G245)+N(F246))</f>
        <v>2029.83000000001</v>
      </c>
      <c r="H246" s="103" t="s">
        <v>1098</v>
      </c>
      <c r="I246" s="104"/>
      <c r="J246" s="105"/>
    </row>
    <row r="247" customFormat="false" ht="15" hidden="false" customHeight="false" outlineLevel="0" collapsed="false">
      <c r="B247" s="90" t="n">
        <v>171</v>
      </c>
      <c r="C247" s="91" t="n">
        <v>2085270</v>
      </c>
      <c r="D247" s="92" t="n">
        <f aca="false">IF($C247="","",IFERROR(IF(INDEX('REGISTRE TUBES'!$C$7:$C$2506,MATCH($C247,'REGISTRE TUBES'!$B$7:$B$2506,0))="","",INDEX('REGISTRE TUBES'!$C$7:$C$2506,MATCH($C247,'REGISTRE TUBES'!$B$7:$B$2506,0))),"?"))</f>
        <v>15421106</v>
      </c>
      <c r="E247" s="92" t="str">
        <f aca="false">IF($C247="","",IFERROR(IF(INDEX('REGISTRE TUBES'!$D$7:$D$2506,MATCH($C247,'REGISTRE TUBES'!$B$7:$B$2506,0))="","",INDEX('REGISTRE TUBES'!$D$7:$D$2506,MATCH($C247,'REGISTRE TUBES'!$B$7:$B$2506,0))),"?"))</f>
        <v/>
      </c>
      <c r="F247" s="93" t="n">
        <f aca="false">IF($C247="","",IFERROR(IF(INDEX('REGISTRE TUBES'!$F$7:$F$2506,MATCH($C247,'REGISTRE TUBES'!$B$7:$B$2506,0))="","",INDEX('REGISTRE TUBES'!$F$7:$F$2506,MATCH($C247,'REGISTRE TUBES'!$B$7:$B$2506,0))),"?"))</f>
        <v>11.94</v>
      </c>
      <c r="G247" s="94" t="n">
        <f aca="false">IF($C247="","",N(G246)+N(F247))</f>
        <v>2041.77000000001</v>
      </c>
      <c r="H247" s="95" t="s">
        <v>1101</v>
      </c>
      <c r="I247" s="96"/>
      <c r="J247" s="97"/>
    </row>
    <row r="248" customFormat="false" ht="15" hidden="false" customHeight="true" outlineLevel="0" collapsed="false">
      <c r="B248" s="106" t="s">
        <v>3031</v>
      </c>
      <c r="C248" s="106"/>
      <c r="D248" s="106"/>
      <c r="E248" s="106"/>
      <c r="F248" s="107" t="n">
        <f aca="false">SUM(F229:F247)</f>
        <v>226.86</v>
      </c>
      <c r="G248" s="108" t="n">
        <f aca="false">IF(COUNT(G229:G247)=0,"",MAX(G229:G247))</f>
        <v>2041.77000000001</v>
      </c>
      <c r="H248" s="106" t="str">
        <f aca="false">COUNTA(C229:C247)&amp;" tube(s)"</f>
        <v>19 tube(s)</v>
      </c>
      <c r="I248" s="106"/>
      <c r="J248" s="106"/>
    </row>
    <row r="250" customFormat="false" ht="15" hidden="false" customHeight="false" outlineLevel="0" collapsed="false">
      <c r="B250" s="109" t="s">
        <v>3032</v>
      </c>
      <c r="F250" s="109" t="s">
        <v>3033</v>
      </c>
      <c r="I250" s="109" t="s">
        <v>3034</v>
      </c>
    </row>
    <row r="253" customFormat="false" ht="25.5" hidden="false" customHeight="true" outlineLevel="0" collapsed="false">
      <c r="B253" s="85" t="s">
        <v>3015</v>
      </c>
      <c r="C253" s="85"/>
      <c r="D253" s="85"/>
      <c r="E253" s="85"/>
      <c r="F253" s="85"/>
      <c r="G253" s="85"/>
      <c r="H253" s="85"/>
      <c r="I253" s="85"/>
      <c r="J253" s="85"/>
    </row>
    <row r="254" customFormat="false" ht="15" hidden="false" customHeight="false" outlineLevel="0" collapsed="false">
      <c r="B254" s="86" t="str">
        <f aca="false">PARAMÈTRES!$C$4&amp;"   •   Affaire N° "&amp;PARAMÈTRES!$C$5</f>
        <v>Développement des champs gaziers TFT II — réseau de collecte TFT Sud (LIGNE-16)   •   Affaire N° 8546</v>
      </c>
      <c r="C254" s="86"/>
      <c r="D254" s="86"/>
      <c r="E254" s="86"/>
      <c r="F254" s="86"/>
      <c r="G254" s="86"/>
      <c r="H254" s="86"/>
      <c r="I254" s="86"/>
      <c r="J254" s="86"/>
    </row>
    <row r="255" customFormat="false" ht="19.5" hidden="false" customHeight="true" outlineLevel="0" collapsed="false">
      <c r="B255" s="87" t="s">
        <v>3016</v>
      </c>
      <c r="C255" s="88" t="s">
        <v>110</v>
      </c>
      <c r="D255" s="88"/>
      <c r="E255" s="87" t="s">
        <v>3017</v>
      </c>
      <c r="F255" s="88" t="s">
        <v>3051</v>
      </c>
      <c r="G255" s="87" t="s">
        <v>3019</v>
      </c>
      <c r="H255" s="88" t="s">
        <v>3052</v>
      </c>
      <c r="I255" s="87" t="s">
        <v>3021</v>
      </c>
      <c r="J255" s="89"/>
    </row>
    <row r="256" customFormat="false" ht="27.75" hidden="false" customHeight="true" outlineLevel="0" collapsed="false">
      <c r="B256" s="71" t="s">
        <v>3022</v>
      </c>
      <c r="C256" s="71" t="s">
        <v>3023</v>
      </c>
      <c r="D256" s="71" t="s">
        <v>3024</v>
      </c>
      <c r="E256" s="71" t="s">
        <v>3025</v>
      </c>
      <c r="F256" s="71" t="s">
        <v>3026</v>
      </c>
      <c r="G256" s="71" t="s">
        <v>3027</v>
      </c>
      <c r="H256" s="71" t="s">
        <v>3028</v>
      </c>
      <c r="I256" s="71" t="s">
        <v>3029</v>
      </c>
      <c r="J256" s="71" t="s">
        <v>3030</v>
      </c>
    </row>
    <row r="257" customFormat="false" ht="15" hidden="false" customHeight="false" outlineLevel="0" collapsed="false">
      <c r="B257" s="90" t="n">
        <v>172</v>
      </c>
      <c r="C257" s="91" t="n">
        <v>2097600</v>
      </c>
      <c r="D257" s="92" t="n">
        <f aca="false">IF($C257="","",IFERROR(IF(INDEX('REGISTRE TUBES'!$C$7:$C$2506,MATCH($C257,'REGISTRE TUBES'!$B$7:$B$2506,0))="","",INDEX('REGISTRE TUBES'!$C$7:$C$2506,MATCH($C257,'REGISTRE TUBES'!$B$7:$B$2506,0))),"?"))</f>
        <v>15421106</v>
      </c>
      <c r="E257" s="92" t="str">
        <f aca="false">IF($C257="","",IFERROR(IF(INDEX('REGISTRE TUBES'!$D$7:$D$2506,MATCH($C257,'REGISTRE TUBES'!$B$7:$B$2506,0))="","",INDEX('REGISTRE TUBES'!$D$7:$D$2506,MATCH($C257,'REGISTRE TUBES'!$B$7:$B$2506,0))),"?"))</f>
        <v/>
      </c>
      <c r="F257" s="93" t="n">
        <f aca="false">IF($C257="","",IFERROR(IF(INDEX('REGISTRE TUBES'!$F$7:$F$2506,MATCH($C257,'REGISTRE TUBES'!$B$7:$B$2506,0))="","",INDEX('REGISTRE TUBES'!$F$7:$F$2506,MATCH($C257,'REGISTRE TUBES'!$B$7:$B$2506,0))),"?"))</f>
        <v>11.94</v>
      </c>
      <c r="G257" s="94" t="n">
        <f aca="false">IF($C257="","",N(G247)+N(F257))</f>
        <v>2053.71000000001</v>
      </c>
      <c r="H257" s="95" t="s">
        <v>1102</v>
      </c>
      <c r="I257" s="96"/>
      <c r="J257" s="97"/>
    </row>
    <row r="258" customFormat="false" ht="15" hidden="false" customHeight="false" outlineLevel="0" collapsed="false">
      <c r="B258" s="98" t="n">
        <v>173</v>
      </c>
      <c r="C258" s="99" t="n">
        <v>2098600</v>
      </c>
      <c r="D258" s="100" t="n">
        <f aca="false">IF($C258="","",IFERROR(IF(INDEX('REGISTRE TUBES'!$C$7:$C$2506,MATCH($C258,'REGISTRE TUBES'!$B$7:$B$2506,0))="","",INDEX('REGISTRE TUBES'!$C$7:$C$2506,MATCH($C258,'REGISTRE TUBES'!$B$7:$B$2506,0))),"?"))</f>
        <v>15421112</v>
      </c>
      <c r="E258" s="100" t="str">
        <f aca="false">IF($C258="","",IFERROR(IF(INDEX('REGISTRE TUBES'!$D$7:$D$2506,MATCH($C258,'REGISTRE TUBES'!$B$7:$B$2506,0))="","",INDEX('REGISTRE TUBES'!$D$7:$D$2506,MATCH($C258,'REGISTRE TUBES'!$B$7:$B$2506,0))),"?"))</f>
        <v/>
      </c>
      <c r="F258" s="101" t="n">
        <f aca="false">IF($C258="","",IFERROR(IF(INDEX('REGISTRE TUBES'!$F$7:$F$2506,MATCH($C258,'REGISTRE TUBES'!$B$7:$B$2506,0))="","",INDEX('REGISTRE TUBES'!$F$7:$F$2506,MATCH($C258,'REGISTRE TUBES'!$B$7:$B$2506,0))),"?"))</f>
        <v>11.94</v>
      </c>
      <c r="G258" s="102" t="n">
        <f aca="false">IF($C258="","",N(G257)+N(F258))</f>
        <v>2065.65000000001</v>
      </c>
      <c r="H258" s="103" t="s">
        <v>1104</v>
      </c>
      <c r="I258" s="104"/>
      <c r="J258" s="105"/>
    </row>
    <row r="259" customFormat="false" ht="15" hidden="false" customHeight="false" outlineLevel="0" collapsed="false">
      <c r="B259" s="90" t="n">
        <v>174</v>
      </c>
      <c r="C259" s="91" t="n">
        <v>2091830</v>
      </c>
      <c r="D259" s="92" t="n">
        <f aca="false">IF($C259="","",IFERROR(IF(INDEX('REGISTRE TUBES'!$C$7:$C$2506,MATCH($C259,'REGISTRE TUBES'!$B$7:$B$2506,0))="","",INDEX('REGISTRE TUBES'!$C$7:$C$2506,MATCH($C259,'REGISTRE TUBES'!$B$7:$B$2506,0))),"?"))</f>
        <v>15421109</v>
      </c>
      <c r="E259" s="92" t="str">
        <f aca="false">IF($C259="","",IFERROR(IF(INDEX('REGISTRE TUBES'!$D$7:$D$2506,MATCH($C259,'REGISTRE TUBES'!$B$7:$B$2506,0))="","",INDEX('REGISTRE TUBES'!$D$7:$D$2506,MATCH($C259,'REGISTRE TUBES'!$B$7:$B$2506,0))),"?"))</f>
        <v/>
      </c>
      <c r="F259" s="93" t="n">
        <f aca="false">IF($C259="","",IFERROR(IF(INDEX('REGISTRE TUBES'!$F$7:$F$2506,MATCH($C259,'REGISTRE TUBES'!$B$7:$B$2506,0))="","",INDEX('REGISTRE TUBES'!$F$7:$F$2506,MATCH($C259,'REGISTRE TUBES'!$B$7:$B$2506,0))),"?"))</f>
        <v>11.94</v>
      </c>
      <c r="G259" s="94" t="n">
        <f aca="false">IF($C259="","",N(G258)+N(F259))</f>
        <v>2077.59000000001</v>
      </c>
      <c r="H259" s="95" t="s">
        <v>1105</v>
      </c>
      <c r="I259" s="96"/>
      <c r="J259" s="97"/>
    </row>
    <row r="260" customFormat="false" ht="15" hidden="false" customHeight="false" outlineLevel="0" collapsed="false">
      <c r="B260" s="98" t="n">
        <v>175</v>
      </c>
      <c r="C260" s="99" t="n">
        <v>2085000</v>
      </c>
      <c r="D260" s="100" t="n">
        <f aca="false">IF($C260="","",IFERROR(IF(INDEX('REGISTRE TUBES'!$C$7:$C$2506,MATCH($C260,'REGISTRE TUBES'!$B$7:$B$2506,0))="","",INDEX('REGISTRE TUBES'!$C$7:$C$2506,MATCH($C260,'REGISTRE TUBES'!$B$7:$B$2506,0))),"?"))</f>
        <v>15421106</v>
      </c>
      <c r="E260" s="100" t="str">
        <f aca="false">IF($C260="","",IFERROR(IF(INDEX('REGISTRE TUBES'!$D$7:$D$2506,MATCH($C260,'REGISTRE TUBES'!$B$7:$B$2506,0))="","",INDEX('REGISTRE TUBES'!$D$7:$D$2506,MATCH($C260,'REGISTRE TUBES'!$B$7:$B$2506,0))),"?"))</f>
        <v/>
      </c>
      <c r="F260" s="101" t="n">
        <f aca="false">IF($C260="","",IFERROR(IF(INDEX('REGISTRE TUBES'!$F$7:$F$2506,MATCH($C260,'REGISTRE TUBES'!$B$7:$B$2506,0))="","",INDEX('REGISTRE TUBES'!$F$7:$F$2506,MATCH($C260,'REGISTRE TUBES'!$B$7:$B$2506,0))),"?"))</f>
        <v>11.94</v>
      </c>
      <c r="G260" s="102" t="n">
        <f aca="false">IF($C260="","",N(G259)+N(F260))</f>
        <v>2089.53000000001</v>
      </c>
      <c r="H260" s="103" t="s">
        <v>1106</v>
      </c>
      <c r="I260" s="104"/>
      <c r="J260" s="105"/>
    </row>
    <row r="261" customFormat="false" ht="15" hidden="false" customHeight="false" outlineLevel="0" collapsed="false">
      <c r="B261" s="90" t="n">
        <v>176</v>
      </c>
      <c r="C261" s="91" t="n">
        <v>2080150</v>
      </c>
      <c r="D261" s="92" t="n">
        <f aca="false">IF($C261="","",IFERROR(IF(INDEX('REGISTRE TUBES'!$C$7:$C$2506,MATCH($C261,'REGISTRE TUBES'!$B$7:$B$2506,0))="","",INDEX('REGISTRE TUBES'!$C$7:$C$2506,MATCH($C261,'REGISTRE TUBES'!$B$7:$B$2506,0))),"?"))</f>
        <v>15421102</v>
      </c>
      <c r="E261" s="92" t="str">
        <f aca="false">IF($C261="","",IFERROR(IF(INDEX('REGISTRE TUBES'!$D$7:$D$2506,MATCH($C261,'REGISTRE TUBES'!$B$7:$B$2506,0))="","",INDEX('REGISTRE TUBES'!$D$7:$D$2506,MATCH($C261,'REGISTRE TUBES'!$B$7:$B$2506,0))),"?"))</f>
        <v/>
      </c>
      <c r="F261" s="93" t="n">
        <f aca="false">IF($C261="","",IFERROR(IF(INDEX('REGISTRE TUBES'!$F$7:$F$2506,MATCH($C261,'REGISTRE TUBES'!$B$7:$B$2506,0))="","",INDEX('REGISTRE TUBES'!$F$7:$F$2506,MATCH($C261,'REGISTRE TUBES'!$B$7:$B$2506,0))),"?"))</f>
        <v>11.94</v>
      </c>
      <c r="G261" s="94" t="n">
        <f aca="false">IF($C261="","",N(G260)+N(F261))</f>
        <v>2101.47000000001</v>
      </c>
      <c r="H261" s="95" t="s">
        <v>1107</v>
      </c>
      <c r="I261" s="96"/>
      <c r="J261" s="97"/>
    </row>
    <row r="262" customFormat="false" ht="15" hidden="false" customHeight="false" outlineLevel="0" collapsed="false">
      <c r="B262" s="98" t="n">
        <v>177</v>
      </c>
      <c r="C262" s="99" t="n">
        <v>2093550</v>
      </c>
      <c r="D262" s="100" t="n">
        <f aca="false">IF($C262="","",IFERROR(IF(INDEX('REGISTRE TUBES'!$C$7:$C$2506,MATCH($C262,'REGISTRE TUBES'!$B$7:$B$2506,0))="","",INDEX('REGISTRE TUBES'!$C$7:$C$2506,MATCH($C262,'REGISTRE TUBES'!$B$7:$B$2506,0))),"?"))</f>
        <v>15421110</v>
      </c>
      <c r="E262" s="100" t="str">
        <f aca="false">IF($C262="","",IFERROR(IF(INDEX('REGISTRE TUBES'!$D$7:$D$2506,MATCH($C262,'REGISTRE TUBES'!$B$7:$B$2506,0))="","",INDEX('REGISTRE TUBES'!$D$7:$D$2506,MATCH($C262,'REGISTRE TUBES'!$B$7:$B$2506,0))),"?"))</f>
        <v/>
      </c>
      <c r="F262" s="101" t="n">
        <f aca="false">IF($C262="","",IFERROR(IF(INDEX('REGISTRE TUBES'!$F$7:$F$2506,MATCH($C262,'REGISTRE TUBES'!$B$7:$B$2506,0))="","",INDEX('REGISTRE TUBES'!$F$7:$F$2506,MATCH($C262,'REGISTRE TUBES'!$B$7:$B$2506,0))),"?"))</f>
        <v>11.94</v>
      </c>
      <c r="G262" s="102" t="n">
        <f aca="false">IF($C262="","",N(G261)+N(F262))</f>
        <v>2113.41000000001</v>
      </c>
      <c r="H262" s="103" t="s">
        <v>1108</v>
      </c>
      <c r="I262" s="104"/>
      <c r="J262" s="105"/>
    </row>
    <row r="263" customFormat="false" ht="15" hidden="false" customHeight="false" outlineLevel="0" collapsed="false">
      <c r="B263" s="90" t="n">
        <v>178</v>
      </c>
      <c r="C263" s="91" t="n">
        <v>2078810</v>
      </c>
      <c r="D263" s="92" t="n">
        <f aca="false">IF($C263="","",IFERROR(IF(INDEX('REGISTRE TUBES'!$C$7:$C$2506,MATCH($C263,'REGISTRE TUBES'!$B$7:$B$2506,0))="","",INDEX('REGISTRE TUBES'!$C$7:$C$2506,MATCH($C263,'REGISTRE TUBES'!$B$7:$B$2506,0))),"?"))</f>
        <v>15421101</v>
      </c>
      <c r="E263" s="92" t="str">
        <f aca="false">IF($C263="","",IFERROR(IF(INDEX('REGISTRE TUBES'!$D$7:$D$2506,MATCH($C263,'REGISTRE TUBES'!$B$7:$B$2506,0))="","",INDEX('REGISTRE TUBES'!$D$7:$D$2506,MATCH($C263,'REGISTRE TUBES'!$B$7:$B$2506,0))),"?"))</f>
        <v/>
      </c>
      <c r="F263" s="93" t="n">
        <f aca="false">IF($C263="","",IFERROR(IF(INDEX('REGISTRE TUBES'!$F$7:$F$2506,MATCH($C263,'REGISTRE TUBES'!$B$7:$B$2506,0))="","",INDEX('REGISTRE TUBES'!$F$7:$F$2506,MATCH($C263,'REGISTRE TUBES'!$B$7:$B$2506,0))),"?"))</f>
        <v>11.94</v>
      </c>
      <c r="G263" s="94" t="n">
        <f aca="false">IF($C263="","",N(G262)+N(F263))</f>
        <v>2125.35000000001</v>
      </c>
      <c r="H263" s="95" t="s">
        <v>1109</v>
      </c>
      <c r="I263" s="96"/>
      <c r="J263" s="97"/>
    </row>
    <row r="264" customFormat="false" ht="15" hidden="false" customHeight="false" outlineLevel="0" collapsed="false">
      <c r="B264" s="98" t="n">
        <v>179</v>
      </c>
      <c r="C264" s="99" t="n">
        <v>2083330</v>
      </c>
      <c r="D264" s="100" t="n">
        <f aca="false">IF($C264="","",IFERROR(IF(INDEX('REGISTRE TUBES'!$C$7:$C$2506,MATCH($C264,'REGISTRE TUBES'!$B$7:$B$2506,0))="","",INDEX('REGISTRE TUBES'!$C$7:$C$2506,MATCH($C264,'REGISTRE TUBES'!$B$7:$B$2506,0))),"?"))</f>
        <v>15421105</v>
      </c>
      <c r="E264" s="100" t="str">
        <f aca="false">IF($C264="","",IFERROR(IF(INDEX('REGISTRE TUBES'!$D$7:$D$2506,MATCH($C264,'REGISTRE TUBES'!$B$7:$B$2506,0))="","",INDEX('REGISTRE TUBES'!$D$7:$D$2506,MATCH($C264,'REGISTRE TUBES'!$B$7:$B$2506,0))),"?"))</f>
        <v/>
      </c>
      <c r="F264" s="101" t="n">
        <f aca="false">IF($C264="","",IFERROR(IF(INDEX('REGISTRE TUBES'!$F$7:$F$2506,MATCH($C264,'REGISTRE TUBES'!$B$7:$B$2506,0))="","",INDEX('REGISTRE TUBES'!$F$7:$F$2506,MATCH($C264,'REGISTRE TUBES'!$B$7:$B$2506,0))),"?"))</f>
        <v>11.94</v>
      </c>
      <c r="G264" s="102" t="n">
        <f aca="false">IF($C264="","",N(G263)+N(F264))</f>
        <v>2137.29000000001</v>
      </c>
      <c r="H264" s="103" t="s">
        <v>1110</v>
      </c>
      <c r="I264" s="104"/>
      <c r="J264" s="105"/>
    </row>
    <row r="265" customFormat="false" ht="15" hidden="false" customHeight="false" outlineLevel="0" collapsed="false">
      <c r="B265" s="90" t="n">
        <v>180</v>
      </c>
      <c r="C265" s="91" t="n">
        <v>2080740</v>
      </c>
      <c r="D265" s="92" t="n">
        <f aca="false">IF($C265="","",IFERROR(IF(INDEX('REGISTRE TUBES'!$C$7:$C$2506,MATCH($C265,'REGISTRE TUBES'!$B$7:$B$2506,0))="","",INDEX('REGISTRE TUBES'!$C$7:$C$2506,MATCH($C265,'REGISTRE TUBES'!$B$7:$B$2506,0))),"?"))</f>
        <v>15421103</v>
      </c>
      <c r="E265" s="92" t="str">
        <f aca="false">IF($C265="","",IFERROR(IF(INDEX('REGISTRE TUBES'!$D$7:$D$2506,MATCH($C265,'REGISTRE TUBES'!$B$7:$B$2506,0))="","",INDEX('REGISTRE TUBES'!$D$7:$D$2506,MATCH($C265,'REGISTRE TUBES'!$B$7:$B$2506,0))),"?"))</f>
        <v/>
      </c>
      <c r="F265" s="93" t="n">
        <f aca="false">IF($C265="","",IFERROR(IF(INDEX('REGISTRE TUBES'!$F$7:$F$2506,MATCH($C265,'REGISTRE TUBES'!$B$7:$B$2506,0))="","",INDEX('REGISTRE TUBES'!$F$7:$F$2506,MATCH($C265,'REGISTRE TUBES'!$B$7:$B$2506,0))),"?"))</f>
        <v>11.94</v>
      </c>
      <c r="G265" s="94" t="n">
        <f aca="false">IF($C265="","",N(G264)+N(F265))</f>
        <v>2149.23000000001</v>
      </c>
      <c r="H265" s="95" t="s">
        <v>1111</v>
      </c>
      <c r="I265" s="96"/>
      <c r="J265" s="97"/>
    </row>
    <row r="266" customFormat="false" ht="15" hidden="false" customHeight="false" outlineLevel="0" collapsed="false">
      <c r="B266" s="98" t="n">
        <v>181</v>
      </c>
      <c r="C266" s="99" t="n">
        <v>2092050</v>
      </c>
      <c r="D266" s="100" t="n">
        <f aca="false">IF($C266="","",IFERROR(IF(INDEX('REGISTRE TUBES'!$C$7:$C$2506,MATCH($C266,'REGISTRE TUBES'!$B$7:$B$2506,0))="","",INDEX('REGISTRE TUBES'!$C$7:$C$2506,MATCH($C266,'REGISTRE TUBES'!$B$7:$B$2506,0))),"?"))</f>
        <v>15421105</v>
      </c>
      <c r="E266" s="100" t="str">
        <f aca="false">IF($C266="","",IFERROR(IF(INDEX('REGISTRE TUBES'!$D$7:$D$2506,MATCH($C266,'REGISTRE TUBES'!$B$7:$B$2506,0))="","",INDEX('REGISTRE TUBES'!$D$7:$D$2506,MATCH($C266,'REGISTRE TUBES'!$B$7:$B$2506,0))),"?"))</f>
        <v/>
      </c>
      <c r="F266" s="101" t="n">
        <f aca="false">IF($C266="","",IFERROR(IF(INDEX('REGISTRE TUBES'!$F$7:$F$2506,MATCH($C266,'REGISTRE TUBES'!$B$7:$B$2506,0))="","",INDEX('REGISTRE TUBES'!$F$7:$F$2506,MATCH($C266,'REGISTRE TUBES'!$B$7:$B$2506,0))),"?"))</f>
        <v>11.94</v>
      </c>
      <c r="G266" s="102" t="n">
        <f aca="false">IF($C266="","",N(G265)+N(F266))</f>
        <v>2161.17000000001</v>
      </c>
      <c r="H266" s="103" t="s">
        <v>1113</v>
      </c>
      <c r="I266" s="104"/>
      <c r="J266" s="105"/>
    </row>
    <row r="267" customFormat="false" ht="15" hidden="false" customHeight="false" outlineLevel="0" collapsed="false">
      <c r="B267" s="90" t="n">
        <v>182</v>
      </c>
      <c r="C267" s="91" t="n">
        <v>2086340</v>
      </c>
      <c r="D267" s="92" t="n">
        <f aca="false">IF($C267="","",IFERROR(IF(INDEX('REGISTRE TUBES'!$C$7:$C$2506,MATCH($C267,'REGISTRE TUBES'!$B$7:$B$2506,0))="","",INDEX('REGISTRE TUBES'!$C$7:$C$2506,MATCH($C267,'REGISTRE TUBES'!$B$7:$B$2506,0))),"?"))</f>
        <v>15421107</v>
      </c>
      <c r="E267" s="92" t="str">
        <f aca="false">IF($C267="","",IFERROR(IF(INDEX('REGISTRE TUBES'!$D$7:$D$2506,MATCH($C267,'REGISTRE TUBES'!$B$7:$B$2506,0))="","",INDEX('REGISTRE TUBES'!$D$7:$D$2506,MATCH($C267,'REGISTRE TUBES'!$B$7:$B$2506,0))),"?"))</f>
        <v/>
      </c>
      <c r="F267" s="93" t="n">
        <f aca="false">IF($C267="","",IFERROR(IF(INDEX('REGISTRE TUBES'!$F$7:$F$2506,MATCH($C267,'REGISTRE TUBES'!$B$7:$B$2506,0))="","",INDEX('REGISTRE TUBES'!$F$7:$F$2506,MATCH($C267,'REGISTRE TUBES'!$B$7:$B$2506,0))),"?"))</f>
        <v>11.94</v>
      </c>
      <c r="G267" s="94" t="n">
        <f aca="false">IF($C267="","",N(G266)+N(F267))</f>
        <v>2173.11000000001</v>
      </c>
      <c r="H267" s="95" t="s">
        <v>1114</v>
      </c>
      <c r="I267" s="96"/>
      <c r="J267" s="97"/>
    </row>
    <row r="268" customFormat="false" ht="15" hidden="false" customHeight="false" outlineLevel="0" collapsed="false">
      <c r="B268" s="98" t="n">
        <v>183</v>
      </c>
      <c r="C268" s="99" t="n">
        <v>2082100</v>
      </c>
      <c r="D268" s="100" t="n">
        <f aca="false">IF($C268="","",IFERROR(IF(INDEX('REGISTRE TUBES'!$C$7:$C$2506,MATCH($C268,'REGISTRE TUBES'!$B$7:$B$2506,0))="","",INDEX('REGISTRE TUBES'!$C$7:$C$2506,MATCH($C268,'REGISTRE TUBES'!$B$7:$B$2506,0))),"?"))</f>
        <v>15421104</v>
      </c>
      <c r="E268" s="100" t="str">
        <f aca="false">IF($C268="","",IFERROR(IF(INDEX('REGISTRE TUBES'!$D$7:$D$2506,MATCH($C268,'REGISTRE TUBES'!$B$7:$B$2506,0))="","",INDEX('REGISTRE TUBES'!$D$7:$D$2506,MATCH($C268,'REGISTRE TUBES'!$B$7:$B$2506,0))),"?"))</f>
        <v/>
      </c>
      <c r="F268" s="101" t="n">
        <f aca="false">IF($C268="","",IFERROR(IF(INDEX('REGISTRE TUBES'!$F$7:$F$2506,MATCH($C268,'REGISTRE TUBES'!$B$7:$B$2506,0))="","",INDEX('REGISTRE TUBES'!$F$7:$F$2506,MATCH($C268,'REGISTRE TUBES'!$B$7:$B$2506,0))),"?"))</f>
        <v>11.94</v>
      </c>
      <c r="G268" s="102" t="n">
        <f aca="false">IF($C268="","",N(G267)+N(F268))</f>
        <v>2185.05000000001</v>
      </c>
      <c r="H268" s="103" t="s">
        <v>1115</v>
      </c>
      <c r="I268" s="104"/>
      <c r="J268" s="105"/>
    </row>
    <row r="269" customFormat="false" ht="15" hidden="false" customHeight="false" outlineLevel="0" collapsed="false">
      <c r="B269" s="90" t="n">
        <v>184</v>
      </c>
      <c r="C269" s="91" t="n">
        <v>2082420</v>
      </c>
      <c r="D269" s="92" t="n">
        <f aca="false">IF($C269="","",IFERROR(IF(INDEX('REGISTRE TUBES'!$C$7:$C$2506,MATCH($C269,'REGISTRE TUBES'!$B$7:$B$2506,0))="","",INDEX('REGISTRE TUBES'!$C$7:$C$2506,MATCH($C269,'REGISTRE TUBES'!$B$7:$B$2506,0))),"?"))</f>
        <v>15421104</v>
      </c>
      <c r="E269" s="92" t="str">
        <f aca="false">IF($C269="","",IFERROR(IF(INDEX('REGISTRE TUBES'!$D$7:$D$2506,MATCH($C269,'REGISTRE TUBES'!$B$7:$B$2506,0))="","",INDEX('REGISTRE TUBES'!$D$7:$D$2506,MATCH($C269,'REGISTRE TUBES'!$B$7:$B$2506,0))),"?"))</f>
        <v/>
      </c>
      <c r="F269" s="93" t="n">
        <f aca="false">IF($C269="","",IFERROR(IF(INDEX('REGISTRE TUBES'!$F$7:$F$2506,MATCH($C269,'REGISTRE TUBES'!$B$7:$B$2506,0))="","",INDEX('REGISTRE TUBES'!$F$7:$F$2506,MATCH($C269,'REGISTRE TUBES'!$B$7:$B$2506,0))),"?"))</f>
        <v>11.94</v>
      </c>
      <c r="G269" s="94" t="n">
        <f aca="false">IF($C269="","",N(G268)+N(F269))</f>
        <v>2196.99000000001</v>
      </c>
      <c r="H269" s="95" t="s">
        <v>1118</v>
      </c>
      <c r="I269" s="96"/>
      <c r="J269" s="97"/>
    </row>
    <row r="270" customFormat="false" ht="15" hidden="false" customHeight="false" outlineLevel="0" collapsed="false">
      <c r="B270" s="98" t="n">
        <v>185</v>
      </c>
      <c r="C270" s="99" t="n">
        <v>2080750</v>
      </c>
      <c r="D270" s="100" t="n">
        <f aca="false">IF($C270="","",IFERROR(IF(INDEX('REGISTRE TUBES'!$C$7:$C$2506,MATCH($C270,'REGISTRE TUBES'!$B$7:$B$2506,0))="","",INDEX('REGISTRE TUBES'!$C$7:$C$2506,MATCH($C270,'REGISTRE TUBES'!$B$7:$B$2506,0))),"?"))</f>
        <v>15421103</v>
      </c>
      <c r="E270" s="100" t="str">
        <f aca="false">IF($C270="","",IFERROR(IF(INDEX('REGISTRE TUBES'!$D$7:$D$2506,MATCH($C270,'REGISTRE TUBES'!$B$7:$B$2506,0))="","",INDEX('REGISTRE TUBES'!$D$7:$D$2506,MATCH($C270,'REGISTRE TUBES'!$B$7:$B$2506,0))),"?"))</f>
        <v/>
      </c>
      <c r="F270" s="101" t="n">
        <f aca="false">IF($C270="","",IFERROR(IF(INDEX('REGISTRE TUBES'!$F$7:$F$2506,MATCH($C270,'REGISTRE TUBES'!$B$7:$B$2506,0))="","",INDEX('REGISTRE TUBES'!$F$7:$F$2506,MATCH($C270,'REGISTRE TUBES'!$B$7:$B$2506,0))),"?"))</f>
        <v>11.94</v>
      </c>
      <c r="G270" s="102" t="n">
        <f aca="false">IF($C270="","",N(G269)+N(F270))</f>
        <v>2208.93000000001</v>
      </c>
      <c r="H270" s="103" t="s">
        <v>1119</v>
      </c>
      <c r="I270" s="104"/>
      <c r="J270" s="105"/>
    </row>
    <row r="271" customFormat="false" ht="15" hidden="false" customHeight="false" outlineLevel="0" collapsed="false">
      <c r="B271" s="90" t="n">
        <v>186</v>
      </c>
      <c r="C271" s="91" t="n">
        <v>2093230</v>
      </c>
      <c r="D271" s="92" t="n">
        <f aca="false">IF($C271="","",IFERROR(IF(INDEX('REGISTRE TUBES'!$C$7:$C$2506,MATCH($C271,'REGISTRE TUBES'!$B$7:$B$2506,0))="","",INDEX('REGISTRE TUBES'!$C$7:$C$2506,MATCH($C271,'REGISTRE TUBES'!$B$7:$B$2506,0))),"?"))</f>
        <v>15421110</v>
      </c>
      <c r="E271" s="92" t="str">
        <f aca="false">IF($C271="","",IFERROR(IF(INDEX('REGISTRE TUBES'!$D$7:$D$2506,MATCH($C271,'REGISTRE TUBES'!$B$7:$B$2506,0))="","",INDEX('REGISTRE TUBES'!$D$7:$D$2506,MATCH($C271,'REGISTRE TUBES'!$B$7:$B$2506,0))),"?"))</f>
        <v/>
      </c>
      <c r="F271" s="93" t="n">
        <f aca="false">IF($C271="","",IFERROR(IF(INDEX('REGISTRE TUBES'!$F$7:$F$2506,MATCH($C271,'REGISTRE TUBES'!$B$7:$B$2506,0))="","",INDEX('REGISTRE TUBES'!$F$7:$F$2506,MATCH($C271,'REGISTRE TUBES'!$B$7:$B$2506,0))),"?"))</f>
        <v>11.94</v>
      </c>
      <c r="G271" s="94" t="n">
        <f aca="false">IF($C271="","",N(G270)+N(F271))</f>
        <v>2220.87000000001</v>
      </c>
      <c r="H271" s="95" t="s">
        <v>1120</v>
      </c>
      <c r="I271" s="96"/>
      <c r="J271" s="97"/>
    </row>
    <row r="272" customFormat="false" ht="15" hidden="false" customHeight="false" outlineLevel="0" collapsed="false">
      <c r="B272" s="98" t="n">
        <v>187</v>
      </c>
      <c r="C272" s="99" t="n">
        <v>2079500</v>
      </c>
      <c r="D272" s="100" t="n">
        <f aca="false">IF($C272="","",IFERROR(IF(INDEX('REGISTRE TUBES'!$C$7:$C$2506,MATCH($C272,'REGISTRE TUBES'!$B$7:$B$2506,0))="","",INDEX('REGISTRE TUBES'!$C$7:$C$2506,MATCH($C272,'REGISTRE TUBES'!$B$7:$B$2506,0))),"?"))</f>
        <v>15421102</v>
      </c>
      <c r="E272" s="100" t="str">
        <f aca="false">IF($C272="","",IFERROR(IF(INDEX('REGISTRE TUBES'!$D$7:$D$2506,MATCH($C272,'REGISTRE TUBES'!$B$7:$B$2506,0))="","",INDEX('REGISTRE TUBES'!$D$7:$D$2506,MATCH($C272,'REGISTRE TUBES'!$B$7:$B$2506,0))),"?"))</f>
        <v/>
      </c>
      <c r="F272" s="101" t="n">
        <f aca="false">IF($C272="","",IFERROR(IF(INDEX('REGISTRE TUBES'!$F$7:$F$2506,MATCH($C272,'REGISTRE TUBES'!$B$7:$B$2506,0))="","",INDEX('REGISTRE TUBES'!$F$7:$F$2506,MATCH($C272,'REGISTRE TUBES'!$B$7:$B$2506,0))),"?"))</f>
        <v>11.94</v>
      </c>
      <c r="G272" s="102" t="n">
        <f aca="false">IF($C272="","",N(G271)+N(F272))</f>
        <v>2232.81000000001</v>
      </c>
      <c r="H272" s="103" t="s">
        <v>1121</v>
      </c>
      <c r="I272" s="104"/>
      <c r="J272" s="105"/>
    </row>
    <row r="273" customFormat="false" ht="15" hidden="false" customHeight="false" outlineLevel="0" collapsed="false">
      <c r="B273" s="90" t="n">
        <v>188</v>
      </c>
      <c r="C273" s="91" t="n">
        <v>2097980</v>
      </c>
      <c r="D273" s="92" t="n">
        <f aca="false">IF($C273="","",IFERROR(IF(INDEX('REGISTRE TUBES'!$C$7:$C$2506,MATCH($C273,'REGISTRE TUBES'!$B$7:$B$2506,0))="","",INDEX('REGISTRE TUBES'!$C$7:$C$2506,MATCH($C273,'REGISTRE TUBES'!$B$7:$B$2506,0))),"?"))</f>
        <v>15421112</v>
      </c>
      <c r="E273" s="92" t="str">
        <f aca="false">IF($C273="","",IFERROR(IF(INDEX('REGISTRE TUBES'!$D$7:$D$2506,MATCH($C273,'REGISTRE TUBES'!$B$7:$B$2506,0))="","",INDEX('REGISTRE TUBES'!$D$7:$D$2506,MATCH($C273,'REGISTRE TUBES'!$B$7:$B$2506,0))),"?"))</f>
        <v/>
      </c>
      <c r="F273" s="93" t="n">
        <f aca="false">IF($C273="","",IFERROR(IF(INDEX('REGISTRE TUBES'!$F$7:$F$2506,MATCH($C273,'REGISTRE TUBES'!$B$7:$B$2506,0))="","",INDEX('REGISTRE TUBES'!$F$7:$F$2506,MATCH($C273,'REGISTRE TUBES'!$B$7:$B$2506,0))),"?"))</f>
        <v>11.94</v>
      </c>
      <c r="G273" s="94" t="n">
        <f aca="false">IF($C273="","",N(G272)+N(F273))</f>
        <v>2244.75000000001</v>
      </c>
      <c r="H273" s="95" t="s">
        <v>1122</v>
      </c>
      <c r="I273" s="96"/>
      <c r="J273" s="97"/>
    </row>
    <row r="274" customFormat="false" ht="15" hidden="false" customHeight="false" outlineLevel="0" collapsed="false">
      <c r="B274" s="98" t="n">
        <v>189</v>
      </c>
      <c r="C274" s="99" t="n">
        <v>2095850</v>
      </c>
      <c r="D274" s="100" t="n">
        <f aca="false">IF($C274="","",IFERROR(IF(INDEX('REGISTRE TUBES'!$C$7:$C$2506,MATCH($C274,'REGISTRE TUBES'!$B$7:$B$2506,0))="","",INDEX('REGISTRE TUBES'!$C$7:$C$2506,MATCH($C274,'REGISTRE TUBES'!$B$7:$B$2506,0))),"?"))</f>
        <v>15421111</v>
      </c>
      <c r="E274" s="100" t="str">
        <f aca="false">IF($C274="","",IFERROR(IF(INDEX('REGISTRE TUBES'!$D$7:$D$2506,MATCH($C274,'REGISTRE TUBES'!$B$7:$B$2506,0))="","",INDEX('REGISTRE TUBES'!$D$7:$D$2506,MATCH($C274,'REGISTRE TUBES'!$B$7:$B$2506,0))),"?"))</f>
        <v/>
      </c>
      <c r="F274" s="101" t="n">
        <f aca="false">IF($C274="","",IFERROR(IF(INDEX('REGISTRE TUBES'!$F$7:$F$2506,MATCH($C274,'REGISTRE TUBES'!$B$7:$B$2506,0))="","",INDEX('REGISTRE TUBES'!$F$7:$F$2506,MATCH($C274,'REGISTRE TUBES'!$B$7:$B$2506,0))),"?"))</f>
        <v>11.94</v>
      </c>
      <c r="G274" s="102" t="n">
        <f aca="false">IF($C274="","",N(G273)+N(F274))</f>
        <v>2256.69000000001</v>
      </c>
      <c r="H274" s="103" t="s">
        <v>1123</v>
      </c>
      <c r="I274" s="104"/>
      <c r="J274" s="105"/>
    </row>
    <row r="275" customFormat="false" ht="15" hidden="false" customHeight="false" outlineLevel="0" collapsed="false">
      <c r="B275" s="90" t="n">
        <v>190</v>
      </c>
      <c r="C275" s="91" t="n">
        <v>2084990</v>
      </c>
      <c r="D275" s="92" t="n">
        <f aca="false">IF($C275="","",IFERROR(IF(INDEX('REGISTRE TUBES'!$C$7:$C$2506,MATCH($C275,'REGISTRE TUBES'!$B$7:$B$2506,0))="","",INDEX('REGISTRE TUBES'!$C$7:$C$2506,MATCH($C275,'REGISTRE TUBES'!$B$7:$B$2506,0))),"?"))</f>
        <v>15421106</v>
      </c>
      <c r="E275" s="92" t="str">
        <f aca="false">IF($C275="","",IFERROR(IF(INDEX('REGISTRE TUBES'!$D$7:$D$2506,MATCH($C275,'REGISTRE TUBES'!$B$7:$B$2506,0))="","",INDEX('REGISTRE TUBES'!$D$7:$D$2506,MATCH($C275,'REGISTRE TUBES'!$B$7:$B$2506,0))),"?"))</f>
        <v/>
      </c>
      <c r="F275" s="93" t="n">
        <f aca="false">IF($C275="","",IFERROR(IF(INDEX('REGISTRE TUBES'!$F$7:$F$2506,MATCH($C275,'REGISTRE TUBES'!$B$7:$B$2506,0))="","",INDEX('REGISTRE TUBES'!$F$7:$F$2506,MATCH($C275,'REGISTRE TUBES'!$B$7:$B$2506,0))),"?"))</f>
        <v>11.94</v>
      </c>
      <c r="G275" s="94" t="n">
        <f aca="false">IF($C275="","",N(G274)+N(F275))</f>
        <v>2268.63000000001</v>
      </c>
      <c r="H275" s="95" t="s">
        <v>1124</v>
      </c>
      <c r="I275" s="96"/>
      <c r="J275" s="97"/>
    </row>
    <row r="276" customFormat="false" ht="15" hidden="false" customHeight="true" outlineLevel="0" collapsed="false">
      <c r="B276" s="106" t="s">
        <v>3031</v>
      </c>
      <c r="C276" s="106"/>
      <c r="D276" s="106"/>
      <c r="E276" s="106"/>
      <c r="F276" s="107" t="n">
        <f aca="false">SUM(F257:F275)</f>
        <v>226.86</v>
      </c>
      <c r="G276" s="108" t="n">
        <f aca="false">IF(COUNT(G257:G275)=0,"",MAX(G257:G275))</f>
        <v>2268.63000000001</v>
      </c>
      <c r="H276" s="106" t="str">
        <f aca="false">COUNTA(C257:C275)&amp;" tube(s)"</f>
        <v>19 tube(s)</v>
      </c>
      <c r="I276" s="106"/>
      <c r="J276" s="106"/>
    </row>
    <row r="278" customFormat="false" ht="15" hidden="false" customHeight="false" outlineLevel="0" collapsed="false">
      <c r="B278" s="109" t="s">
        <v>3032</v>
      </c>
      <c r="F278" s="109" t="s">
        <v>3033</v>
      </c>
      <c r="I278" s="109" t="s">
        <v>3034</v>
      </c>
    </row>
    <row r="281" customFormat="false" ht="25.5" hidden="false" customHeight="true" outlineLevel="0" collapsed="false">
      <c r="B281" s="85" t="s">
        <v>3015</v>
      </c>
      <c r="C281" s="85"/>
      <c r="D281" s="85"/>
      <c r="E281" s="85"/>
      <c r="F281" s="85"/>
      <c r="G281" s="85"/>
      <c r="H281" s="85"/>
      <c r="I281" s="85"/>
      <c r="J281" s="85"/>
    </row>
    <row r="282" customFormat="false" ht="15" hidden="false" customHeight="false" outlineLevel="0" collapsed="false">
      <c r="B282" s="86" t="str">
        <f aca="false">PARAMÈTRES!$C$4&amp;"   •   Affaire N° "&amp;PARAMÈTRES!$C$5</f>
        <v>Développement des champs gaziers TFT II — réseau de collecte TFT Sud (LIGNE-16)   •   Affaire N° 8546</v>
      </c>
      <c r="C282" s="86"/>
      <c r="D282" s="86"/>
      <c r="E282" s="86"/>
      <c r="F282" s="86"/>
      <c r="G282" s="86"/>
      <c r="H282" s="86"/>
      <c r="I282" s="86"/>
      <c r="J282" s="86"/>
    </row>
    <row r="283" customFormat="false" ht="19.5" hidden="false" customHeight="true" outlineLevel="0" collapsed="false">
      <c r="B283" s="87" t="s">
        <v>3016</v>
      </c>
      <c r="C283" s="88" t="s">
        <v>110</v>
      </c>
      <c r="D283" s="88"/>
      <c r="E283" s="87" t="s">
        <v>3017</v>
      </c>
      <c r="F283" s="88" t="s">
        <v>3053</v>
      </c>
      <c r="G283" s="87" t="s">
        <v>3019</v>
      </c>
      <c r="H283" s="88" t="s">
        <v>3054</v>
      </c>
      <c r="I283" s="87" t="s">
        <v>3021</v>
      </c>
      <c r="J283" s="89"/>
    </row>
    <row r="284" customFormat="false" ht="27.75" hidden="false" customHeight="true" outlineLevel="0" collapsed="false">
      <c r="B284" s="71" t="s">
        <v>3022</v>
      </c>
      <c r="C284" s="71" t="s">
        <v>3023</v>
      </c>
      <c r="D284" s="71" t="s">
        <v>3024</v>
      </c>
      <c r="E284" s="71" t="s">
        <v>3025</v>
      </c>
      <c r="F284" s="71" t="s">
        <v>3026</v>
      </c>
      <c r="G284" s="71" t="s">
        <v>3027</v>
      </c>
      <c r="H284" s="71" t="s">
        <v>3028</v>
      </c>
      <c r="I284" s="71" t="s">
        <v>3029</v>
      </c>
      <c r="J284" s="71" t="s">
        <v>3030</v>
      </c>
    </row>
    <row r="285" customFormat="false" ht="15" hidden="false" customHeight="false" outlineLevel="0" collapsed="false">
      <c r="B285" s="90" t="n">
        <v>191</v>
      </c>
      <c r="C285" s="91" t="n">
        <v>2082880</v>
      </c>
      <c r="D285" s="92" t="n">
        <f aca="false">IF($C285="","",IFERROR(IF(INDEX('REGISTRE TUBES'!$C$7:$C$2506,MATCH($C285,'REGISTRE TUBES'!$B$7:$B$2506,0))="","",INDEX('REGISTRE TUBES'!$C$7:$C$2506,MATCH($C285,'REGISTRE TUBES'!$B$7:$B$2506,0))),"?"))</f>
        <v>15421105</v>
      </c>
      <c r="E285" s="92" t="str">
        <f aca="false">IF($C285="","",IFERROR(IF(INDEX('REGISTRE TUBES'!$D$7:$D$2506,MATCH($C285,'REGISTRE TUBES'!$B$7:$B$2506,0))="","",INDEX('REGISTRE TUBES'!$D$7:$D$2506,MATCH($C285,'REGISTRE TUBES'!$B$7:$B$2506,0))),"?"))</f>
        <v/>
      </c>
      <c r="F285" s="93" t="n">
        <f aca="false">IF($C285="","",IFERROR(IF(INDEX('REGISTRE TUBES'!$F$7:$F$2506,MATCH($C285,'REGISTRE TUBES'!$B$7:$B$2506,0))="","",INDEX('REGISTRE TUBES'!$F$7:$F$2506,MATCH($C285,'REGISTRE TUBES'!$B$7:$B$2506,0))),"?"))</f>
        <v>11.94</v>
      </c>
      <c r="G285" s="94" t="n">
        <f aca="false">IF($C285="","",N(G275)+N(F285))</f>
        <v>2280.57000000001</v>
      </c>
      <c r="H285" s="95" t="s">
        <v>1125</v>
      </c>
      <c r="I285" s="96"/>
      <c r="J285" s="97"/>
    </row>
    <row r="286" customFormat="false" ht="15" hidden="false" customHeight="false" outlineLevel="0" collapsed="false">
      <c r="B286" s="98" t="n">
        <v>192</v>
      </c>
      <c r="C286" s="99" t="n">
        <v>2083540</v>
      </c>
      <c r="D286" s="100" t="n">
        <f aca="false">IF($C286="","",IFERROR(IF(INDEX('REGISTRE TUBES'!$C$7:$C$2506,MATCH($C286,'REGISTRE TUBES'!$B$7:$B$2506,0))="","",INDEX('REGISTRE TUBES'!$C$7:$C$2506,MATCH($C286,'REGISTRE TUBES'!$B$7:$B$2506,0))),"?"))</f>
        <v>15421105</v>
      </c>
      <c r="E286" s="100" t="str">
        <f aca="false">IF($C286="","",IFERROR(IF(INDEX('REGISTRE TUBES'!$D$7:$D$2506,MATCH($C286,'REGISTRE TUBES'!$B$7:$B$2506,0))="","",INDEX('REGISTRE TUBES'!$D$7:$D$2506,MATCH($C286,'REGISTRE TUBES'!$B$7:$B$2506,0))),"?"))</f>
        <v/>
      </c>
      <c r="F286" s="101" t="n">
        <f aca="false">IF($C286="","",IFERROR(IF(INDEX('REGISTRE TUBES'!$F$7:$F$2506,MATCH($C286,'REGISTRE TUBES'!$B$7:$B$2506,0))="","",INDEX('REGISTRE TUBES'!$F$7:$F$2506,MATCH($C286,'REGISTRE TUBES'!$B$7:$B$2506,0))),"?"))</f>
        <v>11.94</v>
      </c>
      <c r="G286" s="102" t="n">
        <f aca="false">IF($C286="","",N(G285)+N(F286))</f>
        <v>2292.51000000001</v>
      </c>
      <c r="H286" s="103" t="s">
        <v>1126</v>
      </c>
      <c r="I286" s="104"/>
      <c r="J286" s="105"/>
    </row>
    <row r="287" customFormat="false" ht="15" hidden="false" customHeight="false" outlineLevel="0" collapsed="false">
      <c r="B287" s="90" t="n">
        <v>193</v>
      </c>
      <c r="C287" s="91" t="n">
        <v>2087730</v>
      </c>
      <c r="D287" s="92" t="n">
        <f aca="false">IF($C287="","",IFERROR(IF(INDEX('REGISTRE TUBES'!$C$7:$C$2506,MATCH($C287,'REGISTRE TUBES'!$B$7:$B$2506,0))="","",INDEX('REGISTRE TUBES'!$C$7:$C$2506,MATCH($C287,'REGISTRE TUBES'!$B$7:$B$2506,0))),"?"))</f>
        <v>15421108</v>
      </c>
      <c r="E287" s="92" t="str">
        <f aca="false">IF($C287="","",IFERROR(IF(INDEX('REGISTRE TUBES'!$D$7:$D$2506,MATCH($C287,'REGISTRE TUBES'!$B$7:$B$2506,0))="","",INDEX('REGISTRE TUBES'!$D$7:$D$2506,MATCH($C287,'REGISTRE TUBES'!$B$7:$B$2506,0))),"?"))</f>
        <v/>
      </c>
      <c r="F287" s="93" t="n">
        <f aca="false">IF($C287="","",IFERROR(IF(INDEX('REGISTRE TUBES'!$F$7:$F$2506,MATCH($C287,'REGISTRE TUBES'!$B$7:$B$2506,0))="","",INDEX('REGISTRE TUBES'!$F$7:$F$2506,MATCH($C287,'REGISTRE TUBES'!$B$7:$B$2506,0))),"?"))</f>
        <v>11.94</v>
      </c>
      <c r="G287" s="94" t="n">
        <f aca="false">IF($C287="","",N(G286)+N(F287))</f>
        <v>2304.45000000001</v>
      </c>
      <c r="H287" s="95" t="s">
        <v>1127</v>
      </c>
      <c r="I287" s="96"/>
      <c r="J287" s="97"/>
    </row>
    <row r="288" customFormat="false" ht="15" hidden="false" customHeight="false" outlineLevel="0" collapsed="false">
      <c r="B288" s="98" t="n">
        <v>194</v>
      </c>
      <c r="C288" s="99" t="n">
        <v>2084920</v>
      </c>
      <c r="D288" s="100" t="n">
        <f aca="false">IF($C288="","",IFERROR(IF(INDEX('REGISTRE TUBES'!$C$7:$C$2506,MATCH($C288,'REGISTRE TUBES'!$B$7:$B$2506,0))="","",INDEX('REGISTRE TUBES'!$C$7:$C$2506,MATCH($C288,'REGISTRE TUBES'!$B$7:$B$2506,0))),"?"))</f>
        <v>15421106</v>
      </c>
      <c r="E288" s="100" t="str">
        <f aca="false">IF($C288="","",IFERROR(IF(INDEX('REGISTRE TUBES'!$D$7:$D$2506,MATCH($C288,'REGISTRE TUBES'!$B$7:$B$2506,0))="","",INDEX('REGISTRE TUBES'!$D$7:$D$2506,MATCH($C288,'REGISTRE TUBES'!$B$7:$B$2506,0))),"?"))</f>
        <v/>
      </c>
      <c r="F288" s="101" t="n">
        <f aca="false">IF($C288="","",IFERROR(IF(INDEX('REGISTRE TUBES'!$F$7:$F$2506,MATCH($C288,'REGISTRE TUBES'!$B$7:$B$2506,0))="","",INDEX('REGISTRE TUBES'!$F$7:$F$2506,MATCH($C288,'REGISTRE TUBES'!$B$7:$B$2506,0))),"?"))</f>
        <v>11.94</v>
      </c>
      <c r="G288" s="102" t="n">
        <f aca="false">IF($C288="","",N(G287)+N(F288))</f>
        <v>2316.39000000001</v>
      </c>
      <c r="H288" s="103" t="s">
        <v>1128</v>
      </c>
      <c r="I288" s="104"/>
      <c r="J288" s="105"/>
    </row>
    <row r="289" customFormat="false" ht="15" hidden="false" customHeight="false" outlineLevel="0" collapsed="false">
      <c r="B289" s="90" t="n">
        <v>195</v>
      </c>
      <c r="C289" s="91" t="n">
        <v>2093330</v>
      </c>
      <c r="D289" s="92" t="n">
        <f aca="false">IF($C289="","",IFERROR(IF(INDEX('REGISTRE TUBES'!$C$7:$C$2506,MATCH($C289,'REGISTRE TUBES'!$B$7:$B$2506,0))="","",INDEX('REGISTRE TUBES'!$C$7:$C$2506,MATCH($C289,'REGISTRE TUBES'!$B$7:$B$2506,0))),"?"))</f>
        <v>15421110</v>
      </c>
      <c r="E289" s="92" t="str">
        <f aca="false">IF($C289="","",IFERROR(IF(INDEX('REGISTRE TUBES'!$D$7:$D$2506,MATCH($C289,'REGISTRE TUBES'!$B$7:$B$2506,0))="","",INDEX('REGISTRE TUBES'!$D$7:$D$2506,MATCH($C289,'REGISTRE TUBES'!$B$7:$B$2506,0))),"?"))</f>
        <v/>
      </c>
      <c r="F289" s="93" t="n">
        <f aca="false">IF($C289="","",IFERROR(IF(INDEX('REGISTRE TUBES'!$F$7:$F$2506,MATCH($C289,'REGISTRE TUBES'!$B$7:$B$2506,0))="","",INDEX('REGISTRE TUBES'!$F$7:$F$2506,MATCH($C289,'REGISTRE TUBES'!$B$7:$B$2506,0))),"?"))</f>
        <v>11.94</v>
      </c>
      <c r="G289" s="94" t="n">
        <f aca="false">IF($C289="","",N(G288)+N(F289))</f>
        <v>2328.33000000001</v>
      </c>
      <c r="H289" s="95" t="s">
        <v>1130</v>
      </c>
      <c r="I289" s="96"/>
      <c r="J289" s="97"/>
    </row>
    <row r="290" customFormat="false" ht="15" hidden="false" customHeight="false" outlineLevel="0" collapsed="false">
      <c r="B290" s="98" t="n">
        <v>196</v>
      </c>
      <c r="C290" s="99" t="n">
        <v>2078890</v>
      </c>
      <c r="D290" s="100" t="n">
        <f aca="false">IF($C290="","",IFERROR(IF(INDEX('REGISTRE TUBES'!$C$7:$C$2506,MATCH($C290,'REGISTRE TUBES'!$B$7:$B$2506,0))="","",INDEX('REGISTRE TUBES'!$C$7:$C$2506,MATCH($C290,'REGISTRE TUBES'!$B$7:$B$2506,0))),"?"))</f>
        <v>15421110</v>
      </c>
      <c r="E290" s="100" t="str">
        <f aca="false">IF($C290="","",IFERROR(IF(INDEX('REGISTRE TUBES'!$D$7:$D$2506,MATCH($C290,'REGISTRE TUBES'!$B$7:$B$2506,0))="","",INDEX('REGISTRE TUBES'!$D$7:$D$2506,MATCH($C290,'REGISTRE TUBES'!$B$7:$B$2506,0))),"?"))</f>
        <v/>
      </c>
      <c r="F290" s="101" t="n">
        <f aca="false">IF($C290="","",IFERROR(IF(INDEX('REGISTRE TUBES'!$F$7:$F$2506,MATCH($C290,'REGISTRE TUBES'!$B$7:$B$2506,0))="","",INDEX('REGISTRE TUBES'!$F$7:$F$2506,MATCH($C290,'REGISTRE TUBES'!$B$7:$B$2506,0))),"?"))</f>
        <v>11.94</v>
      </c>
      <c r="G290" s="102" t="n">
        <f aca="false">IF($C290="","",N(G289)+N(F290))</f>
        <v>2340.27000000001</v>
      </c>
      <c r="H290" s="103" t="s">
        <v>1131</v>
      </c>
      <c r="I290" s="104"/>
      <c r="J290" s="105"/>
    </row>
    <row r="291" customFormat="false" ht="15" hidden="false" customHeight="false" outlineLevel="0" collapsed="false">
      <c r="B291" s="90" t="n">
        <v>197</v>
      </c>
      <c r="C291" s="91" t="n">
        <v>2078910</v>
      </c>
      <c r="D291" s="92" t="n">
        <f aca="false">IF($C291="","",IFERROR(IF(INDEX('REGISTRE TUBES'!$C$7:$C$2506,MATCH($C291,'REGISTRE TUBES'!$B$7:$B$2506,0))="","",INDEX('REGISTRE TUBES'!$C$7:$C$2506,MATCH($C291,'REGISTRE TUBES'!$B$7:$B$2506,0))),"?"))</f>
        <v>15421101</v>
      </c>
      <c r="E291" s="92" t="str">
        <f aca="false">IF($C291="","",IFERROR(IF(INDEX('REGISTRE TUBES'!$D$7:$D$2506,MATCH($C291,'REGISTRE TUBES'!$B$7:$B$2506,0))="","",INDEX('REGISTRE TUBES'!$D$7:$D$2506,MATCH($C291,'REGISTRE TUBES'!$B$7:$B$2506,0))),"?"))</f>
        <v/>
      </c>
      <c r="F291" s="93" t="n">
        <f aca="false">IF($C291="","",IFERROR(IF(INDEX('REGISTRE TUBES'!$F$7:$F$2506,MATCH($C291,'REGISTRE TUBES'!$B$7:$B$2506,0))="","",INDEX('REGISTRE TUBES'!$F$7:$F$2506,MATCH($C291,'REGISTRE TUBES'!$B$7:$B$2506,0))),"?"))</f>
        <v>11.94</v>
      </c>
      <c r="G291" s="94" t="n">
        <f aca="false">IF($C291="","",N(G290)+N(F291))</f>
        <v>2352.21000000001</v>
      </c>
      <c r="H291" s="95" t="s">
        <v>1132</v>
      </c>
      <c r="I291" s="96"/>
      <c r="J291" s="97"/>
    </row>
    <row r="292" customFormat="false" ht="15" hidden="false" customHeight="false" outlineLevel="0" collapsed="false">
      <c r="B292" s="98" t="n">
        <v>198</v>
      </c>
      <c r="C292" s="99" t="n">
        <v>2086710</v>
      </c>
      <c r="D292" s="100" t="n">
        <f aca="false">IF($C292="","",IFERROR(IF(INDEX('REGISTRE TUBES'!$C$7:$C$2506,MATCH($C292,'REGISTRE TUBES'!$B$7:$B$2506,0))="","",INDEX('REGISTRE TUBES'!$C$7:$C$2506,MATCH($C292,'REGISTRE TUBES'!$B$7:$B$2506,0))),"?"))</f>
        <v>15421107</v>
      </c>
      <c r="E292" s="100" t="str">
        <f aca="false">IF($C292="","",IFERROR(IF(INDEX('REGISTRE TUBES'!$D$7:$D$2506,MATCH($C292,'REGISTRE TUBES'!$B$7:$B$2506,0))="","",INDEX('REGISTRE TUBES'!$D$7:$D$2506,MATCH($C292,'REGISTRE TUBES'!$B$7:$B$2506,0))),"?"))</f>
        <v/>
      </c>
      <c r="F292" s="101" t="n">
        <f aca="false">IF($C292="","",IFERROR(IF(INDEX('REGISTRE TUBES'!$F$7:$F$2506,MATCH($C292,'REGISTRE TUBES'!$B$7:$B$2506,0))="","",INDEX('REGISTRE TUBES'!$F$7:$F$2506,MATCH($C292,'REGISTRE TUBES'!$B$7:$B$2506,0))),"?"))</f>
        <v>11.94</v>
      </c>
      <c r="G292" s="102" t="n">
        <f aca="false">IF($C292="","",N(G291)+N(F292))</f>
        <v>2364.15000000001</v>
      </c>
      <c r="H292" s="103" t="s">
        <v>1133</v>
      </c>
      <c r="I292" s="104"/>
      <c r="J292" s="105"/>
    </row>
    <row r="293" customFormat="false" ht="15" hidden="false" customHeight="false" outlineLevel="0" collapsed="false">
      <c r="B293" s="90" t="n">
        <v>199</v>
      </c>
      <c r="C293" s="91" t="n">
        <v>2093140</v>
      </c>
      <c r="D293" s="92" t="n">
        <f aca="false">IF($C293="","",IFERROR(IF(INDEX('REGISTRE TUBES'!$C$7:$C$2506,MATCH($C293,'REGISTRE TUBES'!$B$7:$B$2506,0))="","",INDEX('REGISTRE TUBES'!$C$7:$C$2506,MATCH($C293,'REGISTRE TUBES'!$B$7:$B$2506,0))),"?"))</f>
        <v>15421110</v>
      </c>
      <c r="E293" s="92" t="str">
        <f aca="false">IF($C293="","",IFERROR(IF(INDEX('REGISTRE TUBES'!$D$7:$D$2506,MATCH($C293,'REGISTRE TUBES'!$B$7:$B$2506,0))="","",INDEX('REGISTRE TUBES'!$D$7:$D$2506,MATCH($C293,'REGISTRE TUBES'!$B$7:$B$2506,0))),"?"))</f>
        <v/>
      </c>
      <c r="F293" s="93" t="n">
        <f aca="false">IF($C293="","",IFERROR(IF(INDEX('REGISTRE TUBES'!$F$7:$F$2506,MATCH($C293,'REGISTRE TUBES'!$B$7:$B$2506,0))="","",INDEX('REGISTRE TUBES'!$F$7:$F$2506,MATCH($C293,'REGISTRE TUBES'!$B$7:$B$2506,0))),"?"))</f>
        <v>11.94</v>
      </c>
      <c r="G293" s="94" t="n">
        <f aca="false">IF($C293="","",N(G292)+N(F293))</f>
        <v>2376.09000000001</v>
      </c>
      <c r="H293" s="95" t="s">
        <v>1134</v>
      </c>
      <c r="I293" s="96"/>
      <c r="J293" s="97"/>
    </row>
    <row r="294" customFormat="false" ht="15" hidden="false" customHeight="false" outlineLevel="0" collapsed="false">
      <c r="B294" s="98" t="n">
        <v>200</v>
      </c>
      <c r="C294" s="99" t="n">
        <v>2094740</v>
      </c>
      <c r="D294" s="100" t="n">
        <f aca="false">IF($C294="","",IFERROR(IF(INDEX('REGISTRE TUBES'!$C$7:$C$2506,MATCH($C294,'REGISTRE TUBES'!$B$7:$B$2506,0))="","",INDEX('REGISTRE TUBES'!$C$7:$C$2506,MATCH($C294,'REGISTRE TUBES'!$B$7:$B$2506,0))),"?"))</f>
        <v>15421111</v>
      </c>
      <c r="E294" s="100" t="str">
        <f aca="false">IF($C294="","",IFERROR(IF(INDEX('REGISTRE TUBES'!$D$7:$D$2506,MATCH($C294,'REGISTRE TUBES'!$B$7:$B$2506,0))="","",INDEX('REGISTRE TUBES'!$D$7:$D$2506,MATCH($C294,'REGISTRE TUBES'!$B$7:$B$2506,0))),"?"))</f>
        <v/>
      </c>
      <c r="F294" s="101" t="n">
        <f aca="false">IF($C294="","",IFERROR(IF(INDEX('REGISTRE TUBES'!$F$7:$F$2506,MATCH($C294,'REGISTRE TUBES'!$B$7:$B$2506,0))="","",INDEX('REGISTRE TUBES'!$F$7:$F$2506,MATCH($C294,'REGISTRE TUBES'!$B$7:$B$2506,0))),"?"))</f>
        <v>11.94</v>
      </c>
      <c r="G294" s="102" t="n">
        <f aca="false">IF($C294="","",N(G293)+N(F294))</f>
        <v>2388.03000000001</v>
      </c>
      <c r="H294" s="103" t="s">
        <v>1138</v>
      </c>
      <c r="I294" s="104"/>
      <c r="J294" s="105"/>
    </row>
    <row r="295" customFormat="false" ht="15" hidden="false" customHeight="false" outlineLevel="0" collapsed="false">
      <c r="B295" s="90" t="n">
        <v>201</v>
      </c>
      <c r="C295" s="91" t="n">
        <v>2094510</v>
      </c>
      <c r="D295" s="92" t="n">
        <f aca="false">IF($C295="","",IFERROR(IF(INDEX('REGISTRE TUBES'!$C$7:$C$2506,MATCH($C295,'REGISTRE TUBES'!$B$7:$B$2506,0))="","",INDEX('REGISTRE TUBES'!$C$7:$C$2506,MATCH($C295,'REGISTRE TUBES'!$B$7:$B$2506,0))),"?"))</f>
        <v>15421111</v>
      </c>
      <c r="E295" s="92" t="str">
        <f aca="false">IF($C295="","",IFERROR(IF(INDEX('REGISTRE TUBES'!$D$7:$D$2506,MATCH($C295,'REGISTRE TUBES'!$B$7:$B$2506,0))="","",INDEX('REGISTRE TUBES'!$D$7:$D$2506,MATCH($C295,'REGISTRE TUBES'!$B$7:$B$2506,0))),"?"))</f>
        <v/>
      </c>
      <c r="F295" s="93" t="n">
        <f aca="false">IF($C295="","",IFERROR(IF(INDEX('REGISTRE TUBES'!$F$7:$F$2506,MATCH($C295,'REGISTRE TUBES'!$B$7:$B$2506,0))="","",INDEX('REGISTRE TUBES'!$F$7:$F$2506,MATCH($C295,'REGISTRE TUBES'!$B$7:$B$2506,0))),"?"))</f>
        <v>11.94</v>
      </c>
      <c r="G295" s="94" t="n">
        <f aca="false">IF($C295="","",N(G294)+N(F295))</f>
        <v>2399.97000000001</v>
      </c>
      <c r="H295" s="95" t="s">
        <v>1140</v>
      </c>
      <c r="I295" s="96"/>
      <c r="J295" s="97"/>
    </row>
    <row r="296" customFormat="false" ht="15" hidden="false" customHeight="false" outlineLevel="0" collapsed="false">
      <c r="B296" s="98" t="n">
        <v>202</v>
      </c>
      <c r="C296" s="99" t="n">
        <v>2089690</v>
      </c>
      <c r="D296" s="100" t="n">
        <f aca="false">IF($C296="","",IFERROR(IF(INDEX('REGISTRE TUBES'!$C$7:$C$2506,MATCH($C296,'REGISTRE TUBES'!$B$7:$B$2506,0))="","",INDEX('REGISTRE TUBES'!$C$7:$C$2506,MATCH($C296,'REGISTRE TUBES'!$B$7:$B$2506,0))),"?"))</f>
        <v>15421109</v>
      </c>
      <c r="E296" s="100" t="str">
        <f aca="false">IF($C296="","",IFERROR(IF(INDEX('REGISTRE TUBES'!$D$7:$D$2506,MATCH($C296,'REGISTRE TUBES'!$B$7:$B$2506,0))="","",INDEX('REGISTRE TUBES'!$D$7:$D$2506,MATCH($C296,'REGISTRE TUBES'!$B$7:$B$2506,0))),"?"))</f>
        <v/>
      </c>
      <c r="F296" s="101" t="n">
        <f aca="false">IF($C296="","",IFERROR(IF(INDEX('REGISTRE TUBES'!$F$7:$F$2506,MATCH($C296,'REGISTRE TUBES'!$B$7:$B$2506,0))="","",INDEX('REGISTRE TUBES'!$F$7:$F$2506,MATCH($C296,'REGISTRE TUBES'!$B$7:$B$2506,0))),"?"))</f>
        <v>11.94</v>
      </c>
      <c r="G296" s="102" t="n">
        <f aca="false">IF($C296="","",N(G295)+N(F296))</f>
        <v>2411.91000000001</v>
      </c>
      <c r="H296" s="103" t="s">
        <v>1141</v>
      </c>
      <c r="I296" s="104"/>
      <c r="J296" s="105"/>
    </row>
    <row r="297" customFormat="false" ht="15" hidden="false" customHeight="false" outlineLevel="0" collapsed="false">
      <c r="B297" s="90" t="n">
        <v>203</v>
      </c>
      <c r="C297" s="91" t="n">
        <v>2083800</v>
      </c>
      <c r="D297" s="92" t="n">
        <f aca="false">IF($C297="","",IFERROR(IF(INDEX('REGISTRE TUBES'!$C$7:$C$2506,MATCH($C297,'REGISTRE TUBES'!$B$7:$B$2506,0))="","",INDEX('REGISTRE TUBES'!$C$7:$C$2506,MATCH($C297,'REGISTRE TUBES'!$B$7:$B$2506,0))),"?"))</f>
        <v>15421105</v>
      </c>
      <c r="E297" s="92" t="str">
        <f aca="false">IF($C297="","",IFERROR(IF(INDEX('REGISTRE TUBES'!$D$7:$D$2506,MATCH($C297,'REGISTRE TUBES'!$B$7:$B$2506,0))="","",INDEX('REGISTRE TUBES'!$D$7:$D$2506,MATCH($C297,'REGISTRE TUBES'!$B$7:$B$2506,0))),"?"))</f>
        <v/>
      </c>
      <c r="F297" s="93" t="n">
        <f aca="false">IF($C297="","",IFERROR(IF(INDEX('REGISTRE TUBES'!$F$7:$F$2506,MATCH($C297,'REGISTRE TUBES'!$B$7:$B$2506,0))="","",INDEX('REGISTRE TUBES'!$F$7:$F$2506,MATCH($C297,'REGISTRE TUBES'!$B$7:$B$2506,0))),"?"))</f>
        <v>11.94</v>
      </c>
      <c r="G297" s="94" t="n">
        <f aca="false">IF($C297="","",N(G296)+N(F297))</f>
        <v>2423.85000000001</v>
      </c>
      <c r="H297" s="95" t="s">
        <v>1142</v>
      </c>
      <c r="I297" s="96"/>
      <c r="J297" s="97"/>
    </row>
    <row r="298" customFormat="false" ht="15" hidden="false" customHeight="false" outlineLevel="0" collapsed="false">
      <c r="B298" s="98" t="n">
        <v>204</v>
      </c>
      <c r="C298" s="99" t="n">
        <v>2085370</v>
      </c>
      <c r="D298" s="100" t="n">
        <f aca="false">IF($C298="","",IFERROR(IF(INDEX('REGISTRE TUBES'!$C$7:$C$2506,MATCH($C298,'REGISTRE TUBES'!$B$7:$B$2506,0))="","",INDEX('REGISTRE TUBES'!$C$7:$C$2506,MATCH($C298,'REGISTRE TUBES'!$B$7:$B$2506,0))),"?"))</f>
        <v>15421106</v>
      </c>
      <c r="E298" s="100" t="str">
        <f aca="false">IF($C298="","",IFERROR(IF(INDEX('REGISTRE TUBES'!$D$7:$D$2506,MATCH($C298,'REGISTRE TUBES'!$B$7:$B$2506,0))="","",INDEX('REGISTRE TUBES'!$D$7:$D$2506,MATCH($C298,'REGISTRE TUBES'!$B$7:$B$2506,0))),"?"))</f>
        <v/>
      </c>
      <c r="F298" s="101" t="n">
        <f aca="false">IF($C298="","",IFERROR(IF(INDEX('REGISTRE TUBES'!$F$7:$F$2506,MATCH($C298,'REGISTRE TUBES'!$B$7:$B$2506,0))="","",INDEX('REGISTRE TUBES'!$F$7:$F$2506,MATCH($C298,'REGISTRE TUBES'!$B$7:$B$2506,0))),"?"))</f>
        <v>11.94</v>
      </c>
      <c r="G298" s="102" t="n">
        <f aca="false">IF($C298="","",N(G297)+N(F298))</f>
        <v>2435.79000000001</v>
      </c>
      <c r="H298" s="103" t="s">
        <v>1143</v>
      </c>
      <c r="I298" s="104"/>
      <c r="J298" s="105"/>
    </row>
    <row r="299" customFormat="false" ht="15" hidden="false" customHeight="false" outlineLevel="0" collapsed="false">
      <c r="B299" s="90" t="n">
        <v>205</v>
      </c>
      <c r="C299" s="91" t="n">
        <v>2086720</v>
      </c>
      <c r="D299" s="92" t="n">
        <f aca="false">IF($C299="","",IFERROR(IF(INDEX('REGISTRE TUBES'!$C$7:$C$2506,MATCH($C299,'REGISTRE TUBES'!$B$7:$B$2506,0))="","",INDEX('REGISTRE TUBES'!$C$7:$C$2506,MATCH($C299,'REGISTRE TUBES'!$B$7:$B$2506,0))),"?"))</f>
        <v>15421107</v>
      </c>
      <c r="E299" s="92" t="str">
        <f aca="false">IF($C299="","",IFERROR(IF(INDEX('REGISTRE TUBES'!$D$7:$D$2506,MATCH($C299,'REGISTRE TUBES'!$B$7:$B$2506,0))="","",INDEX('REGISTRE TUBES'!$D$7:$D$2506,MATCH($C299,'REGISTRE TUBES'!$B$7:$B$2506,0))),"?"))</f>
        <v/>
      </c>
      <c r="F299" s="93" t="n">
        <f aca="false">IF($C299="","",IFERROR(IF(INDEX('REGISTRE TUBES'!$F$7:$F$2506,MATCH($C299,'REGISTRE TUBES'!$B$7:$B$2506,0))="","",INDEX('REGISTRE TUBES'!$F$7:$F$2506,MATCH($C299,'REGISTRE TUBES'!$B$7:$B$2506,0))),"?"))</f>
        <v>11.94</v>
      </c>
      <c r="G299" s="94" t="n">
        <f aca="false">IF($C299="","",N(G298)+N(F299))</f>
        <v>2447.73000000001</v>
      </c>
      <c r="H299" s="95" t="s">
        <v>1144</v>
      </c>
      <c r="I299" s="96"/>
      <c r="J299" s="97"/>
    </row>
    <row r="300" customFormat="false" ht="15" hidden="false" customHeight="false" outlineLevel="0" collapsed="false">
      <c r="B300" s="98" t="n">
        <v>206</v>
      </c>
      <c r="C300" s="99" t="n">
        <v>2090100</v>
      </c>
      <c r="D300" s="100" t="n">
        <f aca="false">IF($C300="","",IFERROR(IF(INDEX('REGISTRE TUBES'!$C$7:$C$2506,MATCH($C300,'REGISTRE TUBES'!$B$7:$B$2506,0))="","",INDEX('REGISTRE TUBES'!$C$7:$C$2506,MATCH($C300,'REGISTRE TUBES'!$B$7:$B$2506,0))),"?"))</f>
        <v>15421109</v>
      </c>
      <c r="E300" s="100" t="str">
        <f aca="false">IF($C300="","",IFERROR(IF(INDEX('REGISTRE TUBES'!$D$7:$D$2506,MATCH($C300,'REGISTRE TUBES'!$B$7:$B$2506,0))="","",INDEX('REGISTRE TUBES'!$D$7:$D$2506,MATCH($C300,'REGISTRE TUBES'!$B$7:$B$2506,0))),"?"))</f>
        <v/>
      </c>
      <c r="F300" s="101" t="n">
        <f aca="false">IF($C300="","",IFERROR(IF(INDEX('REGISTRE TUBES'!$F$7:$F$2506,MATCH($C300,'REGISTRE TUBES'!$B$7:$B$2506,0))="","",INDEX('REGISTRE TUBES'!$F$7:$F$2506,MATCH($C300,'REGISTRE TUBES'!$B$7:$B$2506,0))),"?"))</f>
        <v>11.94</v>
      </c>
      <c r="G300" s="102" t="n">
        <f aca="false">IF($C300="","",N(G299)+N(F300))</f>
        <v>2459.67000000001</v>
      </c>
      <c r="H300" s="103" t="s">
        <v>1145</v>
      </c>
      <c r="I300" s="104"/>
      <c r="J300" s="105"/>
    </row>
    <row r="301" customFormat="false" ht="15" hidden="false" customHeight="false" outlineLevel="0" collapsed="false">
      <c r="B301" s="90" t="n">
        <v>207</v>
      </c>
      <c r="C301" s="91" t="n">
        <v>2078940</v>
      </c>
      <c r="D301" s="92" t="n">
        <f aca="false">IF($C301="","",IFERROR(IF(INDEX('REGISTRE TUBES'!$C$7:$C$2506,MATCH($C301,'REGISTRE TUBES'!$B$7:$B$2506,0))="","",INDEX('REGISTRE TUBES'!$C$7:$C$2506,MATCH($C301,'REGISTRE TUBES'!$B$7:$B$2506,0))),"?"))</f>
        <v>15421101</v>
      </c>
      <c r="E301" s="92" t="str">
        <f aca="false">IF($C301="","",IFERROR(IF(INDEX('REGISTRE TUBES'!$D$7:$D$2506,MATCH($C301,'REGISTRE TUBES'!$B$7:$B$2506,0))="","",INDEX('REGISTRE TUBES'!$D$7:$D$2506,MATCH($C301,'REGISTRE TUBES'!$B$7:$B$2506,0))),"?"))</f>
        <v/>
      </c>
      <c r="F301" s="93" t="n">
        <f aca="false">IF($C301="","",IFERROR(IF(INDEX('REGISTRE TUBES'!$F$7:$F$2506,MATCH($C301,'REGISTRE TUBES'!$B$7:$B$2506,0))="","",INDEX('REGISTRE TUBES'!$F$7:$F$2506,MATCH($C301,'REGISTRE TUBES'!$B$7:$B$2506,0))),"?"))</f>
        <v>11.94</v>
      </c>
      <c r="G301" s="94" t="n">
        <f aca="false">IF($C301="","",N(G300)+N(F301))</f>
        <v>2471.61000000001</v>
      </c>
      <c r="H301" s="95" t="s">
        <v>1146</v>
      </c>
      <c r="I301" s="96"/>
      <c r="J301" s="97"/>
    </row>
    <row r="302" customFormat="false" ht="15" hidden="false" customHeight="false" outlineLevel="0" collapsed="false">
      <c r="B302" s="98" t="n">
        <v>208</v>
      </c>
      <c r="C302" s="99" t="n">
        <v>2086410</v>
      </c>
      <c r="D302" s="100" t="n">
        <f aca="false">IF($C302="","",IFERROR(IF(INDEX('REGISTRE TUBES'!$C$7:$C$2506,MATCH($C302,'REGISTRE TUBES'!$B$7:$B$2506,0))="","",INDEX('REGISTRE TUBES'!$C$7:$C$2506,MATCH($C302,'REGISTRE TUBES'!$B$7:$B$2506,0))),"?"))</f>
        <v>15421107</v>
      </c>
      <c r="E302" s="100" t="str">
        <f aca="false">IF($C302="","",IFERROR(IF(INDEX('REGISTRE TUBES'!$D$7:$D$2506,MATCH($C302,'REGISTRE TUBES'!$B$7:$B$2506,0))="","",INDEX('REGISTRE TUBES'!$D$7:$D$2506,MATCH($C302,'REGISTRE TUBES'!$B$7:$B$2506,0))),"?"))</f>
        <v/>
      </c>
      <c r="F302" s="101" t="n">
        <f aca="false">IF($C302="","",IFERROR(IF(INDEX('REGISTRE TUBES'!$F$7:$F$2506,MATCH($C302,'REGISTRE TUBES'!$B$7:$B$2506,0))="","",INDEX('REGISTRE TUBES'!$F$7:$F$2506,MATCH($C302,'REGISTRE TUBES'!$B$7:$B$2506,0))),"?"))</f>
        <v>11.94</v>
      </c>
      <c r="G302" s="102" t="n">
        <f aca="false">IF($C302="","",N(G301)+N(F302))</f>
        <v>2483.55000000001</v>
      </c>
      <c r="H302" s="103" t="s">
        <v>1150</v>
      </c>
      <c r="I302" s="104"/>
      <c r="J302" s="105"/>
    </row>
    <row r="303" customFormat="false" ht="15" hidden="false" customHeight="false" outlineLevel="0" collapsed="false">
      <c r="B303" s="90" t="n">
        <v>209</v>
      </c>
      <c r="C303" s="91" t="n">
        <v>2081780</v>
      </c>
      <c r="D303" s="92" t="n">
        <f aca="false">IF($C303="","",IFERROR(IF(INDEX('REGISTRE TUBES'!$C$7:$C$2506,MATCH($C303,'REGISTRE TUBES'!$B$7:$B$2506,0))="","",INDEX('REGISTRE TUBES'!$C$7:$C$2506,MATCH($C303,'REGISTRE TUBES'!$B$7:$B$2506,0))),"?"))</f>
        <v>15421106</v>
      </c>
      <c r="E303" s="92" t="str">
        <f aca="false">IF($C303="","",IFERROR(IF(INDEX('REGISTRE TUBES'!$D$7:$D$2506,MATCH($C303,'REGISTRE TUBES'!$B$7:$B$2506,0))="","",INDEX('REGISTRE TUBES'!$D$7:$D$2506,MATCH($C303,'REGISTRE TUBES'!$B$7:$B$2506,0))),"?"))</f>
        <v/>
      </c>
      <c r="F303" s="93" t="n">
        <f aca="false">IF($C303="","",IFERROR(IF(INDEX('REGISTRE TUBES'!$F$7:$F$2506,MATCH($C303,'REGISTRE TUBES'!$B$7:$B$2506,0))="","",INDEX('REGISTRE TUBES'!$F$7:$F$2506,MATCH($C303,'REGISTRE TUBES'!$B$7:$B$2506,0))),"?"))</f>
        <v>11.94</v>
      </c>
      <c r="G303" s="94" t="n">
        <f aca="false">IF($C303="","",N(G302)+N(F303))</f>
        <v>2495.49000000001</v>
      </c>
      <c r="H303" s="95" t="s">
        <v>1154</v>
      </c>
      <c r="I303" s="96"/>
      <c r="J303" s="97"/>
    </row>
    <row r="304" customFormat="false" ht="15" hidden="false" customHeight="true" outlineLevel="0" collapsed="false">
      <c r="B304" s="106" t="s">
        <v>3031</v>
      </c>
      <c r="C304" s="106"/>
      <c r="D304" s="106"/>
      <c r="E304" s="106"/>
      <c r="F304" s="107" t="n">
        <f aca="false">SUM(F285:F303)</f>
        <v>226.86</v>
      </c>
      <c r="G304" s="108" t="n">
        <f aca="false">IF(COUNT(G285:G303)=0,"",MAX(G285:G303))</f>
        <v>2495.49000000001</v>
      </c>
      <c r="H304" s="106" t="str">
        <f aca="false">COUNTA(C285:C303)&amp;" tube(s)"</f>
        <v>19 tube(s)</v>
      </c>
      <c r="I304" s="106"/>
      <c r="J304" s="106"/>
    </row>
    <row r="306" customFormat="false" ht="15" hidden="false" customHeight="false" outlineLevel="0" collapsed="false">
      <c r="B306" s="109" t="s">
        <v>3032</v>
      </c>
      <c r="F306" s="109" t="s">
        <v>3033</v>
      </c>
      <c r="I306" s="109" t="s">
        <v>3034</v>
      </c>
    </row>
    <row r="309" customFormat="false" ht="25.5" hidden="false" customHeight="true" outlineLevel="0" collapsed="false">
      <c r="B309" s="85" t="s">
        <v>3015</v>
      </c>
      <c r="C309" s="85"/>
      <c r="D309" s="85"/>
      <c r="E309" s="85"/>
      <c r="F309" s="85"/>
      <c r="G309" s="85"/>
      <c r="H309" s="85"/>
      <c r="I309" s="85"/>
      <c r="J309" s="85"/>
    </row>
    <row r="310" customFormat="false" ht="15" hidden="false" customHeight="false" outlineLevel="0" collapsed="false">
      <c r="B310" s="86" t="str">
        <f aca="false">PARAMÈTRES!$C$4&amp;"   •   Affaire N° "&amp;PARAMÈTRES!$C$5</f>
        <v>Développement des champs gaziers TFT II — réseau de collecte TFT Sud (LIGNE-16)   •   Affaire N° 8546</v>
      </c>
      <c r="C310" s="86"/>
      <c r="D310" s="86"/>
      <c r="E310" s="86"/>
      <c r="F310" s="86"/>
      <c r="G310" s="86"/>
      <c r="H310" s="86"/>
      <c r="I310" s="86"/>
      <c r="J310" s="86"/>
    </row>
    <row r="311" customFormat="false" ht="19.5" hidden="false" customHeight="true" outlineLevel="0" collapsed="false">
      <c r="B311" s="87" t="s">
        <v>3016</v>
      </c>
      <c r="C311" s="88" t="s">
        <v>110</v>
      </c>
      <c r="D311" s="88"/>
      <c r="E311" s="87" t="s">
        <v>3017</v>
      </c>
      <c r="F311" s="88" t="s">
        <v>3055</v>
      </c>
      <c r="G311" s="87" t="s">
        <v>3019</v>
      </c>
      <c r="H311" s="88" t="s">
        <v>3056</v>
      </c>
      <c r="I311" s="87" t="s">
        <v>3021</v>
      </c>
      <c r="J311" s="89"/>
    </row>
    <row r="312" customFormat="false" ht="27.75" hidden="false" customHeight="true" outlineLevel="0" collapsed="false">
      <c r="B312" s="71" t="s">
        <v>3022</v>
      </c>
      <c r="C312" s="71" t="s">
        <v>3023</v>
      </c>
      <c r="D312" s="71" t="s">
        <v>3024</v>
      </c>
      <c r="E312" s="71" t="s">
        <v>3025</v>
      </c>
      <c r="F312" s="71" t="s">
        <v>3026</v>
      </c>
      <c r="G312" s="71" t="s">
        <v>3027</v>
      </c>
      <c r="H312" s="71" t="s">
        <v>3028</v>
      </c>
      <c r="I312" s="71" t="s">
        <v>3029</v>
      </c>
      <c r="J312" s="71" t="s">
        <v>3030</v>
      </c>
    </row>
    <row r="313" customFormat="false" ht="15" hidden="false" customHeight="false" outlineLevel="0" collapsed="false">
      <c r="B313" s="90" t="n">
        <v>210</v>
      </c>
      <c r="C313" s="91" t="n">
        <v>2088710</v>
      </c>
      <c r="D313" s="92" t="n">
        <f aca="false">IF($C313="","",IFERROR(IF(INDEX('REGISTRE TUBES'!$C$7:$C$2506,MATCH($C313,'REGISTRE TUBES'!$B$7:$B$2506,0))="","",INDEX('REGISTRE TUBES'!$C$7:$C$2506,MATCH($C313,'REGISTRE TUBES'!$B$7:$B$2506,0))),"?"))</f>
        <v>1542408</v>
      </c>
      <c r="E313" s="92" t="str">
        <f aca="false">IF($C313="","",IFERROR(IF(INDEX('REGISTRE TUBES'!$D$7:$D$2506,MATCH($C313,'REGISTRE TUBES'!$B$7:$B$2506,0))="","",INDEX('REGISTRE TUBES'!$D$7:$D$2506,MATCH($C313,'REGISTRE TUBES'!$B$7:$B$2506,0))),"?"))</f>
        <v/>
      </c>
      <c r="F313" s="93" t="n">
        <f aca="false">IF($C313="","",IFERROR(IF(INDEX('REGISTRE TUBES'!$F$7:$F$2506,MATCH($C313,'REGISTRE TUBES'!$B$7:$B$2506,0))="","",INDEX('REGISTRE TUBES'!$F$7:$F$2506,MATCH($C313,'REGISTRE TUBES'!$B$7:$B$2506,0))),"?"))</f>
        <v>11.94</v>
      </c>
      <c r="G313" s="94" t="n">
        <f aca="false">IF($C313="","",N(G303)+N(F313))</f>
        <v>2507.43000000001</v>
      </c>
      <c r="H313" s="95" t="s">
        <v>1155</v>
      </c>
      <c r="I313" s="96"/>
      <c r="J313" s="97"/>
    </row>
    <row r="314" customFormat="false" ht="15" hidden="false" customHeight="false" outlineLevel="0" collapsed="false">
      <c r="B314" s="98" t="n">
        <v>211</v>
      </c>
      <c r="C314" s="99" t="n">
        <v>2085070</v>
      </c>
      <c r="D314" s="100" t="n">
        <f aca="false">IF($C314="","",IFERROR(IF(INDEX('REGISTRE TUBES'!$C$7:$C$2506,MATCH($C314,'REGISTRE TUBES'!$B$7:$B$2506,0))="","",INDEX('REGISTRE TUBES'!$C$7:$C$2506,MATCH($C314,'REGISTRE TUBES'!$B$7:$B$2506,0))),"?"))</f>
        <v>15421106</v>
      </c>
      <c r="E314" s="100" t="str">
        <f aca="false">IF($C314="","",IFERROR(IF(INDEX('REGISTRE TUBES'!$D$7:$D$2506,MATCH($C314,'REGISTRE TUBES'!$B$7:$B$2506,0))="","",INDEX('REGISTRE TUBES'!$D$7:$D$2506,MATCH($C314,'REGISTRE TUBES'!$B$7:$B$2506,0))),"?"))</f>
        <v/>
      </c>
      <c r="F314" s="101" t="n">
        <f aca="false">IF($C314="","",IFERROR(IF(INDEX('REGISTRE TUBES'!$F$7:$F$2506,MATCH($C314,'REGISTRE TUBES'!$B$7:$B$2506,0))="","",INDEX('REGISTRE TUBES'!$F$7:$F$2506,MATCH($C314,'REGISTRE TUBES'!$B$7:$B$2506,0))),"?"))</f>
        <v>11.94</v>
      </c>
      <c r="G314" s="102" t="n">
        <f aca="false">IF($C314="","",N(G313)+N(F314))</f>
        <v>2519.37000000001</v>
      </c>
      <c r="H314" s="103" t="s">
        <v>1156</v>
      </c>
      <c r="I314" s="104"/>
      <c r="J314" s="105"/>
    </row>
    <row r="315" customFormat="false" ht="15" hidden="false" customHeight="false" outlineLevel="0" collapsed="false">
      <c r="B315" s="90" t="n">
        <v>212</v>
      </c>
      <c r="C315" s="91" t="n">
        <v>2082260</v>
      </c>
      <c r="D315" s="92" t="n">
        <f aca="false">IF($C315="","",IFERROR(IF(INDEX('REGISTRE TUBES'!$C$7:$C$2506,MATCH($C315,'REGISTRE TUBES'!$B$7:$B$2506,0))="","",INDEX('REGISTRE TUBES'!$C$7:$C$2506,MATCH($C315,'REGISTRE TUBES'!$B$7:$B$2506,0))),"?"))</f>
        <v>15421104</v>
      </c>
      <c r="E315" s="92" t="str">
        <f aca="false">IF($C315="","",IFERROR(IF(INDEX('REGISTRE TUBES'!$D$7:$D$2506,MATCH($C315,'REGISTRE TUBES'!$B$7:$B$2506,0))="","",INDEX('REGISTRE TUBES'!$D$7:$D$2506,MATCH($C315,'REGISTRE TUBES'!$B$7:$B$2506,0))),"?"))</f>
        <v/>
      </c>
      <c r="F315" s="93" t="n">
        <f aca="false">IF($C315="","",IFERROR(IF(INDEX('REGISTRE TUBES'!$F$7:$F$2506,MATCH($C315,'REGISTRE TUBES'!$B$7:$B$2506,0))="","",INDEX('REGISTRE TUBES'!$F$7:$F$2506,MATCH($C315,'REGISTRE TUBES'!$B$7:$B$2506,0))),"?"))</f>
        <v>11.94</v>
      </c>
      <c r="G315" s="94" t="n">
        <f aca="false">IF($C315="","",N(G314)+N(F315))</f>
        <v>2531.31000000001</v>
      </c>
      <c r="H315" s="95" t="s">
        <v>1157</v>
      </c>
      <c r="I315" s="96"/>
      <c r="J315" s="97"/>
    </row>
    <row r="316" customFormat="false" ht="15" hidden="false" customHeight="false" outlineLevel="0" collapsed="false">
      <c r="B316" s="98" t="n">
        <v>213</v>
      </c>
      <c r="C316" s="99" t="n">
        <v>2098110</v>
      </c>
      <c r="D316" s="100" t="n">
        <f aca="false">IF($C316="","",IFERROR(IF(INDEX('REGISTRE TUBES'!$C$7:$C$2506,MATCH($C316,'REGISTRE TUBES'!$B$7:$B$2506,0))="","",INDEX('REGISTRE TUBES'!$C$7:$C$2506,MATCH($C316,'REGISTRE TUBES'!$B$7:$B$2506,0))),"?"))</f>
        <v>15421109</v>
      </c>
      <c r="E316" s="100" t="str">
        <f aca="false">IF($C316="","",IFERROR(IF(INDEX('REGISTRE TUBES'!$D$7:$D$2506,MATCH($C316,'REGISTRE TUBES'!$B$7:$B$2506,0))="","",INDEX('REGISTRE TUBES'!$D$7:$D$2506,MATCH($C316,'REGISTRE TUBES'!$B$7:$B$2506,0))),"?"))</f>
        <v/>
      </c>
      <c r="F316" s="101" t="n">
        <f aca="false">IF($C316="","",IFERROR(IF(INDEX('REGISTRE TUBES'!$F$7:$F$2506,MATCH($C316,'REGISTRE TUBES'!$B$7:$B$2506,0))="","",INDEX('REGISTRE TUBES'!$F$7:$F$2506,MATCH($C316,'REGISTRE TUBES'!$B$7:$B$2506,0))),"?"))</f>
        <v>11.94</v>
      </c>
      <c r="G316" s="102" t="n">
        <f aca="false">IF($C316="","",N(G315)+N(F316))</f>
        <v>2543.25000000001</v>
      </c>
      <c r="H316" s="103" t="s">
        <v>1158</v>
      </c>
      <c r="I316" s="104"/>
      <c r="J316" s="105"/>
    </row>
    <row r="317" customFormat="false" ht="15" hidden="false" customHeight="false" outlineLevel="0" collapsed="false">
      <c r="B317" s="90" t="n">
        <v>214</v>
      </c>
      <c r="C317" s="91" t="n">
        <v>2095860</v>
      </c>
      <c r="D317" s="92" t="n">
        <f aca="false">IF($C317="","",IFERROR(IF(INDEX('REGISTRE TUBES'!$C$7:$C$2506,MATCH($C317,'REGISTRE TUBES'!$B$7:$B$2506,0))="","",INDEX('REGISTRE TUBES'!$C$7:$C$2506,MATCH($C317,'REGISTRE TUBES'!$B$7:$B$2506,0))),"?"))</f>
        <v>15421104</v>
      </c>
      <c r="E317" s="92" t="str">
        <f aca="false">IF($C317="","",IFERROR(IF(INDEX('REGISTRE TUBES'!$D$7:$D$2506,MATCH($C317,'REGISTRE TUBES'!$B$7:$B$2506,0))="","",INDEX('REGISTRE TUBES'!$D$7:$D$2506,MATCH($C317,'REGISTRE TUBES'!$B$7:$B$2506,0))),"?"))</f>
        <v/>
      </c>
      <c r="F317" s="93" t="n">
        <f aca="false">IF($C317="","",IFERROR(IF(INDEX('REGISTRE TUBES'!$F$7:$F$2506,MATCH($C317,'REGISTRE TUBES'!$B$7:$B$2506,0))="","",INDEX('REGISTRE TUBES'!$F$7:$F$2506,MATCH($C317,'REGISTRE TUBES'!$B$7:$B$2506,0))),"?"))</f>
        <v>11.94</v>
      </c>
      <c r="G317" s="94" t="n">
        <f aca="false">IF($C317="","",N(G316)+N(F317))</f>
        <v>2555.19000000001</v>
      </c>
      <c r="H317" s="95" t="s">
        <v>1159</v>
      </c>
      <c r="I317" s="96"/>
      <c r="J317" s="97"/>
    </row>
    <row r="318" customFormat="false" ht="15" hidden="false" customHeight="false" outlineLevel="0" collapsed="false">
      <c r="B318" s="98" t="n">
        <v>215</v>
      </c>
      <c r="C318" s="99" t="n">
        <v>2097920</v>
      </c>
      <c r="D318" s="100" t="n">
        <f aca="false">IF($C318="","",IFERROR(IF(INDEX('REGISTRE TUBES'!$C$7:$C$2506,MATCH($C318,'REGISTRE TUBES'!$B$7:$B$2506,0))="","",INDEX('REGISTRE TUBES'!$C$7:$C$2506,MATCH($C318,'REGISTRE TUBES'!$B$7:$B$2506,0))),"?"))</f>
        <v>15421112</v>
      </c>
      <c r="E318" s="100" t="str">
        <f aca="false">IF($C318="","",IFERROR(IF(INDEX('REGISTRE TUBES'!$D$7:$D$2506,MATCH($C318,'REGISTRE TUBES'!$B$7:$B$2506,0))="","",INDEX('REGISTRE TUBES'!$D$7:$D$2506,MATCH($C318,'REGISTRE TUBES'!$B$7:$B$2506,0))),"?"))</f>
        <v/>
      </c>
      <c r="F318" s="101" t="n">
        <f aca="false">IF($C318="","",IFERROR(IF(INDEX('REGISTRE TUBES'!$F$7:$F$2506,MATCH($C318,'REGISTRE TUBES'!$B$7:$B$2506,0))="","",INDEX('REGISTRE TUBES'!$F$7:$F$2506,MATCH($C318,'REGISTRE TUBES'!$B$7:$B$2506,0))),"?"))</f>
        <v>11.94</v>
      </c>
      <c r="G318" s="102" t="n">
        <f aca="false">IF($C318="","",N(G317)+N(F318))</f>
        <v>2567.13000000001</v>
      </c>
      <c r="H318" s="103" t="s">
        <v>1160</v>
      </c>
      <c r="I318" s="104"/>
      <c r="J318" s="105"/>
    </row>
    <row r="319" customFormat="false" ht="15" hidden="false" customHeight="false" outlineLevel="0" collapsed="false">
      <c r="B319" s="90" t="n">
        <v>216</v>
      </c>
      <c r="C319" s="91" t="n">
        <v>2098260</v>
      </c>
      <c r="D319" s="92" t="n">
        <f aca="false">IF($C319="","",IFERROR(IF(INDEX('REGISTRE TUBES'!$C$7:$C$2506,MATCH($C319,'REGISTRE TUBES'!$B$7:$B$2506,0))="","",INDEX('REGISTRE TUBES'!$C$7:$C$2506,MATCH($C319,'REGISTRE TUBES'!$B$7:$B$2506,0))),"?"))</f>
        <v>15421111</v>
      </c>
      <c r="E319" s="92" t="str">
        <f aca="false">IF($C319="","",IFERROR(IF(INDEX('REGISTRE TUBES'!$D$7:$D$2506,MATCH($C319,'REGISTRE TUBES'!$B$7:$B$2506,0))="","",INDEX('REGISTRE TUBES'!$D$7:$D$2506,MATCH($C319,'REGISTRE TUBES'!$B$7:$B$2506,0))),"?"))</f>
        <v/>
      </c>
      <c r="F319" s="93" t="n">
        <f aca="false">IF($C319="","",IFERROR(IF(INDEX('REGISTRE TUBES'!$F$7:$F$2506,MATCH($C319,'REGISTRE TUBES'!$B$7:$B$2506,0))="","",INDEX('REGISTRE TUBES'!$F$7:$F$2506,MATCH($C319,'REGISTRE TUBES'!$B$7:$B$2506,0))),"?"))</f>
        <v>11.94</v>
      </c>
      <c r="G319" s="94" t="n">
        <f aca="false">IF($C319="","",N(G318)+N(F319))</f>
        <v>2579.07000000001</v>
      </c>
      <c r="H319" s="95" t="s">
        <v>1161</v>
      </c>
      <c r="I319" s="96"/>
      <c r="J319" s="97"/>
    </row>
    <row r="320" customFormat="false" ht="15" hidden="false" customHeight="false" outlineLevel="0" collapsed="false">
      <c r="B320" s="98" t="n">
        <v>217</v>
      </c>
      <c r="C320" s="99" t="n">
        <v>2094820</v>
      </c>
      <c r="D320" s="100" t="n">
        <f aca="false">IF($C320="","",IFERROR(IF(INDEX('REGISTRE TUBES'!$C$7:$C$2506,MATCH($C320,'REGISTRE TUBES'!$B$7:$B$2506,0))="","",INDEX('REGISTRE TUBES'!$C$7:$C$2506,MATCH($C320,'REGISTRE TUBES'!$B$7:$B$2506,0))),"?"))</f>
        <v>15421111</v>
      </c>
      <c r="E320" s="100" t="str">
        <f aca="false">IF($C320="","",IFERROR(IF(INDEX('REGISTRE TUBES'!$D$7:$D$2506,MATCH($C320,'REGISTRE TUBES'!$B$7:$B$2506,0))="","",INDEX('REGISTRE TUBES'!$D$7:$D$2506,MATCH($C320,'REGISTRE TUBES'!$B$7:$B$2506,0))),"?"))</f>
        <v/>
      </c>
      <c r="F320" s="101" t="n">
        <f aca="false">IF($C320="","",IFERROR(IF(INDEX('REGISTRE TUBES'!$F$7:$F$2506,MATCH($C320,'REGISTRE TUBES'!$B$7:$B$2506,0))="","",INDEX('REGISTRE TUBES'!$F$7:$F$2506,MATCH($C320,'REGISTRE TUBES'!$B$7:$B$2506,0))),"?"))</f>
        <v>11.94</v>
      </c>
      <c r="G320" s="102" t="n">
        <f aca="false">IF($C320="","",N(G319)+N(F320))</f>
        <v>2591.01000000001</v>
      </c>
      <c r="H320" s="103" t="s">
        <v>1162</v>
      </c>
      <c r="I320" s="104"/>
      <c r="J320" s="105"/>
    </row>
    <row r="321" customFormat="false" ht="15" hidden="false" customHeight="false" outlineLevel="0" collapsed="false">
      <c r="B321" s="90" t="n">
        <v>218</v>
      </c>
      <c r="C321" s="91" t="n">
        <v>2087610</v>
      </c>
      <c r="D321" s="92" t="n">
        <f aca="false">IF($C321="","",IFERROR(IF(INDEX('REGISTRE TUBES'!$C$7:$C$2506,MATCH($C321,'REGISTRE TUBES'!$B$7:$B$2506,0))="","",INDEX('REGISTRE TUBES'!$C$7:$C$2506,MATCH($C321,'REGISTRE TUBES'!$B$7:$B$2506,0))),"?"))</f>
        <v>15421107</v>
      </c>
      <c r="E321" s="92" t="str">
        <f aca="false">IF($C321="","",IFERROR(IF(INDEX('REGISTRE TUBES'!$D$7:$D$2506,MATCH($C321,'REGISTRE TUBES'!$B$7:$B$2506,0))="","",INDEX('REGISTRE TUBES'!$D$7:$D$2506,MATCH($C321,'REGISTRE TUBES'!$B$7:$B$2506,0))),"?"))</f>
        <v/>
      </c>
      <c r="F321" s="93" t="n">
        <f aca="false">IF($C321="","",IFERROR(IF(INDEX('REGISTRE TUBES'!$F$7:$F$2506,MATCH($C321,'REGISTRE TUBES'!$B$7:$B$2506,0))="","",INDEX('REGISTRE TUBES'!$F$7:$F$2506,MATCH($C321,'REGISTRE TUBES'!$B$7:$B$2506,0))),"?"))</f>
        <v>11.94</v>
      </c>
      <c r="G321" s="94" t="n">
        <f aca="false">IF($C321="","",N(G320)+N(F321))</f>
        <v>2602.95000000001</v>
      </c>
      <c r="H321" s="95" t="s">
        <v>1163</v>
      </c>
      <c r="I321" s="96"/>
      <c r="J321" s="97"/>
    </row>
    <row r="322" customFormat="false" ht="15" hidden="false" customHeight="false" outlineLevel="0" collapsed="false">
      <c r="B322" s="98" t="n">
        <v>219</v>
      </c>
      <c r="C322" s="99" t="n">
        <v>2084930</v>
      </c>
      <c r="D322" s="100" t="n">
        <f aca="false">IF($C322="","",IFERROR(IF(INDEX('REGISTRE TUBES'!$C$7:$C$2506,MATCH($C322,'REGISTRE TUBES'!$B$7:$B$2506,0))="","",INDEX('REGISTRE TUBES'!$C$7:$C$2506,MATCH($C322,'REGISTRE TUBES'!$B$7:$B$2506,0))),"?"))</f>
        <v>15421106</v>
      </c>
      <c r="E322" s="100" t="str">
        <f aca="false">IF($C322="","",IFERROR(IF(INDEX('REGISTRE TUBES'!$D$7:$D$2506,MATCH($C322,'REGISTRE TUBES'!$B$7:$B$2506,0))="","",INDEX('REGISTRE TUBES'!$D$7:$D$2506,MATCH($C322,'REGISTRE TUBES'!$B$7:$B$2506,0))),"?"))</f>
        <v/>
      </c>
      <c r="F322" s="101" t="n">
        <f aca="false">IF($C322="","",IFERROR(IF(INDEX('REGISTRE TUBES'!$F$7:$F$2506,MATCH($C322,'REGISTRE TUBES'!$B$7:$B$2506,0))="","",INDEX('REGISTRE TUBES'!$F$7:$F$2506,MATCH($C322,'REGISTRE TUBES'!$B$7:$B$2506,0))),"?"))</f>
        <v>11.94</v>
      </c>
      <c r="G322" s="102" t="n">
        <f aca="false">IF($C322="","",N(G321)+N(F322))</f>
        <v>2614.89000000001</v>
      </c>
      <c r="H322" s="103"/>
      <c r="I322" s="104"/>
      <c r="J322" s="105"/>
    </row>
    <row r="323" customFormat="false" ht="15" hidden="false" customHeight="false" outlineLevel="0" collapsed="false">
      <c r="B323" s="90" t="n">
        <v>220</v>
      </c>
      <c r="C323" s="91" t="n">
        <v>2095880</v>
      </c>
      <c r="D323" s="92" t="n">
        <f aca="false">IF($C323="","",IFERROR(IF(INDEX('REGISTRE TUBES'!$C$7:$C$2506,MATCH($C323,'REGISTRE TUBES'!$B$7:$B$2506,0))="","",INDEX('REGISTRE TUBES'!$C$7:$C$2506,MATCH($C323,'REGISTRE TUBES'!$B$7:$B$2506,0))),"?"))</f>
        <v>15421111</v>
      </c>
      <c r="E323" s="92" t="str">
        <f aca="false">IF($C323="","",IFERROR(IF(INDEX('REGISTRE TUBES'!$D$7:$D$2506,MATCH($C323,'REGISTRE TUBES'!$B$7:$B$2506,0))="","",INDEX('REGISTRE TUBES'!$D$7:$D$2506,MATCH($C323,'REGISTRE TUBES'!$B$7:$B$2506,0))),"?"))</f>
        <v/>
      </c>
      <c r="F323" s="93" t="n">
        <f aca="false">IF($C323="","",IFERROR(IF(INDEX('REGISTRE TUBES'!$F$7:$F$2506,MATCH($C323,'REGISTRE TUBES'!$B$7:$B$2506,0))="","",INDEX('REGISTRE TUBES'!$F$7:$F$2506,MATCH($C323,'REGISTRE TUBES'!$B$7:$B$2506,0))),"?"))</f>
        <v>11.94</v>
      </c>
      <c r="G323" s="94" t="n">
        <f aca="false">IF($C323="","",N(G322)+N(F323))</f>
        <v>2626.83000000001</v>
      </c>
      <c r="H323" s="95" t="s">
        <v>1169</v>
      </c>
      <c r="I323" s="96"/>
      <c r="J323" s="97"/>
    </row>
    <row r="324" customFormat="false" ht="15" hidden="false" customHeight="false" outlineLevel="0" collapsed="false">
      <c r="B324" s="98" t="n">
        <v>221</v>
      </c>
      <c r="C324" s="99" t="n">
        <v>2097910</v>
      </c>
      <c r="D324" s="100" t="n">
        <f aca="false">IF($C324="","",IFERROR(IF(INDEX('REGISTRE TUBES'!$C$7:$C$2506,MATCH($C324,'REGISTRE TUBES'!$B$7:$B$2506,0))="","",INDEX('REGISTRE TUBES'!$C$7:$C$2506,MATCH($C324,'REGISTRE TUBES'!$B$7:$B$2506,0))),"?"))</f>
        <v>15421112</v>
      </c>
      <c r="E324" s="100" t="str">
        <f aca="false">IF($C324="","",IFERROR(IF(INDEX('REGISTRE TUBES'!$D$7:$D$2506,MATCH($C324,'REGISTRE TUBES'!$B$7:$B$2506,0))="","",INDEX('REGISTRE TUBES'!$D$7:$D$2506,MATCH($C324,'REGISTRE TUBES'!$B$7:$B$2506,0))),"?"))</f>
        <v/>
      </c>
      <c r="F324" s="101" t="n">
        <f aca="false">IF($C324="","",IFERROR(IF(INDEX('REGISTRE TUBES'!$F$7:$F$2506,MATCH($C324,'REGISTRE TUBES'!$B$7:$B$2506,0))="","",INDEX('REGISTRE TUBES'!$F$7:$F$2506,MATCH($C324,'REGISTRE TUBES'!$B$7:$B$2506,0))),"?"))</f>
        <v>11.94</v>
      </c>
      <c r="G324" s="102" t="n">
        <f aca="false">IF($C324="","",N(G323)+N(F324))</f>
        <v>2638.77000000001</v>
      </c>
      <c r="H324" s="103" t="s">
        <v>1170</v>
      </c>
      <c r="I324" s="104"/>
      <c r="J324" s="105"/>
    </row>
    <row r="325" customFormat="false" ht="15" hidden="false" customHeight="false" outlineLevel="0" collapsed="false">
      <c r="B325" s="90" t="n">
        <v>222</v>
      </c>
      <c r="C325" s="91" t="n">
        <v>2094420</v>
      </c>
      <c r="D325" s="92" t="n">
        <f aca="false">IF($C325="","",IFERROR(IF(INDEX('REGISTRE TUBES'!$C$7:$C$2506,MATCH($C325,'REGISTRE TUBES'!$B$7:$B$2506,0))="","",INDEX('REGISTRE TUBES'!$C$7:$C$2506,MATCH($C325,'REGISTRE TUBES'!$B$7:$B$2506,0))),"?"))</f>
        <v>15421111</v>
      </c>
      <c r="E325" s="92" t="str">
        <f aca="false">IF($C325="","",IFERROR(IF(INDEX('REGISTRE TUBES'!$D$7:$D$2506,MATCH($C325,'REGISTRE TUBES'!$B$7:$B$2506,0))="","",INDEX('REGISTRE TUBES'!$D$7:$D$2506,MATCH($C325,'REGISTRE TUBES'!$B$7:$B$2506,0))),"?"))</f>
        <v/>
      </c>
      <c r="F325" s="93" t="n">
        <f aca="false">IF($C325="","",IFERROR(IF(INDEX('REGISTRE TUBES'!$F$7:$F$2506,MATCH($C325,'REGISTRE TUBES'!$B$7:$B$2506,0))="","",INDEX('REGISTRE TUBES'!$F$7:$F$2506,MATCH($C325,'REGISTRE TUBES'!$B$7:$B$2506,0))),"?"))</f>
        <v>11.94</v>
      </c>
      <c r="G325" s="94" t="n">
        <f aca="false">IF($C325="","",N(G324)+N(F325))</f>
        <v>2650.71000000001</v>
      </c>
      <c r="H325" s="95" t="s">
        <v>1172</v>
      </c>
      <c r="I325" s="96"/>
      <c r="J325" s="97"/>
    </row>
    <row r="326" customFormat="false" ht="15" hidden="false" customHeight="false" outlineLevel="0" collapsed="false">
      <c r="B326" s="98" t="n">
        <v>223</v>
      </c>
      <c r="C326" s="99" t="n">
        <v>2086490</v>
      </c>
      <c r="D326" s="100" t="n">
        <f aca="false">IF($C326="","",IFERROR(IF(INDEX('REGISTRE TUBES'!$C$7:$C$2506,MATCH($C326,'REGISTRE TUBES'!$B$7:$B$2506,0))="","",INDEX('REGISTRE TUBES'!$C$7:$C$2506,MATCH($C326,'REGISTRE TUBES'!$B$7:$B$2506,0))),"?"))</f>
        <v>15421107</v>
      </c>
      <c r="E326" s="100" t="str">
        <f aca="false">IF($C326="","",IFERROR(IF(INDEX('REGISTRE TUBES'!$D$7:$D$2506,MATCH($C326,'REGISTRE TUBES'!$B$7:$B$2506,0))="","",INDEX('REGISTRE TUBES'!$D$7:$D$2506,MATCH($C326,'REGISTRE TUBES'!$B$7:$B$2506,0))),"?"))</f>
        <v/>
      </c>
      <c r="F326" s="101" t="n">
        <f aca="false">IF($C326="","",IFERROR(IF(INDEX('REGISTRE TUBES'!$F$7:$F$2506,MATCH($C326,'REGISTRE TUBES'!$B$7:$B$2506,0))="","",INDEX('REGISTRE TUBES'!$F$7:$F$2506,MATCH($C326,'REGISTRE TUBES'!$B$7:$B$2506,0))),"?"))</f>
        <v>11.94</v>
      </c>
      <c r="G326" s="102" t="n">
        <f aca="false">IF($C326="","",N(G325)+N(F326))</f>
        <v>2662.65000000001</v>
      </c>
      <c r="H326" s="103"/>
      <c r="I326" s="104"/>
      <c r="J326" s="105"/>
    </row>
    <row r="327" customFormat="false" ht="15" hidden="false" customHeight="false" outlineLevel="0" collapsed="false">
      <c r="B327" s="90" t="n">
        <v>224</v>
      </c>
      <c r="C327" s="91" t="n">
        <v>2079570</v>
      </c>
      <c r="D327" s="92" t="n">
        <f aca="false">IF($C327="","",IFERROR(IF(INDEX('REGISTRE TUBES'!$C$7:$C$2506,MATCH($C327,'REGISTRE TUBES'!$B$7:$B$2506,0))="","",INDEX('REGISTRE TUBES'!$C$7:$C$2506,MATCH($C327,'REGISTRE TUBES'!$B$7:$B$2506,0))),"?"))</f>
        <v>15421102</v>
      </c>
      <c r="E327" s="92" t="str">
        <f aca="false">IF($C327="","",IFERROR(IF(INDEX('REGISTRE TUBES'!$D$7:$D$2506,MATCH($C327,'REGISTRE TUBES'!$B$7:$B$2506,0))="","",INDEX('REGISTRE TUBES'!$D$7:$D$2506,MATCH($C327,'REGISTRE TUBES'!$B$7:$B$2506,0))),"?"))</f>
        <v/>
      </c>
      <c r="F327" s="93" t="n">
        <f aca="false">IF($C327="","",IFERROR(IF(INDEX('REGISTRE TUBES'!$F$7:$F$2506,MATCH($C327,'REGISTRE TUBES'!$B$7:$B$2506,0))="","",INDEX('REGISTRE TUBES'!$F$7:$F$2506,MATCH($C327,'REGISTRE TUBES'!$B$7:$B$2506,0))),"?"))</f>
        <v>11.94</v>
      </c>
      <c r="G327" s="94" t="n">
        <f aca="false">IF($C327="","",N(G326)+N(F327))</f>
        <v>2674.59000000001</v>
      </c>
      <c r="H327" s="95" t="s">
        <v>1203</v>
      </c>
      <c r="I327" s="96"/>
      <c r="J327" s="97"/>
    </row>
    <row r="328" customFormat="false" ht="15" hidden="false" customHeight="false" outlineLevel="0" collapsed="false">
      <c r="B328" s="98" t="n">
        <v>225</v>
      </c>
      <c r="C328" s="99" t="n">
        <v>2098240</v>
      </c>
      <c r="D328" s="100" t="n">
        <f aca="false">IF($C328="","",IFERROR(IF(INDEX('REGISTRE TUBES'!$C$7:$C$2506,MATCH($C328,'REGISTRE TUBES'!$B$7:$B$2506,0))="","",INDEX('REGISTRE TUBES'!$C$7:$C$2506,MATCH($C328,'REGISTRE TUBES'!$B$7:$B$2506,0))),"?"))</f>
        <v>15421112</v>
      </c>
      <c r="E328" s="100" t="str">
        <f aca="false">IF($C328="","",IFERROR(IF(INDEX('REGISTRE TUBES'!$D$7:$D$2506,MATCH($C328,'REGISTRE TUBES'!$B$7:$B$2506,0))="","",INDEX('REGISTRE TUBES'!$D$7:$D$2506,MATCH($C328,'REGISTRE TUBES'!$B$7:$B$2506,0))),"?"))</f>
        <v/>
      </c>
      <c r="F328" s="101" t="n">
        <f aca="false">IF($C328="","",IFERROR(IF(INDEX('REGISTRE TUBES'!$F$7:$F$2506,MATCH($C328,'REGISTRE TUBES'!$B$7:$B$2506,0))="","",INDEX('REGISTRE TUBES'!$F$7:$F$2506,MATCH($C328,'REGISTRE TUBES'!$B$7:$B$2506,0))),"?"))</f>
        <v>11.94</v>
      </c>
      <c r="G328" s="102" t="n">
        <f aca="false">IF($C328="","",N(G327)+N(F328))</f>
        <v>2686.53000000001</v>
      </c>
      <c r="H328" s="103" t="s">
        <v>1204</v>
      </c>
      <c r="I328" s="104"/>
      <c r="J328" s="105"/>
    </row>
    <row r="329" customFormat="false" ht="15" hidden="false" customHeight="false" outlineLevel="0" collapsed="false">
      <c r="B329" s="90" t="n">
        <v>226</v>
      </c>
      <c r="C329" s="91" t="n">
        <v>2080190</v>
      </c>
      <c r="D329" s="92" t="n">
        <f aca="false">IF($C329="","",IFERROR(IF(INDEX('REGISTRE TUBES'!$C$7:$C$2506,MATCH($C329,'REGISTRE TUBES'!$B$7:$B$2506,0))="","",INDEX('REGISTRE TUBES'!$C$7:$C$2506,MATCH($C329,'REGISTRE TUBES'!$B$7:$B$2506,0))),"?"))</f>
        <v>15421102</v>
      </c>
      <c r="E329" s="92" t="str">
        <f aca="false">IF($C329="","",IFERROR(IF(INDEX('REGISTRE TUBES'!$D$7:$D$2506,MATCH($C329,'REGISTRE TUBES'!$B$7:$B$2506,0))="","",INDEX('REGISTRE TUBES'!$D$7:$D$2506,MATCH($C329,'REGISTRE TUBES'!$B$7:$B$2506,0))),"?"))</f>
        <v/>
      </c>
      <c r="F329" s="93" t="n">
        <f aca="false">IF($C329="","",IFERROR(IF(INDEX('REGISTRE TUBES'!$F$7:$F$2506,MATCH($C329,'REGISTRE TUBES'!$B$7:$B$2506,0))="","",INDEX('REGISTRE TUBES'!$F$7:$F$2506,MATCH($C329,'REGISTRE TUBES'!$B$7:$B$2506,0))),"?"))</f>
        <v>11.94</v>
      </c>
      <c r="G329" s="94" t="n">
        <f aca="false">IF($C329="","",N(G328)+N(F329))</f>
        <v>2698.47000000001</v>
      </c>
      <c r="H329" s="95" t="s">
        <v>1206</v>
      </c>
      <c r="I329" s="96"/>
      <c r="J329" s="97"/>
    </row>
    <row r="330" customFormat="false" ht="15" hidden="false" customHeight="false" outlineLevel="0" collapsed="false">
      <c r="B330" s="98" t="n">
        <v>227</v>
      </c>
      <c r="C330" s="99" t="n">
        <v>2085230</v>
      </c>
      <c r="D330" s="100" t="n">
        <f aca="false">IF($C330="","",IFERROR(IF(INDEX('REGISTRE TUBES'!$C$7:$C$2506,MATCH($C330,'REGISTRE TUBES'!$B$7:$B$2506,0))="","",INDEX('REGISTRE TUBES'!$C$7:$C$2506,MATCH($C330,'REGISTRE TUBES'!$B$7:$B$2506,0))),"?"))</f>
        <v>15421106</v>
      </c>
      <c r="E330" s="100" t="str">
        <f aca="false">IF($C330="","",IFERROR(IF(INDEX('REGISTRE TUBES'!$D$7:$D$2506,MATCH($C330,'REGISTRE TUBES'!$B$7:$B$2506,0))="","",INDEX('REGISTRE TUBES'!$D$7:$D$2506,MATCH($C330,'REGISTRE TUBES'!$B$7:$B$2506,0))),"?"))</f>
        <v/>
      </c>
      <c r="F330" s="101" t="n">
        <f aca="false">IF($C330="","",IFERROR(IF(INDEX('REGISTRE TUBES'!$F$7:$F$2506,MATCH($C330,'REGISTRE TUBES'!$B$7:$B$2506,0))="","",INDEX('REGISTRE TUBES'!$F$7:$F$2506,MATCH($C330,'REGISTRE TUBES'!$B$7:$B$2506,0))),"?"))</f>
        <v>11.94</v>
      </c>
      <c r="G330" s="102" t="n">
        <f aca="false">IF($C330="","",N(G329)+N(F330))</f>
        <v>2710.41000000001</v>
      </c>
      <c r="H330" s="103" t="s">
        <v>1207</v>
      </c>
      <c r="I330" s="104"/>
      <c r="J330" s="105"/>
    </row>
    <row r="331" customFormat="false" ht="15" hidden="false" customHeight="false" outlineLevel="0" collapsed="false">
      <c r="B331" s="90" t="n">
        <v>228</v>
      </c>
      <c r="C331" s="91" t="n">
        <v>2087250</v>
      </c>
      <c r="D331" s="92" t="n">
        <f aca="false">IF($C331="","",IFERROR(IF(INDEX('REGISTRE TUBES'!$C$7:$C$2506,MATCH($C331,'REGISTRE TUBES'!$B$7:$B$2506,0))="","",INDEX('REGISTRE TUBES'!$C$7:$C$2506,MATCH($C331,'REGISTRE TUBES'!$B$7:$B$2506,0))),"?"))</f>
        <v>15421107</v>
      </c>
      <c r="E331" s="92" t="str">
        <f aca="false">IF($C331="","",IFERROR(IF(INDEX('REGISTRE TUBES'!$D$7:$D$2506,MATCH($C331,'REGISTRE TUBES'!$B$7:$B$2506,0))="","",INDEX('REGISTRE TUBES'!$D$7:$D$2506,MATCH($C331,'REGISTRE TUBES'!$B$7:$B$2506,0))),"?"))</f>
        <v/>
      </c>
      <c r="F331" s="93" t="n">
        <f aca="false">IF($C331="","",IFERROR(IF(INDEX('REGISTRE TUBES'!$F$7:$F$2506,MATCH($C331,'REGISTRE TUBES'!$B$7:$B$2506,0))="","",INDEX('REGISTRE TUBES'!$F$7:$F$2506,MATCH($C331,'REGISTRE TUBES'!$B$7:$B$2506,0))),"?"))</f>
        <v>11.94</v>
      </c>
      <c r="G331" s="94" t="n">
        <f aca="false">IF($C331="","",N(G330)+N(F331))</f>
        <v>2722.35000000001</v>
      </c>
      <c r="H331" s="95" t="s">
        <v>1208</v>
      </c>
      <c r="I331" s="96"/>
      <c r="J331" s="97"/>
    </row>
    <row r="332" customFormat="false" ht="15" hidden="false" customHeight="true" outlineLevel="0" collapsed="false">
      <c r="B332" s="106" t="s">
        <v>3031</v>
      </c>
      <c r="C332" s="106"/>
      <c r="D332" s="106"/>
      <c r="E332" s="106"/>
      <c r="F332" s="107" t="n">
        <f aca="false">SUM(F313:F331)</f>
        <v>226.86</v>
      </c>
      <c r="G332" s="108" t="n">
        <f aca="false">IF(COUNT(G313:G331)=0,"",MAX(G313:G331))</f>
        <v>2722.35000000001</v>
      </c>
      <c r="H332" s="106" t="str">
        <f aca="false">COUNTA(C313:C331)&amp;" tube(s)"</f>
        <v>19 tube(s)</v>
      </c>
      <c r="I332" s="106"/>
      <c r="J332" s="106"/>
    </row>
    <row r="334" customFormat="false" ht="15" hidden="false" customHeight="false" outlineLevel="0" collapsed="false">
      <c r="B334" s="109" t="s">
        <v>3032</v>
      </c>
      <c r="F334" s="109" t="s">
        <v>3033</v>
      </c>
      <c r="I334" s="109" t="s">
        <v>3034</v>
      </c>
    </row>
    <row r="337" customFormat="false" ht="25.5" hidden="false" customHeight="true" outlineLevel="0" collapsed="false">
      <c r="B337" s="85" t="s">
        <v>3015</v>
      </c>
      <c r="C337" s="85"/>
      <c r="D337" s="85"/>
      <c r="E337" s="85"/>
      <c r="F337" s="85"/>
      <c r="G337" s="85"/>
      <c r="H337" s="85"/>
      <c r="I337" s="85"/>
      <c r="J337" s="85"/>
    </row>
    <row r="338" customFormat="false" ht="15" hidden="false" customHeight="false" outlineLevel="0" collapsed="false">
      <c r="B338" s="86" t="str">
        <f aca="false">PARAMÈTRES!$C$4&amp;"   •   Affaire N° "&amp;PARAMÈTRES!$C$5</f>
        <v>Développement des champs gaziers TFT II — réseau de collecte TFT Sud (LIGNE-16)   •   Affaire N° 8546</v>
      </c>
      <c r="C338" s="86"/>
      <c r="D338" s="86"/>
      <c r="E338" s="86"/>
      <c r="F338" s="86"/>
      <c r="G338" s="86"/>
      <c r="H338" s="86"/>
      <c r="I338" s="86"/>
      <c r="J338" s="86"/>
    </row>
    <row r="339" customFormat="false" ht="19.5" hidden="false" customHeight="true" outlineLevel="0" collapsed="false">
      <c r="B339" s="87" t="s">
        <v>3016</v>
      </c>
      <c r="C339" s="88" t="s">
        <v>110</v>
      </c>
      <c r="D339" s="88"/>
      <c r="E339" s="87" t="s">
        <v>3017</v>
      </c>
      <c r="F339" s="88" t="s">
        <v>3057</v>
      </c>
      <c r="G339" s="87" t="s">
        <v>3019</v>
      </c>
      <c r="H339" s="88" t="s">
        <v>3058</v>
      </c>
      <c r="I339" s="87" t="s">
        <v>3021</v>
      </c>
      <c r="J339" s="89"/>
    </row>
    <row r="340" customFormat="false" ht="27.75" hidden="false" customHeight="true" outlineLevel="0" collapsed="false">
      <c r="B340" s="71" t="s">
        <v>3022</v>
      </c>
      <c r="C340" s="71" t="s">
        <v>3023</v>
      </c>
      <c r="D340" s="71" t="s">
        <v>3024</v>
      </c>
      <c r="E340" s="71" t="s">
        <v>3025</v>
      </c>
      <c r="F340" s="71" t="s">
        <v>3026</v>
      </c>
      <c r="G340" s="71" t="s">
        <v>3027</v>
      </c>
      <c r="H340" s="71" t="s">
        <v>3028</v>
      </c>
      <c r="I340" s="71" t="s">
        <v>3029</v>
      </c>
      <c r="J340" s="71" t="s">
        <v>3030</v>
      </c>
    </row>
    <row r="341" customFormat="false" ht="15" hidden="false" customHeight="false" outlineLevel="0" collapsed="false">
      <c r="B341" s="90" t="n">
        <v>229</v>
      </c>
      <c r="C341" s="91" t="n">
        <v>2080040</v>
      </c>
      <c r="D341" s="92" t="n">
        <f aca="false">IF($C341="","",IFERROR(IF(INDEX('REGISTRE TUBES'!$C$7:$C$2506,MATCH($C341,'REGISTRE TUBES'!$B$7:$B$2506,0))="","",INDEX('REGISTRE TUBES'!$C$7:$C$2506,MATCH($C341,'REGISTRE TUBES'!$B$7:$B$2506,0))),"?"))</f>
        <v>15421102</v>
      </c>
      <c r="E341" s="92" t="str">
        <f aca="false">IF($C341="","",IFERROR(IF(INDEX('REGISTRE TUBES'!$D$7:$D$2506,MATCH($C341,'REGISTRE TUBES'!$B$7:$B$2506,0))="","",INDEX('REGISTRE TUBES'!$D$7:$D$2506,MATCH($C341,'REGISTRE TUBES'!$B$7:$B$2506,0))),"?"))</f>
        <v/>
      </c>
      <c r="F341" s="93" t="n">
        <f aca="false">IF($C341="","",IFERROR(IF(INDEX('REGISTRE TUBES'!$F$7:$F$2506,MATCH($C341,'REGISTRE TUBES'!$B$7:$B$2506,0))="","",INDEX('REGISTRE TUBES'!$F$7:$F$2506,MATCH($C341,'REGISTRE TUBES'!$B$7:$B$2506,0))),"?"))</f>
        <v>11.94</v>
      </c>
      <c r="G341" s="94" t="n">
        <f aca="false">IF($C341="","",N(G331)+N(F341))</f>
        <v>2734.29000000001</v>
      </c>
      <c r="H341" s="95" t="s">
        <v>1211</v>
      </c>
      <c r="I341" s="96"/>
      <c r="J341" s="97"/>
    </row>
    <row r="342" customFormat="false" ht="15" hidden="false" customHeight="false" outlineLevel="0" collapsed="false">
      <c r="B342" s="98" t="n">
        <v>230</v>
      </c>
      <c r="C342" s="99" t="n">
        <v>2090020</v>
      </c>
      <c r="D342" s="100" t="n">
        <f aca="false">IF($C342="","",IFERROR(IF(INDEX('REGISTRE TUBES'!$C$7:$C$2506,MATCH($C342,'REGISTRE TUBES'!$B$7:$B$2506,0))="","",INDEX('REGISTRE TUBES'!$C$7:$C$2506,MATCH($C342,'REGISTRE TUBES'!$B$7:$B$2506,0))),"?"))</f>
        <v>15421110</v>
      </c>
      <c r="E342" s="100" t="str">
        <f aca="false">IF($C342="","",IFERROR(IF(INDEX('REGISTRE TUBES'!$D$7:$D$2506,MATCH($C342,'REGISTRE TUBES'!$B$7:$B$2506,0))="","",INDEX('REGISTRE TUBES'!$D$7:$D$2506,MATCH($C342,'REGISTRE TUBES'!$B$7:$B$2506,0))),"?"))</f>
        <v/>
      </c>
      <c r="F342" s="101" t="n">
        <f aca="false">IF($C342="","",IFERROR(IF(INDEX('REGISTRE TUBES'!$F$7:$F$2506,MATCH($C342,'REGISTRE TUBES'!$B$7:$B$2506,0))="","",INDEX('REGISTRE TUBES'!$F$7:$F$2506,MATCH($C342,'REGISTRE TUBES'!$B$7:$B$2506,0))),"?"))</f>
        <v>11.94</v>
      </c>
      <c r="G342" s="102" t="n">
        <f aca="false">IF($C342="","",N(G341)+N(F342))</f>
        <v>2746.23000000001</v>
      </c>
      <c r="H342" s="103" t="s">
        <v>1213</v>
      </c>
      <c r="I342" s="104"/>
      <c r="J342" s="105"/>
    </row>
    <row r="343" customFormat="false" ht="15" hidden="false" customHeight="false" outlineLevel="0" collapsed="false">
      <c r="B343" s="90" t="n">
        <v>231</v>
      </c>
      <c r="C343" s="91" t="n">
        <v>2080180</v>
      </c>
      <c r="D343" s="92" t="n">
        <f aca="false">IF($C343="","",IFERROR(IF(INDEX('REGISTRE TUBES'!$C$7:$C$2506,MATCH($C343,'REGISTRE TUBES'!$B$7:$B$2506,0))="","",INDEX('REGISTRE TUBES'!$C$7:$C$2506,MATCH($C343,'REGISTRE TUBES'!$B$7:$B$2506,0))),"?"))</f>
        <v>15421102</v>
      </c>
      <c r="E343" s="92" t="str">
        <f aca="false">IF($C343="","",IFERROR(IF(INDEX('REGISTRE TUBES'!$D$7:$D$2506,MATCH($C343,'REGISTRE TUBES'!$B$7:$B$2506,0))="","",INDEX('REGISTRE TUBES'!$D$7:$D$2506,MATCH($C343,'REGISTRE TUBES'!$B$7:$B$2506,0))),"?"))</f>
        <v/>
      </c>
      <c r="F343" s="93" t="n">
        <f aca="false">IF($C343="","",IFERROR(IF(INDEX('REGISTRE TUBES'!$F$7:$F$2506,MATCH($C343,'REGISTRE TUBES'!$B$7:$B$2506,0))="","",INDEX('REGISTRE TUBES'!$F$7:$F$2506,MATCH($C343,'REGISTRE TUBES'!$B$7:$B$2506,0))),"?"))</f>
        <v>11.94</v>
      </c>
      <c r="G343" s="94" t="n">
        <f aca="false">IF($C343="","",N(G342)+N(F343))</f>
        <v>2758.17000000001</v>
      </c>
      <c r="H343" s="95" t="s">
        <v>1215</v>
      </c>
      <c r="I343" s="96"/>
      <c r="J343" s="97"/>
    </row>
    <row r="344" customFormat="false" ht="15" hidden="false" customHeight="false" outlineLevel="0" collapsed="false">
      <c r="B344" s="98" t="n">
        <v>232</v>
      </c>
      <c r="C344" s="99" t="n">
        <v>2091100</v>
      </c>
      <c r="D344" s="100" t="n">
        <f aca="false">IF($C344="","",IFERROR(IF(INDEX('REGISTRE TUBES'!$C$7:$C$2506,MATCH($C344,'REGISTRE TUBES'!$B$7:$B$2506,0))="","",INDEX('REGISTRE TUBES'!$C$7:$C$2506,MATCH($C344,'REGISTRE TUBES'!$B$7:$B$2506,0))),"?"))</f>
        <v>15421109</v>
      </c>
      <c r="E344" s="100" t="str">
        <f aca="false">IF($C344="","",IFERROR(IF(INDEX('REGISTRE TUBES'!$D$7:$D$2506,MATCH($C344,'REGISTRE TUBES'!$B$7:$B$2506,0))="","",INDEX('REGISTRE TUBES'!$D$7:$D$2506,MATCH($C344,'REGISTRE TUBES'!$B$7:$B$2506,0))),"?"))</f>
        <v/>
      </c>
      <c r="F344" s="101" t="n">
        <f aca="false">IF($C344="","",IFERROR(IF(INDEX('REGISTRE TUBES'!$F$7:$F$2506,MATCH($C344,'REGISTRE TUBES'!$B$7:$B$2506,0))="","",INDEX('REGISTRE TUBES'!$F$7:$F$2506,MATCH($C344,'REGISTRE TUBES'!$B$7:$B$2506,0))),"?"))</f>
        <v>11.94</v>
      </c>
      <c r="G344" s="102" t="n">
        <f aca="false">IF($C344="","",N(G343)+N(F344))</f>
        <v>2770.11000000001</v>
      </c>
      <c r="H344" s="103" t="s">
        <v>1216</v>
      </c>
      <c r="I344" s="104"/>
      <c r="J344" s="105"/>
    </row>
    <row r="345" customFormat="false" ht="15" hidden="false" customHeight="false" outlineLevel="0" collapsed="false">
      <c r="B345" s="90" t="n">
        <v>233</v>
      </c>
      <c r="C345" s="91" t="n">
        <v>2088800</v>
      </c>
      <c r="D345" s="92" t="n">
        <f aca="false">IF($C345="","",IFERROR(IF(INDEX('REGISTRE TUBES'!$C$7:$C$2506,MATCH($C345,'REGISTRE TUBES'!$B$7:$B$2506,0))="","",INDEX('REGISTRE TUBES'!$C$7:$C$2506,MATCH($C345,'REGISTRE TUBES'!$B$7:$B$2506,0))),"?"))</f>
        <v>15421108</v>
      </c>
      <c r="E345" s="92" t="str">
        <f aca="false">IF($C345="","",IFERROR(IF(INDEX('REGISTRE TUBES'!$D$7:$D$2506,MATCH($C345,'REGISTRE TUBES'!$B$7:$B$2506,0))="","",INDEX('REGISTRE TUBES'!$D$7:$D$2506,MATCH($C345,'REGISTRE TUBES'!$B$7:$B$2506,0))),"?"))</f>
        <v/>
      </c>
      <c r="F345" s="93" t="n">
        <f aca="false">IF($C345="","",IFERROR(IF(INDEX('REGISTRE TUBES'!$F$7:$F$2506,MATCH($C345,'REGISTRE TUBES'!$B$7:$B$2506,0))="","",INDEX('REGISTRE TUBES'!$F$7:$F$2506,MATCH($C345,'REGISTRE TUBES'!$B$7:$B$2506,0))),"?"))</f>
        <v>11.94</v>
      </c>
      <c r="G345" s="94" t="n">
        <f aca="false">IF($C345="","",N(G344)+N(F345))</f>
        <v>2782.05000000001</v>
      </c>
      <c r="H345" s="95" t="s">
        <v>1218</v>
      </c>
      <c r="I345" s="96"/>
      <c r="J345" s="97"/>
    </row>
    <row r="346" customFormat="false" ht="15" hidden="false" customHeight="false" outlineLevel="0" collapsed="false">
      <c r="B346" s="98" t="n">
        <v>234</v>
      </c>
      <c r="C346" s="99" t="n">
        <v>2081840</v>
      </c>
      <c r="D346" s="100" t="n">
        <f aca="false">IF($C346="","",IFERROR(IF(INDEX('REGISTRE TUBES'!$C$7:$C$2506,MATCH($C346,'REGISTRE TUBES'!$B$7:$B$2506,0))="","",INDEX('REGISTRE TUBES'!$C$7:$C$2506,MATCH($C346,'REGISTRE TUBES'!$B$7:$B$2506,0))),"?"))</f>
        <v>15421104</v>
      </c>
      <c r="E346" s="100" t="str">
        <f aca="false">IF($C346="","",IFERROR(IF(INDEX('REGISTRE TUBES'!$D$7:$D$2506,MATCH($C346,'REGISTRE TUBES'!$B$7:$B$2506,0))="","",INDEX('REGISTRE TUBES'!$D$7:$D$2506,MATCH($C346,'REGISTRE TUBES'!$B$7:$B$2506,0))),"?"))</f>
        <v/>
      </c>
      <c r="F346" s="101" t="n">
        <f aca="false">IF($C346="","",IFERROR(IF(INDEX('REGISTRE TUBES'!$F$7:$F$2506,MATCH($C346,'REGISTRE TUBES'!$B$7:$B$2506,0))="","",INDEX('REGISTRE TUBES'!$F$7:$F$2506,MATCH($C346,'REGISTRE TUBES'!$B$7:$B$2506,0))),"?"))</f>
        <v>11.94</v>
      </c>
      <c r="G346" s="102" t="n">
        <f aca="false">IF($C346="","",N(G345)+N(F346))</f>
        <v>2793.99000000001</v>
      </c>
      <c r="H346" s="103" t="s">
        <v>1219</v>
      </c>
      <c r="I346" s="104"/>
      <c r="J346" s="105"/>
    </row>
    <row r="347" customFormat="false" ht="15" hidden="false" customHeight="false" outlineLevel="0" collapsed="false">
      <c r="B347" s="90" t="n">
        <v>235</v>
      </c>
      <c r="C347" s="91" t="n">
        <v>2084530</v>
      </c>
      <c r="D347" s="92" t="n">
        <f aca="false">IF($C347="","",IFERROR(IF(INDEX('REGISTRE TUBES'!$C$7:$C$2506,MATCH($C347,'REGISTRE TUBES'!$B$7:$B$2506,0))="","",INDEX('REGISTRE TUBES'!$C$7:$C$2506,MATCH($C347,'REGISTRE TUBES'!$B$7:$B$2506,0))),"?"))</f>
        <v>15421106</v>
      </c>
      <c r="E347" s="92" t="str">
        <f aca="false">IF($C347="","",IFERROR(IF(INDEX('REGISTRE TUBES'!$D$7:$D$2506,MATCH($C347,'REGISTRE TUBES'!$B$7:$B$2506,0))="","",INDEX('REGISTRE TUBES'!$D$7:$D$2506,MATCH($C347,'REGISTRE TUBES'!$B$7:$B$2506,0))),"?"))</f>
        <v/>
      </c>
      <c r="F347" s="93" t="n">
        <f aca="false">IF($C347="","",IFERROR(IF(INDEX('REGISTRE TUBES'!$F$7:$F$2506,MATCH($C347,'REGISTRE TUBES'!$B$7:$B$2506,0))="","",INDEX('REGISTRE TUBES'!$F$7:$F$2506,MATCH($C347,'REGISTRE TUBES'!$B$7:$B$2506,0))),"?"))</f>
        <v>11.94</v>
      </c>
      <c r="G347" s="94" t="n">
        <f aca="false">IF($C347="","",N(G346)+N(F347))</f>
        <v>2805.93000000001</v>
      </c>
      <c r="H347" s="95" t="s">
        <v>1220</v>
      </c>
      <c r="I347" s="96"/>
      <c r="J347" s="97"/>
    </row>
    <row r="348" customFormat="false" ht="15" hidden="false" customHeight="false" outlineLevel="0" collapsed="false">
      <c r="B348" s="98" t="n">
        <v>236</v>
      </c>
      <c r="C348" s="99" t="n">
        <v>2089530</v>
      </c>
      <c r="D348" s="100" t="n">
        <f aca="false">IF($C348="","",IFERROR(IF(INDEX('REGISTRE TUBES'!$C$7:$C$2506,MATCH($C348,'REGISTRE TUBES'!$B$7:$B$2506,0))="","",INDEX('REGISTRE TUBES'!$C$7:$C$2506,MATCH($C348,'REGISTRE TUBES'!$B$7:$B$2506,0))),"?"))</f>
        <v>15421109</v>
      </c>
      <c r="E348" s="100" t="str">
        <f aca="false">IF($C348="","",IFERROR(IF(INDEX('REGISTRE TUBES'!$D$7:$D$2506,MATCH($C348,'REGISTRE TUBES'!$B$7:$B$2506,0))="","",INDEX('REGISTRE TUBES'!$D$7:$D$2506,MATCH($C348,'REGISTRE TUBES'!$B$7:$B$2506,0))),"?"))</f>
        <v/>
      </c>
      <c r="F348" s="101" t="n">
        <f aca="false">IF($C348="","",IFERROR(IF(INDEX('REGISTRE TUBES'!$F$7:$F$2506,MATCH($C348,'REGISTRE TUBES'!$B$7:$B$2506,0))="","",INDEX('REGISTRE TUBES'!$F$7:$F$2506,MATCH($C348,'REGISTRE TUBES'!$B$7:$B$2506,0))),"?"))</f>
        <v>11.94</v>
      </c>
      <c r="G348" s="102" t="n">
        <f aca="false">IF($C348="","",N(G347)+N(F348))</f>
        <v>2817.87000000001</v>
      </c>
      <c r="H348" s="103" t="s">
        <v>1222</v>
      </c>
      <c r="I348" s="104"/>
      <c r="J348" s="105"/>
    </row>
    <row r="349" customFormat="false" ht="15" hidden="false" customHeight="false" outlineLevel="0" collapsed="false">
      <c r="B349" s="90" t="n">
        <v>237</v>
      </c>
      <c r="C349" s="91" t="n">
        <v>2088750</v>
      </c>
      <c r="D349" s="92" t="n">
        <f aca="false">IF($C349="","",IFERROR(IF(INDEX('REGISTRE TUBES'!$C$7:$C$2506,MATCH($C349,'REGISTRE TUBES'!$B$7:$B$2506,0))="","",INDEX('REGISTRE TUBES'!$C$7:$C$2506,MATCH($C349,'REGISTRE TUBES'!$B$7:$B$2506,0))),"?"))</f>
        <v>15421108</v>
      </c>
      <c r="E349" s="92" t="str">
        <f aca="false">IF($C349="","",IFERROR(IF(INDEX('REGISTRE TUBES'!$D$7:$D$2506,MATCH($C349,'REGISTRE TUBES'!$B$7:$B$2506,0))="","",INDEX('REGISTRE TUBES'!$D$7:$D$2506,MATCH($C349,'REGISTRE TUBES'!$B$7:$B$2506,0))),"?"))</f>
        <v/>
      </c>
      <c r="F349" s="93" t="n">
        <f aca="false">IF($C349="","",IFERROR(IF(INDEX('REGISTRE TUBES'!$F$7:$F$2506,MATCH($C349,'REGISTRE TUBES'!$B$7:$B$2506,0))="","",INDEX('REGISTRE TUBES'!$F$7:$F$2506,MATCH($C349,'REGISTRE TUBES'!$B$7:$B$2506,0))),"?"))</f>
        <v>11.94</v>
      </c>
      <c r="G349" s="94" t="n">
        <f aca="false">IF($C349="","",N(G348)+N(F349))</f>
        <v>2829.81000000001</v>
      </c>
      <c r="H349" s="95" t="s">
        <v>1223</v>
      </c>
      <c r="I349" s="96"/>
      <c r="J349" s="97"/>
    </row>
    <row r="350" customFormat="false" ht="15" hidden="false" customHeight="false" outlineLevel="0" collapsed="false">
      <c r="B350" s="98" t="n">
        <v>238</v>
      </c>
      <c r="C350" s="99" t="n">
        <v>2089850</v>
      </c>
      <c r="D350" s="100" t="n">
        <f aca="false">IF($C350="","",IFERROR(IF(INDEX('REGISTRE TUBES'!$C$7:$C$2506,MATCH($C350,'REGISTRE TUBES'!$B$7:$B$2506,0))="","",INDEX('REGISTRE TUBES'!$C$7:$C$2506,MATCH($C350,'REGISTRE TUBES'!$B$7:$B$2506,0))),"?"))</f>
        <v>15421109</v>
      </c>
      <c r="E350" s="100" t="str">
        <f aca="false">IF($C350="","",IFERROR(IF(INDEX('REGISTRE TUBES'!$D$7:$D$2506,MATCH($C350,'REGISTRE TUBES'!$B$7:$B$2506,0))="","",INDEX('REGISTRE TUBES'!$D$7:$D$2506,MATCH($C350,'REGISTRE TUBES'!$B$7:$B$2506,0))),"?"))</f>
        <v/>
      </c>
      <c r="F350" s="101" t="n">
        <f aca="false">IF($C350="","",IFERROR(IF(INDEX('REGISTRE TUBES'!$F$7:$F$2506,MATCH($C350,'REGISTRE TUBES'!$B$7:$B$2506,0))="","",INDEX('REGISTRE TUBES'!$F$7:$F$2506,MATCH($C350,'REGISTRE TUBES'!$B$7:$B$2506,0))),"?"))</f>
        <v>11.94</v>
      </c>
      <c r="G350" s="102" t="n">
        <f aca="false">IF($C350="","",N(G349)+N(F350))</f>
        <v>2841.75000000001</v>
      </c>
      <c r="H350" s="103" t="s">
        <v>1224</v>
      </c>
      <c r="I350" s="104"/>
      <c r="J350" s="105"/>
    </row>
    <row r="351" customFormat="false" ht="15" hidden="false" customHeight="false" outlineLevel="0" collapsed="false">
      <c r="B351" s="90" t="n">
        <v>239</v>
      </c>
      <c r="C351" s="91" t="n">
        <v>2086310</v>
      </c>
      <c r="D351" s="92" t="n">
        <f aca="false">IF($C351="","",IFERROR(IF(INDEX('REGISTRE TUBES'!$C$7:$C$2506,MATCH($C351,'REGISTRE TUBES'!$B$7:$B$2506,0))="","",INDEX('REGISTRE TUBES'!$C$7:$C$2506,MATCH($C351,'REGISTRE TUBES'!$B$7:$B$2506,0))),"?"))</f>
        <v>15421107</v>
      </c>
      <c r="E351" s="92" t="str">
        <f aca="false">IF($C351="","",IFERROR(IF(INDEX('REGISTRE TUBES'!$D$7:$D$2506,MATCH($C351,'REGISTRE TUBES'!$B$7:$B$2506,0))="","",INDEX('REGISTRE TUBES'!$D$7:$D$2506,MATCH($C351,'REGISTRE TUBES'!$B$7:$B$2506,0))),"?"))</f>
        <v/>
      </c>
      <c r="F351" s="93" t="n">
        <f aca="false">IF($C351="","",IFERROR(IF(INDEX('REGISTRE TUBES'!$F$7:$F$2506,MATCH($C351,'REGISTRE TUBES'!$B$7:$B$2506,0))="","",INDEX('REGISTRE TUBES'!$F$7:$F$2506,MATCH($C351,'REGISTRE TUBES'!$B$7:$B$2506,0))),"?"))</f>
        <v>11.94</v>
      </c>
      <c r="G351" s="94" t="n">
        <f aca="false">IF($C351="","",N(G350)+N(F351))</f>
        <v>2853.69000000001</v>
      </c>
      <c r="H351" s="95" t="s">
        <v>1225</v>
      </c>
      <c r="I351" s="96"/>
      <c r="J351" s="97"/>
    </row>
    <row r="352" customFormat="false" ht="15" hidden="false" customHeight="false" outlineLevel="0" collapsed="false">
      <c r="B352" s="98" t="n">
        <v>240</v>
      </c>
      <c r="C352" s="99" t="n">
        <v>2079230</v>
      </c>
      <c r="D352" s="100" t="n">
        <f aca="false">IF($C352="","",IFERROR(IF(INDEX('REGISTRE TUBES'!$C$7:$C$2506,MATCH($C352,'REGISTRE TUBES'!$B$7:$B$2506,0))="","",INDEX('REGISTRE TUBES'!$C$7:$C$2506,MATCH($C352,'REGISTRE TUBES'!$B$7:$B$2506,0))),"?"))</f>
        <v>15421102</v>
      </c>
      <c r="E352" s="100" t="str">
        <f aca="false">IF($C352="","",IFERROR(IF(INDEX('REGISTRE TUBES'!$D$7:$D$2506,MATCH($C352,'REGISTRE TUBES'!$B$7:$B$2506,0))="","",INDEX('REGISTRE TUBES'!$D$7:$D$2506,MATCH($C352,'REGISTRE TUBES'!$B$7:$B$2506,0))),"?"))</f>
        <v/>
      </c>
      <c r="F352" s="101" t="n">
        <f aca="false">IF($C352="","",IFERROR(IF(INDEX('REGISTRE TUBES'!$F$7:$F$2506,MATCH($C352,'REGISTRE TUBES'!$B$7:$B$2506,0))="","",INDEX('REGISTRE TUBES'!$F$7:$F$2506,MATCH($C352,'REGISTRE TUBES'!$B$7:$B$2506,0))),"?"))</f>
        <v>11.94</v>
      </c>
      <c r="G352" s="102" t="n">
        <f aca="false">IF($C352="","",N(G351)+N(F352))</f>
        <v>2865.63000000001</v>
      </c>
      <c r="H352" s="103" t="s">
        <v>1226</v>
      </c>
      <c r="I352" s="104"/>
      <c r="J352" s="105"/>
    </row>
    <row r="353" customFormat="false" ht="15" hidden="false" customHeight="false" outlineLevel="0" collapsed="false">
      <c r="B353" s="90" t="n">
        <v>241</v>
      </c>
      <c r="C353" s="91" t="n">
        <v>2087590</v>
      </c>
      <c r="D353" s="92" t="n">
        <f aca="false">IF($C353="","",IFERROR(IF(INDEX('REGISTRE TUBES'!$C$7:$C$2506,MATCH($C353,'REGISTRE TUBES'!$B$7:$B$2506,0))="","",INDEX('REGISTRE TUBES'!$C$7:$C$2506,MATCH($C353,'REGISTRE TUBES'!$B$7:$B$2506,0))),"?"))</f>
        <v>15421107</v>
      </c>
      <c r="E353" s="92" t="str">
        <f aca="false">IF($C353="","",IFERROR(IF(INDEX('REGISTRE TUBES'!$D$7:$D$2506,MATCH($C353,'REGISTRE TUBES'!$B$7:$B$2506,0))="","",INDEX('REGISTRE TUBES'!$D$7:$D$2506,MATCH($C353,'REGISTRE TUBES'!$B$7:$B$2506,0))),"?"))</f>
        <v/>
      </c>
      <c r="F353" s="93" t="n">
        <f aca="false">IF($C353="","",IFERROR(IF(INDEX('REGISTRE TUBES'!$F$7:$F$2506,MATCH($C353,'REGISTRE TUBES'!$B$7:$B$2506,0))="","",INDEX('REGISTRE TUBES'!$F$7:$F$2506,MATCH($C353,'REGISTRE TUBES'!$B$7:$B$2506,0))),"?"))</f>
        <v>11.94</v>
      </c>
      <c r="G353" s="94" t="n">
        <f aca="false">IF($C353="","",N(G352)+N(F353))</f>
        <v>2877.57000000001</v>
      </c>
      <c r="H353" s="95" t="s">
        <v>1229</v>
      </c>
      <c r="I353" s="96"/>
      <c r="J353" s="97"/>
    </row>
    <row r="354" customFormat="false" ht="15" hidden="false" customHeight="false" outlineLevel="0" collapsed="false">
      <c r="B354" s="98" t="n">
        <v>242</v>
      </c>
      <c r="C354" s="99" t="n">
        <v>2086880</v>
      </c>
      <c r="D354" s="100" t="n">
        <f aca="false">IF($C354="","",IFERROR(IF(INDEX('REGISTRE TUBES'!$C$7:$C$2506,MATCH($C354,'REGISTRE TUBES'!$B$7:$B$2506,0))="","",INDEX('REGISTRE TUBES'!$C$7:$C$2506,MATCH($C354,'REGISTRE TUBES'!$B$7:$B$2506,0))),"?"))</f>
        <v>15421107</v>
      </c>
      <c r="E354" s="100" t="str">
        <f aca="false">IF($C354="","",IFERROR(IF(INDEX('REGISTRE TUBES'!$D$7:$D$2506,MATCH($C354,'REGISTRE TUBES'!$B$7:$B$2506,0))="","",INDEX('REGISTRE TUBES'!$D$7:$D$2506,MATCH($C354,'REGISTRE TUBES'!$B$7:$B$2506,0))),"?"))</f>
        <v/>
      </c>
      <c r="F354" s="101" t="n">
        <f aca="false">IF($C354="","",IFERROR(IF(INDEX('REGISTRE TUBES'!$F$7:$F$2506,MATCH($C354,'REGISTRE TUBES'!$B$7:$B$2506,0))="","",INDEX('REGISTRE TUBES'!$F$7:$F$2506,MATCH($C354,'REGISTRE TUBES'!$B$7:$B$2506,0))),"?"))</f>
        <v>11.94</v>
      </c>
      <c r="G354" s="102" t="n">
        <f aca="false">IF($C354="","",N(G353)+N(F354))</f>
        <v>2889.51000000001</v>
      </c>
      <c r="H354" s="103" t="s">
        <v>1230</v>
      </c>
      <c r="I354" s="104"/>
      <c r="J354" s="105"/>
    </row>
    <row r="355" customFormat="false" ht="15" hidden="false" customHeight="false" outlineLevel="0" collapsed="false">
      <c r="B355" s="90" t="n">
        <v>243</v>
      </c>
      <c r="C355" s="91" t="n">
        <v>2086950</v>
      </c>
      <c r="D355" s="92" t="n">
        <f aca="false">IF($C355="","",IFERROR(IF(INDEX('REGISTRE TUBES'!$C$7:$C$2506,MATCH($C355,'REGISTRE TUBES'!$B$7:$B$2506,0))="","",INDEX('REGISTRE TUBES'!$C$7:$C$2506,MATCH($C355,'REGISTRE TUBES'!$B$7:$B$2506,0))),"?"))</f>
        <v>15421107</v>
      </c>
      <c r="E355" s="92" t="str">
        <f aca="false">IF($C355="","",IFERROR(IF(INDEX('REGISTRE TUBES'!$D$7:$D$2506,MATCH($C355,'REGISTRE TUBES'!$B$7:$B$2506,0))="","",INDEX('REGISTRE TUBES'!$D$7:$D$2506,MATCH($C355,'REGISTRE TUBES'!$B$7:$B$2506,0))),"?"))</f>
        <v/>
      </c>
      <c r="F355" s="93" t="n">
        <f aca="false">IF($C355="","",IFERROR(IF(INDEX('REGISTRE TUBES'!$F$7:$F$2506,MATCH($C355,'REGISTRE TUBES'!$B$7:$B$2506,0))="","",INDEX('REGISTRE TUBES'!$F$7:$F$2506,MATCH($C355,'REGISTRE TUBES'!$B$7:$B$2506,0))),"?"))</f>
        <v>11.94</v>
      </c>
      <c r="G355" s="94" t="n">
        <f aca="false">IF($C355="","",N(G354)+N(F355))</f>
        <v>2901.45000000001</v>
      </c>
      <c r="H355" s="95" t="s">
        <v>1231</v>
      </c>
      <c r="I355" s="96"/>
      <c r="J355" s="97"/>
    </row>
    <row r="356" customFormat="false" ht="15" hidden="false" customHeight="false" outlineLevel="0" collapsed="false">
      <c r="B356" s="98" t="n">
        <v>244</v>
      </c>
      <c r="C356" s="99" t="n">
        <v>2084540</v>
      </c>
      <c r="D356" s="100" t="n">
        <f aca="false">IF($C356="","",IFERROR(IF(INDEX('REGISTRE TUBES'!$C$7:$C$2506,MATCH($C356,'REGISTRE TUBES'!$B$7:$B$2506,0))="","",INDEX('REGISTRE TUBES'!$C$7:$C$2506,MATCH($C356,'REGISTRE TUBES'!$B$7:$B$2506,0))),"?"))</f>
        <v>15421106</v>
      </c>
      <c r="E356" s="100" t="str">
        <f aca="false">IF($C356="","",IFERROR(IF(INDEX('REGISTRE TUBES'!$D$7:$D$2506,MATCH($C356,'REGISTRE TUBES'!$B$7:$B$2506,0))="","",INDEX('REGISTRE TUBES'!$D$7:$D$2506,MATCH($C356,'REGISTRE TUBES'!$B$7:$B$2506,0))),"?"))</f>
        <v/>
      </c>
      <c r="F356" s="101" t="n">
        <f aca="false">IF($C356="","",IFERROR(IF(INDEX('REGISTRE TUBES'!$F$7:$F$2506,MATCH($C356,'REGISTRE TUBES'!$B$7:$B$2506,0))="","",INDEX('REGISTRE TUBES'!$F$7:$F$2506,MATCH($C356,'REGISTRE TUBES'!$B$7:$B$2506,0))),"?"))</f>
        <v>11.94</v>
      </c>
      <c r="G356" s="102" t="n">
        <f aca="false">IF($C356="","",N(G355)+N(F356))</f>
        <v>2913.39000000001</v>
      </c>
      <c r="H356" s="103" t="s">
        <v>1232</v>
      </c>
      <c r="I356" s="104"/>
      <c r="J356" s="105"/>
    </row>
    <row r="357" customFormat="false" ht="15" hidden="false" customHeight="false" outlineLevel="0" collapsed="false">
      <c r="B357" s="90" t="n">
        <v>245</v>
      </c>
      <c r="C357" s="91" t="n">
        <v>2086440</v>
      </c>
      <c r="D357" s="92" t="n">
        <f aca="false">IF($C357="","",IFERROR(IF(INDEX('REGISTRE TUBES'!$C$7:$C$2506,MATCH($C357,'REGISTRE TUBES'!$B$7:$B$2506,0))="","",INDEX('REGISTRE TUBES'!$C$7:$C$2506,MATCH($C357,'REGISTRE TUBES'!$B$7:$B$2506,0))),"?"))</f>
        <v>15421107</v>
      </c>
      <c r="E357" s="92" t="str">
        <f aca="false">IF($C357="","",IFERROR(IF(INDEX('REGISTRE TUBES'!$D$7:$D$2506,MATCH($C357,'REGISTRE TUBES'!$B$7:$B$2506,0))="","",INDEX('REGISTRE TUBES'!$D$7:$D$2506,MATCH($C357,'REGISTRE TUBES'!$B$7:$B$2506,0))),"?"))</f>
        <v/>
      </c>
      <c r="F357" s="93" t="n">
        <f aca="false">IF($C357="","",IFERROR(IF(INDEX('REGISTRE TUBES'!$F$7:$F$2506,MATCH($C357,'REGISTRE TUBES'!$B$7:$B$2506,0))="","",INDEX('REGISTRE TUBES'!$F$7:$F$2506,MATCH($C357,'REGISTRE TUBES'!$B$7:$B$2506,0))),"?"))</f>
        <v>11.94</v>
      </c>
      <c r="G357" s="94" t="n">
        <f aca="false">IF($C357="","",N(G356)+N(F357))</f>
        <v>2925.33000000001</v>
      </c>
      <c r="H357" s="95" t="s">
        <v>1233</v>
      </c>
      <c r="I357" s="96"/>
      <c r="J357" s="97"/>
    </row>
    <row r="358" customFormat="false" ht="15" hidden="false" customHeight="false" outlineLevel="0" collapsed="false">
      <c r="B358" s="98" t="n">
        <v>246</v>
      </c>
      <c r="C358" s="99" t="n">
        <v>2087470</v>
      </c>
      <c r="D358" s="100" t="n">
        <f aca="false">IF($C358="","",IFERROR(IF(INDEX('REGISTRE TUBES'!$C$7:$C$2506,MATCH($C358,'REGISTRE TUBES'!$B$7:$B$2506,0))="","",INDEX('REGISTRE TUBES'!$C$7:$C$2506,MATCH($C358,'REGISTRE TUBES'!$B$7:$B$2506,0))),"?"))</f>
        <v>15421107</v>
      </c>
      <c r="E358" s="100" t="str">
        <f aca="false">IF($C358="","",IFERROR(IF(INDEX('REGISTRE TUBES'!$D$7:$D$2506,MATCH($C358,'REGISTRE TUBES'!$B$7:$B$2506,0))="","",INDEX('REGISTRE TUBES'!$D$7:$D$2506,MATCH($C358,'REGISTRE TUBES'!$B$7:$B$2506,0))),"?"))</f>
        <v/>
      </c>
      <c r="F358" s="101" t="n">
        <f aca="false">IF($C358="","",IFERROR(IF(INDEX('REGISTRE TUBES'!$F$7:$F$2506,MATCH($C358,'REGISTRE TUBES'!$B$7:$B$2506,0))="","",INDEX('REGISTRE TUBES'!$F$7:$F$2506,MATCH($C358,'REGISTRE TUBES'!$B$7:$B$2506,0))),"?"))</f>
        <v>11.94</v>
      </c>
      <c r="G358" s="102" t="n">
        <f aca="false">IF($C358="","",N(G357)+N(F358))</f>
        <v>2937.27000000001</v>
      </c>
      <c r="H358" s="103" t="s">
        <v>1237</v>
      </c>
      <c r="I358" s="104"/>
      <c r="J358" s="105"/>
    </row>
    <row r="359" customFormat="false" ht="15" hidden="false" customHeight="false" outlineLevel="0" collapsed="false">
      <c r="B359" s="90" t="n">
        <v>247</v>
      </c>
      <c r="C359" s="91" t="n">
        <v>2087790</v>
      </c>
      <c r="D359" s="92" t="n">
        <f aca="false">IF($C359="","",IFERROR(IF(INDEX('REGISTRE TUBES'!$C$7:$C$2506,MATCH($C359,'REGISTRE TUBES'!$B$7:$B$2506,0))="","",INDEX('REGISTRE TUBES'!$C$7:$C$2506,MATCH($C359,'REGISTRE TUBES'!$B$7:$B$2506,0))),"?"))</f>
        <v>15421108</v>
      </c>
      <c r="E359" s="92" t="str">
        <f aca="false">IF($C359="","",IFERROR(IF(INDEX('REGISTRE TUBES'!$D$7:$D$2506,MATCH($C359,'REGISTRE TUBES'!$B$7:$B$2506,0))="","",INDEX('REGISTRE TUBES'!$D$7:$D$2506,MATCH($C359,'REGISTRE TUBES'!$B$7:$B$2506,0))),"?"))</f>
        <v/>
      </c>
      <c r="F359" s="93" t="n">
        <f aca="false">IF($C359="","",IFERROR(IF(INDEX('REGISTRE TUBES'!$F$7:$F$2506,MATCH($C359,'REGISTRE TUBES'!$B$7:$B$2506,0))="","",INDEX('REGISTRE TUBES'!$F$7:$F$2506,MATCH($C359,'REGISTRE TUBES'!$B$7:$B$2506,0))),"?"))</f>
        <v>11.94</v>
      </c>
      <c r="G359" s="94" t="n">
        <f aca="false">IF($C359="","",N(G358)+N(F359))</f>
        <v>2949.21000000001</v>
      </c>
      <c r="H359" s="95" t="s">
        <v>1238</v>
      </c>
      <c r="I359" s="96"/>
      <c r="J359" s="97"/>
    </row>
    <row r="360" customFormat="false" ht="15" hidden="false" customHeight="true" outlineLevel="0" collapsed="false">
      <c r="B360" s="106" t="s">
        <v>3031</v>
      </c>
      <c r="C360" s="106"/>
      <c r="D360" s="106"/>
      <c r="E360" s="106"/>
      <c r="F360" s="107" t="n">
        <f aca="false">SUM(F341:F359)</f>
        <v>226.86</v>
      </c>
      <c r="G360" s="108" t="n">
        <f aca="false">IF(COUNT(G341:G359)=0,"",MAX(G341:G359))</f>
        <v>2949.21000000001</v>
      </c>
      <c r="H360" s="106" t="str">
        <f aca="false">COUNTA(C341:C359)&amp;" tube(s)"</f>
        <v>19 tube(s)</v>
      </c>
      <c r="I360" s="106"/>
      <c r="J360" s="106"/>
    </row>
    <row r="362" customFormat="false" ht="15" hidden="false" customHeight="false" outlineLevel="0" collapsed="false">
      <c r="B362" s="109" t="s">
        <v>3032</v>
      </c>
      <c r="F362" s="109" t="s">
        <v>3033</v>
      </c>
      <c r="I362" s="109" t="s">
        <v>3034</v>
      </c>
    </row>
    <row r="365" customFormat="false" ht="25.5" hidden="false" customHeight="true" outlineLevel="0" collapsed="false">
      <c r="B365" s="85" t="s">
        <v>3015</v>
      </c>
      <c r="C365" s="85"/>
      <c r="D365" s="85"/>
      <c r="E365" s="85"/>
      <c r="F365" s="85"/>
      <c r="G365" s="85"/>
      <c r="H365" s="85"/>
      <c r="I365" s="85"/>
      <c r="J365" s="85"/>
    </row>
    <row r="366" customFormat="false" ht="15" hidden="false" customHeight="false" outlineLevel="0" collapsed="false">
      <c r="B366" s="86" t="str">
        <f aca="false">PARAMÈTRES!$C$4&amp;"   •   Affaire N° "&amp;PARAMÈTRES!$C$5</f>
        <v>Développement des champs gaziers TFT II — réseau de collecte TFT Sud (LIGNE-16)   •   Affaire N° 8546</v>
      </c>
      <c r="C366" s="86"/>
      <c r="D366" s="86"/>
      <c r="E366" s="86"/>
      <c r="F366" s="86"/>
      <c r="G366" s="86"/>
      <c r="H366" s="86"/>
      <c r="I366" s="86"/>
      <c r="J366" s="86"/>
    </row>
    <row r="367" customFormat="false" ht="19.5" hidden="false" customHeight="true" outlineLevel="0" collapsed="false">
      <c r="B367" s="87" t="s">
        <v>3016</v>
      </c>
      <c r="C367" s="88" t="s">
        <v>110</v>
      </c>
      <c r="D367" s="88"/>
      <c r="E367" s="87" t="s">
        <v>3017</v>
      </c>
      <c r="F367" s="88" t="s">
        <v>3059</v>
      </c>
      <c r="G367" s="87" t="s">
        <v>3019</v>
      </c>
      <c r="H367" s="88" t="s">
        <v>3060</v>
      </c>
      <c r="I367" s="87" t="s">
        <v>3021</v>
      </c>
      <c r="J367" s="89"/>
    </row>
    <row r="368" customFormat="false" ht="27.75" hidden="false" customHeight="true" outlineLevel="0" collapsed="false">
      <c r="B368" s="71" t="s">
        <v>3022</v>
      </c>
      <c r="C368" s="71" t="s">
        <v>3023</v>
      </c>
      <c r="D368" s="71" t="s">
        <v>3024</v>
      </c>
      <c r="E368" s="71" t="s">
        <v>3025</v>
      </c>
      <c r="F368" s="71" t="s">
        <v>3026</v>
      </c>
      <c r="G368" s="71" t="s">
        <v>3027</v>
      </c>
      <c r="H368" s="71" t="s">
        <v>3028</v>
      </c>
      <c r="I368" s="71" t="s">
        <v>3029</v>
      </c>
      <c r="J368" s="71" t="s">
        <v>3030</v>
      </c>
    </row>
    <row r="369" customFormat="false" ht="15" hidden="false" customHeight="false" outlineLevel="0" collapsed="false">
      <c r="B369" s="90" t="n">
        <v>248</v>
      </c>
      <c r="C369" s="91" t="n">
        <v>2081880</v>
      </c>
      <c r="D369" s="92" t="n">
        <f aca="false">IF($C369="","",IFERROR(IF(INDEX('REGISTRE TUBES'!$C$7:$C$2506,MATCH($C369,'REGISTRE TUBES'!$B$7:$B$2506,0))="","",INDEX('REGISTRE TUBES'!$C$7:$C$2506,MATCH($C369,'REGISTRE TUBES'!$B$7:$B$2506,0))),"?"))</f>
        <v>15421104</v>
      </c>
      <c r="E369" s="92" t="str">
        <f aca="false">IF($C369="","",IFERROR(IF(INDEX('REGISTRE TUBES'!$D$7:$D$2506,MATCH($C369,'REGISTRE TUBES'!$B$7:$B$2506,0))="","",INDEX('REGISTRE TUBES'!$D$7:$D$2506,MATCH($C369,'REGISTRE TUBES'!$B$7:$B$2506,0))),"?"))</f>
        <v/>
      </c>
      <c r="F369" s="93" t="n">
        <f aca="false">IF($C369="","",IFERROR(IF(INDEX('REGISTRE TUBES'!$F$7:$F$2506,MATCH($C369,'REGISTRE TUBES'!$B$7:$B$2506,0))="","",INDEX('REGISTRE TUBES'!$F$7:$F$2506,MATCH($C369,'REGISTRE TUBES'!$B$7:$B$2506,0))),"?"))</f>
        <v>11.94</v>
      </c>
      <c r="G369" s="94" t="n">
        <f aca="false">IF($C369="","",N(G359)+N(F369))</f>
        <v>2961.15000000001</v>
      </c>
      <c r="H369" s="95" t="s">
        <v>1239</v>
      </c>
      <c r="I369" s="96"/>
      <c r="J369" s="97"/>
    </row>
    <row r="370" customFormat="false" ht="15" hidden="false" customHeight="false" outlineLevel="0" collapsed="false">
      <c r="B370" s="98" t="n">
        <v>249</v>
      </c>
      <c r="C370" s="99" t="n">
        <v>2095680</v>
      </c>
      <c r="D370" s="100" t="n">
        <f aca="false">IF($C370="","",IFERROR(IF(INDEX('REGISTRE TUBES'!$C$7:$C$2506,MATCH($C370,'REGISTRE TUBES'!$B$7:$B$2506,0))="","",INDEX('REGISTRE TUBES'!$C$7:$C$2506,MATCH($C370,'REGISTRE TUBES'!$B$7:$B$2506,0))),"?"))</f>
        <v>15421111</v>
      </c>
      <c r="E370" s="100" t="str">
        <f aca="false">IF($C370="","",IFERROR(IF(INDEX('REGISTRE TUBES'!$D$7:$D$2506,MATCH($C370,'REGISTRE TUBES'!$B$7:$B$2506,0))="","",INDEX('REGISTRE TUBES'!$D$7:$D$2506,MATCH($C370,'REGISTRE TUBES'!$B$7:$B$2506,0))),"?"))</f>
        <v/>
      </c>
      <c r="F370" s="101" t="n">
        <f aca="false">IF($C370="","",IFERROR(IF(INDEX('REGISTRE TUBES'!$F$7:$F$2506,MATCH($C370,'REGISTRE TUBES'!$B$7:$B$2506,0))="","",INDEX('REGISTRE TUBES'!$F$7:$F$2506,MATCH($C370,'REGISTRE TUBES'!$B$7:$B$2506,0))),"?"))</f>
        <v>11.94</v>
      </c>
      <c r="G370" s="102" t="n">
        <f aca="false">IF($C370="","",N(G369)+N(F370))</f>
        <v>2973.09000000001</v>
      </c>
      <c r="H370" s="103" t="s">
        <v>1240</v>
      </c>
      <c r="I370" s="104"/>
      <c r="J370" s="105"/>
    </row>
    <row r="371" customFormat="false" ht="15" hidden="false" customHeight="false" outlineLevel="0" collapsed="false">
      <c r="B371" s="90" t="n">
        <v>250</v>
      </c>
      <c r="C371" s="91" t="n">
        <v>2088480</v>
      </c>
      <c r="D371" s="92" t="n">
        <f aca="false">IF($C371="","",IFERROR(IF(INDEX('REGISTRE TUBES'!$C$7:$C$2506,MATCH($C371,'REGISTRE TUBES'!$B$7:$B$2506,0))="","",INDEX('REGISTRE TUBES'!$C$7:$C$2506,MATCH($C371,'REGISTRE TUBES'!$B$7:$B$2506,0))),"?"))</f>
        <v>15421108</v>
      </c>
      <c r="E371" s="92" t="str">
        <f aca="false">IF($C371="","",IFERROR(IF(INDEX('REGISTRE TUBES'!$D$7:$D$2506,MATCH($C371,'REGISTRE TUBES'!$B$7:$B$2506,0))="","",INDEX('REGISTRE TUBES'!$D$7:$D$2506,MATCH($C371,'REGISTRE TUBES'!$B$7:$B$2506,0))),"?"))</f>
        <v/>
      </c>
      <c r="F371" s="93" t="n">
        <f aca="false">IF($C371="","",IFERROR(IF(INDEX('REGISTRE TUBES'!$F$7:$F$2506,MATCH($C371,'REGISTRE TUBES'!$B$7:$B$2506,0))="","",INDEX('REGISTRE TUBES'!$F$7:$F$2506,MATCH($C371,'REGISTRE TUBES'!$B$7:$B$2506,0))),"?"))</f>
        <v>11.94</v>
      </c>
      <c r="G371" s="94" t="n">
        <f aca="false">IF($C371="","",N(G370)+N(F371))</f>
        <v>2985.03000000001</v>
      </c>
      <c r="H371" s="95" t="s">
        <v>1242</v>
      </c>
      <c r="I371" s="96"/>
      <c r="J371" s="97"/>
    </row>
    <row r="372" customFormat="false" ht="15" hidden="false" customHeight="false" outlineLevel="0" collapsed="false">
      <c r="B372" s="98" t="n">
        <v>251</v>
      </c>
      <c r="C372" s="99" t="n">
        <v>2097010</v>
      </c>
      <c r="D372" s="100" t="n">
        <f aca="false">IF($C372="","",IFERROR(IF(INDEX('REGISTRE TUBES'!$C$7:$C$2506,MATCH($C372,'REGISTRE TUBES'!$B$7:$B$2506,0))="","",INDEX('REGISTRE TUBES'!$C$7:$C$2506,MATCH($C372,'REGISTRE TUBES'!$B$7:$B$2506,0))),"?"))</f>
        <v>15421111</v>
      </c>
      <c r="E372" s="100" t="str">
        <f aca="false">IF($C372="","",IFERROR(IF(INDEX('REGISTRE TUBES'!$D$7:$D$2506,MATCH($C372,'REGISTRE TUBES'!$B$7:$B$2506,0))="","",INDEX('REGISTRE TUBES'!$D$7:$D$2506,MATCH($C372,'REGISTRE TUBES'!$B$7:$B$2506,0))),"?"))</f>
        <v/>
      </c>
      <c r="F372" s="101" t="n">
        <f aca="false">IF($C372="","",IFERROR(IF(INDEX('REGISTRE TUBES'!$F$7:$F$2506,MATCH($C372,'REGISTRE TUBES'!$B$7:$B$2506,0))="","",INDEX('REGISTRE TUBES'!$F$7:$F$2506,MATCH($C372,'REGISTRE TUBES'!$B$7:$B$2506,0))),"?"))</f>
        <v>11.94</v>
      </c>
      <c r="G372" s="102" t="n">
        <f aca="false">IF($C372="","",N(G371)+N(F372))</f>
        <v>2996.97000000001</v>
      </c>
      <c r="H372" s="103" t="s">
        <v>1243</v>
      </c>
      <c r="I372" s="104"/>
      <c r="J372" s="105"/>
    </row>
    <row r="373" customFormat="false" ht="15" hidden="false" customHeight="false" outlineLevel="0" collapsed="false">
      <c r="B373" s="90" t="n">
        <v>252</v>
      </c>
      <c r="C373" s="91" t="n">
        <v>2087300</v>
      </c>
      <c r="D373" s="92" t="n">
        <f aca="false">IF($C373="","",IFERROR(IF(INDEX('REGISTRE TUBES'!$C$7:$C$2506,MATCH($C373,'REGISTRE TUBES'!$B$7:$B$2506,0))="","",INDEX('REGISTRE TUBES'!$C$7:$C$2506,MATCH($C373,'REGISTRE TUBES'!$B$7:$B$2506,0))),"?"))</f>
        <v>15421107</v>
      </c>
      <c r="E373" s="92" t="str">
        <f aca="false">IF($C373="","",IFERROR(IF(INDEX('REGISTRE TUBES'!$D$7:$D$2506,MATCH($C373,'REGISTRE TUBES'!$B$7:$B$2506,0))="","",INDEX('REGISTRE TUBES'!$D$7:$D$2506,MATCH($C373,'REGISTRE TUBES'!$B$7:$B$2506,0))),"?"))</f>
        <v/>
      </c>
      <c r="F373" s="93" t="n">
        <f aca="false">IF($C373="","",IFERROR(IF(INDEX('REGISTRE TUBES'!$F$7:$F$2506,MATCH($C373,'REGISTRE TUBES'!$B$7:$B$2506,0))="","",INDEX('REGISTRE TUBES'!$F$7:$F$2506,MATCH($C373,'REGISTRE TUBES'!$B$7:$B$2506,0))),"?"))</f>
        <v>11.94</v>
      </c>
      <c r="G373" s="94" t="n">
        <f aca="false">IF($C373="","",N(G372)+N(F373))</f>
        <v>3008.91000000001</v>
      </c>
      <c r="H373" s="95" t="s">
        <v>1247</v>
      </c>
      <c r="I373" s="96"/>
      <c r="J373" s="97"/>
    </row>
    <row r="374" customFormat="false" ht="15" hidden="false" customHeight="false" outlineLevel="0" collapsed="false">
      <c r="B374" s="98" t="n">
        <v>253</v>
      </c>
      <c r="C374" s="99" t="n">
        <v>2097830</v>
      </c>
      <c r="D374" s="100" t="n">
        <f aca="false">IF($C374="","",IFERROR(IF(INDEX('REGISTRE TUBES'!$C$7:$C$2506,MATCH($C374,'REGISTRE TUBES'!$B$7:$B$2506,0))="","",INDEX('REGISTRE TUBES'!$C$7:$C$2506,MATCH($C374,'REGISTRE TUBES'!$B$7:$B$2506,0))),"?"))</f>
        <v>15421112</v>
      </c>
      <c r="E374" s="100" t="str">
        <f aca="false">IF($C374="","",IFERROR(IF(INDEX('REGISTRE TUBES'!$D$7:$D$2506,MATCH($C374,'REGISTRE TUBES'!$B$7:$B$2506,0))="","",INDEX('REGISTRE TUBES'!$D$7:$D$2506,MATCH($C374,'REGISTRE TUBES'!$B$7:$B$2506,0))),"?"))</f>
        <v/>
      </c>
      <c r="F374" s="101" t="n">
        <f aca="false">IF($C374="","",IFERROR(IF(INDEX('REGISTRE TUBES'!$F$7:$F$2506,MATCH($C374,'REGISTRE TUBES'!$B$7:$B$2506,0))="","",INDEX('REGISTRE TUBES'!$F$7:$F$2506,MATCH($C374,'REGISTRE TUBES'!$B$7:$B$2506,0))),"?"))</f>
        <v>11.94</v>
      </c>
      <c r="G374" s="102" t="n">
        <f aca="false">IF($C374="","",N(G373)+N(F374))</f>
        <v>3020.85000000001</v>
      </c>
      <c r="H374" s="103" t="s">
        <v>1250</v>
      </c>
      <c r="I374" s="104"/>
      <c r="J374" s="105"/>
    </row>
    <row r="375" customFormat="false" ht="15" hidden="false" customHeight="false" outlineLevel="0" collapsed="false">
      <c r="B375" s="90" t="n">
        <v>254</v>
      </c>
      <c r="C375" s="91" t="n">
        <v>2094710</v>
      </c>
      <c r="D375" s="92" t="n">
        <f aca="false">IF($C375="","",IFERROR(IF(INDEX('REGISTRE TUBES'!$C$7:$C$2506,MATCH($C375,'REGISTRE TUBES'!$B$7:$B$2506,0))="","",INDEX('REGISTRE TUBES'!$C$7:$C$2506,MATCH($C375,'REGISTRE TUBES'!$B$7:$B$2506,0))),"?"))</f>
        <v>15421111</v>
      </c>
      <c r="E375" s="92" t="str">
        <f aca="false">IF($C375="","",IFERROR(IF(INDEX('REGISTRE TUBES'!$D$7:$D$2506,MATCH($C375,'REGISTRE TUBES'!$B$7:$B$2506,0))="","",INDEX('REGISTRE TUBES'!$D$7:$D$2506,MATCH($C375,'REGISTRE TUBES'!$B$7:$B$2506,0))),"?"))</f>
        <v/>
      </c>
      <c r="F375" s="93" t="n">
        <f aca="false">IF($C375="","",IFERROR(IF(INDEX('REGISTRE TUBES'!$F$7:$F$2506,MATCH($C375,'REGISTRE TUBES'!$B$7:$B$2506,0))="","",INDEX('REGISTRE TUBES'!$F$7:$F$2506,MATCH($C375,'REGISTRE TUBES'!$B$7:$B$2506,0))),"?"))</f>
        <v>11.94</v>
      </c>
      <c r="G375" s="94" t="n">
        <f aca="false">IF($C375="","",N(G374)+N(F375))</f>
        <v>3032.79000000001</v>
      </c>
      <c r="H375" s="95" t="s">
        <v>1251</v>
      </c>
      <c r="I375" s="96"/>
      <c r="J375" s="97"/>
    </row>
    <row r="376" customFormat="false" ht="15" hidden="false" customHeight="false" outlineLevel="0" collapsed="false">
      <c r="B376" s="98" t="n">
        <v>255</v>
      </c>
      <c r="C376" s="99" t="n">
        <v>2096800</v>
      </c>
      <c r="D376" s="100" t="n">
        <f aca="false">IF($C376="","",IFERROR(IF(INDEX('REGISTRE TUBES'!$C$7:$C$2506,MATCH($C376,'REGISTRE TUBES'!$B$7:$B$2506,0))="","",INDEX('REGISTRE TUBES'!$C$7:$C$2506,MATCH($C376,'REGISTRE TUBES'!$B$7:$B$2506,0))),"?"))</f>
        <v>15421111</v>
      </c>
      <c r="E376" s="100" t="str">
        <f aca="false">IF($C376="","",IFERROR(IF(INDEX('REGISTRE TUBES'!$D$7:$D$2506,MATCH($C376,'REGISTRE TUBES'!$B$7:$B$2506,0))="","",INDEX('REGISTRE TUBES'!$D$7:$D$2506,MATCH($C376,'REGISTRE TUBES'!$B$7:$B$2506,0))),"?"))</f>
        <v/>
      </c>
      <c r="F376" s="101" t="n">
        <f aca="false">IF($C376="","",IFERROR(IF(INDEX('REGISTRE TUBES'!$F$7:$F$2506,MATCH($C376,'REGISTRE TUBES'!$B$7:$B$2506,0))="","",INDEX('REGISTRE TUBES'!$F$7:$F$2506,MATCH($C376,'REGISTRE TUBES'!$B$7:$B$2506,0))),"?"))</f>
        <v>11.94</v>
      </c>
      <c r="G376" s="102" t="n">
        <f aca="false">IF($C376="","",N(G375)+N(F376))</f>
        <v>3044.73000000001</v>
      </c>
      <c r="H376" s="103" t="s">
        <v>1252</v>
      </c>
      <c r="I376" s="104"/>
      <c r="J376" s="105"/>
    </row>
    <row r="377" customFormat="false" ht="15" hidden="false" customHeight="false" outlineLevel="0" collapsed="false">
      <c r="B377" s="90" t="n">
        <v>256</v>
      </c>
      <c r="C377" s="91" t="n">
        <v>2096420</v>
      </c>
      <c r="D377" s="92" t="n">
        <f aca="false">IF($C377="","",IFERROR(IF(INDEX('REGISTRE TUBES'!$C$7:$C$2506,MATCH($C377,'REGISTRE TUBES'!$B$7:$B$2506,0))="","",INDEX('REGISTRE TUBES'!$C$7:$C$2506,MATCH($C377,'REGISTRE TUBES'!$B$7:$B$2506,0))),"?"))</f>
        <v>15421111</v>
      </c>
      <c r="E377" s="92" t="str">
        <f aca="false">IF($C377="","",IFERROR(IF(INDEX('REGISTRE TUBES'!$D$7:$D$2506,MATCH($C377,'REGISTRE TUBES'!$B$7:$B$2506,0))="","",INDEX('REGISTRE TUBES'!$D$7:$D$2506,MATCH($C377,'REGISTRE TUBES'!$B$7:$B$2506,0))),"?"))</f>
        <v/>
      </c>
      <c r="F377" s="93" t="n">
        <f aca="false">IF($C377="","",IFERROR(IF(INDEX('REGISTRE TUBES'!$F$7:$F$2506,MATCH($C377,'REGISTRE TUBES'!$B$7:$B$2506,0))="","",INDEX('REGISTRE TUBES'!$F$7:$F$2506,MATCH($C377,'REGISTRE TUBES'!$B$7:$B$2506,0))),"?"))</f>
        <v>11.94</v>
      </c>
      <c r="G377" s="94" t="n">
        <f aca="false">IF($C377="","",N(G376)+N(F377))</f>
        <v>3056.67000000001</v>
      </c>
      <c r="H377" s="95" t="s">
        <v>1253</v>
      </c>
      <c r="I377" s="96"/>
      <c r="J377" s="97"/>
    </row>
    <row r="378" customFormat="false" ht="15" hidden="false" customHeight="false" outlineLevel="0" collapsed="false">
      <c r="B378" s="98" t="n">
        <v>257</v>
      </c>
      <c r="C378" s="99" t="n">
        <v>2083570</v>
      </c>
      <c r="D378" s="100" t="n">
        <f aca="false">IF($C378="","",IFERROR(IF(INDEX('REGISTRE TUBES'!$C$7:$C$2506,MATCH($C378,'REGISTRE TUBES'!$B$7:$B$2506,0))="","",INDEX('REGISTRE TUBES'!$C$7:$C$2506,MATCH($C378,'REGISTRE TUBES'!$B$7:$B$2506,0))),"?"))</f>
        <v>15421105</v>
      </c>
      <c r="E378" s="100" t="str">
        <f aca="false">IF($C378="","",IFERROR(IF(INDEX('REGISTRE TUBES'!$D$7:$D$2506,MATCH($C378,'REGISTRE TUBES'!$B$7:$B$2506,0))="","",INDEX('REGISTRE TUBES'!$D$7:$D$2506,MATCH($C378,'REGISTRE TUBES'!$B$7:$B$2506,0))),"?"))</f>
        <v/>
      </c>
      <c r="F378" s="101" t="n">
        <f aca="false">IF($C378="","",IFERROR(IF(INDEX('REGISTRE TUBES'!$F$7:$F$2506,MATCH($C378,'REGISTRE TUBES'!$B$7:$B$2506,0))="","",INDEX('REGISTRE TUBES'!$F$7:$F$2506,MATCH($C378,'REGISTRE TUBES'!$B$7:$B$2506,0))),"?"))</f>
        <v>11.94</v>
      </c>
      <c r="G378" s="102" t="n">
        <f aca="false">IF($C378="","",N(G377)+N(F378))</f>
        <v>3068.61000000001</v>
      </c>
      <c r="H378" s="103" t="s">
        <v>1254</v>
      </c>
      <c r="I378" s="104"/>
      <c r="J378" s="105"/>
    </row>
    <row r="379" customFormat="false" ht="15" hidden="false" customHeight="false" outlineLevel="0" collapsed="false">
      <c r="B379" s="90" t="n">
        <v>258</v>
      </c>
      <c r="C379" s="91" t="n">
        <v>2079460</v>
      </c>
      <c r="D379" s="92" t="n">
        <f aca="false">IF($C379="","",IFERROR(IF(INDEX('REGISTRE TUBES'!$C$7:$C$2506,MATCH($C379,'REGISTRE TUBES'!$B$7:$B$2506,0))="","",INDEX('REGISTRE TUBES'!$C$7:$C$2506,MATCH($C379,'REGISTRE TUBES'!$B$7:$B$2506,0))),"?"))</f>
        <v>15421102</v>
      </c>
      <c r="E379" s="92" t="str">
        <f aca="false">IF($C379="","",IFERROR(IF(INDEX('REGISTRE TUBES'!$D$7:$D$2506,MATCH($C379,'REGISTRE TUBES'!$B$7:$B$2506,0))="","",INDEX('REGISTRE TUBES'!$D$7:$D$2506,MATCH($C379,'REGISTRE TUBES'!$B$7:$B$2506,0))),"?"))</f>
        <v/>
      </c>
      <c r="F379" s="93" t="n">
        <f aca="false">IF($C379="","",IFERROR(IF(INDEX('REGISTRE TUBES'!$F$7:$F$2506,MATCH($C379,'REGISTRE TUBES'!$B$7:$B$2506,0))="","",INDEX('REGISTRE TUBES'!$F$7:$F$2506,MATCH($C379,'REGISTRE TUBES'!$B$7:$B$2506,0))),"?"))</f>
        <v>11.94</v>
      </c>
      <c r="G379" s="94" t="n">
        <f aca="false">IF($C379="","",N(G378)+N(F379))</f>
        <v>3080.55000000001</v>
      </c>
      <c r="H379" s="95" t="s">
        <v>1255</v>
      </c>
      <c r="I379" s="96"/>
      <c r="J379" s="97"/>
    </row>
    <row r="380" customFormat="false" ht="15" hidden="false" customHeight="false" outlineLevel="0" collapsed="false">
      <c r="B380" s="98" t="n">
        <v>259</v>
      </c>
      <c r="C380" s="99" t="n">
        <v>2083080</v>
      </c>
      <c r="D380" s="100" t="n">
        <f aca="false">IF($C380="","",IFERROR(IF(INDEX('REGISTRE TUBES'!$C$7:$C$2506,MATCH($C380,'REGISTRE TUBES'!$B$7:$B$2506,0))="","",INDEX('REGISTRE TUBES'!$C$7:$C$2506,MATCH($C380,'REGISTRE TUBES'!$B$7:$B$2506,0))),"?"))</f>
        <v>15421105</v>
      </c>
      <c r="E380" s="100" t="str">
        <f aca="false">IF($C380="","",IFERROR(IF(INDEX('REGISTRE TUBES'!$D$7:$D$2506,MATCH($C380,'REGISTRE TUBES'!$B$7:$B$2506,0))="","",INDEX('REGISTRE TUBES'!$D$7:$D$2506,MATCH($C380,'REGISTRE TUBES'!$B$7:$B$2506,0))),"?"))</f>
        <v/>
      </c>
      <c r="F380" s="101" t="n">
        <f aca="false">IF($C380="","",IFERROR(IF(INDEX('REGISTRE TUBES'!$F$7:$F$2506,MATCH($C380,'REGISTRE TUBES'!$B$7:$B$2506,0))="","",INDEX('REGISTRE TUBES'!$F$7:$F$2506,MATCH($C380,'REGISTRE TUBES'!$B$7:$B$2506,0))),"?"))</f>
        <v>11.94</v>
      </c>
      <c r="G380" s="102" t="n">
        <f aca="false">IF($C380="","",N(G379)+N(F380))</f>
        <v>3092.49000000001</v>
      </c>
      <c r="H380" s="103" t="s">
        <v>1256</v>
      </c>
      <c r="I380" s="104"/>
      <c r="J380" s="105"/>
    </row>
    <row r="381" customFormat="false" ht="15" hidden="false" customHeight="false" outlineLevel="0" collapsed="false">
      <c r="B381" s="90" t="n">
        <v>260</v>
      </c>
      <c r="C381" s="91" t="n">
        <v>2084550</v>
      </c>
      <c r="D381" s="92" t="n">
        <f aca="false">IF($C381="","",IFERROR(IF(INDEX('REGISTRE TUBES'!$C$7:$C$2506,MATCH($C381,'REGISTRE TUBES'!$B$7:$B$2506,0))="","",INDEX('REGISTRE TUBES'!$C$7:$C$2506,MATCH($C381,'REGISTRE TUBES'!$B$7:$B$2506,0))),"?"))</f>
        <v>15421106</v>
      </c>
      <c r="E381" s="92" t="str">
        <f aca="false">IF($C381="","",IFERROR(IF(INDEX('REGISTRE TUBES'!$D$7:$D$2506,MATCH($C381,'REGISTRE TUBES'!$B$7:$B$2506,0))="","",INDEX('REGISTRE TUBES'!$D$7:$D$2506,MATCH($C381,'REGISTRE TUBES'!$B$7:$B$2506,0))),"?"))</f>
        <v/>
      </c>
      <c r="F381" s="93" t="n">
        <f aca="false">IF($C381="","",IFERROR(IF(INDEX('REGISTRE TUBES'!$F$7:$F$2506,MATCH($C381,'REGISTRE TUBES'!$B$7:$B$2506,0))="","",INDEX('REGISTRE TUBES'!$F$7:$F$2506,MATCH($C381,'REGISTRE TUBES'!$B$7:$B$2506,0))),"?"))</f>
        <v>11.94</v>
      </c>
      <c r="G381" s="94" t="n">
        <f aca="false">IF($C381="","",N(G380)+N(F381))</f>
        <v>3104.43000000001</v>
      </c>
      <c r="H381" s="95" t="s">
        <v>1257</v>
      </c>
      <c r="I381" s="96"/>
      <c r="J381" s="97"/>
    </row>
    <row r="382" customFormat="false" ht="15" hidden="false" customHeight="false" outlineLevel="0" collapsed="false">
      <c r="B382" s="98" t="n">
        <v>261</v>
      </c>
      <c r="C382" s="99" t="n">
        <v>2087670</v>
      </c>
      <c r="D382" s="100" t="n">
        <f aca="false">IF($C382="","",IFERROR(IF(INDEX('REGISTRE TUBES'!$C$7:$C$2506,MATCH($C382,'REGISTRE TUBES'!$B$7:$B$2506,0))="","",INDEX('REGISTRE TUBES'!$C$7:$C$2506,MATCH($C382,'REGISTRE TUBES'!$B$7:$B$2506,0))),"?"))</f>
        <v>15421108</v>
      </c>
      <c r="E382" s="100" t="str">
        <f aca="false">IF($C382="","",IFERROR(IF(INDEX('REGISTRE TUBES'!$D$7:$D$2506,MATCH($C382,'REGISTRE TUBES'!$B$7:$B$2506,0))="","",INDEX('REGISTRE TUBES'!$D$7:$D$2506,MATCH($C382,'REGISTRE TUBES'!$B$7:$B$2506,0))),"?"))</f>
        <v/>
      </c>
      <c r="F382" s="101" t="n">
        <f aca="false">IF($C382="","",IFERROR(IF(INDEX('REGISTRE TUBES'!$F$7:$F$2506,MATCH($C382,'REGISTRE TUBES'!$B$7:$B$2506,0))="","",INDEX('REGISTRE TUBES'!$F$7:$F$2506,MATCH($C382,'REGISTRE TUBES'!$B$7:$B$2506,0))),"?"))</f>
        <v>11.94</v>
      </c>
      <c r="G382" s="102" t="n">
        <f aca="false">IF($C382="","",N(G381)+N(F382))</f>
        <v>3116.37000000001</v>
      </c>
      <c r="H382" s="103" t="s">
        <v>1258</v>
      </c>
      <c r="I382" s="104"/>
      <c r="J382" s="105"/>
    </row>
    <row r="383" customFormat="false" ht="15" hidden="false" customHeight="false" outlineLevel="0" collapsed="false">
      <c r="B383" s="90" t="n">
        <v>262</v>
      </c>
      <c r="C383" s="91" t="n">
        <v>2087310</v>
      </c>
      <c r="D383" s="92" t="n">
        <f aca="false">IF($C383="","",IFERROR(IF(INDEX('REGISTRE TUBES'!$C$7:$C$2506,MATCH($C383,'REGISTRE TUBES'!$B$7:$B$2506,0))="","",INDEX('REGISTRE TUBES'!$C$7:$C$2506,MATCH($C383,'REGISTRE TUBES'!$B$7:$B$2506,0))),"?"))</f>
        <v>15421107</v>
      </c>
      <c r="E383" s="92" t="str">
        <f aca="false">IF($C383="","",IFERROR(IF(INDEX('REGISTRE TUBES'!$D$7:$D$2506,MATCH($C383,'REGISTRE TUBES'!$B$7:$B$2506,0))="","",INDEX('REGISTRE TUBES'!$D$7:$D$2506,MATCH($C383,'REGISTRE TUBES'!$B$7:$B$2506,0))),"?"))</f>
        <v/>
      </c>
      <c r="F383" s="93" t="n">
        <f aca="false">IF($C383="","",IFERROR(IF(INDEX('REGISTRE TUBES'!$F$7:$F$2506,MATCH($C383,'REGISTRE TUBES'!$B$7:$B$2506,0))="","",INDEX('REGISTRE TUBES'!$F$7:$F$2506,MATCH($C383,'REGISTRE TUBES'!$B$7:$B$2506,0))),"?"))</f>
        <v>11.94</v>
      </c>
      <c r="G383" s="94" t="n">
        <f aca="false">IF($C383="","",N(G382)+N(F383))</f>
        <v>3128.31000000001</v>
      </c>
      <c r="H383" s="95" t="s">
        <v>1259</v>
      </c>
      <c r="I383" s="96"/>
      <c r="J383" s="97"/>
    </row>
    <row r="384" customFormat="false" ht="15" hidden="false" customHeight="false" outlineLevel="0" collapsed="false">
      <c r="B384" s="98" t="n">
        <v>263</v>
      </c>
      <c r="C384" s="99" t="n">
        <v>2093880</v>
      </c>
      <c r="D384" s="100" t="n">
        <f aca="false">IF($C384="","",IFERROR(IF(INDEX('REGISTRE TUBES'!$C$7:$C$2506,MATCH($C384,'REGISTRE TUBES'!$B$7:$B$2506,0))="","",INDEX('REGISTRE TUBES'!$C$7:$C$2506,MATCH($C384,'REGISTRE TUBES'!$B$7:$B$2506,0))),"?"))</f>
        <v>15421110</v>
      </c>
      <c r="E384" s="100" t="str">
        <f aca="false">IF($C384="","",IFERROR(IF(INDEX('REGISTRE TUBES'!$D$7:$D$2506,MATCH($C384,'REGISTRE TUBES'!$B$7:$B$2506,0))="","",INDEX('REGISTRE TUBES'!$D$7:$D$2506,MATCH($C384,'REGISTRE TUBES'!$B$7:$B$2506,0))),"?"))</f>
        <v/>
      </c>
      <c r="F384" s="101" t="n">
        <f aca="false">IF($C384="","",IFERROR(IF(INDEX('REGISTRE TUBES'!$F$7:$F$2506,MATCH($C384,'REGISTRE TUBES'!$B$7:$B$2506,0))="","",INDEX('REGISTRE TUBES'!$F$7:$F$2506,MATCH($C384,'REGISTRE TUBES'!$B$7:$B$2506,0))),"?"))</f>
        <v>11.94</v>
      </c>
      <c r="G384" s="102" t="n">
        <f aca="false">IF($C384="","",N(G383)+N(F384))</f>
        <v>3140.25000000001</v>
      </c>
      <c r="H384" s="103" t="s">
        <v>1262</v>
      </c>
      <c r="I384" s="104"/>
      <c r="J384" s="105"/>
    </row>
    <row r="385" customFormat="false" ht="15" hidden="false" customHeight="false" outlineLevel="0" collapsed="false">
      <c r="B385" s="90" t="n">
        <v>264</v>
      </c>
      <c r="C385" s="91" t="n">
        <v>2080450</v>
      </c>
      <c r="D385" s="92" t="n">
        <f aca="false">IF($C385="","",IFERROR(IF(INDEX('REGISTRE TUBES'!$C$7:$C$2506,MATCH($C385,'REGISTRE TUBES'!$B$7:$B$2506,0))="","",INDEX('REGISTRE TUBES'!$C$7:$C$2506,MATCH($C385,'REGISTRE TUBES'!$B$7:$B$2506,0))),"?"))</f>
        <v>15421102</v>
      </c>
      <c r="E385" s="92" t="str">
        <f aca="false">IF($C385="","",IFERROR(IF(INDEX('REGISTRE TUBES'!$D$7:$D$2506,MATCH($C385,'REGISTRE TUBES'!$B$7:$B$2506,0))="","",INDEX('REGISTRE TUBES'!$D$7:$D$2506,MATCH($C385,'REGISTRE TUBES'!$B$7:$B$2506,0))),"?"))</f>
        <v/>
      </c>
      <c r="F385" s="93" t="n">
        <f aca="false">IF($C385="","",IFERROR(IF(INDEX('REGISTRE TUBES'!$F$7:$F$2506,MATCH($C385,'REGISTRE TUBES'!$B$7:$B$2506,0))="","",INDEX('REGISTRE TUBES'!$F$7:$F$2506,MATCH($C385,'REGISTRE TUBES'!$B$7:$B$2506,0))),"?"))</f>
        <v>11.94</v>
      </c>
      <c r="G385" s="94" t="n">
        <f aca="false">IF($C385="","",N(G384)+N(F385))</f>
        <v>3152.19000000001</v>
      </c>
      <c r="H385" s="95" t="s">
        <v>1263</v>
      </c>
      <c r="I385" s="96"/>
      <c r="J385" s="97"/>
    </row>
    <row r="386" customFormat="false" ht="15" hidden="false" customHeight="false" outlineLevel="0" collapsed="false">
      <c r="B386" s="98" t="n">
        <v>265</v>
      </c>
      <c r="C386" s="99" t="n">
        <v>2080090</v>
      </c>
      <c r="D386" s="100" t="n">
        <f aca="false">IF($C386="","",IFERROR(IF(INDEX('REGISTRE TUBES'!$C$7:$C$2506,MATCH($C386,'REGISTRE TUBES'!$B$7:$B$2506,0))="","",INDEX('REGISTRE TUBES'!$C$7:$C$2506,MATCH($C386,'REGISTRE TUBES'!$B$7:$B$2506,0))),"?"))</f>
        <v>15421102</v>
      </c>
      <c r="E386" s="100" t="str">
        <f aca="false">IF($C386="","",IFERROR(IF(INDEX('REGISTRE TUBES'!$D$7:$D$2506,MATCH($C386,'REGISTRE TUBES'!$B$7:$B$2506,0))="","",INDEX('REGISTRE TUBES'!$D$7:$D$2506,MATCH($C386,'REGISTRE TUBES'!$B$7:$B$2506,0))),"?"))</f>
        <v/>
      </c>
      <c r="F386" s="101" t="n">
        <f aca="false">IF($C386="","",IFERROR(IF(INDEX('REGISTRE TUBES'!$F$7:$F$2506,MATCH($C386,'REGISTRE TUBES'!$B$7:$B$2506,0))="","",INDEX('REGISTRE TUBES'!$F$7:$F$2506,MATCH($C386,'REGISTRE TUBES'!$B$7:$B$2506,0))),"?"))</f>
        <v>11.94</v>
      </c>
      <c r="G386" s="102" t="n">
        <f aca="false">IF($C386="","",N(G385)+N(F386))</f>
        <v>3164.13000000001</v>
      </c>
      <c r="H386" s="103" t="s">
        <v>1265</v>
      </c>
      <c r="I386" s="104"/>
      <c r="J386" s="105"/>
    </row>
    <row r="387" customFormat="false" ht="15" hidden="false" customHeight="false" outlineLevel="0" collapsed="false">
      <c r="B387" s="90" t="n">
        <v>266</v>
      </c>
      <c r="C387" s="91" t="n">
        <v>20866550</v>
      </c>
      <c r="D387" s="92" t="n">
        <f aca="false">IF($C387="","",IFERROR(IF(INDEX('REGISTRE TUBES'!$C$7:$C$2506,MATCH($C387,'REGISTRE TUBES'!$B$7:$B$2506,0))="","",INDEX('REGISTRE TUBES'!$C$7:$C$2506,MATCH($C387,'REGISTRE TUBES'!$B$7:$B$2506,0))),"?"))</f>
        <v>15421107</v>
      </c>
      <c r="E387" s="92" t="str">
        <f aca="false">IF($C387="","",IFERROR(IF(INDEX('REGISTRE TUBES'!$D$7:$D$2506,MATCH($C387,'REGISTRE TUBES'!$B$7:$B$2506,0))="","",INDEX('REGISTRE TUBES'!$D$7:$D$2506,MATCH($C387,'REGISTRE TUBES'!$B$7:$B$2506,0))),"?"))</f>
        <v/>
      </c>
      <c r="F387" s="93" t="n">
        <f aca="false">IF($C387="","",IFERROR(IF(INDEX('REGISTRE TUBES'!$F$7:$F$2506,MATCH($C387,'REGISTRE TUBES'!$B$7:$B$2506,0))="","",INDEX('REGISTRE TUBES'!$F$7:$F$2506,MATCH($C387,'REGISTRE TUBES'!$B$7:$B$2506,0))),"?"))</f>
        <v>11.94</v>
      </c>
      <c r="G387" s="94" t="n">
        <f aca="false">IF($C387="","",N(G386)+N(F387))</f>
        <v>3176.07000000001</v>
      </c>
      <c r="H387" s="95" t="s">
        <v>1266</v>
      </c>
      <c r="I387" s="96"/>
      <c r="J387" s="97"/>
    </row>
    <row r="388" customFormat="false" ht="15" hidden="false" customHeight="true" outlineLevel="0" collapsed="false">
      <c r="B388" s="106" t="s">
        <v>3031</v>
      </c>
      <c r="C388" s="106"/>
      <c r="D388" s="106"/>
      <c r="E388" s="106"/>
      <c r="F388" s="107" t="n">
        <f aca="false">SUM(F369:F387)</f>
        <v>226.86</v>
      </c>
      <c r="G388" s="108" t="n">
        <f aca="false">IF(COUNT(G369:G387)=0,"",MAX(G369:G387))</f>
        <v>3176.07000000001</v>
      </c>
      <c r="H388" s="106" t="str">
        <f aca="false">COUNTA(C369:C387)&amp;" tube(s)"</f>
        <v>19 tube(s)</v>
      </c>
      <c r="I388" s="106"/>
      <c r="J388" s="106"/>
    </row>
    <row r="390" customFormat="false" ht="15" hidden="false" customHeight="false" outlineLevel="0" collapsed="false">
      <c r="B390" s="109" t="s">
        <v>3032</v>
      </c>
      <c r="F390" s="109" t="s">
        <v>3033</v>
      </c>
      <c r="I390" s="109" t="s">
        <v>3034</v>
      </c>
    </row>
    <row r="393" customFormat="false" ht="25.5" hidden="false" customHeight="true" outlineLevel="0" collapsed="false">
      <c r="B393" s="85" t="s">
        <v>3015</v>
      </c>
      <c r="C393" s="85"/>
      <c r="D393" s="85"/>
      <c r="E393" s="85"/>
      <c r="F393" s="85"/>
      <c r="G393" s="85"/>
      <c r="H393" s="85"/>
      <c r="I393" s="85"/>
      <c r="J393" s="85"/>
    </row>
    <row r="394" customFormat="false" ht="15" hidden="false" customHeight="false" outlineLevel="0" collapsed="false">
      <c r="B394" s="86" t="str">
        <f aca="false">PARAMÈTRES!$C$4&amp;"   •   Affaire N° "&amp;PARAMÈTRES!$C$5</f>
        <v>Développement des champs gaziers TFT II — réseau de collecte TFT Sud (LIGNE-16)   •   Affaire N° 8546</v>
      </c>
      <c r="C394" s="86"/>
      <c r="D394" s="86"/>
      <c r="E394" s="86"/>
      <c r="F394" s="86"/>
      <c r="G394" s="86"/>
      <c r="H394" s="86"/>
      <c r="I394" s="86"/>
      <c r="J394" s="86"/>
    </row>
    <row r="395" customFormat="false" ht="19.5" hidden="false" customHeight="true" outlineLevel="0" collapsed="false">
      <c r="B395" s="87" t="s">
        <v>3016</v>
      </c>
      <c r="C395" s="88" t="s">
        <v>110</v>
      </c>
      <c r="D395" s="88"/>
      <c r="E395" s="87" t="s">
        <v>3017</v>
      </c>
      <c r="F395" s="88" t="s">
        <v>3061</v>
      </c>
      <c r="G395" s="87" t="s">
        <v>3019</v>
      </c>
      <c r="H395" s="88" t="s">
        <v>3062</v>
      </c>
      <c r="I395" s="87" t="s">
        <v>3021</v>
      </c>
      <c r="J395" s="89"/>
    </row>
    <row r="396" customFormat="false" ht="27.75" hidden="false" customHeight="true" outlineLevel="0" collapsed="false">
      <c r="B396" s="71" t="s">
        <v>3022</v>
      </c>
      <c r="C396" s="71" t="s">
        <v>3023</v>
      </c>
      <c r="D396" s="71" t="s">
        <v>3024</v>
      </c>
      <c r="E396" s="71" t="s">
        <v>3025</v>
      </c>
      <c r="F396" s="71" t="s">
        <v>3026</v>
      </c>
      <c r="G396" s="71" t="s">
        <v>3027</v>
      </c>
      <c r="H396" s="71" t="s">
        <v>3028</v>
      </c>
      <c r="I396" s="71" t="s">
        <v>3029</v>
      </c>
      <c r="J396" s="71" t="s">
        <v>3030</v>
      </c>
    </row>
    <row r="397" customFormat="false" ht="15" hidden="false" customHeight="false" outlineLevel="0" collapsed="false">
      <c r="B397" s="90" t="n">
        <v>267</v>
      </c>
      <c r="C397" s="91" t="n">
        <v>2098330</v>
      </c>
      <c r="D397" s="92" t="n">
        <f aca="false">IF($C397="","",IFERROR(IF(INDEX('REGISTRE TUBES'!$C$7:$C$2506,MATCH($C397,'REGISTRE TUBES'!$B$7:$B$2506,0))="","",INDEX('REGISTRE TUBES'!$C$7:$C$2506,MATCH($C397,'REGISTRE TUBES'!$B$7:$B$2506,0))),"?"))</f>
        <v>15421112</v>
      </c>
      <c r="E397" s="92" t="str">
        <f aca="false">IF($C397="","",IFERROR(IF(INDEX('REGISTRE TUBES'!$D$7:$D$2506,MATCH($C397,'REGISTRE TUBES'!$B$7:$B$2506,0))="","",INDEX('REGISTRE TUBES'!$D$7:$D$2506,MATCH($C397,'REGISTRE TUBES'!$B$7:$B$2506,0))),"?"))</f>
        <v/>
      </c>
      <c r="F397" s="93" t="n">
        <f aca="false">IF($C397="","",IFERROR(IF(INDEX('REGISTRE TUBES'!$F$7:$F$2506,MATCH($C397,'REGISTRE TUBES'!$B$7:$B$2506,0))="","",INDEX('REGISTRE TUBES'!$F$7:$F$2506,MATCH($C397,'REGISTRE TUBES'!$B$7:$B$2506,0))),"?"))</f>
        <v>11.94</v>
      </c>
      <c r="G397" s="94" t="n">
        <f aca="false">IF($C397="","",N(G387)+N(F397))</f>
        <v>3188.01000000001</v>
      </c>
      <c r="H397" s="95" t="s">
        <v>1267</v>
      </c>
      <c r="I397" s="96"/>
      <c r="J397" s="97"/>
    </row>
    <row r="398" customFormat="false" ht="15" hidden="false" customHeight="false" outlineLevel="0" collapsed="false">
      <c r="B398" s="98" t="n">
        <v>268</v>
      </c>
      <c r="C398" s="99" t="s">
        <v>1268</v>
      </c>
      <c r="D398" s="100" t="str">
        <f aca="false">IF($C398="","",IFERROR(IF(INDEX('REGISTRE TUBES'!$C$7:$C$2506,MATCH($C398,'REGISTRE TUBES'!$B$7:$B$2506,0))="","",INDEX('REGISTRE TUBES'!$C$7:$C$2506,MATCH($C398,'REGISTRE TUBES'!$B$7:$B$2506,0))),"?"))</f>
        <v/>
      </c>
      <c r="E398" s="100" t="str">
        <f aca="false">IF($C398="","",IFERROR(IF(INDEX('REGISTRE TUBES'!$D$7:$D$2506,MATCH($C398,'REGISTRE TUBES'!$B$7:$B$2506,0))="","",INDEX('REGISTRE TUBES'!$D$7:$D$2506,MATCH($C398,'REGISTRE TUBES'!$B$7:$B$2506,0))),"?"))</f>
        <v/>
      </c>
      <c r="F398" s="101" t="str">
        <f aca="false">IF($C398="","",IFERROR(IF(INDEX('REGISTRE TUBES'!$F$7:$F$2506,MATCH($C398,'REGISTRE TUBES'!$B$7:$B$2506,0))="","",INDEX('REGISTRE TUBES'!$F$7:$F$2506,MATCH($C398,'REGISTRE TUBES'!$B$7:$B$2506,0))),"?"))</f>
        <v/>
      </c>
      <c r="G398" s="102" t="n">
        <f aca="false">IF($C398="","",N(G397)+N(F398))</f>
        <v>3188.01000000001</v>
      </c>
      <c r="H398" s="103" t="s">
        <v>1269</v>
      </c>
      <c r="I398" s="104"/>
      <c r="J398" s="105"/>
    </row>
    <row r="399" customFormat="false" ht="15" hidden="false" customHeight="false" outlineLevel="0" collapsed="false">
      <c r="B399" s="90" t="n">
        <v>269</v>
      </c>
      <c r="C399" s="91" t="s">
        <v>1270</v>
      </c>
      <c r="D399" s="92" t="str">
        <f aca="false">IF($C399="","",IFERROR(IF(INDEX('REGISTRE TUBES'!$C$7:$C$2506,MATCH($C399,'REGISTRE TUBES'!$B$7:$B$2506,0))="","",INDEX('REGISTRE TUBES'!$C$7:$C$2506,MATCH($C399,'REGISTRE TUBES'!$B$7:$B$2506,0))),"?"))</f>
        <v/>
      </c>
      <c r="E399" s="92" t="str">
        <f aca="false">IF($C399="","",IFERROR(IF(INDEX('REGISTRE TUBES'!$D$7:$D$2506,MATCH($C399,'REGISTRE TUBES'!$B$7:$B$2506,0))="","",INDEX('REGISTRE TUBES'!$D$7:$D$2506,MATCH($C399,'REGISTRE TUBES'!$B$7:$B$2506,0))),"?"))</f>
        <v/>
      </c>
      <c r="F399" s="93" t="str">
        <f aca="false">IF($C399="","",IFERROR(IF(INDEX('REGISTRE TUBES'!$F$7:$F$2506,MATCH($C399,'REGISTRE TUBES'!$B$7:$B$2506,0))="","",INDEX('REGISTRE TUBES'!$F$7:$F$2506,MATCH($C399,'REGISTRE TUBES'!$B$7:$B$2506,0))),"?"))</f>
        <v/>
      </c>
      <c r="G399" s="94" t="n">
        <f aca="false">IF($C399="","",N(G398)+N(F399))</f>
        <v>3188.01000000001</v>
      </c>
      <c r="H399" s="95" t="s">
        <v>1271</v>
      </c>
      <c r="I399" s="96"/>
      <c r="J399" s="97"/>
    </row>
    <row r="400" customFormat="false" ht="15" hidden="false" customHeight="false" outlineLevel="0" collapsed="false">
      <c r="B400" s="98" t="n">
        <v>270</v>
      </c>
      <c r="C400" s="99" t="n">
        <v>2086960</v>
      </c>
      <c r="D400" s="100" t="n">
        <f aca="false">IF($C400="","",IFERROR(IF(INDEX('REGISTRE TUBES'!$C$7:$C$2506,MATCH($C400,'REGISTRE TUBES'!$B$7:$B$2506,0))="","",INDEX('REGISTRE TUBES'!$C$7:$C$2506,MATCH($C400,'REGISTRE TUBES'!$B$7:$B$2506,0))),"?"))</f>
        <v>15421107</v>
      </c>
      <c r="E400" s="100" t="str">
        <f aca="false">IF($C400="","",IFERROR(IF(INDEX('REGISTRE TUBES'!$D$7:$D$2506,MATCH($C400,'REGISTRE TUBES'!$B$7:$B$2506,0))="","",INDEX('REGISTRE TUBES'!$D$7:$D$2506,MATCH($C400,'REGISTRE TUBES'!$B$7:$B$2506,0))),"?"))</f>
        <v/>
      </c>
      <c r="F400" s="101" t="n">
        <f aca="false">IF($C400="","",IFERROR(IF(INDEX('REGISTRE TUBES'!$F$7:$F$2506,MATCH($C400,'REGISTRE TUBES'!$B$7:$B$2506,0))="","",INDEX('REGISTRE TUBES'!$F$7:$F$2506,MATCH($C400,'REGISTRE TUBES'!$B$7:$B$2506,0))),"?"))</f>
        <v>11.94</v>
      </c>
      <c r="G400" s="102" t="n">
        <f aca="false">IF($C400="","",N(G399)+N(F400))</f>
        <v>3199.95000000001</v>
      </c>
      <c r="H400" s="103" t="s">
        <v>1286</v>
      </c>
      <c r="I400" s="104"/>
      <c r="J400" s="105"/>
    </row>
    <row r="401" customFormat="false" ht="15" hidden="false" customHeight="false" outlineLevel="0" collapsed="false">
      <c r="B401" s="90" t="n">
        <v>271</v>
      </c>
      <c r="C401" s="91" t="n">
        <v>2081210</v>
      </c>
      <c r="D401" s="92" t="n">
        <f aca="false">IF($C401="","",IFERROR(IF(INDEX('REGISTRE TUBES'!$C$7:$C$2506,MATCH($C401,'REGISTRE TUBES'!$B$7:$B$2506,0))="","",INDEX('REGISTRE TUBES'!$C$7:$C$2506,MATCH($C401,'REGISTRE TUBES'!$B$7:$B$2506,0))),"?"))</f>
        <v>15421103</v>
      </c>
      <c r="E401" s="92" t="str">
        <f aca="false">IF($C401="","",IFERROR(IF(INDEX('REGISTRE TUBES'!$D$7:$D$2506,MATCH($C401,'REGISTRE TUBES'!$B$7:$B$2506,0))="","",INDEX('REGISTRE TUBES'!$D$7:$D$2506,MATCH($C401,'REGISTRE TUBES'!$B$7:$B$2506,0))),"?"))</f>
        <v/>
      </c>
      <c r="F401" s="93" t="n">
        <f aca="false">IF($C401="","",IFERROR(IF(INDEX('REGISTRE TUBES'!$F$7:$F$2506,MATCH($C401,'REGISTRE TUBES'!$B$7:$B$2506,0))="","",INDEX('REGISTRE TUBES'!$F$7:$F$2506,MATCH($C401,'REGISTRE TUBES'!$B$7:$B$2506,0))),"?"))</f>
        <v>11.94</v>
      </c>
      <c r="G401" s="94" t="n">
        <f aca="false">IF($C401="","",N(G400)+N(F401))</f>
        <v>3211.89000000001</v>
      </c>
      <c r="H401" s="95" t="s">
        <v>1288</v>
      </c>
      <c r="I401" s="96"/>
      <c r="J401" s="97"/>
    </row>
    <row r="402" customFormat="false" ht="15" hidden="false" customHeight="false" outlineLevel="0" collapsed="false">
      <c r="B402" s="98" t="n">
        <v>272</v>
      </c>
      <c r="C402" s="99" t="n">
        <v>2086270</v>
      </c>
      <c r="D402" s="100" t="n">
        <f aca="false">IF($C402="","",IFERROR(IF(INDEX('REGISTRE TUBES'!$C$7:$C$2506,MATCH($C402,'REGISTRE TUBES'!$B$7:$B$2506,0))="","",INDEX('REGISTRE TUBES'!$C$7:$C$2506,MATCH($C402,'REGISTRE TUBES'!$B$7:$B$2506,0))),"?"))</f>
        <v>15421107</v>
      </c>
      <c r="E402" s="100" t="str">
        <f aca="false">IF($C402="","",IFERROR(IF(INDEX('REGISTRE TUBES'!$D$7:$D$2506,MATCH($C402,'REGISTRE TUBES'!$B$7:$B$2506,0))="","",INDEX('REGISTRE TUBES'!$D$7:$D$2506,MATCH($C402,'REGISTRE TUBES'!$B$7:$B$2506,0))),"?"))</f>
        <v/>
      </c>
      <c r="F402" s="101" t="n">
        <f aca="false">IF($C402="","",IFERROR(IF(INDEX('REGISTRE TUBES'!$F$7:$F$2506,MATCH($C402,'REGISTRE TUBES'!$B$7:$B$2506,0))="","",INDEX('REGISTRE TUBES'!$F$7:$F$2506,MATCH($C402,'REGISTRE TUBES'!$B$7:$B$2506,0))),"?"))</f>
        <v>11.94</v>
      </c>
      <c r="G402" s="102" t="n">
        <f aca="false">IF($C402="","",N(G401)+N(F402))</f>
        <v>3223.83000000001</v>
      </c>
      <c r="H402" s="103" t="s">
        <v>1290</v>
      </c>
      <c r="I402" s="104"/>
      <c r="J402" s="105"/>
    </row>
    <row r="403" customFormat="false" ht="15" hidden="false" customHeight="false" outlineLevel="0" collapsed="false">
      <c r="B403" s="90" t="n">
        <v>273</v>
      </c>
      <c r="C403" s="91" t="n">
        <v>2078800</v>
      </c>
      <c r="D403" s="92" t="n">
        <f aca="false">IF($C403="","",IFERROR(IF(INDEX('REGISTRE TUBES'!$C$7:$C$2506,MATCH($C403,'REGISTRE TUBES'!$B$7:$B$2506,0))="","",INDEX('REGISTRE TUBES'!$C$7:$C$2506,MATCH($C403,'REGISTRE TUBES'!$B$7:$B$2506,0))),"?"))</f>
        <v>15421101</v>
      </c>
      <c r="E403" s="92" t="str">
        <f aca="false">IF($C403="","",IFERROR(IF(INDEX('REGISTRE TUBES'!$D$7:$D$2506,MATCH($C403,'REGISTRE TUBES'!$B$7:$B$2506,0))="","",INDEX('REGISTRE TUBES'!$D$7:$D$2506,MATCH($C403,'REGISTRE TUBES'!$B$7:$B$2506,0))),"?"))</f>
        <v/>
      </c>
      <c r="F403" s="93" t="n">
        <f aca="false">IF($C403="","",IFERROR(IF(INDEX('REGISTRE TUBES'!$F$7:$F$2506,MATCH($C403,'REGISTRE TUBES'!$B$7:$B$2506,0))="","",INDEX('REGISTRE TUBES'!$F$7:$F$2506,MATCH($C403,'REGISTRE TUBES'!$B$7:$B$2506,0))),"?"))</f>
        <v>11.94</v>
      </c>
      <c r="G403" s="94" t="n">
        <f aca="false">IF($C403="","",N(G402)+N(F403))</f>
        <v>3235.77000000001</v>
      </c>
      <c r="H403" s="95" t="s">
        <v>1291</v>
      </c>
      <c r="I403" s="96"/>
      <c r="J403" s="97"/>
    </row>
    <row r="404" customFormat="false" ht="15" hidden="false" customHeight="false" outlineLevel="0" collapsed="false">
      <c r="B404" s="98" t="n">
        <v>274</v>
      </c>
      <c r="C404" s="99" t="n">
        <v>2086300</v>
      </c>
      <c r="D404" s="100" t="n">
        <f aca="false">IF($C404="","",IFERROR(IF(INDEX('REGISTRE TUBES'!$C$7:$C$2506,MATCH($C404,'REGISTRE TUBES'!$B$7:$B$2506,0))="","",INDEX('REGISTRE TUBES'!$C$7:$C$2506,MATCH($C404,'REGISTRE TUBES'!$B$7:$B$2506,0))),"?"))</f>
        <v>15421107</v>
      </c>
      <c r="E404" s="100" t="str">
        <f aca="false">IF($C404="","",IFERROR(IF(INDEX('REGISTRE TUBES'!$D$7:$D$2506,MATCH($C404,'REGISTRE TUBES'!$B$7:$B$2506,0))="","",INDEX('REGISTRE TUBES'!$D$7:$D$2506,MATCH($C404,'REGISTRE TUBES'!$B$7:$B$2506,0))),"?"))</f>
        <v/>
      </c>
      <c r="F404" s="101" t="n">
        <f aca="false">IF($C404="","",IFERROR(IF(INDEX('REGISTRE TUBES'!$F$7:$F$2506,MATCH($C404,'REGISTRE TUBES'!$B$7:$B$2506,0))="","",INDEX('REGISTRE TUBES'!$F$7:$F$2506,MATCH($C404,'REGISTRE TUBES'!$B$7:$B$2506,0))),"?"))</f>
        <v>11.94</v>
      </c>
      <c r="G404" s="102" t="n">
        <f aca="false">IF($C404="","",N(G403)+N(F404))</f>
        <v>3247.71000000001</v>
      </c>
      <c r="H404" s="103" t="s">
        <v>1292</v>
      </c>
      <c r="I404" s="104"/>
      <c r="J404" s="105"/>
    </row>
    <row r="405" customFormat="false" ht="15" hidden="false" customHeight="false" outlineLevel="0" collapsed="false">
      <c r="B405" s="90" t="n">
        <v>275</v>
      </c>
      <c r="C405" s="91" t="n">
        <v>2097140</v>
      </c>
      <c r="D405" s="92" t="n">
        <f aca="false">IF($C405="","",IFERROR(IF(INDEX('REGISTRE TUBES'!$C$7:$C$2506,MATCH($C405,'REGISTRE TUBES'!$B$7:$B$2506,0))="","",INDEX('REGISTRE TUBES'!$C$7:$C$2506,MATCH($C405,'REGISTRE TUBES'!$B$7:$B$2506,0))),"?"))</f>
        <v>15421112</v>
      </c>
      <c r="E405" s="92" t="str">
        <f aca="false">IF($C405="","",IFERROR(IF(INDEX('REGISTRE TUBES'!$D$7:$D$2506,MATCH($C405,'REGISTRE TUBES'!$B$7:$B$2506,0))="","",INDEX('REGISTRE TUBES'!$D$7:$D$2506,MATCH($C405,'REGISTRE TUBES'!$B$7:$B$2506,0))),"?"))</f>
        <v/>
      </c>
      <c r="F405" s="93" t="n">
        <f aca="false">IF($C405="","",IFERROR(IF(INDEX('REGISTRE TUBES'!$F$7:$F$2506,MATCH($C405,'REGISTRE TUBES'!$B$7:$B$2506,0))="","",INDEX('REGISTRE TUBES'!$F$7:$F$2506,MATCH($C405,'REGISTRE TUBES'!$B$7:$B$2506,0))),"?"))</f>
        <v>11.94</v>
      </c>
      <c r="G405" s="94" t="n">
        <f aca="false">IF($C405="","",N(G404)+N(F405))</f>
        <v>3259.65000000001</v>
      </c>
      <c r="H405" s="95" t="s">
        <v>1293</v>
      </c>
      <c r="I405" s="96"/>
      <c r="J405" s="97"/>
    </row>
    <row r="406" customFormat="false" ht="15" hidden="false" customHeight="false" outlineLevel="0" collapsed="false">
      <c r="B406" s="98" t="n">
        <v>276</v>
      </c>
      <c r="C406" s="99" t="n">
        <v>2086600</v>
      </c>
      <c r="D406" s="100" t="n">
        <f aca="false">IF($C406="","",IFERROR(IF(INDEX('REGISTRE TUBES'!$C$7:$C$2506,MATCH($C406,'REGISTRE TUBES'!$B$7:$B$2506,0))="","",INDEX('REGISTRE TUBES'!$C$7:$C$2506,MATCH($C406,'REGISTRE TUBES'!$B$7:$B$2506,0))),"?"))</f>
        <v>15421105</v>
      </c>
      <c r="E406" s="100" t="str">
        <f aca="false">IF($C406="","",IFERROR(IF(INDEX('REGISTRE TUBES'!$D$7:$D$2506,MATCH($C406,'REGISTRE TUBES'!$B$7:$B$2506,0))="","",INDEX('REGISTRE TUBES'!$D$7:$D$2506,MATCH($C406,'REGISTRE TUBES'!$B$7:$B$2506,0))),"?"))</f>
        <v/>
      </c>
      <c r="F406" s="101" t="n">
        <f aca="false">IF($C406="","",IFERROR(IF(INDEX('REGISTRE TUBES'!$F$7:$F$2506,MATCH($C406,'REGISTRE TUBES'!$B$7:$B$2506,0))="","",INDEX('REGISTRE TUBES'!$F$7:$F$2506,MATCH($C406,'REGISTRE TUBES'!$B$7:$B$2506,0))),"?"))</f>
        <v>11.94</v>
      </c>
      <c r="G406" s="102" t="n">
        <f aca="false">IF($C406="","",N(G405)+N(F406))</f>
        <v>3271.59000000001</v>
      </c>
      <c r="H406" s="103" t="s">
        <v>1294</v>
      </c>
      <c r="I406" s="104"/>
      <c r="J406" s="105"/>
    </row>
    <row r="407" customFormat="false" ht="15" hidden="false" customHeight="false" outlineLevel="0" collapsed="false">
      <c r="B407" s="90" t="n">
        <v>277</v>
      </c>
      <c r="C407" s="91" t="n">
        <v>2083060</v>
      </c>
      <c r="D407" s="92" t="n">
        <f aca="false">IF($C407="","",IFERROR(IF(INDEX('REGISTRE TUBES'!$C$7:$C$2506,MATCH($C407,'REGISTRE TUBES'!$B$7:$B$2506,0))="","",INDEX('REGISTRE TUBES'!$C$7:$C$2506,MATCH($C407,'REGISTRE TUBES'!$B$7:$B$2506,0))),"?"))</f>
        <v>15421105</v>
      </c>
      <c r="E407" s="92" t="str">
        <f aca="false">IF($C407="","",IFERROR(IF(INDEX('REGISTRE TUBES'!$D$7:$D$2506,MATCH($C407,'REGISTRE TUBES'!$B$7:$B$2506,0))="","",INDEX('REGISTRE TUBES'!$D$7:$D$2506,MATCH($C407,'REGISTRE TUBES'!$B$7:$B$2506,0))),"?"))</f>
        <v/>
      </c>
      <c r="F407" s="93" t="n">
        <f aca="false">IF($C407="","",IFERROR(IF(INDEX('REGISTRE TUBES'!$F$7:$F$2506,MATCH($C407,'REGISTRE TUBES'!$B$7:$B$2506,0))="","",INDEX('REGISTRE TUBES'!$F$7:$F$2506,MATCH($C407,'REGISTRE TUBES'!$B$7:$B$2506,0))),"?"))</f>
        <v>11.94</v>
      </c>
      <c r="G407" s="94" t="n">
        <f aca="false">IF($C407="","",N(G406)+N(F407))</f>
        <v>3283.53000000001</v>
      </c>
      <c r="H407" s="95" t="s">
        <v>1296</v>
      </c>
      <c r="I407" s="96"/>
      <c r="J407" s="97"/>
    </row>
    <row r="408" customFormat="false" ht="15" hidden="false" customHeight="false" outlineLevel="0" collapsed="false">
      <c r="B408" s="98" t="n">
        <v>278</v>
      </c>
      <c r="C408" s="99" t="n">
        <v>2081770</v>
      </c>
      <c r="D408" s="100" t="n">
        <f aca="false">IF($C408="","",IFERROR(IF(INDEX('REGISTRE TUBES'!$C$7:$C$2506,MATCH($C408,'REGISTRE TUBES'!$B$7:$B$2506,0))="","",INDEX('REGISTRE TUBES'!$C$7:$C$2506,MATCH($C408,'REGISTRE TUBES'!$B$7:$B$2506,0))),"?"))</f>
        <v>15421103</v>
      </c>
      <c r="E408" s="100" t="str">
        <f aca="false">IF($C408="","",IFERROR(IF(INDEX('REGISTRE TUBES'!$D$7:$D$2506,MATCH($C408,'REGISTRE TUBES'!$B$7:$B$2506,0))="","",INDEX('REGISTRE TUBES'!$D$7:$D$2506,MATCH($C408,'REGISTRE TUBES'!$B$7:$B$2506,0))),"?"))</f>
        <v/>
      </c>
      <c r="F408" s="101" t="n">
        <f aca="false">IF($C408="","",IFERROR(IF(INDEX('REGISTRE TUBES'!$F$7:$F$2506,MATCH($C408,'REGISTRE TUBES'!$B$7:$B$2506,0))="","",INDEX('REGISTRE TUBES'!$F$7:$F$2506,MATCH($C408,'REGISTRE TUBES'!$B$7:$B$2506,0))),"?"))</f>
        <v>11.94</v>
      </c>
      <c r="G408" s="102" t="n">
        <f aca="false">IF($C408="","",N(G407)+N(F408))</f>
        <v>3295.47000000001</v>
      </c>
      <c r="H408" s="103" t="s">
        <v>1298</v>
      </c>
      <c r="I408" s="104"/>
      <c r="J408" s="105"/>
    </row>
    <row r="409" customFormat="false" ht="15" hidden="false" customHeight="false" outlineLevel="0" collapsed="false">
      <c r="B409" s="90" t="n">
        <v>279</v>
      </c>
      <c r="C409" s="91" t="n">
        <v>2086740</v>
      </c>
      <c r="D409" s="92" t="n">
        <f aca="false">IF($C409="","",IFERROR(IF(INDEX('REGISTRE TUBES'!$C$7:$C$2506,MATCH($C409,'REGISTRE TUBES'!$B$7:$B$2506,0))="","",INDEX('REGISTRE TUBES'!$C$7:$C$2506,MATCH($C409,'REGISTRE TUBES'!$B$7:$B$2506,0))),"?"))</f>
        <v>15421107</v>
      </c>
      <c r="E409" s="92" t="str">
        <f aca="false">IF($C409="","",IFERROR(IF(INDEX('REGISTRE TUBES'!$D$7:$D$2506,MATCH($C409,'REGISTRE TUBES'!$B$7:$B$2506,0))="","",INDEX('REGISTRE TUBES'!$D$7:$D$2506,MATCH($C409,'REGISTRE TUBES'!$B$7:$B$2506,0))),"?"))</f>
        <v/>
      </c>
      <c r="F409" s="93" t="n">
        <f aca="false">IF($C409="","",IFERROR(IF(INDEX('REGISTRE TUBES'!$F$7:$F$2506,MATCH($C409,'REGISTRE TUBES'!$B$7:$B$2506,0))="","",INDEX('REGISTRE TUBES'!$F$7:$F$2506,MATCH($C409,'REGISTRE TUBES'!$B$7:$B$2506,0))),"?"))</f>
        <v>11.94</v>
      </c>
      <c r="G409" s="94" t="n">
        <f aca="false">IF($C409="","",N(G408)+N(F409))</f>
        <v>3307.41000000001</v>
      </c>
      <c r="H409" s="95" t="s">
        <v>1301</v>
      </c>
      <c r="I409" s="96"/>
      <c r="J409" s="97"/>
    </row>
    <row r="410" customFormat="false" ht="15" hidden="false" customHeight="false" outlineLevel="0" collapsed="false">
      <c r="B410" s="98" t="n">
        <v>280</v>
      </c>
      <c r="C410" s="99" t="n">
        <v>2096490</v>
      </c>
      <c r="D410" s="100" t="n">
        <f aca="false">IF($C410="","",IFERROR(IF(INDEX('REGISTRE TUBES'!$C$7:$C$2506,MATCH($C410,'REGISTRE TUBES'!$B$7:$B$2506,0))="","",INDEX('REGISTRE TUBES'!$C$7:$C$2506,MATCH($C410,'REGISTRE TUBES'!$B$7:$B$2506,0))),"?"))</f>
        <v>15421111</v>
      </c>
      <c r="E410" s="100" t="str">
        <f aca="false">IF($C410="","",IFERROR(IF(INDEX('REGISTRE TUBES'!$D$7:$D$2506,MATCH($C410,'REGISTRE TUBES'!$B$7:$B$2506,0))="","",INDEX('REGISTRE TUBES'!$D$7:$D$2506,MATCH($C410,'REGISTRE TUBES'!$B$7:$B$2506,0))),"?"))</f>
        <v/>
      </c>
      <c r="F410" s="101" t="n">
        <f aca="false">IF($C410="","",IFERROR(IF(INDEX('REGISTRE TUBES'!$F$7:$F$2506,MATCH($C410,'REGISTRE TUBES'!$B$7:$B$2506,0))="","",INDEX('REGISTRE TUBES'!$F$7:$F$2506,MATCH($C410,'REGISTRE TUBES'!$B$7:$B$2506,0))),"?"))</f>
        <v>11.94</v>
      </c>
      <c r="G410" s="102" t="n">
        <f aca="false">IF($C410="","",N(G409)+N(F410))</f>
        <v>3319.35000000001</v>
      </c>
      <c r="H410" s="103" t="s">
        <v>1302</v>
      </c>
      <c r="I410" s="104"/>
      <c r="J410" s="105"/>
    </row>
    <row r="411" customFormat="false" ht="15" hidden="false" customHeight="false" outlineLevel="0" collapsed="false">
      <c r="B411" s="90" t="n">
        <v>281</v>
      </c>
      <c r="C411" s="91" t="n">
        <v>2094340</v>
      </c>
      <c r="D411" s="92" t="n">
        <f aca="false">IF($C411="","",IFERROR(IF(INDEX('REGISTRE TUBES'!$C$7:$C$2506,MATCH($C411,'REGISTRE TUBES'!$B$7:$B$2506,0))="","",INDEX('REGISTRE TUBES'!$C$7:$C$2506,MATCH($C411,'REGISTRE TUBES'!$B$7:$B$2506,0))),"?"))</f>
        <v>15421110</v>
      </c>
      <c r="E411" s="92" t="str">
        <f aca="false">IF($C411="","",IFERROR(IF(INDEX('REGISTRE TUBES'!$D$7:$D$2506,MATCH($C411,'REGISTRE TUBES'!$B$7:$B$2506,0))="","",INDEX('REGISTRE TUBES'!$D$7:$D$2506,MATCH($C411,'REGISTRE TUBES'!$B$7:$B$2506,0))),"?"))</f>
        <v/>
      </c>
      <c r="F411" s="93" t="n">
        <f aca="false">IF($C411="","",IFERROR(IF(INDEX('REGISTRE TUBES'!$F$7:$F$2506,MATCH($C411,'REGISTRE TUBES'!$B$7:$B$2506,0))="","",INDEX('REGISTRE TUBES'!$F$7:$F$2506,MATCH($C411,'REGISTRE TUBES'!$B$7:$B$2506,0))),"?"))</f>
        <v>11.94</v>
      </c>
      <c r="G411" s="94" t="n">
        <f aca="false">IF($C411="","",N(G410)+N(F411))</f>
        <v>3331.29000000001</v>
      </c>
      <c r="H411" s="95" t="s">
        <v>1303</v>
      </c>
      <c r="I411" s="96"/>
      <c r="J411" s="97"/>
    </row>
    <row r="412" customFormat="false" ht="15" hidden="false" customHeight="false" outlineLevel="0" collapsed="false">
      <c r="B412" s="98" t="n">
        <v>282</v>
      </c>
      <c r="C412" s="99" t="n">
        <v>2098010</v>
      </c>
      <c r="D412" s="100" t="n">
        <f aca="false">IF($C412="","",IFERROR(IF(INDEX('REGISTRE TUBES'!$C$7:$C$2506,MATCH($C412,'REGISTRE TUBES'!$B$7:$B$2506,0))="","",INDEX('REGISTRE TUBES'!$C$7:$C$2506,MATCH($C412,'REGISTRE TUBES'!$B$7:$B$2506,0))),"?"))</f>
        <v>15421111</v>
      </c>
      <c r="E412" s="100" t="str">
        <f aca="false">IF($C412="","",IFERROR(IF(INDEX('REGISTRE TUBES'!$D$7:$D$2506,MATCH($C412,'REGISTRE TUBES'!$B$7:$B$2506,0))="","",INDEX('REGISTRE TUBES'!$D$7:$D$2506,MATCH($C412,'REGISTRE TUBES'!$B$7:$B$2506,0))),"?"))</f>
        <v/>
      </c>
      <c r="F412" s="101" t="n">
        <f aca="false">IF($C412="","",IFERROR(IF(INDEX('REGISTRE TUBES'!$F$7:$F$2506,MATCH($C412,'REGISTRE TUBES'!$B$7:$B$2506,0))="","",INDEX('REGISTRE TUBES'!$F$7:$F$2506,MATCH($C412,'REGISTRE TUBES'!$B$7:$B$2506,0))),"?"))</f>
        <v>11.94</v>
      </c>
      <c r="G412" s="102" t="n">
        <f aca="false">IF($C412="","",N(G411)+N(F412))</f>
        <v>3343.23000000001</v>
      </c>
      <c r="H412" s="103" t="s">
        <v>1304</v>
      </c>
      <c r="I412" s="104"/>
      <c r="J412" s="105"/>
    </row>
    <row r="413" customFormat="false" ht="15" hidden="false" customHeight="false" outlineLevel="0" collapsed="false">
      <c r="B413" s="90" t="n">
        <v>283</v>
      </c>
      <c r="C413" s="91" t="n">
        <v>2092700</v>
      </c>
      <c r="D413" s="92" t="n">
        <f aca="false">IF($C413="","",IFERROR(IF(INDEX('REGISTRE TUBES'!$C$7:$C$2506,MATCH($C413,'REGISTRE TUBES'!$B$7:$B$2506,0))="","",INDEX('REGISTRE TUBES'!$C$7:$C$2506,MATCH($C413,'REGISTRE TUBES'!$B$7:$B$2506,0))),"?"))</f>
        <v>15421110</v>
      </c>
      <c r="E413" s="92" t="str">
        <f aca="false">IF($C413="","",IFERROR(IF(INDEX('REGISTRE TUBES'!$D$7:$D$2506,MATCH($C413,'REGISTRE TUBES'!$B$7:$B$2506,0))="","",INDEX('REGISTRE TUBES'!$D$7:$D$2506,MATCH($C413,'REGISTRE TUBES'!$B$7:$B$2506,0))),"?"))</f>
        <v/>
      </c>
      <c r="F413" s="93" t="n">
        <f aca="false">IF($C413="","",IFERROR(IF(INDEX('REGISTRE TUBES'!$F$7:$F$2506,MATCH($C413,'REGISTRE TUBES'!$B$7:$B$2506,0))="","",INDEX('REGISTRE TUBES'!$F$7:$F$2506,MATCH($C413,'REGISTRE TUBES'!$B$7:$B$2506,0))),"?"))</f>
        <v>11.94</v>
      </c>
      <c r="G413" s="94" t="n">
        <f aca="false">IF($C413="","",N(G412)+N(F413))</f>
        <v>3355.17000000001</v>
      </c>
      <c r="H413" s="95" t="s">
        <v>1306</v>
      </c>
      <c r="I413" s="96"/>
      <c r="J413" s="97"/>
    </row>
    <row r="414" customFormat="false" ht="15" hidden="false" customHeight="false" outlineLevel="0" collapsed="false">
      <c r="B414" s="98" t="n">
        <v>284</v>
      </c>
      <c r="C414" s="99" t="n">
        <v>2078490</v>
      </c>
      <c r="D414" s="100" t="n">
        <f aca="false">IF($C414="","",IFERROR(IF(INDEX('REGISTRE TUBES'!$C$7:$C$2506,MATCH($C414,'REGISTRE TUBES'!$B$7:$B$2506,0))="","",INDEX('REGISTRE TUBES'!$C$7:$C$2506,MATCH($C414,'REGISTRE TUBES'!$B$7:$B$2506,0))),"?"))</f>
        <v>15421101</v>
      </c>
      <c r="E414" s="100" t="str">
        <f aca="false">IF($C414="","",IFERROR(IF(INDEX('REGISTRE TUBES'!$D$7:$D$2506,MATCH($C414,'REGISTRE TUBES'!$B$7:$B$2506,0))="","",INDEX('REGISTRE TUBES'!$D$7:$D$2506,MATCH($C414,'REGISTRE TUBES'!$B$7:$B$2506,0))),"?"))</f>
        <v/>
      </c>
      <c r="F414" s="101" t="n">
        <f aca="false">IF($C414="","",IFERROR(IF(INDEX('REGISTRE TUBES'!$F$7:$F$2506,MATCH($C414,'REGISTRE TUBES'!$B$7:$B$2506,0))="","",INDEX('REGISTRE TUBES'!$F$7:$F$2506,MATCH($C414,'REGISTRE TUBES'!$B$7:$B$2506,0))),"?"))</f>
        <v>11.94</v>
      </c>
      <c r="G414" s="102" t="n">
        <f aca="false">IF($C414="","",N(G413)+N(F414))</f>
        <v>3367.11000000001</v>
      </c>
      <c r="H414" s="103" t="s">
        <v>1307</v>
      </c>
      <c r="I414" s="104"/>
      <c r="J414" s="105"/>
    </row>
    <row r="415" customFormat="false" ht="15" hidden="false" customHeight="false" outlineLevel="0" collapsed="false">
      <c r="B415" s="90" t="n">
        <v>285</v>
      </c>
      <c r="C415" s="91" t="n">
        <v>2080220</v>
      </c>
      <c r="D415" s="92" t="n">
        <f aca="false">IF($C415="","",IFERROR(IF(INDEX('REGISTRE TUBES'!$C$7:$C$2506,MATCH($C415,'REGISTRE TUBES'!$B$7:$B$2506,0))="","",INDEX('REGISTRE TUBES'!$C$7:$C$2506,MATCH($C415,'REGISTRE TUBES'!$B$7:$B$2506,0))),"?"))</f>
        <v>15421102</v>
      </c>
      <c r="E415" s="92" t="str">
        <f aca="false">IF($C415="","",IFERROR(IF(INDEX('REGISTRE TUBES'!$D$7:$D$2506,MATCH($C415,'REGISTRE TUBES'!$B$7:$B$2506,0))="","",INDEX('REGISTRE TUBES'!$D$7:$D$2506,MATCH($C415,'REGISTRE TUBES'!$B$7:$B$2506,0))),"?"))</f>
        <v/>
      </c>
      <c r="F415" s="93" t="n">
        <f aca="false">IF($C415="","",IFERROR(IF(INDEX('REGISTRE TUBES'!$F$7:$F$2506,MATCH($C415,'REGISTRE TUBES'!$B$7:$B$2506,0))="","",INDEX('REGISTRE TUBES'!$F$7:$F$2506,MATCH($C415,'REGISTRE TUBES'!$B$7:$B$2506,0))),"?"))</f>
        <v>11.94</v>
      </c>
      <c r="G415" s="94" t="n">
        <f aca="false">IF($C415="","",N(G414)+N(F415))</f>
        <v>3379.05000000001</v>
      </c>
      <c r="H415" s="95" t="s">
        <v>1308</v>
      </c>
      <c r="I415" s="96"/>
      <c r="J415" s="97"/>
    </row>
    <row r="416" customFormat="false" ht="15" hidden="false" customHeight="true" outlineLevel="0" collapsed="false">
      <c r="B416" s="106" t="s">
        <v>3031</v>
      </c>
      <c r="C416" s="106"/>
      <c r="D416" s="106"/>
      <c r="E416" s="106"/>
      <c r="F416" s="107" t="n">
        <f aca="false">SUM(F397:F415)</f>
        <v>202.98</v>
      </c>
      <c r="G416" s="108" t="n">
        <f aca="false">IF(COUNT(G397:G415)=0,"",MAX(G397:G415))</f>
        <v>3379.05000000001</v>
      </c>
      <c r="H416" s="106" t="str">
        <f aca="false">COUNTA(C397:C415)&amp;" tube(s)"</f>
        <v>19 tube(s)</v>
      </c>
      <c r="I416" s="106"/>
      <c r="J416" s="106"/>
    </row>
    <row r="418" customFormat="false" ht="15" hidden="false" customHeight="false" outlineLevel="0" collapsed="false">
      <c r="B418" s="109" t="s">
        <v>3032</v>
      </c>
      <c r="F418" s="109" t="s">
        <v>3033</v>
      </c>
      <c r="I418" s="109" t="s">
        <v>3034</v>
      </c>
    </row>
    <row r="421" customFormat="false" ht="25.5" hidden="false" customHeight="true" outlineLevel="0" collapsed="false">
      <c r="B421" s="85" t="s">
        <v>3015</v>
      </c>
      <c r="C421" s="85"/>
      <c r="D421" s="85"/>
      <c r="E421" s="85"/>
      <c r="F421" s="85"/>
      <c r="G421" s="85"/>
      <c r="H421" s="85"/>
      <c r="I421" s="85"/>
      <c r="J421" s="85"/>
    </row>
    <row r="422" customFormat="false" ht="15" hidden="false" customHeight="false" outlineLevel="0" collapsed="false">
      <c r="B422" s="86" t="str">
        <f aca="false">PARAMÈTRES!$C$4&amp;"   •   Affaire N° "&amp;PARAMÈTRES!$C$5</f>
        <v>Développement des champs gaziers TFT II — réseau de collecte TFT Sud (LIGNE-16)   •   Affaire N° 8546</v>
      </c>
      <c r="C422" s="86"/>
      <c r="D422" s="86"/>
      <c r="E422" s="86"/>
      <c r="F422" s="86"/>
      <c r="G422" s="86"/>
      <c r="H422" s="86"/>
      <c r="I422" s="86"/>
      <c r="J422" s="86"/>
    </row>
    <row r="423" customFormat="false" ht="19.5" hidden="false" customHeight="true" outlineLevel="0" collapsed="false">
      <c r="B423" s="87" t="s">
        <v>3016</v>
      </c>
      <c r="C423" s="88" t="s">
        <v>110</v>
      </c>
      <c r="D423" s="88"/>
      <c r="E423" s="87" t="s">
        <v>3017</v>
      </c>
      <c r="F423" s="88" t="s">
        <v>3063</v>
      </c>
      <c r="G423" s="87" t="s">
        <v>3019</v>
      </c>
      <c r="H423" s="88" t="s">
        <v>3064</v>
      </c>
      <c r="I423" s="87" t="s">
        <v>3021</v>
      </c>
      <c r="J423" s="89"/>
    </row>
    <row r="424" customFormat="false" ht="27.75" hidden="false" customHeight="true" outlineLevel="0" collapsed="false">
      <c r="B424" s="71" t="s">
        <v>3022</v>
      </c>
      <c r="C424" s="71" t="s">
        <v>3023</v>
      </c>
      <c r="D424" s="71" t="s">
        <v>3024</v>
      </c>
      <c r="E424" s="71" t="s">
        <v>3025</v>
      </c>
      <c r="F424" s="71" t="s">
        <v>3026</v>
      </c>
      <c r="G424" s="71" t="s">
        <v>3027</v>
      </c>
      <c r="H424" s="71" t="s">
        <v>3028</v>
      </c>
      <c r="I424" s="71" t="s">
        <v>3029</v>
      </c>
      <c r="J424" s="71" t="s">
        <v>3030</v>
      </c>
    </row>
    <row r="425" customFormat="false" ht="15" hidden="false" customHeight="false" outlineLevel="0" collapsed="false">
      <c r="B425" s="90" t="n">
        <v>286</v>
      </c>
      <c r="C425" s="91" t="n">
        <v>2083560</v>
      </c>
      <c r="D425" s="92" t="n">
        <f aca="false">IF($C425="","",IFERROR(IF(INDEX('REGISTRE TUBES'!$C$7:$C$2506,MATCH($C425,'REGISTRE TUBES'!$B$7:$B$2506,0))="","",INDEX('REGISTRE TUBES'!$C$7:$C$2506,MATCH($C425,'REGISTRE TUBES'!$B$7:$B$2506,0))),"?"))</f>
        <v>15421105</v>
      </c>
      <c r="E425" s="92" t="str">
        <f aca="false">IF($C425="","",IFERROR(IF(INDEX('REGISTRE TUBES'!$D$7:$D$2506,MATCH($C425,'REGISTRE TUBES'!$B$7:$B$2506,0))="","",INDEX('REGISTRE TUBES'!$D$7:$D$2506,MATCH($C425,'REGISTRE TUBES'!$B$7:$B$2506,0))),"?"))</f>
        <v/>
      </c>
      <c r="F425" s="93" t="n">
        <f aca="false">IF($C425="","",IFERROR(IF(INDEX('REGISTRE TUBES'!$F$7:$F$2506,MATCH($C425,'REGISTRE TUBES'!$B$7:$B$2506,0))="","",INDEX('REGISTRE TUBES'!$F$7:$F$2506,MATCH($C425,'REGISTRE TUBES'!$B$7:$B$2506,0))),"?"))</f>
        <v>11.94</v>
      </c>
      <c r="G425" s="94" t="n">
        <f aca="false">IF($C425="","",N(G415)+N(F425))</f>
        <v>3390.99000000001</v>
      </c>
      <c r="H425" s="95" t="s">
        <v>1311</v>
      </c>
      <c r="I425" s="96"/>
      <c r="J425" s="97"/>
    </row>
    <row r="426" customFormat="false" ht="15" hidden="false" customHeight="false" outlineLevel="0" collapsed="false">
      <c r="B426" s="98" t="n">
        <v>287</v>
      </c>
      <c r="C426" s="99" t="n">
        <v>2087150</v>
      </c>
      <c r="D426" s="100" t="n">
        <f aca="false">IF($C426="","",IFERROR(IF(INDEX('REGISTRE TUBES'!$C$7:$C$2506,MATCH($C426,'REGISTRE TUBES'!$B$7:$B$2506,0))="","",INDEX('REGISTRE TUBES'!$C$7:$C$2506,MATCH($C426,'REGISTRE TUBES'!$B$7:$B$2506,0))),"?"))</f>
        <v>15421107</v>
      </c>
      <c r="E426" s="100" t="str">
        <f aca="false">IF($C426="","",IFERROR(IF(INDEX('REGISTRE TUBES'!$D$7:$D$2506,MATCH($C426,'REGISTRE TUBES'!$B$7:$B$2506,0))="","",INDEX('REGISTRE TUBES'!$D$7:$D$2506,MATCH($C426,'REGISTRE TUBES'!$B$7:$B$2506,0))),"?"))</f>
        <v/>
      </c>
      <c r="F426" s="101" t="n">
        <f aca="false">IF($C426="","",IFERROR(IF(INDEX('REGISTRE TUBES'!$F$7:$F$2506,MATCH($C426,'REGISTRE TUBES'!$B$7:$B$2506,0))="","",INDEX('REGISTRE TUBES'!$F$7:$F$2506,MATCH($C426,'REGISTRE TUBES'!$B$7:$B$2506,0))),"?"))</f>
        <v>11.94</v>
      </c>
      <c r="G426" s="102" t="n">
        <f aca="false">IF($C426="","",N(G425)+N(F426))</f>
        <v>3402.93000000001</v>
      </c>
      <c r="H426" s="103" t="s">
        <v>1312</v>
      </c>
      <c r="I426" s="104"/>
      <c r="J426" s="105"/>
    </row>
    <row r="427" customFormat="false" ht="15" hidden="false" customHeight="false" outlineLevel="0" collapsed="false">
      <c r="B427" s="90" t="n">
        <v>288</v>
      </c>
      <c r="C427" s="91" t="n">
        <v>2081740</v>
      </c>
      <c r="D427" s="92" t="n">
        <f aca="false">IF($C427="","",IFERROR(IF(INDEX('REGISTRE TUBES'!$C$7:$C$2506,MATCH($C427,'REGISTRE TUBES'!$B$7:$B$2506,0))="","",INDEX('REGISTRE TUBES'!$C$7:$C$2506,MATCH($C427,'REGISTRE TUBES'!$B$7:$B$2506,0))),"?"))</f>
        <v>15421103</v>
      </c>
      <c r="E427" s="92" t="str">
        <f aca="false">IF($C427="","",IFERROR(IF(INDEX('REGISTRE TUBES'!$D$7:$D$2506,MATCH($C427,'REGISTRE TUBES'!$B$7:$B$2506,0))="","",INDEX('REGISTRE TUBES'!$D$7:$D$2506,MATCH($C427,'REGISTRE TUBES'!$B$7:$B$2506,0))),"?"))</f>
        <v/>
      </c>
      <c r="F427" s="93" t="n">
        <f aca="false">IF($C427="","",IFERROR(IF(INDEX('REGISTRE TUBES'!$F$7:$F$2506,MATCH($C427,'REGISTRE TUBES'!$B$7:$B$2506,0))="","",INDEX('REGISTRE TUBES'!$F$7:$F$2506,MATCH($C427,'REGISTRE TUBES'!$B$7:$B$2506,0))),"?"))</f>
        <v>11.94</v>
      </c>
      <c r="G427" s="94" t="n">
        <f aca="false">IF($C427="","",N(G426)+N(F427))</f>
        <v>3414.87000000001</v>
      </c>
      <c r="H427" s="95" t="s">
        <v>1313</v>
      </c>
      <c r="I427" s="96"/>
      <c r="J427" s="97"/>
    </row>
    <row r="428" customFormat="false" ht="15" hidden="false" customHeight="false" outlineLevel="0" collapsed="false">
      <c r="B428" s="98" t="n">
        <v>289</v>
      </c>
      <c r="C428" s="99" t="n">
        <v>2094760</v>
      </c>
      <c r="D428" s="100" t="n">
        <f aca="false">IF($C428="","",IFERROR(IF(INDEX('REGISTRE TUBES'!$C$7:$C$2506,MATCH($C428,'REGISTRE TUBES'!$B$7:$B$2506,0))="","",INDEX('REGISTRE TUBES'!$C$7:$C$2506,MATCH($C428,'REGISTRE TUBES'!$B$7:$B$2506,0))),"?"))</f>
        <v>15421111</v>
      </c>
      <c r="E428" s="100" t="str">
        <f aca="false">IF($C428="","",IFERROR(IF(INDEX('REGISTRE TUBES'!$D$7:$D$2506,MATCH($C428,'REGISTRE TUBES'!$B$7:$B$2506,0))="","",INDEX('REGISTRE TUBES'!$D$7:$D$2506,MATCH($C428,'REGISTRE TUBES'!$B$7:$B$2506,0))),"?"))</f>
        <v/>
      </c>
      <c r="F428" s="101" t="n">
        <f aca="false">IF($C428="","",IFERROR(IF(INDEX('REGISTRE TUBES'!$F$7:$F$2506,MATCH($C428,'REGISTRE TUBES'!$B$7:$B$2506,0))="","",INDEX('REGISTRE TUBES'!$F$7:$F$2506,MATCH($C428,'REGISTRE TUBES'!$B$7:$B$2506,0))),"?"))</f>
        <v>11.94</v>
      </c>
      <c r="G428" s="102" t="n">
        <f aca="false">IF($C428="","",N(G427)+N(F428))</f>
        <v>3426.81000000001</v>
      </c>
      <c r="H428" s="103" t="s">
        <v>1315</v>
      </c>
      <c r="I428" s="104"/>
      <c r="J428" s="105"/>
    </row>
    <row r="429" customFormat="false" ht="15" hidden="false" customHeight="false" outlineLevel="0" collapsed="false">
      <c r="B429" s="90" t="n">
        <v>290</v>
      </c>
      <c r="C429" s="91" t="n">
        <v>2087760</v>
      </c>
      <c r="D429" s="92" t="n">
        <f aca="false">IF($C429="","",IFERROR(IF(INDEX('REGISTRE TUBES'!$C$7:$C$2506,MATCH($C429,'REGISTRE TUBES'!$B$7:$B$2506,0))="","",INDEX('REGISTRE TUBES'!$C$7:$C$2506,MATCH($C429,'REGISTRE TUBES'!$B$7:$B$2506,0))),"?"))</f>
        <v>15421108</v>
      </c>
      <c r="E429" s="92" t="str">
        <f aca="false">IF($C429="","",IFERROR(IF(INDEX('REGISTRE TUBES'!$D$7:$D$2506,MATCH($C429,'REGISTRE TUBES'!$B$7:$B$2506,0))="","",INDEX('REGISTRE TUBES'!$D$7:$D$2506,MATCH($C429,'REGISTRE TUBES'!$B$7:$B$2506,0))),"?"))</f>
        <v/>
      </c>
      <c r="F429" s="93" t="n">
        <f aca="false">IF($C429="","",IFERROR(IF(INDEX('REGISTRE TUBES'!$F$7:$F$2506,MATCH($C429,'REGISTRE TUBES'!$B$7:$B$2506,0))="","",INDEX('REGISTRE TUBES'!$F$7:$F$2506,MATCH($C429,'REGISTRE TUBES'!$B$7:$B$2506,0))),"?"))</f>
        <v>11.94</v>
      </c>
      <c r="G429" s="94" t="n">
        <f aca="false">IF($C429="","",N(G428)+N(F429))</f>
        <v>3438.75000000001</v>
      </c>
      <c r="H429" s="95" t="s">
        <v>1316</v>
      </c>
      <c r="I429" s="96"/>
      <c r="J429" s="97"/>
    </row>
    <row r="430" customFormat="false" ht="15" hidden="false" customHeight="false" outlineLevel="0" collapsed="false">
      <c r="B430" s="98" t="n">
        <v>291</v>
      </c>
      <c r="C430" s="99" t="n">
        <v>2096840</v>
      </c>
      <c r="D430" s="100" t="n">
        <f aca="false">IF($C430="","",IFERROR(IF(INDEX('REGISTRE TUBES'!$C$7:$C$2506,MATCH($C430,'REGISTRE TUBES'!$B$7:$B$2506,0))="","",INDEX('REGISTRE TUBES'!$C$7:$C$2506,MATCH($C430,'REGISTRE TUBES'!$B$7:$B$2506,0))),"?"))</f>
        <v>15421112</v>
      </c>
      <c r="E430" s="100" t="str">
        <f aca="false">IF($C430="","",IFERROR(IF(INDEX('REGISTRE TUBES'!$D$7:$D$2506,MATCH($C430,'REGISTRE TUBES'!$B$7:$B$2506,0))="","",INDEX('REGISTRE TUBES'!$D$7:$D$2506,MATCH($C430,'REGISTRE TUBES'!$B$7:$B$2506,0))),"?"))</f>
        <v/>
      </c>
      <c r="F430" s="101" t="n">
        <f aca="false">IF($C430="","",IFERROR(IF(INDEX('REGISTRE TUBES'!$F$7:$F$2506,MATCH($C430,'REGISTRE TUBES'!$B$7:$B$2506,0))="","",INDEX('REGISTRE TUBES'!$F$7:$F$2506,MATCH($C430,'REGISTRE TUBES'!$B$7:$B$2506,0))),"?"))</f>
        <v>11.94</v>
      </c>
      <c r="G430" s="102" t="n">
        <f aca="false">IF($C430="","",N(G429)+N(F430))</f>
        <v>3450.69000000001</v>
      </c>
      <c r="H430" s="103" t="s">
        <v>1317</v>
      </c>
      <c r="I430" s="104"/>
      <c r="J430" s="105"/>
    </row>
    <row r="431" customFormat="false" ht="15" hidden="false" customHeight="false" outlineLevel="0" collapsed="false">
      <c r="B431" s="90" t="n">
        <v>292</v>
      </c>
      <c r="C431" s="91" t="n">
        <v>2095840</v>
      </c>
      <c r="D431" s="92" t="n">
        <f aca="false">IF($C431="","",IFERROR(IF(INDEX('REGISTRE TUBES'!$C$7:$C$2506,MATCH($C431,'REGISTRE TUBES'!$B$7:$B$2506,0))="","",INDEX('REGISTRE TUBES'!$C$7:$C$2506,MATCH($C431,'REGISTRE TUBES'!$B$7:$B$2506,0))),"?"))</f>
        <v>15421112</v>
      </c>
      <c r="E431" s="92" t="str">
        <f aca="false">IF($C431="","",IFERROR(IF(INDEX('REGISTRE TUBES'!$D$7:$D$2506,MATCH($C431,'REGISTRE TUBES'!$B$7:$B$2506,0))="","",INDEX('REGISTRE TUBES'!$D$7:$D$2506,MATCH($C431,'REGISTRE TUBES'!$B$7:$B$2506,0))),"?"))</f>
        <v/>
      </c>
      <c r="F431" s="93" t="n">
        <f aca="false">IF($C431="","",IFERROR(IF(INDEX('REGISTRE TUBES'!$F$7:$F$2506,MATCH($C431,'REGISTRE TUBES'!$B$7:$B$2506,0))="","",INDEX('REGISTRE TUBES'!$F$7:$F$2506,MATCH($C431,'REGISTRE TUBES'!$B$7:$B$2506,0))),"?"))</f>
        <v>11.94</v>
      </c>
      <c r="G431" s="94" t="n">
        <f aca="false">IF($C431="","",N(G430)+N(F431))</f>
        <v>3462.63000000001</v>
      </c>
      <c r="H431" s="95" t="s">
        <v>1318</v>
      </c>
      <c r="I431" s="96"/>
      <c r="J431" s="97"/>
    </row>
    <row r="432" customFormat="false" ht="15" hidden="false" customHeight="false" outlineLevel="0" collapsed="false">
      <c r="B432" s="98" t="n">
        <v>293</v>
      </c>
      <c r="C432" s="99" t="n">
        <v>2083510</v>
      </c>
      <c r="D432" s="100" t="n">
        <f aca="false">IF($C432="","",IFERROR(IF(INDEX('REGISTRE TUBES'!$C$7:$C$2506,MATCH($C432,'REGISTRE TUBES'!$B$7:$B$2506,0))="","",INDEX('REGISTRE TUBES'!$C$7:$C$2506,MATCH($C432,'REGISTRE TUBES'!$B$7:$B$2506,0))),"?"))</f>
        <v>15421105</v>
      </c>
      <c r="E432" s="100" t="str">
        <f aca="false">IF($C432="","",IFERROR(IF(INDEX('REGISTRE TUBES'!$D$7:$D$2506,MATCH($C432,'REGISTRE TUBES'!$B$7:$B$2506,0))="","",INDEX('REGISTRE TUBES'!$D$7:$D$2506,MATCH($C432,'REGISTRE TUBES'!$B$7:$B$2506,0))),"?"))</f>
        <v/>
      </c>
      <c r="F432" s="101" t="n">
        <f aca="false">IF($C432="","",IFERROR(IF(INDEX('REGISTRE TUBES'!$F$7:$F$2506,MATCH($C432,'REGISTRE TUBES'!$B$7:$B$2506,0))="","",INDEX('REGISTRE TUBES'!$F$7:$F$2506,MATCH($C432,'REGISTRE TUBES'!$B$7:$B$2506,0))),"?"))</f>
        <v>11.94</v>
      </c>
      <c r="G432" s="102" t="n">
        <f aca="false">IF($C432="","",N(G431)+N(F432))</f>
        <v>3474.57000000001</v>
      </c>
      <c r="H432" s="103" t="s">
        <v>1319</v>
      </c>
      <c r="I432" s="104"/>
      <c r="J432" s="105"/>
    </row>
    <row r="433" customFormat="false" ht="15" hidden="false" customHeight="false" outlineLevel="0" collapsed="false">
      <c r="B433" s="90" t="n">
        <v>294</v>
      </c>
      <c r="C433" s="91" t="n">
        <v>2087540</v>
      </c>
      <c r="D433" s="92" t="n">
        <f aca="false">IF($C433="","",IFERROR(IF(INDEX('REGISTRE TUBES'!$C$7:$C$2506,MATCH($C433,'REGISTRE TUBES'!$B$7:$B$2506,0))="","",INDEX('REGISTRE TUBES'!$C$7:$C$2506,MATCH($C433,'REGISTRE TUBES'!$B$7:$B$2506,0))),"?"))</f>
        <v>15421107</v>
      </c>
      <c r="E433" s="92" t="str">
        <f aca="false">IF($C433="","",IFERROR(IF(INDEX('REGISTRE TUBES'!$D$7:$D$2506,MATCH($C433,'REGISTRE TUBES'!$B$7:$B$2506,0))="","",INDEX('REGISTRE TUBES'!$D$7:$D$2506,MATCH($C433,'REGISTRE TUBES'!$B$7:$B$2506,0))),"?"))</f>
        <v/>
      </c>
      <c r="F433" s="93" t="n">
        <f aca="false">IF($C433="","",IFERROR(IF(INDEX('REGISTRE TUBES'!$F$7:$F$2506,MATCH($C433,'REGISTRE TUBES'!$B$7:$B$2506,0))="","",INDEX('REGISTRE TUBES'!$F$7:$F$2506,MATCH($C433,'REGISTRE TUBES'!$B$7:$B$2506,0))),"?"))</f>
        <v>11.94</v>
      </c>
      <c r="G433" s="94" t="n">
        <f aca="false">IF($C433="","",N(G432)+N(F433))</f>
        <v>3486.51000000001</v>
      </c>
      <c r="H433" s="95" t="s">
        <v>1320</v>
      </c>
      <c r="I433" s="96"/>
      <c r="J433" s="97"/>
    </row>
    <row r="434" customFormat="false" ht="15" hidden="false" customHeight="false" outlineLevel="0" collapsed="false">
      <c r="B434" s="98" t="n">
        <v>295</v>
      </c>
      <c r="C434" s="99" t="n">
        <v>2084360</v>
      </c>
      <c r="D434" s="100" t="n">
        <f aca="false">IF($C434="","",IFERROR(IF(INDEX('REGISTRE TUBES'!$C$7:$C$2506,MATCH($C434,'REGISTRE TUBES'!$B$7:$B$2506,0))="","",INDEX('REGISTRE TUBES'!$C$7:$C$2506,MATCH($C434,'REGISTRE TUBES'!$B$7:$B$2506,0))),"?"))</f>
        <v>15421106</v>
      </c>
      <c r="E434" s="100" t="str">
        <f aca="false">IF($C434="","",IFERROR(IF(INDEX('REGISTRE TUBES'!$D$7:$D$2506,MATCH($C434,'REGISTRE TUBES'!$B$7:$B$2506,0))="","",INDEX('REGISTRE TUBES'!$D$7:$D$2506,MATCH($C434,'REGISTRE TUBES'!$B$7:$B$2506,0))),"?"))</f>
        <v/>
      </c>
      <c r="F434" s="101" t="n">
        <f aca="false">IF($C434="","",IFERROR(IF(INDEX('REGISTRE TUBES'!$F$7:$F$2506,MATCH($C434,'REGISTRE TUBES'!$B$7:$B$2506,0))="","",INDEX('REGISTRE TUBES'!$F$7:$F$2506,MATCH($C434,'REGISTRE TUBES'!$B$7:$B$2506,0))),"?"))</f>
        <v>11.94</v>
      </c>
      <c r="G434" s="102" t="n">
        <f aca="false">IF($C434="","",N(G433)+N(F434))</f>
        <v>3498.45000000001</v>
      </c>
      <c r="H434" s="103" t="s">
        <v>1321</v>
      </c>
      <c r="I434" s="104"/>
      <c r="J434" s="105"/>
    </row>
    <row r="435" customFormat="false" ht="15" hidden="false" customHeight="false" outlineLevel="0" collapsed="false">
      <c r="B435" s="90" t="n">
        <v>296</v>
      </c>
      <c r="C435" s="91" t="n">
        <v>2088040</v>
      </c>
      <c r="D435" s="92" t="n">
        <f aca="false">IF($C435="","",IFERROR(IF(INDEX('REGISTRE TUBES'!$C$7:$C$2506,MATCH($C435,'REGISTRE TUBES'!$B$7:$B$2506,0))="","",INDEX('REGISTRE TUBES'!$C$7:$C$2506,MATCH($C435,'REGISTRE TUBES'!$B$7:$B$2506,0))),"?"))</f>
        <v>15421112</v>
      </c>
      <c r="E435" s="92" t="str">
        <f aca="false">IF($C435="","",IFERROR(IF(INDEX('REGISTRE TUBES'!$D$7:$D$2506,MATCH($C435,'REGISTRE TUBES'!$B$7:$B$2506,0))="","",INDEX('REGISTRE TUBES'!$D$7:$D$2506,MATCH($C435,'REGISTRE TUBES'!$B$7:$B$2506,0))),"?"))</f>
        <v/>
      </c>
      <c r="F435" s="93" t="n">
        <f aca="false">IF($C435="","",IFERROR(IF(INDEX('REGISTRE TUBES'!$F$7:$F$2506,MATCH($C435,'REGISTRE TUBES'!$B$7:$B$2506,0))="","",INDEX('REGISTRE TUBES'!$F$7:$F$2506,MATCH($C435,'REGISTRE TUBES'!$B$7:$B$2506,0))),"?"))</f>
        <v>11.94</v>
      </c>
      <c r="G435" s="94" t="n">
        <f aca="false">IF($C435="","",N(G434)+N(F435))</f>
        <v>3510.39000000001</v>
      </c>
      <c r="H435" s="95" t="s">
        <v>1322</v>
      </c>
      <c r="I435" s="96"/>
      <c r="J435" s="97"/>
    </row>
    <row r="436" customFormat="false" ht="15" hidden="false" customHeight="false" outlineLevel="0" collapsed="false">
      <c r="B436" s="98" t="n">
        <v>297</v>
      </c>
      <c r="C436" s="99" t="n">
        <v>2078680</v>
      </c>
      <c r="D436" s="100" t="n">
        <f aca="false">IF($C436="","",IFERROR(IF(INDEX('REGISTRE TUBES'!$C$7:$C$2506,MATCH($C436,'REGISTRE TUBES'!$B$7:$B$2506,0))="","",INDEX('REGISTRE TUBES'!$C$7:$C$2506,MATCH($C436,'REGISTRE TUBES'!$B$7:$B$2506,0))),"?"))</f>
        <v>15421101</v>
      </c>
      <c r="E436" s="100" t="str">
        <f aca="false">IF($C436="","",IFERROR(IF(INDEX('REGISTRE TUBES'!$D$7:$D$2506,MATCH($C436,'REGISTRE TUBES'!$B$7:$B$2506,0))="","",INDEX('REGISTRE TUBES'!$D$7:$D$2506,MATCH($C436,'REGISTRE TUBES'!$B$7:$B$2506,0))),"?"))</f>
        <v/>
      </c>
      <c r="F436" s="101" t="n">
        <f aca="false">IF($C436="","",IFERROR(IF(INDEX('REGISTRE TUBES'!$F$7:$F$2506,MATCH($C436,'REGISTRE TUBES'!$B$7:$B$2506,0))="","",INDEX('REGISTRE TUBES'!$F$7:$F$2506,MATCH($C436,'REGISTRE TUBES'!$B$7:$B$2506,0))),"?"))</f>
        <v>11.94</v>
      </c>
      <c r="G436" s="102" t="n">
        <f aca="false">IF($C436="","",N(G435)+N(F436))</f>
        <v>3522.33000000001</v>
      </c>
      <c r="H436" s="103" t="s">
        <v>1323</v>
      </c>
      <c r="I436" s="104"/>
      <c r="J436" s="105"/>
    </row>
    <row r="437" customFormat="false" ht="15" hidden="false" customHeight="false" outlineLevel="0" collapsed="false">
      <c r="B437" s="90" t="n">
        <v>298</v>
      </c>
      <c r="C437" s="91" t="n">
        <v>2078780</v>
      </c>
      <c r="D437" s="92" t="n">
        <f aca="false">IF($C437="","",IFERROR(IF(INDEX('REGISTRE TUBES'!$C$7:$C$2506,MATCH($C437,'REGISTRE TUBES'!$B$7:$B$2506,0))="","",INDEX('REGISTRE TUBES'!$C$7:$C$2506,MATCH($C437,'REGISTRE TUBES'!$B$7:$B$2506,0))),"?"))</f>
        <v>15421101</v>
      </c>
      <c r="E437" s="92" t="str">
        <f aca="false">IF($C437="","",IFERROR(IF(INDEX('REGISTRE TUBES'!$D$7:$D$2506,MATCH($C437,'REGISTRE TUBES'!$B$7:$B$2506,0))="","",INDEX('REGISTRE TUBES'!$D$7:$D$2506,MATCH($C437,'REGISTRE TUBES'!$B$7:$B$2506,0))),"?"))</f>
        <v/>
      </c>
      <c r="F437" s="93" t="n">
        <f aca="false">IF($C437="","",IFERROR(IF(INDEX('REGISTRE TUBES'!$F$7:$F$2506,MATCH($C437,'REGISTRE TUBES'!$B$7:$B$2506,0))="","",INDEX('REGISTRE TUBES'!$F$7:$F$2506,MATCH($C437,'REGISTRE TUBES'!$B$7:$B$2506,0))),"?"))</f>
        <v>11.94</v>
      </c>
      <c r="G437" s="94" t="n">
        <f aca="false">IF($C437="","",N(G436)+N(F437))</f>
        <v>3534.27000000001</v>
      </c>
      <c r="H437" s="95" t="s">
        <v>1324</v>
      </c>
      <c r="I437" s="96"/>
      <c r="J437" s="97"/>
    </row>
    <row r="438" customFormat="false" ht="15" hidden="false" customHeight="false" outlineLevel="0" collapsed="false">
      <c r="B438" s="98" t="n">
        <v>299</v>
      </c>
      <c r="C438" s="99" t="n">
        <v>2086180</v>
      </c>
      <c r="D438" s="100" t="n">
        <f aca="false">IF($C438="","",IFERROR(IF(INDEX('REGISTRE TUBES'!$C$7:$C$2506,MATCH($C438,'REGISTRE TUBES'!$B$7:$B$2506,0))="","",INDEX('REGISTRE TUBES'!$C$7:$C$2506,MATCH($C438,'REGISTRE TUBES'!$B$7:$B$2506,0))),"?"))</f>
        <v>15421107</v>
      </c>
      <c r="E438" s="100" t="str">
        <f aca="false">IF($C438="","",IFERROR(IF(INDEX('REGISTRE TUBES'!$D$7:$D$2506,MATCH($C438,'REGISTRE TUBES'!$B$7:$B$2506,0))="","",INDEX('REGISTRE TUBES'!$D$7:$D$2506,MATCH($C438,'REGISTRE TUBES'!$B$7:$B$2506,0))),"?"))</f>
        <v/>
      </c>
      <c r="F438" s="101" t="n">
        <f aca="false">IF($C438="","",IFERROR(IF(INDEX('REGISTRE TUBES'!$F$7:$F$2506,MATCH($C438,'REGISTRE TUBES'!$B$7:$B$2506,0))="","",INDEX('REGISTRE TUBES'!$F$7:$F$2506,MATCH($C438,'REGISTRE TUBES'!$B$7:$B$2506,0))),"?"))</f>
        <v>11.94</v>
      </c>
      <c r="G438" s="102" t="n">
        <f aca="false">IF($C438="","",N(G437)+N(F438))</f>
        <v>3546.21000000001</v>
      </c>
      <c r="H438" s="103" t="s">
        <v>1325</v>
      </c>
      <c r="I438" s="104"/>
      <c r="J438" s="105"/>
    </row>
    <row r="439" customFormat="false" ht="15" hidden="false" customHeight="false" outlineLevel="0" collapsed="false">
      <c r="B439" s="90" t="n">
        <v>300</v>
      </c>
      <c r="C439" s="91" t="n">
        <v>2091010</v>
      </c>
      <c r="D439" s="92" t="n">
        <f aca="false">IF($C439="","",IFERROR(IF(INDEX('REGISTRE TUBES'!$C$7:$C$2506,MATCH($C439,'REGISTRE TUBES'!$B$7:$B$2506,0))="","",INDEX('REGISTRE TUBES'!$C$7:$C$2506,MATCH($C439,'REGISTRE TUBES'!$B$7:$B$2506,0))),"?"))</f>
        <v>15421109</v>
      </c>
      <c r="E439" s="92" t="str">
        <f aca="false">IF($C439="","",IFERROR(IF(INDEX('REGISTRE TUBES'!$D$7:$D$2506,MATCH($C439,'REGISTRE TUBES'!$B$7:$B$2506,0))="","",INDEX('REGISTRE TUBES'!$D$7:$D$2506,MATCH($C439,'REGISTRE TUBES'!$B$7:$B$2506,0))),"?"))</f>
        <v/>
      </c>
      <c r="F439" s="93" t="n">
        <f aca="false">IF($C439="","",IFERROR(IF(INDEX('REGISTRE TUBES'!$F$7:$F$2506,MATCH($C439,'REGISTRE TUBES'!$B$7:$B$2506,0))="","",INDEX('REGISTRE TUBES'!$F$7:$F$2506,MATCH($C439,'REGISTRE TUBES'!$B$7:$B$2506,0))),"?"))</f>
        <v>11.94</v>
      </c>
      <c r="G439" s="94" t="n">
        <f aca="false">IF($C439="","",N(G438)+N(F439))</f>
        <v>3558.15000000001</v>
      </c>
      <c r="H439" s="95" t="s">
        <v>1326</v>
      </c>
      <c r="I439" s="96"/>
      <c r="J439" s="97"/>
    </row>
    <row r="440" customFormat="false" ht="15" hidden="false" customHeight="false" outlineLevel="0" collapsed="false">
      <c r="B440" s="98" t="n">
        <v>301</v>
      </c>
      <c r="C440" s="99" t="n">
        <v>2094880</v>
      </c>
      <c r="D440" s="100" t="n">
        <f aca="false">IF($C440="","",IFERROR(IF(INDEX('REGISTRE TUBES'!$C$7:$C$2506,MATCH($C440,'REGISTRE TUBES'!$B$7:$B$2506,0))="","",INDEX('REGISTRE TUBES'!$C$7:$C$2506,MATCH($C440,'REGISTRE TUBES'!$B$7:$B$2506,0))),"?"))</f>
        <v>15421111</v>
      </c>
      <c r="E440" s="100" t="str">
        <f aca="false">IF($C440="","",IFERROR(IF(INDEX('REGISTRE TUBES'!$D$7:$D$2506,MATCH($C440,'REGISTRE TUBES'!$B$7:$B$2506,0))="","",INDEX('REGISTRE TUBES'!$D$7:$D$2506,MATCH($C440,'REGISTRE TUBES'!$B$7:$B$2506,0))),"?"))</f>
        <v/>
      </c>
      <c r="F440" s="101" t="n">
        <f aca="false">IF($C440="","",IFERROR(IF(INDEX('REGISTRE TUBES'!$F$7:$F$2506,MATCH($C440,'REGISTRE TUBES'!$B$7:$B$2506,0))="","",INDEX('REGISTRE TUBES'!$F$7:$F$2506,MATCH($C440,'REGISTRE TUBES'!$B$7:$B$2506,0))),"?"))</f>
        <v>11.94</v>
      </c>
      <c r="G440" s="102" t="n">
        <f aca="false">IF($C440="","",N(G439)+N(F440))</f>
        <v>3570.09000000001</v>
      </c>
      <c r="H440" s="103" t="s">
        <v>1327</v>
      </c>
      <c r="I440" s="104"/>
      <c r="J440" s="105"/>
    </row>
    <row r="441" customFormat="false" ht="15" hidden="false" customHeight="false" outlineLevel="0" collapsed="false">
      <c r="B441" s="90" t="n">
        <v>302</v>
      </c>
      <c r="C441" s="91" t="n">
        <v>2091660</v>
      </c>
      <c r="D441" s="92" t="n">
        <f aca="false">IF($C441="","",IFERROR(IF(INDEX('REGISTRE TUBES'!$C$7:$C$2506,MATCH($C441,'REGISTRE TUBES'!$B$7:$B$2506,0))="","",INDEX('REGISTRE TUBES'!$C$7:$C$2506,MATCH($C441,'REGISTRE TUBES'!$B$7:$B$2506,0))),"?"))</f>
        <v>15421112</v>
      </c>
      <c r="E441" s="92" t="str">
        <f aca="false">IF($C441="","",IFERROR(IF(INDEX('REGISTRE TUBES'!$D$7:$D$2506,MATCH($C441,'REGISTRE TUBES'!$B$7:$B$2506,0))="","",INDEX('REGISTRE TUBES'!$D$7:$D$2506,MATCH($C441,'REGISTRE TUBES'!$B$7:$B$2506,0))),"?"))</f>
        <v/>
      </c>
      <c r="F441" s="93" t="n">
        <f aca="false">IF($C441="","",IFERROR(IF(INDEX('REGISTRE TUBES'!$F$7:$F$2506,MATCH($C441,'REGISTRE TUBES'!$B$7:$B$2506,0))="","",INDEX('REGISTRE TUBES'!$F$7:$F$2506,MATCH($C441,'REGISTRE TUBES'!$B$7:$B$2506,0))),"?"))</f>
        <v>11.94</v>
      </c>
      <c r="G441" s="94" t="n">
        <f aca="false">IF($C441="","",N(G440)+N(F441))</f>
        <v>3582.03000000001</v>
      </c>
      <c r="H441" s="95" t="s">
        <v>1329</v>
      </c>
      <c r="I441" s="96"/>
      <c r="J441" s="97"/>
    </row>
    <row r="442" customFormat="false" ht="15" hidden="false" customHeight="false" outlineLevel="0" collapsed="false">
      <c r="B442" s="98" t="n">
        <v>303</v>
      </c>
      <c r="C442" s="99" t="n">
        <v>2086850</v>
      </c>
      <c r="D442" s="100" t="n">
        <f aca="false">IF($C442="","",IFERROR(IF(INDEX('REGISTRE TUBES'!$C$7:$C$2506,MATCH($C442,'REGISTRE TUBES'!$B$7:$B$2506,0))="","",INDEX('REGISTRE TUBES'!$C$7:$C$2506,MATCH($C442,'REGISTRE TUBES'!$B$7:$B$2506,0))),"?"))</f>
        <v>15421107</v>
      </c>
      <c r="E442" s="100" t="str">
        <f aca="false">IF($C442="","",IFERROR(IF(INDEX('REGISTRE TUBES'!$D$7:$D$2506,MATCH($C442,'REGISTRE TUBES'!$B$7:$B$2506,0))="","",INDEX('REGISTRE TUBES'!$D$7:$D$2506,MATCH($C442,'REGISTRE TUBES'!$B$7:$B$2506,0))),"?"))</f>
        <v/>
      </c>
      <c r="F442" s="101" t="n">
        <f aca="false">IF($C442="","",IFERROR(IF(INDEX('REGISTRE TUBES'!$F$7:$F$2506,MATCH($C442,'REGISTRE TUBES'!$B$7:$B$2506,0))="","",INDEX('REGISTRE TUBES'!$F$7:$F$2506,MATCH($C442,'REGISTRE TUBES'!$B$7:$B$2506,0))),"?"))</f>
        <v>11.94</v>
      </c>
      <c r="G442" s="102" t="n">
        <f aca="false">IF($C442="","",N(G441)+N(F442))</f>
        <v>3593.97000000001</v>
      </c>
      <c r="H442" s="103" t="s">
        <v>1330</v>
      </c>
      <c r="I442" s="104"/>
      <c r="J442" s="105"/>
    </row>
    <row r="443" customFormat="false" ht="15" hidden="false" customHeight="false" outlineLevel="0" collapsed="false">
      <c r="B443" s="90" t="n">
        <v>304</v>
      </c>
      <c r="C443" s="91" t="n">
        <v>2083630</v>
      </c>
      <c r="D443" s="92" t="n">
        <f aca="false">IF($C443="","",IFERROR(IF(INDEX('REGISTRE TUBES'!$C$7:$C$2506,MATCH($C443,'REGISTRE TUBES'!$B$7:$B$2506,0))="","",INDEX('REGISTRE TUBES'!$C$7:$C$2506,MATCH($C443,'REGISTRE TUBES'!$B$7:$B$2506,0))),"?"))</f>
        <v>15421110</v>
      </c>
      <c r="E443" s="92" t="str">
        <f aca="false">IF($C443="","",IFERROR(IF(INDEX('REGISTRE TUBES'!$D$7:$D$2506,MATCH($C443,'REGISTRE TUBES'!$B$7:$B$2506,0))="","",INDEX('REGISTRE TUBES'!$D$7:$D$2506,MATCH($C443,'REGISTRE TUBES'!$B$7:$B$2506,0))),"?"))</f>
        <v/>
      </c>
      <c r="F443" s="93" t="n">
        <f aca="false">IF($C443="","",IFERROR(IF(INDEX('REGISTRE TUBES'!$F$7:$F$2506,MATCH($C443,'REGISTRE TUBES'!$B$7:$B$2506,0))="","",INDEX('REGISTRE TUBES'!$F$7:$F$2506,MATCH($C443,'REGISTRE TUBES'!$B$7:$B$2506,0))),"?"))</f>
        <v>11.94</v>
      </c>
      <c r="G443" s="94" t="n">
        <f aca="false">IF($C443="","",N(G442)+N(F443))</f>
        <v>3605.91000000001</v>
      </c>
      <c r="H443" s="95" t="s">
        <v>1331</v>
      </c>
      <c r="I443" s="96"/>
      <c r="J443" s="97"/>
    </row>
    <row r="444" customFormat="false" ht="15" hidden="false" customHeight="true" outlineLevel="0" collapsed="false">
      <c r="B444" s="106" t="s">
        <v>3031</v>
      </c>
      <c r="C444" s="106"/>
      <c r="D444" s="106"/>
      <c r="E444" s="106"/>
      <c r="F444" s="107" t="n">
        <f aca="false">SUM(F425:F443)</f>
        <v>226.86</v>
      </c>
      <c r="G444" s="108" t="n">
        <f aca="false">IF(COUNT(G425:G443)=0,"",MAX(G425:G443))</f>
        <v>3605.91000000001</v>
      </c>
      <c r="H444" s="106" t="str">
        <f aca="false">COUNTA(C425:C443)&amp;" tube(s)"</f>
        <v>19 tube(s)</v>
      </c>
      <c r="I444" s="106"/>
      <c r="J444" s="106"/>
    </row>
    <row r="446" customFormat="false" ht="15" hidden="false" customHeight="false" outlineLevel="0" collapsed="false">
      <c r="B446" s="109" t="s">
        <v>3032</v>
      </c>
      <c r="F446" s="109" t="s">
        <v>3033</v>
      </c>
      <c r="I446" s="109" t="s">
        <v>3034</v>
      </c>
    </row>
    <row r="449" customFormat="false" ht="25.5" hidden="false" customHeight="true" outlineLevel="0" collapsed="false">
      <c r="B449" s="85" t="s">
        <v>3015</v>
      </c>
      <c r="C449" s="85"/>
      <c r="D449" s="85"/>
      <c r="E449" s="85"/>
      <c r="F449" s="85"/>
      <c r="G449" s="85"/>
      <c r="H449" s="85"/>
      <c r="I449" s="85"/>
      <c r="J449" s="85"/>
    </row>
    <row r="450" customFormat="false" ht="15" hidden="false" customHeight="false" outlineLevel="0" collapsed="false">
      <c r="B450" s="86" t="str">
        <f aca="false">PARAMÈTRES!$C$4&amp;"   •   Affaire N° "&amp;PARAMÈTRES!$C$5</f>
        <v>Développement des champs gaziers TFT II — réseau de collecte TFT Sud (LIGNE-16)   •   Affaire N° 8546</v>
      </c>
      <c r="C450" s="86"/>
      <c r="D450" s="86"/>
      <c r="E450" s="86"/>
      <c r="F450" s="86"/>
      <c r="G450" s="86"/>
      <c r="H450" s="86"/>
      <c r="I450" s="86"/>
      <c r="J450" s="86"/>
    </row>
    <row r="451" customFormat="false" ht="19.5" hidden="false" customHeight="true" outlineLevel="0" collapsed="false">
      <c r="B451" s="87" t="s">
        <v>3016</v>
      </c>
      <c r="C451" s="88" t="s">
        <v>110</v>
      </c>
      <c r="D451" s="88"/>
      <c r="E451" s="87" t="s">
        <v>3017</v>
      </c>
      <c r="F451" s="88" t="s">
        <v>3065</v>
      </c>
      <c r="G451" s="87" t="s">
        <v>3019</v>
      </c>
      <c r="H451" s="88" t="s">
        <v>3066</v>
      </c>
      <c r="I451" s="87" t="s">
        <v>3021</v>
      </c>
      <c r="J451" s="89"/>
    </row>
    <row r="452" customFormat="false" ht="27.75" hidden="false" customHeight="true" outlineLevel="0" collapsed="false">
      <c r="B452" s="71" t="s">
        <v>3022</v>
      </c>
      <c r="C452" s="71" t="s">
        <v>3023</v>
      </c>
      <c r="D452" s="71" t="s">
        <v>3024</v>
      </c>
      <c r="E452" s="71" t="s">
        <v>3025</v>
      </c>
      <c r="F452" s="71" t="s">
        <v>3026</v>
      </c>
      <c r="G452" s="71" t="s">
        <v>3027</v>
      </c>
      <c r="H452" s="71" t="s">
        <v>3028</v>
      </c>
      <c r="I452" s="71" t="s">
        <v>3029</v>
      </c>
      <c r="J452" s="71" t="s">
        <v>3030</v>
      </c>
    </row>
    <row r="453" customFormat="false" ht="15" hidden="false" customHeight="false" outlineLevel="0" collapsed="false">
      <c r="B453" s="90" t="n">
        <v>305</v>
      </c>
      <c r="C453" s="91" t="n">
        <v>2085460</v>
      </c>
      <c r="D453" s="92" t="n">
        <f aca="false">IF($C453="","",IFERROR(IF(INDEX('REGISTRE TUBES'!$C$7:$C$2506,MATCH($C453,'REGISTRE TUBES'!$B$7:$B$2506,0))="","",INDEX('REGISTRE TUBES'!$C$7:$C$2506,MATCH($C453,'REGISTRE TUBES'!$B$7:$B$2506,0))),"?"))</f>
        <v>15421107</v>
      </c>
      <c r="E453" s="92" t="str">
        <f aca="false">IF($C453="","",IFERROR(IF(INDEX('REGISTRE TUBES'!$D$7:$D$2506,MATCH($C453,'REGISTRE TUBES'!$B$7:$B$2506,0))="","",INDEX('REGISTRE TUBES'!$D$7:$D$2506,MATCH($C453,'REGISTRE TUBES'!$B$7:$B$2506,0))),"?"))</f>
        <v/>
      </c>
      <c r="F453" s="93" t="n">
        <f aca="false">IF($C453="","",IFERROR(IF(INDEX('REGISTRE TUBES'!$F$7:$F$2506,MATCH($C453,'REGISTRE TUBES'!$B$7:$B$2506,0))="","",INDEX('REGISTRE TUBES'!$F$7:$F$2506,MATCH($C453,'REGISTRE TUBES'!$B$7:$B$2506,0))),"?"))</f>
        <v>11.94</v>
      </c>
      <c r="G453" s="94" t="n">
        <f aca="false">IF($C453="","",N(G443)+N(F453))</f>
        <v>3617.85000000001</v>
      </c>
      <c r="H453" s="95" t="s">
        <v>1332</v>
      </c>
      <c r="I453" s="96"/>
      <c r="J453" s="97"/>
    </row>
    <row r="454" customFormat="false" ht="15" hidden="false" customHeight="false" outlineLevel="0" collapsed="false">
      <c r="B454" s="98" t="n">
        <v>306</v>
      </c>
      <c r="C454" s="99" t="n">
        <v>2078670</v>
      </c>
      <c r="D454" s="100" t="n">
        <f aca="false">IF($C454="","",IFERROR(IF(INDEX('REGISTRE TUBES'!$C$7:$C$2506,MATCH($C454,'REGISTRE TUBES'!$B$7:$B$2506,0))="","",INDEX('REGISTRE TUBES'!$C$7:$C$2506,MATCH($C454,'REGISTRE TUBES'!$B$7:$B$2506,0))),"?"))</f>
        <v>15421101</v>
      </c>
      <c r="E454" s="100" t="str">
        <f aca="false">IF($C454="","",IFERROR(IF(INDEX('REGISTRE TUBES'!$D$7:$D$2506,MATCH($C454,'REGISTRE TUBES'!$B$7:$B$2506,0))="","",INDEX('REGISTRE TUBES'!$D$7:$D$2506,MATCH($C454,'REGISTRE TUBES'!$B$7:$B$2506,0))),"?"))</f>
        <v/>
      </c>
      <c r="F454" s="101" t="n">
        <f aca="false">IF($C454="","",IFERROR(IF(INDEX('REGISTRE TUBES'!$F$7:$F$2506,MATCH($C454,'REGISTRE TUBES'!$B$7:$B$2506,0))="","",INDEX('REGISTRE TUBES'!$F$7:$F$2506,MATCH($C454,'REGISTRE TUBES'!$B$7:$B$2506,0))),"?"))</f>
        <v>11.94</v>
      </c>
      <c r="G454" s="102" t="n">
        <f aca="false">IF($C454="","",N(G453)+N(F454))</f>
        <v>3629.79000000001</v>
      </c>
      <c r="H454" s="103" t="s">
        <v>1337</v>
      </c>
      <c r="I454" s="104"/>
      <c r="J454" s="105"/>
    </row>
    <row r="455" customFormat="false" ht="15" hidden="false" customHeight="false" outlineLevel="0" collapsed="false">
      <c r="B455" s="90" t="n">
        <v>307</v>
      </c>
      <c r="C455" s="91" t="n">
        <v>2093560</v>
      </c>
      <c r="D455" s="92" t="n">
        <f aca="false">IF($C455="","",IFERROR(IF(INDEX('REGISTRE TUBES'!$C$7:$C$2506,MATCH($C455,'REGISTRE TUBES'!$B$7:$B$2506,0))="","",INDEX('REGISTRE TUBES'!$C$7:$C$2506,MATCH($C455,'REGISTRE TUBES'!$B$7:$B$2506,0))),"?"))</f>
        <v>15421110</v>
      </c>
      <c r="E455" s="92" t="str">
        <f aca="false">IF($C455="","",IFERROR(IF(INDEX('REGISTRE TUBES'!$D$7:$D$2506,MATCH($C455,'REGISTRE TUBES'!$B$7:$B$2506,0))="","",INDEX('REGISTRE TUBES'!$D$7:$D$2506,MATCH($C455,'REGISTRE TUBES'!$B$7:$B$2506,0))),"?"))</f>
        <v/>
      </c>
      <c r="F455" s="93" t="n">
        <f aca="false">IF($C455="","",IFERROR(IF(INDEX('REGISTRE TUBES'!$F$7:$F$2506,MATCH($C455,'REGISTRE TUBES'!$B$7:$B$2506,0))="","",INDEX('REGISTRE TUBES'!$F$7:$F$2506,MATCH($C455,'REGISTRE TUBES'!$B$7:$B$2506,0))),"?"))</f>
        <v>11.94</v>
      </c>
      <c r="G455" s="94" t="n">
        <f aca="false">IF($C455="","",N(G454)+N(F455))</f>
        <v>3641.73000000001</v>
      </c>
      <c r="H455" s="95" t="s">
        <v>1338</v>
      </c>
      <c r="I455" s="96"/>
      <c r="J455" s="97"/>
    </row>
    <row r="456" customFormat="false" ht="15" hidden="false" customHeight="false" outlineLevel="0" collapsed="false">
      <c r="B456" s="98" t="n">
        <v>308</v>
      </c>
      <c r="C456" s="99" t="n">
        <v>2088310</v>
      </c>
      <c r="D456" s="100" t="n">
        <f aca="false">IF($C456="","",IFERROR(IF(INDEX('REGISTRE TUBES'!$C$7:$C$2506,MATCH($C456,'REGISTRE TUBES'!$B$7:$B$2506,0))="","",INDEX('REGISTRE TUBES'!$C$7:$C$2506,MATCH($C456,'REGISTRE TUBES'!$B$7:$B$2506,0))),"?"))</f>
        <v>15421108</v>
      </c>
      <c r="E456" s="100" t="str">
        <f aca="false">IF($C456="","",IFERROR(IF(INDEX('REGISTRE TUBES'!$D$7:$D$2506,MATCH($C456,'REGISTRE TUBES'!$B$7:$B$2506,0))="","",INDEX('REGISTRE TUBES'!$D$7:$D$2506,MATCH($C456,'REGISTRE TUBES'!$B$7:$B$2506,0))),"?"))</f>
        <v/>
      </c>
      <c r="F456" s="101" t="n">
        <f aca="false">IF($C456="","",IFERROR(IF(INDEX('REGISTRE TUBES'!$F$7:$F$2506,MATCH($C456,'REGISTRE TUBES'!$B$7:$B$2506,0))="","",INDEX('REGISTRE TUBES'!$F$7:$F$2506,MATCH($C456,'REGISTRE TUBES'!$B$7:$B$2506,0))),"?"))</f>
        <v>11.94</v>
      </c>
      <c r="G456" s="102" t="n">
        <f aca="false">IF($C456="","",N(G455)+N(F456))</f>
        <v>3653.67000000001</v>
      </c>
      <c r="H456" s="103" t="s">
        <v>1341</v>
      </c>
      <c r="I456" s="104"/>
      <c r="J456" s="105"/>
    </row>
    <row r="457" customFormat="false" ht="15" hidden="false" customHeight="false" outlineLevel="0" collapsed="false">
      <c r="B457" s="90" t="n">
        <v>309</v>
      </c>
      <c r="C457" s="91" t="n">
        <v>2086170</v>
      </c>
      <c r="D457" s="92" t="n">
        <f aca="false">IF($C457="","",IFERROR(IF(INDEX('REGISTRE TUBES'!$C$7:$C$2506,MATCH($C457,'REGISTRE TUBES'!$B$7:$B$2506,0))="","",INDEX('REGISTRE TUBES'!$C$7:$C$2506,MATCH($C457,'REGISTRE TUBES'!$B$7:$B$2506,0))),"?"))</f>
        <v>15421107</v>
      </c>
      <c r="E457" s="92" t="str">
        <f aca="false">IF($C457="","",IFERROR(IF(INDEX('REGISTRE TUBES'!$D$7:$D$2506,MATCH($C457,'REGISTRE TUBES'!$B$7:$B$2506,0))="","",INDEX('REGISTRE TUBES'!$D$7:$D$2506,MATCH($C457,'REGISTRE TUBES'!$B$7:$B$2506,0))),"?"))</f>
        <v/>
      </c>
      <c r="F457" s="93" t="n">
        <f aca="false">IF($C457="","",IFERROR(IF(INDEX('REGISTRE TUBES'!$F$7:$F$2506,MATCH($C457,'REGISTRE TUBES'!$B$7:$B$2506,0))="","",INDEX('REGISTRE TUBES'!$F$7:$F$2506,MATCH($C457,'REGISTRE TUBES'!$B$7:$B$2506,0))),"?"))</f>
        <v>11.94</v>
      </c>
      <c r="G457" s="94" t="n">
        <f aca="false">IF($C457="","",N(G456)+N(F457))</f>
        <v>3665.61000000001</v>
      </c>
      <c r="H457" s="95" t="s">
        <v>1342</v>
      </c>
      <c r="I457" s="96"/>
      <c r="J457" s="97"/>
    </row>
    <row r="458" customFormat="false" ht="15" hidden="false" customHeight="false" outlineLevel="0" collapsed="false">
      <c r="B458" s="98" t="n">
        <v>310</v>
      </c>
      <c r="C458" s="99" t="n">
        <v>2096520</v>
      </c>
      <c r="D458" s="100" t="n">
        <f aca="false">IF($C458="","",IFERROR(IF(INDEX('REGISTRE TUBES'!$C$7:$C$2506,MATCH($C458,'REGISTRE TUBES'!$B$7:$B$2506,0))="","",INDEX('REGISTRE TUBES'!$C$7:$C$2506,MATCH($C458,'REGISTRE TUBES'!$B$7:$B$2506,0))),"?"))</f>
        <v>15421111</v>
      </c>
      <c r="E458" s="100" t="str">
        <f aca="false">IF($C458="","",IFERROR(IF(INDEX('REGISTRE TUBES'!$D$7:$D$2506,MATCH($C458,'REGISTRE TUBES'!$B$7:$B$2506,0))="","",INDEX('REGISTRE TUBES'!$D$7:$D$2506,MATCH($C458,'REGISTRE TUBES'!$B$7:$B$2506,0))),"?"))</f>
        <v/>
      </c>
      <c r="F458" s="101" t="n">
        <f aca="false">IF($C458="","",IFERROR(IF(INDEX('REGISTRE TUBES'!$F$7:$F$2506,MATCH($C458,'REGISTRE TUBES'!$B$7:$B$2506,0))="","",INDEX('REGISTRE TUBES'!$F$7:$F$2506,MATCH($C458,'REGISTRE TUBES'!$B$7:$B$2506,0))),"?"))</f>
        <v>11.94</v>
      </c>
      <c r="G458" s="102" t="n">
        <f aca="false">IF($C458="","",N(G457)+N(F458))</f>
        <v>3677.55000000001</v>
      </c>
      <c r="H458" s="103" t="s">
        <v>1344</v>
      </c>
      <c r="I458" s="104"/>
      <c r="J458" s="105"/>
    </row>
    <row r="459" customFormat="false" ht="15" hidden="false" customHeight="false" outlineLevel="0" collapsed="false">
      <c r="B459" s="90" t="n">
        <v>311</v>
      </c>
      <c r="C459" s="91" t="n">
        <v>2088660</v>
      </c>
      <c r="D459" s="92" t="n">
        <f aca="false">IF($C459="","",IFERROR(IF(INDEX('REGISTRE TUBES'!$C$7:$C$2506,MATCH($C459,'REGISTRE TUBES'!$B$7:$B$2506,0))="","",INDEX('REGISTRE TUBES'!$C$7:$C$2506,MATCH($C459,'REGISTRE TUBES'!$B$7:$B$2506,0))),"?"))</f>
        <v>15421108</v>
      </c>
      <c r="E459" s="92" t="str">
        <f aca="false">IF($C459="","",IFERROR(IF(INDEX('REGISTRE TUBES'!$D$7:$D$2506,MATCH($C459,'REGISTRE TUBES'!$B$7:$B$2506,0))="","",INDEX('REGISTRE TUBES'!$D$7:$D$2506,MATCH($C459,'REGISTRE TUBES'!$B$7:$B$2506,0))),"?"))</f>
        <v/>
      </c>
      <c r="F459" s="93" t="n">
        <f aca="false">IF($C459="","",IFERROR(IF(INDEX('REGISTRE TUBES'!$F$7:$F$2506,MATCH($C459,'REGISTRE TUBES'!$B$7:$B$2506,0))="","",INDEX('REGISTRE TUBES'!$F$7:$F$2506,MATCH($C459,'REGISTRE TUBES'!$B$7:$B$2506,0))),"?"))</f>
        <v>11.94</v>
      </c>
      <c r="G459" s="94" t="n">
        <f aca="false">IF($C459="","",N(G458)+N(F459))</f>
        <v>3689.49000000001</v>
      </c>
      <c r="H459" s="95" t="s">
        <v>1347</v>
      </c>
      <c r="I459" s="96"/>
      <c r="J459" s="97"/>
    </row>
    <row r="460" customFormat="false" ht="15" hidden="false" customHeight="false" outlineLevel="0" collapsed="false">
      <c r="B460" s="98" t="n">
        <v>312</v>
      </c>
      <c r="C460" s="99" t="n">
        <v>2098400</v>
      </c>
      <c r="D460" s="100" t="n">
        <f aca="false">IF($C460="","",IFERROR(IF(INDEX('REGISTRE TUBES'!$C$7:$C$2506,MATCH($C460,'REGISTRE TUBES'!$B$7:$B$2506,0))="","",INDEX('REGISTRE TUBES'!$C$7:$C$2506,MATCH($C460,'REGISTRE TUBES'!$B$7:$B$2506,0))),"?"))</f>
        <v>15421112</v>
      </c>
      <c r="E460" s="100" t="str">
        <f aca="false">IF($C460="","",IFERROR(IF(INDEX('REGISTRE TUBES'!$D$7:$D$2506,MATCH($C460,'REGISTRE TUBES'!$B$7:$B$2506,0))="","",INDEX('REGISTRE TUBES'!$D$7:$D$2506,MATCH($C460,'REGISTRE TUBES'!$B$7:$B$2506,0))),"?"))</f>
        <v/>
      </c>
      <c r="F460" s="101" t="n">
        <f aca="false">IF($C460="","",IFERROR(IF(INDEX('REGISTRE TUBES'!$F$7:$F$2506,MATCH($C460,'REGISTRE TUBES'!$B$7:$B$2506,0))="","",INDEX('REGISTRE TUBES'!$F$7:$F$2506,MATCH($C460,'REGISTRE TUBES'!$B$7:$B$2506,0))),"?"))</f>
        <v>11.94</v>
      </c>
      <c r="G460" s="102" t="n">
        <f aca="false">IF($C460="","",N(G459)+N(F460))</f>
        <v>3701.43000000001</v>
      </c>
      <c r="H460" s="103" t="s">
        <v>1348</v>
      </c>
      <c r="I460" s="104"/>
      <c r="J460" s="105"/>
    </row>
    <row r="461" customFormat="false" ht="15" hidden="false" customHeight="false" outlineLevel="0" collapsed="false">
      <c r="B461" s="90" t="n">
        <v>313</v>
      </c>
      <c r="C461" s="91" t="n">
        <v>2097040</v>
      </c>
      <c r="D461" s="92" t="n">
        <f aca="false">IF($C461="","",IFERROR(IF(INDEX('REGISTRE TUBES'!$C$7:$C$2506,MATCH($C461,'REGISTRE TUBES'!$B$7:$B$2506,0))="","",INDEX('REGISTRE TUBES'!$C$7:$C$2506,MATCH($C461,'REGISTRE TUBES'!$B$7:$B$2506,0))),"?"))</f>
        <v>15421111</v>
      </c>
      <c r="E461" s="92" t="str">
        <f aca="false">IF($C461="","",IFERROR(IF(INDEX('REGISTRE TUBES'!$D$7:$D$2506,MATCH($C461,'REGISTRE TUBES'!$B$7:$B$2506,0))="","",INDEX('REGISTRE TUBES'!$D$7:$D$2506,MATCH($C461,'REGISTRE TUBES'!$B$7:$B$2506,0))),"?"))</f>
        <v/>
      </c>
      <c r="F461" s="93" t="n">
        <f aca="false">IF($C461="","",IFERROR(IF(INDEX('REGISTRE TUBES'!$F$7:$F$2506,MATCH($C461,'REGISTRE TUBES'!$B$7:$B$2506,0))="","",INDEX('REGISTRE TUBES'!$F$7:$F$2506,MATCH($C461,'REGISTRE TUBES'!$B$7:$B$2506,0))),"?"))</f>
        <v>11.94</v>
      </c>
      <c r="G461" s="94" t="n">
        <f aca="false">IF($C461="","",N(G460)+N(F461))</f>
        <v>3713.37000000001</v>
      </c>
      <c r="H461" s="95" t="s">
        <v>1353</v>
      </c>
      <c r="I461" s="96"/>
      <c r="J461" s="97"/>
    </row>
    <row r="462" customFormat="false" ht="15" hidden="false" customHeight="false" outlineLevel="0" collapsed="false">
      <c r="B462" s="98" t="n">
        <v>314</v>
      </c>
      <c r="C462" s="99" t="n">
        <v>2082540</v>
      </c>
      <c r="D462" s="100" t="n">
        <f aca="false">IF($C462="","",IFERROR(IF(INDEX('REGISTRE TUBES'!$C$7:$C$2506,MATCH($C462,'REGISTRE TUBES'!$B$7:$B$2506,0))="","",INDEX('REGISTRE TUBES'!$C$7:$C$2506,MATCH($C462,'REGISTRE TUBES'!$B$7:$B$2506,0))),"?"))</f>
        <v>15421104</v>
      </c>
      <c r="E462" s="100" t="str">
        <f aca="false">IF($C462="","",IFERROR(IF(INDEX('REGISTRE TUBES'!$D$7:$D$2506,MATCH($C462,'REGISTRE TUBES'!$B$7:$B$2506,0))="","",INDEX('REGISTRE TUBES'!$D$7:$D$2506,MATCH($C462,'REGISTRE TUBES'!$B$7:$B$2506,0))),"?"))</f>
        <v/>
      </c>
      <c r="F462" s="101" t="n">
        <f aca="false">IF($C462="","",IFERROR(IF(INDEX('REGISTRE TUBES'!$F$7:$F$2506,MATCH($C462,'REGISTRE TUBES'!$B$7:$B$2506,0))="","",INDEX('REGISTRE TUBES'!$F$7:$F$2506,MATCH($C462,'REGISTRE TUBES'!$B$7:$B$2506,0))),"?"))</f>
        <v>11.94</v>
      </c>
      <c r="G462" s="102" t="n">
        <f aca="false">IF($C462="","",N(G461)+N(F462))</f>
        <v>3725.31000000001</v>
      </c>
      <c r="H462" s="103" t="s">
        <v>1355</v>
      </c>
      <c r="I462" s="104"/>
      <c r="J462" s="105"/>
    </row>
    <row r="463" customFormat="false" ht="15" hidden="false" customHeight="false" outlineLevel="0" collapsed="false">
      <c r="B463" s="90" t="n">
        <v>315</v>
      </c>
      <c r="C463" s="91" t="n">
        <v>2092190</v>
      </c>
      <c r="D463" s="92" t="n">
        <f aca="false">IF($C463="","",IFERROR(IF(INDEX('REGISTRE TUBES'!$C$7:$C$2506,MATCH($C463,'REGISTRE TUBES'!$B$7:$B$2506,0))="","",INDEX('REGISTRE TUBES'!$C$7:$C$2506,MATCH($C463,'REGISTRE TUBES'!$B$7:$B$2506,0))),"?"))</f>
        <v>15421110</v>
      </c>
      <c r="E463" s="92" t="str">
        <f aca="false">IF($C463="","",IFERROR(IF(INDEX('REGISTRE TUBES'!$D$7:$D$2506,MATCH($C463,'REGISTRE TUBES'!$B$7:$B$2506,0))="","",INDEX('REGISTRE TUBES'!$D$7:$D$2506,MATCH($C463,'REGISTRE TUBES'!$B$7:$B$2506,0))),"?"))</f>
        <v/>
      </c>
      <c r="F463" s="93" t="n">
        <f aca="false">IF($C463="","",IFERROR(IF(INDEX('REGISTRE TUBES'!$F$7:$F$2506,MATCH($C463,'REGISTRE TUBES'!$B$7:$B$2506,0))="","",INDEX('REGISTRE TUBES'!$F$7:$F$2506,MATCH($C463,'REGISTRE TUBES'!$B$7:$B$2506,0))),"?"))</f>
        <v>11.94</v>
      </c>
      <c r="G463" s="94" t="n">
        <f aca="false">IF($C463="","",N(G462)+N(F463))</f>
        <v>3737.25000000001</v>
      </c>
      <c r="H463" s="95" t="s">
        <v>1356</v>
      </c>
      <c r="I463" s="96"/>
      <c r="J463" s="97"/>
    </row>
    <row r="464" customFormat="false" ht="15" hidden="false" customHeight="false" outlineLevel="0" collapsed="false">
      <c r="B464" s="98" t="n">
        <v>316</v>
      </c>
      <c r="C464" s="99" t="n">
        <v>2080380</v>
      </c>
      <c r="D464" s="100" t="n">
        <f aca="false">IF($C464="","",IFERROR(IF(INDEX('REGISTRE TUBES'!$C$7:$C$2506,MATCH($C464,'REGISTRE TUBES'!$B$7:$B$2506,0))="","",INDEX('REGISTRE TUBES'!$C$7:$C$2506,MATCH($C464,'REGISTRE TUBES'!$B$7:$B$2506,0))),"?"))</f>
        <v>15421103</v>
      </c>
      <c r="E464" s="100" t="str">
        <f aca="false">IF($C464="","",IFERROR(IF(INDEX('REGISTRE TUBES'!$D$7:$D$2506,MATCH($C464,'REGISTRE TUBES'!$B$7:$B$2506,0))="","",INDEX('REGISTRE TUBES'!$D$7:$D$2506,MATCH($C464,'REGISTRE TUBES'!$B$7:$B$2506,0))),"?"))</f>
        <v/>
      </c>
      <c r="F464" s="101" t="n">
        <f aca="false">IF($C464="","",IFERROR(IF(INDEX('REGISTRE TUBES'!$F$7:$F$2506,MATCH($C464,'REGISTRE TUBES'!$B$7:$B$2506,0))="","",INDEX('REGISTRE TUBES'!$F$7:$F$2506,MATCH($C464,'REGISTRE TUBES'!$B$7:$B$2506,0))),"?"))</f>
        <v>11.94</v>
      </c>
      <c r="G464" s="102" t="n">
        <f aca="false">IF($C464="","",N(G463)+N(F464))</f>
        <v>3749.19000000001</v>
      </c>
      <c r="H464" s="103" t="s">
        <v>1357</v>
      </c>
      <c r="I464" s="104"/>
      <c r="J464" s="105"/>
    </row>
    <row r="465" customFormat="false" ht="15" hidden="false" customHeight="false" outlineLevel="0" collapsed="false">
      <c r="B465" s="90" t="n">
        <v>317</v>
      </c>
      <c r="C465" s="91" t="n">
        <v>2087480</v>
      </c>
      <c r="D465" s="92" t="n">
        <f aca="false">IF($C465="","",IFERROR(IF(INDEX('REGISTRE TUBES'!$C$7:$C$2506,MATCH($C465,'REGISTRE TUBES'!$B$7:$B$2506,0))="","",INDEX('REGISTRE TUBES'!$C$7:$C$2506,MATCH($C465,'REGISTRE TUBES'!$B$7:$B$2506,0))),"?"))</f>
        <v>15421107</v>
      </c>
      <c r="E465" s="92" t="str">
        <f aca="false">IF($C465="","",IFERROR(IF(INDEX('REGISTRE TUBES'!$D$7:$D$2506,MATCH($C465,'REGISTRE TUBES'!$B$7:$B$2506,0))="","",INDEX('REGISTRE TUBES'!$D$7:$D$2506,MATCH($C465,'REGISTRE TUBES'!$B$7:$B$2506,0))),"?"))</f>
        <v/>
      </c>
      <c r="F465" s="93" t="n">
        <f aca="false">IF($C465="","",IFERROR(IF(INDEX('REGISTRE TUBES'!$F$7:$F$2506,MATCH($C465,'REGISTRE TUBES'!$B$7:$B$2506,0))="","",INDEX('REGISTRE TUBES'!$F$7:$F$2506,MATCH($C465,'REGISTRE TUBES'!$B$7:$B$2506,0))),"?"))</f>
        <v>11.94</v>
      </c>
      <c r="G465" s="94" t="n">
        <f aca="false">IF($C465="","",N(G464)+N(F465))</f>
        <v>3761.13000000001</v>
      </c>
      <c r="H465" s="95" t="s">
        <v>1358</v>
      </c>
      <c r="I465" s="96"/>
      <c r="J465" s="97"/>
    </row>
    <row r="466" customFormat="false" ht="15" hidden="false" customHeight="false" outlineLevel="0" collapsed="false">
      <c r="B466" s="98" t="n">
        <v>318</v>
      </c>
      <c r="C466" s="99" t="n">
        <v>2080790</v>
      </c>
      <c r="D466" s="100" t="n">
        <f aca="false">IF($C466="","",IFERROR(IF(INDEX('REGISTRE TUBES'!$C$7:$C$2506,MATCH($C466,'REGISTRE TUBES'!$B$7:$B$2506,0))="","",INDEX('REGISTRE TUBES'!$C$7:$C$2506,MATCH($C466,'REGISTRE TUBES'!$B$7:$B$2506,0))),"?"))</f>
        <v>15421103</v>
      </c>
      <c r="E466" s="100" t="str">
        <f aca="false">IF($C466="","",IFERROR(IF(INDEX('REGISTRE TUBES'!$D$7:$D$2506,MATCH($C466,'REGISTRE TUBES'!$B$7:$B$2506,0))="","",INDEX('REGISTRE TUBES'!$D$7:$D$2506,MATCH($C466,'REGISTRE TUBES'!$B$7:$B$2506,0))),"?"))</f>
        <v/>
      </c>
      <c r="F466" s="101" t="n">
        <f aca="false">IF($C466="","",IFERROR(IF(INDEX('REGISTRE TUBES'!$F$7:$F$2506,MATCH($C466,'REGISTRE TUBES'!$B$7:$B$2506,0))="","",INDEX('REGISTRE TUBES'!$F$7:$F$2506,MATCH($C466,'REGISTRE TUBES'!$B$7:$B$2506,0))),"?"))</f>
        <v>11.94</v>
      </c>
      <c r="G466" s="102" t="n">
        <f aca="false">IF($C466="","",N(G465)+N(F466))</f>
        <v>3773.07000000001</v>
      </c>
      <c r="H466" s="103" t="s">
        <v>1360</v>
      </c>
      <c r="I466" s="104"/>
      <c r="J466" s="105"/>
    </row>
    <row r="467" customFormat="false" ht="15" hidden="false" customHeight="false" outlineLevel="0" collapsed="false">
      <c r="B467" s="90" t="n">
        <v>319</v>
      </c>
      <c r="C467" s="91" t="n">
        <v>2079180</v>
      </c>
      <c r="D467" s="92" t="n">
        <f aca="false">IF($C467="","",IFERROR(IF(INDEX('REGISTRE TUBES'!$C$7:$C$2506,MATCH($C467,'REGISTRE TUBES'!$B$7:$B$2506,0))="","",INDEX('REGISTRE TUBES'!$C$7:$C$2506,MATCH($C467,'REGISTRE TUBES'!$B$7:$B$2506,0))),"?"))</f>
        <v>15421102</v>
      </c>
      <c r="E467" s="92" t="str">
        <f aca="false">IF($C467="","",IFERROR(IF(INDEX('REGISTRE TUBES'!$D$7:$D$2506,MATCH($C467,'REGISTRE TUBES'!$B$7:$B$2506,0))="","",INDEX('REGISTRE TUBES'!$D$7:$D$2506,MATCH($C467,'REGISTRE TUBES'!$B$7:$B$2506,0))),"?"))</f>
        <v/>
      </c>
      <c r="F467" s="93" t="n">
        <f aca="false">IF($C467="","",IFERROR(IF(INDEX('REGISTRE TUBES'!$F$7:$F$2506,MATCH($C467,'REGISTRE TUBES'!$B$7:$B$2506,0))="","",INDEX('REGISTRE TUBES'!$F$7:$F$2506,MATCH($C467,'REGISTRE TUBES'!$B$7:$B$2506,0))),"?"))</f>
        <v>11.94</v>
      </c>
      <c r="G467" s="94" t="n">
        <f aca="false">IF($C467="","",N(G466)+N(F467))</f>
        <v>3785.01000000001</v>
      </c>
      <c r="H467" s="95" t="s">
        <v>1361</v>
      </c>
      <c r="I467" s="96"/>
      <c r="J467" s="97"/>
    </row>
    <row r="468" customFormat="false" ht="15" hidden="false" customHeight="false" outlineLevel="0" collapsed="false">
      <c r="B468" s="98" t="n">
        <v>320</v>
      </c>
      <c r="C468" s="99" t="n">
        <v>2082860</v>
      </c>
      <c r="D468" s="100" t="n">
        <f aca="false">IF($C468="","",IFERROR(IF(INDEX('REGISTRE TUBES'!$C$7:$C$2506,MATCH($C468,'REGISTRE TUBES'!$B$7:$B$2506,0))="","",INDEX('REGISTRE TUBES'!$C$7:$C$2506,MATCH($C468,'REGISTRE TUBES'!$B$7:$B$2506,0))),"?"))</f>
        <v>15421105</v>
      </c>
      <c r="E468" s="100" t="str">
        <f aca="false">IF($C468="","",IFERROR(IF(INDEX('REGISTRE TUBES'!$D$7:$D$2506,MATCH($C468,'REGISTRE TUBES'!$B$7:$B$2506,0))="","",INDEX('REGISTRE TUBES'!$D$7:$D$2506,MATCH($C468,'REGISTRE TUBES'!$B$7:$B$2506,0))),"?"))</f>
        <v/>
      </c>
      <c r="F468" s="101" t="n">
        <f aca="false">IF($C468="","",IFERROR(IF(INDEX('REGISTRE TUBES'!$F$7:$F$2506,MATCH($C468,'REGISTRE TUBES'!$B$7:$B$2506,0))="","",INDEX('REGISTRE TUBES'!$F$7:$F$2506,MATCH($C468,'REGISTRE TUBES'!$B$7:$B$2506,0))),"?"))</f>
        <v>11.94</v>
      </c>
      <c r="G468" s="102" t="n">
        <f aca="false">IF($C468="","",N(G467)+N(F468))</f>
        <v>3796.95000000002</v>
      </c>
      <c r="H468" s="103" t="s">
        <v>1362</v>
      </c>
      <c r="I468" s="104"/>
      <c r="J468" s="105"/>
    </row>
    <row r="469" customFormat="false" ht="15" hidden="false" customHeight="false" outlineLevel="0" collapsed="false">
      <c r="B469" s="90" t="n">
        <v>321</v>
      </c>
      <c r="C469" s="91" t="n">
        <v>2079430</v>
      </c>
      <c r="D469" s="92" t="n">
        <f aca="false">IF($C469="","",IFERROR(IF(INDEX('REGISTRE TUBES'!$C$7:$C$2506,MATCH($C469,'REGISTRE TUBES'!$B$7:$B$2506,0))="","",INDEX('REGISTRE TUBES'!$C$7:$C$2506,MATCH($C469,'REGISTRE TUBES'!$B$7:$B$2506,0))),"?"))</f>
        <v>15421102</v>
      </c>
      <c r="E469" s="92" t="str">
        <f aca="false">IF($C469="","",IFERROR(IF(INDEX('REGISTRE TUBES'!$D$7:$D$2506,MATCH($C469,'REGISTRE TUBES'!$B$7:$B$2506,0))="","",INDEX('REGISTRE TUBES'!$D$7:$D$2506,MATCH($C469,'REGISTRE TUBES'!$B$7:$B$2506,0))),"?"))</f>
        <v/>
      </c>
      <c r="F469" s="93" t="n">
        <f aca="false">IF($C469="","",IFERROR(IF(INDEX('REGISTRE TUBES'!$F$7:$F$2506,MATCH($C469,'REGISTRE TUBES'!$B$7:$B$2506,0))="","",INDEX('REGISTRE TUBES'!$F$7:$F$2506,MATCH($C469,'REGISTRE TUBES'!$B$7:$B$2506,0))),"?"))</f>
        <v>11.94</v>
      </c>
      <c r="G469" s="94" t="n">
        <f aca="false">IF($C469="","",N(G468)+N(F469))</f>
        <v>3808.89000000002</v>
      </c>
      <c r="H469" s="95" t="s">
        <v>1363</v>
      </c>
      <c r="I469" s="96"/>
      <c r="J469" s="97"/>
    </row>
    <row r="470" customFormat="false" ht="15" hidden="false" customHeight="false" outlineLevel="0" collapsed="false">
      <c r="B470" s="98" t="n">
        <v>322</v>
      </c>
      <c r="C470" s="99" t="n">
        <v>2097360</v>
      </c>
      <c r="D470" s="100" t="n">
        <f aca="false">IF($C470="","",IFERROR(IF(INDEX('REGISTRE TUBES'!$C$7:$C$2506,MATCH($C470,'REGISTRE TUBES'!$B$7:$B$2506,0))="","",INDEX('REGISTRE TUBES'!$C$7:$C$2506,MATCH($C470,'REGISTRE TUBES'!$B$7:$B$2506,0))),"?"))</f>
        <v>15421112</v>
      </c>
      <c r="E470" s="100" t="str">
        <f aca="false">IF($C470="","",IFERROR(IF(INDEX('REGISTRE TUBES'!$D$7:$D$2506,MATCH($C470,'REGISTRE TUBES'!$B$7:$B$2506,0))="","",INDEX('REGISTRE TUBES'!$D$7:$D$2506,MATCH($C470,'REGISTRE TUBES'!$B$7:$B$2506,0))),"?"))</f>
        <v/>
      </c>
      <c r="F470" s="101" t="n">
        <f aca="false">IF($C470="","",IFERROR(IF(INDEX('REGISTRE TUBES'!$F$7:$F$2506,MATCH($C470,'REGISTRE TUBES'!$B$7:$B$2506,0))="","",INDEX('REGISTRE TUBES'!$F$7:$F$2506,MATCH($C470,'REGISTRE TUBES'!$B$7:$B$2506,0))),"?"))</f>
        <v>11.94</v>
      </c>
      <c r="G470" s="102" t="n">
        <f aca="false">IF($C470="","",N(G469)+N(F470))</f>
        <v>3820.83000000002</v>
      </c>
      <c r="H470" s="103" t="s">
        <v>1364</v>
      </c>
      <c r="I470" s="104"/>
      <c r="J470" s="105"/>
    </row>
    <row r="471" customFormat="false" ht="15" hidden="false" customHeight="false" outlineLevel="0" collapsed="false">
      <c r="B471" s="90" t="n">
        <v>323</v>
      </c>
      <c r="C471" s="91" t="n">
        <v>2094350</v>
      </c>
      <c r="D471" s="92" t="n">
        <f aca="false">IF($C471="","",IFERROR(IF(INDEX('REGISTRE TUBES'!$C$7:$C$2506,MATCH($C471,'REGISTRE TUBES'!$B$7:$B$2506,0))="","",INDEX('REGISTRE TUBES'!$C$7:$C$2506,MATCH($C471,'REGISTRE TUBES'!$B$7:$B$2506,0))),"?"))</f>
        <v>15421110</v>
      </c>
      <c r="E471" s="92" t="str">
        <f aca="false">IF($C471="","",IFERROR(IF(INDEX('REGISTRE TUBES'!$D$7:$D$2506,MATCH($C471,'REGISTRE TUBES'!$B$7:$B$2506,0))="","",INDEX('REGISTRE TUBES'!$D$7:$D$2506,MATCH($C471,'REGISTRE TUBES'!$B$7:$B$2506,0))),"?"))</f>
        <v/>
      </c>
      <c r="F471" s="93" t="n">
        <f aca="false">IF($C471="","",IFERROR(IF(INDEX('REGISTRE TUBES'!$F$7:$F$2506,MATCH($C471,'REGISTRE TUBES'!$B$7:$B$2506,0))="","",INDEX('REGISTRE TUBES'!$F$7:$F$2506,MATCH($C471,'REGISTRE TUBES'!$B$7:$B$2506,0))),"?"))</f>
        <v>11.94</v>
      </c>
      <c r="G471" s="94" t="n">
        <f aca="false">IF($C471="","",N(G470)+N(F471))</f>
        <v>3832.77000000002</v>
      </c>
      <c r="H471" s="95" t="s">
        <v>1365</v>
      </c>
      <c r="I471" s="96"/>
      <c r="J471" s="97"/>
    </row>
    <row r="472" customFormat="false" ht="15" hidden="false" customHeight="true" outlineLevel="0" collapsed="false">
      <c r="B472" s="106" t="s">
        <v>3031</v>
      </c>
      <c r="C472" s="106"/>
      <c r="D472" s="106"/>
      <c r="E472" s="106"/>
      <c r="F472" s="107" t="n">
        <f aca="false">SUM(F453:F471)</f>
        <v>226.86</v>
      </c>
      <c r="G472" s="108" t="n">
        <f aca="false">IF(COUNT(G453:G471)=0,"",MAX(G453:G471))</f>
        <v>3832.77000000002</v>
      </c>
      <c r="H472" s="106" t="str">
        <f aca="false">COUNTA(C453:C471)&amp;" tube(s)"</f>
        <v>19 tube(s)</v>
      </c>
      <c r="I472" s="106"/>
      <c r="J472" s="106"/>
    </row>
    <row r="474" customFormat="false" ht="15" hidden="false" customHeight="false" outlineLevel="0" collapsed="false">
      <c r="B474" s="109" t="s">
        <v>3032</v>
      </c>
      <c r="F474" s="109" t="s">
        <v>3033</v>
      </c>
      <c r="I474" s="109" t="s">
        <v>3034</v>
      </c>
    </row>
    <row r="477" customFormat="false" ht="25.5" hidden="false" customHeight="true" outlineLevel="0" collapsed="false">
      <c r="B477" s="85" t="s">
        <v>3015</v>
      </c>
      <c r="C477" s="85"/>
      <c r="D477" s="85"/>
      <c r="E477" s="85"/>
      <c r="F477" s="85"/>
      <c r="G477" s="85"/>
      <c r="H477" s="85"/>
      <c r="I477" s="85"/>
      <c r="J477" s="85"/>
    </row>
    <row r="478" customFormat="false" ht="15" hidden="false" customHeight="false" outlineLevel="0" collapsed="false">
      <c r="B478" s="86" t="str">
        <f aca="false">PARAMÈTRES!$C$4&amp;"   •   Affaire N° "&amp;PARAMÈTRES!$C$5</f>
        <v>Développement des champs gaziers TFT II — réseau de collecte TFT Sud (LIGNE-16)   •   Affaire N° 8546</v>
      </c>
      <c r="C478" s="86"/>
      <c r="D478" s="86"/>
      <c r="E478" s="86"/>
      <c r="F478" s="86"/>
      <c r="G478" s="86"/>
      <c r="H478" s="86"/>
      <c r="I478" s="86"/>
      <c r="J478" s="86"/>
    </row>
    <row r="479" customFormat="false" ht="19.5" hidden="false" customHeight="true" outlineLevel="0" collapsed="false">
      <c r="B479" s="87" t="s">
        <v>3016</v>
      </c>
      <c r="C479" s="88" t="s">
        <v>110</v>
      </c>
      <c r="D479" s="88"/>
      <c r="E479" s="87" t="s">
        <v>3017</v>
      </c>
      <c r="F479" s="88" t="s">
        <v>3067</v>
      </c>
      <c r="G479" s="87" t="s">
        <v>3019</v>
      </c>
      <c r="H479" s="88" t="s">
        <v>3068</v>
      </c>
      <c r="I479" s="87" t="s">
        <v>3021</v>
      </c>
      <c r="J479" s="89"/>
    </row>
    <row r="480" customFormat="false" ht="27.75" hidden="false" customHeight="true" outlineLevel="0" collapsed="false">
      <c r="B480" s="71" t="s">
        <v>3022</v>
      </c>
      <c r="C480" s="71" t="s">
        <v>3023</v>
      </c>
      <c r="D480" s="71" t="s">
        <v>3024</v>
      </c>
      <c r="E480" s="71" t="s">
        <v>3025</v>
      </c>
      <c r="F480" s="71" t="s">
        <v>3026</v>
      </c>
      <c r="G480" s="71" t="s">
        <v>3027</v>
      </c>
      <c r="H480" s="71" t="s">
        <v>3028</v>
      </c>
      <c r="I480" s="71" t="s">
        <v>3029</v>
      </c>
      <c r="J480" s="71" t="s">
        <v>3030</v>
      </c>
    </row>
    <row r="481" customFormat="false" ht="15" hidden="false" customHeight="false" outlineLevel="0" collapsed="false">
      <c r="B481" s="90" t="n">
        <v>324</v>
      </c>
      <c r="C481" s="91" t="n">
        <v>2097300</v>
      </c>
      <c r="D481" s="92" t="n">
        <f aca="false">IF($C481="","",IFERROR(IF(INDEX('REGISTRE TUBES'!$C$7:$C$2506,MATCH($C481,'REGISTRE TUBES'!$B$7:$B$2506,0))="","",INDEX('REGISTRE TUBES'!$C$7:$C$2506,MATCH($C481,'REGISTRE TUBES'!$B$7:$B$2506,0))),"?"))</f>
        <v>15421111</v>
      </c>
      <c r="E481" s="92" t="str">
        <f aca="false">IF($C481="","",IFERROR(IF(INDEX('REGISTRE TUBES'!$D$7:$D$2506,MATCH($C481,'REGISTRE TUBES'!$B$7:$B$2506,0))="","",INDEX('REGISTRE TUBES'!$D$7:$D$2506,MATCH($C481,'REGISTRE TUBES'!$B$7:$B$2506,0))),"?"))</f>
        <v/>
      </c>
      <c r="F481" s="93" t="n">
        <f aca="false">IF($C481="","",IFERROR(IF(INDEX('REGISTRE TUBES'!$F$7:$F$2506,MATCH($C481,'REGISTRE TUBES'!$B$7:$B$2506,0))="","",INDEX('REGISTRE TUBES'!$F$7:$F$2506,MATCH($C481,'REGISTRE TUBES'!$B$7:$B$2506,0))),"?"))</f>
        <v>11.94</v>
      </c>
      <c r="G481" s="94" t="n">
        <f aca="false">IF($C481="","",N(G471)+N(F481))</f>
        <v>3844.71000000002</v>
      </c>
      <c r="H481" s="95" t="s">
        <v>1366</v>
      </c>
      <c r="I481" s="96"/>
      <c r="J481" s="97"/>
    </row>
    <row r="482" customFormat="false" ht="15" hidden="false" customHeight="false" outlineLevel="0" collapsed="false">
      <c r="B482" s="98" t="n">
        <v>325</v>
      </c>
      <c r="C482" s="99" t="n">
        <v>2079890</v>
      </c>
      <c r="D482" s="100" t="n">
        <f aca="false">IF($C482="","",IFERROR(IF(INDEX('REGISTRE TUBES'!$C$7:$C$2506,MATCH($C482,'REGISTRE TUBES'!$B$7:$B$2506,0))="","",INDEX('REGISTRE TUBES'!$C$7:$C$2506,MATCH($C482,'REGISTRE TUBES'!$B$7:$B$2506,0))),"?"))</f>
        <v>15421102</v>
      </c>
      <c r="E482" s="100" t="str">
        <f aca="false">IF($C482="","",IFERROR(IF(INDEX('REGISTRE TUBES'!$D$7:$D$2506,MATCH($C482,'REGISTRE TUBES'!$B$7:$B$2506,0))="","",INDEX('REGISTRE TUBES'!$D$7:$D$2506,MATCH($C482,'REGISTRE TUBES'!$B$7:$B$2506,0))),"?"))</f>
        <v/>
      </c>
      <c r="F482" s="101" t="n">
        <f aca="false">IF($C482="","",IFERROR(IF(INDEX('REGISTRE TUBES'!$F$7:$F$2506,MATCH($C482,'REGISTRE TUBES'!$B$7:$B$2506,0))="","",INDEX('REGISTRE TUBES'!$F$7:$F$2506,MATCH($C482,'REGISTRE TUBES'!$B$7:$B$2506,0))),"?"))</f>
        <v>11.94</v>
      </c>
      <c r="G482" s="102" t="n">
        <f aca="false">IF($C482="","",N(G481)+N(F482))</f>
        <v>3856.65000000002</v>
      </c>
      <c r="H482" s="103" t="s">
        <v>1369</v>
      </c>
      <c r="I482" s="104"/>
      <c r="J482" s="105"/>
    </row>
    <row r="483" customFormat="false" ht="15" hidden="false" customHeight="false" outlineLevel="0" collapsed="false">
      <c r="B483" s="90" t="n">
        <v>326</v>
      </c>
      <c r="C483" s="91" t="n">
        <v>2094700</v>
      </c>
      <c r="D483" s="92" t="n">
        <f aca="false">IF($C483="","",IFERROR(IF(INDEX('REGISTRE TUBES'!$C$7:$C$2506,MATCH($C483,'REGISTRE TUBES'!$B$7:$B$2506,0))="","",INDEX('REGISTRE TUBES'!$C$7:$C$2506,MATCH($C483,'REGISTRE TUBES'!$B$7:$B$2506,0))),"?"))</f>
        <v>15421111</v>
      </c>
      <c r="E483" s="92" t="str">
        <f aca="false">IF($C483="","",IFERROR(IF(INDEX('REGISTRE TUBES'!$D$7:$D$2506,MATCH($C483,'REGISTRE TUBES'!$B$7:$B$2506,0))="","",INDEX('REGISTRE TUBES'!$D$7:$D$2506,MATCH($C483,'REGISTRE TUBES'!$B$7:$B$2506,0))),"?"))</f>
        <v/>
      </c>
      <c r="F483" s="93" t="n">
        <f aca="false">IF($C483="","",IFERROR(IF(INDEX('REGISTRE TUBES'!$F$7:$F$2506,MATCH($C483,'REGISTRE TUBES'!$B$7:$B$2506,0))="","",INDEX('REGISTRE TUBES'!$F$7:$F$2506,MATCH($C483,'REGISTRE TUBES'!$B$7:$B$2506,0))),"?"))</f>
        <v>11.94</v>
      </c>
      <c r="G483" s="94" t="n">
        <f aca="false">IF($C483="","",N(G482)+N(F483))</f>
        <v>3868.59000000002</v>
      </c>
      <c r="H483" s="95" t="s">
        <v>1370</v>
      </c>
      <c r="I483" s="96"/>
      <c r="J483" s="97"/>
    </row>
    <row r="484" customFormat="false" ht="15" hidden="false" customHeight="false" outlineLevel="0" collapsed="false">
      <c r="B484" s="98" t="n">
        <v>327</v>
      </c>
      <c r="C484" s="99" t="n">
        <v>2082510</v>
      </c>
      <c r="D484" s="100" t="n">
        <f aca="false">IF($C484="","",IFERROR(IF(INDEX('REGISTRE TUBES'!$C$7:$C$2506,MATCH($C484,'REGISTRE TUBES'!$B$7:$B$2506,0))="","",INDEX('REGISTRE TUBES'!$C$7:$C$2506,MATCH($C484,'REGISTRE TUBES'!$B$7:$B$2506,0))),"?"))</f>
        <v>15421104</v>
      </c>
      <c r="E484" s="100" t="str">
        <f aca="false">IF($C484="","",IFERROR(IF(INDEX('REGISTRE TUBES'!$D$7:$D$2506,MATCH($C484,'REGISTRE TUBES'!$B$7:$B$2506,0))="","",INDEX('REGISTRE TUBES'!$D$7:$D$2506,MATCH($C484,'REGISTRE TUBES'!$B$7:$B$2506,0))),"?"))</f>
        <v/>
      </c>
      <c r="F484" s="101" t="n">
        <f aca="false">IF($C484="","",IFERROR(IF(INDEX('REGISTRE TUBES'!$F$7:$F$2506,MATCH($C484,'REGISTRE TUBES'!$B$7:$B$2506,0))="","",INDEX('REGISTRE TUBES'!$F$7:$F$2506,MATCH($C484,'REGISTRE TUBES'!$B$7:$B$2506,0))),"?"))</f>
        <v>11.94</v>
      </c>
      <c r="G484" s="102" t="n">
        <f aca="false">IF($C484="","",N(G483)+N(F484))</f>
        <v>3880.53000000002</v>
      </c>
      <c r="H484" s="103" t="s">
        <v>1372</v>
      </c>
      <c r="I484" s="104"/>
      <c r="J484" s="105"/>
    </row>
    <row r="485" customFormat="false" ht="15" hidden="false" customHeight="false" outlineLevel="0" collapsed="false">
      <c r="B485" s="90" t="n">
        <v>328</v>
      </c>
      <c r="C485" s="91" t="n">
        <v>2083020</v>
      </c>
      <c r="D485" s="92" t="n">
        <f aca="false">IF($C485="","",IFERROR(IF(INDEX('REGISTRE TUBES'!$C$7:$C$2506,MATCH($C485,'REGISTRE TUBES'!$B$7:$B$2506,0))="","",INDEX('REGISTRE TUBES'!$C$7:$C$2506,MATCH($C485,'REGISTRE TUBES'!$B$7:$B$2506,0))),"?"))</f>
        <v>15421105</v>
      </c>
      <c r="E485" s="92" t="str">
        <f aca="false">IF($C485="","",IFERROR(IF(INDEX('REGISTRE TUBES'!$D$7:$D$2506,MATCH($C485,'REGISTRE TUBES'!$B$7:$B$2506,0))="","",INDEX('REGISTRE TUBES'!$D$7:$D$2506,MATCH($C485,'REGISTRE TUBES'!$B$7:$B$2506,0))),"?"))</f>
        <v/>
      </c>
      <c r="F485" s="93" t="n">
        <f aca="false">IF($C485="","",IFERROR(IF(INDEX('REGISTRE TUBES'!$F$7:$F$2506,MATCH($C485,'REGISTRE TUBES'!$B$7:$B$2506,0))="","",INDEX('REGISTRE TUBES'!$F$7:$F$2506,MATCH($C485,'REGISTRE TUBES'!$B$7:$B$2506,0))),"?"))</f>
        <v>11.94</v>
      </c>
      <c r="G485" s="94" t="n">
        <f aca="false">IF($C485="","",N(G484)+N(F485))</f>
        <v>3892.47000000002</v>
      </c>
      <c r="H485" s="95" t="s">
        <v>1374</v>
      </c>
      <c r="I485" s="96"/>
      <c r="J485" s="97"/>
    </row>
    <row r="486" customFormat="false" ht="15" hidden="false" customHeight="false" outlineLevel="0" collapsed="false">
      <c r="B486" s="98" t="n">
        <v>329</v>
      </c>
      <c r="C486" s="99" t="n">
        <v>2090130</v>
      </c>
      <c r="D486" s="100" t="n">
        <f aca="false">IF($C486="","",IFERROR(IF(INDEX('REGISTRE TUBES'!$C$7:$C$2506,MATCH($C486,'REGISTRE TUBES'!$B$7:$B$2506,0))="","",INDEX('REGISTRE TUBES'!$C$7:$C$2506,MATCH($C486,'REGISTRE TUBES'!$B$7:$B$2506,0))),"?"))</f>
        <v>15421109</v>
      </c>
      <c r="E486" s="100" t="str">
        <f aca="false">IF($C486="","",IFERROR(IF(INDEX('REGISTRE TUBES'!$D$7:$D$2506,MATCH($C486,'REGISTRE TUBES'!$B$7:$B$2506,0))="","",INDEX('REGISTRE TUBES'!$D$7:$D$2506,MATCH($C486,'REGISTRE TUBES'!$B$7:$B$2506,0))),"?"))</f>
        <v/>
      </c>
      <c r="F486" s="101" t="n">
        <f aca="false">IF($C486="","",IFERROR(IF(INDEX('REGISTRE TUBES'!$F$7:$F$2506,MATCH($C486,'REGISTRE TUBES'!$B$7:$B$2506,0))="","",INDEX('REGISTRE TUBES'!$F$7:$F$2506,MATCH($C486,'REGISTRE TUBES'!$B$7:$B$2506,0))),"?"))</f>
        <v>11.94</v>
      </c>
      <c r="G486" s="102" t="n">
        <f aca="false">IF($C486="","",N(G485)+N(F486))</f>
        <v>3904.41000000002</v>
      </c>
      <c r="H486" s="103" t="s">
        <v>1375</v>
      </c>
      <c r="I486" s="104"/>
      <c r="J486" s="105"/>
    </row>
    <row r="487" customFormat="false" ht="15" hidden="false" customHeight="false" outlineLevel="0" collapsed="false">
      <c r="B487" s="90" t="n">
        <v>330</v>
      </c>
      <c r="C487" s="91" t="n">
        <v>2086480</v>
      </c>
      <c r="D487" s="92" t="n">
        <f aca="false">IF($C487="","",IFERROR(IF(INDEX('REGISTRE TUBES'!$C$7:$C$2506,MATCH($C487,'REGISTRE TUBES'!$B$7:$B$2506,0))="","",INDEX('REGISTRE TUBES'!$C$7:$C$2506,MATCH($C487,'REGISTRE TUBES'!$B$7:$B$2506,0))),"?"))</f>
        <v>15421107</v>
      </c>
      <c r="E487" s="92" t="str">
        <f aca="false">IF($C487="","",IFERROR(IF(INDEX('REGISTRE TUBES'!$D$7:$D$2506,MATCH($C487,'REGISTRE TUBES'!$B$7:$B$2506,0))="","",INDEX('REGISTRE TUBES'!$D$7:$D$2506,MATCH($C487,'REGISTRE TUBES'!$B$7:$B$2506,0))),"?"))</f>
        <v/>
      </c>
      <c r="F487" s="93" t="n">
        <f aca="false">IF($C487="","",IFERROR(IF(INDEX('REGISTRE TUBES'!$F$7:$F$2506,MATCH($C487,'REGISTRE TUBES'!$B$7:$B$2506,0))="","",INDEX('REGISTRE TUBES'!$F$7:$F$2506,MATCH($C487,'REGISTRE TUBES'!$B$7:$B$2506,0))),"?"))</f>
        <v>11.94</v>
      </c>
      <c r="G487" s="94" t="n">
        <f aca="false">IF($C487="","",N(G486)+N(F487))</f>
        <v>3916.35000000002</v>
      </c>
      <c r="H487" s="95" t="s">
        <v>1376</v>
      </c>
      <c r="I487" s="96"/>
      <c r="J487" s="97"/>
    </row>
    <row r="488" customFormat="false" ht="15" hidden="false" customHeight="false" outlineLevel="0" collapsed="false">
      <c r="B488" s="98" t="n">
        <v>331</v>
      </c>
      <c r="C488" s="99" t="n">
        <v>2098120</v>
      </c>
      <c r="D488" s="100" t="n">
        <f aca="false">IF($C488="","",IFERROR(IF(INDEX('REGISTRE TUBES'!$C$7:$C$2506,MATCH($C488,'REGISTRE TUBES'!$B$7:$B$2506,0))="","",INDEX('REGISTRE TUBES'!$C$7:$C$2506,MATCH($C488,'REGISTRE TUBES'!$B$7:$B$2506,0))),"?"))</f>
        <v>15421112</v>
      </c>
      <c r="E488" s="100" t="str">
        <f aca="false">IF($C488="","",IFERROR(IF(INDEX('REGISTRE TUBES'!$D$7:$D$2506,MATCH($C488,'REGISTRE TUBES'!$B$7:$B$2506,0))="","",INDEX('REGISTRE TUBES'!$D$7:$D$2506,MATCH($C488,'REGISTRE TUBES'!$B$7:$B$2506,0))),"?"))</f>
        <v/>
      </c>
      <c r="F488" s="101" t="n">
        <f aca="false">IF($C488="","",IFERROR(IF(INDEX('REGISTRE TUBES'!$F$7:$F$2506,MATCH($C488,'REGISTRE TUBES'!$B$7:$B$2506,0))="","",INDEX('REGISTRE TUBES'!$F$7:$F$2506,MATCH($C488,'REGISTRE TUBES'!$B$7:$B$2506,0))),"?"))</f>
        <v>11.94</v>
      </c>
      <c r="G488" s="102" t="n">
        <f aca="false">IF($C488="","",N(G487)+N(F488))</f>
        <v>3928.29000000002</v>
      </c>
      <c r="H488" s="103" t="s">
        <v>1377</v>
      </c>
      <c r="I488" s="104"/>
      <c r="J488" s="105"/>
    </row>
    <row r="489" customFormat="false" ht="15" hidden="false" customHeight="false" outlineLevel="0" collapsed="false">
      <c r="B489" s="90" t="n">
        <v>332</v>
      </c>
      <c r="C489" s="91" t="n">
        <v>2084560</v>
      </c>
      <c r="D489" s="92" t="n">
        <f aca="false">IF($C489="","",IFERROR(IF(INDEX('REGISTRE TUBES'!$C$7:$C$2506,MATCH($C489,'REGISTRE TUBES'!$B$7:$B$2506,0))="","",INDEX('REGISTRE TUBES'!$C$7:$C$2506,MATCH($C489,'REGISTRE TUBES'!$B$7:$B$2506,0))),"?"))</f>
        <v>15421106</v>
      </c>
      <c r="E489" s="92" t="str">
        <f aca="false">IF($C489="","",IFERROR(IF(INDEX('REGISTRE TUBES'!$D$7:$D$2506,MATCH($C489,'REGISTRE TUBES'!$B$7:$B$2506,0))="","",INDEX('REGISTRE TUBES'!$D$7:$D$2506,MATCH($C489,'REGISTRE TUBES'!$B$7:$B$2506,0))),"?"))</f>
        <v/>
      </c>
      <c r="F489" s="93" t="n">
        <f aca="false">IF($C489="","",IFERROR(IF(INDEX('REGISTRE TUBES'!$F$7:$F$2506,MATCH($C489,'REGISTRE TUBES'!$B$7:$B$2506,0))="","",INDEX('REGISTRE TUBES'!$F$7:$F$2506,MATCH($C489,'REGISTRE TUBES'!$B$7:$B$2506,0))),"?"))</f>
        <v>11.94</v>
      </c>
      <c r="G489" s="94" t="n">
        <f aca="false">IF($C489="","",N(G488)+N(F489))</f>
        <v>3940.23000000002</v>
      </c>
      <c r="H489" s="95" t="s">
        <v>1379</v>
      </c>
      <c r="I489" s="96"/>
      <c r="J489" s="97"/>
    </row>
    <row r="490" customFormat="false" ht="15" hidden="false" customHeight="false" outlineLevel="0" collapsed="false">
      <c r="B490" s="98" t="n">
        <v>333</v>
      </c>
      <c r="C490" s="99" t="n">
        <v>2097590</v>
      </c>
      <c r="D490" s="100" t="n">
        <f aca="false">IF($C490="","",IFERROR(IF(INDEX('REGISTRE TUBES'!$C$7:$C$2506,MATCH($C490,'REGISTRE TUBES'!$B$7:$B$2506,0))="","",INDEX('REGISTRE TUBES'!$C$7:$C$2506,MATCH($C490,'REGISTRE TUBES'!$B$7:$B$2506,0))),"?"))</f>
        <v>15421112</v>
      </c>
      <c r="E490" s="100" t="str">
        <f aca="false">IF($C490="","",IFERROR(IF(INDEX('REGISTRE TUBES'!$D$7:$D$2506,MATCH($C490,'REGISTRE TUBES'!$B$7:$B$2506,0))="","",INDEX('REGISTRE TUBES'!$D$7:$D$2506,MATCH($C490,'REGISTRE TUBES'!$B$7:$B$2506,0))),"?"))</f>
        <v/>
      </c>
      <c r="F490" s="101" t="n">
        <f aca="false">IF($C490="","",IFERROR(IF(INDEX('REGISTRE TUBES'!$F$7:$F$2506,MATCH($C490,'REGISTRE TUBES'!$B$7:$B$2506,0))="","",INDEX('REGISTRE TUBES'!$F$7:$F$2506,MATCH($C490,'REGISTRE TUBES'!$B$7:$B$2506,0))),"?"))</f>
        <v>11.94</v>
      </c>
      <c r="G490" s="102" t="n">
        <f aca="false">IF($C490="","",N(G489)+N(F490))</f>
        <v>3952.17000000002</v>
      </c>
      <c r="H490" s="103" t="s">
        <v>1381</v>
      </c>
      <c r="I490" s="104"/>
      <c r="J490" s="105"/>
    </row>
    <row r="491" customFormat="false" ht="15" hidden="false" customHeight="false" outlineLevel="0" collapsed="false">
      <c r="B491" s="90" t="n">
        <v>334</v>
      </c>
      <c r="C491" s="91" t="n">
        <v>2086280</v>
      </c>
      <c r="D491" s="92" t="n">
        <f aca="false">IF($C491="","",IFERROR(IF(INDEX('REGISTRE TUBES'!$C$7:$C$2506,MATCH($C491,'REGISTRE TUBES'!$B$7:$B$2506,0))="","",INDEX('REGISTRE TUBES'!$C$7:$C$2506,MATCH($C491,'REGISTRE TUBES'!$B$7:$B$2506,0))),"?"))</f>
        <v>15421107</v>
      </c>
      <c r="E491" s="92" t="str">
        <f aca="false">IF($C491="","",IFERROR(IF(INDEX('REGISTRE TUBES'!$D$7:$D$2506,MATCH($C491,'REGISTRE TUBES'!$B$7:$B$2506,0))="","",INDEX('REGISTRE TUBES'!$D$7:$D$2506,MATCH($C491,'REGISTRE TUBES'!$B$7:$B$2506,0))),"?"))</f>
        <v/>
      </c>
      <c r="F491" s="93" t="n">
        <f aca="false">IF($C491="","",IFERROR(IF(INDEX('REGISTRE TUBES'!$F$7:$F$2506,MATCH($C491,'REGISTRE TUBES'!$B$7:$B$2506,0))="","",INDEX('REGISTRE TUBES'!$F$7:$F$2506,MATCH($C491,'REGISTRE TUBES'!$B$7:$B$2506,0))),"?"))</f>
        <v>11.94</v>
      </c>
      <c r="G491" s="94" t="n">
        <f aca="false">IF($C491="","",N(G490)+N(F491))</f>
        <v>3964.11000000002</v>
      </c>
      <c r="H491" s="95" t="s">
        <v>1382</v>
      </c>
      <c r="I491" s="96"/>
      <c r="J491" s="97"/>
    </row>
    <row r="492" customFormat="false" ht="15" hidden="false" customHeight="false" outlineLevel="0" collapsed="false">
      <c r="B492" s="98" t="n">
        <v>335</v>
      </c>
      <c r="C492" s="99" t="n">
        <v>2098080</v>
      </c>
      <c r="D492" s="100" t="n">
        <f aca="false">IF($C492="","",IFERROR(IF(INDEX('REGISTRE TUBES'!$C$7:$C$2506,MATCH($C492,'REGISTRE TUBES'!$B$7:$B$2506,0))="","",INDEX('REGISTRE TUBES'!$C$7:$C$2506,MATCH($C492,'REGISTRE TUBES'!$B$7:$B$2506,0))),"?"))</f>
        <v>15421112</v>
      </c>
      <c r="E492" s="100" t="str">
        <f aca="false">IF($C492="","",IFERROR(IF(INDEX('REGISTRE TUBES'!$D$7:$D$2506,MATCH($C492,'REGISTRE TUBES'!$B$7:$B$2506,0))="","",INDEX('REGISTRE TUBES'!$D$7:$D$2506,MATCH($C492,'REGISTRE TUBES'!$B$7:$B$2506,0))),"?"))</f>
        <v/>
      </c>
      <c r="F492" s="101" t="n">
        <f aca="false">IF($C492="","",IFERROR(IF(INDEX('REGISTRE TUBES'!$F$7:$F$2506,MATCH($C492,'REGISTRE TUBES'!$B$7:$B$2506,0))="","",INDEX('REGISTRE TUBES'!$F$7:$F$2506,MATCH($C492,'REGISTRE TUBES'!$B$7:$B$2506,0))),"?"))</f>
        <v>11.94</v>
      </c>
      <c r="G492" s="102" t="n">
        <f aca="false">IF($C492="","",N(G491)+N(F492))</f>
        <v>3976.05000000002</v>
      </c>
      <c r="H492" s="103" t="s">
        <v>1383</v>
      </c>
      <c r="I492" s="104"/>
      <c r="J492" s="105"/>
    </row>
    <row r="493" customFormat="false" ht="15" hidden="false" customHeight="false" outlineLevel="0" collapsed="false">
      <c r="B493" s="90" t="n">
        <v>336</v>
      </c>
      <c r="C493" s="91" t="n">
        <v>2083890</v>
      </c>
      <c r="D493" s="92" t="n">
        <f aca="false">IF($C493="","",IFERROR(IF(INDEX('REGISTRE TUBES'!$C$7:$C$2506,MATCH($C493,'REGISTRE TUBES'!$B$7:$B$2506,0))="","",INDEX('REGISTRE TUBES'!$C$7:$C$2506,MATCH($C493,'REGISTRE TUBES'!$B$7:$B$2506,0))),"?"))</f>
        <v>15421106</v>
      </c>
      <c r="E493" s="92" t="str">
        <f aca="false">IF($C493="","",IFERROR(IF(INDEX('REGISTRE TUBES'!$D$7:$D$2506,MATCH($C493,'REGISTRE TUBES'!$B$7:$B$2506,0))="","",INDEX('REGISTRE TUBES'!$D$7:$D$2506,MATCH($C493,'REGISTRE TUBES'!$B$7:$B$2506,0))),"?"))</f>
        <v/>
      </c>
      <c r="F493" s="93" t="n">
        <f aca="false">IF($C493="","",IFERROR(IF(INDEX('REGISTRE TUBES'!$F$7:$F$2506,MATCH($C493,'REGISTRE TUBES'!$B$7:$B$2506,0))="","",INDEX('REGISTRE TUBES'!$F$7:$F$2506,MATCH($C493,'REGISTRE TUBES'!$B$7:$B$2506,0))),"?"))</f>
        <v>11.94</v>
      </c>
      <c r="G493" s="94" t="n">
        <f aca="false">IF($C493="","",N(G492)+N(F493))</f>
        <v>3987.99000000002</v>
      </c>
      <c r="H493" s="95" t="s">
        <v>1384</v>
      </c>
      <c r="I493" s="96"/>
      <c r="J493" s="97"/>
    </row>
    <row r="494" customFormat="false" ht="15" hidden="false" customHeight="false" outlineLevel="0" collapsed="false">
      <c r="B494" s="98" t="n">
        <v>337</v>
      </c>
      <c r="C494" s="99" t="n">
        <v>2092340</v>
      </c>
      <c r="D494" s="100" t="n">
        <f aca="false">IF($C494="","",IFERROR(IF(INDEX('REGISTRE TUBES'!$C$7:$C$2506,MATCH($C494,'REGISTRE TUBES'!$B$7:$B$2506,0))="","",INDEX('REGISTRE TUBES'!$C$7:$C$2506,MATCH($C494,'REGISTRE TUBES'!$B$7:$B$2506,0))),"?"))</f>
        <v>15421110</v>
      </c>
      <c r="E494" s="100" t="str">
        <f aca="false">IF($C494="","",IFERROR(IF(INDEX('REGISTRE TUBES'!$D$7:$D$2506,MATCH($C494,'REGISTRE TUBES'!$B$7:$B$2506,0))="","",INDEX('REGISTRE TUBES'!$D$7:$D$2506,MATCH($C494,'REGISTRE TUBES'!$B$7:$B$2506,0))),"?"))</f>
        <v/>
      </c>
      <c r="F494" s="101" t="n">
        <f aca="false">IF($C494="","",IFERROR(IF(INDEX('REGISTRE TUBES'!$F$7:$F$2506,MATCH($C494,'REGISTRE TUBES'!$B$7:$B$2506,0))="","",INDEX('REGISTRE TUBES'!$F$7:$F$2506,MATCH($C494,'REGISTRE TUBES'!$B$7:$B$2506,0))),"?"))</f>
        <v>11.94</v>
      </c>
      <c r="G494" s="102" t="n">
        <f aca="false">IF($C494="","",N(G493)+N(F494))</f>
        <v>3999.93000000002</v>
      </c>
      <c r="H494" s="103" t="s">
        <v>1134</v>
      </c>
      <c r="I494" s="104"/>
      <c r="J494" s="105"/>
    </row>
    <row r="495" customFormat="false" ht="15" hidden="false" customHeight="false" outlineLevel="0" collapsed="false">
      <c r="B495" s="90" t="n">
        <v>338</v>
      </c>
      <c r="C495" s="91" t="n">
        <v>2080080</v>
      </c>
      <c r="D495" s="92" t="n">
        <f aca="false">IF($C495="","",IFERROR(IF(INDEX('REGISTRE TUBES'!$C$7:$C$2506,MATCH($C495,'REGISTRE TUBES'!$B$7:$B$2506,0))="","",INDEX('REGISTRE TUBES'!$C$7:$C$2506,MATCH($C495,'REGISTRE TUBES'!$B$7:$B$2506,0))),"?"))</f>
        <v>15421102</v>
      </c>
      <c r="E495" s="92" t="str">
        <f aca="false">IF($C495="","",IFERROR(IF(INDEX('REGISTRE TUBES'!$D$7:$D$2506,MATCH($C495,'REGISTRE TUBES'!$B$7:$B$2506,0))="","",INDEX('REGISTRE TUBES'!$D$7:$D$2506,MATCH($C495,'REGISTRE TUBES'!$B$7:$B$2506,0))),"?"))</f>
        <v/>
      </c>
      <c r="F495" s="93" t="n">
        <f aca="false">IF($C495="","",IFERROR(IF(INDEX('REGISTRE TUBES'!$F$7:$F$2506,MATCH($C495,'REGISTRE TUBES'!$B$7:$B$2506,0))="","",INDEX('REGISTRE TUBES'!$F$7:$F$2506,MATCH($C495,'REGISTRE TUBES'!$B$7:$B$2506,0))),"?"))</f>
        <v>11.94</v>
      </c>
      <c r="G495" s="94" t="n">
        <f aca="false">IF($C495="","",N(G494)+N(F495))</f>
        <v>4011.87000000002</v>
      </c>
      <c r="H495" s="95" t="s">
        <v>1385</v>
      </c>
      <c r="I495" s="96"/>
      <c r="J495" s="97"/>
    </row>
    <row r="496" customFormat="false" ht="15" hidden="false" customHeight="false" outlineLevel="0" collapsed="false">
      <c r="B496" s="98" t="n">
        <v>339</v>
      </c>
      <c r="C496" s="99" t="n">
        <v>2086970</v>
      </c>
      <c r="D496" s="100" t="n">
        <f aca="false">IF($C496="","",IFERROR(IF(INDEX('REGISTRE TUBES'!$C$7:$C$2506,MATCH($C496,'REGISTRE TUBES'!$B$7:$B$2506,0))="","",INDEX('REGISTRE TUBES'!$C$7:$C$2506,MATCH($C496,'REGISTRE TUBES'!$B$7:$B$2506,0))),"?"))</f>
        <v>15421107</v>
      </c>
      <c r="E496" s="100" t="str">
        <f aca="false">IF($C496="","",IFERROR(IF(INDEX('REGISTRE TUBES'!$D$7:$D$2506,MATCH($C496,'REGISTRE TUBES'!$B$7:$B$2506,0))="","",INDEX('REGISTRE TUBES'!$D$7:$D$2506,MATCH($C496,'REGISTRE TUBES'!$B$7:$B$2506,0))),"?"))</f>
        <v/>
      </c>
      <c r="F496" s="101" t="n">
        <f aca="false">IF($C496="","",IFERROR(IF(INDEX('REGISTRE TUBES'!$F$7:$F$2506,MATCH($C496,'REGISTRE TUBES'!$B$7:$B$2506,0))="","",INDEX('REGISTRE TUBES'!$F$7:$F$2506,MATCH($C496,'REGISTRE TUBES'!$B$7:$B$2506,0))),"?"))</f>
        <v>11.94</v>
      </c>
      <c r="G496" s="102" t="n">
        <f aca="false">IF($C496="","",N(G495)+N(F496))</f>
        <v>4023.81000000002</v>
      </c>
      <c r="H496" s="103" t="s">
        <v>1386</v>
      </c>
      <c r="I496" s="104"/>
      <c r="J496" s="105"/>
    </row>
    <row r="497" customFormat="false" ht="15" hidden="false" customHeight="false" outlineLevel="0" collapsed="false">
      <c r="B497" s="90" t="n">
        <v>340</v>
      </c>
      <c r="C497" s="91" t="n">
        <v>2083070</v>
      </c>
      <c r="D497" s="92" t="n">
        <f aca="false">IF($C497="","",IFERROR(IF(INDEX('REGISTRE TUBES'!$C$7:$C$2506,MATCH($C497,'REGISTRE TUBES'!$B$7:$B$2506,0))="","",INDEX('REGISTRE TUBES'!$C$7:$C$2506,MATCH($C497,'REGISTRE TUBES'!$B$7:$B$2506,0))),"?"))</f>
        <v>15421105</v>
      </c>
      <c r="E497" s="92" t="str">
        <f aca="false">IF($C497="","",IFERROR(IF(INDEX('REGISTRE TUBES'!$D$7:$D$2506,MATCH($C497,'REGISTRE TUBES'!$B$7:$B$2506,0))="","",INDEX('REGISTRE TUBES'!$D$7:$D$2506,MATCH($C497,'REGISTRE TUBES'!$B$7:$B$2506,0))),"?"))</f>
        <v/>
      </c>
      <c r="F497" s="93" t="n">
        <f aca="false">IF($C497="","",IFERROR(IF(INDEX('REGISTRE TUBES'!$F$7:$F$2506,MATCH($C497,'REGISTRE TUBES'!$B$7:$B$2506,0))="","",INDEX('REGISTRE TUBES'!$F$7:$F$2506,MATCH($C497,'REGISTRE TUBES'!$B$7:$B$2506,0))),"?"))</f>
        <v>11.94</v>
      </c>
      <c r="G497" s="94" t="n">
        <f aca="false">IF($C497="","",N(G496)+N(F497))</f>
        <v>4035.75000000002</v>
      </c>
      <c r="H497" s="95" t="s">
        <v>1387</v>
      </c>
      <c r="I497" s="96"/>
      <c r="J497" s="97"/>
    </row>
    <row r="498" customFormat="false" ht="15" hidden="false" customHeight="false" outlineLevel="0" collapsed="false">
      <c r="B498" s="98" t="n">
        <v>341</v>
      </c>
      <c r="C498" s="99" t="n">
        <v>2085380</v>
      </c>
      <c r="D498" s="100" t="n">
        <f aca="false">IF($C498="","",IFERROR(IF(INDEX('REGISTRE TUBES'!$C$7:$C$2506,MATCH($C498,'REGISTRE TUBES'!$B$7:$B$2506,0))="","",INDEX('REGISTRE TUBES'!$C$7:$C$2506,MATCH($C498,'REGISTRE TUBES'!$B$7:$B$2506,0))),"?"))</f>
        <v>15421106</v>
      </c>
      <c r="E498" s="100" t="str">
        <f aca="false">IF($C498="","",IFERROR(IF(INDEX('REGISTRE TUBES'!$D$7:$D$2506,MATCH($C498,'REGISTRE TUBES'!$B$7:$B$2506,0))="","",INDEX('REGISTRE TUBES'!$D$7:$D$2506,MATCH($C498,'REGISTRE TUBES'!$B$7:$B$2506,0))),"?"))</f>
        <v/>
      </c>
      <c r="F498" s="101" t="n">
        <f aca="false">IF($C498="","",IFERROR(IF(INDEX('REGISTRE TUBES'!$F$7:$F$2506,MATCH($C498,'REGISTRE TUBES'!$B$7:$B$2506,0))="","",INDEX('REGISTRE TUBES'!$F$7:$F$2506,MATCH($C498,'REGISTRE TUBES'!$B$7:$B$2506,0))),"?"))</f>
        <v>11.94</v>
      </c>
      <c r="G498" s="102" t="n">
        <f aca="false">IF($C498="","",N(G497)+N(F498))</f>
        <v>4047.69000000002</v>
      </c>
      <c r="H498" s="103" t="s">
        <v>1388</v>
      </c>
      <c r="I498" s="104"/>
      <c r="J498" s="105"/>
    </row>
    <row r="499" customFormat="false" ht="15" hidden="false" customHeight="false" outlineLevel="0" collapsed="false">
      <c r="B499" s="90" t="n">
        <v>342</v>
      </c>
      <c r="C499" s="91" t="n">
        <v>2086210</v>
      </c>
      <c r="D499" s="92" t="n">
        <f aca="false">IF($C499="","",IFERROR(IF(INDEX('REGISTRE TUBES'!$C$7:$C$2506,MATCH($C499,'REGISTRE TUBES'!$B$7:$B$2506,0))="","",INDEX('REGISTRE TUBES'!$C$7:$C$2506,MATCH($C499,'REGISTRE TUBES'!$B$7:$B$2506,0))),"?"))</f>
        <v>15421107</v>
      </c>
      <c r="E499" s="92" t="str">
        <f aca="false">IF($C499="","",IFERROR(IF(INDEX('REGISTRE TUBES'!$D$7:$D$2506,MATCH($C499,'REGISTRE TUBES'!$B$7:$B$2506,0))="","",INDEX('REGISTRE TUBES'!$D$7:$D$2506,MATCH($C499,'REGISTRE TUBES'!$B$7:$B$2506,0))),"?"))</f>
        <v/>
      </c>
      <c r="F499" s="93" t="n">
        <f aca="false">IF($C499="","",IFERROR(IF(INDEX('REGISTRE TUBES'!$F$7:$F$2506,MATCH($C499,'REGISTRE TUBES'!$B$7:$B$2506,0))="","",INDEX('REGISTRE TUBES'!$F$7:$F$2506,MATCH($C499,'REGISTRE TUBES'!$B$7:$B$2506,0))),"?"))</f>
        <v>11.94</v>
      </c>
      <c r="G499" s="94" t="n">
        <f aca="false">IF($C499="","",N(G498)+N(F499))</f>
        <v>4059.63000000002</v>
      </c>
      <c r="H499" s="95" t="s">
        <v>1390</v>
      </c>
      <c r="I499" s="96"/>
      <c r="J499" s="97"/>
    </row>
    <row r="500" customFormat="false" ht="15" hidden="false" customHeight="true" outlineLevel="0" collapsed="false">
      <c r="B500" s="106" t="s">
        <v>3031</v>
      </c>
      <c r="C500" s="106"/>
      <c r="D500" s="106"/>
      <c r="E500" s="106"/>
      <c r="F500" s="107" t="n">
        <f aca="false">SUM(F481:F499)</f>
        <v>226.86</v>
      </c>
      <c r="G500" s="108" t="n">
        <f aca="false">IF(COUNT(G481:G499)=0,"",MAX(G481:G499))</f>
        <v>4059.63000000002</v>
      </c>
      <c r="H500" s="106" t="str">
        <f aca="false">COUNTA(C481:C499)&amp;" tube(s)"</f>
        <v>19 tube(s)</v>
      </c>
      <c r="I500" s="106"/>
      <c r="J500" s="106"/>
    </row>
    <row r="502" customFormat="false" ht="15" hidden="false" customHeight="false" outlineLevel="0" collapsed="false">
      <c r="B502" s="109" t="s">
        <v>3032</v>
      </c>
      <c r="F502" s="109" t="s">
        <v>3033</v>
      </c>
      <c r="I502" s="109" t="s">
        <v>3034</v>
      </c>
    </row>
    <row r="505" customFormat="false" ht="25.5" hidden="false" customHeight="true" outlineLevel="0" collapsed="false">
      <c r="B505" s="85" t="s">
        <v>3015</v>
      </c>
      <c r="C505" s="85"/>
      <c r="D505" s="85"/>
      <c r="E505" s="85"/>
      <c r="F505" s="85"/>
      <c r="G505" s="85"/>
      <c r="H505" s="85"/>
      <c r="I505" s="85"/>
      <c r="J505" s="85"/>
    </row>
    <row r="506" customFormat="false" ht="15" hidden="false" customHeight="false" outlineLevel="0" collapsed="false">
      <c r="B506" s="86" t="str">
        <f aca="false">PARAMÈTRES!$C$4&amp;"   •   Affaire N° "&amp;PARAMÈTRES!$C$5</f>
        <v>Développement des champs gaziers TFT II — réseau de collecte TFT Sud (LIGNE-16)   •   Affaire N° 8546</v>
      </c>
      <c r="C506" s="86"/>
      <c r="D506" s="86"/>
      <c r="E506" s="86"/>
      <c r="F506" s="86"/>
      <c r="G506" s="86"/>
      <c r="H506" s="86"/>
      <c r="I506" s="86"/>
      <c r="J506" s="86"/>
    </row>
    <row r="507" customFormat="false" ht="19.5" hidden="false" customHeight="true" outlineLevel="0" collapsed="false">
      <c r="B507" s="87" t="s">
        <v>3016</v>
      </c>
      <c r="C507" s="88" t="s">
        <v>110</v>
      </c>
      <c r="D507" s="88"/>
      <c r="E507" s="87" t="s">
        <v>3017</v>
      </c>
      <c r="F507" s="88" t="s">
        <v>3069</v>
      </c>
      <c r="G507" s="87" t="s">
        <v>3019</v>
      </c>
      <c r="H507" s="88" t="s">
        <v>3070</v>
      </c>
      <c r="I507" s="87" t="s">
        <v>3021</v>
      </c>
      <c r="J507" s="89"/>
    </row>
    <row r="508" customFormat="false" ht="27.75" hidden="false" customHeight="true" outlineLevel="0" collapsed="false">
      <c r="B508" s="71" t="s">
        <v>3022</v>
      </c>
      <c r="C508" s="71" t="s">
        <v>3023</v>
      </c>
      <c r="D508" s="71" t="s">
        <v>3024</v>
      </c>
      <c r="E508" s="71" t="s">
        <v>3025</v>
      </c>
      <c r="F508" s="71" t="s">
        <v>3026</v>
      </c>
      <c r="G508" s="71" t="s">
        <v>3027</v>
      </c>
      <c r="H508" s="71" t="s">
        <v>3028</v>
      </c>
      <c r="I508" s="71" t="s">
        <v>3029</v>
      </c>
      <c r="J508" s="71" t="s">
        <v>3030</v>
      </c>
    </row>
    <row r="509" customFormat="false" ht="15" hidden="false" customHeight="false" outlineLevel="0" collapsed="false">
      <c r="B509" s="90" t="n">
        <v>343</v>
      </c>
      <c r="C509" s="91" t="s">
        <v>1391</v>
      </c>
      <c r="D509" s="92" t="str">
        <f aca="false">IF($C509="","",IFERROR(IF(INDEX('REGISTRE TUBES'!$C$7:$C$2506,MATCH($C509,'REGISTRE TUBES'!$B$7:$B$2506,0))="","",INDEX('REGISTRE TUBES'!$C$7:$C$2506,MATCH($C509,'REGISTRE TUBES'!$B$7:$B$2506,0))),"?"))</f>
        <v/>
      </c>
      <c r="E509" s="92" t="str">
        <f aca="false">IF($C509="","",IFERROR(IF(INDEX('REGISTRE TUBES'!$D$7:$D$2506,MATCH($C509,'REGISTRE TUBES'!$B$7:$B$2506,0))="","",INDEX('REGISTRE TUBES'!$D$7:$D$2506,MATCH($C509,'REGISTRE TUBES'!$B$7:$B$2506,0))),"?"))</f>
        <v/>
      </c>
      <c r="F509" s="93" t="str">
        <f aca="false">IF($C509="","",IFERROR(IF(INDEX('REGISTRE TUBES'!$F$7:$F$2506,MATCH($C509,'REGISTRE TUBES'!$B$7:$B$2506,0))="","",INDEX('REGISTRE TUBES'!$F$7:$F$2506,MATCH($C509,'REGISTRE TUBES'!$B$7:$B$2506,0))),"?"))</f>
        <v/>
      </c>
      <c r="G509" s="94" t="n">
        <f aca="false">IF($C509="","",N(G499)+N(F509))</f>
        <v>4059.63000000002</v>
      </c>
      <c r="H509" s="95" t="s">
        <v>1392</v>
      </c>
      <c r="I509" s="96"/>
      <c r="J509" s="97"/>
    </row>
    <row r="510" customFormat="false" ht="15" hidden="false" customHeight="false" outlineLevel="0" collapsed="false">
      <c r="B510" s="98" t="n">
        <v>344</v>
      </c>
      <c r="C510" s="99" t="n">
        <v>2080290</v>
      </c>
      <c r="D510" s="100" t="n">
        <f aca="false">IF($C510="","",IFERROR(IF(INDEX('REGISTRE TUBES'!$C$7:$C$2506,MATCH($C510,'REGISTRE TUBES'!$B$7:$B$2506,0))="","",INDEX('REGISTRE TUBES'!$C$7:$C$2506,MATCH($C510,'REGISTRE TUBES'!$B$7:$B$2506,0))),"?"))</f>
        <v>15421102</v>
      </c>
      <c r="E510" s="100" t="str">
        <f aca="false">IF($C510="","",IFERROR(IF(INDEX('REGISTRE TUBES'!$D$7:$D$2506,MATCH($C510,'REGISTRE TUBES'!$B$7:$B$2506,0))="","",INDEX('REGISTRE TUBES'!$D$7:$D$2506,MATCH($C510,'REGISTRE TUBES'!$B$7:$B$2506,0))),"?"))</f>
        <v/>
      </c>
      <c r="F510" s="101" t="n">
        <f aca="false">IF($C510="","",IFERROR(IF(INDEX('REGISTRE TUBES'!$F$7:$F$2506,MATCH($C510,'REGISTRE TUBES'!$B$7:$B$2506,0))="","",INDEX('REGISTRE TUBES'!$F$7:$F$2506,MATCH($C510,'REGISTRE TUBES'!$B$7:$B$2506,0))),"?"))</f>
        <v>11.94</v>
      </c>
      <c r="G510" s="102" t="n">
        <f aca="false">IF($C510="","",N(G509)+N(F510))</f>
        <v>4071.57000000002</v>
      </c>
      <c r="H510" s="103" t="s">
        <v>1405</v>
      </c>
      <c r="I510" s="104"/>
      <c r="J510" s="105"/>
    </row>
    <row r="511" customFormat="false" ht="15" hidden="false" customHeight="false" outlineLevel="0" collapsed="false">
      <c r="B511" s="90" t="n">
        <v>345</v>
      </c>
      <c r="C511" s="91" t="n">
        <v>2079352</v>
      </c>
      <c r="D511" s="92" t="n">
        <f aca="false">IF($C511="","",IFERROR(IF(INDEX('REGISTRE TUBES'!$C$7:$C$2506,MATCH($C511,'REGISTRE TUBES'!$B$7:$B$2506,0))="","",INDEX('REGISTRE TUBES'!$C$7:$C$2506,MATCH($C511,'REGISTRE TUBES'!$B$7:$B$2506,0))),"?"))</f>
        <v>15421102</v>
      </c>
      <c r="E511" s="92" t="str">
        <f aca="false">IF($C511="","",IFERROR(IF(INDEX('REGISTRE TUBES'!$D$7:$D$2506,MATCH($C511,'REGISTRE TUBES'!$B$7:$B$2506,0))="","",INDEX('REGISTRE TUBES'!$D$7:$D$2506,MATCH($C511,'REGISTRE TUBES'!$B$7:$B$2506,0))),"?"))</f>
        <v/>
      </c>
      <c r="F511" s="93" t="n">
        <f aca="false">IF($C511="","",IFERROR(IF(INDEX('REGISTRE TUBES'!$F$7:$F$2506,MATCH($C511,'REGISTRE TUBES'!$B$7:$B$2506,0))="","",INDEX('REGISTRE TUBES'!$F$7:$F$2506,MATCH($C511,'REGISTRE TUBES'!$B$7:$B$2506,0))),"?"))</f>
        <v>11.94</v>
      </c>
      <c r="G511" s="94" t="n">
        <f aca="false">IF($C511="","",N(G510)+N(F511))</f>
        <v>4083.51000000002</v>
      </c>
      <c r="H511" s="95" t="s">
        <v>1406</v>
      </c>
      <c r="I511" s="96"/>
      <c r="J511" s="97"/>
    </row>
    <row r="512" customFormat="false" ht="15" hidden="false" customHeight="false" outlineLevel="0" collapsed="false">
      <c r="B512" s="98" t="n">
        <v>346</v>
      </c>
      <c r="C512" s="99" t="n">
        <v>2098630</v>
      </c>
      <c r="D512" s="100" t="n">
        <f aca="false">IF($C512="","",IFERROR(IF(INDEX('REGISTRE TUBES'!$C$7:$C$2506,MATCH($C512,'REGISTRE TUBES'!$B$7:$B$2506,0))="","",INDEX('REGISTRE TUBES'!$C$7:$C$2506,MATCH($C512,'REGISTRE TUBES'!$B$7:$B$2506,0))),"?"))</f>
        <v>15421112</v>
      </c>
      <c r="E512" s="100" t="str">
        <f aca="false">IF($C512="","",IFERROR(IF(INDEX('REGISTRE TUBES'!$D$7:$D$2506,MATCH($C512,'REGISTRE TUBES'!$B$7:$B$2506,0))="","",INDEX('REGISTRE TUBES'!$D$7:$D$2506,MATCH($C512,'REGISTRE TUBES'!$B$7:$B$2506,0))),"?"))</f>
        <v/>
      </c>
      <c r="F512" s="101" t="n">
        <f aca="false">IF($C512="","",IFERROR(IF(INDEX('REGISTRE TUBES'!$F$7:$F$2506,MATCH($C512,'REGISTRE TUBES'!$B$7:$B$2506,0))="","",INDEX('REGISTRE TUBES'!$F$7:$F$2506,MATCH($C512,'REGISTRE TUBES'!$B$7:$B$2506,0))),"?"))</f>
        <v>11.94</v>
      </c>
      <c r="G512" s="102" t="n">
        <f aca="false">IF($C512="","",N(G511)+N(F512))</f>
        <v>4095.45000000002</v>
      </c>
      <c r="H512" s="103" t="s">
        <v>1407</v>
      </c>
      <c r="I512" s="104"/>
      <c r="J512" s="105"/>
    </row>
    <row r="513" customFormat="false" ht="15" hidden="false" customHeight="false" outlineLevel="0" collapsed="false">
      <c r="B513" s="90" t="n">
        <v>347</v>
      </c>
      <c r="C513" s="91" t="n">
        <v>2087530</v>
      </c>
      <c r="D513" s="92" t="n">
        <f aca="false">IF($C513="","",IFERROR(IF(INDEX('REGISTRE TUBES'!$C$7:$C$2506,MATCH($C513,'REGISTRE TUBES'!$B$7:$B$2506,0))="","",INDEX('REGISTRE TUBES'!$C$7:$C$2506,MATCH($C513,'REGISTRE TUBES'!$B$7:$B$2506,0))),"?"))</f>
        <v>15421107</v>
      </c>
      <c r="E513" s="92" t="str">
        <f aca="false">IF($C513="","",IFERROR(IF(INDEX('REGISTRE TUBES'!$D$7:$D$2506,MATCH($C513,'REGISTRE TUBES'!$B$7:$B$2506,0))="","",INDEX('REGISTRE TUBES'!$D$7:$D$2506,MATCH($C513,'REGISTRE TUBES'!$B$7:$B$2506,0))),"?"))</f>
        <v/>
      </c>
      <c r="F513" s="93" t="n">
        <f aca="false">IF($C513="","",IFERROR(IF(INDEX('REGISTRE TUBES'!$F$7:$F$2506,MATCH($C513,'REGISTRE TUBES'!$B$7:$B$2506,0))="","",INDEX('REGISTRE TUBES'!$F$7:$F$2506,MATCH($C513,'REGISTRE TUBES'!$B$7:$B$2506,0))),"?"))</f>
        <v>11.94</v>
      </c>
      <c r="G513" s="94" t="n">
        <f aca="false">IF($C513="","",N(G512)+N(F513))</f>
        <v>4107.39000000002</v>
      </c>
      <c r="H513" s="95" t="s">
        <v>1408</v>
      </c>
      <c r="I513" s="96"/>
      <c r="J513" s="97"/>
    </row>
    <row r="514" customFormat="false" ht="15" hidden="false" customHeight="false" outlineLevel="0" collapsed="false">
      <c r="B514" s="98" t="n">
        <v>348</v>
      </c>
      <c r="C514" s="99" t="n">
        <v>2087080</v>
      </c>
      <c r="D514" s="100" t="n">
        <f aca="false">IF($C514="","",IFERROR(IF(INDEX('REGISTRE TUBES'!$C$7:$C$2506,MATCH($C514,'REGISTRE TUBES'!$B$7:$B$2506,0))="","",INDEX('REGISTRE TUBES'!$C$7:$C$2506,MATCH($C514,'REGISTRE TUBES'!$B$7:$B$2506,0))),"?"))</f>
        <v>15421105</v>
      </c>
      <c r="E514" s="100" t="str">
        <f aca="false">IF($C514="","",IFERROR(IF(INDEX('REGISTRE TUBES'!$D$7:$D$2506,MATCH($C514,'REGISTRE TUBES'!$B$7:$B$2506,0))="","",INDEX('REGISTRE TUBES'!$D$7:$D$2506,MATCH($C514,'REGISTRE TUBES'!$B$7:$B$2506,0))),"?"))</f>
        <v/>
      </c>
      <c r="F514" s="101" t="n">
        <f aca="false">IF($C514="","",IFERROR(IF(INDEX('REGISTRE TUBES'!$F$7:$F$2506,MATCH($C514,'REGISTRE TUBES'!$B$7:$B$2506,0))="","",INDEX('REGISTRE TUBES'!$F$7:$F$2506,MATCH($C514,'REGISTRE TUBES'!$B$7:$B$2506,0))),"?"))</f>
        <v>11.94</v>
      </c>
      <c r="G514" s="102" t="n">
        <f aca="false">IF($C514="","",N(G513)+N(F514))</f>
        <v>4119.33000000002</v>
      </c>
      <c r="H514" s="103" t="s">
        <v>1409</v>
      </c>
      <c r="I514" s="104"/>
      <c r="J514" s="105"/>
    </row>
    <row r="515" customFormat="false" ht="15" hidden="false" customHeight="false" outlineLevel="0" collapsed="false">
      <c r="B515" s="90" t="n">
        <v>349</v>
      </c>
      <c r="C515" s="91" t="n">
        <v>2083420</v>
      </c>
      <c r="D515" s="92" t="n">
        <f aca="false">IF($C515="","",IFERROR(IF(INDEX('REGISTRE TUBES'!$C$7:$C$2506,MATCH($C515,'REGISTRE TUBES'!$B$7:$B$2506,0))="","",INDEX('REGISTRE TUBES'!$C$7:$C$2506,MATCH($C515,'REGISTRE TUBES'!$B$7:$B$2506,0))),"?"))</f>
        <v>15421106</v>
      </c>
      <c r="E515" s="92" t="str">
        <f aca="false">IF($C515="","",IFERROR(IF(INDEX('REGISTRE TUBES'!$D$7:$D$2506,MATCH($C515,'REGISTRE TUBES'!$B$7:$B$2506,0))="","",INDEX('REGISTRE TUBES'!$D$7:$D$2506,MATCH($C515,'REGISTRE TUBES'!$B$7:$B$2506,0))),"?"))</f>
        <v/>
      </c>
      <c r="F515" s="93" t="n">
        <f aca="false">IF($C515="","",IFERROR(IF(INDEX('REGISTRE TUBES'!$F$7:$F$2506,MATCH($C515,'REGISTRE TUBES'!$B$7:$B$2506,0))="","",INDEX('REGISTRE TUBES'!$F$7:$F$2506,MATCH($C515,'REGISTRE TUBES'!$B$7:$B$2506,0))),"?"))</f>
        <v>11.94</v>
      </c>
      <c r="G515" s="94" t="n">
        <f aca="false">IF($C515="","",N(G514)+N(F515))</f>
        <v>4131.27000000002</v>
      </c>
      <c r="H515" s="95" t="s">
        <v>1410</v>
      </c>
      <c r="I515" s="96"/>
      <c r="J515" s="97"/>
    </row>
    <row r="516" customFormat="false" ht="15" hidden="false" customHeight="false" outlineLevel="0" collapsed="false">
      <c r="B516" s="98" t="n">
        <v>350</v>
      </c>
      <c r="C516" s="99" t="n">
        <v>2093610</v>
      </c>
      <c r="D516" s="100" t="n">
        <f aca="false">IF($C516="","",IFERROR(IF(INDEX('REGISTRE TUBES'!$C$7:$C$2506,MATCH($C516,'REGISTRE TUBES'!$B$7:$B$2506,0))="","",INDEX('REGISTRE TUBES'!$C$7:$C$2506,MATCH($C516,'REGISTRE TUBES'!$B$7:$B$2506,0))),"?"))</f>
        <v>15421110</v>
      </c>
      <c r="E516" s="100" t="str">
        <f aca="false">IF($C516="","",IFERROR(IF(INDEX('REGISTRE TUBES'!$D$7:$D$2506,MATCH($C516,'REGISTRE TUBES'!$B$7:$B$2506,0))="","",INDEX('REGISTRE TUBES'!$D$7:$D$2506,MATCH($C516,'REGISTRE TUBES'!$B$7:$B$2506,0))),"?"))</f>
        <v/>
      </c>
      <c r="F516" s="101" t="n">
        <f aca="false">IF($C516="","",IFERROR(IF(INDEX('REGISTRE TUBES'!$F$7:$F$2506,MATCH($C516,'REGISTRE TUBES'!$B$7:$B$2506,0))="","",INDEX('REGISTRE TUBES'!$F$7:$F$2506,MATCH($C516,'REGISTRE TUBES'!$B$7:$B$2506,0))),"?"))</f>
        <v>11.94</v>
      </c>
      <c r="G516" s="102" t="n">
        <f aca="false">IF($C516="","",N(G515)+N(F516))</f>
        <v>4143.21000000002</v>
      </c>
      <c r="H516" s="103" t="s">
        <v>1411</v>
      </c>
      <c r="I516" s="104"/>
      <c r="J516" s="105"/>
    </row>
    <row r="517" customFormat="false" ht="15" hidden="false" customHeight="false" outlineLevel="0" collapsed="false">
      <c r="B517" s="90" t="n">
        <v>351</v>
      </c>
      <c r="C517" s="91" t="n">
        <v>2086810</v>
      </c>
      <c r="D517" s="92" t="n">
        <f aca="false">IF($C517="","",IFERROR(IF(INDEX('REGISTRE TUBES'!$C$7:$C$2506,MATCH($C517,'REGISTRE TUBES'!$B$7:$B$2506,0))="","",INDEX('REGISTRE TUBES'!$C$7:$C$2506,MATCH($C517,'REGISTRE TUBES'!$B$7:$B$2506,0))),"?"))</f>
        <v>15421107</v>
      </c>
      <c r="E517" s="92" t="str">
        <f aca="false">IF($C517="","",IFERROR(IF(INDEX('REGISTRE TUBES'!$D$7:$D$2506,MATCH($C517,'REGISTRE TUBES'!$B$7:$B$2506,0))="","",INDEX('REGISTRE TUBES'!$D$7:$D$2506,MATCH($C517,'REGISTRE TUBES'!$B$7:$B$2506,0))),"?"))</f>
        <v/>
      </c>
      <c r="F517" s="93" t="n">
        <f aca="false">IF($C517="","",IFERROR(IF(INDEX('REGISTRE TUBES'!$F$7:$F$2506,MATCH($C517,'REGISTRE TUBES'!$B$7:$B$2506,0))="","",INDEX('REGISTRE TUBES'!$F$7:$F$2506,MATCH($C517,'REGISTRE TUBES'!$B$7:$B$2506,0))),"?"))</f>
        <v>11.94</v>
      </c>
      <c r="G517" s="94" t="n">
        <f aca="false">IF($C517="","",N(G516)+N(F517))</f>
        <v>4155.15000000001</v>
      </c>
      <c r="H517" s="95" t="s">
        <v>1413</v>
      </c>
      <c r="I517" s="96"/>
      <c r="J517" s="97"/>
    </row>
    <row r="518" customFormat="false" ht="15" hidden="false" customHeight="false" outlineLevel="0" collapsed="false">
      <c r="B518" s="98" t="n">
        <v>352</v>
      </c>
      <c r="C518" s="99" t="n">
        <v>2083550</v>
      </c>
      <c r="D518" s="100" t="n">
        <f aca="false">IF($C518="","",IFERROR(IF(INDEX('REGISTRE TUBES'!$C$7:$C$2506,MATCH($C518,'REGISTRE TUBES'!$B$7:$B$2506,0))="","",INDEX('REGISTRE TUBES'!$C$7:$C$2506,MATCH($C518,'REGISTRE TUBES'!$B$7:$B$2506,0))),"?"))</f>
        <v>15421105</v>
      </c>
      <c r="E518" s="100" t="str">
        <f aca="false">IF($C518="","",IFERROR(IF(INDEX('REGISTRE TUBES'!$D$7:$D$2506,MATCH($C518,'REGISTRE TUBES'!$B$7:$B$2506,0))="","",INDEX('REGISTRE TUBES'!$D$7:$D$2506,MATCH($C518,'REGISTRE TUBES'!$B$7:$B$2506,0))),"?"))</f>
        <v/>
      </c>
      <c r="F518" s="101" t="n">
        <f aca="false">IF($C518="","",IFERROR(IF(INDEX('REGISTRE TUBES'!$F$7:$F$2506,MATCH($C518,'REGISTRE TUBES'!$B$7:$B$2506,0))="","",INDEX('REGISTRE TUBES'!$F$7:$F$2506,MATCH($C518,'REGISTRE TUBES'!$B$7:$B$2506,0))),"?"))</f>
        <v>11.94</v>
      </c>
      <c r="G518" s="102" t="n">
        <f aca="false">IF($C518="","",N(G517)+N(F518))</f>
        <v>4167.09000000001</v>
      </c>
      <c r="H518" s="103" t="s">
        <v>1414</v>
      </c>
      <c r="I518" s="104"/>
      <c r="J518" s="105"/>
    </row>
    <row r="519" customFormat="false" ht="15" hidden="false" customHeight="false" outlineLevel="0" collapsed="false">
      <c r="B519" s="90" t="n">
        <v>353</v>
      </c>
      <c r="C519" s="91" t="n">
        <v>2081590</v>
      </c>
      <c r="D519" s="92" t="n">
        <f aca="false">IF($C519="","",IFERROR(IF(INDEX('REGISTRE TUBES'!$C$7:$C$2506,MATCH($C519,'REGISTRE TUBES'!$B$7:$B$2506,0))="","",INDEX('REGISTRE TUBES'!$C$7:$C$2506,MATCH($C519,'REGISTRE TUBES'!$B$7:$B$2506,0))),"?"))</f>
        <v>15421103</v>
      </c>
      <c r="E519" s="92" t="str">
        <f aca="false">IF($C519="","",IFERROR(IF(INDEX('REGISTRE TUBES'!$D$7:$D$2506,MATCH($C519,'REGISTRE TUBES'!$B$7:$B$2506,0))="","",INDEX('REGISTRE TUBES'!$D$7:$D$2506,MATCH($C519,'REGISTRE TUBES'!$B$7:$B$2506,0))),"?"))</f>
        <v/>
      </c>
      <c r="F519" s="93" t="n">
        <f aca="false">IF($C519="","",IFERROR(IF(INDEX('REGISTRE TUBES'!$F$7:$F$2506,MATCH($C519,'REGISTRE TUBES'!$B$7:$B$2506,0))="","",INDEX('REGISTRE TUBES'!$F$7:$F$2506,MATCH($C519,'REGISTRE TUBES'!$B$7:$B$2506,0))),"?"))</f>
        <v>11.94</v>
      </c>
      <c r="G519" s="94" t="n">
        <f aca="false">IF($C519="","",N(G518)+N(F519))</f>
        <v>4179.03000000001</v>
      </c>
      <c r="H519" s="95" t="s">
        <v>1415</v>
      </c>
      <c r="I519" s="96"/>
      <c r="J519" s="97"/>
    </row>
    <row r="520" customFormat="false" ht="15" hidden="false" customHeight="false" outlineLevel="0" collapsed="false">
      <c r="B520" s="98" t="n">
        <v>354</v>
      </c>
      <c r="C520" s="99" t="n">
        <v>2082080</v>
      </c>
      <c r="D520" s="100" t="n">
        <f aca="false">IF($C520="","",IFERROR(IF(INDEX('REGISTRE TUBES'!$C$7:$C$2506,MATCH($C520,'REGISTRE TUBES'!$B$7:$B$2506,0))="","",INDEX('REGISTRE TUBES'!$C$7:$C$2506,MATCH($C520,'REGISTRE TUBES'!$B$7:$B$2506,0))),"?"))</f>
        <v>15421104</v>
      </c>
      <c r="E520" s="100" t="str">
        <f aca="false">IF($C520="","",IFERROR(IF(INDEX('REGISTRE TUBES'!$D$7:$D$2506,MATCH($C520,'REGISTRE TUBES'!$B$7:$B$2506,0))="","",INDEX('REGISTRE TUBES'!$D$7:$D$2506,MATCH($C520,'REGISTRE TUBES'!$B$7:$B$2506,0))),"?"))</f>
        <v/>
      </c>
      <c r="F520" s="101" t="n">
        <f aca="false">IF($C520="","",IFERROR(IF(INDEX('REGISTRE TUBES'!$F$7:$F$2506,MATCH($C520,'REGISTRE TUBES'!$B$7:$B$2506,0))="","",INDEX('REGISTRE TUBES'!$F$7:$F$2506,MATCH($C520,'REGISTRE TUBES'!$B$7:$B$2506,0))),"?"))</f>
        <v>11.94</v>
      </c>
      <c r="G520" s="102" t="n">
        <f aca="false">IF($C520="","",N(G519)+N(F520))</f>
        <v>4190.97000000001</v>
      </c>
      <c r="H520" s="103" t="s">
        <v>1419</v>
      </c>
      <c r="I520" s="104"/>
      <c r="J520" s="105"/>
    </row>
    <row r="521" customFormat="false" ht="15" hidden="false" customHeight="false" outlineLevel="0" collapsed="false">
      <c r="B521" s="90" t="n">
        <v>355</v>
      </c>
      <c r="C521" s="91" t="n">
        <v>2081980</v>
      </c>
      <c r="D521" s="92" t="n">
        <f aca="false">IF($C521="","",IFERROR(IF(INDEX('REGISTRE TUBES'!$C$7:$C$2506,MATCH($C521,'REGISTRE TUBES'!$B$7:$B$2506,0))="","",INDEX('REGISTRE TUBES'!$C$7:$C$2506,MATCH($C521,'REGISTRE TUBES'!$B$7:$B$2506,0))),"?"))</f>
        <v>15421104</v>
      </c>
      <c r="E521" s="92" t="str">
        <f aca="false">IF($C521="","",IFERROR(IF(INDEX('REGISTRE TUBES'!$D$7:$D$2506,MATCH($C521,'REGISTRE TUBES'!$B$7:$B$2506,0))="","",INDEX('REGISTRE TUBES'!$D$7:$D$2506,MATCH($C521,'REGISTRE TUBES'!$B$7:$B$2506,0))),"?"))</f>
        <v/>
      </c>
      <c r="F521" s="93" t="n">
        <f aca="false">IF($C521="","",IFERROR(IF(INDEX('REGISTRE TUBES'!$F$7:$F$2506,MATCH($C521,'REGISTRE TUBES'!$B$7:$B$2506,0))="","",INDEX('REGISTRE TUBES'!$F$7:$F$2506,MATCH($C521,'REGISTRE TUBES'!$B$7:$B$2506,0))),"?"))</f>
        <v>11.94</v>
      </c>
      <c r="G521" s="94" t="n">
        <f aca="false">IF($C521="","",N(G520)+N(F521))</f>
        <v>4202.91000000001</v>
      </c>
      <c r="H521" s="95" t="s">
        <v>1420</v>
      </c>
      <c r="I521" s="96"/>
      <c r="J521" s="97"/>
    </row>
    <row r="522" customFormat="false" ht="15" hidden="false" customHeight="false" outlineLevel="0" collapsed="false">
      <c r="B522" s="98" t="n">
        <v>356</v>
      </c>
      <c r="C522" s="99" t="n">
        <v>2087130</v>
      </c>
      <c r="D522" s="100" t="n">
        <f aca="false">IF($C522="","",IFERROR(IF(INDEX('REGISTRE TUBES'!$C$7:$C$2506,MATCH($C522,'REGISTRE TUBES'!$B$7:$B$2506,0))="","",INDEX('REGISTRE TUBES'!$C$7:$C$2506,MATCH($C522,'REGISTRE TUBES'!$B$7:$B$2506,0))),"?"))</f>
        <v>15421107</v>
      </c>
      <c r="E522" s="100" t="str">
        <f aca="false">IF($C522="","",IFERROR(IF(INDEX('REGISTRE TUBES'!$D$7:$D$2506,MATCH($C522,'REGISTRE TUBES'!$B$7:$B$2506,0))="","",INDEX('REGISTRE TUBES'!$D$7:$D$2506,MATCH($C522,'REGISTRE TUBES'!$B$7:$B$2506,0))),"?"))</f>
        <v/>
      </c>
      <c r="F522" s="101" t="n">
        <f aca="false">IF($C522="","",IFERROR(IF(INDEX('REGISTRE TUBES'!$F$7:$F$2506,MATCH($C522,'REGISTRE TUBES'!$B$7:$B$2506,0))="","",INDEX('REGISTRE TUBES'!$F$7:$F$2506,MATCH($C522,'REGISTRE TUBES'!$B$7:$B$2506,0))),"?"))</f>
        <v>11.94</v>
      </c>
      <c r="G522" s="102" t="n">
        <f aca="false">IF($C522="","",N(G521)+N(F522))</f>
        <v>4214.85000000001</v>
      </c>
      <c r="H522" s="103" t="s">
        <v>1421</v>
      </c>
      <c r="I522" s="104"/>
      <c r="J522" s="105"/>
    </row>
    <row r="523" customFormat="false" ht="15" hidden="false" customHeight="false" outlineLevel="0" collapsed="false">
      <c r="B523" s="90" t="n">
        <v>357</v>
      </c>
      <c r="C523" s="91" t="n">
        <v>2087870</v>
      </c>
      <c r="D523" s="92" t="n">
        <f aca="false">IF($C523="","",IFERROR(IF(INDEX('REGISTRE TUBES'!$C$7:$C$2506,MATCH($C523,'REGISTRE TUBES'!$B$7:$B$2506,0))="","",INDEX('REGISTRE TUBES'!$C$7:$C$2506,MATCH($C523,'REGISTRE TUBES'!$B$7:$B$2506,0))),"?"))</f>
        <v>15421108</v>
      </c>
      <c r="E523" s="92" t="str">
        <f aca="false">IF($C523="","",IFERROR(IF(INDEX('REGISTRE TUBES'!$D$7:$D$2506,MATCH($C523,'REGISTRE TUBES'!$B$7:$B$2506,0))="","",INDEX('REGISTRE TUBES'!$D$7:$D$2506,MATCH($C523,'REGISTRE TUBES'!$B$7:$B$2506,0))),"?"))</f>
        <v/>
      </c>
      <c r="F523" s="93" t="n">
        <f aca="false">IF($C523="","",IFERROR(IF(INDEX('REGISTRE TUBES'!$F$7:$F$2506,MATCH($C523,'REGISTRE TUBES'!$B$7:$B$2506,0))="","",INDEX('REGISTRE TUBES'!$F$7:$F$2506,MATCH($C523,'REGISTRE TUBES'!$B$7:$B$2506,0))),"?"))</f>
        <v>11.94</v>
      </c>
      <c r="G523" s="94" t="n">
        <f aca="false">IF($C523="","",N(G522)+N(F523))</f>
        <v>4226.79000000001</v>
      </c>
      <c r="H523" s="95" t="s">
        <v>1422</v>
      </c>
      <c r="I523" s="96"/>
      <c r="J523" s="97"/>
    </row>
    <row r="524" customFormat="false" ht="15" hidden="false" customHeight="false" outlineLevel="0" collapsed="false">
      <c r="B524" s="98" t="n">
        <v>358</v>
      </c>
      <c r="C524" s="99" t="n">
        <v>2080480</v>
      </c>
      <c r="D524" s="100" t="n">
        <f aca="false">IF($C524="","",IFERROR(IF(INDEX('REGISTRE TUBES'!$C$7:$C$2506,MATCH($C524,'REGISTRE TUBES'!$B$7:$B$2506,0))="","",INDEX('REGISTRE TUBES'!$C$7:$C$2506,MATCH($C524,'REGISTRE TUBES'!$B$7:$B$2506,0))),"?"))</f>
        <v>15421102</v>
      </c>
      <c r="E524" s="100" t="str">
        <f aca="false">IF($C524="","",IFERROR(IF(INDEX('REGISTRE TUBES'!$D$7:$D$2506,MATCH($C524,'REGISTRE TUBES'!$B$7:$B$2506,0))="","",INDEX('REGISTRE TUBES'!$D$7:$D$2506,MATCH($C524,'REGISTRE TUBES'!$B$7:$B$2506,0))),"?"))</f>
        <v/>
      </c>
      <c r="F524" s="101" t="n">
        <f aca="false">IF($C524="","",IFERROR(IF(INDEX('REGISTRE TUBES'!$F$7:$F$2506,MATCH($C524,'REGISTRE TUBES'!$B$7:$B$2506,0))="","",INDEX('REGISTRE TUBES'!$F$7:$F$2506,MATCH($C524,'REGISTRE TUBES'!$B$7:$B$2506,0))),"?"))</f>
        <v>11.94</v>
      </c>
      <c r="G524" s="102" t="n">
        <f aca="false">IF($C524="","",N(G523)+N(F524))</f>
        <v>4238.73000000001</v>
      </c>
      <c r="H524" s="103" t="s">
        <v>1423</v>
      </c>
      <c r="I524" s="104"/>
      <c r="J524" s="105"/>
    </row>
    <row r="525" customFormat="false" ht="15" hidden="false" customHeight="false" outlineLevel="0" collapsed="false">
      <c r="B525" s="90" t="n">
        <v>359</v>
      </c>
      <c r="C525" s="91" t="n">
        <v>2083520</v>
      </c>
      <c r="D525" s="92" t="n">
        <f aca="false">IF($C525="","",IFERROR(IF(INDEX('REGISTRE TUBES'!$C$7:$C$2506,MATCH($C525,'REGISTRE TUBES'!$B$7:$B$2506,0))="","",INDEX('REGISTRE TUBES'!$C$7:$C$2506,MATCH($C525,'REGISTRE TUBES'!$B$7:$B$2506,0))),"?"))</f>
        <v>15421103</v>
      </c>
      <c r="E525" s="92" t="str">
        <f aca="false">IF($C525="","",IFERROR(IF(INDEX('REGISTRE TUBES'!$D$7:$D$2506,MATCH($C525,'REGISTRE TUBES'!$B$7:$B$2506,0))="","",INDEX('REGISTRE TUBES'!$D$7:$D$2506,MATCH($C525,'REGISTRE TUBES'!$B$7:$B$2506,0))),"?"))</f>
        <v/>
      </c>
      <c r="F525" s="93" t="n">
        <f aca="false">IF($C525="","",IFERROR(IF(INDEX('REGISTRE TUBES'!$F$7:$F$2506,MATCH($C525,'REGISTRE TUBES'!$B$7:$B$2506,0))="","",INDEX('REGISTRE TUBES'!$F$7:$F$2506,MATCH($C525,'REGISTRE TUBES'!$B$7:$B$2506,0))),"?"))</f>
        <v>11.94</v>
      </c>
      <c r="G525" s="94" t="n">
        <f aca="false">IF($C525="","",N(G524)+N(F525))</f>
        <v>4250.67000000001</v>
      </c>
      <c r="H525" s="95" t="s">
        <v>1424</v>
      </c>
      <c r="I525" s="96"/>
      <c r="J525" s="97"/>
    </row>
    <row r="526" customFormat="false" ht="15" hidden="false" customHeight="false" outlineLevel="0" collapsed="false">
      <c r="B526" s="98" t="n">
        <v>360</v>
      </c>
      <c r="C526" s="99" t="n">
        <v>2094780</v>
      </c>
      <c r="D526" s="100" t="n">
        <f aca="false">IF($C526="","",IFERROR(IF(INDEX('REGISTRE TUBES'!$C$7:$C$2506,MATCH($C526,'REGISTRE TUBES'!$B$7:$B$2506,0))="","",INDEX('REGISTRE TUBES'!$C$7:$C$2506,MATCH($C526,'REGISTRE TUBES'!$B$7:$B$2506,0))),"?"))</f>
        <v>15421111</v>
      </c>
      <c r="E526" s="100" t="str">
        <f aca="false">IF($C526="","",IFERROR(IF(INDEX('REGISTRE TUBES'!$D$7:$D$2506,MATCH($C526,'REGISTRE TUBES'!$B$7:$B$2506,0))="","",INDEX('REGISTRE TUBES'!$D$7:$D$2506,MATCH($C526,'REGISTRE TUBES'!$B$7:$B$2506,0))),"?"))</f>
        <v/>
      </c>
      <c r="F526" s="101" t="n">
        <f aca="false">IF($C526="","",IFERROR(IF(INDEX('REGISTRE TUBES'!$F$7:$F$2506,MATCH($C526,'REGISTRE TUBES'!$B$7:$B$2506,0))="","",INDEX('REGISTRE TUBES'!$F$7:$F$2506,MATCH($C526,'REGISTRE TUBES'!$B$7:$B$2506,0))),"?"))</f>
        <v>11.94</v>
      </c>
      <c r="G526" s="102" t="n">
        <f aca="false">IF($C526="","",N(G525)+N(F526))</f>
        <v>4262.61000000001</v>
      </c>
      <c r="H526" s="103" t="s">
        <v>1425</v>
      </c>
      <c r="I526" s="104"/>
      <c r="J526" s="105"/>
    </row>
    <row r="527" customFormat="false" ht="15" hidden="false" customHeight="false" outlineLevel="0" collapsed="false">
      <c r="B527" s="90" t="n">
        <v>361</v>
      </c>
      <c r="C527" s="91" t="n">
        <v>2086430</v>
      </c>
      <c r="D527" s="92" t="n">
        <f aca="false">IF($C527="","",IFERROR(IF(INDEX('REGISTRE TUBES'!$C$7:$C$2506,MATCH($C527,'REGISTRE TUBES'!$B$7:$B$2506,0))="","",INDEX('REGISTRE TUBES'!$C$7:$C$2506,MATCH($C527,'REGISTRE TUBES'!$B$7:$B$2506,0))),"?"))</f>
        <v>15421107</v>
      </c>
      <c r="E527" s="92" t="str">
        <f aca="false">IF($C527="","",IFERROR(IF(INDEX('REGISTRE TUBES'!$D$7:$D$2506,MATCH($C527,'REGISTRE TUBES'!$B$7:$B$2506,0))="","",INDEX('REGISTRE TUBES'!$D$7:$D$2506,MATCH($C527,'REGISTRE TUBES'!$B$7:$B$2506,0))),"?"))</f>
        <v/>
      </c>
      <c r="F527" s="93" t="n">
        <f aca="false">IF($C527="","",IFERROR(IF(INDEX('REGISTRE TUBES'!$F$7:$F$2506,MATCH($C527,'REGISTRE TUBES'!$B$7:$B$2506,0))="","",INDEX('REGISTRE TUBES'!$F$7:$F$2506,MATCH($C527,'REGISTRE TUBES'!$B$7:$B$2506,0))),"?"))</f>
        <v>11.94</v>
      </c>
      <c r="G527" s="94" t="n">
        <f aca="false">IF($C527="","",N(G526)+N(F527))</f>
        <v>4274.55000000001</v>
      </c>
      <c r="H527" s="95" t="s">
        <v>1426</v>
      </c>
      <c r="I527" s="96"/>
      <c r="J527" s="97"/>
    </row>
    <row r="528" customFormat="false" ht="15" hidden="false" customHeight="true" outlineLevel="0" collapsed="false">
      <c r="B528" s="106" t="s">
        <v>3031</v>
      </c>
      <c r="C528" s="106"/>
      <c r="D528" s="106"/>
      <c r="E528" s="106"/>
      <c r="F528" s="107" t="n">
        <f aca="false">SUM(F509:F527)</f>
        <v>214.92</v>
      </c>
      <c r="G528" s="108" t="n">
        <f aca="false">IF(COUNT(G509:G527)=0,"",MAX(G509:G527))</f>
        <v>4274.55000000001</v>
      </c>
      <c r="H528" s="106" t="str">
        <f aca="false">COUNTA(C509:C527)&amp;" tube(s)"</f>
        <v>19 tube(s)</v>
      </c>
      <c r="I528" s="106"/>
      <c r="J528" s="106"/>
    </row>
    <row r="530" customFormat="false" ht="15" hidden="false" customHeight="false" outlineLevel="0" collapsed="false">
      <c r="B530" s="109" t="s">
        <v>3032</v>
      </c>
      <c r="F530" s="109" t="s">
        <v>3033</v>
      </c>
      <c r="I530" s="109" t="s">
        <v>3034</v>
      </c>
    </row>
    <row r="533" customFormat="false" ht="25.5" hidden="false" customHeight="true" outlineLevel="0" collapsed="false">
      <c r="B533" s="85" t="s">
        <v>3015</v>
      </c>
      <c r="C533" s="85"/>
      <c r="D533" s="85"/>
      <c r="E533" s="85"/>
      <c r="F533" s="85"/>
      <c r="G533" s="85"/>
      <c r="H533" s="85"/>
      <c r="I533" s="85"/>
      <c r="J533" s="85"/>
    </row>
    <row r="534" customFormat="false" ht="15" hidden="false" customHeight="false" outlineLevel="0" collapsed="false">
      <c r="B534" s="86" t="str">
        <f aca="false">PARAMÈTRES!$C$4&amp;"   •   Affaire N° "&amp;PARAMÈTRES!$C$5</f>
        <v>Développement des champs gaziers TFT II — réseau de collecte TFT Sud (LIGNE-16)   •   Affaire N° 8546</v>
      </c>
      <c r="C534" s="86"/>
      <c r="D534" s="86"/>
      <c r="E534" s="86"/>
      <c r="F534" s="86"/>
      <c r="G534" s="86"/>
      <c r="H534" s="86"/>
      <c r="I534" s="86"/>
      <c r="J534" s="86"/>
    </row>
    <row r="535" customFormat="false" ht="19.5" hidden="false" customHeight="true" outlineLevel="0" collapsed="false">
      <c r="B535" s="87" t="s">
        <v>3016</v>
      </c>
      <c r="C535" s="88" t="s">
        <v>110</v>
      </c>
      <c r="D535" s="88"/>
      <c r="E535" s="87" t="s">
        <v>3017</v>
      </c>
      <c r="F535" s="88" t="s">
        <v>3071</v>
      </c>
      <c r="G535" s="87" t="s">
        <v>3019</v>
      </c>
      <c r="H535" s="88" t="s">
        <v>3072</v>
      </c>
      <c r="I535" s="87" t="s">
        <v>3021</v>
      </c>
      <c r="J535" s="89"/>
    </row>
    <row r="536" customFormat="false" ht="27.75" hidden="false" customHeight="true" outlineLevel="0" collapsed="false">
      <c r="B536" s="71" t="s">
        <v>3022</v>
      </c>
      <c r="C536" s="71" t="s">
        <v>3023</v>
      </c>
      <c r="D536" s="71" t="s">
        <v>3024</v>
      </c>
      <c r="E536" s="71" t="s">
        <v>3025</v>
      </c>
      <c r="F536" s="71" t="s">
        <v>3026</v>
      </c>
      <c r="G536" s="71" t="s">
        <v>3027</v>
      </c>
      <c r="H536" s="71" t="s">
        <v>3028</v>
      </c>
      <c r="I536" s="71" t="s">
        <v>3029</v>
      </c>
      <c r="J536" s="71" t="s">
        <v>3030</v>
      </c>
    </row>
    <row r="537" customFormat="false" ht="15" hidden="false" customHeight="false" outlineLevel="0" collapsed="false">
      <c r="B537" s="90" t="n">
        <v>362</v>
      </c>
      <c r="C537" s="91" t="n">
        <v>2096560</v>
      </c>
      <c r="D537" s="92" t="n">
        <f aca="false">IF($C537="","",IFERROR(IF(INDEX('REGISTRE TUBES'!$C$7:$C$2506,MATCH($C537,'REGISTRE TUBES'!$B$7:$B$2506,0))="","",INDEX('REGISTRE TUBES'!$C$7:$C$2506,MATCH($C537,'REGISTRE TUBES'!$B$7:$B$2506,0))),"?"))</f>
        <v>15421111</v>
      </c>
      <c r="E537" s="92" t="str">
        <f aca="false">IF($C537="","",IFERROR(IF(INDEX('REGISTRE TUBES'!$D$7:$D$2506,MATCH($C537,'REGISTRE TUBES'!$B$7:$B$2506,0))="","",INDEX('REGISTRE TUBES'!$D$7:$D$2506,MATCH($C537,'REGISTRE TUBES'!$B$7:$B$2506,0))),"?"))</f>
        <v/>
      </c>
      <c r="F537" s="93" t="n">
        <f aca="false">IF($C537="","",IFERROR(IF(INDEX('REGISTRE TUBES'!$F$7:$F$2506,MATCH($C537,'REGISTRE TUBES'!$B$7:$B$2506,0))="","",INDEX('REGISTRE TUBES'!$F$7:$F$2506,MATCH($C537,'REGISTRE TUBES'!$B$7:$B$2506,0))),"?"))</f>
        <v>11.94</v>
      </c>
      <c r="G537" s="94" t="n">
        <f aca="false">IF($C537="","",N(G527)+N(F537))</f>
        <v>4286.49000000001</v>
      </c>
      <c r="H537" s="95" t="s">
        <v>1428</v>
      </c>
      <c r="I537" s="96"/>
      <c r="J537" s="97"/>
    </row>
    <row r="538" customFormat="false" ht="15" hidden="false" customHeight="false" outlineLevel="0" collapsed="false">
      <c r="B538" s="98" t="n">
        <v>363</v>
      </c>
      <c r="C538" s="99" t="n">
        <v>2081670</v>
      </c>
      <c r="D538" s="100" t="n">
        <f aca="false">IF($C538="","",IFERROR(IF(INDEX('REGISTRE TUBES'!$C$7:$C$2506,MATCH($C538,'REGISTRE TUBES'!$B$7:$B$2506,0))="","",INDEX('REGISTRE TUBES'!$C$7:$C$2506,MATCH($C538,'REGISTRE TUBES'!$B$7:$B$2506,0))),"?"))</f>
        <v>15421103</v>
      </c>
      <c r="E538" s="100" t="str">
        <f aca="false">IF($C538="","",IFERROR(IF(INDEX('REGISTRE TUBES'!$D$7:$D$2506,MATCH($C538,'REGISTRE TUBES'!$B$7:$B$2506,0))="","",INDEX('REGISTRE TUBES'!$D$7:$D$2506,MATCH($C538,'REGISTRE TUBES'!$B$7:$B$2506,0))),"?"))</f>
        <v/>
      </c>
      <c r="F538" s="101" t="n">
        <f aca="false">IF($C538="","",IFERROR(IF(INDEX('REGISTRE TUBES'!$F$7:$F$2506,MATCH($C538,'REGISTRE TUBES'!$B$7:$B$2506,0))="","",INDEX('REGISTRE TUBES'!$F$7:$F$2506,MATCH($C538,'REGISTRE TUBES'!$B$7:$B$2506,0))),"?"))</f>
        <v>11.94</v>
      </c>
      <c r="G538" s="102" t="n">
        <f aca="false">IF($C538="","",N(G537)+N(F538))</f>
        <v>4298.43000000001</v>
      </c>
      <c r="H538" s="103" t="s">
        <v>1429</v>
      </c>
      <c r="I538" s="104"/>
      <c r="J538" s="105"/>
    </row>
    <row r="539" customFormat="false" ht="15" hidden="false" customHeight="false" outlineLevel="0" collapsed="false">
      <c r="B539" s="90" t="n">
        <v>364</v>
      </c>
      <c r="C539" s="91" t="n">
        <v>2088470</v>
      </c>
      <c r="D539" s="92" t="n">
        <f aca="false">IF($C539="","",IFERROR(IF(INDEX('REGISTRE TUBES'!$C$7:$C$2506,MATCH($C539,'REGISTRE TUBES'!$B$7:$B$2506,0))="","",INDEX('REGISTRE TUBES'!$C$7:$C$2506,MATCH($C539,'REGISTRE TUBES'!$B$7:$B$2506,0))),"?"))</f>
        <v>15421108</v>
      </c>
      <c r="E539" s="92" t="str">
        <f aca="false">IF($C539="","",IFERROR(IF(INDEX('REGISTRE TUBES'!$D$7:$D$2506,MATCH($C539,'REGISTRE TUBES'!$B$7:$B$2506,0))="","",INDEX('REGISTRE TUBES'!$D$7:$D$2506,MATCH($C539,'REGISTRE TUBES'!$B$7:$B$2506,0))),"?"))</f>
        <v/>
      </c>
      <c r="F539" s="93" t="n">
        <f aca="false">IF($C539="","",IFERROR(IF(INDEX('REGISTRE TUBES'!$F$7:$F$2506,MATCH($C539,'REGISTRE TUBES'!$B$7:$B$2506,0))="","",INDEX('REGISTRE TUBES'!$F$7:$F$2506,MATCH($C539,'REGISTRE TUBES'!$B$7:$B$2506,0))),"?"))</f>
        <v>11.94</v>
      </c>
      <c r="G539" s="94" t="n">
        <f aca="false">IF($C539="","",N(G538)+N(F539))</f>
        <v>4310.37000000001</v>
      </c>
      <c r="H539" s="95" t="s">
        <v>1430</v>
      </c>
      <c r="I539" s="96"/>
      <c r="J539" s="97"/>
    </row>
    <row r="540" customFormat="false" ht="15" hidden="false" customHeight="false" outlineLevel="0" collapsed="false">
      <c r="B540" s="98" t="n">
        <v>365</v>
      </c>
      <c r="C540" s="99" t="n">
        <v>2082630</v>
      </c>
      <c r="D540" s="100" t="n">
        <f aca="false">IF($C540="","",IFERROR(IF(INDEX('REGISTRE TUBES'!$C$7:$C$2506,MATCH($C540,'REGISTRE TUBES'!$B$7:$B$2506,0))="","",INDEX('REGISTRE TUBES'!$C$7:$C$2506,MATCH($C540,'REGISTRE TUBES'!$B$7:$B$2506,0))),"?"))</f>
        <v>15421104</v>
      </c>
      <c r="E540" s="100" t="str">
        <f aca="false">IF($C540="","",IFERROR(IF(INDEX('REGISTRE TUBES'!$D$7:$D$2506,MATCH($C540,'REGISTRE TUBES'!$B$7:$B$2506,0))="","",INDEX('REGISTRE TUBES'!$D$7:$D$2506,MATCH($C540,'REGISTRE TUBES'!$B$7:$B$2506,0))),"?"))</f>
        <v/>
      </c>
      <c r="F540" s="101" t="n">
        <f aca="false">IF($C540="","",IFERROR(IF(INDEX('REGISTRE TUBES'!$F$7:$F$2506,MATCH($C540,'REGISTRE TUBES'!$B$7:$B$2506,0))="","",INDEX('REGISTRE TUBES'!$F$7:$F$2506,MATCH($C540,'REGISTRE TUBES'!$B$7:$B$2506,0))),"?"))</f>
        <v>11.94</v>
      </c>
      <c r="G540" s="102" t="n">
        <f aca="false">IF($C540="","",N(G539)+N(F540))</f>
        <v>4322.31000000001</v>
      </c>
      <c r="H540" s="103" t="s">
        <v>1431</v>
      </c>
      <c r="I540" s="104"/>
      <c r="J540" s="105"/>
    </row>
    <row r="541" customFormat="false" ht="15" hidden="false" customHeight="false" outlineLevel="0" collapsed="false">
      <c r="B541" s="90" t="n">
        <v>366</v>
      </c>
      <c r="C541" s="91" t="n">
        <v>2087100</v>
      </c>
      <c r="D541" s="92" t="n">
        <f aca="false">IF($C541="","",IFERROR(IF(INDEX('REGISTRE TUBES'!$C$7:$C$2506,MATCH($C541,'REGISTRE TUBES'!$B$7:$B$2506,0))="","",INDEX('REGISTRE TUBES'!$C$7:$C$2506,MATCH($C541,'REGISTRE TUBES'!$B$7:$B$2506,0))),"?"))</f>
        <v>15421107</v>
      </c>
      <c r="E541" s="92" t="str">
        <f aca="false">IF($C541="","",IFERROR(IF(INDEX('REGISTRE TUBES'!$D$7:$D$2506,MATCH($C541,'REGISTRE TUBES'!$B$7:$B$2506,0))="","",INDEX('REGISTRE TUBES'!$D$7:$D$2506,MATCH($C541,'REGISTRE TUBES'!$B$7:$B$2506,0))),"?"))</f>
        <v/>
      </c>
      <c r="F541" s="93" t="n">
        <f aca="false">IF($C541="","",IFERROR(IF(INDEX('REGISTRE TUBES'!$F$7:$F$2506,MATCH($C541,'REGISTRE TUBES'!$B$7:$B$2506,0))="","",INDEX('REGISTRE TUBES'!$F$7:$F$2506,MATCH($C541,'REGISTRE TUBES'!$B$7:$B$2506,0))),"?"))</f>
        <v>11.94</v>
      </c>
      <c r="G541" s="94" t="n">
        <f aca="false">IF($C541="","",N(G540)+N(F541))</f>
        <v>4334.25000000001</v>
      </c>
      <c r="H541" s="95" t="s">
        <v>1432</v>
      </c>
      <c r="I541" s="96"/>
      <c r="J541" s="97"/>
    </row>
    <row r="542" customFormat="false" ht="15" hidden="false" customHeight="false" outlineLevel="0" collapsed="false">
      <c r="B542" s="98" t="n">
        <v>367</v>
      </c>
      <c r="C542" s="99" t="n">
        <v>2080070</v>
      </c>
      <c r="D542" s="100" t="n">
        <f aca="false">IF($C542="","",IFERROR(IF(INDEX('REGISTRE TUBES'!$C$7:$C$2506,MATCH($C542,'REGISTRE TUBES'!$B$7:$B$2506,0))="","",INDEX('REGISTRE TUBES'!$C$7:$C$2506,MATCH($C542,'REGISTRE TUBES'!$B$7:$B$2506,0))),"?"))</f>
        <v>15421102</v>
      </c>
      <c r="E542" s="100" t="str">
        <f aca="false">IF($C542="","",IFERROR(IF(INDEX('REGISTRE TUBES'!$D$7:$D$2506,MATCH($C542,'REGISTRE TUBES'!$B$7:$B$2506,0))="","",INDEX('REGISTRE TUBES'!$D$7:$D$2506,MATCH($C542,'REGISTRE TUBES'!$B$7:$B$2506,0))),"?"))</f>
        <v/>
      </c>
      <c r="F542" s="101" t="n">
        <f aca="false">IF($C542="","",IFERROR(IF(INDEX('REGISTRE TUBES'!$F$7:$F$2506,MATCH($C542,'REGISTRE TUBES'!$B$7:$B$2506,0))="","",INDEX('REGISTRE TUBES'!$F$7:$F$2506,MATCH($C542,'REGISTRE TUBES'!$B$7:$B$2506,0))),"?"))</f>
        <v>11.94</v>
      </c>
      <c r="G542" s="102" t="n">
        <f aca="false">IF($C542="","",N(G541)+N(F542))</f>
        <v>4346.19000000001</v>
      </c>
      <c r="H542" s="103" t="s">
        <v>1433</v>
      </c>
      <c r="I542" s="104"/>
      <c r="J542" s="105"/>
    </row>
    <row r="543" customFormat="false" ht="15" hidden="false" customHeight="false" outlineLevel="0" collapsed="false">
      <c r="B543" s="90" t="n">
        <v>368</v>
      </c>
      <c r="C543" s="91" t="n">
        <v>2092330</v>
      </c>
      <c r="D543" s="92" t="n">
        <f aca="false">IF($C543="","",IFERROR(IF(INDEX('REGISTRE TUBES'!$C$7:$C$2506,MATCH($C543,'REGISTRE TUBES'!$B$7:$B$2506,0))="","",INDEX('REGISTRE TUBES'!$C$7:$C$2506,MATCH($C543,'REGISTRE TUBES'!$B$7:$B$2506,0))),"?"))</f>
        <v>15421110</v>
      </c>
      <c r="E543" s="92" t="str">
        <f aca="false">IF($C543="","",IFERROR(IF(INDEX('REGISTRE TUBES'!$D$7:$D$2506,MATCH($C543,'REGISTRE TUBES'!$B$7:$B$2506,0))="","",INDEX('REGISTRE TUBES'!$D$7:$D$2506,MATCH($C543,'REGISTRE TUBES'!$B$7:$B$2506,0))),"?"))</f>
        <v/>
      </c>
      <c r="F543" s="93" t="n">
        <f aca="false">IF($C543="","",IFERROR(IF(INDEX('REGISTRE TUBES'!$F$7:$F$2506,MATCH($C543,'REGISTRE TUBES'!$B$7:$B$2506,0))="","",INDEX('REGISTRE TUBES'!$F$7:$F$2506,MATCH($C543,'REGISTRE TUBES'!$B$7:$B$2506,0))),"?"))</f>
        <v>11.94</v>
      </c>
      <c r="G543" s="94" t="n">
        <f aca="false">IF($C543="","",N(G542)+N(F543))</f>
        <v>4358.13000000001</v>
      </c>
      <c r="H543" s="95" t="s">
        <v>1435</v>
      </c>
      <c r="I543" s="96"/>
      <c r="J543" s="97"/>
    </row>
    <row r="544" customFormat="false" ht="15" hidden="false" customHeight="false" outlineLevel="0" collapsed="false">
      <c r="B544" s="98" t="n">
        <v>369</v>
      </c>
      <c r="C544" s="99" t="n">
        <v>2097560</v>
      </c>
      <c r="D544" s="100" t="n">
        <f aca="false">IF($C544="","",IFERROR(IF(INDEX('REGISTRE TUBES'!$C$7:$C$2506,MATCH($C544,'REGISTRE TUBES'!$B$7:$B$2506,0))="","",INDEX('REGISTRE TUBES'!$C$7:$C$2506,MATCH($C544,'REGISTRE TUBES'!$B$7:$B$2506,0))),"?"))</f>
        <v>15421112</v>
      </c>
      <c r="E544" s="100" t="str">
        <f aca="false">IF($C544="","",IFERROR(IF(INDEX('REGISTRE TUBES'!$D$7:$D$2506,MATCH($C544,'REGISTRE TUBES'!$B$7:$B$2506,0))="","",INDEX('REGISTRE TUBES'!$D$7:$D$2506,MATCH($C544,'REGISTRE TUBES'!$B$7:$B$2506,0))),"?"))</f>
        <v/>
      </c>
      <c r="F544" s="101" t="n">
        <f aca="false">IF($C544="","",IFERROR(IF(INDEX('REGISTRE TUBES'!$F$7:$F$2506,MATCH($C544,'REGISTRE TUBES'!$B$7:$B$2506,0))="","",INDEX('REGISTRE TUBES'!$F$7:$F$2506,MATCH($C544,'REGISTRE TUBES'!$B$7:$B$2506,0))),"?"))</f>
        <v>11.94</v>
      </c>
      <c r="G544" s="102" t="n">
        <f aca="false">IF($C544="","",N(G543)+N(F544))</f>
        <v>4370.07000000001</v>
      </c>
      <c r="H544" s="103" t="s">
        <v>1436</v>
      </c>
      <c r="I544" s="104"/>
      <c r="J544" s="105"/>
    </row>
    <row r="545" customFormat="false" ht="15" hidden="false" customHeight="false" outlineLevel="0" collapsed="false">
      <c r="B545" s="90" t="n">
        <v>370</v>
      </c>
      <c r="C545" s="91" t="n">
        <v>2083180</v>
      </c>
      <c r="D545" s="92" t="n">
        <f aca="false">IF($C545="","",IFERROR(IF(INDEX('REGISTRE TUBES'!$C$7:$C$2506,MATCH($C545,'REGISTRE TUBES'!$B$7:$B$2506,0))="","",INDEX('REGISTRE TUBES'!$C$7:$C$2506,MATCH($C545,'REGISTRE TUBES'!$B$7:$B$2506,0))),"?"))</f>
        <v>15421105</v>
      </c>
      <c r="E545" s="92" t="str">
        <f aca="false">IF($C545="","",IFERROR(IF(INDEX('REGISTRE TUBES'!$D$7:$D$2506,MATCH($C545,'REGISTRE TUBES'!$B$7:$B$2506,0))="","",INDEX('REGISTRE TUBES'!$D$7:$D$2506,MATCH($C545,'REGISTRE TUBES'!$B$7:$B$2506,0))),"?"))</f>
        <v/>
      </c>
      <c r="F545" s="93" t="n">
        <f aca="false">IF($C545="","",IFERROR(IF(INDEX('REGISTRE TUBES'!$F$7:$F$2506,MATCH($C545,'REGISTRE TUBES'!$B$7:$B$2506,0))="","",INDEX('REGISTRE TUBES'!$F$7:$F$2506,MATCH($C545,'REGISTRE TUBES'!$B$7:$B$2506,0))),"?"))</f>
        <v>11.94</v>
      </c>
      <c r="G545" s="94" t="n">
        <f aca="false">IF($C545="","",N(G544)+N(F545))</f>
        <v>4382.01000000001</v>
      </c>
      <c r="H545" s="95" t="s">
        <v>1437</v>
      </c>
      <c r="I545" s="96"/>
      <c r="J545" s="97"/>
    </row>
    <row r="546" customFormat="false" ht="15" hidden="false" customHeight="false" outlineLevel="0" collapsed="false">
      <c r="B546" s="98" t="n">
        <v>371</v>
      </c>
      <c r="C546" s="99" t="n">
        <v>2087460</v>
      </c>
      <c r="D546" s="100" t="n">
        <f aca="false">IF($C546="","",IFERROR(IF(INDEX('REGISTRE TUBES'!$C$7:$C$2506,MATCH($C546,'REGISTRE TUBES'!$B$7:$B$2506,0))="","",INDEX('REGISTRE TUBES'!$C$7:$C$2506,MATCH($C546,'REGISTRE TUBES'!$B$7:$B$2506,0))),"?"))</f>
        <v>15421107</v>
      </c>
      <c r="E546" s="100" t="str">
        <f aca="false">IF($C546="","",IFERROR(IF(INDEX('REGISTRE TUBES'!$D$7:$D$2506,MATCH($C546,'REGISTRE TUBES'!$B$7:$B$2506,0))="","",INDEX('REGISTRE TUBES'!$D$7:$D$2506,MATCH($C546,'REGISTRE TUBES'!$B$7:$B$2506,0))),"?"))</f>
        <v/>
      </c>
      <c r="F546" s="101" t="n">
        <f aca="false">IF($C546="","",IFERROR(IF(INDEX('REGISTRE TUBES'!$F$7:$F$2506,MATCH($C546,'REGISTRE TUBES'!$B$7:$B$2506,0))="","",INDEX('REGISTRE TUBES'!$F$7:$F$2506,MATCH($C546,'REGISTRE TUBES'!$B$7:$B$2506,0))),"?"))</f>
        <v>11.94</v>
      </c>
      <c r="G546" s="102" t="n">
        <f aca="false">IF($C546="","",N(G545)+N(F546))</f>
        <v>4393.95000000001</v>
      </c>
      <c r="H546" s="103" t="s">
        <v>1438</v>
      </c>
      <c r="I546" s="104"/>
      <c r="J546" s="105"/>
    </row>
    <row r="547" customFormat="false" ht="15" hidden="false" customHeight="false" outlineLevel="0" collapsed="false">
      <c r="B547" s="90" t="n">
        <v>372</v>
      </c>
      <c r="C547" s="91" t="n">
        <v>2097290</v>
      </c>
      <c r="D547" s="92" t="n">
        <f aca="false">IF($C547="","",IFERROR(IF(INDEX('REGISTRE TUBES'!$C$7:$C$2506,MATCH($C547,'REGISTRE TUBES'!$B$7:$B$2506,0))="","",INDEX('REGISTRE TUBES'!$C$7:$C$2506,MATCH($C547,'REGISTRE TUBES'!$B$7:$B$2506,0))),"?"))</f>
        <v>15421112</v>
      </c>
      <c r="E547" s="92" t="str">
        <f aca="false">IF($C547="","",IFERROR(IF(INDEX('REGISTRE TUBES'!$D$7:$D$2506,MATCH($C547,'REGISTRE TUBES'!$B$7:$B$2506,0))="","",INDEX('REGISTRE TUBES'!$D$7:$D$2506,MATCH($C547,'REGISTRE TUBES'!$B$7:$B$2506,0))),"?"))</f>
        <v/>
      </c>
      <c r="F547" s="93" t="n">
        <f aca="false">IF($C547="","",IFERROR(IF(INDEX('REGISTRE TUBES'!$F$7:$F$2506,MATCH($C547,'REGISTRE TUBES'!$B$7:$B$2506,0))="","",INDEX('REGISTRE TUBES'!$F$7:$F$2506,MATCH($C547,'REGISTRE TUBES'!$B$7:$B$2506,0))),"?"))</f>
        <v>11.94</v>
      </c>
      <c r="G547" s="94" t="n">
        <f aca="false">IF($C547="","",N(G546)+N(F547))</f>
        <v>4405.89000000001</v>
      </c>
      <c r="H547" s="95" t="s">
        <v>1440</v>
      </c>
      <c r="I547" s="96"/>
      <c r="J547" s="97"/>
    </row>
    <row r="548" customFormat="false" ht="15" hidden="false" customHeight="false" outlineLevel="0" collapsed="false">
      <c r="B548" s="98" t="n">
        <v>373</v>
      </c>
      <c r="C548" s="99" t="n">
        <v>2087050</v>
      </c>
      <c r="D548" s="100" t="n">
        <f aca="false">IF($C548="","",IFERROR(IF(INDEX('REGISTRE TUBES'!$C$7:$C$2506,MATCH($C548,'REGISTRE TUBES'!$B$7:$B$2506,0))="","",INDEX('REGISTRE TUBES'!$C$7:$C$2506,MATCH($C548,'REGISTRE TUBES'!$B$7:$B$2506,0))),"?"))</f>
        <v>15421103</v>
      </c>
      <c r="E548" s="100" t="str">
        <f aca="false">IF($C548="","",IFERROR(IF(INDEX('REGISTRE TUBES'!$D$7:$D$2506,MATCH($C548,'REGISTRE TUBES'!$B$7:$B$2506,0))="","",INDEX('REGISTRE TUBES'!$D$7:$D$2506,MATCH($C548,'REGISTRE TUBES'!$B$7:$B$2506,0))),"?"))</f>
        <v/>
      </c>
      <c r="F548" s="101" t="n">
        <f aca="false">IF($C548="","",IFERROR(IF(INDEX('REGISTRE TUBES'!$F$7:$F$2506,MATCH($C548,'REGISTRE TUBES'!$B$7:$B$2506,0))="","",INDEX('REGISTRE TUBES'!$F$7:$F$2506,MATCH($C548,'REGISTRE TUBES'!$B$7:$B$2506,0))),"?"))</f>
        <v>11.94</v>
      </c>
      <c r="G548" s="102" t="n">
        <f aca="false">IF($C548="","",N(G547)+N(F548))</f>
        <v>4417.83000000001</v>
      </c>
      <c r="H548" s="103" t="s">
        <v>1441</v>
      </c>
      <c r="I548" s="104"/>
      <c r="J548" s="105"/>
    </row>
    <row r="549" customFormat="false" ht="15" hidden="false" customHeight="false" outlineLevel="0" collapsed="false">
      <c r="B549" s="90" t="n">
        <v>374</v>
      </c>
      <c r="C549" s="91" t="n">
        <v>2081100</v>
      </c>
      <c r="D549" s="92" t="n">
        <f aca="false">IF($C549="","",IFERROR(IF(INDEX('REGISTRE TUBES'!$C$7:$C$2506,MATCH($C549,'REGISTRE TUBES'!$B$7:$B$2506,0))="","",INDEX('REGISTRE TUBES'!$C$7:$C$2506,MATCH($C549,'REGISTRE TUBES'!$B$7:$B$2506,0))),"?"))</f>
        <v>15421103</v>
      </c>
      <c r="E549" s="92" t="str">
        <f aca="false">IF($C549="","",IFERROR(IF(INDEX('REGISTRE TUBES'!$D$7:$D$2506,MATCH($C549,'REGISTRE TUBES'!$B$7:$B$2506,0))="","",INDEX('REGISTRE TUBES'!$D$7:$D$2506,MATCH($C549,'REGISTRE TUBES'!$B$7:$B$2506,0))),"?"))</f>
        <v/>
      </c>
      <c r="F549" s="93" t="n">
        <f aca="false">IF($C549="","",IFERROR(IF(INDEX('REGISTRE TUBES'!$F$7:$F$2506,MATCH($C549,'REGISTRE TUBES'!$B$7:$B$2506,0))="","",INDEX('REGISTRE TUBES'!$F$7:$F$2506,MATCH($C549,'REGISTRE TUBES'!$B$7:$B$2506,0))),"?"))</f>
        <v>11.94</v>
      </c>
      <c r="G549" s="94" t="n">
        <f aca="false">IF($C549="","",N(G548)+N(F549))</f>
        <v>4429.77000000001</v>
      </c>
      <c r="H549" s="95" t="s">
        <v>1443</v>
      </c>
      <c r="I549" s="96"/>
      <c r="J549" s="97"/>
    </row>
    <row r="550" customFormat="false" ht="15" hidden="false" customHeight="false" outlineLevel="0" collapsed="false">
      <c r="B550" s="98" t="n">
        <v>375</v>
      </c>
      <c r="C550" s="99" t="n">
        <v>2098410</v>
      </c>
      <c r="D550" s="100" t="n">
        <f aca="false">IF($C550="","",IFERROR(IF(INDEX('REGISTRE TUBES'!$C$7:$C$2506,MATCH($C550,'REGISTRE TUBES'!$B$7:$B$2506,0))="","",INDEX('REGISTRE TUBES'!$C$7:$C$2506,MATCH($C550,'REGISTRE TUBES'!$B$7:$B$2506,0))),"?"))</f>
        <v>15421112</v>
      </c>
      <c r="E550" s="100" t="str">
        <f aca="false">IF($C550="","",IFERROR(IF(INDEX('REGISTRE TUBES'!$D$7:$D$2506,MATCH($C550,'REGISTRE TUBES'!$B$7:$B$2506,0))="","",INDEX('REGISTRE TUBES'!$D$7:$D$2506,MATCH($C550,'REGISTRE TUBES'!$B$7:$B$2506,0))),"?"))</f>
        <v/>
      </c>
      <c r="F550" s="101" t="n">
        <f aca="false">IF($C550="","",IFERROR(IF(INDEX('REGISTRE TUBES'!$F$7:$F$2506,MATCH($C550,'REGISTRE TUBES'!$B$7:$B$2506,0))="","",INDEX('REGISTRE TUBES'!$F$7:$F$2506,MATCH($C550,'REGISTRE TUBES'!$B$7:$B$2506,0))),"?"))</f>
        <v>11.94</v>
      </c>
      <c r="G550" s="102" t="n">
        <f aca="false">IF($C550="","",N(G549)+N(F550))</f>
        <v>4441.71000000001</v>
      </c>
      <c r="H550" s="103" t="s">
        <v>1446</v>
      </c>
      <c r="I550" s="104"/>
      <c r="J550" s="105"/>
    </row>
    <row r="551" customFormat="false" ht="15" hidden="false" customHeight="false" outlineLevel="0" collapsed="false">
      <c r="B551" s="90" t="n">
        <v>376</v>
      </c>
      <c r="C551" s="91" t="n">
        <v>2083860</v>
      </c>
      <c r="D551" s="92" t="n">
        <f aca="false">IF($C551="","",IFERROR(IF(INDEX('REGISTRE TUBES'!$C$7:$C$2506,MATCH($C551,'REGISTRE TUBES'!$B$7:$B$2506,0))="","",INDEX('REGISTRE TUBES'!$C$7:$C$2506,MATCH($C551,'REGISTRE TUBES'!$B$7:$B$2506,0))),"?"))</f>
        <v>15421105</v>
      </c>
      <c r="E551" s="92" t="str">
        <f aca="false">IF($C551="","",IFERROR(IF(INDEX('REGISTRE TUBES'!$D$7:$D$2506,MATCH($C551,'REGISTRE TUBES'!$B$7:$B$2506,0))="","",INDEX('REGISTRE TUBES'!$D$7:$D$2506,MATCH($C551,'REGISTRE TUBES'!$B$7:$B$2506,0))),"?"))</f>
        <v/>
      </c>
      <c r="F551" s="93" t="n">
        <f aca="false">IF($C551="","",IFERROR(IF(INDEX('REGISTRE TUBES'!$F$7:$F$2506,MATCH($C551,'REGISTRE TUBES'!$B$7:$B$2506,0))="","",INDEX('REGISTRE TUBES'!$F$7:$F$2506,MATCH($C551,'REGISTRE TUBES'!$B$7:$B$2506,0))),"?"))</f>
        <v>11.94</v>
      </c>
      <c r="G551" s="94" t="n">
        <f aca="false">IF($C551="","",N(G550)+N(F551))</f>
        <v>4453.65</v>
      </c>
      <c r="H551" s="95" t="s">
        <v>1447</v>
      </c>
      <c r="I551" s="96"/>
      <c r="J551" s="97"/>
    </row>
    <row r="552" customFormat="false" ht="15" hidden="false" customHeight="false" outlineLevel="0" collapsed="false">
      <c r="B552" s="98" t="n">
        <v>377</v>
      </c>
      <c r="C552" s="99" t="n">
        <v>2086820</v>
      </c>
      <c r="D552" s="100" t="n">
        <f aca="false">IF($C552="","",IFERROR(IF(INDEX('REGISTRE TUBES'!$C$7:$C$2506,MATCH($C552,'REGISTRE TUBES'!$B$7:$B$2506,0))="","",INDEX('REGISTRE TUBES'!$C$7:$C$2506,MATCH($C552,'REGISTRE TUBES'!$B$7:$B$2506,0))),"?"))</f>
        <v>15421107</v>
      </c>
      <c r="E552" s="100" t="str">
        <f aca="false">IF($C552="","",IFERROR(IF(INDEX('REGISTRE TUBES'!$D$7:$D$2506,MATCH($C552,'REGISTRE TUBES'!$B$7:$B$2506,0))="","",INDEX('REGISTRE TUBES'!$D$7:$D$2506,MATCH($C552,'REGISTRE TUBES'!$B$7:$B$2506,0))),"?"))</f>
        <v/>
      </c>
      <c r="F552" s="101" t="n">
        <f aca="false">IF($C552="","",IFERROR(IF(INDEX('REGISTRE TUBES'!$F$7:$F$2506,MATCH($C552,'REGISTRE TUBES'!$B$7:$B$2506,0))="","",INDEX('REGISTRE TUBES'!$F$7:$F$2506,MATCH($C552,'REGISTRE TUBES'!$B$7:$B$2506,0))),"?"))</f>
        <v>11.94</v>
      </c>
      <c r="G552" s="102" t="n">
        <f aca="false">IF($C552="","",N(G551)+N(F552))</f>
        <v>4465.59</v>
      </c>
      <c r="H552" s="103" t="s">
        <v>1448</v>
      </c>
      <c r="I552" s="104"/>
      <c r="J552" s="105"/>
    </row>
    <row r="553" customFormat="false" ht="15" hidden="false" customHeight="false" outlineLevel="0" collapsed="false">
      <c r="B553" s="90" t="n">
        <v>378</v>
      </c>
      <c r="C553" s="91" t="n">
        <v>2078580</v>
      </c>
      <c r="D553" s="92" t="n">
        <f aca="false">IF($C553="","",IFERROR(IF(INDEX('REGISTRE TUBES'!$C$7:$C$2506,MATCH($C553,'REGISTRE TUBES'!$B$7:$B$2506,0))="","",INDEX('REGISTRE TUBES'!$C$7:$C$2506,MATCH($C553,'REGISTRE TUBES'!$B$7:$B$2506,0))),"?"))</f>
        <v>15421101</v>
      </c>
      <c r="E553" s="92" t="str">
        <f aca="false">IF($C553="","",IFERROR(IF(INDEX('REGISTRE TUBES'!$D$7:$D$2506,MATCH($C553,'REGISTRE TUBES'!$B$7:$B$2506,0))="","",INDEX('REGISTRE TUBES'!$D$7:$D$2506,MATCH($C553,'REGISTRE TUBES'!$B$7:$B$2506,0))),"?"))</f>
        <v/>
      </c>
      <c r="F553" s="93" t="n">
        <f aca="false">IF($C553="","",IFERROR(IF(INDEX('REGISTRE TUBES'!$F$7:$F$2506,MATCH($C553,'REGISTRE TUBES'!$B$7:$B$2506,0))="","",INDEX('REGISTRE TUBES'!$F$7:$F$2506,MATCH($C553,'REGISTRE TUBES'!$B$7:$B$2506,0))),"?"))</f>
        <v>11.94</v>
      </c>
      <c r="G553" s="94" t="n">
        <f aca="false">IF($C553="","",N(G552)+N(F553))</f>
        <v>4477.53</v>
      </c>
      <c r="H553" s="95" t="s">
        <v>1449</v>
      </c>
      <c r="I553" s="96"/>
      <c r="J553" s="97"/>
    </row>
    <row r="554" customFormat="false" ht="15" hidden="false" customHeight="false" outlineLevel="0" collapsed="false">
      <c r="B554" s="98" t="n">
        <v>379</v>
      </c>
      <c r="C554" s="99" t="n">
        <v>2087350</v>
      </c>
      <c r="D554" s="100" t="n">
        <f aca="false">IF($C554="","",IFERROR(IF(INDEX('REGISTRE TUBES'!$C$7:$C$2506,MATCH($C554,'REGISTRE TUBES'!$B$7:$B$2506,0))="","",INDEX('REGISTRE TUBES'!$C$7:$C$2506,MATCH($C554,'REGISTRE TUBES'!$B$7:$B$2506,0))),"?"))</f>
        <v>15421102</v>
      </c>
      <c r="E554" s="100" t="str">
        <f aca="false">IF($C554="","",IFERROR(IF(INDEX('REGISTRE TUBES'!$D$7:$D$2506,MATCH($C554,'REGISTRE TUBES'!$B$7:$B$2506,0))="","",INDEX('REGISTRE TUBES'!$D$7:$D$2506,MATCH($C554,'REGISTRE TUBES'!$B$7:$B$2506,0))),"?"))</f>
        <v/>
      </c>
      <c r="F554" s="101" t="n">
        <f aca="false">IF($C554="","",IFERROR(IF(INDEX('REGISTRE TUBES'!$F$7:$F$2506,MATCH($C554,'REGISTRE TUBES'!$B$7:$B$2506,0))="","",INDEX('REGISTRE TUBES'!$F$7:$F$2506,MATCH($C554,'REGISTRE TUBES'!$B$7:$B$2506,0))),"?"))</f>
        <v>11.94</v>
      </c>
      <c r="G554" s="102" t="n">
        <f aca="false">IF($C554="","",N(G553)+N(F554))</f>
        <v>4489.47</v>
      </c>
      <c r="H554" s="103" t="s">
        <v>1450</v>
      </c>
      <c r="I554" s="104"/>
      <c r="J554" s="105"/>
    </row>
    <row r="555" customFormat="false" ht="15" hidden="false" customHeight="false" outlineLevel="0" collapsed="false">
      <c r="B555" s="90" t="n">
        <v>380</v>
      </c>
      <c r="C555" s="91" t="n">
        <v>2079840</v>
      </c>
      <c r="D555" s="92" t="n">
        <f aca="false">IF($C555="","",IFERROR(IF(INDEX('REGISTRE TUBES'!$C$7:$C$2506,MATCH($C555,'REGISTRE TUBES'!$B$7:$B$2506,0))="","",INDEX('REGISTRE TUBES'!$C$7:$C$2506,MATCH($C555,'REGISTRE TUBES'!$B$7:$B$2506,0))),"?"))</f>
        <v>15421102</v>
      </c>
      <c r="E555" s="92" t="str">
        <f aca="false">IF($C555="","",IFERROR(IF(INDEX('REGISTRE TUBES'!$D$7:$D$2506,MATCH($C555,'REGISTRE TUBES'!$B$7:$B$2506,0))="","",INDEX('REGISTRE TUBES'!$D$7:$D$2506,MATCH($C555,'REGISTRE TUBES'!$B$7:$B$2506,0))),"?"))</f>
        <v/>
      </c>
      <c r="F555" s="93" t="n">
        <f aca="false">IF($C555="","",IFERROR(IF(INDEX('REGISTRE TUBES'!$F$7:$F$2506,MATCH($C555,'REGISTRE TUBES'!$B$7:$B$2506,0))="","",INDEX('REGISTRE TUBES'!$F$7:$F$2506,MATCH($C555,'REGISTRE TUBES'!$B$7:$B$2506,0))),"?"))</f>
        <v>11.94</v>
      </c>
      <c r="G555" s="94" t="n">
        <f aca="false">IF($C555="","",N(G554)+N(F555))</f>
        <v>4501.41</v>
      </c>
      <c r="H555" s="95" t="s">
        <v>1452</v>
      </c>
      <c r="I555" s="96"/>
      <c r="J555" s="97"/>
    </row>
    <row r="556" customFormat="false" ht="15" hidden="false" customHeight="true" outlineLevel="0" collapsed="false">
      <c r="B556" s="106" t="s">
        <v>3031</v>
      </c>
      <c r="C556" s="106"/>
      <c r="D556" s="106"/>
      <c r="E556" s="106"/>
      <c r="F556" s="107" t="n">
        <f aca="false">SUM(F537:F555)</f>
        <v>226.86</v>
      </c>
      <c r="G556" s="108" t="n">
        <f aca="false">IF(COUNT(G537:G555)=0,"",MAX(G537:G555))</f>
        <v>4501.41</v>
      </c>
      <c r="H556" s="106" t="str">
        <f aca="false">COUNTA(C537:C555)&amp;" tube(s)"</f>
        <v>19 tube(s)</v>
      </c>
      <c r="I556" s="106"/>
      <c r="J556" s="106"/>
    </row>
    <row r="558" customFormat="false" ht="15" hidden="false" customHeight="false" outlineLevel="0" collapsed="false">
      <c r="B558" s="109" t="s">
        <v>3032</v>
      </c>
      <c r="F558" s="109" t="s">
        <v>3033</v>
      </c>
      <c r="I558" s="109" t="s">
        <v>3034</v>
      </c>
    </row>
    <row r="561" customFormat="false" ht="25.5" hidden="false" customHeight="true" outlineLevel="0" collapsed="false">
      <c r="B561" s="85" t="s">
        <v>3015</v>
      </c>
      <c r="C561" s="85"/>
      <c r="D561" s="85"/>
      <c r="E561" s="85"/>
      <c r="F561" s="85"/>
      <c r="G561" s="85"/>
      <c r="H561" s="85"/>
      <c r="I561" s="85"/>
      <c r="J561" s="85"/>
    </row>
    <row r="562" customFormat="false" ht="15" hidden="false" customHeight="false" outlineLevel="0" collapsed="false">
      <c r="B562" s="86" t="str">
        <f aca="false">PARAMÈTRES!$C$4&amp;"   •   Affaire N° "&amp;PARAMÈTRES!$C$5</f>
        <v>Développement des champs gaziers TFT II — réseau de collecte TFT Sud (LIGNE-16)   •   Affaire N° 8546</v>
      </c>
      <c r="C562" s="86"/>
      <c r="D562" s="86"/>
      <c r="E562" s="86"/>
      <c r="F562" s="86"/>
      <c r="G562" s="86"/>
      <c r="H562" s="86"/>
      <c r="I562" s="86"/>
      <c r="J562" s="86"/>
    </row>
    <row r="563" customFormat="false" ht="19.5" hidden="false" customHeight="true" outlineLevel="0" collapsed="false">
      <c r="B563" s="87" t="s">
        <v>3016</v>
      </c>
      <c r="C563" s="88" t="s">
        <v>110</v>
      </c>
      <c r="D563" s="88"/>
      <c r="E563" s="87" t="s">
        <v>3017</v>
      </c>
      <c r="F563" s="88" t="s">
        <v>3073</v>
      </c>
      <c r="G563" s="87" t="s">
        <v>3019</v>
      </c>
      <c r="H563" s="88" t="s">
        <v>3074</v>
      </c>
      <c r="I563" s="87" t="s">
        <v>3021</v>
      </c>
      <c r="J563" s="89"/>
    </row>
    <row r="564" customFormat="false" ht="27.75" hidden="false" customHeight="true" outlineLevel="0" collapsed="false">
      <c r="B564" s="71" t="s">
        <v>3022</v>
      </c>
      <c r="C564" s="71" t="s">
        <v>3023</v>
      </c>
      <c r="D564" s="71" t="s">
        <v>3024</v>
      </c>
      <c r="E564" s="71" t="s">
        <v>3025</v>
      </c>
      <c r="F564" s="71" t="s">
        <v>3026</v>
      </c>
      <c r="G564" s="71" t="s">
        <v>3027</v>
      </c>
      <c r="H564" s="71" t="s">
        <v>3028</v>
      </c>
      <c r="I564" s="71" t="s">
        <v>3029</v>
      </c>
      <c r="J564" s="71" t="s">
        <v>3030</v>
      </c>
    </row>
    <row r="565" customFormat="false" ht="15" hidden="false" customHeight="false" outlineLevel="0" collapsed="false">
      <c r="B565" s="90" t="n">
        <v>381</v>
      </c>
      <c r="C565" s="91" t="n">
        <v>2079830</v>
      </c>
      <c r="D565" s="92" t="n">
        <f aca="false">IF($C565="","",IFERROR(IF(INDEX('REGISTRE TUBES'!$C$7:$C$2506,MATCH($C565,'REGISTRE TUBES'!$B$7:$B$2506,0))="","",INDEX('REGISTRE TUBES'!$C$7:$C$2506,MATCH($C565,'REGISTRE TUBES'!$B$7:$B$2506,0))),"?"))</f>
        <v>15421102</v>
      </c>
      <c r="E565" s="92" t="str">
        <f aca="false">IF($C565="","",IFERROR(IF(INDEX('REGISTRE TUBES'!$D$7:$D$2506,MATCH($C565,'REGISTRE TUBES'!$B$7:$B$2506,0))="","",INDEX('REGISTRE TUBES'!$D$7:$D$2506,MATCH($C565,'REGISTRE TUBES'!$B$7:$B$2506,0))),"?"))</f>
        <v/>
      </c>
      <c r="F565" s="93" t="n">
        <f aca="false">IF($C565="","",IFERROR(IF(INDEX('REGISTRE TUBES'!$F$7:$F$2506,MATCH($C565,'REGISTRE TUBES'!$B$7:$B$2506,0))="","",INDEX('REGISTRE TUBES'!$F$7:$F$2506,MATCH($C565,'REGISTRE TUBES'!$B$7:$B$2506,0))),"?"))</f>
        <v>11.94</v>
      </c>
      <c r="G565" s="94" t="n">
        <f aca="false">IF($C565="","",N(G555)+N(F565))</f>
        <v>4513.35</v>
      </c>
      <c r="H565" s="95" t="s">
        <v>1455</v>
      </c>
      <c r="I565" s="96"/>
      <c r="J565" s="97"/>
    </row>
    <row r="566" customFormat="false" ht="15" hidden="false" customHeight="false" outlineLevel="0" collapsed="false">
      <c r="B566" s="98" t="n">
        <v>382</v>
      </c>
      <c r="C566" s="99" t="n">
        <v>2086670</v>
      </c>
      <c r="D566" s="100" t="n">
        <f aca="false">IF($C566="","",IFERROR(IF(INDEX('REGISTRE TUBES'!$C$7:$C$2506,MATCH($C566,'REGISTRE TUBES'!$B$7:$B$2506,0))="","",INDEX('REGISTRE TUBES'!$C$7:$C$2506,MATCH($C566,'REGISTRE TUBES'!$B$7:$B$2506,0))),"?"))</f>
        <v>15421107</v>
      </c>
      <c r="E566" s="100" t="str">
        <f aca="false">IF($C566="","",IFERROR(IF(INDEX('REGISTRE TUBES'!$D$7:$D$2506,MATCH($C566,'REGISTRE TUBES'!$B$7:$B$2506,0))="","",INDEX('REGISTRE TUBES'!$D$7:$D$2506,MATCH($C566,'REGISTRE TUBES'!$B$7:$B$2506,0))),"?"))</f>
        <v/>
      </c>
      <c r="F566" s="101" t="n">
        <f aca="false">IF($C566="","",IFERROR(IF(INDEX('REGISTRE TUBES'!$F$7:$F$2506,MATCH($C566,'REGISTRE TUBES'!$B$7:$B$2506,0))="","",INDEX('REGISTRE TUBES'!$F$7:$F$2506,MATCH($C566,'REGISTRE TUBES'!$B$7:$B$2506,0))),"?"))</f>
        <v>11.94</v>
      </c>
      <c r="G566" s="102" t="n">
        <f aca="false">IF($C566="","",N(G565)+N(F566))</f>
        <v>4525.29</v>
      </c>
      <c r="H566" s="103" t="s">
        <v>1456</v>
      </c>
      <c r="I566" s="104"/>
      <c r="J566" s="105"/>
    </row>
    <row r="567" customFormat="false" ht="15" hidden="false" customHeight="false" outlineLevel="0" collapsed="false">
      <c r="B567" s="90" t="n">
        <v>383</v>
      </c>
      <c r="C567" s="91" t="n">
        <v>2092180</v>
      </c>
      <c r="D567" s="92" t="n">
        <f aca="false">IF($C567="","",IFERROR(IF(INDEX('REGISTRE TUBES'!$C$7:$C$2506,MATCH($C567,'REGISTRE TUBES'!$B$7:$B$2506,0))="","",INDEX('REGISTRE TUBES'!$C$7:$C$2506,MATCH($C567,'REGISTRE TUBES'!$B$7:$B$2506,0))),"?"))</f>
        <v>15421110</v>
      </c>
      <c r="E567" s="92" t="str">
        <f aca="false">IF($C567="","",IFERROR(IF(INDEX('REGISTRE TUBES'!$D$7:$D$2506,MATCH($C567,'REGISTRE TUBES'!$B$7:$B$2506,0))="","",INDEX('REGISTRE TUBES'!$D$7:$D$2506,MATCH($C567,'REGISTRE TUBES'!$B$7:$B$2506,0))),"?"))</f>
        <v/>
      </c>
      <c r="F567" s="93" t="n">
        <f aca="false">IF($C567="","",IFERROR(IF(INDEX('REGISTRE TUBES'!$F$7:$F$2506,MATCH($C567,'REGISTRE TUBES'!$B$7:$B$2506,0))="","",INDEX('REGISTRE TUBES'!$F$7:$F$2506,MATCH($C567,'REGISTRE TUBES'!$B$7:$B$2506,0))),"?"))</f>
        <v>11.94</v>
      </c>
      <c r="G567" s="94" t="n">
        <f aca="false">IF($C567="","",N(G566)+N(F567))</f>
        <v>4537.23</v>
      </c>
      <c r="H567" s="95" t="s">
        <v>1457</v>
      </c>
      <c r="I567" s="96"/>
      <c r="J567" s="97"/>
    </row>
    <row r="568" customFormat="false" ht="15" hidden="false" customHeight="false" outlineLevel="0" collapsed="false">
      <c r="B568" s="98" t="n">
        <v>384</v>
      </c>
      <c r="C568" s="99" t="n">
        <v>2086870</v>
      </c>
      <c r="D568" s="100" t="n">
        <f aca="false">IF($C568="","",IFERROR(IF(INDEX('REGISTRE TUBES'!$C$7:$C$2506,MATCH($C568,'REGISTRE TUBES'!$B$7:$B$2506,0))="","",INDEX('REGISTRE TUBES'!$C$7:$C$2506,MATCH($C568,'REGISTRE TUBES'!$B$7:$B$2506,0))),"?"))</f>
        <v>15421107</v>
      </c>
      <c r="E568" s="100" t="str">
        <f aca="false">IF($C568="","",IFERROR(IF(INDEX('REGISTRE TUBES'!$D$7:$D$2506,MATCH($C568,'REGISTRE TUBES'!$B$7:$B$2506,0))="","",INDEX('REGISTRE TUBES'!$D$7:$D$2506,MATCH($C568,'REGISTRE TUBES'!$B$7:$B$2506,0))),"?"))</f>
        <v/>
      </c>
      <c r="F568" s="101" t="n">
        <f aca="false">IF($C568="","",IFERROR(IF(INDEX('REGISTRE TUBES'!$F$7:$F$2506,MATCH($C568,'REGISTRE TUBES'!$B$7:$B$2506,0))="","",INDEX('REGISTRE TUBES'!$F$7:$F$2506,MATCH($C568,'REGISTRE TUBES'!$B$7:$B$2506,0))),"?"))</f>
        <v>11.94</v>
      </c>
      <c r="G568" s="102" t="n">
        <f aca="false">IF($C568="","",N(G567)+N(F568))</f>
        <v>4549.17</v>
      </c>
      <c r="H568" s="103" t="s">
        <v>1459</v>
      </c>
      <c r="I568" s="104"/>
      <c r="J568" s="105"/>
    </row>
    <row r="569" customFormat="false" ht="15" hidden="false" customHeight="false" outlineLevel="0" collapsed="false">
      <c r="B569" s="90" t="n">
        <v>385</v>
      </c>
      <c r="C569" s="91" t="n">
        <v>2096400</v>
      </c>
      <c r="D569" s="92" t="n">
        <f aca="false">IF($C569="","",IFERROR(IF(INDEX('REGISTRE TUBES'!$C$7:$C$2506,MATCH($C569,'REGISTRE TUBES'!$B$7:$B$2506,0))="","",INDEX('REGISTRE TUBES'!$C$7:$C$2506,MATCH($C569,'REGISTRE TUBES'!$B$7:$B$2506,0))),"?"))</f>
        <v>15421111</v>
      </c>
      <c r="E569" s="92" t="str">
        <f aca="false">IF($C569="","",IFERROR(IF(INDEX('REGISTRE TUBES'!$D$7:$D$2506,MATCH($C569,'REGISTRE TUBES'!$B$7:$B$2506,0))="","",INDEX('REGISTRE TUBES'!$D$7:$D$2506,MATCH($C569,'REGISTRE TUBES'!$B$7:$B$2506,0))),"?"))</f>
        <v/>
      </c>
      <c r="F569" s="93" t="n">
        <f aca="false">IF($C569="","",IFERROR(IF(INDEX('REGISTRE TUBES'!$F$7:$F$2506,MATCH($C569,'REGISTRE TUBES'!$B$7:$B$2506,0))="","",INDEX('REGISTRE TUBES'!$F$7:$F$2506,MATCH($C569,'REGISTRE TUBES'!$B$7:$B$2506,0))),"?"))</f>
        <v>11.94</v>
      </c>
      <c r="G569" s="94" t="n">
        <f aca="false">IF($C569="","",N(G568)+N(F569))</f>
        <v>4561.11</v>
      </c>
      <c r="H569" s="95" t="s">
        <v>1460</v>
      </c>
      <c r="I569" s="96"/>
      <c r="J569" s="97"/>
    </row>
    <row r="570" customFormat="false" ht="15" hidden="false" customHeight="false" outlineLevel="0" collapsed="false">
      <c r="B570" s="98" t="n">
        <v>386</v>
      </c>
      <c r="C570" s="99" t="n">
        <v>2083600</v>
      </c>
      <c r="D570" s="100" t="n">
        <f aca="false">IF($C570="","",IFERROR(IF(INDEX('REGISTRE TUBES'!$C$7:$C$2506,MATCH($C570,'REGISTRE TUBES'!$B$7:$B$2506,0))="","",INDEX('REGISTRE TUBES'!$C$7:$C$2506,MATCH($C570,'REGISTRE TUBES'!$B$7:$B$2506,0))),"?"))</f>
        <v>15421105</v>
      </c>
      <c r="E570" s="100" t="str">
        <f aca="false">IF($C570="","",IFERROR(IF(INDEX('REGISTRE TUBES'!$D$7:$D$2506,MATCH($C570,'REGISTRE TUBES'!$B$7:$B$2506,0))="","",INDEX('REGISTRE TUBES'!$D$7:$D$2506,MATCH($C570,'REGISTRE TUBES'!$B$7:$B$2506,0))),"?"))</f>
        <v/>
      </c>
      <c r="F570" s="101" t="n">
        <f aca="false">IF($C570="","",IFERROR(IF(INDEX('REGISTRE TUBES'!$F$7:$F$2506,MATCH($C570,'REGISTRE TUBES'!$B$7:$B$2506,0))="","",INDEX('REGISTRE TUBES'!$F$7:$F$2506,MATCH($C570,'REGISTRE TUBES'!$B$7:$B$2506,0))),"?"))</f>
        <v>11.94</v>
      </c>
      <c r="G570" s="102" t="n">
        <f aca="false">IF($C570="","",N(G569)+N(F570))</f>
        <v>4573.05</v>
      </c>
      <c r="H570" s="103" t="s">
        <v>1474</v>
      </c>
      <c r="I570" s="104"/>
      <c r="J570" s="105"/>
    </row>
    <row r="571" customFormat="false" ht="15" hidden="false" customHeight="false" outlineLevel="0" collapsed="false">
      <c r="B571" s="90" t="n">
        <v>387</v>
      </c>
      <c r="C571" s="91" t="n">
        <v>2088420</v>
      </c>
      <c r="D571" s="92" t="n">
        <f aca="false">IF($C571="","",IFERROR(IF(INDEX('REGISTRE TUBES'!$C$7:$C$2506,MATCH($C571,'REGISTRE TUBES'!$B$7:$B$2506,0))="","",INDEX('REGISTRE TUBES'!$C$7:$C$2506,MATCH($C571,'REGISTRE TUBES'!$B$7:$B$2506,0))),"?"))</f>
        <v>15421108</v>
      </c>
      <c r="E571" s="92" t="str">
        <f aca="false">IF($C571="","",IFERROR(IF(INDEX('REGISTRE TUBES'!$D$7:$D$2506,MATCH($C571,'REGISTRE TUBES'!$B$7:$B$2506,0))="","",INDEX('REGISTRE TUBES'!$D$7:$D$2506,MATCH($C571,'REGISTRE TUBES'!$B$7:$B$2506,0))),"?"))</f>
        <v/>
      </c>
      <c r="F571" s="93" t="n">
        <f aca="false">IF($C571="","",IFERROR(IF(INDEX('REGISTRE TUBES'!$F$7:$F$2506,MATCH($C571,'REGISTRE TUBES'!$B$7:$B$2506,0))="","",INDEX('REGISTRE TUBES'!$F$7:$F$2506,MATCH($C571,'REGISTRE TUBES'!$B$7:$B$2506,0))),"?"))</f>
        <v>11.94</v>
      </c>
      <c r="G571" s="94" t="n">
        <f aca="false">IF($C571="","",N(G570)+N(F571))</f>
        <v>4584.99</v>
      </c>
      <c r="H571" s="95" t="s">
        <v>1475</v>
      </c>
      <c r="I571" s="96"/>
      <c r="J571" s="97"/>
    </row>
    <row r="572" customFormat="false" ht="15" hidden="false" customHeight="false" outlineLevel="0" collapsed="false">
      <c r="B572" s="98" t="n">
        <v>388</v>
      </c>
      <c r="C572" s="99" t="n">
        <v>2087260</v>
      </c>
      <c r="D572" s="100" t="n">
        <f aca="false">IF($C572="","",IFERROR(IF(INDEX('REGISTRE TUBES'!$C$7:$C$2506,MATCH($C572,'REGISTRE TUBES'!$B$7:$B$2506,0))="","",INDEX('REGISTRE TUBES'!$C$7:$C$2506,MATCH($C572,'REGISTRE TUBES'!$B$7:$B$2506,0))),"?"))</f>
        <v>15421107</v>
      </c>
      <c r="E572" s="100" t="str">
        <f aca="false">IF($C572="","",IFERROR(IF(INDEX('REGISTRE TUBES'!$D$7:$D$2506,MATCH($C572,'REGISTRE TUBES'!$B$7:$B$2506,0))="","",INDEX('REGISTRE TUBES'!$D$7:$D$2506,MATCH($C572,'REGISTRE TUBES'!$B$7:$B$2506,0))),"?"))</f>
        <v/>
      </c>
      <c r="F572" s="101" t="n">
        <f aca="false">IF($C572="","",IFERROR(IF(INDEX('REGISTRE TUBES'!$F$7:$F$2506,MATCH($C572,'REGISTRE TUBES'!$B$7:$B$2506,0))="","",INDEX('REGISTRE TUBES'!$F$7:$F$2506,MATCH($C572,'REGISTRE TUBES'!$B$7:$B$2506,0))),"?"))</f>
        <v>11.94</v>
      </c>
      <c r="G572" s="102" t="n">
        <f aca="false">IF($C572="","",N(G571)+N(F572))</f>
        <v>4596.93</v>
      </c>
      <c r="H572" s="103" t="s">
        <v>1477</v>
      </c>
      <c r="I572" s="104"/>
      <c r="J572" s="105"/>
    </row>
    <row r="573" customFormat="false" ht="15" hidden="false" customHeight="false" outlineLevel="0" collapsed="false">
      <c r="B573" s="90" t="n">
        <v>389</v>
      </c>
      <c r="C573" s="91" t="n">
        <v>2097260</v>
      </c>
      <c r="D573" s="92" t="n">
        <f aca="false">IF($C573="","",IFERROR(IF(INDEX('REGISTRE TUBES'!$C$7:$C$2506,MATCH($C573,'REGISTRE TUBES'!$B$7:$B$2506,0))="","",INDEX('REGISTRE TUBES'!$C$7:$C$2506,MATCH($C573,'REGISTRE TUBES'!$B$7:$B$2506,0))),"?"))</f>
        <v>15421112</v>
      </c>
      <c r="E573" s="92" t="str">
        <f aca="false">IF($C573="","",IFERROR(IF(INDEX('REGISTRE TUBES'!$D$7:$D$2506,MATCH($C573,'REGISTRE TUBES'!$B$7:$B$2506,0))="","",INDEX('REGISTRE TUBES'!$D$7:$D$2506,MATCH($C573,'REGISTRE TUBES'!$B$7:$B$2506,0))),"?"))</f>
        <v/>
      </c>
      <c r="F573" s="93" t="n">
        <f aca="false">IF($C573="","",IFERROR(IF(INDEX('REGISTRE TUBES'!$F$7:$F$2506,MATCH($C573,'REGISTRE TUBES'!$B$7:$B$2506,0))="","",INDEX('REGISTRE TUBES'!$F$7:$F$2506,MATCH($C573,'REGISTRE TUBES'!$B$7:$B$2506,0))),"?"))</f>
        <v>11.94</v>
      </c>
      <c r="G573" s="94" t="n">
        <f aca="false">IF($C573="","",N(G572)+N(F573))</f>
        <v>4608.87</v>
      </c>
      <c r="H573" s="95" t="s">
        <v>1478</v>
      </c>
      <c r="I573" s="96"/>
      <c r="J573" s="97"/>
    </row>
    <row r="574" customFormat="false" ht="15" hidden="false" customHeight="false" outlineLevel="0" collapsed="false">
      <c r="B574" s="98" t="n">
        <v>390</v>
      </c>
      <c r="C574" s="99" t="n">
        <v>2080490</v>
      </c>
      <c r="D574" s="100" t="n">
        <f aca="false">IF($C574="","",IFERROR(IF(INDEX('REGISTRE TUBES'!$C$7:$C$2506,MATCH($C574,'REGISTRE TUBES'!$B$7:$B$2506,0))="","",INDEX('REGISTRE TUBES'!$C$7:$C$2506,MATCH($C574,'REGISTRE TUBES'!$B$7:$B$2506,0))),"?"))</f>
        <v>15421102</v>
      </c>
      <c r="E574" s="100" t="str">
        <f aca="false">IF($C574="","",IFERROR(IF(INDEX('REGISTRE TUBES'!$D$7:$D$2506,MATCH($C574,'REGISTRE TUBES'!$B$7:$B$2506,0))="","",INDEX('REGISTRE TUBES'!$D$7:$D$2506,MATCH($C574,'REGISTRE TUBES'!$B$7:$B$2506,0))),"?"))</f>
        <v/>
      </c>
      <c r="F574" s="101" t="n">
        <f aca="false">IF($C574="","",IFERROR(IF(INDEX('REGISTRE TUBES'!$F$7:$F$2506,MATCH($C574,'REGISTRE TUBES'!$B$7:$B$2506,0))="","",INDEX('REGISTRE TUBES'!$F$7:$F$2506,MATCH($C574,'REGISTRE TUBES'!$B$7:$B$2506,0))),"?"))</f>
        <v>11.94</v>
      </c>
      <c r="G574" s="102" t="n">
        <f aca="false">IF($C574="","",N(G573)+N(F574))</f>
        <v>4620.81</v>
      </c>
      <c r="H574" s="103" t="s">
        <v>1479</v>
      </c>
      <c r="I574" s="104"/>
      <c r="J574" s="105"/>
    </row>
    <row r="575" customFormat="false" ht="15" hidden="false" customHeight="false" outlineLevel="0" collapsed="false">
      <c r="B575" s="90" t="n">
        <v>391</v>
      </c>
      <c r="C575" s="91" t="n">
        <v>2082380</v>
      </c>
      <c r="D575" s="92" t="n">
        <f aca="false">IF($C575="","",IFERROR(IF(INDEX('REGISTRE TUBES'!$C$7:$C$2506,MATCH($C575,'REGISTRE TUBES'!$B$7:$B$2506,0))="","",INDEX('REGISTRE TUBES'!$C$7:$C$2506,MATCH($C575,'REGISTRE TUBES'!$B$7:$B$2506,0))),"?"))</f>
        <v>15421101</v>
      </c>
      <c r="E575" s="92" t="str">
        <f aca="false">IF($C575="","",IFERROR(IF(INDEX('REGISTRE TUBES'!$D$7:$D$2506,MATCH($C575,'REGISTRE TUBES'!$B$7:$B$2506,0))="","",INDEX('REGISTRE TUBES'!$D$7:$D$2506,MATCH($C575,'REGISTRE TUBES'!$B$7:$B$2506,0))),"?"))</f>
        <v/>
      </c>
      <c r="F575" s="93" t="n">
        <f aca="false">IF($C575="","",IFERROR(IF(INDEX('REGISTRE TUBES'!$F$7:$F$2506,MATCH($C575,'REGISTRE TUBES'!$B$7:$B$2506,0))="","",INDEX('REGISTRE TUBES'!$F$7:$F$2506,MATCH($C575,'REGISTRE TUBES'!$B$7:$B$2506,0))),"?"))</f>
        <v>11.94</v>
      </c>
      <c r="G575" s="94" t="n">
        <f aca="false">IF($C575="","",N(G574)+N(F575))</f>
        <v>4632.75</v>
      </c>
      <c r="H575" s="95" t="s">
        <v>1480</v>
      </c>
      <c r="I575" s="96"/>
      <c r="J575" s="97"/>
    </row>
    <row r="576" customFormat="false" ht="15" hidden="false" customHeight="false" outlineLevel="0" collapsed="false">
      <c r="B576" s="98" t="n">
        <v>392</v>
      </c>
      <c r="C576" s="99" t="n">
        <v>2087650</v>
      </c>
      <c r="D576" s="100" t="n">
        <f aca="false">IF($C576="","",IFERROR(IF(INDEX('REGISTRE TUBES'!$C$7:$C$2506,MATCH($C576,'REGISTRE TUBES'!$B$7:$B$2506,0))="","",INDEX('REGISTRE TUBES'!$C$7:$C$2506,MATCH($C576,'REGISTRE TUBES'!$B$7:$B$2506,0))),"?"))</f>
        <v>15421108</v>
      </c>
      <c r="E576" s="100" t="str">
        <f aca="false">IF($C576="","",IFERROR(IF(INDEX('REGISTRE TUBES'!$D$7:$D$2506,MATCH($C576,'REGISTRE TUBES'!$B$7:$B$2506,0))="","",INDEX('REGISTRE TUBES'!$D$7:$D$2506,MATCH($C576,'REGISTRE TUBES'!$B$7:$B$2506,0))),"?"))</f>
        <v/>
      </c>
      <c r="F576" s="101" t="n">
        <f aca="false">IF($C576="","",IFERROR(IF(INDEX('REGISTRE TUBES'!$F$7:$F$2506,MATCH($C576,'REGISTRE TUBES'!$B$7:$B$2506,0))="","",INDEX('REGISTRE TUBES'!$F$7:$F$2506,MATCH($C576,'REGISTRE TUBES'!$B$7:$B$2506,0))),"?"))</f>
        <v>11.94</v>
      </c>
      <c r="G576" s="102" t="n">
        <f aca="false">IF($C576="","",N(G575)+N(F576))</f>
        <v>4644.69</v>
      </c>
      <c r="H576" s="103" t="s">
        <v>1481</v>
      </c>
      <c r="I576" s="104"/>
      <c r="J576" s="105"/>
    </row>
    <row r="577" customFormat="false" ht="15" hidden="false" customHeight="false" outlineLevel="0" collapsed="false">
      <c r="B577" s="90" t="n">
        <v>393</v>
      </c>
      <c r="C577" s="91" t="n">
        <v>2084500</v>
      </c>
      <c r="D577" s="92" t="n">
        <f aca="false">IF($C577="","",IFERROR(IF(INDEX('REGISTRE TUBES'!$C$7:$C$2506,MATCH($C577,'REGISTRE TUBES'!$B$7:$B$2506,0))="","",INDEX('REGISTRE TUBES'!$C$7:$C$2506,MATCH($C577,'REGISTRE TUBES'!$B$7:$B$2506,0))),"?"))</f>
        <v>15421106</v>
      </c>
      <c r="E577" s="92" t="str">
        <f aca="false">IF($C577="","",IFERROR(IF(INDEX('REGISTRE TUBES'!$D$7:$D$2506,MATCH($C577,'REGISTRE TUBES'!$B$7:$B$2506,0))="","",INDEX('REGISTRE TUBES'!$D$7:$D$2506,MATCH($C577,'REGISTRE TUBES'!$B$7:$B$2506,0))),"?"))</f>
        <v/>
      </c>
      <c r="F577" s="93" t="n">
        <f aca="false">IF($C577="","",IFERROR(IF(INDEX('REGISTRE TUBES'!$F$7:$F$2506,MATCH($C577,'REGISTRE TUBES'!$B$7:$B$2506,0))="","",INDEX('REGISTRE TUBES'!$F$7:$F$2506,MATCH($C577,'REGISTRE TUBES'!$B$7:$B$2506,0))),"?"))</f>
        <v>11.94</v>
      </c>
      <c r="G577" s="94" t="n">
        <f aca="false">IF($C577="","",N(G576)+N(F577))</f>
        <v>4656.63</v>
      </c>
      <c r="H577" s="95" t="s">
        <v>1482</v>
      </c>
      <c r="I577" s="96"/>
      <c r="J577" s="97"/>
    </row>
    <row r="578" customFormat="false" ht="15" hidden="false" customHeight="false" outlineLevel="0" collapsed="false">
      <c r="B578" s="98" t="n">
        <v>394</v>
      </c>
      <c r="C578" s="99" t="n">
        <v>2082560</v>
      </c>
      <c r="D578" s="100" t="n">
        <f aca="false">IF($C578="","",IFERROR(IF(INDEX('REGISTRE TUBES'!$C$7:$C$2506,MATCH($C578,'REGISTRE TUBES'!$B$7:$B$2506,0))="","",INDEX('REGISTRE TUBES'!$C$7:$C$2506,MATCH($C578,'REGISTRE TUBES'!$B$7:$B$2506,0))),"?"))</f>
        <v>15421104</v>
      </c>
      <c r="E578" s="100" t="str">
        <f aca="false">IF($C578="","",IFERROR(IF(INDEX('REGISTRE TUBES'!$D$7:$D$2506,MATCH($C578,'REGISTRE TUBES'!$B$7:$B$2506,0))="","",INDEX('REGISTRE TUBES'!$D$7:$D$2506,MATCH($C578,'REGISTRE TUBES'!$B$7:$B$2506,0))),"?"))</f>
        <v/>
      </c>
      <c r="F578" s="101" t="n">
        <f aca="false">IF($C578="","",IFERROR(IF(INDEX('REGISTRE TUBES'!$F$7:$F$2506,MATCH($C578,'REGISTRE TUBES'!$B$7:$B$2506,0))="","",INDEX('REGISTRE TUBES'!$F$7:$F$2506,MATCH($C578,'REGISTRE TUBES'!$B$7:$B$2506,0))),"?"))</f>
        <v>11.94</v>
      </c>
      <c r="G578" s="102" t="n">
        <f aca="false">IF($C578="","",N(G577)+N(F578))</f>
        <v>4668.57</v>
      </c>
      <c r="H578" s="103" t="s">
        <v>1483</v>
      </c>
      <c r="I578" s="104"/>
      <c r="J578" s="105"/>
    </row>
    <row r="579" customFormat="false" ht="15" hidden="false" customHeight="false" outlineLevel="0" collapsed="false">
      <c r="B579" s="90" t="n">
        <v>395</v>
      </c>
      <c r="C579" s="91" t="n">
        <v>2095820</v>
      </c>
      <c r="D579" s="92" t="n">
        <f aca="false">IF($C579="","",IFERROR(IF(INDEX('REGISTRE TUBES'!$C$7:$C$2506,MATCH($C579,'REGISTRE TUBES'!$B$7:$B$2506,0))="","",INDEX('REGISTRE TUBES'!$C$7:$C$2506,MATCH($C579,'REGISTRE TUBES'!$B$7:$B$2506,0))),"?"))</f>
        <v>15421101</v>
      </c>
      <c r="E579" s="92" t="str">
        <f aca="false">IF($C579="","",IFERROR(IF(INDEX('REGISTRE TUBES'!$D$7:$D$2506,MATCH($C579,'REGISTRE TUBES'!$B$7:$B$2506,0))="","",INDEX('REGISTRE TUBES'!$D$7:$D$2506,MATCH($C579,'REGISTRE TUBES'!$B$7:$B$2506,0))),"?"))</f>
        <v/>
      </c>
      <c r="F579" s="93" t="n">
        <f aca="false">IF($C579="","",IFERROR(IF(INDEX('REGISTRE TUBES'!$F$7:$F$2506,MATCH($C579,'REGISTRE TUBES'!$B$7:$B$2506,0))="","",INDEX('REGISTRE TUBES'!$F$7:$F$2506,MATCH($C579,'REGISTRE TUBES'!$B$7:$B$2506,0))),"?"))</f>
        <v>11.94</v>
      </c>
      <c r="G579" s="94" t="n">
        <f aca="false">IF($C579="","",N(G578)+N(F579))</f>
        <v>4680.51</v>
      </c>
      <c r="H579" s="95" t="s">
        <v>1484</v>
      </c>
      <c r="I579" s="96"/>
      <c r="J579" s="97"/>
    </row>
    <row r="580" customFormat="false" ht="15" hidden="false" customHeight="false" outlineLevel="0" collapsed="false">
      <c r="B580" s="98" t="n">
        <v>396</v>
      </c>
      <c r="C580" s="99" t="n">
        <v>2086590</v>
      </c>
      <c r="D580" s="100" t="n">
        <f aca="false">IF($C580="","",IFERROR(IF(INDEX('REGISTRE TUBES'!$C$7:$C$2506,MATCH($C580,'REGISTRE TUBES'!$B$7:$B$2506,0))="","",INDEX('REGISTRE TUBES'!$C$7:$C$2506,MATCH($C580,'REGISTRE TUBES'!$B$7:$B$2506,0))),"?"))</f>
        <v>15421107</v>
      </c>
      <c r="E580" s="100" t="str">
        <f aca="false">IF($C580="","",IFERROR(IF(INDEX('REGISTRE TUBES'!$D$7:$D$2506,MATCH($C580,'REGISTRE TUBES'!$B$7:$B$2506,0))="","",INDEX('REGISTRE TUBES'!$D$7:$D$2506,MATCH($C580,'REGISTRE TUBES'!$B$7:$B$2506,0))),"?"))</f>
        <v/>
      </c>
      <c r="F580" s="101" t="n">
        <f aca="false">IF($C580="","",IFERROR(IF(INDEX('REGISTRE TUBES'!$F$7:$F$2506,MATCH($C580,'REGISTRE TUBES'!$B$7:$B$2506,0))="","",INDEX('REGISTRE TUBES'!$F$7:$F$2506,MATCH($C580,'REGISTRE TUBES'!$B$7:$B$2506,0))),"?"))</f>
        <v>11.94</v>
      </c>
      <c r="G580" s="102" t="n">
        <f aca="false">IF($C580="","",N(G579)+N(F580))</f>
        <v>4692.45</v>
      </c>
      <c r="H580" s="103" t="s">
        <v>1485</v>
      </c>
      <c r="I580" s="104"/>
      <c r="J580" s="105"/>
    </row>
    <row r="581" customFormat="false" ht="15" hidden="false" customHeight="false" outlineLevel="0" collapsed="false">
      <c r="B581" s="90" t="n">
        <v>397</v>
      </c>
      <c r="C581" s="91" t="n">
        <v>2080260</v>
      </c>
      <c r="D581" s="92" t="n">
        <f aca="false">IF($C581="","",IFERROR(IF(INDEX('REGISTRE TUBES'!$C$7:$C$2506,MATCH($C581,'REGISTRE TUBES'!$B$7:$B$2506,0))="","",INDEX('REGISTRE TUBES'!$C$7:$C$2506,MATCH($C581,'REGISTRE TUBES'!$B$7:$B$2506,0))),"?"))</f>
        <v>15421101</v>
      </c>
      <c r="E581" s="92" t="str">
        <f aca="false">IF($C581="","",IFERROR(IF(INDEX('REGISTRE TUBES'!$D$7:$D$2506,MATCH($C581,'REGISTRE TUBES'!$B$7:$B$2506,0))="","",INDEX('REGISTRE TUBES'!$D$7:$D$2506,MATCH($C581,'REGISTRE TUBES'!$B$7:$B$2506,0))),"?"))</f>
        <v/>
      </c>
      <c r="F581" s="93" t="n">
        <f aca="false">IF($C581="","",IFERROR(IF(INDEX('REGISTRE TUBES'!$F$7:$F$2506,MATCH($C581,'REGISTRE TUBES'!$B$7:$B$2506,0))="","",INDEX('REGISTRE TUBES'!$F$7:$F$2506,MATCH($C581,'REGISTRE TUBES'!$B$7:$B$2506,0))),"?"))</f>
        <v>11.94</v>
      </c>
      <c r="G581" s="94" t="n">
        <f aca="false">IF($C581="","",N(G580)+N(F581))</f>
        <v>4704.39</v>
      </c>
      <c r="H581" s="95" t="s">
        <v>1486</v>
      </c>
      <c r="I581" s="96"/>
      <c r="J581" s="97"/>
    </row>
    <row r="582" customFormat="false" ht="15" hidden="false" customHeight="false" outlineLevel="0" collapsed="false">
      <c r="B582" s="98" t="n">
        <v>398</v>
      </c>
      <c r="C582" s="99" t="n">
        <v>2086910</v>
      </c>
      <c r="D582" s="100" t="n">
        <f aca="false">IF($C582="","",IFERROR(IF(INDEX('REGISTRE TUBES'!$C$7:$C$2506,MATCH($C582,'REGISTRE TUBES'!$B$7:$B$2506,0))="","",INDEX('REGISTRE TUBES'!$C$7:$C$2506,MATCH($C582,'REGISTRE TUBES'!$B$7:$B$2506,0))),"?"))</f>
        <v>15421101</v>
      </c>
      <c r="E582" s="100" t="str">
        <f aca="false">IF($C582="","",IFERROR(IF(INDEX('REGISTRE TUBES'!$D$7:$D$2506,MATCH($C582,'REGISTRE TUBES'!$B$7:$B$2506,0))="","",INDEX('REGISTRE TUBES'!$D$7:$D$2506,MATCH($C582,'REGISTRE TUBES'!$B$7:$B$2506,0))),"?"))</f>
        <v/>
      </c>
      <c r="F582" s="101" t="n">
        <f aca="false">IF($C582="","",IFERROR(IF(INDEX('REGISTRE TUBES'!$F$7:$F$2506,MATCH($C582,'REGISTRE TUBES'!$B$7:$B$2506,0))="","",INDEX('REGISTRE TUBES'!$F$7:$F$2506,MATCH($C582,'REGISTRE TUBES'!$B$7:$B$2506,0))),"?"))</f>
        <v>11.94</v>
      </c>
      <c r="G582" s="102" t="n">
        <f aca="false">IF($C582="","",N(G581)+N(F582))</f>
        <v>4716.33</v>
      </c>
      <c r="H582" s="103" t="s">
        <v>1488</v>
      </c>
      <c r="I582" s="104"/>
      <c r="J582" s="105"/>
    </row>
    <row r="583" customFormat="false" ht="15" hidden="false" customHeight="false" outlineLevel="0" collapsed="false">
      <c r="B583" s="90" t="n">
        <v>399</v>
      </c>
      <c r="C583" s="91" t="n">
        <v>2094050</v>
      </c>
      <c r="D583" s="92" t="n">
        <f aca="false">IF($C583="","",IFERROR(IF(INDEX('REGISTRE TUBES'!$C$7:$C$2506,MATCH($C583,'REGISTRE TUBES'!$B$7:$B$2506,0))="","",INDEX('REGISTRE TUBES'!$C$7:$C$2506,MATCH($C583,'REGISTRE TUBES'!$B$7:$B$2506,0))),"?"))</f>
        <v>15421110</v>
      </c>
      <c r="E583" s="92" t="str">
        <f aca="false">IF($C583="","",IFERROR(IF(INDEX('REGISTRE TUBES'!$D$7:$D$2506,MATCH($C583,'REGISTRE TUBES'!$B$7:$B$2506,0))="","",INDEX('REGISTRE TUBES'!$D$7:$D$2506,MATCH($C583,'REGISTRE TUBES'!$B$7:$B$2506,0))),"?"))</f>
        <v/>
      </c>
      <c r="F583" s="93" t="n">
        <f aca="false">IF($C583="","",IFERROR(IF(INDEX('REGISTRE TUBES'!$F$7:$F$2506,MATCH($C583,'REGISTRE TUBES'!$B$7:$B$2506,0))="","",INDEX('REGISTRE TUBES'!$F$7:$F$2506,MATCH($C583,'REGISTRE TUBES'!$B$7:$B$2506,0))),"?"))</f>
        <v>11.94</v>
      </c>
      <c r="G583" s="94" t="n">
        <f aca="false">IF($C583="","",N(G582)+N(F583))</f>
        <v>4728.27</v>
      </c>
      <c r="H583" s="95" t="s">
        <v>1489</v>
      </c>
      <c r="I583" s="96"/>
      <c r="J583" s="97"/>
    </row>
    <row r="584" customFormat="false" ht="15" hidden="false" customHeight="true" outlineLevel="0" collapsed="false">
      <c r="B584" s="106" t="s">
        <v>3031</v>
      </c>
      <c r="C584" s="106"/>
      <c r="D584" s="106"/>
      <c r="E584" s="106"/>
      <c r="F584" s="107" t="n">
        <f aca="false">SUM(F565:F583)</f>
        <v>226.86</v>
      </c>
      <c r="G584" s="108" t="n">
        <f aca="false">IF(COUNT(G565:G583)=0,"",MAX(G565:G583))</f>
        <v>4728.27</v>
      </c>
      <c r="H584" s="106" t="str">
        <f aca="false">COUNTA(C565:C583)&amp;" tube(s)"</f>
        <v>19 tube(s)</v>
      </c>
      <c r="I584" s="106"/>
      <c r="J584" s="106"/>
    </row>
    <row r="586" customFormat="false" ht="15" hidden="false" customHeight="false" outlineLevel="0" collapsed="false">
      <c r="B586" s="109" t="s">
        <v>3032</v>
      </c>
      <c r="F586" s="109" t="s">
        <v>3033</v>
      </c>
      <c r="I586" s="109" t="s">
        <v>3034</v>
      </c>
    </row>
    <row r="589" customFormat="false" ht="25.5" hidden="false" customHeight="true" outlineLevel="0" collapsed="false">
      <c r="B589" s="85" t="s">
        <v>3015</v>
      </c>
      <c r="C589" s="85"/>
      <c r="D589" s="85"/>
      <c r="E589" s="85"/>
      <c r="F589" s="85"/>
      <c r="G589" s="85"/>
      <c r="H589" s="85"/>
      <c r="I589" s="85"/>
      <c r="J589" s="85"/>
    </row>
    <row r="590" customFormat="false" ht="15" hidden="false" customHeight="false" outlineLevel="0" collapsed="false">
      <c r="B590" s="86" t="str">
        <f aca="false">PARAMÈTRES!$C$4&amp;"   •   Affaire N° "&amp;PARAMÈTRES!$C$5</f>
        <v>Développement des champs gaziers TFT II — réseau de collecte TFT Sud (LIGNE-16)   •   Affaire N° 8546</v>
      </c>
      <c r="C590" s="86"/>
      <c r="D590" s="86"/>
      <c r="E590" s="86"/>
      <c r="F590" s="86"/>
      <c r="G590" s="86"/>
      <c r="H590" s="86"/>
      <c r="I590" s="86"/>
      <c r="J590" s="86"/>
    </row>
    <row r="591" customFormat="false" ht="19.5" hidden="false" customHeight="true" outlineLevel="0" collapsed="false">
      <c r="B591" s="87" t="s">
        <v>3016</v>
      </c>
      <c r="C591" s="88" t="s">
        <v>110</v>
      </c>
      <c r="D591" s="88"/>
      <c r="E591" s="87" t="s">
        <v>3017</v>
      </c>
      <c r="F591" s="88" t="s">
        <v>3075</v>
      </c>
      <c r="G591" s="87" t="s">
        <v>3019</v>
      </c>
      <c r="H591" s="88" t="s">
        <v>3076</v>
      </c>
      <c r="I591" s="87" t="s">
        <v>3021</v>
      </c>
      <c r="J591" s="89"/>
    </row>
    <row r="592" customFormat="false" ht="27.75" hidden="false" customHeight="true" outlineLevel="0" collapsed="false">
      <c r="B592" s="71" t="s">
        <v>3022</v>
      </c>
      <c r="C592" s="71" t="s">
        <v>3023</v>
      </c>
      <c r="D592" s="71" t="s">
        <v>3024</v>
      </c>
      <c r="E592" s="71" t="s">
        <v>3025</v>
      </c>
      <c r="F592" s="71" t="s">
        <v>3026</v>
      </c>
      <c r="G592" s="71" t="s">
        <v>3027</v>
      </c>
      <c r="H592" s="71" t="s">
        <v>3028</v>
      </c>
      <c r="I592" s="71" t="s">
        <v>3029</v>
      </c>
      <c r="J592" s="71" t="s">
        <v>3030</v>
      </c>
    </row>
    <row r="593" customFormat="false" ht="15" hidden="false" customHeight="false" outlineLevel="0" collapsed="false">
      <c r="B593" s="90" t="n">
        <v>400</v>
      </c>
      <c r="C593" s="91" t="n">
        <v>2086460</v>
      </c>
      <c r="D593" s="92" t="n">
        <f aca="false">IF($C593="","",IFERROR(IF(INDEX('REGISTRE TUBES'!$C$7:$C$2506,MATCH($C593,'REGISTRE TUBES'!$B$7:$B$2506,0))="","",INDEX('REGISTRE TUBES'!$C$7:$C$2506,MATCH($C593,'REGISTRE TUBES'!$B$7:$B$2506,0))),"?"))</f>
        <v>15421107</v>
      </c>
      <c r="E593" s="92" t="str">
        <f aca="false">IF($C593="","",IFERROR(IF(INDEX('REGISTRE TUBES'!$D$7:$D$2506,MATCH($C593,'REGISTRE TUBES'!$B$7:$B$2506,0))="","",INDEX('REGISTRE TUBES'!$D$7:$D$2506,MATCH($C593,'REGISTRE TUBES'!$B$7:$B$2506,0))),"?"))</f>
        <v/>
      </c>
      <c r="F593" s="93" t="n">
        <f aca="false">IF($C593="","",IFERROR(IF(INDEX('REGISTRE TUBES'!$F$7:$F$2506,MATCH($C593,'REGISTRE TUBES'!$B$7:$B$2506,0))="","",INDEX('REGISTRE TUBES'!$F$7:$F$2506,MATCH($C593,'REGISTRE TUBES'!$B$7:$B$2506,0))),"?"))</f>
        <v>11.94</v>
      </c>
      <c r="G593" s="94" t="n">
        <f aca="false">IF($C593="","",N(G583)+N(F593))</f>
        <v>4740.21</v>
      </c>
      <c r="H593" s="95" t="s">
        <v>1490</v>
      </c>
      <c r="I593" s="96"/>
      <c r="J593" s="97"/>
    </row>
    <row r="594" customFormat="false" ht="15" hidden="false" customHeight="false" outlineLevel="0" collapsed="false">
      <c r="B594" s="98" t="n">
        <v>401</v>
      </c>
      <c r="C594" s="99" t="n">
        <v>2093910</v>
      </c>
      <c r="D594" s="100" t="n">
        <f aca="false">IF($C594="","",IFERROR(IF(INDEX('REGISTRE TUBES'!$C$7:$C$2506,MATCH($C594,'REGISTRE TUBES'!$B$7:$B$2506,0))="","",INDEX('REGISTRE TUBES'!$C$7:$C$2506,MATCH($C594,'REGISTRE TUBES'!$B$7:$B$2506,0))),"?"))</f>
        <v>15421110</v>
      </c>
      <c r="E594" s="100" t="str">
        <f aca="false">IF($C594="","",IFERROR(IF(INDEX('REGISTRE TUBES'!$D$7:$D$2506,MATCH($C594,'REGISTRE TUBES'!$B$7:$B$2506,0))="","",INDEX('REGISTRE TUBES'!$D$7:$D$2506,MATCH($C594,'REGISTRE TUBES'!$B$7:$B$2506,0))),"?"))</f>
        <v/>
      </c>
      <c r="F594" s="101" t="n">
        <f aca="false">IF($C594="","",IFERROR(IF(INDEX('REGISTRE TUBES'!$F$7:$F$2506,MATCH($C594,'REGISTRE TUBES'!$B$7:$B$2506,0))="","",INDEX('REGISTRE TUBES'!$F$7:$F$2506,MATCH($C594,'REGISTRE TUBES'!$B$7:$B$2506,0))),"?"))</f>
        <v>11.94</v>
      </c>
      <c r="G594" s="102" t="n">
        <f aca="false">IF($C594="","",N(G593)+N(F594))</f>
        <v>4752.14999999999</v>
      </c>
      <c r="H594" s="103" t="s">
        <v>1491</v>
      </c>
      <c r="I594" s="104"/>
      <c r="J594" s="105"/>
    </row>
    <row r="595" customFormat="false" ht="15" hidden="false" customHeight="false" outlineLevel="0" collapsed="false">
      <c r="B595" s="90" t="n">
        <v>402</v>
      </c>
      <c r="C595" s="91" t="n">
        <v>2084040</v>
      </c>
      <c r="D595" s="92" t="n">
        <f aca="false">IF($C595="","",IFERROR(IF(INDEX('REGISTRE TUBES'!$C$7:$C$2506,MATCH($C595,'REGISTRE TUBES'!$B$7:$B$2506,0))="","",INDEX('REGISTRE TUBES'!$C$7:$C$2506,MATCH($C595,'REGISTRE TUBES'!$B$7:$B$2506,0))),"?"))</f>
        <v>15421101</v>
      </c>
      <c r="E595" s="92" t="str">
        <f aca="false">IF($C595="","",IFERROR(IF(INDEX('REGISTRE TUBES'!$D$7:$D$2506,MATCH($C595,'REGISTRE TUBES'!$B$7:$B$2506,0))="","",INDEX('REGISTRE TUBES'!$D$7:$D$2506,MATCH($C595,'REGISTRE TUBES'!$B$7:$B$2506,0))),"?"))</f>
        <v/>
      </c>
      <c r="F595" s="93" t="n">
        <f aca="false">IF($C595="","",IFERROR(IF(INDEX('REGISTRE TUBES'!$F$7:$F$2506,MATCH($C595,'REGISTRE TUBES'!$B$7:$B$2506,0))="","",INDEX('REGISTRE TUBES'!$F$7:$F$2506,MATCH($C595,'REGISTRE TUBES'!$B$7:$B$2506,0))),"?"))</f>
        <v>11.94</v>
      </c>
      <c r="G595" s="94" t="n">
        <f aca="false">IF($C595="","",N(G594)+N(F595))</f>
        <v>4764.08999999999</v>
      </c>
      <c r="H595" s="95" t="s">
        <v>1492</v>
      </c>
      <c r="I595" s="96"/>
      <c r="J595" s="97"/>
    </row>
    <row r="596" customFormat="false" ht="15" hidden="false" customHeight="false" outlineLevel="0" collapsed="false">
      <c r="B596" s="98" t="n">
        <v>403</v>
      </c>
      <c r="C596" s="99" t="n">
        <v>2085560</v>
      </c>
      <c r="D596" s="100" t="n">
        <f aca="false">IF($C596="","",IFERROR(IF(INDEX('REGISTRE TUBES'!$C$7:$C$2506,MATCH($C596,'REGISTRE TUBES'!$B$7:$B$2506,0))="","",INDEX('REGISTRE TUBES'!$C$7:$C$2506,MATCH($C596,'REGISTRE TUBES'!$B$7:$B$2506,0))),"?"))</f>
        <v>15421110</v>
      </c>
      <c r="E596" s="100" t="str">
        <f aca="false">IF($C596="","",IFERROR(IF(INDEX('REGISTRE TUBES'!$D$7:$D$2506,MATCH($C596,'REGISTRE TUBES'!$B$7:$B$2506,0))="","",INDEX('REGISTRE TUBES'!$D$7:$D$2506,MATCH($C596,'REGISTRE TUBES'!$B$7:$B$2506,0))),"?"))</f>
        <v/>
      </c>
      <c r="F596" s="101" t="n">
        <f aca="false">IF($C596="","",IFERROR(IF(INDEX('REGISTRE TUBES'!$F$7:$F$2506,MATCH($C596,'REGISTRE TUBES'!$B$7:$B$2506,0))="","",INDEX('REGISTRE TUBES'!$F$7:$F$2506,MATCH($C596,'REGISTRE TUBES'!$B$7:$B$2506,0))),"?"))</f>
        <v>11.94</v>
      </c>
      <c r="G596" s="102" t="n">
        <f aca="false">IF($C596="","",N(G595)+N(F596))</f>
        <v>4776.02999999999</v>
      </c>
      <c r="H596" s="103" t="s">
        <v>1493</v>
      </c>
      <c r="I596" s="104"/>
      <c r="J596" s="105"/>
    </row>
    <row r="597" customFormat="false" ht="15" hidden="false" customHeight="false" outlineLevel="0" collapsed="false">
      <c r="B597" s="90" t="n">
        <v>404</v>
      </c>
      <c r="C597" s="91" t="n">
        <v>2086560</v>
      </c>
      <c r="D597" s="92" t="n">
        <f aca="false">IF($C597="","",IFERROR(IF(INDEX('REGISTRE TUBES'!$C$7:$C$2506,MATCH($C597,'REGISTRE TUBES'!$B$7:$B$2506,0))="","",INDEX('REGISTRE TUBES'!$C$7:$C$2506,MATCH($C597,'REGISTRE TUBES'!$B$7:$B$2506,0))),"?"))</f>
        <v>15421107</v>
      </c>
      <c r="E597" s="92" t="str">
        <f aca="false">IF($C597="","",IFERROR(IF(INDEX('REGISTRE TUBES'!$D$7:$D$2506,MATCH($C597,'REGISTRE TUBES'!$B$7:$B$2506,0))="","",INDEX('REGISTRE TUBES'!$D$7:$D$2506,MATCH($C597,'REGISTRE TUBES'!$B$7:$B$2506,0))),"?"))</f>
        <v/>
      </c>
      <c r="F597" s="93" t="n">
        <f aca="false">IF($C597="","",IFERROR(IF(INDEX('REGISTRE TUBES'!$F$7:$F$2506,MATCH($C597,'REGISTRE TUBES'!$B$7:$B$2506,0))="","",INDEX('REGISTRE TUBES'!$F$7:$F$2506,MATCH($C597,'REGISTRE TUBES'!$B$7:$B$2506,0))),"?"))</f>
        <v>11.94</v>
      </c>
      <c r="G597" s="94" t="n">
        <f aca="false">IF($C597="","",N(G596)+N(F597))</f>
        <v>4787.96999999999</v>
      </c>
      <c r="H597" s="95" t="s">
        <v>1494</v>
      </c>
      <c r="I597" s="96"/>
      <c r="J597" s="97"/>
    </row>
    <row r="598" customFormat="false" ht="15" hidden="false" customHeight="false" outlineLevel="0" collapsed="false">
      <c r="B598" s="98" t="n">
        <v>405</v>
      </c>
      <c r="C598" s="99" t="n">
        <v>2087010</v>
      </c>
      <c r="D598" s="100" t="n">
        <f aca="false">IF($C598="","",IFERROR(IF(INDEX('REGISTRE TUBES'!$C$7:$C$2506,MATCH($C598,'REGISTRE TUBES'!$B$7:$B$2506,0))="","",INDEX('REGISTRE TUBES'!$C$7:$C$2506,MATCH($C598,'REGISTRE TUBES'!$B$7:$B$2506,0))),"?"))</f>
        <v>15421107</v>
      </c>
      <c r="E598" s="100" t="str">
        <f aca="false">IF($C598="","",IFERROR(IF(INDEX('REGISTRE TUBES'!$D$7:$D$2506,MATCH($C598,'REGISTRE TUBES'!$B$7:$B$2506,0))="","",INDEX('REGISTRE TUBES'!$D$7:$D$2506,MATCH($C598,'REGISTRE TUBES'!$B$7:$B$2506,0))),"?"))</f>
        <v/>
      </c>
      <c r="F598" s="101" t="n">
        <f aca="false">IF($C598="","",IFERROR(IF(INDEX('REGISTRE TUBES'!$F$7:$F$2506,MATCH($C598,'REGISTRE TUBES'!$B$7:$B$2506,0))="","",INDEX('REGISTRE TUBES'!$F$7:$F$2506,MATCH($C598,'REGISTRE TUBES'!$B$7:$B$2506,0))),"?"))</f>
        <v>11.94</v>
      </c>
      <c r="G598" s="102" t="n">
        <f aca="false">IF($C598="","",N(G597)+N(F598))</f>
        <v>4799.90999999999</v>
      </c>
      <c r="H598" s="103" t="s">
        <v>1497</v>
      </c>
      <c r="I598" s="104"/>
      <c r="J598" s="105"/>
    </row>
    <row r="599" customFormat="false" ht="15" hidden="false" customHeight="false" outlineLevel="0" collapsed="false">
      <c r="B599" s="90" t="n">
        <v>406</v>
      </c>
      <c r="C599" s="91" t="n">
        <v>2081090</v>
      </c>
      <c r="D599" s="92" t="n">
        <f aca="false">IF($C599="","",IFERROR(IF(INDEX('REGISTRE TUBES'!$C$7:$C$2506,MATCH($C599,'REGISTRE TUBES'!$B$7:$B$2506,0))="","",INDEX('REGISTRE TUBES'!$C$7:$C$2506,MATCH($C599,'REGISTRE TUBES'!$B$7:$B$2506,0))),"?"))</f>
        <v>15421103</v>
      </c>
      <c r="E599" s="92" t="str">
        <f aca="false">IF($C599="","",IFERROR(IF(INDEX('REGISTRE TUBES'!$D$7:$D$2506,MATCH($C599,'REGISTRE TUBES'!$B$7:$B$2506,0))="","",INDEX('REGISTRE TUBES'!$D$7:$D$2506,MATCH($C599,'REGISTRE TUBES'!$B$7:$B$2506,0))),"?"))</f>
        <v/>
      </c>
      <c r="F599" s="93" t="n">
        <f aca="false">IF($C599="","",IFERROR(IF(INDEX('REGISTRE TUBES'!$F$7:$F$2506,MATCH($C599,'REGISTRE TUBES'!$B$7:$B$2506,0))="","",INDEX('REGISTRE TUBES'!$F$7:$F$2506,MATCH($C599,'REGISTRE TUBES'!$B$7:$B$2506,0))),"?"))</f>
        <v>11.94</v>
      </c>
      <c r="G599" s="94" t="n">
        <f aca="false">IF($C599="","",N(G598)+N(F599))</f>
        <v>4811.84999999999</v>
      </c>
      <c r="H599" s="95" t="s">
        <v>1498</v>
      </c>
      <c r="I599" s="96"/>
      <c r="J599" s="97"/>
    </row>
    <row r="600" customFormat="false" ht="15" hidden="false" customHeight="false" outlineLevel="0" collapsed="false">
      <c r="B600" s="98" t="n">
        <v>407</v>
      </c>
      <c r="C600" s="99" t="n">
        <v>2080530</v>
      </c>
      <c r="D600" s="100" t="n">
        <f aca="false">IF($C600="","",IFERROR(IF(INDEX('REGISTRE TUBES'!$C$7:$C$2506,MATCH($C600,'REGISTRE TUBES'!$B$7:$B$2506,0))="","",INDEX('REGISTRE TUBES'!$C$7:$C$2506,MATCH($C600,'REGISTRE TUBES'!$B$7:$B$2506,0))),"?"))</f>
        <v>15421103</v>
      </c>
      <c r="E600" s="100" t="str">
        <f aca="false">IF($C600="","",IFERROR(IF(INDEX('REGISTRE TUBES'!$D$7:$D$2506,MATCH($C600,'REGISTRE TUBES'!$B$7:$B$2506,0))="","",INDEX('REGISTRE TUBES'!$D$7:$D$2506,MATCH($C600,'REGISTRE TUBES'!$B$7:$B$2506,0))),"?"))</f>
        <v/>
      </c>
      <c r="F600" s="101" t="n">
        <f aca="false">IF($C600="","",IFERROR(IF(INDEX('REGISTRE TUBES'!$F$7:$F$2506,MATCH($C600,'REGISTRE TUBES'!$B$7:$B$2506,0))="","",INDEX('REGISTRE TUBES'!$F$7:$F$2506,MATCH($C600,'REGISTRE TUBES'!$B$7:$B$2506,0))),"?"))</f>
        <v>11.94</v>
      </c>
      <c r="G600" s="102" t="n">
        <f aca="false">IF($C600="","",N(G599)+N(F600))</f>
        <v>4823.78999999999</v>
      </c>
      <c r="H600" s="103" t="s">
        <v>1501</v>
      </c>
      <c r="I600" s="104"/>
      <c r="J600" s="105"/>
    </row>
    <row r="601" customFormat="false" ht="15" hidden="false" customHeight="false" outlineLevel="0" collapsed="false">
      <c r="B601" s="90" t="n">
        <v>408</v>
      </c>
      <c r="C601" s="91" t="n">
        <v>2091940</v>
      </c>
      <c r="D601" s="92" t="n">
        <f aca="false">IF($C601="","",IFERROR(IF(INDEX('REGISTRE TUBES'!$C$7:$C$2506,MATCH($C601,'REGISTRE TUBES'!$B$7:$B$2506,0))="","",INDEX('REGISTRE TUBES'!$C$7:$C$2506,MATCH($C601,'REGISTRE TUBES'!$B$7:$B$2506,0))),"?"))</f>
        <v>15421109</v>
      </c>
      <c r="E601" s="92" t="str">
        <f aca="false">IF($C601="","",IFERROR(IF(INDEX('REGISTRE TUBES'!$D$7:$D$2506,MATCH($C601,'REGISTRE TUBES'!$B$7:$B$2506,0))="","",INDEX('REGISTRE TUBES'!$D$7:$D$2506,MATCH($C601,'REGISTRE TUBES'!$B$7:$B$2506,0))),"?"))</f>
        <v/>
      </c>
      <c r="F601" s="93" t="n">
        <f aca="false">IF($C601="","",IFERROR(IF(INDEX('REGISTRE TUBES'!$F$7:$F$2506,MATCH($C601,'REGISTRE TUBES'!$B$7:$B$2506,0))="","",INDEX('REGISTRE TUBES'!$F$7:$F$2506,MATCH($C601,'REGISTRE TUBES'!$B$7:$B$2506,0))),"?"))</f>
        <v>11.94</v>
      </c>
      <c r="G601" s="94" t="n">
        <f aca="false">IF($C601="","",N(G600)+N(F601))</f>
        <v>4835.72999999999</v>
      </c>
      <c r="H601" s="95" t="s">
        <v>1502</v>
      </c>
      <c r="I601" s="96"/>
      <c r="J601" s="97"/>
    </row>
    <row r="602" customFormat="false" ht="15" hidden="false" customHeight="false" outlineLevel="0" collapsed="false">
      <c r="B602" s="98" t="n">
        <v>409</v>
      </c>
      <c r="C602" s="99" t="n">
        <v>2090760</v>
      </c>
      <c r="D602" s="100" t="n">
        <f aca="false">IF($C602="","",IFERROR(IF(INDEX('REGISTRE TUBES'!$C$7:$C$2506,MATCH($C602,'REGISTRE TUBES'!$B$7:$B$2506,0))="","",INDEX('REGISTRE TUBES'!$C$7:$C$2506,MATCH($C602,'REGISTRE TUBES'!$B$7:$B$2506,0))),"?"))</f>
        <v>15421109</v>
      </c>
      <c r="E602" s="100" t="str">
        <f aca="false">IF($C602="","",IFERROR(IF(INDEX('REGISTRE TUBES'!$D$7:$D$2506,MATCH($C602,'REGISTRE TUBES'!$B$7:$B$2506,0))="","",INDEX('REGISTRE TUBES'!$D$7:$D$2506,MATCH($C602,'REGISTRE TUBES'!$B$7:$B$2506,0))),"?"))</f>
        <v/>
      </c>
      <c r="F602" s="101" t="n">
        <f aca="false">IF($C602="","",IFERROR(IF(INDEX('REGISTRE TUBES'!$F$7:$F$2506,MATCH($C602,'REGISTRE TUBES'!$B$7:$B$2506,0))="","",INDEX('REGISTRE TUBES'!$F$7:$F$2506,MATCH($C602,'REGISTRE TUBES'!$B$7:$B$2506,0))),"?"))</f>
        <v>11.94</v>
      </c>
      <c r="G602" s="102" t="n">
        <f aca="false">IF($C602="","",N(G601)+N(F602))</f>
        <v>4847.66999999999</v>
      </c>
      <c r="H602" s="103" t="s">
        <v>1503</v>
      </c>
      <c r="I602" s="104"/>
      <c r="J602" s="105"/>
    </row>
    <row r="603" customFormat="false" ht="15" hidden="false" customHeight="false" outlineLevel="0" collapsed="false">
      <c r="B603" s="90" t="n">
        <v>410</v>
      </c>
      <c r="C603" s="91" t="n">
        <v>2086240</v>
      </c>
      <c r="D603" s="92" t="n">
        <f aca="false">IF($C603="","",IFERROR(IF(INDEX('REGISTRE TUBES'!$C$7:$C$2506,MATCH($C603,'REGISTRE TUBES'!$B$7:$B$2506,0))="","",INDEX('REGISTRE TUBES'!$C$7:$C$2506,MATCH($C603,'REGISTRE TUBES'!$B$7:$B$2506,0))),"?"))</f>
        <v>15421107</v>
      </c>
      <c r="E603" s="92" t="str">
        <f aca="false">IF($C603="","",IFERROR(IF(INDEX('REGISTRE TUBES'!$D$7:$D$2506,MATCH($C603,'REGISTRE TUBES'!$B$7:$B$2506,0))="","",INDEX('REGISTRE TUBES'!$D$7:$D$2506,MATCH($C603,'REGISTRE TUBES'!$B$7:$B$2506,0))),"?"))</f>
        <v/>
      </c>
      <c r="F603" s="93" t="n">
        <f aca="false">IF($C603="","",IFERROR(IF(INDEX('REGISTRE TUBES'!$F$7:$F$2506,MATCH($C603,'REGISTRE TUBES'!$B$7:$B$2506,0))="","",INDEX('REGISTRE TUBES'!$F$7:$F$2506,MATCH($C603,'REGISTRE TUBES'!$B$7:$B$2506,0))),"?"))</f>
        <v>11.94</v>
      </c>
      <c r="G603" s="94" t="n">
        <f aca="false">IF($C603="","",N(G602)+N(F603))</f>
        <v>4859.60999999999</v>
      </c>
      <c r="H603" s="95" t="s">
        <v>1507</v>
      </c>
      <c r="I603" s="96"/>
      <c r="J603" s="97"/>
    </row>
    <row r="604" customFormat="false" ht="15" hidden="false" customHeight="false" outlineLevel="0" collapsed="false">
      <c r="B604" s="98" t="n">
        <v>411</v>
      </c>
      <c r="C604" s="99" t="n">
        <v>2085640</v>
      </c>
      <c r="D604" s="100" t="n">
        <f aca="false">IF($C604="","",IFERROR(IF(INDEX('REGISTRE TUBES'!$C$7:$C$2506,MATCH($C604,'REGISTRE TUBES'!$B$7:$B$2506,0))="","",INDEX('REGISTRE TUBES'!$C$7:$C$2506,MATCH($C604,'REGISTRE TUBES'!$B$7:$B$2506,0))),"?"))</f>
        <v>15421107</v>
      </c>
      <c r="E604" s="100" t="str">
        <f aca="false">IF($C604="","",IFERROR(IF(INDEX('REGISTRE TUBES'!$D$7:$D$2506,MATCH($C604,'REGISTRE TUBES'!$B$7:$B$2506,0))="","",INDEX('REGISTRE TUBES'!$D$7:$D$2506,MATCH($C604,'REGISTRE TUBES'!$B$7:$B$2506,0))),"?"))</f>
        <v/>
      </c>
      <c r="F604" s="101" t="n">
        <f aca="false">IF($C604="","",IFERROR(IF(INDEX('REGISTRE TUBES'!$F$7:$F$2506,MATCH($C604,'REGISTRE TUBES'!$B$7:$B$2506,0))="","",INDEX('REGISTRE TUBES'!$F$7:$F$2506,MATCH($C604,'REGISTRE TUBES'!$B$7:$B$2506,0))),"?"))</f>
        <v>11.94</v>
      </c>
      <c r="G604" s="102" t="n">
        <f aca="false">IF($C604="","",N(G603)+N(F604))</f>
        <v>4871.54999999999</v>
      </c>
      <c r="H604" s="103" t="s">
        <v>1508</v>
      </c>
      <c r="I604" s="104"/>
      <c r="J604" s="105"/>
    </row>
    <row r="605" customFormat="false" ht="15" hidden="false" customHeight="false" outlineLevel="0" collapsed="false">
      <c r="B605" s="90" t="n">
        <v>412</v>
      </c>
      <c r="C605" s="91" t="n">
        <v>2087020</v>
      </c>
      <c r="D605" s="92" t="n">
        <f aca="false">IF($C605="","",IFERROR(IF(INDEX('REGISTRE TUBES'!$C$7:$C$2506,MATCH($C605,'REGISTRE TUBES'!$B$7:$B$2506,0))="","",INDEX('REGISTRE TUBES'!$C$7:$C$2506,MATCH($C605,'REGISTRE TUBES'!$B$7:$B$2506,0))),"?"))</f>
        <v>15421107</v>
      </c>
      <c r="E605" s="92" t="str">
        <f aca="false">IF($C605="","",IFERROR(IF(INDEX('REGISTRE TUBES'!$D$7:$D$2506,MATCH($C605,'REGISTRE TUBES'!$B$7:$B$2506,0))="","",INDEX('REGISTRE TUBES'!$D$7:$D$2506,MATCH($C605,'REGISTRE TUBES'!$B$7:$B$2506,0))),"?"))</f>
        <v/>
      </c>
      <c r="F605" s="93" t="n">
        <f aca="false">IF($C605="","",IFERROR(IF(INDEX('REGISTRE TUBES'!$F$7:$F$2506,MATCH($C605,'REGISTRE TUBES'!$B$7:$B$2506,0))="","",INDEX('REGISTRE TUBES'!$F$7:$F$2506,MATCH($C605,'REGISTRE TUBES'!$B$7:$B$2506,0))),"?"))</f>
        <v>11.94</v>
      </c>
      <c r="G605" s="94" t="n">
        <f aca="false">IF($C605="","",N(G604)+N(F605))</f>
        <v>4883.48999999999</v>
      </c>
      <c r="H605" s="95" t="s">
        <v>1510</v>
      </c>
      <c r="I605" s="96"/>
      <c r="J605" s="97"/>
    </row>
    <row r="606" customFormat="false" ht="15" hidden="false" customHeight="false" outlineLevel="0" collapsed="false">
      <c r="B606" s="98" t="n">
        <v>413</v>
      </c>
      <c r="C606" s="99" t="n">
        <v>2079330</v>
      </c>
      <c r="D606" s="100" t="n">
        <f aca="false">IF($C606="","",IFERROR(IF(INDEX('REGISTRE TUBES'!$C$7:$C$2506,MATCH($C606,'REGISTRE TUBES'!$B$7:$B$2506,0))="","",INDEX('REGISTRE TUBES'!$C$7:$C$2506,MATCH($C606,'REGISTRE TUBES'!$B$7:$B$2506,0))),"?"))</f>
        <v>15421102</v>
      </c>
      <c r="E606" s="100" t="str">
        <f aca="false">IF($C606="","",IFERROR(IF(INDEX('REGISTRE TUBES'!$D$7:$D$2506,MATCH($C606,'REGISTRE TUBES'!$B$7:$B$2506,0))="","",INDEX('REGISTRE TUBES'!$D$7:$D$2506,MATCH($C606,'REGISTRE TUBES'!$B$7:$B$2506,0))),"?"))</f>
        <v/>
      </c>
      <c r="F606" s="101" t="n">
        <f aca="false">IF($C606="","",IFERROR(IF(INDEX('REGISTRE TUBES'!$F$7:$F$2506,MATCH($C606,'REGISTRE TUBES'!$B$7:$B$2506,0))="","",INDEX('REGISTRE TUBES'!$F$7:$F$2506,MATCH($C606,'REGISTRE TUBES'!$B$7:$B$2506,0))),"?"))</f>
        <v>11.94</v>
      </c>
      <c r="G606" s="102" t="n">
        <f aca="false">IF($C606="","",N(G605)+N(F606))</f>
        <v>4895.42999999999</v>
      </c>
      <c r="H606" s="103" t="s">
        <v>1511</v>
      </c>
      <c r="I606" s="104"/>
      <c r="J606" s="105"/>
    </row>
    <row r="607" customFormat="false" ht="15" hidden="false" customHeight="false" outlineLevel="0" collapsed="false">
      <c r="B607" s="90" t="n">
        <v>414</v>
      </c>
      <c r="C607" s="91" t="n">
        <v>2086700</v>
      </c>
      <c r="D607" s="92" t="n">
        <f aca="false">IF($C607="","",IFERROR(IF(INDEX('REGISTRE TUBES'!$C$7:$C$2506,MATCH($C607,'REGISTRE TUBES'!$B$7:$B$2506,0))="","",INDEX('REGISTRE TUBES'!$C$7:$C$2506,MATCH($C607,'REGISTRE TUBES'!$B$7:$B$2506,0))),"?"))</f>
        <v>15421107</v>
      </c>
      <c r="E607" s="92" t="str">
        <f aca="false">IF($C607="","",IFERROR(IF(INDEX('REGISTRE TUBES'!$D$7:$D$2506,MATCH($C607,'REGISTRE TUBES'!$B$7:$B$2506,0))="","",INDEX('REGISTRE TUBES'!$D$7:$D$2506,MATCH($C607,'REGISTRE TUBES'!$B$7:$B$2506,0))),"?"))</f>
        <v/>
      </c>
      <c r="F607" s="93" t="n">
        <f aca="false">IF($C607="","",IFERROR(IF(INDEX('REGISTRE TUBES'!$F$7:$F$2506,MATCH($C607,'REGISTRE TUBES'!$B$7:$B$2506,0))="","",INDEX('REGISTRE TUBES'!$F$7:$F$2506,MATCH($C607,'REGISTRE TUBES'!$B$7:$B$2506,0))),"?"))</f>
        <v>11.94</v>
      </c>
      <c r="G607" s="94" t="n">
        <f aca="false">IF($C607="","",N(G606)+N(F607))</f>
        <v>4907.36999999999</v>
      </c>
      <c r="H607" s="95" t="s">
        <v>1512</v>
      </c>
      <c r="I607" s="96"/>
      <c r="J607" s="97"/>
    </row>
    <row r="608" customFormat="false" ht="15" hidden="false" customHeight="false" outlineLevel="0" collapsed="false">
      <c r="B608" s="98" t="n">
        <v>415</v>
      </c>
      <c r="C608" s="99" t="n">
        <v>2086250</v>
      </c>
      <c r="D608" s="100" t="n">
        <f aca="false">IF($C608="","",IFERROR(IF(INDEX('REGISTRE TUBES'!$C$7:$C$2506,MATCH($C608,'REGISTRE TUBES'!$B$7:$B$2506,0))="","",INDEX('REGISTRE TUBES'!$C$7:$C$2506,MATCH($C608,'REGISTRE TUBES'!$B$7:$B$2506,0))),"?"))</f>
        <v>15421107</v>
      </c>
      <c r="E608" s="100" t="str">
        <f aca="false">IF($C608="","",IFERROR(IF(INDEX('REGISTRE TUBES'!$D$7:$D$2506,MATCH($C608,'REGISTRE TUBES'!$B$7:$B$2506,0))="","",INDEX('REGISTRE TUBES'!$D$7:$D$2506,MATCH($C608,'REGISTRE TUBES'!$B$7:$B$2506,0))),"?"))</f>
        <v/>
      </c>
      <c r="F608" s="101" t="n">
        <f aca="false">IF($C608="","",IFERROR(IF(INDEX('REGISTRE TUBES'!$F$7:$F$2506,MATCH($C608,'REGISTRE TUBES'!$B$7:$B$2506,0))="","",INDEX('REGISTRE TUBES'!$F$7:$F$2506,MATCH($C608,'REGISTRE TUBES'!$B$7:$B$2506,0))),"?"))</f>
        <v>11.94</v>
      </c>
      <c r="G608" s="102" t="n">
        <f aca="false">IF($C608="","",N(G607)+N(F608))</f>
        <v>4919.30999999999</v>
      </c>
      <c r="H608" s="103" t="s">
        <v>1513</v>
      </c>
      <c r="I608" s="104"/>
      <c r="J608" s="105"/>
    </row>
    <row r="609" customFormat="false" ht="15" hidden="false" customHeight="false" outlineLevel="0" collapsed="false">
      <c r="B609" s="90" t="n">
        <v>416</v>
      </c>
      <c r="C609" s="91" t="n">
        <v>2089000</v>
      </c>
      <c r="D609" s="92" t="n">
        <f aca="false">IF($C609="","",IFERROR(IF(INDEX('REGISTRE TUBES'!$C$7:$C$2506,MATCH($C609,'REGISTRE TUBES'!$B$7:$B$2506,0))="","",INDEX('REGISTRE TUBES'!$C$7:$C$2506,MATCH($C609,'REGISTRE TUBES'!$B$7:$B$2506,0))),"?"))</f>
        <v>15421102</v>
      </c>
      <c r="E609" s="92" t="str">
        <f aca="false">IF($C609="","",IFERROR(IF(INDEX('REGISTRE TUBES'!$D$7:$D$2506,MATCH($C609,'REGISTRE TUBES'!$B$7:$B$2506,0))="","",INDEX('REGISTRE TUBES'!$D$7:$D$2506,MATCH($C609,'REGISTRE TUBES'!$B$7:$B$2506,0))),"?"))</f>
        <v/>
      </c>
      <c r="F609" s="93" t="n">
        <f aca="false">IF($C609="","",IFERROR(IF(INDEX('REGISTRE TUBES'!$F$7:$F$2506,MATCH($C609,'REGISTRE TUBES'!$B$7:$B$2506,0))="","",INDEX('REGISTRE TUBES'!$F$7:$F$2506,MATCH($C609,'REGISTRE TUBES'!$B$7:$B$2506,0))),"?"))</f>
        <v>11.94</v>
      </c>
      <c r="G609" s="94" t="n">
        <f aca="false">IF($C609="","",N(G608)+N(F609))</f>
        <v>4931.24999999999</v>
      </c>
      <c r="H609" s="95" t="s">
        <v>1514</v>
      </c>
      <c r="I609" s="96"/>
      <c r="J609" s="97"/>
    </row>
    <row r="610" customFormat="false" ht="15" hidden="false" customHeight="false" outlineLevel="0" collapsed="false">
      <c r="B610" s="98" t="n">
        <v>417</v>
      </c>
      <c r="C610" s="99" t="n">
        <v>2089460</v>
      </c>
      <c r="D610" s="100" t="n">
        <f aca="false">IF($C610="","",IFERROR(IF(INDEX('REGISTRE TUBES'!$C$7:$C$2506,MATCH($C610,'REGISTRE TUBES'!$B$7:$B$2506,0))="","",INDEX('REGISTRE TUBES'!$C$7:$C$2506,MATCH($C610,'REGISTRE TUBES'!$B$7:$B$2506,0))),"?"))</f>
        <v>15421109</v>
      </c>
      <c r="E610" s="100" t="str">
        <f aca="false">IF($C610="","",IFERROR(IF(INDEX('REGISTRE TUBES'!$D$7:$D$2506,MATCH($C610,'REGISTRE TUBES'!$B$7:$B$2506,0))="","",INDEX('REGISTRE TUBES'!$D$7:$D$2506,MATCH($C610,'REGISTRE TUBES'!$B$7:$B$2506,0))),"?"))</f>
        <v/>
      </c>
      <c r="F610" s="101" t="n">
        <f aca="false">IF($C610="","",IFERROR(IF(INDEX('REGISTRE TUBES'!$F$7:$F$2506,MATCH($C610,'REGISTRE TUBES'!$B$7:$B$2506,0))="","",INDEX('REGISTRE TUBES'!$F$7:$F$2506,MATCH($C610,'REGISTRE TUBES'!$B$7:$B$2506,0))),"?"))</f>
        <v>11.94</v>
      </c>
      <c r="G610" s="102" t="n">
        <f aca="false">IF($C610="","",N(G609)+N(F610))</f>
        <v>4943.18999999999</v>
      </c>
      <c r="H610" s="103" t="s">
        <v>1515</v>
      </c>
      <c r="I610" s="104"/>
      <c r="J610" s="105"/>
    </row>
    <row r="611" customFormat="false" ht="15" hidden="false" customHeight="false" outlineLevel="0" collapsed="false">
      <c r="B611" s="90" t="n">
        <v>418</v>
      </c>
      <c r="C611" s="91" t="n">
        <v>2088850</v>
      </c>
      <c r="D611" s="92" t="n">
        <f aca="false">IF($C611="","",IFERROR(IF(INDEX('REGISTRE TUBES'!$C$7:$C$2506,MATCH($C611,'REGISTRE TUBES'!$B$7:$B$2506,0))="","",INDEX('REGISTRE TUBES'!$C$7:$C$2506,MATCH($C611,'REGISTRE TUBES'!$B$7:$B$2506,0))),"?"))</f>
        <v>15421108</v>
      </c>
      <c r="E611" s="92" t="str">
        <f aca="false">IF($C611="","",IFERROR(IF(INDEX('REGISTRE TUBES'!$D$7:$D$2506,MATCH($C611,'REGISTRE TUBES'!$B$7:$B$2506,0))="","",INDEX('REGISTRE TUBES'!$D$7:$D$2506,MATCH($C611,'REGISTRE TUBES'!$B$7:$B$2506,0))),"?"))</f>
        <v/>
      </c>
      <c r="F611" s="93" t="n">
        <f aca="false">IF($C611="","",IFERROR(IF(INDEX('REGISTRE TUBES'!$F$7:$F$2506,MATCH($C611,'REGISTRE TUBES'!$B$7:$B$2506,0))="","",INDEX('REGISTRE TUBES'!$F$7:$F$2506,MATCH($C611,'REGISTRE TUBES'!$B$7:$B$2506,0))),"?"))</f>
        <v>11.94</v>
      </c>
      <c r="G611" s="94" t="n">
        <f aca="false">IF($C611="","",N(G610)+N(F611))</f>
        <v>4955.12999999999</v>
      </c>
      <c r="H611" s="95" t="s">
        <v>1516</v>
      </c>
      <c r="I611" s="96"/>
      <c r="J611" s="97"/>
    </row>
    <row r="612" customFormat="false" ht="15" hidden="false" customHeight="true" outlineLevel="0" collapsed="false">
      <c r="B612" s="106" t="s">
        <v>3031</v>
      </c>
      <c r="C612" s="106"/>
      <c r="D612" s="106"/>
      <c r="E612" s="106"/>
      <c r="F612" s="107" t="n">
        <f aca="false">SUM(F593:F611)</f>
        <v>226.86</v>
      </c>
      <c r="G612" s="108" t="n">
        <f aca="false">IF(COUNT(G593:G611)=0,"",MAX(G593:G611))</f>
        <v>4955.12999999999</v>
      </c>
      <c r="H612" s="106" t="str">
        <f aca="false">COUNTA(C593:C611)&amp;" tube(s)"</f>
        <v>19 tube(s)</v>
      </c>
      <c r="I612" s="106"/>
      <c r="J612" s="106"/>
    </row>
    <row r="614" customFormat="false" ht="15" hidden="false" customHeight="false" outlineLevel="0" collapsed="false">
      <c r="B614" s="109" t="s">
        <v>3032</v>
      </c>
      <c r="F614" s="109" t="s">
        <v>3033</v>
      </c>
      <c r="I614" s="109" t="s">
        <v>3034</v>
      </c>
    </row>
    <row r="617" customFormat="false" ht="25.5" hidden="false" customHeight="true" outlineLevel="0" collapsed="false">
      <c r="B617" s="85" t="s">
        <v>3015</v>
      </c>
      <c r="C617" s="85"/>
      <c r="D617" s="85"/>
      <c r="E617" s="85"/>
      <c r="F617" s="85"/>
      <c r="G617" s="85"/>
      <c r="H617" s="85"/>
      <c r="I617" s="85"/>
      <c r="J617" s="85"/>
    </row>
    <row r="618" customFormat="false" ht="15" hidden="false" customHeight="false" outlineLevel="0" collapsed="false">
      <c r="B618" s="86" t="str">
        <f aca="false">PARAMÈTRES!$C$4&amp;"   •   Affaire N° "&amp;PARAMÈTRES!$C$5</f>
        <v>Développement des champs gaziers TFT II — réseau de collecte TFT Sud (LIGNE-16)   •   Affaire N° 8546</v>
      </c>
      <c r="C618" s="86"/>
      <c r="D618" s="86"/>
      <c r="E618" s="86"/>
      <c r="F618" s="86"/>
      <c r="G618" s="86"/>
      <c r="H618" s="86"/>
      <c r="I618" s="86"/>
      <c r="J618" s="86"/>
    </row>
    <row r="619" customFormat="false" ht="19.5" hidden="false" customHeight="true" outlineLevel="0" collapsed="false">
      <c r="B619" s="87" t="s">
        <v>3016</v>
      </c>
      <c r="C619" s="88" t="s">
        <v>110</v>
      </c>
      <c r="D619" s="88"/>
      <c r="E619" s="87" t="s">
        <v>3017</v>
      </c>
      <c r="F619" s="88" t="s">
        <v>3077</v>
      </c>
      <c r="G619" s="87" t="s">
        <v>3019</v>
      </c>
      <c r="H619" s="88" t="s">
        <v>3078</v>
      </c>
      <c r="I619" s="87" t="s">
        <v>3021</v>
      </c>
      <c r="J619" s="89"/>
    </row>
    <row r="620" customFormat="false" ht="27.75" hidden="false" customHeight="true" outlineLevel="0" collapsed="false">
      <c r="B620" s="71" t="s">
        <v>3022</v>
      </c>
      <c r="C620" s="71" t="s">
        <v>3023</v>
      </c>
      <c r="D620" s="71" t="s">
        <v>3024</v>
      </c>
      <c r="E620" s="71" t="s">
        <v>3025</v>
      </c>
      <c r="F620" s="71" t="s">
        <v>3026</v>
      </c>
      <c r="G620" s="71" t="s">
        <v>3027</v>
      </c>
      <c r="H620" s="71" t="s">
        <v>3028</v>
      </c>
      <c r="I620" s="71" t="s">
        <v>3029</v>
      </c>
      <c r="J620" s="71" t="s">
        <v>3030</v>
      </c>
    </row>
    <row r="621" customFormat="false" ht="15" hidden="false" customHeight="false" outlineLevel="0" collapsed="false">
      <c r="B621" s="90" t="n">
        <v>419</v>
      </c>
      <c r="C621" s="91" t="n">
        <v>2086500</v>
      </c>
      <c r="D621" s="92" t="n">
        <f aca="false">IF($C621="","",IFERROR(IF(INDEX('REGISTRE TUBES'!$C$7:$C$2506,MATCH($C621,'REGISTRE TUBES'!$B$7:$B$2506,0))="","",INDEX('REGISTRE TUBES'!$C$7:$C$2506,MATCH($C621,'REGISTRE TUBES'!$B$7:$B$2506,0))),"?"))</f>
        <v>15421111</v>
      </c>
      <c r="E621" s="92" t="str">
        <f aca="false">IF($C621="","",IFERROR(IF(INDEX('REGISTRE TUBES'!$D$7:$D$2506,MATCH($C621,'REGISTRE TUBES'!$B$7:$B$2506,0))="","",INDEX('REGISTRE TUBES'!$D$7:$D$2506,MATCH($C621,'REGISTRE TUBES'!$B$7:$B$2506,0))),"?"))</f>
        <v/>
      </c>
      <c r="F621" s="93" t="n">
        <f aca="false">IF($C621="","",IFERROR(IF(INDEX('REGISTRE TUBES'!$F$7:$F$2506,MATCH($C621,'REGISTRE TUBES'!$B$7:$B$2506,0))="","",INDEX('REGISTRE TUBES'!$F$7:$F$2506,MATCH($C621,'REGISTRE TUBES'!$B$7:$B$2506,0))),"?"))</f>
        <v>11.94</v>
      </c>
      <c r="G621" s="94" t="n">
        <f aca="false">IF($C621="","",N(G611)+N(F621))</f>
        <v>4967.06999999999</v>
      </c>
      <c r="H621" s="95" t="s">
        <v>1519</v>
      </c>
      <c r="I621" s="96"/>
      <c r="J621" s="97"/>
    </row>
    <row r="622" customFormat="false" ht="15" hidden="false" customHeight="false" outlineLevel="0" collapsed="false">
      <c r="B622" s="98" t="n">
        <v>420</v>
      </c>
      <c r="C622" s="99" t="n">
        <v>2079210</v>
      </c>
      <c r="D622" s="100" t="n">
        <f aca="false">IF($C622="","",IFERROR(IF(INDEX('REGISTRE TUBES'!$C$7:$C$2506,MATCH($C622,'REGISTRE TUBES'!$B$7:$B$2506,0))="","",INDEX('REGISTRE TUBES'!$C$7:$C$2506,MATCH($C622,'REGISTRE TUBES'!$B$7:$B$2506,0))),"?"))</f>
        <v>15421102</v>
      </c>
      <c r="E622" s="100" t="str">
        <f aca="false">IF($C622="","",IFERROR(IF(INDEX('REGISTRE TUBES'!$D$7:$D$2506,MATCH($C622,'REGISTRE TUBES'!$B$7:$B$2506,0))="","",INDEX('REGISTRE TUBES'!$D$7:$D$2506,MATCH($C622,'REGISTRE TUBES'!$B$7:$B$2506,0))),"?"))</f>
        <v/>
      </c>
      <c r="F622" s="101" t="n">
        <f aca="false">IF($C622="","",IFERROR(IF(INDEX('REGISTRE TUBES'!$F$7:$F$2506,MATCH($C622,'REGISTRE TUBES'!$B$7:$B$2506,0))="","",INDEX('REGISTRE TUBES'!$F$7:$F$2506,MATCH($C622,'REGISTRE TUBES'!$B$7:$B$2506,0))),"?"))</f>
        <v>11.94</v>
      </c>
      <c r="G622" s="102" t="n">
        <f aca="false">IF($C622="","",N(G621)+N(F622))</f>
        <v>4979.00999999999</v>
      </c>
      <c r="H622" s="103" t="s">
        <v>1521</v>
      </c>
      <c r="I622" s="104"/>
      <c r="J622" s="105"/>
    </row>
    <row r="623" customFormat="false" ht="15" hidden="false" customHeight="false" outlineLevel="0" collapsed="false">
      <c r="B623" s="90" t="n">
        <v>421</v>
      </c>
      <c r="C623" s="91" t="n">
        <v>2080910</v>
      </c>
      <c r="D623" s="92" t="n">
        <f aca="false">IF($C623="","",IFERROR(IF(INDEX('REGISTRE TUBES'!$C$7:$C$2506,MATCH($C623,'REGISTRE TUBES'!$B$7:$B$2506,0))="","",INDEX('REGISTRE TUBES'!$C$7:$C$2506,MATCH($C623,'REGISTRE TUBES'!$B$7:$B$2506,0))),"?"))</f>
        <v>15421103</v>
      </c>
      <c r="E623" s="92" t="str">
        <f aca="false">IF($C623="","",IFERROR(IF(INDEX('REGISTRE TUBES'!$D$7:$D$2506,MATCH($C623,'REGISTRE TUBES'!$B$7:$B$2506,0))="","",INDEX('REGISTRE TUBES'!$D$7:$D$2506,MATCH($C623,'REGISTRE TUBES'!$B$7:$B$2506,0))),"?"))</f>
        <v/>
      </c>
      <c r="F623" s="93" t="n">
        <f aca="false">IF($C623="","",IFERROR(IF(INDEX('REGISTRE TUBES'!$F$7:$F$2506,MATCH($C623,'REGISTRE TUBES'!$B$7:$B$2506,0))="","",INDEX('REGISTRE TUBES'!$F$7:$F$2506,MATCH($C623,'REGISTRE TUBES'!$B$7:$B$2506,0))),"?"))</f>
        <v>11.94</v>
      </c>
      <c r="G623" s="94" t="n">
        <f aca="false">IF($C623="","",N(G622)+N(F623))</f>
        <v>4990.94999999999</v>
      </c>
      <c r="H623" s="95" t="s">
        <v>1523</v>
      </c>
      <c r="I623" s="96"/>
      <c r="J623" s="97"/>
    </row>
    <row r="624" customFormat="false" ht="15" hidden="false" customHeight="false" outlineLevel="0" collapsed="false">
      <c r="B624" s="98" t="n">
        <v>422</v>
      </c>
      <c r="C624" s="99" t="n">
        <v>2084070</v>
      </c>
      <c r="D624" s="100" t="n">
        <f aca="false">IF($C624="","",IFERROR(IF(INDEX('REGISTRE TUBES'!$C$7:$C$2506,MATCH($C624,'REGISTRE TUBES'!$B$7:$B$2506,0))="","",INDEX('REGISTRE TUBES'!$C$7:$C$2506,MATCH($C624,'REGISTRE TUBES'!$B$7:$B$2506,0))),"?"))</f>
        <v>15421106</v>
      </c>
      <c r="E624" s="100" t="str">
        <f aca="false">IF($C624="","",IFERROR(IF(INDEX('REGISTRE TUBES'!$D$7:$D$2506,MATCH($C624,'REGISTRE TUBES'!$B$7:$B$2506,0))="","",INDEX('REGISTRE TUBES'!$D$7:$D$2506,MATCH($C624,'REGISTRE TUBES'!$B$7:$B$2506,0))),"?"))</f>
        <v/>
      </c>
      <c r="F624" s="101" t="n">
        <f aca="false">IF($C624="","",IFERROR(IF(INDEX('REGISTRE TUBES'!$F$7:$F$2506,MATCH($C624,'REGISTRE TUBES'!$B$7:$B$2506,0))="","",INDEX('REGISTRE TUBES'!$F$7:$F$2506,MATCH($C624,'REGISTRE TUBES'!$B$7:$B$2506,0))),"?"))</f>
        <v>11.94</v>
      </c>
      <c r="G624" s="102" t="n">
        <f aca="false">IF($C624="","",N(G623)+N(F624))</f>
        <v>5002.88999999999</v>
      </c>
      <c r="H624" s="103" t="s">
        <v>1524</v>
      </c>
      <c r="I624" s="104"/>
      <c r="J624" s="105"/>
    </row>
    <row r="625" customFormat="false" ht="15" hidden="false" customHeight="false" outlineLevel="0" collapsed="false">
      <c r="B625" s="90" t="n">
        <v>423</v>
      </c>
      <c r="C625" s="91" t="n">
        <v>2089540</v>
      </c>
      <c r="D625" s="92" t="n">
        <f aca="false">IF($C625="","",IFERROR(IF(INDEX('REGISTRE TUBES'!$C$7:$C$2506,MATCH($C625,'REGISTRE TUBES'!$B$7:$B$2506,0))="","",INDEX('REGISTRE TUBES'!$C$7:$C$2506,MATCH($C625,'REGISTRE TUBES'!$B$7:$B$2506,0))),"?"))</f>
        <v>15421109</v>
      </c>
      <c r="E625" s="92" t="str">
        <f aca="false">IF($C625="","",IFERROR(IF(INDEX('REGISTRE TUBES'!$D$7:$D$2506,MATCH($C625,'REGISTRE TUBES'!$B$7:$B$2506,0))="","",INDEX('REGISTRE TUBES'!$D$7:$D$2506,MATCH($C625,'REGISTRE TUBES'!$B$7:$B$2506,0))),"?"))</f>
        <v/>
      </c>
      <c r="F625" s="93" t="n">
        <f aca="false">IF($C625="","",IFERROR(IF(INDEX('REGISTRE TUBES'!$F$7:$F$2506,MATCH($C625,'REGISTRE TUBES'!$B$7:$B$2506,0))="","",INDEX('REGISTRE TUBES'!$F$7:$F$2506,MATCH($C625,'REGISTRE TUBES'!$B$7:$B$2506,0))),"?"))</f>
        <v>11.94</v>
      </c>
      <c r="G625" s="94" t="n">
        <f aca="false">IF($C625="","",N(G624)+N(F625))</f>
        <v>5014.82999999999</v>
      </c>
      <c r="H625" s="95" t="s">
        <v>1525</v>
      </c>
      <c r="I625" s="96"/>
      <c r="J625" s="97"/>
    </row>
    <row r="626" customFormat="false" ht="15" hidden="false" customHeight="false" outlineLevel="0" collapsed="false">
      <c r="B626" s="98" t="n">
        <v>424</v>
      </c>
      <c r="C626" s="99" t="n">
        <v>2090260</v>
      </c>
      <c r="D626" s="100" t="n">
        <f aca="false">IF($C626="","",IFERROR(IF(INDEX('REGISTRE TUBES'!$C$7:$C$2506,MATCH($C626,'REGISTRE TUBES'!$B$7:$B$2506,0))="","",INDEX('REGISTRE TUBES'!$C$7:$C$2506,MATCH($C626,'REGISTRE TUBES'!$B$7:$B$2506,0))),"?"))</f>
        <v>15421109</v>
      </c>
      <c r="E626" s="100" t="str">
        <f aca="false">IF($C626="","",IFERROR(IF(INDEX('REGISTRE TUBES'!$D$7:$D$2506,MATCH($C626,'REGISTRE TUBES'!$B$7:$B$2506,0))="","",INDEX('REGISTRE TUBES'!$D$7:$D$2506,MATCH($C626,'REGISTRE TUBES'!$B$7:$B$2506,0))),"?"))</f>
        <v/>
      </c>
      <c r="F626" s="101" t="n">
        <f aca="false">IF($C626="","",IFERROR(IF(INDEX('REGISTRE TUBES'!$F$7:$F$2506,MATCH($C626,'REGISTRE TUBES'!$B$7:$B$2506,0))="","",INDEX('REGISTRE TUBES'!$F$7:$F$2506,MATCH($C626,'REGISTRE TUBES'!$B$7:$B$2506,0))),"?"))</f>
        <v>11.94</v>
      </c>
      <c r="G626" s="102" t="n">
        <f aca="false">IF($C626="","",N(G625)+N(F626))</f>
        <v>5026.76999999999</v>
      </c>
      <c r="H626" s="103" t="s">
        <v>1526</v>
      </c>
      <c r="I626" s="104"/>
      <c r="J626" s="105"/>
    </row>
    <row r="627" customFormat="false" ht="15" hidden="false" customHeight="false" outlineLevel="0" collapsed="false">
      <c r="B627" s="90" t="n">
        <v>425</v>
      </c>
      <c r="C627" s="91" t="n">
        <v>2090330</v>
      </c>
      <c r="D627" s="92" t="n">
        <f aca="false">IF($C627="","",IFERROR(IF(INDEX('REGISTRE TUBES'!$C$7:$C$2506,MATCH($C627,'REGISTRE TUBES'!$B$7:$B$2506,0))="","",INDEX('REGISTRE TUBES'!$C$7:$C$2506,MATCH($C627,'REGISTRE TUBES'!$B$7:$B$2506,0))),"?"))</f>
        <v>15421109</v>
      </c>
      <c r="E627" s="92" t="str">
        <f aca="false">IF($C627="","",IFERROR(IF(INDEX('REGISTRE TUBES'!$D$7:$D$2506,MATCH($C627,'REGISTRE TUBES'!$B$7:$B$2506,0))="","",INDEX('REGISTRE TUBES'!$D$7:$D$2506,MATCH($C627,'REGISTRE TUBES'!$B$7:$B$2506,0))),"?"))</f>
        <v/>
      </c>
      <c r="F627" s="93" t="n">
        <f aca="false">IF($C627="","",IFERROR(IF(INDEX('REGISTRE TUBES'!$F$7:$F$2506,MATCH($C627,'REGISTRE TUBES'!$B$7:$B$2506,0))="","",INDEX('REGISTRE TUBES'!$F$7:$F$2506,MATCH($C627,'REGISTRE TUBES'!$B$7:$B$2506,0))),"?"))</f>
        <v>11.94</v>
      </c>
      <c r="G627" s="94" t="n">
        <f aca="false">IF($C627="","",N(G626)+N(F627))</f>
        <v>5038.70999999999</v>
      </c>
      <c r="H627" s="95" t="s">
        <v>1527</v>
      </c>
      <c r="I627" s="96"/>
      <c r="J627" s="97"/>
    </row>
    <row r="628" customFormat="false" ht="15" hidden="false" customHeight="false" outlineLevel="0" collapsed="false">
      <c r="B628" s="98" t="n">
        <v>426</v>
      </c>
      <c r="C628" s="99" t="n">
        <v>2078520</v>
      </c>
      <c r="D628" s="100" t="n">
        <f aca="false">IF($C628="","",IFERROR(IF(INDEX('REGISTRE TUBES'!$C$7:$C$2506,MATCH($C628,'REGISTRE TUBES'!$B$7:$B$2506,0))="","",INDEX('REGISTRE TUBES'!$C$7:$C$2506,MATCH($C628,'REGISTRE TUBES'!$B$7:$B$2506,0))),"?"))</f>
        <v>15421101</v>
      </c>
      <c r="E628" s="100" t="str">
        <f aca="false">IF($C628="","",IFERROR(IF(INDEX('REGISTRE TUBES'!$D$7:$D$2506,MATCH($C628,'REGISTRE TUBES'!$B$7:$B$2506,0))="","",INDEX('REGISTRE TUBES'!$D$7:$D$2506,MATCH($C628,'REGISTRE TUBES'!$B$7:$B$2506,0))),"?"))</f>
        <v/>
      </c>
      <c r="F628" s="101" t="n">
        <f aca="false">IF($C628="","",IFERROR(IF(INDEX('REGISTRE TUBES'!$F$7:$F$2506,MATCH($C628,'REGISTRE TUBES'!$B$7:$B$2506,0))="","",INDEX('REGISTRE TUBES'!$F$7:$F$2506,MATCH($C628,'REGISTRE TUBES'!$B$7:$B$2506,0))),"?"))</f>
        <v>11.94</v>
      </c>
      <c r="G628" s="102" t="n">
        <f aca="false">IF($C628="","",N(G627)+N(F628))</f>
        <v>5050.64999999998</v>
      </c>
      <c r="H628" s="103" t="s">
        <v>1531</v>
      </c>
      <c r="I628" s="104"/>
      <c r="J628" s="105"/>
    </row>
    <row r="629" customFormat="false" ht="15" hidden="false" customHeight="false" outlineLevel="0" collapsed="false">
      <c r="B629" s="90" t="n">
        <v>427</v>
      </c>
      <c r="C629" s="91" t="n">
        <v>2090960</v>
      </c>
      <c r="D629" s="92" t="n">
        <f aca="false">IF($C629="","",IFERROR(IF(INDEX('REGISTRE TUBES'!$C$7:$C$2506,MATCH($C629,'REGISTRE TUBES'!$B$7:$B$2506,0))="","",INDEX('REGISTRE TUBES'!$C$7:$C$2506,MATCH($C629,'REGISTRE TUBES'!$B$7:$B$2506,0))),"?"))</f>
        <v>15421104</v>
      </c>
      <c r="E629" s="92" t="str">
        <f aca="false">IF($C629="","",IFERROR(IF(INDEX('REGISTRE TUBES'!$D$7:$D$2506,MATCH($C629,'REGISTRE TUBES'!$B$7:$B$2506,0))="","",INDEX('REGISTRE TUBES'!$D$7:$D$2506,MATCH($C629,'REGISTRE TUBES'!$B$7:$B$2506,0))),"?"))</f>
        <v/>
      </c>
      <c r="F629" s="93" t="n">
        <f aca="false">IF($C629="","",IFERROR(IF(INDEX('REGISTRE TUBES'!$F$7:$F$2506,MATCH($C629,'REGISTRE TUBES'!$B$7:$B$2506,0))="","",INDEX('REGISTRE TUBES'!$F$7:$F$2506,MATCH($C629,'REGISTRE TUBES'!$B$7:$B$2506,0))),"?"))</f>
        <v>11.94</v>
      </c>
      <c r="G629" s="94" t="n">
        <f aca="false">IF($C629="","",N(G628)+N(F629))</f>
        <v>5062.58999999998</v>
      </c>
      <c r="H629" s="95" t="s">
        <v>1532</v>
      </c>
      <c r="I629" s="96"/>
      <c r="J629" s="97"/>
    </row>
    <row r="630" customFormat="false" ht="15" hidden="false" customHeight="false" outlineLevel="0" collapsed="false">
      <c r="B630" s="98" t="n">
        <v>428</v>
      </c>
      <c r="C630" s="99" t="n">
        <v>2084330</v>
      </c>
      <c r="D630" s="100" t="n">
        <f aca="false">IF($C630="","",IFERROR(IF(INDEX('REGISTRE TUBES'!$C$7:$C$2506,MATCH($C630,'REGISTRE TUBES'!$B$7:$B$2506,0))="","",INDEX('REGISTRE TUBES'!$C$7:$C$2506,MATCH($C630,'REGISTRE TUBES'!$B$7:$B$2506,0))),"?"))</f>
        <v>15421106</v>
      </c>
      <c r="E630" s="100" t="str">
        <f aca="false">IF($C630="","",IFERROR(IF(INDEX('REGISTRE TUBES'!$D$7:$D$2506,MATCH($C630,'REGISTRE TUBES'!$B$7:$B$2506,0))="","",INDEX('REGISTRE TUBES'!$D$7:$D$2506,MATCH($C630,'REGISTRE TUBES'!$B$7:$B$2506,0))),"?"))</f>
        <v/>
      </c>
      <c r="F630" s="101" t="n">
        <f aca="false">IF($C630="","",IFERROR(IF(INDEX('REGISTRE TUBES'!$F$7:$F$2506,MATCH($C630,'REGISTRE TUBES'!$B$7:$B$2506,0))="","",INDEX('REGISTRE TUBES'!$F$7:$F$2506,MATCH($C630,'REGISTRE TUBES'!$B$7:$B$2506,0))),"?"))</f>
        <v>11.94</v>
      </c>
      <c r="G630" s="102" t="n">
        <f aca="false">IF($C630="","",N(G629)+N(F630))</f>
        <v>5074.52999999998</v>
      </c>
      <c r="H630" s="103" t="s">
        <v>1533</v>
      </c>
      <c r="I630" s="104"/>
      <c r="J630" s="105"/>
    </row>
    <row r="631" customFormat="false" ht="15" hidden="false" customHeight="false" outlineLevel="0" collapsed="false">
      <c r="B631" s="90" t="n">
        <v>429</v>
      </c>
      <c r="C631" s="91" t="n">
        <v>2078630</v>
      </c>
      <c r="D631" s="92" t="n">
        <f aca="false">IF($C631="","",IFERROR(IF(INDEX('REGISTRE TUBES'!$C$7:$C$2506,MATCH($C631,'REGISTRE TUBES'!$B$7:$B$2506,0))="","",INDEX('REGISTRE TUBES'!$C$7:$C$2506,MATCH($C631,'REGISTRE TUBES'!$B$7:$B$2506,0))),"?"))</f>
        <v>15421101</v>
      </c>
      <c r="E631" s="92" t="str">
        <f aca="false">IF($C631="","",IFERROR(IF(INDEX('REGISTRE TUBES'!$D$7:$D$2506,MATCH($C631,'REGISTRE TUBES'!$B$7:$B$2506,0))="","",INDEX('REGISTRE TUBES'!$D$7:$D$2506,MATCH($C631,'REGISTRE TUBES'!$B$7:$B$2506,0))),"?"))</f>
        <v/>
      </c>
      <c r="F631" s="93" t="n">
        <f aca="false">IF($C631="","",IFERROR(IF(INDEX('REGISTRE TUBES'!$F$7:$F$2506,MATCH($C631,'REGISTRE TUBES'!$B$7:$B$2506,0))="","",INDEX('REGISTRE TUBES'!$F$7:$F$2506,MATCH($C631,'REGISTRE TUBES'!$B$7:$B$2506,0))),"?"))</f>
        <v>11.94</v>
      </c>
      <c r="G631" s="94" t="n">
        <f aca="false">IF($C631="","",N(G630)+N(F631))</f>
        <v>5086.46999999998</v>
      </c>
      <c r="H631" s="95" t="s">
        <v>1534</v>
      </c>
      <c r="I631" s="96"/>
      <c r="J631" s="97"/>
    </row>
    <row r="632" customFormat="false" ht="15" hidden="false" customHeight="false" outlineLevel="0" collapsed="false">
      <c r="B632" s="98" t="n">
        <v>430</v>
      </c>
      <c r="C632" s="99" t="n">
        <v>2082130</v>
      </c>
      <c r="D632" s="100" t="n">
        <f aca="false">IF($C632="","",IFERROR(IF(INDEX('REGISTRE TUBES'!$C$7:$C$2506,MATCH($C632,'REGISTRE TUBES'!$B$7:$B$2506,0))="","",INDEX('REGISTRE TUBES'!$C$7:$C$2506,MATCH($C632,'REGISTRE TUBES'!$B$7:$B$2506,0))),"?"))</f>
        <v>15421104</v>
      </c>
      <c r="E632" s="100" t="str">
        <f aca="false">IF($C632="","",IFERROR(IF(INDEX('REGISTRE TUBES'!$D$7:$D$2506,MATCH($C632,'REGISTRE TUBES'!$B$7:$B$2506,0))="","",INDEX('REGISTRE TUBES'!$D$7:$D$2506,MATCH($C632,'REGISTRE TUBES'!$B$7:$B$2506,0))),"?"))</f>
        <v/>
      </c>
      <c r="F632" s="101" t="n">
        <f aca="false">IF($C632="","",IFERROR(IF(INDEX('REGISTRE TUBES'!$F$7:$F$2506,MATCH($C632,'REGISTRE TUBES'!$B$7:$B$2506,0))="","",INDEX('REGISTRE TUBES'!$F$7:$F$2506,MATCH($C632,'REGISTRE TUBES'!$B$7:$B$2506,0))),"?"))</f>
        <v>11.94</v>
      </c>
      <c r="G632" s="102" t="n">
        <f aca="false">IF($C632="","",N(G631)+N(F632))</f>
        <v>5098.40999999998</v>
      </c>
      <c r="H632" s="103" t="s">
        <v>1535</v>
      </c>
      <c r="I632" s="104"/>
      <c r="J632" s="105"/>
    </row>
    <row r="633" customFormat="false" ht="15" hidden="false" customHeight="false" outlineLevel="0" collapsed="false">
      <c r="B633" s="90" t="n">
        <v>431</v>
      </c>
      <c r="C633" s="91" t="n">
        <v>2091810</v>
      </c>
      <c r="D633" s="92" t="n">
        <f aca="false">IF($C633="","",IFERROR(IF(INDEX('REGISTRE TUBES'!$C$7:$C$2506,MATCH($C633,'REGISTRE TUBES'!$B$7:$B$2506,0))="","",INDEX('REGISTRE TUBES'!$C$7:$C$2506,MATCH($C633,'REGISTRE TUBES'!$B$7:$B$2506,0))),"?"))</f>
        <v>15421109</v>
      </c>
      <c r="E633" s="92" t="str">
        <f aca="false">IF($C633="","",IFERROR(IF(INDEX('REGISTRE TUBES'!$D$7:$D$2506,MATCH($C633,'REGISTRE TUBES'!$B$7:$B$2506,0))="","",INDEX('REGISTRE TUBES'!$D$7:$D$2506,MATCH($C633,'REGISTRE TUBES'!$B$7:$B$2506,0))),"?"))</f>
        <v/>
      </c>
      <c r="F633" s="93" t="n">
        <f aca="false">IF($C633="","",IFERROR(IF(INDEX('REGISTRE TUBES'!$F$7:$F$2506,MATCH($C633,'REGISTRE TUBES'!$B$7:$B$2506,0))="","",INDEX('REGISTRE TUBES'!$F$7:$F$2506,MATCH($C633,'REGISTRE TUBES'!$B$7:$B$2506,0))),"?"))</f>
        <v>11.94</v>
      </c>
      <c r="G633" s="94" t="n">
        <f aca="false">IF($C633="","",N(G632)+N(F633))</f>
        <v>5110.34999999998</v>
      </c>
      <c r="H633" s="95" t="s">
        <v>1537</v>
      </c>
      <c r="I633" s="96"/>
      <c r="J633" s="97"/>
    </row>
    <row r="634" customFormat="false" ht="15" hidden="false" customHeight="false" outlineLevel="0" collapsed="false">
      <c r="B634" s="98" t="n">
        <v>432</v>
      </c>
      <c r="C634" s="99" t="n">
        <v>2089650</v>
      </c>
      <c r="D634" s="100" t="n">
        <f aca="false">IF($C634="","",IFERROR(IF(INDEX('REGISTRE TUBES'!$C$7:$C$2506,MATCH($C634,'REGISTRE TUBES'!$B$7:$B$2506,0))="","",INDEX('REGISTRE TUBES'!$C$7:$C$2506,MATCH($C634,'REGISTRE TUBES'!$B$7:$B$2506,0))),"?"))</f>
        <v>15421105</v>
      </c>
      <c r="E634" s="100" t="str">
        <f aca="false">IF($C634="","",IFERROR(IF(INDEX('REGISTRE TUBES'!$D$7:$D$2506,MATCH($C634,'REGISTRE TUBES'!$B$7:$B$2506,0))="","",INDEX('REGISTRE TUBES'!$D$7:$D$2506,MATCH($C634,'REGISTRE TUBES'!$B$7:$B$2506,0))),"?"))</f>
        <v/>
      </c>
      <c r="F634" s="101" t="n">
        <f aca="false">IF($C634="","",IFERROR(IF(INDEX('REGISTRE TUBES'!$F$7:$F$2506,MATCH($C634,'REGISTRE TUBES'!$B$7:$B$2506,0))="","",INDEX('REGISTRE TUBES'!$F$7:$F$2506,MATCH($C634,'REGISTRE TUBES'!$B$7:$B$2506,0))),"?"))</f>
        <v>11.94</v>
      </c>
      <c r="G634" s="102" t="n">
        <f aca="false">IF($C634="","",N(G633)+N(F634))</f>
        <v>5122.28999999998</v>
      </c>
      <c r="H634" s="103" t="s">
        <v>1539</v>
      </c>
      <c r="I634" s="104"/>
      <c r="J634" s="105"/>
    </row>
    <row r="635" customFormat="false" ht="15" hidden="false" customHeight="false" outlineLevel="0" collapsed="false">
      <c r="B635" s="90" t="n">
        <v>433</v>
      </c>
      <c r="C635" s="91" t="n">
        <v>2080680</v>
      </c>
      <c r="D635" s="92" t="n">
        <f aca="false">IF($C635="","",IFERROR(IF(INDEX('REGISTRE TUBES'!$C$7:$C$2506,MATCH($C635,'REGISTRE TUBES'!$B$7:$B$2506,0))="","",INDEX('REGISTRE TUBES'!$C$7:$C$2506,MATCH($C635,'REGISTRE TUBES'!$B$7:$B$2506,0))),"?"))</f>
        <v>15421109</v>
      </c>
      <c r="E635" s="92" t="str">
        <f aca="false">IF($C635="","",IFERROR(IF(INDEX('REGISTRE TUBES'!$D$7:$D$2506,MATCH($C635,'REGISTRE TUBES'!$B$7:$B$2506,0))="","",INDEX('REGISTRE TUBES'!$D$7:$D$2506,MATCH($C635,'REGISTRE TUBES'!$B$7:$B$2506,0))),"?"))</f>
        <v/>
      </c>
      <c r="F635" s="93" t="n">
        <f aca="false">IF($C635="","",IFERROR(IF(INDEX('REGISTRE TUBES'!$F$7:$F$2506,MATCH($C635,'REGISTRE TUBES'!$B$7:$B$2506,0))="","",INDEX('REGISTRE TUBES'!$F$7:$F$2506,MATCH($C635,'REGISTRE TUBES'!$B$7:$B$2506,0))),"?"))</f>
        <v>11.94</v>
      </c>
      <c r="G635" s="94" t="n">
        <f aca="false">IF($C635="","",N(G634)+N(F635))</f>
        <v>5134.22999999998</v>
      </c>
      <c r="H635" s="95" t="s">
        <v>1540</v>
      </c>
      <c r="I635" s="96"/>
      <c r="J635" s="97"/>
    </row>
    <row r="636" customFormat="false" ht="15" hidden="false" customHeight="false" outlineLevel="0" collapsed="false">
      <c r="B636" s="98" t="n">
        <v>434</v>
      </c>
      <c r="C636" s="99" t="n">
        <v>2090180</v>
      </c>
      <c r="D636" s="100" t="n">
        <f aca="false">IF($C636="","",IFERROR(IF(INDEX('REGISTRE TUBES'!$C$7:$C$2506,MATCH($C636,'REGISTRE TUBES'!$B$7:$B$2506,0))="","",INDEX('REGISTRE TUBES'!$C$7:$C$2506,MATCH($C636,'REGISTRE TUBES'!$B$7:$B$2506,0))),"?"))</f>
        <v>15421109</v>
      </c>
      <c r="E636" s="100" t="str">
        <f aca="false">IF($C636="","",IFERROR(IF(INDEX('REGISTRE TUBES'!$D$7:$D$2506,MATCH($C636,'REGISTRE TUBES'!$B$7:$B$2506,0))="","",INDEX('REGISTRE TUBES'!$D$7:$D$2506,MATCH($C636,'REGISTRE TUBES'!$B$7:$B$2506,0))),"?"))</f>
        <v/>
      </c>
      <c r="F636" s="101" t="n">
        <f aca="false">IF($C636="","",IFERROR(IF(INDEX('REGISTRE TUBES'!$F$7:$F$2506,MATCH($C636,'REGISTRE TUBES'!$B$7:$B$2506,0))="","",INDEX('REGISTRE TUBES'!$F$7:$F$2506,MATCH($C636,'REGISTRE TUBES'!$B$7:$B$2506,0))),"?"))</f>
        <v>11.94</v>
      </c>
      <c r="G636" s="102" t="n">
        <f aca="false">IF($C636="","",N(G635)+N(F636))</f>
        <v>5146.16999999998</v>
      </c>
      <c r="H636" s="103" t="s">
        <v>1541</v>
      </c>
      <c r="I636" s="104"/>
      <c r="J636" s="105"/>
    </row>
    <row r="637" customFormat="false" ht="15" hidden="false" customHeight="false" outlineLevel="0" collapsed="false">
      <c r="B637" s="90" t="n">
        <v>435</v>
      </c>
      <c r="C637" s="91" t="n">
        <v>2087750</v>
      </c>
      <c r="D637" s="92" t="n">
        <f aca="false">IF($C637="","",IFERROR(IF(INDEX('REGISTRE TUBES'!$C$7:$C$2506,MATCH($C637,'REGISTRE TUBES'!$B$7:$B$2506,0))="","",INDEX('REGISTRE TUBES'!$C$7:$C$2506,MATCH($C637,'REGISTRE TUBES'!$B$7:$B$2506,0))),"?"))</f>
        <v>15421108</v>
      </c>
      <c r="E637" s="92" t="str">
        <f aca="false">IF($C637="","",IFERROR(IF(INDEX('REGISTRE TUBES'!$D$7:$D$2506,MATCH($C637,'REGISTRE TUBES'!$B$7:$B$2506,0))="","",INDEX('REGISTRE TUBES'!$D$7:$D$2506,MATCH($C637,'REGISTRE TUBES'!$B$7:$B$2506,0))),"?"))</f>
        <v/>
      </c>
      <c r="F637" s="93" t="n">
        <f aca="false">IF($C637="","",IFERROR(IF(INDEX('REGISTRE TUBES'!$F$7:$F$2506,MATCH($C637,'REGISTRE TUBES'!$B$7:$B$2506,0))="","",INDEX('REGISTRE TUBES'!$F$7:$F$2506,MATCH($C637,'REGISTRE TUBES'!$B$7:$B$2506,0))),"?"))</f>
        <v>11.94</v>
      </c>
      <c r="G637" s="94" t="n">
        <f aca="false">IF($C637="","",N(G636)+N(F637))</f>
        <v>5158.10999999998</v>
      </c>
      <c r="H637" s="95" t="s">
        <v>1543</v>
      </c>
      <c r="I637" s="96"/>
      <c r="J637" s="97"/>
    </row>
    <row r="638" customFormat="false" ht="15" hidden="false" customHeight="false" outlineLevel="0" collapsed="false">
      <c r="B638" s="98" t="n">
        <v>436</v>
      </c>
      <c r="C638" s="99" t="n">
        <v>2094940</v>
      </c>
      <c r="D638" s="100" t="n">
        <f aca="false">IF($C638="","",IFERROR(IF(INDEX('REGISTRE TUBES'!$C$7:$C$2506,MATCH($C638,'REGISTRE TUBES'!$B$7:$B$2506,0))="","",INDEX('REGISTRE TUBES'!$C$7:$C$2506,MATCH($C638,'REGISTRE TUBES'!$B$7:$B$2506,0))),"?"))</f>
        <v>15421111</v>
      </c>
      <c r="E638" s="100" t="str">
        <f aca="false">IF($C638="","",IFERROR(IF(INDEX('REGISTRE TUBES'!$D$7:$D$2506,MATCH($C638,'REGISTRE TUBES'!$B$7:$B$2506,0))="","",INDEX('REGISTRE TUBES'!$D$7:$D$2506,MATCH($C638,'REGISTRE TUBES'!$B$7:$B$2506,0))),"?"))</f>
        <v/>
      </c>
      <c r="F638" s="101" t="n">
        <f aca="false">IF($C638="","",IFERROR(IF(INDEX('REGISTRE TUBES'!$F$7:$F$2506,MATCH($C638,'REGISTRE TUBES'!$B$7:$B$2506,0))="","",INDEX('REGISTRE TUBES'!$F$7:$F$2506,MATCH($C638,'REGISTRE TUBES'!$B$7:$B$2506,0))),"?"))</f>
        <v>11.94</v>
      </c>
      <c r="G638" s="102" t="n">
        <f aca="false">IF($C638="","",N(G637)+N(F638))</f>
        <v>5170.04999999998</v>
      </c>
      <c r="H638" s="103" t="s">
        <v>1544</v>
      </c>
      <c r="I638" s="104"/>
      <c r="J638" s="105"/>
    </row>
    <row r="639" customFormat="false" ht="15" hidden="false" customHeight="false" outlineLevel="0" collapsed="false">
      <c r="B639" s="90" t="n">
        <v>437</v>
      </c>
      <c r="C639" s="91" t="n">
        <v>2096510</v>
      </c>
      <c r="D639" s="92" t="n">
        <f aca="false">IF($C639="","",IFERROR(IF(INDEX('REGISTRE TUBES'!$C$7:$C$2506,MATCH($C639,'REGISTRE TUBES'!$B$7:$B$2506,0))="","",INDEX('REGISTRE TUBES'!$C$7:$C$2506,MATCH($C639,'REGISTRE TUBES'!$B$7:$B$2506,0))),"?"))</f>
        <v>15421111</v>
      </c>
      <c r="E639" s="92" t="str">
        <f aca="false">IF($C639="","",IFERROR(IF(INDEX('REGISTRE TUBES'!$D$7:$D$2506,MATCH($C639,'REGISTRE TUBES'!$B$7:$B$2506,0))="","",INDEX('REGISTRE TUBES'!$D$7:$D$2506,MATCH($C639,'REGISTRE TUBES'!$B$7:$B$2506,0))),"?"))</f>
        <v/>
      </c>
      <c r="F639" s="93" t="n">
        <f aca="false">IF($C639="","",IFERROR(IF(INDEX('REGISTRE TUBES'!$F$7:$F$2506,MATCH($C639,'REGISTRE TUBES'!$B$7:$B$2506,0))="","",INDEX('REGISTRE TUBES'!$F$7:$F$2506,MATCH($C639,'REGISTRE TUBES'!$B$7:$B$2506,0))),"?"))</f>
        <v>11.94</v>
      </c>
      <c r="G639" s="94" t="n">
        <f aca="false">IF($C639="","",N(G638)+N(F639))</f>
        <v>5181.98999999998</v>
      </c>
      <c r="H639" s="95" t="s">
        <v>1545</v>
      </c>
      <c r="I639" s="96"/>
      <c r="J639" s="97"/>
    </row>
    <row r="640" customFormat="false" ht="15" hidden="false" customHeight="true" outlineLevel="0" collapsed="false">
      <c r="B640" s="106" t="s">
        <v>3031</v>
      </c>
      <c r="C640" s="106"/>
      <c r="D640" s="106"/>
      <c r="E640" s="106"/>
      <c r="F640" s="107" t="n">
        <f aca="false">SUM(F621:F639)</f>
        <v>226.86</v>
      </c>
      <c r="G640" s="108" t="n">
        <f aca="false">IF(COUNT(G621:G639)=0,"",MAX(G621:G639))</f>
        <v>5181.98999999998</v>
      </c>
      <c r="H640" s="106" t="str">
        <f aca="false">COUNTA(C621:C639)&amp;" tube(s)"</f>
        <v>19 tube(s)</v>
      </c>
      <c r="I640" s="106"/>
      <c r="J640" s="106"/>
    </row>
    <row r="642" customFormat="false" ht="15" hidden="false" customHeight="false" outlineLevel="0" collapsed="false">
      <c r="B642" s="109" t="s">
        <v>3032</v>
      </c>
      <c r="F642" s="109" t="s">
        <v>3033</v>
      </c>
      <c r="I642" s="109" t="s">
        <v>3034</v>
      </c>
    </row>
    <row r="645" customFormat="false" ht="25.5" hidden="false" customHeight="true" outlineLevel="0" collapsed="false">
      <c r="B645" s="85" t="s">
        <v>3015</v>
      </c>
      <c r="C645" s="85"/>
      <c r="D645" s="85"/>
      <c r="E645" s="85"/>
      <c r="F645" s="85"/>
      <c r="G645" s="85"/>
      <c r="H645" s="85"/>
      <c r="I645" s="85"/>
      <c r="J645" s="85"/>
    </row>
    <row r="646" customFormat="false" ht="15" hidden="false" customHeight="false" outlineLevel="0" collapsed="false">
      <c r="B646" s="86" t="str">
        <f aca="false">PARAMÈTRES!$C$4&amp;"   •   Affaire N° "&amp;PARAMÈTRES!$C$5</f>
        <v>Développement des champs gaziers TFT II — réseau de collecte TFT Sud (LIGNE-16)   •   Affaire N° 8546</v>
      </c>
      <c r="C646" s="86"/>
      <c r="D646" s="86"/>
      <c r="E646" s="86"/>
      <c r="F646" s="86"/>
      <c r="G646" s="86"/>
      <c r="H646" s="86"/>
      <c r="I646" s="86"/>
      <c r="J646" s="86"/>
    </row>
    <row r="647" customFormat="false" ht="19.5" hidden="false" customHeight="true" outlineLevel="0" collapsed="false">
      <c r="B647" s="87" t="s">
        <v>3016</v>
      </c>
      <c r="C647" s="88" t="s">
        <v>110</v>
      </c>
      <c r="D647" s="88"/>
      <c r="E647" s="87" t="s">
        <v>3017</v>
      </c>
      <c r="F647" s="88" t="s">
        <v>3079</v>
      </c>
      <c r="G647" s="87" t="s">
        <v>3019</v>
      </c>
      <c r="H647" s="88" t="s">
        <v>3080</v>
      </c>
      <c r="I647" s="87" t="s">
        <v>3021</v>
      </c>
      <c r="J647" s="89"/>
    </row>
    <row r="648" customFormat="false" ht="27.75" hidden="false" customHeight="true" outlineLevel="0" collapsed="false">
      <c r="B648" s="71" t="s">
        <v>3022</v>
      </c>
      <c r="C648" s="71" t="s">
        <v>3023</v>
      </c>
      <c r="D648" s="71" t="s">
        <v>3024</v>
      </c>
      <c r="E648" s="71" t="s">
        <v>3025</v>
      </c>
      <c r="F648" s="71" t="s">
        <v>3026</v>
      </c>
      <c r="G648" s="71" t="s">
        <v>3027</v>
      </c>
      <c r="H648" s="71" t="s">
        <v>3028</v>
      </c>
      <c r="I648" s="71" t="s">
        <v>3029</v>
      </c>
      <c r="J648" s="71" t="s">
        <v>3030</v>
      </c>
    </row>
    <row r="649" customFormat="false" ht="15" hidden="false" customHeight="false" outlineLevel="0" collapsed="false">
      <c r="B649" s="90" t="n">
        <v>438</v>
      </c>
      <c r="C649" s="91" t="n">
        <v>2093200</v>
      </c>
      <c r="D649" s="92" t="n">
        <f aca="false">IF($C649="","",IFERROR(IF(INDEX('REGISTRE TUBES'!$C$7:$C$2506,MATCH($C649,'REGISTRE TUBES'!$B$7:$B$2506,0))="","",INDEX('REGISTRE TUBES'!$C$7:$C$2506,MATCH($C649,'REGISTRE TUBES'!$B$7:$B$2506,0))),"?"))</f>
        <v>15421110</v>
      </c>
      <c r="E649" s="92" t="str">
        <f aca="false">IF($C649="","",IFERROR(IF(INDEX('REGISTRE TUBES'!$D$7:$D$2506,MATCH($C649,'REGISTRE TUBES'!$B$7:$B$2506,0))="","",INDEX('REGISTRE TUBES'!$D$7:$D$2506,MATCH($C649,'REGISTRE TUBES'!$B$7:$B$2506,0))),"?"))</f>
        <v/>
      </c>
      <c r="F649" s="93" t="n">
        <f aca="false">IF($C649="","",IFERROR(IF(INDEX('REGISTRE TUBES'!$F$7:$F$2506,MATCH($C649,'REGISTRE TUBES'!$B$7:$B$2506,0))="","",INDEX('REGISTRE TUBES'!$F$7:$F$2506,MATCH($C649,'REGISTRE TUBES'!$B$7:$B$2506,0))),"?"))</f>
        <v>11.94</v>
      </c>
      <c r="G649" s="94" t="n">
        <f aca="false">IF($C649="","",N(G639)+N(F649))</f>
        <v>5193.92999999998</v>
      </c>
      <c r="H649" s="95" t="s">
        <v>1547</v>
      </c>
      <c r="I649" s="96"/>
      <c r="J649" s="97"/>
    </row>
    <row r="650" customFormat="false" ht="15" hidden="false" customHeight="false" outlineLevel="0" collapsed="false">
      <c r="B650" s="98" t="n">
        <v>439</v>
      </c>
      <c r="C650" s="99" t="n">
        <v>2089680</v>
      </c>
      <c r="D650" s="100" t="n">
        <f aca="false">IF($C650="","",IFERROR(IF(INDEX('REGISTRE TUBES'!$C$7:$C$2506,MATCH($C650,'REGISTRE TUBES'!$B$7:$B$2506,0))="","",INDEX('REGISTRE TUBES'!$C$7:$C$2506,MATCH($C650,'REGISTRE TUBES'!$B$7:$B$2506,0))),"?"))</f>
        <v>15421109</v>
      </c>
      <c r="E650" s="100" t="str">
        <f aca="false">IF($C650="","",IFERROR(IF(INDEX('REGISTRE TUBES'!$D$7:$D$2506,MATCH($C650,'REGISTRE TUBES'!$B$7:$B$2506,0))="","",INDEX('REGISTRE TUBES'!$D$7:$D$2506,MATCH($C650,'REGISTRE TUBES'!$B$7:$B$2506,0))),"?"))</f>
        <v/>
      </c>
      <c r="F650" s="101" t="n">
        <f aca="false">IF($C650="","",IFERROR(IF(INDEX('REGISTRE TUBES'!$F$7:$F$2506,MATCH($C650,'REGISTRE TUBES'!$B$7:$B$2506,0))="","",INDEX('REGISTRE TUBES'!$F$7:$F$2506,MATCH($C650,'REGISTRE TUBES'!$B$7:$B$2506,0))),"?"))</f>
        <v>11.94</v>
      </c>
      <c r="G650" s="102" t="n">
        <f aca="false">IF($C650="","",N(G649)+N(F650))</f>
        <v>5205.86999999998</v>
      </c>
      <c r="H650" s="103" t="s">
        <v>1548</v>
      </c>
      <c r="I650" s="104"/>
      <c r="J650" s="105"/>
    </row>
    <row r="651" customFormat="false" ht="15" hidden="false" customHeight="false" outlineLevel="0" collapsed="false">
      <c r="B651" s="90" t="n">
        <v>440</v>
      </c>
      <c r="C651" s="91" t="n">
        <v>2080930</v>
      </c>
      <c r="D651" s="92" t="n">
        <f aca="false">IF($C651="","",IFERROR(IF(INDEX('REGISTRE TUBES'!$C$7:$C$2506,MATCH($C651,'REGISTRE TUBES'!$B$7:$B$2506,0))="","",INDEX('REGISTRE TUBES'!$C$7:$C$2506,MATCH($C651,'REGISTRE TUBES'!$B$7:$B$2506,0))),"?"))</f>
        <v>15421103</v>
      </c>
      <c r="E651" s="92" t="str">
        <f aca="false">IF($C651="","",IFERROR(IF(INDEX('REGISTRE TUBES'!$D$7:$D$2506,MATCH($C651,'REGISTRE TUBES'!$B$7:$B$2506,0))="","",INDEX('REGISTRE TUBES'!$D$7:$D$2506,MATCH($C651,'REGISTRE TUBES'!$B$7:$B$2506,0))),"?"))</f>
        <v/>
      </c>
      <c r="F651" s="93" t="n">
        <f aca="false">IF($C651="","",IFERROR(IF(INDEX('REGISTRE TUBES'!$F$7:$F$2506,MATCH($C651,'REGISTRE TUBES'!$B$7:$B$2506,0))="","",INDEX('REGISTRE TUBES'!$F$7:$F$2506,MATCH($C651,'REGISTRE TUBES'!$B$7:$B$2506,0))),"?"))</f>
        <v>11.94</v>
      </c>
      <c r="G651" s="94" t="n">
        <f aca="false">IF($C651="","",N(G650)+N(F651))</f>
        <v>5217.80999999998</v>
      </c>
      <c r="H651" s="95" t="s">
        <v>1549</v>
      </c>
      <c r="I651" s="96"/>
      <c r="J651" s="97"/>
    </row>
    <row r="652" customFormat="false" ht="15" hidden="false" customHeight="false" outlineLevel="0" collapsed="false">
      <c r="B652" s="98" t="n">
        <v>441</v>
      </c>
      <c r="C652" s="99" t="n">
        <v>2090230</v>
      </c>
      <c r="D652" s="100" t="n">
        <f aca="false">IF($C652="","",IFERROR(IF(INDEX('REGISTRE TUBES'!$C$7:$C$2506,MATCH($C652,'REGISTRE TUBES'!$B$7:$B$2506,0))="","",INDEX('REGISTRE TUBES'!$C$7:$C$2506,MATCH($C652,'REGISTRE TUBES'!$B$7:$B$2506,0))),"?"))</f>
        <v>15421109</v>
      </c>
      <c r="E652" s="100" t="str">
        <f aca="false">IF($C652="","",IFERROR(IF(INDEX('REGISTRE TUBES'!$D$7:$D$2506,MATCH($C652,'REGISTRE TUBES'!$B$7:$B$2506,0))="","",INDEX('REGISTRE TUBES'!$D$7:$D$2506,MATCH($C652,'REGISTRE TUBES'!$B$7:$B$2506,0))),"?"))</f>
        <v/>
      </c>
      <c r="F652" s="101" t="n">
        <f aca="false">IF($C652="","",IFERROR(IF(INDEX('REGISTRE TUBES'!$F$7:$F$2506,MATCH($C652,'REGISTRE TUBES'!$B$7:$B$2506,0))="","",INDEX('REGISTRE TUBES'!$F$7:$F$2506,MATCH($C652,'REGISTRE TUBES'!$B$7:$B$2506,0))),"?"))</f>
        <v>11.94</v>
      </c>
      <c r="G652" s="102" t="n">
        <f aca="false">IF($C652="","",N(G651)+N(F652))</f>
        <v>5229.74999999998</v>
      </c>
      <c r="H652" s="103" t="s">
        <v>1550</v>
      </c>
      <c r="I652" s="104"/>
      <c r="J652" s="105"/>
    </row>
    <row r="653" customFormat="false" ht="15" hidden="false" customHeight="false" outlineLevel="0" collapsed="false">
      <c r="B653" s="90" t="n">
        <v>442</v>
      </c>
      <c r="C653" s="91" t="n">
        <v>2083130</v>
      </c>
      <c r="D653" s="92" t="n">
        <f aca="false">IF($C653="","",IFERROR(IF(INDEX('REGISTRE TUBES'!$C$7:$C$2506,MATCH($C653,'REGISTRE TUBES'!$B$7:$B$2506,0))="","",INDEX('REGISTRE TUBES'!$C$7:$C$2506,MATCH($C653,'REGISTRE TUBES'!$B$7:$B$2506,0))),"?"))</f>
        <v>15421105</v>
      </c>
      <c r="E653" s="92" t="str">
        <f aca="false">IF($C653="","",IFERROR(IF(INDEX('REGISTRE TUBES'!$D$7:$D$2506,MATCH($C653,'REGISTRE TUBES'!$B$7:$B$2506,0))="","",INDEX('REGISTRE TUBES'!$D$7:$D$2506,MATCH($C653,'REGISTRE TUBES'!$B$7:$B$2506,0))),"?"))</f>
        <v/>
      </c>
      <c r="F653" s="93" t="n">
        <f aca="false">IF($C653="","",IFERROR(IF(INDEX('REGISTRE TUBES'!$F$7:$F$2506,MATCH($C653,'REGISTRE TUBES'!$B$7:$B$2506,0))="","",INDEX('REGISTRE TUBES'!$F$7:$F$2506,MATCH($C653,'REGISTRE TUBES'!$B$7:$B$2506,0))),"?"))</f>
        <v>11.94</v>
      </c>
      <c r="G653" s="94" t="n">
        <f aca="false">IF($C653="","",N(G652)+N(F653))</f>
        <v>5241.68999999998</v>
      </c>
      <c r="H653" s="95" t="s">
        <v>1551</v>
      </c>
      <c r="I653" s="96"/>
      <c r="J653" s="97"/>
    </row>
    <row r="654" customFormat="false" ht="15" hidden="false" customHeight="false" outlineLevel="0" collapsed="false">
      <c r="B654" s="98" t="n">
        <v>443</v>
      </c>
      <c r="C654" s="99" t="n">
        <v>2098450</v>
      </c>
      <c r="D654" s="100" t="n">
        <f aca="false">IF($C654="","",IFERROR(IF(INDEX('REGISTRE TUBES'!$C$7:$C$2506,MATCH($C654,'REGISTRE TUBES'!$B$7:$B$2506,0))="","",INDEX('REGISTRE TUBES'!$C$7:$C$2506,MATCH($C654,'REGISTRE TUBES'!$B$7:$B$2506,0))),"?"))</f>
        <v>15421112</v>
      </c>
      <c r="E654" s="100" t="str">
        <f aca="false">IF($C654="","",IFERROR(IF(INDEX('REGISTRE TUBES'!$D$7:$D$2506,MATCH($C654,'REGISTRE TUBES'!$B$7:$B$2506,0))="","",INDEX('REGISTRE TUBES'!$D$7:$D$2506,MATCH($C654,'REGISTRE TUBES'!$B$7:$B$2506,0))),"?"))</f>
        <v/>
      </c>
      <c r="F654" s="101" t="n">
        <f aca="false">IF($C654="","",IFERROR(IF(INDEX('REGISTRE TUBES'!$F$7:$F$2506,MATCH($C654,'REGISTRE TUBES'!$B$7:$B$2506,0))="","",INDEX('REGISTRE TUBES'!$F$7:$F$2506,MATCH($C654,'REGISTRE TUBES'!$B$7:$B$2506,0))),"?"))</f>
        <v>11.94</v>
      </c>
      <c r="G654" s="102" t="n">
        <f aca="false">IF($C654="","",N(G653)+N(F654))</f>
        <v>5253.62999999998</v>
      </c>
      <c r="H654" s="103" t="s">
        <v>1552</v>
      </c>
      <c r="I654" s="104"/>
      <c r="J654" s="105"/>
    </row>
    <row r="655" customFormat="false" ht="15" hidden="false" customHeight="false" outlineLevel="0" collapsed="false">
      <c r="B655" s="90" t="n">
        <v>444</v>
      </c>
      <c r="C655" s="91" t="n">
        <v>2080880</v>
      </c>
      <c r="D655" s="92" t="n">
        <f aca="false">IF($C655="","",IFERROR(IF(INDEX('REGISTRE TUBES'!$C$7:$C$2506,MATCH($C655,'REGISTRE TUBES'!$B$7:$B$2506,0))="","",INDEX('REGISTRE TUBES'!$C$7:$C$2506,MATCH($C655,'REGISTRE TUBES'!$B$7:$B$2506,0))),"?"))</f>
        <v>15421103</v>
      </c>
      <c r="E655" s="92" t="str">
        <f aca="false">IF($C655="","",IFERROR(IF(INDEX('REGISTRE TUBES'!$D$7:$D$2506,MATCH($C655,'REGISTRE TUBES'!$B$7:$B$2506,0))="","",INDEX('REGISTRE TUBES'!$D$7:$D$2506,MATCH($C655,'REGISTRE TUBES'!$B$7:$B$2506,0))),"?"))</f>
        <v/>
      </c>
      <c r="F655" s="93" t="n">
        <f aca="false">IF($C655="","",IFERROR(IF(INDEX('REGISTRE TUBES'!$F$7:$F$2506,MATCH($C655,'REGISTRE TUBES'!$B$7:$B$2506,0))="","",INDEX('REGISTRE TUBES'!$F$7:$F$2506,MATCH($C655,'REGISTRE TUBES'!$B$7:$B$2506,0))),"?"))</f>
        <v>11.94</v>
      </c>
      <c r="G655" s="94" t="n">
        <f aca="false">IF($C655="","",N(G654)+N(F655))</f>
        <v>5265.56999999998</v>
      </c>
      <c r="H655" s="95" t="s">
        <v>1553</v>
      </c>
      <c r="I655" s="96"/>
      <c r="J655" s="97"/>
    </row>
    <row r="656" customFormat="false" ht="15" hidden="false" customHeight="false" outlineLevel="0" collapsed="false">
      <c r="B656" s="98" t="n">
        <v>445</v>
      </c>
      <c r="C656" s="99" t="n">
        <v>2080710</v>
      </c>
      <c r="D656" s="100" t="n">
        <f aca="false">IF($C656="","",IFERROR(IF(INDEX('REGISTRE TUBES'!$C$7:$C$2506,MATCH($C656,'REGISTRE TUBES'!$B$7:$B$2506,0))="","",INDEX('REGISTRE TUBES'!$C$7:$C$2506,MATCH($C656,'REGISTRE TUBES'!$B$7:$B$2506,0))),"?"))</f>
        <v>15421103</v>
      </c>
      <c r="E656" s="100" t="str">
        <f aca="false">IF($C656="","",IFERROR(IF(INDEX('REGISTRE TUBES'!$D$7:$D$2506,MATCH($C656,'REGISTRE TUBES'!$B$7:$B$2506,0))="","",INDEX('REGISTRE TUBES'!$D$7:$D$2506,MATCH($C656,'REGISTRE TUBES'!$B$7:$B$2506,0))),"?"))</f>
        <v/>
      </c>
      <c r="F656" s="101" t="n">
        <f aca="false">IF($C656="","",IFERROR(IF(INDEX('REGISTRE TUBES'!$F$7:$F$2506,MATCH($C656,'REGISTRE TUBES'!$B$7:$B$2506,0))="","",INDEX('REGISTRE TUBES'!$F$7:$F$2506,MATCH($C656,'REGISTRE TUBES'!$B$7:$B$2506,0))),"?"))</f>
        <v>11.94</v>
      </c>
      <c r="G656" s="102" t="n">
        <f aca="false">IF($C656="","",N(G655)+N(F656))</f>
        <v>5277.50999999998</v>
      </c>
      <c r="H656" s="103" t="s">
        <v>1554</v>
      </c>
      <c r="I656" s="104"/>
      <c r="J656" s="105"/>
    </row>
    <row r="657" customFormat="false" ht="15" hidden="false" customHeight="false" outlineLevel="0" collapsed="false">
      <c r="B657" s="90" t="n">
        <v>446</v>
      </c>
      <c r="C657" s="91" t="n">
        <v>2092780</v>
      </c>
      <c r="D657" s="92" t="n">
        <f aca="false">IF($C657="","",IFERROR(IF(INDEX('REGISTRE TUBES'!$C$7:$C$2506,MATCH($C657,'REGISTRE TUBES'!$B$7:$B$2506,0))="","",INDEX('REGISTRE TUBES'!$C$7:$C$2506,MATCH($C657,'REGISTRE TUBES'!$B$7:$B$2506,0))),"?"))</f>
        <v>15421110</v>
      </c>
      <c r="E657" s="92" t="str">
        <f aca="false">IF($C657="","",IFERROR(IF(INDEX('REGISTRE TUBES'!$D$7:$D$2506,MATCH($C657,'REGISTRE TUBES'!$B$7:$B$2506,0))="","",INDEX('REGISTRE TUBES'!$D$7:$D$2506,MATCH($C657,'REGISTRE TUBES'!$B$7:$B$2506,0))),"?"))</f>
        <v/>
      </c>
      <c r="F657" s="93" t="n">
        <f aca="false">IF($C657="","",IFERROR(IF(INDEX('REGISTRE TUBES'!$F$7:$F$2506,MATCH($C657,'REGISTRE TUBES'!$B$7:$B$2506,0))="","",INDEX('REGISTRE TUBES'!$F$7:$F$2506,MATCH($C657,'REGISTRE TUBES'!$B$7:$B$2506,0))),"?"))</f>
        <v>11.94</v>
      </c>
      <c r="G657" s="94" t="n">
        <f aca="false">IF($C657="","",N(G656)+N(F657))</f>
        <v>5289.44999999998</v>
      </c>
      <c r="H657" s="95" t="s">
        <v>1557</v>
      </c>
      <c r="I657" s="96"/>
      <c r="J657" s="97"/>
    </row>
    <row r="658" customFormat="false" ht="15" hidden="false" customHeight="false" outlineLevel="0" collapsed="false">
      <c r="B658" s="98" t="n">
        <v>447</v>
      </c>
      <c r="C658" s="99" t="n">
        <v>2090870</v>
      </c>
      <c r="D658" s="100" t="n">
        <f aca="false">IF($C658="","",IFERROR(IF(INDEX('REGISTRE TUBES'!$C$7:$C$2506,MATCH($C658,'REGISTRE TUBES'!$B$7:$B$2506,0))="","",INDEX('REGISTRE TUBES'!$C$7:$C$2506,MATCH($C658,'REGISTRE TUBES'!$B$7:$B$2506,0))),"?"))</f>
        <v>15421109</v>
      </c>
      <c r="E658" s="100" t="str">
        <f aca="false">IF($C658="","",IFERROR(IF(INDEX('REGISTRE TUBES'!$D$7:$D$2506,MATCH($C658,'REGISTRE TUBES'!$B$7:$B$2506,0))="","",INDEX('REGISTRE TUBES'!$D$7:$D$2506,MATCH($C658,'REGISTRE TUBES'!$B$7:$B$2506,0))),"?"))</f>
        <v/>
      </c>
      <c r="F658" s="101" t="n">
        <f aca="false">IF($C658="","",IFERROR(IF(INDEX('REGISTRE TUBES'!$F$7:$F$2506,MATCH($C658,'REGISTRE TUBES'!$B$7:$B$2506,0))="","",INDEX('REGISTRE TUBES'!$F$7:$F$2506,MATCH($C658,'REGISTRE TUBES'!$B$7:$B$2506,0))),"?"))</f>
        <v>11.94</v>
      </c>
      <c r="G658" s="102" t="n">
        <f aca="false">IF($C658="","",N(G657)+N(F658))</f>
        <v>5301.38999999998</v>
      </c>
      <c r="H658" s="103" t="s">
        <v>1558</v>
      </c>
      <c r="I658" s="104"/>
      <c r="J658" s="105"/>
    </row>
    <row r="659" customFormat="false" ht="15" hidden="false" customHeight="false" outlineLevel="0" collapsed="false">
      <c r="B659" s="90" t="n">
        <v>448</v>
      </c>
      <c r="C659" s="91" t="n">
        <v>2086800</v>
      </c>
      <c r="D659" s="92" t="n">
        <f aca="false">IF($C659="","",IFERROR(IF(INDEX('REGISTRE TUBES'!$C$7:$C$2506,MATCH($C659,'REGISTRE TUBES'!$B$7:$B$2506,0))="","",INDEX('REGISTRE TUBES'!$C$7:$C$2506,MATCH($C659,'REGISTRE TUBES'!$B$7:$B$2506,0))),"?"))</f>
        <v>15421107</v>
      </c>
      <c r="E659" s="92" t="str">
        <f aca="false">IF($C659="","",IFERROR(IF(INDEX('REGISTRE TUBES'!$D$7:$D$2506,MATCH($C659,'REGISTRE TUBES'!$B$7:$B$2506,0))="","",INDEX('REGISTRE TUBES'!$D$7:$D$2506,MATCH($C659,'REGISTRE TUBES'!$B$7:$B$2506,0))),"?"))</f>
        <v/>
      </c>
      <c r="F659" s="93" t="n">
        <f aca="false">IF($C659="","",IFERROR(IF(INDEX('REGISTRE TUBES'!$F$7:$F$2506,MATCH($C659,'REGISTRE TUBES'!$B$7:$B$2506,0))="","",INDEX('REGISTRE TUBES'!$F$7:$F$2506,MATCH($C659,'REGISTRE TUBES'!$B$7:$B$2506,0))),"?"))</f>
        <v>11.94</v>
      </c>
      <c r="G659" s="94" t="n">
        <f aca="false">IF($C659="","",N(G658)+N(F659))</f>
        <v>5313.32999999998</v>
      </c>
      <c r="H659" s="95" t="s">
        <v>1559</v>
      </c>
      <c r="I659" s="96"/>
      <c r="J659" s="97"/>
    </row>
    <row r="660" customFormat="false" ht="15" hidden="false" customHeight="false" outlineLevel="0" collapsed="false">
      <c r="B660" s="98" t="n">
        <v>449</v>
      </c>
      <c r="C660" s="99" t="n">
        <v>2086790</v>
      </c>
      <c r="D660" s="100" t="n">
        <f aca="false">IF($C660="","",IFERROR(IF(INDEX('REGISTRE TUBES'!$C$7:$C$2506,MATCH($C660,'REGISTRE TUBES'!$B$7:$B$2506,0))="","",INDEX('REGISTRE TUBES'!$C$7:$C$2506,MATCH($C660,'REGISTRE TUBES'!$B$7:$B$2506,0))),"?"))</f>
        <v>15421107</v>
      </c>
      <c r="E660" s="100" t="str">
        <f aca="false">IF($C660="","",IFERROR(IF(INDEX('REGISTRE TUBES'!$D$7:$D$2506,MATCH($C660,'REGISTRE TUBES'!$B$7:$B$2506,0))="","",INDEX('REGISTRE TUBES'!$D$7:$D$2506,MATCH($C660,'REGISTRE TUBES'!$B$7:$B$2506,0))),"?"))</f>
        <v/>
      </c>
      <c r="F660" s="101" t="n">
        <f aca="false">IF($C660="","",IFERROR(IF(INDEX('REGISTRE TUBES'!$F$7:$F$2506,MATCH($C660,'REGISTRE TUBES'!$B$7:$B$2506,0))="","",INDEX('REGISTRE TUBES'!$F$7:$F$2506,MATCH($C660,'REGISTRE TUBES'!$B$7:$B$2506,0))),"?"))</f>
        <v>11.94</v>
      </c>
      <c r="G660" s="102" t="n">
        <f aca="false">IF($C660="","",N(G659)+N(F660))</f>
        <v>5325.26999999998</v>
      </c>
      <c r="H660" s="103" t="s">
        <v>1562</v>
      </c>
      <c r="I660" s="104"/>
      <c r="J660" s="105"/>
    </row>
    <row r="661" customFormat="false" ht="15" hidden="false" customHeight="false" outlineLevel="0" collapsed="false">
      <c r="B661" s="90" t="n">
        <v>450</v>
      </c>
      <c r="C661" s="91" t="n">
        <v>2095720</v>
      </c>
      <c r="D661" s="92" t="n">
        <f aca="false">IF($C661="","",IFERROR(IF(INDEX('REGISTRE TUBES'!$C$7:$C$2506,MATCH($C661,'REGISTRE TUBES'!$B$7:$B$2506,0))="","",INDEX('REGISTRE TUBES'!$C$7:$C$2506,MATCH($C661,'REGISTRE TUBES'!$B$7:$B$2506,0))),"?"))</f>
        <v>15421111</v>
      </c>
      <c r="E661" s="92" t="str">
        <f aca="false">IF($C661="","",IFERROR(IF(INDEX('REGISTRE TUBES'!$D$7:$D$2506,MATCH($C661,'REGISTRE TUBES'!$B$7:$B$2506,0))="","",INDEX('REGISTRE TUBES'!$D$7:$D$2506,MATCH($C661,'REGISTRE TUBES'!$B$7:$B$2506,0))),"?"))</f>
        <v/>
      </c>
      <c r="F661" s="93" t="n">
        <f aca="false">IF($C661="","",IFERROR(IF(INDEX('REGISTRE TUBES'!$F$7:$F$2506,MATCH($C661,'REGISTRE TUBES'!$B$7:$B$2506,0))="","",INDEX('REGISTRE TUBES'!$F$7:$F$2506,MATCH($C661,'REGISTRE TUBES'!$B$7:$B$2506,0))),"?"))</f>
        <v>11.94</v>
      </c>
      <c r="G661" s="94" t="n">
        <f aca="false">IF($C661="","",N(G660)+N(F661))</f>
        <v>5337.20999999998</v>
      </c>
      <c r="H661" s="95" t="s">
        <v>1564</v>
      </c>
      <c r="I661" s="96"/>
      <c r="J661" s="97"/>
    </row>
    <row r="662" customFormat="false" ht="15" hidden="false" customHeight="false" outlineLevel="0" collapsed="false">
      <c r="B662" s="98" t="n">
        <v>451</v>
      </c>
      <c r="C662" s="99" t="n">
        <v>2087030</v>
      </c>
      <c r="D662" s="100" t="n">
        <f aca="false">IF($C662="","",IFERROR(IF(INDEX('REGISTRE TUBES'!$C$7:$C$2506,MATCH($C662,'REGISTRE TUBES'!$B$7:$B$2506,0))="","",INDEX('REGISTRE TUBES'!$C$7:$C$2506,MATCH($C662,'REGISTRE TUBES'!$B$7:$B$2506,0))),"?"))</f>
        <v>15421107</v>
      </c>
      <c r="E662" s="100" t="str">
        <f aca="false">IF($C662="","",IFERROR(IF(INDEX('REGISTRE TUBES'!$D$7:$D$2506,MATCH($C662,'REGISTRE TUBES'!$B$7:$B$2506,0))="","",INDEX('REGISTRE TUBES'!$D$7:$D$2506,MATCH($C662,'REGISTRE TUBES'!$B$7:$B$2506,0))),"?"))</f>
        <v/>
      </c>
      <c r="F662" s="101" t="n">
        <f aca="false">IF($C662="","",IFERROR(IF(INDEX('REGISTRE TUBES'!$F$7:$F$2506,MATCH($C662,'REGISTRE TUBES'!$B$7:$B$2506,0))="","",INDEX('REGISTRE TUBES'!$F$7:$F$2506,MATCH($C662,'REGISTRE TUBES'!$B$7:$B$2506,0))),"?"))</f>
        <v>11.94</v>
      </c>
      <c r="G662" s="102" t="n">
        <f aca="false">IF($C662="","",N(G661)+N(F662))</f>
        <v>5349.14999999997</v>
      </c>
      <c r="H662" s="103" t="s">
        <v>1566</v>
      </c>
      <c r="I662" s="104"/>
      <c r="J662" s="105"/>
    </row>
    <row r="663" customFormat="false" ht="15" hidden="false" customHeight="false" outlineLevel="0" collapsed="false">
      <c r="B663" s="90" t="n">
        <v>452</v>
      </c>
      <c r="C663" s="91" t="n">
        <v>2093490</v>
      </c>
      <c r="D663" s="92" t="n">
        <f aca="false">IF($C663="","",IFERROR(IF(INDEX('REGISTRE TUBES'!$C$7:$C$2506,MATCH($C663,'REGISTRE TUBES'!$B$7:$B$2506,0))="","",INDEX('REGISTRE TUBES'!$C$7:$C$2506,MATCH($C663,'REGISTRE TUBES'!$B$7:$B$2506,0))),"?"))</f>
        <v>15421110</v>
      </c>
      <c r="E663" s="92" t="str">
        <f aca="false">IF($C663="","",IFERROR(IF(INDEX('REGISTRE TUBES'!$D$7:$D$2506,MATCH($C663,'REGISTRE TUBES'!$B$7:$B$2506,0))="","",INDEX('REGISTRE TUBES'!$D$7:$D$2506,MATCH($C663,'REGISTRE TUBES'!$B$7:$B$2506,0))),"?"))</f>
        <v/>
      </c>
      <c r="F663" s="93" t="n">
        <f aca="false">IF($C663="","",IFERROR(IF(INDEX('REGISTRE TUBES'!$F$7:$F$2506,MATCH($C663,'REGISTRE TUBES'!$B$7:$B$2506,0))="","",INDEX('REGISTRE TUBES'!$F$7:$F$2506,MATCH($C663,'REGISTRE TUBES'!$B$7:$B$2506,0))),"?"))</f>
        <v>11.94</v>
      </c>
      <c r="G663" s="94" t="n">
        <f aca="false">IF($C663="","",N(G662)+N(F663))</f>
        <v>5361.08999999997</v>
      </c>
      <c r="H663" s="95" t="s">
        <v>1568</v>
      </c>
      <c r="I663" s="96"/>
      <c r="J663" s="97"/>
    </row>
    <row r="664" customFormat="false" ht="15" hidden="false" customHeight="false" outlineLevel="0" collapsed="false">
      <c r="B664" s="98" t="n">
        <v>453</v>
      </c>
      <c r="C664" s="99" t="n">
        <v>2084730</v>
      </c>
      <c r="D664" s="100" t="n">
        <f aca="false">IF($C664="","",IFERROR(IF(INDEX('REGISTRE TUBES'!$C$7:$C$2506,MATCH($C664,'REGISTRE TUBES'!$B$7:$B$2506,0))="","",INDEX('REGISTRE TUBES'!$C$7:$C$2506,MATCH($C664,'REGISTRE TUBES'!$B$7:$B$2506,0))),"?"))</f>
        <v>15421106</v>
      </c>
      <c r="E664" s="100" t="str">
        <f aca="false">IF($C664="","",IFERROR(IF(INDEX('REGISTRE TUBES'!$D$7:$D$2506,MATCH($C664,'REGISTRE TUBES'!$B$7:$B$2506,0))="","",INDEX('REGISTRE TUBES'!$D$7:$D$2506,MATCH($C664,'REGISTRE TUBES'!$B$7:$B$2506,0))),"?"))</f>
        <v/>
      </c>
      <c r="F664" s="101" t="n">
        <f aca="false">IF($C664="","",IFERROR(IF(INDEX('REGISTRE TUBES'!$F$7:$F$2506,MATCH($C664,'REGISTRE TUBES'!$B$7:$B$2506,0))="","",INDEX('REGISTRE TUBES'!$F$7:$F$2506,MATCH($C664,'REGISTRE TUBES'!$B$7:$B$2506,0))),"?"))</f>
        <v>11.94</v>
      </c>
      <c r="G664" s="102" t="n">
        <f aca="false">IF($C664="","",N(G663)+N(F664))</f>
        <v>5373.02999999997</v>
      </c>
      <c r="H664" s="103" t="s">
        <v>1570</v>
      </c>
      <c r="I664" s="104"/>
      <c r="J664" s="105"/>
    </row>
    <row r="665" customFormat="false" ht="15" hidden="false" customHeight="false" outlineLevel="0" collapsed="false">
      <c r="B665" s="90" t="n">
        <v>454</v>
      </c>
      <c r="C665" s="91" t="n">
        <v>2084020</v>
      </c>
      <c r="D665" s="92" t="n">
        <f aca="false">IF($C665="","",IFERROR(IF(INDEX('REGISTRE TUBES'!$C$7:$C$2506,MATCH($C665,'REGISTRE TUBES'!$B$7:$B$2506,0))="","",INDEX('REGISTRE TUBES'!$C$7:$C$2506,MATCH($C665,'REGISTRE TUBES'!$B$7:$B$2506,0))),"?"))</f>
        <v>15421111</v>
      </c>
      <c r="E665" s="92" t="str">
        <f aca="false">IF($C665="","",IFERROR(IF(INDEX('REGISTRE TUBES'!$D$7:$D$2506,MATCH($C665,'REGISTRE TUBES'!$B$7:$B$2506,0))="","",INDEX('REGISTRE TUBES'!$D$7:$D$2506,MATCH($C665,'REGISTRE TUBES'!$B$7:$B$2506,0))),"?"))</f>
        <v/>
      </c>
      <c r="F665" s="93" t="n">
        <f aca="false">IF($C665="","",IFERROR(IF(INDEX('REGISTRE TUBES'!$F$7:$F$2506,MATCH($C665,'REGISTRE TUBES'!$B$7:$B$2506,0))="","",INDEX('REGISTRE TUBES'!$F$7:$F$2506,MATCH($C665,'REGISTRE TUBES'!$B$7:$B$2506,0))),"?"))</f>
        <v>11.94</v>
      </c>
      <c r="G665" s="94" t="n">
        <f aca="false">IF($C665="","",N(G664)+N(F665))</f>
        <v>5384.96999999997</v>
      </c>
      <c r="H665" s="95" t="s">
        <v>1571</v>
      </c>
      <c r="I665" s="96"/>
      <c r="J665" s="97"/>
    </row>
    <row r="666" customFormat="false" ht="15" hidden="false" customHeight="false" outlineLevel="0" collapsed="false">
      <c r="B666" s="98" t="n">
        <v>455</v>
      </c>
      <c r="C666" s="99" t="n">
        <v>2096100</v>
      </c>
      <c r="D666" s="100" t="n">
        <f aca="false">IF($C666="","",IFERROR(IF(INDEX('REGISTRE TUBES'!$C$7:$C$2506,MATCH($C666,'REGISTRE TUBES'!$B$7:$B$2506,0))="","",INDEX('REGISTRE TUBES'!$C$7:$C$2506,MATCH($C666,'REGISTRE TUBES'!$B$7:$B$2506,0))),"?"))</f>
        <v>15421111</v>
      </c>
      <c r="E666" s="100" t="str">
        <f aca="false">IF($C666="","",IFERROR(IF(INDEX('REGISTRE TUBES'!$D$7:$D$2506,MATCH($C666,'REGISTRE TUBES'!$B$7:$B$2506,0))="","",INDEX('REGISTRE TUBES'!$D$7:$D$2506,MATCH($C666,'REGISTRE TUBES'!$B$7:$B$2506,0))),"?"))</f>
        <v/>
      </c>
      <c r="F666" s="101" t="n">
        <f aca="false">IF($C666="","",IFERROR(IF(INDEX('REGISTRE TUBES'!$F$7:$F$2506,MATCH($C666,'REGISTRE TUBES'!$B$7:$B$2506,0))="","",INDEX('REGISTRE TUBES'!$F$7:$F$2506,MATCH($C666,'REGISTRE TUBES'!$B$7:$B$2506,0))),"?"))</f>
        <v>11.94</v>
      </c>
      <c r="G666" s="102" t="n">
        <f aca="false">IF($C666="","",N(G665)+N(F666))</f>
        <v>5396.90999999997</v>
      </c>
      <c r="H666" s="103" t="s">
        <v>1572</v>
      </c>
      <c r="I666" s="104"/>
      <c r="J666" s="105"/>
    </row>
    <row r="667" customFormat="false" ht="15" hidden="false" customHeight="false" outlineLevel="0" collapsed="false">
      <c r="B667" s="90" t="n">
        <v>456</v>
      </c>
      <c r="C667" s="91" t="n">
        <v>2093470</v>
      </c>
      <c r="D667" s="92" t="n">
        <f aca="false">IF($C667="","",IFERROR(IF(INDEX('REGISTRE TUBES'!$C$7:$C$2506,MATCH($C667,'REGISTRE TUBES'!$B$7:$B$2506,0))="","",INDEX('REGISTRE TUBES'!$C$7:$C$2506,MATCH($C667,'REGISTRE TUBES'!$B$7:$B$2506,0))),"?"))</f>
        <v>15421101</v>
      </c>
      <c r="E667" s="92" t="str">
        <f aca="false">IF($C667="","",IFERROR(IF(INDEX('REGISTRE TUBES'!$D$7:$D$2506,MATCH($C667,'REGISTRE TUBES'!$B$7:$B$2506,0))="","",INDEX('REGISTRE TUBES'!$D$7:$D$2506,MATCH($C667,'REGISTRE TUBES'!$B$7:$B$2506,0))),"?"))</f>
        <v/>
      </c>
      <c r="F667" s="93" t="n">
        <f aca="false">IF($C667="","",IFERROR(IF(INDEX('REGISTRE TUBES'!$F$7:$F$2506,MATCH($C667,'REGISTRE TUBES'!$B$7:$B$2506,0))="","",INDEX('REGISTRE TUBES'!$F$7:$F$2506,MATCH($C667,'REGISTRE TUBES'!$B$7:$B$2506,0))),"?"))</f>
        <v>11.94</v>
      </c>
      <c r="G667" s="94" t="n">
        <f aca="false">IF($C667="","",N(G666)+N(F667))</f>
        <v>5408.84999999997</v>
      </c>
      <c r="H667" s="95" t="s">
        <v>1573</v>
      </c>
      <c r="I667" s="96"/>
      <c r="J667" s="97"/>
    </row>
    <row r="668" customFormat="false" ht="15" hidden="false" customHeight="true" outlineLevel="0" collapsed="false">
      <c r="B668" s="106" t="s">
        <v>3031</v>
      </c>
      <c r="C668" s="106"/>
      <c r="D668" s="106"/>
      <c r="E668" s="106"/>
      <c r="F668" s="107" t="n">
        <f aca="false">SUM(F649:F667)</f>
        <v>226.86</v>
      </c>
      <c r="G668" s="108" t="n">
        <f aca="false">IF(COUNT(G649:G667)=0,"",MAX(G649:G667))</f>
        <v>5408.84999999997</v>
      </c>
      <c r="H668" s="106" t="str">
        <f aca="false">COUNTA(C649:C667)&amp;" tube(s)"</f>
        <v>19 tube(s)</v>
      </c>
      <c r="I668" s="106"/>
      <c r="J668" s="106"/>
    </row>
    <row r="670" customFormat="false" ht="15" hidden="false" customHeight="false" outlineLevel="0" collapsed="false">
      <c r="B670" s="109" t="s">
        <v>3032</v>
      </c>
      <c r="F670" s="109" t="s">
        <v>3033</v>
      </c>
      <c r="I670" s="109" t="s">
        <v>3034</v>
      </c>
    </row>
    <row r="673" customFormat="false" ht="25.5" hidden="false" customHeight="true" outlineLevel="0" collapsed="false">
      <c r="B673" s="85" t="s">
        <v>3015</v>
      </c>
      <c r="C673" s="85"/>
      <c r="D673" s="85"/>
      <c r="E673" s="85"/>
      <c r="F673" s="85"/>
      <c r="G673" s="85"/>
      <c r="H673" s="85"/>
      <c r="I673" s="85"/>
      <c r="J673" s="85"/>
    </row>
    <row r="674" customFormat="false" ht="15" hidden="false" customHeight="false" outlineLevel="0" collapsed="false">
      <c r="B674" s="86" t="str">
        <f aca="false">PARAMÈTRES!$C$4&amp;"   •   Affaire N° "&amp;PARAMÈTRES!$C$5</f>
        <v>Développement des champs gaziers TFT II — réseau de collecte TFT Sud (LIGNE-16)   •   Affaire N° 8546</v>
      </c>
      <c r="C674" s="86"/>
      <c r="D674" s="86"/>
      <c r="E674" s="86"/>
      <c r="F674" s="86"/>
      <c r="G674" s="86"/>
      <c r="H674" s="86"/>
      <c r="I674" s="86"/>
      <c r="J674" s="86"/>
    </row>
    <row r="675" customFormat="false" ht="19.5" hidden="false" customHeight="true" outlineLevel="0" collapsed="false">
      <c r="B675" s="87" t="s">
        <v>3016</v>
      </c>
      <c r="C675" s="88" t="s">
        <v>110</v>
      </c>
      <c r="D675" s="88"/>
      <c r="E675" s="87" t="s">
        <v>3017</v>
      </c>
      <c r="F675" s="88" t="s">
        <v>3081</v>
      </c>
      <c r="G675" s="87" t="s">
        <v>3019</v>
      </c>
      <c r="H675" s="88" t="s">
        <v>3082</v>
      </c>
      <c r="I675" s="87" t="s">
        <v>3021</v>
      </c>
      <c r="J675" s="89"/>
    </row>
    <row r="676" customFormat="false" ht="27.75" hidden="false" customHeight="true" outlineLevel="0" collapsed="false">
      <c r="B676" s="71" t="s">
        <v>3022</v>
      </c>
      <c r="C676" s="71" t="s">
        <v>3023</v>
      </c>
      <c r="D676" s="71" t="s">
        <v>3024</v>
      </c>
      <c r="E676" s="71" t="s">
        <v>3025</v>
      </c>
      <c r="F676" s="71" t="s">
        <v>3026</v>
      </c>
      <c r="G676" s="71" t="s">
        <v>3027</v>
      </c>
      <c r="H676" s="71" t="s">
        <v>3028</v>
      </c>
      <c r="I676" s="71" t="s">
        <v>3029</v>
      </c>
      <c r="J676" s="71" t="s">
        <v>3030</v>
      </c>
    </row>
    <row r="677" customFormat="false" ht="15" hidden="false" customHeight="false" outlineLevel="0" collapsed="false">
      <c r="B677" s="90" t="n">
        <v>457</v>
      </c>
      <c r="C677" s="91" t="n">
        <v>2079030</v>
      </c>
      <c r="D677" s="92" t="n">
        <f aca="false">IF($C677="","",IFERROR(IF(INDEX('REGISTRE TUBES'!$C$7:$C$2506,MATCH($C677,'REGISTRE TUBES'!$B$7:$B$2506,0))="","",INDEX('REGISTRE TUBES'!$C$7:$C$2506,MATCH($C677,'REGISTRE TUBES'!$B$7:$B$2506,0))),"?"))</f>
        <v>15421102</v>
      </c>
      <c r="E677" s="92" t="str">
        <f aca="false">IF($C677="","",IFERROR(IF(INDEX('REGISTRE TUBES'!$D$7:$D$2506,MATCH($C677,'REGISTRE TUBES'!$B$7:$B$2506,0))="","",INDEX('REGISTRE TUBES'!$D$7:$D$2506,MATCH($C677,'REGISTRE TUBES'!$B$7:$B$2506,0))),"?"))</f>
        <v/>
      </c>
      <c r="F677" s="93" t="n">
        <f aca="false">IF($C677="","",IFERROR(IF(INDEX('REGISTRE TUBES'!$F$7:$F$2506,MATCH($C677,'REGISTRE TUBES'!$B$7:$B$2506,0))="","",INDEX('REGISTRE TUBES'!$F$7:$F$2506,MATCH($C677,'REGISTRE TUBES'!$B$7:$B$2506,0))),"?"))</f>
        <v>11.94</v>
      </c>
      <c r="G677" s="94" t="n">
        <f aca="false">IF($C677="","",N(G667)+N(F677))</f>
        <v>5420.78999999997</v>
      </c>
      <c r="H677" s="95" t="s">
        <v>1574</v>
      </c>
      <c r="I677" s="96"/>
      <c r="J677" s="97"/>
    </row>
    <row r="678" customFormat="false" ht="15" hidden="false" customHeight="false" outlineLevel="0" collapsed="false">
      <c r="B678" s="98" t="n">
        <v>458</v>
      </c>
      <c r="C678" s="99" t="n">
        <v>2096610</v>
      </c>
      <c r="D678" s="100" t="n">
        <f aca="false">IF($C678="","",IFERROR(IF(INDEX('REGISTRE TUBES'!$C$7:$C$2506,MATCH($C678,'REGISTRE TUBES'!$B$7:$B$2506,0))="","",INDEX('REGISTRE TUBES'!$C$7:$C$2506,MATCH($C678,'REGISTRE TUBES'!$B$7:$B$2506,0))),"?"))</f>
        <v>15421111</v>
      </c>
      <c r="E678" s="100" t="str">
        <f aca="false">IF($C678="","",IFERROR(IF(INDEX('REGISTRE TUBES'!$D$7:$D$2506,MATCH($C678,'REGISTRE TUBES'!$B$7:$B$2506,0))="","",INDEX('REGISTRE TUBES'!$D$7:$D$2506,MATCH($C678,'REGISTRE TUBES'!$B$7:$B$2506,0))),"?"))</f>
        <v/>
      </c>
      <c r="F678" s="101" t="n">
        <f aca="false">IF($C678="","",IFERROR(IF(INDEX('REGISTRE TUBES'!$F$7:$F$2506,MATCH($C678,'REGISTRE TUBES'!$B$7:$B$2506,0))="","",INDEX('REGISTRE TUBES'!$F$7:$F$2506,MATCH($C678,'REGISTRE TUBES'!$B$7:$B$2506,0))),"?"))</f>
        <v>11.94</v>
      </c>
      <c r="G678" s="102" t="n">
        <f aca="false">IF($C678="","",N(G677)+N(F678))</f>
        <v>5432.72999999997</v>
      </c>
      <c r="H678" s="103" t="s">
        <v>1575</v>
      </c>
      <c r="I678" s="104"/>
      <c r="J678" s="105"/>
    </row>
    <row r="679" customFormat="false" ht="15" hidden="false" customHeight="false" outlineLevel="0" collapsed="false">
      <c r="B679" s="90" t="n">
        <v>459</v>
      </c>
      <c r="C679" s="91" t="n">
        <v>2091040</v>
      </c>
      <c r="D679" s="92" t="n">
        <f aca="false">IF($C679="","",IFERROR(IF(INDEX('REGISTRE TUBES'!$C$7:$C$2506,MATCH($C679,'REGISTRE TUBES'!$B$7:$B$2506,0))="","",INDEX('REGISTRE TUBES'!$C$7:$C$2506,MATCH($C679,'REGISTRE TUBES'!$B$7:$B$2506,0))),"?"))</f>
        <v>15421109</v>
      </c>
      <c r="E679" s="92" t="str">
        <f aca="false">IF($C679="","",IFERROR(IF(INDEX('REGISTRE TUBES'!$D$7:$D$2506,MATCH($C679,'REGISTRE TUBES'!$B$7:$B$2506,0))="","",INDEX('REGISTRE TUBES'!$D$7:$D$2506,MATCH($C679,'REGISTRE TUBES'!$B$7:$B$2506,0))),"?"))</f>
        <v/>
      </c>
      <c r="F679" s="93" t="n">
        <f aca="false">IF($C679="","",IFERROR(IF(INDEX('REGISTRE TUBES'!$F$7:$F$2506,MATCH($C679,'REGISTRE TUBES'!$B$7:$B$2506,0))="","",INDEX('REGISTRE TUBES'!$F$7:$F$2506,MATCH($C679,'REGISTRE TUBES'!$B$7:$B$2506,0))),"?"))</f>
        <v>11.94</v>
      </c>
      <c r="G679" s="94" t="n">
        <f aca="false">IF($C679="","",N(G678)+N(F679))</f>
        <v>5444.66999999997</v>
      </c>
      <c r="H679" s="95" t="s">
        <v>1576</v>
      </c>
      <c r="I679" s="96"/>
      <c r="J679" s="97"/>
    </row>
    <row r="680" customFormat="false" ht="15" hidden="false" customHeight="false" outlineLevel="0" collapsed="false">
      <c r="B680" s="98" t="n">
        <v>460</v>
      </c>
      <c r="C680" s="99" t="n">
        <v>2070950</v>
      </c>
      <c r="D680" s="100" t="n">
        <f aca="false">IF($C680="","",IFERROR(IF(INDEX('REGISTRE TUBES'!$C$7:$C$2506,MATCH($C680,'REGISTRE TUBES'!$B$7:$B$2506,0))="","",INDEX('REGISTRE TUBES'!$C$7:$C$2506,MATCH($C680,'REGISTRE TUBES'!$B$7:$B$2506,0))),"?"))</f>
        <v>15421109</v>
      </c>
      <c r="E680" s="100" t="str">
        <f aca="false">IF($C680="","",IFERROR(IF(INDEX('REGISTRE TUBES'!$D$7:$D$2506,MATCH($C680,'REGISTRE TUBES'!$B$7:$B$2506,0))="","",INDEX('REGISTRE TUBES'!$D$7:$D$2506,MATCH($C680,'REGISTRE TUBES'!$B$7:$B$2506,0))),"?"))</f>
        <v/>
      </c>
      <c r="F680" s="101" t="n">
        <f aca="false">IF($C680="","",IFERROR(IF(INDEX('REGISTRE TUBES'!$F$7:$F$2506,MATCH($C680,'REGISTRE TUBES'!$B$7:$B$2506,0))="","",INDEX('REGISTRE TUBES'!$F$7:$F$2506,MATCH($C680,'REGISTRE TUBES'!$B$7:$B$2506,0))),"?"))</f>
        <v>11.94</v>
      </c>
      <c r="G680" s="102" t="n">
        <f aca="false">IF($C680="","",N(G679)+N(F680))</f>
        <v>5456.60999999997</v>
      </c>
      <c r="H680" s="103" t="s">
        <v>1577</v>
      </c>
      <c r="I680" s="104"/>
      <c r="J680" s="105"/>
    </row>
    <row r="681" customFormat="false" ht="15" hidden="false" customHeight="false" outlineLevel="0" collapsed="false">
      <c r="B681" s="90" t="n">
        <v>461</v>
      </c>
      <c r="C681" s="91" t="n">
        <v>2087220</v>
      </c>
      <c r="D681" s="92" t="n">
        <f aca="false">IF($C681="","",IFERROR(IF(INDEX('REGISTRE TUBES'!$C$7:$C$2506,MATCH($C681,'REGISTRE TUBES'!$B$7:$B$2506,0))="","",INDEX('REGISTRE TUBES'!$C$7:$C$2506,MATCH($C681,'REGISTRE TUBES'!$B$7:$B$2506,0))),"?"))</f>
        <v>15421107</v>
      </c>
      <c r="E681" s="92" t="str">
        <f aca="false">IF($C681="","",IFERROR(IF(INDEX('REGISTRE TUBES'!$D$7:$D$2506,MATCH($C681,'REGISTRE TUBES'!$B$7:$B$2506,0))="","",INDEX('REGISTRE TUBES'!$D$7:$D$2506,MATCH($C681,'REGISTRE TUBES'!$B$7:$B$2506,0))),"?"))</f>
        <v/>
      </c>
      <c r="F681" s="93" t="n">
        <f aca="false">IF($C681="","",IFERROR(IF(INDEX('REGISTRE TUBES'!$F$7:$F$2506,MATCH($C681,'REGISTRE TUBES'!$B$7:$B$2506,0))="","",INDEX('REGISTRE TUBES'!$F$7:$F$2506,MATCH($C681,'REGISTRE TUBES'!$B$7:$B$2506,0))),"?"))</f>
        <v>11.94</v>
      </c>
      <c r="G681" s="94" t="n">
        <f aca="false">IF($C681="","",N(G680)+N(F681))</f>
        <v>5468.54999999997</v>
      </c>
      <c r="H681" s="95"/>
      <c r="I681" s="96"/>
      <c r="J681" s="97"/>
    </row>
    <row r="682" customFormat="false" ht="15" hidden="false" customHeight="false" outlineLevel="0" collapsed="false">
      <c r="B682" s="98" t="n">
        <v>462</v>
      </c>
      <c r="C682" s="99" t="n">
        <v>2088920</v>
      </c>
      <c r="D682" s="100" t="n">
        <f aca="false">IF($C682="","",IFERROR(IF(INDEX('REGISTRE TUBES'!$C$7:$C$2506,MATCH($C682,'REGISTRE TUBES'!$B$7:$B$2506,0))="","",INDEX('REGISTRE TUBES'!$C$7:$C$2506,MATCH($C682,'REGISTRE TUBES'!$B$7:$B$2506,0))),"?"))</f>
        <v>15421108</v>
      </c>
      <c r="E682" s="100" t="str">
        <f aca="false">IF($C682="","",IFERROR(IF(INDEX('REGISTRE TUBES'!$D$7:$D$2506,MATCH($C682,'REGISTRE TUBES'!$B$7:$B$2506,0))="","",INDEX('REGISTRE TUBES'!$D$7:$D$2506,MATCH($C682,'REGISTRE TUBES'!$B$7:$B$2506,0))),"?"))</f>
        <v/>
      </c>
      <c r="F682" s="101" t="n">
        <f aca="false">IF($C682="","",IFERROR(IF(INDEX('REGISTRE TUBES'!$F$7:$F$2506,MATCH($C682,'REGISTRE TUBES'!$B$7:$B$2506,0))="","",INDEX('REGISTRE TUBES'!$F$7:$F$2506,MATCH($C682,'REGISTRE TUBES'!$B$7:$B$2506,0))),"?"))</f>
        <v>11.94</v>
      </c>
      <c r="G682" s="102" t="n">
        <f aca="false">IF($C682="","",N(G681)+N(F682))</f>
        <v>5480.48999999997</v>
      </c>
      <c r="H682" s="103" t="s">
        <v>1588</v>
      </c>
      <c r="I682" s="104"/>
      <c r="J682" s="105"/>
    </row>
    <row r="683" customFormat="false" ht="15" hidden="false" customHeight="false" outlineLevel="0" collapsed="false">
      <c r="B683" s="90" t="n">
        <v>463</v>
      </c>
      <c r="C683" s="91" t="n">
        <v>2092940</v>
      </c>
      <c r="D683" s="92" t="n">
        <f aca="false">IF($C683="","",IFERROR(IF(INDEX('REGISTRE TUBES'!$C$7:$C$2506,MATCH($C683,'REGISTRE TUBES'!$B$7:$B$2506,0))="","",INDEX('REGISTRE TUBES'!$C$7:$C$2506,MATCH($C683,'REGISTRE TUBES'!$B$7:$B$2506,0))),"?"))</f>
        <v>15421110</v>
      </c>
      <c r="E683" s="92" t="str">
        <f aca="false">IF($C683="","",IFERROR(IF(INDEX('REGISTRE TUBES'!$D$7:$D$2506,MATCH($C683,'REGISTRE TUBES'!$B$7:$B$2506,0))="","",INDEX('REGISTRE TUBES'!$D$7:$D$2506,MATCH($C683,'REGISTRE TUBES'!$B$7:$B$2506,0))),"?"))</f>
        <v/>
      </c>
      <c r="F683" s="93" t="n">
        <f aca="false">IF($C683="","",IFERROR(IF(INDEX('REGISTRE TUBES'!$F$7:$F$2506,MATCH($C683,'REGISTRE TUBES'!$B$7:$B$2506,0))="","",INDEX('REGISTRE TUBES'!$F$7:$F$2506,MATCH($C683,'REGISTRE TUBES'!$B$7:$B$2506,0))),"?"))</f>
        <v>11.94</v>
      </c>
      <c r="G683" s="94" t="n">
        <f aca="false">IF($C683="","",N(G682)+N(F683))</f>
        <v>5492.42999999997</v>
      </c>
      <c r="H683" s="95" t="s">
        <v>1589</v>
      </c>
      <c r="I683" s="96"/>
      <c r="J683" s="97"/>
    </row>
    <row r="684" customFormat="false" ht="15" hidden="false" customHeight="false" outlineLevel="0" collapsed="false">
      <c r="B684" s="98" t="n">
        <v>464</v>
      </c>
      <c r="C684" s="99" t="n">
        <v>2091330</v>
      </c>
      <c r="D684" s="100" t="n">
        <f aca="false">IF($C684="","",IFERROR(IF(INDEX('REGISTRE TUBES'!$C$7:$C$2506,MATCH($C684,'REGISTRE TUBES'!$B$7:$B$2506,0))="","",INDEX('REGISTRE TUBES'!$C$7:$C$2506,MATCH($C684,'REGISTRE TUBES'!$B$7:$B$2506,0))),"?"))</f>
        <v>15421109</v>
      </c>
      <c r="E684" s="100" t="str">
        <f aca="false">IF($C684="","",IFERROR(IF(INDEX('REGISTRE TUBES'!$D$7:$D$2506,MATCH($C684,'REGISTRE TUBES'!$B$7:$B$2506,0))="","",INDEX('REGISTRE TUBES'!$D$7:$D$2506,MATCH($C684,'REGISTRE TUBES'!$B$7:$B$2506,0))),"?"))</f>
        <v/>
      </c>
      <c r="F684" s="101" t="n">
        <f aca="false">IF($C684="","",IFERROR(IF(INDEX('REGISTRE TUBES'!$F$7:$F$2506,MATCH($C684,'REGISTRE TUBES'!$B$7:$B$2506,0))="","",INDEX('REGISTRE TUBES'!$F$7:$F$2506,MATCH($C684,'REGISTRE TUBES'!$B$7:$B$2506,0))),"?"))</f>
        <v>11.94</v>
      </c>
      <c r="G684" s="102" t="n">
        <f aca="false">IF($C684="","",N(G683)+N(F684))</f>
        <v>5504.36999999997</v>
      </c>
      <c r="H684" s="103" t="s">
        <v>1590</v>
      </c>
      <c r="I684" s="104"/>
      <c r="J684" s="105"/>
    </row>
    <row r="685" customFormat="false" ht="15" hidden="false" customHeight="false" outlineLevel="0" collapsed="false">
      <c r="B685" s="90" t="n">
        <v>465</v>
      </c>
      <c r="C685" s="91" t="n">
        <v>2083660</v>
      </c>
      <c r="D685" s="92" t="n">
        <f aca="false">IF($C685="","",IFERROR(IF(INDEX('REGISTRE TUBES'!$C$7:$C$2506,MATCH($C685,'REGISTRE TUBES'!$B$7:$B$2506,0))="","",INDEX('REGISTRE TUBES'!$C$7:$C$2506,MATCH($C685,'REGISTRE TUBES'!$B$7:$B$2506,0))),"?"))</f>
        <v>15421105</v>
      </c>
      <c r="E685" s="92" t="str">
        <f aca="false">IF($C685="","",IFERROR(IF(INDEX('REGISTRE TUBES'!$D$7:$D$2506,MATCH($C685,'REGISTRE TUBES'!$B$7:$B$2506,0))="","",INDEX('REGISTRE TUBES'!$D$7:$D$2506,MATCH($C685,'REGISTRE TUBES'!$B$7:$B$2506,0))),"?"))</f>
        <v/>
      </c>
      <c r="F685" s="93" t="n">
        <f aca="false">IF($C685="","",IFERROR(IF(INDEX('REGISTRE TUBES'!$F$7:$F$2506,MATCH($C685,'REGISTRE TUBES'!$B$7:$B$2506,0))="","",INDEX('REGISTRE TUBES'!$F$7:$F$2506,MATCH($C685,'REGISTRE TUBES'!$B$7:$B$2506,0))),"?"))</f>
        <v>11.94</v>
      </c>
      <c r="G685" s="94" t="n">
        <f aca="false">IF($C685="","",N(G684)+N(F685))</f>
        <v>5516.30999999997</v>
      </c>
      <c r="H685" s="95" t="s">
        <v>1591</v>
      </c>
      <c r="I685" s="96"/>
      <c r="J685" s="97"/>
    </row>
    <row r="686" customFormat="false" ht="15" hidden="false" customHeight="false" outlineLevel="0" collapsed="false">
      <c r="B686" s="98" t="n">
        <v>466</v>
      </c>
      <c r="C686" s="99" t="n">
        <v>2093860</v>
      </c>
      <c r="D686" s="100" t="n">
        <f aca="false">IF($C686="","",IFERROR(IF(INDEX('REGISTRE TUBES'!$C$7:$C$2506,MATCH($C686,'REGISTRE TUBES'!$B$7:$B$2506,0))="","",INDEX('REGISTRE TUBES'!$C$7:$C$2506,MATCH($C686,'REGISTRE TUBES'!$B$7:$B$2506,0))),"?"))</f>
        <v>15421110</v>
      </c>
      <c r="E686" s="100" t="str">
        <f aca="false">IF($C686="","",IFERROR(IF(INDEX('REGISTRE TUBES'!$D$7:$D$2506,MATCH($C686,'REGISTRE TUBES'!$B$7:$B$2506,0))="","",INDEX('REGISTRE TUBES'!$D$7:$D$2506,MATCH($C686,'REGISTRE TUBES'!$B$7:$B$2506,0))),"?"))</f>
        <v/>
      </c>
      <c r="F686" s="101" t="n">
        <f aca="false">IF($C686="","",IFERROR(IF(INDEX('REGISTRE TUBES'!$F$7:$F$2506,MATCH($C686,'REGISTRE TUBES'!$B$7:$B$2506,0))="","",INDEX('REGISTRE TUBES'!$F$7:$F$2506,MATCH($C686,'REGISTRE TUBES'!$B$7:$B$2506,0))),"?"))</f>
        <v>11.94</v>
      </c>
      <c r="G686" s="102" t="n">
        <f aca="false">IF($C686="","",N(G685)+N(F686))</f>
        <v>5528.24999999997</v>
      </c>
      <c r="H686" s="103" t="s">
        <v>1592</v>
      </c>
      <c r="I686" s="104"/>
      <c r="J686" s="105"/>
    </row>
    <row r="687" customFormat="false" ht="15" hidden="false" customHeight="false" outlineLevel="0" collapsed="false">
      <c r="B687" s="90" t="n">
        <v>467</v>
      </c>
      <c r="C687" s="91" t="n">
        <v>2084200</v>
      </c>
      <c r="D687" s="92" t="n">
        <f aca="false">IF($C687="","",IFERROR(IF(INDEX('REGISTRE TUBES'!$C$7:$C$2506,MATCH($C687,'REGISTRE TUBES'!$B$7:$B$2506,0))="","",INDEX('REGISTRE TUBES'!$C$7:$C$2506,MATCH($C687,'REGISTRE TUBES'!$B$7:$B$2506,0))),"?"))</f>
        <v>15421106</v>
      </c>
      <c r="E687" s="92" t="str">
        <f aca="false">IF($C687="","",IFERROR(IF(INDEX('REGISTRE TUBES'!$D$7:$D$2506,MATCH($C687,'REGISTRE TUBES'!$B$7:$B$2506,0))="","",INDEX('REGISTRE TUBES'!$D$7:$D$2506,MATCH($C687,'REGISTRE TUBES'!$B$7:$B$2506,0))),"?"))</f>
        <v/>
      </c>
      <c r="F687" s="93" t="n">
        <f aca="false">IF($C687="","",IFERROR(IF(INDEX('REGISTRE TUBES'!$F$7:$F$2506,MATCH($C687,'REGISTRE TUBES'!$B$7:$B$2506,0))="","",INDEX('REGISTRE TUBES'!$F$7:$F$2506,MATCH($C687,'REGISTRE TUBES'!$B$7:$B$2506,0))),"?"))</f>
        <v>11.94</v>
      </c>
      <c r="G687" s="94" t="n">
        <f aca="false">IF($C687="","",N(G686)+N(F687))</f>
        <v>5540.18999999997</v>
      </c>
      <c r="H687" s="95" t="s">
        <v>1593</v>
      </c>
      <c r="I687" s="96"/>
      <c r="J687" s="97"/>
    </row>
    <row r="688" customFormat="false" ht="15" hidden="false" customHeight="false" outlineLevel="0" collapsed="false">
      <c r="B688" s="98" t="n">
        <v>468</v>
      </c>
      <c r="C688" s="99" t="n">
        <v>2096240</v>
      </c>
      <c r="D688" s="100" t="n">
        <f aca="false">IF($C688="","",IFERROR(IF(INDEX('REGISTRE TUBES'!$C$7:$C$2506,MATCH($C688,'REGISTRE TUBES'!$B$7:$B$2506,0))="","",INDEX('REGISTRE TUBES'!$C$7:$C$2506,MATCH($C688,'REGISTRE TUBES'!$B$7:$B$2506,0))),"?"))</f>
        <v>15421111</v>
      </c>
      <c r="E688" s="100" t="str">
        <f aca="false">IF($C688="","",IFERROR(IF(INDEX('REGISTRE TUBES'!$D$7:$D$2506,MATCH($C688,'REGISTRE TUBES'!$B$7:$B$2506,0))="","",INDEX('REGISTRE TUBES'!$D$7:$D$2506,MATCH($C688,'REGISTRE TUBES'!$B$7:$B$2506,0))),"?"))</f>
        <v/>
      </c>
      <c r="F688" s="101" t="n">
        <f aca="false">IF($C688="","",IFERROR(IF(INDEX('REGISTRE TUBES'!$F$7:$F$2506,MATCH($C688,'REGISTRE TUBES'!$B$7:$B$2506,0))="","",INDEX('REGISTRE TUBES'!$F$7:$F$2506,MATCH($C688,'REGISTRE TUBES'!$B$7:$B$2506,0))),"?"))</f>
        <v>11.94</v>
      </c>
      <c r="G688" s="102" t="n">
        <f aca="false">IF($C688="","",N(G687)+N(F688))</f>
        <v>5552.12999999997</v>
      </c>
      <c r="H688" s="103" t="s">
        <v>1595</v>
      </c>
      <c r="I688" s="104"/>
      <c r="J688" s="105"/>
    </row>
    <row r="689" customFormat="false" ht="15" hidden="false" customHeight="false" outlineLevel="0" collapsed="false">
      <c r="B689" s="90" t="n">
        <v>469</v>
      </c>
      <c r="C689" s="91" t="n">
        <v>2080670</v>
      </c>
      <c r="D689" s="92" t="n">
        <f aca="false">IF($C689="","",IFERROR(IF(INDEX('REGISTRE TUBES'!$C$7:$C$2506,MATCH($C689,'REGISTRE TUBES'!$B$7:$B$2506,0))="","",INDEX('REGISTRE TUBES'!$C$7:$C$2506,MATCH($C689,'REGISTRE TUBES'!$B$7:$B$2506,0))),"?"))</f>
        <v>15421109</v>
      </c>
      <c r="E689" s="92" t="str">
        <f aca="false">IF($C689="","",IFERROR(IF(INDEX('REGISTRE TUBES'!$D$7:$D$2506,MATCH($C689,'REGISTRE TUBES'!$B$7:$B$2506,0))="","",INDEX('REGISTRE TUBES'!$D$7:$D$2506,MATCH($C689,'REGISTRE TUBES'!$B$7:$B$2506,0))),"?"))</f>
        <v/>
      </c>
      <c r="F689" s="93" t="n">
        <f aca="false">IF($C689="","",IFERROR(IF(INDEX('REGISTRE TUBES'!$F$7:$F$2506,MATCH($C689,'REGISTRE TUBES'!$B$7:$B$2506,0))="","",INDEX('REGISTRE TUBES'!$F$7:$F$2506,MATCH($C689,'REGISTRE TUBES'!$B$7:$B$2506,0))),"?"))</f>
        <v>11.94</v>
      </c>
      <c r="G689" s="94" t="n">
        <f aca="false">IF($C689="","",N(G688)+N(F689))</f>
        <v>5564.06999999997</v>
      </c>
      <c r="H689" s="95" t="s">
        <v>1596</v>
      </c>
      <c r="I689" s="96"/>
      <c r="J689" s="97"/>
    </row>
    <row r="690" customFormat="false" ht="15" hidden="false" customHeight="false" outlineLevel="0" collapsed="false">
      <c r="B690" s="98" t="n">
        <v>470</v>
      </c>
      <c r="C690" s="99" t="n">
        <v>2088100</v>
      </c>
      <c r="D690" s="100" t="n">
        <f aca="false">IF($C690="","",IFERROR(IF(INDEX('REGISTRE TUBES'!$C$7:$C$2506,MATCH($C690,'REGISTRE TUBES'!$B$7:$B$2506,0))="","",INDEX('REGISTRE TUBES'!$C$7:$C$2506,MATCH($C690,'REGISTRE TUBES'!$B$7:$B$2506,0))),"?"))</f>
        <v>15421108</v>
      </c>
      <c r="E690" s="100" t="str">
        <f aca="false">IF($C690="","",IFERROR(IF(INDEX('REGISTRE TUBES'!$D$7:$D$2506,MATCH($C690,'REGISTRE TUBES'!$B$7:$B$2506,0))="","",INDEX('REGISTRE TUBES'!$D$7:$D$2506,MATCH($C690,'REGISTRE TUBES'!$B$7:$B$2506,0))),"?"))</f>
        <v/>
      </c>
      <c r="F690" s="101" t="n">
        <f aca="false">IF($C690="","",IFERROR(IF(INDEX('REGISTRE TUBES'!$F$7:$F$2506,MATCH($C690,'REGISTRE TUBES'!$B$7:$B$2506,0))="","",INDEX('REGISTRE TUBES'!$F$7:$F$2506,MATCH($C690,'REGISTRE TUBES'!$B$7:$B$2506,0))),"?"))</f>
        <v>11.94</v>
      </c>
      <c r="G690" s="102" t="n">
        <f aca="false">IF($C690="","",N(G689)+N(F690))</f>
        <v>5576.00999999997</v>
      </c>
      <c r="H690" s="103" t="s">
        <v>1598</v>
      </c>
      <c r="I690" s="104"/>
      <c r="J690" s="105"/>
    </row>
    <row r="691" customFormat="false" ht="15" hidden="false" customHeight="false" outlineLevel="0" collapsed="false">
      <c r="B691" s="90" t="n">
        <v>471</v>
      </c>
      <c r="C691" s="91" t="n">
        <v>2090320</v>
      </c>
      <c r="D691" s="92" t="n">
        <f aca="false">IF($C691="","",IFERROR(IF(INDEX('REGISTRE TUBES'!$C$7:$C$2506,MATCH($C691,'REGISTRE TUBES'!$B$7:$B$2506,0))="","",INDEX('REGISTRE TUBES'!$C$7:$C$2506,MATCH($C691,'REGISTRE TUBES'!$B$7:$B$2506,0))),"?"))</f>
        <v>15421109</v>
      </c>
      <c r="E691" s="92" t="str">
        <f aca="false">IF($C691="","",IFERROR(IF(INDEX('REGISTRE TUBES'!$D$7:$D$2506,MATCH($C691,'REGISTRE TUBES'!$B$7:$B$2506,0))="","",INDEX('REGISTRE TUBES'!$D$7:$D$2506,MATCH($C691,'REGISTRE TUBES'!$B$7:$B$2506,0))),"?"))</f>
        <v/>
      </c>
      <c r="F691" s="93" t="n">
        <f aca="false">IF($C691="","",IFERROR(IF(INDEX('REGISTRE TUBES'!$F$7:$F$2506,MATCH($C691,'REGISTRE TUBES'!$B$7:$B$2506,0))="","",INDEX('REGISTRE TUBES'!$F$7:$F$2506,MATCH($C691,'REGISTRE TUBES'!$B$7:$B$2506,0))),"?"))</f>
        <v>11.94</v>
      </c>
      <c r="G691" s="94" t="n">
        <f aca="false">IF($C691="","",N(G690)+N(F691))</f>
        <v>5587.94999999997</v>
      </c>
      <c r="H691" s="95" t="s">
        <v>1600</v>
      </c>
      <c r="I691" s="96"/>
      <c r="J691" s="97"/>
    </row>
    <row r="692" customFormat="false" ht="15" hidden="false" customHeight="false" outlineLevel="0" collapsed="false">
      <c r="B692" s="98" t="n">
        <v>472</v>
      </c>
      <c r="C692" s="99" t="n">
        <v>2089600</v>
      </c>
      <c r="D692" s="100" t="n">
        <f aca="false">IF($C692="","",IFERROR(IF(INDEX('REGISTRE TUBES'!$C$7:$C$2506,MATCH($C692,'REGISTRE TUBES'!$B$7:$B$2506,0))="","",INDEX('REGISTRE TUBES'!$C$7:$C$2506,MATCH($C692,'REGISTRE TUBES'!$B$7:$B$2506,0))),"?"))</f>
        <v>15421109</v>
      </c>
      <c r="E692" s="100" t="str">
        <f aca="false">IF($C692="","",IFERROR(IF(INDEX('REGISTRE TUBES'!$D$7:$D$2506,MATCH($C692,'REGISTRE TUBES'!$B$7:$B$2506,0))="","",INDEX('REGISTRE TUBES'!$D$7:$D$2506,MATCH($C692,'REGISTRE TUBES'!$B$7:$B$2506,0))),"?"))</f>
        <v/>
      </c>
      <c r="F692" s="101" t="n">
        <f aca="false">IF($C692="","",IFERROR(IF(INDEX('REGISTRE TUBES'!$F$7:$F$2506,MATCH($C692,'REGISTRE TUBES'!$B$7:$B$2506,0))="","",INDEX('REGISTRE TUBES'!$F$7:$F$2506,MATCH($C692,'REGISTRE TUBES'!$B$7:$B$2506,0))),"?"))</f>
        <v>11.94</v>
      </c>
      <c r="G692" s="102" t="n">
        <f aca="false">IF($C692="","",N(G691)+N(F692))</f>
        <v>5599.88999999997</v>
      </c>
      <c r="H692" s="103" t="s">
        <v>1601</v>
      </c>
      <c r="I692" s="104"/>
      <c r="J692" s="105"/>
    </row>
    <row r="693" customFormat="false" ht="15" hidden="false" customHeight="false" outlineLevel="0" collapsed="false">
      <c r="B693" s="90" t="n">
        <v>473</v>
      </c>
      <c r="C693" s="91" t="n">
        <v>2087500</v>
      </c>
      <c r="D693" s="92" t="n">
        <f aca="false">IF($C693="","",IFERROR(IF(INDEX('REGISTRE TUBES'!$C$7:$C$2506,MATCH($C693,'REGISTRE TUBES'!$B$7:$B$2506,0))="","",INDEX('REGISTRE TUBES'!$C$7:$C$2506,MATCH($C693,'REGISTRE TUBES'!$B$7:$B$2506,0))),"?"))</f>
        <v>15421112</v>
      </c>
      <c r="E693" s="92" t="str">
        <f aca="false">IF($C693="","",IFERROR(IF(INDEX('REGISTRE TUBES'!$D$7:$D$2506,MATCH($C693,'REGISTRE TUBES'!$B$7:$B$2506,0))="","",INDEX('REGISTRE TUBES'!$D$7:$D$2506,MATCH($C693,'REGISTRE TUBES'!$B$7:$B$2506,0))),"?"))</f>
        <v/>
      </c>
      <c r="F693" s="93" t="n">
        <f aca="false">IF($C693="","",IFERROR(IF(INDEX('REGISTRE TUBES'!$F$7:$F$2506,MATCH($C693,'REGISTRE TUBES'!$B$7:$B$2506,0))="","",INDEX('REGISTRE TUBES'!$F$7:$F$2506,MATCH($C693,'REGISTRE TUBES'!$B$7:$B$2506,0))),"?"))</f>
        <v>11.94</v>
      </c>
      <c r="G693" s="94" t="n">
        <f aca="false">IF($C693="","",N(G692)+N(F693))</f>
        <v>5611.82999999997</v>
      </c>
      <c r="H693" s="95" t="s">
        <v>1602</v>
      </c>
      <c r="I693" s="96"/>
      <c r="J693" s="97"/>
    </row>
    <row r="694" customFormat="false" ht="15" hidden="false" customHeight="false" outlineLevel="0" collapsed="false">
      <c r="B694" s="98" t="n">
        <v>474</v>
      </c>
      <c r="C694" s="99" t="n">
        <v>2080230</v>
      </c>
      <c r="D694" s="100" t="n">
        <f aca="false">IF($C694="","",IFERROR(IF(INDEX('REGISTRE TUBES'!$C$7:$C$2506,MATCH($C694,'REGISTRE TUBES'!$B$7:$B$2506,0))="","",INDEX('REGISTRE TUBES'!$C$7:$C$2506,MATCH($C694,'REGISTRE TUBES'!$B$7:$B$2506,0))),"?"))</f>
        <v>15421102</v>
      </c>
      <c r="E694" s="100" t="str">
        <f aca="false">IF($C694="","",IFERROR(IF(INDEX('REGISTRE TUBES'!$D$7:$D$2506,MATCH($C694,'REGISTRE TUBES'!$B$7:$B$2506,0))="","",INDEX('REGISTRE TUBES'!$D$7:$D$2506,MATCH($C694,'REGISTRE TUBES'!$B$7:$B$2506,0))),"?"))</f>
        <v/>
      </c>
      <c r="F694" s="101" t="n">
        <f aca="false">IF($C694="","",IFERROR(IF(INDEX('REGISTRE TUBES'!$F$7:$F$2506,MATCH($C694,'REGISTRE TUBES'!$B$7:$B$2506,0))="","",INDEX('REGISTRE TUBES'!$F$7:$F$2506,MATCH($C694,'REGISTRE TUBES'!$B$7:$B$2506,0))),"?"))</f>
        <v>11.94</v>
      </c>
      <c r="G694" s="102" t="n">
        <f aca="false">IF($C694="","",N(G693)+N(F694))</f>
        <v>5623.76999999997</v>
      </c>
      <c r="H694" s="103" t="s">
        <v>1603</v>
      </c>
      <c r="I694" s="104"/>
      <c r="J694" s="105"/>
    </row>
    <row r="695" customFormat="false" ht="15" hidden="false" customHeight="false" outlineLevel="0" collapsed="false">
      <c r="B695" s="90" t="n">
        <v>475</v>
      </c>
      <c r="C695" s="91" t="n">
        <v>2085820</v>
      </c>
      <c r="D695" s="92" t="n">
        <f aca="false">IF($C695="","",IFERROR(IF(INDEX('REGISTRE TUBES'!$C$7:$C$2506,MATCH($C695,'REGISTRE TUBES'!$B$7:$B$2506,0))="","",INDEX('REGISTRE TUBES'!$C$7:$C$2506,MATCH($C695,'REGISTRE TUBES'!$B$7:$B$2506,0))),"?"))</f>
        <v>15421107</v>
      </c>
      <c r="E695" s="92" t="str">
        <f aca="false">IF($C695="","",IFERROR(IF(INDEX('REGISTRE TUBES'!$D$7:$D$2506,MATCH($C695,'REGISTRE TUBES'!$B$7:$B$2506,0))="","",INDEX('REGISTRE TUBES'!$D$7:$D$2506,MATCH($C695,'REGISTRE TUBES'!$B$7:$B$2506,0))),"?"))</f>
        <v/>
      </c>
      <c r="F695" s="93" t="n">
        <f aca="false">IF($C695="","",IFERROR(IF(INDEX('REGISTRE TUBES'!$F$7:$F$2506,MATCH($C695,'REGISTRE TUBES'!$B$7:$B$2506,0))="","",INDEX('REGISTRE TUBES'!$F$7:$F$2506,MATCH($C695,'REGISTRE TUBES'!$B$7:$B$2506,0))),"?"))</f>
        <v>11.94</v>
      </c>
      <c r="G695" s="94" t="n">
        <f aca="false">IF($C695="","",N(G694)+N(F695))</f>
        <v>5635.70999999997</v>
      </c>
      <c r="H695" s="95" t="s">
        <v>1604</v>
      </c>
      <c r="I695" s="96"/>
      <c r="J695" s="97"/>
    </row>
    <row r="696" customFormat="false" ht="15" hidden="false" customHeight="true" outlineLevel="0" collapsed="false">
      <c r="B696" s="106" t="s">
        <v>3031</v>
      </c>
      <c r="C696" s="106"/>
      <c r="D696" s="106"/>
      <c r="E696" s="106"/>
      <c r="F696" s="107" t="n">
        <f aca="false">SUM(F677:F695)</f>
        <v>226.86</v>
      </c>
      <c r="G696" s="108" t="n">
        <f aca="false">IF(COUNT(G677:G695)=0,"",MAX(G677:G695))</f>
        <v>5635.70999999997</v>
      </c>
      <c r="H696" s="106" t="str">
        <f aca="false">COUNTA(C677:C695)&amp;" tube(s)"</f>
        <v>19 tube(s)</v>
      </c>
      <c r="I696" s="106"/>
      <c r="J696" s="106"/>
    </row>
    <row r="698" customFormat="false" ht="15" hidden="false" customHeight="false" outlineLevel="0" collapsed="false">
      <c r="B698" s="109" t="s">
        <v>3032</v>
      </c>
      <c r="F698" s="109" t="s">
        <v>3033</v>
      </c>
      <c r="I698" s="109" t="s">
        <v>3034</v>
      </c>
    </row>
    <row r="701" customFormat="false" ht="25.5" hidden="false" customHeight="true" outlineLevel="0" collapsed="false">
      <c r="B701" s="85" t="s">
        <v>3015</v>
      </c>
      <c r="C701" s="85"/>
      <c r="D701" s="85"/>
      <c r="E701" s="85"/>
      <c r="F701" s="85"/>
      <c r="G701" s="85"/>
      <c r="H701" s="85"/>
      <c r="I701" s="85"/>
      <c r="J701" s="85"/>
    </row>
    <row r="702" customFormat="false" ht="15" hidden="false" customHeight="false" outlineLevel="0" collapsed="false">
      <c r="B702" s="86" t="str">
        <f aca="false">PARAMÈTRES!$C$4&amp;"   •   Affaire N° "&amp;PARAMÈTRES!$C$5</f>
        <v>Développement des champs gaziers TFT II — réseau de collecte TFT Sud (LIGNE-16)   •   Affaire N° 8546</v>
      </c>
      <c r="C702" s="86"/>
      <c r="D702" s="86"/>
      <c r="E702" s="86"/>
      <c r="F702" s="86"/>
      <c r="G702" s="86"/>
      <c r="H702" s="86"/>
      <c r="I702" s="86"/>
      <c r="J702" s="86"/>
    </row>
    <row r="703" customFormat="false" ht="19.5" hidden="false" customHeight="true" outlineLevel="0" collapsed="false">
      <c r="B703" s="87" t="s">
        <v>3016</v>
      </c>
      <c r="C703" s="88" t="s">
        <v>110</v>
      </c>
      <c r="D703" s="88"/>
      <c r="E703" s="87" t="s">
        <v>3017</v>
      </c>
      <c r="F703" s="88" t="s">
        <v>3083</v>
      </c>
      <c r="G703" s="87" t="s">
        <v>3019</v>
      </c>
      <c r="H703" s="88" t="s">
        <v>3084</v>
      </c>
      <c r="I703" s="87" t="s">
        <v>3021</v>
      </c>
      <c r="J703" s="89"/>
    </row>
    <row r="704" customFormat="false" ht="27.75" hidden="false" customHeight="true" outlineLevel="0" collapsed="false">
      <c r="B704" s="71" t="s">
        <v>3022</v>
      </c>
      <c r="C704" s="71" t="s">
        <v>3023</v>
      </c>
      <c r="D704" s="71" t="s">
        <v>3024</v>
      </c>
      <c r="E704" s="71" t="s">
        <v>3025</v>
      </c>
      <c r="F704" s="71" t="s">
        <v>3026</v>
      </c>
      <c r="G704" s="71" t="s">
        <v>3027</v>
      </c>
      <c r="H704" s="71" t="s">
        <v>3028</v>
      </c>
      <c r="I704" s="71" t="s">
        <v>3029</v>
      </c>
      <c r="J704" s="71" t="s">
        <v>3030</v>
      </c>
    </row>
    <row r="705" customFormat="false" ht="15" hidden="false" customHeight="false" outlineLevel="0" collapsed="false">
      <c r="B705" s="90" t="n">
        <v>476</v>
      </c>
      <c r="C705" s="91" t="n">
        <v>2098540</v>
      </c>
      <c r="D705" s="92" t="n">
        <f aca="false">IF($C705="","",IFERROR(IF(INDEX('REGISTRE TUBES'!$C$7:$C$2506,MATCH($C705,'REGISTRE TUBES'!$B$7:$B$2506,0))="","",INDEX('REGISTRE TUBES'!$C$7:$C$2506,MATCH($C705,'REGISTRE TUBES'!$B$7:$B$2506,0))),"?"))</f>
        <v>15421112</v>
      </c>
      <c r="E705" s="92" t="str">
        <f aca="false">IF($C705="","",IFERROR(IF(INDEX('REGISTRE TUBES'!$D$7:$D$2506,MATCH($C705,'REGISTRE TUBES'!$B$7:$B$2506,0))="","",INDEX('REGISTRE TUBES'!$D$7:$D$2506,MATCH($C705,'REGISTRE TUBES'!$B$7:$B$2506,0))),"?"))</f>
        <v/>
      </c>
      <c r="F705" s="93" t="n">
        <f aca="false">IF($C705="","",IFERROR(IF(INDEX('REGISTRE TUBES'!$F$7:$F$2506,MATCH($C705,'REGISTRE TUBES'!$B$7:$B$2506,0))="","",INDEX('REGISTRE TUBES'!$F$7:$F$2506,MATCH($C705,'REGISTRE TUBES'!$B$7:$B$2506,0))),"?"))</f>
        <v>11.94</v>
      </c>
      <c r="G705" s="94" t="n">
        <f aca="false">IF($C705="","",N(G695)+N(F705))</f>
        <v>5647.64999999996</v>
      </c>
      <c r="H705" s="95" t="s">
        <v>1605</v>
      </c>
      <c r="I705" s="96"/>
      <c r="J705" s="97"/>
    </row>
    <row r="706" customFormat="false" ht="15" hidden="false" customHeight="false" outlineLevel="0" collapsed="false">
      <c r="B706" s="98" t="n">
        <v>477</v>
      </c>
      <c r="C706" s="99" t="n">
        <v>2084720</v>
      </c>
      <c r="D706" s="100" t="n">
        <f aca="false">IF($C706="","",IFERROR(IF(INDEX('REGISTRE TUBES'!$C$7:$C$2506,MATCH($C706,'REGISTRE TUBES'!$B$7:$B$2506,0))="","",INDEX('REGISTRE TUBES'!$C$7:$C$2506,MATCH($C706,'REGISTRE TUBES'!$B$7:$B$2506,0))),"?"))</f>
        <v>15421106</v>
      </c>
      <c r="E706" s="100" t="str">
        <f aca="false">IF($C706="","",IFERROR(IF(INDEX('REGISTRE TUBES'!$D$7:$D$2506,MATCH($C706,'REGISTRE TUBES'!$B$7:$B$2506,0))="","",INDEX('REGISTRE TUBES'!$D$7:$D$2506,MATCH($C706,'REGISTRE TUBES'!$B$7:$B$2506,0))),"?"))</f>
        <v/>
      </c>
      <c r="F706" s="101" t="n">
        <f aca="false">IF($C706="","",IFERROR(IF(INDEX('REGISTRE TUBES'!$F$7:$F$2506,MATCH($C706,'REGISTRE TUBES'!$B$7:$B$2506,0))="","",INDEX('REGISTRE TUBES'!$F$7:$F$2506,MATCH($C706,'REGISTRE TUBES'!$B$7:$B$2506,0))),"?"))</f>
        <v>11.94</v>
      </c>
      <c r="G706" s="102" t="n">
        <f aca="false">IF($C706="","",N(G705)+N(F706))</f>
        <v>5659.58999999996</v>
      </c>
      <c r="H706" s="103"/>
      <c r="I706" s="104"/>
      <c r="J706" s="105"/>
    </row>
    <row r="707" customFormat="false" ht="15" hidden="false" customHeight="false" outlineLevel="0" collapsed="false">
      <c r="B707" s="90" t="n">
        <v>478</v>
      </c>
      <c r="C707" s="91" t="n">
        <v>2095920</v>
      </c>
      <c r="D707" s="92" t="n">
        <f aca="false">IF($C707="","",IFERROR(IF(INDEX('REGISTRE TUBES'!$C$7:$C$2506,MATCH($C707,'REGISTRE TUBES'!$B$7:$B$2506,0))="","",INDEX('REGISTRE TUBES'!$C$7:$C$2506,MATCH($C707,'REGISTRE TUBES'!$B$7:$B$2506,0))),"?"))</f>
        <v>15421111</v>
      </c>
      <c r="E707" s="92" t="str">
        <f aca="false">IF($C707="","",IFERROR(IF(INDEX('REGISTRE TUBES'!$D$7:$D$2506,MATCH($C707,'REGISTRE TUBES'!$B$7:$B$2506,0))="","",INDEX('REGISTRE TUBES'!$D$7:$D$2506,MATCH($C707,'REGISTRE TUBES'!$B$7:$B$2506,0))),"?"))</f>
        <v/>
      </c>
      <c r="F707" s="93" t="n">
        <f aca="false">IF($C707="","",IFERROR(IF(INDEX('REGISTRE TUBES'!$F$7:$F$2506,MATCH($C707,'REGISTRE TUBES'!$B$7:$B$2506,0))="","",INDEX('REGISTRE TUBES'!$F$7:$F$2506,MATCH($C707,'REGISTRE TUBES'!$B$7:$B$2506,0))),"?"))</f>
        <v>11.94</v>
      </c>
      <c r="G707" s="94" t="n">
        <f aca="false">IF($C707="","",N(G706)+N(F707))</f>
        <v>5671.52999999996</v>
      </c>
      <c r="H707" s="95" t="s">
        <v>1610</v>
      </c>
      <c r="I707" s="96"/>
      <c r="J707" s="97"/>
    </row>
    <row r="708" customFormat="false" ht="15" hidden="false" customHeight="false" outlineLevel="0" collapsed="false">
      <c r="B708" s="98" t="n">
        <v>479</v>
      </c>
      <c r="C708" s="99" t="n">
        <v>2091150</v>
      </c>
      <c r="D708" s="100" t="n">
        <f aca="false">IF($C708="","",IFERROR(IF(INDEX('REGISTRE TUBES'!$C$7:$C$2506,MATCH($C708,'REGISTRE TUBES'!$B$7:$B$2506,0))="","",INDEX('REGISTRE TUBES'!$C$7:$C$2506,MATCH($C708,'REGISTRE TUBES'!$B$7:$B$2506,0))),"?"))</f>
        <v>15421109</v>
      </c>
      <c r="E708" s="100" t="str">
        <f aca="false">IF($C708="","",IFERROR(IF(INDEX('REGISTRE TUBES'!$D$7:$D$2506,MATCH($C708,'REGISTRE TUBES'!$B$7:$B$2506,0))="","",INDEX('REGISTRE TUBES'!$D$7:$D$2506,MATCH($C708,'REGISTRE TUBES'!$B$7:$B$2506,0))),"?"))</f>
        <v/>
      </c>
      <c r="F708" s="101" t="n">
        <f aca="false">IF($C708="","",IFERROR(IF(INDEX('REGISTRE TUBES'!$F$7:$F$2506,MATCH($C708,'REGISTRE TUBES'!$B$7:$B$2506,0))="","",INDEX('REGISTRE TUBES'!$F$7:$F$2506,MATCH($C708,'REGISTRE TUBES'!$B$7:$B$2506,0))),"?"))</f>
        <v>11.94</v>
      </c>
      <c r="G708" s="102" t="n">
        <f aca="false">IF($C708="","",N(G707)+N(F708))</f>
        <v>5683.46999999996</v>
      </c>
      <c r="H708" s="103" t="s">
        <v>1611</v>
      </c>
      <c r="I708" s="104"/>
      <c r="J708" s="105"/>
    </row>
    <row r="709" customFormat="false" ht="15" hidden="false" customHeight="false" outlineLevel="0" collapsed="false">
      <c r="B709" s="90" t="n">
        <v>480</v>
      </c>
      <c r="C709" s="91" t="n">
        <v>2084960</v>
      </c>
      <c r="D709" s="92" t="n">
        <f aca="false">IF($C709="","",IFERROR(IF(INDEX('REGISTRE TUBES'!$C$7:$C$2506,MATCH($C709,'REGISTRE TUBES'!$B$7:$B$2506,0))="","",INDEX('REGISTRE TUBES'!$C$7:$C$2506,MATCH($C709,'REGISTRE TUBES'!$B$7:$B$2506,0))),"?"))</f>
        <v>15421106</v>
      </c>
      <c r="E709" s="92" t="str">
        <f aca="false">IF($C709="","",IFERROR(IF(INDEX('REGISTRE TUBES'!$D$7:$D$2506,MATCH($C709,'REGISTRE TUBES'!$B$7:$B$2506,0))="","",INDEX('REGISTRE TUBES'!$D$7:$D$2506,MATCH($C709,'REGISTRE TUBES'!$B$7:$B$2506,0))),"?"))</f>
        <v/>
      </c>
      <c r="F709" s="93" t="n">
        <f aca="false">IF($C709="","",IFERROR(IF(INDEX('REGISTRE TUBES'!$F$7:$F$2506,MATCH($C709,'REGISTRE TUBES'!$B$7:$B$2506,0))="","",INDEX('REGISTRE TUBES'!$F$7:$F$2506,MATCH($C709,'REGISTRE TUBES'!$B$7:$B$2506,0))),"?"))</f>
        <v>11.94</v>
      </c>
      <c r="G709" s="94" t="n">
        <f aca="false">IF($C709="","",N(G708)+N(F709))</f>
        <v>5695.40999999996</v>
      </c>
      <c r="H709" s="95" t="s">
        <v>1612</v>
      </c>
      <c r="I709" s="96"/>
      <c r="J709" s="97"/>
    </row>
    <row r="710" customFormat="false" ht="15" hidden="false" customHeight="false" outlineLevel="0" collapsed="false">
      <c r="B710" s="98" t="n">
        <v>481</v>
      </c>
      <c r="C710" s="99" t="n">
        <v>2090940</v>
      </c>
      <c r="D710" s="100" t="n">
        <f aca="false">IF($C710="","",IFERROR(IF(INDEX('REGISTRE TUBES'!$C$7:$C$2506,MATCH($C710,'REGISTRE TUBES'!$B$7:$B$2506,0))="","",INDEX('REGISTRE TUBES'!$C$7:$C$2506,MATCH($C710,'REGISTRE TUBES'!$B$7:$B$2506,0))),"?"))</f>
        <v>15421106</v>
      </c>
      <c r="E710" s="100" t="str">
        <f aca="false">IF($C710="","",IFERROR(IF(INDEX('REGISTRE TUBES'!$D$7:$D$2506,MATCH($C710,'REGISTRE TUBES'!$B$7:$B$2506,0))="","",INDEX('REGISTRE TUBES'!$D$7:$D$2506,MATCH($C710,'REGISTRE TUBES'!$B$7:$B$2506,0))),"?"))</f>
        <v/>
      </c>
      <c r="F710" s="101" t="n">
        <f aca="false">IF($C710="","",IFERROR(IF(INDEX('REGISTRE TUBES'!$F$7:$F$2506,MATCH($C710,'REGISTRE TUBES'!$B$7:$B$2506,0))="","",INDEX('REGISTRE TUBES'!$F$7:$F$2506,MATCH($C710,'REGISTRE TUBES'!$B$7:$B$2506,0))),"?"))</f>
        <v>11.94</v>
      </c>
      <c r="G710" s="102" t="n">
        <f aca="false">IF($C710="","",N(G709)+N(F710))</f>
        <v>5707.34999999996</v>
      </c>
      <c r="H710" s="103" t="s">
        <v>1613</v>
      </c>
      <c r="I710" s="104"/>
      <c r="J710" s="105"/>
    </row>
    <row r="711" customFormat="false" ht="15" hidden="false" customHeight="false" outlineLevel="0" collapsed="false">
      <c r="B711" s="90" t="n">
        <v>482</v>
      </c>
      <c r="C711" s="91" t="n">
        <v>2082484</v>
      </c>
      <c r="D711" s="92" t="n">
        <f aca="false">IF($C711="","",IFERROR(IF(INDEX('REGISTRE TUBES'!$C$7:$C$2506,MATCH($C711,'REGISTRE TUBES'!$B$7:$B$2506,0))="","",INDEX('REGISTRE TUBES'!$C$7:$C$2506,MATCH($C711,'REGISTRE TUBES'!$B$7:$B$2506,0))),"?"))</f>
        <v>15421104</v>
      </c>
      <c r="E711" s="92" t="str">
        <f aca="false">IF($C711="","",IFERROR(IF(INDEX('REGISTRE TUBES'!$D$7:$D$2506,MATCH($C711,'REGISTRE TUBES'!$B$7:$B$2506,0))="","",INDEX('REGISTRE TUBES'!$D$7:$D$2506,MATCH($C711,'REGISTRE TUBES'!$B$7:$B$2506,0))),"?"))</f>
        <v/>
      </c>
      <c r="F711" s="93" t="n">
        <f aca="false">IF($C711="","",IFERROR(IF(INDEX('REGISTRE TUBES'!$F$7:$F$2506,MATCH($C711,'REGISTRE TUBES'!$B$7:$B$2506,0))="","",INDEX('REGISTRE TUBES'!$F$7:$F$2506,MATCH($C711,'REGISTRE TUBES'!$B$7:$B$2506,0))),"?"))</f>
        <v>11.94</v>
      </c>
      <c r="G711" s="94" t="n">
        <f aca="false">IF($C711="","",N(G710)+N(F711))</f>
        <v>5719.28999999996</v>
      </c>
      <c r="H711" s="95" t="s">
        <v>1614</v>
      </c>
      <c r="I711" s="96"/>
      <c r="J711" s="97"/>
    </row>
    <row r="712" customFormat="false" ht="15" hidden="false" customHeight="false" outlineLevel="0" collapsed="false">
      <c r="B712" s="98" t="n">
        <v>483</v>
      </c>
      <c r="C712" s="99" t="n">
        <v>2090190</v>
      </c>
      <c r="D712" s="100" t="n">
        <f aca="false">IF($C712="","",IFERROR(IF(INDEX('REGISTRE TUBES'!$C$7:$C$2506,MATCH($C712,'REGISTRE TUBES'!$B$7:$B$2506,0))="","",INDEX('REGISTRE TUBES'!$C$7:$C$2506,MATCH($C712,'REGISTRE TUBES'!$B$7:$B$2506,0))),"?"))</f>
        <v>15421109</v>
      </c>
      <c r="E712" s="100" t="str">
        <f aca="false">IF($C712="","",IFERROR(IF(INDEX('REGISTRE TUBES'!$D$7:$D$2506,MATCH($C712,'REGISTRE TUBES'!$B$7:$B$2506,0))="","",INDEX('REGISTRE TUBES'!$D$7:$D$2506,MATCH($C712,'REGISTRE TUBES'!$B$7:$B$2506,0))),"?"))</f>
        <v/>
      </c>
      <c r="F712" s="101" t="n">
        <f aca="false">IF($C712="","",IFERROR(IF(INDEX('REGISTRE TUBES'!$F$7:$F$2506,MATCH($C712,'REGISTRE TUBES'!$B$7:$B$2506,0))="","",INDEX('REGISTRE TUBES'!$F$7:$F$2506,MATCH($C712,'REGISTRE TUBES'!$B$7:$B$2506,0))),"?"))</f>
        <v>11.94</v>
      </c>
      <c r="G712" s="102" t="n">
        <f aca="false">IF($C712="","",N(G711)+N(F712))</f>
        <v>5731.22999999996</v>
      </c>
      <c r="H712" s="103" t="s">
        <v>1615</v>
      </c>
      <c r="I712" s="104"/>
      <c r="J712" s="105"/>
    </row>
    <row r="713" customFormat="false" ht="15" hidden="false" customHeight="false" outlineLevel="0" collapsed="false">
      <c r="B713" s="90" t="n">
        <v>484</v>
      </c>
      <c r="C713" s="91" t="n">
        <v>2089480</v>
      </c>
      <c r="D713" s="92" t="n">
        <f aca="false">IF($C713="","",IFERROR(IF(INDEX('REGISTRE TUBES'!$C$7:$C$2506,MATCH($C713,'REGISTRE TUBES'!$B$7:$B$2506,0))="","",INDEX('REGISTRE TUBES'!$C$7:$C$2506,MATCH($C713,'REGISTRE TUBES'!$B$7:$B$2506,0))),"?"))</f>
        <v>15421109</v>
      </c>
      <c r="E713" s="92" t="str">
        <f aca="false">IF($C713="","",IFERROR(IF(INDEX('REGISTRE TUBES'!$D$7:$D$2506,MATCH($C713,'REGISTRE TUBES'!$B$7:$B$2506,0))="","",INDEX('REGISTRE TUBES'!$D$7:$D$2506,MATCH($C713,'REGISTRE TUBES'!$B$7:$B$2506,0))),"?"))</f>
        <v/>
      </c>
      <c r="F713" s="93" t="n">
        <f aca="false">IF($C713="","",IFERROR(IF(INDEX('REGISTRE TUBES'!$F$7:$F$2506,MATCH($C713,'REGISTRE TUBES'!$B$7:$B$2506,0))="","",INDEX('REGISTRE TUBES'!$F$7:$F$2506,MATCH($C713,'REGISTRE TUBES'!$B$7:$B$2506,0))),"?"))</f>
        <v>11.94</v>
      </c>
      <c r="G713" s="94" t="n">
        <f aca="false">IF($C713="","",N(G712)+N(F713))</f>
        <v>5743.16999999996</v>
      </c>
      <c r="H713" s="95" t="s">
        <v>1616</v>
      </c>
      <c r="I713" s="96"/>
      <c r="J713" s="97"/>
    </row>
    <row r="714" customFormat="false" ht="15" hidden="false" customHeight="false" outlineLevel="0" collapsed="false">
      <c r="B714" s="98" t="n">
        <v>485</v>
      </c>
      <c r="C714" s="99" t="n">
        <v>2080800</v>
      </c>
      <c r="D714" s="100" t="n">
        <f aca="false">IF($C714="","",IFERROR(IF(INDEX('REGISTRE TUBES'!$C$7:$C$2506,MATCH($C714,'REGISTRE TUBES'!$B$7:$B$2506,0))="","",INDEX('REGISTRE TUBES'!$C$7:$C$2506,MATCH($C714,'REGISTRE TUBES'!$B$7:$B$2506,0))),"?"))</f>
        <v>15421103</v>
      </c>
      <c r="E714" s="100" t="str">
        <f aca="false">IF($C714="","",IFERROR(IF(INDEX('REGISTRE TUBES'!$D$7:$D$2506,MATCH($C714,'REGISTRE TUBES'!$B$7:$B$2506,0))="","",INDEX('REGISTRE TUBES'!$D$7:$D$2506,MATCH($C714,'REGISTRE TUBES'!$B$7:$B$2506,0))),"?"))</f>
        <v/>
      </c>
      <c r="F714" s="101" t="n">
        <f aca="false">IF($C714="","",IFERROR(IF(INDEX('REGISTRE TUBES'!$F$7:$F$2506,MATCH($C714,'REGISTRE TUBES'!$B$7:$B$2506,0))="","",INDEX('REGISTRE TUBES'!$F$7:$F$2506,MATCH($C714,'REGISTRE TUBES'!$B$7:$B$2506,0))),"?"))</f>
        <v>11.94</v>
      </c>
      <c r="G714" s="102" t="n">
        <f aca="false">IF($C714="","",N(G713)+N(F714))</f>
        <v>5755.10999999996</v>
      </c>
      <c r="H714" s="103" t="s">
        <v>1617</v>
      </c>
      <c r="I714" s="104"/>
      <c r="J714" s="105"/>
    </row>
    <row r="715" customFormat="false" ht="15" hidden="false" customHeight="false" outlineLevel="0" collapsed="false">
      <c r="B715" s="90" t="n">
        <v>486</v>
      </c>
      <c r="C715" s="91" t="n">
        <v>2081950</v>
      </c>
      <c r="D715" s="92" t="n">
        <f aca="false">IF($C715="","",IFERROR(IF(INDEX('REGISTRE TUBES'!$C$7:$C$2506,MATCH($C715,'REGISTRE TUBES'!$B$7:$B$2506,0))="","",INDEX('REGISTRE TUBES'!$C$7:$C$2506,MATCH($C715,'REGISTRE TUBES'!$B$7:$B$2506,0))),"?"))</f>
        <v>15421104</v>
      </c>
      <c r="E715" s="92" t="str">
        <f aca="false">IF($C715="","",IFERROR(IF(INDEX('REGISTRE TUBES'!$D$7:$D$2506,MATCH($C715,'REGISTRE TUBES'!$B$7:$B$2506,0))="","",INDEX('REGISTRE TUBES'!$D$7:$D$2506,MATCH($C715,'REGISTRE TUBES'!$B$7:$B$2506,0))),"?"))</f>
        <v/>
      </c>
      <c r="F715" s="93" t="n">
        <f aca="false">IF($C715="","",IFERROR(IF(INDEX('REGISTRE TUBES'!$F$7:$F$2506,MATCH($C715,'REGISTRE TUBES'!$B$7:$B$2506,0))="","",INDEX('REGISTRE TUBES'!$F$7:$F$2506,MATCH($C715,'REGISTRE TUBES'!$B$7:$B$2506,0))),"?"))</f>
        <v>11.94</v>
      </c>
      <c r="G715" s="94" t="n">
        <f aca="false">IF($C715="","",N(G714)+N(F715))</f>
        <v>5767.04999999996</v>
      </c>
      <c r="H715" s="95" t="s">
        <v>1618</v>
      </c>
      <c r="I715" s="96"/>
      <c r="J715" s="97"/>
    </row>
    <row r="716" customFormat="false" ht="15" hidden="false" customHeight="false" outlineLevel="0" collapsed="false">
      <c r="B716" s="98" t="n">
        <v>487</v>
      </c>
      <c r="C716" s="99" t="n">
        <v>2084050</v>
      </c>
      <c r="D716" s="100" t="n">
        <f aca="false">IF($C716="","",IFERROR(IF(INDEX('REGISTRE TUBES'!$C$7:$C$2506,MATCH($C716,'REGISTRE TUBES'!$B$7:$B$2506,0))="","",INDEX('REGISTRE TUBES'!$C$7:$C$2506,MATCH($C716,'REGISTRE TUBES'!$B$7:$B$2506,0))),"?"))</f>
        <v>15421106</v>
      </c>
      <c r="E716" s="100" t="str">
        <f aca="false">IF($C716="","",IFERROR(IF(INDEX('REGISTRE TUBES'!$D$7:$D$2506,MATCH($C716,'REGISTRE TUBES'!$B$7:$B$2506,0))="","",INDEX('REGISTRE TUBES'!$D$7:$D$2506,MATCH($C716,'REGISTRE TUBES'!$B$7:$B$2506,0))),"?"))</f>
        <v/>
      </c>
      <c r="F716" s="101" t="n">
        <f aca="false">IF($C716="","",IFERROR(IF(INDEX('REGISTRE TUBES'!$F$7:$F$2506,MATCH($C716,'REGISTRE TUBES'!$B$7:$B$2506,0))="","",INDEX('REGISTRE TUBES'!$F$7:$F$2506,MATCH($C716,'REGISTRE TUBES'!$B$7:$B$2506,0))),"?"))</f>
        <v>11.94</v>
      </c>
      <c r="G716" s="102" t="n">
        <f aca="false">IF($C716="","",N(G715)+N(F716))</f>
        <v>5778.98999999996</v>
      </c>
      <c r="H716" s="103"/>
      <c r="I716" s="104"/>
      <c r="J716" s="105"/>
    </row>
    <row r="717" customFormat="false" ht="15" hidden="false" customHeight="false" outlineLevel="0" collapsed="false">
      <c r="B717" s="90" t="n">
        <v>488</v>
      </c>
      <c r="C717" s="91" t="n">
        <v>2080720</v>
      </c>
      <c r="D717" s="92" t="n">
        <f aca="false">IF($C717="","",IFERROR(IF(INDEX('REGISTRE TUBES'!$C$7:$C$2506,MATCH($C717,'REGISTRE TUBES'!$B$7:$B$2506,0))="","",INDEX('REGISTRE TUBES'!$C$7:$C$2506,MATCH($C717,'REGISTRE TUBES'!$B$7:$B$2506,0))),"?"))</f>
        <v>15421103</v>
      </c>
      <c r="E717" s="92" t="str">
        <f aca="false">IF($C717="","",IFERROR(IF(INDEX('REGISTRE TUBES'!$D$7:$D$2506,MATCH($C717,'REGISTRE TUBES'!$B$7:$B$2506,0))="","",INDEX('REGISTRE TUBES'!$D$7:$D$2506,MATCH($C717,'REGISTRE TUBES'!$B$7:$B$2506,0))),"?"))</f>
        <v/>
      </c>
      <c r="F717" s="93" t="n">
        <f aca="false">IF($C717="","",IFERROR(IF(INDEX('REGISTRE TUBES'!$F$7:$F$2506,MATCH($C717,'REGISTRE TUBES'!$B$7:$B$2506,0))="","",INDEX('REGISTRE TUBES'!$F$7:$F$2506,MATCH($C717,'REGISTRE TUBES'!$B$7:$B$2506,0))),"?"))</f>
        <v>11.94</v>
      </c>
      <c r="G717" s="94" t="n">
        <f aca="false">IF($C717="","",N(G716)+N(F717))</f>
        <v>5790.92999999996</v>
      </c>
      <c r="H717" s="95" t="s">
        <v>1624</v>
      </c>
      <c r="I717" s="96"/>
      <c r="J717" s="97"/>
    </row>
    <row r="718" customFormat="false" ht="15" hidden="false" customHeight="false" outlineLevel="0" collapsed="false">
      <c r="B718" s="98" t="n">
        <v>489</v>
      </c>
      <c r="C718" s="99" t="n">
        <v>2096220</v>
      </c>
      <c r="D718" s="100" t="n">
        <f aca="false">IF($C718="","",IFERROR(IF(INDEX('REGISTRE TUBES'!$C$7:$C$2506,MATCH($C718,'REGISTRE TUBES'!$B$7:$B$2506,0))="","",INDEX('REGISTRE TUBES'!$C$7:$C$2506,MATCH($C718,'REGISTRE TUBES'!$B$7:$B$2506,0))),"?"))</f>
        <v>15421111</v>
      </c>
      <c r="E718" s="100" t="str">
        <f aca="false">IF($C718="","",IFERROR(IF(INDEX('REGISTRE TUBES'!$D$7:$D$2506,MATCH($C718,'REGISTRE TUBES'!$B$7:$B$2506,0))="","",INDEX('REGISTRE TUBES'!$D$7:$D$2506,MATCH($C718,'REGISTRE TUBES'!$B$7:$B$2506,0))),"?"))</f>
        <v/>
      </c>
      <c r="F718" s="101" t="n">
        <f aca="false">IF($C718="","",IFERROR(IF(INDEX('REGISTRE TUBES'!$F$7:$F$2506,MATCH($C718,'REGISTRE TUBES'!$B$7:$B$2506,0))="","",INDEX('REGISTRE TUBES'!$F$7:$F$2506,MATCH($C718,'REGISTRE TUBES'!$B$7:$B$2506,0))),"?"))</f>
        <v>11.94</v>
      </c>
      <c r="G718" s="102" t="n">
        <f aca="false">IF($C718="","",N(G717)+N(F718))</f>
        <v>5802.86999999996</v>
      </c>
      <c r="H718" s="103" t="s">
        <v>1625</v>
      </c>
      <c r="I718" s="104"/>
      <c r="J718" s="105"/>
    </row>
    <row r="719" customFormat="false" ht="15" hidden="false" customHeight="false" outlineLevel="0" collapsed="false">
      <c r="B719" s="90" t="n">
        <v>490</v>
      </c>
      <c r="C719" s="91" t="n">
        <v>2093410</v>
      </c>
      <c r="D719" s="92" t="n">
        <f aca="false">IF($C719="","",IFERROR(IF(INDEX('REGISTRE TUBES'!$C$7:$C$2506,MATCH($C719,'REGISTRE TUBES'!$B$7:$B$2506,0))="","",INDEX('REGISTRE TUBES'!$C$7:$C$2506,MATCH($C719,'REGISTRE TUBES'!$B$7:$B$2506,0))),"?"))</f>
        <v>1542110</v>
      </c>
      <c r="E719" s="92" t="str">
        <f aca="false">IF($C719="","",IFERROR(IF(INDEX('REGISTRE TUBES'!$D$7:$D$2506,MATCH($C719,'REGISTRE TUBES'!$B$7:$B$2506,0))="","",INDEX('REGISTRE TUBES'!$D$7:$D$2506,MATCH($C719,'REGISTRE TUBES'!$B$7:$B$2506,0))),"?"))</f>
        <v/>
      </c>
      <c r="F719" s="93" t="n">
        <f aca="false">IF($C719="","",IFERROR(IF(INDEX('REGISTRE TUBES'!$F$7:$F$2506,MATCH($C719,'REGISTRE TUBES'!$B$7:$B$2506,0))="","",INDEX('REGISTRE TUBES'!$F$7:$F$2506,MATCH($C719,'REGISTRE TUBES'!$B$7:$B$2506,0))),"?"))</f>
        <v>11.94</v>
      </c>
      <c r="G719" s="94" t="n">
        <f aca="false">IF($C719="","",N(G718)+N(F719))</f>
        <v>5814.80999999996</v>
      </c>
      <c r="H719" s="95" t="s">
        <v>1626</v>
      </c>
      <c r="I719" s="96"/>
      <c r="J719" s="97"/>
    </row>
    <row r="720" customFormat="false" ht="15" hidden="false" customHeight="false" outlineLevel="0" collapsed="false">
      <c r="B720" s="98" t="n">
        <v>491</v>
      </c>
      <c r="C720" s="99" t="n">
        <v>2081400</v>
      </c>
      <c r="D720" s="100" t="n">
        <f aca="false">IF($C720="","",IFERROR(IF(INDEX('REGISTRE TUBES'!$C$7:$C$2506,MATCH($C720,'REGISTRE TUBES'!$B$7:$B$2506,0))="","",INDEX('REGISTRE TUBES'!$C$7:$C$2506,MATCH($C720,'REGISTRE TUBES'!$B$7:$B$2506,0))),"?"))</f>
        <v>15421103</v>
      </c>
      <c r="E720" s="100" t="str">
        <f aca="false">IF($C720="","",IFERROR(IF(INDEX('REGISTRE TUBES'!$D$7:$D$2506,MATCH($C720,'REGISTRE TUBES'!$B$7:$B$2506,0))="","",INDEX('REGISTRE TUBES'!$D$7:$D$2506,MATCH($C720,'REGISTRE TUBES'!$B$7:$B$2506,0))),"?"))</f>
        <v/>
      </c>
      <c r="F720" s="101" t="n">
        <f aca="false">IF($C720="","",IFERROR(IF(INDEX('REGISTRE TUBES'!$F$7:$F$2506,MATCH($C720,'REGISTRE TUBES'!$B$7:$B$2506,0))="","",INDEX('REGISTRE TUBES'!$F$7:$F$2506,MATCH($C720,'REGISTRE TUBES'!$B$7:$B$2506,0))),"?"))</f>
        <v>11.94</v>
      </c>
      <c r="G720" s="102" t="n">
        <f aca="false">IF($C720="","",N(G719)+N(F720))</f>
        <v>5826.74999999996</v>
      </c>
      <c r="H720" s="103" t="s">
        <v>1627</v>
      </c>
      <c r="I720" s="104"/>
      <c r="J720" s="105"/>
    </row>
    <row r="721" customFormat="false" ht="15" hidden="false" customHeight="false" outlineLevel="0" collapsed="false">
      <c r="B721" s="90" t="n">
        <v>492</v>
      </c>
      <c r="C721" s="91" t="n">
        <v>2081910</v>
      </c>
      <c r="D721" s="92" t="n">
        <f aca="false">IF($C721="","",IFERROR(IF(INDEX('REGISTRE TUBES'!$C$7:$C$2506,MATCH($C721,'REGISTRE TUBES'!$B$7:$B$2506,0))="","",INDEX('REGISTRE TUBES'!$C$7:$C$2506,MATCH($C721,'REGISTRE TUBES'!$B$7:$B$2506,0))),"?"))</f>
        <v>15421104</v>
      </c>
      <c r="E721" s="92" t="str">
        <f aca="false">IF($C721="","",IFERROR(IF(INDEX('REGISTRE TUBES'!$D$7:$D$2506,MATCH($C721,'REGISTRE TUBES'!$B$7:$B$2506,0))="","",INDEX('REGISTRE TUBES'!$D$7:$D$2506,MATCH($C721,'REGISTRE TUBES'!$B$7:$B$2506,0))),"?"))</f>
        <v/>
      </c>
      <c r="F721" s="93" t="n">
        <f aca="false">IF($C721="","",IFERROR(IF(INDEX('REGISTRE TUBES'!$F$7:$F$2506,MATCH($C721,'REGISTRE TUBES'!$B$7:$B$2506,0))="","",INDEX('REGISTRE TUBES'!$F$7:$F$2506,MATCH($C721,'REGISTRE TUBES'!$B$7:$B$2506,0))),"?"))</f>
        <v>11.94</v>
      </c>
      <c r="G721" s="94" t="n">
        <f aca="false">IF($C721="","",N(G720)+N(F721))</f>
        <v>5838.68999999996</v>
      </c>
      <c r="H721" s="95" t="s">
        <v>1630</v>
      </c>
      <c r="I721" s="96"/>
      <c r="J721" s="97"/>
    </row>
    <row r="722" customFormat="false" ht="15" hidden="false" customHeight="false" outlineLevel="0" collapsed="false">
      <c r="B722" s="98" t="n">
        <v>493</v>
      </c>
      <c r="C722" s="99" t="n">
        <v>2088010</v>
      </c>
      <c r="D722" s="100" t="n">
        <f aca="false">IF($C722="","",IFERROR(IF(INDEX('REGISTRE TUBES'!$C$7:$C$2506,MATCH($C722,'REGISTRE TUBES'!$B$7:$B$2506,0))="","",INDEX('REGISTRE TUBES'!$C$7:$C$2506,MATCH($C722,'REGISTRE TUBES'!$B$7:$B$2506,0))),"?"))</f>
        <v>15421108</v>
      </c>
      <c r="E722" s="100" t="str">
        <f aca="false">IF($C722="","",IFERROR(IF(INDEX('REGISTRE TUBES'!$D$7:$D$2506,MATCH($C722,'REGISTRE TUBES'!$B$7:$B$2506,0))="","",INDEX('REGISTRE TUBES'!$D$7:$D$2506,MATCH($C722,'REGISTRE TUBES'!$B$7:$B$2506,0))),"?"))</f>
        <v/>
      </c>
      <c r="F722" s="101" t="n">
        <f aca="false">IF($C722="","",IFERROR(IF(INDEX('REGISTRE TUBES'!$F$7:$F$2506,MATCH($C722,'REGISTRE TUBES'!$B$7:$B$2506,0))="","",INDEX('REGISTRE TUBES'!$F$7:$F$2506,MATCH($C722,'REGISTRE TUBES'!$B$7:$B$2506,0))),"?"))</f>
        <v>11.94</v>
      </c>
      <c r="G722" s="102" t="n">
        <f aca="false">IF($C722="","",N(G721)+N(F722))</f>
        <v>5850.62999999996</v>
      </c>
      <c r="H722" s="103" t="s">
        <v>1631</v>
      </c>
      <c r="I722" s="104"/>
      <c r="J722" s="105"/>
    </row>
    <row r="723" customFormat="false" ht="15" hidden="false" customHeight="false" outlineLevel="0" collapsed="false">
      <c r="B723" s="90" t="n">
        <v>494</v>
      </c>
      <c r="C723" s="91" t="n">
        <v>2087820</v>
      </c>
      <c r="D723" s="92" t="n">
        <f aca="false">IF($C723="","",IFERROR(IF(INDEX('REGISTRE TUBES'!$C$7:$C$2506,MATCH($C723,'REGISTRE TUBES'!$B$7:$B$2506,0))="","",INDEX('REGISTRE TUBES'!$C$7:$C$2506,MATCH($C723,'REGISTRE TUBES'!$B$7:$B$2506,0))),"?"))</f>
        <v>15421108</v>
      </c>
      <c r="E723" s="92" t="str">
        <f aca="false">IF($C723="","",IFERROR(IF(INDEX('REGISTRE TUBES'!$D$7:$D$2506,MATCH($C723,'REGISTRE TUBES'!$B$7:$B$2506,0))="","",INDEX('REGISTRE TUBES'!$D$7:$D$2506,MATCH($C723,'REGISTRE TUBES'!$B$7:$B$2506,0))),"?"))</f>
        <v/>
      </c>
      <c r="F723" s="93" t="n">
        <f aca="false">IF($C723="","",IFERROR(IF(INDEX('REGISTRE TUBES'!$F$7:$F$2506,MATCH($C723,'REGISTRE TUBES'!$B$7:$B$2506,0))="","",INDEX('REGISTRE TUBES'!$F$7:$F$2506,MATCH($C723,'REGISTRE TUBES'!$B$7:$B$2506,0))),"?"))</f>
        <v>11.94</v>
      </c>
      <c r="G723" s="94" t="n">
        <f aca="false">IF($C723="","",N(G722)+N(F723))</f>
        <v>5862.56999999996</v>
      </c>
      <c r="H723" s="95" t="s">
        <v>1633</v>
      </c>
      <c r="I723" s="96"/>
      <c r="J723" s="97"/>
    </row>
    <row r="724" customFormat="false" ht="15" hidden="false" customHeight="true" outlineLevel="0" collapsed="false">
      <c r="B724" s="106" t="s">
        <v>3031</v>
      </c>
      <c r="C724" s="106"/>
      <c r="D724" s="106"/>
      <c r="E724" s="106"/>
      <c r="F724" s="107" t="n">
        <f aca="false">SUM(F705:F723)</f>
        <v>226.86</v>
      </c>
      <c r="G724" s="108" t="n">
        <f aca="false">IF(COUNT(G705:G723)=0,"",MAX(G705:G723))</f>
        <v>5862.56999999996</v>
      </c>
      <c r="H724" s="106" t="str">
        <f aca="false">COUNTA(C705:C723)&amp;" tube(s)"</f>
        <v>19 tube(s)</v>
      </c>
      <c r="I724" s="106"/>
      <c r="J724" s="106"/>
    </row>
    <row r="726" customFormat="false" ht="15" hidden="false" customHeight="false" outlineLevel="0" collapsed="false">
      <c r="B726" s="109" t="s">
        <v>3032</v>
      </c>
      <c r="F726" s="109" t="s">
        <v>3033</v>
      </c>
      <c r="I726" s="109" t="s">
        <v>3034</v>
      </c>
    </row>
    <row r="729" customFormat="false" ht="25.5" hidden="false" customHeight="true" outlineLevel="0" collapsed="false">
      <c r="B729" s="85" t="s">
        <v>3015</v>
      </c>
      <c r="C729" s="85"/>
      <c r="D729" s="85"/>
      <c r="E729" s="85"/>
      <c r="F729" s="85"/>
      <c r="G729" s="85"/>
      <c r="H729" s="85"/>
      <c r="I729" s="85"/>
      <c r="J729" s="85"/>
    </row>
    <row r="730" customFormat="false" ht="15" hidden="false" customHeight="false" outlineLevel="0" collapsed="false">
      <c r="B730" s="86" t="str">
        <f aca="false">PARAMÈTRES!$C$4&amp;"   •   Affaire N° "&amp;PARAMÈTRES!$C$5</f>
        <v>Développement des champs gaziers TFT II — réseau de collecte TFT Sud (LIGNE-16)   •   Affaire N° 8546</v>
      </c>
      <c r="C730" s="86"/>
      <c r="D730" s="86"/>
      <c r="E730" s="86"/>
      <c r="F730" s="86"/>
      <c r="G730" s="86"/>
      <c r="H730" s="86"/>
      <c r="I730" s="86"/>
      <c r="J730" s="86"/>
    </row>
    <row r="731" customFormat="false" ht="19.5" hidden="false" customHeight="true" outlineLevel="0" collapsed="false">
      <c r="B731" s="87" t="s">
        <v>3016</v>
      </c>
      <c r="C731" s="88" t="s">
        <v>110</v>
      </c>
      <c r="D731" s="88"/>
      <c r="E731" s="87" t="s">
        <v>3017</v>
      </c>
      <c r="F731" s="88" t="s">
        <v>3085</v>
      </c>
      <c r="G731" s="87" t="s">
        <v>3019</v>
      </c>
      <c r="H731" s="88" t="s">
        <v>3086</v>
      </c>
      <c r="I731" s="87" t="s">
        <v>3021</v>
      </c>
      <c r="J731" s="89"/>
    </row>
    <row r="732" customFormat="false" ht="27.75" hidden="false" customHeight="true" outlineLevel="0" collapsed="false">
      <c r="B732" s="71" t="s">
        <v>3022</v>
      </c>
      <c r="C732" s="71" t="s">
        <v>3023</v>
      </c>
      <c r="D732" s="71" t="s">
        <v>3024</v>
      </c>
      <c r="E732" s="71" t="s">
        <v>3025</v>
      </c>
      <c r="F732" s="71" t="s">
        <v>3026</v>
      </c>
      <c r="G732" s="71" t="s">
        <v>3027</v>
      </c>
      <c r="H732" s="71" t="s">
        <v>3028</v>
      </c>
      <c r="I732" s="71" t="s">
        <v>3029</v>
      </c>
      <c r="J732" s="71" t="s">
        <v>3030</v>
      </c>
    </row>
    <row r="733" customFormat="false" ht="15" hidden="false" customHeight="false" outlineLevel="0" collapsed="false">
      <c r="B733" s="90" t="n">
        <v>495</v>
      </c>
      <c r="C733" s="91" t="n">
        <v>2088000</v>
      </c>
      <c r="D733" s="92" t="n">
        <f aca="false">IF($C733="","",IFERROR(IF(INDEX('REGISTRE TUBES'!$C$7:$C$2506,MATCH($C733,'REGISTRE TUBES'!$B$7:$B$2506,0))="","",INDEX('REGISTRE TUBES'!$C$7:$C$2506,MATCH($C733,'REGISTRE TUBES'!$B$7:$B$2506,0))),"?"))</f>
        <v>15421108</v>
      </c>
      <c r="E733" s="92" t="str">
        <f aca="false">IF($C733="","",IFERROR(IF(INDEX('REGISTRE TUBES'!$D$7:$D$2506,MATCH($C733,'REGISTRE TUBES'!$B$7:$B$2506,0))="","",INDEX('REGISTRE TUBES'!$D$7:$D$2506,MATCH($C733,'REGISTRE TUBES'!$B$7:$B$2506,0))),"?"))</f>
        <v/>
      </c>
      <c r="F733" s="93" t="n">
        <f aca="false">IF($C733="","",IFERROR(IF(INDEX('REGISTRE TUBES'!$F$7:$F$2506,MATCH($C733,'REGISTRE TUBES'!$B$7:$B$2506,0))="","",INDEX('REGISTRE TUBES'!$F$7:$F$2506,MATCH($C733,'REGISTRE TUBES'!$B$7:$B$2506,0))),"?"))</f>
        <v>11.94</v>
      </c>
      <c r="G733" s="94" t="n">
        <f aca="false">IF($C733="","",N(G723)+N(F733))</f>
        <v>5874.50999999996</v>
      </c>
      <c r="H733" s="95"/>
      <c r="I733" s="96"/>
      <c r="J733" s="97"/>
    </row>
    <row r="734" customFormat="false" ht="15" hidden="false" customHeight="false" outlineLevel="0" collapsed="false">
      <c r="B734" s="98" t="n">
        <v>496</v>
      </c>
      <c r="C734" s="99" t="n">
        <v>2081410</v>
      </c>
      <c r="D734" s="100" t="n">
        <f aca="false">IF($C734="","",IFERROR(IF(INDEX('REGISTRE TUBES'!$C$7:$C$2506,MATCH($C734,'REGISTRE TUBES'!$B$7:$B$2506,0))="","",INDEX('REGISTRE TUBES'!$C$7:$C$2506,MATCH($C734,'REGISTRE TUBES'!$B$7:$B$2506,0))),"?"))</f>
        <v>15421103</v>
      </c>
      <c r="E734" s="100" t="str">
        <f aca="false">IF($C734="","",IFERROR(IF(INDEX('REGISTRE TUBES'!$D$7:$D$2506,MATCH($C734,'REGISTRE TUBES'!$B$7:$B$2506,0))="","",INDEX('REGISTRE TUBES'!$D$7:$D$2506,MATCH($C734,'REGISTRE TUBES'!$B$7:$B$2506,0))),"?"))</f>
        <v/>
      </c>
      <c r="F734" s="101" t="n">
        <f aca="false">IF($C734="","",IFERROR(IF(INDEX('REGISTRE TUBES'!$F$7:$F$2506,MATCH($C734,'REGISTRE TUBES'!$B$7:$B$2506,0))="","",INDEX('REGISTRE TUBES'!$F$7:$F$2506,MATCH($C734,'REGISTRE TUBES'!$B$7:$B$2506,0))),"?"))</f>
        <v>11.94</v>
      </c>
      <c r="G734" s="102" t="n">
        <f aca="false">IF($C734="","",N(G733)+N(F734))</f>
        <v>5886.44999999996</v>
      </c>
      <c r="H734" s="103" t="s">
        <v>1648</v>
      </c>
      <c r="I734" s="104"/>
      <c r="J734" s="105"/>
    </row>
    <row r="735" customFormat="false" ht="15" hidden="false" customHeight="false" outlineLevel="0" collapsed="false">
      <c r="B735" s="90" t="n">
        <v>497</v>
      </c>
      <c r="C735" s="91" t="n">
        <v>2079140</v>
      </c>
      <c r="D735" s="92" t="n">
        <f aca="false">IF($C735="","",IFERROR(IF(INDEX('REGISTRE TUBES'!$C$7:$C$2506,MATCH($C735,'REGISTRE TUBES'!$B$7:$B$2506,0))="","",INDEX('REGISTRE TUBES'!$C$7:$C$2506,MATCH($C735,'REGISTRE TUBES'!$B$7:$B$2506,0))),"?"))</f>
        <v>15421102</v>
      </c>
      <c r="E735" s="92" t="str">
        <f aca="false">IF($C735="","",IFERROR(IF(INDEX('REGISTRE TUBES'!$D$7:$D$2506,MATCH($C735,'REGISTRE TUBES'!$B$7:$B$2506,0))="","",INDEX('REGISTRE TUBES'!$D$7:$D$2506,MATCH($C735,'REGISTRE TUBES'!$B$7:$B$2506,0))),"?"))</f>
        <v/>
      </c>
      <c r="F735" s="93" t="n">
        <f aca="false">IF($C735="","",IFERROR(IF(INDEX('REGISTRE TUBES'!$F$7:$F$2506,MATCH($C735,'REGISTRE TUBES'!$B$7:$B$2506,0))="","",INDEX('REGISTRE TUBES'!$F$7:$F$2506,MATCH($C735,'REGISTRE TUBES'!$B$7:$B$2506,0))),"?"))</f>
        <v>11.94</v>
      </c>
      <c r="G735" s="94" t="n">
        <f aca="false">IF($C735="","",N(G734)+N(F735))</f>
        <v>5898.38999999996</v>
      </c>
      <c r="H735" s="95" t="s">
        <v>1649</v>
      </c>
      <c r="I735" s="96"/>
      <c r="J735" s="97"/>
    </row>
    <row r="736" customFormat="false" ht="15" hidden="false" customHeight="false" outlineLevel="0" collapsed="false">
      <c r="B736" s="98" t="n">
        <v>498</v>
      </c>
      <c r="C736" s="99" t="n">
        <v>2096540</v>
      </c>
      <c r="D736" s="100" t="n">
        <f aca="false">IF($C736="","",IFERROR(IF(INDEX('REGISTRE TUBES'!$C$7:$C$2506,MATCH($C736,'REGISTRE TUBES'!$B$7:$B$2506,0))="","",INDEX('REGISTRE TUBES'!$C$7:$C$2506,MATCH($C736,'REGISTRE TUBES'!$B$7:$B$2506,0))),"?"))</f>
        <v>15421111</v>
      </c>
      <c r="E736" s="100" t="str">
        <f aca="false">IF($C736="","",IFERROR(IF(INDEX('REGISTRE TUBES'!$D$7:$D$2506,MATCH($C736,'REGISTRE TUBES'!$B$7:$B$2506,0))="","",INDEX('REGISTRE TUBES'!$D$7:$D$2506,MATCH($C736,'REGISTRE TUBES'!$B$7:$B$2506,0))),"?"))</f>
        <v/>
      </c>
      <c r="F736" s="101" t="n">
        <f aca="false">IF($C736="","",IFERROR(IF(INDEX('REGISTRE TUBES'!$F$7:$F$2506,MATCH($C736,'REGISTRE TUBES'!$B$7:$B$2506,0))="","",INDEX('REGISTRE TUBES'!$F$7:$F$2506,MATCH($C736,'REGISTRE TUBES'!$B$7:$B$2506,0))),"?"))</f>
        <v>11.94</v>
      </c>
      <c r="G736" s="102" t="n">
        <f aca="false">IF($C736="","",N(G735)+N(F736))</f>
        <v>5910.32999999996</v>
      </c>
      <c r="H736" s="103" t="s">
        <v>1651</v>
      </c>
      <c r="I736" s="104"/>
      <c r="J736" s="105"/>
    </row>
    <row r="737" customFormat="false" ht="15" hidden="false" customHeight="false" outlineLevel="0" collapsed="false">
      <c r="B737" s="90" t="n">
        <v>499</v>
      </c>
      <c r="C737" s="91" t="n">
        <v>2095650</v>
      </c>
      <c r="D737" s="92" t="n">
        <f aca="false">IF($C737="","",IFERROR(IF(INDEX('REGISTRE TUBES'!$C$7:$C$2506,MATCH($C737,'REGISTRE TUBES'!$B$7:$B$2506,0))="","",INDEX('REGISTRE TUBES'!$C$7:$C$2506,MATCH($C737,'REGISTRE TUBES'!$B$7:$B$2506,0))),"?"))</f>
        <v>15421111</v>
      </c>
      <c r="E737" s="92" t="str">
        <f aca="false">IF($C737="","",IFERROR(IF(INDEX('REGISTRE TUBES'!$D$7:$D$2506,MATCH($C737,'REGISTRE TUBES'!$B$7:$B$2506,0))="","",INDEX('REGISTRE TUBES'!$D$7:$D$2506,MATCH($C737,'REGISTRE TUBES'!$B$7:$B$2506,0))),"?"))</f>
        <v/>
      </c>
      <c r="F737" s="93" t="n">
        <f aca="false">IF($C737="","",IFERROR(IF(INDEX('REGISTRE TUBES'!$F$7:$F$2506,MATCH($C737,'REGISTRE TUBES'!$B$7:$B$2506,0))="","",INDEX('REGISTRE TUBES'!$F$7:$F$2506,MATCH($C737,'REGISTRE TUBES'!$B$7:$B$2506,0))),"?"))</f>
        <v>11.94</v>
      </c>
      <c r="G737" s="94" t="n">
        <f aca="false">IF($C737="","",N(G736)+N(F737))</f>
        <v>5922.26999999996</v>
      </c>
      <c r="H737" s="95" t="s">
        <v>1652</v>
      </c>
      <c r="I737" s="96"/>
      <c r="J737" s="97"/>
    </row>
    <row r="738" customFormat="false" ht="15" hidden="false" customHeight="false" outlineLevel="0" collapsed="false">
      <c r="B738" s="98" t="n">
        <v>500</v>
      </c>
      <c r="C738" s="99" t="n">
        <v>2082820</v>
      </c>
      <c r="D738" s="100" t="n">
        <f aca="false">IF($C738="","",IFERROR(IF(INDEX('REGISTRE TUBES'!$C$7:$C$2506,MATCH($C738,'REGISTRE TUBES'!$B$7:$B$2506,0))="","",INDEX('REGISTRE TUBES'!$C$7:$C$2506,MATCH($C738,'REGISTRE TUBES'!$B$7:$B$2506,0))),"?"))</f>
        <v>15421104</v>
      </c>
      <c r="E738" s="100" t="str">
        <f aca="false">IF($C738="","",IFERROR(IF(INDEX('REGISTRE TUBES'!$D$7:$D$2506,MATCH($C738,'REGISTRE TUBES'!$B$7:$B$2506,0))="","",INDEX('REGISTRE TUBES'!$D$7:$D$2506,MATCH($C738,'REGISTRE TUBES'!$B$7:$B$2506,0))),"?"))</f>
        <v/>
      </c>
      <c r="F738" s="101" t="n">
        <f aca="false">IF($C738="","",IFERROR(IF(INDEX('REGISTRE TUBES'!$F$7:$F$2506,MATCH($C738,'REGISTRE TUBES'!$B$7:$B$2506,0))="","",INDEX('REGISTRE TUBES'!$F$7:$F$2506,MATCH($C738,'REGISTRE TUBES'!$B$7:$B$2506,0))),"?"))</f>
        <v>11.94</v>
      </c>
      <c r="G738" s="102" t="n">
        <f aca="false">IF($C738="","",N(G737)+N(F738))</f>
        <v>5934.20999999996</v>
      </c>
      <c r="H738" s="103" t="s">
        <v>1653</v>
      </c>
      <c r="I738" s="104"/>
      <c r="J738" s="105"/>
    </row>
    <row r="739" customFormat="false" ht="15" hidden="false" customHeight="false" outlineLevel="0" collapsed="false">
      <c r="B739" s="90" t="n">
        <v>501</v>
      </c>
      <c r="C739" s="91" t="n">
        <v>2093060</v>
      </c>
      <c r="D739" s="92" t="n">
        <f aca="false">IF($C739="","",IFERROR(IF(INDEX('REGISTRE TUBES'!$C$7:$C$2506,MATCH($C739,'REGISTRE TUBES'!$B$7:$B$2506,0))="","",INDEX('REGISTRE TUBES'!$C$7:$C$2506,MATCH($C739,'REGISTRE TUBES'!$B$7:$B$2506,0))),"?"))</f>
        <v>15421110</v>
      </c>
      <c r="E739" s="92" t="str">
        <f aca="false">IF($C739="","",IFERROR(IF(INDEX('REGISTRE TUBES'!$D$7:$D$2506,MATCH($C739,'REGISTRE TUBES'!$B$7:$B$2506,0))="","",INDEX('REGISTRE TUBES'!$D$7:$D$2506,MATCH($C739,'REGISTRE TUBES'!$B$7:$B$2506,0))),"?"))</f>
        <v/>
      </c>
      <c r="F739" s="93" t="n">
        <f aca="false">IF($C739="","",IFERROR(IF(INDEX('REGISTRE TUBES'!$F$7:$F$2506,MATCH($C739,'REGISTRE TUBES'!$B$7:$B$2506,0))="","",INDEX('REGISTRE TUBES'!$F$7:$F$2506,MATCH($C739,'REGISTRE TUBES'!$B$7:$B$2506,0))),"?"))</f>
        <v>11.94</v>
      </c>
      <c r="G739" s="94" t="n">
        <f aca="false">IF($C739="","",N(G738)+N(F739))</f>
        <v>5946.14999999995</v>
      </c>
      <c r="H739" s="95" t="s">
        <v>1654</v>
      </c>
      <c r="I739" s="96"/>
      <c r="J739" s="97"/>
    </row>
    <row r="740" customFormat="false" ht="15" hidden="false" customHeight="false" outlineLevel="0" collapsed="false">
      <c r="B740" s="98" t="n">
        <v>502</v>
      </c>
      <c r="C740" s="99" t="n">
        <v>2092730</v>
      </c>
      <c r="D740" s="100" t="n">
        <f aca="false">IF($C740="","",IFERROR(IF(INDEX('REGISTRE TUBES'!$C$7:$C$2506,MATCH($C740,'REGISTRE TUBES'!$B$7:$B$2506,0))="","",INDEX('REGISTRE TUBES'!$C$7:$C$2506,MATCH($C740,'REGISTRE TUBES'!$B$7:$B$2506,0))),"?"))</f>
        <v>15421110</v>
      </c>
      <c r="E740" s="100" t="str">
        <f aca="false">IF($C740="","",IFERROR(IF(INDEX('REGISTRE TUBES'!$D$7:$D$2506,MATCH($C740,'REGISTRE TUBES'!$B$7:$B$2506,0))="","",INDEX('REGISTRE TUBES'!$D$7:$D$2506,MATCH($C740,'REGISTRE TUBES'!$B$7:$B$2506,0))),"?"))</f>
        <v/>
      </c>
      <c r="F740" s="101" t="n">
        <f aca="false">IF($C740="","",IFERROR(IF(INDEX('REGISTRE TUBES'!$F$7:$F$2506,MATCH($C740,'REGISTRE TUBES'!$B$7:$B$2506,0))="","",INDEX('REGISTRE TUBES'!$F$7:$F$2506,MATCH($C740,'REGISTRE TUBES'!$B$7:$B$2506,0))),"?"))</f>
        <v>11.94</v>
      </c>
      <c r="G740" s="102" t="n">
        <f aca="false">IF($C740="","",N(G739)+N(F740))</f>
        <v>5958.08999999995</v>
      </c>
      <c r="H740" s="103" t="s">
        <v>1655</v>
      </c>
      <c r="I740" s="104"/>
      <c r="J740" s="105"/>
    </row>
    <row r="741" customFormat="false" ht="15" hidden="false" customHeight="false" outlineLevel="0" collapsed="false">
      <c r="B741" s="90" t="n">
        <v>503</v>
      </c>
      <c r="C741" s="91" t="n">
        <v>2079520</v>
      </c>
      <c r="D741" s="92" t="n">
        <f aca="false">IF($C741="","",IFERROR(IF(INDEX('REGISTRE TUBES'!$C$7:$C$2506,MATCH($C741,'REGISTRE TUBES'!$B$7:$B$2506,0))="","",INDEX('REGISTRE TUBES'!$C$7:$C$2506,MATCH($C741,'REGISTRE TUBES'!$B$7:$B$2506,0))),"?"))</f>
        <v>15421102</v>
      </c>
      <c r="E741" s="92" t="str">
        <f aca="false">IF($C741="","",IFERROR(IF(INDEX('REGISTRE TUBES'!$D$7:$D$2506,MATCH($C741,'REGISTRE TUBES'!$B$7:$B$2506,0))="","",INDEX('REGISTRE TUBES'!$D$7:$D$2506,MATCH($C741,'REGISTRE TUBES'!$B$7:$B$2506,0))),"?"))</f>
        <v/>
      </c>
      <c r="F741" s="93" t="n">
        <f aca="false">IF($C741="","",IFERROR(IF(INDEX('REGISTRE TUBES'!$F$7:$F$2506,MATCH($C741,'REGISTRE TUBES'!$B$7:$B$2506,0))="","",INDEX('REGISTRE TUBES'!$F$7:$F$2506,MATCH($C741,'REGISTRE TUBES'!$B$7:$B$2506,0))),"?"))</f>
        <v>11.94</v>
      </c>
      <c r="G741" s="94" t="n">
        <f aca="false">IF($C741="","",N(G740)+N(F741))</f>
        <v>5970.02999999995</v>
      </c>
      <c r="H741" s="95" t="s">
        <v>1656</v>
      </c>
      <c r="I741" s="96"/>
      <c r="J741" s="97"/>
    </row>
    <row r="742" customFormat="false" ht="15" hidden="false" customHeight="false" outlineLevel="0" collapsed="false">
      <c r="B742" s="98" t="n">
        <v>504</v>
      </c>
      <c r="C742" s="99" t="n">
        <v>2085910</v>
      </c>
      <c r="D742" s="100" t="n">
        <f aca="false">IF($C742="","",IFERROR(IF(INDEX('REGISTRE TUBES'!$C$7:$C$2506,MATCH($C742,'REGISTRE TUBES'!$B$7:$B$2506,0))="","",INDEX('REGISTRE TUBES'!$C$7:$C$2506,MATCH($C742,'REGISTRE TUBES'!$B$7:$B$2506,0))),"?"))</f>
        <v>15421107</v>
      </c>
      <c r="E742" s="100" t="str">
        <f aca="false">IF($C742="","",IFERROR(IF(INDEX('REGISTRE TUBES'!$D$7:$D$2506,MATCH($C742,'REGISTRE TUBES'!$B$7:$B$2506,0))="","",INDEX('REGISTRE TUBES'!$D$7:$D$2506,MATCH($C742,'REGISTRE TUBES'!$B$7:$B$2506,0))),"?"))</f>
        <v/>
      </c>
      <c r="F742" s="101" t="n">
        <f aca="false">IF($C742="","",IFERROR(IF(INDEX('REGISTRE TUBES'!$F$7:$F$2506,MATCH($C742,'REGISTRE TUBES'!$B$7:$B$2506,0))="","",INDEX('REGISTRE TUBES'!$F$7:$F$2506,MATCH($C742,'REGISTRE TUBES'!$B$7:$B$2506,0))),"?"))</f>
        <v>11.94</v>
      </c>
      <c r="G742" s="102" t="n">
        <f aca="false">IF($C742="","",N(G741)+N(F742))</f>
        <v>5981.96999999995</v>
      </c>
      <c r="H742" s="103"/>
      <c r="I742" s="104"/>
      <c r="J742" s="105"/>
    </row>
    <row r="743" customFormat="false" ht="15" hidden="false" customHeight="false" outlineLevel="0" collapsed="false">
      <c r="B743" s="90" t="n">
        <v>505</v>
      </c>
      <c r="C743" s="91" t="n">
        <v>2095640</v>
      </c>
      <c r="D743" s="92" t="n">
        <f aca="false">IF($C743="","",IFERROR(IF(INDEX('REGISTRE TUBES'!$C$7:$C$2506,MATCH($C743,'REGISTRE TUBES'!$B$7:$B$2506,0))="","",INDEX('REGISTRE TUBES'!$C$7:$C$2506,MATCH($C743,'REGISTRE TUBES'!$B$7:$B$2506,0))),"?"))</f>
        <v>15421111</v>
      </c>
      <c r="E743" s="92" t="str">
        <f aca="false">IF($C743="","",IFERROR(IF(INDEX('REGISTRE TUBES'!$D$7:$D$2506,MATCH($C743,'REGISTRE TUBES'!$B$7:$B$2506,0))="","",INDEX('REGISTRE TUBES'!$D$7:$D$2506,MATCH($C743,'REGISTRE TUBES'!$B$7:$B$2506,0))),"?"))</f>
        <v/>
      </c>
      <c r="F743" s="93" t="n">
        <f aca="false">IF($C743="","",IFERROR(IF(INDEX('REGISTRE TUBES'!$F$7:$F$2506,MATCH($C743,'REGISTRE TUBES'!$B$7:$B$2506,0))="","",INDEX('REGISTRE TUBES'!$F$7:$F$2506,MATCH($C743,'REGISTRE TUBES'!$B$7:$B$2506,0))),"?"))</f>
        <v>11.94</v>
      </c>
      <c r="G743" s="94" t="n">
        <f aca="false">IF($C743="","",N(G742)+N(F743))</f>
        <v>5993.90999999995</v>
      </c>
      <c r="H743" s="95" t="s">
        <v>1662</v>
      </c>
      <c r="I743" s="96"/>
      <c r="J743" s="97"/>
    </row>
    <row r="744" customFormat="false" ht="15" hidden="false" customHeight="false" outlineLevel="0" collapsed="false">
      <c r="B744" s="98" t="n">
        <v>506</v>
      </c>
      <c r="C744" s="99" t="n">
        <v>2094020</v>
      </c>
      <c r="D744" s="100" t="n">
        <f aca="false">IF($C744="","",IFERROR(IF(INDEX('REGISTRE TUBES'!$C$7:$C$2506,MATCH($C744,'REGISTRE TUBES'!$B$7:$B$2506,0))="","",INDEX('REGISTRE TUBES'!$C$7:$C$2506,MATCH($C744,'REGISTRE TUBES'!$B$7:$B$2506,0))),"?"))</f>
        <v>15421110</v>
      </c>
      <c r="E744" s="100" t="str">
        <f aca="false">IF($C744="","",IFERROR(IF(INDEX('REGISTRE TUBES'!$D$7:$D$2506,MATCH($C744,'REGISTRE TUBES'!$B$7:$B$2506,0))="","",INDEX('REGISTRE TUBES'!$D$7:$D$2506,MATCH($C744,'REGISTRE TUBES'!$B$7:$B$2506,0))),"?"))</f>
        <v/>
      </c>
      <c r="F744" s="101" t="n">
        <f aca="false">IF($C744="","",IFERROR(IF(INDEX('REGISTRE TUBES'!$F$7:$F$2506,MATCH($C744,'REGISTRE TUBES'!$B$7:$B$2506,0))="","",INDEX('REGISTRE TUBES'!$F$7:$F$2506,MATCH($C744,'REGISTRE TUBES'!$B$7:$B$2506,0))),"?"))</f>
        <v>11.94</v>
      </c>
      <c r="G744" s="102" t="n">
        <f aca="false">IF($C744="","",N(G743)+N(F744))</f>
        <v>6005.84999999995</v>
      </c>
      <c r="H744" s="103" t="s">
        <v>1663</v>
      </c>
      <c r="I744" s="104"/>
      <c r="J744" s="105"/>
    </row>
    <row r="745" customFormat="false" ht="15" hidden="false" customHeight="false" outlineLevel="0" collapsed="false">
      <c r="B745" s="90" t="n">
        <v>507</v>
      </c>
      <c r="C745" s="91" t="n">
        <v>2091300</v>
      </c>
      <c r="D745" s="92" t="n">
        <f aca="false">IF($C745="","",IFERROR(IF(INDEX('REGISTRE TUBES'!$C$7:$C$2506,MATCH($C745,'REGISTRE TUBES'!$B$7:$B$2506,0))="","",INDEX('REGISTRE TUBES'!$C$7:$C$2506,MATCH($C745,'REGISTRE TUBES'!$B$7:$B$2506,0))),"?"))</f>
        <v>15421109</v>
      </c>
      <c r="E745" s="92" t="str">
        <f aca="false">IF($C745="","",IFERROR(IF(INDEX('REGISTRE TUBES'!$D$7:$D$2506,MATCH($C745,'REGISTRE TUBES'!$B$7:$B$2506,0))="","",INDEX('REGISTRE TUBES'!$D$7:$D$2506,MATCH($C745,'REGISTRE TUBES'!$B$7:$B$2506,0))),"?"))</f>
        <v/>
      </c>
      <c r="F745" s="93" t="n">
        <f aca="false">IF($C745="","",IFERROR(IF(INDEX('REGISTRE TUBES'!$F$7:$F$2506,MATCH($C745,'REGISTRE TUBES'!$B$7:$B$2506,0))="","",INDEX('REGISTRE TUBES'!$F$7:$F$2506,MATCH($C745,'REGISTRE TUBES'!$B$7:$B$2506,0))),"?"))</f>
        <v>11.94</v>
      </c>
      <c r="G745" s="94" t="n">
        <f aca="false">IF($C745="","",N(G744)+N(F745))</f>
        <v>6017.78999999995</v>
      </c>
      <c r="H745" s="95" t="s">
        <v>1664</v>
      </c>
      <c r="I745" s="96"/>
      <c r="J745" s="97"/>
    </row>
    <row r="746" customFormat="false" ht="15" hidden="false" customHeight="false" outlineLevel="0" collapsed="false">
      <c r="B746" s="98" t="n">
        <v>508</v>
      </c>
      <c r="C746" s="99" t="n">
        <v>2083400</v>
      </c>
      <c r="D746" s="100" t="n">
        <f aca="false">IF($C746="","",IFERROR(IF(INDEX('REGISTRE TUBES'!$C$7:$C$2506,MATCH($C746,'REGISTRE TUBES'!$B$7:$B$2506,0))="","",INDEX('REGISTRE TUBES'!$C$7:$C$2506,MATCH($C746,'REGISTRE TUBES'!$B$7:$B$2506,0))),"?"))</f>
        <v>15421105</v>
      </c>
      <c r="E746" s="100" t="str">
        <f aca="false">IF($C746="","",IFERROR(IF(INDEX('REGISTRE TUBES'!$D$7:$D$2506,MATCH($C746,'REGISTRE TUBES'!$B$7:$B$2506,0))="","",INDEX('REGISTRE TUBES'!$D$7:$D$2506,MATCH($C746,'REGISTRE TUBES'!$B$7:$B$2506,0))),"?"))</f>
        <v/>
      </c>
      <c r="F746" s="101" t="n">
        <f aca="false">IF($C746="","",IFERROR(IF(INDEX('REGISTRE TUBES'!$F$7:$F$2506,MATCH($C746,'REGISTRE TUBES'!$B$7:$B$2506,0))="","",INDEX('REGISTRE TUBES'!$F$7:$F$2506,MATCH($C746,'REGISTRE TUBES'!$B$7:$B$2506,0))),"?"))</f>
        <v>11.94</v>
      </c>
      <c r="G746" s="102" t="n">
        <f aca="false">IF($C746="","",N(G745)+N(F746))</f>
        <v>6029.72999999995</v>
      </c>
      <c r="H746" s="103" t="s">
        <v>1665</v>
      </c>
      <c r="I746" s="104"/>
      <c r="J746" s="105"/>
    </row>
    <row r="747" customFormat="false" ht="15" hidden="false" customHeight="false" outlineLevel="0" collapsed="false">
      <c r="B747" s="90" t="n">
        <v>509</v>
      </c>
      <c r="C747" s="91" t="n">
        <v>2082350</v>
      </c>
      <c r="D747" s="92" t="n">
        <f aca="false">IF($C747="","",IFERROR(IF(INDEX('REGISTRE TUBES'!$C$7:$C$2506,MATCH($C747,'REGISTRE TUBES'!$B$7:$B$2506,0))="","",INDEX('REGISTRE TUBES'!$C$7:$C$2506,MATCH($C747,'REGISTRE TUBES'!$B$7:$B$2506,0))),"?"))</f>
        <v>15421104</v>
      </c>
      <c r="E747" s="92" t="str">
        <f aca="false">IF($C747="","",IFERROR(IF(INDEX('REGISTRE TUBES'!$D$7:$D$2506,MATCH($C747,'REGISTRE TUBES'!$B$7:$B$2506,0))="","",INDEX('REGISTRE TUBES'!$D$7:$D$2506,MATCH($C747,'REGISTRE TUBES'!$B$7:$B$2506,0))),"?"))</f>
        <v/>
      </c>
      <c r="F747" s="93" t="n">
        <f aca="false">IF($C747="","",IFERROR(IF(INDEX('REGISTRE TUBES'!$F$7:$F$2506,MATCH($C747,'REGISTRE TUBES'!$B$7:$B$2506,0))="","",INDEX('REGISTRE TUBES'!$F$7:$F$2506,MATCH($C747,'REGISTRE TUBES'!$B$7:$B$2506,0))),"?"))</f>
        <v>11.94</v>
      </c>
      <c r="G747" s="94" t="n">
        <f aca="false">IF($C747="","",N(G746)+N(F747))</f>
        <v>6041.66999999995</v>
      </c>
      <c r="H747" s="95" t="s">
        <v>1666</v>
      </c>
      <c r="I747" s="96"/>
      <c r="J747" s="97"/>
    </row>
    <row r="748" customFormat="false" ht="15" hidden="false" customHeight="false" outlineLevel="0" collapsed="false">
      <c r="B748" s="98" t="n">
        <v>510</v>
      </c>
      <c r="C748" s="99" t="n">
        <v>2089260</v>
      </c>
      <c r="D748" s="100" t="n">
        <f aca="false">IF($C748="","",IFERROR(IF(INDEX('REGISTRE TUBES'!$C$7:$C$2506,MATCH($C748,'REGISTRE TUBES'!$B$7:$B$2506,0))="","",INDEX('REGISTRE TUBES'!$C$7:$C$2506,MATCH($C748,'REGISTRE TUBES'!$B$7:$B$2506,0))),"?"))</f>
        <v>15421108</v>
      </c>
      <c r="E748" s="100" t="str">
        <f aca="false">IF($C748="","",IFERROR(IF(INDEX('REGISTRE TUBES'!$D$7:$D$2506,MATCH($C748,'REGISTRE TUBES'!$B$7:$B$2506,0))="","",INDEX('REGISTRE TUBES'!$D$7:$D$2506,MATCH($C748,'REGISTRE TUBES'!$B$7:$B$2506,0))),"?"))</f>
        <v/>
      </c>
      <c r="F748" s="101" t="n">
        <f aca="false">IF($C748="","",IFERROR(IF(INDEX('REGISTRE TUBES'!$F$7:$F$2506,MATCH($C748,'REGISTRE TUBES'!$B$7:$B$2506,0))="","",INDEX('REGISTRE TUBES'!$F$7:$F$2506,MATCH($C748,'REGISTRE TUBES'!$B$7:$B$2506,0))),"?"))</f>
        <v>11.94</v>
      </c>
      <c r="G748" s="102" t="n">
        <f aca="false">IF($C748="","",N(G747)+N(F748))</f>
        <v>6053.60999999995</v>
      </c>
      <c r="H748" s="103" t="s">
        <v>1667</v>
      </c>
      <c r="I748" s="104"/>
      <c r="J748" s="105"/>
    </row>
    <row r="749" customFormat="false" ht="15" hidden="false" customHeight="false" outlineLevel="0" collapsed="false">
      <c r="B749" s="90" t="n">
        <v>511</v>
      </c>
      <c r="C749" s="91" t="n">
        <v>2082490</v>
      </c>
      <c r="D749" s="92" t="n">
        <f aca="false">IF($C749="","",IFERROR(IF(INDEX('REGISTRE TUBES'!$C$7:$C$2506,MATCH($C749,'REGISTRE TUBES'!$B$7:$B$2506,0))="","",INDEX('REGISTRE TUBES'!$C$7:$C$2506,MATCH($C749,'REGISTRE TUBES'!$B$7:$B$2506,0))),"?"))</f>
        <v>15421105</v>
      </c>
      <c r="E749" s="92" t="str">
        <f aca="false">IF($C749="","",IFERROR(IF(INDEX('REGISTRE TUBES'!$D$7:$D$2506,MATCH($C749,'REGISTRE TUBES'!$B$7:$B$2506,0))="","",INDEX('REGISTRE TUBES'!$D$7:$D$2506,MATCH($C749,'REGISTRE TUBES'!$B$7:$B$2506,0))),"?"))</f>
        <v/>
      </c>
      <c r="F749" s="93" t="n">
        <f aca="false">IF($C749="","",IFERROR(IF(INDEX('REGISTRE TUBES'!$F$7:$F$2506,MATCH($C749,'REGISTRE TUBES'!$B$7:$B$2506,0))="","",INDEX('REGISTRE TUBES'!$F$7:$F$2506,MATCH($C749,'REGISTRE TUBES'!$B$7:$B$2506,0))),"?"))</f>
        <v>11.94</v>
      </c>
      <c r="G749" s="94" t="n">
        <f aca="false">IF($C749="","",N(G748)+N(F749))</f>
        <v>6065.54999999995</v>
      </c>
      <c r="H749" s="95" t="s">
        <v>1668</v>
      </c>
      <c r="I749" s="96"/>
      <c r="J749" s="97"/>
    </row>
    <row r="750" customFormat="false" ht="15" hidden="false" customHeight="false" outlineLevel="0" collapsed="false">
      <c r="B750" s="98" t="n">
        <v>512</v>
      </c>
      <c r="C750" s="99" t="n">
        <v>2084390</v>
      </c>
      <c r="D750" s="100" t="n">
        <f aca="false">IF($C750="","",IFERROR(IF(INDEX('REGISTRE TUBES'!$C$7:$C$2506,MATCH($C750,'REGISTRE TUBES'!$B$7:$B$2506,0))="","",INDEX('REGISTRE TUBES'!$C$7:$C$2506,MATCH($C750,'REGISTRE TUBES'!$B$7:$B$2506,0))),"?"))</f>
        <v>15421106</v>
      </c>
      <c r="E750" s="100" t="str">
        <f aca="false">IF($C750="","",IFERROR(IF(INDEX('REGISTRE TUBES'!$D$7:$D$2506,MATCH($C750,'REGISTRE TUBES'!$B$7:$B$2506,0))="","",INDEX('REGISTRE TUBES'!$D$7:$D$2506,MATCH($C750,'REGISTRE TUBES'!$B$7:$B$2506,0))),"?"))</f>
        <v/>
      </c>
      <c r="F750" s="101" t="n">
        <f aca="false">IF($C750="","",IFERROR(IF(INDEX('REGISTRE TUBES'!$F$7:$F$2506,MATCH($C750,'REGISTRE TUBES'!$B$7:$B$2506,0))="","",INDEX('REGISTRE TUBES'!$F$7:$F$2506,MATCH($C750,'REGISTRE TUBES'!$B$7:$B$2506,0))),"?"))</f>
        <v>11.94</v>
      </c>
      <c r="G750" s="102" t="n">
        <f aca="false">IF($C750="","",N(G749)+N(F750))</f>
        <v>6077.48999999995</v>
      </c>
      <c r="H750" s="103" t="s">
        <v>1669</v>
      </c>
      <c r="I750" s="104"/>
      <c r="J750" s="105"/>
    </row>
    <row r="751" customFormat="false" ht="15" hidden="false" customHeight="false" outlineLevel="0" collapsed="false">
      <c r="B751" s="90" t="n">
        <v>513</v>
      </c>
      <c r="C751" s="91" t="n">
        <v>2090380</v>
      </c>
      <c r="D751" s="92" t="n">
        <f aca="false">IF($C751="","",IFERROR(IF(INDEX('REGISTRE TUBES'!$C$7:$C$2506,MATCH($C751,'REGISTRE TUBES'!$B$7:$B$2506,0))="","",INDEX('REGISTRE TUBES'!$C$7:$C$2506,MATCH($C751,'REGISTRE TUBES'!$B$7:$B$2506,0))),"?"))</f>
        <v>15421109</v>
      </c>
      <c r="E751" s="92" t="str">
        <f aca="false">IF($C751="","",IFERROR(IF(INDEX('REGISTRE TUBES'!$D$7:$D$2506,MATCH($C751,'REGISTRE TUBES'!$B$7:$B$2506,0))="","",INDEX('REGISTRE TUBES'!$D$7:$D$2506,MATCH($C751,'REGISTRE TUBES'!$B$7:$B$2506,0))),"?"))</f>
        <v/>
      </c>
      <c r="F751" s="93" t="n">
        <f aca="false">IF($C751="","",IFERROR(IF(INDEX('REGISTRE TUBES'!$F$7:$F$2506,MATCH($C751,'REGISTRE TUBES'!$B$7:$B$2506,0))="","",INDEX('REGISTRE TUBES'!$F$7:$F$2506,MATCH($C751,'REGISTRE TUBES'!$B$7:$B$2506,0))),"?"))</f>
        <v>11.94</v>
      </c>
      <c r="G751" s="94" t="n">
        <f aca="false">IF($C751="","",N(G750)+N(F751))</f>
        <v>6089.42999999995</v>
      </c>
      <c r="H751" s="95"/>
      <c r="I751" s="96"/>
      <c r="J751" s="97"/>
    </row>
    <row r="752" customFormat="false" ht="15" hidden="false" customHeight="true" outlineLevel="0" collapsed="false">
      <c r="B752" s="106" t="s">
        <v>3031</v>
      </c>
      <c r="C752" s="106"/>
      <c r="D752" s="106"/>
      <c r="E752" s="106"/>
      <c r="F752" s="107" t="n">
        <f aca="false">SUM(F733:F751)</f>
        <v>226.86</v>
      </c>
      <c r="G752" s="108" t="n">
        <f aca="false">IF(COUNT(G733:G751)=0,"",MAX(G733:G751))</f>
        <v>6089.42999999995</v>
      </c>
      <c r="H752" s="106" t="str">
        <f aca="false">COUNTA(C733:C751)&amp;" tube(s)"</f>
        <v>19 tube(s)</v>
      </c>
      <c r="I752" s="106"/>
      <c r="J752" s="106"/>
    </row>
    <row r="754" customFormat="false" ht="15" hidden="false" customHeight="false" outlineLevel="0" collapsed="false">
      <c r="B754" s="109" t="s">
        <v>3032</v>
      </c>
      <c r="F754" s="109" t="s">
        <v>3033</v>
      </c>
      <c r="I754" s="109" t="s">
        <v>3034</v>
      </c>
    </row>
    <row r="757" customFormat="false" ht="25.5" hidden="false" customHeight="true" outlineLevel="0" collapsed="false">
      <c r="B757" s="85" t="s">
        <v>3015</v>
      </c>
      <c r="C757" s="85"/>
      <c r="D757" s="85"/>
      <c r="E757" s="85"/>
      <c r="F757" s="85"/>
      <c r="G757" s="85"/>
      <c r="H757" s="85"/>
      <c r="I757" s="85"/>
      <c r="J757" s="85"/>
    </row>
    <row r="758" customFormat="false" ht="15" hidden="false" customHeight="false" outlineLevel="0" collapsed="false">
      <c r="B758" s="86" t="str">
        <f aca="false">PARAMÈTRES!$C$4&amp;"   •   Affaire N° "&amp;PARAMÈTRES!$C$5</f>
        <v>Développement des champs gaziers TFT II — réseau de collecte TFT Sud (LIGNE-16)   •   Affaire N° 8546</v>
      </c>
      <c r="C758" s="86"/>
      <c r="D758" s="86"/>
      <c r="E758" s="86"/>
      <c r="F758" s="86"/>
      <c r="G758" s="86"/>
      <c r="H758" s="86"/>
      <c r="I758" s="86"/>
      <c r="J758" s="86"/>
    </row>
    <row r="759" customFormat="false" ht="19.5" hidden="false" customHeight="true" outlineLevel="0" collapsed="false">
      <c r="B759" s="87" t="s">
        <v>3016</v>
      </c>
      <c r="C759" s="88" t="s">
        <v>110</v>
      </c>
      <c r="D759" s="88"/>
      <c r="E759" s="87" t="s">
        <v>3017</v>
      </c>
      <c r="F759" s="88" t="s">
        <v>3087</v>
      </c>
      <c r="G759" s="87" t="s">
        <v>3019</v>
      </c>
      <c r="H759" s="88" t="s">
        <v>3088</v>
      </c>
      <c r="I759" s="87" t="s">
        <v>3021</v>
      </c>
      <c r="J759" s="89"/>
    </row>
    <row r="760" customFormat="false" ht="27.75" hidden="false" customHeight="true" outlineLevel="0" collapsed="false">
      <c r="B760" s="71" t="s">
        <v>3022</v>
      </c>
      <c r="C760" s="71" t="s">
        <v>3023</v>
      </c>
      <c r="D760" s="71" t="s">
        <v>3024</v>
      </c>
      <c r="E760" s="71" t="s">
        <v>3025</v>
      </c>
      <c r="F760" s="71" t="s">
        <v>3026</v>
      </c>
      <c r="G760" s="71" t="s">
        <v>3027</v>
      </c>
      <c r="H760" s="71" t="s">
        <v>3028</v>
      </c>
      <c r="I760" s="71" t="s">
        <v>3029</v>
      </c>
      <c r="J760" s="71" t="s">
        <v>3030</v>
      </c>
    </row>
    <row r="761" customFormat="false" ht="15" hidden="false" customHeight="false" outlineLevel="0" collapsed="false">
      <c r="B761" s="90" t="n">
        <v>514</v>
      </c>
      <c r="C761" s="91" t="s">
        <v>1671</v>
      </c>
      <c r="D761" s="92" t="str">
        <f aca="false">IF($C761="","",IFERROR(IF(INDEX('REGISTRE TUBES'!$C$7:$C$2506,MATCH($C761,'REGISTRE TUBES'!$B$7:$B$2506,0))="","",INDEX('REGISTRE TUBES'!$C$7:$C$2506,MATCH($C761,'REGISTRE TUBES'!$B$7:$B$2506,0))),"?"))</f>
        <v/>
      </c>
      <c r="E761" s="92" t="str">
        <f aca="false">IF($C761="","",IFERROR(IF(INDEX('REGISTRE TUBES'!$D$7:$D$2506,MATCH($C761,'REGISTRE TUBES'!$B$7:$B$2506,0))="","",INDEX('REGISTRE TUBES'!$D$7:$D$2506,MATCH($C761,'REGISTRE TUBES'!$B$7:$B$2506,0))),"?"))</f>
        <v/>
      </c>
      <c r="F761" s="93" t="str">
        <f aca="false">IF($C761="","",IFERROR(IF(INDEX('REGISTRE TUBES'!$F$7:$F$2506,MATCH($C761,'REGISTRE TUBES'!$B$7:$B$2506,0))="","",INDEX('REGISTRE TUBES'!$F$7:$F$2506,MATCH($C761,'REGISTRE TUBES'!$B$7:$B$2506,0))),"?"))</f>
        <v/>
      </c>
      <c r="G761" s="94" t="n">
        <f aca="false">IF($C761="","",N(G751)+N(F761))</f>
        <v>6089.42999999995</v>
      </c>
      <c r="H761" s="95" t="s">
        <v>1670</v>
      </c>
      <c r="I761" s="96"/>
      <c r="J761" s="97"/>
    </row>
    <row r="762" customFormat="false" ht="15" hidden="false" customHeight="false" outlineLevel="0" collapsed="false">
      <c r="B762" s="98" t="n">
        <v>515</v>
      </c>
      <c r="C762" s="99" t="n">
        <v>2089700</v>
      </c>
      <c r="D762" s="100" t="n">
        <f aca="false">IF($C762="","",IFERROR(IF(INDEX('REGISTRE TUBES'!$C$7:$C$2506,MATCH($C762,'REGISTRE TUBES'!$B$7:$B$2506,0))="","",INDEX('REGISTRE TUBES'!$C$7:$C$2506,MATCH($C762,'REGISTRE TUBES'!$B$7:$B$2506,0))),"?"))</f>
        <v>15421109</v>
      </c>
      <c r="E762" s="100" t="str">
        <f aca="false">IF($C762="","",IFERROR(IF(INDEX('REGISTRE TUBES'!$D$7:$D$2506,MATCH($C762,'REGISTRE TUBES'!$B$7:$B$2506,0))="","",INDEX('REGISTRE TUBES'!$D$7:$D$2506,MATCH($C762,'REGISTRE TUBES'!$B$7:$B$2506,0))),"?"))</f>
        <v/>
      </c>
      <c r="F762" s="101" t="n">
        <f aca="false">IF($C762="","",IFERROR(IF(INDEX('REGISTRE TUBES'!$F$7:$F$2506,MATCH($C762,'REGISTRE TUBES'!$B$7:$B$2506,0))="","",INDEX('REGISTRE TUBES'!$F$7:$F$2506,MATCH($C762,'REGISTRE TUBES'!$B$7:$B$2506,0))),"?"))</f>
        <v>11.94</v>
      </c>
      <c r="G762" s="102" t="n">
        <f aca="false">IF($C762="","",N(G761)+N(F762))</f>
        <v>6101.36999999995</v>
      </c>
      <c r="H762" s="103" t="s">
        <v>1749</v>
      </c>
      <c r="I762" s="104"/>
      <c r="J762" s="105"/>
    </row>
    <row r="763" customFormat="false" ht="15" hidden="false" customHeight="false" outlineLevel="0" collapsed="false">
      <c r="B763" s="90" t="n">
        <v>516</v>
      </c>
      <c r="C763" s="91" t="n">
        <v>2085980</v>
      </c>
      <c r="D763" s="92" t="n">
        <f aca="false">IF($C763="","",IFERROR(IF(INDEX('REGISTRE TUBES'!$C$7:$C$2506,MATCH($C763,'REGISTRE TUBES'!$B$7:$B$2506,0))="","",INDEX('REGISTRE TUBES'!$C$7:$C$2506,MATCH($C763,'REGISTRE TUBES'!$B$7:$B$2506,0))),"?"))</f>
        <v>15421107</v>
      </c>
      <c r="E763" s="92" t="str">
        <f aca="false">IF($C763="","",IFERROR(IF(INDEX('REGISTRE TUBES'!$D$7:$D$2506,MATCH($C763,'REGISTRE TUBES'!$B$7:$B$2506,0))="","",INDEX('REGISTRE TUBES'!$D$7:$D$2506,MATCH($C763,'REGISTRE TUBES'!$B$7:$B$2506,0))),"?"))</f>
        <v/>
      </c>
      <c r="F763" s="93" t="n">
        <f aca="false">IF($C763="","",IFERROR(IF(INDEX('REGISTRE TUBES'!$F$7:$F$2506,MATCH($C763,'REGISTRE TUBES'!$B$7:$B$2506,0))="","",INDEX('REGISTRE TUBES'!$F$7:$F$2506,MATCH($C763,'REGISTRE TUBES'!$B$7:$B$2506,0))),"?"))</f>
        <v>11.94</v>
      </c>
      <c r="G763" s="94" t="n">
        <f aca="false">IF($C763="","",N(G762)+N(F763))</f>
        <v>6113.30999999995</v>
      </c>
      <c r="H763" s="95" t="s">
        <v>1750</v>
      </c>
      <c r="I763" s="96"/>
      <c r="J763" s="97"/>
    </row>
    <row r="764" customFormat="false" ht="15" hidden="false" customHeight="false" outlineLevel="0" collapsed="false">
      <c r="B764" s="98" t="n">
        <v>517</v>
      </c>
      <c r="C764" s="99" t="n">
        <v>2090900</v>
      </c>
      <c r="D764" s="100" t="n">
        <f aca="false">IF($C764="","",IFERROR(IF(INDEX('REGISTRE TUBES'!$C$7:$C$2506,MATCH($C764,'REGISTRE TUBES'!$B$7:$B$2506,0))="","",INDEX('REGISTRE TUBES'!$C$7:$C$2506,MATCH($C764,'REGISTRE TUBES'!$B$7:$B$2506,0))),"?"))</f>
        <v>15421109</v>
      </c>
      <c r="E764" s="100" t="str">
        <f aca="false">IF($C764="","",IFERROR(IF(INDEX('REGISTRE TUBES'!$D$7:$D$2506,MATCH($C764,'REGISTRE TUBES'!$B$7:$B$2506,0))="","",INDEX('REGISTRE TUBES'!$D$7:$D$2506,MATCH($C764,'REGISTRE TUBES'!$B$7:$B$2506,0))),"?"))</f>
        <v/>
      </c>
      <c r="F764" s="101" t="n">
        <f aca="false">IF($C764="","",IFERROR(IF(INDEX('REGISTRE TUBES'!$F$7:$F$2506,MATCH($C764,'REGISTRE TUBES'!$B$7:$B$2506,0))="","",INDEX('REGISTRE TUBES'!$F$7:$F$2506,MATCH($C764,'REGISTRE TUBES'!$B$7:$B$2506,0))),"?"))</f>
        <v>11.94</v>
      </c>
      <c r="G764" s="102" t="n">
        <f aca="false">IF($C764="","",N(G763)+N(F764))</f>
        <v>6125.24999999995</v>
      </c>
      <c r="H764" s="103" t="s">
        <v>1752</v>
      </c>
      <c r="I764" s="104"/>
      <c r="J764" s="105"/>
    </row>
    <row r="765" customFormat="false" ht="15" hidden="false" customHeight="false" outlineLevel="0" collapsed="false">
      <c r="B765" s="90" t="n">
        <v>518</v>
      </c>
      <c r="C765" s="91" t="n">
        <v>2089590</v>
      </c>
      <c r="D765" s="92" t="n">
        <f aca="false">IF($C765="","",IFERROR(IF(INDEX('REGISTRE TUBES'!$C$7:$C$2506,MATCH($C765,'REGISTRE TUBES'!$B$7:$B$2506,0))="","",INDEX('REGISTRE TUBES'!$C$7:$C$2506,MATCH($C765,'REGISTRE TUBES'!$B$7:$B$2506,0))),"?"))</f>
        <v>15421109</v>
      </c>
      <c r="E765" s="92" t="str">
        <f aca="false">IF($C765="","",IFERROR(IF(INDEX('REGISTRE TUBES'!$D$7:$D$2506,MATCH($C765,'REGISTRE TUBES'!$B$7:$B$2506,0))="","",INDEX('REGISTRE TUBES'!$D$7:$D$2506,MATCH($C765,'REGISTRE TUBES'!$B$7:$B$2506,0))),"?"))</f>
        <v/>
      </c>
      <c r="F765" s="93" t="n">
        <f aca="false">IF($C765="","",IFERROR(IF(INDEX('REGISTRE TUBES'!$F$7:$F$2506,MATCH($C765,'REGISTRE TUBES'!$B$7:$B$2506,0))="","",INDEX('REGISTRE TUBES'!$F$7:$F$2506,MATCH($C765,'REGISTRE TUBES'!$B$7:$B$2506,0))),"?"))</f>
        <v>11.94</v>
      </c>
      <c r="G765" s="94" t="n">
        <f aca="false">IF($C765="","",N(G764)+N(F765))</f>
        <v>6137.18999999995</v>
      </c>
      <c r="H765" s="95" t="s">
        <v>1755</v>
      </c>
      <c r="I765" s="96"/>
      <c r="J765" s="97"/>
    </row>
    <row r="766" customFormat="false" ht="15" hidden="false" customHeight="false" outlineLevel="0" collapsed="false">
      <c r="B766" s="98" t="n">
        <v>519</v>
      </c>
      <c r="C766" s="99" t="n">
        <v>2096180</v>
      </c>
      <c r="D766" s="100" t="n">
        <f aca="false">IF($C766="","",IFERROR(IF(INDEX('REGISTRE TUBES'!$C$7:$C$2506,MATCH($C766,'REGISTRE TUBES'!$B$7:$B$2506,0))="","",INDEX('REGISTRE TUBES'!$C$7:$C$2506,MATCH($C766,'REGISTRE TUBES'!$B$7:$B$2506,0))),"?"))</f>
        <v>15421111</v>
      </c>
      <c r="E766" s="100" t="str">
        <f aca="false">IF($C766="","",IFERROR(IF(INDEX('REGISTRE TUBES'!$D$7:$D$2506,MATCH($C766,'REGISTRE TUBES'!$B$7:$B$2506,0))="","",INDEX('REGISTRE TUBES'!$D$7:$D$2506,MATCH($C766,'REGISTRE TUBES'!$B$7:$B$2506,0))),"?"))</f>
        <v/>
      </c>
      <c r="F766" s="101" t="n">
        <f aca="false">IF($C766="","",IFERROR(IF(INDEX('REGISTRE TUBES'!$F$7:$F$2506,MATCH($C766,'REGISTRE TUBES'!$B$7:$B$2506,0))="","",INDEX('REGISTRE TUBES'!$F$7:$F$2506,MATCH($C766,'REGISTRE TUBES'!$B$7:$B$2506,0))),"?"))</f>
        <v>11.94</v>
      </c>
      <c r="G766" s="102" t="n">
        <f aca="false">IF($C766="","",N(G765)+N(F766))</f>
        <v>6149.12999999995</v>
      </c>
      <c r="H766" s="103" t="s">
        <v>1756</v>
      </c>
      <c r="I766" s="104"/>
      <c r="J766" s="105"/>
    </row>
    <row r="767" customFormat="false" ht="15" hidden="false" customHeight="false" outlineLevel="0" collapsed="false">
      <c r="B767" s="90" t="n">
        <v>520</v>
      </c>
      <c r="C767" s="91" t="n">
        <v>2085970</v>
      </c>
      <c r="D767" s="92" t="n">
        <f aca="false">IF($C767="","",IFERROR(IF(INDEX('REGISTRE TUBES'!$C$7:$C$2506,MATCH($C767,'REGISTRE TUBES'!$B$7:$B$2506,0))="","",INDEX('REGISTRE TUBES'!$C$7:$C$2506,MATCH($C767,'REGISTRE TUBES'!$B$7:$B$2506,0))),"?"))</f>
        <v>15421107</v>
      </c>
      <c r="E767" s="92" t="str">
        <f aca="false">IF($C767="","",IFERROR(IF(INDEX('REGISTRE TUBES'!$D$7:$D$2506,MATCH($C767,'REGISTRE TUBES'!$B$7:$B$2506,0))="","",INDEX('REGISTRE TUBES'!$D$7:$D$2506,MATCH($C767,'REGISTRE TUBES'!$B$7:$B$2506,0))),"?"))</f>
        <v/>
      </c>
      <c r="F767" s="93" t="n">
        <f aca="false">IF($C767="","",IFERROR(IF(INDEX('REGISTRE TUBES'!$F$7:$F$2506,MATCH($C767,'REGISTRE TUBES'!$B$7:$B$2506,0))="","",INDEX('REGISTRE TUBES'!$F$7:$F$2506,MATCH($C767,'REGISTRE TUBES'!$B$7:$B$2506,0))),"?"))</f>
        <v>11.94</v>
      </c>
      <c r="G767" s="94" t="n">
        <f aca="false">IF($C767="","",N(G766)+N(F767))</f>
        <v>6161.06999999995</v>
      </c>
      <c r="H767" s="95" t="s">
        <v>1758</v>
      </c>
      <c r="I767" s="96"/>
      <c r="J767" s="97"/>
    </row>
    <row r="768" customFormat="false" ht="15" hidden="false" customHeight="false" outlineLevel="0" collapsed="false">
      <c r="B768" s="98" t="n">
        <v>521</v>
      </c>
      <c r="C768" s="99" t="n">
        <v>2094550</v>
      </c>
      <c r="D768" s="100" t="n">
        <f aca="false">IF($C768="","",IFERROR(IF(INDEX('REGISTRE TUBES'!$C$7:$C$2506,MATCH($C768,'REGISTRE TUBES'!$B$7:$B$2506,0))="","",INDEX('REGISTRE TUBES'!$C$7:$C$2506,MATCH($C768,'REGISTRE TUBES'!$B$7:$B$2506,0))),"?"))</f>
        <v>145421111</v>
      </c>
      <c r="E768" s="100" t="str">
        <f aca="false">IF($C768="","",IFERROR(IF(INDEX('REGISTRE TUBES'!$D$7:$D$2506,MATCH($C768,'REGISTRE TUBES'!$B$7:$B$2506,0))="","",INDEX('REGISTRE TUBES'!$D$7:$D$2506,MATCH($C768,'REGISTRE TUBES'!$B$7:$B$2506,0))),"?"))</f>
        <v/>
      </c>
      <c r="F768" s="101" t="n">
        <f aca="false">IF($C768="","",IFERROR(IF(INDEX('REGISTRE TUBES'!$F$7:$F$2506,MATCH($C768,'REGISTRE TUBES'!$B$7:$B$2506,0))="","",INDEX('REGISTRE TUBES'!$F$7:$F$2506,MATCH($C768,'REGISTRE TUBES'!$B$7:$B$2506,0))),"?"))</f>
        <v>11.94</v>
      </c>
      <c r="G768" s="102" t="n">
        <f aca="false">IF($C768="","",N(G767)+N(F768))</f>
        <v>6173.00999999995</v>
      </c>
      <c r="H768" s="103" t="s">
        <v>1759</v>
      </c>
      <c r="I768" s="104"/>
      <c r="J768" s="105"/>
    </row>
    <row r="769" customFormat="false" ht="15" hidden="false" customHeight="false" outlineLevel="0" collapsed="false">
      <c r="B769" s="90" t="n">
        <v>522</v>
      </c>
      <c r="C769" s="91" t="n">
        <v>2090060</v>
      </c>
      <c r="D769" s="92" t="n">
        <f aca="false">IF($C769="","",IFERROR(IF(INDEX('REGISTRE TUBES'!$C$7:$C$2506,MATCH($C769,'REGISTRE TUBES'!$B$7:$B$2506,0))="","",INDEX('REGISTRE TUBES'!$C$7:$C$2506,MATCH($C769,'REGISTRE TUBES'!$B$7:$B$2506,0))),"?"))</f>
        <v>15421109</v>
      </c>
      <c r="E769" s="92" t="str">
        <f aca="false">IF($C769="","",IFERROR(IF(INDEX('REGISTRE TUBES'!$D$7:$D$2506,MATCH($C769,'REGISTRE TUBES'!$B$7:$B$2506,0))="","",INDEX('REGISTRE TUBES'!$D$7:$D$2506,MATCH($C769,'REGISTRE TUBES'!$B$7:$B$2506,0))),"?"))</f>
        <v/>
      </c>
      <c r="F769" s="93" t="n">
        <f aca="false">IF($C769="","",IFERROR(IF(INDEX('REGISTRE TUBES'!$F$7:$F$2506,MATCH($C769,'REGISTRE TUBES'!$B$7:$B$2506,0))="","",INDEX('REGISTRE TUBES'!$F$7:$F$2506,MATCH($C769,'REGISTRE TUBES'!$B$7:$B$2506,0))),"?"))</f>
        <v>11.94</v>
      </c>
      <c r="G769" s="94" t="n">
        <f aca="false">IF($C769="","",N(G768)+N(F769))</f>
        <v>6184.94999999995</v>
      </c>
      <c r="H769" s="95" t="s">
        <v>1762</v>
      </c>
      <c r="I769" s="96"/>
      <c r="J769" s="97"/>
    </row>
    <row r="770" customFormat="false" ht="15" hidden="false" customHeight="false" outlineLevel="0" collapsed="false">
      <c r="B770" s="98" t="n">
        <v>523</v>
      </c>
      <c r="C770" s="99" t="n">
        <v>2085690</v>
      </c>
      <c r="D770" s="100" t="n">
        <f aca="false">IF($C770="","",IFERROR(IF(INDEX('REGISTRE TUBES'!$C$7:$C$2506,MATCH($C770,'REGISTRE TUBES'!$B$7:$B$2506,0))="","",INDEX('REGISTRE TUBES'!$C$7:$C$2506,MATCH($C770,'REGISTRE TUBES'!$B$7:$B$2506,0))),"?"))</f>
        <v>15421107</v>
      </c>
      <c r="E770" s="100" t="str">
        <f aca="false">IF($C770="","",IFERROR(IF(INDEX('REGISTRE TUBES'!$D$7:$D$2506,MATCH($C770,'REGISTRE TUBES'!$B$7:$B$2506,0))="","",INDEX('REGISTRE TUBES'!$D$7:$D$2506,MATCH($C770,'REGISTRE TUBES'!$B$7:$B$2506,0))),"?"))</f>
        <v/>
      </c>
      <c r="F770" s="101" t="n">
        <f aca="false">IF($C770="","",IFERROR(IF(INDEX('REGISTRE TUBES'!$F$7:$F$2506,MATCH($C770,'REGISTRE TUBES'!$B$7:$B$2506,0))="","",INDEX('REGISTRE TUBES'!$F$7:$F$2506,MATCH($C770,'REGISTRE TUBES'!$B$7:$B$2506,0))),"?"))</f>
        <v>11.94</v>
      </c>
      <c r="G770" s="102" t="n">
        <f aca="false">IF($C770="","",N(G769)+N(F770))</f>
        <v>6196.88999999995</v>
      </c>
      <c r="H770" s="103" t="s">
        <v>1764</v>
      </c>
      <c r="I770" s="104"/>
      <c r="J770" s="105"/>
    </row>
    <row r="771" customFormat="false" ht="15" hidden="false" customHeight="false" outlineLevel="0" collapsed="false">
      <c r="B771" s="90" t="n">
        <v>524</v>
      </c>
      <c r="C771" s="91" t="n">
        <v>2087700</v>
      </c>
      <c r="D771" s="92" t="n">
        <f aca="false">IF($C771="","",IFERROR(IF(INDEX('REGISTRE TUBES'!$C$7:$C$2506,MATCH($C771,'REGISTRE TUBES'!$B$7:$B$2506,0))="","",INDEX('REGISTRE TUBES'!$C$7:$C$2506,MATCH($C771,'REGISTRE TUBES'!$B$7:$B$2506,0))),"?"))</f>
        <v>15421108</v>
      </c>
      <c r="E771" s="92" t="str">
        <f aca="false">IF($C771="","",IFERROR(IF(INDEX('REGISTRE TUBES'!$D$7:$D$2506,MATCH($C771,'REGISTRE TUBES'!$B$7:$B$2506,0))="","",INDEX('REGISTRE TUBES'!$D$7:$D$2506,MATCH($C771,'REGISTRE TUBES'!$B$7:$B$2506,0))),"?"))</f>
        <v/>
      </c>
      <c r="F771" s="93" t="n">
        <f aca="false">IF($C771="","",IFERROR(IF(INDEX('REGISTRE TUBES'!$F$7:$F$2506,MATCH($C771,'REGISTRE TUBES'!$B$7:$B$2506,0))="","",INDEX('REGISTRE TUBES'!$F$7:$F$2506,MATCH($C771,'REGISTRE TUBES'!$B$7:$B$2506,0))),"?"))</f>
        <v>11.94</v>
      </c>
      <c r="G771" s="94" t="n">
        <f aca="false">IF($C771="","",N(G770)+N(F771))</f>
        <v>6208.82999999995</v>
      </c>
      <c r="H771" s="95" t="s">
        <v>1765</v>
      </c>
      <c r="I771" s="96"/>
      <c r="J771" s="97"/>
    </row>
    <row r="772" customFormat="false" ht="15" hidden="false" customHeight="false" outlineLevel="0" collapsed="false">
      <c r="B772" s="98" t="n">
        <v>525</v>
      </c>
      <c r="C772" s="99" t="n">
        <v>2079970</v>
      </c>
      <c r="D772" s="100" t="n">
        <f aca="false">IF($C772="","",IFERROR(IF(INDEX('REGISTRE TUBES'!$C$7:$C$2506,MATCH($C772,'REGISTRE TUBES'!$B$7:$B$2506,0))="","",INDEX('REGISTRE TUBES'!$C$7:$C$2506,MATCH($C772,'REGISTRE TUBES'!$B$7:$B$2506,0))),"?"))</f>
        <v>15421102</v>
      </c>
      <c r="E772" s="100" t="str">
        <f aca="false">IF($C772="","",IFERROR(IF(INDEX('REGISTRE TUBES'!$D$7:$D$2506,MATCH($C772,'REGISTRE TUBES'!$B$7:$B$2506,0))="","",INDEX('REGISTRE TUBES'!$D$7:$D$2506,MATCH($C772,'REGISTRE TUBES'!$B$7:$B$2506,0))),"?"))</f>
        <v/>
      </c>
      <c r="F772" s="101" t="n">
        <f aca="false">IF($C772="","",IFERROR(IF(INDEX('REGISTRE TUBES'!$F$7:$F$2506,MATCH($C772,'REGISTRE TUBES'!$B$7:$B$2506,0))="","",INDEX('REGISTRE TUBES'!$F$7:$F$2506,MATCH($C772,'REGISTRE TUBES'!$B$7:$B$2506,0))),"?"))</f>
        <v>11.94</v>
      </c>
      <c r="G772" s="102" t="n">
        <f aca="false">IF($C772="","",N(G771)+N(F772))</f>
        <v>6220.76999999995</v>
      </c>
      <c r="H772" s="103" t="s">
        <v>1766</v>
      </c>
      <c r="I772" s="104"/>
      <c r="J772" s="105"/>
    </row>
    <row r="773" customFormat="false" ht="15" hidden="false" customHeight="false" outlineLevel="0" collapsed="false">
      <c r="B773" s="90" t="n">
        <v>526</v>
      </c>
      <c r="C773" s="91" t="n">
        <v>2079650</v>
      </c>
      <c r="D773" s="92" t="n">
        <f aca="false">IF($C773="","",IFERROR(IF(INDEX('REGISTRE TUBES'!$C$7:$C$2506,MATCH($C773,'REGISTRE TUBES'!$B$7:$B$2506,0))="","",INDEX('REGISTRE TUBES'!$C$7:$C$2506,MATCH($C773,'REGISTRE TUBES'!$B$7:$B$2506,0))),"?"))</f>
        <v>15421102</v>
      </c>
      <c r="E773" s="92" t="str">
        <f aca="false">IF($C773="","",IFERROR(IF(INDEX('REGISTRE TUBES'!$D$7:$D$2506,MATCH($C773,'REGISTRE TUBES'!$B$7:$B$2506,0))="","",INDEX('REGISTRE TUBES'!$D$7:$D$2506,MATCH($C773,'REGISTRE TUBES'!$B$7:$B$2506,0))),"?"))</f>
        <v/>
      </c>
      <c r="F773" s="93" t="n">
        <f aca="false">IF($C773="","",IFERROR(IF(INDEX('REGISTRE TUBES'!$F$7:$F$2506,MATCH($C773,'REGISTRE TUBES'!$B$7:$B$2506,0))="","",INDEX('REGISTRE TUBES'!$F$7:$F$2506,MATCH($C773,'REGISTRE TUBES'!$B$7:$B$2506,0))),"?"))</f>
        <v>11.94</v>
      </c>
      <c r="G773" s="94" t="n">
        <f aca="false">IF($C773="","",N(G772)+N(F773))</f>
        <v>6232.70999999995</v>
      </c>
      <c r="H773" s="95" t="s">
        <v>1767</v>
      </c>
      <c r="I773" s="96"/>
      <c r="J773" s="97"/>
    </row>
    <row r="774" customFormat="false" ht="15" hidden="false" customHeight="false" outlineLevel="0" collapsed="false">
      <c r="B774" s="98" t="n">
        <v>527</v>
      </c>
      <c r="C774" s="99" t="n">
        <v>2092540</v>
      </c>
      <c r="D774" s="100" t="n">
        <f aca="false">IF($C774="","",IFERROR(IF(INDEX('REGISTRE TUBES'!$C$7:$C$2506,MATCH($C774,'REGISTRE TUBES'!$B$7:$B$2506,0))="","",INDEX('REGISTRE TUBES'!$C$7:$C$2506,MATCH($C774,'REGISTRE TUBES'!$B$7:$B$2506,0))),"?"))</f>
        <v>15421110</v>
      </c>
      <c r="E774" s="100" t="str">
        <f aca="false">IF($C774="","",IFERROR(IF(INDEX('REGISTRE TUBES'!$D$7:$D$2506,MATCH($C774,'REGISTRE TUBES'!$B$7:$B$2506,0))="","",INDEX('REGISTRE TUBES'!$D$7:$D$2506,MATCH($C774,'REGISTRE TUBES'!$B$7:$B$2506,0))),"?"))</f>
        <v/>
      </c>
      <c r="F774" s="101" t="n">
        <f aca="false">IF($C774="","",IFERROR(IF(INDEX('REGISTRE TUBES'!$F$7:$F$2506,MATCH($C774,'REGISTRE TUBES'!$B$7:$B$2506,0))="","",INDEX('REGISTRE TUBES'!$F$7:$F$2506,MATCH($C774,'REGISTRE TUBES'!$B$7:$B$2506,0))),"?"))</f>
        <v>11.94</v>
      </c>
      <c r="G774" s="102" t="n">
        <f aca="false">IF($C774="","",N(G773)+N(F774))</f>
        <v>6244.64999999994</v>
      </c>
      <c r="H774" s="103" t="s">
        <v>1769</v>
      </c>
      <c r="I774" s="104"/>
      <c r="J774" s="105"/>
    </row>
    <row r="775" customFormat="false" ht="15" hidden="false" customHeight="false" outlineLevel="0" collapsed="false">
      <c r="B775" s="90" t="n">
        <v>528</v>
      </c>
      <c r="C775" s="91" t="n">
        <v>2094910</v>
      </c>
      <c r="D775" s="92" t="n">
        <f aca="false">IF($C775="","",IFERROR(IF(INDEX('REGISTRE TUBES'!$C$7:$C$2506,MATCH($C775,'REGISTRE TUBES'!$B$7:$B$2506,0))="","",INDEX('REGISTRE TUBES'!$C$7:$C$2506,MATCH($C775,'REGISTRE TUBES'!$B$7:$B$2506,0))),"?"))</f>
        <v>15421111</v>
      </c>
      <c r="E775" s="92" t="str">
        <f aca="false">IF($C775="","",IFERROR(IF(INDEX('REGISTRE TUBES'!$D$7:$D$2506,MATCH($C775,'REGISTRE TUBES'!$B$7:$B$2506,0))="","",INDEX('REGISTRE TUBES'!$D$7:$D$2506,MATCH($C775,'REGISTRE TUBES'!$B$7:$B$2506,0))),"?"))</f>
        <v/>
      </c>
      <c r="F775" s="93" t="n">
        <f aca="false">IF($C775="","",IFERROR(IF(INDEX('REGISTRE TUBES'!$F$7:$F$2506,MATCH($C775,'REGISTRE TUBES'!$B$7:$B$2506,0))="","",INDEX('REGISTRE TUBES'!$F$7:$F$2506,MATCH($C775,'REGISTRE TUBES'!$B$7:$B$2506,0))),"?"))</f>
        <v>11.94</v>
      </c>
      <c r="G775" s="94" t="n">
        <f aca="false">IF($C775="","",N(G774)+N(F775))</f>
        <v>6256.58999999994</v>
      </c>
      <c r="H775" s="95" t="s">
        <v>1770</v>
      </c>
      <c r="I775" s="96"/>
      <c r="J775" s="97"/>
    </row>
    <row r="776" customFormat="false" ht="15" hidden="false" customHeight="false" outlineLevel="0" collapsed="false">
      <c r="B776" s="98" t="n">
        <v>529</v>
      </c>
      <c r="C776" s="99" t="n">
        <v>2081580</v>
      </c>
      <c r="D776" s="100" t="n">
        <f aca="false">IF($C776="","",IFERROR(IF(INDEX('REGISTRE TUBES'!$C$7:$C$2506,MATCH($C776,'REGISTRE TUBES'!$B$7:$B$2506,0))="","",INDEX('REGISTRE TUBES'!$C$7:$C$2506,MATCH($C776,'REGISTRE TUBES'!$B$7:$B$2506,0))),"?"))</f>
        <v>15421103</v>
      </c>
      <c r="E776" s="100" t="str">
        <f aca="false">IF($C776="","",IFERROR(IF(INDEX('REGISTRE TUBES'!$D$7:$D$2506,MATCH($C776,'REGISTRE TUBES'!$B$7:$B$2506,0))="","",INDEX('REGISTRE TUBES'!$D$7:$D$2506,MATCH($C776,'REGISTRE TUBES'!$B$7:$B$2506,0))),"?"))</f>
        <v/>
      </c>
      <c r="F776" s="101" t="n">
        <f aca="false">IF($C776="","",IFERROR(IF(INDEX('REGISTRE TUBES'!$F$7:$F$2506,MATCH($C776,'REGISTRE TUBES'!$B$7:$B$2506,0))="","",INDEX('REGISTRE TUBES'!$F$7:$F$2506,MATCH($C776,'REGISTRE TUBES'!$B$7:$B$2506,0))),"?"))</f>
        <v>11.94</v>
      </c>
      <c r="G776" s="102" t="n">
        <f aca="false">IF($C776="","",N(G775)+N(F776))</f>
        <v>6268.52999999994</v>
      </c>
      <c r="H776" s="103" t="s">
        <v>1772</v>
      </c>
      <c r="I776" s="104"/>
      <c r="J776" s="105"/>
    </row>
    <row r="777" customFormat="false" ht="15" hidden="false" customHeight="false" outlineLevel="0" collapsed="false">
      <c r="B777" s="90" t="n">
        <v>530</v>
      </c>
      <c r="C777" s="91" t="n">
        <v>2085810</v>
      </c>
      <c r="D777" s="92" t="n">
        <f aca="false">IF($C777="","",IFERROR(IF(INDEX('REGISTRE TUBES'!$C$7:$C$2506,MATCH($C777,'REGISTRE TUBES'!$B$7:$B$2506,0))="","",INDEX('REGISTRE TUBES'!$C$7:$C$2506,MATCH($C777,'REGISTRE TUBES'!$B$7:$B$2506,0))),"?"))</f>
        <v>15421107</v>
      </c>
      <c r="E777" s="92" t="str">
        <f aca="false">IF($C777="","",IFERROR(IF(INDEX('REGISTRE TUBES'!$D$7:$D$2506,MATCH($C777,'REGISTRE TUBES'!$B$7:$B$2506,0))="","",INDEX('REGISTRE TUBES'!$D$7:$D$2506,MATCH($C777,'REGISTRE TUBES'!$B$7:$B$2506,0))),"?"))</f>
        <v/>
      </c>
      <c r="F777" s="93" t="n">
        <f aca="false">IF($C777="","",IFERROR(IF(INDEX('REGISTRE TUBES'!$F$7:$F$2506,MATCH($C777,'REGISTRE TUBES'!$B$7:$B$2506,0))="","",INDEX('REGISTRE TUBES'!$F$7:$F$2506,MATCH($C777,'REGISTRE TUBES'!$B$7:$B$2506,0))),"?"))</f>
        <v>11.94</v>
      </c>
      <c r="G777" s="94" t="n">
        <f aca="false">IF($C777="","",N(G776)+N(F777))</f>
        <v>6280.46999999994</v>
      </c>
      <c r="H777" s="95" t="s">
        <v>1775</v>
      </c>
      <c r="I777" s="96"/>
      <c r="J777" s="97"/>
    </row>
    <row r="778" customFormat="false" ht="15" hidden="false" customHeight="false" outlineLevel="0" collapsed="false">
      <c r="B778" s="98" t="n">
        <v>531</v>
      </c>
      <c r="C778" s="99" t="n">
        <v>2092960</v>
      </c>
      <c r="D778" s="100" t="n">
        <f aca="false">IF($C778="","",IFERROR(IF(INDEX('REGISTRE TUBES'!$C$7:$C$2506,MATCH($C778,'REGISTRE TUBES'!$B$7:$B$2506,0))="","",INDEX('REGISTRE TUBES'!$C$7:$C$2506,MATCH($C778,'REGISTRE TUBES'!$B$7:$B$2506,0))),"?"))</f>
        <v>15421110</v>
      </c>
      <c r="E778" s="100" t="str">
        <f aca="false">IF($C778="","",IFERROR(IF(INDEX('REGISTRE TUBES'!$D$7:$D$2506,MATCH($C778,'REGISTRE TUBES'!$B$7:$B$2506,0))="","",INDEX('REGISTRE TUBES'!$D$7:$D$2506,MATCH($C778,'REGISTRE TUBES'!$B$7:$B$2506,0))),"?"))</f>
        <v/>
      </c>
      <c r="F778" s="101" t="n">
        <f aca="false">IF($C778="","",IFERROR(IF(INDEX('REGISTRE TUBES'!$F$7:$F$2506,MATCH($C778,'REGISTRE TUBES'!$B$7:$B$2506,0))="","",INDEX('REGISTRE TUBES'!$F$7:$F$2506,MATCH($C778,'REGISTRE TUBES'!$B$7:$B$2506,0))),"?"))</f>
        <v>11.94</v>
      </c>
      <c r="G778" s="102" t="n">
        <f aca="false">IF($C778="","",N(G777)+N(F778))</f>
        <v>6292.40999999994</v>
      </c>
      <c r="H778" s="103" t="s">
        <v>1777</v>
      </c>
      <c r="I778" s="104"/>
      <c r="J778" s="105"/>
    </row>
    <row r="779" customFormat="false" ht="15" hidden="false" customHeight="false" outlineLevel="0" collapsed="false">
      <c r="B779" s="90" t="n">
        <v>532</v>
      </c>
      <c r="C779" s="91" t="n">
        <v>2086010</v>
      </c>
      <c r="D779" s="92" t="n">
        <f aca="false">IF($C779="","",IFERROR(IF(INDEX('REGISTRE TUBES'!$C$7:$C$2506,MATCH($C779,'REGISTRE TUBES'!$B$7:$B$2506,0))="","",INDEX('REGISTRE TUBES'!$C$7:$C$2506,MATCH($C779,'REGISTRE TUBES'!$B$7:$B$2506,0))),"?"))</f>
        <v>15421107</v>
      </c>
      <c r="E779" s="92" t="str">
        <f aca="false">IF($C779="","",IFERROR(IF(INDEX('REGISTRE TUBES'!$D$7:$D$2506,MATCH($C779,'REGISTRE TUBES'!$B$7:$B$2506,0))="","",INDEX('REGISTRE TUBES'!$D$7:$D$2506,MATCH($C779,'REGISTRE TUBES'!$B$7:$B$2506,0))),"?"))</f>
        <v/>
      </c>
      <c r="F779" s="93" t="n">
        <f aca="false">IF($C779="","",IFERROR(IF(INDEX('REGISTRE TUBES'!$F$7:$F$2506,MATCH($C779,'REGISTRE TUBES'!$B$7:$B$2506,0))="","",INDEX('REGISTRE TUBES'!$F$7:$F$2506,MATCH($C779,'REGISTRE TUBES'!$B$7:$B$2506,0))),"?"))</f>
        <v>11.94</v>
      </c>
      <c r="G779" s="94" t="n">
        <f aca="false">IF($C779="","",N(G778)+N(F779))</f>
        <v>6304.34999999994</v>
      </c>
      <c r="H779" s="95" t="s">
        <v>1778</v>
      </c>
      <c r="I779" s="96"/>
      <c r="J779" s="97"/>
    </row>
    <row r="780" customFormat="false" ht="15" hidden="false" customHeight="true" outlineLevel="0" collapsed="false">
      <c r="B780" s="106" t="s">
        <v>3031</v>
      </c>
      <c r="C780" s="106"/>
      <c r="D780" s="106"/>
      <c r="E780" s="106"/>
      <c r="F780" s="107" t="n">
        <f aca="false">SUM(F761:F779)</f>
        <v>214.92</v>
      </c>
      <c r="G780" s="108" t="n">
        <f aca="false">IF(COUNT(G761:G779)=0,"",MAX(G761:G779))</f>
        <v>6304.34999999994</v>
      </c>
      <c r="H780" s="106" t="str">
        <f aca="false">COUNTA(C761:C779)&amp;" tube(s)"</f>
        <v>19 tube(s)</v>
      </c>
      <c r="I780" s="106"/>
      <c r="J780" s="106"/>
    </row>
    <row r="782" customFormat="false" ht="15" hidden="false" customHeight="false" outlineLevel="0" collapsed="false">
      <c r="B782" s="109" t="s">
        <v>3032</v>
      </c>
      <c r="F782" s="109" t="s">
        <v>3033</v>
      </c>
      <c r="I782" s="109" t="s">
        <v>3034</v>
      </c>
    </row>
    <row r="785" customFormat="false" ht="25.5" hidden="false" customHeight="true" outlineLevel="0" collapsed="false">
      <c r="B785" s="85" t="s">
        <v>3015</v>
      </c>
      <c r="C785" s="85"/>
      <c r="D785" s="85"/>
      <c r="E785" s="85"/>
      <c r="F785" s="85"/>
      <c r="G785" s="85"/>
      <c r="H785" s="85"/>
      <c r="I785" s="85"/>
      <c r="J785" s="85"/>
    </row>
    <row r="786" customFormat="false" ht="15" hidden="false" customHeight="false" outlineLevel="0" collapsed="false">
      <c r="B786" s="86" t="str">
        <f aca="false">PARAMÈTRES!$C$4&amp;"   •   Affaire N° "&amp;PARAMÈTRES!$C$5</f>
        <v>Développement des champs gaziers TFT II — réseau de collecte TFT Sud (LIGNE-16)   •   Affaire N° 8546</v>
      </c>
      <c r="C786" s="86"/>
      <c r="D786" s="86"/>
      <c r="E786" s="86"/>
      <c r="F786" s="86"/>
      <c r="G786" s="86"/>
      <c r="H786" s="86"/>
      <c r="I786" s="86"/>
      <c r="J786" s="86"/>
    </row>
    <row r="787" customFormat="false" ht="19.5" hidden="false" customHeight="true" outlineLevel="0" collapsed="false">
      <c r="B787" s="87" t="s">
        <v>3016</v>
      </c>
      <c r="C787" s="88" t="s">
        <v>110</v>
      </c>
      <c r="D787" s="88"/>
      <c r="E787" s="87" t="s">
        <v>3017</v>
      </c>
      <c r="F787" s="88" t="s">
        <v>3089</v>
      </c>
      <c r="G787" s="87" t="s">
        <v>3019</v>
      </c>
      <c r="H787" s="88" t="s">
        <v>3090</v>
      </c>
      <c r="I787" s="87" t="s">
        <v>3021</v>
      </c>
      <c r="J787" s="89"/>
    </row>
    <row r="788" customFormat="false" ht="27.75" hidden="false" customHeight="true" outlineLevel="0" collapsed="false">
      <c r="B788" s="71" t="s">
        <v>3022</v>
      </c>
      <c r="C788" s="71" t="s">
        <v>3023</v>
      </c>
      <c r="D788" s="71" t="s">
        <v>3024</v>
      </c>
      <c r="E788" s="71" t="s">
        <v>3025</v>
      </c>
      <c r="F788" s="71" t="s">
        <v>3026</v>
      </c>
      <c r="G788" s="71" t="s">
        <v>3027</v>
      </c>
      <c r="H788" s="71" t="s">
        <v>3028</v>
      </c>
      <c r="I788" s="71" t="s">
        <v>3029</v>
      </c>
      <c r="J788" s="71" t="s">
        <v>3030</v>
      </c>
    </row>
    <row r="789" customFormat="false" ht="15" hidden="false" customHeight="false" outlineLevel="0" collapsed="false">
      <c r="B789" s="90" t="n">
        <v>533</v>
      </c>
      <c r="C789" s="91" t="n">
        <v>2061130</v>
      </c>
      <c r="D789" s="92" t="n">
        <f aca="false">IF($C789="","",IFERROR(IF(INDEX('REGISTRE TUBES'!$C$7:$C$2506,MATCH($C789,'REGISTRE TUBES'!$B$7:$B$2506,0))="","",INDEX('REGISTRE TUBES'!$C$7:$C$2506,MATCH($C789,'REGISTRE TUBES'!$B$7:$B$2506,0))),"?"))</f>
        <v>15421103</v>
      </c>
      <c r="E789" s="92" t="str">
        <f aca="false">IF($C789="","",IFERROR(IF(INDEX('REGISTRE TUBES'!$D$7:$D$2506,MATCH($C789,'REGISTRE TUBES'!$B$7:$B$2506,0))="","",INDEX('REGISTRE TUBES'!$D$7:$D$2506,MATCH($C789,'REGISTRE TUBES'!$B$7:$B$2506,0))),"?"))</f>
        <v/>
      </c>
      <c r="F789" s="93" t="n">
        <f aca="false">IF($C789="","",IFERROR(IF(INDEX('REGISTRE TUBES'!$F$7:$F$2506,MATCH($C789,'REGISTRE TUBES'!$B$7:$B$2506,0))="","",INDEX('REGISTRE TUBES'!$F$7:$F$2506,MATCH($C789,'REGISTRE TUBES'!$B$7:$B$2506,0))),"?"))</f>
        <v>11.94</v>
      </c>
      <c r="G789" s="94" t="n">
        <f aca="false">IF($C789="","",N(G779)+N(F789))</f>
        <v>6316.28999999994</v>
      </c>
      <c r="H789" s="95" t="s">
        <v>1779</v>
      </c>
      <c r="I789" s="96"/>
      <c r="J789" s="97"/>
    </row>
    <row r="790" customFormat="false" ht="15" hidden="false" customHeight="false" outlineLevel="0" collapsed="false">
      <c r="B790" s="98" t="n">
        <v>534</v>
      </c>
      <c r="C790" s="99" t="n">
        <v>2084260</v>
      </c>
      <c r="D790" s="100" t="n">
        <f aca="false">IF($C790="","",IFERROR(IF(INDEX('REGISTRE TUBES'!$C$7:$C$2506,MATCH($C790,'REGISTRE TUBES'!$B$7:$B$2506,0))="","",INDEX('REGISTRE TUBES'!$C$7:$C$2506,MATCH($C790,'REGISTRE TUBES'!$B$7:$B$2506,0))),"?"))</f>
        <v>15421111</v>
      </c>
      <c r="E790" s="100" t="str">
        <f aca="false">IF($C790="","",IFERROR(IF(INDEX('REGISTRE TUBES'!$D$7:$D$2506,MATCH($C790,'REGISTRE TUBES'!$B$7:$B$2506,0))="","",INDEX('REGISTRE TUBES'!$D$7:$D$2506,MATCH($C790,'REGISTRE TUBES'!$B$7:$B$2506,0))),"?"))</f>
        <v/>
      </c>
      <c r="F790" s="101" t="n">
        <f aca="false">IF($C790="","",IFERROR(IF(INDEX('REGISTRE TUBES'!$F$7:$F$2506,MATCH($C790,'REGISTRE TUBES'!$B$7:$B$2506,0))="","",INDEX('REGISTRE TUBES'!$F$7:$F$2506,MATCH($C790,'REGISTRE TUBES'!$B$7:$B$2506,0))),"?"))</f>
        <v>11.94</v>
      </c>
      <c r="G790" s="102" t="n">
        <f aca="false">IF($C790="","",N(G789)+N(F790))</f>
        <v>6328.22999999994</v>
      </c>
      <c r="H790" s="103" t="s">
        <v>1780</v>
      </c>
      <c r="I790" s="104"/>
      <c r="J790" s="105"/>
    </row>
    <row r="791" customFormat="false" ht="15" hidden="false" customHeight="false" outlineLevel="0" collapsed="false">
      <c r="B791" s="90" t="n">
        <v>535</v>
      </c>
      <c r="C791" s="91" t="n">
        <v>2090270</v>
      </c>
      <c r="D791" s="92" t="n">
        <f aca="false">IF($C791="","",IFERROR(IF(INDEX('REGISTRE TUBES'!$C$7:$C$2506,MATCH($C791,'REGISTRE TUBES'!$B$7:$B$2506,0))="","",INDEX('REGISTRE TUBES'!$C$7:$C$2506,MATCH($C791,'REGISTRE TUBES'!$B$7:$B$2506,0))),"?"))</f>
        <v>15421109</v>
      </c>
      <c r="E791" s="92" t="str">
        <f aca="false">IF($C791="","",IFERROR(IF(INDEX('REGISTRE TUBES'!$D$7:$D$2506,MATCH($C791,'REGISTRE TUBES'!$B$7:$B$2506,0))="","",INDEX('REGISTRE TUBES'!$D$7:$D$2506,MATCH($C791,'REGISTRE TUBES'!$B$7:$B$2506,0))),"?"))</f>
        <v/>
      </c>
      <c r="F791" s="93" t="n">
        <f aca="false">IF($C791="","",IFERROR(IF(INDEX('REGISTRE TUBES'!$F$7:$F$2506,MATCH($C791,'REGISTRE TUBES'!$B$7:$B$2506,0))="","",INDEX('REGISTRE TUBES'!$F$7:$F$2506,MATCH($C791,'REGISTRE TUBES'!$B$7:$B$2506,0))),"?"))</f>
        <v>11.94</v>
      </c>
      <c r="G791" s="94" t="n">
        <f aca="false">IF($C791="","",N(G790)+N(F791))</f>
        <v>6340.16999999994</v>
      </c>
      <c r="H791" s="95" t="s">
        <v>1781</v>
      </c>
      <c r="I791" s="96"/>
      <c r="J791" s="97"/>
    </row>
    <row r="792" customFormat="false" ht="15" hidden="false" customHeight="false" outlineLevel="0" collapsed="false">
      <c r="B792" s="98" t="n">
        <v>536</v>
      </c>
      <c r="C792" s="99" t="n">
        <v>2098490</v>
      </c>
      <c r="D792" s="100" t="n">
        <f aca="false">IF($C792="","",IFERROR(IF(INDEX('REGISTRE TUBES'!$C$7:$C$2506,MATCH($C792,'REGISTRE TUBES'!$B$7:$B$2506,0))="","",INDEX('REGISTRE TUBES'!$C$7:$C$2506,MATCH($C792,'REGISTRE TUBES'!$B$7:$B$2506,0))),"?"))</f>
        <v>15421102</v>
      </c>
      <c r="E792" s="100" t="str">
        <f aca="false">IF($C792="","",IFERROR(IF(INDEX('REGISTRE TUBES'!$D$7:$D$2506,MATCH($C792,'REGISTRE TUBES'!$B$7:$B$2506,0))="","",INDEX('REGISTRE TUBES'!$D$7:$D$2506,MATCH($C792,'REGISTRE TUBES'!$B$7:$B$2506,0))),"?"))</f>
        <v/>
      </c>
      <c r="F792" s="101" t="n">
        <f aca="false">IF($C792="","",IFERROR(IF(INDEX('REGISTRE TUBES'!$F$7:$F$2506,MATCH($C792,'REGISTRE TUBES'!$B$7:$B$2506,0))="","",INDEX('REGISTRE TUBES'!$F$7:$F$2506,MATCH($C792,'REGISTRE TUBES'!$B$7:$B$2506,0))),"?"))</f>
        <v>11.94</v>
      </c>
      <c r="G792" s="102" t="n">
        <f aca="false">IF($C792="","",N(G791)+N(F792))</f>
        <v>6352.10999999994</v>
      </c>
      <c r="H792" s="103" t="s">
        <v>1784</v>
      </c>
      <c r="I792" s="104"/>
      <c r="J792" s="105"/>
    </row>
    <row r="793" customFormat="false" ht="15" hidden="false" customHeight="false" outlineLevel="0" collapsed="false">
      <c r="B793" s="90" t="n">
        <v>537</v>
      </c>
      <c r="C793" s="91" t="n">
        <v>2094660</v>
      </c>
      <c r="D793" s="92" t="n">
        <f aca="false">IF($C793="","",IFERROR(IF(INDEX('REGISTRE TUBES'!$C$7:$C$2506,MATCH($C793,'REGISTRE TUBES'!$B$7:$B$2506,0))="","",INDEX('REGISTRE TUBES'!$C$7:$C$2506,MATCH($C793,'REGISTRE TUBES'!$B$7:$B$2506,0))),"?"))</f>
        <v>15421111</v>
      </c>
      <c r="E793" s="92" t="str">
        <f aca="false">IF($C793="","",IFERROR(IF(INDEX('REGISTRE TUBES'!$D$7:$D$2506,MATCH($C793,'REGISTRE TUBES'!$B$7:$B$2506,0))="","",INDEX('REGISTRE TUBES'!$D$7:$D$2506,MATCH($C793,'REGISTRE TUBES'!$B$7:$B$2506,0))),"?"))</f>
        <v/>
      </c>
      <c r="F793" s="93" t="n">
        <f aca="false">IF($C793="","",IFERROR(IF(INDEX('REGISTRE TUBES'!$F$7:$F$2506,MATCH($C793,'REGISTRE TUBES'!$B$7:$B$2506,0))="","",INDEX('REGISTRE TUBES'!$F$7:$F$2506,MATCH($C793,'REGISTRE TUBES'!$B$7:$B$2506,0))),"?"))</f>
        <v>11.94</v>
      </c>
      <c r="G793" s="94" t="n">
        <f aca="false">IF($C793="","",N(G792)+N(F793))</f>
        <v>6364.04999999994</v>
      </c>
      <c r="H793" s="95" t="s">
        <v>1785</v>
      </c>
      <c r="I793" s="96"/>
      <c r="J793" s="97"/>
    </row>
    <row r="794" customFormat="false" ht="15" hidden="false" customHeight="false" outlineLevel="0" collapsed="false">
      <c r="B794" s="98" t="n">
        <v>538</v>
      </c>
      <c r="C794" s="99" t="n">
        <v>2096430</v>
      </c>
      <c r="D794" s="100" t="n">
        <f aca="false">IF($C794="","",IFERROR(IF(INDEX('REGISTRE TUBES'!$C$7:$C$2506,MATCH($C794,'REGISTRE TUBES'!$B$7:$B$2506,0))="","",INDEX('REGISTRE TUBES'!$C$7:$C$2506,MATCH($C794,'REGISTRE TUBES'!$B$7:$B$2506,0))),"?"))</f>
        <v>15421111</v>
      </c>
      <c r="E794" s="100" t="str">
        <f aca="false">IF($C794="","",IFERROR(IF(INDEX('REGISTRE TUBES'!$D$7:$D$2506,MATCH($C794,'REGISTRE TUBES'!$B$7:$B$2506,0))="","",INDEX('REGISTRE TUBES'!$D$7:$D$2506,MATCH($C794,'REGISTRE TUBES'!$B$7:$B$2506,0))),"?"))</f>
        <v/>
      </c>
      <c r="F794" s="101" t="n">
        <f aca="false">IF($C794="","",IFERROR(IF(INDEX('REGISTRE TUBES'!$F$7:$F$2506,MATCH($C794,'REGISTRE TUBES'!$B$7:$B$2506,0))="","",INDEX('REGISTRE TUBES'!$F$7:$F$2506,MATCH($C794,'REGISTRE TUBES'!$B$7:$B$2506,0))),"?"))</f>
        <v>11.94</v>
      </c>
      <c r="G794" s="102" t="n">
        <f aca="false">IF($C794="","",N(G793)+N(F794))</f>
        <v>6375.98999999994</v>
      </c>
      <c r="H794" s="103" t="s">
        <v>1787</v>
      </c>
      <c r="I794" s="104"/>
      <c r="J794" s="105"/>
    </row>
    <row r="795" customFormat="false" ht="15" hidden="false" customHeight="false" outlineLevel="0" collapsed="false">
      <c r="B795" s="90" t="n">
        <v>539</v>
      </c>
      <c r="C795" s="91" t="n">
        <v>2079750</v>
      </c>
      <c r="D795" s="92" t="n">
        <f aca="false">IF($C795="","",IFERROR(IF(INDEX('REGISTRE TUBES'!$C$7:$C$2506,MATCH($C795,'REGISTRE TUBES'!$B$7:$B$2506,0))="","",INDEX('REGISTRE TUBES'!$C$7:$C$2506,MATCH($C795,'REGISTRE TUBES'!$B$7:$B$2506,0))),"?"))</f>
        <v>15421102</v>
      </c>
      <c r="E795" s="92" t="str">
        <f aca="false">IF($C795="","",IFERROR(IF(INDEX('REGISTRE TUBES'!$D$7:$D$2506,MATCH($C795,'REGISTRE TUBES'!$B$7:$B$2506,0))="","",INDEX('REGISTRE TUBES'!$D$7:$D$2506,MATCH($C795,'REGISTRE TUBES'!$B$7:$B$2506,0))),"?"))</f>
        <v/>
      </c>
      <c r="F795" s="93" t="n">
        <f aca="false">IF($C795="","",IFERROR(IF(INDEX('REGISTRE TUBES'!$F$7:$F$2506,MATCH($C795,'REGISTRE TUBES'!$B$7:$B$2506,0))="","",INDEX('REGISTRE TUBES'!$F$7:$F$2506,MATCH($C795,'REGISTRE TUBES'!$B$7:$B$2506,0))),"?"))</f>
        <v>11.94</v>
      </c>
      <c r="G795" s="94" t="n">
        <f aca="false">IF($C795="","",N(G794)+N(F795))</f>
        <v>6387.92999999994</v>
      </c>
      <c r="H795" s="95" t="s">
        <v>1788</v>
      </c>
      <c r="I795" s="96"/>
      <c r="J795" s="97"/>
    </row>
    <row r="796" customFormat="false" ht="15" hidden="false" customHeight="false" outlineLevel="0" collapsed="false">
      <c r="B796" s="98" t="n">
        <v>540</v>
      </c>
      <c r="C796" s="99" t="n">
        <v>2090450</v>
      </c>
      <c r="D796" s="100" t="n">
        <f aca="false">IF($C796="","",IFERROR(IF(INDEX('REGISTRE TUBES'!$C$7:$C$2506,MATCH($C796,'REGISTRE TUBES'!$B$7:$B$2506,0))="","",INDEX('REGISTRE TUBES'!$C$7:$C$2506,MATCH($C796,'REGISTRE TUBES'!$B$7:$B$2506,0))),"?"))</f>
        <v>15421109</v>
      </c>
      <c r="E796" s="100" t="str">
        <f aca="false">IF($C796="","",IFERROR(IF(INDEX('REGISTRE TUBES'!$D$7:$D$2506,MATCH($C796,'REGISTRE TUBES'!$B$7:$B$2506,0))="","",INDEX('REGISTRE TUBES'!$D$7:$D$2506,MATCH($C796,'REGISTRE TUBES'!$B$7:$B$2506,0))),"?"))</f>
        <v/>
      </c>
      <c r="F796" s="101" t="n">
        <f aca="false">IF($C796="","",IFERROR(IF(INDEX('REGISTRE TUBES'!$F$7:$F$2506,MATCH($C796,'REGISTRE TUBES'!$B$7:$B$2506,0))="","",INDEX('REGISTRE TUBES'!$F$7:$F$2506,MATCH($C796,'REGISTRE TUBES'!$B$7:$B$2506,0))),"?"))</f>
        <v>11.94</v>
      </c>
      <c r="G796" s="102" t="n">
        <f aca="false">IF($C796="","",N(G795)+N(F796))</f>
        <v>6399.86999999994</v>
      </c>
      <c r="H796" s="103" t="s">
        <v>1794</v>
      </c>
      <c r="I796" s="104"/>
      <c r="J796" s="105"/>
    </row>
    <row r="797" customFormat="false" ht="15" hidden="false" customHeight="false" outlineLevel="0" collapsed="false">
      <c r="B797" s="90" t="n">
        <v>541</v>
      </c>
      <c r="C797" s="91" t="n">
        <v>2086770</v>
      </c>
      <c r="D797" s="92" t="n">
        <f aca="false">IF($C797="","",IFERROR(IF(INDEX('REGISTRE TUBES'!$C$7:$C$2506,MATCH($C797,'REGISTRE TUBES'!$B$7:$B$2506,0))="","",INDEX('REGISTRE TUBES'!$C$7:$C$2506,MATCH($C797,'REGISTRE TUBES'!$B$7:$B$2506,0))),"?"))</f>
        <v>15421107</v>
      </c>
      <c r="E797" s="92" t="str">
        <f aca="false">IF($C797="","",IFERROR(IF(INDEX('REGISTRE TUBES'!$D$7:$D$2506,MATCH($C797,'REGISTRE TUBES'!$B$7:$B$2506,0))="","",INDEX('REGISTRE TUBES'!$D$7:$D$2506,MATCH($C797,'REGISTRE TUBES'!$B$7:$B$2506,0))),"?"))</f>
        <v/>
      </c>
      <c r="F797" s="93" t="n">
        <f aca="false">IF($C797="","",IFERROR(IF(INDEX('REGISTRE TUBES'!$F$7:$F$2506,MATCH($C797,'REGISTRE TUBES'!$B$7:$B$2506,0))="","",INDEX('REGISTRE TUBES'!$F$7:$F$2506,MATCH($C797,'REGISTRE TUBES'!$B$7:$B$2506,0))),"?"))</f>
        <v>11.94</v>
      </c>
      <c r="G797" s="94" t="n">
        <f aca="false">IF($C797="","",N(G796)+N(F797))</f>
        <v>6411.80999999994</v>
      </c>
      <c r="H797" s="95" t="s">
        <v>1797</v>
      </c>
      <c r="I797" s="96"/>
      <c r="J797" s="97"/>
    </row>
    <row r="798" customFormat="false" ht="15" hidden="false" customHeight="false" outlineLevel="0" collapsed="false">
      <c r="B798" s="98" t="n">
        <v>542</v>
      </c>
      <c r="C798" s="99" t="n">
        <v>2087920</v>
      </c>
      <c r="D798" s="100" t="n">
        <f aca="false">IF($C798="","",IFERROR(IF(INDEX('REGISTRE TUBES'!$C$7:$C$2506,MATCH($C798,'REGISTRE TUBES'!$B$7:$B$2506,0))="","",INDEX('REGISTRE TUBES'!$C$7:$C$2506,MATCH($C798,'REGISTRE TUBES'!$B$7:$B$2506,0))),"?"))</f>
        <v>15421108</v>
      </c>
      <c r="E798" s="100" t="str">
        <f aca="false">IF($C798="","",IFERROR(IF(INDEX('REGISTRE TUBES'!$D$7:$D$2506,MATCH($C798,'REGISTRE TUBES'!$B$7:$B$2506,0))="","",INDEX('REGISTRE TUBES'!$D$7:$D$2506,MATCH($C798,'REGISTRE TUBES'!$B$7:$B$2506,0))),"?"))</f>
        <v/>
      </c>
      <c r="F798" s="101" t="n">
        <f aca="false">IF($C798="","",IFERROR(IF(INDEX('REGISTRE TUBES'!$F$7:$F$2506,MATCH($C798,'REGISTRE TUBES'!$B$7:$B$2506,0))="","",INDEX('REGISTRE TUBES'!$F$7:$F$2506,MATCH($C798,'REGISTRE TUBES'!$B$7:$B$2506,0))),"?"))</f>
        <v>11.94</v>
      </c>
      <c r="G798" s="102" t="n">
        <f aca="false">IF($C798="","",N(G797)+N(F798))</f>
        <v>6423.74999999994</v>
      </c>
      <c r="H798" s="103" t="s">
        <v>1798</v>
      </c>
      <c r="I798" s="104"/>
      <c r="J798" s="105"/>
    </row>
    <row r="799" customFormat="false" ht="15" hidden="false" customHeight="false" outlineLevel="0" collapsed="false">
      <c r="B799" s="90" t="n">
        <v>543</v>
      </c>
      <c r="C799" s="91" t="n">
        <v>2098510</v>
      </c>
      <c r="D799" s="92" t="n">
        <f aca="false">IF($C799="","",IFERROR(IF(INDEX('REGISTRE TUBES'!$C$7:$C$2506,MATCH($C799,'REGISTRE TUBES'!$B$7:$B$2506,0))="","",INDEX('REGISTRE TUBES'!$C$7:$C$2506,MATCH($C799,'REGISTRE TUBES'!$B$7:$B$2506,0))),"?"))</f>
        <v>15421112</v>
      </c>
      <c r="E799" s="92" t="str">
        <f aca="false">IF($C799="","",IFERROR(IF(INDEX('REGISTRE TUBES'!$D$7:$D$2506,MATCH($C799,'REGISTRE TUBES'!$B$7:$B$2506,0))="","",INDEX('REGISTRE TUBES'!$D$7:$D$2506,MATCH($C799,'REGISTRE TUBES'!$B$7:$B$2506,0))),"?"))</f>
        <v/>
      </c>
      <c r="F799" s="93" t="n">
        <f aca="false">IF($C799="","",IFERROR(IF(INDEX('REGISTRE TUBES'!$F$7:$F$2506,MATCH($C799,'REGISTRE TUBES'!$B$7:$B$2506,0))="","",INDEX('REGISTRE TUBES'!$F$7:$F$2506,MATCH($C799,'REGISTRE TUBES'!$B$7:$B$2506,0))),"?"))</f>
        <v>11.94</v>
      </c>
      <c r="G799" s="94" t="n">
        <f aca="false">IF($C799="","",N(G798)+N(F799))</f>
        <v>6435.68999999994</v>
      </c>
      <c r="H799" s="95" t="s">
        <v>1799</v>
      </c>
      <c r="I799" s="96"/>
      <c r="J799" s="97"/>
    </row>
    <row r="800" customFormat="false" ht="15" hidden="false" customHeight="false" outlineLevel="0" collapsed="false">
      <c r="B800" s="98" t="n">
        <v>544</v>
      </c>
      <c r="C800" s="99" t="n">
        <v>2090050</v>
      </c>
      <c r="D800" s="100" t="n">
        <f aca="false">IF($C800="","",IFERROR(IF(INDEX('REGISTRE TUBES'!$C$7:$C$2506,MATCH($C800,'REGISTRE TUBES'!$B$7:$B$2506,0))="","",INDEX('REGISTRE TUBES'!$C$7:$C$2506,MATCH($C800,'REGISTRE TUBES'!$B$7:$B$2506,0))),"?"))</f>
        <v>15421109</v>
      </c>
      <c r="E800" s="100" t="str">
        <f aca="false">IF($C800="","",IFERROR(IF(INDEX('REGISTRE TUBES'!$D$7:$D$2506,MATCH($C800,'REGISTRE TUBES'!$B$7:$B$2506,0))="","",INDEX('REGISTRE TUBES'!$D$7:$D$2506,MATCH($C800,'REGISTRE TUBES'!$B$7:$B$2506,0))),"?"))</f>
        <v/>
      </c>
      <c r="F800" s="101" t="n">
        <f aca="false">IF($C800="","",IFERROR(IF(INDEX('REGISTRE TUBES'!$F$7:$F$2506,MATCH($C800,'REGISTRE TUBES'!$B$7:$B$2506,0))="","",INDEX('REGISTRE TUBES'!$F$7:$F$2506,MATCH($C800,'REGISTRE TUBES'!$B$7:$B$2506,0))),"?"))</f>
        <v>11.94</v>
      </c>
      <c r="G800" s="102" t="n">
        <f aca="false">IF($C800="","",N(G799)+N(F800))</f>
        <v>6447.62999999994</v>
      </c>
      <c r="H800" s="103" t="s">
        <v>1800</v>
      </c>
      <c r="I800" s="104"/>
      <c r="J800" s="105"/>
    </row>
    <row r="801" customFormat="false" ht="15" hidden="false" customHeight="false" outlineLevel="0" collapsed="false">
      <c r="B801" s="90" t="n">
        <v>545</v>
      </c>
      <c r="C801" s="91" t="n">
        <v>2081330</v>
      </c>
      <c r="D801" s="92" t="n">
        <f aca="false">IF($C801="","",IFERROR(IF(INDEX('REGISTRE TUBES'!$C$7:$C$2506,MATCH($C801,'REGISTRE TUBES'!$B$7:$B$2506,0))="","",INDEX('REGISTRE TUBES'!$C$7:$C$2506,MATCH($C801,'REGISTRE TUBES'!$B$7:$B$2506,0))),"?"))</f>
        <v>15421103</v>
      </c>
      <c r="E801" s="92" t="str">
        <f aca="false">IF($C801="","",IFERROR(IF(INDEX('REGISTRE TUBES'!$D$7:$D$2506,MATCH($C801,'REGISTRE TUBES'!$B$7:$B$2506,0))="","",INDEX('REGISTRE TUBES'!$D$7:$D$2506,MATCH($C801,'REGISTRE TUBES'!$B$7:$B$2506,0))),"?"))</f>
        <v/>
      </c>
      <c r="F801" s="93" t="n">
        <f aca="false">IF($C801="","",IFERROR(IF(INDEX('REGISTRE TUBES'!$F$7:$F$2506,MATCH($C801,'REGISTRE TUBES'!$B$7:$B$2506,0))="","",INDEX('REGISTRE TUBES'!$F$7:$F$2506,MATCH($C801,'REGISTRE TUBES'!$B$7:$B$2506,0))),"?"))</f>
        <v>11.94</v>
      </c>
      <c r="G801" s="94" t="n">
        <f aca="false">IF($C801="","",N(G800)+N(F801))</f>
        <v>6459.56999999994</v>
      </c>
      <c r="H801" s="95" t="s">
        <v>1801</v>
      </c>
      <c r="I801" s="96"/>
      <c r="J801" s="97"/>
    </row>
    <row r="802" customFormat="false" ht="15" hidden="false" customHeight="false" outlineLevel="0" collapsed="false">
      <c r="B802" s="98" t="n">
        <v>546</v>
      </c>
      <c r="C802" s="99" t="n">
        <v>2094920</v>
      </c>
      <c r="D802" s="100" t="n">
        <f aca="false">IF($C802="","",IFERROR(IF(INDEX('REGISTRE TUBES'!$C$7:$C$2506,MATCH($C802,'REGISTRE TUBES'!$B$7:$B$2506,0))="","",INDEX('REGISTRE TUBES'!$C$7:$C$2506,MATCH($C802,'REGISTRE TUBES'!$B$7:$B$2506,0))),"?"))</f>
        <v>15421111</v>
      </c>
      <c r="E802" s="100" t="str">
        <f aca="false">IF($C802="","",IFERROR(IF(INDEX('REGISTRE TUBES'!$D$7:$D$2506,MATCH($C802,'REGISTRE TUBES'!$B$7:$B$2506,0))="","",INDEX('REGISTRE TUBES'!$D$7:$D$2506,MATCH($C802,'REGISTRE TUBES'!$B$7:$B$2506,0))),"?"))</f>
        <v/>
      </c>
      <c r="F802" s="101" t="n">
        <f aca="false">IF($C802="","",IFERROR(IF(INDEX('REGISTRE TUBES'!$F$7:$F$2506,MATCH($C802,'REGISTRE TUBES'!$B$7:$B$2506,0))="","",INDEX('REGISTRE TUBES'!$F$7:$F$2506,MATCH($C802,'REGISTRE TUBES'!$B$7:$B$2506,0))),"?"))</f>
        <v>11.94</v>
      </c>
      <c r="G802" s="102" t="n">
        <f aca="false">IF($C802="","",N(G801)+N(F802))</f>
        <v>6471.50999999994</v>
      </c>
      <c r="H802" s="103" t="s">
        <v>1802</v>
      </c>
      <c r="I802" s="104"/>
      <c r="J802" s="105"/>
    </row>
    <row r="803" customFormat="false" ht="15" hidden="false" customHeight="false" outlineLevel="0" collapsed="false">
      <c r="B803" s="90" t="n">
        <v>547</v>
      </c>
      <c r="C803" s="91" t="n">
        <v>2086380</v>
      </c>
      <c r="D803" s="92" t="n">
        <f aca="false">IF($C803="","",IFERROR(IF(INDEX('REGISTRE TUBES'!$C$7:$C$2506,MATCH($C803,'REGISTRE TUBES'!$B$7:$B$2506,0))="","",INDEX('REGISTRE TUBES'!$C$7:$C$2506,MATCH($C803,'REGISTRE TUBES'!$B$7:$B$2506,0))),"?"))</f>
        <v>15421107</v>
      </c>
      <c r="E803" s="92" t="str">
        <f aca="false">IF($C803="","",IFERROR(IF(INDEX('REGISTRE TUBES'!$D$7:$D$2506,MATCH($C803,'REGISTRE TUBES'!$B$7:$B$2506,0))="","",INDEX('REGISTRE TUBES'!$D$7:$D$2506,MATCH($C803,'REGISTRE TUBES'!$B$7:$B$2506,0))),"?"))</f>
        <v/>
      </c>
      <c r="F803" s="93" t="n">
        <f aca="false">IF($C803="","",IFERROR(IF(INDEX('REGISTRE TUBES'!$F$7:$F$2506,MATCH($C803,'REGISTRE TUBES'!$B$7:$B$2506,0))="","",INDEX('REGISTRE TUBES'!$F$7:$F$2506,MATCH($C803,'REGISTRE TUBES'!$B$7:$B$2506,0))),"?"))</f>
        <v>11.94</v>
      </c>
      <c r="G803" s="94" t="n">
        <f aca="false">IF($C803="","",N(G802)+N(F803))</f>
        <v>6483.44999999994</v>
      </c>
      <c r="H803" s="95" t="s">
        <v>1803</v>
      </c>
      <c r="I803" s="96"/>
      <c r="J803" s="97"/>
    </row>
    <row r="804" customFormat="false" ht="15" hidden="false" customHeight="false" outlineLevel="0" collapsed="false">
      <c r="B804" s="98" t="n">
        <v>548</v>
      </c>
      <c r="C804" s="99" t="n">
        <v>2081040</v>
      </c>
      <c r="D804" s="100" t="n">
        <f aca="false">IF($C804="","",IFERROR(IF(INDEX('REGISTRE TUBES'!$C$7:$C$2506,MATCH($C804,'REGISTRE TUBES'!$B$7:$B$2506,0))="","",INDEX('REGISTRE TUBES'!$C$7:$C$2506,MATCH($C804,'REGISTRE TUBES'!$B$7:$B$2506,0))),"?"))</f>
        <v>15421103</v>
      </c>
      <c r="E804" s="100" t="str">
        <f aca="false">IF($C804="","",IFERROR(IF(INDEX('REGISTRE TUBES'!$D$7:$D$2506,MATCH($C804,'REGISTRE TUBES'!$B$7:$B$2506,0))="","",INDEX('REGISTRE TUBES'!$D$7:$D$2506,MATCH($C804,'REGISTRE TUBES'!$B$7:$B$2506,0))),"?"))</f>
        <v/>
      </c>
      <c r="F804" s="101" t="n">
        <f aca="false">IF($C804="","",IFERROR(IF(INDEX('REGISTRE TUBES'!$F$7:$F$2506,MATCH($C804,'REGISTRE TUBES'!$B$7:$B$2506,0))="","",INDEX('REGISTRE TUBES'!$F$7:$F$2506,MATCH($C804,'REGISTRE TUBES'!$B$7:$B$2506,0))),"?"))</f>
        <v>11.94</v>
      </c>
      <c r="G804" s="102" t="n">
        <f aca="false">IF($C804="","",N(G803)+N(F804))</f>
        <v>6495.38999999994</v>
      </c>
      <c r="H804" s="103" t="s">
        <v>1805</v>
      </c>
      <c r="I804" s="104"/>
      <c r="J804" s="105"/>
    </row>
    <row r="805" customFormat="false" ht="15" hidden="false" customHeight="false" outlineLevel="0" collapsed="false">
      <c r="B805" s="90" t="n">
        <v>549</v>
      </c>
      <c r="C805" s="91" t="n">
        <v>2097440</v>
      </c>
      <c r="D805" s="92" t="n">
        <f aca="false">IF($C805="","",IFERROR(IF(INDEX('REGISTRE TUBES'!$C$7:$C$2506,MATCH($C805,'REGISTRE TUBES'!$B$7:$B$2506,0))="","",INDEX('REGISTRE TUBES'!$C$7:$C$2506,MATCH($C805,'REGISTRE TUBES'!$B$7:$B$2506,0))),"?"))</f>
        <v>15421112</v>
      </c>
      <c r="E805" s="92" t="str">
        <f aca="false">IF($C805="","",IFERROR(IF(INDEX('REGISTRE TUBES'!$D$7:$D$2506,MATCH($C805,'REGISTRE TUBES'!$B$7:$B$2506,0))="","",INDEX('REGISTRE TUBES'!$D$7:$D$2506,MATCH($C805,'REGISTRE TUBES'!$B$7:$B$2506,0))),"?"))</f>
        <v/>
      </c>
      <c r="F805" s="93" t="n">
        <f aca="false">IF($C805="","",IFERROR(IF(INDEX('REGISTRE TUBES'!$F$7:$F$2506,MATCH($C805,'REGISTRE TUBES'!$B$7:$B$2506,0))="","",INDEX('REGISTRE TUBES'!$F$7:$F$2506,MATCH($C805,'REGISTRE TUBES'!$B$7:$B$2506,0))),"?"))</f>
        <v>11.94</v>
      </c>
      <c r="G805" s="94" t="n">
        <f aca="false">IF($C805="","",N(G804)+N(F805))</f>
        <v>6507.32999999994</v>
      </c>
      <c r="H805" s="95" t="s">
        <v>1807</v>
      </c>
      <c r="I805" s="96"/>
      <c r="J805" s="97"/>
    </row>
    <row r="806" customFormat="false" ht="15" hidden="false" customHeight="false" outlineLevel="0" collapsed="false">
      <c r="B806" s="98" t="n">
        <v>550</v>
      </c>
      <c r="C806" s="99" t="n">
        <v>2097410</v>
      </c>
      <c r="D806" s="100" t="n">
        <f aca="false">IF($C806="","",IFERROR(IF(INDEX('REGISTRE TUBES'!$C$7:$C$2506,MATCH($C806,'REGISTRE TUBES'!$B$7:$B$2506,0))="","",INDEX('REGISTRE TUBES'!$C$7:$C$2506,MATCH($C806,'REGISTRE TUBES'!$B$7:$B$2506,0))),"?"))</f>
        <v>15421112</v>
      </c>
      <c r="E806" s="100" t="str">
        <f aca="false">IF($C806="","",IFERROR(IF(INDEX('REGISTRE TUBES'!$D$7:$D$2506,MATCH($C806,'REGISTRE TUBES'!$B$7:$B$2506,0))="","",INDEX('REGISTRE TUBES'!$D$7:$D$2506,MATCH($C806,'REGISTRE TUBES'!$B$7:$B$2506,0))),"?"))</f>
        <v/>
      </c>
      <c r="F806" s="101" t="n">
        <f aca="false">IF($C806="","",IFERROR(IF(INDEX('REGISTRE TUBES'!$F$7:$F$2506,MATCH($C806,'REGISTRE TUBES'!$B$7:$B$2506,0))="","",INDEX('REGISTRE TUBES'!$F$7:$F$2506,MATCH($C806,'REGISTRE TUBES'!$B$7:$B$2506,0))),"?"))</f>
        <v>11.94</v>
      </c>
      <c r="G806" s="102" t="n">
        <f aca="false">IF($C806="","",N(G805)+N(F806))</f>
        <v>6519.26999999994</v>
      </c>
      <c r="H806" s="103" t="s">
        <v>1808</v>
      </c>
      <c r="I806" s="104"/>
      <c r="J806" s="105"/>
    </row>
    <row r="807" customFormat="false" ht="15" hidden="false" customHeight="false" outlineLevel="0" collapsed="false">
      <c r="B807" s="90" t="n">
        <v>551</v>
      </c>
      <c r="C807" s="91" t="n">
        <v>2082120</v>
      </c>
      <c r="D807" s="92" t="n">
        <f aca="false">IF($C807="","",IFERROR(IF(INDEX('REGISTRE TUBES'!$C$7:$C$2506,MATCH($C807,'REGISTRE TUBES'!$B$7:$B$2506,0))="","",INDEX('REGISTRE TUBES'!$C$7:$C$2506,MATCH($C807,'REGISTRE TUBES'!$B$7:$B$2506,0))),"?"))</f>
        <v>15421104</v>
      </c>
      <c r="E807" s="92" t="str">
        <f aca="false">IF($C807="","",IFERROR(IF(INDEX('REGISTRE TUBES'!$D$7:$D$2506,MATCH($C807,'REGISTRE TUBES'!$B$7:$B$2506,0))="","",INDEX('REGISTRE TUBES'!$D$7:$D$2506,MATCH($C807,'REGISTRE TUBES'!$B$7:$B$2506,0))),"?"))</f>
        <v/>
      </c>
      <c r="F807" s="93" t="n">
        <f aca="false">IF($C807="","",IFERROR(IF(INDEX('REGISTRE TUBES'!$F$7:$F$2506,MATCH($C807,'REGISTRE TUBES'!$B$7:$B$2506,0))="","",INDEX('REGISTRE TUBES'!$F$7:$F$2506,MATCH($C807,'REGISTRE TUBES'!$B$7:$B$2506,0))),"?"))</f>
        <v>11.94</v>
      </c>
      <c r="G807" s="94" t="n">
        <f aca="false">IF($C807="","",N(G806)+N(F807))</f>
        <v>6531.20999999994</v>
      </c>
      <c r="H807" s="95" t="s">
        <v>1809</v>
      </c>
      <c r="I807" s="96"/>
      <c r="J807" s="97"/>
    </row>
    <row r="808" customFormat="false" ht="15" hidden="false" customHeight="true" outlineLevel="0" collapsed="false">
      <c r="B808" s="106" t="s">
        <v>3031</v>
      </c>
      <c r="C808" s="106"/>
      <c r="D808" s="106"/>
      <c r="E808" s="106"/>
      <c r="F808" s="107" t="n">
        <f aca="false">SUM(F789:F807)</f>
        <v>226.86</v>
      </c>
      <c r="G808" s="108" t="n">
        <f aca="false">IF(COUNT(G789:G807)=0,"",MAX(G789:G807))</f>
        <v>6531.20999999994</v>
      </c>
      <c r="H808" s="106" t="str">
        <f aca="false">COUNTA(C789:C807)&amp;" tube(s)"</f>
        <v>19 tube(s)</v>
      </c>
      <c r="I808" s="106"/>
      <c r="J808" s="106"/>
    </row>
    <row r="810" customFormat="false" ht="15" hidden="false" customHeight="false" outlineLevel="0" collapsed="false">
      <c r="B810" s="109" t="s">
        <v>3032</v>
      </c>
      <c r="F810" s="109" t="s">
        <v>3033</v>
      </c>
      <c r="I810" s="109" t="s">
        <v>3034</v>
      </c>
    </row>
    <row r="813" customFormat="false" ht="25.5" hidden="false" customHeight="true" outlineLevel="0" collapsed="false">
      <c r="B813" s="85" t="s">
        <v>3015</v>
      </c>
      <c r="C813" s="85"/>
      <c r="D813" s="85"/>
      <c r="E813" s="85"/>
      <c r="F813" s="85"/>
      <c r="G813" s="85"/>
      <c r="H813" s="85"/>
      <c r="I813" s="85"/>
      <c r="J813" s="85"/>
    </row>
    <row r="814" customFormat="false" ht="15" hidden="false" customHeight="false" outlineLevel="0" collapsed="false">
      <c r="B814" s="86" t="str">
        <f aca="false">PARAMÈTRES!$C$4&amp;"   •   Affaire N° "&amp;PARAMÈTRES!$C$5</f>
        <v>Développement des champs gaziers TFT II — réseau de collecte TFT Sud (LIGNE-16)   •   Affaire N° 8546</v>
      </c>
      <c r="C814" s="86"/>
      <c r="D814" s="86"/>
      <c r="E814" s="86"/>
      <c r="F814" s="86"/>
      <c r="G814" s="86"/>
      <c r="H814" s="86"/>
      <c r="I814" s="86"/>
      <c r="J814" s="86"/>
    </row>
    <row r="815" customFormat="false" ht="19.5" hidden="false" customHeight="true" outlineLevel="0" collapsed="false">
      <c r="B815" s="87" t="s">
        <v>3016</v>
      </c>
      <c r="C815" s="88" t="s">
        <v>110</v>
      </c>
      <c r="D815" s="88"/>
      <c r="E815" s="87" t="s">
        <v>3017</v>
      </c>
      <c r="F815" s="88" t="s">
        <v>3091</v>
      </c>
      <c r="G815" s="87" t="s">
        <v>3019</v>
      </c>
      <c r="H815" s="88" t="s">
        <v>3092</v>
      </c>
      <c r="I815" s="87" t="s">
        <v>3021</v>
      </c>
      <c r="J815" s="89"/>
    </row>
    <row r="816" customFormat="false" ht="27.75" hidden="false" customHeight="true" outlineLevel="0" collapsed="false">
      <c r="B816" s="71" t="s">
        <v>3022</v>
      </c>
      <c r="C816" s="71" t="s">
        <v>3023</v>
      </c>
      <c r="D816" s="71" t="s">
        <v>3024</v>
      </c>
      <c r="E816" s="71" t="s">
        <v>3025</v>
      </c>
      <c r="F816" s="71" t="s">
        <v>3026</v>
      </c>
      <c r="G816" s="71" t="s">
        <v>3027</v>
      </c>
      <c r="H816" s="71" t="s">
        <v>3028</v>
      </c>
      <c r="I816" s="71" t="s">
        <v>3029</v>
      </c>
      <c r="J816" s="71" t="s">
        <v>3030</v>
      </c>
    </row>
    <row r="817" customFormat="false" ht="15" hidden="false" customHeight="false" outlineLevel="0" collapsed="false">
      <c r="B817" s="90" t="n">
        <v>552</v>
      </c>
      <c r="C817" s="91" t="n">
        <v>2080370</v>
      </c>
      <c r="D817" s="92" t="n">
        <f aca="false">IF($C817="","",IFERROR(IF(INDEX('REGISTRE TUBES'!$C$7:$C$2506,MATCH($C817,'REGISTRE TUBES'!$B$7:$B$2506,0))="","",INDEX('REGISTRE TUBES'!$C$7:$C$2506,MATCH($C817,'REGISTRE TUBES'!$B$7:$B$2506,0))),"?"))</f>
        <v>15421102</v>
      </c>
      <c r="E817" s="92" t="str">
        <f aca="false">IF($C817="","",IFERROR(IF(INDEX('REGISTRE TUBES'!$D$7:$D$2506,MATCH($C817,'REGISTRE TUBES'!$B$7:$B$2506,0))="","",INDEX('REGISTRE TUBES'!$D$7:$D$2506,MATCH($C817,'REGISTRE TUBES'!$B$7:$B$2506,0))),"?"))</f>
        <v/>
      </c>
      <c r="F817" s="93" t="n">
        <f aca="false">IF($C817="","",IFERROR(IF(INDEX('REGISTRE TUBES'!$F$7:$F$2506,MATCH($C817,'REGISTRE TUBES'!$B$7:$B$2506,0))="","",INDEX('REGISTRE TUBES'!$F$7:$F$2506,MATCH($C817,'REGISTRE TUBES'!$B$7:$B$2506,0))),"?"))</f>
        <v>11.94</v>
      </c>
      <c r="G817" s="94" t="n">
        <f aca="false">IF($C817="","",N(G807)+N(F817))</f>
        <v>6543.14999999993</v>
      </c>
      <c r="H817" s="95" t="s">
        <v>1810</v>
      </c>
      <c r="I817" s="96"/>
      <c r="J817" s="97"/>
    </row>
    <row r="818" customFormat="false" ht="15" hidden="false" customHeight="false" outlineLevel="0" collapsed="false">
      <c r="B818" s="98" t="n">
        <v>553</v>
      </c>
      <c r="C818" s="99" t="n">
        <v>2081260</v>
      </c>
      <c r="D818" s="100" t="n">
        <f aca="false">IF($C818="","",IFERROR(IF(INDEX('REGISTRE TUBES'!$C$7:$C$2506,MATCH($C818,'REGISTRE TUBES'!$B$7:$B$2506,0))="","",INDEX('REGISTRE TUBES'!$C$7:$C$2506,MATCH($C818,'REGISTRE TUBES'!$B$7:$B$2506,0))),"?"))</f>
        <v>15421103</v>
      </c>
      <c r="E818" s="100" t="str">
        <f aca="false">IF($C818="","",IFERROR(IF(INDEX('REGISTRE TUBES'!$D$7:$D$2506,MATCH($C818,'REGISTRE TUBES'!$B$7:$B$2506,0))="","",INDEX('REGISTRE TUBES'!$D$7:$D$2506,MATCH($C818,'REGISTRE TUBES'!$B$7:$B$2506,0))),"?"))</f>
        <v/>
      </c>
      <c r="F818" s="101" t="n">
        <f aca="false">IF($C818="","",IFERROR(IF(INDEX('REGISTRE TUBES'!$F$7:$F$2506,MATCH($C818,'REGISTRE TUBES'!$B$7:$B$2506,0))="","",INDEX('REGISTRE TUBES'!$F$7:$F$2506,MATCH($C818,'REGISTRE TUBES'!$B$7:$B$2506,0))),"?"))</f>
        <v>11.94</v>
      </c>
      <c r="G818" s="102" t="n">
        <f aca="false">IF($C818="","",N(G817)+N(F818))</f>
        <v>6555.08999999993</v>
      </c>
      <c r="H818" s="103" t="s">
        <v>1811</v>
      </c>
      <c r="I818" s="104"/>
      <c r="J818" s="105"/>
    </row>
    <row r="819" customFormat="false" ht="15" hidden="false" customHeight="false" outlineLevel="0" collapsed="false">
      <c r="B819" s="90" t="n">
        <v>554</v>
      </c>
      <c r="C819" s="91" t="n">
        <v>2083030</v>
      </c>
      <c r="D819" s="92" t="n">
        <f aca="false">IF($C819="","",IFERROR(IF(INDEX('REGISTRE TUBES'!$C$7:$C$2506,MATCH($C819,'REGISTRE TUBES'!$B$7:$B$2506,0))="","",INDEX('REGISTRE TUBES'!$C$7:$C$2506,MATCH($C819,'REGISTRE TUBES'!$B$7:$B$2506,0))),"?"))</f>
        <v>15421105</v>
      </c>
      <c r="E819" s="92" t="str">
        <f aca="false">IF($C819="","",IFERROR(IF(INDEX('REGISTRE TUBES'!$D$7:$D$2506,MATCH($C819,'REGISTRE TUBES'!$B$7:$B$2506,0))="","",INDEX('REGISTRE TUBES'!$D$7:$D$2506,MATCH($C819,'REGISTRE TUBES'!$B$7:$B$2506,0))),"?"))</f>
        <v/>
      </c>
      <c r="F819" s="93" t="n">
        <f aca="false">IF($C819="","",IFERROR(IF(INDEX('REGISTRE TUBES'!$F$7:$F$2506,MATCH($C819,'REGISTRE TUBES'!$B$7:$B$2506,0))="","",INDEX('REGISTRE TUBES'!$F$7:$F$2506,MATCH($C819,'REGISTRE TUBES'!$B$7:$B$2506,0))),"?"))</f>
        <v>11.94</v>
      </c>
      <c r="G819" s="94" t="n">
        <f aca="false">IF($C819="","",N(G818)+N(F819))</f>
        <v>6567.02999999993</v>
      </c>
      <c r="H819" s="95" t="s">
        <v>1812</v>
      </c>
      <c r="I819" s="96"/>
      <c r="J819" s="97"/>
    </row>
    <row r="820" customFormat="false" ht="15" hidden="false" customHeight="false" outlineLevel="0" collapsed="false">
      <c r="B820" s="98" t="n">
        <v>555</v>
      </c>
      <c r="C820" s="99" t="n">
        <v>2093240</v>
      </c>
      <c r="D820" s="100" t="n">
        <f aca="false">IF($C820="","",IFERROR(IF(INDEX('REGISTRE TUBES'!$C$7:$C$2506,MATCH($C820,'REGISTRE TUBES'!$B$7:$B$2506,0))="","",INDEX('REGISTRE TUBES'!$C$7:$C$2506,MATCH($C820,'REGISTRE TUBES'!$B$7:$B$2506,0))),"?"))</f>
        <v>15421110</v>
      </c>
      <c r="E820" s="100" t="str">
        <f aca="false">IF($C820="","",IFERROR(IF(INDEX('REGISTRE TUBES'!$D$7:$D$2506,MATCH($C820,'REGISTRE TUBES'!$B$7:$B$2506,0))="","",INDEX('REGISTRE TUBES'!$D$7:$D$2506,MATCH($C820,'REGISTRE TUBES'!$B$7:$B$2506,0))),"?"))</f>
        <v/>
      </c>
      <c r="F820" s="101" t="n">
        <f aca="false">IF($C820="","",IFERROR(IF(INDEX('REGISTRE TUBES'!$F$7:$F$2506,MATCH($C820,'REGISTRE TUBES'!$B$7:$B$2506,0))="","",INDEX('REGISTRE TUBES'!$F$7:$F$2506,MATCH($C820,'REGISTRE TUBES'!$B$7:$B$2506,0))),"?"))</f>
        <v>11.94</v>
      </c>
      <c r="G820" s="102" t="n">
        <f aca="false">IF($C820="","",N(G819)+N(F820))</f>
        <v>6578.96999999993</v>
      </c>
      <c r="H820" s="103" t="s">
        <v>1825</v>
      </c>
      <c r="I820" s="104"/>
      <c r="J820" s="105"/>
    </row>
    <row r="821" customFormat="false" ht="15" hidden="false" customHeight="false" outlineLevel="0" collapsed="false">
      <c r="B821" s="90" t="n">
        <v>556</v>
      </c>
      <c r="C821" s="91" t="n">
        <v>2094950</v>
      </c>
      <c r="D821" s="92" t="n">
        <f aca="false">IF($C821="","",IFERROR(IF(INDEX('REGISTRE TUBES'!$C$7:$C$2506,MATCH($C821,'REGISTRE TUBES'!$B$7:$B$2506,0))="","",INDEX('REGISTRE TUBES'!$C$7:$C$2506,MATCH($C821,'REGISTRE TUBES'!$B$7:$B$2506,0))),"?"))</f>
        <v>15421111</v>
      </c>
      <c r="E821" s="92" t="str">
        <f aca="false">IF($C821="","",IFERROR(IF(INDEX('REGISTRE TUBES'!$D$7:$D$2506,MATCH($C821,'REGISTRE TUBES'!$B$7:$B$2506,0))="","",INDEX('REGISTRE TUBES'!$D$7:$D$2506,MATCH($C821,'REGISTRE TUBES'!$B$7:$B$2506,0))),"?"))</f>
        <v/>
      </c>
      <c r="F821" s="93" t="n">
        <f aca="false">IF($C821="","",IFERROR(IF(INDEX('REGISTRE TUBES'!$F$7:$F$2506,MATCH($C821,'REGISTRE TUBES'!$B$7:$B$2506,0))="","",INDEX('REGISTRE TUBES'!$F$7:$F$2506,MATCH($C821,'REGISTRE TUBES'!$B$7:$B$2506,0))),"?"))</f>
        <v>11.94</v>
      </c>
      <c r="G821" s="94" t="n">
        <f aca="false">IF($C821="","",N(G820)+N(F821))</f>
        <v>6590.90999999993</v>
      </c>
      <c r="H821" s="95" t="s">
        <v>1826</v>
      </c>
      <c r="I821" s="96"/>
      <c r="J821" s="97"/>
    </row>
    <row r="822" customFormat="false" ht="15" hidden="false" customHeight="false" outlineLevel="0" collapsed="false">
      <c r="B822" s="98" t="n">
        <v>557</v>
      </c>
      <c r="C822" s="99" t="n">
        <v>2082180</v>
      </c>
      <c r="D822" s="100" t="n">
        <f aca="false">IF($C822="","",IFERROR(IF(INDEX('REGISTRE TUBES'!$C$7:$C$2506,MATCH($C822,'REGISTRE TUBES'!$B$7:$B$2506,0))="","",INDEX('REGISTRE TUBES'!$C$7:$C$2506,MATCH($C822,'REGISTRE TUBES'!$B$7:$B$2506,0))),"?"))</f>
        <v>15421111</v>
      </c>
      <c r="E822" s="100" t="str">
        <f aca="false">IF($C822="","",IFERROR(IF(INDEX('REGISTRE TUBES'!$D$7:$D$2506,MATCH($C822,'REGISTRE TUBES'!$B$7:$B$2506,0))="","",INDEX('REGISTRE TUBES'!$D$7:$D$2506,MATCH($C822,'REGISTRE TUBES'!$B$7:$B$2506,0))),"?"))</f>
        <v/>
      </c>
      <c r="F822" s="101" t="n">
        <f aca="false">IF($C822="","",IFERROR(IF(INDEX('REGISTRE TUBES'!$F$7:$F$2506,MATCH($C822,'REGISTRE TUBES'!$B$7:$B$2506,0))="","",INDEX('REGISTRE TUBES'!$F$7:$F$2506,MATCH($C822,'REGISTRE TUBES'!$B$7:$B$2506,0))),"?"))</f>
        <v>11.94</v>
      </c>
      <c r="G822" s="102" t="n">
        <f aca="false">IF($C822="","",N(G821)+N(F822))</f>
        <v>6602.84999999993</v>
      </c>
      <c r="H822" s="103" t="s">
        <v>1827</v>
      </c>
      <c r="I822" s="104"/>
      <c r="J822" s="105"/>
    </row>
    <row r="823" customFormat="false" ht="15" hidden="false" customHeight="false" outlineLevel="0" collapsed="false">
      <c r="B823" s="90" t="n">
        <v>558</v>
      </c>
      <c r="C823" s="91" t="n">
        <v>2080130</v>
      </c>
      <c r="D823" s="92" t="n">
        <f aca="false">IF($C823="","",IFERROR(IF(INDEX('REGISTRE TUBES'!$C$7:$C$2506,MATCH($C823,'REGISTRE TUBES'!$B$7:$B$2506,0))="","",INDEX('REGISTRE TUBES'!$C$7:$C$2506,MATCH($C823,'REGISTRE TUBES'!$B$7:$B$2506,0))),"?"))</f>
        <v>15421102</v>
      </c>
      <c r="E823" s="92" t="str">
        <f aca="false">IF($C823="","",IFERROR(IF(INDEX('REGISTRE TUBES'!$D$7:$D$2506,MATCH($C823,'REGISTRE TUBES'!$B$7:$B$2506,0))="","",INDEX('REGISTRE TUBES'!$D$7:$D$2506,MATCH($C823,'REGISTRE TUBES'!$B$7:$B$2506,0))),"?"))</f>
        <v/>
      </c>
      <c r="F823" s="93" t="n">
        <f aca="false">IF($C823="","",IFERROR(IF(INDEX('REGISTRE TUBES'!$F$7:$F$2506,MATCH($C823,'REGISTRE TUBES'!$B$7:$B$2506,0))="","",INDEX('REGISTRE TUBES'!$F$7:$F$2506,MATCH($C823,'REGISTRE TUBES'!$B$7:$B$2506,0))),"?"))</f>
        <v>11.94</v>
      </c>
      <c r="G823" s="94" t="n">
        <f aca="false">IF($C823="","",N(G822)+N(F823))</f>
        <v>6614.78999999993</v>
      </c>
      <c r="H823" s="95" t="s">
        <v>1828</v>
      </c>
      <c r="I823" s="96"/>
      <c r="J823" s="97"/>
    </row>
    <row r="824" customFormat="false" ht="15" hidden="false" customHeight="false" outlineLevel="0" collapsed="false">
      <c r="B824" s="98" t="n">
        <v>559</v>
      </c>
      <c r="C824" s="99" t="n">
        <v>2096530</v>
      </c>
      <c r="D824" s="100" t="n">
        <f aca="false">IF($C824="","",IFERROR(IF(INDEX('REGISTRE TUBES'!$C$7:$C$2506,MATCH($C824,'REGISTRE TUBES'!$B$7:$B$2506,0))="","",INDEX('REGISTRE TUBES'!$C$7:$C$2506,MATCH($C824,'REGISTRE TUBES'!$B$7:$B$2506,0))),"?"))</f>
        <v>15421111</v>
      </c>
      <c r="E824" s="100" t="str">
        <f aca="false">IF($C824="","",IFERROR(IF(INDEX('REGISTRE TUBES'!$D$7:$D$2506,MATCH($C824,'REGISTRE TUBES'!$B$7:$B$2506,0))="","",INDEX('REGISTRE TUBES'!$D$7:$D$2506,MATCH($C824,'REGISTRE TUBES'!$B$7:$B$2506,0))),"?"))</f>
        <v/>
      </c>
      <c r="F824" s="101" t="n">
        <f aca="false">IF($C824="","",IFERROR(IF(INDEX('REGISTRE TUBES'!$F$7:$F$2506,MATCH($C824,'REGISTRE TUBES'!$B$7:$B$2506,0))="","",INDEX('REGISTRE TUBES'!$F$7:$F$2506,MATCH($C824,'REGISTRE TUBES'!$B$7:$B$2506,0))),"?"))</f>
        <v>11.94</v>
      </c>
      <c r="G824" s="102" t="n">
        <f aca="false">IF($C824="","",N(G823)+N(F824))</f>
        <v>6626.72999999993</v>
      </c>
      <c r="H824" s="103"/>
      <c r="I824" s="104"/>
      <c r="J824" s="105"/>
    </row>
    <row r="825" customFormat="false" ht="15" hidden="false" customHeight="false" outlineLevel="0" collapsed="false">
      <c r="B825" s="90" t="n">
        <v>560</v>
      </c>
      <c r="C825" s="91" t="n">
        <v>2098500</v>
      </c>
      <c r="D825" s="92" t="n">
        <f aca="false">IF($C825="","",IFERROR(IF(INDEX('REGISTRE TUBES'!$C$7:$C$2506,MATCH($C825,'REGISTRE TUBES'!$B$7:$B$2506,0))="","",INDEX('REGISTRE TUBES'!$C$7:$C$2506,MATCH($C825,'REGISTRE TUBES'!$B$7:$B$2506,0))),"?"))</f>
        <v>15421112</v>
      </c>
      <c r="E825" s="92" t="str">
        <f aca="false">IF($C825="","",IFERROR(IF(INDEX('REGISTRE TUBES'!$D$7:$D$2506,MATCH($C825,'REGISTRE TUBES'!$B$7:$B$2506,0))="","",INDEX('REGISTRE TUBES'!$D$7:$D$2506,MATCH($C825,'REGISTRE TUBES'!$B$7:$B$2506,0))),"?"))</f>
        <v/>
      </c>
      <c r="F825" s="93" t="n">
        <f aca="false">IF($C825="","",IFERROR(IF(INDEX('REGISTRE TUBES'!$F$7:$F$2506,MATCH($C825,'REGISTRE TUBES'!$B$7:$B$2506,0))="","",INDEX('REGISTRE TUBES'!$F$7:$F$2506,MATCH($C825,'REGISTRE TUBES'!$B$7:$B$2506,0))),"?"))</f>
        <v>11.94</v>
      </c>
      <c r="G825" s="94" t="n">
        <f aca="false">IF($C825="","",N(G824)+N(F825))</f>
        <v>6638.66999999993</v>
      </c>
      <c r="H825" s="95" t="s">
        <v>1843</v>
      </c>
      <c r="I825" s="96"/>
      <c r="J825" s="97"/>
    </row>
    <row r="826" customFormat="false" ht="15" hidden="false" customHeight="false" outlineLevel="0" collapsed="false">
      <c r="B826" s="98" t="n">
        <v>561</v>
      </c>
      <c r="C826" s="99" t="n">
        <v>2098870</v>
      </c>
      <c r="D826" s="100" t="n">
        <f aca="false">IF($C826="","",IFERROR(IF(INDEX('REGISTRE TUBES'!$C$7:$C$2506,MATCH($C826,'REGISTRE TUBES'!$B$7:$B$2506,0))="","",INDEX('REGISTRE TUBES'!$C$7:$C$2506,MATCH($C826,'REGISTRE TUBES'!$B$7:$B$2506,0))),"?"))</f>
        <v>15421102</v>
      </c>
      <c r="E826" s="100" t="str">
        <f aca="false">IF($C826="","",IFERROR(IF(INDEX('REGISTRE TUBES'!$D$7:$D$2506,MATCH($C826,'REGISTRE TUBES'!$B$7:$B$2506,0))="","",INDEX('REGISTRE TUBES'!$D$7:$D$2506,MATCH($C826,'REGISTRE TUBES'!$B$7:$B$2506,0))),"?"))</f>
        <v/>
      </c>
      <c r="F826" s="101" t="n">
        <f aca="false">IF($C826="","",IFERROR(IF(INDEX('REGISTRE TUBES'!$F$7:$F$2506,MATCH($C826,'REGISTRE TUBES'!$B$7:$B$2506,0))="","",INDEX('REGISTRE TUBES'!$F$7:$F$2506,MATCH($C826,'REGISTRE TUBES'!$B$7:$B$2506,0))),"?"))</f>
        <v>11.94</v>
      </c>
      <c r="G826" s="102" t="n">
        <f aca="false">IF($C826="","",N(G825)+N(F826))</f>
        <v>6650.60999999993</v>
      </c>
      <c r="H826" s="103" t="s">
        <v>1844</v>
      </c>
      <c r="I826" s="104"/>
      <c r="J826" s="105"/>
    </row>
    <row r="827" customFormat="false" ht="15" hidden="false" customHeight="false" outlineLevel="0" collapsed="false">
      <c r="B827" s="90" t="n">
        <v>562</v>
      </c>
      <c r="C827" s="91" t="n">
        <v>2081850</v>
      </c>
      <c r="D827" s="92" t="n">
        <f aca="false">IF($C827="","",IFERROR(IF(INDEX('REGISTRE TUBES'!$C$7:$C$2506,MATCH($C827,'REGISTRE TUBES'!$B$7:$B$2506,0))="","",INDEX('REGISTRE TUBES'!$C$7:$C$2506,MATCH($C827,'REGISTRE TUBES'!$B$7:$B$2506,0))),"?"))</f>
        <v>15421104</v>
      </c>
      <c r="E827" s="92" t="str">
        <f aca="false">IF($C827="","",IFERROR(IF(INDEX('REGISTRE TUBES'!$D$7:$D$2506,MATCH($C827,'REGISTRE TUBES'!$B$7:$B$2506,0))="","",INDEX('REGISTRE TUBES'!$D$7:$D$2506,MATCH($C827,'REGISTRE TUBES'!$B$7:$B$2506,0))),"?"))</f>
        <v/>
      </c>
      <c r="F827" s="93" t="n">
        <f aca="false">IF($C827="","",IFERROR(IF(INDEX('REGISTRE TUBES'!$F$7:$F$2506,MATCH($C827,'REGISTRE TUBES'!$B$7:$B$2506,0))="","",INDEX('REGISTRE TUBES'!$F$7:$F$2506,MATCH($C827,'REGISTRE TUBES'!$B$7:$B$2506,0))),"?"))</f>
        <v>11.94</v>
      </c>
      <c r="G827" s="94" t="n">
        <f aca="false">IF($C827="","",N(G826)+N(F827))</f>
        <v>6662.54999999993</v>
      </c>
      <c r="H827" s="95" t="s">
        <v>1845</v>
      </c>
      <c r="I827" s="96"/>
      <c r="J827" s="97"/>
    </row>
    <row r="828" customFormat="false" ht="15" hidden="false" customHeight="false" outlineLevel="0" collapsed="false">
      <c r="B828" s="98" t="n">
        <v>563</v>
      </c>
      <c r="C828" s="99" t="n">
        <v>2091700</v>
      </c>
      <c r="D828" s="100" t="n">
        <f aca="false">IF($C828="","",IFERROR(IF(INDEX('REGISTRE TUBES'!$C$7:$C$2506,MATCH($C828,'REGISTRE TUBES'!$B$7:$B$2506,0))="","",INDEX('REGISTRE TUBES'!$C$7:$C$2506,MATCH($C828,'REGISTRE TUBES'!$B$7:$B$2506,0))),"?"))</f>
        <v>15421109</v>
      </c>
      <c r="E828" s="100" t="str">
        <f aca="false">IF($C828="","",IFERROR(IF(INDEX('REGISTRE TUBES'!$D$7:$D$2506,MATCH($C828,'REGISTRE TUBES'!$B$7:$B$2506,0))="","",INDEX('REGISTRE TUBES'!$D$7:$D$2506,MATCH($C828,'REGISTRE TUBES'!$B$7:$B$2506,0))),"?"))</f>
        <v/>
      </c>
      <c r="F828" s="101" t="n">
        <f aca="false">IF($C828="","",IFERROR(IF(INDEX('REGISTRE TUBES'!$F$7:$F$2506,MATCH($C828,'REGISTRE TUBES'!$B$7:$B$2506,0))="","",INDEX('REGISTRE TUBES'!$F$7:$F$2506,MATCH($C828,'REGISTRE TUBES'!$B$7:$B$2506,0))),"?"))</f>
        <v>11.09</v>
      </c>
      <c r="G828" s="102" t="n">
        <f aca="false">IF($C828="","",N(G827)+N(F828))</f>
        <v>6673.63999999993</v>
      </c>
      <c r="H828" s="103" t="s">
        <v>1846</v>
      </c>
      <c r="I828" s="104"/>
      <c r="J828" s="105"/>
    </row>
    <row r="829" customFormat="false" ht="15" hidden="false" customHeight="false" outlineLevel="0" collapsed="false">
      <c r="B829" s="90" t="n">
        <v>564</v>
      </c>
      <c r="C829" s="91" t="n">
        <v>2082160</v>
      </c>
      <c r="D829" s="92" t="n">
        <f aca="false">IF($C829="","",IFERROR(IF(INDEX('REGISTRE TUBES'!$C$7:$C$2506,MATCH($C829,'REGISTRE TUBES'!$B$7:$B$2506,0))="","",INDEX('REGISTRE TUBES'!$C$7:$C$2506,MATCH($C829,'REGISTRE TUBES'!$B$7:$B$2506,0))),"?"))</f>
        <v>15421104</v>
      </c>
      <c r="E829" s="92" t="str">
        <f aca="false">IF($C829="","",IFERROR(IF(INDEX('REGISTRE TUBES'!$D$7:$D$2506,MATCH($C829,'REGISTRE TUBES'!$B$7:$B$2506,0))="","",INDEX('REGISTRE TUBES'!$D$7:$D$2506,MATCH($C829,'REGISTRE TUBES'!$B$7:$B$2506,0))),"?"))</f>
        <v/>
      </c>
      <c r="F829" s="93" t="n">
        <f aca="false">IF($C829="","",IFERROR(IF(INDEX('REGISTRE TUBES'!$F$7:$F$2506,MATCH($C829,'REGISTRE TUBES'!$B$7:$B$2506,0))="","",INDEX('REGISTRE TUBES'!$F$7:$F$2506,MATCH($C829,'REGISTRE TUBES'!$B$7:$B$2506,0))),"?"))</f>
        <v>11.94</v>
      </c>
      <c r="G829" s="94" t="n">
        <f aca="false">IF($C829="","",N(G828)+N(F829))</f>
        <v>6685.57999999993</v>
      </c>
      <c r="H829" s="95" t="s">
        <v>1847</v>
      </c>
      <c r="I829" s="96"/>
      <c r="J829" s="97"/>
    </row>
    <row r="830" customFormat="false" ht="15" hidden="false" customHeight="false" outlineLevel="0" collapsed="false">
      <c r="B830" s="98" t="n">
        <v>565</v>
      </c>
      <c r="C830" s="99" t="n">
        <v>2082050</v>
      </c>
      <c r="D830" s="100" t="n">
        <f aca="false">IF($C830="","",IFERROR(IF(INDEX('REGISTRE TUBES'!$C$7:$C$2506,MATCH($C830,'REGISTRE TUBES'!$B$7:$B$2506,0))="","",INDEX('REGISTRE TUBES'!$C$7:$C$2506,MATCH($C830,'REGISTRE TUBES'!$B$7:$B$2506,0))),"?"))</f>
        <v>1542050</v>
      </c>
      <c r="E830" s="100" t="str">
        <f aca="false">IF($C830="","",IFERROR(IF(INDEX('REGISTRE TUBES'!$D$7:$D$2506,MATCH($C830,'REGISTRE TUBES'!$B$7:$B$2506,0))="","",INDEX('REGISTRE TUBES'!$D$7:$D$2506,MATCH($C830,'REGISTRE TUBES'!$B$7:$B$2506,0))),"?"))</f>
        <v/>
      </c>
      <c r="F830" s="101" t="n">
        <f aca="false">IF($C830="","",IFERROR(IF(INDEX('REGISTRE TUBES'!$F$7:$F$2506,MATCH($C830,'REGISTRE TUBES'!$B$7:$B$2506,0))="","",INDEX('REGISTRE TUBES'!$F$7:$F$2506,MATCH($C830,'REGISTRE TUBES'!$B$7:$B$2506,0))),"?"))</f>
        <v>11.94</v>
      </c>
      <c r="G830" s="102" t="n">
        <f aca="false">IF($C830="","",N(G829)+N(F830))</f>
        <v>6697.51999999993</v>
      </c>
      <c r="H830" s="103" t="s">
        <v>1848</v>
      </c>
      <c r="I830" s="104"/>
      <c r="J830" s="105"/>
    </row>
    <row r="831" customFormat="false" ht="15" hidden="false" customHeight="false" outlineLevel="0" collapsed="false">
      <c r="B831" s="90" t="n">
        <v>566</v>
      </c>
      <c r="C831" s="91" t="n">
        <v>2081570</v>
      </c>
      <c r="D831" s="92" t="n">
        <f aca="false">IF($C831="","",IFERROR(IF(INDEX('REGISTRE TUBES'!$C$7:$C$2506,MATCH($C831,'REGISTRE TUBES'!$B$7:$B$2506,0))="","",INDEX('REGISTRE TUBES'!$C$7:$C$2506,MATCH($C831,'REGISTRE TUBES'!$B$7:$B$2506,0))),"?"))</f>
        <v>15421103</v>
      </c>
      <c r="E831" s="92" t="str">
        <f aca="false">IF($C831="","",IFERROR(IF(INDEX('REGISTRE TUBES'!$D$7:$D$2506,MATCH($C831,'REGISTRE TUBES'!$B$7:$B$2506,0))="","",INDEX('REGISTRE TUBES'!$D$7:$D$2506,MATCH($C831,'REGISTRE TUBES'!$B$7:$B$2506,0))),"?"))</f>
        <v/>
      </c>
      <c r="F831" s="93" t="n">
        <f aca="false">IF($C831="","",IFERROR(IF(INDEX('REGISTRE TUBES'!$F$7:$F$2506,MATCH($C831,'REGISTRE TUBES'!$B$7:$B$2506,0))="","",INDEX('REGISTRE TUBES'!$F$7:$F$2506,MATCH($C831,'REGISTRE TUBES'!$B$7:$B$2506,0))),"?"))</f>
        <v>11.94</v>
      </c>
      <c r="G831" s="94" t="n">
        <f aca="false">IF($C831="","",N(G830)+N(F831))</f>
        <v>6709.45999999993</v>
      </c>
      <c r="H831" s="95" t="s">
        <v>1849</v>
      </c>
      <c r="I831" s="96"/>
      <c r="J831" s="97"/>
    </row>
    <row r="832" customFormat="false" ht="15" hidden="false" customHeight="false" outlineLevel="0" collapsed="false">
      <c r="B832" s="98" t="n">
        <v>567</v>
      </c>
      <c r="C832" s="99" t="n">
        <v>2094370</v>
      </c>
      <c r="D832" s="100" t="n">
        <f aca="false">IF($C832="","",IFERROR(IF(INDEX('REGISTRE TUBES'!$C$7:$C$2506,MATCH($C832,'REGISTRE TUBES'!$B$7:$B$2506,0))="","",INDEX('REGISTRE TUBES'!$C$7:$C$2506,MATCH($C832,'REGISTRE TUBES'!$B$7:$B$2506,0))),"?"))</f>
        <v>15421111</v>
      </c>
      <c r="E832" s="100" t="str">
        <f aca="false">IF($C832="","",IFERROR(IF(INDEX('REGISTRE TUBES'!$D$7:$D$2506,MATCH($C832,'REGISTRE TUBES'!$B$7:$B$2506,0))="","",INDEX('REGISTRE TUBES'!$D$7:$D$2506,MATCH($C832,'REGISTRE TUBES'!$B$7:$B$2506,0))),"?"))</f>
        <v/>
      </c>
      <c r="F832" s="101" t="n">
        <f aca="false">IF($C832="","",IFERROR(IF(INDEX('REGISTRE TUBES'!$F$7:$F$2506,MATCH($C832,'REGISTRE TUBES'!$B$7:$B$2506,0))="","",INDEX('REGISTRE TUBES'!$F$7:$F$2506,MATCH($C832,'REGISTRE TUBES'!$B$7:$B$2506,0))),"?"))</f>
        <v>11.94</v>
      </c>
      <c r="G832" s="102" t="n">
        <f aca="false">IF($C832="","",N(G831)+N(F832))</f>
        <v>6721.39999999993</v>
      </c>
      <c r="H832" s="103" t="s">
        <v>1850</v>
      </c>
      <c r="I832" s="104"/>
      <c r="J832" s="105"/>
    </row>
    <row r="833" customFormat="false" ht="15" hidden="false" customHeight="false" outlineLevel="0" collapsed="false">
      <c r="B833" s="90" t="n">
        <v>568</v>
      </c>
      <c r="C833" s="91" t="n">
        <v>2081430</v>
      </c>
      <c r="D833" s="92" t="n">
        <f aca="false">IF($C833="","",IFERROR(IF(INDEX('REGISTRE TUBES'!$C$7:$C$2506,MATCH($C833,'REGISTRE TUBES'!$B$7:$B$2506,0))="","",INDEX('REGISTRE TUBES'!$C$7:$C$2506,MATCH($C833,'REGISTRE TUBES'!$B$7:$B$2506,0))),"?"))</f>
        <v>15421103</v>
      </c>
      <c r="E833" s="92" t="str">
        <f aca="false">IF($C833="","",IFERROR(IF(INDEX('REGISTRE TUBES'!$D$7:$D$2506,MATCH($C833,'REGISTRE TUBES'!$B$7:$B$2506,0))="","",INDEX('REGISTRE TUBES'!$D$7:$D$2506,MATCH($C833,'REGISTRE TUBES'!$B$7:$B$2506,0))),"?"))</f>
        <v/>
      </c>
      <c r="F833" s="93" t="n">
        <f aca="false">IF($C833="","",IFERROR(IF(INDEX('REGISTRE TUBES'!$F$7:$F$2506,MATCH($C833,'REGISTRE TUBES'!$B$7:$B$2506,0))="","",INDEX('REGISTRE TUBES'!$F$7:$F$2506,MATCH($C833,'REGISTRE TUBES'!$B$7:$B$2506,0))),"?"))</f>
        <v>11.94</v>
      </c>
      <c r="G833" s="94" t="n">
        <f aca="false">IF($C833="","",N(G832)+N(F833))</f>
        <v>6733.33999999993</v>
      </c>
      <c r="H833" s="95" t="s">
        <v>1851</v>
      </c>
      <c r="I833" s="96"/>
      <c r="J833" s="97"/>
    </row>
    <row r="834" customFormat="false" ht="15" hidden="false" customHeight="false" outlineLevel="0" collapsed="false">
      <c r="B834" s="98" t="n">
        <v>569</v>
      </c>
      <c r="C834" s="99" t="n">
        <v>2089710</v>
      </c>
      <c r="D834" s="100" t="n">
        <f aca="false">IF($C834="","",IFERROR(IF(INDEX('REGISTRE TUBES'!$C$7:$C$2506,MATCH($C834,'REGISTRE TUBES'!$B$7:$B$2506,0))="","",INDEX('REGISTRE TUBES'!$C$7:$C$2506,MATCH($C834,'REGISTRE TUBES'!$B$7:$B$2506,0))),"?"))</f>
        <v>15421104</v>
      </c>
      <c r="E834" s="100" t="str">
        <f aca="false">IF($C834="","",IFERROR(IF(INDEX('REGISTRE TUBES'!$D$7:$D$2506,MATCH($C834,'REGISTRE TUBES'!$B$7:$B$2506,0))="","",INDEX('REGISTRE TUBES'!$D$7:$D$2506,MATCH($C834,'REGISTRE TUBES'!$B$7:$B$2506,0))),"?"))</f>
        <v/>
      </c>
      <c r="F834" s="101" t="n">
        <f aca="false">IF($C834="","",IFERROR(IF(INDEX('REGISTRE TUBES'!$F$7:$F$2506,MATCH($C834,'REGISTRE TUBES'!$B$7:$B$2506,0))="","",INDEX('REGISTRE TUBES'!$F$7:$F$2506,MATCH($C834,'REGISTRE TUBES'!$B$7:$B$2506,0))),"?"))</f>
        <v>11.94</v>
      </c>
      <c r="G834" s="102" t="n">
        <f aca="false">IF($C834="","",N(G833)+N(F834))</f>
        <v>6745.27999999993</v>
      </c>
      <c r="H834" s="103" t="s">
        <v>1852</v>
      </c>
      <c r="I834" s="104"/>
      <c r="J834" s="105"/>
    </row>
    <row r="835" customFormat="false" ht="15" hidden="false" customHeight="false" outlineLevel="0" collapsed="false">
      <c r="B835" s="90" t="n">
        <v>570</v>
      </c>
      <c r="C835" s="91" t="n">
        <v>2095600</v>
      </c>
      <c r="D835" s="92" t="n">
        <f aca="false">IF($C835="","",IFERROR(IF(INDEX('REGISTRE TUBES'!$C$7:$C$2506,MATCH($C835,'REGISTRE TUBES'!$B$7:$B$2506,0))="","",INDEX('REGISTRE TUBES'!$C$7:$C$2506,MATCH($C835,'REGISTRE TUBES'!$B$7:$B$2506,0))),"?"))</f>
        <v>15421111</v>
      </c>
      <c r="E835" s="92" t="str">
        <f aca="false">IF($C835="","",IFERROR(IF(INDEX('REGISTRE TUBES'!$D$7:$D$2506,MATCH($C835,'REGISTRE TUBES'!$B$7:$B$2506,0))="","",INDEX('REGISTRE TUBES'!$D$7:$D$2506,MATCH($C835,'REGISTRE TUBES'!$B$7:$B$2506,0))),"?"))</f>
        <v/>
      </c>
      <c r="F835" s="93" t="n">
        <f aca="false">IF($C835="","",IFERROR(IF(INDEX('REGISTRE TUBES'!$F$7:$F$2506,MATCH($C835,'REGISTRE TUBES'!$B$7:$B$2506,0))="","",INDEX('REGISTRE TUBES'!$F$7:$F$2506,MATCH($C835,'REGISTRE TUBES'!$B$7:$B$2506,0))),"?"))</f>
        <v>11.94</v>
      </c>
      <c r="G835" s="94" t="n">
        <f aca="false">IF($C835="","",N(G834)+N(F835))</f>
        <v>6757.21999999993</v>
      </c>
      <c r="H835" s="95" t="s">
        <v>1854</v>
      </c>
      <c r="I835" s="96"/>
      <c r="J835" s="97"/>
    </row>
    <row r="836" customFormat="false" ht="15" hidden="false" customHeight="true" outlineLevel="0" collapsed="false">
      <c r="B836" s="106" t="s">
        <v>3031</v>
      </c>
      <c r="C836" s="106"/>
      <c r="D836" s="106"/>
      <c r="E836" s="106"/>
      <c r="F836" s="107" t="n">
        <f aca="false">SUM(F817:F835)</f>
        <v>226.01</v>
      </c>
      <c r="G836" s="108" t="n">
        <f aca="false">IF(COUNT(G817:G835)=0,"",MAX(G817:G835))</f>
        <v>6757.21999999993</v>
      </c>
      <c r="H836" s="106" t="str">
        <f aca="false">COUNTA(C817:C835)&amp;" tube(s)"</f>
        <v>19 tube(s)</v>
      </c>
      <c r="I836" s="106"/>
      <c r="J836" s="106"/>
    </row>
    <row r="838" customFormat="false" ht="15" hidden="false" customHeight="false" outlineLevel="0" collapsed="false">
      <c r="B838" s="109" t="s">
        <v>3032</v>
      </c>
      <c r="F838" s="109" t="s">
        <v>3033</v>
      </c>
      <c r="I838" s="109" t="s">
        <v>3034</v>
      </c>
    </row>
    <row r="841" customFormat="false" ht="25.5" hidden="false" customHeight="true" outlineLevel="0" collapsed="false">
      <c r="B841" s="85" t="s">
        <v>3015</v>
      </c>
      <c r="C841" s="85"/>
      <c r="D841" s="85"/>
      <c r="E841" s="85"/>
      <c r="F841" s="85"/>
      <c r="G841" s="85"/>
      <c r="H841" s="85"/>
      <c r="I841" s="85"/>
      <c r="J841" s="85"/>
    </row>
    <row r="842" customFormat="false" ht="15" hidden="false" customHeight="false" outlineLevel="0" collapsed="false">
      <c r="B842" s="86" t="str">
        <f aca="false">PARAMÈTRES!$C$4&amp;"   •   Affaire N° "&amp;PARAMÈTRES!$C$5</f>
        <v>Développement des champs gaziers TFT II — réseau de collecte TFT Sud (LIGNE-16)   •   Affaire N° 8546</v>
      </c>
      <c r="C842" s="86"/>
      <c r="D842" s="86"/>
      <c r="E842" s="86"/>
      <c r="F842" s="86"/>
      <c r="G842" s="86"/>
      <c r="H842" s="86"/>
      <c r="I842" s="86"/>
      <c r="J842" s="86"/>
    </row>
    <row r="843" customFormat="false" ht="19.5" hidden="false" customHeight="true" outlineLevel="0" collapsed="false">
      <c r="B843" s="87" t="s">
        <v>3016</v>
      </c>
      <c r="C843" s="88" t="s">
        <v>110</v>
      </c>
      <c r="D843" s="88"/>
      <c r="E843" s="87" t="s">
        <v>3017</v>
      </c>
      <c r="F843" s="88" t="s">
        <v>3093</v>
      </c>
      <c r="G843" s="87" t="s">
        <v>3019</v>
      </c>
      <c r="H843" s="88" t="s">
        <v>3094</v>
      </c>
      <c r="I843" s="87" t="s">
        <v>3021</v>
      </c>
      <c r="J843" s="89"/>
    </row>
    <row r="844" customFormat="false" ht="27.75" hidden="false" customHeight="true" outlineLevel="0" collapsed="false">
      <c r="B844" s="71" t="s">
        <v>3022</v>
      </c>
      <c r="C844" s="71" t="s">
        <v>3023</v>
      </c>
      <c r="D844" s="71" t="s">
        <v>3024</v>
      </c>
      <c r="E844" s="71" t="s">
        <v>3025</v>
      </c>
      <c r="F844" s="71" t="s">
        <v>3026</v>
      </c>
      <c r="G844" s="71" t="s">
        <v>3027</v>
      </c>
      <c r="H844" s="71" t="s">
        <v>3028</v>
      </c>
      <c r="I844" s="71" t="s">
        <v>3029</v>
      </c>
      <c r="J844" s="71" t="s">
        <v>3030</v>
      </c>
    </row>
    <row r="845" customFormat="false" ht="15" hidden="false" customHeight="false" outlineLevel="0" collapsed="false">
      <c r="B845" s="90" t="n">
        <v>571</v>
      </c>
      <c r="C845" s="91" t="n">
        <v>2098520</v>
      </c>
      <c r="D845" s="92" t="n">
        <f aca="false">IF($C845="","",IFERROR(IF(INDEX('REGISTRE TUBES'!$C$7:$C$2506,MATCH($C845,'REGISTRE TUBES'!$B$7:$B$2506,0))="","",INDEX('REGISTRE TUBES'!$C$7:$C$2506,MATCH($C845,'REGISTRE TUBES'!$B$7:$B$2506,0))),"?"))</f>
        <v>15421112</v>
      </c>
      <c r="E845" s="92" t="str">
        <f aca="false">IF($C845="","",IFERROR(IF(INDEX('REGISTRE TUBES'!$D$7:$D$2506,MATCH($C845,'REGISTRE TUBES'!$B$7:$B$2506,0))="","",INDEX('REGISTRE TUBES'!$D$7:$D$2506,MATCH($C845,'REGISTRE TUBES'!$B$7:$B$2506,0))),"?"))</f>
        <v/>
      </c>
      <c r="F845" s="93" t="n">
        <f aca="false">IF($C845="","",IFERROR(IF(INDEX('REGISTRE TUBES'!$F$7:$F$2506,MATCH($C845,'REGISTRE TUBES'!$B$7:$B$2506,0))="","",INDEX('REGISTRE TUBES'!$F$7:$F$2506,MATCH($C845,'REGISTRE TUBES'!$B$7:$B$2506,0))),"?"))</f>
        <v>11.94</v>
      </c>
      <c r="G845" s="94" t="n">
        <f aca="false">IF($C845="","",N(G835)+N(F845))</f>
        <v>6769.15999999993</v>
      </c>
      <c r="H845" s="95" t="s">
        <v>1855</v>
      </c>
      <c r="I845" s="96"/>
      <c r="J845" s="97"/>
    </row>
    <row r="846" customFormat="false" ht="15" hidden="false" customHeight="false" outlineLevel="0" collapsed="false">
      <c r="B846" s="98" t="n">
        <v>572</v>
      </c>
      <c r="C846" s="99" t="n">
        <v>2089290</v>
      </c>
      <c r="D846" s="100" t="n">
        <f aca="false">IF($C846="","",IFERROR(IF(INDEX('REGISTRE TUBES'!$C$7:$C$2506,MATCH($C846,'REGISTRE TUBES'!$B$7:$B$2506,0))="","",INDEX('REGISTRE TUBES'!$C$7:$C$2506,MATCH($C846,'REGISTRE TUBES'!$B$7:$B$2506,0))),"?"))</f>
        <v>15421109</v>
      </c>
      <c r="E846" s="100" t="str">
        <f aca="false">IF($C846="","",IFERROR(IF(INDEX('REGISTRE TUBES'!$D$7:$D$2506,MATCH($C846,'REGISTRE TUBES'!$B$7:$B$2506,0))="","",INDEX('REGISTRE TUBES'!$D$7:$D$2506,MATCH($C846,'REGISTRE TUBES'!$B$7:$B$2506,0))),"?"))</f>
        <v/>
      </c>
      <c r="F846" s="101" t="n">
        <f aca="false">IF($C846="","",IFERROR(IF(INDEX('REGISTRE TUBES'!$F$7:$F$2506,MATCH($C846,'REGISTRE TUBES'!$B$7:$B$2506,0))="","",INDEX('REGISTRE TUBES'!$F$7:$F$2506,MATCH($C846,'REGISTRE TUBES'!$B$7:$B$2506,0))),"?"))</f>
        <v>11.94</v>
      </c>
      <c r="G846" s="102" t="n">
        <f aca="false">IF($C846="","",N(G845)+N(F846))</f>
        <v>6781.09999999993</v>
      </c>
      <c r="H846" s="103" t="s">
        <v>1856</v>
      </c>
      <c r="I846" s="104"/>
      <c r="J846" s="105"/>
    </row>
    <row r="847" customFormat="false" ht="15" hidden="false" customHeight="false" outlineLevel="0" collapsed="false">
      <c r="B847" s="90" t="n">
        <v>573</v>
      </c>
      <c r="C847" s="91" t="n">
        <v>2082640</v>
      </c>
      <c r="D847" s="92" t="n">
        <f aca="false">IF($C847="","",IFERROR(IF(INDEX('REGISTRE TUBES'!$C$7:$C$2506,MATCH($C847,'REGISTRE TUBES'!$B$7:$B$2506,0))="","",INDEX('REGISTRE TUBES'!$C$7:$C$2506,MATCH($C847,'REGISTRE TUBES'!$B$7:$B$2506,0))),"?"))</f>
        <v>15421104</v>
      </c>
      <c r="E847" s="92" t="str">
        <f aca="false">IF($C847="","",IFERROR(IF(INDEX('REGISTRE TUBES'!$D$7:$D$2506,MATCH($C847,'REGISTRE TUBES'!$B$7:$B$2506,0))="","",INDEX('REGISTRE TUBES'!$D$7:$D$2506,MATCH($C847,'REGISTRE TUBES'!$B$7:$B$2506,0))),"?"))</f>
        <v/>
      </c>
      <c r="F847" s="93" t="n">
        <f aca="false">IF($C847="","",IFERROR(IF(INDEX('REGISTRE TUBES'!$F$7:$F$2506,MATCH($C847,'REGISTRE TUBES'!$B$7:$B$2506,0))="","",INDEX('REGISTRE TUBES'!$F$7:$F$2506,MATCH($C847,'REGISTRE TUBES'!$B$7:$B$2506,0))),"?"))</f>
        <v>11.94</v>
      </c>
      <c r="G847" s="94" t="n">
        <f aca="false">IF($C847="","",N(G846)+N(F847))</f>
        <v>6793.03999999993</v>
      </c>
      <c r="H847" s="95" t="s">
        <v>1857</v>
      </c>
      <c r="I847" s="96"/>
      <c r="J847" s="97"/>
    </row>
    <row r="848" customFormat="false" ht="15" hidden="false" customHeight="false" outlineLevel="0" collapsed="false">
      <c r="B848" s="98" t="n">
        <v>574</v>
      </c>
      <c r="C848" s="99" t="n">
        <v>2098440</v>
      </c>
      <c r="D848" s="100" t="n">
        <f aca="false">IF($C848="","",IFERROR(IF(INDEX('REGISTRE TUBES'!$C$7:$C$2506,MATCH($C848,'REGISTRE TUBES'!$B$7:$B$2506,0))="","",INDEX('REGISTRE TUBES'!$C$7:$C$2506,MATCH($C848,'REGISTRE TUBES'!$B$7:$B$2506,0))),"?"))</f>
        <v>15421102</v>
      </c>
      <c r="E848" s="100" t="str">
        <f aca="false">IF($C848="","",IFERROR(IF(INDEX('REGISTRE TUBES'!$D$7:$D$2506,MATCH($C848,'REGISTRE TUBES'!$B$7:$B$2506,0))="","",INDEX('REGISTRE TUBES'!$D$7:$D$2506,MATCH($C848,'REGISTRE TUBES'!$B$7:$B$2506,0))),"?"))</f>
        <v/>
      </c>
      <c r="F848" s="101" t="n">
        <f aca="false">IF($C848="","",IFERROR(IF(INDEX('REGISTRE TUBES'!$F$7:$F$2506,MATCH($C848,'REGISTRE TUBES'!$B$7:$B$2506,0))="","",INDEX('REGISTRE TUBES'!$F$7:$F$2506,MATCH($C848,'REGISTRE TUBES'!$B$7:$B$2506,0))),"?"))</f>
        <v>11.94</v>
      </c>
      <c r="G848" s="102" t="n">
        <f aca="false">IF($C848="","",N(G847)+N(F848))</f>
        <v>6804.97999999993</v>
      </c>
      <c r="H848" s="103" t="s">
        <v>1859</v>
      </c>
      <c r="I848" s="104"/>
      <c r="J848" s="105"/>
    </row>
    <row r="849" customFormat="false" ht="15" hidden="false" customHeight="false" outlineLevel="0" collapsed="false">
      <c r="B849" s="90" t="n">
        <v>575</v>
      </c>
      <c r="C849" s="91" t="n">
        <v>2079590</v>
      </c>
      <c r="D849" s="92" t="n">
        <f aca="false">IF($C849="","",IFERROR(IF(INDEX('REGISTRE TUBES'!$C$7:$C$2506,MATCH($C849,'REGISTRE TUBES'!$B$7:$B$2506,0))="","",INDEX('REGISTRE TUBES'!$C$7:$C$2506,MATCH($C849,'REGISTRE TUBES'!$B$7:$B$2506,0))),"?"))</f>
        <v>15421102</v>
      </c>
      <c r="E849" s="92" t="str">
        <f aca="false">IF($C849="","",IFERROR(IF(INDEX('REGISTRE TUBES'!$D$7:$D$2506,MATCH($C849,'REGISTRE TUBES'!$B$7:$B$2506,0))="","",INDEX('REGISTRE TUBES'!$D$7:$D$2506,MATCH($C849,'REGISTRE TUBES'!$B$7:$B$2506,0))),"?"))</f>
        <v/>
      </c>
      <c r="F849" s="93" t="n">
        <f aca="false">IF($C849="","",IFERROR(IF(INDEX('REGISTRE TUBES'!$F$7:$F$2506,MATCH($C849,'REGISTRE TUBES'!$B$7:$B$2506,0))="","",INDEX('REGISTRE TUBES'!$F$7:$F$2506,MATCH($C849,'REGISTRE TUBES'!$B$7:$B$2506,0))),"?"))</f>
        <v>11.94</v>
      </c>
      <c r="G849" s="94" t="n">
        <f aca="false">IF($C849="","",N(G848)+N(F849))</f>
        <v>6816.91999999993</v>
      </c>
      <c r="H849" s="95" t="s">
        <v>1860</v>
      </c>
      <c r="I849" s="96"/>
      <c r="J849" s="97"/>
    </row>
    <row r="850" customFormat="false" ht="15" hidden="false" customHeight="false" outlineLevel="0" collapsed="false">
      <c r="B850" s="98" t="n">
        <v>576</v>
      </c>
      <c r="C850" s="99" t="n">
        <v>2079550</v>
      </c>
      <c r="D850" s="100" t="n">
        <f aca="false">IF($C850="","",IFERROR(IF(INDEX('REGISTRE TUBES'!$C$7:$C$2506,MATCH($C850,'REGISTRE TUBES'!$B$7:$B$2506,0))="","",INDEX('REGISTRE TUBES'!$C$7:$C$2506,MATCH($C850,'REGISTRE TUBES'!$B$7:$B$2506,0))),"?"))</f>
        <v>15421102</v>
      </c>
      <c r="E850" s="100" t="str">
        <f aca="false">IF($C850="","",IFERROR(IF(INDEX('REGISTRE TUBES'!$D$7:$D$2506,MATCH($C850,'REGISTRE TUBES'!$B$7:$B$2506,0))="","",INDEX('REGISTRE TUBES'!$D$7:$D$2506,MATCH($C850,'REGISTRE TUBES'!$B$7:$B$2506,0))),"?"))</f>
        <v/>
      </c>
      <c r="F850" s="101" t="n">
        <f aca="false">IF($C850="","",IFERROR(IF(INDEX('REGISTRE TUBES'!$F$7:$F$2506,MATCH($C850,'REGISTRE TUBES'!$B$7:$B$2506,0))="","",INDEX('REGISTRE TUBES'!$F$7:$F$2506,MATCH($C850,'REGISTRE TUBES'!$B$7:$B$2506,0))),"?"))</f>
        <v>11.94</v>
      </c>
      <c r="G850" s="102" t="n">
        <f aca="false">IF($C850="","",N(G849)+N(F850))</f>
        <v>6828.85999999993</v>
      </c>
      <c r="H850" s="103" t="s">
        <v>1864</v>
      </c>
      <c r="I850" s="104"/>
      <c r="J850" s="105"/>
    </row>
    <row r="851" customFormat="false" ht="15" hidden="false" customHeight="false" outlineLevel="0" collapsed="false">
      <c r="B851" s="90" t="n">
        <v>577</v>
      </c>
      <c r="C851" s="91" t="n">
        <v>2079620</v>
      </c>
      <c r="D851" s="92" t="n">
        <f aca="false">IF($C851="","",IFERROR(IF(INDEX('REGISTRE TUBES'!$C$7:$C$2506,MATCH($C851,'REGISTRE TUBES'!$B$7:$B$2506,0))="","",INDEX('REGISTRE TUBES'!$C$7:$C$2506,MATCH($C851,'REGISTRE TUBES'!$B$7:$B$2506,0))),"?"))</f>
        <v>15421102</v>
      </c>
      <c r="E851" s="92" t="str">
        <f aca="false">IF($C851="","",IFERROR(IF(INDEX('REGISTRE TUBES'!$D$7:$D$2506,MATCH($C851,'REGISTRE TUBES'!$B$7:$B$2506,0))="","",INDEX('REGISTRE TUBES'!$D$7:$D$2506,MATCH($C851,'REGISTRE TUBES'!$B$7:$B$2506,0))),"?"))</f>
        <v/>
      </c>
      <c r="F851" s="93" t="n">
        <f aca="false">IF($C851="","",IFERROR(IF(INDEX('REGISTRE TUBES'!$F$7:$F$2506,MATCH($C851,'REGISTRE TUBES'!$B$7:$B$2506,0))="","",INDEX('REGISTRE TUBES'!$F$7:$F$2506,MATCH($C851,'REGISTRE TUBES'!$B$7:$B$2506,0))),"?"))</f>
        <v>11.94</v>
      </c>
      <c r="G851" s="94" t="n">
        <f aca="false">IF($C851="","",N(G850)+N(F851))</f>
        <v>6840.79999999993</v>
      </c>
      <c r="H851" s="95" t="s">
        <v>1865</v>
      </c>
      <c r="I851" s="96"/>
      <c r="J851" s="97"/>
    </row>
    <row r="852" customFormat="false" ht="15" hidden="false" customHeight="false" outlineLevel="0" collapsed="false">
      <c r="B852" s="98" t="n">
        <v>578</v>
      </c>
      <c r="C852" s="99" t="n">
        <v>2080340</v>
      </c>
      <c r="D852" s="100" t="n">
        <f aca="false">IF($C852="","",IFERROR(IF(INDEX('REGISTRE TUBES'!$C$7:$C$2506,MATCH($C852,'REGISTRE TUBES'!$B$7:$B$2506,0))="","",INDEX('REGISTRE TUBES'!$C$7:$C$2506,MATCH($C852,'REGISTRE TUBES'!$B$7:$B$2506,0))),"?"))</f>
        <v>15421102</v>
      </c>
      <c r="E852" s="100" t="str">
        <f aca="false">IF($C852="","",IFERROR(IF(INDEX('REGISTRE TUBES'!$D$7:$D$2506,MATCH($C852,'REGISTRE TUBES'!$B$7:$B$2506,0))="","",INDEX('REGISTRE TUBES'!$D$7:$D$2506,MATCH($C852,'REGISTRE TUBES'!$B$7:$B$2506,0))),"?"))</f>
        <v/>
      </c>
      <c r="F852" s="101" t="n">
        <f aca="false">IF($C852="","",IFERROR(IF(INDEX('REGISTRE TUBES'!$F$7:$F$2506,MATCH($C852,'REGISTRE TUBES'!$B$7:$B$2506,0))="","",INDEX('REGISTRE TUBES'!$F$7:$F$2506,MATCH($C852,'REGISTRE TUBES'!$B$7:$B$2506,0))),"?"))</f>
        <v>11.94</v>
      </c>
      <c r="G852" s="102" t="n">
        <f aca="false">IF($C852="","",N(G851)+N(F852))</f>
        <v>6852.73999999992</v>
      </c>
      <c r="H852" s="103" t="s">
        <v>1866</v>
      </c>
      <c r="I852" s="104"/>
      <c r="J852" s="105"/>
    </row>
    <row r="853" customFormat="false" ht="15" hidden="false" customHeight="false" outlineLevel="0" collapsed="false">
      <c r="B853" s="90" t="n">
        <v>579</v>
      </c>
      <c r="C853" s="91" t="n">
        <v>2094310</v>
      </c>
      <c r="D853" s="92" t="n">
        <f aca="false">IF($C853="","",IFERROR(IF(INDEX('REGISTRE TUBES'!$C$7:$C$2506,MATCH($C853,'REGISTRE TUBES'!$B$7:$B$2506,0))="","",INDEX('REGISTRE TUBES'!$C$7:$C$2506,MATCH($C853,'REGISTRE TUBES'!$B$7:$B$2506,0))),"?"))</f>
        <v>15421110</v>
      </c>
      <c r="E853" s="92" t="str">
        <f aca="false">IF($C853="","",IFERROR(IF(INDEX('REGISTRE TUBES'!$D$7:$D$2506,MATCH($C853,'REGISTRE TUBES'!$B$7:$B$2506,0))="","",INDEX('REGISTRE TUBES'!$D$7:$D$2506,MATCH($C853,'REGISTRE TUBES'!$B$7:$B$2506,0))),"?"))</f>
        <v/>
      </c>
      <c r="F853" s="93" t="n">
        <f aca="false">IF($C853="","",IFERROR(IF(INDEX('REGISTRE TUBES'!$F$7:$F$2506,MATCH($C853,'REGISTRE TUBES'!$B$7:$B$2506,0))="","",INDEX('REGISTRE TUBES'!$F$7:$F$2506,MATCH($C853,'REGISTRE TUBES'!$B$7:$B$2506,0))),"?"))</f>
        <v>11.94</v>
      </c>
      <c r="G853" s="94" t="n">
        <f aca="false">IF($C853="","",N(G852)+N(F853))</f>
        <v>6864.67999999992</v>
      </c>
      <c r="H853" s="95" t="s">
        <v>1867</v>
      </c>
      <c r="I853" s="96"/>
      <c r="J853" s="97"/>
    </row>
    <row r="854" customFormat="false" ht="15" hidden="false" customHeight="false" outlineLevel="0" collapsed="false">
      <c r="B854" s="98" t="n">
        <v>580</v>
      </c>
      <c r="C854" s="99" t="n">
        <v>2079580</v>
      </c>
      <c r="D854" s="100" t="n">
        <f aca="false">IF($C854="","",IFERROR(IF(INDEX('REGISTRE TUBES'!$C$7:$C$2506,MATCH($C854,'REGISTRE TUBES'!$B$7:$B$2506,0))="","",INDEX('REGISTRE TUBES'!$C$7:$C$2506,MATCH($C854,'REGISTRE TUBES'!$B$7:$B$2506,0))),"?"))</f>
        <v>15421102</v>
      </c>
      <c r="E854" s="100" t="str">
        <f aca="false">IF($C854="","",IFERROR(IF(INDEX('REGISTRE TUBES'!$D$7:$D$2506,MATCH($C854,'REGISTRE TUBES'!$B$7:$B$2506,0))="","",INDEX('REGISTRE TUBES'!$D$7:$D$2506,MATCH($C854,'REGISTRE TUBES'!$B$7:$B$2506,0))),"?"))</f>
        <v/>
      </c>
      <c r="F854" s="101" t="n">
        <f aca="false">IF($C854="","",IFERROR(IF(INDEX('REGISTRE TUBES'!$F$7:$F$2506,MATCH($C854,'REGISTRE TUBES'!$B$7:$B$2506,0))="","",INDEX('REGISTRE TUBES'!$F$7:$F$2506,MATCH($C854,'REGISTRE TUBES'!$B$7:$B$2506,0))),"?"))</f>
        <v>11.94</v>
      </c>
      <c r="G854" s="102" t="n">
        <f aca="false">IF($C854="","",N(G853)+N(F854))</f>
        <v>6876.61999999992</v>
      </c>
      <c r="H854" s="103" t="s">
        <v>1869</v>
      </c>
      <c r="I854" s="104"/>
      <c r="J854" s="105"/>
    </row>
    <row r="855" customFormat="false" ht="15" hidden="false" customHeight="false" outlineLevel="0" collapsed="false">
      <c r="B855" s="90" t="n">
        <v>581</v>
      </c>
      <c r="C855" s="91" t="n">
        <v>2081680</v>
      </c>
      <c r="D855" s="92" t="n">
        <f aca="false">IF($C855="","",IFERROR(IF(INDEX('REGISTRE TUBES'!$C$7:$C$2506,MATCH($C855,'REGISTRE TUBES'!$B$7:$B$2506,0))="","",INDEX('REGISTRE TUBES'!$C$7:$C$2506,MATCH($C855,'REGISTRE TUBES'!$B$7:$B$2506,0))),"?"))</f>
        <v>15421102</v>
      </c>
      <c r="E855" s="92" t="str">
        <f aca="false">IF($C855="","",IFERROR(IF(INDEX('REGISTRE TUBES'!$D$7:$D$2506,MATCH($C855,'REGISTRE TUBES'!$B$7:$B$2506,0))="","",INDEX('REGISTRE TUBES'!$D$7:$D$2506,MATCH($C855,'REGISTRE TUBES'!$B$7:$B$2506,0))),"?"))</f>
        <v/>
      </c>
      <c r="F855" s="93" t="n">
        <f aca="false">IF($C855="","",IFERROR(IF(INDEX('REGISTRE TUBES'!$F$7:$F$2506,MATCH($C855,'REGISTRE TUBES'!$B$7:$B$2506,0))="","",INDEX('REGISTRE TUBES'!$F$7:$F$2506,MATCH($C855,'REGISTRE TUBES'!$B$7:$B$2506,0))),"?"))</f>
        <v>11.94</v>
      </c>
      <c r="G855" s="94" t="n">
        <f aca="false">IF($C855="","",N(G854)+N(F855))</f>
        <v>6888.55999999992</v>
      </c>
      <c r="H855" s="95" t="s">
        <v>1870</v>
      </c>
      <c r="I855" s="96"/>
      <c r="J855" s="97"/>
    </row>
    <row r="856" customFormat="false" ht="15" hidden="false" customHeight="false" outlineLevel="0" collapsed="false">
      <c r="B856" s="98" t="n">
        <v>582</v>
      </c>
      <c r="C856" s="99" t="n">
        <v>2079860</v>
      </c>
      <c r="D856" s="100" t="n">
        <f aca="false">IF($C856="","",IFERROR(IF(INDEX('REGISTRE TUBES'!$C$7:$C$2506,MATCH($C856,'REGISTRE TUBES'!$B$7:$B$2506,0))="","",INDEX('REGISTRE TUBES'!$C$7:$C$2506,MATCH($C856,'REGISTRE TUBES'!$B$7:$B$2506,0))),"?"))</f>
        <v>15421103</v>
      </c>
      <c r="E856" s="100" t="str">
        <f aca="false">IF($C856="","",IFERROR(IF(INDEX('REGISTRE TUBES'!$D$7:$D$2506,MATCH($C856,'REGISTRE TUBES'!$B$7:$B$2506,0))="","",INDEX('REGISTRE TUBES'!$D$7:$D$2506,MATCH($C856,'REGISTRE TUBES'!$B$7:$B$2506,0))),"?"))</f>
        <v/>
      </c>
      <c r="F856" s="101" t="n">
        <f aca="false">IF($C856="","",IFERROR(IF(INDEX('REGISTRE TUBES'!$F$7:$F$2506,MATCH($C856,'REGISTRE TUBES'!$B$7:$B$2506,0))="","",INDEX('REGISTRE TUBES'!$F$7:$F$2506,MATCH($C856,'REGISTRE TUBES'!$B$7:$B$2506,0))),"?"))</f>
        <v>11.94</v>
      </c>
      <c r="G856" s="102" t="n">
        <f aca="false">IF($C856="","",N(G855)+N(F856))</f>
        <v>6900.49999999992</v>
      </c>
      <c r="H856" s="103" t="s">
        <v>1871</v>
      </c>
      <c r="I856" s="104"/>
      <c r="J856" s="105"/>
    </row>
    <row r="857" customFormat="false" ht="15" hidden="false" customHeight="false" outlineLevel="0" collapsed="false">
      <c r="B857" s="90" t="n">
        <v>583</v>
      </c>
      <c r="C857" s="91" t="n">
        <v>2086690</v>
      </c>
      <c r="D857" s="92" t="n">
        <f aca="false">IF($C857="","",IFERROR(IF(INDEX('REGISTRE TUBES'!$C$7:$C$2506,MATCH($C857,'REGISTRE TUBES'!$B$7:$B$2506,0))="","",INDEX('REGISTRE TUBES'!$C$7:$C$2506,MATCH($C857,'REGISTRE TUBES'!$B$7:$B$2506,0))),"?"))</f>
        <v>15421102</v>
      </c>
      <c r="E857" s="92" t="str">
        <f aca="false">IF($C857="","",IFERROR(IF(INDEX('REGISTRE TUBES'!$D$7:$D$2506,MATCH($C857,'REGISTRE TUBES'!$B$7:$B$2506,0))="","",INDEX('REGISTRE TUBES'!$D$7:$D$2506,MATCH($C857,'REGISTRE TUBES'!$B$7:$B$2506,0))),"?"))</f>
        <v/>
      </c>
      <c r="F857" s="93" t="n">
        <f aca="false">IF($C857="","",IFERROR(IF(INDEX('REGISTRE TUBES'!$F$7:$F$2506,MATCH($C857,'REGISTRE TUBES'!$B$7:$B$2506,0))="","",INDEX('REGISTRE TUBES'!$F$7:$F$2506,MATCH($C857,'REGISTRE TUBES'!$B$7:$B$2506,0))),"?"))</f>
        <v>11.94</v>
      </c>
      <c r="G857" s="94" t="n">
        <f aca="false">IF($C857="","",N(G856)+N(F857))</f>
        <v>6912.43999999992</v>
      </c>
      <c r="H857" s="95" t="s">
        <v>1872</v>
      </c>
      <c r="I857" s="96"/>
      <c r="J857" s="97"/>
    </row>
    <row r="858" customFormat="false" ht="15" hidden="false" customHeight="false" outlineLevel="0" collapsed="false">
      <c r="B858" s="98" t="n">
        <v>584</v>
      </c>
      <c r="C858" s="99" t="n">
        <v>2086990</v>
      </c>
      <c r="D858" s="100" t="n">
        <f aca="false">IF($C858="","",IFERROR(IF(INDEX('REGISTRE TUBES'!$C$7:$C$2506,MATCH($C858,'REGISTRE TUBES'!$B$7:$B$2506,0))="","",INDEX('REGISTRE TUBES'!$C$7:$C$2506,MATCH($C858,'REGISTRE TUBES'!$B$7:$B$2506,0))),"?"))</f>
        <v>15421110</v>
      </c>
      <c r="E858" s="100" t="str">
        <f aca="false">IF($C858="","",IFERROR(IF(INDEX('REGISTRE TUBES'!$D$7:$D$2506,MATCH($C858,'REGISTRE TUBES'!$B$7:$B$2506,0))="","",INDEX('REGISTRE TUBES'!$D$7:$D$2506,MATCH($C858,'REGISTRE TUBES'!$B$7:$B$2506,0))),"?"))</f>
        <v/>
      </c>
      <c r="F858" s="101" t="n">
        <f aca="false">IF($C858="","",IFERROR(IF(INDEX('REGISTRE TUBES'!$F$7:$F$2506,MATCH($C858,'REGISTRE TUBES'!$B$7:$B$2506,0))="","",INDEX('REGISTRE TUBES'!$F$7:$F$2506,MATCH($C858,'REGISTRE TUBES'!$B$7:$B$2506,0))),"?"))</f>
        <v>11.94</v>
      </c>
      <c r="G858" s="102" t="n">
        <f aca="false">IF($C858="","",N(G857)+N(F858))</f>
        <v>6924.37999999992</v>
      </c>
      <c r="H858" s="103"/>
      <c r="I858" s="104"/>
      <c r="J858" s="105"/>
    </row>
    <row r="859" customFormat="false" ht="15" hidden="false" customHeight="false" outlineLevel="0" collapsed="false">
      <c r="B859" s="90" t="n">
        <v>585</v>
      </c>
      <c r="C859" s="91" t="n">
        <v>2089520</v>
      </c>
      <c r="D859" s="92" t="n">
        <f aca="false">IF($C859="","",IFERROR(IF(INDEX('REGISTRE TUBES'!$C$7:$C$2506,MATCH($C859,'REGISTRE TUBES'!$B$7:$B$2506,0))="","",INDEX('REGISTRE TUBES'!$C$7:$C$2506,MATCH($C859,'REGISTRE TUBES'!$B$7:$B$2506,0))),"?"))</f>
        <v>15421109</v>
      </c>
      <c r="E859" s="92" t="str">
        <f aca="false">IF($C859="","",IFERROR(IF(INDEX('REGISTRE TUBES'!$D$7:$D$2506,MATCH($C859,'REGISTRE TUBES'!$B$7:$B$2506,0))="","",INDEX('REGISTRE TUBES'!$D$7:$D$2506,MATCH($C859,'REGISTRE TUBES'!$B$7:$B$2506,0))),"?"))</f>
        <v/>
      </c>
      <c r="F859" s="93" t="n">
        <f aca="false">IF($C859="","",IFERROR(IF(INDEX('REGISTRE TUBES'!$F$7:$F$2506,MATCH($C859,'REGISTRE TUBES'!$B$7:$B$2506,0))="","",INDEX('REGISTRE TUBES'!$F$7:$F$2506,MATCH($C859,'REGISTRE TUBES'!$B$7:$B$2506,0))),"?"))</f>
        <v>11.94</v>
      </c>
      <c r="G859" s="94" t="n">
        <f aca="false">IF($C859="","",N(G858)+N(F859))</f>
        <v>6936.31999999992</v>
      </c>
      <c r="H859" s="95" t="s">
        <v>1873</v>
      </c>
      <c r="I859" s="96"/>
      <c r="J859" s="97"/>
    </row>
    <row r="860" customFormat="false" ht="15" hidden="false" customHeight="false" outlineLevel="0" collapsed="false">
      <c r="B860" s="98" t="n">
        <v>586</v>
      </c>
      <c r="C860" s="99" t="n">
        <v>2080600</v>
      </c>
      <c r="D860" s="100" t="n">
        <f aca="false">IF($C860="","",IFERROR(IF(INDEX('REGISTRE TUBES'!$C$7:$C$2506,MATCH($C860,'REGISTRE TUBES'!$B$7:$B$2506,0))="","",INDEX('REGISTRE TUBES'!$C$7:$C$2506,MATCH($C860,'REGISTRE TUBES'!$B$7:$B$2506,0))),"?"))</f>
        <v>15421103</v>
      </c>
      <c r="E860" s="100" t="str">
        <f aca="false">IF($C860="","",IFERROR(IF(INDEX('REGISTRE TUBES'!$D$7:$D$2506,MATCH($C860,'REGISTRE TUBES'!$B$7:$B$2506,0))="","",INDEX('REGISTRE TUBES'!$D$7:$D$2506,MATCH($C860,'REGISTRE TUBES'!$B$7:$B$2506,0))),"?"))</f>
        <v/>
      </c>
      <c r="F860" s="101" t="n">
        <f aca="false">IF($C860="","",IFERROR(IF(INDEX('REGISTRE TUBES'!$F$7:$F$2506,MATCH($C860,'REGISTRE TUBES'!$B$7:$B$2506,0))="","",INDEX('REGISTRE TUBES'!$F$7:$F$2506,MATCH($C860,'REGISTRE TUBES'!$B$7:$B$2506,0))),"?"))</f>
        <v>11.94</v>
      </c>
      <c r="G860" s="102" t="n">
        <f aca="false">IF($C860="","",N(G859)+N(F860))</f>
        <v>6948.25999999992</v>
      </c>
      <c r="H860" s="103" t="s">
        <v>1876</v>
      </c>
      <c r="I860" s="104"/>
      <c r="J860" s="105"/>
    </row>
    <row r="861" customFormat="false" ht="15" hidden="false" customHeight="false" outlineLevel="0" collapsed="false">
      <c r="B861" s="90" t="n">
        <v>587</v>
      </c>
      <c r="C861" s="91" t="n">
        <v>2079850</v>
      </c>
      <c r="D861" s="92" t="n">
        <f aca="false">IF($C861="","",IFERROR(IF(INDEX('REGISTRE TUBES'!$C$7:$C$2506,MATCH($C861,'REGISTRE TUBES'!$B$7:$B$2506,0))="","",INDEX('REGISTRE TUBES'!$C$7:$C$2506,MATCH($C861,'REGISTRE TUBES'!$B$7:$B$2506,0))),"?"))</f>
        <v>15421102</v>
      </c>
      <c r="E861" s="92" t="str">
        <f aca="false">IF($C861="","",IFERROR(IF(INDEX('REGISTRE TUBES'!$D$7:$D$2506,MATCH($C861,'REGISTRE TUBES'!$B$7:$B$2506,0))="","",INDEX('REGISTRE TUBES'!$D$7:$D$2506,MATCH($C861,'REGISTRE TUBES'!$B$7:$B$2506,0))),"?"))</f>
        <v/>
      </c>
      <c r="F861" s="93" t="n">
        <f aca="false">IF($C861="","",IFERROR(IF(INDEX('REGISTRE TUBES'!$F$7:$F$2506,MATCH($C861,'REGISTRE TUBES'!$B$7:$B$2506,0))="","",INDEX('REGISTRE TUBES'!$F$7:$F$2506,MATCH($C861,'REGISTRE TUBES'!$B$7:$B$2506,0))),"?"))</f>
        <v>11.94</v>
      </c>
      <c r="G861" s="94" t="n">
        <f aca="false">IF($C861="","",N(G860)+N(F861))</f>
        <v>6960.19999999992</v>
      </c>
      <c r="H861" s="95"/>
      <c r="I861" s="96"/>
      <c r="J861" s="97"/>
    </row>
    <row r="862" customFormat="false" ht="15" hidden="false" customHeight="false" outlineLevel="0" collapsed="false">
      <c r="B862" s="98" t="n">
        <v>588</v>
      </c>
      <c r="C862" s="99" t="n">
        <v>2090070</v>
      </c>
      <c r="D862" s="100" t="n">
        <f aca="false">IF($C862="","",IFERROR(IF(INDEX('REGISTRE TUBES'!$C$7:$C$2506,MATCH($C862,'REGISTRE TUBES'!$B$7:$B$2506,0))="","",INDEX('REGISTRE TUBES'!$C$7:$C$2506,MATCH($C862,'REGISTRE TUBES'!$B$7:$B$2506,0))),"?"))</f>
        <v>15421109</v>
      </c>
      <c r="E862" s="100" t="str">
        <f aca="false">IF($C862="","",IFERROR(IF(INDEX('REGISTRE TUBES'!$D$7:$D$2506,MATCH($C862,'REGISTRE TUBES'!$B$7:$B$2506,0))="","",INDEX('REGISTRE TUBES'!$D$7:$D$2506,MATCH($C862,'REGISTRE TUBES'!$B$7:$B$2506,0))),"?"))</f>
        <v/>
      </c>
      <c r="F862" s="101" t="n">
        <f aca="false">IF($C862="","",IFERROR(IF(INDEX('REGISTRE TUBES'!$F$7:$F$2506,MATCH($C862,'REGISTRE TUBES'!$B$7:$B$2506,0))="","",INDEX('REGISTRE TUBES'!$F$7:$F$2506,MATCH($C862,'REGISTRE TUBES'!$B$7:$B$2506,0))),"?"))</f>
        <v>11.94</v>
      </c>
      <c r="G862" s="102" t="n">
        <f aca="false">IF($C862="","",N(G861)+N(F862))</f>
        <v>6972.13999999992</v>
      </c>
      <c r="H862" s="103" t="s">
        <v>1880</v>
      </c>
      <c r="I862" s="104"/>
      <c r="J862" s="105"/>
    </row>
    <row r="863" customFormat="false" ht="15" hidden="false" customHeight="false" outlineLevel="0" collapsed="false">
      <c r="B863" s="90" t="n">
        <v>589</v>
      </c>
      <c r="C863" s="91" t="n">
        <v>2078950</v>
      </c>
      <c r="D863" s="92" t="n">
        <f aca="false">IF($C863="","",IFERROR(IF(INDEX('REGISTRE TUBES'!$C$7:$C$2506,MATCH($C863,'REGISTRE TUBES'!$B$7:$B$2506,0))="","",INDEX('REGISTRE TUBES'!$C$7:$C$2506,MATCH($C863,'REGISTRE TUBES'!$B$7:$B$2506,0))),"?"))</f>
        <v>15421101</v>
      </c>
      <c r="E863" s="92" t="str">
        <f aca="false">IF($C863="","",IFERROR(IF(INDEX('REGISTRE TUBES'!$D$7:$D$2506,MATCH($C863,'REGISTRE TUBES'!$B$7:$B$2506,0))="","",INDEX('REGISTRE TUBES'!$D$7:$D$2506,MATCH($C863,'REGISTRE TUBES'!$B$7:$B$2506,0))),"?"))</f>
        <v/>
      </c>
      <c r="F863" s="93" t="n">
        <f aca="false">IF($C863="","",IFERROR(IF(INDEX('REGISTRE TUBES'!$F$7:$F$2506,MATCH($C863,'REGISTRE TUBES'!$B$7:$B$2506,0))="","",INDEX('REGISTRE TUBES'!$F$7:$F$2506,MATCH($C863,'REGISTRE TUBES'!$B$7:$B$2506,0))),"?"))</f>
        <v>11.94</v>
      </c>
      <c r="G863" s="94" t="n">
        <f aca="false">IF($C863="","",N(G862)+N(F863))</f>
        <v>6984.07999999992</v>
      </c>
      <c r="H863" s="95" t="s">
        <v>1881</v>
      </c>
      <c r="I863" s="96"/>
      <c r="J863" s="97"/>
    </row>
    <row r="864" customFormat="false" ht="15" hidden="false" customHeight="true" outlineLevel="0" collapsed="false">
      <c r="B864" s="106" t="s">
        <v>3031</v>
      </c>
      <c r="C864" s="106"/>
      <c r="D864" s="106"/>
      <c r="E864" s="106"/>
      <c r="F864" s="107" t="n">
        <f aca="false">SUM(F845:F863)</f>
        <v>226.86</v>
      </c>
      <c r="G864" s="108" t="n">
        <f aca="false">IF(COUNT(G845:G863)=0,"",MAX(G845:G863))</f>
        <v>6984.07999999992</v>
      </c>
      <c r="H864" s="106" t="str">
        <f aca="false">COUNTA(C845:C863)&amp;" tube(s)"</f>
        <v>19 tube(s)</v>
      </c>
      <c r="I864" s="106"/>
      <c r="J864" s="106"/>
    </row>
    <row r="866" customFormat="false" ht="15" hidden="false" customHeight="false" outlineLevel="0" collapsed="false">
      <c r="B866" s="109" t="s">
        <v>3032</v>
      </c>
      <c r="F866" s="109" t="s">
        <v>3033</v>
      </c>
      <c r="I866" s="109" t="s">
        <v>3034</v>
      </c>
    </row>
    <row r="869" customFormat="false" ht="25.5" hidden="false" customHeight="true" outlineLevel="0" collapsed="false">
      <c r="B869" s="85" t="s">
        <v>3015</v>
      </c>
      <c r="C869" s="85"/>
      <c r="D869" s="85"/>
      <c r="E869" s="85"/>
      <c r="F869" s="85"/>
      <c r="G869" s="85"/>
      <c r="H869" s="85"/>
      <c r="I869" s="85"/>
      <c r="J869" s="85"/>
    </row>
    <row r="870" customFormat="false" ht="15" hidden="false" customHeight="false" outlineLevel="0" collapsed="false">
      <c r="B870" s="86" t="str">
        <f aca="false">PARAMÈTRES!$C$4&amp;"   •   Affaire N° "&amp;PARAMÈTRES!$C$5</f>
        <v>Développement des champs gaziers TFT II — réseau de collecte TFT Sud (LIGNE-16)   •   Affaire N° 8546</v>
      </c>
      <c r="C870" s="86"/>
      <c r="D870" s="86"/>
      <c r="E870" s="86"/>
      <c r="F870" s="86"/>
      <c r="G870" s="86"/>
      <c r="H870" s="86"/>
      <c r="I870" s="86"/>
      <c r="J870" s="86"/>
    </row>
    <row r="871" customFormat="false" ht="19.5" hidden="false" customHeight="true" outlineLevel="0" collapsed="false">
      <c r="B871" s="87" t="s">
        <v>3016</v>
      </c>
      <c r="C871" s="88" t="s">
        <v>110</v>
      </c>
      <c r="D871" s="88"/>
      <c r="E871" s="87" t="s">
        <v>3017</v>
      </c>
      <c r="F871" s="88" t="s">
        <v>3095</v>
      </c>
      <c r="G871" s="87" t="s">
        <v>3019</v>
      </c>
      <c r="H871" s="88" t="s">
        <v>3096</v>
      </c>
      <c r="I871" s="87" t="s">
        <v>3021</v>
      </c>
      <c r="J871" s="89"/>
    </row>
    <row r="872" customFormat="false" ht="27.75" hidden="false" customHeight="true" outlineLevel="0" collapsed="false">
      <c r="B872" s="71" t="s">
        <v>3022</v>
      </c>
      <c r="C872" s="71" t="s">
        <v>3023</v>
      </c>
      <c r="D872" s="71" t="s">
        <v>3024</v>
      </c>
      <c r="E872" s="71" t="s">
        <v>3025</v>
      </c>
      <c r="F872" s="71" t="s">
        <v>3026</v>
      </c>
      <c r="G872" s="71" t="s">
        <v>3027</v>
      </c>
      <c r="H872" s="71" t="s">
        <v>3028</v>
      </c>
      <c r="I872" s="71" t="s">
        <v>3029</v>
      </c>
      <c r="J872" s="71" t="s">
        <v>3030</v>
      </c>
    </row>
    <row r="873" customFormat="false" ht="15" hidden="false" customHeight="false" outlineLevel="0" collapsed="false">
      <c r="B873" s="90" t="n">
        <v>590</v>
      </c>
      <c r="C873" s="91" t="n">
        <v>2098530</v>
      </c>
      <c r="D873" s="92" t="n">
        <f aca="false">IF($C873="","",IFERROR(IF(INDEX('REGISTRE TUBES'!$C$7:$C$2506,MATCH($C873,'REGISTRE TUBES'!$B$7:$B$2506,0))="","",INDEX('REGISTRE TUBES'!$C$7:$C$2506,MATCH($C873,'REGISTRE TUBES'!$B$7:$B$2506,0))),"?"))</f>
        <v>15421112</v>
      </c>
      <c r="E873" s="92" t="str">
        <f aca="false">IF($C873="","",IFERROR(IF(INDEX('REGISTRE TUBES'!$D$7:$D$2506,MATCH($C873,'REGISTRE TUBES'!$B$7:$B$2506,0))="","",INDEX('REGISTRE TUBES'!$D$7:$D$2506,MATCH($C873,'REGISTRE TUBES'!$B$7:$B$2506,0))),"?"))</f>
        <v/>
      </c>
      <c r="F873" s="93" t="n">
        <f aca="false">IF($C873="","",IFERROR(IF(INDEX('REGISTRE TUBES'!$F$7:$F$2506,MATCH($C873,'REGISTRE TUBES'!$B$7:$B$2506,0))="","",INDEX('REGISTRE TUBES'!$F$7:$F$2506,MATCH($C873,'REGISTRE TUBES'!$B$7:$B$2506,0))),"?"))</f>
        <v>11.94</v>
      </c>
      <c r="G873" s="94" t="n">
        <f aca="false">IF($C873="","",N(G863)+N(F873))</f>
        <v>6996.01999999992</v>
      </c>
      <c r="H873" s="95" t="s">
        <v>1882</v>
      </c>
      <c r="I873" s="96"/>
      <c r="J873" s="97"/>
    </row>
    <row r="874" customFormat="false" ht="15" hidden="false" customHeight="false" outlineLevel="0" collapsed="false">
      <c r="B874" s="98" t="n">
        <v>591</v>
      </c>
      <c r="C874" s="99" t="n">
        <v>2083210</v>
      </c>
      <c r="D874" s="100" t="n">
        <f aca="false">IF($C874="","",IFERROR(IF(INDEX('REGISTRE TUBES'!$C$7:$C$2506,MATCH($C874,'REGISTRE TUBES'!$B$7:$B$2506,0))="","",INDEX('REGISTRE TUBES'!$C$7:$C$2506,MATCH($C874,'REGISTRE TUBES'!$B$7:$B$2506,0))),"?"))</f>
        <v>15421105</v>
      </c>
      <c r="E874" s="100" t="str">
        <f aca="false">IF($C874="","",IFERROR(IF(INDEX('REGISTRE TUBES'!$D$7:$D$2506,MATCH($C874,'REGISTRE TUBES'!$B$7:$B$2506,0))="","",INDEX('REGISTRE TUBES'!$D$7:$D$2506,MATCH($C874,'REGISTRE TUBES'!$B$7:$B$2506,0))),"?"))</f>
        <v/>
      </c>
      <c r="F874" s="101" t="n">
        <f aca="false">IF($C874="","",IFERROR(IF(INDEX('REGISTRE TUBES'!$F$7:$F$2506,MATCH($C874,'REGISTRE TUBES'!$B$7:$B$2506,0))="","",INDEX('REGISTRE TUBES'!$F$7:$F$2506,MATCH($C874,'REGISTRE TUBES'!$B$7:$B$2506,0))),"?"))</f>
        <v>11.94</v>
      </c>
      <c r="G874" s="102" t="n">
        <f aca="false">IF($C874="","",N(G873)+N(F874))</f>
        <v>7007.95999999992</v>
      </c>
      <c r="H874" s="103" t="s">
        <v>1883</v>
      </c>
      <c r="I874" s="104"/>
      <c r="J874" s="105"/>
    </row>
    <row r="875" customFormat="false" ht="15" hidden="false" customHeight="false" outlineLevel="0" collapsed="false">
      <c r="B875" s="90" t="n">
        <v>592</v>
      </c>
      <c r="C875" s="91" t="n">
        <v>2091160</v>
      </c>
      <c r="D875" s="92" t="n">
        <f aca="false">IF($C875="","",IFERROR(IF(INDEX('REGISTRE TUBES'!$C$7:$C$2506,MATCH($C875,'REGISTRE TUBES'!$B$7:$B$2506,0))="","",INDEX('REGISTRE TUBES'!$C$7:$C$2506,MATCH($C875,'REGISTRE TUBES'!$B$7:$B$2506,0))),"?"))</f>
        <v>15421109</v>
      </c>
      <c r="E875" s="92" t="str">
        <f aca="false">IF($C875="","",IFERROR(IF(INDEX('REGISTRE TUBES'!$D$7:$D$2506,MATCH($C875,'REGISTRE TUBES'!$B$7:$B$2506,0))="","",INDEX('REGISTRE TUBES'!$D$7:$D$2506,MATCH($C875,'REGISTRE TUBES'!$B$7:$B$2506,0))),"?"))</f>
        <v/>
      </c>
      <c r="F875" s="93" t="n">
        <f aca="false">IF($C875="","",IFERROR(IF(INDEX('REGISTRE TUBES'!$F$7:$F$2506,MATCH($C875,'REGISTRE TUBES'!$B$7:$B$2506,0))="","",INDEX('REGISTRE TUBES'!$F$7:$F$2506,MATCH($C875,'REGISTRE TUBES'!$B$7:$B$2506,0))),"?"))</f>
        <v>11.94</v>
      </c>
      <c r="G875" s="94" t="n">
        <f aca="false">IF($C875="","",N(G874)+N(F875))</f>
        <v>7019.89999999992</v>
      </c>
      <c r="H875" s="95" t="s">
        <v>1886</v>
      </c>
      <c r="I875" s="96"/>
      <c r="J875" s="97"/>
    </row>
    <row r="876" customFormat="false" ht="15" hidden="false" customHeight="false" outlineLevel="0" collapsed="false">
      <c r="B876" s="98" t="n">
        <v>593</v>
      </c>
      <c r="C876" s="99" t="n">
        <v>2088670</v>
      </c>
      <c r="D876" s="100" t="n">
        <f aca="false">IF($C876="","",IFERROR(IF(INDEX('REGISTRE TUBES'!$C$7:$C$2506,MATCH($C876,'REGISTRE TUBES'!$B$7:$B$2506,0))="","",INDEX('REGISTRE TUBES'!$C$7:$C$2506,MATCH($C876,'REGISTRE TUBES'!$B$7:$B$2506,0))),"?"))</f>
        <v>154211008</v>
      </c>
      <c r="E876" s="100" t="str">
        <f aca="false">IF($C876="","",IFERROR(IF(INDEX('REGISTRE TUBES'!$D$7:$D$2506,MATCH($C876,'REGISTRE TUBES'!$B$7:$B$2506,0))="","",INDEX('REGISTRE TUBES'!$D$7:$D$2506,MATCH($C876,'REGISTRE TUBES'!$B$7:$B$2506,0))),"?"))</f>
        <v/>
      </c>
      <c r="F876" s="101" t="n">
        <f aca="false">IF($C876="","",IFERROR(IF(INDEX('REGISTRE TUBES'!$F$7:$F$2506,MATCH($C876,'REGISTRE TUBES'!$B$7:$B$2506,0))="","",INDEX('REGISTRE TUBES'!$F$7:$F$2506,MATCH($C876,'REGISTRE TUBES'!$B$7:$B$2506,0))),"?"))</f>
        <v>11.94</v>
      </c>
      <c r="G876" s="102" t="n">
        <f aca="false">IF($C876="","",N(G875)+N(F876))</f>
        <v>7031.83999999992</v>
      </c>
      <c r="H876" s="103" t="s">
        <v>1887</v>
      </c>
      <c r="I876" s="104"/>
      <c r="J876" s="105"/>
    </row>
    <row r="877" customFormat="false" ht="15" hidden="false" customHeight="false" outlineLevel="0" collapsed="false">
      <c r="B877" s="90" t="n">
        <v>594</v>
      </c>
      <c r="C877" s="91" t="n">
        <v>2084430</v>
      </c>
      <c r="D877" s="92" t="n">
        <f aca="false">IF($C877="","",IFERROR(IF(INDEX('REGISTRE TUBES'!$C$7:$C$2506,MATCH($C877,'REGISTRE TUBES'!$B$7:$B$2506,0))="","",INDEX('REGISTRE TUBES'!$C$7:$C$2506,MATCH($C877,'REGISTRE TUBES'!$B$7:$B$2506,0))),"?"))</f>
        <v>15421106</v>
      </c>
      <c r="E877" s="92" t="str">
        <f aca="false">IF($C877="","",IFERROR(IF(INDEX('REGISTRE TUBES'!$D$7:$D$2506,MATCH($C877,'REGISTRE TUBES'!$B$7:$B$2506,0))="","",INDEX('REGISTRE TUBES'!$D$7:$D$2506,MATCH($C877,'REGISTRE TUBES'!$B$7:$B$2506,0))),"?"))</f>
        <v/>
      </c>
      <c r="F877" s="93" t="n">
        <f aca="false">IF($C877="","",IFERROR(IF(INDEX('REGISTRE TUBES'!$F$7:$F$2506,MATCH($C877,'REGISTRE TUBES'!$B$7:$B$2506,0))="","",INDEX('REGISTRE TUBES'!$F$7:$F$2506,MATCH($C877,'REGISTRE TUBES'!$B$7:$B$2506,0))),"?"))</f>
        <v>11.94</v>
      </c>
      <c r="G877" s="94" t="n">
        <f aca="false">IF($C877="","",N(G876)+N(F877))</f>
        <v>7043.77999999992</v>
      </c>
      <c r="H877" s="95" t="s">
        <v>1888</v>
      </c>
      <c r="I877" s="96"/>
      <c r="J877" s="97"/>
    </row>
    <row r="878" customFormat="false" ht="15" hidden="false" customHeight="false" outlineLevel="0" collapsed="false">
      <c r="B878" s="98" t="n">
        <v>595</v>
      </c>
      <c r="C878" s="99" t="n">
        <v>2088170</v>
      </c>
      <c r="D878" s="100" t="n">
        <f aca="false">IF($C878="","",IFERROR(IF(INDEX('REGISTRE TUBES'!$C$7:$C$2506,MATCH($C878,'REGISTRE TUBES'!$B$7:$B$2506,0))="","",INDEX('REGISTRE TUBES'!$C$7:$C$2506,MATCH($C878,'REGISTRE TUBES'!$B$7:$B$2506,0))),"?"))</f>
        <v>15421108</v>
      </c>
      <c r="E878" s="100" t="str">
        <f aca="false">IF($C878="","",IFERROR(IF(INDEX('REGISTRE TUBES'!$D$7:$D$2506,MATCH($C878,'REGISTRE TUBES'!$B$7:$B$2506,0))="","",INDEX('REGISTRE TUBES'!$D$7:$D$2506,MATCH($C878,'REGISTRE TUBES'!$B$7:$B$2506,0))),"?"))</f>
        <v/>
      </c>
      <c r="F878" s="101" t="n">
        <f aca="false">IF($C878="","",IFERROR(IF(INDEX('REGISTRE TUBES'!$F$7:$F$2506,MATCH($C878,'REGISTRE TUBES'!$B$7:$B$2506,0))="","",INDEX('REGISTRE TUBES'!$F$7:$F$2506,MATCH($C878,'REGISTRE TUBES'!$B$7:$B$2506,0))),"?"))</f>
        <v>11.94</v>
      </c>
      <c r="G878" s="102" t="n">
        <f aca="false">IF($C878="","",N(G877)+N(F878))</f>
        <v>7055.71999999992</v>
      </c>
      <c r="H878" s="103" t="s">
        <v>1889</v>
      </c>
      <c r="I878" s="104"/>
      <c r="J878" s="105"/>
    </row>
    <row r="879" customFormat="false" ht="15" hidden="false" customHeight="false" outlineLevel="0" collapsed="false">
      <c r="B879" s="90" t="n">
        <v>596</v>
      </c>
      <c r="C879" s="91" t="n">
        <v>2096210</v>
      </c>
      <c r="D879" s="92" t="n">
        <f aca="false">IF($C879="","",IFERROR(IF(INDEX('REGISTRE TUBES'!$C$7:$C$2506,MATCH($C879,'REGISTRE TUBES'!$B$7:$B$2506,0))="","",INDEX('REGISTRE TUBES'!$C$7:$C$2506,MATCH($C879,'REGISTRE TUBES'!$B$7:$B$2506,0))),"?"))</f>
        <v>15421111</v>
      </c>
      <c r="E879" s="92" t="str">
        <f aca="false">IF($C879="","",IFERROR(IF(INDEX('REGISTRE TUBES'!$D$7:$D$2506,MATCH($C879,'REGISTRE TUBES'!$B$7:$B$2506,0))="","",INDEX('REGISTRE TUBES'!$D$7:$D$2506,MATCH($C879,'REGISTRE TUBES'!$B$7:$B$2506,0))),"?"))</f>
        <v/>
      </c>
      <c r="F879" s="93" t="n">
        <f aca="false">IF($C879="","",IFERROR(IF(INDEX('REGISTRE TUBES'!$F$7:$F$2506,MATCH($C879,'REGISTRE TUBES'!$B$7:$B$2506,0))="","",INDEX('REGISTRE TUBES'!$F$7:$F$2506,MATCH($C879,'REGISTRE TUBES'!$B$7:$B$2506,0))),"?"))</f>
        <v>11.94</v>
      </c>
      <c r="G879" s="94" t="n">
        <f aca="false">IF($C879="","",N(G878)+N(F879))</f>
        <v>7067.65999999992</v>
      </c>
      <c r="H879" s="95" t="s">
        <v>1890</v>
      </c>
      <c r="I879" s="96"/>
      <c r="J879" s="97"/>
    </row>
    <row r="880" customFormat="false" ht="15" hidden="false" customHeight="false" outlineLevel="0" collapsed="false">
      <c r="B880" s="98" t="n">
        <v>597</v>
      </c>
      <c r="C880" s="99" t="n">
        <v>2079980</v>
      </c>
      <c r="D880" s="100" t="n">
        <f aca="false">IF($C880="","",IFERROR(IF(INDEX('REGISTRE TUBES'!$C$7:$C$2506,MATCH($C880,'REGISTRE TUBES'!$B$7:$B$2506,0))="","",INDEX('REGISTRE TUBES'!$C$7:$C$2506,MATCH($C880,'REGISTRE TUBES'!$B$7:$B$2506,0))),"?"))</f>
        <v>15421102</v>
      </c>
      <c r="E880" s="100" t="str">
        <f aca="false">IF($C880="","",IFERROR(IF(INDEX('REGISTRE TUBES'!$D$7:$D$2506,MATCH($C880,'REGISTRE TUBES'!$B$7:$B$2506,0))="","",INDEX('REGISTRE TUBES'!$D$7:$D$2506,MATCH($C880,'REGISTRE TUBES'!$B$7:$B$2506,0))),"?"))</f>
        <v/>
      </c>
      <c r="F880" s="101" t="n">
        <f aca="false">IF($C880="","",IFERROR(IF(INDEX('REGISTRE TUBES'!$F$7:$F$2506,MATCH($C880,'REGISTRE TUBES'!$B$7:$B$2506,0))="","",INDEX('REGISTRE TUBES'!$F$7:$F$2506,MATCH($C880,'REGISTRE TUBES'!$B$7:$B$2506,0))),"?"))</f>
        <v>11.94</v>
      </c>
      <c r="G880" s="102" t="n">
        <f aca="false">IF($C880="","",N(G879)+N(F880))</f>
        <v>7079.59999999992</v>
      </c>
      <c r="H880" s="103" t="s">
        <v>1892</v>
      </c>
      <c r="I880" s="104"/>
      <c r="J880" s="105"/>
    </row>
    <row r="881" customFormat="false" ht="15" hidden="false" customHeight="false" outlineLevel="0" collapsed="false">
      <c r="B881" s="90" t="n">
        <v>598</v>
      </c>
      <c r="C881" s="91" t="n">
        <v>2085030</v>
      </c>
      <c r="D881" s="92" t="n">
        <f aca="false">IF($C881="","",IFERROR(IF(INDEX('REGISTRE TUBES'!$C$7:$C$2506,MATCH($C881,'REGISTRE TUBES'!$B$7:$B$2506,0))="","",INDEX('REGISTRE TUBES'!$C$7:$C$2506,MATCH($C881,'REGISTRE TUBES'!$B$7:$B$2506,0))),"?"))</f>
        <v>15421105</v>
      </c>
      <c r="E881" s="92" t="str">
        <f aca="false">IF($C881="","",IFERROR(IF(INDEX('REGISTRE TUBES'!$D$7:$D$2506,MATCH($C881,'REGISTRE TUBES'!$B$7:$B$2506,0))="","",INDEX('REGISTRE TUBES'!$D$7:$D$2506,MATCH($C881,'REGISTRE TUBES'!$B$7:$B$2506,0))),"?"))</f>
        <v/>
      </c>
      <c r="F881" s="93" t="n">
        <f aca="false">IF($C881="","",IFERROR(IF(INDEX('REGISTRE TUBES'!$F$7:$F$2506,MATCH($C881,'REGISTRE TUBES'!$B$7:$B$2506,0))="","",INDEX('REGISTRE TUBES'!$F$7:$F$2506,MATCH($C881,'REGISTRE TUBES'!$B$7:$B$2506,0))),"?"))</f>
        <v>11.94</v>
      </c>
      <c r="G881" s="94" t="n">
        <f aca="false">IF($C881="","",N(G880)+N(F881))</f>
        <v>7091.53999999992</v>
      </c>
      <c r="H881" s="95" t="s">
        <v>1894</v>
      </c>
      <c r="I881" s="96"/>
      <c r="J881" s="97"/>
    </row>
    <row r="882" customFormat="false" ht="15" hidden="false" customHeight="false" outlineLevel="0" collapsed="false">
      <c r="B882" s="98" t="n">
        <v>599</v>
      </c>
      <c r="C882" s="99" t="n">
        <v>2080200</v>
      </c>
      <c r="D882" s="100" t="n">
        <f aca="false">IF($C882="","",IFERROR(IF(INDEX('REGISTRE TUBES'!$C$7:$C$2506,MATCH($C882,'REGISTRE TUBES'!$B$7:$B$2506,0))="","",INDEX('REGISTRE TUBES'!$C$7:$C$2506,MATCH($C882,'REGISTRE TUBES'!$B$7:$B$2506,0))),"?"))</f>
        <v>15421102</v>
      </c>
      <c r="E882" s="100" t="str">
        <f aca="false">IF($C882="","",IFERROR(IF(INDEX('REGISTRE TUBES'!$D$7:$D$2506,MATCH($C882,'REGISTRE TUBES'!$B$7:$B$2506,0))="","",INDEX('REGISTRE TUBES'!$D$7:$D$2506,MATCH($C882,'REGISTRE TUBES'!$B$7:$B$2506,0))),"?"))</f>
        <v/>
      </c>
      <c r="F882" s="101" t="n">
        <f aca="false">IF($C882="","",IFERROR(IF(INDEX('REGISTRE TUBES'!$F$7:$F$2506,MATCH($C882,'REGISTRE TUBES'!$B$7:$B$2506,0))="","",INDEX('REGISTRE TUBES'!$F$7:$F$2506,MATCH($C882,'REGISTRE TUBES'!$B$7:$B$2506,0))),"?"))</f>
        <v>11.94</v>
      </c>
      <c r="G882" s="102" t="n">
        <f aca="false">IF($C882="","",N(G881)+N(F882))</f>
        <v>7103.47999999992</v>
      </c>
      <c r="H882" s="103" t="s">
        <v>1896</v>
      </c>
      <c r="I882" s="104"/>
      <c r="J882" s="105"/>
    </row>
    <row r="883" customFormat="false" ht="15" hidden="false" customHeight="false" outlineLevel="0" collapsed="false">
      <c r="B883" s="90" t="n">
        <v>600</v>
      </c>
      <c r="C883" s="91" t="n">
        <v>2088290</v>
      </c>
      <c r="D883" s="92" t="n">
        <f aca="false">IF($C883="","",IFERROR(IF(INDEX('REGISTRE TUBES'!$C$7:$C$2506,MATCH($C883,'REGISTRE TUBES'!$B$7:$B$2506,0))="","",INDEX('REGISTRE TUBES'!$C$7:$C$2506,MATCH($C883,'REGISTRE TUBES'!$B$7:$B$2506,0))),"?"))</f>
        <v>15421108</v>
      </c>
      <c r="E883" s="92" t="str">
        <f aca="false">IF($C883="","",IFERROR(IF(INDEX('REGISTRE TUBES'!$D$7:$D$2506,MATCH($C883,'REGISTRE TUBES'!$B$7:$B$2506,0))="","",INDEX('REGISTRE TUBES'!$D$7:$D$2506,MATCH($C883,'REGISTRE TUBES'!$B$7:$B$2506,0))),"?"))</f>
        <v/>
      </c>
      <c r="F883" s="93" t="n">
        <f aca="false">IF($C883="","",IFERROR(IF(INDEX('REGISTRE TUBES'!$F$7:$F$2506,MATCH($C883,'REGISTRE TUBES'!$B$7:$B$2506,0))="","",INDEX('REGISTRE TUBES'!$F$7:$F$2506,MATCH($C883,'REGISTRE TUBES'!$B$7:$B$2506,0))),"?"))</f>
        <v>11.94</v>
      </c>
      <c r="G883" s="94" t="n">
        <f aca="false">IF($C883="","",N(G882)+N(F883))</f>
        <v>7115.41999999992</v>
      </c>
      <c r="H883" s="95" t="s">
        <v>1898</v>
      </c>
      <c r="I883" s="96"/>
      <c r="J883" s="97"/>
    </row>
    <row r="884" customFormat="false" ht="15" hidden="false" customHeight="false" outlineLevel="0" collapsed="false">
      <c r="B884" s="98" t="n">
        <v>601</v>
      </c>
      <c r="C884" s="99" t="n">
        <v>2082500</v>
      </c>
      <c r="D884" s="100" t="n">
        <f aca="false">IF($C884="","",IFERROR(IF(INDEX('REGISTRE TUBES'!$C$7:$C$2506,MATCH($C884,'REGISTRE TUBES'!$B$7:$B$2506,0))="","",INDEX('REGISTRE TUBES'!$C$7:$C$2506,MATCH($C884,'REGISTRE TUBES'!$B$7:$B$2506,0))),"?"))</f>
        <v>15421104</v>
      </c>
      <c r="E884" s="100" t="str">
        <f aca="false">IF($C884="","",IFERROR(IF(INDEX('REGISTRE TUBES'!$D$7:$D$2506,MATCH($C884,'REGISTRE TUBES'!$B$7:$B$2506,0))="","",INDEX('REGISTRE TUBES'!$D$7:$D$2506,MATCH($C884,'REGISTRE TUBES'!$B$7:$B$2506,0))),"?"))</f>
        <v/>
      </c>
      <c r="F884" s="101" t="n">
        <f aca="false">IF($C884="","",IFERROR(IF(INDEX('REGISTRE TUBES'!$F$7:$F$2506,MATCH($C884,'REGISTRE TUBES'!$B$7:$B$2506,0))="","",INDEX('REGISTRE TUBES'!$F$7:$F$2506,MATCH($C884,'REGISTRE TUBES'!$B$7:$B$2506,0))),"?"))</f>
        <v>11.94</v>
      </c>
      <c r="G884" s="102" t="n">
        <f aca="false">IF($C884="","",N(G883)+N(F884))</f>
        <v>7127.35999999992</v>
      </c>
      <c r="H884" s="103" t="s">
        <v>1899</v>
      </c>
      <c r="I884" s="104"/>
      <c r="J884" s="105"/>
    </row>
    <row r="885" customFormat="false" ht="15" hidden="false" customHeight="false" outlineLevel="0" collapsed="false">
      <c r="B885" s="90" t="n">
        <v>602</v>
      </c>
      <c r="C885" s="91" t="n">
        <v>2087170</v>
      </c>
      <c r="D885" s="92" t="n">
        <f aca="false">IF($C885="","",IFERROR(IF(INDEX('REGISTRE TUBES'!$C$7:$C$2506,MATCH($C885,'REGISTRE TUBES'!$B$7:$B$2506,0))="","",INDEX('REGISTRE TUBES'!$C$7:$C$2506,MATCH($C885,'REGISTRE TUBES'!$B$7:$B$2506,0))),"?"))</f>
        <v>15421107</v>
      </c>
      <c r="E885" s="92" t="str">
        <f aca="false">IF($C885="","",IFERROR(IF(INDEX('REGISTRE TUBES'!$D$7:$D$2506,MATCH($C885,'REGISTRE TUBES'!$B$7:$B$2506,0))="","",INDEX('REGISTRE TUBES'!$D$7:$D$2506,MATCH($C885,'REGISTRE TUBES'!$B$7:$B$2506,0))),"?"))</f>
        <v/>
      </c>
      <c r="F885" s="93" t="n">
        <f aca="false">IF($C885="","",IFERROR(IF(INDEX('REGISTRE TUBES'!$F$7:$F$2506,MATCH($C885,'REGISTRE TUBES'!$B$7:$B$2506,0))="","",INDEX('REGISTRE TUBES'!$F$7:$F$2506,MATCH($C885,'REGISTRE TUBES'!$B$7:$B$2506,0))),"?"))</f>
        <v>11.94</v>
      </c>
      <c r="G885" s="94" t="n">
        <f aca="false">IF($C885="","",N(G884)+N(F885))</f>
        <v>7139.29999999992</v>
      </c>
      <c r="H885" s="95" t="s">
        <v>1901</v>
      </c>
      <c r="I885" s="96"/>
      <c r="J885" s="97"/>
    </row>
    <row r="886" customFormat="false" ht="15" hidden="false" customHeight="false" outlineLevel="0" collapsed="false">
      <c r="B886" s="98" t="n">
        <v>603</v>
      </c>
      <c r="C886" s="99" t="n">
        <v>2079390</v>
      </c>
      <c r="D886" s="100" t="n">
        <f aca="false">IF($C886="","",IFERROR(IF(INDEX('REGISTRE TUBES'!$C$7:$C$2506,MATCH($C886,'REGISTRE TUBES'!$B$7:$B$2506,0))="","",INDEX('REGISTRE TUBES'!$C$7:$C$2506,MATCH($C886,'REGISTRE TUBES'!$B$7:$B$2506,0))),"?"))</f>
        <v>15421102</v>
      </c>
      <c r="E886" s="100" t="str">
        <f aca="false">IF($C886="","",IFERROR(IF(INDEX('REGISTRE TUBES'!$D$7:$D$2506,MATCH($C886,'REGISTRE TUBES'!$B$7:$B$2506,0))="","",INDEX('REGISTRE TUBES'!$D$7:$D$2506,MATCH($C886,'REGISTRE TUBES'!$B$7:$B$2506,0))),"?"))</f>
        <v/>
      </c>
      <c r="F886" s="101" t="n">
        <f aca="false">IF($C886="","",IFERROR(IF(INDEX('REGISTRE TUBES'!$F$7:$F$2506,MATCH($C886,'REGISTRE TUBES'!$B$7:$B$2506,0))="","",INDEX('REGISTRE TUBES'!$F$7:$F$2506,MATCH($C886,'REGISTRE TUBES'!$B$7:$B$2506,0))),"?"))</f>
        <v>11.94</v>
      </c>
      <c r="G886" s="102" t="n">
        <f aca="false">IF($C886="","",N(G885)+N(F886))</f>
        <v>7151.23999999991</v>
      </c>
      <c r="H886" s="103" t="s">
        <v>1902</v>
      </c>
      <c r="I886" s="104"/>
      <c r="J886" s="105"/>
    </row>
    <row r="887" customFormat="false" ht="15" hidden="false" customHeight="false" outlineLevel="0" collapsed="false">
      <c r="B887" s="90" t="n">
        <v>604</v>
      </c>
      <c r="C887" s="91" t="n">
        <v>2095420</v>
      </c>
      <c r="D887" s="92" t="n">
        <f aca="false">IF($C887="","",IFERROR(IF(INDEX('REGISTRE TUBES'!$C$7:$C$2506,MATCH($C887,'REGISTRE TUBES'!$B$7:$B$2506,0))="","",INDEX('REGISTRE TUBES'!$C$7:$C$2506,MATCH($C887,'REGISTRE TUBES'!$B$7:$B$2506,0))),"?"))</f>
        <v>15421111</v>
      </c>
      <c r="E887" s="92" t="str">
        <f aca="false">IF($C887="","",IFERROR(IF(INDEX('REGISTRE TUBES'!$D$7:$D$2506,MATCH($C887,'REGISTRE TUBES'!$B$7:$B$2506,0))="","",INDEX('REGISTRE TUBES'!$D$7:$D$2506,MATCH($C887,'REGISTRE TUBES'!$B$7:$B$2506,0))),"?"))</f>
        <v/>
      </c>
      <c r="F887" s="93" t="n">
        <f aca="false">IF($C887="","",IFERROR(IF(INDEX('REGISTRE TUBES'!$F$7:$F$2506,MATCH($C887,'REGISTRE TUBES'!$B$7:$B$2506,0))="","",INDEX('REGISTRE TUBES'!$F$7:$F$2506,MATCH($C887,'REGISTRE TUBES'!$B$7:$B$2506,0))),"?"))</f>
        <v>11.94</v>
      </c>
      <c r="G887" s="94" t="n">
        <f aca="false">IF($C887="","",N(G886)+N(F887))</f>
        <v>7163.17999999991</v>
      </c>
      <c r="H887" s="95" t="s">
        <v>1904</v>
      </c>
      <c r="I887" s="96"/>
      <c r="J887" s="97"/>
    </row>
    <row r="888" customFormat="false" ht="15" hidden="false" customHeight="false" outlineLevel="0" collapsed="false">
      <c r="B888" s="98" t="n">
        <v>605</v>
      </c>
      <c r="C888" s="99" t="n">
        <v>2081510</v>
      </c>
      <c r="D888" s="100" t="n">
        <f aca="false">IF($C888="","",IFERROR(IF(INDEX('REGISTRE TUBES'!$C$7:$C$2506,MATCH($C888,'REGISTRE TUBES'!$B$7:$B$2506,0))="","",INDEX('REGISTRE TUBES'!$C$7:$C$2506,MATCH($C888,'REGISTRE TUBES'!$B$7:$B$2506,0))),"?"))</f>
        <v>15421105</v>
      </c>
      <c r="E888" s="100" t="str">
        <f aca="false">IF($C888="","",IFERROR(IF(INDEX('REGISTRE TUBES'!$D$7:$D$2506,MATCH($C888,'REGISTRE TUBES'!$B$7:$B$2506,0))="","",INDEX('REGISTRE TUBES'!$D$7:$D$2506,MATCH($C888,'REGISTRE TUBES'!$B$7:$B$2506,0))),"?"))</f>
        <v/>
      </c>
      <c r="F888" s="101" t="n">
        <f aca="false">IF($C888="","",IFERROR(IF(INDEX('REGISTRE TUBES'!$F$7:$F$2506,MATCH($C888,'REGISTRE TUBES'!$B$7:$B$2506,0))="","",INDEX('REGISTRE TUBES'!$F$7:$F$2506,MATCH($C888,'REGISTRE TUBES'!$B$7:$B$2506,0))),"?"))</f>
        <v>11.94</v>
      </c>
      <c r="G888" s="102" t="n">
        <f aca="false">IF($C888="","",N(G887)+N(F888))</f>
        <v>7175.11999999991</v>
      </c>
      <c r="H888" s="103" t="s">
        <v>1905</v>
      </c>
      <c r="I888" s="104"/>
      <c r="J888" s="105"/>
    </row>
    <row r="889" customFormat="false" ht="15" hidden="false" customHeight="false" outlineLevel="0" collapsed="false">
      <c r="B889" s="90" t="n">
        <v>606</v>
      </c>
      <c r="C889" s="91" t="n">
        <v>2082220</v>
      </c>
      <c r="D889" s="92" t="n">
        <f aca="false">IF($C889="","",IFERROR(IF(INDEX('REGISTRE TUBES'!$C$7:$C$2506,MATCH($C889,'REGISTRE TUBES'!$B$7:$B$2506,0))="","",INDEX('REGISTRE TUBES'!$C$7:$C$2506,MATCH($C889,'REGISTRE TUBES'!$B$7:$B$2506,0))),"?"))</f>
        <v>15421104</v>
      </c>
      <c r="E889" s="92" t="str">
        <f aca="false">IF($C889="","",IFERROR(IF(INDEX('REGISTRE TUBES'!$D$7:$D$2506,MATCH($C889,'REGISTRE TUBES'!$B$7:$B$2506,0))="","",INDEX('REGISTRE TUBES'!$D$7:$D$2506,MATCH($C889,'REGISTRE TUBES'!$B$7:$B$2506,0))),"?"))</f>
        <v/>
      </c>
      <c r="F889" s="93" t="n">
        <f aca="false">IF($C889="","",IFERROR(IF(INDEX('REGISTRE TUBES'!$F$7:$F$2506,MATCH($C889,'REGISTRE TUBES'!$B$7:$B$2506,0))="","",INDEX('REGISTRE TUBES'!$F$7:$F$2506,MATCH($C889,'REGISTRE TUBES'!$B$7:$B$2506,0))),"?"))</f>
        <v>11.94</v>
      </c>
      <c r="G889" s="94" t="n">
        <f aca="false">IF($C889="","",N(G888)+N(F889))</f>
        <v>7187.05999999991</v>
      </c>
      <c r="H889" s="95" t="s">
        <v>1907</v>
      </c>
      <c r="I889" s="96"/>
      <c r="J889" s="97"/>
    </row>
    <row r="890" customFormat="false" ht="15" hidden="false" customHeight="false" outlineLevel="0" collapsed="false">
      <c r="B890" s="98" t="n">
        <v>607</v>
      </c>
      <c r="C890" s="99" t="n">
        <v>2081620</v>
      </c>
      <c r="D890" s="100" t="n">
        <f aca="false">IF($C890="","",IFERROR(IF(INDEX('REGISTRE TUBES'!$C$7:$C$2506,MATCH($C890,'REGISTRE TUBES'!$B$7:$B$2506,0))="","",INDEX('REGISTRE TUBES'!$C$7:$C$2506,MATCH($C890,'REGISTRE TUBES'!$B$7:$B$2506,0))),"?"))</f>
        <v>15421109</v>
      </c>
      <c r="E890" s="100" t="str">
        <f aca="false">IF($C890="","",IFERROR(IF(INDEX('REGISTRE TUBES'!$D$7:$D$2506,MATCH($C890,'REGISTRE TUBES'!$B$7:$B$2506,0))="","",INDEX('REGISTRE TUBES'!$D$7:$D$2506,MATCH($C890,'REGISTRE TUBES'!$B$7:$B$2506,0))),"?"))</f>
        <v/>
      </c>
      <c r="F890" s="101" t="n">
        <f aca="false">IF($C890="","",IFERROR(IF(INDEX('REGISTRE TUBES'!$F$7:$F$2506,MATCH($C890,'REGISTRE TUBES'!$B$7:$B$2506,0))="","",INDEX('REGISTRE TUBES'!$F$7:$F$2506,MATCH($C890,'REGISTRE TUBES'!$B$7:$B$2506,0))),"?"))</f>
        <v>11.94</v>
      </c>
      <c r="G890" s="102" t="n">
        <f aca="false">IF($C890="","",N(G889)+N(F890))</f>
        <v>7198.99999999991</v>
      </c>
      <c r="H890" s="103" t="s">
        <v>1908</v>
      </c>
      <c r="I890" s="104"/>
      <c r="J890" s="105"/>
    </row>
    <row r="891" customFormat="false" ht="15" hidden="false" customHeight="false" outlineLevel="0" collapsed="false">
      <c r="B891" s="90" t="n">
        <v>608</v>
      </c>
      <c r="C891" s="91" t="n">
        <v>2095890</v>
      </c>
      <c r="D891" s="92" t="n">
        <f aca="false">IF($C891="","",IFERROR(IF(INDEX('REGISTRE TUBES'!$C$7:$C$2506,MATCH($C891,'REGISTRE TUBES'!$B$7:$B$2506,0))="","",INDEX('REGISTRE TUBES'!$C$7:$C$2506,MATCH($C891,'REGISTRE TUBES'!$B$7:$B$2506,0))),"?"))</f>
        <v>15421111</v>
      </c>
      <c r="E891" s="92" t="str">
        <f aca="false">IF($C891="","",IFERROR(IF(INDEX('REGISTRE TUBES'!$D$7:$D$2506,MATCH($C891,'REGISTRE TUBES'!$B$7:$B$2506,0))="","",INDEX('REGISTRE TUBES'!$D$7:$D$2506,MATCH($C891,'REGISTRE TUBES'!$B$7:$B$2506,0))),"?"))</f>
        <v/>
      </c>
      <c r="F891" s="93" t="n">
        <f aca="false">IF($C891="","",IFERROR(IF(INDEX('REGISTRE TUBES'!$F$7:$F$2506,MATCH($C891,'REGISTRE TUBES'!$B$7:$B$2506,0))="","",INDEX('REGISTRE TUBES'!$F$7:$F$2506,MATCH($C891,'REGISTRE TUBES'!$B$7:$B$2506,0))),"?"))</f>
        <v>11.94</v>
      </c>
      <c r="G891" s="94" t="n">
        <f aca="false">IF($C891="","",N(G890)+N(F891))</f>
        <v>7210.93999999991</v>
      </c>
      <c r="H891" s="95" t="s">
        <v>1910</v>
      </c>
      <c r="I891" s="96"/>
      <c r="J891" s="97"/>
    </row>
    <row r="892" customFormat="false" ht="15" hidden="false" customHeight="true" outlineLevel="0" collapsed="false">
      <c r="B892" s="106" t="s">
        <v>3031</v>
      </c>
      <c r="C892" s="106"/>
      <c r="D892" s="106"/>
      <c r="E892" s="106"/>
      <c r="F892" s="107" t="n">
        <f aca="false">SUM(F873:F891)</f>
        <v>226.86</v>
      </c>
      <c r="G892" s="108" t="n">
        <f aca="false">IF(COUNT(G873:G891)=0,"",MAX(G873:G891))</f>
        <v>7210.93999999991</v>
      </c>
      <c r="H892" s="106" t="str">
        <f aca="false">COUNTA(C873:C891)&amp;" tube(s)"</f>
        <v>19 tube(s)</v>
      </c>
      <c r="I892" s="106"/>
      <c r="J892" s="106"/>
    </row>
    <row r="894" customFormat="false" ht="15" hidden="false" customHeight="false" outlineLevel="0" collapsed="false">
      <c r="B894" s="109" t="s">
        <v>3032</v>
      </c>
      <c r="F894" s="109" t="s">
        <v>3033</v>
      </c>
      <c r="I894" s="109" t="s">
        <v>3034</v>
      </c>
    </row>
    <row r="897" customFormat="false" ht="25.5" hidden="false" customHeight="true" outlineLevel="0" collapsed="false">
      <c r="B897" s="85" t="s">
        <v>3015</v>
      </c>
      <c r="C897" s="85"/>
      <c r="D897" s="85"/>
      <c r="E897" s="85"/>
      <c r="F897" s="85"/>
      <c r="G897" s="85"/>
      <c r="H897" s="85"/>
      <c r="I897" s="85"/>
      <c r="J897" s="85"/>
    </row>
    <row r="898" customFormat="false" ht="15" hidden="false" customHeight="false" outlineLevel="0" collapsed="false">
      <c r="B898" s="86" t="str">
        <f aca="false">PARAMÈTRES!$C$4&amp;"   •   Affaire N° "&amp;PARAMÈTRES!$C$5</f>
        <v>Développement des champs gaziers TFT II — réseau de collecte TFT Sud (LIGNE-16)   •   Affaire N° 8546</v>
      </c>
      <c r="C898" s="86"/>
      <c r="D898" s="86"/>
      <c r="E898" s="86"/>
      <c r="F898" s="86"/>
      <c r="G898" s="86"/>
      <c r="H898" s="86"/>
      <c r="I898" s="86"/>
      <c r="J898" s="86"/>
    </row>
    <row r="899" customFormat="false" ht="19.5" hidden="false" customHeight="true" outlineLevel="0" collapsed="false">
      <c r="B899" s="87" t="s">
        <v>3016</v>
      </c>
      <c r="C899" s="88" t="s">
        <v>110</v>
      </c>
      <c r="D899" s="88"/>
      <c r="E899" s="87" t="s">
        <v>3017</v>
      </c>
      <c r="F899" s="88" t="s">
        <v>3097</v>
      </c>
      <c r="G899" s="87" t="s">
        <v>3019</v>
      </c>
      <c r="H899" s="88" t="s">
        <v>3098</v>
      </c>
      <c r="I899" s="87" t="s">
        <v>3021</v>
      </c>
      <c r="J899" s="89"/>
    </row>
    <row r="900" customFormat="false" ht="27.75" hidden="false" customHeight="true" outlineLevel="0" collapsed="false">
      <c r="B900" s="71" t="s">
        <v>3022</v>
      </c>
      <c r="C900" s="71" t="s">
        <v>3023</v>
      </c>
      <c r="D900" s="71" t="s">
        <v>3024</v>
      </c>
      <c r="E900" s="71" t="s">
        <v>3025</v>
      </c>
      <c r="F900" s="71" t="s">
        <v>3026</v>
      </c>
      <c r="G900" s="71" t="s">
        <v>3027</v>
      </c>
      <c r="H900" s="71" t="s">
        <v>3028</v>
      </c>
      <c r="I900" s="71" t="s">
        <v>3029</v>
      </c>
      <c r="J900" s="71" t="s">
        <v>3030</v>
      </c>
    </row>
    <row r="901" customFormat="false" ht="15" hidden="false" customHeight="false" outlineLevel="0" collapsed="false">
      <c r="B901" s="90" t="n">
        <v>609</v>
      </c>
      <c r="C901" s="91" t="n">
        <v>2097810</v>
      </c>
      <c r="D901" s="92" t="n">
        <f aca="false">IF($C901="","",IFERROR(IF(INDEX('REGISTRE TUBES'!$C$7:$C$2506,MATCH($C901,'REGISTRE TUBES'!$B$7:$B$2506,0))="","",INDEX('REGISTRE TUBES'!$C$7:$C$2506,MATCH($C901,'REGISTRE TUBES'!$B$7:$B$2506,0))),"?"))</f>
        <v>15421112</v>
      </c>
      <c r="E901" s="92" t="str">
        <f aca="false">IF($C901="","",IFERROR(IF(INDEX('REGISTRE TUBES'!$D$7:$D$2506,MATCH($C901,'REGISTRE TUBES'!$B$7:$B$2506,0))="","",INDEX('REGISTRE TUBES'!$D$7:$D$2506,MATCH($C901,'REGISTRE TUBES'!$B$7:$B$2506,0))),"?"))</f>
        <v/>
      </c>
      <c r="F901" s="93" t="n">
        <f aca="false">IF($C901="","",IFERROR(IF(INDEX('REGISTRE TUBES'!$F$7:$F$2506,MATCH($C901,'REGISTRE TUBES'!$B$7:$B$2506,0))="","",INDEX('REGISTRE TUBES'!$F$7:$F$2506,MATCH($C901,'REGISTRE TUBES'!$B$7:$B$2506,0))),"?"))</f>
        <v>11.94</v>
      </c>
      <c r="G901" s="94" t="n">
        <f aca="false">IF($C901="","",N(G891)+N(F901))</f>
        <v>7222.87999999991</v>
      </c>
      <c r="H901" s="95" t="s">
        <v>1912</v>
      </c>
      <c r="I901" s="96"/>
      <c r="J901" s="97"/>
    </row>
    <row r="902" customFormat="false" ht="15" hidden="false" customHeight="false" outlineLevel="0" collapsed="false">
      <c r="B902" s="98" t="n">
        <v>610</v>
      </c>
      <c r="C902" s="99" t="n">
        <v>2092660</v>
      </c>
      <c r="D902" s="100" t="n">
        <f aca="false">IF($C902="","",IFERROR(IF(INDEX('REGISTRE TUBES'!$C$7:$C$2506,MATCH($C902,'REGISTRE TUBES'!$B$7:$B$2506,0))="","",INDEX('REGISTRE TUBES'!$C$7:$C$2506,MATCH($C902,'REGISTRE TUBES'!$B$7:$B$2506,0))),"?"))</f>
        <v>15421110</v>
      </c>
      <c r="E902" s="100" t="str">
        <f aca="false">IF($C902="","",IFERROR(IF(INDEX('REGISTRE TUBES'!$D$7:$D$2506,MATCH($C902,'REGISTRE TUBES'!$B$7:$B$2506,0))="","",INDEX('REGISTRE TUBES'!$D$7:$D$2506,MATCH($C902,'REGISTRE TUBES'!$B$7:$B$2506,0))),"?"))</f>
        <v/>
      </c>
      <c r="F902" s="101" t="n">
        <f aca="false">IF($C902="","",IFERROR(IF(INDEX('REGISTRE TUBES'!$F$7:$F$2506,MATCH($C902,'REGISTRE TUBES'!$B$7:$B$2506,0))="","",INDEX('REGISTRE TUBES'!$F$7:$F$2506,MATCH($C902,'REGISTRE TUBES'!$B$7:$B$2506,0))),"?"))</f>
        <v>11.94</v>
      </c>
      <c r="G902" s="102" t="n">
        <f aca="false">IF($C902="","",N(G901)+N(F902))</f>
        <v>7234.81999999991</v>
      </c>
      <c r="H902" s="103" t="s">
        <v>1913</v>
      </c>
      <c r="I902" s="104"/>
      <c r="J902" s="105"/>
    </row>
    <row r="903" customFormat="false" ht="15" hidden="false" customHeight="false" outlineLevel="0" collapsed="false">
      <c r="B903" s="90" t="n">
        <v>611</v>
      </c>
      <c r="C903" s="91" t="n">
        <v>2090110</v>
      </c>
      <c r="D903" s="92" t="n">
        <f aca="false">IF($C903="","",IFERROR(IF(INDEX('REGISTRE TUBES'!$C$7:$C$2506,MATCH($C903,'REGISTRE TUBES'!$B$7:$B$2506,0))="","",INDEX('REGISTRE TUBES'!$C$7:$C$2506,MATCH($C903,'REGISTRE TUBES'!$B$7:$B$2506,0))),"?"))</f>
        <v>15421109</v>
      </c>
      <c r="E903" s="92" t="str">
        <f aca="false">IF($C903="","",IFERROR(IF(INDEX('REGISTRE TUBES'!$D$7:$D$2506,MATCH($C903,'REGISTRE TUBES'!$B$7:$B$2506,0))="","",INDEX('REGISTRE TUBES'!$D$7:$D$2506,MATCH($C903,'REGISTRE TUBES'!$B$7:$B$2506,0))),"?"))</f>
        <v/>
      </c>
      <c r="F903" s="93" t="n">
        <f aca="false">IF($C903="","",IFERROR(IF(INDEX('REGISTRE TUBES'!$F$7:$F$2506,MATCH($C903,'REGISTRE TUBES'!$B$7:$B$2506,0))="","",INDEX('REGISTRE TUBES'!$F$7:$F$2506,MATCH($C903,'REGISTRE TUBES'!$B$7:$B$2506,0))),"?"))</f>
        <v>11.94</v>
      </c>
      <c r="G903" s="94" t="n">
        <f aca="false">IF($C903="","",N(G902)+N(F903))</f>
        <v>7246.75999999991</v>
      </c>
      <c r="H903" s="95" t="s">
        <v>1914</v>
      </c>
      <c r="I903" s="96"/>
      <c r="J903" s="97"/>
    </row>
    <row r="904" customFormat="false" ht="15" hidden="false" customHeight="false" outlineLevel="0" collapsed="false">
      <c r="B904" s="98" t="n">
        <v>612</v>
      </c>
      <c r="C904" s="99" t="n">
        <v>2095750</v>
      </c>
      <c r="D904" s="100" t="n">
        <f aca="false">IF($C904="","",IFERROR(IF(INDEX('REGISTRE TUBES'!$C$7:$C$2506,MATCH($C904,'REGISTRE TUBES'!$B$7:$B$2506,0))="","",INDEX('REGISTRE TUBES'!$C$7:$C$2506,MATCH($C904,'REGISTRE TUBES'!$B$7:$B$2506,0))),"?"))</f>
        <v>15421111</v>
      </c>
      <c r="E904" s="100" t="str">
        <f aca="false">IF($C904="","",IFERROR(IF(INDEX('REGISTRE TUBES'!$D$7:$D$2506,MATCH($C904,'REGISTRE TUBES'!$B$7:$B$2506,0))="","",INDEX('REGISTRE TUBES'!$D$7:$D$2506,MATCH($C904,'REGISTRE TUBES'!$B$7:$B$2506,0))),"?"))</f>
        <v/>
      </c>
      <c r="F904" s="101" t="n">
        <f aca="false">IF($C904="","",IFERROR(IF(INDEX('REGISTRE TUBES'!$F$7:$F$2506,MATCH($C904,'REGISTRE TUBES'!$B$7:$B$2506,0))="","",INDEX('REGISTRE TUBES'!$F$7:$F$2506,MATCH($C904,'REGISTRE TUBES'!$B$7:$B$2506,0))),"?"))</f>
        <v>11.94</v>
      </c>
      <c r="G904" s="102" t="n">
        <f aca="false">IF($C904="","",N(G903)+N(F904))</f>
        <v>7258.69999999991</v>
      </c>
      <c r="H904" s="103" t="s">
        <v>1918</v>
      </c>
      <c r="I904" s="104"/>
      <c r="J904" s="105"/>
    </row>
    <row r="905" customFormat="false" ht="15" hidden="false" customHeight="false" outlineLevel="0" collapsed="false">
      <c r="B905" s="90" t="n">
        <v>613</v>
      </c>
      <c r="C905" s="91" t="n">
        <v>2094580</v>
      </c>
      <c r="D905" s="92" t="n">
        <f aca="false">IF($C905="","",IFERROR(IF(INDEX('REGISTRE TUBES'!$C$7:$C$2506,MATCH($C905,'REGISTRE TUBES'!$B$7:$B$2506,0))="","",INDEX('REGISTRE TUBES'!$C$7:$C$2506,MATCH($C905,'REGISTRE TUBES'!$B$7:$B$2506,0))),"?"))</f>
        <v>15421111</v>
      </c>
      <c r="E905" s="92" t="str">
        <f aca="false">IF($C905="","",IFERROR(IF(INDEX('REGISTRE TUBES'!$D$7:$D$2506,MATCH($C905,'REGISTRE TUBES'!$B$7:$B$2506,0))="","",INDEX('REGISTRE TUBES'!$D$7:$D$2506,MATCH($C905,'REGISTRE TUBES'!$B$7:$B$2506,0))),"?"))</f>
        <v/>
      </c>
      <c r="F905" s="93" t="n">
        <f aca="false">IF($C905="","",IFERROR(IF(INDEX('REGISTRE TUBES'!$F$7:$F$2506,MATCH($C905,'REGISTRE TUBES'!$B$7:$B$2506,0))="","",INDEX('REGISTRE TUBES'!$F$7:$F$2506,MATCH($C905,'REGISTRE TUBES'!$B$7:$B$2506,0))),"?"))</f>
        <v>11.94</v>
      </c>
      <c r="G905" s="94" t="n">
        <f aca="false">IF($C905="","",N(G904)+N(F905))</f>
        <v>7270.63999999991</v>
      </c>
      <c r="H905" s="95" t="s">
        <v>1919</v>
      </c>
      <c r="I905" s="96"/>
      <c r="J905" s="97"/>
    </row>
    <row r="906" customFormat="false" ht="15" hidden="false" customHeight="false" outlineLevel="0" collapsed="false">
      <c r="B906" s="98" t="n">
        <v>614</v>
      </c>
      <c r="C906" s="99" t="n">
        <v>2087320</v>
      </c>
      <c r="D906" s="100" t="n">
        <f aca="false">IF($C906="","",IFERROR(IF(INDEX('REGISTRE TUBES'!$C$7:$C$2506,MATCH($C906,'REGISTRE TUBES'!$B$7:$B$2506,0))="","",INDEX('REGISTRE TUBES'!$C$7:$C$2506,MATCH($C906,'REGISTRE TUBES'!$B$7:$B$2506,0))),"?"))</f>
        <v>15421107</v>
      </c>
      <c r="E906" s="100" t="str">
        <f aca="false">IF($C906="","",IFERROR(IF(INDEX('REGISTRE TUBES'!$D$7:$D$2506,MATCH($C906,'REGISTRE TUBES'!$B$7:$B$2506,0))="","",INDEX('REGISTRE TUBES'!$D$7:$D$2506,MATCH($C906,'REGISTRE TUBES'!$B$7:$B$2506,0))),"?"))</f>
        <v/>
      </c>
      <c r="F906" s="101" t="n">
        <f aca="false">IF($C906="","",IFERROR(IF(INDEX('REGISTRE TUBES'!$F$7:$F$2506,MATCH($C906,'REGISTRE TUBES'!$B$7:$B$2506,0))="","",INDEX('REGISTRE TUBES'!$F$7:$F$2506,MATCH($C906,'REGISTRE TUBES'!$B$7:$B$2506,0))),"?"))</f>
        <v>11.94</v>
      </c>
      <c r="G906" s="102" t="n">
        <f aca="false">IF($C906="","",N(G905)+N(F906))</f>
        <v>7282.57999999991</v>
      </c>
      <c r="H906" s="103" t="s">
        <v>1921</v>
      </c>
      <c r="I906" s="104"/>
      <c r="J906" s="105"/>
    </row>
    <row r="907" customFormat="false" ht="15" hidden="false" customHeight="false" outlineLevel="0" collapsed="false">
      <c r="B907" s="90" t="n">
        <v>615</v>
      </c>
      <c r="C907" s="91" t="n">
        <v>2082670</v>
      </c>
      <c r="D907" s="92" t="n">
        <f aca="false">IF($C907="","",IFERROR(IF(INDEX('REGISTRE TUBES'!$C$7:$C$2506,MATCH($C907,'REGISTRE TUBES'!$B$7:$B$2506,0))="","",INDEX('REGISTRE TUBES'!$C$7:$C$2506,MATCH($C907,'REGISTRE TUBES'!$B$7:$B$2506,0))),"?"))</f>
        <v>15421104</v>
      </c>
      <c r="E907" s="92" t="str">
        <f aca="false">IF($C907="","",IFERROR(IF(INDEX('REGISTRE TUBES'!$D$7:$D$2506,MATCH($C907,'REGISTRE TUBES'!$B$7:$B$2506,0))="","",INDEX('REGISTRE TUBES'!$D$7:$D$2506,MATCH($C907,'REGISTRE TUBES'!$B$7:$B$2506,0))),"?"))</f>
        <v/>
      </c>
      <c r="F907" s="93" t="n">
        <f aca="false">IF($C907="","",IFERROR(IF(INDEX('REGISTRE TUBES'!$F$7:$F$2506,MATCH($C907,'REGISTRE TUBES'!$B$7:$B$2506,0))="","",INDEX('REGISTRE TUBES'!$F$7:$F$2506,MATCH($C907,'REGISTRE TUBES'!$B$7:$B$2506,0))),"?"))</f>
        <v>11.94</v>
      </c>
      <c r="G907" s="94" t="n">
        <f aca="false">IF($C907="","",N(G906)+N(F907))</f>
        <v>7294.51999999991</v>
      </c>
      <c r="H907" s="95" t="s">
        <v>1923</v>
      </c>
      <c r="I907" s="96"/>
      <c r="J907" s="97"/>
    </row>
    <row r="908" customFormat="false" ht="15" hidden="false" customHeight="false" outlineLevel="0" collapsed="false">
      <c r="B908" s="98" t="n">
        <v>616</v>
      </c>
      <c r="C908" s="99" t="n">
        <v>2091870</v>
      </c>
      <c r="D908" s="100" t="n">
        <f aca="false">IF($C908="","",IFERROR(IF(INDEX('REGISTRE TUBES'!$C$7:$C$2506,MATCH($C908,'REGISTRE TUBES'!$B$7:$B$2506,0))="","",INDEX('REGISTRE TUBES'!$C$7:$C$2506,MATCH($C908,'REGISTRE TUBES'!$B$7:$B$2506,0))),"?"))</f>
        <v>15421112</v>
      </c>
      <c r="E908" s="100" t="str">
        <f aca="false">IF($C908="","",IFERROR(IF(INDEX('REGISTRE TUBES'!$D$7:$D$2506,MATCH($C908,'REGISTRE TUBES'!$B$7:$B$2506,0))="","",INDEX('REGISTRE TUBES'!$D$7:$D$2506,MATCH($C908,'REGISTRE TUBES'!$B$7:$B$2506,0))),"?"))</f>
        <v/>
      </c>
      <c r="F908" s="101" t="n">
        <f aca="false">IF($C908="","",IFERROR(IF(INDEX('REGISTRE TUBES'!$F$7:$F$2506,MATCH($C908,'REGISTRE TUBES'!$B$7:$B$2506,0))="","",INDEX('REGISTRE TUBES'!$F$7:$F$2506,MATCH($C908,'REGISTRE TUBES'!$B$7:$B$2506,0))),"?"))</f>
        <v>11.94</v>
      </c>
      <c r="G908" s="102" t="n">
        <f aca="false">IF($C908="","",N(G907)+N(F908))</f>
        <v>7306.45999999991</v>
      </c>
      <c r="H908" s="103" t="s">
        <v>1924</v>
      </c>
      <c r="I908" s="104"/>
      <c r="J908" s="105"/>
    </row>
    <row r="909" customFormat="false" ht="15" hidden="false" customHeight="false" outlineLevel="0" collapsed="false">
      <c r="B909" s="90" t="n">
        <v>617</v>
      </c>
      <c r="C909" s="91" t="n">
        <v>2078610</v>
      </c>
      <c r="D909" s="92" t="n">
        <f aca="false">IF($C909="","",IFERROR(IF(INDEX('REGISTRE TUBES'!$C$7:$C$2506,MATCH($C909,'REGISTRE TUBES'!$B$7:$B$2506,0))="","",INDEX('REGISTRE TUBES'!$C$7:$C$2506,MATCH($C909,'REGISTRE TUBES'!$B$7:$B$2506,0))),"?"))</f>
        <v>15421101</v>
      </c>
      <c r="E909" s="92" t="str">
        <f aca="false">IF($C909="","",IFERROR(IF(INDEX('REGISTRE TUBES'!$D$7:$D$2506,MATCH($C909,'REGISTRE TUBES'!$B$7:$B$2506,0))="","",INDEX('REGISTRE TUBES'!$D$7:$D$2506,MATCH($C909,'REGISTRE TUBES'!$B$7:$B$2506,0))),"?"))</f>
        <v/>
      </c>
      <c r="F909" s="93" t="n">
        <f aca="false">IF($C909="","",IFERROR(IF(INDEX('REGISTRE TUBES'!$F$7:$F$2506,MATCH($C909,'REGISTRE TUBES'!$B$7:$B$2506,0))="","",INDEX('REGISTRE TUBES'!$F$7:$F$2506,MATCH($C909,'REGISTRE TUBES'!$B$7:$B$2506,0))),"?"))</f>
        <v>11.94</v>
      </c>
      <c r="G909" s="94" t="n">
        <f aca="false">IF($C909="","",N(G908)+N(F909))</f>
        <v>7318.39999999991</v>
      </c>
      <c r="H909" s="95" t="s">
        <v>1925</v>
      </c>
      <c r="I909" s="96"/>
      <c r="J909" s="97"/>
    </row>
    <row r="910" customFormat="false" ht="15" hidden="false" customHeight="false" outlineLevel="0" collapsed="false">
      <c r="B910" s="98" t="n">
        <v>618</v>
      </c>
      <c r="C910" s="99" t="n">
        <v>2079470</v>
      </c>
      <c r="D910" s="100" t="n">
        <f aca="false">IF($C910="","",IFERROR(IF(INDEX('REGISTRE TUBES'!$C$7:$C$2506,MATCH($C910,'REGISTRE TUBES'!$B$7:$B$2506,0))="","",INDEX('REGISTRE TUBES'!$C$7:$C$2506,MATCH($C910,'REGISTRE TUBES'!$B$7:$B$2506,0))),"?"))</f>
        <v>15421112</v>
      </c>
      <c r="E910" s="100" t="str">
        <f aca="false">IF($C910="","",IFERROR(IF(INDEX('REGISTRE TUBES'!$D$7:$D$2506,MATCH($C910,'REGISTRE TUBES'!$B$7:$B$2506,0))="","",INDEX('REGISTRE TUBES'!$D$7:$D$2506,MATCH($C910,'REGISTRE TUBES'!$B$7:$B$2506,0))),"?"))</f>
        <v/>
      </c>
      <c r="F910" s="101" t="n">
        <f aca="false">IF($C910="","",IFERROR(IF(INDEX('REGISTRE TUBES'!$F$7:$F$2506,MATCH($C910,'REGISTRE TUBES'!$B$7:$B$2506,0))="","",INDEX('REGISTRE TUBES'!$F$7:$F$2506,MATCH($C910,'REGISTRE TUBES'!$B$7:$B$2506,0))),"?"))</f>
        <v>11.94</v>
      </c>
      <c r="G910" s="102" t="n">
        <f aca="false">IF($C910="","",N(G909)+N(F910))</f>
        <v>7330.33999999991</v>
      </c>
      <c r="H910" s="103" t="s">
        <v>1926</v>
      </c>
      <c r="I910" s="104"/>
      <c r="J910" s="105"/>
    </row>
    <row r="911" customFormat="false" ht="15" hidden="false" customHeight="false" outlineLevel="0" collapsed="false">
      <c r="B911" s="90" t="n">
        <v>619</v>
      </c>
      <c r="C911" s="91" t="n">
        <v>2097270</v>
      </c>
      <c r="D911" s="92" t="n">
        <f aca="false">IF($C911="","",IFERROR(IF(INDEX('REGISTRE TUBES'!$C$7:$C$2506,MATCH($C911,'REGISTRE TUBES'!$B$7:$B$2506,0))="","",INDEX('REGISTRE TUBES'!$C$7:$C$2506,MATCH($C911,'REGISTRE TUBES'!$B$7:$B$2506,0))),"?"))</f>
        <v>15421112</v>
      </c>
      <c r="E911" s="92" t="str">
        <f aca="false">IF($C911="","",IFERROR(IF(INDEX('REGISTRE TUBES'!$D$7:$D$2506,MATCH($C911,'REGISTRE TUBES'!$B$7:$B$2506,0))="","",INDEX('REGISTRE TUBES'!$D$7:$D$2506,MATCH($C911,'REGISTRE TUBES'!$B$7:$B$2506,0))),"?"))</f>
        <v/>
      </c>
      <c r="F911" s="93" t="n">
        <f aca="false">IF($C911="","",IFERROR(IF(INDEX('REGISTRE TUBES'!$F$7:$F$2506,MATCH($C911,'REGISTRE TUBES'!$B$7:$B$2506,0))="","",INDEX('REGISTRE TUBES'!$F$7:$F$2506,MATCH($C911,'REGISTRE TUBES'!$B$7:$B$2506,0))),"?"))</f>
        <v>11.94</v>
      </c>
      <c r="G911" s="94" t="n">
        <f aca="false">IF($C911="","",N(G910)+N(F911))</f>
        <v>7342.27999999991</v>
      </c>
      <c r="H911" s="95" t="s">
        <v>1928</v>
      </c>
      <c r="I911" s="96"/>
      <c r="J911" s="97"/>
    </row>
    <row r="912" customFormat="false" ht="15" hidden="false" customHeight="false" outlineLevel="0" collapsed="false">
      <c r="B912" s="98" t="n">
        <v>620</v>
      </c>
      <c r="C912" s="99" t="n">
        <v>2095670</v>
      </c>
      <c r="D912" s="100" t="n">
        <f aca="false">IF($C912="","",IFERROR(IF(INDEX('REGISTRE TUBES'!$C$7:$C$2506,MATCH($C912,'REGISTRE TUBES'!$B$7:$B$2506,0))="","",INDEX('REGISTRE TUBES'!$C$7:$C$2506,MATCH($C912,'REGISTRE TUBES'!$B$7:$B$2506,0))),"?"))</f>
        <v>15421111</v>
      </c>
      <c r="E912" s="100" t="str">
        <f aca="false">IF($C912="","",IFERROR(IF(INDEX('REGISTRE TUBES'!$D$7:$D$2506,MATCH($C912,'REGISTRE TUBES'!$B$7:$B$2506,0))="","",INDEX('REGISTRE TUBES'!$D$7:$D$2506,MATCH($C912,'REGISTRE TUBES'!$B$7:$B$2506,0))),"?"))</f>
        <v/>
      </c>
      <c r="F912" s="101" t="n">
        <f aca="false">IF($C912="","",IFERROR(IF(INDEX('REGISTRE TUBES'!$F$7:$F$2506,MATCH($C912,'REGISTRE TUBES'!$B$7:$B$2506,0))="","",INDEX('REGISTRE TUBES'!$F$7:$F$2506,MATCH($C912,'REGISTRE TUBES'!$B$7:$B$2506,0))),"?"))</f>
        <v>11.94</v>
      </c>
      <c r="G912" s="102" t="n">
        <f aca="false">IF($C912="","",N(G911)+N(F912))</f>
        <v>7354.21999999991</v>
      </c>
      <c r="H912" s="103" t="s">
        <v>1929</v>
      </c>
      <c r="I912" s="104"/>
      <c r="J912" s="105"/>
    </row>
    <row r="913" customFormat="false" ht="15" hidden="false" customHeight="false" outlineLevel="0" collapsed="false">
      <c r="B913" s="90" t="n">
        <v>621</v>
      </c>
      <c r="C913" s="91" t="n">
        <v>2097170</v>
      </c>
      <c r="D913" s="92" t="n">
        <f aca="false">IF($C913="","",IFERROR(IF(INDEX('REGISTRE TUBES'!$C$7:$C$2506,MATCH($C913,'REGISTRE TUBES'!$B$7:$B$2506,0))="","",INDEX('REGISTRE TUBES'!$C$7:$C$2506,MATCH($C913,'REGISTRE TUBES'!$B$7:$B$2506,0))),"?"))</f>
        <v>15421112</v>
      </c>
      <c r="E913" s="92" t="str">
        <f aca="false">IF($C913="","",IFERROR(IF(INDEX('REGISTRE TUBES'!$D$7:$D$2506,MATCH($C913,'REGISTRE TUBES'!$B$7:$B$2506,0))="","",INDEX('REGISTRE TUBES'!$D$7:$D$2506,MATCH($C913,'REGISTRE TUBES'!$B$7:$B$2506,0))),"?"))</f>
        <v/>
      </c>
      <c r="F913" s="93" t="n">
        <f aca="false">IF($C913="","",IFERROR(IF(INDEX('REGISTRE TUBES'!$F$7:$F$2506,MATCH($C913,'REGISTRE TUBES'!$B$7:$B$2506,0))="","",INDEX('REGISTRE TUBES'!$F$7:$F$2506,MATCH($C913,'REGISTRE TUBES'!$B$7:$B$2506,0))),"?"))</f>
        <v>11.94</v>
      </c>
      <c r="G913" s="94" t="n">
        <f aca="false">IF($C913="","",N(G912)+N(F913))</f>
        <v>7366.15999999991</v>
      </c>
      <c r="H913" s="95" t="s">
        <v>1931</v>
      </c>
      <c r="I913" s="96"/>
      <c r="J913" s="97"/>
    </row>
    <row r="914" customFormat="false" ht="15" hidden="false" customHeight="false" outlineLevel="0" collapsed="false">
      <c r="B914" s="98" t="n">
        <v>622</v>
      </c>
      <c r="C914" s="99" t="n">
        <v>2094480</v>
      </c>
      <c r="D914" s="100" t="n">
        <f aca="false">IF($C914="","",IFERROR(IF(INDEX('REGISTRE TUBES'!$C$7:$C$2506,MATCH($C914,'REGISTRE TUBES'!$B$7:$B$2506,0))="","",INDEX('REGISTRE TUBES'!$C$7:$C$2506,MATCH($C914,'REGISTRE TUBES'!$B$7:$B$2506,0))),"?"))</f>
        <v>15421111</v>
      </c>
      <c r="E914" s="100" t="str">
        <f aca="false">IF($C914="","",IFERROR(IF(INDEX('REGISTRE TUBES'!$D$7:$D$2506,MATCH($C914,'REGISTRE TUBES'!$B$7:$B$2506,0))="","",INDEX('REGISTRE TUBES'!$D$7:$D$2506,MATCH($C914,'REGISTRE TUBES'!$B$7:$B$2506,0))),"?"))</f>
        <v/>
      </c>
      <c r="F914" s="101" t="n">
        <f aca="false">IF($C914="","",IFERROR(IF(INDEX('REGISTRE TUBES'!$F$7:$F$2506,MATCH($C914,'REGISTRE TUBES'!$B$7:$B$2506,0))="","",INDEX('REGISTRE TUBES'!$F$7:$F$2506,MATCH($C914,'REGISTRE TUBES'!$B$7:$B$2506,0))),"?"))</f>
        <v>11.94</v>
      </c>
      <c r="G914" s="102" t="n">
        <f aca="false">IF($C914="","",N(G913)+N(F914))</f>
        <v>7378.09999999991</v>
      </c>
      <c r="H914" s="103" t="s">
        <v>1933</v>
      </c>
      <c r="I914" s="104"/>
      <c r="J914" s="105"/>
    </row>
    <row r="915" customFormat="false" ht="15" hidden="false" customHeight="false" outlineLevel="0" collapsed="false">
      <c r="B915" s="90" t="n">
        <v>623</v>
      </c>
      <c r="C915" s="91" t="n">
        <v>2080020</v>
      </c>
      <c r="D915" s="92" t="n">
        <f aca="false">IF($C915="","",IFERROR(IF(INDEX('REGISTRE TUBES'!$C$7:$C$2506,MATCH($C915,'REGISTRE TUBES'!$B$7:$B$2506,0))="","",INDEX('REGISTRE TUBES'!$C$7:$C$2506,MATCH($C915,'REGISTRE TUBES'!$B$7:$B$2506,0))),"?"))</f>
        <v>15421102</v>
      </c>
      <c r="E915" s="92" t="str">
        <f aca="false">IF($C915="","",IFERROR(IF(INDEX('REGISTRE TUBES'!$D$7:$D$2506,MATCH($C915,'REGISTRE TUBES'!$B$7:$B$2506,0))="","",INDEX('REGISTRE TUBES'!$D$7:$D$2506,MATCH($C915,'REGISTRE TUBES'!$B$7:$B$2506,0))),"?"))</f>
        <v/>
      </c>
      <c r="F915" s="93" t="n">
        <f aca="false">IF($C915="","",IFERROR(IF(INDEX('REGISTRE TUBES'!$F$7:$F$2506,MATCH($C915,'REGISTRE TUBES'!$B$7:$B$2506,0))="","",INDEX('REGISTRE TUBES'!$F$7:$F$2506,MATCH($C915,'REGISTRE TUBES'!$B$7:$B$2506,0))),"?"))</f>
        <v>11.94</v>
      </c>
      <c r="G915" s="94" t="n">
        <f aca="false">IF($C915="","",N(G914)+N(F915))</f>
        <v>7390.03999999991</v>
      </c>
      <c r="H915" s="95" t="s">
        <v>1934</v>
      </c>
      <c r="I915" s="96"/>
      <c r="J915" s="97"/>
    </row>
    <row r="916" customFormat="false" ht="15" hidden="false" customHeight="false" outlineLevel="0" collapsed="false">
      <c r="B916" s="98" t="n">
        <v>624</v>
      </c>
      <c r="C916" s="99" t="n">
        <v>2096390</v>
      </c>
      <c r="D916" s="100" t="n">
        <f aca="false">IF($C916="","",IFERROR(IF(INDEX('REGISTRE TUBES'!$C$7:$C$2506,MATCH($C916,'REGISTRE TUBES'!$B$7:$B$2506,0))="","",INDEX('REGISTRE TUBES'!$C$7:$C$2506,MATCH($C916,'REGISTRE TUBES'!$B$7:$B$2506,0))),"?"))</f>
        <v>15421111</v>
      </c>
      <c r="E916" s="100" t="str">
        <f aca="false">IF($C916="","",IFERROR(IF(INDEX('REGISTRE TUBES'!$D$7:$D$2506,MATCH($C916,'REGISTRE TUBES'!$B$7:$B$2506,0))="","",INDEX('REGISTRE TUBES'!$D$7:$D$2506,MATCH($C916,'REGISTRE TUBES'!$B$7:$B$2506,0))),"?"))</f>
        <v/>
      </c>
      <c r="F916" s="101" t="n">
        <f aca="false">IF($C916="","",IFERROR(IF(INDEX('REGISTRE TUBES'!$F$7:$F$2506,MATCH($C916,'REGISTRE TUBES'!$B$7:$B$2506,0))="","",INDEX('REGISTRE TUBES'!$F$7:$F$2506,MATCH($C916,'REGISTRE TUBES'!$B$7:$B$2506,0))),"?"))</f>
        <v>11.94</v>
      </c>
      <c r="G916" s="102" t="n">
        <f aca="false">IF($C916="","",N(G915)+N(F916))</f>
        <v>7401.97999999991</v>
      </c>
      <c r="H916" s="103" t="s">
        <v>1936</v>
      </c>
      <c r="I916" s="104"/>
      <c r="J916" s="105"/>
    </row>
    <row r="917" customFormat="false" ht="15" hidden="false" customHeight="false" outlineLevel="0" collapsed="false">
      <c r="B917" s="90" t="n">
        <v>625</v>
      </c>
      <c r="C917" s="91" t="n">
        <v>2082470</v>
      </c>
      <c r="D917" s="92" t="n">
        <f aca="false">IF($C917="","",IFERROR(IF(INDEX('REGISTRE TUBES'!$C$7:$C$2506,MATCH($C917,'REGISTRE TUBES'!$B$7:$B$2506,0))="","",INDEX('REGISTRE TUBES'!$C$7:$C$2506,MATCH($C917,'REGISTRE TUBES'!$B$7:$B$2506,0))),"?"))</f>
        <v>15421104</v>
      </c>
      <c r="E917" s="92" t="str">
        <f aca="false">IF($C917="","",IFERROR(IF(INDEX('REGISTRE TUBES'!$D$7:$D$2506,MATCH($C917,'REGISTRE TUBES'!$B$7:$B$2506,0))="","",INDEX('REGISTRE TUBES'!$D$7:$D$2506,MATCH($C917,'REGISTRE TUBES'!$B$7:$B$2506,0))),"?"))</f>
        <v/>
      </c>
      <c r="F917" s="93" t="n">
        <f aca="false">IF($C917="","",IFERROR(IF(INDEX('REGISTRE TUBES'!$F$7:$F$2506,MATCH($C917,'REGISTRE TUBES'!$B$7:$B$2506,0))="","",INDEX('REGISTRE TUBES'!$F$7:$F$2506,MATCH($C917,'REGISTRE TUBES'!$B$7:$B$2506,0))),"?"))</f>
        <v>11.94</v>
      </c>
      <c r="G917" s="94" t="n">
        <f aca="false">IF($C917="","",N(G916)+N(F917))</f>
        <v>7413.91999999991</v>
      </c>
      <c r="H917" s="95" t="s">
        <v>1937</v>
      </c>
      <c r="I917" s="96"/>
      <c r="J917" s="97"/>
    </row>
    <row r="918" customFormat="false" ht="15" hidden="false" customHeight="false" outlineLevel="0" collapsed="false">
      <c r="B918" s="98" t="n">
        <v>626</v>
      </c>
      <c r="C918" s="99" t="n">
        <v>2079880</v>
      </c>
      <c r="D918" s="100" t="n">
        <f aca="false">IF($C918="","",IFERROR(IF(INDEX('REGISTRE TUBES'!$C$7:$C$2506,MATCH($C918,'REGISTRE TUBES'!$B$7:$B$2506,0))="","",INDEX('REGISTRE TUBES'!$C$7:$C$2506,MATCH($C918,'REGISTRE TUBES'!$B$7:$B$2506,0))),"?"))</f>
        <v>15421102</v>
      </c>
      <c r="E918" s="100" t="str">
        <f aca="false">IF($C918="","",IFERROR(IF(INDEX('REGISTRE TUBES'!$D$7:$D$2506,MATCH($C918,'REGISTRE TUBES'!$B$7:$B$2506,0))="","",INDEX('REGISTRE TUBES'!$D$7:$D$2506,MATCH($C918,'REGISTRE TUBES'!$B$7:$B$2506,0))),"?"))</f>
        <v/>
      </c>
      <c r="F918" s="101" t="n">
        <f aca="false">IF($C918="","",IFERROR(IF(INDEX('REGISTRE TUBES'!$F$7:$F$2506,MATCH($C918,'REGISTRE TUBES'!$B$7:$B$2506,0))="","",INDEX('REGISTRE TUBES'!$F$7:$F$2506,MATCH($C918,'REGISTRE TUBES'!$B$7:$B$2506,0))),"?"))</f>
        <v>11.94</v>
      </c>
      <c r="G918" s="102" t="n">
        <f aca="false">IF($C918="","",N(G917)+N(F918))</f>
        <v>7425.85999999991</v>
      </c>
      <c r="H918" s="103" t="s">
        <v>1940</v>
      </c>
      <c r="I918" s="104"/>
      <c r="J918" s="105"/>
    </row>
    <row r="919" customFormat="false" ht="15" hidden="false" customHeight="false" outlineLevel="0" collapsed="false">
      <c r="B919" s="90" t="n">
        <v>627</v>
      </c>
      <c r="C919" s="91" t="n">
        <v>2097160</v>
      </c>
      <c r="D919" s="92" t="n">
        <f aca="false">IF($C919="","",IFERROR(IF(INDEX('REGISTRE TUBES'!$C$7:$C$2506,MATCH($C919,'REGISTRE TUBES'!$B$7:$B$2506,0))="","",INDEX('REGISTRE TUBES'!$C$7:$C$2506,MATCH($C919,'REGISTRE TUBES'!$B$7:$B$2506,0))),"?"))</f>
        <v>15421112</v>
      </c>
      <c r="E919" s="92" t="str">
        <f aca="false">IF($C919="","",IFERROR(IF(INDEX('REGISTRE TUBES'!$D$7:$D$2506,MATCH($C919,'REGISTRE TUBES'!$B$7:$B$2506,0))="","",INDEX('REGISTRE TUBES'!$D$7:$D$2506,MATCH($C919,'REGISTRE TUBES'!$B$7:$B$2506,0))),"?"))</f>
        <v/>
      </c>
      <c r="F919" s="93" t="n">
        <f aca="false">IF($C919="","",IFERROR(IF(INDEX('REGISTRE TUBES'!$F$7:$F$2506,MATCH($C919,'REGISTRE TUBES'!$B$7:$B$2506,0))="","",INDEX('REGISTRE TUBES'!$F$7:$F$2506,MATCH($C919,'REGISTRE TUBES'!$B$7:$B$2506,0))),"?"))</f>
        <v>11.94</v>
      </c>
      <c r="G919" s="94" t="n">
        <f aca="false">IF($C919="","",N(G918)+N(F919))</f>
        <v>7437.79999999991</v>
      </c>
      <c r="H919" s="95" t="s">
        <v>1941</v>
      </c>
      <c r="I919" s="96"/>
      <c r="J919" s="97"/>
    </row>
    <row r="920" customFormat="false" ht="15" hidden="false" customHeight="true" outlineLevel="0" collapsed="false">
      <c r="B920" s="106" t="s">
        <v>3031</v>
      </c>
      <c r="C920" s="106"/>
      <c r="D920" s="106"/>
      <c r="E920" s="106"/>
      <c r="F920" s="107" t="n">
        <f aca="false">SUM(F901:F919)</f>
        <v>226.86</v>
      </c>
      <c r="G920" s="108" t="n">
        <f aca="false">IF(COUNT(G901:G919)=0,"",MAX(G901:G919))</f>
        <v>7437.79999999991</v>
      </c>
      <c r="H920" s="106" t="str">
        <f aca="false">COUNTA(C901:C919)&amp;" tube(s)"</f>
        <v>19 tube(s)</v>
      </c>
      <c r="I920" s="106"/>
      <c r="J920" s="106"/>
    </row>
    <row r="922" customFormat="false" ht="15" hidden="false" customHeight="false" outlineLevel="0" collapsed="false">
      <c r="B922" s="109" t="s">
        <v>3032</v>
      </c>
      <c r="F922" s="109" t="s">
        <v>3033</v>
      </c>
      <c r="I922" s="109" t="s">
        <v>3034</v>
      </c>
    </row>
    <row r="925" customFormat="false" ht="25.5" hidden="false" customHeight="true" outlineLevel="0" collapsed="false">
      <c r="B925" s="85" t="s">
        <v>3015</v>
      </c>
      <c r="C925" s="85"/>
      <c r="D925" s="85"/>
      <c r="E925" s="85"/>
      <c r="F925" s="85"/>
      <c r="G925" s="85"/>
      <c r="H925" s="85"/>
      <c r="I925" s="85"/>
      <c r="J925" s="85"/>
    </row>
    <row r="926" customFormat="false" ht="15" hidden="false" customHeight="false" outlineLevel="0" collapsed="false">
      <c r="B926" s="86" t="str">
        <f aca="false">PARAMÈTRES!$C$4&amp;"   •   Affaire N° "&amp;PARAMÈTRES!$C$5</f>
        <v>Développement des champs gaziers TFT II — réseau de collecte TFT Sud (LIGNE-16)   •   Affaire N° 8546</v>
      </c>
      <c r="C926" s="86"/>
      <c r="D926" s="86"/>
      <c r="E926" s="86"/>
      <c r="F926" s="86"/>
      <c r="G926" s="86"/>
      <c r="H926" s="86"/>
      <c r="I926" s="86"/>
      <c r="J926" s="86"/>
    </row>
    <row r="927" customFormat="false" ht="19.5" hidden="false" customHeight="true" outlineLevel="0" collapsed="false">
      <c r="B927" s="87" t="s">
        <v>3016</v>
      </c>
      <c r="C927" s="88" t="s">
        <v>110</v>
      </c>
      <c r="D927" s="88"/>
      <c r="E927" s="87" t="s">
        <v>3017</v>
      </c>
      <c r="F927" s="88" t="s">
        <v>3099</v>
      </c>
      <c r="G927" s="87" t="s">
        <v>3019</v>
      </c>
      <c r="H927" s="88" t="s">
        <v>3100</v>
      </c>
      <c r="I927" s="87" t="s">
        <v>3021</v>
      </c>
      <c r="J927" s="89"/>
    </row>
    <row r="928" customFormat="false" ht="27.75" hidden="false" customHeight="true" outlineLevel="0" collapsed="false">
      <c r="B928" s="71" t="s">
        <v>3022</v>
      </c>
      <c r="C928" s="71" t="s">
        <v>3023</v>
      </c>
      <c r="D928" s="71" t="s">
        <v>3024</v>
      </c>
      <c r="E928" s="71" t="s">
        <v>3025</v>
      </c>
      <c r="F928" s="71" t="s">
        <v>3026</v>
      </c>
      <c r="G928" s="71" t="s">
        <v>3027</v>
      </c>
      <c r="H928" s="71" t="s">
        <v>3028</v>
      </c>
      <c r="I928" s="71" t="s">
        <v>3029</v>
      </c>
      <c r="J928" s="71" t="s">
        <v>3030</v>
      </c>
    </row>
    <row r="929" customFormat="false" ht="15" hidden="false" customHeight="false" outlineLevel="0" collapsed="false">
      <c r="B929" s="90" t="n">
        <v>628</v>
      </c>
      <c r="C929" s="91" t="n">
        <v>2096660</v>
      </c>
      <c r="D929" s="92" t="n">
        <f aca="false">IF($C929="","",IFERROR(IF(INDEX('REGISTRE TUBES'!$C$7:$C$2506,MATCH($C929,'REGISTRE TUBES'!$B$7:$B$2506,0))="","",INDEX('REGISTRE TUBES'!$C$7:$C$2506,MATCH($C929,'REGISTRE TUBES'!$B$7:$B$2506,0))),"?"))</f>
        <v>15421111</v>
      </c>
      <c r="E929" s="92" t="str">
        <f aca="false">IF($C929="","",IFERROR(IF(INDEX('REGISTRE TUBES'!$D$7:$D$2506,MATCH($C929,'REGISTRE TUBES'!$B$7:$B$2506,0))="","",INDEX('REGISTRE TUBES'!$D$7:$D$2506,MATCH($C929,'REGISTRE TUBES'!$B$7:$B$2506,0))),"?"))</f>
        <v/>
      </c>
      <c r="F929" s="93" t="n">
        <f aca="false">IF($C929="","",IFERROR(IF(INDEX('REGISTRE TUBES'!$F$7:$F$2506,MATCH($C929,'REGISTRE TUBES'!$B$7:$B$2506,0))="","",INDEX('REGISTRE TUBES'!$F$7:$F$2506,MATCH($C929,'REGISTRE TUBES'!$B$7:$B$2506,0))),"?"))</f>
        <v>11.94</v>
      </c>
      <c r="G929" s="94" t="n">
        <f aca="false">IF($C929="","",N(G919)+N(F929))</f>
        <v>7449.7399999999</v>
      </c>
      <c r="H929" s="95" t="s">
        <v>1942</v>
      </c>
      <c r="I929" s="96"/>
      <c r="J929" s="97"/>
    </row>
    <row r="930" customFormat="false" ht="15" hidden="false" customHeight="false" outlineLevel="0" collapsed="false">
      <c r="B930" s="98" t="n">
        <v>629</v>
      </c>
      <c r="C930" s="99" t="n">
        <v>2093800</v>
      </c>
      <c r="D930" s="100" t="n">
        <f aca="false">IF($C930="","",IFERROR(IF(INDEX('REGISTRE TUBES'!$C$7:$C$2506,MATCH($C930,'REGISTRE TUBES'!$B$7:$B$2506,0))="","",INDEX('REGISTRE TUBES'!$C$7:$C$2506,MATCH($C930,'REGISTRE TUBES'!$B$7:$B$2506,0))),"?"))</f>
        <v>15421110</v>
      </c>
      <c r="E930" s="100" t="str">
        <f aca="false">IF($C930="","",IFERROR(IF(INDEX('REGISTRE TUBES'!$D$7:$D$2506,MATCH($C930,'REGISTRE TUBES'!$B$7:$B$2506,0))="","",INDEX('REGISTRE TUBES'!$D$7:$D$2506,MATCH($C930,'REGISTRE TUBES'!$B$7:$B$2506,0))),"?"))</f>
        <v/>
      </c>
      <c r="F930" s="101" t="n">
        <f aca="false">IF($C930="","",IFERROR(IF(INDEX('REGISTRE TUBES'!$F$7:$F$2506,MATCH($C930,'REGISTRE TUBES'!$B$7:$B$2506,0))="","",INDEX('REGISTRE TUBES'!$F$7:$F$2506,MATCH($C930,'REGISTRE TUBES'!$B$7:$B$2506,0))),"?"))</f>
        <v>11.94</v>
      </c>
      <c r="G930" s="102" t="n">
        <f aca="false">IF($C930="","",N(G929)+N(F930))</f>
        <v>7461.6799999999</v>
      </c>
      <c r="H930" s="103" t="s">
        <v>1943</v>
      </c>
      <c r="I930" s="104"/>
      <c r="J930" s="105"/>
    </row>
    <row r="931" customFormat="false" ht="15" hidden="false" customHeight="false" outlineLevel="0" collapsed="false">
      <c r="B931" s="90" t="n">
        <v>630</v>
      </c>
      <c r="C931" s="91" t="n">
        <v>2092480</v>
      </c>
      <c r="D931" s="92" t="n">
        <f aca="false">IF($C931="","",IFERROR(IF(INDEX('REGISTRE TUBES'!$C$7:$C$2506,MATCH($C931,'REGISTRE TUBES'!$B$7:$B$2506,0))="","",INDEX('REGISTRE TUBES'!$C$7:$C$2506,MATCH($C931,'REGISTRE TUBES'!$B$7:$B$2506,0))),"?"))</f>
        <v>15421110</v>
      </c>
      <c r="E931" s="92" t="str">
        <f aca="false">IF($C931="","",IFERROR(IF(INDEX('REGISTRE TUBES'!$D$7:$D$2506,MATCH($C931,'REGISTRE TUBES'!$B$7:$B$2506,0))="","",INDEX('REGISTRE TUBES'!$D$7:$D$2506,MATCH($C931,'REGISTRE TUBES'!$B$7:$B$2506,0))),"?"))</f>
        <v/>
      </c>
      <c r="F931" s="93" t="n">
        <f aca="false">IF($C931="","",IFERROR(IF(INDEX('REGISTRE TUBES'!$F$7:$F$2506,MATCH($C931,'REGISTRE TUBES'!$B$7:$B$2506,0))="","",INDEX('REGISTRE TUBES'!$F$7:$F$2506,MATCH($C931,'REGISTRE TUBES'!$B$7:$B$2506,0))),"?"))</f>
        <v>11.94</v>
      </c>
      <c r="G931" s="94" t="n">
        <f aca="false">IF($C931="","",N(G930)+N(F931))</f>
        <v>7473.6199999999</v>
      </c>
      <c r="H931" s="95" t="s">
        <v>1945</v>
      </c>
      <c r="I931" s="96"/>
      <c r="J931" s="97"/>
    </row>
    <row r="932" customFormat="false" ht="15" hidden="false" customHeight="false" outlineLevel="0" collapsed="false">
      <c r="B932" s="98" t="n">
        <v>631</v>
      </c>
      <c r="C932" s="99" t="n">
        <v>2088990</v>
      </c>
      <c r="D932" s="100" t="n">
        <f aca="false">IF($C932="","",IFERROR(IF(INDEX('REGISTRE TUBES'!$C$7:$C$2506,MATCH($C932,'REGISTRE TUBES'!$B$7:$B$2506,0))="","",INDEX('REGISTRE TUBES'!$C$7:$C$2506,MATCH($C932,'REGISTRE TUBES'!$B$7:$B$2506,0))),"?"))</f>
        <v>15421108</v>
      </c>
      <c r="E932" s="100" t="str">
        <f aca="false">IF($C932="","",IFERROR(IF(INDEX('REGISTRE TUBES'!$D$7:$D$2506,MATCH($C932,'REGISTRE TUBES'!$B$7:$B$2506,0))="","",INDEX('REGISTRE TUBES'!$D$7:$D$2506,MATCH($C932,'REGISTRE TUBES'!$B$7:$B$2506,0))),"?"))</f>
        <v/>
      </c>
      <c r="F932" s="101" t="n">
        <f aca="false">IF($C932="","",IFERROR(IF(INDEX('REGISTRE TUBES'!$F$7:$F$2506,MATCH($C932,'REGISTRE TUBES'!$B$7:$B$2506,0))="","",INDEX('REGISTRE TUBES'!$F$7:$F$2506,MATCH($C932,'REGISTRE TUBES'!$B$7:$B$2506,0))),"?"))</f>
        <v>11.94</v>
      </c>
      <c r="G932" s="102" t="n">
        <f aca="false">IF($C932="","",N(G931)+N(F932))</f>
        <v>7485.5599999999</v>
      </c>
      <c r="H932" s="103" t="s">
        <v>1946</v>
      </c>
      <c r="I932" s="104"/>
      <c r="J932" s="105"/>
    </row>
    <row r="933" customFormat="false" ht="15" hidden="false" customHeight="false" outlineLevel="0" collapsed="false">
      <c r="B933" s="90" t="n">
        <v>632</v>
      </c>
      <c r="C933" s="91" t="n">
        <v>2085040</v>
      </c>
      <c r="D933" s="92" t="n">
        <f aca="false">IF($C933="","",IFERROR(IF(INDEX('REGISTRE TUBES'!$C$7:$C$2506,MATCH($C933,'REGISTRE TUBES'!$B$7:$B$2506,0))="","",INDEX('REGISTRE TUBES'!$C$7:$C$2506,MATCH($C933,'REGISTRE TUBES'!$B$7:$B$2506,0))),"?"))</f>
        <v>15421106</v>
      </c>
      <c r="E933" s="92" t="str">
        <f aca="false">IF($C933="","",IFERROR(IF(INDEX('REGISTRE TUBES'!$D$7:$D$2506,MATCH($C933,'REGISTRE TUBES'!$B$7:$B$2506,0))="","",INDEX('REGISTRE TUBES'!$D$7:$D$2506,MATCH($C933,'REGISTRE TUBES'!$B$7:$B$2506,0))),"?"))</f>
        <v/>
      </c>
      <c r="F933" s="93" t="n">
        <f aca="false">IF($C933="","",IFERROR(IF(INDEX('REGISTRE TUBES'!$F$7:$F$2506,MATCH($C933,'REGISTRE TUBES'!$B$7:$B$2506,0))="","",INDEX('REGISTRE TUBES'!$F$7:$F$2506,MATCH($C933,'REGISTRE TUBES'!$B$7:$B$2506,0))),"?"))</f>
        <v>11.94</v>
      </c>
      <c r="G933" s="94" t="n">
        <f aca="false">IF($C933="","",N(G932)+N(F933))</f>
        <v>7497.4999999999</v>
      </c>
      <c r="H933" s="95" t="s">
        <v>1947</v>
      </c>
      <c r="I933" s="96"/>
      <c r="J933" s="97"/>
    </row>
    <row r="934" customFormat="false" ht="15" hidden="false" customHeight="false" outlineLevel="0" collapsed="false">
      <c r="B934" s="98" t="n">
        <v>633</v>
      </c>
      <c r="C934" s="99" t="n">
        <v>2081990</v>
      </c>
      <c r="D934" s="100" t="n">
        <f aca="false">IF($C934="","",IFERROR(IF(INDEX('REGISTRE TUBES'!$C$7:$C$2506,MATCH($C934,'REGISTRE TUBES'!$B$7:$B$2506,0))="","",INDEX('REGISTRE TUBES'!$C$7:$C$2506,MATCH($C934,'REGISTRE TUBES'!$B$7:$B$2506,0))),"?"))</f>
        <v>15421104</v>
      </c>
      <c r="E934" s="100" t="str">
        <f aca="false">IF($C934="","",IFERROR(IF(INDEX('REGISTRE TUBES'!$D$7:$D$2506,MATCH($C934,'REGISTRE TUBES'!$B$7:$B$2506,0))="","",INDEX('REGISTRE TUBES'!$D$7:$D$2506,MATCH($C934,'REGISTRE TUBES'!$B$7:$B$2506,0))),"?"))</f>
        <v/>
      </c>
      <c r="F934" s="101" t="n">
        <f aca="false">IF($C934="","",IFERROR(IF(INDEX('REGISTRE TUBES'!$F$7:$F$2506,MATCH($C934,'REGISTRE TUBES'!$B$7:$B$2506,0))="","",INDEX('REGISTRE TUBES'!$F$7:$F$2506,MATCH($C934,'REGISTRE TUBES'!$B$7:$B$2506,0))),"?"))</f>
        <v>11.94</v>
      </c>
      <c r="G934" s="102" t="n">
        <f aca="false">IF($C934="","",N(G933)+N(F934))</f>
        <v>7509.4399999999</v>
      </c>
      <c r="H934" s="103" t="s">
        <v>1948</v>
      </c>
      <c r="I934" s="104"/>
      <c r="J934" s="105"/>
    </row>
    <row r="935" customFormat="false" ht="15" hidden="false" customHeight="false" outlineLevel="0" collapsed="false">
      <c r="B935" s="90" t="n">
        <v>634</v>
      </c>
      <c r="C935" s="91" t="n">
        <v>2094250</v>
      </c>
      <c r="D935" s="92" t="n">
        <f aca="false">IF($C935="","",IFERROR(IF(INDEX('REGISTRE TUBES'!$C$7:$C$2506,MATCH($C935,'REGISTRE TUBES'!$B$7:$B$2506,0))="","",INDEX('REGISTRE TUBES'!$C$7:$C$2506,MATCH($C935,'REGISTRE TUBES'!$B$7:$B$2506,0))),"?"))</f>
        <v>15421110</v>
      </c>
      <c r="E935" s="92" t="str">
        <f aca="false">IF($C935="","",IFERROR(IF(INDEX('REGISTRE TUBES'!$D$7:$D$2506,MATCH($C935,'REGISTRE TUBES'!$B$7:$B$2506,0))="","",INDEX('REGISTRE TUBES'!$D$7:$D$2506,MATCH($C935,'REGISTRE TUBES'!$B$7:$B$2506,0))),"?"))</f>
        <v/>
      </c>
      <c r="F935" s="93" t="n">
        <f aca="false">IF($C935="","",IFERROR(IF(INDEX('REGISTRE TUBES'!$F$7:$F$2506,MATCH($C935,'REGISTRE TUBES'!$B$7:$B$2506,0))="","",INDEX('REGISTRE TUBES'!$F$7:$F$2506,MATCH($C935,'REGISTRE TUBES'!$B$7:$B$2506,0))),"?"))</f>
        <v>11.94</v>
      </c>
      <c r="G935" s="94" t="n">
        <f aca="false">IF($C935="","",N(G934)+N(F935))</f>
        <v>7521.3799999999</v>
      </c>
      <c r="H935" s="95" t="s">
        <v>1949</v>
      </c>
      <c r="I935" s="96"/>
      <c r="J935" s="97"/>
    </row>
    <row r="936" customFormat="false" ht="15" hidden="false" customHeight="false" outlineLevel="0" collapsed="false">
      <c r="B936" s="98" t="n">
        <v>635</v>
      </c>
      <c r="C936" s="99" t="n">
        <v>2097490</v>
      </c>
      <c r="D936" s="100" t="n">
        <f aca="false">IF($C936="","",IFERROR(IF(INDEX('REGISTRE TUBES'!$C$7:$C$2506,MATCH($C936,'REGISTRE TUBES'!$B$7:$B$2506,0))="","",INDEX('REGISTRE TUBES'!$C$7:$C$2506,MATCH($C936,'REGISTRE TUBES'!$B$7:$B$2506,0))),"?"))</f>
        <v>15421112</v>
      </c>
      <c r="E936" s="100" t="str">
        <f aca="false">IF($C936="","",IFERROR(IF(INDEX('REGISTRE TUBES'!$D$7:$D$2506,MATCH($C936,'REGISTRE TUBES'!$B$7:$B$2506,0))="","",INDEX('REGISTRE TUBES'!$D$7:$D$2506,MATCH($C936,'REGISTRE TUBES'!$B$7:$B$2506,0))),"?"))</f>
        <v/>
      </c>
      <c r="F936" s="101" t="n">
        <f aca="false">IF($C936="","",IFERROR(IF(INDEX('REGISTRE TUBES'!$F$7:$F$2506,MATCH($C936,'REGISTRE TUBES'!$B$7:$B$2506,0))="","",INDEX('REGISTRE TUBES'!$F$7:$F$2506,MATCH($C936,'REGISTRE TUBES'!$B$7:$B$2506,0))),"?"))</f>
        <v>11.94</v>
      </c>
      <c r="G936" s="102" t="n">
        <f aca="false">IF($C936="","",N(G935)+N(F936))</f>
        <v>7533.3199999999</v>
      </c>
      <c r="H936" s="103" t="s">
        <v>1950</v>
      </c>
      <c r="I936" s="104"/>
      <c r="J936" s="105"/>
    </row>
    <row r="937" customFormat="false" ht="15" hidden="false" customHeight="false" outlineLevel="0" collapsed="false">
      <c r="B937" s="90" t="n">
        <v>636</v>
      </c>
      <c r="C937" s="91" t="n">
        <v>2095440</v>
      </c>
      <c r="D937" s="92" t="n">
        <f aca="false">IF($C937="","",IFERROR(IF(INDEX('REGISTRE TUBES'!$C$7:$C$2506,MATCH($C937,'REGISTRE TUBES'!$B$7:$B$2506,0))="","",INDEX('REGISTRE TUBES'!$C$7:$C$2506,MATCH($C937,'REGISTRE TUBES'!$B$7:$B$2506,0))),"?"))</f>
        <v>15421111</v>
      </c>
      <c r="E937" s="92" t="str">
        <f aca="false">IF($C937="","",IFERROR(IF(INDEX('REGISTRE TUBES'!$D$7:$D$2506,MATCH($C937,'REGISTRE TUBES'!$B$7:$B$2506,0))="","",INDEX('REGISTRE TUBES'!$D$7:$D$2506,MATCH($C937,'REGISTRE TUBES'!$B$7:$B$2506,0))),"?"))</f>
        <v/>
      </c>
      <c r="F937" s="93" t="n">
        <f aca="false">IF($C937="","",IFERROR(IF(INDEX('REGISTRE TUBES'!$F$7:$F$2506,MATCH($C937,'REGISTRE TUBES'!$B$7:$B$2506,0))="","",INDEX('REGISTRE TUBES'!$F$7:$F$2506,MATCH($C937,'REGISTRE TUBES'!$B$7:$B$2506,0))),"?"))</f>
        <v>11.94</v>
      </c>
      <c r="G937" s="94" t="n">
        <f aca="false">IF($C937="","",N(G936)+N(F937))</f>
        <v>7545.2599999999</v>
      </c>
      <c r="H937" s="95" t="s">
        <v>1951</v>
      </c>
      <c r="I937" s="96"/>
      <c r="J937" s="97"/>
    </row>
    <row r="938" customFormat="false" ht="15" hidden="false" customHeight="false" outlineLevel="0" collapsed="false">
      <c r="B938" s="98" t="n">
        <v>637</v>
      </c>
      <c r="C938" s="99" t="n">
        <v>2079800</v>
      </c>
      <c r="D938" s="100" t="n">
        <f aca="false">IF($C938="","",IFERROR(IF(INDEX('REGISTRE TUBES'!$C$7:$C$2506,MATCH($C938,'REGISTRE TUBES'!$B$7:$B$2506,0))="","",INDEX('REGISTRE TUBES'!$C$7:$C$2506,MATCH($C938,'REGISTRE TUBES'!$B$7:$B$2506,0))),"?"))</f>
        <v>15421102</v>
      </c>
      <c r="E938" s="100" t="str">
        <f aca="false">IF($C938="","",IFERROR(IF(INDEX('REGISTRE TUBES'!$D$7:$D$2506,MATCH($C938,'REGISTRE TUBES'!$B$7:$B$2506,0))="","",INDEX('REGISTRE TUBES'!$D$7:$D$2506,MATCH($C938,'REGISTRE TUBES'!$B$7:$B$2506,0))),"?"))</f>
        <v/>
      </c>
      <c r="F938" s="101" t="n">
        <f aca="false">IF($C938="","",IFERROR(IF(INDEX('REGISTRE TUBES'!$F$7:$F$2506,MATCH($C938,'REGISTRE TUBES'!$B$7:$B$2506,0))="","",INDEX('REGISTRE TUBES'!$F$7:$F$2506,MATCH($C938,'REGISTRE TUBES'!$B$7:$B$2506,0))),"?"))</f>
        <v>11.94</v>
      </c>
      <c r="G938" s="102" t="n">
        <f aca="false">IF($C938="","",N(G937)+N(F938))</f>
        <v>7557.1999999999</v>
      </c>
      <c r="H938" s="103" t="s">
        <v>1953</v>
      </c>
      <c r="I938" s="104"/>
      <c r="J938" s="105"/>
    </row>
    <row r="939" customFormat="false" ht="15" hidden="false" customHeight="false" outlineLevel="0" collapsed="false">
      <c r="B939" s="90" t="n">
        <v>638</v>
      </c>
      <c r="C939" s="91" t="n">
        <v>2088830</v>
      </c>
      <c r="D939" s="92" t="n">
        <f aca="false">IF($C939="","",IFERROR(IF(INDEX('REGISTRE TUBES'!$C$7:$C$2506,MATCH($C939,'REGISTRE TUBES'!$B$7:$B$2506,0))="","",INDEX('REGISTRE TUBES'!$C$7:$C$2506,MATCH($C939,'REGISTRE TUBES'!$B$7:$B$2506,0))),"?"))</f>
        <v>15421108</v>
      </c>
      <c r="E939" s="92" t="str">
        <f aca="false">IF($C939="","",IFERROR(IF(INDEX('REGISTRE TUBES'!$D$7:$D$2506,MATCH($C939,'REGISTRE TUBES'!$B$7:$B$2506,0))="","",INDEX('REGISTRE TUBES'!$D$7:$D$2506,MATCH($C939,'REGISTRE TUBES'!$B$7:$B$2506,0))),"?"))</f>
        <v/>
      </c>
      <c r="F939" s="93" t="n">
        <f aca="false">IF($C939="","",IFERROR(IF(INDEX('REGISTRE TUBES'!$F$7:$F$2506,MATCH($C939,'REGISTRE TUBES'!$B$7:$B$2506,0))="","",INDEX('REGISTRE TUBES'!$F$7:$F$2506,MATCH($C939,'REGISTRE TUBES'!$B$7:$B$2506,0))),"?"))</f>
        <v>11.94</v>
      </c>
      <c r="G939" s="94" t="n">
        <f aca="false">IF($C939="","",N(G938)+N(F939))</f>
        <v>7569.1399999999</v>
      </c>
      <c r="H939" s="95" t="s">
        <v>1955</v>
      </c>
      <c r="I939" s="96"/>
      <c r="J939" s="97"/>
    </row>
    <row r="940" customFormat="false" ht="15" hidden="false" customHeight="false" outlineLevel="0" collapsed="false">
      <c r="B940" s="98" t="n">
        <v>639</v>
      </c>
      <c r="C940" s="99" t="n">
        <v>2096340</v>
      </c>
      <c r="D940" s="100" t="n">
        <f aca="false">IF($C940="","",IFERROR(IF(INDEX('REGISTRE TUBES'!$C$7:$C$2506,MATCH($C940,'REGISTRE TUBES'!$B$7:$B$2506,0))="","",INDEX('REGISTRE TUBES'!$C$7:$C$2506,MATCH($C940,'REGISTRE TUBES'!$B$7:$B$2506,0))),"?"))</f>
        <v>15421111</v>
      </c>
      <c r="E940" s="100" t="str">
        <f aca="false">IF($C940="","",IFERROR(IF(INDEX('REGISTRE TUBES'!$D$7:$D$2506,MATCH($C940,'REGISTRE TUBES'!$B$7:$B$2506,0))="","",INDEX('REGISTRE TUBES'!$D$7:$D$2506,MATCH($C940,'REGISTRE TUBES'!$B$7:$B$2506,0))),"?"))</f>
        <v/>
      </c>
      <c r="F940" s="101" t="n">
        <f aca="false">IF($C940="","",IFERROR(IF(INDEX('REGISTRE TUBES'!$F$7:$F$2506,MATCH($C940,'REGISTRE TUBES'!$B$7:$B$2506,0))="","",INDEX('REGISTRE TUBES'!$F$7:$F$2506,MATCH($C940,'REGISTRE TUBES'!$B$7:$B$2506,0))),"?"))</f>
        <v>11.94</v>
      </c>
      <c r="G940" s="102" t="n">
        <f aca="false">IF($C940="","",N(G939)+N(F940))</f>
        <v>7581.0799999999</v>
      </c>
      <c r="H940" s="103" t="s">
        <v>1956</v>
      </c>
      <c r="I940" s="104"/>
      <c r="J940" s="105"/>
    </row>
    <row r="941" customFormat="false" ht="15" hidden="false" customHeight="false" outlineLevel="0" collapsed="false">
      <c r="B941" s="90" t="n">
        <v>640</v>
      </c>
      <c r="C941" s="91" t="n">
        <v>2091020</v>
      </c>
      <c r="D941" s="92" t="n">
        <f aca="false">IF($C941="","",IFERROR(IF(INDEX('REGISTRE TUBES'!$C$7:$C$2506,MATCH($C941,'REGISTRE TUBES'!$B$7:$B$2506,0))="","",INDEX('REGISTRE TUBES'!$C$7:$C$2506,MATCH($C941,'REGISTRE TUBES'!$B$7:$B$2506,0))),"?"))</f>
        <v>15421109</v>
      </c>
      <c r="E941" s="92" t="str">
        <f aca="false">IF($C941="","",IFERROR(IF(INDEX('REGISTRE TUBES'!$D$7:$D$2506,MATCH($C941,'REGISTRE TUBES'!$B$7:$B$2506,0))="","",INDEX('REGISTRE TUBES'!$D$7:$D$2506,MATCH($C941,'REGISTRE TUBES'!$B$7:$B$2506,0))),"?"))</f>
        <v/>
      </c>
      <c r="F941" s="93" t="n">
        <f aca="false">IF($C941="","",IFERROR(IF(INDEX('REGISTRE TUBES'!$F$7:$F$2506,MATCH($C941,'REGISTRE TUBES'!$B$7:$B$2506,0))="","",INDEX('REGISTRE TUBES'!$F$7:$F$2506,MATCH($C941,'REGISTRE TUBES'!$B$7:$B$2506,0))),"?"))</f>
        <v>11.94</v>
      </c>
      <c r="G941" s="94" t="n">
        <f aca="false">IF($C941="","",N(G940)+N(F941))</f>
        <v>7593.0199999999</v>
      </c>
      <c r="H941" s="95" t="s">
        <v>1958</v>
      </c>
      <c r="I941" s="96"/>
      <c r="J941" s="97"/>
    </row>
    <row r="942" customFormat="false" ht="15" hidden="false" customHeight="false" outlineLevel="0" collapsed="false">
      <c r="B942" s="98" t="n">
        <v>641</v>
      </c>
      <c r="C942" s="99" t="n">
        <v>2079070</v>
      </c>
      <c r="D942" s="100" t="n">
        <f aca="false">IF($C942="","",IFERROR(IF(INDEX('REGISTRE TUBES'!$C$7:$C$2506,MATCH($C942,'REGISTRE TUBES'!$B$7:$B$2506,0))="","",INDEX('REGISTRE TUBES'!$C$7:$C$2506,MATCH($C942,'REGISTRE TUBES'!$B$7:$B$2506,0))),"?"))</f>
        <v>15421102</v>
      </c>
      <c r="E942" s="100" t="str">
        <f aca="false">IF($C942="","",IFERROR(IF(INDEX('REGISTRE TUBES'!$D$7:$D$2506,MATCH($C942,'REGISTRE TUBES'!$B$7:$B$2506,0))="","",INDEX('REGISTRE TUBES'!$D$7:$D$2506,MATCH($C942,'REGISTRE TUBES'!$B$7:$B$2506,0))),"?"))</f>
        <v/>
      </c>
      <c r="F942" s="101" t="n">
        <f aca="false">IF($C942="","",IFERROR(IF(INDEX('REGISTRE TUBES'!$F$7:$F$2506,MATCH($C942,'REGISTRE TUBES'!$B$7:$B$2506,0))="","",INDEX('REGISTRE TUBES'!$F$7:$F$2506,MATCH($C942,'REGISTRE TUBES'!$B$7:$B$2506,0))),"?"))</f>
        <v>11.94</v>
      </c>
      <c r="G942" s="102" t="n">
        <f aca="false">IF($C942="","",N(G941)+N(F942))</f>
        <v>7604.9599999999</v>
      </c>
      <c r="H942" s="103" t="s">
        <v>1959</v>
      </c>
      <c r="I942" s="104"/>
      <c r="J942" s="105"/>
    </row>
    <row r="943" customFormat="false" ht="15" hidden="false" customHeight="false" outlineLevel="0" collapsed="false">
      <c r="B943" s="90" t="n">
        <v>642</v>
      </c>
      <c r="C943" s="91" t="n">
        <v>2088360</v>
      </c>
      <c r="D943" s="92" t="n">
        <f aca="false">IF($C943="","",IFERROR(IF(INDEX('REGISTRE TUBES'!$C$7:$C$2506,MATCH($C943,'REGISTRE TUBES'!$B$7:$B$2506,0))="","",INDEX('REGISTRE TUBES'!$C$7:$C$2506,MATCH($C943,'REGISTRE TUBES'!$B$7:$B$2506,0))),"?"))</f>
        <v>15421108</v>
      </c>
      <c r="E943" s="92" t="str">
        <f aca="false">IF($C943="","",IFERROR(IF(INDEX('REGISTRE TUBES'!$D$7:$D$2506,MATCH($C943,'REGISTRE TUBES'!$B$7:$B$2506,0))="","",INDEX('REGISTRE TUBES'!$D$7:$D$2506,MATCH($C943,'REGISTRE TUBES'!$B$7:$B$2506,0))),"?"))</f>
        <v/>
      </c>
      <c r="F943" s="93" t="n">
        <f aca="false">IF($C943="","",IFERROR(IF(INDEX('REGISTRE TUBES'!$F$7:$F$2506,MATCH($C943,'REGISTRE TUBES'!$B$7:$B$2506,0))="","",INDEX('REGISTRE TUBES'!$F$7:$F$2506,MATCH($C943,'REGISTRE TUBES'!$B$7:$B$2506,0))),"?"))</f>
        <v>11.94</v>
      </c>
      <c r="G943" s="94" t="n">
        <f aca="false">IF($C943="","",N(G942)+N(F943))</f>
        <v>7616.8999999999</v>
      </c>
      <c r="H943" s="95" t="s">
        <v>1961</v>
      </c>
      <c r="I943" s="96"/>
      <c r="J943" s="97"/>
    </row>
    <row r="944" customFormat="false" ht="15" hidden="false" customHeight="false" outlineLevel="0" collapsed="false">
      <c r="B944" s="98" t="n">
        <v>643</v>
      </c>
      <c r="C944" s="99" t="n">
        <v>2093210</v>
      </c>
      <c r="D944" s="100" t="n">
        <f aca="false">IF($C944="","",IFERROR(IF(INDEX('REGISTRE TUBES'!$C$7:$C$2506,MATCH($C944,'REGISTRE TUBES'!$B$7:$B$2506,0))="","",INDEX('REGISTRE TUBES'!$C$7:$C$2506,MATCH($C944,'REGISTRE TUBES'!$B$7:$B$2506,0))),"?"))</f>
        <v>15421110</v>
      </c>
      <c r="E944" s="100" t="str">
        <f aca="false">IF($C944="","",IFERROR(IF(INDEX('REGISTRE TUBES'!$D$7:$D$2506,MATCH($C944,'REGISTRE TUBES'!$B$7:$B$2506,0))="","",INDEX('REGISTRE TUBES'!$D$7:$D$2506,MATCH($C944,'REGISTRE TUBES'!$B$7:$B$2506,0))),"?"))</f>
        <v/>
      </c>
      <c r="F944" s="101" t="n">
        <f aca="false">IF($C944="","",IFERROR(IF(INDEX('REGISTRE TUBES'!$F$7:$F$2506,MATCH($C944,'REGISTRE TUBES'!$B$7:$B$2506,0))="","",INDEX('REGISTRE TUBES'!$F$7:$F$2506,MATCH($C944,'REGISTRE TUBES'!$B$7:$B$2506,0))),"?"))</f>
        <v>11.94</v>
      </c>
      <c r="G944" s="102" t="n">
        <f aca="false">IF($C944="","",N(G943)+N(F944))</f>
        <v>7628.8399999999</v>
      </c>
      <c r="H944" s="103" t="s">
        <v>1962</v>
      </c>
      <c r="I944" s="104"/>
      <c r="J944" s="105"/>
    </row>
    <row r="945" customFormat="false" ht="15" hidden="false" customHeight="false" outlineLevel="0" collapsed="false">
      <c r="B945" s="90" t="n">
        <v>644</v>
      </c>
      <c r="C945" s="91" t="n">
        <v>2095760</v>
      </c>
      <c r="D945" s="92" t="n">
        <f aca="false">IF($C945="","",IFERROR(IF(INDEX('REGISTRE TUBES'!$C$7:$C$2506,MATCH($C945,'REGISTRE TUBES'!$B$7:$B$2506,0))="","",INDEX('REGISTRE TUBES'!$C$7:$C$2506,MATCH($C945,'REGISTRE TUBES'!$B$7:$B$2506,0))),"?"))</f>
        <v>15421111</v>
      </c>
      <c r="E945" s="92" t="str">
        <f aca="false">IF($C945="","",IFERROR(IF(INDEX('REGISTRE TUBES'!$D$7:$D$2506,MATCH($C945,'REGISTRE TUBES'!$B$7:$B$2506,0))="","",INDEX('REGISTRE TUBES'!$D$7:$D$2506,MATCH($C945,'REGISTRE TUBES'!$B$7:$B$2506,0))),"?"))</f>
        <v/>
      </c>
      <c r="F945" s="93" t="n">
        <f aca="false">IF($C945="","",IFERROR(IF(INDEX('REGISTRE TUBES'!$F$7:$F$2506,MATCH($C945,'REGISTRE TUBES'!$B$7:$B$2506,0))="","",INDEX('REGISTRE TUBES'!$F$7:$F$2506,MATCH($C945,'REGISTRE TUBES'!$B$7:$B$2506,0))),"?"))</f>
        <v>11.94</v>
      </c>
      <c r="G945" s="94" t="n">
        <f aca="false">IF($C945="","",N(G944)+N(F945))</f>
        <v>7640.7799999999</v>
      </c>
      <c r="H945" s="95" t="s">
        <v>1964</v>
      </c>
      <c r="I945" s="96"/>
      <c r="J945" s="97"/>
    </row>
    <row r="946" customFormat="false" ht="15" hidden="false" customHeight="false" outlineLevel="0" collapsed="false">
      <c r="B946" s="98" t="n">
        <v>645</v>
      </c>
      <c r="C946" s="99" t="n">
        <v>2088590</v>
      </c>
      <c r="D946" s="100" t="n">
        <f aca="false">IF($C946="","",IFERROR(IF(INDEX('REGISTRE TUBES'!$C$7:$C$2506,MATCH($C946,'REGISTRE TUBES'!$B$7:$B$2506,0))="","",INDEX('REGISTRE TUBES'!$C$7:$C$2506,MATCH($C946,'REGISTRE TUBES'!$B$7:$B$2506,0))),"?"))</f>
        <v>15421108</v>
      </c>
      <c r="E946" s="100" t="str">
        <f aca="false">IF($C946="","",IFERROR(IF(INDEX('REGISTRE TUBES'!$D$7:$D$2506,MATCH($C946,'REGISTRE TUBES'!$B$7:$B$2506,0))="","",INDEX('REGISTRE TUBES'!$D$7:$D$2506,MATCH($C946,'REGISTRE TUBES'!$B$7:$B$2506,0))),"?"))</f>
        <v/>
      </c>
      <c r="F946" s="101" t="n">
        <f aca="false">IF($C946="","",IFERROR(IF(INDEX('REGISTRE TUBES'!$F$7:$F$2506,MATCH($C946,'REGISTRE TUBES'!$B$7:$B$2506,0))="","",INDEX('REGISTRE TUBES'!$F$7:$F$2506,MATCH($C946,'REGISTRE TUBES'!$B$7:$B$2506,0))),"?"))</f>
        <v>11.94</v>
      </c>
      <c r="G946" s="102" t="n">
        <f aca="false">IF($C946="","",N(G945)+N(F946))</f>
        <v>7652.7199999999</v>
      </c>
      <c r="H946" s="103" t="s">
        <v>1966</v>
      </c>
      <c r="I946" s="104"/>
      <c r="J946" s="105"/>
    </row>
    <row r="947" customFormat="false" ht="15" hidden="false" customHeight="false" outlineLevel="0" collapsed="false">
      <c r="B947" s="90" t="n">
        <v>646</v>
      </c>
      <c r="C947" s="91" t="n">
        <v>2081830</v>
      </c>
      <c r="D947" s="92" t="n">
        <f aca="false">IF($C947="","",IFERROR(IF(INDEX('REGISTRE TUBES'!$C$7:$C$2506,MATCH($C947,'REGISTRE TUBES'!$B$7:$B$2506,0))="","",INDEX('REGISTRE TUBES'!$C$7:$C$2506,MATCH($C947,'REGISTRE TUBES'!$B$7:$B$2506,0))),"?"))</f>
        <v>15421104</v>
      </c>
      <c r="E947" s="92" t="str">
        <f aca="false">IF($C947="","",IFERROR(IF(INDEX('REGISTRE TUBES'!$D$7:$D$2506,MATCH($C947,'REGISTRE TUBES'!$B$7:$B$2506,0))="","",INDEX('REGISTRE TUBES'!$D$7:$D$2506,MATCH($C947,'REGISTRE TUBES'!$B$7:$B$2506,0))),"?"))</f>
        <v/>
      </c>
      <c r="F947" s="93" t="n">
        <f aca="false">IF($C947="","",IFERROR(IF(INDEX('REGISTRE TUBES'!$F$7:$F$2506,MATCH($C947,'REGISTRE TUBES'!$B$7:$B$2506,0))="","",INDEX('REGISTRE TUBES'!$F$7:$F$2506,MATCH($C947,'REGISTRE TUBES'!$B$7:$B$2506,0))),"?"))</f>
        <v>11.94</v>
      </c>
      <c r="G947" s="94" t="n">
        <f aca="false">IF($C947="","",N(G946)+N(F947))</f>
        <v>7664.6599999999</v>
      </c>
      <c r="H947" s="95" t="s">
        <v>1967</v>
      </c>
      <c r="I947" s="96"/>
      <c r="J947" s="97"/>
    </row>
    <row r="948" customFormat="false" ht="15" hidden="false" customHeight="true" outlineLevel="0" collapsed="false">
      <c r="B948" s="106" t="s">
        <v>3031</v>
      </c>
      <c r="C948" s="106"/>
      <c r="D948" s="106"/>
      <c r="E948" s="106"/>
      <c r="F948" s="107" t="n">
        <f aca="false">SUM(F929:F947)</f>
        <v>226.86</v>
      </c>
      <c r="G948" s="108" t="n">
        <f aca="false">IF(COUNT(G929:G947)=0,"",MAX(G929:G947))</f>
        <v>7664.6599999999</v>
      </c>
      <c r="H948" s="106" t="str">
        <f aca="false">COUNTA(C929:C947)&amp;" tube(s)"</f>
        <v>19 tube(s)</v>
      </c>
      <c r="I948" s="106"/>
      <c r="J948" s="106"/>
    </row>
    <row r="950" customFormat="false" ht="15" hidden="false" customHeight="false" outlineLevel="0" collapsed="false">
      <c r="B950" s="109" t="s">
        <v>3032</v>
      </c>
      <c r="F950" s="109" t="s">
        <v>3033</v>
      </c>
      <c r="I950" s="109" t="s">
        <v>3034</v>
      </c>
    </row>
    <row r="953" customFormat="false" ht="25.5" hidden="false" customHeight="true" outlineLevel="0" collapsed="false">
      <c r="B953" s="85" t="s">
        <v>3015</v>
      </c>
      <c r="C953" s="85"/>
      <c r="D953" s="85"/>
      <c r="E953" s="85"/>
      <c r="F953" s="85"/>
      <c r="G953" s="85"/>
      <c r="H953" s="85"/>
      <c r="I953" s="85"/>
      <c r="J953" s="85"/>
    </row>
    <row r="954" customFormat="false" ht="15" hidden="false" customHeight="false" outlineLevel="0" collapsed="false">
      <c r="B954" s="86" t="str">
        <f aca="false">PARAMÈTRES!$C$4&amp;"   •   Affaire N° "&amp;PARAMÈTRES!$C$5</f>
        <v>Développement des champs gaziers TFT II — réseau de collecte TFT Sud (LIGNE-16)   •   Affaire N° 8546</v>
      </c>
      <c r="C954" s="86"/>
      <c r="D954" s="86"/>
      <c r="E954" s="86"/>
      <c r="F954" s="86"/>
      <c r="G954" s="86"/>
      <c r="H954" s="86"/>
      <c r="I954" s="86"/>
      <c r="J954" s="86"/>
    </row>
    <row r="955" customFormat="false" ht="19.5" hidden="false" customHeight="true" outlineLevel="0" collapsed="false">
      <c r="B955" s="87" t="s">
        <v>3016</v>
      </c>
      <c r="C955" s="88" t="s">
        <v>110</v>
      </c>
      <c r="D955" s="88"/>
      <c r="E955" s="87" t="s">
        <v>3017</v>
      </c>
      <c r="F955" s="88" t="s">
        <v>3101</v>
      </c>
      <c r="G955" s="87" t="s">
        <v>3019</v>
      </c>
      <c r="H955" s="88" t="s">
        <v>3102</v>
      </c>
      <c r="I955" s="87" t="s">
        <v>3021</v>
      </c>
      <c r="J955" s="89"/>
    </row>
    <row r="956" customFormat="false" ht="27.75" hidden="false" customHeight="true" outlineLevel="0" collapsed="false">
      <c r="B956" s="71" t="s">
        <v>3022</v>
      </c>
      <c r="C956" s="71" t="s">
        <v>3023</v>
      </c>
      <c r="D956" s="71" t="s">
        <v>3024</v>
      </c>
      <c r="E956" s="71" t="s">
        <v>3025</v>
      </c>
      <c r="F956" s="71" t="s">
        <v>3026</v>
      </c>
      <c r="G956" s="71" t="s">
        <v>3027</v>
      </c>
      <c r="H956" s="71" t="s">
        <v>3028</v>
      </c>
      <c r="I956" s="71" t="s">
        <v>3029</v>
      </c>
      <c r="J956" s="71" t="s">
        <v>3030</v>
      </c>
    </row>
    <row r="957" customFormat="false" ht="15" hidden="false" customHeight="false" outlineLevel="0" collapsed="false">
      <c r="B957" s="90" t="n">
        <v>647</v>
      </c>
      <c r="C957" s="91" t="n">
        <v>2093340</v>
      </c>
      <c r="D957" s="92" t="n">
        <f aca="false">IF($C957="","",IFERROR(IF(INDEX('REGISTRE TUBES'!$C$7:$C$2506,MATCH($C957,'REGISTRE TUBES'!$B$7:$B$2506,0))="","",INDEX('REGISTRE TUBES'!$C$7:$C$2506,MATCH($C957,'REGISTRE TUBES'!$B$7:$B$2506,0))),"?"))</f>
        <v>15421110</v>
      </c>
      <c r="E957" s="92" t="str">
        <f aca="false">IF($C957="","",IFERROR(IF(INDEX('REGISTRE TUBES'!$D$7:$D$2506,MATCH($C957,'REGISTRE TUBES'!$B$7:$B$2506,0))="","",INDEX('REGISTRE TUBES'!$D$7:$D$2506,MATCH($C957,'REGISTRE TUBES'!$B$7:$B$2506,0))),"?"))</f>
        <v/>
      </c>
      <c r="F957" s="93" t="n">
        <f aca="false">IF($C957="","",IFERROR(IF(INDEX('REGISTRE TUBES'!$F$7:$F$2506,MATCH($C957,'REGISTRE TUBES'!$B$7:$B$2506,0))="","",INDEX('REGISTRE TUBES'!$F$7:$F$2506,MATCH($C957,'REGISTRE TUBES'!$B$7:$B$2506,0))),"?"))</f>
        <v>11.94</v>
      </c>
      <c r="G957" s="94" t="n">
        <f aca="false">IF($C957="","",N(G947)+N(F957))</f>
        <v>7676.5999999999</v>
      </c>
      <c r="H957" s="95" t="s">
        <v>1969</v>
      </c>
      <c r="I957" s="96"/>
      <c r="J957" s="97"/>
    </row>
    <row r="958" customFormat="false" ht="15" hidden="false" customHeight="false" outlineLevel="0" collapsed="false">
      <c r="B958" s="98" t="n">
        <v>648</v>
      </c>
      <c r="C958" s="99" t="n">
        <v>2096930</v>
      </c>
      <c r="D958" s="100" t="n">
        <f aca="false">IF($C958="","",IFERROR(IF(INDEX('REGISTRE TUBES'!$C$7:$C$2506,MATCH($C958,'REGISTRE TUBES'!$B$7:$B$2506,0))="","",INDEX('REGISTRE TUBES'!$C$7:$C$2506,MATCH($C958,'REGISTRE TUBES'!$B$7:$B$2506,0))),"?"))</f>
        <v>15421111</v>
      </c>
      <c r="E958" s="100" t="str">
        <f aca="false">IF($C958="","",IFERROR(IF(INDEX('REGISTRE TUBES'!$D$7:$D$2506,MATCH($C958,'REGISTRE TUBES'!$B$7:$B$2506,0))="","",INDEX('REGISTRE TUBES'!$D$7:$D$2506,MATCH($C958,'REGISTRE TUBES'!$B$7:$B$2506,0))),"?"))</f>
        <v/>
      </c>
      <c r="F958" s="101" t="n">
        <f aca="false">IF($C958="","",IFERROR(IF(INDEX('REGISTRE TUBES'!$F$7:$F$2506,MATCH($C958,'REGISTRE TUBES'!$B$7:$B$2506,0))="","",INDEX('REGISTRE TUBES'!$F$7:$F$2506,MATCH($C958,'REGISTRE TUBES'!$B$7:$B$2506,0))),"?"))</f>
        <v>11.94</v>
      </c>
      <c r="G958" s="102" t="n">
        <f aca="false">IF($C958="","",N(G957)+N(F958))</f>
        <v>7688.5399999999</v>
      </c>
      <c r="H958" s="103" t="s">
        <v>1972</v>
      </c>
      <c r="I958" s="104"/>
      <c r="J958" s="105"/>
    </row>
    <row r="959" customFormat="false" ht="15" hidden="false" customHeight="false" outlineLevel="0" collapsed="false">
      <c r="B959" s="90" t="n">
        <v>649</v>
      </c>
      <c r="C959" s="91" t="n">
        <v>2091260</v>
      </c>
      <c r="D959" s="92" t="n">
        <f aca="false">IF($C959="","",IFERROR(IF(INDEX('REGISTRE TUBES'!$C$7:$C$2506,MATCH($C959,'REGISTRE TUBES'!$B$7:$B$2506,0))="","",INDEX('REGISTRE TUBES'!$C$7:$C$2506,MATCH($C959,'REGISTRE TUBES'!$B$7:$B$2506,0))),"?"))</f>
        <v>15421109</v>
      </c>
      <c r="E959" s="92" t="str">
        <f aca="false">IF($C959="","",IFERROR(IF(INDEX('REGISTRE TUBES'!$D$7:$D$2506,MATCH($C959,'REGISTRE TUBES'!$B$7:$B$2506,0))="","",INDEX('REGISTRE TUBES'!$D$7:$D$2506,MATCH($C959,'REGISTRE TUBES'!$B$7:$B$2506,0))),"?"))</f>
        <v/>
      </c>
      <c r="F959" s="93" t="n">
        <f aca="false">IF($C959="","",IFERROR(IF(INDEX('REGISTRE TUBES'!$F$7:$F$2506,MATCH($C959,'REGISTRE TUBES'!$B$7:$B$2506,0))="","",INDEX('REGISTRE TUBES'!$F$7:$F$2506,MATCH($C959,'REGISTRE TUBES'!$B$7:$B$2506,0))),"?"))</f>
        <v>11.94</v>
      </c>
      <c r="G959" s="94" t="n">
        <f aca="false">IF($C959="","",N(G958)+N(F959))</f>
        <v>7700.4799999999</v>
      </c>
      <c r="H959" s="95" t="s">
        <v>1973</v>
      </c>
      <c r="I959" s="96"/>
      <c r="J959" s="97"/>
    </row>
    <row r="960" customFormat="false" ht="15" hidden="false" customHeight="false" outlineLevel="0" collapsed="false">
      <c r="B960" s="98" t="n">
        <v>650</v>
      </c>
      <c r="C960" s="99" t="n">
        <v>2088050</v>
      </c>
      <c r="D960" s="100" t="n">
        <f aca="false">IF($C960="","",IFERROR(IF(INDEX('REGISTRE TUBES'!$C$7:$C$2506,MATCH($C960,'REGISTRE TUBES'!$B$7:$B$2506,0))="","",INDEX('REGISTRE TUBES'!$C$7:$C$2506,MATCH($C960,'REGISTRE TUBES'!$B$7:$B$2506,0))),"?"))</f>
        <v>15421108</v>
      </c>
      <c r="E960" s="100" t="str">
        <f aca="false">IF($C960="","",IFERROR(IF(INDEX('REGISTRE TUBES'!$D$7:$D$2506,MATCH($C960,'REGISTRE TUBES'!$B$7:$B$2506,0))="","",INDEX('REGISTRE TUBES'!$D$7:$D$2506,MATCH($C960,'REGISTRE TUBES'!$B$7:$B$2506,0))),"?"))</f>
        <v/>
      </c>
      <c r="F960" s="101" t="n">
        <f aca="false">IF($C960="","",IFERROR(IF(INDEX('REGISTRE TUBES'!$F$7:$F$2506,MATCH($C960,'REGISTRE TUBES'!$B$7:$B$2506,0))="","",INDEX('REGISTRE TUBES'!$F$7:$F$2506,MATCH($C960,'REGISTRE TUBES'!$B$7:$B$2506,0))),"?"))</f>
        <v>11.94</v>
      </c>
      <c r="G960" s="102" t="n">
        <f aca="false">IF($C960="","",N(G959)+N(F960))</f>
        <v>7712.4199999999</v>
      </c>
      <c r="H960" s="103" t="s">
        <v>1974</v>
      </c>
      <c r="I960" s="104"/>
      <c r="J960" s="105"/>
    </row>
    <row r="961" customFormat="false" ht="15" hidden="false" customHeight="false" outlineLevel="0" collapsed="false">
      <c r="B961" s="90" t="n">
        <v>651</v>
      </c>
      <c r="C961" s="91" t="n">
        <v>2093810</v>
      </c>
      <c r="D961" s="92" t="n">
        <f aca="false">IF($C961="","",IFERROR(IF(INDEX('REGISTRE TUBES'!$C$7:$C$2506,MATCH($C961,'REGISTRE TUBES'!$B$7:$B$2506,0))="","",INDEX('REGISTRE TUBES'!$C$7:$C$2506,MATCH($C961,'REGISTRE TUBES'!$B$7:$B$2506,0))),"?"))</f>
        <v>15421110</v>
      </c>
      <c r="E961" s="92" t="str">
        <f aca="false">IF($C961="","",IFERROR(IF(INDEX('REGISTRE TUBES'!$D$7:$D$2506,MATCH($C961,'REGISTRE TUBES'!$B$7:$B$2506,0))="","",INDEX('REGISTRE TUBES'!$D$7:$D$2506,MATCH($C961,'REGISTRE TUBES'!$B$7:$B$2506,0))),"?"))</f>
        <v/>
      </c>
      <c r="F961" s="93" t="n">
        <f aca="false">IF($C961="","",IFERROR(IF(INDEX('REGISTRE TUBES'!$F$7:$F$2506,MATCH($C961,'REGISTRE TUBES'!$B$7:$B$2506,0))="","",INDEX('REGISTRE TUBES'!$F$7:$F$2506,MATCH($C961,'REGISTRE TUBES'!$B$7:$B$2506,0))),"?"))</f>
        <v>11.94</v>
      </c>
      <c r="G961" s="94" t="n">
        <f aca="false">IF($C961="","",N(G960)+N(F961))</f>
        <v>7724.3599999999</v>
      </c>
      <c r="H961" s="95" t="s">
        <v>1975</v>
      </c>
      <c r="I961" s="96"/>
      <c r="J961" s="97"/>
    </row>
    <row r="962" customFormat="false" ht="15" hidden="false" customHeight="false" outlineLevel="0" collapsed="false">
      <c r="B962" s="98" t="n">
        <v>652</v>
      </c>
      <c r="C962" s="99" t="n">
        <v>2088840</v>
      </c>
      <c r="D962" s="100" t="n">
        <f aca="false">IF($C962="","",IFERROR(IF(INDEX('REGISTRE TUBES'!$C$7:$C$2506,MATCH($C962,'REGISTRE TUBES'!$B$7:$B$2506,0))="","",INDEX('REGISTRE TUBES'!$C$7:$C$2506,MATCH($C962,'REGISTRE TUBES'!$B$7:$B$2506,0))),"?"))</f>
        <v>15421108</v>
      </c>
      <c r="E962" s="100" t="str">
        <f aca="false">IF($C962="","",IFERROR(IF(INDEX('REGISTRE TUBES'!$D$7:$D$2506,MATCH($C962,'REGISTRE TUBES'!$B$7:$B$2506,0))="","",INDEX('REGISTRE TUBES'!$D$7:$D$2506,MATCH($C962,'REGISTRE TUBES'!$B$7:$B$2506,0))),"?"))</f>
        <v/>
      </c>
      <c r="F962" s="101" t="n">
        <f aca="false">IF($C962="","",IFERROR(IF(INDEX('REGISTRE TUBES'!$F$7:$F$2506,MATCH($C962,'REGISTRE TUBES'!$B$7:$B$2506,0))="","",INDEX('REGISTRE TUBES'!$F$7:$F$2506,MATCH($C962,'REGISTRE TUBES'!$B$7:$B$2506,0))),"?"))</f>
        <v>11.94</v>
      </c>
      <c r="G962" s="102" t="n">
        <f aca="false">IF($C962="","",N(G961)+N(F962))</f>
        <v>7736.2999999999</v>
      </c>
      <c r="H962" s="103" t="s">
        <v>1976</v>
      </c>
      <c r="I962" s="104"/>
      <c r="J962" s="105"/>
    </row>
    <row r="963" customFormat="false" ht="15" hidden="false" customHeight="false" outlineLevel="0" collapsed="false">
      <c r="B963" s="90" t="n">
        <v>653</v>
      </c>
      <c r="C963" s="91" t="n">
        <v>2089620</v>
      </c>
      <c r="D963" s="92" t="n">
        <f aca="false">IF($C963="","",IFERROR(IF(INDEX('REGISTRE TUBES'!$C$7:$C$2506,MATCH($C963,'REGISTRE TUBES'!$B$7:$B$2506,0))="","",INDEX('REGISTRE TUBES'!$C$7:$C$2506,MATCH($C963,'REGISTRE TUBES'!$B$7:$B$2506,0))),"?"))</f>
        <v>15421109</v>
      </c>
      <c r="E963" s="92" t="str">
        <f aca="false">IF($C963="","",IFERROR(IF(INDEX('REGISTRE TUBES'!$D$7:$D$2506,MATCH($C963,'REGISTRE TUBES'!$B$7:$B$2506,0))="","",INDEX('REGISTRE TUBES'!$D$7:$D$2506,MATCH($C963,'REGISTRE TUBES'!$B$7:$B$2506,0))),"?"))</f>
        <v/>
      </c>
      <c r="F963" s="93" t="n">
        <f aca="false">IF($C963="","",IFERROR(IF(INDEX('REGISTRE TUBES'!$F$7:$F$2506,MATCH($C963,'REGISTRE TUBES'!$B$7:$B$2506,0))="","",INDEX('REGISTRE TUBES'!$F$7:$F$2506,MATCH($C963,'REGISTRE TUBES'!$B$7:$B$2506,0))),"?"))</f>
        <v>11.94</v>
      </c>
      <c r="G963" s="94" t="n">
        <f aca="false">IF($C963="","",N(G962)+N(F963))</f>
        <v>7748.23999999989</v>
      </c>
      <c r="H963" s="95" t="s">
        <v>1977</v>
      </c>
      <c r="I963" s="96"/>
      <c r="J963" s="97"/>
    </row>
    <row r="964" customFormat="false" ht="15" hidden="false" customHeight="false" outlineLevel="0" collapsed="false">
      <c r="B964" s="98" t="n">
        <v>654</v>
      </c>
      <c r="C964" s="99" t="n">
        <v>2091920</v>
      </c>
      <c r="D964" s="100" t="n">
        <f aca="false">IF($C964="","",IFERROR(IF(INDEX('REGISTRE TUBES'!$C$7:$C$2506,MATCH($C964,'REGISTRE TUBES'!$B$7:$B$2506,0))="","",INDEX('REGISTRE TUBES'!$C$7:$C$2506,MATCH($C964,'REGISTRE TUBES'!$B$7:$B$2506,0))),"?"))</f>
        <v>15421109</v>
      </c>
      <c r="E964" s="100" t="str">
        <f aca="false">IF($C964="","",IFERROR(IF(INDEX('REGISTRE TUBES'!$D$7:$D$2506,MATCH($C964,'REGISTRE TUBES'!$B$7:$B$2506,0))="","",INDEX('REGISTRE TUBES'!$D$7:$D$2506,MATCH($C964,'REGISTRE TUBES'!$B$7:$B$2506,0))),"?"))</f>
        <v/>
      </c>
      <c r="F964" s="101" t="n">
        <f aca="false">IF($C964="","",IFERROR(IF(INDEX('REGISTRE TUBES'!$F$7:$F$2506,MATCH($C964,'REGISTRE TUBES'!$B$7:$B$2506,0))="","",INDEX('REGISTRE TUBES'!$F$7:$F$2506,MATCH($C964,'REGISTRE TUBES'!$B$7:$B$2506,0))),"?"))</f>
        <v>11.94</v>
      </c>
      <c r="G964" s="102" t="n">
        <f aca="false">IF($C964="","",N(G963)+N(F964))</f>
        <v>7760.17999999989</v>
      </c>
      <c r="H964" s="103" t="s">
        <v>1979</v>
      </c>
      <c r="I964" s="104"/>
      <c r="J964" s="105"/>
    </row>
    <row r="965" customFormat="false" ht="15" hidden="false" customHeight="false" outlineLevel="0" collapsed="false">
      <c r="B965" s="90" t="n">
        <v>655</v>
      </c>
      <c r="C965" s="91" t="n">
        <v>2090420</v>
      </c>
      <c r="D965" s="92" t="n">
        <f aca="false">IF($C965="","",IFERROR(IF(INDEX('REGISTRE TUBES'!$C$7:$C$2506,MATCH($C965,'REGISTRE TUBES'!$B$7:$B$2506,0))="","",INDEX('REGISTRE TUBES'!$C$7:$C$2506,MATCH($C965,'REGISTRE TUBES'!$B$7:$B$2506,0))),"?"))</f>
        <v>15421109</v>
      </c>
      <c r="E965" s="92" t="str">
        <f aca="false">IF($C965="","",IFERROR(IF(INDEX('REGISTRE TUBES'!$D$7:$D$2506,MATCH($C965,'REGISTRE TUBES'!$B$7:$B$2506,0))="","",INDEX('REGISTRE TUBES'!$D$7:$D$2506,MATCH($C965,'REGISTRE TUBES'!$B$7:$B$2506,0))),"?"))</f>
        <v/>
      </c>
      <c r="F965" s="93" t="n">
        <f aca="false">IF($C965="","",IFERROR(IF(INDEX('REGISTRE TUBES'!$F$7:$F$2506,MATCH($C965,'REGISTRE TUBES'!$B$7:$B$2506,0))="","",INDEX('REGISTRE TUBES'!$F$7:$F$2506,MATCH($C965,'REGISTRE TUBES'!$B$7:$B$2506,0))),"?"))</f>
        <v>11.94</v>
      </c>
      <c r="G965" s="94" t="n">
        <f aca="false">IF($C965="","",N(G964)+N(F965))</f>
        <v>7772.11999999989</v>
      </c>
      <c r="H965" s="95" t="s">
        <v>1980</v>
      </c>
      <c r="I965" s="96"/>
      <c r="J965" s="97"/>
    </row>
    <row r="966" customFormat="false" ht="15" hidden="false" customHeight="false" outlineLevel="0" collapsed="false">
      <c r="B966" s="98" t="n">
        <v>656</v>
      </c>
      <c r="C966" s="99" t="n">
        <v>2083840</v>
      </c>
      <c r="D966" s="100" t="n">
        <f aca="false">IF($C966="","",IFERROR(IF(INDEX('REGISTRE TUBES'!$C$7:$C$2506,MATCH($C966,'REGISTRE TUBES'!$B$7:$B$2506,0))="","",INDEX('REGISTRE TUBES'!$C$7:$C$2506,MATCH($C966,'REGISTRE TUBES'!$B$7:$B$2506,0))),"?"))</f>
        <v>15421105</v>
      </c>
      <c r="E966" s="100" t="str">
        <f aca="false">IF($C966="","",IFERROR(IF(INDEX('REGISTRE TUBES'!$D$7:$D$2506,MATCH($C966,'REGISTRE TUBES'!$B$7:$B$2506,0))="","",INDEX('REGISTRE TUBES'!$D$7:$D$2506,MATCH($C966,'REGISTRE TUBES'!$B$7:$B$2506,0))),"?"))</f>
        <v/>
      </c>
      <c r="F966" s="101" t="n">
        <f aca="false">IF($C966="","",IFERROR(IF(INDEX('REGISTRE TUBES'!$F$7:$F$2506,MATCH($C966,'REGISTRE TUBES'!$B$7:$B$2506,0))="","",INDEX('REGISTRE TUBES'!$F$7:$F$2506,MATCH($C966,'REGISTRE TUBES'!$B$7:$B$2506,0))),"?"))</f>
        <v>11.94</v>
      </c>
      <c r="G966" s="102" t="n">
        <f aca="false">IF($C966="","",N(G965)+N(F966))</f>
        <v>7784.05999999989</v>
      </c>
      <c r="H966" s="103" t="s">
        <v>1982</v>
      </c>
      <c r="I966" s="104"/>
      <c r="J966" s="105"/>
    </row>
    <row r="967" customFormat="false" ht="15" hidden="false" customHeight="false" outlineLevel="0" collapsed="false">
      <c r="B967" s="90" t="n">
        <v>657</v>
      </c>
      <c r="C967" s="91" t="n">
        <v>2080830</v>
      </c>
      <c r="D967" s="92" t="n">
        <f aca="false">IF($C967="","",IFERROR(IF(INDEX('REGISTRE TUBES'!$C$7:$C$2506,MATCH($C967,'REGISTRE TUBES'!$B$7:$B$2506,0))="","",INDEX('REGISTRE TUBES'!$C$7:$C$2506,MATCH($C967,'REGISTRE TUBES'!$B$7:$B$2506,0))),"?"))</f>
        <v>15421103</v>
      </c>
      <c r="E967" s="92" t="str">
        <f aca="false">IF($C967="","",IFERROR(IF(INDEX('REGISTRE TUBES'!$D$7:$D$2506,MATCH($C967,'REGISTRE TUBES'!$B$7:$B$2506,0))="","",INDEX('REGISTRE TUBES'!$D$7:$D$2506,MATCH($C967,'REGISTRE TUBES'!$B$7:$B$2506,0))),"?"))</f>
        <v/>
      </c>
      <c r="F967" s="93" t="n">
        <f aca="false">IF($C967="","",IFERROR(IF(INDEX('REGISTRE TUBES'!$F$7:$F$2506,MATCH($C967,'REGISTRE TUBES'!$B$7:$B$2506,0))="","",INDEX('REGISTRE TUBES'!$F$7:$F$2506,MATCH($C967,'REGISTRE TUBES'!$B$7:$B$2506,0))),"?"))</f>
        <v>11.94</v>
      </c>
      <c r="G967" s="94" t="n">
        <f aca="false">IF($C967="","",N(G966)+N(F967))</f>
        <v>7795.99999999989</v>
      </c>
      <c r="H967" s="95" t="s">
        <v>1983</v>
      </c>
      <c r="I967" s="96"/>
      <c r="J967" s="97"/>
    </row>
    <row r="968" customFormat="false" ht="15" hidden="false" customHeight="false" outlineLevel="0" collapsed="false">
      <c r="B968" s="98" t="n">
        <v>658</v>
      </c>
      <c r="C968" s="99" t="n">
        <v>2088760</v>
      </c>
      <c r="D968" s="100" t="n">
        <f aca="false">IF($C968="","",IFERROR(IF(INDEX('REGISTRE TUBES'!$C$7:$C$2506,MATCH($C968,'REGISTRE TUBES'!$B$7:$B$2506,0))="","",INDEX('REGISTRE TUBES'!$C$7:$C$2506,MATCH($C968,'REGISTRE TUBES'!$B$7:$B$2506,0))),"?"))</f>
        <v>15421108</v>
      </c>
      <c r="E968" s="100" t="str">
        <f aca="false">IF($C968="","",IFERROR(IF(INDEX('REGISTRE TUBES'!$D$7:$D$2506,MATCH($C968,'REGISTRE TUBES'!$B$7:$B$2506,0))="","",INDEX('REGISTRE TUBES'!$D$7:$D$2506,MATCH($C968,'REGISTRE TUBES'!$B$7:$B$2506,0))),"?"))</f>
        <v/>
      </c>
      <c r="F968" s="101" t="n">
        <f aca="false">IF($C968="","",IFERROR(IF(INDEX('REGISTRE TUBES'!$F$7:$F$2506,MATCH($C968,'REGISTRE TUBES'!$B$7:$B$2506,0))="","",INDEX('REGISTRE TUBES'!$F$7:$F$2506,MATCH($C968,'REGISTRE TUBES'!$B$7:$B$2506,0))),"?"))</f>
        <v>11.94</v>
      </c>
      <c r="G968" s="102" t="n">
        <f aca="false">IF($C968="","",N(G967)+N(F968))</f>
        <v>7807.93999999989</v>
      </c>
      <c r="H968" s="103" t="s">
        <v>1986</v>
      </c>
      <c r="I968" s="104"/>
      <c r="J968" s="105"/>
    </row>
    <row r="969" customFormat="false" ht="15" hidden="false" customHeight="false" outlineLevel="0" collapsed="false">
      <c r="B969" s="90" t="n">
        <v>659</v>
      </c>
      <c r="C969" s="91" t="n">
        <v>2091540</v>
      </c>
      <c r="D969" s="92" t="n">
        <f aca="false">IF($C969="","",IFERROR(IF(INDEX('REGISTRE TUBES'!$C$7:$C$2506,MATCH($C969,'REGISTRE TUBES'!$B$7:$B$2506,0))="","",INDEX('REGISTRE TUBES'!$C$7:$C$2506,MATCH($C969,'REGISTRE TUBES'!$B$7:$B$2506,0))),"?"))</f>
        <v>15421109</v>
      </c>
      <c r="E969" s="92" t="str">
        <f aca="false">IF($C969="","",IFERROR(IF(INDEX('REGISTRE TUBES'!$D$7:$D$2506,MATCH($C969,'REGISTRE TUBES'!$B$7:$B$2506,0))="","",INDEX('REGISTRE TUBES'!$D$7:$D$2506,MATCH($C969,'REGISTRE TUBES'!$B$7:$B$2506,0))),"?"))</f>
        <v/>
      </c>
      <c r="F969" s="93" t="n">
        <f aca="false">IF($C969="","",IFERROR(IF(INDEX('REGISTRE TUBES'!$F$7:$F$2506,MATCH($C969,'REGISTRE TUBES'!$B$7:$B$2506,0))="","",INDEX('REGISTRE TUBES'!$F$7:$F$2506,MATCH($C969,'REGISTRE TUBES'!$B$7:$B$2506,0))),"?"))</f>
        <v>11.94</v>
      </c>
      <c r="G969" s="94" t="n">
        <f aca="false">IF($C969="","",N(G968)+N(F969))</f>
        <v>7819.87999999989</v>
      </c>
      <c r="H969" s="95" t="s">
        <v>1987</v>
      </c>
      <c r="I969" s="96"/>
      <c r="J969" s="97"/>
    </row>
    <row r="970" customFormat="false" ht="15" hidden="false" customHeight="false" outlineLevel="0" collapsed="false">
      <c r="B970" s="98" t="n">
        <v>660</v>
      </c>
      <c r="C970" s="99" t="n">
        <v>2081940</v>
      </c>
      <c r="D970" s="100" t="n">
        <f aca="false">IF($C970="","",IFERROR(IF(INDEX('REGISTRE TUBES'!$C$7:$C$2506,MATCH($C970,'REGISTRE TUBES'!$B$7:$B$2506,0))="","",INDEX('REGISTRE TUBES'!$C$7:$C$2506,MATCH($C970,'REGISTRE TUBES'!$B$7:$B$2506,0))),"?"))</f>
        <v>15421104</v>
      </c>
      <c r="E970" s="100" t="str">
        <f aca="false">IF($C970="","",IFERROR(IF(INDEX('REGISTRE TUBES'!$D$7:$D$2506,MATCH($C970,'REGISTRE TUBES'!$B$7:$B$2506,0))="","",INDEX('REGISTRE TUBES'!$D$7:$D$2506,MATCH($C970,'REGISTRE TUBES'!$B$7:$B$2506,0))),"?"))</f>
        <v/>
      </c>
      <c r="F970" s="101" t="n">
        <f aca="false">IF($C970="","",IFERROR(IF(INDEX('REGISTRE TUBES'!$F$7:$F$2506,MATCH($C970,'REGISTRE TUBES'!$B$7:$B$2506,0))="","",INDEX('REGISTRE TUBES'!$F$7:$F$2506,MATCH($C970,'REGISTRE TUBES'!$B$7:$B$2506,0))),"?"))</f>
        <v>11.94</v>
      </c>
      <c r="G970" s="102" t="n">
        <f aca="false">IF($C970="","",N(G969)+N(F970))</f>
        <v>7831.81999999989</v>
      </c>
      <c r="H970" s="103" t="s">
        <v>1989</v>
      </c>
      <c r="I970" s="104"/>
      <c r="J970" s="105"/>
    </row>
    <row r="971" customFormat="false" ht="15" hidden="false" customHeight="false" outlineLevel="0" collapsed="false">
      <c r="B971" s="90" t="n">
        <v>661</v>
      </c>
      <c r="C971" s="91" t="n">
        <v>2094800</v>
      </c>
      <c r="D971" s="92" t="n">
        <f aca="false">IF($C971="","",IFERROR(IF(INDEX('REGISTRE TUBES'!$C$7:$C$2506,MATCH($C971,'REGISTRE TUBES'!$B$7:$B$2506,0))="","",INDEX('REGISTRE TUBES'!$C$7:$C$2506,MATCH($C971,'REGISTRE TUBES'!$B$7:$B$2506,0))),"?"))</f>
        <v>15421111</v>
      </c>
      <c r="E971" s="92" t="str">
        <f aca="false">IF($C971="","",IFERROR(IF(INDEX('REGISTRE TUBES'!$D$7:$D$2506,MATCH($C971,'REGISTRE TUBES'!$B$7:$B$2506,0))="","",INDEX('REGISTRE TUBES'!$D$7:$D$2506,MATCH($C971,'REGISTRE TUBES'!$B$7:$B$2506,0))),"?"))</f>
        <v/>
      </c>
      <c r="F971" s="93" t="n">
        <f aca="false">IF($C971="","",IFERROR(IF(INDEX('REGISTRE TUBES'!$F$7:$F$2506,MATCH($C971,'REGISTRE TUBES'!$B$7:$B$2506,0))="","",INDEX('REGISTRE TUBES'!$F$7:$F$2506,MATCH($C971,'REGISTRE TUBES'!$B$7:$B$2506,0))),"?"))</f>
        <v>11.94</v>
      </c>
      <c r="G971" s="94" t="n">
        <f aca="false">IF($C971="","",N(G970)+N(F971))</f>
        <v>7843.75999999989</v>
      </c>
      <c r="H971" s="95" t="s">
        <v>1990</v>
      </c>
      <c r="I971" s="96"/>
      <c r="J971" s="97"/>
    </row>
    <row r="972" customFormat="false" ht="15" hidden="false" customHeight="false" outlineLevel="0" collapsed="false">
      <c r="B972" s="98" t="n">
        <v>662</v>
      </c>
      <c r="C972" s="99" t="n">
        <v>2086060</v>
      </c>
      <c r="D972" s="100" t="n">
        <f aca="false">IF($C972="","",IFERROR(IF(INDEX('REGISTRE TUBES'!$C$7:$C$2506,MATCH($C972,'REGISTRE TUBES'!$B$7:$B$2506,0))="","",INDEX('REGISTRE TUBES'!$C$7:$C$2506,MATCH($C972,'REGISTRE TUBES'!$B$7:$B$2506,0))),"?"))</f>
        <v>15421107</v>
      </c>
      <c r="E972" s="100" t="str">
        <f aca="false">IF($C972="","",IFERROR(IF(INDEX('REGISTRE TUBES'!$D$7:$D$2506,MATCH($C972,'REGISTRE TUBES'!$B$7:$B$2506,0))="","",INDEX('REGISTRE TUBES'!$D$7:$D$2506,MATCH($C972,'REGISTRE TUBES'!$B$7:$B$2506,0))),"?"))</f>
        <v/>
      </c>
      <c r="F972" s="101" t="n">
        <f aca="false">IF($C972="","",IFERROR(IF(INDEX('REGISTRE TUBES'!$F$7:$F$2506,MATCH($C972,'REGISTRE TUBES'!$B$7:$B$2506,0))="","",INDEX('REGISTRE TUBES'!$F$7:$F$2506,MATCH($C972,'REGISTRE TUBES'!$B$7:$B$2506,0))),"?"))</f>
        <v>11.94</v>
      </c>
      <c r="G972" s="102" t="n">
        <f aca="false">IF($C972="","",N(G971)+N(F972))</f>
        <v>7855.69999999989</v>
      </c>
      <c r="H972" s="103" t="s">
        <v>1992</v>
      </c>
      <c r="I972" s="104"/>
      <c r="J972" s="105"/>
    </row>
    <row r="973" customFormat="false" ht="15" hidden="false" customHeight="false" outlineLevel="0" collapsed="false">
      <c r="B973" s="90" t="n">
        <v>663</v>
      </c>
      <c r="C973" s="91" t="n">
        <v>2089880</v>
      </c>
      <c r="D973" s="92" t="n">
        <f aca="false">IF($C973="","",IFERROR(IF(INDEX('REGISTRE TUBES'!$C$7:$C$2506,MATCH($C973,'REGISTRE TUBES'!$B$7:$B$2506,0))="","",INDEX('REGISTRE TUBES'!$C$7:$C$2506,MATCH($C973,'REGISTRE TUBES'!$B$7:$B$2506,0))),"?"))</f>
        <v>15421111</v>
      </c>
      <c r="E973" s="92" t="str">
        <f aca="false">IF($C973="","",IFERROR(IF(INDEX('REGISTRE TUBES'!$D$7:$D$2506,MATCH($C973,'REGISTRE TUBES'!$B$7:$B$2506,0))="","",INDEX('REGISTRE TUBES'!$D$7:$D$2506,MATCH($C973,'REGISTRE TUBES'!$B$7:$B$2506,0))),"?"))</f>
        <v/>
      </c>
      <c r="F973" s="93" t="n">
        <f aca="false">IF($C973="","",IFERROR(IF(INDEX('REGISTRE TUBES'!$F$7:$F$2506,MATCH($C973,'REGISTRE TUBES'!$B$7:$B$2506,0))="","",INDEX('REGISTRE TUBES'!$F$7:$F$2506,MATCH($C973,'REGISTRE TUBES'!$B$7:$B$2506,0))),"?"))</f>
        <v>11.94</v>
      </c>
      <c r="G973" s="94" t="n">
        <f aca="false">IF($C973="","",N(G972)+N(F973))</f>
        <v>7867.63999999989</v>
      </c>
      <c r="H973" s="95" t="s">
        <v>1993</v>
      </c>
      <c r="I973" s="96"/>
      <c r="J973" s="97"/>
    </row>
    <row r="974" customFormat="false" ht="15" hidden="false" customHeight="false" outlineLevel="0" collapsed="false">
      <c r="B974" s="98" t="n">
        <v>664</v>
      </c>
      <c r="C974" s="99" t="n">
        <v>2080410</v>
      </c>
      <c r="D974" s="100" t="n">
        <f aca="false">IF($C974="","",IFERROR(IF(INDEX('REGISTRE TUBES'!$C$7:$C$2506,MATCH($C974,'REGISTRE TUBES'!$B$7:$B$2506,0))="","",INDEX('REGISTRE TUBES'!$C$7:$C$2506,MATCH($C974,'REGISTRE TUBES'!$B$7:$B$2506,0))),"?"))</f>
        <v>15421102</v>
      </c>
      <c r="E974" s="100" t="str">
        <f aca="false">IF($C974="","",IFERROR(IF(INDEX('REGISTRE TUBES'!$D$7:$D$2506,MATCH($C974,'REGISTRE TUBES'!$B$7:$B$2506,0))="","",INDEX('REGISTRE TUBES'!$D$7:$D$2506,MATCH($C974,'REGISTRE TUBES'!$B$7:$B$2506,0))),"?"))</f>
        <v/>
      </c>
      <c r="F974" s="101" t="n">
        <f aca="false">IF($C974="","",IFERROR(IF(INDEX('REGISTRE TUBES'!$F$7:$F$2506,MATCH($C974,'REGISTRE TUBES'!$B$7:$B$2506,0))="","",INDEX('REGISTRE TUBES'!$F$7:$F$2506,MATCH($C974,'REGISTRE TUBES'!$B$7:$B$2506,0))),"?"))</f>
        <v>11.94</v>
      </c>
      <c r="G974" s="102" t="n">
        <f aca="false">IF($C974="","",N(G973)+N(F974))</f>
        <v>7879.57999999989</v>
      </c>
      <c r="H974" s="103" t="s">
        <v>1994</v>
      </c>
      <c r="I974" s="104"/>
      <c r="J974" s="105"/>
    </row>
    <row r="975" customFormat="false" ht="15" hidden="false" customHeight="false" outlineLevel="0" collapsed="false">
      <c r="B975" s="90" t="n">
        <v>665</v>
      </c>
      <c r="C975" s="91" t="n">
        <v>2094240</v>
      </c>
      <c r="D975" s="92" t="n">
        <f aca="false">IF($C975="","",IFERROR(IF(INDEX('REGISTRE TUBES'!$C$7:$C$2506,MATCH($C975,'REGISTRE TUBES'!$B$7:$B$2506,0))="","",INDEX('REGISTRE TUBES'!$C$7:$C$2506,MATCH($C975,'REGISTRE TUBES'!$B$7:$B$2506,0))),"?"))</f>
        <v>15421110</v>
      </c>
      <c r="E975" s="92" t="str">
        <f aca="false">IF($C975="","",IFERROR(IF(INDEX('REGISTRE TUBES'!$D$7:$D$2506,MATCH($C975,'REGISTRE TUBES'!$B$7:$B$2506,0))="","",INDEX('REGISTRE TUBES'!$D$7:$D$2506,MATCH($C975,'REGISTRE TUBES'!$B$7:$B$2506,0))),"?"))</f>
        <v/>
      </c>
      <c r="F975" s="93" t="n">
        <f aca="false">IF($C975="","",IFERROR(IF(INDEX('REGISTRE TUBES'!$F$7:$F$2506,MATCH($C975,'REGISTRE TUBES'!$B$7:$B$2506,0))="","",INDEX('REGISTRE TUBES'!$F$7:$F$2506,MATCH($C975,'REGISTRE TUBES'!$B$7:$B$2506,0))),"?"))</f>
        <v>11.94</v>
      </c>
      <c r="G975" s="94" t="n">
        <f aca="false">IF($C975="","",N(G974)+N(F975))</f>
        <v>7891.51999999989</v>
      </c>
      <c r="H975" s="95" t="s">
        <v>1995</v>
      </c>
      <c r="I975" s="96"/>
      <c r="J975" s="97"/>
    </row>
    <row r="976" customFormat="false" ht="15" hidden="false" customHeight="true" outlineLevel="0" collapsed="false">
      <c r="B976" s="106" t="s">
        <v>3031</v>
      </c>
      <c r="C976" s="106"/>
      <c r="D976" s="106"/>
      <c r="E976" s="106"/>
      <c r="F976" s="107" t="n">
        <f aca="false">SUM(F957:F975)</f>
        <v>226.86</v>
      </c>
      <c r="G976" s="108" t="n">
        <f aca="false">IF(COUNT(G957:G975)=0,"",MAX(G957:G975))</f>
        <v>7891.51999999989</v>
      </c>
      <c r="H976" s="106" t="str">
        <f aca="false">COUNTA(C957:C975)&amp;" tube(s)"</f>
        <v>19 tube(s)</v>
      </c>
      <c r="I976" s="106"/>
      <c r="J976" s="106"/>
    </row>
    <row r="978" customFormat="false" ht="15" hidden="false" customHeight="false" outlineLevel="0" collapsed="false">
      <c r="B978" s="109" t="s">
        <v>3032</v>
      </c>
      <c r="F978" s="109" t="s">
        <v>3033</v>
      </c>
      <c r="I978" s="109" t="s">
        <v>3034</v>
      </c>
    </row>
    <row r="981" customFormat="false" ht="25.5" hidden="false" customHeight="true" outlineLevel="0" collapsed="false">
      <c r="B981" s="85" t="s">
        <v>3015</v>
      </c>
      <c r="C981" s="85"/>
      <c r="D981" s="85"/>
      <c r="E981" s="85"/>
      <c r="F981" s="85"/>
      <c r="G981" s="85"/>
      <c r="H981" s="85"/>
      <c r="I981" s="85"/>
      <c r="J981" s="85"/>
    </row>
    <row r="982" customFormat="false" ht="15" hidden="false" customHeight="false" outlineLevel="0" collapsed="false">
      <c r="B982" s="86" t="str">
        <f aca="false">PARAMÈTRES!$C$4&amp;"   •   Affaire N° "&amp;PARAMÈTRES!$C$5</f>
        <v>Développement des champs gaziers TFT II — réseau de collecte TFT Sud (LIGNE-16)   •   Affaire N° 8546</v>
      </c>
      <c r="C982" s="86"/>
      <c r="D982" s="86"/>
      <c r="E982" s="86"/>
      <c r="F982" s="86"/>
      <c r="G982" s="86"/>
      <c r="H982" s="86"/>
      <c r="I982" s="86"/>
      <c r="J982" s="86"/>
    </row>
    <row r="983" customFormat="false" ht="19.5" hidden="false" customHeight="true" outlineLevel="0" collapsed="false">
      <c r="B983" s="87" t="s">
        <v>3016</v>
      </c>
      <c r="C983" s="88" t="s">
        <v>110</v>
      </c>
      <c r="D983" s="88"/>
      <c r="E983" s="87" t="s">
        <v>3017</v>
      </c>
      <c r="F983" s="88" t="s">
        <v>3103</v>
      </c>
      <c r="G983" s="87" t="s">
        <v>3019</v>
      </c>
      <c r="H983" s="88" t="s">
        <v>3104</v>
      </c>
      <c r="I983" s="87" t="s">
        <v>3021</v>
      </c>
      <c r="J983" s="89"/>
    </row>
    <row r="984" customFormat="false" ht="27.75" hidden="false" customHeight="true" outlineLevel="0" collapsed="false">
      <c r="B984" s="71" t="s">
        <v>3022</v>
      </c>
      <c r="C984" s="71" t="s">
        <v>3023</v>
      </c>
      <c r="D984" s="71" t="s">
        <v>3024</v>
      </c>
      <c r="E984" s="71" t="s">
        <v>3025</v>
      </c>
      <c r="F984" s="71" t="s">
        <v>3026</v>
      </c>
      <c r="G984" s="71" t="s">
        <v>3027</v>
      </c>
      <c r="H984" s="71" t="s">
        <v>3028</v>
      </c>
      <c r="I984" s="71" t="s">
        <v>3029</v>
      </c>
      <c r="J984" s="71" t="s">
        <v>3030</v>
      </c>
    </row>
    <row r="985" customFormat="false" ht="15" hidden="false" customHeight="false" outlineLevel="0" collapsed="false">
      <c r="B985" s="90" t="n">
        <v>666</v>
      </c>
      <c r="C985" s="91" t="n">
        <v>2079760</v>
      </c>
      <c r="D985" s="92" t="n">
        <f aca="false">IF($C985="","",IFERROR(IF(INDEX('REGISTRE TUBES'!$C$7:$C$2506,MATCH($C985,'REGISTRE TUBES'!$B$7:$B$2506,0))="","",INDEX('REGISTRE TUBES'!$C$7:$C$2506,MATCH($C985,'REGISTRE TUBES'!$B$7:$B$2506,0))),"?"))</f>
        <v>15421112</v>
      </c>
      <c r="E985" s="92" t="str">
        <f aca="false">IF($C985="","",IFERROR(IF(INDEX('REGISTRE TUBES'!$D$7:$D$2506,MATCH($C985,'REGISTRE TUBES'!$B$7:$B$2506,0))="","",INDEX('REGISTRE TUBES'!$D$7:$D$2506,MATCH($C985,'REGISTRE TUBES'!$B$7:$B$2506,0))),"?"))</f>
        <v/>
      </c>
      <c r="F985" s="93" t="n">
        <f aca="false">IF($C985="","",IFERROR(IF(INDEX('REGISTRE TUBES'!$F$7:$F$2506,MATCH($C985,'REGISTRE TUBES'!$B$7:$B$2506,0))="","",INDEX('REGISTRE TUBES'!$F$7:$F$2506,MATCH($C985,'REGISTRE TUBES'!$B$7:$B$2506,0))),"?"))</f>
        <v>11.94</v>
      </c>
      <c r="G985" s="94" t="n">
        <f aca="false">IF($C985="","",N(G975)+N(F985))</f>
        <v>7903.45999999989</v>
      </c>
      <c r="H985" s="95" t="s">
        <v>1996</v>
      </c>
      <c r="I985" s="96"/>
      <c r="J985" s="97"/>
    </row>
    <row r="986" customFormat="false" ht="15" hidden="false" customHeight="false" outlineLevel="0" collapsed="false">
      <c r="B986" s="98" t="n">
        <v>667</v>
      </c>
      <c r="C986" s="99" t="n">
        <v>2096170</v>
      </c>
      <c r="D986" s="100" t="n">
        <f aca="false">IF($C986="","",IFERROR(IF(INDEX('REGISTRE TUBES'!$C$7:$C$2506,MATCH($C986,'REGISTRE TUBES'!$B$7:$B$2506,0))="","",INDEX('REGISTRE TUBES'!$C$7:$C$2506,MATCH($C986,'REGISTRE TUBES'!$B$7:$B$2506,0))),"?"))</f>
        <v>15421111</v>
      </c>
      <c r="E986" s="100" t="str">
        <f aca="false">IF($C986="","",IFERROR(IF(INDEX('REGISTRE TUBES'!$D$7:$D$2506,MATCH($C986,'REGISTRE TUBES'!$B$7:$B$2506,0))="","",INDEX('REGISTRE TUBES'!$D$7:$D$2506,MATCH($C986,'REGISTRE TUBES'!$B$7:$B$2506,0))),"?"))</f>
        <v/>
      </c>
      <c r="F986" s="101" t="n">
        <f aca="false">IF($C986="","",IFERROR(IF(INDEX('REGISTRE TUBES'!$F$7:$F$2506,MATCH($C986,'REGISTRE TUBES'!$B$7:$B$2506,0))="","",INDEX('REGISTRE TUBES'!$F$7:$F$2506,MATCH($C986,'REGISTRE TUBES'!$B$7:$B$2506,0))),"?"))</f>
        <v>11.94</v>
      </c>
      <c r="G986" s="102" t="n">
        <f aca="false">IF($C986="","",N(G985)+N(F986))</f>
        <v>7915.39999999989</v>
      </c>
      <c r="H986" s="103" t="s">
        <v>1997</v>
      </c>
      <c r="I986" s="104"/>
      <c r="J986" s="105"/>
    </row>
    <row r="987" customFormat="false" ht="15" hidden="false" customHeight="false" outlineLevel="0" collapsed="false">
      <c r="B987" s="90" t="n">
        <v>668</v>
      </c>
      <c r="C987" s="91" t="n">
        <v>2092510</v>
      </c>
      <c r="D987" s="92" t="n">
        <f aca="false">IF($C987="","",IFERROR(IF(INDEX('REGISTRE TUBES'!$C$7:$C$2506,MATCH($C987,'REGISTRE TUBES'!$B$7:$B$2506,0))="","",INDEX('REGISTRE TUBES'!$C$7:$C$2506,MATCH($C987,'REGISTRE TUBES'!$B$7:$B$2506,0))),"?"))</f>
        <v>15421110</v>
      </c>
      <c r="E987" s="92" t="str">
        <f aca="false">IF($C987="","",IFERROR(IF(INDEX('REGISTRE TUBES'!$D$7:$D$2506,MATCH($C987,'REGISTRE TUBES'!$B$7:$B$2506,0))="","",INDEX('REGISTRE TUBES'!$D$7:$D$2506,MATCH($C987,'REGISTRE TUBES'!$B$7:$B$2506,0))),"?"))</f>
        <v/>
      </c>
      <c r="F987" s="93" t="n">
        <f aca="false">IF($C987="","",IFERROR(IF(INDEX('REGISTRE TUBES'!$F$7:$F$2506,MATCH($C987,'REGISTRE TUBES'!$B$7:$B$2506,0))="","",INDEX('REGISTRE TUBES'!$F$7:$F$2506,MATCH($C987,'REGISTRE TUBES'!$B$7:$B$2506,0))),"?"))</f>
        <v>11.94</v>
      </c>
      <c r="G987" s="94" t="n">
        <f aca="false">IF($C987="","",N(G986)+N(F987))</f>
        <v>7927.33999999989</v>
      </c>
      <c r="H987" s="95" t="s">
        <v>1998</v>
      </c>
      <c r="I987" s="96"/>
      <c r="J987" s="97"/>
    </row>
    <row r="988" customFormat="false" ht="15" hidden="false" customHeight="false" outlineLevel="0" collapsed="false">
      <c r="B988" s="98" t="n">
        <v>669</v>
      </c>
      <c r="C988" s="99" t="n">
        <v>2098560</v>
      </c>
      <c r="D988" s="100" t="n">
        <f aca="false">IF($C988="","",IFERROR(IF(INDEX('REGISTRE TUBES'!$C$7:$C$2506,MATCH($C988,'REGISTRE TUBES'!$B$7:$B$2506,0))="","",INDEX('REGISTRE TUBES'!$C$7:$C$2506,MATCH($C988,'REGISTRE TUBES'!$B$7:$B$2506,0))),"?"))</f>
        <v>15421112</v>
      </c>
      <c r="E988" s="100" t="str">
        <f aca="false">IF($C988="","",IFERROR(IF(INDEX('REGISTRE TUBES'!$D$7:$D$2506,MATCH($C988,'REGISTRE TUBES'!$B$7:$B$2506,0))="","",INDEX('REGISTRE TUBES'!$D$7:$D$2506,MATCH($C988,'REGISTRE TUBES'!$B$7:$B$2506,0))),"?"))</f>
        <v/>
      </c>
      <c r="F988" s="101" t="n">
        <f aca="false">IF($C988="","",IFERROR(IF(INDEX('REGISTRE TUBES'!$F$7:$F$2506,MATCH($C988,'REGISTRE TUBES'!$B$7:$B$2506,0))="","",INDEX('REGISTRE TUBES'!$F$7:$F$2506,MATCH($C988,'REGISTRE TUBES'!$B$7:$B$2506,0))),"?"))</f>
        <v>11.94</v>
      </c>
      <c r="G988" s="102" t="n">
        <f aca="false">IF($C988="","",N(G987)+N(F988))</f>
        <v>7939.27999999989</v>
      </c>
      <c r="H988" s="103" t="s">
        <v>1999</v>
      </c>
      <c r="I988" s="104"/>
      <c r="J988" s="105"/>
    </row>
    <row r="989" customFormat="false" ht="15" hidden="false" customHeight="false" outlineLevel="0" collapsed="false">
      <c r="B989" s="90" t="n">
        <v>670</v>
      </c>
      <c r="C989" s="91" t="n">
        <v>2092490</v>
      </c>
      <c r="D989" s="92" t="n">
        <f aca="false">IF($C989="","",IFERROR(IF(INDEX('REGISTRE TUBES'!$C$7:$C$2506,MATCH($C989,'REGISTRE TUBES'!$B$7:$B$2506,0))="","",INDEX('REGISTRE TUBES'!$C$7:$C$2506,MATCH($C989,'REGISTRE TUBES'!$B$7:$B$2506,0))),"?"))</f>
        <v>15421110</v>
      </c>
      <c r="E989" s="92" t="str">
        <f aca="false">IF($C989="","",IFERROR(IF(INDEX('REGISTRE TUBES'!$D$7:$D$2506,MATCH($C989,'REGISTRE TUBES'!$B$7:$B$2506,0))="","",INDEX('REGISTRE TUBES'!$D$7:$D$2506,MATCH($C989,'REGISTRE TUBES'!$B$7:$B$2506,0))),"?"))</f>
        <v/>
      </c>
      <c r="F989" s="93" t="n">
        <f aca="false">IF($C989="","",IFERROR(IF(INDEX('REGISTRE TUBES'!$F$7:$F$2506,MATCH($C989,'REGISTRE TUBES'!$B$7:$B$2506,0))="","",INDEX('REGISTRE TUBES'!$F$7:$F$2506,MATCH($C989,'REGISTRE TUBES'!$B$7:$B$2506,0))),"?"))</f>
        <v>11.94</v>
      </c>
      <c r="G989" s="94" t="n">
        <f aca="false">IF($C989="","",N(G988)+N(F989))</f>
        <v>7951.21999999989</v>
      </c>
      <c r="H989" s="95" t="s">
        <v>2000</v>
      </c>
      <c r="I989" s="96"/>
      <c r="J989" s="97"/>
    </row>
    <row r="990" customFormat="false" ht="15" hidden="false" customHeight="false" outlineLevel="0" collapsed="false">
      <c r="B990" s="98" t="n">
        <v>671</v>
      </c>
      <c r="C990" s="99" t="n">
        <v>2098770</v>
      </c>
      <c r="D990" s="100" t="n">
        <f aca="false">IF($C990="","",IFERROR(IF(INDEX('REGISTRE TUBES'!$C$7:$C$2506,MATCH($C990,'REGISTRE TUBES'!$B$7:$B$2506,0))="","",INDEX('REGISTRE TUBES'!$C$7:$C$2506,MATCH($C990,'REGISTRE TUBES'!$B$7:$B$2506,0))),"?"))</f>
        <v>15421112</v>
      </c>
      <c r="E990" s="100" t="str">
        <f aca="false">IF($C990="","",IFERROR(IF(INDEX('REGISTRE TUBES'!$D$7:$D$2506,MATCH($C990,'REGISTRE TUBES'!$B$7:$B$2506,0))="","",INDEX('REGISTRE TUBES'!$D$7:$D$2506,MATCH($C990,'REGISTRE TUBES'!$B$7:$B$2506,0))),"?"))</f>
        <v/>
      </c>
      <c r="F990" s="101" t="n">
        <f aca="false">IF($C990="","",IFERROR(IF(INDEX('REGISTRE TUBES'!$F$7:$F$2506,MATCH($C990,'REGISTRE TUBES'!$B$7:$B$2506,0))="","",INDEX('REGISTRE TUBES'!$F$7:$F$2506,MATCH($C990,'REGISTRE TUBES'!$B$7:$B$2506,0))),"?"))</f>
        <v>11.94</v>
      </c>
      <c r="G990" s="102" t="n">
        <f aca="false">IF($C990="","",N(G989)+N(F990))</f>
        <v>7963.15999999989</v>
      </c>
      <c r="H990" s="103" t="s">
        <v>2001</v>
      </c>
      <c r="I990" s="104"/>
      <c r="J990" s="105"/>
    </row>
    <row r="991" customFormat="false" ht="15" hidden="false" customHeight="false" outlineLevel="0" collapsed="false">
      <c r="B991" s="90" t="n">
        <v>672</v>
      </c>
      <c r="C991" s="91" t="n">
        <v>2083480</v>
      </c>
      <c r="D991" s="92" t="n">
        <f aca="false">IF($C991="","",IFERROR(IF(INDEX('REGISTRE TUBES'!$C$7:$C$2506,MATCH($C991,'REGISTRE TUBES'!$B$7:$B$2506,0))="","",INDEX('REGISTRE TUBES'!$C$7:$C$2506,MATCH($C991,'REGISTRE TUBES'!$B$7:$B$2506,0))),"?"))</f>
        <v>15421105</v>
      </c>
      <c r="E991" s="92" t="str">
        <f aca="false">IF($C991="","",IFERROR(IF(INDEX('REGISTRE TUBES'!$D$7:$D$2506,MATCH($C991,'REGISTRE TUBES'!$B$7:$B$2506,0))="","",INDEX('REGISTRE TUBES'!$D$7:$D$2506,MATCH($C991,'REGISTRE TUBES'!$B$7:$B$2506,0))),"?"))</f>
        <v/>
      </c>
      <c r="F991" s="93" t="n">
        <f aca="false">IF($C991="","",IFERROR(IF(INDEX('REGISTRE TUBES'!$F$7:$F$2506,MATCH($C991,'REGISTRE TUBES'!$B$7:$B$2506,0))="","",INDEX('REGISTRE TUBES'!$F$7:$F$2506,MATCH($C991,'REGISTRE TUBES'!$B$7:$B$2506,0))),"?"))</f>
        <v>11.94</v>
      </c>
      <c r="G991" s="94" t="n">
        <f aca="false">IF($C991="","",N(G990)+N(F991))</f>
        <v>7975.09999999989</v>
      </c>
      <c r="H991" s="95" t="s">
        <v>2003</v>
      </c>
      <c r="I991" s="96"/>
      <c r="J991" s="97"/>
    </row>
    <row r="992" customFormat="false" ht="15" hidden="false" customHeight="false" outlineLevel="0" collapsed="false">
      <c r="B992" s="98" t="n">
        <v>673</v>
      </c>
      <c r="C992" s="99" t="n">
        <v>2091800</v>
      </c>
      <c r="D992" s="100" t="n">
        <f aca="false">IF($C992="","",IFERROR(IF(INDEX('REGISTRE TUBES'!$C$7:$C$2506,MATCH($C992,'REGISTRE TUBES'!$B$7:$B$2506,0))="","",INDEX('REGISTRE TUBES'!$C$7:$C$2506,MATCH($C992,'REGISTRE TUBES'!$B$7:$B$2506,0))),"?"))</f>
        <v>15421109</v>
      </c>
      <c r="E992" s="100" t="str">
        <f aca="false">IF($C992="","",IFERROR(IF(INDEX('REGISTRE TUBES'!$D$7:$D$2506,MATCH($C992,'REGISTRE TUBES'!$B$7:$B$2506,0))="","",INDEX('REGISTRE TUBES'!$D$7:$D$2506,MATCH($C992,'REGISTRE TUBES'!$B$7:$B$2506,0))),"?"))</f>
        <v/>
      </c>
      <c r="F992" s="101" t="n">
        <f aca="false">IF($C992="","",IFERROR(IF(INDEX('REGISTRE TUBES'!$F$7:$F$2506,MATCH($C992,'REGISTRE TUBES'!$B$7:$B$2506,0))="","",INDEX('REGISTRE TUBES'!$F$7:$F$2506,MATCH($C992,'REGISTRE TUBES'!$B$7:$B$2506,0))),"?"))</f>
        <v>11.94</v>
      </c>
      <c r="G992" s="102" t="n">
        <f aca="false">IF($C992="","",N(G991)+N(F992))</f>
        <v>7987.03999999989</v>
      </c>
      <c r="H992" s="103" t="s">
        <v>2004</v>
      </c>
      <c r="I992" s="104"/>
      <c r="J992" s="105"/>
    </row>
    <row r="993" customFormat="false" ht="15" hidden="false" customHeight="false" outlineLevel="0" collapsed="false">
      <c r="B993" s="90" t="n">
        <v>674</v>
      </c>
      <c r="C993" s="91" t="n">
        <v>2082700</v>
      </c>
      <c r="D993" s="92" t="n">
        <f aca="false">IF($C993="","",IFERROR(IF(INDEX('REGISTRE TUBES'!$C$7:$C$2506,MATCH($C993,'REGISTRE TUBES'!$B$7:$B$2506,0))="","",INDEX('REGISTRE TUBES'!$C$7:$C$2506,MATCH($C993,'REGISTRE TUBES'!$B$7:$B$2506,0))),"?"))</f>
        <v>15421104</v>
      </c>
      <c r="E993" s="92" t="str">
        <f aca="false">IF($C993="","",IFERROR(IF(INDEX('REGISTRE TUBES'!$D$7:$D$2506,MATCH($C993,'REGISTRE TUBES'!$B$7:$B$2506,0))="","",INDEX('REGISTRE TUBES'!$D$7:$D$2506,MATCH($C993,'REGISTRE TUBES'!$B$7:$B$2506,0))),"?"))</f>
        <v/>
      </c>
      <c r="F993" s="93" t="n">
        <f aca="false">IF($C993="","",IFERROR(IF(INDEX('REGISTRE TUBES'!$F$7:$F$2506,MATCH($C993,'REGISTRE TUBES'!$B$7:$B$2506,0))="","",INDEX('REGISTRE TUBES'!$F$7:$F$2506,MATCH($C993,'REGISTRE TUBES'!$B$7:$B$2506,0))),"?"))</f>
        <v>11.94</v>
      </c>
      <c r="G993" s="94" t="n">
        <f aca="false">IF($C993="","",N(G992)+N(F993))</f>
        <v>7998.97999999989</v>
      </c>
      <c r="H993" s="95" t="s">
        <v>2017</v>
      </c>
      <c r="I993" s="96"/>
      <c r="J993" s="97"/>
    </row>
    <row r="994" customFormat="false" ht="15" hidden="false" customHeight="false" outlineLevel="0" collapsed="false">
      <c r="B994" s="98" t="n">
        <v>675</v>
      </c>
      <c r="C994" s="99" t="n">
        <v>2082690</v>
      </c>
      <c r="D994" s="100" t="n">
        <f aca="false">IF($C994="","",IFERROR(IF(INDEX('REGISTRE TUBES'!$C$7:$C$2506,MATCH($C994,'REGISTRE TUBES'!$B$7:$B$2506,0))="","",INDEX('REGISTRE TUBES'!$C$7:$C$2506,MATCH($C994,'REGISTRE TUBES'!$B$7:$B$2506,0))),"?"))</f>
        <v>15421104</v>
      </c>
      <c r="E994" s="100" t="str">
        <f aca="false">IF($C994="","",IFERROR(IF(INDEX('REGISTRE TUBES'!$D$7:$D$2506,MATCH($C994,'REGISTRE TUBES'!$B$7:$B$2506,0))="","",INDEX('REGISTRE TUBES'!$D$7:$D$2506,MATCH($C994,'REGISTRE TUBES'!$B$7:$B$2506,0))),"?"))</f>
        <v/>
      </c>
      <c r="F994" s="101" t="n">
        <f aca="false">IF($C994="","",IFERROR(IF(INDEX('REGISTRE TUBES'!$F$7:$F$2506,MATCH($C994,'REGISTRE TUBES'!$B$7:$B$2506,0))="","",INDEX('REGISTRE TUBES'!$F$7:$F$2506,MATCH($C994,'REGISTRE TUBES'!$B$7:$B$2506,0))),"?"))</f>
        <v>11.94</v>
      </c>
      <c r="G994" s="102" t="n">
        <f aca="false">IF($C994="","",N(G993)+N(F994))</f>
        <v>8010.91999999989</v>
      </c>
      <c r="H994" s="103" t="s">
        <v>2018</v>
      </c>
      <c r="I994" s="104"/>
      <c r="J994" s="105"/>
    </row>
    <row r="995" customFormat="false" ht="15" hidden="false" customHeight="false" outlineLevel="0" collapsed="false">
      <c r="B995" s="90" t="n">
        <v>676</v>
      </c>
      <c r="C995" s="91" t="n">
        <v>2082720</v>
      </c>
      <c r="D995" s="92" t="n">
        <f aca="false">IF($C995="","",IFERROR(IF(INDEX('REGISTRE TUBES'!$C$7:$C$2506,MATCH($C995,'REGISTRE TUBES'!$B$7:$B$2506,0))="","",INDEX('REGISTRE TUBES'!$C$7:$C$2506,MATCH($C995,'REGISTRE TUBES'!$B$7:$B$2506,0))),"?"))</f>
        <v>15421104</v>
      </c>
      <c r="E995" s="92" t="str">
        <f aca="false">IF($C995="","",IFERROR(IF(INDEX('REGISTRE TUBES'!$D$7:$D$2506,MATCH($C995,'REGISTRE TUBES'!$B$7:$B$2506,0))="","",INDEX('REGISTRE TUBES'!$D$7:$D$2506,MATCH($C995,'REGISTRE TUBES'!$B$7:$B$2506,0))),"?"))</f>
        <v/>
      </c>
      <c r="F995" s="93" t="n">
        <f aca="false">IF($C995="","",IFERROR(IF(INDEX('REGISTRE TUBES'!$F$7:$F$2506,MATCH($C995,'REGISTRE TUBES'!$B$7:$B$2506,0))="","",INDEX('REGISTRE TUBES'!$F$7:$F$2506,MATCH($C995,'REGISTRE TUBES'!$B$7:$B$2506,0))),"?"))</f>
        <v>11.94</v>
      </c>
      <c r="G995" s="94" t="n">
        <f aca="false">IF($C995="","",N(G994)+N(F995))</f>
        <v>8022.85999999989</v>
      </c>
      <c r="H995" s="95" t="s">
        <v>2019</v>
      </c>
      <c r="I995" s="96"/>
      <c r="J995" s="97"/>
    </row>
    <row r="996" customFormat="false" ht="15" hidden="false" customHeight="false" outlineLevel="0" collapsed="false">
      <c r="B996" s="98" t="n">
        <v>677</v>
      </c>
      <c r="C996" s="99" t="n">
        <v>2096640</v>
      </c>
      <c r="D996" s="100" t="n">
        <f aca="false">IF($C996="","",IFERROR(IF(INDEX('REGISTRE TUBES'!$C$7:$C$2506,MATCH($C996,'REGISTRE TUBES'!$B$7:$B$2506,0))="","",INDEX('REGISTRE TUBES'!$C$7:$C$2506,MATCH($C996,'REGISTRE TUBES'!$B$7:$B$2506,0))),"?"))</f>
        <v>15421111</v>
      </c>
      <c r="E996" s="100" t="str">
        <f aca="false">IF($C996="","",IFERROR(IF(INDEX('REGISTRE TUBES'!$D$7:$D$2506,MATCH($C996,'REGISTRE TUBES'!$B$7:$B$2506,0))="","",INDEX('REGISTRE TUBES'!$D$7:$D$2506,MATCH($C996,'REGISTRE TUBES'!$B$7:$B$2506,0))),"?"))</f>
        <v/>
      </c>
      <c r="F996" s="101" t="n">
        <f aca="false">IF($C996="","",IFERROR(IF(INDEX('REGISTRE TUBES'!$F$7:$F$2506,MATCH($C996,'REGISTRE TUBES'!$B$7:$B$2506,0))="","",INDEX('REGISTRE TUBES'!$F$7:$F$2506,MATCH($C996,'REGISTRE TUBES'!$B$7:$B$2506,0))),"?"))</f>
        <v>11.94</v>
      </c>
      <c r="G996" s="102" t="n">
        <f aca="false">IF($C996="","",N(G995)+N(F996))</f>
        <v>8034.79999999989</v>
      </c>
      <c r="H996" s="103" t="s">
        <v>2020</v>
      </c>
      <c r="I996" s="104"/>
      <c r="J996" s="105"/>
    </row>
    <row r="997" customFormat="false" ht="15" hidden="false" customHeight="false" outlineLevel="0" collapsed="false">
      <c r="B997" s="90" t="n">
        <v>678</v>
      </c>
      <c r="C997" s="91" t="n">
        <v>2081690</v>
      </c>
      <c r="D997" s="92" t="n">
        <f aca="false">IF($C997="","",IFERROR(IF(INDEX('REGISTRE TUBES'!$C$7:$C$2506,MATCH($C997,'REGISTRE TUBES'!$B$7:$B$2506,0))="","",INDEX('REGISTRE TUBES'!$C$7:$C$2506,MATCH($C997,'REGISTRE TUBES'!$B$7:$B$2506,0))),"?"))</f>
        <v>15421103</v>
      </c>
      <c r="E997" s="92" t="str">
        <f aca="false">IF($C997="","",IFERROR(IF(INDEX('REGISTRE TUBES'!$D$7:$D$2506,MATCH($C997,'REGISTRE TUBES'!$B$7:$B$2506,0))="","",INDEX('REGISTRE TUBES'!$D$7:$D$2506,MATCH($C997,'REGISTRE TUBES'!$B$7:$B$2506,0))),"?"))</f>
        <v/>
      </c>
      <c r="F997" s="93" t="n">
        <f aca="false">IF($C997="","",IFERROR(IF(INDEX('REGISTRE TUBES'!$F$7:$F$2506,MATCH($C997,'REGISTRE TUBES'!$B$7:$B$2506,0))="","",INDEX('REGISTRE TUBES'!$F$7:$F$2506,MATCH($C997,'REGISTRE TUBES'!$B$7:$B$2506,0))),"?"))</f>
        <v>11.94</v>
      </c>
      <c r="G997" s="94" t="n">
        <f aca="false">IF($C997="","",N(G996)+N(F997))</f>
        <v>8046.73999999988</v>
      </c>
      <c r="H997" s="95" t="s">
        <v>2022</v>
      </c>
      <c r="I997" s="96"/>
      <c r="J997" s="97"/>
    </row>
    <row r="998" customFormat="false" ht="15" hidden="false" customHeight="false" outlineLevel="0" collapsed="false">
      <c r="B998" s="98" t="n">
        <v>679</v>
      </c>
      <c r="C998" s="99" t="n">
        <v>2095290</v>
      </c>
      <c r="D998" s="100" t="n">
        <f aca="false">IF($C998="","",IFERROR(IF(INDEX('REGISTRE TUBES'!$C$7:$C$2506,MATCH($C998,'REGISTRE TUBES'!$B$7:$B$2506,0))="","",INDEX('REGISTRE TUBES'!$C$7:$C$2506,MATCH($C998,'REGISTRE TUBES'!$B$7:$B$2506,0))),"?"))</f>
        <v>15421111</v>
      </c>
      <c r="E998" s="100" t="str">
        <f aca="false">IF($C998="","",IFERROR(IF(INDEX('REGISTRE TUBES'!$D$7:$D$2506,MATCH($C998,'REGISTRE TUBES'!$B$7:$B$2506,0))="","",INDEX('REGISTRE TUBES'!$D$7:$D$2506,MATCH($C998,'REGISTRE TUBES'!$B$7:$B$2506,0))),"?"))</f>
        <v/>
      </c>
      <c r="F998" s="101" t="n">
        <f aca="false">IF($C998="","",IFERROR(IF(INDEX('REGISTRE TUBES'!$F$7:$F$2506,MATCH($C998,'REGISTRE TUBES'!$B$7:$B$2506,0))="","",INDEX('REGISTRE TUBES'!$F$7:$F$2506,MATCH($C998,'REGISTRE TUBES'!$B$7:$B$2506,0))),"?"))</f>
        <v>11.94</v>
      </c>
      <c r="G998" s="102" t="n">
        <f aca="false">IF($C998="","",N(G997)+N(F998))</f>
        <v>8058.67999999988</v>
      </c>
      <c r="H998" s="103" t="s">
        <v>2023</v>
      </c>
      <c r="I998" s="104"/>
      <c r="J998" s="105"/>
    </row>
    <row r="999" customFormat="false" ht="15" hidden="false" customHeight="false" outlineLevel="0" collapsed="false">
      <c r="B999" s="90" t="n">
        <v>680</v>
      </c>
      <c r="C999" s="91" t="n">
        <v>2096010</v>
      </c>
      <c r="D999" s="92" t="n">
        <f aca="false">IF($C999="","",IFERROR(IF(INDEX('REGISTRE TUBES'!$C$7:$C$2506,MATCH($C999,'REGISTRE TUBES'!$B$7:$B$2506,0))="","",INDEX('REGISTRE TUBES'!$C$7:$C$2506,MATCH($C999,'REGISTRE TUBES'!$B$7:$B$2506,0))),"?"))</f>
        <v>15421111</v>
      </c>
      <c r="E999" s="92" t="str">
        <f aca="false">IF($C999="","",IFERROR(IF(INDEX('REGISTRE TUBES'!$D$7:$D$2506,MATCH($C999,'REGISTRE TUBES'!$B$7:$B$2506,0))="","",INDEX('REGISTRE TUBES'!$D$7:$D$2506,MATCH($C999,'REGISTRE TUBES'!$B$7:$B$2506,0))),"?"))</f>
        <v/>
      </c>
      <c r="F999" s="93" t="n">
        <f aca="false">IF($C999="","",IFERROR(IF(INDEX('REGISTRE TUBES'!$F$7:$F$2506,MATCH($C999,'REGISTRE TUBES'!$B$7:$B$2506,0))="","",INDEX('REGISTRE TUBES'!$F$7:$F$2506,MATCH($C999,'REGISTRE TUBES'!$B$7:$B$2506,0))),"?"))</f>
        <v>11.94</v>
      </c>
      <c r="G999" s="94" t="n">
        <f aca="false">IF($C999="","",N(G998)+N(F999))</f>
        <v>8070.61999999988</v>
      </c>
      <c r="H999" s="95" t="s">
        <v>2025</v>
      </c>
      <c r="I999" s="96"/>
      <c r="J999" s="97"/>
    </row>
    <row r="1000" customFormat="false" ht="15" hidden="false" customHeight="false" outlineLevel="0" collapsed="false">
      <c r="B1000" s="98" t="n">
        <v>681</v>
      </c>
      <c r="C1000" s="99" t="n">
        <v>2098290</v>
      </c>
      <c r="D1000" s="100" t="n">
        <f aca="false">IF($C1000="","",IFERROR(IF(INDEX('REGISTRE TUBES'!$C$7:$C$2506,MATCH($C1000,'REGISTRE TUBES'!$B$7:$B$2506,0))="","",INDEX('REGISTRE TUBES'!$C$7:$C$2506,MATCH($C1000,'REGISTRE TUBES'!$B$7:$B$2506,0))),"?"))</f>
        <v>15421112</v>
      </c>
      <c r="E1000" s="100" t="str">
        <f aca="false">IF($C1000="","",IFERROR(IF(INDEX('REGISTRE TUBES'!$D$7:$D$2506,MATCH($C1000,'REGISTRE TUBES'!$B$7:$B$2506,0))="","",INDEX('REGISTRE TUBES'!$D$7:$D$2506,MATCH($C1000,'REGISTRE TUBES'!$B$7:$B$2506,0))),"?"))</f>
        <v/>
      </c>
      <c r="F1000" s="101" t="n">
        <f aca="false">IF($C1000="","",IFERROR(IF(INDEX('REGISTRE TUBES'!$F$7:$F$2506,MATCH($C1000,'REGISTRE TUBES'!$B$7:$B$2506,0))="","",INDEX('REGISTRE TUBES'!$F$7:$F$2506,MATCH($C1000,'REGISTRE TUBES'!$B$7:$B$2506,0))),"?"))</f>
        <v>11.94</v>
      </c>
      <c r="G1000" s="102" t="n">
        <f aca="false">IF($C1000="","",N(G999)+N(F1000))</f>
        <v>8082.55999999988</v>
      </c>
      <c r="H1000" s="103" t="s">
        <v>2026</v>
      </c>
      <c r="I1000" s="104"/>
      <c r="J1000" s="105"/>
    </row>
    <row r="1001" customFormat="false" ht="15" hidden="false" customHeight="false" outlineLevel="0" collapsed="false">
      <c r="B1001" s="90" t="n">
        <v>682</v>
      </c>
      <c r="C1001" s="91" t="n">
        <v>2089020</v>
      </c>
      <c r="D1001" s="92" t="n">
        <f aca="false">IF($C1001="","",IFERROR(IF(INDEX('REGISTRE TUBES'!$C$7:$C$2506,MATCH($C1001,'REGISTRE TUBES'!$B$7:$B$2506,0))="","",INDEX('REGISTRE TUBES'!$C$7:$C$2506,MATCH($C1001,'REGISTRE TUBES'!$B$7:$B$2506,0))),"?"))</f>
        <v>15421108</v>
      </c>
      <c r="E1001" s="92" t="str">
        <f aca="false">IF($C1001="","",IFERROR(IF(INDEX('REGISTRE TUBES'!$D$7:$D$2506,MATCH($C1001,'REGISTRE TUBES'!$B$7:$B$2506,0))="","",INDEX('REGISTRE TUBES'!$D$7:$D$2506,MATCH($C1001,'REGISTRE TUBES'!$B$7:$B$2506,0))),"?"))</f>
        <v/>
      </c>
      <c r="F1001" s="93" t="n">
        <f aca="false">IF($C1001="","",IFERROR(IF(INDEX('REGISTRE TUBES'!$F$7:$F$2506,MATCH($C1001,'REGISTRE TUBES'!$B$7:$B$2506,0))="","",INDEX('REGISTRE TUBES'!$F$7:$F$2506,MATCH($C1001,'REGISTRE TUBES'!$B$7:$B$2506,0))),"?"))</f>
        <v>11.94</v>
      </c>
      <c r="G1001" s="94" t="n">
        <f aca="false">IF($C1001="","",N(G1000)+N(F1001))</f>
        <v>8094.49999999988</v>
      </c>
      <c r="H1001" s="95" t="s">
        <v>2027</v>
      </c>
      <c r="I1001" s="96"/>
      <c r="J1001" s="97"/>
    </row>
    <row r="1002" customFormat="false" ht="15" hidden="false" customHeight="false" outlineLevel="0" collapsed="false">
      <c r="B1002" s="98" t="n">
        <v>683</v>
      </c>
      <c r="C1002" s="99" t="n">
        <v>2096810</v>
      </c>
      <c r="D1002" s="100" t="n">
        <f aca="false">IF($C1002="","",IFERROR(IF(INDEX('REGISTRE TUBES'!$C$7:$C$2506,MATCH($C1002,'REGISTRE TUBES'!$B$7:$B$2506,0))="","",INDEX('REGISTRE TUBES'!$C$7:$C$2506,MATCH($C1002,'REGISTRE TUBES'!$B$7:$B$2506,0))),"?"))</f>
        <v>15421111</v>
      </c>
      <c r="E1002" s="100" t="str">
        <f aca="false">IF($C1002="","",IFERROR(IF(INDEX('REGISTRE TUBES'!$D$7:$D$2506,MATCH($C1002,'REGISTRE TUBES'!$B$7:$B$2506,0))="","",INDEX('REGISTRE TUBES'!$D$7:$D$2506,MATCH($C1002,'REGISTRE TUBES'!$B$7:$B$2506,0))),"?"))</f>
        <v/>
      </c>
      <c r="F1002" s="101" t="n">
        <f aca="false">IF($C1002="","",IFERROR(IF(INDEX('REGISTRE TUBES'!$F$7:$F$2506,MATCH($C1002,'REGISTRE TUBES'!$B$7:$B$2506,0))="","",INDEX('REGISTRE TUBES'!$F$7:$F$2506,MATCH($C1002,'REGISTRE TUBES'!$B$7:$B$2506,0))),"?"))</f>
        <v>11.94</v>
      </c>
      <c r="G1002" s="102" t="n">
        <f aca="false">IF($C1002="","",N(G1001)+N(F1002))</f>
        <v>8106.43999999988</v>
      </c>
      <c r="H1002" s="103" t="s">
        <v>2028</v>
      </c>
      <c r="I1002" s="104"/>
      <c r="J1002" s="105"/>
    </row>
    <row r="1003" customFormat="false" ht="15" hidden="false" customHeight="false" outlineLevel="0" collapsed="false">
      <c r="B1003" s="90" t="n">
        <v>684</v>
      </c>
      <c r="C1003" s="91" t="n">
        <v>2080010</v>
      </c>
      <c r="D1003" s="92" t="n">
        <f aca="false">IF($C1003="","",IFERROR(IF(INDEX('REGISTRE TUBES'!$C$7:$C$2506,MATCH($C1003,'REGISTRE TUBES'!$B$7:$B$2506,0))="","",INDEX('REGISTRE TUBES'!$C$7:$C$2506,MATCH($C1003,'REGISTRE TUBES'!$B$7:$B$2506,0))),"?"))</f>
        <v>15421102</v>
      </c>
      <c r="E1003" s="92" t="str">
        <f aca="false">IF($C1003="","",IFERROR(IF(INDEX('REGISTRE TUBES'!$D$7:$D$2506,MATCH($C1003,'REGISTRE TUBES'!$B$7:$B$2506,0))="","",INDEX('REGISTRE TUBES'!$D$7:$D$2506,MATCH($C1003,'REGISTRE TUBES'!$B$7:$B$2506,0))),"?"))</f>
        <v/>
      </c>
      <c r="F1003" s="93" t="n">
        <f aca="false">IF($C1003="","",IFERROR(IF(INDEX('REGISTRE TUBES'!$F$7:$F$2506,MATCH($C1003,'REGISTRE TUBES'!$B$7:$B$2506,0))="","",INDEX('REGISTRE TUBES'!$F$7:$F$2506,MATCH($C1003,'REGISTRE TUBES'!$B$7:$B$2506,0))),"?"))</f>
        <v>11.94</v>
      </c>
      <c r="G1003" s="94" t="n">
        <f aca="false">IF($C1003="","",N(G1002)+N(F1003))</f>
        <v>8118.37999999988</v>
      </c>
      <c r="H1003" s="95" t="s">
        <v>2029</v>
      </c>
      <c r="I1003" s="96"/>
      <c r="J1003" s="97"/>
    </row>
    <row r="1004" customFormat="false" ht="15" hidden="false" customHeight="true" outlineLevel="0" collapsed="false">
      <c r="B1004" s="106" t="s">
        <v>3031</v>
      </c>
      <c r="C1004" s="106"/>
      <c r="D1004" s="106"/>
      <c r="E1004" s="106"/>
      <c r="F1004" s="107" t="n">
        <f aca="false">SUM(F985:F1003)</f>
        <v>226.86</v>
      </c>
      <c r="G1004" s="108" t="n">
        <f aca="false">IF(COUNT(G985:G1003)=0,"",MAX(G985:G1003))</f>
        <v>8118.37999999988</v>
      </c>
      <c r="H1004" s="106" t="str">
        <f aca="false">COUNTA(C985:C1003)&amp;" tube(s)"</f>
        <v>19 tube(s)</v>
      </c>
      <c r="I1004" s="106"/>
      <c r="J1004" s="106"/>
    </row>
    <row r="1006" customFormat="false" ht="15" hidden="false" customHeight="false" outlineLevel="0" collapsed="false">
      <c r="B1006" s="109" t="s">
        <v>3032</v>
      </c>
      <c r="F1006" s="109" t="s">
        <v>3033</v>
      </c>
      <c r="I1006" s="109" t="s">
        <v>3034</v>
      </c>
    </row>
    <row r="1009" customFormat="false" ht="25.5" hidden="false" customHeight="true" outlineLevel="0" collapsed="false">
      <c r="B1009" s="85" t="s">
        <v>3015</v>
      </c>
      <c r="C1009" s="85"/>
      <c r="D1009" s="85"/>
      <c r="E1009" s="85"/>
      <c r="F1009" s="85"/>
      <c r="G1009" s="85"/>
      <c r="H1009" s="85"/>
      <c r="I1009" s="85"/>
      <c r="J1009" s="85"/>
    </row>
    <row r="1010" customFormat="false" ht="15" hidden="false" customHeight="false" outlineLevel="0" collapsed="false">
      <c r="B1010" s="86" t="str">
        <f aca="false">PARAMÈTRES!$C$4&amp;"   •   Affaire N° "&amp;PARAMÈTRES!$C$5</f>
        <v>Développement des champs gaziers TFT II — réseau de collecte TFT Sud (LIGNE-16)   •   Affaire N° 8546</v>
      </c>
      <c r="C1010" s="86"/>
      <c r="D1010" s="86"/>
      <c r="E1010" s="86"/>
      <c r="F1010" s="86"/>
      <c r="G1010" s="86"/>
      <c r="H1010" s="86"/>
      <c r="I1010" s="86"/>
      <c r="J1010" s="86"/>
    </row>
    <row r="1011" customFormat="false" ht="19.5" hidden="false" customHeight="true" outlineLevel="0" collapsed="false">
      <c r="B1011" s="87" t="s">
        <v>3016</v>
      </c>
      <c r="C1011" s="88" t="s">
        <v>110</v>
      </c>
      <c r="D1011" s="88"/>
      <c r="E1011" s="87" t="s">
        <v>3017</v>
      </c>
      <c r="F1011" s="88" t="s">
        <v>3105</v>
      </c>
      <c r="G1011" s="87" t="s">
        <v>3019</v>
      </c>
      <c r="H1011" s="88" t="s">
        <v>3106</v>
      </c>
      <c r="I1011" s="87" t="s">
        <v>3021</v>
      </c>
      <c r="J1011" s="89"/>
    </row>
    <row r="1012" customFormat="false" ht="27.75" hidden="false" customHeight="true" outlineLevel="0" collapsed="false">
      <c r="B1012" s="71" t="s">
        <v>3022</v>
      </c>
      <c r="C1012" s="71" t="s">
        <v>3023</v>
      </c>
      <c r="D1012" s="71" t="s">
        <v>3024</v>
      </c>
      <c r="E1012" s="71" t="s">
        <v>3025</v>
      </c>
      <c r="F1012" s="71" t="s">
        <v>3026</v>
      </c>
      <c r="G1012" s="71" t="s">
        <v>3027</v>
      </c>
      <c r="H1012" s="71" t="s">
        <v>3028</v>
      </c>
      <c r="I1012" s="71" t="s">
        <v>3029</v>
      </c>
      <c r="J1012" s="71" t="s">
        <v>3030</v>
      </c>
    </row>
    <row r="1013" customFormat="false" ht="15" hidden="false" customHeight="false" outlineLevel="0" collapsed="false">
      <c r="B1013" s="90" t="n">
        <v>685</v>
      </c>
      <c r="C1013" s="91" t="n">
        <v>2091070</v>
      </c>
      <c r="D1013" s="92" t="n">
        <f aca="false">IF($C1013="","",IFERROR(IF(INDEX('REGISTRE TUBES'!$C$7:$C$2506,MATCH($C1013,'REGISTRE TUBES'!$B$7:$B$2506,0))="","",INDEX('REGISTRE TUBES'!$C$7:$C$2506,MATCH($C1013,'REGISTRE TUBES'!$B$7:$B$2506,0))),"?"))</f>
        <v>15421109</v>
      </c>
      <c r="E1013" s="92" t="str">
        <f aca="false">IF($C1013="","",IFERROR(IF(INDEX('REGISTRE TUBES'!$D$7:$D$2506,MATCH($C1013,'REGISTRE TUBES'!$B$7:$B$2506,0))="","",INDEX('REGISTRE TUBES'!$D$7:$D$2506,MATCH($C1013,'REGISTRE TUBES'!$B$7:$B$2506,0))),"?"))</f>
        <v/>
      </c>
      <c r="F1013" s="93" t="n">
        <f aca="false">IF($C1013="","",IFERROR(IF(INDEX('REGISTRE TUBES'!$F$7:$F$2506,MATCH($C1013,'REGISTRE TUBES'!$B$7:$B$2506,0))="","",INDEX('REGISTRE TUBES'!$F$7:$F$2506,MATCH($C1013,'REGISTRE TUBES'!$B$7:$B$2506,0))),"?"))</f>
        <v>11.94</v>
      </c>
      <c r="G1013" s="94" t="n">
        <f aca="false">IF($C1013="","",N(G1003)+N(F1013))</f>
        <v>8130.31999999988</v>
      </c>
      <c r="H1013" s="95" t="s">
        <v>2032</v>
      </c>
      <c r="I1013" s="96"/>
      <c r="J1013" s="97"/>
    </row>
    <row r="1014" customFormat="false" ht="15" hidden="false" customHeight="false" outlineLevel="0" collapsed="false">
      <c r="B1014" s="98" t="n">
        <v>686</v>
      </c>
      <c r="C1014" s="99" t="n">
        <v>2083390</v>
      </c>
      <c r="D1014" s="100" t="n">
        <f aca="false">IF($C1014="","",IFERROR(IF(INDEX('REGISTRE TUBES'!$C$7:$C$2506,MATCH($C1014,'REGISTRE TUBES'!$B$7:$B$2506,0))="","",INDEX('REGISTRE TUBES'!$C$7:$C$2506,MATCH($C1014,'REGISTRE TUBES'!$B$7:$B$2506,0))),"?"))</f>
        <v>15421105</v>
      </c>
      <c r="E1014" s="100" t="str">
        <f aca="false">IF($C1014="","",IFERROR(IF(INDEX('REGISTRE TUBES'!$D$7:$D$2506,MATCH($C1014,'REGISTRE TUBES'!$B$7:$B$2506,0))="","",INDEX('REGISTRE TUBES'!$D$7:$D$2506,MATCH($C1014,'REGISTRE TUBES'!$B$7:$B$2506,0))),"?"))</f>
        <v/>
      </c>
      <c r="F1014" s="101" t="n">
        <f aca="false">IF($C1014="","",IFERROR(IF(INDEX('REGISTRE TUBES'!$F$7:$F$2506,MATCH($C1014,'REGISTRE TUBES'!$B$7:$B$2506,0))="","",INDEX('REGISTRE TUBES'!$F$7:$F$2506,MATCH($C1014,'REGISTRE TUBES'!$B$7:$B$2506,0))),"?"))</f>
        <v>11.94</v>
      </c>
      <c r="G1014" s="102" t="n">
        <f aca="false">IF($C1014="","",N(G1013)+N(F1014))</f>
        <v>8142.25999999988</v>
      </c>
      <c r="H1014" s="103" t="s">
        <v>2037</v>
      </c>
      <c r="I1014" s="104"/>
      <c r="J1014" s="105"/>
    </row>
    <row r="1015" customFormat="false" ht="15" hidden="false" customHeight="false" outlineLevel="0" collapsed="false">
      <c r="B1015" s="90" t="n">
        <v>687</v>
      </c>
      <c r="C1015" s="91" t="n">
        <v>2097060</v>
      </c>
      <c r="D1015" s="92" t="n">
        <f aca="false">IF($C1015="","",IFERROR(IF(INDEX('REGISTRE TUBES'!$C$7:$C$2506,MATCH($C1015,'REGISTRE TUBES'!$B$7:$B$2506,0))="","",INDEX('REGISTRE TUBES'!$C$7:$C$2506,MATCH($C1015,'REGISTRE TUBES'!$B$7:$B$2506,0))),"?"))</f>
        <v>15421111</v>
      </c>
      <c r="E1015" s="92" t="str">
        <f aca="false">IF($C1015="","",IFERROR(IF(INDEX('REGISTRE TUBES'!$D$7:$D$2506,MATCH($C1015,'REGISTRE TUBES'!$B$7:$B$2506,0))="","",INDEX('REGISTRE TUBES'!$D$7:$D$2506,MATCH($C1015,'REGISTRE TUBES'!$B$7:$B$2506,0))),"?"))</f>
        <v/>
      </c>
      <c r="F1015" s="93" t="n">
        <f aca="false">IF($C1015="","",IFERROR(IF(INDEX('REGISTRE TUBES'!$F$7:$F$2506,MATCH($C1015,'REGISTRE TUBES'!$B$7:$B$2506,0))="","",INDEX('REGISTRE TUBES'!$F$7:$F$2506,MATCH($C1015,'REGISTRE TUBES'!$B$7:$B$2506,0))),"?"))</f>
        <v>11.94</v>
      </c>
      <c r="G1015" s="94" t="n">
        <f aca="false">IF($C1015="","",N(G1014)+N(F1015))</f>
        <v>8154.19999999988</v>
      </c>
      <c r="H1015" s="95" t="s">
        <v>2038</v>
      </c>
      <c r="I1015" s="96"/>
      <c r="J1015" s="97"/>
    </row>
    <row r="1016" customFormat="false" ht="15" hidden="false" customHeight="false" outlineLevel="0" collapsed="false">
      <c r="B1016" s="98" t="n">
        <v>688</v>
      </c>
      <c r="C1016" s="99" t="n">
        <v>2080000</v>
      </c>
      <c r="D1016" s="100" t="n">
        <f aca="false">IF($C1016="","",IFERROR(IF(INDEX('REGISTRE TUBES'!$C$7:$C$2506,MATCH($C1016,'REGISTRE TUBES'!$B$7:$B$2506,0))="","",INDEX('REGISTRE TUBES'!$C$7:$C$2506,MATCH($C1016,'REGISTRE TUBES'!$B$7:$B$2506,0))),"?"))</f>
        <v>15421102</v>
      </c>
      <c r="E1016" s="100" t="str">
        <f aca="false">IF($C1016="","",IFERROR(IF(INDEX('REGISTRE TUBES'!$D$7:$D$2506,MATCH($C1016,'REGISTRE TUBES'!$B$7:$B$2506,0))="","",INDEX('REGISTRE TUBES'!$D$7:$D$2506,MATCH($C1016,'REGISTRE TUBES'!$B$7:$B$2506,0))),"?"))</f>
        <v/>
      </c>
      <c r="F1016" s="101" t="n">
        <f aca="false">IF($C1016="","",IFERROR(IF(INDEX('REGISTRE TUBES'!$F$7:$F$2506,MATCH($C1016,'REGISTRE TUBES'!$B$7:$B$2506,0))="","",INDEX('REGISTRE TUBES'!$F$7:$F$2506,MATCH($C1016,'REGISTRE TUBES'!$B$7:$B$2506,0))),"?"))</f>
        <v>11.94</v>
      </c>
      <c r="G1016" s="102" t="n">
        <f aca="false">IF($C1016="","",N(G1015)+N(F1016))</f>
        <v>8166.13999999988</v>
      </c>
      <c r="H1016" s="103" t="s">
        <v>2044</v>
      </c>
      <c r="I1016" s="104"/>
      <c r="J1016" s="105"/>
    </row>
    <row r="1017" customFormat="false" ht="15" hidden="false" customHeight="false" outlineLevel="0" collapsed="false">
      <c r="B1017" s="90" t="n">
        <v>689</v>
      </c>
      <c r="C1017" s="91" t="n">
        <v>2079510</v>
      </c>
      <c r="D1017" s="92" t="n">
        <f aca="false">IF($C1017="","",IFERROR(IF(INDEX('REGISTRE TUBES'!$C$7:$C$2506,MATCH($C1017,'REGISTRE TUBES'!$B$7:$B$2506,0))="","",INDEX('REGISTRE TUBES'!$C$7:$C$2506,MATCH($C1017,'REGISTRE TUBES'!$B$7:$B$2506,0))),"?"))</f>
        <v>15421102</v>
      </c>
      <c r="E1017" s="92" t="str">
        <f aca="false">IF($C1017="","",IFERROR(IF(INDEX('REGISTRE TUBES'!$D$7:$D$2506,MATCH($C1017,'REGISTRE TUBES'!$B$7:$B$2506,0))="","",INDEX('REGISTRE TUBES'!$D$7:$D$2506,MATCH($C1017,'REGISTRE TUBES'!$B$7:$B$2506,0))),"?"))</f>
        <v/>
      </c>
      <c r="F1017" s="93" t="n">
        <f aca="false">IF($C1017="","",IFERROR(IF(INDEX('REGISTRE TUBES'!$F$7:$F$2506,MATCH($C1017,'REGISTRE TUBES'!$B$7:$B$2506,0))="","",INDEX('REGISTRE TUBES'!$F$7:$F$2506,MATCH($C1017,'REGISTRE TUBES'!$B$7:$B$2506,0))),"?"))</f>
        <v>11.94</v>
      </c>
      <c r="G1017" s="94" t="n">
        <f aca="false">IF($C1017="","",N(G1016)+N(F1017))</f>
        <v>8178.07999999988</v>
      </c>
      <c r="H1017" s="95" t="s">
        <v>2045</v>
      </c>
      <c r="I1017" s="96"/>
      <c r="J1017" s="97"/>
    </row>
    <row r="1018" customFormat="false" ht="15" hidden="false" customHeight="false" outlineLevel="0" collapsed="false">
      <c r="B1018" s="98" t="n">
        <v>690</v>
      </c>
      <c r="C1018" s="99" t="n">
        <v>2089910</v>
      </c>
      <c r="D1018" s="100" t="n">
        <f aca="false">IF($C1018="","",IFERROR(IF(INDEX('REGISTRE TUBES'!$C$7:$C$2506,MATCH($C1018,'REGISTRE TUBES'!$B$7:$B$2506,0))="","",INDEX('REGISTRE TUBES'!$C$7:$C$2506,MATCH($C1018,'REGISTRE TUBES'!$B$7:$B$2506,0))),"?"))</f>
        <v>15421109</v>
      </c>
      <c r="E1018" s="100" t="str">
        <f aca="false">IF($C1018="","",IFERROR(IF(INDEX('REGISTRE TUBES'!$D$7:$D$2506,MATCH($C1018,'REGISTRE TUBES'!$B$7:$B$2506,0))="","",INDEX('REGISTRE TUBES'!$D$7:$D$2506,MATCH($C1018,'REGISTRE TUBES'!$B$7:$B$2506,0))),"?"))</f>
        <v/>
      </c>
      <c r="F1018" s="101" t="n">
        <f aca="false">IF($C1018="","",IFERROR(IF(INDEX('REGISTRE TUBES'!$F$7:$F$2506,MATCH($C1018,'REGISTRE TUBES'!$B$7:$B$2506,0))="","",INDEX('REGISTRE TUBES'!$F$7:$F$2506,MATCH($C1018,'REGISTRE TUBES'!$B$7:$B$2506,0))),"?"))</f>
        <v>11.94</v>
      </c>
      <c r="G1018" s="102" t="n">
        <f aca="false">IF($C1018="","",N(G1017)+N(F1018))</f>
        <v>8190.01999999988</v>
      </c>
      <c r="H1018" s="103" t="s">
        <v>2046</v>
      </c>
      <c r="I1018" s="104"/>
      <c r="J1018" s="105"/>
    </row>
    <row r="1019" customFormat="false" ht="15" hidden="false" customHeight="false" outlineLevel="0" collapsed="false">
      <c r="B1019" s="90" t="n">
        <v>691</v>
      </c>
      <c r="C1019" s="91" t="n">
        <v>2079940</v>
      </c>
      <c r="D1019" s="92" t="n">
        <f aca="false">IF($C1019="","",IFERROR(IF(INDEX('REGISTRE TUBES'!$C$7:$C$2506,MATCH($C1019,'REGISTRE TUBES'!$B$7:$B$2506,0))="","",INDEX('REGISTRE TUBES'!$C$7:$C$2506,MATCH($C1019,'REGISTRE TUBES'!$B$7:$B$2506,0))),"?"))</f>
        <v>15421102</v>
      </c>
      <c r="E1019" s="92" t="str">
        <f aca="false">IF($C1019="","",IFERROR(IF(INDEX('REGISTRE TUBES'!$D$7:$D$2506,MATCH($C1019,'REGISTRE TUBES'!$B$7:$B$2506,0))="","",INDEX('REGISTRE TUBES'!$D$7:$D$2506,MATCH($C1019,'REGISTRE TUBES'!$B$7:$B$2506,0))),"?"))</f>
        <v/>
      </c>
      <c r="F1019" s="93" t="n">
        <f aca="false">IF($C1019="","",IFERROR(IF(INDEX('REGISTRE TUBES'!$F$7:$F$2506,MATCH($C1019,'REGISTRE TUBES'!$B$7:$B$2506,0))="","",INDEX('REGISTRE TUBES'!$F$7:$F$2506,MATCH($C1019,'REGISTRE TUBES'!$B$7:$B$2506,0))),"?"))</f>
        <v>11.94</v>
      </c>
      <c r="G1019" s="94" t="n">
        <f aca="false">IF($C1019="","",N(G1018)+N(F1019))</f>
        <v>8201.95999999988</v>
      </c>
      <c r="H1019" s="95" t="s">
        <v>2048</v>
      </c>
      <c r="I1019" s="96"/>
      <c r="J1019" s="97"/>
    </row>
    <row r="1020" customFormat="false" ht="15" hidden="false" customHeight="false" outlineLevel="0" collapsed="false">
      <c r="B1020" s="98" t="n">
        <v>692</v>
      </c>
      <c r="C1020" s="99" t="n">
        <v>2095660</v>
      </c>
      <c r="D1020" s="100" t="n">
        <f aca="false">IF($C1020="","",IFERROR(IF(INDEX('REGISTRE TUBES'!$C$7:$C$2506,MATCH($C1020,'REGISTRE TUBES'!$B$7:$B$2506,0))="","",INDEX('REGISTRE TUBES'!$C$7:$C$2506,MATCH($C1020,'REGISTRE TUBES'!$B$7:$B$2506,0))),"?"))</f>
        <v>154211</v>
      </c>
      <c r="E1020" s="100" t="str">
        <f aca="false">IF($C1020="","",IFERROR(IF(INDEX('REGISTRE TUBES'!$D$7:$D$2506,MATCH($C1020,'REGISTRE TUBES'!$B$7:$B$2506,0))="","",INDEX('REGISTRE TUBES'!$D$7:$D$2506,MATCH($C1020,'REGISTRE TUBES'!$B$7:$B$2506,0))),"?"))</f>
        <v/>
      </c>
      <c r="F1020" s="101" t="n">
        <f aca="false">IF($C1020="","",IFERROR(IF(INDEX('REGISTRE TUBES'!$F$7:$F$2506,MATCH($C1020,'REGISTRE TUBES'!$B$7:$B$2506,0))="","",INDEX('REGISTRE TUBES'!$F$7:$F$2506,MATCH($C1020,'REGISTRE TUBES'!$B$7:$B$2506,0))),"?"))</f>
        <v>11.94</v>
      </c>
      <c r="G1020" s="102" t="n">
        <f aca="false">IF($C1020="","",N(G1019)+N(F1020))</f>
        <v>8213.89999999988</v>
      </c>
      <c r="H1020" s="103" t="s">
        <v>2049</v>
      </c>
      <c r="I1020" s="104"/>
      <c r="J1020" s="105"/>
    </row>
    <row r="1021" customFormat="false" ht="15" hidden="false" customHeight="false" outlineLevel="0" collapsed="false">
      <c r="B1021" s="90" t="n">
        <v>693</v>
      </c>
      <c r="C1021" s="91" t="n">
        <v>2089080</v>
      </c>
      <c r="D1021" s="92" t="n">
        <f aca="false">IF($C1021="","",IFERROR(IF(INDEX('REGISTRE TUBES'!$C$7:$C$2506,MATCH($C1021,'REGISTRE TUBES'!$B$7:$B$2506,0))="","",INDEX('REGISTRE TUBES'!$C$7:$C$2506,MATCH($C1021,'REGISTRE TUBES'!$B$7:$B$2506,0))),"?"))</f>
        <v>15421108</v>
      </c>
      <c r="E1021" s="92" t="str">
        <f aca="false">IF($C1021="","",IFERROR(IF(INDEX('REGISTRE TUBES'!$D$7:$D$2506,MATCH($C1021,'REGISTRE TUBES'!$B$7:$B$2506,0))="","",INDEX('REGISTRE TUBES'!$D$7:$D$2506,MATCH($C1021,'REGISTRE TUBES'!$B$7:$B$2506,0))),"?"))</f>
        <v/>
      </c>
      <c r="F1021" s="93" t="n">
        <f aca="false">IF($C1021="","",IFERROR(IF(INDEX('REGISTRE TUBES'!$F$7:$F$2506,MATCH($C1021,'REGISTRE TUBES'!$B$7:$B$2506,0))="","",INDEX('REGISTRE TUBES'!$F$7:$F$2506,MATCH($C1021,'REGISTRE TUBES'!$B$7:$B$2506,0))),"?"))</f>
        <v>11.94</v>
      </c>
      <c r="G1021" s="94" t="n">
        <f aca="false">IF($C1021="","",N(G1020)+N(F1021))</f>
        <v>8225.83999999988</v>
      </c>
      <c r="H1021" s="95" t="s">
        <v>2051</v>
      </c>
      <c r="I1021" s="96"/>
      <c r="J1021" s="97"/>
    </row>
    <row r="1022" customFormat="false" ht="15" hidden="false" customHeight="false" outlineLevel="0" collapsed="false">
      <c r="B1022" s="98" t="n">
        <v>694</v>
      </c>
      <c r="C1022" s="99" t="n">
        <v>2098300</v>
      </c>
      <c r="D1022" s="100" t="n">
        <f aca="false">IF($C1022="","",IFERROR(IF(INDEX('REGISTRE TUBES'!$C$7:$C$2506,MATCH($C1022,'REGISTRE TUBES'!$B$7:$B$2506,0))="","",INDEX('REGISTRE TUBES'!$C$7:$C$2506,MATCH($C1022,'REGISTRE TUBES'!$B$7:$B$2506,0))),"?"))</f>
        <v>15421112</v>
      </c>
      <c r="E1022" s="100" t="str">
        <f aca="false">IF($C1022="","",IFERROR(IF(INDEX('REGISTRE TUBES'!$D$7:$D$2506,MATCH($C1022,'REGISTRE TUBES'!$B$7:$B$2506,0))="","",INDEX('REGISTRE TUBES'!$D$7:$D$2506,MATCH($C1022,'REGISTRE TUBES'!$B$7:$B$2506,0))),"?"))</f>
        <v/>
      </c>
      <c r="F1022" s="101" t="n">
        <f aca="false">IF($C1022="","",IFERROR(IF(INDEX('REGISTRE TUBES'!$F$7:$F$2506,MATCH($C1022,'REGISTRE TUBES'!$B$7:$B$2506,0))="","",INDEX('REGISTRE TUBES'!$F$7:$F$2506,MATCH($C1022,'REGISTRE TUBES'!$B$7:$B$2506,0))),"?"))</f>
        <v>11.94</v>
      </c>
      <c r="G1022" s="102" t="n">
        <f aca="false">IF($C1022="","",N(G1021)+N(F1022))</f>
        <v>8237.77999999988</v>
      </c>
      <c r="H1022" s="103" t="s">
        <v>2052</v>
      </c>
      <c r="I1022" s="104"/>
      <c r="J1022" s="105"/>
    </row>
    <row r="1023" customFormat="false" ht="15" hidden="false" customHeight="false" outlineLevel="0" collapsed="false">
      <c r="B1023" s="90" t="n">
        <v>695</v>
      </c>
      <c r="C1023" s="91" t="n">
        <v>2087880</v>
      </c>
      <c r="D1023" s="92" t="n">
        <f aca="false">IF($C1023="","",IFERROR(IF(INDEX('REGISTRE TUBES'!$C$7:$C$2506,MATCH($C1023,'REGISTRE TUBES'!$B$7:$B$2506,0))="","",INDEX('REGISTRE TUBES'!$C$7:$C$2506,MATCH($C1023,'REGISTRE TUBES'!$B$7:$B$2506,0))),"?"))</f>
        <v>15421108</v>
      </c>
      <c r="E1023" s="92" t="str">
        <f aca="false">IF($C1023="","",IFERROR(IF(INDEX('REGISTRE TUBES'!$D$7:$D$2506,MATCH($C1023,'REGISTRE TUBES'!$B$7:$B$2506,0))="","",INDEX('REGISTRE TUBES'!$D$7:$D$2506,MATCH($C1023,'REGISTRE TUBES'!$B$7:$B$2506,0))),"?"))</f>
        <v/>
      </c>
      <c r="F1023" s="93" t="n">
        <f aca="false">IF($C1023="","",IFERROR(IF(INDEX('REGISTRE TUBES'!$F$7:$F$2506,MATCH($C1023,'REGISTRE TUBES'!$B$7:$B$2506,0))="","",INDEX('REGISTRE TUBES'!$F$7:$F$2506,MATCH($C1023,'REGISTRE TUBES'!$B$7:$B$2506,0))),"?"))</f>
        <v>11.94</v>
      </c>
      <c r="G1023" s="94" t="n">
        <f aca="false">IF($C1023="","",N(G1022)+N(F1023))</f>
        <v>8249.71999999988</v>
      </c>
      <c r="H1023" s="95" t="s">
        <v>2053</v>
      </c>
      <c r="I1023" s="96"/>
      <c r="J1023" s="97"/>
    </row>
    <row r="1024" customFormat="false" ht="15" hidden="false" customHeight="false" outlineLevel="0" collapsed="false">
      <c r="B1024" s="98" t="n">
        <v>696</v>
      </c>
      <c r="C1024" s="99" t="n">
        <v>2088700</v>
      </c>
      <c r="D1024" s="100" t="n">
        <f aca="false">IF($C1024="","",IFERROR(IF(INDEX('REGISTRE TUBES'!$C$7:$C$2506,MATCH($C1024,'REGISTRE TUBES'!$B$7:$B$2506,0))="","",INDEX('REGISTRE TUBES'!$C$7:$C$2506,MATCH($C1024,'REGISTRE TUBES'!$B$7:$B$2506,0))),"?"))</f>
        <v>15421103</v>
      </c>
      <c r="E1024" s="100" t="str">
        <f aca="false">IF($C1024="","",IFERROR(IF(INDEX('REGISTRE TUBES'!$D$7:$D$2506,MATCH($C1024,'REGISTRE TUBES'!$B$7:$B$2506,0))="","",INDEX('REGISTRE TUBES'!$D$7:$D$2506,MATCH($C1024,'REGISTRE TUBES'!$B$7:$B$2506,0))),"?"))</f>
        <v/>
      </c>
      <c r="F1024" s="101" t="n">
        <f aca="false">IF($C1024="","",IFERROR(IF(INDEX('REGISTRE TUBES'!$F$7:$F$2506,MATCH($C1024,'REGISTRE TUBES'!$B$7:$B$2506,0))="","",INDEX('REGISTRE TUBES'!$F$7:$F$2506,MATCH($C1024,'REGISTRE TUBES'!$B$7:$B$2506,0))),"?"))</f>
        <v>11.94</v>
      </c>
      <c r="G1024" s="102" t="n">
        <f aca="false">IF($C1024="","",N(G1023)+N(F1024))</f>
        <v>8261.65999999988</v>
      </c>
      <c r="H1024" s="103" t="s">
        <v>2054</v>
      </c>
      <c r="I1024" s="104"/>
      <c r="J1024" s="105"/>
    </row>
    <row r="1025" customFormat="false" ht="15" hidden="false" customHeight="false" outlineLevel="0" collapsed="false">
      <c r="B1025" s="90" t="n">
        <v>697</v>
      </c>
      <c r="C1025" s="91" t="n">
        <v>2083250</v>
      </c>
      <c r="D1025" s="92" t="n">
        <f aca="false">IF($C1025="","",IFERROR(IF(INDEX('REGISTRE TUBES'!$C$7:$C$2506,MATCH($C1025,'REGISTRE TUBES'!$B$7:$B$2506,0))="","",INDEX('REGISTRE TUBES'!$C$7:$C$2506,MATCH($C1025,'REGISTRE TUBES'!$B$7:$B$2506,0))),"?"))</f>
        <v>15421105</v>
      </c>
      <c r="E1025" s="92" t="str">
        <f aca="false">IF($C1025="","",IFERROR(IF(INDEX('REGISTRE TUBES'!$D$7:$D$2506,MATCH($C1025,'REGISTRE TUBES'!$B$7:$B$2506,0))="","",INDEX('REGISTRE TUBES'!$D$7:$D$2506,MATCH($C1025,'REGISTRE TUBES'!$B$7:$B$2506,0))),"?"))</f>
        <v/>
      </c>
      <c r="F1025" s="93" t="n">
        <f aca="false">IF($C1025="","",IFERROR(IF(INDEX('REGISTRE TUBES'!$F$7:$F$2506,MATCH($C1025,'REGISTRE TUBES'!$B$7:$B$2506,0))="","",INDEX('REGISTRE TUBES'!$F$7:$F$2506,MATCH($C1025,'REGISTRE TUBES'!$B$7:$B$2506,0))),"?"))</f>
        <v>11.94</v>
      </c>
      <c r="G1025" s="94" t="n">
        <f aca="false">IF($C1025="","",N(G1024)+N(F1025))</f>
        <v>8273.59999999988</v>
      </c>
      <c r="H1025" s="95" t="s">
        <v>2055</v>
      </c>
      <c r="I1025" s="96"/>
      <c r="J1025" s="97"/>
    </row>
    <row r="1026" customFormat="false" ht="15" hidden="false" customHeight="false" outlineLevel="0" collapsed="false">
      <c r="B1026" s="98" t="n">
        <v>698</v>
      </c>
      <c r="C1026" s="99" t="n">
        <v>2094730</v>
      </c>
      <c r="D1026" s="100" t="n">
        <f aca="false">IF($C1026="","",IFERROR(IF(INDEX('REGISTRE TUBES'!$C$7:$C$2506,MATCH($C1026,'REGISTRE TUBES'!$B$7:$B$2506,0))="","",INDEX('REGISTRE TUBES'!$C$7:$C$2506,MATCH($C1026,'REGISTRE TUBES'!$B$7:$B$2506,0))),"?"))</f>
        <v>15421104</v>
      </c>
      <c r="E1026" s="100" t="str">
        <f aca="false">IF($C1026="","",IFERROR(IF(INDEX('REGISTRE TUBES'!$D$7:$D$2506,MATCH($C1026,'REGISTRE TUBES'!$B$7:$B$2506,0))="","",INDEX('REGISTRE TUBES'!$D$7:$D$2506,MATCH($C1026,'REGISTRE TUBES'!$B$7:$B$2506,0))),"?"))</f>
        <v/>
      </c>
      <c r="F1026" s="101" t="n">
        <f aca="false">IF($C1026="","",IFERROR(IF(INDEX('REGISTRE TUBES'!$F$7:$F$2506,MATCH($C1026,'REGISTRE TUBES'!$B$7:$B$2506,0))="","",INDEX('REGISTRE TUBES'!$F$7:$F$2506,MATCH($C1026,'REGISTRE TUBES'!$B$7:$B$2506,0))),"?"))</f>
        <v>11.94</v>
      </c>
      <c r="G1026" s="102" t="n">
        <f aca="false">IF($C1026="","",N(G1025)+N(F1026))</f>
        <v>8285.53999999988</v>
      </c>
      <c r="H1026" s="103" t="s">
        <v>2056</v>
      </c>
      <c r="I1026" s="104"/>
      <c r="J1026" s="105"/>
    </row>
    <row r="1027" customFormat="false" ht="15" hidden="false" customHeight="false" outlineLevel="0" collapsed="false">
      <c r="B1027" s="90" t="n">
        <v>699</v>
      </c>
      <c r="C1027" s="91" t="n">
        <v>2094890</v>
      </c>
      <c r="D1027" s="92" t="n">
        <f aca="false">IF($C1027="","",IFERROR(IF(INDEX('REGISTRE TUBES'!$C$7:$C$2506,MATCH($C1027,'REGISTRE TUBES'!$B$7:$B$2506,0))="","",INDEX('REGISTRE TUBES'!$C$7:$C$2506,MATCH($C1027,'REGISTRE TUBES'!$B$7:$B$2506,0))),"?"))</f>
        <v>15421111</v>
      </c>
      <c r="E1027" s="92" t="str">
        <f aca="false">IF($C1027="","",IFERROR(IF(INDEX('REGISTRE TUBES'!$D$7:$D$2506,MATCH($C1027,'REGISTRE TUBES'!$B$7:$B$2506,0))="","",INDEX('REGISTRE TUBES'!$D$7:$D$2506,MATCH($C1027,'REGISTRE TUBES'!$B$7:$B$2506,0))),"?"))</f>
        <v/>
      </c>
      <c r="F1027" s="93" t="n">
        <f aca="false">IF($C1027="","",IFERROR(IF(INDEX('REGISTRE TUBES'!$F$7:$F$2506,MATCH($C1027,'REGISTRE TUBES'!$B$7:$B$2506,0))="","",INDEX('REGISTRE TUBES'!$F$7:$F$2506,MATCH($C1027,'REGISTRE TUBES'!$B$7:$B$2506,0))),"?"))</f>
        <v>11.94</v>
      </c>
      <c r="G1027" s="94" t="n">
        <f aca="false">IF($C1027="","",N(G1026)+N(F1027))</f>
        <v>8297.47999999988</v>
      </c>
      <c r="H1027" s="95" t="s">
        <v>2057</v>
      </c>
      <c r="I1027" s="96"/>
      <c r="J1027" s="97"/>
    </row>
    <row r="1028" customFormat="false" ht="15" hidden="false" customHeight="false" outlineLevel="0" collapsed="false">
      <c r="B1028" s="98" t="n">
        <v>700</v>
      </c>
      <c r="C1028" s="99" t="n">
        <v>2096780</v>
      </c>
      <c r="D1028" s="100" t="n">
        <f aca="false">IF($C1028="","",IFERROR(IF(INDEX('REGISTRE TUBES'!$C$7:$C$2506,MATCH($C1028,'REGISTRE TUBES'!$B$7:$B$2506,0))="","",INDEX('REGISTRE TUBES'!$C$7:$C$2506,MATCH($C1028,'REGISTRE TUBES'!$B$7:$B$2506,0))),"?"))</f>
        <v>15421111</v>
      </c>
      <c r="E1028" s="100" t="str">
        <f aca="false">IF($C1028="","",IFERROR(IF(INDEX('REGISTRE TUBES'!$D$7:$D$2506,MATCH($C1028,'REGISTRE TUBES'!$B$7:$B$2506,0))="","",INDEX('REGISTRE TUBES'!$D$7:$D$2506,MATCH($C1028,'REGISTRE TUBES'!$B$7:$B$2506,0))),"?"))</f>
        <v/>
      </c>
      <c r="F1028" s="101" t="n">
        <f aca="false">IF($C1028="","",IFERROR(IF(INDEX('REGISTRE TUBES'!$F$7:$F$2506,MATCH($C1028,'REGISTRE TUBES'!$B$7:$B$2506,0))="","",INDEX('REGISTRE TUBES'!$F$7:$F$2506,MATCH($C1028,'REGISTRE TUBES'!$B$7:$B$2506,0))),"?"))</f>
        <v>11.94</v>
      </c>
      <c r="G1028" s="102" t="n">
        <f aca="false">IF($C1028="","",N(G1027)+N(F1028))</f>
        <v>8309.41999999988</v>
      </c>
      <c r="H1028" s="103" t="s">
        <v>2058</v>
      </c>
      <c r="I1028" s="104"/>
      <c r="J1028" s="105"/>
    </row>
    <row r="1029" customFormat="false" ht="15" hidden="false" customHeight="false" outlineLevel="0" collapsed="false">
      <c r="B1029" s="90" t="n">
        <v>701</v>
      </c>
      <c r="C1029" s="91" t="n">
        <v>2080700</v>
      </c>
      <c r="D1029" s="92" t="n">
        <f aca="false">IF($C1029="","",IFERROR(IF(INDEX('REGISTRE TUBES'!$C$7:$C$2506,MATCH($C1029,'REGISTRE TUBES'!$B$7:$B$2506,0))="","",INDEX('REGISTRE TUBES'!$C$7:$C$2506,MATCH($C1029,'REGISTRE TUBES'!$B$7:$B$2506,0))),"?"))</f>
        <v>15421103</v>
      </c>
      <c r="E1029" s="92" t="str">
        <f aca="false">IF($C1029="","",IFERROR(IF(INDEX('REGISTRE TUBES'!$D$7:$D$2506,MATCH($C1029,'REGISTRE TUBES'!$B$7:$B$2506,0))="","",INDEX('REGISTRE TUBES'!$D$7:$D$2506,MATCH($C1029,'REGISTRE TUBES'!$B$7:$B$2506,0))),"?"))</f>
        <v/>
      </c>
      <c r="F1029" s="93" t="n">
        <f aca="false">IF($C1029="","",IFERROR(IF(INDEX('REGISTRE TUBES'!$F$7:$F$2506,MATCH($C1029,'REGISTRE TUBES'!$B$7:$B$2506,0))="","",INDEX('REGISTRE TUBES'!$F$7:$F$2506,MATCH($C1029,'REGISTRE TUBES'!$B$7:$B$2506,0))),"?"))</f>
        <v>11.94</v>
      </c>
      <c r="G1029" s="94" t="n">
        <f aca="false">IF($C1029="","",N(G1028)+N(F1029))</f>
        <v>8321.35999999988</v>
      </c>
      <c r="H1029" s="95" t="s">
        <v>2059</v>
      </c>
      <c r="I1029" s="96"/>
      <c r="J1029" s="97"/>
    </row>
    <row r="1030" customFormat="false" ht="15" hidden="false" customHeight="false" outlineLevel="0" collapsed="false">
      <c r="B1030" s="98" t="n">
        <v>702</v>
      </c>
      <c r="C1030" s="99" t="n">
        <v>2080870</v>
      </c>
      <c r="D1030" s="100" t="n">
        <f aca="false">IF($C1030="","",IFERROR(IF(INDEX('REGISTRE TUBES'!$C$7:$C$2506,MATCH($C1030,'REGISTRE TUBES'!$B$7:$B$2506,0))="","",INDEX('REGISTRE TUBES'!$C$7:$C$2506,MATCH($C1030,'REGISTRE TUBES'!$B$7:$B$2506,0))),"?"))</f>
        <v>15421103</v>
      </c>
      <c r="E1030" s="100" t="str">
        <f aca="false">IF($C1030="","",IFERROR(IF(INDEX('REGISTRE TUBES'!$D$7:$D$2506,MATCH($C1030,'REGISTRE TUBES'!$B$7:$B$2506,0))="","",INDEX('REGISTRE TUBES'!$D$7:$D$2506,MATCH($C1030,'REGISTRE TUBES'!$B$7:$B$2506,0))),"?"))</f>
        <v/>
      </c>
      <c r="F1030" s="101" t="n">
        <f aca="false">IF($C1030="","",IFERROR(IF(INDEX('REGISTRE TUBES'!$F$7:$F$2506,MATCH($C1030,'REGISTRE TUBES'!$B$7:$B$2506,0))="","",INDEX('REGISTRE TUBES'!$F$7:$F$2506,MATCH($C1030,'REGISTRE TUBES'!$B$7:$B$2506,0))),"?"))</f>
        <v>11.94</v>
      </c>
      <c r="G1030" s="102" t="n">
        <f aca="false">IF($C1030="","",N(G1029)+N(F1030))</f>
        <v>8333.29999999989</v>
      </c>
      <c r="H1030" s="103" t="s">
        <v>2060</v>
      </c>
      <c r="I1030" s="104"/>
      <c r="J1030" s="105"/>
    </row>
    <row r="1031" customFormat="false" ht="15" hidden="false" customHeight="false" outlineLevel="0" collapsed="false">
      <c r="B1031" s="90" t="n">
        <v>703</v>
      </c>
      <c r="C1031" s="91" t="n">
        <v>2087900</v>
      </c>
      <c r="D1031" s="92" t="n">
        <f aca="false">IF($C1031="","",IFERROR(IF(INDEX('REGISTRE TUBES'!$C$7:$C$2506,MATCH($C1031,'REGISTRE TUBES'!$B$7:$B$2506,0))="","",INDEX('REGISTRE TUBES'!$C$7:$C$2506,MATCH($C1031,'REGISTRE TUBES'!$B$7:$B$2506,0))),"?"))</f>
        <v>15421108</v>
      </c>
      <c r="E1031" s="92" t="str">
        <f aca="false">IF($C1031="","",IFERROR(IF(INDEX('REGISTRE TUBES'!$D$7:$D$2506,MATCH($C1031,'REGISTRE TUBES'!$B$7:$B$2506,0))="","",INDEX('REGISTRE TUBES'!$D$7:$D$2506,MATCH($C1031,'REGISTRE TUBES'!$B$7:$B$2506,0))),"?"))</f>
        <v/>
      </c>
      <c r="F1031" s="93" t="n">
        <f aca="false">IF($C1031="","",IFERROR(IF(INDEX('REGISTRE TUBES'!$F$7:$F$2506,MATCH($C1031,'REGISTRE TUBES'!$B$7:$B$2506,0))="","",INDEX('REGISTRE TUBES'!$F$7:$F$2506,MATCH($C1031,'REGISTRE TUBES'!$B$7:$B$2506,0))),"?"))</f>
        <v>11.94</v>
      </c>
      <c r="G1031" s="94" t="n">
        <f aca="false">IF($C1031="","",N(G1030)+N(F1031))</f>
        <v>8345.23999999989</v>
      </c>
      <c r="H1031" s="95" t="s">
        <v>2062</v>
      </c>
      <c r="I1031" s="96"/>
      <c r="J1031" s="97"/>
    </row>
    <row r="1032" customFormat="false" ht="15" hidden="false" customHeight="true" outlineLevel="0" collapsed="false">
      <c r="B1032" s="106" t="s">
        <v>3031</v>
      </c>
      <c r="C1032" s="106"/>
      <c r="D1032" s="106"/>
      <c r="E1032" s="106"/>
      <c r="F1032" s="107" t="n">
        <f aca="false">SUM(F1013:F1031)</f>
        <v>226.86</v>
      </c>
      <c r="G1032" s="108" t="n">
        <f aca="false">IF(COUNT(G1013:G1031)=0,"",MAX(G1013:G1031))</f>
        <v>8345.23999999989</v>
      </c>
      <c r="H1032" s="106" t="str">
        <f aca="false">COUNTA(C1013:C1031)&amp;" tube(s)"</f>
        <v>19 tube(s)</v>
      </c>
      <c r="I1032" s="106"/>
      <c r="J1032" s="106"/>
    </row>
    <row r="1034" customFormat="false" ht="15" hidden="false" customHeight="false" outlineLevel="0" collapsed="false">
      <c r="B1034" s="109" t="s">
        <v>3032</v>
      </c>
      <c r="F1034" s="109" t="s">
        <v>3033</v>
      </c>
      <c r="I1034" s="109" t="s">
        <v>3034</v>
      </c>
    </row>
    <row r="1037" customFormat="false" ht="25.5" hidden="false" customHeight="true" outlineLevel="0" collapsed="false">
      <c r="B1037" s="85" t="s">
        <v>3015</v>
      </c>
      <c r="C1037" s="85"/>
      <c r="D1037" s="85"/>
      <c r="E1037" s="85"/>
      <c r="F1037" s="85"/>
      <c r="G1037" s="85"/>
      <c r="H1037" s="85"/>
      <c r="I1037" s="85"/>
      <c r="J1037" s="85"/>
    </row>
    <row r="1038" customFormat="false" ht="15" hidden="false" customHeight="false" outlineLevel="0" collapsed="false">
      <c r="B1038" s="86" t="str">
        <f aca="false">PARAMÈTRES!$C$4&amp;"   •   Affaire N° "&amp;PARAMÈTRES!$C$5</f>
        <v>Développement des champs gaziers TFT II — réseau de collecte TFT Sud (LIGNE-16)   •   Affaire N° 8546</v>
      </c>
      <c r="C1038" s="86"/>
      <c r="D1038" s="86"/>
      <c r="E1038" s="86"/>
      <c r="F1038" s="86"/>
      <c r="G1038" s="86"/>
      <c r="H1038" s="86"/>
      <c r="I1038" s="86"/>
      <c r="J1038" s="86"/>
    </row>
    <row r="1039" customFormat="false" ht="19.5" hidden="false" customHeight="true" outlineLevel="0" collapsed="false">
      <c r="B1039" s="87" t="s">
        <v>3016</v>
      </c>
      <c r="C1039" s="88" t="s">
        <v>110</v>
      </c>
      <c r="D1039" s="88"/>
      <c r="E1039" s="87" t="s">
        <v>3017</v>
      </c>
      <c r="F1039" s="88" t="s">
        <v>3107</v>
      </c>
      <c r="G1039" s="87" t="s">
        <v>3019</v>
      </c>
      <c r="H1039" s="88" t="s">
        <v>3108</v>
      </c>
      <c r="I1039" s="87" t="s">
        <v>3021</v>
      </c>
      <c r="J1039" s="89"/>
    </row>
    <row r="1040" customFormat="false" ht="27.75" hidden="false" customHeight="true" outlineLevel="0" collapsed="false">
      <c r="B1040" s="71" t="s">
        <v>3022</v>
      </c>
      <c r="C1040" s="71" t="s">
        <v>3023</v>
      </c>
      <c r="D1040" s="71" t="s">
        <v>3024</v>
      </c>
      <c r="E1040" s="71" t="s">
        <v>3025</v>
      </c>
      <c r="F1040" s="71" t="s">
        <v>3026</v>
      </c>
      <c r="G1040" s="71" t="s">
        <v>3027</v>
      </c>
      <c r="H1040" s="71" t="s">
        <v>3028</v>
      </c>
      <c r="I1040" s="71" t="s">
        <v>3029</v>
      </c>
      <c r="J1040" s="71" t="s">
        <v>3030</v>
      </c>
    </row>
    <row r="1041" customFormat="false" ht="15" hidden="false" customHeight="false" outlineLevel="0" collapsed="false">
      <c r="B1041" s="90" t="n">
        <v>704</v>
      </c>
      <c r="C1041" s="91" t="n">
        <v>2097740</v>
      </c>
      <c r="D1041" s="92" t="n">
        <f aca="false">IF($C1041="","",IFERROR(IF(INDEX('REGISTRE TUBES'!$C$7:$C$2506,MATCH($C1041,'REGISTRE TUBES'!$B$7:$B$2506,0))="","",INDEX('REGISTRE TUBES'!$C$7:$C$2506,MATCH($C1041,'REGISTRE TUBES'!$B$7:$B$2506,0))),"?"))</f>
        <v>1542112</v>
      </c>
      <c r="E1041" s="92" t="str">
        <f aca="false">IF($C1041="","",IFERROR(IF(INDEX('REGISTRE TUBES'!$D$7:$D$2506,MATCH($C1041,'REGISTRE TUBES'!$B$7:$B$2506,0))="","",INDEX('REGISTRE TUBES'!$D$7:$D$2506,MATCH($C1041,'REGISTRE TUBES'!$B$7:$B$2506,0))),"?"))</f>
        <v/>
      </c>
      <c r="F1041" s="93" t="n">
        <f aca="false">IF($C1041="","",IFERROR(IF(INDEX('REGISTRE TUBES'!$F$7:$F$2506,MATCH($C1041,'REGISTRE TUBES'!$B$7:$B$2506,0))="","",INDEX('REGISTRE TUBES'!$F$7:$F$2506,MATCH($C1041,'REGISTRE TUBES'!$B$7:$B$2506,0))),"?"))</f>
        <v>11.94</v>
      </c>
      <c r="G1041" s="94" t="n">
        <f aca="false">IF($C1041="","",N(G1031)+N(F1041))</f>
        <v>8357.17999999989</v>
      </c>
      <c r="H1041" s="95" t="s">
        <v>2063</v>
      </c>
      <c r="I1041" s="96"/>
      <c r="J1041" s="97"/>
    </row>
    <row r="1042" customFormat="false" ht="15" hidden="false" customHeight="false" outlineLevel="0" collapsed="false">
      <c r="B1042" s="98" t="n">
        <v>705</v>
      </c>
      <c r="C1042" s="99" t="n">
        <v>2086930</v>
      </c>
      <c r="D1042" s="100" t="n">
        <f aca="false">IF($C1042="","",IFERROR(IF(INDEX('REGISTRE TUBES'!$C$7:$C$2506,MATCH($C1042,'REGISTRE TUBES'!$B$7:$B$2506,0))="","",INDEX('REGISTRE TUBES'!$C$7:$C$2506,MATCH($C1042,'REGISTRE TUBES'!$B$7:$B$2506,0))),"?"))</f>
        <v>15421107</v>
      </c>
      <c r="E1042" s="100" t="str">
        <f aca="false">IF($C1042="","",IFERROR(IF(INDEX('REGISTRE TUBES'!$D$7:$D$2506,MATCH($C1042,'REGISTRE TUBES'!$B$7:$B$2506,0))="","",INDEX('REGISTRE TUBES'!$D$7:$D$2506,MATCH($C1042,'REGISTRE TUBES'!$B$7:$B$2506,0))),"?"))</f>
        <v/>
      </c>
      <c r="F1042" s="101" t="n">
        <f aca="false">IF($C1042="","",IFERROR(IF(INDEX('REGISTRE TUBES'!$F$7:$F$2506,MATCH($C1042,'REGISTRE TUBES'!$B$7:$B$2506,0))="","",INDEX('REGISTRE TUBES'!$F$7:$F$2506,MATCH($C1042,'REGISTRE TUBES'!$B$7:$B$2506,0))),"?"))</f>
        <v>11.94</v>
      </c>
      <c r="G1042" s="102" t="n">
        <f aca="false">IF($C1042="","",N(G1041)+N(F1042))</f>
        <v>8369.11999999989</v>
      </c>
      <c r="H1042" s="103" t="s">
        <v>2065</v>
      </c>
      <c r="I1042" s="104"/>
      <c r="J1042" s="105"/>
    </row>
    <row r="1043" customFormat="false" ht="15" hidden="false" customHeight="false" outlineLevel="0" collapsed="false">
      <c r="B1043" s="90" t="n">
        <v>706</v>
      </c>
      <c r="C1043" s="91" t="n">
        <v>2091140</v>
      </c>
      <c r="D1043" s="92" t="n">
        <f aca="false">IF($C1043="","",IFERROR(IF(INDEX('REGISTRE TUBES'!$C$7:$C$2506,MATCH($C1043,'REGISTRE TUBES'!$B$7:$B$2506,0))="","",INDEX('REGISTRE TUBES'!$C$7:$C$2506,MATCH($C1043,'REGISTRE TUBES'!$B$7:$B$2506,0))),"?"))</f>
        <v>1542</v>
      </c>
      <c r="E1043" s="92" t="str">
        <f aca="false">IF($C1043="","",IFERROR(IF(INDEX('REGISTRE TUBES'!$D$7:$D$2506,MATCH($C1043,'REGISTRE TUBES'!$B$7:$B$2506,0))="","",INDEX('REGISTRE TUBES'!$D$7:$D$2506,MATCH($C1043,'REGISTRE TUBES'!$B$7:$B$2506,0))),"?"))</f>
        <v/>
      </c>
      <c r="F1043" s="93" t="n">
        <f aca="false">IF($C1043="","",IFERROR(IF(INDEX('REGISTRE TUBES'!$F$7:$F$2506,MATCH($C1043,'REGISTRE TUBES'!$B$7:$B$2506,0))="","",INDEX('REGISTRE TUBES'!$F$7:$F$2506,MATCH($C1043,'REGISTRE TUBES'!$B$7:$B$2506,0))),"?"))</f>
        <v>11.94</v>
      </c>
      <c r="G1043" s="94" t="n">
        <f aca="false">IF($C1043="","",N(G1042)+N(F1043))</f>
        <v>8381.05999999989</v>
      </c>
      <c r="H1043" s="95" t="s">
        <v>2066</v>
      </c>
      <c r="I1043" s="96"/>
      <c r="J1043" s="97"/>
    </row>
    <row r="1044" customFormat="false" ht="15" hidden="false" customHeight="false" outlineLevel="0" collapsed="false">
      <c r="B1044" s="98" t="n">
        <v>707</v>
      </c>
      <c r="C1044" s="99" t="n">
        <v>2080390</v>
      </c>
      <c r="D1044" s="100" t="n">
        <f aca="false">IF($C1044="","",IFERROR(IF(INDEX('REGISTRE TUBES'!$C$7:$C$2506,MATCH($C1044,'REGISTRE TUBES'!$B$7:$B$2506,0))="","",INDEX('REGISTRE TUBES'!$C$7:$C$2506,MATCH($C1044,'REGISTRE TUBES'!$B$7:$B$2506,0))),"?"))</f>
        <v>15421102</v>
      </c>
      <c r="E1044" s="100" t="str">
        <f aca="false">IF($C1044="","",IFERROR(IF(INDEX('REGISTRE TUBES'!$D$7:$D$2506,MATCH($C1044,'REGISTRE TUBES'!$B$7:$B$2506,0))="","",INDEX('REGISTRE TUBES'!$D$7:$D$2506,MATCH($C1044,'REGISTRE TUBES'!$B$7:$B$2506,0))),"?"))</f>
        <v/>
      </c>
      <c r="F1044" s="101" t="n">
        <f aca="false">IF($C1044="","",IFERROR(IF(INDEX('REGISTRE TUBES'!$F$7:$F$2506,MATCH($C1044,'REGISTRE TUBES'!$B$7:$B$2506,0))="","",INDEX('REGISTRE TUBES'!$F$7:$F$2506,MATCH($C1044,'REGISTRE TUBES'!$B$7:$B$2506,0))),"?"))</f>
        <v>11.94</v>
      </c>
      <c r="G1044" s="102" t="n">
        <f aca="false">IF($C1044="","",N(G1043)+N(F1044))</f>
        <v>8392.99999999989</v>
      </c>
      <c r="H1044" s="103" t="s">
        <v>2067</v>
      </c>
      <c r="I1044" s="104"/>
      <c r="J1044" s="105"/>
    </row>
    <row r="1045" customFormat="false" ht="15" hidden="false" customHeight="false" outlineLevel="0" collapsed="false">
      <c r="B1045" s="90" t="n">
        <v>708</v>
      </c>
      <c r="C1045" s="91" t="n">
        <v>2080470</v>
      </c>
      <c r="D1045" s="92" t="n">
        <f aca="false">IF($C1045="","",IFERROR(IF(INDEX('REGISTRE TUBES'!$C$7:$C$2506,MATCH($C1045,'REGISTRE TUBES'!$B$7:$B$2506,0))="","",INDEX('REGISTRE TUBES'!$C$7:$C$2506,MATCH($C1045,'REGISTRE TUBES'!$B$7:$B$2506,0))),"?"))</f>
        <v>15421102</v>
      </c>
      <c r="E1045" s="92" t="str">
        <f aca="false">IF($C1045="","",IFERROR(IF(INDEX('REGISTRE TUBES'!$D$7:$D$2506,MATCH($C1045,'REGISTRE TUBES'!$B$7:$B$2506,0))="","",INDEX('REGISTRE TUBES'!$D$7:$D$2506,MATCH($C1045,'REGISTRE TUBES'!$B$7:$B$2506,0))),"?"))</f>
        <v/>
      </c>
      <c r="F1045" s="93" t="n">
        <f aca="false">IF($C1045="","",IFERROR(IF(INDEX('REGISTRE TUBES'!$F$7:$F$2506,MATCH($C1045,'REGISTRE TUBES'!$B$7:$B$2506,0))="","",INDEX('REGISTRE TUBES'!$F$7:$F$2506,MATCH($C1045,'REGISTRE TUBES'!$B$7:$B$2506,0))),"?"))</f>
        <v>11.94</v>
      </c>
      <c r="G1045" s="94" t="n">
        <f aca="false">IF($C1045="","",N(G1044)+N(F1045))</f>
        <v>8404.93999999989</v>
      </c>
      <c r="H1045" s="95" t="s">
        <v>2069</v>
      </c>
      <c r="I1045" s="96"/>
      <c r="J1045" s="97"/>
    </row>
    <row r="1046" customFormat="false" ht="15" hidden="false" customHeight="false" outlineLevel="0" collapsed="false">
      <c r="B1046" s="98" t="n">
        <v>709</v>
      </c>
      <c r="C1046" s="99" t="n">
        <v>2093400</v>
      </c>
      <c r="D1046" s="100" t="n">
        <f aca="false">IF($C1046="","",IFERROR(IF(INDEX('REGISTRE TUBES'!$C$7:$C$2506,MATCH($C1046,'REGISTRE TUBES'!$B$7:$B$2506,0))="","",INDEX('REGISTRE TUBES'!$C$7:$C$2506,MATCH($C1046,'REGISTRE TUBES'!$B$7:$B$2506,0))),"?"))</f>
        <v>15421110</v>
      </c>
      <c r="E1046" s="100" t="str">
        <f aca="false">IF($C1046="","",IFERROR(IF(INDEX('REGISTRE TUBES'!$D$7:$D$2506,MATCH($C1046,'REGISTRE TUBES'!$B$7:$B$2506,0))="","",INDEX('REGISTRE TUBES'!$D$7:$D$2506,MATCH($C1046,'REGISTRE TUBES'!$B$7:$B$2506,0))),"?"))</f>
        <v/>
      </c>
      <c r="F1046" s="101" t="n">
        <f aca="false">IF($C1046="","",IFERROR(IF(INDEX('REGISTRE TUBES'!$F$7:$F$2506,MATCH($C1046,'REGISTRE TUBES'!$B$7:$B$2506,0))="","",INDEX('REGISTRE TUBES'!$F$7:$F$2506,MATCH($C1046,'REGISTRE TUBES'!$B$7:$B$2506,0))),"?"))</f>
        <v>11.94</v>
      </c>
      <c r="G1046" s="102" t="n">
        <f aca="false">IF($C1046="","",N(G1045)+N(F1046))</f>
        <v>8416.87999999989</v>
      </c>
      <c r="H1046" s="103" t="s">
        <v>2070</v>
      </c>
      <c r="I1046" s="104"/>
      <c r="J1046" s="105"/>
    </row>
    <row r="1047" customFormat="false" ht="15" hidden="false" customHeight="false" outlineLevel="0" collapsed="false">
      <c r="B1047" s="90" t="n">
        <v>710</v>
      </c>
      <c r="C1047" s="91" t="n">
        <v>2078850</v>
      </c>
      <c r="D1047" s="92" t="n">
        <f aca="false">IF($C1047="","",IFERROR(IF(INDEX('REGISTRE TUBES'!$C$7:$C$2506,MATCH($C1047,'REGISTRE TUBES'!$B$7:$B$2506,0))="","",INDEX('REGISTRE TUBES'!$C$7:$C$2506,MATCH($C1047,'REGISTRE TUBES'!$B$7:$B$2506,0))),"?"))</f>
        <v>15421101</v>
      </c>
      <c r="E1047" s="92" t="str">
        <f aca="false">IF($C1047="","",IFERROR(IF(INDEX('REGISTRE TUBES'!$D$7:$D$2506,MATCH($C1047,'REGISTRE TUBES'!$B$7:$B$2506,0))="","",INDEX('REGISTRE TUBES'!$D$7:$D$2506,MATCH($C1047,'REGISTRE TUBES'!$B$7:$B$2506,0))),"?"))</f>
        <v/>
      </c>
      <c r="F1047" s="93" t="n">
        <f aca="false">IF($C1047="","",IFERROR(IF(INDEX('REGISTRE TUBES'!$F$7:$F$2506,MATCH($C1047,'REGISTRE TUBES'!$B$7:$B$2506,0))="","",INDEX('REGISTRE TUBES'!$F$7:$F$2506,MATCH($C1047,'REGISTRE TUBES'!$B$7:$B$2506,0))),"?"))</f>
        <v>11.94</v>
      </c>
      <c r="G1047" s="94" t="n">
        <f aca="false">IF($C1047="","",N(G1046)+N(F1047))</f>
        <v>8428.81999999989</v>
      </c>
      <c r="H1047" s="95" t="s">
        <v>2071</v>
      </c>
      <c r="I1047" s="96"/>
      <c r="J1047" s="97"/>
    </row>
    <row r="1048" customFormat="false" ht="15" hidden="false" customHeight="false" outlineLevel="0" collapsed="false">
      <c r="B1048" s="98" t="n">
        <v>711</v>
      </c>
      <c r="C1048" s="99" t="n">
        <v>2094160</v>
      </c>
      <c r="D1048" s="100" t="n">
        <f aca="false">IF($C1048="","",IFERROR(IF(INDEX('REGISTRE TUBES'!$C$7:$C$2506,MATCH($C1048,'REGISTRE TUBES'!$B$7:$B$2506,0))="","",INDEX('REGISTRE TUBES'!$C$7:$C$2506,MATCH($C1048,'REGISTRE TUBES'!$B$7:$B$2506,0))),"?"))</f>
        <v>15421110</v>
      </c>
      <c r="E1048" s="100" t="str">
        <f aca="false">IF($C1048="","",IFERROR(IF(INDEX('REGISTRE TUBES'!$D$7:$D$2506,MATCH($C1048,'REGISTRE TUBES'!$B$7:$B$2506,0))="","",INDEX('REGISTRE TUBES'!$D$7:$D$2506,MATCH($C1048,'REGISTRE TUBES'!$B$7:$B$2506,0))),"?"))</f>
        <v/>
      </c>
      <c r="F1048" s="101" t="n">
        <f aca="false">IF($C1048="","",IFERROR(IF(INDEX('REGISTRE TUBES'!$F$7:$F$2506,MATCH($C1048,'REGISTRE TUBES'!$B$7:$B$2506,0))="","",INDEX('REGISTRE TUBES'!$F$7:$F$2506,MATCH($C1048,'REGISTRE TUBES'!$B$7:$B$2506,0))),"?"))</f>
        <v>11.94</v>
      </c>
      <c r="G1048" s="102" t="n">
        <f aca="false">IF($C1048="","",N(G1047)+N(F1048))</f>
        <v>8440.75999999989</v>
      </c>
      <c r="H1048" s="103" t="s">
        <v>2072</v>
      </c>
      <c r="I1048" s="104"/>
      <c r="J1048" s="105"/>
    </row>
    <row r="1049" customFormat="false" ht="15" hidden="false" customHeight="false" outlineLevel="0" collapsed="false">
      <c r="B1049" s="90" t="n">
        <v>712</v>
      </c>
      <c r="C1049" s="91" t="n">
        <v>2090460</v>
      </c>
      <c r="D1049" s="92" t="n">
        <f aca="false">IF($C1049="","",IFERROR(IF(INDEX('REGISTRE TUBES'!$C$7:$C$2506,MATCH($C1049,'REGISTRE TUBES'!$B$7:$B$2506,0))="","",INDEX('REGISTRE TUBES'!$C$7:$C$2506,MATCH($C1049,'REGISTRE TUBES'!$B$7:$B$2506,0))),"?"))</f>
        <v>15421109</v>
      </c>
      <c r="E1049" s="92" t="str">
        <f aca="false">IF($C1049="","",IFERROR(IF(INDEX('REGISTRE TUBES'!$D$7:$D$2506,MATCH($C1049,'REGISTRE TUBES'!$B$7:$B$2506,0))="","",INDEX('REGISTRE TUBES'!$D$7:$D$2506,MATCH($C1049,'REGISTRE TUBES'!$B$7:$B$2506,0))),"?"))</f>
        <v/>
      </c>
      <c r="F1049" s="93" t="n">
        <f aca="false">IF($C1049="","",IFERROR(IF(INDEX('REGISTRE TUBES'!$F$7:$F$2506,MATCH($C1049,'REGISTRE TUBES'!$B$7:$B$2506,0))="","",INDEX('REGISTRE TUBES'!$F$7:$F$2506,MATCH($C1049,'REGISTRE TUBES'!$B$7:$B$2506,0))),"?"))</f>
        <v>11.94</v>
      </c>
      <c r="G1049" s="94" t="n">
        <f aca="false">IF($C1049="","",N(G1048)+N(F1049))</f>
        <v>8452.69999999989</v>
      </c>
      <c r="H1049" s="95" t="s">
        <v>2073</v>
      </c>
      <c r="I1049" s="96"/>
      <c r="J1049" s="97"/>
    </row>
    <row r="1050" customFormat="false" ht="15" hidden="false" customHeight="false" outlineLevel="0" collapsed="false">
      <c r="B1050" s="98" t="n">
        <v>713</v>
      </c>
      <c r="C1050" s="99" t="n">
        <v>2089320</v>
      </c>
      <c r="D1050" s="100" t="n">
        <f aca="false">IF($C1050="","",IFERROR(IF(INDEX('REGISTRE TUBES'!$C$7:$C$2506,MATCH($C1050,'REGISTRE TUBES'!$B$7:$B$2506,0))="","",INDEX('REGISTRE TUBES'!$C$7:$C$2506,MATCH($C1050,'REGISTRE TUBES'!$B$7:$B$2506,0))),"?"))</f>
        <v>15421108</v>
      </c>
      <c r="E1050" s="100" t="str">
        <f aca="false">IF($C1050="","",IFERROR(IF(INDEX('REGISTRE TUBES'!$D$7:$D$2506,MATCH($C1050,'REGISTRE TUBES'!$B$7:$B$2506,0))="","",INDEX('REGISTRE TUBES'!$D$7:$D$2506,MATCH($C1050,'REGISTRE TUBES'!$B$7:$B$2506,0))),"?"))</f>
        <v/>
      </c>
      <c r="F1050" s="101" t="n">
        <f aca="false">IF($C1050="","",IFERROR(IF(INDEX('REGISTRE TUBES'!$F$7:$F$2506,MATCH($C1050,'REGISTRE TUBES'!$B$7:$B$2506,0))="","",INDEX('REGISTRE TUBES'!$F$7:$F$2506,MATCH($C1050,'REGISTRE TUBES'!$B$7:$B$2506,0))),"?"))</f>
        <v>11.94</v>
      </c>
      <c r="G1050" s="102" t="n">
        <f aca="false">IF($C1050="","",N(G1049)+N(F1050))</f>
        <v>8464.63999999989</v>
      </c>
      <c r="H1050" s="103" t="s">
        <v>2074</v>
      </c>
      <c r="I1050" s="104"/>
      <c r="J1050" s="105"/>
    </row>
    <row r="1051" customFormat="false" ht="15" hidden="false" customHeight="false" outlineLevel="0" collapsed="false">
      <c r="B1051" s="90" t="n">
        <v>714</v>
      </c>
      <c r="C1051" s="91" t="n">
        <v>2081370</v>
      </c>
      <c r="D1051" s="92" t="n">
        <f aca="false">IF($C1051="","",IFERROR(IF(INDEX('REGISTRE TUBES'!$C$7:$C$2506,MATCH($C1051,'REGISTRE TUBES'!$B$7:$B$2506,0))="","",INDEX('REGISTRE TUBES'!$C$7:$C$2506,MATCH($C1051,'REGISTRE TUBES'!$B$7:$B$2506,0))),"?"))</f>
        <v>15421103</v>
      </c>
      <c r="E1051" s="92" t="str">
        <f aca="false">IF($C1051="","",IFERROR(IF(INDEX('REGISTRE TUBES'!$D$7:$D$2506,MATCH($C1051,'REGISTRE TUBES'!$B$7:$B$2506,0))="","",INDEX('REGISTRE TUBES'!$D$7:$D$2506,MATCH($C1051,'REGISTRE TUBES'!$B$7:$B$2506,0))),"?"))</f>
        <v/>
      </c>
      <c r="F1051" s="93" t="n">
        <f aca="false">IF($C1051="","",IFERROR(IF(INDEX('REGISTRE TUBES'!$F$7:$F$2506,MATCH($C1051,'REGISTRE TUBES'!$B$7:$B$2506,0))="","",INDEX('REGISTRE TUBES'!$F$7:$F$2506,MATCH($C1051,'REGISTRE TUBES'!$B$7:$B$2506,0))),"?"))</f>
        <v>11.94</v>
      </c>
      <c r="G1051" s="94" t="n">
        <f aca="false">IF($C1051="","",N(G1050)+N(F1051))</f>
        <v>8476.57999999989</v>
      </c>
      <c r="H1051" s="95" t="s">
        <v>2075</v>
      </c>
      <c r="I1051" s="96"/>
      <c r="J1051" s="97"/>
    </row>
    <row r="1052" customFormat="false" ht="15" hidden="false" customHeight="false" outlineLevel="0" collapsed="false">
      <c r="B1052" s="98" t="n">
        <v>715</v>
      </c>
      <c r="C1052" s="99" t="n">
        <v>2091120</v>
      </c>
      <c r="D1052" s="100" t="n">
        <f aca="false">IF($C1052="","",IFERROR(IF(INDEX('REGISTRE TUBES'!$C$7:$C$2506,MATCH($C1052,'REGISTRE TUBES'!$B$7:$B$2506,0))="","",INDEX('REGISTRE TUBES'!$C$7:$C$2506,MATCH($C1052,'REGISTRE TUBES'!$B$7:$B$2506,0))),"?"))</f>
        <v>15421109</v>
      </c>
      <c r="E1052" s="100" t="str">
        <f aca="false">IF($C1052="","",IFERROR(IF(INDEX('REGISTRE TUBES'!$D$7:$D$2506,MATCH($C1052,'REGISTRE TUBES'!$B$7:$B$2506,0))="","",INDEX('REGISTRE TUBES'!$D$7:$D$2506,MATCH($C1052,'REGISTRE TUBES'!$B$7:$B$2506,0))),"?"))</f>
        <v/>
      </c>
      <c r="F1052" s="101" t="n">
        <f aca="false">IF($C1052="","",IFERROR(IF(INDEX('REGISTRE TUBES'!$F$7:$F$2506,MATCH($C1052,'REGISTRE TUBES'!$B$7:$B$2506,0))="","",INDEX('REGISTRE TUBES'!$F$7:$F$2506,MATCH($C1052,'REGISTRE TUBES'!$B$7:$B$2506,0))),"?"))</f>
        <v>11.94</v>
      </c>
      <c r="G1052" s="102" t="n">
        <f aca="false">IF($C1052="","",N(G1051)+N(F1052))</f>
        <v>8488.51999999989</v>
      </c>
      <c r="H1052" s="103" t="s">
        <v>2076</v>
      </c>
      <c r="I1052" s="104"/>
      <c r="J1052" s="105"/>
    </row>
    <row r="1053" customFormat="false" ht="15" hidden="false" customHeight="false" outlineLevel="0" collapsed="false">
      <c r="B1053" s="90" t="n">
        <v>716</v>
      </c>
      <c r="C1053" s="91" t="n">
        <v>2088620</v>
      </c>
      <c r="D1053" s="92" t="n">
        <f aca="false">IF($C1053="","",IFERROR(IF(INDEX('REGISTRE TUBES'!$C$7:$C$2506,MATCH($C1053,'REGISTRE TUBES'!$B$7:$B$2506,0))="","",INDEX('REGISTRE TUBES'!$C$7:$C$2506,MATCH($C1053,'REGISTRE TUBES'!$B$7:$B$2506,0))),"?"))</f>
        <v>15421108</v>
      </c>
      <c r="E1053" s="92" t="str">
        <f aca="false">IF($C1053="","",IFERROR(IF(INDEX('REGISTRE TUBES'!$D$7:$D$2506,MATCH($C1053,'REGISTRE TUBES'!$B$7:$B$2506,0))="","",INDEX('REGISTRE TUBES'!$D$7:$D$2506,MATCH($C1053,'REGISTRE TUBES'!$B$7:$B$2506,0))),"?"))</f>
        <v/>
      </c>
      <c r="F1053" s="93" t="n">
        <f aca="false">IF($C1053="","",IFERROR(IF(INDEX('REGISTRE TUBES'!$F$7:$F$2506,MATCH($C1053,'REGISTRE TUBES'!$B$7:$B$2506,0))="","",INDEX('REGISTRE TUBES'!$F$7:$F$2506,MATCH($C1053,'REGISTRE TUBES'!$B$7:$B$2506,0))),"?"))</f>
        <v>11.94</v>
      </c>
      <c r="G1053" s="94" t="n">
        <f aca="false">IF($C1053="","",N(G1052)+N(F1053))</f>
        <v>8500.45999999989</v>
      </c>
      <c r="H1053" s="95" t="s">
        <v>2078</v>
      </c>
      <c r="I1053" s="96"/>
      <c r="J1053" s="97"/>
    </row>
    <row r="1054" customFormat="false" ht="15" hidden="false" customHeight="false" outlineLevel="0" collapsed="false">
      <c r="B1054" s="98" t="n">
        <v>717</v>
      </c>
      <c r="C1054" s="99" t="n">
        <v>2083340</v>
      </c>
      <c r="D1054" s="100" t="n">
        <f aca="false">IF($C1054="","",IFERROR(IF(INDEX('REGISTRE TUBES'!$C$7:$C$2506,MATCH($C1054,'REGISTRE TUBES'!$B$7:$B$2506,0))="","",INDEX('REGISTRE TUBES'!$C$7:$C$2506,MATCH($C1054,'REGISTRE TUBES'!$B$7:$B$2506,0))),"?"))</f>
        <v>15421105</v>
      </c>
      <c r="E1054" s="100" t="str">
        <f aca="false">IF($C1054="","",IFERROR(IF(INDEX('REGISTRE TUBES'!$D$7:$D$2506,MATCH($C1054,'REGISTRE TUBES'!$B$7:$B$2506,0))="","",INDEX('REGISTRE TUBES'!$D$7:$D$2506,MATCH($C1054,'REGISTRE TUBES'!$B$7:$B$2506,0))),"?"))</f>
        <v/>
      </c>
      <c r="F1054" s="101" t="n">
        <f aca="false">IF($C1054="","",IFERROR(IF(INDEX('REGISTRE TUBES'!$F$7:$F$2506,MATCH($C1054,'REGISTRE TUBES'!$B$7:$B$2506,0))="","",INDEX('REGISTRE TUBES'!$F$7:$F$2506,MATCH($C1054,'REGISTRE TUBES'!$B$7:$B$2506,0))),"?"))</f>
        <v>11.94</v>
      </c>
      <c r="G1054" s="102" t="n">
        <f aca="false">IF($C1054="","",N(G1053)+N(F1054))</f>
        <v>8512.39999999989</v>
      </c>
      <c r="H1054" s="103" t="s">
        <v>2079</v>
      </c>
      <c r="I1054" s="104"/>
      <c r="J1054" s="105"/>
    </row>
    <row r="1055" customFormat="false" ht="15" hidden="false" customHeight="false" outlineLevel="0" collapsed="false">
      <c r="B1055" s="90" t="n">
        <v>718</v>
      </c>
      <c r="C1055" s="91" t="n">
        <v>2083280</v>
      </c>
      <c r="D1055" s="92" t="n">
        <f aca="false">IF($C1055="","",IFERROR(IF(INDEX('REGISTRE TUBES'!$C$7:$C$2506,MATCH($C1055,'REGISTRE TUBES'!$B$7:$B$2506,0))="","",INDEX('REGISTRE TUBES'!$C$7:$C$2506,MATCH($C1055,'REGISTRE TUBES'!$B$7:$B$2506,0))),"?"))</f>
        <v>15421105</v>
      </c>
      <c r="E1055" s="92" t="str">
        <f aca="false">IF($C1055="","",IFERROR(IF(INDEX('REGISTRE TUBES'!$D$7:$D$2506,MATCH($C1055,'REGISTRE TUBES'!$B$7:$B$2506,0))="","",INDEX('REGISTRE TUBES'!$D$7:$D$2506,MATCH($C1055,'REGISTRE TUBES'!$B$7:$B$2506,0))),"?"))</f>
        <v/>
      </c>
      <c r="F1055" s="93" t="n">
        <f aca="false">IF($C1055="","",IFERROR(IF(INDEX('REGISTRE TUBES'!$F$7:$F$2506,MATCH($C1055,'REGISTRE TUBES'!$B$7:$B$2506,0))="","",INDEX('REGISTRE TUBES'!$F$7:$F$2506,MATCH($C1055,'REGISTRE TUBES'!$B$7:$B$2506,0))),"?"))</f>
        <v>11.94</v>
      </c>
      <c r="G1055" s="94" t="n">
        <f aca="false">IF($C1055="","",N(G1054)+N(F1055))</f>
        <v>8524.33999999989</v>
      </c>
      <c r="H1055" s="95" t="s">
        <v>2080</v>
      </c>
      <c r="I1055" s="96"/>
      <c r="J1055" s="97"/>
    </row>
    <row r="1056" customFormat="false" ht="15" hidden="false" customHeight="false" outlineLevel="0" collapsed="false">
      <c r="B1056" s="98" t="n">
        <v>719</v>
      </c>
      <c r="C1056" s="99" t="n">
        <v>2083290</v>
      </c>
      <c r="D1056" s="100" t="n">
        <f aca="false">IF($C1056="","",IFERROR(IF(INDEX('REGISTRE TUBES'!$C$7:$C$2506,MATCH($C1056,'REGISTRE TUBES'!$B$7:$B$2506,0))="","",INDEX('REGISTRE TUBES'!$C$7:$C$2506,MATCH($C1056,'REGISTRE TUBES'!$B$7:$B$2506,0))),"?"))</f>
        <v>15421105</v>
      </c>
      <c r="E1056" s="100" t="str">
        <f aca="false">IF($C1056="","",IFERROR(IF(INDEX('REGISTRE TUBES'!$D$7:$D$2506,MATCH($C1056,'REGISTRE TUBES'!$B$7:$B$2506,0))="","",INDEX('REGISTRE TUBES'!$D$7:$D$2506,MATCH($C1056,'REGISTRE TUBES'!$B$7:$B$2506,0))),"?"))</f>
        <v/>
      </c>
      <c r="F1056" s="101" t="n">
        <f aca="false">IF($C1056="","",IFERROR(IF(INDEX('REGISTRE TUBES'!$F$7:$F$2506,MATCH($C1056,'REGISTRE TUBES'!$B$7:$B$2506,0))="","",INDEX('REGISTRE TUBES'!$F$7:$F$2506,MATCH($C1056,'REGISTRE TUBES'!$B$7:$B$2506,0))),"?"))</f>
        <v>11.94</v>
      </c>
      <c r="G1056" s="102" t="n">
        <f aca="false">IF($C1056="","",N(G1055)+N(F1056))</f>
        <v>8536.27999999989</v>
      </c>
      <c r="H1056" s="103" t="s">
        <v>2081</v>
      </c>
      <c r="I1056" s="104"/>
      <c r="J1056" s="105"/>
    </row>
    <row r="1057" customFormat="false" ht="15" hidden="false" customHeight="false" outlineLevel="0" collapsed="false">
      <c r="B1057" s="90" t="n">
        <v>720</v>
      </c>
      <c r="C1057" s="91" t="n">
        <v>2096770</v>
      </c>
      <c r="D1057" s="92" t="n">
        <f aca="false">IF($C1057="","",IFERROR(IF(INDEX('REGISTRE TUBES'!$C$7:$C$2506,MATCH($C1057,'REGISTRE TUBES'!$B$7:$B$2506,0))="","",INDEX('REGISTRE TUBES'!$C$7:$C$2506,MATCH($C1057,'REGISTRE TUBES'!$B$7:$B$2506,0))),"?"))</f>
        <v>15421111</v>
      </c>
      <c r="E1057" s="92" t="str">
        <f aca="false">IF($C1057="","",IFERROR(IF(INDEX('REGISTRE TUBES'!$D$7:$D$2506,MATCH($C1057,'REGISTRE TUBES'!$B$7:$B$2506,0))="","",INDEX('REGISTRE TUBES'!$D$7:$D$2506,MATCH($C1057,'REGISTRE TUBES'!$B$7:$B$2506,0))),"?"))</f>
        <v/>
      </c>
      <c r="F1057" s="93" t="str">
        <f aca="false">IF($C1057="","",IFERROR(IF(INDEX('REGISTRE TUBES'!$F$7:$F$2506,MATCH($C1057,'REGISTRE TUBES'!$B$7:$B$2506,0))="","",INDEX('REGISTRE TUBES'!$F$7:$F$2506,MATCH($C1057,'REGISTRE TUBES'!$B$7:$B$2506,0))),"?"))</f>
        <v/>
      </c>
      <c r="G1057" s="94" t="n">
        <f aca="false">IF($C1057="","",N(G1056)+N(F1057))</f>
        <v>8536.27999999989</v>
      </c>
      <c r="H1057" s="95" t="s">
        <v>2083</v>
      </c>
      <c r="I1057" s="96"/>
      <c r="J1057" s="97"/>
    </row>
    <row r="1058" customFormat="false" ht="15" hidden="false" customHeight="false" outlineLevel="0" collapsed="false">
      <c r="B1058" s="98" t="n">
        <v>721</v>
      </c>
      <c r="C1058" s="99" t="n">
        <v>2094630</v>
      </c>
      <c r="D1058" s="100" t="n">
        <f aca="false">IF($C1058="","",IFERROR(IF(INDEX('REGISTRE TUBES'!$C$7:$C$2506,MATCH($C1058,'REGISTRE TUBES'!$B$7:$B$2506,0))="","",INDEX('REGISTRE TUBES'!$C$7:$C$2506,MATCH($C1058,'REGISTRE TUBES'!$B$7:$B$2506,0))),"?"))</f>
        <v>15421111</v>
      </c>
      <c r="E1058" s="100" t="str">
        <f aca="false">IF($C1058="","",IFERROR(IF(INDEX('REGISTRE TUBES'!$D$7:$D$2506,MATCH($C1058,'REGISTRE TUBES'!$B$7:$B$2506,0))="","",INDEX('REGISTRE TUBES'!$D$7:$D$2506,MATCH($C1058,'REGISTRE TUBES'!$B$7:$B$2506,0))),"?"))</f>
        <v/>
      </c>
      <c r="F1058" s="101" t="n">
        <f aca="false">IF($C1058="","",IFERROR(IF(INDEX('REGISTRE TUBES'!$F$7:$F$2506,MATCH($C1058,'REGISTRE TUBES'!$B$7:$B$2506,0))="","",INDEX('REGISTRE TUBES'!$F$7:$F$2506,MATCH($C1058,'REGISTRE TUBES'!$B$7:$B$2506,0))),"?"))</f>
        <v>11.94</v>
      </c>
      <c r="G1058" s="102" t="n">
        <f aca="false">IF($C1058="","",N(G1057)+N(F1058))</f>
        <v>8548.21999999989</v>
      </c>
      <c r="H1058" s="103" t="s">
        <v>2084</v>
      </c>
      <c r="I1058" s="104"/>
      <c r="J1058" s="105"/>
    </row>
    <row r="1059" customFormat="false" ht="15" hidden="false" customHeight="false" outlineLevel="0" collapsed="false">
      <c r="B1059" s="90" t="n">
        <v>722</v>
      </c>
      <c r="C1059" s="91" t="n">
        <v>2080110</v>
      </c>
      <c r="D1059" s="92" t="n">
        <f aca="false">IF($C1059="","",IFERROR(IF(INDEX('REGISTRE TUBES'!$C$7:$C$2506,MATCH($C1059,'REGISTRE TUBES'!$B$7:$B$2506,0))="","",INDEX('REGISTRE TUBES'!$C$7:$C$2506,MATCH($C1059,'REGISTRE TUBES'!$B$7:$B$2506,0))),"?"))</f>
        <v>15421102</v>
      </c>
      <c r="E1059" s="92" t="str">
        <f aca="false">IF($C1059="","",IFERROR(IF(INDEX('REGISTRE TUBES'!$D$7:$D$2506,MATCH($C1059,'REGISTRE TUBES'!$B$7:$B$2506,0))="","",INDEX('REGISTRE TUBES'!$D$7:$D$2506,MATCH($C1059,'REGISTRE TUBES'!$B$7:$B$2506,0))),"?"))</f>
        <v/>
      </c>
      <c r="F1059" s="93" t="n">
        <f aca="false">IF($C1059="","",IFERROR(IF(INDEX('REGISTRE TUBES'!$F$7:$F$2506,MATCH($C1059,'REGISTRE TUBES'!$B$7:$B$2506,0))="","",INDEX('REGISTRE TUBES'!$F$7:$F$2506,MATCH($C1059,'REGISTRE TUBES'!$B$7:$B$2506,0))),"?"))</f>
        <v>11.94</v>
      </c>
      <c r="G1059" s="94" t="n">
        <f aca="false">IF($C1059="","",N(G1058)+N(F1059))</f>
        <v>8560.15999999989</v>
      </c>
      <c r="H1059" s="95" t="s">
        <v>2085</v>
      </c>
      <c r="I1059" s="96"/>
      <c r="J1059" s="97"/>
    </row>
    <row r="1060" customFormat="false" ht="15" hidden="false" customHeight="true" outlineLevel="0" collapsed="false">
      <c r="B1060" s="106" t="s">
        <v>3031</v>
      </c>
      <c r="C1060" s="106"/>
      <c r="D1060" s="106"/>
      <c r="E1060" s="106"/>
      <c r="F1060" s="107" t="n">
        <f aca="false">SUM(F1041:F1059)</f>
        <v>214.92</v>
      </c>
      <c r="G1060" s="108" t="n">
        <f aca="false">IF(COUNT(G1041:G1059)=0,"",MAX(G1041:G1059))</f>
        <v>8560.15999999989</v>
      </c>
      <c r="H1060" s="106" t="str">
        <f aca="false">COUNTA(C1041:C1059)&amp;" tube(s)"</f>
        <v>19 tube(s)</v>
      </c>
      <c r="I1060" s="106"/>
      <c r="J1060" s="106"/>
    </row>
    <row r="1062" customFormat="false" ht="15" hidden="false" customHeight="false" outlineLevel="0" collapsed="false">
      <c r="B1062" s="109" t="s">
        <v>3032</v>
      </c>
      <c r="F1062" s="109" t="s">
        <v>3033</v>
      </c>
      <c r="I1062" s="109" t="s">
        <v>3034</v>
      </c>
    </row>
    <row r="1065" customFormat="false" ht="25.5" hidden="false" customHeight="true" outlineLevel="0" collapsed="false">
      <c r="B1065" s="85" t="s">
        <v>3015</v>
      </c>
      <c r="C1065" s="85"/>
      <c r="D1065" s="85"/>
      <c r="E1065" s="85"/>
      <c r="F1065" s="85"/>
      <c r="G1065" s="85"/>
      <c r="H1065" s="85"/>
      <c r="I1065" s="85"/>
      <c r="J1065" s="85"/>
    </row>
    <row r="1066" customFormat="false" ht="15" hidden="false" customHeight="false" outlineLevel="0" collapsed="false">
      <c r="B1066" s="86" t="str">
        <f aca="false">PARAMÈTRES!$C$4&amp;"   •   Affaire N° "&amp;PARAMÈTRES!$C$5</f>
        <v>Développement des champs gaziers TFT II — réseau de collecte TFT Sud (LIGNE-16)   •   Affaire N° 8546</v>
      </c>
      <c r="C1066" s="86"/>
      <c r="D1066" s="86"/>
      <c r="E1066" s="86"/>
      <c r="F1066" s="86"/>
      <c r="G1066" s="86"/>
      <c r="H1066" s="86"/>
      <c r="I1066" s="86"/>
      <c r="J1066" s="86"/>
    </row>
    <row r="1067" customFormat="false" ht="19.5" hidden="false" customHeight="true" outlineLevel="0" collapsed="false">
      <c r="B1067" s="87" t="s">
        <v>3016</v>
      </c>
      <c r="C1067" s="88" t="s">
        <v>110</v>
      </c>
      <c r="D1067" s="88"/>
      <c r="E1067" s="87" t="s">
        <v>3017</v>
      </c>
      <c r="F1067" s="88" t="s">
        <v>3109</v>
      </c>
      <c r="G1067" s="87" t="s">
        <v>3019</v>
      </c>
      <c r="H1067" s="88" t="s">
        <v>3110</v>
      </c>
      <c r="I1067" s="87" t="s">
        <v>3021</v>
      </c>
      <c r="J1067" s="89"/>
    </row>
    <row r="1068" customFormat="false" ht="27.75" hidden="false" customHeight="true" outlineLevel="0" collapsed="false">
      <c r="B1068" s="71" t="s">
        <v>3022</v>
      </c>
      <c r="C1068" s="71" t="s">
        <v>3023</v>
      </c>
      <c r="D1068" s="71" t="s">
        <v>3024</v>
      </c>
      <c r="E1068" s="71" t="s">
        <v>3025</v>
      </c>
      <c r="F1068" s="71" t="s">
        <v>3026</v>
      </c>
      <c r="G1068" s="71" t="s">
        <v>3027</v>
      </c>
      <c r="H1068" s="71" t="s">
        <v>3028</v>
      </c>
      <c r="I1068" s="71" t="s">
        <v>3029</v>
      </c>
      <c r="J1068" s="71" t="s">
        <v>3030</v>
      </c>
    </row>
    <row r="1069" customFormat="false" ht="15" hidden="false" customHeight="false" outlineLevel="0" collapsed="false">
      <c r="B1069" s="90" t="n">
        <v>723</v>
      </c>
      <c r="C1069" s="91" t="n">
        <v>2095410</v>
      </c>
      <c r="D1069" s="92" t="n">
        <f aca="false">IF($C1069="","",IFERROR(IF(INDEX('REGISTRE TUBES'!$C$7:$C$2506,MATCH($C1069,'REGISTRE TUBES'!$B$7:$B$2506,0))="","",INDEX('REGISTRE TUBES'!$C$7:$C$2506,MATCH($C1069,'REGISTRE TUBES'!$B$7:$B$2506,0))),"?"))</f>
        <v>15421102</v>
      </c>
      <c r="E1069" s="92" t="str">
        <f aca="false">IF($C1069="","",IFERROR(IF(INDEX('REGISTRE TUBES'!$D$7:$D$2506,MATCH($C1069,'REGISTRE TUBES'!$B$7:$B$2506,0))="","",INDEX('REGISTRE TUBES'!$D$7:$D$2506,MATCH($C1069,'REGISTRE TUBES'!$B$7:$B$2506,0))),"?"))</f>
        <v/>
      </c>
      <c r="F1069" s="93" t="n">
        <f aca="false">IF($C1069="","",IFERROR(IF(INDEX('REGISTRE TUBES'!$F$7:$F$2506,MATCH($C1069,'REGISTRE TUBES'!$B$7:$B$2506,0))="","",INDEX('REGISTRE TUBES'!$F$7:$F$2506,MATCH($C1069,'REGISTRE TUBES'!$B$7:$B$2506,0))),"?"))</f>
        <v>11.94</v>
      </c>
      <c r="G1069" s="94" t="n">
        <f aca="false">IF($C1069="","",N(G1059)+N(F1069))</f>
        <v>8572.0999999999</v>
      </c>
      <c r="H1069" s="95" t="s">
        <v>2086</v>
      </c>
      <c r="I1069" s="96"/>
      <c r="J1069" s="97"/>
    </row>
    <row r="1070" customFormat="false" ht="15" hidden="false" customHeight="false" outlineLevel="0" collapsed="false">
      <c r="B1070" s="98" t="n">
        <v>724</v>
      </c>
      <c r="C1070" s="99" t="n">
        <v>2085600</v>
      </c>
      <c r="D1070" s="100" t="n">
        <f aca="false">IF($C1070="","",IFERROR(IF(INDEX('REGISTRE TUBES'!$C$7:$C$2506,MATCH($C1070,'REGISTRE TUBES'!$B$7:$B$2506,0))="","",INDEX('REGISTRE TUBES'!$C$7:$C$2506,MATCH($C1070,'REGISTRE TUBES'!$B$7:$B$2506,0))),"?"))</f>
        <v>15421107</v>
      </c>
      <c r="E1070" s="100" t="str">
        <f aca="false">IF($C1070="","",IFERROR(IF(INDEX('REGISTRE TUBES'!$D$7:$D$2506,MATCH($C1070,'REGISTRE TUBES'!$B$7:$B$2506,0))="","",INDEX('REGISTRE TUBES'!$D$7:$D$2506,MATCH($C1070,'REGISTRE TUBES'!$B$7:$B$2506,0))),"?"))</f>
        <v/>
      </c>
      <c r="F1070" s="101" t="n">
        <f aca="false">IF($C1070="","",IFERROR(IF(INDEX('REGISTRE TUBES'!$F$7:$F$2506,MATCH($C1070,'REGISTRE TUBES'!$B$7:$B$2506,0))="","",INDEX('REGISTRE TUBES'!$F$7:$F$2506,MATCH($C1070,'REGISTRE TUBES'!$B$7:$B$2506,0))),"?"))</f>
        <v>11.94</v>
      </c>
      <c r="G1070" s="102" t="n">
        <f aca="false">IF($C1070="","",N(G1069)+N(F1070))</f>
        <v>8584.0399999999</v>
      </c>
      <c r="H1070" s="103"/>
      <c r="I1070" s="104"/>
      <c r="J1070" s="105"/>
    </row>
    <row r="1071" customFormat="false" ht="15" hidden="false" customHeight="false" outlineLevel="0" collapsed="false">
      <c r="B1071" s="90" t="n">
        <v>725</v>
      </c>
      <c r="C1071" s="91" t="n">
        <v>2082210</v>
      </c>
      <c r="D1071" s="92" t="n">
        <f aca="false">IF($C1071="","",IFERROR(IF(INDEX('REGISTRE TUBES'!$C$7:$C$2506,MATCH($C1071,'REGISTRE TUBES'!$B$7:$B$2506,0))="","",INDEX('REGISTRE TUBES'!$C$7:$C$2506,MATCH($C1071,'REGISTRE TUBES'!$B$7:$B$2506,0))),"?"))</f>
        <v>15421104</v>
      </c>
      <c r="E1071" s="92" t="str">
        <f aca="false">IF($C1071="","",IFERROR(IF(INDEX('REGISTRE TUBES'!$D$7:$D$2506,MATCH($C1071,'REGISTRE TUBES'!$B$7:$B$2506,0))="","",INDEX('REGISTRE TUBES'!$D$7:$D$2506,MATCH($C1071,'REGISTRE TUBES'!$B$7:$B$2506,0))),"?"))</f>
        <v/>
      </c>
      <c r="F1071" s="93" t="n">
        <f aca="false">IF($C1071="","",IFERROR(IF(INDEX('REGISTRE TUBES'!$F$7:$F$2506,MATCH($C1071,'REGISTRE TUBES'!$B$7:$B$2506,0))="","",INDEX('REGISTRE TUBES'!$F$7:$F$2506,MATCH($C1071,'REGISTRE TUBES'!$B$7:$B$2506,0))),"?"))</f>
        <v>11.94</v>
      </c>
      <c r="G1071" s="94" t="n">
        <f aca="false">IF($C1071="","",N(G1070)+N(F1071))</f>
        <v>8595.9799999999</v>
      </c>
      <c r="H1071" s="95" t="s">
        <v>2087</v>
      </c>
      <c r="I1071" s="96"/>
      <c r="J1071" s="97"/>
    </row>
    <row r="1072" customFormat="false" ht="15" hidden="false" customHeight="false" outlineLevel="0" collapsed="false">
      <c r="B1072" s="98" t="n">
        <v>726</v>
      </c>
      <c r="C1072" s="99" t="n">
        <v>2087860</v>
      </c>
      <c r="D1072" s="100" t="n">
        <f aca="false">IF($C1072="","",IFERROR(IF(INDEX('REGISTRE TUBES'!$C$7:$C$2506,MATCH($C1072,'REGISTRE TUBES'!$B$7:$B$2506,0))="","",INDEX('REGISTRE TUBES'!$C$7:$C$2506,MATCH($C1072,'REGISTRE TUBES'!$B$7:$B$2506,0))),"?"))</f>
        <v>15421108</v>
      </c>
      <c r="E1072" s="100" t="str">
        <f aca="false">IF($C1072="","",IFERROR(IF(INDEX('REGISTRE TUBES'!$D$7:$D$2506,MATCH($C1072,'REGISTRE TUBES'!$B$7:$B$2506,0))="","",INDEX('REGISTRE TUBES'!$D$7:$D$2506,MATCH($C1072,'REGISTRE TUBES'!$B$7:$B$2506,0))),"?"))</f>
        <v/>
      </c>
      <c r="F1072" s="101" t="n">
        <f aca="false">IF($C1072="","",IFERROR(IF(INDEX('REGISTRE TUBES'!$F$7:$F$2506,MATCH($C1072,'REGISTRE TUBES'!$B$7:$B$2506,0))="","",INDEX('REGISTRE TUBES'!$F$7:$F$2506,MATCH($C1072,'REGISTRE TUBES'!$B$7:$B$2506,0))),"?"))</f>
        <v>11.94</v>
      </c>
      <c r="G1072" s="102" t="n">
        <f aca="false">IF($C1072="","",N(G1071)+N(F1072))</f>
        <v>8607.9199999999</v>
      </c>
      <c r="H1072" s="103" t="s">
        <v>2089</v>
      </c>
      <c r="I1072" s="104"/>
      <c r="J1072" s="105"/>
    </row>
    <row r="1073" customFormat="false" ht="15" hidden="false" customHeight="false" outlineLevel="0" collapsed="false">
      <c r="B1073" s="90" t="n">
        <v>727</v>
      </c>
      <c r="C1073" s="91" t="n">
        <v>2053440</v>
      </c>
      <c r="D1073" s="92" t="n">
        <f aca="false">IF($C1073="","",IFERROR(IF(INDEX('REGISTRE TUBES'!$C$7:$C$2506,MATCH($C1073,'REGISTRE TUBES'!$B$7:$B$2506,0))="","",INDEX('REGISTRE TUBES'!$C$7:$C$2506,MATCH($C1073,'REGISTRE TUBES'!$B$7:$B$2506,0))),"?"))</f>
        <v>15421110</v>
      </c>
      <c r="E1073" s="92" t="str">
        <f aca="false">IF($C1073="","",IFERROR(IF(INDEX('REGISTRE TUBES'!$D$7:$D$2506,MATCH($C1073,'REGISTRE TUBES'!$B$7:$B$2506,0))="","",INDEX('REGISTRE TUBES'!$D$7:$D$2506,MATCH($C1073,'REGISTRE TUBES'!$B$7:$B$2506,0))),"?"))</f>
        <v/>
      </c>
      <c r="F1073" s="93" t="n">
        <f aca="false">IF($C1073="","",IFERROR(IF(INDEX('REGISTRE TUBES'!$F$7:$F$2506,MATCH($C1073,'REGISTRE TUBES'!$B$7:$B$2506,0))="","",INDEX('REGISTRE TUBES'!$F$7:$F$2506,MATCH($C1073,'REGISTRE TUBES'!$B$7:$B$2506,0))),"?"))</f>
        <v>11.94</v>
      </c>
      <c r="G1073" s="94" t="n">
        <f aca="false">IF($C1073="","",N(G1072)+N(F1073))</f>
        <v>8619.8599999999</v>
      </c>
      <c r="H1073" s="95" t="s">
        <v>2091</v>
      </c>
      <c r="I1073" s="96"/>
      <c r="J1073" s="97"/>
    </row>
    <row r="1074" customFormat="false" ht="15" hidden="false" customHeight="false" outlineLevel="0" collapsed="false">
      <c r="B1074" s="98" t="n">
        <v>728</v>
      </c>
      <c r="C1074" s="99" t="n">
        <v>2096290</v>
      </c>
      <c r="D1074" s="100" t="n">
        <f aca="false">IF($C1074="","",IFERROR(IF(INDEX('REGISTRE TUBES'!$C$7:$C$2506,MATCH($C1074,'REGISTRE TUBES'!$B$7:$B$2506,0))="","",INDEX('REGISTRE TUBES'!$C$7:$C$2506,MATCH($C1074,'REGISTRE TUBES'!$B$7:$B$2506,0))),"?"))</f>
        <v>15421111</v>
      </c>
      <c r="E1074" s="100" t="str">
        <f aca="false">IF($C1074="","",IFERROR(IF(INDEX('REGISTRE TUBES'!$D$7:$D$2506,MATCH($C1074,'REGISTRE TUBES'!$B$7:$B$2506,0))="","",INDEX('REGISTRE TUBES'!$D$7:$D$2506,MATCH($C1074,'REGISTRE TUBES'!$B$7:$B$2506,0))),"?"))</f>
        <v/>
      </c>
      <c r="F1074" s="101" t="n">
        <f aca="false">IF($C1074="","",IFERROR(IF(INDEX('REGISTRE TUBES'!$F$7:$F$2506,MATCH($C1074,'REGISTRE TUBES'!$B$7:$B$2506,0))="","",INDEX('REGISTRE TUBES'!$F$7:$F$2506,MATCH($C1074,'REGISTRE TUBES'!$B$7:$B$2506,0))),"?"))</f>
        <v>11.94</v>
      </c>
      <c r="G1074" s="102" t="n">
        <f aca="false">IF($C1074="","",N(G1073)+N(F1074))</f>
        <v>8631.7999999999</v>
      </c>
      <c r="H1074" s="103" t="s">
        <v>2093</v>
      </c>
      <c r="I1074" s="104"/>
      <c r="J1074" s="105"/>
    </row>
    <row r="1075" customFormat="false" ht="15" hidden="false" customHeight="false" outlineLevel="0" collapsed="false">
      <c r="B1075" s="90" t="n">
        <v>729</v>
      </c>
      <c r="C1075" s="91" t="n">
        <v>2083830</v>
      </c>
      <c r="D1075" s="92" t="n">
        <f aca="false">IF($C1075="","",IFERROR(IF(INDEX('REGISTRE TUBES'!$C$7:$C$2506,MATCH($C1075,'REGISTRE TUBES'!$B$7:$B$2506,0))="","",INDEX('REGISTRE TUBES'!$C$7:$C$2506,MATCH($C1075,'REGISTRE TUBES'!$B$7:$B$2506,0))),"?"))</f>
        <v>15421105</v>
      </c>
      <c r="E1075" s="92" t="str">
        <f aca="false">IF($C1075="","",IFERROR(IF(INDEX('REGISTRE TUBES'!$D$7:$D$2506,MATCH($C1075,'REGISTRE TUBES'!$B$7:$B$2506,0))="","",INDEX('REGISTRE TUBES'!$D$7:$D$2506,MATCH($C1075,'REGISTRE TUBES'!$B$7:$B$2506,0))),"?"))</f>
        <v/>
      </c>
      <c r="F1075" s="93" t="n">
        <f aca="false">IF($C1075="","",IFERROR(IF(INDEX('REGISTRE TUBES'!$F$7:$F$2506,MATCH($C1075,'REGISTRE TUBES'!$B$7:$B$2506,0))="","",INDEX('REGISTRE TUBES'!$F$7:$F$2506,MATCH($C1075,'REGISTRE TUBES'!$B$7:$B$2506,0))),"?"))</f>
        <v>11.94</v>
      </c>
      <c r="G1075" s="94" t="n">
        <f aca="false">IF($C1075="","",N(G1074)+N(F1075))</f>
        <v>8643.7399999999</v>
      </c>
      <c r="H1075" s="95" t="s">
        <v>2096</v>
      </c>
      <c r="I1075" s="96"/>
      <c r="J1075" s="97"/>
    </row>
    <row r="1076" customFormat="false" ht="15" hidden="false" customHeight="false" outlineLevel="0" collapsed="false">
      <c r="B1076" s="98" t="n">
        <v>730</v>
      </c>
      <c r="C1076" s="99" t="n">
        <v>2095430</v>
      </c>
      <c r="D1076" s="100" t="n">
        <f aca="false">IF($C1076="","",IFERROR(IF(INDEX('REGISTRE TUBES'!$C$7:$C$2506,MATCH($C1076,'REGISTRE TUBES'!$B$7:$B$2506,0))="","",INDEX('REGISTRE TUBES'!$C$7:$C$2506,MATCH($C1076,'REGISTRE TUBES'!$B$7:$B$2506,0))),"?"))</f>
        <v>15421111</v>
      </c>
      <c r="E1076" s="100" t="str">
        <f aca="false">IF($C1076="","",IFERROR(IF(INDEX('REGISTRE TUBES'!$D$7:$D$2506,MATCH($C1076,'REGISTRE TUBES'!$B$7:$B$2506,0))="","",INDEX('REGISTRE TUBES'!$D$7:$D$2506,MATCH($C1076,'REGISTRE TUBES'!$B$7:$B$2506,0))),"?"))</f>
        <v/>
      </c>
      <c r="F1076" s="101" t="n">
        <f aca="false">IF($C1076="","",IFERROR(IF(INDEX('REGISTRE TUBES'!$F$7:$F$2506,MATCH($C1076,'REGISTRE TUBES'!$B$7:$B$2506,0))="","",INDEX('REGISTRE TUBES'!$F$7:$F$2506,MATCH($C1076,'REGISTRE TUBES'!$B$7:$B$2506,0))),"?"))</f>
        <v>11.94</v>
      </c>
      <c r="G1076" s="102" t="n">
        <f aca="false">IF($C1076="","",N(G1075)+N(F1076))</f>
        <v>8655.6799999999</v>
      </c>
      <c r="H1076" s="103" t="s">
        <v>2099</v>
      </c>
      <c r="I1076" s="104"/>
      <c r="J1076" s="105"/>
    </row>
    <row r="1077" customFormat="false" ht="15" hidden="false" customHeight="false" outlineLevel="0" collapsed="false">
      <c r="B1077" s="90" t="n">
        <v>731</v>
      </c>
      <c r="C1077" s="91" t="n">
        <v>2092530</v>
      </c>
      <c r="D1077" s="92" t="n">
        <f aca="false">IF($C1077="","",IFERROR(IF(INDEX('REGISTRE TUBES'!$C$7:$C$2506,MATCH($C1077,'REGISTRE TUBES'!$B$7:$B$2506,0))="","",INDEX('REGISTRE TUBES'!$C$7:$C$2506,MATCH($C1077,'REGISTRE TUBES'!$B$7:$B$2506,0))),"?"))</f>
        <v>15421110</v>
      </c>
      <c r="E1077" s="92" t="str">
        <f aca="false">IF($C1077="","",IFERROR(IF(INDEX('REGISTRE TUBES'!$D$7:$D$2506,MATCH($C1077,'REGISTRE TUBES'!$B$7:$B$2506,0))="","",INDEX('REGISTRE TUBES'!$D$7:$D$2506,MATCH($C1077,'REGISTRE TUBES'!$B$7:$B$2506,0))),"?"))</f>
        <v/>
      </c>
      <c r="F1077" s="93" t="n">
        <f aca="false">IF($C1077="","",IFERROR(IF(INDEX('REGISTRE TUBES'!$F$7:$F$2506,MATCH($C1077,'REGISTRE TUBES'!$B$7:$B$2506,0))="","",INDEX('REGISTRE TUBES'!$F$7:$F$2506,MATCH($C1077,'REGISTRE TUBES'!$B$7:$B$2506,0))),"?"))</f>
        <v>11.94</v>
      </c>
      <c r="G1077" s="94" t="n">
        <f aca="false">IF($C1077="","",N(G1076)+N(F1077))</f>
        <v>8667.6199999999</v>
      </c>
      <c r="H1077" s="95" t="s">
        <v>2101</v>
      </c>
      <c r="I1077" s="96"/>
      <c r="J1077" s="97"/>
    </row>
    <row r="1078" customFormat="false" ht="15" hidden="false" customHeight="false" outlineLevel="0" collapsed="false">
      <c r="B1078" s="98" t="n">
        <v>732</v>
      </c>
      <c r="C1078" s="99" t="n">
        <v>2091770</v>
      </c>
      <c r="D1078" s="100" t="n">
        <f aca="false">IF($C1078="","",IFERROR(IF(INDEX('REGISTRE TUBES'!$C$7:$C$2506,MATCH($C1078,'REGISTRE TUBES'!$B$7:$B$2506,0))="","",INDEX('REGISTRE TUBES'!$C$7:$C$2506,MATCH($C1078,'REGISTRE TUBES'!$B$7:$B$2506,0))),"?"))</f>
        <v>15421109</v>
      </c>
      <c r="E1078" s="100" t="str">
        <f aca="false">IF($C1078="","",IFERROR(IF(INDEX('REGISTRE TUBES'!$D$7:$D$2506,MATCH($C1078,'REGISTRE TUBES'!$B$7:$B$2506,0))="","",INDEX('REGISTRE TUBES'!$D$7:$D$2506,MATCH($C1078,'REGISTRE TUBES'!$B$7:$B$2506,0))),"?"))</f>
        <v/>
      </c>
      <c r="F1078" s="101" t="n">
        <f aca="false">IF($C1078="","",IFERROR(IF(INDEX('REGISTRE TUBES'!$F$7:$F$2506,MATCH($C1078,'REGISTRE TUBES'!$B$7:$B$2506,0))="","",INDEX('REGISTRE TUBES'!$F$7:$F$2506,MATCH($C1078,'REGISTRE TUBES'!$B$7:$B$2506,0))),"?"))</f>
        <v>11.94</v>
      </c>
      <c r="G1078" s="102" t="n">
        <f aca="false">IF($C1078="","",N(G1077)+N(F1078))</f>
        <v>8679.5599999999</v>
      </c>
      <c r="H1078" s="103" t="s">
        <v>2102</v>
      </c>
      <c r="I1078" s="104"/>
      <c r="J1078" s="105"/>
    </row>
    <row r="1079" customFormat="false" ht="15" hidden="false" customHeight="false" outlineLevel="0" collapsed="false">
      <c r="B1079" s="90" t="n">
        <v>733</v>
      </c>
      <c r="C1079" s="91" t="n">
        <v>2091890</v>
      </c>
      <c r="D1079" s="92" t="n">
        <f aca="false">IF($C1079="","",IFERROR(IF(INDEX('REGISTRE TUBES'!$C$7:$C$2506,MATCH($C1079,'REGISTRE TUBES'!$B$7:$B$2506,0))="","",INDEX('REGISTRE TUBES'!$C$7:$C$2506,MATCH($C1079,'REGISTRE TUBES'!$B$7:$B$2506,0))),"?"))</f>
        <v>15421109</v>
      </c>
      <c r="E1079" s="92" t="str">
        <f aca="false">IF($C1079="","",IFERROR(IF(INDEX('REGISTRE TUBES'!$D$7:$D$2506,MATCH($C1079,'REGISTRE TUBES'!$B$7:$B$2506,0))="","",INDEX('REGISTRE TUBES'!$D$7:$D$2506,MATCH($C1079,'REGISTRE TUBES'!$B$7:$B$2506,0))),"?"))</f>
        <v/>
      </c>
      <c r="F1079" s="93" t="n">
        <f aca="false">IF($C1079="","",IFERROR(IF(INDEX('REGISTRE TUBES'!$F$7:$F$2506,MATCH($C1079,'REGISTRE TUBES'!$B$7:$B$2506,0))="","",INDEX('REGISTRE TUBES'!$F$7:$F$2506,MATCH($C1079,'REGISTRE TUBES'!$B$7:$B$2506,0))),"?"))</f>
        <v>11.94</v>
      </c>
      <c r="G1079" s="94" t="n">
        <f aca="false">IF($C1079="","",N(G1078)+N(F1079))</f>
        <v>8691.4999999999</v>
      </c>
      <c r="H1079" s="95" t="s">
        <v>2104</v>
      </c>
      <c r="I1079" s="96"/>
      <c r="J1079" s="97"/>
    </row>
    <row r="1080" customFormat="false" ht="15" hidden="false" customHeight="false" outlineLevel="0" collapsed="false">
      <c r="B1080" s="98" t="n">
        <v>734</v>
      </c>
      <c r="C1080" s="99" t="n">
        <v>2094650</v>
      </c>
      <c r="D1080" s="100" t="n">
        <f aca="false">IF($C1080="","",IFERROR(IF(INDEX('REGISTRE TUBES'!$C$7:$C$2506,MATCH($C1080,'REGISTRE TUBES'!$B$7:$B$2506,0))="","",INDEX('REGISTRE TUBES'!$C$7:$C$2506,MATCH($C1080,'REGISTRE TUBES'!$B$7:$B$2506,0))),"?"))</f>
        <v>15421111</v>
      </c>
      <c r="E1080" s="100" t="str">
        <f aca="false">IF($C1080="","",IFERROR(IF(INDEX('REGISTRE TUBES'!$D$7:$D$2506,MATCH($C1080,'REGISTRE TUBES'!$B$7:$B$2506,0))="","",INDEX('REGISTRE TUBES'!$D$7:$D$2506,MATCH($C1080,'REGISTRE TUBES'!$B$7:$B$2506,0))),"?"))</f>
        <v/>
      </c>
      <c r="F1080" s="101" t="n">
        <f aca="false">IF($C1080="","",IFERROR(IF(INDEX('REGISTRE TUBES'!$F$7:$F$2506,MATCH($C1080,'REGISTRE TUBES'!$B$7:$B$2506,0))="","",INDEX('REGISTRE TUBES'!$F$7:$F$2506,MATCH($C1080,'REGISTRE TUBES'!$B$7:$B$2506,0))),"?"))</f>
        <v>11.94</v>
      </c>
      <c r="G1080" s="102" t="n">
        <f aca="false">IF($C1080="","",N(G1079)+N(F1080))</f>
        <v>8703.4399999999</v>
      </c>
      <c r="H1080" s="103" t="s">
        <v>2105</v>
      </c>
      <c r="I1080" s="104"/>
      <c r="J1080" s="105"/>
    </row>
    <row r="1081" customFormat="false" ht="15" hidden="false" customHeight="false" outlineLevel="0" collapsed="false">
      <c r="B1081" s="90" t="n">
        <v>735</v>
      </c>
      <c r="C1081" s="91" t="n">
        <v>2093070</v>
      </c>
      <c r="D1081" s="92" t="n">
        <f aca="false">IF($C1081="","",IFERROR(IF(INDEX('REGISTRE TUBES'!$C$7:$C$2506,MATCH($C1081,'REGISTRE TUBES'!$B$7:$B$2506,0))="","",INDEX('REGISTRE TUBES'!$C$7:$C$2506,MATCH($C1081,'REGISTRE TUBES'!$B$7:$B$2506,0))),"?"))</f>
        <v>15421110</v>
      </c>
      <c r="E1081" s="92" t="str">
        <f aca="false">IF($C1081="","",IFERROR(IF(INDEX('REGISTRE TUBES'!$D$7:$D$2506,MATCH($C1081,'REGISTRE TUBES'!$B$7:$B$2506,0))="","",INDEX('REGISTRE TUBES'!$D$7:$D$2506,MATCH($C1081,'REGISTRE TUBES'!$B$7:$B$2506,0))),"?"))</f>
        <v/>
      </c>
      <c r="F1081" s="93" t="n">
        <f aca="false">IF($C1081="","",IFERROR(IF(INDEX('REGISTRE TUBES'!$F$7:$F$2506,MATCH($C1081,'REGISTRE TUBES'!$B$7:$B$2506,0))="","",INDEX('REGISTRE TUBES'!$F$7:$F$2506,MATCH($C1081,'REGISTRE TUBES'!$B$7:$B$2506,0))),"?"))</f>
        <v>11.94</v>
      </c>
      <c r="G1081" s="94" t="n">
        <f aca="false">IF($C1081="","",N(G1080)+N(F1081))</f>
        <v>8715.3799999999</v>
      </c>
      <c r="H1081" s="95" t="s">
        <v>2106</v>
      </c>
      <c r="I1081" s="96"/>
      <c r="J1081" s="97"/>
    </row>
    <row r="1082" customFormat="false" ht="15" hidden="false" customHeight="false" outlineLevel="0" collapsed="false">
      <c r="B1082" s="98" t="n">
        <v>736</v>
      </c>
      <c r="C1082" s="99" t="n">
        <v>2083470</v>
      </c>
      <c r="D1082" s="100" t="n">
        <f aca="false">IF($C1082="","",IFERROR(IF(INDEX('REGISTRE TUBES'!$C$7:$C$2506,MATCH($C1082,'REGISTRE TUBES'!$B$7:$B$2506,0))="","",INDEX('REGISTRE TUBES'!$C$7:$C$2506,MATCH($C1082,'REGISTRE TUBES'!$B$7:$B$2506,0))),"?"))</f>
        <v>15421105</v>
      </c>
      <c r="E1082" s="100" t="str">
        <f aca="false">IF($C1082="","",IFERROR(IF(INDEX('REGISTRE TUBES'!$D$7:$D$2506,MATCH($C1082,'REGISTRE TUBES'!$B$7:$B$2506,0))="","",INDEX('REGISTRE TUBES'!$D$7:$D$2506,MATCH($C1082,'REGISTRE TUBES'!$B$7:$B$2506,0))),"?"))</f>
        <v/>
      </c>
      <c r="F1082" s="101" t="n">
        <f aca="false">IF($C1082="","",IFERROR(IF(INDEX('REGISTRE TUBES'!$F$7:$F$2506,MATCH($C1082,'REGISTRE TUBES'!$B$7:$B$2506,0))="","",INDEX('REGISTRE TUBES'!$F$7:$F$2506,MATCH($C1082,'REGISTRE TUBES'!$B$7:$B$2506,0))),"?"))</f>
        <v>11.94</v>
      </c>
      <c r="G1082" s="102" t="n">
        <f aca="false">IF($C1082="","",N(G1081)+N(F1082))</f>
        <v>8727.3199999999</v>
      </c>
      <c r="H1082" s="103" t="s">
        <v>2107</v>
      </c>
      <c r="I1082" s="104"/>
      <c r="J1082" s="105"/>
    </row>
    <row r="1083" customFormat="false" ht="15" hidden="false" customHeight="false" outlineLevel="0" collapsed="false">
      <c r="B1083" s="90" t="n">
        <v>737</v>
      </c>
      <c r="C1083" s="91" t="n">
        <v>2097400</v>
      </c>
      <c r="D1083" s="92" t="n">
        <f aca="false">IF($C1083="","",IFERROR(IF(INDEX('REGISTRE TUBES'!$C$7:$C$2506,MATCH($C1083,'REGISTRE TUBES'!$B$7:$B$2506,0))="","",INDEX('REGISTRE TUBES'!$C$7:$C$2506,MATCH($C1083,'REGISTRE TUBES'!$B$7:$B$2506,0))),"?"))</f>
        <v>15421112</v>
      </c>
      <c r="E1083" s="92" t="str">
        <f aca="false">IF($C1083="","",IFERROR(IF(INDEX('REGISTRE TUBES'!$D$7:$D$2506,MATCH($C1083,'REGISTRE TUBES'!$B$7:$B$2506,0))="","",INDEX('REGISTRE TUBES'!$D$7:$D$2506,MATCH($C1083,'REGISTRE TUBES'!$B$7:$B$2506,0))),"?"))</f>
        <v/>
      </c>
      <c r="F1083" s="93" t="n">
        <f aca="false">IF($C1083="","",IFERROR(IF(INDEX('REGISTRE TUBES'!$F$7:$F$2506,MATCH($C1083,'REGISTRE TUBES'!$B$7:$B$2506,0))="","",INDEX('REGISTRE TUBES'!$F$7:$F$2506,MATCH($C1083,'REGISTRE TUBES'!$B$7:$B$2506,0))),"?"))</f>
        <v>11.94</v>
      </c>
      <c r="G1083" s="94" t="n">
        <f aca="false">IF($C1083="","",N(G1082)+N(F1083))</f>
        <v>8739.2599999999</v>
      </c>
      <c r="H1083" s="95" t="s">
        <v>2109</v>
      </c>
      <c r="I1083" s="96"/>
      <c r="J1083" s="97"/>
    </row>
    <row r="1084" customFormat="false" ht="15" hidden="false" customHeight="false" outlineLevel="0" collapsed="false">
      <c r="B1084" s="98" t="n">
        <v>738</v>
      </c>
      <c r="C1084" s="99" t="n">
        <v>2083240</v>
      </c>
      <c r="D1084" s="100" t="n">
        <f aca="false">IF($C1084="","",IFERROR(IF(INDEX('REGISTRE TUBES'!$C$7:$C$2506,MATCH($C1084,'REGISTRE TUBES'!$B$7:$B$2506,0))="","",INDEX('REGISTRE TUBES'!$C$7:$C$2506,MATCH($C1084,'REGISTRE TUBES'!$B$7:$B$2506,0))),"?"))</f>
        <v>15421105</v>
      </c>
      <c r="E1084" s="100" t="str">
        <f aca="false">IF($C1084="","",IFERROR(IF(INDEX('REGISTRE TUBES'!$D$7:$D$2506,MATCH($C1084,'REGISTRE TUBES'!$B$7:$B$2506,0))="","",INDEX('REGISTRE TUBES'!$D$7:$D$2506,MATCH($C1084,'REGISTRE TUBES'!$B$7:$B$2506,0))),"?"))</f>
        <v/>
      </c>
      <c r="F1084" s="101" t="n">
        <f aca="false">IF($C1084="","",IFERROR(IF(INDEX('REGISTRE TUBES'!$F$7:$F$2506,MATCH($C1084,'REGISTRE TUBES'!$B$7:$B$2506,0))="","",INDEX('REGISTRE TUBES'!$F$7:$F$2506,MATCH($C1084,'REGISTRE TUBES'!$B$7:$B$2506,0))),"?"))</f>
        <v>11.94</v>
      </c>
      <c r="G1084" s="102" t="n">
        <f aca="false">IF($C1084="","",N(G1083)+N(F1084))</f>
        <v>8751.1999999999</v>
      </c>
      <c r="H1084" s="103" t="s">
        <v>2110</v>
      </c>
      <c r="I1084" s="104"/>
      <c r="J1084" s="105"/>
    </row>
    <row r="1085" customFormat="false" ht="15" hidden="false" customHeight="false" outlineLevel="0" collapsed="false">
      <c r="B1085" s="90" t="n">
        <v>739</v>
      </c>
      <c r="C1085" s="91" t="n">
        <v>2078790</v>
      </c>
      <c r="D1085" s="92" t="n">
        <f aca="false">IF($C1085="","",IFERROR(IF(INDEX('REGISTRE TUBES'!$C$7:$C$2506,MATCH($C1085,'REGISTRE TUBES'!$B$7:$B$2506,0))="","",INDEX('REGISTRE TUBES'!$C$7:$C$2506,MATCH($C1085,'REGISTRE TUBES'!$B$7:$B$2506,0))),"?"))</f>
        <v>15421101</v>
      </c>
      <c r="E1085" s="92" t="str">
        <f aca="false">IF($C1085="","",IFERROR(IF(INDEX('REGISTRE TUBES'!$D$7:$D$2506,MATCH($C1085,'REGISTRE TUBES'!$B$7:$B$2506,0))="","",INDEX('REGISTRE TUBES'!$D$7:$D$2506,MATCH($C1085,'REGISTRE TUBES'!$B$7:$B$2506,0))),"?"))</f>
        <v/>
      </c>
      <c r="F1085" s="93" t="n">
        <f aca="false">IF($C1085="","",IFERROR(IF(INDEX('REGISTRE TUBES'!$F$7:$F$2506,MATCH($C1085,'REGISTRE TUBES'!$B$7:$B$2506,0))="","",INDEX('REGISTRE TUBES'!$F$7:$F$2506,MATCH($C1085,'REGISTRE TUBES'!$B$7:$B$2506,0))),"?"))</f>
        <v>11.94</v>
      </c>
      <c r="G1085" s="94" t="n">
        <f aca="false">IF($C1085="","",N(G1084)+N(F1085))</f>
        <v>8763.1399999999</v>
      </c>
      <c r="H1085" s="95" t="s">
        <v>2111</v>
      </c>
      <c r="I1085" s="96"/>
      <c r="J1085" s="97"/>
    </row>
    <row r="1086" customFormat="false" ht="15" hidden="false" customHeight="false" outlineLevel="0" collapsed="false">
      <c r="B1086" s="98" t="n">
        <v>740</v>
      </c>
      <c r="C1086" s="99" t="n">
        <v>2080160</v>
      </c>
      <c r="D1086" s="100" t="n">
        <f aca="false">IF($C1086="","",IFERROR(IF(INDEX('REGISTRE TUBES'!$C$7:$C$2506,MATCH($C1086,'REGISTRE TUBES'!$B$7:$B$2506,0))="","",INDEX('REGISTRE TUBES'!$C$7:$C$2506,MATCH($C1086,'REGISTRE TUBES'!$B$7:$B$2506,0))),"?"))</f>
        <v>15421102</v>
      </c>
      <c r="E1086" s="100" t="str">
        <f aca="false">IF($C1086="","",IFERROR(IF(INDEX('REGISTRE TUBES'!$D$7:$D$2506,MATCH($C1086,'REGISTRE TUBES'!$B$7:$B$2506,0))="","",INDEX('REGISTRE TUBES'!$D$7:$D$2506,MATCH($C1086,'REGISTRE TUBES'!$B$7:$B$2506,0))),"?"))</f>
        <v/>
      </c>
      <c r="F1086" s="101" t="n">
        <f aca="false">IF($C1086="","",IFERROR(IF(INDEX('REGISTRE TUBES'!$F$7:$F$2506,MATCH($C1086,'REGISTRE TUBES'!$B$7:$B$2506,0))="","",INDEX('REGISTRE TUBES'!$F$7:$F$2506,MATCH($C1086,'REGISTRE TUBES'!$B$7:$B$2506,0))),"?"))</f>
        <v>11.94</v>
      </c>
      <c r="G1086" s="102" t="n">
        <f aca="false">IF($C1086="","",N(G1085)+N(F1086))</f>
        <v>8775.0799999999</v>
      </c>
      <c r="H1086" s="103" t="s">
        <v>2113</v>
      </c>
      <c r="I1086" s="104"/>
      <c r="J1086" s="105"/>
    </row>
    <row r="1087" customFormat="false" ht="15" hidden="false" customHeight="false" outlineLevel="0" collapsed="false">
      <c r="B1087" s="90" t="n">
        <v>741</v>
      </c>
      <c r="C1087" s="91" t="n">
        <v>2078530</v>
      </c>
      <c r="D1087" s="92" t="n">
        <f aca="false">IF($C1087="","",IFERROR(IF(INDEX('REGISTRE TUBES'!$C$7:$C$2506,MATCH($C1087,'REGISTRE TUBES'!$B$7:$B$2506,0))="","",INDEX('REGISTRE TUBES'!$C$7:$C$2506,MATCH($C1087,'REGISTRE TUBES'!$B$7:$B$2506,0))),"?"))</f>
        <v>15421101</v>
      </c>
      <c r="E1087" s="92" t="str">
        <f aca="false">IF($C1087="","",IFERROR(IF(INDEX('REGISTRE TUBES'!$D$7:$D$2506,MATCH($C1087,'REGISTRE TUBES'!$B$7:$B$2506,0))="","",INDEX('REGISTRE TUBES'!$D$7:$D$2506,MATCH($C1087,'REGISTRE TUBES'!$B$7:$B$2506,0))),"?"))</f>
        <v/>
      </c>
      <c r="F1087" s="93" t="n">
        <f aca="false">IF($C1087="","",IFERROR(IF(INDEX('REGISTRE TUBES'!$F$7:$F$2506,MATCH($C1087,'REGISTRE TUBES'!$B$7:$B$2506,0))="","",INDEX('REGISTRE TUBES'!$F$7:$F$2506,MATCH($C1087,'REGISTRE TUBES'!$B$7:$B$2506,0))),"?"))</f>
        <v>11.94</v>
      </c>
      <c r="G1087" s="94" t="n">
        <f aca="false">IF($C1087="","",N(G1086)+N(F1087))</f>
        <v>8787.0199999999</v>
      </c>
      <c r="H1087" s="95" t="s">
        <v>2114</v>
      </c>
      <c r="I1087" s="96"/>
      <c r="J1087" s="97"/>
    </row>
    <row r="1088" customFormat="false" ht="15" hidden="false" customHeight="true" outlineLevel="0" collapsed="false">
      <c r="B1088" s="106" t="s">
        <v>3031</v>
      </c>
      <c r="C1088" s="106"/>
      <c r="D1088" s="106"/>
      <c r="E1088" s="106"/>
      <c r="F1088" s="107" t="n">
        <f aca="false">SUM(F1069:F1087)</f>
        <v>226.86</v>
      </c>
      <c r="G1088" s="108" t="n">
        <f aca="false">IF(COUNT(G1069:G1087)=0,"",MAX(G1069:G1087))</f>
        <v>8787.0199999999</v>
      </c>
      <c r="H1088" s="106" t="str">
        <f aca="false">COUNTA(C1069:C1087)&amp;" tube(s)"</f>
        <v>19 tube(s)</v>
      </c>
      <c r="I1088" s="106"/>
      <c r="J1088" s="106"/>
    </row>
    <row r="1090" customFormat="false" ht="15" hidden="false" customHeight="false" outlineLevel="0" collapsed="false">
      <c r="B1090" s="109" t="s">
        <v>3032</v>
      </c>
      <c r="F1090" s="109" t="s">
        <v>3033</v>
      </c>
      <c r="I1090" s="109" t="s">
        <v>3034</v>
      </c>
    </row>
    <row r="1093" customFormat="false" ht="25.5" hidden="false" customHeight="true" outlineLevel="0" collapsed="false">
      <c r="B1093" s="85" t="s">
        <v>3015</v>
      </c>
      <c r="C1093" s="85"/>
      <c r="D1093" s="85"/>
      <c r="E1093" s="85"/>
      <c r="F1093" s="85"/>
      <c r="G1093" s="85"/>
      <c r="H1093" s="85"/>
      <c r="I1093" s="85"/>
      <c r="J1093" s="85"/>
    </row>
    <row r="1094" customFormat="false" ht="15" hidden="false" customHeight="false" outlineLevel="0" collapsed="false">
      <c r="B1094" s="86" t="str">
        <f aca="false">PARAMÈTRES!$C$4&amp;"   •   Affaire N° "&amp;PARAMÈTRES!$C$5</f>
        <v>Développement des champs gaziers TFT II — réseau de collecte TFT Sud (LIGNE-16)   •   Affaire N° 8546</v>
      </c>
      <c r="C1094" s="86"/>
      <c r="D1094" s="86"/>
      <c r="E1094" s="86"/>
      <c r="F1094" s="86"/>
      <c r="G1094" s="86"/>
      <c r="H1094" s="86"/>
      <c r="I1094" s="86"/>
      <c r="J1094" s="86"/>
    </row>
    <row r="1095" customFormat="false" ht="19.5" hidden="false" customHeight="true" outlineLevel="0" collapsed="false">
      <c r="B1095" s="87" t="s">
        <v>3016</v>
      </c>
      <c r="C1095" s="88" t="s">
        <v>110</v>
      </c>
      <c r="D1095" s="88"/>
      <c r="E1095" s="87" t="s">
        <v>3017</v>
      </c>
      <c r="F1095" s="88" t="s">
        <v>3111</v>
      </c>
      <c r="G1095" s="87" t="s">
        <v>3019</v>
      </c>
      <c r="H1095" s="88" t="s">
        <v>3112</v>
      </c>
      <c r="I1095" s="87" t="s">
        <v>3021</v>
      </c>
      <c r="J1095" s="89"/>
    </row>
    <row r="1096" customFormat="false" ht="27.75" hidden="false" customHeight="true" outlineLevel="0" collapsed="false">
      <c r="B1096" s="71" t="s">
        <v>3022</v>
      </c>
      <c r="C1096" s="71" t="s">
        <v>3023</v>
      </c>
      <c r="D1096" s="71" t="s">
        <v>3024</v>
      </c>
      <c r="E1096" s="71" t="s">
        <v>3025</v>
      </c>
      <c r="F1096" s="71" t="s">
        <v>3026</v>
      </c>
      <c r="G1096" s="71" t="s">
        <v>3027</v>
      </c>
      <c r="H1096" s="71" t="s">
        <v>3028</v>
      </c>
      <c r="I1096" s="71" t="s">
        <v>3029</v>
      </c>
      <c r="J1096" s="71" t="s">
        <v>3030</v>
      </c>
    </row>
    <row r="1097" customFormat="false" ht="15" hidden="false" customHeight="false" outlineLevel="0" collapsed="false">
      <c r="B1097" s="90" t="n">
        <v>742</v>
      </c>
      <c r="C1097" s="91" t="n">
        <v>2049380</v>
      </c>
      <c r="D1097" s="92" t="n">
        <f aca="false">IF($C1097="","",IFERROR(IF(INDEX('REGISTRE TUBES'!$C$7:$C$2506,MATCH($C1097,'REGISTRE TUBES'!$B$7:$B$2506,0))="","",INDEX('REGISTRE TUBES'!$C$7:$C$2506,MATCH($C1097,'REGISTRE TUBES'!$B$7:$B$2506,0))),"?"))</f>
        <v>15421102</v>
      </c>
      <c r="E1097" s="92" t="str">
        <f aca="false">IF($C1097="","",IFERROR(IF(INDEX('REGISTRE TUBES'!$D$7:$D$2506,MATCH($C1097,'REGISTRE TUBES'!$B$7:$B$2506,0))="","",INDEX('REGISTRE TUBES'!$D$7:$D$2506,MATCH($C1097,'REGISTRE TUBES'!$B$7:$B$2506,0))),"?"))</f>
        <v/>
      </c>
      <c r="F1097" s="93" t="n">
        <f aca="false">IF($C1097="","",IFERROR(IF(INDEX('REGISTRE TUBES'!$F$7:$F$2506,MATCH($C1097,'REGISTRE TUBES'!$B$7:$B$2506,0))="","",INDEX('REGISTRE TUBES'!$F$7:$F$2506,MATCH($C1097,'REGISTRE TUBES'!$B$7:$B$2506,0))),"?"))</f>
        <v>11.94</v>
      </c>
      <c r="G1097" s="94" t="n">
        <f aca="false">IF($C1097="","",N(G1087)+N(F1097))</f>
        <v>8798.95999999991</v>
      </c>
      <c r="H1097" s="95" t="s">
        <v>2115</v>
      </c>
      <c r="I1097" s="96"/>
      <c r="J1097" s="97"/>
    </row>
    <row r="1098" customFormat="false" ht="15" hidden="false" customHeight="false" outlineLevel="0" collapsed="false">
      <c r="B1098" s="98" t="n">
        <v>743</v>
      </c>
      <c r="C1098" s="99" t="n">
        <v>2090000</v>
      </c>
      <c r="D1098" s="100" t="n">
        <f aca="false">IF($C1098="","",IFERROR(IF(INDEX('REGISTRE TUBES'!$C$7:$C$2506,MATCH($C1098,'REGISTRE TUBES'!$B$7:$B$2506,0))="","",INDEX('REGISTRE TUBES'!$C$7:$C$2506,MATCH($C1098,'REGISTRE TUBES'!$B$7:$B$2506,0))),"?"))</f>
        <v>15421109</v>
      </c>
      <c r="E1098" s="100" t="str">
        <f aca="false">IF($C1098="","",IFERROR(IF(INDEX('REGISTRE TUBES'!$D$7:$D$2506,MATCH($C1098,'REGISTRE TUBES'!$B$7:$B$2506,0))="","",INDEX('REGISTRE TUBES'!$D$7:$D$2506,MATCH($C1098,'REGISTRE TUBES'!$B$7:$B$2506,0))),"?"))</f>
        <v/>
      </c>
      <c r="F1098" s="101" t="n">
        <f aca="false">IF($C1098="","",IFERROR(IF(INDEX('REGISTRE TUBES'!$F$7:$F$2506,MATCH($C1098,'REGISTRE TUBES'!$B$7:$B$2506,0))="","",INDEX('REGISTRE TUBES'!$F$7:$F$2506,MATCH($C1098,'REGISTRE TUBES'!$B$7:$B$2506,0))),"?"))</f>
        <v>11.94</v>
      </c>
      <c r="G1098" s="102" t="n">
        <f aca="false">IF($C1098="","",N(G1097)+N(F1098))</f>
        <v>8810.89999999991</v>
      </c>
      <c r="H1098" s="103" t="s">
        <v>2117</v>
      </c>
      <c r="I1098" s="104"/>
      <c r="J1098" s="105"/>
    </row>
    <row r="1099" customFormat="false" ht="15" hidden="false" customHeight="false" outlineLevel="0" collapsed="false">
      <c r="B1099" s="90" t="n">
        <v>744</v>
      </c>
      <c r="C1099" s="91" t="n">
        <v>2093690</v>
      </c>
      <c r="D1099" s="92" t="n">
        <f aca="false">IF($C1099="","",IFERROR(IF(INDEX('REGISTRE TUBES'!$C$7:$C$2506,MATCH($C1099,'REGISTRE TUBES'!$B$7:$B$2506,0))="","",INDEX('REGISTRE TUBES'!$C$7:$C$2506,MATCH($C1099,'REGISTRE TUBES'!$B$7:$B$2506,0))),"?"))</f>
        <v>15421110</v>
      </c>
      <c r="E1099" s="92" t="str">
        <f aca="false">IF($C1099="","",IFERROR(IF(INDEX('REGISTRE TUBES'!$D$7:$D$2506,MATCH($C1099,'REGISTRE TUBES'!$B$7:$B$2506,0))="","",INDEX('REGISTRE TUBES'!$D$7:$D$2506,MATCH($C1099,'REGISTRE TUBES'!$B$7:$B$2506,0))),"?"))</f>
        <v/>
      </c>
      <c r="F1099" s="93" t="n">
        <f aca="false">IF($C1099="","",IFERROR(IF(INDEX('REGISTRE TUBES'!$F$7:$F$2506,MATCH($C1099,'REGISTRE TUBES'!$B$7:$B$2506,0))="","",INDEX('REGISTRE TUBES'!$F$7:$F$2506,MATCH($C1099,'REGISTRE TUBES'!$B$7:$B$2506,0))),"?"))</f>
        <v>11.94</v>
      </c>
      <c r="G1099" s="94" t="n">
        <f aca="false">IF($C1099="","",N(G1098)+N(F1099))</f>
        <v>8822.83999999991</v>
      </c>
      <c r="H1099" s="95" t="s">
        <v>2118</v>
      </c>
      <c r="I1099" s="96"/>
      <c r="J1099" s="97"/>
    </row>
    <row r="1100" customFormat="false" ht="15" hidden="false" customHeight="false" outlineLevel="0" collapsed="false">
      <c r="B1100" s="98" t="n">
        <v>745</v>
      </c>
      <c r="C1100" s="99" t="n">
        <v>2086620</v>
      </c>
      <c r="D1100" s="100" t="n">
        <f aca="false">IF($C1100="","",IFERROR(IF(INDEX('REGISTRE TUBES'!$C$7:$C$2506,MATCH($C1100,'REGISTRE TUBES'!$B$7:$B$2506,0))="","",INDEX('REGISTRE TUBES'!$C$7:$C$2506,MATCH($C1100,'REGISTRE TUBES'!$B$7:$B$2506,0))),"?"))</f>
        <v>15421107</v>
      </c>
      <c r="E1100" s="100" t="str">
        <f aca="false">IF($C1100="","",IFERROR(IF(INDEX('REGISTRE TUBES'!$D$7:$D$2506,MATCH($C1100,'REGISTRE TUBES'!$B$7:$B$2506,0))="","",INDEX('REGISTRE TUBES'!$D$7:$D$2506,MATCH($C1100,'REGISTRE TUBES'!$B$7:$B$2506,0))),"?"))</f>
        <v/>
      </c>
      <c r="F1100" s="101" t="n">
        <f aca="false">IF($C1100="","",IFERROR(IF(INDEX('REGISTRE TUBES'!$F$7:$F$2506,MATCH($C1100,'REGISTRE TUBES'!$B$7:$B$2506,0))="","",INDEX('REGISTRE TUBES'!$F$7:$F$2506,MATCH($C1100,'REGISTRE TUBES'!$B$7:$B$2506,0))),"?"))</f>
        <v>11.94</v>
      </c>
      <c r="G1100" s="102" t="n">
        <f aca="false">IF($C1100="","",N(G1099)+N(F1100))</f>
        <v>8834.77999999991</v>
      </c>
      <c r="H1100" s="103" t="s">
        <v>2121</v>
      </c>
      <c r="I1100" s="104"/>
      <c r="J1100" s="105"/>
    </row>
    <row r="1101" customFormat="false" ht="15" hidden="false" customHeight="false" outlineLevel="0" collapsed="false">
      <c r="B1101" s="90" t="n">
        <v>746</v>
      </c>
      <c r="C1101" s="91" t="n">
        <v>2091640</v>
      </c>
      <c r="D1101" s="92" t="n">
        <f aca="false">IF($C1101="","",IFERROR(IF(INDEX('REGISTRE TUBES'!$C$7:$C$2506,MATCH($C1101,'REGISTRE TUBES'!$B$7:$B$2506,0))="","",INDEX('REGISTRE TUBES'!$C$7:$C$2506,MATCH($C1101,'REGISTRE TUBES'!$B$7:$B$2506,0))),"?"))</f>
        <v>15421109</v>
      </c>
      <c r="E1101" s="92" t="str">
        <f aca="false">IF($C1101="","",IFERROR(IF(INDEX('REGISTRE TUBES'!$D$7:$D$2506,MATCH($C1101,'REGISTRE TUBES'!$B$7:$B$2506,0))="","",INDEX('REGISTRE TUBES'!$D$7:$D$2506,MATCH($C1101,'REGISTRE TUBES'!$B$7:$B$2506,0))),"?"))</f>
        <v/>
      </c>
      <c r="F1101" s="93" t="n">
        <f aca="false">IF($C1101="","",IFERROR(IF(INDEX('REGISTRE TUBES'!$F$7:$F$2506,MATCH($C1101,'REGISTRE TUBES'!$B$7:$B$2506,0))="","",INDEX('REGISTRE TUBES'!$F$7:$F$2506,MATCH($C1101,'REGISTRE TUBES'!$B$7:$B$2506,0))),"?"))</f>
        <v>11.94</v>
      </c>
      <c r="G1101" s="94" t="n">
        <f aca="false">IF($C1101="","",N(G1100)+N(F1101))</f>
        <v>8846.71999999991</v>
      </c>
      <c r="H1101" s="95" t="s">
        <v>2123</v>
      </c>
      <c r="I1101" s="96"/>
      <c r="J1101" s="97"/>
    </row>
    <row r="1102" customFormat="false" ht="15" hidden="false" customHeight="false" outlineLevel="0" collapsed="false">
      <c r="B1102" s="98" t="n">
        <v>747</v>
      </c>
      <c r="C1102" s="99" t="n">
        <v>2096270</v>
      </c>
      <c r="D1102" s="100" t="n">
        <f aca="false">IF($C1102="","",IFERROR(IF(INDEX('REGISTRE TUBES'!$C$7:$C$2506,MATCH($C1102,'REGISTRE TUBES'!$B$7:$B$2506,0))="","",INDEX('REGISTRE TUBES'!$C$7:$C$2506,MATCH($C1102,'REGISTRE TUBES'!$B$7:$B$2506,0))),"?"))</f>
        <v>15421111</v>
      </c>
      <c r="E1102" s="100" t="str">
        <f aca="false">IF($C1102="","",IFERROR(IF(INDEX('REGISTRE TUBES'!$D$7:$D$2506,MATCH($C1102,'REGISTRE TUBES'!$B$7:$B$2506,0))="","",INDEX('REGISTRE TUBES'!$D$7:$D$2506,MATCH($C1102,'REGISTRE TUBES'!$B$7:$B$2506,0))),"?"))</f>
        <v/>
      </c>
      <c r="F1102" s="101" t="n">
        <f aca="false">IF($C1102="","",IFERROR(IF(INDEX('REGISTRE TUBES'!$F$7:$F$2506,MATCH($C1102,'REGISTRE TUBES'!$B$7:$B$2506,0))="","",INDEX('REGISTRE TUBES'!$F$7:$F$2506,MATCH($C1102,'REGISTRE TUBES'!$B$7:$B$2506,0))),"?"))</f>
        <v>11.94</v>
      </c>
      <c r="G1102" s="102" t="n">
        <f aca="false">IF($C1102="","",N(G1101)+N(F1102))</f>
        <v>8858.65999999991</v>
      </c>
      <c r="H1102" s="103" t="s">
        <v>2125</v>
      </c>
      <c r="I1102" s="104"/>
      <c r="J1102" s="105"/>
    </row>
    <row r="1103" customFormat="false" ht="15" hidden="false" customHeight="false" outlineLevel="0" collapsed="false">
      <c r="B1103" s="90" t="n">
        <v>748</v>
      </c>
      <c r="C1103" s="91" t="n">
        <v>2082000</v>
      </c>
      <c r="D1103" s="92" t="n">
        <f aca="false">IF($C1103="","",IFERROR(IF(INDEX('REGISTRE TUBES'!$C$7:$C$2506,MATCH($C1103,'REGISTRE TUBES'!$B$7:$B$2506,0))="","",INDEX('REGISTRE TUBES'!$C$7:$C$2506,MATCH($C1103,'REGISTRE TUBES'!$B$7:$B$2506,0))),"?"))</f>
        <v>15421104</v>
      </c>
      <c r="E1103" s="92" t="str">
        <f aca="false">IF($C1103="","",IFERROR(IF(INDEX('REGISTRE TUBES'!$D$7:$D$2506,MATCH($C1103,'REGISTRE TUBES'!$B$7:$B$2506,0))="","",INDEX('REGISTRE TUBES'!$D$7:$D$2506,MATCH($C1103,'REGISTRE TUBES'!$B$7:$B$2506,0))),"?"))</f>
        <v/>
      </c>
      <c r="F1103" s="93" t="n">
        <f aca="false">IF($C1103="","",IFERROR(IF(INDEX('REGISTRE TUBES'!$F$7:$F$2506,MATCH($C1103,'REGISTRE TUBES'!$B$7:$B$2506,0))="","",INDEX('REGISTRE TUBES'!$F$7:$F$2506,MATCH($C1103,'REGISTRE TUBES'!$B$7:$B$2506,0))),"?"))</f>
        <v>11.94</v>
      </c>
      <c r="G1103" s="94" t="n">
        <f aca="false">IF($C1103="","",N(G1102)+N(F1103))</f>
        <v>8870.59999999991</v>
      </c>
      <c r="H1103" s="95" t="s">
        <v>2126</v>
      </c>
      <c r="I1103" s="96"/>
      <c r="J1103" s="97"/>
    </row>
    <row r="1104" customFormat="false" ht="15" hidden="false" customHeight="false" outlineLevel="0" collapsed="false">
      <c r="B1104" s="98" t="n">
        <v>749</v>
      </c>
      <c r="C1104" s="99" t="n">
        <v>2094500</v>
      </c>
      <c r="D1104" s="100" t="n">
        <f aca="false">IF($C1104="","",IFERROR(IF(INDEX('REGISTRE TUBES'!$C$7:$C$2506,MATCH($C1104,'REGISTRE TUBES'!$B$7:$B$2506,0))="","",INDEX('REGISTRE TUBES'!$C$7:$C$2506,MATCH($C1104,'REGISTRE TUBES'!$B$7:$B$2506,0))),"?"))</f>
        <v>15421111</v>
      </c>
      <c r="E1104" s="100" t="str">
        <f aca="false">IF($C1104="","",IFERROR(IF(INDEX('REGISTRE TUBES'!$D$7:$D$2506,MATCH($C1104,'REGISTRE TUBES'!$B$7:$B$2506,0))="","",INDEX('REGISTRE TUBES'!$D$7:$D$2506,MATCH($C1104,'REGISTRE TUBES'!$B$7:$B$2506,0))),"?"))</f>
        <v/>
      </c>
      <c r="F1104" s="101" t="n">
        <f aca="false">IF($C1104="","",IFERROR(IF(INDEX('REGISTRE TUBES'!$F$7:$F$2506,MATCH($C1104,'REGISTRE TUBES'!$B$7:$B$2506,0))="","",INDEX('REGISTRE TUBES'!$F$7:$F$2506,MATCH($C1104,'REGISTRE TUBES'!$B$7:$B$2506,0))),"?"))</f>
        <v>11.94</v>
      </c>
      <c r="G1104" s="102" t="n">
        <f aca="false">IF($C1104="","",N(G1103)+N(F1104))</f>
        <v>8882.53999999991</v>
      </c>
      <c r="H1104" s="103" t="s">
        <v>2127</v>
      </c>
      <c r="I1104" s="104"/>
      <c r="J1104" s="105"/>
    </row>
    <row r="1105" customFormat="false" ht="15" hidden="false" customHeight="false" outlineLevel="0" collapsed="false">
      <c r="B1105" s="90" t="n">
        <v>750</v>
      </c>
      <c r="C1105" s="91" t="n">
        <v>2082010</v>
      </c>
      <c r="D1105" s="92" t="n">
        <f aca="false">IF($C1105="","",IFERROR(IF(INDEX('REGISTRE TUBES'!$C$7:$C$2506,MATCH($C1105,'REGISTRE TUBES'!$B$7:$B$2506,0))="","",INDEX('REGISTRE TUBES'!$C$7:$C$2506,MATCH($C1105,'REGISTRE TUBES'!$B$7:$B$2506,0))),"?"))</f>
        <v>15421104</v>
      </c>
      <c r="E1105" s="92" t="str">
        <f aca="false">IF($C1105="","",IFERROR(IF(INDEX('REGISTRE TUBES'!$D$7:$D$2506,MATCH($C1105,'REGISTRE TUBES'!$B$7:$B$2506,0))="","",INDEX('REGISTRE TUBES'!$D$7:$D$2506,MATCH($C1105,'REGISTRE TUBES'!$B$7:$B$2506,0))),"?"))</f>
        <v/>
      </c>
      <c r="F1105" s="93" t="n">
        <f aca="false">IF($C1105="","",IFERROR(IF(INDEX('REGISTRE TUBES'!$F$7:$F$2506,MATCH($C1105,'REGISTRE TUBES'!$B$7:$B$2506,0))="","",INDEX('REGISTRE TUBES'!$F$7:$F$2506,MATCH($C1105,'REGISTRE TUBES'!$B$7:$B$2506,0))),"?"))</f>
        <v>11.94</v>
      </c>
      <c r="G1105" s="94" t="n">
        <f aca="false">IF($C1105="","",N(G1104)+N(F1105))</f>
        <v>8894.47999999991</v>
      </c>
      <c r="H1105" s="95" t="s">
        <v>2128</v>
      </c>
      <c r="I1105" s="96"/>
      <c r="J1105" s="97"/>
    </row>
    <row r="1106" customFormat="false" ht="15" hidden="false" customHeight="false" outlineLevel="0" collapsed="false">
      <c r="B1106" s="98" t="n">
        <v>751</v>
      </c>
      <c r="C1106" s="99" t="n">
        <v>2081490</v>
      </c>
      <c r="D1106" s="100" t="n">
        <f aca="false">IF($C1106="","",IFERROR(IF(INDEX('REGISTRE TUBES'!$C$7:$C$2506,MATCH($C1106,'REGISTRE TUBES'!$B$7:$B$2506,0))="","",INDEX('REGISTRE TUBES'!$C$7:$C$2506,MATCH($C1106,'REGISTRE TUBES'!$B$7:$B$2506,0))),"?"))</f>
        <v>15421103</v>
      </c>
      <c r="E1106" s="100" t="str">
        <f aca="false">IF($C1106="","",IFERROR(IF(INDEX('REGISTRE TUBES'!$D$7:$D$2506,MATCH($C1106,'REGISTRE TUBES'!$B$7:$B$2506,0))="","",INDEX('REGISTRE TUBES'!$D$7:$D$2506,MATCH($C1106,'REGISTRE TUBES'!$B$7:$B$2506,0))),"?"))</f>
        <v/>
      </c>
      <c r="F1106" s="101" t="n">
        <f aca="false">IF($C1106="","",IFERROR(IF(INDEX('REGISTRE TUBES'!$F$7:$F$2506,MATCH($C1106,'REGISTRE TUBES'!$B$7:$B$2506,0))="","",INDEX('REGISTRE TUBES'!$F$7:$F$2506,MATCH($C1106,'REGISTRE TUBES'!$B$7:$B$2506,0))),"?"))</f>
        <v>11.94</v>
      </c>
      <c r="G1106" s="102" t="n">
        <f aca="false">IF($C1106="","",N(G1105)+N(F1106))</f>
        <v>8906.41999999991</v>
      </c>
      <c r="H1106" s="103" t="s">
        <v>2129</v>
      </c>
      <c r="I1106" s="104"/>
      <c r="J1106" s="105"/>
    </row>
    <row r="1107" customFormat="false" ht="15" hidden="false" customHeight="false" outlineLevel="0" collapsed="false">
      <c r="B1107" s="90" t="n">
        <v>752</v>
      </c>
      <c r="C1107" s="91" t="n">
        <v>2093280</v>
      </c>
      <c r="D1107" s="92" t="n">
        <f aca="false">IF($C1107="","",IFERROR(IF(INDEX('REGISTRE TUBES'!$C$7:$C$2506,MATCH($C1107,'REGISTRE TUBES'!$B$7:$B$2506,0))="","",INDEX('REGISTRE TUBES'!$C$7:$C$2506,MATCH($C1107,'REGISTRE TUBES'!$B$7:$B$2506,0))),"?"))</f>
        <v>15421110</v>
      </c>
      <c r="E1107" s="92" t="str">
        <f aca="false">IF($C1107="","",IFERROR(IF(INDEX('REGISTRE TUBES'!$D$7:$D$2506,MATCH($C1107,'REGISTRE TUBES'!$B$7:$B$2506,0))="","",INDEX('REGISTRE TUBES'!$D$7:$D$2506,MATCH($C1107,'REGISTRE TUBES'!$B$7:$B$2506,0))),"?"))</f>
        <v/>
      </c>
      <c r="F1107" s="93" t="n">
        <f aca="false">IF($C1107="","",IFERROR(IF(INDEX('REGISTRE TUBES'!$F$7:$F$2506,MATCH($C1107,'REGISTRE TUBES'!$B$7:$B$2506,0))="","",INDEX('REGISTRE TUBES'!$F$7:$F$2506,MATCH($C1107,'REGISTRE TUBES'!$B$7:$B$2506,0))),"?"))</f>
        <v>11.94</v>
      </c>
      <c r="G1107" s="94" t="n">
        <f aca="false">IF($C1107="","",N(G1106)+N(F1107))</f>
        <v>8918.35999999991</v>
      </c>
      <c r="H1107" s="95" t="s">
        <v>2130</v>
      </c>
      <c r="I1107" s="96"/>
      <c r="J1107" s="97"/>
    </row>
    <row r="1108" customFormat="false" ht="15" hidden="false" customHeight="false" outlineLevel="0" collapsed="false">
      <c r="B1108" s="98" t="n">
        <v>753</v>
      </c>
      <c r="C1108" s="99" t="n">
        <v>2098430</v>
      </c>
      <c r="D1108" s="100" t="n">
        <f aca="false">IF($C1108="","",IFERROR(IF(INDEX('REGISTRE TUBES'!$C$7:$C$2506,MATCH($C1108,'REGISTRE TUBES'!$B$7:$B$2506,0))="","",INDEX('REGISTRE TUBES'!$C$7:$C$2506,MATCH($C1108,'REGISTRE TUBES'!$B$7:$B$2506,0))),"?"))</f>
        <v>15421102</v>
      </c>
      <c r="E1108" s="100" t="str">
        <f aca="false">IF($C1108="","",IFERROR(IF(INDEX('REGISTRE TUBES'!$D$7:$D$2506,MATCH($C1108,'REGISTRE TUBES'!$B$7:$B$2506,0))="","",INDEX('REGISTRE TUBES'!$D$7:$D$2506,MATCH($C1108,'REGISTRE TUBES'!$B$7:$B$2506,0))),"?"))</f>
        <v/>
      </c>
      <c r="F1108" s="101" t="n">
        <f aca="false">IF($C1108="","",IFERROR(IF(INDEX('REGISTRE TUBES'!$F$7:$F$2506,MATCH($C1108,'REGISTRE TUBES'!$B$7:$B$2506,0))="","",INDEX('REGISTRE TUBES'!$F$7:$F$2506,MATCH($C1108,'REGISTRE TUBES'!$B$7:$B$2506,0))),"?"))</f>
        <v>11.94</v>
      </c>
      <c r="G1108" s="102" t="n">
        <f aca="false">IF($C1108="","",N(G1107)+N(F1108))</f>
        <v>8930.29999999991</v>
      </c>
      <c r="H1108" s="103" t="s">
        <v>2131</v>
      </c>
      <c r="I1108" s="104"/>
      <c r="J1108" s="105"/>
    </row>
    <row r="1109" customFormat="false" ht="15" hidden="false" customHeight="false" outlineLevel="0" collapsed="false">
      <c r="B1109" s="90" t="n">
        <v>754</v>
      </c>
      <c r="C1109" s="91" t="n">
        <v>2095610</v>
      </c>
      <c r="D1109" s="92" t="n">
        <f aca="false">IF($C1109="","",IFERROR(IF(INDEX('REGISTRE TUBES'!$C$7:$C$2506,MATCH($C1109,'REGISTRE TUBES'!$B$7:$B$2506,0))="","",INDEX('REGISTRE TUBES'!$C$7:$C$2506,MATCH($C1109,'REGISTRE TUBES'!$B$7:$B$2506,0))),"?"))</f>
        <v>15421111</v>
      </c>
      <c r="E1109" s="92" t="str">
        <f aca="false">IF($C1109="","",IFERROR(IF(INDEX('REGISTRE TUBES'!$D$7:$D$2506,MATCH($C1109,'REGISTRE TUBES'!$B$7:$B$2506,0))="","",INDEX('REGISTRE TUBES'!$D$7:$D$2506,MATCH($C1109,'REGISTRE TUBES'!$B$7:$B$2506,0))),"?"))</f>
        <v/>
      </c>
      <c r="F1109" s="93" t="n">
        <f aca="false">IF($C1109="","",IFERROR(IF(INDEX('REGISTRE TUBES'!$F$7:$F$2506,MATCH($C1109,'REGISTRE TUBES'!$B$7:$B$2506,0))="","",INDEX('REGISTRE TUBES'!$F$7:$F$2506,MATCH($C1109,'REGISTRE TUBES'!$B$7:$B$2506,0))),"?"))</f>
        <v>11.94</v>
      </c>
      <c r="G1109" s="94" t="n">
        <f aca="false">IF($C1109="","",N(G1108)+N(F1109))</f>
        <v>8942.23999999991</v>
      </c>
      <c r="H1109" s="95" t="s">
        <v>2132</v>
      </c>
      <c r="I1109" s="96"/>
      <c r="J1109" s="97"/>
    </row>
    <row r="1110" customFormat="false" ht="15" hidden="false" customHeight="false" outlineLevel="0" collapsed="false">
      <c r="B1110" s="98" t="n">
        <v>755</v>
      </c>
      <c r="C1110" s="99" t="n">
        <v>2097670</v>
      </c>
      <c r="D1110" s="100" t="n">
        <f aca="false">IF($C1110="","",IFERROR(IF(INDEX('REGISTRE TUBES'!$C$7:$C$2506,MATCH($C1110,'REGISTRE TUBES'!$B$7:$B$2506,0))="","",INDEX('REGISTRE TUBES'!$C$7:$C$2506,MATCH($C1110,'REGISTRE TUBES'!$B$7:$B$2506,0))),"?"))</f>
        <v>15421112</v>
      </c>
      <c r="E1110" s="100" t="str">
        <f aca="false">IF($C1110="","",IFERROR(IF(INDEX('REGISTRE TUBES'!$D$7:$D$2506,MATCH($C1110,'REGISTRE TUBES'!$B$7:$B$2506,0))="","",INDEX('REGISTRE TUBES'!$D$7:$D$2506,MATCH($C1110,'REGISTRE TUBES'!$B$7:$B$2506,0))),"?"))</f>
        <v/>
      </c>
      <c r="F1110" s="101" t="n">
        <f aca="false">IF($C1110="","",IFERROR(IF(INDEX('REGISTRE TUBES'!$F$7:$F$2506,MATCH($C1110,'REGISTRE TUBES'!$B$7:$B$2506,0))="","",INDEX('REGISTRE TUBES'!$F$7:$F$2506,MATCH($C1110,'REGISTRE TUBES'!$B$7:$B$2506,0))),"?"))</f>
        <v>11.94</v>
      </c>
      <c r="G1110" s="102" t="n">
        <f aca="false">IF($C1110="","",N(G1109)+N(F1110))</f>
        <v>8954.17999999991</v>
      </c>
      <c r="H1110" s="103" t="s">
        <v>2133</v>
      </c>
      <c r="I1110" s="104"/>
      <c r="J1110" s="105"/>
    </row>
    <row r="1111" customFormat="false" ht="15" hidden="false" customHeight="false" outlineLevel="0" collapsed="false">
      <c r="B1111" s="90" t="n">
        <v>756</v>
      </c>
      <c r="C1111" s="91" t="n">
        <v>2090010</v>
      </c>
      <c r="D1111" s="92" t="n">
        <f aca="false">IF($C1111="","",IFERROR(IF(INDEX('REGISTRE TUBES'!$C$7:$C$2506,MATCH($C1111,'REGISTRE TUBES'!$B$7:$B$2506,0))="","",INDEX('REGISTRE TUBES'!$C$7:$C$2506,MATCH($C1111,'REGISTRE TUBES'!$B$7:$B$2506,0))),"?"))</f>
        <v>15421109</v>
      </c>
      <c r="E1111" s="92" t="str">
        <f aca="false">IF($C1111="","",IFERROR(IF(INDEX('REGISTRE TUBES'!$D$7:$D$2506,MATCH($C1111,'REGISTRE TUBES'!$B$7:$B$2506,0))="","",INDEX('REGISTRE TUBES'!$D$7:$D$2506,MATCH($C1111,'REGISTRE TUBES'!$B$7:$B$2506,0))),"?"))</f>
        <v/>
      </c>
      <c r="F1111" s="93" t="n">
        <f aca="false">IF($C1111="","",IFERROR(IF(INDEX('REGISTRE TUBES'!$F$7:$F$2506,MATCH($C1111,'REGISTRE TUBES'!$B$7:$B$2506,0))="","",INDEX('REGISTRE TUBES'!$F$7:$F$2506,MATCH($C1111,'REGISTRE TUBES'!$B$7:$B$2506,0))),"?"))</f>
        <v>11.94</v>
      </c>
      <c r="G1111" s="94" t="n">
        <f aca="false">IF($C1111="","",N(G1110)+N(F1111))</f>
        <v>8966.11999999991</v>
      </c>
      <c r="H1111" s="95" t="s">
        <v>2134</v>
      </c>
      <c r="I1111" s="96"/>
      <c r="J1111" s="97"/>
    </row>
    <row r="1112" customFormat="false" ht="15" hidden="false" customHeight="false" outlineLevel="0" collapsed="false">
      <c r="B1112" s="98" t="n">
        <v>757</v>
      </c>
      <c r="C1112" s="99" t="n">
        <v>2098470</v>
      </c>
      <c r="D1112" s="100" t="n">
        <f aca="false">IF($C1112="","",IFERROR(IF(INDEX('REGISTRE TUBES'!$C$7:$C$2506,MATCH($C1112,'REGISTRE TUBES'!$B$7:$B$2506,0))="","",INDEX('REGISTRE TUBES'!$C$7:$C$2506,MATCH($C1112,'REGISTRE TUBES'!$B$7:$B$2506,0))),"?"))</f>
        <v>15421112</v>
      </c>
      <c r="E1112" s="100" t="str">
        <f aca="false">IF($C1112="","",IFERROR(IF(INDEX('REGISTRE TUBES'!$D$7:$D$2506,MATCH($C1112,'REGISTRE TUBES'!$B$7:$B$2506,0))="","",INDEX('REGISTRE TUBES'!$D$7:$D$2506,MATCH($C1112,'REGISTRE TUBES'!$B$7:$B$2506,0))),"?"))</f>
        <v/>
      </c>
      <c r="F1112" s="101" t="n">
        <f aca="false">IF($C1112="","",IFERROR(IF(INDEX('REGISTRE TUBES'!$F$7:$F$2506,MATCH($C1112,'REGISTRE TUBES'!$B$7:$B$2506,0))="","",INDEX('REGISTRE TUBES'!$F$7:$F$2506,MATCH($C1112,'REGISTRE TUBES'!$B$7:$B$2506,0))),"?"))</f>
        <v>11.94</v>
      </c>
      <c r="G1112" s="102" t="n">
        <f aca="false">IF($C1112="","",N(G1111)+N(F1112))</f>
        <v>8978.05999999991</v>
      </c>
      <c r="H1112" s="103" t="s">
        <v>2135</v>
      </c>
      <c r="I1112" s="104"/>
      <c r="J1112" s="105"/>
    </row>
    <row r="1113" customFormat="false" ht="15" hidden="false" customHeight="false" outlineLevel="0" collapsed="false">
      <c r="B1113" s="90" t="n">
        <v>758</v>
      </c>
      <c r="C1113" s="91" t="n">
        <v>2097500</v>
      </c>
      <c r="D1113" s="92" t="n">
        <f aca="false">IF($C1113="","",IFERROR(IF(INDEX('REGISTRE TUBES'!$C$7:$C$2506,MATCH($C1113,'REGISTRE TUBES'!$B$7:$B$2506,0))="","",INDEX('REGISTRE TUBES'!$C$7:$C$2506,MATCH($C1113,'REGISTRE TUBES'!$B$7:$B$2506,0))),"?"))</f>
        <v>15421112</v>
      </c>
      <c r="E1113" s="92" t="str">
        <f aca="false">IF($C1113="","",IFERROR(IF(INDEX('REGISTRE TUBES'!$D$7:$D$2506,MATCH($C1113,'REGISTRE TUBES'!$B$7:$B$2506,0))="","",INDEX('REGISTRE TUBES'!$D$7:$D$2506,MATCH($C1113,'REGISTRE TUBES'!$B$7:$B$2506,0))),"?"))</f>
        <v/>
      </c>
      <c r="F1113" s="93" t="n">
        <f aca="false">IF($C1113="","",IFERROR(IF(INDEX('REGISTRE TUBES'!$F$7:$F$2506,MATCH($C1113,'REGISTRE TUBES'!$B$7:$B$2506,0))="","",INDEX('REGISTRE TUBES'!$F$7:$F$2506,MATCH($C1113,'REGISTRE TUBES'!$B$7:$B$2506,0))),"?"))</f>
        <v>11.94</v>
      </c>
      <c r="G1113" s="94" t="n">
        <f aca="false">IF($C1113="","",N(G1112)+N(F1113))</f>
        <v>8989.99999999991</v>
      </c>
      <c r="H1113" s="95" t="s">
        <v>2136</v>
      </c>
      <c r="I1113" s="96"/>
      <c r="J1113" s="97"/>
    </row>
    <row r="1114" customFormat="false" ht="15" hidden="false" customHeight="false" outlineLevel="0" collapsed="false">
      <c r="B1114" s="98" t="n">
        <v>759</v>
      </c>
      <c r="C1114" s="99" t="n">
        <v>2083710</v>
      </c>
      <c r="D1114" s="100" t="n">
        <f aca="false">IF($C1114="","",IFERROR(IF(INDEX('REGISTRE TUBES'!$C$7:$C$2506,MATCH($C1114,'REGISTRE TUBES'!$B$7:$B$2506,0))="","",INDEX('REGISTRE TUBES'!$C$7:$C$2506,MATCH($C1114,'REGISTRE TUBES'!$B$7:$B$2506,0))),"?"))</f>
        <v>15421112</v>
      </c>
      <c r="E1114" s="100" t="str">
        <f aca="false">IF($C1114="","",IFERROR(IF(INDEX('REGISTRE TUBES'!$D$7:$D$2506,MATCH($C1114,'REGISTRE TUBES'!$B$7:$B$2506,0))="","",INDEX('REGISTRE TUBES'!$D$7:$D$2506,MATCH($C1114,'REGISTRE TUBES'!$B$7:$B$2506,0))),"?"))</f>
        <v/>
      </c>
      <c r="F1114" s="101" t="n">
        <f aca="false">IF($C1114="","",IFERROR(IF(INDEX('REGISTRE TUBES'!$F$7:$F$2506,MATCH($C1114,'REGISTRE TUBES'!$B$7:$B$2506,0))="","",INDEX('REGISTRE TUBES'!$F$7:$F$2506,MATCH($C1114,'REGISTRE TUBES'!$B$7:$B$2506,0))),"?"))</f>
        <v>11.94</v>
      </c>
      <c r="G1114" s="102" t="n">
        <f aca="false">IF($C1114="","",N(G1113)+N(F1114))</f>
        <v>9001.93999999991</v>
      </c>
      <c r="H1114" s="103" t="s">
        <v>2138</v>
      </c>
      <c r="I1114" s="104"/>
      <c r="J1114" s="105"/>
    </row>
    <row r="1115" customFormat="false" ht="15" hidden="false" customHeight="false" outlineLevel="0" collapsed="false">
      <c r="B1115" s="90" t="n">
        <v>760</v>
      </c>
      <c r="C1115" s="91" t="n">
        <v>2088060</v>
      </c>
      <c r="D1115" s="92" t="n">
        <f aca="false">IF($C1115="","",IFERROR(IF(INDEX('REGISTRE TUBES'!$C$7:$C$2506,MATCH($C1115,'REGISTRE TUBES'!$B$7:$B$2506,0))="","",INDEX('REGISTRE TUBES'!$C$7:$C$2506,MATCH($C1115,'REGISTRE TUBES'!$B$7:$B$2506,0))),"?"))</f>
        <v>15421105</v>
      </c>
      <c r="E1115" s="92" t="str">
        <f aca="false">IF($C1115="","",IFERROR(IF(INDEX('REGISTRE TUBES'!$D$7:$D$2506,MATCH($C1115,'REGISTRE TUBES'!$B$7:$B$2506,0))="","",INDEX('REGISTRE TUBES'!$D$7:$D$2506,MATCH($C1115,'REGISTRE TUBES'!$B$7:$B$2506,0))),"?"))</f>
        <v/>
      </c>
      <c r="F1115" s="93" t="n">
        <f aca="false">IF($C1115="","",IFERROR(IF(INDEX('REGISTRE TUBES'!$F$7:$F$2506,MATCH($C1115,'REGISTRE TUBES'!$B$7:$B$2506,0))="","",INDEX('REGISTRE TUBES'!$F$7:$F$2506,MATCH($C1115,'REGISTRE TUBES'!$B$7:$B$2506,0))),"?"))</f>
        <v>11.94</v>
      </c>
      <c r="G1115" s="94" t="n">
        <f aca="false">IF($C1115="","",N(G1114)+N(F1115))</f>
        <v>9013.87999999991</v>
      </c>
      <c r="H1115" s="95" t="s">
        <v>2139</v>
      </c>
      <c r="I1115" s="96"/>
      <c r="J1115" s="97"/>
    </row>
    <row r="1116" customFormat="false" ht="15" hidden="false" customHeight="true" outlineLevel="0" collapsed="false">
      <c r="B1116" s="106" t="s">
        <v>3031</v>
      </c>
      <c r="C1116" s="106"/>
      <c r="D1116" s="106"/>
      <c r="E1116" s="106"/>
      <c r="F1116" s="107" t="n">
        <f aca="false">SUM(F1097:F1115)</f>
        <v>226.86</v>
      </c>
      <c r="G1116" s="108" t="n">
        <f aca="false">IF(COUNT(G1097:G1115)=0,"",MAX(G1097:G1115))</f>
        <v>9013.87999999991</v>
      </c>
      <c r="H1116" s="106" t="str">
        <f aca="false">COUNTA(C1097:C1115)&amp;" tube(s)"</f>
        <v>19 tube(s)</v>
      </c>
      <c r="I1116" s="106"/>
      <c r="J1116" s="106"/>
    </row>
    <row r="1118" customFormat="false" ht="15" hidden="false" customHeight="false" outlineLevel="0" collapsed="false">
      <c r="B1118" s="109" t="s">
        <v>3032</v>
      </c>
      <c r="F1118" s="109" t="s">
        <v>3033</v>
      </c>
      <c r="I1118" s="109" t="s">
        <v>3034</v>
      </c>
    </row>
    <row r="1121" customFormat="false" ht="25.5" hidden="false" customHeight="true" outlineLevel="0" collapsed="false">
      <c r="B1121" s="85" t="s">
        <v>3015</v>
      </c>
      <c r="C1121" s="85"/>
      <c r="D1121" s="85"/>
      <c r="E1121" s="85"/>
      <c r="F1121" s="85"/>
      <c r="G1121" s="85"/>
      <c r="H1121" s="85"/>
      <c r="I1121" s="85"/>
      <c r="J1121" s="85"/>
    </row>
    <row r="1122" customFormat="false" ht="15" hidden="false" customHeight="false" outlineLevel="0" collapsed="false">
      <c r="B1122" s="86" t="str">
        <f aca="false">PARAMÈTRES!$C$4&amp;"   •   Affaire N° "&amp;PARAMÈTRES!$C$5</f>
        <v>Développement des champs gaziers TFT II — réseau de collecte TFT Sud (LIGNE-16)   •   Affaire N° 8546</v>
      </c>
      <c r="C1122" s="86"/>
      <c r="D1122" s="86"/>
      <c r="E1122" s="86"/>
      <c r="F1122" s="86"/>
      <c r="G1122" s="86"/>
      <c r="H1122" s="86"/>
      <c r="I1122" s="86"/>
      <c r="J1122" s="86"/>
    </row>
    <row r="1123" customFormat="false" ht="19.5" hidden="false" customHeight="true" outlineLevel="0" collapsed="false">
      <c r="B1123" s="87" t="s">
        <v>3016</v>
      </c>
      <c r="C1123" s="88" t="s">
        <v>110</v>
      </c>
      <c r="D1123" s="88"/>
      <c r="E1123" s="87" t="s">
        <v>3017</v>
      </c>
      <c r="F1123" s="88" t="s">
        <v>3113</v>
      </c>
      <c r="G1123" s="87" t="s">
        <v>3019</v>
      </c>
      <c r="H1123" s="88" t="s">
        <v>3114</v>
      </c>
      <c r="I1123" s="87" t="s">
        <v>3021</v>
      </c>
      <c r="J1123" s="89"/>
    </row>
    <row r="1124" customFormat="false" ht="27.75" hidden="false" customHeight="true" outlineLevel="0" collapsed="false">
      <c r="B1124" s="71" t="s">
        <v>3022</v>
      </c>
      <c r="C1124" s="71" t="s">
        <v>3023</v>
      </c>
      <c r="D1124" s="71" t="s">
        <v>3024</v>
      </c>
      <c r="E1124" s="71" t="s">
        <v>3025</v>
      </c>
      <c r="F1124" s="71" t="s">
        <v>3026</v>
      </c>
      <c r="G1124" s="71" t="s">
        <v>3027</v>
      </c>
      <c r="H1124" s="71" t="s">
        <v>3028</v>
      </c>
      <c r="I1124" s="71" t="s">
        <v>3029</v>
      </c>
      <c r="J1124" s="71" t="s">
        <v>3030</v>
      </c>
    </row>
    <row r="1125" customFormat="false" ht="15" hidden="false" customHeight="false" outlineLevel="0" collapsed="false">
      <c r="B1125" s="90" t="n">
        <v>761</v>
      </c>
      <c r="C1125" s="91" t="n">
        <v>2086830</v>
      </c>
      <c r="D1125" s="92" t="n">
        <f aca="false">IF($C1125="","",IFERROR(IF(INDEX('REGISTRE TUBES'!$C$7:$C$2506,MATCH($C1125,'REGISTRE TUBES'!$B$7:$B$2506,0))="","",INDEX('REGISTRE TUBES'!$C$7:$C$2506,MATCH($C1125,'REGISTRE TUBES'!$B$7:$B$2506,0))),"?"))</f>
        <v>15421108</v>
      </c>
      <c r="E1125" s="92" t="str">
        <f aca="false">IF($C1125="","",IFERROR(IF(INDEX('REGISTRE TUBES'!$D$7:$D$2506,MATCH($C1125,'REGISTRE TUBES'!$B$7:$B$2506,0))="","",INDEX('REGISTRE TUBES'!$D$7:$D$2506,MATCH($C1125,'REGISTRE TUBES'!$B$7:$B$2506,0))),"?"))</f>
        <v/>
      </c>
      <c r="F1125" s="93" t="n">
        <f aca="false">IF($C1125="","",IFERROR(IF(INDEX('REGISTRE TUBES'!$F$7:$F$2506,MATCH($C1125,'REGISTRE TUBES'!$B$7:$B$2506,0))="","",INDEX('REGISTRE TUBES'!$F$7:$F$2506,MATCH($C1125,'REGISTRE TUBES'!$B$7:$B$2506,0))),"?"))</f>
        <v>11.94</v>
      </c>
      <c r="G1125" s="94" t="n">
        <f aca="false">IF($C1125="","",N(G1115)+N(F1125))</f>
        <v>9025.81999999991</v>
      </c>
      <c r="H1125" s="95" t="s">
        <v>2142</v>
      </c>
      <c r="I1125" s="96"/>
      <c r="J1125" s="97"/>
    </row>
    <row r="1126" customFormat="false" ht="15" hidden="false" customHeight="false" outlineLevel="0" collapsed="false">
      <c r="B1126" s="98" t="n">
        <v>762</v>
      </c>
      <c r="C1126" s="99" t="n">
        <v>2090430</v>
      </c>
      <c r="D1126" s="100" t="n">
        <f aca="false">IF($C1126="","",IFERROR(IF(INDEX('REGISTRE TUBES'!$C$7:$C$2506,MATCH($C1126,'REGISTRE TUBES'!$B$7:$B$2506,0))="","",INDEX('REGISTRE TUBES'!$C$7:$C$2506,MATCH($C1126,'REGISTRE TUBES'!$B$7:$B$2506,0))),"?"))</f>
        <v>15421107</v>
      </c>
      <c r="E1126" s="100" t="str">
        <f aca="false">IF($C1126="","",IFERROR(IF(INDEX('REGISTRE TUBES'!$D$7:$D$2506,MATCH($C1126,'REGISTRE TUBES'!$B$7:$B$2506,0))="","",INDEX('REGISTRE TUBES'!$D$7:$D$2506,MATCH($C1126,'REGISTRE TUBES'!$B$7:$B$2506,0))),"?"))</f>
        <v/>
      </c>
      <c r="F1126" s="101" t="n">
        <f aca="false">IF($C1126="","",IFERROR(IF(INDEX('REGISTRE TUBES'!$F$7:$F$2506,MATCH($C1126,'REGISTRE TUBES'!$B$7:$B$2506,0))="","",INDEX('REGISTRE TUBES'!$F$7:$F$2506,MATCH($C1126,'REGISTRE TUBES'!$B$7:$B$2506,0))),"?"))</f>
        <v>11.94</v>
      </c>
      <c r="G1126" s="102" t="n">
        <f aca="false">IF($C1126="","",N(G1125)+N(F1126))</f>
        <v>9037.75999999992</v>
      </c>
      <c r="H1126" s="103" t="s">
        <v>2144</v>
      </c>
      <c r="I1126" s="104"/>
      <c r="J1126" s="105"/>
    </row>
    <row r="1127" customFormat="false" ht="15" hidden="false" customHeight="false" outlineLevel="0" collapsed="false">
      <c r="B1127" s="90" t="n">
        <v>763</v>
      </c>
      <c r="C1127" s="91" t="n">
        <v>2094440</v>
      </c>
      <c r="D1127" s="92" t="n">
        <f aca="false">IF($C1127="","",IFERROR(IF(INDEX('REGISTRE TUBES'!$C$7:$C$2506,MATCH($C1127,'REGISTRE TUBES'!$B$7:$B$2506,0))="","",INDEX('REGISTRE TUBES'!$C$7:$C$2506,MATCH($C1127,'REGISTRE TUBES'!$B$7:$B$2506,0))),"?"))</f>
        <v>15421109</v>
      </c>
      <c r="E1127" s="92" t="str">
        <f aca="false">IF($C1127="","",IFERROR(IF(INDEX('REGISTRE TUBES'!$D$7:$D$2506,MATCH($C1127,'REGISTRE TUBES'!$B$7:$B$2506,0))="","",INDEX('REGISTRE TUBES'!$D$7:$D$2506,MATCH($C1127,'REGISTRE TUBES'!$B$7:$B$2506,0))),"?"))</f>
        <v/>
      </c>
      <c r="F1127" s="93" t="n">
        <f aca="false">IF($C1127="","",IFERROR(IF(INDEX('REGISTRE TUBES'!$F$7:$F$2506,MATCH($C1127,'REGISTRE TUBES'!$B$7:$B$2506,0))="","",INDEX('REGISTRE TUBES'!$F$7:$F$2506,MATCH($C1127,'REGISTRE TUBES'!$B$7:$B$2506,0))),"?"))</f>
        <v>11.94</v>
      </c>
      <c r="G1127" s="94" t="n">
        <f aca="false">IF($C1127="","",N(G1126)+N(F1127))</f>
        <v>9049.69999999992</v>
      </c>
      <c r="H1127" s="95" t="s">
        <v>2145</v>
      </c>
      <c r="I1127" s="96"/>
      <c r="J1127" s="97"/>
    </row>
    <row r="1128" customFormat="false" ht="15" hidden="false" customHeight="false" outlineLevel="0" collapsed="false">
      <c r="B1128" s="98" t="n">
        <v>764</v>
      </c>
      <c r="C1128" s="99" t="n">
        <v>2091780</v>
      </c>
      <c r="D1128" s="100" t="n">
        <f aca="false">IF($C1128="","",IFERROR(IF(INDEX('REGISTRE TUBES'!$C$7:$C$2506,MATCH($C1128,'REGISTRE TUBES'!$B$7:$B$2506,0))="","",INDEX('REGISTRE TUBES'!$C$7:$C$2506,MATCH($C1128,'REGISTRE TUBES'!$B$7:$B$2506,0))),"?"))</f>
        <v>15421111</v>
      </c>
      <c r="E1128" s="100" t="str">
        <f aca="false">IF($C1128="","",IFERROR(IF(INDEX('REGISTRE TUBES'!$D$7:$D$2506,MATCH($C1128,'REGISTRE TUBES'!$B$7:$B$2506,0))="","",INDEX('REGISTRE TUBES'!$D$7:$D$2506,MATCH($C1128,'REGISTRE TUBES'!$B$7:$B$2506,0))),"?"))</f>
        <v/>
      </c>
      <c r="F1128" s="101" t="n">
        <f aca="false">IF($C1128="","",IFERROR(IF(INDEX('REGISTRE TUBES'!$F$7:$F$2506,MATCH($C1128,'REGISTRE TUBES'!$B$7:$B$2506,0))="","",INDEX('REGISTRE TUBES'!$F$7:$F$2506,MATCH($C1128,'REGISTRE TUBES'!$B$7:$B$2506,0))),"?"))</f>
        <v>11.94</v>
      </c>
      <c r="G1128" s="102" t="n">
        <f aca="false">IF($C1128="","",N(G1127)+N(F1128))</f>
        <v>9061.63999999992</v>
      </c>
      <c r="H1128" s="103" t="s">
        <v>2146</v>
      </c>
      <c r="I1128" s="104"/>
      <c r="J1128" s="105"/>
    </row>
    <row r="1129" customFormat="false" ht="15" hidden="false" customHeight="false" outlineLevel="0" collapsed="false">
      <c r="B1129" s="90" t="n">
        <v>765</v>
      </c>
      <c r="C1129" s="91" t="n">
        <v>2083900</v>
      </c>
      <c r="D1129" s="92" t="n">
        <f aca="false">IF($C1129="","",IFERROR(IF(INDEX('REGISTRE TUBES'!$C$7:$C$2506,MATCH($C1129,'REGISTRE TUBES'!$B$7:$B$2506,0))="","",INDEX('REGISTRE TUBES'!$C$7:$C$2506,MATCH($C1129,'REGISTRE TUBES'!$B$7:$B$2506,0))),"?"))</f>
        <v>15421106</v>
      </c>
      <c r="E1129" s="92" t="str">
        <f aca="false">IF($C1129="","",IFERROR(IF(INDEX('REGISTRE TUBES'!$D$7:$D$2506,MATCH($C1129,'REGISTRE TUBES'!$B$7:$B$2506,0))="","",INDEX('REGISTRE TUBES'!$D$7:$D$2506,MATCH($C1129,'REGISTRE TUBES'!$B$7:$B$2506,0))),"?"))</f>
        <v/>
      </c>
      <c r="F1129" s="93" t="n">
        <f aca="false">IF($C1129="","",IFERROR(IF(INDEX('REGISTRE TUBES'!$F$7:$F$2506,MATCH($C1129,'REGISTRE TUBES'!$B$7:$B$2506,0))="","",INDEX('REGISTRE TUBES'!$F$7:$F$2506,MATCH($C1129,'REGISTRE TUBES'!$B$7:$B$2506,0))),"?"))</f>
        <v>11.94</v>
      </c>
      <c r="G1129" s="94" t="n">
        <f aca="false">IF($C1129="","",N(G1128)+N(F1129))</f>
        <v>9073.57999999992</v>
      </c>
      <c r="H1129" s="95" t="s">
        <v>2147</v>
      </c>
      <c r="I1129" s="96"/>
      <c r="J1129" s="97"/>
    </row>
    <row r="1130" customFormat="false" ht="15" hidden="false" customHeight="false" outlineLevel="0" collapsed="false">
      <c r="B1130" s="98" t="n">
        <v>766</v>
      </c>
      <c r="C1130" s="99" t="n">
        <v>2089500</v>
      </c>
      <c r="D1130" s="100" t="n">
        <f aca="false">IF($C1130="","",IFERROR(IF(INDEX('REGISTRE TUBES'!$C$7:$C$2506,MATCH($C1130,'REGISTRE TUBES'!$B$7:$B$2506,0))="","",INDEX('REGISTRE TUBES'!$C$7:$C$2506,MATCH($C1130,'REGISTRE TUBES'!$B$7:$B$2506,0))),"?"))</f>
        <v>15421109</v>
      </c>
      <c r="E1130" s="100" t="str">
        <f aca="false">IF($C1130="","",IFERROR(IF(INDEX('REGISTRE TUBES'!$D$7:$D$2506,MATCH($C1130,'REGISTRE TUBES'!$B$7:$B$2506,0))="","",INDEX('REGISTRE TUBES'!$D$7:$D$2506,MATCH($C1130,'REGISTRE TUBES'!$B$7:$B$2506,0))),"?"))</f>
        <v/>
      </c>
      <c r="F1130" s="101" t="n">
        <f aca="false">IF($C1130="","",IFERROR(IF(INDEX('REGISTRE TUBES'!$F$7:$F$2506,MATCH($C1130,'REGISTRE TUBES'!$B$7:$B$2506,0))="","",INDEX('REGISTRE TUBES'!$F$7:$F$2506,MATCH($C1130,'REGISTRE TUBES'!$B$7:$B$2506,0))),"?"))</f>
        <v>11.94</v>
      </c>
      <c r="G1130" s="102" t="n">
        <f aca="false">IF($C1130="","",N(G1129)+N(F1130))</f>
        <v>9085.51999999992</v>
      </c>
      <c r="H1130" s="103" t="s">
        <v>2148</v>
      </c>
      <c r="I1130" s="104"/>
      <c r="J1130" s="105"/>
    </row>
    <row r="1131" customFormat="false" ht="15" hidden="false" customHeight="false" outlineLevel="0" collapsed="false">
      <c r="B1131" s="90" t="n">
        <v>767</v>
      </c>
      <c r="C1131" s="91" t="n">
        <v>2090520</v>
      </c>
      <c r="D1131" s="92" t="n">
        <f aca="false">IF($C1131="","",IFERROR(IF(INDEX('REGISTRE TUBES'!$C$7:$C$2506,MATCH($C1131,'REGISTRE TUBES'!$B$7:$B$2506,0))="","",INDEX('REGISTRE TUBES'!$C$7:$C$2506,MATCH($C1131,'REGISTRE TUBES'!$B$7:$B$2506,0))),"?"))</f>
        <v>15421109</v>
      </c>
      <c r="E1131" s="92" t="str">
        <f aca="false">IF($C1131="","",IFERROR(IF(INDEX('REGISTRE TUBES'!$D$7:$D$2506,MATCH($C1131,'REGISTRE TUBES'!$B$7:$B$2506,0))="","",INDEX('REGISTRE TUBES'!$D$7:$D$2506,MATCH($C1131,'REGISTRE TUBES'!$B$7:$B$2506,0))),"?"))</f>
        <v/>
      </c>
      <c r="F1131" s="93" t="n">
        <f aca="false">IF($C1131="","",IFERROR(IF(INDEX('REGISTRE TUBES'!$F$7:$F$2506,MATCH($C1131,'REGISTRE TUBES'!$B$7:$B$2506,0))="","",INDEX('REGISTRE TUBES'!$F$7:$F$2506,MATCH($C1131,'REGISTRE TUBES'!$B$7:$B$2506,0))),"?"))</f>
        <v>11.94</v>
      </c>
      <c r="G1131" s="94" t="n">
        <f aca="false">IF($C1131="","",N(G1130)+N(F1131))</f>
        <v>9097.45999999992</v>
      </c>
      <c r="H1131" s="95" t="s">
        <v>2149</v>
      </c>
      <c r="I1131" s="96"/>
      <c r="J1131" s="97"/>
    </row>
    <row r="1132" customFormat="false" ht="15" hidden="false" customHeight="false" outlineLevel="0" collapsed="false">
      <c r="B1132" s="98" t="n">
        <v>768</v>
      </c>
      <c r="C1132" s="99" t="n">
        <v>2083590</v>
      </c>
      <c r="D1132" s="100" t="n">
        <f aca="false">IF($C1132="","",IFERROR(IF(INDEX('REGISTRE TUBES'!$C$7:$C$2506,MATCH($C1132,'REGISTRE TUBES'!$B$7:$B$2506,0))="","",INDEX('REGISTRE TUBES'!$C$7:$C$2506,MATCH($C1132,'REGISTRE TUBES'!$B$7:$B$2506,0))),"?"))</f>
        <v>15421105</v>
      </c>
      <c r="E1132" s="100" t="str">
        <f aca="false">IF($C1132="","",IFERROR(IF(INDEX('REGISTRE TUBES'!$D$7:$D$2506,MATCH($C1132,'REGISTRE TUBES'!$B$7:$B$2506,0))="","",INDEX('REGISTRE TUBES'!$D$7:$D$2506,MATCH($C1132,'REGISTRE TUBES'!$B$7:$B$2506,0))),"?"))</f>
        <v/>
      </c>
      <c r="F1132" s="101" t="n">
        <f aca="false">IF($C1132="","",IFERROR(IF(INDEX('REGISTRE TUBES'!$F$7:$F$2506,MATCH($C1132,'REGISTRE TUBES'!$B$7:$B$2506,0))="","",INDEX('REGISTRE TUBES'!$F$7:$F$2506,MATCH($C1132,'REGISTRE TUBES'!$B$7:$B$2506,0))),"?"))</f>
        <v>11.94</v>
      </c>
      <c r="G1132" s="102" t="n">
        <f aca="false">IF($C1132="","",N(G1131)+N(F1132))</f>
        <v>9109.39999999992</v>
      </c>
      <c r="H1132" s="103" t="s">
        <v>2151</v>
      </c>
      <c r="I1132" s="104"/>
      <c r="J1132" s="105"/>
    </row>
    <row r="1133" customFormat="false" ht="15" hidden="false" customHeight="false" outlineLevel="0" collapsed="false">
      <c r="B1133" s="90" t="n">
        <v>769</v>
      </c>
      <c r="C1133" s="91" t="n">
        <v>2094640</v>
      </c>
      <c r="D1133" s="92" t="n">
        <f aca="false">IF($C1133="","",IFERROR(IF(INDEX('REGISTRE TUBES'!$C$7:$C$2506,MATCH($C1133,'REGISTRE TUBES'!$B$7:$B$2506,0))="","",INDEX('REGISTRE TUBES'!$C$7:$C$2506,MATCH($C1133,'REGISTRE TUBES'!$B$7:$B$2506,0))),"?"))</f>
        <v>15421111</v>
      </c>
      <c r="E1133" s="92" t="str">
        <f aca="false">IF($C1133="","",IFERROR(IF(INDEX('REGISTRE TUBES'!$D$7:$D$2506,MATCH($C1133,'REGISTRE TUBES'!$B$7:$B$2506,0))="","",INDEX('REGISTRE TUBES'!$D$7:$D$2506,MATCH($C1133,'REGISTRE TUBES'!$B$7:$B$2506,0))),"?"))</f>
        <v/>
      </c>
      <c r="F1133" s="93" t="n">
        <f aca="false">IF($C1133="","",IFERROR(IF(INDEX('REGISTRE TUBES'!$F$7:$F$2506,MATCH($C1133,'REGISTRE TUBES'!$B$7:$B$2506,0))="","",INDEX('REGISTRE TUBES'!$F$7:$F$2506,MATCH($C1133,'REGISTRE TUBES'!$B$7:$B$2506,0))),"?"))</f>
        <v>11.94</v>
      </c>
      <c r="G1133" s="94" t="n">
        <f aca="false">IF($C1133="","",N(G1132)+N(F1133))</f>
        <v>9121.33999999992</v>
      </c>
      <c r="H1133" s="95" t="s">
        <v>2152</v>
      </c>
      <c r="I1133" s="96"/>
      <c r="J1133" s="97"/>
    </row>
    <row r="1134" customFormat="false" ht="15" hidden="false" customHeight="false" outlineLevel="0" collapsed="false">
      <c r="B1134" s="98" t="n">
        <v>770</v>
      </c>
      <c r="C1134" s="99" t="n">
        <v>2084790</v>
      </c>
      <c r="D1134" s="100" t="n">
        <f aca="false">IF($C1134="","",IFERROR(IF(INDEX('REGISTRE TUBES'!$C$7:$C$2506,MATCH($C1134,'REGISTRE TUBES'!$B$7:$B$2506,0))="","",INDEX('REGISTRE TUBES'!$C$7:$C$2506,MATCH($C1134,'REGISTRE TUBES'!$B$7:$B$2506,0))),"?"))</f>
        <v>15421106</v>
      </c>
      <c r="E1134" s="100" t="str">
        <f aca="false">IF($C1134="","",IFERROR(IF(INDEX('REGISTRE TUBES'!$D$7:$D$2506,MATCH($C1134,'REGISTRE TUBES'!$B$7:$B$2506,0))="","",INDEX('REGISTRE TUBES'!$D$7:$D$2506,MATCH($C1134,'REGISTRE TUBES'!$B$7:$B$2506,0))),"?"))</f>
        <v/>
      </c>
      <c r="F1134" s="101" t="n">
        <f aca="false">IF($C1134="","",IFERROR(IF(INDEX('REGISTRE TUBES'!$F$7:$F$2506,MATCH($C1134,'REGISTRE TUBES'!$B$7:$B$2506,0))="","",INDEX('REGISTRE TUBES'!$F$7:$F$2506,MATCH($C1134,'REGISTRE TUBES'!$B$7:$B$2506,0))),"?"))</f>
        <v>11.94</v>
      </c>
      <c r="G1134" s="102" t="n">
        <f aca="false">IF($C1134="","",N(G1133)+N(F1134))</f>
        <v>9133.27999999992</v>
      </c>
      <c r="H1134" s="103" t="s">
        <v>2153</v>
      </c>
      <c r="I1134" s="104"/>
      <c r="J1134" s="105"/>
    </row>
    <row r="1135" customFormat="false" ht="15" hidden="false" customHeight="false" outlineLevel="0" collapsed="false">
      <c r="B1135" s="90" t="n">
        <v>771</v>
      </c>
      <c r="C1135" s="91" t="n">
        <v>2090820</v>
      </c>
      <c r="D1135" s="92" t="n">
        <f aca="false">IF($C1135="","",IFERROR(IF(INDEX('REGISTRE TUBES'!$C$7:$C$2506,MATCH($C1135,'REGISTRE TUBES'!$B$7:$B$2506,0))="","",INDEX('REGISTRE TUBES'!$C$7:$C$2506,MATCH($C1135,'REGISTRE TUBES'!$B$7:$B$2506,0))),"?"))</f>
        <v>15421109</v>
      </c>
      <c r="E1135" s="92" t="str">
        <f aca="false">IF($C1135="","",IFERROR(IF(INDEX('REGISTRE TUBES'!$D$7:$D$2506,MATCH($C1135,'REGISTRE TUBES'!$B$7:$B$2506,0))="","",INDEX('REGISTRE TUBES'!$D$7:$D$2506,MATCH($C1135,'REGISTRE TUBES'!$B$7:$B$2506,0))),"?"))</f>
        <v/>
      </c>
      <c r="F1135" s="93" t="n">
        <f aca="false">IF($C1135="","",IFERROR(IF(INDEX('REGISTRE TUBES'!$F$7:$F$2506,MATCH($C1135,'REGISTRE TUBES'!$B$7:$B$2506,0))="","",INDEX('REGISTRE TUBES'!$F$7:$F$2506,MATCH($C1135,'REGISTRE TUBES'!$B$7:$B$2506,0))),"?"))</f>
        <v>11.94</v>
      </c>
      <c r="G1135" s="94" t="n">
        <f aca="false">IF($C1135="","",N(G1134)+N(F1135))</f>
        <v>9145.21999999992</v>
      </c>
      <c r="H1135" s="95" t="s">
        <v>2154</v>
      </c>
      <c r="I1135" s="96"/>
      <c r="J1135" s="97"/>
    </row>
    <row r="1136" customFormat="false" ht="15" hidden="false" customHeight="false" outlineLevel="0" collapsed="false">
      <c r="B1136" s="98" t="n">
        <v>772</v>
      </c>
      <c r="C1136" s="99" t="n">
        <v>2080030</v>
      </c>
      <c r="D1136" s="100" t="n">
        <f aca="false">IF($C1136="","",IFERROR(IF(INDEX('REGISTRE TUBES'!$C$7:$C$2506,MATCH($C1136,'REGISTRE TUBES'!$B$7:$B$2506,0))="","",INDEX('REGISTRE TUBES'!$C$7:$C$2506,MATCH($C1136,'REGISTRE TUBES'!$B$7:$B$2506,0))),"?"))</f>
        <v>15421102</v>
      </c>
      <c r="E1136" s="100" t="str">
        <f aca="false">IF($C1136="","",IFERROR(IF(INDEX('REGISTRE TUBES'!$D$7:$D$2506,MATCH($C1136,'REGISTRE TUBES'!$B$7:$B$2506,0))="","",INDEX('REGISTRE TUBES'!$D$7:$D$2506,MATCH($C1136,'REGISTRE TUBES'!$B$7:$B$2506,0))),"?"))</f>
        <v/>
      </c>
      <c r="F1136" s="101" t="n">
        <f aca="false">IF($C1136="","",IFERROR(IF(INDEX('REGISTRE TUBES'!$F$7:$F$2506,MATCH($C1136,'REGISTRE TUBES'!$B$7:$B$2506,0))="","",INDEX('REGISTRE TUBES'!$F$7:$F$2506,MATCH($C1136,'REGISTRE TUBES'!$B$7:$B$2506,0))),"?"))</f>
        <v>11.94</v>
      </c>
      <c r="G1136" s="102" t="n">
        <f aca="false">IF($C1136="","",N(G1135)+N(F1136))</f>
        <v>9157.15999999992</v>
      </c>
      <c r="H1136" s="103" t="s">
        <v>2155</v>
      </c>
      <c r="I1136" s="104"/>
      <c r="J1136" s="105"/>
    </row>
    <row r="1137" customFormat="false" ht="15" hidden="false" customHeight="false" outlineLevel="0" collapsed="false">
      <c r="B1137" s="90" t="n">
        <v>773</v>
      </c>
      <c r="C1137" s="91" t="n">
        <v>2089050</v>
      </c>
      <c r="D1137" s="92" t="n">
        <f aca="false">IF($C1137="","",IFERROR(IF(INDEX('REGISTRE TUBES'!$C$7:$C$2506,MATCH($C1137,'REGISTRE TUBES'!$B$7:$B$2506,0))="","",INDEX('REGISTRE TUBES'!$C$7:$C$2506,MATCH($C1137,'REGISTRE TUBES'!$B$7:$B$2506,0))),"?"))</f>
        <v>15421108</v>
      </c>
      <c r="E1137" s="92" t="str">
        <f aca="false">IF($C1137="","",IFERROR(IF(INDEX('REGISTRE TUBES'!$D$7:$D$2506,MATCH($C1137,'REGISTRE TUBES'!$B$7:$B$2506,0))="","",INDEX('REGISTRE TUBES'!$D$7:$D$2506,MATCH($C1137,'REGISTRE TUBES'!$B$7:$B$2506,0))),"?"))</f>
        <v/>
      </c>
      <c r="F1137" s="93" t="n">
        <f aca="false">IF($C1137="","",IFERROR(IF(INDEX('REGISTRE TUBES'!$F$7:$F$2506,MATCH($C1137,'REGISTRE TUBES'!$B$7:$B$2506,0))="","",INDEX('REGISTRE TUBES'!$F$7:$F$2506,MATCH($C1137,'REGISTRE TUBES'!$B$7:$B$2506,0))),"?"))</f>
        <v>11.94</v>
      </c>
      <c r="G1137" s="94" t="n">
        <f aca="false">IF($C1137="","",N(G1136)+N(F1137))</f>
        <v>9169.09999999992</v>
      </c>
      <c r="H1137" s="95" t="s">
        <v>2156</v>
      </c>
      <c r="I1137" s="96"/>
      <c r="J1137" s="97"/>
    </row>
    <row r="1138" customFormat="false" ht="15" hidden="false" customHeight="false" outlineLevel="0" collapsed="false">
      <c r="B1138" s="98" t="n">
        <v>774</v>
      </c>
      <c r="C1138" s="99" t="n">
        <v>2097150</v>
      </c>
      <c r="D1138" s="100" t="n">
        <f aca="false">IF($C1138="","",IFERROR(IF(INDEX('REGISTRE TUBES'!$C$7:$C$2506,MATCH($C1138,'REGISTRE TUBES'!$B$7:$B$2506,0))="","",INDEX('REGISTRE TUBES'!$C$7:$C$2506,MATCH($C1138,'REGISTRE TUBES'!$B$7:$B$2506,0))),"?"))</f>
        <v>15421102</v>
      </c>
      <c r="E1138" s="100" t="str">
        <f aca="false">IF($C1138="","",IFERROR(IF(INDEX('REGISTRE TUBES'!$D$7:$D$2506,MATCH($C1138,'REGISTRE TUBES'!$B$7:$B$2506,0))="","",INDEX('REGISTRE TUBES'!$D$7:$D$2506,MATCH($C1138,'REGISTRE TUBES'!$B$7:$B$2506,0))),"?"))</f>
        <v/>
      </c>
      <c r="F1138" s="101" t="n">
        <f aca="false">IF($C1138="","",IFERROR(IF(INDEX('REGISTRE TUBES'!$F$7:$F$2506,MATCH($C1138,'REGISTRE TUBES'!$B$7:$B$2506,0))="","",INDEX('REGISTRE TUBES'!$F$7:$F$2506,MATCH($C1138,'REGISTRE TUBES'!$B$7:$B$2506,0))),"?"))</f>
        <v>11.94</v>
      </c>
      <c r="G1138" s="102" t="n">
        <f aca="false">IF($C1138="","",N(G1137)+N(F1138))</f>
        <v>9181.03999999992</v>
      </c>
      <c r="H1138" s="103" t="s">
        <v>2157</v>
      </c>
      <c r="I1138" s="104"/>
      <c r="J1138" s="105"/>
    </row>
    <row r="1139" customFormat="false" ht="15" hidden="false" customHeight="false" outlineLevel="0" collapsed="false">
      <c r="B1139" s="90" t="n">
        <v>775</v>
      </c>
      <c r="C1139" s="91" t="n">
        <v>2088880</v>
      </c>
      <c r="D1139" s="92" t="n">
        <f aca="false">IF($C1139="","",IFERROR(IF(INDEX('REGISTRE TUBES'!$C$7:$C$2506,MATCH($C1139,'REGISTRE TUBES'!$B$7:$B$2506,0))="","",INDEX('REGISTRE TUBES'!$C$7:$C$2506,MATCH($C1139,'REGISTRE TUBES'!$B$7:$B$2506,0))),"?"))</f>
        <v>15421102</v>
      </c>
      <c r="E1139" s="92" t="str">
        <f aca="false">IF($C1139="","",IFERROR(IF(INDEX('REGISTRE TUBES'!$D$7:$D$2506,MATCH($C1139,'REGISTRE TUBES'!$B$7:$B$2506,0))="","",INDEX('REGISTRE TUBES'!$D$7:$D$2506,MATCH($C1139,'REGISTRE TUBES'!$B$7:$B$2506,0))),"?"))</f>
        <v/>
      </c>
      <c r="F1139" s="93" t="n">
        <f aca="false">IF($C1139="","",IFERROR(IF(INDEX('REGISTRE TUBES'!$F$7:$F$2506,MATCH($C1139,'REGISTRE TUBES'!$B$7:$B$2506,0))="","",INDEX('REGISTRE TUBES'!$F$7:$F$2506,MATCH($C1139,'REGISTRE TUBES'!$B$7:$B$2506,0))),"?"))</f>
        <v>11.94</v>
      </c>
      <c r="G1139" s="94" t="n">
        <f aca="false">IF($C1139="","",N(G1138)+N(F1139))</f>
        <v>9192.97999999992</v>
      </c>
      <c r="H1139" s="95" t="s">
        <v>2158</v>
      </c>
      <c r="I1139" s="96"/>
      <c r="J1139" s="97"/>
    </row>
    <row r="1140" customFormat="false" ht="15" hidden="false" customHeight="false" outlineLevel="0" collapsed="false">
      <c r="B1140" s="98" t="n">
        <v>776</v>
      </c>
      <c r="C1140" s="99" t="n">
        <v>2081350</v>
      </c>
      <c r="D1140" s="100" t="n">
        <f aca="false">IF($C1140="","",IFERROR(IF(INDEX('REGISTRE TUBES'!$C$7:$C$2506,MATCH($C1140,'REGISTRE TUBES'!$B$7:$B$2506,0))="","",INDEX('REGISTRE TUBES'!$C$7:$C$2506,MATCH($C1140,'REGISTRE TUBES'!$B$7:$B$2506,0))),"?"))</f>
        <v>15421109</v>
      </c>
      <c r="E1140" s="100" t="str">
        <f aca="false">IF($C1140="","",IFERROR(IF(INDEX('REGISTRE TUBES'!$D$7:$D$2506,MATCH($C1140,'REGISTRE TUBES'!$B$7:$B$2506,0))="","",INDEX('REGISTRE TUBES'!$D$7:$D$2506,MATCH($C1140,'REGISTRE TUBES'!$B$7:$B$2506,0))),"?"))</f>
        <v/>
      </c>
      <c r="F1140" s="101" t="n">
        <f aca="false">IF($C1140="","",IFERROR(IF(INDEX('REGISTRE TUBES'!$F$7:$F$2506,MATCH($C1140,'REGISTRE TUBES'!$B$7:$B$2506,0))="","",INDEX('REGISTRE TUBES'!$F$7:$F$2506,MATCH($C1140,'REGISTRE TUBES'!$B$7:$B$2506,0))),"?"))</f>
        <v>11.94</v>
      </c>
      <c r="G1140" s="102" t="n">
        <f aca="false">IF($C1140="","",N(G1139)+N(F1140))</f>
        <v>9204.91999999992</v>
      </c>
      <c r="H1140" s="103" t="s">
        <v>2160</v>
      </c>
      <c r="I1140" s="104"/>
      <c r="J1140" s="105"/>
    </row>
    <row r="1141" customFormat="false" ht="15" hidden="false" customHeight="false" outlineLevel="0" collapsed="false">
      <c r="B1141" s="90" t="n">
        <v>777</v>
      </c>
      <c r="C1141" s="91" t="n">
        <v>2097850</v>
      </c>
      <c r="D1141" s="92" t="n">
        <f aca="false">IF($C1141="","",IFERROR(IF(INDEX('REGISTRE TUBES'!$C$7:$C$2506,MATCH($C1141,'REGISTRE TUBES'!$B$7:$B$2506,0))="","",INDEX('REGISTRE TUBES'!$C$7:$C$2506,MATCH($C1141,'REGISTRE TUBES'!$B$7:$B$2506,0))),"?"))</f>
        <v>15421112</v>
      </c>
      <c r="E1141" s="92" t="str">
        <f aca="false">IF($C1141="","",IFERROR(IF(INDEX('REGISTRE TUBES'!$D$7:$D$2506,MATCH($C1141,'REGISTRE TUBES'!$B$7:$B$2506,0))="","",INDEX('REGISTRE TUBES'!$D$7:$D$2506,MATCH($C1141,'REGISTRE TUBES'!$B$7:$B$2506,0))),"?"))</f>
        <v/>
      </c>
      <c r="F1141" s="93" t="n">
        <f aca="false">IF($C1141="","",IFERROR(IF(INDEX('REGISTRE TUBES'!$F$7:$F$2506,MATCH($C1141,'REGISTRE TUBES'!$B$7:$B$2506,0))="","",INDEX('REGISTRE TUBES'!$F$7:$F$2506,MATCH($C1141,'REGISTRE TUBES'!$B$7:$B$2506,0))),"?"))</f>
        <v>11.94</v>
      </c>
      <c r="G1141" s="94" t="n">
        <f aca="false">IF($C1141="","",N(G1140)+N(F1141))</f>
        <v>9216.85999999992</v>
      </c>
      <c r="H1141" s="95" t="s">
        <v>2161</v>
      </c>
      <c r="I1141" s="96"/>
      <c r="J1141" s="97"/>
    </row>
    <row r="1142" customFormat="false" ht="15" hidden="false" customHeight="false" outlineLevel="0" collapsed="false">
      <c r="B1142" s="98" t="n">
        <v>778</v>
      </c>
      <c r="C1142" s="99" t="n">
        <v>2091230</v>
      </c>
      <c r="D1142" s="100" t="n">
        <f aca="false">IF($C1142="","",IFERROR(IF(INDEX('REGISTRE TUBES'!$C$7:$C$2506,MATCH($C1142,'REGISTRE TUBES'!$B$7:$B$2506,0))="","",INDEX('REGISTRE TUBES'!$C$7:$C$2506,MATCH($C1142,'REGISTRE TUBES'!$B$7:$B$2506,0))),"?"))</f>
        <v>15421109</v>
      </c>
      <c r="E1142" s="100" t="str">
        <f aca="false">IF($C1142="","",IFERROR(IF(INDEX('REGISTRE TUBES'!$D$7:$D$2506,MATCH($C1142,'REGISTRE TUBES'!$B$7:$B$2506,0))="","",INDEX('REGISTRE TUBES'!$D$7:$D$2506,MATCH($C1142,'REGISTRE TUBES'!$B$7:$B$2506,0))),"?"))</f>
        <v/>
      </c>
      <c r="F1142" s="101" t="n">
        <f aca="false">IF($C1142="","",IFERROR(IF(INDEX('REGISTRE TUBES'!$F$7:$F$2506,MATCH($C1142,'REGISTRE TUBES'!$B$7:$B$2506,0))="","",INDEX('REGISTRE TUBES'!$F$7:$F$2506,MATCH($C1142,'REGISTRE TUBES'!$B$7:$B$2506,0))),"?"))</f>
        <v>11.94</v>
      </c>
      <c r="G1142" s="102" t="n">
        <f aca="false">IF($C1142="","",N(G1141)+N(F1142))</f>
        <v>9228.79999999992</v>
      </c>
      <c r="H1142" s="103" t="s">
        <v>2162</v>
      </c>
      <c r="I1142" s="104"/>
      <c r="J1142" s="105"/>
    </row>
    <row r="1143" customFormat="false" ht="15" hidden="false" customHeight="false" outlineLevel="0" collapsed="false">
      <c r="B1143" s="90" t="n">
        <v>779</v>
      </c>
      <c r="C1143" s="91" t="n">
        <v>2089550</v>
      </c>
      <c r="D1143" s="92" t="n">
        <f aca="false">IF($C1143="","",IFERROR(IF(INDEX('REGISTRE TUBES'!$C$7:$C$2506,MATCH($C1143,'REGISTRE TUBES'!$B$7:$B$2506,0))="","",INDEX('REGISTRE TUBES'!$C$7:$C$2506,MATCH($C1143,'REGISTRE TUBES'!$B$7:$B$2506,0))),"?"))</f>
        <v>15421109</v>
      </c>
      <c r="E1143" s="92" t="str">
        <f aca="false">IF($C1143="","",IFERROR(IF(INDEX('REGISTRE TUBES'!$D$7:$D$2506,MATCH($C1143,'REGISTRE TUBES'!$B$7:$B$2506,0))="","",INDEX('REGISTRE TUBES'!$D$7:$D$2506,MATCH($C1143,'REGISTRE TUBES'!$B$7:$B$2506,0))),"?"))</f>
        <v/>
      </c>
      <c r="F1143" s="93" t="n">
        <f aca="false">IF($C1143="","",IFERROR(IF(INDEX('REGISTRE TUBES'!$F$7:$F$2506,MATCH($C1143,'REGISTRE TUBES'!$B$7:$B$2506,0))="","",INDEX('REGISTRE TUBES'!$F$7:$F$2506,MATCH($C1143,'REGISTRE TUBES'!$B$7:$B$2506,0))),"?"))</f>
        <v>11.94</v>
      </c>
      <c r="G1143" s="94" t="n">
        <f aca="false">IF($C1143="","",N(G1142)+N(F1143))</f>
        <v>9240.73999999992</v>
      </c>
      <c r="H1143" s="95" t="s">
        <v>2163</v>
      </c>
      <c r="I1143" s="96"/>
      <c r="J1143" s="97"/>
    </row>
    <row r="1144" customFormat="false" ht="15" hidden="false" customHeight="true" outlineLevel="0" collapsed="false">
      <c r="B1144" s="106" t="s">
        <v>3031</v>
      </c>
      <c r="C1144" s="106"/>
      <c r="D1144" s="106"/>
      <c r="E1144" s="106"/>
      <c r="F1144" s="107" t="n">
        <f aca="false">SUM(F1125:F1143)</f>
        <v>226.86</v>
      </c>
      <c r="G1144" s="108" t="n">
        <f aca="false">IF(COUNT(G1125:G1143)=0,"",MAX(G1125:G1143))</f>
        <v>9240.73999999992</v>
      </c>
      <c r="H1144" s="106" t="str">
        <f aca="false">COUNTA(C1125:C1143)&amp;" tube(s)"</f>
        <v>19 tube(s)</v>
      </c>
      <c r="I1144" s="106"/>
      <c r="J1144" s="106"/>
    </row>
    <row r="1146" customFormat="false" ht="15" hidden="false" customHeight="false" outlineLevel="0" collapsed="false">
      <c r="B1146" s="109" t="s">
        <v>3032</v>
      </c>
      <c r="F1146" s="109" t="s">
        <v>3033</v>
      </c>
      <c r="I1146" s="109" t="s">
        <v>3034</v>
      </c>
    </row>
    <row r="1149" customFormat="false" ht="25.5" hidden="false" customHeight="true" outlineLevel="0" collapsed="false">
      <c r="B1149" s="85" t="s">
        <v>3015</v>
      </c>
      <c r="C1149" s="85"/>
      <c r="D1149" s="85"/>
      <c r="E1149" s="85"/>
      <c r="F1149" s="85"/>
      <c r="G1149" s="85"/>
      <c r="H1149" s="85"/>
      <c r="I1149" s="85"/>
      <c r="J1149" s="85"/>
    </row>
    <row r="1150" customFormat="false" ht="15" hidden="false" customHeight="false" outlineLevel="0" collapsed="false">
      <c r="B1150" s="86" t="str">
        <f aca="false">PARAMÈTRES!$C$4&amp;"   •   Affaire N° "&amp;PARAMÈTRES!$C$5</f>
        <v>Développement des champs gaziers TFT II — réseau de collecte TFT Sud (LIGNE-16)   •   Affaire N° 8546</v>
      </c>
      <c r="C1150" s="86"/>
      <c r="D1150" s="86"/>
      <c r="E1150" s="86"/>
      <c r="F1150" s="86"/>
      <c r="G1150" s="86"/>
      <c r="H1150" s="86"/>
      <c r="I1150" s="86"/>
      <c r="J1150" s="86"/>
    </row>
    <row r="1151" customFormat="false" ht="19.5" hidden="false" customHeight="true" outlineLevel="0" collapsed="false">
      <c r="B1151" s="87" t="s">
        <v>3016</v>
      </c>
      <c r="C1151" s="88" t="s">
        <v>110</v>
      </c>
      <c r="D1151" s="88"/>
      <c r="E1151" s="87" t="s">
        <v>3017</v>
      </c>
      <c r="F1151" s="88" t="s">
        <v>3115</v>
      </c>
      <c r="G1151" s="87" t="s">
        <v>3019</v>
      </c>
      <c r="H1151" s="88" t="s">
        <v>3116</v>
      </c>
      <c r="I1151" s="87" t="s">
        <v>3021</v>
      </c>
      <c r="J1151" s="89"/>
    </row>
    <row r="1152" customFormat="false" ht="27.75" hidden="false" customHeight="true" outlineLevel="0" collapsed="false">
      <c r="B1152" s="71" t="s">
        <v>3022</v>
      </c>
      <c r="C1152" s="71" t="s">
        <v>3023</v>
      </c>
      <c r="D1152" s="71" t="s">
        <v>3024</v>
      </c>
      <c r="E1152" s="71" t="s">
        <v>3025</v>
      </c>
      <c r="F1152" s="71" t="s">
        <v>3026</v>
      </c>
      <c r="G1152" s="71" t="s">
        <v>3027</v>
      </c>
      <c r="H1152" s="71" t="s">
        <v>3028</v>
      </c>
      <c r="I1152" s="71" t="s">
        <v>3029</v>
      </c>
      <c r="J1152" s="71" t="s">
        <v>3030</v>
      </c>
    </row>
    <row r="1153" customFormat="false" ht="15" hidden="false" customHeight="false" outlineLevel="0" collapsed="false">
      <c r="B1153" s="90" t="n">
        <v>780</v>
      </c>
      <c r="C1153" s="91" t="n">
        <v>2087400</v>
      </c>
      <c r="D1153" s="92" t="n">
        <f aca="false">IF($C1153="","",IFERROR(IF(INDEX('REGISTRE TUBES'!$C$7:$C$2506,MATCH($C1153,'REGISTRE TUBES'!$B$7:$B$2506,0))="","",INDEX('REGISTRE TUBES'!$C$7:$C$2506,MATCH($C1153,'REGISTRE TUBES'!$B$7:$B$2506,0))),"?"))</f>
        <v>15421107</v>
      </c>
      <c r="E1153" s="92" t="str">
        <f aca="false">IF($C1153="","",IFERROR(IF(INDEX('REGISTRE TUBES'!$D$7:$D$2506,MATCH($C1153,'REGISTRE TUBES'!$B$7:$B$2506,0))="","",INDEX('REGISTRE TUBES'!$D$7:$D$2506,MATCH($C1153,'REGISTRE TUBES'!$B$7:$B$2506,0))),"?"))</f>
        <v/>
      </c>
      <c r="F1153" s="93" t="n">
        <f aca="false">IF($C1153="","",IFERROR(IF(INDEX('REGISTRE TUBES'!$F$7:$F$2506,MATCH($C1153,'REGISTRE TUBES'!$B$7:$B$2506,0))="","",INDEX('REGISTRE TUBES'!$F$7:$F$2506,MATCH($C1153,'REGISTRE TUBES'!$B$7:$B$2506,0))),"?"))</f>
        <v>11.94</v>
      </c>
      <c r="G1153" s="94" t="n">
        <f aca="false">IF($C1153="","",N(G1143)+N(F1153))</f>
        <v>9252.67999999992</v>
      </c>
      <c r="H1153" s="95" t="s">
        <v>2164</v>
      </c>
      <c r="I1153" s="96"/>
      <c r="J1153" s="97"/>
    </row>
    <row r="1154" customFormat="false" ht="15" hidden="false" customHeight="false" outlineLevel="0" collapsed="false">
      <c r="B1154" s="98" t="n">
        <v>781</v>
      </c>
      <c r="C1154" s="99" t="n">
        <v>2093640</v>
      </c>
      <c r="D1154" s="100" t="n">
        <f aca="false">IF($C1154="","",IFERROR(IF(INDEX('REGISTRE TUBES'!$C$7:$C$2506,MATCH($C1154,'REGISTRE TUBES'!$B$7:$B$2506,0))="","",INDEX('REGISTRE TUBES'!$C$7:$C$2506,MATCH($C1154,'REGISTRE TUBES'!$B$7:$B$2506,0))),"?"))</f>
        <v>15421110</v>
      </c>
      <c r="E1154" s="100" t="str">
        <f aca="false">IF($C1154="","",IFERROR(IF(INDEX('REGISTRE TUBES'!$D$7:$D$2506,MATCH($C1154,'REGISTRE TUBES'!$B$7:$B$2506,0))="","",INDEX('REGISTRE TUBES'!$D$7:$D$2506,MATCH($C1154,'REGISTRE TUBES'!$B$7:$B$2506,0))),"?"))</f>
        <v/>
      </c>
      <c r="F1154" s="101" t="n">
        <f aca="false">IF($C1154="","",IFERROR(IF(INDEX('REGISTRE TUBES'!$F$7:$F$2506,MATCH($C1154,'REGISTRE TUBES'!$B$7:$B$2506,0))="","",INDEX('REGISTRE TUBES'!$F$7:$F$2506,MATCH($C1154,'REGISTRE TUBES'!$B$7:$B$2506,0))),"?"))</f>
        <v>11.94</v>
      </c>
      <c r="G1154" s="102" t="n">
        <f aca="false">IF($C1154="","",N(G1153)+N(F1154))</f>
        <v>9264.61999999992</v>
      </c>
      <c r="H1154" s="103" t="s">
        <v>2165</v>
      </c>
      <c r="I1154" s="104"/>
      <c r="J1154" s="105"/>
    </row>
    <row r="1155" customFormat="false" ht="15" hidden="false" customHeight="false" outlineLevel="0" collapsed="false">
      <c r="B1155" s="90" t="n">
        <v>782</v>
      </c>
      <c r="C1155" s="91" t="n">
        <v>2096260</v>
      </c>
      <c r="D1155" s="92" t="n">
        <f aca="false">IF($C1155="","",IFERROR(IF(INDEX('REGISTRE TUBES'!$C$7:$C$2506,MATCH($C1155,'REGISTRE TUBES'!$B$7:$B$2506,0))="","",INDEX('REGISTRE TUBES'!$C$7:$C$2506,MATCH($C1155,'REGISTRE TUBES'!$B$7:$B$2506,0))),"?"))</f>
        <v>15421111</v>
      </c>
      <c r="E1155" s="92" t="str">
        <f aca="false">IF($C1155="","",IFERROR(IF(INDEX('REGISTRE TUBES'!$D$7:$D$2506,MATCH($C1155,'REGISTRE TUBES'!$B$7:$B$2506,0))="","",INDEX('REGISTRE TUBES'!$D$7:$D$2506,MATCH($C1155,'REGISTRE TUBES'!$B$7:$B$2506,0))),"?"))</f>
        <v/>
      </c>
      <c r="F1155" s="93" t="n">
        <f aca="false">IF($C1155="","",IFERROR(IF(INDEX('REGISTRE TUBES'!$F$7:$F$2506,MATCH($C1155,'REGISTRE TUBES'!$B$7:$B$2506,0))="","",INDEX('REGISTRE TUBES'!$F$7:$F$2506,MATCH($C1155,'REGISTRE TUBES'!$B$7:$B$2506,0))),"?"))</f>
        <v>11.94</v>
      </c>
      <c r="G1155" s="94" t="n">
        <f aca="false">IF($C1155="","",N(G1154)+N(F1155))</f>
        <v>9276.55999999993</v>
      </c>
      <c r="H1155" s="95" t="s">
        <v>2167</v>
      </c>
      <c r="I1155" s="96"/>
      <c r="J1155" s="97"/>
    </row>
    <row r="1156" customFormat="false" ht="15" hidden="false" customHeight="false" outlineLevel="0" collapsed="false">
      <c r="B1156" s="98" t="n">
        <v>783</v>
      </c>
      <c r="C1156" s="99" t="n">
        <v>2081820</v>
      </c>
      <c r="D1156" s="100" t="n">
        <f aca="false">IF($C1156="","",IFERROR(IF(INDEX('REGISTRE TUBES'!$C$7:$C$2506,MATCH($C1156,'REGISTRE TUBES'!$B$7:$B$2506,0))="","",INDEX('REGISTRE TUBES'!$C$7:$C$2506,MATCH($C1156,'REGISTRE TUBES'!$B$7:$B$2506,0))),"?"))</f>
        <v>15421104</v>
      </c>
      <c r="E1156" s="100" t="str">
        <f aca="false">IF($C1156="","",IFERROR(IF(INDEX('REGISTRE TUBES'!$D$7:$D$2506,MATCH($C1156,'REGISTRE TUBES'!$B$7:$B$2506,0))="","",INDEX('REGISTRE TUBES'!$D$7:$D$2506,MATCH($C1156,'REGISTRE TUBES'!$B$7:$B$2506,0))),"?"))</f>
        <v/>
      </c>
      <c r="F1156" s="101" t="n">
        <f aca="false">IF($C1156="","",IFERROR(IF(INDEX('REGISTRE TUBES'!$F$7:$F$2506,MATCH($C1156,'REGISTRE TUBES'!$B$7:$B$2506,0))="","",INDEX('REGISTRE TUBES'!$F$7:$F$2506,MATCH($C1156,'REGISTRE TUBES'!$B$7:$B$2506,0))),"?"))</f>
        <v>11.94</v>
      </c>
      <c r="G1156" s="102" t="n">
        <f aca="false">IF($C1156="","",N(G1155)+N(F1156))</f>
        <v>9288.49999999993</v>
      </c>
      <c r="H1156" s="103" t="s">
        <v>2169</v>
      </c>
      <c r="I1156" s="104"/>
      <c r="J1156" s="105"/>
    </row>
    <row r="1157" customFormat="false" ht="15" hidden="false" customHeight="false" outlineLevel="0" collapsed="false">
      <c r="B1157" s="90" t="n">
        <v>784</v>
      </c>
      <c r="C1157" s="91" t="n">
        <v>2084600</v>
      </c>
      <c r="D1157" s="92" t="n">
        <f aca="false">IF($C1157="","",IFERROR(IF(INDEX('REGISTRE TUBES'!$C$7:$C$2506,MATCH($C1157,'REGISTRE TUBES'!$B$7:$B$2506,0))="","",INDEX('REGISTRE TUBES'!$C$7:$C$2506,MATCH($C1157,'REGISTRE TUBES'!$B$7:$B$2506,0))),"?"))</f>
        <v>15421106</v>
      </c>
      <c r="E1157" s="92" t="str">
        <f aca="false">IF($C1157="","",IFERROR(IF(INDEX('REGISTRE TUBES'!$D$7:$D$2506,MATCH($C1157,'REGISTRE TUBES'!$B$7:$B$2506,0))="","",INDEX('REGISTRE TUBES'!$D$7:$D$2506,MATCH($C1157,'REGISTRE TUBES'!$B$7:$B$2506,0))),"?"))</f>
        <v/>
      </c>
      <c r="F1157" s="93" t="n">
        <f aca="false">IF($C1157="","",IFERROR(IF(INDEX('REGISTRE TUBES'!$F$7:$F$2506,MATCH($C1157,'REGISTRE TUBES'!$B$7:$B$2506,0))="","",INDEX('REGISTRE TUBES'!$F$7:$F$2506,MATCH($C1157,'REGISTRE TUBES'!$B$7:$B$2506,0))),"?"))</f>
        <v>11.94</v>
      </c>
      <c r="G1157" s="94" t="n">
        <f aca="false">IF($C1157="","",N(G1156)+N(F1157))</f>
        <v>9300.43999999993</v>
      </c>
      <c r="H1157" s="95" t="s">
        <v>2171</v>
      </c>
      <c r="I1157" s="96"/>
      <c r="J1157" s="97"/>
    </row>
    <row r="1158" customFormat="false" ht="15" hidden="false" customHeight="false" outlineLevel="0" collapsed="false">
      <c r="B1158" s="98" t="n">
        <v>785</v>
      </c>
      <c r="C1158" s="99" t="n">
        <v>2087330</v>
      </c>
      <c r="D1158" s="100" t="n">
        <f aca="false">IF($C1158="","",IFERROR(IF(INDEX('REGISTRE TUBES'!$C$7:$C$2506,MATCH($C1158,'REGISTRE TUBES'!$B$7:$B$2506,0))="","",INDEX('REGISTRE TUBES'!$C$7:$C$2506,MATCH($C1158,'REGISTRE TUBES'!$B$7:$B$2506,0))),"?"))</f>
        <v>15421107</v>
      </c>
      <c r="E1158" s="100" t="str">
        <f aca="false">IF($C1158="","",IFERROR(IF(INDEX('REGISTRE TUBES'!$D$7:$D$2506,MATCH($C1158,'REGISTRE TUBES'!$B$7:$B$2506,0))="","",INDEX('REGISTRE TUBES'!$D$7:$D$2506,MATCH($C1158,'REGISTRE TUBES'!$B$7:$B$2506,0))),"?"))</f>
        <v/>
      </c>
      <c r="F1158" s="101" t="n">
        <f aca="false">IF($C1158="","",IFERROR(IF(INDEX('REGISTRE TUBES'!$F$7:$F$2506,MATCH($C1158,'REGISTRE TUBES'!$B$7:$B$2506,0))="","",INDEX('REGISTRE TUBES'!$F$7:$F$2506,MATCH($C1158,'REGISTRE TUBES'!$B$7:$B$2506,0))),"?"))</f>
        <v>11.94</v>
      </c>
      <c r="G1158" s="102" t="n">
        <f aca="false">IF($C1158="","",N(G1157)+N(F1158))</f>
        <v>9312.37999999993</v>
      </c>
      <c r="H1158" s="103" t="s">
        <v>2172</v>
      </c>
      <c r="I1158" s="104"/>
      <c r="J1158" s="105"/>
    </row>
    <row r="1159" customFormat="false" ht="15" hidden="false" customHeight="false" outlineLevel="0" collapsed="false">
      <c r="B1159" s="90" t="n">
        <v>786</v>
      </c>
      <c r="C1159" s="91" t="n">
        <v>2087340</v>
      </c>
      <c r="D1159" s="92" t="n">
        <f aca="false">IF($C1159="","",IFERROR(IF(INDEX('REGISTRE TUBES'!$C$7:$C$2506,MATCH($C1159,'REGISTRE TUBES'!$B$7:$B$2506,0))="","",INDEX('REGISTRE TUBES'!$C$7:$C$2506,MATCH($C1159,'REGISTRE TUBES'!$B$7:$B$2506,0))),"?"))</f>
        <v>15421107</v>
      </c>
      <c r="E1159" s="92" t="str">
        <f aca="false">IF($C1159="","",IFERROR(IF(INDEX('REGISTRE TUBES'!$D$7:$D$2506,MATCH($C1159,'REGISTRE TUBES'!$B$7:$B$2506,0))="","",INDEX('REGISTRE TUBES'!$D$7:$D$2506,MATCH($C1159,'REGISTRE TUBES'!$B$7:$B$2506,0))),"?"))</f>
        <v/>
      </c>
      <c r="F1159" s="93" t="n">
        <f aca="false">IF($C1159="","",IFERROR(IF(INDEX('REGISTRE TUBES'!$F$7:$F$2506,MATCH($C1159,'REGISTRE TUBES'!$B$7:$B$2506,0))="","",INDEX('REGISTRE TUBES'!$F$7:$F$2506,MATCH($C1159,'REGISTRE TUBES'!$B$7:$B$2506,0))),"?"))</f>
        <v>11.94</v>
      </c>
      <c r="G1159" s="94" t="n">
        <f aca="false">IF($C1159="","",N(G1158)+N(F1159))</f>
        <v>9324.31999999993</v>
      </c>
      <c r="H1159" s="95" t="s">
        <v>2173</v>
      </c>
      <c r="I1159" s="96"/>
      <c r="J1159" s="97"/>
    </row>
    <row r="1160" customFormat="false" ht="15" hidden="false" customHeight="false" outlineLevel="0" collapsed="false">
      <c r="B1160" s="98" t="n">
        <v>787</v>
      </c>
      <c r="C1160" s="99" t="n">
        <v>2098220</v>
      </c>
      <c r="D1160" s="100" t="n">
        <f aca="false">IF($C1160="","",IFERROR(IF(INDEX('REGISTRE TUBES'!$C$7:$C$2506,MATCH($C1160,'REGISTRE TUBES'!$B$7:$B$2506,0))="","",INDEX('REGISTRE TUBES'!$C$7:$C$2506,MATCH($C1160,'REGISTRE TUBES'!$B$7:$B$2506,0))),"?"))</f>
        <v>15421112</v>
      </c>
      <c r="E1160" s="100" t="str">
        <f aca="false">IF($C1160="","",IFERROR(IF(INDEX('REGISTRE TUBES'!$D$7:$D$2506,MATCH($C1160,'REGISTRE TUBES'!$B$7:$B$2506,0))="","",INDEX('REGISTRE TUBES'!$D$7:$D$2506,MATCH($C1160,'REGISTRE TUBES'!$B$7:$B$2506,0))),"?"))</f>
        <v/>
      </c>
      <c r="F1160" s="101" t="n">
        <f aca="false">IF($C1160="","",IFERROR(IF(INDEX('REGISTRE TUBES'!$F$7:$F$2506,MATCH($C1160,'REGISTRE TUBES'!$B$7:$B$2506,0))="","",INDEX('REGISTRE TUBES'!$F$7:$F$2506,MATCH($C1160,'REGISTRE TUBES'!$B$7:$B$2506,0))),"?"))</f>
        <v>11.94</v>
      </c>
      <c r="G1160" s="102" t="n">
        <f aca="false">IF($C1160="","",N(G1159)+N(F1160))</f>
        <v>9336.25999999993</v>
      </c>
      <c r="H1160" s="103" t="s">
        <v>2174</v>
      </c>
      <c r="I1160" s="104"/>
      <c r="J1160" s="105"/>
    </row>
    <row r="1161" customFormat="false" ht="15" hidden="false" customHeight="false" outlineLevel="0" collapsed="false">
      <c r="B1161" s="90" t="n">
        <v>788</v>
      </c>
      <c r="C1161" s="91" t="n">
        <v>2096820</v>
      </c>
      <c r="D1161" s="92" t="n">
        <f aca="false">IF($C1161="","",IFERROR(IF(INDEX('REGISTRE TUBES'!$C$7:$C$2506,MATCH($C1161,'REGISTRE TUBES'!$B$7:$B$2506,0))="","",INDEX('REGISTRE TUBES'!$C$7:$C$2506,MATCH($C1161,'REGISTRE TUBES'!$B$7:$B$2506,0))),"?"))</f>
        <v>15421111</v>
      </c>
      <c r="E1161" s="92" t="str">
        <f aca="false">IF($C1161="","",IFERROR(IF(INDEX('REGISTRE TUBES'!$D$7:$D$2506,MATCH($C1161,'REGISTRE TUBES'!$B$7:$B$2506,0))="","",INDEX('REGISTRE TUBES'!$D$7:$D$2506,MATCH($C1161,'REGISTRE TUBES'!$B$7:$B$2506,0))),"?"))</f>
        <v/>
      </c>
      <c r="F1161" s="93" t="n">
        <f aca="false">IF($C1161="","",IFERROR(IF(INDEX('REGISTRE TUBES'!$F$7:$F$2506,MATCH($C1161,'REGISTRE TUBES'!$B$7:$B$2506,0))="","",INDEX('REGISTRE TUBES'!$F$7:$F$2506,MATCH($C1161,'REGISTRE TUBES'!$B$7:$B$2506,0))),"?"))</f>
        <v>11.94</v>
      </c>
      <c r="G1161" s="94" t="n">
        <f aca="false">IF($C1161="","",N(G1160)+N(F1161))</f>
        <v>9348.19999999993</v>
      </c>
      <c r="H1161" s="95" t="s">
        <v>2175</v>
      </c>
      <c r="I1161" s="96"/>
      <c r="J1161" s="97"/>
    </row>
    <row r="1162" customFormat="false" ht="15" hidden="false" customHeight="false" outlineLevel="0" collapsed="false">
      <c r="B1162" s="98" t="n">
        <v>789</v>
      </c>
      <c r="C1162" s="99" t="n">
        <v>2088350</v>
      </c>
      <c r="D1162" s="100" t="n">
        <f aca="false">IF($C1162="","",IFERROR(IF(INDEX('REGISTRE TUBES'!$C$7:$C$2506,MATCH($C1162,'REGISTRE TUBES'!$B$7:$B$2506,0))="","",INDEX('REGISTRE TUBES'!$C$7:$C$2506,MATCH($C1162,'REGISTRE TUBES'!$B$7:$B$2506,0))),"?"))</f>
        <v>15421108</v>
      </c>
      <c r="E1162" s="100" t="str">
        <f aca="false">IF($C1162="","",IFERROR(IF(INDEX('REGISTRE TUBES'!$D$7:$D$2506,MATCH($C1162,'REGISTRE TUBES'!$B$7:$B$2506,0))="","",INDEX('REGISTRE TUBES'!$D$7:$D$2506,MATCH($C1162,'REGISTRE TUBES'!$B$7:$B$2506,0))),"?"))</f>
        <v/>
      </c>
      <c r="F1162" s="101" t="n">
        <f aca="false">IF($C1162="","",IFERROR(IF(INDEX('REGISTRE TUBES'!$F$7:$F$2506,MATCH($C1162,'REGISTRE TUBES'!$B$7:$B$2506,0))="","",INDEX('REGISTRE TUBES'!$F$7:$F$2506,MATCH($C1162,'REGISTRE TUBES'!$B$7:$B$2506,0))),"?"))</f>
        <v>11.94</v>
      </c>
      <c r="G1162" s="102" t="n">
        <f aca="false">IF($C1162="","",N(G1161)+N(F1162))</f>
        <v>9360.13999999993</v>
      </c>
      <c r="H1162" s="103" t="s">
        <v>2176</v>
      </c>
      <c r="I1162" s="104"/>
      <c r="J1162" s="105"/>
    </row>
    <row r="1163" customFormat="false" ht="15" hidden="false" customHeight="false" outlineLevel="0" collapsed="false">
      <c r="B1163" s="90" t="n">
        <v>790</v>
      </c>
      <c r="C1163" s="91" t="n">
        <v>2095560</v>
      </c>
      <c r="D1163" s="92" t="n">
        <f aca="false">IF($C1163="","",IFERROR(IF(INDEX('REGISTRE TUBES'!$C$7:$C$2506,MATCH($C1163,'REGISTRE TUBES'!$B$7:$B$2506,0))="","",INDEX('REGISTRE TUBES'!$C$7:$C$2506,MATCH($C1163,'REGISTRE TUBES'!$B$7:$B$2506,0))),"?"))</f>
        <v>15421111</v>
      </c>
      <c r="E1163" s="92" t="str">
        <f aca="false">IF($C1163="","",IFERROR(IF(INDEX('REGISTRE TUBES'!$D$7:$D$2506,MATCH($C1163,'REGISTRE TUBES'!$B$7:$B$2506,0))="","",INDEX('REGISTRE TUBES'!$D$7:$D$2506,MATCH($C1163,'REGISTRE TUBES'!$B$7:$B$2506,0))),"?"))</f>
        <v/>
      </c>
      <c r="F1163" s="93" t="n">
        <f aca="false">IF($C1163="","",IFERROR(IF(INDEX('REGISTRE TUBES'!$F$7:$F$2506,MATCH($C1163,'REGISTRE TUBES'!$B$7:$B$2506,0))="","",INDEX('REGISTRE TUBES'!$F$7:$F$2506,MATCH($C1163,'REGISTRE TUBES'!$B$7:$B$2506,0))),"?"))</f>
        <v>11.94</v>
      </c>
      <c r="G1163" s="94" t="n">
        <f aca="false">IF($C1163="","",N(G1162)+N(F1163))</f>
        <v>9372.07999999993</v>
      </c>
      <c r="H1163" s="95" t="s">
        <v>2177</v>
      </c>
      <c r="I1163" s="96"/>
      <c r="J1163" s="97"/>
    </row>
    <row r="1164" customFormat="false" ht="15" hidden="false" customHeight="false" outlineLevel="0" collapsed="false">
      <c r="B1164" s="98" t="n">
        <v>791</v>
      </c>
      <c r="C1164" s="99" t="n">
        <v>2089990</v>
      </c>
      <c r="D1164" s="100" t="n">
        <f aca="false">IF($C1164="","",IFERROR(IF(INDEX('REGISTRE TUBES'!$C$7:$C$2506,MATCH($C1164,'REGISTRE TUBES'!$B$7:$B$2506,0))="","",INDEX('REGISTRE TUBES'!$C$7:$C$2506,MATCH($C1164,'REGISTRE TUBES'!$B$7:$B$2506,0))),"?"))</f>
        <v>15421109</v>
      </c>
      <c r="E1164" s="100" t="str">
        <f aca="false">IF($C1164="","",IFERROR(IF(INDEX('REGISTRE TUBES'!$D$7:$D$2506,MATCH($C1164,'REGISTRE TUBES'!$B$7:$B$2506,0))="","",INDEX('REGISTRE TUBES'!$D$7:$D$2506,MATCH($C1164,'REGISTRE TUBES'!$B$7:$B$2506,0))),"?"))</f>
        <v/>
      </c>
      <c r="F1164" s="101" t="n">
        <f aca="false">IF($C1164="","",IFERROR(IF(INDEX('REGISTRE TUBES'!$F$7:$F$2506,MATCH($C1164,'REGISTRE TUBES'!$B$7:$B$2506,0))="","",INDEX('REGISTRE TUBES'!$F$7:$F$2506,MATCH($C1164,'REGISTRE TUBES'!$B$7:$B$2506,0))),"?"))</f>
        <v>11.94</v>
      </c>
      <c r="G1164" s="102" t="n">
        <f aca="false">IF($C1164="","",N(G1163)+N(F1164))</f>
        <v>9384.01999999993</v>
      </c>
      <c r="H1164" s="103" t="s">
        <v>2178</v>
      </c>
      <c r="I1164" s="104"/>
      <c r="J1164" s="105"/>
    </row>
    <row r="1165" customFormat="false" ht="15" hidden="false" customHeight="false" outlineLevel="0" collapsed="false">
      <c r="B1165" s="90" t="n">
        <v>792</v>
      </c>
      <c r="C1165" s="91" t="n">
        <v>2088690</v>
      </c>
      <c r="D1165" s="92" t="n">
        <f aca="false">IF($C1165="","",IFERROR(IF(INDEX('REGISTRE TUBES'!$C$7:$C$2506,MATCH($C1165,'REGISTRE TUBES'!$B$7:$B$2506,0))="","",INDEX('REGISTRE TUBES'!$C$7:$C$2506,MATCH($C1165,'REGISTRE TUBES'!$B$7:$B$2506,0))),"?"))</f>
        <v>15421108</v>
      </c>
      <c r="E1165" s="92" t="str">
        <f aca="false">IF($C1165="","",IFERROR(IF(INDEX('REGISTRE TUBES'!$D$7:$D$2506,MATCH($C1165,'REGISTRE TUBES'!$B$7:$B$2506,0))="","",INDEX('REGISTRE TUBES'!$D$7:$D$2506,MATCH($C1165,'REGISTRE TUBES'!$B$7:$B$2506,0))),"?"))</f>
        <v/>
      </c>
      <c r="F1165" s="93" t="n">
        <f aca="false">IF($C1165="","",IFERROR(IF(INDEX('REGISTRE TUBES'!$F$7:$F$2506,MATCH($C1165,'REGISTRE TUBES'!$B$7:$B$2506,0))="","",INDEX('REGISTRE TUBES'!$F$7:$F$2506,MATCH($C1165,'REGISTRE TUBES'!$B$7:$B$2506,0))),"?"))</f>
        <v>11.94</v>
      </c>
      <c r="G1165" s="94" t="n">
        <f aca="false">IF($C1165="","",N(G1164)+N(F1165))</f>
        <v>9395.95999999993</v>
      </c>
      <c r="H1165" s="95" t="s">
        <v>2179</v>
      </c>
      <c r="I1165" s="96"/>
      <c r="J1165" s="97"/>
    </row>
    <row r="1166" customFormat="false" ht="15" hidden="false" customHeight="false" outlineLevel="0" collapsed="false">
      <c r="B1166" s="98" t="n">
        <v>793</v>
      </c>
      <c r="C1166" s="99" t="n">
        <v>2096160</v>
      </c>
      <c r="D1166" s="100" t="n">
        <f aca="false">IF($C1166="","",IFERROR(IF(INDEX('REGISTRE TUBES'!$C$7:$C$2506,MATCH($C1166,'REGISTRE TUBES'!$B$7:$B$2506,0))="","",INDEX('REGISTRE TUBES'!$C$7:$C$2506,MATCH($C1166,'REGISTRE TUBES'!$B$7:$B$2506,0))),"?"))</f>
        <v>15421111</v>
      </c>
      <c r="E1166" s="100" t="str">
        <f aca="false">IF($C1166="","",IFERROR(IF(INDEX('REGISTRE TUBES'!$D$7:$D$2506,MATCH($C1166,'REGISTRE TUBES'!$B$7:$B$2506,0))="","",INDEX('REGISTRE TUBES'!$D$7:$D$2506,MATCH($C1166,'REGISTRE TUBES'!$B$7:$B$2506,0))),"?"))</f>
        <v/>
      </c>
      <c r="F1166" s="101" t="n">
        <f aca="false">IF($C1166="","",IFERROR(IF(INDEX('REGISTRE TUBES'!$F$7:$F$2506,MATCH($C1166,'REGISTRE TUBES'!$B$7:$B$2506,0))="","",INDEX('REGISTRE TUBES'!$F$7:$F$2506,MATCH($C1166,'REGISTRE TUBES'!$B$7:$B$2506,0))),"?"))</f>
        <v>11.94</v>
      </c>
      <c r="G1166" s="102" t="n">
        <f aca="false">IF($C1166="","",N(G1165)+N(F1166))</f>
        <v>9407.89999999993</v>
      </c>
      <c r="H1166" s="103" t="s">
        <v>2180</v>
      </c>
      <c r="I1166" s="104"/>
      <c r="J1166" s="105"/>
    </row>
    <row r="1167" customFormat="false" ht="15" hidden="false" customHeight="false" outlineLevel="0" collapsed="false">
      <c r="B1167" s="90" t="n">
        <v>794</v>
      </c>
      <c r="C1167" s="91" t="n">
        <v>2088300</v>
      </c>
      <c r="D1167" s="92" t="n">
        <f aca="false">IF($C1167="","",IFERROR(IF(INDEX('REGISTRE TUBES'!$C$7:$C$2506,MATCH($C1167,'REGISTRE TUBES'!$B$7:$B$2506,0))="","",INDEX('REGISTRE TUBES'!$C$7:$C$2506,MATCH($C1167,'REGISTRE TUBES'!$B$7:$B$2506,0))),"?"))</f>
        <v>15421108</v>
      </c>
      <c r="E1167" s="92" t="str">
        <f aca="false">IF($C1167="","",IFERROR(IF(INDEX('REGISTRE TUBES'!$D$7:$D$2506,MATCH($C1167,'REGISTRE TUBES'!$B$7:$B$2506,0))="","",INDEX('REGISTRE TUBES'!$D$7:$D$2506,MATCH($C1167,'REGISTRE TUBES'!$B$7:$B$2506,0))),"?"))</f>
        <v/>
      </c>
      <c r="F1167" s="93" t="n">
        <f aca="false">IF($C1167="","",IFERROR(IF(INDEX('REGISTRE TUBES'!$F$7:$F$2506,MATCH($C1167,'REGISTRE TUBES'!$B$7:$B$2506,0))="","",INDEX('REGISTRE TUBES'!$F$7:$F$2506,MATCH($C1167,'REGISTRE TUBES'!$B$7:$B$2506,0))),"?"))</f>
        <v>11.94</v>
      </c>
      <c r="G1167" s="94" t="n">
        <f aca="false">IF($C1167="","",N(G1166)+N(F1167))</f>
        <v>9419.83999999993</v>
      </c>
      <c r="H1167" s="95" t="s">
        <v>2181</v>
      </c>
      <c r="I1167" s="96"/>
      <c r="J1167" s="97"/>
    </row>
    <row r="1168" customFormat="false" ht="15" hidden="false" customHeight="false" outlineLevel="0" collapsed="false">
      <c r="B1168" s="98" t="n">
        <v>795</v>
      </c>
      <c r="C1168" s="99" t="n">
        <v>2082620</v>
      </c>
      <c r="D1168" s="100" t="n">
        <f aca="false">IF($C1168="","",IFERROR(IF(INDEX('REGISTRE TUBES'!$C$7:$C$2506,MATCH($C1168,'REGISTRE TUBES'!$B$7:$B$2506,0))="","",INDEX('REGISTRE TUBES'!$C$7:$C$2506,MATCH($C1168,'REGISTRE TUBES'!$B$7:$B$2506,0))),"?"))</f>
        <v>15421104</v>
      </c>
      <c r="E1168" s="100" t="str">
        <f aca="false">IF($C1168="","",IFERROR(IF(INDEX('REGISTRE TUBES'!$D$7:$D$2506,MATCH($C1168,'REGISTRE TUBES'!$B$7:$B$2506,0))="","",INDEX('REGISTRE TUBES'!$D$7:$D$2506,MATCH($C1168,'REGISTRE TUBES'!$B$7:$B$2506,0))),"?"))</f>
        <v/>
      </c>
      <c r="F1168" s="101" t="n">
        <f aca="false">IF($C1168="","",IFERROR(IF(INDEX('REGISTRE TUBES'!$F$7:$F$2506,MATCH($C1168,'REGISTRE TUBES'!$B$7:$B$2506,0))="","",INDEX('REGISTRE TUBES'!$F$7:$F$2506,MATCH($C1168,'REGISTRE TUBES'!$B$7:$B$2506,0))),"?"))</f>
        <v>11.94</v>
      </c>
      <c r="G1168" s="102" t="n">
        <f aca="false">IF($C1168="","",N(G1167)+N(F1168))</f>
        <v>9431.77999999993</v>
      </c>
      <c r="H1168" s="103" t="s">
        <v>2182</v>
      </c>
      <c r="I1168" s="104"/>
      <c r="J1168" s="105"/>
    </row>
    <row r="1169" customFormat="false" ht="15" hidden="false" customHeight="false" outlineLevel="0" collapsed="false">
      <c r="B1169" s="90" t="n">
        <v>796</v>
      </c>
      <c r="C1169" s="91" t="n">
        <v>2090290</v>
      </c>
      <c r="D1169" s="92" t="n">
        <f aca="false">IF($C1169="","",IFERROR(IF(INDEX('REGISTRE TUBES'!$C$7:$C$2506,MATCH($C1169,'REGISTRE TUBES'!$B$7:$B$2506,0))="","",INDEX('REGISTRE TUBES'!$C$7:$C$2506,MATCH($C1169,'REGISTRE TUBES'!$B$7:$B$2506,0))),"?"))</f>
        <v>15421109</v>
      </c>
      <c r="E1169" s="92" t="str">
        <f aca="false">IF($C1169="","",IFERROR(IF(INDEX('REGISTRE TUBES'!$D$7:$D$2506,MATCH($C1169,'REGISTRE TUBES'!$B$7:$B$2506,0))="","",INDEX('REGISTRE TUBES'!$D$7:$D$2506,MATCH($C1169,'REGISTRE TUBES'!$B$7:$B$2506,0))),"?"))</f>
        <v/>
      </c>
      <c r="F1169" s="93" t="n">
        <f aca="false">IF($C1169="","",IFERROR(IF(INDEX('REGISTRE TUBES'!$F$7:$F$2506,MATCH($C1169,'REGISTRE TUBES'!$B$7:$B$2506,0))="","",INDEX('REGISTRE TUBES'!$F$7:$F$2506,MATCH($C1169,'REGISTRE TUBES'!$B$7:$B$2506,0))),"?"))</f>
        <v>11.94</v>
      </c>
      <c r="G1169" s="94" t="n">
        <f aca="false">IF($C1169="","",N(G1168)+N(F1169))</f>
        <v>9443.71999999993</v>
      </c>
      <c r="H1169" s="95" t="s">
        <v>2183</v>
      </c>
      <c r="I1169" s="96"/>
      <c r="J1169" s="97"/>
    </row>
    <row r="1170" customFormat="false" ht="15" hidden="false" customHeight="false" outlineLevel="0" collapsed="false">
      <c r="B1170" s="98" t="n">
        <v>797</v>
      </c>
      <c r="C1170" s="99" t="n">
        <v>2081140</v>
      </c>
      <c r="D1170" s="100" t="n">
        <f aca="false">IF($C1170="","",IFERROR(IF(INDEX('REGISTRE TUBES'!$C$7:$C$2506,MATCH($C1170,'REGISTRE TUBES'!$B$7:$B$2506,0))="","",INDEX('REGISTRE TUBES'!$C$7:$C$2506,MATCH($C1170,'REGISTRE TUBES'!$B$7:$B$2506,0))),"?"))</f>
        <v>15421109</v>
      </c>
      <c r="E1170" s="100" t="str">
        <f aca="false">IF($C1170="","",IFERROR(IF(INDEX('REGISTRE TUBES'!$D$7:$D$2506,MATCH($C1170,'REGISTRE TUBES'!$B$7:$B$2506,0))="","",INDEX('REGISTRE TUBES'!$D$7:$D$2506,MATCH($C1170,'REGISTRE TUBES'!$B$7:$B$2506,0))),"?"))</f>
        <v/>
      </c>
      <c r="F1170" s="101" t="n">
        <f aca="false">IF($C1170="","",IFERROR(IF(INDEX('REGISTRE TUBES'!$F$7:$F$2506,MATCH($C1170,'REGISTRE TUBES'!$B$7:$B$2506,0))="","",INDEX('REGISTRE TUBES'!$F$7:$F$2506,MATCH($C1170,'REGISTRE TUBES'!$B$7:$B$2506,0))),"?"))</f>
        <v>11.94</v>
      </c>
      <c r="G1170" s="102" t="n">
        <f aca="false">IF($C1170="","",N(G1169)+N(F1170))</f>
        <v>9455.65999999993</v>
      </c>
      <c r="H1170" s="103" t="s">
        <v>2184</v>
      </c>
      <c r="I1170" s="104"/>
      <c r="J1170" s="105"/>
    </row>
    <row r="1171" customFormat="false" ht="15" hidden="false" customHeight="false" outlineLevel="0" collapsed="false">
      <c r="B1171" s="90" t="n">
        <v>798</v>
      </c>
      <c r="C1171" s="91" t="n">
        <v>2088940</v>
      </c>
      <c r="D1171" s="92" t="n">
        <f aca="false">IF($C1171="","",IFERROR(IF(INDEX('REGISTRE TUBES'!$C$7:$C$2506,MATCH($C1171,'REGISTRE TUBES'!$B$7:$B$2506,0))="","",INDEX('REGISTRE TUBES'!$C$7:$C$2506,MATCH($C1171,'REGISTRE TUBES'!$B$7:$B$2506,0))),"?"))</f>
        <v>15421108</v>
      </c>
      <c r="E1171" s="92" t="str">
        <f aca="false">IF($C1171="","",IFERROR(IF(INDEX('REGISTRE TUBES'!$D$7:$D$2506,MATCH($C1171,'REGISTRE TUBES'!$B$7:$B$2506,0))="","",INDEX('REGISTRE TUBES'!$D$7:$D$2506,MATCH($C1171,'REGISTRE TUBES'!$B$7:$B$2506,0))),"?"))</f>
        <v/>
      </c>
      <c r="F1171" s="93" t="n">
        <f aca="false">IF($C1171="","",IFERROR(IF(INDEX('REGISTRE TUBES'!$F$7:$F$2506,MATCH($C1171,'REGISTRE TUBES'!$B$7:$B$2506,0))="","",INDEX('REGISTRE TUBES'!$F$7:$F$2506,MATCH($C1171,'REGISTRE TUBES'!$B$7:$B$2506,0))),"?"))</f>
        <v>11.94</v>
      </c>
      <c r="G1171" s="94" t="n">
        <f aca="false">IF($C1171="","",N(G1170)+N(F1171))</f>
        <v>9467.59999999993</v>
      </c>
      <c r="H1171" s="95" t="s">
        <v>2185</v>
      </c>
      <c r="I1171" s="96"/>
      <c r="J1171" s="97"/>
    </row>
    <row r="1172" customFormat="false" ht="15" hidden="false" customHeight="true" outlineLevel="0" collapsed="false">
      <c r="B1172" s="106" t="s">
        <v>3031</v>
      </c>
      <c r="C1172" s="106"/>
      <c r="D1172" s="106"/>
      <c r="E1172" s="106"/>
      <c r="F1172" s="107" t="n">
        <f aca="false">SUM(F1153:F1171)</f>
        <v>226.86</v>
      </c>
      <c r="G1172" s="108" t="n">
        <f aca="false">IF(COUNT(G1153:G1171)=0,"",MAX(G1153:G1171))</f>
        <v>9467.59999999993</v>
      </c>
      <c r="H1172" s="106" t="str">
        <f aca="false">COUNTA(C1153:C1171)&amp;" tube(s)"</f>
        <v>19 tube(s)</v>
      </c>
      <c r="I1172" s="106"/>
      <c r="J1172" s="106"/>
    </row>
    <row r="1174" customFormat="false" ht="15" hidden="false" customHeight="false" outlineLevel="0" collapsed="false">
      <c r="B1174" s="109" t="s">
        <v>3032</v>
      </c>
      <c r="F1174" s="109" t="s">
        <v>3033</v>
      </c>
      <c r="I1174" s="109" t="s">
        <v>3034</v>
      </c>
    </row>
    <row r="1177" customFormat="false" ht="25.5" hidden="false" customHeight="true" outlineLevel="0" collapsed="false">
      <c r="B1177" s="85" t="s">
        <v>3015</v>
      </c>
      <c r="C1177" s="85"/>
      <c r="D1177" s="85"/>
      <c r="E1177" s="85"/>
      <c r="F1177" s="85"/>
      <c r="G1177" s="85"/>
      <c r="H1177" s="85"/>
      <c r="I1177" s="85"/>
      <c r="J1177" s="85"/>
    </row>
    <row r="1178" customFormat="false" ht="15" hidden="false" customHeight="false" outlineLevel="0" collapsed="false">
      <c r="B1178" s="86" t="str">
        <f aca="false">PARAMÈTRES!$C$4&amp;"   •   Affaire N° "&amp;PARAMÈTRES!$C$5</f>
        <v>Développement des champs gaziers TFT II — réseau de collecte TFT Sud (LIGNE-16)   •   Affaire N° 8546</v>
      </c>
      <c r="C1178" s="86"/>
      <c r="D1178" s="86"/>
      <c r="E1178" s="86"/>
      <c r="F1178" s="86"/>
      <c r="G1178" s="86"/>
      <c r="H1178" s="86"/>
      <c r="I1178" s="86"/>
      <c r="J1178" s="86"/>
    </row>
    <row r="1179" customFormat="false" ht="19.5" hidden="false" customHeight="true" outlineLevel="0" collapsed="false">
      <c r="B1179" s="87" t="s">
        <v>3016</v>
      </c>
      <c r="C1179" s="88" t="s">
        <v>110</v>
      </c>
      <c r="D1179" s="88"/>
      <c r="E1179" s="87" t="s">
        <v>3017</v>
      </c>
      <c r="F1179" s="88" t="s">
        <v>3117</v>
      </c>
      <c r="G1179" s="87" t="s">
        <v>3019</v>
      </c>
      <c r="H1179" s="88" t="s">
        <v>3118</v>
      </c>
      <c r="I1179" s="87" t="s">
        <v>3021</v>
      </c>
      <c r="J1179" s="89"/>
    </row>
    <row r="1180" customFormat="false" ht="27.75" hidden="false" customHeight="true" outlineLevel="0" collapsed="false">
      <c r="B1180" s="71" t="s">
        <v>3022</v>
      </c>
      <c r="C1180" s="71" t="s">
        <v>3023</v>
      </c>
      <c r="D1180" s="71" t="s">
        <v>3024</v>
      </c>
      <c r="E1180" s="71" t="s">
        <v>3025</v>
      </c>
      <c r="F1180" s="71" t="s">
        <v>3026</v>
      </c>
      <c r="G1180" s="71" t="s">
        <v>3027</v>
      </c>
      <c r="H1180" s="71" t="s">
        <v>3028</v>
      </c>
      <c r="I1180" s="71" t="s">
        <v>3029</v>
      </c>
      <c r="J1180" s="71" t="s">
        <v>3030</v>
      </c>
    </row>
    <row r="1181" customFormat="false" ht="15" hidden="false" customHeight="false" outlineLevel="0" collapsed="false">
      <c r="B1181" s="90" t="n">
        <v>799</v>
      </c>
      <c r="C1181" s="91" t="n">
        <v>2091590</v>
      </c>
      <c r="D1181" s="92" t="n">
        <f aca="false">IF($C1181="","",IFERROR(IF(INDEX('REGISTRE TUBES'!$C$7:$C$2506,MATCH($C1181,'REGISTRE TUBES'!$B$7:$B$2506,0))="","",INDEX('REGISTRE TUBES'!$C$7:$C$2506,MATCH($C1181,'REGISTRE TUBES'!$B$7:$B$2506,0))),"?"))</f>
        <v>15421109</v>
      </c>
      <c r="E1181" s="92" t="str">
        <f aca="false">IF($C1181="","",IFERROR(IF(INDEX('REGISTRE TUBES'!$D$7:$D$2506,MATCH($C1181,'REGISTRE TUBES'!$B$7:$B$2506,0))="","",INDEX('REGISTRE TUBES'!$D$7:$D$2506,MATCH($C1181,'REGISTRE TUBES'!$B$7:$B$2506,0))),"?"))</f>
        <v/>
      </c>
      <c r="F1181" s="93" t="n">
        <f aca="false">IF($C1181="","",IFERROR(IF(INDEX('REGISTRE TUBES'!$F$7:$F$2506,MATCH($C1181,'REGISTRE TUBES'!$B$7:$B$2506,0))="","",INDEX('REGISTRE TUBES'!$F$7:$F$2506,MATCH($C1181,'REGISTRE TUBES'!$B$7:$B$2506,0))),"?"))</f>
        <v>11.94</v>
      </c>
      <c r="G1181" s="94" t="n">
        <f aca="false">IF($C1181="","",N(G1171)+N(F1181))</f>
        <v>9479.53999999993</v>
      </c>
      <c r="H1181" s="95" t="s">
        <v>2186</v>
      </c>
      <c r="I1181" s="96"/>
      <c r="J1181" s="97"/>
    </row>
    <row r="1182" customFormat="false" ht="15" hidden="false" customHeight="false" outlineLevel="0" collapsed="false">
      <c r="B1182" s="98" t="n">
        <v>800</v>
      </c>
      <c r="C1182" s="99" t="n">
        <v>2087950</v>
      </c>
      <c r="D1182" s="100" t="n">
        <f aca="false">IF($C1182="","",IFERROR(IF(INDEX('REGISTRE TUBES'!$C$7:$C$2506,MATCH($C1182,'REGISTRE TUBES'!$B$7:$B$2506,0))="","",INDEX('REGISTRE TUBES'!$C$7:$C$2506,MATCH($C1182,'REGISTRE TUBES'!$B$7:$B$2506,0))),"?"))</f>
        <v>15421108</v>
      </c>
      <c r="E1182" s="100" t="str">
        <f aca="false">IF($C1182="","",IFERROR(IF(INDEX('REGISTRE TUBES'!$D$7:$D$2506,MATCH($C1182,'REGISTRE TUBES'!$B$7:$B$2506,0))="","",INDEX('REGISTRE TUBES'!$D$7:$D$2506,MATCH($C1182,'REGISTRE TUBES'!$B$7:$B$2506,0))),"?"))</f>
        <v/>
      </c>
      <c r="F1182" s="101" t="n">
        <f aca="false">IF($C1182="","",IFERROR(IF(INDEX('REGISTRE TUBES'!$F$7:$F$2506,MATCH($C1182,'REGISTRE TUBES'!$B$7:$B$2506,0))="","",INDEX('REGISTRE TUBES'!$F$7:$F$2506,MATCH($C1182,'REGISTRE TUBES'!$B$7:$B$2506,0))),"?"))</f>
        <v>11.94</v>
      </c>
      <c r="G1182" s="102" t="n">
        <f aca="false">IF($C1182="","",N(G1181)+N(F1182))</f>
        <v>9491.47999999993</v>
      </c>
      <c r="H1182" s="103" t="s">
        <v>2187</v>
      </c>
      <c r="I1182" s="104"/>
      <c r="J1182" s="105"/>
    </row>
    <row r="1183" customFormat="false" ht="15" hidden="false" customHeight="false" outlineLevel="0" collapsed="false">
      <c r="B1183" s="90" t="n">
        <v>801</v>
      </c>
      <c r="C1183" s="91" t="n">
        <v>2083170</v>
      </c>
      <c r="D1183" s="92" t="n">
        <f aca="false">IF($C1183="","",IFERROR(IF(INDEX('REGISTRE TUBES'!$C$7:$C$2506,MATCH($C1183,'REGISTRE TUBES'!$B$7:$B$2506,0))="","",INDEX('REGISTRE TUBES'!$C$7:$C$2506,MATCH($C1183,'REGISTRE TUBES'!$B$7:$B$2506,0))),"?"))</f>
        <v>15421105</v>
      </c>
      <c r="E1183" s="92" t="str">
        <f aca="false">IF($C1183="","",IFERROR(IF(INDEX('REGISTRE TUBES'!$D$7:$D$2506,MATCH($C1183,'REGISTRE TUBES'!$B$7:$B$2506,0))="","",INDEX('REGISTRE TUBES'!$D$7:$D$2506,MATCH($C1183,'REGISTRE TUBES'!$B$7:$B$2506,0))),"?"))</f>
        <v/>
      </c>
      <c r="F1183" s="93" t="n">
        <f aca="false">IF($C1183="","",IFERROR(IF(INDEX('REGISTRE TUBES'!$F$7:$F$2506,MATCH($C1183,'REGISTRE TUBES'!$B$7:$B$2506,0))="","",INDEX('REGISTRE TUBES'!$F$7:$F$2506,MATCH($C1183,'REGISTRE TUBES'!$B$7:$B$2506,0))),"?"))</f>
        <v>11.94</v>
      </c>
      <c r="G1183" s="94" t="n">
        <f aca="false">IF($C1183="","",N(G1182)+N(F1183))</f>
        <v>9503.41999999994</v>
      </c>
      <c r="H1183" s="95" t="s">
        <v>2188</v>
      </c>
      <c r="I1183" s="96"/>
      <c r="J1183" s="97"/>
    </row>
    <row r="1184" customFormat="false" ht="15" hidden="false" customHeight="false" outlineLevel="0" collapsed="false">
      <c r="B1184" s="98" t="n">
        <v>802</v>
      </c>
      <c r="C1184" s="99" t="n">
        <v>2089060</v>
      </c>
      <c r="D1184" s="100" t="n">
        <f aca="false">IF($C1184="","",IFERROR(IF(INDEX('REGISTRE TUBES'!$C$7:$C$2506,MATCH($C1184,'REGISTRE TUBES'!$B$7:$B$2506,0))="","",INDEX('REGISTRE TUBES'!$C$7:$C$2506,MATCH($C1184,'REGISTRE TUBES'!$B$7:$B$2506,0))),"?"))</f>
        <v>15421108</v>
      </c>
      <c r="E1184" s="100" t="str">
        <f aca="false">IF($C1184="","",IFERROR(IF(INDEX('REGISTRE TUBES'!$D$7:$D$2506,MATCH($C1184,'REGISTRE TUBES'!$B$7:$B$2506,0))="","",INDEX('REGISTRE TUBES'!$D$7:$D$2506,MATCH($C1184,'REGISTRE TUBES'!$B$7:$B$2506,0))),"?"))</f>
        <v/>
      </c>
      <c r="F1184" s="101" t="n">
        <f aca="false">IF($C1184="","",IFERROR(IF(INDEX('REGISTRE TUBES'!$F$7:$F$2506,MATCH($C1184,'REGISTRE TUBES'!$B$7:$B$2506,0))="","",INDEX('REGISTRE TUBES'!$F$7:$F$2506,MATCH($C1184,'REGISTRE TUBES'!$B$7:$B$2506,0))),"?"))</f>
        <v>11.94</v>
      </c>
      <c r="G1184" s="102" t="n">
        <f aca="false">IF($C1184="","",N(G1183)+N(F1184))</f>
        <v>9515.35999999994</v>
      </c>
      <c r="H1184" s="103" t="s">
        <v>2190</v>
      </c>
      <c r="I1184" s="104"/>
      <c r="J1184" s="105"/>
    </row>
    <row r="1185" customFormat="false" ht="15" hidden="false" customHeight="false" outlineLevel="0" collapsed="false">
      <c r="B1185" s="90" t="n">
        <v>803</v>
      </c>
      <c r="C1185" s="91" t="n">
        <v>2093660</v>
      </c>
      <c r="D1185" s="92" t="n">
        <f aca="false">IF($C1185="","",IFERROR(IF(INDEX('REGISTRE TUBES'!$C$7:$C$2506,MATCH($C1185,'REGISTRE TUBES'!$B$7:$B$2506,0))="","",INDEX('REGISTRE TUBES'!$C$7:$C$2506,MATCH($C1185,'REGISTRE TUBES'!$B$7:$B$2506,0))),"?"))</f>
        <v>15421110</v>
      </c>
      <c r="E1185" s="92" t="str">
        <f aca="false">IF($C1185="","",IFERROR(IF(INDEX('REGISTRE TUBES'!$D$7:$D$2506,MATCH($C1185,'REGISTRE TUBES'!$B$7:$B$2506,0))="","",INDEX('REGISTRE TUBES'!$D$7:$D$2506,MATCH($C1185,'REGISTRE TUBES'!$B$7:$B$2506,0))),"?"))</f>
        <v/>
      </c>
      <c r="F1185" s="93" t="n">
        <f aca="false">IF($C1185="","",IFERROR(IF(INDEX('REGISTRE TUBES'!$F$7:$F$2506,MATCH($C1185,'REGISTRE TUBES'!$B$7:$B$2506,0))="","",INDEX('REGISTRE TUBES'!$F$7:$F$2506,MATCH($C1185,'REGISTRE TUBES'!$B$7:$B$2506,0))),"?"))</f>
        <v>11.94</v>
      </c>
      <c r="G1185" s="94" t="n">
        <f aca="false">IF($C1185="","",N(G1184)+N(F1185))</f>
        <v>9527.29999999994</v>
      </c>
      <c r="H1185" s="95"/>
      <c r="I1185" s="96"/>
      <c r="J1185" s="97"/>
    </row>
    <row r="1186" customFormat="false" ht="15" hidden="false" customHeight="false" outlineLevel="0" collapsed="false">
      <c r="B1186" s="98" t="n">
        <v>804</v>
      </c>
      <c r="C1186" s="99" t="n">
        <v>2093636</v>
      </c>
      <c r="D1186" s="100" t="n">
        <f aca="false">IF($C1186="","",IFERROR(IF(INDEX('REGISTRE TUBES'!$C$7:$C$2506,MATCH($C1186,'REGISTRE TUBES'!$B$7:$B$2506,0))="","",INDEX('REGISTRE TUBES'!$C$7:$C$2506,MATCH($C1186,'REGISTRE TUBES'!$B$7:$B$2506,0))),"?"))</f>
        <v>15421110</v>
      </c>
      <c r="E1186" s="100" t="str">
        <f aca="false">IF($C1186="","",IFERROR(IF(INDEX('REGISTRE TUBES'!$D$7:$D$2506,MATCH($C1186,'REGISTRE TUBES'!$B$7:$B$2506,0))="","",INDEX('REGISTRE TUBES'!$D$7:$D$2506,MATCH($C1186,'REGISTRE TUBES'!$B$7:$B$2506,0))),"?"))</f>
        <v/>
      </c>
      <c r="F1186" s="101" t="n">
        <f aca="false">IF($C1186="","",IFERROR(IF(INDEX('REGISTRE TUBES'!$F$7:$F$2506,MATCH($C1186,'REGISTRE TUBES'!$B$7:$B$2506,0))="","",INDEX('REGISTRE TUBES'!$F$7:$F$2506,MATCH($C1186,'REGISTRE TUBES'!$B$7:$B$2506,0))),"?"))</f>
        <v>11.94</v>
      </c>
      <c r="G1186" s="102" t="n">
        <f aca="false">IF($C1186="","",N(G1185)+N(F1186))</f>
        <v>9539.23999999994</v>
      </c>
      <c r="H1186" s="103" t="s">
        <v>2191</v>
      </c>
      <c r="I1186" s="104"/>
      <c r="J1186" s="105"/>
    </row>
    <row r="1187" customFormat="false" ht="15" hidden="false" customHeight="false" outlineLevel="0" collapsed="false">
      <c r="B1187" s="90" t="n">
        <v>805</v>
      </c>
      <c r="C1187" s="91" t="n">
        <v>2093030</v>
      </c>
      <c r="D1187" s="92" t="n">
        <f aca="false">IF($C1187="","",IFERROR(IF(INDEX('REGISTRE TUBES'!$C$7:$C$2506,MATCH($C1187,'REGISTRE TUBES'!$B$7:$B$2506,0))="","",INDEX('REGISTRE TUBES'!$C$7:$C$2506,MATCH($C1187,'REGISTRE TUBES'!$B$7:$B$2506,0))),"?"))</f>
        <v>15421110</v>
      </c>
      <c r="E1187" s="92" t="str">
        <f aca="false">IF($C1187="","",IFERROR(IF(INDEX('REGISTRE TUBES'!$D$7:$D$2506,MATCH($C1187,'REGISTRE TUBES'!$B$7:$B$2506,0))="","",INDEX('REGISTRE TUBES'!$D$7:$D$2506,MATCH($C1187,'REGISTRE TUBES'!$B$7:$B$2506,0))),"?"))</f>
        <v/>
      </c>
      <c r="F1187" s="93" t="n">
        <f aca="false">IF($C1187="","",IFERROR(IF(INDEX('REGISTRE TUBES'!$F$7:$F$2506,MATCH($C1187,'REGISTRE TUBES'!$B$7:$B$2506,0))="","",INDEX('REGISTRE TUBES'!$F$7:$F$2506,MATCH($C1187,'REGISTRE TUBES'!$B$7:$B$2506,0))),"?"))</f>
        <v>11.94</v>
      </c>
      <c r="G1187" s="94" t="n">
        <f aca="false">IF($C1187="","",N(G1186)+N(F1187))</f>
        <v>9551.17999999994</v>
      </c>
      <c r="H1187" s="95" t="s">
        <v>2192</v>
      </c>
      <c r="I1187" s="96"/>
      <c r="J1187" s="97"/>
    </row>
    <row r="1188" customFormat="false" ht="15" hidden="false" customHeight="false" outlineLevel="0" collapsed="false">
      <c r="B1188" s="98" t="n">
        <v>806</v>
      </c>
      <c r="C1188" s="99" t="n">
        <v>2095580</v>
      </c>
      <c r="D1188" s="100" t="n">
        <f aca="false">IF($C1188="","",IFERROR(IF(INDEX('REGISTRE TUBES'!$C$7:$C$2506,MATCH($C1188,'REGISTRE TUBES'!$B$7:$B$2506,0))="","",INDEX('REGISTRE TUBES'!$C$7:$C$2506,MATCH($C1188,'REGISTRE TUBES'!$B$7:$B$2506,0))),"?"))</f>
        <v>15421111</v>
      </c>
      <c r="E1188" s="100" t="str">
        <f aca="false">IF($C1188="","",IFERROR(IF(INDEX('REGISTRE TUBES'!$D$7:$D$2506,MATCH($C1188,'REGISTRE TUBES'!$B$7:$B$2506,0))="","",INDEX('REGISTRE TUBES'!$D$7:$D$2506,MATCH($C1188,'REGISTRE TUBES'!$B$7:$B$2506,0))),"?"))</f>
        <v/>
      </c>
      <c r="F1188" s="101" t="n">
        <f aca="false">IF($C1188="","",IFERROR(IF(INDEX('REGISTRE TUBES'!$F$7:$F$2506,MATCH($C1188,'REGISTRE TUBES'!$B$7:$B$2506,0))="","",INDEX('REGISTRE TUBES'!$F$7:$F$2506,MATCH($C1188,'REGISTRE TUBES'!$B$7:$B$2506,0))),"?"))</f>
        <v>11.94</v>
      </c>
      <c r="G1188" s="102" t="n">
        <f aca="false">IF($C1188="","",N(G1187)+N(F1188))</f>
        <v>9563.11999999994</v>
      </c>
      <c r="H1188" s="103" t="s">
        <v>2193</v>
      </c>
      <c r="I1188" s="104"/>
      <c r="J1188" s="105"/>
    </row>
    <row r="1189" customFormat="false" ht="15" hidden="false" customHeight="false" outlineLevel="0" collapsed="false">
      <c r="B1189" s="90" t="n">
        <v>807</v>
      </c>
      <c r="C1189" s="91" t="n">
        <v>2091450</v>
      </c>
      <c r="D1189" s="92" t="n">
        <f aca="false">IF($C1189="","",IFERROR(IF(INDEX('REGISTRE TUBES'!$C$7:$C$2506,MATCH($C1189,'REGISTRE TUBES'!$B$7:$B$2506,0))="","",INDEX('REGISTRE TUBES'!$C$7:$C$2506,MATCH($C1189,'REGISTRE TUBES'!$B$7:$B$2506,0))),"?"))</f>
        <v>15421110</v>
      </c>
      <c r="E1189" s="92" t="str">
        <f aca="false">IF($C1189="","",IFERROR(IF(INDEX('REGISTRE TUBES'!$D$7:$D$2506,MATCH($C1189,'REGISTRE TUBES'!$B$7:$B$2506,0))="","",INDEX('REGISTRE TUBES'!$D$7:$D$2506,MATCH($C1189,'REGISTRE TUBES'!$B$7:$B$2506,0))),"?"))</f>
        <v/>
      </c>
      <c r="F1189" s="93" t="n">
        <f aca="false">IF($C1189="","",IFERROR(IF(INDEX('REGISTRE TUBES'!$F$7:$F$2506,MATCH($C1189,'REGISTRE TUBES'!$B$7:$B$2506,0))="","",INDEX('REGISTRE TUBES'!$F$7:$F$2506,MATCH($C1189,'REGISTRE TUBES'!$B$7:$B$2506,0))),"?"))</f>
        <v>11.94</v>
      </c>
      <c r="G1189" s="94" t="n">
        <f aca="false">IF($C1189="","",N(G1188)+N(F1189))</f>
        <v>9575.05999999994</v>
      </c>
      <c r="H1189" s="95" t="s">
        <v>2895</v>
      </c>
      <c r="I1189" s="96"/>
      <c r="J1189" s="97"/>
    </row>
    <row r="1190" customFormat="false" ht="15" hidden="false" customHeight="false" outlineLevel="0" collapsed="false">
      <c r="B1190" s="98" t="n">
        <v>808</v>
      </c>
      <c r="C1190" s="99" t="n">
        <v>2093450</v>
      </c>
      <c r="D1190" s="100" t="n">
        <f aca="false">IF($C1190="","",IFERROR(IF(INDEX('REGISTRE TUBES'!$C$7:$C$2506,MATCH($C1190,'REGISTRE TUBES'!$B$7:$B$2506,0))="","",INDEX('REGISTRE TUBES'!$C$7:$C$2506,MATCH($C1190,'REGISTRE TUBES'!$B$7:$B$2506,0))),"?"))</f>
        <v>15421110</v>
      </c>
      <c r="E1190" s="100" t="str">
        <f aca="false">IF($C1190="","",IFERROR(IF(INDEX('REGISTRE TUBES'!$D$7:$D$2506,MATCH($C1190,'REGISTRE TUBES'!$B$7:$B$2506,0))="","",INDEX('REGISTRE TUBES'!$D$7:$D$2506,MATCH($C1190,'REGISTRE TUBES'!$B$7:$B$2506,0))),"?"))</f>
        <v/>
      </c>
      <c r="F1190" s="101" t="n">
        <f aca="false">IF($C1190="","",IFERROR(IF(INDEX('REGISTRE TUBES'!$F$7:$F$2506,MATCH($C1190,'REGISTRE TUBES'!$B$7:$B$2506,0))="","",INDEX('REGISTRE TUBES'!$F$7:$F$2506,MATCH($C1190,'REGISTRE TUBES'!$B$7:$B$2506,0))),"?"))</f>
        <v>11.94</v>
      </c>
      <c r="G1190" s="102" t="n">
        <f aca="false">IF($C1190="","",N(G1189)+N(F1190))</f>
        <v>9586.99999999994</v>
      </c>
      <c r="H1190" s="103" t="s">
        <v>2195</v>
      </c>
      <c r="I1190" s="104"/>
      <c r="J1190" s="105"/>
    </row>
    <row r="1191" customFormat="false" ht="15" hidden="false" customHeight="false" outlineLevel="0" collapsed="false">
      <c r="B1191" s="90" t="n">
        <v>809</v>
      </c>
      <c r="C1191" s="91" t="n">
        <v>2089350</v>
      </c>
      <c r="D1191" s="92" t="n">
        <f aca="false">IF($C1191="","",IFERROR(IF(INDEX('REGISTRE TUBES'!$C$7:$C$2506,MATCH($C1191,'REGISTRE TUBES'!$B$7:$B$2506,0))="","",INDEX('REGISTRE TUBES'!$C$7:$C$2506,MATCH($C1191,'REGISTRE TUBES'!$B$7:$B$2506,0))),"?"))</f>
        <v>15421111</v>
      </c>
      <c r="E1191" s="92" t="str">
        <f aca="false">IF($C1191="","",IFERROR(IF(INDEX('REGISTRE TUBES'!$D$7:$D$2506,MATCH($C1191,'REGISTRE TUBES'!$B$7:$B$2506,0))="","",INDEX('REGISTRE TUBES'!$D$7:$D$2506,MATCH($C1191,'REGISTRE TUBES'!$B$7:$B$2506,0))),"?"))</f>
        <v/>
      </c>
      <c r="F1191" s="93" t="n">
        <f aca="false">IF($C1191="","",IFERROR(IF(INDEX('REGISTRE TUBES'!$F$7:$F$2506,MATCH($C1191,'REGISTRE TUBES'!$B$7:$B$2506,0))="","",INDEX('REGISTRE TUBES'!$F$7:$F$2506,MATCH($C1191,'REGISTRE TUBES'!$B$7:$B$2506,0))),"?"))</f>
        <v>11.94</v>
      </c>
      <c r="G1191" s="94" t="n">
        <f aca="false">IF($C1191="","",N(G1190)+N(F1191))</f>
        <v>9598.93999999994</v>
      </c>
      <c r="H1191" s="95"/>
      <c r="I1191" s="96"/>
      <c r="J1191" s="97"/>
    </row>
    <row r="1192" customFormat="false" ht="15" hidden="false" customHeight="false" outlineLevel="0" collapsed="false">
      <c r="B1192" s="98" t="n">
        <v>810</v>
      </c>
      <c r="C1192" s="99" t="n">
        <v>2089250</v>
      </c>
      <c r="D1192" s="100" t="n">
        <f aca="false">IF($C1192="","",IFERROR(IF(INDEX('REGISTRE TUBES'!$C$7:$C$2506,MATCH($C1192,'REGISTRE TUBES'!$B$7:$B$2506,0))="","",INDEX('REGISTRE TUBES'!$C$7:$C$2506,MATCH($C1192,'REGISTRE TUBES'!$B$7:$B$2506,0))),"?"))</f>
        <v>15421108</v>
      </c>
      <c r="E1192" s="100" t="str">
        <f aca="false">IF($C1192="","",IFERROR(IF(INDEX('REGISTRE TUBES'!$D$7:$D$2506,MATCH($C1192,'REGISTRE TUBES'!$B$7:$B$2506,0))="","",INDEX('REGISTRE TUBES'!$D$7:$D$2506,MATCH($C1192,'REGISTRE TUBES'!$B$7:$B$2506,0))),"?"))</f>
        <v/>
      </c>
      <c r="F1192" s="101" t="n">
        <f aca="false">IF($C1192="","",IFERROR(IF(INDEX('REGISTRE TUBES'!$F$7:$F$2506,MATCH($C1192,'REGISTRE TUBES'!$B$7:$B$2506,0))="","",INDEX('REGISTRE TUBES'!$F$7:$F$2506,MATCH($C1192,'REGISTRE TUBES'!$B$7:$B$2506,0))),"?"))</f>
        <v>11.94</v>
      </c>
      <c r="G1192" s="102" t="n">
        <f aca="false">IF($C1192="","",N(G1191)+N(F1192))</f>
        <v>9610.87999999994</v>
      </c>
      <c r="H1192" s="103" t="s">
        <v>2198</v>
      </c>
      <c r="I1192" s="104"/>
      <c r="J1192" s="105"/>
    </row>
    <row r="1193" customFormat="false" ht="15" hidden="false" customHeight="false" outlineLevel="0" collapsed="false">
      <c r="B1193" s="90" t="n">
        <v>811</v>
      </c>
      <c r="C1193" s="91" t="n">
        <v>2084660</v>
      </c>
      <c r="D1193" s="92" t="n">
        <f aca="false">IF($C1193="","",IFERROR(IF(INDEX('REGISTRE TUBES'!$C$7:$C$2506,MATCH($C1193,'REGISTRE TUBES'!$B$7:$B$2506,0))="","",INDEX('REGISTRE TUBES'!$C$7:$C$2506,MATCH($C1193,'REGISTRE TUBES'!$B$7:$B$2506,0))),"?"))</f>
        <v>15421106</v>
      </c>
      <c r="E1193" s="92" t="str">
        <f aca="false">IF($C1193="","",IFERROR(IF(INDEX('REGISTRE TUBES'!$D$7:$D$2506,MATCH($C1193,'REGISTRE TUBES'!$B$7:$B$2506,0))="","",INDEX('REGISTRE TUBES'!$D$7:$D$2506,MATCH($C1193,'REGISTRE TUBES'!$B$7:$B$2506,0))),"?"))</f>
        <v/>
      </c>
      <c r="F1193" s="93" t="n">
        <f aca="false">IF($C1193="","",IFERROR(IF(INDEX('REGISTRE TUBES'!$F$7:$F$2506,MATCH($C1193,'REGISTRE TUBES'!$B$7:$B$2506,0))="","",INDEX('REGISTRE TUBES'!$F$7:$F$2506,MATCH($C1193,'REGISTRE TUBES'!$B$7:$B$2506,0))),"?"))</f>
        <v>11.94</v>
      </c>
      <c r="G1193" s="94" t="n">
        <f aca="false">IF($C1193="","",N(G1192)+N(F1193))</f>
        <v>9622.81999999994</v>
      </c>
      <c r="H1193" s="95"/>
      <c r="I1193" s="96"/>
      <c r="J1193" s="97"/>
    </row>
    <row r="1194" customFormat="false" ht="15" hidden="false" customHeight="false" outlineLevel="0" collapsed="false">
      <c r="B1194" s="98" t="n">
        <v>812</v>
      </c>
      <c r="C1194" s="99" t="n">
        <v>2089670</v>
      </c>
      <c r="D1194" s="100" t="n">
        <f aca="false">IF($C1194="","",IFERROR(IF(INDEX('REGISTRE TUBES'!$C$7:$C$2506,MATCH($C1194,'REGISTRE TUBES'!$B$7:$B$2506,0))="","",INDEX('REGISTRE TUBES'!$C$7:$C$2506,MATCH($C1194,'REGISTRE TUBES'!$B$7:$B$2506,0))),"?"))</f>
        <v>15421109</v>
      </c>
      <c r="E1194" s="100" t="str">
        <f aca="false">IF($C1194="","",IFERROR(IF(INDEX('REGISTRE TUBES'!$D$7:$D$2506,MATCH($C1194,'REGISTRE TUBES'!$B$7:$B$2506,0))="","",INDEX('REGISTRE TUBES'!$D$7:$D$2506,MATCH($C1194,'REGISTRE TUBES'!$B$7:$B$2506,0))),"?"))</f>
        <v/>
      </c>
      <c r="F1194" s="101" t="n">
        <f aca="false">IF($C1194="","",IFERROR(IF(INDEX('REGISTRE TUBES'!$F$7:$F$2506,MATCH($C1194,'REGISTRE TUBES'!$B$7:$B$2506,0))="","",INDEX('REGISTRE TUBES'!$F$7:$F$2506,MATCH($C1194,'REGISTRE TUBES'!$B$7:$B$2506,0))),"?"))</f>
        <v>11.94</v>
      </c>
      <c r="G1194" s="102" t="n">
        <f aca="false">IF($C1194="","",N(G1193)+N(F1194))</f>
        <v>9634.75999999994</v>
      </c>
      <c r="H1194" s="103" t="s">
        <v>2203</v>
      </c>
      <c r="I1194" s="104"/>
      <c r="J1194" s="105"/>
    </row>
    <row r="1195" customFormat="false" ht="15" hidden="false" customHeight="false" outlineLevel="0" collapsed="false">
      <c r="B1195" s="90" t="n">
        <v>813</v>
      </c>
      <c r="C1195" s="91" t="n">
        <v>2088190</v>
      </c>
      <c r="D1195" s="92" t="n">
        <f aca="false">IF($C1195="","",IFERROR(IF(INDEX('REGISTRE TUBES'!$C$7:$C$2506,MATCH($C1195,'REGISTRE TUBES'!$B$7:$B$2506,0))="","",INDEX('REGISTRE TUBES'!$C$7:$C$2506,MATCH($C1195,'REGISTRE TUBES'!$B$7:$B$2506,0))),"?"))</f>
        <v>15421108</v>
      </c>
      <c r="E1195" s="92" t="str">
        <f aca="false">IF($C1195="","",IFERROR(IF(INDEX('REGISTRE TUBES'!$D$7:$D$2506,MATCH($C1195,'REGISTRE TUBES'!$B$7:$B$2506,0))="","",INDEX('REGISTRE TUBES'!$D$7:$D$2506,MATCH($C1195,'REGISTRE TUBES'!$B$7:$B$2506,0))),"?"))</f>
        <v/>
      </c>
      <c r="F1195" s="93" t="n">
        <f aca="false">IF($C1195="","",IFERROR(IF(INDEX('REGISTRE TUBES'!$F$7:$F$2506,MATCH($C1195,'REGISTRE TUBES'!$B$7:$B$2506,0))="","",INDEX('REGISTRE TUBES'!$F$7:$F$2506,MATCH($C1195,'REGISTRE TUBES'!$B$7:$B$2506,0))),"?"))</f>
        <v>11.94</v>
      </c>
      <c r="G1195" s="94" t="n">
        <f aca="false">IF($C1195="","",N(G1194)+N(F1195))</f>
        <v>9646.69999999994</v>
      </c>
      <c r="H1195" s="95" t="s">
        <v>2304</v>
      </c>
      <c r="I1195" s="96"/>
      <c r="J1195" s="97"/>
    </row>
    <row r="1196" customFormat="false" ht="15" hidden="false" customHeight="false" outlineLevel="0" collapsed="false">
      <c r="B1196" s="98" t="n">
        <v>814</v>
      </c>
      <c r="C1196" s="99" t="n">
        <v>2088130</v>
      </c>
      <c r="D1196" s="100" t="n">
        <f aca="false">IF($C1196="","",IFERROR(IF(INDEX('REGISTRE TUBES'!$C$7:$C$2506,MATCH($C1196,'REGISTRE TUBES'!$B$7:$B$2506,0))="","",INDEX('REGISTRE TUBES'!$C$7:$C$2506,MATCH($C1196,'REGISTRE TUBES'!$B$7:$B$2506,0))),"?"))</f>
        <v>15421108</v>
      </c>
      <c r="E1196" s="100" t="str">
        <f aca="false">IF($C1196="","",IFERROR(IF(INDEX('REGISTRE TUBES'!$D$7:$D$2506,MATCH($C1196,'REGISTRE TUBES'!$B$7:$B$2506,0))="","",INDEX('REGISTRE TUBES'!$D$7:$D$2506,MATCH($C1196,'REGISTRE TUBES'!$B$7:$B$2506,0))),"?"))</f>
        <v/>
      </c>
      <c r="F1196" s="101" t="n">
        <f aca="false">IF($C1196="","",IFERROR(IF(INDEX('REGISTRE TUBES'!$F$7:$F$2506,MATCH($C1196,'REGISTRE TUBES'!$B$7:$B$2506,0))="","",INDEX('REGISTRE TUBES'!$F$7:$F$2506,MATCH($C1196,'REGISTRE TUBES'!$B$7:$B$2506,0))),"?"))</f>
        <v>11.94</v>
      </c>
      <c r="G1196" s="102" t="n">
        <f aca="false">IF($C1196="","",N(G1195)+N(F1196))</f>
        <v>9658.63999999994</v>
      </c>
      <c r="H1196" s="103" t="s">
        <v>2204</v>
      </c>
      <c r="I1196" s="104"/>
      <c r="J1196" s="105"/>
    </row>
    <row r="1197" customFormat="false" ht="15" hidden="false" customHeight="false" outlineLevel="0" collapsed="false">
      <c r="B1197" s="90" t="n">
        <v>815</v>
      </c>
      <c r="C1197" s="91" t="n">
        <v>2094530</v>
      </c>
      <c r="D1197" s="92" t="n">
        <f aca="false">IF($C1197="","",IFERROR(IF(INDEX('REGISTRE TUBES'!$C$7:$C$2506,MATCH($C1197,'REGISTRE TUBES'!$B$7:$B$2506,0))="","",INDEX('REGISTRE TUBES'!$C$7:$C$2506,MATCH($C1197,'REGISTRE TUBES'!$B$7:$B$2506,0))),"?"))</f>
        <v>15421111</v>
      </c>
      <c r="E1197" s="92" t="str">
        <f aca="false">IF($C1197="","",IFERROR(IF(INDEX('REGISTRE TUBES'!$D$7:$D$2506,MATCH($C1197,'REGISTRE TUBES'!$B$7:$B$2506,0))="","",INDEX('REGISTRE TUBES'!$D$7:$D$2506,MATCH($C1197,'REGISTRE TUBES'!$B$7:$B$2506,0))),"?"))</f>
        <v/>
      </c>
      <c r="F1197" s="93" t="n">
        <f aca="false">IF($C1197="","",IFERROR(IF(INDEX('REGISTRE TUBES'!$F$7:$F$2506,MATCH($C1197,'REGISTRE TUBES'!$B$7:$B$2506,0))="","",INDEX('REGISTRE TUBES'!$F$7:$F$2506,MATCH($C1197,'REGISTRE TUBES'!$B$7:$B$2506,0))),"?"))</f>
        <v>11.94</v>
      </c>
      <c r="G1197" s="94" t="n">
        <f aca="false">IF($C1197="","",N(G1196)+N(F1197))</f>
        <v>9670.57999999994</v>
      </c>
      <c r="H1197" s="95" t="s">
        <v>2207</v>
      </c>
      <c r="I1197" s="96"/>
      <c r="J1197" s="97"/>
    </row>
    <row r="1198" customFormat="false" ht="15" hidden="false" customHeight="false" outlineLevel="0" collapsed="false">
      <c r="B1198" s="98" t="n">
        <v>816</v>
      </c>
      <c r="C1198" s="99" t="n">
        <v>2097790</v>
      </c>
      <c r="D1198" s="100" t="n">
        <f aca="false">IF($C1198="","",IFERROR(IF(INDEX('REGISTRE TUBES'!$C$7:$C$2506,MATCH($C1198,'REGISTRE TUBES'!$B$7:$B$2506,0))="","",INDEX('REGISTRE TUBES'!$C$7:$C$2506,MATCH($C1198,'REGISTRE TUBES'!$B$7:$B$2506,0))),"?"))</f>
        <v>15421112</v>
      </c>
      <c r="E1198" s="100" t="str">
        <f aca="false">IF($C1198="","",IFERROR(IF(INDEX('REGISTRE TUBES'!$D$7:$D$2506,MATCH($C1198,'REGISTRE TUBES'!$B$7:$B$2506,0))="","",INDEX('REGISTRE TUBES'!$D$7:$D$2506,MATCH($C1198,'REGISTRE TUBES'!$B$7:$B$2506,0))),"?"))</f>
        <v/>
      </c>
      <c r="F1198" s="101" t="n">
        <f aca="false">IF($C1198="","",IFERROR(IF(INDEX('REGISTRE TUBES'!$F$7:$F$2506,MATCH($C1198,'REGISTRE TUBES'!$B$7:$B$2506,0))="","",INDEX('REGISTRE TUBES'!$F$7:$F$2506,MATCH($C1198,'REGISTRE TUBES'!$B$7:$B$2506,0))),"?"))</f>
        <v>11.94</v>
      </c>
      <c r="G1198" s="102" t="n">
        <f aca="false">IF($C1198="","",N(G1197)+N(F1198))</f>
        <v>9682.51999999994</v>
      </c>
      <c r="H1198" s="103"/>
      <c r="I1198" s="104"/>
      <c r="J1198" s="105"/>
    </row>
    <row r="1199" customFormat="false" ht="15" hidden="false" customHeight="false" outlineLevel="0" collapsed="false">
      <c r="B1199" s="90" t="n">
        <v>817</v>
      </c>
      <c r="C1199" s="91" t="n">
        <v>2094620</v>
      </c>
      <c r="D1199" s="92" t="n">
        <f aca="false">IF($C1199="","",IFERROR(IF(INDEX('REGISTRE TUBES'!$C$7:$C$2506,MATCH($C1199,'REGISTRE TUBES'!$B$7:$B$2506,0))="","",INDEX('REGISTRE TUBES'!$C$7:$C$2506,MATCH($C1199,'REGISTRE TUBES'!$B$7:$B$2506,0))),"?"))</f>
        <v>15421111</v>
      </c>
      <c r="E1199" s="92" t="str">
        <f aca="false">IF($C1199="","",IFERROR(IF(INDEX('REGISTRE TUBES'!$D$7:$D$2506,MATCH($C1199,'REGISTRE TUBES'!$B$7:$B$2506,0))="","",INDEX('REGISTRE TUBES'!$D$7:$D$2506,MATCH($C1199,'REGISTRE TUBES'!$B$7:$B$2506,0))),"?"))</f>
        <v/>
      </c>
      <c r="F1199" s="93" t="n">
        <f aca="false">IF($C1199="","",IFERROR(IF(INDEX('REGISTRE TUBES'!$F$7:$F$2506,MATCH($C1199,'REGISTRE TUBES'!$B$7:$B$2506,0))="","",INDEX('REGISTRE TUBES'!$F$7:$F$2506,MATCH($C1199,'REGISTRE TUBES'!$B$7:$B$2506,0))),"?"))</f>
        <v>11.94</v>
      </c>
      <c r="G1199" s="94" t="n">
        <f aca="false">IF($C1199="","",N(G1198)+N(F1199))</f>
        <v>9694.45999999994</v>
      </c>
      <c r="H1199" s="95"/>
      <c r="I1199" s="96"/>
      <c r="J1199" s="97"/>
    </row>
    <row r="1200" customFormat="false" ht="15" hidden="false" customHeight="true" outlineLevel="0" collapsed="false">
      <c r="B1200" s="106" t="s">
        <v>3031</v>
      </c>
      <c r="C1200" s="106"/>
      <c r="D1200" s="106"/>
      <c r="E1200" s="106"/>
      <c r="F1200" s="107" t="n">
        <f aca="false">SUM(F1181:F1199)</f>
        <v>226.86</v>
      </c>
      <c r="G1200" s="108" t="n">
        <f aca="false">IF(COUNT(G1181:G1199)=0,"",MAX(G1181:G1199))</f>
        <v>9694.45999999994</v>
      </c>
      <c r="H1200" s="106" t="str">
        <f aca="false">COUNTA(C1181:C1199)&amp;" tube(s)"</f>
        <v>19 tube(s)</v>
      </c>
      <c r="I1200" s="106"/>
      <c r="J1200" s="106"/>
    </row>
    <row r="1202" customFormat="false" ht="15" hidden="false" customHeight="false" outlineLevel="0" collapsed="false">
      <c r="B1202" s="109" t="s">
        <v>3032</v>
      </c>
      <c r="F1202" s="109" t="s">
        <v>3033</v>
      </c>
      <c r="I1202" s="109" t="s">
        <v>3034</v>
      </c>
    </row>
    <row r="1205" customFormat="false" ht="25.5" hidden="false" customHeight="true" outlineLevel="0" collapsed="false">
      <c r="B1205" s="85" t="s">
        <v>3015</v>
      </c>
      <c r="C1205" s="85"/>
      <c r="D1205" s="85"/>
      <c r="E1205" s="85"/>
      <c r="F1205" s="85"/>
      <c r="G1205" s="85"/>
      <c r="H1205" s="85"/>
      <c r="I1205" s="85"/>
      <c r="J1205" s="85"/>
    </row>
    <row r="1206" customFormat="false" ht="15" hidden="false" customHeight="false" outlineLevel="0" collapsed="false">
      <c r="B1206" s="86" t="str">
        <f aca="false">PARAMÈTRES!$C$4&amp;"   •   Affaire N° "&amp;PARAMÈTRES!$C$5</f>
        <v>Développement des champs gaziers TFT II — réseau de collecte TFT Sud (LIGNE-16)   •   Affaire N° 8546</v>
      </c>
      <c r="C1206" s="86"/>
      <c r="D1206" s="86"/>
      <c r="E1206" s="86"/>
      <c r="F1206" s="86"/>
      <c r="G1206" s="86"/>
      <c r="H1206" s="86"/>
      <c r="I1206" s="86"/>
      <c r="J1206" s="86"/>
    </row>
    <row r="1207" customFormat="false" ht="19.5" hidden="false" customHeight="true" outlineLevel="0" collapsed="false">
      <c r="B1207" s="87" t="s">
        <v>3016</v>
      </c>
      <c r="C1207" s="88" t="s">
        <v>110</v>
      </c>
      <c r="D1207" s="88"/>
      <c r="E1207" s="87" t="s">
        <v>3017</v>
      </c>
      <c r="F1207" s="88" t="s">
        <v>3119</v>
      </c>
      <c r="G1207" s="87" t="s">
        <v>3019</v>
      </c>
      <c r="H1207" s="88" t="s">
        <v>3120</v>
      </c>
      <c r="I1207" s="87" t="s">
        <v>3021</v>
      </c>
      <c r="J1207" s="89"/>
    </row>
    <row r="1208" customFormat="false" ht="27.75" hidden="false" customHeight="true" outlineLevel="0" collapsed="false">
      <c r="B1208" s="71" t="s">
        <v>3022</v>
      </c>
      <c r="C1208" s="71" t="s">
        <v>3023</v>
      </c>
      <c r="D1208" s="71" t="s">
        <v>3024</v>
      </c>
      <c r="E1208" s="71" t="s">
        <v>3025</v>
      </c>
      <c r="F1208" s="71" t="s">
        <v>3026</v>
      </c>
      <c r="G1208" s="71" t="s">
        <v>3027</v>
      </c>
      <c r="H1208" s="71" t="s">
        <v>3028</v>
      </c>
      <c r="I1208" s="71" t="s">
        <v>3029</v>
      </c>
      <c r="J1208" s="71" t="s">
        <v>3030</v>
      </c>
    </row>
    <row r="1209" customFormat="false" ht="15" hidden="false" customHeight="false" outlineLevel="0" collapsed="false">
      <c r="B1209" s="90" t="n">
        <v>818</v>
      </c>
      <c r="C1209" s="91" t="n">
        <v>2093</v>
      </c>
      <c r="D1209" s="92" t="n">
        <f aca="false">IF($C1209="","",IFERROR(IF(INDEX('REGISTRE TUBES'!$C$7:$C$2506,MATCH($C1209,'REGISTRE TUBES'!$B$7:$B$2506,0))="","",INDEX('REGISTRE TUBES'!$C$7:$C$2506,MATCH($C1209,'REGISTRE TUBES'!$B$7:$B$2506,0))),"?"))</f>
        <v>15421110</v>
      </c>
      <c r="E1209" s="92" t="str">
        <f aca="false">IF($C1209="","",IFERROR(IF(INDEX('REGISTRE TUBES'!$D$7:$D$2506,MATCH($C1209,'REGISTRE TUBES'!$B$7:$B$2506,0))="","",INDEX('REGISTRE TUBES'!$D$7:$D$2506,MATCH($C1209,'REGISTRE TUBES'!$B$7:$B$2506,0))),"?"))</f>
        <v/>
      </c>
      <c r="F1209" s="93" t="n">
        <f aca="false">IF($C1209="","",IFERROR(IF(INDEX('REGISTRE TUBES'!$F$7:$F$2506,MATCH($C1209,'REGISTRE TUBES'!$B$7:$B$2506,0))="","",INDEX('REGISTRE TUBES'!$F$7:$F$2506,MATCH($C1209,'REGISTRE TUBES'!$B$7:$B$2506,0))),"?"))</f>
        <v>11.94</v>
      </c>
      <c r="G1209" s="94" t="n">
        <f aca="false">IF($C1209="","",N(G1199)+N(F1209))</f>
        <v>9706.39999999994</v>
      </c>
      <c r="H1209" s="95" t="s">
        <v>2210</v>
      </c>
      <c r="I1209" s="96"/>
      <c r="J1209" s="97"/>
    </row>
    <row r="1210" customFormat="false" ht="15" hidden="false" customHeight="false" outlineLevel="0" collapsed="false">
      <c r="B1210" s="98" t="n">
        <v>819</v>
      </c>
      <c r="C1210" s="99" t="n">
        <v>2093160</v>
      </c>
      <c r="D1210" s="100" t="n">
        <f aca="false">IF($C1210="","",IFERROR(IF(INDEX('REGISTRE TUBES'!$C$7:$C$2506,MATCH($C1210,'REGISTRE TUBES'!$B$7:$B$2506,0))="","",INDEX('REGISTRE TUBES'!$C$7:$C$2506,MATCH($C1210,'REGISTRE TUBES'!$B$7:$B$2506,0))),"?"))</f>
        <v>15421110</v>
      </c>
      <c r="E1210" s="100" t="str">
        <f aca="false">IF($C1210="","",IFERROR(IF(INDEX('REGISTRE TUBES'!$D$7:$D$2506,MATCH($C1210,'REGISTRE TUBES'!$B$7:$B$2506,0))="","",INDEX('REGISTRE TUBES'!$D$7:$D$2506,MATCH($C1210,'REGISTRE TUBES'!$B$7:$B$2506,0))),"?"))</f>
        <v/>
      </c>
      <c r="F1210" s="101" t="n">
        <f aca="false">IF($C1210="","",IFERROR(IF(INDEX('REGISTRE TUBES'!$F$7:$F$2506,MATCH($C1210,'REGISTRE TUBES'!$B$7:$B$2506,0))="","",INDEX('REGISTRE TUBES'!$F$7:$F$2506,MATCH($C1210,'REGISTRE TUBES'!$B$7:$B$2506,0))),"?"))</f>
        <v>11.94</v>
      </c>
      <c r="G1210" s="102" t="n">
        <f aca="false">IF($C1210="","",N(G1209)+N(F1210))</f>
        <v>9718.33999999994</v>
      </c>
      <c r="H1210" s="103" t="s">
        <v>2211</v>
      </c>
      <c r="I1210" s="104"/>
      <c r="J1210" s="105"/>
    </row>
    <row r="1211" customFormat="false" ht="15" hidden="false" customHeight="false" outlineLevel="0" collapsed="false">
      <c r="B1211" s="90" t="n">
        <v>820</v>
      </c>
      <c r="C1211" s="91" t="n">
        <v>2081360</v>
      </c>
      <c r="D1211" s="92" t="n">
        <f aca="false">IF($C1211="","",IFERROR(IF(INDEX('REGISTRE TUBES'!$C$7:$C$2506,MATCH($C1211,'REGISTRE TUBES'!$B$7:$B$2506,0))="","",INDEX('REGISTRE TUBES'!$C$7:$C$2506,MATCH($C1211,'REGISTRE TUBES'!$B$7:$B$2506,0))),"?"))</f>
        <v>15421103</v>
      </c>
      <c r="E1211" s="92" t="str">
        <f aca="false">IF($C1211="","",IFERROR(IF(INDEX('REGISTRE TUBES'!$D$7:$D$2506,MATCH($C1211,'REGISTRE TUBES'!$B$7:$B$2506,0))="","",INDEX('REGISTRE TUBES'!$D$7:$D$2506,MATCH($C1211,'REGISTRE TUBES'!$B$7:$B$2506,0))),"?"))</f>
        <v/>
      </c>
      <c r="F1211" s="93" t="n">
        <f aca="false">IF($C1211="","",IFERROR(IF(INDEX('REGISTRE TUBES'!$F$7:$F$2506,MATCH($C1211,'REGISTRE TUBES'!$B$7:$B$2506,0))="","",INDEX('REGISTRE TUBES'!$F$7:$F$2506,MATCH($C1211,'REGISTRE TUBES'!$B$7:$B$2506,0))),"?"))</f>
        <v>11.94</v>
      </c>
      <c r="G1211" s="94" t="n">
        <f aca="false">IF($C1211="","",N(G1210)+N(F1211))</f>
        <v>9730.27999999994</v>
      </c>
      <c r="H1211" s="95"/>
      <c r="I1211" s="96"/>
      <c r="J1211" s="97"/>
    </row>
    <row r="1212" customFormat="false" ht="15" hidden="false" customHeight="false" outlineLevel="0" collapsed="false">
      <c r="B1212" s="98" t="n">
        <v>821</v>
      </c>
      <c r="C1212" s="99" t="n">
        <v>2092670</v>
      </c>
      <c r="D1212" s="100" t="n">
        <f aca="false">IF($C1212="","",IFERROR(IF(INDEX('REGISTRE TUBES'!$C$7:$C$2506,MATCH($C1212,'REGISTRE TUBES'!$B$7:$B$2506,0))="","",INDEX('REGISTRE TUBES'!$C$7:$C$2506,MATCH($C1212,'REGISTRE TUBES'!$B$7:$B$2506,0))),"?"))</f>
        <v>15421110</v>
      </c>
      <c r="E1212" s="100" t="str">
        <f aca="false">IF($C1212="","",IFERROR(IF(INDEX('REGISTRE TUBES'!$D$7:$D$2506,MATCH($C1212,'REGISTRE TUBES'!$B$7:$B$2506,0))="","",INDEX('REGISTRE TUBES'!$D$7:$D$2506,MATCH($C1212,'REGISTRE TUBES'!$B$7:$B$2506,0))),"?"))</f>
        <v/>
      </c>
      <c r="F1212" s="101" t="n">
        <f aca="false">IF($C1212="","",IFERROR(IF(INDEX('REGISTRE TUBES'!$F$7:$F$2506,MATCH($C1212,'REGISTRE TUBES'!$B$7:$B$2506,0))="","",INDEX('REGISTRE TUBES'!$F$7:$F$2506,MATCH($C1212,'REGISTRE TUBES'!$B$7:$B$2506,0))),"?"))</f>
        <v>11.94</v>
      </c>
      <c r="G1212" s="102" t="n">
        <f aca="false">IF($C1212="","",N(G1211)+N(F1212))</f>
        <v>9742.21999999995</v>
      </c>
      <c r="H1212" s="103" t="s">
        <v>2212</v>
      </c>
      <c r="I1212" s="104"/>
      <c r="J1212" s="105"/>
    </row>
    <row r="1213" customFormat="false" ht="15" hidden="false" customHeight="false" outlineLevel="0" collapsed="false">
      <c r="B1213" s="90" t="n">
        <v>822</v>
      </c>
      <c r="C1213" s="91" t="n">
        <v>2098030</v>
      </c>
      <c r="D1213" s="92" t="n">
        <f aca="false">IF($C1213="","",IFERROR(IF(INDEX('REGISTRE TUBES'!$C$7:$C$2506,MATCH($C1213,'REGISTRE TUBES'!$B$7:$B$2506,0))="","",INDEX('REGISTRE TUBES'!$C$7:$C$2506,MATCH($C1213,'REGISTRE TUBES'!$B$7:$B$2506,0))),"?"))</f>
        <v>15421112</v>
      </c>
      <c r="E1213" s="92" t="str">
        <f aca="false">IF($C1213="","",IFERROR(IF(INDEX('REGISTRE TUBES'!$D$7:$D$2506,MATCH($C1213,'REGISTRE TUBES'!$B$7:$B$2506,0))="","",INDEX('REGISTRE TUBES'!$D$7:$D$2506,MATCH($C1213,'REGISTRE TUBES'!$B$7:$B$2506,0))),"?"))</f>
        <v/>
      </c>
      <c r="F1213" s="93" t="n">
        <f aca="false">IF($C1213="","",IFERROR(IF(INDEX('REGISTRE TUBES'!$F$7:$F$2506,MATCH($C1213,'REGISTRE TUBES'!$B$7:$B$2506,0))="","",INDEX('REGISTRE TUBES'!$F$7:$F$2506,MATCH($C1213,'REGISTRE TUBES'!$B$7:$B$2506,0))),"?"))</f>
        <v>11.94</v>
      </c>
      <c r="G1213" s="94" t="n">
        <f aca="false">IF($C1213="","",N(G1212)+N(F1213))</f>
        <v>9754.15999999995</v>
      </c>
      <c r="H1213" s="95" t="s">
        <v>2214</v>
      </c>
      <c r="I1213" s="96"/>
      <c r="J1213" s="97"/>
    </row>
    <row r="1214" customFormat="false" ht="15" hidden="false" customHeight="false" outlineLevel="0" collapsed="false">
      <c r="B1214" s="98" t="n">
        <v>823</v>
      </c>
      <c r="C1214" s="99" t="n">
        <v>2094030</v>
      </c>
      <c r="D1214" s="100" t="n">
        <f aca="false">IF($C1214="","",IFERROR(IF(INDEX('REGISTRE TUBES'!$C$7:$C$2506,MATCH($C1214,'REGISTRE TUBES'!$B$7:$B$2506,0))="","",INDEX('REGISTRE TUBES'!$C$7:$C$2506,MATCH($C1214,'REGISTRE TUBES'!$B$7:$B$2506,0))),"?"))</f>
        <v>15421110</v>
      </c>
      <c r="E1214" s="100" t="str">
        <f aca="false">IF($C1214="","",IFERROR(IF(INDEX('REGISTRE TUBES'!$D$7:$D$2506,MATCH($C1214,'REGISTRE TUBES'!$B$7:$B$2506,0))="","",INDEX('REGISTRE TUBES'!$D$7:$D$2506,MATCH($C1214,'REGISTRE TUBES'!$B$7:$B$2506,0))),"?"))</f>
        <v/>
      </c>
      <c r="F1214" s="101" t="n">
        <f aca="false">IF($C1214="","",IFERROR(IF(INDEX('REGISTRE TUBES'!$F$7:$F$2506,MATCH($C1214,'REGISTRE TUBES'!$B$7:$B$2506,0))="","",INDEX('REGISTRE TUBES'!$F$7:$F$2506,MATCH($C1214,'REGISTRE TUBES'!$B$7:$B$2506,0))),"?"))</f>
        <v>11.94</v>
      </c>
      <c r="G1214" s="102" t="n">
        <f aca="false">IF($C1214="","",N(G1213)+N(F1214))</f>
        <v>9766.09999999995</v>
      </c>
      <c r="H1214" s="103" t="s">
        <v>2215</v>
      </c>
      <c r="I1214" s="104"/>
      <c r="J1214" s="105"/>
    </row>
    <row r="1215" customFormat="false" ht="15" hidden="false" customHeight="false" outlineLevel="0" collapsed="false">
      <c r="B1215" s="90" t="n">
        <v>824</v>
      </c>
      <c r="C1215" s="91" t="n">
        <v>2078730</v>
      </c>
      <c r="D1215" s="92" t="n">
        <f aca="false">IF($C1215="","",IFERROR(IF(INDEX('REGISTRE TUBES'!$C$7:$C$2506,MATCH($C1215,'REGISTRE TUBES'!$B$7:$B$2506,0))="","",INDEX('REGISTRE TUBES'!$C$7:$C$2506,MATCH($C1215,'REGISTRE TUBES'!$B$7:$B$2506,0))),"?"))</f>
        <v>15421101</v>
      </c>
      <c r="E1215" s="92" t="str">
        <f aca="false">IF($C1215="","",IFERROR(IF(INDEX('REGISTRE TUBES'!$D$7:$D$2506,MATCH($C1215,'REGISTRE TUBES'!$B$7:$B$2506,0))="","",INDEX('REGISTRE TUBES'!$D$7:$D$2506,MATCH($C1215,'REGISTRE TUBES'!$B$7:$B$2506,0))),"?"))</f>
        <v/>
      </c>
      <c r="F1215" s="93" t="n">
        <f aca="false">IF($C1215="","",IFERROR(IF(INDEX('REGISTRE TUBES'!$F$7:$F$2506,MATCH($C1215,'REGISTRE TUBES'!$B$7:$B$2506,0))="","",INDEX('REGISTRE TUBES'!$F$7:$F$2506,MATCH($C1215,'REGISTRE TUBES'!$B$7:$B$2506,0))),"?"))</f>
        <v>11.94</v>
      </c>
      <c r="G1215" s="94" t="n">
        <f aca="false">IF($C1215="","",N(G1214)+N(F1215))</f>
        <v>9778.03999999995</v>
      </c>
      <c r="H1215" s="95" t="s">
        <v>2216</v>
      </c>
      <c r="I1215" s="96"/>
      <c r="J1215" s="97"/>
    </row>
    <row r="1216" customFormat="false" ht="15" hidden="false" customHeight="false" outlineLevel="0" collapsed="false">
      <c r="B1216" s="98" t="n">
        <v>825</v>
      </c>
      <c r="C1216" s="99" t="n">
        <v>2089980</v>
      </c>
      <c r="D1216" s="100" t="n">
        <f aca="false">IF($C1216="","",IFERROR(IF(INDEX('REGISTRE TUBES'!$C$7:$C$2506,MATCH($C1216,'REGISTRE TUBES'!$B$7:$B$2506,0))="","",INDEX('REGISTRE TUBES'!$C$7:$C$2506,MATCH($C1216,'REGISTRE TUBES'!$B$7:$B$2506,0))),"?"))</f>
        <v>15421105</v>
      </c>
      <c r="E1216" s="100" t="str">
        <f aca="false">IF($C1216="","",IFERROR(IF(INDEX('REGISTRE TUBES'!$D$7:$D$2506,MATCH($C1216,'REGISTRE TUBES'!$B$7:$B$2506,0))="","",INDEX('REGISTRE TUBES'!$D$7:$D$2506,MATCH($C1216,'REGISTRE TUBES'!$B$7:$B$2506,0))),"?"))</f>
        <v/>
      </c>
      <c r="F1216" s="101" t="n">
        <f aca="false">IF($C1216="","",IFERROR(IF(INDEX('REGISTRE TUBES'!$F$7:$F$2506,MATCH($C1216,'REGISTRE TUBES'!$B$7:$B$2506,0))="","",INDEX('REGISTRE TUBES'!$F$7:$F$2506,MATCH($C1216,'REGISTRE TUBES'!$B$7:$B$2506,0))),"?"))</f>
        <v>11.94</v>
      </c>
      <c r="G1216" s="102" t="n">
        <f aca="false">IF($C1216="","",N(G1215)+N(F1216))</f>
        <v>9789.97999999995</v>
      </c>
      <c r="H1216" s="103" t="s">
        <v>2219</v>
      </c>
      <c r="I1216" s="104"/>
      <c r="J1216" s="105"/>
    </row>
    <row r="1217" customFormat="false" ht="15" hidden="false" customHeight="false" outlineLevel="0" collapsed="false">
      <c r="B1217" s="90" t="n">
        <v>826</v>
      </c>
      <c r="C1217" s="91" t="n">
        <v>2087680</v>
      </c>
      <c r="D1217" s="92" t="n">
        <f aca="false">IF($C1217="","",IFERROR(IF(INDEX('REGISTRE TUBES'!$C$7:$C$2506,MATCH($C1217,'REGISTRE TUBES'!$B$7:$B$2506,0))="","",INDEX('REGISTRE TUBES'!$C$7:$C$2506,MATCH($C1217,'REGISTRE TUBES'!$B$7:$B$2506,0))),"?"))</f>
        <v>15421108</v>
      </c>
      <c r="E1217" s="92" t="str">
        <f aca="false">IF($C1217="","",IFERROR(IF(INDEX('REGISTRE TUBES'!$D$7:$D$2506,MATCH($C1217,'REGISTRE TUBES'!$B$7:$B$2506,0))="","",INDEX('REGISTRE TUBES'!$D$7:$D$2506,MATCH($C1217,'REGISTRE TUBES'!$B$7:$B$2506,0))),"?"))</f>
        <v/>
      </c>
      <c r="F1217" s="93" t="n">
        <f aca="false">IF($C1217="","",IFERROR(IF(INDEX('REGISTRE TUBES'!$F$7:$F$2506,MATCH($C1217,'REGISTRE TUBES'!$B$7:$B$2506,0))="","",INDEX('REGISTRE TUBES'!$F$7:$F$2506,MATCH($C1217,'REGISTRE TUBES'!$B$7:$B$2506,0))),"?"))</f>
        <v>11.94</v>
      </c>
      <c r="G1217" s="94" t="n">
        <f aca="false">IF($C1217="","",N(G1216)+N(F1217))</f>
        <v>9801.91999999995</v>
      </c>
      <c r="H1217" s="95"/>
      <c r="I1217" s="96"/>
      <c r="J1217" s="97"/>
    </row>
    <row r="1218" customFormat="false" ht="15" hidden="false" customHeight="false" outlineLevel="0" collapsed="false">
      <c r="B1218" s="98" t="n">
        <v>827</v>
      </c>
      <c r="C1218" s="99" t="n">
        <v>2094990</v>
      </c>
      <c r="D1218" s="100" t="n">
        <f aca="false">IF($C1218="","",IFERROR(IF(INDEX('REGISTRE TUBES'!$C$7:$C$2506,MATCH($C1218,'REGISTRE TUBES'!$B$7:$B$2506,0))="","",INDEX('REGISTRE TUBES'!$C$7:$C$2506,MATCH($C1218,'REGISTRE TUBES'!$B$7:$B$2506,0))),"?"))</f>
        <v>15421111</v>
      </c>
      <c r="E1218" s="100" t="str">
        <f aca="false">IF($C1218="","",IFERROR(IF(INDEX('REGISTRE TUBES'!$D$7:$D$2506,MATCH($C1218,'REGISTRE TUBES'!$B$7:$B$2506,0))="","",INDEX('REGISTRE TUBES'!$D$7:$D$2506,MATCH($C1218,'REGISTRE TUBES'!$B$7:$B$2506,0))),"?"))</f>
        <v/>
      </c>
      <c r="F1218" s="101" t="n">
        <f aca="false">IF($C1218="","",IFERROR(IF(INDEX('REGISTRE TUBES'!$F$7:$F$2506,MATCH($C1218,'REGISTRE TUBES'!$B$7:$B$2506,0))="","",INDEX('REGISTRE TUBES'!$F$7:$F$2506,MATCH($C1218,'REGISTRE TUBES'!$B$7:$B$2506,0))),"?"))</f>
        <v>11.94</v>
      </c>
      <c r="G1218" s="102" t="n">
        <f aca="false">IF($C1218="","",N(G1217)+N(F1218))</f>
        <v>9813.85999999995</v>
      </c>
      <c r="H1218" s="103" t="s">
        <v>2220</v>
      </c>
      <c r="I1218" s="104"/>
      <c r="J1218" s="105"/>
    </row>
    <row r="1219" customFormat="false" ht="15" hidden="false" customHeight="false" outlineLevel="0" collapsed="false">
      <c r="B1219" s="90" t="n">
        <v>828</v>
      </c>
      <c r="C1219" s="91" t="n">
        <v>2098210</v>
      </c>
      <c r="D1219" s="92" t="n">
        <f aca="false">IF($C1219="","",IFERROR(IF(INDEX('REGISTRE TUBES'!$C$7:$C$2506,MATCH($C1219,'REGISTRE TUBES'!$B$7:$B$2506,0))="","",INDEX('REGISTRE TUBES'!$C$7:$C$2506,MATCH($C1219,'REGISTRE TUBES'!$B$7:$B$2506,0))),"?"))</f>
        <v>15421112</v>
      </c>
      <c r="E1219" s="92" t="str">
        <f aca="false">IF($C1219="","",IFERROR(IF(INDEX('REGISTRE TUBES'!$D$7:$D$2506,MATCH($C1219,'REGISTRE TUBES'!$B$7:$B$2506,0))="","",INDEX('REGISTRE TUBES'!$D$7:$D$2506,MATCH($C1219,'REGISTRE TUBES'!$B$7:$B$2506,0))),"?"))</f>
        <v/>
      </c>
      <c r="F1219" s="93" t="n">
        <f aca="false">IF($C1219="","",IFERROR(IF(INDEX('REGISTRE TUBES'!$F$7:$F$2506,MATCH($C1219,'REGISTRE TUBES'!$B$7:$B$2506,0))="","",INDEX('REGISTRE TUBES'!$F$7:$F$2506,MATCH($C1219,'REGISTRE TUBES'!$B$7:$B$2506,0))),"?"))</f>
        <v>11.94</v>
      </c>
      <c r="G1219" s="94" t="n">
        <f aca="false">IF($C1219="","",N(G1218)+N(F1219))</f>
        <v>9825.79999999995</v>
      </c>
      <c r="H1219" s="95"/>
      <c r="I1219" s="96"/>
      <c r="J1219" s="97"/>
    </row>
    <row r="1220" customFormat="false" ht="15" hidden="false" customHeight="false" outlineLevel="0" collapsed="false">
      <c r="B1220" s="98" t="n">
        <v>829</v>
      </c>
      <c r="C1220" s="99" t="n">
        <v>2085190</v>
      </c>
      <c r="D1220" s="100" t="n">
        <f aca="false">IF($C1220="","",IFERROR(IF(INDEX('REGISTRE TUBES'!$C$7:$C$2506,MATCH($C1220,'REGISTRE TUBES'!$B$7:$B$2506,0))="","",INDEX('REGISTRE TUBES'!$C$7:$C$2506,MATCH($C1220,'REGISTRE TUBES'!$B$7:$B$2506,0))),"?"))</f>
        <v>15421106</v>
      </c>
      <c r="E1220" s="100" t="str">
        <f aca="false">IF($C1220="","",IFERROR(IF(INDEX('REGISTRE TUBES'!$D$7:$D$2506,MATCH($C1220,'REGISTRE TUBES'!$B$7:$B$2506,0))="","",INDEX('REGISTRE TUBES'!$D$7:$D$2506,MATCH($C1220,'REGISTRE TUBES'!$B$7:$B$2506,0))),"?"))</f>
        <v/>
      </c>
      <c r="F1220" s="101" t="n">
        <f aca="false">IF($C1220="","",IFERROR(IF(INDEX('REGISTRE TUBES'!$F$7:$F$2506,MATCH($C1220,'REGISTRE TUBES'!$B$7:$B$2506,0))="","",INDEX('REGISTRE TUBES'!$F$7:$F$2506,MATCH($C1220,'REGISTRE TUBES'!$B$7:$B$2506,0))),"?"))</f>
        <v>11.94</v>
      </c>
      <c r="G1220" s="102" t="n">
        <f aca="false">IF($C1220="","",N(G1219)+N(F1220))</f>
        <v>9837.73999999995</v>
      </c>
      <c r="H1220" s="103" t="s">
        <v>2224</v>
      </c>
      <c r="I1220" s="104"/>
      <c r="J1220" s="105"/>
    </row>
    <row r="1221" customFormat="false" ht="15" hidden="false" customHeight="false" outlineLevel="0" collapsed="false">
      <c r="B1221" s="90" t="n">
        <v>830</v>
      </c>
      <c r="C1221" s="91" t="n">
        <v>2079170</v>
      </c>
      <c r="D1221" s="92" t="n">
        <f aca="false">IF($C1221="","",IFERROR(IF(INDEX('REGISTRE TUBES'!$C$7:$C$2506,MATCH($C1221,'REGISTRE TUBES'!$B$7:$B$2506,0))="","",INDEX('REGISTRE TUBES'!$C$7:$C$2506,MATCH($C1221,'REGISTRE TUBES'!$B$7:$B$2506,0))),"?"))</f>
        <v>15421102</v>
      </c>
      <c r="E1221" s="92" t="str">
        <f aca="false">IF($C1221="","",IFERROR(IF(INDEX('REGISTRE TUBES'!$D$7:$D$2506,MATCH($C1221,'REGISTRE TUBES'!$B$7:$B$2506,0))="","",INDEX('REGISTRE TUBES'!$D$7:$D$2506,MATCH($C1221,'REGISTRE TUBES'!$B$7:$B$2506,0))),"?"))</f>
        <v/>
      </c>
      <c r="F1221" s="93" t="n">
        <f aca="false">IF($C1221="","",IFERROR(IF(INDEX('REGISTRE TUBES'!$F$7:$F$2506,MATCH($C1221,'REGISTRE TUBES'!$B$7:$B$2506,0))="","",INDEX('REGISTRE TUBES'!$F$7:$F$2506,MATCH($C1221,'REGISTRE TUBES'!$B$7:$B$2506,0))),"?"))</f>
        <v>11.94</v>
      </c>
      <c r="G1221" s="94" t="n">
        <f aca="false">IF($C1221="","",N(G1220)+N(F1221))</f>
        <v>9849.67999999995</v>
      </c>
      <c r="H1221" s="95" t="s">
        <v>2226</v>
      </c>
      <c r="I1221" s="96"/>
      <c r="J1221" s="97"/>
    </row>
    <row r="1222" customFormat="false" ht="15" hidden="false" customHeight="false" outlineLevel="0" collapsed="false">
      <c r="B1222" s="98" t="n">
        <v>831</v>
      </c>
      <c r="C1222" s="99" t="n">
        <v>2088950</v>
      </c>
      <c r="D1222" s="100" t="n">
        <f aca="false">IF($C1222="","",IFERROR(IF(INDEX('REGISTRE TUBES'!$C$7:$C$2506,MATCH($C1222,'REGISTRE TUBES'!$B$7:$B$2506,0))="","",INDEX('REGISTRE TUBES'!$C$7:$C$2506,MATCH($C1222,'REGISTRE TUBES'!$B$7:$B$2506,0))),"?"))</f>
        <v>15421108</v>
      </c>
      <c r="E1222" s="100" t="str">
        <f aca="false">IF($C1222="","",IFERROR(IF(INDEX('REGISTRE TUBES'!$D$7:$D$2506,MATCH($C1222,'REGISTRE TUBES'!$B$7:$B$2506,0))="","",INDEX('REGISTRE TUBES'!$D$7:$D$2506,MATCH($C1222,'REGISTRE TUBES'!$B$7:$B$2506,0))),"?"))</f>
        <v/>
      </c>
      <c r="F1222" s="101" t="n">
        <f aca="false">IF($C1222="","",IFERROR(IF(INDEX('REGISTRE TUBES'!$F$7:$F$2506,MATCH($C1222,'REGISTRE TUBES'!$B$7:$B$2506,0))="","",INDEX('REGISTRE TUBES'!$F$7:$F$2506,MATCH($C1222,'REGISTRE TUBES'!$B$7:$B$2506,0))),"?"))</f>
        <v>11.94</v>
      </c>
      <c r="G1222" s="102" t="n">
        <f aca="false">IF($C1222="","",N(G1221)+N(F1222))</f>
        <v>9861.61999999995</v>
      </c>
      <c r="H1222" s="103" t="s">
        <v>2227</v>
      </c>
      <c r="I1222" s="104"/>
      <c r="J1222" s="105"/>
    </row>
    <row r="1223" customFormat="false" ht="15" hidden="false" customHeight="false" outlineLevel="0" collapsed="false">
      <c r="B1223" s="90" t="n">
        <v>832</v>
      </c>
      <c r="C1223" s="91" t="n">
        <v>2095730</v>
      </c>
      <c r="D1223" s="92" t="n">
        <f aca="false">IF($C1223="","",IFERROR(IF(INDEX('REGISTRE TUBES'!$C$7:$C$2506,MATCH($C1223,'REGISTRE TUBES'!$B$7:$B$2506,0))="","",INDEX('REGISTRE TUBES'!$C$7:$C$2506,MATCH($C1223,'REGISTRE TUBES'!$B$7:$B$2506,0))),"?"))</f>
        <v>15421111</v>
      </c>
      <c r="E1223" s="92" t="str">
        <f aca="false">IF($C1223="","",IFERROR(IF(INDEX('REGISTRE TUBES'!$D$7:$D$2506,MATCH($C1223,'REGISTRE TUBES'!$B$7:$B$2506,0))="","",INDEX('REGISTRE TUBES'!$D$7:$D$2506,MATCH($C1223,'REGISTRE TUBES'!$B$7:$B$2506,0))),"?"))</f>
        <v/>
      </c>
      <c r="F1223" s="93" t="n">
        <f aca="false">IF($C1223="","",IFERROR(IF(INDEX('REGISTRE TUBES'!$F$7:$F$2506,MATCH($C1223,'REGISTRE TUBES'!$B$7:$B$2506,0))="","",INDEX('REGISTRE TUBES'!$F$7:$F$2506,MATCH($C1223,'REGISTRE TUBES'!$B$7:$B$2506,0))),"?"))</f>
        <v>11.94</v>
      </c>
      <c r="G1223" s="94" t="n">
        <f aca="false">IF($C1223="","",N(G1222)+N(F1223))</f>
        <v>9873.55999999995</v>
      </c>
      <c r="H1223" s="95"/>
      <c r="I1223" s="96"/>
      <c r="J1223" s="97"/>
    </row>
    <row r="1224" customFormat="false" ht="15" hidden="false" customHeight="false" outlineLevel="0" collapsed="false">
      <c r="B1224" s="98" t="n">
        <v>833</v>
      </c>
      <c r="C1224" s="99" t="n">
        <v>2078900</v>
      </c>
      <c r="D1224" s="100" t="n">
        <f aca="false">IF($C1224="","",IFERROR(IF(INDEX('REGISTRE TUBES'!$C$7:$C$2506,MATCH($C1224,'REGISTRE TUBES'!$B$7:$B$2506,0))="","",INDEX('REGISTRE TUBES'!$C$7:$C$2506,MATCH($C1224,'REGISTRE TUBES'!$B$7:$B$2506,0))),"?"))</f>
        <v>15421110</v>
      </c>
      <c r="E1224" s="100" t="str">
        <f aca="false">IF($C1224="","",IFERROR(IF(INDEX('REGISTRE TUBES'!$D$7:$D$2506,MATCH($C1224,'REGISTRE TUBES'!$B$7:$B$2506,0))="","",INDEX('REGISTRE TUBES'!$D$7:$D$2506,MATCH($C1224,'REGISTRE TUBES'!$B$7:$B$2506,0))),"?"))</f>
        <v/>
      </c>
      <c r="F1224" s="101" t="n">
        <f aca="false">IF($C1224="","",IFERROR(IF(INDEX('REGISTRE TUBES'!$F$7:$F$2506,MATCH($C1224,'REGISTRE TUBES'!$B$7:$B$2506,0))="","",INDEX('REGISTRE TUBES'!$F$7:$F$2506,MATCH($C1224,'REGISTRE TUBES'!$B$7:$B$2506,0))),"?"))</f>
        <v>11.94</v>
      </c>
      <c r="G1224" s="102" t="n">
        <f aca="false">IF($C1224="","",N(G1223)+N(F1224))</f>
        <v>9885.49999999995</v>
      </c>
      <c r="H1224" s="103" t="s">
        <v>2228</v>
      </c>
      <c r="I1224" s="104"/>
      <c r="J1224" s="105"/>
    </row>
    <row r="1225" customFormat="false" ht="15" hidden="false" customHeight="false" outlineLevel="0" collapsed="false">
      <c r="B1225" s="90" t="n">
        <v>834</v>
      </c>
      <c r="C1225" s="91" t="n">
        <v>2095900</v>
      </c>
      <c r="D1225" s="92" t="n">
        <f aca="false">IF($C1225="","",IFERROR(IF(INDEX('REGISTRE TUBES'!$C$7:$C$2506,MATCH($C1225,'REGISTRE TUBES'!$B$7:$B$2506,0))="","",INDEX('REGISTRE TUBES'!$C$7:$C$2506,MATCH($C1225,'REGISTRE TUBES'!$B$7:$B$2506,0))),"?"))</f>
        <v>15421111</v>
      </c>
      <c r="E1225" s="92" t="str">
        <f aca="false">IF($C1225="","",IFERROR(IF(INDEX('REGISTRE TUBES'!$D$7:$D$2506,MATCH($C1225,'REGISTRE TUBES'!$B$7:$B$2506,0))="","",INDEX('REGISTRE TUBES'!$D$7:$D$2506,MATCH($C1225,'REGISTRE TUBES'!$B$7:$B$2506,0))),"?"))</f>
        <v/>
      </c>
      <c r="F1225" s="93" t="n">
        <f aca="false">IF($C1225="","",IFERROR(IF(INDEX('REGISTRE TUBES'!$F$7:$F$2506,MATCH($C1225,'REGISTRE TUBES'!$B$7:$B$2506,0))="","",INDEX('REGISTRE TUBES'!$F$7:$F$2506,MATCH($C1225,'REGISTRE TUBES'!$B$7:$B$2506,0))),"?"))</f>
        <v>11.94</v>
      </c>
      <c r="G1225" s="94" t="n">
        <f aca="false">IF($C1225="","",N(G1224)+N(F1225))</f>
        <v>9897.43999999995</v>
      </c>
      <c r="H1225" s="95" t="s">
        <v>2230</v>
      </c>
      <c r="I1225" s="96"/>
      <c r="J1225" s="97"/>
    </row>
    <row r="1226" customFormat="false" ht="15" hidden="false" customHeight="false" outlineLevel="0" collapsed="false">
      <c r="B1226" s="98" t="n">
        <v>835</v>
      </c>
      <c r="C1226" s="99" t="n">
        <v>2089970</v>
      </c>
      <c r="D1226" s="100" t="n">
        <f aca="false">IF($C1226="","",IFERROR(IF(INDEX('REGISTRE TUBES'!$C$7:$C$2506,MATCH($C1226,'REGISTRE TUBES'!$B$7:$B$2506,0))="","",INDEX('REGISTRE TUBES'!$C$7:$C$2506,MATCH($C1226,'REGISTRE TUBES'!$B$7:$B$2506,0))),"?"))</f>
        <v>15421109</v>
      </c>
      <c r="E1226" s="100" t="str">
        <f aca="false">IF($C1226="","",IFERROR(IF(INDEX('REGISTRE TUBES'!$D$7:$D$2506,MATCH($C1226,'REGISTRE TUBES'!$B$7:$B$2506,0))="","",INDEX('REGISTRE TUBES'!$D$7:$D$2506,MATCH($C1226,'REGISTRE TUBES'!$B$7:$B$2506,0))),"?"))</f>
        <v/>
      </c>
      <c r="F1226" s="101" t="n">
        <f aca="false">IF($C1226="","",IFERROR(IF(INDEX('REGISTRE TUBES'!$F$7:$F$2506,MATCH($C1226,'REGISTRE TUBES'!$B$7:$B$2506,0))="","",INDEX('REGISTRE TUBES'!$F$7:$F$2506,MATCH($C1226,'REGISTRE TUBES'!$B$7:$B$2506,0))),"?"))</f>
        <v>11.94</v>
      </c>
      <c r="G1226" s="102" t="n">
        <f aca="false">IF($C1226="","",N(G1225)+N(F1226))</f>
        <v>9909.37999999995</v>
      </c>
      <c r="H1226" s="103" t="s">
        <v>2231</v>
      </c>
      <c r="I1226" s="104"/>
      <c r="J1226" s="105"/>
    </row>
    <row r="1227" customFormat="false" ht="15" hidden="false" customHeight="false" outlineLevel="0" collapsed="false">
      <c r="B1227" s="90" t="n">
        <v>836</v>
      </c>
      <c r="C1227" s="91" t="n">
        <v>2096680</v>
      </c>
      <c r="D1227" s="92" t="n">
        <f aca="false">IF($C1227="","",IFERROR(IF(INDEX('REGISTRE TUBES'!$C$7:$C$2506,MATCH($C1227,'REGISTRE TUBES'!$B$7:$B$2506,0))="","",INDEX('REGISTRE TUBES'!$C$7:$C$2506,MATCH($C1227,'REGISTRE TUBES'!$B$7:$B$2506,0))),"?"))</f>
        <v>15421111</v>
      </c>
      <c r="E1227" s="92" t="str">
        <f aca="false">IF($C1227="","",IFERROR(IF(INDEX('REGISTRE TUBES'!$D$7:$D$2506,MATCH($C1227,'REGISTRE TUBES'!$B$7:$B$2506,0))="","",INDEX('REGISTRE TUBES'!$D$7:$D$2506,MATCH($C1227,'REGISTRE TUBES'!$B$7:$B$2506,0))),"?"))</f>
        <v/>
      </c>
      <c r="F1227" s="93" t="n">
        <f aca="false">IF($C1227="","",IFERROR(IF(INDEX('REGISTRE TUBES'!$F$7:$F$2506,MATCH($C1227,'REGISTRE TUBES'!$B$7:$B$2506,0))="","",INDEX('REGISTRE TUBES'!$F$7:$F$2506,MATCH($C1227,'REGISTRE TUBES'!$B$7:$B$2506,0))),"?"))</f>
        <v>11.94</v>
      </c>
      <c r="G1227" s="94" t="n">
        <f aca="false">IF($C1227="","",N(G1226)+N(F1227))</f>
        <v>9921.31999999995</v>
      </c>
      <c r="H1227" s="95"/>
      <c r="I1227" s="96"/>
      <c r="J1227" s="97"/>
    </row>
    <row r="1228" customFormat="false" ht="15" hidden="false" customHeight="true" outlineLevel="0" collapsed="false">
      <c r="B1228" s="106" t="s">
        <v>3031</v>
      </c>
      <c r="C1228" s="106"/>
      <c r="D1228" s="106"/>
      <c r="E1228" s="106"/>
      <c r="F1228" s="107" t="n">
        <f aca="false">SUM(F1209:F1227)</f>
        <v>226.86</v>
      </c>
      <c r="G1228" s="108" t="n">
        <f aca="false">IF(COUNT(G1209:G1227)=0,"",MAX(G1209:G1227))</f>
        <v>9921.31999999995</v>
      </c>
      <c r="H1228" s="106" t="str">
        <f aca="false">COUNTA(C1209:C1227)&amp;" tube(s)"</f>
        <v>19 tube(s)</v>
      </c>
      <c r="I1228" s="106"/>
      <c r="J1228" s="106"/>
    </row>
    <row r="1230" customFormat="false" ht="15" hidden="false" customHeight="false" outlineLevel="0" collapsed="false">
      <c r="B1230" s="109" t="s">
        <v>3032</v>
      </c>
      <c r="F1230" s="109" t="s">
        <v>3033</v>
      </c>
      <c r="I1230" s="109" t="s">
        <v>3034</v>
      </c>
    </row>
    <row r="1233" customFormat="false" ht="25.5" hidden="false" customHeight="true" outlineLevel="0" collapsed="false">
      <c r="B1233" s="85" t="s">
        <v>3015</v>
      </c>
      <c r="C1233" s="85"/>
      <c r="D1233" s="85"/>
      <c r="E1233" s="85"/>
      <c r="F1233" s="85"/>
      <c r="G1233" s="85"/>
      <c r="H1233" s="85"/>
      <c r="I1233" s="85"/>
      <c r="J1233" s="85"/>
    </row>
    <row r="1234" customFormat="false" ht="15" hidden="false" customHeight="false" outlineLevel="0" collapsed="false">
      <c r="B1234" s="86" t="str">
        <f aca="false">PARAMÈTRES!$C$4&amp;"   •   Affaire N° "&amp;PARAMÈTRES!$C$5</f>
        <v>Développement des champs gaziers TFT II — réseau de collecte TFT Sud (LIGNE-16)   •   Affaire N° 8546</v>
      </c>
      <c r="C1234" s="86"/>
      <c r="D1234" s="86"/>
      <c r="E1234" s="86"/>
      <c r="F1234" s="86"/>
      <c r="G1234" s="86"/>
      <c r="H1234" s="86"/>
      <c r="I1234" s="86"/>
      <c r="J1234" s="86"/>
    </row>
    <row r="1235" customFormat="false" ht="19.5" hidden="false" customHeight="true" outlineLevel="0" collapsed="false">
      <c r="B1235" s="87" t="s">
        <v>3016</v>
      </c>
      <c r="C1235" s="88" t="s">
        <v>110</v>
      </c>
      <c r="D1235" s="88"/>
      <c r="E1235" s="87" t="s">
        <v>3017</v>
      </c>
      <c r="F1235" s="88" t="s">
        <v>3121</v>
      </c>
      <c r="G1235" s="87" t="s">
        <v>3019</v>
      </c>
      <c r="H1235" s="88" t="s">
        <v>3122</v>
      </c>
      <c r="I1235" s="87" t="s">
        <v>3021</v>
      </c>
      <c r="J1235" s="89"/>
    </row>
    <row r="1236" customFormat="false" ht="27.75" hidden="false" customHeight="true" outlineLevel="0" collapsed="false">
      <c r="B1236" s="71" t="s">
        <v>3022</v>
      </c>
      <c r="C1236" s="71" t="s">
        <v>3023</v>
      </c>
      <c r="D1236" s="71" t="s">
        <v>3024</v>
      </c>
      <c r="E1236" s="71" t="s">
        <v>3025</v>
      </c>
      <c r="F1236" s="71" t="s">
        <v>3026</v>
      </c>
      <c r="G1236" s="71" t="s">
        <v>3027</v>
      </c>
      <c r="H1236" s="71" t="s">
        <v>3028</v>
      </c>
      <c r="I1236" s="71" t="s">
        <v>3029</v>
      </c>
      <c r="J1236" s="71" t="s">
        <v>3030</v>
      </c>
    </row>
    <row r="1237" customFormat="false" ht="15" hidden="false" customHeight="false" outlineLevel="0" collapsed="false">
      <c r="B1237" s="90" t="n">
        <v>837</v>
      </c>
      <c r="C1237" s="91" t="n">
        <v>2092900</v>
      </c>
      <c r="D1237" s="92" t="n">
        <f aca="false">IF($C1237="","",IFERROR(IF(INDEX('REGISTRE TUBES'!$C$7:$C$2506,MATCH($C1237,'REGISTRE TUBES'!$B$7:$B$2506,0))="","",INDEX('REGISTRE TUBES'!$C$7:$C$2506,MATCH($C1237,'REGISTRE TUBES'!$B$7:$B$2506,0))),"?"))</f>
        <v>15421110</v>
      </c>
      <c r="E1237" s="92" t="str">
        <f aca="false">IF($C1237="","",IFERROR(IF(INDEX('REGISTRE TUBES'!$D$7:$D$2506,MATCH($C1237,'REGISTRE TUBES'!$B$7:$B$2506,0))="","",INDEX('REGISTRE TUBES'!$D$7:$D$2506,MATCH($C1237,'REGISTRE TUBES'!$B$7:$B$2506,0))),"?"))</f>
        <v/>
      </c>
      <c r="F1237" s="93" t="n">
        <f aca="false">IF($C1237="","",IFERROR(IF(INDEX('REGISTRE TUBES'!$F$7:$F$2506,MATCH($C1237,'REGISTRE TUBES'!$B$7:$B$2506,0))="","",INDEX('REGISTRE TUBES'!$F$7:$F$2506,MATCH($C1237,'REGISTRE TUBES'!$B$7:$B$2506,0))),"?"))</f>
        <v>11.94</v>
      </c>
      <c r="G1237" s="94" t="n">
        <f aca="false">IF($C1237="","",N(G1227)+N(F1237))</f>
        <v>9933.25999999995</v>
      </c>
      <c r="H1237" s="95" t="s">
        <v>2232</v>
      </c>
      <c r="I1237" s="96"/>
      <c r="J1237" s="97"/>
    </row>
    <row r="1238" customFormat="false" ht="15" hidden="false" customHeight="false" outlineLevel="0" collapsed="false">
      <c r="B1238" s="98" t="n">
        <v>838</v>
      </c>
      <c r="C1238" s="99" t="n">
        <v>9092900</v>
      </c>
      <c r="D1238" s="100" t="n">
        <f aca="false">IF($C1238="","",IFERROR(IF(INDEX('REGISTRE TUBES'!$C$7:$C$2506,MATCH($C1238,'REGISTRE TUBES'!$B$7:$B$2506,0))="","",INDEX('REGISTRE TUBES'!$C$7:$C$2506,MATCH($C1238,'REGISTRE TUBES'!$B$7:$B$2506,0))),"?"))</f>
        <v>15421110</v>
      </c>
      <c r="E1238" s="100" t="str">
        <f aca="false">IF($C1238="","",IFERROR(IF(INDEX('REGISTRE TUBES'!$D$7:$D$2506,MATCH($C1238,'REGISTRE TUBES'!$B$7:$B$2506,0))="","",INDEX('REGISTRE TUBES'!$D$7:$D$2506,MATCH($C1238,'REGISTRE TUBES'!$B$7:$B$2506,0))),"?"))</f>
        <v/>
      </c>
      <c r="F1238" s="101" t="n">
        <f aca="false">IF($C1238="","",IFERROR(IF(INDEX('REGISTRE TUBES'!$F$7:$F$2506,MATCH($C1238,'REGISTRE TUBES'!$B$7:$B$2506,0))="","",INDEX('REGISTRE TUBES'!$F$7:$F$2506,MATCH($C1238,'REGISTRE TUBES'!$B$7:$B$2506,0))),"?"))</f>
        <v>11.94</v>
      </c>
      <c r="G1238" s="102" t="n">
        <f aca="false">IF($C1238="","",N(G1237)+N(F1238))</f>
        <v>9945.19999999995</v>
      </c>
      <c r="H1238" s="103" t="s">
        <v>2233</v>
      </c>
      <c r="I1238" s="104"/>
      <c r="J1238" s="105"/>
    </row>
    <row r="1239" customFormat="false" ht="15" hidden="false" customHeight="false" outlineLevel="0" collapsed="false">
      <c r="B1239" s="90" t="n">
        <v>839</v>
      </c>
      <c r="C1239" s="91" t="n">
        <v>2080460</v>
      </c>
      <c r="D1239" s="92" t="n">
        <f aca="false">IF($C1239="","",IFERROR(IF(INDEX('REGISTRE TUBES'!$C$7:$C$2506,MATCH($C1239,'REGISTRE TUBES'!$B$7:$B$2506,0))="","",INDEX('REGISTRE TUBES'!$C$7:$C$2506,MATCH($C1239,'REGISTRE TUBES'!$B$7:$B$2506,0))),"?"))</f>
        <v>15421102</v>
      </c>
      <c r="E1239" s="92" t="str">
        <f aca="false">IF($C1239="","",IFERROR(IF(INDEX('REGISTRE TUBES'!$D$7:$D$2506,MATCH($C1239,'REGISTRE TUBES'!$B$7:$B$2506,0))="","",INDEX('REGISTRE TUBES'!$D$7:$D$2506,MATCH($C1239,'REGISTRE TUBES'!$B$7:$B$2506,0))),"?"))</f>
        <v/>
      </c>
      <c r="F1239" s="93" t="n">
        <f aca="false">IF($C1239="","",IFERROR(IF(INDEX('REGISTRE TUBES'!$F$7:$F$2506,MATCH($C1239,'REGISTRE TUBES'!$B$7:$B$2506,0))="","",INDEX('REGISTRE TUBES'!$F$7:$F$2506,MATCH($C1239,'REGISTRE TUBES'!$B$7:$B$2506,0))),"?"))</f>
        <v>11.94</v>
      </c>
      <c r="G1239" s="94" t="n">
        <f aca="false">IF($C1239="","",N(G1238)+N(F1239))</f>
        <v>9957.13999999995</v>
      </c>
      <c r="H1239" s="95"/>
      <c r="I1239" s="96"/>
      <c r="J1239" s="97"/>
    </row>
    <row r="1240" customFormat="false" ht="15" hidden="false" customHeight="false" outlineLevel="0" collapsed="false">
      <c r="B1240" s="98" t="n">
        <v>840</v>
      </c>
      <c r="C1240" s="99" t="n">
        <v>2081960</v>
      </c>
      <c r="D1240" s="100" t="n">
        <f aca="false">IF($C1240="","",IFERROR(IF(INDEX('REGISTRE TUBES'!$C$7:$C$2506,MATCH($C1240,'REGISTRE TUBES'!$B$7:$B$2506,0))="","",INDEX('REGISTRE TUBES'!$C$7:$C$2506,MATCH($C1240,'REGISTRE TUBES'!$B$7:$B$2506,0))),"?"))</f>
        <v>15421104</v>
      </c>
      <c r="E1240" s="100" t="str">
        <f aca="false">IF($C1240="","",IFERROR(IF(INDEX('REGISTRE TUBES'!$D$7:$D$2506,MATCH($C1240,'REGISTRE TUBES'!$B$7:$B$2506,0))="","",INDEX('REGISTRE TUBES'!$D$7:$D$2506,MATCH($C1240,'REGISTRE TUBES'!$B$7:$B$2506,0))),"?"))</f>
        <v/>
      </c>
      <c r="F1240" s="101" t="n">
        <f aca="false">IF($C1240="","",IFERROR(IF(INDEX('REGISTRE TUBES'!$F$7:$F$2506,MATCH($C1240,'REGISTRE TUBES'!$B$7:$B$2506,0))="","",INDEX('REGISTRE TUBES'!$F$7:$F$2506,MATCH($C1240,'REGISTRE TUBES'!$B$7:$B$2506,0))),"?"))</f>
        <v>11.94</v>
      </c>
      <c r="G1240" s="102" t="n">
        <f aca="false">IF($C1240="","",N(G1239)+N(F1240))</f>
        <v>9969.07999999995</v>
      </c>
      <c r="H1240" s="103" t="s">
        <v>2234</v>
      </c>
      <c r="I1240" s="104"/>
      <c r="J1240" s="105"/>
    </row>
    <row r="1241" customFormat="false" ht="15" hidden="false" customHeight="false" outlineLevel="0" collapsed="false">
      <c r="B1241" s="90" t="n">
        <v>841</v>
      </c>
      <c r="C1241" s="91" t="n">
        <v>2090850</v>
      </c>
      <c r="D1241" s="92" t="n">
        <f aca="false">IF($C1241="","",IFERROR(IF(INDEX('REGISTRE TUBES'!$C$7:$C$2506,MATCH($C1241,'REGISTRE TUBES'!$B$7:$B$2506,0))="","",INDEX('REGISTRE TUBES'!$C$7:$C$2506,MATCH($C1241,'REGISTRE TUBES'!$B$7:$B$2506,0))),"?"))</f>
        <v>15421109</v>
      </c>
      <c r="E1241" s="92" t="str">
        <f aca="false">IF($C1241="","",IFERROR(IF(INDEX('REGISTRE TUBES'!$D$7:$D$2506,MATCH($C1241,'REGISTRE TUBES'!$B$7:$B$2506,0))="","",INDEX('REGISTRE TUBES'!$D$7:$D$2506,MATCH($C1241,'REGISTRE TUBES'!$B$7:$B$2506,0))),"?"))</f>
        <v/>
      </c>
      <c r="F1241" s="93" t="n">
        <f aca="false">IF($C1241="","",IFERROR(IF(INDEX('REGISTRE TUBES'!$F$7:$F$2506,MATCH($C1241,'REGISTRE TUBES'!$B$7:$B$2506,0))="","",INDEX('REGISTRE TUBES'!$F$7:$F$2506,MATCH($C1241,'REGISTRE TUBES'!$B$7:$B$2506,0))),"?"))</f>
        <v>11.94</v>
      </c>
      <c r="G1241" s="94" t="n">
        <f aca="false">IF($C1241="","",N(G1240)+N(F1241))</f>
        <v>9981.01999999996</v>
      </c>
      <c r="H1241" s="95"/>
      <c r="I1241" s="96"/>
      <c r="J1241" s="97"/>
    </row>
    <row r="1242" customFormat="false" ht="15" hidden="false" customHeight="false" outlineLevel="0" collapsed="false">
      <c r="B1242" s="98" t="n">
        <v>842</v>
      </c>
      <c r="C1242" s="99" t="n">
        <v>2079370</v>
      </c>
      <c r="D1242" s="100" t="n">
        <f aca="false">IF($C1242="","",IFERROR(IF(INDEX('REGISTRE TUBES'!$C$7:$C$2506,MATCH($C1242,'REGISTRE TUBES'!$B$7:$B$2506,0))="","",INDEX('REGISTRE TUBES'!$C$7:$C$2506,MATCH($C1242,'REGISTRE TUBES'!$B$7:$B$2506,0))),"?"))</f>
        <v>15421102</v>
      </c>
      <c r="E1242" s="100" t="str">
        <f aca="false">IF($C1242="","",IFERROR(IF(INDEX('REGISTRE TUBES'!$D$7:$D$2506,MATCH($C1242,'REGISTRE TUBES'!$B$7:$B$2506,0))="","",INDEX('REGISTRE TUBES'!$D$7:$D$2506,MATCH($C1242,'REGISTRE TUBES'!$B$7:$B$2506,0))),"?"))</f>
        <v/>
      </c>
      <c r="F1242" s="101" t="n">
        <f aca="false">IF($C1242="","",IFERROR(IF(INDEX('REGISTRE TUBES'!$F$7:$F$2506,MATCH($C1242,'REGISTRE TUBES'!$B$7:$B$2506,0))="","",INDEX('REGISTRE TUBES'!$F$7:$F$2506,MATCH($C1242,'REGISTRE TUBES'!$B$7:$B$2506,0))),"?"))</f>
        <v>11.94</v>
      </c>
      <c r="G1242" s="102" t="n">
        <f aca="false">IF($C1242="","",N(G1241)+N(F1242))</f>
        <v>9992.95999999996</v>
      </c>
      <c r="H1242" s="103" t="s">
        <v>2236</v>
      </c>
      <c r="I1242" s="104"/>
      <c r="J1242" s="105"/>
    </row>
    <row r="1243" customFormat="false" ht="15" hidden="false" customHeight="false" outlineLevel="0" collapsed="false">
      <c r="B1243" s="90" t="n">
        <v>843</v>
      </c>
      <c r="C1243" s="91" t="n">
        <v>2091740</v>
      </c>
      <c r="D1243" s="92" t="n">
        <f aca="false">IF($C1243="","",IFERROR(IF(INDEX('REGISTRE TUBES'!$C$7:$C$2506,MATCH($C1243,'REGISTRE TUBES'!$B$7:$B$2506,0))="","",INDEX('REGISTRE TUBES'!$C$7:$C$2506,MATCH($C1243,'REGISTRE TUBES'!$B$7:$B$2506,0))),"?"))</f>
        <v>15421109</v>
      </c>
      <c r="E1243" s="92" t="str">
        <f aca="false">IF($C1243="","",IFERROR(IF(INDEX('REGISTRE TUBES'!$D$7:$D$2506,MATCH($C1243,'REGISTRE TUBES'!$B$7:$B$2506,0))="","",INDEX('REGISTRE TUBES'!$D$7:$D$2506,MATCH($C1243,'REGISTRE TUBES'!$B$7:$B$2506,0))),"?"))</f>
        <v/>
      </c>
      <c r="F1243" s="93" t="n">
        <f aca="false">IF($C1243="","",IFERROR(IF(INDEX('REGISTRE TUBES'!$F$7:$F$2506,MATCH($C1243,'REGISTRE TUBES'!$B$7:$B$2506,0))="","",INDEX('REGISTRE TUBES'!$F$7:$F$2506,MATCH($C1243,'REGISTRE TUBES'!$B$7:$B$2506,0))),"?"))</f>
        <v>11.94</v>
      </c>
      <c r="G1243" s="94" t="n">
        <f aca="false">IF($C1243="","",N(G1242)+N(F1243))</f>
        <v>10004.9</v>
      </c>
      <c r="H1243" s="95" t="s">
        <v>2239</v>
      </c>
      <c r="I1243" s="96"/>
      <c r="J1243" s="97"/>
    </row>
    <row r="1244" customFormat="false" ht="15" hidden="false" customHeight="false" outlineLevel="0" collapsed="false">
      <c r="B1244" s="98" t="n">
        <v>844</v>
      </c>
      <c r="C1244" s="99" t="n">
        <v>2094720</v>
      </c>
      <c r="D1244" s="100" t="n">
        <f aca="false">IF($C1244="","",IFERROR(IF(INDEX('REGISTRE TUBES'!$C$7:$C$2506,MATCH($C1244,'REGISTRE TUBES'!$B$7:$B$2506,0))="","",INDEX('REGISTRE TUBES'!$C$7:$C$2506,MATCH($C1244,'REGISTRE TUBES'!$B$7:$B$2506,0))),"?"))</f>
        <v>15421111</v>
      </c>
      <c r="E1244" s="100" t="str">
        <f aca="false">IF($C1244="","",IFERROR(IF(INDEX('REGISTRE TUBES'!$D$7:$D$2506,MATCH($C1244,'REGISTRE TUBES'!$B$7:$B$2506,0))="","",INDEX('REGISTRE TUBES'!$D$7:$D$2506,MATCH($C1244,'REGISTRE TUBES'!$B$7:$B$2506,0))),"?"))</f>
        <v/>
      </c>
      <c r="F1244" s="101" t="n">
        <f aca="false">IF($C1244="","",IFERROR(IF(INDEX('REGISTRE TUBES'!$F$7:$F$2506,MATCH($C1244,'REGISTRE TUBES'!$B$7:$B$2506,0))="","",INDEX('REGISTRE TUBES'!$F$7:$F$2506,MATCH($C1244,'REGISTRE TUBES'!$B$7:$B$2506,0))),"?"))</f>
        <v>11.94</v>
      </c>
      <c r="G1244" s="102" t="n">
        <f aca="false">IF($C1244="","",N(G1243)+N(F1244))</f>
        <v>10016.84</v>
      </c>
      <c r="H1244" s="103" t="s">
        <v>2241</v>
      </c>
      <c r="I1244" s="104"/>
      <c r="J1244" s="105"/>
    </row>
    <row r="1245" customFormat="false" ht="15" hidden="false" customHeight="false" outlineLevel="0" collapsed="false">
      <c r="B1245" s="90" t="n">
        <v>845</v>
      </c>
      <c r="C1245" s="91" t="n">
        <v>2091310</v>
      </c>
      <c r="D1245" s="92" t="n">
        <f aca="false">IF($C1245="","",IFERROR(IF(INDEX('REGISTRE TUBES'!$C$7:$C$2506,MATCH($C1245,'REGISTRE TUBES'!$B$7:$B$2506,0))="","",INDEX('REGISTRE TUBES'!$C$7:$C$2506,MATCH($C1245,'REGISTRE TUBES'!$B$7:$B$2506,0))),"?"))</f>
        <v>15421109</v>
      </c>
      <c r="E1245" s="92" t="str">
        <f aca="false">IF($C1245="","",IFERROR(IF(INDEX('REGISTRE TUBES'!$D$7:$D$2506,MATCH($C1245,'REGISTRE TUBES'!$B$7:$B$2506,0))="","",INDEX('REGISTRE TUBES'!$D$7:$D$2506,MATCH($C1245,'REGISTRE TUBES'!$B$7:$B$2506,0))),"?"))</f>
        <v/>
      </c>
      <c r="F1245" s="93" t="n">
        <f aca="false">IF($C1245="","",IFERROR(IF(INDEX('REGISTRE TUBES'!$F$7:$F$2506,MATCH($C1245,'REGISTRE TUBES'!$B$7:$B$2506,0))="","",INDEX('REGISTRE TUBES'!$F$7:$F$2506,MATCH($C1245,'REGISTRE TUBES'!$B$7:$B$2506,0))),"?"))</f>
        <v>11.94</v>
      </c>
      <c r="G1245" s="94" t="n">
        <f aca="false">IF($C1245="","",N(G1244)+N(F1245))</f>
        <v>10028.78</v>
      </c>
      <c r="H1245" s="95"/>
      <c r="I1245" s="96"/>
      <c r="J1245" s="97"/>
    </row>
    <row r="1246" customFormat="false" ht="15" hidden="false" customHeight="false" outlineLevel="0" collapsed="false">
      <c r="B1246" s="98" t="n">
        <v>846</v>
      </c>
      <c r="C1246" s="99" t="n">
        <v>2088630</v>
      </c>
      <c r="D1246" s="100" t="n">
        <f aca="false">IF($C1246="","",IFERROR(IF(INDEX('REGISTRE TUBES'!$C$7:$C$2506,MATCH($C1246,'REGISTRE TUBES'!$B$7:$B$2506,0))="","",INDEX('REGISTRE TUBES'!$C$7:$C$2506,MATCH($C1246,'REGISTRE TUBES'!$B$7:$B$2506,0))),"?"))</f>
        <v>15421108</v>
      </c>
      <c r="E1246" s="100" t="str">
        <f aca="false">IF($C1246="","",IFERROR(IF(INDEX('REGISTRE TUBES'!$D$7:$D$2506,MATCH($C1246,'REGISTRE TUBES'!$B$7:$B$2506,0))="","",INDEX('REGISTRE TUBES'!$D$7:$D$2506,MATCH($C1246,'REGISTRE TUBES'!$B$7:$B$2506,0))),"?"))</f>
        <v/>
      </c>
      <c r="F1246" s="101" t="n">
        <f aca="false">IF($C1246="","",IFERROR(IF(INDEX('REGISTRE TUBES'!$F$7:$F$2506,MATCH($C1246,'REGISTRE TUBES'!$B$7:$B$2506,0))="","",INDEX('REGISTRE TUBES'!$F$7:$F$2506,MATCH($C1246,'REGISTRE TUBES'!$B$7:$B$2506,0))),"?"))</f>
        <v>11.95</v>
      </c>
      <c r="G1246" s="102" t="n">
        <f aca="false">IF($C1246="","",N(G1245)+N(F1246))</f>
        <v>10040.73</v>
      </c>
      <c r="H1246" s="103" t="s">
        <v>2242</v>
      </c>
      <c r="I1246" s="104"/>
      <c r="J1246" s="105"/>
    </row>
    <row r="1247" customFormat="false" ht="15" hidden="false" customHeight="false" outlineLevel="0" collapsed="false">
      <c r="B1247" s="90" t="n">
        <v>847</v>
      </c>
      <c r="C1247" s="91" t="n">
        <v>2085110</v>
      </c>
      <c r="D1247" s="92" t="n">
        <f aca="false">IF($C1247="","",IFERROR(IF(INDEX('REGISTRE TUBES'!$C$7:$C$2506,MATCH($C1247,'REGISTRE TUBES'!$B$7:$B$2506,0))="","",INDEX('REGISTRE TUBES'!$C$7:$C$2506,MATCH($C1247,'REGISTRE TUBES'!$B$7:$B$2506,0))),"?"))</f>
        <v>15421106</v>
      </c>
      <c r="E1247" s="92" t="str">
        <f aca="false">IF($C1247="","",IFERROR(IF(INDEX('REGISTRE TUBES'!$D$7:$D$2506,MATCH($C1247,'REGISTRE TUBES'!$B$7:$B$2506,0))="","",INDEX('REGISTRE TUBES'!$D$7:$D$2506,MATCH($C1247,'REGISTRE TUBES'!$B$7:$B$2506,0))),"?"))</f>
        <v/>
      </c>
      <c r="F1247" s="93" t="n">
        <f aca="false">IF($C1247="","",IFERROR(IF(INDEX('REGISTRE TUBES'!$F$7:$F$2506,MATCH($C1247,'REGISTRE TUBES'!$B$7:$B$2506,0))="","",INDEX('REGISTRE TUBES'!$F$7:$F$2506,MATCH($C1247,'REGISTRE TUBES'!$B$7:$B$2506,0))),"?"))</f>
        <v>11.94</v>
      </c>
      <c r="G1247" s="94" t="n">
        <f aca="false">IF($C1247="","",N(G1246)+N(F1247))</f>
        <v>10052.67</v>
      </c>
      <c r="H1247" s="95"/>
      <c r="I1247" s="96"/>
      <c r="J1247" s="97"/>
    </row>
    <row r="1248" customFormat="false" ht="15" hidden="false" customHeight="false" outlineLevel="0" collapsed="false">
      <c r="B1248" s="98" t="n">
        <v>848</v>
      </c>
      <c r="C1248" s="99" t="n">
        <v>2079900</v>
      </c>
      <c r="D1248" s="100" t="n">
        <f aca="false">IF($C1248="","",IFERROR(IF(INDEX('REGISTRE TUBES'!$C$7:$C$2506,MATCH($C1248,'REGISTRE TUBES'!$B$7:$B$2506,0))="","",INDEX('REGISTRE TUBES'!$C$7:$C$2506,MATCH($C1248,'REGISTRE TUBES'!$B$7:$B$2506,0))),"?"))</f>
        <v>15421102</v>
      </c>
      <c r="E1248" s="100" t="str">
        <f aca="false">IF($C1248="","",IFERROR(IF(INDEX('REGISTRE TUBES'!$D$7:$D$2506,MATCH($C1248,'REGISTRE TUBES'!$B$7:$B$2506,0))="","",INDEX('REGISTRE TUBES'!$D$7:$D$2506,MATCH($C1248,'REGISTRE TUBES'!$B$7:$B$2506,0))),"?"))</f>
        <v/>
      </c>
      <c r="F1248" s="101" t="n">
        <f aca="false">IF($C1248="","",IFERROR(IF(INDEX('REGISTRE TUBES'!$F$7:$F$2506,MATCH($C1248,'REGISTRE TUBES'!$B$7:$B$2506,0))="","",INDEX('REGISTRE TUBES'!$F$7:$F$2506,MATCH($C1248,'REGISTRE TUBES'!$B$7:$B$2506,0))),"?"))</f>
        <v>11.94</v>
      </c>
      <c r="G1248" s="102" t="n">
        <f aca="false">IF($C1248="","",N(G1247)+N(F1248))</f>
        <v>10064.61</v>
      </c>
      <c r="H1248" s="103" t="s">
        <v>2250</v>
      </c>
      <c r="I1248" s="104"/>
      <c r="J1248" s="105"/>
    </row>
    <row r="1249" customFormat="false" ht="15" hidden="false" customHeight="false" outlineLevel="0" collapsed="false">
      <c r="B1249" s="90" t="n">
        <v>849</v>
      </c>
      <c r="C1249" s="91" t="n">
        <v>2095390</v>
      </c>
      <c r="D1249" s="92" t="n">
        <f aca="false">IF($C1249="","",IFERROR(IF(INDEX('REGISTRE TUBES'!$C$7:$C$2506,MATCH($C1249,'REGISTRE TUBES'!$B$7:$B$2506,0))="","",INDEX('REGISTRE TUBES'!$C$7:$C$2506,MATCH($C1249,'REGISTRE TUBES'!$B$7:$B$2506,0))),"?"))</f>
        <v>15421111</v>
      </c>
      <c r="E1249" s="92" t="str">
        <f aca="false">IF($C1249="","",IFERROR(IF(INDEX('REGISTRE TUBES'!$D$7:$D$2506,MATCH($C1249,'REGISTRE TUBES'!$B$7:$B$2506,0))="","",INDEX('REGISTRE TUBES'!$D$7:$D$2506,MATCH($C1249,'REGISTRE TUBES'!$B$7:$B$2506,0))),"?"))</f>
        <v/>
      </c>
      <c r="F1249" s="93" t="n">
        <f aca="false">IF($C1249="","",IFERROR(IF(INDEX('REGISTRE TUBES'!$F$7:$F$2506,MATCH($C1249,'REGISTRE TUBES'!$B$7:$B$2506,0))="","",INDEX('REGISTRE TUBES'!$F$7:$F$2506,MATCH($C1249,'REGISTRE TUBES'!$B$7:$B$2506,0))),"?"))</f>
        <v>11.94</v>
      </c>
      <c r="G1249" s="94" t="n">
        <f aca="false">IF($C1249="","",N(G1248)+N(F1249))</f>
        <v>10076.55</v>
      </c>
      <c r="H1249" s="95"/>
      <c r="I1249" s="96"/>
      <c r="J1249" s="97"/>
    </row>
    <row r="1250" customFormat="false" ht="15" hidden="false" customHeight="false" outlineLevel="0" collapsed="false">
      <c r="B1250" s="98" t="n">
        <v>850</v>
      </c>
      <c r="C1250" s="99" t="n">
        <v>9097450</v>
      </c>
      <c r="D1250" s="100" t="n">
        <f aca="false">IF($C1250="","",IFERROR(IF(INDEX('REGISTRE TUBES'!$C$7:$C$2506,MATCH($C1250,'REGISTRE TUBES'!$B$7:$B$2506,0))="","",INDEX('REGISTRE TUBES'!$C$7:$C$2506,MATCH($C1250,'REGISTRE TUBES'!$B$7:$B$2506,0))),"?"))</f>
        <v>15421112</v>
      </c>
      <c r="E1250" s="100" t="str">
        <f aca="false">IF($C1250="","",IFERROR(IF(INDEX('REGISTRE TUBES'!$D$7:$D$2506,MATCH($C1250,'REGISTRE TUBES'!$B$7:$B$2506,0))="","",INDEX('REGISTRE TUBES'!$D$7:$D$2506,MATCH($C1250,'REGISTRE TUBES'!$B$7:$B$2506,0))),"?"))</f>
        <v/>
      </c>
      <c r="F1250" s="101" t="n">
        <f aca="false">IF($C1250="","",IFERROR(IF(INDEX('REGISTRE TUBES'!$F$7:$F$2506,MATCH($C1250,'REGISTRE TUBES'!$B$7:$B$2506,0))="","",INDEX('REGISTRE TUBES'!$F$7:$F$2506,MATCH($C1250,'REGISTRE TUBES'!$B$7:$B$2506,0))),"?"))</f>
        <v>11.94</v>
      </c>
      <c r="G1250" s="102" t="n">
        <f aca="false">IF($C1250="","",N(G1249)+N(F1250))</f>
        <v>10088.49</v>
      </c>
      <c r="H1250" s="103" t="s">
        <v>2264</v>
      </c>
      <c r="I1250" s="104"/>
      <c r="J1250" s="105"/>
    </row>
    <row r="1251" customFormat="false" ht="15" hidden="false" customHeight="false" outlineLevel="0" collapsed="false">
      <c r="B1251" s="90" t="n">
        <v>851</v>
      </c>
      <c r="C1251" s="91" t="n">
        <v>2085470</v>
      </c>
      <c r="D1251" s="92" t="n">
        <f aca="false">IF($C1251="","",IFERROR(IF(INDEX('REGISTRE TUBES'!$C$7:$C$2506,MATCH($C1251,'REGISTRE TUBES'!$B$7:$B$2506,0))="","",INDEX('REGISTRE TUBES'!$C$7:$C$2506,MATCH($C1251,'REGISTRE TUBES'!$B$7:$B$2506,0))),"?"))</f>
        <v>15421107</v>
      </c>
      <c r="E1251" s="92" t="str">
        <f aca="false">IF($C1251="","",IFERROR(IF(INDEX('REGISTRE TUBES'!$D$7:$D$2506,MATCH($C1251,'REGISTRE TUBES'!$B$7:$B$2506,0))="","",INDEX('REGISTRE TUBES'!$D$7:$D$2506,MATCH($C1251,'REGISTRE TUBES'!$B$7:$B$2506,0))),"?"))</f>
        <v/>
      </c>
      <c r="F1251" s="93" t="n">
        <f aca="false">IF($C1251="","",IFERROR(IF(INDEX('REGISTRE TUBES'!$F$7:$F$2506,MATCH($C1251,'REGISTRE TUBES'!$B$7:$B$2506,0))="","",INDEX('REGISTRE TUBES'!$F$7:$F$2506,MATCH($C1251,'REGISTRE TUBES'!$B$7:$B$2506,0))),"?"))</f>
        <v>11.94</v>
      </c>
      <c r="G1251" s="94" t="n">
        <f aca="false">IF($C1251="","",N(G1250)+N(F1251))</f>
        <v>10100.43</v>
      </c>
      <c r="H1251" s="95" t="s">
        <v>2820</v>
      </c>
      <c r="I1251" s="96"/>
      <c r="J1251" s="97"/>
    </row>
    <row r="1252" customFormat="false" ht="15" hidden="false" customHeight="false" outlineLevel="0" collapsed="false">
      <c r="B1252" s="98" t="n">
        <v>852</v>
      </c>
      <c r="C1252" s="99" t="n">
        <v>2080860</v>
      </c>
      <c r="D1252" s="100" t="n">
        <f aca="false">IF($C1252="","",IFERROR(IF(INDEX('REGISTRE TUBES'!$C$7:$C$2506,MATCH($C1252,'REGISTRE TUBES'!$B$7:$B$2506,0))="","",INDEX('REGISTRE TUBES'!$C$7:$C$2506,MATCH($C1252,'REGISTRE TUBES'!$B$7:$B$2506,0))),"?"))</f>
        <v>15421103</v>
      </c>
      <c r="E1252" s="100" t="str">
        <f aca="false">IF($C1252="","",IFERROR(IF(INDEX('REGISTRE TUBES'!$D$7:$D$2506,MATCH($C1252,'REGISTRE TUBES'!$B$7:$B$2506,0))="","",INDEX('REGISTRE TUBES'!$D$7:$D$2506,MATCH($C1252,'REGISTRE TUBES'!$B$7:$B$2506,0))),"?"))</f>
        <v/>
      </c>
      <c r="F1252" s="101" t="n">
        <f aca="false">IF($C1252="","",IFERROR(IF(INDEX('REGISTRE TUBES'!$F$7:$F$2506,MATCH($C1252,'REGISTRE TUBES'!$B$7:$B$2506,0))="","",INDEX('REGISTRE TUBES'!$F$7:$F$2506,MATCH($C1252,'REGISTRE TUBES'!$B$7:$B$2506,0))),"?"))</f>
        <v>11.94</v>
      </c>
      <c r="G1252" s="102" t="n">
        <f aca="false">IF($C1252="","",N(G1251)+N(F1252))</f>
        <v>10112.37</v>
      </c>
      <c r="H1252" s="103" t="s">
        <v>2265</v>
      </c>
      <c r="I1252" s="104"/>
      <c r="J1252" s="105"/>
    </row>
    <row r="1253" customFormat="false" ht="15" hidden="false" customHeight="false" outlineLevel="0" collapsed="false">
      <c r="B1253" s="90" t="n">
        <v>853</v>
      </c>
      <c r="C1253" s="91" t="n">
        <v>2089360</v>
      </c>
      <c r="D1253" s="92" t="n">
        <f aca="false">IF($C1253="","",IFERROR(IF(INDEX('REGISTRE TUBES'!$C$7:$C$2506,MATCH($C1253,'REGISTRE TUBES'!$B$7:$B$2506,0))="","",INDEX('REGISTRE TUBES'!$C$7:$C$2506,MATCH($C1253,'REGISTRE TUBES'!$B$7:$B$2506,0))),"?"))</f>
        <v>15421108</v>
      </c>
      <c r="E1253" s="92" t="str">
        <f aca="false">IF($C1253="","",IFERROR(IF(INDEX('REGISTRE TUBES'!$D$7:$D$2506,MATCH($C1253,'REGISTRE TUBES'!$B$7:$B$2506,0))="","",INDEX('REGISTRE TUBES'!$D$7:$D$2506,MATCH($C1253,'REGISTRE TUBES'!$B$7:$B$2506,0))),"?"))</f>
        <v/>
      </c>
      <c r="F1253" s="93" t="n">
        <f aca="false">IF($C1253="","",IFERROR(IF(INDEX('REGISTRE TUBES'!$F$7:$F$2506,MATCH($C1253,'REGISTRE TUBES'!$B$7:$B$2506,0))="","",INDEX('REGISTRE TUBES'!$F$7:$F$2506,MATCH($C1253,'REGISTRE TUBES'!$B$7:$B$2506,0))),"?"))</f>
        <v>11.94</v>
      </c>
      <c r="G1253" s="94" t="n">
        <f aca="false">IF($C1253="","",N(G1252)+N(F1253))</f>
        <v>10124.31</v>
      </c>
      <c r="H1253" s="95"/>
      <c r="I1253" s="96"/>
      <c r="J1253" s="97"/>
    </row>
    <row r="1254" customFormat="false" ht="15" hidden="false" customHeight="false" outlineLevel="0" collapsed="false">
      <c r="B1254" s="98" t="n">
        <v>854</v>
      </c>
      <c r="C1254" s="99" t="n">
        <v>2090580</v>
      </c>
      <c r="D1254" s="100" t="n">
        <f aca="false">IF($C1254="","",IFERROR(IF(INDEX('REGISTRE TUBES'!$C$7:$C$2506,MATCH($C1254,'REGISTRE TUBES'!$B$7:$B$2506,0))="","",INDEX('REGISTRE TUBES'!$C$7:$C$2506,MATCH($C1254,'REGISTRE TUBES'!$B$7:$B$2506,0))),"?"))</f>
        <v>15421109</v>
      </c>
      <c r="E1254" s="100" t="str">
        <f aca="false">IF($C1254="","",IFERROR(IF(INDEX('REGISTRE TUBES'!$D$7:$D$2506,MATCH($C1254,'REGISTRE TUBES'!$B$7:$B$2506,0))="","",INDEX('REGISTRE TUBES'!$D$7:$D$2506,MATCH($C1254,'REGISTRE TUBES'!$B$7:$B$2506,0))),"?"))</f>
        <v/>
      </c>
      <c r="F1254" s="101" t="n">
        <f aca="false">IF($C1254="","",IFERROR(IF(INDEX('REGISTRE TUBES'!$F$7:$F$2506,MATCH($C1254,'REGISTRE TUBES'!$B$7:$B$2506,0))="","",INDEX('REGISTRE TUBES'!$F$7:$F$2506,MATCH($C1254,'REGISTRE TUBES'!$B$7:$B$2506,0))),"?"))</f>
        <v>11.94</v>
      </c>
      <c r="G1254" s="102" t="n">
        <f aca="false">IF($C1254="","",N(G1253)+N(F1254))</f>
        <v>10136.25</v>
      </c>
      <c r="H1254" s="103" t="s">
        <v>2266</v>
      </c>
      <c r="I1254" s="104"/>
      <c r="J1254" s="105"/>
    </row>
    <row r="1255" customFormat="false" ht="15" hidden="false" customHeight="false" outlineLevel="0" collapsed="false">
      <c r="B1255" s="90" t="n">
        <v>855</v>
      </c>
      <c r="C1255" s="91" t="n">
        <v>2098480</v>
      </c>
      <c r="D1255" s="92" t="n">
        <f aca="false">IF($C1255="","",IFERROR(IF(INDEX('REGISTRE TUBES'!$C$7:$C$2506,MATCH($C1255,'REGISTRE TUBES'!$B$7:$B$2506,0))="","",INDEX('REGISTRE TUBES'!$C$7:$C$2506,MATCH($C1255,'REGISTRE TUBES'!$B$7:$B$2506,0))),"?"))</f>
        <v>15421112</v>
      </c>
      <c r="E1255" s="92" t="str">
        <f aca="false">IF($C1255="","",IFERROR(IF(INDEX('REGISTRE TUBES'!$D$7:$D$2506,MATCH($C1255,'REGISTRE TUBES'!$B$7:$B$2506,0))="","",INDEX('REGISTRE TUBES'!$D$7:$D$2506,MATCH($C1255,'REGISTRE TUBES'!$B$7:$B$2506,0))),"?"))</f>
        <v/>
      </c>
      <c r="F1255" s="93" t="n">
        <f aca="false">IF($C1255="","",IFERROR(IF(INDEX('REGISTRE TUBES'!$F$7:$F$2506,MATCH($C1255,'REGISTRE TUBES'!$B$7:$B$2506,0))="","",INDEX('REGISTRE TUBES'!$F$7:$F$2506,MATCH($C1255,'REGISTRE TUBES'!$B$7:$B$2506,0))),"?"))</f>
        <v>11.94</v>
      </c>
      <c r="G1255" s="94" t="n">
        <f aca="false">IF($C1255="","",N(G1254)+N(F1255))</f>
        <v>10148.19</v>
      </c>
      <c r="H1255" s="95"/>
      <c r="I1255" s="96"/>
      <c r="J1255" s="97"/>
    </row>
    <row r="1256" customFormat="false" ht="15" hidden="false" customHeight="true" outlineLevel="0" collapsed="false">
      <c r="B1256" s="106" t="s">
        <v>3031</v>
      </c>
      <c r="C1256" s="106"/>
      <c r="D1256" s="106"/>
      <c r="E1256" s="106"/>
      <c r="F1256" s="107" t="n">
        <f aca="false">SUM(F1237:F1255)</f>
        <v>226.87</v>
      </c>
      <c r="G1256" s="108" t="n">
        <f aca="false">IF(COUNT(G1237:G1255)=0,"",MAX(G1237:G1255))</f>
        <v>10148.19</v>
      </c>
      <c r="H1256" s="106" t="str">
        <f aca="false">COUNTA(C1237:C1255)&amp;" tube(s)"</f>
        <v>19 tube(s)</v>
      </c>
      <c r="I1256" s="106"/>
      <c r="J1256" s="106"/>
    </row>
    <row r="1258" customFormat="false" ht="15" hidden="false" customHeight="false" outlineLevel="0" collapsed="false">
      <c r="B1258" s="109" t="s">
        <v>3032</v>
      </c>
      <c r="F1258" s="109" t="s">
        <v>3033</v>
      </c>
      <c r="I1258" s="109" t="s">
        <v>3034</v>
      </c>
    </row>
    <row r="1261" customFormat="false" ht="25.5" hidden="false" customHeight="true" outlineLevel="0" collapsed="false">
      <c r="B1261" s="85" t="s">
        <v>3015</v>
      </c>
      <c r="C1261" s="85"/>
      <c r="D1261" s="85"/>
      <c r="E1261" s="85"/>
      <c r="F1261" s="85"/>
      <c r="G1261" s="85"/>
      <c r="H1261" s="85"/>
      <c r="I1261" s="85"/>
      <c r="J1261" s="85"/>
    </row>
    <row r="1262" customFormat="false" ht="15" hidden="false" customHeight="false" outlineLevel="0" collapsed="false">
      <c r="B1262" s="86" t="str">
        <f aca="false">PARAMÈTRES!$C$4&amp;"   •   Affaire N° "&amp;PARAMÈTRES!$C$5</f>
        <v>Développement des champs gaziers TFT II — réseau de collecte TFT Sud (LIGNE-16)   •   Affaire N° 8546</v>
      </c>
      <c r="C1262" s="86"/>
      <c r="D1262" s="86"/>
      <c r="E1262" s="86"/>
      <c r="F1262" s="86"/>
      <c r="G1262" s="86"/>
      <c r="H1262" s="86"/>
      <c r="I1262" s="86"/>
      <c r="J1262" s="86"/>
    </row>
    <row r="1263" customFormat="false" ht="19.5" hidden="false" customHeight="true" outlineLevel="0" collapsed="false">
      <c r="B1263" s="87" t="s">
        <v>3016</v>
      </c>
      <c r="C1263" s="88" t="s">
        <v>110</v>
      </c>
      <c r="D1263" s="88"/>
      <c r="E1263" s="87" t="s">
        <v>3017</v>
      </c>
      <c r="F1263" s="88" t="s">
        <v>3123</v>
      </c>
      <c r="G1263" s="87" t="s">
        <v>3019</v>
      </c>
      <c r="H1263" s="88" t="s">
        <v>3124</v>
      </c>
      <c r="I1263" s="87" t="s">
        <v>3021</v>
      </c>
      <c r="J1263" s="89"/>
    </row>
    <row r="1264" customFormat="false" ht="27.75" hidden="false" customHeight="true" outlineLevel="0" collapsed="false">
      <c r="B1264" s="71" t="s">
        <v>3022</v>
      </c>
      <c r="C1264" s="71" t="s">
        <v>3023</v>
      </c>
      <c r="D1264" s="71" t="s">
        <v>3024</v>
      </c>
      <c r="E1264" s="71" t="s">
        <v>3025</v>
      </c>
      <c r="F1264" s="71" t="s">
        <v>3026</v>
      </c>
      <c r="G1264" s="71" t="s">
        <v>3027</v>
      </c>
      <c r="H1264" s="71" t="s">
        <v>3028</v>
      </c>
      <c r="I1264" s="71" t="s">
        <v>3029</v>
      </c>
      <c r="J1264" s="71" t="s">
        <v>3030</v>
      </c>
    </row>
    <row r="1265" customFormat="false" ht="15" hidden="false" customHeight="false" outlineLevel="0" collapsed="false">
      <c r="B1265" s="90" t="n">
        <v>856</v>
      </c>
      <c r="C1265" s="91" t="n">
        <v>2086750</v>
      </c>
      <c r="D1265" s="92" t="n">
        <f aca="false">IF($C1265="","",IFERROR(IF(INDEX('REGISTRE TUBES'!$C$7:$C$2506,MATCH($C1265,'REGISTRE TUBES'!$B$7:$B$2506,0))="","",INDEX('REGISTRE TUBES'!$C$7:$C$2506,MATCH($C1265,'REGISTRE TUBES'!$B$7:$B$2506,0))),"?"))</f>
        <v>15421107</v>
      </c>
      <c r="E1265" s="92" t="str">
        <f aca="false">IF($C1265="","",IFERROR(IF(INDEX('REGISTRE TUBES'!$D$7:$D$2506,MATCH($C1265,'REGISTRE TUBES'!$B$7:$B$2506,0))="","",INDEX('REGISTRE TUBES'!$D$7:$D$2506,MATCH($C1265,'REGISTRE TUBES'!$B$7:$B$2506,0))),"?"))</f>
        <v/>
      </c>
      <c r="F1265" s="93" t="n">
        <f aca="false">IF($C1265="","",IFERROR(IF(INDEX('REGISTRE TUBES'!$F$7:$F$2506,MATCH($C1265,'REGISTRE TUBES'!$B$7:$B$2506,0))="","",INDEX('REGISTRE TUBES'!$F$7:$F$2506,MATCH($C1265,'REGISTRE TUBES'!$B$7:$B$2506,0))),"?"))</f>
        <v>11.94</v>
      </c>
      <c r="G1265" s="94" t="n">
        <f aca="false">IF($C1265="","",N(G1255)+N(F1265))</f>
        <v>10160.13</v>
      </c>
      <c r="H1265" s="95" t="s">
        <v>2267</v>
      </c>
      <c r="I1265" s="96"/>
      <c r="J1265" s="97"/>
    </row>
    <row r="1266" customFormat="false" ht="15" hidden="false" customHeight="false" outlineLevel="0" collapsed="false">
      <c r="B1266" s="98" t="n">
        <v>857</v>
      </c>
      <c r="C1266" s="99" t="n">
        <v>2083760</v>
      </c>
      <c r="D1266" s="100" t="n">
        <f aca="false">IF($C1266="","",IFERROR(IF(INDEX('REGISTRE TUBES'!$C$7:$C$2506,MATCH($C1266,'REGISTRE TUBES'!$B$7:$B$2506,0))="","",INDEX('REGISTRE TUBES'!$C$7:$C$2506,MATCH($C1266,'REGISTRE TUBES'!$B$7:$B$2506,0))),"?"))</f>
        <v>15421105</v>
      </c>
      <c r="E1266" s="100" t="str">
        <f aca="false">IF($C1266="","",IFERROR(IF(INDEX('REGISTRE TUBES'!$D$7:$D$2506,MATCH($C1266,'REGISTRE TUBES'!$B$7:$B$2506,0))="","",INDEX('REGISTRE TUBES'!$D$7:$D$2506,MATCH($C1266,'REGISTRE TUBES'!$B$7:$B$2506,0))),"?"))</f>
        <v/>
      </c>
      <c r="F1266" s="101" t="n">
        <f aca="false">IF($C1266="","",IFERROR(IF(INDEX('REGISTRE TUBES'!$F$7:$F$2506,MATCH($C1266,'REGISTRE TUBES'!$B$7:$B$2506,0))="","",INDEX('REGISTRE TUBES'!$F$7:$F$2506,MATCH($C1266,'REGISTRE TUBES'!$B$7:$B$2506,0))),"?"))</f>
        <v>11.94</v>
      </c>
      <c r="G1266" s="102" t="n">
        <f aca="false">IF($C1266="","",N(G1265)+N(F1266))</f>
        <v>10172.07</v>
      </c>
      <c r="H1266" s="103"/>
      <c r="I1266" s="104"/>
      <c r="J1266" s="105"/>
    </row>
    <row r="1267" customFormat="false" ht="15" hidden="false" customHeight="false" outlineLevel="0" collapsed="false">
      <c r="B1267" s="90" t="n">
        <v>858</v>
      </c>
      <c r="C1267" s="91" t="n">
        <v>2097100</v>
      </c>
      <c r="D1267" s="92" t="n">
        <f aca="false">IF($C1267="","",IFERROR(IF(INDEX('REGISTRE TUBES'!$C$7:$C$2506,MATCH($C1267,'REGISTRE TUBES'!$B$7:$B$2506,0))="","",INDEX('REGISTRE TUBES'!$C$7:$C$2506,MATCH($C1267,'REGISTRE TUBES'!$B$7:$B$2506,0))),"?"))</f>
        <v>15421112</v>
      </c>
      <c r="E1267" s="92" t="str">
        <f aca="false">IF($C1267="","",IFERROR(IF(INDEX('REGISTRE TUBES'!$D$7:$D$2506,MATCH($C1267,'REGISTRE TUBES'!$B$7:$B$2506,0))="","",INDEX('REGISTRE TUBES'!$D$7:$D$2506,MATCH($C1267,'REGISTRE TUBES'!$B$7:$B$2506,0))),"?"))</f>
        <v/>
      </c>
      <c r="F1267" s="93" t="n">
        <f aca="false">IF($C1267="","",IFERROR(IF(INDEX('REGISTRE TUBES'!$F$7:$F$2506,MATCH($C1267,'REGISTRE TUBES'!$B$7:$B$2506,0))="","",INDEX('REGISTRE TUBES'!$F$7:$F$2506,MATCH($C1267,'REGISTRE TUBES'!$B$7:$B$2506,0))),"?"))</f>
        <v>11.94</v>
      </c>
      <c r="G1267" s="94" t="n">
        <f aca="false">IF($C1267="","",N(G1266)+N(F1267))</f>
        <v>10184.01</v>
      </c>
      <c r="H1267" s="95" t="s">
        <v>2269</v>
      </c>
      <c r="I1267" s="96"/>
      <c r="J1267" s="97"/>
    </row>
    <row r="1268" customFormat="false" ht="15" hidden="false" customHeight="false" outlineLevel="0" collapsed="false">
      <c r="B1268" s="98" t="n">
        <v>859</v>
      </c>
      <c r="C1268" s="99" t="n">
        <v>2089430</v>
      </c>
      <c r="D1268" s="100" t="n">
        <f aca="false">IF($C1268="","",IFERROR(IF(INDEX('REGISTRE TUBES'!$C$7:$C$2506,MATCH($C1268,'REGISTRE TUBES'!$B$7:$B$2506,0))="","",INDEX('REGISTRE TUBES'!$C$7:$C$2506,MATCH($C1268,'REGISTRE TUBES'!$B$7:$B$2506,0))),"?"))</f>
        <v>15421109</v>
      </c>
      <c r="E1268" s="100" t="str">
        <f aca="false">IF($C1268="","",IFERROR(IF(INDEX('REGISTRE TUBES'!$D$7:$D$2506,MATCH($C1268,'REGISTRE TUBES'!$B$7:$B$2506,0))="","",INDEX('REGISTRE TUBES'!$D$7:$D$2506,MATCH($C1268,'REGISTRE TUBES'!$B$7:$B$2506,0))),"?"))</f>
        <v/>
      </c>
      <c r="F1268" s="101" t="n">
        <f aca="false">IF($C1268="","",IFERROR(IF(INDEX('REGISTRE TUBES'!$F$7:$F$2506,MATCH($C1268,'REGISTRE TUBES'!$B$7:$B$2506,0))="","",INDEX('REGISTRE TUBES'!$F$7:$F$2506,MATCH($C1268,'REGISTRE TUBES'!$B$7:$B$2506,0))),"?"))</f>
        <v>11.94</v>
      </c>
      <c r="G1268" s="102" t="n">
        <f aca="false">IF($C1268="","",N(G1267)+N(F1268))</f>
        <v>10195.95</v>
      </c>
      <c r="H1268" s="103"/>
      <c r="I1268" s="104"/>
      <c r="J1268" s="105"/>
    </row>
    <row r="1269" customFormat="false" ht="15" hidden="false" customHeight="false" outlineLevel="0" collapsed="false">
      <c r="B1269" s="90" t="n">
        <v>860</v>
      </c>
      <c r="C1269" s="91" t="n">
        <v>2084090</v>
      </c>
      <c r="D1269" s="92" t="n">
        <f aca="false">IF($C1269="","",IFERROR(IF(INDEX('REGISTRE TUBES'!$C$7:$C$2506,MATCH($C1269,'REGISTRE TUBES'!$B$7:$B$2506,0))="","",INDEX('REGISTRE TUBES'!$C$7:$C$2506,MATCH($C1269,'REGISTRE TUBES'!$B$7:$B$2506,0))),"?"))</f>
        <v>15421106</v>
      </c>
      <c r="E1269" s="92" t="str">
        <f aca="false">IF($C1269="","",IFERROR(IF(INDEX('REGISTRE TUBES'!$D$7:$D$2506,MATCH($C1269,'REGISTRE TUBES'!$B$7:$B$2506,0))="","",INDEX('REGISTRE TUBES'!$D$7:$D$2506,MATCH($C1269,'REGISTRE TUBES'!$B$7:$B$2506,0))),"?"))</f>
        <v/>
      </c>
      <c r="F1269" s="93" t="n">
        <f aca="false">IF($C1269="","",IFERROR(IF(INDEX('REGISTRE TUBES'!$F$7:$F$2506,MATCH($C1269,'REGISTRE TUBES'!$B$7:$B$2506,0))="","",INDEX('REGISTRE TUBES'!$F$7:$F$2506,MATCH($C1269,'REGISTRE TUBES'!$B$7:$B$2506,0))),"?"))</f>
        <v>11.94</v>
      </c>
      <c r="G1269" s="94" t="n">
        <f aca="false">IF($C1269="","",N(G1268)+N(F1269))</f>
        <v>10207.89</v>
      </c>
      <c r="H1269" s="95" t="s">
        <v>2270</v>
      </c>
      <c r="I1269" s="96"/>
      <c r="J1269" s="97"/>
    </row>
    <row r="1270" customFormat="false" ht="15" hidden="false" customHeight="false" outlineLevel="0" collapsed="false">
      <c r="B1270" s="98" t="n">
        <v>861</v>
      </c>
      <c r="C1270" s="99" t="n">
        <v>2097730</v>
      </c>
      <c r="D1270" s="100" t="n">
        <f aca="false">IF($C1270="","",IFERROR(IF(INDEX('REGISTRE TUBES'!$C$7:$C$2506,MATCH($C1270,'REGISTRE TUBES'!$B$7:$B$2506,0))="","",INDEX('REGISTRE TUBES'!$C$7:$C$2506,MATCH($C1270,'REGISTRE TUBES'!$B$7:$B$2506,0))),"?"))</f>
        <v>15421112</v>
      </c>
      <c r="E1270" s="100" t="str">
        <f aca="false">IF($C1270="","",IFERROR(IF(INDEX('REGISTRE TUBES'!$D$7:$D$2506,MATCH($C1270,'REGISTRE TUBES'!$B$7:$B$2506,0))="","",INDEX('REGISTRE TUBES'!$D$7:$D$2506,MATCH($C1270,'REGISTRE TUBES'!$B$7:$B$2506,0))),"?"))</f>
        <v/>
      </c>
      <c r="F1270" s="101" t="n">
        <f aca="false">IF($C1270="","",IFERROR(IF(INDEX('REGISTRE TUBES'!$F$7:$F$2506,MATCH($C1270,'REGISTRE TUBES'!$B$7:$B$2506,0))="","",INDEX('REGISTRE TUBES'!$F$7:$F$2506,MATCH($C1270,'REGISTRE TUBES'!$B$7:$B$2506,0))),"?"))</f>
        <v>11.94</v>
      </c>
      <c r="G1270" s="102" t="n">
        <f aca="false">IF($C1270="","",N(G1269)+N(F1270))</f>
        <v>10219.83</v>
      </c>
      <c r="H1270" s="103"/>
      <c r="I1270" s="104"/>
      <c r="J1270" s="105"/>
    </row>
    <row r="1271" customFormat="false" ht="15" hidden="false" customHeight="false" outlineLevel="0" collapsed="false">
      <c r="B1271" s="90" t="n">
        <v>862</v>
      </c>
      <c r="C1271" s="91" t="n">
        <v>2096440</v>
      </c>
      <c r="D1271" s="92" t="n">
        <f aca="false">IF($C1271="","",IFERROR(IF(INDEX('REGISTRE TUBES'!$C$7:$C$2506,MATCH($C1271,'REGISTRE TUBES'!$B$7:$B$2506,0))="","",INDEX('REGISTRE TUBES'!$C$7:$C$2506,MATCH($C1271,'REGISTRE TUBES'!$B$7:$B$2506,0))),"?"))</f>
        <v>15421111</v>
      </c>
      <c r="E1271" s="92" t="str">
        <f aca="false">IF($C1271="","",IFERROR(IF(INDEX('REGISTRE TUBES'!$D$7:$D$2506,MATCH($C1271,'REGISTRE TUBES'!$B$7:$B$2506,0))="","",INDEX('REGISTRE TUBES'!$D$7:$D$2506,MATCH($C1271,'REGISTRE TUBES'!$B$7:$B$2506,0))),"?"))</f>
        <v/>
      </c>
      <c r="F1271" s="93" t="n">
        <f aca="false">IF($C1271="","",IFERROR(IF(INDEX('REGISTRE TUBES'!$F$7:$F$2506,MATCH($C1271,'REGISTRE TUBES'!$B$7:$B$2506,0))="","",INDEX('REGISTRE TUBES'!$F$7:$F$2506,MATCH($C1271,'REGISTRE TUBES'!$B$7:$B$2506,0))),"?"))</f>
        <v>11.94</v>
      </c>
      <c r="G1271" s="94" t="n">
        <f aca="false">IF($C1271="","",N(G1270)+N(F1271))</f>
        <v>10231.77</v>
      </c>
      <c r="H1271" s="95" t="s">
        <v>2271</v>
      </c>
      <c r="I1271" s="96"/>
      <c r="J1271" s="97"/>
    </row>
    <row r="1272" customFormat="false" ht="15" hidden="false" customHeight="false" outlineLevel="0" collapsed="false">
      <c r="B1272" s="98" t="n">
        <v>863</v>
      </c>
      <c r="C1272" s="99" t="n">
        <v>2081760</v>
      </c>
      <c r="D1272" s="100" t="n">
        <f aca="false">IF($C1272="","",IFERROR(IF(INDEX('REGISTRE TUBES'!$C$7:$C$2506,MATCH($C1272,'REGISTRE TUBES'!$B$7:$B$2506,0))="","",INDEX('REGISTRE TUBES'!$C$7:$C$2506,MATCH($C1272,'REGISTRE TUBES'!$B$7:$B$2506,0))),"?"))</f>
        <v>15421103</v>
      </c>
      <c r="E1272" s="100" t="str">
        <f aca="false">IF($C1272="","",IFERROR(IF(INDEX('REGISTRE TUBES'!$D$7:$D$2506,MATCH($C1272,'REGISTRE TUBES'!$B$7:$B$2506,0))="","",INDEX('REGISTRE TUBES'!$D$7:$D$2506,MATCH($C1272,'REGISTRE TUBES'!$B$7:$B$2506,0))),"?"))</f>
        <v/>
      </c>
      <c r="F1272" s="101" t="n">
        <f aca="false">IF($C1272="","",IFERROR(IF(INDEX('REGISTRE TUBES'!$F$7:$F$2506,MATCH($C1272,'REGISTRE TUBES'!$B$7:$B$2506,0))="","",INDEX('REGISTRE TUBES'!$F$7:$F$2506,MATCH($C1272,'REGISTRE TUBES'!$B$7:$B$2506,0))),"?"))</f>
        <v>11.94</v>
      </c>
      <c r="G1272" s="102" t="n">
        <f aca="false">IF($C1272="","",N(G1271)+N(F1272))</f>
        <v>10243.71</v>
      </c>
      <c r="H1272" s="103"/>
      <c r="I1272" s="104"/>
      <c r="J1272" s="105"/>
    </row>
    <row r="1273" customFormat="false" ht="15" hidden="false" customHeight="false" outlineLevel="0" collapsed="false">
      <c r="B1273" s="90" t="n">
        <v>864</v>
      </c>
      <c r="C1273" s="91" t="n">
        <v>2097340</v>
      </c>
      <c r="D1273" s="92" t="n">
        <f aca="false">IF($C1273="","",IFERROR(IF(INDEX('REGISTRE TUBES'!$C$7:$C$2506,MATCH($C1273,'REGISTRE TUBES'!$B$7:$B$2506,0))="","",INDEX('REGISTRE TUBES'!$C$7:$C$2506,MATCH($C1273,'REGISTRE TUBES'!$B$7:$B$2506,0))),"?"))</f>
        <v>15421111</v>
      </c>
      <c r="E1273" s="92" t="str">
        <f aca="false">IF($C1273="","",IFERROR(IF(INDEX('REGISTRE TUBES'!$D$7:$D$2506,MATCH($C1273,'REGISTRE TUBES'!$B$7:$B$2506,0))="","",INDEX('REGISTRE TUBES'!$D$7:$D$2506,MATCH($C1273,'REGISTRE TUBES'!$B$7:$B$2506,0))),"?"))</f>
        <v/>
      </c>
      <c r="F1273" s="93" t="n">
        <f aca="false">IF($C1273="","",IFERROR(IF(INDEX('REGISTRE TUBES'!$F$7:$F$2506,MATCH($C1273,'REGISTRE TUBES'!$B$7:$B$2506,0))="","",INDEX('REGISTRE TUBES'!$F$7:$F$2506,MATCH($C1273,'REGISTRE TUBES'!$B$7:$B$2506,0))),"?"))</f>
        <v>11.94</v>
      </c>
      <c r="G1273" s="94" t="n">
        <f aca="false">IF($C1273="","",N(G1272)+N(F1273))</f>
        <v>10255.65</v>
      </c>
      <c r="H1273" s="95" t="s">
        <v>2272</v>
      </c>
      <c r="I1273" s="96"/>
      <c r="J1273" s="97"/>
    </row>
    <row r="1274" customFormat="false" ht="15" hidden="false" customHeight="false" outlineLevel="0" collapsed="false">
      <c r="B1274" s="98" t="n">
        <v>865</v>
      </c>
      <c r="C1274" s="99" t="n">
        <v>2090670</v>
      </c>
      <c r="D1274" s="100" t="n">
        <f aca="false">IF($C1274="","",IFERROR(IF(INDEX('REGISTRE TUBES'!$C$7:$C$2506,MATCH($C1274,'REGISTRE TUBES'!$B$7:$B$2506,0))="","",INDEX('REGISTRE TUBES'!$C$7:$C$2506,MATCH($C1274,'REGISTRE TUBES'!$B$7:$B$2506,0))),"?"))</f>
        <v>15421109</v>
      </c>
      <c r="E1274" s="100" t="str">
        <f aca="false">IF($C1274="","",IFERROR(IF(INDEX('REGISTRE TUBES'!$D$7:$D$2506,MATCH($C1274,'REGISTRE TUBES'!$B$7:$B$2506,0))="","",INDEX('REGISTRE TUBES'!$D$7:$D$2506,MATCH($C1274,'REGISTRE TUBES'!$B$7:$B$2506,0))),"?"))</f>
        <v/>
      </c>
      <c r="F1274" s="101" t="n">
        <f aca="false">IF($C1274="","",IFERROR(IF(INDEX('REGISTRE TUBES'!$F$7:$F$2506,MATCH($C1274,'REGISTRE TUBES'!$B$7:$B$2506,0))="","",INDEX('REGISTRE TUBES'!$F$7:$F$2506,MATCH($C1274,'REGISTRE TUBES'!$B$7:$B$2506,0))),"?"))</f>
        <v>11.94</v>
      </c>
      <c r="G1274" s="102" t="n">
        <f aca="false">IF($C1274="","",N(G1273)+N(F1274))</f>
        <v>10267.59</v>
      </c>
      <c r="H1274" s="103"/>
      <c r="I1274" s="104"/>
      <c r="J1274" s="105"/>
    </row>
    <row r="1275" customFormat="false" ht="15" hidden="false" customHeight="false" outlineLevel="0" collapsed="false">
      <c r="B1275" s="90" t="n">
        <v>866</v>
      </c>
      <c r="C1275" s="91" t="n">
        <v>2085880</v>
      </c>
      <c r="D1275" s="92" t="n">
        <f aca="false">IF($C1275="","",IFERROR(IF(INDEX('REGISTRE TUBES'!$C$7:$C$2506,MATCH($C1275,'REGISTRE TUBES'!$B$7:$B$2506,0))="","",INDEX('REGISTRE TUBES'!$C$7:$C$2506,MATCH($C1275,'REGISTRE TUBES'!$B$7:$B$2506,0))),"?"))</f>
        <v>15421107</v>
      </c>
      <c r="E1275" s="92" t="str">
        <f aca="false">IF($C1275="","",IFERROR(IF(INDEX('REGISTRE TUBES'!$D$7:$D$2506,MATCH($C1275,'REGISTRE TUBES'!$B$7:$B$2506,0))="","",INDEX('REGISTRE TUBES'!$D$7:$D$2506,MATCH($C1275,'REGISTRE TUBES'!$B$7:$B$2506,0))),"?"))</f>
        <v/>
      </c>
      <c r="F1275" s="93" t="n">
        <f aca="false">IF($C1275="","",IFERROR(IF(INDEX('REGISTRE TUBES'!$F$7:$F$2506,MATCH($C1275,'REGISTRE TUBES'!$B$7:$B$2506,0))="","",INDEX('REGISTRE TUBES'!$F$7:$F$2506,MATCH($C1275,'REGISTRE TUBES'!$B$7:$B$2506,0))),"?"))</f>
        <v>11.94</v>
      </c>
      <c r="G1275" s="94" t="n">
        <f aca="false">IF($C1275="","",N(G1274)+N(F1275))</f>
        <v>10279.53</v>
      </c>
      <c r="H1275" s="95" t="s">
        <v>2277</v>
      </c>
      <c r="I1275" s="96"/>
      <c r="J1275" s="97"/>
    </row>
    <row r="1276" customFormat="false" ht="15" hidden="false" customHeight="false" outlineLevel="0" collapsed="false">
      <c r="B1276" s="98" t="n">
        <v>867</v>
      </c>
      <c r="C1276" s="99" t="n">
        <v>2085540</v>
      </c>
      <c r="D1276" s="100" t="n">
        <f aca="false">IF($C1276="","",IFERROR(IF(INDEX('REGISTRE TUBES'!$C$7:$C$2506,MATCH($C1276,'REGISTRE TUBES'!$B$7:$B$2506,0))="","",INDEX('REGISTRE TUBES'!$C$7:$C$2506,MATCH($C1276,'REGISTRE TUBES'!$B$7:$B$2506,0))),"?"))</f>
        <v>15421107</v>
      </c>
      <c r="E1276" s="100" t="str">
        <f aca="false">IF($C1276="","",IFERROR(IF(INDEX('REGISTRE TUBES'!$D$7:$D$2506,MATCH($C1276,'REGISTRE TUBES'!$B$7:$B$2506,0))="","",INDEX('REGISTRE TUBES'!$D$7:$D$2506,MATCH($C1276,'REGISTRE TUBES'!$B$7:$B$2506,0))),"?"))</f>
        <v/>
      </c>
      <c r="F1276" s="101" t="n">
        <f aca="false">IF($C1276="","",IFERROR(IF(INDEX('REGISTRE TUBES'!$F$7:$F$2506,MATCH($C1276,'REGISTRE TUBES'!$B$7:$B$2506,0))="","",INDEX('REGISTRE TUBES'!$F$7:$F$2506,MATCH($C1276,'REGISTRE TUBES'!$B$7:$B$2506,0))),"?"))</f>
        <v>11.94</v>
      </c>
      <c r="G1276" s="102" t="n">
        <f aca="false">IF($C1276="","",N(G1275)+N(F1276))</f>
        <v>10291.47</v>
      </c>
      <c r="H1276" s="103" t="s">
        <v>2279</v>
      </c>
      <c r="I1276" s="104"/>
      <c r="J1276" s="105"/>
    </row>
    <row r="1277" customFormat="false" ht="15" hidden="false" customHeight="false" outlineLevel="0" collapsed="false">
      <c r="B1277" s="90" t="n">
        <v>868</v>
      </c>
      <c r="C1277" s="91" t="n">
        <v>2095870</v>
      </c>
      <c r="D1277" s="92" t="n">
        <f aca="false">IF($C1277="","",IFERROR(IF(INDEX('REGISTRE TUBES'!$C$7:$C$2506,MATCH($C1277,'REGISTRE TUBES'!$B$7:$B$2506,0))="","",INDEX('REGISTRE TUBES'!$C$7:$C$2506,MATCH($C1277,'REGISTRE TUBES'!$B$7:$B$2506,0))),"?"))</f>
        <v>15421111</v>
      </c>
      <c r="E1277" s="92" t="str">
        <f aca="false">IF($C1277="","",IFERROR(IF(INDEX('REGISTRE TUBES'!$D$7:$D$2506,MATCH($C1277,'REGISTRE TUBES'!$B$7:$B$2506,0))="","",INDEX('REGISTRE TUBES'!$D$7:$D$2506,MATCH($C1277,'REGISTRE TUBES'!$B$7:$B$2506,0))),"?"))</f>
        <v/>
      </c>
      <c r="F1277" s="93" t="n">
        <f aca="false">IF($C1277="","",IFERROR(IF(INDEX('REGISTRE TUBES'!$F$7:$F$2506,MATCH($C1277,'REGISTRE TUBES'!$B$7:$B$2506,0))="","",INDEX('REGISTRE TUBES'!$F$7:$F$2506,MATCH($C1277,'REGISTRE TUBES'!$B$7:$B$2506,0))),"?"))</f>
        <v>11.94</v>
      </c>
      <c r="G1277" s="94" t="n">
        <f aca="false">IF($C1277="","",N(G1276)+N(F1277))</f>
        <v>10303.41</v>
      </c>
      <c r="H1277" s="95"/>
      <c r="I1277" s="96"/>
      <c r="J1277" s="97"/>
    </row>
    <row r="1278" customFormat="false" ht="15" hidden="false" customHeight="false" outlineLevel="0" collapsed="false">
      <c r="B1278" s="98" t="n">
        <v>869</v>
      </c>
      <c r="C1278" s="99" t="n">
        <v>2095400</v>
      </c>
      <c r="D1278" s="100" t="n">
        <f aca="false">IF($C1278="","",IFERROR(IF(INDEX('REGISTRE TUBES'!$C$7:$C$2506,MATCH($C1278,'REGISTRE TUBES'!$B$7:$B$2506,0))="","",INDEX('REGISTRE TUBES'!$C$7:$C$2506,MATCH($C1278,'REGISTRE TUBES'!$B$7:$B$2506,0))),"?"))</f>
        <v>15421111</v>
      </c>
      <c r="E1278" s="100" t="str">
        <f aca="false">IF($C1278="","",IFERROR(IF(INDEX('REGISTRE TUBES'!$D$7:$D$2506,MATCH($C1278,'REGISTRE TUBES'!$B$7:$B$2506,0))="","",INDEX('REGISTRE TUBES'!$D$7:$D$2506,MATCH($C1278,'REGISTRE TUBES'!$B$7:$B$2506,0))),"?"))</f>
        <v/>
      </c>
      <c r="F1278" s="101" t="n">
        <f aca="false">IF($C1278="","",IFERROR(IF(INDEX('REGISTRE TUBES'!$F$7:$F$2506,MATCH($C1278,'REGISTRE TUBES'!$B$7:$B$2506,0))="","",INDEX('REGISTRE TUBES'!$F$7:$F$2506,MATCH($C1278,'REGISTRE TUBES'!$B$7:$B$2506,0))),"?"))</f>
        <v>11.94</v>
      </c>
      <c r="G1278" s="102" t="n">
        <f aca="false">IF($C1278="","",N(G1277)+N(F1278))</f>
        <v>10315.35</v>
      </c>
      <c r="H1278" s="103" t="s">
        <v>2281</v>
      </c>
      <c r="I1278" s="104"/>
      <c r="J1278" s="105"/>
    </row>
    <row r="1279" customFormat="false" ht="15" hidden="false" customHeight="false" outlineLevel="0" collapsed="false">
      <c r="B1279" s="90" t="n">
        <v>870</v>
      </c>
      <c r="C1279" s="91" t="n">
        <v>2088230</v>
      </c>
      <c r="D1279" s="92" t="n">
        <f aca="false">IF($C1279="","",IFERROR(IF(INDEX('REGISTRE TUBES'!$C$7:$C$2506,MATCH($C1279,'REGISTRE TUBES'!$B$7:$B$2506,0))="","",INDEX('REGISTRE TUBES'!$C$7:$C$2506,MATCH($C1279,'REGISTRE TUBES'!$B$7:$B$2506,0))),"?"))</f>
        <v>15421108</v>
      </c>
      <c r="E1279" s="92" t="str">
        <f aca="false">IF($C1279="","",IFERROR(IF(INDEX('REGISTRE TUBES'!$D$7:$D$2506,MATCH($C1279,'REGISTRE TUBES'!$B$7:$B$2506,0))="","",INDEX('REGISTRE TUBES'!$D$7:$D$2506,MATCH($C1279,'REGISTRE TUBES'!$B$7:$B$2506,0))),"?"))</f>
        <v/>
      </c>
      <c r="F1279" s="93" t="n">
        <f aca="false">IF($C1279="","",IFERROR(IF(INDEX('REGISTRE TUBES'!$F$7:$F$2506,MATCH($C1279,'REGISTRE TUBES'!$B$7:$B$2506,0))="","",INDEX('REGISTRE TUBES'!$F$7:$F$2506,MATCH($C1279,'REGISTRE TUBES'!$B$7:$B$2506,0))),"?"))</f>
        <v>11.94</v>
      </c>
      <c r="G1279" s="94" t="n">
        <f aca="false">IF($C1279="","",N(G1278)+N(F1279))</f>
        <v>10327.29</v>
      </c>
      <c r="H1279" s="95" t="s">
        <v>2283</v>
      </c>
      <c r="I1279" s="96"/>
      <c r="J1279" s="97"/>
    </row>
    <row r="1280" customFormat="false" ht="15" hidden="false" customHeight="false" outlineLevel="0" collapsed="false">
      <c r="B1280" s="98" t="n">
        <v>871</v>
      </c>
      <c r="C1280" s="99" t="n">
        <v>2085170</v>
      </c>
      <c r="D1280" s="100" t="n">
        <f aca="false">IF($C1280="","",IFERROR(IF(INDEX('REGISTRE TUBES'!$C$7:$C$2506,MATCH($C1280,'REGISTRE TUBES'!$B$7:$B$2506,0))="","",INDEX('REGISTRE TUBES'!$C$7:$C$2506,MATCH($C1280,'REGISTRE TUBES'!$B$7:$B$2506,0))),"?"))</f>
        <v>15421106</v>
      </c>
      <c r="E1280" s="100" t="str">
        <f aca="false">IF($C1280="","",IFERROR(IF(INDEX('REGISTRE TUBES'!$D$7:$D$2506,MATCH($C1280,'REGISTRE TUBES'!$B$7:$B$2506,0))="","",INDEX('REGISTRE TUBES'!$D$7:$D$2506,MATCH($C1280,'REGISTRE TUBES'!$B$7:$B$2506,0))),"?"))</f>
        <v/>
      </c>
      <c r="F1280" s="101" t="n">
        <f aca="false">IF($C1280="","",IFERROR(IF(INDEX('REGISTRE TUBES'!$F$7:$F$2506,MATCH($C1280,'REGISTRE TUBES'!$B$7:$B$2506,0))="","",INDEX('REGISTRE TUBES'!$F$7:$F$2506,MATCH($C1280,'REGISTRE TUBES'!$B$7:$B$2506,0))),"?"))</f>
        <v>11.94</v>
      </c>
      <c r="G1280" s="102" t="n">
        <f aca="false">IF($C1280="","",N(G1279)+N(F1280))</f>
        <v>10339.23</v>
      </c>
      <c r="H1280" s="103" t="s">
        <v>2284</v>
      </c>
      <c r="I1280" s="104"/>
      <c r="J1280" s="105"/>
    </row>
    <row r="1281" customFormat="false" ht="15" hidden="false" customHeight="false" outlineLevel="0" collapsed="false">
      <c r="B1281" s="90" t="n">
        <v>872</v>
      </c>
      <c r="C1281" s="91" t="n">
        <v>2088860</v>
      </c>
      <c r="D1281" s="92" t="n">
        <f aca="false">IF($C1281="","",IFERROR(IF(INDEX('REGISTRE TUBES'!$C$7:$C$2506,MATCH($C1281,'REGISTRE TUBES'!$B$7:$B$2506,0))="","",INDEX('REGISTRE TUBES'!$C$7:$C$2506,MATCH($C1281,'REGISTRE TUBES'!$B$7:$B$2506,0))),"?"))</f>
        <v>15421108</v>
      </c>
      <c r="E1281" s="92" t="str">
        <f aca="false">IF($C1281="","",IFERROR(IF(INDEX('REGISTRE TUBES'!$D$7:$D$2506,MATCH($C1281,'REGISTRE TUBES'!$B$7:$B$2506,0))="","",INDEX('REGISTRE TUBES'!$D$7:$D$2506,MATCH($C1281,'REGISTRE TUBES'!$B$7:$B$2506,0))),"?"))</f>
        <v/>
      </c>
      <c r="F1281" s="93" t="n">
        <f aca="false">IF($C1281="","",IFERROR(IF(INDEX('REGISTRE TUBES'!$F$7:$F$2506,MATCH($C1281,'REGISTRE TUBES'!$B$7:$B$2506,0))="","",INDEX('REGISTRE TUBES'!$F$7:$F$2506,MATCH($C1281,'REGISTRE TUBES'!$B$7:$B$2506,0))),"?"))</f>
        <v>11.94</v>
      </c>
      <c r="G1281" s="94" t="n">
        <f aca="false">IF($C1281="","",N(G1280)+N(F1281))</f>
        <v>10351.17</v>
      </c>
      <c r="H1281" s="95"/>
      <c r="I1281" s="96"/>
      <c r="J1281" s="97"/>
    </row>
    <row r="1282" customFormat="false" ht="15" hidden="false" customHeight="false" outlineLevel="0" collapsed="false">
      <c r="B1282" s="98" t="n">
        <v>873</v>
      </c>
      <c r="C1282" s="99" t="n">
        <v>2082110</v>
      </c>
      <c r="D1282" s="100" t="n">
        <f aca="false">IF($C1282="","",IFERROR(IF(INDEX('REGISTRE TUBES'!$C$7:$C$2506,MATCH($C1282,'REGISTRE TUBES'!$B$7:$B$2506,0))="","",INDEX('REGISTRE TUBES'!$C$7:$C$2506,MATCH($C1282,'REGISTRE TUBES'!$B$7:$B$2506,0))),"?"))</f>
        <v>15421104</v>
      </c>
      <c r="E1282" s="100" t="str">
        <f aca="false">IF($C1282="","",IFERROR(IF(INDEX('REGISTRE TUBES'!$D$7:$D$2506,MATCH($C1282,'REGISTRE TUBES'!$B$7:$B$2506,0))="","",INDEX('REGISTRE TUBES'!$D$7:$D$2506,MATCH($C1282,'REGISTRE TUBES'!$B$7:$B$2506,0))),"?"))</f>
        <v/>
      </c>
      <c r="F1282" s="101" t="n">
        <f aca="false">IF($C1282="","",IFERROR(IF(INDEX('REGISTRE TUBES'!$F$7:$F$2506,MATCH($C1282,'REGISTRE TUBES'!$B$7:$B$2506,0))="","",INDEX('REGISTRE TUBES'!$F$7:$F$2506,MATCH($C1282,'REGISTRE TUBES'!$B$7:$B$2506,0))),"?"))</f>
        <v>11.94</v>
      </c>
      <c r="G1282" s="102" t="n">
        <f aca="false">IF($C1282="","",N(G1281)+N(F1282))</f>
        <v>10363.11</v>
      </c>
      <c r="H1282" s="103" t="s">
        <v>2285</v>
      </c>
      <c r="I1282" s="104"/>
      <c r="J1282" s="105"/>
    </row>
    <row r="1283" customFormat="false" ht="15" hidden="false" customHeight="false" outlineLevel="0" collapsed="false">
      <c r="B1283" s="90" t="n">
        <v>874</v>
      </c>
      <c r="C1283" s="91" t="n">
        <v>2088580</v>
      </c>
      <c r="D1283" s="92" t="n">
        <f aca="false">IF($C1283="","",IFERROR(IF(INDEX('REGISTRE TUBES'!$C$7:$C$2506,MATCH($C1283,'REGISTRE TUBES'!$B$7:$B$2506,0))="","",INDEX('REGISTRE TUBES'!$C$7:$C$2506,MATCH($C1283,'REGISTRE TUBES'!$B$7:$B$2506,0))),"?"))</f>
        <v>15421107</v>
      </c>
      <c r="E1283" s="92" t="str">
        <f aca="false">IF($C1283="","",IFERROR(IF(INDEX('REGISTRE TUBES'!$D$7:$D$2506,MATCH($C1283,'REGISTRE TUBES'!$B$7:$B$2506,0))="","",INDEX('REGISTRE TUBES'!$D$7:$D$2506,MATCH($C1283,'REGISTRE TUBES'!$B$7:$B$2506,0))),"?"))</f>
        <v/>
      </c>
      <c r="F1283" s="93" t="n">
        <f aca="false">IF($C1283="","",IFERROR(IF(INDEX('REGISTRE TUBES'!$F$7:$F$2506,MATCH($C1283,'REGISTRE TUBES'!$B$7:$B$2506,0))="","",INDEX('REGISTRE TUBES'!$F$7:$F$2506,MATCH($C1283,'REGISTRE TUBES'!$B$7:$B$2506,0))),"?"))</f>
        <v>11.94</v>
      </c>
      <c r="G1283" s="94" t="n">
        <f aca="false">IF($C1283="","",N(G1282)+N(F1283))</f>
        <v>10375.05</v>
      </c>
      <c r="H1283" s="95" t="s">
        <v>2632</v>
      </c>
      <c r="I1283" s="96"/>
      <c r="J1283" s="97"/>
    </row>
    <row r="1284" customFormat="false" ht="15" hidden="false" customHeight="true" outlineLevel="0" collapsed="false">
      <c r="B1284" s="106" t="s">
        <v>3031</v>
      </c>
      <c r="C1284" s="106"/>
      <c r="D1284" s="106"/>
      <c r="E1284" s="106"/>
      <c r="F1284" s="107" t="n">
        <f aca="false">SUM(F1265:F1283)</f>
        <v>226.86</v>
      </c>
      <c r="G1284" s="108" t="n">
        <f aca="false">IF(COUNT(G1265:G1283)=0,"",MAX(G1265:G1283))</f>
        <v>10375.05</v>
      </c>
      <c r="H1284" s="106" t="str">
        <f aca="false">COUNTA(C1265:C1283)&amp;" tube(s)"</f>
        <v>19 tube(s)</v>
      </c>
      <c r="I1284" s="106"/>
      <c r="J1284" s="106"/>
    </row>
    <row r="1286" customFormat="false" ht="15" hidden="false" customHeight="false" outlineLevel="0" collapsed="false">
      <c r="B1286" s="109" t="s">
        <v>3032</v>
      </c>
      <c r="F1286" s="109" t="s">
        <v>3033</v>
      </c>
      <c r="I1286" s="109" t="s">
        <v>3034</v>
      </c>
    </row>
    <row r="1289" customFormat="false" ht="25.5" hidden="false" customHeight="true" outlineLevel="0" collapsed="false">
      <c r="B1289" s="85" t="s">
        <v>3015</v>
      </c>
      <c r="C1289" s="85"/>
      <c r="D1289" s="85"/>
      <c r="E1289" s="85"/>
      <c r="F1289" s="85"/>
      <c r="G1289" s="85"/>
      <c r="H1289" s="85"/>
      <c r="I1289" s="85"/>
      <c r="J1289" s="85"/>
    </row>
    <row r="1290" customFormat="false" ht="15" hidden="false" customHeight="false" outlineLevel="0" collapsed="false">
      <c r="B1290" s="86" t="str">
        <f aca="false">PARAMÈTRES!$C$4&amp;"   •   Affaire N° "&amp;PARAMÈTRES!$C$5</f>
        <v>Développement des champs gaziers TFT II — réseau de collecte TFT Sud (LIGNE-16)   •   Affaire N° 8546</v>
      </c>
      <c r="C1290" s="86"/>
      <c r="D1290" s="86"/>
      <c r="E1290" s="86"/>
      <c r="F1290" s="86"/>
      <c r="G1290" s="86"/>
      <c r="H1290" s="86"/>
      <c r="I1290" s="86"/>
      <c r="J1290" s="86"/>
    </row>
    <row r="1291" customFormat="false" ht="19.5" hidden="false" customHeight="true" outlineLevel="0" collapsed="false">
      <c r="B1291" s="87" t="s">
        <v>3016</v>
      </c>
      <c r="C1291" s="88" t="s">
        <v>110</v>
      </c>
      <c r="D1291" s="88"/>
      <c r="E1291" s="87" t="s">
        <v>3017</v>
      </c>
      <c r="F1291" s="88" t="s">
        <v>3125</v>
      </c>
      <c r="G1291" s="87" t="s">
        <v>3019</v>
      </c>
      <c r="H1291" s="88" t="s">
        <v>3126</v>
      </c>
      <c r="I1291" s="87" t="s">
        <v>3021</v>
      </c>
      <c r="J1291" s="89"/>
    </row>
    <row r="1292" customFormat="false" ht="27.75" hidden="false" customHeight="true" outlineLevel="0" collapsed="false">
      <c r="B1292" s="71" t="s">
        <v>3022</v>
      </c>
      <c r="C1292" s="71" t="s">
        <v>3023</v>
      </c>
      <c r="D1292" s="71" t="s">
        <v>3024</v>
      </c>
      <c r="E1292" s="71" t="s">
        <v>3025</v>
      </c>
      <c r="F1292" s="71" t="s">
        <v>3026</v>
      </c>
      <c r="G1292" s="71" t="s">
        <v>3027</v>
      </c>
      <c r="H1292" s="71" t="s">
        <v>3028</v>
      </c>
      <c r="I1292" s="71" t="s">
        <v>3029</v>
      </c>
      <c r="J1292" s="71" t="s">
        <v>3030</v>
      </c>
    </row>
    <row r="1293" customFormat="false" ht="15" hidden="false" customHeight="false" outlineLevel="0" collapsed="false">
      <c r="B1293" s="90" t="n">
        <v>875</v>
      </c>
      <c r="C1293" s="91" t="n">
        <v>2085580</v>
      </c>
      <c r="D1293" s="92" t="n">
        <f aca="false">IF($C1293="","",IFERROR(IF(INDEX('REGISTRE TUBES'!$C$7:$C$2506,MATCH($C1293,'REGISTRE TUBES'!$B$7:$B$2506,0))="","",INDEX('REGISTRE TUBES'!$C$7:$C$2506,MATCH($C1293,'REGISTRE TUBES'!$B$7:$B$2506,0))),"?"))</f>
        <v>15421107</v>
      </c>
      <c r="E1293" s="92" t="str">
        <f aca="false">IF($C1293="","",IFERROR(IF(INDEX('REGISTRE TUBES'!$D$7:$D$2506,MATCH($C1293,'REGISTRE TUBES'!$B$7:$B$2506,0))="","",INDEX('REGISTRE TUBES'!$D$7:$D$2506,MATCH($C1293,'REGISTRE TUBES'!$B$7:$B$2506,0))),"?"))</f>
        <v/>
      </c>
      <c r="F1293" s="93" t="n">
        <f aca="false">IF($C1293="","",IFERROR(IF(INDEX('REGISTRE TUBES'!$F$7:$F$2506,MATCH($C1293,'REGISTRE TUBES'!$B$7:$B$2506,0))="","",INDEX('REGISTRE TUBES'!$F$7:$F$2506,MATCH($C1293,'REGISTRE TUBES'!$B$7:$B$2506,0))),"?"))</f>
        <v>11.94</v>
      </c>
      <c r="G1293" s="94" t="n">
        <f aca="false">IF($C1293="","",N(G1283)+N(F1293))</f>
        <v>10386.99</v>
      </c>
      <c r="H1293" s="95" t="s">
        <v>2289</v>
      </c>
      <c r="I1293" s="96"/>
      <c r="J1293" s="97"/>
    </row>
    <row r="1294" customFormat="false" ht="15" hidden="false" customHeight="false" outlineLevel="0" collapsed="false">
      <c r="B1294" s="98" t="n">
        <v>876</v>
      </c>
      <c r="C1294" s="99" t="n">
        <v>2055530</v>
      </c>
      <c r="D1294" s="100" t="n">
        <f aca="false">IF($C1294="","",IFERROR(IF(INDEX('REGISTRE TUBES'!$C$7:$C$2506,MATCH($C1294,'REGISTRE TUBES'!$B$7:$B$2506,0))="","",INDEX('REGISTRE TUBES'!$C$7:$C$2506,MATCH($C1294,'REGISTRE TUBES'!$B$7:$B$2506,0))),"?"))</f>
        <v>15421111</v>
      </c>
      <c r="E1294" s="100" t="str">
        <f aca="false">IF($C1294="","",IFERROR(IF(INDEX('REGISTRE TUBES'!$D$7:$D$2506,MATCH($C1294,'REGISTRE TUBES'!$B$7:$B$2506,0))="","",INDEX('REGISTRE TUBES'!$D$7:$D$2506,MATCH($C1294,'REGISTRE TUBES'!$B$7:$B$2506,0))),"?"))</f>
        <v/>
      </c>
      <c r="F1294" s="101" t="n">
        <f aca="false">IF($C1294="","",IFERROR(IF(INDEX('REGISTRE TUBES'!$F$7:$F$2506,MATCH($C1294,'REGISTRE TUBES'!$B$7:$B$2506,0))="","",INDEX('REGISTRE TUBES'!$F$7:$F$2506,MATCH($C1294,'REGISTRE TUBES'!$B$7:$B$2506,0))),"?"))</f>
        <v>11.94</v>
      </c>
      <c r="G1294" s="102" t="n">
        <f aca="false">IF($C1294="","",N(G1293)+N(F1294))</f>
        <v>10398.93</v>
      </c>
      <c r="H1294" s="103"/>
      <c r="I1294" s="104"/>
      <c r="J1294" s="105"/>
    </row>
    <row r="1295" customFormat="false" ht="15" hidden="false" customHeight="false" outlineLevel="0" collapsed="false">
      <c r="B1295" s="90" t="n">
        <v>877</v>
      </c>
      <c r="C1295" s="91" t="n">
        <v>2095530</v>
      </c>
      <c r="D1295" s="92" t="n">
        <f aca="false">IF($C1295="","",IFERROR(IF(INDEX('REGISTRE TUBES'!$C$7:$C$2506,MATCH($C1295,'REGISTRE TUBES'!$B$7:$B$2506,0))="","",INDEX('REGISTRE TUBES'!$C$7:$C$2506,MATCH($C1295,'REGISTRE TUBES'!$B$7:$B$2506,0))),"?"))</f>
        <v>15421111</v>
      </c>
      <c r="E1295" s="92" t="str">
        <f aca="false">IF($C1295="","",IFERROR(IF(INDEX('REGISTRE TUBES'!$D$7:$D$2506,MATCH($C1295,'REGISTRE TUBES'!$B$7:$B$2506,0))="","",INDEX('REGISTRE TUBES'!$D$7:$D$2506,MATCH($C1295,'REGISTRE TUBES'!$B$7:$B$2506,0))),"?"))</f>
        <v/>
      </c>
      <c r="F1295" s="93" t="n">
        <f aca="false">IF($C1295="","",IFERROR(IF(INDEX('REGISTRE TUBES'!$F$7:$F$2506,MATCH($C1295,'REGISTRE TUBES'!$B$7:$B$2506,0))="","",INDEX('REGISTRE TUBES'!$F$7:$F$2506,MATCH($C1295,'REGISTRE TUBES'!$B$7:$B$2506,0))),"?"))</f>
        <v>11.94</v>
      </c>
      <c r="G1295" s="94" t="n">
        <f aca="false">IF($C1295="","",N(G1294)+N(F1295))</f>
        <v>10410.87</v>
      </c>
      <c r="H1295" s="95" t="s">
        <v>2290</v>
      </c>
      <c r="I1295" s="96"/>
      <c r="J1295" s="97"/>
    </row>
    <row r="1296" customFormat="false" ht="15" hidden="false" customHeight="false" outlineLevel="0" collapsed="false">
      <c r="B1296" s="98" t="n">
        <v>878</v>
      </c>
      <c r="C1296" s="99" t="n">
        <v>2093670</v>
      </c>
      <c r="D1296" s="100" t="n">
        <f aca="false">IF($C1296="","",IFERROR(IF(INDEX('REGISTRE TUBES'!$C$7:$C$2506,MATCH($C1296,'REGISTRE TUBES'!$B$7:$B$2506,0))="","",INDEX('REGISTRE TUBES'!$C$7:$C$2506,MATCH($C1296,'REGISTRE TUBES'!$B$7:$B$2506,0))),"?"))</f>
        <v>15421110</v>
      </c>
      <c r="E1296" s="100" t="str">
        <f aca="false">IF($C1296="","",IFERROR(IF(INDEX('REGISTRE TUBES'!$D$7:$D$2506,MATCH($C1296,'REGISTRE TUBES'!$B$7:$B$2506,0))="","",INDEX('REGISTRE TUBES'!$D$7:$D$2506,MATCH($C1296,'REGISTRE TUBES'!$B$7:$B$2506,0))),"?"))</f>
        <v/>
      </c>
      <c r="F1296" s="101" t="n">
        <f aca="false">IF($C1296="","",IFERROR(IF(INDEX('REGISTRE TUBES'!$F$7:$F$2506,MATCH($C1296,'REGISTRE TUBES'!$B$7:$B$2506,0))="","",INDEX('REGISTRE TUBES'!$F$7:$F$2506,MATCH($C1296,'REGISTRE TUBES'!$B$7:$B$2506,0))),"?"))</f>
        <v>11.94</v>
      </c>
      <c r="G1296" s="102" t="n">
        <f aca="false">IF($C1296="","",N(G1295)+N(F1296))</f>
        <v>10422.81</v>
      </c>
      <c r="H1296" s="103" t="s">
        <v>2291</v>
      </c>
      <c r="I1296" s="104"/>
      <c r="J1296" s="105"/>
    </row>
    <row r="1297" customFormat="false" ht="15" hidden="false" customHeight="false" outlineLevel="0" collapsed="false">
      <c r="B1297" s="90" t="n">
        <v>879</v>
      </c>
      <c r="C1297" s="91" t="n">
        <v>2093190</v>
      </c>
      <c r="D1297" s="92" t="n">
        <f aca="false">IF($C1297="","",IFERROR(IF(INDEX('REGISTRE TUBES'!$C$7:$C$2506,MATCH($C1297,'REGISTRE TUBES'!$B$7:$B$2506,0))="","",INDEX('REGISTRE TUBES'!$C$7:$C$2506,MATCH($C1297,'REGISTRE TUBES'!$B$7:$B$2506,0))),"?"))</f>
        <v>15421110</v>
      </c>
      <c r="E1297" s="92" t="str">
        <f aca="false">IF($C1297="","",IFERROR(IF(INDEX('REGISTRE TUBES'!$D$7:$D$2506,MATCH($C1297,'REGISTRE TUBES'!$B$7:$B$2506,0))="","",INDEX('REGISTRE TUBES'!$D$7:$D$2506,MATCH($C1297,'REGISTRE TUBES'!$B$7:$B$2506,0))),"?"))</f>
        <v/>
      </c>
      <c r="F1297" s="93" t="n">
        <f aca="false">IF($C1297="","",IFERROR(IF(INDEX('REGISTRE TUBES'!$F$7:$F$2506,MATCH($C1297,'REGISTRE TUBES'!$B$7:$B$2506,0))="","",INDEX('REGISTRE TUBES'!$F$7:$F$2506,MATCH($C1297,'REGISTRE TUBES'!$B$7:$B$2506,0))),"?"))</f>
        <v>11.94</v>
      </c>
      <c r="G1297" s="94" t="n">
        <f aca="false">IF($C1297="","",N(G1296)+N(F1297))</f>
        <v>10434.75</v>
      </c>
      <c r="H1297" s="95"/>
      <c r="I1297" s="96"/>
      <c r="J1297" s="97"/>
    </row>
    <row r="1298" customFormat="false" ht="15" hidden="false" customHeight="false" outlineLevel="0" collapsed="false">
      <c r="B1298" s="98" t="n">
        <v>880</v>
      </c>
      <c r="C1298" s="99" t="n">
        <v>2099190</v>
      </c>
      <c r="D1298" s="100" t="n">
        <f aca="false">IF($C1298="","",IFERROR(IF(INDEX('REGISTRE TUBES'!$C$7:$C$2506,MATCH($C1298,'REGISTRE TUBES'!$B$7:$B$2506,0))="","",INDEX('REGISTRE TUBES'!$C$7:$C$2506,MATCH($C1298,'REGISTRE TUBES'!$B$7:$B$2506,0))),"?"))</f>
        <v>15421110</v>
      </c>
      <c r="E1298" s="100" t="str">
        <f aca="false">IF($C1298="","",IFERROR(IF(INDEX('REGISTRE TUBES'!$D$7:$D$2506,MATCH($C1298,'REGISTRE TUBES'!$B$7:$B$2506,0))="","",INDEX('REGISTRE TUBES'!$D$7:$D$2506,MATCH($C1298,'REGISTRE TUBES'!$B$7:$B$2506,0))),"?"))</f>
        <v/>
      </c>
      <c r="F1298" s="101" t="n">
        <f aca="false">IF($C1298="","",IFERROR(IF(INDEX('REGISTRE TUBES'!$F$7:$F$2506,MATCH($C1298,'REGISTRE TUBES'!$B$7:$B$2506,0))="","",INDEX('REGISTRE TUBES'!$F$7:$F$2506,MATCH($C1298,'REGISTRE TUBES'!$B$7:$B$2506,0))),"?"))</f>
        <v>11.94</v>
      </c>
      <c r="G1298" s="102" t="n">
        <f aca="false">IF($C1298="","",N(G1297)+N(F1298))</f>
        <v>10446.69</v>
      </c>
      <c r="H1298" s="103" t="s">
        <v>2292</v>
      </c>
      <c r="I1298" s="104"/>
      <c r="J1298" s="105"/>
    </row>
    <row r="1299" customFormat="false" ht="15" hidden="false" customHeight="false" outlineLevel="0" collapsed="false">
      <c r="B1299" s="90" t="n">
        <v>881</v>
      </c>
      <c r="C1299" s="91" t="n">
        <v>2091220</v>
      </c>
      <c r="D1299" s="92" t="n">
        <f aca="false">IF($C1299="","",IFERROR(IF(INDEX('REGISTRE TUBES'!$C$7:$C$2506,MATCH($C1299,'REGISTRE TUBES'!$B$7:$B$2506,0))="","",INDEX('REGISTRE TUBES'!$C$7:$C$2506,MATCH($C1299,'REGISTRE TUBES'!$B$7:$B$2506,0))),"?"))</f>
        <v>15421109</v>
      </c>
      <c r="E1299" s="92" t="str">
        <f aca="false">IF($C1299="","",IFERROR(IF(INDEX('REGISTRE TUBES'!$D$7:$D$2506,MATCH($C1299,'REGISTRE TUBES'!$B$7:$B$2506,0))="","",INDEX('REGISTRE TUBES'!$D$7:$D$2506,MATCH($C1299,'REGISTRE TUBES'!$B$7:$B$2506,0))),"?"))</f>
        <v/>
      </c>
      <c r="F1299" s="93" t="n">
        <f aca="false">IF($C1299="","",IFERROR(IF(INDEX('REGISTRE TUBES'!$F$7:$F$2506,MATCH($C1299,'REGISTRE TUBES'!$B$7:$B$2506,0))="","",INDEX('REGISTRE TUBES'!$F$7:$F$2506,MATCH($C1299,'REGISTRE TUBES'!$B$7:$B$2506,0))),"?"))</f>
        <v>11.94</v>
      </c>
      <c r="G1299" s="94" t="n">
        <f aca="false">IF($C1299="","",N(G1298)+N(F1299))</f>
        <v>10458.63</v>
      </c>
      <c r="H1299" s="95"/>
      <c r="I1299" s="96"/>
      <c r="J1299" s="97"/>
    </row>
    <row r="1300" customFormat="false" ht="15" hidden="false" customHeight="false" outlineLevel="0" collapsed="false">
      <c r="B1300" s="98" t="n">
        <v>882</v>
      </c>
      <c r="C1300" s="99" t="n">
        <v>2099420</v>
      </c>
      <c r="D1300" s="100" t="n">
        <f aca="false">IF($C1300="","",IFERROR(IF(INDEX('REGISTRE TUBES'!$C$7:$C$2506,MATCH($C1300,'REGISTRE TUBES'!$B$7:$B$2506,0))="","",INDEX('REGISTRE TUBES'!$C$7:$C$2506,MATCH($C1300,'REGISTRE TUBES'!$B$7:$B$2506,0))),"?"))</f>
        <v>15421109</v>
      </c>
      <c r="E1300" s="100" t="str">
        <f aca="false">IF($C1300="","",IFERROR(IF(INDEX('REGISTRE TUBES'!$D$7:$D$2506,MATCH($C1300,'REGISTRE TUBES'!$B$7:$B$2506,0))="","",INDEX('REGISTRE TUBES'!$D$7:$D$2506,MATCH($C1300,'REGISTRE TUBES'!$B$7:$B$2506,0))),"?"))</f>
        <v/>
      </c>
      <c r="F1300" s="101" t="n">
        <f aca="false">IF($C1300="","",IFERROR(IF(INDEX('REGISTRE TUBES'!$F$7:$F$2506,MATCH($C1300,'REGISTRE TUBES'!$B$7:$B$2506,0))="","",INDEX('REGISTRE TUBES'!$F$7:$F$2506,MATCH($C1300,'REGISTRE TUBES'!$B$7:$B$2506,0))),"?"))</f>
        <v>11.94</v>
      </c>
      <c r="G1300" s="102" t="n">
        <f aca="false">IF($C1300="","",N(G1299)+N(F1300))</f>
        <v>10470.57</v>
      </c>
      <c r="H1300" s="103" t="s">
        <v>2293</v>
      </c>
      <c r="I1300" s="104"/>
      <c r="J1300" s="105"/>
    </row>
    <row r="1301" customFormat="false" ht="15" hidden="false" customHeight="false" outlineLevel="0" collapsed="false">
      <c r="B1301" s="90" t="n">
        <v>883</v>
      </c>
      <c r="C1301" s="91" t="n">
        <v>2085130</v>
      </c>
      <c r="D1301" s="92" t="n">
        <f aca="false">IF($C1301="","",IFERROR(IF(INDEX('REGISTRE TUBES'!$C$7:$C$2506,MATCH($C1301,'REGISTRE TUBES'!$B$7:$B$2506,0))="","",INDEX('REGISTRE TUBES'!$C$7:$C$2506,MATCH($C1301,'REGISTRE TUBES'!$B$7:$B$2506,0))),"?"))</f>
        <v>15421106</v>
      </c>
      <c r="E1301" s="92" t="str">
        <f aca="false">IF($C1301="","",IFERROR(IF(INDEX('REGISTRE TUBES'!$D$7:$D$2506,MATCH($C1301,'REGISTRE TUBES'!$B$7:$B$2506,0))="","",INDEX('REGISTRE TUBES'!$D$7:$D$2506,MATCH($C1301,'REGISTRE TUBES'!$B$7:$B$2506,0))),"?"))</f>
        <v/>
      </c>
      <c r="F1301" s="93" t="n">
        <f aca="false">IF($C1301="","",IFERROR(IF(INDEX('REGISTRE TUBES'!$F$7:$F$2506,MATCH($C1301,'REGISTRE TUBES'!$B$7:$B$2506,0))="","",INDEX('REGISTRE TUBES'!$F$7:$F$2506,MATCH($C1301,'REGISTRE TUBES'!$B$7:$B$2506,0))),"?"))</f>
        <v>11.94</v>
      </c>
      <c r="G1301" s="94" t="n">
        <f aca="false">IF($C1301="","",N(G1300)+N(F1301))</f>
        <v>10482.51</v>
      </c>
      <c r="H1301" s="95" t="s">
        <v>2294</v>
      </c>
      <c r="I1301" s="96"/>
      <c r="J1301" s="97"/>
    </row>
    <row r="1302" customFormat="false" ht="15" hidden="false" customHeight="false" outlineLevel="0" collapsed="false">
      <c r="B1302" s="98" t="n">
        <v>884</v>
      </c>
      <c r="C1302" s="99" t="n">
        <v>2091360</v>
      </c>
      <c r="D1302" s="100" t="n">
        <f aca="false">IF($C1302="","",IFERROR(IF(INDEX('REGISTRE TUBES'!$C$7:$C$2506,MATCH($C1302,'REGISTRE TUBES'!$B$7:$B$2506,0))="","",INDEX('REGISTRE TUBES'!$C$7:$C$2506,MATCH($C1302,'REGISTRE TUBES'!$B$7:$B$2506,0))),"?"))</f>
        <v>15421109</v>
      </c>
      <c r="E1302" s="100" t="str">
        <f aca="false">IF($C1302="","",IFERROR(IF(INDEX('REGISTRE TUBES'!$D$7:$D$2506,MATCH($C1302,'REGISTRE TUBES'!$B$7:$B$2506,0))="","",INDEX('REGISTRE TUBES'!$D$7:$D$2506,MATCH($C1302,'REGISTRE TUBES'!$B$7:$B$2506,0))),"?"))</f>
        <v/>
      </c>
      <c r="F1302" s="101" t="n">
        <f aca="false">IF($C1302="","",IFERROR(IF(INDEX('REGISTRE TUBES'!$F$7:$F$2506,MATCH($C1302,'REGISTRE TUBES'!$B$7:$B$2506,0))="","",INDEX('REGISTRE TUBES'!$F$7:$F$2506,MATCH($C1302,'REGISTRE TUBES'!$B$7:$B$2506,0))),"?"))</f>
        <v>11.94</v>
      </c>
      <c r="G1302" s="102" t="n">
        <f aca="false">IF($C1302="","",N(G1301)+N(F1302))</f>
        <v>10494.45</v>
      </c>
      <c r="H1302" s="103" t="s">
        <v>2295</v>
      </c>
      <c r="I1302" s="104"/>
      <c r="J1302" s="105"/>
    </row>
    <row r="1303" customFormat="false" ht="15" hidden="false" customHeight="false" outlineLevel="0" collapsed="false">
      <c r="B1303" s="90" t="n">
        <v>885</v>
      </c>
      <c r="C1303" s="91" t="n">
        <v>2093960</v>
      </c>
      <c r="D1303" s="92" t="n">
        <f aca="false">IF($C1303="","",IFERROR(IF(INDEX('REGISTRE TUBES'!$C$7:$C$2506,MATCH($C1303,'REGISTRE TUBES'!$B$7:$B$2506,0))="","",INDEX('REGISTRE TUBES'!$C$7:$C$2506,MATCH($C1303,'REGISTRE TUBES'!$B$7:$B$2506,0))),"?"))</f>
        <v>15421110</v>
      </c>
      <c r="E1303" s="92" t="str">
        <f aca="false">IF($C1303="","",IFERROR(IF(INDEX('REGISTRE TUBES'!$D$7:$D$2506,MATCH($C1303,'REGISTRE TUBES'!$B$7:$B$2506,0))="","",INDEX('REGISTRE TUBES'!$D$7:$D$2506,MATCH($C1303,'REGISTRE TUBES'!$B$7:$B$2506,0))),"?"))</f>
        <v/>
      </c>
      <c r="F1303" s="93" t="n">
        <f aca="false">IF($C1303="","",IFERROR(IF(INDEX('REGISTRE TUBES'!$F$7:$F$2506,MATCH($C1303,'REGISTRE TUBES'!$B$7:$B$2506,0))="","",INDEX('REGISTRE TUBES'!$F$7:$F$2506,MATCH($C1303,'REGISTRE TUBES'!$B$7:$B$2506,0))),"?"))</f>
        <v>11.94</v>
      </c>
      <c r="G1303" s="94" t="n">
        <f aca="false">IF($C1303="","",N(G1302)+N(F1303))</f>
        <v>10506.39</v>
      </c>
      <c r="H1303" s="95" t="s">
        <v>2296</v>
      </c>
      <c r="I1303" s="96"/>
      <c r="J1303" s="97"/>
    </row>
    <row r="1304" customFormat="false" ht="15" hidden="false" customHeight="false" outlineLevel="0" collapsed="false">
      <c r="B1304" s="98" t="n">
        <v>886</v>
      </c>
      <c r="C1304" s="99" t="n">
        <v>2094680</v>
      </c>
      <c r="D1304" s="100" t="n">
        <f aca="false">IF($C1304="","",IFERROR(IF(INDEX('REGISTRE TUBES'!$C$7:$C$2506,MATCH($C1304,'REGISTRE TUBES'!$B$7:$B$2506,0))="","",INDEX('REGISTRE TUBES'!$C$7:$C$2506,MATCH($C1304,'REGISTRE TUBES'!$B$7:$B$2506,0))),"?"))</f>
        <v>15421111</v>
      </c>
      <c r="E1304" s="100" t="str">
        <f aca="false">IF($C1304="","",IFERROR(IF(INDEX('REGISTRE TUBES'!$D$7:$D$2506,MATCH($C1304,'REGISTRE TUBES'!$B$7:$B$2506,0))="","",INDEX('REGISTRE TUBES'!$D$7:$D$2506,MATCH($C1304,'REGISTRE TUBES'!$B$7:$B$2506,0))),"?"))</f>
        <v/>
      </c>
      <c r="F1304" s="101" t="n">
        <f aca="false">IF($C1304="","",IFERROR(IF(INDEX('REGISTRE TUBES'!$F$7:$F$2506,MATCH($C1304,'REGISTRE TUBES'!$B$7:$B$2506,0))="","",INDEX('REGISTRE TUBES'!$F$7:$F$2506,MATCH($C1304,'REGISTRE TUBES'!$B$7:$B$2506,0))),"?"))</f>
        <v>11.94</v>
      </c>
      <c r="G1304" s="102" t="n">
        <f aca="false">IF($C1304="","",N(G1303)+N(F1304))</f>
        <v>10518.33</v>
      </c>
      <c r="H1304" s="103" t="s">
        <v>2298</v>
      </c>
      <c r="I1304" s="104"/>
      <c r="J1304" s="105"/>
    </row>
    <row r="1305" customFormat="false" ht="15" hidden="false" customHeight="false" outlineLevel="0" collapsed="false">
      <c r="B1305" s="90" t="n">
        <v>887</v>
      </c>
      <c r="C1305" s="91" t="n">
        <v>2092980</v>
      </c>
      <c r="D1305" s="92" t="n">
        <f aca="false">IF($C1305="","",IFERROR(IF(INDEX('REGISTRE TUBES'!$C$7:$C$2506,MATCH($C1305,'REGISTRE TUBES'!$B$7:$B$2506,0))="","",INDEX('REGISTRE TUBES'!$C$7:$C$2506,MATCH($C1305,'REGISTRE TUBES'!$B$7:$B$2506,0))),"?"))</f>
        <v>15421110</v>
      </c>
      <c r="E1305" s="92" t="str">
        <f aca="false">IF($C1305="","",IFERROR(IF(INDEX('REGISTRE TUBES'!$D$7:$D$2506,MATCH($C1305,'REGISTRE TUBES'!$B$7:$B$2506,0))="","",INDEX('REGISTRE TUBES'!$D$7:$D$2506,MATCH($C1305,'REGISTRE TUBES'!$B$7:$B$2506,0))),"?"))</f>
        <v/>
      </c>
      <c r="F1305" s="93" t="n">
        <f aca="false">IF($C1305="","",IFERROR(IF(INDEX('REGISTRE TUBES'!$F$7:$F$2506,MATCH($C1305,'REGISTRE TUBES'!$B$7:$B$2506,0))="","",INDEX('REGISTRE TUBES'!$F$7:$F$2506,MATCH($C1305,'REGISTRE TUBES'!$B$7:$B$2506,0))),"?"))</f>
        <v>11.94</v>
      </c>
      <c r="G1305" s="94" t="n">
        <f aca="false">IF($C1305="","",N(G1304)+N(F1305))</f>
        <v>10530.27</v>
      </c>
      <c r="H1305" s="95" t="s">
        <v>2301</v>
      </c>
      <c r="I1305" s="96"/>
      <c r="J1305" s="97"/>
    </row>
    <row r="1306" customFormat="false" ht="15" hidden="false" customHeight="false" outlineLevel="0" collapsed="false">
      <c r="B1306" s="98" t="n">
        <v>888</v>
      </c>
      <c r="C1306" s="99" t="n">
        <v>2090770</v>
      </c>
      <c r="D1306" s="100" t="n">
        <f aca="false">IF($C1306="","",IFERROR(IF(INDEX('REGISTRE TUBES'!$C$7:$C$2506,MATCH($C1306,'REGISTRE TUBES'!$B$7:$B$2506,0))="","",INDEX('REGISTRE TUBES'!$C$7:$C$2506,MATCH($C1306,'REGISTRE TUBES'!$B$7:$B$2506,0))),"?"))</f>
        <v>15421109</v>
      </c>
      <c r="E1306" s="100" t="str">
        <f aca="false">IF($C1306="","",IFERROR(IF(INDEX('REGISTRE TUBES'!$D$7:$D$2506,MATCH($C1306,'REGISTRE TUBES'!$B$7:$B$2506,0))="","",INDEX('REGISTRE TUBES'!$D$7:$D$2506,MATCH($C1306,'REGISTRE TUBES'!$B$7:$B$2506,0))),"?"))</f>
        <v/>
      </c>
      <c r="F1306" s="101" t="n">
        <f aca="false">IF($C1306="","",IFERROR(IF(INDEX('REGISTRE TUBES'!$F$7:$F$2506,MATCH($C1306,'REGISTRE TUBES'!$B$7:$B$2506,0))="","",INDEX('REGISTRE TUBES'!$F$7:$F$2506,MATCH($C1306,'REGISTRE TUBES'!$B$7:$B$2506,0))),"?"))</f>
        <v>11.94</v>
      </c>
      <c r="G1306" s="102" t="n">
        <f aca="false">IF($C1306="","",N(G1305)+N(F1306))</f>
        <v>10542.21</v>
      </c>
      <c r="H1306" s="103"/>
      <c r="I1306" s="104"/>
      <c r="J1306" s="105"/>
    </row>
    <row r="1307" customFormat="false" ht="15" hidden="false" customHeight="false" outlineLevel="0" collapsed="false">
      <c r="B1307" s="90" t="n">
        <v>889</v>
      </c>
      <c r="C1307" s="91" t="n">
        <v>2084</v>
      </c>
      <c r="D1307" s="92" t="n">
        <f aca="false">IF($C1307="","",IFERROR(IF(INDEX('REGISTRE TUBES'!$C$7:$C$2506,MATCH($C1307,'REGISTRE TUBES'!$B$7:$B$2506,0))="","",INDEX('REGISTRE TUBES'!$C$7:$C$2506,MATCH($C1307,'REGISTRE TUBES'!$B$7:$B$2506,0))),"?"))</f>
        <v>15421106</v>
      </c>
      <c r="E1307" s="92" t="str">
        <f aca="false">IF($C1307="","",IFERROR(IF(INDEX('REGISTRE TUBES'!$D$7:$D$2506,MATCH($C1307,'REGISTRE TUBES'!$B$7:$B$2506,0))="","",INDEX('REGISTRE TUBES'!$D$7:$D$2506,MATCH($C1307,'REGISTRE TUBES'!$B$7:$B$2506,0))),"?"))</f>
        <v/>
      </c>
      <c r="F1307" s="93" t="n">
        <f aca="false">IF($C1307="","",IFERROR(IF(INDEX('REGISTRE TUBES'!$F$7:$F$2506,MATCH($C1307,'REGISTRE TUBES'!$B$7:$B$2506,0))="","",INDEX('REGISTRE TUBES'!$F$7:$F$2506,MATCH($C1307,'REGISTRE TUBES'!$B$7:$B$2506,0))),"?"))</f>
        <v>11.94</v>
      </c>
      <c r="G1307" s="94" t="n">
        <f aca="false">IF($C1307="","",N(G1306)+N(F1307))</f>
        <v>10554.15</v>
      </c>
      <c r="H1307" s="95" t="s">
        <v>2302</v>
      </c>
      <c r="I1307" s="96"/>
      <c r="J1307" s="97"/>
    </row>
    <row r="1308" customFormat="false" ht="15" hidden="false" customHeight="false" outlineLevel="0" collapsed="false">
      <c r="B1308" s="98" t="n">
        <v>890</v>
      </c>
      <c r="C1308" s="99" t="n">
        <v>2046610</v>
      </c>
      <c r="D1308" s="100" t="n">
        <f aca="false">IF($C1308="","",IFERROR(IF(INDEX('REGISTRE TUBES'!$C$7:$C$2506,MATCH($C1308,'REGISTRE TUBES'!$B$7:$B$2506,0))="","",INDEX('REGISTRE TUBES'!$C$7:$C$2506,MATCH($C1308,'REGISTRE TUBES'!$B$7:$B$2506,0))),"?"))</f>
        <v>15421109</v>
      </c>
      <c r="E1308" s="100" t="str">
        <f aca="false">IF($C1308="","",IFERROR(IF(INDEX('REGISTRE TUBES'!$D$7:$D$2506,MATCH($C1308,'REGISTRE TUBES'!$B$7:$B$2506,0))="","",INDEX('REGISTRE TUBES'!$D$7:$D$2506,MATCH($C1308,'REGISTRE TUBES'!$B$7:$B$2506,0))),"?"))</f>
        <v/>
      </c>
      <c r="F1308" s="101" t="n">
        <f aca="false">IF($C1308="","",IFERROR(IF(INDEX('REGISTRE TUBES'!$F$7:$F$2506,MATCH($C1308,'REGISTRE TUBES'!$B$7:$B$2506,0))="","",INDEX('REGISTRE TUBES'!$F$7:$F$2506,MATCH($C1308,'REGISTRE TUBES'!$B$7:$B$2506,0))),"?"))</f>
        <v>11.94</v>
      </c>
      <c r="G1308" s="102" t="n">
        <f aca="false">IF($C1308="","",N(G1307)+N(F1308))</f>
        <v>10566.09</v>
      </c>
      <c r="H1308" s="103" t="s">
        <v>2303</v>
      </c>
      <c r="I1308" s="104"/>
      <c r="J1308" s="105"/>
    </row>
    <row r="1309" customFormat="false" ht="15" hidden="false" customHeight="false" outlineLevel="0" collapsed="false">
      <c r="B1309" s="90" t="n">
        <v>891</v>
      </c>
      <c r="C1309" s="91" t="n">
        <v>2090610</v>
      </c>
      <c r="D1309" s="92" t="n">
        <f aca="false">IF($C1309="","",IFERROR(IF(INDEX('REGISTRE TUBES'!$C$7:$C$2506,MATCH($C1309,'REGISTRE TUBES'!$B$7:$B$2506,0))="","",INDEX('REGISTRE TUBES'!$C$7:$C$2506,MATCH($C1309,'REGISTRE TUBES'!$B$7:$B$2506,0))),"?"))</f>
        <v>15421109</v>
      </c>
      <c r="E1309" s="92" t="str">
        <f aca="false">IF($C1309="","",IFERROR(IF(INDEX('REGISTRE TUBES'!$D$7:$D$2506,MATCH($C1309,'REGISTRE TUBES'!$B$7:$B$2506,0))="","",INDEX('REGISTRE TUBES'!$D$7:$D$2506,MATCH($C1309,'REGISTRE TUBES'!$B$7:$B$2506,0))),"?"))</f>
        <v/>
      </c>
      <c r="F1309" s="93" t="n">
        <f aca="false">IF($C1309="","",IFERROR(IF(INDEX('REGISTRE TUBES'!$F$7:$F$2506,MATCH($C1309,'REGISTRE TUBES'!$B$7:$B$2506,0))="","",INDEX('REGISTRE TUBES'!$F$7:$F$2506,MATCH($C1309,'REGISTRE TUBES'!$B$7:$B$2506,0))),"?"))</f>
        <v>11.94</v>
      </c>
      <c r="G1309" s="94" t="n">
        <f aca="false">IF($C1309="","",N(G1308)+N(F1309))</f>
        <v>10578.03</v>
      </c>
      <c r="H1309" s="95" t="s">
        <v>2371</v>
      </c>
      <c r="I1309" s="96"/>
      <c r="J1309" s="97"/>
    </row>
    <row r="1310" customFormat="false" ht="15" hidden="false" customHeight="false" outlineLevel="0" collapsed="false">
      <c r="B1310" s="98" t="n">
        <v>892</v>
      </c>
      <c r="C1310" s="99" t="n">
        <v>2097800</v>
      </c>
      <c r="D1310" s="100" t="n">
        <f aca="false">IF($C1310="","",IFERROR(IF(INDEX('REGISTRE TUBES'!$C$7:$C$2506,MATCH($C1310,'REGISTRE TUBES'!$B$7:$B$2506,0))="","",INDEX('REGISTRE TUBES'!$C$7:$C$2506,MATCH($C1310,'REGISTRE TUBES'!$B$7:$B$2506,0))),"?"))</f>
        <v>15421112</v>
      </c>
      <c r="E1310" s="100" t="str">
        <f aca="false">IF($C1310="","",IFERROR(IF(INDEX('REGISTRE TUBES'!$D$7:$D$2506,MATCH($C1310,'REGISTRE TUBES'!$B$7:$B$2506,0))="","",INDEX('REGISTRE TUBES'!$D$7:$D$2506,MATCH($C1310,'REGISTRE TUBES'!$B$7:$B$2506,0))),"?"))</f>
        <v/>
      </c>
      <c r="F1310" s="101" t="n">
        <f aca="false">IF($C1310="","",IFERROR(IF(INDEX('REGISTRE TUBES'!$F$7:$F$2506,MATCH($C1310,'REGISTRE TUBES'!$B$7:$B$2506,0))="","",INDEX('REGISTRE TUBES'!$F$7:$F$2506,MATCH($C1310,'REGISTRE TUBES'!$B$7:$B$2506,0))),"?"))</f>
        <v>11.94</v>
      </c>
      <c r="G1310" s="102" t="n">
        <f aca="false">IF($C1310="","",N(G1309)+N(F1310))</f>
        <v>10589.97</v>
      </c>
      <c r="H1310" s="103" t="s">
        <v>2307</v>
      </c>
      <c r="I1310" s="104"/>
      <c r="J1310" s="105"/>
    </row>
    <row r="1311" customFormat="false" ht="15" hidden="false" customHeight="false" outlineLevel="0" collapsed="false">
      <c r="B1311" s="90" t="n">
        <v>893</v>
      </c>
      <c r="C1311" s="91" t="n">
        <v>2088070</v>
      </c>
      <c r="D1311" s="92" t="n">
        <f aca="false">IF($C1311="","",IFERROR(IF(INDEX('REGISTRE TUBES'!$C$7:$C$2506,MATCH($C1311,'REGISTRE TUBES'!$B$7:$B$2506,0))="","",INDEX('REGISTRE TUBES'!$C$7:$C$2506,MATCH($C1311,'REGISTRE TUBES'!$B$7:$B$2506,0))),"?"))</f>
        <v>15421108</v>
      </c>
      <c r="E1311" s="92" t="str">
        <f aca="false">IF($C1311="","",IFERROR(IF(INDEX('REGISTRE TUBES'!$D$7:$D$2506,MATCH($C1311,'REGISTRE TUBES'!$B$7:$B$2506,0))="","",INDEX('REGISTRE TUBES'!$D$7:$D$2506,MATCH($C1311,'REGISTRE TUBES'!$B$7:$B$2506,0))),"?"))</f>
        <v/>
      </c>
      <c r="F1311" s="93" t="n">
        <f aca="false">IF($C1311="","",IFERROR(IF(INDEX('REGISTRE TUBES'!$F$7:$F$2506,MATCH($C1311,'REGISTRE TUBES'!$B$7:$B$2506,0))="","",INDEX('REGISTRE TUBES'!$F$7:$F$2506,MATCH($C1311,'REGISTRE TUBES'!$B$7:$B$2506,0))),"?"))</f>
        <v>11.94</v>
      </c>
      <c r="G1311" s="94" t="n">
        <f aca="false">IF($C1311="","",N(G1310)+N(F1311))</f>
        <v>10601.91</v>
      </c>
      <c r="H1311" s="95"/>
      <c r="I1311" s="96"/>
      <c r="J1311" s="97"/>
    </row>
    <row r="1312" customFormat="false" ht="15" hidden="false" customHeight="true" outlineLevel="0" collapsed="false">
      <c r="B1312" s="106" t="s">
        <v>3031</v>
      </c>
      <c r="C1312" s="106"/>
      <c r="D1312" s="106"/>
      <c r="E1312" s="106"/>
      <c r="F1312" s="107" t="n">
        <f aca="false">SUM(F1293:F1311)</f>
        <v>226.86</v>
      </c>
      <c r="G1312" s="108" t="n">
        <f aca="false">IF(COUNT(G1293:G1311)=0,"",MAX(G1293:G1311))</f>
        <v>10601.91</v>
      </c>
      <c r="H1312" s="106" t="str">
        <f aca="false">COUNTA(C1293:C1311)&amp;" tube(s)"</f>
        <v>19 tube(s)</v>
      </c>
      <c r="I1312" s="106"/>
      <c r="J1312" s="106"/>
    </row>
    <row r="1314" customFormat="false" ht="15" hidden="false" customHeight="false" outlineLevel="0" collapsed="false">
      <c r="B1314" s="109" t="s">
        <v>3032</v>
      </c>
      <c r="F1314" s="109" t="s">
        <v>3033</v>
      </c>
      <c r="I1314" s="109" t="s">
        <v>3034</v>
      </c>
    </row>
    <row r="1317" customFormat="false" ht="25.5" hidden="false" customHeight="true" outlineLevel="0" collapsed="false">
      <c r="B1317" s="85" t="s">
        <v>3015</v>
      </c>
      <c r="C1317" s="85"/>
      <c r="D1317" s="85"/>
      <c r="E1317" s="85"/>
      <c r="F1317" s="85"/>
      <c r="G1317" s="85"/>
      <c r="H1317" s="85"/>
      <c r="I1317" s="85"/>
      <c r="J1317" s="85"/>
    </row>
    <row r="1318" customFormat="false" ht="15" hidden="false" customHeight="false" outlineLevel="0" collapsed="false">
      <c r="B1318" s="86" t="str">
        <f aca="false">PARAMÈTRES!$C$4&amp;"   •   Affaire N° "&amp;PARAMÈTRES!$C$5</f>
        <v>Développement des champs gaziers TFT II — réseau de collecte TFT Sud (LIGNE-16)   •   Affaire N° 8546</v>
      </c>
      <c r="C1318" s="86"/>
      <c r="D1318" s="86"/>
      <c r="E1318" s="86"/>
      <c r="F1318" s="86"/>
      <c r="G1318" s="86"/>
      <c r="H1318" s="86"/>
      <c r="I1318" s="86"/>
      <c r="J1318" s="86"/>
    </row>
    <row r="1319" customFormat="false" ht="19.5" hidden="false" customHeight="true" outlineLevel="0" collapsed="false">
      <c r="B1319" s="87" t="s">
        <v>3016</v>
      </c>
      <c r="C1319" s="88" t="s">
        <v>110</v>
      </c>
      <c r="D1319" s="88"/>
      <c r="E1319" s="87" t="s">
        <v>3017</v>
      </c>
      <c r="F1319" s="88" t="s">
        <v>3127</v>
      </c>
      <c r="G1319" s="87" t="s">
        <v>3019</v>
      </c>
      <c r="H1319" s="88" t="s">
        <v>3128</v>
      </c>
      <c r="I1319" s="87" t="s">
        <v>3021</v>
      </c>
      <c r="J1319" s="89"/>
    </row>
    <row r="1320" customFormat="false" ht="27.75" hidden="false" customHeight="true" outlineLevel="0" collapsed="false">
      <c r="B1320" s="71" t="s">
        <v>3022</v>
      </c>
      <c r="C1320" s="71" t="s">
        <v>3023</v>
      </c>
      <c r="D1320" s="71" t="s">
        <v>3024</v>
      </c>
      <c r="E1320" s="71" t="s">
        <v>3025</v>
      </c>
      <c r="F1320" s="71" t="s">
        <v>3026</v>
      </c>
      <c r="G1320" s="71" t="s">
        <v>3027</v>
      </c>
      <c r="H1320" s="71" t="s">
        <v>3028</v>
      </c>
      <c r="I1320" s="71" t="s">
        <v>3029</v>
      </c>
      <c r="J1320" s="71" t="s">
        <v>3030</v>
      </c>
    </row>
    <row r="1321" customFormat="false" ht="15" hidden="false" customHeight="false" outlineLevel="0" collapsed="false">
      <c r="B1321" s="90" t="n">
        <v>894</v>
      </c>
      <c r="C1321" s="91" t="n">
        <v>2088160</v>
      </c>
      <c r="D1321" s="92" t="n">
        <f aca="false">IF($C1321="","",IFERROR(IF(INDEX('REGISTRE TUBES'!$C$7:$C$2506,MATCH($C1321,'REGISTRE TUBES'!$B$7:$B$2506,0))="","",INDEX('REGISTRE TUBES'!$C$7:$C$2506,MATCH($C1321,'REGISTRE TUBES'!$B$7:$B$2506,0))),"?"))</f>
        <v>15421108</v>
      </c>
      <c r="E1321" s="92" t="str">
        <f aca="false">IF($C1321="","",IFERROR(IF(INDEX('REGISTRE TUBES'!$D$7:$D$2506,MATCH($C1321,'REGISTRE TUBES'!$B$7:$B$2506,0))="","",INDEX('REGISTRE TUBES'!$D$7:$D$2506,MATCH($C1321,'REGISTRE TUBES'!$B$7:$B$2506,0))),"?"))</f>
        <v/>
      </c>
      <c r="F1321" s="93" t="n">
        <f aca="false">IF($C1321="","",IFERROR(IF(INDEX('REGISTRE TUBES'!$F$7:$F$2506,MATCH($C1321,'REGISTRE TUBES'!$B$7:$B$2506,0))="","",INDEX('REGISTRE TUBES'!$F$7:$F$2506,MATCH($C1321,'REGISTRE TUBES'!$B$7:$B$2506,0))),"?"))</f>
        <v>11.94</v>
      </c>
      <c r="G1321" s="94" t="n">
        <f aca="false">IF($C1321="","",N(G1311)+N(F1321))</f>
        <v>10613.85</v>
      </c>
      <c r="H1321" s="95"/>
      <c r="I1321" s="96"/>
      <c r="J1321" s="97"/>
    </row>
    <row r="1322" customFormat="false" ht="15" hidden="false" customHeight="false" outlineLevel="0" collapsed="false">
      <c r="B1322" s="98" t="n">
        <v>895</v>
      </c>
      <c r="C1322" s="99" t="n">
        <v>2084700</v>
      </c>
      <c r="D1322" s="100" t="n">
        <f aca="false">IF($C1322="","",IFERROR(IF(INDEX('REGISTRE TUBES'!$C$7:$C$2506,MATCH($C1322,'REGISTRE TUBES'!$B$7:$B$2506,0))="","",INDEX('REGISTRE TUBES'!$C$7:$C$2506,MATCH($C1322,'REGISTRE TUBES'!$B$7:$B$2506,0))),"?"))</f>
        <v>15421106</v>
      </c>
      <c r="E1322" s="100" t="str">
        <f aca="false">IF($C1322="","",IFERROR(IF(INDEX('REGISTRE TUBES'!$D$7:$D$2506,MATCH($C1322,'REGISTRE TUBES'!$B$7:$B$2506,0))="","",INDEX('REGISTRE TUBES'!$D$7:$D$2506,MATCH($C1322,'REGISTRE TUBES'!$B$7:$B$2506,0))),"?"))</f>
        <v/>
      </c>
      <c r="F1322" s="101" t="n">
        <f aca="false">IF($C1322="","",IFERROR(IF(INDEX('REGISTRE TUBES'!$F$7:$F$2506,MATCH($C1322,'REGISTRE TUBES'!$B$7:$B$2506,0))="","",INDEX('REGISTRE TUBES'!$F$7:$F$2506,MATCH($C1322,'REGISTRE TUBES'!$B$7:$B$2506,0))),"?"))</f>
        <v>11.94</v>
      </c>
      <c r="G1322" s="102" t="n">
        <f aca="false">IF($C1322="","",N(G1321)+N(F1322))</f>
        <v>10625.79</v>
      </c>
      <c r="H1322" s="103" t="s">
        <v>2309</v>
      </c>
      <c r="I1322" s="104"/>
      <c r="J1322" s="105"/>
    </row>
    <row r="1323" customFormat="false" ht="15" hidden="false" customHeight="false" outlineLevel="0" collapsed="false">
      <c r="B1323" s="90" t="n">
        <v>896</v>
      </c>
      <c r="C1323" s="91" t="n">
        <v>2084100</v>
      </c>
      <c r="D1323" s="92" t="n">
        <f aca="false">IF($C1323="","",IFERROR(IF(INDEX('REGISTRE TUBES'!$C$7:$C$2506,MATCH($C1323,'REGISTRE TUBES'!$B$7:$B$2506,0))="","",INDEX('REGISTRE TUBES'!$C$7:$C$2506,MATCH($C1323,'REGISTRE TUBES'!$B$7:$B$2506,0))),"?"))</f>
        <v>15421106</v>
      </c>
      <c r="E1323" s="92" t="str">
        <f aca="false">IF($C1323="","",IFERROR(IF(INDEX('REGISTRE TUBES'!$D$7:$D$2506,MATCH($C1323,'REGISTRE TUBES'!$B$7:$B$2506,0))="","",INDEX('REGISTRE TUBES'!$D$7:$D$2506,MATCH($C1323,'REGISTRE TUBES'!$B$7:$B$2506,0))),"?"))</f>
        <v/>
      </c>
      <c r="F1323" s="93" t="n">
        <f aca="false">IF($C1323="","",IFERROR(IF(INDEX('REGISTRE TUBES'!$F$7:$F$2506,MATCH($C1323,'REGISTRE TUBES'!$B$7:$B$2506,0))="","",INDEX('REGISTRE TUBES'!$F$7:$F$2506,MATCH($C1323,'REGISTRE TUBES'!$B$7:$B$2506,0))),"?"))</f>
        <v>11.94</v>
      </c>
      <c r="G1323" s="94" t="n">
        <f aca="false">IF($C1323="","",N(G1322)+N(F1323))</f>
        <v>10637.73</v>
      </c>
      <c r="H1323" s="95" t="s">
        <v>2310</v>
      </c>
      <c r="I1323" s="96"/>
      <c r="J1323" s="97"/>
    </row>
    <row r="1324" customFormat="false" ht="15" hidden="false" customHeight="false" outlineLevel="0" collapsed="false">
      <c r="B1324" s="98" t="n">
        <v>897</v>
      </c>
      <c r="C1324" s="99" t="n">
        <v>2081190</v>
      </c>
      <c r="D1324" s="100" t="n">
        <f aca="false">IF($C1324="","",IFERROR(IF(INDEX('REGISTRE TUBES'!$C$7:$C$2506,MATCH($C1324,'REGISTRE TUBES'!$B$7:$B$2506,0))="","",INDEX('REGISTRE TUBES'!$C$7:$C$2506,MATCH($C1324,'REGISTRE TUBES'!$B$7:$B$2506,0))),"?"))</f>
        <v>15421103</v>
      </c>
      <c r="E1324" s="100" t="str">
        <f aca="false">IF($C1324="","",IFERROR(IF(INDEX('REGISTRE TUBES'!$D$7:$D$2506,MATCH($C1324,'REGISTRE TUBES'!$B$7:$B$2506,0))="","",INDEX('REGISTRE TUBES'!$D$7:$D$2506,MATCH($C1324,'REGISTRE TUBES'!$B$7:$B$2506,0))),"?"))</f>
        <v/>
      </c>
      <c r="F1324" s="101" t="n">
        <f aca="false">IF($C1324="","",IFERROR(IF(INDEX('REGISTRE TUBES'!$F$7:$F$2506,MATCH($C1324,'REGISTRE TUBES'!$B$7:$B$2506,0))="","",INDEX('REGISTRE TUBES'!$F$7:$F$2506,MATCH($C1324,'REGISTRE TUBES'!$B$7:$B$2506,0))),"?"))</f>
        <v>11.94</v>
      </c>
      <c r="G1324" s="102" t="n">
        <f aca="false">IF($C1324="","",N(G1323)+N(F1324))</f>
        <v>10649.67</v>
      </c>
      <c r="H1324" s="103"/>
      <c r="I1324" s="104"/>
      <c r="J1324" s="105"/>
    </row>
    <row r="1325" customFormat="false" ht="15" hidden="false" customHeight="false" outlineLevel="0" collapsed="false">
      <c r="B1325" s="90" t="n">
        <v>898</v>
      </c>
      <c r="C1325" s="91" t="n">
        <v>2090600</v>
      </c>
      <c r="D1325" s="92" t="n">
        <f aca="false">IF($C1325="","",IFERROR(IF(INDEX('REGISTRE TUBES'!$C$7:$C$2506,MATCH($C1325,'REGISTRE TUBES'!$B$7:$B$2506,0))="","",INDEX('REGISTRE TUBES'!$C$7:$C$2506,MATCH($C1325,'REGISTRE TUBES'!$B$7:$B$2506,0))),"?"))</f>
        <v>15421109</v>
      </c>
      <c r="E1325" s="92" t="str">
        <f aca="false">IF($C1325="","",IFERROR(IF(INDEX('REGISTRE TUBES'!$D$7:$D$2506,MATCH($C1325,'REGISTRE TUBES'!$B$7:$B$2506,0))="","",INDEX('REGISTRE TUBES'!$D$7:$D$2506,MATCH($C1325,'REGISTRE TUBES'!$B$7:$B$2506,0))),"?"))</f>
        <v/>
      </c>
      <c r="F1325" s="93" t="n">
        <f aca="false">IF($C1325="","",IFERROR(IF(INDEX('REGISTRE TUBES'!$F$7:$F$2506,MATCH($C1325,'REGISTRE TUBES'!$B$7:$B$2506,0))="","",INDEX('REGISTRE TUBES'!$F$7:$F$2506,MATCH($C1325,'REGISTRE TUBES'!$B$7:$B$2506,0))),"?"))</f>
        <v>11.94</v>
      </c>
      <c r="G1325" s="94" t="n">
        <f aca="false">IF($C1325="","",N(G1324)+N(F1325))</f>
        <v>10661.61</v>
      </c>
      <c r="H1325" s="95" t="s">
        <v>2311</v>
      </c>
      <c r="I1325" s="96"/>
      <c r="J1325" s="97"/>
    </row>
    <row r="1326" customFormat="false" ht="15" hidden="false" customHeight="false" outlineLevel="0" collapsed="false">
      <c r="B1326" s="98" t="n">
        <v>899</v>
      </c>
      <c r="C1326" s="99" t="n">
        <v>2094320</v>
      </c>
      <c r="D1326" s="100" t="n">
        <f aca="false">IF($C1326="","",IFERROR(IF(INDEX('REGISTRE TUBES'!$C$7:$C$2506,MATCH($C1326,'REGISTRE TUBES'!$B$7:$B$2506,0))="","",INDEX('REGISTRE TUBES'!$C$7:$C$2506,MATCH($C1326,'REGISTRE TUBES'!$B$7:$B$2506,0))),"?"))</f>
        <v>15421110</v>
      </c>
      <c r="E1326" s="100" t="str">
        <f aca="false">IF($C1326="","",IFERROR(IF(INDEX('REGISTRE TUBES'!$D$7:$D$2506,MATCH($C1326,'REGISTRE TUBES'!$B$7:$B$2506,0))="","",INDEX('REGISTRE TUBES'!$D$7:$D$2506,MATCH($C1326,'REGISTRE TUBES'!$B$7:$B$2506,0))),"?"))</f>
        <v/>
      </c>
      <c r="F1326" s="101" t="n">
        <f aca="false">IF($C1326="","",IFERROR(IF(INDEX('REGISTRE TUBES'!$F$7:$F$2506,MATCH($C1326,'REGISTRE TUBES'!$B$7:$B$2506,0))="","",INDEX('REGISTRE TUBES'!$F$7:$F$2506,MATCH($C1326,'REGISTRE TUBES'!$B$7:$B$2506,0))),"?"))</f>
        <v>11.94</v>
      </c>
      <c r="G1326" s="102" t="n">
        <f aca="false">IF($C1326="","",N(G1325)+N(F1326))</f>
        <v>10673.55</v>
      </c>
      <c r="H1326" s="103" t="s">
        <v>2314</v>
      </c>
      <c r="I1326" s="104"/>
      <c r="J1326" s="105"/>
    </row>
    <row r="1327" customFormat="false" ht="15" hidden="false" customHeight="false" outlineLevel="0" collapsed="false">
      <c r="B1327" s="90" t="n">
        <v>900</v>
      </c>
      <c r="C1327" s="91" t="n">
        <v>2092770</v>
      </c>
      <c r="D1327" s="92" t="n">
        <f aca="false">IF($C1327="","",IFERROR(IF(INDEX('REGISTRE TUBES'!$C$7:$C$2506,MATCH($C1327,'REGISTRE TUBES'!$B$7:$B$2506,0))="","",INDEX('REGISTRE TUBES'!$C$7:$C$2506,MATCH($C1327,'REGISTRE TUBES'!$B$7:$B$2506,0))),"?"))</f>
        <v>15421110</v>
      </c>
      <c r="E1327" s="92" t="str">
        <f aca="false">IF($C1327="","",IFERROR(IF(INDEX('REGISTRE TUBES'!$D$7:$D$2506,MATCH($C1327,'REGISTRE TUBES'!$B$7:$B$2506,0))="","",INDEX('REGISTRE TUBES'!$D$7:$D$2506,MATCH($C1327,'REGISTRE TUBES'!$B$7:$B$2506,0))),"?"))</f>
        <v/>
      </c>
      <c r="F1327" s="93" t="n">
        <f aca="false">IF($C1327="","",IFERROR(IF(INDEX('REGISTRE TUBES'!$F$7:$F$2506,MATCH($C1327,'REGISTRE TUBES'!$B$7:$B$2506,0))="","",INDEX('REGISTRE TUBES'!$F$7:$F$2506,MATCH($C1327,'REGISTRE TUBES'!$B$7:$B$2506,0))),"?"))</f>
        <v>11.94</v>
      </c>
      <c r="G1327" s="94" t="n">
        <f aca="false">IF($C1327="","",N(G1326)+N(F1327))</f>
        <v>10685.49</v>
      </c>
      <c r="H1327" s="95"/>
      <c r="I1327" s="96"/>
      <c r="J1327" s="97"/>
    </row>
    <row r="1328" customFormat="false" ht="15" hidden="false" customHeight="false" outlineLevel="0" collapsed="false">
      <c r="B1328" s="98" t="n">
        <v>901</v>
      </c>
      <c r="C1328" s="99" t="n">
        <v>2089870</v>
      </c>
      <c r="D1328" s="100" t="n">
        <f aca="false">IF($C1328="","",IFERROR(IF(INDEX('REGISTRE TUBES'!$C$7:$C$2506,MATCH($C1328,'REGISTRE TUBES'!$B$7:$B$2506,0))="","",INDEX('REGISTRE TUBES'!$C$7:$C$2506,MATCH($C1328,'REGISTRE TUBES'!$B$7:$B$2506,0))),"?"))</f>
        <v>15421109</v>
      </c>
      <c r="E1328" s="100" t="str">
        <f aca="false">IF($C1328="","",IFERROR(IF(INDEX('REGISTRE TUBES'!$D$7:$D$2506,MATCH($C1328,'REGISTRE TUBES'!$B$7:$B$2506,0))="","",INDEX('REGISTRE TUBES'!$D$7:$D$2506,MATCH($C1328,'REGISTRE TUBES'!$B$7:$B$2506,0))),"?"))</f>
        <v/>
      </c>
      <c r="F1328" s="101" t="n">
        <f aca="false">IF($C1328="","",IFERROR(IF(INDEX('REGISTRE TUBES'!$F$7:$F$2506,MATCH($C1328,'REGISTRE TUBES'!$B$7:$B$2506,0))="","",INDEX('REGISTRE TUBES'!$F$7:$F$2506,MATCH($C1328,'REGISTRE TUBES'!$B$7:$B$2506,0))),"?"))</f>
        <v>11.94</v>
      </c>
      <c r="G1328" s="102" t="n">
        <f aca="false">IF($C1328="","",N(G1327)+N(F1328))</f>
        <v>10697.43</v>
      </c>
      <c r="H1328" s="103" t="s">
        <v>2316</v>
      </c>
      <c r="I1328" s="104"/>
      <c r="J1328" s="105"/>
    </row>
    <row r="1329" customFormat="false" ht="15" hidden="false" customHeight="false" outlineLevel="0" collapsed="false">
      <c r="B1329" s="90" t="n">
        <v>902</v>
      </c>
      <c r="C1329" s="91" t="n">
        <v>2096970</v>
      </c>
      <c r="D1329" s="92" t="n">
        <f aca="false">IF($C1329="","",IFERROR(IF(INDEX('REGISTRE TUBES'!$C$7:$C$2506,MATCH($C1329,'REGISTRE TUBES'!$B$7:$B$2506,0))="","",INDEX('REGISTRE TUBES'!$C$7:$C$2506,MATCH($C1329,'REGISTRE TUBES'!$B$7:$B$2506,0))),"?"))</f>
        <v>15421111</v>
      </c>
      <c r="E1329" s="92" t="str">
        <f aca="false">IF($C1329="","",IFERROR(IF(INDEX('REGISTRE TUBES'!$D$7:$D$2506,MATCH($C1329,'REGISTRE TUBES'!$B$7:$B$2506,0))="","",INDEX('REGISTRE TUBES'!$D$7:$D$2506,MATCH($C1329,'REGISTRE TUBES'!$B$7:$B$2506,0))),"?"))</f>
        <v/>
      </c>
      <c r="F1329" s="93" t="n">
        <f aca="false">IF($C1329="","",IFERROR(IF(INDEX('REGISTRE TUBES'!$F$7:$F$2506,MATCH($C1329,'REGISTRE TUBES'!$B$7:$B$2506,0))="","",INDEX('REGISTRE TUBES'!$F$7:$F$2506,MATCH($C1329,'REGISTRE TUBES'!$B$7:$B$2506,0))),"?"))</f>
        <v>11.94</v>
      </c>
      <c r="G1329" s="94" t="n">
        <f aca="false">IF($C1329="","",N(G1328)+N(F1329))</f>
        <v>10709.37</v>
      </c>
      <c r="H1329" s="95" t="s">
        <v>2317</v>
      </c>
      <c r="I1329" s="96"/>
      <c r="J1329" s="97"/>
    </row>
    <row r="1330" customFormat="false" ht="15" hidden="false" customHeight="false" outlineLevel="0" collapsed="false">
      <c r="B1330" s="98" t="n">
        <v>903</v>
      </c>
      <c r="C1330" s="99" t="n">
        <v>2089330</v>
      </c>
      <c r="D1330" s="100" t="n">
        <f aca="false">IF($C1330="","",IFERROR(IF(INDEX('REGISTRE TUBES'!$C$7:$C$2506,MATCH($C1330,'REGISTRE TUBES'!$B$7:$B$2506,0))="","",INDEX('REGISTRE TUBES'!$C$7:$C$2506,MATCH($C1330,'REGISTRE TUBES'!$B$7:$B$2506,0))),"?"))</f>
        <v>15421108</v>
      </c>
      <c r="E1330" s="100" t="str">
        <f aca="false">IF($C1330="","",IFERROR(IF(INDEX('REGISTRE TUBES'!$D$7:$D$2506,MATCH($C1330,'REGISTRE TUBES'!$B$7:$B$2506,0))="","",INDEX('REGISTRE TUBES'!$D$7:$D$2506,MATCH($C1330,'REGISTRE TUBES'!$B$7:$B$2506,0))),"?"))</f>
        <v/>
      </c>
      <c r="F1330" s="101" t="n">
        <f aca="false">IF($C1330="","",IFERROR(IF(INDEX('REGISTRE TUBES'!$F$7:$F$2506,MATCH($C1330,'REGISTRE TUBES'!$B$7:$B$2506,0))="","",INDEX('REGISTRE TUBES'!$F$7:$F$2506,MATCH($C1330,'REGISTRE TUBES'!$B$7:$B$2506,0))),"?"))</f>
        <v>11.94</v>
      </c>
      <c r="G1330" s="102" t="n">
        <f aca="false">IF($C1330="","",N(G1329)+N(F1330))</f>
        <v>10721.31</v>
      </c>
      <c r="H1330" s="103" t="s">
        <v>2318</v>
      </c>
      <c r="I1330" s="104"/>
      <c r="J1330" s="105"/>
    </row>
    <row r="1331" customFormat="false" ht="15" hidden="false" customHeight="false" outlineLevel="0" collapsed="false">
      <c r="B1331" s="90" t="n">
        <v>904</v>
      </c>
      <c r="C1331" s="91" t="n">
        <v>2082310</v>
      </c>
      <c r="D1331" s="92" t="n">
        <f aca="false">IF($C1331="","",IFERROR(IF(INDEX('REGISTRE TUBES'!$C$7:$C$2506,MATCH($C1331,'REGISTRE TUBES'!$B$7:$B$2506,0))="","",INDEX('REGISTRE TUBES'!$C$7:$C$2506,MATCH($C1331,'REGISTRE TUBES'!$B$7:$B$2506,0))),"?"))</f>
        <v>15421104</v>
      </c>
      <c r="E1331" s="92" t="str">
        <f aca="false">IF($C1331="","",IFERROR(IF(INDEX('REGISTRE TUBES'!$D$7:$D$2506,MATCH($C1331,'REGISTRE TUBES'!$B$7:$B$2506,0))="","",INDEX('REGISTRE TUBES'!$D$7:$D$2506,MATCH($C1331,'REGISTRE TUBES'!$B$7:$B$2506,0))),"?"))</f>
        <v/>
      </c>
      <c r="F1331" s="93" t="n">
        <f aca="false">IF($C1331="","",IFERROR(IF(INDEX('REGISTRE TUBES'!$F$7:$F$2506,MATCH($C1331,'REGISTRE TUBES'!$B$7:$B$2506,0))="","",INDEX('REGISTRE TUBES'!$F$7:$F$2506,MATCH($C1331,'REGISTRE TUBES'!$B$7:$B$2506,0))),"?"))</f>
        <v>11.94</v>
      </c>
      <c r="G1331" s="94" t="n">
        <f aca="false">IF($C1331="","",N(G1330)+N(F1331))</f>
        <v>10733.25</v>
      </c>
      <c r="H1331" s="95" t="s">
        <v>2320</v>
      </c>
      <c r="I1331" s="96"/>
      <c r="J1331" s="97"/>
    </row>
    <row r="1332" customFormat="false" ht="15" hidden="false" customHeight="false" outlineLevel="0" collapsed="false">
      <c r="B1332" s="98" t="n">
        <v>905</v>
      </c>
      <c r="C1332" s="99" t="n">
        <v>2083460</v>
      </c>
      <c r="D1332" s="100" t="n">
        <f aca="false">IF($C1332="","",IFERROR(IF(INDEX('REGISTRE TUBES'!$C$7:$C$2506,MATCH($C1332,'REGISTRE TUBES'!$B$7:$B$2506,0))="","",INDEX('REGISTRE TUBES'!$C$7:$C$2506,MATCH($C1332,'REGISTRE TUBES'!$B$7:$B$2506,0))),"?"))</f>
        <v>15421105</v>
      </c>
      <c r="E1332" s="100" t="str">
        <f aca="false">IF($C1332="","",IFERROR(IF(INDEX('REGISTRE TUBES'!$D$7:$D$2506,MATCH($C1332,'REGISTRE TUBES'!$B$7:$B$2506,0))="","",INDEX('REGISTRE TUBES'!$D$7:$D$2506,MATCH($C1332,'REGISTRE TUBES'!$B$7:$B$2506,0))),"?"))</f>
        <v/>
      </c>
      <c r="F1332" s="101" t="n">
        <f aca="false">IF($C1332="","",IFERROR(IF(INDEX('REGISTRE TUBES'!$F$7:$F$2506,MATCH($C1332,'REGISTRE TUBES'!$B$7:$B$2506,0))="","",INDEX('REGISTRE TUBES'!$F$7:$F$2506,MATCH($C1332,'REGISTRE TUBES'!$B$7:$B$2506,0))),"?"))</f>
        <v>11.94</v>
      </c>
      <c r="G1332" s="102" t="n">
        <f aca="false">IF($C1332="","",N(G1331)+N(F1332))</f>
        <v>10745.19</v>
      </c>
      <c r="H1332" s="103" t="s">
        <v>2322</v>
      </c>
      <c r="I1332" s="104"/>
      <c r="J1332" s="105"/>
    </row>
    <row r="1333" customFormat="false" ht="15" hidden="false" customHeight="false" outlineLevel="0" collapsed="false">
      <c r="B1333" s="90" t="n">
        <v>906</v>
      </c>
      <c r="C1333" s="91" t="n">
        <v>2085280</v>
      </c>
      <c r="D1333" s="92" t="n">
        <f aca="false">IF($C1333="","",IFERROR(IF(INDEX('REGISTRE TUBES'!$C$7:$C$2506,MATCH($C1333,'REGISTRE TUBES'!$B$7:$B$2506,0))="","",INDEX('REGISTRE TUBES'!$C$7:$C$2506,MATCH($C1333,'REGISTRE TUBES'!$B$7:$B$2506,0))),"?"))</f>
        <v>15421106</v>
      </c>
      <c r="E1333" s="92" t="str">
        <f aca="false">IF($C1333="","",IFERROR(IF(INDEX('REGISTRE TUBES'!$D$7:$D$2506,MATCH($C1333,'REGISTRE TUBES'!$B$7:$B$2506,0))="","",INDEX('REGISTRE TUBES'!$D$7:$D$2506,MATCH($C1333,'REGISTRE TUBES'!$B$7:$B$2506,0))),"?"))</f>
        <v/>
      </c>
      <c r="F1333" s="93" t="n">
        <f aca="false">IF($C1333="","",IFERROR(IF(INDEX('REGISTRE TUBES'!$F$7:$F$2506,MATCH($C1333,'REGISTRE TUBES'!$B$7:$B$2506,0))="","",INDEX('REGISTRE TUBES'!$F$7:$F$2506,MATCH($C1333,'REGISTRE TUBES'!$B$7:$B$2506,0))),"?"))</f>
        <v>11.94</v>
      </c>
      <c r="G1333" s="94" t="n">
        <f aca="false">IF($C1333="","",N(G1332)+N(F1333))</f>
        <v>10757.13</v>
      </c>
      <c r="H1333" s="95" t="s">
        <v>2323</v>
      </c>
      <c r="I1333" s="96"/>
      <c r="J1333" s="97"/>
    </row>
    <row r="1334" customFormat="false" ht="15" hidden="false" customHeight="false" outlineLevel="0" collapsed="false">
      <c r="B1334" s="98" t="n">
        <v>907</v>
      </c>
      <c r="C1334" s="99" t="n">
        <v>2081270</v>
      </c>
      <c r="D1334" s="100" t="n">
        <f aca="false">IF($C1334="","",IFERROR(IF(INDEX('REGISTRE TUBES'!$C$7:$C$2506,MATCH($C1334,'REGISTRE TUBES'!$B$7:$B$2506,0))="","",INDEX('REGISTRE TUBES'!$C$7:$C$2506,MATCH($C1334,'REGISTRE TUBES'!$B$7:$B$2506,0))),"?"))</f>
        <v>15421103</v>
      </c>
      <c r="E1334" s="100" t="str">
        <f aca="false">IF($C1334="","",IFERROR(IF(INDEX('REGISTRE TUBES'!$D$7:$D$2506,MATCH($C1334,'REGISTRE TUBES'!$B$7:$B$2506,0))="","",INDEX('REGISTRE TUBES'!$D$7:$D$2506,MATCH($C1334,'REGISTRE TUBES'!$B$7:$B$2506,0))),"?"))</f>
        <v/>
      </c>
      <c r="F1334" s="101" t="n">
        <f aca="false">IF($C1334="","",IFERROR(IF(INDEX('REGISTRE TUBES'!$F$7:$F$2506,MATCH($C1334,'REGISTRE TUBES'!$B$7:$B$2506,0))="","",INDEX('REGISTRE TUBES'!$F$7:$F$2506,MATCH($C1334,'REGISTRE TUBES'!$B$7:$B$2506,0))),"?"))</f>
        <v>11.94</v>
      </c>
      <c r="G1334" s="102" t="n">
        <f aca="false">IF($C1334="","",N(G1333)+N(F1334))</f>
        <v>10769.07</v>
      </c>
      <c r="H1334" s="103" t="s">
        <v>2326</v>
      </c>
      <c r="I1334" s="104"/>
      <c r="J1334" s="105"/>
    </row>
    <row r="1335" customFormat="false" ht="15" hidden="false" customHeight="false" outlineLevel="0" collapsed="false">
      <c r="B1335" s="90" t="n">
        <v>908</v>
      </c>
      <c r="C1335" s="91" t="n">
        <v>2088280</v>
      </c>
      <c r="D1335" s="92" t="n">
        <f aca="false">IF($C1335="","",IFERROR(IF(INDEX('REGISTRE TUBES'!$C$7:$C$2506,MATCH($C1335,'REGISTRE TUBES'!$B$7:$B$2506,0))="","",INDEX('REGISTRE TUBES'!$C$7:$C$2506,MATCH($C1335,'REGISTRE TUBES'!$B$7:$B$2506,0))),"?"))</f>
        <v>15421108</v>
      </c>
      <c r="E1335" s="92" t="str">
        <f aca="false">IF($C1335="","",IFERROR(IF(INDEX('REGISTRE TUBES'!$D$7:$D$2506,MATCH($C1335,'REGISTRE TUBES'!$B$7:$B$2506,0))="","",INDEX('REGISTRE TUBES'!$D$7:$D$2506,MATCH($C1335,'REGISTRE TUBES'!$B$7:$B$2506,0))),"?"))</f>
        <v/>
      </c>
      <c r="F1335" s="93" t="n">
        <f aca="false">IF($C1335="","",IFERROR(IF(INDEX('REGISTRE TUBES'!$F$7:$F$2506,MATCH($C1335,'REGISTRE TUBES'!$B$7:$B$2506,0))="","",INDEX('REGISTRE TUBES'!$F$7:$F$2506,MATCH($C1335,'REGISTRE TUBES'!$B$7:$B$2506,0))),"?"))</f>
        <v>11.94</v>
      </c>
      <c r="G1335" s="94" t="n">
        <f aca="false">IF($C1335="","",N(G1334)+N(F1335))</f>
        <v>10781.01</v>
      </c>
      <c r="H1335" s="95" t="s">
        <v>2328</v>
      </c>
      <c r="I1335" s="96"/>
      <c r="J1335" s="97"/>
    </row>
    <row r="1336" customFormat="false" ht="15" hidden="false" customHeight="false" outlineLevel="0" collapsed="false">
      <c r="B1336" s="98" t="n">
        <v>909</v>
      </c>
      <c r="C1336" s="99" t="n">
        <v>2098190</v>
      </c>
      <c r="D1336" s="100" t="n">
        <f aca="false">IF($C1336="","",IFERROR(IF(INDEX('REGISTRE TUBES'!$C$7:$C$2506,MATCH($C1336,'REGISTRE TUBES'!$B$7:$B$2506,0))="","",INDEX('REGISTRE TUBES'!$C$7:$C$2506,MATCH($C1336,'REGISTRE TUBES'!$B$7:$B$2506,0))),"?"))</f>
        <v>15421112</v>
      </c>
      <c r="E1336" s="100" t="str">
        <f aca="false">IF($C1336="","",IFERROR(IF(INDEX('REGISTRE TUBES'!$D$7:$D$2506,MATCH($C1336,'REGISTRE TUBES'!$B$7:$B$2506,0))="","",INDEX('REGISTRE TUBES'!$D$7:$D$2506,MATCH($C1336,'REGISTRE TUBES'!$B$7:$B$2506,0))),"?"))</f>
        <v/>
      </c>
      <c r="F1336" s="101" t="n">
        <f aca="false">IF($C1336="","",IFERROR(IF(INDEX('REGISTRE TUBES'!$F$7:$F$2506,MATCH($C1336,'REGISTRE TUBES'!$B$7:$B$2506,0))="","",INDEX('REGISTRE TUBES'!$F$7:$F$2506,MATCH($C1336,'REGISTRE TUBES'!$B$7:$B$2506,0))),"?"))</f>
        <v>11.94</v>
      </c>
      <c r="G1336" s="102" t="n">
        <f aca="false">IF($C1336="","",N(G1335)+N(F1336))</f>
        <v>10792.95</v>
      </c>
      <c r="H1336" s="103" t="s">
        <v>2329</v>
      </c>
      <c r="I1336" s="104"/>
      <c r="J1336" s="105"/>
    </row>
    <row r="1337" customFormat="false" ht="15" hidden="false" customHeight="false" outlineLevel="0" collapsed="false">
      <c r="B1337" s="90" t="n">
        <v>910</v>
      </c>
      <c r="C1337" s="91" t="n">
        <v>2086090</v>
      </c>
      <c r="D1337" s="92" t="n">
        <f aca="false">IF($C1337="","",IFERROR(IF(INDEX('REGISTRE TUBES'!$C$7:$C$2506,MATCH($C1337,'REGISTRE TUBES'!$B$7:$B$2506,0))="","",INDEX('REGISTRE TUBES'!$C$7:$C$2506,MATCH($C1337,'REGISTRE TUBES'!$B$7:$B$2506,0))),"?"))</f>
        <v>15421107</v>
      </c>
      <c r="E1337" s="92" t="str">
        <f aca="false">IF($C1337="","",IFERROR(IF(INDEX('REGISTRE TUBES'!$D$7:$D$2506,MATCH($C1337,'REGISTRE TUBES'!$B$7:$B$2506,0))="","",INDEX('REGISTRE TUBES'!$D$7:$D$2506,MATCH($C1337,'REGISTRE TUBES'!$B$7:$B$2506,0))),"?"))</f>
        <v/>
      </c>
      <c r="F1337" s="93" t="n">
        <f aca="false">IF($C1337="","",IFERROR(IF(INDEX('REGISTRE TUBES'!$F$7:$F$2506,MATCH($C1337,'REGISTRE TUBES'!$B$7:$B$2506,0))="","",INDEX('REGISTRE TUBES'!$F$7:$F$2506,MATCH($C1337,'REGISTRE TUBES'!$B$7:$B$2506,0))),"?"))</f>
        <v>11.94</v>
      </c>
      <c r="G1337" s="94" t="n">
        <f aca="false">IF($C1337="","",N(G1336)+N(F1337))</f>
        <v>10804.89</v>
      </c>
      <c r="H1337" s="95" t="s">
        <v>2331</v>
      </c>
      <c r="I1337" s="96"/>
      <c r="J1337" s="97"/>
    </row>
    <row r="1338" customFormat="false" ht="15" hidden="false" customHeight="false" outlineLevel="0" collapsed="false">
      <c r="B1338" s="98" t="n">
        <v>911</v>
      </c>
      <c r="C1338" s="99" t="n">
        <v>2080690</v>
      </c>
      <c r="D1338" s="100" t="n">
        <f aca="false">IF($C1338="","",IFERROR(IF(INDEX('REGISTRE TUBES'!$C$7:$C$2506,MATCH($C1338,'REGISTRE TUBES'!$B$7:$B$2506,0))="","",INDEX('REGISTRE TUBES'!$C$7:$C$2506,MATCH($C1338,'REGISTRE TUBES'!$B$7:$B$2506,0))),"?"))</f>
        <v>15421103</v>
      </c>
      <c r="E1338" s="100" t="str">
        <f aca="false">IF($C1338="","",IFERROR(IF(INDEX('REGISTRE TUBES'!$D$7:$D$2506,MATCH($C1338,'REGISTRE TUBES'!$B$7:$B$2506,0))="","",INDEX('REGISTRE TUBES'!$D$7:$D$2506,MATCH($C1338,'REGISTRE TUBES'!$B$7:$B$2506,0))),"?"))</f>
        <v/>
      </c>
      <c r="F1338" s="101" t="n">
        <f aca="false">IF($C1338="","",IFERROR(IF(INDEX('REGISTRE TUBES'!$F$7:$F$2506,MATCH($C1338,'REGISTRE TUBES'!$B$7:$B$2506,0))="","",INDEX('REGISTRE TUBES'!$F$7:$F$2506,MATCH($C1338,'REGISTRE TUBES'!$B$7:$B$2506,0))),"?"))</f>
        <v>11.94</v>
      </c>
      <c r="G1338" s="102" t="n">
        <f aca="false">IF($C1338="","",N(G1337)+N(F1338))</f>
        <v>10816.83</v>
      </c>
      <c r="H1338" s="103" t="s">
        <v>2332</v>
      </c>
      <c r="I1338" s="104"/>
      <c r="J1338" s="105"/>
    </row>
    <row r="1339" customFormat="false" ht="15" hidden="false" customHeight="false" outlineLevel="0" collapsed="false">
      <c r="B1339" s="90" t="n">
        <v>912</v>
      </c>
      <c r="C1339" s="91" t="n">
        <v>2083230</v>
      </c>
      <c r="D1339" s="92" t="n">
        <f aca="false">IF($C1339="","",IFERROR(IF(INDEX('REGISTRE TUBES'!$C$7:$C$2506,MATCH($C1339,'REGISTRE TUBES'!$B$7:$B$2506,0))="","",INDEX('REGISTRE TUBES'!$C$7:$C$2506,MATCH($C1339,'REGISTRE TUBES'!$B$7:$B$2506,0))),"?"))</f>
        <v>15421119</v>
      </c>
      <c r="E1339" s="92" t="str">
        <f aca="false">IF($C1339="","",IFERROR(IF(INDEX('REGISTRE TUBES'!$D$7:$D$2506,MATCH($C1339,'REGISTRE TUBES'!$B$7:$B$2506,0))="","",INDEX('REGISTRE TUBES'!$D$7:$D$2506,MATCH($C1339,'REGISTRE TUBES'!$B$7:$B$2506,0))),"?"))</f>
        <v/>
      </c>
      <c r="F1339" s="93" t="n">
        <f aca="false">IF($C1339="","",IFERROR(IF(INDEX('REGISTRE TUBES'!$F$7:$F$2506,MATCH($C1339,'REGISTRE TUBES'!$B$7:$B$2506,0))="","",INDEX('REGISTRE TUBES'!$F$7:$F$2506,MATCH($C1339,'REGISTRE TUBES'!$B$7:$B$2506,0))),"?"))</f>
        <v>11.94</v>
      </c>
      <c r="G1339" s="94" t="n">
        <f aca="false">IF($C1339="","",N(G1338)+N(F1339))</f>
        <v>10828.77</v>
      </c>
      <c r="H1339" s="95" t="s">
        <v>2333</v>
      </c>
      <c r="I1339" s="96"/>
      <c r="J1339" s="97"/>
    </row>
    <row r="1340" customFormat="false" ht="15" hidden="false" customHeight="true" outlineLevel="0" collapsed="false">
      <c r="B1340" s="106" t="s">
        <v>3031</v>
      </c>
      <c r="C1340" s="106"/>
      <c r="D1340" s="106"/>
      <c r="E1340" s="106"/>
      <c r="F1340" s="107" t="n">
        <f aca="false">SUM(F1321:F1339)</f>
        <v>226.86</v>
      </c>
      <c r="G1340" s="108" t="n">
        <f aca="false">IF(COUNT(G1321:G1339)=0,"",MAX(G1321:G1339))</f>
        <v>10828.77</v>
      </c>
      <c r="H1340" s="106" t="str">
        <f aca="false">COUNTA(C1321:C1339)&amp;" tube(s)"</f>
        <v>19 tube(s)</v>
      </c>
      <c r="I1340" s="106"/>
      <c r="J1340" s="106"/>
    </row>
    <row r="1342" customFormat="false" ht="15" hidden="false" customHeight="false" outlineLevel="0" collapsed="false">
      <c r="B1342" s="109" t="s">
        <v>3032</v>
      </c>
      <c r="F1342" s="109" t="s">
        <v>3033</v>
      </c>
      <c r="I1342" s="109" t="s">
        <v>3034</v>
      </c>
    </row>
    <row r="1345" customFormat="false" ht="25.5" hidden="false" customHeight="true" outlineLevel="0" collapsed="false">
      <c r="B1345" s="85" t="s">
        <v>3015</v>
      </c>
      <c r="C1345" s="85"/>
      <c r="D1345" s="85"/>
      <c r="E1345" s="85"/>
      <c r="F1345" s="85"/>
      <c r="G1345" s="85"/>
      <c r="H1345" s="85"/>
      <c r="I1345" s="85"/>
      <c r="J1345" s="85"/>
    </row>
    <row r="1346" customFormat="false" ht="15" hidden="false" customHeight="false" outlineLevel="0" collapsed="false">
      <c r="B1346" s="86" t="str">
        <f aca="false">PARAMÈTRES!$C$4&amp;"   •   Affaire N° "&amp;PARAMÈTRES!$C$5</f>
        <v>Développement des champs gaziers TFT II — réseau de collecte TFT Sud (LIGNE-16)   •   Affaire N° 8546</v>
      </c>
      <c r="C1346" s="86"/>
      <c r="D1346" s="86"/>
      <c r="E1346" s="86"/>
      <c r="F1346" s="86"/>
      <c r="G1346" s="86"/>
      <c r="H1346" s="86"/>
      <c r="I1346" s="86"/>
      <c r="J1346" s="86"/>
    </row>
    <row r="1347" customFormat="false" ht="19.5" hidden="false" customHeight="true" outlineLevel="0" collapsed="false">
      <c r="B1347" s="87" t="s">
        <v>3016</v>
      </c>
      <c r="C1347" s="88" t="s">
        <v>110</v>
      </c>
      <c r="D1347" s="88"/>
      <c r="E1347" s="87" t="s">
        <v>3017</v>
      </c>
      <c r="F1347" s="88" t="s">
        <v>3129</v>
      </c>
      <c r="G1347" s="87" t="s">
        <v>3019</v>
      </c>
      <c r="H1347" s="88" t="s">
        <v>3130</v>
      </c>
      <c r="I1347" s="87" t="s">
        <v>3021</v>
      </c>
      <c r="J1347" s="89"/>
    </row>
    <row r="1348" customFormat="false" ht="27.75" hidden="false" customHeight="true" outlineLevel="0" collapsed="false">
      <c r="B1348" s="71" t="s">
        <v>3022</v>
      </c>
      <c r="C1348" s="71" t="s">
        <v>3023</v>
      </c>
      <c r="D1348" s="71" t="s">
        <v>3024</v>
      </c>
      <c r="E1348" s="71" t="s">
        <v>3025</v>
      </c>
      <c r="F1348" s="71" t="s">
        <v>3026</v>
      </c>
      <c r="G1348" s="71" t="s">
        <v>3027</v>
      </c>
      <c r="H1348" s="71" t="s">
        <v>3028</v>
      </c>
      <c r="I1348" s="71" t="s">
        <v>3029</v>
      </c>
      <c r="J1348" s="71" t="s">
        <v>3030</v>
      </c>
    </row>
    <row r="1349" customFormat="false" ht="15" hidden="false" customHeight="false" outlineLevel="0" collapsed="false">
      <c r="B1349" s="90" t="n">
        <v>913</v>
      </c>
      <c r="C1349" s="91" t="n">
        <v>2088390</v>
      </c>
      <c r="D1349" s="92" t="n">
        <f aca="false">IF($C1349="","",IFERROR(IF(INDEX('REGISTRE TUBES'!$C$7:$C$2506,MATCH($C1349,'REGISTRE TUBES'!$B$7:$B$2506,0))="","",INDEX('REGISTRE TUBES'!$C$7:$C$2506,MATCH($C1349,'REGISTRE TUBES'!$B$7:$B$2506,0))),"?"))</f>
        <v>15421108</v>
      </c>
      <c r="E1349" s="92" t="str">
        <f aca="false">IF($C1349="","",IFERROR(IF(INDEX('REGISTRE TUBES'!$D$7:$D$2506,MATCH($C1349,'REGISTRE TUBES'!$B$7:$B$2506,0))="","",INDEX('REGISTRE TUBES'!$D$7:$D$2506,MATCH($C1349,'REGISTRE TUBES'!$B$7:$B$2506,0))),"?"))</f>
        <v/>
      </c>
      <c r="F1349" s="93" t="n">
        <f aca="false">IF($C1349="","",IFERROR(IF(INDEX('REGISTRE TUBES'!$F$7:$F$2506,MATCH($C1349,'REGISTRE TUBES'!$B$7:$B$2506,0))="","",INDEX('REGISTRE TUBES'!$F$7:$F$2506,MATCH($C1349,'REGISTRE TUBES'!$B$7:$B$2506,0))),"?"))</f>
        <v>11.94</v>
      </c>
      <c r="G1349" s="94" t="n">
        <f aca="false">IF($C1349="","",N(G1339)+N(F1349))</f>
        <v>10840.71</v>
      </c>
      <c r="H1349" s="95" t="s">
        <v>2334</v>
      </c>
      <c r="I1349" s="96"/>
      <c r="J1349" s="97"/>
    </row>
    <row r="1350" customFormat="false" ht="15" hidden="false" customHeight="false" outlineLevel="0" collapsed="false">
      <c r="B1350" s="98" t="n">
        <v>914</v>
      </c>
      <c r="C1350" s="99" t="n">
        <v>2091280</v>
      </c>
      <c r="D1350" s="100" t="n">
        <f aca="false">IF($C1350="","",IFERROR(IF(INDEX('REGISTRE TUBES'!$C$7:$C$2506,MATCH($C1350,'REGISTRE TUBES'!$B$7:$B$2506,0))="","",INDEX('REGISTRE TUBES'!$C$7:$C$2506,MATCH($C1350,'REGISTRE TUBES'!$B$7:$B$2506,0))),"?"))</f>
        <v>15421111</v>
      </c>
      <c r="E1350" s="100" t="str">
        <f aca="false">IF($C1350="","",IFERROR(IF(INDEX('REGISTRE TUBES'!$D$7:$D$2506,MATCH($C1350,'REGISTRE TUBES'!$B$7:$B$2506,0))="","",INDEX('REGISTRE TUBES'!$D$7:$D$2506,MATCH($C1350,'REGISTRE TUBES'!$B$7:$B$2506,0))),"?"))</f>
        <v/>
      </c>
      <c r="F1350" s="101" t="n">
        <f aca="false">IF($C1350="","",IFERROR(IF(INDEX('REGISTRE TUBES'!$F$7:$F$2506,MATCH($C1350,'REGISTRE TUBES'!$B$7:$B$2506,0))="","",INDEX('REGISTRE TUBES'!$F$7:$F$2506,MATCH($C1350,'REGISTRE TUBES'!$B$7:$B$2506,0))),"?"))</f>
        <v>11.94</v>
      </c>
      <c r="G1350" s="102" t="n">
        <f aca="false">IF($C1350="","",N(G1349)+N(F1350))</f>
        <v>10852.65</v>
      </c>
      <c r="H1350" s="103" t="s">
        <v>2335</v>
      </c>
      <c r="I1350" s="104"/>
      <c r="J1350" s="105"/>
    </row>
    <row r="1351" customFormat="false" ht="15" hidden="false" customHeight="false" outlineLevel="0" collapsed="false">
      <c r="B1351" s="90" t="n">
        <v>915</v>
      </c>
      <c r="C1351" s="91" t="n">
        <v>2097240</v>
      </c>
      <c r="D1351" s="92" t="n">
        <f aca="false">IF($C1351="","",IFERROR(IF(INDEX('REGISTRE TUBES'!$C$7:$C$2506,MATCH($C1351,'REGISTRE TUBES'!$B$7:$B$2506,0))="","",INDEX('REGISTRE TUBES'!$C$7:$C$2506,MATCH($C1351,'REGISTRE TUBES'!$B$7:$B$2506,0))),"?"))</f>
        <v>15421112</v>
      </c>
      <c r="E1351" s="92" t="str">
        <f aca="false">IF($C1351="","",IFERROR(IF(INDEX('REGISTRE TUBES'!$D$7:$D$2506,MATCH($C1351,'REGISTRE TUBES'!$B$7:$B$2506,0))="","",INDEX('REGISTRE TUBES'!$D$7:$D$2506,MATCH($C1351,'REGISTRE TUBES'!$B$7:$B$2506,0))),"?"))</f>
        <v/>
      </c>
      <c r="F1351" s="93" t="n">
        <f aca="false">IF($C1351="","",IFERROR(IF(INDEX('REGISTRE TUBES'!$F$7:$F$2506,MATCH($C1351,'REGISTRE TUBES'!$B$7:$B$2506,0))="","",INDEX('REGISTRE TUBES'!$F$7:$F$2506,MATCH($C1351,'REGISTRE TUBES'!$B$7:$B$2506,0))),"?"))</f>
        <v>11.94</v>
      </c>
      <c r="G1351" s="94" t="n">
        <f aca="false">IF($C1351="","",N(G1350)+N(F1351))</f>
        <v>10864.59</v>
      </c>
      <c r="H1351" s="95" t="s">
        <v>2336</v>
      </c>
      <c r="I1351" s="96"/>
      <c r="J1351" s="97"/>
    </row>
    <row r="1352" customFormat="false" ht="15" hidden="false" customHeight="false" outlineLevel="0" collapsed="false">
      <c r="B1352" s="98" t="n">
        <v>916</v>
      </c>
      <c r="C1352" s="99" t="n">
        <v>2084450</v>
      </c>
      <c r="D1352" s="100" t="n">
        <f aca="false">IF($C1352="","",IFERROR(IF(INDEX('REGISTRE TUBES'!$C$7:$C$2506,MATCH($C1352,'REGISTRE TUBES'!$B$7:$B$2506,0))="","",INDEX('REGISTRE TUBES'!$C$7:$C$2506,MATCH($C1352,'REGISTRE TUBES'!$B$7:$B$2506,0))),"?"))</f>
        <v>15421106</v>
      </c>
      <c r="E1352" s="100" t="str">
        <f aca="false">IF($C1352="","",IFERROR(IF(INDEX('REGISTRE TUBES'!$D$7:$D$2506,MATCH($C1352,'REGISTRE TUBES'!$B$7:$B$2506,0))="","",INDEX('REGISTRE TUBES'!$D$7:$D$2506,MATCH($C1352,'REGISTRE TUBES'!$B$7:$B$2506,0))),"?"))</f>
        <v/>
      </c>
      <c r="F1352" s="101" t="n">
        <f aca="false">IF($C1352="","",IFERROR(IF(INDEX('REGISTRE TUBES'!$F$7:$F$2506,MATCH($C1352,'REGISTRE TUBES'!$B$7:$B$2506,0))="","",INDEX('REGISTRE TUBES'!$F$7:$F$2506,MATCH($C1352,'REGISTRE TUBES'!$B$7:$B$2506,0))),"?"))</f>
        <v>11.94</v>
      </c>
      <c r="G1352" s="102" t="n">
        <f aca="false">IF($C1352="","",N(G1351)+N(F1352))</f>
        <v>10876.53</v>
      </c>
      <c r="H1352" s="103" t="s">
        <v>2337</v>
      </c>
      <c r="I1352" s="104"/>
      <c r="J1352" s="105"/>
    </row>
    <row r="1353" customFormat="false" ht="15" hidden="false" customHeight="false" outlineLevel="0" collapsed="false">
      <c r="B1353" s="90" t="n">
        <v>917</v>
      </c>
      <c r="C1353" s="91" t="n">
        <v>2098280</v>
      </c>
      <c r="D1353" s="92" t="n">
        <f aca="false">IF($C1353="","",IFERROR(IF(INDEX('REGISTRE TUBES'!$C$7:$C$2506,MATCH($C1353,'REGISTRE TUBES'!$B$7:$B$2506,0))="","",INDEX('REGISTRE TUBES'!$C$7:$C$2506,MATCH($C1353,'REGISTRE TUBES'!$B$7:$B$2506,0))),"?"))</f>
        <v>15421112</v>
      </c>
      <c r="E1353" s="92" t="str">
        <f aca="false">IF($C1353="","",IFERROR(IF(INDEX('REGISTRE TUBES'!$D$7:$D$2506,MATCH($C1353,'REGISTRE TUBES'!$B$7:$B$2506,0))="","",INDEX('REGISTRE TUBES'!$D$7:$D$2506,MATCH($C1353,'REGISTRE TUBES'!$B$7:$B$2506,0))),"?"))</f>
        <v/>
      </c>
      <c r="F1353" s="93" t="n">
        <f aca="false">IF($C1353="","",IFERROR(IF(INDEX('REGISTRE TUBES'!$F$7:$F$2506,MATCH($C1353,'REGISTRE TUBES'!$B$7:$B$2506,0))="","",INDEX('REGISTRE TUBES'!$F$7:$F$2506,MATCH($C1353,'REGISTRE TUBES'!$B$7:$B$2506,0))),"?"))</f>
        <v>11.94</v>
      </c>
      <c r="G1353" s="94" t="n">
        <f aca="false">IF($C1353="","",N(G1352)+N(F1353))</f>
        <v>10888.47</v>
      </c>
      <c r="H1353" s="95" t="s">
        <v>2338</v>
      </c>
      <c r="I1353" s="96"/>
      <c r="J1353" s="97"/>
    </row>
    <row r="1354" customFormat="false" ht="15" hidden="false" customHeight="false" outlineLevel="0" collapsed="false">
      <c r="B1354" s="98" t="n">
        <v>918</v>
      </c>
      <c r="C1354" s="99" t="n">
        <v>2089070</v>
      </c>
      <c r="D1354" s="100" t="n">
        <f aca="false">IF($C1354="","",IFERROR(IF(INDEX('REGISTRE TUBES'!$C$7:$C$2506,MATCH($C1354,'REGISTRE TUBES'!$B$7:$B$2506,0))="","",INDEX('REGISTRE TUBES'!$C$7:$C$2506,MATCH($C1354,'REGISTRE TUBES'!$B$7:$B$2506,0))),"?"))</f>
        <v>15421108</v>
      </c>
      <c r="E1354" s="100" t="str">
        <f aca="false">IF($C1354="","",IFERROR(IF(INDEX('REGISTRE TUBES'!$D$7:$D$2506,MATCH($C1354,'REGISTRE TUBES'!$B$7:$B$2506,0))="","",INDEX('REGISTRE TUBES'!$D$7:$D$2506,MATCH($C1354,'REGISTRE TUBES'!$B$7:$B$2506,0))),"?"))</f>
        <v/>
      </c>
      <c r="F1354" s="101" t="n">
        <f aca="false">IF($C1354="","",IFERROR(IF(INDEX('REGISTRE TUBES'!$F$7:$F$2506,MATCH($C1354,'REGISTRE TUBES'!$B$7:$B$2506,0))="","",INDEX('REGISTRE TUBES'!$F$7:$F$2506,MATCH($C1354,'REGISTRE TUBES'!$B$7:$B$2506,0))),"?"))</f>
        <v>11.94</v>
      </c>
      <c r="G1354" s="102" t="n">
        <f aca="false">IF($C1354="","",N(G1353)+N(F1354))</f>
        <v>10900.41</v>
      </c>
      <c r="H1354" s="103" t="s">
        <v>2339</v>
      </c>
      <c r="I1354" s="104"/>
      <c r="J1354" s="105"/>
    </row>
    <row r="1355" customFormat="false" ht="15" hidden="false" customHeight="false" outlineLevel="0" collapsed="false">
      <c r="B1355" s="90" t="n">
        <v>919</v>
      </c>
      <c r="C1355" s="91" t="n">
        <v>2095300</v>
      </c>
      <c r="D1355" s="92" t="n">
        <f aca="false">IF($C1355="","",IFERROR(IF(INDEX('REGISTRE TUBES'!$C$7:$C$2506,MATCH($C1355,'REGISTRE TUBES'!$B$7:$B$2506,0))="","",INDEX('REGISTRE TUBES'!$C$7:$C$2506,MATCH($C1355,'REGISTRE TUBES'!$B$7:$B$2506,0))),"?"))</f>
        <v>15421111</v>
      </c>
      <c r="E1355" s="92" t="str">
        <f aca="false">IF($C1355="","",IFERROR(IF(INDEX('REGISTRE TUBES'!$D$7:$D$2506,MATCH($C1355,'REGISTRE TUBES'!$B$7:$B$2506,0))="","",INDEX('REGISTRE TUBES'!$D$7:$D$2506,MATCH($C1355,'REGISTRE TUBES'!$B$7:$B$2506,0))),"?"))</f>
        <v/>
      </c>
      <c r="F1355" s="93" t="n">
        <f aca="false">IF($C1355="","",IFERROR(IF(INDEX('REGISTRE TUBES'!$F$7:$F$2506,MATCH($C1355,'REGISTRE TUBES'!$B$7:$B$2506,0))="","",INDEX('REGISTRE TUBES'!$F$7:$F$2506,MATCH($C1355,'REGISTRE TUBES'!$B$7:$B$2506,0))),"?"))</f>
        <v>11.94</v>
      </c>
      <c r="G1355" s="94" t="n">
        <f aca="false">IF($C1355="","",N(G1354)+N(F1355))</f>
        <v>10912.35</v>
      </c>
      <c r="H1355" s="95" t="s">
        <v>2340</v>
      </c>
      <c r="I1355" s="96"/>
      <c r="J1355" s="97"/>
    </row>
    <row r="1356" customFormat="false" ht="15" hidden="false" customHeight="false" outlineLevel="0" collapsed="false">
      <c r="B1356" s="98" t="n">
        <v>920</v>
      </c>
      <c r="C1356" s="99" t="n">
        <v>2094750</v>
      </c>
      <c r="D1356" s="100" t="n">
        <f aca="false">IF($C1356="","",IFERROR(IF(INDEX('REGISTRE TUBES'!$C$7:$C$2506,MATCH($C1356,'REGISTRE TUBES'!$B$7:$B$2506,0))="","",INDEX('REGISTRE TUBES'!$C$7:$C$2506,MATCH($C1356,'REGISTRE TUBES'!$B$7:$B$2506,0))),"?"))</f>
        <v>15421111</v>
      </c>
      <c r="E1356" s="100" t="str">
        <f aca="false">IF($C1356="","",IFERROR(IF(INDEX('REGISTRE TUBES'!$D$7:$D$2506,MATCH($C1356,'REGISTRE TUBES'!$B$7:$B$2506,0))="","",INDEX('REGISTRE TUBES'!$D$7:$D$2506,MATCH($C1356,'REGISTRE TUBES'!$B$7:$B$2506,0))),"?"))</f>
        <v/>
      </c>
      <c r="F1356" s="101" t="n">
        <f aca="false">IF($C1356="","",IFERROR(IF(INDEX('REGISTRE TUBES'!$F$7:$F$2506,MATCH($C1356,'REGISTRE TUBES'!$B$7:$B$2506,0))="","",INDEX('REGISTRE TUBES'!$F$7:$F$2506,MATCH($C1356,'REGISTRE TUBES'!$B$7:$B$2506,0))),"?"))</f>
        <v>11.94</v>
      </c>
      <c r="G1356" s="102" t="n">
        <f aca="false">IF($C1356="","",N(G1355)+N(F1356))</f>
        <v>10924.29</v>
      </c>
      <c r="H1356" s="103" t="s">
        <v>2341</v>
      </c>
      <c r="I1356" s="104"/>
      <c r="J1356" s="105"/>
    </row>
    <row r="1357" customFormat="false" ht="15" hidden="false" customHeight="false" outlineLevel="0" collapsed="false">
      <c r="B1357" s="90" t="n">
        <v>921</v>
      </c>
      <c r="C1357" s="91" t="n">
        <v>2098060</v>
      </c>
      <c r="D1357" s="92" t="n">
        <f aca="false">IF($C1357="","",IFERROR(IF(INDEX('REGISTRE TUBES'!$C$7:$C$2506,MATCH($C1357,'REGISTRE TUBES'!$B$7:$B$2506,0))="","",INDEX('REGISTRE TUBES'!$C$7:$C$2506,MATCH($C1357,'REGISTRE TUBES'!$B$7:$B$2506,0))),"?"))</f>
        <v>15421112</v>
      </c>
      <c r="E1357" s="92" t="str">
        <f aca="false">IF($C1357="","",IFERROR(IF(INDEX('REGISTRE TUBES'!$D$7:$D$2506,MATCH($C1357,'REGISTRE TUBES'!$B$7:$B$2506,0))="","",INDEX('REGISTRE TUBES'!$D$7:$D$2506,MATCH($C1357,'REGISTRE TUBES'!$B$7:$B$2506,0))),"?"))</f>
        <v/>
      </c>
      <c r="F1357" s="93" t="n">
        <f aca="false">IF($C1357="","",IFERROR(IF(INDEX('REGISTRE TUBES'!$F$7:$F$2506,MATCH($C1357,'REGISTRE TUBES'!$B$7:$B$2506,0))="","",INDEX('REGISTRE TUBES'!$F$7:$F$2506,MATCH($C1357,'REGISTRE TUBES'!$B$7:$B$2506,0))),"?"))</f>
        <v>11.94</v>
      </c>
      <c r="G1357" s="94" t="n">
        <f aca="false">IF($C1357="","",N(G1356)+N(F1357))</f>
        <v>10936.23</v>
      </c>
      <c r="H1357" s="95" t="s">
        <v>2342</v>
      </c>
      <c r="I1357" s="96"/>
      <c r="J1357" s="97"/>
    </row>
    <row r="1358" customFormat="false" ht="15" hidden="false" customHeight="false" outlineLevel="0" collapsed="false">
      <c r="B1358" s="98" t="n">
        <v>922</v>
      </c>
      <c r="C1358" s="99" t="n">
        <v>2081170</v>
      </c>
      <c r="D1358" s="100" t="n">
        <f aca="false">IF($C1358="","",IFERROR(IF(INDEX('REGISTRE TUBES'!$C$7:$C$2506,MATCH($C1358,'REGISTRE TUBES'!$B$7:$B$2506,0))="","",INDEX('REGISTRE TUBES'!$C$7:$C$2506,MATCH($C1358,'REGISTRE TUBES'!$B$7:$B$2506,0))),"?"))</f>
        <v>15421110</v>
      </c>
      <c r="E1358" s="100" t="str">
        <f aca="false">IF($C1358="","",IFERROR(IF(INDEX('REGISTRE TUBES'!$D$7:$D$2506,MATCH($C1358,'REGISTRE TUBES'!$B$7:$B$2506,0))="","",INDEX('REGISTRE TUBES'!$D$7:$D$2506,MATCH($C1358,'REGISTRE TUBES'!$B$7:$B$2506,0))),"?"))</f>
        <v/>
      </c>
      <c r="F1358" s="101" t="n">
        <f aca="false">IF($C1358="","",IFERROR(IF(INDEX('REGISTRE TUBES'!$F$7:$F$2506,MATCH($C1358,'REGISTRE TUBES'!$B$7:$B$2506,0))="","",INDEX('REGISTRE TUBES'!$F$7:$F$2506,MATCH($C1358,'REGISTRE TUBES'!$B$7:$B$2506,0))),"?"))</f>
        <v>11.94</v>
      </c>
      <c r="G1358" s="102" t="n">
        <f aca="false">IF($C1358="","",N(G1357)+N(F1358))</f>
        <v>10948.17</v>
      </c>
      <c r="H1358" s="103" t="s">
        <v>2345</v>
      </c>
      <c r="I1358" s="104"/>
      <c r="J1358" s="105"/>
    </row>
    <row r="1359" customFormat="false" ht="15" hidden="false" customHeight="false" outlineLevel="0" collapsed="false">
      <c r="B1359" s="90" t="n">
        <v>923</v>
      </c>
      <c r="C1359" s="91" t="n">
        <v>2086760</v>
      </c>
      <c r="D1359" s="92" t="n">
        <f aca="false">IF($C1359="","",IFERROR(IF(INDEX('REGISTRE TUBES'!$C$7:$C$2506,MATCH($C1359,'REGISTRE TUBES'!$B$7:$B$2506,0))="","",INDEX('REGISTRE TUBES'!$C$7:$C$2506,MATCH($C1359,'REGISTRE TUBES'!$B$7:$B$2506,0))),"?"))</f>
        <v>15421107</v>
      </c>
      <c r="E1359" s="92" t="str">
        <f aca="false">IF($C1359="","",IFERROR(IF(INDEX('REGISTRE TUBES'!$D$7:$D$2506,MATCH($C1359,'REGISTRE TUBES'!$B$7:$B$2506,0))="","",INDEX('REGISTRE TUBES'!$D$7:$D$2506,MATCH($C1359,'REGISTRE TUBES'!$B$7:$B$2506,0))),"?"))</f>
        <v/>
      </c>
      <c r="F1359" s="93" t="n">
        <f aca="false">IF($C1359="","",IFERROR(IF(INDEX('REGISTRE TUBES'!$F$7:$F$2506,MATCH($C1359,'REGISTRE TUBES'!$B$7:$B$2506,0))="","",INDEX('REGISTRE TUBES'!$F$7:$F$2506,MATCH($C1359,'REGISTRE TUBES'!$B$7:$B$2506,0))),"?"))</f>
        <v>11.94</v>
      </c>
      <c r="G1359" s="94" t="n">
        <f aca="false">IF($C1359="","",N(G1358)+N(F1359))</f>
        <v>10960.11</v>
      </c>
      <c r="H1359" s="95" t="s">
        <v>2347</v>
      </c>
      <c r="I1359" s="96"/>
      <c r="J1359" s="97"/>
    </row>
    <row r="1360" customFormat="false" ht="15" hidden="false" customHeight="false" outlineLevel="0" collapsed="false">
      <c r="B1360" s="98" t="n">
        <v>924</v>
      </c>
      <c r="C1360" s="99" t="n">
        <v>2092580</v>
      </c>
      <c r="D1360" s="100" t="n">
        <f aca="false">IF($C1360="","",IFERROR(IF(INDEX('REGISTRE TUBES'!$C$7:$C$2506,MATCH($C1360,'REGISTRE TUBES'!$B$7:$B$2506,0))="","",INDEX('REGISTRE TUBES'!$C$7:$C$2506,MATCH($C1360,'REGISTRE TUBES'!$B$7:$B$2506,0))),"?"))</f>
        <v>15421110</v>
      </c>
      <c r="E1360" s="100" t="str">
        <f aca="false">IF($C1360="","",IFERROR(IF(INDEX('REGISTRE TUBES'!$D$7:$D$2506,MATCH($C1360,'REGISTRE TUBES'!$B$7:$B$2506,0))="","",INDEX('REGISTRE TUBES'!$D$7:$D$2506,MATCH($C1360,'REGISTRE TUBES'!$B$7:$B$2506,0))),"?"))</f>
        <v/>
      </c>
      <c r="F1360" s="101" t="n">
        <f aca="false">IF($C1360="","",IFERROR(IF(INDEX('REGISTRE TUBES'!$F$7:$F$2506,MATCH($C1360,'REGISTRE TUBES'!$B$7:$B$2506,0))="","",INDEX('REGISTRE TUBES'!$F$7:$F$2506,MATCH($C1360,'REGISTRE TUBES'!$B$7:$B$2506,0))),"?"))</f>
        <v>11.94</v>
      </c>
      <c r="G1360" s="102" t="n">
        <f aca="false">IF($C1360="","",N(G1359)+N(F1360))</f>
        <v>10972.05</v>
      </c>
      <c r="H1360" s="103" t="s">
        <v>2348</v>
      </c>
      <c r="I1360" s="104"/>
      <c r="J1360" s="105"/>
    </row>
    <row r="1361" customFormat="false" ht="15" hidden="false" customHeight="false" outlineLevel="0" collapsed="false">
      <c r="B1361" s="90" t="n">
        <v>925</v>
      </c>
      <c r="C1361" s="91" t="n">
        <v>2085570</v>
      </c>
      <c r="D1361" s="92" t="n">
        <f aca="false">IF($C1361="","",IFERROR(IF(INDEX('REGISTRE TUBES'!$C$7:$C$2506,MATCH($C1361,'REGISTRE TUBES'!$B$7:$B$2506,0))="","",INDEX('REGISTRE TUBES'!$C$7:$C$2506,MATCH($C1361,'REGISTRE TUBES'!$B$7:$B$2506,0))),"?"))</f>
        <v>15421107</v>
      </c>
      <c r="E1361" s="92" t="str">
        <f aca="false">IF($C1361="","",IFERROR(IF(INDEX('REGISTRE TUBES'!$D$7:$D$2506,MATCH($C1361,'REGISTRE TUBES'!$B$7:$B$2506,0))="","",INDEX('REGISTRE TUBES'!$D$7:$D$2506,MATCH($C1361,'REGISTRE TUBES'!$B$7:$B$2506,0))),"?"))</f>
        <v/>
      </c>
      <c r="F1361" s="93" t="n">
        <f aca="false">IF($C1361="","",IFERROR(IF(INDEX('REGISTRE TUBES'!$F$7:$F$2506,MATCH($C1361,'REGISTRE TUBES'!$B$7:$B$2506,0))="","",INDEX('REGISTRE TUBES'!$F$7:$F$2506,MATCH($C1361,'REGISTRE TUBES'!$B$7:$B$2506,0))),"?"))</f>
        <v>11.94</v>
      </c>
      <c r="G1361" s="94" t="n">
        <f aca="false">IF($C1361="","",N(G1360)+N(F1361))</f>
        <v>10983.99</v>
      </c>
      <c r="H1361" s="95" t="s">
        <v>2349</v>
      </c>
      <c r="I1361" s="96"/>
      <c r="J1361" s="97"/>
    </row>
    <row r="1362" customFormat="false" ht="15" hidden="false" customHeight="false" outlineLevel="0" collapsed="false">
      <c r="B1362" s="98" t="n">
        <v>926</v>
      </c>
      <c r="C1362" s="99" t="n">
        <v>2094390</v>
      </c>
      <c r="D1362" s="100" t="n">
        <f aca="false">IF($C1362="","",IFERROR(IF(INDEX('REGISTRE TUBES'!$C$7:$C$2506,MATCH($C1362,'REGISTRE TUBES'!$B$7:$B$2506,0))="","",INDEX('REGISTRE TUBES'!$C$7:$C$2506,MATCH($C1362,'REGISTRE TUBES'!$B$7:$B$2506,0))),"?"))</f>
        <v>15421111</v>
      </c>
      <c r="E1362" s="100" t="str">
        <f aca="false">IF($C1362="","",IFERROR(IF(INDEX('REGISTRE TUBES'!$D$7:$D$2506,MATCH($C1362,'REGISTRE TUBES'!$B$7:$B$2506,0))="","",INDEX('REGISTRE TUBES'!$D$7:$D$2506,MATCH($C1362,'REGISTRE TUBES'!$B$7:$B$2506,0))),"?"))</f>
        <v/>
      </c>
      <c r="F1362" s="101" t="n">
        <f aca="false">IF($C1362="","",IFERROR(IF(INDEX('REGISTRE TUBES'!$F$7:$F$2506,MATCH($C1362,'REGISTRE TUBES'!$B$7:$B$2506,0))="","",INDEX('REGISTRE TUBES'!$F$7:$F$2506,MATCH($C1362,'REGISTRE TUBES'!$B$7:$B$2506,0))),"?"))</f>
        <v>11.94</v>
      </c>
      <c r="G1362" s="102" t="n">
        <f aca="false">IF($C1362="","",N(G1361)+N(F1362))</f>
        <v>10995.93</v>
      </c>
      <c r="H1362" s="103" t="s">
        <v>2350</v>
      </c>
      <c r="I1362" s="104"/>
      <c r="J1362" s="105"/>
    </row>
    <row r="1363" customFormat="false" ht="15" hidden="false" customHeight="false" outlineLevel="0" collapsed="false">
      <c r="B1363" s="90" t="n">
        <v>927</v>
      </c>
      <c r="C1363" s="91" t="n">
        <v>2098340</v>
      </c>
      <c r="D1363" s="92" t="n">
        <f aca="false">IF($C1363="","",IFERROR(IF(INDEX('REGISTRE TUBES'!$C$7:$C$2506,MATCH($C1363,'REGISTRE TUBES'!$B$7:$B$2506,0))="","",INDEX('REGISTRE TUBES'!$C$7:$C$2506,MATCH($C1363,'REGISTRE TUBES'!$B$7:$B$2506,0))),"?"))</f>
        <v>15421112</v>
      </c>
      <c r="E1363" s="92" t="str">
        <f aca="false">IF($C1363="","",IFERROR(IF(INDEX('REGISTRE TUBES'!$D$7:$D$2506,MATCH($C1363,'REGISTRE TUBES'!$B$7:$B$2506,0))="","",INDEX('REGISTRE TUBES'!$D$7:$D$2506,MATCH($C1363,'REGISTRE TUBES'!$B$7:$B$2506,0))),"?"))</f>
        <v/>
      </c>
      <c r="F1363" s="93" t="n">
        <f aca="false">IF($C1363="","",IFERROR(IF(INDEX('REGISTRE TUBES'!$F$7:$F$2506,MATCH($C1363,'REGISTRE TUBES'!$B$7:$B$2506,0))="","",INDEX('REGISTRE TUBES'!$F$7:$F$2506,MATCH($C1363,'REGISTRE TUBES'!$B$7:$B$2506,0))),"?"))</f>
        <v>11.94</v>
      </c>
      <c r="G1363" s="94" t="n">
        <f aca="false">IF($C1363="","",N(G1362)+N(F1363))</f>
        <v>11007.87</v>
      </c>
      <c r="H1363" s="95" t="s">
        <v>2352</v>
      </c>
      <c r="I1363" s="96"/>
      <c r="J1363" s="97"/>
    </row>
    <row r="1364" customFormat="false" ht="15" hidden="false" customHeight="false" outlineLevel="0" collapsed="false">
      <c r="B1364" s="98" t="n">
        <v>928</v>
      </c>
      <c r="C1364" s="99" t="n">
        <v>2086860</v>
      </c>
      <c r="D1364" s="100" t="n">
        <f aca="false">IF($C1364="","",IFERROR(IF(INDEX('REGISTRE TUBES'!$C$7:$C$2506,MATCH($C1364,'REGISTRE TUBES'!$B$7:$B$2506,0))="","",INDEX('REGISTRE TUBES'!$C$7:$C$2506,MATCH($C1364,'REGISTRE TUBES'!$B$7:$B$2506,0))),"?"))</f>
        <v>15421107</v>
      </c>
      <c r="E1364" s="100" t="str">
        <f aca="false">IF($C1364="","",IFERROR(IF(INDEX('REGISTRE TUBES'!$D$7:$D$2506,MATCH($C1364,'REGISTRE TUBES'!$B$7:$B$2506,0))="","",INDEX('REGISTRE TUBES'!$D$7:$D$2506,MATCH($C1364,'REGISTRE TUBES'!$B$7:$B$2506,0))),"?"))</f>
        <v/>
      </c>
      <c r="F1364" s="101" t="n">
        <f aca="false">IF($C1364="","",IFERROR(IF(INDEX('REGISTRE TUBES'!$F$7:$F$2506,MATCH($C1364,'REGISTRE TUBES'!$B$7:$B$2506,0))="","",INDEX('REGISTRE TUBES'!$F$7:$F$2506,MATCH($C1364,'REGISTRE TUBES'!$B$7:$B$2506,0))),"?"))</f>
        <v>11.94</v>
      </c>
      <c r="G1364" s="102" t="n">
        <f aca="false">IF($C1364="","",N(G1363)+N(F1364))</f>
        <v>11019.81</v>
      </c>
      <c r="H1364" s="103" t="s">
        <v>2353</v>
      </c>
      <c r="I1364" s="104"/>
      <c r="J1364" s="105"/>
    </row>
    <row r="1365" customFormat="false" ht="15" hidden="false" customHeight="false" outlineLevel="0" collapsed="false">
      <c r="B1365" s="90" t="n">
        <v>929</v>
      </c>
      <c r="C1365" s="91" t="n">
        <v>2088510</v>
      </c>
      <c r="D1365" s="92" t="n">
        <f aca="false">IF($C1365="","",IFERROR(IF(INDEX('REGISTRE TUBES'!$C$7:$C$2506,MATCH($C1365,'REGISTRE TUBES'!$B$7:$B$2506,0))="","",INDEX('REGISTRE TUBES'!$C$7:$C$2506,MATCH($C1365,'REGISTRE TUBES'!$B$7:$B$2506,0))),"?"))</f>
        <v>15421108</v>
      </c>
      <c r="E1365" s="92" t="str">
        <f aca="false">IF($C1365="","",IFERROR(IF(INDEX('REGISTRE TUBES'!$D$7:$D$2506,MATCH($C1365,'REGISTRE TUBES'!$B$7:$B$2506,0))="","",INDEX('REGISTRE TUBES'!$D$7:$D$2506,MATCH($C1365,'REGISTRE TUBES'!$B$7:$B$2506,0))),"?"))</f>
        <v/>
      </c>
      <c r="F1365" s="93" t="n">
        <f aca="false">IF($C1365="","",IFERROR(IF(INDEX('REGISTRE TUBES'!$F$7:$F$2506,MATCH($C1365,'REGISTRE TUBES'!$B$7:$B$2506,0))="","",INDEX('REGISTRE TUBES'!$F$7:$F$2506,MATCH($C1365,'REGISTRE TUBES'!$B$7:$B$2506,0))),"?"))</f>
        <v>11.94</v>
      </c>
      <c r="G1365" s="94" t="n">
        <f aca="false">IF($C1365="","",N(G1364)+N(F1365))</f>
        <v>11031.75</v>
      </c>
      <c r="H1365" s="95" t="s">
        <v>2354</v>
      </c>
      <c r="I1365" s="96"/>
      <c r="J1365" s="97"/>
    </row>
    <row r="1366" customFormat="false" ht="15" hidden="false" customHeight="false" outlineLevel="0" collapsed="false">
      <c r="B1366" s="98" t="n">
        <v>930</v>
      </c>
      <c r="C1366" s="99" t="n">
        <v>2095220</v>
      </c>
      <c r="D1366" s="100" t="n">
        <f aca="false">IF($C1366="","",IFERROR(IF(INDEX('REGISTRE TUBES'!$C$7:$C$2506,MATCH($C1366,'REGISTRE TUBES'!$B$7:$B$2506,0))="","",INDEX('REGISTRE TUBES'!$C$7:$C$2506,MATCH($C1366,'REGISTRE TUBES'!$B$7:$B$2506,0))),"?"))</f>
        <v>15421111</v>
      </c>
      <c r="E1366" s="100" t="str">
        <f aca="false">IF($C1366="","",IFERROR(IF(INDEX('REGISTRE TUBES'!$D$7:$D$2506,MATCH($C1366,'REGISTRE TUBES'!$B$7:$B$2506,0))="","",INDEX('REGISTRE TUBES'!$D$7:$D$2506,MATCH($C1366,'REGISTRE TUBES'!$B$7:$B$2506,0))),"?"))</f>
        <v/>
      </c>
      <c r="F1366" s="101" t="n">
        <f aca="false">IF($C1366="","",IFERROR(IF(INDEX('REGISTRE TUBES'!$F$7:$F$2506,MATCH($C1366,'REGISTRE TUBES'!$B$7:$B$2506,0))="","",INDEX('REGISTRE TUBES'!$F$7:$F$2506,MATCH($C1366,'REGISTRE TUBES'!$B$7:$B$2506,0))),"?"))</f>
        <v>11.94</v>
      </c>
      <c r="G1366" s="102" t="n">
        <f aca="false">IF($C1366="","",N(G1365)+N(F1366))</f>
        <v>11043.69</v>
      </c>
      <c r="H1366" s="103" t="s">
        <v>2355</v>
      </c>
      <c r="I1366" s="104"/>
      <c r="J1366" s="105"/>
    </row>
    <row r="1367" customFormat="false" ht="15" hidden="false" customHeight="false" outlineLevel="0" collapsed="false">
      <c r="B1367" s="90" t="n">
        <v>931</v>
      </c>
      <c r="C1367" s="91" t="n">
        <v>2097530</v>
      </c>
      <c r="D1367" s="92" t="n">
        <f aca="false">IF($C1367="","",IFERROR(IF(INDEX('REGISTRE TUBES'!$C$7:$C$2506,MATCH($C1367,'REGISTRE TUBES'!$B$7:$B$2506,0))="","",INDEX('REGISTRE TUBES'!$C$7:$C$2506,MATCH($C1367,'REGISTRE TUBES'!$B$7:$B$2506,0))),"?"))</f>
        <v>15421112</v>
      </c>
      <c r="E1367" s="92" t="str">
        <f aca="false">IF($C1367="","",IFERROR(IF(INDEX('REGISTRE TUBES'!$D$7:$D$2506,MATCH($C1367,'REGISTRE TUBES'!$B$7:$B$2506,0))="","",INDEX('REGISTRE TUBES'!$D$7:$D$2506,MATCH($C1367,'REGISTRE TUBES'!$B$7:$B$2506,0))),"?"))</f>
        <v/>
      </c>
      <c r="F1367" s="93" t="n">
        <f aca="false">IF($C1367="","",IFERROR(IF(INDEX('REGISTRE TUBES'!$F$7:$F$2506,MATCH($C1367,'REGISTRE TUBES'!$B$7:$B$2506,0))="","",INDEX('REGISTRE TUBES'!$F$7:$F$2506,MATCH($C1367,'REGISTRE TUBES'!$B$7:$B$2506,0))),"?"))</f>
        <v>11.94</v>
      </c>
      <c r="G1367" s="94" t="n">
        <f aca="false">IF($C1367="","",N(G1366)+N(F1367))</f>
        <v>11055.63</v>
      </c>
      <c r="H1367" s="95" t="s">
        <v>2356</v>
      </c>
      <c r="I1367" s="96"/>
      <c r="J1367" s="97"/>
    </row>
    <row r="1368" customFormat="false" ht="15" hidden="false" customHeight="true" outlineLevel="0" collapsed="false">
      <c r="B1368" s="106" t="s">
        <v>3031</v>
      </c>
      <c r="C1368" s="106"/>
      <c r="D1368" s="106"/>
      <c r="E1368" s="106"/>
      <c r="F1368" s="107" t="n">
        <f aca="false">SUM(F1349:F1367)</f>
        <v>226.86</v>
      </c>
      <c r="G1368" s="108" t="n">
        <f aca="false">IF(COUNT(G1349:G1367)=0,"",MAX(G1349:G1367))</f>
        <v>11055.63</v>
      </c>
      <c r="H1368" s="106" t="str">
        <f aca="false">COUNTA(C1349:C1367)&amp;" tube(s)"</f>
        <v>19 tube(s)</v>
      </c>
      <c r="I1368" s="106"/>
      <c r="J1368" s="106"/>
    </row>
    <row r="1370" customFormat="false" ht="15" hidden="false" customHeight="false" outlineLevel="0" collapsed="false">
      <c r="B1370" s="109" t="s">
        <v>3032</v>
      </c>
      <c r="F1370" s="109" t="s">
        <v>3033</v>
      </c>
      <c r="I1370" s="109" t="s">
        <v>3034</v>
      </c>
    </row>
    <row r="1373" customFormat="false" ht="25.5" hidden="false" customHeight="true" outlineLevel="0" collapsed="false">
      <c r="B1373" s="85" t="s">
        <v>3015</v>
      </c>
      <c r="C1373" s="85"/>
      <c r="D1373" s="85"/>
      <c r="E1373" s="85"/>
      <c r="F1373" s="85"/>
      <c r="G1373" s="85"/>
      <c r="H1373" s="85"/>
      <c r="I1373" s="85"/>
      <c r="J1373" s="85"/>
    </row>
    <row r="1374" customFormat="false" ht="15" hidden="false" customHeight="false" outlineLevel="0" collapsed="false">
      <c r="B1374" s="86" t="str">
        <f aca="false">PARAMÈTRES!$C$4&amp;"   •   Affaire N° "&amp;PARAMÈTRES!$C$5</f>
        <v>Développement des champs gaziers TFT II — réseau de collecte TFT Sud (LIGNE-16)   •   Affaire N° 8546</v>
      </c>
      <c r="C1374" s="86"/>
      <c r="D1374" s="86"/>
      <c r="E1374" s="86"/>
      <c r="F1374" s="86"/>
      <c r="G1374" s="86"/>
      <c r="H1374" s="86"/>
      <c r="I1374" s="86"/>
      <c r="J1374" s="86"/>
    </row>
    <row r="1375" customFormat="false" ht="19.5" hidden="false" customHeight="true" outlineLevel="0" collapsed="false">
      <c r="B1375" s="87" t="s">
        <v>3016</v>
      </c>
      <c r="C1375" s="88" t="s">
        <v>110</v>
      </c>
      <c r="D1375" s="88"/>
      <c r="E1375" s="87" t="s">
        <v>3017</v>
      </c>
      <c r="F1375" s="88" t="s">
        <v>3131</v>
      </c>
      <c r="G1375" s="87" t="s">
        <v>3019</v>
      </c>
      <c r="H1375" s="88" t="s">
        <v>3132</v>
      </c>
      <c r="I1375" s="87" t="s">
        <v>3021</v>
      </c>
      <c r="J1375" s="89"/>
    </row>
    <row r="1376" customFormat="false" ht="27.75" hidden="false" customHeight="true" outlineLevel="0" collapsed="false">
      <c r="B1376" s="71" t="s">
        <v>3022</v>
      </c>
      <c r="C1376" s="71" t="s">
        <v>3023</v>
      </c>
      <c r="D1376" s="71" t="s">
        <v>3024</v>
      </c>
      <c r="E1376" s="71" t="s">
        <v>3025</v>
      </c>
      <c r="F1376" s="71" t="s">
        <v>3026</v>
      </c>
      <c r="G1376" s="71" t="s">
        <v>3027</v>
      </c>
      <c r="H1376" s="71" t="s">
        <v>3028</v>
      </c>
      <c r="I1376" s="71" t="s">
        <v>3029</v>
      </c>
      <c r="J1376" s="71" t="s">
        <v>3030</v>
      </c>
    </row>
    <row r="1377" customFormat="false" ht="15" hidden="false" customHeight="false" outlineLevel="0" collapsed="false">
      <c r="B1377" s="90" t="n">
        <v>932</v>
      </c>
      <c r="C1377" s="91" t="n">
        <v>2081050</v>
      </c>
      <c r="D1377" s="92" t="n">
        <f aca="false">IF($C1377="","",IFERROR(IF(INDEX('REGISTRE TUBES'!$C$7:$C$2506,MATCH($C1377,'REGISTRE TUBES'!$B$7:$B$2506,0))="","",INDEX('REGISTRE TUBES'!$C$7:$C$2506,MATCH($C1377,'REGISTRE TUBES'!$B$7:$B$2506,0))),"?"))</f>
        <v>15421103</v>
      </c>
      <c r="E1377" s="92" t="str">
        <f aca="false">IF($C1377="","",IFERROR(IF(INDEX('REGISTRE TUBES'!$D$7:$D$2506,MATCH($C1377,'REGISTRE TUBES'!$B$7:$B$2506,0))="","",INDEX('REGISTRE TUBES'!$D$7:$D$2506,MATCH($C1377,'REGISTRE TUBES'!$B$7:$B$2506,0))),"?"))</f>
        <v/>
      </c>
      <c r="F1377" s="93" t="n">
        <f aca="false">IF($C1377="","",IFERROR(IF(INDEX('REGISTRE TUBES'!$F$7:$F$2506,MATCH($C1377,'REGISTRE TUBES'!$B$7:$B$2506,0))="","",INDEX('REGISTRE TUBES'!$F$7:$F$2506,MATCH($C1377,'REGISTRE TUBES'!$B$7:$B$2506,0))),"?"))</f>
        <v>11.94</v>
      </c>
      <c r="G1377" s="94" t="n">
        <f aca="false">IF($C1377="","",N(G1367)+N(F1377))</f>
        <v>11067.57</v>
      </c>
      <c r="H1377" s="95" t="s">
        <v>2357</v>
      </c>
      <c r="I1377" s="96"/>
      <c r="J1377" s="97"/>
    </row>
    <row r="1378" customFormat="false" ht="15" hidden="false" customHeight="false" outlineLevel="0" collapsed="false">
      <c r="B1378" s="98" t="n">
        <v>933</v>
      </c>
      <c r="C1378" s="99" t="n">
        <v>2082770</v>
      </c>
      <c r="D1378" s="100" t="n">
        <f aca="false">IF($C1378="","",IFERROR(IF(INDEX('REGISTRE TUBES'!$C$7:$C$2506,MATCH($C1378,'REGISTRE TUBES'!$B$7:$B$2506,0))="","",INDEX('REGISTRE TUBES'!$C$7:$C$2506,MATCH($C1378,'REGISTRE TUBES'!$B$7:$B$2506,0))),"?"))</f>
        <v>15421104</v>
      </c>
      <c r="E1378" s="100" t="str">
        <f aca="false">IF($C1378="","",IFERROR(IF(INDEX('REGISTRE TUBES'!$D$7:$D$2506,MATCH($C1378,'REGISTRE TUBES'!$B$7:$B$2506,0))="","",INDEX('REGISTRE TUBES'!$D$7:$D$2506,MATCH($C1378,'REGISTRE TUBES'!$B$7:$B$2506,0))),"?"))</f>
        <v/>
      </c>
      <c r="F1378" s="101" t="n">
        <f aca="false">IF($C1378="","",IFERROR(IF(INDEX('REGISTRE TUBES'!$F$7:$F$2506,MATCH($C1378,'REGISTRE TUBES'!$B$7:$B$2506,0))="","",INDEX('REGISTRE TUBES'!$F$7:$F$2506,MATCH($C1378,'REGISTRE TUBES'!$B$7:$B$2506,0))),"?"))</f>
        <v>11.94</v>
      </c>
      <c r="G1378" s="102" t="n">
        <f aca="false">IF($C1378="","",N(G1377)+N(F1378))</f>
        <v>11079.51</v>
      </c>
      <c r="H1378" s="103" t="s">
        <v>2358</v>
      </c>
      <c r="I1378" s="104"/>
      <c r="J1378" s="105"/>
    </row>
    <row r="1379" customFormat="false" ht="15" hidden="false" customHeight="false" outlineLevel="0" collapsed="false">
      <c r="B1379" s="90" t="n">
        <v>934</v>
      </c>
      <c r="C1379" s="91" t="n">
        <v>2084890</v>
      </c>
      <c r="D1379" s="92" t="n">
        <f aca="false">IF($C1379="","",IFERROR(IF(INDEX('REGISTRE TUBES'!$C$7:$C$2506,MATCH($C1379,'REGISTRE TUBES'!$B$7:$B$2506,0))="","",INDEX('REGISTRE TUBES'!$C$7:$C$2506,MATCH($C1379,'REGISTRE TUBES'!$B$7:$B$2506,0))),"?"))</f>
        <v>15421101</v>
      </c>
      <c r="E1379" s="92" t="str">
        <f aca="false">IF($C1379="","",IFERROR(IF(INDEX('REGISTRE TUBES'!$D$7:$D$2506,MATCH($C1379,'REGISTRE TUBES'!$B$7:$B$2506,0))="","",INDEX('REGISTRE TUBES'!$D$7:$D$2506,MATCH($C1379,'REGISTRE TUBES'!$B$7:$B$2506,0))),"?"))</f>
        <v/>
      </c>
      <c r="F1379" s="93" t="n">
        <f aca="false">IF($C1379="","",IFERROR(IF(INDEX('REGISTRE TUBES'!$F$7:$F$2506,MATCH($C1379,'REGISTRE TUBES'!$B$7:$B$2506,0))="","",INDEX('REGISTRE TUBES'!$F$7:$F$2506,MATCH($C1379,'REGISTRE TUBES'!$B$7:$B$2506,0))),"?"))</f>
        <v>11.94</v>
      </c>
      <c r="G1379" s="94" t="n">
        <f aca="false">IF($C1379="","",N(G1378)+N(F1379))</f>
        <v>11091.45</v>
      </c>
      <c r="H1379" s="95" t="s">
        <v>2359</v>
      </c>
      <c r="I1379" s="96"/>
      <c r="J1379" s="97"/>
    </row>
    <row r="1380" customFormat="false" ht="15" hidden="false" customHeight="false" outlineLevel="0" collapsed="false">
      <c r="B1380" s="98" t="n">
        <v>935</v>
      </c>
      <c r="C1380" s="99" t="n">
        <v>2092610</v>
      </c>
      <c r="D1380" s="100" t="n">
        <f aca="false">IF($C1380="","",IFERROR(IF(INDEX('REGISTRE TUBES'!$C$7:$C$2506,MATCH($C1380,'REGISTRE TUBES'!$B$7:$B$2506,0))="","",INDEX('REGISTRE TUBES'!$C$7:$C$2506,MATCH($C1380,'REGISTRE TUBES'!$B$7:$B$2506,0))),"?"))</f>
        <v>15421110</v>
      </c>
      <c r="E1380" s="100" t="str">
        <f aca="false">IF($C1380="","",IFERROR(IF(INDEX('REGISTRE TUBES'!$D$7:$D$2506,MATCH($C1380,'REGISTRE TUBES'!$B$7:$B$2506,0))="","",INDEX('REGISTRE TUBES'!$D$7:$D$2506,MATCH($C1380,'REGISTRE TUBES'!$B$7:$B$2506,0))),"?"))</f>
        <v/>
      </c>
      <c r="F1380" s="101" t="n">
        <f aca="false">IF($C1380="","",IFERROR(IF(INDEX('REGISTRE TUBES'!$F$7:$F$2506,MATCH($C1380,'REGISTRE TUBES'!$B$7:$B$2506,0))="","",INDEX('REGISTRE TUBES'!$F$7:$F$2506,MATCH($C1380,'REGISTRE TUBES'!$B$7:$B$2506,0))),"?"))</f>
        <v>11.94</v>
      </c>
      <c r="G1380" s="102" t="n">
        <f aca="false">IF($C1380="","",N(G1379)+N(F1380))</f>
        <v>11103.39</v>
      </c>
      <c r="H1380" s="103" t="s">
        <v>2360</v>
      </c>
      <c r="I1380" s="104"/>
      <c r="J1380" s="105"/>
    </row>
    <row r="1381" customFormat="false" ht="15" hidden="false" customHeight="false" outlineLevel="0" collapsed="false">
      <c r="B1381" s="90" t="n">
        <v>936</v>
      </c>
      <c r="C1381" s="91" t="n">
        <v>2089860</v>
      </c>
      <c r="D1381" s="92" t="n">
        <f aca="false">IF($C1381="","",IFERROR(IF(INDEX('REGISTRE TUBES'!$C$7:$C$2506,MATCH($C1381,'REGISTRE TUBES'!$B$7:$B$2506,0))="","",INDEX('REGISTRE TUBES'!$C$7:$C$2506,MATCH($C1381,'REGISTRE TUBES'!$B$7:$B$2506,0))),"?"))</f>
        <v>15421109</v>
      </c>
      <c r="E1381" s="92" t="str">
        <f aca="false">IF($C1381="","",IFERROR(IF(INDEX('REGISTRE TUBES'!$D$7:$D$2506,MATCH($C1381,'REGISTRE TUBES'!$B$7:$B$2506,0))="","",INDEX('REGISTRE TUBES'!$D$7:$D$2506,MATCH($C1381,'REGISTRE TUBES'!$B$7:$B$2506,0))),"?"))</f>
        <v/>
      </c>
      <c r="F1381" s="93" t="n">
        <f aca="false">IF($C1381="","",IFERROR(IF(INDEX('REGISTRE TUBES'!$F$7:$F$2506,MATCH($C1381,'REGISTRE TUBES'!$B$7:$B$2506,0))="","",INDEX('REGISTRE TUBES'!$F$7:$F$2506,MATCH($C1381,'REGISTRE TUBES'!$B$7:$B$2506,0))),"?"))</f>
        <v>11.94</v>
      </c>
      <c r="G1381" s="94" t="n">
        <f aca="false">IF($C1381="","",N(G1380)+N(F1381))</f>
        <v>11115.33</v>
      </c>
      <c r="H1381" s="95" t="s">
        <v>2362</v>
      </c>
      <c r="I1381" s="96"/>
      <c r="J1381" s="97"/>
    </row>
    <row r="1382" customFormat="false" ht="15" hidden="false" customHeight="false" outlineLevel="0" collapsed="false">
      <c r="B1382" s="98" t="n">
        <v>937</v>
      </c>
      <c r="C1382" s="99" t="n">
        <v>2096090</v>
      </c>
      <c r="D1382" s="100" t="n">
        <f aca="false">IF($C1382="","",IFERROR(IF(INDEX('REGISTRE TUBES'!$C$7:$C$2506,MATCH($C1382,'REGISTRE TUBES'!$B$7:$B$2506,0))="","",INDEX('REGISTRE TUBES'!$C$7:$C$2506,MATCH($C1382,'REGISTRE TUBES'!$B$7:$B$2506,0))),"?"))</f>
        <v>15421111</v>
      </c>
      <c r="E1382" s="100" t="str">
        <f aca="false">IF($C1382="","",IFERROR(IF(INDEX('REGISTRE TUBES'!$D$7:$D$2506,MATCH($C1382,'REGISTRE TUBES'!$B$7:$B$2506,0))="","",INDEX('REGISTRE TUBES'!$D$7:$D$2506,MATCH($C1382,'REGISTRE TUBES'!$B$7:$B$2506,0))),"?"))</f>
        <v/>
      </c>
      <c r="F1382" s="101" t="n">
        <f aca="false">IF($C1382="","",IFERROR(IF(INDEX('REGISTRE TUBES'!$F$7:$F$2506,MATCH($C1382,'REGISTRE TUBES'!$B$7:$B$2506,0))="","",INDEX('REGISTRE TUBES'!$F$7:$F$2506,MATCH($C1382,'REGISTRE TUBES'!$B$7:$B$2506,0))),"?"))</f>
        <v>11.94</v>
      </c>
      <c r="G1382" s="102" t="n">
        <f aca="false">IF($C1382="","",N(G1381)+N(F1382))</f>
        <v>11127.27</v>
      </c>
      <c r="H1382" s="103" t="s">
        <v>2364</v>
      </c>
      <c r="I1382" s="104"/>
      <c r="J1382" s="105"/>
    </row>
    <row r="1383" customFormat="false" ht="15" hidden="false" customHeight="false" outlineLevel="0" collapsed="false">
      <c r="B1383" s="90" t="n">
        <v>938</v>
      </c>
      <c r="C1383" s="91" t="n">
        <v>2093260</v>
      </c>
      <c r="D1383" s="92" t="n">
        <f aca="false">IF($C1383="","",IFERROR(IF(INDEX('REGISTRE TUBES'!$C$7:$C$2506,MATCH($C1383,'REGISTRE TUBES'!$B$7:$B$2506,0))="","",INDEX('REGISTRE TUBES'!$C$7:$C$2506,MATCH($C1383,'REGISTRE TUBES'!$B$7:$B$2506,0))),"?"))</f>
        <v>15421111</v>
      </c>
      <c r="E1383" s="92" t="str">
        <f aca="false">IF($C1383="","",IFERROR(IF(INDEX('REGISTRE TUBES'!$D$7:$D$2506,MATCH($C1383,'REGISTRE TUBES'!$B$7:$B$2506,0))="","",INDEX('REGISTRE TUBES'!$D$7:$D$2506,MATCH($C1383,'REGISTRE TUBES'!$B$7:$B$2506,0))),"?"))</f>
        <v/>
      </c>
      <c r="F1383" s="93" t="n">
        <f aca="false">IF($C1383="","",IFERROR(IF(INDEX('REGISTRE TUBES'!$F$7:$F$2506,MATCH($C1383,'REGISTRE TUBES'!$B$7:$B$2506,0))="","",INDEX('REGISTRE TUBES'!$F$7:$F$2506,MATCH($C1383,'REGISTRE TUBES'!$B$7:$B$2506,0))),"?"))</f>
        <v>11.94</v>
      </c>
      <c r="G1383" s="94" t="n">
        <f aca="false">IF($C1383="","",N(G1382)+N(F1383))</f>
        <v>11139.21</v>
      </c>
      <c r="H1383" s="95" t="s">
        <v>2365</v>
      </c>
      <c r="I1383" s="96"/>
      <c r="J1383" s="97"/>
    </row>
    <row r="1384" customFormat="false" ht="15" hidden="false" customHeight="false" outlineLevel="0" collapsed="false">
      <c r="B1384" s="98" t="n">
        <v>939</v>
      </c>
      <c r="C1384" s="99" t="n">
        <v>2081290</v>
      </c>
      <c r="D1384" s="100" t="n">
        <f aca="false">IF($C1384="","",IFERROR(IF(INDEX('REGISTRE TUBES'!$C$7:$C$2506,MATCH($C1384,'REGISTRE TUBES'!$B$7:$B$2506,0))="","",INDEX('REGISTRE TUBES'!$C$7:$C$2506,MATCH($C1384,'REGISTRE TUBES'!$B$7:$B$2506,0))),"?"))</f>
        <v>15421103</v>
      </c>
      <c r="E1384" s="100" t="str">
        <f aca="false">IF($C1384="","",IFERROR(IF(INDEX('REGISTRE TUBES'!$D$7:$D$2506,MATCH($C1384,'REGISTRE TUBES'!$B$7:$B$2506,0))="","",INDEX('REGISTRE TUBES'!$D$7:$D$2506,MATCH($C1384,'REGISTRE TUBES'!$B$7:$B$2506,0))),"?"))</f>
        <v/>
      </c>
      <c r="F1384" s="101" t="n">
        <f aca="false">IF($C1384="","",IFERROR(IF(INDEX('REGISTRE TUBES'!$F$7:$F$2506,MATCH($C1384,'REGISTRE TUBES'!$B$7:$B$2506,0))="","",INDEX('REGISTRE TUBES'!$F$7:$F$2506,MATCH($C1384,'REGISTRE TUBES'!$B$7:$B$2506,0))),"?"))</f>
        <v>11.94</v>
      </c>
      <c r="G1384" s="102" t="n">
        <f aca="false">IF($C1384="","",N(G1383)+N(F1384))</f>
        <v>11151.15</v>
      </c>
      <c r="H1384" s="103" t="s">
        <v>2366</v>
      </c>
      <c r="I1384" s="104"/>
      <c r="J1384" s="105"/>
    </row>
    <row r="1385" customFormat="false" ht="15" hidden="false" customHeight="false" outlineLevel="0" collapsed="false">
      <c r="B1385" s="90" t="n">
        <v>940</v>
      </c>
      <c r="C1385" s="91" t="n">
        <v>2082140</v>
      </c>
      <c r="D1385" s="92" t="n">
        <f aca="false">IF($C1385="","",IFERROR(IF(INDEX('REGISTRE TUBES'!$C$7:$C$2506,MATCH($C1385,'REGISTRE TUBES'!$B$7:$B$2506,0))="","",INDEX('REGISTRE TUBES'!$C$7:$C$2506,MATCH($C1385,'REGISTRE TUBES'!$B$7:$B$2506,0))),"?"))</f>
        <v>15421104</v>
      </c>
      <c r="E1385" s="92" t="str">
        <f aca="false">IF($C1385="","",IFERROR(IF(INDEX('REGISTRE TUBES'!$D$7:$D$2506,MATCH($C1385,'REGISTRE TUBES'!$B$7:$B$2506,0))="","",INDEX('REGISTRE TUBES'!$D$7:$D$2506,MATCH($C1385,'REGISTRE TUBES'!$B$7:$B$2506,0))),"?"))</f>
        <v/>
      </c>
      <c r="F1385" s="93" t="n">
        <f aca="false">IF($C1385="","",IFERROR(IF(INDEX('REGISTRE TUBES'!$F$7:$F$2506,MATCH($C1385,'REGISTRE TUBES'!$B$7:$B$2506,0))="","",INDEX('REGISTRE TUBES'!$F$7:$F$2506,MATCH($C1385,'REGISTRE TUBES'!$B$7:$B$2506,0))),"?"))</f>
        <v>11.94</v>
      </c>
      <c r="G1385" s="94" t="n">
        <f aca="false">IF($C1385="","",N(G1384)+N(F1385))</f>
        <v>11163.09</v>
      </c>
      <c r="H1385" s="95" t="s">
        <v>2367</v>
      </c>
      <c r="I1385" s="96"/>
      <c r="J1385" s="97"/>
    </row>
    <row r="1386" customFormat="false" ht="15" hidden="false" customHeight="false" outlineLevel="0" collapsed="false">
      <c r="B1386" s="98" t="n">
        <v>941</v>
      </c>
      <c r="C1386" s="99" t="n">
        <v>2079910</v>
      </c>
      <c r="D1386" s="100" t="n">
        <f aca="false">IF($C1386="","",IFERROR(IF(INDEX('REGISTRE TUBES'!$C$7:$C$2506,MATCH($C1386,'REGISTRE TUBES'!$B$7:$B$2506,0))="","",INDEX('REGISTRE TUBES'!$C$7:$C$2506,MATCH($C1386,'REGISTRE TUBES'!$B$7:$B$2506,0))),"?"))</f>
        <v>15421102</v>
      </c>
      <c r="E1386" s="100" t="str">
        <f aca="false">IF($C1386="","",IFERROR(IF(INDEX('REGISTRE TUBES'!$D$7:$D$2506,MATCH($C1386,'REGISTRE TUBES'!$B$7:$B$2506,0))="","",INDEX('REGISTRE TUBES'!$D$7:$D$2506,MATCH($C1386,'REGISTRE TUBES'!$B$7:$B$2506,0))),"?"))</f>
        <v/>
      </c>
      <c r="F1386" s="101" t="n">
        <f aca="false">IF($C1386="","",IFERROR(IF(INDEX('REGISTRE TUBES'!$F$7:$F$2506,MATCH($C1386,'REGISTRE TUBES'!$B$7:$B$2506,0))="","",INDEX('REGISTRE TUBES'!$F$7:$F$2506,MATCH($C1386,'REGISTRE TUBES'!$B$7:$B$2506,0))),"?"))</f>
        <v>11.94</v>
      </c>
      <c r="G1386" s="102" t="n">
        <f aca="false">IF($C1386="","",N(G1385)+N(F1386))</f>
        <v>11175.03</v>
      </c>
      <c r="H1386" s="103" t="s">
        <v>2370</v>
      </c>
      <c r="I1386" s="104"/>
      <c r="J1386" s="105"/>
    </row>
    <row r="1387" customFormat="false" ht="15" hidden="false" customHeight="false" outlineLevel="0" collapsed="false">
      <c r="B1387" s="90" t="n">
        <v>942</v>
      </c>
      <c r="C1387" s="91" t="n">
        <v>2097000</v>
      </c>
      <c r="D1387" s="92" t="n">
        <f aca="false">IF($C1387="","",IFERROR(IF(INDEX('REGISTRE TUBES'!$C$7:$C$2506,MATCH($C1387,'REGISTRE TUBES'!$B$7:$B$2506,0))="","",INDEX('REGISTRE TUBES'!$C$7:$C$2506,MATCH($C1387,'REGISTRE TUBES'!$B$7:$B$2506,0))),"?"))</f>
        <v>15421111</v>
      </c>
      <c r="E1387" s="92" t="str">
        <f aca="false">IF($C1387="","",IFERROR(IF(INDEX('REGISTRE TUBES'!$D$7:$D$2506,MATCH($C1387,'REGISTRE TUBES'!$B$7:$B$2506,0))="","",INDEX('REGISTRE TUBES'!$D$7:$D$2506,MATCH($C1387,'REGISTRE TUBES'!$B$7:$B$2506,0))),"?"))</f>
        <v/>
      </c>
      <c r="F1387" s="93" t="n">
        <f aca="false">IF($C1387="","",IFERROR(IF(INDEX('REGISTRE TUBES'!$F$7:$F$2506,MATCH($C1387,'REGISTRE TUBES'!$B$7:$B$2506,0))="","",INDEX('REGISTRE TUBES'!$F$7:$F$2506,MATCH($C1387,'REGISTRE TUBES'!$B$7:$B$2506,0))),"?"))</f>
        <v>11.94</v>
      </c>
      <c r="G1387" s="94" t="n">
        <f aca="false">IF($C1387="","",N(G1386)+N(F1387))</f>
        <v>11186.97</v>
      </c>
      <c r="H1387" s="95" t="s">
        <v>2372</v>
      </c>
      <c r="I1387" s="96"/>
      <c r="J1387" s="97"/>
    </row>
    <row r="1388" customFormat="false" ht="15" hidden="false" customHeight="false" outlineLevel="0" collapsed="false">
      <c r="B1388" s="98" t="n">
        <v>943</v>
      </c>
      <c r="C1388" s="99" t="n">
        <v>2088200</v>
      </c>
      <c r="D1388" s="100" t="n">
        <f aca="false">IF($C1388="","",IFERROR(IF(INDEX('REGISTRE TUBES'!$C$7:$C$2506,MATCH($C1388,'REGISTRE TUBES'!$B$7:$B$2506,0))="","",INDEX('REGISTRE TUBES'!$C$7:$C$2506,MATCH($C1388,'REGISTRE TUBES'!$B$7:$B$2506,0))),"?"))</f>
        <v>15421108</v>
      </c>
      <c r="E1388" s="100" t="str">
        <f aca="false">IF($C1388="","",IFERROR(IF(INDEX('REGISTRE TUBES'!$D$7:$D$2506,MATCH($C1388,'REGISTRE TUBES'!$B$7:$B$2506,0))="","",INDEX('REGISTRE TUBES'!$D$7:$D$2506,MATCH($C1388,'REGISTRE TUBES'!$B$7:$B$2506,0))),"?"))</f>
        <v/>
      </c>
      <c r="F1388" s="101" t="n">
        <f aca="false">IF($C1388="","",IFERROR(IF(INDEX('REGISTRE TUBES'!$F$7:$F$2506,MATCH($C1388,'REGISTRE TUBES'!$B$7:$B$2506,0))="","",INDEX('REGISTRE TUBES'!$F$7:$F$2506,MATCH($C1388,'REGISTRE TUBES'!$B$7:$B$2506,0))),"?"))</f>
        <v>11.94</v>
      </c>
      <c r="G1388" s="102" t="n">
        <f aca="false">IF($C1388="","",N(G1387)+N(F1388))</f>
        <v>11198.91</v>
      </c>
      <c r="H1388" s="103" t="s">
        <v>2373</v>
      </c>
      <c r="I1388" s="104"/>
      <c r="J1388" s="105"/>
    </row>
    <row r="1389" customFormat="false" ht="15" hidden="false" customHeight="false" outlineLevel="0" collapsed="false">
      <c r="B1389" s="90" t="n">
        <v>944</v>
      </c>
      <c r="C1389" s="91" t="n">
        <v>2079280</v>
      </c>
      <c r="D1389" s="92" t="n">
        <f aca="false">IF($C1389="","",IFERROR(IF(INDEX('REGISTRE TUBES'!$C$7:$C$2506,MATCH($C1389,'REGISTRE TUBES'!$B$7:$B$2506,0))="","",INDEX('REGISTRE TUBES'!$C$7:$C$2506,MATCH($C1389,'REGISTRE TUBES'!$B$7:$B$2506,0))),"?"))</f>
        <v>15421112</v>
      </c>
      <c r="E1389" s="92" t="str">
        <f aca="false">IF($C1389="","",IFERROR(IF(INDEX('REGISTRE TUBES'!$D$7:$D$2506,MATCH($C1389,'REGISTRE TUBES'!$B$7:$B$2506,0))="","",INDEX('REGISTRE TUBES'!$D$7:$D$2506,MATCH($C1389,'REGISTRE TUBES'!$B$7:$B$2506,0))),"?"))</f>
        <v/>
      </c>
      <c r="F1389" s="93" t="n">
        <f aca="false">IF($C1389="","",IFERROR(IF(INDEX('REGISTRE TUBES'!$F$7:$F$2506,MATCH($C1389,'REGISTRE TUBES'!$B$7:$B$2506,0))="","",INDEX('REGISTRE TUBES'!$F$7:$F$2506,MATCH($C1389,'REGISTRE TUBES'!$B$7:$B$2506,0))),"?"))</f>
        <v>11.94</v>
      </c>
      <c r="G1389" s="94" t="n">
        <f aca="false">IF($C1389="","",N(G1388)+N(F1389))</f>
        <v>11210.85</v>
      </c>
      <c r="H1389" s="95" t="s">
        <v>2374</v>
      </c>
      <c r="I1389" s="96"/>
      <c r="J1389" s="97"/>
    </row>
    <row r="1390" customFormat="false" ht="15" hidden="false" customHeight="false" outlineLevel="0" collapsed="false">
      <c r="B1390" s="98" t="n">
        <v>945</v>
      </c>
      <c r="C1390" s="99" t="n">
        <v>2097090</v>
      </c>
      <c r="D1390" s="100" t="n">
        <f aca="false">IF($C1390="","",IFERROR(IF(INDEX('REGISTRE TUBES'!$C$7:$C$2506,MATCH($C1390,'REGISTRE TUBES'!$B$7:$B$2506,0))="","",INDEX('REGISTRE TUBES'!$C$7:$C$2506,MATCH($C1390,'REGISTRE TUBES'!$B$7:$B$2506,0))),"?"))</f>
        <v>15421102</v>
      </c>
      <c r="E1390" s="100" t="str">
        <f aca="false">IF($C1390="","",IFERROR(IF(INDEX('REGISTRE TUBES'!$D$7:$D$2506,MATCH($C1390,'REGISTRE TUBES'!$B$7:$B$2506,0))="","",INDEX('REGISTRE TUBES'!$D$7:$D$2506,MATCH($C1390,'REGISTRE TUBES'!$B$7:$B$2506,0))),"?"))</f>
        <v/>
      </c>
      <c r="F1390" s="101" t="n">
        <f aca="false">IF($C1390="","",IFERROR(IF(INDEX('REGISTRE TUBES'!$F$7:$F$2506,MATCH($C1390,'REGISTRE TUBES'!$B$7:$B$2506,0))="","",INDEX('REGISTRE TUBES'!$F$7:$F$2506,MATCH($C1390,'REGISTRE TUBES'!$B$7:$B$2506,0))),"?"))</f>
        <v>11.94</v>
      </c>
      <c r="G1390" s="102" t="n">
        <f aca="false">IF($C1390="","",N(G1389)+N(F1390))</f>
        <v>11222.79</v>
      </c>
      <c r="H1390" s="103" t="s">
        <v>2375</v>
      </c>
      <c r="I1390" s="104"/>
      <c r="J1390" s="105"/>
    </row>
    <row r="1391" customFormat="false" ht="15" hidden="false" customHeight="false" outlineLevel="0" collapsed="false">
      <c r="B1391" s="90" t="n">
        <v>946</v>
      </c>
      <c r="C1391" s="91" t="n">
        <v>2097380</v>
      </c>
      <c r="D1391" s="92" t="n">
        <f aca="false">IF($C1391="","",IFERROR(IF(INDEX('REGISTRE TUBES'!$C$7:$C$2506,MATCH($C1391,'REGISTRE TUBES'!$B$7:$B$2506,0))="","",INDEX('REGISTRE TUBES'!$C$7:$C$2506,MATCH($C1391,'REGISTRE TUBES'!$B$7:$B$2506,0))),"?"))</f>
        <v>15421112</v>
      </c>
      <c r="E1391" s="92" t="str">
        <f aca="false">IF($C1391="","",IFERROR(IF(INDEX('REGISTRE TUBES'!$D$7:$D$2506,MATCH($C1391,'REGISTRE TUBES'!$B$7:$B$2506,0))="","",INDEX('REGISTRE TUBES'!$D$7:$D$2506,MATCH($C1391,'REGISTRE TUBES'!$B$7:$B$2506,0))),"?"))</f>
        <v/>
      </c>
      <c r="F1391" s="93" t="n">
        <f aca="false">IF($C1391="","",IFERROR(IF(INDEX('REGISTRE TUBES'!$F$7:$F$2506,MATCH($C1391,'REGISTRE TUBES'!$B$7:$B$2506,0))="","",INDEX('REGISTRE TUBES'!$F$7:$F$2506,MATCH($C1391,'REGISTRE TUBES'!$B$7:$B$2506,0))),"?"))</f>
        <v>11.94</v>
      </c>
      <c r="G1391" s="94" t="n">
        <f aca="false">IF($C1391="","",N(G1390)+N(F1391))</f>
        <v>11234.73</v>
      </c>
      <c r="H1391" s="95" t="s">
        <v>2377</v>
      </c>
      <c r="I1391" s="96"/>
      <c r="J1391" s="97"/>
    </row>
    <row r="1392" customFormat="false" ht="15" hidden="false" customHeight="false" outlineLevel="0" collapsed="false">
      <c r="B1392" s="98" t="n">
        <v>947</v>
      </c>
      <c r="C1392" s="99" t="n">
        <v>20911730</v>
      </c>
      <c r="D1392" s="100" t="n">
        <f aca="false">IF($C1392="","",IFERROR(IF(INDEX('REGISTRE TUBES'!$C$7:$C$2506,MATCH($C1392,'REGISTRE TUBES'!$B$7:$B$2506,0))="","",INDEX('REGISTRE TUBES'!$C$7:$C$2506,MATCH($C1392,'REGISTRE TUBES'!$B$7:$B$2506,0))),"?"))</f>
        <v>15421109</v>
      </c>
      <c r="E1392" s="100" t="str">
        <f aca="false">IF($C1392="","",IFERROR(IF(INDEX('REGISTRE TUBES'!$D$7:$D$2506,MATCH($C1392,'REGISTRE TUBES'!$B$7:$B$2506,0))="","",INDEX('REGISTRE TUBES'!$D$7:$D$2506,MATCH($C1392,'REGISTRE TUBES'!$B$7:$B$2506,0))),"?"))</f>
        <v/>
      </c>
      <c r="F1392" s="101" t="n">
        <f aca="false">IF($C1392="","",IFERROR(IF(INDEX('REGISTRE TUBES'!$F$7:$F$2506,MATCH($C1392,'REGISTRE TUBES'!$B$7:$B$2506,0))="","",INDEX('REGISTRE TUBES'!$F$7:$F$2506,MATCH($C1392,'REGISTRE TUBES'!$B$7:$B$2506,0))),"?"))</f>
        <v>11.94</v>
      </c>
      <c r="G1392" s="102" t="n">
        <f aca="false">IF($C1392="","",N(G1391)+N(F1392))</f>
        <v>11246.67</v>
      </c>
      <c r="H1392" s="103"/>
      <c r="I1392" s="104"/>
      <c r="J1392" s="105"/>
    </row>
    <row r="1393" customFormat="false" ht="15" hidden="false" customHeight="false" outlineLevel="0" collapsed="false">
      <c r="B1393" s="90" t="n">
        <v>948</v>
      </c>
      <c r="C1393" s="91" t="n">
        <v>2091730</v>
      </c>
      <c r="D1393" s="92" t="n">
        <f aca="false">IF($C1393="","",IFERROR(IF(INDEX('REGISTRE TUBES'!$C$7:$C$2506,MATCH($C1393,'REGISTRE TUBES'!$B$7:$B$2506,0))="","",INDEX('REGISTRE TUBES'!$C$7:$C$2506,MATCH($C1393,'REGISTRE TUBES'!$B$7:$B$2506,0))),"?"))</f>
        <v>15421109</v>
      </c>
      <c r="E1393" s="92" t="str">
        <f aca="false">IF($C1393="","",IFERROR(IF(INDEX('REGISTRE TUBES'!$D$7:$D$2506,MATCH($C1393,'REGISTRE TUBES'!$B$7:$B$2506,0))="","",INDEX('REGISTRE TUBES'!$D$7:$D$2506,MATCH($C1393,'REGISTRE TUBES'!$B$7:$B$2506,0))),"?"))</f>
        <v/>
      </c>
      <c r="F1393" s="93" t="n">
        <f aca="false">IF($C1393="","",IFERROR(IF(INDEX('REGISTRE TUBES'!$F$7:$F$2506,MATCH($C1393,'REGISTRE TUBES'!$B$7:$B$2506,0))="","",INDEX('REGISTRE TUBES'!$F$7:$F$2506,MATCH($C1393,'REGISTRE TUBES'!$B$7:$B$2506,0))),"?"))</f>
        <v>11.94</v>
      </c>
      <c r="G1393" s="94" t="n">
        <f aca="false">IF($C1393="","",N(G1392)+N(F1393))</f>
        <v>11258.61</v>
      </c>
      <c r="H1393" s="95" t="s">
        <v>2378</v>
      </c>
      <c r="I1393" s="96"/>
      <c r="J1393" s="97"/>
    </row>
    <row r="1394" customFormat="false" ht="15" hidden="false" customHeight="false" outlineLevel="0" collapsed="false">
      <c r="B1394" s="98" t="n">
        <v>949</v>
      </c>
      <c r="C1394" s="99" t="n">
        <v>2088210</v>
      </c>
      <c r="D1394" s="100" t="n">
        <f aca="false">IF($C1394="","",IFERROR(IF(INDEX('REGISTRE TUBES'!$C$7:$C$2506,MATCH($C1394,'REGISTRE TUBES'!$B$7:$B$2506,0))="","",INDEX('REGISTRE TUBES'!$C$7:$C$2506,MATCH($C1394,'REGISTRE TUBES'!$B$7:$B$2506,0))),"?"))</f>
        <v>15421108</v>
      </c>
      <c r="E1394" s="100" t="str">
        <f aca="false">IF($C1394="","",IFERROR(IF(INDEX('REGISTRE TUBES'!$D$7:$D$2506,MATCH($C1394,'REGISTRE TUBES'!$B$7:$B$2506,0))="","",INDEX('REGISTRE TUBES'!$D$7:$D$2506,MATCH($C1394,'REGISTRE TUBES'!$B$7:$B$2506,0))),"?"))</f>
        <v/>
      </c>
      <c r="F1394" s="101" t="n">
        <f aca="false">IF($C1394="","",IFERROR(IF(INDEX('REGISTRE TUBES'!$F$7:$F$2506,MATCH($C1394,'REGISTRE TUBES'!$B$7:$B$2506,0))="","",INDEX('REGISTRE TUBES'!$F$7:$F$2506,MATCH($C1394,'REGISTRE TUBES'!$B$7:$B$2506,0))),"?"))</f>
        <v>11.94</v>
      </c>
      <c r="G1394" s="102" t="n">
        <f aca="false">IF($C1394="","",N(G1393)+N(F1394))</f>
        <v>11270.55</v>
      </c>
      <c r="H1394" s="103" t="s">
        <v>2379</v>
      </c>
      <c r="I1394" s="104"/>
      <c r="J1394" s="105"/>
    </row>
    <row r="1395" customFormat="false" ht="15" hidden="false" customHeight="false" outlineLevel="0" collapsed="false">
      <c r="B1395" s="90" t="n">
        <v>950</v>
      </c>
      <c r="C1395" s="91" t="n">
        <v>2095270</v>
      </c>
      <c r="D1395" s="92" t="n">
        <f aca="false">IF($C1395="","",IFERROR(IF(INDEX('REGISTRE TUBES'!$C$7:$C$2506,MATCH($C1395,'REGISTRE TUBES'!$B$7:$B$2506,0))="","",INDEX('REGISTRE TUBES'!$C$7:$C$2506,MATCH($C1395,'REGISTRE TUBES'!$B$7:$B$2506,0))),"?"))</f>
        <v>15421111</v>
      </c>
      <c r="E1395" s="92" t="str">
        <f aca="false">IF($C1395="","",IFERROR(IF(INDEX('REGISTRE TUBES'!$D$7:$D$2506,MATCH($C1395,'REGISTRE TUBES'!$B$7:$B$2506,0))="","",INDEX('REGISTRE TUBES'!$D$7:$D$2506,MATCH($C1395,'REGISTRE TUBES'!$B$7:$B$2506,0))),"?"))</f>
        <v/>
      </c>
      <c r="F1395" s="93" t="n">
        <f aca="false">IF($C1395="","",IFERROR(IF(INDEX('REGISTRE TUBES'!$F$7:$F$2506,MATCH($C1395,'REGISTRE TUBES'!$B$7:$B$2506,0))="","",INDEX('REGISTRE TUBES'!$F$7:$F$2506,MATCH($C1395,'REGISTRE TUBES'!$B$7:$B$2506,0))),"?"))</f>
        <v>11.94</v>
      </c>
      <c r="G1395" s="94" t="n">
        <f aca="false">IF($C1395="","",N(G1394)+N(F1395))</f>
        <v>11282.49</v>
      </c>
      <c r="H1395" s="95" t="s">
        <v>2380</v>
      </c>
      <c r="I1395" s="96"/>
      <c r="J1395" s="97"/>
    </row>
    <row r="1396" customFormat="false" ht="15" hidden="false" customHeight="true" outlineLevel="0" collapsed="false">
      <c r="B1396" s="106" t="s">
        <v>3031</v>
      </c>
      <c r="C1396" s="106"/>
      <c r="D1396" s="106"/>
      <c r="E1396" s="106"/>
      <c r="F1396" s="107" t="n">
        <f aca="false">SUM(F1377:F1395)</f>
        <v>226.86</v>
      </c>
      <c r="G1396" s="108" t="n">
        <f aca="false">IF(COUNT(G1377:G1395)=0,"",MAX(G1377:G1395))</f>
        <v>11282.49</v>
      </c>
      <c r="H1396" s="106" t="str">
        <f aca="false">COUNTA(C1377:C1395)&amp;" tube(s)"</f>
        <v>19 tube(s)</v>
      </c>
      <c r="I1396" s="106"/>
      <c r="J1396" s="106"/>
    </row>
    <row r="1398" customFormat="false" ht="15" hidden="false" customHeight="false" outlineLevel="0" collapsed="false">
      <c r="B1398" s="109" t="s">
        <v>3032</v>
      </c>
      <c r="F1398" s="109" t="s">
        <v>3033</v>
      </c>
      <c r="I1398" s="109" t="s">
        <v>3034</v>
      </c>
    </row>
    <row r="1401" customFormat="false" ht="25.5" hidden="false" customHeight="true" outlineLevel="0" collapsed="false">
      <c r="B1401" s="85" t="s">
        <v>3015</v>
      </c>
      <c r="C1401" s="85"/>
      <c r="D1401" s="85"/>
      <c r="E1401" s="85"/>
      <c r="F1401" s="85"/>
      <c r="G1401" s="85"/>
      <c r="H1401" s="85"/>
      <c r="I1401" s="85"/>
      <c r="J1401" s="85"/>
    </row>
    <row r="1402" customFormat="false" ht="15" hidden="false" customHeight="false" outlineLevel="0" collapsed="false">
      <c r="B1402" s="86" t="str">
        <f aca="false">PARAMÈTRES!$C$4&amp;"   •   Affaire N° "&amp;PARAMÈTRES!$C$5</f>
        <v>Développement des champs gaziers TFT II — réseau de collecte TFT Sud (LIGNE-16)   •   Affaire N° 8546</v>
      </c>
      <c r="C1402" s="86"/>
      <c r="D1402" s="86"/>
      <c r="E1402" s="86"/>
      <c r="F1402" s="86"/>
      <c r="G1402" s="86"/>
      <c r="H1402" s="86"/>
      <c r="I1402" s="86"/>
      <c r="J1402" s="86"/>
    </row>
    <row r="1403" customFormat="false" ht="19.5" hidden="false" customHeight="true" outlineLevel="0" collapsed="false">
      <c r="B1403" s="87" t="s">
        <v>3016</v>
      </c>
      <c r="C1403" s="88" t="s">
        <v>110</v>
      </c>
      <c r="D1403" s="88"/>
      <c r="E1403" s="87" t="s">
        <v>3017</v>
      </c>
      <c r="F1403" s="88" t="s">
        <v>3133</v>
      </c>
      <c r="G1403" s="87" t="s">
        <v>3019</v>
      </c>
      <c r="H1403" s="88" t="s">
        <v>3134</v>
      </c>
      <c r="I1403" s="87" t="s">
        <v>3021</v>
      </c>
      <c r="J1403" s="89"/>
    </row>
    <row r="1404" customFormat="false" ht="27.75" hidden="false" customHeight="true" outlineLevel="0" collapsed="false">
      <c r="B1404" s="71" t="s">
        <v>3022</v>
      </c>
      <c r="C1404" s="71" t="s">
        <v>3023</v>
      </c>
      <c r="D1404" s="71" t="s">
        <v>3024</v>
      </c>
      <c r="E1404" s="71" t="s">
        <v>3025</v>
      </c>
      <c r="F1404" s="71" t="s">
        <v>3026</v>
      </c>
      <c r="G1404" s="71" t="s">
        <v>3027</v>
      </c>
      <c r="H1404" s="71" t="s">
        <v>3028</v>
      </c>
      <c r="I1404" s="71" t="s">
        <v>3029</v>
      </c>
      <c r="J1404" s="71" t="s">
        <v>3030</v>
      </c>
    </row>
    <row r="1405" customFormat="false" ht="15" hidden="false" customHeight="false" outlineLevel="0" collapsed="false">
      <c r="B1405" s="90" t="n">
        <v>951</v>
      </c>
      <c r="C1405" s="91" t="n">
        <v>2091180</v>
      </c>
      <c r="D1405" s="92" t="n">
        <f aca="false">IF($C1405="","",IFERROR(IF(INDEX('REGISTRE TUBES'!$C$7:$C$2506,MATCH($C1405,'REGISTRE TUBES'!$B$7:$B$2506,0))="","",INDEX('REGISTRE TUBES'!$C$7:$C$2506,MATCH($C1405,'REGISTRE TUBES'!$B$7:$B$2506,0))),"?"))</f>
        <v>15421109</v>
      </c>
      <c r="E1405" s="92" t="str">
        <f aca="false">IF($C1405="","",IFERROR(IF(INDEX('REGISTRE TUBES'!$D$7:$D$2506,MATCH($C1405,'REGISTRE TUBES'!$B$7:$B$2506,0))="","",INDEX('REGISTRE TUBES'!$D$7:$D$2506,MATCH($C1405,'REGISTRE TUBES'!$B$7:$B$2506,0))),"?"))</f>
        <v/>
      </c>
      <c r="F1405" s="93" t="n">
        <f aca="false">IF($C1405="","",IFERROR(IF(INDEX('REGISTRE TUBES'!$F$7:$F$2506,MATCH($C1405,'REGISTRE TUBES'!$B$7:$B$2506,0))="","",INDEX('REGISTRE TUBES'!$F$7:$F$2506,MATCH($C1405,'REGISTRE TUBES'!$B$7:$B$2506,0))),"?"))</f>
        <v>11.94</v>
      </c>
      <c r="G1405" s="94" t="n">
        <f aca="false">IF($C1405="","",N(G1395)+N(F1405))</f>
        <v>11294.43</v>
      </c>
      <c r="H1405" s="95" t="s">
        <v>2381</v>
      </c>
      <c r="I1405" s="96"/>
      <c r="J1405" s="97"/>
    </row>
    <row r="1406" customFormat="false" ht="15" hidden="false" customHeight="false" outlineLevel="0" collapsed="false">
      <c r="B1406" s="98" t="n">
        <v>952</v>
      </c>
      <c r="C1406" s="99" t="n">
        <v>2095540</v>
      </c>
      <c r="D1406" s="100" t="n">
        <f aca="false">IF($C1406="","",IFERROR(IF(INDEX('REGISTRE TUBES'!$C$7:$C$2506,MATCH($C1406,'REGISTRE TUBES'!$B$7:$B$2506,0))="","",INDEX('REGISTRE TUBES'!$C$7:$C$2506,MATCH($C1406,'REGISTRE TUBES'!$B$7:$B$2506,0))),"?"))</f>
        <v>15421111</v>
      </c>
      <c r="E1406" s="100" t="str">
        <f aca="false">IF($C1406="","",IFERROR(IF(INDEX('REGISTRE TUBES'!$D$7:$D$2506,MATCH($C1406,'REGISTRE TUBES'!$B$7:$B$2506,0))="","",INDEX('REGISTRE TUBES'!$D$7:$D$2506,MATCH($C1406,'REGISTRE TUBES'!$B$7:$B$2506,0))),"?"))</f>
        <v/>
      </c>
      <c r="F1406" s="101" t="n">
        <f aca="false">IF($C1406="","",IFERROR(IF(INDEX('REGISTRE TUBES'!$F$7:$F$2506,MATCH($C1406,'REGISTRE TUBES'!$B$7:$B$2506,0))="","",INDEX('REGISTRE TUBES'!$F$7:$F$2506,MATCH($C1406,'REGISTRE TUBES'!$B$7:$B$2506,0))),"?"))</f>
        <v>11.94</v>
      </c>
      <c r="G1406" s="102" t="n">
        <f aca="false">IF($C1406="","",N(G1405)+N(F1406))</f>
        <v>11306.37</v>
      </c>
      <c r="H1406" s="103" t="s">
        <v>2382</v>
      </c>
      <c r="I1406" s="104"/>
      <c r="J1406" s="105"/>
    </row>
    <row r="1407" customFormat="false" ht="15" hidden="false" customHeight="false" outlineLevel="0" collapsed="false">
      <c r="B1407" s="90" t="n">
        <v>953</v>
      </c>
      <c r="C1407" s="91" t="n">
        <v>2097960</v>
      </c>
      <c r="D1407" s="92" t="n">
        <f aca="false">IF($C1407="","",IFERROR(IF(INDEX('REGISTRE TUBES'!$C$7:$C$2506,MATCH($C1407,'REGISTRE TUBES'!$B$7:$B$2506,0))="","",INDEX('REGISTRE TUBES'!$C$7:$C$2506,MATCH($C1407,'REGISTRE TUBES'!$B$7:$B$2506,0))),"?"))</f>
        <v>15421102</v>
      </c>
      <c r="E1407" s="92" t="str">
        <f aca="false">IF($C1407="","",IFERROR(IF(INDEX('REGISTRE TUBES'!$D$7:$D$2506,MATCH($C1407,'REGISTRE TUBES'!$B$7:$B$2506,0))="","",INDEX('REGISTRE TUBES'!$D$7:$D$2506,MATCH($C1407,'REGISTRE TUBES'!$B$7:$B$2506,0))),"?"))</f>
        <v/>
      </c>
      <c r="F1407" s="93" t="n">
        <f aca="false">IF($C1407="","",IFERROR(IF(INDEX('REGISTRE TUBES'!$F$7:$F$2506,MATCH($C1407,'REGISTRE TUBES'!$B$7:$B$2506,0))="","",INDEX('REGISTRE TUBES'!$F$7:$F$2506,MATCH($C1407,'REGISTRE TUBES'!$B$7:$B$2506,0))),"?"))</f>
        <v>11.94</v>
      </c>
      <c r="G1407" s="94" t="n">
        <f aca="false">IF($C1407="","",N(G1406)+N(F1407))</f>
        <v>11318.31</v>
      </c>
      <c r="H1407" s="95" t="s">
        <v>2387</v>
      </c>
      <c r="I1407" s="96"/>
      <c r="J1407" s="97"/>
    </row>
    <row r="1408" customFormat="false" ht="15" hidden="false" customHeight="false" outlineLevel="0" collapsed="false">
      <c r="B1408" s="98" t="n">
        <v>954</v>
      </c>
      <c r="C1408" s="99" t="n">
        <v>2087370</v>
      </c>
      <c r="D1408" s="100" t="n">
        <f aca="false">IF($C1408="","",IFERROR(IF(INDEX('REGISTRE TUBES'!$C$7:$C$2506,MATCH($C1408,'REGISTRE TUBES'!$B$7:$B$2506,0))="","",INDEX('REGISTRE TUBES'!$C$7:$C$2506,MATCH($C1408,'REGISTRE TUBES'!$B$7:$B$2506,0))),"?"))</f>
        <v>15421107</v>
      </c>
      <c r="E1408" s="100" t="str">
        <f aca="false">IF($C1408="","",IFERROR(IF(INDEX('REGISTRE TUBES'!$D$7:$D$2506,MATCH($C1408,'REGISTRE TUBES'!$B$7:$B$2506,0))="","",INDEX('REGISTRE TUBES'!$D$7:$D$2506,MATCH($C1408,'REGISTRE TUBES'!$B$7:$B$2506,0))),"?"))</f>
        <v/>
      </c>
      <c r="F1408" s="101" t="n">
        <f aca="false">IF($C1408="","",IFERROR(IF(INDEX('REGISTRE TUBES'!$F$7:$F$2506,MATCH($C1408,'REGISTRE TUBES'!$B$7:$B$2506,0))="","",INDEX('REGISTRE TUBES'!$F$7:$F$2506,MATCH($C1408,'REGISTRE TUBES'!$B$7:$B$2506,0))),"?"))</f>
        <v>11.94</v>
      </c>
      <c r="G1408" s="102" t="n">
        <f aca="false">IF($C1408="","",N(G1407)+N(F1408))</f>
        <v>11330.25</v>
      </c>
      <c r="H1408" s="103" t="s">
        <v>2390</v>
      </c>
      <c r="I1408" s="104"/>
      <c r="J1408" s="105"/>
    </row>
    <row r="1409" customFormat="false" ht="15" hidden="false" customHeight="false" outlineLevel="0" collapsed="false">
      <c r="B1409" s="90" t="n">
        <v>955</v>
      </c>
      <c r="C1409" s="91" t="n">
        <v>2083580</v>
      </c>
      <c r="D1409" s="92" t="n">
        <f aca="false">IF($C1409="","",IFERROR(IF(INDEX('REGISTRE TUBES'!$C$7:$C$2506,MATCH($C1409,'REGISTRE TUBES'!$B$7:$B$2506,0))="","",INDEX('REGISTRE TUBES'!$C$7:$C$2506,MATCH($C1409,'REGISTRE TUBES'!$B$7:$B$2506,0))),"?"))</f>
        <v>15421105</v>
      </c>
      <c r="E1409" s="92" t="str">
        <f aca="false">IF($C1409="","",IFERROR(IF(INDEX('REGISTRE TUBES'!$D$7:$D$2506,MATCH($C1409,'REGISTRE TUBES'!$B$7:$B$2506,0))="","",INDEX('REGISTRE TUBES'!$D$7:$D$2506,MATCH($C1409,'REGISTRE TUBES'!$B$7:$B$2506,0))),"?"))</f>
        <v/>
      </c>
      <c r="F1409" s="93" t="n">
        <f aca="false">IF($C1409="","",IFERROR(IF(INDEX('REGISTRE TUBES'!$F$7:$F$2506,MATCH($C1409,'REGISTRE TUBES'!$B$7:$B$2506,0))="","",INDEX('REGISTRE TUBES'!$F$7:$F$2506,MATCH($C1409,'REGISTRE TUBES'!$B$7:$B$2506,0))),"?"))</f>
        <v>11.94</v>
      </c>
      <c r="G1409" s="94" t="n">
        <f aca="false">IF($C1409="","",N(G1408)+N(F1409))</f>
        <v>11342.19</v>
      </c>
      <c r="H1409" s="95" t="s">
        <v>2391</v>
      </c>
      <c r="I1409" s="96"/>
      <c r="J1409" s="97"/>
    </row>
    <row r="1410" customFormat="false" ht="15" hidden="false" customHeight="false" outlineLevel="0" collapsed="false">
      <c r="B1410" s="98" t="n">
        <v>956</v>
      </c>
      <c r="C1410" s="99" t="n">
        <v>2088560</v>
      </c>
      <c r="D1410" s="100" t="n">
        <f aca="false">IF($C1410="","",IFERROR(IF(INDEX('REGISTRE TUBES'!$C$7:$C$2506,MATCH($C1410,'REGISTRE TUBES'!$B$7:$B$2506,0))="","",INDEX('REGISTRE TUBES'!$C$7:$C$2506,MATCH($C1410,'REGISTRE TUBES'!$B$7:$B$2506,0))),"?"))</f>
        <v>15421108</v>
      </c>
      <c r="E1410" s="100" t="str">
        <f aca="false">IF($C1410="","",IFERROR(IF(INDEX('REGISTRE TUBES'!$D$7:$D$2506,MATCH($C1410,'REGISTRE TUBES'!$B$7:$B$2506,0))="","",INDEX('REGISTRE TUBES'!$D$7:$D$2506,MATCH($C1410,'REGISTRE TUBES'!$B$7:$B$2506,0))),"?"))</f>
        <v/>
      </c>
      <c r="F1410" s="101" t="n">
        <f aca="false">IF($C1410="","",IFERROR(IF(INDEX('REGISTRE TUBES'!$F$7:$F$2506,MATCH($C1410,'REGISTRE TUBES'!$B$7:$B$2506,0))="","",INDEX('REGISTRE TUBES'!$F$7:$F$2506,MATCH($C1410,'REGISTRE TUBES'!$B$7:$B$2506,0))),"?"))</f>
        <v>11.94</v>
      </c>
      <c r="G1410" s="102" t="n">
        <f aca="false">IF($C1410="","",N(G1409)+N(F1410))</f>
        <v>11354.13</v>
      </c>
      <c r="H1410" s="103" t="s">
        <v>2392</v>
      </c>
      <c r="I1410" s="104"/>
      <c r="J1410" s="105"/>
    </row>
    <row r="1411" customFormat="false" ht="15" hidden="false" customHeight="false" outlineLevel="0" collapsed="false">
      <c r="B1411" s="90" t="n">
        <v>957</v>
      </c>
      <c r="C1411" s="91" t="n">
        <v>2087690</v>
      </c>
      <c r="D1411" s="92" t="n">
        <f aca="false">IF($C1411="","",IFERROR(IF(INDEX('REGISTRE TUBES'!$C$7:$C$2506,MATCH($C1411,'REGISTRE TUBES'!$B$7:$B$2506,0))="","",INDEX('REGISTRE TUBES'!$C$7:$C$2506,MATCH($C1411,'REGISTRE TUBES'!$B$7:$B$2506,0))),"?"))</f>
        <v>15421108</v>
      </c>
      <c r="E1411" s="92" t="str">
        <f aca="false">IF($C1411="","",IFERROR(IF(INDEX('REGISTRE TUBES'!$D$7:$D$2506,MATCH($C1411,'REGISTRE TUBES'!$B$7:$B$2506,0))="","",INDEX('REGISTRE TUBES'!$D$7:$D$2506,MATCH($C1411,'REGISTRE TUBES'!$B$7:$B$2506,0))),"?"))</f>
        <v/>
      </c>
      <c r="F1411" s="93" t="n">
        <f aca="false">IF($C1411="","",IFERROR(IF(INDEX('REGISTRE TUBES'!$F$7:$F$2506,MATCH($C1411,'REGISTRE TUBES'!$B$7:$B$2506,0))="","",INDEX('REGISTRE TUBES'!$F$7:$F$2506,MATCH($C1411,'REGISTRE TUBES'!$B$7:$B$2506,0))),"?"))</f>
        <v>11.94</v>
      </c>
      <c r="G1411" s="94" t="n">
        <f aca="false">IF($C1411="","",N(G1410)+N(F1411))</f>
        <v>11366.07</v>
      </c>
      <c r="H1411" s="95" t="s">
        <v>2393</v>
      </c>
      <c r="I1411" s="96"/>
      <c r="J1411" s="97"/>
    </row>
    <row r="1412" customFormat="false" ht="15" hidden="false" customHeight="false" outlineLevel="0" collapsed="false">
      <c r="B1412" s="98" t="n">
        <v>958</v>
      </c>
      <c r="C1412" s="99" t="n">
        <v>2092410</v>
      </c>
      <c r="D1412" s="100" t="n">
        <f aca="false">IF($C1412="","",IFERROR(IF(INDEX('REGISTRE TUBES'!$C$7:$C$2506,MATCH($C1412,'REGISTRE TUBES'!$B$7:$B$2506,0))="","",INDEX('REGISTRE TUBES'!$C$7:$C$2506,MATCH($C1412,'REGISTRE TUBES'!$B$7:$B$2506,0))),"?"))</f>
        <v>15421110</v>
      </c>
      <c r="E1412" s="100" t="str">
        <f aca="false">IF($C1412="","",IFERROR(IF(INDEX('REGISTRE TUBES'!$D$7:$D$2506,MATCH($C1412,'REGISTRE TUBES'!$B$7:$B$2506,0))="","",INDEX('REGISTRE TUBES'!$D$7:$D$2506,MATCH($C1412,'REGISTRE TUBES'!$B$7:$B$2506,0))),"?"))</f>
        <v/>
      </c>
      <c r="F1412" s="101" t="n">
        <f aca="false">IF($C1412="","",IFERROR(IF(INDEX('REGISTRE TUBES'!$F$7:$F$2506,MATCH($C1412,'REGISTRE TUBES'!$B$7:$B$2506,0))="","",INDEX('REGISTRE TUBES'!$F$7:$F$2506,MATCH($C1412,'REGISTRE TUBES'!$B$7:$B$2506,0))),"?"))</f>
        <v>11.94</v>
      </c>
      <c r="G1412" s="102" t="n">
        <f aca="false">IF($C1412="","",N(G1411)+N(F1412))</f>
        <v>11378.01</v>
      </c>
      <c r="H1412" s="103" t="s">
        <v>2394</v>
      </c>
      <c r="I1412" s="104"/>
      <c r="J1412" s="105"/>
    </row>
    <row r="1413" customFormat="false" ht="15" hidden="false" customHeight="false" outlineLevel="0" collapsed="false">
      <c r="B1413" s="90" t="n">
        <v>959</v>
      </c>
      <c r="C1413" s="91" t="n">
        <v>2087040</v>
      </c>
      <c r="D1413" s="92" t="n">
        <f aca="false">IF($C1413="","",IFERROR(IF(INDEX('REGISTRE TUBES'!$C$7:$C$2506,MATCH($C1413,'REGISTRE TUBES'!$B$7:$B$2506,0))="","",INDEX('REGISTRE TUBES'!$C$7:$C$2506,MATCH($C1413,'REGISTRE TUBES'!$B$7:$B$2506,0))),"?"))</f>
        <v>15421107</v>
      </c>
      <c r="E1413" s="92" t="str">
        <f aca="false">IF($C1413="","",IFERROR(IF(INDEX('REGISTRE TUBES'!$D$7:$D$2506,MATCH($C1413,'REGISTRE TUBES'!$B$7:$B$2506,0))="","",INDEX('REGISTRE TUBES'!$D$7:$D$2506,MATCH($C1413,'REGISTRE TUBES'!$B$7:$B$2506,0))),"?"))</f>
        <v/>
      </c>
      <c r="F1413" s="93" t="n">
        <f aca="false">IF($C1413="","",IFERROR(IF(INDEX('REGISTRE TUBES'!$F$7:$F$2506,MATCH($C1413,'REGISTRE TUBES'!$B$7:$B$2506,0))="","",INDEX('REGISTRE TUBES'!$F$7:$F$2506,MATCH($C1413,'REGISTRE TUBES'!$B$7:$B$2506,0))),"?"))</f>
        <v>11.94</v>
      </c>
      <c r="G1413" s="94" t="n">
        <f aca="false">IF($C1413="","",N(G1412)+N(F1413))</f>
        <v>11389.95</v>
      </c>
      <c r="H1413" s="95" t="s">
        <v>2397</v>
      </c>
      <c r="I1413" s="96"/>
      <c r="J1413" s="97"/>
    </row>
    <row r="1414" customFormat="false" ht="15" hidden="false" customHeight="false" outlineLevel="0" collapsed="false">
      <c r="B1414" s="98" t="n">
        <v>960</v>
      </c>
      <c r="C1414" s="99" t="n">
        <v>2088820</v>
      </c>
      <c r="D1414" s="100" t="n">
        <f aca="false">IF($C1414="","",IFERROR(IF(INDEX('REGISTRE TUBES'!$C$7:$C$2506,MATCH($C1414,'REGISTRE TUBES'!$B$7:$B$2506,0))="","",INDEX('REGISTRE TUBES'!$C$7:$C$2506,MATCH($C1414,'REGISTRE TUBES'!$B$7:$B$2506,0))),"?"))</f>
        <v>15421108</v>
      </c>
      <c r="E1414" s="100" t="str">
        <f aca="false">IF($C1414="","",IFERROR(IF(INDEX('REGISTRE TUBES'!$D$7:$D$2506,MATCH($C1414,'REGISTRE TUBES'!$B$7:$B$2506,0))="","",INDEX('REGISTRE TUBES'!$D$7:$D$2506,MATCH($C1414,'REGISTRE TUBES'!$B$7:$B$2506,0))),"?"))</f>
        <v/>
      </c>
      <c r="F1414" s="101" t="n">
        <f aca="false">IF($C1414="","",IFERROR(IF(INDEX('REGISTRE TUBES'!$F$7:$F$2506,MATCH($C1414,'REGISTRE TUBES'!$B$7:$B$2506,0))="","",INDEX('REGISTRE TUBES'!$F$7:$F$2506,MATCH($C1414,'REGISTRE TUBES'!$B$7:$B$2506,0))),"?"))</f>
        <v>11.94</v>
      </c>
      <c r="G1414" s="102" t="n">
        <f aca="false">IF($C1414="","",N(G1413)+N(F1414))</f>
        <v>11401.89</v>
      </c>
      <c r="H1414" s="103" t="s">
        <v>2398</v>
      </c>
      <c r="I1414" s="104"/>
      <c r="J1414" s="105"/>
    </row>
    <row r="1415" customFormat="false" ht="15" hidden="false" customHeight="false" outlineLevel="0" collapsed="false">
      <c r="B1415" s="90" t="n">
        <v>961</v>
      </c>
      <c r="C1415" s="91" t="n">
        <v>2090620</v>
      </c>
      <c r="D1415" s="92" t="n">
        <f aca="false">IF($C1415="","",IFERROR(IF(INDEX('REGISTRE TUBES'!$C$7:$C$2506,MATCH($C1415,'REGISTRE TUBES'!$B$7:$B$2506,0))="","",INDEX('REGISTRE TUBES'!$C$7:$C$2506,MATCH($C1415,'REGISTRE TUBES'!$B$7:$B$2506,0))),"?"))</f>
        <v>15421109</v>
      </c>
      <c r="E1415" s="92" t="str">
        <f aca="false">IF($C1415="","",IFERROR(IF(INDEX('REGISTRE TUBES'!$D$7:$D$2506,MATCH($C1415,'REGISTRE TUBES'!$B$7:$B$2506,0))="","",INDEX('REGISTRE TUBES'!$D$7:$D$2506,MATCH($C1415,'REGISTRE TUBES'!$B$7:$B$2506,0))),"?"))</f>
        <v/>
      </c>
      <c r="F1415" s="93" t="n">
        <f aca="false">IF($C1415="","",IFERROR(IF(INDEX('REGISTRE TUBES'!$F$7:$F$2506,MATCH($C1415,'REGISTRE TUBES'!$B$7:$B$2506,0))="","",INDEX('REGISTRE TUBES'!$F$7:$F$2506,MATCH($C1415,'REGISTRE TUBES'!$B$7:$B$2506,0))),"?"))</f>
        <v>11.94</v>
      </c>
      <c r="G1415" s="94" t="n">
        <f aca="false">IF($C1415="","",N(G1414)+N(F1415))</f>
        <v>11413.83</v>
      </c>
      <c r="H1415" s="95" t="s">
        <v>2400</v>
      </c>
      <c r="I1415" s="96"/>
      <c r="J1415" s="97"/>
    </row>
    <row r="1416" customFormat="false" ht="15" hidden="false" customHeight="false" outlineLevel="0" collapsed="false">
      <c r="B1416" s="98" t="n">
        <v>962</v>
      </c>
      <c r="C1416" s="99" t="n">
        <v>2087490</v>
      </c>
      <c r="D1416" s="100" t="n">
        <f aca="false">IF($C1416="","",IFERROR(IF(INDEX('REGISTRE TUBES'!$C$7:$C$2506,MATCH($C1416,'REGISTRE TUBES'!$B$7:$B$2506,0))="","",INDEX('REGISTRE TUBES'!$C$7:$C$2506,MATCH($C1416,'REGISTRE TUBES'!$B$7:$B$2506,0))),"?"))</f>
        <v>15421104</v>
      </c>
      <c r="E1416" s="100" t="str">
        <f aca="false">IF($C1416="","",IFERROR(IF(INDEX('REGISTRE TUBES'!$D$7:$D$2506,MATCH($C1416,'REGISTRE TUBES'!$B$7:$B$2506,0))="","",INDEX('REGISTRE TUBES'!$D$7:$D$2506,MATCH($C1416,'REGISTRE TUBES'!$B$7:$B$2506,0))),"?"))</f>
        <v/>
      </c>
      <c r="F1416" s="101" t="n">
        <f aca="false">IF($C1416="","",IFERROR(IF(INDEX('REGISTRE TUBES'!$F$7:$F$2506,MATCH($C1416,'REGISTRE TUBES'!$B$7:$B$2506,0))="","",INDEX('REGISTRE TUBES'!$F$7:$F$2506,MATCH($C1416,'REGISTRE TUBES'!$B$7:$B$2506,0))),"?"))</f>
        <v>11.94</v>
      </c>
      <c r="G1416" s="102" t="n">
        <f aca="false">IF($C1416="","",N(G1415)+N(F1416))</f>
        <v>11425.77</v>
      </c>
      <c r="H1416" s="103" t="s">
        <v>2401</v>
      </c>
      <c r="I1416" s="104"/>
      <c r="J1416" s="105"/>
    </row>
    <row r="1417" customFormat="false" ht="15" hidden="false" customHeight="false" outlineLevel="0" collapsed="false">
      <c r="B1417" s="90" t="n">
        <v>963</v>
      </c>
      <c r="C1417" s="91" t="n">
        <v>2089220</v>
      </c>
      <c r="D1417" s="92" t="n">
        <f aca="false">IF($C1417="","",IFERROR(IF(INDEX('REGISTRE TUBES'!$C$7:$C$2506,MATCH($C1417,'REGISTRE TUBES'!$B$7:$B$2506,0))="","",INDEX('REGISTRE TUBES'!$C$7:$C$2506,MATCH($C1417,'REGISTRE TUBES'!$B$7:$B$2506,0))),"?"))</f>
        <v>15421108</v>
      </c>
      <c r="E1417" s="92" t="str">
        <f aca="false">IF($C1417="","",IFERROR(IF(INDEX('REGISTRE TUBES'!$D$7:$D$2506,MATCH($C1417,'REGISTRE TUBES'!$B$7:$B$2506,0))="","",INDEX('REGISTRE TUBES'!$D$7:$D$2506,MATCH($C1417,'REGISTRE TUBES'!$B$7:$B$2506,0))),"?"))</f>
        <v/>
      </c>
      <c r="F1417" s="93" t="n">
        <f aca="false">IF($C1417="","",IFERROR(IF(INDEX('REGISTRE TUBES'!$F$7:$F$2506,MATCH($C1417,'REGISTRE TUBES'!$B$7:$B$2506,0))="","",INDEX('REGISTRE TUBES'!$F$7:$F$2506,MATCH($C1417,'REGISTRE TUBES'!$B$7:$B$2506,0))),"?"))</f>
        <v>11.94</v>
      </c>
      <c r="G1417" s="94" t="n">
        <f aca="false">IF($C1417="","",N(G1416)+N(F1417))</f>
        <v>11437.71</v>
      </c>
      <c r="H1417" s="95" t="s">
        <v>2402</v>
      </c>
      <c r="I1417" s="96"/>
      <c r="J1417" s="97"/>
    </row>
    <row r="1418" customFormat="false" ht="15" hidden="false" customHeight="false" outlineLevel="0" collapsed="false">
      <c r="B1418" s="98" t="n">
        <v>964</v>
      </c>
      <c r="C1418" s="99" t="n">
        <v>2084340</v>
      </c>
      <c r="D1418" s="100" t="n">
        <f aca="false">IF($C1418="","",IFERROR(IF(INDEX('REGISTRE TUBES'!$C$7:$C$2506,MATCH($C1418,'REGISTRE TUBES'!$B$7:$B$2506,0))="","",INDEX('REGISTRE TUBES'!$C$7:$C$2506,MATCH($C1418,'REGISTRE TUBES'!$B$7:$B$2506,0))),"?"))</f>
        <v>15421106</v>
      </c>
      <c r="E1418" s="100" t="str">
        <f aca="false">IF($C1418="","",IFERROR(IF(INDEX('REGISTRE TUBES'!$D$7:$D$2506,MATCH($C1418,'REGISTRE TUBES'!$B$7:$B$2506,0))="","",INDEX('REGISTRE TUBES'!$D$7:$D$2506,MATCH($C1418,'REGISTRE TUBES'!$B$7:$B$2506,0))),"?"))</f>
        <v/>
      </c>
      <c r="F1418" s="101" t="n">
        <f aca="false">IF($C1418="","",IFERROR(IF(INDEX('REGISTRE TUBES'!$F$7:$F$2506,MATCH($C1418,'REGISTRE TUBES'!$B$7:$B$2506,0))="","",INDEX('REGISTRE TUBES'!$F$7:$F$2506,MATCH($C1418,'REGISTRE TUBES'!$B$7:$B$2506,0))),"?"))</f>
        <v>11.94</v>
      </c>
      <c r="G1418" s="102" t="n">
        <f aca="false">IF($C1418="","",N(G1417)+N(F1418))</f>
        <v>11449.65</v>
      </c>
      <c r="H1418" s="103"/>
      <c r="I1418" s="104"/>
      <c r="J1418" s="105"/>
    </row>
    <row r="1419" customFormat="false" ht="15" hidden="false" customHeight="false" outlineLevel="0" collapsed="false">
      <c r="B1419" s="90" t="n">
        <v>965</v>
      </c>
      <c r="C1419" s="91" t="n">
        <v>2084110</v>
      </c>
      <c r="D1419" s="92" t="n">
        <f aca="false">IF($C1419="","",IFERROR(IF(INDEX('REGISTRE TUBES'!$C$7:$C$2506,MATCH($C1419,'REGISTRE TUBES'!$B$7:$B$2506,0))="","",INDEX('REGISTRE TUBES'!$C$7:$C$2506,MATCH($C1419,'REGISTRE TUBES'!$B$7:$B$2506,0))),"?"))</f>
        <v>15421106</v>
      </c>
      <c r="E1419" s="92" t="str">
        <f aca="false">IF($C1419="","",IFERROR(IF(INDEX('REGISTRE TUBES'!$D$7:$D$2506,MATCH($C1419,'REGISTRE TUBES'!$B$7:$B$2506,0))="","",INDEX('REGISTRE TUBES'!$D$7:$D$2506,MATCH($C1419,'REGISTRE TUBES'!$B$7:$B$2506,0))),"?"))</f>
        <v/>
      </c>
      <c r="F1419" s="93" t="n">
        <f aca="false">IF($C1419="","",IFERROR(IF(INDEX('REGISTRE TUBES'!$F$7:$F$2506,MATCH($C1419,'REGISTRE TUBES'!$B$7:$B$2506,0))="","",INDEX('REGISTRE TUBES'!$F$7:$F$2506,MATCH($C1419,'REGISTRE TUBES'!$B$7:$B$2506,0))),"?"))</f>
        <v>11.94</v>
      </c>
      <c r="G1419" s="94" t="n">
        <f aca="false">IF($C1419="","",N(G1418)+N(F1419))</f>
        <v>11461.59</v>
      </c>
      <c r="H1419" s="95" t="s">
        <v>2404</v>
      </c>
      <c r="I1419" s="96"/>
      <c r="J1419" s="97"/>
    </row>
    <row r="1420" customFormat="false" ht="15" hidden="false" customHeight="false" outlineLevel="0" collapsed="false">
      <c r="B1420" s="98" t="n">
        <v>966</v>
      </c>
      <c r="C1420" s="99" t="n">
        <v>2084030</v>
      </c>
      <c r="D1420" s="100" t="n">
        <f aca="false">IF($C1420="","",IFERROR(IF(INDEX('REGISTRE TUBES'!$C$7:$C$2506,MATCH($C1420,'REGISTRE TUBES'!$B$7:$B$2506,0))="","",INDEX('REGISTRE TUBES'!$C$7:$C$2506,MATCH($C1420,'REGISTRE TUBES'!$B$7:$B$2506,0))),"?"))</f>
        <v>15421106</v>
      </c>
      <c r="E1420" s="100" t="str">
        <f aca="false">IF($C1420="","",IFERROR(IF(INDEX('REGISTRE TUBES'!$D$7:$D$2506,MATCH($C1420,'REGISTRE TUBES'!$B$7:$B$2506,0))="","",INDEX('REGISTRE TUBES'!$D$7:$D$2506,MATCH($C1420,'REGISTRE TUBES'!$B$7:$B$2506,0))),"?"))</f>
        <v/>
      </c>
      <c r="F1420" s="101" t="n">
        <f aca="false">IF($C1420="","",IFERROR(IF(INDEX('REGISTRE TUBES'!$F$7:$F$2506,MATCH($C1420,'REGISTRE TUBES'!$B$7:$B$2506,0))="","",INDEX('REGISTRE TUBES'!$F$7:$F$2506,MATCH($C1420,'REGISTRE TUBES'!$B$7:$B$2506,0))),"?"))</f>
        <v>11.94</v>
      </c>
      <c r="G1420" s="102" t="n">
        <f aca="false">IF($C1420="","",N(G1419)+N(F1420))</f>
        <v>11473.53</v>
      </c>
      <c r="H1420" s="103" t="s">
        <v>2406</v>
      </c>
      <c r="I1420" s="104"/>
      <c r="J1420" s="105"/>
    </row>
    <row r="1421" customFormat="false" ht="15" hidden="false" customHeight="false" outlineLevel="0" collapsed="false">
      <c r="B1421" s="90" t="n">
        <v>967</v>
      </c>
      <c r="C1421" s="91" t="n">
        <v>2090080</v>
      </c>
      <c r="D1421" s="92" t="n">
        <f aca="false">IF($C1421="","",IFERROR(IF(INDEX('REGISTRE TUBES'!$C$7:$C$2506,MATCH($C1421,'REGISTRE TUBES'!$B$7:$B$2506,0))="","",INDEX('REGISTRE TUBES'!$C$7:$C$2506,MATCH($C1421,'REGISTRE TUBES'!$B$7:$B$2506,0))),"?"))</f>
        <v>15421109</v>
      </c>
      <c r="E1421" s="92" t="str">
        <f aca="false">IF($C1421="","",IFERROR(IF(INDEX('REGISTRE TUBES'!$D$7:$D$2506,MATCH($C1421,'REGISTRE TUBES'!$B$7:$B$2506,0))="","",INDEX('REGISTRE TUBES'!$D$7:$D$2506,MATCH($C1421,'REGISTRE TUBES'!$B$7:$B$2506,0))),"?"))</f>
        <v/>
      </c>
      <c r="F1421" s="93" t="n">
        <f aca="false">IF($C1421="","",IFERROR(IF(INDEX('REGISTRE TUBES'!$F$7:$F$2506,MATCH($C1421,'REGISTRE TUBES'!$B$7:$B$2506,0))="","",INDEX('REGISTRE TUBES'!$F$7:$F$2506,MATCH($C1421,'REGISTRE TUBES'!$B$7:$B$2506,0))),"?"))</f>
        <v>11.94</v>
      </c>
      <c r="G1421" s="94" t="n">
        <f aca="false">IF($C1421="","",N(G1420)+N(F1421))</f>
        <v>11485.47</v>
      </c>
      <c r="H1421" s="95" t="s">
        <v>2408</v>
      </c>
      <c r="I1421" s="96"/>
      <c r="J1421" s="97"/>
    </row>
    <row r="1422" customFormat="false" ht="15" hidden="false" customHeight="false" outlineLevel="0" collapsed="false">
      <c r="B1422" s="98" t="n">
        <v>968</v>
      </c>
      <c r="C1422" s="99" t="n">
        <v>2091860</v>
      </c>
      <c r="D1422" s="100" t="n">
        <f aca="false">IF($C1422="","",IFERROR(IF(INDEX('REGISTRE TUBES'!$C$7:$C$2506,MATCH($C1422,'REGISTRE TUBES'!$B$7:$B$2506,0))="","",INDEX('REGISTRE TUBES'!$C$7:$C$2506,MATCH($C1422,'REGISTRE TUBES'!$B$7:$B$2506,0))),"?"))</f>
        <v>15421109</v>
      </c>
      <c r="E1422" s="100" t="str">
        <f aca="false">IF($C1422="","",IFERROR(IF(INDEX('REGISTRE TUBES'!$D$7:$D$2506,MATCH($C1422,'REGISTRE TUBES'!$B$7:$B$2506,0))="","",INDEX('REGISTRE TUBES'!$D$7:$D$2506,MATCH($C1422,'REGISTRE TUBES'!$B$7:$B$2506,0))),"?"))</f>
        <v/>
      </c>
      <c r="F1422" s="101" t="n">
        <f aca="false">IF($C1422="","",IFERROR(IF(INDEX('REGISTRE TUBES'!$F$7:$F$2506,MATCH($C1422,'REGISTRE TUBES'!$B$7:$B$2506,0))="","",INDEX('REGISTRE TUBES'!$F$7:$F$2506,MATCH($C1422,'REGISTRE TUBES'!$B$7:$B$2506,0))),"?"))</f>
        <v>11.94</v>
      </c>
      <c r="G1422" s="102" t="n">
        <f aca="false">IF($C1422="","",N(G1421)+N(F1422))</f>
        <v>11497.41</v>
      </c>
      <c r="H1422" s="103" t="s">
        <v>2409</v>
      </c>
      <c r="I1422" s="104"/>
      <c r="J1422" s="105"/>
    </row>
    <row r="1423" customFormat="false" ht="15" hidden="false" customHeight="false" outlineLevel="0" collapsed="false">
      <c r="B1423" s="90" t="n">
        <v>969</v>
      </c>
      <c r="C1423" s="91" t="n">
        <v>2084520</v>
      </c>
      <c r="D1423" s="92" t="n">
        <f aca="false">IF($C1423="","",IFERROR(IF(INDEX('REGISTRE TUBES'!$C$7:$C$2506,MATCH($C1423,'REGISTRE TUBES'!$B$7:$B$2506,0))="","",INDEX('REGISTRE TUBES'!$C$7:$C$2506,MATCH($C1423,'REGISTRE TUBES'!$B$7:$B$2506,0))),"?"))</f>
        <v>15421106</v>
      </c>
      <c r="E1423" s="92" t="str">
        <f aca="false">IF($C1423="","",IFERROR(IF(INDEX('REGISTRE TUBES'!$D$7:$D$2506,MATCH($C1423,'REGISTRE TUBES'!$B$7:$B$2506,0))="","",INDEX('REGISTRE TUBES'!$D$7:$D$2506,MATCH($C1423,'REGISTRE TUBES'!$B$7:$B$2506,0))),"?"))</f>
        <v/>
      </c>
      <c r="F1423" s="93" t="n">
        <f aca="false">IF($C1423="","",IFERROR(IF(INDEX('REGISTRE TUBES'!$F$7:$F$2506,MATCH($C1423,'REGISTRE TUBES'!$B$7:$B$2506,0))="","",INDEX('REGISTRE TUBES'!$F$7:$F$2506,MATCH($C1423,'REGISTRE TUBES'!$B$7:$B$2506,0))),"?"))</f>
        <v>11.94</v>
      </c>
      <c r="G1423" s="94" t="n">
        <f aca="false">IF($C1423="","",N(G1422)+N(F1423))</f>
        <v>11509.35</v>
      </c>
      <c r="H1423" s="95"/>
      <c r="I1423" s="96"/>
      <c r="J1423" s="97"/>
    </row>
    <row r="1424" customFormat="false" ht="15" hidden="false" customHeight="true" outlineLevel="0" collapsed="false">
      <c r="B1424" s="106" t="s">
        <v>3031</v>
      </c>
      <c r="C1424" s="106"/>
      <c r="D1424" s="106"/>
      <c r="E1424" s="106"/>
      <c r="F1424" s="107" t="n">
        <f aca="false">SUM(F1405:F1423)</f>
        <v>226.86</v>
      </c>
      <c r="G1424" s="108" t="n">
        <f aca="false">IF(COUNT(G1405:G1423)=0,"",MAX(G1405:G1423))</f>
        <v>11509.35</v>
      </c>
      <c r="H1424" s="106" t="str">
        <f aca="false">COUNTA(C1405:C1423)&amp;" tube(s)"</f>
        <v>19 tube(s)</v>
      </c>
      <c r="I1424" s="106"/>
      <c r="J1424" s="106"/>
    </row>
    <row r="1426" customFormat="false" ht="15" hidden="false" customHeight="false" outlineLevel="0" collapsed="false">
      <c r="B1426" s="109" t="s">
        <v>3032</v>
      </c>
      <c r="F1426" s="109" t="s">
        <v>3033</v>
      </c>
      <c r="I1426" s="109" t="s">
        <v>3034</v>
      </c>
    </row>
    <row r="1429" customFormat="false" ht="25.5" hidden="false" customHeight="true" outlineLevel="0" collapsed="false">
      <c r="B1429" s="85" t="s">
        <v>3015</v>
      </c>
      <c r="C1429" s="85"/>
      <c r="D1429" s="85"/>
      <c r="E1429" s="85"/>
      <c r="F1429" s="85"/>
      <c r="G1429" s="85"/>
      <c r="H1429" s="85"/>
      <c r="I1429" s="85"/>
      <c r="J1429" s="85"/>
    </row>
    <row r="1430" customFormat="false" ht="15" hidden="false" customHeight="false" outlineLevel="0" collapsed="false">
      <c r="B1430" s="86" t="str">
        <f aca="false">PARAMÈTRES!$C$4&amp;"   •   Affaire N° "&amp;PARAMÈTRES!$C$5</f>
        <v>Développement des champs gaziers TFT II — réseau de collecte TFT Sud (LIGNE-16)   •   Affaire N° 8546</v>
      </c>
      <c r="C1430" s="86"/>
      <c r="D1430" s="86"/>
      <c r="E1430" s="86"/>
      <c r="F1430" s="86"/>
      <c r="G1430" s="86"/>
      <c r="H1430" s="86"/>
      <c r="I1430" s="86"/>
      <c r="J1430" s="86"/>
    </row>
    <row r="1431" customFormat="false" ht="19.5" hidden="false" customHeight="true" outlineLevel="0" collapsed="false">
      <c r="B1431" s="87" t="s">
        <v>3016</v>
      </c>
      <c r="C1431" s="88" t="s">
        <v>110</v>
      </c>
      <c r="D1431" s="88"/>
      <c r="E1431" s="87" t="s">
        <v>3017</v>
      </c>
      <c r="F1431" s="88" t="s">
        <v>3135</v>
      </c>
      <c r="G1431" s="87" t="s">
        <v>3019</v>
      </c>
      <c r="H1431" s="88" t="s">
        <v>3136</v>
      </c>
      <c r="I1431" s="87" t="s">
        <v>3021</v>
      </c>
      <c r="J1431" s="89"/>
    </row>
    <row r="1432" customFormat="false" ht="27.75" hidden="false" customHeight="true" outlineLevel="0" collapsed="false">
      <c r="B1432" s="71" t="s">
        <v>3022</v>
      </c>
      <c r="C1432" s="71" t="s">
        <v>3023</v>
      </c>
      <c r="D1432" s="71" t="s">
        <v>3024</v>
      </c>
      <c r="E1432" s="71" t="s">
        <v>3025</v>
      </c>
      <c r="F1432" s="71" t="s">
        <v>3026</v>
      </c>
      <c r="G1432" s="71" t="s">
        <v>3027</v>
      </c>
      <c r="H1432" s="71" t="s">
        <v>3028</v>
      </c>
      <c r="I1432" s="71" t="s">
        <v>3029</v>
      </c>
      <c r="J1432" s="71" t="s">
        <v>3030</v>
      </c>
    </row>
    <row r="1433" customFormat="false" ht="15" hidden="false" customHeight="false" outlineLevel="0" collapsed="false">
      <c r="B1433" s="90" t="n">
        <v>970</v>
      </c>
      <c r="C1433" s="91" t="n">
        <v>2097120</v>
      </c>
      <c r="D1433" s="92" t="n">
        <f aca="false">IF($C1433="","",IFERROR(IF(INDEX('REGISTRE TUBES'!$C$7:$C$2506,MATCH($C1433,'REGISTRE TUBES'!$B$7:$B$2506,0))="","",INDEX('REGISTRE TUBES'!$C$7:$C$2506,MATCH($C1433,'REGISTRE TUBES'!$B$7:$B$2506,0))),"?"))</f>
        <v>15421112</v>
      </c>
      <c r="E1433" s="92" t="str">
        <f aca="false">IF($C1433="","",IFERROR(IF(INDEX('REGISTRE TUBES'!$D$7:$D$2506,MATCH($C1433,'REGISTRE TUBES'!$B$7:$B$2506,0))="","",INDEX('REGISTRE TUBES'!$D$7:$D$2506,MATCH($C1433,'REGISTRE TUBES'!$B$7:$B$2506,0))),"?"))</f>
        <v/>
      </c>
      <c r="F1433" s="93" t="n">
        <f aca="false">IF($C1433="","",IFERROR(IF(INDEX('REGISTRE TUBES'!$F$7:$F$2506,MATCH($C1433,'REGISTRE TUBES'!$B$7:$B$2506,0))="","",INDEX('REGISTRE TUBES'!$F$7:$F$2506,MATCH($C1433,'REGISTRE TUBES'!$B$7:$B$2506,0))),"?"))</f>
        <v>11.94</v>
      </c>
      <c r="G1433" s="94" t="n">
        <f aca="false">IF($C1433="","",N(G1423)+N(F1433))</f>
        <v>11521.29</v>
      </c>
      <c r="H1433" s="95" t="s">
        <v>2410</v>
      </c>
      <c r="I1433" s="96"/>
      <c r="J1433" s="97"/>
    </row>
    <row r="1434" customFormat="false" ht="15" hidden="false" customHeight="false" outlineLevel="0" collapsed="false">
      <c r="B1434" s="98" t="n">
        <v>971</v>
      </c>
      <c r="C1434" s="99" t="n">
        <v>2094690</v>
      </c>
      <c r="D1434" s="100" t="n">
        <f aca="false">IF($C1434="","",IFERROR(IF(INDEX('REGISTRE TUBES'!$C$7:$C$2506,MATCH($C1434,'REGISTRE TUBES'!$B$7:$B$2506,0))="","",INDEX('REGISTRE TUBES'!$C$7:$C$2506,MATCH($C1434,'REGISTRE TUBES'!$B$7:$B$2506,0))),"?"))</f>
        <v>15421111</v>
      </c>
      <c r="E1434" s="100" t="str">
        <f aca="false">IF($C1434="","",IFERROR(IF(INDEX('REGISTRE TUBES'!$D$7:$D$2506,MATCH($C1434,'REGISTRE TUBES'!$B$7:$B$2506,0))="","",INDEX('REGISTRE TUBES'!$D$7:$D$2506,MATCH($C1434,'REGISTRE TUBES'!$B$7:$B$2506,0))),"?"))</f>
        <v/>
      </c>
      <c r="F1434" s="101" t="n">
        <f aca="false">IF($C1434="","",IFERROR(IF(INDEX('REGISTRE TUBES'!$F$7:$F$2506,MATCH($C1434,'REGISTRE TUBES'!$B$7:$B$2506,0))="","",INDEX('REGISTRE TUBES'!$F$7:$F$2506,MATCH($C1434,'REGISTRE TUBES'!$B$7:$B$2506,0))),"?"))</f>
        <v>11.94</v>
      </c>
      <c r="G1434" s="102" t="n">
        <f aca="false">IF($C1434="","",N(G1433)+N(F1434))</f>
        <v>11533.23</v>
      </c>
      <c r="H1434" s="103" t="s">
        <v>2412</v>
      </c>
      <c r="I1434" s="104"/>
      <c r="J1434" s="105"/>
    </row>
    <row r="1435" customFormat="false" ht="15" hidden="false" customHeight="false" outlineLevel="0" collapsed="false">
      <c r="B1435" s="90" t="n">
        <v>972</v>
      </c>
      <c r="C1435" s="91" t="n">
        <v>2094810</v>
      </c>
      <c r="D1435" s="92" t="n">
        <f aca="false">IF($C1435="","",IFERROR(IF(INDEX('REGISTRE TUBES'!$C$7:$C$2506,MATCH($C1435,'REGISTRE TUBES'!$B$7:$B$2506,0))="","",INDEX('REGISTRE TUBES'!$C$7:$C$2506,MATCH($C1435,'REGISTRE TUBES'!$B$7:$B$2506,0))),"?"))</f>
        <v>15421111</v>
      </c>
      <c r="E1435" s="92" t="str">
        <f aca="false">IF($C1435="","",IFERROR(IF(INDEX('REGISTRE TUBES'!$D$7:$D$2506,MATCH($C1435,'REGISTRE TUBES'!$B$7:$B$2506,0))="","",INDEX('REGISTRE TUBES'!$D$7:$D$2506,MATCH($C1435,'REGISTRE TUBES'!$B$7:$B$2506,0))),"?"))</f>
        <v/>
      </c>
      <c r="F1435" s="93" t="n">
        <f aca="false">IF($C1435="","",IFERROR(IF(INDEX('REGISTRE TUBES'!$F$7:$F$2506,MATCH($C1435,'REGISTRE TUBES'!$B$7:$B$2506,0))="","",INDEX('REGISTRE TUBES'!$F$7:$F$2506,MATCH($C1435,'REGISTRE TUBES'!$B$7:$B$2506,0))),"?"))</f>
        <v>11.94</v>
      </c>
      <c r="G1435" s="94" t="n">
        <f aca="false">IF($C1435="","",N(G1434)+N(F1435))</f>
        <v>11545.17</v>
      </c>
      <c r="H1435" s="95"/>
      <c r="I1435" s="96"/>
      <c r="J1435" s="97"/>
    </row>
    <row r="1436" customFormat="false" ht="15" hidden="false" customHeight="false" outlineLevel="0" collapsed="false">
      <c r="B1436" s="98" t="n">
        <v>973</v>
      </c>
      <c r="C1436" s="99" t="n">
        <v>2090830</v>
      </c>
      <c r="D1436" s="100" t="n">
        <f aca="false">IF($C1436="","",IFERROR(IF(INDEX('REGISTRE TUBES'!$C$7:$C$2506,MATCH($C1436,'REGISTRE TUBES'!$B$7:$B$2506,0))="","",INDEX('REGISTRE TUBES'!$C$7:$C$2506,MATCH($C1436,'REGISTRE TUBES'!$B$7:$B$2506,0))),"?"))</f>
        <v>15421111</v>
      </c>
      <c r="E1436" s="100" t="str">
        <f aca="false">IF($C1436="","",IFERROR(IF(INDEX('REGISTRE TUBES'!$D$7:$D$2506,MATCH($C1436,'REGISTRE TUBES'!$B$7:$B$2506,0))="","",INDEX('REGISTRE TUBES'!$D$7:$D$2506,MATCH($C1436,'REGISTRE TUBES'!$B$7:$B$2506,0))),"?"))</f>
        <v/>
      </c>
      <c r="F1436" s="101" t="n">
        <f aca="false">IF($C1436="","",IFERROR(IF(INDEX('REGISTRE TUBES'!$F$7:$F$2506,MATCH($C1436,'REGISTRE TUBES'!$B$7:$B$2506,0))="","",INDEX('REGISTRE TUBES'!$F$7:$F$2506,MATCH($C1436,'REGISTRE TUBES'!$B$7:$B$2506,0))),"?"))</f>
        <v>11.94</v>
      </c>
      <c r="G1436" s="102" t="n">
        <f aca="false">IF($C1436="","",N(G1435)+N(F1436))</f>
        <v>11557.11</v>
      </c>
      <c r="H1436" s="103" t="s">
        <v>2413</v>
      </c>
      <c r="I1436" s="104"/>
      <c r="J1436" s="105"/>
    </row>
    <row r="1437" customFormat="false" ht="15" hidden="false" customHeight="false" outlineLevel="0" collapsed="false">
      <c r="B1437" s="90" t="n">
        <v>974</v>
      </c>
      <c r="C1437" s="91" t="n">
        <v>2081440</v>
      </c>
      <c r="D1437" s="92" t="n">
        <f aca="false">IF($C1437="","",IFERROR(IF(INDEX('REGISTRE TUBES'!$C$7:$C$2506,MATCH($C1437,'REGISTRE TUBES'!$B$7:$B$2506,0))="","",INDEX('REGISTRE TUBES'!$C$7:$C$2506,MATCH($C1437,'REGISTRE TUBES'!$B$7:$B$2506,0))),"?"))</f>
        <v>15421103</v>
      </c>
      <c r="E1437" s="92" t="str">
        <f aca="false">IF($C1437="","",IFERROR(IF(INDEX('REGISTRE TUBES'!$D$7:$D$2506,MATCH($C1437,'REGISTRE TUBES'!$B$7:$B$2506,0))="","",INDEX('REGISTRE TUBES'!$D$7:$D$2506,MATCH($C1437,'REGISTRE TUBES'!$B$7:$B$2506,0))),"?"))</f>
        <v/>
      </c>
      <c r="F1437" s="93" t="n">
        <f aca="false">IF($C1437="","",IFERROR(IF(INDEX('REGISTRE TUBES'!$F$7:$F$2506,MATCH($C1437,'REGISTRE TUBES'!$B$7:$B$2506,0))="","",INDEX('REGISTRE TUBES'!$F$7:$F$2506,MATCH($C1437,'REGISTRE TUBES'!$B$7:$B$2506,0))),"?"))</f>
        <v>11.94</v>
      </c>
      <c r="G1437" s="94" t="n">
        <f aca="false">IF($C1437="","",N(G1436)+N(F1437))</f>
        <v>11569.05</v>
      </c>
      <c r="H1437" s="95" t="s">
        <v>2414</v>
      </c>
      <c r="I1437" s="96"/>
      <c r="J1437" s="97"/>
    </row>
    <row r="1438" customFormat="false" ht="15" hidden="false" customHeight="false" outlineLevel="0" collapsed="false">
      <c r="B1438" s="98" t="n">
        <v>975</v>
      </c>
      <c r="C1438" s="99" t="s">
        <v>2417</v>
      </c>
      <c r="D1438" s="100" t="str">
        <f aca="false">IF($C1438="","",IFERROR(IF(INDEX('REGISTRE TUBES'!$C$7:$C$2506,MATCH($C1438,'REGISTRE TUBES'!$B$7:$B$2506,0))="","",INDEX('REGISTRE TUBES'!$C$7:$C$2506,MATCH($C1438,'REGISTRE TUBES'!$B$7:$B$2506,0))),"?"))</f>
        <v/>
      </c>
      <c r="E1438" s="100" t="str">
        <f aca="false">IF($C1438="","",IFERROR(IF(INDEX('REGISTRE TUBES'!$D$7:$D$2506,MATCH($C1438,'REGISTRE TUBES'!$B$7:$B$2506,0))="","",INDEX('REGISTRE TUBES'!$D$7:$D$2506,MATCH($C1438,'REGISTRE TUBES'!$B$7:$B$2506,0))),"?"))</f>
        <v/>
      </c>
      <c r="F1438" s="101" t="str">
        <f aca="false">IF($C1438="","",IFERROR(IF(INDEX('REGISTRE TUBES'!$F$7:$F$2506,MATCH($C1438,'REGISTRE TUBES'!$B$7:$B$2506,0))="","",INDEX('REGISTRE TUBES'!$F$7:$F$2506,MATCH($C1438,'REGISTRE TUBES'!$B$7:$B$2506,0))),"?"))</f>
        <v/>
      </c>
      <c r="G1438" s="102" t="n">
        <f aca="false">IF($C1438="","",N(G1437)+N(F1438))</f>
        <v>11569.05</v>
      </c>
      <c r="H1438" s="103" t="s">
        <v>2416</v>
      </c>
      <c r="I1438" s="104"/>
      <c r="J1438" s="105"/>
    </row>
    <row r="1439" customFormat="false" ht="15" hidden="false" customHeight="false" outlineLevel="0" collapsed="false">
      <c r="B1439" s="90" t="n">
        <v>976</v>
      </c>
      <c r="C1439" s="91" t="n">
        <v>2078830</v>
      </c>
      <c r="D1439" s="92" t="n">
        <f aca="false">IF($C1439="","",IFERROR(IF(INDEX('REGISTRE TUBES'!$C$7:$C$2506,MATCH($C1439,'REGISTRE TUBES'!$B$7:$B$2506,0))="","",INDEX('REGISTRE TUBES'!$C$7:$C$2506,MATCH($C1439,'REGISTRE TUBES'!$B$7:$B$2506,0))),"?"))</f>
        <v>15421101</v>
      </c>
      <c r="E1439" s="92" t="str">
        <f aca="false">IF($C1439="","",IFERROR(IF(INDEX('REGISTRE TUBES'!$D$7:$D$2506,MATCH($C1439,'REGISTRE TUBES'!$B$7:$B$2506,0))="","",INDEX('REGISTRE TUBES'!$D$7:$D$2506,MATCH($C1439,'REGISTRE TUBES'!$B$7:$B$2506,0))),"?"))</f>
        <v/>
      </c>
      <c r="F1439" s="93" t="n">
        <f aca="false">IF($C1439="","",IFERROR(IF(INDEX('REGISTRE TUBES'!$F$7:$F$2506,MATCH($C1439,'REGISTRE TUBES'!$B$7:$B$2506,0))="","",INDEX('REGISTRE TUBES'!$F$7:$F$2506,MATCH($C1439,'REGISTRE TUBES'!$B$7:$B$2506,0))),"?"))</f>
        <v>11.94</v>
      </c>
      <c r="G1439" s="94" t="n">
        <f aca="false">IF($C1439="","",N(G1438)+N(F1439))</f>
        <v>11580.99</v>
      </c>
      <c r="H1439" s="95" t="s">
        <v>2421</v>
      </c>
      <c r="I1439" s="96"/>
      <c r="J1439" s="97"/>
    </row>
    <row r="1440" customFormat="false" ht="15" hidden="false" customHeight="false" outlineLevel="0" collapsed="false">
      <c r="B1440" s="98" t="n">
        <v>977</v>
      </c>
      <c r="C1440" s="99" t="n">
        <v>2096900</v>
      </c>
      <c r="D1440" s="100" t="n">
        <f aca="false">IF($C1440="","",IFERROR(IF(INDEX('REGISTRE TUBES'!$C$7:$C$2506,MATCH($C1440,'REGISTRE TUBES'!$B$7:$B$2506,0))="","",INDEX('REGISTRE TUBES'!$C$7:$C$2506,MATCH($C1440,'REGISTRE TUBES'!$B$7:$B$2506,0))),"?"))</f>
        <v>15421111</v>
      </c>
      <c r="E1440" s="100" t="str">
        <f aca="false">IF($C1440="","",IFERROR(IF(INDEX('REGISTRE TUBES'!$D$7:$D$2506,MATCH($C1440,'REGISTRE TUBES'!$B$7:$B$2506,0))="","",INDEX('REGISTRE TUBES'!$D$7:$D$2506,MATCH($C1440,'REGISTRE TUBES'!$B$7:$B$2506,0))),"?"))</f>
        <v/>
      </c>
      <c r="F1440" s="101" t="n">
        <f aca="false">IF($C1440="","",IFERROR(IF(INDEX('REGISTRE TUBES'!$F$7:$F$2506,MATCH($C1440,'REGISTRE TUBES'!$B$7:$B$2506,0))="","",INDEX('REGISTRE TUBES'!$F$7:$F$2506,MATCH($C1440,'REGISTRE TUBES'!$B$7:$B$2506,0))),"?"))</f>
        <v>11.94</v>
      </c>
      <c r="G1440" s="102" t="n">
        <f aca="false">IF($C1440="","",N(G1439)+N(F1440))</f>
        <v>11592.93</v>
      </c>
      <c r="H1440" s="103" t="s">
        <v>2422</v>
      </c>
      <c r="I1440" s="104"/>
      <c r="J1440" s="105"/>
    </row>
    <row r="1441" customFormat="false" ht="15" hidden="false" customHeight="false" outlineLevel="0" collapsed="false">
      <c r="B1441" s="90" t="n">
        <v>978</v>
      </c>
      <c r="C1441" s="91" t="n">
        <v>2079100</v>
      </c>
      <c r="D1441" s="92" t="n">
        <f aca="false">IF($C1441="","",IFERROR(IF(INDEX('REGISTRE TUBES'!$C$7:$C$2506,MATCH($C1441,'REGISTRE TUBES'!$B$7:$B$2506,0))="","",INDEX('REGISTRE TUBES'!$C$7:$C$2506,MATCH($C1441,'REGISTRE TUBES'!$B$7:$B$2506,0))),"?"))</f>
        <v>15421102</v>
      </c>
      <c r="E1441" s="92" t="str">
        <f aca="false">IF($C1441="","",IFERROR(IF(INDEX('REGISTRE TUBES'!$D$7:$D$2506,MATCH($C1441,'REGISTRE TUBES'!$B$7:$B$2506,0))="","",INDEX('REGISTRE TUBES'!$D$7:$D$2506,MATCH($C1441,'REGISTRE TUBES'!$B$7:$B$2506,0))),"?"))</f>
        <v/>
      </c>
      <c r="F1441" s="93" t="n">
        <f aca="false">IF($C1441="","",IFERROR(IF(INDEX('REGISTRE TUBES'!$F$7:$F$2506,MATCH($C1441,'REGISTRE TUBES'!$B$7:$B$2506,0))="","",INDEX('REGISTRE TUBES'!$F$7:$F$2506,MATCH($C1441,'REGISTRE TUBES'!$B$7:$B$2506,0))),"?"))</f>
        <v>11.94</v>
      </c>
      <c r="G1441" s="94" t="n">
        <f aca="false">IF($C1441="","",N(G1440)+N(F1441))</f>
        <v>11604.87</v>
      </c>
      <c r="H1441" s="95" t="s">
        <v>2423</v>
      </c>
      <c r="I1441" s="96"/>
      <c r="J1441" s="97"/>
    </row>
    <row r="1442" customFormat="false" ht="15" hidden="false" customHeight="false" outlineLevel="0" collapsed="false">
      <c r="B1442" s="98" t="n">
        <v>979</v>
      </c>
      <c r="C1442" s="99" t="n">
        <v>2084420</v>
      </c>
      <c r="D1442" s="100" t="n">
        <f aca="false">IF($C1442="","",IFERROR(IF(INDEX('REGISTRE TUBES'!$C$7:$C$2506,MATCH($C1442,'REGISTRE TUBES'!$B$7:$B$2506,0))="","",INDEX('REGISTRE TUBES'!$C$7:$C$2506,MATCH($C1442,'REGISTRE TUBES'!$B$7:$B$2506,0))),"?"))</f>
        <v>15421106</v>
      </c>
      <c r="E1442" s="100" t="str">
        <f aca="false">IF($C1442="","",IFERROR(IF(INDEX('REGISTRE TUBES'!$D$7:$D$2506,MATCH($C1442,'REGISTRE TUBES'!$B$7:$B$2506,0))="","",INDEX('REGISTRE TUBES'!$D$7:$D$2506,MATCH($C1442,'REGISTRE TUBES'!$B$7:$B$2506,0))),"?"))</f>
        <v/>
      </c>
      <c r="F1442" s="101" t="n">
        <f aca="false">IF($C1442="","",IFERROR(IF(INDEX('REGISTRE TUBES'!$F$7:$F$2506,MATCH($C1442,'REGISTRE TUBES'!$B$7:$B$2506,0))="","",INDEX('REGISTRE TUBES'!$F$7:$F$2506,MATCH($C1442,'REGISTRE TUBES'!$B$7:$B$2506,0))),"?"))</f>
        <v>11.94</v>
      </c>
      <c r="G1442" s="102" t="n">
        <f aca="false">IF($C1442="","",N(G1441)+N(F1442))</f>
        <v>11616.81</v>
      </c>
      <c r="H1442" s="103" t="s">
        <v>2424</v>
      </c>
      <c r="I1442" s="104"/>
      <c r="J1442" s="105"/>
    </row>
    <row r="1443" customFormat="false" ht="15" hidden="false" customHeight="false" outlineLevel="0" collapsed="false">
      <c r="B1443" s="90" t="n">
        <v>980</v>
      </c>
      <c r="C1443" s="91" t="n">
        <v>2085360</v>
      </c>
      <c r="D1443" s="92" t="n">
        <f aca="false">IF($C1443="","",IFERROR(IF(INDEX('REGISTRE TUBES'!$C$7:$C$2506,MATCH($C1443,'REGISTRE TUBES'!$B$7:$B$2506,0))="","",INDEX('REGISTRE TUBES'!$C$7:$C$2506,MATCH($C1443,'REGISTRE TUBES'!$B$7:$B$2506,0))),"?"))</f>
        <v>15421106</v>
      </c>
      <c r="E1443" s="92" t="str">
        <f aca="false">IF($C1443="","",IFERROR(IF(INDEX('REGISTRE TUBES'!$D$7:$D$2506,MATCH($C1443,'REGISTRE TUBES'!$B$7:$B$2506,0))="","",INDEX('REGISTRE TUBES'!$D$7:$D$2506,MATCH($C1443,'REGISTRE TUBES'!$B$7:$B$2506,0))),"?"))</f>
        <v/>
      </c>
      <c r="F1443" s="93" t="n">
        <f aca="false">IF($C1443="","",IFERROR(IF(INDEX('REGISTRE TUBES'!$F$7:$F$2506,MATCH($C1443,'REGISTRE TUBES'!$B$7:$B$2506,0))="","",INDEX('REGISTRE TUBES'!$F$7:$F$2506,MATCH($C1443,'REGISTRE TUBES'!$B$7:$B$2506,0))),"?"))</f>
        <v>11.94</v>
      </c>
      <c r="G1443" s="94" t="n">
        <f aca="false">IF($C1443="","",N(G1442)+N(F1443))</f>
        <v>11628.75</v>
      </c>
      <c r="H1443" s="95" t="s">
        <v>2426</v>
      </c>
      <c r="I1443" s="96"/>
      <c r="J1443" s="97"/>
    </row>
    <row r="1444" customFormat="false" ht="15" hidden="false" customHeight="false" outlineLevel="0" collapsed="false">
      <c r="B1444" s="98" t="n">
        <v>981</v>
      </c>
      <c r="C1444" s="99" t="n">
        <v>2089180</v>
      </c>
      <c r="D1444" s="100" t="n">
        <f aca="false">IF($C1444="","",IFERROR(IF(INDEX('REGISTRE TUBES'!$C$7:$C$2506,MATCH($C1444,'REGISTRE TUBES'!$B$7:$B$2506,0))="","",INDEX('REGISTRE TUBES'!$C$7:$C$2506,MATCH($C1444,'REGISTRE TUBES'!$B$7:$B$2506,0))),"?"))</f>
        <v>15421108</v>
      </c>
      <c r="E1444" s="100" t="str">
        <f aca="false">IF($C1444="","",IFERROR(IF(INDEX('REGISTRE TUBES'!$D$7:$D$2506,MATCH($C1444,'REGISTRE TUBES'!$B$7:$B$2506,0))="","",INDEX('REGISTRE TUBES'!$D$7:$D$2506,MATCH($C1444,'REGISTRE TUBES'!$B$7:$B$2506,0))),"?"))</f>
        <v/>
      </c>
      <c r="F1444" s="101" t="n">
        <f aca="false">IF($C1444="","",IFERROR(IF(INDEX('REGISTRE TUBES'!$F$7:$F$2506,MATCH($C1444,'REGISTRE TUBES'!$B$7:$B$2506,0))="","",INDEX('REGISTRE TUBES'!$F$7:$F$2506,MATCH($C1444,'REGISTRE TUBES'!$B$7:$B$2506,0))),"?"))</f>
        <v>11.94</v>
      </c>
      <c r="G1444" s="102" t="n">
        <f aca="false">IF($C1444="","",N(G1443)+N(F1444))</f>
        <v>11640.69</v>
      </c>
      <c r="H1444" s="103" t="s">
        <v>2427</v>
      </c>
      <c r="I1444" s="104"/>
      <c r="J1444" s="105"/>
    </row>
    <row r="1445" customFormat="false" ht="15" hidden="false" customHeight="false" outlineLevel="0" collapsed="false">
      <c r="B1445" s="90" t="n">
        <v>982</v>
      </c>
      <c r="C1445" s="91" t="n">
        <v>295470</v>
      </c>
      <c r="D1445" s="92" t="n">
        <f aca="false">IF($C1445="","",IFERROR(IF(INDEX('REGISTRE TUBES'!$C$7:$C$2506,MATCH($C1445,'REGISTRE TUBES'!$B$7:$B$2506,0))="","",INDEX('REGISTRE TUBES'!$C$7:$C$2506,MATCH($C1445,'REGISTRE TUBES'!$B$7:$B$2506,0))),"?"))</f>
        <v>15421111</v>
      </c>
      <c r="E1445" s="92" t="str">
        <f aca="false">IF($C1445="","",IFERROR(IF(INDEX('REGISTRE TUBES'!$D$7:$D$2506,MATCH($C1445,'REGISTRE TUBES'!$B$7:$B$2506,0))="","",INDEX('REGISTRE TUBES'!$D$7:$D$2506,MATCH($C1445,'REGISTRE TUBES'!$B$7:$B$2506,0))),"?"))</f>
        <v/>
      </c>
      <c r="F1445" s="93" t="n">
        <f aca="false">IF($C1445="","",IFERROR(IF(INDEX('REGISTRE TUBES'!$F$7:$F$2506,MATCH($C1445,'REGISTRE TUBES'!$B$7:$B$2506,0))="","",INDEX('REGISTRE TUBES'!$F$7:$F$2506,MATCH($C1445,'REGISTRE TUBES'!$B$7:$B$2506,0))),"?"))</f>
        <v>11.94</v>
      </c>
      <c r="G1445" s="94" t="n">
        <f aca="false">IF($C1445="","",N(G1444)+N(F1445))</f>
        <v>11652.63</v>
      </c>
      <c r="H1445" s="95" t="s">
        <v>2428</v>
      </c>
      <c r="I1445" s="96"/>
      <c r="J1445" s="97"/>
    </row>
    <row r="1446" customFormat="false" ht="15" hidden="false" customHeight="false" outlineLevel="0" collapsed="false">
      <c r="B1446" s="98" t="n">
        <v>983</v>
      </c>
      <c r="C1446" s="99" t="n">
        <v>2093990</v>
      </c>
      <c r="D1446" s="100" t="n">
        <f aca="false">IF($C1446="","",IFERROR(IF(INDEX('REGISTRE TUBES'!$C$7:$C$2506,MATCH($C1446,'REGISTRE TUBES'!$B$7:$B$2506,0))="","",INDEX('REGISTRE TUBES'!$C$7:$C$2506,MATCH($C1446,'REGISTRE TUBES'!$B$7:$B$2506,0))),"?"))</f>
        <v>15421110</v>
      </c>
      <c r="E1446" s="100" t="str">
        <f aca="false">IF($C1446="","",IFERROR(IF(INDEX('REGISTRE TUBES'!$D$7:$D$2506,MATCH($C1446,'REGISTRE TUBES'!$B$7:$B$2506,0))="","",INDEX('REGISTRE TUBES'!$D$7:$D$2506,MATCH($C1446,'REGISTRE TUBES'!$B$7:$B$2506,0))),"?"))</f>
        <v/>
      </c>
      <c r="F1446" s="101" t="n">
        <f aca="false">IF($C1446="","",IFERROR(IF(INDEX('REGISTRE TUBES'!$F$7:$F$2506,MATCH($C1446,'REGISTRE TUBES'!$B$7:$B$2506,0))="","",INDEX('REGISTRE TUBES'!$F$7:$F$2506,MATCH($C1446,'REGISTRE TUBES'!$B$7:$B$2506,0))),"?"))</f>
        <v>11.94</v>
      </c>
      <c r="G1446" s="102" t="n">
        <f aca="false">IF($C1446="","",N(G1445)+N(F1446))</f>
        <v>11664.57</v>
      </c>
      <c r="H1446" s="103" t="s">
        <v>2429</v>
      </c>
      <c r="I1446" s="104"/>
      <c r="J1446" s="105"/>
    </row>
    <row r="1447" customFormat="false" ht="15" hidden="false" customHeight="false" outlineLevel="0" collapsed="false">
      <c r="B1447" s="90" t="n">
        <v>984</v>
      </c>
      <c r="C1447" s="91" t="n">
        <v>2081870</v>
      </c>
      <c r="D1447" s="92" t="n">
        <f aca="false">IF($C1447="","",IFERROR(IF(INDEX('REGISTRE TUBES'!$C$7:$C$2506,MATCH($C1447,'REGISTRE TUBES'!$B$7:$B$2506,0))="","",INDEX('REGISTRE TUBES'!$C$7:$C$2506,MATCH($C1447,'REGISTRE TUBES'!$B$7:$B$2506,0))),"?"))</f>
        <v>15421104</v>
      </c>
      <c r="E1447" s="92" t="str">
        <f aca="false">IF($C1447="","",IFERROR(IF(INDEX('REGISTRE TUBES'!$D$7:$D$2506,MATCH($C1447,'REGISTRE TUBES'!$B$7:$B$2506,0))="","",INDEX('REGISTRE TUBES'!$D$7:$D$2506,MATCH($C1447,'REGISTRE TUBES'!$B$7:$B$2506,0))),"?"))</f>
        <v/>
      </c>
      <c r="F1447" s="93" t="n">
        <f aca="false">IF($C1447="","",IFERROR(IF(INDEX('REGISTRE TUBES'!$F$7:$F$2506,MATCH($C1447,'REGISTRE TUBES'!$B$7:$B$2506,0))="","",INDEX('REGISTRE TUBES'!$F$7:$F$2506,MATCH($C1447,'REGISTRE TUBES'!$B$7:$B$2506,0))),"?"))</f>
        <v>11.94</v>
      </c>
      <c r="G1447" s="94" t="n">
        <f aca="false">IF($C1447="","",N(G1446)+N(F1447))</f>
        <v>11676.51</v>
      </c>
      <c r="H1447" s="95" t="s">
        <v>2430</v>
      </c>
      <c r="I1447" s="96"/>
      <c r="J1447" s="97"/>
    </row>
    <row r="1448" customFormat="false" ht="15" hidden="false" customHeight="false" outlineLevel="0" collapsed="false">
      <c r="B1448" s="98" t="n">
        <v>985</v>
      </c>
      <c r="C1448" s="99" t="n">
        <v>2089490</v>
      </c>
      <c r="D1448" s="100" t="n">
        <f aca="false">IF($C1448="","",IFERROR(IF(INDEX('REGISTRE TUBES'!$C$7:$C$2506,MATCH($C1448,'REGISTRE TUBES'!$B$7:$B$2506,0))="","",INDEX('REGISTRE TUBES'!$C$7:$C$2506,MATCH($C1448,'REGISTRE TUBES'!$B$7:$B$2506,0))),"?"))</f>
        <v>15421109</v>
      </c>
      <c r="E1448" s="100" t="str">
        <f aca="false">IF($C1448="","",IFERROR(IF(INDEX('REGISTRE TUBES'!$D$7:$D$2506,MATCH($C1448,'REGISTRE TUBES'!$B$7:$B$2506,0))="","",INDEX('REGISTRE TUBES'!$D$7:$D$2506,MATCH($C1448,'REGISTRE TUBES'!$B$7:$B$2506,0))),"?"))</f>
        <v/>
      </c>
      <c r="F1448" s="101" t="n">
        <f aca="false">IF($C1448="","",IFERROR(IF(INDEX('REGISTRE TUBES'!$F$7:$F$2506,MATCH($C1448,'REGISTRE TUBES'!$B$7:$B$2506,0))="","",INDEX('REGISTRE TUBES'!$F$7:$F$2506,MATCH($C1448,'REGISTRE TUBES'!$B$7:$B$2506,0))),"?"))</f>
        <v>11.94</v>
      </c>
      <c r="G1448" s="102" t="n">
        <f aca="false">IF($C1448="","",N(G1447)+N(F1448))</f>
        <v>11688.45</v>
      </c>
      <c r="H1448" s="103" t="s">
        <v>2431</v>
      </c>
      <c r="I1448" s="104"/>
      <c r="J1448" s="105"/>
    </row>
    <row r="1449" customFormat="false" ht="15" hidden="false" customHeight="false" outlineLevel="0" collapsed="false">
      <c r="B1449" s="90" t="n">
        <v>986</v>
      </c>
      <c r="C1449" s="91" t="n">
        <v>2092740</v>
      </c>
      <c r="D1449" s="92" t="n">
        <f aca="false">IF($C1449="","",IFERROR(IF(INDEX('REGISTRE TUBES'!$C$7:$C$2506,MATCH($C1449,'REGISTRE TUBES'!$B$7:$B$2506,0))="","",INDEX('REGISTRE TUBES'!$C$7:$C$2506,MATCH($C1449,'REGISTRE TUBES'!$B$7:$B$2506,0))),"?"))</f>
        <v>15421110</v>
      </c>
      <c r="E1449" s="92" t="str">
        <f aca="false">IF($C1449="","",IFERROR(IF(INDEX('REGISTRE TUBES'!$D$7:$D$2506,MATCH($C1449,'REGISTRE TUBES'!$B$7:$B$2506,0))="","",INDEX('REGISTRE TUBES'!$D$7:$D$2506,MATCH($C1449,'REGISTRE TUBES'!$B$7:$B$2506,0))),"?"))</f>
        <v/>
      </c>
      <c r="F1449" s="93" t="n">
        <f aca="false">IF($C1449="","",IFERROR(IF(INDEX('REGISTRE TUBES'!$F$7:$F$2506,MATCH($C1449,'REGISTRE TUBES'!$B$7:$B$2506,0))="","",INDEX('REGISTRE TUBES'!$F$7:$F$2506,MATCH($C1449,'REGISTRE TUBES'!$B$7:$B$2506,0))),"?"))</f>
        <v>11.94</v>
      </c>
      <c r="G1449" s="94" t="n">
        <f aca="false">IF($C1449="","",N(G1448)+N(F1449))</f>
        <v>11700.39</v>
      </c>
      <c r="H1449" s="95" t="s">
        <v>2433</v>
      </c>
      <c r="I1449" s="96"/>
      <c r="J1449" s="97"/>
    </row>
    <row r="1450" customFormat="false" ht="15" hidden="false" customHeight="false" outlineLevel="0" collapsed="false">
      <c r="B1450" s="98" t="n">
        <v>987</v>
      </c>
      <c r="C1450" s="99" t="n">
        <v>2081390</v>
      </c>
      <c r="D1450" s="100" t="n">
        <f aca="false">IF($C1450="","",IFERROR(IF(INDEX('REGISTRE TUBES'!$C$7:$C$2506,MATCH($C1450,'REGISTRE TUBES'!$B$7:$B$2506,0))="","",INDEX('REGISTRE TUBES'!$C$7:$C$2506,MATCH($C1450,'REGISTRE TUBES'!$B$7:$B$2506,0))),"?"))</f>
        <v>15421103</v>
      </c>
      <c r="E1450" s="100" t="str">
        <f aca="false">IF($C1450="","",IFERROR(IF(INDEX('REGISTRE TUBES'!$D$7:$D$2506,MATCH($C1450,'REGISTRE TUBES'!$B$7:$B$2506,0))="","",INDEX('REGISTRE TUBES'!$D$7:$D$2506,MATCH($C1450,'REGISTRE TUBES'!$B$7:$B$2506,0))),"?"))</f>
        <v/>
      </c>
      <c r="F1450" s="101" t="n">
        <f aca="false">IF($C1450="","",IFERROR(IF(INDEX('REGISTRE TUBES'!$F$7:$F$2506,MATCH($C1450,'REGISTRE TUBES'!$B$7:$B$2506,0))="","",INDEX('REGISTRE TUBES'!$F$7:$F$2506,MATCH($C1450,'REGISTRE TUBES'!$B$7:$B$2506,0))),"?"))</f>
        <v>11.94</v>
      </c>
      <c r="G1450" s="102" t="n">
        <f aca="false">IF($C1450="","",N(G1449)+N(F1450))</f>
        <v>11712.33</v>
      </c>
      <c r="H1450" s="103" t="s">
        <v>2434</v>
      </c>
      <c r="I1450" s="104"/>
      <c r="J1450" s="105"/>
    </row>
    <row r="1451" customFormat="false" ht="15" hidden="false" customHeight="false" outlineLevel="0" collapsed="false">
      <c r="B1451" s="90" t="n">
        <v>988</v>
      </c>
      <c r="C1451" s="91" t="n">
        <v>2089940</v>
      </c>
      <c r="D1451" s="92" t="n">
        <f aca="false">IF($C1451="","",IFERROR(IF(INDEX('REGISTRE TUBES'!$C$7:$C$2506,MATCH($C1451,'REGISTRE TUBES'!$B$7:$B$2506,0))="","",INDEX('REGISTRE TUBES'!$C$7:$C$2506,MATCH($C1451,'REGISTRE TUBES'!$B$7:$B$2506,0))),"?"))</f>
        <v>15421109</v>
      </c>
      <c r="E1451" s="92" t="str">
        <f aca="false">IF($C1451="","",IFERROR(IF(INDEX('REGISTRE TUBES'!$D$7:$D$2506,MATCH($C1451,'REGISTRE TUBES'!$B$7:$B$2506,0))="","",INDEX('REGISTRE TUBES'!$D$7:$D$2506,MATCH($C1451,'REGISTRE TUBES'!$B$7:$B$2506,0))),"?"))</f>
        <v/>
      </c>
      <c r="F1451" s="93" t="n">
        <f aca="false">IF($C1451="","",IFERROR(IF(INDEX('REGISTRE TUBES'!$F$7:$F$2506,MATCH($C1451,'REGISTRE TUBES'!$B$7:$B$2506,0))="","",INDEX('REGISTRE TUBES'!$F$7:$F$2506,MATCH($C1451,'REGISTRE TUBES'!$B$7:$B$2506,0))),"?"))</f>
        <v>11.94</v>
      </c>
      <c r="G1451" s="94" t="n">
        <f aca="false">IF($C1451="","",N(G1450)+N(F1451))</f>
        <v>11724.27</v>
      </c>
      <c r="H1451" s="95" t="s">
        <v>2435</v>
      </c>
      <c r="I1451" s="96"/>
      <c r="J1451" s="97"/>
    </row>
    <row r="1452" customFormat="false" ht="15" hidden="false" customHeight="true" outlineLevel="0" collapsed="false">
      <c r="B1452" s="106" t="s">
        <v>3031</v>
      </c>
      <c r="C1452" s="106"/>
      <c r="D1452" s="106"/>
      <c r="E1452" s="106"/>
      <c r="F1452" s="107" t="n">
        <f aca="false">SUM(F1433:F1451)</f>
        <v>214.92</v>
      </c>
      <c r="G1452" s="108" t="n">
        <f aca="false">IF(COUNT(G1433:G1451)=0,"",MAX(G1433:G1451))</f>
        <v>11724.27</v>
      </c>
      <c r="H1452" s="106" t="str">
        <f aca="false">COUNTA(C1433:C1451)&amp;" tube(s)"</f>
        <v>19 tube(s)</v>
      </c>
      <c r="I1452" s="106"/>
      <c r="J1452" s="106"/>
    </row>
    <row r="1454" customFormat="false" ht="15" hidden="false" customHeight="false" outlineLevel="0" collapsed="false">
      <c r="B1454" s="109" t="s">
        <v>3032</v>
      </c>
      <c r="F1454" s="109" t="s">
        <v>3033</v>
      </c>
      <c r="I1454" s="109" t="s">
        <v>3034</v>
      </c>
    </row>
    <row r="1457" customFormat="false" ht="25.5" hidden="false" customHeight="true" outlineLevel="0" collapsed="false">
      <c r="B1457" s="85" t="s">
        <v>3015</v>
      </c>
      <c r="C1457" s="85"/>
      <c r="D1457" s="85"/>
      <c r="E1457" s="85"/>
      <c r="F1457" s="85"/>
      <c r="G1457" s="85"/>
      <c r="H1457" s="85"/>
      <c r="I1457" s="85"/>
      <c r="J1457" s="85"/>
    </row>
    <row r="1458" customFormat="false" ht="15" hidden="false" customHeight="false" outlineLevel="0" collapsed="false">
      <c r="B1458" s="86" t="str">
        <f aca="false">PARAMÈTRES!$C$4&amp;"   •   Affaire N° "&amp;PARAMÈTRES!$C$5</f>
        <v>Développement des champs gaziers TFT II — réseau de collecte TFT Sud (LIGNE-16)   •   Affaire N° 8546</v>
      </c>
      <c r="C1458" s="86"/>
      <c r="D1458" s="86"/>
      <c r="E1458" s="86"/>
      <c r="F1458" s="86"/>
      <c r="G1458" s="86"/>
      <c r="H1458" s="86"/>
      <c r="I1458" s="86"/>
      <c r="J1458" s="86"/>
    </row>
    <row r="1459" customFormat="false" ht="19.5" hidden="false" customHeight="true" outlineLevel="0" collapsed="false">
      <c r="B1459" s="87" t="s">
        <v>3016</v>
      </c>
      <c r="C1459" s="88" t="s">
        <v>110</v>
      </c>
      <c r="D1459" s="88"/>
      <c r="E1459" s="87" t="s">
        <v>3017</v>
      </c>
      <c r="F1459" s="88" t="s">
        <v>3137</v>
      </c>
      <c r="G1459" s="87" t="s">
        <v>3019</v>
      </c>
      <c r="H1459" s="88" t="s">
        <v>3138</v>
      </c>
      <c r="I1459" s="87" t="s">
        <v>3021</v>
      </c>
      <c r="J1459" s="89"/>
    </row>
    <row r="1460" customFormat="false" ht="27.75" hidden="false" customHeight="true" outlineLevel="0" collapsed="false">
      <c r="B1460" s="71" t="s">
        <v>3022</v>
      </c>
      <c r="C1460" s="71" t="s">
        <v>3023</v>
      </c>
      <c r="D1460" s="71" t="s">
        <v>3024</v>
      </c>
      <c r="E1460" s="71" t="s">
        <v>3025</v>
      </c>
      <c r="F1460" s="71" t="s">
        <v>3026</v>
      </c>
      <c r="G1460" s="71" t="s">
        <v>3027</v>
      </c>
      <c r="H1460" s="71" t="s">
        <v>3028</v>
      </c>
      <c r="I1460" s="71" t="s">
        <v>3029</v>
      </c>
      <c r="J1460" s="71" t="s">
        <v>3030</v>
      </c>
    </row>
    <row r="1461" customFormat="false" ht="15" hidden="false" customHeight="false" outlineLevel="0" collapsed="false">
      <c r="B1461" s="90" t="n">
        <v>989</v>
      </c>
      <c r="C1461" s="91" t="n">
        <v>2097190</v>
      </c>
      <c r="D1461" s="92" t="n">
        <f aca="false">IF($C1461="","",IFERROR(IF(INDEX('REGISTRE TUBES'!$C$7:$C$2506,MATCH($C1461,'REGISTRE TUBES'!$B$7:$B$2506,0))="","",INDEX('REGISTRE TUBES'!$C$7:$C$2506,MATCH($C1461,'REGISTRE TUBES'!$B$7:$B$2506,0))),"?"))</f>
        <v>15421112</v>
      </c>
      <c r="E1461" s="92" t="str">
        <f aca="false">IF($C1461="","",IFERROR(IF(INDEX('REGISTRE TUBES'!$D$7:$D$2506,MATCH($C1461,'REGISTRE TUBES'!$B$7:$B$2506,0))="","",INDEX('REGISTRE TUBES'!$D$7:$D$2506,MATCH($C1461,'REGISTRE TUBES'!$B$7:$B$2506,0))),"?"))</f>
        <v/>
      </c>
      <c r="F1461" s="93" t="n">
        <f aca="false">IF($C1461="","",IFERROR(IF(INDEX('REGISTRE TUBES'!$F$7:$F$2506,MATCH($C1461,'REGISTRE TUBES'!$B$7:$B$2506,0))="","",INDEX('REGISTRE TUBES'!$F$7:$F$2506,MATCH($C1461,'REGISTRE TUBES'!$B$7:$B$2506,0))),"?"))</f>
        <v>11.94</v>
      </c>
      <c r="G1461" s="94" t="n">
        <f aca="false">IF($C1461="","",N(G1451)+N(F1461))</f>
        <v>11736.21</v>
      </c>
      <c r="H1461" s="95" t="s">
        <v>2436</v>
      </c>
      <c r="I1461" s="96"/>
      <c r="J1461" s="97"/>
    </row>
    <row r="1462" customFormat="false" ht="15" hidden="false" customHeight="false" outlineLevel="0" collapsed="false">
      <c r="B1462" s="98" t="n">
        <v>990</v>
      </c>
      <c r="C1462" s="99" t="n">
        <v>2092000</v>
      </c>
      <c r="D1462" s="100" t="n">
        <f aca="false">IF($C1462="","",IFERROR(IF(INDEX('REGISTRE TUBES'!$C$7:$C$2506,MATCH($C1462,'REGISTRE TUBES'!$B$7:$B$2506,0))="","",INDEX('REGISTRE TUBES'!$C$7:$C$2506,MATCH($C1462,'REGISTRE TUBES'!$B$7:$B$2506,0))),"?"))</f>
        <v>15421109</v>
      </c>
      <c r="E1462" s="100" t="str">
        <f aca="false">IF($C1462="","",IFERROR(IF(INDEX('REGISTRE TUBES'!$D$7:$D$2506,MATCH($C1462,'REGISTRE TUBES'!$B$7:$B$2506,0))="","",INDEX('REGISTRE TUBES'!$D$7:$D$2506,MATCH($C1462,'REGISTRE TUBES'!$B$7:$B$2506,0))),"?"))</f>
        <v/>
      </c>
      <c r="F1462" s="101" t="n">
        <f aca="false">IF($C1462="","",IFERROR(IF(INDEX('REGISTRE TUBES'!$F$7:$F$2506,MATCH($C1462,'REGISTRE TUBES'!$B$7:$B$2506,0))="","",INDEX('REGISTRE TUBES'!$F$7:$F$2506,MATCH($C1462,'REGISTRE TUBES'!$B$7:$B$2506,0))),"?"))</f>
        <v>11.94</v>
      </c>
      <c r="G1462" s="102" t="n">
        <f aca="false">IF($C1462="","",N(G1461)+N(F1462))</f>
        <v>11748.15</v>
      </c>
      <c r="H1462" s="103" t="s">
        <v>2437</v>
      </c>
      <c r="I1462" s="104"/>
      <c r="J1462" s="105"/>
    </row>
    <row r="1463" customFormat="false" ht="15" hidden="false" customHeight="false" outlineLevel="0" collapsed="false">
      <c r="B1463" s="90" t="n">
        <v>991</v>
      </c>
      <c r="C1463" s="91" t="n">
        <v>2088490</v>
      </c>
      <c r="D1463" s="92" t="n">
        <f aca="false">IF($C1463="","",IFERROR(IF(INDEX('REGISTRE TUBES'!$C$7:$C$2506,MATCH($C1463,'REGISTRE TUBES'!$B$7:$B$2506,0))="","",INDEX('REGISTRE TUBES'!$C$7:$C$2506,MATCH($C1463,'REGISTRE TUBES'!$B$7:$B$2506,0))),"?"))</f>
        <v>15421108</v>
      </c>
      <c r="E1463" s="92" t="str">
        <f aca="false">IF($C1463="","",IFERROR(IF(INDEX('REGISTRE TUBES'!$D$7:$D$2506,MATCH($C1463,'REGISTRE TUBES'!$B$7:$B$2506,0))="","",INDEX('REGISTRE TUBES'!$D$7:$D$2506,MATCH($C1463,'REGISTRE TUBES'!$B$7:$B$2506,0))),"?"))</f>
        <v/>
      </c>
      <c r="F1463" s="93" t="n">
        <f aca="false">IF($C1463="","",IFERROR(IF(INDEX('REGISTRE TUBES'!$F$7:$F$2506,MATCH($C1463,'REGISTRE TUBES'!$B$7:$B$2506,0))="","",INDEX('REGISTRE TUBES'!$F$7:$F$2506,MATCH($C1463,'REGISTRE TUBES'!$B$7:$B$2506,0))),"?"))</f>
        <v>11.94</v>
      </c>
      <c r="G1463" s="94" t="n">
        <f aca="false">IF($C1463="","",N(G1462)+N(F1463))</f>
        <v>11760.09</v>
      </c>
      <c r="H1463" s="95" t="s">
        <v>2438</v>
      </c>
      <c r="I1463" s="96"/>
      <c r="J1463" s="97"/>
    </row>
    <row r="1464" customFormat="false" ht="15" hidden="false" customHeight="false" outlineLevel="0" collapsed="false">
      <c r="B1464" s="98" t="n">
        <v>992</v>
      </c>
      <c r="C1464" s="99" t="n">
        <v>2089210</v>
      </c>
      <c r="D1464" s="100" t="n">
        <f aca="false">IF($C1464="","",IFERROR(IF(INDEX('REGISTRE TUBES'!$C$7:$C$2506,MATCH($C1464,'REGISTRE TUBES'!$B$7:$B$2506,0))="","",INDEX('REGISTRE TUBES'!$C$7:$C$2506,MATCH($C1464,'REGISTRE TUBES'!$B$7:$B$2506,0))),"?"))</f>
        <v>15421108</v>
      </c>
      <c r="E1464" s="100" t="str">
        <f aca="false">IF($C1464="","",IFERROR(IF(INDEX('REGISTRE TUBES'!$D$7:$D$2506,MATCH($C1464,'REGISTRE TUBES'!$B$7:$B$2506,0))="","",INDEX('REGISTRE TUBES'!$D$7:$D$2506,MATCH($C1464,'REGISTRE TUBES'!$B$7:$B$2506,0))),"?"))</f>
        <v/>
      </c>
      <c r="F1464" s="101" t="n">
        <f aca="false">IF($C1464="","",IFERROR(IF(INDEX('REGISTRE TUBES'!$F$7:$F$2506,MATCH($C1464,'REGISTRE TUBES'!$B$7:$B$2506,0))="","",INDEX('REGISTRE TUBES'!$F$7:$F$2506,MATCH($C1464,'REGISTRE TUBES'!$B$7:$B$2506,0))),"?"))</f>
        <v>11.94</v>
      </c>
      <c r="G1464" s="102" t="n">
        <f aca="false">IF($C1464="","",N(G1463)+N(F1464))</f>
        <v>11772.03</v>
      </c>
      <c r="H1464" s="103" t="s">
        <v>2439</v>
      </c>
      <c r="I1464" s="104"/>
      <c r="J1464" s="105"/>
    </row>
    <row r="1465" customFormat="false" ht="15" hidden="false" customHeight="false" outlineLevel="0" collapsed="false">
      <c r="B1465" s="90" t="n">
        <v>993</v>
      </c>
      <c r="C1465" s="91" t="n">
        <v>2096860</v>
      </c>
      <c r="D1465" s="92" t="n">
        <f aca="false">IF($C1465="","",IFERROR(IF(INDEX('REGISTRE TUBES'!$C$7:$C$2506,MATCH($C1465,'REGISTRE TUBES'!$B$7:$B$2506,0))="","",INDEX('REGISTRE TUBES'!$C$7:$C$2506,MATCH($C1465,'REGISTRE TUBES'!$B$7:$B$2506,0))),"?"))</f>
        <v>15421110</v>
      </c>
      <c r="E1465" s="92" t="str">
        <f aca="false">IF($C1465="","",IFERROR(IF(INDEX('REGISTRE TUBES'!$D$7:$D$2506,MATCH($C1465,'REGISTRE TUBES'!$B$7:$B$2506,0))="","",INDEX('REGISTRE TUBES'!$D$7:$D$2506,MATCH($C1465,'REGISTRE TUBES'!$B$7:$B$2506,0))),"?"))</f>
        <v/>
      </c>
      <c r="F1465" s="93" t="n">
        <f aca="false">IF($C1465="","",IFERROR(IF(INDEX('REGISTRE TUBES'!$F$7:$F$2506,MATCH($C1465,'REGISTRE TUBES'!$B$7:$B$2506,0))="","",INDEX('REGISTRE TUBES'!$F$7:$F$2506,MATCH($C1465,'REGISTRE TUBES'!$B$7:$B$2506,0))),"?"))</f>
        <v>11.94</v>
      </c>
      <c r="G1465" s="94" t="n">
        <f aca="false">IF($C1465="","",N(G1464)+N(F1465))</f>
        <v>11783.97</v>
      </c>
      <c r="H1465" s="95" t="s">
        <v>2440</v>
      </c>
      <c r="I1465" s="96"/>
      <c r="J1465" s="97"/>
    </row>
    <row r="1466" customFormat="false" ht="15" hidden="false" customHeight="false" outlineLevel="0" collapsed="false">
      <c r="B1466" s="98" t="n">
        <v>994</v>
      </c>
      <c r="C1466" s="99" t="n">
        <v>2078510</v>
      </c>
      <c r="D1466" s="100" t="n">
        <f aca="false">IF($C1466="","",IFERROR(IF(INDEX('REGISTRE TUBES'!$C$7:$C$2506,MATCH($C1466,'REGISTRE TUBES'!$B$7:$B$2506,0))="","",INDEX('REGISTRE TUBES'!$C$7:$C$2506,MATCH($C1466,'REGISTRE TUBES'!$B$7:$B$2506,0))),"?"))</f>
        <v>15421101</v>
      </c>
      <c r="E1466" s="100" t="str">
        <f aca="false">IF($C1466="","",IFERROR(IF(INDEX('REGISTRE TUBES'!$D$7:$D$2506,MATCH($C1466,'REGISTRE TUBES'!$B$7:$B$2506,0))="","",INDEX('REGISTRE TUBES'!$D$7:$D$2506,MATCH($C1466,'REGISTRE TUBES'!$B$7:$B$2506,0))),"?"))</f>
        <v/>
      </c>
      <c r="F1466" s="101" t="n">
        <f aca="false">IF($C1466="","",IFERROR(IF(INDEX('REGISTRE TUBES'!$F$7:$F$2506,MATCH($C1466,'REGISTRE TUBES'!$B$7:$B$2506,0))="","",INDEX('REGISTRE TUBES'!$F$7:$F$2506,MATCH($C1466,'REGISTRE TUBES'!$B$7:$B$2506,0))),"?"))</f>
        <v>11.94</v>
      </c>
      <c r="G1466" s="102" t="n">
        <f aca="false">IF($C1466="","",N(G1465)+N(F1466))</f>
        <v>11795.91</v>
      </c>
      <c r="H1466" s="103" t="s">
        <v>2441</v>
      </c>
      <c r="I1466" s="104"/>
      <c r="J1466" s="105"/>
    </row>
    <row r="1467" customFormat="false" ht="15" hidden="false" customHeight="false" outlineLevel="0" collapsed="false">
      <c r="B1467" s="90" t="n">
        <v>995</v>
      </c>
      <c r="C1467" s="91" t="n">
        <v>2085450</v>
      </c>
      <c r="D1467" s="92" t="n">
        <f aca="false">IF($C1467="","",IFERROR(IF(INDEX('REGISTRE TUBES'!$C$7:$C$2506,MATCH($C1467,'REGISTRE TUBES'!$B$7:$B$2506,0))="","",INDEX('REGISTRE TUBES'!$C$7:$C$2506,MATCH($C1467,'REGISTRE TUBES'!$B$7:$B$2506,0))),"?"))</f>
        <v>15421107</v>
      </c>
      <c r="E1467" s="92" t="str">
        <f aca="false">IF($C1467="","",IFERROR(IF(INDEX('REGISTRE TUBES'!$D$7:$D$2506,MATCH($C1467,'REGISTRE TUBES'!$B$7:$B$2506,0))="","",INDEX('REGISTRE TUBES'!$D$7:$D$2506,MATCH($C1467,'REGISTRE TUBES'!$B$7:$B$2506,0))),"?"))</f>
        <v/>
      </c>
      <c r="F1467" s="93" t="n">
        <f aca="false">IF($C1467="","",IFERROR(IF(INDEX('REGISTRE TUBES'!$F$7:$F$2506,MATCH($C1467,'REGISTRE TUBES'!$B$7:$B$2506,0))="","",INDEX('REGISTRE TUBES'!$F$7:$F$2506,MATCH($C1467,'REGISTRE TUBES'!$B$7:$B$2506,0))),"?"))</f>
        <v>11.94</v>
      </c>
      <c r="G1467" s="94" t="n">
        <f aca="false">IF($C1467="","",N(G1466)+N(F1467))</f>
        <v>11807.85</v>
      </c>
      <c r="H1467" s="95" t="s">
        <v>2442</v>
      </c>
      <c r="I1467" s="96"/>
      <c r="J1467" s="97"/>
    </row>
    <row r="1468" customFormat="false" ht="15" hidden="false" customHeight="false" outlineLevel="0" collapsed="false">
      <c r="B1468" s="98" t="n">
        <v>996</v>
      </c>
      <c r="C1468" s="99" t="n">
        <v>2096600</v>
      </c>
      <c r="D1468" s="100" t="n">
        <f aca="false">IF($C1468="","",IFERROR(IF(INDEX('REGISTRE TUBES'!$C$7:$C$2506,MATCH($C1468,'REGISTRE TUBES'!$B$7:$B$2506,0))="","",INDEX('REGISTRE TUBES'!$C$7:$C$2506,MATCH($C1468,'REGISTRE TUBES'!$B$7:$B$2506,0))),"?"))</f>
        <v>15421111</v>
      </c>
      <c r="E1468" s="100" t="str">
        <f aca="false">IF($C1468="","",IFERROR(IF(INDEX('REGISTRE TUBES'!$D$7:$D$2506,MATCH($C1468,'REGISTRE TUBES'!$B$7:$B$2506,0))="","",INDEX('REGISTRE TUBES'!$D$7:$D$2506,MATCH($C1468,'REGISTRE TUBES'!$B$7:$B$2506,0))),"?"))</f>
        <v/>
      </c>
      <c r="F1468" s="101" t="n">
        <f aca="false">IF($C1468="","",IFERROR(IF(INDEX('REGISTRE TUBES'!$F$7:$F$2506,MATCH($C1468,'REGISTRE TUBES'!$B$7:$B$2506,0))="","",INDEX('REGISTRE TUBES'!$F$7:$F$2506,MATCH($C1468,'REGISTRE TUBES'!$B$7:$B$2506,0))),"?"))</f>
        <v>11.94</v>
      </c>
      <c r="G1468" s="102" t="n">
        <f aca="false">IF($C1468="","",N(G1467)+N(F1468))</f>
        <v>11819.79</v>
      </c>
      <c r="H1468" s="103" t="s">
        <v>2443</v>
      </c>
      <c r="I1468" s="104"/>
      <c r="J1468" s="105"/>
    </row>
    <row r="1469" customFormat="false" ht="15" hidden="false" customHeight="false" outlineLevel="0" collapsed="false">
      <c r="B1469" s="90" t="n">
        <v>997</v>
      </c>
      <c r="C1469" s="91" t="n">
        <v>2080440</v>
      </c>
      <c r="D1469" s="92" t="n">
        <f aca="false">IF($C1469="","",IFERROR(IF(INDEX('REGISTRE TUBES'!$C$7:$C$2506,MATCH($C1469,'REGISTRE TUBES'!$B$7:$B$2506,0))="","",INDEX('REGISTRE TUBES'!$C$7:$C$2506,MATCH($C1469,'REGISTRE TUBES'!$B$7:$B$2506,0))),"?"))</f>
        <v>15421102</v>
      </c>
      <c r="E1469" s="92" t="str">
        <f aca="false">IF($C1469="","",IFERROR(IF(INDEX('REGISTRE TUBES'!$D$7:$D$2506,MATCH($C1469,'REGISTRE TUBES'!$B$7:$B$2506,0))="","",INDEX('REGISTRE TUBES'!$D$7:$D$2506,MATCH($C1469,'REGISTRE TUBES'!$B$7:$B$2506,0))),"?"))</f>
        <v/>
      </c>
      <c r="F1469" s="93" t="n">
        <f aca="false">IF($C1469="","",IFERROR(IF(INDEX('REGISTRE TUBES'!$F$7:$F$2506,MATCH($C1469,'REGISTRE TUBES'!$B$7:$B$2506,0))="","",INDEX('REGISTRE TUBES'!$F$7:$F$2506,MATCH($C1469,'REGISTRE TUBES'!$B$7:$B$2506,0))),"?"))</f>
        <v>11.94</v>
      </c>
      <c r="G1469" s="94" t="n">
        <f aca="false">IF($C1469="","",N(G1468)+N(F1469))</f>
        <v>11831.73</v>
      </c>
      <c r="H1469" s="95" t="s">
        <v>2444</v>
      </c>
      <c r="I1469" s="96"/>
      <c r="J1469" s="97"/>
    </row>
    <row r="1470" customFormat="false" ht="15" hidden="false" customHeight="false" outlineLevel="0" collapsed="false">
      <c r="B1470" s="98" t="n">
        <v>998</v>
      </c>
      <c r="C1470" s="99" t="n">
        <v>2079600</v>
      </c>
      <c r="D1470" s="100" t="n">
        <f aca="false">IF($C1470="","",IFERROR(IF(INDEX('REGISTRE TUBES'!$C$7:$C$2506,MATCH($C1470,'REGISTRE TUBES'!$B$7:$B$2506,0))="","",INDEX('REGISTRE TUBES'!$C$7:$C$2506,MATCH($C1470,'REGISTRE TUBES'!$B$7:$B$2506,0))),"?"))</f>
        <v>15421102</v>
      </c>
      <c r="E1470" s="100" t="str">
        <f aca="false">IF($C1470="","",IFERROR(IF(INDEX('REGISTRE TUBES'!$D$7:$D$2506,MATCH($C1470,'REGISTRE TUBES'!$B$7:$B$2506,0))="","",INDEX('REGISTRE TUBES'!$D$7:$D$2506,MATCH($C1470,'REGISTRE TUBES'!$B$7:$B$2506,0))),"?"))</f>
        <v/>
      </c>
      <c r="F1470" s="101" t="n">
        <f aca="false">IF($C1470="","",IFERROR(IF(INDEX('REGISTRE TUBES'!$F$7:$F$2506,MATCH($C1470,'REGISTRE TUBES'!$B$7:$B$2506,0))="","",INDEX('REGISTRE TUBES'!$F$7:$F$2506,MATCH($C1470,'REGISTRE TUBES'!$B$7:$B$2506,0))),"?"))</f>
        <v>11.94</v>
      </c>
      <c r="G1470" s="102" t="n">
        <f aca="false">IF($C1470="","",N(G1469)+N(F1470))</f>
        <v>11843.67</v>
      </c>
      <c r="H1470" s="103" t="s">
        <v>2445</v>
      </c>
      <c r="I1470" s="104"/>
      <c r="J1470" s="105"/>
    </row>
    <row r="1471" customFormat="false" ht="15" hidden="false" customHeight="false" outlineLevel="0" collapsed="false">
      <c r="B1471" s="90" t="n">
        <v>999</v>
      </c>
      <c r="C1471" s="91" t="n">
        <v>2088240</v>
      </c>
      <c r="D1471" s="92" t="n">
        <f aca="false">IF($C1471="","",IFERROR(IF(INDEX('REGISTRE TUBES'!$C$7:$C$2506,MATCH($C1471,'REGISTRE TUBES'!$B$7:$B$2506,0))="","",INDEX('REGISTRE TUBES'!$C$7:$C$2506,MATCH($C1471,'REGISTRE TUBES'!$B$7:$B$2506,0))),"?"))</f>
        <v>15421108</v>
      </c>
      <c r="E1471" s="92" t="str">
        <f aca="false">IF($C1471="","",IFERROR(IF(INDEX('REGISTRE TUBES'!$D$7:$D$2506,MATCH($C1471,'REGISTRE TUBES'!$B$7:$B$2506,0))="","",INDEX('REGISTRE TUBES'!$D$7:$D$2506,MATCH($C1471,'REGISTRE TUBES'!$B$7:$B$2506,0))),"?"))</f>
        <v/>
      </c>
      <c r="F1471" s="93" t="n">
        <f aca="false">IF($C1471="","",IFERROR(IF(INDEX('REGISTRE TUBES'!$F$7:$F$2506,MATCH($C1471,'REGISTRE TUBES'!$B$7:$B$2506,0))="","",INDEX('REGISTRE TUBES'!$F$7:$F$2506,MATCH($C1471,'REGISTRE TUBES'!$B$7:$B$2506,0))),"?"))</f>
        <v>11.94</v>
      </c>
      <c r="G1471" s="94" t="n">
        <f aca="false">IF($C1471="","",N(G1470)+N(F1471))</f>
        <v>11855.61</v>
      </c>
      <c r="H1471" s="95" t="s">
        <v>2446</v>
      </c>
      <c r="I1471" s="96"/>
      <c r="J1471" s="97"/>
    </row>
    <row r="1472" customFormat="false" ht="15" hidden="false" customHeight="false" outlineLevel="0" collapsed="false">
      <c r="B1472" s="98" t="n">
        <v>1000</v>
      </c>
      <c r="C1472" s="99" t="n">
        <v>2092590</v>
      </c>
      <c r="D1472" s="100" t="n">
        <f aca="false">IF($C1472="","",IFERROR(IF(INDEX('REGISTRE TUBES'!$C$7:$C$2506,MATCH($C1472,'REGISTRE TUBES'!$B$7:$B$2506,0))="","",INDEX('REGISTRE TUBES'!$C$7:$C$2506,MATCH($C1472,'REGISTRE TUBES'!$B$7:$B$2506,0))),"?"))</f>
        <v>15421110</v>
      </c>
      <c r="E1472" s="100" t="str">
        <f aca="false">IF($C1472="","",IFERROR(IF(INDEX('REGISTRE TUBES'!$D$7:$D$2506,MATCH($C1472,'REGISTRE TUBES'!$B$7:$B$2506,0))="","",INDEX('REGISTRE TUBES'!$D$7:$D$2506,MATCH($C1472,'REGISTRE TUBES'!$B$7:$B$2506,0))),"?"))</f>
        <v/>
      </c>
      <c r="F1472" s="101" t="n">
        <f aca="false">IF($C1472="","",IFERROR(IF(INDEX('REGISTRE TUBES'!$F$7:$F$2506,MATCH($C1472,'REGISTRE TUBES'!$B$7:$B$2506,0))="","",INDEX('REGISTRE TUBES'!$F$7:$F$2506,MATCH($C1472,'REGISTRE TUBES'!$B$7:$B$2506,0))),"?"))</f>
        <v>11.94</v>
      </c>
      <c r="G1472" s="102" t="n">
        <f aca="false">IF($C1472="","",N(G1471)+N(F1472))</f>
        <v>11867.55</v>
      </c>
      <c r="H1472" s="103" t="s">
        <v>2447</v>
      </c>
      <c r="I1472" s="104"/>
      <c r="J1472" s="105"/>
    </row>
    <row r="1473" customFormat="false" ht="15" hidden="false" customHeight="false" outlineLevel="0" collapsed="false">
      <c r="B1473" s="90" t="n">
        <v>1001</v>
      </c>
      <c r="C1473" s="91" t="n">
        <v>2092990</v>
      </c>
      <c r="D1473" s="92" t="n">
        <f aca="false">IF($C1473="","",IFERROR(IF(INDEX('REGISTRE TUBES'!$C$7:$C$2506,MATCH($C1473,'REGISTRE TUBES'!$B$7:$B$2506,0))="","",INDEX('REGISTRE TUBES'!$C$7:$C$2506,MATCH($C1473,'REGISTRE TUBES'!$B$7:$B$2506,0))),"?"))</f>
        <v>15421110</v>
      </c>
      <c r="E1473" s="92" t="str">
        <f aca="false">IF($C1473="","",IFERROR(IF(INDEX('REGISTRE TUBES'!$D$7:$D$2506,MATCH($C1473,'REGISTRE TUBES'!$B$7:$B$2506,0))="","",INDEX('REGISTRE TUBES'!$D$7:$D$2506,MATCH($C1473,'REGISTRE TUBES'!$B$7:$B$2506,0))),"?"))</f>
        <v/>
      </c>
      <c r="F1473" s="93" t="n">
        <f aca="false">IF($C1473="","",IFERROR(IF(INDEX('REGISTRE TUBES'!$F$7:$F$2506,MATCH($C1473,'REGISTRE TUBES'!$B$7:$B$2506,0))="","",INDEX('REGISTRE TUBES'!$F$7:$F$2506,MATCH($C1473,'REGISTRE TUBES'!$B$7:$B$2506,0))),"?"))</f>
        <v>11.94</v>
      </c>
      <c r="G1473" s="94" t="n">
        <f aca="false">IF($C1473="","",N(G1472)+N(F1473))</f>
        <v>11879.49</v>
      </c>
      <c r="H1473" s="95" t="s">
        <v>2448</v>
      </c>
      <c r="I1473" s="96"/>
      <c r="J1473" s="97"/>
    </row>
    <row r="1474" customFormat="false" ht="15" hidden="false" customHeight="false" outlineLevel="0" collapsed="false">
      <c r="B1474" s="98" t="n">
        <v>1002</v>
      </c>
      <c r="C1474" s="99" t="n">
        <v>2095040</v>
      </c>
      <c r="D1474" s="100" t="n">
        <f aca="false">IF($C1474="","",IFERROR(IF(INDEX('REGISTRE TUBES'!$C$7:$C$2506,MATCH($C1474,'REGISTRE TUBES'!$B$7:$B$2506,0))="","",INDEX('REGISTRE TUBES'!$C$7:$C$2506,MATCH($C1474,'REGISTRE TUBES'!$B$7:$B$2506,0))),"?"))</f>
        <v>15421111</v>
      </c>
      <c r="E1474" s="100" t="str">
        <f aca="false">IF($C1474="","",IFERROR(IF(INDEX('REGISTRE TUBES'!$D$7:$D$2506,MATCH($C1474,'REGISTRE TUBES'!$B$7:$B$2506,0))="","",INDEX('REGISTRE TUBES'!$D$7:$D$2506,MATCH($C1474,'REGISTRE TUBES'!$B$7:$B$2506,0))),"?"))</f>
        <v/>
      </c>
      <c r="F1474" s="101" t="n">
        <f aca="false">IF($C1474="","",IFERROR(IF(INDEX('REGISTRE TUBES'!$F$7:$F$2506,MATCH($C1474,'REGISTRE TUBES'!$B$7:$B$2506,0))="","",INDEX('REGISTRE TUBES'!$F$7:$F$2506,MATCH($C1474,'REGISTRE TUBES'!$B$7:$B$2506,0))),"?"))</f>
        <v>11.94</v>
      </c>
      <c r="G1474" s="102" t="n">
        <f aca="false">IF($C1474="","",N(G1473)+N(F1474))</f>
        <v>11891.43</v>
      </c>
      <c r="H1474" s="103" t="s">
        <v>2449</v>
      </c>
      <c r="I1474" s="104"/>
      <c r="J1474" s="105"/>
    </row>
    <row r="1475" customFormat="false" ht="15" hidden="false" customHeight="false" outlineLevel="0" collapsed="false">
      <c r="B1475" s="90" t="n">
        <v>1003</v>
      </c>
      <c r="C1475" s="91" t="n">
        <v>2095950</v>
      </c>
      <c r="D1475" s="92" t="n">
        <f aca="false">IF($C1475="","",IFERROR(IF(INDEX('REGISTRE TUBES'!$C$7:$C$2506,MATCH($C1475,'REGISTRE TUBES'!$B$7:$B$2506,0))="","",INDEX('REGISTRE TUBES'!$C$7:$C$2506,MATCH($C1475,'REGISTRE TUBES'!$B$7:$B$2506,0))),"?"))</f>
        <v>15421104</v>
      </c>
      <c r="E1475" s="92" t="str">
        <f aca="false">IF($C1475="","",IFERROR(IF(INDEX('REGISTRE TUBES'!$D$7:$D$2506,MATCH($C1475,'REGISTRE TUBES'!$B$7:$B$2506,0))="","",INDEX('REGISTRE TUBES'!$D$7:$D$2506,MATCH($C1475,'REGISTRE TUBES'!$B$7:$B$2506,0))),"?"))</f>
        <v/>
      </c>
      <c r="F1475" s="93" t="n">
        <f aca="false">IF($C1475="","",IFERROR(IF(INDEX('REGISTRE TUBES'!$F$7:$F$2506,MATCH($C1475,'REGISTRE TUBES'!$B$7:$B$2506,0))="","",INDEX('REGISTRE TUBES'!$F$7:$F$2506,MATCH($C1475,'REGISTRE TUBES'!$B$7:$B$2506,0))),"?"))</f>
        <v>11.94</v>
      </c>
      <c r="G1475" s="94" t="n">
        <f aca="false">IF($C1475="","",N(G1474)+N(F1475))</f>
        <v>11903.37</v>
      </c>
      <c r="H1475" s="95" t="s">
        <v>2450</v>
      </c>
      <c r="I1475" s="96"/>
      <c r="J1475" s="97"/>
    </row>
    <row r="1476" customFormat="false" ht="15" hidden="false" customHeight="false" outlineLevel="0" collapsed="false">
      <c r="B1476" s="98" t="n">
        <v>1004</v>
      </c>
      <c r="C1476" s="99" t="n">
        <v>2090640</v>
      </c>
      <c r="D1476" s="100" t="n">
        <f aca="false">IF($C1476="","",IFERROR(IF(INDEX('REGISTRE TUBES'!$C$7:$C$2506,MATCH($C1476,'REGISTRE TUBES'!$B$7:$B$2506,0))="","",INDEX('REGISTRE TUBES'!$C$7:$C$2506,MATCH($C1476,'REGISTRE TUBES'!$B$7:$B$2506,0))),"?"))</f>
        <v>15421109</v>
      </c>
      <c r="E1476" s="100" t="str">
        <f aca="false">IF($C1476="","",IFERROR(IF(INDEX('REGISTRE TUBES'!$D$7:$D$2506,MATCH($C1476,'REGISTRE TUBES'!$B$7:$B$2506,0))="","",INDEX('REGISTRE TUBES'!$D$7:$D$2506,MATCH($C1476,'REGISTRE TUBES'!$B$7:$B$2506,0))),"?"))</f>
        <v/>
      </c>
      <c r="F1476" s="101" t="n">
        <f aca="false">IF($C1476="","",IFERROR(IF(INDEX('REGISTRE TUBES'!$F$7:$F$2506,MATCH($C1476,'REGISTRE TUBES'!$B$7:$B$2506,0))="","",INDEX('REGISTRE TUBES'!$F$7:$F$2506,MATCH($C1476,'REGISTRE TUBES'!$B$7:$B$2506,0))),"?"))</f>
        <v>11.94</v>
      </c>
      <c r="G1476" s="102" t="n">
        <f aca="false">IF($C1476="","",N(G1475)+N(F1476))</f>
        <v>11915.31</v>
      </c>
      <c r="H1476" s="103" t="s">
        <v>2451</v>
      </c>
      <c r="I1476" s="104"/>
      <c r="J1476" s="105"/>
    </row>
    <row r="1477" customFormat="false" ht="15" hidden="false" customHeight="false" outlineLevel="0" collapsed="false">
      <c r="B1477" s="90" t="n">
        <v>1005</v>
      </c>
      <c r="C1477" s="91" t="n">
        <v>2080610</v>
      </c>
      <c r="D1477" s="92" t="n">
        <f aca="false">IF($C1477="","",IFERROR(IF(INDEX('REGISTRE TUBES'!$C$7:$C$2506,MATCH($C1477,'REGISTRE TUBES'!$B$7:$B$2506,0))="","",INDEX('REGISTRE TUBES'!$C$7:$C$2506,MATCH($C1477,'REGISTRE TUBES'!$B$7:$B$2506,0))),"?"))</f>
        <v>15421103</v>
      </c>
      <c r="E1477" s="92" t="str">
        <f aca="false">IF($C1477="","",IFERROR(IF(INDEX('REGISTRE TUBES'!$D$7:$D$2506,MATCH($C1477,'REGISTRE TUBES'!$B$7:$B$2506,0))="","",INDEX('REGISTRE TUBES'!$D$7:$D$2506,MATCH($C1477,'REGISTRE TUBES'!$B$7:$B$2506,0))),"?"))</f>
        <v/>
      </c>
      <c r="F1477" s="93" t="n">
        <f aca="false">IF($C1477="","",IFERROR(IF(INDEX('REGISTRE TUBES'!$F$7:$F$2506,MATCH($C1477,'REGISTRE TUBES'!$B$7:$B$2506,0))="","",INDEX('REGISTRE TUBES'!$F$7:$F$2506,MATCH($C1477,'REGISTRE TUBES'!$B$7:$B$2506,0))),"?"))</f>
        <v>11.94</v>
      </c>
      <c r="G1477" s="94" t="n">
        <f aca="false">IF($C1477="","",N(G1476)+N(F1477))</f>
        <v>11927.25</v>
      </c>
      <c r="H1477" s="95" t="s">
        <v>2452</v>
      </c>
      <c r="I1477" s="96"/>
      <c r="J1477" s="97"/>
    </row>
    <row r="1478" customFormat="false" ht="15" hidden="false" customHeight="false" outlineLevel="0" collapsed="false">
      <c r="B1478" s="98" t="n">
        <v>1006</v>
      </c>
      <c r="C1478" s="99" t="n">
        <v>2090730</v>
      </c>
      <c r="D1478" s="100" t="n">
        <f aca="false">IF($C1478="","",IFERROR(IF(INDEX('REGISTRE TUBES'!$C$7:$C$2506,MATCH($C1478,'REGISTRE TUBES'!$B$7:$B$2506,0))="","",INDEX('REGISTRE TUBES'!$C$7:$C$2506,MATCH($C1478,'REGISTRE TUBES'!$B$7:$B$2506,0))),"?"))</f>
        <v>15421109</v>
      </c>
      <c r="E1478" s="100" t="str">
        <f aca="false">IF($C1478="","",IFERROR(IF(INDEX('REGISTRE TUBES'!$D$7:$D$2506,MATCH($C1478,'REGISTRE TUBES'!$B$7:$B$2506,0))="","",INDEX('REGISTRE TUBES'!$D$7:$D$2506,MATCH($C1478,'REGISTRE TUBES'!$B$7:$B$2506,0))),"?"))</f>
        <v/>
      </c>
      <c r="F1478" s="101" t="n">
        <f aca="false">IF($C1478="","",IFERROR(IF(INDEX('REGISTRE TUBES'!$F$7:$F$2506,MATCH($C1478,'REGISTRE TUBES'!$B$7:$B$2506,0))="","",INDEX('REGISTRE TUBES'!$F$7:$F$2506,MATCH($C1478,'REGISTRE TUBES'!$B$7:$B$2506,0))),"?"))</f>
        <v>11.94</v>
      </c>
      <c r="G1478" s="102" t="n">
        <f aca="false">IF($C1478="","",N(G1477)+N(F1478))</f>
        <v>11939.19</v>
      </c>
      <c r="H1478" s="103" t="s">
        <v>2453</v>
      </c>
      <c r="I1478" s="104"/>
      <c r="J1478" s="105"/>
    </row>
    <row r="1479" customFormat="false" ht="15" hidden="false" customHeight="false" outlineLevel="0" collapsed="false">
      <c r="B1479" s="90" t="n">
        <v>1007</v>
      </c>
      <c r="C1479" s="91" t="n">
        <v>2091030</v>
      </c>
      <c r="D1479" s="92" t="n">
        <f aca="false">IF($C1479="","",IFERROR(IF(INDEX('REGISTRE TUBES'!$C$7:$C$2506,MATCH($C1479,'REGISTRE TUBES'!$B$7:$B$2506,0))="","",INDEX('REGISTRE TUBES'!$C$7:$C$2506,MATCH($C1479,'REGISTRE TUBES'!$B$7:$B$2506,0))),"?"))</f>
        <v>15421109</v>
      </c>
      <c r="E1479" s="92" t="str">
        <f aca="false">IF($C1479="","",IFERROR(IF(INDEX('REGISTRE TUBES'!$D$7:$D$2506,MATCH($C1479,'REGISTRE TUBES'!$B$7:$B$2506,0))="","",INDEX('REGISTRE TUBES'!$D$7:$D$2506,MATCH($C1479,'REGISTRE TUBES'!$B$7:$B$2506,0))),"?"))</f>
        <v/>
      </c>
      <c r="F1479" s="93" t="n">
        <f aca="false">IF($C1479="","",IFERROR(IF(INDEX('REGISTRE TUBES'!$F$7:$F$2506,MATCH($C1479,'REGISTRE TUBES'!$B$7:$B$2506,0))="","",INDEX('REGISTRE TUBES'!$F$7:$F$2506,MATCH($C1479,'REGISTRE TUBES'!$B$7:$B$2506,0))),"?"))</f>
        <v>11.94</v>
      </c>
      <c r="G1479" s="94" t="n">
        <f aca="false">IF($C1479="","",N(G1478)+N(F1479))</f>
        <v>11951.13</v>
      </c>
      <c r="H1479" s="95" t="s">
        <v>2454</v>
      </c>
      <c r="I1479" s="96"/>
      <c r="J1479" s="97"/>
    </row>
    <row r="1480" customFormat="false" ht="15" hidden="false" customHeight="true" outlineLevel="0" collapsed="false">
      <c r="B1480" s="106" t="s">
        <v>3031</v>
      </c>
      <c r="C1480" s="106"/>
      <c r="D1480" s="106"/>
      <c r="E1480" s="106"/>
      <c r="F1480" s="107" t="n">
        <f aca="false">SUM(F1461:F1479)</f>
        <v>226.86</v>
      </c>
      <c r="G1480" s="108" t="n">
        <f aca="false">IF(COUNT(G1461:G1479)=0,"",MAX(G1461:G1479))</f>
        <v>11951.13</v>
      </c>
      <c r="H1480" s="106" t="str">
        <f aca="false">COUNTA(C1461:C1479)&amp;" tube(s)"</f>
        <v>19 tube(s)</v>
      </c>
      <c r="I1480" s="106"/>
      <c r="J1480" s="106"/>
    </row>
    <row r="1482" customFormat="false" ht="15" hidden="false" customHeight="false" outlineLevel="0" collapsed="false">
      <c r="B1482" s="109" t="s">
        <v>3032</v>
      </c>
      <c r="F1482" s="109" t="s">
        <v>3033</v>
      </c>
      <c r="I1482" s="109" t="s">
        <v>3034</v>
      </c>
    </row>
    <row r="1485" customFormat="false" ht="25.5" hidden="false" customHeight="true" outlineLevel="0" collapsed="false">
      <c r="B1485" s="85" t="s">
        <v>3015</v>
      </c>
      <c r="C1485" s="85"/>
      <c r="D1485" s="85"/>
      <c r="E1485" s="85"/>
      <c r="F1485" s="85"/>
      <c r="G1485" s="85"/>
      <c r="H1485" s="85"/>
      <c r="I1485" s="85"/>
      <c r="J1485" s="85"/>
    </row>
    <row r="1486" customFormat="false" ht="15" hidden="false" customHeight="false" outlineLevel="0" collapsed="false">
      <c r="B1486" s="86" t="str">
        <f aca="false">PARAMÈTRES!$C$4&amp;"   •   Affaire N° "&amp;PARAMÈTRES!$C$5</f>
        <v>Développement des champs gaziers TFT II — réseau de collecte TFT Sud (LIGNE-16)   •   Affaire N° 8546</v>
      </c>
      <c r="C1486" s="86"/>
      <c r="D1486" s="86"/>
      <c r="E1486" s="86"/>
      <c r="F1486" s="86"/>
      <c r="G1486" s="86"/>
      <c r="H1486" s="86"/>
      <c r="I1486" s="86"/>
      <c r="J1486" s="86"/>
    </row>
    <row r="1487" customFormat="false" ht="19.5" hidden="false" customHeight="true" outlineLevel="0" collapsed="false">
      <c r="B1487" s="87" t="s">
        <v>3016</v>
      </c>
      <c r="C1487" s="88" t="s">
        <v>110</v>
      </c>
      <c r="D1487" s="88"/>
      <c r="E1487" s="87" t="s">
        <v>3017</v>
      </c>
      <c r="F1487" s="88" t="s">
        <v>3139</v>
      </c>
      <c r="G1487" s="87" t="s">
        <v>3019</v>
      </c>
      <c r="H1487" s="88" t="s">
        <v>3140</v>
      </c>
      <c r="I1487" s="87" t="s">
        <v>3021</v>
      </c>
      <c r="J1487" s="89"/>
    </row>
    <row r="1488" customFormat="false" ht="27.75" hidden="false" customHeight="true" outlineLevel="0" collapsed="false">
      <c r="B1488" s="71" t="s">
        <v>3022</v>
      </c>
      <c r="C1488" s="71" t="s">
        <v>3023</v>
      </c>
      <c r="D1488" s="71" t="s">
        <v>3024</v>
      </c>
      <c r="E1488" s="71" t="s">
        <v>3025</v>
      </c>
      <c r="F1488" s="71" t="s">
        <v>3026</v>
      </c>
      <c r="G1488" s="71" t="s">
        <v>3027</v>
      </c>
      <c r="H1488" s="71" t="s">
        <v>3028</v>
      </c>
      <c r="I1488" s="71" t="s">
        <v>3029</v>
      </c>
      <c r="J1488" s="71" t="s">
        <v>3030</v>
      </c>
    </row>
    <row r="1489" customFormat="false" ht="15" hidden="false" customHeight="false" outlineLevel="0" collapsed="false">
      <c r="B1489" s="90" t="n">
        <v>1008</v>
      </c>
      <c r="C1489" s="91" t="n">
        <v>2084210</v>
      </c>
      <c r="D1489" s="92" t="n">
        <f aca="false">IF($C1489="","",IFERROR(IF(INDEX('REGISTRE TUBES'!$C$7:$C$2506,MATCH($C1489,'REGISTRE TUBES'!$B$7:$B$2506,0))="","",INDEX('REGISTRE TUBES'!$C$7:$C$2506,MATCH($C1489,'REGISTRE TUBES'!$B$7:$B$2506,0))),"?"))</f>
        <v>15421106</v>
      </c>
      <c r="E1489" s="92" t="str">
        <f aca="false">IF($C1489="","",IFERROR(IF(INDEX('REGISTRE TUBES'!$D$7:$D$2506,MATCH($C1489,'REGISTRE TUBES'!$B$7:$B$2506,0))="","",INDEX('REGISTRE TUBES'!$D$7:$D$2506,MATCH($C1489,'REGISTRE TUBES'!$B$7:$B$2506,0))),"?"))</f>
        <v/>
      </c>
      <c r="F1489" s="93" t="n">
        <f aca="false">IF($C1489="","",IFERROR(IF(INDEX('REGISTRE TUBES'!$F$7:$F$2506,MATCH($C1489,'REGISTRE TUBES'!$B$7:$B$2506,0))="","",INDEX('REGISTRE TUBES'!$F$7:$F$2506,MATCH($C1489,'REGISTRE TUBES'!$B$7:$B$2506,0))),"?"))</f>
        <v>11.94</v>
      </c>
      <c r="G1489" s="94" t="n">
        <f aca="false">IF($C1489="","",N(G1479)+N(F1489))</f>
        <v>11963.07</v>
      </c>
      <c r="H1489" s="95" t="s">
        <v>2456</v>
      </c>
      <c r="I1489" s="96"/>
      <c r="J1489" s="97"/>
    </row>
    <row r="1490" customFormat="false" ht="15" hidden="false" customHeight="false" outlineLevel="0" collapsed="false">
      <c r="B1490" s="98" t="n">
        <v>1009</v>
      </c>
      <c r="C1490" s="99" t="n">
        <v>2095030</v>
      </c>
      <c r="D1490" s="100" t="n">
        <f aca="false">IF($C1490="","",IFERROR(IF(INDEX('REGISTRE TUBES'!$C$7:$C$2506,MATCH($C1490,'REGISTRE TUBES'!$B$7:$B$2506,0))="","",INDEX('REGISTRE TUBES'!$C$7:$C$2506,MATCH($C1490,'REGISTRE TUBES'!$B$7:$B$2506,0))),"?"))</f>
        <v>15412111</v>
      </c>
      <c r="E1490" s="100" t="str">
        <f aca="false">IF($C1490="","",IFERROR(IF(INDEX('REGISTRE TUBES'!$D$7:$D$2506,MATCH($C1490,'REGISTRE TUBES'!$B$7:$B$2506,0))="","",INDEX('REGISTRE TUBES'!$D$7:$D$2506,MATCH($C1490,'REGISTRE TUBES'!$B$7:$B$2506,0))),"?"))</f>
        <v/>
      </c>
      <c r="F1490" s="101" t="n">
        <f aca="false">IF($C1490="","",IFERROR(IF(INDEX('REGISTRE TUBES'!$F$7:$F$2506,MATCH($C1490,'REGISTRE TUBES'!$B$7:$B$2506,0))="","",INDEX('REGISTRE TUBES'!$F$7:$F$2506,MATCH($C1490,'REGISTRE TUBES'!$B$7:$B$2506,0))),"?"))</f>
        <v>11.94</v>
      </c>
      <c r="G1490" s="102" t="n">
        <f aca="false">IF($C1490="","",N(G1489)+N(F1490))</f>
        <v>11975.01</v>
      </c>
      <c r="H1490" s="103" t="s">
        <v>2457</v>
      </c>
      <c r="I1490" s="104"/>
      <c r="J1490" s="105"/>
    </row>
    <row r="1491" customFormat="false" ht="15" hidden="false" customHeight="false" outlineLevel="0" collapsed="false">
      <c r="B1491" s="90" t="n">
        <v>1010</v>
      </c>
      <c r="C1491" s="91" t="n">
        <v>2085120</v>
      </c>
      <c r="D1491" s="92" t="n">
        <f aca="false">IF($C1491="","",IFERROR(IF(INDEX('REGISTRE TUBES'!$C$7:$C$2506,MATCH($C1491,'REGISTRE TUBES'!$B$7:$B$2506,0))="","",INDEX('REGISTRE TUBES'!$C$7:$C$2506,MATCH($C1491,'REGISTRE TUBES'!$B$7:$B$2506,0))),"?"))</f>
        <v>15421106</v>
      </c>
      <c r="E1491" s="92" t="str">
        <f aca="false">IF($C1491="","",IFERROR(IF(INDEX('REGISTRE TUBES'!$D$7:$D$2506,MATCH($C1491,'REGISTRE TUBES'!$B$7:$B$2506,0))="","",INDEX('REGISTRE TUBES'!$D$7:$D$2506,MATCH($C1491,'REGISTRE TUBES'!$B$7:$B$2506,0))),"?"))</f>
        <v/>
      </c>
      <c r="F1491" s="93" t="n">
        <f aca="false">IF($C1491="","",IFERROR(IF(INDEX('REGISTRE TUBES'!$F$7:$F$2506,MATCH($C1491,'REGISTRE TUBES'!$B$7:$B$2506,0))="","",INDEX('REGISTRE TUBES'!$F$7:$F$2506,MATCH($C1491,'REGISTRE TUBES'!$B$7:$B$2506,0))),"?"))</f>
        <v>11.94</v>
      </c>
      <c r="G1491" s="94" t="n">
        <f aca="false">IF($C1491="","",N(G1490)+N(F1491))</f>
        <v>11986.95</v>
      </c>
      <c r="H1491" s="95" t="s">
        <v>2458</v>
      </c>
      <c r="I1491" s="96"/>
      <c r="J1491" s="97"/>
    </row>
    <row r="1492" customFormat="false" ht="15" hidden="false" customHeight="false" outlineLevel="0" collapsed="false">
      <c r="B1492" s="98" t="n">
        <v>1011</v>
      </c>
      <c r="C1492" s="99" t="n">
        <v>2081920</v>
      </c>
      <c r="D1492" s="100" t="n">
        <f aca="false">IF($C1492="","",IFERROR(IF(INDEX('REGISTRE TUBES'!$C$7:$C$2506,MATCH($C1492,'REGISTRE TUBES'!$B$7:$B$2506,0))="","",INDEX('REGISTRE TUBES'!$C$7:$C$2506,MATCH($C1492,'REGISTRE TUBES'!$B$7:$B$2506,0))),"?"))</f>
        <v>15421104</v>
      </c>
      <c r="E1492" s="100" t="str">
        <f aca="false">IF($C1492="","",IFERROR(IF(INDEX('REGISTRE TUBES'!$D$7:$D$2506,MATCH($C1492,'REGISTRE TUBES'!$B$7:$B$2506,0))="","",INDEX('REGISTRE TUBES'!$D$7:$D$2506,MATCH($C1492,'REGISTRE TUBES'!$B$7:$B$2506,0))),"?"))</f>
        <v/>
      </c>
      <c r="F1492" s="101" t="n">
        <f aca="false">IF($C1492="","",IFERROR(IF(INDEX('REGISTRE TUBES'!$F$7:$F$2506,MATCH($C1492,'REGISTRE TUBES'!$B$7:$B$2506,0))="","",INDEX('REGISTRE TUBES'!$F$7:$F$2506,MATCH($C1492,'REGISTRE TUBES'!$B$7:$B$2506,0))),"?"))</f>
        <v>11.94</v>
      </c>
      <c r="G1492" s="102" t="n">
        <f aca="false">IF($C1492="","",N(G1491)+N(F1492))</f>
        <v>11998.89</v>
      </c>
      <c r="H1492" s="103" t="s">
        <v>2459</v>
      </c>
      <c r="I1492" s="104"/>
      <c r="J1492" s="105"/>
    </row>
    <row r="1493" customFormat="false" ht="15" hidden="false" customHeight="false" outlineLevel="0" collapsed="false">
      <c r="B1493" s="90" t="n">
        <v>1012</v>
      </c>
      <c r="C1493" s="91" t="n">
        <v>2098130</v>
      </c>
      <c r="D1493" s="92" t="n">
        <f aca="false">IF($C1493="","",IFERROR(IF(INDEX('REGISTRE TUBES'!$C$7:$C$2506,MATCH($C1493,'REGISTRE TUBES'!$B$7:$B$2506,0))="","",INDEX('REGISTRE TUBES'!$C$7:$C$2506,MATCH($C1493,'REGISTRE TUBES'!$B$7:$B$2506,0))),"?"))</f>
        <v>15421112</v>
      </c>
      <c r="E1493" s="92" t="str">
        <f aca="false">IF($C1493="","",IFERROR(IF(INDEX('REGISTRE TUBES'!$D$7:$D$2506,MATCH($C1493,'REGISTRE TUBES'!$B$7:$B$2506,0))="","",INDEX('REGISTRE TUBES'!$D$7:$D$2506,MATCH($C1493,'REGISTRE TUBES'!$B$7:$B$2506,0))),"?"))</f>
        <v/>
      </c>
      <c r="F1493" s="93" t="n">
        <f aca="false">IF($C1493="","",IFERROR(IF(INDEX('REGISTRE TUBES'!$F$7:$F$2506,MATCH($C1493,'REGISTRE TUBES'!$B$7:$B$2506,0))="","",INDEX('REGISTRE TUBES'!$F$7:$F$2506,MATCH($C1493,'REGISTRE TUBES'!$B$7:$B$2506,0))),"?"))</f>
        <v>11.94</v>
      </c>
      <c r="G1493" s="94" t="n">
        <f aca="false">IF($C1493="","",N(G1492)+N(F1493))</f>
        <v>12010.83</v>
      </c>
      <c r="H1493" s="95" t="s">
        <v>2460</v>
      </c>
      <c r="I1493" s="96"/>
      <c r="J1493" s="97"/>
    </row>
    <row r="1494" customFormat="false" ht="15" hidden="false" customHeight="false" outlineLevel="0" collapsed="false">
      <c r="B1494" s="98" t="n">
        <v>1013</v>
      </c>
      <c r="C1494" s="99" t="n">
        <v>2090500</v>
      </c>
      <c r="D1494" s="100" t="n">
        <f aca="false">IF($C1494="","",IFERROR(IF(INDEX('REGISTRE TUBES'!$C$7:$C$2506,MATCH($C1494,'REGISTRE TUBES'!$B$7:$B$2506,0))="","",INDEX('REGISTRE TUBES'!$C$7:$C$2506,MATCH($C1494,'REGISTRE TUBES'!$B$7:$B$2506,0))),"?"))</f>
        <v>15421109</v>
      </c>
      <c r="E1494" s="100" t="str">
        <f aca="false">IF($C1494="","",IFERROR(IF(INDEX('REGISTRE TUBES'!$D$7:$D$2506,MATCH($C1494,'REGISTRE TUBES'!$B$7:$B$2506,0))="","",INDEX('REGISTRE TUBES'!$D$7:$D$2506,MATCH($C1494,'REGISTRE TUBES'!$B$7:$B$2506,0))),"?"))</f>
        <v/>
      </c>
      <c r="F1494" s="101" t="n">
        <f aca="false">IF($C1494="","",IFERROR(IF(INDEX('REGISTRE TUBES'!$F$7:$F$2506,MATCH($C1494,'REGISTRE TUBES'!$B$7:$B$2506,0))="","",INDEX('REGISTRE TUBES'!$F$7:$F$2506,MATCH($C1494,'REGISTRE TUBES'!$B$7:$B$2506,0))),"?"))</f>
        <v>11.94</v>
      </c>
      <c r="G1494" s="102" t="n">
        <f aca="false">IF($C1494="","",N(G1493)+N(F1494))</f>
        <v>12022.77</v>
      </c>
      <c r="H1494" s="103" t="s">
        <v>2461</v>
      </c>
      <c r="I1494" s="104"/>
      <c r="J1494" s="105"/>
    </row>
    <row r="1495" customFormat="false" ht="15" hidden="false" customHeight="false" outlineLevel="0" collapsed="false">
      <c r="B1495" s="90" t="n">
        <v>1014</v>
      </c>
      <c r="C1495" s="91" t="n">
        <v>2091750</v>
      </c>
      <c r="D1495" s="92" t="n">
        <f aca="false">IF($C1495="","",IFERROR(IF(INDEX('REGISTRE TUBES'!$C$7:$C$2506,MATCH($C1495,'REGISTRE TUBES'!$B$7:$B$2506,0))="","",INDEX('REGISTRE TUBES'!$C$7:$C$2506,MATCH($C1495,'REGISTRE TUBES'!$B$7:$B$2506,0))),"?"))</f>
        <v>15421109</v>
      </c>
      <c r="E1495" s="92" t="str">
        <f aca="false">IF($C1495="","",IFERROR(IF(INDEX('REGISTRE TUBES'!$D$7:$D$2506,MATCH($C1495,'REGISTRE TUBES'!$B$7:$B$2506,0))="","",INDEX('REGISTRE TUBES'!$D$7:$D$2506,MATCH($C1495,'REGISTRE TUBES'!$B$7:$B$2506,0))),"?"))</f>
        <v/>
      </c>
      <c r="F1495" s="93" t="n">
        <f aca="false">IF($C1495="","",IFERROR(IF(INDEX('REGISTRE TUBES'!$F$7:$F$2506,MATCH($C1495,'REGISTRE TUBES'!$B$7:$B$2506,0))="","",INDEX('REGISTRE TUBES'!$F$7:$F$2506,MATCH($C1495,'REGISTRE TUBES'!$B$7:$B$2506,0))),"?"))</f>
        <v>11.94</v>
      </c>
      <c r="G1495" s="94" t="n">
        <f aca="false">IF($C1495="","",N(G1494)+N(F1495))</f>
        <v>12034.71</v>
      </c>
      <c r="H1495" s="95" t="s">
        <v>2462</v>
      </c>
      <c r="I1495" s="96"/>
      <c r="J1495" s="97"/>
    </row>
    <row r="1496" customFormat="false" ht="15" hidden="false" customHeight="false" outlineLevel="0" collapsed="false">
      <c r="B1496" s="98" t="n">
        <v>1015</v>
      </c>
      <c r="C1496" s="99" t="n">
        <v>2090340</v>
      </c>
      <c r="D1496" s="100" t="n">
        <f aca="false">IF($C1496="","",IFERROR(IF(INDEX('REGISTRE TUBES'!$C$7:$C$2506,MATCH($C1496,'REGISTRE TUBES'!$B$7:$B$2506,0))="","",INDEX('REGISTRE TUBES'!$C$7:$C$2506,MATCH($C1496,'REGISTRE TUBES'!$B$7:$B$2506,0))),"?"))</f>
        <v>15421109</v>
      </c>
      <c r="E1496" s="100" t="str">
        <f aca="false">IF($C1496="","",IFERROR(IF(INDEX('REGISTRE TUBES'!$D$7:$D$2506,MATCH($C1496,'REGISTRE TUBES'!$B$7:$B$2506,0))="","",INDEX('REGISTRE TUBES'!$D$7:$D$2506,MATCH($C1496,'REGISTRE TUBES'!$B$7:$B$2506,0))),"?"))</f>
        <v/>
      </c>
      <c r="F1496" s="101" t="n">
        <f aca="false">IF($C1496="","",IFERROR(IF(INDEX('REGISTRE TUBES'!$F$7:$F$2506,MATCH($C1496,'REGISTRE TUBES'!$B$7:$B$2506,0))="","",INDEX('REGISTRE TUBES'!$F$7:$F$2506,MATCH($C1496,'REGISTRE TUBES'!$B$7:$B$2506,0))),"?"))</f>
        <v>11.94</v>
      </c>
      <c r="G1496" s="102" t="n">
        <f aca="false">IF($C1496="","",N(G1495)+N(F1496))</f>
        <v>12046.65</v>
      </c>
      <c r="H1496" s="103" t="s">
        <v>2463</v>
      </c>
      <c r="I1496" s="104"/>
      <c r="J1496" s="105"/>
    </row>
    <row r="1497" customFormat="false" ht="15" hidden="false" customHeight="false" outlineLevel="0" collapsed="false">
      <c r="B1497" s="90" t="n">
        <v>1016</v>
      </c>
      <c r="C1497" s="91" t="n">
        <v>2091600</v>
      </c>
      <c r="D1497" s="92" t="n">
        <f aca="false">IF($C1497="","",IFERROR(IF(INDEX('REGISTRE TUBES'!$C$7:$C$2506,MATCH($C1497,'REGISTRE TUBES'!$B$7:$B$2506,0))="","",INDEX('REGISTRE TUBES'!$C$7:$C$2506,MATCH($C1497,'REGISTRE TUBES'!$B$7:$B$2506,0))),"?"))</f>
        <v>15421109</v>
      </c>
      <c r="E1497" s="92" t="str">
        <f aca="false">IF($C1497="","",IFERROR(IF(INDEX('REGISTRE TUBES'!$D$7:$D$2506,MATCH($C1497,'REGISTRE TUBES'!$B$7:$B$2506,0))="","",INDEX('REGISTRE TUBES'!$D$7:$D$2506,MATCH($C1497,'REGISTRE TUBES'!$B$7:$B$2506,0))),"?"))</f>
        <v/>
      </c>
      <c r="F1497" s="93" t="n">
        <f aca="false">IF($C1497="","",IFERROR(IF(INDEX('REGISTRE TUBES'!$F$7:$F$2506,MATCH($C1497,'REGISTRE TUBES'!$B$7:$B$2506,0))="","",INDEX('REGISTRE TUBES'!$F$7:$F$2506,MATCH($C1497,'REGISTRE TUBES'!$B$7:$B$2506,0))),"?"))</f>
        <v>11.94</v>
      </c>
      <c r="G1497" s="94" t="n">
        <f aca="false">IF($C1497="","",N(G1496)+N(F1497))</f>
        <v>12058.59</v>
      </c>
      <c r="H1497" s="95" t="s">
        <v>2464</v>
      </c>
      <c r="I1497" s="96"/>
      <c r="J1497" s="97"/>
    </row>
    <row r="1498" customFormat="false" ht="15" hidden="false" customHeight="false" outlineLevel="0" collapsed="false">
      <c r="B1498" s="98" t="n">
        <v>1017</v>
      </c>
      <c r="C1498" s="99" t="n">
        <v>2095060</v>
      </c>
      <c r="D1498" s="100" t="n">
        <f aca="false">IF($C1498="","",IFERROR(IF(INDEX('REGISTRE TUBES'!$C$7:$C$2506,MATCH($C1498,'REGISTRE TUBES'!$B$7:$B$2506,0))="","",INDEX('REGISTRE TUBES'!$C$7:$C$2506,MATCH($C1498,'REGISTRE TUBES'!$B$7:$B$2506,0))),"?"))</f>
        <v>15421111</v>
      </c>
      <c r="E1498" s="100" t="str">
        <f aca="false">IF($C1498="","",IFERROR(IF(INDEX('REGISTRE TUBES'!$D$7:$D$2506,MATCH($C1498,'REGISTRE TUBES'!$B$7:$B$2506,0))="","",INDEX('REGISTRE TUBES'!$D$7:$D$2506,MATCH($C1498,'REGISTRE TUBES'!$B$7:$B$2506,0))),"?"))</f>
        <v/>
      </c>
      <c r="F1498" s="101" t="n">
        <f aca="false">IF($C1498="","",IFERROR(IF(INDEX('REGISTRE TUBES'!$F$7:$F$2506,MATCH($C1498,'REGISTRE TUBES'!$B$7:$B$2506,0))="","",INDEX('REGISTRE TUBES'!$F$7:$F$2506,MATCH($C1498,'REGISTRE TUBES'!$B$7:$B$2506,0))),"?"))</f>
        <v>11.94</v>
      </c>
      <c r="G1498" s="102" t="n">
        <f aca="false">IF($C1498="","",N(G1497)+N(F1498))</f>
        <v>12070.53</v>
      </c>
      <c r="H1498" s="103" t="s">
        <v>2465</v>
      </c>
      <c r="I1498" s="104"/>
      <c r="J1498" s="105"/>
    </row>
    <row r="1499" customFormat="false" ht="15" hidden="false" customHeight="false" outlineLevel="0" collapsed="false">
      <c r="B1499" s="90" t="n">
        <v>1018</v>
      </c>
      <c r="C1499" s="91" t="n">
        <v>2082960</v>
      </c>
      <c r="D1499" s="92" t="n">
        <f aca="false">IF($C1499="","",IFERROR(IF(INDEX('REGISTRE TUBES'!$C$7:$C$2506,MATCH($C1499,'REGISTRE TUBES'!$B$7:$B$2506,0))="","",INDEX('REGISTRE TUBES'!$C$7:$C$2506,MATCH($C1499,'REGISTRE TUBES'!$B$7:$B$2506,0))),"?"))</f>
        <v>15421105</v>
      </c>
      <c r="E1499" s="92" t="str">
        <f aca="false">IF($C1499="","",IFERROR(IF(INDEX('REGISTRE TUBES'!$D$7:$D$2506,MATCH($C1499,'REGISTRE TUBES'!$B$7:$B$2506,0))="","",INDEX('REGISTRE TUBES'!$D$7:$D$2506,MATCH($C1499,'REGISTRE TUBES'!$B$7:$B$2506,0))),"?"))</f>
        <v/>
      </c>
      <c r="F1499" s="93" t="n">
        <f aca="false">IF($C1499="","",IFERROR(IF(INDEX('REGISTRE TUBES'!$F$7:$F$2506,MATCH($C1499,'REGISTRE TUBES'!$B$7:$B$2506,0))="","",INDEX('REGISTRE TUBES'!$F$7:$F$2506,MATCH($C1499,'REGISTRE TUBES'!$B$7:$B$2506,0))),"?"))</f>
        <v>11.94</v>
      </c>
      <c r="G1499" s="94" t="n">
        <f aca="false">IF($C1499="","",N(G1498)+N(F1499))</f>
        <v>12082.47</v>
      </c>
      <c r="H1499" s="95" t="s">
        <v>2466</v>
      </c>
      <c r="I1499" s="96"/>
      <c r="J1499" s="97"/>
    </row>
    <row r="1500" customFormat="false" ht="15" hidden="false" customHeight="false" outlineLevel="0" collapsed="false">
      <c r="B1500" s="98" t="n">
        <v>1019</v>
      </c>
      <c r="C1500" s="99" t="n">
        <v>2081860</v>
      </c>
      <c r="D1500" s="100" t="n">
        <f aca="false">IF($C1500="","",IFERROR(IF(INDEX('REGISTRE TUBES'!$C$7:$C$2506,MATCH($C1500,'REGISTRE TUBES'!$B$7:$B$2506,0))="","",INDEX('REGISTRE TUBES'!$C$7:$C$2506,MATCH($C1500,'REGISTRE TUBES'!$B$7:$B$2506,0))),"?"))</f>
        <v>15421104</v>
      </c>
      <c r="E1500" s="100" t="str">
        <f aca="false">IF($C1500="","",IFERROR(IF(INDEX('REGISTRE TUBES'!$D$7:$D$2506,MATCH($C1500,'REGISTRE TUBES'!$B$7:$B$2506,0))="","",INDEX('REGISTRE TUBES'!$D$7:$D$2506,MATCH($C1500,'REGISTRE TUBES'!$B$7:$B$2506,0))),"?"))</f>
        <v/>
      </c>
      <c r="F1500" s="101" t="n">
        <f aca="false">IF($C1500="","",IFERROR(IF(INDEX('REGISTRE TUBES'!$F$7:$F$2506,MATCH($C1500,'REGISTRE TUBES'!$B$7:$B$2506,0))="","",INDEX('REGISTRE TUBES'!$F$7:$F$2506,MATCH($C1500,'REGISTRE TUBES'!$B$7:$B$2506,0))),"?"))</f>
        <v>11.94</v>
      </c>
      <c r="G1500" s="102" t="n">
        <f aca="false">IF($C1500="","",N(G1499)+N(F1500))</f>
        <v>12094.41</v>
      </c>
      <c r="H1500" s="103" t="s">
        <v>2467</v>
      </c>
      <c r="I1500" s="104"/>
      <c r="J1500" s="105"/>
    </row>
    <row r="1501" customFormat="false" ht="15" hidden="false" customHeight="false" outlineLevel="0" collapsed="false">
      <c r="B1501" s="90" t="n">
        <v>1020</v>
      </c>
      <c r="C1501" s="91" t="n">
        <v>2095700</v>
      </c>
      <c r="D1501" s="92" t="n">
        <f aca="false">IF($C1501="","",IFERROR(IF(INDEX('REGISTRE TUBES'!$C$7:$C$2506,MATCH($C1501,'REGISTRE TUBES'!$B$7:$B$2506,0))="","",INDEX('REGISTRE TUBES'!$C$7:$C$2506,MATCH($C1501,'REGISTRE TUBES'!$B$7:$B$2506,0))),"?"))</f>
        <v>15421111</v>
      </c>
      <c r="E1501" s="92" t="str">
        <f aca="false">IF($C1501="","",IFERROR(IF(INDEX('REGISTRE TUBES'!$D$7:$D$2506,MATCH($C1501,'REGISTRE TUBES'!$B$7:$B$2506,0))="","",INDEX('REGISTRE TUBES'!$D$7:$D$2506,MATCH($C1501,'REGISTRE TUBES'!$B$7:$B$2506,0))),"?"))</f>
        <v/>
      </c>
      <c r="F1501" s="93" t="n">
        <f aca="false">IF($C1501="","",IFERROR(IF(INDEX('REGISTRE TUBES'!$F$7:$F$2506,MATCH($C1501,'REGISTRE TUBES'!$B$7:$B$2506,0))="","",INDEX('REGISTRE TUBES'!$F$7:$F$2506,MATCH($C1501,'REGISTRE TUBES'!$B$7:$B$2506,0))),"?"))</f>
        <v>11.94</v>
      </c>
      <c r="G1501" s="94" t="n">
        <f aca="false">IF($C1501="","",N(G1500)+N(F1501))</f>
        <v>12106.35</v>
      </c>
      <c r="H1501" s="95" t="s">
        <v>2469</v>
      </c>
      <c r="I1501" s="96"/>
      <c r="J1501" s="97"/>
    </row>
    <row r="1502" customFormat="false" ht="15" hidden="false" customHeight="false" outlineLevel="0" collapsed="false">
      <c r="B1502" s="98" t="n">
        <v>1021</v>
      </c>
      <c r="C1502" s="99" t="n">
        <v>2093100</v>
      </c>
      <c r="D1502" s="100" t="n">
        <f aca="false">IF($C1502="","",IFERROR(IF(INDEX('REGISTRE TUBES'!$C$7:$C$2506,MATCH($C1502,'REGISTRE TUBES'!$B$7:$B$2506,0))="","",INDEX('REGISTRE TUBES'!$C$7:$C$2506,MATCH($C1502,'REGISTRE TUBES'!$B$7:$B$2506,0))),"?"))</f>
        <v>15421110</v>
      </c>
      <c r="E1502" s="100" t="str">
        <f aca="false">IF($C1502="","",IFERROR(IF(INDEX('REGISTRE TUBES'!$D$7:$D$2506,MATCH($C1502,'REGISTRE TUBES'!$B$7:$B$2506,0))="","",INDEX('REGISTRE TUBES'!$D$7:$D$2506,MATCH($C1502,'REGISTRE TUBES'!$B$7:$B$2506,0))),"?"))</f>
        <v/>
      </c>
      <c r="F1502" s="101" t="n">
        <f aca="false">IF($C1502="","",IFERROR(IF(INDEX('REGISTRE TUBES'!$F$7:$F$2506,MATCH($C1502,'REGISTRE TUBES'!$B$7:$B$2506,0))="","",INDEX('REGISTRE TUBES'!$F$7:$F$2506,MATCH($C1502,'REGISTRE TUBES'!$B$7:$B$2506,0))),"?"))</f>
        <v>11.94</v>
      </c>
      <c r="G1502" s="102" t="n">
        <f aca="false">IF($C1502="","",N(G1501)+N(F1502))</f>
        <v>12118.29</v>
      </c>
      <c r="H1502" s="103" t="s">
        <v>2470</v>
      </c>
      <c r="I1502" s="104"/>
      <c r="J1502" s="105"/>
    </row>
    <row r="1503" customFormat="false" ht="15" hidden="false" customHeight="false" outlineLevel="0" collapsed="false">
      <c r="B1503" s="90" t="n">
        <v>1022</v>
      </c>
      <c r="C1503" s="91" t="n">
        <v>2092640</v>
      </c>
      <c r="D1503" s="92" t="n">
        <f aca="false">IF($C1503="","",IFERROR(IF(INDEX('REGISTRE TUBES'!$C$7:$C$2506,MATCH($C1503,'REGISTRE TUBES'!$B$7:$B$2506,0))="","",INDEX('REGISTRE TUBES'!$C$7:$C$2506,MATCH($C1503,'REGISTRE TUBES'!$B$7:$B$2506,0))),"?"))</f>
        <v>15421110</v>
      </c>
      <c r="E1503" s="92" t="str">
        <f aca="false">IF($C1503="","",IFERROR(IF(INDEX('REGISTRE TUBES'!$D$7:$D$2506,MATCH($C1503,'REGISTRE TUBES'!$B$7:$B$2506,0))="","",INDEX('REGISTRE TUBES'!$D$7:$D$2506,MATCH($C1503,'REGISTRE TUBES'!$B$7:$B$2506,0))),"?"))</f>
        <v/>
      </c>
      <c r="F1503" s="93" t="n">
        <f aca="false">IF($C1503="","",IFERROR(IF(INDEX('REGISTRE TUBES'!$F$7:$F$2506,MATCH($C1503,'REGISTRE TUBES'!$B$7:$B$2506,0))="","",INDEX('REGISTRE TUBES'!$F$7:$F$2506,MATCH($C1503,'REGISTRE TUBES'!$B$7:$B$2506,0))),"?"))</f>
        <v>11.94</v>
      </c>
      <c r="G1503" s="94" t="n">
        <f aca="false">IF($C1503="","",N(G1502)+N(F1503))</f>
        <v>12130.23</v>
      </c>
      <c r="H1503" s="95" t="s">
        <v>2471</v>
      </c>
      <c r="I1503" s="96"/>
      <c r="J1503" s="97"/>
    </row>
    <row r="1504" customFormat="false" ht="15" hidden="false" customHeight="false" outlineLevel="0" collapsed="false">
      <c r="B1504" s="98" t="n">
        <v>1023</v>
      </c>
      <c r="C1504" s="99" t="n">
        <v>2079610</v>
      </c>
      <c r="D1504" s="100" t="n">
        <f aca="false">IF($C1504="","",IFERROR(IF(INDEX('REGISTRE TUBES'!$C$7:$C$2506,MATCH($C1504,'REGISTRE TUBES'!$B$7:$B$2506,0))="","",INDEX('REGISTRE TUBES'!$C$7:$C$2506,MATCH($C1504,'REGISTRE TUBES'!$B$7:$B$2506,0))),"?"))</f>
        <v>15421102</v>
      </c>
      <c r="E1504" s="100" t="str">
        <f aca="false">IF($C1504="","",IFERROR(IF(INDEX('REGISTRE TUBES'!$D$7:$D$2506,MATCH($C1504,'REGISTRE TUBES'!$B$7:$B$2506,0))="","",INDEX('REGISTRE TUBES'!$D$7:$D$2506,MATCH($C1504,'REGISTRE TUBES'!$B$7:$B$2506,0))),"?"))</f>
        <v/>
      </c>
      <c r="F1504" s="101" t="n">
        <f aca="false">IF($C1504="","",IFERROR(IF(INDEX('REGISTRE TUBES'!$F$7:$F$2506,MATCH($C1504,'REGISTRE TUBES'!$B$7:$B$2506,0))="","",INDEX('REGISTRE TUBES'!$F$7:$F$2506,MATCH($C1504,'REGISTRE TUBES'!$B$7:$B$2506,0))),"?"))</f>
        <v>11.94</v>
      </c>
      <c r="G1504" s="102" t="n">
        <f aca="false">IF($C1504="","",N(G1503)+N(F1504))</f>
        <v>12142.17</v>
      </c>
      <c r="H1504" s="103" t="s">
        <v>2472</v>
      </c>
      <c r="I1504" s="104"/>
      <c r="J1504" s="105"/>
    </row>
    <row r="1505" customFormat="false" ht="15" hidden="false" customHeight="false" outlineLevel="0" collapsed="false">
      <c r="B1505" s="90" t="n">
        <v>1024</v>
      </c>
      <c r="C1505" s="91" t="n">
        <v>2081150</v>
      </c>
      <c r="D1505" s="92" t="n">
        <f aca="false">IF($C1505="","",IFERROR(IF(INDEX('REGISTRE TUBES'!$C$7:$C$2506,MATCH($C1505,'REGISTRE TUBES'!$B$7:$B$2506,0))="","",INDEX('REGISTRE TUBES'!$C$7:$C$2506,MATCH($C1505,'REGISTRE TUBES'!$B$7:$B$2506,0))),"?"))</f>
        <v>15421103</v>
      </c>
      <c r="E1505" s="92" t="str">
        <f aca="false">IF($C1505="","",IFERROR(IF(INDEX('REGISTRE TUBES'!$D$7:$D$2506,MATCH($C1505,'REGISTRE TUBES'!$B$7:$B$2506,0))="","",INDEX('REGISTRE TUBES'!$D$7:$D$2506,MATCH($C1505,'REGISTRE TUBES'!$B$7:$B$2506,0))),"?"))</f>
        <v/>
      </c>
      <c r="F1505" s="93" t="n">
        <f aca="false">IF($C1505="","",IFERROR(IF(INDEX('REGISTRE TUBES'!$F$7:$F$2506,MATCH($C1505,'REGISTRE TUBES'!$B$7:$B$2506,0))="","",INDEX('REGISTRE TUBES'!$F$7:$F$2506,MATCH($C1505,'REGISTRE TUBES'!$B$7:$B$2506,0))),"?"))</f>
        <v>11.94</v>
      </c>
      <c r="G1505" s="94" t="n">
        <f aca="false">IF($C1505="","",N(G1504)+N(F1505))</f>
        <v>12154.11</v>
      </c>
      <c r="H1505" s="95" t="s">
        <v>2473</v>
      </c>
      <c r="I1505" s="96"/>
      <c r="J1505" s="97"/>
    </row>
    <row r="1506" customFormat="false" ht="15" hidden="false" customHeight="false" outlineLevel="0" collapsed="false">
      <c r="B1506" s="98" t="n">
        <v>1025</v>
      </c>
      <c r="C1506" s="99" t="n">
        <v>2097710</v>
      </c>
      <c r="D1506" s="100" t="n">
        <f aca="false">IF($C1506="","",IFERROR(IF(INDEX('REGISTRE TUBES'!$C$7:$C$2506,MATCH($C1506,'REGISTRE TUBES'!$B$7:$B$2506,0))="","",INDEX('REGISTRE TUBES'!$C$7:$C$2506,MATCH($C1506,'REGISTRE TUBES'!$B$7:$B$2506,0))),"?"))</f>
        <v>15421102</v>
      </c>
      <c r="E1506" s="100" t="str">
        <f aca="false">IF($C1506="","",IFERROR(IF(INDEX('REGISTRE TUBES'!$D$7:$D$2506,MATCH($C1506,'REGISTRE TUBES'!$B$7:$B$2506,0))="","",INDEX('REGISTRE TUBES'!$D$7:$D$2506,MATCH($C1506,'REGISTRE TUBES'!$B$7:$B$2506,0))),"?"))</f>
        <v/>
      </c>
      <c r="F1506" s="101" t="n">
        <f aca="false">IF($C1506="","",IFERROR(IF(INDEX('REGISTRE TUBES'!$F$7:$F$2506,MATCH($C1506,'REGISTRE TUBES'!$B$7:$B$2506,0))="","",INDEX('REGISTRE TUBES'!$F$7:$F$2506,MATCH($C1506,'REGISTRE TUBES'!$B$7:$B$2506,0))),"?"))</f>
        <v>11.94</v>
      </c>
      <c r="G1506" s="102" t="n">
        <f aca="false">IF($C1506="","",N(G1505)+N(F1506))</f>
        <v>12166.05</v>
      </c>
      <c r="H1506" s="103" t="s">
        <v>2474</v>
      </c>
      <c r="I1506" s="104"/>
      <c r="J1506" s="105"/>
    </row>
    <row r="1507" customFormat="false" ht="15" hidden="false" customHeight="false" outlineLevel="0" collapsed="false">
      <c r="B1507" s="90" t="n">
        <v>1026</v>
      </c>
      <c r="C1507" s="91" t="n">
        <v>2095770</v>
      </c>
      <c r="D1507" s="92" t="n">
        <f aca="false">IF($C1507="","",IFERROR(IF(INDEX('REGISTRE TUBES'!$C$7:$C$2506,MATCH($C1507,'REGISTRE TUBES'!$B$7:$B$2506,0))="","",INDEX('REGISTRE TUBES'!$C$7:$C$2506,MATCH($C1507,'REGISTRE TUBES'!$B$7:$B$2506,0))),"?"))</f>
        <v>15421111</v>
      </c>
      <c r="E1507" s="92" t="str">
        <f aca="false">IF($C1507="","",IFERROR(IF(INDEX('REGISTRE TUBES'!$D$7:$D$2506,MATCH($C1507,'REGISTRE TUBES'!$B$7:$B$2506,0))="","",INDEX('REGISTRE TUBES'!$D$7:$D$2506,MATCH($C1507,'REGISTRE TUBES'!$B$7:$B$2506,0))),"?"))</f>
        <v/>
      </c>
      <c r="F1507" s="93" t="n">
        <f aca="false">IF($C1507="","",IFERROR(IF(INDEX('REGISTRE TUBES'!$F$7:$F$2506,MATCH($C1507,'REGISTRE TUBES'!$B$7:$B$2506,0))="","",INDEX('REGISTRE TUBES'!$F$7:$F$2506,MATCH($C1507,'REGISTRE TUBES'!$B$7:$B$2506,0))),"?"))</f>
        <v>11.94</v>
      </c>
      <c r="G1507" s="94" t="n">
        <f aca="false">IF($C1507="","",N(G1506)+N(F1507))</f>
        <v>12177.99</v>
      </c>
      <c r="H1507" s="95" t="s">
        <v>2475</v>
      </c>
      <c r="I1507" s="96"/>
      <c r="J1507" s="97"/>
    </row>
    <row r="1508" customFormat="false" ht="15" hidden="false" customHeight="true" outlineLevel="0" collapsed="false">
      <c r="B1508" s="106" t="s">
        <v>3031</v>
      </c>
      <c r="C1508" s="106"/>
      <c r="D1508" s="106"/>
      <c r="E1508" s="106"/>
      <c r="F1508" s="107" t="n">
        <f aca="false">SUM(F1489:F1507)</f>
        <v>226.86</v>
      </c>
      <c r="G1508" s="108" t="n">
        <f aca="false">IF(COUNT(G1489:G1507)=0,"",MAX(G1489:G1507))</f>
        <v>12177.99</v>
      </c>
      <c r="H1508" s="106" t="str">
        <f aca="false">COUNTA(C1489:C1507)&amp;" tube(s)"</f>
        <v>19 tube(s)</v>
      </c>
      <c r="I1508" s="106"/>
      <c r="J1508" s="106"/>
    </row>
    <row r="1510" customFormat="false" ht="15" hidden="false" customHeight="false" outlineLevel="0" collapsed="false">
      <c r="B1510" s="109" t="s">
        <v>3032</v>
      </c>
      <c r="F1510" s="109" t="s">
        <v>3033</v>
      </c>
      <c r="I1510" s="109" t="s">
        <v>3034</v>
      </c>
    </row>
    <row r="1513" customFormat="false" ht="25.5" hidden="false" customHeight="true" outlineLevel="0" collapsed="false">
      <c r="B1513" s="85" t="s">
        <v>3015</v>
      </c>
      <c r="C1513" s="85"/>
      <c r="D1513" s="85"/>
      <c r="E1513" s="85"/>
      <c r="F1513" s="85"/>
      <c r="G1513" s="85"/>
      <c r="H1513" s="85"/>
      <c r="I1513" s="85"/>
      <c r="J1513" s="85"/>
    </row>
    <row r="1514" customFormat="false" ht="15" hidden="false" customHeight="false" outlineLevel="0" collapsed="false">
      <c r="B1514" s="86" t="str">
        <f aca="false">PARAMÈTRES!$C$4&amp;"   •   Affaire N° "&amp;PARAMÈTRES!$C$5</f>
        <v>Développement des champs gaziers TFT II — réseau de collecte TFT Sud (LIGNE-16)   •   Affaire N° 8546</v>
      </c>
      <c r="C1514" s="86"/>
      <c r="D1514" s="86"/>
      <c r="E1514" s="86"/>
      <c r="F1514" s="86"/>
      <c r="G1514" s="86"/>
      <c r="H1514" s="86"/>
      <c r="I1514" s="86"/>
      <c r="J1514" s="86"/>
    </row>
    <row r="1515" customFormat="false" ht="19.5" hidden="false" customHeight="true" outlineLevel="0" collapsed="false">
      <c r="B1515" s="87" t="s">
        <v>3016</v>
      </c>
      <c r="C1515" s="88" t="s">
        <v>110</v>
      </c>
      <c r="D1515" s="88"/>
      <c r="E1515" s="87" t="s">
        <v>3017</v>
      </c>
      <c r="F1515" s="88" t="s">
        <v>3141</v>
      </c>
      <c r="G1515" s="87" t="s">
        <v>3019</v>
      </c>
      <c r="H1515" s="88" t="s">
        <v>3142</v>
      </c>
      <c r="I1515" s="87" t="s">
        <v>3021</v>
      </c>
      <c r="J1515" s="89"/>
    </row>
    <row r="1516" customFormat="false" ht="27.75" hidden="false" customHeight="true" outlineLevel="0" collapsed="false">
      <c r="B1516" s="71" t="s">
        <v>3022</v>
      </c>
      <c r="C1516" s="71" t="s">
        <v>3023</v>
      </c>
      <c r="D1516" s="71" t="s">
        <v>3024</v>
      </c>
      <c r="E1516" s="71" t="s">
        <v>3025</v>
      </c>
      <c r="F1516" s="71" t="s">
        <v>3026</v>
      </c>
      <c r="G1516" s="71" t="s">
        <v>3027</v>
      </c>
      <c r="H1516" s="71" t="s">
        <v>3028</v>
      </c>
      <c r="I1516" s="71" t="s">
        <v>3029</v>
      </c>
      <c r="J1516" s="71" t="s">
        <v>3030</v>
      </c>
    </row>
    <row r="1517" customFormat="false" ht="15" hidden="false" customHeight="false" outlineLevel="0" collapsed="false">
      <c r="B1517" s="90" t="n">
        <v>1027</v>
      </c>
      <c r="C1517" s="91" t="n">
        <v>2096250</v>
      </c>
      <c r="D1517" s="92" t="n">
        <f aca="false">IF($C1517="","",IFERROR(IF(INDEX('REGISTRE TUBES'!$C$7:$C$2506,MATCH($C1517,'REGISTRE TUBES'!$B$7:$B$2506,0))="","",INDEX('REGISTRE TUBES'!$C$7:$C$2506,MATCH($C1517,'REGISTRE TUBES'!$B$7:$B$2506,0))),"?"))</f>
        <v>15421111</v>
      </c>
      <c r="E1517" s="92" t="str">
        <f aca="false">IF($C1517="","",IFERROR(IF(INDEX('REGISTRE TUBES'!$D$7:$D$2506,MATCH($C1517,'REGISTRE TUBES'!$B$7:$B$2506,0))="","",INDEX('REGISTRE TUBES'!$D$7:$D$2506,MATCH($C1517,'REGISTRE TUBES'!$B$7:$B$2506,0))),"?"))</f>
        <v/>
      </c>
      <c r="F1517" s="93" t="n">
        <f aca="false">IF($C1517="","",IFERROR(IF(INDEX('REGISTRE TUBES'!$F$7:$F$2506,MATCH($C1517,'REGISTRE TUBES'!$B$7:$B$2506,0))="","",INDEX('REGISTRE TUBES'!$F$7:$F$2506,MATCH($C1517,'REGISTRE TUBES'!$B$7:$B$2506,0))),"?"))</f>
        <v>11.94</v>
      </c>
      <c r="G1517" s="94" t="n">
        <f aca="false">IF($C1517="","",N(G1507)+N(F1517))</f>
        <v>12189.9300000001</v>
      </c>
      <c r="H1517" s="95" t="s">
        <v>2478</v>
      </c>
      <c r="I1517" s="96"/>
      <c r="J1517" s="97"/>
    </row>
    <row r="1518" customFormat="false" ht="15" hidden="false" customHeight="false" outlineLevel="0" collapsed="false">
      <c r="B1518" s="98" t="n">
        <v>1028</v>
      </c>
      <c r="C1518" s="99" t="n">
        <v>2096890</v>
      </c>
      <c r="D1518" s="100" t="n">
        <f aca="false">IF($C1518="","",IFERROR(IF(INDEX('REGISTRE TUBES'!$C$7:$C$2506,MATCH($C1518,'REGISTRE TUBES'!$B$7:$B$2506,0))="","",INDEX('REGISTRE TUBES'!$C$7:$C$2506,MATCH($C1518,'REGISTRE TUBES'!$B$7:$B$2506,0))),"?"))</f>
        <v>15421111</v>
      </c>
      <c r="E1518" s="100" t="str">
        <f aca="false">IF($C1518="","",IFERROR(IF(INDEX('REGISTRE TUBES'!$D$7:$D$2506,MATCH($C1518,'REGISTRE TUBES'!$B$7:$B$2506,0))="","",INDEX('REGISTRE TUBES'!$D$7:$D$2506,MATCH($C1518,'REGISTRE TUBES'!$B$7:$B$2506,0))),"?"))</f>
        <v/>
      </c>
      <c r="F1518" s="101" t="n">
        <f aca="false">IF($C1518="","",IFERROR(IF(INDEX('REGISTRE TUBES'!$F$7:$F$2506,MATCH($C1518,'REGISTRE TUBES'!$B$7:$B$2506,0))="","",INDEX('REGISTRE TUBES'!$F$7:$F$2506,MATCH($C1518,'REGISTRE TUBES'!$B$7:$B$2506,0))),"?"))</f>
        <v>11.94</v>
      </c>
      <c r="G1518" s="102" t="n">
        <f aca="false">IF($C1518="","",N(G1517)+N(F1518))</f>
        <v>12201.8700000001</v>
      </c>
      <c r="H1518" s="103" t="s">
        <v>2479</v>
      </c>
      <c r="I1518" s="104"/>
      <c r="J1518" s="105"/>
    </row>
    <row r="1519" customFormat="false" ht="15" hidden="false" customHeight="false" outlineLevel="0" collapsed="false">
      <c r="B1519" s="90" t="n">
        <v>1029</v>
      </c>
      <c r="C1519" s="91" t="n">
        <v>2083920</v>
      </c>
      <c r="D1519" s="92" t="n">
        <f aca="false">IF($C1519="","",IFERROR(IF(INDEX('REGISTRE TUBES'!$C$7:$C$2506,MATCH($C1519,'REGISTRE TUBES'!$B$7:$B$2506,0))="","",INDEX('REGISTRE TUBES'!$C$7:$C$2506,MATCH($C1519,'REGISTRE TUBES'!$B$7:$B$2506,0))),"?"))</f>
        <v>15421106</v>
      </c>
      <c r="E1519" s="92" t="str">
        <f aca="false">IF($C1519="","",IFERROR(IF(INDEX('REGISTRE TUBES'!$D$7:$D$2506,MATCH($C1519,'REGISTRE TUBES'!$B$7:$B$2506,0))="","",INDEX('REGISTRE TUBES'!$D$7:$D$2506,MATCH($C1519,'REGISTRE TUBES'!$B$7:$B$2506,0))),"?"))</f>
        <v/>
      </c>
      <c r="F1519" s="93" t="n">
        <f aca="false">IF($C1519="","",IFERROR(IF(INDEX('REGISTRE TUBES'!$F$7:$F$2506,MATCH($C1519,'REGISTRE TUBES'!$B$7:$B$2506,0))="","",INDEX('REGISTRE TUBES'!$F$7:$F$2506,MATCH($C1519,'REGISTRE TUBES'!$B$7:$B$2506,0))),"?"))</f>
        <v>11.94</v>
      </c>
      <c r="G1519" s="94" t="n">
        <f aca="false">IF($C1519="","",N(G1518)+N(F1519))</f>
        <v>12213.8100000001</v>
      </c>
      <c r="H1519" s="95" t="s">
        <v>2480</v>
      </c>
      <c r="I1519" s="96"/>
      <c r="J1519" s="97"/>
    </row>
    <row r="1520" customFormat="false" ht="15" hidden="false" customHeight="false" outlineLevel="0" collapsed="false">
      <c r="B1520" s="98" t="n">
        <v>1030</v>
      </c>
      <c r="C1520" s="99" t="n">
        <v>2091060</v>
      </c>
      <c r="D1520" s="100" t="n">
        <f aca="false">IF($C1520="","",IFERROR(IF(INDEX('REGISTRE TUBES'!$C$7:$C$2506,MATCH($C1520,'REGISTRE TUBES'!$B$7:$B$2506,0))="","",INDEX('REGISTRE TUBES'!$C$7:$C$2506,MATCH($C1520,'REGISTRE TUBES'!$B$7:$B$2506,0))),"?"))</f>
        <v>15421109</v>
      </c>
      <c r="E1520" s="100" t="str">
        <f aca="false">IF($C1520="","",IFERROR(IF(INDEX('REGISTRE TUBES'!$D$7:$D$2506,MATCH($C1520,'REGISTRE TUBES'!$B$7:$B$2506,0))="","",INDEX('REGISTRE TUBES'!$D$7:$D$2506,MATCH($C1520,'REGISTRE TUBES'!$B$7:$B$2506,0))),"?"))</f>
        <v/>
      </c>
      <c r="F1520" s="101" t="n">
        <f aca="false">IF($C1520="","",IFERROR(IF(INDEX('REGISTRE TUBES'!$F$7:$F$2506,MATCH($C1520,'REGISTRE TUBES'!$B$7:$B$2506,0))="","",INDEX('REGISTRE TUBES'!$F$7:$F$2506,MATCH($C1520,'REGISTRE TUBES'!$B$7:$B$2506,0))),"?"))</f>
        <v>11.94</v>
      </c>
      <c r="G1520" s="102" t="n">
        <f aca="false">IF($C1520="","",N(G1519)+N(F1520))</f>
        <v>12225.7500000001</v>
      </c>
      <c r="H1520" s="103" t="s">
        <v>2481</v>
      </c>
      <c r="I1520" s="104"/>
      <c r="J1520" s="105"/>
    </row>
    <row r="1521" customFormat="false" ht="15" hidden="false" customHeight="false" outlineLevel="0" collapsed="false">
      <c r="B1521" s="90" t="n">
        <v>1031</v>
      </c>
      <c r="C1521" s="91" t="n">
        <v>2093650</v>
      </c>
      <c r="D1521" s="92" t="n">
        <f aca="false">IF($C1521="","",IFERROR(IF(INDEX('REGISTRE TUBES'!$C$7:$C$2506,MATCH($C1521,'REGISTRE TUBES'!$B$7:$B$2506,0))="","",INDEX('REGISTRE TUBES'!$C$7:$C$2506,MATCH($C1521,'REGISTRE TUBES'!$B$7:$B$2506,0))),"?"))</f>
        <v>15421110</v>
      </c>
      <c r="E1521" s="92" t="str">
        <f aca="false">IF($C1521="","",IFERROR(IF(INDEX('REGISTRE TUBES'!$D$7:$D$2506,MATCH($C1521,'REGISTRE TUBES'!$B$7:$B$2506,0))="","",INDEX('REGISTRE TUBES'!$D$7:$D$2506,MATCH($C1521,'REGISTRE TUBES'!$B$7:$B$2506,0))),"?"))</f>
        <v/>
      </c>
      <c r="F1521" s="93" t="n">
        <f aca="false">IF($C1521="","",IFERROR(IF(INDEX('REGISTRE TUBES'!$F$7:$F$2506,MATCH($C1521,'REGISTRE TUBES'!$B$7:$B$2506,0))="","",INDEX('REGISTRE TUBES'!$F$7:$F$2506,MATCH($C1521,'REGISTRE TUBES'!$B$7:$B$2506,0))),"?"))</f>
        <v>11.94</v>
      </c>
      <c r="G1521" s="94" t="n">
        <f aca="false">IF($C1521="","",N(G1520)+N(F1521))</f>
        <v>12237.6900000001</v>
      </c>
      <c r="H1521" s="95" t="s">
        <v>2483</v>
      </c>
      <c r="I1521" s="96"/>
      <c r="J1521" s="97"/>
    </row>
    <row r="1522" customFormat="false" ht="15" hidden="false" customHeight="false" outlineLevel="0" collapsed="false">
      <c r="B1522" s="98" t="n">
        <v>1032</v>
      </c>
      <c r="C1522" s="99" t="n">
        <v>2084820</v>
      </c>
      <c r="D1522" s="100" t="n">
        <f aca="false">IF($C1522="","",IFERROR(IF(INDEX('REGISTRE TUBES'!$C$7:$C$2506,MATCH($C1522,'REGISTRE TUBES'!$B$7:$B$2506,0))="","",INDEX('REGISTRE TUBES'!$C$7:$C$2506,MATCH($C1522,'REGISTRE TUBES'!$B$7:$B$2506,0))),"?"))</f>
        <v>15421106</v>
      </c>
      <c r="E1522" s="100" t="str">
        <f aca="false">IF($C1522="","",IFERROR(IF(INDEX('REGISTRE TUBES'!$D$7:$D$2506,MATCH($C1522,'REGISTRE TUBES'!$B$7:$B$2506,0))="","",INDEX('REGISTRE TUBES'!$D$7:$D$2506,MATCH($C1522,'REGISTRE TUBES'!$B$7:$B$2506,0))),"?"))</f>
        <v/>
      </c>
      <c r="F1522" s="101" t="n">
        <f aca="false">IF($C1522="","",IFERROR(IF(INDEX('REGISTRE TUBES'!$F$7:$F$2506,MATCH($C1522,'REGISTRE TUBES'!$B$7:$B$2506,0))="","",INDEX('REGISTRE TUBES'!$F$7:$F$2506,MATCH($C1522,'REGISTRE TUBES'!$B$7:$B$2506,0))),"?"))</f>
        <v>11.94</v>
      </c>
      <c r="G1522" s="102" t="n">
        <f aca="false">IF($C1522="","",N(G1521)+N(F1522))</f>
        <v>12249.6300000001</v>
      </c>
      <c r="H1522" s="103" t="s">
        <v>2484</v>
      </c>
      <c r="I1522" s="104"/>
      <c r="J1522" s="105"/>
    </row>
    <row r="1523" customFormat="false" ht="15" hidden="false" customHeight="false" outlineLevel="0" collapsed="false">
      <c r="B1523" s="90" t="n">
        <v>1033</v>
      </c>
      <c r="C1523" s="91" t="n">
        <v>2084250</v>
      </c>
      <c r="D1523" s="92" t="n">
        <f aca="false">IF($C1523="","",IFERROR(IF(INDEX('REGISTRE TUBES'!$C$7:$C$2506,MATCH($C1523,'REGISTRE TUBES'!$B$7:$B$2506,0))="","",INDEX('REGISTRE TUBES'!$C$7:$C$2506,MATCH($C1523,'REGISTRE TUBES'!$B$7:$B$2506,0))),"?"))</f>
        <v>15421106</v>
      </c>
      <c r="E1523" s="92" t="str">
        <f aca="false">IF($C1523="","",IFERROR(IF(INDEX('REGISTRE TUBES'!$D$7:$D$2506,MATCH($C1523,'REGISTRE TUBES'!$B$7:$B$2506,0))="","",INDEX('REGISTRE TUBES'!$D$7:$D$2506,MATCH($C1523,'REGISTRE TUBES'!$B$7:$B$2506,0))),"?"))</f>
        <v/>
      </c>
      <c r="F1523" s="93" t="n">
        <f aca="false">IF($C1523="","",IFERROR(IF(INDEX('REGISTRE TUBES'!$F$7:$F$2506,MATCH($C1523,'REGISTRE TUBES'!$B$7:$B$2506,0))="","",INDEX('REGISTRE TUBES'!$F$7:$F$2506,MATCH($C1523,'REGISTRE TUBES'!$B$7:$B$2506,0))),"?"))</f>
        <v>11.94</v>
      </c>
      <c r="G1523" s="94" t="n">
        <f aca="false">IF($C1523="","",N(G1522)+N(F1523))</f>
        <v>12261.5700000001</v>
      </c>
      <c r="H1523" s="95" t="s">
        <v>2485</v>
      </c>
      <c r="I1523" s="96"/>
      <c r="J1523" s="97"/>
    </row>
    <row r="1524" customFormat="false" ht="15" hidden="false" customHeight="false" outlineLevel="0" collapsed="false">
      <c r="B1524" s="98" t="n">
        <v>1034</v>
      </c>
      <c r="C1524" s="99" t="n">
        <v>2084690</v>
      </c>
      <c r="D1524" s="100" t="n">
        <f aca="false">IF($C1524="","",IFERROR(IF(INDEX('REGISTRE TUBES'!$C$7:$C$2506,MATCH($C1524,'REGISTRE TUBES'!$B$7:$B$2506,0))="","",INDEX('REGISTRE TUBES'!$C$7:$C$2506,MATCH($C1524,'REGISTRE TUBES'!$B$7:$B$2506,0))),"?"))</f>
        <v>15421106</v>
      </c>
      <c r="E1524" s="100" t="str">
        <f aca="false">IF($C1524="","",IFERROR(IF(INDEX('REGISTRE TUBES'!$D$7:$D$2506,MATCH($C1524,'REGISTRE TUBES'!$B$7:$B$2506,0))="","",INDEX('REGISTRE TUBES'!$D$7:$D$2506,MATCH($C1524,'REGISTRE TUBES'!$B$7:$B$2506,0))),"?"))</f>
        <v/>
      </c>
      <c r="F1524" s="101" t="n">
        <f aca="false">IF($C1524="","",IFERROR(IF(INDEX('REGISTRE TUBES'!$F$7:$F$2506,MATCH($C1524,'REGISTRE TUBES'!$B$7:$B$2506,0))="","",INDEX('REGISTRE TUBES'!$F$7:$F$2506,MATCH($C1524,'REGISTRE TUBES'!$B$7:$B$2506,0))),"?"))</f>
        <v>11.94</v>
      </c>
      <c r="G1524" s="102" t="n">
        <f aca="false">IF($C1524="","",N(G1523)+N(F1524))</f>
        <v>12273.5100000001</v>
      </c>
      <c r="H1524" s="103" t="s">
        <v>2486</v>
      </c>
      <c r="I1524" s="104"/>
      <c r="J1524" s="105"/>
    </row>
    <row r="1525" customFormat="false" ht="15" hidden="false" customHeight="false" outlineLevel="0" collapsed="false">
      <c r="B1525" s="90" t="n">
        <v>1035</v>
      </c>
      <c r="C1525" s="91" t="n">
        <v>2088810</v>
      </c>
      <c r="D1525" s="92" t="n">
        <f aca="false">IF($C1525="","",IFERROR(IF(INDEX('REGISTRE TUBES'!$C$7:$C$2506,MATCH($C1525,'REGISTRE TUBES'!$B$7:$B$2506,0))="","",INDEX('REGISTRE TUBES'!$C$7:$C$2506,MATCH($C1525,'REGISTRE TUBES'!$B$7:$B$2506,0))),"?"))</f>
        <v>15421108</v>
      </c>
      <c r="E1525" s="92" t="str">
        <f aca="false">IF($C1525="","",IFERROR(IF(INDEX('REGISTRE TUBES'!$D$7:$D$2506,MATCH($C1525,'REGISTRE TUBES'!$B$7:$B$2506,0))="","",INDEX('REGISTRE TUBES'!$D$7:$D$2506,MATCH($C1525,'REGISTRE TUBES'!$B$7:$B$2506,0))),"?"))</f>
        <v/>
      </c>
      <c r="F1525" s="93" t="n">
        <f aca="false">IF($C1525="","",IFERROR(IF(INDEX('REGISTRE TUBES'!$F$7:$F$2506,MATCH($C1525,'REGISTRE TUBES'!$B$7:$B$2506,0))="","",INDEX('REGISTRE TUBES'!$F$7:$F$2506,MATCH($C1525,'REGISTRE TUBES'!$B$7:$B$2506,0))),"?"))</f>
        <v>11.94</v>
      </c>
      <c r="G1525" s="94" t="n">
        <f aca="false">IF($C1525="","",N(G1524)+N(F1525))</f>
        <v>12285.4500000001</v>
      </c>
      <c r="H1525" s="95" t="s">
        <v>2487</v>
      </c>
      <c r="I1525" s="96"/>
      <c r="J1525" s="97"/>
    </row>
    <row r="1526" customFormat="false" ht="15" hidden="false" customHeight="false" outlineLevel="0" collapsed="false">
      <c r="B1526" s="98" t="n">
        <v>1036</v>
      </c>
      <c r="C1526" s="99" t="n">
        <v>2095570</v>
      </c>
      <c r="D1526" s="100" t="n">
        <f aca="false">IF($C1526="","",IFERROR(IF(INDEX('REGISTRE TUBES'!$C$7:$C$2506,MATCH($C1526,'REGISTRE TUBES'!$B$7:$B$2506,0))="","",INDEX('REGISTRE TUBES'!$C$7:$C$2506,MATCH($C1526,'REGISTRE TUBES'!$B$7:$B$2506,0))),"?"))</f>
        <v>15421111</v>
      </c>
      <c r="E1526" s="100" t="str">
        <f aca="false">IF($C1526="","",IFERROR(IF(INDEX('REGISTRE TUBES'!$D$7:$D$2506,MATCH($C1526,'REGISTRE TUBES'!$B$7:$B$2506,0))="","",INDEX('REGISTRE TUBES'!$D$7:$D$2506,MATCH($C1526,'REGISTRE TUBES'!$B$7:$B$2506,0))),"?"))</f>
        <v/>
      </c>
      <c r="F1526" s="101" t="n">
        <f aca="false">IF($C1526="","",IFERROR(IF(INDEX('REGISTRE TUBES'!$F$7:$F$2506,MATCH($C1526,'REGISTRE TUBES'!$B$7:$B$2506,0))="","",INDEX('REGISTRE TUBES'!$F$7:$F$2506,MATCH($C1526,'REGISTRE TUBES'!$B$7:$B$2506,0))),"?"))</f>
        <v>11.94</v>
      </c>
      <c r="G1526" s="102" t="n">
        <f aca="false">IF($C1526="","",N(G1525)+N(F1526))</f>
        <v>12297.3900000001</v>
      </c>
      <c r="H1526" s="103" t="s">
        <v>2488</v>
      </c>
      <c r="I1526" s="104"/>
      <c r="J1526" s="105"/>
    </row>
    <row r="1527" customFormat="false" ht="15" hidden="false" customHeight="false" outlineLevel="0" collapsed="false">
      <c r="B1527" s="90" t="n">
        <v>1037</v>
      </c>
      <c r="C1527" s="91" t="n">
        <v>2094670</v>
      </c>
      <c r="D1527" s="92" t="n">
        <f aca="false">IF($C1527="","",IFERROR(IF(INDEX('REGISTRE TUBES'!$C$7:$C$2506,MATCH($C1527,'REGISTRE TUBES'!$B$7:$B$2506,0))="","",INDEX('REGISTRE TUBES'!$C$7:$C$2506,MATCH($C1527,'REGISTRE TUBES'!$B$7:$B$2506,0))),"?"))</f>
        <v>15421111</v>
      </c>
      <c r="E1527" s="92" t="str">
        <f aca="false">IF($C1527="","",IFERROR(IF(INDEX('REGISTRE TUBES'!$D$7:$D$2506,MATCH($C1527,'REGISTRE TUBES'!$B$7:$B$2506,0))="","",INDEX('REGISTRE TUBES'!$D$7:$D$2506,MATCH($C1527,'REGISTRE TUBES'!$B$7:$B$2506,0))),"?"))</f>
        <v/>
      </c>
      <c r="F1527" s="93" t="n">
        <f aca="false">IF($C1527="","",IFERROR(IF(INDEX('REGISTRE TUBES'!$F$7:$F$2506,MATCH($C1527,'REGISTRE TUBES'!$B$7:$B$2506,0))="","",INDEX('REGISTRE TUBES'!$F$7:$F$2506,MATCH($C1527,'REGISTRE TUBES'!$B$7:$B$2506,0))),"?"))</f>
        <v>11.94</v>
      </c>
      <c r="G1527" s="94" t="n">
        <f aca="false">IF($C1527="","",N(G1526)+N(F1527))</f>
        <v>12309.3300000001</v>
      </c>
      <c r="H1527" s="95" t="s">
        <v>2511</v>
      </c>
      <c r="I1527" s="96"/>
      <c r="J1527" s="97"/>
    </row>
    <row r="1528" customFormat="false" ht="15" hidden="false" customHeight="false" outlineLevel="0" collapsed="false">
      <c r="B1528" s="98" t="n">
        <v>1038</v>
      </c>
      <c r="C1528" s="99" t="n">
        <v>2087930</v>
      </c>
      <c r="D1528" s="100" t="n">
        <f aca="false">IF($C1528="","",IFERROR(IF(INDEX('REGISTRE TUBES'!$C$7:$C$2506,MATCH($C1528,'REGISTRE TUBES'!$B$7:$B$2506,0))="","",INDEX('REGISTRE TUBES'!$C$7:$C$2506,MATCH($C1528,'REGISTRE TUBES'!$B$7:$B$2506,0))),"?"))</f>
        <v>15421108</v>
      </c>
      <c r="E1528" s="100" t="str">
        <f aca="false">IF($C1528="","",IFERROR(IF(INDEX('REGISTRE TUBES'!$D$7:$D$2506,MATCH($C1528,'REGISTRE TUBES'!$B$7:$B$2506,0))="","",INDEX('REGISTRE TUBES'!$D$7:$D$2506,MATCH($C1528,'REGISTRE TUBES'!$B$7:$B$2506,0))),"?"))</f>
        <v/>
      </c>
      <c r="F1528" s="101" t="n">
        <f aca="false">IF($C1528="","",IFERROR(IF(INDEX('REGISTRE TUBES'!$F$7:$F$2506,MATCH($C1528,'REGISTRE TUBES'!$B$7:$B$2506,0))="","",INDEX('REGISTRE TUBES'!$F$7:$F$2506,MATCH($C1528,'REGISTRE TUBES'!$B$7:$B$2506,0))),"?"))</f>
        <v>11.94</v>
      </c>
      <c r="G1528" s="102" t="n">
        <f aca="false">IF($C1528="","",N(G1527)+N(F1528))</f>
        <v>12321.2700000001</v>
      </c>
      <c r="H1528" s="103" t="s">
        <v>2513</v>
      </c>
      <c r="I1528" s="104"/>
      <c r="J1528" s="105"/>
    </row>
    <row r="1529" customFormat="false" ht="15" hidden="false" customHeight="false" outlineLevel="0" collapsed="false">
      <c r="B1529" s="90" t="n">
        <v>1039</v>
      </c>
      <c r="C1529" s="91" t="n">
        <v>2088610</v>
      </c>
      <c r="D1529" s="92" t="n">
        <f aca="false">IF($C1529="","",IFERROR(IF(INDEX('REGISTRE TUBES'!$C$7:$C$2506,MATCH($C1529,'REGISTRE TUBES'!$B$7:$B$2506,0))="","",INDEX('REGISTRE TUBES'!$C$7:$C$2506,MATCH($C1529,'REGISTRE TUBES'!$B$7:$B$2506,0))),"?"))</f>
        <v>15421108</v>
      </c>
      <c r="E1529" s="92" t="str">
        <f aca="false">IF($C1529="","",IFERROR(IF(INDEX('REGISTRE TUBES'!$D$7:$D$2506,MATCH($C1529,'REGISTRE TUBES'!$B$7:$B$2506,0))="","",INDEX('REGISTRE TUBES'!$D$7:$D$2506,MATCH($C1529,'REGISTRE TUBES'!$B$7:$B$2506,0))),"?"))</f>
        <v/>
      </c>
      <c r="F1529" s="93" t="n">
        <f aca="false">IF($C1529="","",IFERROR(IF(INDEX('REGISTRE TUBES'!$F$7:$F$2506,MATCH($C1529,'REGISTRE TUBES'!$B$7:$B$2506,0))="","",INDEX('REGISTRE TUBES'!$F$7:$F$2506,MATCH($C1529,'REGISTRE TUBES'!$B$7:$B$2506,0))),"?"))</f>
        <v>11.94</v>
      </c>
      <c r="G1529" s="94" t="n">
        <f aca="false">IF($C1529="","",N(G1528)+N(F1529))</f>
        <v>12333.2100000001</v>
      </c>
      <c r="H1529" s="95" t="s">
        <v>2514</v>
      </c>
      <c r="I1529" s="96"/>
      <c r="J1529" s="97"/>
    </row>
    <row r="1530" customFormat="false" ht="15" hidden="false" customHeight="false" outlineLevel="0" collapsed="false">
      <c r="B1530" s="98" t="n">
        <v>1040</v>
      </c>
      <c r="C1530" s="99" t="n">
        <v>2086780</v>
      </c>
      <c r="D1530" s="100" t="n">
        <f aca="false">IF($C1530="","",IFERROR(IF(INDEX('REGISTRE TUBES'!$C$7:$C$2506,MATCH($C1530,'REGISTRE TUBES'!$B$7:$B$2506,0))="","",INDEX('REGISTRE TUBES'!$C$7:$C$2506,MATCH($C1530,'REGISTRE TUBES'!$B$7:$B$2506,0))),"?"))</f>
        <v>15421107</v>
      </c>
      <c r="E1530" s="100" t="str">
        <f aca="false">IF($C1530="","",IFERROR(IF(INDEX('REGISTRE TUBES'!$D$7:$D$2506,MATCH($C1530,'REGISTRE TUBES'!$B$7:$B$2506,0))="","",INDEX('REGISTRE TUBES'!$D$7:$D$2506,MATCH($C1530,'REGISTRE TUBES'!$B$7:$B$2506,0))),"?"))</f>
        <v/>
      </c>
      <c r="F1530" s="101" t="n">
        <f aca="false">IF($C1530="","",IFERROR(IF(INDEX('REGISTRE TUBES'!$F$7:$F$2506,MATCH($C1530,'REGISTRE TUBES'!$B$7:$B$2506,0))="","",INDEX('REGISTRE TUBES'!$F$7:$F$2506,MATCH($C1530,'REGISTRE TUBES'!$B$7:$B$2506,0))),"?"))</f>
        <v>11.94</v>
      </c>
      <c r="G1530" s="102" t="n">
        <f aca="false">IF($C1530="","",N(G1529)+N(F1530))</f>
        <v>12345.1500000001</v>
      </c>
      <c r="H1530" s="103" t="s">
        <v>2515</v>
      </c>
      <c r="I1530" s="104"/>
      <c r="J1530" s="105"/>
    </row>
    <row r="1531" customFormat="false" ht="15" hidden="false" customHeight="false" outlineLevel="0" collapsed="false">
      <c r="B1531" s="90" t="n">
        <v>1041</v>
      </c>
      <c r="C1531" s="91" t="n">
        <v>2084160</v>
      </c>
      <c r="D1531" s="92" t="n">
        <f aca="false">IF($C1531="","",IFERROR(IF(INDEX('REGISTRE TUBES'!$C$7:$C$2506,MATCH($C1531,'REGISTRE TUBES'!$B$7:$B$2506,0))="","",INDEX('REGISTRE TUBES'!$C$7:$C$2506,MATCH($C1531,'REGISTRE TUBES'!$B$7:$B$2506,0))),"?"))</f>
        <v>15421106</v>
      </c>
      <c r="E1531" s="92" t="str">
        <f aca="false">IF($C1531="","",IFERROR(IF(INDEX('REGISTRE TUBES'!$D$7:$D$2506,MATCH($C1531,'REGISTRE TUBES'!$B$7:$B$2506,0))="","",INDEX('REGISTRE TUBES'!$D$7:$D$2506,MATCH($C1531,'REGISTRE TUBES'!$B$7:$B$2506,0))),"?"))</f>
        <v/>
      </c>
      <c r="F1531" s="93" t="n">
        <f aca="false">IF($C1531="","",IFERROR(IF(INDEX('REGISTRE TUBES'!$F$7:$F$2506,MATCH($C1531,'REGISTRE TUBES'!$B$7:$B$2506,0))="","",INDEX('REGISTRE TUBES'!$F$7:$F$2506,MATCH($C1531,'REGISTRE TUBES'!$B$7:$B$2506,0))),"?"))</f>
        <v>11.94</v>
      </c>
      <c r="G1531" s="94" t="n">
        <f aca="false">IF($C1531="","",N(G1530)+N(F1531))</f>
        <v>12357.0900000001</v>
      </c>
      <c r="H1531" s="95" t="s">
        <v>2516</v>
      </c>
      <c r="I1531" s="96"/>
      <c r="J1531" s="97"/>
    </row>
    <row r="1532" customFormat="false" ht="15" hidden="false" customHeight="false" outlineLevel="0" collapsed="false">
      <c r="B1532" s="98" t="n">
        <v>1042</v>
      </c>
      <c r="C1532" s="99" t="n">
        <v>2097720</v>
      </c>
      <c r="D1532" s="100" t="n">
        <f aca="false">IF($C1532="","",IFERROR(IF(INDEX('REGISTRE TUBES'!$C$7:$C$2506,MATCH($C1532,'REGISTRE TUBES'!$B$7:$B$2506,0))="","",INDEX('REGISTRE TUBES'!$C$7:$C$2506,MATCH($C1532,'REGISTRE TUBES'!$B$7:$B$2506,0))),"?"))</f>
        <v>15421112</v>
      </c>
      <c r="E1532" s="100" t="str">
        <f aca="false">IF($C1532="","",IFERROR(IF(INDEX('REGISTRE TUBES'!$D$7:$D$2506,MATCH($C1532,'REGISTRE TUBES'!$B$7:$B$2506,0))="","",INDEX('REGISTRE TUBES'!$D$7:$D$2506,MATCH($C1532,'REGISTRE TUBES'!$B$7:$B$2506,0))),"?"))</f>
        <v/>
      </c>
      <c r="F1532" s="101" t="n">
        <f aca="false">IF($C1532="","",IFERROR(IF(INDEX('REGISTRE TUBES'!$F$7:$F$2506,MATCH($C1532,'REGISTRE TUBES'!$B$7:$B$2506,0))="","",INDEX('REGISTRE TUBES'!$F$7:$F$2506,MATCH($C1532,'REGISTRE TUBES'!$B$7:$B$2506,0))),"?"))</f>
        <v>11.94</v>
      </c>
      <c r="G1532" s="102" t="n">
        <f aca="false">IF($C1532="","",N(G1531)+N(F1532))</f>
        <v>12369.0300000001</v>
      </c>
      <c r="H1532" s="103" t="s">
        <v>2519</v>
      </c>
      <c r="I1532" s="104"/>
      <c r="J1532" s="105"/>
    </row>
    <row r="1533" customFormat="false" ht="15" hidden="false" customHeight="false" outlineLevel="0" collapsed="false">
      <c r="B1533" s="90" t="n">
        <v>1043</v>
      </c>
      <c r="C1533" s="91" t="n">
        <v>2086020</v>
      </c>
      <c r="D1533" s="92" t="n">
        <f aca="false">IF($C1533="","",IFERROR(IF(INDEX('REGISTRE TUBES'!$C$7:$C$2506,MATCH($C1533,'REGISTRE TUBES'!$B$7:$B$2506,0))="","",INDEX('REGISTRE TUBES'!$C$7:$C$2506,MATCH($C1533,'REGISTRE TUBES'!$B$7:$B$2506,0))),"?"))</f>
        <v>15421109</v>
      </c>
      <c r="E1533" s="92" t="str">
        <f aca="false">IF($C1533="","",IFERROR(IF(INDEX('REGISTRE TUBES'!$D$7:$D$2506,MATCH($C1533,'REGISTRE TUBES'!$B$7:$B$2506,0))="","",INDEX('REGISTRE TUBES'!$D$7:$D$2506,MATCH($C1533,'REGISTRE TUBES'!$B$7:$B$2506,0))),"?"))</f>
        <v/>
      </c>
      <c r="F1533" s="93" t="n">
        <f aca="false">IF($C1533="","",IFERROR(IF(INDEX('REGISTRE TUBES'!$F$7:$F$2506,MATCH($C1533,'REGISTRE TUBES'!$B$7:$B$2506,0))="","",INDEX('REGISTRE TUBES'!$F$7:$F$2506,MATCH($C1533,'REGISTRE TUBES'!$B$7:$B$2506,0))),"?"))</f>
        <v>11.94</v>
      </c>
      <c r="G1533" s="94" t="n">
        <f aca="false">IF($C1533="","",N(G1532)+N(F1533))</f>
        <v>12380.9700000001</v>
      </c>
      <c r="H1533" s="95" t="s">
        <v>2521</v>
      </c>
      <c r="I1533" s="96"/>
      <c r="J1533" s="97"/>
    </row>
    <row r="1534" customFormat="false" ht="15" hidden="false" customHeight="false" outlineLevel="0" collapsed="false">
      <c r="B1534" s="98" t="n">
        <v>1044</v>
      </c>
      <c r="C1534" s="99" t="n">
        <v>2093500</v>
      </c>
      <c r="D1534" s="100" t="n">
        <f aca="false">IF($C1534="","",IFERROR(IF(INDEX('REGISTRE TUBES'!$C$7:$C$2506,MATCH($C1534,'REGISTRE TUBES'!$B$7:$B$2506,0))="","",INDEX('REGISTRE TUBES'!$C$7:$C$2506,MATCH($C1534,'REGISTRE TUBES'!$B$7:$B$2506,0))),"?"))</f>
        <v>15421110</v>
      </c>
      <c r="E1534" s="100" t="str">
        <f aca="false">IF($C1534="","",IFERROR(IF(INDEX('REGISTRE TUBES'!$D$7:$D$2506,MATCH($C1534,'REGISTRE TUBES'!$B$7:$B$2506,0))="","",INDEX('REGISTRE TUBES'!$D$7:$D$2506,MATCH($C1534,'REGISTRE TUBES'!$B$7:$B$2506,0))),"?"))</f>
        <v/>
      </c>
      <c r="F1534" s="101" t="n">
        <f aca="false">IF($C1534="","",IFERROR(IF(INDEX('REGISTRE TUBES'!$F$7:$F$2506,MATCH($C1534,'REGISTRE TUBES'!$B$7:$B$2506,0))="","",INDEX('REGISTRE TUBES'!$F$7:$F$2506,MATCH($C1534,'REGISTRE TUBES'!$B$7:$B$2506,0))),"?"))</f>
        <v>11.94</v>
      </c>
      <c r="G1534" s="102" t="n">
        <f aca="false">IF($C1534="","",N(G1533)+N(F1534))</f>
        <v>12392.9100000001</v>
      </c>
      <c r="H1534" s="103" t="s">
        <v>2522</v>
      </c>
      <c r="I1534" s="104"/>
      <c r="J1534" s="105"/>
    </row>
    <row r="1535" customFormat="false" ht="15" hidden="false" customHeight="false" outlineLevel="0" collapsed="false">
      <c r="B1535" s="90" t="n">
        <v>1045</v>
      </c>
      <c r="C1535" s="91" t="n">
        <v>2096120</v>
      </c>
      <c r="D1535" s="92" t="n">
        <f aca="false">IF($C1535="","",IFERROR(IF(INDEX('REGISTRE TUBES'!$C$7:$C$2506,MATCH($C1535,'REGISTRE TUBES'!$B$7:$B$2506,0))="","",INDEX('REGISTRE TUBES'!$C$7:$C$2506,MATCH($C1535,'REGISTRE TUBES'!$B$7:$B$2506,0))),"?"))</f>
        <v>15421111</v>
      </c>
      <c r="E1535" s="92" t="str">
        <f aca="false">IF($C1535="","",IFERROR(IF(INDEX('REGISTRE TUBES'!$D$7:$D$2506,MATCH($C1535,'REGISTRE TUBES'!$B$7:$B$2506,0))="","",INDEX('REGISTRE TUBES'!$D$7:$D$2506,MATCH($C1535,'REGISTRE TUBES'!$B$7:$B$2506,0))),"?"))</f>
        <v/>
      </c>
      <c r="F1535" s="93" t="n">
        <f aca="false">IF($C1535="","",IFERROR(IF(INDEX('REGISTRE TUBES'!$F$7:$F$2506,MATCH($C1535,'REGISTRE TUBES'!$B$7:$B$2506,0))="","",INDEX('REGISTRE TUBES'!$F$7:$F$2506,MATCH($C1535,'REGISTRE TUBES'!$B$7:$B$2506,0))),"?"))</f>
        <v>11.94</v>
      </c>
      <c r="G1535" s="94" t="n">
        <f aca="false">IF($C1535="","",N(G1534)+N(F1535))</f>
        <v>12404.8500000001</v>
      </c>
      <c r="H1535" s="95" t="s">
        <v>2524</v>
      </c>
      <c r="I1535" s="96"/>
      <c r="J1535" s="97"/>
    </row>
    <row r="1536" customFormat="false" ht="15" hidden="false" customHeight="true" outlineLevel="0" collapsed="false">
      <c r="B1536" s="106" t="s">
        <v>3031</v>
      </c>
      <c r="C1536" s="106"/>
      <c r="D1536" s="106"/>
      <c r="E1536" s="106"/>
      <c r="F1536" s="107" t="n">
        <f aca="false">SUM(F1517:F1535)</f>
        <v>226.86</v>
      </c>
      <c r="G1536" s="108" t="n">
        <f aca="false">IF(COUNT(G1517:G1535)=0,"",MAX(G1517:G1535))</f>
        <v>12404.8500000001</v>
      </c>
      <c r="H1536" s="106" t="str">
        <f aca="false">COUNTA(C1517:C1535)&amp;" tube(s)"</f>
        <v>19 tube(s)</v>
      </c>
      <c r="I1536" s="106"/>
      <c r="J1536" s="106"/>
    </row>
    <row r="1538" customFormat="false" ht="15" hidden="false" customHeight="false" outlineLevel="0" collapsed="false">
      <c r="B1538" s="109" t="s">
        <v>3032</v>
      </c>
      <c r="F1538" s="109" t="s">
        <v>3033</v>
      </c>
      <c r="I1538" s="109" t="s">
        <v>3034</v>
      </c>
    </row>
    <row r="1541" customFormat="false" ht="25.5" hidden="false" customHeight="true" outlineLevel="0" collapsed="false">
      <c r="B1541" s="85" t="s">
        <v>3015</v>
      </c>
      <c r="C1541" s="85"/>
      <c r="D1541" s="85"/>
      <c r="E1541" s="85"/>
      <c r="F1541" s="85"/>
      <c r="G1541" s="85"/>
      <c r="H1541" s="85"/>
      <c r="I1541" s="85"/>
      <c r="J1541" s="85"/>
    </row>
    <row r="1542" customFormat="false" ht="15" hidden="false" customHeight="false" outlineLevel="0" collapsed="false">
      <c r="B1542" s="86" t="str">
        <f aca="false">PARAMÈTRES!$C$4&amp;"   •   Affaire N° "&amp;PARAMÈTRES!$C$5</f>
        <v>Développement des champs gaziers TFT II — réseau de collecte TFT Sud (LIGNE-16)   •   Affaire N° 8546</v>
      </c>
      <c r="C1542" s="86"/>
      <c r="D1542" s="86"/>
      <c r="E1542" s="86"/>
      <c r="F1542" s="86"/>
      <c r="G1542" s="86"/>
      <c r="H1542" s="86"/>
      <c r="I1542" s="86"/>
      <c r="J1542" s="86"/>
    </row>
    <row r="1543" customFormat="false" ht="19.5" hidden="false" customHeight="true" outlineLevel="0" collapsed="false">
      <c r="B1543" s="87" t="s">
        <v>3016</v>
      </c>
      <c r="C1543" s="88" t="s">
        <v>110</v>
      </c>
      <c r="D1543" s="88"/>
      <c r="E1543" s="87" t="s">
        <v>3017</v>
      </c>
      <c r="F1543" s="88" t="s">
        <v>3143</v>
      </c>
      <c r="G1543" s="87" t="s">
        <v>3019</v>
      </c>
      <c r="H1543" s="88" t="s">
        <v>3144</v>
      </c>
      <c r="I1543" s="87" t="s">
        <v>3021</v>
      </c>
      <c r="J1543" s="89"/>
    </row>
    <row r="1544" customFormat="false" ht="27.75" hidden="false" customHeight="true" outlineLevel="0" collapsed="false">
      <c r="B1544" s="71" t="s">
        <v>3022</v>
      </c>
      <c r="C1544" s="71" t="s">
        <v>3023</v>
      </c>
      <c r="D1544" s="71" t="s">
        <v>3024</v>
      </c>
      <c r="E1544" s="71" t="s">
        <v>3025</v>
      </c>
      <c r="F1544" s="71" t="s">
        <v>3026</v>
      </c>
      <c r="G1544" s="71" t="s">
        <v>3027</v>
      </c>
      <c r="H1544" s="71" t="s">
        <v>3028</v>
      </c>
      <c r="I1544" s="71" t="s">
        <v>3029</v>
      </c>
      <c r="J1544" s="71" t="s">
        <v>3030</v>
      </c>
    </row>
    <row r="1545" customFormat="false" ht="15" hidden="false" customHeight="false" outlineLevel="0" collapsed="false">
      <c r="B1545" s="90" t="n">
        <v>1046</v>
      </c>
      <c r="C1545" s="91" t="n">
        <v>2079790</v>
      </c>
      <c r="D1545" s="92" t="n">
        <f aca="false">IF($C1545="","",IFERROR(IF(INDEX('REGISTRE TUBES'!$C$7:$C$2506,MATCH($C1545,'REGISTRE TUBES'!$B$7:$B$2506,0))="","",INDEX('REGISTRE TUBES'!$C$7:$C$2506,MATCH($C1545,'REGISTRE TUBES'!$B$7:$B$2506,0))),"?"))</f>
        <v>15421102</v>
      </c>
      <c r="E1545" s="92" t="str">
        <f aca="false">IF($C1545="","",IFERROR(IF(INDEX('REGISTRE TUBES'!$D$7:$D$2506,MATCH($C1545,'REGISTRE TUBES'!$B$7:$B$2506,0))="","",INDEX('REGISTRE TUBES'!$D$7:$D$2506,MATCH($C1545,'REGISTRE TUBES'!$B$7:$B$2506,0))),"?"))</f>
        <v/>
      </c>
      <c r="F1545" s="93" t="n">
        <f aca="false">IF($C1545="","",IFERROR(IF(INDEX('REGISTRE TUBES'!$F$7:$F$2506,MATCH($C1545,'REGISTRE TUBES'!$B$7:$B$2506,0))="","",INDEX('REGISTRE TUBES'!$F$7:$F$2506,MATCH($C1545,'REGISTRE TUBES'!$B$7:$B$2506,0))),"?"))</f>
        <v>11.94</v>
      </c>
      <c r="G1545" s="94" t="n">
        <f aca="false">IF($C1545="","",N(G1535)+N(F1545))</f>
        <v>12416.7900000001</v>
      </c>
      <c r="H1545" s="95" t="s">
        <v>2525</v>
      </c>
      <c r="I1545" s="96"/>
      <c r="J1545" s="97"/>
    </row>
    <row r="1546" customFormat="false" ht="15" hidden="false" customHeight="false" outlineLevel="0" collapsed="false">
      <c r="B1546" s="98" t="n">
        <v>1047</v>
      </c>
      <c r="C1546" s="99" t="n">
        <v>2093590</v>
      </c>
      <c r="D1546" s="100" t="n">
        <f aca="false">IF($C1546="","",IFERROR(IF(INDEX('REGISTRE TUBES'!$C$7:$C$2506,MATCH($C1546,'REGISTRE TUBES'!$B$7:$B$2506,0))="","",INDEX('REGISTRE TUBES'!$C$7:$C$2506,MATCH($C1546,'REGISTRE TUBES'!$B$7:$B$2506,0))),"?"))</f>
        <v>15421110</v>
      </c>
      <c r="E1546" s="100" t="str">
        <f aca="false">IF($C1546="","",IFERROR(IF(INDEX('REGISTRE TUBES'!$D$7:$D$2506,MATCH($C1546,'REGISTRE TUBES'!$B$7:$B$2506,0))="","",INDEX('REGISTRE TUBES'!$D$7:$D$2506,MATCH($C1546,'REGISTRE TUBES'!$B$7:$B$2506,0))),"?"))</f>
        <v/>
      </c>
      <c r="F1546" s="101" t="n">
        <f aca="false">IF($C1546="","",IFERROR(IF(INDEX('REGISTRE TUBES'!$F$7:$F$2506,MATCH($C1546,'REGISTRE TUBES'!$B$7:$B$2506,0))="","",INDEX('REGISTRE TUBES'!$F$7:$F$2506,MATCH($C1546,'REGISTRE TUBES'!$B$7:$B$2506,0))),"?"))</f>
        <v>11.94</v>
      </c>
      <c r="G1546" s="102" t="n">
        <f aca="false">IF($C1546="","",N(G1545)+N(F1546))</f>
        <v>12428.7300000001</v>
      </c>
      <c r="H1546" s="103" t="s">
        <v>2526</v>
      </c>
      <c r="I1546" s="104"/>
      <c r="J1546" s="105"/>
    </row>
    <row r="1547" customFormat="false" ht="15" hidden="false" customHeight="false" outlineLevel="0" collapsed="false">
      <c r="B1547" s="90" t="n">
        <v>1048</v>
      </c>
      <c r="C1547" s="91" t="n">
        <v>2078570</v>
      </c>
      <c r="D1547" s="92" t="n">
        <f aca="false">IF($C1547="","",IFERROR(IF(INDEX('REGISTRE TUBES'!$C$7:$C$2506,MATCH($C1547,'REGISTRE TUBES'!$B$7:$B$2506,0))="","",INDEX('REGISTRE TUBES'!$C$7:$C$2506,MATCH($C1547,'REGISTRE TUBES'!$B$7:$B$2506,0))),"?"))</f>
        <v>15421101</v>
      </c>
      <c r="E1547" s="92" t="str">
        <f aca="false">IF($C1547="","",IFERROR(IF(INDEX('REGISTRE TUBES'!$D$7:$D$2506,MATCH($C1547,'REGISTRE TUBES'!$B$7:$B$2506,0))="","",INDEX('REGISTRE TUBES'!$D$7:$D$2506,MATCH($C1547,'REGISTRE TUBES'!$B$7:$B$2506,0))),"?"))</f>
        <v/>
      </c>
      <c r="F1547" s="93" t="n">
        <f aca="false">IF($C1547="","",IFERROR(IF(INDEX('REGISTRE TUBES'!$F$7:$F$2506,MATCH($C1547,'REGISTRE TUBES'!$B$7:$B$2506,0))="","",INDEX('REGISTRE TUBES'!$F$7:$F$2506,MATCH($C1547,'REGISTRE TUBES'!$B$7:$B$2506,0))),"?"))</f>
        <v>11.94</v>
      </c>
      <c r="G1547" s="94" t="n">
        <f aca="false">IF($C1547="","",N(G1546)+N(F1547))</f>
        <v>12440.6700000001</v>
      </c>
      <c r="H1547" s="95" t="s">
        <v>2527</v>
      </c>
      <c r="I1547" s="96"/>
      <c r="J1547" s="97"/>
    </row>
    <row r="1548" customFormat="false" ht="15" hidden="false" customHeight="false" outlineLevel="0" collapsed="false">
      <c r="B1548" s="98" t="n">
        <v>1049</v>
      </c>
      <c r="C1548" s="99" t="n">
        <v>2092380</v>
      </c>
      <c r="D1548" s="100" t="n">
        <f aca="false">IF($C1548="","",IFERROR(IF(INDEX('REGISTRE TUBES'!$C$7:$C$2506,MATCH($C1548,'REGISTRE TUBES'!$B$7:$B$2506,0))="","",INDEX('REGISTRE TUBES'!$C$7:$C$2506,MATCH($C1548,'REGISTRE TUBES'!$B$7:$B$2506,0))),"?"))</f>
        <v>15421110</v>
      </c>
      <c r="E1548" s="100" t="str">
        <f aca="false">IF($C1548="","",IFERROR(IF(INDEX('REGISTRE TUBES'!$D$7:$D$2506,MATCH($C1548,'REGISTRE TUBES'!$B$7:$B$2506,0))="","",INDEX('REGISTRE TUBES'!$D$7:$D$2506,MATCH($C1548,'REGISTRE TUBES'!$B$7:$B$2506,0))),"?"))</f>
        <v/>
      </c>
      <c r="F1548" s="101" t="n">
        <f aca="false">IF($C1548="","",IFERROR(IF(INDEX('REGISTRE TUBES'!$F$7:$F$2506,MATCH($C1548,'REGISTRE TUBES'!$B$7:$B$2506,0))="","",INDEX('REGISTRE TUBES'!$F$7:$F$2506,MATCH($C1548,'REGISTRE TUBES'!$B$7:$B$2506,0))),"?"))</f>
        <v>11.94</v>
      </c>
      <c r="G1548" s="102" t="n">
        <f aca="false">IF($C1548="","",N(G1547)+N(F1548))</f>
        <v>12452.6100000001</v>
      </c>
      <c r="H1548" s="103" t="s">
        <v>2528</v>
      </c>
      <c r="I1548" s="104"/>
      <c r="J1548" s="105"/>
    </row>
    <row r="1549" customFormat="false" ht="15" hidden="false" customHeight="false" outlineLevel="0" collapsed="false">
      <c r="B1549" s="90" t="n">
        <v>1050</v>
      </c>
      <c r="C1549" s="91" t="n">
        <v>2095690</v>
      </c>
      <c r="D1549" s="92" t="n">
        <f aca="false">IF($C1549="","",IFERROR(IF(INDEX('REGISTRE TUBES'!$C$7:$C$2506,MATCH($C1549,'REGISTRE TUBES'!$B$7:$B$2506,0))="","",INDEX('REGISTRE TUBES'!$C$7:$C$2506,MATCH($C1549,'REGISTRE TUBES'!$B$7:$B$2506,0))),"?"))</f>
        <v>15421111</v>
      </c>
      <c r="E1549" s="92" t="str">
        <f aca="false">IF($C1549="","",IFERROR(IF(INDEX('REGISTRE TUBES'!$D$7:$D$2506,MATCH($C1549,'REGISTRE TUBES'!$B$7:$B$2506,0))="","",INDEX('REGISTRE TUBES'!$D$7:$D$2506,MATCH($C1549,'REGISTRE TUBES'!$B$7:$B$2506,0))),"?"))</f>
        <v/>
      </c>
      <c r="F1549" s="93" t="n">
        <f aca="false">IF($C1549="","",IFERROR(IF(INDEX('REGISTRE TUBES'!$F$7:$F$2506,MATCH($C1549,'REGISTRE TUBES'!$B$7:$B$2506,0))="","",INDEX('REGISTRE TUBES'!$F$7:$F$2506,MATCH($C1549,'REGISTRE TUBES'!$B$7:$B$2506,0))),"?"))</f>
        <v>11.94</v>
      </c>
      <c r="G1549" s="94" t="n">
        <f aca="false">IF($C1549="","",N(G1548)+N(F1549))</f>
        <v>12464.5500000001</v>
      </c>
      <c r="H1549" s="95" t="s">
        <v>2529</v>
      </c>
      <c r="I1549" s="96"/>
      <c r="J1549" s="97"/>
    </row>
    <row r="1550" customFormat="false" ht="15" hidden="false" customHeight="false" outlineLevel="0" collapsed="false">
      <c r="B1550" s="98" t="n">
        <v>1051</v>
      </c>
      <c r="C1550" s="99" t="n">
        <v>2080900</v>
      </c>
      <c r="D1550" s="100" t="n">
        <f aca="false">IF($C1550="","",IFERROR(IF(INDEX('REGISTRE TUBES'!$C$7:$C$2506,MATCH($C1550,'REGISTRE TUBES'!$B$7:$B$2506,0))="","",INDEX('REGISTRE TUBES'!$C$7:$C$2506,MATCH($C1550,'REGISTRE TUBES'!$B$7:$B$2506,0))),"?"))</f>
        <v>15421103</v>
      </c>
      <c r="E1550" s="100" t="str">
        <f aca="false">IF($C1550="","",IFERROR(IF(INDEX('REGISTRE TUBES'!$D$7:$D$2506,MATCH($C1550,'REGISTRE TUBES'!$B$7:$B$2506,0))="","",INDEX('REGISTRE TUBES'!$D$7:$D$2506,MATCH($C1550,'REGISTRE TUBES'!$B$7:$B$2506,0))),"?"))</f>
        <v/>
      </c>
      <c r="F1550" s="101" t="n">
        <f aca="false">IF($C1550="","",IFERROR(IF(INDEX('REGISTRE TUBES'!$F$7:$F$2506,MATCH($C1550,'REGISTRE TUBES'!$B$7:$B$2506,0))="","",INDEX('REGISTRE TUBES'!$F$7:$F$2506,MATCH($C1550,'REGISTRE TUBES'!$B$7:$B$2506,0))),"?"))</f>
        <v>11.94</v>
      </c>
      <c r="G1550" s="102" t="n">
        <f aca="false">IF($C1550="","",N(G1549)+N(F1550))</f>
        <v>12476.4900000001</v>
      </c>
      <c r="H1550" s="103" t="s">
        <v>2530</v>
      </c>
      <c r="I1550" s="104"/>
      <c r="J1550" s="105"/>
    </row>
    <row r="1551" customFormat="false" ht="15" hidden="false" customHeight="false" outlineLevel="0" collapsed="false">
      <c r="B1551" s="90" t="n">
        <v>1052</v>
      </c>
      <c r="C1551" s="91" t="n">
        <v>2080890</v>
      </c>
      <c r="D1551" s="92" t="n">
        <f aca="false">IF($C1551="","",IFERROR(IF(INDEX('REGISTRE TUBES'!$C$7:$C$2506,MATCH($C1551,'REGISTRE TUBES'!$B$7:$B$2506,0))="","",INDEX('REGISTRE TUBES'!$C$7:$C$2506,MATCH($C1551,'REGISTRE TUBES'!$B$7:$B$2506,0))),"?"))</f>
        <v>15421103</v>
      </c>
      <c r="E1551" s="92" t="str">
        <f aca="false">IF($C1551="","",IFERROR(IF(INDEX('REGISTRE TUBES'!$D$7:$D$2506,MATCH($C1551,'REGISTRE TUBES'!$B$7:$B$2506,0))="","",INDEX('REGISTRE TUBES'!$D$7:$D$2506,MATCH($C1551,'REGISTRE TUBES'!$B$7:$B$2506,0))),"?"))</f>
        <v/>
      </c>
      <c r="F1551" s="93" t="n">
        <f aca="false">IF($C1551="","",IFERROR(IF(INDEX('REGISTRE TUBES'!$F$7:$F$2506,MATCH($C1551,'REGISTRE TUBES'!$B$7:$B$2506,0))="","",INDEX('REGISTRE TUBES'!$F$7:$F$2506,MATCH($C1551,'REGISTRE TUBES'!$B$7:$B$2506,0))),"?"))</f>
        <v>11.94</v>
      </c>
      <c r="G1551" s="94" t="n">
        <f aca="false">IF($C1551="","",N(G1550)+N(F1551))</f>
        <v>12488.4300000001</v>
      </c>
      <c r="H1551" s="95" t="s">
        <v>2531</v>
      </c>
      <c r="I1551" s="96"/>
      <c r="J1551" s="97"/>
    </row>
    <row r="1552" customFormat="false" ht="15" hidden="false" customHeight="false" outlineLevel="0" collapsed="false">
      <c r="B1552" s="98" t="n">
        <v>1053</v>
      </c>
      <c r="C1552" s="99" t="n">
        <v>2081650</v>
      </c>
      <c r="D1552" s="100" t="n">
        <f aca="false">IF($C1552="","",IFERROR(IF(INDEX('REGISTRE TUBES'!$C$7:$C$2506,MATCH($C1552,'REGISTRE TUBES'!$B$7:$B$2506,0))="","",INDEX('REGISTRE TUBES'!$C$7:$C$2506,MATCH($C1552,'REGISTRE TUBES'!$B$7:$B$2506,0))),"?"))</f>
        <v>15421103</v>
      </c>
      <c r="E1552" s="100" t="str">
        <f aca="false">IF($C1552="","",IFERROR(IF(INDEX('REGISTRE TUBES'!$D$7:$D$2506,MATCH($C1552,'REGISTRE TUBES'!$B$7:$B$2506,0))="","",INDEX('REGISTRE TUBES'!$D$7:$D$2506,MATCH($C1552,'REGISTRE TUBES'!$B$7:$B$2506,0))),"?"))</f>
        <v/>
      </c>
      <c r="F1552" s="101" t="n">
        <f aca="false">IF($C1552="","",IFERROR(IF(INDEX('REGISTRE TUBES'!$F$7:$F$2506,MATCH($C1552,'REGISTRE TUBES'!$B$7:$B$2506,0))="","",INDEX('REGISTRE TUBES'!$F$7:$F$2506,MATCH($C1552,'REGISTRE TUBES'!$B$7:$B$2506,0))),"?"))</f>
        <v>11.94</v>
      </c>
      <c r="G1552" s="102" t="n">
        <f aca="false">IF($C1552="","",N(G1551)+N(F1552))</f>
        <v>12500.3700000001</v>
      </c>
      <c r="H1552" s="103" t="s">
        <v>2534</v>
      </c>
      <c r="I1552" s="104"/>
      <c r="J1552" s="105"/>
    </row>
    <row r="1553" customFormat="false" ht="15" hidden="false" customHeight="false" outlineLevel="0" collapsed="false">
      <c r="B1553" s="90" t="n">
        <v>1054</v>
      </c>
      <c r="C1553" s="91" t="n">
        <v>2083190</v>
      </c>
      <c r="D1553" s="92" t="n">
        <f aca="false">IF($C1553="","",IFERROR(IF(INDEX('REGISTRE TUBES'!$C$7:$C$2506,MATCH($C1553,'REGISTRE TUBES'!$B$7:$B$2506,0))="","",INDEX('REGISTRE TUBES'!$C$7:$C$2506,MATCH($C1553,'REGISTRE TUBES'!$B$7:$B$2506,0))),"?"))</f>
        <v>15421105</v>
      </c>
      <c r="E1553" s="92" t="str">
        <f aca="false">IF($C1553="","",IFERROR(IF(INDEX('REGISTRE TUBES'!$D$7:$D$2506,MATCH($C1553,'REGISTRE TUBES'!$B$7:$B$2506,0))="","",INDEX('REGISTRE TUBES'!$D$7:$D$2506,MATCH($C1553,'REGISTRE TUBES'!$B$7:$B$2506,0))),"?"))</f>
        <v/>
      </c>
      <c r="F1553" s="93" t="n">
        <f aca="false">IF($C1553="","",IFERROR(IF(INDEX('REGISTRE TUBES'!$F$7:$F$2506,MATCH($C1553,'REGISTRE TUBES'!$B$7:$B$2506,0))="","",INDEX('REGISTRE TUBES'!$F$7:$F$2506,MATCH($C1553,'REGISTRE TUBES'!$B$7:$B$2506,0))),"?"))</f>
        <v>11.94</v>
      </c>
      <c r="G1553" s="94" t="n">
        <f aca="false">IF($C1553="","",N(G1552)+N(F1553))</f>
        <v>12512.3100000001</v>
      </c>
      <c r="H1553" s="95" t="s">
        <v>2535</v>
      </c>
      <c r="I1553" s="96"/>
      <c r="J1553" s="97"/>
    </row>
    <row r="1554" customFormat="false" ht="15" hidden="false" customHeight="false" outlineLevel="0" collapsed="false">
      <c r="B1554" s="98" t="n">
        <v>1055</v>
      </c>
      <c r="C1554" s="99" t="n">
        <v>2083270</v>
      </c>
      <c r="D1554" s="100" t="n">
        <f aca="false">IF($C1554="","",IFERROR(IF(INDEX('REGISTRE TUBES'!$C$7:$C$2506,MATCH($C1554,'REGISTRE TUBES'!$B$7:$B$2506,0))="","",INDEX('REGISTRE TUBES'!$C$7:$C$2506,MATCH($C1554,'REGISTRE TUBES'!$B$7:$B$2506,0))),"?"))</f>
        <v>15421105</v>
      </c>
      <c r="E1554" s="100" t="str">
        <f aca="false">IF($C1554="","",IFERROR(IF(INDEX('REGISTRE TUBES'!$D$7:$D$2506,MATCH($C1554,'REGISTRE TUBES'!$B$7:$B$2506,0))="","",INDEX('REGISTRE TUBES'!$D$7:$D$2506,MATCH($C1554,'REGISTRE TUBES'!$B$7:$B$2506,0))),"?"))</f>
        <v/>
      </c>
      <c r="F1554" s="101" t="n">
        <f aca="false">IF($C1554="","",IFERROR(IF(INDEX('REGISTRE TUBES'!$F$7:$F$2506,MATCH($C1554,'REGISTRE TUBES'!$B$7:$B$2506,0))="","",INDEX('REGISTRE TUBES'!$F$7:$F$2506,MATCH($C1554,'REGISTRE TUBES'!$B$7:$B$2506,0))),"?"))</f>
        <v>11.94</v>
      </c>
      <c r="G1554" s="102" t="n">
        <f aca="false">IF($C1554="","",N(G1553)+N(F1554))</f>
        <v>12524.2500000001</v>
      </c>
      <c r="H1554" s="103" t="s">
        <v>2536</v>
      </c>
      <c r="I1554" s="104"/>
      <c r="J1554" s="105"/>
    </row>
    <row r="1555" customFormat="false" ht="15" hidden="false" customHeight="false" outlineLevel="0" collapsed="false">
      <c r="B1555" s="90" t="n">
        <v>1056</v>
      </c>
      <c r="C1555" s="91" t="n">
        <v>2096550</v>
      </c>
      <c r="D1555" s="92" t="n">
        <f aca="false">IF($C1555="","",IFERROR(IF(INDEX('REGISTRE TUBES'!$C$7:$C$2506,MATCH($C1555,'REGISTRE TUBES'!$B$7:$B$2506,0))="","",INDEX('REGISTRE TUBES'!$C$7:$C$2506,MATCH($C1555,'REGISTRE TUBES'!$B$7:$B$2506,0))),"?"))</f>
        <v>15421111</v>
      </c>
      <c r="E1555" s="92" t="str">
        <f aca="false">IF($C1555="","",IFERROR(IF(INDEX('REGISTRE TUBES'!$D$7:$D$2506,MATCH($C1555,'REGISTRE TUBES'!$B$7:$B$2506,0))="","",INDEX('REGISTRE TUBES'!$D$7:$D$2506,MATCH($C1555,'REGISTRE TUBES'!$B$7:$B$2506,0))),"?"))</f>
        <v/>
      </c>
      <c r="F1555" s="93" t="n">
        <f aca="false">IF($C1555="","",IFERROR(IF(INDEX('REGISTRE TUBES'!$F$7:$F$2506,MATCH($C1555,'REGISTRE TUBES'!$B$7:$B$2506,0))="","",INDEX('REGISTRE TUBES'!$F$7:$F$2506,MATCH($C1555,'REGISTRE TUBES'!$B$7:$B$2506,0))),"?"))</f>
        <v>11.94</v>
      </c>
      <c r="G1555" s="94" t="n">
        <f aca="false">IF($C1555="","",N(G1554)+N(F1555))</f>
        <v>12536.1900000001</v>
      </c>
      <c r="H1555" s="95" t="s">
        <v>2538</v>
      </c>
      <c r="I1555" s="96"/>
      <c r="J1555" s="97"/>
    </row>
    <row r="1556" customFormat="false" ht="15" hidden="false" customHeight="false" outlineLevel="0" collapsed="false">
      <c r="B1556" s="98" t="n">
        <v>1057</v>
      </c>
      <c r="C1556" s="99" t="n">
        <v>2083730</v>
      </c>
      <c r="D1556" s="100" t="n">
        <f aca="false">IF($C1556="","",IFERROR(IF(INDEX('REGISTRE TUBES'!$C$7:$C$2506,MATCH($C1556,'REGISTRE TUBES'!$B$7:$B$2506,0))="","",INDEX('REGISTRE TUBES'!$C$7:$C$2506,MATCH($C1556,'REGISTRE TUBES'!$B$7:$B$2506,0))),"?"))</f>
        <v>15421105</v>
      </c>
      <c r="E1556" s="100" t="str">
        <f aca="false">IF($C1556="","",IFERROR(IF(INDEX('REGISTRE TUBES'!$D$7:$D$2506,MATCH($C1556,'REGISTRE TUBES'!$B$7:$B$2506,0))="","",INDEX('REGISTRE TUBES'!$D$7:$D$2506,MATCH($C1556,'REGISTRE TUBES'!$B$7:$B$2506,0))),"?"))</f>
        <v/>
      </c>
      <c r="F1556" s="101" t="n">
        <f aca="false">IF($C1556="","",IFERROR(IF(INDEX('REGISTRE TUBES'!$F$7:$F$2506,MATCH($C1556,'REGISTRE TUBES'!$B$7:$B$2506,0))="","",INDEX('REGISTRE TUBES'!$F$7:$F$2506,MATCH($C1556,'REGISTRE TUBES'!$B$7:$B$2506,0))),"?"))</f>
        <v>11.94</v>
      </c>
      <c r="G1556" s="102" t="n">
        <f aca="false">IF($C1556="","",N(G1555)+N(F1556))</f>
        <v>12548.1300000001</v>
      </c>
      <c r="H1556" s="103" t="s">
        <v>2539</v>
      </c>
      <c r="I1556" s="104"/>
      <c r="J1556" s="105"/>
    </row>
    <row r="1557" customFormat="false" ht="15" hidden="false" customHeight="false" outlineLevel="0" collapsed="false">
      <c r="B1557" s="90" t="n">
        <v>1058</v>
      </c>
      <c r="C1557" s="91" t="n">
        <v>2083740</v>
      </c>
      <c r="D1557" s="92" t="n">
        <f aca="false">IF($C1557="","",IFERROR(IF(INDEX('REGISTRE TUBES'!$C$7:$C$2506,MATCH($C1557,'REGISTRE TUBES'!$B$7:$B$2506,0))="","",INDEX('REGISTRE TUBES'!$C$7:$C$2506,MATCH($C1557,'REGISTRE TUBES'!$B$7:$B$2506,0))),"?"))</f>
        <v>15421105</v>
      </c>
      <c r="E1557" s="92" t="str">
        <f aca="false">IF($C1557="","",IFERROR(IF(INDEX('REGISTRE TUBES'!$D$7:$D$2506,MATCH($C1557,'REGISTRE TUBES'!$B$7:$B$2506,0))="","",INDEX('REGISTRE TUBES'!$D$7:$D$2506,MATCH($C1557,'REGISTRE TUBES'!$B$7:$B$2506,0))),"?"))</f>
        <v/>
      </c>
      <c r="F1557" s="93" t="n">
        <f aca="false">IF($C1557="","",IFERROR(IF(INDEX('REGISTRE TUBES'!$F$7:$F$2506,MATCH($C1557,'REGISTRE TUBES'!$B$7:$B$2506,0))="","",INDEX('REGISTRE TUBES'!$F$7:$F$2506,MATCH($C1557,'REGISTRE TUBES'!$B$7:$B$2506,0))),"?"))</f>
        <v>11.94</v>
      </c>
      <c r="G1557" s="94" t="n">
        <f aca="false">IF($C1557="","",N(G1556)+N(F1557))</f>
        <v>12560.0700000001</v>
      </c>
      <c r="H1557" s="95" t="s">
        <v>2541</v>
      </c>
      <c r="I1557" s="96"/>
      <c r="J1557" s="97"/>
    </row>
    <row r="1558" customFormat="false" ht="15" hidden="false" customHeight="false" outlineLevel="0" collapsed="false">
      <c r="B1558" s="98" t="n">
        <v>1059</v>
      </c>
      <c r="C1558" s="99" t="n">
        <v>2089830</v>
      </c>
      <c r="D1558" s="100" t="n">
        <f aca="false">IF($C1558="","",IFERROR(IF(INDEX('REGISTRE TUBES'!$C$7:$C$2506,MATCH($C1558,'REGISTRE TUBES'!$B$7:$B$2506,0))="","",INDEX('REGISTRE TUBES'!$C$7:$C$2506,MATCH($C1558,'REGISTRE TUBES'!$B$7:$B$2506,0))),"?"))</f>
        <v>15421109</v>
      </c>
      <c r="E1558" s="100" t="str">
        <f aca="false">IF($C1558="","",IFERROR(IF(INDEX('REGISTRE TUBES'!$D$7:$D$2506,MATCH($C1558,'REGISTRE TUBES'!$B$7:$B$2506,0))="","",INDEX('REGISTRE TUBES'!$D$7:$D$2506,MATCH($C1558,'REGISTRE TUBES'!$B$7:$B$2506,0))),"?"))</f>
        <v/>
      </c>
      <c r="F1558" s="101" t="n">
        <f aca="false">IF($C1558="","",IFERROR(IF(INDEX('REGISTRE TUBES'!$F$7:$F$2506,MATCH($C1558,'REGISTRE TUBES'!$B$7:$B$2506,0))="","",INDEX('REGISTRE TUBES'!$F$7:$F$2506,MATCH($C1558,'REGISTRE TUBES'!$B$7:$B$2506,0))),"?"))</f>
        <v>11.94</v>
      </c>
      <c r="G1558" s="102" t="n">
        <f aca="false">IF($C1558="","",N(G1557)+N(F1558))</f>
        <v>12572.0100000001</v>
      </c>
      <c r="H1558" s="103" t="s">
        <v>2542</v>
      </c>
      <c r="I1558" s="104"/>
      <c r="J1558" s="105"/>
    </row>
    <row r="1559" customFormat="false" ht="15" hidden="false" customHeight="false" outlineLevel="0" collapsed="false">
      <c r="B1559" s="90" t="n">
        <v>1060</v>
      </c>
      <c r="C1559" s="91" t="n">
        <v>2080330</v>
      </c>
      <c r="D1559" s="92" t="n">
        <f aca="false">IF($C1559="","",IFERROR(IF(INDEX('REGISTRE TUBES'!$C$7:$C$2506,MATCH($C1559,'REGISTRE TUBES'!$B$7:$B$2506,0))="","",INDEX('REGISTRE TUBES'!$C$7:$C$2506,MATCH($C1559,'REGISTRE TUBES'!$B$7:$B$2506,0))),"?"))</f>
        <v>15421102</v>
      </c>
      <c r="E1559" s="92" t="str">
        <f aca="false">IF($C1559="","",IFERROR(IF(INDEX('REGISTRE TUBES'!$D$7:$D$2506,MATCH($C1559,'REGISTRE TUBES'!$B$7:$B$2506,0))="","",INDEX('REGISTRE TUBES'!$D$7:$D$2506,MATCH($C1559,'REGISTRE TUBES'!$B$7:$B$2506,0))),"?"))</f>
        <v/>
      </c>
      <c r="F1559" s="93" t="n">
        <f aca="false">IF($C1559="","",IFERROR(IF(INDEX('REGISTRE TUBES'!$F$7:$F$2506,MATCH($C1559,'REGISTRE TUBES'!$B$7:$B$2506,0))="","",INDEX('REGISTRE TUBES'!$F$7:$F$2506,MATCH($C1559,'REGISTRE TUBES'!$B$7:$B$2506,0))),"?"))</f>
        <v>11.94</v>
      </c>
      <c r="G1559" s="94" t="n">
        <f aca="false">IF($C1559="","",N(G1558)+N(F1559))</f>
        <v>12583.9500000001</v>
      </c>
      <c r="H1559" s="95" t="s">
        <v>2543</v>
      </c>
      <c r="I1559" s="96"/>
      <c r="J1559" s="97"/>
    </row>
    <row r="1560" customFormat="false" ht="15" hidden="false" customHeight="false" outlineLevel="0" collapsed="false">
      <c r="B1560" s="98" t="n">
        <v>1061</v>
      </c>
      <c r="C1560" s="99" t="n">
        <v>2084610</v>
      </c>
      <c r="D1560" s="100" t="n">
        <f aca="false">IF($C1560="","",IFERROR(IF(INDEX('REGISTRE TUBES'!$C$7:$C$2506,MATCH($C1560,'REGISTRE TUBES'!$B$7:$B$2506,0))="","",INDEX('REGISTRE TUBES'!$C$7:$C$2506,MATCH($C1560,'REGISTRE TUBES'!$B$7:$B$2506,0))),"?"))</f>
        <v>15421106</v>
      </c>
      <c r="E1560" s="100" t="str">
        <f aca="false">IF($C1560="","",IFERROR(IF(INDEX('REGISTRE TUBES'!$D$7:$D$2506,MATCH($C1560,'REGISTRE TUBES'!$B$7:$B$2506,0))="","",INDEX('REGISTRE TUBES'!$D$7:$D$2506,MATCH($C1560,'REGISTRE TUBES'!$B$7:$B$2506,0))),"?"))</f>
        <v/>
      </c>
      <c r="F1560" s="101" t="n">
        <f aca="false">IF($C1560="","",IFERROR(IF(INDEX('REGISTRE TUBES'!$F$7:$F$2506,MATCH($C1560,'REGISTRE TUBES'!$B$7:$B$2506,0))="","",INDEX('REGISTRE TUBES'!$F$7:$F$2506,MATCH($C1560,'REGISTRE TUBES'!$B$7:$B$2506,0))),"?"))</f>
        <v>11.94</v>
      </c>
      <c r="G1560" s="102" t="n">
        <f aca="false">IF($C1560="","",N(G1559)+N(F1560))</f>
        <v>12595.8900000001</v>
      </c>
      <c r="H1560" s="103" t="s">
        <v>2544</v>
      </c>
      <c r="I1560" s="104"/>
      <c r="J1560" s="105"/>
    </row>
    <row r="1561" customFormat="false" ht="15" hidden="false" customHeight="false" outlineLevel="0" collapsed="false">
      <c r="B1561" s="90" t="n">
        <v>1062</v>
      </c>
      <c r="C1561" s="91" t="n">
        <v>2084230</v>
      </c>
      <c r="D1561" s="92" t="n">
        <f aca="false">IF($C1561="","",IFERROR(IF(INDEX('REGISTRE TUBES'!$C$7:$C$2506,MATCH($C1561,'REGISTRE TUBES'!$B$7:$B$2506,0))="","",INDEX('REGISTRE TUBES'!$C$7:$C$2506,MATCH($C1561,'REGISTRE TUBES'!$B$7:$B$2506,0))),"?"))</f>
        <v>15421106</v>
      </c>
      <c r="E1561" s="92" t="str">
        <f aca="false">IF($C1561="","",IFERROR(IF(INDEX('REGISTRE TUBES'!$D$7:$D$2506,MATCH($C1561,'REGISTRE TUBES'!$B$7:$B$2506,0))="","",INDEX('REGISTRE TUBES'!$D$7:$D$2506,MATCH($C1561,'REGISTRE TUBES'!$B$7:$B$2506,0))),"?"))</f>
        <v/>
      </c>
      <c r="F1561" s="93" t="n">
        <f aca="false">IF($C1561="","",IFERROR(IF(INDEX('REGISTRE TUBES'!$F$7:$F$2506,MATCH($C1561,'REGISTRE TUBES'!$B$7:$B$2506,0))="","",INDEX('REGISTRE TUBES'!$F$7:$F$2506,MATCH($C1561,'REGISTRE TUBES'!$B$7:$B$2506,0))),"?"))</f>
        <v>11.94</v>
      </c>
      <c r="G1561" s="94" t="n">
        <f aca="false">IF($C1561="","",N(G1560)+N(F1561))</f>
        <v>12607.8300000001</v>
      </c>
      <c r="H1561" s="95" t="s">
        <v>2545</v>
      </c>
      <c r="I1561" s="96"/>
      <c r="J1561" s="97"/>
    </row>
    <row r="1562" customFormat="false" ht="15" hidden="false" customHeight="false" outlineLevel="0" collapsed="false">
      <c r="B1562" s="98" t="n">
        <v>1063</v>
      </c>
      <c r="C1562" s="99" t="n">
        <v>2084400</v>
      </c>
      <c r="D1562" s="100" t="n">
        <f aca="false">IF($C1562="","",IFERROR(IF(INDEX('REGISTRE TUBES'!$C$7:$C$2506,MATCH($C1562,'REGISTRE TUBES'!$B$7:$B$2506,0))="","",INDEX('REGISTRE TUBES'!$C$7:$C$2506,MATCH($C1562,'REGISTRE TUBES'!$B$7:$B$2506,0))),"?"))</f>
        <v>15421106</v>
      </c>
      <c r="E1562" s="100" t="str">
        <f aca="false">IF($C1562="","",IFERROR(IF(INDEX('REGISTRE TUBES'!$D$7:$D$2506,MATCH($C1562,'REGISTRE TUBES'!$B$7:$B$2506,0))="","",INDEX('REGISTRE TUBES'!$D$7:$D$2506,MATCH($C1562,'REGISTRE TUBES'!$B$7:$B$2506,0))),"?"))</f>
        <v/>
      </c>
      <c r="F1562" s="101" t="n">
        <f aca="false">IF($C1562="","",IFERROR(IF(INDEX('REGISTRE TUBES'!$F$7:$F$2506,MATCH($C1562,'REGISTRE TUBES'!$B$7:$B$2506,0))="","",INDEX('REGISTRE TUBES'!$F$7:$F$2506,MATCH($C1562,'REGISTRE TUBES'!$B$7:$B$2506,0))),"?"))</f>
        <v>11.94</v>
      </c>
      <c r="G1562" s="102" t="n">
        <f aca="false">IF($C1562="","",N(G1561)+N(F1562))</f>
        <v>12619.7700000001</v>
      </c>
      <c r="H1562" s="103" t="s">
        <v>2546</v>
      </c>
      <c r="I1562" s="104"/>
      <c r="J1562" s="105"/>
    </row>
    <row r="1563" customFormat="false" ht="15" hidden="false" customHeight="false" outlineLevel="0" collapsed="false">
      <c r="B1563" s="90" t="n">
        <v>1064</v>
      </c>
      <c r="C1563" s="91" t="n">
        <v>2098640</v>
      </c>
      <c r="D1563" s="92" t="n">
        <f aca="false">IF($C1563="","",IFERROR(IF(INDEX('REGISTRE TUBES'!$C$7:$C$2506,MATCH($C1563,'REGISTRE TUBES'!$B$7:$B$2506,0))="","",INDEX('REGISTRE TUBES'!$C$7:$C$2506,MATCH($C1563,'REGISTRE TUBES'!$B$7:$B$2506,0))),"?"))</f>
        <v>15421112</v>
      </c>
      <c r="E1563" s="92" t="str">
        <f aca="false">IF($C1563="","",IFERROR(IF(INDEX('REGISTRE TUBES'!$D$7:$D$2506,MATCH($C1563,'REGISTRE TUBES'!$B$7:$B$2506,0))="","",INDEX('REGISTRE TUBES'!$D$7:$D$2506,MATCH($C1563,'REGISTRE TUBES'!$B$7:$B$2506,0))),"?"))</f>
        <v/>
      </c>
      <c r="F1563" s="93" t="n">
        <f aca="false">IF($C1563="","",IFERROR(IF(INDEX('REGISTRE TUBES'!$F$7:$F$2506,MATCH($C1563,'REGISTRE TUBES'!$B$7:$B$2506,0))="","",INDEX('REGISTRE TUBES'!$F$7:$F$2506,MATCH($C1563,'REGISTRE TUBES'!$B$7:$B$2506,0))),"?"))</f>
        <v>11.94</v>
      </c>
      <c r="G1563" s="94" t="n">
        <f aca="false">IF($C1563="","",N(G1562)+N(F1563))</f>
        <v>12631.7100000001</v>
      </c>
      <c r="H1563" s="95" t="s">
        <v>2547</v>
      </c>
      <c r="I1563" s="96"/>
      <c r="J1563" s="97"/>
    </row>
    <row r="1564" customFormat="false" ht="15" hidden="false" customHeight="true" outlineLevel="0" collapsed="false">
      <c r="B1564" s="106" t="s">
        <v>3031</v>
      </c>
      <c r="C1564" s="106"/>
      <c r="D1564" s="106"/>
      <c r="E1564" s="106"/>
      <c r="F1564" s="107" t="n">
        <f aca="false">SUM(F1545:F1563)</f>
        <v>226.86</v>
      </c>
      <c r="G1564" s="108" t="n">
        <f aca="false">IF(COUNT(G1545:G1563)=0,"",MAX(G1545:G1563))</f>
        <v>12631.7100000001</v>
      </c>
      <c r="H1564" s="106" t="str">
        <f aca="false">COUNTA(C1545:C1563)&amp;" tube(s)"</f>
        <v>19 tube(s)</v>
      </c>
      <c r="I1564" s="106"/>
      <c r="J1564" s="106"/>
    </row>
    <row r="1566" customFormat="false" ht="15" hidden="false" customHeight="false" outlineLevel="0" collapsed="false">
      <c r="B1566" s="109" t="s">
        <v>3032</v>
      </c>
      <c r="F1566" s="109" t="s">
        <v>3033</v>
      </c>
      <c r="I1566" s="109" t="s">
        <v>3034</v>
      </c>
    </row>
    <row r="1569" customFormat="false" ht="25.5" hidden="false" customHeight="true" outlineLevel="0" collapsed="false">
      <c r="B1569" s="85" t="s">
        <v>3015</v>
      </c>
      <c r="C1569" s="85"/>
      <c r="D1569" s="85"/>
      <c r="E1569" s="85"/>
      <c r="F1569" s="85"/>
      <c r="G1569" s="85"/>
      <c r="H1569" s="85"/>
      <c r="I1569" s="85"/>
      <c r="J1569" s="85"/>
    </row>
    <row r="1570" customFormat="false" ht="15" hidden="false" customHeight="false" outlineLevel="0" collapsed="false">
      <c r="B1570" s="86" t="str">
        <f aca="false">PARAMÈTRES!$C$4&amp;"   •   Affaire N° "&amp;PARAMÈTRES!$C$5</f>
        <v>Développement des champs gaziers TFT II — réseau de collecte TFT Sud (LIGNE-16)   •   Affaire N° 8546</v>
      </c>
      <c r="C1570" s="86"/>
      <c r="D1570" s="86"/>
      <c r="E1570" s="86"/>
      <c r="F1570" s="86"/>
      <c r="G1570" s="86"/>
      <c r="H1570" s="86"/>
      <c r="I1570" s="86"/>
      <c r="J1570" s="86"/>
    </row>
    <row r="1571" customFormat="false" ht="19.5" hidden="false" customHeight="true" outlineLevel="0" collapsed="false">
      <c r="B1571" s="87" t="s">
        <v>3016</v>
      </c>
      <c r="C1571" s="88" t="s">
        <v>110</v>
      </c>
      <c r="D1571" s="88"/>
      <c r="E1571" s="87" t="s">
        <v>3017</v>
      </c>
      <c r="F1571" s="88" t="s">
        <v>3145</v>
      </c>
      <c r="G1571" s="87" t="s">
        <v>3019</v>
      </c>
      <c r="H1571" s="88" t="s">
        <v>3146</v>
      </c>
      <c r="I1571" s="87" t="s">
        <v>3021</v>
      </c>
      <c r="J1571" s="89"/>
    </row>
    <row r="1572" customFormat="false" ht="27.75" hidden="false" customHeight="true" outlineLevel="0" collapsed="false">
      <c r="B1572" s="71" t="s">
        <v>3022</v>
      </c>
      <c r="C1572" s="71" t="s">
        <v>3023</v>
      </c>
      <c r="D1572" s="71" t="s">
        <v>3024</v>
      </c>
      <c r="E1572" s="71" t="s">
        <v>3025</v>
      </c>
      <c r="F1572" s="71" t="s">
        <v>3026</v>
      </c>
      <c r="G1572" s="71" t="s">
        <v>3027</v>
      </c>
      <c r="H1572" s="71" t="s">
        <v>3028</v>
      </c>
      <c r="I1572" s="71" t="s">
        <v>3029</v>
      </c>
      <c r="J1572" s="71" t="s">
        <v>3030</v>
      </c>
    </row>
    <row r="1573" customFormat="false" ht="15" hidden="false" customHeight="false" outlineLevel="0" collapsed="false">
      <c r="B1573" s="90" t="n">
        <v>1065</v>
      </c>
      <c r="C1573" s="91" t="n">
        <v>2096110</v>
      </c>
      <c r="D1573" s="92" t="n">
        <f aca="false">IF($C1573="","",IFERROR(IF(INDEX('REGISTRE TUBES'!$C$7:$C$2506,MATCH($C1573,'REGISTRE TUBES'!$B$7:$B$2506,0))="","",INDEX('REGISTRE TUBES'!$C$7:$C$2506,MATCH($C1573,'REGISTRE TUBES'!$B$7:$B$2506,0))),"?"))</f>
        <v>15421111</v>
      </c>
      <c r="E1573" s="92" t="str">
        <f aca="false">IF($C1573="","",IFERROR(IF(INDEX('REGISTRE TUBES'!$D$7:$D$2506,MATCH($C1573,'REGISTRE TUBES'!$B$7:$B$2506,0))="","",INDEX('REGISTRE TUBES'!$D$7:$D$2506,MATCH($C1573,'REGISTRE TUBES'!$B$7:$B$2506,0))),"?"))</f>
        <v/>
      </c>
      <c r="F1573" s="93" t="n">
        <f aca="false">IF($C1573="","",IFERROR(IF(INDEX('REGISTRE TUBES'!$F$7:$F$2506,MATCH($C1573,'REGISTRE TUBES'!$B$7:$B$2506,0))="","",INDEX('REGISTRE TUBES'!$F$7:$F$2506,MATCH($C1573,'REGISTRE TUBES'!$B$7:$B$2506,0))),"?"))</f>
        <v>11.94</v>
      </c>
      <c r="G1573" s="94" t="n">
        <f aca="false">IF($C1573="","",N(G1563)+N(F1573))</f>
        <v>12643.6500000001</v>
      </c>
      <c r="H1573" s="95" t="s">
        <v>2548</v>
      </c>
      <c r="I1573" s="96"/>
      <c r="J1573" s="97"/>
    </row>
    <row r="1574" customFormat="false" ht="15" hidden="false" customHeight="false" outlineLevel="0" collapsed="false">
      <c r="B1574" s="98" t="n">
        <v>1066</v>
      </c>
      <c r="C1574" s="99" t="n">
        <v>2094970</v>
      </c>
      <c r="D1574" s="100" t="n">
        <f aca="false">IF($C1574="","",IFERROR(IF(INDEX('REGISTRE TUBES'!$C$7:$C$2506,MATCH($C1574,'REGISTRE TUBES'!$B$7:$B$2506,0))="","",INDEX('REGISTRE TUBES'!$C$7:$C$2506,MATCH($C1574,'REGISTRE TUBES'!$B$7:$B$2506,0))),"?"))</f>
        <v>15421111</v>
      </c>
      <c r="E1574" s="100" t="str">
        <f aca="false">IF($C1574="","",IFERROR(IF(INDEX('REGISTRE TUBES'!$D$7:$D$2506,MATCH($C1574,'REGISTRE TUBES'!$B$7:$B$2506,0))="","",INDEX('REGISTRE TUBES'!$D$7:$D$2506,MATCH($C1574,'REGISTRE TUBES'!$B$7:$B$2506,0))),"?"))</f>
        <v/>
      </c>
      <c r="F1574" s="101" t="n">
        <f aca="false">IF($C1574="","",IFERROR(IF(INDEX('REGISTRE TUBES'!$F$7:$F$2506,MATCH($C1574,'REGISTRE TUBES'!$B$7:$B$2506,0))="","",INDEX('REGISTRE TUBES'!$F$7:$F$2506,MATCH($C1574,'REGISTRE TUBES'!$B$7:$B$2506,0))),"?"))</f>
        <v>11.94</v>
      </c>
      <c r="G1574" s="102" t="n">
        <f aca="false">IF($C1574="","",N(G1573)+N(F1574))</f>
        <v>12655.5900000001</v>
      </c>
      <c r="H1574" s="103" t="s">
        <v>2549</v>
      </c>
      <c r="I1574" s="104"/>
      <c r="J1574" s="105"/>
    </row>
    <row r="1575" customFormat="false" ht="15" hidden="false" customHeight="false" outlineLevel="0" collapsed="false">
      <c r="B1575" s="90" t="n">
        <v>1067</v>
      </c>
      <c r="C1575" s="91" t="n">
        <v>2091320</v>
      </c>
      <c r="D1575" s="92" t="n">
        <f aca="false">IF($C1575="","",IFERROR(IF(INDEX('REGISTRE TUBES'!$C$7:$C$2506,MATCH($C1575,'REGISTRE TUBES'!$B$7:$B$2506,0))="","",INDEX('REGISTRE TUBES'!$C$7:$C$2506,MATCH($C1575,'REGISTRE TUBES'!$B$7:$B$2506,0))),"?"))</f>
        <v>15421109</v>
      </c>
      <c r="E1575" s="92" t="str">
        <f aca="false">IF($C1575="","",IFERROR(IF(INDEX('REGISTRE TUBES'!$D$7:$D$2506,MATCH($C1575,'REGISTRE TUBES'!$B$7:$B$2506,0))="","",INDEX('REGISTRE TUBES'!$D$7:$D$2506,MATCH($C1575,'REGISTRE TUBES'!$B$7:$B$2506,0))),"?"))</f>
        <v/>
      </c>
      <c r="F1575" s="93" t="n">
        <f aca="false">IF($C1575="","",IFERROR(IF(INDEX('REGISTRE TUBES'!$F$7:$F$2506,MATCH($C1575,'REGISTRE TUBES'!$B$7:$B$2506,0))="","",INDEX('REGISTRE TUBES'!$F$7:$F$2506,MATCH($C1575,'REGISTRE TUBES'!$B$7:$B$2506,0))),"?"))</f>
        <v>11.94</v>
      </c>
      <c r="G1575" s="94" t="n">
        <f aca="false">IF($C1575="","",N(G1574)+N(F1575))</f>
        <v>12667.5300000001</v>
      </c>
      <c r="H1575" s="95" t="s">
        <v>2550</v>
      </c>
      <c r="I1575" s="96"/>
      <c r="J1575" s="97"/>
    </row>
    <row r="1576" customFormat="false" ht="15" hidden="false" customHeight="false" outlineLevel="0" collapsed="false">
      <c r="B1576" s="98" t="n">
        <v>1068</v>
      </c>
      <c r="C1576" s="99" t="n">
        <v>2079130</v>
      </c>
      <c r="D1576" s="100" t="n">
        <f aca="false">IF($C1576="","",IFERROR(IF(INDEX('REGISTRE TUBES'!$C$7:$C$2506,MATCH($C1576,'REGISTRE TUBES'!$B$7:$B$2506,0))="","",INDEX('REGISTRE TUBES'!$C$7:$C$2506,MATCH($C1576,'REGISTRE TUBES'!$B$7:$B$2506,0))),"?"))</f>
        <v>15421102</v>
      </c>
      <c r="E1576" s="100" t="str">
        <f aca="false">IF($C1576="","",IFERROR(IF(INDEX('REGISTRE TUBES'!$D$7:$D$2506,MATCH($C1576,'REGISTRE TUBES'!$B$7:$B$2506,0))="","",INDEX('REGISTRE TUBES'!$D$7:$D$2506,MATCH($C1576,'REGISTRE TUBES'!$B$7:$B$2506,0))),"?"))</f>
        <v/>
      </c>
      <c r="F1576" s="101" t="n">
        <f aca="false">IF($C1576="","",IFERROR(IF(INDEX('REGISTRE TUBES'!$F$7:$F$2506,MATCH($C1576,'REGISTRE TUBES'!$B$7:$B$2506,0))="","",INDEX('REGISTRE TUBES'!$F$7:$F$2506,MATCH($C1576,'REGISTRE TUBES'!$B$7:$B$2506,0))),"?"))</f>
        <v>11.94</v>
      </c>
      <c r="G1576" s="102" t="n">
        <f aca="false">IF($C1576="","",N(G1575)+N(F1576))</f>
        <v>12679.4700000001</v>
      </c>
      <c r="H1576" s="103" t="s">
        <v>2551</v>
      </c>
      <c r="I1576" s="104"/>
      <c r="J1576" s="105"/>
    </row>
    <row r="1577" customFormat="false" ht="15" hidden="false" customHeight="false" outlineLevel="0" collapsed="false">
      <c r="B1577" s="90" t="n">
        <v>1069</v>
      </c>
      <c r="C1577" s="91" t="n">
        <v>2098550</v>
      </c>
      <c r="D1577" s="92" t="n">
        <f aca="false">IF($C1577="","",IFERROR(IF(INDEX('REGISTRE TUBES'!$C$7:$C$2506,MATCH($C1577,'REGISTRE TUBES'!$B$7:$B$2506,0))="","",INDEX('REGISTRE TUBES'!$C$7:$C$2506,MATCH($C1577,'REGISTRE TUBES'!$B$7:$B$2506,0))),"?"))</f>
        <v>15421112</v>
      </c>
      <c r="E1577" s="92" t="str">
        <f aca="false">IF($C1577="","",IFERROR(IF(INDEX('REGISTRE TUBES'!$D$7:$D$2506,MATCH($C1577,'REGISTRE TUBES'!$B$7:$B$2506,0))="","",INDEX('REGISTRE TUBES'!$D$7:$D$2506,MATCH($C1577,'REGISTRE TUBES'!$B$7:$B$2506,0))),"?"))</f>
        <v/>
      </c>
      <c r="F1577" s="93" t="n">
        <f aca="false">IF($C1577="","",IFERROR(IF(INDEX('REGISTRE TUBES'!$F$7:$F$2506,MATCH($C1577,'REGISTRE TUBES'!$B$7:$B$2506,0))="","",INDEX('REGISTRE TUBES'!$F$7:$F$2506,MATCH($C1577,'REGISTRE TUBES'!$B$7:$B$2506,0))),"?"))</f>
        <v>11.94</v>
      </c>
      <c r="G1577" s="94" t="n">
        <f aca="false">IF($C1577="","",N(G1576)+N(F1577))</f>
        <v>12691.4100000001</v>
      </c>
      <c r="H1577" s="95" t="s">
        <v>2552</v>
      </c>
      <c r="I1577" s="96"/>
      <c r="J1577" s="97"/>
    </row>
    <row r="1578" customFormat="false" ht="15" hidden="false" customHeight="false" outlineLevel="0" collapsed="false">
      <c r="B1578" s="98" t="n">
        <v>1070</v>
      </c>
      <c r="C1578" s="99" t="n">
        <v>2089510</v>
      </c>
      <c r="D1578" s="100" t="n">
        <f aca="false">IF($C1578="","",IFERROR(IF(INDEX('REGISTRE TUBES'!$C$7:$C$2506,MATCH($C1578,'REGISTRE TUBES'!$B$7:$B$2506,0))="","",INDEX('REGISTRE TUBES'!$C$7:$C$2506,MATCH($C1578,'REGISTRE TUBES'!$B$7:$B$2506,0))),"?"))</f>
        <v>15421109</v>
      </c>
      <c r="E1578" s="100" t="str">
        <f aca="false">IF($C1578="","",IFERROR(IF(INDEX('REGISTRE TUBES'!$D$7:$D$2506,MATCH($C1578,'REGISTRE TUBES'!$B$7:$B$2506,0))="","",INDEX('REGISTRE TUBES'!$D$7:$D$2506,MATCH($C1578,'REGISTRE TUBES'!$B$7:$B$2506,0))),"?"))</f>
        <v/>
      </c>
      <c r="F1578" s="101" t="n">
        <f aca="false">IF($C1578="","",IFERROR(IF(INDEX('REGISTRE TUBES'!$F$7:$F$2506,MATCH($C1578,'REGISTRE TUBES'!$B$7:$B$2506,0))="","",INDEX('REGISTRE TUBES'!$F$7:$F$2506,MATCH($C1578,'REGISTRE TUBES'!$B$7:$B$2506,0))),"?"))</f>
        <v>11.94</v>
      </c>
      <c r="G1578" s="102" t="n">
        <f aca="false">IF($C1578="","",N(G1577)+N(F1578))</f>
        <v>12703.3500000001</v>
      </c>
      <c r="H1578" s="103" t="s">
        <v>2554</v>
      </c>
      <c r="I1578" s="104"/>
      <c r="J1578" s="105"/>
    </row>
    <row r="1579" customFormat="false" ht="15" hidden="false" customHeight="false" outlineLevel="0" collapsed="false">
      <c r="B1579" s="90" t="n">
        <v>1071</v>
      </c>
      <c r="C1579" s="91" t="n">
        <v>2093180</v>
      </c>
      <c r="D1579" s="92" t="n">
        <f aca="false">IF($C1579="","",IFERROR(IF(INDEX('REGISTRE TUBES'!$C$7:$C$2506,MATCH($C1579,'REGISTRE TUBES'!$B$7:$B$2506,0))="","",INDEX('REGISTRE TUBES'!$C$7:$C$2506,MATCH($C1579,'REGISTRE TUBES'!$B$7:$B$2506,0))),"?"))</f>
        <v>15421110</v>
      </c>
      <c r="E1579" s="92" t="str">
        <f aca="false">IF($C1579="","",IFERROR(IF(INDEX('REGISTRE TUBES'!$D$7:$D$2506,MATCH($C1579,'REGISTRE TUBES'!$B$7:$B$2506,0))="","",INDEX('REGISTRE TUBES'!$D$7:$D$2506,MATCH($C1579,'REGISTRE TUBES'!$B$7:$B$2506,0))),"?"))</f>
        <v/>
      </c>
      <c r="F1579" s="93" t="n">
        <f aca="false">IF($C1579="","",IFERROR(IF(INDEX('REGISTRE TUBES'!$F$7:$F$2506,MATCH($C1579,'REGISTRE TUBES'!$B$7:$B$2506,0))="","",INDEX('REGISTRE TUBES'!$F$7:$F$2506,MATCH($C1579,'REGISTRE TUBES'!$B$7:$B$2506,0))),"?"))</f>
        <v>11.94</v>
      </c>
      <c r="G1579" s="94" t="n">
        <f aca="false">IF($C1579="","",N(G1578)+N(F1579))</f>
        <v>12715.2900000001</v>
      </c>
      <c r="H1579" s="95" t="s">
        <v>2555</v>
      </c>
      <c r="I1579" s="96"/>
      <c r="J1579" s="97"/>
    </row>
    <row r="1580" customFormat="false" ht="15" hidden="false" customHeight="false" outlineLevel="0" collapsed="false">
      <c r="B1580" s="98" t="n">
        <v>1072</v>
      </c>
      <c r="C1580" s="99" t="n">
        <v>2088730</v>
      </c>
      <c r="D1580" s="100" t="n">
        <f aca="false">IF($C1580="","",IFERROR(IF(INDEX('REGISTRE TUBES'!$C$7:$C$2506,MATCH($C1580,'REGISTRE TUBES'!$B$7:$B$2506,0))="","",INDEX('REGISTRE TUBES'!$C$7:$C$2506,MATCH($C1580,'REGISTRE TUBES'!$B$7:$B$2506,0))),"?"))</f>
        <v>15421108</v>
      </c>
      <c r="E1580" s="100" t="str">
        <f aca="false">IF($C1580="","",IFERROR(IF(INDEX('REGISTRE TUBES'!$D$7:$D$2506,MATCH($C1580,'REGISTRE TUBES'!$B$7:$B$2506,0))="","",INDEX('REGISTRE TUBES'!$D$7:$D$2506,MATCH($C1580,'REGISTRE TUBES'!$B$7:$B$2506,0))),"?"))</f>
        <v/>
      </c>
      <c r="F1580" s="101" t="n">
        <f aca="false">IF($C1580="","",IFERROR(IF(INDEX('REGISTRE TUBES'!$F$7:$F$2506,MATCH($C1580,'REGISTRE TUBES'!$B$7:$B$2506,0))="","",INDEX('REGISTRE TUBES'!$F$7:$F$2506,MATCH($C1580,'REGISTRE TUBES'!$B$7:$B$2506,0))),"?"))</f>
        <v>11.94</v>
      </c>
      <c r="G1580" s="102" t="n">
        <f aca="false">IF($C1580="","",N(G1579)+N(F1580))</f>
        <v>12727.2300000001</v>
      </c>
      <c r="H1580" s="103" t="s">
        <v>2556</v>
      </c>
      <c r="I1580" s="104"/>
      <c r="J1580" s="105"/>
    </row>
    <row r="1581" customFormat="false" ht="15" hidden="false" customHeight="false" outlineLevel="0" collapsed="false">
      <c r="B1581" s="90" t="n">
        <v>1073</v>
      </c>
      <c r="C1581" s="91" t="n">
        <v>2079010</v>
      </c>
      <c r="D1581" s="92" t="n">
        <f aca="false">IF($C1581="","",IFERROR(IF(INDEX('REGISTRE TUBES'!$C$7:$C$2506,MATCH($C1581,'REGISTRE TUBES'!$B$7:$B$2506,0))="","",INDEX('REGISTRE TUBES'!$C$7:$C$2506,MATCH($C1581,'REGISTRE TUBES'!$B$7:$B$2506,0))),"?"))</f>
        <v>15421102</v>
      </c>
      <c r="E1581" s="92" t="str">
        <f aca="false">IF($C1581="","",IFERROR(IF(INDEX('REGISTRE TUBES'!$D$7:$D$2506,MATCH($C1581,'REGISTRE TUBES'!$B$7:$B$2506,0))="","",INDEX('REGISTRE TUBES'!$D$7:$D$2506,MATCH($C1581,'REGISTRE TUBES'!$B$7:$B$2506,0))),"?"))</f>
        <v/>
      </c>
      <c r="F1581" s="93" t="n">
        <f aca="false">IF($C1581="","",IFERROR(IF(INDEX('REGISTRE TUBES'!$F$7:$F$2506,MATCH($C1581,'REGISTRE TUBES'!$B$7:$B$2506,0))="","",INDEX('REGISTRE TUBES'!$F$7:$F$2506,MATCH($C1581,'REGISTRE TUBES'!$B$7:$B$2506,0))),"?"))</f>
        <v>11.94</v>
      </c>
      <c r="G1581" s="94" t="n">
        <f aca="false">IF($C1581="","",N(G1580)+N(F1581))</f>
        <v>12739.1700000001</v>
      </c>
      <c r="H1581" s="95" t="s">
        <v>2558</v>
      </c>
      <c r="I1581" s="96"/>
      <c r="J1581" s="97"/>
    </row>
    <row r="1582" customFormat="false" ht="15" hidden="false" customHeight="false" outlineLevel="0" collapsed="false">
      <c r="B1582" s="98" t="n">
        <v>1074</v>
      </c>
      <c r="C1582" s="99" t="n">
        <v>2098180</v>
      </c>
      <c r="D1582" s="100" t="n">
        <f aca="false">IF($C1582="","",IFERROR(IF(INDEX('REGISTRE TUBES'!$C$7:$C$2506,MATCH($C1582,'REGISTRE TUBES'!$B$7:$B$2506,0))="","",INDEX('REGISTRE TUBES'!$C$7:$C$2506,MATCH($C1582,'REGISTRE TUBES'!$B$7:$B$2506,0))),"?"))</f>
        <v>15421112</v>
      </c>
      <c r="E1582" s="100" t="str">
        <f aca="false">IF($C1582="","",IFERROR(IF(INDEX('REGISTRE TUBES'!$D$7:$D$2506,MATCH($C1582,'REGISTRE TUBES'!$B$7:$B$2506,0))="","",INDEX('REGISTRE TUBES'!$D$7:$D$2506,MATCH($C1582,'REGISTRE TUBES'!$B$7:$B$2506,0))),"?"))</f>
        <v/>
      </c>
      <c r="F1582" s="101" t="n">
        <f aca="false">IF($C1582="","",IFERROR(IF(INDEX('REGISTRE TUBES'!$F$7:$F$2506,MATCH($C1582,'REGISTRE TUBES'!$B$7:$B$2506,0))="","",INDEX('REGISTRE TUBES'!$F$7:$F$2506,MATCH($C1582,'REGISTRE TUBES'!$B$7:$B$2506,0))),"?"))</f>
        <v>11.94</v>
      </c>
      <c r="G1582" s="102" t="n">
        <f aca="false">IF($C1582="","",N(G1581)+N(F1582))</f>
        <v>12751.1100000001</v>
      </c>
      <c r="H1582" s="103" t="s">
        <v>2559</v>
      </c>
      <c r="I1582" s="104"/>
      <c r="J1582" s="105"/>
    </row>
    <row r="1583" customFormat="false" ht="15" hidden="false" customHeight="false" outlineLevel="0" collapsed="false">
      <c r="B1583" s="90" t="n">
        <v>1075</v>
      </c>
      <c r="C1583" s="91" t="n">
        <v>2082780</v>
      </c>
      <c r="D1583" s="92" t="n">
        <f aca="false">IF($C1583="","",IFERROR(IF(INDEX('REGISTRE TUBES'!$C$7:$C$2506,MATCH($C1583,'REGISTRE TUBES'!$B$7:$B$2506,0))="","",INDEX('REGISTRE TUBES'!$C$7:$C$2506,MATCH($C1583,'REGISTRE TUBES'!$B$7:$B$2506,0))),"?"))</f>
        <v>15421104</v>
      </c>
      <c r="E1583" s="92" t="str">
        <f aca="false">IF($C1583="","",IFERROR(IF(INDEX('REGISTRE TUBES'!$D$7:$D$2506,MATCH($C1583,'REGISTRE TUBES'!$B$7:$B$2506,0))="","",INDEX('REGISTRE TUBES'!$D$7:$D$2506,MATCH($C1583,'REGISTRE TUBES'!$B$7:$B$2506,0))),"?"))</f>
        <v/>
      </c>
      <c r="F1583" s="93" t="n">
        <f aca="false">IF($C1583="","",IFERROR(IF(INDEX('REGISTRE TUBES'!$F$7:$F$2506,MATCH($C1583,'REGISTRE TUBES'!$B$7:$B$2506,0))="","",INDEX('REGISTRE TUBES'!$F$7:$F$2506,MATCH($C1583,'REGISTRE TUBES'!$B$7:$B$2506,0))),"?"))</f>
        <v>11.94</v>
      </c>
      <c r="G1583" s="94" t="n">
        <f aca="false">IF($C1583="","",N(G1582)+N(F1583))</f>
        <v>12763.0500000001</v>
      </c>
      <c r="H1583" s="95" t="s">
        <v>2560</v>
      </c>
      <c r="I1583" s="96"/>
      <c r="J1583" s="97"/>
    </row>
    <row r="1584" customFormat="false" ht="15" hidden="false" customHeight="false" outlineLevel="0" collapsed="false">
      <c r="B1584" s="98" t="n">
        <v>1076</v>
      </c>
      <c r="C1584" s="99" t="n">
        <v>2084840</v>
      </c>
      <c r="D1584" s="100" t="n">
        <f aca="false">IF($C1584="","",IFERROR(IF(INDEX('REGISTRE TUBES'!$C$7:$C$2506,MATCH($C1584,'REGISTRE TUBES'!$B$7:$B$2506,0))="","",INDEX('REGISTRE TUBES'!$C$7:$C$2506,MATCH($C1584,'REGISTRE TUBES'!$B$7:$B$2506,0))),"?"))</f>
        <v>15421106</v>
      </c>
      <c r="E1584" s="100" t="str">
        <f aca="false">IF($C1584="","",IFERROR(IF(INDEX('REGISTRE TUBES'!$D$7:$D$2506,MATCH($C1584,'REGISTRE TUBES'!$B$7:$B$2506,0))="","",INDEX('REGISTRE TUBES'!$D$7:$D$2506,MATCH($C1584,'REGISTRE TUBES'!$B$7:$B$2506,0))),"?"))</f>
        <v/>
      </c>
      <c r="F1584" s="101" t="n">
        <f aca="false">IF($C1584="","",IFERROR(IF(INDEX('REGISTRE TUBES'!$F$7:$F$2506,MATCH($C1584,'REGISTRE TUBES'!$B$7:$B$2506,0))="","",INDEX('REGISTRE TUBES'!$F$7:$F$2506,MATCH($C1584,'REGISTRE TUBES'!$B$7:$B$2506,0))),"?"))</f>
        <v>11.94</v>
      </c>
      <c r="G1584" s="102" t="n">
        <f aca="false">IF($C1584="","",N(G1583)+N(F1584))</f>
        <v>12774.9900000001</v>
      </c>
      <c r="H1584" s="103" t="s">
        <v>2561</v>
      </c>
      <c r="I1584" s="104"/>
      <c r="J1584" s="105"/>
    </row>
    <row r="1585" customFormat="false" ht="15" hidden="false" customHeight="false" outlineLevel="0" collapsed="false">
      <c r="B1585" s="90" t="n">
        <v>1077</v>
      </c>
      <c r="C1585" s="91" t="n">
        <v>2097030</v>
      </c>
      <c r="D1585" s="92" t="n">
        <f aca="false">IF($C1585="","",IFERROR(IF(INDEX('REGISTRE TUBES'!$C$7:$C$2506,MATCH($C1585,'REGISTRE TUBES'!$B$7:$B$2506,0))="","",INDEX('REGISTRE TUBES'!$C$7:$C$2506,MATCH($C1585,'REGISTRE TUBES'!$B$7:$B$2506,0))),"?"))</f>
        <v>15421111</v>
      </c>
      <c r="E1585" s="92" t="str">
        <f aca="false">IF($C1585="","",IFERROR(IF(INDEX('REGISTRE TUBES'!$D$7:$D$2506,MATCH($C1585,'REGISTRE TUBES'!$B$7:$B$2506,0))="","",INDEX('REGISTRE TUBES'!$D$7:$D$2506,MATCH($C1585,'REGISTRE TUBES'!$B$7:$B$2506,0))),"?"))</f>
        <v/>
      </c>
      <c r="F1585" s="93" t="n">
        <f aca="false">IF($C1585="","",IFERROR(IF(INDEX('REGISTRE TUBES'!$F$7:$F$2506,MATCH($C1585,'REGISTRE TUBES'!$B$7:$B$2506,0))="","",INDEX('REGISTRE TUBES'!$F$7:$F$2506,MATCH($C1585,'REGISTRE TUBES'!$B$7:$B$2506,0))),"?"))</f>
        <v>11.94</v>
      </c>
      <c r="G1585" s="94" t="n">
        <f aca="false">IF($C1585="","",N(G1584)+N(F1585))</f>
        <v>12786.9300000001</v>
      </c>
      <c r="H1585" s="95" t="s">
        <v>2562</v>
      </c>
      <c r="I1585" s="96"/>
      <c r="J1585" s="97"/>
    </row>
    <row r="1586" customFormat="false" ht="15" hidden="false" customHeight="false" outlineLevel="0" collapsed="false">
      <c r="B1586" s="98" t="n">
        <v>1078</v>
      </c>
      <c r="C1586" s="99" t="n">
        <v>2096230</v>
      </c>
      <c r="D1586" s="100" t="n">
        <f aca="false">IF($C1586="","",IFERROR(IF(INDEX('REGISTRE TUBES'!$C$7:$C$2506,MATCH($C1586,'REGISTRE TUBES'!$B$7:$B$2506,0))="","",INDEX('REGISTRE TUBES'!$C$7:$C$2506,MATCH($C1586,'REGISTRE TUBES'!$B$7:$B$2506,0))),"?"))</f>
        <v>15421111</v>
      </c>
      <c r="E1586" s="100" t="str">
        <f aca="false">IF($C1586="","",IFERROR(IF(INDEX('REGISTRE TUBES'!$D$7:$D$2506,MATCH($C1586,'REGISTRE TUBES'!$B$7:$B$2506,0))="","",INDEX('REGISTRE TUBES'!$D$7:$D$2506,MATCH($C1586,'REGISTRE TUBES'!$B$7:$B$2506,0))),"?"))</f>
        <v/>
      </c>
      <c r="F1586" s="101" t="n">
        <f aca="false">IF($C1586="","",IFERROR(IF(INDEX('REGISTRE TUBES'!$F$7:$F$2506,MATCH($C1586,'REGISTRE TUBES'!$B$7:$B$2506,0))="","",INDEX('REGISTRE TUBES'!$F$7:$F$2506,MATCH($C1586,'REGISTRE TUBES'!$B$7:$B$2506,0))),"?"))</f>
        <v>11.94</v>
      </c>
      <c r="G1586" s="102" t="n">
        <f aca="false">IF($C1586="","",N(G1585)+N(F1586))</f>
        <v>12798.8700000001</v>
      </c>
      <c r="H1586" s="103" t="s">
        <v>2563</v>
      </c>
      <c r="I1586" s="104"/>
      <c r="J1586" s="105"/>
    </row>
    <row r="1587" customFormat="false" ht="15" hidden="false" customHeight="false" outlineLevel="0" collapsed="false">
      <c r="B1587" s="90" t="n">
        <v>1079</v>
      </c>
      <c r="C1587" s="91" t="n">
        <v>2089450</v>
      </c>
      <c r="D1587" s="92" t="n">
        <f aca="false">IF($C1587="","",IFERROR(IF(INDEX('REGISTRE TUBES'!$C$7:$C$2506,MATCH($C1587,'REGISTRE TUBES'!$B$7:$B$2506,0))="","",INDEX('REGISTRE TUBES'!$C$7:$C$2506,MATCH($C1587,'REGISTRE TUBES'!$B$7:$B$2506,0))),"?"))</f>
        <v>15421109</v>
      </c>
      <c r="E1587" s="92" t="str">
        <f aca="false">IF($C1587="","",IFERROR(IF(INDEX('REGISTRE TUBES'!$D$7:$D$2506,MATCH($C1587,'REGISTRE TUBES'!$B$7:$B$2506,0))="","",INDEX('REGISTRE TUBES'!$D$7:$D$2506,MATCH($C1587,'REGISTRE TUBES'!$B$7:$B$2506,0))),"?"))</f>
        <v/>
      </c>
      <c r="F1587" s="93" t="n">
        <f aca="false">IF($C1587="","",IFERROR(IF(INDEX('REGISTRE TUBES'!$F$7:$F$2506,MATCH($C1587,'REGISTRE TUBES'!$B$7:$B$2506,0))="","",INDEX('REGISTRE TUBES'!$F$7:$F$2506,MATCH($C1587,'REGISTRE TUBES'!$B$7:$B$2506,0))),"?"))</f>
        <v>11.94</v>
      </c>
      <c r="G1587" s="94" t="n">
        <f aca="false">IF($C1587="","",N(G1586)+N(F1587))</f>
        <v>12810.8100000001</v>
      </c>
      <c r="H1587" s="95" t="s">
        <v>2564</v>
      </c>
      <c r="I1587" s="96"/>
      <c r="J1587" s="97"/>
    </row>
    <row r="1588" customFormat="false" ht="15" hidden="false" customHeight="false" outlineLevel="0" collapsed="false">
      <c r="B1588" s="98" t="n">
        <v>1080</v>
      </c>
      <c r="C1588" s="99" t="n">
        <v>2098230</v>
      </c>
      <c r="D1588" s="100" t="n">
        <f aca="false">IF($C1588="","",IFERROR(IF(INDEX('REGISTRE TUBES'!$C$7:$C$2506,MATCH($C1588,'REGISTRE TUBES'!$B$7:$B$2506,0))="","",INDEX('REGISTRE TUBES'!$C$7:$C$2506,MATCH($C1588,'REGISTRE TUBES'!$B$7:$B$2506,0))),"?"))</f>
        <v>15421112</v>
      </c>
      <c r="E1588" s="100" t="str">
        <f aca="false">IF($C1588="","",IFERROR(IF(INDEX('REGISTRE TUBES'!$D$7:$D$2506,MATCH($C1588,'REGISTRE TUBES'!$B$7:$B$2506,0))="","",INDEX('REGISTRE TUBES'!$D$7:$D$2506,MATCH($C1588,'REGISTRE TUBES'!$B$7:$B$2506,0))),"?"))</f>
        <v/>
      </c>
      <c r="F1588" s="101" t="n">
        <f aca="false">IF($C1588="","",IFERROR(IF(INDEX('REGISTRE TUBES'!$F$7:$F$2506,MATCH($C1588,'REGISTRE TUBES'!$B$7:$B$2506,0))="","",INDEX('REGISTRE TUBES'!$F$7:$F$2506,MATCH($C1588,'REGISTRE TUBES'!$B$7:$B$2506,0))),"?"))</f>
        <v>11.94</v>
      </c>
      <c r="G1588" s="102" t="n">
        <f aca="false">IF($C1588="","",N(G1587)+N(F1588))</f>
        <v>12822.7500000001</v>
      </c>
      <c r="H1588" s="103" t="s">
        <v>2565</v>
      </c>
      <c r="I1588" s="104"/>
      <c r="J1588" s="105"/>
    </row>
    <row r="1589" customFormat="false" ht="15" hidden="false" customHeight="false" outlineLevel="0" collapsed="false">
      <c r="B1589" s="90" t="n">
        <v>1081</v>
      </c>
      <c r="C1589" s="91" t="n">
        <v>2079110</v>
      </c>
      <c r="D1589" s="92" t="n">
        <f aca="false">IF($C1589="","",IFERROR(IF(INDEX('REGISTRE TUBES'!$C$7:$C$2506,MATCH($C1589,'REGISTRE TUBES'!$B$7:$B$2506,0))="","",INDEX('REGISTRE TUBES'!$C$7:$C$2506,MATCH($C1589,'REGISTRE TUBES'!$B$7:$B$2506,0))),"?"))</f>
        <v>15421102</v>
      </c>
      <c r="E1589" s="92" t="str">
        <f aca="false">IF($C1589="","",IFERROR(IF(INDEX('REGISTRE TUBES'!$D$7:$D$2506,MATCH($C1589,'REGISTRE TUBES'!$B$7:$B$2506,0))="","",INDEX('REGISTRE TUBES'!$D$7:$D$2506,MATCH($C1589,'REGISTRE TUBES'!$B$7:$B$2506,0))),"?"))</f>
        <v/>
      </c>
      <c r="F1589" s="93" t="n">
        <f aca="false">IF($C1589="","",IFERROR(IF(INDEX('REGISTRE TUBES'!$F$7:$F$2506,MATCH($C1589,'REGISTRE TUBES'!$B$7:$B$2506,0))="","",INDEX('REGISTRE TUBES'!$F$7:$F$2506,MATCH($C1589,'REGISTRE TUBES'!$B$7:$B$2506,0))),"?"))</f>
        <v>11.94</v>
      </c>
      <c r="G1589" s="94" t="n">
        <f aca="false">IF($C1589="","",N(G1588)+N(F1589))</f>
        <v>12834.6900000001</v>
      </c>
      <c r="H1589" s="95" t="s">
        <v>2566</v>
      </c>
      <c r="I1589" s="96"/>
      <c r="J1589" s="97"/>
    </row>
    <row r="1590" customFormat="false" ht="15" hidden="false" customHeight="false" outlineLevel="0" collapsed="false">
      <c r="B1590" s="98" t="n">
        <v>1082</v>
      </c>
      <c r="C1590" s="99" t="n">
        <v>2098090</v>
      </c>
      <c r="D1590" s="100" t="n">
        <f aca="false">IF($C1590="","",IFERROR(IF(INDEX('REGISTRE TUBES'!$C$7:$C$2506,MATCH($C1590,'REGISTRE TUBES'!$B$7:$B$2506,0))="","",INDEX('REGISTRE TUBES'!$C$7:$C$2506,MATCH($C1590,'REGISTRE TUBES'!$B$7:$B$2506,0))),"?"))</f>
        <v>15421112</v>
      </c>
      <c r="E1590" s="100" t="str">
        <f aca="false">IF($C1590="","",IFERROR(IF(INDEX('REGISTRE TUBES'!$D$7:$D$2506,MATCH($C1590,'REGISTRE TUBES'!$B$7:$B$2506,0))="","",INDEX('REGISTRE TUBES'!$D$7:$D$2506,MATCH($C1590,'REGISTRE TUBES'!$B$7:$B$2506,0))),"?"))</f>
        <v/>
      </c>
      <c r="F1590" s="101" t="n">
        <f aca="false">IF($C1590="","",IFERROR(IF(INDEX('REGISTRE TUBES'!$F$7:$F$2506,MATCH($C1590,'REGISTRE TUBES'!$B$7:$B$2506,0))="","",INDEX('REGISTRE TUBES'!$F$7:$F$2506,MATCH($C1590,'REGISTRE TUBES'!$B$7:$B$2506,0))),"?"))</f>
        <v>11.94</v>
      </c>
      <c r="G1590" s="102" t="n">
        <f aca="false">IF($C1590="","",N(G1589)+N(F1590))</f>
        <v>12846.6300000001</v>
      </c>
      <c r="H1590" s="103" t="s">
        <v>2567</v>
      </c>
      <c r="I1590" s="104"/>
      <c r="J1590" s="105"/>
    </row>
    <row r="1591" customFormat="false" ht="15" hidden="false" customHeight="false" outlineLevel="0" collapsed="false">
      <c r="B1591" s="90" t="n">
        <v>1083</v>
      </c>
      <c r="C1591" s="91" t="n">
        <v>2090910</v>
      </c>
      <c r="D1591" s="92" t="n">
        <f aca="false">IF($C1591="","",IFERROR(IF(INDEX('REGISTRE TUBES'!$C$7:$C$2506,MATCH($C1591,'REGISTRE TUBES'!$B$7:$B$2506,0))="","",INDEX('REGISTRE TUBES'!$C$7:$C$2506,MATCH($C1591,'REGISTRE TUBES'!$B$7:$B$2506,0))),"?"))</f>
        <v>15421109</v>
      </c>
      <c r="E1591" s="92" t="str">
        <f aca="false">IF($C1591="","",IFERROR(IF(INDEX('REGISTRE TUBES'!$D$7:$D$2506,MATCH($C1591,'REGISTRE TUBES'!$B$7:$B$2506,0))="","",INDEX('REGISTRE TUBES'!$D$7:$D$2506,MATCH($C1591,'REGISTRE TUBES'!$B$7:$B$2506,0))),"?"))</f>
        <v/>
      </c>
      <c r="F1591" s="93" t="n">
        <f aca="false">IF($C1591="","",IFERROR(IF(INDEX('REGISTRE TUBES'!$F$7:$F$2506,MATCH($C1591,'REGISTRE TUBES'!$B$7:$B$2506,0))="","",INDEX('REGISTRE TUBES'!$F$7:$F$2506,MATCH($C1591,'REGISTRE TUBES'!$B$7:$B$2506,0))),"?"))</f>
        <v>11.94</v>
      </c>
      <c r="G1591" s="94" t="n">
        <f aca="false">IF($C1591="","",N(G1590)+N(F1591))</f>
        <v>12858.5700000001</v>
      </c>
      <c r="H1591" s="95" t="s">
        <v>2569</v>
      </c>
      <c r="I1591" s="96"/>
      <c r="J1591" s="97"/>
    </row>
    <row r="1592" customFormat="false" ht="15" hidden="false" customHeight="true" outlineLevel="0" collapsed="false">
      <c r="B1592" s="106" t="s">
        <v>3031</v>
      </c>
      <c r="C1592" s="106"/>
      <c r="D1592" s="106"/>
      <c r="E1592" s="106"/>
      <c r="F1592" s="107" t="n">
        <f aca="false">SUM(F1573:F1591)</f>
        <v>226.86</v>
      </c>
      <c r="G1592" s="108" t="n">
        <f aca="false">IF(COUNT(G1573:G1591)=0,"",MAX(G1573:G1591))</f>
        <v>12858.5700000001</v>
      </c>
      <c r="H1592" s="106" t="str">
        <f aca="false">COUNTA(C1573:C1591)&amp;" tube(s)"</f>
        <v>19 tube(s)</v>
      </c>
      <c r="I1592" s="106"/>
      <c r="J1592" s="106"/>
    </row>
    <row r="1594" customFormat="false" ht="15" hidden="false" customHeight="false" outlineLevel="0" collapsed="false">
      <c r="B1594" s="109" t="s">
        <v>3032</v>
      </c>
      <c r="F1594" s="109" t="s">
        <v>3033</v>
      </c>
      <c r="I1594" s="109" t="s">
        <v>3034</v>
      </c>
    </row>
    <row r="1597" customFormat="false" ht="25.5" hidden="false" customHeight="true" outlineLevel="0" collapsed="false">
      <c r="B1597" s="85" t="s">
        <v>3015</v>
      </c>
      <c r="C1597" s="85"/>
      <c r="D1597" s="85"/>
      <c r="E1597" s="85"/>
      <c r="F1597" s="85"/>
      <c r="G1597" s="85"/>
      <c r="H1597" s="85"/>
      <c r="I1597" s="85"/>
      <c r="J1597" s="85"/>
    </row>
    <row r="1598" customFormat="false" ht="15" hidden="false" customHeight="false" outlineLevel="0" collapsed="false">
      <c r="B1598" s="86" t="str">
        <f aca="false">PARAMÈTRES!$C$4&amp;"   •   Affaire N° "&amp;PARAMÈTRES!$C$5</f>
        <v>Développement des champs gaziers TFT II — réseau de collecte TFT Sud (LIGNE-16)   •   Affaire N° 8546</v>
      </c>
      <c r="C1598" s="86"/>
      <c r="D1598" s="86"/>
      <c r="E1598" s="86"/>
      <c r="F1598" s="86"/>
      <c r="G1598" s="86"/>
      <c r="H1598" s="86"/>
      <c r="I1598" s="86"/>
      <c r="J1598" s="86"/>
    </row>
    <row r="1599" customFormat="false" ht="19.5" hidden="false" customHeight="true" outlineLevel="0" collapsed="false">
      <c r="B1599" s="87" t="s">
        <v>3016</v>
      </c>
      <c r="C1599" s="88" t="s">
        <v>110</v>
      </c>
      <c r="D1599" s="88"/>
      <c r="E1599" s="87" t="s">
        <v>3017</v>
      </c>
      <c r="F1599" s="88" t="s">
        <v>3147</v>
      </c>
      <c r="G1599" s="87" t="s">
        <v>3019</v>
      </c>
      <c r="H1599" s="88" t="s">
        <v>3148</v>
      </c>
      <c r="I1599" s="87" t="s">
        <v>3021</v>
      </c>
      <c r="J1599" s="89"/>
    </row>
    <row r="1600" customFormat="false" ht="27.75" hidden="false" customHeight="true" outlineLevel="0" collapsed="false">
      <c r="B1600" s="71" t="s">
        <v>3022</v>
      </c>
      <c r="C1600" s="71" t="s">
        <v>3023</v>
      </c>
      <c r="D1600" s="71" t="s">
        <v>3024</v>
      </c>
      <c r="E1600" s="71" t="s">
        <v>3025</v>
      </c>
      <c r="F1600" s="71" t="s">
        <v>3026</v>
      </c>
      <c r="G1600" s="71" t="s">
        <v>3027</v>
      </c>
      <c r="H1600" s="71" t="s">
        <v>3028</v>
      </c>
      <c r="I1600" s="71" t="s">
        <v>3029</v>
      </c>
      <c r="J1600" s="71" t="s">
        <v>3030</v>
      </c>
    </row>
    <row r="1601" customFormat="false" ht="15" hidden="false" customHeight="false" outlineLevel="0" collapsed="false">
      <c r="B1601" s="90" t="n">
        <v>1084</v>
      </c>
      <c r="C1601" s="91" t="n">
        <v>2095210</v>
      </c>
      <c r="D1601" s="92" t="n">
        <f aca="false">IF($C1601="","",IFERROR(IF(INDEX('REGISTRE TUBES'!$C$7:$C$2506,MATCH($C1601,'REGISTRE TUBES'!$B$7:$B$2506,0))="","",INDEX('REGISTRE TUBES'!$C$7:$C$2506,MATCH($C1601,'REGISTRE TUBES'!$B$7:$B$2506,0))),"?"))</f>
        <v>15421111</v>
      </c>
      <c r="E1601" s="92" t="str">
        <f aca="false">IF($C1601="","",IFERROR(IF(INDEX('REGISTRE TUBES'!$D$7:$D$2506,MATCH($C1601,'REGISTRE TUBES'!$B$7:$B$2506,0))="","",INDEX('REGISTRE TUBES'!$D$7:$D$2506,MATCH($C1601,'REGISTRE TUBES'!$B$7:$B$2506,0))),"?"))</f>
        <v/>
      </c>
      <c r="F1601" s="93" t="n">
        <f aca="false">IF($C1601="","",IFERROR(IF(INDEX('REGISTRE TUBES'!$F$7:$F$2506,MATCH($C1601,'REGISTRE TUBES'!$B$7:$B$2506,0))="","",INDEX('REGISTRE TUBES'!$F$7:$F$2506,MATCH($C1601,'REGISTRE TUBES'!$B$7:$B$2506,0))),"?"))</f>
        <v>11.94</v>
      </c>
      <c r="G1601" s="94" t="n">
        <f aca="false">IF($C1601="","",N(G1591)+N(F1601))</f>
        <v>12870.5100000001</v>
      </c>
      <c r="H1601" s="95" t="s">
        <v>2572</v>
      </c>
      <c r="I1601" s="96"/>
      <c r="J1601" s="97"/>
    </row>
    <row r="1602" customFormat="false" ht="15" hidden="false" customHeight="false" outlineLevel="0" collapsed="false">
      <c r="B1602" s="98" t="n">
        <v>1085</v>
      </c>
      <c r="C1602" s="99" t="n">
        <v>2078430</v>
      </c>
      <c r="D1602" s="100" t="n">
        <f aca="false">IF($C1602="","",IFERROR(IF(INDEX('REGISTRE TUBES'!$C$7:$C$2506,MATCH($C1602,'REGISTRE TUBES'!$B$7:$B$2506,0))="","",INDEX('REGISTRE TUBES'!$C$7:$C$2506,MATCH($C1602,'REGISTRE TUBES'!$B$7:$B$2506,0))),"?"))</f>
        <v>15421101</v>
      </c>
      <c r="E1602" s="100" t="str">
        <f aca="false">IF($C1602="","",IFERROR(IF(INDEX('REGISTRE TUBES'!$D$7:$D$2506,MATCH($C1602,'REGISTRE TUBES'!$B$7:$B$2506,0))="","",INDEX('REGISTRE TUBES'!$D$7:$D$2506,MATCH($C1602,'REGISTRE TUBES'!$B$7:$B$2506,0))),"?"))</f>
        <v/>
      </c>
      <c r="F1602" s="101" t="n">
        <f aca="false">IF($C1602="","",IFERROR(IF(INDEX('REGISTRE TUBES'!$F$7:$F$2506,MATCH($C1602,'REGISTRE TUBES'!$B$7:$B$2506,0))="","",INDEX('REGISTRE TUBES'!$F$7:$F$2506,MATCH($C1602,'REGISTRE TUBES'!$B$7:$B$2506,0))),"?"))</f>
        <v>11.94</v>
      </c>
      <c r="G1602" s="102" t="n">
        <f aca="false">IF($C1602="","",N(G1601)+N(F1602))</f>
        <v>12882.4500000001</v>
      </c>
      <c r="H1602" s="103" t="s">
        <v>2573</v>
      </c>
      <c r="I1602" s="104"/>
      <c r="J1602" s="105"/>
    </row>
    <row r="1603" customFormat="false" ht="15" hidden="false" customHeight="false" outlineLevel="0" collapsed="false">
      <c r="B1603" s="90" t="n">
        <v>1086</v>
      </c>
      <c r="C1603" s="91" t="n">
        <v>2083680</v>
      </c>
      <c r="D1603" s="92" t="n">
        <f aca="false">IF($C1603="","",IFERROR(IF(INDEX('REGISTRE TUBES'!$C$7:$C$2506,MATCH($C1603,'REGISTRE TUBES'!$B$7:$B$2506,0))="","",INDEX('REGISTRE TUBES'!$C$7:$C$2506,MATCH($C1603,'REGISTRE TUBES'!$B$7:$B$2506,0))),"?"))</f>
        <v>15421105</v>
      </c>
      <c r="E1603" s="92" t="str">
        <f aca="false">IF($C1603="","",IFERROR(IF(INDEX('REGISTRE TUBES'!$D$7:$D$2506,MATCH($C1603,'REGISTRE TUBES'!$B$7:$B$2506,0))="","",INDEX('REGISTRE TUBES'!$D$7:$D$2506,MATCH($C1603,'REGISTRE TUBES'!$B$7:$B$2506,0))),"?"))</f>
        <v/>
      </c>
      <c r="F1603" s="93" t="n">
        <f aca="false">IF($C1603="","",IFERROR(IF(INDEX('REGISTRE TUBES'!$F$7:$F$2506,MATCH($C1603,'REGISTRE TUBES'!$B$7:$B$2506,0))="","",INDEX('REGISTRE TUBES'!$F$7:$F$2506,MATCH($C1603,'REGISTRE TUBES'!$B$7:$B$2506,0))),"?"))</f>
        <v>11.94</v>
      </c>
      <c r="G1603" s="94" t="n">
        <f aca="false">IF($C1603="","",N(G1602)+N(F1603))</f>
        <v>12894.3900000001</v>
      </c>
      <c r="H1603" s="95" t="s">
        <v>2574</v>
      </c>
      <c r="I1603" s="96"/>
      <c r="J1603" s="97"/>
    </row>
    <row r="1604" customFormat="false" ht="15" hidden="false" customHeight="false" outlineLevel="0" collapsed="false">
      <c r="B1604" s="98" t="n">
        <v>1087</v>
      </c>
      <c r="C1604" s="99" t="n">
        <v>2095310</v>
      </c>
      <c r="D1604" s="100" t="n">
        <f aca="false">IF($C1604="","",IFERROR(IF(INDEX('REGISTRE TUBES'!$C$7:$C$2506,MATCH($C1604,'REGISTRE TUBES'!$B$7:$B$2506,0))="","",INDEX('REGISTRE TUBES'!$C$7:$C$2506,MATCH($C1604,'REGISTRE TUBES'!$B$7:$B$2506,0))),"?"))</f>
        <v>15421111</v>
      </c>
      <c r="E1604" s="100" t="str">
        <f aca="false">IF($C1604="","",IFERROR(IF(INDEX('REGISTRE TUBES'!$D$7:$D$2506,MATCH($C1604,'REGISTRE TUBES'!$B$7:$B$2506,0))="","",INDEX('REGISTRE TUBES'!$D$7:$D$2506,MATCH($C1604,'REGISTRE TUBES'!$B$7:$B$2506,0))),"?"))</f>
        <v/>
      </c>
      <c r="F1604" s="101" t="n">
        <f aca="false">IF($C1604="","",IFERROR(IF(INDEX('REGISTRE TUBES'!$F$7:$F$2506,MATCH($C1604,'REGISTRE TUBES'!$B$7:$B$2506,0))="","",INDEX('REGISTRE TUBES'!$F$7:$F$2506,MATCH($C1604,'REGISTRE TUBES'!$B$7:$B$2506,0))),"?"))</f>
        <v>11.94</v>
      </c>
      <c r="G1604" s="102" t="n">
        <f aca="false">IF($C1604="","",N(G1603)+N(F1604))</f>
        <v>12906.3300000001</v>
      </c>
      <c r="H1604" s="103" t="s">
        <v>2575</v>
      </c>
      <c r="I1604" s="104"/>
      <c r="J1604" s="105"/>
    </row>
    <row r="1605" customFormat="false" ht="15" hidden="false" customHeight="false" outlineLevel="0" collapsed="false">
      <c r="B1605" s="90" t="n">
        <v>1088</v>
      </c>
      <c r="C1605" s="91" t="n">
        <v>2091820</v>
      </c>
      <c r="D1605" s="92" t="n">
        <f aca="false">IF($C1605="","",IFERROR(IF(INDEX('REGISTRE TUBES'!$C$7:$C$2506,MATCH($C1605,'REGISTRE TUBES'!$B$7:$B$2506,0))="","",INDEX('REGISTRE TUBES'!$C$7:$C$2506,MATCH($C1605,'REGISTRE TUBES'!$B$7:$B$2506,0))),"?"))</f>
        <v>15421109</v>
      </c>
      <c r="E1605" s="92" t="str">
        <f aca="false">IF($C1605="","",IFERROR(IF(INDEX('REGISTRE TUBES'!$D$7:$D$2506,MATCH($C1605,'REGISTRE TUBES'!$B$7:$B$2506,0))="","",INDEX('REGISTRE TUBES'!$D$7:$D$2506,MATCH($C1605,'REGISTRE TUBES'!$B$7:$B$2506,0))),"?"))</f>
        <v/>
      </c>
      <c r="F1605" s="93" t="n">
        <f aca="false">IF($C1605="","",IFERROR(IF(INDEX('REGISTRE TUBES'!$F$7:$F$2506,MATCH($C1605,'REGISTRE TUBES'!$B$7:$B$2506,0))="","",INDEX('REGISTRE TUBES'!$F$7:$F$2506,MATCH($C1605,'REGISTRE TUBES'!$B$7:$B$2506,0))),"?"))</f>
        <v>11.94</v>
      </c>
      <c r="G1605" s="94" t="n">
        <f aca="false">IF($C1605="","",N(G1604)+N(F1605))</f>
        <v>12918.2700000001</v>
      </c>
      <c r="H1605" s="95" t="s">
        <v>2576</v>
      </c>
      <c r="I1605" s="96"/>
      <c r="J1605" s="97"/>
    </row>
    <row r="1606" customFormat="false" ht="15" hidden="false" customHeight="false" outlineLevel="0" collapsed="false">
      <c r="B1606" s="98" t="n">
        <v>1089</v>
      </c>
      <c r="C1606" s="99" t="n">
        <v>2082280</v>
      </c>
      <c r="D1606" s="100" t="n">
        <f aca="false">IF($C1606="","",IFERROR(IF(INDEX('REGISTRE TUBES'!$C$7:$C$2506,MATCH($C1606,'REGISTRE TUBES'!$B$7:$B$2506,0))="","",INDEX('REGISTRE TUBES'!$C$7:$C$2506,MATCH($C1606,'REGISTRE TUBES'!$B$7:$B$2506,0))),"?"))</f>
        <v>15421104</v>
      </c>
      <c r="E1606" s="100" t="str">
        <f aca="false">IF($C1606="","",IFERROR(IF(INDEX('REGISTRE TUBES'!$D$7:$D$2506,MATCH($C1606,'REGISTRE TUBES'!$B$7:$B$2506,0))="","",INDEX('REGISTRE TUBES'!$D$7:$D$2506,MATCH($C1606,'REGISTRE TUBES'!$B$7:$B$2506,0))),"?"))</f>
        <v/>
      </c>
      <c r="F1606" s="101" t="n">
        <f aca="false">IF($C1606="","",IFERROR(IF(INDEX('REGISTRE TUBES'!$F$7:$F$2506,MATCH($C1606,'REGISTRE TUBES'!$B$7:$B$2506,0))="","",INDEX('REGISTRE TUBES'!$F$7:$F$2506,MATCH($C1606,'REGISTRE TUBES'!$B$7:$B$2506,0))),"?"))</f>
        <v>11.94</v>
      </c>
      <c r="G1606" s="102" t="n">
        <f aca="false">IF($C1606="","",N(G1605)+N(F1606))</f>
        <v>12930.2100000001</v>
      </c>
      <c r="H1606" s="103" t="s">
        <v>2577</v>
      </c>
      <c r="I1606" s="104"/>
      <c r="J1606" s="105"/>
    </row>
    <row r="1607" customFormat="false" ht="15" hidden="false" customHeight="false" outlineLevel="0" collapsed="false">
      <c r="B1607" s="90" t="n">
        <v>1090</v>
      </c>
      <c r="C1607" s="91" t="n">
        <v>2078970</v>
      </c>
      <c r="D1607" s="92" t="n">
        <f aca="false">IF($C1607="","",IFERROR(IF(INDEX('REGISTRE TUBES'!$C$7:$C$2506,MATCH($C1607,'REGISTRE TUBES'!$B$7:$B$2506,0))="","",INDEX('REGISTRE TUBES'!$C$7:$C$2506,MATCH($C1607,'REGISTRE TUBES'!$B$7:$B$2506,0))),"?"))</f>
        <v>15421102</v>
      </c>
      <c r="E1607" s="92" t="str">
        <f aca="false">IF($C1607="","",IFERROR(IF(INDEX('REGISTRE TUBES'!$D$7:$D$2506,MATCH($C1607,'REGISTRE TUBES'!$B$7:$B$2506,0))="","",INDEX('REGISTRE TUBES'!$D$7:$D$2506,MATCH($C1607,'REGISTRE TUBES'!$B$7:$B$2506,0))),"?"))</f>
        <v/>
      </c>
      <c r="F1607" s="93" t="n">
        <f aca="false">IF($C1607="","",IFERROR(IF(INDEX('REGISTRE TUBES'!$F$7:$F$2506,MATCH($C1607,'REGISTRE TUBES'!$B$7:$B$2506,0))="","",INDEX('REGISTRE TUBES'!$F$7:$F$2506,MATCH($C1607,'REGISTRE TUBES'!$B$7:$B$2506,0))),"?"))</f>
        <v>11.94</v>
      </c>
      <c r="G1607" s="94" t="n">
        <f aca="false">IF($C1607="","",N(G1606)+N(F1607))</f>
        <v>12942.1500000001</v>
      </c>
      <c r="H1607" s="95" t="s">
        <v>2579</v>
      </c>
      <c r="I1607" s="96"/>
      <c r="J1607" s="97"/>
    </row>
    <row r="1608" customFormat="false" ht="15" hidden="false" customHeight="false" outlineLevel="0" collapsed="false">
      <c r="B1608" s="98" t="n">
        <v>1091</v>
      </c>
      <c r="C1608" s="99" t="n">
        <v>2092420</v>
      </c>
      <c r="D1608" s="100" t="n">
        <f aca="false">IF($C1608="","",IFERROR(IF(INDEX('REGISTRE TUBES'!$C$7:$C$2506,MATCH($C1608,'REGISTRE TUBES'!$B$7:$B$2506,0))="","",INDEX('REGISTRE TUBES'!$C$7:$C$2506,MATCH($C1608,'REGISTRE TUBES'!$B$7:$B$2506,0))),"?"))</f>
        <v>15421110</v>
      </c>
      <c r="E1608" s="100" t="str">
        <f aca="false">IF($C1608="","",IFERROR(IF(INDEX('REGISTRE TUBES'!$D$7:$D$2506,MATCH($C1608,'REGISTRE TUBES'!$B$7:$B$2506,0))="","",INDEX('REGISTRE TUBES'!$D$7:$D$2506,MATCH($C1608,'REGISTRE TUBES'!$B$7:$B$2506,0))),"?"))</f>
        <v/>
      </c>
      <c r="F1608" s="101" t="n">
        <f aca="false">IF($C1608="","",IFERROR(IF(INDEX('REGISTRE TUBES'!$F$7:$F$2506,MATCH($C1608,'REGISTRE TUBES'!$B$7:$B$2506,0))="","",INDEX('REGISTRE TUBES'!$F$7:$F$2506,MATCH($C1608,'REGISTRE TUBES'!$B$7:$B$2506,0))),"?"))</f>
        <v>11.94</v>
      </c>
      <c r="G1608" s="102" t="n">
        <f aca="false">IF($C1608="","",N(G1607)+N(F1608))</f>
        <v>12954.0900000001</v>
      </c>
      <c r="H1608" s="103" t="s">
        <v>2580</v>
      </c>
      <c r="I1608" s="104"/>
      <c r="J1608" s="105"/>
    </row>
    <row r="1609" customFormat="false" ht="15" hidden="false" customHeight="false" outlineLevel="0" collapsed="false">
      <c r="B1609" s="90" t="n">
        <v>1092</v>
      </c>
      <c r="C1609" s="91" t="n">
        <v>2098610</v>
      </c>
      <c r="D1609" s="92" t="n">
        <f aca="false">IF($C1609="","",IFERROR(IF(INDEX('REGISTRE TUBES'!$C$7:$C$2506,MATCH($C1609,'REGISTRE TUBES'!$B$7:$B$2506,0))="","",INDEX('REGISTRE TUBES'!$C$7:$C$2506,MATCH($C1609,'REGISTRE TUBES'!$B$7:$B$2506,0))),"?"))</f>
        <v>15421112</v>
      </c>
      <c r="E1609" s="92" t="str">
        <f aca="false">IF($C1609="","",IFERROR(IF(INDEX('REGISTRE TUBES'!$D$7:$D$2506,MATCH($C1609,'REGISTRE TUBES'!$B$7:$B$2506,0))="","",INDEX('REGISTRE TUBES'!$D$7:$D$2506,MATCH($C1609,'REGISTRE TUBES'!$B$7:$B$2506,0))),"?"))</f>
        <v/>
      </c>
      <c r="F1609" s="93" t="n">
        <f aca="false">IF($C1609="","",IFERROR(IF(INDEX('REGISTRE TUBES'!$F$7:$F$2506,MATCH($C1609,'REGISTRE TUBES'!$B$7:$B$2506,0))="","",INDEX('REGISTRE TUBES'!$F$7:$F$2506,MATCH($C1609,'REGISTRE TUBES'!$B$7:$B$2506,0))),"?"))</f>
        <v>11.94</v>
      </c>
      <c r="G1609" s="94" t="n">
        <f aca="false">IF($C1609="","",N(G1608)+N(F1609))</f>
        <v>12966.0300000001</v>
      </c>
      <c r="H1609" s="95" t="s">
        <v>2581</v>
      </c>
      <c r="I1609" s="96"/>
      <c r="J1609" s="97"/>
    </row>
    <row r="1610" customFormat="false" ht="15" hidden="false" customHeight="false" outlineLevel="0" collapsed="false">
      <c r="B1610" s="98" t="n">
        <v>1093</v>
      </c>
      <c r="C1610" s="99" t="n">
        <v>2099590</v>
      </c>
      <c r="D1610" s="100" t="n">
        <f aca="false">IF($C1610="","",IFERROR(IF(INDEX('REGISTRE TUBES'!$C$7:$C$2506,MATCH($C1610,'REGISTRE TUBES'!$B$7:$B$2506,0))="","",INDEX('REGISTRE TUBES'!$C$7:$C$2506,MATCH($C1610,'REGISTRE TUBES'!$B$7:$B$2506,0))),"?"))</f>
        <v>15421112</v>
      </c>
      <c r="E1610" s="100" t="str">
        <f aca="false">IF($C1610="","",IFERROR(IF(INDEX('REGISTRE TUBES'!$D$7:$D$2506,MATCH($C1610,'REGISTRE TUBES'!$B$7:$B$2506,0))="","",INDEX('REGISTRE TUBES'!$D$7:$D$2506,MATCH($C1610,'REGISTRE TUBES'!$B$7:$B$2506,0))),"?"))</f>
        <v/>
      </c>
      <c r="F1610" s="101" t="n">
        <f aca="false">IF($C1610="","",IFERROR(IF(INDEX('REGISTRE TUBES'!$F$7:$F$2506,MATCH($C1610,'REGISTRE TUBES'!$B$7:$B$2506,0))="","",INDEX('REGISTRE TUBES'!$F$7:$F$2506,MATCH($C1610,'REGISTRE TUBES'!$B$7:$B$2506,0))),"?"))</f>
        <v>11.94</v>
      </c>
      <c r="G1610" s="102" t="n">
        <f aca="false">IF($C1610="","",N(G1609)+N(F1610))</f>
        <v>12977.9700000001</v>
      </c>
      <c r="H1610" s="103" t="s">
        <v>2582</v>
      </c>
      <c r="I1610" s="104"/>
      <c r="J1610" s="105"/>
    </row>
    <row r="1611" customFormat="false" ht="15" hidden="false" customHeight="false" outlineLevel="0" collapsed="false">
      <c r="B1611" s="90" t="n">
        <v>1094</v>
      </c>
      <c r="C1611" s="91" t="n">
        <v>2079720</v>
      </c>
      <c r="D1611" s="92" t="n">
        <f aca="false">IF($C1611="","",IFERROR(IF(INDEX('REGISTRE TUBES'!$C$7:$C$2506,MATCH($C1611,'REGISTRE TUBES'!$B$7:$B$2506,0))="","",INDEX('REGISTRE TUBES'!$C$7:$C$2506,MATCH($C1611,'REGISTRE TUBES'!$B$7:$B$2506,0))),"?"))</f>
        <v>15421102</v>
      </c>
      <c r="E1611" s="92" t="str">
        <f aca="false">IF($C1611="","",IFERROR(IF(INDEX('REGISTRE TUBES'!$D$7:$D$2506,MATCH($C1611,'REGISTRE TUBES'!$B$7:$B$2506,0))="","",INDEX('REGISTRE TUBES'!$D$7:$D$2506,MATCH($C1611,'REGISTRE TUBES'!$B$7:$B$2506,0))),"?"))</f>
        <v/>
      </c>
      <c r="F1611" s="93" t="n">
        <f aca="false">IF($C1611="","",IFERROR(IF(INDEX('REGISTRE TUBES'!$F$7:$F$2506,MATCH($C1611,'REGISTRE TUBES'!$B$7:$B$2506,0))="","",INDEX('REGISTRE TUBES'!$F$7:$F$2506,MATCH($C1611,'REGISTRE TUBES'!$B$7:$B$2506,0))),"?"))</f>
        <v>11.94</v>
      </c>
      <c r="G1611" s="94" t="n">
        <f aca="false">IF($C1611="","",N(G1610)+N(F1611))</f>
        <v>12989.9100000001</v>
      </c>
      <c r="H1611" s="95" t="s">
        <v>2583</v>
      </c>
      <c r="I1611" s="96"/>
      <c r="J1611" s="97"/>
    </row>
    <row r="1612" customFormat="false" ht="15" hidden="false" customHeight="false" outlineLevel="0" collapsed="false">
      <c r="B1612" s="98" t="n">
        <v>1095</v>
      </c>
      <c r="C1612" s="99" t="n">
        <v>2079820</v>
      </c>
      <c r="D1612" s="100" t="n">
        <f aca="false">IF($C1612="","",IFERROR(IF(INDEX('REGISTRE TUBES'!$C$7:$C$2506,MATCH($C1612,'REGISTRE TUBES'!$B$7:$B$2506,0))="","",INDEX('REGISTRE TUBES'!$C$7:$C$2506,MATCH($C1612,'REGISTRE TUBES'!$B$7:$B$2506,0))),"?"))</f>
        <v>15421102</v>
      </c>
      <c r="E1612" s="100" t="str">
        <f aca="false">IF($C1612="","",IFERROR(IF(INDEX('REGISTRE TUBES'!$D$7:$D$2506,MATCH($C1612,'REGISTRE TUBES'!$B$7:$B$2506,0))="","",INDEX('REGISTRE TUBES'!$D$7:$D$2506,MATCH($C1612,'REGISTRE TUBES'!$B$7:$B$2506,0))),"?"))</f>
        <v/>
      </c>
      <c r="F1612" s="101" t="n">
        <f aca="false">IF($C1612="","",IFERROR(IF(INDEX('REGISTRE TUBES'!$F$7:$F$2506,MATCH($C1612,'REGISTRE TUBES'!$B$7:$B$2506,0))="","",INDEX('REGISTRE TUBES'!$F$7:$F$2506,MATCH($C1612,'REGISTRE TUBES'!$B$7:$B$2506,0))),"?"))</f>
        <v>11.94</v>
      </c>
      <c r="G1612" s="102" t="n">
        <f aca="false">IF($C1612="","",N(G1611)+N(F1612))</f>
        <v>13001.8500000001</v>
      </c>
      <c r="H1612" s="103" t="s">
        <v>2584</v>
      </c>
      <c r="I1612" s="104"/>
      <c r="J1612" s="105"/>
    </row>
    <row r="1613" customFormat="false" ht="15" hidden="false" customHeight="false" outlineLevel="0" collapsed="false">
      <c r="B1613" s="90" t="n">
        <v>1096</v>
      </c>
      <c r="C1613" s="91" t="n">
        <v>2085320</v>
      </c>
      <c r="D1613" s="92" t="n">
        <f aca="false">IF($C1613="","",IFERROR(IF(INDEX('REGISTRE TUBES'!$C$7:$C$2506,MATCH($C1613,'REGISTRE TUBES'!$B$7:$B$2506,0))="","",INDEX('REGISTRE TUBES'!$C$7:$C$2506,MATCH($C1613,'REGISTRE TUBES'!$B$7:$B$2506,0))),"?"))</f>
        <v>15421106</v>
      </c>
      <c r="E1613" s="92" t="str">
        <f aca="false">IF($C1613="","",IFERROR(IF(INDEX('REGISTRE TUBES'!$D$7:$D$2506,MATCH($C1613,'REGISTRE TUBES'!$B$7:$B$2506,0))="","",INDEX('REGISTRE TUBES'!$D$7:$D$2506,MATCH($C1613,'REGISTRE TUBES'!$B$7:$B$2506,0))),"?"))</f>
        <v/>
      </c>
      <c r="F1613" s="93" t="n">
        <f aca="false">IF($C1613="","",IFERROR(IF(INDEX('REGISTRE TUBES'!$F$7:$F$2506,MATCH($C1613,'REGISTRE TUBES'!$B$7:$B$2506,0))="","",INDEX('REGISTRE TUBES'!$F$7:$F$2506,MATCH($C1613,'REGISTRE TUBES'!$B$7:$B$2506,0))),"?"))</f>
        <v>11.94</v>
      </c>
      <c r="G1613" s="94" t="n">
        <f aca="false">IF($C1613="","",N(G1612)+N(F1613))</f>
        <v>13013.7900000001</v>
      </c>
      <c r="H1613" s="95" t="s">
        <v>2585</v>
      </c>
      <c r="I1613" s="96"/>
      <c r="J1613" s="97"/>
    </row>
    <row r="1614" customFormat="false" ht="15" hidden="false" customHeight="false" outlineLevel="0" collapsed="false">
      <c r="B1614" s="98" t="n">
        <v>1097</v>
      </c>
      <c r="C1614" s="99" t="n">
        <v>2089040</v>
      </c>
      <c r="D1614" s="100" t="n">
        <f aca="false">IF($C1614="","",IFERROR(IF(INDEX('REGISTRE TUBES'!$C$7:$C$2506,MATCH($C1614,'REGISTRE TUBES'!$B$7:$B$2506,0))="","",INDEX('REGISTRE TUBES'!$C$7:$C$2506,MATCH($C1614,'REGISTRE TUBES'!$B$7:$B$2506,0))),"?"))</f>
        <v>15421108</v>
      </c>
      <c r="E1614" s="100" t="str">
        <f aca="false">IF($C1614="","",IFERROR(IF(INDEX('REGISTRE TUBES'!$D$7:$D$2506,MATCH($C1614,'REGISTRE TUBES'!$B$7:$B$2506,0))="","",INDEX('REGISTRE TUBES'!$D$7:$D$2506,MATCH($C1614,'REGISTRE TUBES'!$B$7:$B$2506,0))),"?"))</f>
        <v/>
      </c>
      <c r="F1614" s="101" t="n">
        <f aca="false">IF($C1614="","",IFERROR(IF(INDEX('REGISTRE TUBES'!$F$7:$F$2506,MATCH($C1614,'REGISTRE TUBES'!$B$7:$B$2506,0))="","",INDEX('REGISTRE TUBES'!$F$7:$F$2506,MATCH($C1614,'REGISTRE TUBES'!$B$7:$B$2506,0))),"?"))</f>
        <v>11.94</v>
      </c>
      <c r="G1614" s="102" t="n">
        <f aca="false">IF($C1614="","",N(G1613)+N(F1614))</f>
        <v>13025.7300000001</v>
      </c>
      <c r="H1614" s="103" t="s">
        <v>2586</v>
      </c>
      <c r="I1614" s="104"/>
      <c r="J1614" s="105"/>
    </row>
    <row r="1615" customFormat="false" ht="15" hidden="false" customHeight="false" outlineLevel="0" collapsed="false">
      <c r="B1615" s="90" t="n">
        <v>1098</v>
      </c>
      <c r="C1615" s="91" t="n">
        <v>2089790</v>
      </c>
      <c r="D1615" s="92" t="n">
        <f aca="false">IF($C1615="","",IFERROR(IF(INDEX('REGISTRE TUBES'!$C$7:$C$2506,MATCH($C1615,'REGISTRE TUBES'!$B$7:$B$2506,0))="","",INDEX('REGISTRE TUBES'!$C$7:$C$2506,MATCH($C1615,'REGISTRE TUBES'!$B$7:$B$2506,0))),"?"))</f>
        <v>15421109</v>
      </c>
      <c r="E1615" s="92" t="str">
        <f aca="false">IF($C1615="","",IFERROR(IF(INDEX('REGISTRE TUBES'!$D$7:$D$2506,MATCH($C1615,'REGISTRE TUBES'!$B$7:$B$2506,0))="","",INDEX('REGISTRE TUBES'!$D$7:$D$2506,MATCH($C1615,'REGISTRE TUBES'!$B$7:$B$2506,0))),"?"))</f>
        <v/>
      </c>
      <c r="F1615" s="93" t="n">
        <f aca="false">IF($C1615="","",IFERROR(IF(INDEX('REGISTRE TUBES'!$F$7:$F$2506,MATCH($C1615,'REGISTRE TUBES'!$B$7:$B$2506,0))="","",INDEX('REGISTRE TUBES'!$F$7:$F$2506,MATCH($C1615,'REGISTRE TUBES'!$B$7:$B$2506,0))),"?"))</f>
        <v>11.94</v>
      </c>
      <c r="G1615" s="94" t="n">
        <f aca="false">IF($C1615="","",N(G1614)+N(F1615))</f>
        <v>13037.6700000001</v>
      </c>
      <c r="H1615" s="95" t="s">
        <v>2587</v>
      </c>
      <c r="I1615" s="96"/>
      <c r="J1615" s="97"/>
    </row>
    <row r="1616" customFormat="false" ht="15" hidden="false" customHeight="false" outlineLevel="0" collapsed="false">
      <c r="B1616" s="98" t="n">
        <v>1099</v>
      </c>
      <c r="C1616" s="99" t="n">
        <v>2079690</v>
      </c>
      <c r="D1616" s="100" t="n">
        <f aca="false">IF($C1616="","",IFERROR(IF(INDEX('REGISTRE TUBES'!$C$7:$C$2506,MATCH($C1616,'REGISTRE TUBES'!$B$7:$B$2506,0))="","",INDEX('REGISTRE TUBES'!$C$7:$C$2506,MATCH($C1616,'REGISTRE TUBES'!$B$7:$B$2506,0))),"?"))</f>
        <v>15421102</v>
      </c>
      <c r="E1616" s="100" t="str">
        <f aca="false">IF($C1616="","",IFERROR(IF(INDEX('REGISTRE TUBES'!$D$7:$D$2506,MATCH($C1616,'REGISTRE TUBES'!$B$7:$B$2506,0))="","",INDEX('REGISTRE TUBES'!$D$7:$D$2506,MATCH($C1616,'REGISTRE TUBES'!$B$7:$B$2506,0))),"?"))</f>
        <v/>
      </c>
      <c r="F1616" s="101" t="n">
        <f aca="false">IF($C1616="","",IFERROR(IF(INDEX('REGISTRE TUBES'!$F$7:$F$2506,MATCH($C1616,'REGISTRE TUBES'!$B$7:$B$2506,0))="","",INDEX('REGISTRE TUBES'!$F$7:$F$2506,MATCH($C1616,'REGISTRE TUBES'!$B$7:$B$2506,0))),"?"))</f>
        <v>11.94</v>
      </c>
      <c r="G1616" s="102" t="n">
        <f aca="false">IF($C1616="","",N(G1615)+N(F1616))</f>
        <v>13049.6100000001</v>
      </c>
      <c r="H1616" s="103" t="s">
        <v>2588</v>
      </c>
      <c r="I1616" s="104"/>
      <c r="J1616" s="105"/>
    </row>
    <row r="1617" customFormat="false" ht="15" hidden="false" customHeight="false" outlineLevel="0" collapsed="false">
      <c r="B1617" s="90" t="n">
        <v>1100</v>
      </c>
      <c r="C1617" s="91" t="n">
        <v>2083640</v>
      </c>
      <c r="D1617" s="92" t="n">
        <f aca="false">IF($C1617="","",IFERROR(IF(INDEX('REGISTRE TUBES'!$C$7:$C$2506,MATCH($C1617,'REGISTRE TUBES'!$B$7:$B$2506,0))="","",INDEX('REGISTRE TUBES'!$C$7:$C$2506,MATCH($C1617,'REGISTRE TUBES'!$B$7:$B$2506,0))),"?"))</f>
        <v>15421105</v>
      </c>
      <c r="E1617" s="92" t="str">
        <f aca="false">IF($C1617="","",IFERROR(IF(INDEX('REGISTRE TUBES'!$D$7:$D$2506,MATCH($C1617,'REGISTRE TUBES'!$B$7:$B$2506,0))="","",INDEX('REGISTRE TUBES'!$D$7:$D$2506,MATCH($C1617,'REGISTRE TUBES'!$B$7:$B$2506,0))),"?"))</f>
        <v/>
      </c>
      <c r="F1617" s="93" t="n">
        <f aca="false">IF($C1617="","",IFERROR(IF(INDEX('REGISTRE TUBES'!$F$7:$F$2506,MATCH($C1617,'REGISTRE TUBES'!$B$7:$B$2506,0))="","",INDEX('REGISTRE TUBES'!$F$7:$F$2506,MATCH($C1617,'REGISTRE TUBES'!$B$7:$B$2506,0))),"?"))</f>
        <v>11.94</v>
      </c>
      <c r="G1617" s="94" t="n">
        <f aca="false">IF($C1617="","",N(G1616)+N(F1617))</f>
        <v>13061.5500000001</v>
      </c>
      <c r="H1617" s="95" t="s">
        <v>2590</v>
      </c>
      <c r="I1617" s="96"/>
      <c r="J1617" s="97"/>
    </row>
    <row r="1618" customFormat="false" ht="15" hidden="false" customHeight="false" outlineLevel="0" collapsed="false">
      <c r="B1618" s="98" t="n">
        <v>1101</v>
      </c>
      <c r="C1618" s="99" t="n">
        <v>2088380</v>
      </c>
      <c r="D1618" s="100" t="n">
        <f aca="false">IF($C1618="","",IFERROR(IF(INDEX('REGISTRE TUBES'!$C$7:$C$2506,MATCH($C1618,'REGISTRE TUBES'!$B$7:$B$2506,0))="","",INDEX('REGISTRE TUBES'!$C$7:$C$2506,MATCH($C1618,'REGISTRE TUBES'!$B$7:$B$2506,0))),"?"))</f>
        <v>15421108</v>
      </c>
      <c r="E1618" s="100" t="str">
        <f aca="false">IF($C1618="","",IFERROR(IF(INDEX('REGISTRE TUBES'!$D$7:$D$2506,MATCH($C1618,'REGISTRE TUBES'!$B$7:$B$2506,0))="","",INDEX('REGISTRE TUBES'!$D$7:$D$2506,MATCH($C1618,'REGISTRE TUBES'!$B$7:$B$2506,0))),"?"))</f>
        <v/>
      </c>
      <c r="F1618" s="101" t="n">
        <f aca="false">IF($C1618="","",IFERROR(IF(INDEX('REGISTRE TUBES'!$F$7:$F$2506,MATCH($C1618,'REGISTRE TUBES'!$B$7:$B$2506,0))="","",INDEX('REGISTRE TUBES'!$F$7:$F$2506,MATCH($C1618,'REGISTRE TUBES'!$B$7:$B$2506,0))),"?"))</f>
        <v>11.94</v>
      </c>
      <c r="G1618" s="102" t="n">
        <f aca="false">IF($C1618="","",N(G1617)+N(F1618))</f>
        <v>13073.4900000001</v>
      </c>
      <c r="H1618" s="103" t="s">
        <v>2591</v>
      </c>
      <c r="I1618" s="104"/>
      <c r="J1618" s="105"/>
    </row>
    <row r="1619" customFormat="false" ht="15" hidden="false" customHeight="false" outlineLevel="0" collapsed="false">
      <c r="B1619" s="90" t="n">
        <v>1102</v>
      </c>
      <c r="C1619" s="91" t="n">
        <v>2087910</v>
      </c>
      <c r="D1619" s="92" t="n">
        <f aca="false">IF($C1619="","",IFERROR(IF(INDEX('REGISTRE TUBES'!$C$7:$C$2506,MATCH($C1619,'REGISTRE TUBES'!$B$7:$B$2506,0))="","",INDEX('REGISTRE TUBES'!$C$7:$C$2506,MATCH($C1619,'REGISTRE TUBES'!$B$7:$B$2506,0))),"?"))</f>
        <v>15421108</v>
      </c>
      <c r="E1619" s="92" t="str">
        <f aca="false">IF($C1619="","",IFERROR(IF(INDEX('REGISTRE TUBES'!$D$7:$D$2506,MATCH($C1619,'REGISTRE TUBES'!$B$7:$B$2506,0))="","",INDEX('REGISTRE TUBES'!$D$7:$D$2506,MATCH($C1619,'REGISTRE TUBES'!$B$7:$B$2506,0))),"?"))</f>
        <v/>
      </c>
      <c r="F1619" s="93" t="n">
        <f aca="false">IF($C1619="","",IFERROR(IF(INDEX('REGISTRE TUBES'!$F$7:$F$2506,MATCH($C1619,'REGISTRE TUBES'!$B$7:$B$2506,0))="","",INDEX('REGISTRE TUBES'!$F$7:$F$2506,MATCH($C1619,'REGISTRE TUBES'!$B$7:$B$2506,0))),"?"))</f>
        <v>11.94</v>
      </c>
      <c r="G1619" s="94" t="n">
        <f aca="false">IF($C1619="","",N(G1618)+N(F1619))</f>
        <v>13085.4300000001</v>
      </c>
      <c r="H1619" s="95" t="s">
        <v>2592</v>
      </c>
      <c r="I1619" s="96"/>
      <c r="J1619" s="97"/>
    </row>
    <row r="1620" customFormat="false" ht="15" hidden="false" customHeight="true" outlineLevel="0" collapsed="false">
      <c r="B1620" s="106" t="s">
        <v>3031</v>
      </c>
      <c r="C1620" s="106"/>
      <c r="D1620" s="106"/>
      <c r="E1620" s="106"/>
      <c r="F1620" s="107" t="n">
        <f aca="false">SUM(F1601:F1619)</f>
        <v>226.86</v>
      </c>
      <c r="G1620" s="108" t="n">
        <f aca="false">IF(COUNT(G1601:G1619)=0,"",MAX(G1601:G1619))</f>
        <v>13085.4300000001</v>
      </c>
      <c r="H1620" s="106" t="str">
        <f aca="false">COUNTA(C1601:C1619)&amp;" tube(s)"</f>
        <v>19 tube(s)</v>
      </c>
      <c r="I1620" s="106"/>
      <c r="J1620" s="106"/>
    </row>
    <row r="1622" customFormat="false" ht="15" hidden="false" customHeight="false" outlineLevel="0" collapsed="false">
      <c r="B1622" s="109" t="s">
        <v>3032</v>
      </c>
      <c r="F1622" s="109" t="s">
        <v>3033</v>
      </c>
      <c r="I1622" s="109" t="s">
        <v>3034</v>
      </c>
    </row>
    <row r="1625" customFormat="false" ht="25.5" hidden="false" customHeight="true" outlineLevel="0" collapsed="false">
      <c r="B1625" s="85" t="s">
        <v>3015</v>
      </c>
      <c r="C1625" s="85"/>
      <c r="D1625" s="85"/>
      <c r="E1625" s="85"/>
      <c r="F1625" s="85"/>
      <c r="G1625" s="85"/>
      <c r="H1625" s="85"/>
      <c r="I1625" s="85"/>
      <c r="J1625" s="85"/>
    </row>
    <row r="1626" customFormat="false" ht="15" hidden="false" customHeight="false" outlineLevel="0" collapsed="false">
      <c r="B1626" s="86" t="str">
        <f aca="false">PARAMÈTRES!$C$4&amp;"   •   Affaire N° "&amp;PARAMÈTRES!$C$5</f>
        <v>Développement des champs gaziers TFT II — réseau de collecte TFT Sud (LIGNE-16)   •   Affaire N° 8546</v>
      </c>
      <c r="C1626" s="86"/>
      <c r="D1626" s="86"/>
      <c r="E1626" s="86"/>
      <c r="F1626" s="86"/>
      <c r="G1626" s="86"/>
      <c r="H1626" s="86"/>
      <c r="I1626" s="86"/>
      <c r="J1626" s="86"/>
    </row>
    <row r="1627" customFormat="false" ht="19.5" hidden="false" customHeight="true" outlineLevel="0" collapsed="false">
      <c r="B1627" s="87" t="s">
        <v>3016</v>
      </c>
      <c r="C1627" s="88" t="s">
        <v>110</v>
      </c>
      <c r="D1627" s="88"/>
      <c r="E1627" s="87" t="s">
        <v>3017</v>
      </c>
      <c r="F1627" s="88" t="s">
        <v>3149</v>
      </c>
      <c r="G1627" s="87" t="s">
        <v>3019</v>
      </c>
      <c r="H1627" s="88" t="s">
        <v>3150</v>
      </c>
      <c r="I1627" s="87" t="s">
        <v>3021</v>
      </c>
      <c r="J1627" s="89"/>
    </row>
    <row r="1628" customFormat="false" ht="27.75" hidden="false" customHeight="true" outlineLevel="0" collapsed="false">
      <c r="B1628" s="71" t="s">
        <v>3022</v>
      </c>
      <c r="C1628" s="71" t="s">
        <v>3023</v>
      </c>
      <c r="D1628" s="71" t="s">
        <v>3024</v>
      </c>
      <c r="E1628" s="71" t="s">
        <v>3025</v>
      </c>
      <c r="F1628" s="71" t="s">
        <v>3026</v>
      </c>
      <c r="G1628" s="71" t="s">
        <v>3027</v>
      </c>
      <c r="H1628" s="71" t="s">
        <v>3028</v>
      </c>
      <c r="I1628" s="71" t="s">
        <v>3029</v>
      </c>
      <c r="J1628" s="71" t="s">
        <v>3030</v>
      </c>
    </row>
    <row r="1629" customFormat="false" ht="15" hidden="false" customHeight="false" outlineLevel="0" collapsed="false">
      <c r="B1629" s="90" t="n">
        <v>1103</v>
      </c>
      <c r="C1629" s="91" t="n">
        <v>2093700</v>
      </c>
      <c r="D1629" s="92" t="n">
        <f aca="false">IF($C1629="","",IFERROR(IF(INDEX('REGISTRE TUBES'!$C$7:$C$2506,MATCH($C1629,'REGISTRE TUBES'!$B$7:$B$2506,0))="","",INDEX('REGISTRE TUBES'!$C$7:$C$2506,MATCH($C1629,'REGISTRE TUBES'!$B$7:$B$2506,0))),"?"))</f>
        <v>15421110</v>
      </c>
      <c r="E1629" s="92" t="str">
        <f aca="false">IF($C1629="","",IFERROR(IF(INDEX('REGISTRE TUBES'!$D$7:$D$2506,MATCH($C1629,'REGISTRE TUBES'!$B$7:$B$2506,0))="","",INDEX('REGISTRE TUBES'!$D$7:$D$2506,MATCH($C1629,'REGISTRE TUBES'!$B$7:$B$2506,0))),"?"))</f>
        <v/>
      </c>
      <c r="F1629" s="93" t="n">
        <f aca="false">IF($C1629="","",IFERROR(IF(INDEX('REGISTRE TUBES'!$F$7:$F$2506,MATCH($C1629,'REGISTRE TUBES'!$B$7:$B$2506,0))="","",INDEX('REGISTRE TUBES'!$F$7:$F$2506,MATCH($C1629,'REGISTRE TUBES'!$B$7:$B$2506,0))),"?"))</f>
        <v>11.94</v>
      </c>
      <c r="G1629" s="94" t="n">
        <f aca="false">IF($C1629="","",N(G1619)+N(F1629))</f>
        <v>13097.3700000001</v>
      </c>
      <c r="H1629" s="95" t="s">
        <v>2594</v>
      </c>
      <c r="I1629" s="96"/>
      <c r="J1629" s="97"/>
    </row>
    <row r="1630" customFormat="false" ht="15" hidden="false" customHeight="false" outlineLevel="0" collapsed="false">
      <c r="B1630" s="98" t="n">
        <v>1104</v>
      </c>
      <c r="C1630" s="99" t="n">
        <v>2084120</v>
      </c>
      <c r="D1630" s="100" t="n">
        <f aca="false">IF($C1630="","",IFERROR(IF(INDEX('REGISTRE TUBES'!$C$7:$C$2506,MATCH($C1630,'REGISTRE TUBES'!$B$7:$B$2506,0))="","",INDEX('REGISTRE TUBES'!$C$7:$C$2506,MATCH($C1630,'REGISTRE TUBES'!$B$7:$B$2506,0))),"?"))</f>
        <v>15421106</v>
      </c>
      <c r="E1630" s="100" t="str">
        <f aca="false">IF($C1630="","",IFERROR(IF(INDEX('REGISTRE TUBES'!$D$7:$D$2506,MATCH($C1630,'REGISTRE TUBES'!$B$7:$B$2506,0))="","",INDEX('REGISTRE TUBES'!$D$7:$D$2506,MATCH($C1630,'REGISTRE TUBES'!$B$7:$B$2506,0))),"?"))</f>
        <v/>
      </c>
      <c r="F1630" s="101" t="n">
        <f aca="false">IF($C1630="","",IFERROR(IF(INDEX('REGISTRE TUBES'!$F$7:$F$2506,MATCH($C1630,'REGISTRE TUBES'!$B$7:$B$2506,0))="","",INDEX('REGISTRE TUBES'!$F$7:$F$2506,MATCH($C1630,'REGISTRE TUBES'!$B$7:$B$2506,0))),"?"))</f>
        <v>11.94</v>
      </c>
      <c r="G1630" s="102" t="n">
        <f aca="false">IF($C1630="","",N(G1629)+N(F1630))</f>
        <v>13109.3100000001</v>
      </c>
      <c r="H1630" s="103" t="s">
        <v>2595</v>
      </c>
      <c r="I1630" s="104"/>
      <c r="J1630" s="105"/>
    </row>
    <row r="1631" customFormat="false" ht="15" hidden="false" customHeight="false" outlineLevel="0" collapsed="false">
      <c r="B1631" s="90" t="n">
        <v>1105</v>
      </c>
      <c r="C1631" s="91" t="n">
        <v>2092920</v>
      </c>
      <c r="D1631" s="92" t="n">
        <f aca="false">IF($C1631="","",IFERROR(IF(INDEX('REGISTRE TUBES'!$C$7:$C$2506,MATCH($C1631,'REGISTRE TUBES'!$B$7:$B$2506,0))="","",INDEX('REGISTRE TUBES'!$C$7:$C$2506,MATCH($C1631,'REGISTRE TUBES'!$B$7:$B$2506,0))),"?"))</f>
        <v>15421110</v>
      </c>
      <c r="E1631" s="92" t="str">
        <f aca="false">IF($C1631="","",IFERROR(IF(INDEX('REGISTRE TUBES'!$D$7:$D$2506,MATCH($C1631,'REGISTRE TUBES'!$B$7:$B$2506,0))="","",INDEX('REGISTRE TUBES'!$D$7:$D$2506,MATCH($C1631,'REGISTRE TUBES'!$B$7:$B$2506,0))),"?"))</f>
        <v/>
      </c>
      <c r="F1631" s="93" t="n">
        <f aca="false">IF($C1631="","",IFERROR(IF(INDEX('REGISTRE TUBES'!$F$7:$F$2506,MATCH($C1631,'REGISTRE TUBES'!$B$7:$B$2506,0))="","",INDEX('REGISTRE TUBES'!$F$7:$F$2506,MATCH($C1631,'REGISTRE TUBES'!$B$7:$B$2506,0))),"?"))</f>
        <v>11.94</v>
      </c>
      <c r="G1631" s="94" t="n">
        <f aca="false">IF($C1631="","",N(G1630)+N(F1631))</f>
        <v>13121.2500000001</v>
      </c>
      <c r="H1631" s="95" t="s">
        <v>2596</v>
      </c>
      <c r="I1631" s="96"/>
      <c r="J1631" s="97"/>
    </row>
    <row r="1632" customFormat="false" ht="15" hidden="false" customHeight="false" outlineLevel="0" collapsed="false">
      <c r="B1632" s="98" t="n">
        <v>1106</v>
      </c>
      <c r="C1632" s="99" t="n">
        <v>2094900</v>
      </c>
      <c r="D1632" s="100" t="n">
        <f aca="false">IF($C1632="","",IFERROR(IF(INDEX('REGISTRE TUBES'!$C$7:$C$2506,MATCH($C1632,'REGISTRE TUBES'!$B$7:$B$2506,0))="","",INDEX('REGISTRE TUBES'!$C$7:$C$2506,MATCH($C1632,'REGISTRE TUBES'!$B$7:$B$2506,0))),"?"))</f>
        <v>15421111</v>
      </c>
      <c r="E1632" s="100" t="str">
        <f aca="false">IF($C1632="","",IFERROR(IF(INDEX('REGISTRE TUBES'!$D$7:$D$2506,MATCH($C1632,'REGISTRE TUBES'!$B$7:$B$2506,0))="","",INDEX('REGISTRE TUBES'!$D$7:$D$2506,MATCH($C1632,'REGISTRE TUBES'!$B$7:$B$2506,0))),"?"))</f>
        <v/>
      </c>
      <c r="F1632" s="101" t="n">
        <f aca="false">IF($C1632="","",IFERROR(IF(INDEX('REGISTRE TUBES'!$F$7:$F$2506,MATCH($C1632,'REGISTRE TUBES'!$B$7:$B$2506,0))="","",INDEX('REGISTRE TUBES'!$F$7:$F$2506,MATCH($C1632,'REGISTRE TUBES'!$B$7:$B$2506,0))),"?"))</f>
        <v>11.94</v>
      </c>
      <c r="G1632" s="102" t="n">
        <f aca="false">IF($C1632="","",N(G1631)+N(F1632))</f>
        <v>13133.1900000001</v>
      </c>
      <c r="H1632" s="103" t="s">
        <v>2597</v>
      </c>
      <c r="I1632" s="104"/>
      <c r="J1632" s="105"/>
    </row>
    <row r="1633" customFormat="false" ht="15" hidden="false" customHeight="false" outlineLevel="0" collapsed="false">
      <c r="B1633" s="90" t="n">
        <v>1107</v>
      </c>
      <c r="C1633" s="91" t="n">
        <v>2088600</v>
      </c>
      <c r="D1633" s="92" t="n">
        <f aca="false">IF($C1633="","",IFERROR(IF(INDEX('REGISTRE TUBES'!$C$7:$C$2506,MATCH($C1633,'REGISTRE TUBES'!$B$7:$B$2506,0))="","",INDEX('REGISTRE TUBES'!$C$7:$C$2506,MATCH($C1633,'REGISTRE TUBES'!$B$7:$B$2506,0))),"?"))</f>
        <v>15421108</v>
      </c>
      <c r="E1633" s="92" t="str">
        <f aca="false">IF($C1633="","",IFERROR(IF(INDEX('REGISTRE TUBES'!$D$7:$D$2506,MATCH($C1633,'REGISTRE TUBES'!$B$7:$B$2506,0))="","",INDEX('REGISTRE TUBES'!$D$7:$D$2506,MATCH($C1633,'REGISTRE TUBES'!$B$7:$B$2506,0))),"?"))</f>
        <v/>
      </c>
      <c r="F1633" s="93" t="n">
        <f aca="false">IF($C1633="","",IFERROR(IF(INDEX('REGISTRE TUBES'!$F$7:$F$2506,MATCH($C1633,'REGISTRE TUBES'!$B$7:$B$2506,0))="","",INDEX('REGISTRE TUBES'!$F$7:$F$2506,MATCH($C1633,'REGISTRE TUBES'!$B$7:$B$2506,0))),"?"))</f>
        <v>11.94</v>
      </c>
      <c r="G1633" s="94" t="n">
        <f aca="false">IF($C1633="","",N(G1632)+N(F1633))</f>
        <v>13145.1300000001</v>
      </c>
      <c r="H1633" s="95" t="s">
        <v>2598</v>
      </c>
      <c r="I1633" s="96"/>
      <c r="J1633" s="97"/>
    </row>
    <row r="1634" customFormat="false" ht="15" hidden="false" customHeight="false" outlineLevel="0" collapsed="false">
      <c r="B1634" s="98" t="n">
        <v>1108</v>
      </c>
      <c r="C1634" s="99" t="n">
        <v>2097020</v>
      </c>
      <c r="D1634" s="100" t="n">
        <f aca="false">IF($C1634="","",IFERROR(IF(INDEX('REGISTRE TUBES'!$C$7:$C$2506,MATCH($C1634,'REGISTRE TUBES'!$B$7:$B$2506,0))="","",INDEX('REGISTRE TUBES'!$C$7:$C$2506,MATCH($C1634,'REGISTRE TUBES'!$B$7:$B$2506,0))),"?"))</f>
        <v>15421111</v>
      </c>
      <c r="E1634" s="100" t="str">
        <f aca="false">IF($C1634="","",IFERROR(IF(INDEX('REGISTRE TUBES'!$D$7:$D$2506,MATCH($C1634,'REGISTRE TUBES'!$B$7:$B$2506,0))="","",INDEX('REGISTRE TUBES'!$D$7:$D$2506,MATCH($C1634,'REGISTRE TUBES'!$B$7:$B$2506,0))),"?"))</f>
        <v/>
      </c>
      <c r="F1634" s="101" t="n">
        <f aca="false">IF($C1634="","",IFERROR(IF(INDEX('REGISTRE TUBES'!$F$7:$F$2506,MATCH($C1634,'REGISTRE TUBES'!$B$7:$B$2506,0))="","",INDEX('REGISTRE TUBES'!$F$7:$F$2506,MATCH($C1634,'REGISTRE TUBES'!$B$7:$B$2506,0))),"?"))</f>
        <v>11.94</v>
      </c>
      <c r="G1634" s="102" t="n">
        <f aca="false">IF($C1634="","",N(G1633)+N(F1634))</f>
        <v>13157.0700000001</v>
      </c>
      <c r="H1634" s="103" t="s">
        <v>2600</v>
      </c>
      <c r="I1634" s="104"/>
      <c r="J1634" s="105"/>
    </row>
    <row r="1635" customFormat="false" ht="15" hidden="false" customHeight="false" outlineLevel="0" collapsed="false">
      <c r="B1635" s="90" t="n">
        <v>1109</v>
      </c>
      <c r="C1635" s="91" t="n">
        <v>2093710</v>
      </c>
      <c r="D1635" s="92" t="n">
        <f aca="false">IF($C1635="","",IFERROR(IF(INDEX('REGISTRE TUBES'!$C$7:$C$2506,MATCH($C1635,'REGISTRE TUBES'!$B$7:$B$2506,0))="","",INDEX('REGISTRE TUBES'!$C$7:$C$2506,MATCH($C1635,'REGISTRE TUBES'!$B$7:$B$2506,0))),"?"))</f>
        <v>15421110</v>
      </c>
      <c r="E1635" s="92" t="str">
        <f aca="false">IF($C1635="","",IFERROR(IF(INDEX('REGISTRE TUBES'!$D$7:$D$2506,MATCH($C1635,'REGISTRE TUBES'!$B$7:$B$2506,0))="","",INDEX('REGISTRE TUBES'!$D$7:$D$2506,MATCH($C1635,'REGISTRE TUBES'!$B$7:$B$2506,0))),"?"))</f>
        <v/>
      </c>
      <c r="F1635" s="93" t="n">
        <f aca="false">IF($C1635="","",IFERROR(IF(INDEX('REGISTRE TUBES'!$F$7:$F$2506,MATCH($C1635,'REGISTRE TUBES'!$B$7:$B$2506,0))="","",INDEX('REGISTRE TUBES'!$F$7:$F$2506,MATCH($C1635,'REGISTRE TUBES'!$B$7:$B$2506,0))),"?"))</f>
        <v>11.94</v>
      </c>
      <c r="G1635" s="94" t="n">
        <f aca="false">IF($C1635="","",N(G1634)+N(F1635))</f>
        <v>13169.0100000001</v>
      </c>
      <c r="H1635" s="95" t="s">
        <v>2601</v>
      </c>
      <c r="I1635" s="96"/>
      <c r="J1635" s="97"/>
    </row>
    <row r="1636" customFormat="false" ht="15" hidden="false" customHeight="false" outlineLevel="0" collapsed="false">
      <c r="B1636" s="98" t="n">
        <v>1110</v>
      </c>
      <c r="C1636" s="99" t="n">
        <v>2081420</v>
      </c>
      <c r="D1636" s="100" t="n">
        <f aca="false">IF($C1636="","",IFERROR(IF(INDEX('REGISTRE TUBES'!$C$7:$C$2506,MATCH($C1636,'REGISTRE TUBES'!$B$7:$B$2506,0))="","",INDEX('REGISTRE TUBES'!$C$7:$C$2506,MATCH($C1636,'REGISTRE TUBES'!$B$7:$B$2506,0))),"?"))</f>
        <v>15421103</v>
      </c>
      <c r="E1636" s="100" t="str">
        <f aca="false">IF($C1636="","",IFERROR(IF(INDEX('REGISTRE TUBES'!$D$7:$D$2506,MATCH($C1636,'REGISTRE TUBES'!$B$7:$B$2506,0))="","",INDEX('REGISTRE TUBES'!$D$7:$D$2506,MATCH($C1636,'REGISTRE TUBES'!$B$7:$B$2506,0))),"?"))</f>
        <v/>
      </c>
      <c r="F1636" s="101" t="n">
        <f aca="false">IF($C1636="","",IFERROR(IF(INDEX('REGISTRE TUBES'!$F$7:$F$2506,MATCH($C1636,'REGISTRE TUBES'!$B$7:$B$2506,0))="","",INDEX('REGISTRE TUBES'!$F$7:$F$2506,MATCH($C1636,'REGISTRE TUBES'!$B$7:$B$2506,0))),"?"))</f>
        <v>11.94</v>
      </c>
      <c r="G1636" s="102" t="n">
        <f aca="false">IF($C1636="","",N(G1635)+N(F1636))</f>
        <v>13180.9500000001</v>
      </c>
      <c r="H1636" s="103" t="s">
        <v>2602</v>
      </c>
      <c r="I1636" s="104"/>
      <c r="J1636" s="105"/>
    </row>
    <row r="1637" customFormat="false" ht="15" hidden="false" customHeight="false" outlineLevel="0" collapsed="false">
      <c r="B1637" s="90" t="n">
        <v>1111</v>
      </c>
      <c r="C1637" s="91" t="n">
        <v>2093380</v>
      </c>
      <c r="D1637" s="92" t="n">
        <f aca="false">IF($C1637="","",IFERROR(IF(INDEX('REGISTRE TUBES'!$C$7:$C$2506,MATCH($C1637,'REGISTRE TUBES'!$B$7:$B$2506,0))="","",INDEX('REGISTRE TUBES'!$C$7:$C$2506,MATCH($C1637,'REGISTRE TUBES'!$B$7:$B$2506,0))),"?"))</f>
        <v>15421110</v>
      </c>
      <c r="E1637" s="92" t="str">
        <f aca="false">IF($C1637="","",IFERROR(IF(INDEX('REGISTRE TUBES'!$D$7:$D$2506,MATCH($C1637,'REGISTRE TUBES'!$B$7:$B$2506,0))="","",INDEX('REGISTRE TUBES'!$D$7:$D$2506,MATCH($C1637,'REGISTRE TUBES'!$B$7:$B$2506,0))),"?"))</f>
        <v/>
      </c>
      <c r="F1637" s="93" t="n">
        <f aca="false">IF($C1637="","",IFERROR(IF(INDEX('REGISTRE TUBES'!$F$7:$F$2506,MATCH($C1637,'REGISTRE TUBES'!$B$7:$B$2506,0))="","",INDEX('REGISTRE TUBES'!$F$7:$F$2506,MATCH($C1637,'REGISTRE TUBES'!$B$7:$B$2506,0))),"?"))</f>
        <v>11.94</v>
      </c>
      <c r="G1637" s="94" t="n">
        <f aca="false">IF($C1637="","",N(G1636)+N(F1637))</f>
        <v>13192.8900000001</v>
      </c>
      <c r="H1637" s="95" t="s">
        <v>2603</v>
      </c>
      <c r="I1637" s="96"/>
      <c r="J1637" s="97"/>
    </row>
    <row r="1638" customFormat="false" ht="15" hidden="false" customHeight="false" outlineLevel="0" collapsed="false">
      <c r="B1638" s="98" t="n">
        <v>1112</v>
      </c>
      <c r="C1638" s="99" t="n">
        <v>2096080</v>
      </c>
      <c r="D1638" s="100" t="n">
        <f aca="false">IF($C1638="","",IFERROR(IF(INDEX('REGISTRE TUBES'!$C$7:$C$2506,MATCH($C1638,'REGISTRE TUBES'!$B$7:$B$2506,0))="","",INDEX('REGISTRE TUBES'!$C$7:$C$2506,MATCH($C1638,'REGISTRE TUBES'!$B$7:$B$2506,0))),"?"))</f>
        <v>156421111</v>
      </c>
      <c r="E1638" s="100" t="str">
        <f aca="false">IF($C1638="","",IFERROR(IF(INDEX('REGISTRE TUBES'!$D$7:$D$2506,MATCH($C1638,'REGISTRE TUBES'!$B$7:$B$2506,0))="","",INDEX('REGISTRE TUBES'!$D$7:$D$2506,MATCH($C1638,'REGISTRE TUBES'!$B$7:$B$2506,0))),"?"))</f>
        <v/>
      </c>
      <c r="F1638" s="101" t="n">
        <f aca="false">IF($C1638="","",IFERROR(IF(INDEX('REGISTRE TUBES'!$F$7:$F$2506,MATCH($C1638,'REGISTRE TUBES'!$B$7:$B$2506,0))="","",INDEX('REGISTRE TUBES'!$F$7:$F$2506,MATCH($C1638,'REGISTRE TUBES'!$B$7:$B$2506,0))),"?"))</f>
        <v>11.94</v>
      </c>
      <c r="G1638" s="102" t="n">
        <f aca="false">IF($C1638="","",N(G1637)+N(F1638))</f>
        <v>13204.8300000001</v>
      </c>
      <c r="H1638" s="103" t="s">
        <v>2604</v>
      </c>
      <c r="I1638" s="104"/>
      <c r="J1638" s="105"/>
    </row>
    <row r="1639" customFormat="false" ht="15" hidden="false" customHeight="false" outlineLevel="0" collapsed="false">
      <c r="B1639" s="90" t="n">
        <v>1113</v>
      </c>
      <c r="C1639" s="91" t="n">
        <v>2097180</v>
      </c>
      <c r="D1639" s="92" t="n">
        <f aca="false">IF($C1639="","",IFERROR(IF(INDEX('REGISTRE TUBES'!$C$7:$C$2506,MATCH($C1639,'REGISTRE TUBES'!$B$7:$B$2506,0))="","",INDEX('REGISTRE TUBES'!$C$7:$C$2506,MATCH($C1639,'REGISTRE TUBES'!$B$7:$B$2506,0))),"?"))</f>
        <v>15421112</v>
      </c>
      <c r="E1639" s="92" t="str">
        <f aca="false">IF($C1639="","",IFERROR(IF(INDEX('REGISTRE TUBES'!$D$7:$D$2506,MATCH($C1639,'REGISTRE TUBES'!$B$7:$B$2506,0))="","",INDEX('REGISTRE TUBES'!$D$7:$D$2506,MATCH($C1639,'REGISTRE TUBES'!$B$7:$B$2506,0))),"?"))</f>
        <v/>
      </c>
      <c r="F1639" s="93" t="n">
        <f aca="false">IF($C1639="","",IFERROR(IF(INDEX('REGISTRE TUBES'!$F$7:$F$2506,MATCH($C1639,'REGISTRE TUBES'!$B$7:$B$2506,0))="","",INDEX('REGISTRE TUBES'!$F$7:$F$2506,MATCH($C1639,'REGISTRE TUBES'!$B$7:$B$2506,0))),"?"))</f>
        <v>11.94</v>
      </c>
      <c r="G1639" s="94" t="n">
        <f aca="false">IF($C1639="","",N(G1638)+N(F1639))</f>
        <v>13216.7700000001</v>
      </c>
      <c r="H1639" s="95" t="s">
        <v>2605</v>
      </c>
      <c r="I1639" s="96"/>
      <c r="J1639" s="97"/>
    </row>
    <row r="1640" customFormat="false" ht="15" hidden="false" customHeight="false" outlineLevel="0" collapsed="false">
      <c r="B1640" s="98" t="n">
        <v>1114</v>
      </c>
      <c r="C1640" s="99" t="n">
        <v>2098140</v>
      </c>
      <c r="D1640" s="100" t="n">
        <f aca="false">IF($C1640="","",IFERROR(IF(INDEX('REGISTRE TUBES'!$C$7:$C$2506,MATCH($C1640,'REGISTRE TUBES'!$B$7:$B$2506,0))="","",INDEX('REGISTRE TUBES'!$C$7:$C$2506,MATCH($C1640,'REGISTRE TUBES'!$B$7:$B$2506,0))),"?"))</f>
        <v>15421112</v>
      </c>
      <c r="E1640" s="100" t="str">
        <f aca="false">IF($C1640="","",IFERROR(IF(INDEX('REGISTRE TUBES'!$D$7:$D$2506,MATCH($C1640,'REGISTRE TUBES'!$B$7:$B$2506,0))="","",INDEX('REGISTRE TUBES'!$D$7:$D$2506,MATCH($C1640,'REGISTRE TUBES'!$B$7:$B$2506,0))),"?"))</f>
        <v/>
      </c>
      <c r="F1640" s="101" t="n">
        <f aca="false">IF($C1640="","",IFERROR(IF(INDEX('REGISTRE TUBES'!$F$7:$F$2506,MATCH($C1640,'REGISTRE TUBES'!$B$7:$B$2506,0))="","",INDEX('REGISTRE TUBES'!$F$7:$F$2506,MATCH($C1640,'REGISTRE TUBES'!$B$7:$B$2506,0))),"?"))</f>
        <v>11.94</v>
      </c>
      <c r="G1640" s="102" t="n">
        <f aca="false">IF($C1640="","",N(G1639)+N(F1640))</f>
        <v>13228.7100000001</v>
      </c>
      <c r="H1640" s="103" t="s">
        <v>2606</v>
      </c>
      <c r="I1640" s="104"/>
      <c r="J1640" s="105"/>
    </row>
    <row r="1641" customFormat="false" ht="15" hidden="false" customHeight="false" outlineLevel="0" collapsed="false">
      <c r="B1641" s="90" t="n">
        <v>1115</v>
      </c>
      <c r="C1641" s="91" t="n">
        <v>208010</v>
      </c>
      <c r="D1641" s="92" t="n">
        <f aca="false">IF($C1641="","",IFERROR(IF(INDEX('REGISTRE TUBES'!$C$7:$C$2506,MATCH($C1641,'REGISTRE TUBES'!$B$7:$B$2506,0))="","",INDEX('REGISTRE TUBES'!$C$7:$C$2506,MATCH($C1641,'REGISTRE TUBES'!$B$7:$B$2506,0))),"?"))</f>
        <v>15421103</v>
      </c>
      <c r="E1641" s="92" t="str">
        <f aca="false">IF($C1641="","",IFERROR(IF(INDEX('REGISTRE TUBES'!$D$7:$D$2506,MATCH($C1641,'REGISTRE TUBES'!$B$7:$B$2506,0))="","",INDEX('REGISTRE TUBES'!$D$7:$D$2506,MATCH($C1641,'REGISTRE TUBES'!$B$7:$B$2506,0))),"?"))</f>
        <v/>
      </c>
      <c r="F1641" s="93" t="n">
        <f aca="false">IF($C1641="","",IFERROR(IF(INDEX('REGISTRE TUBES'!$F$7:$F$2506,MATCH($C1641,'REGISTRE TUBES'!$B$7:$B$2506,0))="","",INDEX('REGISTRE TUBES'!$F$7:$F$2506,MATCH($C1641,'REGISTRE TUBES'!$B$7:$B$2506,0))),"?"))</f>
        <v>11.94</v>
      </c>
      <c r="G1641" s="94" t="n">
        <f aca="false">IF($C1641="","",N(G1640)+N(F1641))</f>
        <v>13240.6500000001</v>
      </c>
      <c r="H1641" s="95" t="s">
        <v>2607</v>
      </c>
      <c r="I1641" s="96"/>
      <c r="J1641" s="97"/>
    </row>
    <row r="1642" customFormat="false" ht="15" hidden="false" customHeight="false" outlineLevel="0" collapsed="false">
      <c r="B1642" s="98" t="n">
        <v>1116</v>
      </c>
      <c r="C1642" s="99" t="n">
        <v>2088570</v>
      </c>
      <c r="D1642" s="100" t="n">
        <f aca="false">IF($C1642="","",IFERROR(IF(INDEX('REGISTRE TUBES'!$C$7:$C$2506,MATCH($C1642,'REGISTRE TUBES'!$B$7:$B$2506,0))="","",INDEX('REGISTRE TUBES'!$C$7:$C$2506,MATCH($C1642,'REGISTRE TUBES'!$B$7:$B$2506,0))),"?"))</f>
        <v>15421108</v>
      </c>
      <c r="E1642" s="100" t="str">
        <f aca="false">IF($C1642="","",IFERROR(IF(INDEX('REGISTRE TUBES'!$D$7:$D$2506,MATCH($C1642,'REGISTRE TUBES'!$B$7:$B$2506,0))="","",INDEX('REGISTRE TUBES'!$D$7:$D$2506,MATCH($C1642,'REGISTRE TUBES'!$B$7:$B$2506,0))),"?"))</f>
        <v/>
      </c>
      <c r="F1642" s="101" t="n">
        <f aca="false">IF($C1642="","",IFERROR(IF(INDEX('REGISTRE TUBES'!$F$7:$F$2506,MATCH($C1642,'REGISTRE TUBES'!$B$7:$B$2506,0))="","",INDEX('REGISTRE TUBES'!$F$7:$F$2506,MATCH($C1642,'REGISTRE TUBES'!$B$7:$B$2506,0))),"?"))</f>
        <v>11.94</v>
      </c>
      <c r="G1642" s="102" t="n">
        <f aca="false">IF($C1642="","",N(G1641)+N(F1642))</f>
        <v>13252.5900000001</v>
      </c>
      <c r="H1642" s="103" t="s">
        <v>2608</v>
      </c>
      <c r="I1642" s="104"/>
      <c r="J1642" s="105"/>
    </row>
    <row r="1643" customFormat="false" ht="15" hidden="false" customHeight="false" outlineLevel="0" collapsed="false">
      <c r="B1643" s="90" t="n">
        <v>1117</v>
      </c>
      <c r="C1643" s="91" t="n">
        <v>2098460</v>
      </c>
      <c r="D1643" s="92" t="n">
        <f aca="false">IF($C1643="","",IFERROR(IF(INDEX('REGISTRE TUBES'!$C$7:$C$2506,MATCH($C1643,'REGISTRE TUBES'!$B$7:$B$2506,0))="","",INDEX('REGISTRE TUBES'!$C$7:$C$2506,MATCH($C1643,'REGISTRE TUBES'!$B$7:$B$2506,0))),"?"))</f>
        <v>15421112</v>
      </c>
      <c r="E1643" s="92" t="str">
        <f aca="false">IF($C1643="","",IFERROR(IF(INDEX('REGISTRE TUBES'!$D$7:$D$2506,MATCH($C1643,'REGISTRE TUBES'!$B$7:$B$2506,0))="","",INDEX('REGISTRE TUBES'!$D$7:$D$2506,MATCH($C1643,'REGISTRE TUBES'!$B$7:$B$2506,0))),"?"))</f>
        <v/>
      </c>
      <c r="F1643" s="93" t="n">
        <f aca="false">IF($C1643="","",IFERROR(IF(INDEX('REGISTRE TUBES'!$F$7:$F$2506,MATCH($C1643,'REGISTRE TUBES'!$B$7:$B$2506,0))="","",INDEX('REGISTRE TUBES'!$F$7:$F$2506,MATCH($C1643,'REGISTRE TUBES'!$B$7:$B$2506,0))),"?"))</f>
        <v>11.94</v>
      </c>
      <c r="G1643" s="94" t="n">
        <f aca="false">IF($C1643="","",N(G1642)+N(F1643))</f>
        <v>13264.5300000001</v>
      </c>
      <c r="H1643" s="95" t="s">
        <v>2610</v>
      </c>
      <c r="I1643" s="96"/>
      <c r="J1643" s="97"/>
    </row>
    <row r="1644" customFormat="false" ht="15" hidden="false" customHeight="false" outlineLevel="0" collapsed="false">
      <c r="B1644" s="98" t="n">
        <v>1118</v>
      </c>
      <c r="C1644" s="99" t="n">
        <v>2094870</v>
      </c>
      <c r="D1644" s="100" t="n">
        <f aca="false">IF($C1644="","",IFERROR(IF(INDEX('REGISTRE TUBES'!$C$7:$C$2506,MATCH($C1644,'REGISTRE TUBES'!$B$7:$B$2506,0))="","",INDEX('REGISTRE TUBES'!$C$7:$C$2506,MATCH($C1644,'REGISTRE TUBES'!$B$7:$B$2506,0))),"?"))</f>
        <v>15421111</v>
      </c>
      <c r="E1644" s="100" t="str">
        <f aca="false">IF($C1644="","",IFERROR(IF(INDEX('REGISTRE TUBES'!$D$7:$D$2506,MATCH($C1644,'REGISTRE TUBES'!$B$7:$B$2506,0))="","",INDEX('REGISTRE TUBES'!$D$7:$D$2506,MATCH($C1644,'REGISTRE TUBES'!$B$7:$B$2506,0))),"?"))</f>
        <v/>
      </c>
      <c r="F1644" s="101" t="n">
        <f aca="false">IF($C1644="","",IFERROR(IF(INDEX('REGISTRE TUBES'!$F$7:$F$2506,MATCH($C1644,'REGISTRE TUBES'!$B$7:$B$2506,0))="","",INDEX('REGISTRE TUBES'!$F$7:$F$2506,MATCH($C1644,'REGISTRE TUBES'!$B$7:$B$2506,0))),"?"))</f>
        <v>11.94</v>
      </c>
      <c r="G1644" s="102" t="n">
        <f aca="false">IF($C1644="","",N(G1643)+N(F1644))</f>
        <v>13276.4700000001</v>
      </c>
      <c r="H1644" s="103" t="s">
        <v>2611</v>
      </c>
      <c r="I1644" s="104"/>
      <c r="J1644" s="105"/>
    </row>
    <row r="1645" customFormat="false" ht="15" hidden="false" customHeight="false" outlineLevel="0" collapsed="false">
      <c r="B1645" s="90" t="n">
        <v>1119</v>
      </c>
      <c r="C1645" s="91" t="n">
        <v>2079450</v>
      </c>
      <c r="D1645" s="92" t="n">
        <f aca="false">IF($C1645="","",IFERROR(IF(INDEX('REGISTRE TUBES'!$C$7:$C$2506,MATCH($C1645,'REGISTRE TUBES'!$B$7:$B$2506,0))="","",INDEX('REGISTRE TUBES'!$C$7:$C$2506,MATCH($C1645,'REGISTRE TUBES'!$B$7:$B$2506,0))),"?"))</f>
        <v>15421102</v>
      </c>
      <c r="E1645" s="92" t="str">
        <f aca="false">IF($C1645="","",IFERROR(IF(INDEX('REGISTRE TUBES'!$D$7:$D$2506,MATCH($C1645,'REGISTRE TUBES'!$B$7:$B$2506,0))="","",INDEX('REGISTRE TUBES'!$D$7:$D$2506,MATCH($C1645,'REGISTRE TUBES'!$B$7:$B$2506,0))),"?"))</f>
        <v/>
      </c>
      <c r="F1645" s="93" t="n">
        <f aca="false">IF($C1645="","",IFERROR(IF(INDEX('REGISTRE TUBES'!$F$7:$F$2506,MATCH($C1645,'REGISTRE TUBES'!$B$7:$B$2506,0))="","",INDEX('REGISTRE TUBES'!$F$7:$F$2506,MATCH($C1645,'REGISTRE TUBES'!$B$7:$B$2506,0))),"?"))</f>
        <v>11.94</v>
      </c>
      <c r="G1645" s="94" t="n">
        <f aca="false">IF($C1645="","",N(G1644)+N(F1645))</f>
        <v>13288.4100000001</v>
      </c>
      <c r="H1645" s="95" t="s">
        <v>2613</v>
      </c>
      <c r="I1645" s="96"/>
      <c r="J1645" s="97"/>
    </row>
    <row r="1646" customFormat="false" ht="15" hidden="false" customHeight="false" outlineLevel="0" collapsed="false">
      <c r="B1646" s="98" t="n">
        <v>1120</v>
      </c>
      <c r="C1646" s="99" t="n">
        <v>2093930</v>
      </c>
      <c r="D1646" s="100" t="n">
        <f aca="false">IF($C1646="","",IFERROR(IF(INDEX('REGISTRE TUBES'!$C$7:$C$2506,MATCH($C1646,'REGISTRE TUBES'!$B$7:$B$2506,0))="","",INDEX('REGISTRE TUBES'!$C$7:$C$2506,MATCH($C1646,'REGISTRE TUBES'!$B$7:$B$2506,0))),"?"))</f>
        <v>15421110</v>
      </c>
      <c r="E1646" s="100" t="str">
        <f aca="false">IF($C1646="","",IFERROR(IF(INDEX('REGISTRE TUBES'!$D$7:$D$2506,MATCH($C1646,'REGISTRE TUBES'!$B$7:$B$2506,0))="","",INDEX('REGISTRE TUBES'!$D$7:$D$2506,MATCH($C1646,'REGISTRE TUBES'!$B$7:$B$2506,0))),"?"))</f>
        <v/>
      </c>
      <c r="F1646" s="101" t="n">
        <f aca="false">IF($C1646="","",IFERROR(IF(INDEX('REGISTRE TUBES'!$F$7:$F$2506,MATCH($C1646,'REGISTRE TUBES'!$B$7:$B$2506,0))="","",INDEX('REGISTRE TUBES'!$F$7:$F$2506,MATCH($C1646,'REGISTRE TUBES'!$B$7:$B$2506,0))),"?"))</f>
        <v>11.94</v>
      </c>
      <c r="G1646" s="102" t="n">
        <f aca="false">IF($C1646="","",N(G1645)+N(F1646))</f>
        <v>13300.3500000001</v>
      </c>
      <c r="H1646" s="103" t="s">
        <v>2614</v>
      </c>
      <c r="I1646" s="104"/>
      <c r="J1646" s="105"/>
    </row>
    <row r="1647" customFormat="false" ht="15" hidden="false" customHeight="false" outlineLevel="0" collapsed="false">
      <c r="B1647" s="90" t="n">
        <v>1121</v>
      </c>
      <c r="C1647" s="91" t="n">
        <v>2095200</v>
      </c>
      <c r="D1647" s="92" t="n">
        <f aca="false">IF($C1647="","",IFERROR(IF(INDEX('REGISTRE TUBES'!$C$7:$C$2506,MATCH($C1647,'REGISTRE TUBES'!$B$7:$B$2506,0))="","",INDEX('REGISTRE TUBES'!$C$7:$C$2506,MATCH($C1647,'REGISTRE TUBES'!$B$7:$B$2506,0))),"?"))</f>
        <v>15421111</v>
      </c>
      <c r="E1647" s="92" t="str">
        <f aca="false">IF($C1647="","",IFERROR(IF(INDEX('REGISTRE TUBES'!$D$7:$D$2506,MATCH($C1647,'REGISTRE TUBES'!$B$7:$B$2506,0))="","",INDEX('REGISTRE TUBES'!$D$7:$D$2506,MATCH($C1647,'REGISTRE TUBES'!$B$7:$B$2506,0))),"?"))</f>
        <v/>
      </c>
      <c r="F1647" s="93" t="n">
        <f aca="false">IF($C1647="","",IFERROR(IF(INDEX('REGISTRE TUBES'!$F$7:$F$2506,MATCH($C1647,'REGISTRE TUBES'!$B$7:$B$2506,0))="","",INDEX('REGISTRE TUBES'!$F$7:$F$2506,MATCH($C1647,'REGISTRE TUBES'!$B$7:$B$2506,0))),"?"))</f>
        <v>11.94</v>
      </c>
      <c r="G1647" s="94" t="n">
        <f aca="false">IF($C1647="","",N(G1646)+N(F1647))</f>
        <v>13312.2900000001</v>
      </c>
      <c r="H1647" s="95" t="s">
        <v>2615</v>
      </c>
      <c r="I1647" s="96"/>
      <c r="J1647" s="97"/>
    </row>
    <row r="1648" customFormat="false" ht="15" hidden="false" customHeight="true" outlineLevel="0" collapsed="false">
      <c r="B1648" s="106" t="s">
        <v>3031</v>
      </c>
      <c r="C1648" s="106"/>
      <c r="D1648" s="106"/>
      <c r="E1648" s="106"/>
      <c r="F1648" s="107" t="n">
        <f aca="false">SUM(F1629:F1647)</f>
        <v>226.86</v>
      </c>
      <c r="G1648" s="108" t="n">
        <f aca="false">IF(COUNT(G1629:G1647)=0,"",MAX(G1629:G1647))</f>
        <v>13312.2900000001</v>
      </c>
      <c r="H1648" s="106" t="str">
        <f aca="false">COUNTA(C1629:C1647)&amp;" tube(s)"</f>
        <v>19 tube(s)</v>
      </c>
      <c r="I1648" s="106"/>
      <c r="J1648" s="106"/>
    </row>
    <row r="1650" customFormat="false" ht="15" hidden="false" customHeight="false" outlineLevel="0" collapsed="false">
      <c r="B1650" s="109" t="s">
        <v>3032</v>
      </c>
      <c r="F1650" s="109" t="s">
        <v>3033</v>
      </c>
      <c r="I1650" s="109" t="s">
        <v>3034</v>
      </c>
    </row>
    <row r="1653" customFormat="false" ht="25.5" hidden="false" customHeight="true" outlineLevel="0" collapsed="false">
      <c r="B1653" s="85" t="s">
        <v>3015</v>
      </c>
      <c r="C1653" s="85"/>
      <c r="D1653" s="85"/>
      <c r="E1653" s="85"/>
      <c r="F1653" s="85"/>
      <c r="G1653" s="85"/>
      <c r="H1653" s="85"/>
      <c r="I1653" s="85"/>
      <c r="J1653" s="85"/>
    </row>
    <row r="1654" customFormat="false" ht="15" hidden="false" customHeight="false" outlineLevel="0" collapsed="false">
      <c r="B1654" s="86" t="str">
        <f aca="false">PARAMÈTRES!$C$4&amp;"   •   Affaire N° "&amp;PARAMÈTRES!$C$5</f>
        <v>Développement des champs gaziers TFT II — réseau de collecte TFT Sud (LIGNE-16)   •   Affaire N° 8546</v>
      </c>
      <c r="C1654" s="86"/>
      <c r="D1654" s="86"/>
      <c r="E1654" s="86"/>
      <c r="F1654" s="86"/>
      <c r="G1654" s="86"/>
      <c r="H1654" s="86"/>
      <c r="I1654" s="86"/>
      <c r="J1654" s="86"/>
    </row>
    <row r="1655" customFormat="false" ht="19.5" hidden="false" customHeight="true" outlineLevel="0" collapsed="false">
      <c r="B1655" s="87" t="s">
        <v>3016</v>
      </c>
      <c r="C1655" s="88" t="s">
        <v>110</v>
      </c>
      <c r="D1655" s="88"/>
      <c r="E1655" s="87" t="s">
        <v>3017</v>
      </c>
      <c r="F1655" s="88" t="s">
        <v>3151</v>
      </c>
      <c r="G1655" s="87" t="s">
        <v>3019</v>
      </c>
      <c r="H1655" s="88" t="s">
        <v>3152</v>
      </c>
      <c r="I1655" s="87" t="s">
        <v>3021</v>
      </c>
      <c r="J1655" s="89"/>
    </row>
    <row r="1656" customFormat="false" ht="27.75" hidden="false" customHeight="true" outlineLevel="0" collapsed="false">
      <c r="B1656" s="71" t="s">
        <v>3022</v>
      </c>
      <c r="C1656" s="71" t="s">
        <v>3023</v>
      </c>
      <c r="D1656" s="71" t="s">
        <v>3024</v>
      </c>
      <c r="E1656" s="71" t="s">
        <v>3025</v>
      </c>
      <c r="F1656" s="71" t="s">
        <v>3026</v>
      </c>
      <c r="G1656" s="71" t="s">
        <v>3027</v>
      </c>
      <c r="H1656" s="71" t="s">
        <v>3028</v>
      </c>
      <c r="I1656" s="71" t="s">
        <v>3029</v>
      </c>
      <c r="J1656" s="71" t="s">
        <v>3030</v>
      </c>
    </row>
    <row r="1657" customFormat="false" ht="15" hidden="false" customHeight="false" outlineLevel="0" collapsed="false">
      <c r="B1657" s="90" t="n">
        <v>1122</v>
      </c>
      <c r="C1657" s="91" t="n">
        <v>2096990</v>
      </c>
      <c r="D1657" s="92" t="n">
        <f aca="false">IF($C1657="","",IFERROR(IF(INDEX('REGISTRE TUBES'!$C$7:$C$2506,MATCH($C1657,'REGISTRE TUBES'!$B$7:$B$2506,0))="","",INDEX('REGISTRE TUBES'!$C$7:$C$2506,MATCH($C1657,'REGISTRE TUBES'!$B$7:$B$2506,0))),"?"))</f>
        <v>15421111</v>
      </c>
      <c r="E1657" s="92" t="str">
        <f aca="false">IF($C1657="","",IFERROR(IF(INDEX('REGISTRE TUBES'!$D$7:$D$2506,MATCH($C1657,'REGISTRE TUBES'!$B$7:$B$2506,0))="","",INDEX('REGISTRE TUBES'!$D$7:$D$2506,MATCH($C1657,'REGISTRE TUBES'!$B$7:$B$2506,0))),"?"))</f>
        <v/>
      </c>
      <c r="F1657" s="93" t="n">
        <f aca="false">IF($C1657="","",IFERROR(IF(INDEX('REGISTRE TUBES'!$F$7:$F$2506,MATCH($C1657,'REGISTRE TUBES'!$B$7:$B$2506,0))="","",INDEX('REGISTRE TUBES'!$F$7:$F$2506,MATCH($C1657,'REGISTRE TUBES'!$B$7:$B$2506,0))),"?"))</f>
        <v>11.94</v>
      </c>
      <c r="G1657" s="94" t="n">
        <f aca="false">IF($C1657="","",N(G1647)+N(F1657))</f>
        <v>13324.2300000001</v>
      </c>
      <c r="H1657" s="95" t="s">
        <v>2616</v>
      </c>
      <c r="I1657" s="96"/>
      <c r="J1657" s="97"/>
    </row>
    <row r="1658" customFormat="false" ht="15" hidden="false" customHeight="false" outlineLevel="0" collapsed="false">
      <c r="B1658" s="98" t="n">
        <v>1123</v>
      </c>
      <c r="C1658" s="99" t="n">
        <v>2096920</v>
      </c>
      <c r="D1658" s="100" t="n">
        <f aca="false">IF($C1658="","",IFERROR(IF(INDEX('REGISTRE TUBES'!$C$7:$C$2506,MATCH($C1658,'REGISTRE TUBES'!$B$7:$B$2506,0))="","",INDEX('REGISTRE TUBES'!$C$7:$C$2506,MATCH($C1658,'REGISTRE TUBES'!$B$7:$B$2506,0))),"?"))</f>
        <v>15421111</v>
      </c>
      <c r="E1658" s="100" t="str">
        <f aca="false">IF($C1658="","",IFERROR(IF(INDEX('REGISTRE TUBES'!$D$7:$D$2506,MATCH($C1658,'REGISTRE TUBES'!$B$7:$B$2506,0))="","",INDEX('REGISTRE TUBES'!$D$7:$D$2506,MATCH($C1658,'REGISTRE TUBES'!$B$7:$B$2506,0))),"?"))</f>
        <v/>
      </c>
      <c r="F1658" s="101" t="n">
        <f aca="false">IF($C1658="","",IFERROR(IF(INDEX('REGISTRE TUBES'!$F$7:$F$2506,MATCH($C1658,'REGISTRE TUBES'!$B$7:$B$2506,0))="","",INDEX('REGISTRE TUBES'!$F$7:$F$2506,MATCH($C1658,'REGISTRE TUBES'!$B$7:$B$2506,0))),"?"))</f>
        <v>11.94</v>
      </c>
      <c r="G1658" s="102" t="n">
        <f aca="false">IF($C1658="","",N(G1657)+N(F1658))</f>
        <v>13336.1700000001</v>
      </c>
      <c r="H1658" s="103" t="s">
        <v>2617</v>
      </c>
      <c r="I1658" s="104"/>
      <c r="J1658" s="105"/>
    </row>
    <row r="1659" customFormat="false" ht="15" hidden="false" customHeight="false" outlineLevel="0" collapsed="false">
      <c r="B1659" s="90" t="n">
        <v>1124</v>
      </c>
      <c r="C1659" s="91" t="n">
        <v>2096870</v>
      </c>
      <c r="D1659" s="92" t="n">
        <f aca="false">IF($C1659="","",IFERROR(IF(INDEX('REGISTRE TUBES'!$C$7:$C$2506,MATCH($C1659,'REGISTRE TUBES'!$B$7:$B$2506,0))="","",INDEX('REGISTRE TUBES'!$C$7:$C$2506,MATCH($C1659,'REGISTRE TUBES'!$B$7:$B$2506,0))),"?"))</f>
        <v>15421112</v>
      </c>
      <c r="E1659" s="92" t="str">
        <f aca="false">IF($C1659="","",IFERROR(IF(INDEX('REGISTRE TUBES'!$D$7:$D$2506,MATCH($C1659,'REGISTRE TUBES'!$B$7:$B$2506,0))="","",INDEX('REGISTRE TUBES'!$D$7:$D$2506,MATCH($C1659,'REGISTRE TUBES'!$B$7:$B$2506,0))),"?"))</f>
        <v/>
      </c>
      <c r="F1659" s="93" t="n">
        <f aca="false">IF($C1659="","",IFERROR(IF(INDEX('REGISTRE TUBES'!$F$7:$F$2506,MATCH($C1659,'REGISTRE TUBES'!$B$7:$B$2506,0))="","",INDEX('REGISTRE TUBES'!$F$7:$F$2506,MATCH($C1659,'REGISTRE TUBES'!$B$7:$B$2506,0))),"?"))</f>
        <v>11.94</v>
      </c>
      <c r="G1659" s="94" t="n">
        <f aca="false">IF($C1659="","",N(G1658)+N(F1659))</f>
        <v>13348.1100000001</v>
      </c>
      <c r="H1659" s="95" t="s">
        <v>2618</v>
      </c>
      <c r="I1659" s="96"/>
      <c r="J1659" s="97"/>
    </row>
    <row r="1660" customFormat="false" ht="15" hidden="false" customHeight="false" outlineLevel="0" collapsed="false">
      <c r="B1660" s="98" t="n">
        <v>1125</v>
      </c>
      <c r="C1660" s="99" t="n">
        <v>2097210</v>
      </c>
      <c r="D1660" s="100" t="n">
        <f aca="false">IF($C1660="","",IFERROR(IF(INDEX('REGISTRE TUBES'!$C$7:$C$2506,MATCH($C1660,'REGISTRE TUBES'!$B$7:$B$2506,0))="","",INDEX('REGISTRE TUBES'!$C$7:$C$2506,MATCH($C1660,'REGISTRE TUBES'!$B$7:$B$2506,0))),"?"))</f>
        <v>15421112</v>
      </c>
      <c r="E1660" s="100" t="str">
        <f aca="false">IF($C1660="","",IFERROR(IF(INDEX('REGISTRE TUBES'!$D$7:$D$2506,MATCH($C1660,'REGISTRE TUBES'!$B$7:$B$2506,0))="","",INDEX('REGISTRE TUBES'!$D$7:$D$2506,MATCH($C1660,'REGISTRE TUBES'!$B$7:$B$2506,0))),"?"))</f>
        <v/>
      </c>
      <c r="F1660" s="101" t="n">
        <f aca="false">IF($C1660="","",IFERROR(IF(INDEX('REGISTRE TUBES'!$F$7:$F$2506,MATCH($C1660,'REGISTRE TUBES'!$B$7:$B$2506,0))="","",INDEX('REGISTRE TUBES'!$F$7:$F$2506,MATCH($C1660,'REGISTRE TUBES'!$B$7:$B$2506,0))),"?"))</f>
        <v>11.94</v>
      </c>
      <c r="G1660" s="102" t="n">
        <f aca="false">IF($C1660="","",N(G1659)+N(F1660))</f>
        <v>13360.0500000001</v>
      </c>
      <c r="H1660" s="103" t="s">
        <v>2619</v>
      </c>
      <c r="I1660" s="104"/>
      <c r="J1660" s="105"/>
    </row>
    <row r="1661" customFormat="false" ht="15" hidden="false" customHeight="false" outlineLevel="0" collapsed="false">
      <c r="B1661" s="90" t="n">
        <v>1126</v>
      </c>
      <c r="C1661" s="91" t="n">
        <v>2097220</v>
      </c>
      <c r="D1661" s="92" t="n">
        <f aca="false">IF($C1661="","",IFERROR(IF(INDEX('REGISTRE TUBES'!$C$7:$C$2506,MATCH($C1661,'REGISTRE TUBES'!$B$7:$B$2506,0))="","",INDEX('REGISTRE TUBES'!$C$7:$C$2506,MATCH($C1661,'REGISTRE TUBES'!$B$7:$B$2506,0))),"?"))</f>
        <v>15421112</v>
      </c>
      <c r="E1661" s="92" t="str">
        <f aca="false">IF($C1661="","",IFERROR(IF(INDEX('REGISTRE TUBES'!$D$7:$D$2506,MATCH($C1661,'REGISTRE TUBES'!$B$7:$B$2506,0))="","",INDEX('REGISTRE TUBES'!$D$7:$D$2506,MATCH($C1661,'REGISTRE TUBES'!$B$7:$B$2506,0))),"?"))</f>
        <v/>
      </c>
      <c r="F1661" s="93" t="n">
        <f aca="false">IF($C1661="","",IFERROR(IF(INDEX('REGISTRE TUBES'!$F$7:$F$2506,MATCH($C1661,'REGISTRE TUBES'!$B$7:$B$2506,0))="","",INDEX('REGISTRE TUBES'!$F$7:$F$2506,MATCH($C1661,'REGISTRE TUBES'!$B$7:$B$2506,0))),"?"))</f>
        <v>11.94</v>
      </c>
      <c r="G1661" s="94" t="n">
        <f aca="false">IF($C1661="","",N(G1660)+N(F1661))</f>
        <v>13371.9900000001</v>
      </c>
      <c r="H1661" s="95" t="s">
        <v>2620</v>
      </c>
      <c r="I1661" s="96"/>
      <c r="J1661" s="97"/>
    </row>
    <row r="1662" customFormat="false" ht="15" hidden="false" customHeight="false" outlineLevel="0" collapsed="false">
      <c r="B1662" s="98" t="n">
        <v>1127</v>
      </c>
      <c r="C1662" s="99" t="n">
        <v>2093460</v>
      </c>
      <c r="D1662" s="100" t="n">
        <f aca="false">IF($C1662="","",IFERROR(IF(INDEX('REGISTRE TUBES'!$C$7:$C$2506,MATCH($C1662,'REGISTRE TUBES'!$B$7:$B$2506,0))="","",INDEX('REGISTRE TUBES'!$C$7:$C$2506,MATCH($C1662,'REGISTRE TUBES'!$B$7:$B$2506,0))),"?"))</f>
        <v>15421110</v>
      </c>
      <c r="E1662" s="100" t="str">
        <f aca="false">IF($C1662="","",IFERROR(IF(INDEX('REGISTRE TUBES'!$D$7:$D$2506,MATCH($C1662,'REGISTRE TUBES'!$B$7:$B$2506,0))="","",INDEX('REGISTRE TUBES'!$D$7:$D$2506,MATCH($C1662,'REGISTRE TUBES'!$B$7:$B$2506,0))),"?"))</f>
        <v/>
      </c>
      <c r="F1662" s="101" t="n">
        <f aca="false">IF($C1662="","",IFERROR(IF(INDEX('REGISTRE TUBES'!$F$7:$F$2506,MATCH($C1662,'REGISTRE TUBES'!$B$7:$B$2506,0))="","",INDEX('REGISTRE TUBES'!$F$7:$F$2506,MATCH($C1662,'REGISTRE TUBES'!$B$7:$B$2506,0))),"?"))</f>
        <v>11.94</v>
      </c>
      <c r="G1662" s="102" t="n">
        <f aca="false">IF($C1662="","",N(G1661)+N(F1662))</f>
        <v>13383.9300000001</v>
      </c>
      <c r="H1662" s="103" t="s">
        <v>2621</v>
      </c>
      <c r="I1662" s="104"/>
      <c r="J1662" s="105"/>
    </row>
    <row r="1663" customFormat="false" ht="15" hidden="false" customHeight="false" outlineLevel="0" collapsed="false">
      <c r="B1663" s="90" t="n">
        <v>1128</v>
      </c>
      <c r="C1663" s="91" t="n">
        <v>2079680</v>
      </c>
      <c r="D1663" s="92" t="n">
        <f aca="false">IF($C1663="","",IFERROR(IF(INDEX('REGISTRE TUBES'!$C$7:$C$2506,MATCH($C1663,'REGISTRE TUBES'!$B$7:$B$2506,0))="","",INDEX('REGISTRE TUBES'!$C$7:$C$2506,MATCH($C1663,'REGISTRE TUBES'!$B$7:$B$2506,0))),"?"))</f>
        <v>15421102</v>
      </c>
      <c r="E1663" s="92" t="str">
        <f aca="false">IF($C1663="","",IFERROR(IF(INDEX('REGISTRE TUBES'!$D$7:$D$2506,MATCH($C1663,'REGISTRE TUBES'!$B$7:$B$2506,0))="","",INDEX('REGISTRE TUBES'!$D$7:$D$2506,MATCH($C1663,'REGISTRE TUBES'!$B$7:$B$2506,0))),"?"))</f>
        <v/>
      </c>
      <c r="F1663" s="93" t="n">
        <f aca="false">IF($C1663="","",IFERROR(IF(INDEX('REGISTRE TUBES'!$F$7:$F$2506,MATCH($C1663,'REGISTRE TUBES'!$B$7:$B$2506,0))="","",INDEX('REGISTRE TUBES'!$F$7:$F$2506,MATCH($C1663,'REGISTRE TUBES'!$B$7:$B$2506,0))),"?"))</f>
        <v>11.94</v>
      </c>
      <c r="G1663" s="94" t="n">
        <f aca="false">IF($C1663="","",N(G1662)+N(F1663))</f>
        <v>13395.8700000001</v>
      </c>
      <c r="H1663" s="95" t="s">
        <v>2622</v>
      </c>
      <c r="I1663" s="96"/>
      <c r="J1663" s="97"/>
    </row>
    <row r="1664" customFormat="false" ht="15" hidden="false" customHeight="false" outlineLevel="0" collapsed="false">
      <c r="B1664" s="98" t="n">
        <v>1129</v>
      </c>
      <c r="C1664" s="99" t="n">
        <v>2095280</v>
      </c>
      <c r="D1664" s="100" t="n">
        <f aca="false">IF($C1664="","",IFERROR(IF(INDEX('REGISTRE TUBES'!$C$7:$C$2506,MATCH($C1664,'REGISTRE TUBES'!$B$7:$B$2506,0))="","",INDEX('REGISTRE TUBES'!$C$7:$C$2506,MATCH($C1664,'REGISTRE TUBES'!$B$7:$B$2506,0))),"?"))</f>
        <v>15421111</v>
      </c>
      <c r="E1664" s="100" t="str">
        <f aca="false">IF($C1664="","",IFERROR(IF(INDEX('REGISTRE TUBES'!$D$7:$D$2506,MATCH($C1664,'REGISTRE TUBES'!$B$7:$B$2506,0))="","",INDEX('REGISTRE TUBES'!$D$7:$D$2506,MATCH($C1664,'REGISTRE TUBES'!$B$7:$B$2506,0))),"?"))</f>
        <v/>
      </c>
      <c r="F1664" s="101" t="n">
        <f aca="false">IF($C1664="","",IFERROR(IF(INDEX('REGISTRE TUBES'!$F$7:$F$2506,MATCH($C1664,'REGISTRE TUBES'!$B$7:$B$2506,0))="","",INDEX('REGISTRE TUBES'!$F$7:$F$2506,MATCH($C1664,'REGISTRE TUBES'!$B$7:$B$2506,0))),"?"))</f>
        <v>11.94</v>
      </c>
      <c r="G1664" s="102" t="n">
        <f aca="false">IF($C1664="","",N(G1663)+N(F1664))</f>
        <v>13407.8100000001</v>
      </c>
      <c r="H1664" s="103" t="s">
        <v>2623</v>
      </c>
      <c r="I1664" s="104"/>
      <c r="J1664" s="105"/>
    </row>
    <row r="1665" customFormat="false" ht="15" hidden="false" customHeight="false" outlineLevel="0" collapsed="false">
      <c r="B1665" s="90" t="n">
        <v>1130</v>
      </c>
      <c r="C1665" s="91" t="n">
        <v>2078460</v>
      </c>
      <c r="D1665" s="92" t="n">
        <f aca="false">IF($C1665="","",IFERROR(IF(INDEX('REGISTRE TUBES'!$C$7:$C$2506,MATCH($C1665,'REGISTRE TUBES'!$B$7:$B$2506,0))="","",INDEX('REGISTRE TUBES'!$C$7:$C$2506,MATCH($C1665,'REGISTRE TUBES'!$B$7:$B$2506,0))),"?"))</f>
        <v>15421101</v>
      </c>
      <c r="E1665" s="92" t="str">
        <f aca="false">IF($C1665="","",IFERROR(IF(INDEX('REGISTRE TUBES'!$D$7:$D$2506,MATCH($C1665,'REGISTRE TUBES'!$B$7:$B$2506,0))="","",INDEX('REGISTRE TUBES'!$D$7:$D$2506,MATCH($C1665,'REGISTRE TUBES'!$B$7:$B$2506,0))),"?"))</f>
        <v/>
      </c>
      <c r="F1665" s="93" t="n">
        <f aca="false">IF($C1665="","",IFERROR(IF(INDEX('REGISTRE TUBES'!$F$7:$F$2506,MATCH($C1665,'REGISTRE TUBES'!$B$7:$B$2506,0))="","",INDEX('REGISTRE TUBES'!$F$7:$F$2506,MATCH($C1665,'REGISTRE TUBES'!$B$7:$B$2506,0))),"?"))</f>
        <v>11.94</v>
      </c>
      <c r="G1665" s="94" t="n">
        <f aca="false">IF($C1665="","",N(G1664)+N(F1665))</f>
        <v>13419.7500000001</v>
      </c>
      <c r="H1665" s="95" t="s">
        <v>2624</v>
      </c>
      <c r="I1665" s="96"/>
      <c r="J1665" s="97"/>
    </row>
    <row r="1666" customFormat="false" ht="15" hidden="false" customHeight="false" outlineLevel="0" collapsed="false">
      <c r="B1666" s="98" t="n">
        <v>1131</v>
      </c>
      <c r="C1666" s="99" t="n">
        <v>2081380</v>
      </c>
      <c r="D1666" s="100" t="n">
        <f aca="false">IF($C1666="","",IFERROR(IF(INDEX('REGISTRE TUBES'!$C$7:$C$2506,MATCH($C1666,'REGISTRE TUBES'!$B$7:$B$2506,0))="","",INDEX('REGISTRE TUBES'!$C$7:$C$2506,MATCH($C1666,'REGISTRE TUBES'!$B$7:$B$2506,0))),"?"))</f>
        <v>15421103</v>
      </c>
      <c r="E1666" s="100" t="str">
        <f aca="false">IF($C1666="","",IFERROR(IF(INDEX('REGISTRE TUBES'!$D$7:$D$2506,MATCH($C1666,'REGISTRE TUBES'!$B$7:$B$2506,0))="","",INDEX('REGISTRE TUBES'!$D$7:$D$2506,MATCH($C1666,'REGISTRE TUBES'!$B$7:$B$2506,0))),"?"))</f>
        <v/>
      </c>
      <c r="F1666" s="101" t="n">
        <f aca="false">IF($C1666="","",IFERROR(IF(INDEX('REGISTRE TUBES'!$F$7:$F$2506,MATCH($C1666,'REGISTRE TUBES'!$B$7:$B$2506,0))="","",INDEX('REGISTRE TUBES'!$F$7:$F$2506,MATCH($C1666,'REGISTRE TUBES'!$B$7:$B$2506,0))),"?"))</f>
        <v>11.94</v>
      </c>
      <c r="G1666" s="102" t="n">
        <f aca="false">IF($C1666="","",N(G1665)+N(F1666))</f>
        <v>13431.6900000001</v>
      </c>
      <c r="H1666" s="103" t="s">
        <v>2626</v>
      </c>
      <c r="I1666" s="104"/>
      <c r="J1666" s="105"/>
    </row>
    <row r="1667" customFormat="false" ht="15" hidden="false" customHeight="false" outlineLevel="0" collapsed="false">
      <c r="B1667" s="90" t="n">
        <v>1132</v>
      </c>
      <c r="C1667" s="91" t="n">
        <v>2093300</v>
      </c>
      <c r="D1667" s="92" t="n">
        <f aca="false">IF($C1667="","",IFERROR(IF(INDEX('REGISTRE TUBES'!$C$7:$C$2506,MATCH($C1667,'REGISTRE TUBES'!$B$7:$B$2506,0))="","",INDEX('REGISTRE TUBES'!$C$7:$C$2506,MATCH($C1667,'REGISTRE TUBES'!$B$7:$B$2506,0))),"?"))</f>
        <v>15421110</v>
      </c>
      <c r="E1667" s="92" t="str">
        <f aca="false">IF($C1667="","",IFERROR(IF(INDEX('REGISTRE TUBES'!$D$7:$D$2506,MATCH($C1667,'REGISTRE TUBES'!$B$7:$B$2506,0))="","",INDEX('REGISTRE TUBES'!$D$7:$D$2506,MATCH($C1667,'REGISTRE TUBES'!$B$7:$B$2506,0))),"?"))</f>
        <v/>
      </c>
      <c r="F1667" s="93" t="n">
        <f aca="false">IF($C1667="","",IFERROR(IF(INDEX('REGISTRE TUBES'!$F$7:$F$2506,MATCH($C1667,'REGISTRE TUBES'!$B$7:$B$2506,0))="","",INDEX('REGISTRE TUBES'!$F$7:$F$2506,MATCH($C1667,'REGISTRE TUBES'!$B$7:$B$2506,0))),"?"))</f>
        <v>11.94</v>
      </c>
      <c r="G1667" s="94" t="n">
        <f aca="false">IF($C1667="","",N(G1666)+N(F1667))</f>
        <v>13443.6300000001</v>
      </c>
      <c r="H1667" s="95" t="s">
        <v>2627</v>
      </c>
      <c r="I1667" s="96"/>
      <c r="J1667" s="97"/>
    </row>
    <row r="1668" customFormat="false" ht="15" hidden="false" customHeight="false" outlineLevel="0" collapsed="false">
      <c r="B1668" s="98" t="n">
        <v>1133</v>
      </c>
      <c r="C1668" s="99" t="n">
        <v>2090590</v>
      </c>
      <c r="D1668" s="100" t="n">
        <f aca="false">IF($C1668="","",IFERROR(IF(INDEX('REGISTRE TUBES'!$C$7:$C$2506,MATCH($C1668,'REGISTRE TUBES'!$B$7:$B$2506,0))="","",INDEX('REGISTRE TUBES'!$C$7:$C$2506,MATCH($C1668,'REGISTRE TUBES'!$B$7:$B$2506,0))),"?"))</f>
        <v>15421109</v>
      </c>
      <c r="E1668" s="100" t="str">
        <f aca="false">IF($C1668="","",IFERROR(IF(INDEX('REGISTRE TUBES'!$D$7:$D$2506,MATCH($C1668,'REGISTRE TUBES'!$B$7:$B$2506,0))="","",INDEX('REGISTRE TUBES'!$D$7:$D$2506,MATCH($C1668,'REGISTRE TUBES'!$B$7:$B$2506,0))),"?"))</f>
        <v/>
      </c>
      <c r="F1668" s="101" t="n">
        <f aca="false">IF($C1668="","",IFERROR(IF(INDEX('REGISTRE TUBES'!$F$7:$F$2506,MATCH($C1668,'REGISTRE TUBES'!$B$7:$B$2506,0))="","",INDEX('REGISTRE TUBES'!$F$7:$F$2506,MATCH($C1668,'REGISTRE TUBES'!$B$7:$B$2506,0))),"?"))</f>
        <v>11.94</v>
      </c>
      <c r="G1668" s="102" t="n">
        <f aca="false">IF($C1668="","",N(G1667)+N(F1668))</f>
        <v>13455.5700000001</v>
      </c>
      <c r="H1668" s="103" t="s">
        <v>2628</v>
      </c>
      <c r="I1668" s="104"/>
      <c r="J1668" s="105"/>
    </row>
    <row r="1669" customFormat="false" ht="15" hidden="false" customHeight="false" outlineLevel="0" collapsed="false">
      <c r="B1669" s="90" t="n">
        <v>1134</v>
      </c>
      <c r="C1669" s="91" t="n">
        <v>2092710</v>
      </c>
      <c r="D1669" s="92" t="n">
        <f aca="false">IF($C1669="","",IFERROR(IF(INDEX('REGISTRE TUBES'!$C$7:$C$2506,MATCH($C1669,'REGISTRE TUBES'!$B$7:$B$2506,0))="","",INDEX('REGISTRE TUBES'!$C$7:$C$2506,MATCH($C1669,'REGISTRE TUBES'!$B$7:$B$2506,0))),"?"))</f>
        <v>15421110</v>
      </c>
      <c r="E1669" s="92" t="str">
        <f aca="false">IF($C1669="","",IFERROR(IF(INDEX('REGISTRE TUBES'!$D$7:$D$2506,MATCH($C1669,'REGISTRE TUBES'!$B$7:$B$2506,0))="","",INDEX('REGISTRE TUBES'!$D$7:$D$2506,MATCH($C1669,'REGISTRE TUBES'!$B$7:$B$2506,0))),"?"))</f>
        <v/>
      </c>
      <c r="F1669" s="93" t="n">
        <f aca="false">IF($C1669="","",IFERROR(IF(INDEX('REGISTRE TUBES'!$F$7:$F$2506,MATCH($C1669,'REGISTRE TUBES'!$B$7:$B$2506,0))="","",INDEX('REGISTRE TUBES'!$F$7:$F$2506,MATCH($C1669,'REGISTRE TUBES'!$B$7:$B$2506,0))),"?"))</f>
        <v>11.94</v>
      </c>
      <c r="G1669" s="94" t="n">
        <f aca="false">IF($C1669="","",N(G1668)+N(F1669))</f>
        <v>13467.5100000001</v>
      </c>
      <c r="H1669" s="95" t="s">
        <v>2630</v>
      </c>
      <c r="I1669" s="96"/>
      <c r="J1669" s="97"/>
    </row>
    <row r="1670" customFormat="false" ht="15" hidden="false" customHeight="false" outlineLevel="0" collapsed="false">
      <c r="B1670" s="98" t="n">
        <v>1135</v>
      </c>
      <c r="C1670" s="99" t="n">
        <v>2080990</v>
      </c>
      <c r="D1670" s="100" t="n">
        <f aca="false">IF($C1670="","",IFERROR(IF(INDEX('REGISTRE TUBES'!$C$7:$C$2506,MATCH($C1670,'REGISTRE TUBES'!$B$7:$B$2506,0))="","",INDEX('REGISTRE TUBES'!$C$7:$C$2506,MATCH($C1670,'REGISTRE TUBES'!$B$7:$B$2506,0))),"?"))</f>
        <v>15421103</v>
      </c>
      <c r="E1670" s="100" t="str">
        <f aca="false">IF($C1670="","",IFERROR(IF(INDEX('REGISTRE TUBES'!$D$7:$D$2506,MATCH($C1670,'REGISTRE TUBES'!$B$7:$B$2506,0))="","",INDEX('REGISTRE TUBES'!$D$7:$D$2506,MATCH($C1670,'REGISTRE TUBES'!$B$7:$B$2506,0))),"?"))</f>
        <v/>
      </c>
      <c r="F1670" s="101" t="n">
        <f aca="false">IF($C1670="","",IFERROR(IF(INDEX('REGISTRE TUBES'!$F$7:$F$2506,MATCH($C1670,'REGISTRE TUBES'!$B$7:$B$2506,0))="","",INDEX('REGISTRE TUBES'!$F$7:$F$2506,MATCH($C1670,'REGISTRE TUBES'!$B$7:$B$2506,0))),"?"))</f>
        <v>11.94</v>
      </c>
      <c r="G1670" s="102" t="n">
        <f aca="false">IF($C1670="","",N(G1669)+N(F1670))</f>
        <v>13479.4500000001</v>
      </c>
      <c r="H1670" s="103" t="s">
        <v>2631</v>
      </c>
      <c r="I1670" s="104"/>
      <c r="J1670" s="105"/>
    </row>
    <row r="1671" customFormat="false" ht="15" hidden="false" customHeight="false" outlineLevel="0" collapsed="false">
      <c r="B1671" s="90" t="n">
        <v>1136</v>
      </c>
      <c r="C1671" s="91" t="n">
        <v>2080820</v>
      </c>
      <c r="D1671" s="92" t="n">
        <f aca="false">IF($C1671="","",IFERROR(IF(INDEX('REGISTRE TUBES'!$C$7:$C$2506,MATCH($C1671,'REGISTRE TUBES'!$B$7:$B$2506,0))="","",INDEX('REGISTRE TUBES'!$C$7:$C$2506,MATCH($C1671,'REGISTRE TUBES'!$B$7:$B$2506,0))),"?"))</f>
        <v>15421103</v>
      </c>
      <c r="E1671" s="92" t="str">
        <f aca="false">IF($C1671="","",IFERROR(IF(INDEX('REGISTRE TUBES'!$D$7:$D$2506,MATCH($C1671,'REGISTRE TUBES'!$B$7:$B$2506,0))="","",INDEX('REGISTRE TUBES'!$D$7:$D$2506,MATCH($C1671,'REGISTRE TUBES'!$B$7:$B$2506,0))),"?"))</f>
        <v/>
      </c>
      <c r="F1671" s="93" t="n">
        <f aca="false">IF($C1671="","",IFERROR(IF(INDEX('REGISTRE TUBES'!$F$7:$F$2506,MATCH($C1671,'REGISTRE TUBES'!$B$7:$B$2506,0))="","",INDEX('REGISTRE TUBES'!$F$7:$F$2506,MATCH($C1671,'REGISTRE TUBES'!$B$7:$B$2506,0))),"?"))</f>
        <v>11.94</v>
      </c>
      <c r="G1671" s="94" t="n">
        <f aca="false">IF($C1671="","",N(G1670)+N(F1671))</f>
        <v>13491.3900000001</v>
      </c>
      <c r="H1671" s="95" t="s">
        <v>2633</v>
      </c>
      <c r="I1671" s="96"/>
      <c r="J1671" s="97"/>
    </row>
    <row r="1672" customFormat="false" ht="15" hidden="false" customHeight="false" outlineLevel="0" collapsed="false">
      <c r="B1672" s="98" t="n">
        <v>1137</v>
      </c>
      <c r="C1672" s="99" t="n">
        <v>2094790</v>
      </c>
      <c r="D1672" s="100" t="n">
        <f aca="false">IF($C1672="","",IFERROR(IF(INDEX('REGISTRE TUBES'!$C$7:$C$2506,MATCH($C1672,'REGISTRE TUBES'!$B$7:$B$2506,0))="","",INDEX('REGISTRE TUBES'!$C$7:$C$2506,MATCH($C1672,'REGISTRE TUBES'!$B$7:$B$2506,0))),"?"))</f>
        <v>15421111</v>
      </c>
      <c r="E1672" s="100" t="str">
        <f aca="false">IF($C1672="","",IFERROR(IF(INDEX('REGISTRE TUBES'!$D$7:$D$2506,MATCH($C1672,'REGISTRE TUBES'!$B$7:$B$2506,0))="","",INDEX('REGISTRE TUBES'!$D$7:$D$2506,MATCH($C1672,'REGISTRE TUBES'!$B$7:$B$2506,0))),"?"))</f>
        <v/>
      </c>
      <c r="F1672" s="101" t="n">
        <f aca="false">IF($C1672="","",IFERROR(IF(INDEX('REGISTRE TUBES'!$F$7:$F$2506,MATCH($C1672,'REGISTRE TUBES'!$B$7:$B$2506,0))="","",INDEX('REGISTRE TUBES'!$F$7:$F$2506,MATCH($C1672,'REGISTRE TUBES'!$B$7:$B$2506,0))),"?"))</f>
        <v>11.94</v>
      </c>
      <c r="G1672" s="102" t="n">
        <f aca="false">IF($C1672="","",N(G1671)+N(F1672))</f>
        <v>13503.3300000001</v>
      </c>
      <c r="H1672" s="103" t="s">
        <v>2634</v>
      </c>
      <c r="I1672" s="104"/>
      <c r="J1672" s="105"/>
    </row>
    <row r="1673" customFormat="false" ht="15" hidden="false" customHeight="false" outlineLevel="0" collapsed="false">
      <c r="B1673" s="90" t="n">
        <v>1138</v>
      </c>
      <c r="C1673" s="91" t="n">
        <v>2086660</v>
      </c>
      <c r="D1673" s="92" t="n">
        <f aca="false">IF($C1673="","",IFERROR(IF(INDEX('REGISTRE TUBES'!$C$7:$C$2506,MATCH($C1673,'REGISTRE TUBES'!$B$7:$B$2506,0))="","",INDEX('REGISTRE TUBES'!$C$7:$C$2506,MATCH($C1673,'REGISTRE TUBES'!$B$7:$B$2506,0))),"?"))</f>
        <v>15421107</v>
      </c>
      <c r="E1673" s="92" t="str">
        <f aca="false">IF($C1673="","",IFERROR(IF(INDEX('REGISTRE TUBES'!$D$7:$D$2506,MATCH($C1673,'REGISTRE TUBES'!$B$7:$B$2506,0))="","",INDEX('REGISTRE TUBES'!$D$7:$D$2506,MATCH($C1673,'REGISTRE TUBES'!$B$7:$B$2506,0))),"?"))</f>
        <v/>
      </c>
      <c r="F1673" s="93" t="n">
        <f aca="false">IF($C1673="","",IFERROR(IF(INDEX('REGISTRE TUBES'!$F$7:$F$2506,MATCH($C1673,'REGISTRE TUBES'!$B$7:$B$2506,0))="","",INDEX('REGISTRE TUBES'!$F$7:$F$2506,MATCH($C1673,'REGISTRE TUBES'!$B$7:$B$2506,0))),"?"))</f>
        <v>11.94</v>
      </c>
      <c r="G1673" s="94" t="n">
        <f aca="false">IF($C1673="","",N(G1672)+N(F1673))</f>
        <v>13515.2700000001</v>
      </c>
      <c r="H1673" s="95" t="s">
        <v>2635</v>
      </c>
      <c r="I1673" s="96"/>
      <c r="J1673" s="97"/>
    </row>
    <row r="1674" customFormat="false" ht="15" hidden="false" customHeight="false" outlineLevel="0" collapsed="false">
      <c r="B1674" s="98" t="n">
        <v>1139</v>
      </c>
      <c r="C1674" s="99" t="n">
        <v>2081710</v>
      </c>
      <c r="D1674" s="100" t="n">
        <f aca="false">IF($C1674="","",IFERROR(IF(INDEX('REGISTRE TUBES'!$C$7:$C$2506,MATCH($C1674,'REGISTRE TUBES'!$B$7:$B$2506,0))="","",INDEX('REGISTRE TUBES'!$C$7:$C$2506,MATCH($C1674,'REGISTRE TUBES'!$B$7:$B$2506,0))),"?"))</f>
        <v>15421103</v>
      </c>
      <c r="E1674" s="100" t="str">
        <f aca="false">IF($C1674="","",IFERROR(IF(INDEX('REGISTRE TUBES'!$D$7:$D$2506,MATCH($C1674,'REGISTRE TUBES'!$B$7:$B$2506,0))="","",INDEX('REGISTRE TUBES'!$D$7:$D$2506,MATCH($C1674,'REGISTRE TUBES'!$B$7:$B$2506,0))),"?"))</f>
        <v/>
      </c>
      <c r="F1674" s="101" t="n">
        <f aca="false">IF($C1674="","",IFERROR(IF(INDEX('REGISTRE TUBES'!$F$7:$F$2506,MATCH($C1674,'REGISTRE TUBES'!$B$7:$B$2506,0))="","",INDEX('REGISTRE TUBES'!$F$7:$F$2506,MATCH($C1674,'REGISTRE TUBES'!$B$7:$B$2506,0))),"?"))</f>
        <v>11.94</v>
      </c>
      <c r="G1674" s="102" t="n">
        <f aca="false">IF($C1674="","",N(G1673)+N(F1674))</f>
        <v>13527.2100000001</v>
      </c>
      <c r="H1674" s="103" t="s">
        <v>2668</v>
      </c>
      <c r="I1674" s="104"/>
      <c r="J1674" s="105"/>
    </row>
    <row r="1675" customFormat="false" ht="15" hidden="false" customHeight="false" outlineLevel="0" collapsed="false">
      <c r="B1675" s="90" t="n">
        <v>1140</v>
      </c>
      <c r="C1675" s="91" t="n">
        <v>2081630</v>
      </c>
      <c r="D1675" s="92" t="n">
        <f aca="false">IF($C1675="","",IFERROR(IF(INDEX('REGISTRE TUBES'!$C$7:$C$2506,MATCH($C1675,'REGISTRE TUBES'!$B$7:$B$2506,0))="","",INDEX('REGISTRE TUBES'!$C$7:$C$2506,MATCH($C1675,'REGISTRE TUBES'!$B$7:$B$2506,0))),"?"))</f>
        <v>15421103</v>
      </c>
      <c r="E1675" s="92" t="str">
        <f aca="false">IF($C1675="","",IFERROR(IF(INDEX('REGISTRE TUBES'!$D$7:$D$2506,MATCH($C1675,'REGISTRE TUBES'!$B$7:$B$2506,0))="","",INDEX('REGISTRE TUBES'!$D$7:$D$2506,MATCH($C1675,'REGISTRE TUBES'!$B$7:$B$2506,0))),"?"))</f>
        <v/>
      </c>
      <c r="F1675" s="93" t="n">
        <f aca="false">IF($C1675="","",IFERROR(IF(INDEX('REGISTRE TUBES'!$F$7:$F$2506,MATCH($C1675,'REGISTRE TUBES'!$B$7:$B$2506,0))="","",INDEX('REGISTRE TUBES'!$F$7:$F$2506,MATCH($C1675,'REGISTRE TUBES'!$B$7:$B$2506,0))),"?"))</f>
        <v>11.94</v>
      </c>
      <c r="G1675" s="94" t="n">
        <f aca="false">IF($C1675="","",N(G1674)+N(F1675))</f>
        <v>13539.1500000001</v>
      </c>
      <c r="H1675" s="95" t="s">
        <v>2670</v>
      </c>
      <c r="I1675" s="96"/>
      <c r="J1675" s="97"/>
    </row>
    <row r="1676" customFormat="false" ht="15" hidden="false" customHeight="true" outlineLevel="0" collapsed="false">
      <c r="B1676" s="106" t="s">
        <v>3031</v>
      </c>
      <c r="C1676" s="106"/>
      <c r="D1676" s="106"/>
      <c r="E1676" s="106"/>
      <c r="F1676" s="107" t="n">
        <f aca="false">SUM(F1657:F1675)</f>
        <v>226.86</v>
      </c>
      <c r="G1676" s="108" t="n">
        <f aca="false">IF(COUNT(G1657:G1675)=0,"",MAX(G1657:G1675))</f>
        <v>13539.1500000001</v>
      </c>
      <c r="H1676" s="106" t="str">
        <f aca="false">COUNTA(C1657:C1675)&amp;" tube(s)"</f>
        <v>19 tube(s)</v>
      </c>
      <c r="I1676" s="106"/>
      <c r="J1676" s="106"/>
    </row>
    <row r="1678" customFormat="false" ht="15" hidden="false" customHeight="false" outlineLevel="0" collapsed="false">
      <c r="B1678" s="109" t="s">
        <v>3032</v>
      </c>
      <c r="F1678" s="109" t="s">
        <v>3033</v>
      </c>
      <c r="I1678" s="109" t="s">
        <v>3034</v>
      </c>
    </row>
    <row r="1681" customFormat="false" ht="25.5" hidden="false" customHeight="true" outlineLevel="0" collapsed="false">
      <c r="B1681" s="85" t="s">
        <v>3015</v>
      </c>
      <c r="C1681" s="85"/>
      <c r="D1681" s="85"/>
      <c r="E1681" s="85"/>
      <c r="F1681" s="85"/>
      <c r="G1681" s="85"/>
      <c r="H1681" s="85"/>
      <c r="I1681" s="85"/>
      <c r="J1681" s="85"/>
    </row>
    <row r="1682" customFormat="false" ht="15" hidden="false" customHeight="false" outlineLevel="0" collapsed="false">
      <c r="B1682" s="86" t="str">
        <f aca="false">PARAMÈTRES!$C$4&amp;"   •   Affaire N° "&amp;PARAMÈTRES!$C$5</f>
        <v>Développement des champs gaziers TFT II — réseau de collecte TFT Sud (LIGNE-16)   •   Affaire N° 8546</v>
      </c>
      <c r="C1682" s="86"/>
      <c r="D1682" s="86"/>
      <c r="E1682" s="86"/>
      <c r="F1682" s="86"/>
      <c r="G1682" s="86"/>
      <c r="H1682" s="86"/>
      <c r="I1682" s="86"/>
      <c r="J1682" s="86"/>
    </row>
    <row r="1683" customFormat="false" ht="19.5" hidden="false" customHeight="true" outlineLevel="0" collapsed="false">
      <c r="B1683" s="87" t="s">
        <v>3016</v>
      </c>
      <c r="C1683" s="88" t="s">
        <v>110</v>
      </c>
      <c r="D1683" s="88"/>
      <c r="E1683" s="87" t="s">
        <v>3017</v>
      </c>
      <c r="F1683" s="88" t="s">
        <v>3153</v>
      </c>
      <c r="G1683" s="87" t="s">
        <v>3019</v>
      </c>
      <c r="H1683" s="88" t="s">
        <v>3154</v>
      </c>
      <c r="I1683" s="87" t="s">
        <v>3021</v>
      </c>
      <c r="J1683" s="89"/>
    </row>
    <row r="1684" customFormat="false" ht="27.75" hidden="false" customHeight="true" outlineLevel="0" collapsed="false">
      <c r="B1684" s="71" t="s">
        <v>3022</v>
      </c>
      <c r="C1684" s="71" t="s">
        <v>3023</v>
      </c>
      <c r="D1684" s="71" t="s">
        <v>3024</v>
      </c>
      <c r="E1684" s="71" t="s">
        <v>3025</v>
      </c>
      <c r="F1684" s="71" t="s">
        <v>3026</v>
      </c>
      <c r="G1684" s="71" t="s">
        <v>3027</v>
      </c>
      <c r="H1684" s="71" t="s">
        <v>3028</v>
      </c>
      <c r="I1684" s="71" t="s">
        <v>3029</v>
      </c>
      <c r="J1684" s="71" t="s">
        <v>3030</v>
      </c>
    </row>
    <row r="1685" customFormat="false" ht="15" hidden="false" customHeight="false" outlineLevel="0" collapsed="false">
      <c r="B1685" s="90" t="n">
        <v>1141</v>
      </c>
      <c r="C1685" s="91" t="n">
        <v>2098020</v>
      </c>
      <c r="D1685" s="92" t="n">
        <f aca="false">IF($C1685="","",IFERROR(IF(INDEX('REGISTRE TUBES'!$C$7:$C$2506,MATCH($C1685,'REGISTRE TUBES'!$B$7:$B$2506,0))="","",INDEX('REGISTRE TUBES'!$C$7:$C$2506,MATCH($C1685,'REGISTRE TUBES'!$B$7:$B$2506,0))),"?"))</f>
        <v>15421112</v>
      </c>
      <c r="E1685" s="92" t="str">
        <f aca="false">IF($C1685="","",IFERROR(IF(INDEX('REGISTRE TUBES'!$D$7:$D$2506,MATCH($C1685,'REGISTRE TUBES'!$B$7:$B$2506,0))="","",INDEX('REGISTRE TUBES'!$D$7:$D$2506,MATCH($C1685,'REGISTRE TUBES'!$B$7:$B$2506,0))),"?"))</f>
        <v/>
      </c>
      <c r="F1685" s="93" t="n">
        <f aca="false">IF($C1685="","",IFERROR(IF(INDEX('REGISTRE TUBES'!$F$7:$F$2506,MATCH($C1685,'REGISTRE TUBES'!$B$7:$B$2506,0))="","",INDEX('REGISTRE TUBES'!$F$7:$F$2506,MATCH($C1685,'REGISTRE TUBES'!$B$7:$B$2506,0))),"?"))</f>
        <v>11.94</v>
      </c>
      <c r="G1685" s="94" t="n">
        <f aca="false">IF($C1685="","",N(G1675)+N(F1685))</f>
        <v>13551.0900000001</v>
      </c>
      <c r="H1685" s="95" t="s">
        <v>2671</v>
      </c>
      <c r="I1685" s="96"/>
      <c r="J1685" s="97"/>
    </row>
    <row r="1686" customFormat="false" ht="15" hidden="false" customHeight="false" outlineLevel="0" collapsed="false">
      <c r="B1686" s="98" t="n">
        <v>1142</v>
      </c>
      <c r="C1686" s="99" t="n">
        <v>2088500</v>
      </c>
      <c r="D1686" s="100" t="n">
        <f aca="false">IF($C1686="","",IFERROR(IF(INDEX('REGISTRE TUBES'!$C$7:$C$2506,MATCH($C1686,'REGISTRE TUBES'!$B$7:$B$2506,0))="","",INDEX('REGISTRE TUBES'!$C$7:$C$2506,MATCH($C1686,'REGISTRE TUBES'!$B$7:$B$2506,0))),"?"))</f>
        <v>15421108</v>
      </c>
      <c r="E1686" s="100" t="str">
        <f aca="false">IF($C1686="","",IFERROR(IF(INDEX('REGISTRE TUBES'!$D$7:$D$2506,MATCH($C1686,'REGISTRE TUBES'!$B$7:$B$2506,0))="","",INDEX('REGISTRE TUBES'!$D$7:$D$2506,MATCH($C1686,'REGISTRE TUBES'!$B$7:$B$2506,0))),"?"))</f>
        <v/>
      </c>
      <c r="F1686" s="101" t="n">
        <f aca="false">IF($C1686="","",IFERROR(IF(INDEX('REGISTRE TUBES'!$F$7:$F$2506,MATCH($C1686,'REGISTRE TUBES'!$B$7:$B$2506,0))="","",INDEX('REGISTRE TUBES'!$F$7:$F$2506,MATCH($C1686,'REGISTRE TUBES'!$B$7:$B$2506,0))),"?"))</f>
        <v>11.94</v>
      </c>
      <c r="G1686" s="102" t="n">
        <f aca="false">IF($C1686="","",N(G1685)+N(F1686))</f>
        <v>13563.0300000001</v>
      </c>
      <c r="H1686" s="103" t="s">
        <v>2672</v>
      </c>
      <c r="I1686" s="104"/>
      <c r="J1686" s="105"/>
    </row>
    <row r="1687" customFormat="false" ht="15" hidden="false" customHeight="false" outlineLevel="0" collapsed="false">
      <c r="B1687" s="90" t="n">
        <v>1143</v>
      </c>
      <c r="C1687" s="91" t="n">
        <v>2080060</v>
      </c>
      <c r="D1687" s="92" t="n">
        <f aca="false">IF($C1687="","",IFERROR(IF(INDEX('REGISTRE TUBES'!$C$7:$C$2506,MATCH($C1687,'REGISTRE TUBES'!$B$7:$B$2506,0))="","",INDEX('REGISTRE TUBES'!$C$7:$C$2506,MATCH($C1687,'REGISTRE TUBES'!$B$7:$B$2506,0))),"?"))</f>
        <v>15421102</v>
      </c>
      <c r="E1687" s="92" t="str">
        <f aca="false">IF($C1687="","",IFERROR(IF(INDEX('REGISTRE TUBES'!$D$7:$D$2506,MATCH($C1687,'REGISTRE TUBES'!$B$7:$B$2506,0))="","",INDEX('REGISTRE TUBES'!$D$7:$D$2506,MATCH($C1687,'REGISTRE TUBES'!$B$7:$B$2506,0))),"?"))</f>
        <v/>
      </c>
      <c r="F1687" s="93" t="n">
        <f aca="false">IF($C1687="","",IFERROR(IF(INDEX('REGISTRE TUBES'!$F$7:$F$2506,MATCH($C1687,'REGISTRE TUBES'!$B$7:$B$2506,0))="","",INDEX('REGISTRE TUBES'!$F$7:$F$2506,MATCH($C1687,'REGISTRE TUBES'!$B$7:$B$2506,0))),"?"))</f>
        <v>11.94</v>
      </c>
      <c r="G1687" s="94" t="n">
        <f aca="false">IF($C1687="","",N(G1686)+N(F1687))</f>
        <v>13574.9700000001</v>
      </c>
      <c r="H1687" s="95" t="s">
        <v>2673</v>
      </c>
      <c r="I1687" s="96"/>
      <c r="J1687" s="97"/>
    </row>
    <row r="1688" customFormat="false" ht="15" hidden="false" customHeight="false" outlineLevel="0" collapsed="false">
      <c r="B1688" s="98" t="n">
        <v>1144</v>
      </c>
      <c r="C1688" s="99" t="n">
        <v>2090690</v>
      </c>
      <c r="D1688" s="100" t="n">
        <f aca="false">IF($C1688="","",IFERROR(IF(INDEX('REGISTRE TUBES'!$C$7:$C$2506,MATCH($C1688,'REGISTRE TUBES'!$B$7:$B$2506,0))="","",INDEX('REGISTRE TUBES'!$C$7:$C$2506,MATCH($C1688,'REGISTRE TUBES'!$B$7:$B$2506,0))),"?"))</f>
        <v>15421109</v>
      </c>
      <c r="E1688" s="100" t="str">
        <f aca="false">IF($C1688="","",IFERROR(IF(INDEX('REGISTRE TUBES'!$D$7:$D$2506,MATCH($C1688,'REGISTRE TUBES'!$B$7:$B$2506,0))="","",INDEX('REGISTRE TUBES'!$D$7:$D$2506,MATCH($C1688,'REGISTRE TUBES'!$B$7:$B$2506,0))),"?"))</f>
        <v/>
      </c>
      <c r="F1688" s="101" t="n">
        <f aca="false">IF($C1688="","",IFERROR(IF(INDEX('REGISTRE TUBES'!$F$7:$F$2506,MATCH($C1688,'REGISTRE TUBES'!$B$7:$B$2506,0))="","",INDEX('REGISTRE TUBES'!$F$7:$F$2506,MATCH($C1688,'REGISTRE TUBES'!$B$7:$B$2506,0))),"?"))</f>
        <v>11.94</v>
      </c>
      <c r="G1688" s="102" t="n">
        <f aca="false">IF($C1688="","",N(G1687)+N(F1688))</f>
        <v>13586.9100000001</v>
      </c>
      <c r="H1688" s="103" t="s">
        <v>2677</v>
      </c>
      <c r="I1688" s="104"/>
      <c r="J1688" s="105"/>
    </row>
    <row r="1689" customFormat="false" ht="15" hidden="false" customHeight="false" outlineLevel="0" collapsed="false">
      <c r="B1689" s="90" t="n">
        <v>1145</v>
      </c>
      <c r="C1689" s="91" t="n">
        <v>2093520</v>
      </c>
      <c r="D1689" s="92" t="n">
        <f aca="false">IF($C1689="","",IFERROR(IF(INDEX('REGISTRE TUBES'!$C$7:$C$2506,MATCH($C1689,'REGISTRE TUBES'!$B$7:$B$2506,0))="","",INDEX('REGISTRE TUBES'!$C$7:$C$2506,MATCH($C1689,'REGISTRE TUBES'!$B$7:$B$2506,0))),"?"))</f>
        <v>15421110</v>
      </c>
      <c r="E1689" s="92" t="str">
        <f aca="false">IF($C1689="","",IFERROR(IF(INDEX('REGISTRE TUBES'!$D$7:$D$2506,MATCH($C1689,'REGISTRE TUBES'!$B$7:$B$2506,0))="","",INDEX('REGISTRE TUBES'!$D$7:$D$2506,MATCH($C1689,'REGISTRE TUBES'!$B$7:$B$2506,0))),"?"))</f>
        <v/>
      </c>
      <c r="F1689" s="93" t="n">
        <f aca="false">IF($C1689="","",IFERROR(IF(INDEX('REGISTRE TUBES'!$F$7:$F$2506,MATCH($C1689,'REGISTRE TUBES'!$B$7:$B$2506,0))="","",INDEX('REGISTRE TUBES'!$F$7:$F$2506,MATCH($C1689,'REGISTRE TUBES'!$B$7:$B$2506,0))),"?"))</f>
        <v>11.94</v>
      </c>
      <c r="G1689" s="94" t="n">
        <f aca="false">IF($C1689="","",N(G1688)+N(F1689))</f>
        <v>13598.8500000001</v>
      </c>
      <c r="H1689" s="95" t="s">
        <v>2678</v>
      </c>
      <c r="I1689" s="96"/>
      <c r="J1689" s="97"/>
    </row>
    <row r="1690" customFormat="false" ht="15" hidden="false" customHeight="false" outlineLevel="0" collapsed="false">
      <c r="B1690" s="98" t="n">
        <v>1146</v>
      </c>
      <c r="C1690" s="99" t="n">
        <v>2079160</v>
      </c>
      <c r="D1690" s="100" t="n">
        <f aca="false">IF($C1690="","",IFERROR(IF(INDEX('REGISTRE TUBES'!$C$7:$C$2506,MATCH($C1690,'REGISTRE TUBES'!$B$7:$B$2506,0))="","",INDEX('REGISTRE TUBES'!$C$7:$C$2506,MATCH($C1690,'REGISTRE TUBES'!$B$7:$B$2506,0))),"?"))</f>
        <v>15421102</v>
      </c>
      <c r="E1690" s="100" t="str">
        <f aca="false">IF($C1690="","",IFERROR(IF(INDEX('REGISTRE TUBES'!$D$7:$D$2506,MATCH($C1690,'REGISTRE TUBES'!$B$7:$B$2506,0))="","",INDEX('REGISTRE TUBES'!$D$7:$D$2506,MATCH($C1690,'REGISTRE TUBES'!$B$7:$B$2506,0))),"?"))</f>
        <v/>
      </c>
      <c r="F1690" s="101" t="n">
        <f aca="false">IF($C1690="","",IFERROR(IF(INDEX('REGISTRE TUBES'!$F$7:$F$2506,MATCH($C1690,'REGISTRE TUBES'!$B$7:$B$2506,0))="","",INDEX('REGISTRE TUBES'!$F$7:$F$2506,MATCH($C1690,'REGISTRE TUBES'!$B$7:$B$2506,0))),"?"))</f>
        <v>11.94</v>
      </c>
      <c r="G1690" s="102" t="n">
        <f aca="false">IF($C1690="","",N(G1689)+N(F1690))</f>
        <v>13610.7900000001</v>
      </c>
      <c r="H1690" s="103" t="s">
        <v>2679</v>
      </c>
      <c r="I1690" s="104"/>
      <c r="J1690" s="105"/>
    </row>
    <row r="1691" customFormat="false" ht="15" hidden="false" customHeight="false" outlineLevel="0" collapsed="false">
      <c r="B1691" s="90" t="n">
        <v>1147</v>
      </c>
      <c r="C1691" s="91" t="n">
        <v>2094600</v>
      </c>
      <c r="D1691" s="92" t="n">
        <f aca="false">IF($C1691="","",IFERROR(IF(INDEX('REGISTRE TUBES'!$C$7:$C$2506,MATCH($C1691,'REGISTRE TUBES'!$B$7:$B$2506,0))="","",INDEX('REGISTRE TUBES'!$C$7:$C$2506,MATCH($C1691,'REGISTRE TUBES'!$B$7:$B$2506,0))),"?"))</f>
        <v>15421111</v>
      </c>
      <c r="E1691" s="92" t="str">
        <f aca="false">IF($C1691="","",IFERROR(IF(INDEX('REGISTRE TUBES'!$D$7:$D$2506,MATCH($C1691,'REGISTRE TUBES'!$B$7:$B$2506,0))="","",INDEX('REGISTRE TUBES'!$D$7:$D$2506,MATCH($C1691,'REGISTRE TUBES'!$B$7:$B$2506,0))),"?"))</f>
        <v/>
      </c>
      <c r="F1691" s="93" t="n">
        <f aca="false">IF($C1691="","",IFERROR(IF(INDEX('REGISTRE TUBES'!$F$7:$F$2506,MATCH($C1691,'REGISTRE TUBES'!$B$7:$B$2506,0))="","",INDEX('REGISTRE TUBES'!$F$7:$F$2506,MATCH($C1691,'REGISTRE TUBES'!$B$7:$B$2506,0))),"?"))</f>
        <v>11.94</v>
      </c>
      <c r="G1691" s="94" t="n">
        <f aca="false">IF($C1691="","",N(G1690)+N(F1691))</f>
        <v>13622.7300000001</v>
      </c>
      <c r="H1691" s="95" t="s">
        <v>2684</v>
      </c>
      <c r="I1691" s="96"/>
      <c r="J1691" s="97"/>
    </row>
    <row r="1692" customFormat="false" ht="15" hidden="false" customHeight="false" outlineLevel="0" collapsed="false">
      <c r="B1692" s="98" t="n">
        <v>1148</v>
      </c>
      <c r="C1692" s="99" t="n">
        <v>2079240</v>
      </c>
      <c r="D1692" s="100" t="n">
        <f aca="false">IF($C1692="","",IFERROR(IF(INDEX('REGISTRE TUBES'!$C$7:$C$2506,MATCH($C1692,'REGISTRE TUBES'!$B$7:$B$2506,0))="","",INDEX('REGISTRE TUBES'!$C$7:$C$2506,MATCH($C1692,'REGISTRE TUBES'!$B$7:$B$2506,0))),"?"))</f>
        <v>15421102</v>
      </c>
      <c r="E1692" s="100" t="str">
        <f aca="false">IF($C1692="","",IFERROR(IF(INDEX('REGISTRE TUBES'!$D$7:$D$2506,MATCH($C1692,'REGISTRE TUBES'!$B$7:$B$2506,0))="","",INDEX('REGISTRE TUBES'!$D$7:$D$2506,MATCH($C1692,'REGISTRE TUBES'!$B$7:$B$2506,0))),"?"))</f>
        <v/>
      </c>
      <c r="F1692" s="101" t="n">
        <f aca="false">IF($C1692="","",IFERROR(IF(INDEX('REGISTRE TUBES'!$F$7:$F$2506,MATCH($C1692,'REGISTRE TUBES'!$B$7:$B$2506,0))="","",INDEX('REGISTRE TUBES'!$F$7:$F$2506,MATCH($C1692,'REGISTRE TUBES'!$B$7:$B$2506,0))),"?"))</f>
        <v>11.94</v>
      </c>
      <c r="G1692" s="102" t="n">
        <f aca="false">IF($C1692="","",N(G1691)+N(F1692))</f>
        <v>13634.6700000001</v>
      </c>
      <c r="H1692" s="103" t="s">
        <v>2688</v>
      </c>
      <c r="I1692" s="104"/>
      <c r="J1692" s="105"/>
    </row>
    <row r="1693" customFormat="false" ht="15" hidden="false" customHeight="false" outlineLevel="0" collapsed="false">
      <c r="B1693" s="90" t="n">
        <v>1149</v>
      </c>
      <c r="C1693" s="91" t="n">
        <v>2080590</v>
      </c>
      <c r="D1693" s="92" t="n">
        <f aca="false">IF($C1693="","",IFERROR(IF(INDEX('REGISTRE TUBES'!$C$7:$C$2506,MATCH($C1693,'REGISTRE TUBES'!$B$7:$B$2506,0))="","",INDEX('REGISTRE TUBES'!$C$7:$C$2506,MATCH($C1693,'REGISTRE TUBES'!$B$7:$B$2506,0))),"?"))</f>
        <v>15421103</v>
      </c>
      <c r="E1693" s="92" t="str">
        <f aca="false">IF($C1693="","",IFERROR(IF(INDEX('REGISTRE TUBES'!$D$7:$D$2506,MATCH($C1693,'REGISTRE TUBES'!$B$7:$B$2506,0))="","",INDEX('REGISTRE TUBES'!$D$7:$D$2506,MATCH($C1693,'REGISTRE TUBES'!$B$7:$B$2506,0))),"?"))</f>
        <v/>
      </c>
      <c r="F1693" s="93" t="n">
        <f aca="false">IF($C1693="","",IFERROR(IF(INDEX('REGISTRE TUBES'!$F$7:$F$2506,MATCH($C1693,'REGISTRE TUBES'!$B$7:$B$2506,0))="","",INDEX('REGISTRE TUBES'!$F$7:$F$2506,MATCH($C1693,'REGISTRE TUBES'!$B$7:$B$2506,0))),"?"))</f>
        <v>11.94</v>
      </c>
      <c r="G1693" s="94" t="n">
        <f aca="false">IF($C1693="","",N(G1692)+N(F1693))</f>
        <v>13646.6100000001</v>
      </c>
      <c r="H1693" s="95" t="s">
        <v>2689</v>
      </c>
      <c r="I1693" s="96"/>
      <c r="J1693" s="97"/>
    </row>
    <row r="1694" customFormat="false" ht="15" hidden="false" customHeight="false" outlineLevel="0" collapsed="false">
      <c r="B1694" s="98" t="n">
        <v>1150</v>
      </c>
      <c r="C1694" s="99" t="n">
        <v>2093530</v>
      </c>
      <c r="D1694" s="100" t="n">
        <f aca="false">IF($C1694="","",IFERROR(IF(INDEX('REGISTRE TUBES'!$C$7:$C$2506,MATCH($C1694,'REGISTRE TUBES'!$B$7:$B$2506,0))="","",INDEX('REGISTRE TUBES'!$C$7:$C$2506,MATCH($C1694,'REGISTRE TUBES'!$B$7:$B$2506,0))),"?"))</f>
        <v>15421110</v>
      </c>
      <c r="E1694" s="100" t="str">
        <f aca="false">IF($C1694="","",IFERROR(IF(INDEX('REGISTRE TUBES'!$D$7:$D$2506,MATCH($C1694,'REGISTRE TUBES'!$B$7:$B$2506,0))="","",INDEX('REGISTRE TUBES'!$D$7:$D$2506,MATCH($C1694,'REGISTRE TUBES'!$B$7:$B$2506,0))),"?"))</f>
        <v/>
      </c>
      <c r="F1694" s="101" t="n">
        <f aca="false">IF($C1694="","",IFERROR(IF(INDEX('REGISTRE TUBES'!$F$7:$F$2506,MATCH($C1694,'REGISTRE TUBES'!$B$7:$B$2506,0))="","",INDEX('REGISTRE TUBES'!$F$7:$F$2506,MATCH($C1694,'REGISTRE TUBES'!$B$7:$B$2506,0))),"?"))</f>
        <v>11.94</v>
      </c>
      <c r="G1694" s="102" t="n">
        <f aca="false">IF($C1694="","",N(G1693)+N(F1694))</f>
        <v>13658.5500000001</v>
      </c>
      <c r="H1694" s="103" t="s">
        <v>2690</v>
      </c>
      <c r="I1694" s="104"/>
      <c r="J1694" s="105"/>
    </row>
    <row r="1695" customFormat="false" ht="15" hidden="false" customHeight="false" outlineLevel="0" collapsed="false">
      <c r="B1695" s="90" t="n">
        <v>1151</v>
      </c>
      <c r="C1695" s="91" t="n">
        <v>2087550</v>
      </c>
      <c r="D1695" s="92" t="n">
        <f aca="false">IF($C1695="","",IFERROR(IF(INDEX('REGISTRE TUBES'!$C$7:$C$2506,MATCH($C1695,'REGISTRE TUBES'!$B$7:$B$2506,0))="","",INDEX('REGISTRE TUBES'!$C$7:$C$2506,MATCH($C1695,'REGISTRE TUBES'!$B$7:$B$2506,0))),"?"))</f>
        <v>15421107</v>
      </c>
      <c r="E1695" s="92" t="str">
        <f aca="false">IF($C1695="","",IFERROR(IF(INDEX('REGISTRE TUBES'!$D$7:$D$2506,MATCH($C1695,'REGISTRE TUBES'!$B$7:$B$2506,0))="","",INDEX('REGISTRE TUBES'!$D$7:$D$2506,MATCH($C1695,'REGISTRE TUBES'!$B$7:$B$2506,0))),"?"))</f>
        <v/>
      </c>
      <c r="F1695" s="93" t="n">
        <f aca="false">IF($C1695="","",IFERROR(IF(INDEX('REGISTRE TUBES'!$F$7:$F$2506,MATCH($C1695,'REGISTRE TUBES'!$B$7:$B$2506,0))="","",INDEX('REGISTRE TUBES'!$F$7:$F$2506,MATCH($C1695,'REGISTRE TUBES'!$B$7:$B$2506,0))),"?"))</f>
        <v>11.94</v>
      </c>
      <c r="G1695" s="94" t="n">
        <f aca="false">IF($C1695="","",N(G1694)+N(F1695))</f>
        <v>13670.4900000001</v>
      </c>
      <c r="H1695" s="95" t="s">
        <v>2691</v>
      </c>
      <c r="I1695" s="96"/>
      <c r="J1695" s="97"/>
    </row>
    <row r="1696" customFormat="false" ht="15" hidden="false" customHeight="false" outlineLevel="0" collapsed="false">
      <c r="B1696" s="98" t="n">
        <v>1152</v>
      </c>
      <c r="C1696" s="99" t="n">
        <v>2086050</v>
      </c>
      <c r="D1696" s="100" t="n">
        <f aca="false">IF($C1696="","",IFERROR(IF(INDEX('REGISTRE TUBES'!$C$7:$C$2506,MATCH($C1696,'REGISTRE TUBES'!$B$7:$B$2506,0))="","",INDEX('REGISTRE TUBES'!$C$7:$C$2506,MATCH($C1696,'REGISTRE TUBES'!$B$7:$B$2506,0))),"?"))</f>
        <v>15421107</v>
      </c>
      <c r="E1696" s="100" t="str">
        <f aca="false">IF($C1696="","",IFERROR(IF(INDEX('REGISTRE TUBES'!$D$7:$D$2506,MATCH($C1696,'REGISTRE TUBES'!$B$7:$B$2506,0))="","",INDEX('REGISTRE TUBES'!$D$7:$D$2506,MATCH($C1696,'REGISTRE TUBES'!$B$7:$B$2506,0))),"?"))</f>
        <v/>
      </c>
      <c r="F1696" s="101" t="n">
        <f aca="false">IF($C1696="","",IFERROR(IF(INDEX('REGISTRE TUBES'!$F$7:$F$2506,MATCH($C1696,'REGISTRE TUBES'!$B$7:$B$2506,0))="","",INDEX('REGISTRE TUBES'!$F$7:$F$2506,MATCH($C1696,'REGISTRE TUBES'!$B$7:$B$2506,0))),"?"))</f>
        <v>11.94</v>
      </c>
      <c r="G1696" s="102" t="n">
        <f aca="false">IF($C1696="","",N(G1695)+N(F1696))</f>
        <v>13682.4300000001</v>
      </c>
      <c r="H1696" s="103" t="s">
        <v>2692</v>
      </c>
      <c r="I1696" s="104"/>
      <c r="J1696" s="105"/>
    </row>
    <row r="1697" customFormat="false" ht="15" hidden="false" customHeight="false" outlineLevel="0" collapsed="false">
      <c r="B1697" s="90" t="n">
        <v>1153</v>
      </c>
      <c r="C1697" s="91" t="n">
        <v>2084620</v>
      </c>
      <c r="D1697" s="92" t="n">
        <f aca="false">IF($C1697="","",IFERROR(IF(INDEX('REGISTRE TUBES'!$C$7:$C$2506,MATCH($C1697,'REGISTRE TUBES'!$B$7:$B$2506,0))="","",INDEX('REGISTRE TUBES'!$C$7:$C$2506,MATCH($C1697,'REGISTRE TUBES'!$B$7:$B$2506,0))),"?"))</f>
        <v>15421108</v>
      </c>
      <c r="E1697" s="92" t="str">
        <f aca="false">IF($C1697="","",IFERROR(IF(INDEX('REGISTRE TUBES'!$D$7:$D$2506,MATCH($C1697,'REGISTRE TUBES'!$B$7:$B$2506,0))="","",INDEX('REGISTRE TUBES'!$D$7:$D$2506,MATCH($C1697,'REGISTRE TUBES'!$B$7:$B$2506,0))),"?"))</f>
        <v/>
      </c>
      <c r="F1697" s="93" t="n">
        <f aca="false">IF($C1697="","",IFERROR(IF(INDEX('REGISTRE TUBES'!$F$7:$F$2506,MATCH($C1697,'REGISTRE TUBES'!$B$7:$B$2506,0))="","",INDEX('REGISTRE TUBES'!$F$7:$F$2506,MATCH($C1697,'REGISTRE TUBES'!$B$7:$B$2506,0))),"?"))</f>
        <v>11.94</v>
      </c>
      <c r="G1697" s="94" t="n">
        <f aca="false">IF($C1697="","",N(G1696)+N(F1697))</f>
        <v>13694.3700000001</v>
      </c>
      <c r="H1697" s="95" t="s">
        <v>2694</v>
      </c>
      <c r="I1697" s="96"/>
      <c r="J1697" s="97"/>
    </row>
    <row r="1698" customFormat="false" ht="15" hidden="false" customHeight="false" outlineLevel="0" collapsed="false">
      <c r="B1698" s="98" t="n">
        <v>1154</v>
      </c>
      <c r="C1698" s="99" t="n">
        <v>2084650</v>
      </c>
      <c r="D1698" s="100" t="n">
        <f aca="false">IF($C1698="","",IFERROR(IF(INDEX('REGISTRE TUBES'!$C$7:$C$2506,MATCH($C1698,'REGISTRE TUBES'!$B$7:$B$2506,0))="","",INDEX('REGISTRE TUBES'!$C$7:$C$2506,MATCH($C1698,'REGISTRE TUBES'!$B$7:$B$2506,0))),"?"))</f>
        <v>15421106</v>
      </c>
      <c r="E1698" s="100" t="str">
        <f aca="false">IF($C1698="","",IFERROR(IF(INDEX('REGISTRE TUBES'!$D$7:$D$2506,MATCH($C1698,'REGISTRE TUBES'!$B$7:$B$2506,0))="","",INDEX('REGISTRE TUBES'!$D$7:$D$2506,MATCH($C1698,'REGISTRE TUBES'!$B$7:$B$2506,0))),"?"))</f>
        <v/>
      </c>
      <c r="F1698" s="101" t="n">
        <f aca="false">IF($C1698="","",IFERROR(IF(INDEX('REGISTRE TUBES'!$F$7:$F$2506,MATCH($C1698,'REGISTRE TUBES'!$B$7:$B$2506,0))="","",INDEX('REGISTRE TUBES'!$F$7:$F$2506,MATCH($C1698,'REGISTRE TUBES'!$B$7:$B$2506,0))),"?"))</f>
        <v>11.94</v>
      </c>
      <c r="G1698" s="102" t="n">
        <f aca="false">IF($C1698="","",N(G1697)+N(F1698))</f>
        <v>13706.3100000001</v>
      </c>
      <c r="H1698" s="103" t="s">
        <v>2695</v>
      </c>
      <c r="I1698" s="104"/>
      <c r="J1698" s="105"/>
    </row>
    <row r="1699" customFormat="false" ht="15" hidden="false" customHeight="false" outlineLevel="0" collapsed="false">
      <c r="B1699" s="90" t="n">
        <v>1155</v>
      </c>
      <c r="C1699" s="91" t="n">
        <v>2087710</v>
      </c>
      <c r="D1699" s="92" t="n">
        <f aca="false">IF($C1699="","",IFERROR(IF(INDEX('REGISTRE TUBES'!$C$7:$C$2506,MATCH($C1699,'REGISTRE TUBES'!$B$7:$B$2506,0))="","",INDEX('REGISTRE TUBES'!$C$7:$C$2506,MATCH($C1699,'REGISTRE TUBES'!$B$7:$B$2506,0))),"?"))</f>
        <v>15421108</v>
      </c>
      <c r="E1699" s="92" t="str">
        <f aca="false">IF($C1699="","",IFERROR(IF(INDEX('REGISTRE TUBES'!$D$7:$D$2506,MATCH($C1699,'REGISTRE TUBES'!$B$7:$B$2506,0))="","",INDEX('REGISTRE TUBES'!$D$7:$D$2506,MATCH($C1699,'REGISTRE TUBES'!$B$7:$B$2506,0))),"?"))</f>
        <v/>
      </c>
      <c r="F1699" s="93" t="n">
        <f aca="false">IF($C1699="","",IFERROR(IF(INDEX('REGISTRE TUBES'!$F$7:$F$2506,MATCH($C1699,'REGISTRE TUBES'!$B$7:$B$2506,0))="","",INDEX('REGISTRE TUBES'!$F$7:$F$2506,MATCH($C1699,'REGISTRE TUBES'!$B$7:$B$2506,0))),"?"))</f>
        <v>11.94</v>
      </c>
      <c r="G1699" s="94" t="n">
        <f aca="false">IF($C1699="","",N(G1698)+N(F1699))</f>
        <v>13718.2500000001</v>
      </c>
      <c r="H1699" s="95" t="s">
        <v>2696</v>
      </c>
      <c r="I1699" s="96"/>
      <c r="J1699" s="97"/>
    </row>
    <row r="1700" customFormat="false" ht="15" hidden="false" customHeight="false" outlineLevel="0" collapsed="false">
      <c r="B1700" s="98" t="n">
        <v>1156</v>
      </c>
      <c r="C1700" s="99" t="n">
        <v>2098150</v>
      </c>
      <c r="D1700" s="100" t="n">
        <f aca="false">IF($C1700="","",IFERROR(IF(INDEX('REGISTRE TUBES'!$C$7:$C$2506,MATCH($C1700,'REGISTRE TUBES'!$B$7:$B$2506,0))="","",INDEX('REGISTRE TUBES'!$C$7:$C$2506,MATCH($C1700,'REGISTRE TUBES'!$B$7:$B$2506,0))),"?"))</f>
        <v>15421112</v>
      </c>
      <c r="E1700" s="100" t="str">
        <f aca="false">IF($C1700="","",IFERROR(IF(INDEX('REGISTRE TUBES'!$D$7:$D$2506,MATCH($C1700,'REGISTRE TUBES'!$B$7:$B$2506,0))="","",INDEX('REGISTRE TUBES'!$D$7:$D$2506,MATCH($C1700,'REGISTRE TUBES'!$B$7:$B$2506,0))),"?"))</f>
        <v/>
      </c>
      <c r="F1700" s="101" t="n">
        <f aca="false">IF($C1700="","",IFERROR(IF(INDEX('REGISTRE TUBES'!$F$7:$F$2506,MATCH($C1700,'REGISTRE TUBES'!$B$7:$B$2506,0))="","",INDEX('REGISTRE TUBES'!$F$7:$F$2506,MATCH($C1700,'REGISTRE TUBES'!$B$7:$B$2506,0))),"?"))</f>
        <v>11.94</v>
      </c>
      <c r="G1700" s="102" t="n">
        <f aca="false">IF($C1700="","",N(G1699)+N(F1700))</f>
        <v>13730.1900000001</v>
      </c>
      <c r="H1700" s="103" t="s">
        <v>2697</v>
      </c>
      <c r="I1700" s="104"/>
      <c r="J1700" s="105"/>
    </row>
    <row r="1701" customFormat="false" ht="15" hidden="false" customHeight="false" outlineLevel="0" collapsed="false">
      <c r="B1701" s="90" t="n">
        <v>1157</v>
      </c>
      <c r="C1701" s="91" t="n">
        <v>2097310</v>
      </c>
      <c r="D1701" s="92" t="n">
        <f aca="false">IF($C1701="","",IFERROR(IF(INDEX('REGISTRE TUBES'!$C$7:$C$2506,MATCH($C1701,'REGISTRE TUBES'!$B$7:$B$2506,0))="","",INDEX('REGISTRE TUBES'!$C$7:$C$2506,MATCH($C1701,'REGISTRE TUBES'!$B$7:$B$2506,0))),"?"))</f>
        <v>15421110</v>
      </c>
      <c r="E1701" s="92" t="str">
        <f aca="false">IF($C1701="","",IFERROR(IF(INDEX('REGISTRE TUBES'!$D$7:$D$2506,MATCH($C1701,'REGISTRE TUBES'!$B$7:$B$2506,0))="","",INDEX('REGISTRE TUBES'!$D$7:$D$2506,MATCH($C1701,'REGISTRE TUBES'!$B$7:$B$2506,0))),"?"))</f>
        <v/>
      </c>
      <c r="F1701" s="93" t="n">
        <f aca="false">IF($C1701="","",IFERROR(IF(INDEX('REGISTRE TUBES'!$F$7:$F$2506,MATCH($C1701,'REGISTRE TUBES'!$B$7:$B$2506,0))="","",INDEX('REGISTRE TUBES'!$F$7:$F$2506,MATCH($C1701,'REGISTRE TUBES'!$B$7:$B$2506,0))),"?"))</f>
        <v>11.94</v>
      </c>
      <c r="G1701" s="94" t="n">
        <f aca="false">IF($C1701="","",N(G1700)+N(F1701))</f>
        <v>13742.1300000001</v>
      </c>
      <c r="H1701" s="95" t="s">
        <v>2698</v>
      </c>
      <c r="I1701" s="96"/>
      <c r="J1701" s="97"/>
    </row>
    <row r="1702" customFormat="false" ht="15" hidden="false" customHeight="false" outlineLevel="0" collapsed="false">
      <c r="B1702" s="98" t="n">
        <v>1158</v>
      </c>
      <c r="C1702" s="99" t="n">
        <v>2085520</v>
      </c>
      <c r="D1702" s="100" t="n">
        <f aca="false">IF($C1702="","",IFERROR(IF(INDEX('REGISTRE TUBES'!$C$7:$C$2506,MATCH($C1702,'REGISTRE TUBES'!$B$7:$B$2506,0))="","",INDEX('REGISTRE TUBES'!$C$7:$C$2506,MATCH($C1702,'REGISTRE TUBES'!$B$7:$B$2506,0))),"?"))</f>
        <v>15421107</v>
      </c>
      <c r="E1702" s="100" t="str">
        <f aca="false">IF($C1702="","",IFERROR(IF(INDEX('REGISTRE TUBES'!$D$7:$D$2506,MATCH($C1702,'REGISTRE TUBES'!$B$7:$B$2506,0))="","",INDEX('REGISTRE TUBES'!$D$7:$D$2506,MATCH($C1702,'REGISTRE TUBES'!$B$7:$B$2506,0))),"?"))</f>
        <v/>
      </c>
      <c r="F1702" s="101" t="n">
        <f aca="false">IF($C1702="","",IFERROR(IF(INDEX('REGISTRE TUBES'!$F$7:$F$2506,MATCH($C1702,'REGISTRE TUBES'!$B$7:$B$2506,0))="","",INDEX('REGISTRE TUBES'!$F$7:$F$2506,MATCH($C1702,'REGISTRE TUBES'!$B$7:$B$2506,0))),"?"))</f>
        <v>11.94</v>
      </c>
      <c r="G1702" s="102" t="n">
        <f aca="false">IF($C1702="","",N(G1701)+N(F1702))</f>
        <v>13754.0700000001</v>
      </c>
      <c r="H1702" s="103" t="s">
        <v>2701</v>
      </c>
      <c r="I1702" s="104"/>
      <c r="J1702" s="105"/>
    </row>
    <row r="1703" customFormat="false" ht="15" hidden="false" customHeight="false" outlineLevel="0" collapsed="false">
      <c r="B1703" s="90" t="n">
        <v>1159</v>
      </c>
      <c r="C1703" s="91" t="n">
        <v>2094090</v>
      </c>
      <c r="D1703" s="92" t="n">
        <f aca="false">IF($C1703="","",IFERROR(IF(INDEX('REGISTRE TUBES'!$C$7:$C$2506,MATCH($C1703,'REGISTRE TUBES'!$B$7:$B$2506,0))="","",INDEX('REGISTRE TUBES'!$C$7:$C$2506,MATCH($C1703,'REGISTRE TUBES'!$B$7:$B$2506,0))),"?"))</f>
        <v>15421110</v>
      </c>
      <c r="E1703" s="92" t="str">
        <f aca="false">IF($C1703="","",IFERROR(IF(INDEX('REGISTRE TUBES'!$D$7:$D$2506,MATCH($C1703,'REGISTRE TUBES'!$B$7:$B$2506,0))="","",INDEX('REGISTRE TUBES'!$D$7:$D$2506,MATCH($C1703,'REGISTRE TUBES'!$B$7:$B$2506,0))),"?"))</f>
        <v/>
      </c>
      <c r="F1703" s="93" t="n">
        <f aca="false">IF($C1703="","",IFERROR(IF(INDEX('REGISTRE TUBES'!$F$7:$F$2506,MATCH($C1703,'REGISTRE TUBES'!$B$7:$B$2506,0))="","",INDEX('REGISTRE TUBES'!$F$7:$F$2506,MATCH($C1703,'REGISTRE TUBES'!$B$7:$B$2506,0))),"?"))</f>
        <v>11.94</v>
      </c>
      <c r="G1703" s="94" t="n">
        <f aca="false">IF($C1703="","",N(G1702)+N(F1703))</f>
        <v>13766.0100000001</v>
      </c>
      <c r="H1703" s="95" t="s">
        <v>2702</v>
      </c>
      <c r="I1703" s="96"/>
      <c r="J1703" s="97"/>
    </row>
    <row r="1704" customFormat="false" ht="15" hidden="false" customHeight="true" outlineLevel="0" collapsed="false">
      <c r="B1704" s="106" t="s">
        <v>3031</v>
      </c>
      <c r="C1704" s="106"/>
      <c r="D1704" s="106"/>
      <c r="E1704" s="106"/>
      <c r="F1704" s="107" t="n">
        <f aca="false">SUM(F1685:F1703)</f>
        <v>226.86</v>
      </c>
      <c r="G1704" s="108" t="n">
        <f aca="false">IF(COUNT(G1685:G1703)=0,"",MAX(G1685:G1703))</f>
        <v>13766.0100000001</v>
      </c>
      <c r="H1704" s="106" t="str">
        <f aca="false">COUNTA(C1685:C1703)&amp;" tube(s)"</f>
        <v>19 tube(s)</v>
      </c>
      <c r="I1704" s="106"/>
      <c r="J1704" s="106"/>
    </row>
    <row r="1706" customFormat="false" ht="15" hidden="false" customHeight="false" outlineLevel="0" collapsed="false">
      <c r="B1706" s="109" t="s">
        <v>3032</v>
      </c>
      <c r="F1706" s="109" t="s">
        <v>3033</v>
      </c>
      <c r="I1706" s="109" t="s">
        <v>3034</v>
      </c>
    </row>
    <row r="1709" customFormat="false" ht="25.5" hidden="false" customHeight="true" outlineLevel="0" collapsed="false">
      <c r="B1709" s="85" t="s">
        <v>3015</v>
      </c>
      <c r="C1709" s="85"/>
      <c r="D1709" s="85"/>
      <c r="E1709" s="85"/>
      <c r="F1709" s="85"/>
      <c r="G1709" s="85"/>
      <c r="H1709" s="85"/>
      <c r="I1709" s="85"/>
      <c r="J1709" s="85"/>
    </row>
    <row r="1710" customFormat="false" ht="15" hidden="false" customHeight="false" outlineLevel="0" collapsed="false">
      <c r="B1710" s="86" t="str">
        <f aca="false">PARAMÈTRES!$C$4&amp;"   •   Affaire N° "&amp;PARAMÈTRES!$C$5</f>
        <v>Développement des champs gaziers TFT II — réseau de collecte TFT Sud (LIGNE-16)   •   Affaire N° 8546</v>
      </c>
      <c r="C1710" s="86"/>
      <c r="D1710" s="86"/>
      <c r="E1710" s="86"/>
      <c r="F1710" s="86"/>
      <c r="G1710" s="86"/>
      <c r="H1710" s="86"/>
      <c r="I1710" s="86"/>
      <c r="J1710" s="86"/>
    </row>
    <row r="1711" customFormat="false" ht="19.5" hidden="false" customHeight="true" outlineLevel="0" collapsed="false">
      <c r="B1711" s="87" t="s">
        <v>3016</v>
      </c>
      <c r="C1711" s="88" t="s">
        <v>110</v>
      </c>
      <c r="D1711" s="88"/>
      <c r="E1711" s="87" t="s">
        <v>3017</v>
      </c>
      <c r="F1711" s="88" t="s">
        <v>3155</v>
      </c>
      <c r="G1711" s="87" t="s">
        <v>3019</v>
      </c>
      <c r="H1711" s="88" t="s">
        <v>3156</v>
      </c>
      <c r="I1711" s="87" t="s">
        <v>3021</v>
      </c>
      <c r="J1711" s="89"/>
    </row>
    <row r="1712" customFormat="false" ht="27.75" hidden="false" customHeight="true" outlineLevel="0" collapsed="false">
      <c r="B1712" s="71" t="s">
        <v>3022</v>
      </c>
      <c r="C1712" s="71" t="s">
        <v>3023</v>
      </c>
      <c r="D1712" s="71" t="s">
        <v>3024</v>
      </c>
      <c r="E1712" s="71" t="s">
        <v>3025</v>
      </c>
      <c r="F1712" s="71" t="s">
        <v>3026</v>
      </c>
      <c r="G1712" s="71" t="s">
        <v>3027</v>
      </c>
      <c r="H1712" s="71" t="s">
        <v>3028</v>
      </c>
      <c r="I1712" s="71" t="s">
        <v>3029</v>
      </c>
      <c r="J1712" s="71" t="s">
        <v>3030</v>
      </c>
    </row>
    <row r="1713" customFormat="false" ht="15" hidden="false" customHeight="false" outlineLevel="0" collapsed="false">
      <c r="B1713" s="90" t="n">
        <v>1160</v>
      </c>
      <c r="C1713" s="91" t="n">
        <v>2085550</v>
      </c>
      <c r="D1713" s="92" t="n">
        <f aca="false">IF($C1713="","",IFERROR(IF(INDEX('REGISTRE TUBES'!$C$7:$C$2506,MATCH($C1713,'REGISTRE TUBES'!$B$7:$B$2506,0))="","",INDEX('REGISTRE TUBES'!$C$7:$C$2506,MATCH($C1713,'REGISTRE TUBES'!$B$7:$B$2506,0))),"?"))</f>
        <v>15421107</v>
      </c>
      <c r="E1713" s="92" t="str">
        <f aca="false">IF($C1713="","",IFERROR(IF(INDEX('REGISTRE TUBES'!$D$7:$D$2506,MATCH($C1713,'REGISTRE TUBES'!$B$7:$B$2506,0))="","",INDEX('REGISTRE TUBES'!$D$7:$D$2506,MATCH($C1713,'REGISTRE TUBES'!$B$7:$B$2506,0))),"?"))</f>
        <v/>
      </c>
      <c r="F1713" s="93" t="n">
        <f aca="false">IF($C1713="","",IFERROR(IF(INDEX('REGISTRE TUBES'!$F$7:$F$2506,MATCH($C1713,'REGISTRE TUBES'!$B$7:$B$2506,0))="","",INDEX('REGISTRE TUBES'!$F$7:$F$2506,MATCH($C1713,'REGISTRE TUBES'!$B$7:$B$2506,0))),"?"))</f>
        <v>11.94</v>
      </c>
      <c r="G1713" s="94" t="n">
        <f aca="false">IF($C1713="","",N(G1703)+N(F1713))</f>
        <v>13777.9500000001</v>
      </c>
      <c r="H1713" s="95" t="s">
        <v>2703</v>
      </c>
      <c r="I1713" s="96"/>
      <c r="J1713" s="97"/>
    </row>
    <row r="1714" customFormat="false" ht="15" hidden="false" customHeight="false" outlineLevel="0" collapsed="false">
      <c r="B1714" s="98" t="n">
        <v>1161</v>
      </c>
      <c r="C1714" s="99" t="n">
        <v>2082170</v>
      </c>
      <c r="D1714" s="100" t="n">
        <f aca="false">IF($C1714="","",IFERROR(IF(INDEX('REGISTRE TUBES'!$C$7:$C$2506,MATCH($C1714,'REGISTRE TUBES'!$B$7:$B$2506,0))="","",INDEX('REGISTRE TUBES'!$C$7:$C$2506,MATCH($C1714,'REGISTRE TUBES'!$B$7:$B$2506,0))),"?"))</f>
        <v>15421104</v>
      </c>
      <c r="E1714" s="100" t="str">
        <f aca="false">IF($C1714="","",IFERROR(IF(INDEX('REGISTRE TUBES'!$D$7:$D$2506,MATCH($C1714,'REGISTRE TUBES'!$B$7:$B$2506,0))="","",INDEX('REGISTRE TUBES'!$D$7:$D$2506,MATCH($C1714,'REGISTRE TUBES'!$B$7:$B$2506,0))),"?"))</f>
        <v/>
      </c>
      <c r="F1714" s="101" t="n">
        <f aca="false">IF($C1714="","",IFERROR(IF(INDEX('REGISTRE TUBES'!$F$7:$F$2506,MATCH($C1714,'REGISTRE TUBES'!$B$7:$B$2506,0))="","",INDEX('REGISTRE TUBES'!$F$7:$F$2506,MATCH($C1714,'REGISTRE TUBES'!$B$7:$B$2506,0))),"?"))</f>
        <v>11.94</v>
      </c>
      <c r="G1714" s="102" t="n">
        <f aca="false">IF($C1714="","",N(G1713)+N(F1714))</f>
        <v>13789.8900000001</v>
      </c>
      <c r="H1714" s="103" t="s">
        <v>2704</v>
      </c>
      <c r="I1714" s="104"/>
      <c r="J1714" s="105"/>
    </row>
    <row r="1715" customFormat="false" ht="15" hidden="false" customHeight="false" outlineLevel="0" collapsed="false">
      <c r="B1715" s="90" t="n">
        <v>1162</v>
      </c>
      <c r="C1715" s="91" t="n">
        <v>2079250</v>
      </c>
      <c r="D1715" s="92" t="n">
        <f aca="false">IF($C1715="","",IFERROR(IF(INDEX('REGISTRE TUBES'!$C$7:$C$2506,MATCH($C1715,'REGISTRE TUBES'!$B$7:$B$2506,0))="","",INDEX('REGISTRE TUBES'!$C$7:$C$2506,MATCH($C1715,'REGISTRE TUBES'!$B$7:$B$2506,0))),"?"))</f>
        <v>15421102</v>
      </c>
      <c r="E1715" s="92" t="str">
        <f aca="false">IF($C1715="","",IFERROR(IF(INDEX('REGISTRE TUBES'!$D$7:$D$2506,MATCH($C1715,'REGISTRE TUBES'!$B$7:$B$2506,0))="","",INDEX('REGISTRE TUBES'!$D$7:$D$2506,MATCH($C1715,'REGISTRE TUBES'!$B$7:$B$2506,0))),"?"))</f>
        <v/>
      </c>
      <c r="F1715" s="93" t="n">
        <f aca="false">IF($C1715="","",IFERROR(IF(INDEX('REGISTRE TUBES'!$F$7:$F$2506,MATCH($C1715,'REGISTRE TUBES'!$B$7:$B$2506,0))="","",INDEX('REGISTRE TUBES'!$F$7:$F$2506,MATCH($C1715,'REGISTRE TUBES'!$B$7:$B$2506,0))),"?"))</f>
        <v>11.94</v>
      </c>
      <c r="G1715" s="94" t="n">
        <f aca="false">IF($C1715="","",N(G1714)+N(F1715))</f>
        <v>13801.8300000001</v>
      </c>
      <c r="H1715" s="95" t="s">
        <v>2707</v>
      </c>
      <c r="I1715" s="96"/>
      <c r="J1715" s="97"/>
    </row>
    <row r="1716" customFormat="false" ht="15" hidden="false" customHeight="false" outlineLevel="0" collapsed="false">
      <c r="B1716" s="98" t="n">
        <v>1163</v>
      </c>
      <c r="C1716" s="99" t="n">
        <v>2084150</v>
      </c>
      <c r="D1716" s="100" t="n">
        <f aca="false">IF($C1716="","",IFERROR(IF(INDEX('REGISTRE TUBES'!$C$7:$C$2506,MATCH($C1716,'REGISTRE TUBES'!$B$7:$B$2506,0))="","",INDEX('REGISTRE TUBES'!$C$7:$C$2506,MATCH($C1716,'REGISTRE TUBES'!$B$7:$B$2506,0))),"?"))</f>
        <v>15421106</v>
      </c>
      <c r="E1716" s="100" t="str">
        <f aca="false">IF($C1716="","",IFERROR(IF(INDEX('REGISTRE TUBES'!$D$7:$D$2506,MATCH($C1716,'REGISTRE TUBES'!$B$7:$B$2506,0))="","",INDEX('REGISTRE TUBES'!$D$7:$D$2506,MATCH($C1716,'REGISTRE TUBES'!$B$7:$B$2506,0))),"?"))</f>
        <v/>
      </c>
      <c r="F1716" s="101" t="n">
        <f aca="false">IF($C1716="","",IFERROR(IF(INDEX('REGISTRE TUBES'!$F$7:$F$2506,MATCH($C1716,'REGISTRE TUBES'!$B$7:$B$2506,0))="","",INDEX('REGISTRE TUBES'!$F$7:$F$2506,MATCH($C1716,'REGISTRE TUBES'!$B$7:$B$2506,0))),"?"))</f>
        <v>11.94</v>
      </c>
      <c r="G1716" s="102" t="n">
        <f aca="false">IF($C1716="","",N(G1715)+N(F1716))</f>
        <v>13813.7700000001</v>
      </c>
      <c r="H1716" s="103" t="s">
        <v>2710</v>
      </c>
      <c r="I1716" s="104"/>
      <c r="J1716" s="105"/>
    </row>
    <row r="1717" customFormat="false" ht="15" hidden="false" customHeight="false" outlineLevel="0" collapsed="false">
      <c r="B1717" s="90" t="n">
        <v>1164</v>
      </c>
      <c r="C1717" s="91" t="n">
        <v>2084950</v>
      </c>
      <c r="D1717" s="92" t="n">
        <f aca="false">IF($C1717="","",IFERROR(IF(INDEX('REGISTRE TUBES'!$C$7:$C$2506,MATCH($C1717,'REGISTRE TUBES'!$B$7:$B$2506,0))="","",INDEX('REGISTRE TUBES'!$C$7:$C$2506,MATCH($C1717,'REGISTRE TUBES'!$B$7:$B$2506,0))),"?"))</f>
        <v>15421106</v>
      </c>
      <c r="E1717" s="92" t="str">
        <f aca="false">IF($C1717="","",IFERROR(IF(INDEX('REGISTRE TUBES'!$D$7:$D$2506,MATCH($C1717,'REGISTRE TUBES'!$B$7:$B$2506,0))="","",INDEX('REGISTRE TUBES'!$D$7:$D$2506,MATCH($C1717,'REGISTRE TUBES'!$B$7:$B$2506,0))),"?"))</f>
        <v/>
      </c>
      <c r="F1717" s="93" t="n">
        <f aca="false">IF($C1717="","",IFERROR(IF(INDEX('REGISTRE TUBES'!$F$7:$F$2506,MATCH($C1717,'REGISTRE TUBES'!$B$7:$B$2506,0))="","",INDEX('REGISTRE TUBES'!$F$7:$F$2506,MATCH($C1717,'REGISTRE TUBES'!$B$7:$B$2506,0))),"?"))</f>
        <v>11.94</v>
      </c>
      <c r="G1717" s="94" t="n">
        <f aca="false">IF($C1717="","",N(G1716)+N(F1717))</f>
        <v>13825.7100000001</v>
      </c>
      <c r="H1717" s="95" t="s">
        <v>2715</v>
      </c>
      <c r="I1717" s="96"/>
      <c r="J1717" s="97"/>
    </row>
    <row r="1718" customFormat="false" ht="15" hidden="false" customHeight="false" outlineLevel="0" collapsed="false">
      <c r="B1718" s="98" t="n">
        <v>1165</v>
      </c>
      <c r="C1718" s="99" t="n">
        <v>2086630</v>
      </c>
      <c r="D1718" s="100" t="n">
        <f aca="false">IF($C1718="","",IFERROR(IF(INDEX('REGISTRE TUBES'!$C$7:$C$2506,MATCH($C1718,'REGISTRE TUBES'!$B$7:$B$2506,0))="","",INDEX('REGISTRE TUBES'!$C$7:$C$2506,MATCH($C1718,'REGISTRE TUBES'!$B$7:$B$2506,0))),"?"))</f>
        <v>15421107</v>
      </c>
      <c r="E1718" s="100" t="str">
        <f aca="false">IF($C1718="","",IFERROR(IF(INDEX('REGISTRE TUBES'!$D$7:$D$2506,MATCH($C1718,'REGISTRE TUBES'!$B$7:$B$2506,0))="","",INDEX('REGISTRE TUBES'!$D$7:$D$2506,MATCH($C1718,'REGISTRE TUBES'!$B$7:$B$2506,0))),"?"))</f>
        <v/>
      </c>
      <c r="F1718" s="101" t="n">
        <f aca="false">IF($C1718="","",IFERROR(IF(INDEX('REGISTRE TUBES'!$F$7:$F$2506,MATCH($C1718,'REGISTRE TUBES'!$B$7:$B$2506,0))="","",INDEX('REGISTRE TUBES'!$F$7:$F$2506,MATCH($C1718,'REGISTRE TUBES'!$B$7:$B$2506,0))),"?"))</f>
        <v>11.94</v>
      </c>
      <c r="G1718" s="102" t="n">
        <f aca="false">IF($C1718="","",N(G1717)+N(F1718))</f>
        <v>13837.6500000001</v>
      </c>
      <c r="H1718" s="103" t="s">
        <v>2717</v>
      </c>
      <c r="I1718" s="104"/>
      <c r="J1718" s="105"/>
    </row>
    <row r="1719" customFormat="false" ht="15" hidden="false" customHeight="false" outlineLevel="0" collapsed="false">
      <c r="B1719" s="90" t="n">
        <v>1166</v>
      </c>
      <c r="C1719" s="91" t="n">
        <v>2086640</v>
      </c>
      <c r="D1719" s="92" t="n">
        <f aca="false">IF($C1719="","",IFERROR(IF(INDEX('REGISTRE TUBES'!$C$7:$C$2506,MATCH($C1719,'REGISTRE TUBES'!$B$7:$B$2506,0))="","",INDEX('REGISTRE TUBES'!$C$7:$C$2506,MATCH($C1719,'REGISTRE TUBES'!$B$7:$B$2506,0))),"?"))</f>
        <v>15421107</v>
      </c>
      <c r="E1719" s="92" t="str">
        <f aca="false">IF($C1719="","",IFERROR(IF(INDEX('REGISTRE TUBES'!$D$7:$D$2506,MATCH($C1719,'REGISTRE TUBES'!$B$7:$B$2506,0))="","",INDEX('REGISTRE TUBES'!$D$7:$D$2506,MATCH($C1719,'REGISTRE TUBES'!$B$7:$B$2506,0))),"?"))</f>
        <v/>
      </c>
      <c r="F1719" s="93" t="n">
        <f aca="false">IF($C1719="","",IFERROR(IF(INDEX('REGISTRE TUBES'!$F$7:$F$2506,MATCH($C1719,'REGISTRE TUBES'!$B$7:$B$2506,0))="","",INDEX('REGISTRE TUBES'!$F$7:$F$2506,MATCH($C1719,'REGISTRE TUBES'!$B$7:$B$2506,0))),"?"))</f>
        <v>11.94</v>
      </c>
      <c r="G1719" s="94" t="n">
        <f aca="false">IF($C1719="","",N(G1718)+N(F1719))</f>
        <v>13849.5900000001</v>
      </c>
      <c r="H1719" s="95" t="s">
        <v>2718</v>
      </c>
      <c r="I1719" s="96"/>
      <c r="J1719" s="97"/>
    </row>
    <row r="1720" customFormat="false" ht="15" hidden="false" customHeight="false" outlineLevel="0" collapsed="false">
      <c r="B1720" s="98" t="n">
        <v>1167</v>
      </c>
      <c r="C1720" s="99" t="n">
        <v>2086540</v>
      </c>
      <c r="D1720" s="100" t="n">
        <f aca="false">IF($C1720="","",IFERROR(IF(INDEX('REGISTRE TUBES'!$C$7:$C$2506,MATCH($C1720,'REGISTRE TUBES'!$B$7:$B$2506,0))="","",INDEX('REGISTRE TUBES'!$C$7:$C$2506,MATCH($C1720,'REGISTRE TUBES'!$B$7:$B$2506,0))),"?"))</f>
        <v>15421107</v>
      </c>
      <c r="E1720" s="100" t="str">
        <f aca="false">IF($C1720="","",IFERROR(IF(INDEX('REGISTRE TUBES'!$D$7:$D$2506,MATCH($C1720,'REGISTRE TUBES'!$B$7:$B$2506,0))="","",INDEX('REGISTRE TUBES'!$D$7:$D$2506,MATCH($C1720,'REGISTRE TUBES'!$B$7:$B$2506,0))),"?"))</f>
        <v/>
      </c>
      <c r="F1720" s="101" t="n">
        <f aca="false">IF($C1720="","",IFERROR(IF(INDEX('REGISTRE TUBES'!$F$7:$F$2506,MATCH($C1720,'REGISTRE TUBES'!$B$7:$B$2506,0))="","",INDEX('REGISTRE TUBES'!$F$7:$F$2506,MATCH($C1720,'REGISTRE TUBES'!$B$7:$B$2506,0))),"?"))</f>
        <v>11.94</v>
      </c>
      <c r="G1720" s="102" t="n">
        <f aca="false">IF($C1720="","",N(G1719)+N(F1720))</f>
        <v>13861.5300000001</v>
      </c>
      <c r="H1720" s="103" t="s">
        <v>2719</v>
      </c>
      <c r="I1720" s="104"/>
      <c r="J1720" s="105"/>
    </row>
    <row r="1721" customFormat="false" ht="15" hidden="false" customHeight="false" outlineLevel="0" collapsed="false">
      <c r="B1721" s="90" t="n">
        <v>1168</v>
      </c>
      <c r="C1721" s="91" t="n">
        <v>2084180</v>
      </c>
      <c r="D1721" s="92" t="n">
        <f aca="false">IF($C1721="","",IFERROR(IF(INDEX('REGISTRE TUBES'!$C$7:$C$2506,MATCH($C1721,'REGISTRE TUBES'!$B$7:$B$2506,0))="","",INDEX('REGISTRE TUBES'!$C$7:$C$2506,MATCH($C1721,'REGISTRE TUBES'!$B$7:$B$2506,0))),"?"))</f>
        <v>15421106</v>
      </c>
      <c r="E1721" s="92" t="str">
        <f aca="false">IF($C1721="","",IFERROR(IF(INDEX('REGISTRE TUBES'!$D$7:$D$2506,MATCH($C1721,'REGISTRE TUBES'!$B$7:$B$2506,0))="","",INDEX('REGISTRE TUBES'!$D$7:$D$2506,MATCH($C1721,'REGISTRE TUBES'!$B$7:$B$2506,0))),"?"))</f>
        <v/>
      </c>
      <c r="F1721" s="93" t="n">
        <f aca="false">IF($C1721="","",IFERROR(IF(INDEX('REGISTRE TUBES'!$F$7:$F$2506,MATCH($C1721,'REGISTRE TUBES'!$B$7:$B$2506,0))="","",INDEX('REGISTRE TUBES'!$F$7:$F$2506,MATCH($C1721,'REGISTRE TUBES'!$B$7:$B$2506,0))),"?"))</f>
        <v>11.94</v>
      </c>
      <c r="G1721" s="94" t="n">
        <f aca="false">IF($C1721="","",N(G1720)+N(F1721))</f>
        <v>13873.4700000001</v>
      </c>
      <c r="H1721" s="95" t="s">
        <v>2721</v>
      </c>
      <c r="I1721" s="96"/>
      <c r="J1721" s="97"/>
    </row>
    <row r="1722" customFormat="false" ht="15" hidden="false" customHeight="false" outlineLevel="0" collapsed="false">
      <c r="B1722" s="98" t="n">
        <v>1169</v>
      </c>
      <c r="C1722" s="99" t="n">
        <v>2096790</v>
      </c>
      <c r="D1722" s="100" t="n">
        <f aca="false">IF($C1722="","",IFERROR(IF(INDEX('REGISTRE TUBES'!$C$7:$C$2506,MATCH($C1722,'REGISTRE TUBES'!$B$7:$B$2506,0))="","",INDEX('REGISTRE TUBES'!$C$7:$C$2506,MATCH($C1722,'REGISTRE TUBES'!$B$7:$B$2506,0))),"?"))</f>
        <v>15421111</v>
      </c>
      <c r="E1722" s="100" t="str">
        <f aca="false">IF($C1722="","",IFERROR(IF(INDEX('REGISTRE TUBES'!$D$7:$D$2506,MATCH($C1722,'REGISTRE TUBES'!$B$7:$B$2506,0))="","",INDEX('REGISTRE TUBES'!$D$7:$D$2506,MATCH($C1722,'REGISTRE TUBES'!$B$7:$B$2506,0))),"?"))</f>
        <v/>
      </c>
      <c r="F1722" s="101" t="n">
        <f aca="false">IF($C1722="","",IFERROR(IF(INDEX('REGISTRE TUBES'!$F$7:$F$2506,MATCH($C1722,'REGISTRE TUBES'!$B$7:$B$2506,0))="","",INDEX('REGISTRE TUBES'!$F$7:$F$2506,MATCH($C1722,'REGISTRE TUBES'!$B$7:$B$2506,0))),"?"))</f>
        <v>11.94</v>
      </c>
      <c r="G1722" s="102" t="n">
        <f aca="false">IF($C1722="","",N(G1721)+N(F1722))</f>
        <v>13885.4100000001</v>
      </c>
      <c r="H1722" s="103" t="s">
        <v>2722</v>
      </c>
      <c r="I1722" s="104"/>
      <c r="J1722" s="105"/>
    </row>
    <row r="1723" customFormat="false" ht="15" hidden="false" customHeight="false" outlineLevel="0" collapsed="false">
      <c r="B1723" s="90" t="n">
        <v>1170</v>
      </c>
      <c r="C1723" s="91" t="n">
        <v>2083930</v>
      </c>
      <c r="D1723" s="92" t="n">
        <f aca="false">IF($C1723="","",IFERROR(IF(INDEX('REGISTRE TUBES'!$C$7:$C$2506,MATCH($C1723,'REGISTRE TUBES'!$B$7:$B$2506,0))="","",INDEX('REGISTRE TUBES'!$C$7:$C$2506,MATCH($C1723,'REGISTRE TUBES'!$B$7:$B$2506,0))),"?"))</f>
        <v>15421106</v>
      </c>
      <c r="E1723" s="92" t="str">
        <f aca="false">IF($C1723="","",IFERROR(IF(INDEX('REGISTRE TUBES'!$D$7:$D$2506,MATCH($C1723,'REGISTRE TUBES'!$B$7:$B$2506,0))="","",INDEX('REGISTRE TUBES'!$D$7:$D$2506,MATCH($C1723,'REGISTRE TUBES'!$B$7:$B$2506,0))),"?"))</f>
        <v/>
      </c>
      <c r="F1723" s="93" t="n">
        <f aca="false">IF($C1723="","",IFERROR(IF(INDEX('REGISTRE TUBES'!$F$7:$F$2506,MATCH($C1723,'REGISTRE TUBES'!$B$7:$B$2506,0))="","",INDEX('REGISTRE TUBES'!$F$7:$F$2506,MATCH($C1723,'REGISTRE TUBES'!$B$7:$B$2506,0))),"?"))</f>
        <v>11.94</v>
      </c>
      <c r="G1723" s="94" t="n">
        <f aca="false">IF($C1723="","",N(G1722)+N(F1723))</f>
        <v>13897.3500000001</v>
      </c>
      <c r="H1723" s="95" t="s">
        <v>2723</v>
      </c>
      <c r="I1723" s="96"/>
      <c r="J1723" s="97"/>
    </row>
    <row r="1724" customFormat="false" ht="15" hidden="false" customHeight="false" outlineLevel="0" collapsed="false">
      <c r="B1724" s="98" t="n">
        <v>1171</v>
      </c>
      <c r="C1724" s="99" t="n">
        <v>2093010</v>
      </c>
      <c r="D1724" s="100" t="n">
        <f aca="false">IF($C1724="","",IFERROR(IF(INDEX('REGISTRE TUBES'!$C$7:$C$2506,MATCH($C1724,'REGISTRE TUBES'!$B$7:$B$2506,0))="","",INDEX('REGISTRE TUBES'!$C$7:$C$2506,MATCH($C1724,'REGISTRE TUBES'!$B$7:$B$2506,0))),"?"))</f>
        <v>15421110</v>
      </c>
      <c r="E1724" s="100" t="str">
        <f aca="false">IF($C1724="","",IFERROR(IF(INDEX('REGISTRE TUBES'!$D$7:$D$2506,MATCH($C1724,'REGISTRE TUBES'!$B$7:$B$2506,0))="","",INDEX('REGISTRE TUBES'!$D$7:$D$2506,MATCH($C1724,'REGISTRE TUBES'!$B$7:$B$2506,0))),"?"))</f>
        <v/>
      </c>
      <c r="F1724" s="101" t="n">
        <f aca="false">IF($C1724="","",IFERROR(IF(INDEX('REGISTRE TUBES'!$F$7:$F$2506,MATCH($C1724,'REGISTRE TUBES'!$B$7:$B$2506,0))="","",INDEX('REGISTRE TUBES'!$F$7:$F$2506,MATCH($C1724,'REGISTRE TUBES'!$B$7:$B$2506,0))),"?"))</f>
        <v>11.94</v>
      </c>
      <c r="G1724" s="102" t="n">
        <f aca="false">IF($C1724="","",N(G1723)+N(F1724))</f>
        <v>13909.2900000001</v>
      </c>
      <c r="H1724" s="103" t="s">
        <v>2724</v>
      </c>
      <c r="I1724" s="104"/>
      <c r="J1724" s="105"/>
    </row>
    <row r="1725" customFormat="false" ht="15" hidden="false" customHeight="false" outlineLevel="0" collapsed="false">
      <c r="B1725" s="90" t="n">
        <v>1172</v>
      </c>
      <c r="C1725" s="91" t="n">
        <v>2095170</v>
      </c>
      <c r="D1725" s="92" t="n">
        <f aca="false">IF($C1725="","",IFERROR(IF(INDEX('REGISTRE TUBES'!$C$7:$C$2506,MATCH($C1725,'REGISTRE TUBES'!$B$7:$B$2506,0))="","",INDEX('REGISTRE TUBES'!$C$7:$C$2506,MATCH($C1725,'REGISTRE TUBES'!$B$7:$B$2506,0))),"?"))</f>
        <v>15421111</v>
      </c>
      <c r="E1725" s="92" t="str">
        <f aca="false">IF($C1725="","",IFERROR(IF(INDEX('REGISTRE TUBES'!$D$7:$D$2506,MATCH($C1725,'REGISTRE TUBES'!$B$7:$B$2506,0))="","",INDEX('REGISTRE TUBES'!$D$7:$D$2506,MATCH($C1725,'REGISTRE TUBES'!$B$7:$B$2506,0))),"?"))</f>
        <v/>
      </c>
      <c r="F1725" s="93" t="n">
        <f aca="false">IF($C1725="","",IFERROR(IF(INDEX('REGISTRE TUBES'!$F$7:$F$2506,MATCH($C1725,'REGISTRE TUBES'!$B$7:$B$2506,0))="","",INDEX('REGISTRE TUBES'!$F$7:$F$2506,MATCH($C1725,'REGISTRE TUBES'!$B$7:$B$2506,0))),"?"))</f>
        <v>11.94</v>
      </c>
      <c r="G1725" s="94" t="n">
        <f aca="false">IF($C1725="","",N(G1724)+N(F1725))</f>
        <v>13921.2300000001</v>
      </c>
      <c r="H1725" s="95" t="s">
        <v>2725</v>
      </c>
      <c r="I1725" s="96"/>
      <c r="J1725" s="97"/>
    </row>
    <row r="1726" customFormat="false" ht="15" hidden="false" customHeight="false" outlineLevel="0" collapsed="false">
      <c r="B1726" s="98" t="n">
        <v>1173</v>
      </c>
      <c r="C1726" s="99" t="n">
        <v>2081890</v>
      </c>
      <c r="D1726" s="100" t="n">
        <f aca="false">IF($C1726="","",IFERROR(IF(INDEX('REGISTRE TUBES'!$C$7:$C$2506,MATCH($C1726,'REGISTRE TUBES'!$B$7:$B$2506,0))="","",INDEX('REGISTRE TUBES'!$C$7:$C$2506,MATCH($C1726,'REGISTRE TUBES'!$B$7:$B$2506,0))),"?"))</f>
        <v>15421104</v>
      </c>
      <c r="E1726" s="100" t="str">
        <f aca="false">IF($C1726="","",IFERROR(IF(INDEX('REGISTRE TUBES'!$D$7:$D$2506,MATCH($C1726,'REGISTRE TUBES'!$B$7:$B$2506,0))="","",INDEX('REGISTRE TUBES'!$D$7:$D$2506,MATCH($C1726,'REGISTRE TUBES'!$B$7:$B$2506,0))),"?"))</f>
        <v/>
      </c>
      <c r="F1726" s="101" t="n">
        <f aca="false">IF($C1726="","",IFERROR(IF(INDEX('REGISTRE TUBES'!$F$7:$F$2506,MATCH($C1726,'REGISTRE TUBES'!$B$7:$B$2506,0))="","",INDEX('REGISTRE TUBES'!$F$7:$F$2506,MATCH($C1726,'REGISTRE TUBES'!$B$7:$B$2506,0))),"?"))</f>
        <v>11.94</v>
      </c>
      <c r="G1726" s="102" t="n">
        <f aca="false">IF($C1726="","",N(G1725)+N(F1726))</f>
        <v>13933.1700000001</v>
      </c>
      <c r="H1726" s="103" t="s">
        <v>2726</v>
      </c>
      <c r="I1726" s="104"/>
      <c r="J1726" s="105"/>
    </row>
    <row r="1727" customFormat="false" ht="15" hidden="false" customHeight="false" outlineLevel="0" collapsed="false">
      <c r="B1727" s="90" t="n">
        <v>1174</v>
      </c>
      <c r="C1727" s="91" t="n">
        <v>2095260</v>
      </c>
      <c r="D1727" s="92" t="n">
        <f aca="false">IF($C1727="","",IFERROR(IF(INDEX('REGISTRE TUBES'!$C$7:$C$2506,MATCH($C1727,'REGISTRE TUBES'!$B$7:$B$2506,0))="","",INDEX('REGISTRE TUBES'!$C$7:$C$2506,MATCH($C1727,'REGISTRE TUBES'!$B$7:$B$2506,0))),"?"))</f>
        <v>15421111</v>
      </c>
      <c r="E1727" s="92" t="str">
        <f aca="false">IF($C1727="","",IFERROR(IF(INDEX('REGISTRE TUBES'!$D$7:$D$2506,MATCH($C1727,'REGISTRE TUBES'!$B$7:$B$2506,0))="","",INDEX('REGISTRE TUBES'!$D$7:$D$2506,MATCH($C1727,'REGISTRE TUBES'!$B$7:$B$2506,0))),"?"))</f>
        <v/>
      </c>
      <c r="F1727" s="93" t="n">
        <f aca="false">IF($C1727="","",IFERROR(IF(INDEX('REGISTRE TUBES'!$F$7:$F$2506,MATCH($C1727,'REGISTRE TUBES'!$B$7:$B$2506,0))="","",INDEX('REGISTRE TUBES'!$F$7:$F$2506,MATCH($C1727,'REGISTRE TUBES'!$B$7:$B$2506,0))),"?"))</f>
        <v>11.94</v>
      </c>
      <c r="G1727" s="94" t="n">
        <f aca="false">IF($C1727="","",N(G1726)+N(F1727))</f>
        <v>13945.1100000001</v>
      </c>
      <c r="H1727" s="95" t="s">
        <v>2727</v>
      </c>
      <c r="I1727" s="96"/>
      <c r="J1727" s="97"/>
    </row>
    <row r="1728" customFormat="false" ht="15" hidden="false" customHeight="false" outlineLevel="0" collapsed="false">
      <c r="B1728" s="98" t="n">
        <v>1175</v>
      </c>
      <c r="C1728" s="99" t="n">
        <v>2089930</v>
      </c>
      <c r="D1728" s="100" t="n">
        <f aca="false">IF($C1728="","",IFERROR(IF(INDEX('REGISTRE TUBES'!$C$7:$C$2506,MATCH($C1728,'REGISTRE TUBES'!$B$7:$B$2506,0))="","",INDEX('REGISTRE TUBES'!$C$7:$C$2506,MATCH($C1728,'REGISTRE TUBES'!$B$7:$B$2506,0))),"?"))</f>
        <v>15421109</v>
      </c>
      <c r="E1728" s="100" t="str">
        <f aca="false">IF($C1728="","",IFERROR(IF(INDEX('REGISTRE TUBES'!$D$7:$D$2506,MATCH($C1728,'REGISTRE TUBES'!$B$7:$B$2506,0))="","",INDEX('REGISTRE TUBES'!$D$7:$D$2506,MATCH($C1728,'REGISTRE TUBES'!$B$7:$B$2506,0))),"?"))</f>
        <v/>
      </c>
      <c r="F1728" s="101" t="n">
        <f aca="false">IF($C1728="","",IFERROR(IF(INDEX('REGISTRE TUBES'!$F$7:$F$2506,MATCH($C1728,'REGISTRE TUBES'!$B$7:$B$2506,0))="","",INDEX('REGISTRE TUBES'!$F$7:$F$2506,MATCH($C1728,'REGISTRE TUBES'!$B$7:$B$2506,0))),"?"))</f>
        <v>11.94</v>
      </c>
      <c r="G1728" s="102" t="n">
        <f aca="false">IF($C1728="","",N(G1727)+N(F1728))</f>
        <v>13957.0500000001</v>
      </c>
      <c r="H1728" s="103" t="s">
        <v>2728</v>
      </c>
      <c r="I1728" s="104"/>
      <c r="J1728" s="105"/>
    </row>
    <row r="1729" customFormat="false" ht="15" hidden="false" customHeight="false" outlineLevel="0" collapsed="false">
      <c r="B1729" s="90" t="n">
        <v>1176</v>
      </c>
      <c r="C1729" s="91" t="n">
        <v>2097690</v>
      </c>
      <c r="D1729" s="92" t="n">
        <f aca="false">IF($C1729="","",IFERROR(IF(INDEX('REGISTRE TUBES'!$C$7:$C$2506,MATCH($C1729,'REGISTRE TUBES'!$B$7:$B$2506,0))="","",INDEX('REGISTRE TUBES'!$C$7:$C$2506,MATCH($C1729,'REGISTRE TUBES'!$B$7:$B$2506,0))),"?"))</f>
        <v>15421112</v>
      </c>
      <c r="E1729" s="92" t="str">
        <f aca="false">IF($C1729="","",IFERROR(IF(INDEX('REGISTRE TUBES'!$D$7:$D$2506,MATCH($C1729,'REGISTRE TUBES'!$B$7:$B$2506,0))="","",INDEX('REGISTRE TUBES'!$D$7:$D$2506,MATCH($C1729,'REGISTRE TUBES'!$B$7:$B$2506,0))),"?"))</f>
        <v/>
      </c>
      <c r="F1729" s="93" t="n">
        <f aca="false">IF($C1729="","",IFERROR(IF(INDEX('REGISTRE TUBES'!$F$7:$F$2506,MATCH($C1729,'REGISTRE TUBES'!$B$7:$B$2506,0))="","",INDEX('REGISTRE TUBES'!$F$7:$F$2506,MATCH($C1729,'REGISTRE TUBES'!$B$7:$B$2506,0))),"?"))</f>
        <v>11.94</v>
      </c>
      <c r="G1729" s="94" t="n">
        <f aca="false">IF($C1729="","",N(G1728)+N(F1729))</f>
        <v>13968.9900000001</v>
      </c>
      <c r="H1729" s="95" t="s">
        <v>2729</v>
      </c>
      <c r="I1729" s="96"/>
      <c r="J1729" s="97"/>
    </row>
    <row r="1730" customFormat="false" ht="15" hidden="false" customHeight="false" outlineLevel="0" collapsed="false">
      <c r="B1730" s="98" t="n">
        <v>1177</v>
      </c>
      <c r="C1730" s="99" t="n">
        <v>2088080</v>
      </c>
      <c r="D1730" s="100" t="n">
        <f aca="false">IF($C1730="","",IFERROR(IF(INDEX('REGISTRE TUBES'!$C$7:$C$2506,MATCH($C1730,'REGISTRE TUBES'!$B$7:$B$2506,0))="","",INDEX('REGISTRE TUBES'!$C$7:$C$2506,MATCH($C1730,'REGISTRE TUBES'!$B$7:$B$2506,0))),"?"))</f>
        <v>15421108</v>
      </c>
      <c r="E1730" s="100" t="str">
        <f aca="false">IF($C1730="","",IFERROR(IF(INDEX('REGISTRE TUBES'!$D$7:$D$2506,MATCH($C1730,'REGISTRE TUBES'!$B$7:$B$2506,0))="","",INDEX('REGISTRE TUBES'!$D$7:$D$2506,MATCH($C1730,'REGISTRE TUBES'!$B$7:$B$2506,0))),"?"))</f>
        <v/>
      </c>
      <c r="F1730" s="101" t="n">
        <f aca="false">IF($C1730="","",IFERROR(IF(INDEX('REGISTRE TUBES'!$F$7:$F$2506,MATCH($C1730,'REGISTRE TUBES'!$B$7:$B$2506,0))="","",INDEX('REGISTRE TUBES'!$F$7:$F$2506,MATCH($C1730,'REGISTRE TUBES'!$B$7:$B$2506,0))),"?"))</f>
        <v>11.94</v>
      </c>
      <c r="G1730" s="102" t="n">
        <f aca="false">IF($C1730="","",N(G1729)+N(F1730))</f>
        <v>13980.9300000001</v>
      </c>
      <c r="H1730" s="103" t="s">
        <v>2730</v>
      </c>
      <c r="I1730" s="104"/>
      <c r="J1730" s="105"/>
    </row>
    <row r="1731" customFormat="false" ht="15" hidden="false" customHeight="false" outlineLevel="0" collapsed="false">
      <c r="B1731" s="90" t="n">
        <v>1178</v>
      </c>
      <c r="C1731" s="91" t="n">
        <v>2084010</v>
      </c>
      <c r="D1731" s="92" t="n">
        <f aca="false">IF($C1731="","",IFERROR(IF(INDEX('REGISTRE TUBES'!$C$7:$C$2506,MATCH($C1731,'REGISTRE TUBES'!$B$7:$B$2506,0))="","",INDEX('REGISTRE TUBES'!$C$7:$C$2506,MATCH($C1731,'REGISTRE TUBES'!$B$7:$B$2506,0))),"?"))</f>
        <v>15421106</v>
      </c>
      <c r="E1731" s="92" t="str">
        <f aca="false">IF($C1731="","",IFERROR(IF(INDEX('REGISTRE TUBES'!$D$7:$D$2506,MATCH($C1731,'REGISTRE TUBES'!$B$7:$B$2506,0))="","",INDEX('REGISTRE TUBES'!$D$7:$D$2506,MATCH($C1731,'REGISTRE TUBES'!$B$7:$B$2506,0))),"?"))</f>
        <v/>
      </c>
      <c r="F1731" s="93" t="n">
        <f aca="false">IF($C1731="","",IFERROR(IF(INDEX('REGISTRE TUBES'!$F$7:$F$2506,MATCH($C1731,'REGISTRE TUBES'!$B$7:$B$2506,0))="","",INDEX('REGISTRE TUBES'!$F$7:$F$2506,MATCH($C1731,'REGISTRE TUBES'!$B$7:$B$2506,0))),"?"))</f>
        <v>11.94</v>
      </c>
      <c r="G1731" s="94" t="n">
        <f aca="false">IF($C1731="","",N(G1730)+N(F1731))</f>
        <v>13992.8700000001</v>
      </c>
      <c r="H1731" s="95" t="s">
        <v>2732</v>
      </c>
      <c r="I1731" s="96"/>
      <c r="J1731" s="97"/>
    </row>
    <row r="1732" customFormat="false" ht="15" hidden="false" customHeight="true" outlineLevel="0" collapsed="false">
      <c r="B1732" s="106" t="s">
        <v>3031</v>
      </c>
      <c r="C1732" s="106"/>
      <c r="D1732" s="106"/>
      <c r="E1732" s="106"/>
      <c r="F1732" s="107" t="n">
        <f aca="false">SUM(F1713:F1731)</f>
        <v>226.86</v>
      </c>
      <c r="G1732" s="108" t="n">
        <f aca="false">IF(COUNT(G1713:G1731)=0,"",MAX(G1713:G1731))</f>
        <v>13992.8700000001</v>
      </c>
      <c r="H1732" s="106" t="str">
        <f aca="false">COUNTA(C1713:C1731)&amp;" tube(s)"</f>
        <v>19 tube(s)</v>
      </c>
      <c r="I1732" s="106"/>
      <c r="J1732" s="106"/>
    </row>
    <row r="1734" customFormat="false" ht="15" hidden="false" customHeight="false" outlineLevel="0" collapsed="false">
      <c r="B1734" s="109" t="s">
        <v>3032</v>
      </c>
      <c r="F1734" s="109" t="s">
        <v>3033</v>
      </c>
      <c r="I1734" s="109" t="s">
        <v>3034</v>
      </c>
    </row>
    <row r="1737" customFormat="false" ht="25.5" hidden="false" customHeight="true" outlineLevel="0" collapsed="false">
      <c r="B1737" s="85" t="s">
        <v>3015</v>
      </c>
      <c r="C1737" s="85"/>
      <c r="D1737" s="85"/>
      <c r="E1737" s="85"/>
      <c r="F1737" s="85"/>
      <c r="G1737" s="85"/>
      <c r="H1737" s="85"/>
      <c r="I1737" s="85"/>
      <c r="J1737" s="85"/>
    </row>
    <row r="1738" customFormat="false" ht="15" hidden="false" customHeight="false" outlineLevel="0" collapsed="false">
      <c r="B1738" s="86" t="str">
        <f aca="false">PARAMÈTRES!$C$4&amp;"   •   Affaire N° "&amp;PARAMÈTRES!$C$5</f>
        <v>Développement des champs gaziers TFT II — réseau de collecte TFT Sud (LIGNE-16)   •   Affaire N° 8546</v>
      </c>
      <c r="C1738" s="86"/>
      <c r="D1738" s="86"/>
      <c r="E1738" s="86"/>
      <c r="F1738" s="86"/>
      <c r="G1738" s="86"/>
      <c r="H1738" s="86"/>
      <c r="I1738" s="86"/>
      <c r="J1738" s="86"/>
    </row>
    <row r="1739" customFormat="false" ht="19.5" hidden="false" customHeight="true" outlineLevel="0" collapsed="false">
      <c r="B1739" s="87" t="s">
        <v>3016</v>
      </c>
      <c r="C1739" s="88" t="s">
        <v>110</v>
      </c>
      <c r="D1739" s="88"/>
      <c r="E1739" s="87" t="s">
        <v>3017</v>
      </c>
      <c r="F1739" s="88" t="s">
        <v>3157</v>
      </c>
      <c r="G1739" s="87" t="s">
        <v>3019</v>
      </c>
      <c r="H1739" s="88" t="s">
        <v>3158</v>
      </c>
      <c r="I1739" s="87" t="s">
        <v>3021</v>
      </c>
      <c r="J1739" s="89"/>
    </row>
    <row r="1740" customFormat="false" ht="27.75" hidden="false" customHeight="true" outlineLevel="0" collapsed="false">
      <c r="B1740" s="71" t="s">
        <v>3022</v>
      </c>
      <c r="C1740" s="71" t="s">
        <v>3023</v>
      </c>
      <c r="D1740" s="71" t="s">
        <v>3024</v>
      </c>
      <c r="E1740" s="71" t="s">
        <v>3025</v>
      </c>
      <c r="F1740" s="71" t="s">
        <v>3026</v>
      </c>
      <c r="G1740" s="71" t="s">
        <v>3027</v>
      </c>
      <c r="H1740" s="71" t="s">
        <v>3028</v>
      </c>
      <c r="I1740" s="71" t="s">
        <v>3029</v>
      </c>
      <c r="J1740" s="71" t="s">
        <v>3030</v>
      </c>
    </row>
    <row r="1741" customFormat="false" ht="15" hidden="false" customHeight="false" outlineLevel="0" collapsed="false">
      <c r="B1741" s="90" t="n">
        <v>1179</v>
      </c>
      <c r="C1741" s="91" t="n">
        <v>2079120</v>
      </c>
      <c r="D1741" s="92" t="n">
        <f aca="false">IF($C1741="","",IFERROR(IF(INDEX('REGISTRE TUBES'!$C$7:$C$2506,MATCH($C1741,'REGISTRE TUBES'!$B$7:$B$2506,0))="","",INDEX('REGISTRE TUBES'!$C$7:$C$2506,MATCH($C1741,'REGISTRE TUBES'!$B$7:$B$2506,0))),"?"))</f>
        <v>15421102</v>
      </c>
      <c r="E1741" s="92" t="str">
        <f aca="false">IF($C1741="","",IFERROR(IF(INDEX('REGISTRE TUBES'!$D$7:$D$2506,MATCH($C1741,'REGISTRE TUBES'!$B$7:$B$2506,0))="","",INDEX('REGISTRE TUBES'!$D$7:$D$2506,MATCH($C1741,'REGISTRE TUBES'!$B$7:$B$2506,0))),"?"))</f>
        <v/>
      </c>
      <c r="F1741" s="93" t="n">
        <f aca="false">IF($C1741="","",IFERROR(IF(INDEX('REGISTRE TUBES'!$F$7:$F$2506,MATCH($C1741,'REGISTRE TUBES'!$B$7:$B$2506,0))="","",INDEX('REGISTRE TUBES'!$F$7:$F$2506,MATCH($C1741,'REGISTRE TUBES'!$B$7:$B$2506,0))),"?"))</f>
        <v>11.94</v>
      </c>
      <c r="G1741" s="94" t="n">
        <f aca="false">IF($C1741="","",N(G1731)+N(F1741))</f>
        <v>14004.8100000001</v>
      </c>
      <c r="H1741" s="95" t="s">
        <v>2734</v>
      </c>
      <c r="I1741" s="96"/>
      <c r="J1741" s="97"/>
    </row>
    <row r="1742" customFormat="false" ht="15" hidden="false" customHeight="false" outlineLevel="0" collapsed="false">
      <c r="B1742" s="98" t="n">
        <v>1180</v>
      </c>
      <c r="C1742" s="99" t="n">
        <v>2093360</v>
      </c>
      <c r="D1742" s="100" t="n">
        <f aca="false">IF($C1742="","",IFERROR(IF(INDEX('REGISTRE TUBES'!$C$7:$C$2506,MATCH($C1742,'REGISTRE TUBES'!$B$7:$B$2506,0))="","",INDEX('REGISTRE TUBES'!$C$7:$C$2506,MATCH($C1742,'REGISTRE TUBES'!$B$7:$B$2506,0))),"?"))</f>
        <v>15421110</v>
      </c>
      <c r="E1742" s="100" t="str">
        <f aca="false">IF($C1742="","",IFERROR(IF(INDEX('REGISTRE TUBES'!$D$7:$D$2506,MATCH($C1742,'REGISTRE TUBES'!$B$7:$B$2506,0))="","",INDEX('REGISTRE TUBES'!$D$7:$D$2506,MATCH($C1742,'REGISTRE TUBES'!$B$7:$B$2506,0))),"?"))</f>
        <v/>
      </c>
      <c r="F1742" s="101" t="n">
        <f aca="false">IF($C1742="","",IFERROR(IF(INDEX('REGISTRE TUBES'!$F$7:$F$2506,MATCH($C1742,'REGISTRE TUBES'!$B$7:$B$2506,0))="","",INDEX('REGISTRE TUBES'!$F$7:$F$2506,MATCH($C1742,'REGISTRE TUBES'!$B$7:$B$2506,0))),"?"))</f>
        <v>11.94</v>
      </c>
      <c r="G1742" s="102" t="n">
        <f aca="false">IF($C1742="","",N(G1741)+N(F1742))</f>
        <v>14016.7500000001</v>
      </c>
      <c r="H1742" s="103" t="s">
        <v>2735</v>
      </c>
      <c r="I1742" s="104"/>
      <c r="J1742" s="105"/>
    </row>
    <row r="1743" customFormat="false" ht="15" hidden="false" customHeight="false" outlineLevel="0" collapsed="false">
      <c r="B1743" s="90" t="n">
        <v>1181</v>
      </c>
      <c r="C1743" s="91" t="n">
        <v>2097860</v>
      </c>
      <c r="D1743" s="92" t="n">
        <f aca="false">IF($C1743="","",IFERROR(IF(INDEX('REGISTRE TUBES'!$C$7:$C$2506,MATCH($C1743,'REGISTRE TUBES'!$B$7:$B$2506,0))="","",INDEX('REGISTRE TUBES'!$C$7:$C$2506,MATCH($C1743,'REGISTRE TUBES'!$B$7:$B$2506,0))),"?"))</f>
        <v>15421112</v>
      </c>
      <c r="E1743" s="92" t="str">
        <f aca="false">IF($C1743="","",IFERROR(IF(INDEX('REGISTRE TUBES'!$D$7:$D$2506,MATCH($C1743,'REGISTRE TUBES'!$B$7:$B$2506,0))="","",INDEX('REGISTRE TUBES'!$D$7:$D$2506,MATCH($C1743,'REGISTRE TUBES'!$B$7:$B$2506,0))),"?"))</f>
        <v/>
      </c>
      <c r="F1743" s="93" t="n">
        <f aca="false">IF($C1743="","",IFERROR(IF(INDEX('REGISTRE TUBES'!$F$7:$F$2506,MATCH($C1743,'REGISTRE TUBES'!$B$7:$B$2506,0))="","",INDEX('REGISTRE TUBES'!$F$7:$F$2506,MATCH($C1743,'REGISTRE TUBES'!$B$7:$B$2506,0))),"?"))</f>
        <v>11.94</v>
      </c>
      <c r="G1743" s="94" t="n">
        <f aca="false">IF($C1743="","",N(G1742)+N(F1743))</f>
        <v>14028.6900000001</v>
      </c>
      <c r="H1743" s="95" t="s">
        <v>2736</v>
      </c>
      <c r="I1743" s="96"/>
      <c r="J1743" s="97"/>
    </row>
    <row r="1744" customFormat="false" ht="15" hidden="false" customHeight="false" outlineLevel="0" collapsed="false">
      <c r="B1744" s="98" t="n">
        <v>1182</v>
      </c>
      <c r="C1744" s="99" t="n">
        <v>2085410</v>
      </c>
      <c r="D1744" s="100" t="n">
        <f aca="false">IF($C1744="","",IFERROR(IF(INDEX('REGISTRE TUBES'!$C$7:$C$2506,MATCH($C1744,'REGISTRE TUBES'!$B$7:$B$2506,0))="","",INDEX('REGISTRE TUBES'!$C$7:$C$2506,MATCH($C1744,'REGISTRE TUBES'!$B$7:$B$2506,0))),"?"))</f>
        <v>15421107</v>
      </c>
      <c r="E1744" s="100" t="str">
        <f aca="false">IF($C1744="","",IFERROR(IF(INDEX('REGISTRE TUBES'!$D$7:$D$2506,MATCH($C1744,'REGISTRE TUBES'!$B$7:$B$2506,0))="","",INDEX('REGISTRE TUBES'!$D$7:$D$2506,MATCH($C1744,'REGISTRE TUBES'!$B$7:$B$2506,0))),"?"))</f>
        <v/>
      </c>
      <c r="F1744" s="101" t="n">
        <f aca="false">IF($C1744="","",IFERROR(IF(INDEX('REGISTRE TUBES'!$F$7:$F$2506,MATCH($C1744,'REGISTRE TUBES'!$B$7:$B$2506,0))="","",INDEX('REGISTRE TUBES'!$F$7:$F$2506,MATCH($C1744,'REGISTRE TUBES'!$B$7:$B$2506,0))),"?"))</f>
        <v>11.94</v>
      </c>
      <c r="G1744" s="102" t="n">
        <f aca="false">IF($C1744="","",N(G1743)+N(F1744))</f>
        <v>14040.6300000001</v>
      </c>
      <c r="H1744" s="103" t="s">
        <v>2737</v>
      </c>
      <c r="I1744" s="104"/>
      <c r="J1744" s="105"/>
    </row>
    <row r="1745" customFormat="false" ht="15" hidden="false" customHeight="false" outlineLevel="0" collapsed="false">
      <c r="B1745" s="90" t="n">
        <v>1183</v>
      </c>
      <c r="C1745" s="91" t="n">
        <v>2081600</v>
      </c>
      <c r="D1745" s="92" t="n">
        <f aca="false">IF($C1745="","",IFERROR(IF(INDEX('REGISTRE TUBES'!$C$7:$C$2506,MATCH($C1745,'REGISTRE TUBES'!$B$7:$B$2506,0))="","",INDEX('REGISTRE TUBES'!$C$7:$C$2506,MATCH($C1745,'REGISTRE TUBES'!$B$7:$B$2506,0))),"?"))</f>
        <v>15421103</v>
      </c>
      <c r="E1745" s="92" t="str">
        <f aca="false">IF($C1745="","",IFERROR(IF(INDEX('REGISTRE TUBES'!$D$7:$D$2506,MATCH($C1745,'REGISTRE TUBES'!$B$7:$B$2506,0))="","",INDEX('REGISTRE TUBES'!$D$7:$D$2506,MATCH($C1745,'REGISTRE TUBES'!$B$7:$B$2506,0))),"?"))</f>
        <v/>
      </c>
      <c r="F1745" s="93" t="n">
        <f aca="false">IF($C1745="","",IFERROR(IF(INDEX('REGISTRE TUBES'!$F$7:$F$2506,MATCH($C1745,'REGISTRE TUBES'!$B$7:$B$2506,0))="","",INDEX('REGISTRE TUBES'!$F$7:$F$2506,MATCH($C1745,'REGISTRE TUBES'!$B$7:$B$2506,0))),"?"))</f>
        <v>11.94</v>
      </c>
      <c r="G1745" s="94" t="n">
        <f aca="false">IF($C1745="","",N(G1744)+N(F1745))</f>
        <v>14052.5700000001</v>
      </c>
      <c r="H1745" s="95" t="s">
        <v>2738</v>
      </c>
      <c r="I1745" s="96"/>
      <c r="J1745" s="97"/>
    </row>
    <row r="1746" customFormat="false" ht="15" hidden="false" customHeight="false" outlineLevel="0" collapsed="false">
      <c r="B1746" s="98" t="n">
        <v>1184</v>
      </c>
      <c r="C1746" s="99" t="n">
        <v>2081530</v>
      </c>
      <c r="D1746" s="100" t="n">
        <f aca="false">IF($C1746="","",IFERROR(IF(INDEX('REGISTRE TUBES'!$C$7:$C$2506,MATCH($C1746,'REGISTRE TUBES'!$B$7:$B$2506,0))="","",INDEX('REGISTRE TUBES'!$C$7:$C$2506,MATCH($C1746,'REGISTRE TUBES'!$B$7:$B$2506,0))),"?"))</f>
        <v>15421103</v>
      </c>
      <c r="E1746" s="100" t="str">
        <f aca="false">IF($C1746="","",IFERROR(IF(INDEX('REGISTRE TUBES'!$D$7:$D$2506,MATCH($C1746,'REGISTRE TUBES'!$B$7:$B$2506,0))="","",INDEX('REGISTRE TUBES'!$D$7:$D$2506,MATCH($C1746,'REGISTRE TUBES'!$B$7:$B$2506,0))),"?"))</f>
        <v/>
      </c>
      <c r="F1746" s="101" t="n">
        <f aca="false">IF($C1746="","",IFERROR(IF(INDEX('REGISTRE TUBES'!$F$7:$F$2506,MATCH($C1746,'REGISTRE TUBES'!$B$7:$B$2506,0))="","",INDEX('REGISTRE TUBES'!$F$7:$F$2506,MATCH($C1746,'REGISTRE TUBES'!$B$7:$B$2506,0))),"?"))</f>
        <v>11.94</v>
      </c>
      <c r="G1746" s="102" t="n">
        <f aca="false">IF($C1746="","",N(G1745)+N(F1746))</f>
        <v>14064.5100000001</v>
      </c>
      <c r="H1746" s="103" t="s">
        <v>2739</v>
      </c>
      <c r="I1746" s="104"/>
      <c r="J1746" s="105"/>
    </row>
    <row r="1747" customFormat="false" ht="15" hidden="false" customHeight="false" outlineLevel="0" collapsed="false">
      <c r="B1747" s="90" t="n">
        <v>1185</v>
      </c>
      <c r="C1747" s="91" t="n">
        <v>2081500</v>
      </c>
      <c r="D1747" s="92" t="n">
        <f aca="false">IF($C1747="","",IFERROR(IF(INDEX('REGISTRE TUBES'!$C$7:$C$2506,MATCH($C1747,'REGISTRE TUBES'!$B$7:$B$2506,0))="","",INDEX('REGISTRE TUBES'!$C$7:$C$2506,MATCH($C1747,'REGISTRE TUBES'!$B$7:$B$2506,0))),"?"))</f>
        <v>15421103</v>
      </c>
      <c r="E1747" s="92" t="str">
        <f aca="false">IF($C1747="","",IFERROR(IF(INDEX('REGISTRE TUBES'!$D$7:$D$2506,MATCH($C1747,'REGISTRE TUBES'!$B$7:$B$2506,0))="","",INDEX('REGISTRE TUBES'!$D$7:$D$2506,MATCH($C1747,'REGISTRE TUBES'!$B$7:$B$2506,0))),"?"))</f>
        <v/>
      </c>
      <c r="F1747" s="93" t="n">
        <f aca="false">IF($C1747="","",IFERROR(IF(INDEX('REGISTRE TUBES'!$F$7:$F$2506,MATCH($C1747,'REGISTRE TUBES'!$B$7:$B$2506,0))="","",INDEX('REGISTRE TUBES'!$F$7:$F$2506,MATCH($C1747,'REGISTRE TUBES'!$B$7:$B$2506,0))),"?"))</f>
        <v>11.94</v>
      </c>
      <c r="G1747" s="94" t="n">
        <f aca="false">IF($C1747="","",N(G1746)+N(F1747))</f>
        <v>14076.4500000001</v>
      </c>
      <c r="H1747" s="95" t="s">
        <v>2740</v>
      </c>
      <c r="I1747" s="96"/>
      <c r="J1747" s="97"/>
    </row>
    <row r="1748" customFormat="false" ht="15" hidden="false" customHeight="false" outlineLevel="0" collapsed="false">
      <c r="B1748" s="98" t="n">
        <v>1186</v>
      </c>
      <c r="C1748" s="99" t="n">
        <v>2096380</v>
      </c>
      <c r="D1748" s="100" t="n">
        <f aca="false">IF($C1748="","",IFERROR(IF(INDEX('REGISTRE TUBES'!$C$7:$C$2506,MATCH($C1748,'REGISTRE TUBES'!$B$7:$B$2506,0))="","",INDEX('REGISTRE TUBES'!$C$7:$C$2506,MATCH($C1748,'REGISTRE TUBES'!$B$7:$B$2506,0))),"?"))</f>
        <v>15421111</v>
      </c>
      <c r="E1748" s="100" t="str">
        <f aca="false">IF($C1748="","",IFERROR(IF(INDEX('REGISTRE TUBES'!$D$7:$D$2506,MATCH($C1748,'REGISTRE TUBES'!$B$7:$B$2506,0))="","",INDEX('REGISTRE TUBES'!$D$7:$D$2506,MATCH($C1748,'REGISTRE TUBES'!$B$7:$B$2506,0))),"?"))</f>
        <v/>
      </c>
      <c r="F1748" s="101" t="n">
        <f aca="false">IF($C1748="","",IFERROR(IF(INDEX('REGISTRE TUBES'!$F$7:$F$2506,MATCH($C1748,'REGISTRE TUBES'!$B$7:$B$2506,0))="","",INDEX('REGISTRE TUBES'!$F$7:$F$2506,MATCH($C1748,'REGISTRE TUBES'!$B$7:$B$2506,0))),"?"))</f>
        <v>11.94</v>
      </c>
      <c r="G1748" s="102" t="n">
        <f aca="false">IF($C1748="","",N(G1747)+N(F1748))</f>
        <v>14088.3900000001</v>
      </c>
      <c r="H1748" s="103" t="s">
        <v>2741</v>
      </c>
      <c r="I1748" s="104"/>
      <c r="J1748" s="105"/>
    </row>
    <row r="1749" customFormat="false" ht="15" hidden="false" customHeight="false" outlineLevel="0" collapsed="false">
      <c r="B1749" s="90" t="n">
        <v>1187</v>
      </c>
      <c r="C1749" s="91" t="n">
        <v>2079810</v>
      </c>
      <c r="D1749" s="92" t="n">
        <f aca="false">IF($C1749="","",IFERROR(IF(INDEX('REGISTRE TUBES'!$C$7:$C$2506,MATCH($C1749,'REGISTRE TUBES'!$B$7:$B$2506,0))="","",INDEX('REGISTRE TUBES'!$C$7:$C$2506,MATCH($C1749,'REGISTRE TUBES'!$B$7:$B$2506,0))),"?"))</f>
        <v>15421102</v>
      </c>
      <c r="E1749" s="92" t="str">
        <f aca="false">IF($C1749="","",IFERROR(IF(INDEX('REGISTRE TUBES'!$D$7:$D$2506,MATCH($C1749,'REGISTRE TUBES'!$B$7:$B$2506,0))="","",INDEX('REGISTRE TUBES'!$D$7:$D$2506,MATCH($C1749,'REGISTRE TUBES'!$B$7:$B$2506,0))),"?"))</f>
        <v/>
      </c>
      <c r="F1749" s="93" t="n">
        <f aca="false">IF($C1749="","",IFERROR(IF(INDEX('REGISTRE TUBES'!$F$7:$F$2506,MATCH($C1749,'REGISTRE TUBES'!$B$7:$B$2506,0))="","",INDEX('REGISTRE TUBES'!$F$7:$F$2506,MATCH($C1749,'REGISTRE TUBES'!$B$7:$B$2506,0))),"?"))</f>
        <v>11.94</v>
      </c>
      <c r="G1749" s="94" t="n">
        <f aca="false">IF($C1749="","",N(G1748)+N(F1749))</f>
        <v>14100.3300000001</v>
      </c>
      <c r="H1749" s="95" t="s">
        <v>2744</v>
      </c>
      <c r="I1749" s="96"/>
      <c r="J1749" s="97"/>
    </row>
    <row r="1750" customFormat="false" ht="15" hidden="false" customHeight="false" outlineLevel="0" collapsed="false">
      <c r="B1750" s="98" t="n">
        <v>1188</v>
      </c>
      <c r="C1750" s="99" t="n">
        <v>2079770</v>
      </c>
      <c r="D1750" s="100" t="n">
        <f aca="false">IF($C1750="","",IFERROR(IF(INDEX('REGISTRE TUBES'!$C$7:$C$2506,MATCH($C1750,'REGISTRE TUBES'!$B$7:$B$2506,0))="","",INDEX('REGISTRE TUBES'!$C$7:$C$2506,MATCH($C1750,'REGISTRE TUBES'!$B$7:$B$2506,0))),"?"))</f>
        <v>15421102</v>
      </c>
      <c r="E1750" s="100" t="str">
        <f aca="false">IF($C1750="","",IFERROR(IF(INDEX('REGISTRE TUBES'!$D$7:$D$2506,MATCH($C1750,'REGISTRE TUBES'!$B$7:$B$2506,0))="","",INDEX('REGISTRE TUBES'!$D$7:$D$2506,MATCH($C1750,'REGISTRE TUBES'!$B$7:$B$2506,0))),"?"))</f>
        <v/>
      </c>
      <c r="F1750" s="101" t="n">
        <f aca="false">IF($C1750="","",IFERROR(IF(INDEX('REGISTRE TUBES'!$F$7:$F$2506,MATCH($C1750,'REGISTRE TUBES'!$B$7:$B$2506,0))="","",INDEX('REGISTRE TUBES'!$F$7:$F$2506,MATCH($C1750,'REGISTRE TUBES'!$B$7:$B$2506,0))),"?"))</f>
        <v>11.94</v>
      </c>
      <c r="G1750" s="102" t="n">
        <f aca="false">IF($C1750="","",N(G1749)+N(F1750))</f>
        <v>14112.2700000001</v>
      </c>
      <c r="H1750" s="103" t="s">
        <v>2746</v>
      </c>
      <c r="I1750" s="104"/>
      <c r="J1750" s="105"/>
    </row>
    <row r="1751" customFormat="false" ht="15" hidden="false" customHeight="false" outlineLevel="0" collapsed="false">
      <c r="B1751" s="90" t="n">
        <v>1189</v>
      </c>
      <c r="C1751" s="91" t="n">
        <v>2096330</v>
      </c>
      <c r="D1751" s="92" t="n">
        <f aca="false">IF($C1751="","",IFERROR(IF(INDEX('REGISTRE TUBES'!$C$7:$C$2506,MATCH($C1751,'REGISTRE TUBES'!$B$7:$B$2506,0))="","",INDEX('REGISTRE TUBES'!$C$7:$C$2506,MATCH($C1751,'REGISTRE TUBES'!$B$7:$B$2506,0))),"?"))</f>
        <v>15421111</v>
      </c>
      <c r="E1751" s="92" t="str">
        <f aca="false">IF($C1751="","",IFERROR(IF(INDEX('REGISTRE TUBES'!$D$7:$D$2506,MATCH($C1751,'REGISTRE TUBES'!$B$7:$B$2506,0))="","",INDEX('REGISTRE TUBES'!$D$7:$D$2506,MATCH($C1751,'REGISTRE TUBES'!$B$7:$B$2506,0))),"?"))</f>
        <v/>
      </c>
      <c r="F1751" s="93" t="n">
        <f aca="false">IF($C1751="","",IFERROR(IF(INDEX('REGISTRE TUBES'!$F$7:$F$2506,MATCH($C1751,'REGISTRE TUBES'!$B$7:$B$2506,0))="","",INDEX('REGISTRE TUBES'!$F$7:$F$2506,MATCH($C1751,'REGISTRE TUBES'!$B$7:$B$2506,0))),"?"))</f>
        <v>11.94</v>
      </c>
      <c r="G1751" s="94" t="n">
        <f aca="false">IF($C1751="","",N(G1750)+N(F1751))</f>
        <v>14124.2100000001</v>
      </c>
      <c r="H1751" s="95" t="s">
        <v>2747</v>
      </c>
      <c r="I1751" s="96"/>
      <c r="J1751" s="97"/>
    </row>
    <row r="1752" customFormat="false" ht="15" hidden="false" customHeight="false" outlineLevel="0" collapsed="false">
      <c r="B1752" s="98" t="n">
        <v>1190</v>
      </c>
      <c r="C1752" s="99" t="n">
        <v>2091410</v>
      </c>
      <c r="D1752" s="100" t="n">
        <f aca="false">IF($C1752="","",IFERROR(IF(INDEX('REGISTRE TUBES'!$C$7:$C$2506,MATCH($C1752,'REGISTRE TUBES'!$B$7:$B$2506,0))="","",INDEX('REGISTRE TUBES'!$C$7:$C$2506,MATCH($C1752,'REGISTRE TUBES'!$B$7:$B$2506,0))),"?"))</f>
        <v>15421109</v>
      </c>
      <c r="E1752" s="100" t="str">
        <f aca="false">IF($C1752="","",IFERROR(IF(INDEX('REGISTRE TUBES'!$D$7:$D$2506,MATCH($C1752,'REGISTRE TUBES'!$B$7:$B$2506,0))="","",INDEX('REGISTRE TUBES'!$D$7:$D$2506,MATCH($C1752,'REGISTRE TUBES'!$B$7:$B$2506,0))),"?"))</f>
        <v/>
      </c>
      <c r="F1752" s="101" t="n">
        <f aca="false">IF($C1752="","",IFERROR(IF(INDEX('REGISTRE TUBES'!$F$7:$F$2506,MATCH($C1752,'REGISTRE TUBES'!$B$7:$B$2506,0))="","",INDEX('REGISTRE TUBES'!$F$7:$F$2506,MATCH($C1752,'REGISTRE TUBES'!$B$7:$B$2506,0))),"?"))</f>
        <v>11.94</v>
      </c>
      <c r="G1752" s="102" t="n">
        <f aca="false">IF($C1752="","",N(G1751)+N(F1752))</f>
        <v>14136.1500000001</v>
      </c>
      <c r="H1752" s="103" t="s">
        <v>2750</v>
      </c>
      <c r="I1752" s="104"/>
      <c r="J1752" s="105"/>
    </row>
    <row r="1753" customFormat="false" ht="15" hidden="false" customHeight="false" outlineLevel="0" collapsed="false">
      <c r="B1753" s="90" t="n">
        <v>1191</v>
      </c>
      <c r="C1753" s="91" t="n">
        <v>2094770</v>
      </c>
      <c r="D1753" s="92" t="n">
        <f aca="false">IF($C1753="","",IFERROR(IF(INDEX('REGISTRE TUBES'!$C$7:$C$2506,MATCH($C1753,'REGISTRE TUBES'!$B$7:$B$2506,0))="","",INDEX('REGISTRE TUBES'!$C$7:$C$2506,MATCH($C1753,'REGISTRE TUBES'!$B$7:$B$2506,0))),"?"))</f>
        <v>15421111</v>
      </c>
      <c r="E1753" s="92" t="str">
        <f aca="false">IF($C1753="","",IFERROR(IF(INDEX('REGISTRE TUBES'!$D$7:$D$2506,MATCH($C1753,'REGISTRE TUBES'!$B$7:$B$2506,0))="","",INDEX('REGISTRE TUBES'!$D$7:$D$2506,MATCH($C1753,'REGISTRE TUBES'!$B$7:$B$2506,0))),"?"))</f>
        <v/>
      </c>
      <c r="F1753" s="93" t="n">
        <f aca="false">IF($C1753="","",IFERROR(IF(INDEX('REGISTRE TUBES'!$F$7:$F$2506,MATCH($C1753,'REGISTRE TUBES'!$B$7:$B$2506,0))="","",INDEX('REGISTRE TUBES'!$F$7:$F$2506,MATCH($C1753,'REGISTRE TUBES'!$B$7:$B$2506,0))),"?"))</f>
        <v>11.94</v>
      </c>
      <c r="G1753" s="94" t="n">
        <f aca="false">IF($C1753="","",N(G1752)+N(F1753))</f>
        <v>14148.0900000001</v>
      </c>
      <c r="H1753" s="95" t="s">
        <v>2754</v>
      </c>
      <c r="I1753" s="96"/>
      <c r="J1753" s="97"/>
    </row>
    <row r="1754" customFormat="false" ht="15" hidden="false" customHeight="false" outlineLevel="0" collapsed="false">
      <c r="B1754" s="98" t="n">
        <v>1192</v>
      </c>
      <c r="C1754" s="99" t="n">
        <v>209578</v>
      </c>
      <c r="D1754" s="100" t="n">
        <f aca="false">IF($C1754="","",IFERROR(IF(INDEX('REGISTRE TUBES'!$C$7:$C$2506,MATCH($C1754,'REGISTRE TUBES'!$B$7:$B$2506,0))="","",INDEX('REGISTRE TUBES'!$C$7:$C$2506,MATCH($C1754,'REGISTRE TUBES'!$B$7:$B$2506,0))),"?"))</f>
        <v>15421111</v>
      </c>
      <c r="E1754" s="100" t="str">
        <f aca="false">IF($C1754="","",IFERROR(IF(INDEX('REGISTRE TUBES'!$D$7:$D$2506,MATCH($C1754,'REGISTRE TUBES'!$B$7:$B$2506,0))="","",INDEX('REGISTRE TUBES'!$D$7:$D$2506,MATCH($C1754,'REGISTRE TUBES'!$B$7:$B$2506,0))),"?"))</f>
        <v/>
      </c>
      <c r="F1754" s="101" t="n">
        <f aca="false">IF($C1754="","",IFERROR(IF(INDEX('REGISTRE TUBES'!$F$7:$F$2506,MATCH($C1754,'REGISTRE TUBES'!$B$7:$B$2506,0))="","",INDEX('REGISTRE TUBES'!$F$7:$F$2506,MATCH($C1754,'REGISTRE TUBES'!$B$7:$B$2506,0))),"?"))</f>
        <v>11.94</v>
      </c>
      <c r="G1754" s="102" t="n">
        <f aca="false">IF($C1754="","",N(G1753)+N(F1754))</f>
        <v>14160.0300000001</v>
      </c>
      <c r="H1754" s="103" t="s">
        <v>2755</v>
      </c>
      <c r="I1754" s="104"/>
      <c r="J1754" s="105"/>
    </row>
    <row r="1755" customFormat="false" ht="15" hidden="false" customHeight="false" outlineLevel="0" collapsed="false">
      <c r="B1755" s="90" t="n">
        <v>1193</v>
      </c>
      <c r="C1755" s="91" t="n">
        <v>2089960</v>
      </c>
      <c r="D1755" s="92" t="n">
        <f aca="false">IF($C1755="","",IFERROR(IF(INDEX('REGISTRE TUBES'!$C$7:$C$2506,MATCH($C1755,'REGISTRE TUBES'!$B$7:$B$2506,0))="","",INDEX('REGISTRE TUBES'!$C$7:$C$2506,MATCH($C1755,'REGISTRE TUBES'!$B$7:$B$2506,0))),"?"))</f>
        <v>15421109</v>
      </c>
      <c r="E1755" s="92" t="str">
        <f aca="false">IF($C1755="","",IFERROR(IF(INDEX('REGISTRE TUBES'!$D$7:$D$2506,MATCH($C1755,'REGISTRE TUBES'!$B$7:$B$2506,0))="","",INDEX('REGISTRE TUBES'!$D$7:$D$2506,MATCH($C1755,'REGISTRE TUBES'!$B$7:$B$2506,0))),"?"))</f>
        <v/>
      </c>
      <c r="F1755" s="93" t="n">
        <f aca="false">IF($C1755="","",IFERROR(IF(INDEX('REGISTRE TUBES'!$F$7:$F$2506,MATCH($C1755,'REGISTRE TUBES'!$B$7:$B$2506,0))="","",INDEX('REGISTRE TUBES'!$F$7:$F$2506,MATCH($C1755,'REGISTRE TUBES'!$B$7:$B$2506,0))),"?"))</f>
        <v>11.94</v>
      </c>
      <c r="G1755" s="94" t="n">
        <f aca="false">IF($C1755="","",N(G1754)+N(F1755))</f>
        <v>14171.9700000001</v>
      </c>
      <c r="H1755" s="95" t="s">
        <v>2756</v>
      </c>
      <c r="I1755" s="96"/>
      <c r="J1755" s="97"/>
    </row>
    <row r="1756" customFormat="false" ht="15" hidden="false" customHeight="false" outlineLevel="0" collapsed="false">
      <c r="B1756" s="98" t="n">
        <v>1194</v>
      </c>
      <c r="C1756" s="99" t="n">
        <v>2081790</v>
      </c>
      <c r="D1756" s="100" t="n">
        <f aca="false">IF($C1756="","",IFERROR(IF(INDEX('REGISTRE TUBES'!$C$7:$C$2506,MATCH($C1756,'REGISTRE TUBES'!$B$7:$B$2506,0))="","",INDEX('REGISTRE TUBES'!$C$7:$C$2506,MATCH($C1756,'REGISTRE TUBES'!$B$7:$B$2506,0))),"?"))</f>
        <v>15421103</v>
      </c>
      <c r="E1756" s="100" t="str">
        <f aca="false">IF($C1756="","",IFERROR(IF(INDEX('REGISTRE TUBES'!$D$7:$D$2506,MATCH($C1756,'REGISTRE TUBES'!$B$7:$B$2506,0))="","",INDEX('REGISTRE TUBES'!$D$7:$D$2506,MATCH($C1756,'REGISTRE TUBES'!$B$7:$B$2506,0))),"?"))</f>
        <v/>
      </c>
      <c r="F1756" s="101" t="n">
        <f aca="false">IF($C1756="","",IFERROR(IF(INDEX('REGISTRE TUBES'!$F$7:$F$2506,MATCH($C1756,'REGISTRE TUBES'!$B$7:$B$2506,0))="","",INDEX('REGISTRE TUBES'!$F$7:$F$2506,MATCH($C1756,'REGISTRE TUBES'!$B$7:$B$2506,0))),"?"))</f>
        <v>11.94</v>
      </c>
      <c r="G1756" s="102" t="n">
        <f aca="false">IF($C1756="","",N(G1755)+N(F1756))</f>
        <v>14183.9100000001</v>
      </c>
      <c r="H1756" s="103" t="s">
        <v>2757</v>
      </c>
      <c r="I1756" s="104"/>
      <c r="J1756" s="105"/>
    </row>
    <row r="1757" customFormat="false" ht="15" hidden="false" customHeight="false" outlineLevel="0" collapsed="false">
      <c r="B1757" s="90" t="n">
        <v>1195</v>
      </c>
      <c r="C1757" s="91" t="n">
        <v>2097930</v>
      </c>
      <c r="D1757" s="92" t="n">
        <f aca="false">IF($C1757="","",IFERROR(IF(INDEX('REGISTRE TUBES'!$C$7:$C$2506,MATCH($C1757,'REGISTRE TUBES'!$B$7:$B$2506,0))="","",INDEX('REGISTRE TUBES'!$C$7:$C$2506,MATCH($C1757,'REGISTRE TUBES'!$B$7:$B$2506,0))),"?"))</f>
        <v>15421112</v>
      </c>
      <c r="E1757" s="92" t="str">
        <f aca="false">IF($C1757="","",IFERROR(IF(INDEX('REGISTRE TUBES'!$D$7:$D$2506,MATCH($C1757,'REGISTRE TUBES'!$B$7:$B$2506,0))="","",INDEX('REGISTRE TUBES'!$D$7:$D$2506,MATCH($C1757,'REGISTRE TUBES'!$B$7:$B$2506,0))),"?"))</f>
        <v/>
      </c>
      <c r="F1757" s="93" t="n">
        <f aca="false">IF($C1757="","",IFERROR(IF(INDEX('REGISTRE TUBES'!$F$7:$F$2506,MATCH($C1757,'REGISTRE TUBES'!$B$7:$B$2506,0))="","",INDEX('REGISTRE TUBES'!$F$7:$F$2506,MATCH($C1757,'REGISTRE TUBES'!$B$7:$B$2506,0))),"?"))</f>
        <v>11.94</v>
      </c>
      <c r="G1757" s="94" t="n">
        <f aca="false">IF($C1757="","",N(G1756)+N(F1757))</f>
        <v>14195.8500000001</v>
      </c>
      <c r="H1757" s="95" t="s">
        <v>2758</v>
      </c>
      <c r="I1757" s="96"/>
      <c r="J1757" s="97"/>
    </row>
    <row r="1758" customFormat="false" ht="15" hidden="false" customHeight="false" outlineLevel="0" collapsed="false">
      <c r="B1758" s="98" t="n">
        <v>1196</v>
      </c>
      <c r="C1758" s="99" t="n">
        <v>2087660</v>
      </c>
      <c r="D1758" s="100" t="n">
        <f aca="false">IF($C1758="","",IFERROR(IF(INDEX('REGISTRE TUBES'!$C$7:$C$2506,MATCH($C1758,'REGISTRE TUBES'!$B$7:$B$2506,0))="","",INDEX('REGISTRE TUBES'!$C$7:$C$2506,MATCH($C1758,'REGISTRE TUBES'!$B$7:$B$2506,0))),"?"))</f>
        <v>15421108</v>
      </c>
      <c r="E1758" s="100" t="str">
        <f aca="false">IF($C1758="","",IFERROR(IF(INDEX('REGISTRE TUBES'!$D$7:$D$2506,MATCH($C1758,'REGISTRE TUBES'!$B$7:$B$2506,0))="","",INDEX('REGISTRE TUBES'!$D$7:$D$2506,MATCH($C1758,'REGISTRE TUBES'!$B$7:$B$2506,0))),"?"))</f>
        <v/>
      </c>
      <c r="F1758" s="101" t="n">
        <f aca="false">IF($C1758="","",IFERROR(IF(INDEX('REGISTRE TUBES'!$F$7:$F$2506,MATCH($C1758,'REGISTRE TUBES'!$B$7:$B$2506,0))="","",INDEX('REGISTRE TUBES'!$F$7:$F$2506,MATCH($C1758,'REGISTRE TUBES'!$B$7:$B$2506,0))),"?"))</f>
        <v>11.94</v>
      </c>
      <c r="G1758" s="102" t="n">
        <f aca="false">IF($C1758="","",N(G1757)+N(F1758))</f>
        <v>14207.7900000001</v>
      </c>
      <c r="H1758" s="103" t="s">
        <v>2759</v>
      </c>
      <c r="I1758" s="104"/>
      <c r="J1758" s="105"/>
    </row>
    <row r="1759" customFormat="false" ht="15" hidden="false" customHeight="false" outlineLevel="0" collapsed="false">
      <c r="B1759" s="90" t="n">
        <v>1197</v>
      </c>
      <c r="C1759" s="91" t="n">
        <v>2094300</v>
      </c>
      <c r="D1759" s="92" t="n">
        <f aca="false">IF($C1759="","",IFERROR(IF(INDEX('REGISTRE TUBES'!$C$7:$C$2506,MATCH($C1759,'REGISTRE TUBES'!$B$7:$B$2506,0))="","",INDEX('REGISTRE TUBES'!$C$7:$C$2506,MATCH($C1759,'REGISTRE TUBES'!$B$7:$B$2506,0))),"?"))</f>
        <v>15421110</v>
      </c>
      <c r="E1759" s="92" t="str">
        <f aca="false">IF($C1759="","",IFERROR(IF(INDEX('REGISTRE TUBES'!$D$7:$D$2506,MATCH($C1759,'REGISTRE TUBES'!$B$7:$B$2506,0))="","",INDEX('REGISTRE TUBES'!$D$7:$D$2506,MATCH($C1759,'REGISTRE TUBES'!$B$7:$B$2506,0))),"?"))</f>
        <v/>
      </c>
      <c r="F1759" s="93" t="n">
        <f aca="false">IF($C1759="","",IFERROR(IF(INDEX('REGISTRE TUBES'!$F$7:$F$2506,MATCH($C1759,'REGISTRE TUBES'!$B$7:$B$2506,0))="","",INDEX('REGISTRE TUBES'!$F$7:$F$2506,MATCH($C1759,'REGISTRE TUBES'!$B$7:$B$2506,0))),"?"))</f>
        <v>11.94</v>
      </c>
      <c r="G1759" s="94" t="n">
        <f aca="false">IF($C1759="","",N(G1758)+N(F1759))</f>
        <v>14219.7300000001</v>
      </c>
      <c r="H1759" s="95" t="s">
        <v>2760</v>
      </c>
      <c r="I1759" s="96"/>
      <c r="J1759" s="97"/>
    </row>
    <row r="1760" customFormat="false" ht="15" hidden="false" customHeight="true" outlineLevel="0" collapsed="false">
      <c r="B1760" s="106" t="s">
        <v>3031</v>
      </c>
      <c r="C1760" s="106"/>
      <c r="D1760" s="106"/>
      <c r="E1760" s="106"/>
      <c r="F1760" s="107" t="n">
        <f aca="false">SUM(F1741:F1759)</f>
        <v>226.86</v>
      </c>
      <c r="G1760" s="108" t="n">
        <f aca="false">IF(COUNT(G1741:G1759)=0,"",MAX(G1741:G1759))</f>
        <v>14219.7300000001</v>
      </c>
      <c r="H1760" s="106" t="str">
        <f aca="false">COUNTA(C1741:C1759)&amp;" tube(s)"</f>
        <v>19 tube(s)</v>
      </c>
      <c r="I1760" s="106"/>
      <c r="J1760" s="106"/>
    </row>
    <row r="1762" customFormat="false" ht="15" hidden="false" customHeight="false" outlineLevel="0" collapsed="false">
      <c r="B1762" s="109" t="s">
        <v>3032</v>
      </c>
      <c r="F1762" s="109" t="s">
        <v>3033</v>
      </c>
      <c r="I1762" s="109" t="s">
        <v>3034</v>
      </c>
    </row>
    <row r="1765" customFormat="false" ht="25.5" hidden="false" customHeight="true" outlineLevel="0" collapsed="false">
      <c r="B1765" s="85" t="s">
        <v>3015</v>
      </c>
      <c r="C1765" s="85"/>
      <c r="D1765" s="85"/>
      <c r="E1765" s="85"/>
      <c r="F1765" s="85"/>
      <c r="G1765" s="85"/>
      <c r="H1765" s="85"/>
      <c r="I1765" s="85"/>
      <c r="J1765" s="85"/>
    </row>
    <row r="1766" customFormat="false" ht="15" hidden="false" customHeight="false" outlineLevel="0" collapsed="false">
      <c r="B1766" s="86" t="str">
        <f aca="false">PARAMÈTRES!$C$4&amp;"   •   Affaire N° "&amp;PARAMÈTRES!$C$5</f>
        <v>Développement des champs gaziers TFT II — réseau de collecte TFT Sud (LIGNE-16)   •   Affaire N° 8546</v>
      </c>
      <c r="C1766" s="86"/>
      <c r="D1766" s="86"/>
      <c r="E1766" s="86"/>
      <c r="F1766" s="86"/>
      <c r="G1766" s="86"/>
      <c r="H1766" s="86"/>
      <c r="I1766" s="86"/>
      <c r="J1766" s="86"/>
    </row>
    <row r="1767" customFormat="false" ht="19.5" hidden="false" customHeight="true" outlineLevel="0" collapsed="false">
      <c r="B1767" s="87" t="s">
        <v>3016</v>
      </c>
      <c r="C1767" s="88" t="s">
        <v>110</v>
      </c>
      <c r="D1767" s="88"/>
      <c r="E1767" s="87" t="s">
        <v>3017</v>
      </c>
      <c r="F1767" s="88" t="s">
        <v>3159</v>
      </c>
      <c r="G1767" s="87" t="s">
        <v>3019</v>
      </c>
      <c r="H1767" s="88" t="s">
        <v>3160</v>
      </c>
      <c r="I1767" s="87" t="s">
        <v>3021</v>
      </c>
      <c r="J1767" s="89"/>
    </row>
    <row r="1768" customFormat="false" ht="27.75" hidden="false" customHeight="true" outlineLevel="0" collapsed="false">
      <c r="B1768" s="71" t="s">
        <v>3022</v>
      </c>
      <c r="C1768" s="71" t="s">
        <v>3023</v>
      </c>
      <c r="D1768" s="71" t="s">
        <v>3024</v>
      </c>
      <c r="E1768" s="71" t="s">
        <v>3025</v>
      </c>
      <c r="F1768" s="71" t="s">
        <v>3026</v>
      </c>
      <c r="G1768" s="71" t="s">
        <v>3027</v>
      </c>
      <c r="H1768" s="71" t="s">
        <v>3028</v>
      </c>
      <c r="I1768" s="71" t="s">
        <v>3029</v>
      </c>
      <c r="J1768" s="71" t="s">
        <v>3030</v>
      </c>
    </row>
    <row r="1769" customFormat="false" ht="15" hidden="false" customHeight="false" outlineLevel="0" collapsed="false">
      <c r="B1769" s="90" t="n">
        <v>1198</v>
      </c>
      <c r="C1769" s="91" t="n">
        <v>2087210</v>
      </c>
      <c r="D1769" s="92" t="n">
        <f aca="false">IF($C1769="","",IFERROR(IF(INDEX('REGISTRE TUBES'!$C$7:$C$2506,MATCH($C1769,'REGISTRE TUBES'!$B$7:$B$2506,0))="","",INDEX('REGISTRE TUBES'!$C$7:$C$2506,MATCH($C1769,'REGISTRE TUBES'!$B$7:$B$2506,0))),"?"))</f>
        <v>15421107</v>
      </c>
      <c r="E1769" s="92" t="str">
        <f aca="false">IF($C1769="","",IFERROR(IF(INDEX('REGISTRE TUBES'!$D$7:$D$2506,MATCH($C1769,'REGISTRE TUBES'!$B$7:$B$2506,0))="","",INDEX('REGISTRE TUBES'!$D$7:$D$2506,MATCH($C1769,'REGISTRE TUBES'!$B$7:$B$2506,0))),"?"))</f>
        <v/>
      </c>
      <c r="F1769" s="93" t="n">
        <f aca="false">IF($C1769="","",IFERROR(IF(INDEX('REGISTRE TUBES'!$F$7:$F$2506,MATCH($C1769,'REGISTRE TUBES'!$B$7:$B$2506,0))="","",INDEX('REGISTRE TUBES'!$F$7:$F$2506,MATCH($C1769,'REGISTRE TUBES'!$B$7:$B$2506,0))),"?"))</f>
        <v>11.94</v>
      </c>
      <c r="G1769" s="94" t="n">
        <f aca="false">IF($C1769="","",N(G1759)+N(F1769))</f>
        <v>14231.6700000001</v>
      </c>
      <c r="H1769" s="95" t="s">
        <v>2761</v>
      </c>
      <c r="I1769" s="96"/>
      <c r="J1769" s="97"/>
    </row>
    <row r="1770" customFormat="false" ht="15" hidden="false" customHeight="false" outlineLevel="0" collapsed="false">
      <c r="B1770" s="98" t="n">
        <v>1199</v>
      </c>
      <c r="C1770" s="99" t="n">
        <v>2082870</v>
      </c>
      <c r="D1770" s="100" t="n">
        <f aca="false">IF($C1770="","",IFERROR(IF(INDEX('REGISTRE TUBES'!$C$7:$C$2506,MATCH($C1770,'REGISTRE TUBES'!$B$7:$B$2506,0))="","",INDEX('REGISTRE TUBES'!$C$7:$C$2506,MATCH($C1770,'REGISTRE TUBES'!$B$7:$B$2506,0))),"?"))</f>
        <v>15421109</v>
      </c>
      <c r="E1770" s="100" t="str">
        <f aca="false">IF($C1770="","",IFERROR(IF(INDEX('REGISTRE TUBES'!$D$7:$D$2506,MATCH($C1770,'REGISTRE TUBES'!$B$7:$B$2506,0))="","",INDEX('REGISTRE TUBES'!$D$7:$D$2506,MATCH($C1770,'REGISTRE TUBES'!$B$7:$B$2506,0))),"?"))</f>
        <v/>
      </c>
      <c r="F1770" s="101" t="n">
        <f aca="false">IF($C1770="","",IFERROR(IF(INDEX('REGISTRE TUBES'!$F$7:$F$2506,MATCH($C1770,'REGISTRE TUBES'!$B$7:$B$2506,0))="","",INDEX('REGISTRE TUBES'!$F$7:$F$2506,MATCH($C1770,'REGISTRE TUBES'!$B$7:$B$2506,0))),"?"))</f>
        <v>11.94</v>
      </c>
      <c r="G1770" s="102" t="n">
        <f aca="false">IF($C1770="","",N(G1769)+N(F1770))</f>
        <v>14243.6100000001</v>
      </c>
      <c r="H1770" s="103" t="s">
        <v>2762</v>
      </c>
      <c r="I1770" s="104"/>
      <c r="J1770" s="105"/>
    </row>
    <row r="1771" customFormat="false" ht="15" hidden="false" customHeight="false" outlineLevel="0" collapsed="false">
      <c r="B1771" s="90" t="n">
        <v>1200</v>
      </c>
      <c r="C1771" s="91" t="n">
        <v>2098360</v>
      </c>
      <c r="D1771" s="92" t="n">
        <f aca="false">IF($C1771="","",IFERROR(IF(INDEX('REGISTRE TUBES'!$C$7:$C$2506,MATCH($C1771,'REGISTRE TUBES'!$B$7:$B$2506,0))="","",INDEX('REGISTRE TUBES'!$C$7:$C$2506,MATCH($C1771,'REGISTRE TUBES'!$B$7:$B$2506,0))),"?"))</f>
        <v>15421112</v>
      </c>
      <c r="E1771" s="92" t="str">
        <f aca="false">IF($C1771="","",IFERROR(IF(INDEX('REGISTRE TUBES'!$D$7:$D$2506,MATCH($C1771,'REGISTRE TUBES'!$B$7:$B$2506,0))="","",INDEX('REGISTRE TUBES'!$D$7:$D$2506,MATCH($C1771,'REGISTRE TUBES'!$B$7:$B$2506,0))),"?"))</f>
        <v/>
      </c>
      <c r="F1771" s="93" t="n">
        <f aca="false">IF($C1771="","",IFERROR(IF(INDEX('REGISTRE TUBES'!$F$7:$F$2506,MATCH($C1771,'REGISTRE TUBES'!$B$7:$B$2506,0))="","",INDEX('REGISTRE TUBES'!$F$7:$F$2506,MATCH($C1771,'REGISTRE TUBES'!$B$7:$B$2506,0))),"?"))</f>
        <v>11.94</v>
      </c>
      <c r="G1771" s="94" t="n">
        <f aca="false">IF($C1771="","",N(G1770)+N(F1771))</f>
        <v>14255.5500000001</v>
      </c>
      <c r="H1771" s="95" t="s">
        <v>2766</v>
      </c>
      <c r="I1771" s="96"/>
      <c r="J1771" s="97"/>
    </row>
    <row r="1772" customFormat="false" ht="15" hidden="false" customHeight="false" outlineLevel="0" collapsed="false">
      <c r="B1772" s="98" t="n">
        <v>1201</v>
      </c>
      <c r="C1772" s="99" t="n">
        <v>2089580</v>
      </c>
      <c r="D1772" s="100" t="n">
        <f aca="false">IF($C1772="","",IFERROR(IF(INDEX('REGISTRE TUBES'!$C$7:$C$2506,MATCH($C1772,'REGISTRE TUBES'!$B$7:$B$2506,0))="","",INDEX('REGISTRE TUBES'!$C$7:$C$2506,MATCH($C1772,'REGISTRE TUBES'!$B$7:$B$2506,0))),"?"))</f>
        <v>15421109</v>
      </c>
      <c r="E1772" s="100" t="str">
        <f aca="false">IF($C1772="","",IFERROR(IF(INDEX('REGISTRE TUBES'!$D$7:$D$2506,MATCH($C1772,'REGISTRE TUBES'!$B$7:$B$2506,0))="","",INDEX('REGISTRE TUBES'!$D$7:$D$2506,MATCH($C1772,'REGISTRE TUBES'!$B$7:$B$2506,0))),"?"))</f>
        <v/>
      </c>
      <c r="F1772" s="101" t="n">
        <f aca="false">IF($C1772="","",IFERROR(IF(INDEX('REGISTRE TUBES'!$F$7:$F$2506,MATCH($C1772,'REGISTRE TUBES'!$B$7:$B$2506,0))="","",INDEX('REGISTRE TUBES'!$F$7:$F$2506,MATCH($C1772,'REGISTRE TUBES'!$B$7:$B$2506,0))),"?"))</f>
        <v>11.94</v>
      </c>
      <c r="G1772" s="102" t="n">
        <f aca="false">IF($C1772="","",N(G1771)+N(F1772))</f>
        <v>14267.4900000001</v>
      </c>
      <c r="H1772" s="103" t="s">
        <v>2768</v>
      </c>
      <c r="I1772" s="104"/>
      <c r="J1772" s="105"/>
    </row>
    <row r="1773" customFormat="false" ht="15" hidden="false" customHeight="false" outlineLevel="0" collapsed="false">
      <c r="B1773" s="90" t="n">
        <v>1202</v>
      </c>
      <c r="C1773" s="91" t="n">
        <v>2081750</v>
      </c>
      <c r="D1773" s="92" t="n">
        <f aca="false">IF($C1773="","",IFERROR(IF(INDEX('REGISTRE TUBES'!$C$7:$C$2506,MATCH($C1773,'REGISTRE TUBES'!$B$7:$B$2506,0))="","",INDEX('REGISTRE TUBES'!$C$7:$C$2506,MATCH($C1773,'REGISTRE TUBES'!$B$7:$B$2506,0))),"?"))</f>
        <v>15421103</v>
      </c>
      <c r="E1773" s="92" t="str">
        <f aca="false">IF($C1773="","",IFERROR(IF(INDEX('REGISTRE TUBES'!$D$7:$D$2506,MATCH($C1773,'REGISTRE TUBES'!$B$7:$B$2506,0))="","",INDEX('REGISTRE TUBES'!$D$7:$D$2506,MATCH($C1773,'REGISTRE TUBES'!$B$7:$B$2506,0))),"?"))</f>
        <v/>
      </c>
      <c r="F1773" s="93" t="n">
        <f aca="false">IF($C1773="","",IFERROR(IF(INDEX('REGISTRE TUBES'!$F$7:$F$2506,MATCH($C1773,'REGISTRE TUBES'!$B$7:$B$2506,0))="","",INDEX('REGISTRE TUBES'!$F$7:$F$2506,MATCH($C1773,'REGISTRE TUBES'!$B$7:$B$2506,0))),"?"))</f>
        <v>11.94</v>
      </c>
      <c r="G1773" s="94" t="n">
        <f aca="false">IF($C1773="","",N(G1772)+N(F1773))</f>
        <v>14279.4300000001</v>
      </c>
      <c r="H1773" s="95" t="s">
        <v>2782</v>
      </c>
      <c r="I1773" s="96"/>
      <c r="J1773" s="97"/>
    </row>
    <row r="1774" customFormat="false" ht="15" hidden="false" customHeight="false" outlineLevel="0" collapsed="false">
      <c r="B1774" s="98" t="n">
        <v>1203</v>
      </c>
      <c r="C1774" s="99" t="n">
        <v>2097780</v>
      </c>
      <c r="D1774" s="100" t="n">
        <f aca="false">IF($C1774="","",IFERROR(IF(INDEX('REGISTRE TUBES'!$C$7:$C$2506,MATCH($C1774,'REGISTRE TUBES'!$B$7:$B$2506,0))="","",INDEX('REGISTRE TUBES'!$C$7:$C$2506,MATCH($C1774,'REGISTRE TUBES'!$B$7:$B$2506,0))),"?"))</f>
        <v>15421112</v>
      </c>
      <c r="E1774" s="100" t="str">
        <f aca="false">IF($C1774="","",IFERROR(IF(INDEX('REGISTRE TUBES'!$D$7:$D$2506,MATCH($C1774,'REGISTRE TUBES'!$B$7:$B$2506,0))="","",INDEX('REGISTRE TUBES'!$D$7:$D$2506,MATCH($C1774,'REGISTRE TUBES'!$B$7:$B$2506,0))),"?"))</f>
        <v/>
      </c>
      <c r="F1774" s="101" t="n">
        <f aca="false">IF($C1774="","",IFERROR(IF(INDEX('REGISTRE TUBES'!$F$7:$F$2506,MATCH($C1774,'REGISTRE TUBES'!$B$7:$B$2506,0))="","",INDEX('REGISTRE TUBES'!$F$7:$F$2506,MATCH($C1774,'REGISTRE TUBES'!$B$7:$B$2506,0))),"?"))</f>
        <v>11.94</v>
      </c>
      <c r="G1774" s="102" t="n">
        <f aca="false">IF($C1774="","",N(G1773)+N(F1774))</f>
        <v>14291.3700000001</v>
      </c>
      <c r="H1774" s="103" t="s">
        <v>2783</v>
      </c>
      <c r="I1774" s="104"/>
      <c r="J1774" s="105"/>
    </row>
    <row r="1775" customFormat="false" ht="15" hidden="false" customHeight="false" outlineLevel="0" collapsed="false">
      <c r="B1775" s="90" t="n">
        <v>1204</v>
      </c>
      <c r="C1775" s="91" t="n">
        <v>20889420</v>
      </c>
      <c r="D1775" s="92" t="n">
        <f aca="false">IF($C1775="","",IFERROR(IF(INDEX('REGISTRE TUBES'!$C$7:$C$2506,MATCH($C1775,'REGISTRE TUBES'!$B$7:$B$2506,0))="","",INDEX('REGISTRE TUBES'!$C$7:$C$2506,MATCH($C1775,'REGISTRE TUBES'!$B$7:$B$2506,0))),"?"))</f>
        <v>15421109</v>
      </c>
      <c r="E1775" s="92" t="str">
        <f aca="false">IF($C1775="","",IFERROR(IF(INDEX('REGISTRE TUBES'!$D$7:$D$2506,MATCH($C1775,'REGISTRE TUBES'!$B$7:$B$2506,0))="","",INDEX('REGISTRE TUBES'!$D$7:$D$2506,MATCH($C1775,'REGISTRE TUBES'!$B$7:$B$2506,0))),"?"))</f>
        <v/>
      </c>
      <c r="F1775" s="93" t="n">
        <f aca="false">IF($C1775="","",IFERROR(IF(INDEX('REGISTRE TUBES'!$F$7:$F$2506,MATCH($C1775,'REGISTRE TUBES'!$B$7:$B$2506,0))="","",INDEX('REGISTRE TUBES'!$F$7:$F$2506,MATCH($C1775,'REGISTRE TUBES'!$B$7:$B$2506,0))),"?"))</f>
        <v>11.94</v>
      </c>
      <c r="G1775" s="94" t="n">
        <f aca="false">IF($C1775="","",N(G1774)+N(F1775))</f>
        <v>14303.3100000001</v>
      </c>
      <c r="H1775" s="95"/>
      <c r="I1775" s="96"/>
      <c r="J1775" s="97"/>
    </row>
    <row r="1776" customFormat="false" ht="15" hidden="false" customHeight="false" outlineLevel="0" collapsed="false">
      <c r="B1776" s="98" t="n">
        <v>1205</v>
      </c>
      <c r="C1776" s="99" t="n">
        <v>2089420</v>
      </c>
      <c r="D1776" s="100" t="n">
        <f aca="false">IF($C1776="","",IFERROR(IF(INDEX('REGISTRE TUBES'!$C$7:$C$2506,MATCH($C1776,'REGISTRE TUBES'!$B$7:$B$2506,0))="","",INDEX('REGISTRE TUBES'!$C$7:$C$2506,MATCH($C1776,'REGISTRE TUBES'!$B$7:$B$2506,0))),"?"))</f>
        <v>15421109</v>
      </c>
      <c r="E1776" s="100" t="str">
        <f aca="false">IF($C1776="","",IFERROR(IF(INDEX('REGISTRE TUBES'!$D$7:$D$2506,MATCH($C1776,'REGISTRE TUBES'!$B$7:$B$2506,0))="","",INDEX('REGISTRE TUBES'!$D$7:$D$2506,MATCH($C1776,'REGISTRE TUBES'!$B$7:$B$2506,0))),"?"))</f>
        <v/>
      </c>
      <c r="F1776" s="101" t="n">
        <f aca="false">IF($C1776="","",IFERROR(IF(INDEX('REGISTRE TUBES'!$F$7:$F$2506,MATCH($C1776,'REGISTRE TUBES'!$B$7:$B$2506,0))="","",INDEX('REGISTRE TUBES'!$F$7:$F$2506,MATCH($C1776,'REGISTRE TUBES'!$B$7:$B$2506,0))),"?"))</f>
        <v>11.94</v>
      </c>
      <c r="G1776" s="102" t="n">
        <f aca="false">IF($C1776="","",N(G1775)+N(F1776))</f>
        <v>14315.2500000001</v>
      </c>
      <c r="H1776" s="103" t="s">
        <v>2784</v>
      </c>
      <c r="I1776" s="104"/>
      <c r="J1776" s="105"/>
    </row>
    <row r="1777" customFormat="false" ht="15" hidden="false" customHeight="false" outlineLevel="0" collapsed="false">
      <c r="B1777" s="90" t="n">
        <v>1206</v>
      </c>
      <c r="C1777" s="91" t="n">
        <v>2090480</v>
      </c>
      <c r="D1777" s="92" t="n">
        <f aca="false">IF($C1777="","",IFERROR(IF(INDEX('REGISTRE TUBES'!$C$7:$C$2506,MATCH($C1777,'REGISTRE TUBES'!$B$7:$B$2506,0))="","",INDEX('REGISTRE TUBES'!$C$7:$C$2506,MATCH($C1777,'REGISTRE TUBES'!$B$7:$B$2506,0))),"?"))</f>
        <v>15421109</v>
      </c>
      <c r="E1777" s="92" t="str">
        <f aca="false">IF($C1777="","",IFERROR(IF(INDEX('REGISTRE TUBES'!$D$7:$D$2506,MATCH($C1777,'REGISTRE TUBES'!$B$7:$B$2506,0))="","",INDEX('REGISTRE TUBES'!$D$7:$D$2506,MATCH($C1777,'REGISTRE TUBES'!$B$7:$B$2506,0))),"?"))</f>
        <v/>
      </c>
      <c r="F1777" s="93" t="n">
        <f aca="false">IF($C1777="","",IFERROR(IF(INDEX('REGISTRE TUBES'!$F$7:$F$2506,MATCH($C1777,'REGISTRE TUBES'!$B$7:$B$2506,0))="","",INDEX('REGISTRE TUBES'!$F$7:$F$2506,MATCH($C1777,'REGISTRE TUBES'!$B$7:$B$2506,0))),"?"))</f>
        <v>11.94</v>
      </c>
      <c r="G1777" s="94" t="n">
        <f aca="false">IF($C1777="","",N(G1776)+N(F1777))</f>
        <v>14327.1900000001</v>
      </c>
      <c r="H1777" s="95" t="s">
        <v>2785</v>
      </c>
      <c r="I1777" s="96"/>
      <c r="J1777" s="97"/>
    </row>
    <row r="1778" customFormat="false" ht="15" hidden="false" customHeight="false" outlineLevel="0" collapsed="false">
      <c r="B1778" s="98" t="n">
        <v>1207</v>
      </c>
      <c r="C1778" s="99" t="n">
        <v>2093050</v>
      </c>
      <c r="D1778" s="100" t="n">
        <f aca="false">IF($C1778="","",IFERROR(IF(INDEX('REGISTRE TUBES'!$C$7:$C$2506,MATCH($C1778,'REGISTRE TUBES'!$B$7:$B$2506,0))="","",INDEX('REGISTRE TUBES'!$C$7:$C$2506,MATCH($C1778,'REGISTRE TUBES'!$B$7:$B$2506,0))),"?"))</f>
        <v>15421110</v>
      </c>
      <c r="E1778" s="100" t="str">
        <f aca="false">IF($C1778="","",IFERROR(IF(INDEX('REGISTRE TUBES'!$D$7:$D$2506,MATCH($C1778,'REGISTRE TUBES'!$B$7:$B$2506,0))="","",INDEX('REGISTRE TUBES'!$D$7:$D$2506,MATCH($C1778,'REGISTRE TUBES'!$B$7:$B$2506,0))),"?"))</f>
        <v/>
      </c>
      <c r="F1778" s="101" t="n">
        <f aca="false">IF($C1778="","",IFERROR(IF(INDEX('REGISTRE TUBES'!$F$7:$F$2506,MATCH($C1778,'REGISTRE TUBES'!$B$7:$B$2506,0))="","",INDEX('REGISTRE TUBES'!$F$7:$F$2506,MATCH($C1778,'REGISTRE TUBES'!$B$7:$B$2506,0))),"?"))</f>
        <v>11.94</v>
      </c>
      <c r="G1778" s="102" t="n">
        <f aca="false">IF($C1778="","",N(G1777)+N(F1778))</f>
        <v>14339.1300000001</v>
      </c>
      <c r="H1778" s="103" t="s">
        <v>2787</v>
      </c>
      <c r="I1778" s="104"/>
      <c r="J1778" s="105"/>
    </row>
    <row r="1779" customFormat="false" ht="15" hidden="false" customHeight="false" outlineLevel="0" collapsed="false">
      <c r="B1779" s="90" t="n">
        <v>1208</v>
      </c>
      <c r="C1779" s="91" t="n">
        <v>209510</v>
      </c>
      <c r="D1779" s="92" t="n">
        <f aca="false">IF($C1779="","",IFERROR(IF(INDEX('REGISTRE TUBES'!$C$7:$C$2506,MATCH($C1779,'REGISTRE TUBES'!$B$7:$B$2506,0))="","",INDEX('REGISTRE TUBES'!$C$7:$C$2506,MATCH($C1779,'REGISTRE TUBES'!$B$7:$B$2506,0))),"?"))</f>
        <v>15421109</v>
      </c>
      <c r="E1779" s="92" t="str">
        <f aca="false">IF($C1779="","",IFERROR(IF(INDEX('REGISTRE TUBES'!$D$7:$D$2506,MATCH($C1779,'REGISTRE TUBES'!$B$7:$B$2506,0))="","",INDEX('REGISTRE TUBES'!$D$7:$D$2506,MATCH($C1779,'REGISTRE TUBES'!$B$7:$B$2506,0))),"?"))</f>
        <v/>
      </c>
      <c r="F1779" s="93" t="n">
        <f aca="false">IF($C1779="","",IFERROR(IF(INDEX('REGISTRE TUBES'!$F$7:$F$2506,MATCH($C1779,'REGISTRE TUBES'!$B$7:$B$2506,0))="","",INDEX('REGISTRE TUBES'!$F$7:$F$2506,MATCH($C1779,'REGISTRE TUBES'!$B$7:$B$2506,0))),"?"))</f>
        <v>11.94</v>
      </c>
      <c r="G1779" s="94" t="n">
        <f aca="false">IF($C1779="","",N(G1778)+N(F1779))</f>
        <v>14351.0700000001</v>
      </c>
      <c r="H1779" s="95" t="s">
        <v>2788</v>
      </c>
      <c r="I1779" s="96"/>
      <c r="J1779" s="97"/>
    </row>
    <row r="1780" customFormat="false" ht="15" hidden="false" customHeight="false" outlineLevel="0" collapsed="false">
      <c r="B1780" s="98" t="n">
        <v>1209</v>
      </c>
      <c r="C1780" s="99" t="n">
        <v>2096580</v>
      </c>
      <c r="D1780" s="100" t="n">
        <f aca="false">IF($C1780="","",IFERROR(IF(INDEX('REGISTRE TUBES'!$C$7:$C$2506,MATCH($C1780,'REGISTRE TUBES'!$B$7:$B$2506,0))="","",INDEX('REGISTRE TUBES'!$C$7:$C$2506,MATCH($C1780,'REGISTRE TUBES'!$B$7:$B$2506,0))),"?"))</f>
        <v>15421111</v>
      </c>
      <c r="E1780" s="100" t="str">
        <f aca="false">IF($C1780="","",IFERROR(IF(INDEX('REGISTRE TUBES'!$D$7:$D$2506,MATCH($C1780,'REGISTRE TUBES'!$B$7:$B$2506,0))="","",INDEX('REGISTRE TUBES'!$D$7:$D$2506,MATCH($C1780,'REGISTRE TUBES'!$B$7:$B$2506,0))),"?"))</f>
        <v/>
      </c>
      <c r="F1780" s="101" t="n">
        <f aca="false">IF($C1780="","",IFERROR(IF(INDEX('REGISTRE TUBES'!$F$7:$F$2506,MATCH($C1780,'REGISTRE TUBES'!$B$7:$B$2506,0))="","",INDEX('REGISTRE TUBES'!$F$7:$F$2506,MATCH($C1780,'REGISTRE TUBES'!$B$7:$B$2506,0))),"?"))</f>
        <v>11.94</v>
      </c>
      <c r="G1780" s="102" t="n">
        <f aca="false">IF($C1780="","",N(G1779)+N(F1780))</f>
        <v>14363.0100000001</v>
      </c>
      <c r="H1780" s="103" t="s">
        <v>2789</v>
      </c>
      <c r="I1780" s="104"/>
      <c r="J1780" s="105"/>
    </row>
    <row r="1781" customFormat="false" ht="15" hidden="false" customHeight="false" outlineLevel="0" collapsed="false">
      <c r="B1781" s="90" t="n">
        <v>1210</v>
      </c>
      <c r="C1781" s="91" t="n">
        <v>2090170</v>
      </c>
      <c r="D1781" s="92" t="n">
        <f aca="false">IF($C1781="","",IFERROR(IF(INDEX('REGISTRE TUBES'!$C$7:$C$2506,MATCH($C1781,'REGISTRE TUBES'!$B$7:$B$2506,0))="","",INDEX('REGISTRE TUBES'!$C$7:$C$2506,MATCH($C1781,'REGISTRE TUBES'!$B$7:$B$2506,0))),"?"))</f>
        <v>15421109</v>
      </c>
      <c r="E1781" s="92" t="str">
        <f aca="false">IF($C1781="","",IFERROR(IF(INDEX('REGISTRE TUBES'!$D$7:$D$2506,MATCH($C1781,'REGISTRE TUBES'!$B$7:$B$2506,0))="","",INDEX('REGISTRE TUBES'!$D$7:$D$2506,MATCH($C1781,'REGISTRE TUBES'!$B$7:$B$2506,0))),"?"))</f>
        <v/>
      </c>
      <c r="F1781" s="93" t="n">
        <f aca="false">IF($C1781="","",IFERROR(IF(INDEX('REGISTRE TUBES'!$F$7:$F$2506,MATCH($C1781,'REGISTRE TUBES'!$B$7:$B$2506,0))="","",INDEX('REGISTRE TUBES'!$F$7:$F$2506,MATCH($C1781,'REGISTRE TUBES'!$B$7:$B$2506,0))),"?"))</f>
        <v>11.94</v>
      </c>
      <c r="G1781" s="94" t="n">
        <f aca="false">IF($C1781="","",N(G1780)+N(F1781))</f>
        <v>14374.9500000001</v>
      </c>
      <c r="H1781" s="95" t="s">
        <v>2790</v>
      </c>
      <c r="I1781" s="96"/>
      <c r="J1781" s="97"/>
    </row>
    <row r="1782" customFormat="false" ht="15" hidden="false" customHeight="false" outlineLevel="0" collapsed="false">
      <c r="B1782" s="98" t="n">
        <v>1211</v>
      </c>
      <c r="C1782" s="99" t="n">
        <v>2097950</v>
      </c>
      <c r="D1782" s="100" t="n">
        <f aca="false">IF($C1782="","",IFERROR(IF(INDEX('REGISTRE TUBES'!$C$7:$C$2506,MATCH($C1782,'REGISTRE TUBES'!$B$7:$B$2506,0))="","",INDEX('REGISTRE TUBES'!$C$7:$C$2506,MATCH($C1782,'REGISTRE TUBES'!$B$7:$B$2506,0))),"?"))</f>
        <v>15421112</v>
      </c>
      <c r="E1782" s="100" t="str">
        <f aca="false">IF($C1782="","",IFERROR(IF(INDEX('REGISTRE TUBES'!$D$7:$D$2506,MATCH($C1782,'REGISTRE TUBES'!$B$7:$B$2506,0))="","",INDEX('REGISTRE TUBES'!$D$7:$D$2506,MATCH($C1782,'REGISTRE TUBES'!$B$7:$B$2506,0))),"?"))</f>
        <v/>
      </c>
      <c r="F1782" s="101" t="n">
        <f aca="false">IF($C1782="","",IFERROR(IF(INDEX('REGISTRE TUBES'!$F$7:$F$2506,MATCH($C1782,'REGISTRE TUBES'!$B$7:$B$2506,0))="","",INDEX('REGISTRE TUBES'!$F$7:$F$2506,MATCH($C1782,'REGISTRE TUBES'!$B$7:$B$2506,0))),"?"))</f>
        <v>11.94</v>
      </c>
      <c r="G1782" s="102" t="n">
        <f aca="false">IF($C1782="","",N(G1781)+N(F1782))</f>
        <v>14386.8900000001</v>
      </c>
      <c r="H1782" s="103" t="s">
        <v>2793</v>
      </c>
      <c r="I1782" s="104"/>
      <c r="J1782" s="105"/>
    </row>
    <row r="1783" customFormat="false" ht="15" hidden="false" customHeight="false" outlineLevel="0" collapsed="false">
      <c r="B1783" s="90" t="n">
        <v>1212</v>
      </c>
      <c r="C1783" s="91" t="n">
        <v>2090660</v>
      </c>
      <c r="D1783" s="92" t="n">
        <f aca="false">IF($C1783="","",IFERROR(IF(INDEX('REGISTRE TUBES'!$C$7:$C$2506,MATCH($C1783,'REGISTRE TUBES'!$B$7:$B$2506,0))="","",INDEX('REGISTRE TUBES'!$C$7:$C$2506,MATCH($C1783,'REGISTRE TUBES'!$B$7:$B$2506,0))),"?"))</f>
        <v>15421109</v>
      </c>
      <c r="E1783" s="92" t="str">
        <f aca="false">IF($C1783="","",IFERROR(IF(INDEX('REGISTRE TUBES'!$D$7:$D$2506,MATCH($C1783,'REGISTRE TUBES'!$B$7:$B$2506,0))="","",INDEX('REGISTRE TUBES'!$D$7:$D$2506,MATCH($C1783,'REGISTRE TUBES'!$B$7:$B$2506,0))),"?"))</f>
        <v/>
      </c>
      <c r="F1783" s="93" t="n">
        <f aca="false">IF($C1783="","",IFERROR(IF(INDEX('REGISTRE TUBES'!$F$7:$F$2506,MATCH($C1783,'REGISTRE TUBES'!$B$7:$B$2506,0))="","",INDEX('REGISTRE TUBES'!$F$7:$F$2506,MATCH($C1783,'REGISTRE TUBES'!$B$7:$B$2506,0))),"?"))</f>
        <v>11.94</v>
      </c>
      <c r="G1783" s="94" t="n">
        <f aca="false">IF($C1783="","",N(G1782)+N(F1783))</f>
        <v>14398.8300000001</v>
      </c>
      <c r="H1783" s="95" t="s">
        <v>2794</v>
      </c>
      <c r="I1783" s="96"/>
      <c r="J1783" s="97"/>
    </row>
    <row r="1784" customFormat="false" ht="15" hidden="false" customHeight="false" outlineLevel="0" collapsed="false">
      <c r="B1784" s="98" t="n">
        <v>1213</v>
      </c>
      <c r="C1784" s="99" t="n">
        <v>2081020</v>
      </c>
      <c r="D1784" s="100" t="n">
        <f aca="false">IF($C1784="","",IFERROR(IF(INDEX('REGISTRE TUBES'!$C$7:$C$2506,MATCH($C1784,'REGISTRE TUBES'!$B$7:$B$2506,0))="","",INDEX('REGISTRE TUBES'!$C$7:$C$2506,MATCH($C1784,'REGISTRE TUBES'!$B$7:$B$2506,0))),"?"))</f>
        <v>15421103</v>
      </c>
      <c r="E1784" s="100" t="str">
        <f aca="false">IF($C1784="","",IFERROR(IF(INDEX('REGISTRE TUBES'!$D$7:$D$2506,MATCH($C1784,'REGISTRE TUBES'!$B$7:$B$2506,0))="","",INDEX('REGISTRE TUBES'!$D$7:$D$2506,MATCH($C1784,'REGISTRE TUBES'!$B$7:$B$2506,0))),"?"))</f>
        <v/>
      </c>
      <c r="F1784" s="101" t="n">
        <f aca="false">IF($C1784="","",IFERROR(IF(INDEX('REGISTRE TUBES'!$F$7:$F$2506,MATCH($C1784,'REGISTRE TUBES'!$B$7:$B$2506,0))="","",INDEX('REGISTRE TUBES'!$F$7:$F$2506,MATCH($C1784,'REGISTRE TUBES'!$B$7:$B$2506,0))),"?"))</f>
        <v>11.94</v>
      </c>
      <c r="G1784" s="102" t="n">
        <f aca="false">IF($C1784="","",N(G1783)+N(F1784))</f>
        <v>14410.7700000001</v>
      </c>
      <c r="H1784" s="103" t="s">
        <v>2796</v>
      </c>
      <c r="I1784" s="104"/>
      <c r="J1784" s="105"/>
    </row>
    <row r="1785" customFormat="false" ht="15" hidden="false" customHeight="false" outlineLevel="0" collapsed="false">
      <c r="B1785" s="90" t="n">
        <v>1214</v>
      </c>
      <c r="C1785" s="91" t="n">
        <v>2087410</v>
      </c>
      <c r="D1785" s="92" t="n">
        <f aca="false">IF($C1785="","",IFERROR(IF(INDEX('REGISTRE TUBES'!$C$7:$C$2506,MATCH($C1785,'REGISTRE TUBES'!$B$7:$B$2506,0))="","",INDEX('REGISTRE TUBES'!$C$7:$C$2506,MATCH($C1785,'REGISTRE TUBES'!$B$7:$B$2506,0))),"?"))</f>
        <v>15421107</v>
      </c>
      <c r="E1785" s="92" t="str">
        <f aca="false">IF($C1785="","",IFERROR(IF(INDEX('REGISTRE TUBES'!$D$7:$D$2506,MATCH($C1785,'REGISTRE TUBES'!$B$7:$B$2506,0))="","",INDEX('REGISTRE TUBES'!$D$7:$D$2506,MATCH($C1785,'REGISTRE TUBES'!$B$7:$B$2506,0))),"?"))</f>
        <v/>
      </c>
      <c r="F1785" s="93" t="n">
        <f aca="false">IF($C1785="","",IFERROR(IF(INDEX('REGISTRE TUBES'!$F$7:$F$2506,MATCH($C1785,'REGISTRE TUBES'!$B$7:$B$2506,0))="","",INDEX('REGISTRE TUBES'!$F$7:$F$2506,MATCH($C1785,'REGISTRE TUBES'!$B$7:$B$2506,0))),"?"))</f>
        <v>11.94</v>
      </c>
      <c r="G1785" s="94" t="n">
        <f aca="false">IF($C1785="","",N(G1784)+N(F1785))</f>
        <v>14422.7100000001</v>
      </c>
      <c r="H1785" s="95" t="s">
        <v>2797</v>
      </c>
      <c r="I1785" s="96"/>
      <c r="J1785" s="97"/>
    </row>
    <row r="1786" customFormat="false" ht="15" hidden="false" customHeight="false" outlineLevel="0" collapsed="false">
      <c r="B1786" s="98" t="n">
        <v>1215</v>
      </c>
      <c r="C1786" s="99" t="n">
        <v>2091470</v>
      </c>
      <c r="D1786" s="100" t="n">
        <f aca="false">IF($C1786="","",IFERROR(IF(INDEX('REGISTRE TUBES'!$C$7:$C$2506,MATCH($C1786,'REGISTRE TUBES'!$B$7:$B$2506,0))="","",INDEX('REGISTRE TUBES'!$C$7:$C$2506,MATCH($C1786,'REGISTRE TUBES'!$B$7:$B$2506,0))),"?"))</f>
        <v>15421109</v>
      </c>
      <c r="E1786" s="100" t="str">
        <f aca="false">IF($C1786="","",IFERROR(IF(INDEX('REGISTRE TUBES'!$D$7:$D$2506,MATCH($C1786,'REGISTRE TUBES'!$B$7:$B$2506,0))="","",INDEX('REGISTRE TUBES'!$D$7:$D$2506,MATCH($C1786,'REGISTRE TUBES'!$B$7:$B$2506,0))),"?"))</f>
        <v/>
      </c>
      <c r="F1786" s="101" t="n">
        <f aca="false">IF($C1786="","",IFERROR(IF(INDEX('REGISTRE TUBES'!$F$7:$F$2506,MATCH($C1786,'REGISTRE TUBES'!$B$7:$B$2506,0))="","",INDEX('REGISTRE TUBES'!$F$7:$F$2506,MATCH($C1786,'REGISTRE TUBES'!$B$7:$B$2506,0))),"?"))</f>
        <v>11.94</v>
      </c>
      <c r="G1786" s="102" t="n">
        <f aca="false">IF($C1786="","",N(G1785)+N(F1786))</f>
        <v>14434.6500000001</v>
      </c>
      <c r="H1786" s="103" t="s">
        <v>2799</v>
      </c>
      <c r="I1786" s="104"/>
      <c r="J1786" s="105"/>
    </row>
    <row r="1787" customFormat="false" ht="15" hidden="false" customHeight="false" outlineLevel="0" collapsed="false">
      <c r="B1787" s="90" t="n">
        <v>1216</v>
      </c>
      <c r="C1787" s="91" t="n">
        <v>8085500</v>
      </c>
      <c r="D1787" s="92" t="n">
        <f aca="false">IF($C1787="","",IFERROR(IF(INDEX('REGISTRE TUBES'!$C$7:$C$2506,MATCH($C1787,'REGISTRE TUBES'!$B$7:$B$2506,0))="","",INDEX('REGISTRE TUBES'!$C$7:$C$2506,MATCH($C1787,'REGISTRE TUBES'!$B$7:$B$2506,0))),"?"))</f>
        <v>15421107</v>
      </c>
      <c r="E1787" s="92" t="str">
        <f aca="false">IF($C1787="","",IFERROR(IF(INDEX('REGISTRE TUBES'!$D$7:$D$2506,MATCH($C1787,'REGISTRE TUBES'!$B$7:$B$2506,0))="","",INDEX('REGISTRE TUBES'!$D$7:$D$2506,MATCH($C1787,'REGISTRE TUBES'!$B$7:$B$2506,0))),"?"))</f>
        <v/>
      </c>
      <c r="F1787" s="93" t="n">
        <f aca="false">IF($C1787="","",IFERROR(IF(INDEX('REGISTRE TUBES'!$F$7:$F$2506,MATCH($C1787,'REGISTRE TUBES'!$B$7:$B$2506,0))="","",INDEX('REGISTRE TUBES'!$F$7:$F$2506,MATCH($C1787,'REGISTRE TUBES'!$B$7:$B$2506,0))),"?"))</f>
        <v>11.94</v>
      </c>
      <c r="G1787" s="94" t="n">
        <f aca="false">IF($C1787="","",N(G1786)+N(F1787))</f>
        <v>14446.5900000001</v>
      </c>
      <c r="H1787" s="95" t="s">
        <v>2800</v>
      </c>
      <c r="I1787" s="96"/>
      <c r="J1787" s="97"/>
    </row>
    <row r="1788" customFormat="false" ht="15" hidden="false" customHeight="true" outlineLevel="0" collapsed="false">
      <c r="B1788" s="106" t="s">
        <v>3031</v>
      </c>
      <c r="C1788" s="106"/>
      <c r="D1788" s="106"/>
      <c r="E1788" s="106"/>
      <c r="F1788" s="107" t="n">
        <f aca="false">SUM(F1769:F1787)</f>
        <v>226.86</v>
      </c>
      <c r="G1788" s="108" t="n">
        <f aca="false">IF(COUNT(G1769:G1787)=0,"",MAX(G1769:G1787))</f>
        <v>14446.5900000001</v>
      </c>
      <c r="H1788" s="106" t="str">
        <f aca="false">COUNTA(C1769:C1787)&amp;" tube(s)"</f>
        <v>19 tube(s)</v>
      </c>
      <c r="I1788" s="106"/>
      <c r="J1788" s="106"/>
    </row>
    <row r="1790" customFormat="false" ht="15" hidden="false" customHeight="false" outlineLevel="0" collapsed="false">
      <c r="B1790" s="109" t="s">
        <v>3032</v>
      </c>
      <c r="F1790" s="109" t="s">
        <v>3033</v>
      </c>
      <c r="I1790" s="109" t="s">
        <v>3034</v>
      </c>
    </row>
    <row r="1793" customFormat="false" ht="25.5" hidden="false" customHeight="true" outlineLevel="0" collapsed="false">
      <c r="B1793" s="85" t="s">
        <v>3015</v>
      </c>
      <c r="C1793" s="85"/>
      <c r="D1793" s="85"/>
      <c r="E1793" s="85"/>
      <c r="F1793" s="85"/>
      <c r="G1793" s="85"/>
      <c r="H1793" s="85"/>
      <c r="I1793" s="85"/>
      <c r="J1793" s="85"/>
    </row>
    <row r="1794" customFormat="false" ht="15" hidden="false" customHeight="false" outlineLevel="0" collapsed="false">
      <c r="B1794" s="86" t="str">
        <f aca="false">PARAMÈTRES!$C$4&amp;"   •   Affaire N° "&amp;PARAMÈTRES!$C$5</f>
        <v>Développement des champs gaziers TFT II — réseau de collecte TFT Sud (LIGNE-16)   •   Affaire N° 8546</v>
      </c>
      <c r="C1794" s="86"/>
      <c r="D1794" s="86"/>
      <c r="E1794" s="86"/>
      <c r="F1794" s="86"/>
      <c r="G1794" s="86"/>
      <c r="H1794" s="86"/>
      <c r="I1794" s="86"/>
      <c r="J1794" s="86"/>
    </row>
    <row r="1795" customFormat="false" ht="19.5" hidden="false" customHeight="true" outlineLevel="0" collapsed="false">
      <c r="B1795" s="87" t="s">
        <v>3016</v>
      </c>
      <c r="C1795" s="88" t="s">
        <v>110</v>
      </c>
      <c r="D1795" s="88"/>
      <c r="E1795" s="87" t="s">
        <v>3017</v>
      </c>
      <c r="F1795" s="88" t="s">
        <v>3161</v>
      </c>
      <c r="G1795" s="87" t="s">
        <v>3019</v>
      </c>
      <c r="H1795" s="88" t="s">
        <v>3162</v>
      </c>
      <c r="I1795" s="87" t="s">
        <v>3021</v>
      </c>
      <c r="J1795" s="89"/>
    </row>
    <row r="1796" customFormat="false" ht="27.75" hidden="false" customHeight="true" outlineLevel="0" collapsed="false">
      <c r="B1796" s="71" t="s">
        <v>3022</v>
      </c>
      <c r="C1796" s="71" t="s">
        <v>3023</v>
      </c>
      <c r="D1796" s="71" t="s">
        <v>3024</v>
      </c>
      <c r="E1796" s="71" t="s">
        <v>3025</v>
      </c>
      <c r="F1796" s="71" t="s">
        <v>3026</v>
      </c>
      <c r="G1796" s="71" t="s">
        <v>3027</v>
      </c>
      <c r="H1796" s="71" t="s">
        <v>3028</v>
      </c>
      <c r="I1796" s="71" t="s">
        <v>3029</v>
      </c>
      <c r="J1796" s="71" t="s">
        <v>3030</v>
      </c>
    </row>
    <row r="1797" customFormat="false" ht="15" hidden="false" customHeight="false" outlineLevel="0" collapsed="false">
      <c r="B1797" s="90" t="n">
        <v>1217</v>
      </c>
      <c r="C1797" s="91" t="n">
        <v>8087580</v>
      </c>
      <c r="D1797" s="92" t="n">
        <f aca="false">IF($C1797="","",IFERROR(IF(INDEX('REGISTRE TUBES'!$C$7:$C$2506,MATCH($C1797,'REGISTRE TUBES'!$B$7:$B$2506,0))="","",INDEX('REGISTRE TUBES'!$C$7:$C$2506,MATCH($C1797,'REGISTRE TUBES'!$B$7:$B$2506,0))),"?"))</f>
        <v>15421107</v>
      </c>
      <c r="E1797" s="92" t="str">
        <f aca="false">IF($C1797="","",IFERROR(IF(INDEX('REGISTRE TUBES'!$D$7:$D$2506,MATCH($C1797,'REGISTRE TUBES'!$B$7:$B$2506,0))="","",INDEX('REGISTRE TUBES'!$D$7:$D$2506,MATCH($C1797,'REGISTRE TUBES'!$B$7:$B$2506,0))),"?"))</f>
        <v/>
      </c>
      <c r="F1797" s="93" t="n">
        <f aca="false">IF($C1797="","",IFERROR(IF(INDEX('REGISTRE TUBES'!$F$7:$F$2506,MATCH($C1797,'REGISTRE TUBES'!$B$7:$B$2506,0))="","",INDEX('REGISTRE TUBES'!$F$7:$F$2506,MATCH($C1797,'REGISTRE TUBES'!$B$7:$B$2506,0))),"?"))</f>
        <v>11.94</v>
      </c>
      <c r="G1797" s="94" t="n">
        <f aca="false">IF($C1797="","",N(G1787)+N(F1797))</f>
        <v>14458.5300000001</v>
      </c>
      <c r="H1797" s="95" t="s">
        <v>2801</v>
      </c>
      <c r="I1797" s="96"/>
      <c r="J1797" s="97"/>
    </row>
    <row r="1798" customFormat="false" ht="15" hidden="false" customHeight="false" outlineLevel="0" collapsed="false">
      <c r="B1798" s="98" t="n">
        <v>1218</v>
      </c>
      <c r="C1798" s="99" t="n">
        <v>2086450</v>
      </c>
      <c r="D1798" s="100" t="n">
        <f aca="false">IF($C1798="","",IFERROR(IF(INDEX('REGISTRE TUBES'!$C$7:$C$2506,MATCH($C1798,'REGISTRE TUBES'!$B$7:$B$2506,0))="","",INDEX('REGISTRE TUBES'!$C$7:$C$2506,MATCH($C1798,'REGISTRE TUBES'!$B$7:$B$2506,0))),"?"))</f>
        <v>15421107</v>
      </c>
      <c r="E1798" s="100" t="str">
        <f aca="false">IF($C1798="","",IFERROR(IF(INDEX('REGISTRE TUBES'!$D$7:$D$2506,MATCH($C1798,'REGISTRE TUBES'!$B$7:$B$2506,0))="","",INDEX('REGISTRE TUBES'!$D$7:$D$2506,MATCH($C1798,'REGISTRE TUBES'!$B$7:$B$2506,0))),"?"))</f>
        <v/>
      </c>
      <c r="F1798" s="101" t="n">
        <f aca="false">IF($C1798="","",IFERROR(IF(INDEX('REGISTRE TUBES'!$F$7:$F$2506,MATCH($C1798,'REGISTRE TUBES'!$B$7:$B$2506,0))="","",INDEX('REGISTRE TUBES'!$F$7:$F$2506,MATCH($C1798,'REGISTRE TUBES'!$B$7:$B$2506,0))),"?"))</f>
        <v>11.94</v>
      </c>
      <c r="G1798" s="102" t="n">
        <f aca="false">IF($C1798="","",N(G1797)+N(F1798))</f>
        <v>14470.4700000001</v>
      </c>
      <c r="H1798" s="103" t="s">
        <v>2802</v>
      </c>
      <c r="I1798" s="104"/>
      <c r="J1798" s="105"/>
    </row>
    <row r="1799" customFormat="false" ht="15" hidden="false" customHeight="false" outlineLevel="0" collapsed="false">
      <c r="B1799" s="90" t="n">
        <v>1219</v>
      </c>
      <c r="C1799" s="91" t="n">
        <v>2085300</v>
      </c>
      <c r="D1799" s="92" t="n">
        <f aca="false">IF($C1799="","",IFERROR(IF(INDEX('REGISTRE TUBES'!$C$7:$C$2506,MATCH($C1799,'REGISTRE TUBES'!$B$7:$B$2506,0))="","",INDEX('REGISTRE TUBES'!$C$7:$C$2506,MATCH($C1799,'REGISTRE TUBES'!$B$7:$B$2506,0))),"?"))</f>
        <v>15421106</v>
      </c>
      <c r="E1799" s="92" t="str">
        <f aca="false">IF($C1799="","",IFERROR(IF(INDEX('REGISTRE TUBES'!$D$7:$D$2506,MATCH($C1799,'REGISTRE TUBES'!$B$7:$B$2506,0))="","",INDEX('REGISTRE TUBES'!$D$7:$D$2506,MATCH($C1799,'REGISTRE TUBES'!$B$7:$B$2506,0))),"?"))</f>
        <v/>
      </c>
      <c r="F1799" s="93" t="n">
        <f aca="false">IF($C1799="","",IFERROR(IF(INDEX('REGISTRE TUBES'!$F$7:$F$2506,MATCH($C1799,'REGISTRE TUBES'!$B$7:$B$2506,0))="","",INDEX('REGISTRE TUBES'!$F$7:$F$2506,MATCH($C1799,'REGISTRE TUBES'!$B$7:$B$2506,0))),"?"))</f>
        <v>11.94</v>
      </c>
      <c r="G1799" s="94" t="n">
        <f aca="false">IF($C1799="","",N(G1798)+N(F1799))</f>
        <v>14482.4100000001</v>
      </c>
      <c r="H1799" s="95" t="s">
        <v>2805</v>
      </c>
      <c r="I1799" s="96"/>
      <c r="J1799" s="97"/>
    </row>
    <row r="1800" customFormat="false" ht="15" hidden="false" customHeight="false" outlineLevel="0" collapsed="false">
      <c r="B1800" s="98" t="n">
        <v>1220</v>
      </c>
      <c r="C1800" s="99" t="n">
        <v>2082850</v>
      </c>
      <c r="D1800" s="100" t="n">
        <f aca="false">IF($C1800="","",IFERROR(IF(INDEX('REGISTRE TUBES'!$C$7:$C$2506,MATCH($C1800,'REGISTRE TUBES'!$B$7:$B$2506,0))="","",INDEX('REGISTRE TUBES'!$C$7:$C$2506,MATCH($C1800,'REGISTRE TUBES'!$B$7:$B$2506,0))),"?"))</f>
        <v>15421105</v>
      </c>
      <c r="E1800" s="100" t="str">
        <f aca="false">IF($C1800="","",IFERROR(IF(INDEX('REGISTRE TUBES'!$D$7:$D$2506,MATCH($C1800,'REGISTRE TUBES'!$B$7:$B$2506,0))="","",INDEX('REGISTRE TUBES'!$D$7:$D$2506,MATCH($C1800,'REGISTRE TUBES'!$B$7:$B$2506,0))),"?"))</f>
        <v/>
      </c>
      <c r="F1800" s="101" t="n">
        <f aca="false">IF($C1800="","",IFERROR(IF(INDEX('REGISTRE TUBES'!$F$7:$F$2506,MATCH($C1800,'REGISTRE TUBES'!$B$7:$B$2506,0))="","",INDEX('REGISTRE TUBES'!$F$7:$F$2506,MATCH($C1800,'REGISTRE TUBES'!$B$7:$B$2506,0))),"?"))</f>
        <v>11.94</v>
      </c>
      <c r="G1800" s="102" t="n">
        <f aca="false">IF($C1800="","",N(G1799)+N(F1800))</f>
        <v>14494.3500000001</v>
      </c>
      <c r="H1800" s="103" t="s">
        <v>2806</v>
      </c>
      <c r="I1800" s="104"/>
      <c r="J1800" s="105"/>
    </row>
    <row r="1801" customFormat="false" ht="15" hidden="false" customHeight="false" outlineLevel="0" collapsed="false">
      <c r="B1801" s="90" t="n">
        <v>1221</v>
      </c>
      <c r="C1801" s="91" t="n">
        <v>2097130</v>
      </c>
      <c r="D1801" s="92" t="n">
        <f aca="false">IF($C1801="","",IFERROR(IF(INDEX('REGISTRE TUBES'!$C$7:$C$2506,MATCH($C1801,'REGISTRE TUBES'!$B$7:$B$2506,0))="","",INDEX('REGISTRE TUBES'!$C$7:$C$2506,MATCH($C1801,'REGISTRE TUBES'!$B$7:$B$2506,0))),"?"))</f>
        <v>15421112</v>
      </c>
      <c r="E1801" s="92" t="str">
        <f aca="false">IF($C1801="","",IFERROR(IF(INDEX('REGISTRE TUBES'!$D$7:$D$2506,MATCH($C1801,'REGISTRE TUBES'!$B$7:$B$2506,0))="","",INDEX('REGISTRE TUBES'!$D$7:$D$2506,MATCH($C1801,'REGISTRE TUBES'!$B$7:$B$2506,0))),"?"))</f>
        <v/>
      </c>
      <c r="F1801" s="93" t="n">
        <f aca="false">IF($C1801="","",IFERROR(IF(INDEX('REGISTRE TUBES'!$F$7:$F$2506,MATCH($C1801,'REGISTRE TUBES'!$B$7:$B$2506,0))="","",INDEX('REGISTRE TUBES'!$F$7:$F$2506,MATCH($C1801,'REGISTRE TUBES'!$B$7:$B$2506,0))),"?"))</f>
        <v>11.94</v>
      </c>
      <c r="G1801" s="94" t="n">
        <f aca="false">IF($C1801="","",N(G1800)+N(F1801))</f>
        <v>14506.2900000001</v>
      </c>
      <c r="H1801" s="95" t="s">
        <v>2808</v>
      </c>
      <c r="I1801" s="96"/>
      <c r="J1801" s="97"/>
    </row>
    <row r="1802" customFormat="false" ht="15" hidden="false" customHeight="false" outlineLevel="0" collapsed="false">
      <c r="B1802" s="98" t="n">
        <v>1222</v>
      </c>
      <c r="C1802" s="99" t="n">
        <v>2098200</v>
      </c>
      <c r="D1802" s="100" t="n">
        <f aca="false">IF($C1802="","",IFERROR(IF(INDEX('REGISTRE TUBES'!$C$7:$C$2506,MATCH($C1802,'REGISTRE TUBES'!$B$7:$B$2506,0))="","",INDEX('REGISTRE TUBES'!$C$7:$C$2506,MATCH($C1802,'REGISTRE TUBES'!$B$7:$B$2506,0))),"?"))</f>
        <v>15421112</v>
      </c>
      <c r="E1802" s="100" t="str">
        <f aca="false">IF($C1802="","",IFERROR(IF(INDEX('REGISTRE TUBES'!$D$7:$D$2506,MATCH($C1802,'REGISTRE TUBES'!$B$7:$B$2506,0))="","",INDEX('REGISTRE TUBES'!$D$7:$D$2506,MATCH($C1802,'REGISTRE TUBES'!$B$7:$B$2506,0))),"?"))</f>
        <v/>
      </c>
      <c r="F1802" s="101" t="n">
        <f aca="false">IF($C1802="","",IFERROR(IF(INDEX('REGISTRE TUBES'!$F$7:$F$2506,MATCH($C1802,'REGISTRE TUBES'!$B$7:$B$2506,0))="","",INDEX('REGISTRE TUBES'!$F$7:$F$2506,MATCH($C1802,'REGISTRE TUBES'!$B$7:$B$2506,0))),"?"))</f>
        <v>11.94</v>
      </c>
      <c r="G1802" s="102" t="n">
        <f aca="false">IF($C1802="","",N(G1801)+N(F1802))</f>
        <v>14518.2300000001</v>
      </c>
      <c r="H1802" s="103" t="s">
        <v>2809</v>
      </c>
      <c r="I1802" s="104"/>
      <c r="J1802" s="105"/>
    </row>
    <row r="1803" customFormat="false" ht="15" hidden="false" customHeight="false" outlineLevel="0" collapsed="false">
      <c r="B1803" s="90" t="n">
        <v>1223</v>
      </c>
      <c r="C1803" s="91" t="n">
        <v>2086470</v>
      </c>
      <c r="D1803" s="92" t="n">
        <f aca="false">IF($C1803="","",IFERROR(IF(INDEX('REGISTRE TUBES'!$C$7:$C$2506,MATCH($C1803,'REGISTRE TUBES'!$B$7:$B$2506,0))="","",INDEX('REGISTRE TUBES'!$C$7:$C$2506,MATCH($C1803,'REGISTRE TUBES'!$B$7:$B$2506,0))),"?"))</f>
        <v>15421107</v>
      </c>
      <c r="E1803" s="92" t="str">
        <f aca="false">IF($C1803="","",IFERROR(IF(INDEX('REGISTRE TUBES'!$D$7:$D$2506,MATCH($C1803,'REGISTRE TUBES'!$B$7:$B$2506,0))="","",INDEX('REGISTRE TUBES'!$D$7:$D$2506,MATCH($C1803,'REGISTRE TUBES'!$B$7:$B$2506,0))),"?"))</f>
        <v/>
      </c>
      <c r="F1803" s="93" t="n">
        <f aca="false">IF($C1803="","",IFERROR(IF(INDEX('REGISTRE TUBES'!$F$7:$F$2506,MATCH($C1803,'REGISTRE TUBES'!$B$7:$B$2506,0))="","",INDEX('REGISTRE TUBES'!$F$7:$F$2506,MATCH($C1803,'REGISTRE TUBES'!$B$7:$B$2506,0))),"?"))</f>
        <v>11.94</v>
      </c>
      <c r="G1803" s="94" t="n">
        <f aca="false">IF($C1803="","",N(G1802)+N(F1803))</f>
        <v>14530.1700000002</v>
      </c>
      <c r="H1803" s="95" t="s">
        <v>2810</v>
      </c>
      <c r="I1803" s="96"/>
      <c r="J1803" s="97"/>
    </row>
    <row r="1804" customFormat="false" ht="15" hidden="false" customHeight="false" outlineLevel="0" collapsed="false">
      <c r="B1804" s="98" t="n">
        <v>1224</v>
      </c>
      <c r="C1804" s="99" t="n">
        <v>2094410</v>
      </c>
      <c r="D1804" s="100" t="n">
        <f aca="false">IF($C1804="","",IFERROR(IF(INDEX('REGISTRE TUBES'!$C$7:$C$2506,MATCH($C1804,'REGISTRE TUBES'!$B$7:$B$2506,0))="","",INDEX('REGISTRE TUBES'!$C$7:$C$2506,MATCH($C1804,'REGISTRE TUBES'!$B$7:$B$2506,0))),"?"))</f>
        <v>15421111</v>
      </c>
      <c r="E1804" s="100" t="str">
        <f aca="false">IF($C1804="","",IFERROR(IF(INDEX('REGISTRE TUBES'!$D$7:$D$2506,MATCH($C1804,'REGISTRE TUBES'!$B$7:$B$2506,0))="","",INDEX('REGISTRE TUBES'!$D$7:$D$2506,MATCH($C1804,'REGISTRE TUBES'!$B$7:$B$2506,0))),"?"))</f>
        <v/>
      </c>
      <c r="F1804" s="101" t="n">
        <f aca="false">IF($C1804="","",IFERROR(IF(INDEX('REGISTRE TUBES'!$F$7:$F$2506,MATCH($C1804,'REGISTRE TUBES'!$B$7:$B$2506,0))="","",INDEX('REGISTRE TUBES'!$F$7:$F$2506,MATCH($C1804,'REGISTRE TUBES'!$B$7:$B$2506,0))),"?"))</f>
        <v>11.94</v>
      </c>
      <c r="G1804" s="102" t="n">
        <f aca="false">IF($C1804="","",N(G1803)+N(F1804))</f>
        <v>14542.1100000002</v>
      </c>
      <c r="H1804" s="103" t="s">
        <v>2811</v>
      </c>
      <c r="I1804" s="104"/>
      <c r="J1804" s="105"/>
    </row>
    <row r="1805" customFormat="false" ht="15" hidden="false" customHeight="false" outlineLevel="0" collapsed="false">
      <c r="B1805" s="90" t="n">
        <v>1225</v>
      </c>
      <c r="C1805" s="91" t="n">
        <v>2096410</v>
      </c>
      <c r="D1805" s="92" t="n">
        <f aca="false">IF($C1805="","",IFERROR(IF(INDEX('REGISTRE TUBES'!$C$7:$C$2506,MATCH($C1805,'REGISTRE TUBES'!$B$7:$B$2506,0))="","",INDEX('REGISTRE TUBES'!$C$7:$C$2506,MATCH($C1805,'REGISTRE TUBES'!$B$7:$B$2506,0))),"?"))</f>
        <v>15421111</v>
      </c>
      <c r="E1805" s="92" t="str">
        <f aca="false">IF($C1805="","",IFERROR(IF(INDEX('REGISTRE TUBES'!$D$7:$D$2506,MATCH($C1805,'REGISTRE TUBES'!$B$7:$B$2506,0))="","",INDEX('REGISTRE TUBES'!$D$7:$D$2506,MATCH($C1805,'REGISTRE TUBES'!$B$7:$B$2506,0))),"?"))</f>
        <v/>
      </c>
      <c r="F1805" s="93" t="n">
        <f aca="false">IF($C1805="","",IFERROR(IF(INDEX('REGISTRE TUBES'!$F$7:$F$2506,MATCH($C1805,'REGISTRE TUBES'!$B$7:$B$2506,0))="","",INDEX('REGISTRE TUBES'!$F$7:$F$2506,MATCH($C1805,'REGISTRE TUBES'!$B$7:$B$2506,0))),"?"))</f>
        <v>11.94</v>
      </c>
      <c r="G1805" s="94" t="n">
        <f aca="false">IF($C1805="","",N(G1804)+N(F1805))</f>
        <v>14554.0500000002</v>
      </c>
      <c r="H1805" s="95" t="s">
        <v>2812</v>
      </c>
      <c r="I1805" s="96"/>
      <c r="J1805" s="97"/>
    </row>
    <row r="1806" customFormat="false" ht="15" hidden="false" customHeight="false" outlineLevel="0" collapsed="false">
      <c r="B1806" s="98" t="n">
        <v>1226</v>
      </c>
      <c r="C1806" s="99" t="n">
        <v>2091170</v>
      </c>
      <c r="D1806" s="100" t="n">
        <f aca="false">IF($C1806="","",IFERROR(IF(INDEX('REGISTRE TUBES'!$C$7:$C$2506,MATCH($C1806,'REGISTRE TUBES'!$B$7:$B$2506,0))="","",INDEX('REGISTRE TUBES'!$C$7:$C$2506,MATCH($C1806,'REGISTRE TUBES'!$B$7:$B$2506,0))),"?"))</f>
        <v>15421109</v>
      </c>
      <c r="E1806" s="100" t="str">
        <f aca="false">IF($C1806="","",IFERROR(IF(INDEX('REGISTRE TUBES'!$D$7:$D$2506,MATCH($C1806,'REGISTRE TUBES'!$B$7:$B$2506,0))="","",INDEX('REGISTRE TUBES'!$D$7:$D$2506,MATCH($C1806,'REGISTRE TUBES'!$B$7:$B$2506,0))),"?"))</f>
        <v/>
      </c>
      <c r="F1806" s="101" t="n">
        <f aca="false">IF($C1806="","",IFERROR(IF(INDEX('REGISTRE TUBES'!$F$7:$F$2506,MATCH($C1806,'REGISTRE TUBES'!$B$7:$B$2506,0))="","",INDEX('REGISTRE TUBES'!$F$7:$F$2506,MATCH($C1806,'REGISTRE TUBES'!$B$7:$B$2506,0))),"?"))</f>
        <v>11.94</v>
      </c>
      <c r="G1806" s="102" t="n">
        <f aca="false">IF($C1806="","",N(G1805)+N(F1806))</f>
        <v>14565.9900000002</v>
      </c>
      <c r="H1806" s="103" t="s">
        <v>2814</v>
      </c>
      <c r="I1806" s="104"/>
      <c r="J1806" s="105"/>
    </row>
    <row r="1807" customFormat="false" ht="15" hidden="false" customHeight="false" outlineLevel="0" collapsed="false">
      <c r="B1807" s="90" t="n">
        <v>1227</v>
      </c>
      <c r="C1807" s="91" t="n">
        <v>2084680</v>
      </c>
      <c r="D1807" s="92" t="n">
        <f aca="false">IF($C1807="","",IFERROR(IF(INDEX('REGISTRE TUBES'!$C$7:$C$2506,MATCH($C1807,'REGISTRE TUBES'!$B$7:$B$2506,0))="","",INDEX('REGISTRE TUBES'!$C$7:$C$2506,MATCH($C1807,'REGISTRE TUBES'!$B$7:$B$2506,0))),"?"))</f>
        <v>15421110</v>
      </c>
      <c r="E1807" s="92" t="str">
        <f aca="false">IF($C1807="","",IFERROR(IF(INDEX('REGISTRE TUBES'!$D$7:$D$2506,MATCH($C1807,'REGISTRE TUBES'!$B$7:$B$2506,0))="","",INDEX('REGISTRE TUBES'!$D$7:$D$2506,MATCH($C1807,'REGISTRE TUBES'!$B$7:$B$2506,0))),"?"))</f>
        <v/>
      </c>
      <c r="F1807" s="93" t="n">
        <f aca="false">IF($C1807="","",IFERROR(IF(INDEX('REGISTRE TUBES'!$F$7:$F$2506,MATCH($C1807,'REGISTRE TUBES'!$B$7:$B$2506,0))="","",INDEX('REGISTRE TUBES'!$F$7:$F$2506,MATCH($C1807,'REGISTRE TUBES'!$B$7:$B$2506,0))),"?"))</f>
        <v>11.94</v>
      </c>
      <c r="G1807" s="94" t="n">
        <f aca="false">IF($C1807="","",N(G1806)+N(F1807))</f>
        <v>14577.9300000002</v>
      </c>
      <c r="H1807" s="95" t="s">
        <v>2816</v>
      </c>
      <c r="I1807" s="96"/>
      <c r="J1807" s="97"/>
    </row>
    <row r="1808" customFormat="false" ht="15" hidden="false" customHeight="false" outlineLevel="0" collapsed="false">
      <c r="B1808" s="98" t="n">
        <v>1228</v>
      </c>
      <c r="C1808" s="99" t="n">
        <v>2083940</v>
      </c>
      <c r="D1808" s="100" t="n">
        <f aca="false">IF($C1808="","",IFERROR(IF(INDEX('REGISTRE TUBES'!$C$7:$C$2506,MATCH($C1808,'REGISTRE TUBES'!$B$7:$B$2506,0))="","",INDEX('REGISTRE TUBES'!$C$7:$C$2506,MATCH($C1808,'REGISTRE TUBES'!$B$7:$B$2506,0))),"?"))</f>
        <v>15421106</v>
      </c>
      <c r="E1808" s="100" t="str">
        <f aca="false">IF($C1808="","",IFERROR(IF(INDEX('REGISTRE TUBES'!$D$7:$D$2506,MATCH($C1808,'REGISTRE TUBES'!$B$7:$B$2506,0))="","",INDEX('REGISTRE TUBES'!$D$7:$D$2506,MATCH($C1808,'REGISTRE TUBES'!$B$7:$B$2506,0))),"?"))</f>
        <v/>
      </c>
      <c r="F1808" s="101" t="n">
        <f aca="false">IF($C1808="","",IFERROR(IF(INDEX('REGISTRE TUBES'!$F$7:$F$2506,MATCH($C1808,'REGISTRE TUBES'!$B$7:$B$2506,0))="","",INDEX('REGISTRE TUBES'!$F$7:$F$2506,MATCH($C1808,'REGISTRE TUBES'!$B$7:$B$2506,0))),"?"))</f>
        <v>11.94</v>
      </c>
      <c r="G1808" s="102" t="n">
        <f aca="false">IF($C1808="","",N(G1807)+N(F1808))</f>
        <v>14589.8700000002</v>
      </c>
      <c r="H1808" s="103" t="s">
        <v>2817</v>
      </c>
      <c r="I1808" s="104"/>
      <c r="J1808" s="105"/>
    </row>
    <row r="1809" customFormat="false" ht="15" hidden="false" customHeight="false" outlineLevel="0" collapsed="false">
      <c r="B1809" s="90" t="n">
        <v>1229</v>
      </c>
      <c r="C1809" s="91" t="n">
        <v>2086610</v>
      </c>
      <c r="D1809" s="92" t="n">
        <f aca="false">IF($C1809="","",IFERROR(IF(INDEX('REGISTRE TUBES'!$C$7:$C$2506,MATCH($C1809,'REGISTRE TUBES'!$B$7:$B$2506,0))="","",INDEX('REGISTRE TUBES'!$C$7:$C$2506,MATCH($C1809,'REGISTRE TUBES'!$B$7:$B$2506,0))),"?"))</f>
        <v>15421107</v>
      </c>
      <c r="E1809" s="92" t="str">
        <f aca="false">IF($C1809="","",IFERROR(IF(INDEX('REGISTRE TUBES'!$D$7:$D$2506,MATCH($C1809,'REGISTRE TUBES'!$B$7:$B$2506,0))="","",INDEX('REGISTRE TUBES'!$D$7:$D$2506,MATCH($C1809,'REGISTRE TUBES'!$B$7:$B$2506,0))),"?"))</f>
        <v/>
      </c>
      <c r="F1809" s="93" t="n">
        <f aca="false">IF($C1809="","",IFERROR(IF(INDEX('REGISTRE TUBES'!$F$7:$F$2506,MATCH($C1809,'REGISTRE TUBES'!$B$7:$B$2506,0))="","",INDEX('REGISTRE TUBES'!$F$7:$F$2506,MATCH($C1809,'REGISTRE TUBES'!$B$7:$B$2506,0))),"?"))</f>
        <v>11.94</v>
      </c>
      <c r="G1809" s="94" t="n">
        <f aca="false">IF($C1809="","",N(G1808)+N(F1809))</f>
        <v>14601.8100000002</v>
      </c>
      <c r="H1809" s="95" t="s">
        <v>2819</v>
      </c>
      <c r="I1809" s="96"/>
      <c r="J1809" s="97"/>
    </row>
    <row r="1810" customFormat="false" ht="15" hidden="false" customHeight="false" outlineLevel="0" collapsed="false">
      <c r="B1810" s="98" t="n">
        <v>1230</v>
      </c>
      <c r="C1810" s="99" t="n">
        <v>2081930</v>
      </c>
      <c r="D1810" s="100" t="n">
        <f aca="false">IF($C1810="","",IFERROR(IF(INDEX('REGISTRE TUBES'!$C$7:$C$2506,MATCH($C1810,'REGISTRE TUBES'!$B$7:$B$2506,0))="","",INDEX('REGISTRE TUBES'!$C$7:$C$2506,MATCH($C1810,'REGISTRE TUBES'!$B$7:$B$2506,0))),"?"))</f>
        <v>15421104</v>
      </c>
      <c r="E1810" s="100" t="str">
        <f aca="false">IF($C1810="","",IFERROR(IF(INDEX('REGISTRE TUBES'!$D$7:$D$2506,MATCH($C1810,'REGISTRE TUBES'!$B$7:$B$2506,0))="","",INDEX('REGISTRE TUBES'!$D$7:$D$2506,MATCH($C1810,'REGISTRE TUBES'!$B$7:$B$2506,0))),"?"))</f>
        <v/>
      </c>
      <c r="F1810" s="101" t="n">
        <f aca="false">IF($C1810="","",IFERROR(IF(INDEX('REGISTRE TUBES'!$F$7:$F$2506,MATCH($C1810,'REGISTRE TUBES'!$B$7:$B$2506,0))="","",INDEX('REGISTRE TUBES'!$F$7:$F$2506,MATCH($C1810,'REGISTRE TUBES'!$B$7:$B$2506,0))),"?"))</f>
        <v>11.94</v>
      </c>
      <c r="G1810" s="102" t="n">
        <f aca="false">IF($C1810="","",N(G1809)+N(F1810))</f>
        <v>14613.7500000002</v>
      </c>
      <c r="H1810" s="103" t="s">
        <v>2821</v>
      </c>
      <c r="I1810" s="104"/>
      <c r="J1810" s="105"/>
    </row>
    <row r="1811" customFormat="false" ht="15" hidden="false" customHeight="false" outlineLevel="0" collapsed="false">
      <c r="B1811" s="90" t="n">
        <v>1231</v>
      </c>
      <c r="C1811" s="91" t="n">
        <v>2083430</v>
      </c>
      <c r="D1811" s="92" t="n">
        <f aca="false">IF($C1811="","",IFERROR(IF(INDEX('REGISTRE TUBES'!$C$7:$C$2506,MATCH($C1811,'REGISTRE TUBES'!$B$7:$B$2506,0))="","",INDEX('REGISTRE TUBES'!$C$7:$C$2506,MATCH($C1811,'REGISTRE TUBES'!$B$7:$B$2506,0))),"?"))</f>
        <v>15421105</v>
      </c>
      <c r="E1811" s="92" t="str">
        <f aca="false">IF($C1811="","",IFERROR(IF(INDEX('REGISTRE TUBES'!$D$7:$D$2506,MATCH($C1811,'REGISTRE TUBES'!$B$7:$B$2506,0))="","",INDEX('REGISTRE TUBES'!$D$7:$D$2506,MATCH($C1811,'REGISTRE TUBES'!$B$7:$B$2506,0))),"?"))</f>
        <v/>
      </c>
      <c r="F1811" s="93" t="n">
        <f aca="false">IF($C1811="","",IFERROR(IF(INDEX('REGISTRE TUBES'!$F$7:$F$2506,MATCH($C1811,'REGISTRE TUBES'!$B$7:$B$2506,0))="","",INDEX('REGISTRE TUBES'!$F$7:$F$2506,MATCH($C1811,'REGISTRE TUBES'!$B$7:$B$2506,0))),"?"))</f>
        <v>11.94</v>
      </c>
      <c r="G1811" s="94" t="n">
        <f aca="false">IF($C1811="","",N(G1810)+N(F1811))</f>
        <v>14625.6900000002</v>
      </c>
      <c r="H1811" s="95" t="s">
        <v>2822</v>
      </c>
      <c r="I1811" s="96"/>
      <c r="J1811" s="97"/>
    </row>
    <row r="1812" customFormat="false" ht="15" hidden="false" customHeight="false" outlineLevel="0" collapsed="false">
      <c r="B1812" s="98" t="n">
        <v>1232</v>
      </c>
      <c r="C1812" s="99" t="n">
        <v>2093970</v>
      </c>
      <c r="D1812" s="100" t="n">
        <f aca="false">IF($C1812="","",IFERROR(IF(INDEX('REGISTRE TUBES'!$C$7:$C$2506,MATCH($C1812,'REGISTRE TUBES'!$B$7:$B$2506,0))="","",INDEX('REGISTRE TUBES'!$C$7:$C$2506,MATCH($C1812,'REGISTRE TUBES'!$B$7:$B$2506,0))),"?"))</f>
        <v>15421110</v>
      </c>
      <c r="E1812" s="100" t="str">
        <f aca="false">IF($C1812="","",IFERROR(IF(INDEX('REGISTRE TUBES'!$D$7:$D$2506,MATCH($C1812,'REGISTRE TUBES'!$B$7:$B$2506,0))="","",INDEX('REGISTRE TUBES'!$D$7:$D$2506,MATCH($C1812,'REGISTRE TUBES'!$B$7:$B$2506,0))),"?"))</f>
        <v/>
      </c>
      <c r="F1812" s="101" t="n">
        <f aca="false">IF($C1812="","",IFERROR(IF(INDEX('REGISTRE TUBES'!$F$7:$F$2506,MATCH($C1812,'REGISTRE TUBES'!$B$7:$B$2506,0))="","",INDEX('REGISTRE TUBES'!$F$7:$F$2506,MATCH($C1812,'REGISTRE TUBES'!$B$7:$B$2506,0))),"?"))</f>
        <v>11.94</v>
      </c>
      <c r="G1812" s="102" t="n">
        <f aca="false">IF($C1812="","",N(G1811)+N(F1812))</f>
        <v>14637.6300000002</v>
      </c>
      <c r="H1812" s="103" t="s">
        <v>2823</v>
      </c>
      <c r="I1812" s="104"/>
      <c r="J1812" s="105"/>
    </row>
    <row r="1813" customFormat="false" ht="15" hidden="false" customHeight="false" outlineLevel="0" collapsed="false">
      <c r="B1813" s="90" t="n">
        <v>1233</v>
      </c>
      <c r="C1813" s="91" t="n">
        <v>9097370</v>
      </c>
      <c r="D1813" s="92" t="n">
        <f aca="false">IF($C1813="","",IFERROR(IF(INDEX('REGISTRE TUBES'!$C$7:$C$2506,MATCH($C1813,'REGISTRE TUBES'!$B$7:$B$2506,0))="","",INDEX('REGISTRE TUBES'!$C$7:$C$2506,MATCH($C1813,'REGISTRE TUBES'!$B$7:$B$2506,0))),"?"))</f>
        <v>15421112</v>
      </c>
      <c r="E1813" s="92" t="str">
        <f aca="false">IF($C1813="","",IFERROR(IF(INDEX('REGISTRE TUBES'!$D$7:$D$2506,MATCH($C1813,'REGISTRE TUBES'!$B$7:$B$2506,0))="","",INDEX('REGISTRE TUBES'!$D$7:$D$2506,MATCH($C1813,'REGISTRE TUBES'!$B$7:$B$2506,0))),"?"))</f>
        <v/>
      </c>
      <c r="F1813" s="93" t="n">
        <f aca="false">IF($C1813="","",IFERROR(IF(INDEX('REGISTRE TUBES'!$F$7:$F$2506,MATCH($C1813,'REGISTRE TUBES'!$B$7:$B$2506,0))="","",INDEX('REGISTRE TUBES'!$F$7:$F$2506,MATCH($C1813,'REGISTRE TUBES'!$B$7:$B$2506,0))),"?"))</f>
        <v>11.94</v>
      </c>
      <c r="G1813" s="94" t="n">
        <f aca="false">IF($C1813="","",N(G1812)+N(F1813))</f>
        <v>14649.5700000002</v>
      </c>
      <c r="H1813" s="95" t="s">
        <v>2824</v>
      </c>
      <c r="I1813" s="96"/>
      <c r="J1813" s="97"/>
    </row>
    <row r="1814" customFormat="false" ht="15" hidden="false" customHeight="false" outlineLevel="0" collapsed="false">
      <c r="B1814" s="98" t="n">
        <v>1234</v>
      </c>
      <c r="C1814" s="99" t="n">
        <v>2084170</v>
      </c>
      <c r="D1814" s="100" t="n">
        <f aca="false">IF($C1814="","",IFERROR(IF(INDEX('REGISTRE TUBES'!$C$7:$C$2506,MATCH($C1814,'REGISTRE TUBES'!$B$7:$B$2506,0))="","",INDEX('REGISTRE TUBES'!$C$7:$C$2506,MATCH($C1814,'REGISTRE TUBES'!$B$7:$B$2506,0))),"?"))</f>
        <v>15421106</v>
      </c>
      <c r="E1814" s="100" t="str">
        <f aca="false">IF($C1814="","",IFERROR(IF(INDEX('REGISTRE TUBES'!$D$7:$D$2506,MATCH($C1814,'REGISTRE TUBES'!$B$7:$B$2506,0))="","",INDEX('REGISTRE TUBES'!$D$7:$D$2506,MATCH($C1814,'REGISTRE TUBES'!$B$7:$B$2506,0))),"?"))</f>
        <v/>
      </c>
      <c r="F1814" s="101" t="n">
        <f aca="false">IF($C1814="","",IFERROR(IF(INDEX('REGISTRE TUBES'!$F$7:$F$2506,MATCH($C1814,'REGISTRE TUBES'!$B$7:$B$2506,0))="","",INDEX('REGISTRE TUBES'!$F$7:$F$2506,MATCH($C1814,'REGISTRE TUBES'!$B$7:$B$2506,0))),"?"))</f>
        <v>11.94</v>
      </c>
      <c r="G1814" s="102" t="n">
        <f aca="false">IF($C1814="","",N(G1813)+N(F1814))</f>
        <v>14661.5100000002</v>
      </c>
      <c r="H1814" s="103" t="s">
        <v>2825</v>
      </c>
      <c r="I1814" s="104"/>
      <c r="J1814" s="105"/>
    </row>
    <row r="1815" customFormat="false" ht="15" hidden="false" customHeight="false" outlineLevel="0" collapsed="false">
      <c r="B1815" s="90" t="n">
        <v>1235</v>
      </c>
      <c r="C1815" s="91" t="n">
        <v>2081700</v>
      </c>
      <c r="D1815" s="92" t="n">
        <f aca="false">IF($C1815="","",IFERROR(IF(INDEX('REGISTRE TUBES'!$C$7:$C$2506,MATCH($C1815,'REGISTRE TUBES'!$B$7:$B$2506,0))="","",INDEX('REGISTRE TUBES'!$C$7:$C$2506,MATCH($C1815,'REGISTRE TUBES'!$B$7:$B$2506,0))),"?"))</f>
        <v>15421103</v>
      </c>
      <c r="E1815" s="92" t="str">
        <f aca="false">IF($C1815="","",IFERROR(IF(INDEX('REGISTRE TUBES'!$D$7:$D$2506,MATCH($C1815,'REGISTRE TUBES'!$B$7:$B$2506,0))="","",INDEX('REGISTRE TUBES'!$D$7:$D$2506,MATCH($C1815,'REGISTRE TUBES'!$B$7:$B$2506,0))),"?"))</f>
        <v/>
      </c>
      <c r="F1815" s="93" t="n">
        <f aca="false">IF($C1815="","",IFERROR(IF(INDEX('REGISTRE TUBES'!$F$7:$F$2506,MATCH($C1815,'REGISTRE TUBES'!$B$7:$B$2506,0))="","",INDEX('REGISTRE TUBES'!$F$7:$F$2506,MATCH($C1815,'REGISTRE TUBES'!$B$7:$B$2506,0))),"?"))</f>
        <v>11.94</v>
      </c>
      <c r="G1815" s="94" t="n">
        <f aca="false">IF($C1815="","",N(G1814)+N(F1815))</f>
        <v>14673.4500000002</v>
      </c>
      <c r="H1815" s="95" t="s">
        <v>2826</v>
      </c>
      <c r="I1815" s="96"/>
      <c r="J1815" s="97"/>
    </row>
    <row r="1816" customFormat="false" ht="15" hidden="false" customHeight="true" outlineLevel="0" collapsed="false">
      <c r="B1816" s="106" t="s">
        <v>3031</v>
      </c>
      <c r="C1816" s="106"/>
      <c r="D1816" s="106"/>
      <c r="E1816" s="106"/>
      <c r="F1816" s="107" t="n">
        <f aca="false">SUM(F1797:F1815)</f>
        <v>226.86</v>
      </c>
      <c r="G1816" s="108" t="n">
        <f aca="false">IF(COUNT(G1797:G1815)=0,"",MAX(G1797:G1815))</f>
        <v>14673.4500000002</v>
      </c>
      <c r="H1816" s="106" t="str">
        <f aca="false">COUNTA(C1797:C1815)&amp;" tube(s)"</f>
        <v>19 tube(s)</v>
      </c>
      <c r="I1816" s="106"/>
      <c r="J1816" s="106"/>
    </row>
    <row r="1818" customFormat="false" ht="15" hidden="false" customHeight="false" outlineLevel="0" collapsed="false">
      <c r="B1818" s="109" t="s">
        <v>3032</v>
      </c>
      <c r="F1818" s="109" t="s">
        <v>3033</v>
      </c>
      <c r="I1818" s="109" t="s">
        <v>3034</v>
      </c>
    </row>
    <row r="1821" customFormat="false" ht="25.5" hidden="false" customHeight="true" outlineLevel="0" collapsed="false">
      <c r="B1821" s="85" t="s">
        <v>3015</v>
      </c>
      <c r="C1821" s="85"/>
      <c r="D1821" s="85"/>
      <c r="E1821" s="85"/>
      <c r="F1821" s="85"/>
      <c r="G1821" s="85"/>
      <c r="H1821" s="85"/>
      <c r="I1821" s="85"/>
      <c r="J1821" s="85"/>
    </row>
    <row r="1822" customFormat="false" ht="15" hidden="false" customHeight="false" outlineLevel="0" collapsed="false">
      <c r="B1822" s="86" t="str">
        <f aca="false">PARAMÈTRES!$C$4&amp;"   •   Affaire N° "&amp;PARAMÈTRES!$C$5</f>
        <v>Développement des champs gaziers TFT II — réseau de collecte TFT Sud (LIGNE-16)   •   Affaire N° 8546</v>
      </c>
      <c r="C1822" s="86"/>
      <c r="D1822" s="86"/>
      <c r="E1822" s="86"/>
      <c r="F1822" s="86"/>
      <c r="G1822" s="86"/>
      <c r="H1822" s="86"/>
      <c r="I1822" s="86"/>
      <c r="J1822" s="86"/>
    </row>
    <row r="1823" customFormat="false" ht="19.5" hidden="false" customHeight="true" outlineLevel="0" collapsed="false">
      <c r="B1823" s="87" t="s">
        <v>3016</v>
      </c>
      <c r="C1823" s="88" t="s">
        <v>110</v>
      </c>
      <c r="D1823" s="88"/>
      <c r="E1823" s="87" t="s">
        <v>3017</v>
      </c>
      <c r="F1823" s="88" t="s">
        <v>3163</v>
      </c>
      <c r="G1823" s="87" t="s">
        <v>3019</v>
      </c>
      <c r="H1823" s="88" t="s">
        <v>3164</v>
      </c>
      <c r="I1823" s="87" t="s">
        <v>3021</v>
      </c>
      <c r="J1823" s="89"/>
    </row>
    <row r="1824" customFormat="false" ht="27.75" hidden="false" customHeight="true" outlineLevel="0" collapsed="false">
      <c r="B1824" s="71" t="s">
        <v>3022</v>
      </c>
      <c r="C1824" s="71" t="s">
        <v>3023</v>
      </c>
      <c r="D1824" s="71" t="s">
        <v>3024</v>
      </c>
      <c r="E1824" s="71" t="s">
        <v>3025</v>
      </c>
      <c r="F1824" s="71" t="s">
        <v>3026</v>
      </c>
      <c r="G1824" s="71" t="s">
        <v>3027</v>
      </c>
      <c r="H1824" s="71" t="s">
        <v>3028</v>
      </c>
      <c r="I1824" s="71" t="s">
        <v>3029</v>
      </c>
      <c r="J1824" s="71" t="s">
        <v>3030</v>
      </c>
    </row>
    <row r="1825" customFormat="false" ht="15" hidden="false" customHeight="false" outlineLevel="0" collapsed="false">
      <c r="B1825" s="90" t="n">
        <v>1236</v>
      </c>
      <c r="C1825" s="91" t="n">
        <v>2088970</v>
      </c>
      <c r="D1825" s="92" t="n">
        <f aca="false">IF($C1825="","",IFERROR(IF(INDEX('REGISTRE TUBES'!$C$7:$C$2506,MATCH($C1825,'REGISTRE TUBES'!$B$7:$B$2506,0))="","",INDEX('REGISTRE TUBES'!$C$7:$C$2506,MATCH($C1825,'REGISTRE TUBES'!$B$7:$B$2506,0))),"?"))</f>
        <v>15421108</v>
      </c>
      <c r="E1825" s="92" t="str">
        <f aca="false">IF($C1825="","",IFERROR(IF(INDEX('REGISTRE TUBES'!$D$7:$D$2506,MATCH($C1825,'REGISTRE TUBES'!$B$7:$B$2506,0))="","",INDEX('REGISTRE TUBES'!$D$7:$D$2506,MATCH($C1825,'REGISTRE TUBES'!$B$7:$B$2506,0))),"?"))</f>
        <v/>
      </c>
      <c r="F1825" s="93" t="n">
        <f aca="false">IF($C1825="","",IFERROR(IF(INDEX('REGISTRE TUBES'!$F$7:$F$2506,MATCH($C1825,'REGISTRE TUBES'!$B$7:$B$2506,0))="","",INDEX('REGISTRE TUBES'!$F$7:$F$2506,MATCH($C1825,'REGISTRE TUBES'!$B$7:$B$2506,0))),"?"))</f>
        <v>11.94</v>
      </c>
      <c r="G1825" s="94" t="n">
        <f aca="false">IF($C1825="","",N(G1815)+N(F1825))</f>
        <v>14685.3900000002</v>
      </c>
      <c r="H1825" s="95" t="s">
        <v>2845</v>
      </c>
      <c r="I1825" s="96"/>
      <c r="J1825" s="97"/>
    </row>
    <row r="1826" customFormat="false" ht="15" hidden="false" customHeight="false" outlineLevel="0" collapsed="false">
      <c r="B1826" s="98" t="n">
        <v>1237</v>
      </c>
      <c r="C1826" s="99" t="n">
        <v>2082900</v>
      </c>
      <c r="D1826" s="100" t="n">
        <f aca="false">IF($C1826="","",IFERROR(IF(INDEX('REGISTRE TUBES'!$C$7:$C$2506,MATCH($C1826,'REGISTRE TUBES'!$B$7:$B$2506,0))="","",INDEX('REGISTRE TUBES'!$C$7:$C$2506,MATCH($C1826,'REGISTRE TUBES'!$B$7:$B$2506,0))),"?"))</f>
        <v>15421105</v>
      </c>
      <c r="E1826" s="100" t="str">
        <f aca="false">IF($C1826="","",IFERROR(IF(INDEX('REGISTRE TUBES'!$D$7:$D$2506,MATCH($C1826,'REGISTRE TUBES'!$B$7:$B$2506,0))="","",INDEX('REGISTRE TUBES'!$D$7:$D$2506,MATCH($C1826,'REGISTRE TUBES'!$B$7:$B$2506,0))),"?"))</f>
        <v/>
      </c>
      <c r="F1826" s="101" t="n">
        <f aca="false">IF($C1826="","",IFERROR(IF(INDEX('REGISTRE TUBES'!$F$7:$F$2506,MATCH($C1826,'REGISTRE TUBES'!$B$7:$B$2506,0))="","",INDEX('REGISTRE TUBES'!$F$7:$F$2506,MATCH($C1826,'REGISTRE TUBES'!$B$7:$B$2506,0))),"?"))</f>
        <v>11.94</v>
      </c>
      <c r="G1826" s="102" t="n">
        <f aca="false">IF($C1826="","",N(G1825)+N(F1826))</f>
        <v>14697.3300000002</v>
      </c>
      <c r="H1826" s="103" t="s">
        <v>2847</v>
      </c>
      <c r="I1826" s="104"/>
      <c r="J1826" s="105"/>
    </row>
    <row r="1827" customFormat="false" ht="15" hidden="false" customHeight="false" outlineLevel="0" collapsed="false">
      <c r="B1827" s="90" t="n">
        <v>1238</v>
      </c>
      <c r="C1827" s="91" t="n">
        <v>2096750</v>
      </c>
      <c r="D1827" s="92" t="n">
        <f aca="false">IF($C1827="","",IFERROR(IF(INDEX('REGISTRE TUBES'!$C$7:$C$2506,MATCH($C1827,'REGISTRE TUBES'!$B$7:$B$2506,0))="","",INDEX('REGISTRE TUBES'!$C$7:$C$2506,MATCH($C1827,'REGISTRE TUBES'!$B$7:$B$2506,0))),"?"))</f>
        <v>15421111</v>
      </c>
      <c r="E1827" s="92" t="str">
        <f aca="false">IF($C1827="","",IFERROR(IF(INDEX('REGISTRE TUBES'!$D$7:$D$2506,MATCH($C1827,'REGISTRE TUBES'!$B$7:$B$2506,0))="","",INDEX('REGISTRE TUBES'!$D$7:$D$2506,MATCH($C1827,'REGISTRE TUBES'!$B$7:$B$2506,0))),"?"))</f>
        <v/>
      </c>
      <c r="F1827" s="93" t="n">
        <f aca="false">IF($C1827="","",IFERROR(IF(INDEX('REGISTRE TUBES'!$F$7:$F$2506,MATCH($C1827,'REGISTRE TUBES'!$B$7:$B$2506,0))="","",INDEX('REGISTRE TUBES'!$F$7:$F$2506,MATCH($C1827,'REGISTRE TUBES'!$B$7:$B$2506,0))),"?"))</f>
        <v>11.94</v>
      </c>
      <c r="G1827" s="94" t="n">
        <f aca="false">IF($C1827="","",N(G1826)+N(F1827))</f>
        <v>14709.2700000002</v>
      </c>
      <c r="H1827" s="95" t="s">
        <v>2848</v>
      </c>
      <c r="I1827" s="96"/>
      <c r="J1827" s="97"/>
    </row>
    <row r="1828" customFormat="false" ht="15" hidden="false" customHeight="false" outlineLevel="0" collapsed="false">
      <c r="B1828" s="98" t="n">
        <v>1239</v>
      </c>
      <c r="C1828" s="99" t="n">
        <v>2094280</v>
      </c>
      <c r="D1828" s="100" t="n">
        <f aca="false">IF($C1828="","",IFERROR(IF(INDEX('REGISTRE TUBES'!$C$7:$C$2506,MATCH($C1828,'REGISTRE TUBES'!$B$7:$B$2506,0))="","",INDEX('REGISTRE TUBES'!$C$7:$C$2506,MATCH($C1828,'REGISTRE TUBES'!$B$7:$B$2506,0))),"?"))</f>
        <v>15421111</v>
      </c>
      <c r="E1828" s="100" t="str">
        <f aca="false">IF($C1828="","",IFERROR(IF(INDEX('REGISTRE TUBES'!$D$7:$D$2506,MATCH($C1828,'REGISTRE TUBES'!$B$7:$B$2506,0))="","",INDEX('REGISTRE TUBES'!$D$7:$D$2506,MATCH($C1828,'REGISTRE TUBES'!$B$7:$B$2506,0))),"?"))</f>
        <v/>
      </c>
      <c r="F1828" s="101" t="n">
        <f aca="false">IF($C1828="","",IFERROR(IF(INDEX('REGISTRE TUBES'!$F$7:$F$2506,MATCH($C1828,'REGISTRE TUBES'!$B$7:$B$2506,0))="","",INDEX('REGISTRE TUBES'!$F$7:$F$2506,MATCH($C1828,'REGISTRE TUBES'!$B$7:$B$2506,0))),"?"))</f>
        <v>11.94</v>
      </c>
      <c r="G1828" s="102" t="n">
        <f aca="false">IF($C1828="","",N(G1827)+N(F1828))</f>
        <v>14721.2100000002</v>
      </c>
      <c r="H1828" s="103" t="s">
        <v>2849</v>
      </c>
      <c r="I1828" s="104"/>
      <c r="J1828" s="105"/>
    </row>
    <row r="1829" customFormat="false" ht="15" hidden="false" customHeight="false" outlineLevel="0" collapsed="false">
      <c r="B1829" s="90" t="n">
        <v>1240</v>
      </c>
      <c r="C1829" s="91" t="n">
        <v>2093000</v>
      </c>
      <c r="D1829" s="92" t="n">
        <f aca="false">IF($C1829="","",IFERROR(IF(INDEX('REGISTRE TUBES'!$C$7:$C$2506,MATCH($C1829,'REGISTRE TUBES'!$B$7:$B$2506,0))="","",INDEX('REGISTRE TUBES'!$C$7:$C$2506,MATCH($C1829,'REGISTRE TUBES'!$B$7:$B$2506,0))),"?"))</f>
        <v>15421110</v>
      </c>
      <c r="E1829" s="92" t="str">
        <f aca="false">IF($C1829="","",IFERROR(IF(INDEX('REGISTRE TUBES'!$D$7:$D$2506,MATCH($C1829,'REGISTRE TUBES'!$B$7:$B$2506,0))="","",INDEX('REGISTRE TUBES'!$D$7:$D$2506,MATCH($C1829,'REGISTRE TUBES'!$B$7:$B$2506,0))),"?"))</f>
        <v/>
      </c>
      <c r="F1829" s="93" t="n">
        <f aca="false">IF($C1829="","",IFERROR(IF(INDEX('REGISTRE TUBES'!$F$7:$F$2506,MATCH($C1829,'REGISTRE TUBES'!$B$7:$B$2506,0))="","",INDEX('REGISTRE TUBES'!$F$7:$F$2506,MATCH($C1829,'REGISTRE TUBES'!$B$7:$B$2506,0))),"?"))</f>
        <v>11.94</v>
      </c>
      <c r="G1829" s="94" t="n">
        <f aca="false">IF($C1829="","",N(G1828)+N(F1829))</f>
        <v>14733.1500000002</v>
      </c>
      <c r="H1829" s="95" t="s">
        <v>2850</v>
      </c>
      <c r="I1829" s="96"/>
      <c r="J1829" s="97"/>
    </row>
    <row r="1830" customFormat="false" ht="15" hidden="false" customHeight="false" outlineLevel="0" collapsed="false">
      <c r="B1830" s="98" t="n">
        <v>1241</v>
      </c>
      <c r="C1830" s="99" t="n">
        <v>2083300</v>
      </c>
      <c r="D1830" s="100" t="n">
        <f aca="false">IF($C1830="","",IFERROR(IF(INDEX('REGISTRE TUBES'!$C$7:$C$2506,MATCH($C1830,'REGISTRE TUBES'!$B$7:$B$2506,0))="","",INDEX('REGISTRE TUBES'!$C$7:$C$2506,MATCH($C1830,'REGISTRE TUBES'!$B$7:$B$2506,0))),"?"))</f>
        <v>15421105</v>
      </c>
      <c r="E1830" s="100" t="str">
        <f aca="false">IF($C1830="","",IFERROR(IF(INDEX('REGISTRE TUBES'!$D$7:$D$2506,MATCH($C1830,'REGISTRE TUBES'!$B$7:$B$2506,0))="","",INDEX('REGISTRE TUBES'!$D$7:$D$2506,MATCH($C1830,'REGISTRE TUBES'!$B$7:$B$2506,0))),"?"))</f>
        <v/>
      </c>
      <c r="F1830" s="101" t="n">
        <f aca="false">IF($C1830="","",IFERROR(IF(INDEX('REGISTRE TUBES'!$F$7:$F$2506,MATCH($C1830,'REGISTRE TUBES'!$B$7:$B$2506,0))="","",INDEX('REGISTRE TUBES'!$F$7:$F$2506,MATCH($C1830,'REGISTRE TUBES'!$B$7:$B$2506,0))),"?"))</f>
        <v>11.94</v>
      </c>
      <c r="G1830" s="102" t="n">
        <f aca="false">IF($C1830="","",N(G1829)+N(F1830))</f>
        <v>14745.0900000002</v>
      </c>
      <c r="H1830" s="103" t="s">
        <v>2851</v>
      </c>
      <c r="I1830" s="104"/>
      <c r="J1830" s="105"/>
    </row>
    <row r="1831" customFormat="false" ht="15" hidden="false" customHeight="false" outlineLevel="0" collapsed="false">
      <c r="B1831" s="90" t="n">
        <v>1242</v>
      </c>
      <c r="C1831" s="91" t="n">
        <v>2081180</v>
      </c>
      <c r="D1831" s="92" t="n">
        <f aca="false">IF($C1831="","",IFERROR(IF(INDEX('REGISTRE TUBES'!$C$7:$C$2506,MATCH($C1831,'REGISTRE TUBES'!$B$7:$B$2506,0))="","",INDEX('REGISTRE TUBES'!$C$7:$C$2506,MATCH($C1831,'REGISTRE TUBES'!$B$7:$B$2506,0))),"?"))</f>
        <v>15421103</v>
      </c>
      <c r="E1831" s="92" t="str">
        <f aca="false">IF($C1831="","",IFERROR(IF(INDEX('REGISTRE TUBES'!$D$7:$D$2506,MATCH($C1831,'REGISTRE TUBES'!$B$7:$B$2506,0))="","",INDEX('REGISTRE TUBES'!$D$7:$D$2506,MATCH($C1831,'REGISTRE TUBES'!$B$7:$B$2506,0))),"?"))</f>
        <v/>
      </c>
      <c r="F1831" s="93" t="n">
        <f aca="false">IF($C1831="","",IFERROR(IF(INDEX('REGISTRE TUBES'!$F$7:$F$2506,MATCH($C1831,'REGISTRE TUBES'!$B$7:$B$2506,0))="","",INDEX('REGISTRE TUBES'!$F$7:$F$2506,MATCH($C1831,'REGISTRE TUBES'!$B$7:$B$2506,0))),"?"))</f>
        <v>11.94</v>
      </c>
      <c r="G1831" s="94" t="n">
        <f aca="false">IF($C1831="","",N(G1830)+N(F1831))</f>
        <v>14757.0300000002</v>
      </c>
      <c r="H1831" s="95" t="s">
        <v>2852</v>
      </c>
      <c r="I1831" s="96"/>
      <c r="J1831" s="97"/>
    </row>
    <row r="1832" customFormat="false" ht="15" hidden="false" customHeight="false" outlineLevel="0" collapsed="false">
      <c r="B1832" s="98" t="n">
        <v>1243</v>
      </c>
      <c r="C1832" s="99" t="n">
        <v>2095550</v>
      </c>
      <c r="D1832" s="100" t="n">
        <f aca="false">IF($C1832="","",IFERROR(IF(INDEX('REGISTRE TUBES'!$C$7:$C$2506,MATCH($C1832,'REGISTRE TUBES'!$B$7:$B$2506,0))="","",INDEX('REGISTRE TUBES'!$C$7:$C$2506,MATCH($C1832,'REGISTRE TUBES'!$B$7:$B$2506,0))),"?"))</f>
        <v>15421111</v>
      </c>
      <c r="E1832" s="100" t="str">
        <f aca="false">IF($C1832="","",IFERROR(IF(INDEX('REGISTRE TUBES'!$D$7:$D$2506,MATCH($C1832,'REGISTRE TUBES'!$B$7:$B$2506,0))="","",INDEX('REGISTRE TUBES'!$D$7:$D$2506,MATCH($C1832,'REGISTRE TUBES'!$B$7:$B$2506,0))),"?"))</f>
        <v/>
      </c>
      <c r="F1832" s="101" t="n">
        <f aca="false">IF($C1832="","",IFERROR(IF(INDEX('REGISTRE TUBES'!$F$7:$F$2506,MATCH($C1832,'REGISTRE TUBES'!$B$7:$B$2506,0))="","",INDEX('REGISTRE TUBES'!$F$7:$F$2506,MATCH($C1832,'REGISTRE TUBES'!$B$7:$B$2506,0))),"?"))</f>
        <v>11.94</v>
      </c>
      <c r="G1832" s="102" t="n">
        <f aca="false">IF($C1832="","",N(G1831)+N(F1832))</f>
        <v>14768.9700000002</v>
      </c>
      <c r="H1832" s="103" t="s">
        <v>2853</v>
      </c>
      <c r="I1832" s="104"/>
      <c r="J1832" s="105"/>
    </row>
    <row r="1833" customFormat="false" ht="15" hidden="false" customHeight="false" outlineLevel="0" collapsed="false">
      <c r="B1833" s="90" t="n">
        <v>1244</v>
      </c>
      <c r="C1833" s="91" t="n">
        <v>2093940</v>
      </c>
      <c r="D1833" s="92" t="n">
        <f aca="false">IF($C1833="","",IFERROR(IF(INDEX('REGISTRE TUBES'!$C$7:$C$2506,MATCH($C1833,'REGISTRE TUBES'!$B$7:$B$2506,0))="","",INDEX('REGISTRE TUBES'!$C$7:$C$2506,MATCH($C1833,'REGISTRE TUBES'!$B$7:$B$2506,0))),"?"))</f>
        <v>15421110</v>
      </c>
      <c r="E1833" s="92" t="str">
        <f aca="false">IF($C1833="","",IFERROR(IF(INDEX('REGISTRE TUBES'!$D$7:$D$2506,MATCH($C1833,'REGISTRE TUBES'!$B$7:$B$2506,0))="","",INDEX('REGISTRE TUBES'!$D$7:$D$2506,MATCH($C1833,'REGISTRE TUBES'!$B$7:$B$2506,0))),"?"))</f>
        <v/>
      </c>
      <c r="F1833" s="93" t="n">
        <f aca="false">IF($C1833="","",IFERROR(IF(INDEX('REGISTRE TUBES'!$F$7:$F$2506,MATCH($C1833,'REGISTRE TUBES'!$B$7:$B$2506,0))="","",INDEX('REGISTRE TUBES'!$F$7:$F$2506,MATCH($C1833,'REGISTRE TUBES'!$B$7:$B$2506,0))),"?"))</f>
        <v>11.94</v>
      </c>
      <c r="G1833" s="94" t="n">
        <f aca="false">IF($C1833="","",N(G1832)+N(F1833))</f>
        <v>14780.9100000002</v>
      </c>
      <c r="H1833" s="95" t="s">
        <v>2854</v>
      </c>
      <c r="I1833" s="96"/>
      <c r="J1833" s="97"/>
    </row>
    <row r="1834" customFormat="false" ht="15" hidden="false" customHeight="false" outlineLevel="0" collapsed="false">
      <c r="B1834" s="98" t="n">
        <v>1245</v>
      </c>
      <c r="C1834" s="99" t="n">
        <v>2091670</v>
      </c>
      <c r="D1834" s="100" t="n">
        <f aca="false">IF($C1834="","",IFERROR(IF(INDEX('REGISTRE TUBES'!$C$7:$C$2506,MATCH($C1834,'REGISTRE TUBES'!$B$7:$B$2506,0))="","",INDEX('REGISTRE TUBES'!$C$7:$C$2506,MATCH($C1834,'REGISTRE TUBES'!$B$7:$B$2506,0))),"?"))</f>
        <v>15421109</v>
      </c>
      <c r="E1834" s="100" t="str">
        <f aca="false">IF($C1834="","",IFERROR(IF(INDEX('REGISTRE TUBES'!$D$7:$D$2506,MATCH($C1834,'REGISTRE TUBES'!$B$7:$B$2506,0))="","",INDEX('REGISTRE TUBES'!$D$7:$D$2506,MATCH($C1834,'REGISTRE TUBES'!$B$7:$B$2506,0))),"?"))</f>
        <v/>
      </c>
      <c r="F1834" s="101" t="n">
        <f aca="false">IF($C1834="","",IFERROR(IF(INDEX('REGISTRE TUBES'!$F$7:$F$2506,MATCH($C1834,'REGISTRE TUBES'!$B$7:$B$2506,0))="","",INDEX('REGISTRE TUBES'!$F$7:$F$2506,MATCH($C1834,'REGISTRE TUBES'!$B$7:$B$2506,0))),"?"))</f>
        <v>11.94</v>
      </c>
      <c r="G1834" s="102" t="n">
        <f aca="false">IF($C1834="","",N(G1833)+N(F1834))</f>
        <v>14792.8500000002</v>
      </c>
      <c r="H1834" s="103" t="s">
        <v>2857</v>
      </c>
      <c r="I1834" s="104"/>
      <c r="J1834" s="105"/>
    </row>
    <row r="1835" customFormat="false" ht="15" hidden="false" customHeight="false" outlineLevel="0" collapsed="false">
      <c r="B1835" s="90" t="n">
        <v>1246</v>
      </c>
      <c r="C1835" s="91" t="n">
        <v>2096000</v>
      </c>
      <c r="D1835" s="92" t="n">
        <f aca="false">IF($C1835="","",IFERROR(IF(INDEX('REGISTRE TUBES'!$C$7:$C$2506,MATCH($C1835,'REGISTRE TUBES'!$B$7:$B$2506,0))="","",INDEX('REGISTRE TUBES'!$C$7:$C$2506,MATCH($C1835,'REGISTRE TUBES'!$B$7:$B$2506,0))),"?"))</f>
        <v>15421111</v>
      </c>
      <c r="E1835" s="92" t="str">
        <f aca="false">IF($C1835="","",IFERROR(IF(INDEX('REGISTRE TUBES'!$D$7:$D$2506,MATCH($C1835,'REGISTRE TUBES'!$B$7:$B$2506,0))="","",INDEX('REGISTRE TUBES'!$D$7:$D$2506,MATCH($C1835,'REGISTRE TUBES'!$B$7:$B$2506,0))),"?"))</f>
        <v/>
      </c>
      <c r="F1835" s="93" t="n">
        <f aca="false">IF($C1835="","",IFERROR(IF(INDEX('REGISTRE TUBES'!$F$7:$F$2506,MATCH($C1835,'REGISTRE TUBES'!$B$7:$B$2506,0))="","",INDEX('REGISTRE TUBES'!$F$7:$F$2506,MATCH($C1835,'REGISTRE TUBES'!$B$7:$B$2506,0))),"?"))</f>
        <v>11.94</v>
      </c>
      <c r="G1835" s="94" t="n">
        <f aca="false">IF($C1835="","",N(G1834)+N(F1835))</f>
        <v>14804.7900000002</v>
      </c>
      <c r="H1835" s="95" t="s">
        <v>2859</v>
      </c>
      <c r="I1835" s="96"/>
      <c r="J1835" s="97"/>
    </row>
    <row r="1836" customFormat="false" ht="15" hidden="false" customHeight="false" outlineLevel="0" collapsed="false">
      <c r="B1836" s="98" t="n">
        <v>1247</v>
      </c>
      <c r="C1836" s="99" t="n">
        <v>2095010</v>
      </c>
      <c r="D1836" s="100" t="n">
        <f aca="false">IF($C1836="","",IFERROR(IF(INDEX('REGISTRE TUBES'!$C$7:$C$2506,MATCH($C1836,'REGISTRE TUBES'!$B$7:$B$2506,0))="","",INDEX('REGISTRE TUBES'!$C$7:$C$2506,MATCH($C1836,'REGISTRE TUBES'!$B$7:$B$2506,0))),"?"))</f>
        <v>15421111</v>
      </c>
      <c r="E1836" s="100" t="str">
        <f aca="false">IF($C1836="","",IFERROR(IF(INDEX('REGISTRE TUBES'!$D$7:$D$2506,MATCH($C1836,'REGISTRE TUBES'!$B$7:$B$2506,0))="","",INDEX('REGISTRE TUBES'!$D$7:$D$2506,MATCH($C1836,'REGISTRE TUBES'!$B$7:$B$2506,0))),"?"))</f>
        <v/>
      </c>
      <c r="F1836" s="101" t="n">
        <f aca="false">IF($C1836="","",IFERROR(IF(INDEX('REGISTRE TUBES'!$F$7:$F$2506,MATCH($C1836,'REGISTRE TUBES'!$B$7:$B$2506,0))="","",INDEX('REGISTRE TUBES'!$F$7:$F$2506,MATCH($C1836,'REGISTRE TUBES'!$B$7:$B$2506,0))),"?"))</f>
        <v>11.94</v>
      </c>
      <c r="G1836" s="102" t="n">
        <f aca="false">IF($C1836="","",N(G1835)+N(F1836))</f>
        <v>14816.7300000002</v>
      </c>
      <c r="H1836" s="103" t="s">
        <v>2860</v>
      </c>
      <c r="I1836" s="104"/>
      <c r="J1836" s="105"/>
    </row>
    <row r="1837" customFormat="false" ht="15" hidden="false" customHeight="false" outlineLevel="0" collapsed="false">
      <c r="B1837" s="90" t="n">
        <v>1248</v>
      </c>
      <c r="C1837" s="91" t="n">
        <v>2078720</v>
      </c>
      <c r="D1837" s="92" t="n">
        <f aca="false">IF($C1837="","",IFERROR(IF(INDEX('REGISTRE TUBES'!$C$7:$C$2506,MATCH($C1837,'REGISTRE TUBES'!$B$7:$B$2506,0))="","",INDEX('REGISTRE TUBES'!$C$7:$C$2506,MATCH($C1837,'REGISTRE TUBES'!$B$7:$B$2506,0))),"?"))</f>
        <v>15421101</v>
      </c>
      <c r="E1837" s="92" t="str">
        <f aca="false">IF($C1837="","",IFERROR(IF(INDEX('REGISTRE TUBES'!$D$7:$D$2506,MATCH($C1837,'REGISTRE TUBES'!$B$7:$B$2506,0))="","",INDEX('REGISTRE TUBES'!$D$7:$D$2506,MATCH($C1837,'REGISTRE TUBES'!$B$7:$B$2506,0))),"?"))</f>
        <v/>
      </c>
      <c r="F1837" s="93" t="n">
        <f aca="false">IF($C1837="","",IFERROR(IF(INDEX('REGISTRE TUBES'!$F$7:$F$2506,MATCH($C1837,'REGISTRE TUBES'!$B$7:$B$2506,0))="","",INDEX('REGISTRE TUBES'!$F$7:$F$2506,MATCH($C1837,'REGISTRE TUBES'!$B$7:$B$2506,0))),"?"))</f>
        <v>11.94</v>
      </c>
      <c r="G1837" s="94" t="n">
        <f aca="false">IF($C1837="","",N(G1836)+N(F1837))</f>
        <v>14828.6700000002</v>
      </c>
      <c r="H1837" s="95" t="s">
        <v>2861</v>
      </c>
      <c r="I1837" s="96"/>
      <c r="J1837" s="97"/>
    </row>
    <row r="1838" customFormat="false" ht="15" hidden="false" customHeight="false" outlineLevel="0" collapsed="false">
      <c r="B1838" s="98" t="n">
        <v>1249</v>
      </c>
      <c r="C1838" s="99" t="n">
        <v>2089660</v>
      </c>
      <c r="D1838" s="100" t="n">
        <f aca="false">IF($C1838="","",IFERROR(IF(INDEX('REGISTRE TUBES'!$C$7:$C$2506,MATCH($C1838,'REGISTRE TUBES'!$B$7:$B$2506,0))="","",INDEX('REGISTRE TUBES'!$C$7:$C$2506,MATCH($C1838,'REGISTRE TUBES'!$B$7:$B$2506,0))),"?"))</f>
        <v>15421109</v>
      </c>
      <c r="E1838" s="100" t="str">
        <f aca="false">IF($C1838="","",IFERROR(IF(INDEX('REGISTRE TUBES'!$D$7:$D$2506,MATCH($C1838,'REGISTRE TUBES'!$B$7:$B$2506,0))="","",INDEX('REGISTRE TUBES'!$D$7:$D$2506,MATCH($C1838,'REGISTRE TUBES'!$B$7:$B$2506,0))),"?"))</f>
        <v/>
      </c>
      <c r="F1838" s="101" t="n">
        <f aca="false">IF($C1838="","",IFERROR(IF(INDEX('REGISTRE TUBES'!$F$7:$F$2506,MATCH($C1838,'REGISTRE TUBES'!$B$7:$B$2506,0))="","",INDEX('REGISTRE TUBES'!$F$7:$F$2506,MATCH($C1838,'REGISTRE TUBES'!$B$7:$B$2506,0))),"?"))</f>
        <v>11.94</v>
      </c>
      <c r="G1838" s="102" t="n">
        <f aca="false">IF($C1838="","",N(G1837)+N(F1838))</f>
        <v>14840.6100000002</v>
      </c>
      <c r="H1838" s="103" t="s">
        <v>2862</v>
      </c>
      <c r="I1838" s="104"/>
      <c r="J1838" s="105"/>
    </row>
    <row r="1839" customFormat="false" ht="15" hidden="false" customHeight="false" outlineLevel="0" collapsed="false">
      <c r="B1839" s="90" t="n">
        <v>1250</v>
      </c>
      <c r="C1839" s="91" t="n">
        <v>2089810</v>
      </c>
      <c r="D1839" s="92" t="n">
        <f aca="false">IF($C1839="","",IFERROR(IF(INDEX('REGISTRE TUBES'!$C$7:$C$2506,MATCH($C1839,'REGISTRE TUBES'!$B$7:$B$2506,0))="","",INDEX('REGISTRE TUBES'!$C$7:$C$2506,MATCH($C1839,'REGISTRE TUBES'!$B$7:$B$2506,0))),"?"))</f>
        <v>15421109</v>
      </c>
      <c r="E1839" s="92" t="str">
        <f aca="false">IF($C1839="","",IFERROR(IF(INDEX('REGISTRE TUBES'!$D$7:$D$2506,MATCH($C1839,'REGISTRE TUBES'!$B$7:$B$2506,0))="","",INDEX('REGISTRE TUBES'!$D$7:$D$2506,MATCH($C1839,'REGISTRE TUBES'!$B$7:$B$2506,0))),"?"))</f>
        <v/>
      </c>
      <c r="F1839" s="93" t="n">
        <f aca="false">IF($C1839="","",IFERROR(IF(INDEX('REGISTRE TUBES'!$F$7:$F$2506,MATCH($C1839,'REGISTRE TUBES'!$B$7:$B$2506,0))="","",INDEX('REGISTRE TUBES'!$F$7:$F$2506,MATCH($C1839,'REGISTRE TUBES'!$B$7:$B$2506,0))),"?"))</f>
        <v>11.94</v>
      </c>
      <c r="G1839" s="94" t="n">
        <f aca="false">IF($C1839="","",N(G1838)+N(F1839))</f>
        <v>14852.5500000002</v>
      </c>
      <c r="H1839" s="95" t="s">
        <v>2863</v>
      </c>
      <c r="I1839" s="96"/>
      <c r="J1839" s="97"/>
    </row>
    <row r="1840" customFormat="false" ht="15" hidden="false" customHeight="false" outlineLevel="0" collapsed="false">
      <c r="B1840" s="98" t="n">
        <v>1251</v>
      </c>
      <c r="C1840" s="99" t="n">
        <v>2095240</v>
      </c>
      <c r="D1840" s="100" t="n">
        <f aca="false">IF($C1840="","",IFERROR(IF(INDEX('REGISTRE TUBES'!$C$7:$C$2506,MATCH($C1840,'REGISTRE TUBES'!$B$7:$B$2506,0))="","",INDEX('REGISTRE TUBES'!$C$7:$C$2506,MATCH($C1840,'REGISTRE TUBES'!$B$7:$B$2506,0))),"?"))</f>
        <v>15421111</v>
      </c>
      <c r="E1840" s="100" t="str">
        <f aca="false">IF($C1840="","",IFERROR(IF(INDEX('REGISTRE TUBES'!$D$7:$D$2506,MATCH($C1840,'REGISTRE TUBES'!$B$7:$B$2506,0))="","",INDEX('REGISTRE TUBES'!$D$7:$D$2506,MATCH($C1840,'REGISTRE TUBES'!$B$7:$B$2506,0))),"?"))</f>
        <v/>
      </c>
      <c r="F1840" s="101" t="n">
        <f aca="false">IF($C1840="","",IFERROR(IF(INDEX('REGISTRE TUBES'!$F$7:$F$2506,MATCH($C1840,'REGISTRE TUBES'!$B$7:$B$2506,0))="","",INDEX('REGISTRE TUBES'!$F$7:$F$2506,MATCH($C1840,'REGISTRE TUBES'!$B$7:$B$2506,0))),"?"))</f>
        <v>11.94</v>
      </c>
      <c r="G1840" s="102" t="n">
        <f aca="false">IF($C1840="","",N(G1839)+N(F1840))</f>
        <v>14864.4900000002</v>
      </c>
      <c r="H1840" s="103" t="s">
        <v>2865</v>
      </c>
      <c r="I1840" s="104"/>
      <c r="J1840" s="105"/>
    </row>
    <row r="1841" customFormat="false" ht="15" hidden="false" customHeight="false" outlineLevel="0" collapsed="false">
      <c r="B1841" s="90" t="n">
        <v>1252</v>
      </c>
      <c r="C1841" s="91" t="n">
        <v>2090310</v>
      </c>
      <c r="D1841" s="92" t="n">
        <f aca="false">IF($C1841="","",IFERROR(IF(INDEX('REGISTRE TUBES'!$C$7:$C$2506,MATCH($C1841,'REGISTRE TUBES'!$B$7:$B$2506,0))="","",INDEX('REGISTRE TUBES'!$C$7:$C$2506,MATCH($C1841,'REGISTRE TUBES'!$B$7:$B$2506,0))),"?"))</f>
        <v>15421109</v>
      </c>
      <c r="E1841" s="92" t="str">
        <f aca="false">IF($C1841="","",IFERROR(IF(INDEX('REGISTRE TUBES'!$D$7:$D$2506,MATCH($C1841,'REGISTRE TUBES'!$B$7:$B$2506,0))="","",INDEX('REGISTRE TUBES'!$D$7:$D$2506,MATCH($C1841,'REGISTRE TUBES'!$B$7:$B$2506,0))),"?"))</f>
        <v/>
      </c>
      <c r="F1841" s="93" t="n">
        <f aca="false">IF($C1841="","",IFERROR(IF(INDEX('REGISTRE TUBES'!$F$7:$F$2506,MATCH($C1841,'REGISTRE TUBES'!$B$7:$B$2506,0))="","",INDEX('REGISTRE TUBES'!$F$7:$F$2506,MATCH($C1841,'REGISTRE TUBES'!$B$7:$B$2506,0))),"?"))</f>
        <v>11.94</v>
      </c>
      <c r="G1841" s="94" t="n">
        <f aca="false">IF($C1841="","",N(G1840)+N(F1841))</f>
        <v>14876.4300000002</v>
      </c>
      <c r="H1841" s="95" t="s">
        <v>2866</v>
      </c>
      <c r="I1841" s="96"/>
      <c r="J1841" s="97"/>
    </row>
    <row r="1842" customFormat="false" ht="15" hidden="false" customHeight="false" outlineLevel="0" collapsed="false">
      <c r="B1842" s="98" t="n">
        <v>1253</v>
      </c>
      <c r="C1842" s="99" t="n">
        <v>2086940</v>
      </c>
      <c r="D1842" s="100" t="n">
        <f aca="false">IF($C1842="","",IFERROR(IF(INDEX('REGISTRE TUBES'!$C$7:$C$2506,MATCH($C1842,'REGISTRE TUBES'!$B$7:$B$2506,0))="","",INDEX('REGISTRE TUBES'!$C$7:$C$2506,MATCH($C1842,'REGISTRE TUBES'!$B$7:$B$2506,0))),"?"))</f>
        <v>15421107</v>
      </c>
      <c r="E1842" s="100" t="str">
        <f aca="false">IF($C1842="","",IFERROR(IF(INDEX('REGISTRE TUBES'!$D$7:$D$2506,MATCH($C1842,'REGISTRE TUBES'!$B$7:$B$2506,0))="","",INDEX('REGISTRE TUBES'!$D$7:$D$2506,MATCH($C1842,'REGISTRE TUBES'!$B$7:$B$2506,0))),"?"))</f>
        <v/>
      </c>
      <c r="F1842" s="101" t="n">
        <f aca="false">IF($C1842="","",IFERROR(IF(INDEX('REGISTRE TUBES'!$F$7:$F$2506,MATCH($C1842,'REGISTRE TUBES'!$B$7:$B$2506,0))="","",INDEX('REGISTRE TUBES'!$F$7:$F$2506,MATCH($C1842,'REGISTRE TUBES'!$B$7:$B$2506,0))),"?"))</f>
        <v>11.94</v>
      </c>
      <c r="G1842" s="102" t="n">
        <f aca="false">IF($C1842="","",N(G1841)+N(F1842))</f>
        <v>14888.3700000002</v>
      </c>
      <c r="H1842" s="103" t="s">
        <v>2882</v>
      </c>
      <c r="I1842" s="104"/>
      <c r="J1842" s="105"/>
    </row>
    <row r="1843" customFormat="false" ht="15" hidden="false" customHeight="false" outlineLevel="0" collapsed="false">
      <c r="B1843" s="90" t="n">
        <v>1254</v>
      </c>
      <c r="C1843" s="91" t="n">
        <v>2092320</v>
      </c>
      <c r="D1843" s="92" t="n">
        <f aca="false">IF($C1843="","",IFERROR(IF(INDEX('REGISTRE TUBES'!$C$7:$C$2506,MATCH($C1843,'REGISTRE TUBES'!$B$7:$B$2506,0))="","",INDEX('REGISTRE TUBES'!$C$7:$C$2506,MATCH($C1843,'REGISTRE TUBES'!$B$7:$B$2506,0))),"?"))</f>
        <v>15421110</v>
      </c>
      <c r="E1843" s="92" t="str">
        <f aca="false">IF($C1843="","",IFERROR(IF(INDEX('REGISTRE TUBES'!$D$7:$D$2506,MATCH($C1843,'REGISTRE TUBES'!$B$7:$B$2506,0))="","",INDEX('REGISTRE TUBES'!$D$7:$D$2506,MATCH($C1843,'REGISTRE TUBES'!$B$7:$B$2506,0))),"?"))</f>
        <v/>
      </c>
      <c r="F1843" s="93" t="n">
        <f aca="false">IF($C1843="","",IFERROR(IF(INDEX('REGISTRE TUBES'!$F$7:$F$2506,MATCH($C1843,'REGISTRE TUBES'!$B$7:$B$2506,0))="","",INDEX('REGISTRE TUBES'!$F$7:$F$2506,MATCH($C1843,'REGISTRE TUBES'!$B$7:$B$2506,0))),"?"))</f>
        <v>11.94</v>
      </c>
      <c r="G1843" s="94" t="n">
        <f aca="false">IF($C1843="","",N(G1842)+N(F1843))</f>
        <v>14900.3100000002</v>
      </c>
      <c r="H1843" s="95" t="s">
        <v>2884</v>
      </c>
      <c r="I1843" s="96"/>
      <c r="J1843" s="97"/>
    </row>
    <row r="1844" customFormat="false" ht="15" hidden="false" customHeight="true" outlineLevel="0" collapsed="false">
      <c r="B1844" s="106" t="s">
        <v>3031</v>
      </c>
      <c r="C1844" s="106"/>
      <c r="D1844" s="106"/>
      <c r="E1844" s="106"/>
      <c r="F1844" s="107" t="n">
        <f aca="false">SUM(F1825:F1843)</f>
        <v>226.86</v>
      </c>
      <c r="G1844" s="108" t="n">
        <f aca="false">IF(COUNT(G1825:G1843)=0,"",MAX(G1825:G1843))</f>
        <v>14900.3100000002</v>
      </c>
      <c r="H1844" s="106" t="str">
        <f aca="false">COUNTA(C1825:C1843)&amp;" tube(s)"</f>
        <v>19 tube(s)</v>
      </c>
      <c r="I1844" s="106"/>
      <c r="J1844" s="106"/>
    </row>
    <row r="1846" customFormat="false" ht="15" hidden="false" customHeight="false" outlineLevel="0" collapsed="false">
      <c r="B1846" s="109" t="s">
        <v>3032</v>
      </c>
      <c r="F1846" s="109" t="s">
        <v>3033</v>
      </c>
      <c r="I1846" s="109" t="s">
        <v>3034</v>
      </c>
    </row>
    <row r="1849" customFormat="false" ht="25.5" hidden="false" customHeight="true" outlineLevel="0" collapsed="false">
      <c r="B1849" s="85" t="s">
        <v>3015</v>
      </c>
      <c r="C1849" s="85"/>
      <c r="D1849" s="85"/>
      <c r="E1849" s="85"/>
      <c r="F1849" s="85"/>
      <c r="G1849" s="85"/>
      <c r="H1849" s="85"/>
      <c r="I1849" s="85"/>
      <c r="J1849" s="85"/>
    </row>
    <row r="1850" customFormat="false" ht="15" hidden="false" customHeight="false" outlineLevel="0" collapsed="false">
      <c r="B1850" s="86" t="str">
        <f aca="false">PARAMÈTRES!$C$4&amp;"   •   Affaire N° "&amp;PARAMÈTRES!$C$5</f>
        <v>Développement des champs gaziers TFT II — réseau de collecte TFT Sud (LIGNE-16)   •   Affaire N° 8546</v>
      </c>
      <c r="C1850" s="86"/>
      <c r="D1850" s="86"/>
      <c r="E1850" s="86"/>
      <c r="F1850" s="86"/>
      <c r="G1850" s="86"/>
      <c r="H1850" s="86"/>
      <c r="I1850" s="86"/>
      <c r="J1850" s="86"/>
    </row>
    <row r="1851" customFormat="false" ht="19.5" hidden="false" customHeight="true" outlineLevel="0" collapsed="false">
      <c r="B1851" s="87" t="s">
        <v>3016</v>
      </c>
      <c r="C1851" s="88" t="s">
        <v>110</v>
      </c>
      <c r="D1851" s="88"/>
      <c r="E1851" s="87" t="s">
        <v>3017</v>
      </c>
      <c r="F1851" s="88" t="s">
        <v>3165</v>
      </c>
      <c r="G1851" s="87" t="s">
        <v>3019</v>
      </c>
      <c r="H1851" s="88" t="s">
        <v>3166</v>
      </c>
      <c r="I1851" s="87" t="s">
        <v>3021</v>
      </c>
      <c r="J1851" s="89"/>
    </row>
    <row r="1852" customFormat="false" ht="27.75" hidden="false" customHeight="true" outlineLevel="0" collapsed="false">
      <c r="B1852" s="71" t="s">
        <v>3022</v>
      </c>
      <c r="C1852" s="71" t="s">
        <v>3023</v>
      </c>
      <c r="D1852" s="71" t="s">
        <v>3024</v>
      </c>
      <c r="E1852" s="71" t="s">
        <v>3025</v>
      </c>
      <c r="F1852" s="71" t="s">
        <v>3026</v>
      </c>
      <c r="G1852" s="71" t="s">
        <v>3027</v>
      </c>
      <c r="H1852" s="71" t="s">
        <v>3028</v>
      </c>
      <c r="I1852" s="71" t="s">
        <v>3029</v>
      </c>
      <c r="J1852" s="71" t="s">
        <v>3030</v>
      </c>
    </row>
    <row r="1853" customFormat="false" ht="15" hidden="false" customHeight="false" outlineLevel="0" collapsed="false">
      <c r="B1853" s="90" t="n">
        <v>1255</v>
      </c>
      <c r="C1853" s="91" t="n">
        <v>2096880</v>
      </c>
      <c r="D1853" s="92" t="n">
        <f aca="false">IF($C1853="","",IFERROR(IF(INDEX('REGISTRE TUBES'!$C$7:$C$2506,MATCH($C1853,'REGISTRE TUBES'!$B$7:$B$2506,0))="","",INDEX('REGISTRE TUBES'!$C$7:$C$2506,MATCH($C1853,'REGISTRE TUBES'!$B$7:$B$2506,0))),"?"))</f>
        <v>15421111</v>
      </c>
      <c r="E1853" s="92" t="str">
        <f aca="false">IF($C1853="","",IFERROR(IF(INDEX('REGISTRE TUBES'!$D$7:$D$2506,MATCH($C1853,'REGISTRE TUBES'!$B$7:$B$2506,0))="","",INDEX('REGISTRE TUBES'!$D$7:$D$2506,MATCH($C1853,'REGISTRE TUBES'!$B$7:$B$2506,0))),"?"))</f>
        <v/>
      </c>
      <c r="F1853" s="93" t="n">
        <f aca="false">IF($C1853="","",IFERROR(IF(INDEX('REGISTRE TUBES'!$F$7:$F$2506,MATCH($C1853,'REGISTRE TUBES'!$B$7:$B$2506,0))="","",INDEX('REGISTRE TUBES'!$F$7:$F$2506,MATCH($C1853,'REGISTRE TUBES'!$B$7:$B$2506,0))),"?"))</f>
        <v>11.94</v>
      </c>
      <c r="G1853" s="94" t="n">
        <f aca="false">IF($C1853="","",N(G1843)+N(F1853))</f>
        <v>14912.2500000002</v>
      </c>
      <c r="H1853" s="95" t="s">
        <v>2888</v>
      </c>
      <c r="I1853" s="96"/>
      <c r="J1853" s="97"/>
    </row>
    <row r="1854" customFormat="false" ht="15" hidden="false" customHeight="false" outlineLevel="0" collapsed="false">
      <c r="B1854" s="98" t="n">
        <v>1256</v>
      </c>
      <c r="C1854" s="99" t="n">
        <v>2083770</v>
      </c>
      <c r="D1854" s="100" t="n">
        <f aca="false">IF($C1854="","",IFERROR(IF(INDEX('REGISTRE TUBES'!$C$7:$C$2506,MATCH($C1854,'REGISTRE TUBES'!$B$7:$B$2506,0))="","",INDEX('REGISTRE TUBES'!$C$7:$C$2506,MATCH($C1854,'REGISTRE TUBES'!$B$7:$B$2506,0))),"?"))</f>
        <v>15421105</v>
      </c>
      <c r="E1854" s="100" t="str">
        <f aca="false">IF($C1854="","",IFERROR(IF(INDEX('REGISTRE TUBES'!$D$7:$D$2506,MATCH($C1854,'REGISTRE TUBES'!$B$7:$B$2506,0))="","",INDEX('REGISTRE TUBES'!$D$7:$D$2506,MATCH($C1854,'REGISTRE TUBES'!$B$7:$B$2506,0))),"?"))</f>
        <v/>
      </c>
      <c r="F1854" s="101" t="n">
        <f aca="false">IF($C1854="","",IFERROR(IF(INDEX('REGISTRE TUBES'!$F$7:$F$2506,MATCH($C1854,'REGISTRE TUBES'!$B$7:$B$2506,0))="","",INDEX('REGISTRE TUBES'!$F$7:$F$2506,MATCH($C1854,'REGISTRE TUBES'!$B$7:$B$2506,0))),"?"))</f>
        <v>11.94</v>
      </c>
      <c r="G1854" s="102" t="n">
        <f aca="false">IF($C1854="","",N(G1853)+N(F1854))</f>
        <v>14924.1900000002</v>
      </c>
      <c r="H1854" s="103" t="s">
        <v>2889</v>
      </c>
      <c r="I1854" s="104"/>
      <c r="J1854" s="105"/>
    </row>
    <row r="1855" customFormat="false" ht="15" hidden="false" customHeight="false" outlineLevel="0" collapsed="false">
      <c r="B1855" s="90" t="n">
        <v>1257</v>
      </c>
      <c r="C1855" s="91" t="n">
        <v>2090400</v>
      </c>
      <c r="D1855" s="92" t="n">
        <f aca="false">IF($C1855="","",IFERROR(IF(INDEX('REGISTRE TUBES'!$C$7:$C$2506,MATCH($C1855,'REGISTRE TUBES'!$B$7:$B$2506,0))="","",INDEX('REGISTRE TUBES'!$C$7:$C$2506,MATCH($C1855,'REGISTRE TUBES'!$B$7:$B$2506,0))),"?"))</f>
        <v>15421109</v>
      </c>
      <c r="E1855" s="92" t="str">
        <f aca="false">IF($C1855="","",IFERROR(IF(INDEX('REGISTRE TUBES'!$D$7:$D$2506,MATCH($C1855,'REGISTRE TUBES'!$B$7:$B$2506,0))="","",INDEX('REGISTRE TUBES'!$D$7:$D$2506,MATCH($C1855,'REGISTRE TUBES'!$B$7:$B$2506,0))),"?"))</f>
        <v/>
      </c>
      <c r="F1855" s="93" t="n">
        <f aca="false">IF($C1855="","",IFERROR(IF(INDEX('REGISTRE TUBES'!$F$7:$F$2506,MATCH($C1855,'REGISTRE TUBES'!$B$7:$B$2506,0))="","",INDEX('REGISTRE TUBES'!$F$7:$F$2506,MATCH($C1855,'REGISTRE TUBES'!$B$7:$B$2506,0))),"?"))</f>
        <v>11.94</v>
      </c>
      <c r="G1855" s="94" t="n">
        <f aca="false">IF($C1855="","",N(G1854)+N(F1855))</f>
        <v>14936.1300000002</v>
      </c>
      <c r="H1855" s="95" t="s">
        <v>2891</v>
      </c>
      <c r="I1855" s="96"/>
      <c r="J1855" s="97"/>
    </row>
    <row r="1856" customFormat="false" ht="15" hidden="false" customHeight="false" outlineLevel="0" collapsed="false">
      <c r="B1856" s="98" t="n">
        <v>1258</v>
      </c>
      <c r="C1856" s="99" t="n">
        <v>2095160</v>
      </c>
      <c r="D1856" s="100" t="n">
        <f aca="false">IF($C1856="","",IFERROR(IF(INDEX('REGISTRE TUBES'!$C$7:$C$2506,MATCH($C1856,'REGISTRE TUBES'!$B$7:$B$2506,0))="","",INDEX('REGISTRE TUBES'!$C$7:$C$2506,MATCH($C1856,'REGISTRE TUBES'!$B$7:$B$2506,0))),"?"))</f>
        <v>15421111</v>
      </c>
      <c r="E1856" s="100" t="str">
        <f aca="false">IF($C1856="","",IFERROR(IF(INDEX('REGISTRE TUBES'!$D$7:$D$2506,MATCH($C1856,'REGISTRE TUBES'!$B$7:$B$2506,0))="","",INDEX('REGISTRE TUBES'!$D$7:$D$2506,MATCH($C1856,'REGISTRE TUBES'!$B$7:$B$2506,0))),"?"))</f>
        <v/>
      </c>
      <c r="F1856" s="101" t="n">
        <f aca="false">IF($C1856="","",IFERROR(IF(INDEX('REGISTRE TUBES'!$F$7:$F$2506,MATCH($C1856,'REGISTRE TUBES'!$B$7:$B$2506,0))="","",INDEX('REGISTRE TUBES'!$F$7:$F$2506,MATCH($C1856,'REGISTRE TUBES'!$B$7:$B$2506,0))),"?"))</f>
        <v>11.94</v>
      </c>
      <c r="G1856" s="102" t="n">
        <f aca="false">IF($C1856="","",N(G1855)+N(F1856))</f>
        <v>14948.0700000002</v>
      </c>
      <c r="H1856" s="103" t="s">
        <v>2892</v>
      </c>
      <c r="I1856" s="104"/>
      <c r="J1856" s="105"/>
    </row>
    <row r="1857" customFormat="false" ht="15" hidden="false" customHeight="false" outlineLevel="0" collapsed="false">
      <c r="B1857" s="90" t="n">
        <v>1259</v>
      </c>
      <c r="C1857" s="91" t="n">
        <v>2089750</v>
      </c>
      <c r="D1857" s="92" t="n">
        <f aca="false">IF($C1857="","",IFERROR(IF(INDEX('REGISTRE TUBES'!$C$7:$C$2506,MATCH($C1857,'REGISTRE TUBES'!$B$7:$B$2506,0))="","",INDEX('REGISTRE TUBES'!$C$7:$C$2506,MATCH($C1857,'REGISTRE TUBES'!$B$7:$B$2506,0))),"?"))</f>
        <v>15421109</v>
      </c>
      <c r="E1857" s="92" t="str">
        <f aca="false">IF($C1857="","",IFERROR(IF(INDEX('REGISTRE TUBES'!$D$7:$D$2506,MATCH($C1857,'REGISTRE TUBES'!$B$7:$B$2506,0))="","",INDEX('REGISTRE TUBES'!$D$7:$D$2506,MATCH($C1857,'REGISTRE TUBES'!$B$7:$B$2506,0))),"?"))</f>
        <v/>
      </c>
      <c r="F1857" s="93" t="n">
        <f aca="false">IF($C1857="","",IFERROR(IF(INDEX('REGISTRE TUBES'!$F$7:$F$2506,MATCH($C1857,'REGISTRE TUBES'!$B$7:$B$2506,0))="","",INDEX('REGISTRE TUBES'!$F$7:$F$2506,MATCH($C1857,'REGISTRE TUBES'!$B$7:$B$2506,0))),"?"))</f>
        <v>11.94</v>
      </c>
      <c r="G1857" s="94" t="n">
        <f aca="false">IF($C1857="","",N(G1856)+N(F1857))</f>
        <v>14960.0100000002</v>
      </c>
      <c r="H1857" s="95" t="s">
        <v>2893</v>
      </c>
      <c r="I1857" s="96"/>
      <c r="J1857" s="97"/>
    </row>
    <row r="1858" customFormat="false" ht="15" hidden="false" customHeight="false" outlineLevel="0" collapsed="false">
      <c r="B1858" s="98" t="n">
        <v>1260</v>
      </c>
      <c r="C1858" s="99" t="n">
        <v>2097050</v>
      </c>
      <c r="D1858" s="100" t="n">
        <f aca="false">IF($C1858="","",IFERROR(IF(INDEX('REGISTRE TUBES'!$C$7:$C$2506,MATCH($C1858,'REGISTRE TUBES'!$B$7:$B$2506,0))="","",INDEX('REGISTRE TUBES'!$C$7:$C$2506,MATCH($C1858,'REGISTRE TUBES'!$B$7:$B$2506,0))),"?"))</f>
        <v>15421111</v>
      </c>
      <c r="E1858" s="100" t="str">
        <f aca="false">IF($C1858="","",IFERROR(IF(INDEX('REGISTRE TUBES'!$D$7:$D$2506,MATCH($C1858,'REGISTRE TUBES'!$B$7:$B$2506,0))="","",INDEX('REGISTRE TUBES'!$D$7:$D$2506,MATCH($C1858,'REGISTRE TUBES'!$B$7:$B$2506,0))),"?"))</f>
        <v/>
      </c>
      <c r="F1858" s="101" t="n">
        <f aca="false">IF($C1858="","",IFERROR(IF(INDEX('REGISTRE TUBES'!$F$7:$F$2506,MATCH($C1858,'REGISTRE TUBES'!$B$7:$B$2506,0))="","",INDEX('REGISTRE TUBES'!$F$7:$F$2506,MATCH($C1858,'REGISTRE TUBES'!$B$7:$B$2506,0))),"?"))</f>
        <v>11.94</v>
      </c>
      <c r="G1858" s="102" t="n">
        <f aca="false">IF($C1858="","",N(G1857)+N(F1858))</f>
        <v>14971.9500000002</v>
      </c>
      <c r="H1858" s="103" t="s">
        <v>2894</v>
      </c>
      <c r="I1858" s="104"/>
      <c r="J1858" s="105"/>
    </row>
    <row r="1859" customFormat="false" ht="15" hidden="false" customHeight="false" outlineLevel="0" collapsed="false">
      <c r="B1859" s="90" t="n">
        <v>1261</v>
      </c>
      <c r="C1859" s="91" t="n">
        <v>2084370</v>
      </c>
      <c r="D1859" s="92" t="n">
        <f aca="false">IF($C1859="","",IFERROR(IF(INDEX('REGISTRE TUBES'!$C$7:$C$2506,MATCH($C1859,'REGISTRE TUBES'!$B$7:$B$2506,0))="","",INDEX('REGISTRE TUBES'!$C$7:$C$2506,MATCH($C1859,'REGISTRE TUBES'!$B$7:$B$2506,0))),"?"))</f>
        <v>15421106</v>
      </c>
      <c r="E1859" s="92" t="str">
        <f aca="false">IF($C1859="","",IFERROR(IF(INDEX('REGISTRE TUBES'!$D$7:$D$2506,MATCH($C1859,'REGISTRE TUBES'!$B$7:$B$2506,0))="","",INDEX('REGISTRE TUBES'!$D$7:$D$2506,MATCH($C1859,'REGISTRE TUBES'!$B$7:$B$2506,0))),"?"))</f>
        <v/>
      </c>
      <c r="F1859" s="93" t="n">
        <f aca="false">IF($C1859="","",IFERROR(IF(INDEX('REGISTRE TUBES'!$F$7:$F$2506,MATCH($C1859,'REGISTRE TUBES'!$B$7:$B$2506,0))="","",INDEX('REGISTRE TUBES'!$F$7:$F$2506,MATCH($C1859,'REGISTRE TUBES'!$B$7:$B$2506,0))),"?"))</f>
        <v>11.94</v>
      </c>
      <c r="G1859" s="94" t="n">
        <f aca="false">IF($C1859="","",N(G1858)+N(F1859))</f>
        <v>14983.8900000002</v>
      </c>
      <c r="H1859" s="95" t="s">
        <v>2897</v>
      </c>
      <c r="I1859" s="96"/>
      <c r="J1859" s="97"/>
    </row>
    <row r="1860" customFormat="false" ht="15" hidden="false" customHeight="false" outlineLevel="0" collapsed="false">
      <c r="B1860" s="98" t="n">
        <v>1262</v>
      </c>
      <c r="C1860" s="99" t="n">
        <v>2084750</v>
      </c>
      <c r="D1860" s="100" t="n">
        <f aca="false">IF($C1860="","",IFERROR(IF(INDEX('REGISTRE TUBES'!$C$7:$C$2506,MATCH($C1860,'REGISTRE TUBES'!$B$7:$B$2506,0))="","",INDEX('REGISTRE TUBES'!$C$7:$C$2506,MATCH($C1860,'REGISTRE TUBES'!$B$7:$B$2506,0))),"?"))</f>
        <v>15421106</v>
      </c>
      <c r="E1860" s="100" t="str">
        <f aca="false">IF($C1860="","",IFERROR(IF(INDEX('REGISTRE TUBES'!$D$7:$D$2506,MATCH($C1860,'REGISTRE TUBES'!$B$7:$B$2506,0))="","",INDEX('REGISTRE TUBES'!$D$7:$D$2506,MATCH($C1860,'REGISTRE TUBES'!$B$7:$B$2506,0))),"?"))</f>
        <v/>
      </c>
      <c r="F1860" s="101" t="n">
        <f aca="false">IF($C1860="","",IFERROR(IF(INDEX('REGISTRE TUBES'!$F$7:$F$2506,MATCH($C1860,'REGISTRE TUBES'!$B$7:$B$2506,0))="","",INDEX('REGISTRE TUBES'!$F$7:$F$2506,MATCH($C1860,'REGISTRE TUBES'!$B$7:$B$2506,0))),"?"))</f>
        <v>11.94</v>
      </c>
      <c r="G1860" s="102" t="n">
        <f aca="false">IF($C1860="","",N(G1859)+N(F1860))</f>
        <v>14995.8300000002</v>
      </c>
      <c r="H1860" s="103" t="s">
        <v>2898</v>
      </c>
      <c r="I1860" s="104"/>
      <c r="J1860" s="105"/>
    </row>
    <row r="1861" customFormat="false" ht="15" hidden="false" customHeight="false" outlineLevel="0" collapsed="false">
      <c r="B1861" s="90" t="n">
        <v>1263</v>
      </c>
      <c r="C1861" s="91" t="n">
        <v>2085100</v>
      </c>
      <c r="D1861" s="92" t="n">
        <f aca="false">IF($C1861="","",IFERROR(IF(INDEX('REGISTRE TUBES'!$C$7:$C$2506,MATCH($C1861,'REGISTRE TUBES'!$B$7:$B$2506,0))="","",INDEX('REGISTRE TUBES'!$C$7:$C$2506,MATCH($C1861,'REGISTRE TUBES'!$B$7:$B$2506,0))),"?"))</f>
        <v>15421106</v>
      </c>
      <c r="E1861" s="92" t="str">
        <f aca="false">IF($C1861="","",IFERROR(IF(INDEX('REGISTRE TUBES'!$D$7:$D$2506,MATCH($C1861,'REGISTRE TUBES'!$B$7:$B$2506,0))="","",INDEX('REGISTRE TUBES'!$D$7:$D$2506,MATCH($C1861,'REGISTRE TUBES'!$B$7:$B$2506,0))),"?"))</f>
        <v/>
      </c>
      <c r="F1861" s="93" t="n">
        <f aca="false">IF($C1861="","",IFERROR(IF(INDEX('REGISTRE TUBES'!$F$7:$F$2506,MATCH($C1861,'REGISTRE TUBES'!$B$7:$B$2506,0))="","",INDEX('REGISTRE TUBES'!$F$7:$F$2506,MATCH($C1861,'REGISTRE TUBES'!$B$7:$B$2506,0))),"?"))</f>
        <v>11.94</v>
      </c>
      <c r="G1861" s="94" t="n">
        <f aca="false">IF($C1861="","",N(G1860)+N(F1861))</f>
        <v>15007.7700000002</v>
      </c>
      <c r="H1861" s="95" t="s">
        <v>2899</v>
      </c>
      <c r="I1861" s="96"/>
      <c r="J1861" s="97"/>
    </row>
    <row r="1862" customFormat="false" ht="15" hidden="false" customHeight="false" outlineLevel="0" collapsed="false">
      <c r="B1862" s="98" t="n">
        <v>1264</v>
      </c>
      <c r="C1862" s="99" t="n">
        <v>2095790</v>
      </c>
      <c r="D1862" s="100" t="n">
        <f aca="false">IF($C1862="","",IFERROR(IF(INDEX('REGISTRE TUBES'!$C$7:$C$2506,MATCH($C1862,'REGISTRE TUBES'!$B$7:$B$2506,0))="","",INDEX('REGISTRE TUBES'!$C$7:$C$2506,MATCH($C1862,'REGISTRE TUBES'!$B$7:$B$2506,0))),"?"))</f>
        <v>15421111</v>
      </c>
      <c r="E1862" s="100" t="str">
        <f aca="false">IF($C1862="","",IFERROR(IF(INDEX('REGISTRE TUBES'!$D$7:$D$2506,MATCH($C1862,'REGISTRE TUBES'!$B$7:$B$2506,0))="","",INDEX('REGISTRE TUBES'!$D$7:$D$2506,MATCH($C1862,'REGISTRE TUBES'!$B$7:$B$2506,0))),"?"))</f>
        <v/>
      </c>
      <c r="F1862" s="101" t="n">
        <f aca="false">IF($C1862="","",IFERROR(IF(INDEX('REGISTRE TUBES'!$F$7:$F$2506,MATCH($C1862,'REGISTRE TUBES'!$B$7:$B$2506,0))="","",INDEX('REGISTRE TUBES'!$F$7:$F$2506,MATCH($C1862,'REGISTRE TUBES'!$B$7:$B$2506,0))),"?"))</f>
        <v>11.94</v>
      </c>
      <c r="G1862" s="102" t="n">
        <f aca="false">IF($C1862="","",N(G1861)+N(F1862))</f>
        <v>15019.7100000002</v>
      </c>
      <c r="H1862" s="103" t="s">
        <v>2902</v>
      </c>
      <c r="I1862" s="104"/>
      <c r="J1862" s="105"/>
    </row>
    <row r="1863" customFormat="false" ht="15" hidden="false" customHeight="false" outlineLevel="0" collapsed="false">
      <c r="B1863" s="90" t="n">
        <v>1265</v>
      </c>
      <c r="C1863" s="91" t="n">
        <v>2090790</v>
      </c>
      <c r="D1863" s="92" t="n">
        <f aca="false">IF($C1863="","",IFERROR(IF(INDEX('REGISTRE TUBES'!$C$7:$C$2506,MATCH($C1863,'REGISTRE TUBES'!$B$7:$B$2506,0))="","",INDEX('REGISTRE TUBES'!$C$7:$C$2506,MATCH($C1863,'REGISTRE TUBES'!$B$7:$B$2506,0))),"?"))</f>
        <v>15421111</v>
      </c>
      <c r="E1863" s="92" t="str">
        <f aca="false">IF($C1863="","",IFERROR(IF(INDEX('REGISTRE TUBES'!$D$7:$D$2506,MATCH($C1863,'REGISTRE TUBES'!$B$7:$B$2506,0))="","",INDEX('REGISTRE TUBES'!$D$7:$D$2506,MATCH($C1863,'REGISTRE TUBES'!$B$7:$B$2506,0))),"?"))</f>
        <v/>
      </c>
      <c r="F1863" s="93" t="n">
        <f aca="false">IF($C1863="","",IFERROR(IF(INDEX('REGISTRE TUBES'!$F$7:$F$2506,MATCH($C1863,'REGISTRE TUBES'!$B$7:$B$2506,0))="","",INDEX('REGISTRE TUBES'!$F$7:$F$2506,MATCH($C1863,'REGISTRE TUBES'!$B$7:$B$2506,0))),"?"))</f>
        <v>11.94</v>
      </c>
      <c r="G1863" s="94" t="n">
        <f aca="false">IF($C1863="","",N(G1862)+N(F1863))</f>
        <v>15031.6500000002</v>
      </c>
      <c r="H1863" s="95" t="s">
        <v>2903</v>
      </c>
      <c r="I1863" s="96"/>
      <c r="J1863" s="97"/>
    </row>
    <row r="1864" customFormat="false" ht="15" hidden="false" customHeight="false" outlineLevel="0" collapsed="false">
      <c r="B1864" s="98" t="n">
        <v>1266</v>
      </c>
      <c r="C1864" s="99" t="n">
        <v>2090200</v>
      </c>
      <c r="D1864" s="100" t="n">
        <f aca="false">IF($C1864="","",IFERROR(IF(INDEX('REGISTRE TUBES'!$C$7:$C$2506,MATCH($C1864,'REGISTRE TUBES'!$B$7:$B$2506,0))="","",INDEX('REGISTRE TUBES'!$C$7:$C$2506,MATCH($C1864,'REGISTRE TUBES'!$B$7:$B$2506,0))),"?"))</f>
        <v>15421107</v>
      </c>
      <c r="E1864" s="100" t="str">
        <f aca="false">IF($C1864="","",IFERROR(IF(INDEX('REGISTRE TUBES'!$D$7:$D$2506,MATCH($C1864,'REGISTRE TUBES'!$B$7:$B$2506,0))="","",INDEX('REGISTRE TUBES'!$D$7:$D$2506,MATCH($C1864,'REGISTRE TUBES'!$B$7:$B$2506,0))),"?"))</f>
        <v/>
      </c>
      <c r="F1864" s="101" t="n">
        <f aca="false">IF($C1864="","",IFERROR(IF(INDEX('REGISTRE TUBES'!$F$7:$F$2506,MATCH($C1864,'REGISTRE TUBES'!$B$7:$B$2506,0))="","",INDEX('REGISTRE TUBES'!$F$7:$F$2506,MATCH($C1864,'REGISTRE TUBES'!$B$7:$B$2506,0))),"?"))</f>
        <v>11.94</v>
      </c>
      <c r="G1864" s="102" t="n">
        <f aca="false">IF($C1864="","",N(G1863)+N(F1864))</f>
        <v>15043.5900000002</v>
      </c>
      <c r="H1864" s="103" t="s">
        <v>2905</v>
      </c>
      <c r="I1864" s="104"/>
      <c r="J1864" s="105"/>
    </row>
    <row r="1865" customFormat="false" ht="15" hidden="false" customHeight="false" outlineLevel="0" collapsed="false">
      <c r="B1865" s="90" t="n">
        <v>1267</v>
      </c>
      <c r="C1865" s="91" t="n">
        <v>2084480</v>
      </c>
      <c r="D1865" s="92" t="n">
        <f aca="false">IF($C1865="","",IFERROR(IF(INDEX('REGISTRE TUBES'!$C$7:$C$2506,MATCH($C1865,'REGISTRE TUBES'!$B$7:$B$2506,0))="","",INDEX('REGISTRE TUBES'!$C$7:$C$2506,MATCH($C1865,'REGISTRE TUBES'!$B$7:$B$2506,0))),"?"))</f>
        <v>15421109</v>
      </c>
      <c r="E1865" s="92" t="str">
        <f aca="false">IF($C1865="","",IFERROR(IF(INDEX('REGISTRE TUBES'!$D$7:$D$2506,MATCH($C1865,'REGISTRE TUBES'!$B$7:$B$2506,0))="","",INDEX('REGISTRE TUBES'!$D$7:$D$2506,MATCH($C1865,'REGISTRE TUBES'!$B$7:$B$2506,0))),"?"))</f>
        <v/>
      </c>
      <c r="F1865" s="93" t="n">
        <f aca="false">IF($C1865="","",IFERROR(IF(INDEX('REGISTRE TUBES'!$F$7:$F$2506,MATCH($C1865,'REGISTRE TUBES'!$B$7:$B$2506,0))="","",INDEX('REGISTRE TUBES'!$F$7:$F$2506,MATCH($C1865,'REGISTRE TUBES'!$B$7:$B$2506,0))),"?"))</f>
        <v>11.94</v>
      </c>
      <c r="G1865" s="94" t="n">
        <f aca="false">IF($C1865="","",N(G1864)+N(F1865))</f>
        <v>15055.5300000002</v>
      </c>
      <c r="H1865" s="95" t="s">
        <v>2906</v>
      </c>
      <c r="I1865" s="96"/>
      <c r="J1865" s="97"/>
    </row>
    <row r="1866" customFormat="false" ht="15" hidden="false" customHeight="false" outlineLevel="0" collapsed="false">
      <c r="B1866" s="98" t="n">
        <v>1268</v>
      </c>
      <c r="C1866" s="99" t="n">
        <v>2083960</v>
      </c>
      <c r="D1866" s="100" t="n">
        <f aca="false">IF($C1866="","",IFERROR(IF(INDEX('REGISTRE TUBES'!$C$7:$C$2506,MATCH($C1866,'REGISTRE TUBES'!$B$7:$B$2506,0))="","",INDEX('REGISTRE TUBES'!$C$7:$C$2506,MATCH($C1866,'REGISTRE TUBES'!$B$7:$B$2506,0))),"?"))</f>
        <v>15421106</v>
      </c>
      <c r="E1866" s="100" t="str">
        <f aca="false">IF($C1866="","",IFERROR(IF(INDEX('REGISTRE TUBES'!$D$7:$D$2506,MATCH($C1866,'REGISTRE TUBES'!$B$7:$B$2506,0))="","",INDEX('REGISTRE TUBES'!$D$7:$D$2506,MATCH($C1866,'REGISTRE TUBES'!$B$7:$B$2506,0))),"?"))</f>
        <v/>
      </c>
      <c r="F1866" s="101" t="n">
        <f aca="false">IF($C1866="","",IFERROR(IF(INDEX('REGISTRE TUBES'!$F$7:$F$2506,MATCH($C1866,'REGISTRE TUBES'!$B$7:$B$2506,0))="","",INDEX('REGISTRE TUBES'!$F$7:$F$2506,MATCH($C1866,'REGISTRE TUBES'!$B$7:$B$2506,0))),"?"))</f>
        <v>11.94</v>
      </c>
      <c r="G1866" s="102" t="n">
        <f aca="false">IF($C1866="","",N(G1865)+N(F1866))</f>
        <v>15067.4700000002</v>
      </c>
      <c r="H1866" s="103" t="s">
        <v>2907</v>
      </c>
      <c r="I1866" s="104"/>
      <c r="J1866" s="105"/>
    </row>
    <row r="1867" customFormat="false" ht="15" hidden="false" customHeight="false" outlineLevel="0" collapsed="false">
      <c r="B1867" s="90" t="n">
        <v>1269</v>
      </c>
      <c r="C1867" s="91" t="n">
        <v>2090720</v>
      </c>
      <c r="D1867" s="92" t="n">
        <f aca="false">IF($C1867="","",IFERROR(IF(INDEX('REGISTRE TUBES'!$C$7:$C$2506,MATCH($C1867,'REGISTRE TUBES'!$B$7:$B$2506,0))="","",INDEX('REGISTRE TUBES'!$C$7:$C$2506,MATCH($C1867,'REGISTRE TUBES'!$B$7:$B$2506,0))),"?"))</f>
        <v>15421106</v>
      </c>
      <c r="E1867" s="92" t="str">
        <f aca="false">IF($C1867="","",IFERROR(IF(INDEX('REGISTRE TUBES'!$D$7:$D$2506,MATCH($C1867,'REGISTRE TUBES'!$B$7:$B$2506,0))="","",INDEX('REGISTRE TUBES'!$D$7:$D$2506,MATCH($C1867,'REGISTRE TUBES'!$B$7:$B$2506,0))),"?"))</f>
        <v/>
      </c>
      <c r="F1867" s="93" t="n">
        <f aca="false">IF($C1867="","",IFERROR(IF(INDEX('REGISTRE TUBES'!$F$7:$F$2506,MATCH($C1867,'REGISTRE TUBES'!$B$7:$B$2506,0))="","",INDEX('REGISTRE TUBES'!$F$7:$F$2506,MATCH($C1867,'REGISTRE TUBES'!$B$7:$B$2506,0))),"?"))</f>
        <v>11.94</v>
      </c>
      <c r="G1867" s="94" t="n">
        <f aca="false">IF($C1867="","",N(G1866)+N(F1867))</f>
        <v>15079.4100000002</v>
      </c>
      <c r="H1867" s="95" t="s">
        <v>2908</v>
      </c>
      <c r="I1867" s="96"/>
      <c r="J1867" s="97"/>
    </row>
    <row r="1868" customFormat="false" ht="15" hidden="false" customHeight="false" outlineLevel="0" collapsed="false">
      <c r="B1868" s="98" t="n">
        <v>1270</v>
      </c>
      <c r="C1868" s="99" t="n">
        <v>2088370</v>
      </c>
      <c r="D1868" s="100" t="n">
        <f aca="false">IF($C1868="","",IFERROR(IF(INDEX('REGISTRE TUBES'!$C$7:$C$2506,MATCH($C1868,'REGISTRE TUBES'!$B$7:$B$2506,0))="","",INDEX('REGISTRE TUBES'!$C$7:$C$2506,MATCH($C1868,'REGISTRE TUBES'!$B$7:$B$2506,0))),"?"))</f>
        <v>15421109</v>
      </c>
      <c r="E1868" s="100" t="str">
        <f aca="false">IF($C1868="","",IFERROR(IF(INDEX('REGISTRE TUBES'!$D$7:$D$2506,MATCH($C1868,'REGISTRE TUBES'!$B$7:$B$2506,0))="","",INDEX('REGISTRE TUBES'!$D$7:$D$2506,MATCH($C1868,'REGISTRE TUBES'!$B$7:$B$2506,0))),"?"))</f>
        <v/>
      </c>
      <c r="F1868" s="101" t="n">
        <f aca="false">IF($C1868="","",IFERROR(IF(INDEX('REGISTRE TUBES'!$F$7:$F$2506,MATCH($C1868,'REGISTRE TUBES'!$B$7:$B$2506,0))="","",INDEX('REGISTRE TUBES'!$F$7:$F$2506,MATCH($C1868,'REGISTRE TUBES'!$B$7:$B$2506,0))),"?"))</f>
        <v>11.94</v>
      </c>
      <c r="G1868" s="102" t="n">
        <f aca="false">IF($C1868="","",N(G1867)+N(F1868))</f>
        <v>15091.3500000002</v>
      </c>
      <c r="H1868" s="103" t="s">
        <v>2909</v>
      </c>
      <c r="I1868" s="104"/>
      <c r="J1868" s="105"/>
    </row>
    <row r="1869" customFormat="false" ht="15" hidden="false" customHeight="false" outlineLevel="0" collapsed="false">
      <c r="B1869" s="90" t="n">
        <v>1271</v>
      </c>
      <c r="C1869" s="91" t="n">
        <v>2087090</v>
      </c>
      <c r="D1869" s="92" t="n">
        <f aca="false">IF($C1869="","",IFERROR(IF(INDEX('REGISTRE TUBES'!$C$7:$C$2506,MATCH($C1869,'REGISTRE TUBES'!$B$7:$B$2506,0))="","",INDEX('REGISTRE TUBES'!$C$7:$C$2506,MATCH($C1869,'REGISTRE TUBES'!$B$7:$B$2506,0))),"?"))</f>
        <v>15421108</v>
      </c>
      <c r="E1869" s="92" t="str">
        <f aca="false">IF($C1869="","",IFERROR(IF(INDEX('REGISTRE TUBES'!$D$7:$D$2506,MATCH($C1869,'REGISTRE TUBES'!$B$7:$B$2506,0))="","",INDEX('REGISTRE TUBES'!$D$7:$D$2506,MATCH($C1869,'REGISTRE TUBES'!$B$7:$B$2506,0))),"?"))</f>
        <v/>
      </c>
      <c r="F1869" s="93" t="n">
        <f aca="false">IF($C1869="","",IFERROR(IF(INDEX('REGISTRE TUBES'!$F$7:$F$2506,MATCH($C1869,'REGISTRE TUBES'!$B$7:$B$2506,0))="","",INDEX('REGISTRE TUBES'!$F$7:$F$2506,MATCH($C1869,'REGISTRE TUBES'!$B$7:$B$2506,0))),"?"))</f>
        <v>11.94</v>
      </c>
      <c r="G1869" s="94" t="n">
        <f aca="false">IF($C1869="","",N(G1868)+N(F1869))</f>
        <v>15103.2900000002</v>
      </c>
      <c r="H1869" s="95" t="s">
        <v>2910</v>
      </c>
      <c r="I1869" s="96"/>
      <c r="J1869" s="97"/>
    </row>
    <row r="1870" customFormat="false" ht="15" hidden="false" customHeight="false" outlineLevel="0" collapsed="false">
      <c r="B1870" s="98" t="n">
        <v>1272</v>
      </c>
      <c r="C1870" s="99" t="n">
        <v>2083370</v>
      </c>
      <c r="D1870" s="100" t="n">
        <f aca="false">IF($C1870="","",IFERROR(IF(INDEX('REGISTRE TUBES'!$C$7:$C$2506,MATCH($C1870,'REGISTRE TUBES'!$B$7:$B$2506,0))="","",INDEX('REGISTRE TUBES'!$C$7:$C$2506,MATCH($C1870,'REGISTRE TUBES'!$B$7:$B$2506,0))),"?"))</f>
        <v>15421111</v>
      </c>
      <c r="E1870" s="100" t="str">
        <f aca="false">IF($C1870="","",IFERROR(IF(INDEX('REGISTRE TUBES'!$D$7:$D$2506,MATCH($C1870,'REGISTRE TUBES'!$B$7:$B$2506,0))="","",INDEX('REGISTRE TUBES'!$D$7:$D$2506,MATCH($C1870,'REGISTRE TUBES'!$B$7:$B$2506,0))),"?"))</f>
        <v/>
      </c>
      <c r="F1870" s="101" t="n">
        <f aca="false">IF($C1870="","",IFERROR(IF(INDEX('REGISTRE TUBES'!$F$7:$F$2506,MATCH($C1870,'REGISTRE TUBES'!$B$7:$B$2506,0))="","",INDEX('REGISTRE TUBES'!$F$7:$F$2506,MATCH($C1870,'REGISTRE TUBES'!$B$7:$B$2506,0))),"?"))</f>
        <v>11.94</v>
      </c>
      <c r="G1870" s="102" t="n">
        <f aca="false">IF($C1870="","",N(G1869)+N(F1870))</f>
        <v>15115.2300000002</v>
      </c>
      <c r="H1870" s="103" t="s">
        <v>2911</v>
      </c>
      <c r="I1870" s="104"/>
      <c r="J1870" s="105"/>
    </row>
    <row r="1871" customFormat="false" ht="15" hidden="false" customHeight="false" outlineLevel="0" collapsed="false">
      <c r="B1871" s="90" t="n">
        <v>1273</v>
      </c>
      <c r="C1871" s="91" t="n">
        <v>2091690</v>
      </c>
      <c r="D1871" s="92" t="n">
        <f aca="false">IF($C1871="","",IFERROR(IF(INDEX('REGISTRE TUBES'!$C$7:$C$2506,MATCH($C1871,'REGISTRE TUBES'!$B$7:$B$2506,0))="","",INDEX('REGISTRE TUBES'!$C$7:$C$2506,MATCH($C1871,'REGISTRE TUBES'!$B$7:$B$2506,0))),"?"))</f>
        <v>15421105</v>
      </c>
      <c r="E1871" s="92" t="str">
        <f aca="false">IF($C1871="","",IFERROR(IF(INDEX('REGISTRE TUBES'!$D$7:$D$2506,MATCH($C1871,'REGISTRE TUBES'!$B$7:$B$2506,0))="","",INDEX('REGISTRE TUBES'!$D$7:$D$2506,MATCH($C1871,'REGISTRE TUBES'!$B$7:$B$2506,0))),"?"))</f>
        <v/>
      </c>
      <c r="F1871" s="93" t="n">
        <f aca="false">IF($C1871="","",IFERROR(IF(INDEX('REGISTRE TUBES'!$F$7:$F$2506,MATCH($C1871,'REGISTRE TUBES'!$B$7:$B$2506,0))="","",INDEX('REGISTRE TUBES'!$F$7:$F$2506,MATCH($C1871,'REGISTRE TUBES'!$B$7:$B$2506,0))),"?"))</f>
        <v>11.94</v>
      </c>
      <c r="G1871" s="94" t="n">
        <f aca="false">IF($C1871="","",N(G1870)+N(F1871))</f>
        <v>15127.1700000002</v>
      </c>
      <c r="H1871" s="95" t="s">
        <v>2912</v>
      </c>
      <c r="I1871" s="96"/>
      <c r="J1871" s="97"/>
    </row>
    <row r="1872" customFormat="false" ht="15" hidden="false" customHeight="true" outlineLevel="0" collapsed="false">
      <c r="B1872" s="106" t="s">
        <v>3031</v>
      </c>
      <c r="C1872" s="106"/>
      <c r="D1872" s="106"/>
      <c r="E1872" s="106"/>
      <c r="F1872" s="107" t="n">
        <f aca="false">SUM(F1853:F1871)</f>
        <v>226.86</v>
      </c>
      <c r="G1872" s="108" t="n">
        <f aca="false">IF(COUNT(G1853:G1871)=0,"",MAX(G1853:G1871))</f>
        <v>15127.1700000002</v>
      </c>
      <c r="H1872" s="106" t="str">
        <f aca="false">COUNTA(C1853:C1871)&amp;" tube(s)"</f>
        <v>19 tube(s)</v>
      </c>
      <c r="I1872" s="106"/>
      <c r="J1872" s="106"/>
    </row>
    <row r="1874" customFormat="false" ht="15" hidden="false" customHeight="false" outlineLevel="0" collapsed="false">
      <c r="B1874" s="109" t="s">
        <v>3032</v>
      </c>
      <c r="F1874" s="109" t="s">
        <v>3033</v>
      </c>
      <c r="I1874" s="109" t="s">
        <v>3034</v>
      </c>
    </row>
    <row r="1877" customFormat="false" ht="25.5" hidden="false" customHeight="true" outlineLevel="0" collapsed="false">
      <c r="B1877" s="85" t="s">
        <v>3015</v>
      </c>
      <c r="C1877" s="85"/>
      <c r="D1877" s="85"/>
      <c r="E1877" s="85"/>
      <c r="F1877" s="85"/>
      <c r="G1877" s="85"/>
      <c r="H1877" s="85"/>
      <c r="I1877" s="85"/>
      <c r="J1877" s="85"/>
    </row>
    <row r="1878" customFormat="false" ht="15" hidden="false" customHeight="false" outlineLevel="0" collapsed="false">
      <c r="B1878" s="86" t="str">
        <f aca="false">PARAMÈTRES!$C$4&amp;"   •   Affaire N° "&amp;PARAMÈTRES!$C$5</f>
        <v>Développement des champs gaziers TFT II — réseau de collecte TFT Sud (LIGNE-16)   •   Affaire N° 8546</v>
      </c>
      <c r="C1878" s="86"/>
      <c r="D1878" s="86"/>
      <c r="E1878" s="86"/>
      <c r="F1878" s="86"/>
      <c r="G1878" s="86"/>
      <c r="H1878" s="86"/>
      <c r="I1878" s="86"/>
      <c r="J1878" s="86"/>
    </row>
    <row r="1879" customFormat="false" ht="19.5" hidden="false" customHeight="true" outlineLevel="0" collapsed="false">
      <c r="B1879" s="87" t="s">
        <v>3016</v>
      </c>
      <c r="C1879" s="88" t="s">
        <v>110</v>
      </c>
      <c r="D1879" s="88"/>
      <c r="E1879" s="87" t="s">
        <v>3017</v>
      </c>
      <c r="F1879" s="88" t="s">
        <v>3167</v>
      </c>
      <c r="G1879" s="87" t="s">
        <v>3019</v>
      </c>
      <c r="H1879" s="88" t="s">
        <v>3168</v>
      </c>
      <c r="I1879" s="87" t="s">
        <v>3021</v>
      </c>
      <c r="J1879" s="89"/>
    </row>
    <row r="1880" customFormat="false" ht="27.75" hidden="false" customHeight="true" outlineLevel="0" collapsed="false">
      <c r="B1880" s="71" t="s">
        <v>3022</v>
      </c>
      <c r="C1880" s="71" t="s">
        <v>3023</v>
      </c>
      <c r="D1880" s="71" t="s">
        <v>3024</v>
      </c>
      <c r="E1880" s="71" t="s">
        <v>3025</v>
      </c>
      <c r="F1880" s="71" t="s">
        <v>3026</v>
      </c>
      <c r="G1880" s="71" t="s">
        <v>3027</v>
      </c>
      <c r="H1880" s="71" t="s">
        <v>3028</v>
      </c>
      <c r="I1880" s="71" t="s">
        <v>3029</v>
      </c>
      <c r="J1880" s="71" t="s">
        <v>3030</v>
      </c>
    </row>
    <row r="1881" customFormat="false" ht="15" hidden="false" customHeight="false" outlineLevel="0" collapsed="false">
      <c r="B1881" s="90" t="n">
        <v>1274</v>
      </c>
      <c r="C1881" s="91" t="n">
        <v>2083850</v>
      </c>
      <c r="D1881" s="92" t="n">
        <f aca="false">IF($C1881="","",IFERROR(IF(INDEX('REGISTRE TUBES'!$C$7:$C$2506,MATCH($C1881,'REGISTRE TUBES'!$B$7:$B$2506,0))="","",INDEX('REGISTRE TUBES'!$C$7:$C$2506,MATCH($C1881,'REGISTRE TUBES'!$B$7:$B$2506,0))),"?"))</f>
        <v>15421105</v>
      </c>
      <c r="E1881" s="92" t="str">
        <f aca="false">IF($C1881="","",IFERROR(IF(INDEX('REGISTRE TUBES'!$D$7:$D$2506,MATCH($C1881,'REGISTRE TUBES'!$B$7:$B$2506,0))="","",INDEX('REGISTRE TUBES'!$D$7:$D$2506,MATCH($C1881,'REGISTRE TUBES'!$B$7:$B$2506,0))),"?"))</f>
        <v/>
      </c>
      <c r="F1881" s="93" t="n">
        <f aca="false">IF($C1881="","",IFERROR(IF(INDEX('REGISTRE TUBES'!$F$7:$F$2506,MATCH($C1881,'REGISTRE TUBES'!$B$7:$B$2506,0))="","",INDEX('REGISTRE TUBES'!$F$7:$F$2506,MATCH($C1881,'REGISTRE TUBES'!$B$7:$B$2506,0))),"?"))</f>
        <v>11.94</v>
      </c>
      <c r="G1881" s="94" t="n">
        <f aca="false">IF($C1881="","",N(G1871)+N(F1881))</f>
        <v>15139.1100000002</v>
      </c>
      <c r="H1881" s="95" t="s">
        <v>2913</v>
      </c>
      <c r="I1881" s="96"/>
      <c r="J1881" s="97"/>
    </row>
    <row r="1882" customFormat="false" ht="15" hidden="false" customHeight="false" outlineLevel="0" collapsed="false">
      <c r="B1882" s="98" t="n">
        <v>1275</v>
      </c>
      <c r="C1882" s="99" t="n">
        <v>2093250</v>
      </c>
      <c r="D1882" s="100" t="n">
        <f aca="false">IF($C1882="","",IFERROR(IF(INDEX('REGISTRE TUBES'!$C$7:$C$2506,MATCH($C1882,'REGISTRE TUBES'!$B$7:$B$2506,0))="","",INDEX('REGISTRE TUBES'!$C$7:$C$2506,MATCH($C1882,'REGISTRE TUBES'!$B$7:$B$2506,0))),"?"))</f>
        <v>15421110</v>
      </c>
      <c r="E1882" s="100" t="str">
        <f aca="false">IF($C1882="","",IFERROR(IF(INDEX('REGISTRE TUBES'!$D$7:$D$2506,MATCH($C1882,'REGISTRE TUBES'!$B$7:$B$2506,0))="","",INDEX('REGISTRE TUBES'!$D$7:$D$2506,MATCH($C1882,'REGISTRE TUBES'!$B$7:$B$2506,0))),"?"))</f>
        <v/>
      </c>
      <c r="F1882" s="101" t="n">
        <f aca="false">IF($C1882="","",IFERROR(IF(INDEX('REGISTRE TUBES'!$F$7:$F$2506,MATCH($C1882,'REGISTRE TUBES'!$B$7:$B$2506,0))="","",INDEX('REGISTRE TUBES'!$F$7:$F$2506,MATCH($C1882,'REGISTRE TUBES'!$B$7:$B$2506,0))),"?"))</f>
        <v>11.94</v>
      </c>
      <c r="G1882" s="102" t="n">
        <f aca="false">IF($C1882="","",N(G1881)+N(F1882))</f>
        <v>15151.0500000002</v>
      </c>
      <c r="H1882" s="103" t="s">
        <v>2914</v>
      </c>
      <c r="I1882" s="104"/>
      <c r="J1882" s="105"/>
    </row>
    <row r="1883" customFormat="false" ht="15" hidden="false" customHeight="false" outlineLevel="0" collapsed="false">
      <c r="B1883" s="90" t="n">
        <v>1276</v>
      </c>
      <c r="C1883" s="91" t="n">
        <v>2097820</v>
      </c>
      <c r="D1883" s="92" t="n">
        <f aca="false">IF($C1883="","",IFERROR(IF(INDEX('REGISTRE TUBES'!$C$7:$C$2506,MATCH($C1883,'REGISTRE TUBES'!$B$7:$B$2506,0))="","",INDEX('REGISTRE TUBES'!$C$7:$C$2506,MATCH($C1883,'REGISTRE TUBES'!$B$7:$B$2506,0))),"?"))</f>
        <v>15421112</v>
      </c>
      <c r="E1883" s="92" t="str">
        <f aca="false">IF($C1883="","",IFERROR(IF(INDEX('REGISTRE TUBES'!$D$7:$D$2506,MATCH($C1883,'REGISTRE TUBES'!$B$7:$B$2506,0))="","",INDEX('REGISTRE TUBES'!$D$7:$D$2506,MATCH($C1883,'REGISTRE TUBES'!$B$7:$B$2506,0))),"?"))</f>
        <v/>
      </c>
      <c r="F1883" s="93" t="n">
        <f aca="false">IF($C1883="","",IFERROR(IF(INDEX('REGISTRE TUBES'!$F$7:$F$2506,MATCH($C1883,'REGISTRE TUBES'!$B$7:$B$2506,0))="","",INDEX('REGISTRE TUBES'!$F$7:$F$2506,MATCH($C1883,'REGISTRE TUBES'!$B$7:$B$2506,0))),"?"))</f>
        <v>11.94</v>
      </c>
      <c r="G1883" s="94" t="n">
        <f aca="false">IF($C1883="","",N(G1882)+N(F1883))</f>
        <v>15162.9900000002</v>
      </c>
      <c r="H1883" s="95" t="s">
        <v>2915</v>
      </c>
      <c r="I1883" s="96"/>
      <c r="J1883" s="97"/>
    </row>
    <row r="1884" customFormat="false" ht="15" hidden="false" customHeight="false" outlineLevel="0" collapsed="false">
      <c r="B1884" s="98" t="n">
        <v>1277</v>
      </c>
      <c r="C1884" s="99" t="n">
        <v>2095940</v>
      </c>
      <c r="D1884" s="100" t="n">
        <f aca="false">IF($C1884="","",IFERROR(IF(INDEX('REGISTRE TUBES'!$C$7:$C$2506,MATCH($C1884,'REGISTRE TUBES'!$B$7:$B$2506,0))="","",INDEX('REGISTRE TUBES'!$C$7:$C$2506,MATCH($C1884,'REGISTRE TUBES'!$B$7:$B$2506,0))),"?"))</f>
        <v>15421111</v>
      </c>
      <c r="E1884" s="100" t="str">
        <f aca="false">IF($C1884="","",IFERROR(IF(INDEX('REGISTRE TUBES'!$D$7:$D$2506,MATCH($C1884,'REGISTRE TUBES'!$B$7:$B$2506,0))="","",INDEX('REGISTRE TUBES'!$D$7:$D$2506,MATCH($C1884,'REGISTRE TUBES'!$B$7:$B$2506,0))),"?"))</f>
        <v/>
      </c>
      <c r="F1884" s="101" t="n">
        <f aca="false">IF($C1884="","",IFERROR(IF(INDEX('REGISTRE TUBES'!$F$7:$F$2506,MATCH($C1884,'REGISTRE TUBES'!$B$7:$B$2506,0))="","",INDEX('REGISTRE TUBES'!$F$7:$F$2506,MATCH($C1884,'REGISTRE TUBES'!$B$7:$B$2506,0))),"?"))</f>
        <v>11.94</v>
      </c>
      <c r="G1884" s="102" t="n">
        <f aca="false">IF($C1884="","",N(G1883)+N(F1884))</f>
        <v>15174.9300000002</v>
      </c>
      <c r="H1884" s="103" t="s">
        <v>2916</v>
      </c>
      <c r="I1884" s="104"/>
      <c r="J1884" s="105"/>
    </row>
    <row r="1885" customFormat="false" ht="15" hidden="false" customHeight="false" outlineLevel="0" collapsed="false">
      <c r="B1885" s="90" t="n">
        <v>1278</v>
      </c>
      <c r="C1885" s="91" t="n">
        <v>2089730</v>
      </c>
      <c r="D1885" s="92" t="n">
        <f aca="false">IF($C1885="","",IFERROR(IF(INDEX('REGISTRE TUBES'!$C$7:$C$2506,MATCH($C1885,'REGISTRE TUBES'!$B$7:$B$2506,0))="","",INDEX('REGISTRE TUBES'!$C$7:$C$2506,MATCH($C1885,'REGISTRE TUBES'!$B$7:$B$2506,0))),"?"))</f>
        <v>15421109</v>
      </c>
      <c r="E1885" s="92" t="str">
        <f aca="false">IF($C1885="","",IFERROR(IF(INDEX('REGISTRE TUBES'!$D$7:$D$2506,MATCH($C1885,'REGISTRE TUBES'!$B$7:$B$2506,0))="","",INDEX('REGISTRE TUBES'!$D$7:$D$2506,MATCH($C1885,'REGISTRE TUBES'!$B$7:$B$2506,0))),"?"))</f>
        <v/>
      </c>
      <c r="F1885" s="93" t="n">
        <f aca="false">IF($C1885="","",IFERROR(IF(INDEX('REGISTRE TUBES'!$F$7:$F$2506,MATCH($C1885,'REGISTRE TUBES'!$B$7:$B$2506,0))="","",INDEX('REGISTRE TUBES'!$F$7:$F$2506,MATCH($C1885,'REGISTRE TUBES'!$B$7:$B$2506,0))),"?"))</f>
        <v>11.94</v>
      </c>
      <c r="G1885" s="94" t="n">
        <f aca="false">IF($C1885="","",N(G1884)+N(F1885))</f>
        <v>15186.8700000002</v>
      </c>
      <c r="H1885" s="95" t="s">
        <v>2919</v>
      </c>
      <c r="I1885" s="96"/>
      <c r="J1885" s="97"/>
    </row>
    <row r="1886" customFormat="false" ht="15" hidden="false" customHeight="false" outlineLevel="0" collapsed="false">
      <c r="B1886" s="98" t="n">
        <v>1279</v>
      </c>
      <c r="C1886" s="99" t="n">
        <v>2090490</v>
      </c>
      <c r="D1886" s="100" t="n">
        <f aca="false">IF($C1886="","",IFERROR(IF(INDEX('REGISTRE TUBES'!$C$7:$C$2506,MATCH($C1886,'REGISTRE TUBES'!$B$7:$B$2506,0))="","",INDEX('REGISTRE TUBES'!$C$7:$C$2506,MATCH($C1886,'REGISTRE TUBES'!$B$7:$B$2506,0))),"?"))</f>
        <v>15421109</v>
      </c>
      <c r="E1886" s="100" t="str">
        <f aca="false">IF($C1886="","",IFERROR(IF(INDEX('REGISTRE TUBES'!$D$7:$D$2506,MATCH($C1886,'REGISTRE TUBES'!$B$7:$B$2506,0))="","",INDEX('REGISTRE TUBES'!$D$7:$D$2506,MATCH($C1886,'REGISTRE TUBES'!$B$7:$B$2506,0))),"?"))</f>
        <v/>
      </c>
      <c r="F1886" s="101" t="n">
        <f aca="false">IF($C1886="","",IFERROR(IF(INDEX('REGISTRE TUBES'!$F$7:$F$2506,MATCH($C1886,'REGISTRE TUBES'!$B$7:$B$2506,0))="","",INDEX('REGISTRE TUBES'!$F$7:$F$2506,MATCH($C1886,'REGISTRE TUBES'!$B$7:$B$2506,0))),"?"))</f>
        <v>11.94</v>
      </c>
      <c r="G1886" s="102" t="n">
        <f aca="false">IF($C1886="","",N(G1885)+N(F1886))</f>
        <v>15198.8100000002</v>
      </c>
      <c r="H1886" s="103" t="s">
        <v>2920</v>
      </c>
      <c r="I1886" s="104"/>
      <c r="J1886" s="105"/>
    </row>
    <row r="1887" customFormat="false" ht="15" hidden="false" customHeight="false" outlineLevel="0" collapsed="false">
      <c r="B1887" s="90" t="n">
        <v>1280</v>
      </c>
      <c r="C1887" s="91" t="n">
        <v>2086040</v>
      </c>
      <c r="D1887" s="92" t="n">
        <f aca="false">IF($C1887="","",IFERROR(IF(INDEX('REGISTRE TUBES'!$C$7:$C$2506,MATCH($C1887,'REGISTRE TUBES'!$B$7:$B$2506,0))="","",INDEX('REGISTRE TUBES'!$C$7:$C$2506,MATCH($C1887,'REGISTRE TUBES'!$B$7:$B$2506,0))),"?"))</f>
        <v>15421107</v>
      </c>
      <c r="E1887" s="92" t="str">
        <f aca="false">IF($C1887="","",IFERROR(IF(INDEX('REGISTRE TUBES'!$D$7:$D$2506,MATCH($C1887,'REGISTRE TUBES'!$B$7:$B$2506,0))="","",INDEX('REGISTRE TUBES'!$D$7:$D$2506,MATCH($C1887,'REGISTRE TUBES'!$B$7:$B$2506,0))),"?"))</f>
        <v/>
      </c>
      <c r="F1887" s="93" t="n">
        <f aca="false">IF($C1887="","",IFERROR(IF(INDEX('REGISTRE TUBES'!$F$7:$F$2506,MATCH($C1887,'REGISTRE TUBES'!$B$7:$B$2506,0))="","",INDEX('REGISTRE TUBES'!$F$7:$F$2506,MATCH($C1887,'REGISTRE TUBES'!$B$7:$B$2506,0))),"?"))</f>
        <v>11.94</v>
      </c>
      <c r="G1887" s="94" t="n">
        <f aca="false">IF($C1887="","",N(G1886)+N(F1887))</f>
        <v>15210.7500000002</v>
      </c>
      <c r="H1887" s="95" t="s">
        <v>2923</v>
      </c>
      <c r="I1887" s="96"/>
      <c r="J1887" s="97"/>
    </row>
    <row r="1888" customFormat="false" ht="15" hidden="false" customHeight="false" outlineLevel="0" collapsed="false">
      <c r="B1888" s="98" t="n">
        <v>1281</v>
      </c>
      <c r="C1888" s="99" t="n">
        <v>2090510</v>
      </c>
      <c r="D1888" s="100" t="n">
        <f aca="false">IF($C1888="","",IFERROR(IF(INDEX('REGISTRE TUBES'!$C$7:$C$2506,MATCH($C1888,'REGISTRE TUBES'!$B$7:$B$2506,0))="","",INDEX('REGISTRE TUBES'!$C$7:$C$2506,MATCH($C1888,'REGISTRE TUBES'!$B$7:$B$2506,0))),"?"))</f>
        <v>15421109</v>
      </c>
      <c r="E1888" s="100" t="str">
        <f aca="false">IF($C1888="","",IFERROR(IF(INDEX('REGISTRE TUBES'!$D$7:$D$2506,MATCH($C1888,'REGISTRE TUBES'!$B$7:$B$2506,0))="","",INDEX('REGISTRE TUBES'!$D$7:$D$2506,MATCH($C1888,'REGISTRE TUBES'!$B$7:$B$2506,0))),"?"))</f>
        <v/>
      </c>
      <c r="F1888" s="101" t="n">
        <f aca="false">IF($C1888="","",IFERROR(IF(INDEX('REGISTRE TUBES'!$F$7:$F$2506,MATCH($C1888,'REGISTRE TUBES'!$B$7:$B$2506,0))="","",INDEX('REGISTRE TUBES'!$F$7:$F$2506,MATCH($C1888,'REGISTRE TUBES'!$B$7:$B$2506,0))),"?"))</f>
        <v>11.94</v>
      </c>
      <c r="G1888" s="102" t="n">
        <f aca="false">IF($C1888="","",N(G1887)+N(F1888))</f>
        <v>15222.6900000002</v>
      </c>
      <c r="H1888" s="103" t="s">
        <v>2925</v>
      </c>
      <c r="I1888" s="104"/>
      <c r="J1888" s="105"/>
    </row>
    <row r="1889" customFormat="false" ht="15" hidden="false" customHeight="false" outlineLevel="0" collapsed="false">
      <c r="B1889" s="90" t="n">
        <v>1282</v>
      </c>
      <c r="C1889" s="91" t="n">
        <v>2088020</v>
      </c>
      <c r="D1889" s="92" t="n">
        <f aca="false">IF($C1889="","",IFERROR(IF(INDEX('REGISTRE TUBES'!$C$7:$C$2506,MATCH($C1889,'REGISTRE TUBES'!$B$7:$B$2506,0))="","",INDEX('REGISTRE TUBES'!$C$7:$C$2506,MATCH($C1889,'REGISTRE TUBES'!$B$7:$B$2506,0))),"?"))</f>
        <v>15421108</v>
      </c>
      <c r="E1889" s="92" t="str">
        <f aca="false">IF($C1889="","",IFERROR(IF(INDEX('REGISTRE TUBES'!$D$7:$D$2506,MATCH($C1889,'REGISTRE TUBES'!$B$7:$B$2506,0))="","",INDEX('REGISTRE TUBES'!$D$7:$D$2506,MATCH($C1889,'REGISTRE TUBES'!$B$7:$B$2506,0))),"?"))</f>
        <v/>
      </c>
      <c r="F1889" s="93" t="n">
        <f aca="false">IF($C1889="","",IFERROR(IF(INDEX('REGISTRE TUBES'!$F$7:$F$2506,MATCH($C1889,'REGISTRE TUBES'!$B$7:$B$2506,0))="","",INDEX('REGISTRE TUBES'!$F$7:$F$2506,MATCH($C1889,'REGISTRE TUBES'!$B$7:$B$2506,0))),"?"))</f>
        <v>11.94</v>
      </c>
      <c r="G1889" s="94" t="n">
        <f aca="false">IF($C1889="","",N(G1888)+N(F1889))</f>
        <v>15234.6300000002</v>
      </c>
      <c r="H1889" s="95" t="s">
        <v>2926</v>
      </c>
      <c r="I1889" s="96"/>
      <c r="J1889" s="97"/>
    </row>
    <row r="1890" customFormat="false" ht="15" hidden="false" customHeight="false" outlineLevel="0" collapsed="false">
      <c r="B1890" s="98" t="n">
        <v>1283</v>
      </c>
      <c r="C1890" s="99" t="n">
        <v>2090300</v>
      </c>
      <c r="D1890" s="100" t="n">
        <f aca="false">IF($C1890="","",IFERROR(IF(INDEX('REGISTRE TUBES'!$C$7:$C$2506,MATCH($C1890,'REGISTRE TUBES'!$B$7:$B$2506,0))="","",INDEX('REGISTRE TUBES'!$C$7:$C$2506,MATCH($C1890,'REGISTRE TUBES'!$B$7:$B$2506,0))),"?"))</f>
        <v>2091050</v>
      </c>
      <c r="E1890" s="100" t="str">
        <f aca="false">IF($C1890="","",IFERROR(IF(INDEX('REGISTRE TUBES'!$D$7:$D$2506,MATCH($C1890,'REGISTRE TUBES'!$B$7:$B$2506,0))="","",INDEX('REGISTRE TUBES'!$D$7:$D$2506,MATCH($C1890,'REGISTRE TUBES'!$B$7:$B$2506,0))),"?"))</f>
        <v/>
      </c>
      <c r="F1890" s="101" t="n">
        <f aca="false">IF($C1890="","",IFERROR(IF(INDEX('REGISTRE TUBES'!$F$7:$F$2506,MATCH($C1890,'REGISTRE TUBES'!$B$7:$B$2506,0))="","",INDEX('REGISTRE TUBES'!$F$7:$F$2506,MATCH($C1890,'REGISTRE TUBES'!$B$7:$B$2506,0))),"?"))</f>
        <v>11.94</v>
      </c>
      <c r="G1890" s="102" t="n">
        <f aca="false">IF($C1890="","",N(G1889)+N(F1890))</f>
        <v>15246.5700000002</v>
      </c>
      <c r="H1890" s="103" t="s">
        <v>2927</v>
      </c>
      <c r="I1890" s="104"/>
      <c r="J1890" s="105"/>
    </row>
    <row r="1891" customFormat="false" ht="15" hidden="false" customHeight="false" outlineLevel="0" collapsed="false">
      <c r="B1891" s="90" t="n">
        <v>1284</v>
      </c>
      <c r="C1891" s="91" t="n">
        <v>2091050</v>
      </c>
      <c r="D1891" s="92" t="n">
        <f aca="false">IF($C1891="","",IFERROR(IF(INDEX('REGISTRE TUBES'!$C$7:$C$2506,MATCH($C1891,'REGISTRE TUBES'!$B$7:$B$2506,0))="","",INDEX('REGISTRE TUBES'!$C$7:$C$2506,MATCH($C1891,'REGISTRE TUBES'!$B$7:$B$2506,0))),"?"))</f>
        <v>15421109</v>
      </c>
      <c r="E1891" s="92" t="str">
        <f aca="false">IF($C1891="","",IFERROR(IF(INDEX('REGISTRE TUBES'!$D$7:$D$2506,MATCH($C1891,'REGISTRE TUBES'!$B$7:$B$2506,0))="","",INDEX('REGISTRE TUBES'!$D$7:$D$2506,MATCH($C1891,'REGISTRE TUBES'!$B$7:$B$2506,0))),"?"))</f>
        <v/>
      </c>
      <c r="F1891" s="93" t="n">
        <f aca="false">IF($C1891="","",IFERROR(IF(INDEX('REGISTRE TUBES'!$F$7:$F$2506,MATCH($C1891,'REGISTRE TUBES'!$B$7:$B$2506,0))="","",INDEX('REGISTRE TUBES'!$F$7:$F$2506,MATCH($C1891,'REGISTRE TUBES'!$B$7:$B$2506,0))),"?"))</f>
        <v>11.94</v>
      </c>
      <c r="G1891" s="94" t="n">
        <f aca="false">IF($C1891="","",N(G1890)+N(F1891))</f>
        <v>15258.5100000002</v>
      </c>
      <c r="H1891" s="95" t="s">
        <v>2928</v>
      </c>
      <c r="I1891" s="96"/>
      <c r="J1891" s="97"/>
    </row>
    <row r="1892" customFormat="false" ht="15" hidden="false" customHeight="false" outlineLevel="0" collapsed="false">
      <c r="B1892" s="98" t="n">
        <v>1285</v>
      </c>
      <c r="C1892" s="99" t="n">
        <v>2090710</v>
      </c>
      <c r="D1892" s="100" t="n">
        <f aca="false">IF($C1892="","",IFERROR(IF(INDEX('REGISTRE TUBES'!$C$7:$C$2506,MATCH($C1892,'REGISTRE TUBES'!$B$7:$B$2506,0))="","",INDEX('REGISTRE TUBES'!$C$7:$C$2506,MATCH($C1892,'REGISTRE TUBES'!$B$7:$B$2506,0))),"?"))</f>
        <v>15421109</v>
      </c>
      <c r="E1892" s="100" t="str">
        <f aca="false">IF($C1892="","",IFERROR(IF(INDEX('REGISTRE TUBES'!$D$7:$D$2506,MATCH($C1892,'REGISTRE TUBES'!$B$7:$B$2506,0))="","",INDEX('REGISTRE TUBES'!$D$7:$D$2506,MATCH($C1892,'REGISTRE TUBES'!$B$7:$B$2506,0))),"?"))</f>
        <v/>
      </c>
      <c r="F1892" s="101" t="n">
        <f aca="false">IF($C1892="","",IFERROR(IF(INDEX('REGISTRE TUBES'!$F$7:$F$2506,MATCH($C1892,'REGISTRE TUBES'!$B$7:$B$2506,0))="","",INDEX('REGISTRE TUBES'!$F$7:$F$2506,MATCH($C1892,'REGISTRE TUBES'!$B$7:$B$2506,0))),"?"))</f>
        <v>11.94</v>
      </c>
      <c r="G1892" s="102" t="n">
        <f aca="false">IF($C1892="","",N(G1891)+N(F1892))</f>
        <v>15270.4500000002</v>
      </c>
      <c r="H1892" s="103" t="s">
        <v>2930</v>
      </c>
      <c r="I1892" s="104"/>
      <c r="J1892" s="105"/>
    </row>
    <row r="1893" customFormat="false" ht="15" hidden="false" customHeight="false" outlineLevel="0" collapsed="false">
      <c r="B1893" s="90" t="n">
        <v>1286</v>
      </c>
      <c r="C1893" s="91" t="n">
        <v>2089840</v>
      </c>
      <c r="D1893" s="92" t="n">
        <f aca="false">IF($C1893="","",IFERROR(IF(INDEX('REGISTRE TUBES'!$C$7:$C$2506,MATCH($C1893,'REGISTRE TUBES'!$B$7:$B$2506,0))="","",INDEX('REGISTRE TUBES'!$C$7:$C$2506,MATCH($C1893,'REGISTRE TUBES'!$B$7:$B$2506,0))),"?"))</f>
        <v>154211</v>
      </c>
      <c r="E1893" s="92" t="str">
        <f aca="false">IF($C1893="","",IFERROR(IF(INDEX('REGISTRE TUBES'!$D$7:$D$2506,MATCH($C1893,'REGISTRE TUBES'!$B$7:$B$2506,0))="","",INDEX('REGISTRE TUBES'!$D$7:$D$2506,MATCH($C1893,'REGISTRE TUBES'!$B$7:$B$2506,0))),"?"))</f>
        <v/>
      </c>
      <c r="F1893" s="93" t="n">
        <f aca="false">IF($C1893="","",IFERROR(IF(INDEX('REGISTRE TUBES'!$F$7:$F$2506,MATCH($C1893,'REGISTRE TUBES'!$B$7:$B$2506,0))="","",INDEX('REGISTRE TUBES'!$F$7:$F$2506,MATCH($C1893,'REGISTRE TUBES'!$B$7:$B$2506,0))),"?"))</f>
        <v>11.94</v>
      </c>
      <c r="G1893" s="94" t="n">
        <f aca="false">IF($C1893="","",N(G1892)+N(F1893))</f>
        <v>15282.3900000002</v>
      </c>
      <c r="H1893" s="95" t="s">
        <v>2931</v>
      </c>
      <c r="I1893" s="96"/>
      <c r="J1893" s="97"/>
    </row>
    <row r="1894" customFormat="false" ht="15" hidden="false" customHeight="false" outlineLevel="0" collapsed="false">
      <c r="B1894" s="98" t="n">
        <v>1287</v>
      </c>
      <c r="C1894" s="99" t="n">
        <v>2084140</v>
      </c>
      <c r="D1894" s="100" t="n">
        <f aca="false">IF($C1894="","",IFERROR(IF(INDEX('REGISTRE TUBES'!$C$7:$C$2506,MATCH($C1894,'REGISTRE TUBES'!$B$7:$B$2506,0))="","",INDEX('REGISTRE TUBES'!$C$7:$C$2506,MATCH($C1894,'REGISTRE TUBES'!$B$7:$B$2506,0))),"?"))</f>
        <v>15421106</v>
      </c>
      <c r="E1894" s="100" t="str">
        <f aca="false">IF($C1894="","",IFERROR(IF(INDEX('REGISTRE TUBES'!$D$7:$D$2506,MATCH($C1894,'REGISTRE TUBES'!$B$7:$B$2506,0))="","",INDEX('REGISTRE TUBES'!$D$7:$D$2506,MATCH($C1894,'REGISTRE TUBES'!$B$7:$B$2506,0))),"?"))</f>
        <v/>
      </c>
      <c r="F1894" s="101" t="n">
        <f aca="false">IF($C1894="","",IFERROR(IF(INDEX('REGISTRE TUBES'!$F$7:$F$2506,MATCH($C1894,'REGISTRE TUBES'!$B$7:$B$2506,0))="","",INDEX('REGISTRE TUBES'!$F$7:$F$2506,MATCH($C1894,'REGISTRE TUBES'!$B$7:$B$2506,0))),"?"))</f>
        <v>11.94</v>
      </c>
      <c r="G1894" s="102" t="n">
        <f aca="false">IF($C1894="","",N(G1893)+N(F1894))</f>
        <v>15294.3300000002</v>
      </c>
      <c r="H1894" s="103" t="s">
        <v>2932</v>
      </c>
      <c r="I1894" s="104"/>
      <c r="J1894" s="105"/>
    </row>
    <row r="1895" customFormat="false" ht="15" hidden="false" customHeight="false" outlineLevel="0" collapsed="false">
      <c r="B1895" s="90" t="n">
        <v>1288</v>
      </c>
      <c r="C1895" s="91" t="n">
        <v>2087570</v>
      </c>
      <c r="D1895" s="92" t="n">
        <f aca="false">IF($C1895="","",IFERROR(IF(INDEX('REGISTRE TUBES'!$C$7:$C$2506,MATCH($C1895,'REGISTRE TUBES'!$B$7:$B$2506,0))="","",INDEX('REGISTRE TUBES'!$C$7:$C$2506,MATCH($C1895,'REGISTRE TUBES'!$B$7:$B$2506,0))),"?"))</f>
        <v>15421108</v>
      </c>
      <c r="E1895" s="92" t="str">
        <f aca="false">IF($C1895="","",IFERROR(IF(INDEX('REGISTRE TUBES'!$D$7:$D$2506,MATCH($C1895,'REGISTRE TUBES'!$B$7:$B$2506,0))="","",INDEX('REGISTRE TUBES'!$D$7:$D$2506,MATCH($C1895,'REGISTRE TUBES'!$B$7:$B$2506,0))),"?"))</f>
        <v/>
      </c>
      <c r="F1895" s="93" t="n">
        <f aca="false">IF($C1895="","",IFERROR(IF(INDEX('REGISTRE TUBES'!$F$7:$F$2506,MATCH($C1895,'REGISTRE TUBES'!$B$7:$B$2506,0))="","",INDEX('REGISTRE TUBES'!$F$7:$F$2506,MATCH($C1895,'REGISTRE TUBES'!$B$7:$B$2506,0))),"?"))</f>
        <v>11.94</v>
      </c>
      <c r="G1895" s="94" t="n">
        <f aca="false">IF($C1895="","",N(G1894)+N(F1895))</f>
        <v>15306.2700000002</v>
      </c>
      <c r="H1895" s="95" t="s">
        <v>2934</v>
      </c>
      <c r="I1895" s="96"/>
      <c r="J1895" s="97"/>
    </row>
    <row r="1896" customFormat="false" ht="15" hidden="false" customHeight="false" outlineLevel="0" collapsed="false">
      <c r="B1896" s="98" t="n">
        <v>1289</v>
      </c>
      <c r="C1896" s="99" t="n">
        <v>2086510</v>
      </c>
      <c r="D1896" s="100" t="n">
        <f aca="false">IF($C1896="","",IFERROR(IF(INDEX('REGISTRE TUBES'!$C$7:$C$2506,MATCH($C1896,'REGISTRE TUBES'!$B$7:$B$2506,0))="","",INDEX('REGISTRE TUBES'!$C$7:$C$2506,MATCH($C1896,'REGISTRE TUBES'!$B$7:$B$2506,0))),"?"))</f>
        <v>15421107</v>
      </c>
      <c r="E1896" s="100" t="str">
        <f aca="false">IF($C1896="","",IFERROR(IF(INDEX('REGISTRE TUBES'!$D$7:$D$2506,MATCH($C1896,'REGISTRE TUBES'!$B$7:$B$2506,0))="","",INDEX('REGISTRE TUBES'!$D$7:$D$2506,MATCH($C1896,'REGISTRE TUBES'!$B$7:$B$2506,0))),"?"))</f>
        <v/>
      </c>
      <c r="F1896" s="101" t="n">
        <f aca="false">IF($C1896="","",IFERROR(IF(INDEX('REGISTRE TUBES'!$F$7:$F$2506,MATCH($C1896,'REGISTRE TUBES'!$B$7:$B$2506,0))="","",INDEX('REGISTRE TUBES'!$F$7:$F$2506,MATCH($C1896,'REGISTRE TUBES'!$B$7:$B$2506,0))),"?"))</f>
        <v>11.94</v>
      </c>
      <c r="G1896" s="102" t="n">
        <f aca="false">IF($C1896="","",N(G1895)+N(F1896))</f>
        <v>15318.2100000002</v>
      </c>
      <c r="H1896" s="103" t="s">
        <v>2935</v>
      </c>
      <c r="I1896" s="104"/>
      <c r="J1896" s="105"/>
    </row>
    <row r="1897" customFormat="false" ht="15" hidden="false" customHeight="false" outlineLevel="0" collapsed="false">
      <c r="B1897" s="90" t="n">
        <v>1290</v>
      </c>
      <c r="C1897" s="91" t="n">
        <v>2079060</v>
      </c>
      <c r="D1897" s="92" t="n">
        <f aca="false">IF($C1897="","",IFERROR(IF(INDEX('REGISTRE TUBES'!$C$7:$C$2506,MATCH($C1897,'REGISTRE TUBES'!$B$7:$B$2506,0))="","",INDEX('REGISTRE TUBES'!$C$7:$C$2506,MATCH($C1897,'REGISTRE TUBES'!$B$7:$B$2506,0))),"?"))</f>
        <v>15421102</v>
      </c>
      <c r="E1897" s="92" t="str">
        <f aca="false">IF($C1897="","",IFERROR(IF(INDEX('REGISTRE TUBES'!$D$7:$D$2506,MATCH($C1897,'REGISTRE TUBES'!$B$7:$B$2506,0))="","",INDEX('REGISTRE TUBES'!$D$7:$D$2506,MATCH($C1897,'REGISTRE TUBES'!$B$7:$B$2506,0))),"?"))</f>
        <v/>
      </c>
      <c r="F1897" s="93" t="n">
        <f aca="false">IF($C1897="","",IFERROR(IF(INDEX('REGISTRE TUBES'!$F$7:$F$2506,MATCH($C1897,'REGISTRE TUBES'!$B$7:$B$2506,0))="","",INDEX('REGISTRE TUBES'!$F$7:$F$2506,MATCH($C1897,'REGISTRE TUBES'!$B$7:$B$2506,0))),"?"))</f>
        <v>11.94</v>
      </c>
      <c r="G1897" s="94" t="n">
        <f aca="false">IF($C1897="","",N(G1896)+N(F1897))</f>
        <v>15330.1500000002</v>
      </c>
      <c r="H1897" s="95" t="s">
        <v>2936</v>
      </c>
      <c r="I1897" s="96"/>
      <c r="J1897" s="97"/>
    </row>
    <row r="1898" customFormat="false" ht="15" hidden="false" customHeight="false" outlineLevel="0" collapsed="false">
      <c r="B1898" s="98" t="n">
        <v>1291</v>
      </c>
      <c r="C1898" s="99" t="n">
        <v>2097480</v>
      </c>
      <c r="D1898" s="100" t="n">
        <f aca="false">IF($C1898="","",IFERROR(IF(INDEX('REGISTRE TUBES'!$C$7:$C$2506,MATCH($C1898,'REGISTRE TUBES'!$B$7:$B$2506,0))="","",INDEX('REGISTRE TUBES'!$C$7:$C$2506,MATCH($C1898,'REGISTRE TUBES'!$B$7:$B$2506,0))),"?"))</f>
        <v>15421112</v>
      </c>
      <c r="E1898" s="100" t="str">
        <f aca="false">IF($C1898="","",IFERROR(IF(INDEX('REGISTRE TUBES'!$D$7:$D$2506,MATCH($C1898,'REGISTRE TUBES'!$B$7:$B$2506,0))="","",INDEX('REGISTRE TUBES'!$D$7:$D$2506,MATCH($C1898,'REGISTRE TUBES'!$B$7:$B$2506,0))),"?"))</f>
        <v/>
      </c>
      <c r="F1898" s="101" t="n">
        <f aca="false">IF($C1898="","",IFERROR(IF(INDEX('REGISTRE TUBES'!$F$7:$F$2506,MATCH($C1898,'REGISTRE TUBES'!$B$7:$B$2506,0))="","",INDEX('REGISTRE TUBES'!$F$7:$F$2506,MATCH($C1898,'REGISTRE TUBES'!$B$7:$B$2506,0))),"?"))</f>
        <v>11.94</v>
      </c>
      <c r="G1898" s="102" t="n">
        <f aca="false">IF($C1898="","",N(G1897)+N(F1898))</f>
        <v>15342.0900000002</v>
      </c>
      <c r="H1898" s="103" t="s">
        <v>2938</v>
      </c>
      <c r="I1898" s="104"/>
      <c r="J1898" s="105"/>
    </row>
    <row r="1899" customFormat="false" ht="15" hidden="false" customHeight="false" outlineLevel="0" collapsed="false">
      <c r="B1899" s="90" t="n">
        <v>1292</v>
      </c>
      <c r="C1899" s="91" t="n">
        <v>2096620</v>
      </c>
      <c r="D1899" s="92" t="n">
        <f aca="false">IF($C1899="","",IFERROR(IF(INDEX('REGISTRE TUBES'!$C$7:$C$2506,MATCH($C1899,'REGISTRE TUBES'!$B$7:$B$2506,0))="","",INDEX('REGISTRE TUBES'!$C$7:$C$2506,MATCH($C1899,'REGISTRE TUBES'!$B$7:$B$2506,0))),"?"))</f>
        <v>15421111</v>
      </c>
      <c r="E1899" s="92" t="str">
        <f aca="false">IF($C1899="","",IFERROR(IF(INDEX('REGISTRE TUBES'!$D$7:$D$2506,MATCH($C1899,'REGISTRE TUBES'!$B$7:$B$2506,0))="","",INDEX('REGISTRE TUBES'!$D$7:$D$2506,MATCH($C1899,'REGISTRE TUBES'!$B$7:$B$2506,0))),"?"))</f>
        <v/>
      </c>
      <c r="F1899" s="93" t="n">
        <f aca="false">IF($C1899="","",IFERROR(IF(INDEX('REGISTRE TUBES'!$F$7:$F$2506,MATCH($C1899,'REGISTRE TUBES'!$B$7:$B$2506,0))="","",INDEX('REGISTRE TUBES'!$F$7:$F$2506,MATCH($C1899,'REGISTRE TUBES'!$B$7:$B$2506,0))),"?"))</f>
        <v>11.94</v>
      </c>
      <c r="G1899" s="94" t="n">
        <f aca="false">IF($C1899="","",N(G1898)+N(F1899))</f>
        <v>15354.0300000002</v>
      </c>
      <c r="H1899" s="95" t="s">
        <v>2943</v>
      </c>
      <c r="I1899" s="96"/>
      <c r="J1899" s="97"/>
    </row>
    <row r="1900" customFormat="false" ht="15" hidden="false" customHeight="true" outlineLevel="0" collapsed="false">
      <c r="B1900" s="106" t="s">
        <v>3031</v>
      </c>
      <c r="C1900" s="106"/>
      <c r="D1900" s="106"/>
      <c r="E1900" s="106"/>
      <c r="F1900" s="107" t="n">
        <f aca="false">SUM(F1881:F1899)</f>
        <v>226.86</v>
      </c>
      <c r="G1900" s="108" t="n">
        <f aca="false">IF(COUNT(G1881:G1899)=0,"",MAX(G1881:G1899))</f>
        <v>15354.0300000002</v>
      </c>
      <c r="H1900" s="106" t="str">
        <f aca="false">COUNTA(C1881:C1899)&amp;" tube(s)"</f>
        <v>19 tube(s)</v>
      </c>
      <c r="I1900" s="106"/>
      <c r="J1900" s="106"/>
    </row>
    <row r="1902" customFormat="false" ht="15" hidden="false" customHeight="false" outlineLevel="0" collapsed="false">
      <c r="B1902" s="109" t="s">
        <v>3032</v>
      </c>
      <c r="F1902" s="109" t="s">
        <v>3033</v>
      </c>
      <c r="I1902" s="109" t="s">
        <v>3034</v>
      </c>
    </row>
    <row r="1905" customFormat="false" ht="25.5" hidden="false" customHeight="true" outlineLevel="0" collapsed="false">
      <c r="B1905" s="85" t="s">
        <v>3015</v>
      </c>
      <c r="C1905" s="85"/>
      <c r="D1905" s="85"/>
      <c r="E1905" s="85"/>
      <c r="F1905" s="85"/>
      <c r="G1905" s="85"/>
      <c r="H1905" s="85"/>
      <c r="I1905" s="85"/>
      <c r="J1905" s="85"/>
    </row>
    <row r="1906" customFormat="false" ht="15" hidden="false" customHeight="false" outlineLevel="0" collapsed="false">
      <c r="B1906" s="86" t="str">
        <f aca="false">PARAMÈTRES!$C$4&amp;"   •   Affaire N° "&amp;PARAMÈTRES!$C$5</f>
        <v>Développement des champs gaziers TFT II — réseau de collecte TFT Sud (LIGNE-16)   •   Affaire N° 8546</v>
      </c>
      <c r="C1906" s="86"/>
      <c r="D1906" s="86"/>
      <c r="E1906" s="86"/>
      <c r="F1906" s="86"/>
      <c r="G1906" s="86"/>
      <c r="H1906" s="86"/>
      <c r="I1906" s="86"/>
      <c r="J1906" s="86"/>
    </row>
    <row r="1907" customFormat="false" ht="19.5" hidden="false" customHeight="true" outlineLevel="0" collapsed="false">
      <c r="B1907" s="87" t="s">
        <v>3016</v>
      </c>
      <c r="C1907" s="88" t="s">
        <v>110</v>
      </c>
      <c r="D1907" s="88"/>
      <c r="E1907" s="87" t="s">
        <v>3017</v>
      </c>
      <c r="F1907" s="88" t="s">
        <v>3169</v>
      </c>
      <c r="G1907" s="87" t="s">
        <v>3019</v>
      </c>
      <c r="H1907" s="88" t="s">
        <v>3170</v>
      </c>
      <c r="I1907" s="87" t="s">
        <v>3021</v>
      </c>
      <c r="J1907" s="89"/>
    </row>
    <row r="1908" customFormat="false" ht="27.75" hidden="false" customHeight="true" outlineLevel="0" collapsed="false">
      <c r="B1908" s="71" t="s">
        <v>3022</v>
      </c>
      <c r="C1908" s="71" t="s">
        <v>3023</v>
      </c>
      <c r="D1908" s="71" t="s">
        <v>3024</v>
      </c>
      <c r="E1908" s="71" t="s">
        <v>3025</v>
      </c>
      <c r="F1908" s="71" t="s">
        <v>3026</v>
      </c>
      <c r="G1908" s="71" t="s">
        <v>3027</v>
      </c>
      <c r="H1908" s="71" t="s">
        <v>3028</v>
      </c>
      <c r="I1908" s="71" t="s">
        <v>3029</v>
      </c>
      <c r="J1908" s="71" t="s">
        <v>3030</v>
      </c>
    </row>
    <row r="1909" customFormat="false" ht="15" hidden="false" customHeight="false" outlineLevel="0" collapsed="false">
      <c r="B1909" s="90" t="n">
        <v>1293</v>
      </c>
      <c r="C1909" s="91" t="n">
        <v>2087060</v>
      </c>
      <c r="D1909" s="92" t="n">
        <f aca="false">IF($C1909="","",IFERROR(IF(INDEX('REGISTRE TUBES'!$C$7:$C$2506,MATCH($C1909,'REGISTRE TUBES'!$B$7:$B$2506,0))="","",INDEX('REGISTRE TUBES'!$C$7:$C$2506,MATCH($C1909,'REGISTRE TUBES'!$B$7:$B$2506,0))),"?"))</f>
        <v>15421107</v>
      </c>
      <c r="E1909" s="92" t="str">
        <f aca="false">IF($C1909="","",IFERROR(IF(INDEX('REGISTRE TUBES'!$D$7:$D$2506,MATCH($C1909,'REGISTRE TUBES'!$B$7:$B$2506,0))="","",INDEX('REGISTRE TUBES'!$D$7:$D$2506,MATCH($C1909,'REGISTRE TUBES'!$B$7:$B$2506,0))),"?"))</f>
        <v/>
      </c>
      <c r="F1909" s="93" t="n">
        <f aca="false">IF($C1909="","",IFERROR(IF(INDEX('REGISTRE TUBES'!$F$7:$F$2506,MATCH($C1909,'REGISTRE TUBES'!$B$7:$B$2506,0))="","",INDEX('REGISTRE TUBES'!$F$7:$F$2506,MATCH($C1909,'REGISTRE TUBES'!$B$7:$B$2506,0))),"?"))</f>
        <v>11.94</v>
      </c>
      <c r="G1909" s="94" t="n">
        <f aca="false">IF($C1909="","",N(G1899)+N(F1909))</f>
        <v>15365.9700000002</v>
      </c>
      <c r="H1909" s="95" t="s">
        <v>2944</v>
      </c>
      <c r="I1909" s="96"/>
      <c r="J1909" s="97"/>
    </row>
    <row r="1910" customFormat="false" ht="15" hidden="false" customHeight="false" outlineLevel="0" collapsed="false">
      <c r="B1910" s="98" t="n">
        <v>1294</v>
      </c>
      <c r="C1910" s="99" t="n">
        <v>2086980</v>
      </c>
      <c r="D1910" s="100" t="n">
        <f aca="false">IF($C1910="","",IFERROR(IF(INDEX('REGISTRE TUBES'!$C$7:$C$2506,MATCH($C1910,'REGISTRE TUBES'!$B$7:$B$2506,0))="","",INDEX('REGISTRE TUBES'!$C$7:$C$2506,MATCH($C1910,'REGISTRE TUBES'!$B$7:$B$2506,0))),"?"))</f>
        <v>15421107</v>
      </c>
      <c r="E1910" s="100" t="str">
        <f aca="false">IF($C1910="","",IFERROR(IF(INDEX('REGISTRE TUBES'!$D$7:$D$2506,MATCH($C1910,'REGISTRE TUBES'!$B$7:$B$2506,0))="","",INDEX('REGISTRE TUBES'!$D$7:$D$2506,MATCH($C1910,'REGISTRE TUBES'!$B$7:$B$2506,0))),"?"))</f>
        <v/>
      </c>
      <c r="F1910" s="101" t="n">
        <f aca="false">IF($C1910="","",IFERROR(IF(INDEX('REGISTRE TUBES'!$F$7:$F$2506,MATCH($C1910,'REGISTRE TUBES'!$B$7:$B$2506,0))="","",INDEX('REGISTRE TUBES'!$F$7:$F$2506,MATCH($C1910,'REGISTRE TUBES'!$B$7:$B$2506,0))),"?"))</f>
        <v>11.94</v>
      </c>
      <c r="G1910" s="102" t="n">
        <f aca="false">IF($C1910="","",N(G1909)+N(F1910))</f>
        <v>15377.9100000002</v>
      </c>
      <c r="H1910" s="103" t="s">
        <v>2945</v>
      </c>
      <c r="I1910" s="104"/>
      <c r="J1910" s="105"/>
    </row>
    <row r="1911" customFormat="false" ht="15" hidden="false" customHeight="false" outlineLevel="0" collapsed="false">
      <c r="B1911" s="90" t="n">
        <v>1295</v>
      </c>
      <c r="C1911" s="91" t="n">
        <v>2095000</v>
      </c>
      <c r="D1911" s="92" t="n">
        <f aca="false">IF($C1911="","",IFERROR(IF(INDEX('REGISTRE TUBES'!$C$7:$C$2506,MATCH($C1911,'REGISTRE TUBES'!$B$7:$B$2506,0))="","",INDEX('REGISTRE TUBES'!$C$7:$C$2506,MATCH($C1911,'REGISTRE TUBES'!$B$7:$B$2506,0))),"?"))</f>
        <v>15421111</v>
      </c>
      <c r="E1911" s="92" t="str">
        <f aca="false">IF($C1911="","",IFERROR(IF(INDEX('REGISTRE TUBES'!$D$7:$D$2506,MATCH($C1911,'REGISTRE TUBES'!$B$7:$B$2506,0))="","",INDEX('REGISTRE TUBES'!$D$7:$D$2506,MATCH($C1911,'REGISTRE TUBES'!$B$7:$B$2506,0))),"?"))</f>
        <v/>
      </c>
      <c r="F1911" s="93" t="n">
        <f aca="false">IF($C1911="","",IFERROR(IF(INDEX('REGISTRE TUBES'!$F$7:$F$2506,MATCH($C1911,'REGISTRE TUBES'!$B$7:$B$2506,0))="","",INDEX('REGISTRE TUBES'!$F$7:$F$2506,MATCH($C1911,'REGISTRE TUBES'!$B$7:$B$2506,0))),"?"))</f>
        <v>11.94</v>
      </c>
      <c r="G1911" s="94" t="n">
        <f aca="false">IF($C1911="","",N(G1910)+N(F1911))</f>
        <v>15389.8500000002</v>
      </c>
      <c r="H1911" s="95" t="s">
        <v>2946</v>
      </c>
      <c r="I1911" s="96"/>
      <c r="J1911" s="97"/>
    </row>
    <row r="1912" customFormat="false" ht="15" hidden="false" customHeight="false" outlineLevel="0" collapsed="false">
      <c r="B1912" s="98" t="n">
        <v>1296</v>
      </c>
      <c r="C1912" s="99" t="n">
        <v>2092970</v>
      </c>
      <c r="D1912" s="100" t="n">
        <f aca="false">IF($C1912="","",IFERROR(IF(INDEX('REGISTRE TUBES'!$C$7:$C$2506,MATCH($C1912,'REGISTRE TUBES'!$B$7:$B$2506,0))="","",INDEX('REGISTRE TUBES'!$C$7:$C$2506,MATCH($C1912,'REGISTRE TUBES'!$B$7:$B$2506,0))),"?"))</f>
        <v>15421110</v>
      </c>
      <c r="E1912" s="100" t="str">
        <f aca="false">IF($C1912="","",IFERROR(IF(INDEX('REGISTRE TUBES'!$D$7:$D$2506,MATCH($C1912,'REGISTRE TUBES'!$B$7:$B$2506,0))="","",INDEX('REGISTRE TUBES'!$D$7:$D$2506,MATCH($C1912,'REGISTRE TUBES'!$B$7:$B$2506,0))),"?"))</f>
        <v/>
      </c>
      <c r="F1912" s="101" t="n">
        <f aca="false">IF($C1912="","",IFERROR(IF(INDEX('REGISTRE TUBES'!$F$7:$F$2506,MATCH($C1912,'REGISTRE TUBES'!$B$7:$B$2506,0))="","",INDEX('REGISTRE TUBES'!$F$7:$F$2506,MATCH($C1912,'REGISTRE TUBES'!$B$7:$B$2506,0))),"?"))</f>
        <v>11.94</v>
      </c>
      <c r="G1912" s="102" t="n">
        <f aca="false">IF($C1912="","",N(G1911)+N(F1912))</f>
        <v>15401.7900000002</v>
      </c>
      <c r="H1912" s="103" t="s">
        <v>2947</v>
      </c>
      <c r="I1912" s="104"/>
      <c r="J1912" s="105"/>
    </row>
    <row r="1913" customFormat="false" ht="15" hidden="false" customHeight="false" outlineLevel="0" collapsed="false">
      <c r="B1913" s="90" t="n">
        <v>1297</v>
      </c>
      <c r="C1913" s="91" t="n">
        <v>2092650</v>
      </c>
      <c r="D1913" s="92" t="n">
        <f aca="false">IF($C1913="","",IFERROR(IF(INDEX('REGISTRE TUBES'!$C$7:$C$2506,MATCH($C1913,'REGISTRE TUBES'!$B$7:$B$2506,0))="","",INDEX('REGISTRE TUBES'!$C$7:$C$2506,MATCH($C1913,'REGISTRE TUBES'!$B$7:$B$2506,0))),"?"))</f>
        <v>15421110</v>
      </c>
      <c r="E1913" s="92" t="str">
        <f aca="false">IF($C1913="","",IFERROR(IF(INDEX('REGISTRE TUBES'!$D$7:$D$2506,MATCH($C1913,'REGISTRE TUBES'!$B$7:$B$2506,0))="","",INDEX('REGISTRE TUBES'!$D$7:$D$2506,MATCH($C1913,'REGISTRE TUBES'!$B$7:$B$2506,0))),"?"))</f>
        <v/>
      </c>
      <c r="F1913" s="93" t="n">
        <f aca="false">IF($C1913="","",IFERROR(IF(INDEX('REGISTRE TUBES'!$F$7:$F$2506,MATCH($C1913,'REGISTRE TUBES'!$B$7:$B$2506,0))="","",INDEX('REGISTRE TUBES'!$F$7:$F$2506,MATCH($C1913,'REGISTRE TUBES'!$B$7:$B$2506,0))),"?"))</f>
        <v>11.94</v>
      </c>
      <c r="G1913" s="94" t="n">
        <f aca="false">IF($C1913="","",N(G1912)+N(F1913))</f>
        <v>15413.7300000002</v>
      </c>
      <c r="H1913" s="95" t="s">
        <v>2948</v>
      </c>
      <c r="I1913" s="96"/>
      <c r="J1913" s="97"/>
    </row>
    <row r="1914" customFormat="false" ht="15" hidden="false" customHeight="false" outlineLevel="0" collapsed="false">
      <c r="B1914" s="98" t="n">
        <v>1298</v>
      </c>
      <c r="C1914" s="99" t="n">
        <v>2090780</v>
      </c>
      <c r="D1914" s="100" t="n">
        <f aca="false">IF($C1914="","",IFERROR(IF(INDEX('REGISTRE TUBES'!$C$7:$C$2506,MATCH($C1914,'REGISTRE TUBES'!$B$7:$B$2506,0))="","",INDEX('REGISTRE TUBES'!$C$7:$C$2506,MATCH($C1914,'REGISTRE TUBES'!$B$7:$B$2506,0))),"?"))</f>
        <v>15421109</v>
      </c>
      <c r="E1914" s="100" t="str">
        <f aca="false">IF($C1914="","",IFERROR(IF(INDEX('REGISTRE TUBES'!$D$7:$D$2506,MATCH($C1914,'REGISTRE TUBES'!$B$7:$B$2506,0))="","",INDEX('REGISTRE TUBES'!$D$7:$D$2506,MATCH($C1914,'REGISTRE TUBES'!$B$7:$B$2506,0))),"?"))</f>
        <v/>
      </c>
      <c r="F1914" s="101" t="n">
        <f aca="false">IF($C1914="","",IFERROR(IF(INDEX('REGISTRE TUBES'!$F$7:$F$2506,MATCH($C1914,'REGISTRE TUBES'!$B$7:$B$2506,0))="","",INDEX('REGISTRE TUBES'!$F$7:$F$2506,MATCH($C1914,'REGISTRE TUBES'!$B$7:$B$2506,0))),"?"))</f>
        <v>11.94</v>
      </c>
      <c r="G1914" s="102" t="n">
        <f aca="false">IF($C1914="","",N(G1913)+N(F1914))</f>
        <v>15425.6700000002</v>
      </c>
      <c r="H1914" s="103" t="s">
        <v>2950</v>
      </c>
      <c r="I1914" s="104"/>
      <c r="J1914" s="105"/>
    </row>
    <row r="1915" customFormat="false" ht="15" hidden="false" customHeight="false" outlineLevel="0" collapsed="false">
      <c r="B1915" s="90" t="n">
        <v>1299</v>
      </c>
      <c r="C1915" s="91" t="n">
        <v>2083310</v>
      </c>
      <c r="D1915" s="92" t="n">
        <f aca="false">IF($C1915="","",IFERROR(IF(INDEX('REGISTRE TUBES'!$C$7:$C$2506,MATCH($C1915,'REGISTRE TUBES'!$B$7:$B$2506,0))="","",INDEX('REGISTRE TUBES'!$C$7:$C$2506,MATCH($C1915,'REGISTRE TUBES'!$B$7:$B$2506,0))),"?"))</f>
        <v>15421105</v>
      </c>
      <c r="E1915" s="92" t="str">
        <f aca="false">IF($C1915="","",IFERROR(IF(INDEX('REGISTRE TUBES'!$D$7:$D$2506,MATCH($C1915,'REGISTRE TUBES'!$B$7:$B$2506,0))="","",INDEX('REGISTRE TUBES'!$D$7:$D$2506,MATCH($C1915,'REGISTRE TUBES'!$B$7:$B$2506,0))),"?"))</f>
        <v/>
      </c>
      <c r="F1915" s="93" t="n">
        <f aca="false">IF($C1915="","",IFERROR(IF(INDEX('REGISTRE TUBES'!$F$7:$F$2506,MATCH($C1915,'REGISTRE TUBES'!$B$7:$B$2506,0))="","",INDEX('REGISTRE TUBES'!$F$7:$F$2506,MATCH($C1915,'REGISTRE TUBES'!$B$7:$B$2506,0))),"?"))</f>
        <v>11.94</v>
      </c>
      <c r="G1915" s="94" t="n">
        <f aca="false">IF($C1915="","",N(G1914)+N(F1915))</f>
        <v>15437.6100000002</v>
      </c>
      <c r="H1915" s="95" t="s">
        <v>2951</v>
      </c>
      <c r="I1915" s="96"/>
      <c r="J1915" s="97"/>
    </row>
    <row r="1916" customFormat="false" ht="15" hidden="false" customHeight="false" outlineLevel="0" collapsed="false">
      <c r="B1916" s="98" t="n">
        <v>1300</v>
      </c>
      <c r="C1916" s="99" t="n">
        <v>2088520</v>
      </c>
      <c r="D1916" s="100" t="n">
        <f aca="false">IF($C1916="","",IFERROR(IF(INDEX('REGISTRE TUBES'!$C$7:$C$2506,MATCH($C1916,'REGISTRE TUBES'!$B$7:$B$2506,0))="","",INDEX('REGISTRE TUBES'!$C$7:$C$2506,MATCH($C1916,'REGISTRE TUBES'!$B$7:$B$2506,0))),"?"))</f>
        <v>15421108</v>
      </c>
      <c r="E1916" s="100" t="str">
        <f aca="false">IF($C1916="","",IFERROR(IF(INDEX('REGISTRE TUBES'!$D$7:$D$2506,MATCH($C1916,'REGISTRE TUBES'!$B$7:$B$2506,0))="","",INDEX('REGISTRE TUBES'!$D$7:$D$2506,MATCH($C1916,'REGISTRE TUBES'!$B$7:$B$2506,0))),"?"))</f>
        <v/>
      </c>
      <c r="F1916" s="101" t="n">
        <f aca="false">IF($C1916="","",IFERROR(IF(INDEX('REGISTRE TUBES'!$F$7:$F$2506,MATCH($C1916,'REGISTRE TUBES'!$B$7:$B$2506,0))="","",INDEX('REGISTRE TUBES'!$F$7:$F$2506,MATCH($C1916,'REGISTRE TUBES'!$B$7:$B$2506,0))),"?"))</f>
        <v>11.94</v>
      </c>
      <c r="G1916" s="102" t="n">
        <f aca="false">IF($C1916="","",N(G1915)+N(F1916))</f>
        <v>15449.5500000002</v>
      </c>
      <c r="H1916" s="103" t="s">
        <v>2952</v>
      </c>
      <c r="I1916" s="104"/>
      <c r="J1916" s="105"/>
    </row>
    <row r="1917" customFormat="false" ht="15" hidden="false" customHeight="false" outlineLevel="0" collapsed="false">
      <c r="B1917" s="90" t="n">
        <v>1301</v>
      </c>
      <c r="C1917" s="91" t="n">
        <v>2091850</v>
      </c>
      <c r="D1917" s="92" t="n">
        <f aca="false">IF($C1917="","",IFERROR(IF(INDEX('REGISTRE TUBES'!$C$7:$C$2506,MATCH($C1917,'REGISTRE TUBES'!$B$7:$B$2506,0))="","",INDEX('REGISTRE TUBES'!$C$7:$C$2506,MATCH($C1917,'REGISTRE TUBES'!$B$7:$B$2506,0))),"?"))</f>
        <v>15421109</v>
      </c>
      <c r="E1917" s="92" t="str">
        <f aca="false">IF($C1917="","",IFERROR(IF(INDEX('REGISTRE TUBES'!$D$7:$D$2506,MATCH($C1917,'REGISTRE TUBES'!$B$7:$B$2506,0))="","",INDEX('REGISTRE TUBES'!$D$7:$D$2506,MATCH($C1917,'REGISTRE TUBES'!$B$7:$B$2506,0))),"?"))</f>
        <v/>
      </c>
      <c r="F1917" s="93" t="n">
        <f aca="false">IF($C1917="","",IFERROR(IF(INDEX('REGISTRE TUBES'!$F$7:$F$2506,MATCH($C1917,'REGISTRE TUBES'!$B$7:$B$2506,0))="","",INDEX('REGISTRE TUBES'!$F$7:$F$2506,MATCH($C1917,'REGISTRE TUBES'!$B$7:$B$2506,0))),"?"))</f>
        <v>11.94</v>
      </c>
      <c r="G1917" s="94" t="n">
        <f aca="false">IF($C1917="","",N(G1916)+N(F1917))</f>
        <v>15461.4900000002</v>
      </c>
      <c r="H1917" s="95" t="s">
        <v>2957</v>
      </c>
      <c r="I1917" s="96"/>
      <c r="J1917" s="97"/>
    </row>
    <row r="1918" customFormat="false" ht="15" hidden="false" customHeight="false" outlineLevel="0" collapsed="false">
      <c r="B1918" s="98" t="n">
        <v>1302</v>
      </c>
      <c r="C1918" s="99" t="n">
        <v>2095510</v>
      </c>
      <c r="D1918" s="100" t="n">
        <f aca="false">IF($C1918="","",IFERROR(IF(INDEX('REGISTRE TUBES'!$C$7:$C$2506,MATCH($C1918,'REGISTRE TUBES'!$B$7:$B$2506,0))="","",INDEX('REGISTRE TUBES'!$C$7:$C$2506,MATCH($C1918,'REGISTRE TUBES'!$B$7:$B$2506,0))),"?"))</f>
        <v>15421111</v>
      </c>
      <c r="E1918" s="100" t="str">
        <f aca="false">IF($C1918="","",IFERROR(IF(INDEX('REGISTRE TUBES'!$D$7:$D$2506,MATCH($C1918,'REGISTRE TUBES'!$B$7:$B$2506,0))="","",INDEX('REGISTRE TUBES'!$D$7:$D$2506,MATCH($C1918,'REGISTRE TUBES'!$B$7:$B$2506,0))),"?"))</f>
        <v/>
      </c>
      <c r="F1918" s="101" t="n">
        <f aca="false">IF($C1918="","",IFERROR(IF(INDEX('REGISTRE TUBES'!$F$7:$F$2506,MATCH($C1918,'REGISTRE TUBES'!$B$7:$B$2506,0))="","",INDEX('REGISTRE TUBES'!$F$7:$F$2506,MATCH($C1918,'REGISTRE TUBES'!$B$7:$B$2506,0))),"?"))</f>
        <v>11.94</v>
      </c>
      <c r="G1918" s="102" t="n">
        <f aca="false">IF($C1918="","",N(G1917)+N(F1918))</f>
        <v>15473.4300000002</v>
      </c>
      <c r="H1918" s="103" t="s">
        <v>2958</v>
      </c>
      <c r="I1918" s="104"/>
      <c r="J1918" s="105"/>
    </row>
    <row r="1919" customFormat="false" ht="15" hidden="false" customHeight="false" outlineLevel="0" collapsed="false">
      <c r="B1919" s="90" t="n">
        <v>1303</v>
      </c>
      <c r="C1919" s="91" t="n">
        <v>207420</v>
      </c>
      <c r="D1919" s="92" t="n">
        <f aca="false">IF($C1919="","",IFERROR(IF(INDEX('REGISTRE TUBES'!$C$7:$C$2506,MATCH($C1919,'REGISTRE TUBES'!$B$7:$B$2506,0))="","",INDEX('REGISTRE TUBES'!$C$7:$C$2506,MATCH($C1919,'REGISTRE TUBES'!$B$7:$B$2506,0))),"?"))</f>
        <v>15421112</v>
      </c>
      <c r="E1919" s="92" t="str">
        <f aca="false">IF($C1919="","",IFERROR(IF(INDEX('REGISTRE TUBES'!$D$7:$D$2506,MATCH($C1919,'REGISTRE TUBES'!$B$7:$B$2506,0))="","",INDEX('REGISTRE TUBES'!$D$7:$D$2506,MATCH($C1919,'REGISTRE TUBES'!$B$7:$B$2506,0))),"?"))</f>
        <v/>
      </c>
      <c r="F1919" s="93" t="n">
        <f aca="false">IF($C1919="","",IFERROR(IF(INDEX('REGISTRE TUBES'!$F$7:$F$2506,MATCH($C1919,'REGISTRE TUBES'!$B$7:$B$2506,0))="","",INDEX('REGISTRE TUBES'!$F$7:$F$2506,MATCH($C1919,'REGISTRE TUBES'!$B$7:$B$2506,0))),"?"))</f>
        <v>11.94</v>
      </c>
      <c r="G1919" s="94" t="n">
        <f aca="false">IF($C1919="","",N(G1918)+N(F1919))</f>
        <v>15485.3700000002</v>
      </c>
      <c r="H1919" s="95" t="s">
        <v>2959</v>
      </c>
      <c r="I1919" s="96"/>
      <c r="J1919" s="97"/>
    </row>
    <row r="1920" customFormat="false" ht="15" hidden="false" customHeight="false" outlineLevel="0" collapsed="false">
      <c r="B1920" s="98" t="n">
        <v>1304</v>
      </c>
      <c r="C1920" s="99" t="n">
        <v>2094070</v>
      </c>
      <c r="D1920" s="100" t="n">
        <f aca="false">IF($C1920="","",IFERROR(IF(INDEX('REGISTRE TUBES'!$C$7:$C$2506,MATCH($C1920,'REGISTRE TUBES'!$B$7:$B$2506,0))="","",INDEX('REGISTRE TUBES'!$C$7:$C$2506,MATCH($C1920,'REGISTRE TUBES'!$B$7:$B$2506,0))),"?"))</f>
        <v>15421110</v>
      </c>
      <c r="E1920" s="100" t="str">
        <f aca="false">IF($C1920="","",IFERROR(IF(INDEX('REGISTRE TUBES'!$D$7:$D$2506,MATCH($C1920,'REGISTRE TUBES'!$B$7:$B$2506,0))="","",INDEX('REGISTRE TUBES'!$D$7:$D$2506,MATCH($C1920,'REGISTRE TUBES'!$B$7:$B$2506,0))),"?"))</f>
        <v/>
      </c>
      <c r="F1920" s="101" t="n">
        <f aca="false">IF($C1920="","",IFERROR(IF(INDEX('REGISTRE TUBES'!$F$7:$F$2506,MATCH($C1920,'REGISTRE TUBES'!$B$7:$B$2506,0))="","",INDEX('REGISTRE TUBES'!$F$7:$F$2506,MATCH($C1920,'REGISTRE TUBES'!$B$7:$B$2506,0))),"?"))</f>
        <v>11.94</v>
      </c>
      <c r="G1920" s="102" t="n">
        <f aca="false">IF($C1920="","",N(G1919)+N(F1920))</f>
        <v>15497.3100000002</v>
      </c>
      <c r="H1920" s="103" t="s">
        <v>2960</v>
      </c>
      <c r="I1920" s="104"/>
      <c r="J1920" s="105"/>
    </row>
    <row r="1921" customFormat="false" ht="15" hidden="false" customHeight="false" outlineLevel="0" collapsed="false">
      <c r="B1921" s="90" t="n">
        <v>1305</v>
      </c>
      <c r="C1921" s="91" t="n">
        <v>2085830</v>
      </c>
      <c r="D1921" s="92" t="n">
        <f aca="false">IF($C1921="","",IFERROR(IF(INDEX('REGISTRE TUBES'!$C$7:$C$2506,MATCH($C1921,'REGISTRE TUBES'!$B$7:$B$2506,0))="","",INDEX('REGISTRE TUBES'!$C$7:$C$2506,MATCH($C1921,'REGISTRE TUBES'!$B$7:$B$2506,0))),"?"))</f>
        <v>15421107</v>
      </c>
      <c r="E1921" s="92" t="str">
        <f aca="false">IF($C1921="","",IFERROR(IF(INDEX('REGISTRE TUBES'!$D$7:$D$2506,MATCH($C1921,'REGISTRE TUBES'!$B$7:$B$2506,0))="","",INDEX('REGISTRE TUBES'!$D$7:$D$2506,MATCH($C1921,'REGISTRE TUBES'!$B$7:$B$2506,0))),"?"))</f>
        <v/>
      </c>
      <c r="F1921" s="93" t="n">
        <f aca="false">IF($C1921="","",IFERROR(IF(INDEX('REGISTRE TUBES'!$F$7:$F$2506,MATCH($C1921,'REGISTRE TUBES'!$B$7:$B$2506,0))="","",INDEX('REGISTRE TUBES'!$F$7:$F$2506,MATCH($C1921,'REGISTRE TUBES'!$B$7:$B$2506,0))),"?"))</f>
        <v>11.94</v>
      </c>
      <c r="G1921" s="94" t="n">
        <f aca="false">IF($C1921="","",N(G1920)+N(F1921))</f>
        <v>15509.2500000002</v>
      </c>
      <c r="H1921" s="95" t="s">
        <v>2961</v>
      </c>
      <c r="I1921" s="96"/>
      <c r="J1921" s="97"/>
    </row>
    <row r="1922" customFormat="false" ht="15" hidden="false" customHeight="false" outlineLevel="0" collapsed="false">
      <c r="B1922" s="98" t="n">
        <v>1306</v>
      </c>
      <c r="C1922" s="99" t="n">
        <v>2080660</v>
      </c>
      <c r="D1922" s="100" t="n">
        <f aca="false">IF($C1922="","",IFERROR(IF(INDEX('REGISTRE TUBES'!$C$7:$C$2506,MATCH($C1922,'REGISTRE TUBES'!$B$7:$B$2506,0))="","",INDEX('REGISTRE TUBES'!$C$7:$C$2506,MATCH($C1922,'REGISTRE TUBES'!$B$7:$B$2506,0))),"?"))</f>
        <v>15421103</v>
      </c>
      <c r="E1922" s="100" t="str">
        <f aca="false">IF($C1922="","",IFERROR(IF(INDEX('REGISTRE TUBES'!$D$7:$D$2506,MATCH($C1922,'REGISTRE TUBES'!$B$7:$B$2506,0))="","",INDEX('REGISTRE TUBES'!$D$7:$D$2506,MATCH($C1922,'REGISTRE TUBES'!$B$7:$B$2506,0))),"?"))</f>
        <v/>
      </c>
      <c r="F1922" s="101" t="n">
        <f aca="false">IF($C1922="","",IFERROR(IF(INDEX('REGISTRE TUBES'!$F$7:$F$2506,MATCH($C1922,'REGISTRE TUBES'!$B$7:$B$2506,0))="","",INDEX('REGISTRE TUBES'!$F$7:$F$2506,MATCH($C1922,'REGISTRE TUBES'!$B$7:$B$2506,0))),"?"))</f>
        <v>11.94</v>
      </c>
      <c r="G1922" s="102" t="n">
        <f aca="false">IF($C1922="","",N(G1921)+N(F1922))</f>
        <v>15521.1900000002</v>
      </c>
      <c r="H1922" s="103" t="s">
        <v>2963</v>
      </c>
      <c r="I1922" s="104"/>
      <c r="J1922" s="105"/>
    </row>
    <row r="1923" customFormat="false" ht="15" hidden="false" customHeight="false" outlineLevel="0" collapsed="false">
      <c r="B1923" s="90" t="n">
        <v>1307</v>
      </c>
      <c r="C1923" s="91" t="n">
        <v>2088430</v>
      </c>
      <c r="D1923" s="92" t="n">
        <f aca="false">IF($C1923="","",IFERROR(IF(INDEX('REGISTRE TUBES'!$C$7:$C$2506,MATCH($C1923,'REGISTRE TUBES'!$B$7:$B$2506,0))="","",INDEX('REGISTRE TUBES'!$C$7:$C$2506,MATCH($C1923,'REGISTRE TUBES'!$B$7:$B$2506,0))),"?"))</f>
        <v>15421110</v>
      </c>
      <c r="E1923" s="92" t="str">
        <f aca="false">IF($C1923="","",IFERROR(IF(INDEX('REGISTRE TUBES'!$D$7:$D$2506,MATCH($C1923,'REGISTRE TUBES'!$B$7:$B$2506,0))="","",INDEX('REGISTRE TUBES'!$D$7:$D$2506,MATCH($C1923,'REGISTRE TUBES'!$B$7:$B$2506,0))),"?"))</f>
        <v/>
      </c>
      <c r="F1923" s="93" t="n">
        <f aca="false">IF($C1923="","",IFERROR(IF(INDEX('REGISTRE TUBES'!$F$7:$F$2506,MATCH($C1923,'REGISTRE TUBES'!$B$7:$B$2506,0))="","",INDEX('REGISTRE TUBES'!$F$7:$F$2506,MATCH($C1923,'REGISTRE TUBES'!$B$7:$B$2506,0))),"?"))</f>
        <v>11.94</v>
      </c>
      <c r="G1923" s="94" t="n">
        <f aca="false">IF($C1923="","",N(G1922)+N(F1923))</f>
        <v>15533.1300000002</v>
      </c>
      <c r="H1923" s="95" t="s">
        <v>2964</v>
      </c>
      <c r="I1923" s="96"/>
      <c r="J1923" s="97"/>
    </row>
    <row r="1924" customFormat="false" ht="15" hidden="false" customHeight="false" outlineLevel="0" collapsed="false">
      <c r="B1924" s="98" t="n">
        <v>1308</v>
      </c>
      <c r="C1924" s="99" t="n">
        <v>2088550</v>
      </c>
      <c r="D1924" s="100" t="n">
        <f aca="false">IF($C1924="","",IFERROR(IF(INDEX('REGISTRE TUBES'!$C$7:$C$2506,MATCH($C1924,'REGISTRE TUBES'!$B$7:$B$2506,0))="","",INDEX('REGISTRE TUBES'!$C$7:$C$2506,MATCH($C1924,'REGISTRE TUBES'!$B$7:$B$2506,0))),"?"))</f>
        <v>15421108</v>
      </c>
      <c r="E1924" s="100" t="str">
        <f aca="false">IF($C1924="","",IFERROR(IF(INDEX('REGISTRE TUBES'!$D$7:$D$2506,MATCH($C1924,'REGISTRE TUBES'!$B$7:$B$2506,0))="","",INDEX('REGISTRE TUBES'!$D$7:$D$2506,MATCH($C1924,'REGISTRE TUBES'!$B$7:$B$2506,0))),"?"))</f>
        <v/>
      </c>
      <c r="F1924" s="101" t="n">
        <f aca="false">IF($C1924="","",IFERROR(IF(INDEX('REGISTRE TUBES'!$F$7:$F$2506,MATCH($C1924,'REGISTRE TUBES'!$B$7:$B$2506,0))="","",INDEX('REGISTRE TUBES'!$F$7:$F$2506,MATCH($C1924,'REGISTRE TUBES'!$B$7:$B$2506,0))),"?"))</f>
        <v>11.94</v>
      </c>
      <c r="G1924" s="102" t="n">
        <f aca="false">IF($C1924="","",N(G1923)+N(F1924))</f>
        <v>15545.0700000002</v>
      </c>
      <c r="H1924" s="103" t="s">
        <v>2965</v>
      </c>
      <c r="I1924" s="104"/>
      <c r="J1924" s="105"/>
    </row>
    <row r="1925" customFormat="false" ht="15" hidden="false" customHeight="false" outlineLevel="0" collapsed="false">
      <c r="B1925" s="90" t="n">
        <v>1309</v>
      </c>
      <c r="C1925" s="91" t="n">
        <v>2090280</v>
      </c>
      <c r="D1925" s="92" t="n">
        <f aca="false">IF($C1925="","",IFERROR(IF(INDEX('REGISTRE TUBES'!$C$7:$C$2506,MATCH($C1925,'REGISTRE TUBES'!$B$7:$B$2506,0))="","",INDEX('REGISTRE TUBES'!$C$7:$C$2506,MATCH($C1925,'REGISTRE TUBES'!$B$7:$B$2506,0))),"?"))</f>
        <v>15421109</v>
      </c>
      <c r="E1925" s="92" t="str">
        <f aca="false">IF($C1925="","",IFERROR(IF(INDEX('REGISTRE TUBES'!$D$7:$D$2506,MATCH($C1925,'REGISTRE TUBES'!$B$7:$B$2506,0))="","",INDEX('REGISTRE TUBES'!$D$7:$D$2506,MATCH($C1925,'REGISTRE TUBES'!$B$7:$B$2506,0))),"?"))</f>
        <v/>
      </c>
      <c r="F1925" s="93" t="n">
        <f aca="false">IF($C1925="","",IFERROR(IF(INDEX('REGISTRE TUBES'!$F$7:$F$2506,MATCH($C1925,'REGISTRE TUBES'!$B$7:$B$2506,0))="","",INDEX('REGISTRE TUBES'!$F$7:$F$2506,MATCH($C1925,'REGISTRE TUBES'!$B$7:$B$2506,0))),"?"))</f>
        <v>11.94</v>
      </c>
      <c r="G1925" s="94" t="n">
        <f aca="false">IF($C1925="","",N(G1924)+N(F1925))</f>
        <v>15557.0100000002</v>
      </c>
      <c r="H1925" s="95" t="s">
        <v>2966</v>
      </c>
      <c r="I1925" s="96"/>
      <c r="J1925" s="97"/>
    </row>
    <row r="1926" customFormat="false" ht="15" hidden="false" customHeight="false" outlineLevel="0" collapsed="false">
      <c r="B1926" s="98" t="n">
        <v>1310</v>
      </c>
      <c r="C1926" s="99" t="n">
        <v>2088910</v>
      </c>
      <c r="D1926" s="100" t="n">
        <f aca="false">IF($C1926="","",IFERROR(IF(INDEX('REGISTRE TUBES'!$C$7:$C$2506,MATCH($C1926,'REGISTRE TUBES'!$B$7:$B$2506,0))="","",INDEX('REGISTRE TUBES'!$C$7:$C$2506,MATCH($C1926,'REGISTRE TUBES'!$B$7:$B$2506,0))),"?"))</f>
        <v>15421108</v>
      </c>
      <c r="E1926" s="100" t="str">
        <f aca="false">IF($C1926="","",IFERROR(IF(INDEX('REGISTRE TUBES'!$D$7:$D$2506,MATCH($C1926,'REGISTRE TUBES'!$B$7:$B$2506,0))="","",INDEX('REGISTRE TUBES'!$D$7:$D$2506,MATCH($C1926,'REGISTRE TUBES'!$B$7:$B$2506,0))),"?"))</f>
        <v/>
      </c>
      <c r="F1926" s="101" t="n">
        <f aca="false">IF($C1926="","",IFERROR(IF(INDEX('REGISTRE TUBES'!$F$7:$F$2506,MATCH($C1926,'REGISTRE TUBES'!$B$7:$B$2506,0))="","",INDEX('REGISTRE TUBES'!$F$7:$F$2506,MATCH($C1926,'REGISTRE TUBES'!$B$7:$B$2506,0))),"?"))</f>
        <v>11.94</v>
      </c>
      <c r="G1926" s="102" t="n">
        <f aca="false">IF($C1926="","",N(G1925)+N(F1926))</f>
        <v>15568.9500000002</v>
      </c>
      <c r="H1926" s="103" t="s">
        <v>2971</v>
      </c>
      <c r="I1926" s="104"/>
      <c r="J1926" s="105"/>
    </row>
    <row r="1927" customFormat="false" ht="15" hidden="false" customHeight="false" outlineLevel="0" collapsed="false">
      <c r="B1927" s="90" t="n">
        <v>1311</v>
      </c>
      <c r="C1927" s="91" t="n">
        <v>2084270</v>
      </c>
      <c r="D1927" s="92" t="n">
        <f aca="false">IF($C1927="","",IFERROR(IF(INDEX('REGISTRE TUBES'!$C$7:$C$2506,MATCH($C1927,'REGISTRE TUBES'!$B$7:$B$2506,0))="","",INDEX('REGISTRE TUBES'!$C$7:$C$2506,MATCH($C1927,'REGISTRE TUBES'!$B$7:$B$2506,0))),"?"))</f>
        <v>15421106</v>
      </c>
      <c r="E1927" s="92" t="str">
        <f aca="false">IF($C1927="","",IFERROR(IF(INDEX('REGISTRE TUBES'!$D$7:$D$2506,MATCH($C1927,'REGISTRE TUBES'!$B$7:$B$2506,0))="","",INDEX('REGISTRE TUBES'!$D$7:$D$2506,MATCH($C1927,'REGISTRE TUBES'!$B$7:$B$2506,0))),"?"))</f>
        <v/>
      </c>
      <c r="F1927" s="93" t="n">
        <f aca="false">IF($C1927="","",IFERROR(IF(INDEX('REGISTRE TUBES'!$F$7:$F$2506,MATCH($C1927,'REGISTRE TUBES'!$B$7:$B$2506,0))="","",INDEX('REGISTRE TUBES'!$F$7:$F$2506,MATCH($C1927,'REGISTRE TUBES'!$B$7:$B$2506,0))),"?"))</f>
        <v>11.94</v>
      </c>
      <c r="G1927" s="94" t="n">
        <f aca="false">IF($C1927="","",N(G1926)+N(F1927))</f>
        <v>15580.8900000002</v>
      </c>
      <c r="H1927" s="95" t="s">
        <v>2972</v>
      </c>
      <c r="I1927" s="96"/>
      <c r="J1927" s="97"/>
    </row>
    <row r="1928" customFormat="false" ht="15" hidden="false" customHeight="true" outlineLevel="0" collapsed="false">
      <c r="B1928" s="106" t="s">
        <v>3031</v>
      </c>
      <c r="C1928" s="106"/>
      <c r="D1928" s="106"/>
      <c r="E1928" s="106"/>
      <c r="F1928" s="107" t="n">
        <f aca="false">SUM(F1909:F1927)</f>
        <v>226.86</v>
      </c>
      <c r="G1928" s="108" t="n">
        <f aca="false">IF(COUNT(G1909:G1927)=0,"",MAX(G1909:G1927))</f>
        <v>15580.8900000002</v>
      </c>
      <c r="H1928" s="106" t="str">
        <f aca="false">COUNTA(C1909:C1927)&amp;" tube(s)"</f>
        <v>19 tube(s)</v>
      </c>
      <c r="I1928" s="106"/>
      <c r="J1928" s="106"/>
    </row>
    <row r="1930" customFormat="false" ht="15" hidden="false" customHeight="false" outlineLevel="0" collapsed="false">
      <c r="B1930" s="109" t="s">
        <v>3032</v>
      </c>
      <c r="F1930" s="109" t="s">
        <v>3033</v>
      </c>
      <c r="I1930" s="109" t="s">
        <v>3034</v>
      </c>
    </row>
    <row r="1933" customFormat="false" ht="25.5" hidden="false" customHeight="true" outlineLevel="0" collapsed="false">
      <c r="B1933" s="85" t="s">
        <v>3015</v>
      </c>
      <c r="C1933" s="85"/>
      <c r="D1933" s="85"/>
      <c r="E1933" s="85"/>
      <c r="F1933" s="85"/>
      <c r="G1933" s="85"/>
      <c r="H1933" s="85"/>
      <c r="I1933" s="85"/>
      <c r="J1933" s="85"/>
    </row>
    <row r="1934" customFormat="false" ht="15" hidden="false" customHeight="false" outlineLevel="0" collapsed="false">
      <c r="B1934" s="86" t="str">
        <f aca="false">PARAMÈTRES!$C$4&amp;"   •   Affaire N° "&amp;PARAMÈTRES!$C$5</f>
        <v>Développement des champs gaziers TFT II — réseau de collecte TFT Sud (LIGNE-16)   •   Affaire N° 8546</v>
      </c>
      <c r="C1934" s="86"/>
      <c r="D1934" s="86"/>
      <c r="E1934" s="86"/>
      <c r="F1934" s="86"/>
      <c r="G1934" s="86"/>
      <c r="H1934" s="86"/>
      <c r="I1934" s="86"/>
      <c r="J1934" s="86"/>
    </row>
    <row r="1935" customFormat="false" ht="19.5" hidden="false" customHeight="true" outlineLevel="0" collapsed="false">
      <c r="B1935" s="87" t="s">
        <v>3016</v>
      </c>
      <c r="C1935" s="88" t="s">
        <v>110</v>
      </c>
      <c r="D1935" s="88"/>
      <c r="E1935" s="87" t="s">
        <v>3017</v>
      </c>
      <c r="F1935" s="88" t="s">
        <v>3171</v>
      </c>
      <c r="G1935" s="87" t="s">
        <v>3019</v>
      </c>
      <c r="H1935" s="88" t="s">
        <v>3172</v>
      </c>
      <c r="I1935" s="87" t="s">
        <v>3021</v>
      </c>
      <c r="J1935" s="89"/>
    </row>
    <row r="1936" customFormat="false" ht="27.75" hidden="false" customHeight="true" outlineLevel="0" collapsed="false">
      <c r="B1936" s="71" t="s">
        <v>3022</v>
      </c>
      <c r="C1936" s="71" t="s">
        <v>3023</v>
      </c>
      <c r="D1936" s="71" t="s">
        <v>3024</v>
      </c>
      <c r="E1936" s="71" t="s">
        <v>3025</v>
      </c>
      <c r="F1936" s="71" t="s">
        <v>3026</v>
      </c>
      <c r="G1936" s="71" t="s">
        <v>3027</v>
      </c>
      <c r="H1936" s="71" t="s">
        <v>3028</v>
      </c>
      <c r="I1936" s="71" t="s">
        <v>3029</v>
      </c>
      <c r="J1936" s="71" t="s">
        <v>3030</v>
      </c>
    </row>
    <row r="1937" customFormat="false" ht="15" hidden="false" customHeight="false" outlineLevel="0" collapsed="false">
      <c r="B1937" s="90" t="n">
        <v>1312</v>
      </c>
      <c r="C1937" s="91" t="n">
        <v>2083160</v>
      </c>
      <c r="D1937" s="92" t="n">
        <f aca="false">IF($C1937="","",IFERROR(IF(INDEX('REGISTRE TUBES'!$C$7:$C$2506,MATCH($C1937,'REGISTRE TUBES'!$B$7:$B$2506,0))="","",INDEX('REGISTRE TUBES'!$C$7:$C$2506,MATCH($C1937,'REGISTRE TUBES'!$B$7:$B$2506,0))),"?"))</f>
        <v>15421105</v>
      </c>
      <c r="E1937" s="92" t="str">
        <f aca="false">IF($C1937="","",IFERROR(IF(INDEX('REGISTRE TUBES'!$D$7:$D$2506,MATCH($C1937,'REGISTRE TUBES'!$B$7:$B$2506,0))="","",INDEX('REGISTRE TUBES'!$D$7:$D$2506,MATCH($C1937,'REGISTRE TUBES'!$B$7:$B$2506,0))),"?"))</f>
        <v/>
      </c>
      <c r="F1937" s="93" t="n">
        <f aca="false">IF($C1937="","",IFERROR(IF(INDEX('REGISTRE TUBES'!$F$7:$F$2506,MATCH($C1937,'REGISTRE TUBES'!$B$7:$B$2506,0))="","",INDEX('REGISTRE TUBES'!$F$7:$F$2506,MATCH($C1937,'REGISTRE TUBES'!$B$7:$B$2506,0))),"?"))</f>
        <v>11.94</v>
      </c>
      <c r="G1937" s="94" t="n">
        <f aca="false">IF($C1937="","",N(G1927)+N(F1937))</f>
        <v>15592.8300000002</v>
      </c>
      <c r="H1937" s="95" t="s">
        <v>2974</v>
      </c>
      <c r="I1937" s="96"/>
      <c r="J1937" s="97"/>
    </row>
    <row r="1938" customFormat="false" ht="15" hidden="false" customHeight="false" outlineLevel="0" collapsed="false">
      <c r="B1938" s="98" t="n">
        <v>1313</v>
      </c>
      <c r="C1938" s="99" t="n">
        <v>2086100</v>
      </c>
      <c r="D1938" s="100" t="n">
        <f aca="false">IF($C1938="","",IFERROR(IF(INDEX('REGISTRE TUBES'!$C$7:$C$2506,MATCH($C1938,'REGISTRE TUBES'!$B$7:$B$2506,0))="","",INDEX('REGISTRE TUBES'!$C$7:$C$2506,MATCH($C1938,'REGISTRE TUBES'!$B$7:$B$2506,0))),"?"))</f>
        <v>15421107</v>
      </c>
      <c r="E1938" s="100" t="str">
        <f aca="false">IF($C1938="","",IFERROR(IF(INDEX('REGISTRE TUBES'!$D$7:$D$2506,MATCH($C1938,'REGISTRE TUBES'!$B$7:$B$2506,0))="","",INDEX('REGISTRE TUBES'!$D$7:$D$2506,MATCH($C1938,'REGISTRE TUBES'!$B$7:$B$2506,0))),"?"))</f>
        <v/>
      </c>
      <c r="F1938" s="101" t="n">
        <f aca="false">IF($C1938="","",IFERROR(IF(INDEX('REGISTRE TUBES'!$F$7:$F$2506,MATCH($C1938,'REGISTRE TUBES'!$B$7:$B$2506,0))="","",INDEX('REGISTRE TUBES'!$F$7:$F$2506,MATCH($C1938,'REGISTRE TUBES'!$B$7:$B$2506,0))),"?"))</f>
        <v>11.94</v>
      </c>
      <c r="G1938" s="102" t="n">
        <f aca="false">IF($C1938="","",N(G1937)+N(F1938))</f>
        <v>15604.7700000002</v>
      </c>
      <c r="H1938" s="103" t="s">
        <v>2976</v>
      </c>
      <c r="I1938" s="104"/>
      <c r="J1938" s="105"/>
    </row>
    <row r="1939" customFormat="false" ht="15" hidden="false" customHeight="false" outlineLevel="0" collapsed="false">
      <c r="B1939" s="90" t="n">
        <v>1314</v>
      </c>
      <c r="C1939" s="91" t="n">
        <v>2088250</v>
      </c>
      <c r="D1939" s="92" t="n">
        <f aca="false">IF($C1939="","",IFERROR(IF(INDEX('REGISTRE TUBES'!$C$7:$C$2506,MATCH($C1939,'REGISTRE TUBES'!$B$7:$B$2506,0))="","",INDEX('REGISTRE TUBES'!$C$7:$C$2506,MATCH($C1939,'REGISTRE TUBES'!$B$7:$B$2506,0))),"?"))</f>
        <v>15421108</v>
      </c>
      <c r="E1939" s="92" t="str">
        <f aca="false">IF($C1939="","",IFERROR(IF(INDEX('REGISTRE TUBES'!$D$7:$D$2506,MATCH($C1939,'REGISTRE TUBES'!$B$7:$B$2506,0))="","",INDEX('REGISTRE TUBES'!$D$7:$D$2506,MATCH($C1939,'REGISTRE TUBES'!$B$7:$B$2506,0))),"?"))</f>
        <v/>
      </c>
      <c r="F1939" s="93" t="n">
        <f aca="false">IF($C1939="","",IFERROR(IF(INDEX('REGISTRE TUBES'!$F$7:$F$2506,MATCH($C1939,'REGISTRE TUBES'!$B$7:$B$2506,0))="","",INDEX('REGISTRE TUBES'!$F$7:$F$2506,MATCH($C1939,'REGISTRE TUBES'!$B$7:$B$2506,0))),"?"))</f>
        <v>11.94</v>
      </c>
      <c r="G1939" s="94" t="n">
        <f aca="false">IF($C1939="","",N(G1938)+N(F1939))</f>
        <v>15616.7100000002</v>
      </c>
      <c r="H1939" s="95" t="s">
        <v>2977</v>
      </c>
      <c r="I1939" s="96"/>
      <c r="J1939" s="97"/>
    </row>
    <row r="1940" customFormat="false" ht="15" hidden="false" customHeight="false" outlineLevel="0" collapsed="false">
      <c r="B1940" s="98" t="n">
        <v>1315</v>
      </c>
      <c r="C1940" s="99" t="n">
        <v>2089340</v>
      </c>
      <c r="D1940" s="100" t="n">
        <f aca="false">IF($C1940="","",IFERROR(IF(INDEX('REGISTRE TUBES'!$C$7:$C$2506,MATCH($C1940,'REGISTRE TUBES'!$B$7:$B$2506,0))="","",INDEX('REGISTRE TUBES'!$C$7:$C$2506,MATCH($C1940,'REGISTRE TUBES'!$B$7:$B$2506,0))),"?"))</f>
        <v>15421108</v>
      </c>
      <c r="E1940" s="100" t="str">
        <f aca="false">IF($C1940="","",IFERROR(IF(INDEX('REGISTRE TUBES'!$D$7:$D$2506,MATCH($C1940,'REGISTRE TUBES'!$B$7:$B$2506,0))="","",INDEX('REGISTRE TUBES'!$D$7:$D$2506,MATCH($C1940,'REGISTRE TUBES'!$B$7:$B$2506,0))),"?"))</f>
        <v/>
      </c>
      <c r="F1940" s="101" t="n">
        <f aca="false">IF($C1940="","",IFERROR(IF(INDEX('REGISTRE TUBES'!$F$7:$F$2506,MATCH($C1940,'REGISTRE TUBES'!$B$7:$B$2506,0))="","",INDEX('REGISTRE TUBES'!$F$7:$F$2506,MATCH($C1940,'REGISTRE TUBES'!$B$7:$B$2506,0))),"?"))</f>
        <v>11.94</v>
      </c>
      <c r="G1940" s="102" t="n">
        <f aca="false">IF($C1940="","",N(G1939)+N(F1940))</f>
        <v>15628.6500000002</v>
      </c>
      <c r="H1940" s="103" t="s">
        <v>2978</v>
      </c>
      <c r="I1940" s="104"/>
      <c r="J1940" s="105"/>
    </row>
    <row r="1941" customFormat="false" ht="15" hidden="false" customHeight="false" outlineLevel="0" collapsed="false">
      <c r="B1941" s="90" t="n">
        <v>1316</v>
      </c>
      <c r="C1941" s="91" t="n">
        <v>2083950</v>
      </c>
      <c r="D1941" s="92" t="n">
        <f aca="false">IF($C1941="","",IFERROR(IF(INDEX('REGISTRE TUBES'!$C$7:$C$2506,MATCH($C1941,'REGISTRE TUBES'!$B$7:$B$2506,0))="","",INDEX('REGISTRE TUBES'!$C$7:$C$2506,MATCH($C1941,'REGISTRE TUBES'!$B$7:$B$2506,0))),"?"))</f>
        <v>15421101</v>
      </c>
      <c r="E1941" s="92" t="str">
        <f aca="false">IF($C1941="","",IFERROR(IF(INDEX('REGISTRE TUBES'!$D$7:$D$2506,MATCH($C1941,'REGISTRE TUBES'!$B$7:$B$2506,0))="","",INDEX('REGISTRE TUBES'!$D$7:$D$2506,MATCH($C1941,'REGISTRE TUBES'!$B$7:$B$2506,0))),"?"))</f>
        <v/>
      </c>
      <c r="F1941" s="93" t="n">
        <f aca="false">IF($C1941="","",IFERROR(IF(INDEX('REGISTRE TUBES'!$F$7:$F$2506,MATCH($C1941,'REGISTRE TUBES'!$B$7:$B$2506,0))="","",INDEX('REGISTRE TUBES'!$F$7:$F$2506,MATCH($C1941,'REGISTRE TUBES'!$B$7:$B$2506,0))),"?"))</f>
        <v>11.94</v>
      </c>
      <c r="G1941" s="94" t="n">
        <f aca="false">IF($C1941="","",N(G1940)+N(F1941))</f>
        <v>15640.5900000002</v>
      </c>
      <c r="H1941" s="95" t="s">
        <v>2979</v>
      </c>
      <c r="I1941" s="96"/>
      <c r="J1941" s="97"/>
    </row>
    <row r="1942" customFormat="false" ht="15" hidden="false" customHeight="false" outlineLevel="0" collapsed="false">
      <c r="B1942" s="98" t="n">
        <v>1317</v>
      </c>
      <c r="C1942" s="99" t="n">
        <v>2083110</v>
      </c>
      <c r="D1942" s="100" t="n">
        <f aca="false">IF($C1942="","",IFERROR(IF(INDEX('REGISTRE TUBES'!$C$7:$C$2506,MATCH($C1942,'REGISTRE TUBES'!$B$7:$B$2506,0))="","",INDEX('REGISTRE TUBES'!$C$7:$C$2506,MATCH($C1942,'REGISTRE TUBES'!$B$7:$B$2506,0))),"?"))</f>
        <v>15421108</v>
      </c>
      <c r="E1942" s="100" t="str">
        <f aca="false">IF($C1942="","",IFERROR(IF(INDEX('REGISTRE TUBES'!$D$7:$D$2506,MATCH($C1942,'REGISTRE TUBES'!$B$7:$B$2506,0))="","",INDEX('REGISTRE TUBES'!$D$7:$D$2506,MATCH($C1942,'REGISTRE TUBES'!$B$7:$B$2506,0))),"?"))</f>
        <v/>
      </c>
      <c r="F1942" s="101" t="n">
        <f aca="false">IF($C1942="","",IFERROR(IF(INDEX('REGISTRE TUBES'!$F$7:$F$2506,MATCH($C1942,'REGISTRE TUBES'!$B$7:$B$2506,0))="","",INDEX('REGISTRE TUBES'!$F$7:$F$2506,MATCH($C1942,'REGISTRE TUBES'!$B$7:$B$2506,0))),"?"))</f>
        <v>11.94</v>
      </c>
      <c r="G1942" s="102" t="n">
        <f aca="false">IF($C1942="","",N(G1941)+N(F1942))</f>
        <v>15652.5300000002</v>
      </c>
      <c r="H1942" s="103" t="s">
        <v>2980</v>
      </c>
      <c r="I1942" s="104"/>
      <c r="J1942" s="105"/>
    </row>
    <row r="1943" customFormat="false" ht="15" hidden="false" customHeight="false" outlineLevel="0" collapsed="false">
      <c r="B1943" s="90" t="n">
        <v>1318</v>
      </c>
      <c r="C1943" s="91" t="n">
        <v>2096190</v>
      </c>
      <c r="D1943" s="92" t="n">
        <f aca="false">IF($C1943="","",IFERROR(IF(INDEX('REGISTRE TUBES'!$C$7:$C$2506,MATCH($C1943,'REGISTRE TUBES'!$B$7:$B$2506,0))="","",INDEX('REGISTRE TUBES'!$C$7:$C$2506,MATCH($C1943,'REGISTRE TUBES'!$B$7:$B$2506,0))),"?"))</f>
        <v>15421111</v>
      </c>
      <c r="E1943" s="92" t="str">
        <f aca="false">IF($C1943="","",IFERROR(IF(INDEX('REGISTRE TUBES'!$D$7:$D$2506,MATCH($C1943,'REGISTRE TUBES'!$B$7:$B$2506,0))="","",INDEX('REGISTRE TUBES'!$D$7:$D$2506,MATCH($C1943,'REGISTRE TUBES'!$B$7:$B$2506,0))),"?"))</f>
        <v/>
      </c>
      <c r="F1943" s="93" t="n">
        <f aca="false">IF($C1943="","",IFERROR(IF(INDEX('REGISTRE TUBES'!$F$7:$F$2506,MATCH($C1943,'REGISTRE TUBES'!$B$7:$B$2506,0))="","",INDEX('REGISTRE TUBES'!$F$7:$F$2506,MATCH($C1943,'REGISTRE TUBES'!$B$7:$B$2506,0))),"?"))</f>
        <v>11.94</v>
      </c>
      <c r="G1943" s="94" t="n">
        <f aca="false">IF($C1943="","",N(G1942)+N(F1943))</f>
        <v>15664.4700000002</v>
      </c>
      <c r="H1943" s="95" t="s">
        <v>2981</v>
      </c>
      <c r="I1943" s="96"/>
      <c r="J1943" s="97"/>
    </row>
    <row r="1944" customFormat="false" ht="15" hidden="false" customHeight="false" outlineLevel="0" collapsed="false">
      <c r="B1944" s="98" t="n">
        <v>1319</v>
      </c>
      <c r="C1944" s="99" t="n">
        <v>2095020</v>
      </c>
      <c r="D1944" s="100" t="n">
        <f aca="false">IF($C1944="","",IFERROR(IF(INDEX('REGISTRE TUBES'!$C$7:$C$2506,MATCH($C1944,'REGISTRE TUBES'!$B$7:$B$2506,0))="","",INDEX('REGISTRE TUBES'!$C$7:$C$2506,MATCH($C1944,'REGISTRE TUBES'!$B$7:$B$2506,0))),"?"))</f>
        <v>15421111</v>
      </c>
      <c r="E1944" s="100" t="str">
        <f aca="false">IF($C1944="","",IFERROR(IF(INDEX('REGISTRE TUBES'!$D$7:$D$2506,MATCH($C1944,'REGISTRE TUBES'!$B$7:$B$2506,0))="","",INDEX('REGISTRE TUBES'!$D$7:$D$2506,MATCH($C1944,'REGISTRE TUBES'!$B$7:$B$2506,0))),"?"))</f>
        <v/>
      </c>
      <c r="F1944" s="101" t="n">
        <f aca="false">IF($C1944="","",IFERROR(IF(INDEX('REGISTRE TUBES'!$F$7:$F$2506,MATCH($C1944,'REGISTRE TUBES'!$B$7:$B$2506,0))="","",INDEX('REGISTRE TUBES'!$F$7:$F$2506,MATCH($C1944,'REGISTRE TUBES'!$B$7:$B$2506,0))),"?"))</f>
        <v>11.94</v>
      </c>
      <c r="G1944" s="102" t="n">
        <f aca="false">IF($C1944="","",N(G1943)+N(F1944))</f>
        <v>15676.4100000002</v>
      </c>
      <c r="H1944" s="103" t="s">
        <v>2982</v>
      </c>
      <c r="I1944" s="104"/>
      <c r="J1944" s="105"/>
    </row>
    <row r="1945" customFormat="false" ht="15" hidden="false" customHeight="false" outlineLevel="0" collapsed="false">
      <c r="B1945" s="90" t="n">
        <v>1320</v>
      </c>
      <c r="C1945" s="91" t="n">
        <v>2091710</v>
      </c>
      <c r="D1945" s="92" t="n">
        <f aca="false">IF($C1945="","",IFERROR(IF(INDEX('REGISTRE TUBES'!$C$7:$C$2506,MATCH($C1945,'REGISTRE TUBES'!$B$7:$B$2506,0))="","",INDEX('REGISTRE TUBES'!$C$7:$C$2506,MATCH($C1945,'REGISTRE TUBES'!$B$7:$B$2506,0))),"?"))</f>
        <v>15421109</v>
      </c>
      <c r="E1945" s="92" t="str">
        <f aca="false">IF($C1945="","",IFERROR(IF(INDEX('REGISTRE TUBES'!$D$7:$D$2506,MATCH($C1945,'REGISTRE TUBES'!$B$7:$B$2506,0))="","",INDEX('REGISTRE TUBES'!$D$7:$D$2506,MATCH($C1945,'REGISTRE TUBES'!$B$7:$B$2506,0))),"?"))</f>
        <v/>
      </c>
      <c r="F1945" s="93" t="n">
        <f aca="false">IF($C1945="","",IFERROR(IF(INDEX('REGISTRE TUBES'!$F$7:$F$2506,MATCH($C1945,'REGISTRE TUBES'!$B$7:$B$2506,0))="","",INDEX('REGISTRE TUBES'!$F$7:$F$2506,MATCH($C1945,'REGISTRE TUBES'!$B$7:$B$2506,0))),"?"))</f>
        <v>11.94</v>
      </c>
      <c r="G1945" s="94" t="n">
        <f aca="false">IF($C1945="","",N(G1944)+N(F1945))</f>
        <v>15688.3500000002</v>
      </c>
      <c r="H1945" s="95" t="s">
        <v>2983</v>
      </c>
      <c r="I1945" s="96"/>
      <c r="J1945" s="97"/>
    </row>
    <row r="1946" customFormat="false" ht="15" hidden="false" customHeight="false" outlineLevel="0" collapsed="false">
      <c r="B1946" s="98" t="n">
        <v>1321</v>
      </c>
      <c r="C1946" s="99" t="n">
        <v>2083440</v>
      </c>
      <c r="D1946" s="100" t="n">
        <f aca="false">IF($C1946="","",IFERROR(IF(INDEX('REGISTRE TUBES'!$C$7:$C$2506,MATCH($C1946,'REGISTRE TUBES'!$B$7:$B$2506,0))="","",INDEX('REGISTRE TUBES'!$C$7:$C$2506,MATCH($C1946,'REGISTRE TUBES'!$B$7:$B$2506,0))),"?"))</f>
        <v>15421105</v>
      </c>
      <c r="E1946" s="100" t="str">
        <f aca="false">IF($C1946="","",IFERROR(IF(INDEX('REGISTRE TUBES'!$D$7:$D$2506,MATCH($C1946,'REGISTRE TUBES'!$B$7:$B$2506,0))="","",INDEX('REGISTRE TUBES'!$D$7:$D$2506,MATCH($C1946,'REGISTRE TUBES'!$B$7:$B$2506,0))),"?"))</f>
        <v/>
      </c>
      <c r="F1946" s="101" t="n">
        <f aca="false">IF($C1946="","",IFERROR(IF(INDEX('REGISTRE TUBES'!$F$7:$F$2506,MATCH($C1946,'REGISTRE TUBES'!$B$7:$B$2506,0))="","",INDEX('REGISTRE TUBES'!$F$7:$F$2506,MATCH($C1946,'REGISTRE TUBES'!$B$7:$B$2506,0))),"?"))</f>
        <v>11.94</v>
      </c>
      <c r="G1946" s="102" t="n">
        <f aca="false">IF($C1946="","",N(G1945)+N(F1946))</f>
        <v>15700.2900000002</v>
      </c>
      <c r="H1946" s="103" t="s">
        <v>2985</v>
      </c>
      <c r="I1946" s="104"/>
      <c r="J1946" s="105"/>
    </row>
    <row r="1947" customFormat="false" ht="15" hidden="false" customHeight="false" outlineLevel="0" collapsed="false">
      <c r="B1947" s="90" t="n">
        <v>1322</v>
      </c>
      <c r="C1947" s="91" t="n">
        <v>2083380</v>
      </c>
      <c r="D1947" s="92" t="n">
        <f aca="false">IF($C1947="","",IFERROR(IF(INDEX('REGISTRE TUBES'!$C$7:$C$2506,MATCH($C1947,'REGISTRE TUBES'!$B$7:$B$2506,0))="","",INDEX('REGISTRE TUBES'!$C$7:$C$2506,MATCH($C1947,'REGISTRE TUBES'!$B$7:$B$2506,0))),"?"))</f>
        <v>15421105</v>
      </c>
      <c r="E1947" s="92" t="str">
        <f aca="false">IF($C1947="","",IFERROR(IF(INDEX('REGISTRE TUBES'!$D$7:$D$2506,MATCH($C1947,'REGISTRE TUBES'!$B$7:$B$2506,0))="","",INDEX('REGISTRE TUBES'!$D$7:$D$2506,MATCH($C1947,'REGISTRE TUBES'!$B$7:$B$2506,0))),"?"))</f>
        <v/>
      </c>
      <c r="F1947" s="93" t="n">
        <f aca="false">IF($C1947="","",IFERROR(IF(INDEX('REGISTRE TUBES'!$F$7:$F$2506,MATCH($C1947,'REGISTRE TUBES'!$B$7:$B$2506,0))="","",INDEX('REGISTRE TUBES'!$F$7:$F$2506,MATCH($C1947,'REGISTRE TUBES'!$B$7:$B$2506,0))),"?"))</f>
        <v>11.94</v>
      </c>
      <c r="G1947" s="94" t="n">
        <f aca="false">IF($C1947="","",N(G1946)+N(F1947))</f>
        <v>15712.2300000002</v>
      </c>
      <c r="H1947" s="95" t="s">
        <v>2986</v>
      </c>
      <c r="I1947" s="96"/>
      <c r="J1947" s="97"/>
    </row>
    <row r="1948" customFormat="false" ht="15" hidden="false" customHeight="false" outlineLevel="0" collapsed="false">
      <c r="B1948" s="98" t="n">
        <v>1323</v>
      </c>
      <c r="C1948" s="99" t="n">
        <v>2085840</v>
      </c>
      <c r="D1948" s="100" t="n">
        <f aca="false">IF($C1948="","",IFERROR(IF(INDEX('REGISTRE TUBES'!$C$7:$C$2506,MATCH($C1948,'REGISTRE TUBES'!$B$7:$B$2506,0))="","",INDEX('REGISTRE TUBES'!$C$7:$C$2506,MATCH($C1948,'REGISTRE TUBES'!$B$7:$B$2506,0))),"?"))</f>
        <v>15421107</v>
      </c>
      <c r="E1948" s="100" t="str">
        <f aca="false">IF($C1948="","",IFERROR(IF(INDEX('REGISTRE TUBES'!$D$7:$D$2506,MATCH($C1948,'REGISTRE TUBES'!$B$7:$B$2506,0))="","",INDEX('REGISTRE TUBES'!$D$7:$D$2506,MATCH($C1948,'REGISTRE TUBES'!$B$7:$B$2506,0))),"?"))</f>
        <v/>
      </c>
      <c r="F1948" s="101" t="n">
        <f aca="false">IF($C1948="","",IFERROR(IF(INDEX('REGISTRE TUBES'!$F$7:$F$2506,MATCH($C1948,'REGISTRE TUBES'!$B$7:$B$2506,0))="","",INDEX('REGISTRE TUBES'!$F$7:$F$2506,MATCH($C1948,'REGISTRE TUBES'!$B$7:$B$2506,0))),"?"))</f>
        <v>11.94</v>
      </c>
      <c r="G1948" s="102" t="n">
        <f aca="false">IF($C1948="","",N(G1947)+N(F1948))</f>
        <v>15724.1700000002</v>
      </c>
      <c r="H1948" s="103" t="s">
        <v>2987</v>
      </c>
      <c r="I1948" s="104"/>
      <c r="J1948" s="105"/>
    </row>
    <row r="1949" customFormat="false" ht="15" hidden="false" customHeight="false" outlineLevel="0" collapsed="false">
      <c r="B1949" s="90" t="n">
        <v>1324</v>
      </c>
      <c r="C1949" s="91" t="n">
        <v>2089640</v>
      </c>
      <c r="D1949" s="92" t="n">
        <f aca="false">IF($C1949="","",IFERROR(IF(INDEX('REGISTRE TUBES'!$C$7:$C$2506,MATCH($C1949,'REGISTRE TUBES'!$B$7:$B$2506,0))="","",INDEX('REGISTRE TUBES'!$C$7:$C$2506,MATCH($C1949,'REGISTRE TUBES'!$B$7:$B$2506,0))),"?"))</f>
        <v>15421109</v>
      </c>
      <c r="E1949" s="92" t="str">
        <f aca="false">IF($C1949="","",IFERROR(IF(INDEX('REGISTRE TUBES'!$D$7:$D$2506,MATCH($C1949,'REGISTRE TUBES'!$B$7:$B$2506,0))="","",INDEX('REGISTRE TUBES'!$D$7:$D$2506,MATCH($C1949,'REGISTRE TUBES'!$B$7:$B$2506,0))),"?"))</f>
        <v/>
      </c>
      <c r="F1949" s="93" t="n">
        <f aca="false">IF($C1949="","",IFERROR(IF(INDEX('REGISTRE TUBES'!$F$7:$F$2506,MATCH($C1949,'REGISTRE TUBES'!$B$7:$B$2506,0))="","",INDEX('REGISTRE TUBES'!$F$7:$F$2506,MATCH($C1949,'REGISTRE TUBES'!$B$7:$B$2506,0))),"?"))</f>
        <v>11.94</v>
      </c>
      <c r="G1949" s="94" t="n">
        <f aca="false">IF($C1949="","",N(G1948)+N(F1949))</f>
        <v>15736.1100000002</v>
      </c>
      <c r="H1949" s="95" t="s">
        <v>2988</v>
      </c>
      <c r="I1949" s="96"/>
      <c r="J1949" s="97"/>
    </row>
    <row r="1950" customFormat="false" ht="15" hidden="false" customHeight="false" outlineLevel="0" collapsed="false">
      <c r="B1950" s="98" t="n">
        <v>1325</v>
      </c>
      <c r="C1950" s="99" t="n">
        <v>2090650</v>
      </c>
      <c r="D1950" s="100" t="n">
        <f aca="false">IF($C1950="","",IFERROR(IF(INDEX('REGISTRE TUBES'!$C$7:$C$2506,MATCH($C1950,'REGISTRE TUBES'!$B$7:$B$2506,0))="","",INDEX('REGISTRE TUBES'!$C$7:$C$2506,MATCH($C1950,'REGISTRE TUBES'!$B$7:$B$2506,0))),"?"))</f>
        <v>15421106</v>
      </c>
      <c r="E1950" s="100" t="str">
        <f aca="false">IF($C1950="","",IFERROR(IF(INDEX('REGISTRE TUBES'!$D$7:$D$2506,MATCH($C1950,'REGISTRE TUBES'!$B$7:$B$2506,0))="","",INDEX('REGISTRE TUBES'!$D$7:$D$2506,MATCH($C1950,'REGISTRE TUBES'!$B$7:$B$2506,0))),"?"))</f>
        <v/>
      </c>
      <c r="F1950" s="101" t="n">
        <f aca="false">IF($C1950="","",IFERROR(IF(INDEX('REGISTRE TUBES'!$F$7:$F$2506,MATCH($C1950,'REGISTRE TUBES'!$B$7:$B$2506,0))="","",INDEX('REGISTRE TUBES'!$F$7:$F$2506,MATCH($C1950,'REGISTRE TUBES'!$B$7:$B$2506,0))),"?"))</f>
        <v>11.94</v>
      </c>
      <c r="G1950" s="102" t="n">
        <f aca="false">IF($C1950="","",N(G1949)+N(F1950))</f>
        <v>15748.0500000002</v>
      </c>
      <c r="H1950" s="103" t="s">
        <v>2990</v>
      </c>
      <c r="I1950" s="104"/>
      <c r="J1950" s="105"/>
    </row>
    <row r="1951" customFormat="false" ht="15" hidden="false" customHeight="false" outlineLevel="0" collapsed="false">
      <c r="B1951" s="90" t="n">
        <v>1326</v>
      </c>
      <c r="C1951" s="91" t="n">
        <v>2048440</v>
      </c>
      <c r="D1951" s="92" t="n">
        <f aca="false">IF($C1951="","",IFERROR(IF(INDEX('REGISTRE TUBES'!$C$7:$C$2506,MATCH($C1951,'REGISTRE TUBES'!$B$7:$B$2506,0))="","",INDEX('REGISTRE TUBES'!$C$7:$C$2506,MATCH($C1951,'REGISTRE TUBES'!$B$7:$B$2506,0))),"?"))</f>
        <v>15421100</v>
      </c>
      <c r="E1951" s="92" t="str">
        <f aca="false">IF($C1951="","",IFERROR(IF(INDEX('REGISTRE TUBES'!$D$7:$D$2506,MATCH($C1951,'REGISTRE TUBES'!$B$7:$B$2506,0))="","",INDEX('REGISTRE TUBES'!$D$7:$D$2506,MATCH($C1951,'REGISTRE TUBES'!$B$7:$B$2506,0))),"?"))</f>
        <v/>
      </c>
      <c r="F1951" s="93" t="n">
        <f aca="false">IF($C1951="","",IFERROR(IF(INDEX('REGISTRE TUBES'!$F$7:$F$2506,MATCH($C1951,'REGISTRE TUBES'!$B$7:$B$2506,0))="","",INDEX('REGISTRE TUBES'!$F$7:$F$2506,MATCH($C1951,'REGISTRE TUBES'!$B$7:$B$2506,0))),"?"))</f>
        <v>11.94</v>
      </c>
      <c r="G1951" s="94" t="n">
        <f aca="false">IF($C1951="","",N(G1950)+N(F1951))</f>
        <v>15759.9900000002</v>
      </c>
      <c r="H1951" s="95" t="s">
        <v>2991</v>
      </c>
      <c r="I1951" s="96"/>
      <c r="J1951" s="97"/>
    </row>
    <row r="1952" customFormat="false" ht="15" hidden="false" customHeight="false" outlineLevel="0" collapsed="false">
      <c r="B1952" s="98" t="n">
        <v>1327</v>
      </c>
      <c r="C1952" s="99" t="n">
        <v>2086580</v>
      </c>
      <c r="D1952" s="100" t="n">
        <f aca="false">IF($C1952="","",IFERROR(IF(INDEX('REGISTRE TUBES'!$C$7:$C$2506,MATCH($C1952,'REGISTRE TUBES'!$B$7:$B$2506,0))="","",INDEX('REGISTRE TUBES'!$C$7:$C$2506,MATCH($C1952,'REGISTRE TUBES'!$B$7:$B$2506,0))),"?"))</f>
        <v>15421111</v>
      </c>
      <c r="E1952" s="100" t="str">
        <f aca="false">IF($C1952="","",IFERROR(IF(INDEX('REGISTRE TUBES'!$D$7:$D$2506,MATCH($C1952,'REGISTRE TUBES'!$B$7:$B$2506,0))="","",INDEX('REGISTRE TUBES'!$D$7:$D$2506,MATCH($C1952,'REGISTRE TUBES'!$B$7:$B$2506,0))),"?"))</f>
        <v/>
      </c>
      <c r="F1952" s="101" t="n">
        <f aca="false">IF($C1952="","",IFERROR(IF(INDEX('REGISTRE TUBES'!$F$7:$F$2506,MATCH($C1952,'REGISTRE TUBES'!$B$7:$B$2506,0))="","",INDEX('REGISTRE TUBES'!$F$7:$F$2506,MATCH($C1952,'REGISTRE TUBES'!$B$7:$B$2506,0))),"?"))</f>
        <v>11.94</v>
      </c>
      <c r="G1952" s="102" t="n">
        <f aca="false">IF($C1952="","",N(G1951)+N(F1952))</f>
        <v>15771.9300000002</v>
      </c>
      <c r="H1952" s="103" t="s">
        <v>2992</v>
      </c>
      <c r="I1952" s="104"/>
      <c r="J1952" s="105"/>
    </row>
    <row r="1953" customFormat="false" ht="15" hidden="false" customHeight="false" outlineLevel="0" collapsed="false">
      <c r="B1953" s="90" t="n">
        <v>1328</v>
      </c>
      <c r="C1953" s="91" t="n">
        <v>2095150</v>
      </c>
      <c r="D1953" s="92" t="n">
        <f aca="false">IF($C1953="","",IFERROR(IF(INDEX('REGISTRE TUBES'!$C$7:$C$2506,MATCH($C1953,'REGISTRE TUBES'!$B$7:$B$2506,0))="","",INDEX('REGISTRE TUBES'!$C$7:$C$2506,MATCH($C1953,'REGISTRE TUBES'!$B$7:$B$2506,0))),"?"))</f>
        <v>15421111</v>
      </c>
      <c r="E1953" s="92" t="str">
        <f aca="false">IF($C1953="","",IFERROR(IF(INDEX('REGISTRE TUBES'!$D$7:$D$2506,MATCH($C1953,'REGISTRE TUBES'!$B$7:$B$2506,0))="","",INDEX('REGISTRE TUBES'!$D$7:$D$2506,MATCH($C1953,'REGISTRE TUBES'!$B$7:$B$2506,0))),"?"))</f>
        <v/>
      </c>
      <c r="F1953" s="93" t="n">
        <f aca="false">IF($C1953="","",IFERROR(IF(INDEX('REGISTRE TUBES'!$F$7:$F$2506,MATCH($C1953,'REGISTRE TUBES'!$B$7:$B$2506,0))="","",INDEX('REGISTRE TUBES'!$F$7:$F$2506,MATCH($C1953,'REGISTRE TUBES'!$B$7:$B$2506,0))),"?"))</f>
        <v>11.94</v>
      </c>
      <c r="G1953" s="94" t="n">
        <f aca="false">IF($C1953="","",N(G1952)+N(F1953))</f>
        <v>15783.8700000002</v>
      </c>
      <c r="H1953" s="95" t="s">
        <v>2993</v>
      </c>
      <c r="I1953" s="96"/>
      <c r="J1953" s="97"/>
    </row>
    <row r="1954" customFormat="false" ht="15" hidden="false" customHeight="false" outlineLevel="0" collapsed="false">
      <c r="B1954" s="98" t="n">
        <v>1329</v>
      </c>
      <c r="C1954" s="99" t="n">
        <v>2095980</v>
      </c>
      <c r="D1954" s="100" t="n">
        <f aca="false">IF($C1954="","",IFERROR(IF(INDEX('REGISTRE TUBES'!$C$7:$C$2506,MATCH($C1954,'REGISTRE TUBES'!$B$7:$B$2506,0))="","",INDEX('REGISTRE TUBES'!$C$7:$C$2506,MATCH($C1954,'REGISTRE TUBES'!$B$7:$B$2506,0))),"?"))</f>
        <v>15421104</v>
      </c>
      <c r="E1954" s="100" t="str">
        <f aca="false">IF($C1954="","",IFERROR(IF(INDEX('REGISTRE TUBES'!$D$7:$D$2506,MATCH($C1954,'REGISTRE TUBES'!$B$7:$B$2506,0))="","",INDEX('REGISTRE TUBES'!$D$7:$D$2506,MATCH($C1954,'REGISTRE TUBES'!$B$7:$B$2506,0))),"?"))</f>
        <v/>
      </c>
      <c r="F1954" s="101" t="n">
        <f aca="false">IF($C1954="","",IFERROR(IF(INDEX('REGISTRE TUBES'!$F$7:$F$2506,MATCH($C1954,'REGISTRE TUBES'!$B$7:$B$2506,0))="","",INDEX('REGISTRE TUBES'!$F$7:$F$2506,MATCH($C1954,'REGISTRE TUBES'!$B$7:$B$2506,0))),"?"))</f>
        <v>11.94</v>
      </c>
      <c r="G1954" s="102" t="n">
        <f aca="false">IF($C1954="","",N(G1953)+N(F1954))</f>
        <v>15795.8100000002</v>
      </c>
      <c r="H1954" s="103" t="s">
        <v>2994</v>
      </c>
      <c r="I1954" s="104"/>
      <c r="J1954" s="105"/>
    </row>
    <row r="1955" customFormat="false" ht="15" hidden="false" customHeight="false" outlineLevel="0" collapsed="false">
      <c r="B1955" s="90" t="n">
        <v>1330</v>
      </c>
      <c r="C1955" s="91" t="n">
        <v>2082320</v>
      </c>
      <c r="D1955" s="92" t="n">
        <f aca="false">IF($C1955="","",IFERROR(IF(INDEX('REGISTRE TUBES'!$C$7:$C$2506,MATCH($C1955,'REGISTRE TUBES'!$B$7:$B$2506,0))="","",INDEX('REGISTRE TUBES'!$C$7:$C$2506,MATCH($C1955,'REGISTRE TUBES'!$B$7:$B$2506,0))),"?"))</f>
        <v>15421108</v>
      </c>
      <c r="E1955" s="92" t="str">
        <f aca="false">IF($C1955="","",IFERROR(IF(INDEX('REGISTRE TUBES'!$D$7:$D$2506,MATCH($C1955,'REGISTRE TUBES'!$B$7:$B$2506,0))="","",INDEX('REGISTRE TUBES'!$D$7:$D$2506,MATCH($C1955,'REGISTRE TUBES'!$B$7:$B$2506,0))),"?"))</f>
        <v/>
      </c>
      <c r="F1955" s="93" t="n">
        <f aca="false">IF($C1955="","",IFERROR(IF(INDEX('REGISTRE TUBES'!$F$7:$F$2506,MATCH($C1955,'REGISTRE TUBES'!$B$7:$B$2506,0))="","",INDEX('REGISTRE TUBES'!$F$7:$F$2506,MATCH($C1955,'REGISTRE TUBES'!$B$7:$B$2506,0))),"?"))</f>
        <v>11.94</v>
      </c>
      <c r="G1955" s="94" t="n">
        <f aca="false">IF($C1955="","",N(G1954)+N(F1955))</f>
        <v>15807.7500000002</v>
      </c>
      <c r="H1955" s="95" t="s">
        <v>2995</v>
      </c>
      <c r="I1955" s="96"/>
      <c r="J1955" s="97"/>
    </row>
    <row r="1956" customFormat="false" ht="15" hidden="false" customHeight="true" outlineLevel="0" collapsed="false">
      <c r="B1956" s="106" t="s">
        <v>3031</v>
      </c>
      <c r="C1956" s="106"/>
      <c r="D1956" s="106"/>
      <c r="E1956" s="106"/>
      <c r="F1956" s="107" t="n">
        <f aca="false">SUM(F1937:F1955)</f>
        <v>226.86</v>
      </c>
      <c r="G1956" s="108" t="n">
        <f aca="false">IF(COUNT(G1937:G1955)=0,"",MAX(G1937:G1955))</f>
        <v>15807.7500000002</v>
      </c>
      <c r="H1956" s="106" t="str">
        <f aca="false">COUNTA(C1937:C1955)&amp;" tube(s)"</f>
        <v>19 tube(s)</v>
      </c>
      <c r="I1956" s="106"/>
      <c r="J1956" s="106"/>
    </row>
    <row r="1958" customFormat="false" ht="15" hidden="false" customHeight="false" outlineLevel="0" collapsed="false">
      <c r="B1958" s="109" t="s">
        <v>3032</v>
      </c>
      <c r="F1958" s="109" t="s">
        <v>3033</v>
      </c>
      <c r="I1958" s="109" t="s">
        <v>3034</v>
      </c>
    </row>
    <row r="1961" customFormat="false" ht="25.5" hidden="false" customHeight="true" outlineLevel="0" collapsed="false">
      <c r="B1961" s="85" t="s">
        <v>3015</v>
      </c>
      <c r="C1961" s="85"/>
      <c r="D1961" s="85"/>
      <c r="E1961" s="85"/>
      <c r="F1961" s="85"/>
      <c r="G1961" s="85"/>
      <c r="H1961" s="85"/>
      <c r="I1961" s="85"/>
      <c r="J1961" s="85"/>
    </row>
    <row r="1962" customFormat="false" ht="15" hidden="false" customHeight="false" outlineLevel="0" collapsed="false">
      <c r="B1962" s="86" t="str">
        <f aca="false">PARAMÈTRES!$C$4&amp;"   •   Affaire N° "&amp;PARAMÈTRES!$C$5</f>
        <v>Développement des champs gaziers TFT II — réseau de collecte TFT Sud (LIGNE-16)   •   Affaire N° 8546</v>
      </c>
      <c r="C1962" s="86"/>
      <c r="D1962" s="86"/>
      <c r="E1962" s="86"/>
      <c r="F1962" s="86"/>
      <c r="G1962" s="86"/>
      <c r="H1962" s="86"/>
      <c r="I1962" s="86"/>
      <c r="J1962" s="86"/>
    </row>
    <row r="1963" customFormat="false" ht="19.5" hidden="false" customHeight="true" outlineLevel="0" collapsed="false">
      <c r="B1963" s="87" t="s">
        <v>3016</v>
      </c>
      <c r="C1963" s="88" t="s">
        <v>110</v>
      </c>
      <c r="D1963" s="88"/>
      <c r="E1963" s="87" t="s">
        <v>3017</v>
      </c>
      <c r="F1963" s="88" t="s">
        <v>3173</v>
      </c>
      <c r="G1963" s="87" t="s">
        <v>3019</v>
      </c>
      <c r="H1963" s="88" t="s">
        <v>3174</v>
      </c>
      <c r="I1963" s="87" t="s">
        <v>3021</v>
      </c>
      <c r="J1963" s="89"/>
    </row>
    <row r="1964" customFormat="false" ht="27.75" hidden="false" customHeight="true" outlineLevel="0" collapsed="false">
      <c r="B1964" s="71" t="s">
        <v>3022</v>
      </c>
      <c r="C1964" s="71" t="s">
        <v>3023</v>
      </c>
      <c r="D1964" s="71" t="s">
        <v>3024</v>
      </c>
      <c r="E1964" s="71" t="s">
        <v>3025</v>
      </c>
      <c r="F1964" s="71" t="s">
        <v>3026</v>
      </c>
      <c r="G1964" s="71" t="s">
        <v>3027</v>
      </c>
      <c r="H1964" s="71" t="s">
        <v>3028</v>
      </c>
      <c r="I1964" s="71" t="s">
        <v>3029</v>
      </c>
      <c r="J1964" s="71" t="s">
        <v>3030</v>
      </c>
    </row>
    <row r="1965" customFormat="false" ht="15" hidden="false" customHeight="false" outlineLevel="0" collapsed="false">
      <c r="B1965" s="90" t="n">
        <v>1331</v>
      </c>
      <c r="C1965" s="91" t="n">
        <v>2087840</v>
      </c>
      <c r="D1965" s="92" t="n">
        <f aca="false">IF($C1965="","",IFERROR(IF(INDEX('REGISTRE TUBES'!$C$7:$C$2506,MATCH($C1965,'REGISTRE TUBES'!$B$7:$B$2506,0))="","",INDEX('REGISTRE TUBES'!$C$7:$C$2506,MATCH($C1965,'REGISTRE TUBES'!$B$7:$B$2506,0))),"?"))</f>
        <v>15421108</v>
      </c>
      <c r="E1965" s="92" t="str">
        <f aca="false">IF($C1965="","",IFERROR(IF(INDEX('REGISTRE TUBES'!$D$7:$D$2506,MATCH($C1965,'REGISTRE TUBES'!$B$7:$B$2506,0))="","",INDEX('REGISTRE TUBES'!$D$7:$D$2506,MATCH($C1965,'REGISTRE TUBES'!$B$7:$B$2506,0))),"?"))</f>
        <v/>
      </c>
      <c r="F1965" s="93" t="n">
        <f aca="false">IF($C1965="","",IFERROR(IF(INDEX('REGISTRE TUBES'!$F$7:$F$2506,MATCH($C1965,'REGISTRE TUBES'!$B$7:$B$2506,0))="","",INDEX('REGISTRE TUBES'!$F$7:$F$2506,MATCH($C1965,'REGISTRE TUBES'!$B$7:$B$2506,0))),"?"))</f>
        <v>11.94</v>
      </c>
      <c r="G1965" s="94" t="n">
        <f aca="false">IF($C1965="","",N(G1955)+N(F1965))</f>
        <v>15819.6900000002</v>
      </c>
      <c r="H1965" s="95" t="s">
        <v>2997</v>
      </c>
      <c r="I1965" s="96"/>
      <c r="J1965" s="97"/>
    </row>
    <row r="1966" customFormat="false" ht="15" hidden="false" customHeight="false" outlineLevel="0" collapsed="false">
      <c r="B1966" s="98" t="n">
        <v>1332</v>
      </c>
      <c r="C1966" s="99" t="n">
        <v>2087990</v>
      </c>
      <c r="D1966" s="100" t="n">
        <f aca="false">IF($C1966="","",IFERROR(IF(INDEX('REGISTRE TUBES'!$C$7:$C$2506,MATCH($C1966,'REGISTRE TUBES'!$B$7:$B$2506,0))="","",INDEX('REGISTRE TUBES'!$C$7:$C$2506,MATCH($C1966,'REGISTRE TUBES'!$B$7:$B$2506,0))),"?"))</f>
        <v>15421108</v>
      </c>
      <c r="E1966" s="100" t="str">
        <f aca="false">IF($C1966="","",IFERROR(IF(INDEX('REGISTRE TUBES'!$D$7:$D$2506,MATCH($C1966,'REGISTRE TUBES'!$B$7:$B$2506,0))="","",INDEX('REGISTRE TUBES'!$D$7:$D$2506,MATCH($C1966,'REGISTRE TUBES'!$B$7:$B$2506,0))),"?"))</f>
        <v/>
      </c>
      <c r="F1966" s="101" t="n">
        <f aca="false">IF($C1966="","",IFERROR(IF(INDEX('REGISTRE TUBES'!$F$7:$F$2506,MATCH($C1966,'REGISTRE TUBES'!$B$7:$B$2506,0))="","",INDEX('REGISTRE TUBES'!$F$7:$F$2506,MATCH($C1966,'REGISTRE TUBES'!$B$7:$B$2506,0))),"?"))</f>
        <v>11.94</v>
      </c>
      <c r="G1966" s="102" t="n">
        <f aca="false">IF($C1966="","",N(G1965)+N(F1966))</f>
        <v>15831.6300000002</v>
      </c>
      <c r="H1966" s="103" t="s">
        <v>2998</v>
      </c>
      <c r="I1966" s="104"/>
      <c r="J1966" s="105"/>
    </row>
    <row r="1967" customFormat="false" ht="15" hidden="false" customHeight="false" outlineLevel="0" collapsed="false">
      <c r="B1967" s="90" t="n">
        <v>1333</v>
      </c>
      <c r="C1967" s="91" t="n">
        <v>2082410</v>
      </c>
      <c r="D1967" s="92" t="n">
        <f aca="false">IF($C1967="","",IFERROR(IF(INDEX('REGISTRE TUBES'!$C$7:$C$2506,MATCH($C1967,'REGISTRE TUBES'!$B$7:$B$2506,0))="","",INDEX('REGISTRE TUBES'!$C$7:$C$2506,MATCH($C1967,'REGISTRE TUBES'!$B$7:$B$2506,0))),"?"))</f>
        <v>15421104</v>
      </c>
      <c r="E1967" s="92" t="str">
        <f aca="false">IF($C1967="","",IFERROR(IF(INDEX('REGISTRE TUBES'!$D$7:$D$2506,MATCH($C1967,'REGISTRE TUBES'!$B$7:$B$2506,0))="","",INDEX('REGISTRE TUBES'!$D$7:$D$2506,MATCH($C1967,'REGISTRE TUBES'!$B$7:$B$2506,0))),"?"))</f>
        <v/>
      </c>
      <c r="F1967" s="93" t="n">
        <f aca="false">IF($C1967="","",IFERROR(IF(INDEX('REGISTRE TUBES'!$F$7:$F$2506,MATCH($C1967,'REGISTRE TUBES'!$B$7:$B$2506,0))="","",INDEX('REGISTRE TUBES'!$F$7:$F$2506,MATCH($C1967,'REGISTRE TUBES'!$B$7:$B$2506,0))),"?"))</f>
        <v>11.94</v>
      </c>
      <c r="G1967" s="94" t="n">
        <f aca="false">IF($C1967="","",N(G1966)+N(F1967))</f>
        <v>15843.5700000002</v>
      </c>
      <c r="H1967" s="95" t="s">
        <v>2999</v>
      </c>
      <c r="I1967" s="96"/>
      <c r="J1967" s="97"/>
    </row>
    <row r="1968" customFormat="false" ht="15" hidden="false" customHeight="false" outlineLevel="0" collapsed="false">
      <c r="B1968" s="98" t="n">
        <v>1334</v>
      </c>
      <c r="C1968" s="99" t="n">
        <v>2089570</v>
      </c>
      <c r="D1968" s="100" t="n">
        <f aca="false">IF($C1968="","",IFERROR(IF(INDEX('REGISTRE TUBES'!$C$7:$C$2506,MATCH($C1968,'REGISTRE TUBES'!$B$7:$B$2506,0))="","",INDEX('REGISTRE TUBES'!$C$7:$C$2506,MATCH($C1968,'REGISTRE TUBES'!$B$7:$B$2506,0))),"?"))</f>
        <v>15421109</v>
      </c>
      <c r="E1968" s="100" t="str">
        <f aca="false">IF($C1968="","",IFERROR(IF(INDEX('REGISTRE TUBES'!$D$7:$D$2506,MATCH($C1968,'REGISTRE TUBES'!$B$7:$B$2506,0))="","",INDEX('REGISTRE TUBES'!$D$7:$D$2506,MATCH($C1968,'REGISTRE TUBES'!$B$7:$B$2506,0))),"?"))</f>
        <v/>
      </c>
      <c r="F1968" s="101" t="n">
        <f aca="false">IF($C1968="","",IFERROR(IF(INDEX('REGISTRE TUBES'!$F$7:$F$2506,MATCH($C1968,'REGISTRE TUBES'!$B$7:$B$2506,0))="","",INDEX('REGISTRE TUBES'!$F$7:$F$2506,MATCH($C1968,'REGISTRE TUBES'!$B$7:$B$2506,0))),"?"))</f>
        <v>11.94</v>
      </c>
      <c r="G1968" s="102" t="n">
        <f aca="false">IF($C1968="","",N(G1967)+N(F1968))</f>
        <v>15855.5100000002</v>
      </c>
      <c r="H1968" s="103" t="s">
        <v>3000</v>
      </c>
      <c r="I1968" s="104"/>
      <c r="J1968" s="105"/>
    </row>
    <row r="1969" customFormat="false" ht="15" hidden="false" customHeight="false" outlineLevel="0" collapsed="false">
      <c r="B1969" s="90" t="n">
        <v>1335</v>
      </c>
      <c r="C1969" s="91" t="n">
        <v>2081900</v>
      </c>
      <c r="D1969" s="92" t="n">
        <f aca="false">IF($C1969="","",IFERROR(IF(INDEX('REGISTRE TUBES'!$C$7:$C$2506,MATCH($C1969,'REGISTRE TUBES'!$B$7:$B$2506,0))="","",INDEX('REGISTRE TUBES'!$C$7:$C$2506,MATCH($C1969,'REGISTRE TUBES'!$B$7:$B$2506,0))),"?"))</f>
        <v>15421103</v>
      </c>
      <c r="E1969" s="92" t="str">
        <f aca="false">IF($C1969="","",IFERROR(IF(INDEX('REGISTRE TUBES'!$D$7:$D$2506,MATCH($C1969,'REGISTRE TUBES'!$B$7:$B$2506,0))="","",INDEX('REGISTRE TUBES'!$D$7:$D$2506,MATCH($C1969,'REGISTRE TUBES'!$B$7:$B$2506,0))),"?"))</f>
        <v/>
      </c>
      <c r="F1969" s="93" t="n">
        <f aca="false">IF($C1969="","",IFERROR(IF(INDEX('REGISTRE TUBES'!$F$7:$F$2506,MATCH($C1969,'REGISTRE TUBES'!$B$7:$B$2506,0))="","",INDEX('REGISTRE TUBES'!$F$7:$F$2506,MATCH($C1969,'REGISTRE TUBES'!$B$7:$B$2506,0))),"?"))</f>
        <v>11.94</v>
      </c>
      <c r="G1969" s="94" t="n">
        <f aca="false">IF($C1969="","",N(G1968)+N(F1969))</f>
        <v>15867.4500000002</v>
      </c>
      <c r="H1969" s="95" t="s">
        <v>3001</v>
      </c>
      <c r="I1969" s="96"/>
      <c r="J1969" s="97"/>
    </row>
    <row r="1970" customFormat="false" ht="15" hidden="false" customHeight="false" outlineLevel="0" collapsed="false">
      <c r="B1970" s="98" t="n">
        <v>1336</v>
      </c>
      <c r="C1970" s="99" t="n">
        <v>2079190</v>
      </c>
      <c r="D1970" s="100" t="n">
        <f aca="false">IF($C1970="","",IFERROR(IF(INDEX('REGISTRE TUBES'!$C$7:$C$2506,MATCH($C1970,'REGISTRE TUBES'!$B$7:$B$2506,0))="","",INDEX('REGISTRE TUBES'!$C$7:$C$2506,MATCH($C1970,'REGISTRE TUBES'!$B$7:$B$2506,0))),"?"))</f>
        <v>15421102</v>
      </c>
      <c r="E1970" s="100" t="str">
        <f aca="false">IF($C1970="","",IFERROR(IF(INDEX('REGISTRE TUBES'!$D$7:$D$2506,MATCH($C1970,'REGISTRE TUBES'!$B$7:$B$2506,0))="","",INDEX('REGISTRE TUBES'!$D$7:$D$2506,MATCH($C1970,'REGISTRE TUBES'!$B$7:$B$2506,0))),"?"))</f>
        <v/>
      </c>
      <c r="F1970" s="101" t="n">
        <f aca="false">IF($C1970="","",IFERROR(IF(INDEX('REGISTRE TUBES'!$F$7:$F$2506,MATCH($C1970,'REGISTRE TUBES'!$B$7:$B$2506,0))="","",INDEX('REGISTRE TUBES'!$F$7:$F$2506,MATCH($C1970,'REGISTRE TUBES'!$B$7:$B$2506,0))),"?"))</f>
        <v>11.94</v>
      </c>
      <c r="G1970" s="102" t="n">
        <f aca="false">IF($C1970="","",N(G1969)+N(F1970))</f>
        <v>15879.3900000002</v>
      </c>
      <c r="H1970" s="103" t="s">
        <v>3002</v>
      </c>
      <c r="I1970" s="104"/>
      <c r="J1970" s="105"/>
    </row>
    <row r="1971" customFormat="false" ht="15" hidden="false" customHeight="false" outlineLevel="0" collapsed="false">
      <c r="B1971" s="90" t="n">
        <v>1337</v>
      </c>
      <c r="C1971" s="91" t="n">
        <v>2096950</v>
      </c>
      <c r="D1971" s="92" t="n">
        <f aca="false">IF($C1971="","",IFERROR(IF(INDEX('REGISTRE TUBES'!$C$7:$C$2506,MATCH($C1971,'REGISTRE TUBES'!$B$7:$B$2506,0))="","",INDEX('REGISTRE TUBES'!$C$7:$C$2506,MATCH($C1971,'REGISTRE TUBES'!$B$7:$B$2506,0))),"?"))</f>
        <v>15421111</v>
      </c>
      <c r="E1971" s="92" t="str">
        <f aca="false">IF($C1971="","",IFERROR(IF(INDEX('REGISTRE TUBES'!$D$7:$D$2506,MATCH($C1971,'REGISTRE TUBES'!$B$7:$B$2506,0))="","",INDEX('REGISTRE TUBES'!$D$7:$D$2506,MATCH($C1971,'REGISTRE TUBES'!$B$7:$B$2506,0))),"?"))</f>
        <v/>
      </c>
      <c r="F1971" s="93" t="n">
        <f aca="false">IF($C1971="","",IFERROR(IF(INDEX('REGISTRE TUBES'!$F$7:$F$2506,MATCH($C1971,'REGISTRE TUBES'!$B$7:$B$2506,0))="","",INDEX('REGISTRE TUBES'!$F$7:$F$2506,MATCH($C1971,'REGISTRE TUBES'!$B$7:$B$2506,0))),"?"))</f>
        <v>11.94</v>
      </c>
      <c r="G1971" s="94" t="n">
        <f aca="false">IF($C1971="","",N(G1970)+N(F1971))</f>
        <v>15891.3300000002</v>
      </c>
      <c r="H1971" s="95" t="s">
        <v>3005</v>
      </c>
      <c r="I1971" s="96"/>
      <c r="J1971" s="97"/>
    </row>
    <row r="1972" customFormat="false" ht="15" hidden="false" customHeight="false" outlineLevel="0" collapsed="false">
      <c r="B1972" s="98" t="n">
        <v>1338</v>
      </c>
      <c r="C1972" s="99" t="n">
        <v>2097940</v>
      </c>
      <c r="D1972" s="100" t="n">
        <f aca="false">IF($C1972="","",IFERROR(IF(INDEX('REGISTRE TUBES'!$C$7:$C$2506,MATCH($C1972,'REGISTRE TUBES'!$B$7:$B$2506,0))="","",INDEX('REGISTRE TUBES'!$C$7:$C$2506,MATCH($C1972,'REGISTRE TUBES'!$B$7:$B$2506,0))),"?"))</f>
        <v>15421112</v>
      </c>
      <c r="E1972" s="100" t="str">
        <f aca="false">IF($C1972="","",IFERROR(IF(INDEX('REGISTRE TUBES'!$D$7:$D$2506,MATCH($C1972,'REGISTRE TUBES'!$B$7:$B$2506,0))="","",INDEX('REGISTRE TUBES'!$D$7:$D$2506,MATCH($C1972,'REGISTRE TUBES'!$B$7:$B$2506,0))),"?"))</f>
        <v/>
      </c>
      <c r="F1972" s="101" t="n">
        <f aca="false">IF($C1972="","",IFERROR(IF(INDEX('REGISTRE TUBES'!$F$7:$F$2506,MATCH($C1972,'REGISTRE TUBES'!$B$7:$B$2506,0))="","",INDEX('REGISTRE TUBES'!$F$7:$F$2506,MATCH($C1972,'REGISTRE TUBES'!$B$7:$B$2506,0))),"?"))</f>
        <v>11.94</v>
      </c>
      <c r="G1972" s="102" t="n">
        <f aca="false">IF($C1972="","",N(G1971)+N(F1972))</f>
        <v>15903.2700000002</v>
      </c>
      <c r="H1972" s="103" t="s">
        <v>3006</v>
      </c>
      <c r="I1972" s="104"/>
      <c r="J1972" s="105"/>
    </row>
    <row r="1973" customFormat="false" ht="15" hidden="false" customHeight="false" outlineLevel="0" collapsed="false">
      <c r="B1973" s="90" t="n">
        <v>1339</v>
      </c>
      <c r="C1973" s="91" t="n">
        <v>2091910</v>
      </c>
      <c r="D1973" s="92" t="n">
        <f aca="false">IF($C1973="","",IFERROR(IF(INDEX('REGISTRE TUBES'!$C$7:$C$2506,MATCH($C1973,'REGISTRE TUBES'!$B$7:$B$2506,0))="","",INDEX('REGISTRE TUBES'!$C$7:$C$2506,MATCH($C1973,'REGISTRE TUBES'!$B$7:$B$2506,0))),"?"))</f>
        <v>15421109</v>
      </c>
      <c r="E1973" s="92" t="str">
        <f aca="false">IF($C1973="","",IFERROR(IF(INDEX('REGISTRE TUBES'!$D$7:$D$2506,MATCH($C1973,'REGISTRE TUBES'!$B$7:$B$2506,0))="","",INDEX('REGISTRE TUBES'!$D$7:$D$2506,MATCH($C1973,'REGISTRE TUBES'!$B$7:$B$2506,0))),"?"))</f>
        <v/>
      </c>
      <c r="F1973" s="93" t="n">
        <f aca="false">IF($C1973="","",IFERROR(IF(INDEX('REGISTRE TUBES'!$F$7:$F$2506,MATCH($C1973,'REGISTRE TUBES'!$B$7:$B$2506,0))="","",INDEX('REGISTRE TUBES'!$F$7:$F$2506,MATCH($C1973,'REGISTRE TUBES'!$B$7:$B$2506,0))),"?"))</f>
        <v>11.94</v>
      </c>
      <c r="G1973" s="94" t="n">
        <f aca="false">IF($C1973="","",N(G1972)+N(F1973))</f>
        <v>15915.2100000002</v>
      </c>
      <c r="H1973" s="95" t="s">
        <v>3007</v>
      </c>
      <c r="I1973" s="96"/>
      <c r="J1973" s="97"/>
    </row>
    <row r="1974" customFormat="false" ht="15" hidden="false" customHeight="false" outlineLevel="0" collapsed="false">
      <c r="B1974" s="98" t="n">
        <v>1340</v>
      </c>
      <c r="C1974" s="99" t="n">
        <v>2083150</v>
      </c>
      <c r="D1974" s="100" t="n">
        <f aca="false">IF($C1974="","",IFERROR(IF(INDEX('REGISTRE TUBES'!$C$7:$C$2506,MATCH($C1974,'REGISTRE TUBES'!$B$7:$B$2506,0))="","",INDEX('REGISTRE TUBES'!$C$7:$C$2506,MATCH($C1974,'REGISTRE TUBES'!$B$7:$B$2506,0))),"?"))</f>
        <v>15421105</v>
      </c>
      <c r="E1974" s="100" t="str">
        <f aca="false">IF($C1974="","",IFERROR(IF(INDEX('REGISTRE TUBES'!$D$7:$D$2506,MATCH($C1974,'REGISTRE TUBES'!$B$7:$B$2506,0))="","",INDEX('REGISTRE TUBES'!$D$7:$D$2506,MATCH($C1974,'REGISTRE TUBES'!$B$7:$B$2506,0))),"?"))</f>
        <v/>
      </c>
      <c r="F1974" s="101" t="n">
        <f aca="false">IF($C1974="","",IFERROR(IF(INDEX('REGISTRE TUBES'!$F$7:$F$2506,MATCH($C1974,'REGISTRE TUBES'!$B$7:$B$2506,0))="","",INDEX('REGISTRE TUBES'!$F$7:$F$2506,MATCH($C1974,'REGISTRE TUBES'!$B$7:$B$2506,0))),"?"))</f>
        <v>11.94</v>
      </c>
      <c r="G1974" s="102" t="n">
        <f aca="false">IF($C1974="","",N(G1973)+N(F1974))</f>
        <v>15927.1500000002</v>
      </c>
      <c r="H1974" s="103" t="s">
        <v>3008</v>
      </c>
      <c r="I1974" s="104"/>
      <c r="J1974" s="105"/>
    </row>
    <row r="1975" customFormat="false" ht="15" hidden="false" customHeight="false" outlineLevel="0" collapsed="false">
      <c r="B1975" s="90" t="n">
        <v>1341</v>
      </c>
      <c r="C1975" s="91" t="n">
        <v>2083790</v>
      </c>
      <c r="D1975" s="92" t="n">
        <f aca="false">IF($C1975="","",IFERROR(IF(INDEX('REGISTRE TUBES'!$C$7:$C$2506,MATCH($C1975,'REGISTRE TUBES'!$B$7:$B$2506,0))="","",INDEX('REGISTRE TUBES'!$C$7:$C$2506,MATCH($C1975,'REGISTRE TUBES'!$B$7:$B$2506,0))),"?"))</f>
        <v>15421105</v>
      </c>
      <c r="E1975" s="92" t="str">
        <f aca="false">IF($C1975="","",IFERROR(IF(INDEX('REGISTRE TUBES'!$D$7:$D$2506,MATCH($C1975,'REGISTRE TUBES'!$B$7:$B$2506,0))="","",INDEX('REGISTRE TUBES'!$D$7:$D$2506,MATCH($C1975,'REGISTRE TUBES'!$B$7:$B$2506,0))),"?"))</f>
        <v/>
      </c>
      <c r="F1975" s="93" t="n">
        <f aca="false">IF($C1975="","",IFERROR(IF(INDEX('REGISTRE TUBES'!$F$7:$F$2506,MATCH($C1975,'REGISTRE TUBES'!$B$7:$B$2506,0))="","",INDEX('REGISTRE TUBES'!$F$7:$F$2506,MATCH($C1975,'REGISTRE TUBES'!$B$7:$B$2506,0))),"?"))</f>
        <v>11.94</v>
      </c>
      <c r="G1975" s="94" t="n">
        <f aca="false">IF($C1975="","",N(G1974)+N(F1975))</f>
        <v>15939.0900000002</v>
      </c>
      <c r="H1975" s="95" t="s">
        <v>3009</v>
      </c>
      <c r="I1975" s="96"/>
      <c r="J1975" s="97"/>
    </row>
    <row r="1976" customFormat="false" ht="15" hidden="false" customHeight="false" outlineLevel="0" collapsed="false">
      <c r="B1976" s="98" t="n">
        <v>1342</v>
      </c>
      <c r="C1976" s="99" t="n">
        <v>2088740</v>
      </c>
      <c r="D1976" s="100" t="n">
        <f aca="false">IF($C1976="","",IFERROR(IF(INDEX('REGISTRE TUBES'!$C$7:$C$2506,MATCH($C1976,'REGISTRE TUBES'!$B$7:$B$2506,0))="","",INDEX('REGISTRE TUBES'!$C$7:$C$2506,MATCH($C1976,'REGISTRE TUBES'!$B$7:$B$2506,0))),"?"))</f>
        <v>15421108</v>
      </c>
      <c r="E1976" s="100" t="str">
        <f aca="false">IF($C1976="","",IFERROR(IF(INDEX('REGISTRE TUBES'!$D$7:$D$2506,MATCH($C1976,'REGISTRE TUBES'!$B$7:$B$2506,0))="","",INDEX('REGISTRE TUBES'!$D$7:$D$2506,MATCH($C1976,'REGISTRE TUBES'!$B$7:$B$2506,0))),"?"))</f>
        <v/>
      </c>
      <c r="F1976" s="101" t="n">
        <f aca="false">IF($C1976="","",IFERROR(IF(INDEX('REGISTRE TUBES'!$F$7:$F$2506,MATCH($C1976,'REGISTRE TUBES'!$B$7:$B$2506,0))="","",INDEX('REGISTRE TUBES'!$F$7:$F$2506,MATCH($C1976,'REGISTRE TUBES'!$B$7:$B$2506,0))),"?"))</f>
        <v>11.94</v>
      </c>
      <c r="G1976" s="102" t="n">
        <f aca="false">IF($C1976="","",N(G1975)+N(F1976))</f>
        <v>15951.0300000002</v>
      </c>
      <c r="H1976" s="103" t="s">
        <v>3010</v>
      </c>
      <c r="I1976" s="104"/>
      <c r="J1976" s="105"/>
    </row>
    <row r="1977" customFormat="false" ht="15" hidden="false" customHeight="false" outlineLevel="0" collapsed="false">
      <c r="B1977" s="90" t="n">
        <v>1343</v>
      </c>
      <c r="C1977" s="91" t="n">
        <v>2088320</v>
      </c>
      <c r="D1977" s="92" t="n">
        <f aca="false">IF($C1977="","",IFERROR(IF(INDEX('REGISTRE TUBES'!$C$7:$C$2506,MATCH($C1977,'REGISTRE TUBES'!$B$7:$B$2506,0))="","",INDEX('REGISTRE TUBES'!$C$7:$C$2506,MATCH($C1977,'REGISTRE TUBES'!$B$7:$B$2506,0))),"?"))</f>
        <v>15421108</v>
      </c>
      <c r="E1977" s="92" t="str">
        <f aca="false">IF($C1977="","",IFERROR(IF(INDEX('REGISTRE TUBES'!$D$7:$D$2506,MATCH($C1977,'REGISTRE TUBES'!$B$7:$B$2506,0))="","",INDEX('REGISTRE TUBES'!$D$7:$D$2506,MATCH($C1977,'REGISTRE TUBES'!$B$7:$B$2506,0))),"?"))</f>
        <v/>
      </c>
      <c r="F1977" s="93" t="n">
        <f aca="false">IF($C1977="","",IFERROR(IF(INDEX('REGISTRE TUBES'!$F$7:$F$2506,MATCH($C1977,'REGISTRE TUBES'!$B$7:$B$2506,0))="","",INDEX('REGISTRE TUBES'!$F$7:$F$2506,MATCH($C1977,'REGISTRE TUBES'!$B$7:$B$2506,0))),"?"))</f>
        <v>11.94</v>
      </c>
      <c r="G1977" s="94" t="n">
        <f aca="false">IF($C1977="","",N(G1976)+N(F1977))</f>
        <v>15962.9700000002</v>
      </c>
      <c r="H1977" s="95" t="s">
        <v>3011</v>
      </c>
      <c r="I1977" s="96"/>
      <c r="J1977" s="97"/>
    </row>
    <row r="1978" customFormat="false" ht="15" hidden="false" customHeight="false" outlineLevel="0" collapsed="false">
      <c r="B1978" s="98" t="n">
        <v>1344</v>
      </c>
      <c r="C1978" s="99" t="n">
        <v>2083010</v>
      </c>
      <c r="D1978" s="100" t="n">
        <f aca="false">IF($C1978="","",IFERROR(IF(INDEX('REGISTRE TUBES'!$C$7:$C$2506,MATCH($C1978,'REGISTRE TUBES'!$B$7:$B$2506,0))="","",INDEX('REGISTRE TUBES'!$C$7:$C$2506,MATCH($C1978,'REGISTRE TUBES'!$B$7:$B$2506,0))),"?"))</f>
        <v>15421105</v>
      </c>
      <c r="E1978" s="100" t="str">
        <f aca="false">IF($C1978="","",IFERROR(IF(INDEX('REGISTRE TUBES'!$D$7:$D$2506,MATCH($C1978,'REGISTRE TUBES'!$B$7:$B$2506,0))="","",INDEX('REGISTRE TUBES'!$D$7:$D$2506,MATCH($C1978,'REGISTRE TUBES'!$B$7:$B$2506,0))),"?"))</f>
        <v/>
      </c>
      <c r="F1978" s="101" t="n">
        <f aca="false">IF($C1978="","",IFERROR(IF(INDEX('REGISTRE TUBES'!$F$7:$F$2506,MATCH($C1978,'REGISTRE TUBES'!$B$7:$B$2506,0))="","",INDEX('REGISTRE TUBES'!$F$7:$F$2506,MATCH($C1978,'REGISTRE TUBES'!$B$7:$B$2506,0))),"?"))</f>
        <v>11.94</v>
      </c>
      <c r="G1978" s="102" t="n">
        <f aca="false">IF($C1978="","",N(G1977)+N(F1978))</f>
        <v>15974.9100000002</v>
      </c>
      <c r="H1978" s="103" t="s">
        <v>3012</v>
      </c>
      <c r="I1978" s="104"/>
      <c r="J1978" s="105"/>
    </row>
    <row r="1979" customFormat="false" ht="15" hidden="false" customHeight="false" outlineLevel="0" collapsed="false">
      <c r="B1979" s="90" t="n">
        <v>1345</v>
      </c>
      <c r="C1979" s="91" t="n">
        <v>2084710</v>
      </c>
      <c r="D1979" s="92" t="n">
        <f aca="false">IF($C1979="","",IFERROR(IF(INDEX('REGISTRE TUBES'!$C$7:$C$2506,MATCH($C1979,'REGISTRE TUBES'!$B$7:$B$2506,0))="","",INDEX('REGISTRE TUBES'!$C$7:$C$2506,MATCH($C1979,'REGISTRE TUBES'!$B$7:$B$2506,0))),"?"))</f>
        <v>15421106</v>
      </c>
      <c r="E1979" s="92" t="str">
        <f aca="false">IF($C1979="","",IFERROR(IF(INDEX('REGISTRE TUBES'!$D$7:$D$2506,MATCH($C1979,'REGISTRE TUBES'!$B$7:$B$2506,0))="","",INDEX('REGISTRE TUBES'!$D$7:$D$2506,MATCH($C1979,'REGISTRE TUBES'!$B$7:$B$2506,0))),"?"))</f>
        <v/>
      </c>
      <c r="F1979" s="93" t="n">
        <f aca="false">IF($C1979="","",IFERROR(IF(INDEX('REGISTRE TUBES'!$F$7:$F$2506,MATCH($C1979,'REGISTRE TUBES'!$B$7:$B$2506,0))="","",INDEX('REGISTRE TUBES'!$F$7:$F$2506,MATCH($C1979,'REGISTRE TUBES'!$B$7:$B$2506,0))),"?"))</f>
        <v>11.94</v>
      </c>
      <c r="G1979" s="94" t="n">
        <f aca="false">IF($C1979="","",N(G1978)+N(F1979))</f>
        <v>15986.8500000002</v>
      </c>
      <c r="H1979" s="95" t="s">
        <v>3013</v>
      </c>
      <c r="I1979" s="96"/>
      <c r="J1979" s="97"/>
    </row>
    <row r="1980" customFormat="false" ht="15" hidden="false" customHeight="false" outlineLevel="0" collapsed="false">
      <c r="B1980" s="98" t="n">
        <v>1346</v>
      </c>
      <c r="C1980" s="99" t="n">
        <v>2083000</v>
      </c>
      <c r="D1980" s="100" t="n">
        <f aca="false">IF($C1980="","",IFERROR(IF(INDEX('REGISTRE TUBES'!$C$7:$C$2506,MATCH($C1980,'REGISTRE TUBES'!$B$7:$B$2506,0))="","",INDEX('REGISTRE TUBES'!$C$7:$C$2506,MATCH($C1980,'REGISTRE TUBES'!$B$7:$B$2506,0))),"?"))</f>
        <v>15421105</v>
      </c>
      <c r="E1980" s="100" t="str">
        <f aca="false">IF($C1980="","",IFERROR(IF(INDEX('REGISTRE TUBES'!$D$7:$D$2506,MATCH($C1980,'REGISTRE TUBES'!$B$7:$B$2506,0))="","",INDEX('REGISTRE TUBES'!$D$7:$D$2506,MATCH($C1980,'REGISTRE TUBES'!$B$7:$B$2506,0))),"?"))</f>
        <v/>
      </c>
      <c r="F1980" s="101" t="n">
        <f aca="false">IF($C1980="","",IFERROR(IF(INDEX('REGISTRE TUBES'!$F$7:$F$2506,MATCH($C1980,'REGISTRE TUBES'!$B$7:$B$2506,0))="","",INDEX('REGISTRE TUBES'!$F$7:$F$2506,MATCH($C1980,'REGISTRE TUBES'!$B$7:$B$2506,0))),"?"))</f>
        <v>11.94</v>
      </c>
      <c r="G1980" s="102" t="n">
        <f aca="false">IF($C1980="","",N(G1979)+N(F1980))</f>
        <v>15998.7900000002</v>
      </c>
      <c r="H1980" s="103" t="s">
        <v>3014</v>
      </c>
      <c r="I1980" s="104"/>
      <c r="J1980" s="105"/>
    </row>
    <row r="1981" customFormat="false" ht="15" hidden="false" customHeight="false" outlineLevel="0" collapsed="false">
      <c r="B1981" s="90" t="n">
        <v>1347</v>
      </c>
      <c r="C1981" s="91" t="n">
        <v>2082990</v>
      </c>
      <c r="D1981" s="92" t="n">
        <f aca="false">IF($C1981="","",IFERROR(IF(INDEX('REGISTRE TUBES'!$C$7:$C$2506,MATCH($C1981,'REGISTRE TUBES'!$B$7:$B$2506,0))="","",INDEX('REGISTRE TUBES'!$C$7:$C$2506,MATCH($C1981,'REGISTRE TUBES'!$B$7:$B$2506,0))),"?"))</f>
        <v>15421105</v>
      </c>
      <c r="E1981" s="92" t="str">
        <f aca="false">IF($C1981="","",IFERROR(IF(INDEX('REGISTRE TUBES'!$D$7:$D$2506,MATCH($C1981,'REGISTRE TUBES'!$B$7:$B$2506,0))="","",INDEX('REGISTRE TUBES'!$D$7:$D$2506,MATCH($C1981,'REGISTRE TUBES'!$B$7:$B$2506,0))),"?"))</f>
        <v/>
      </c>
      <c r="F1981" s="93" t="n">
        <f aca="false">IF($C1981="","",IFERROR(IF(INDEX('REGISTRE TUBES'!$F$7:$F$2506,MATCH($C1981,'REGISTRE TUBES'!$B$7:$B$2506,0))="","",INDEX('REGISTRE TUBES'!$F$7:$F$2506,MATCH($C1981,'REGISTRE TUBES'!$B$7:$B$2506,0))),"?"))</f>
        <v>11.94</v>
      </c>
      <c r="G1981" s="94" t="n">
        <f aca="false">IF($C1981="","",N(G1980)+N(F1981))</f>
        <v>16010.7300000002</v>
      </c>
      <c r="H1981" s="95"/>
      <c r="I1981" s="96"/>
      <c r="J1981" s="97"/>
    </row>
    <row r="1982" customFormat="false" ht="15" hidden="false" customHeight="false" outlineLevel="0" collapsed="false">
      <c r="B1982" s="98"/>
      <c r="C1982" s="99"/>
      <c r="D1982" s="100" t="str">
        <f aca="false">IF($C1982="","",IFERROR(IF(INDEX('REGISTRE TUBES'!$C$7:$C$2506,MATCH($C1982,'REGISTRE TUBES'!$B$7:$B$2506,0))="","",INDEX('REGISTRE TUBES'!$C$7:$C$2506,MATCH($C1982,'REGISTRE TUBES'!$B$7:$B$2506,0))),"?"))</f>
        <v/>
      </c>
      <c r="E1982" s="100" t="str">
        <f aca="false">IF($C1982="","",IFERROR(IF(INDEX('REGISTRE TUBES'!$D$7:$D$2506,MATCH($C1982,'REGISTRE TUBES'!$B$7:$B$2506,0))="","",INDEX('REGISTRE TUBES'!$D$7:$D$2506,MATCH($C1982,'REGISTRE TUBES'!$B$7:$B$2506,0))),"?"))</f>
        <v/>
      </c>
      <c r="F1982" s="101" t="str">
        <f aca="false">IF($C1982="","",IFERROR(IF(INDEX('REGISTRE TUBES'!$F$7:$F$2506,MATCH($C1982,'REGISTRE TUBES'!$B$7:$B$2506,0))="","",INDEX('REGISTRE TUBES'!$F$7:$F$2506,MATCH($C1982,'REGISTRE TUBES'!$B$7:$B$2506,0))),"?"))</f>
        <v/>
      </c>
      <c r="G1982" s="102" t="str">
        <f aca="false">IF($C1982="","",N(G1981)+N(F1982))</f>
        <v/>
      </c>
      <c r="H1982" s="103"/>
      <c r="I1982" s="104"/>
      <c r="J1982" s="105"/>
    </row>
    <row r="1983" customFormat="false" ht="15" hidden="false" customHeight="false" outlineLevel="0" collapsed="false">
      <c r="B1983" s="90"/>
      <c r="C1983" s="91"/>
      <c r="D1983" s="92" t="str">
        <f aca="false">IF($C1983="","",IFERROR(IF(INDEX('REGISTRE TUBES'!$C$7:$C$2506,MATCH($C1983,'REGISTRE TUBES'!$B$7:$B$2506,0))="","",INDEX('REGISTRE TUBES'!$C$7:$C$2506,MATCH($C1983,'REGISTRE TUBES'!$B$7:$B$2506,0))),"?"))</f>
        <v/>
      </c>
      <c r="E1983" s="92" t="str">
        <f aca="false">IF($C1983="","",IFERROR(IF(INDEX('REGISTRE TUBES'!$D$7:$D$2506,MATCH($C1983,'REGISTRE TUBES'!$B$7:$B$2506,0))="","",INDEX('REGISTRE TUBES'!$D$7:$D$2506,MATCH($C1983,'REGISTRE TUBES'!$B$7:$B$2506,0))),"?"))</f>
        <v/>
      </c>
      <c r="F1983" s="93" t="str">
        <f aca="false">IF($C1983="","",IFERROR(IF(INDEX('REGISTRE TUBES'!$F$7:$F$2506,MATCH($C1983,'REGISTRE TUBES'!$B$7:$B$2506,0))="","",INDEX('REGISTRE TUBES'!$F$7:$F$2506,MATCH($C1983,'REGISTRE TUBES'!$B$7:$B$2506,0))),"?"))</f>
        <v/>
      </c>
      <c r="G1983" s="94" t="str">
        <f aca="false">IF($C1983="","",N(G1982)+N(F1983))</f>
        <v/>
      </c>
      <c r="H1983" s="95"/>
      <c r="I1983" s="96"/>
      <c r="J1983" s="97"/>
    </row>
    <row r="1984" customFormat="false" ht="15" hidden="false" customHeight="true" outlineLevel="0" collapsed="false">
      <c r="B1984" s="106" t="s">
        <v>3031</v>
      </c>
      <c r="C1984" s="106"/>
      <c r="D1984" s="106"/>
      <c r="E1984" s="106"/>
      <c r="F1984" s="107" t="n">
        <f aca="false">SUM(F1965:F1983)</f>
        <v>202.98</v>
      </c>
      <c r="G1984" s="108" t="n">
        <f aca="false">IF(COUNT(G1965:G1983)=0,"",MAX(G1965:G1983))</f>
        <v>16010.7300000002</v>
      </c>
      <c r="H1984" s="106" t="str">
        <f aca="false">COUNTA(C1965:C1983)&amp;" tube(s)"</f>
        <v>17 tube(s)</v>
      </c>
      <c r="I1984" s="106"/>
      <c r="J1984" s="106"/>
    </row>
    <row r="1986" customFormat="false" ht="15" hidden="false" customHeight="false" outlineLevel="0" collapsed="false">
      <c r="B1986" s="109" t="s">
        <v>3032</v>
      </c>
      <c r="F1986" s="109" t="s">
        <v>3033</v>
      </c>
      <c r="I1986" s="109" t="s">
        <v>3034</v>
      </c>
    </row>
  </sheetData>
  <mergeCells count="284">
    <mergeCell ref="B1:J1"/>
    <mergeCell ref="B2:J2"/>
    <mergeCell ref="C3:D3"/>
    <mergeCell ref="B24:E24"/>
    <mergeCell ref="B29:J29"/>
    <mergeCell ref="B30:J30"/>
    <mergeCell ref="C31:D31"/>
    <mergeCell ref="B52:E52"/>
    <mergeCell ref="B57:J57"/>
    <mergeCell ref="B58:J58"/>
    <mergeCell ref="C59:D59"/>
    <mergeCell ref="B80:E80"/>
    <mergeCell ref="B85:J85"/>
    <mergeCell ref="B86:J86"/>
    <mergeCell ref="C87:D87"/>
    <mergeCell ref="B108:E108"/>
    <mergeCell ref="B113:J113"/>
    <mergeCell ref="B114:J114"/>
    <mergeCell ref="C115:D115"/>
    <mergeCell ref="B136:E136"/>
    <mergeCell ref="B141:J141"/>
    <mergeCell ref="B142:J142"/>
    <mergeCell ref="C143:D143"/>
    <mergeCell ref="B164:E164"/>
    <mergeCell ref="B169:J169"/>
    <mergeCell ref="B170:J170"/>
    <mergeCell ref="C171:D171"/>
    <mergeCell ref="B192:E192"/>
    <mergeCell ref="B197:J197"/>
    <mergeCell ref="B198:J198"/>
    <mergeCell ref="C199:D199"/>
    <mergeCell ref="B220:E220"/>
    <mergeCell ref="B225:J225"/>
    <mergeCell ref="B226:J226"/>
    <mergeCell ref="C227:D227"/>
    <mergeCell ref="B248:E248"/>
    <mergeCell ref="B253:J253"/>
    <mergeCell ref="B254:J254"/>
    <mergeCell ref="C255:D255"/>
    <mergeCell ref="B276:E276"/>
    <mergeCell ref="B281:J281"/>
    <mergeCell ref="B282:J282"/>
    <mergeCell ref="C283:D283"/>
    <mergeCell ref="B304:E304"/>
    <mergeCell ref="B309:J309"/>
    <mergeCell ref="B310:J310"/>
    <mergeCell ref="C311:D311"/>
    <mergeCell ref="B332:E332"/>
    <mergeCell ref="B337:J337"/>
    <mergeCell ref="B338:J338"/>
    <mergeCell ref="C339:D339"/>
    <mergeCell ref="B360:E360"/>
    <mergeCell ref="B365:J365"/>
    <mergeCell ref="B366:J366"/>
    <mergeCell ref="C367:D367"/>
    <mergeCell ref="B388:E388"/>
    <mergeCell ref="B393:J393"/>
    <mergeCell ref="B394:J394"/>
    <mergeCell ref="C395:D395"/>
    <mergeCell ref="B416:E416"/>
    <mergeCell ref="B421:J421"/>
    <mergeCell ref="B422:J422"/>
    <mergeCell ref="C423:D423"/>
    <mergeCell ref="B444:E444"/>
    <mergeCell ref="B449:J449"/>
    <mergeCell ref="B450:J450"/>
    <mergeCell ref="C451:D451"/>
    <mergeCell ref="B472:E472"/>
    <mergeCell ref="B477:J477"/>
    <mergeCell ref="B478:J478"/>
    <mergeCell ref="C479:D479"/>
    <mergeCell ref="B500:E500"/>
    <mergeCell ref="B505:J505"/>
    <mergeCell ref="B506:J506"/>
    <mergeCell ref="C507:D507"/>
    <mergeCell ref="B528:E528"/>
    <mergeCell ref="B533:J533"/>
    <mergeCell ref="B534:J534"/>
    <mergeCell ref="C535:D535"/>
    <mergeCell ref="B556:E556"/>
    <mergeCell ref="B561:J561"/>
    <mergeCell ref="B562:J562"/>
    <mergeCell ref="C563:D563"/>
    <mergeCell ref="B584:E584"/>
    <mergeCell ref="B589:J589"/>
    <mergeCell ref="B590:J590"/>
    <mergeCell ref="C591:D591"/>
    <mergeCell ref="B612:E612"/>
    <mergeCell ref="B617:J617"/>
    <mergeCell ref="B618:J618"/>
    <mergeCell ref="C619:D619"/>
    <mergeCell ref="B640:E640"/>
    <mergeCell ref="B645:J645"/>
    <mergeCell ref="B646:J646"/>
    <mergeCell ref="C647:D647"/>
    <mergeCell ref="B668:E668"/>
    <mergeCell ref="B673:J673"/>
    <mergeCell ref="B674:J674"/>
    <mergeCell ref="C675:D675"/>
    <mergeCell ref="B696:E696"/>
    <mergeCell ref="B701:J701"/>
    <mergeCell ref="B702:J702"/>
    <mergeCell ref="C703:D703"/>
    <mergeCell ref="B724:E724"/>
    <mergeCell ref="B729:J729"/>
    <mergeCell ref="B730:J730"/>
    <mergeCell ref="C731:D731"/>
    <mergeCell ref="B752:E752"/>
    <mergeCell ref="B757:J757"/>
    <mergeCell ref="B758:J758"/>
    <mergeCell ref="C759:D759"/>
    <mergeCell ref="B780:E780"/>
    <mergeCell ref="B785:J785"/>
    <mergeCell ref="B786:J786"/>
    <mergeCell ref="C787:D787"/>
    <mergeCell ref="B808:E808"/>
    <mergeCell ref="B813:J813"/>
    <mergeCell ref="B814:J814"/>
    <mergeCell ref="C815:D815"/>
    <mergeCell ref="B836:E836"/>
    <mergeCell ref="B841:J841"/>
    <mergeCell ref="B842:J842"/>
    <mergeCell ref="C843:D843"/>
    <mergeCell ref="B864:E864"/>
    <mergeCell ref="B869:J869"/>
    <mergeCell ref="B870:J870"/>
    <mergeCell ref="C871:D871"/>
    <mergeCell ref="B892:E892"/>
    <mergeCell ref="B897:J897"/>
    <mergeCell ref="B898:J898"/>
    <mergeCell ref="C899:D899"/>
    <mergeCell ref="B920:E920"/>
    <mergeCell ref="B925:J925"/>
    <mergeCell ref="B926:J926"/>
    <mergeCell ref="C927:D927"/>
    <mergeCell ref="B948:E948"/>
    <mergeCell ref="B953:J953"/>
    <mergeCell ref="B954:J954"/>
    <mergeCell ref="C955:D955"/>
    <mergeCell ref="B976:E976"/>
    <mergeCell ref="B981:J981"/>
    <mergeCell ref="B982:J982"/>
    <mergeCell ref="C983:D983"/>
    <mergeCell ref="B1004:E1004"/>
    <mergeCell ref="B1009:J1009"/>
    <mergeCell ref="B1010:J1010"/>
    <mergeCell ref="C1011:D1011"/>
    <mergeCell ref="B1032:E1032"/>
    <mergeCell ref="B1037:J1037"/>
    <mergeCell ref="B1038:J1038"/>
    <mergeCell ref="C1039:D1039"/>
    <mergeCell ref="B1060:E1060"/>
    <mergeCell ref="B1065:J1065"/>
    <mergeCell ref="B1066:J1066"/>
    <mergeCell ref="C1067:D1067"/>
    <mergeCell ref="B1088:E1088"/>
    <mergeCell ref="B1093:J1093"/>
    <mergeCell ref="B1094:J1094"/>
    <mergeCell ref="C1095:D1095"/>
    <mergeCell ref="B1116:E1116"/>
    <mergeCell ref="B1121:J1121"/>
    <mergeCell ref="B1122:J1122"/>
    <mergeCell ref="C1123:D1123"/>
    <mergeCell ref="B1144:E1144"/>
    <mergeCell ref="B1149:J1149"/>
    <mergeCell ref="B1150:J1150"/>
    <mergeCell ref="C1151:D1151"/>
    <mergeCell ref="B1172:E1172"/>
    <mergeCell ref="B1177:J1177"/>
    <mergeCell ref="B1178:J1178"/>
    <mergeCell ref="C1179:D1179"/>
    <mergeCell ref="B1200:E1200"/>
    <mergeCell ref="B1205:J1205"/>
    <mergeCell ref="B1206:J1206"/>
    <mergeCell ref="C1207:D1207"/>
    <mergeCell ref="B1228:E1228"/>
    <mergeCell ref="B1233:J1233"/>
    <mergeCell ref="B1234:J1234"/>
    <mergeCell ref="C1235:D1235"/>
    <mergeCell ref="B1256:E1256"/>
    <mergeCell ref="B1261:J1261"/>
    <mergeCell ref="B1262:J1262"/>
    <mergeCell ref="C1263:D1263"/>
    <mergeCell ref="B1284:E1284"/>
    <mergeCell ref="B1289:J1289"/>
    <mergeCell ref="B1290:J1290"/>
    <mergeCell ref="C1291:D1291"/>
    <mergeCell ref="B1312:E1312"/>
    <mergeCell ref="B1317:J1317"/>
    <mergeCell ref="B1318:J1318"/>
    <mergeCell ref="C1319:D1319"/>
    <mergeCell ref="B1340:E1340"/>
    <mergeCell ref="B1345:J1345"/>
    <mergeCell ref="B1346:J1346"/>
    <mergeCell ref="C1347:D1347"/>
    <mergeCell ref="B1368:E1368"/>
    <mergeCell ref="B1373:J1373"/>
    <mergeCell ref="B1374:J1374"/>
    <mergeCell ref="C1375:D1375"/>
    <mergeCell ref="B1396:E1396"/>
    <mergeCell ref="B1401:J1401"/>
    <mergeCell ref="B1402:J1402"/>
    <mergeCell ref="C1403:D1403"/>
    <mergeCell ref="B1424:E1424"/>
    <mergeCell ref="B1429:J1429"/>
    <mergeCell ref="B1430:J1430"/>
    <mergeCell ref="C1431:D1431"/>
    <mergeCell ref="B1452:E1452"/>
    <mergeCell ref="B1457:J1457"/>
    <mergeCell ref="B1458:J1458"/>
    <mergeCell ref="C1459:D1459"/>
    <mergeCell ref="B1480:E1480"/>
    <mergeCell ref="B1485:J1485"/>
    <mergeCell ref="B1486:J1486"/>
    <mergeCell ref="C1487:D1487"/>
    <mergeCell ref="B1508:E1508"/>
    <mergeCell ref="B1513:J1513"/>
    <mergeCell ref="B1514:J1514"/>
    <mergeCell ref="C1515:D1515"/>
    <mergeCell ref="B1536:E1536"/>
    <mergeCell ref="B1541:J1541"/>
    <mergeCell ref="B1542:J1542"/>
    <mergeCell ref="C1543:D1543"/>
    <mergeCell ref="B1564:E1564"/>
    <mergeCell ref="B1569:J1569"/>
    <mergeCell ref="B1570:J1570"/>
    <mergeCell ref="C1571:D1571"/>
    <mergeCell ref="B1592:E1592"/>
    <mergeCell ref="B1597:J1597"/>
    <mergeCell ref="B1598:J1598"/>
    <mergeCell ref="C1599:D1599"/>
    <mergeCell ref="B1620:E1620"/>
    <mergeCell ref="B1625:J1625"/>
    <mergeCell ref="B1626:J1626"/>
    <mergeCell ref="C1627:D1627"/>
    <mergeCell ref="B1648:E1648"/>
    <mergeCell ref="B1653:J1653"/>
    <mergeCell ref="B1654:J1654"/>
    <mergeCell ref="C1655:D1655"/>
    <mergeCell ref="B1676:E1676"/>
    <mergeCell ref="B1681:J1681"/>
    <mergeCell ref="B1682:J1682"/>
    <mergeCell ref="C1683:D1683"/>
    <mergeCell ref="B1704:E1704"/>
    <mergeCell ref="B1709:J1709"/>
    <mergeCell ref="B1710:J1710"/>
    <mergeCell ref="C1711:D1711"/>
    <mergeCell ref="B1732:E1732"/>
    <mergeCell ref="B1737:J1737"/>
    <mergeCell ref="B1738:J1738"/>
    <mergeCell ref="C1739:D1739"/>
    <mergeCell ref="B1760:E1760"/>
    <mergeCell ref="B1765:J1765"/>
    <mergeCell ref="B1766:J1766"/>
    <mergeCell ref="C1767:D1767"/>
    <mergeCell ref="B1788:E1788"/>
    <mergeCell ref="B1793:J1793"/>
    <mergeCell ref="B1794:J1794"/>
    <mergeCell ref="C1795:D1795"/>
    <mergeCell ref="B1816:E1816"/>
    <mergeCell ref="B1821:J1821"/>
    <mergeCell ref="B1822:J1822"/>
    <mergeCell ref="C1823:D1823"/>
    <mergeCell ref="B1844:E1844"/>
    <mergeCell ref="B1849:J1849"/>
    <mergeCell ref="B1850:J1850"/>
    <mergeCell ref="C1851:D1851"/>
    <mergeCell ref="B1872:E1872"/>
    <mergeCell ref="B1877:J1877"/>
    <mergeCell ref="B1878:J1878"/>
    <mergeCell ref="C1879:D1879"/>
    <mergeCell ref="B1900:E1900"/>
    <mergeCell ref="B1905:J1905"/>
    <mergeCell ref="B1906:J1906"/>
    <mergeCell ref="C1907:D1907"/>
    <mergeCell ref="B1928:E1928"/>
    <mergeCell ref="B1933:J1933"/>
    <mergeCell ref="B1934:J1934"/>
    <mergeCell ref="C1935:D1935"/>
    <mergeCell ref="B1956:E1956"/>
    <mergeCell ref="B1961:J1961"/>
    <mergeCell ref="B1962:J1962"/>
    <mergeCell ref="C1963:D1963"/>
    <mergeCell ref="B1984:E1984"/>
  </mergeCells>
  <conditionalFormatting sqref="D1:F1989">
    <cfRule type="cellIs" priority="2" operator="equal" aboveAverage="0" equalAverage="0" bottom="0" percent="0" rank="0" text="" dxfId="27">
      <formula>"?"</formula>
    </cfRule>
  </conditionalFormatting>
  <conditionalFormatting sqref="C1:C1989">
    <cfRule type="expression" priority="3" aboveAverage="0" equalAverage="0" bottom="0" percent="0" rank="0" text="" dxfId="34">
      <formula>AND(ISNUMBER($B1),C1&lt;&gt;"",COUNTIF($C$1:$C$5000,C1)&gt;1)</formula>
    </cfRule>
  </conditionalFormatting>
  <dataValidations count="1">
    <dataValidation allowBlank="true" errorStyle="stop" operator="between" showDropDown="false" showErrorMessage="false" showInputMessage="false" sqref="I1:I1989" type="date">
      <formula1>DATE(2020,1,1)</formula1>
      <formula2>DATE(2040,12,31)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71" manualBreakCount="71">
    <brk id="27" man="true" max="16383" min="0"/>
    <brk id="55" man="true" max="16383" min="0"/>
    <brk id="83" man="true" max="16383" min="0"/>
    <brk id="111" man="true" max="16383" min="0"/>
    <brk id="139" man="true" max="16383" min="0"/>
    <brk id="167" man="true" max="16383" min="0"/>
    <brk id="195" man="true" max="16383" min="0"/>
    <brk id="223" man="true" max="16383" min="0"/>
    <brk id="251" man="true" max="16383" min="0"/>
    <brk id="279" man="true" max="16383" min="0"/>
    <brk id="307" man="true" max="16383" min="0"/>
    <brk id="335" man="true" max="16383" min="0"/>
    <brk id="363" man="true" max="16383" min="0"/>
    <brk id="391" man="true" max="16383" min="0"/>
    <brk id="419" man="true" max="16383" min="0"/>
    <brk id="447" man="true" max="16383" min="0"/>
    <brk id="475" man="true" max="16383" min="0"/>
    <brk id="503" man="true" max="16383" min="0"/>
    <brk id="531" man="true" max="16383" min="0"/>
    <brk id="559" man="true" max="16383" min="0"/>
    <brk id="587" man="true" max="16383" min="0"/>
    <brk id="615" man="true" max="16383" min="0"/>
    <brk id="643" man="true" max="16383" min="0"/>
    <brk id="671" man="true" max="16383" min="0"/>
    <brk id="699" man="true" max="16383" min="0"/>
    <brk id="727" man="true" max="16383" min="0"/>
    <brk id="755" man="true" max="16383" min="0"/>
    <brk id="783" man="true" max="16383" min="0"/>
    <brk id="811" man="true" max="16383" min="0"/>
    <brk id="839" man="true" max="16383" min="0"/>
    <brk id="867" man="true" max="16383" min="0"/>
    <brk id="895" man="true" max="16383" min="0"/>
    <brk id="923" man="true" max="16383" min="0"/>
    <brk id="951" man="true" max="16383" min="0"/>
    <brk id="979" man="true" max="16383" min="0"/>
    <brk id="1007" man="true" max="16383" min="0"/>
    <brk id="1035" man="true" max="16383" min="0"/>
    <brk id="1063" man="true" max="16383" min="0"/>
    <brk id="1091" man="true" max="16383" min="0"/>
    <brk id="1119" man="true" max="16383" min="0"/>
    <brk id="1147" man="true" max="16383" min="0"/>
    <brk id="1175" man="true" max="16383" min="0"/>
    <brk id="1203" man="true" max="16383" min="0"/>
    <brk id="1231" man="true" max="16383" min="0"/>
    <brk id="1259" man="true" max="16383" min="0"/>
    <brk id="1287" man="true" max="16383" min="0"/>
    <brk id="1315" man="true" max="16383" min="0"/>
    <brk id="1343" man="true" max="16383" min="0"/>
    <brk id="1371" man="true" max="16383" min="0"/>
    <brk id="1399" man="true" max="16383" min="0"/>
    <brk id="1427" man="true" max="16383" min="0"/>
    <brk id="1455" man="true" max="16383" min="0"/>
    <brk id="1483" man="true" max="16383" min="0"/>
    <brk id="1511" man="true" max="16383" min="0"/>
    <brk id="1539" man="true" max="16383" min="0"/>
    <brk id="1567" man="true" max="16383" min="0"/>
    <brk id="1595" man="true" max="16383" min="0"/>
    <brk id="1623" man="true" max="16383" min="0"/>
    <brk id="1651" man="true" max="16383" min="0"/>
    <brk id="1679" man="true" max="16383" min="0"/>
    <brk id="1707" man="true" max="16383" min="0"/>
    <brk id="1735" man="true" max="16383" min="0"/>
    <brk id="1763" man="true" max="16383" min="0"/>
    <brk id="1791" man="true" max="16383" min="0"/>
    <brk id="1819" man="true" max="16383" min="0"/>
    <brk id="1847" man="true" max="16383" min="0"/>
    <brk id="1875" man="true" max="16383" min="0"/>
    <brk id="1903" man="true" max="16383" min="0"/>
    <brk id="1931" man="true" max="16383" min="0"/>
    <brk id="1959" man="true" max="16383" min="0"/>
    <brk id="1987" man="true" max="16383" min="0"/>
  </row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5623"/>
    <pageSetUpPr fitToPage="true"/>
  </sheetPr>
  <dimension ref="A1:Q30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0"/>
    <col collapsed="false" customWidth="true" hidden="false" outlineLevel="0" max="3" min="3" style="0" width="13"/>
    <col collapsed="false" customWidth="true" hidden="false" outlineLevel="0" max="4" min="4" style="0" width="7"/>
    <col collapsed="false" customWidth="true" hidden="false" outlineLevel="0" max="5" min="5" style="0" width="11"/>
    <col collapsed="false" customWidth="true" hidden="false" outlineLevel="0" max="6" min="6" style="0" width="8"/>
    <col collapsed="false" customWidth="true" hidden="false" outlineLevel="0" max="7" min="7" style="0" width="24"/>
    <col collapsed="false" customWidth="true" hidden="false" outlineLevel="0" max="8" min="8" style="0" width="9"/>
    <col collapsed="false" customWidth="true" hidden="false" outlineLevel="0" max="9" min="9" style="0" width="12"/>
    <col collapsed="false" customWidth="true" hidden="false" outlineLevel="0" max="10" min="10" style="0" width="24"/>
    <col collapsed="false" customWidth="true" hidden="false" outlineLevel="0" max="11" min="11" style="0" width="16"/>
    <col collapsed="false" customWidth="true" hidden="false" outlineLevel="0" max="12" min="12" style="0" width="9"/>
    <col collapsed="false" customWidth="true" hidden="false" outlineLevel="0" max="13" min="13" style="0" width="11"/>
    <col collapsed="false" customWidth="true" hidden="false" outlineLevel="0" max="14" min="14" style="0" width="24"/>
    <col collapsed="false" customWidth="true" hidden="false" outlineLevel="0" max="15" min="15" style="0" width="22"/>
    <col collapsed="false" customWidth="true" hidden="true" outlineLevel="0" max="17" min="16" style="0" width="4"/>
  </cols>
  <sheetData>
    <row r="1" customFormat="false" ht="33.75" hidden="false" customHeight="true" outlineLevel="0" collapsed="false">
      <c r="A1" s="110" t="s">
        <v>3175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</row>
    <row r="2" customFormat="false" ht="15" hidden="false" customHeight="true" outlineLevel="0" collapsed="false">
      <c r="A2" s="61" t="s">
        <v>3176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</row>
    <row r="3" customFormat="false" ht="21.75" hidden="false" customHeight="true" outlineLevel="0" collapsed="false">
      <c r="A3" s="111" t="s">
        <v>3177</v>
      </c>
      <c r="B3" s="111"/>
      <c r="C3" s="63" t="n">
        <f aca="false">COUNTIF(N7:N3006,"À ENROBER")</f>
        <v>1139</v>
      </c>
      <c r="D3" s="111" t="s">
        <v>3178</v>
      </c>
      <c r="E3" s="111"/>
      <c r="F3" s="63" t="n">
        <f aca="false">COUNTIF(N7:N3006,"ENROBÉ")</f>
        <v>0</v>
      </c>
      <c r="G3" s="111" t="s">
        <v>3179</v>
      </c>
      <c r="H3" s="111"/>
      <c r="I3" s="63" t="n">
        <f aca="false">COUNTIF(N7:N3006,"EN ATTENTE RT")</f>
        <v>174</v>
      </c>
      <c r="J3" s="111" t="s">
        <v>3180</v>
      </c>
      <c r="K3" s="111"/>
      <c r="L3" s="63" t="n">
        <f aca="false">COUNTIF(N7:N3006,"À REPRENDRE")</f>
        <v>0</v>
      </c>
      <c r="M3" s="111" t="s">
        <v>3181</v>
      </c>
      <c r="N3" s="111"/>
      <c r="O3" s="63" t="n">
        <f aca="false">SUMPRODUCT(('CARNET DE SOUDURE'!$AW$7:$AW$3006&lt;&gt;"")*(COUNTIF(Q7:Q3006,'CARNET DE SOUDURE'!$AW$7:$AW$3006)=0))</f>
        <v>0</v>
      </c>
    </row>
    <row r="6" customFormat="false" ht="30" hidden="false" customHeight="true" outlineLevel="0" collapsed="false">
      <c r="A6" s="37" t="s">
        <v>61</v>
      </c>
      <c r="B6" s="112" t="s">
        <v>62</v>
      </c>
      <c r="C6" s="112" t="s">
        <v>3182</v>
      </c>
      <c r="D6" s="37" t="s">
        <v>64</v>
      </c>
      <c r="E6" s="37" t="s">
        <v>81</v>
      </c>
      <c r="F6" s="37" t="s">
        <v>102</v>
      </c>
      <c r="G6" s="37" t="s">
        <v>3183</v>
      </c>
      <c r="H6" s="37" t="s">
        <v>3184</v>
      </c>
      <c r="I6" s="112" t="s">
        <v>3185</v>
      </c>
      <c r="J6" s="112" t="s">
        <v>3186</v>
      </c>
      <c r="K6" s="112" t="s">
        <v>3187</v>
      </c>
      <c r="L6" s="112" t="s">
        <v>3188</v>
      </c>
      <c r="M6" s="112" t="s">
        <v>3189</v>
      </c>
      <c r="N6" s="37" t="s">
        <v>3190</v>
      </c>
      <c r="O6" s="112" t="s">
        <v>3030</v>
      </c>
      <c r="P6" s="37" t="s">
        <v>3191</v>
      </c>
      <c r="Q6" s="37" t="s">
        <v>3192</v>
      </c>
    </row>
    <row r="7" customFormat="false" ht="74.6" hidden="false" customHeight="false" outlineLevel="0" collapsed="false">
      <c r="A7" s="82" t="n">
        <f aca="false">IF(C7="","",ROW()-6)</f>
        <v>1</v>
      </c>
      <c r="B7" s="80" t="s">
        <v>110</v>
      </c>
      <c r="C7" s="113" t="s">
        <v>111</v>
      </c>
      <c r="D7" s="82" t="str">
        <f aca="false">IF(OR(C7="",P7=""),"",INDEX('CARNET DE SOUDURE'!$D$7:$D$3006,P7)&amp;"")</f>
        <v/>
      </c>
      <c r="E7" s="114" t="str">
        <f aca="false">IF(OR(C7="",P7=""),"",IF(INDEX('CARNET DE SOUDURE'!$U$7:$U$3006,P7)="","",INDEX('CARNET DE SOUDURE'!$U$7:$U$3006,P7)))</f>
        <v/>
      </c>
      <c r="F7" s="82" t="str">
        <f aca="false">IF(OR(C7="",P7=""),"",INDEX('CARNET DE SOUDURE'!$AP$7:$AP$3006,P7))</f>
        <v/>
      </c>
      <c r="G7" s="82" t="str">
        <f aca="false">IF(C7="","",IF(P7="","NJ INCONNU",INDEX('CARNET DE SOUDURE'!$AQ$7:$AQ$3006,P7)))</f>
        <v>À SOUDER</v>
      </c>
      <c r="H7" s="82" t="str">
        <f aca="false">IF(C7="","",IF(G7="ACCEPTÉ","OUI","NON"))</f>
        <v>NON</v>
      </c>
      <c r="I7" s="83"/>
      <c r="J7" s="80"/>
      <c r="K7" s="81"/>
      <c r="L7" s="81"/>
      <c r="M7" s="81"/>
      <c r="N7" s="84" t="str">
        <f aca="false">IF(C7="","",IF(P7="","NJ INCONNU",IF(I7="",IF(H7="OUI","À ENROBER",IF(G7="À SOUDER","NON SOUDÉ","EN ATTENTE RT")),IF(L7="R","À REPRENDRE",IF(H7&lt;&gt;"OUI","⚠ ENROBÉ AVANT ACCEPTATION RT","ENROBÉ")))))</f>
        <v>NON SOUDÉ</v>
      </c>
      <c r="O7" s="80"/>
      <c r="P7" s="82" t="n">
        <f aca="false">IF(C7="","",IFERROR(MATCH(Q7,'CARNET DE SOUDURE'!$AW$7:$AW$3006,0),""))</f>
        <v>1</v>
      </c>
      <c r="Q7" s="82" t="str">
        <f aca="false">IF(C7="","",B7&amp;"|"&amp;C7)</f>
        <v>MFD-ISW → MFD-CPF|JN°001</v>
      </c>
    </row>
    <row r="8" customFormat="false" ht="74.6" hidden="false" customHeight="false" outlineLevel="0" collapsed="false">
      <c r="A8" s="82" t="n">
        <f aca="false">IF(C8="","",ROW()-6)</f>
        <v>2</v>
      </c>
      <c r="B8" s="80" t="s">
        <v>110</v>
      </c>
      <c r="C8" s="113" t="s">
        <v>112</v>
      </c>
      <c r="D8" s="82" t="str">
        <f aca="false">IF(OR(C8="",P8=""),"",INDEX('CARNET DE SOUDURE'!$D$7:$D$3006,P8)&amp;"")</f>
        <v/>
      </c>
      <c r="E8" s="114" t="str">
        <f aca="false">IF(OR(C8="",P8=""),"",IF(INDEX('CARNET DE SOUDURE'!$U$7:$U$3006,P8)="","",INDEX('CARNET DE SOUDURE'!$U$7:$U$3006,P8)))</f>
        <v/>
      </c>
      <c r="F8" s="82" t="str">
        <f aca="false">IF(OR(C8="",P8=""),"",INDEX('CARNET DE SOUDURE'!$AP$7:$AP$3006,P8))</f>
        <v/>
      </c>
      <c r="G8" s="82" t="str">
        <f aca="false">IF(C8="","",IF(P8="","NJ INCONNU",INDEX('CARNET DE SOUDURE'!$AQ$7:$AQ$3006,P8)))</f>
        <v>À SOUDER</v>
      </c>
      <c r="H8" s="82" t="str">
        <f aca="false">IF(C8="","",IF(G8="ACCEPTÉ","OUI","NON"))</f>
        <v>NON</v>
      </c>
      <c r="I8" s="83"/>
      <c r="J8" s="80"/>
      <c r="K8" s="81"/>
      <c r="L8" s="81"/>
      <c r="M8" s="81"/>
      <c r="N8" s="84" t="str">
        <f aca="false">IF(C8="","",IF(P8="","NJ INCONNU",IF(I8="",IF(H8="OUI","À ENROBER",IF(G8="À SOUDER","NON SOUDÉ","EN ATTENTE RT")),IF(L8="R","À REPRENDRE",IF(H8&lt;&gt;"OUI","⚠ ENROBÉ AVANT ACCEPTATION RT","ENROBÉ")))))</f>
        <v>NON SOUDÉ</v>
      </c>
      <c r="O8" s="80"/>
      <c r="P8" s="82" t="n">
        <f aca="false">IF(C8="","",IFERROR(MATCH(Q8,'CARNET DE SOUDURE'!$AW$7:$AW$3006,0),""))</f>
        <v>2</v>
      </c>
      <c r="Q8" s="82" t="str">
        <f aca="false">IF(C8="","",B8&amp;"|"&amp;C8)</f>
        <v>MFD-ISW → MFD-CPF|JN°002</v>
      </c>
    </row>
    <row r="9" customFormat="false" ht="74.6" hidden="false" customHeight="false" outlineLevel="0" collapsed="false">
      <c r="A9" s="82" t="n">
        <f aca="false">IF(C9="","",ROW()-6)</f>
        <v>3</v>
      </c>
      <c r="B9" s="80" t="s">
        <v>110</v>
      </c>
      <c r="C9" s="113" t="s">
        <v>113</v>
      </c>
      <c r="D9" s="82" t="str">
        <f aca="false">IF(OR(C9="",P9=""),"",INDEX('CARNET DE SOUDURE'!$D$7:$D$3006,P9)&amp;"")</f>
        <v/>
      </c>
      <c r="E9" s="114" t="str">
        <f aca="false">IF(OR(C9="",P9=""),"",IF(INDEX('CARNET DE SOUDURE'!$U$7:$U$3006,P9)="","",INDEX('CARNET DE SOUDURE'!$U$7:$U$3006,P9)))</f>
        <v/>
      </c>
      <c r="F9" s="82" t="str">
        <f aca="false">IF(OR(C9="",P9=""),"",INDEX('CARNET DE SOUDURE'!$AP$7:$AP$3006,P9))</f>
        <v/>
      </c>
      <c r="G9" s="82" t="str">
        <f aca="false">IF(C9="","",IF(P9="","NJ INCONNU",INDEX('CARNET DE SOUDURE'!$AQ$7:$AQ$3006,P9)))</f>
        <v>À SOUDER</v>
      </c>
      <c r="H9" s="82" t="str">
        <f aca="false">IF(C9="","",IF(G9="ACCEPTÉ","OUI","NON"))</f>
        <v>NON</v>
      </c>
      <c r="I9" s="83"/>
      <c r="J9" s="80"/>
      <c r="K9" s="81"/>
      <c r="L9" s="81"/>
      <c r="M9" s="81"/>
      <c r="N9" s="84" t="str">
        <f aca="false">IF(C9="","",IF(P9="","NJ INCONNU",IF(I9="",IF(H9="OUI","À ENROBER",IF(G9="À SOUDER","NON SOUDÉ","EN ATTENTE RT")),IF(L9="R","À REPRENDRE",IF(H9&lt;&gt;"OUI","⚠ ENROBÉ AVANT ACCEPTATION RT","ENROBÉ")))))</f>
        <v>NON SOUDÉ</v>
      </c>
      <c r="O9" s="80"/>
      <c r="P9" s="82" t="n">
        <f aca="false">IF(C9="","",IFERROR(MATCH(Q9,'CARNET DE SOUDURE'!$AW$7:$AW$3006,0),""))</f>
        <v>3</v>
      </c>
      <c r="Q9" s="82" t="str">
        <f aca="false">IF(C9="","",B9&amp;"|"&amp;C9)</f>
        <v>MFD-ISW → MFD-CPF|JN°003</v>
      </c>
    </row>
    <row r="10" customFormat="false" ht="74.6" hidden="false" customHeight="false" outlineLevel="0" collapsed="false">
      <c r="A10" s="82" t="n">
        <f aca="false">IF(C10="","",ROW()-6)</f>
        <v>4</v>
      </c>
      <c r="B10" s="80" t="s">
        <v>110</v>
      </c>
      <c r="C10" s="113" t="s">
        <v>114</v>
      </c>
      <c r="D10" s="82" t="str">
        <f aca="false">IF(OR(C10="",P10=""),"",INDEX('CARNET DE SOUDURE'!$D$7:$D$3006,P10)&amp;"")</f>
        <v/>
      </c>
      <c r="E10" s="114" t="str">
        <f aca="false">IF(OR(C10="",P10=""),"",IF(INDEX('CARNET DE SOUDURE'!$U$7:$U$3006,P10)="","",INDEX('CARNET DE SOUDURE'!$U$7:$U$3006,P10)))</f>
        <v/>
      </c>
      <c r="F10" s="82" t="str">
        <f aca="false">IF(OR(C10="",P10=""),"",INDEX('CARNET DE SOUDURE'!$AP$7:$AP$3006,P10))</f>
        <v/>
      </c>
      <c r="G10" s="82" t="str">
        <f aca="false">IF(C10="","",IF(P10="","NJ INCONNU",INDEX('CARNET DE SOUDURE'!$AQ$7:$AQ$3006,P10)))</f>
        <v>À SOUDER</v>
      </c>
      <c r="H10" s="82" t="str">
        <f aca="false">IF(C10="","",IF(G10="ACCEPTÉ","OUI","NON"))</f>
        <v>NON</v>
      </c>
      <c r="I10" s="83"/>
      <c r="J10" s="80"/>
      <c r="K10" s="81"/>
      <c r="L10" s="81"/>
      <c r="M10" s="81"/>
      <c r="N10" s="84" t="str">
        <f aca="false">IF(C10="","",IF(P10="","NJ INCONNU",IF(I10="",IF(H10="OUI","À ENROBER",IF(G10="À SOUDER","NON SOUDÉ","EN ATTENTE RT")),IF(L10="R","À REPRENDRE",IF(H10&lt;&gt;"OUI","⚠ ENROBÉ AVANT ACCEPTATION RT","ENROBÉ")))))</f>
        <v>NON SOUDÉ</v>
      </c>
      <c r="O10" s="80"/>
      <c r="P10" s="82" t="n">
        <f aca="false">IF(C10="","",IFERROR(MATCH(Q10,'CARNET DE SOUDURE'!$AW$7:$AW$3006,0),""))</f>
        <v>4</v>
      </c>
      <c r="Q10" s="82" t="str">
        <f aca="false">IF(C10="","",B10&amp;"|"&amp;C10)</f>
        <v>MFD-ISW → MFD-CPF|JN°004</v>
      </c>
    </row>
    <row r="11" customFormat="false" ht="74.6" hidden="false" customHeight="false" outlineLevel="0" collapsed="false">
      <c r="A11" s="82" t="n">
        <f aca="false">IF(C11="","",ROW()-6)</f>
        <v>5</v>
      </c>
      <c r="B11" s="80" t="s">
        <v>110</v>
      </c>
      <c r="C11" s="113" t="s">
        <v>115</v>
      </c>
      <c r="D11" s="82" t="str">
        <f aca="false">IF(OR(C11="",P11=""),"",INDEX('CARNET DE SOUDURE'!$D$7:$D$3006,P11)&amp;"")</f>
        <v/>
      </c>
      <c r="E11" s="114" t="str">
        <f aca="false">IF(OR(C11="",P11=""),"",IF(INDEX('CARNET DE SOUDURE'!$U$7:$U$3006,P11)="","",INDEX('CARNET DE SOUDURE'!$U$7:$U$3006,P11)))</f>
        <v/>
      </c>
      <c r="F11" s="82" t="str">
        <f aca="false">IF(OR(C11="",P11=""),"",INDEX('CARNET DE SOUDURE'!$AP$7:$AP$3006,P11))</f>
        <v/>
      </c>
      <c r="G11" s="82" t="str">
        <f aca="false">IF(C11="","",IF(P11="","NJ INCONNU",INDEX('CARNET DE SOUDURE'!$AQ$7:$AQ$3006,P11)))</f>
        <v>À SOUDER</v>
      </c>
      <c r="H11" s="82" t="str">
        <f aca="false">IF(C11="","",IF(G11="ACCEPTÉ","OUI","NON"))</f>
        <v>NON</v>
      </c>
      <c r="I11" s="83"/>
      <c r="J11" s="80"/>
      <c r="K11" s="81"/>
      <c r="L11" s="81"/>
      <c r="M11" s="81"/>
      <c r="N11" s="84" t="str">
        <f aca="false">IF(C11="","",IF(P11="","NJ INCONNU",IF(I11="",IF(H11="OUI","À ENROBER",IF(G11="À SOUDER","NON SOUDÉ","EN ATTENTE RT")),IF(L11="R","À REPRENDRE",IF(H11&lt;&gt;"OUI","⚠ ENROBÉ AVANT ACCEPTATION RT","ENROBÉ")))))</f>
        <v>NON SOUDÉ</v>
      </c>
      <c r="O11" s="80"/>
      <c r="P11" s="82" t="n">
        <f aca="false">IF(C11="","",IFERROR(MATCH(Q11,'CARNET DE SOUDURE'!$AW$7:$AW$3006,0),""))</f>
        <v>5</v>
      </c>
      <c r="Q11" s="82" t="str">
        <f aca="false">IF(C11="","",B11&amp;"|"&amp;C11)</f>
        <v>MFD-ISW → MFD-CPF|JN°005</v>
      </c>
    </row>
    <row r="12" customFormat="false" ht="74.6" hidden="false" customHeight="false" outlineLevel="0" collapsed="false">
      <c r="A12" s="82" t="n">
        <f aca="false">IF(C12="","",ROW()-6)</f>
        <v>6</v>
      </c>
      <c r="B12" s="80" t="s">
        <v>110</v>
      </c>
      <c r="C12" s="113" t="s">
        <v>116</v>
      </c>
      <c r="D12" s="82" t="str">
        <f aca="false">IF(OR(C12="",P12=""),"",INDEX('CARNET DE SOUDURE'!$D$7:$D$3006,P12)&amp;"")</f>
        <v/>
      </c>
      <c r="E12" s="114" t="str">
        <f aca="false">IF(OR(C12="",P12=""),"",IF(INDEX('CARNET DE SOUDURE'!$U$7:$U$3006,P12)="","",INDEX('CARNET DE SOUDURE'!$U$7:$U$3006,P12)))</f>
        <v/>
      </c>
      <c r="F12" s="82" t="str">
        <f aca="false">IF(OR(C12="",P12=""),"",INDEX('CARNET DE SOUDURE'!$AP$7:$AP$3006,P12))</f>
        <v/>
      </c>
      <c r="G12" s="82" t="str">
        <f aca="false">IF(C12="","",IF(P12="","NJ INCONNU",INDEX('CARNET DE SOUDURE'!$AQ$7:$AQ$3006,P12)))</f>
        <v>À SOUDER</v>
      </c>
      <c r="H12" s="82" t="str">
        <f aca="false">IF(C12="","",IF(G12="ACCEPTÉ","OUI","NON"))</f>
        <v>NON</v>
      </c>
      <c r="I12" s="83"/>
      <c r="J12" s="80"/>
      <c r="K12" s="81"/>
      <c r="L12" s="81"/>
      <c r="M12" s="81"/>
      <c r="N12" s="84" t="str">
        <f aca="false">IF(C12="","",IF(P12="","NJ INCONNU",IF(I12="",IF(H12="OUI","À ENROBER",IF(G12="À SOUDER","NON SOUDÉ","EN ATTENTE RT")),IF(L12="R","À REPRENDRE",IF(H12&lt;&gt;"OUI","⚠ ENROBÉ AVANT ACCEPTATION RT","ENROBÉ")))))</f>
        <v>NON SOUDÉ</v>
      </c>
      <c r="O12" s="80"/>
      <c r="P12" s="82" t="n">
        <f aca="false">IF(C12="","",IFERROR(MATCH(Q12,'CARNET DE SOUDURE'!$AW$7:$AW$3006,0),""))</f>
        <v>6</v>
      </c>
      <c r="Q12" s="82" t="str">
        <f aca="false">IF(C12="","",B12&amp;"|"&amp;C12)</f>
        <v>MFD-ISW → MFD-CPF|JN°006</v>
      </c>
    </row>
    <row r="13" customFormat="false" ht="74.6" hidden="false" customHeight="false" outlineLevel="0" collapsed="false">
      <c r="A13" s="82" t="n">
        <f aca="false">IF(C13="","",ROW()-6)</f>
        <v>7</v>
      </c>
      <c r="B13" s="80" t="s">
        <v>110</v>
      </c>
      <c r="C13" s="113" t="s">
        <v>117</v>
      </c>
      <c r="D13" s="82" t="str">
        <f aca="false">IF(OR(C13="",P13=""),"",INDEX('CARNET DE SOUDURE'!$D$7:$D$3006,P13)&amp;"")</f>
        <v/>
      </c>
      <c r="E13" s="114" t="str">
        <f aca="false">IF(OR(C13="",P13=""),"",IF(INDEX('CARNET DE SOUDURE'!$U$7:$U$3006,P13)="","",INDEX('CARNET DE SOUDURE'!$U$7:$U$3006,P13)))</f>
        <v/>
      </c>
      <c r="F13" s="82" t="str">
        <f aca="false">IF(OR(C13="",P13=""),"",INDEX('CARNET DE SOUDURE'!$AP$7:$AP$3006,P13))</f>
        <v/>
      </c>
      <c r="G13" s="82" t="str">
        <f aca="false">IF(C13="","",IF(P13="","NJ INCONNU",INDEX('CARNET DE SOUDURE'!$AQ$7:$AQ$3006,P13)))</f>
        <v>À SOUDER</v>
      </c>
      <c r="H13" s="82" t="str">
        <f aca="false">IF(C13="","",IF(G13="ACCEPTÉ","OUI","NON"))</f>
        <v>NON</v>
      </c>
      <c r="I13" s="83"/>
      <c r="J13" s="80"/>
      <c r="K13" s="81"/>
      <c r="L13" s="81"/>
      <c r="M13" s="81"/>
      <c r="N13" s="84" t="str">
        <f aca="false">IF(C13="","",IF(P13="","NJ INCONNU",IF(I13="",IF(H13="OUI","À ENROBER",IF(G13="À SOUDER","NON SOUDÉ","EN ATTENTE RT")),IF(L13="R","À REPRENDRE",IF(H13&lt;&gt;"OUI","⚠ ENROBÉ AVANT ACCEPTATION RT","ENROBÉ")))))</f>
        <v>NON SOUDÉ</v>
      </c>
      <c r="O13" s="80"/>
      <c r="P13" s="82" t="n">
        <f aca="false">IF(C13="","",IFERROR(MATCH(Q13,'CARNET DE SOUDURE'!$AW$7:$AW$3006,0),""))</f>
        <v>7</v>
      </c>
      <c r="Q13" s="82" t="str">
        <f aca="false">IF(C13="","",B13&amp;"|"&amp;C13)</f>
        <v>MFD-ISW → MFD-CPF|JN°007</v>
      </c>
    </row>
    <row r="14" customFormat="false" ht="74.6" hidden="false" customHeight="false" outlineLevel="0" collapsed="false">
      <c r="A14" s="82" t="n">
        <f aca="false">IF(C14="","",ROW()-6)</f>
        <v>8</v>
      </c>
      <c r="B14" s="80" t="s">
        <v>110</v>
      </c>
      <c r="C14" s="113" t="s">
        <v>118</v>
      </c>
      <c r="D14" s="82" t="str">
        <f aca="false">IF(OR(C14="",P14=""),"",INDEX('CARNET DE SOUDURE'!$D$7:$D$3006,P14)&amp;"")</f>
        <v/>
      </c>
      <c r="E14" s="114" t="str">
        <f aca="false">IF(OR(C14="",P14=""),"",IF(INDEX('CARNET DE SOUDURE'!$U$7:$U$3006,P14)="","",INDEX('CARNET DE SOUDURE'!$U$7:$U$3006,P14)))</f>
        <v/>
      </c>
      <c r="F14" s="82" t="str">
        <f aca="false">IF(OR(C14="",P14=""),"",INDEX('CARNET DE SOUDURE'!$AP$7:$AP$3006,P14))</f>
        <v/>
      </c>
      <c r="G14" s="82" t="str">
        <f aca="false">IF(C14="","",IF(P14="","NJ INCONNU",INDEX('CARNET DE SOUDURE'!$AQ$7:$AQ$3006,P14)))</f>
        <v>À SOUDER</v>
      </c>
      <c r="H14" s="82" t="str">
        <f aca="false">IF(C14="","",IF(G14="ACCEPTÉ","OUI","NON"))</f>
        <v>NON</v>
      </c>
      <c r="I14" s="83"/>
      <c r="J14" s="80"/>
      <c r="K14" s="81"/>
      <c r="L14" s="81"/>
      <c r="M14" s="81"/>
      <c r="N14" s="84" t="str">
        <f aca="false">IF(C14="","",IF(P14="","NJ INCONNU",IF(I14="",IF(H14="OUI","À ENROBER",IF(G14="À SOUDER","NON SOUDÉ","EN ATTENTE RT")),IF(L14="R","À REPRENDRE",IF(H14&lt;&gt;"OUI","⚠ ENROBÉ AVANT ACCEPTATION RT","ENROBÉ")))))</f>
        <v>NON SOUDÉ</v>
      </c>
      <c r="O14" s="80"/>
      <c r="P14" s="82" t="n">
        <f aca="false">IF(C14="","",IFERROR(MATCH(Q14,'CARNET DE SOUDURE'!$AW$7:$AW$3006,0),""))</f>
        <v>8</v>
      </c>
      <c r="Q14" s="82" t="str">
        <f aca="false">IF(C14="","",B14&amp;"|"&amp;C14)</f>
        <v>MFD-ISW → MFD-CPF|JN°008</v>
      </c>
    </row>
    <row r="15" customFormat="false" ht="74.6" hidden="false" customHeight="false" outlineLevel="0" collapsed="false">
      <c r="A15" s="82" t="n">
        <f aca="false">IF(C15="","",ROW()-6)</f>
        <v>9</v>
      </c>
      <c r="B15" s="80" t="s">
        <v>110</v>
      </c>
      <c r="C15" s="113" t="s">
        <v>119</v>
      </c>
      <c r="D15" s="82" t="str">
        <f aca="false">IF(OR(C15="",P15=""),"",INDEX('CARNET DE SOUDURE'!$D$7:$D$3006,P15)&amp;"")</f>
        <v/>
      </c>
      <c r="E15" s="114" t="str">
        <f aca="false">IF(OR(C15="",P15=""),"",IF(INDEX('CARNET DE SOUDURE'!$U$7:$U$3006,P15)="","",INDEX('CARNET DE SOUDURE'!$U$7:$U$3006,P15)))</f>
        <v/>
      </c>
      <c r="F15" s="82" t="str">
        <f aca="false">IF(OR(C15="",P15=""),"",INDEX('CARNET DE SOUDURE'!$AP$7:$AP$3006,P15))</f>
        <v/>
      </c>
      <c r="G15" s="82" t="str">
        <f aca="false">IF(C15="","",IF(P15="","NJ INCONNU",INDEX('CARNET DE SOUDURE'!$AQ$7:$AQ$3006,P15)))</f>
        <v>À SOUDER</v>
      </c>
      <c r="H15" s="82" t="str">
        <f aca="false">IF(C15="","",IF(G15="ACCEPTÉ","OUI","NON"))</f>
        <v>NON</v>
      </c>
      <c r="I15" s="83"/>
      <c r="J15" s="80"/>
      <c r="K15" s="81"/>
      <c r="L15" s="81"/>
      <c r="M15" s="81"/>
      <c r="N15" s="84" t="str">
        <f aca="false">IF(C15="","",IF(P15="","NJ INCONNU",IF(I15="",IF(H15="OUI","À ENROBER",IF(G15="À SOUDER","NON SOUDÉ","EN ATTENTE RT")),IF(L15="R","À REPRENDRE",IF(H15&lt;&gt;"OUI","⚠ ENROBÉ AVANT ACCEPTATION RT","ENROBÉ")))))</f>
        <v>NON SOUDÉ</v>
      </c>
      <c r="O15" s="80"/>
      <c r="P15" s="82" t="n">
        <f aca="false">IF(C15="","",IFERROR(MATCH(Q15,'CARNET DE SOUDURE'!$AW$7:$AW$3006,0),""))</f>
        <v>9</v>
      </c>
      <c r="Q15" s="82" t="str">
        <f aca="false">IF(C15="","",B15&amp;"|"&amp;C15)</f>
        <v>MFD-ISW → MFD-CPF|JN°009</v>
      </c>
    </row>
    <row r="16" customFormat="false" ht="74.6" hidden="false" customHeight="false" outlineLevel="0" collapsed="false">
      <c r="A16" s="82" t="n">
        <f aca="false">IF(C16="","",ROW()-6)</f>
        <v>10</v>
      </c>
      <c r="B16" s="80" t="s">
        <v>110</v>
      </c>
      <c r="C16" s="113" t="s">
        <v>120</v>
      </c>
      <c r="D16" s="82" t="str">
        <f aca="false">IF(OR(C16="",P16=""),"",INDEX('CARNET DE SOUDURE'!$D$7:$D$3006,P16)&amp;"")</f>
        <v/>
      </c>
      <c r="E16" s="114" t="str">
        <f aca="false">IF(OR(C16="",P16=""),"",IF(INDEX('CARNET DE SOUDURE'!$U$7:$U$3006,P16)="","",INDEX('CARNET DE SOUDURE'!$U$7:$U$3006,P16)))</f>
        <v/>
      </c>
      <c r="F16" s="82" t="str">
        <f aca="false">IF(OR(C16="",P16=""),"",INDEX('CARNET DE SOUDURE'!$AP$7:$AP$3006,P16))</f>
        <v/>
      </c>
      <c r="G16" s="82" t="str">
        <f aca="false">IF(C16="","",IF(P16="","NJ INCONNU",INDEX('CARNET DE SOUDURE'!$AQ$7:$AQ$3006,P16)))</f>
        <v>À SOUDER</v>
      </c>
      <c r="H16" s="82" t="str">
        <f aca="false">IF(C16="","",IF(G16="ACCEPTÉ","OUI","NON"))</f>
        <v>NON</v>
      </c>
      <c r="I16" s="83"/>
      <c r="J16" s="80"/>
      <c r="K16" s="81"/>
      <c r="L16" s="81"/>
      <c r="M16" s="81"/>
      <c r="N16" s="84" t="str">
        <f aca="false">IF(C16="","",IF(P16="","NJ INCONNU",IF(I16="",IF(H16="OUI","À ENROBER",IF(G16="À SOUDER","NON SOUDÉ","EN ATTENTE RT")),IF(L16="R","À REPRENDRE",IF(H16&lt;&gt;"OUI","⚠ ENROBÉ AVANT ACCEPTATION RT","ENROBÉ")))))</f>
        <v>NON SOUDÉ</v>
      </c>
      <c r="O16" s="80"/>
      <c r="P16" s="82" t="n">
        <f aca="false">IF(C16="","",IFERROR(MATCH(Q16,'CARNET DE SOUDURE'!$AW$7:$AW$3006,0),""))</f>
        <v>10</v>
      </c>
      <c r="Q16" s="82" t="str">
        <f aca="false">IF(C16="","",B16&amp;"|"&amp;C16)</f>
        <v>MFD-ISW → MFD-CPF|JN°010</v>
      </c>
    </row>
    <row r="17" customFormat="false" ht="74.6" hidden="false" customHeight="false" outlineLevel="0" collapsed="false">
      <c r="A17" s="82" t="n">
        <f aca="false">IF(C17="","",ROW()-6)</f>
        <v>11</v>
      </c>
      <c r="B17" s="80" t="s">
        <v>110</v>
      </c>
      <c r="C17" s="113" t="s">
        <v>121</v>
      </c>
      <c r="D17" s="82" t="str">
        <f aca="false">IF(OR(C17="",P17=""),"",INDEX('CARNET DE SOUDURE'!$D$7:$D$3006,P17)&amp;"")</f>
        <v/>
      </c>
      <c r="E17" s="114" t="str">
        <f aca="false">IF(OR(C17="",P17=""),"",IF(INDEX('CARNET DE SOUDURE'!$U$7:$U$3006,P17)="","",INDEX('CARNET DE SOUDURE'!$U$7:$U$3006,P17)))</f>
        <v/>
      </c>
      <c r="F17" s="82" t="str">
        <f aca="false">IF(OR(C17="",P17=""),"",INDEX('CARNET DE SOUDURE'!$AP$7:$AP$3006,P17))</f>
        <v/>
      </c>
      <c r="G17" s="82" t="str">
        <f aca="false">IF(C17="","",IF(P17="","NJ INCONNU",INDEX('CARNET DE SOUDURE'!$AQ$7:$AQ$3006,P17)))</f>
        <v>À SOUDER</v>
      </c>
      <c r="H17" s="82" t="str">
        <f aca="false">IF(C17="","",IF(G17="ACCEPTÉ","OUI","NON"))</f>
        <v>NON</v>
      </c>
      <c r="I17" s="83"/>
      <c r="J17" s="80"/>
      <c r="K17" s="81"/>
      <c r="L17" s="81"/>
      <c r="M17" s="81"/>
      <c r="N17" s="84" t="str">
        <f aca="false">IF(C17="","",IF(P17="","NJ INCONNU",IF(I17="",IF(H17="OUI","À ENROBER",IF(G17="À SOUDER","NON SOUDÉ","EN ATTENTE RT")),IF(L17="R","À REPRENDRE",IF(H17&lt;&gt;"OUI","⚠ ENROBÉ AVANT ACCEPTATION RT","ENROBÉ")))))</f>
        <v>NON SOUDÉ</v>
      </c>
      <c r="O17" s="80"/>
      <c r="P17" s="82" t="n">
        <f aca="false">IF(C17="","",IFERROR(MATCH(Q17,'CARNET DE SOUDURE'!$AW$7:$AW$3006,0),""))</f>
        <v>11</v>
      </c>
      <c r="Q17" s="82" t="str">
        <f aca="false">IF(C17="","",B17&amp;"|"&amp;C17)</f>
        <v>MFD-ISW → MFD-CPF|JN°011</v>
      </c>
    </row>
    <row r="18" customFormat="false" ht="74.6" hidden="false" customHeight="false" outlineLevel="0" collapsed="false">
      <c r="A18" s="82" t="n">
        <f aca="false">IF(C18="","",ROW()-6)</f>
        <v>12</v>
      </c>
      <c r="B18" s="80" t="s">
        <v>110</v>
      </c>
      <c r="C18" s="113" t="s">
        <v>122</v>
      </c>
      <c r="D18" s="82" t="str">
        <f aca="false">IF(OR(C18="",P18=""),"",INDEX('CARNET DE SOUDURE'!$D$7:$D$3006,P18)&amp;"")</f>
        <v/>
      </c>
      <c r="E18" s="114" t="str">
        <f aca="false">IF(OR(C18="",P18=""),"",IF(INDEX('CARNET DE SOUDURE'!$U$7:$U$3006,P18)="","",INDEX('CARNET DE SOUDURE'!$U$7:$U$3006,P18)))</f>
        <v/>
      </c>
      <c r="F18" s="82" t="str">
        <f aca="false">IF(OR(C18="",P18=""),"",INDEX('CARNET DE SOUDURE'!$AP$7:$AP$3006,P18))</f>
        <v/>
      </c>
      <c r="G18" s="82" t="str">
        <f aca="false">IF(C18="","",IF(P18="","NJ INCONNU",INDEX('CARNET DE SOUDURE'!$AQ$7:$AQ$3006,P18)))</f>
        <v>À SOUDER</v>
      </c>
      <c r="H18" s="82" t="str">
        <f aca="false">IF(C18="","",IF(G18="ACCEPTÉ","OUI","NON"))</f>
        <v>NON</v>
      </c>
      <c r="I18" s="83"/>
      <c r="J18" s="80"/>
      <c r="K18" s="81"/>
      <c r="L18" s="81"/>
      <c r="M18" s="81"/>
      <c r="N18" s="84" t="str">
        <f aca="false">IF(C18="","",IF(P18="","NJ INCONNU",IF(I18="",IF(H18="OUI","À ENROBER",IF(G18="À SOUDER","NON SOUDÉ","EN ATTENTE RT")),IF(L18="R","À REPRENDRE",IF(H18&lt;&gt;"OUI","⚠ ENROBÉ AVANT ACCEPTATION RT","ENROBÉ")))))</f>
        <v>NON SOUDÉ</v>
      </c>
      <c r="O18" s="80"/>
      <c r="P18" s="82" t="n">
        <f aca="false">IF(C18="","",IFERROR(MATCH(Q18,'CARNET DE SOUDURE'!$AW$7:$AW$3006,0),""))</f>
        <v>12</v>
      </c>
      <c r="Q18" s="82" t="str">
        <f aca="false">IF(C18="","",B18&amp;"|"&amp;C18)</f>
        <v>MFD-ISW → MFD-CPF|JN°012</v>
      </c>
    </row>
    <row r="19" customFormat="false" ht="74.6" hidden="false" customHeight="false" outlineLevel="0" collapsed="false">
      <c r="A19" s="82" t="n">
        <f aca="false">IF(C19="","",ROW()-6)</f>
        <v>13</v>
      </c>
      <c r="B19" s="80" t="s">
        <v>110</v>
      </c>
      <c r="C19" s="113" t="s">
        <v>123</v>
      </c>
      <c r="D19" s="82" t="str">
        <f aca="false">IF(OR(C19="",P19=""),"",INDEX('CARNET DE SOUDURE'!$D$7:$D$3006,P19)&amp;"")</f>
        <v/>
      </c>
      <c r="E19" s="114" t="str">
        <f aca="false">IF(OR(C19="",P19=""),"",IF(INDEX('CARNET DE SOUDURE'!$U$7:$U$3006,P19)="","",INDEX('CARNET DE SOUDURE'!$U$7:$U$3006,P19)))</f>
        <v/>
      </c>
      <c r="F19" s="82" t="str">
        <f aca="false">IF(OR(C19="",P19=""),"",INDEX('CARNET DE SOUDURE'!$AP$7:$AP$3006,P19))</f>
        <v/>
      </c>
      <c r="G19" s="82" t="str">
        <f aca="false">IF(C19="","",IF(P19="","NJ INCONNU",INDEX('CARNET DE SOUDURE'!$AQ$7:$AQ$3006,P19)))</f>
        <v>À SOUDER</v>
      </c>
      <c r="H19" s="82" t="str">
        <f aca="false">IF(C19="","",IF(G19="ACCEPTÉ","OUI","NON"))</f>
        <v>NON</v>
      </c>
      <c r="I19" s="83"/>
      <c r="J19" s="80"/>
      <c r="K19" s="81"/>
      <c r="L19" s="81"/>
      <c r="M19" s="81"/>
      <c r="N19" s="84" t="str">
        <f aca="false">IF(C19="","",IF(P19="","NJ INCONNU",IF(I19="",IF(H19="OUI","À ENROBER",IF(G19="À SOUDER","NON SOUDÉ","EN ATTENTE RT")),IF(L19="R","À REPRENDRE",IF(H19&lt;&gt;"OUI","⚠ ENROBÉ AVANT ACCEPTATION RT","ENROBÉ")))))</f>
        <v>NON SOUDÉ</v>
      </c>
      <c r="O19" s="80"/>
      <c r="P19" s="82" t="n">
        <f aca="false">IF(C19="","",IFERROR(MATCH(Q19,'CARNET DE SOUDURE'!$AW$7:$AW$3006,0),""))</f>
        <v>13</v>
      </c>
      <c r="Q19" s="82" t="str">
        <f aca="false">IF(C19="","",B19&amp;"|"&amp;C19)</f>
        <v>MFD-ISW → MFD-CPF|JN°013</v>
      </c>
    </row>
    <row r="20" customFormat="false" ht="74.6" hidden="false" customHeight="false" outlineLevel="0" collapsed="false">
      <c r="A20" s="82" t="n">
        <f aca="false">IF(C20="","",ROW()-6)</f>
        <v>14</v>
      </c>
      <c r="B20" s="80" t="s">
        <v>110</v>
      </c>
      <c r="C20" s="113" t="s">
        <v>124</v>
      </c>
      <c r="D20" s="82" t="str">
        <f aca="false">IF(OR(C20="",P20=""),"",INDEX('CARNET DE SOUDURE'!$D$7:$D$3006,P20)&amp;"")</f>
        <v/>
      </c>
      <c r="E20" s="114" t="str">
        <f aca="false">IF(OR(C20="",P20=""),"",IF(INDEX('CARNET DE SOUDURE'!$U$7:$U$3006,P20)="","",INDEX('CARNET DE SOUDURE'!$U$7:$U$3006,P20)))</f>
        <v/>
      </c>
      <c r="F20" s="82" t="str">
        <f aca="false">IF(OR(C20="",P20=""),"",INDEX('CARNET DE SOUDURE'!$AP$7:$AP$3006,P20))</f>
        <v/>
      </c>
      <c r="G20" s="82" t="str">
        <f aca="false">IF(C20="","",IF(P20="","NJ INCONNU",INDEX('CARNET DE SOUDURE'!$AQ$7:$AQ$3006,P20)))</f>
        <v>À SOUDER</v>
      </c>
      <c r="H20" s="82" t="str">
        <f aca="false">IF(C20="","",IF(G20="ACCEPTÉ","OUI","NON"))</f>
        <v>NON</v>
      </c>
      <c r="I20" s="83"/>
      <c r="J20" s="80"/>
      <c r="K20" s="81"/>
      <c r="L20" s="81"/>
      <c r="M20" s="81"/>
      <c r="N20" s="84" t="str">
        <f aca="false">IF(C20="","",IF(P20="","NJ INCONNU",IF(I20="",IF(H20="OUI","À ENROBER",IF(G20="À SOUDER","NON SOUDÉ","EN ATTENTE RT")),IF(L20="R","À REPRENDRE",IF(H20&lt;&gt;"OUI","⚠ ENROBÉ AVANT ACCEPTATION RT","ENROBÉ")))))</f>
        <v>NON SOUDÉ</v>
      </c>
      <c r="O20" s="80"/>
      <c r="P20" s="82" t="n">
        <f aca="false">IF(C20="","",IFERROR(MATCH(Q20,'CARNET DE SOUDURE'!$AW$7:$AW$3006,0),""))</f>
        <v>14</v>
      </c>
      <c r="Q20" s="82" t="str">
        <f aca="false">IF(C20="","",B20&amp;"|"&amp;C20)</f>
        <v>MFD-ISW → MFD-CPF|JN°014</v>
      </c>
    </row>
    <row r="21" customFormat="false" ht="74.6" hidden="false" customHeight="false" outlineLevel="0" collapsed="false">
      <c r="A21" s="82" t="n">
        <f aca="false">IF(C21="","",ROW()-6)</f>
        <v>15</v>
      </c>
      <c r="B21" s="80" t="s">
        <v>110</v>
      </c>
      <c r="C21" s="113" t="s">
        <v>125</v>
      </c>
      <c r="D21" s="82" t="str">
        <f aca="false">IF(OR(C21="",P21=""),"",INDEX('CARNET DE SOUDURE'!$D$7:$D$3006,P21)&amp;"")</f>
        <v/>
      </c>
      <c r="E21" s="114" t="str">
        <f aca="false">IF(OR(C21="",P21=""),"",IF(INDEX('CARNET DE SOUDURE'!$U$7:$U$3006,P21)="","",INDEX('CARNET DE SOUDURE'!$U$7:$U$3006,P21)))</f>
        <v/>
      </c>
      <c r="F21" s="82" t="str">
        <f aca="false">IF(OR(C21="",P21=""),"",INDEX('CARNET DE SOUDURE'!$AP$7:$AP$3006,P21))</f>
        <v/>
      </c>
      <c r="G21" s="82" t="str">
        <f aca="false">IF(C21="","",IF(P21="","NJ INCONNU",INDEX('CARNET DE SOUDURE'!$AQ$7:$AQ$3006,P21)))</f>
        <v>À SOUDER</v>
      </c>
      <c r="H21" s="82" t="str">
        <f aca="false">IF(C21="","",IF(G21="ACCEPTÉ","OUI","NON"))</f>
        <v>NON</v>
      </c>
      <c r="I21" s="83"/>
      <c r="J21" s="80"/>
      <c r="K21" s="81"/>
      <c r="L21" s="81"/>
      <c r="M21" s="81"/>
      <c r="N21" s="84" t="str">
        <f aca="false">IF(C21="","",IF(P21="","NJ INCONNU",IF(I21="",IF(H21="OUI","À ENROBER",IF(G21="À SOUDER","NON SOUDÉ","EN ATTENTE RT")),IF(L21="R","À REPRENDRE",IF(H21&lt;&gt;"OUI","⚠ ENROBÉ AVANT ACCEPTATION RT","ENROBÉ")))))</f>
        <v>NON SOUDÉ</v>
      </c>
      <c r="O21" s="80"/>
      <c r="P21" s="82" t="n">
        <f aca="false">IF(C21="","",IFERROR(MATCH(Q21,'CARNET DE SOUDURE'!$AW$7:$AW$3006,0),""))</f>
        <v>15</v>
      </c>
      <c r="Q21" s="82" t="str">
        <f aca="false">IF(C21="","",B21&amp;"|"&amp;C21)</f>
        <v>MFD-ISW → MFD-CPF|JN°015</v>
      </c>
    </row>
    <row r="22" customFormat="false" ht="74.6" hidden="false" customHeight="false" outlineLevel="0" collapsed="false">
      <c r="A22" s="82" t="n">
        <f aca="false">IF(C22="","",ROW()-6)</f>
        <v>16</v>
      </c>
      <c r="B22" s="80" t="s">
        <v>110</v>
      </c>
      <c r="C22" s="113" t="s">
        <v>126</v>
      </c>
      <c r="D22" s="82" t="str">
        <f aca="false">IF(OR(C22="",P22=""),"",INDEX('CARNET DE SOUDURE'!$D$7:$D$3006,P22)&amp;"")</f>
        <v/>
      </c>
      <c r="E22" s="114" t="str">
        <f aca="false">IF(OR(C22="",P22=""),"",IF(INDEX('CARNET DE SOUDURE'!$U$7:$U$3006,P22)="","",INDEX('CARNET DE SOUDURE'!$U$7:$U$3006,P22)))</f>
        <v/>
      </c>
      <c r="F22" s="82" t="str">
        <f aca="false">IF(OR(C22="",P22=""),"",INDEX('CARNET DE SOUDURE'!$AP$7:$AP$3006,P22))</f>
        <v/>
      </c>
      <c r="G22" s="82" t="str">
        <f aca="false">IF(C22="","",IF(P22="","NJ INCONNU",INDEX('CARNET DE SOUDURE'!$AQ$7:$AQ$3006,P22)))</f>
        <v>À SOUDER</v>
      </c>
      <c r="H22" s="82" t="str">
        <f aca="false">IF(C22="","",IF(G22="ACCEPTÉ","OUI","NON"))</f>
        <v>NON</v>
      </c>
      <c r="I22" s="83"/>
      <c r="J22" s="80"/>
      <c r="K22" s="81"/>
      <c r="L22" s="81"/>
      <c r="M22" s="81"/>
      <c r="N22" s="84" t="str">
        <f aca="false">IF(C22="","",IF(P22="","NJ INCONNU",IF(I22="",IF(H22="OUI","À ENROBER",IF(G22="À SOUDER","NON SOUDÉ","EN ATTENTE RT")),IF(L22="R","À REPRENDRE",IF(H22&lt;&gt;"OUI","⚠ ENROBÉ AVANT ACCEPTATION RT","ENROBÉ")))))</f>
        <v>NON SOUDÉ</v>
      </c>
      <c r="O22" s="80"/>
      <c r="P22" s="82" t="n">
        <f aca="false">IF(C22="","",IFERROR(MATCH(Q22,'CARNET DE SOUDURE'!$AW$7:$AW$3006,0),""))</f>
        <v>16</v>
      </c>
      <c r="Q22" s="82" t="str">
        <f aca="false">IF(C22="","",B22&amp;"|"&amp;C22)</f>
        <v>MFD-ISW → MFD-CPF|JN°016</v>
      </c>
    </row>
    <row r="23" customFormat="false" ht="74.6" hidden="false" customHeight="false" outlineLevel="0" collapsed="false">
      <c r="A23" s="82" t="n">
        <f aca="false">IF(C23="","",ROW()-6)</f>
        <v>17</v>
      </c>
      <c r="B23" s="80" t="s">
        <v>110</v>
      </c>
      <c r="C23" s="113" t="s">
        <v>127</v>
      </c>
      <c r="D23" s="82" t="str">
        <f aca="false">IF(OR(C23="",P23=""),"",INDEX('CARNET DE SOUDURE'!$D$7:$D$3006,P23)&amp;"")</f>
        <v/>
      </c>
      <c r="E23" s="114" t="str">
        <f aca="false">IF(OR(C23="",P23=""),"",IF(INDEX('CARNET DE SOUDURE'!$U$7:$U$3006,P23)="","",INDEX('CARNET DE SOUDURE'!$U$7:$U$3006,P23)))</f>
        <v/>
      </c>
      <c r="F23" s="82" t="str">
        <f aca="false">IF(OR(C23="",P23=""),"",INDEX('CARNET DE SOUDURE'!$AP$7:$AP$3006,P23))</f>
        <v/>
      </c>
      <c r="G23" s="82" t="str">
        <f aca="false">IF(C23="","",IF(P23="","NJ INCONNU",INDEX('CARNET DE SOUDURE'!$AQ$7:$AQ$3006,P23)))</f>
        <v>À SOUDER</v>
      </c>
      <c r="H23" s="82" t="str">
        <f aca="false">IF(C23="","",IF(G23="ACCEPTÉ","OUI","NON"))</f>
        <v>NON</v>
      </c>
      <c r="I23" s="83"/>
      <c r="J23" s="80"/>
      <c r="K23" s="81"/>
      <c r="L23" s="81"/>
      <c r="M23" s="81"/>
      <c r="N23" s="84" t="str">
        <f aca="false">IF(C23="","",IF(P23="","NJ INCONNU",IF(I23="",IF(H23="OUI","À ENROBER",IF(G23="À SOUDER","NON SOUDÉ","EN ATTENTE RT")),IF(L23="R","À REPRENDRE",IF(H23&lt;&gt;"OUI","⚠ ENROBÉ AVANT ACCEPTATION RT","ENROBÉ")))))</f>
        <v>NON SOUDÉ</v>
      </c>
      <c r="O23" s="80"/>
      <c r="P23" s="82" t="n">
        <f aca="false">IF(C23="","",IFERROR(MATCH(Q23,'CARNET DE SOUDURE'!$AW$7:$AW$3006,0),""))</f>
        <v>17</v>
      </c>
      <c r="Q23" s="82" t="str">
        <f aca="false">IF(C23="","",B23&amp;"|"&amp;C23)</f>
        <v>MFD-ISW → MFD-CPF|JN°017</v>
      </c>
    </row>
    <row r="24" customFormat="false" ht="74.6" hidden="false" customHeight="false" outlineLevel="0" collapsed="false">
      <c r="A24" s="82" t="n">
        <f aca="false">IF(C24="","",ROW()-6)</f>
        <v>18</v>
      </c>
      <c r="B24" s="80" t="s">
        <v>110</v>
      </c>
      <c r="C24" s="113" t="s">
        <v>128</v>
      </c>
      <c r="D24" s="82" t="str">
        <f aca="false">IF(OR(C24="",P24=""),"",INDEX('CARNET DE SOUDURE'!$D$7:$D$3006,P24)&amp;"")</f>
        <v/>
      </c>
      <c r="E24" s="114" t="str">
        <f aca="false">IF(OR(C24="",P24=""),"",IF(INDEX('CARNET DE SOUDURE'!$U$7:$U$3006,P24)="","",INDEX('CARNET DE SOUDURE'!$U$7:$U$3006,P24)))</f>
        <v/>
      </c>
      <c r="F24" s="82" t="str">
        <f aca="false">IF(OR(C24="",P24=""),"",INDEX('CARNET DE SOUDURE'!$AP$7:$AP$3006,P24))</f>
        <v/>
      </c>
      <c r="G24" s="82" t="str">
        <f aca="false">IF(C24="","",IF(P24="","NJ INCONNU",INDEX('CARNET DE SOUDURE'!$AQ$7:$AQ$3006,P24)))</f>
        <v>À SOUDER</v>
      </c>
      <c r="H24" s="82" t="str">
        <f aca="false">IF(C24="","",IF(G24="ACCEPTÉ","OUI","NON"))</f>
        <v>NON</v>
      </c>
      <c r="I24" s="83"/>
      <c r="J24" s="80"/>
      <c r="K24" s="81"/>
      <c r="L24" s="81"/>
      <c r="M24" s="81"/>
      <c r="N24" s="84" t="str">
        <f aca="false">IF(C24="","",IF(P24="","NJ INCONNU",IF(I24="",IF(H24="OUI","À ENROBER",IF(G24="À SOUDER","NON SOUDÉ","EN ATTENTE RT")),IF(L24="R","À REPRENDRE",IF(H24&lt;&gt;"OUI","⚠ ENROBÉ AVANT ACCEPTATION RT","ENROBÉ")))))</f>
        <v>NON SOUDÉ</v>
      </c>
      <c r="O24" s="80"/>
      <c r="P24" s="82" t="n">
        <f aca="false">IF(C24="","",IFERROR(MATCH(Q24,'CARNET DE SOUDURE'!$AW$7:$AW$3006,0),""))</f>
        <v>18</v>
      </c>
      <c r="Q24" s="82" t="str">
        <f aca="false">IF(C24="","",B24&amp;"|"&amp;C24)</f>
        <v>MFD-ISW → MFD-CPF|JN°018</v>
      </c>
    </row>
    <row r="25" customFormat="false" ht="74.6" hidden="false" customHeight="false" outlineLevel="0" collapsed="false">
      <c r="A25" s="82" t="n">
        <f aca="false">IF(C25="","",ROW()-6)</f>
        <v>19</v>
      </c>
      <c r="B25" s="80" t="s">
        <v>110</v>
      </c>
      <c r="C25" s="113" t="s">
        <v>129</v>
      </c>
      <c r="D25" s="82" t="str">
        <f aca="false">IF(OR(C25="",P25=""),"",INDEX('CARNET DE SOUDURE'!$D$7:$D$3006,P25)&amp;"")</f>
        <v/>
      </c>
      <c r="E25" s="114" t="str">
        <f aca="false">IF(OR(C25="",P25=""),"",IF(INDEX('CARNET DE SOUDURE'!$U$7:$U$3006,P25)="","",INDEX('CARNET DE SOUDURE'!$U$7:$U$3006,P25)))</f>
        <v/>
      </c>
      <c r="F25" s="82" t="str">
        <f aca="false">IF(OR(C25="",P25=""),"",INDEX('CARNET DE SOUDURE'!$AP$7:$AP$3006,P25))</f>
        <v/>
      </c>
      <c r="G25" s="82" t="str">
        <f aca="false">IF(C25="","",IF(P25="","NJ INCONNU",INDEX('CARNET DE SOUDURE'!$AQ$7:$AQ$3006,P25)))</f>
        <v>À SOUDER</v>
      </c>
      <c r="H25" s="82" t="str">
        <f aca="false">IF(C25="","",IF(G25="ACCEPTÉ","OUI","NON"))</f>
        <v>NON</v>
      </c>
      <c r="I25" s="83"/>
      <c r="J25" s="80"/>
      <c r="K25" s="81"/>
      <c r="L25" s="81"/>
      <c r="M25" s="81"/>
      <c r="N25" s="84" t="str">
        <f aca="false">IF(C25="","",IF(P25="","NJ INCONNU",IF(I25="",IF(H25="OUI","À ENROBER",IF(G25="À SOUDER","NON SOUDÉ","EN ATTENTE RT")),IF(L25="R","À REPRENDRE",IF(H25&lt;&gt;"OUI","⚠ ENROBÉ AVANT ACCEPTATION RT","ENROBÉ")))))</f>
        <v>NON SOUDÉ</v>
      </c>
      <c r="O25" s="80"/>
      <c r="P25" s="82" t="n">
        <f aca="false">IF(C25="","",IFERROR(MATCH(Q25,'CARNET DE SOUDURE'!$AW$7:$AW$3006,0),""))</f>
        <v>19</v>
      </c>
      <c r="Q25" s="82" t="str">
        <f aca="false">IF(C25="","",B25&amp;"|"&amp;C25)</f>
        <v>MFD-ISW → MFD-CPF|JN°019</v>
      </c>
    </row>
    <row r="26" customFormat="false" ht="74.6" hidden="false" customHeight="false" outlineLevel="0" collapsed="false">
      <c r="A26" s="82" t="n">
        <f aca="false">IF(C26="","",ROW()-6)</f>
        <v>20</v>
      </c>
      <c r="B26" s="80" t="s">
        <v>110</v>
      </c>
      <c r="C26" s="113" t="s">
        <v>130</v>
      </c>
      <c r="D26" s="82" t="str">
        <f aca="false">IF(OR(C26="",P26=""),"",INDEX('CARNET DE SOUDURE'!$D$7:$D$3006,P26)&amp;"")</f>
        <v/>
      </c>
      <c r="E26" s="114" t="str">
        <f aca="false">IF(OR(C26="",P26=""),"",IF(INDEX('CARNET DE SOUDURE'!$U$7:$U$3006,P26)="","",INDEX('CARNET DE SOUDURE'!$U$7:$U$3006,P26)))</f>
        <v/>
      </c>
      <c r="F26" s="82" t="str">
        <f aca="false">IF(OR(C26="",P26=""),"",INDEX('CARNET DE SOUDURE'!$AP$7:$AP$3006,P26))</f>
        <v/>
      </c>
      <c r="G26" s="82" t="str">
        <f aca="false">IF(C26="","",IF(P26="","NJ INCONNU",INDEX('CARNET DE SOUDURE'!$AQ$7:$AQ$3006,P26)))</f>
        <v>À SOUDER</v>
      </c>
      <c r="H26" s="82" t="str">
        <f aca="false">IF(C26="","",IF(G26="ACCEPTÉ","OUI","NON"))</f>
        <v>NON</v>
      </c>
      <c r="I26" s="83"/>
      <c r="J26" s="80"/>
      <c r="K26" s="81"/>
      <c r="L26" s="81"/>
      <c r="M26" s="81"/>
      <c r="N26" s="84" t="str">
        <f aca="false">IF(C26="","",IF(P26="","NJ INCONNU",IF(I26="",IF(H26="OUI","À ENROBER",IF(G26="À SOUDER","NON SOUDÉ","EN ATTENTE RT")),IF(L26="R","À REPRENDRE",IF(H26&lt;&gt;"OUI","⚠ ENROBÉ AVANT ACCEPTATION RT","ENROBÉ")))))</f>
        <v>NON SOUDÉ</v>
      </c>
      <c r="O26" s="80"/>
      <c r="P26" s="82" t="n">
        <f aca="false">IF(C26="","",IFERROR(MATCH(Q26,'CARNET DE SOUDURE'!$AW$7:$AW$3006,0),""))</f>
        <v>20</v>
      </c>
      <c r="Q26" s="82" t="str">
        <f aca="false">IF(C26="","",B26&amp;"|"&amp;C26)</f>
        <v>MFD-ISW → MFD-CPF|JN°020</v>
      </c>
    </row>
    <row r="27" customFormat="false" ht="74.6" hidden="false" customHeight="false" outlineLevel="0" collapsed="false">
      <c r="A27" s="82" t="n">
        <f aca="false">IF(C27="","",ROW()-6)</f>
        <v>21</v>
      </c>
      <c r="B27" s="80" t="s">
        <v>110</v>
      </c>
      <c r="C27" s="113" t="s">
        <v>131</v>
      </c>
      <c r="D27" s="82" t="str">
        <f aca="false">IF(OR(C27="",P27=""),"",INDEX('CARNET DE SOUDURE'!$D$7:$D$3006,P27)&amp;"")</f>
        <v/>
      </c>
      <c r="E27" s="114" t="str">
        <f aca="false">IF(OR(C27="",P27=""),"",IF(INDEX('CARNET DE SOUDURE'!$U$7:$U$3006,P27)="","",INDEX('CARNET DE SOUDURE'!$U$7:$U$3006,P27)))</f>
        <v/>
      </c>
      <c r="F27" s="82" t="str">
        <f aca="false">IF(OR(C27="",P27=""),"",INDEX('CARNET DE SOUDURE'!$AP$7:$AP$3006,P27))</f>
        <v/>
      </c>
      <c r="G27" s="82" t="str">
        <f aca="false">IF(C27="","",IF(P27="","NJ INCONNU",INDEX('CARNET DE SOUDURE'!$AQ$7:$AQ$3006,P27)))</f>
        <v>À SOUDER</v>
      </c>
      <c r="H27" s="82" t="str">
        <f aca="false">IF(C27="","",IF(G27="ACCEPTÉ","OUI","NON"))</f>
        <v>NON</v>
      </c>
      <c r="I27" s="83"/>
      <c r="J27" s="80"/>
      <c r="K27" s="81"/>
      <c r="L27" s="81"/>
      <c r="M27" s="81"/>
      <c r="N27" s="84" t="str">
        <f aca="false">IF(C27="","",IF(P27="","NJ INCONNU",IF(I27="",IF(H27="OUI","À ENROBER",IF(G27="À SOUDER","NON SOUDÉ","EN ATTENTE RT")),IF(L27="R","À REPRENDRE",IF(H27&lt;&gt;"OUI","⚠ ENROBÉ AVANT ACCEPTATION RT","ENROBÉ")))))</f>
        <v>NON SOUDÉ</v>
      </c>
      <c r="O27" s="80"/>
      <c r="P27" s="82" t="n">
        <f aca="false">IF(C27="","",IFERROR(MATCH(Q27,'CARNET DE SOUDURE'!$AW$7:$AW$3006,0),""))</f>
        <v>21</v>
      </c>
      <c r="Q27" s="82" t="str">
        <f aca="false">IF(C27="","",B27&amp;"|"&amp;C27)</f>
        <v>MFD-ISW → MFD-CPF|JN°021</v>
      </c>
    </row>
    <row r="28" customFormat="false" ht="74.6" hidden="false" customHeight="false" outlineLevel="0" collapsed="false">
      <c r="A28" s="82" t="n">
        <f aca="false">IF(C28="","",ROW()-6)</f>
        <v>22</v>
      </c>
      <c r="B28" s="80" t="s">
        <v>110</v>
      </c>
      <c r="C28" s="113" t="s">
        <v>132</v>
      </c>
      <c r="D28" s="82" t="str">
        <f aca="false">IF(OR(C28="",P28=""),"",INDEX('CARNET DE SOUDURE'!$D$7:$D$3006,P28)&amp;"")</f>
        <v/>
      </c>
      <c r="E28" s="114" t="str">
        <f aca="false">IF(OR(C28="",P28=""),"",IF(INDEX('CARNET DE SOUDURE'!$U$7:$U$3006,P28)="","",INDEX('CARNET DE SOUDURE'!$U$7:$U$3006,P28)))</f>
        <v/>
      </c>
      <c r="F28" s="82" t="str">
        <f aca="false">IF(OR(C28="",P28=""),"",INDEX('CARNET DE SOUDURE'!$AP$7:$AP$3006,P28))</f>
        <v/>
      </c>
      <c r="G28" s="82" t="str">
        <f aca="false">IF(C28="","",IF(P28="","NJ INCONNU",INDEX('CARNET DE SOUDURE'!$AQ$7:$AQ$3006,P28)))</f>
        <v>À SOUDER</v>
      </c>
      <c r="H28" s="82" t="str">
        <f aca="false">IF(C28="","",IF(G28="ACCEPTÉ","OUI","NON"))</f>
        <v>NON</v>
      </c>
      <c r="I28" s="83"/>
      <c r="J28" s="80"/>
      <c r="K28" s="81"/>
      <c r="L28" s="81"/>
      <c r="M28" s="81"/>
      <c r="N28" s="84" t="str">
        <f aca="false">IF(C28="","",IF(P28="","NJ INCONNU",IF(I28="",IF(H28="OUI","À ENROBER",IF(G28="À SOUDER","NON SOUDÉ","EN ATTENTE RT")),IF(L28="R","À REPRENDRE",IF(H28&lt;&gt;"OUI","⚠ ENROBÉ AVANT ACCEPTATION RT","ENROBÉ")))))</f>
        <v>NON SOUDÉ</v>
      </c>
      <c r="O28" s="80"/>
      <c r="P28" s="82" t="n">
        <f aca="false">IF(C28="","",IFERROR(MATCH(Q28,'CARNET DE SOUDURE'!$AW$7:$AW$3006,0),""))</f>
        <v>22</v>
      </c>
      <c r="Q28" s="82" t="str">
        <f aca="false">IF(C28="","",B28&amp;"|"&amp;C28)</f>
        <v>MFD-ISW → MFD-CPF|JN°022</v>
      </c>
    </row>
    <row r="29" customFormat="false" ht="74.6" hidden="false" customHeight="false" outlineLevel="0" collapsed="false">
      <c r="A29" s="82" t="n">
        <f aca="false">IF(C29="","",ROW()-6)</f>
        <v>23</v>
      </c>
      <c r="B29" s="80" t="s">
        <v>110</v>
      </c>
      <c r="C29" s="113" t="s">
        <v>133</v>
      </c>
      <c r="D29" s="82" t="str">
        <f aca="false">IF(OR(C29="",P29=""),"",INDEX('CARNET DE SOUDURE'!$D$7:$D$3006,P29)&amp;"")</f>
        <v/>
      </c>
      <c r="E29" s="114" t="str">
        <f aca="false">IF(OR(C29="",P29=""),"",IF(INDEX('CARNET DE SOUDURE'!$U$7:$U$3006,P29)="","",INDEX('CARNET DE SOUDURE'!$U$7:$U$3006,P29)))</f>
        <v/>
      </c>
      <c r="F29" s="82" t="str">
        <f aca="false">IF(OR(C29="",P29=""),"",INDEX('CARNET DE SOUDURE'!$AP$7:$AP$3006,P29))</f>
        <v/>
      </c>
      <c r="G29" s="82" t="str">
        <f aca="false">IF(C29="","",IF(P29="","NJ INCONNU",INDEX('CARNET DE SOUDURE'!$AQ$7:$AQ$3006,P29)))</f>
        <v>À SOUDER</v>
      </c>
      <c r="H29" s="82" t="str">
        <f aca="false">IF(C29="","",IF(G29="ACCEPTÉ","OUI","NON"))</f>
        <v>NON</v>
      </c>
      <c r="I29" s="83"/>
      <c r="J29" s="80"/>
      <c r="K29" s="81"/>
      <c r="L29" s="81"/>
      <c r="M29" s="81"/>
      <c r="N29" s="84" t="str">
        <f aca="false">IF(C29="","",IF(P29="","NJ INCONNU",IF(I29="",IF(H29="OUI","À ENROBER",IF(G29="À SOUDER","NON SOUDÉ","EN ATTENTE RT")),IF(L29="R","À REPRENDRE",IF(H29&lt;&gt;"OUI","⚠ ENROBÉ AVANT ACCEPTATION RT","ENROBÉ")))))</f>
        <v>NON SOUDÉ</v>
      </c>
      <c r="O29" s="80"/>
      <c r="P29" s="82" t="n">
        <f aca="false">IF(C29="","",IFERROR(MATCH(Q29,'CARNET DE SOUDURE'!$AW$7:$AW$3006,0),""))</f>
        <v>23</v>
      </c>
      <c r="Q29" s="82" t="str">
        <f aca="false">IF(C29="","",B29&amp;"|"&amp;C29)</f>
        <v>MFD-ISW → MFD-CPF|JN°023</v>
      </c>
    </row>
    <row r="30" customFormat="false" ht="74.6" hidden="false" customHeight="false" outlineLevel="0" collapsed="false">
      <c r="A30" s="82" t="n">
        <f aca="false">IF(C30="","",ROW()-6)</f>
        <v>24</v>
      </c>
      <c r="B30" s="80" t="s">
        <v>110</v>
      </c>
      <c r="C30" s="113" t="s">
        <v>134</v>
      </c>
      <c r="D30" s="82" t="str">
        <f aca="false">IF(OR(C30="",P30=""),"",INDEX('CARNET DE SOUDURE'!$D$7:$D$3006,P30)&amp;"")</f>
        <v/>
      </c>
      <c r="E30" s="114" t="str">
        <f aca="false">IF(OR(C30="",P30=""),"",IF(INDEX('CARNET DE SOUDURE'!$U$7:$U$3006,P30)="","",INDEX('CARNET DE SOUDURE'!$U$7:$U$3006,P30)))</f>
        <v/>
      </c>
      <c r="F30" s="82" t="str">
        <f aca="false">IF(OR(C30="",P30=""),"",INDEX('CARNET DE SOUDURE'!$AP$7:$AP$3006,P30))</f>
        <v/>
      </c>
      <c r="G30" s="82" t="str">
        <f aca="false">IF(C30="","",IF(P30="","NJ INCONNU",INDEX('CARNET DE SOUDURE'!$AQ$7:$AQ$3006,P30)))</f>
        <v>À SOUDER</v>
      </c>
      <c r="H30" s="82" t="str">
        <f aca="false">IF(C30="","",IF(G30="ACCEPTÉ","OUI","NON"))</f>
        <v>NON</v>
      </c>
      <c r="I30" s="83"/>
      <c r="J30" s="80"/>
      <c r="K30" s="81"/>
      <c r="L30" s="81"/>
      <c r="M30" s="81"/>
      <c r="N30" s="84" t="str">
        <f aca="false">IF(C30="","",IF(P30="","NJ INCONNU",IF(I30="",IF(H30="OUI","À ENROBER",IF(G30="À SOUDER","NON SOUDÉ","EN ATTENTE RT")),IF(L30="R","À REPRENDRE",IF(H30&lt;&gt;"OUI","⚠ ENROBÉ AVANT ACCEPTATION RT","ENROBÉ")))))</f>
        <v>NON SOUDÉ</v>
      </c>
      <c r="O30" s="80"/>
      <c r="P30" s="82" t="n">
        <f aca="false">IF(C30="","",IFERROR(MATCH(Q30,'CARNET DE SOUDURE'!$AW$7:$AW$3006,0),""))</f>
        <v>24</v>
      </c>
      <c r="Q30" s="82" t="str">
        <f aca="false">IF(C30="","",B30&amp;"|"&amp;C30)</f>
        <v>MFD-ISW → MFD-CPF|JN°024</v>
      </c>
    </row>
    <row r="31" customFormat="false" ht="74.6" hidden="false" customHeight="false" outlineLevel="0" collapsed="false">
      <c r="A31" s="82" t="n">
        <f aca="false">IF(C31="","",ROW()-6)</f>
        <v>25</v>
      </c>
      <c r="B31" s="80" t="s">
        <v>110</v>
      </c>
      <c r="C31" s="113" t="s">
        <v>135</v>
      </c>
      <c r="D31" s="82" t="str">
        <f aca="false">IF(OR(C31="",P31=""),"",INDEX('CARNET DE SOUDURE'!$D$7:$D$3006,P31)&amp;"")</f>
        <v/>
      </c>
      <c r="E31" s="114" t="str">
        <f aca="false">IF(OR(C31="",P31=""),"",IF(INDEX('CARNET DE SOUDURE'!$U$7:$U$3006,P31)="","",INDEX('CARNET DE SOUDURE'!$U$7:$U$3006,P31)))</f>
        <v/>
      </c>
      <c r="F31" s="82" t="str">
        <f aca="false">IF(OR(C31="",P31=""),"",INDEX('CARNET DE SOUDURE'!$AP$7:$AP$3006,P31))</f>
        <v/>
      </c>
      <c r="G31" s="82" t="str">
        <f aca="false">IF(C31="","",IF(P31="","NJ INCONNU",INDEX('CARNET DE SOUDURE'!$AQ$7:$AQ$3006,P31)))</f>
        <v>À SOUDER</v>
      </c>
      <c r="H31" s="82" t="str">
        <f aca="false">IF(C31="","",IF(G31="ACCEPTÉ","OUI","NON"))</f>
        <v>NON</v>
      </c>
      <c r="I31" s="83"/>
      <c r="J31" s="80"/>
      <c r="K31" s="81"/>
      <c r="L31" s="81"/>
      <c r="M31" s="81"/>
      <c r="N31" s="84" t="str">
        <f aca="false">IF(C31="","",IF(P31="","NJ INCONNU",IF(I31="",IF(H31="OUI","À ENROBER",IF(G31="À SOUDER","NON SOUDÉ","EN ATTENTE RT")),IF(L31="R","À REPRENDRE",IF(H31&lt;&gt;"OUI","⚠ ENROBÉ AVANT ACCEPTATION RT","ENROBÉ")))))</f>
        <v>NON SOUDÉ</v>
      </c>
      <c r="O31" s="80"/>
      <c r="P31" s="82" t="n">
        <f aca="false">IF(C31="","",IFERROR(MATCH(Q31,'CARNET DE SOUDURE'!$AW$7:$AW$3006,0),""))</f>
        <v>25</v>
      </c>
      <c r="Q31" s="82" t="str">
        <f aca="false">IF(C31="","",B31&amp;"|"&amp;C31)</f>
        <v>MFD-ISW → MFD-CPF|JN°025</v>
      </c>
    </row>
    <row r="32" customFormat="false" ht="74.6" hidden="false" customHeight="false" outlineLevel="0" collapsed="false">
      <c r="A32" s="82" t="n">
        <f aca="false">IF(C32="","",ROW()-6)</f>
        <v>26</v>
      </c>
      <c r="B32" s="80" t="s">
        <v>110</v>
      </c>
      <c r="C32" s="113" t="s">
        <v>136</v>
      </c>
      <c r="D32" s="82" t="str">
        <f aca="false">IF(OR(C32="",P32=""),"",INDEX('CARNET DE SOUDURE'!$D$7:$D$3006,P32)&amp;"")</f>
        <v/>
      </c>
      <c r="E32" s="114" t="str">
        <f aca="false">IF(OR(C32="",P32=""),"",IF(INDEX('CARNET DE SOUDURE'!$U$7:$U$3006,P32)="","",INDEX('CARNET DE SOUDURE'!$U$7:$U$3006,P32)))</f>
        <v/>
      </c>
      <c r="F32" s="82" t="str">
        <f aca="false">IF(OR(C32="",P32=""),"",INDEX('CARNET DE SOUDURE'!$AP$7:$AP$3006,P32))</f>
        <v/>
      </c>
      <c r="G32" s="82" t="str">
        <f aca="false">IF(C32="","",IF(P32="","NJ INCONNU",INDEX('CARNET DE SOUDURE'!$AQ$7:$AQ$3006,P32)))</f>
        <v>À SOUDER</v>
      </c>
      <c r="H32" s="82" t="str">
        <f aca="false">IF(C32="","",IF(G32="ACCEPTÉ","OUI","NON"))</f>
        <v>NON</v>
      </c>
      <c r="I32" s="83"/>
      <c r="J32" s="80"/>
      <c r="K32" s="81"/>
      <c r="L32" s="81"/>
      <c r="M32" s="81"/>
      <c r="N32" s="84" t="str">
        <f aca="false">IF(C32="","",IF(P32="","NJ INCONNU",IF(I32="",IF(H32="OUI","À ENROBER",IF(G32="À SOUDER","NON SOUDÉ","EN ATTENTE RT")),IF(L32="R","À REPRENDRE",IF(H32&lt;&gt;"OUI","⚠ ENROBÉ AVANT ACCEPTATION RT","ENROBÉ")))))</f>
        <v>NON SOUDÉ</v>
      </c>
      <c r="O32" s="80"/>
      <c r="P32" s="82" t="n">
        <f aca="false">IF(C32="","",IFERROR(MATCH(Q32,'CARNET DE SOUDURE'!$AW$7:$AW$3006,0),""))</f>
        <v>26</v>
      </c>
      <c r="Q32" s="82" t="str">
        <f aca="false">IF(C32="","",B32&amp;"|"&amp;C32)</f>
        <v>MFD-ISW → MFD-CPF|JN°026</v>
      </c>
    </row>
    <row r="33" customFormat="false" ht="74.6" hidden="false" customHeight="false" outlineLevel="0" collapsed="false">
      <c r="A33" s="82" t="n">
        <f aca="false">IF(C33="","",ROW()-6)</f>
        <v>27</v>
      </c>
      <c r="B33" s="80" t="s">
        <v>110</v>
      </c>
      <c r="C33" s="113" t="s">
        <v>137</v>
      </c>
      <c r="D33" s="82" t="str">
        <f aca="false">IF(OR(C33="",P33=""),"",INDEX('CARNET DE SOUDURE'!$D$7:$D$3006,P33)&amp;"")</f>
        <v/>
      </c>
      <c r="E33" s="114" t="str">
        <f aca="false">IF(OR(C33="",P33=""),"",IF(INDEX('CARNET DE SOUDURE'!$U$7:$U$3006,P33)="","",INDEX('CARNET DE SOUDURE'!$U$7:$U$3006,P33)))</f>
        <v/>
      </c>
      <c r="F33" s="82" t="str">
        <f aca="false">IF(OR(C33="",P33=""),"",INDEX('CARNET DE SOUDURE'!$AP$7:$AP$3006,P33))</f>
        <v/>
      </c>
      <c r="G33" s="82" t="str">
        <f aca="false">IF(C33="","",IF(P33="","NJ INCONNU",INDEX('CARNET DE SOUDURE'!$AQ$7:$AQ$3006,P33)))</f>
        <v>À SOUDER</v>
      </c>
      <c r="H33" s="82" t="str">
        <f aca="false">IF(C33="","",IF(G33="ACCEPTÉ","OUI","NON"))</f>
        <v>NON</v>
      </c>
      <c r="I33" s="83"/>
      <c r="J33" s="80"/>
      <c r="K33" s="81"/>
      <c r="L33" s="81"/>
      <c r="M33" s="81"/>
      <c r="N33" s="84" t="str">
        <f aca="false">IF(C33="","",IF(P33="","NJ INCONNU",IF(I33="",IF(H33="OUI","À ENROBER",IF(G33="À SOUDER","NON SOUDÉ","EN ATTENTE RT")),IF(L33="R","À REPRENDRE",IF(H33&lt;&gt;"OUI","⚠ ENROBÉ AVANT ACCEPTATION RT","ENROBÉ")))))</f>
        <v>NON SOUDÉ</v>
      </c>
      <c r="O33" s="80"/>
      <c r="P33" s="82" t="n">
        <f aca="false">IF(C33="","",IFERROR(MATCH(Q33,'CARNET DE SOUDURE'!$AW$7:$AW$3006,0),""))</f>
        <v>27</v>
      </c>
      <c r="Q33" s="82" t="str">
        <f aca="false">IF(C33="","",B33&amp;"|"&amp;C33)</f>
        <v>MFD-ISW → MFD-CPF|JN°027</v>
      </c>
    </row>
    <row r="34" customFormat="false" ht="74.6" hidden="false" customHeight="false" outlineLevel="0" collapsed="false">
      <c r="A34" s="82" t="n">
        <f aca="false">IF(C34="","",ROW()-6)</f>
        <v>28</v>
      </c>
      <c r="B34" s="80" t="s">
        <v>110</v>
      </c>
      <c r="C34" s="113" t="s">
        <v>138</v>
      </c>
      <c r="D34" s="82" t="str">
        <f aca="false">IF(OR(C34="",P34=""),"",INDEX('CARNET DE SOUDURE'!$D$7:$D$3006,P34)&amp;"")</f>
        <v/>
      </c>
      <c r="E34" s="114" t="str">
        <f aca="false">IF(OR(C34="",P34=""),"",IF(INDEX('CARNET DE SOUDURE'!$U$7:$U$3006,P34)="","",INDEX('CARNET DE SOUDURE'!$U$7:$U$3006,P34)))</f>
        <v/>
      </c>
      <c r="F34" s="82" t="str">
        <f aca="false">IF(OR(C34="",P34=""),"",INDEX('CARNET DE SOUDURE'!$AP$7:$AP$3006,P34))</f>
        <v/>
      </c>
      <c r="G34" s="82" t="str">
        <f aca="false">IF(C34="","",IF(P34="","NJ INCONNU",INDEX('CARNET DE SOUDURE'!$AQ$7:$AQ$3006,P34)))</f>
        <v>À SOUDER</v>
      </c>
      <c r="H34" s="82" t="str">
        <f aca="false">IF(C34="","",IF(G34="ACCEPTÉ","OUI","NON"))</f>
        <v>NON</v>
      </c>
      <c r="I34" s="83"/>
      <c r="J34" s="80"/>
      <c r="K34" s="81"/>
      <c r="L34" s="81"/>
      <c r="M34" s="81"/>
      <c r="N34" s="84" t="str">
        <f aca="false">IF(C34="","",IF(P34="","NJ INCONNU",IF(I34="",IF(H34="OUI","À ENROBER",IF(G34="À SOUDER","NON SOUDÉ","EN ATTENTE RT")),IF(L34="R","À REPRENDRE",IF(H34&lt;&gt;"OUI","⚠ ENROBÉ AVANT ACCEPTATION RT","ENROBÉ")))))</f>
        <v>NON SOUDÉ</v>
      </c>
      <c r="O34" s="80"/>
      <c r="P34" s="82" t="n">
        <f aca="false">IF(C34="","",IFERROR(MATCH(Q34,'CARNET DE SOUDURE'!$AW$7:$AW$3006,0),""))</f>
        <v>28</v>
      </c>
      <c r="Q34" s="82" t="str">
        <f aca="false">IF(C34="","",B34&amp;"|"&amp;C34)</f>
        <v>MFD-ISW → MFD-CPF|JN°028</v>
      </c>
    </row>
    <row r="35" customFormat="false" ht="74.6" hidden="false" customHeight="false" outlineLevel="0" collapsed="false">
      <c r="A35" s="82" t="n">
        <f aca="false">IF(C35="","",ROW()-6)</f>
        <v>29</v>
      </c>
      <c r="B35" s="80" t="s">
        <v>110</v>
      </c>
      <c r="C35" s="113" t="s">
        <v>139</v>
      </c>
      <c r="D35" s="82" t="str">
        <f aca="false">IF(OR(C35="",P35=""),"",INDEX('CARNET DE SOUDURE'!$D$7:$D$3006,P35)&amp;"")</f>
        <v/>
      </c>
      <c r="E35" s="114" t="str">
        <f aca="false">IF(OR(C35="",P35=""),"",IF(INDEX('CARNET DE SOUDURE'!$U$7:$U$3006,P35)="","",INDEX('CARNET DE SOUDURE'!$U$7:$U$3006,P35)))</f>
        <v/>
      </c>
      <c r="F35" s="82" t="str">
        <f aca="false">IF(OR(C35="",P35=""),"",INDEX('CARNET DE SOUDURE'!$AP$7:$AP$3006,P35))</f>
        <v/>
      </c>
      <c r="G35" s="82" t="str">
        <f aca="false">IF(C35="","",IF(P35="","NJ INCONNU",INDEX('CARNET DE SOUDURE'!$AQ$7:$AQ$3006,P35)))</f>
        <v>À SOUDER</v>
      </c>
      <c r="H35" s="82" t="str">
        <f aca="false">IF(C35="","",IF(G35="ACCEPTÉ","OUI","NON"))</f>
        <v>NON</v>
      </c>
      <c r="I35" s="83"/>
      <c r="J35" s="80"/>
      <c r="K35" s="81"/>
      <c r="L35" s="81"/>
      <c r="M35" s="81"/>
      <c r="N35" s="84" t="str">
        <f aca="false">IF(C35="","",IF(P35="","NJ INCONNU",IF(I35="",IF(H35="OUI","À ENROBER",IF(G35="À SOUDER","NON SOUDÉ","EN ATTENTE RT")),IF(L35="R","À REPRENDRE",IF(H35&lt;&gt;"OUI","⚠ ENROBÉ AVANT ACCEPTATION RT","ENROBÉ")))))</f>
        <v>NON SOUDÉ</v>
      </c>
      <c r="O35" s="80"/>
      <c r="P35" s="82" t="n">
        <f aca="false">IF(C35="","",IFERROR(MATCH(Q35,'CARNET DE SOUDURE'!$AW$7:$AW$3006,0),""))</f>
        <v>29</v>
      </c>
      <c r="Q35" s="82" t="str">
        <f aca="false">IF(C35="","",B35&amp;"|"&amp;C35)</f>
        <v>MFD-ISW → MFD-CPF|JN°029</v>
      </c>
    </row>
    <row r="36" customFormat="false" ht="74.6" hidden="false" customHeight="false" outlineLevel="0" collapsed="false">
      <c r="A36" s="82" t="n">
        <f aca="false">IF(C36="","",ROW()-6)</f>
        <v>30</v>
      </c>
      <c r="B36" s="80" t="s">
        <v>110</v>
      </c>
      <c r="C36" s="113" t="s">
        <v>140</v>
      </c>
      <c r="D36" s="82" t="str">
        <f aca="false">IF(OR(C36="",P36=""),"",INDEX('CARNET DE SOUDURE'!$D$7:$D$3006,P36)&amp;"")</f>
        <v/>
      </c>
      <c r="E36" s="114" t="str">
        <f aca="false">IF(OR(C36="",P36=""),"",IF(INDEX('CARNET DE SOUDURE'!$U$7:$U$3006,P36)="","",INDEX('CARNET DE SOUDURE'!$U$7:$U$3006,P36)))</f>
        <v/>
      </c>
      <c r="F36" s="82" t="str">
        <f aca="false">IF(OR(C36="",P36=""),"",INDEX('CARNET DE SOUDURE'!$AP$7:$AP$3006,P36))</f>
        <v/>
      </c>
      <c r="G36" s="82" t="str">
        <f aca="false">IF(C36="","",IF(P36="","NJ INCONNU",INDEX('CARNET DE SOUDURE'!$AQ$7:$AQ$3006,P36)))</f>
        <v>À SOUDER</v>
      </c>
      <c r="H36" s="82" t="str">
        <f aca="false">IF(C36="","",IF(G36="ACCEPTÉ","OUI","NON"))</f>
        <v>NON</v>
      </c>
      <c r="I36" s="83"/>
      <c r="J36" s="80"/>
      <c r="K36" s="81"/>
      <c r="L36" s="81"/>
      <c r="M36" s="81"/>
      <c r="N36" s="84" t="str">
        <f aca="false">IF(C36="","",IF(P36="","NJ INCONNU",IF(I36="",IF(H36="OUI","À ENROBER",IF(G36="À SOUDER","NON SOUDÉ","EN ATTENTE RT")),IF(L36="R","À REPRENDRE",IF(H36&lt;&gt;"OUI","⚠ ENROBÉ AVANT ACCEPTATION RT","ENROBÉ")))))</f>
        <v>NON SOUDÉ</v>
      </c>
      <c r="O36" s="80"/>
      <c r="P36" s="82" t="n">
        <f aca="false">IF(C36="","",IFERROR(MATCH(Q36,'CARNET DE SOUDURE'!$AW$7:$AW$3006,0),""))</f>
        <v>30</v>
      </c>
      <c r="Q36" s="82" t="str">
        <f aca="false">IF(C36="","",B36&amp;"|"&amp;C36)</f>
        <v>MFD-ISW → MFD-CPF|JN°030</v>
      </c>
    </row>
    <row r="37" customFormat="false" ht="74.6" hidden="false" customHeight="false" outlineLevel="0" collapsed="false">
      <c r="A37" s="82" t="n">
        <f aca="false">IF(C37="","",ROW()-6)</f>
        <v>31</v>
      </c>
      <c r="B37" s="80" t="s">
        <v>110</v>
      </c>
      <c r="C37" s="113" t="s">
        <v>141</v>
      </c>
      <c r="D37" s="82" t="str">
        <f aca="false">IF(OR(C37="",P37=""),"",INDEX('CARNET DE SOUDURE'!$D$7:$D$3006,P37)&amp;"")</f>
        <v/>
      </c>
      <c r="E37" s="114" t="str">
        <f aca="false">IF(OR(C37="",P37=""),"",IF(INDEX('CARNET DE SOUDURE'!$U$7:$U$3006,P37)="","",INDEX('CARNET DE SOUDURE'!$U$7:$U$3006,P37)))</f>
        <v/>
      </c>
      <c r="F37" s="82" t="str">
        <f aca="false">IF(OR(C37="",P37=""),"",INDEX('CARNET DE SOUDURE'!$AP$7:$AP$3006,P37))</f>
        <v/>
      </c>
      <c r="G37" s="82" t="str">
        <f aca="false">IF(C37="","",IF(P37="","NJ INCONNU",INDEX('CARNET DE SOUDURE'!$AQ$7:$AQ$3006,P37)))</f>
        <v>À SOUDER</v>
      </c>
      <c r="H37" s="82" t="str">
        <f aca="false">IF(C37="","",IF(G37="ACCEPTÉ","OUI","NON"))</f>
        <v>NON</v>
      </c>
      <c r="I37" s="83"/>
      <c r="J37" s="80"/>
      <c r="K37" s="81"/>
      <c r="L37" s="81"/>
      <c r="M37" s="81"/>
      <c r="N37" s="84" t="str">
        <f aca="false">IF(C37="","",IF(P37="","NJ INCONNU",IF(I37="",IF(H37="OUI","À ENROBER",IF(G37="À SOUDER","NON SOUDÉ","EN ATTENTE RT")),IF(L37="R","À REPRENDRE",IF(H37&lt;&gt;"OUI","⚠ ENROBÉ AVANT ACCEPTATION RT","ENROBÉ")))))</f>
        <v>NON SOUDÉ</v>
      </c>
      <c r="O37" s="80"/>
      <c r="P37" s="82" t="n">
        <f aca="false">IF(C37="","",IFERROR(MATCH(Q37,'CARNET DE SOUDURE'!$AW$7:$AW$3006,0),""))</f>
        <v>31</v>
      </c>
      <c r="Q37" s="82" t="str">
        <f aca="false">IF(C37="","",B37&amp;"|"&amp;C37)</f>
        <v>MFD-ISW → MFD-CPF|JN°031</v>
      </c>
    </row>
    <row r="38" customFormat="false" ht="74.6" hidden="false" customHeight="false" outlineLevel="0" collapsed="false">
      <c r="A38" s="82" t="n">
        <f aca="false">IF(C38="","",ROW()-6)</f>
        <v>32</v>
      </c>
      <c r="B38" s="80" t="s">
        <v>110</v>
      </c>
      <c r="C38" s="113" t="s">
        <v>142</v>
      </c>
      <c r="D38" s="82" t="str">
        <f aca="false">IF(OR(C38="",P38=""),"",INDEX('CARNET DE SOUDURE'!$D$7:$D$3006,P38)&amp;"")</f>
        <v/>
      </c>
      <c r="E38" s="114" t="str">
        <f aca="false">IF(OR(C38="",P38=""),"",IF(INDEX('CARNET DE SOUDURE'!$U$7:$U$3006,P38)="","",INDEX('CARNET DE SOUDURE'!$U$7:$U$3006,P38)))</f>
        <v/>
      </c>
      <c r="F38" s="82" t="str">
        <f aca="false">IF(OR(C38="",P38=""),"",INDEX('CARNET DE SOUDURE'!$AP$7:$AP$3006,P38))</f>
        <v/>
      </c>
      <c r="G38" s="82" t="str">
        <f aca="false">IF(C38="","",IF(P38="","NJ INCONNU",INDEX('CARNET DE SOUDURE'!$AQ$7:$AQ$3006,P38)))</f>
        <v>À SOUDER</v>
      </c>
      <c r="H38" s="82" t="str">
        <f aca="false">IF(C38="","",IF(G38="ACCEPTÉ","OUI","NON"))</f>
        <v>NON</v>
      </c>
      <c r="I38" s="83"/>
      <c r="J38" s="80"/>
      <c r="K38" s="81"/>
      <c r="L38" s="81"/>
      <c r="M38" s="81"/>
      <c r="N38" s="84" t="str">
        <f aca="false">IF(C38="","",IF(P38="","NJ INCONNU",IF(I38="",IF(H38="OUI","À ENROBER",IF(G38="À SOUDER","NON SOUDÉ","EN ATTENTE RT")),IF(L38="R","À REPRENDRE",IF(H38&lt;&gt;"OUI","⚠ ENROBÉ AVANT ACCEPTATION RT","ENROBÉ")))))</f>
        <v>NON SOUDÉ</v>
      </c>
      <c r="O38" s="80"/>
      <c r="P38" s="82" t="n">
        <f aca="false">IF(C38="","",IFERROR(MATCH(Q38,'CARNET DE SOUDURE'!$AW$7:$AW$3006,0),""))</f>
        <v>32</v>
      </c>
      <c r="Q38" s="82" t="str">
        <f aca="false">IF(C38="","",B38&amp;"|"&amp;C38)</f>
        <v>MFD-ISW → MFD-CPF|JN°032</v>
      </c>
    </row>
    <row r="39" customFormat="false" ht="74.6" hidden="false" customHeight="false" outlineLevel="0" collapsed="false">
      <c r="A39" s="82" t="n">
        <f aca="false">IF(C39="","",ROW()-6)</f>
        <v>33</v>
      </c>
      <c r="B39" s="80" t="s">
        <v>110</v>
      </c>
      <c r="C39" s="113" t="s">
        <v>143</v>
      </c>
      <c r="D39" s="82" t="str">
        <f aca="false">IF(OR(C39="",P39=""),"",INDEX('CARNET DE SOUDURE'!$D$7:$D$3006,P39)&amp;"")</f>
        <v/>
      </c>
      <c r="E39" s="114" t="str">
        <f aca="false">IF(OR(C39="",P39=""),"",IF(INDEX('CARNET DE SOUDURE'!$U$7:$U$3006,P39)="","",INDEX('CARNET DE SOUDURE'!$U$7:$U$3006,P39)))</f>
        <v/>
      </c>
      <c r="F39" s="82" t="str">
        <f aca="false">IF(OR(C39="",P39=""),"",INDEX('CARNET DE SOUDURE'!$AP$7:$AP$3006,P39))</f>
        <v/>
      </c>
      <c r="G39" s="82" t="str">
        <f aca="false">IF(C39="","",IF(P39="","NJ INCONNU",INDEX('CARNET DE SOUDURE'!$AQ$7:$AQ$3006,P39)))</f>
        <v>À SOUDER</v>
      </c>
      <c r="H39" s="82" t="str">
        <f aca="false">IF(C39="","",IF(G39="ACCEPTÉ","OUI","NON"))</f>
        <v>NON</v>
      </c>
      <c r="I39" s="83"/>
      <c r="J39" s="80"/>
      <c r="K39" s="81"/>
      <c r="L39" s="81"/>
      <c r="M39" s="81"/>
      <c r="N39" s="84" t="str">
        <f aca="false">IF(C39="","",IF(P39="","NJ INCONNU",IF(I39="",IF(H39="OUI","À ENROBER",IF(G39="À SOUDER","NON SOUDÉ","EN ATTENTE RT")),IF(L39="R","À REPRENDRE",IF(H39&lt;&gt;"OUI","⚠ ENROBÉ AVANT ACCEPTATION RT","ENROBÉ")))))</f>
        <v>NON SOUDÉ</v>
      </c>
      <c r="O39" s="80"/>
      <c r="P39" s="82" t="n">
        <f aca="false">IF(C39="","",IFERROR(MATCH(Q39,'CARNET DE SOUDURE'!$AW$7:$AW$3006,0),""))</f>
        <v>33</v>
      </c>
      <c r="Q39" s="82" t="str">
        <f aca="false">IF(C39="","",B39&amp;"|"&amp;C39)</f>
        <v>MFD-ISW → MFD-CPF|JN°033</v>
      </c>
    </row>
    <row r="40" customFormat="false" ht="74.6" hidden="false" customHeight="false" outlineLevel="0" collapsed="false">
      <c r="A40" s="82" t="n">
        <f aca="false">IF(C40="","",ROW()-6)</f>
        <v>34</v>
      </c>
      <c r="B40" s="80" t="s">
        <v>110</v>
      </c>
      <c r="C40" s="113" t="s">
        <v>144</v>
      </c>
      <c r="D40" s="82" t="str">
        <f aca="false">IF(OR(C40="",P40=""),"",INDEX('CARNET DE SOUDURE'!$D$7:$D$3006,P40)&amp;"")</f>
        <v/>
      </c>
      <c r="E40" s="114" t="str">
        <f aca="false">IF(OR(C40="",P40=""),"",IF(INDEX('CARNET DE SOUDURE'!$U$7:$U$3006,P40)="","",INDEX('CARNET DE SOUDURE'!$U$7:$U$3006,P40)))</f>
        <v/>
      </c>
      <c r="F40" s="82" t="str">
        <f aca="false">IF(OR(C40="",P40=""),"",INDEX('CARNET DE SOUDURE'!$AP$7:$AP$3006,P40))</f>
        <v/>
      </c>
      <c r="G40" s="82" t="str">
        <f aca="false">IF(C40="","",IF(P40="","NJ INCONNU",INDEX('CARNET DE SOUDURE'!$AQ$7:$AQ$3006,P40)))</f>
        <v>À SOUDER</v>
      </c>
      <c r="H40" s="82" t="str">
        <f aca="false">IF(C40="","",IF(G40="ACCEPTÉ","OUI","NON"))</f>
        <v>NON</v>
      </c>
      <c r="I40" s="83"/>
      <c r="J40" s="80"/>
      <c r="K40" s="81"/>
      <c r="L40" s="81"/>
      <c r="M40" s="81"/>
      <c r="N40" s="84" t="str">
        <f aca="false">IF(C40="","",IF(P40="","NJ INCONNU",IF(I40="",IF(H40="OUI","À ENROBER",IF(G40="À SOUDER","NON SOUDÉ","EN ATTENTE RT")),IF(L40="R","À REPRENDRE",IF(H40&lt;&gt;"OUI","⚠ ENROBÉ AVANT ACCEPTATION RT","ENROBÉ")))))</f>
        <v>NON SOUDÉ</v>
      </c>
      <c r="O40" s="80"/>
      <c r="P40" s="82" t="n">
        <f aca="false">IF(C40="","",IFERROR(MATCH(Q40,'CARNET DE SOUDURE'!$AW$7:$AW$3006,0),""))</f>
        <v>34</v>
      </c>
      <c r="Q40" s="82" t="str">
        <f aca="false">IF(C40="","",B40&amp;"|"&amp;C40)</f>
        <v>MFD-ISW → MFD-CPF|JN°034</v>
      </c>
    </row>
    <row r="41" customFormat="false" ht="74.6" hidden="false" customHeight="false" outlineLevel="0" collapsed="false">
      <c r="A41" s="82" t="n">
        <f aca="false">IF(C41="","",ROW()-6)</f>
        <v>35</v>
      </c>
      <c r="B41" s="80" t="s">
        <v>110</v>
      </c>
      <c r="C41" s="113" t="s">
        <v>145</v>
      </c>
      <c r="D41" s="82" t="str">
        <f aca="false">IF(OR(C41="",P41=""),"",INDEX('CARNET DE SOUDURE'!$D$7:$D$3006,P41)&amp;"")</f>
        <v/>
      </c>
      <c r="E41" s="114" t="str">
        <f aca="false">IF(OR(C41="",P41=""),"",IF(INDEX('CARNET DE SOUDURE'!$U$7:$U$3006,P41)="","",INDEX('CARNET DE SOUDURE'!$U$7:$U$3006,P41)))</f>
        <v/>
      </c>
      <c r="F41" s="82" t="str">
        <f aca="false">IF(OR(C41="",P41=""),"",INDEX('CARNET DE SOUDURE'!$AP$7:$AP$3006,P41))</f>
        <v/>
      </c>
      <c r="G41" s="82" t="str">
        <f aca="false">IF(C41="","",IF(P41="","NJ INCONNU",INDEX('CARNET DE SOUDURE'!$AQ$7:$AQ$3006,P41)))</f>
        <v>À SOUDER</v>
      </c>
      <c r="H41" s="82" t="str">
        <f aca="false">IF(C41="","",IF(G41="ACCEPTÉ","OUI","NON"))</f>
        <v>NON</v>
      </c>
      <c r="I41" s="83"/>
      <c r="J41" s="80"/>
      <c r="K41" s="81"/>
      <c r="L41" s="81"/>
      <c r="M41" s="81"/>
      <c r="N41" s="84" t="str">
        <f aca="false">IF(C41="","",IF(P41="","NJ INCONNU",IF(I41="",IF(H41="OUI","À ENROBER",IF(G41="À SOUDER","NON SOUDÉ","EN ATTENTE RT")),IF(L41="R","À REPRENDRE",IF(H41&lt;&gt;"OUI","⚠ ENROBÉ AVANT ACCEPTATION RT","ENROBÉ")))))</f>
        <v>NON SOUDÉ</v>
      </c>
      <c r="O41" s="80"/>
      <c r="P41" s="82" t="n">
        <f aca="false">IF(C41="","",IFERROR(MATCH(Q41,'CARNET DE SOUDURE'!$AW$7:$AW$3006,0),""))</f>
        <v>35</v>
      </c>
      <c r="Q41" s="82" t="str">
        <f aca="false">IF(C41="","",B41&amp;"|"&amp;C41)</f>
        <v>MFD-ISW → MFD-CPF|JN°035</v>
      </c>
    </row>
    <row r="42" customFormat="false" ht="74.6" hidden="false" customHeight="false" outlineLevel="0" collapsed="false">
      <c r="A42" s="82" t="n">
        <f aca="false">IF(C42="","",ROW()-6)</f>
        <v>36</v>
      </c>
      <c r="B42" s="80" t="s">
        <v>110</v>
      </c>
      <c r="C42" s="113" t="s">
        <v>146</v>
      </c>
      <c r="D42" s="82" t="str">
        <f aca="false">IF(OR(C42="",P42=""),"",INDEX('CARNET DE SOUDURE'!$D$7:$D$3006,P42)&amp;"")</f>
        <v/>
      </c>
      <c r="E42" s="114" t="str">
        <f aca="false">IF(OR(C42="",P42=""),"",IF(INDEX('CARNET DE SOUDURE'!$U$7:$U$3006,P42)="","",INDEX('CARNET DE SOUDURE'!$U$7:$U$3006,P42)))</f>
        <v/>
      </c>
      <c r="F42" s="82" t="str">
        <f aca="false">IF(OR(C42="",P42=""),"",INDEX('CARNET DE SOUDURE'!$AP$7:$AP$3006,P42))</f>
        <v/>
      </c>
      <c r="G42" s="82" t="str">
        <f aca="false">IF(C42="","",IF(P42="","NJ INCONNU",INDEX('CARNET DE SOUDURE'!$AQ$7:$AQ$3006,P42)))</f>
        <v>À SOUDER</v>
      </c>
      <c r="H42" s="82" t="str">
        <f aca="false">IF(C42="","",IF(G42="ACCEPTÉ","OUI","NON"))</f>
        <v>NON</v>
      </c>
      <c r="I42" s="83"/>
      <c r="J42" s="80"/>
      <c r="K42" s="81"/>
      <c r="L42" s="81"/>
      <c r="M42" s="81"/>
      <c r="N42" s="84" t="str">
        <f aca="false">IF(C42="","",IF(P42="","NJ INCONNU",IF(I42="",IF(H42="OUI","À ENROBER",IF(G42="À SOUDER","NON SOUDÉ","EN ATTENTE RT")),IF(L42="R","À REPRENDRE",IF(H42&lt;&gt;"OUI","⚠ ENROBÉ AVANT ACCEPTATION RT","ENROBÉ")))))</f>
        <v>NON SOUDÉ</v>
      </c>
      <c r="O42" s="80"/>
      <c r="P42" s="82" t="n">
        <f aca="false">IF(C42="","",IFERROR(MATCH(Q42,'CARNET DE SOUDURE'!$AW$7:$AW$3006,0),""))</f>
        <v>36</v>
      </c>
      <c r="Q42" s="82" t="str">
        <f aca="false">IF(C42="","",B42&amp;"|"&amp;C42)</f>
        <v>MFD-ISW → MFD-CPF|JN°036</v>
      </c>
    </row>
    <row r="43" customFormat="false" ht="74.6" hidden="false" customHeight="false" outlineLevel="0" collapsed="false">
      <c r="A43" s="82" t="n">
        <f aca="false">IF(C43="","",ROW()-6)</f>
        <v>37</v>
      </c>
      <c r="B43" s="80" t="s">
        <v>110</v>
      </c>
      <c r="C43" s="113" t="s">
        <v>147</v>
      </c>
      <c r="D43" s="82" t="str">
        <f aca="false">IF(OR(C43="",P43=""),"",INDEX('CARNET DE SOUDURE'!$D$7:$D$3006,P43)&amp;"")</f>
        <v/>
      </c>
      <c r="E43" s="114" t="str">
        <f aca="false">IF(OR(C43="",P43=""),"",IF(INDEX('CARNET DE SOUDURE'!$U$7:$U$3006,P43)="","",INDEX('CARNET DE SOUDURE'!$U$7:$U$3006,P43)))</f>
        <v/>
      </c>
      <c r="F43" s="82" t="str">
        <f aca="false">IF(OR(C43="",P43=""),"",INDEX('CARNET DE SOUDURE'!$AP$7:$AP$3006,P43))</f>
        <v/>
      </c>
      <c r="G43" s="82" t="str">
        <f aca="false">IF(C43="","",IF(P43="","NJ INCONNU",INDEX('CARNET DE SOUDURE'!$AQ$7:$AQ$3006,P43)))</f>
        <v>À SOUDER</v>
      </c>
      <c r="H43" s="82" t="str">
        <f aca="false">IF(C43="","",IF(G43="ACCEPTÉ","OUI","NON"))</f>
        <v>NON</v>
      </c>
      <c r="I43" s="83"/>
      <c r="J43" s="80"/>
      <c r="K43" s="81"/>
      <c r="L43" s="81"/>
      <c r="M43" s="81"/>
      <c r="N43" s="84" t="str">
        <f aca="false">IF(C43="","",IF(P43="","NJ INCONNU",IF(I43="",IF(H43="OUI","À ENROBER",IF(G43="À SOUDER","NON SOUDÉ","EN ATTENTE RT")),IF(L43="R","À REPRENDRE",IF(H43&lt;&gt;"OUI","⚠ ENROBÉ AVANT ACCEPTATION RT","ENROBÉ")))))</f>
        <v>NON SOUDÉ</v>
      </c>
      <c r="O43" s="80"/>
      <c r="P43" s="82" t="n">
        <f aca="false">IF(C43="","",IFERROR(MATCH(Q43,'CARNET DE SOUDURE'!$AW$7:$AW$3006,0),""))</f>
        <v>37</v>
      </c>
      <c r="Q43" s="82" t="str">
        <f aca="false">IF(C43="","",B43&amp;"|"&amp;C43)</f>
        <v>MFD-ISW → MFD-CPF|JN°037</v>
      </c>
    </row>
    <row r="44" customFormat="false" ht="74.6" hidden="false" customHeight="false" outlineLevel="0" collapsed="false">
      <c r="A44" s="82" t="n">
        <f aca="false">IF(C44="","",ROW()-6)</f>
        <v>38</v>
      </c>
      <c r="B44" s="80" t="s">
        <v>110</v>
      </c>
      <c r="C44" s="113" t="s">
        <v>148</v>
      </c>
      <c r="D44" s="82" t="str">
        <f aca="false">IF(OR(C44="",P44=""),"",INDEX('CARNET DE SOUDURE'!$D$7:$D$3006,P44)&amp;"")</f>
        <v/>
      </c>
      <c r="E44" s="114" t="str">
        <f aca="false">IF(OR(C44="",P44=""),"",IF(INDEX('CARNET DE SOUDURE'!$U$7:$U$3006,P44)="","",INDEX('CARNET DE SOUDURE'!$U$7:$U$3006,P44)))</f>
        <v/>
      </c>
      <c r="F44" s="82" t="str">
        <f aca="false">IF(OR(C44="",P44=""),"",INDEX('CARNET DE SOUDURE'!$AP$7:$AP$3006,P44))</f>
        <v/>
      </c>
      <c r="G44" s="82" t="str">
        <f aca="false">IF(C44="","",IF(P44="","NJ INCONNU",INDEX('CARNET DE SOUDURE'!$AQ$7:$AQ$3006,P44)))</f>
        <v>À SOUDER</v>
      </c>
      <c r="H44" s="82" t="str">
        <f aca="false">IF(C44="","",IF(G44="ACCEPTÉ","OUI","NON"))</f>
        <v>NON</v>
      </c>
      <c r="I44" s="83"/>
      <c r="J44" s="80"/>
      <c r="K44" s="81"/>
      <c r="L44" s="81"/>
      <c r="M44" s="81"/>
      <c r="N44" s="84" t="str">
        <f aca="false">IF(C44="","",IF(P44="","NJ INCONNU",IF(I44="",IF(H44="OUI","À ENROBER",IF(G44="À SOUDER","NON SOUDÉ","EN ATTENTE RT")),IF(L44="R","À REPRENDRE",IF(H44&lt;&gt;"OUI","⚠ ENROBÉ AVANT ACCEPTATION RT","ENROBÉ")))))</f>
        <v>NON SOUDÉ</v>
      </c>
      <c r="O44" s="80"/>
      <c r="P44" s="82" t="n">
        <f aca="false">IF(C44="","",IFERROR(MATCH(Q44,'CARNET DE SOUDURE'!$AW$7:$AW$3006,0),""))</f>
        <v>38</v>
      </c>
      <c r="Q44" s="82" t="str">
        <f aca="false">IF(C44="","",B44&amp;"|"&amp;C44)</f>
        <v>MFD-ISW → MFD-CPF|JN°038</v>
      </c>
    </row>
    <row r="45" customFormat="false" ht="74.6" hidden="false" customHeight="false" outlineLevel="0" collapsed="false">
      <c r="A45" s="82" t="n">
        <f aca="false">IF(C45="","",ROW()-6)</f>
        <v>39</v>
      </c>
      <c r="B45" s="80" t="s">
        <v>110</v>
      </c>
      <c r="C45" s="113" t="s">
        <v>149</v>
      </c>
      <c r="D45" s="82" t="str">
        <f aca="false">IF(OR(C45="",P45=""),"",INDEX('CARNET DE SOUDURE'!$D$7:$D$3006,P45)&amp;"")</f>
        <v/>
      </c>
      <c r="E45" s="114" t="str">
        <f aca="false">IF(OR(C45="",P45=""),"",IF(INDEX('CARNET DE SOUDURE'!$U$7:$U$3006,P45)="","",INDEX('CARNET DE SOUDURE'!$U$7:$U$3006,P45)))</f>
        <v/>
      </c>
      <c r="F45" s="82" t="str">
        <f aca="false">IF(OR(C45="",P45=""),"",INDEX('CARNET DE SOUDURE'!$AP$7:$AP$3006,P45))</f>
        <v/>
      </c>
      <c r="G45" s="82" t="str">
        <f aca="false">IF(C45="","",IF(P45="","NJ INCONNU",INDEX('CARNET DE SOUDURE'!$AQ$7:$AQ$3006,P45)))</f>
        <v>À SOUDER</v>
      </c>
      <c r="H45" s="82" t="str">
        <f aca="false">IF(C45="","",IF(G45="ACCEPTÉ","OUI","NON"))</f>
        <v>NON</v>
      </c>
      <c r="I45" s="83"/>
      <c r="J45" s="80"/>
      <c r="K45" s="81"/>
      <c r="L45" s="81"/>
      <c r="M45" s="81"/>
      <c r="N45" s="84" t="str">
        <f aca="false">IF(C45="","",IF(P45="","NJ INCONNU",IF(I45="",IF(H45="OUI","À ENROBER",IF(G45="À SOUDER","NON SOUDÉ","EN ATTENTE RT")),IF(L45="R","À REPRENDRE",IF(H45&lt;&gt;"OUI","⚠ ENROBÉ AVANT ACCEPTATION RT","ENROBÉ")))))</f>
        <v>NON SOUDÉ</v>
      </c>
      <c r="O45" s="80"/>
      <c r="P45" s="82" t="n">
        <f aca="false">IF(C45="","",IFERROR(MATCH(Q45,'CARNET DE SOUDURE'!$AW$7:$AW$3006,0),""))</f>
        <v>39</v>
      </c>
      <c r="Q45" s="82" t="str">
        <f aca="false">IF(C45="","",B45&amp;"|"&amp;C45)</f>
        <v>MFD-ISW → MFD-CPF|JN°039</v>
      </c>
    </row>
    <row r="46" customFormat="false" ht="74.6" hidden="false" customHeight="false" outlineLevel="0" collapsed="false">
      <c r="A46" s="82" t="n">
        <f aca="false">IF(C46="","",ROW()-6)</f>
        <v>40</v>
      </c>
      <c r="B46" s="80" t="s">
        <v>110</v>
      </c>
      <c r="C46" s="113" t="s">
        <v>150</v>
      </c>
      <c r="D46" s="82" t="str">
        <f aca="false">IF(OR(C46="",P46=""),"",INDEX('CARNET DE SOUDURE'!$D$7:$D$3006,P46)&amp;"")</f>
        <v/>
      </c>
      <c r="E46" s="114" t="str">
        <f aca="false">IF(OR(C46="",P46=""),"",IF(INDEX('CARNET DE SOUDURE'!$U$7:$U$3006,P46)="","",INDEX('CARNET DE SOUDURE'!$U$7:$U$3006,P46)))</f>
        <v/>
      </c>
      <c r="F46" s="82" t="str">
        <f aca="false">IF(OR(C46="",P46=""),"",INDEX('CARNET DE SOUDURE'!$AP$7:$AP$3006,P46))</f>
        <v/>
      </c>
      <c r="G46" s="82" t="str">
        <f aca="false">IF(C46="","",IF(P46="","NJ INCONNU",INDEX('CARNET DE SOUDURE'!$AQ$7:$AQ$3006,P46)))</f>
        <v>À SOUDER</v>
      </c>
      <c r="H46" s="82" t="str">
        <f aca="false">IF(C46="","",IF(G46="ACCEPTÉ","OUI","NON"))</f>
        <v>NON</v>
      </c>
      <c r="I46" s="83"/>
      <c r="J46" s="80"/>
      <c r="K46" s="81"/>
      <c r="L46" s="81"/>
      <c r="M46" s="81"/>
      <c r="N46" s="84" t="str">
        <f aca="false">IF(C46="","",IF(P46="","NJ INCONNU",IF(I46="",IF(H46="OUI","À ENROBER",IF(G46="À SOUDER","NON SOUDÉ","EN ATTENTE RT")),IF(L46="R","À REPRENDRE",IF(H46&lt;&gt;"OUI","⚠ ENROBÉ AVANT ACCEPTATION RT","ENROBÉ")))))</f>
        <v>NON SOUDÉ</v>
      </c>
      <c r="O46" s="80"/>
      <c r="P46" s="82" t="n">
        <f aca="false">IF(C46="","",IFERROR(MATCH(Q46,'CARNET DE SOUDURE'!$AW$7:$AW$3006,0),""))</f>
        <v>40</v>
      </c>
      <c r="Q46" s="82" t="str">
        <f aca="false">IF(C46="","",B46&amp;"|"&amp;C46)</f>
        <v>MFD-ISW → MFD-CPF|JN°040</v>
      </c>
    </row>
    <row r="47" customFormat="false" ht="74.6" hidden="false" customHeight="false" outlineLevel="0" collapsed="false">
      <c r="A47" s="82" t="n">
        <f aca="false">IF(C47="","",ROW()-6)</f>
        <v>41</v>
      </c>
      <c r="B47" s="80" t="s">
        <v>110</v>
      </c>
      <c r="C47" s="113" t="s">
        <v>151</v>
      </c>
      <c r="D47" s="82" t="str">
        <f aca="false">IF(OR(C47="",P47=""),"",INDEX('CARNET DE SOUDURE'!$D$7:$D$3006,P47)&amp;"")</f>
        <v/>
      </c>
      <c r="E47" s="114" t="str">
        <f aca="false">IF(OR(C47="",P47=""),"",IF(INDEX('CARNET DE SOUDURE'!$U$7:$U$3006,P47)="","",INDEX('CARNET DE SOUDURE'!$U$7:$U$3006,P47)))</f>
        <v/>
      </c>
      <c r="F47" s="82" t="str">
        <f aca="false">IF(OR(C47="",P47=""),"",INDEX('CARNET DE SOUDURE'!$AP$7:$AP$3006,P47))</f>
        <v/>
      </c>
      <c r="G47" s="82" t="str">
        <f aca="false">IF(C47="","",IF(P47="","NJ INCONNU",INDEX('CARNET DE SOUDURE'!$AQ$7:$AQ$3006,P47)))</f>
        <v>À SOUDER</v>
      </c>
      <c r="H47" s="82" t="str">
        <f aca="false">IF(C47="","",IF(G47="ACCEPTÉ","OUI","NON"))</f>
        <v>NON</v>
      </c>
      <c r="I47" s="83"/>
      <c r="J47" s="80"/>
      <c r="K47" s="81"/>
      <c r="L47" s="81"/>
      <c r="M47" s="81"/>
      <c r="N47" s="84" t="str">
        <f aca="false">IF(C47="","",IF(P47="","NJ INCONNU",IF(I47="",IF(H47="OUI","À ENROBER",IF(G47="À SOUDER","NON SOUDÉ","EN ATTENTE RT")),IF(L47="R","À REPRENDRE",IF(H47&lt;&gt;"OUI","⚠ ENROBÉ AVANT ACCEPTATION RT","ENROBÉ")))))</f>
        <v>NON SOUDÉ</v>
      </c>
      <c r="O47" s="80"/>
      <c r="P47" s="82" t="n">
        <f aca="false">IF(C47="","",IFERROR(MATCH(Q47,'CARNET DE SOUDURE'!$AW$7:$AW$3006,0),""))</f>
        <v>41</v>
      </c>
      <c r="Q47" s="82" t="str">
        <f aca="false">IF(C47="","",B47&amp;"|"&amp;C47)</f>
        <v>MFD-ISW → MFD-CPF|JN°041</v>
      </c>
    </row>
    <row r="48" customFormat="false" ht="74.6" hidden="false" customHeight="false" outlineLevel="0" collapsed="false">
      <c r="A48" s="82" t="n">
        <f aca="false">IF(C48="","",ROW()-6)</f>
        <v>42</v>
      </c>
      <c r="B48" s="80" t="s">
        <v>110</v>
      </c>
      <c r="C48" s="113" t="s">
        <v>152</v>
      </c>
      <c r="D48" s="82" t="str">
        <f aca="false">IF(OR(C48="",P48=""),"",INDEX('CARNET DE SOUDURE'!$D$7:$D$3006,P48)&amp;"")</f>
        <v/>
      </c>
      <c r="E48" s="114" t="str">
        <f aca="false">IF(OR(C48="",P48=""),"",IF(INDEX('CARNET DE SOUDURE'!$U$7:$U$3006,P48)="","",INDEX('CARNET DE SOUDURE'!$U$7:$U$3006,P48)))</f>
        <v/>
      </c>
      <c r="F48" s="82" t="str">
        <f aca="false">IF(OR(C48="",P48=""),"",INDEX('CARNET DE SOUDURE'!$AP$7:$AP$3006,P48))</f>
        <v/>
      </c>
      <c r="G48" s="82" t="str">
        <f aca="false">IF(C48="","",IF(P48="","NJ INCONNU",INDEX('CARNET DE SOUDURE'!$AQ$7:$AQ$3006,P48)))</f>
        <v>À SOUDER</v>
      </c>
      <c r="H48" s="82" t="str">
        <f aca="false">IF(C48="","",IF(G48="ACCEPTÉ","OUI","NON"))</f>
        <v>NON</v>
      </c>
      <c r="I48" s="83"/>
      <c r="J48" s="80"/>
      <c r="K48" s="81"/>
      <c r="L48" s="81"/>
      <c r="M48" s="81"/>
      <c r="N48" s="84" t="str">
        <f aca="false">IF(C48="","",IF(P48="","NJ INCONNU",IF(I48="",IF(H48="OUI","À ENROBER",IF(G48="À SOUDER","NON SOUDÉ","EN ATTENTE RT")),IF(L48="R","À REPRENDRE",IF(H48&lt;&gt;"OUI","⚠ ENROBÉ AVANT ACCEPTATION RT","ENROBÉ")))))</f>
        <v>NON SOUDÉ</v>
      </c>
      <c r="O48" s="80"/>
      <c r="P48" s="82" t="n">
        <f aca="false">IF(C48="","",IFERROR(MATCH(Q48,'CARNET DE SOUDURE'!$AW$7:$AW$3006,0),""))</f>
        <v>42</v>
      </c>
      <c r="Q48" s="82" t="str">
        <f aca="false">IF(C48="","",B48&amp;"|"&amp;C48)</f>
        <v>MFD-ISW → MFD-CPF|JN°042</v>
      </c>
    </row>
    <row r="49" customFormat="false" ht="74.6" hidden="false" customHeight="false" outlineLevel="0" collapsed="false">
      <c r="A49" s="82" t="n">
        <f aca="false">IF(C49="","",ROW()-6)</f>
        <v>43</v>
      </c>
      <c r="B49" s="80" t="s">
        <v>110</v>
      </c>
      <c r="C49" s="113" t="s">
        <v>153</v>
      </c>
      <c r="D49" s="82" t="str">
        <f aca="false">IF(OR(C49="",P49=""),"",INDEX('CARNET DE SOUDURE'!$D$7:$D$3006,P49)&amp;"")</f>
        <v/>
      </c>
      <c r="E49" s="114" t="str">
        <f aca="false">IF(OR(C49="",P49=""),"",IF(INDEX('CARNET DE SOUDURE'!$U$7:$U$3006,P49)="","",INDEX('CARNET DE SOUDURE'!$U$7:$U$3006,P49)))</f>
        <v/>
      </c>
      <c r="F49" s="82" t="str">
        <f aca="false">IF(OR(C49="",P49=""),"",INDEX('CARNET DE SOUDURE'!$AP$7:$AP$3006,P49))</f>
        <v/>
      </c>
      <c r="G49" s="82" t="str">
        <f aca="false">IF(C49="","",IF(P49="","NJ INCONNU",INDEX('CARNET DE SOUDURE'!$AQ$7:$AQ$3006,P49)))</f>
        <v>À SOUDER</v>
      </c>
      <c r="H49" s="82" t="str">
        <f aca="false">IF(C49="","",IF(G49="ACCEPTÉ","OUI","NON"))</f>
        <v>NON</v>
      </c>
      <c r="I49" s="83"/>
      <c r="J49" s="80"/>
      <c r="K49" s="81"/>
      <c r="L49" s="81"/>
      <c r="M49" s="81"/>
      <c r="N49" s="84" t="str">
        <f aca="false">IF(C49="","",IF(P49="","NJ INCONNU",IF(I49="",IF(H49="OUI","À ENROBER",IF(G49="À SOUDER","NON SOUDÉ","EN ATTENTE RT")),IF(L49="R","À REPRENDRE",IF(H49&lt;&gt;"OUI","⚠ ENROBÉ AVANT ACCEPTATION RT","ENROBÉ")))))</f>
        <v>NON SOUDÉ</v>
      </c>
      <c r="O49" s="80"/>
      <c r="P49" s="82" t="n">
        <f aca="false">IF(C49="","",IFERROR(MATCH(Q49,'CARNET DE SOUDURE'!$AW$7:$AW$3006,0),""))</f>
        <v>43</v>
      </c>
      <c r="Q49" s="82" t="str">
        <f aca="false">IF(C49="","",B49&amp;"|"&amp;C49)</f>
        <v>MFD-ISW → MFD-CPF|JN°043</v>
      </c>
    </row>
    <row r="50" customFormat="false" ht="74.6" hidden="false" customHeight="false" outlineLevel="0" collapsed="false">
      <c r="A50" s="82" t="n">
        <f aca="false">IF(C50="","",ROW()-6)</f>
        <v>44</v>
      </c>
      <c r="B50" s="80" t="s">
        <v>110</v>
      </c>
      <c r="C50" s="113" t="s">
        <v>154</v>
      </c>
      <c r="D50" s="82" t="str">
        <f aca="false">IF(OR(C50="",P50=""),"",INDEX('CARNET DE SOUDURE'!$D$7:$D$3006,P50)&amp;"")</f>
        <v/>
      </c>
      <c r="E50" s="114" t="str">
        <f aca="false">IF(OR(C50="",P50=""),"",IF(INDEX('CARNET DE SOUDURE'!$U$7:$U$3006,P50)="","",INDEX('CARNET DE SOUDURE'!$U$7:$U$3006,P50)))</f>
        <v/>
      </c>
      <c r="F50" s="82" t="str">
        <f aca="false">IF(OR(C50="",P50=""),"",INDEX('CARNET DE SOUDURE'!$AP$7:$AP$3006,P50))</f>
        <v/>
      </c>
      <c r="G50" s="82" t="str">
        <f aca="false">IF(C50="","",IF(P50="","NJ INCONNU",INDEX('CARNET DE SOUDURE'!$AQ$7:$AQ$3006,P50)))</f>
        <v>À SOUDER</v>
      </c>
      <c r="H50" s="82" t="str">
        <f aca="false">IF(C50="","",IF(G50="ACCEPTÉ","OUI","NON"))</f>
        <v>NON</v>
      </c>
      <c r="I50" s="83"/>
      <c r="J50" s="80"/>
      <c r="K50" s="81"/>
      <c r="L50" s="81"/>
      <c r="M50" s="81"/>
      <c r="N50" s="84" t="str">
        <f aca="false">IF(C50="","",IF(P50="","NJ INCONNU",IF(I50="",IF(H50="OUI","À ENROBER",IF(G50="À SOUDER","NON SOUDÉ","EN ATTENTE RT")),IF(L50="R","À REPRENDRE",IF(H50&lt;&gt;"OUI","⚠ ENROBÉ AVANT ACCEPTATION RT","ENROBÉ")))))</f>
        <v>NON SOUDÉ</v>
      </c>
      <c r="O50" s="80"/>
      <c r="P50" s="82" t="n">
        <f aca="false">IF(C50="","",IFERROR(MATCH(Q50,'CARNET DE SOUDURE'!$AW$7:$AW$3006,0),""))</f>
        <v>44</v>
      </c>
      <c r="Q50" s="82" t="str">
        <f aca="false">IF(C50="","",B50&amp;"|"&amp;C50)</f>
        <v>MFD-ISW → MFD-CPF|JN°044</v>
      </c>
    </row>
    <row r="51" customFormat="false" ht="74.6" hidden="false" customHeight="false" outlineLevel="0" collapsed="false">
      <c r="A51" s="82" t="n">
        <f aca="false">IF(C51="","",ROW()-6)</f>
        <v>45</v>
      </c>
      <c r="B51" s="80" t="s">
        <v>110</v>
      </c>
      <c r="C51" s="113" t="s">
        <v>155</v>
      </c>
      <c r="D51" s="82" t="str">
        <f aca="false">IF(OR(C51="",P51=""),"",INDEX('CARNET DE SOUDURE'!$D$7:$D$3006,P51)&amp;"")</f>
        <v/>
      </c>
      <c r="E51" s="114" t="str">
        <f aca="false">IF(OR(C51="",P51=""),"",IF(INDEX('CARNET DE SOUDURE'!$U$7:$U$3006,P51)="","",INDEX('CARNET DE SOUDURE'!$U$7:$U$3006,P51)))</f>
        <v/>
      </c>
      <c r="F51" s="82" t="str">
        <f aca="false">IF(OR(C51="",P51=""),"",INDEX('CARNET DE SOUDURE'!$AP$7:$AP$3006,P51))</f>
        <v/>
      </c>
      <c r="G51" s="82" t="str">
        <f aca="false">IF(C51="","",IF(P51="","NJ INCONNU",INDEX('CARNET DE SOUDURE'!$AQ$7:$AQ$3006,P51)))</f>
        <v>À SOUDER</v>
      </c>
      <c r="H51" s="82" t="str">
        <f aca="false">IF(C51="","",IF(G51="ACCEPTÉ","OUI","NON"))</f>
        <v>NON</v>
      </c>
      <c r="I51" s="83"/>
      <c r="J51" s="80"/>
      <c r="K51" s="81"/>
      <c r="L51" s="81"/>
      <c r="M51" s="81"/>
      <c r="N51" s="84" t="str">
        <f aca="false">IF(C51="","",IF(P51="","NJ INCONNU",IF(I51="",IF(H51="OUI","À ENROBER",IF(G51="À SOUDER","NON SOUDÉ","EN ATTENTE RT")),IF(L51="R","À REPRENDRE",IF(H51&lt;&gt;"OUI","⚠ ENROBÉ AVANT ACCEPTATION RT","ENROBÉ")))))</f>
        <v>NON SOUDÉ</v>
      </c>
      <c r="O51" s="80"/>
      <c r="P51" s="82" t="n">
        <f aca="false">IF(C51="","",IFERROR(MATCH(Q51,'CARNET DE SOUDURE'!$AW$7:$AW$3006,0),""))</f>
        <v>45</v>
      </c>
      <c r="Q51" s="82" t="str">
        <f aca="false">IF(C51="","",B51&amp;"|"&amp;C51)</f>
        <v>MFD-ISW → MFD-CPF|JN°045</v>
      </c>
    </row>
    <row r="52" customFormat="false" ht="74.6" hidden="false" customHeight="false" outlineLevel="0" collapsed="false">
      <c r="A52" s="82" t="n">
        <f aca="false">IF(C52="","",ROW()-6)</f>
        <v>46</v>
      </c>
      <c r="B52" s="80" t="s">
        <v>110</v>
      </c>
      <c r="C52" s="113" t="s">
        <v>156</v>
      </c>
      <c r="D52" s="82" t="str">
        <f aca="false">IF(OR(C52="",P52=""),"",INDEX('CARNET DE SOUDURE'!$D$7:$D$3006,P52)&amp;"")</f>
        <v/>
      </c>
      <c r="E52" s="114" t="str">
        <f aca="false">IF(OR(C52="",P52=""),"",IF(INDEX('CARNET DE SOUDURE'!$U$7:$U$3006,P52)="","",INDEX('CARNET DE SOUDURE'!$U$7:$U$3006,P52)))</f>
        <v/>
      </c>
      <c r="F52" s="82" t="str">
        <f aca="false">IF(OR(C52="",P52=""),"",INDEX('CARNET DE SOUDURE'!$AP$7:$AP$3006,P52))</f>
        <v/>
      </c>
      <c r="G52" s="82" t="str">
        <f aca="false">IF(C52="","",IF(P52="","NJ INCONNU",INDEX('CARNET DE SOUDURE'!$AQ$7:$AQ$3006,P52)))</f>
        <v>À SOUDER</v>
      </c>
      <c r="H52" s="82" t="str">
        <f aca="false">IF(C52="","",IF(G52="ACCEPTÉ","OUI","NON"))</f>
        <v>NON</v>
      </c>
      <c r="I52" s="83"/>
      <c r="J52" s="80"/>
      <c r="K52" s="81"/>
      <c r="L52" s="81"/>
      <c r="M52" s="81"/>
      <c r="N52" s="84" t="str">
        <f aca="false">IF(C52="","",IF(P52="","NJ INCONNU",IF(I52="",IF(H52="OUI","À ENROBER",IF(G52="À SOUDER","NON SOUDÉ","EN ATTENTE RT")),IF(L52="R","À REPRENDRE",IF(H52&lt;&gt;"OUI","⚠ ENROBÉ AVANT ACCEPTATION RT","ENROBÉ")))))</f>
        <v>NON SOUDÉ</v>
      </c>
      <c r="O52" s="80"/>
      <c r="P52" s="82" t="n">
        <f aca="false">IF(C52="","",IFERROR(MATCH(Q52,'CARNET DE SOUDURE'!$AW$7:$AW$3006,0),""))</f>
        <v>46</v>
      </c>
      <c r="Q52" s="82" t="str">
        <f aca="false">IF(C52="","",B52&amp;"|"&amp;C52)</f>
        <v>MFD-ISW → MFD-CPF|JN°046</v>
      </c>
    </row>
    <row r="53" customFormat="false" ht="74.6" hidden="false" customHeight="false" outlineLevel="0" collapsed="false">
      <c r="A53" s="82" t="n">
        <f aca="false">IF(C53="","",ROW()-6)</f>
        <v>47</v>
      </c>
      <c r="B53" s="80" t="s">
        <v>110</v>
      </c>
      <c r="C53" s="113" t="s">
        <v>157</v>
      </c>
      <c r="D53" s="82" t="str">
        <f aca="false">IF(OR(C53="",P53=""),"",INDEX('CARNET DE SOUDURE'!$D$7:$D$3006,P53)&amp;"")</f>
        <v/>
      </c>
      <c r="E53" s="114" t="str">
        <f aca="false">IF(OR(C53="",P53=""),"",IF(INDEX('CARNET DE SOUDURE'!$U$7:$U$3006,P53)="","",INDEX('CARNET DE SOUDURE'!$U$7:$U$3006,P53)))</f>
        <v/>
      </c>
      <c r="F53" s="82" t="str">
        <f aca="false">IF(OR(C53="",P53=""),"",INDEX('CARNET DE SOUDURE'!$AP$7:$AP$3006,P53))</f>
        <v/>
      </c>
      <c r="G53" s="82" t="str">
        <f aca="false">IF(C53="","",IF(P53="","NJ INCONNU",INDEX('CARNET DE SOUDURE'!$AQ$7:$AQ$3006,P53)))</f>
        <v>À SOUDER</v>
      </c>
      <c r="H53" s="82" t="str">
        <f aca="false">IF(C53="","",IF(G53="ACCEPTÉ","OUI","NON"))</f>
        <v>NON</v>
      </c>
      <c r="I53" s="83"/>
      <c r="J53" s="80"/>
      <c r="K53" s="81"/>
      <c r="L53" s="81"/>
      <c r="M53" s="81"/>
      <c r="N53" s="84" t="str">
        <f aca="false">IF(C53="","",IF(P53="","NJ INCONNU",IF(I53="",IF(H53="OUI","À ENROBER",IF(G53="À SOUDER","NON SOUDÉ","EN ATTENTE RT")),IF(L53="R","À REPRENDRE",IF(H53&lt;&gt;"OUI","⚠ ENROBÉ AVANT ACCEPTATION RT","ENROBÉ")))))</f>
        <v>NON SOUDÉ</v>
      </c>
      <c r="O53" s="80"/>
      <c r="P53" s="82" t="n">
        <f aca="false">IF(C53="","",IFERROR(MATCH(Q53,'CARNET DE SOUDURE'!$AW$7:$AW$3006,0),""))</f>
        <v>47</v>
      </c>
      <c r="Q53" s="82" t="str">
        <f aca="false">IF(C53="","",B53&amp;"|"&amp;C53)</f>
        <v>MFD-ISW → MFD-CPF|JN°047</v>
      </c>
    </row>
    <row r="54" customFormat="false" ht="74.6" hidden="false" customHeight="false" outlineLevel="0" collapsed="false">
      <c r="A54" s="82" t="n">
        <f aca="false">IF(C54="","",ROW()-6)</f>
        <v>48</v>
      </c>
      <c r="B54" s="80" t="s">
        <v>110</v>
      </c>
      <c r="C54" s="113" t="s">
        <v>158</v>
      </c>
      <c r="D54" s="82" t="str">
        <f aca="false">IF(OR(C54="",P54=""),"",INDEX('CARNET DE SOUDURE'!$D$7:$D$3006,P54)&amp;"")</f>
        <v/>
      </c>
      <c r="E54" s="114" t="str">
        <f aca="false">IF(OR(C54="",P54=""),"",IF(INDEX('CARNET DE SOUDURE'!$U$7:$U$3006,P54)="","",INDEX('CARNET DE SOUDURE'!$U$7:$U$3006,P54)))</f>
        <v/>
      </c>
      <c r="F54" s="82" t="str">
        <f aca="false">IF(OR(C54="",P54=""),"",INDEX('CARNET DE SOUDURE'!$AP$7:$AP$3006,P54))</f>
        <v/>
      </c>
      <c r="G54" s="82" t="str">
        <f aca="false">IF(C54="","",IF(P54="","NJ INCONNU",INDEX('CARNET DE SOUDURE'!$AQ$7:$AQ$3006,P54)))</f>
        <v>À SOUDER</v>
      </c>
      <c r="H54" s="82" t="str">
        <f aca="false">IF(C54="","",IF(G54="ACCEPTÉ","OUI","NON"))</f>
        <v>NON</v>
      </c>
      <c r="I54" s="83"/>
      <c r="J54" s="80"/>
      <c r="K54" s="81"/>
      <c r="L54" s="81"/>
      <c r="M54" s="81"/>
      <c r="N54" s="84" t="str">
        <f aca="false">IF(C54="","",IF(P54="","NJ INCONNU",IF(I54="",IF(H54="OUI","À ENROBER",IF(G54="À SOUDER","NON SOUDÉ","EN ATTENTE RT")),IF(L54="R","À REPRENDRE",IF(H54&lt;&gt;"OUI","⚠ ENROBÉ AVANT ACCEPTATION RT","ENROBÉ")))))</f>
        <v>NON SOUDÉ</v>
      </c>
      <c r="O54" s="80"/>
      <c r="P54" s="82" t="n">
        <f aca="false">IF(C54="","",IFERROR(MATCH(Q54,'CARNET DE SOUDURE'!$AW$7:$AW$3006,0),""))</f>
        <v>48</v>
      </c>
      <c r="Q54" s="82" t="str">
        <f aca="false">IF(C54="","",B54&amp;"|"&amp;C54)</f>
        <v>MFD-ISW → MFD-CPF|JN°048</v>
      </c>
    </row>
    <row r="55" customFormat="false" ht="74.6" hidden="false" customHeight="false" outlineLevel="0" collapsed="false">
      <c r="A55" s="82" t="n">
        <f aca="false">IF(C55="","",ROW()-6)</f>
        <v>49</v>
      </c>
      <c r="B55" s="80" t="s">
        <v>110</v>
      </c>
      <c r="C55" s="113" t="s">
        <v>159</v>
      </c>
      <c r="D55" s="82" t="str">
        <f aca="false">IF(OR(C55="",P55=""),"",INDEX('CARNET DE SOUDURE'!$D$7:$D$3006,P55)&amp;"")</f>
        <v/>
      </c>
      <c r="E55" s="114" t="str">
        <f aca="false">IF(OR(C55="",P55=""),"",IF(INDEX('CARNET DE SOUDURE'!$U$7:$U$3006,P55)="","",INDEX('CARNET DE SOUDURE'!$U$7:$U$3006,P55)))</f>
        <v/>
      </c>
      <c r="F55" s="82" t="str">
        <f aca="false">IF(OR(C55="",P55=""),"",INDEX('CARNET DE SOUDURE'!$AP$7:$AP$3006,P55))</f>
        <v/>
      </c>
      <c r="G55" s="82" t="str">
        <f aca="false">IF(C55="","",IF(P55="","NJ INCONNU",INDEX('CARNET DE SOUDURE'!$AQ$7:$AQ$3006,P55)))</f>
        <v>À SOUDER</v>
      </c>
      <c r="H55" s="82" t="str">
        <f aca="false">IF(C55="","",IF(G55="ACCEPTÉ","OUI","NON"))</f>
        <v>NON</v>
      </c>
      <c r="I55" s="83"/>
      <c r="J55" s="80"/>
      <c r="K55" s="81"/>
      <c r="L55" s="81"/>
      <c r="M55" s="81"/>
      <c r="N55" s="84" t="str">
        <f aca="false">IF(C55="","",IF(P55="","NJ INCONNU",IF(I55="",IF(H55="OUI","À ENROBER",IF(G55="À SOUDER","NON SOUDÉ","EN ATTENTE RT")),IF(L55="R","À REPRENDRE",IF(H55&lt;&gt;"OUI","⚠ ENROBÉ AVANT ACCEPTATION RT","ENROBÉ")))))</f>
        <v>NON SOUDÉ</v>
      </c>
      <c r="O55" s="80"/>
      <c r="P55" s="82" t="n">
        <f aca="false">IF(C55="","",IFERROR(MATCH(Q55,'CARNET DE SOUDURE'!$AW$7:$AW$3006,0),""))</f>
        <v>49</v>
      </c>
      <c r="Q55" s="82" t="str">
        <f aca="false">IF(C55="","",B55&amp;"|"&amp;C55)</f>
        <v>MFD-ISW → MFD-CPF|JN°049</v>
      </c>
    </row>
    <row r="56" customFormat="false" ht="74.6" hidden="false" customHeight="false" outlineLevel="0" collapsed="false">
      <c r="A56" s="82" t="n">
        <f aca="false">IF(C56="","",ROW()-6)</f>
        <v>50</v>
      </c>
      <c r="B56" s="80" t="s">
        <v>110</v>
      </c>
      <c r="C56" s="113" t="s">
        <v>160</v>
      </c>
      <c r="D56" s="82" t="str">
        <f aca="false">IF(OR(C56="",P56=""),"",INDEX('CARNET DE SOUDURE'!$D$7:$D$3006,P56)&amp;"")</f>
        <v/>
      </c>
      <c r="E56" s="114" t="str">
        <f aca="false">IF(OR(C56="",P56=""),"",IF(INDEX('CARNET DE SOUDURE'!$U$7:$U$3006,P56)="","",INDEX('CARNET DE SOUDURE'!$U$7:$U$3006,P56)))</f>
        <v/>
      </c>
      <c r="F56" s="82" t="str">
        <f aca="false">IF(OR(C56="",P56=""),"",INDEX('CARNET DE SOUDURE'!$AP$7:$AP$3006,P56))</f>
        <v/>
      </c>
      <c r="G56" s="82" t="str">
        <f aca="false">IF(C56="","",IF(P56="","NJ INCONNU",INDEX('CARNET DE SOUDURE'!$AQ$7:$AQ$3006,P56)))</f>
        <v>À SOUDER</v>
      </c>
      <c r="H56" s="82" t="str">
        <f aca="false">IF(C56="","",IF(G56="ACCEPTÉ","OUI","NON"))</f>
        <v>NON</v>
      </c>
      <c r="I56" s="83"/>
      <c r="J56" s="80"/>
      <c r="K56" s="81"/>
      <c r="L56" s="81"/>
      <c r="M56" s="81"/>
      <c r="N56" s="84" t="str">
        <f aca="false">IF(C56="","",IF(P56="","NJ INCONNU",IF(I56="",IF(H56="OUI","À ENROBER",IF(G56="À SOUDER","NON SOUDÉ","EN ATTENTE RT")),IF(L56="R","À REPRENDRE",IF(H56&lt;&gt;"OUI","⚠ ENROBÉ AVANT ACCEPTATION RT","ENROBÉ")))))</f>
        <v>NON SOUDÉ</v>
      </c>
      <c r="O56" s="80"/>
      <c r="P56" s="82" t="n">
        <f aca="false">IF(C56="","",IFERROR(MATCH(Q56,'CARNET DE SOUDURE'!$AW$7:$AW$3006,0),""))</f>
        <v>50</v>
      </c>
      <c r="Q56" s="82" t="str">
        <f aca="false">IF(C56="","",B56&amp;"|"&amp;C56)</f>
        <v>MFD-ISW → MFD-CPF|JN°050</v>
      </c>
    </row>
    <row r="57" customFormat="false" ht="74.6" hidden="false" customHeight="false" outlineLevel="0" collapsed="false">
      <c r="A57" s="82" t="n">
        <f aca="false">IF(C57="","",ROW()-6)</f>
        <v>51</v>
      </c>
      <c r="B57" s="80" t="s">
        <v>110</v>
      </c>
      <c r="C57" s="113" t="s">
        <v>161</v>
      </c>
      <c r="D57" s="82" t="str">
        <f aca="false">IF(OR(C57="",P57=""),"",INDEX('CARNET DE SOUDURE'!$D$7:$D$3006,P57)&amp;"")</f>
        <v/>
      </c>
      <c r="E57" s="114" t="str">
        <f aca="false">IF(OR(C57="",P57=""),"",IF(INDEX('CARNET DE SOUDURE'!$U$7:$U$3006,P57)="","",INDEX('CARNET DE SOUDURE'!$U$7:$U$3006,P57)))</f>
        <v/>
      </c>
      <c r="F57" s="82" t="str">
        <f aca="false">IF(OR(C57="",P57=""),"",INDEX('CARNET DE SOUDURE'!$AP$7:$AP$3006,P57))</f>
        <v/>
      </c>
      <c r="G57" s="82" t="str">
        <f aca="false">IF(C57="","",IF(P57="","NJ INCONNU",INDEX('CARNET DE SOUDURE'!$AQ$7:$AQ$3006,P57)))</f>
        <v>À SOUDER</v>
      </c>
      <c r="H57" s="82" t="str">
        <f aca="false">IF(C57="","",IF(G57="ACCEPTÉ","OUI","NON"))</f>
        <v>NON</v>
      </c>
      <c r="I57" s="83"/>
      <c r="J57" s="80"/>
      <c r="K57" s="81"/>
      <c r="L57" s="81"/>
      <c r="M57" s="81"/>
      <c r="N57" s="84" t="str">
        <f aca="false">IF(C57="","",IF(P57="","NJ INCONNU",IF(I57="",IF(H57="OUI","À ENROBER",IF(G57="À SOUDER","NON SOUDÉ","EN ATTENTE RT")),IF(L57="R","À REPRENDRE",IF(H57&lt;&gt;"OUI","⚠ ENROBÉ AVANT ACCEPTATION RT","ENROBÉ")))))</f>
        <v>NON SOUDÉ</v>
      </c>
      <c r="O57" s="80"/>
      <c r="P57" s="82" t="n">
        <f aca="false">IF(C57="","",IFERROR(MATCH(Q57,'CARNET DE SOUDURE'!$AW$7:$AW$3006,0),""))</f>
        <v>51</v>
      </c>
      <c r="Q57" s="82" t="str">
        <f aca="false">IF(C57="","",B57&amp;"|"&amp;C57)</f>
        <v>MFD-ISW → MFD-CPF|JN°051</v>
      </c>
    </row>
    <row r="58" customFormat="false" ht="74.6" hidden="false" customHeight="false" outlineLevel="0" collapsed="false">
      <c r="A58" s="82" t="n">
        <f aca="false">IF(C58="","",ROW()-6)</f>
        <v>52</v>
      </c>
      <c r="B58" s="80" t="s">
        <v>110</v>
      </c>
      <c r="C58" s="113" t="s">
        <v>162</v>
      </c>
      <c r="D58" s="82" t="str">
        <f aca="false">IF(OR(C58="",P58=""),"",INDEX('CARNET DE SOUDURE'!$D$7:$D$3006,P58)&amp;"")</f>
        <v/>
      </c>
      <c r="E58" s="114" t="str">
        <f aca="false">IF(OR(C58="",P58=""),"",IF(INDEX('CARNET DE SOUDURE'!$U$7:$U$3006,P58)="","",INDEX('CARNET DE SOUDURE'!$U$7:$U$3006,P58)))</f>
        <v/>
      </c>
      <c r="F58" s="82" t="str">
        <f aca="false">IF(OR(C58="",P58=""),"",INDEX('CARNET DE SOUDURE'!$AP$7:$AP$3006,P58))</f>
        <v/>
      </c>
      <c r="G58" s="82" t="str">
        <f aca="false">IF(C58="","",IF(P58="","NJ INCONNU",INDEX('CARNET DE SOUDURE'!$AQ$7:$AQ$3006,P58)))</f>
        <v>À SOUDER</v>
      </c>
      <c r="H58" s="82" t="str">
        <f aca="false">IF(C58="","",IF(G58="ACCEPTÉ","OUI","NON"))</f>
        <v>NON</v>
      </c>
      <c r="I58" s="83"/>
      <c r="J58" s="80"/>
      <c r="K58" s="81"/>
      <c r="L58" s="81"/>
      <c r="M58" s="81"/>
      <c r="N58" s="84" t="str">
        <f aca="false">IF(C58="","",IF(P58="","NJ INCONNU",IF(I58="",IF(H58="OUI","À ENROBER",IF(G58="À SOUDER","NON SOUDÉ","EN ATTENTE RT")),IF(L58="R","À REPRENDRE",IF(H58&lt;&gt;"OUI","⚠ ENROBÉ AVANT ACCEPTATION RT","ENROBÉ")))))</f>
        <v>NON SOUDÉ</v>
      </c>
      <c r="O58" s="80"/>
      <c r="P58" s="82" t="n">
        <f aca="false">IF(C58="","",IFERROR(MATCH(Q58,'CARNET DE SOUDURE'!$AW$7:$AW$3006,0),""))</f>
        <v>52</v>
      </c>
      <c r="Q58" s="82" t="str">
        <f aca="false">IF(C58="","",B58&amp;"|"&amp;C58)</f>
        <v>MFD-ISW → MFD-CPF|JN°052</v>
      </c>
    </row>
    <row r="59" customFormat="false" ht="74.6" hidden="false" customHeight="false" outlineLevel="0" collapsed="false">
      <c r="A59" s="82" t="n">
        <f aca="false">IF(C59="","",ROW()-6)</f>
        <v>53</v>
      </c>
      <c r="B59" s="80" t="s">
        <v>110</v>
      </c>
      <c r="C59" s="113" t="s">
        <v>163</v>
      </c>
      <c r="D59" s="82" t="str">
        <f aca="false">IF(OR(C59="",P59=""),"",INDEX('CARNET DE SOUDURE'!$D$7:$D$3006,P59)&amp;"")</f>
        <v/>
      </c>
      <c r="E59" s="114" t="str">
        <f aca="false">IF(OR(C59="",P59=""),"",IF(INDEX('CARNET DE SOUDURE'!$U$7:$U$3006,P59)="","",INDEX('CARNET DE SOUDURE'!$U$7:$U$3006,P59)))</f>
        <v/>
      </c>
      <c r="F59" s="82" t="str">
        <f aca="false">IF(OR(C59="",P59=""),"",INDEX('CARNET DE SOUDURE'!$AP$7:$AP$3006,P59))</f>
        <v/>
      </c>
      <c r="G59" s="82" t="str">
        <f aca="false">IF(C59="","",IF(P59="","NJ INCONNU",INDEX('CARNET DE SOUDURE'!$AQ$7:$AQ$3006,P59)))</f>
        <v>À SOUDER</v>
      </c>
      <c r="H59" s="82" t="str">
        <f aca="false">IF(C59="","",IF(G59="ACCEPTÉ","OUI","NON"))</f>
        <v>NON</v>
      </c>
      <c r="I59" s="83"/>
      <c r="J59" s="80"/>
      <c r="K59" s="81"/>
      <c r="L59" s="81"/>
      <c r="M59" s="81"/>
      <c r="N59" s="84" t="str">
        <f aca="false">IF(C59="","",IF(P59="","NJ INCONNU",IF(I59="",IF(H59="OUI","À ENROBER",IF(G59="À SOUDER","NON SOUDÉ","EN ATTENTE RT")),IF(L59="R","À REPRENDRE",IF(H59&lt;&gt;"OUI","⚠ ENROBÉ AVANT ACCEPTATION RT","ENROBÉ")))))</f>
        <v>NON SOUDÉ</v>
      </c>
      <c r="O59" s="80"/>
      <c r="P59" s="82" t="n">
        <f aca="false">IF(C59="","",IFERROR(MATCH(Q59,'CARNET DE SOUDURE'!$AW$7:$AW$3006,0),""))</f>
        <v>53</v>
      </c>
      <c r="Q59" s="82" t="str">
        <f aca="false">IF(C59="","",B59&amp;"|"&amp;C59)</f>
        <v>MFD-ISW → MFD-CPF|JN°053</v>
      </c>
    </row>
    <row r="60" customFormat="false" ht="74.6" hidden="false" customHeight="false" outlineLevel="0" collapsed="false">
      <c r="A60" s="82" t="n">
        <f aca="false">IF(C60="","",ROW()-6)</f>
        <v>54</v>
      </c>
      <c r="B60" s="80" t="s">
        <v>110</v>
      </c>
      <c r="C60" s="113" t="s">
        <v>164</v>
      </c>
      <c r="D60" s="82" t="str">
        <f aca="false">IF(OR(C60="",P60=""),"",INDEX('CARNET DE SOUDURE'!$D$7:$D$3006,P60)&amp;"")</f>
        <v/>
      </c>
      <c r="E60" s="114" t="str">
        <f aca="false">IF(OR(C60="",P60=""),"",IF(INDEX('CARNET DE SOUDURE'!$U$7:$U$3006,P60)="","",INDEX('CARNET DE SOUDURE'!$U$7:$U$3006,P60)))</f>
        <v/>
      </c>
      <c r="F60" s="82" t="str">
        <f aca="false">IF(OR(C60="",P60=""),"",INDEX('CARNET DE SOUDURE'!$AP$7:$AP$3006,P60))</f>
        <v/>
      </c>
      <c r="G60" s="82" t="str">
        <f aca="false">IF(C60="","",IF(P60="","NJ INCONNU",INDEX('CARNET DE SOUDURE'!$AQ$7:$AQ$3006,P60)))</f>
        <v>À SOUDER</v>
      </c>
      <c r="H60" s="82" t="str">
        <f aca="false">IF(C60="","",IF(G60="ACCEPTÉ","OUI","NON"))</f>
        <v>NON</v>
      </c>
      <c r="I60" s="83"/>
      <c r="J60" s="80"/>
      <c r="K60" s="81"/>
      <c r="L60" s="81"/>
      <c r="M60" s="81"/>
      <c r="N60" s="84" t="str">
        <f aca="false">IF(C60="","",IF(P60="","NJ INCONNU",IF(I60="",IF(H60="OUI","À ENROBER",IF(G60="À SOUDER","NON SOUDÉ","EN ATTENTE RT")),IF(L60="R","À REPRENDRE",IF(H60&lt;&gt;"OUI","⚠ ENROBÉ AVANT ACCEPTATION RT","ENROBÉ")))))</f>
        <v>NON SOUDÉ</v>
      </c>
      <c r="O60" s="80"/>
      <c r="P60" s="82" t="n">
        <f aca="false">IF(C60="","",IFERROR(MATCH(Q60,'CARNET DE SOUDURE'!$AW$7:$AW$3006,0),""))</f>
        <v>54</v>
      </c>
      <c r="Q60" s="82" t="str">
        <f aca="false">IF(C60="","",B60&amp;"|"&amp;C60)</f>
        <v>MFD-ISW → MFD-CPF|JN°054</v>
      </c>
    </row>
    <row r="61" customFormat="false" ht="74.6" hidden="false" customHeight="false" outlineLevel="0" collapsed="false">
      <c r="A61" s="82" t="n">
        <f aca="false">IF(C61="","",ROW()-6)</f>
        <v>55</v>
      </c>
      <c r="B61" s="80" t="s">
        <v>110</v>
      </c>
      <c r="C61" s="113" t="s">
        <v>165</v>
      </c>
      <c r="D61" s="82" t="str">
        <f aca="false">IF(OR(C61="",P61=""),"",INDEX('CARNET DE SOUDURE'!$D$7:$D$3006,P61)&amp;"")</f>
        <v/>
      </c>
      <c r="E61" s="114" t="str">
        <f aca="false">IF(OR(C61="",P61=""),"",IF(INDEX('CARNET DE SOUDURE'!$U$7:$U$3006,P61)="","",INDEX('CARNET DE SOUDURE'!$U$7:$U$3006,P61)))</f>
        <v/>
      </c>
      <c r="F61" s="82" t="str">
        <f aca="false">IF(OR(C61="",P61=""),"",INDEX('CARNET DE SOUDURE'!$AP$7:$AP$3006,P61))</f>
        <v/>
      </c>
      <c r="G61" s="82" t="str">
        <f aca="false">IF(C61="","",IF(P61="","NJ INCONNU",INDEX('CARNET DE SOUDURE'!$AQ$7:$AQ$3006,P61)))</f>
        <v>À SOUDER</v>
      </c>
      <c r="H61" s="82" t="str">
        <f aca="false">IF(C61="","",IF(G61="ACCEPTÉ","OUI","NON"))</f>
        <v>NON</v>
      </c>
      <c r="I61" s="83"/>
      <c r="J61" s="80"/>
      <c r="K61" s="81"/>
      <c r="L61" s="81"/>
      <c r="M61" s="81"/>
      <c r="N61" s="84" t="str">
        <f aca="false">IF(C61="","",IF(P61="","NJ INCONNU",IF(I61="",IF(H61="OUI","À ENROBER",IF(G61="À SOUDER","NON SOUDÉ","EN ATTENTE RT")),IF(L61="R","À REPRENDRE",IF(H61&lt;&gt;"OUI","⚠ ENROBÉ AVANT ACCEPTATION RT","ENROBÉ")))))</f>
        <v>NON SOUDÉ</v>
      </c>
      <c r="O61" s="80"/>
      <c r="P61" s="82" t="n">
        <f aca="false">IF(C61="","",IFERROR(MATCH(Q61,'CARNET DE SOUDURE'!$AW$7:$AW$3006,0),""))</f>
        <v>55</v>
      </c>
      <c r="Q61" s="82" t="str">
        <f aca="false">IF(C61="","",B61&amp;"|"&amp;C61)</f>
        <v>MFD-ISW → MFD-CPF|JN°055</v>
      </c>
    </row>
    <row r="62" customFormat="false" ht="74.6" hidden="false" customHeight="false" outlineLevel="0" collapsed="false">
      <c r="A62" s="82" t="n">
        <f aca="false">IF(C62="","",ROW()-6)</f>
        <v>56</v>
      </c>
      <c r="B62" s="80" t="s">
        <v>110</v>
      </c>
      <c r="C62" s="113" t="s">
        <v>166</v>
      </c>
      <c r="D62" s="82" t="str">
        <f aca="false">IF(OR(C62="",P62=""),"",INDEX('CARNET DE SOUDURE'!$D$7:$D$3006,P62)&amp;"")</f>
        <v/>
      </c>
      <c r="E62" s="114" t="str">
        <f aca="false">IF(OR(C62="",P62=""),"",IF(INDEX('CARNET DE SOUDURE'!$U$7:$U$3006,P62)="","",INDEX('CARNET DE SOUDURE'!$U$7:$U$3006,P62)))</f>
        <v/>
      </c>
      <c r="F62" s="82" t="str">
        <f aca="false">IF(OR(C62="",P62=""),"",INDEX('CARNET DE SOUDURE'!$AP$7:$AP$3006,P62))</f>
        <v/>
      </c>
      <c r="G62" s="82" t="str">
        <f aca="false">IF(C62="","",IF(P62="","NJ INCONNU",INDEX('CARNET DE SOUDURE'!$AQ$7:$AQ$3006,P62)))</f>
        <v>À SOUDER</v>
      </c>
      <c r="H62" s="82" t="str">
        <f aca="false">IF(C62="","",IF(G62="ACCEPTÉ","OUI","NON"))</f>
        <v>NON</v>
      </c>
      <c r="I62" s="83"/>
      <c r="J62" s="80"/>
      <c r="K62" s="81"/>
      <c r="L62" s="81"/>
      <c r="M62" s="81"/>
      <c r="N62" s="84" t="str">
        <f aca="false">IF(C62="","",IF(P62="","NJ INCONNU",IF(I62="",IF(H62="OUI","À ENROBER",IF(G62="À SOUDER","NON SOUDÉ","EN ATTENTE RT")),IF(L62="R","À REPRENDRE",IF(H62&lt;&gt;"OUI","⚠ ENROBÉ AVANT ACCEPTATION RT","ENROBÉ")))))</f>
        <v>NON SOUDÉ</v>
      </c>
      <c r="O62" s="80"/>
      <c r="P62" s="82" t="n">
        <f aca="false">IF(C62="","",IFERROR(MATCH(Q62,'CARNET DE SOUDURE'!$AW$7:$AW$3006,0),""))</f>
        <v>56</v>
      </c>
      <c r="Q62" s="82" t="str">
        <f aca="false">IF(C62="","",B62&amp;"|"&amp;C62)</f>
        <v>MFD-ISW → MFD-CPF|JN°056</v>
      </c>
    </row>
    <row r="63" customFormat="false" ht="74.6" hidden="false" customHeight="false" outlineLevel="0" collapsed="false">
      <c r="A63" s="82" t="n">
        <f aca="false">IF(C63="","",ROW()-6)</f>
        <v>57</v>
      </c>
      <c r="B63" s="80" t="s">
        <v>110</v>
      </c>
      <c r="C63" s="113" t="s">
        <v>167</v>
      </c>
      <c r="D63" s="82" t="str">
        <f aca="false">IF(OR(C63="",P63=""),"",INDEX('CARNET DE SOUDURE'!$D$7:$D$3006,P63)&amp;"")</f>
        <v/>
      </c>
      <c r="E63" s="114" t="str">
        <f aca="false">IF(OR(C63="",P63=""),"",IF(INDEX('CARNET DE SOUDURE'!$U$7:$U$3006,P63)="","",INDEX('CARNET DE SOUDURE'!$U$7:$U$3006,P63)))</f>
        <v/>
      </c>
      <c r="F63" s="82" t="str">
        <f aca="false">IF(OR(C63="",P63=""),"",INDEX('CARNET DE SOUDURE'!$AP$7:$AP$3006,P63))</f>
        <v/>
      </c>
      <c r="G63" s="82" t="str">
        <f aca="false">IF(C63="","",IF(P63="","NJ INCONNU",INDEX('CARNET DE SOUDURE'!$AQ$7:$AQ$3006,P63)))</f>
        <v>À SOUDER</v>
      </c>
      <c r="H63" s="82" t="str">
        <f aca="false">IF(C63="","",IF(G63="ACCEPTÉ","OUI","NON"))</f>
        <v>NON</v>
      </c>
      <c r="I63" s="83"/>
      <c r="J63" s="80"/>
      <c r="K63" s="81"/>
      <c r="L63" s="81"/>
      <c r="M63" s="81"/>
      <c r="N63" s="84" t="str">
        <f aca="false">IF(C63="","",IF(P63="","NJ INCONNU",IF(I63="",IF(H63="OUI","À ENROBER",IF(G63="À SOUDER","NON SOUDÉ","EN ATTENTE RT")),IF(L63="R","À REPRENDRE",IF(H63&lt;&gt;"OUI","⚠ ENROBÉ AVANT ACCEPTATION RT","ENROBÉ")))))</f>
        <v>NON SOUDÉ</v>
      </c>
      <c r="O63" s="80"/>
      <c r="P63" s="82" t="n">
        <f aca="false">IF(C63="","",IFERROR(MATCH(Q63,'CARNET DE SOUDURE'!$AW$7:$AW$3006,0),""))</f>
        <v>57</v>
      </c>
      <c r="Q63" s="82" t="str">
        <f aca="false">IF(C63="","",B63&amp;"|"&amp;C63)</f>
        <v>MFD-ISW → MFD-CPF|JN°057</v>
      </c>
    </row>
    <row r="64" customFormat="false" ht="74.6" hidden="false" customHeight="false" outlineLevel="0" collapsed="false">
      <c r="A64" s="82" t="n">
        <f aca="false">IF(C64="","",ROW()-6)</f>
        <v>58</v>
      </c>
      <c r="B64" s="80" t="s">
        <v>110</v>
      </c>
      <c r="C64" s="113" t="s">
        <v>168</v>
      </c>
      <c r="D64" s="82" t="str">
        <f aca="false">IF(OR(C64="",P64=""),"",INDEX('CARNET DE SOUDURE'!$D$7:$D$3006,P64)&amp;"")</f>
        <v/>
      </c>
      <c r="E64" s="114" t="str">
        <f aca="false">IF(OR(C64="",P64=""),"",IF(INDEX('CARNET DE SOUDURE'!$U$7:$U$3006,P64)="","",INDEX('CARNET DE SOUDURE'!$U$7:$U$3006,P64)))</f>
        <v/>
      </c>
      <c r="F64" s="82" t="str">
        <f aca="false">IF(OR(C64="",P64=""),"",INDEX('CARNET DE SOUDURE'!$AP$7:$AP$3006,P64))</f>
        <v/>
      </c>
      <c r="G64" s="82" t="str">
        <f aca="false">IF(C64="","",IF(P64="","NJ INCONNU",INDEX('CARNET DE SOUDURE'!$AQ$7:$AQ$3006,P64)))</f>
        <v>À SOUDER</v>
      </c>
      <c r="H64" s="82" t="str">
        <f aca="false">IF(C64="","",IF(G64="ACCEPTÉ","OUI","NON"))</f>
        <v>NON</v>
      </c>
      <c r="I64" s="83"/>
      <c r="J64" s="80"/>
      <c r="K64" s="81"/>
      <c r="L64" s="81"/>
      <c r="M64" s="81"/>
      <c r="N64" s="84" t="str">
        <f aca="false">IF(C64="","",IF(P64="","NJ INCONNU",IF(I64="",IF(H64="OUI","À ENROBER",IF(G64="À SOUDER","NON SOUDÉ","EN ATTENTE RT")),IF(L64="R","À REPRENDRE",IF(H64&lt;&gt;"OUI","⚠ ENROBÉ AVANT ACCEPTATION RT","ENROBÉ")))))</f>
        <v>NON SOUDÉ</v>
      </c>
      <c r="O64" s="80"/>
      <c r="P64" s="82" t="n">
        <f aca="false">IF(C64="","",IFERROR(MATCH(Q64,'CARNET DE SOUDURE'!$AW$7:$AW$3006,0),""))</f>
        <v>58</v>
      </c>
      <c r="Q64" s="82" t="str">
        <f aca="false">IF(C64="","",B64&amp;"|"&amp;C64)</f>
        <v>MFD-ISW → MFD-CPF|JN°058</v>
      </c>
    </row>
    <row r="65" customFormat="false" ht="74.6" hidden="false" customHeight="false" outlineLevel="0" collapsed="false">
      <c r="A65" s="82" t="n">
        <f aca="false">IF(C65="","",ROW()-6)</f>
        <v>59</v>
      </c>
      <c r="B65" s="80" t="s">
        <v>110</v>
      </c>
      <c r="C65" s="113" t="s">
        <v>169</v>
      </c>
      <c r="D65" s="82" t="str">
        <f aca="false">IF(OR(C65="",P65=""),"",INDEX('CARNET DE SOUDURE'!$D$7:$D$3006,P65)&amp;"")</f>
        <v/>
      </c>
      <c r="E65" s="114" t="str">
        <f aca="false">IF(OR(C65="",P65=""),"",IF(INDEX('CARNET DE SOUDURE'!$U$7:$U$3006,P65)="","",INDEX('CARNET DE SOUDURE'!$U$7:$U$3006,P65)))</f>
        <v/>
      </c>
      <c r="F65" s="82" t="str">
        <f aca="false">IF(OR(C65="",P65=""),"",INDEX('CARNET DE SOUDURE'!$AP$7:$AP$3006,P65))</f>
        <v/>
      </c>
      <c r="G65" s="82" t="str">
        <f aca="false">IF(C65="","",IF(P65="","NJ INCONNU",INDEX('CARNET DE SOUDURE'!$AQ$7:$AQ$3006,P65)))</f>
        <v>À SOUDER</v>
      </c>
      <c r="H65" s="82" t="str">
        <f aca="false">IF(C65="","",IF(G65="ACCEPTÉ","OUI","NON"))</f>
        <v>NON</v>
      </c>
      <c r="I65" s="83"/>
      <c r="J65" s="80"/>
      <c r="K65" s="81"/>
      <c r="L65" s="81"/>
      <c r="M65" s="81"/>
      <c r="N65" s="84" t="str">
        <f aca="false">IF(C65="","",IF(P65="","NJ INCONNU",IF(I65="",IF(H65="OUI","À ENROBER",IF(G65="À SOUDER","NON SOUDÉ","EN ATTENTE RT")),IF(L65="R","À REPRENDRE",IF(H65&lt;&gt;"OUI","⚠ ENROBÉ AVANT ACCEPTATION RT","ENROBÉ")))))</f>
        <v>NON SOUDÉ</v>
      </c>
      <c r="O65" s="80"/>
      <c r="P65" s="82" t="n">
        <f aca="false">IF(C65="","",IFERROR(MATCH(Q65,'CARNET DE SOUDURE'!$AW$7:$AW$3006,0),""))</f>
        <v>59</v>
      </c>
      <c r="Q65" s="82" t="str">
        <f aca="false">IF(C65="","",B65&amp;"|"&amp;C65)</f>
        <v>MFD-ISW → MFD-CPF|JN°059</v>
      </c>
    </row>
    <row r="66" customFormat="false" ht="74.6" hidden="false" customHeight="false" outlineLevel="0" collapsed="false">
      <c r="A66" s="82" t="n">
        <f aca="false">IF(C66="","",ROW()-6)</f>
        <v>60</v>
      </c>
      <c r="B66" s="80" t="s">
        <v>110</v>
      </c>
      <c r="C66" s="113" t="s">
        <v>170</v>
      </c>
      <c r="D66" s="82" t="str">
        <f aca="false">IF(OR(C66="",P66=""),"",INDEX('CARNET DE SOUDURE'!$D$7:$D$3006,P66)&amp;"")</f>
        <v/>
      </c>
      <c r="E66" s="114" t="str">
        <f aca="false">IF(OR(C66="",P66=""),"",IF(INDEX('CARNET DE SOUDURE'!$U$7:$U$3006,P66)="","",INDEX('CARNET DE SOUDURE'!$U$7:$U$3006,P66)))</f>
        <v/>
      </c>
      <c r="F66" s="82" t="str">
        <f aca="false">IF(OR(C66="",P66=""),"",INDEX('CARNET DE SOUDURE'!$AP$7:$AP$3006,P66))</f>
        <v/>
      </c>
      <c r="G66" s="82" t="str">
        <f aca="false">IF(C66="","",IF(P66="","NJ INCONNU",INDEX('CARNET DE SOUDURE'!$AQ$7:$AQ$3006,P66)))</f>
        <v>À SOUDER</v>
      </c>
      <c r="H66" s="82" t="str">
        <f aca="false">IF(C66="","",IF(G66="ACCEPTÉ","OUI","NON"))</f>
        <v>NON</v>
      </c>
      <c r="I66" s="83"/>
      <c r="J66" s="80"/>
      <c r="K66" s="81"/>
      <c r="L66" s="81"/>
      <c r="M66" s="81"/>
      <c r="N66" s="84" t="str">
        <f aca="false">IF(C66="","",IF(P66="","NJ INCONNU",IF(I66="",IF(H66="OUI","À ENROBER",IF(G66="À SOUDER","NON SOUDÉ","EN ATTENTE RT")),IF(L66="R","À REPRENDRE",IF(H66&lt;&gt;"OUI","⚠ ENROBÉ AVANT ACCEPTATION RT","ENROBÉ")))))</f>
        <v>NON SOUDÉ</v>
      </c>
      <c r="O66" s="80"/>
      <c r="P66" s="82" t="n">
        <f aca="false">IF(C66="","",IFERROR(MATCH(Q66,'CARNET DE SOUDURE'!$AW$7:$AW$3006,0),""))</f>
        <v>60</v>
      </c>
      <c r="Q66" s="82" t="str">
        <f aca="false">IF(C66="","",B66&amp;"|"&amp;C66)</f>
        <v>MFD-ISW → MFD-CPF|JN°060</v>
      </c>
    </row>
    <row r="67" customFormat="false" ht="74.6" hidden="false" customHeight="false" outlineLevel="0" collapsed="false">
      <c r="A67" s="82" t="n">
        <f aca="false">IF(C67="","",ROW()-6)</f>
        <v>61</v>
      </c>
      <c r="B67" s="80" t="s">
        <v>110</v>
      </c>
      <c r="C67" s="113" t="s">
        <v>171</v>
      </c>
      <c r="D67" s="82" t="str">
        <f aca="false">IF(OR(C67="",P67=""),"",INDEX('CARNET DE SOUDURE'!$D$7:$D$3006,P67)&amp;"")</f>
        <v/>
      </c>
      <c r="E67" s="114" t="str">
        <f aca="false">IF(OR(C67="",P67=""),"",IF(INDEX('CARNET DE SOUDURE'!$U$7:$U$3006,P67)="","",INDEX('CARNET DE SOUDURE'!$U$7:$U$3006,P67)))</f>
        <v/>
      </c>
      <c r="F67" s="82" t="str">
        <f aca="false">IF(OR(C67="",P67=""),"",INDEX('CARNET DE SOUDURE'!$AP$7:$AP$3006,P67))</f>
        <v/>
      </c>
      <c r="G67" s="82" t="str">
        <f aca="false">IF(C67="","",IF(P67="","NJ INCONNU",INDEX('CARNET DE SOUDURE'!$AQ$7:$AQ$3006,P67)))</f>
        <v>À SOUDER</v>
      </c>
      <c r="H67" s="82" t="str">
        <f aca="false">IF(C67="","",IF(G67="ACCEPTÉ","OUI","NON"))</f>
        <v>NON</v>
      </c>
      <c r="I67" s="83"/>
      <c r="J67" s="80"/>
      <c r="K67" s="81"/>
      <c r="L67" s="81"/>
      <c r="M67" s="81"/>
      <c r="N67" s="84" t="str">
        <f aca="false">IF(C67="","",IF(P67="","NJ INCONNU",IF(I67="",IF(H67="OUI","À ENROBER",IF(G67="À SOUDER","NON SOUDÉ","EN ATTENTE RT")),IF(L67="R","À REPRENDRE",IF(H67&lt;&gt;"OUI","⚠ ENROBÉ AVANT ACCEPTATION RT","ENROBÉ")))))</f>
        <v>NON SOUDÉ</v>
      </c>
      <c r="O67" s="80"/>
      <c r="P67" s="82" t="n">
        <f aca="false">IF(C67="","",IFERROR(MATCH(Q67,'CARNET DE SOUDURE'!$AW$7:$AW$3006,0),""))</f>
        <v>61</v>
      </c>
      <c r="Q67" s="82" t="str">
        <f aca="false">IF(C67="","",B67&amp;"|"&amp;C67)</f>
        <v>MFD-ISW → MFD-CPF|JN°061</v>
      </c>
    </row>
    <row r="68" customFormat="false" ht="74.6" hidden="false" customHeight="false" outlineLevel="0" collapsed="false">
      <c r="A68" s="82" t="n">
        <f aca="false">IF(C68="","",ROW()-6)</f>
        <v>62</v>
      </c>
      <c r="B68" s="80" t="s">
        <v>110</v>
      </c>
      <c r="C68" s="113" t="s">
        <v>172</v>
      </c>
      <c r="D68" s="82" t="str">
        <f aca="false">IF(OR(C68="",P68=""),"",INDEX('CARNET DE SOUDURE'!$D$7:$D$3006,P68)&amp;"")</f>
        <v/>
      </c>
      <c r="E68" s="114" t="str">
        <f aca="false">IF(OR(C68="",P68=""),"",IF(INDEX('CARNET DE SOUDURE'!$U$7:$U$3006,P68)="","",INDEX('CARNET DE SOUDURE'!$U$7:$U$3006,P68)))</f>
        <v/>
      </c>
      <c r="F68" s="82" t="str">
        <f aca="false">IF(OR(C68="",P68=""),"",INDEX('CARNET DE SOUDURE'!$AP$7:$AP$3006,P68))</f>
        <v/>
      </c>
      <c r="G68" s="82" t="str">
        <f aca="false">IF(C68="","",IF(P68="","NJ INCONNU",INDEX('CARNET DE SOUDURE'!$AQ$7:$AQ$3006,P68)))</f>
        <v>À SOUDER</v>
      </c>
      <c r="H68" s="82" t="str">
        <f aca="false">IF(C68="","",IF(G68="ACCEPTÉ","OUI","NON"))</f>
        <v>NON</v>
      </c>
      <c r="I68" s="83"/>
      <c r="J68" s="80"/>
      <c r="K68" s="81"/>
      <c r="L68" s="81"/>
      <c r="M68" s="81"/>
      <c r="N68" s="84" t="str">
        <f aca="false">IF(C68="","",IF(P68="","NJ INCONNU",IF(I68="",IF(H68="OUI","À ENROBER",IF(G68="À SOUDER","NON SOUDÉ","EN ATTENTE RT")),IF(L68="R","À REPRENDRE",IF(H68&lt;&gt;"OUI","⚠ ENROBÉ AVANT ACCEPTATION RT","ENROBÉ")))))</f>
        <v>NON SOUDÉ</v>
      </c>
      <c r="O68" s="80"/>
      <c r="P68" s="82" t="n">
        <f aca="false">IF(C68="","",IFERROR(MATCH(Q68,'CARNET DE SOUDURE'!$AW$7:$AW$3006,0),""))</f>
        <v>62</v>
      </c>
      <c r="Q68" s="82" t="str">
        <f aca="false">IF(C68="","",B68&amp;"|"&amp;C68)</f>
        <v>MFD-ISW → MFD-CPF|JN°062</v>
      </c>
    </row>
    <row r="69" customFormat="false" ht="74.6" hidden="false" customHeight="false" outlineLevel="0" collapsed="false">
      <c r="A69" s="82" t="n">
        <f aca="false">IF(C69="","",ROW()-6)</f>
        <v>63</v>
      </c>
      <c r="B69" s="80" t="s">
        <v>110</v>
      </c>
      <c r="C69" s="113" t="s">
        <v>173</v>
      </c>
      <c r="D69" s="82" t="str">
        <f aca="false">IF(OR(C69="",P69=""),"",INDEX('CARNET DE SOUDURE'!$D$7:$D$3006,P69)&amp;"")</f>
        <v/>
      </c>
      <c r="E69" s="114" t="str">
        <f aca="false">IF(OR(C69="",P69=""),"",IF(INDEX('CARNET DE SOUDURE'!$U$7:$U$3006,P69)="","",INDEX('CARNET DE SOUDURE'!$U$7:$U$3006,P69)))</f>
        <v/>
      </c>
      <c r="F69" s="82" t="str">
        <f aca="false">IF(OR(C69="",P69=""),"",INDEX('CARNET DE SOUDURE'!$AP$7:$AP$3006,P69))</f>
        <v/>
      </c>
      <c r="G69" s="82" t="str">
        <f aca="false">IF(C69="","",IF(P69="","NJ INCONNU",INDEX('CARNET DE SOUDURE'!$AQ$7:$AQ$3006,P69)))</f>
        <v>À SOUDER</v>
      </c>
      <c r="H69" s="82" t="str">
        <f aca="false">IF(C69="","",IF(G69="ACCEPTÉ","OUI","NON"))</f>
        <v>NON</v>
      </c>
      <c r="I69" s="83"/>
      <c r="J69" s="80"/>
      <c r="K69" s="81"/>
      <c r="L69" s="81"/>
      <c r="M69" s="81"/>
      <c r="N69" s="84" t="str">
        <f aca="false">IF(C69="","",IF(P69="","NJ INCONNU",IF(I69="",IF(H69="OUI","À ENROBER",IF(G69="À SOUDER","NON SOUDÉ","EN ATTENTE RT")),IF(L69="R","À REPRENDRE",IF(H69&lt;&gt;"OUI","⚠ ENROBÉ AVANT ACCEPTATION RT","ENROBÉ")))))</f>
        <v>NON SOUDÉ</v>
      </c>
      <c r="O69" s="80"/>
      <c r="P69" s="82" t="n">
        <f aca="false">IF(C69="","",IFERROR(MATCH(Q69,'CARNET DE SOUDURE'!$AW$7:$AW$3006,0),""))</f>
        <v>63</v>
      </c>
      <c r="Q69" s="82" t="str">
        <f aca="false">IF(C69="","",B69&amp;"|"&amp;C69)</f>
        <v>MFD-ISW → MFD-CPF|JN°063</v>
      </c>
    </row>
    <row r="70" customFormat="false" ht="74.6" hidden="false" customHeight="false" outlineLevel="0" collapsed="false">
      <c r="A70" s="82" t="n">
        <f aca="false">IF(C70="","",ROW()-6)</f>
        <v>64</v>
      </c>
      <c r="B70" s="80" t="s">
        <v>110</v>
      </c>
      <c r="C70" s="113" t="s">
        <v>174</v>
      </c>
      <c r="D70" s="82" t="str">
        <f aca="false">IF(OR(C70="",P70=""),"",INDEX('CARNET DE SOUDURE'!$D$7:$D$3006,P70)&amp;"")</f>
        <v/>
      </c>
      <c r="E70" s="114" t="str">
        <f aca="false">IF(OR(C70="",P70=""),"",IF(INDEX('CARNET DE SOUDURE'!$U$7:$U$3006,P70)="","",INDEX('CARNET DE SOUDURE'!$U$7:$U$3006,P70)))</f>
        <v/>
      </c>
      <c r="F70" s="82" t="str">
        <f aca="false">IF(OR(C70="",P70=""),"",INDEX('CARNET DE SOUDURE'!$AP$7:$AP$3006,P70))</f>
        <v/>
      </c>
      <c r="G70" s="82" t="str">
        <f aca="false">IF(C70="","",IF(P70="","NJ INCONNU",INDEX('CARNET DE SOUDURE'!$AQ$7:$AQ$3006,P70)))</f>
        <v>À SOUDER</v>
      </c>
      <c r="H70" s="82" t="str">
        <f aca="false">IF(C70="","",IF(G70="ACCEPTÉ","OUI","NON"))</f>
        <v>NON</v>
      </c>
      <c r="I70" s="83"/>
      <c r="J70" s="80"/>
      <c r="K70" s="81"/>
      <c r="L70" s="81"/>
      <c r="M70" s="81"/>
      <c r="N70" s="84" t="str">
        <f aca="false">IF(C70="","",IF(P70="","NJ INCONNU",IF(I70="",IF(H70="OUI","À ENROBER",IF(G70="À SOUDER","NON SOUDÉ","EN ATTENTE RT")),IF(L70="R","À REPRENDRE",IF(H70&lt;&gt;"OUI","⚠ ENROBÉ AVANT ACCEPTATION RT","ENROBÉ")))))</f>
        <v>NON SOUDÉ</v>
      </c>
      <c r="O70" s="80"/>
      <c r="P70" s="82" t="n">
        <f aca="false">IF(C70="","",IFERROR(MATCH(Q70,'CARNET DE SOUDURE'!$AW$7:$AW$3006,0),""))</f>
        <v>64</v>
      </c>
      <c r="Q70" s="82" t="str">
        <f aca="false">IF(C70="","",B70&amp;"|"&amp;C70)</f>
        <v>MFD-ISW → MFD-CPF|JN°064</v>
      </c>
    </row>
    <row r="71" customFormat="false" ht="74.6" hidden="false" customHeight="false" outlineLevel="0" collapsed="false">
      <c r="A71" s="82" t="n">
        <f aca="false">IF(C71="","",ROW()-6)</f>
        <v>65</v>
      </c>
      <c r="B71" s="80" t="s">
        <v>110</v>
      </c>
      <c r="C71" s="113" t="s">
        <v>175</v>
      </c>
      <c r="D71" s="82" t="str">
        <f aca="false">IF(OR(C71="",P71=""),"",INDEX('CARNET DE SOUDURE'!$D$7:$D$3006,P71)&amp;"")</f>
        <v/>
      </c>
      <c r="E71" s="114" t="str">
        <f aca="false">IF(OR(C71="",P71=""),"",IF(INDEX('CARNET DE SOUDURE'!$U$7:$U$3006,P71)="","",INDEX('CARNET DE SOUDURE'!$U$7:$U$3006,P71)))</f>
        <v/>
      </c>
      <c r="F71" s="82" t="str">
        <f aca="false">IF(OR(C71="",P71=""),"",INDEX('CARNET DE SOUDURE'!$AP$7:$AP$3006,P71))</f>
        <v/>
      </c>
      <c r="G71" s="82" t="str">
        <f aca="false">IF(C71="","",IF(P71="","NJ INCONNU",INDEX('CARNET DE SOUDURE'!$AQ$7:$AQ$3006,P71)))</f>
        <v>À SOUDER</v>
      </c>
      <c r="H71" s="82" t="str">
        <f aca="false">IF(C71="","",IF(G71="ACCEPTÉ","OUI","NON"))</f>
        <v>NON</v>
      </c>
      <c r="I71" s="83"/>
      <c r="J71" s="80"/>
      <c r="K71" s="81"/>
      <c r="L71" s="81"/>
      <c r="M71" s="81"/>
      <c r="N71" s="84" t="str">
        <f aca="false">IF(C71="","",IF(P71="","NJ INCONNU",IF(I71="",IF(H71="OUI","À ENROBER",IF(G71="À SOUDER","NON SOUDÉ","EN ATTENTE RT")),IF(L71="R","À REPRENDRE",IF(H71&lt;&gt;"OUI","⚠ ENROBÉ AVANT ACCEPTATION RT","ENROBÉ")))))</f>
        <v>NON SOUDÉ</v>
      </c>
      <c r="O71" s="80"/>
      <c r="P71" s="82" t="n">
        <f aca="false">IF(C71="","",IFERROR(MATCH(Q71,'CARNET DE SOUDURE'!$AW$7:$AW$3006,0),""))</f>
        <v>65</v>
      </c>
      <c r="Q71" s="82" t="str">
        <f aca="false">IF(C71="","",B71&amp;"|"&amp;C71)</f>
        <v>MFD-ISW → MFD-CPF|JN°065</v>
      </c>
    </row>
    <row r="72" customFormat="false" ht="74.6" hidden="false" customHeight="false" outlineLevel="0" collapsed="false">
      <c r="A72" s="82" t="n">
        <f aca="false">IF(C72="","",ROW()-6)</f>
        <v>66</v>
      </c>
      <c r="B72" s="80" t="s">
        <v>110</v>
      </c>
      <c r="C72" s="113" t="s">
        <v>176</v>
      </c>
      <c r="D72" s="82" t="str">
        <f aca="false">IF(OR(C72="",P72=""),"",INDEX('CARNET DE SOUDURE'!$D$7:$D$3006,P72)&amp;"")</f>
        <v/>
      </c>
      <c r="E72" s="114" t="str">
        <f aca="false">IF(OR(C72="",P72=""),"",IF(INDEX('CARNET DE SOUDURE'!$U$7:$U$3006,P72)="","",INDEX('CARNET DE SOUDURE'!$U$7:$U$3006,P72)))</f>
        <v/>
      </c>
      <c r="F72" s="82" t="str">
        <f aca="false">IF(OR(C72="",P72=""),"",INDEX('CARNET DE SOUDURE'!$AP$7:$AP$3006,P72))</f>
        <v/>
      </c>
      <c r="G72" s="82" t="str">
        <f aca="false">IF(C72="","",IF(P72="","NJ INCONNU",INDEX('CARNET DE SOUDURE'!$AQ$7:$AQ$3006,P72)))</f>
        <v>À SOUDER</v>
      </c>
      <c r="H72" s="82" t="str">
        <f aca="false">IF(C72="","",IF(G72="ACCEPTÉ","OUI","NON"))</f>
        <v>NON</v>
      </c>
      <c r="I72" s="83"/>
      <c r="J72" s="80"/>
      <c r="K72" s="81"/>
      <c r="L72" s="81"/>
      <c r="M72" s="81"/>
      <c r="N72" s="84" t="str">
        <f aca="false">IF(C72="","",IF(P72="","NJ INCONNU",IF(I72="",IF(H72="OUI","À ENROBER",IF(G72="À SOUDER","NON SOUDÉ","EN ATTENTE RT")),IF(L72="R","À REPRENDRE",IF(H72&lt;&gt;"OUI","⚠ ENROBÉ AVANT ACCEPTATION RT","ENROBÉ")))))</f>
        <v>NON SOUDÉ</v>
      </c>
      <c r="O72" s="80"/>
      <c r="P72" s="82" t="n">
        <f aca="false">IF(C72="","",IFERROR(MATCH(Q72,'CARNET DE SOUDURE'!$AW$7:$AW$3006,0),""))</f>
        <v>66</v>
      </c>
      <c r="Q72" s="82" t="str">
        <f aca="false">IF(C72="","",B72&amp;"|"&amp;C72)</f>
        <v>MFD-ISW → MFD-CPF|JN°066</v>
      </c>
    </row>
    <row r="73" customFormat="false" ht="74.6" hidden="false" customHeight="false" outlineLevel="0" collapsed="false">
      <c r="A73" s="82" t="n">
        <f aca="false">IF(C73="","",ROW()-6)</f>
        <v>67</v>
      </c>
      <c r="B73" s="80" t="s">
        <v>110</v>
      </c>
      <c r="C73" s="113" t="s">
        <v>177</v>
      </c>
      <c r="D73" s="82" t="str">
        <f aca="false">IF(OR(C73="",P73=""),"",INDEX('CARNET DE SOUDURE'!$D$7:$D$3006,P73)&amp;"")</f>
        <v/>
      </c>
      <c r="E73" s="114" t="str">
        <f aca="false">IF(OR(C73="",P73=""),"",IF(INDEX('CARNET DE SOUDURE'!$U$7:$U$3006,P73)="","",INDEX('CARNET DE SOUDURE'!$U$7:$U$3006,P73)))</f>
        <v/>
      </c>
      <c r="F73" s="82" t="str">
        <f aca="false">IF(OR(C73="",P73=""),"",INDEX('CARNET DE SOUDURE'!$AP$7:$AP$3006,P73))</f>
        <v/>
      </c>
      <c r="G73" s="82" t="str">
        <f aca="false">IF(C73="","",IF(P73="","NJ INCONNU",INDEX('CARNET DE SOUDURE'!$AQ$7:$AQ$3006,P73)))</f>
        <v>À SOUDER</v>
      </c>
      <c r="H73" s="82" t="str">
        <f aca="false">IF(C73="","",IF(G73="ACCEPTÉ","OUI","NON"))</f>
        <v>NON</v>
      </c>
      <c r="I73" s="83"/>
      <c r="J73" s="80"/>
      <c r="K73" s="81"/>
      <c r="L73" s="81"/>
      <c r="M73" s="81"/>
      <c r="N73" s="84" t="str">
        <f aca="false">IF(C73="","",IF(P73="","NJ INCONNU",IF(I73="",IF(H73="OUI","À ENROBER",IF(G73="À SOUDER","NON SOUDÉ","EN ATTENTE RT")),IF(L73="R","À REPRENDRE",IF(H73&lt;&gt;"OUI","⚠ ENROBÉ AVANT ACCEPTATION RT","ENROBÉ")))))</f>
        <v>NON SOUDÉ</v>
      </c>
      <c r="O73" s="80"/>
      <c r="P73" s="82" t="n">
        <f aca="false">IF(C73="","",IFERROR(MATCH(Q73,'CARNET DE SOUDURE'!$AW$7:$AW$3006,0),""))</f>
        <v>67</v>
      </c>
      <c r="Q73" s="82" t="str">
        <f aca="false">IF(C73="","",B73&amp;"|"&amp;C73)</f>
        <v>MFD-ISW → MFD-CPF|JN°067</v>
      </c>
    </row>
    <row r="74" customFormat="false" ht="74.6" hidden="false" customHeight="false" outlineLevel="0" collapsed="false">
      <c r="A74" s="82" t="n">
        <f aca="false">IF(C74="","",ROW()-6)</f>
        <v>68</v>
      </c>
      <c r="B74" s="80" t="s">
        <v>110</v>
      </c>
      <c r="C74" s="113" t="s">
        <v>178</v>
      </c>
      <c r="D74" s="82" t="str">
        <f aca="false">IF(OR(C74="",P74=""),"",INDEX('CARNET DE SOUDURE'!$D$7:$D$3006,P74)&amp;"")</f>
        <v/>
      </c>
      <c r="E74" s="114" t="str">
        <f aca="false">IF(OR(C74="",P74=""),"",IF(INDEX('CARNET DE SOUDURE'!$U$7:$U$3006,P74)="","",INDEX('CARNET DE SOUDURE'!$U$7:$U$3006,P74)))</f>
        <v/>
      </c>
      <c r="F74" s="82" t="str">
        <f aca="false">IF(OR(C74="",P74=""),"",INDEX('CARNET DE SOUDURE'!$AP$7:$AP$3006,P74))</f>
        <v/>
      </c>
      <c r="G74" s="82" t="str">
        <f aca="false">IF(C74="","",IF(P74="","NJ INCONNU",INDEX('CARNET DE SOUDURE'!$AQ$7:$AQ$3006,P74)))</f>
        <v>À SOUDER</v>
      </c>
      <c r="H74" s="82" t="str">
        <f aca="false">IF(C74="","",IF(G74="ACCEPTÉ","OUI","NON"))</f>
        <v>NON</v>
      </c>
      <c r="I74" s="83"/>
      <c r="J74" s="80"/>
      <c r="K74" s="81"/>
      <c r="L74" s="81"/>
      <c r="M74" s="81"/>
      <c r="N74" s="84" t="str">
        <f aca="false">IF(C74="","",IF(P74="","NJ INCONNU",IF(I74="",IF(H74="OUI","À ENROBER",IF(G74="À SOUDER","NON SOUDÉ","EN ATTENTE RT")),IF(L74="R","À REPRENDRE",IF(H74&lt;&gt;"OUI","⚠ ENROBÉ AVANT ACCEPTATION RT","ENROBÉ")))))</f>
        <v>NON SOUDÉ</v>
      </c>
      <c r="O74" s="80"/>
      <c r="P74" s="82" t="n">
        <f aca="false">IF(C74="","",IFERROR(MATCH(Q74,'CARNET DE SOUDURE'!$AW$7:$AW$3006,0),""))</f>
        <v>68</v>
      </c>
      <c r="Q74" s="82" t="str">
        <f aca="false">IF(C74="","",B74&amp;"|"&amp;C74)</f>
        <v>MFD-ISW → MFD-CPF|JN°068</v>
      </c>
    </row>
    <row r="75" customFormat="false" ht="74.6" hidden="false" customHeight="false" outlineLevel="0" collapsed="false">
      <c r="A75" s="82" t="n">
        <f aca="false">IF(C75="","",ROW()-6)</f>
        <v>69</v>
      </c>
      <c r="B75" s="80" t="s">
        <v>110</v>
      </c>
      <c r="C75" s="113" t="s">
        <v>179</v>
      </c>
      <c r="D75" s="82" t="str">
        <f aca="false">IF(OR(C75="",P75=""),"",INDEX('CARNET DE SOUDURE'!$D$7:$D$3006,P75)&amp;"")</f>
        <v/>
      </c>
      <c r="E75" s="114" t="str">
        <f aca="false">IF(OR(C75="",P75=""),"",IF(INDEX('CARNET DE SOUDURE'!$U$7:$U$3006,P75)="","",INDEX('CARNET DE SOUDURE'!$U$7:$U$3006,P75)))</f>
        <v/>
      </c>
      <c r="F75" s="82" t="str">
        <f aca="false">IF(OR(C75="",P75=""),"",INDEX('CARNET DE SOUDURE'!$AP$7:$AP$3006,P75))</f>
        <v/>
      </c>
      <c r="G75" s="82" t="str">
        <f aca="false">IF(C75="","",IF(P75="","NJ INCONNU",INDEX('CARNET DE SOUDURE'!$AQ$7:$AQ$3006,P75)))</f>
        <v>À SOUDER</v>
      </c>
      <c r="H75" s="82" t="str">
        <f aca="false">IF(C75="","",IF(G75="ACCEPTÉ","OUI","NON"))</f>
        <v>NON</v>
      </c>
      <c r="I75" s="83"/>
      <c r="J75" s="80"/>
      <c r="K75" s="81"/>
      <c r="L75" s="81"/>
      <c r="M75" s="81"/>
      <c r="N75" s="84" t="str">
        <f aca="false">IF(C75="","",IF(P75="","NJ INCONNU",IF(I75="",IF(H75="OUI","À ENROBER",IF(G75="À SOUDER","NON SOUDÉ","EN ATTENTE RT")),IF(L75="R","À REPRENDRE",IF(H75&lt;&gt;"OUI","⚠ ENROBÉ AVANT ACCEPTATION RT","ENROBÉ")))))</f>
        <v>NON SOUDÉ</v>
      </c>
      <c r="O75" s="80"/>
      <c r="P75" s="82" t="n">
        <f aca="false">IF(C75="","",IFERROR(MATCH(Q75,'CARNET DE SOUDURE'!$AW$7:$AW$3006,0),""))</f>
        <v>69</v>
      </c>
      <c r="Q75" s="82" t="str">
        <f aca="false">IF(C75="","",B75&amp;"|"&amp;C75)</f>
        <v>MFD-ISW → MFD-CPF|JN°069</v>
      </c>
    </row>
    <row r="76" customFormat="false" ht="74.6" hidden="false" customHeight="false" outlineLevel="0" collapsed="false">
      <c r="A76" s="82" t="n">
        <f aca="false">IF(C76="","",ROW()-6)</f>
        <v>70</v>
      </c>
      <c r="B76" s="80" t="s">
        <v>110</v>
      </c>
      <c r="C76" s="113" t="s">
        <v>180</v>
      </c>
      <c r="D76" s="82" t="str">
        <f aca="false">IF(OR(C76="",P76=""),"",INDEX('CARNET DE SOUDURE'!$D$7:$D$3006,P76)&amp;"")</f>
        <v/>
      </c>
      <c r="E76" s="114" t="str">
        <f aca="false">IF(OR(C76="",P76=""),"",IF(INDEX('CARNET DE SOUDURE'!$U$7:$U$3006,P76)="","",INDEX('CARNET DE SOUDURE'!$U$7:$U$3006,P76)))</f>
        <v/>
      </c>
      <c r="F76" s="82" t="str">
        <f aca="false">IF(OR(C76="",P76=""),"",INDEX('CARNET DE SOUDURE'!$AP$7:$AP$3006,P76))</f>
        <v/>
      </c>
      <c r="G76" s="82" t="str">
        <f aca="false">IF(C76="","",IF(P76="","NJ INCONNU",INDEX('CARNET DE SOUDURE'!$AQ$7:$AQ$3006,P76)))</f>
        <v>À SOUDER</v>
      </c>
      <c r="H76" s="82" t="str">
        <f aca="false">IF(C76="","",IF(G76="ACCEPTÉ","OUI","NON"))</f>
        <v>NON</v>
      </c>
      <c r="I76" s="83"/>
      <c r="J76" s="80"/>
      <c r="K76" s="81"/>
      <c r="L76" s="81"/>
      <c r="M76" s="81"/>
      <c r="N76" s="84" t="str">
        <f aca="false">IF(C76="","",IF(P76="","NJ INCONNU",IF(I76="",IF(H76="OUI","À ENROBER",IF(G76="À SOUDER","NON SOUDÉ","EN ATTENTE RT")),IF(L76="R","À REPRENDRE",IF(H76&lt;&gt;"OUI","⚠ ENROBÉ AVANT ACCEPTATION RT","ENROBÉ")))))</f>
        <v>NON SOUDÉ</v>
      </c>
      <c r="O76" s="80"/>
      <c r="P76" s="82" t="n">
        <f aca="false">IF(C76="","",IFERROR(MATCH(Q76,'CARNET DE SOUDURE'!$AW$7:$AW$3006,0),""))</f>
        <v>70</v>
      </c>
      <c r="Q76" s="82" t="str">
        <f aca="false">IF(C76="","",B76&amp;"|"&amp;C76)</f>
        <v>MFD-ISW → MFD-CPF|JN°070</v>
      </c>
    </row>
    <row r="77" customFormat="false" ht="74.6" hidden="false" customHeight="false" outlineLevel="0" collapsed="false">
      <c r="A77" s="82" t="n">
        <f aca="false">IF(C77="","",ROW()-6)</f>
        <v>71</v>
      </c>
      <c r="B77" s="80" t="s">
        <v>110</v>
      </c>
      <c r="C77" s="113" t="s">
        <v>181</v>
      </c>
      <c r="D77" s="82" t="str">
        <f aca="false">IF(OR(C77="",P77=""),"",INDEX('CARNET DE SOUDURE'!$D$7:$D$3006,P77)&amp;"")</f>
        <v/>
      </c>
      <c r="E77" s="114" t="str">
        <f aca="false">IF(OR(C77="",P77=""),"",IF(INDEX('CARNET DE SOUDURE'!$U$7:$U$3006,P77)="","",INDEX('CARNET DE SOUDURE'!$U$7:$U$3006,P77)))</f>
        <v/>
      </c>
      <c r="F77" s="82" t="str">
        <f aca="false">IF(OR(C77="",P77=""),"",INDEX('CARNET DE SOUDURE'!$AP$7:$AP$3006,P77))</f>
        <v/>
      </c>
      <c r="G77" s="82" t="str">
        <f aca="false">IF(C77="","",IF(P77="","NJ INCONNU",INDEX('CARNET DE SOUDURE'!$AQ$7:$AQ$3006,P77)))</f>
        <v>À SOUDER</v>
      </c>
      <c r="H77" s="82" t="str">
        <f aca="false">IF(C77="","",IF(G77="ACCEPTÉ","OUI","NON"))</f>
        <v>NON</v>
      </c>
      <c r="I77" s="83"/>
      <c r="J77" s="80"/>
      <c r="K77" s="81"/>
      <c r="L77" s="81"/>
      <c r="M77" s="81"/>
      <c r="N77" s="84" t="str">
        <f aca="false">IF(C77="","",IF(P77="","NJ INCONNU",IF(I77="",IF(H77="OUI","À ENROBER",IF(G77="À SOUDER","NON SOUDÉ","EN ATTENTE RT")),IF(L77="R","À REPRENDRE",IF(H77&lt;&gt;"OUI","⚠ ENROBÉ AVANT ACCEPTATION RT","ENROBÉ")))))</f>
        <v>NON SOUDÉ</v>
      </c>
      <c r="O77" s="80"/>
      <c r="P77" s="82" t="n">
        <f aca="false">IF(C77="","",IFERROR(MATCH(Q77,'CARNET DE SOUDURE'!$AW$7:$AW$3006,0),""))</f>
        <v>71</v>
      </c>
      <c r="Q77" s="82" t="str">
        <f aca="false">IF(C77="","",B77&amp;"|"&amp;C77)</f>
        <v>MFD-ISW → MFD-CPF|JN°071</v>
      </c>
    </row>
    <row r="78" customFormat="false" ht="74.6" hidden="false" customHeight="false" outlineLevel="0" collapsed="false">
      <c r="A78" s="82" t="n">
        <f aca="false">IF(C78="","",ROW()-6)</f>
        <v>72</v>
      </c>
      <c r="B78" s="80" t="s">
        <v>110</v>
      </c>
      <c r="C78" s="113" t="s">
        <v>182</v>
      </c>
      <c r="D78" s="82" t="str">
        <f aca="false">IF(OR(C78="",P78=""),"",INDEX('CARNET DE SOUDURE'!$D$7:$D$3006,P78)&amp;"")</f>
        <v/>
      </c>
      <c r="E78" s="114" t="str">
        <f aca="false">IF(OR(C78="",P78=""),"",IF(INDEX('CARNET DE SOUDURE'!$U$7:$U$3006,P78)="","",INDEX('CARNET DE SOUDURE'!$U$7:$U$3006,P78)))</f>
        <v/>
      </c>
      <c r="F78" s="82" t="str">
        <f aca="false">IF(OR(C78="",P78=""),"",INDEX('CARNET DE SOUDURE'!$AP$7:$AP$3006,P78))</f>
        <v/>
      </c>
      <c r="G78" s="82" t="str">
        <f aca="false">IF(C78="","",IF(P78="","NJ INCONNU",INDEX('CARNET DE SOUDURE'!$AQ$7:$AQ$3006,P78)))</f>
        <v>À SOUDER</v>
      </c>
      <c r="H78" s="82" t="str">
        <f aca="false">IF(C78="","",IF(G78="ACCEPTÉ","OUI","NON"))</f>
        <v>NON</v>
      </c>
      <c r="I78" s="83"/>
      <c r="J78" s="80"/>
      <c r="K78" s="81"/>
      <c r="L78" s="81"/>
      <c r="M78" s="81"/>
      <c r="N78" s="84" t="str">
        <f aca="false">IF(C78="","",IF(P78="","NJ INCONNU",IF(I78="",IF(H78="OUI","À ENROBER",IF(G78="À SOUDER","NON SOUDÉ","EN ATTENTE RT")),IF(L78="R","À REPRENDRE",IF(H78&lt;&gt;"OUI","⚠ ENROBÉ AVANT ACCEPTATION RT","ENROBÉ")))))</f>
        <v>NON SOUDÉ</v>
      </c>
      <c r="O78" s="80"/>
      <c r="P78" s="82" t="n">
        <f aca="false">IF(C78="","",IFERROR(MATCH(Q78,'CARNET DE SOUDURE'!$AW$7:$AW$3006,0),""))</f>
        <v>72</v>
      </c>
      <c r="Q78" s="82" t="str">
        <f aca="false">IF(C78="","",B78&amp;"|"&amp;C78)</f>
        <v>MFD-ISW → MFD-CPF|JN°072</v>
      </c>
    </row>
    <row r="79" customFormat="false" ht="74.6" hidden="false" customHeight="false" outlineLevel="0" collapsed="false">
      <c r="A79" s="82" t="n">
        <f aca="false">IF(C79="","",ROW()-6)</f>
        <v>73</v>
      </c>
      <c r="B79" s="80" t="s">
        <v>110</v>
      </c>
      <c r="C79" s="113" t="s">
        <v>183</v>
      </c>
      <c r="D79" s="82" t="str">
        <f aca="false">IF(OR(C79="",P79=""),"",INDEX('CARNET DE SOUDURE'!$D$7:$D$3006,P79)&amp;"")</f>
        <v/>
      </c>
      <c r="E79" s="114" t="str">
        <f aca="false">IF(OR(C79="",P79=""),"",IF(INDEX('CARNET DE SOUDURE'!$U$7:$U$3006,P79)="","",INDEX('CARNET DE SOUDURE'!$U$7:$U$3006,P79)))</f>
        <v/>
      </c>
      <c r="F79" s="82" t="str">
        <f aca="false">IF(OR(C79="",P79=""),"",INDEX('CARNET DE SOUDURE'!$AP$7:$AP$3006,P79))</f>
        <v/>
      </c>
      <c r="G79" s="82" t="str">
        <f aca="false">IF(C79="","",IF(P79="","NJ INCONNU",INDEX('CARNET DE SOUDURE'!$AQ$7:$AQ$3006,P79)))</f>
        <v>À SOUDER</v>
      </c>
      <c r="H79" s="82" t="str">
        <f aca="false">IF(C79="","",IF(G79="ACCEPTÉ","OUI","NON"))</f>
        <v>NON</v>
      </c>
      <c r="I79" s="83"/>
      <c r="J79" s="80"/>
      <c r="K79" s="81"/>
      <c r="L79" s="81"/>
      <c r="M79" s="81"/>
      <c r="N79" s="84" t="str">
        <f aca="false">IF(C79="","",IF(P79="","NJ INCONNU",IF(I79="",IF(H79="OUI","À ENROBER",IF(G79="À SOUDER","NON SOUDÉ","EN ATTENTE RT")),IF(L79="R","À REPRENDRE",IF(H79&lt;&gt;"OUI","⚠ ENROBÉ AVANT ACCEPTATION RT","ENROBÉ")))))</f>
        <v>NON SOUDÉ</v>
      </c>
      <c r="O79" s="80"/>
      <c r="P79" s="82" t="n">
        <f aca="false">IF(C79="","",IFERROR(MATCH(Q79,'CARNET DE SOUDURE'!$AW$7:$AW$3006,0),""))</f>
        <v>73</v>
      </c>
      <c r="Q79" s="82" t="str">
        <f aca="false">IF(C79="","",B79&amp;"|"&amp;C79)</f>
        <v>MFD-ISW → MFD-CPF|JN°073</v>
      </c>
    </row>
    <row r="80" customFormat="false" ht="74.6" hidden="false" customHeight="false" outlineLevel="0" collapsed="false">
      <c r="A80" s="82" t="n">
        <f aca="false">IF(C80="","",ROW()-6)</f>
        <v>74</v>
      </c>
      <c r="B80" s="80" t="s">
        <v>110</v>
      </c>
      <c r="C80" s="113" t="s">
        <v>184</v>
      </c>
      <c r="D80" s="82" t="str">
        <f aca="false">IF(OR(C80="",P80=""),"",INDEX('CARNET DE SOUDURE'!$D$7:$D$3006,P80)&amp;"")</f>
        <v/>
      </c>
      <c r="E80" s="114" t="str">
        <f aca="false">IF(OR(C80="",P80=""),"",IF(INDEX('CARNET DE SOUDURE'!$U$7:$U$3006,P80)="","",INDEX('CARNET DE SOUDURE'!$U$7:$U$3006,P80)))</f>
        <v/>
      </c>
      <c r="F80" s="82" t="str">
        <f aca="false">IF(OR(C80="",P80=""),"",INDEX('CARNET DE SOUDURE'!$AP$7:$AP$3006,P80))</f>
        <v/>
      </c>
      <c r="G80" s="82" t="str">
        <f aca="false">IF(C80="","",IF(P80="","NJ INCONNU",INDEX('CARNET DE SOUDURE'!$AQ$7:$AQ$3006,P80)))</f>
        <v>À SOUDER</v>
      </c>
      <c r="H80" s="82" t="str">
        <f aca="false">IF(C80="","",IF(G80="ACCEPTÉ","OUI","NON"))</f>
        <v>NON</v>
      </c>
      <c r="I80" s="83"/>
      <c r="J80" s="80"/>
      <c r="K80" s="81"/>
      <c r="L80" s="81"/>
      <c r="M80" s="81"/>
      <c r="N80" s="84" t="str">
        <f aca="false">IF(C80="","",IF(P80="","NJ INCONNU",IF(I80="",IF(H80="OUI","À ENROBER",IF(G80="À SOUDER","NON SOUDÉ","EN ATTENTE RT")),IF(L80="R","À REPRENDRE",IF(H80&lt;&gt;"OUI","⚠ ENROBÉ AVANT ACCEPTATION RT","ENROBÉ")))))</f>
        <v>NON SOUDÉ</v>
      </c>
      <c r="O80" s="80"/>
      <c r="P80" s="82" t="n">
        <f aca="false">IF(C80="","",IFERROR(MATCH(Q80,'CARNET DE SOUDURE'!$AW$7:$AW$3006,0),""))</f>
        <v>74</v>
      </c>
      <c r="Q80" s="82" t="str">
        <f aca="false">IF(C80="","",B80&amp;"|"&amp;C80)</f>
        <v>MFD-ISW → MFD-CPF|JN°074</v>
      </c>
    </row>
    <row r="81" customFormat="false" ht="74.6" hidden="false" customHeight="false" outlineLevel="0" collapsed="false">
      <c r="A81" s="82" t="n">
        <f aca="false">IF(C81="","",ROW()-6)</f>
        <v>75</v>
      </c>
      <c r="B81" s="80" t="s">
        <v>110</v>
      </c>
      <c r="C81" s="113" t="s">
        <v>185</v>
      </c>
      <c r="D81" s="82" t="str">
        <f aca="false">IF(OR(C81="",P81=""),"",INDEX('CARNET DE SOUDURE'!$D$7:$D$3006,P81)&amp;"")</f>
        <v/>
      </c>
      <c r="E81" s="114" t="str">
        <f aca="false">IF(OR(C81="",P81=""),"",IF(INDEX('CARNET DE SOUDURE'!$U$7:$U$3006,P81)="","",INDEX('CARNET DE SOUDURE'!$U$7:$U$3006,P81)))</f>
        <v/>
      </c>
      <c r="F81" s="82" t="str">
        <f aca="false">IF(OR(C81="",P81=""),"",INDEX('CARNET DE SOUDURE'!$AP$7:$AP$3006,P81))</f>
        <v/>
      </c>
      <c r="G81" s="82" t="str">
        <f aca="false">IF(C81="","",IF(P81="","NJ INCONNU",INDEX('CARNET DE SOUDURE'!$AQ$7:$AQ$3006,P81)))</f>
        <v>À SOUDER</v>
      </c>
      <c r="H81" s="82" t="str">
        <f aca="false">IF(C81="","",IF(G81="ACCEPTÉ","OUI","NON"))</f>
        <v>NON</v>
      </c>
      <c r="I81" s="83"/>
      <c r="J81" s="80"/>
      <c r="K81" s="81"/>
      <c r="L81" s="81"/>
      <c r="M81" s="81"/>
      <c r="N81" s="84" t="str">
        <f aca="false">IF(C81="","",IF(P81="","NJ INCONNU",IF(I81="",IF(H81="OUI","À ENROBER",IF(G81="À SOUDER","NON SOUDÉ","EN ATTENTE RT")),IF(L81="R","À REPRENDRE",IF(H81&lt;&gt;"OUI","⚠ ENROBÉ AVANT ACCEPTATION RT","ENROBÉ")))))</f>
        <v>NON SOUDÉ</v>
      </c>
      <c r="O81" s="80"/>
      <c r="P81" s="82" t="n">
        <f aca="false">IF(C81="","",IFERROR(MATCH(Q81,'CARNET DE SOUDURE'!$AW$7:$AW$3006,0),""))</f>
        <v>75</v>
      </c>
      <c r="Q81" s="82" t="str">
        <f aca="false">IF(C81="","",B81&amp;"|"&amp;C81)</f>
        <v>MFD-ISW → MFD-CPF|JN°075</v>
      </c>
    </row>
    <row r="82" customFormat="false" ht="74.6" hidden="false" customHeight="false" outlineLevel="0" collapsed="false">
      <c r="A82" s="82" t="n">
        <f aca="false">IF(C82="","",ROW()-6)</f>
        <v>76</v>
      </c>
      <c r="B82" s="80" t="s">
        <v>110</v>
      </c>
      <c r="C82" s="113" t="s">
        <v>186</v>
      </c>
      <c r="D82" s="82" t="str">
        <f aca="false">IF(OR(C82="",P82=""),"",INDEX('CARNET DE SOUDURE'!$D$7:$D$3006,P82)&amp;"")</f>
        <v/>
      </c>
      <c r="E82" s="114" t="str">
        <f aca="false">IF(OR(C82="",P82=""),"",IF(INDEX('CARNET DE SOUDURE'!$U$7:$U$3006,P82)="","",INDEX('CARNET DE SOUDURE'!$U$7:$U$3006,P82)))</f>
        <v/>
      </c>
      <c r="F82" s="82" t="str">
        <f aca="false">IF(OR(C82="",P82=""),"",INDEX('CARNET DE SOUDURE'!$AP$7:$AP$3006,P82))</f>
        <v/>
      </c>
      <c r="G82" s="82" t="str">
        <f aca="false">IF(C82="","",IF(P82="","NJ INCONNU",INDEX('CARNET DE SOUDURE'!$AQ$7:$AQ$3006,P82)))</f>
        <v>À SOUDER</v>
      </c>
      <c r="H82" s="82" t="str">
        <f aca="false">IF(C82="","",IF(G82="ACCEPTÉ","OUI","NON"))</f>
        <v>NON</v>
      </c>
      <c r="I82" s="83"/>
      <c r="J82" s="80"/>
      <c r="K82" s="81"/>
      <c r="L82" s="81"/>
      <c r="M82" s="81"/>
      <c r="N82" s="84" t="str">
        <f aca="false">IF(C82="","",IF(P82="","NJ INCONNU",IF(I82="",IF(H82="OUI","À ENROBER",IF(G82="À SOUDER","NON SOUDÉ","EN ATTENTE RT")),IF(L82="R","À REPRENDRE",IF(H82&lt;&gt;"OUI","⚠ ENROBÉ AVANT ACCEPTATION RT","ENROBÉ")))))</f>
        <v>NON SOUDÉ</v>
      </c>
      <c r="O82" s="80"/>
      <c r="P82" s="82" t="n">
        <f aca="false">IF(C82="","",IFERROR(MATCH(Q82,'CARNET DE SOUDURE'!$AW$7:$AW$3006,0),""))</f>
        <v>76</v>
      </c>
      <c r="Q82" s="82" t="str">
        <f aca="false">IF(C82="","",B82&amp;"|"&amp;C82)</f>
        <v>MFD-ISW → MFD-CPF|JN°076</v>
      </c>
    </row>
    <row r="83" customFormat="false" ht="74.6" hidden="false" customHeight="false" outlineLevel="0" collapsed="false">
      <c r="A83" s="82" t="n">
        <f aca="false">IF(C83="","",ROW()-6)</f>
        <v>77</v>
      </c>
      <c r="B83" s="80" t="s">
        <v>110</v>
      </c>
      <c r="C83" s="113" t="s">
        <v>187</v>
      </c>
      <c r="D83" s="82" t="str">
        <f aca="false">IF(OR(C83="",P83=""),"",INDEX('CARNET DE SOUDURE'!$D$7:$D$3006,P83)&amp;"")</f>
        <v/>
      </c>
      <c r="E83" s="114" t="str">
        <f aca="false">IF(OR(C83="",P83=""),"",IF(INDEX('CARNET DE SOUDURE'!$U$7:$U$3006,P83)="","",INDEX('CARNET DE SOUDURE'!$U$7:$U$3006,P83)))</f>
        <v/>
      </c>
      <c r="F83" s="82" t="str">
        <f aca="false">IF(OR(C83="",P83=""),"",INDEX('CARNET DE SOUDURE'!$AP$7:$AP$3006,P83))</f>
        <v/>
      </c>
      <c r="G83" s="82" t="str">
        <f aca="false">IF(C83="","",IF(P83="","NJ INCONNU",INDEX('CARNET DE SOUDURE'!$AQ$7:$AQ$3006,P83)))</f>
        <v>À SOUDER</v>
      </c>
      <c r="H83" s="82" t="str">
        <f aca="false">IF(C83="","",IF(G83="ACCEPTÉ","OUI","NON"))</f>
        <v>NON</v>
      </c>
      <c r="I83" s="83"/>
      <c r="J83" s="80"/>
      <c r="K83" s="81"/>
      <c r="L83" s="81"/>
      <c r="M83" s="81"/>
      <c r="N83" s="84" t="str">
        <f aca="false">IF(C83="","",IF(P83="","NJ INCONNU",IF(I83="",IF(H83="OUI","À ENROBER",IF(G83="À SOUDER","NON SOUDÉ","EN ATTENTE RT")),IF(L83="R","À REPRENDRE",IF(H83&lt;&gt;"OUI","⚠ ENROBÉ AVANT ACCEPTATION RT","ENROBÉ")))))</f>
        <v>NON SOUDÉ</v>
      </c>
      <c r="O83" s="80"/>
      <c r="P83" s="82" t="n">
        <f aca="false">IF(C83="","",IFERROR(MATCH(Q83,'CARNET DE SOUDURE'!$AW$7:$AW$3006,0),""))</f>
        <v>77</v>
      </c>
      <c r="Q83" s="82" t="str">
        <f aca="false">IF(C83="","",B83&amp;"|"&amp;C83)</f>
        <v>MFD-ISW → MFD-CPF|JN°077</v>
      </c>
    </row>
    <row r="84" customFormat="false" ht="74.6" hidden="false" customHeight="false" outlineLevel="0" collapsed="false">
      <c r="A84" s="82" t="n">
        <f aca="false">IF(C84="","",ROW()-6)</f>
        <v>78</v>
      </c>
      <c r="B84" s="80" t="s">
        <v>110</v>
      </c>
      <c r="C84" s="113" t="s">
        <v>188</v>
      </c>
      <c r="D84" s="82" t="str">
        <f aca="false">IF(OR(C84="",P84=""),"",INDEX('CARNET DE SOUDURE'!$D$7:$D$3006,P84)&amp;"")</f>
        <v/>
      </c>
      <c r="E84" s="114" t="str">
        <f aca="false">IF(OR(C84="",P84=""),"",IF(INDEX('CARNET DE SOUDURE'!$U$7:$U$3006,P84)="","",INDEX('CARNET DE SOUDURE'!$U$7:$U$3006,P84)))</f>
        <v/>
      </c>
      <c r="F84" s="82" t="str">
        <f aca="false">IF(OR(C84="",P84=""),"",INDEX('CARNET DE SOUDURE'!$AP$7:$AP$3006,P84))</f>
        <v/>
      </c>
      <c r="G84" s="82" t="str">
        <f aca="false">IF(C84="","",IF(P84="","NJ INCONNU",INDEX('CARNET DE SOUDURE'!$AQ$7:$AQ$3006,P84)))</f>
        <v>À SOUDER</v>
      </c>
      <c r="H84" s="82" t="str">
        <f aca="false">IF(C84="","",IF(G84="ACCEPTÉ","OUI","NON"))</f>
        <v>NON</v>
      </c>
      <c r="I84" s="83"/>
      <c r="J84" s="80"/>
      <c r="K84" s="81"/>
      <c r="L84" s="81"/>
      <c r="M84" s="81"/>
      <c r="N84" s="84" t="str">
        <f aca="false">IF(C84="","",IF(P84="","NJ INCONNU",IF(I84="",IF(H84="OUI","À ENROBER",IF(G84="À SOUDER","NON SOUDÉ","EN ATTENTE RT")),IF(L84="R","À REPRENDRE",IF(H84&lt;&gt;"OUI","⚠ ENROBÉ AVANT ACCEPTATION RT","ENROBÉ")))))</f>
        <v>NON SOUDÉ</v>
      </c>
      <c r="O84" s="80"/>
      <c r="P84" s="82" t="n">
        <f aca="false">IF(C84="","",IFERROR(MATCH(Q84,'CARNET DE SOUDURE'!$AW$7:$AW$3006,0),""))</f>
        <v>78</v>
      </c>
      <c r="Q84" s="82" t="str">
        <f aca="false">IF(C84="","",B84&amp;"|"&amp;C84)</f>
        <v>MFD-ISW → MFD-CPF|JN°078</v>
      </c>
    </row>
    <row r="85" customFormat="false" ht="74.6" hidden="false" customHeight="false" outlineLevel="0" collapsed="false">
      <c r="A85" s="82" t="n">
        <f aca="false">IF(C85="","",ROW()-6)</f>
        <v>79</v>
      </c>
      <c r="B85" s="80" t="s">
        <v>110</v>
      </c>
      <c r="C85" s="113" t="s">
        <v>189</v>
      </c>
      <c r="D85" s="82" t="str">
        <f aca="false">IF(OR(C85="",P85=""),"",INDEX('CARNET DE SOUDURE'!$D$7:$D$3006,P85)&amp;"")</f>
        <v/>
      </c>
      <c r="E85" s="114" t="str">
        <f aca="false">IF(OR(C85="",P85=""),"",IF(INDEX('CARNET DE SOUDURE'!$U$7:$U$3006,P85)="","",INDEX('CARNET DE SOUDURE'!$U$7:$U$3006,P85)))</f>
        <v/>
      </c>
      <c r="F85" s="82" t="str">
        <f aca="false">IF(OR(C85="",P85=""),"",INDEX('CARNET DE SOUDURE'!$AP$7:$AP$3006,P85))</f>
        <v/>
      </c>
      <c r="G85" s="82" t="str">
        <f aca="false">IF(C85="","",IF(P85="","NJ INCONNU",INDEX('CARNET DE SOUDURE'!$AQ$7:$AQ$3006,P85)))</f>
        <v>À SOUDER</v>
      </c>
      <c r="H85" s="82" t="str">
        <f aca="false">IF(C85="","",IF(G85="ACCEPTÉ","OUI","NON"))</f>
        <v>NON</v>
      </c>
      <c r="I85" s="83"/>
      <c r="J85" s="80"/>
      <c r="K85" s="81"/>
      <c r="L85" s="81"/>
      <c r="M85" s="81"/>
      <c r="N85" s="84" t="str">
        <f aca="false">IF(C85="","",IF(P85="","NJ INCONNU",IF(I85="",IF(H85="OUI","À ENROBER",IF(G85="À SOUDER","NON SOUDÉ","EN ATTENTE RT")),IF(L85="R","À REPRENDRE",IF(H85&lt;&gt;"OUI","⚠ ENROBÉ AVANT ACCEPTATION RT","ENROBÉ")))))</f>
        <v>NON SOUDÉ</v>
      </c>
      <c r="O85" s="80"/>
      <c r="P85" s="82" t="n">
        <f aca="false">IF(C85="","",IFERROR(MATCH(Q85,'CARNET DE SOUDURE'!$AW$7:$AW$3006,0),""))</f>
        <v>79</v>
      </c>
      <c r="Q85" s="82" t="str">
        <f aca="false">IF(C85="","",B85&amp;"|"&amp;C85)</f>
        <v>MFD-ISW → MFD-CPF|JN°079</v>
      </c>
    </row>
    <row r="86" customFormat="false" ht="74.6" hidden="false" customHeight="false" outlineLevel="0" collapsed="false">
      <c r="A86" s="82" t="n">
        <f aca="false">IF(C86="","",ROW()-6)</f>
        <v>80</v>
      </c>
      <c r="B86" s="80" t="s">
        <v>110</v>
      </c>
      <c r="C86" s="113" t="s">
        <v>190</v>
      </c>
      <c r="D86" s="82" t="str">
        <f aca="false">IF(OR(C86="",P86=""),"",INDEX('CARNET DE SOUDURE'!$D$7:$D$3006,P86)&amp;"")</f>
        <v/>
      </c>
      <c r="E86" s="114" t="str">
        <f aca="false">IF(OR(C86="",P86=""),"",IF(INDEX('CARNET DE SOUDURE'!$U$7:$U$3006,P86)="","",INDEX('CARNET DE SOUDURE'!$U$7:$U$3006,P86)))</f>
        <v/>
      </c>
      <c r="F86" s="82" t="str">
        <f aca="false">IF(OR(C86="",P86=""),"",INDEX('CARNET DE SOUDURE'!$AP$7:$AP$3006,P86))</f>
        <v/>
      </c>
      <c r="G86" s="82" t="str">
        <f aca="false">IF(C86="","",IF(P86="","NJ INCONNU",INDEX('CARNET DE SOUDURE'!$AQ$7:$AQ$3006,P86)))</f>
        <v>À SOUDER</v>
      </c>
      <c r="H86" s="82" t="str">
        <f aca="false">IF(C86="","",IF(G86="ACCEPTÉ","OUI","NON"))</f>
        <v>NON</v>
      </c>
      <c r="I86" s="83"/>
      <c r="J86" s="80"/>
      <c r="K86" s="81"/>
      <c r="L86" s="81"/>
      <c r="M86" s="81"/>
      <c r="N86" s="84" t="str">
        <f aca="false">IF(C86="","",IF(P86="","NJ INCONNU",IF(I86="",IF(H86="OUI","À ENROBER",IF(G86="À SOUDER","NON SOUDÉ","EN ATTENTE RT")),IF(L86="R","À REPRENDRE",IF(H86&lt;&gt;"OUI","⚠ ENROBÉ AVANT ACCEPTATION RT","ENROBÉ")))))</f>
        <v>NON SOUDÉ</v>
      </c>
      <c r="O86" s="80"/>
      <c r="P86" s="82" t="n">
        <f aca="false">IF(C86="","",IFERROR(MATCH(Q86,'CARNET DE SOUDURE'!$AW$7:$AW$3006,0),""))</f>
        <v>80</v>
      </c>
      <c r="Q86" s="82" t="str">
        <f aca="false">IF(C86="","",B86&amp;"|"&amp;C86)</f>
        <v>MFD-ISW → MFD-CPF|JN°080</v>
      </c>
    </row>
    <row r="87" customFormat="false" ht="74.6" hidden="false" customHeight="false" outlineLevel="0" collapsed="false">
      <c r="A87" s="82" t="n">
        <f aca="false">IF(C87="","",ROW()-6)</f>
        <v>81</v>
      </c>
      <c r="B87" s="80" t="s">
        <v>110</v>
      </c>
      <c r="C87" s="113" t="s">
        <v>191</v>
      </c>
      <c r="D87" s="82" t="str">
        <f aca="false">IF(OR(C87="",P87=""),"",INDEX('CARNET DE SOUDURE'!$D$7:$D$3006,P87)&amp;"")</f>
        <v/>
      </c>
      <c r="E87" s="114" t="str">
        <f aca="false">IF(OR(C87="",P87=""),"",IF(INDEX('CARNET DE SOUDURE'!$U$7:$U$3006,P87)="","",INDEX('CARNET DE SOUDURE'!$U$7:$U$3006,P87)))</f>
        <v/>
      </c>
      <c r="F87" s="82" t="str">
        <f aca="false">IF(OR(C87="",P87=""),"",INDEX('CARNET DE SOUDURE'!$AP$7:$AP$3006,P87))</f>
        <v/>
      </c>
      <c r="G87" s="82" t="str">
        <f aca="false">IF(C87="","",IF(P87="","NJ INCONNU",INDEX('CARNET DE SOUDURE'!$AQ$7:$AQ$3006,P87)))</f>
        <v>À SOUDER</v>
      </c>
      <c r="H87" s="82" t="str">
        <f aca="false">IF(C87="","",IF(G87="ACCEPTÉ","OUI","NON"))</f>
        <v>NON</v>
      </c>
      <c r="I87" s="83"/>
      <c r="J87" s="80"/>
      <c r="K87" s="81"/>
      <c r="L87" s="81"/>
      <c r="M87" s="81"/>
      <c r="N87" s="84" t="str">
        <f aca="false">IF(C87="","",IF(P87="","NJ INCONNU",IF(I87="",IF(H87="OUI","À ENROBER",IF(G87="À SOUDER","NON SOUDÉ","EN ATTENTE RT")),IF(L87="R","À REPRENDRE",IF(H87&lt;&gt;"OUI","⚠ ENROBÉ AVANT ACCEPTATION RT","ENROBÉ")))))</f>
        <v>NON SOUDÉ</v>
      </c>
      <c r="O87" s="80"/>
      <c r="P87" s="82" t="n">
        <f aca="false">IF(C87="","",IFERROR(MATCH(Q87,'CARNET DE SOUDURE'!$AW$7:$AW$3006,0),""))</f>
        <v>81</v>
      </c>
      <c r="Q87" s="82" t="str">
        <f aca="false">IF(C87="","",B87&amp;"|"&amp;C87)</f>
        <v>MFD-ISW → MFD-CPF|JN°081</v>
      </c>
    </row>
    <row r="88" customFormat="false" ht="74.6" hidden="false" customHeight="false" outlineLevel="0" collapsed="false">
      <c r="A88" s="82" t="n">
        <f aca="false">IF(C88="","",ROW()-6)</f>
        <v>82</v>
      </c>
      <c r="B88" s="80" t="s">
        <v>110</v>
      </c>
      <c r="C88" s="113" t="s">
        <v>192</v>
      </c>
      <c r="D88" s="82" t="str">
        <f aca="false">IF(OR(C88="",P88=""),"",INDEX('CARNET DE SOUDURE'!$D$7:$D$3006,P88)&amp;"")</f>
        <v/>
      </c>
      <c r="E88" s="114" t="str">
        <f aca="false">IF(OR(C88="",P88=""),"",IF(INDEX('CARNET DE SOUDURE'!$U$7:$U$3006,P88)="","",INDEX('CARNET DE SOUDURE'!$U$7:$U$3006,P88)))</f>
        <v/>
      </c>
      <c r="F88" s="82" t="str">
        <f aca="false">IF(OR(C88="",P88=""),"",INDEX('CARNET DE SOUDURE'!$AP$7:$AP$3006,P88))</f>
        <v/>
      </c>
      <c r="G88" s="82" t="str">
        <f aca="false">IF(C88="","",IF(P88="","NJ INCONNU",INDEX('CARNET DE SOUDURE'!$AQ$7:$AQ$3006,P88)))</f>
        <v>À SOUDER</v>
      </c>
      <c r="H88" s="82" t="str">
        <f aca="false">IF(C88="","",IF(G88="ACCEPTÉ","OUI","NON"))</f>
        <v>NON</v>
      </c>
      <c r="I88" s="83"/>
      <c r="J88" s="80"/>
      <c r="K88" s="81"/>
      <c r="L88" s="81"/>
      <c r="M88" s="81"/>
      <c r="N88" s="84" t="str">
        <f aca="false">IF(C88="","",IF(P88="","NJ INCONNU",IF(I88="",IF(H88="OUI","À ENROBER",IF(G88="À SOUDER","NON SOUDÉ","EN ATTENTE RT")),IF(L88="R","À REPRENDRE",IF(H88&lt;&gt;"OUI","⚠ ENROBÉ AVANT ACCEPTATION RT","ENROBÉ")))))</f>
        <v>NON SOUDÉ</v>
      </c>
      <c r="O88" s="80"/>
      <c r="P88" s="82" t="n">
        <f aca="false">IF(C88="","",IFERROR(MATCH(Q88,'CARNET DE SOUDURE'!$AW$7:$AW$3006,0),""))</f>
        <v>82</v>
      </c>
      <c r="Q88" s="82" t="str">
        <f aca="false">IF(C88="","",B88&amp;"|"&amp;C88)</f>
        <v>MFD-ISW → MFD-CPF|JN°082</v>
      </c>
    </row>
    <row r="89" customFormat="false" ht="74.6" hidden="false" customHeight="false" outlineLevel="0" collapsed="false">
      <c r="A89" s="82" t="n">
        <f aca="false">IF(C89="","",ROW()-6)</f>
        <v>83</v>
      </c>
      <c r="B89" s="80" t="s">
        <v>110</v>
      </c>
      <c r="C89" s="113" t="s">
        <v>193</v>
      </c>
      <c r="D89" s="82" t="str">
        <f aca="false">IF(OR(C89="",P89=""),"",INDEX('CARNET DE SOUDURE'!$D$7:$D$3006,P89)&amp;"")</f>
        <v/>
      </c>
      <c r="E89" s="114" t="str">
        <f aca="false">IF(OR(C89="",P89=""),"",IF(INDEX('CARNET DE SOUDURE'!$U$7:$U$3006,P89)="","",INDEX('CARNET DE SOUDURE'!$U$7:$U$3006,P89)))</f>
        <v/>
      </c>
      <c r="F89" s="82" t="str">
        <f aca="false">IF(OR(C89="",P89=""),"",INDEX('CARNET DE SOUDURE'!$AP$7:$AP$3006,P89))</f>
        <v/>
      </c>
      <c r="G89" s="82" t="str">
        <f aca="false">IF(C89="","",IF(P89="","NJ INCONNU",INDEX('CARNET DE SOUDURE'!$AQ$7:$AQ$3006,P89)))</f>
        <v>À SOUDER</v>
      </c>
      <c r="H89" s="82" t="str">
        <f aca="false">IF(C89="","",IF(G89="ACCEPTÉ","OUI","NON"))</f>
        <v>NON</v>
      </c>
      <c r="I89" s="83"/>
      <c r="J89" s="80"/>
      <c r="K89" s="81"/>
      <c r="L89" s="81"/>
      <c r="M89" s="81"/>
      <c r="N89" s="84" t="str">
        <f aca="false">IF(C89="","",IF(P89="","NJ INCONNU",IF(I89="",IF(H89="OUI","À ENROBER",IF(G89="À SOUDER","NON SOUDÉ","EN ATTENTE RT")),IF(L89="R","À REPRENDRE",IF(H89&lt;&gt;"OUI","⚠ ENROBÉ AVANT ACCEPTATION RT","ENROBÉ")))))</f>
        <v>NON SOUDÉ</v>
      </c>
      <c r="O89" s="80"/>
      <c r="P89" s="82" t="n">
        <f aca="false">IF(C89="","",IFERROR(MATCH(Q89,'CARNET DE SOUDURE'!$AW$7:$AW$3006,0),""))</f>
        <v>83</v>
      </c>
      <c r="Q89" s="82" t="str">
        <f aca="false">IF(C89="","",B89&amp;"|"&amp;C89)</f>
        <v>MFD-ISW → MFD-CPF|JN°083</v>
      </c>
    </row>
    <row r="90" customFormat="false" ht="74.6" hidden="false" customHeight="false" outlineLevel="0" collapsed="false">
      <c r="A90" s="82" t="n">
        <f aca="false">IF(C90="","",ROW()-6)</f>
        <v>84</v>
      </c>
      <c r="B90" s="80" t="s">
        <v>110</v>
      </c>
      <c r="C90" s="113" t="s">
        <v>194</v>
      </c>
      <c r="D90" s="82" t="str">
        <f aca="false">IF(OR(C90="",P90=""),"",INDEX('CARNET DE SOUDURE'!$D$7:$D$3006,P90)&amp;"")</f>
        <v/>
      </c>
      <c r="E90" s="114" t="str">
        <f aca="false">IF(OR(C90="",P90=""),"",IF(INDEX('CARNET DE SOUDURE'!$U$7:$U$3006,P90)="","",INDEX('CARNET DE SOUDURE'!$U$7:$U$3006,P90)))</f>
        <v/>
      </c>
      <c r="F90" s="82" t="str">
        <f aca="false">IF(OR(C90="",P90=""),"",INDEX('CARNET DE SOUDURE'!$AP$7:$AP$3006,P90))</f>
        <v/>
      </c>
      <c r="G90" s="82" t="str">
        <f aca="false">IF(C90="","",IF(P90="","NJ INCONNU",INDEX('CARNET DE SOUDURE'!$AQ$7:$AQ$3006,P90)))</f>
        <v>À SOUDER</v>
      </c>
      <c r="H90" s="82" t="str">
        <f aca="false">IF(C90="","",IF(G90="ACCEPTÉ","OUI","NON"))</f>
        <v>NON</v>
      </c>
      <c r="I90" s="83"/>
      <c r="J90" s="80"/>
      <c r="K90" s="81"/>
      <c r="L90" s="81"/>
      <c r="M90" s="81"/>
      <c r="N90" s="84" t="str">
        <f aca="false">IF(C90="","",IF(P90="","NJ INCONNU",IF(I90="",IF(H90="OUI","À ENROBER",IF(G90="À SOUDER","NON SOUDÉ","EN ATTENTE RT")),IF(L90="R","À REPRENDRE",IF(H90&lt;&gt;"OUI","⚠ ENROBÉ AVANT ACCEPTATION RT","ENROBÉ")))))</f>
        <v>NON SOUDÉ</v>
      </c>
      <c r="O90" s="80"/>
      <c r="P90" s="82" t="n">
        <f aca="false">IF(C90="","",IFERROR(MATCH(Q90,'CARNET DE SOUDURE'!$AW$7:$AW$3006,0),""))</f>
        <v>84</v>
      </c>
      <c r="Q90" s="82" t="str">
        <f aca="false">IF(C90="","",B90&amp;"|"&amp;C90)</f>
        <v>MFD-ISW → MFD-CPF|JN°084</v>
      </c>
    </row>
    <row r="91" customFormat="false" ht="74.6" hidden="false" customHeight="false" outlineLevel="0" collapsed="false">
      <c r="A91" s="82" t="n">
        <f aca="false">IF(C91="","",ROW()-6)</f>
        <v>85</v>
      </c>
      <c r="B91" s="80" t="s">
        <v>110</v>
      </c>
      <c r="C91" s="113" t="s">
        <v>195</v>
      </c>
      <c r="D91" s="82" t="str">
        <f aca="false">IF(OR(C91="",P91=""),"",INDEX('CARNET DE SOUDURE'!$D$7:$D$3006,P91)&amp;"")</f>
        <v/>
      </c>
      <c r="E91" s="114" t="str">
        <f aca="false">IF(OR(C91="",P91=""),"",IF(INDEX('CARNET DE SOUDURE'!$U$7:$U$3006,P91)="","",INDEX('CARNET DE SOUDURE'!$U$7:$U$3006,P91)))</f>
        <v/>
      </c>
      <c r="F91" s="82" t="str">
        <f aca="false">IF(OR(C91="",P91=""),"",INDEX('CARNET DE SOUDURE'!$AP$7:$AP$3006,P91))</f>
        <v/>
      </c>
      <c r="G91" s="82" t="str">
        <f aca="false">IF(C91="","",IF(P91="","NJ INCONNU",INDEX('CARNET DE SOUDURE'!$AQ$7:$AQ$3006,P91)))</f>
        <v>À SOUDER</v>
      </c>
      <c r="H91" s="82" t="str">
        <f aca="false">IF(C91="","",IF(G91="ACCEPTÉ","OUI","NON"))</f>
        <v>NON</v>
      </c>
      <c r="I91" s="83"/>
      <c r="J91" s="80"/>
      <c r="K91" s="81"/>
      <c r="L91" s="81"/>
      <c r="M91" s="81"/>
      <c r="N91" s="84" t="str">
        <f aca="false">IF(C91="","",IF(P91="","NJ INCONNU",IF(I91="",IF(H91="OUI","À ENROBER",IF(G91="À SOUDER","NON SOUDÉ","EN ATTENTE RT")),IF(L91="R","À REPRENDRE",IF(H91&lt;&gt;"OUI","⚠ ENROBÉ AVANT ACCEPTATION RT","ENROBÉ")))))</f>
        <v>NON SOUDÉ</v>
      </c>
      <c r="O91" s="80"/>
      <c r="P91" s="82" t="n">
        <f aca="false">IF(C91="","",IFERROR(MATCH(Q91,'CARNET DE SOUDURE'!$AW$7:$AW$3006,0),""))</f>
        <v>85</v>
      </c>
      <c r="Q91" s="82" t="str">
        <f aca="false">IF(C91="","",B91&amp;"|"&amp;C91)</f>
        <v>MFD-ISW → MFD-CPF|JN°085</v>
      </c>
    </row>
    <row r="92" customFormat="false" ht="74.6" hidden="false" customHeight="false" outlineLevel="0" collapsed="false">
      <c r="A92" s="82" t="n">
        <f aca="false">IF(C92="","",ROW()-6)</f>
        <v>86</v>
      </c>
      <c r="B92" s="80" t="s">
        <v>110</v>
      </c>
      <c r="C92" s="113" t="s">
        <v>196</v>
      </c>
      <c r="D92" s="82" t="str">
        <f aca="false">IF(OR(C92="",P92=""),"",INDEX('CARNET DE SOUDURE'!$D$7:$D$3006,P92)&amp;"")</f>
        <v/>
      </c>
      <c r="E92" s="114" t="str">
        <f aca="false">IF(OR(C92="",P92=""),"",IF(INDEX('CARNET DE SOUDURE'!$U$7:$U$3006,P92)="","",INDEX('CARNET DE SOUDURE'!$U$7:$U$3006,P92)))</f>
        <v/>
      </c>
      <c r="F92" s="82" t="str">
        <f aca="false">IF(OR(C92="",P92=""),"",INDEX('CARNET DE SOUDURE'!$AP$7:$AP$3006,P92))</f>
        <v/>
      </c>
      <c r="G92" s="82" t="str">
        <f aca="false">IF(C92="","",IF(P92="","NJ INCONNU",INDEX('CARNET DE SOUDURE'!$AQ$7:$AQ$3006,P92)))</f>
        <v>À SOUDER</v>
      </c>
      <c r="H92" s="82" t="str">
        <f aca="false">IF(C92="","",IF(G92="ACCEPTÉ","OUI","NON"))</f>
        <v>NON</v>
      </c>
      <c r="I92" s="83"/>
      <c r="J92" s="80"/>
      <c r="K92" s="81"/>
      <c r="L92" s="81"/>
      <c r="M92" s="81"/>
      <c r="N92" s="84" t="str">
        <f aca="false">IF(C92="","",IF(P92="","NJ INCONNU",IF(I92="",IF(H92="OUI","À ENROBER",IF(G92="À SOUDER","NON SOUDÉ","EN ATTENTE RT")),IF(L92="R","À REPRENDRE",IF(H92&lt;&gt;"OUI","⚠ ENROBÉ AVANT ACCEPTATION RT","ENROBÉ")))))</f>
        <v>NON SOUDÉ</v>
      </c>
      <c r="O92" s="80"/>
      <c r="P92" s="82" t="n">
        <f aca="false">IF(C92="","",IFERROR(MATCH(Q92,'CARNET DE SOUDURE'!$AW$7:$AW$3006,0),""))</f>
        <v>86</v>
      </c>
      <c r="Q92" s="82" t="str">
        <f aca="false">IF(C92="","",B92&amp;"|"&amp;C92)</f>
        <v>MFD-ISW → MFD-CPF|JN°086</v>
      </c>
    </row>
    <row r="93" customFormat="false" ht="74.6" hidden="false" customHeight="false" outlineLevel="0" collapsed="false">
      <c r="A93" s="82" t="n">
        <f aca="false">IF(C93="","",ROW()-6)</f>
        <v>87</v>
      </c>
      <c r="B93" s="80" t="s">
        <v>110</v>
      </c>
      <c r="C93" s="113" t="s">
        <v>197</v>
      </c>
      <c r="D93" s="82" t="str">
        <f aca="false">IF(OR(C93="",P93=""),"",INDEX('CARNET DE SOUDURE'!$D$7:$D$3006,P93)&amp;"")</f>
        <v/>
      </c>
      <c r="E93" s="114" t="str">
        <f aca="false">IF(OR(C93="",P93=""),"",IF(INDEX('CARNET DE SOUDURE'!$U$7:$U$3006,P93)="","",INDEX('CARNET DE SOUDURE'!$U$7:$U$3006,P93)))</f>
        <v/>
      </c>
      <c r="F93" s="82" t="str">
        <f aca="false">IF(OR(C93="",P93=""),"",INDEX('CARNET DE SOUDURE'!$AP$7:$AP$3006,P93))</f>
        <v/>
      </c>
      <c r="G93" s="82" t="str">
        <f aca="false">IF(C93="","",IF(P93="","NJ INCONNU",INDEX('CARNET DE SOUDURE'!$AQ$7:$AQ$3006,P93)))</f>
        <v>À SOUDER</v>
      </c>
      <c r="H93" s="82" t="str">
        <f aca="false">IF(C93="","",IF(G93="ACCEPTÉ","OUI","NON"))</f>
        <v>NON</v>
      </c>
      <c r="I93" s="83"/>
      <c r="J93" s="80"/>
      <c r="K93" s="81"/>
      <c r="L93" s="81"/>
      <c r="M93" s="81"/>
      <c r="N93" s="84" t="str">
        <f aca="false">IF(C93="","",IF(P93="","NJ INCONNU",IF(I93="",IF(H93="OUI","À ENROBER",IF(G93="À SOUDER","NON SOUDÉ","EN ATTENTE RT")),IF(L93="R","À REPRENDRE",IF(H93&lt;&gt;"OUI","⚠ ENROBÉ AVANT ACCEPTATION RT","ENROBÉ")))))</f>
        <v>NON SOUDÉ</v>
      </c>
      <c r="O93" s="80"/>
      <c r="P93" s="82" t="n">
        <f aca="false">IF(C93="","",IFERROR(MATCH(Q93,'CARNET DE SOUDURE'!$AW$7:$AW$3006,0),""))</f>
        <v>87</v>
      </c>
      <c r="Q93" s="82" t="str">
        <f aca="false">IF(C93="","",B93&amp;"|"&amp;C93)</f>
        <v>MFD-ISW → MFD-CPF|JN°087</v>
      </c>
    </row>
    <row r="94" customFormat="false" ht="74.6" hidden="false" customHeight="false" outlineLevel="0" collapsed="false">
      <c r="A94" s="82" t="n">
        <f aca="false">IF(C94="","",ROW()-6)</f>
        <v>88</v>
      </c>
      <c r="B94" s="80" t="s">
        <v>110</v>
      </c>
      <c r="C94" s="113" t="s">
        <v>198</v>
      </c>
      <c r="D94" s="82" t="str">
        <f aca="false">IF(OR(C94="",P94=""),"",INDEX('CARNET DE SOUDURE'!$D$7:$D$3006,P94)&amp;"")</f>
        <v/>
      </c>
      <c r="E94" s="114" t="str">
        <f aca="false">IF(OR(C94="",P94=""),"",IF(INDEX('CARNET DE SOUDURE'!$U$7:$U$3006,P94)="","",INDEX('CARNET DE SOUDURE'!$U$7:$U$3006,P94)))</f>
        <v/>
      </c>
      <c r="F94" s="82" t="str">
        <f aca="false">IF(OR(C94="",P94=""),"",INDEX('CARNET DE SOUDURE'!$AP$7:$AP$3006,P94))</f>
        <v/>
      </c>
      <c r="G94" s="82" t="str">
        <f aca="false">IF(C94="","",IF(P94="","NJ INCONNU",INDEX('CARNET DE SOUDURE'!$AQ$7:$AQ$3006,P94)))</f>
        <v>À SOUDER</v>
      </c>
      <c r="H94" s="82" t="str">
        <f aca="false">IF(C94="","",IF(G94="ACCEPTÉ","OUI","NON"))</f>
        <v>NON</v>
      </c>
      <c r="I94" s="83"/>
      <c r="J94" s="80"/>
      <c r="K94" s="81"/>
      <c r="L94" s="81"/>
      <c r="M94" s="81"/>
      <c r="N94" s="84" t="str">
        <f aca="false">IF(C94="","",IF(P94="","NJ INCONNU",IF(I94="",IF(H94="OUI","À ENROBER",IF(G94="À SOUDER","NON SOUDÉ","EN ATTENTE RT")),IF(L94="R","À REPRENDRE",IF(H94&lt;&gt;"OUI","⚠ ENROBÉ AVANT ACCEPTATION RT","ENROBÉ")))))</f>
        <v>NON SOUDÉ</v>
      </c>
      <c r="O94" s="80"/>
      <c r="P94" s="82" t="n">
        <f aca="false">IF(C94="","",IFERROR(MATCH(Q94,'CARNET DE SOUDURE'!$AW$7:$AW$3006,0),""))</f>
        <v>88</v>
      </c>
      <c r="Q94" s="82" t="str">
        <f aca="false">IF(C94="","",B94&amp;"|"&amp;C94)</f>
        <v>MFD-ISW → MFD-CPF|JN°088</v>
      </c>
    </row>
    <row r="95" customFormat="false" ht="74.6" hidden="false" customHeight="false" outlineLevel="0" collapsed="false">
      <c r="A95" s="82" t="n">
        <f aca="false">IF(C95="","",ROW()-6)</f>
        <v>89</v>
      </c>
      <c r="B95" s="80" t="s">
        <v>110</v>
      </c>
      <c r="C95" s="113" t="s">
        <v>199</v>
      </c>
      <c r="D95" s="82" t="str">
        <f aca="false">IF(OR(C95="",P95=""),"",INDEX('CARNET DE SOUDURE'!$D$7:$D$3006,P95)&amp;"")</f>
        <v/>
      </c>
      <c r="E95" s="114" t="str">
        <f aca="false">IF(OR(C95="",P95=""),"",IF(INDEX('CARNET DE SOUDURE'!$U$7:$U$3006,P95)="","",INDEX('CARNET DE SOUDURE'!$U$7:$U$3006,P95)))</f>
        <v/>
      </c>
      <c r="F95" s="82" t="str">
        <f aca="false">IF(OR(C95="",P95=""),"",INDEX('CARNET DE SOUDURE'!$AP$7:$AP$3006,P95))</f>
        <v/>
      </c>
      <c r="G95" s="82" t="str">
        <f aca="false">IF(C95="","",IF(P95="","NJ INCONNU",INDEX('CARNET DE SOUDURE'!$AQ$7:$AQ$3006,P95)))</f>
        <v>À SOUDER</v>
      </c>
      <c r="H95" s="82" t="str">
        <f aca="false">IF(C95="","",IF(G95="ACCEPTÉ","OUI","NON"))</f>
        <v>NON</v>
      </c>
      <c r="I95" s="83"/>
      <c r="J95" s="80"/>
      <c r="K95" s="81"/>
      <c r="L95" s="81"/>
      <c r="M95" s="81"/>
      <c r="N95" s="84" t="str">
        <f aca="false">IF(C95="","",IF(P95="","NJ INCONNU",IF(I95="",IF(H95="OUI","À ENROBER",IF(G95="À SOUDER","NON SOUDÉ","EN ATTENTE RT")),IF(L95="R","À REPRENDRE",IF(H95&lt;&gt;"OUI","⚠ ENROBÉ AVANT ACCEPTATION RT","ENROBÉ")))))</f>
        <v>NON SOUDÉ</v>
      </c>
      <c r="O95" s="80"/>
      <c r="P95" s="82" t="n">
        <f aca="false">IF(C95="","",IFERROR(MATCH(Q95,'CARNET DE SOUDURE'!$AW$7:$AW$3006,0),""))</f>
        <v>89</v>
      </c>
      <c r="Q95" s="82" t="str">
        <f aca="false">IF(C95="","",B95&amp;"|"&amp;C95)</f>
        <v>MFD-ISW → MFD-CPF|JN°089</v>
      </c>
    </row>
    <row r="96" customFormat="false" ht="74.6" hidden="false" customHeight="false" outlineLevel="0" collapsed="false">
      <c r="A96" s="82" t="n">
        <f aca="false">IF(C96="","",ROW()-6)</f>
        <v>90</v>
      </c>
      <c r="B96" s="80" t="s">
        <v>110</v>
      </c>
      <c r="C96" s="113" t="s">
        <v>200</v>
      </c>
      <c r="D96" s="82" t="str">
        <f aca="false">IF(OR(C96="",P96=""),"",INDEX('CARNET DE SOUDURE'!$D$7:$D$3006,P96)&amp;"")</f>
        <v/>
      </c>
      <c r="E96" s="114" t="str">
        <f aca="false">IF(OR(C96="",P96=""),"",IF(INDEX('CARNET DE SOUDURE'!$U$7:$U$3006,P96)="","",INDEX('CARNET DE SOUDURE'!$U$7:$U$3006,P96)))</f>
        <v/>
      </c>
      <c r="F96" s="82" t="str">
        <f aca="false">IF(OR(C96="",P96=""),"",INDEX('CARNET DE SOUDURE'!$AP$7:$AP$3006,P96))</f>
        <v/>
      </c>
      <c r="G96" s="82" t="str">
        <f aca="false">IF(C96="","",IF(P96="","NJ INCONNU",INDEX('CARNET DE SOUDURE'!$AQ$7:$AQ$3006,P96)))</f>
        <v>À SOUDER</v>
      </c>
      <c r="H96" s="82" t="str">
        <f aca="false">IF(C96="","",IF(G96="ACCEPTÉ","OUI","NON"))</f>
        <v>NON</v>
      </c>
      <c r="I96" s="83"/>
      <c r="J96" s="80"/>
      <c r="K96" s="81"/>
      <c r="L96" s="81"/>
      <c r="M96" s="81"/>
      <c r="N96" s="84" t="str">
        <f aca="false">IF(C96="","",IF(P96="","NJ INCONNU",IF(I96="",IF(H96="OUI","À ENROBER",IF(G96="À SOUDER","NON SOUDÉ","EN ATTENTE RT")),IF(L96="R","À REPRENDRE",IF(H96&lt;&gt;"OUI","⚠ ENROBÉ AVANT ACCEPTATION RT","ENROBÉ")))))</f>
        <v>NON SOUDÉ</v>
      </c>
      <c r="O96" s="80"/>
      <c r="P96" s="82" t="n">
        <f aca="false">IF(C96="","",IFERROR(MATCH(Q96,'CARNET DE SOUDURE'!$AW$7:$AW$3006,0),""))</f>
        <v>90</v>
      </c>
      <c r="Q96" s="82" t="str">
        <f aca="false">IF(C96="","",B96&amp;"|"&amp;C96)</f>
        <v>MFD-ISW → MFD-CPF|JN°090</v>
      </c>
    </row>
    <row r="97" customFormat="false" ht="74.6" hidden="false" customHeight="false" outlineLevel="0" collapsed="false">
      <c r="A97" s="82" t="n">
        <f aca="false">IF(C97="","",ROW()-6)</f>
        <v>91</v>
      </c>
      <c r="B97" s="80" t="s">
        <v>110</v>
      </c>
      <c r="C97" s="113" t="s">
        <v>201</v>
      </c>
      <c r="D97" s="82" t="str">
        <f aca="false">IF(OR(C97="",P97=""),"",INDEX('CARNET DE SOUDURE'!$D$7:$D$3006,P97)&amp;"")</f>
        <v/>
      </c>
      <c r="E97" s="114" t="str">
        <f aca="false">IF(OR(C97="",P97=""),"",IF(INDEX('CARNET DE SOUDURE'!$U$7:$U$3006,P97)="","",INDEX('CARNET DE SOUDURE'!$U$7:$U$3006,P97)))</f>
        <v/>
      </c>
      <c r="F97" s="82" t="str">
        <f aca="false">IF(OR(C97="",P97=""),"",INDEX('CARNET DE SOUDURE'!$AP$7:$AP$3006,P97))</f>
        <v/>
      </c>
      <c r="G97" s="82" t="str">
        <f aca="false">IF(C97="","",IF(P97="","NJ INCONNU",INDEX('CARNET DE SOUDURE'!$AQ$7:$AQ$3006,P97)))</f>
        <v>À SOUDER</v>
      </c>
      <c r="H97" s="82" t="str">
        <f aca="false">IF(C97="","",IF(G97="ACCEPTÉ","OUI","NON"))</f>
        <v>NON</v>
      </c>
      <c r="I97" s="83"/>
      <c r="J97" s="80"/>
      <c r="K97" s="81"/>
      <c r="L97" s="81"/>
      <c r="M97" s="81"/>
      <c r="N97" s="84" t="str">
        <f aca="false">IF(C97="","",IF(P97="","NJ INCONNU",IF(I97="",IF(H97="OUI","À ENROBER",IF(G97="À SOUDER","NON SOUDÉ","EN ATTENTE RT")),IF(L97="R","À REPRENDRE",IF(H97&lt;&gt;"OUI","⚠ ENROBÉ AVANT ACCEPTATION RT","ENROBÉ")))))</f>
        <v>NON SOUDÉ</v>
      </c>
      <c r="O97" s="80"/>
      <c r="P97" s="82" t="n">
        <f aca="false">IF(C97="","",IFERROR(MATCH(Q97,'CARNET DE SOUDURE'!$AW$7:$AW$3006,0),""))</f>
        <v>91</v>
      </c>
      <c r="Q97" s="82" t="str">
        <f aca="false">IF(C97="","",B97&amp;"|"&amp;C97)</f>
        <v>MFD-ISW → MFD-CPF|JN°091</v>
      </c>
    </row>
    <row r="98" customFormat="false" ht="74.6" hidden="false" customHeight="false" outlineLevel="0" collapsed="false">
      <c r="A98" s="82" t="n">
        <f aca="false">IF(C98="","",ROW()-6)</f>
        <v>92</v>
      </c>
      <c r="B98" s="80" t="s">
        <v>110</v>
      </c>
      <c r="C98" s="113" t="s">
        <v>202</v>
      </c>
      <c r="D98" s="82" t="str">
        <f aca="false">IF(OR(C98="",P98=""),"",INDEX('CARNET DE SOUDURE'!$D$7:$D$3006,P98)&amp;"")</f>
        <v/>
      </c>
      <c r="E98" s="114" t="str">
        <f aca="false">IF(OR(C98="",P98=""),"",IF(INDEX('CARNET DE SOUDURE'!$U$7:$U$3006,P98)="","",INDEX('CARNET DE SOUDURE'!$U$7:$U$3006,P98)))</f>
        <v/>
      </c>
      <c r="F98" s="82" t="str">
        <f aca="false">IF(OR(C98="",P98=""),"",INDEX('CARNET DE SOUDURE'!$AP$7:$AP$3006,P98))</f>
        <v/>
      </c>
      <c r="G98" s="82" t="str">
        <f aca="false">IF(C98="","",IF(P98="","NJ INCONNU",INDEX('CARNET DE SOUDURE'!$AQ$7:$AQ$3006,P98)))</f>
        <v>À SOUDER</v>
      </c>
      <c r="H98" s="82" t="str">
        <f aca="false">IF(C98="","",IF(G98="ACCEPTÉ","OUI","NON"))</f>
        <v>NON</v>
      </c>
      <c r="I98" s="83"/>
      <c r="J98" s="80"/>
      <c r="K98" s="81"/>
      <c r="L98" s="81"/>
      <c r="M98" s="81"/>
      <c r="N98" s="84" t="str">
        <f aca="false">IF(C98="","",IF(P98="","NJ INCONNU",IF(I98="",IF(H98="OUI","À ENROBER",IF(G98="À SOUDER","NON SOUDÉ","EN ATTENTE RT")),IF(L98="R","À REPRENDRE",IF(H98&lt;&gt;"OUI","⚠ ENROBÉ AVANT ACCEPTATION RT","ENROBÉ")))))</f>
        <v>NON SOUDÉ</v>
      </c>
      <c r="O98" s="80"/>
      <c r="P98" s="82" t="n">
        <f aca="false">IF(C98="","",IFERROR(MATCH(Q98,'CARNET DE SOUDURE'!$AW$7:$AW$3006,0),""))</f>
        <v>92</v>
      </c>
      <c r="Q98" s="82" t="str">
        <f aca="false">IF(C98="","",B98&amp;"|"&amp;C98)</f>
        <v>MFD-ISW → MFD-CPF|JN°092</v>
      </c>
    </row>
    <row r="99" customFormat="false" ht="74.6" hidden="false" customHeight="false" outlineLevel="0" collapsed="false">
      <c r="A99" s="82" t="n">
        <f aca="false">IF(C99="","",ROW()-6)</f>
        <v>93</v>
      </c>
      <c r="B99" s="80" t="s">
        <v>110</v>
      </c>
      <c r="C99" s="113" t="s">
        <v>203</v>
      </c>
      <c r="D99" s="82" t="str">
        <f aca="false">IF(OR(C99="",P99=""),"",INDEX('CARNET DE SOUDURE'!$D$7:$D$3006,P99)&amp;"")</f>
        <v/>
      </c>
      <c r="E99" s="114" t="str">
        <f aca="false">IF(OR(C99="",P99=""),"",IF(INDEX('CARNET DE SOUDURE'!$U$7:$U$3006,P99)="","",INDEX('CARNET DE SOUDURE'!$U$7:$U$3006,P99)))</f>
        <v/>
      </c>
      <c r="F99" s="82" t="str">
        <f aca="false">IF(OR(C99="",P99=""),"",INDEX('CARNET DE SOUDURE'!$AP$7:$AP$3006,P99))</f>
        <v/>
      </c>
      <c r="G99" s="82" t="str">
        <f aca="false">IF(C99="","",IF(P99="","NJ INCONNU",INDEX('CARNET DE SOUDURE'!$AQ$7:$AQ$3006,P99)))</f>
        <v>À SOUDER</v>
      </c>
      <c r="H99" s="82" t="str">
        <f aca="false">IF(C99="","",IF(G99="ACCEPTÉ","OUI","NON"))</f>
        <v>NON</v>
      </c>
      <c r="I99" s="83"/>
      <c r="J99" s="80"/>
      <c r="K99" s="81"/>
      <c r="L99" s="81"/>
      <c r="M99" s="81"/>
      <c r="N99" s="84" t="str">
        <f aca="false">IF(C99="","",IF(P99="","NJ INCONNU",IF(I99="",IF(H99="OUI","À ENROBER",IF(G99="À SOUDER","NON SOUDÉ","EN ATTENTE RT")),IF(L99="R","À REPRENDRE",IF(H99&lt;&gt;"OUI","⚠ ENROBÉ AVANT ACCEPTATION RT","ENROBÉ")))))</f>
        <v>NON SOUDÉ</v>
      </c>
      <c r="O99" s="80"/>
      <c r="P99" s="82" t="n">
        <f aca="false">IF(C99="","",IFERROR(MATCH(Q99,'CARNET DE SOUDURE'!$AW$7:$AW$3006,0),""))</f>
        <v>93</v>
      </c>
      <c r="Q99" s="82" t="str">
        <f aca="false">IF(C99="","",B99&amp;"|"&amp;C99)</f>
        <v>MFD-ISW → MFD-CPF|JN°093</v>
      </c>
    </row>
    <row r="100" customFormat="false" ht="74.6" hidden="false" customHeight="false" outlineLevel="0" collapsed="false">
      <c r="A100" s="82" t="n">
        <f aca="false">IF(C100="","",ROW()-6)</f>
        <v>94</v>
      </c>
      <c r="B100" s="80" t="s">
        <v>110</v>
      </c>
      <c r="C100" s="113" t="s">
        <v>204</v>
      </c>
      <c r="D100" s="82" t="str">
        <f aca="false">IF(OR(C100="",P100=""),"",INDEX('CARNET DE SOUDURE'!$D$7:$D$3006,P100)&amp;"")</f>
        <v/>
      </c>
      <c r="E100" s="114" t="str">
        <f aca="false">IF(OR(C100="",P100=""),"",IF(INDEX('CARNET DE SOUDURE'!$U$7:$U$3006,P100)="","",INDEX('CARNET DE SOUDURE'!$U$7:$U$3006,P100)))</f>
        <v/>
      </c>
      <c r="F100" s="82" t="str">
        <f aca="false">IF(OR(C100="",P100=""),"",INDEX('CARNET DE SOUDURE'!$AP$7:$AP$3006,P100))</f>
        <v/>
      </c>
      <c r="G100" s="82" t="str">
        <f aca="false">IF(C100="","",IF(P100="","NJ INCONNU",INDEX('CARNET DE SOUDURE'!$AQ$7:$AQ$3006,P100)))</f>
        <v>À SOUDER</v>
      </c>
      <c r="H100" s="82" t="str">
        <f aca="false">IF(C100="","",IF(G100="ACCEPTÉ","OUI","NON"))</f>
        <v>NON</v>
      </c>
      <c r="I100" s="83"/>
      <c r="J100" s="80"/>
      <c r="K100" s="81"/>
      <c r="L100" s="81"/>
      <c r="M100" s="81"/>
      <c r="N100" s="84" t="str">
        <f aca="false">IF(C100="","",IF(P100="","NJ INCONNU",IF(I100="",IF(H100="OUI","À ENROBER",IF(G100="À SOUDER","NON SOUDÉ","EN ATTENTE RT")),IF(L100="R","À REPRENDRE",IF(H100&lt;&gt;"OUI","⚠ ENROBÉ AVANT ACCEPTATION RT","ENROBÉ")))))</f>
        <v>NON SOUDÉ</v>
      </c>
      <c r="O100" s="80"/>
      <c r="P100" s="82" t="n">
        <f aca="false">IF(C100="","",IFERROR(MATCH(Q100,'CARNET DE SOUDURE'!$AW$7:$AW$3006,0),""))</f>
        <v>94</v>
      </c>
      <c r="Q100" s="82" t="str">
        <f aca="false">IF(C100="","",B100&amp;"|"&amp;C100)</f>
        <v>MFD-ISW → MFD-CPF|JN°094</v>
      </c>
    </row>
    <row r="101" customFormat="false" ht="74.6" hidden="false" customHeight="false" outlineLevel="0" collapsed="false">
      <c r="A101" s="82" t="n">
        <f aca="false">IF(C101="","",ROW()-6)</f>
        <v>95</v>
      </c>
      <c r="B101" s="80" t="s">
        <v>110</v>
      </c>
      <c r="C101" s="113" t="s">
        <v>205</v>
      </c>
      <c r="D101" s="82" t="str">
        <f aca="false">IF(OR(C101="",P101=""),"",INDEX('CARNET DE SOUDURE'!$D$7:$D$3006,P101)&amp;"")</f>
        <v/>
      </c>
      <c r="E101" s="114" t="str">
        <f aca="false">IF(OR(C101="",P101=""),"",IF(INDEX('CARNET DE SOUDURE'!$U$7:$U$3006,P101)="","",INDEX('CARNET DE SOUDURE'!$U$7:$U$3006,P101)))</f>
        <v/>
      </c>
      <c r="F101" s="82" t="str">
        <f aca="false">IF(OR(C101="",P101=""),"",INDEX('CARNET DE SOUDURE'!$AP$7:$AP$3006,P101))</f>
        <v/>
      </c>
      <c r="G101" s="82" t="str">
        <f aca="false">IF(C101="","",IF(P101="","NJ INCONNU",INDEX('CARNET DE SOUDURE'!$AQ$7:$AQ$3006,P101)))</f>
        <v>À SOUDER</v>
      </c>
      <c r="H101" s="82" t="str">
        <f aca="false">IF(C101="","",IF(G101="ACCEPTÉ","OUI","NON"))</f>
        <v>NON</v>
      </c>
      <c r="I101" s="83"/>
      <c r="J101" s="80"/>
      <c r="K101" s="81"/>
      <c r="L101" s="81"/>
      <c r="M101" s="81"/>
      <c r="N101" s="84" t="str">
        <f aca="false">IF(C101="","",IF(P101="","NJ INCONNU",IF(I101="",IF(H101="OUI","À ENROBER",IF(G101="À SOUDER","NON SOUDÉ","EN ATTENTE RT")),IF(L101="R","À REPRENDRE",IF(H101&lt;&gt;"OUI","⚠ ENROBÉ AVANT ACCEPTATION RT","ENROBÉ")))))</f>
        <v>NON SOUDÉ</v>
      </c>
      <c r="O101" s="80"/>
      <c r="P101" s="82" t="n">
        <f aca="false">IF(C101="","",IFERROR(MATCH(Q101,'CARNET DE SOUDURE'!$AW$7:$AW$3006,0),""))</f>
        <v>95</v>
      </c>
      <c r="Q101" s="82" t="str">
        <f aca="false">IF(C101="","",B101&amp;"|"&amp;C101)</f>
        <v>MFD-ISW → MFD-CPF|JN°095</v>
      </c>
    </row>
    <row r="102" customFormat="false" ht="74.6" hidden="false" customHeight="false" outlineLevel="0" collapsed="false">
      <c r="A102" s="82" t="n">
        <f aca="false">IF(C102="","",ROW()-6)</f>
        <v>96</v>
      </c>
      <c r="B102" s="80" t="s">
        <v>110</v>
      </c>
      <c r="C102" s="113" t="s">
        <v>206</v>
      </c>
      <c r="D102" s="82" t="str">
        <f aca="false">IF(OR(C102="",P102=""),"",INDEX('CARNET DE SOUDURE'!$D$7:$D$3006,P102)&amp;"")</f>
        <v/>
      </c>
      <c r="E102" s="114" t="str">
        <f aca="false">IF(OR(C102="",P102=""),"",IF(INDEX('CARNET DE SOUDURE'!$U$7:$U$3006,P102)="","",INDEX('CARNET DE SOUDURE'!$U$7:$U$3006,P102)))</f>
        <v/>
      </c>
      <c r="F102" s="82" t="str">
        <f aca="false">IF(OR(C102="",P102=""),"",INDEX('CARNET DE SOUDURE'!$AP$7:$AP$3006,P102))</f>
        <v/>
      </c>
      <c r="G102" s="82" t="str">
        <f aca="false">IF(C102="","",IF(P102="","NJ INCONNU",INDEX('CARNET DE SOUDURE'!$AQ$7:$AQ$3006,P102)))</f>
        <v>À SOUDER</v>
      </c>
      <c r="H102" s="82" t="str">
        <f aca="false">IF(C102="","",IF(G102="ACCEPTÉ","OUI","NON"))</f>
        <v>NON</v>
      </c>
      <c r="I102" s="83"/>
      <c r="J102" s="80"/>
      <c r="K102" s="81"/>
      <c r="L102" s="81"/>
      <c r="M102" s="81"/>
      <c r="N102" s="84" t="str">
        <f aca="false">IF(C102="","",IF(P102="","NJ INCONNU",IF(I102="",IF(H102="OUI","À ENROBER",IF(G102="À SOUDER","NON SOUDÉ","EN ATTENTE RT")),IF(L102="R","À REPRENDRE",IF(H102&lt;&gt;"OUI","⚠ ENROBÉ AVANT ACCEPTATION RT","ENROBÉ")))))</f>
        <v>NON SOUDÉ</v>
      </c>
      <c r="O102" s="80"/>
      <c r="P102" s="82" t="n">
        <f aca="false">IF(C102="","",IFERROR(MATCH(Q102,'CARNET DE SOUDURE'!$AW$7:$AW$3006,0),""))</f>
        <v>96</v>
      </c>
      <c r="Q102" s="82" t="str">
        <f aca="false">IF(C102="","",B102&amp;"|"&amp;C102)</f>
        <v>MFD-ISW → MFD-CPF|JN°096</v>
      </c>
    </row>
    <row r="103" customFormat="false" ht="74.6" hidden="false" customHeight="false" outlineLevel="0" collapsed="false">
      <c r="A103" s="82" t="n">
        <f aca="false">IF(C103="","",ROW()-6)</f>
        <v>97</v>
      </c>
      <c r="B103" s="80" t="s">
        <v>110</v>
      </c>
      <c r="C103" s="113" t="s">
        <v>207</v>
      </c>
      <c r="D103" s="82" t="str">
        <f aca="false">IF(OR(C103="",P103=""),"",INDEX('CARNET DE SOUDURE'!$D$7:$D$3006,P103)&amp;"")</f>
        <v/>
      </c>
      <c r="E103" s="114" t="str">
        <f aca="false">IF(OR(C103="",P103=""),"",IF(INDEX('CARNET DE SOUDURE'!$U$7:$U$3006,P103)="","",INDEX('CARNET DE SOUDURE'!$U$7:$U$3006,P103)))</f>
        <v/>
      </c>
      <c r="F103" s="82" t="str">
        <f aca="false">IF(OR(C103="",P103=""),"",INDEX('CARNET DE SOUDURE'!$AP$7:$AP$3006,P103))</f>
        <v/>
      </c>
      <c r="G103" s="82" t="str">
        <f aca="false">IF(C103="","",IF(P103="","NJ INCONNU",INDEX('CARNET DE SOUDURE'!$AQ$7:$AQ$3006,P103)))</f>
        <v>À SOUDER</v>
      </c>
      <c r="H103" s="82" t="str">
        <f aca="false">IF(C103="","",IF(G103="ACCEPTÉ","OUI","NON"))</f>
        <v>NON</v>
      </c>
      <c r="I103" s="83"/>
      <c r="J103" s="80"/>
      <c r="K103" s="81"/>
      <c r="L103" s="81"/>
      <c r="M103" s="81"/>
      <c r="N103" s="84" t="str">
        <f aca="false">IF(C103="","",IF(P103="","NJ INCONNU",IF(I103="",IF(H103="OUI","À ENROBER",IF(G103="À SOUDER","NON SOUDÉ","EN ATTENTE RT")),IF(L103="R","À REPRENDRE",IF(H103&lt;&gt;"OUI","⚠ ENROBÉ AVANT ACCEPTATION RT","ENROBÉ")))))</f>
        <v>NON SOUDÉ</v>
      </c>
      <c r="O103" s="80"/>
      <c r="P103" s="82" t="n">
        <f aca="false">IF(C103="","",IFERROR(MATCH(Q103,'CARNET DE SOUDURE'!$AW$7:$AW$3006,0),""))</f>
        <v>97</v>
      </c>
      <c r="Q103" s="82" t="str">
        <f aca="false">IF(C103="","",B103&amp;"|"&amp;C103)</f>
        <v>MFD-ISW → MFD-CPF|JN°097</v>
      </c>
    </row>
    <row r="104" customFormat="false" ht="74.6" hidden="false" customHeight="false" outlineLevel="0" collapsed="false">
      <c r="A104" s="82" t="n">
        <f aca="false">IF(C104="","",ROW()-6)</f>
        <v>98</v>
      </c>
      <c r="B104" s="80" t="s">
        <v>110</v>
      </c>
      <c r="C104" s="113" t="s">
        <v>208</v>
      </c>
      <c r="D104" s="82" t="str">
        <f aca="false">IF(OR(C104="",P104=""),"",INDEX('CARNET DE SOUDURE'!$D$7:$D$3006,P104)&amp;"")</f>
        <v/>
      </c>
      <c r="E104" s="114" t="str">
        <f aca="false">IF(OR(C104="",P104=""),"",IF(INDEX('CARNET DE SOUDURE'!$U$7:$U$3006,P104)="","",INDEX('CARNET DE SOUDURE'!$U$7:$U$3006,P104)))</f>
        <v/>
      </c>
      <c r="F104" s="82" t="str">
        <f aca="false">IF(OR(C104="",P104=""),"",INDEX('CARNET DE SOUDURE'!$AP$7:$AP$3006,P104))</f>
        <v/>
      </c>
      <c r="G104" s="82" t="str">
        <f aca="false">IF(C104="","",IF(P104="","NJ INCONNU",INDEX('CARNET DE SOUDURE'!$AQ$7:$AQ$3006,P104)))</f>
        <v>À SOUDER</v>
      </c>
      <c r="H104" s="82" t="str">
        <f aca="false">IF(C104="","",IF(G104="ACCEPTÉ","OUI","NON"))</f>
        <v>NON</v>
      </c>
      <c r="I104" s="83"/>
      <c r="J104" s="80"/>
      <c r="K104" s="81"/>
      <c r="L104" s="81"/>
      <c r="M104" s="81"/>
      <c r="N104" s="84" t="str">
        <f aca="false">IF(C104="","",IF(P104="","NJ INCONNU",IF(I104="",IF(H104="OUI","À ENROBER",IF(G104="À SOUDER","NON SOUDÉ","EN ATTENTE RT")),IF(L104="R","À REPRENDRE",IF(H104&lt;&gt;"OUI","⚠ ENROBÉ AVANT ACCEPTATION RT","ENROBÉ")))))</f>
        <v>NON SOUDÉ</v>
      </c>
      <c r="O104" s="80"/>
      <c r="P104" s="82" t="n">
        <f aca="false">IF(C104="","",IFERROR(MATCH(Q104,'CARNET DE SOUDURE'!$AW$7:$AW$3006,0),""))</f>
        <v>98</v>
      </c>
      <c r="Q104" s="82" t="str">
        <f aca="false">IF(C104="","",B104&amp;"|"&amp;C104)</f>
        <v>MFD-ISW → MFD-CPF|JN°098</v>
      </c>
    </row>
    <row r="105" customFormat="false" ht="74.6" hidden="false" customHeight="false" outlineLevel="0" collapsed="false">
      <c r="A105" s="82" t="n">
        <f aca="false">IF(C105="","",ROW()-6)</f>
        <v>99</v>
      </c>
      <c r="B105" s="80" t="s">
        <v>110</v>
      </c>
      <c r="C105" s="113" t="s">
        <v>209</v>
      </c>
      <c r="D105" s="82" t="str">
        <f aca="false">IF(OR(C105="",P105=""),"",INDEX('CARNET DE SOUDURE'!$D$7:$D$3006,P105)&amp;"")</f>
        <v/>
      </c>
      <c r="E105" s="114" t="str">
        <f aca="false">IF(OR(C105="",P105=""),"",IF(INDEX('CARNET DE SOUDURE'!$U$7:$U$3006,P105)="","",INDEX('CARNET DE SOUDURE'!$U$7:$U$3006,P105)))</f>
        <v/>
      </c>
      <c r="F105" s="82" t="str">
        <f aca="false">IF(OR(C105="",P105=""),"",INDEX('CARNET DE SOUDURE'!$AP$7:$AP$3006,P105))</f>
        <v/>
      </c>
      <c r="G105" s="82" t="str">
        <f aca="false">IF(C105="","",IF(P105="","NJ INCONNU",INDEX('CARNET DE SOUDURE'!$AQ$7:$AQ$3006,P105)))</f>
        <v>À SOUDER</v>
      </c>
      <c r="H105" s="82" t="str">
        <f aca="false">IF(C105="","",IF(G105="ACCEPTÉ","OUI","NON"))</f>
        <v>NON</v>
      </c>
      <c r="I105" s="83"/>
      <c r="J105" s="80"/>
      <c r="K105" s="81"/>
      <c r="L105" s="81"/>
      <c r="M105" s="81"/>
      <c r="N105" s="84" t="str">
        <f aca="false">IF(C105="","",IF(P105="","NJ INCONNU",IF(I105="",IF(H105="OUI","À ENROBER",IF(G105="À SOUDER","NON SOUDÉ","EN ATTENTE RT")),IF(L105="R","À REPRENDRE",IF(H105&lt;&gt;"OUI","⚠ ENROBÉ AVANT ACCEPTATION RT","ENROBÉ")))))</f>
        <v>NON SOUDÉ</v>
      </c>
      <c r="O105" s="80"/>
      <c r="P105" s="82" t="n">
        <f aca="false">IF(C105="","",IFERROR(MATCH(Q105,'CARNET DE SOUDURE'!$AW$7:$AW$3006,0),""))</f>
        <v>99</v>
      </c>
      <c r="Q105" s="82" t="str">
        <f aca="false">IF(C105="","",B105&amp;"|"&amp;C105)</f>
        <v>MFD-ISW → MFD-CPF|JN°099</v>
      </c>
    </row>
    <row r="106" customFormat="false" ht="74.6" hidden="false" customHeight="false" outlineLevel="0" collapsed="false">
      <c r="A106" s="82" t="n">
        <f aca="false">IF(C106="","",ROW()-6)</f>
        <v>100</v>
      </c>
      <c r="B106" s="80" t="s">
        <v>110</v>
      </c>
      <c r="C106" s="113" t="s">
        <v>210</v>
      </c>
      <c r="D106" s="82" t="str">
        <f aca="false">IF(OR(C106="",P106=""),"",INDEX('CARNET DE SOUDURE'!$D$7:$D$3006,P106)&amp;"")</f>
        <v/>
      </c>
      <c r="E106" s="114" t="str">
        <f aca="false">IF(OR(C106="",P106=""),"",IF(INDEX('CARNET DE SOUDURE'!$U$7:$U$3006,P106)="","",INDEX('CARNET DE SOUDURE'!$U$7:$U$3006,P106)))</f>
        <v/>
      </c>
      <c r="F106" s="82" t="str">
        <f aca="false">IF(OR(C106="",P106=""),"",INDEX('CARNET DE SOUDURE'!$AP$7:$AP$3006,P106))</f>
        <v/>
      </c>
      <c r="G106" s="82" t="str">
        <f aca="false">IF(C106="","",IF(P106="","NJ INCONNU",INDEX('CARNET DE SOUDURE'!$AQ$7:$AQ$3006,P106)))</f>
        <v>À SOUDER</v>
      </c>
      <c r="H106" s="82" t="str">
        <f aca="false">IF(C106="","",IF(G106="ACCEPTÉ","OUI","NON"))</f>
        <v>NON</v>
      </c>
      <c r="I106" s="83"/>
      <c r="J106" s="80"/>
      <c r="K106" s="81"/>
      <c r="L106" s="81"/>
      <c r="M106" s="81"/>
      <c r="N106" s="84" t="str">
        <f aca="false">IF(C106="","",IF(P106="","NJ INCONNU",IF(I106="",IF(H106="OUI","À ENROBER",IF(G106="À SOUDER","NON SOUDÉ","EN ATTENTE RT")),IF(L106="R","À REPRENDRE",IF(H106&lt;&gt;"OUI","⚠ ENROBÉ AVANT ACCEPTATION RT","ENROBÉ")))))</f>
        <v>NON SOUDÉ</v>
      </c>
      <c r="O106" s="80"/>
      <c r="P106" s="82" t="n">
        <f aca="false">IF(C106="","",IFERROR(MATCH(Q106,'CARNET DE SOUDURE'!$AW$7:$AW$3006,0),""))</f>
        <v>100</v>
      </c>
      <c r="Q106" s="82" t="str">
        <f aca="false">IF(C106="","",B106&amp;"|"&amp;C106)</f>
        <v>MFD-ISW → MFD-CPF|JN°100</v>
      </c>
    </row>
    <row r="107" customFormat="false" ht="74.6" hidden="false" customHeight="false" outlineLevel="0" collapsed="false">
      <c r="A107" s="82" t="n">
        <f aca="false">IF(C107="","",ROW()-6)</f>
        <v>101</v>
      </c>
      <c r="B107" s="80" t="s">
        <v>110</v>
      </c>
      <c r="C107" s="113" t="s">
        <v>211</v>
      </c>
      <c r="D107" s="82" t="str">
        <f aca="false">IF(OR(C107="",P107=""),"",INDEX('CARNET DE SOUDURE'!$D$7:$D$3006,P107)&amp;"")</f>
        <v/>
      </c>
      <c r="E107" s="114" t="str">
        <f aca="false">IF(OR(C107="",P107=""),"",IF(INDEX('CARNET DE SOUDURE'!$U$7:$U$3006,P107)="","",INDEX('CARNET DE SOUDURE'!$U$7:$U$3006,P107)))</f>
        <v/>
      </c>
      <c r="F107" s="82" t="str">
        <f aca="false">IF(OR(C107="",P107=""),"",INDEX('CARNET DE SOUDURE'!$AP$7:$AP$3006,P107))</f>
        <v/>
      </c>
      <c r="G107" s="82" t="str">
        <f aca="false">IF(C107="","",IF(P107="","NJ INCONNU",INDEX('CARNET DE SOUDURE'!$AQ$7:$AQ$3006,P107)))</f>
        <v>À SOUDER</v>
      </c>
      <c r="H107" s="82" t="str">
        <f aca="false">IF(C107="","",IF(G107="ACCEPTÉ","OUI","NON"))</f>
        <v>NON</v>
      </c>
      <c r="I107" s="83"/>
      <c r="J107" s="80"/>
      <c r="K107" s="81"/>
      <c r="L107" s="81"/>
      <c r="M107" s="81"/>
      <c r="N107" s="84" t="str">
        <f aca="false">IF(C107="","",IF(P107="","NJ INCONNU",IF(I107="",IF(H107="OUI","À ENROBER",IF(G107="À SOUDER","NON SOUDÉ","EN ATTENTE RT")),IF(L107="R","À REPRENDRE",IF(H107&lt;&gt;"OUI","⚠ ENROBÉ AVANT ACCEPTATION RT","ENROBÉ")))))</f>
        <v>NON SOUDÉ</v>
      </c>
      <c r="O107" s="80"/>
      <c r="P107" s="82" t="n">
        <f aca="false">IF(C107="","",IFERROR(MATCH(Q107,'CARNET DE SOUDURE'!$AW$7:$AW$3006,0),""))</f>
        <v>101</v>
      </c>
      <c r="Q107" s="82" t="str">
        <f aca="false">IF(C107="","",B107&amp;"|"&amp;C107)</f>
        <v>MFD-ISW → MFD-CPF|JN°101</v>
      </c>
    </row>
    <row r="108" customFormat="false" ht="74.6" hidden="false" customHeight="false" outlineLevel="0" collapsed="false">
      <c r="A108" s="82" t="n">
        <f aca="false">IF(C108="","",ROW()-6)</f>
        <v>102</v>
      </c>
      <c r="B108" s="80" t="s">
        <v>110</v>
      </c>
      <c r="C108" s="113" t="s">
        <v>212</v>
      </c>
      <c r="D108" s="82" t="str">
        <f aca="false">IF(OR(C108="",P108=""),"",INDEX('CARNET DE SOUDURE'!$D$7:$D$3006,P108)&amp;"")</f>
        <v/>
      </c>
      <c r="E108" s="114" t="str">
        <f aca="false">IF(OR(C108="",P108=""),"",IF(INDEX('CARNET DE SOUDURE'!$U$7:$U$3006,P108)="","",INDEX('CARNET DE SOUDURE'!$U$7:$U$3006,P108)))</f>
        <v/>
      </c>
      <c r="F108" s="82" t="str">
        <f aca="false">IF(OR(C108="",P108=""),"",INDEX('CARNET DE SOUDURE'!$AP$7:$AP$3006,P108))</f>
        <v/>
      </c>
      <c r="G108" s="82" t="str">
        <f aca="false">IF(C108="","",IF(P108="","NJ INCONNU",INDEX('CARNET DE SOUDURE'!$AQ$7:$AQ$3006,P108)))</f>
        <v>À SOUDER</v>
      </c>
      <c r="H108" s="82" t="str">
        <f aca="false">IF(C108="","",IF(G108="ACCEPTÉ","OUI","NON"))</f>
        <v>NON</v>
      </c>
      <c r="I108" s="83"/>
      <c r="J108" s="80"/>
      <c r="K108" s="81"/>
      <c r="L108" s="81"/>
      <c r="M108" s="81"/>
      <c r="N108" s="84" t="str">
        <f aca="false">IF(C108="","",IF(P108="","NJ INCONNU",IF(I108="",IF(H108="OUI","À ENROBER",IF(G108="À SOUDER","NON SOUDÉ","EN ATTENTE RT")),IF(L108="R","À REPRENDRE",IF(H108&lt;&gt;"OUI","⚠ ENROBÉ AVANT ACCEPTATION RT","ENROBÉ")))))</f>
        <v>NON SOUDÉ</v>
      </c>
      <c r="O108" s="80"/>
      <c r="P108" s="82" t="n">
        <f aca="false">IF(C108="","",IFERROR(MATCH(Q108,'CARNET DE SOUDURE'!$AW$7:$AW$3006,0),""))</f>
        <v>102</v>
      </c>
      <c r="Q108" s="82" t="str">
        <f aca="false">IF(C108="","",B108&amp;"|"&amp;C108)</f>
        <v>MFD-ISW → MFD-CPF|JN°102</v>
      </c>
    </row>
    <row r="109" customFormat="false" ht="74.6" hidden="false" customHeight="false" outlineLevel="0" collapsed="false">
      <c r="A109" s="82" t="n">
        <f aca="false">IF(C109="","",ROW()-6)</f>
        <v>103</v>
      </c>
      <c r="B109" s="80" t="s">
        <v>110</v>
      </c>
      <c r="C109" s="113" t="s">
        <v>213</v>
      </c>
      <c r="D109" s="82" t="str">
        <f aca="false">IF(OR(C109="",P109=""),"",INDEX('CARNET DE SOUDURE'!$D$7:$D$3006,P109)&amp;"")</f>
        <v/>
      </c>
      <c r="E109" s="114" t="str">
        <f aca="false">IF(OR(C109="",P109=""),"",IF(INDEX('CARNET DE SOUDURE'!$U$7:$U$3006,P109)="","",INDEX('CARNET DE SOUDURE'!$U$7:$U$3006,P109)))</f>
        <v/>
      </c>
      <c r="F109" s="82" t="str">
        <f aca="false">IF(OR(C109="",P109=""),"",INDEX('CARNET DE SOUDURE'!$AP$7:$AP$3006,P109))</f>
        <v/>
      </c>
      <c r="G109" s="82" t="str">
        <f aca="false">IF(C109="","",IF(P109="","NJ INCONNU",INDEX('CARNET DE SOUDURE'!$AQ$7:$AQ$3006,P109)))</f>
        <v>À SOUDER</v>
      </c>
      <c r="H109" s="82" t="str">
        <f aca="false">IF(C109="","",IF(G109="ACCEPTÉ","OUI","NON"))</f>
        <v>NON</v>
      </c>
      <c r="I109" s="83"/>
      <c r="J109" s="80"/>
      <c r="K109" s="81"/>
      <c r="L109" s="81"/>
      <c r="M109" s="81"/>
      <c r="N109" s="84" t="str">
        <f aca="false">IF(C109="","",IF(P109="","NJ INCONNU",IF(I109="",IF(H109="OUI","À ENROBER",IF(G109="À SOUDER","NON SOUDÉ","EN ATTENTE RT")),IF(L109="R","À REPRENDRE",IF(H109&lt;&gt;"OUI","⚠ ENROBÉ AVANT ACCEPTATION RT","ENROBÉ")))))</f>
        <v>NON SOUDÉ</v>
      </c>
      <c r="O109" s="80"/>
      <c r="P109" s="82" t="n">
        <f aca="false">IF(C109="","",IFERROR(MATCH(Q109,'CARNET DE SOUDURE'!$AW$7:$AW$3006,0),""))</f>
        <v>103</v>
      </c>
      <c r="Q109" s="82" t="str">
        <f aca="false">IF(C109="","",B109&amp;"|"&amp;C109)</f>
        <v>MFD-ISW → MFD-CPF|JN°103</v>
      </c>
    </row>
    <row r="110" customFormat="false" ht="74.6" hidden="false" customHeight="false" outlineLevel="0" collapsed="false">
      <c r="A110" s="82" t="n">
        <f aca="false">IF(C110="","",ROW()-6)</f>
        <v>104</v>
      </c>
      <c r="B110" s="80" t="s">
        <v>110</v>
      </c>
      <c r="C110" s="113" t="s">
        <v>214</v>
      </c>
      <c r="D110" s="82" t="str">
        <f aca="false">IF(OR(C110="",P110=""),"",INDEX('CARNET DE SOUDURE'!$D$7:$D$3006,P110)&amp;"")</f>
        <v/>
      </c>
      <c r="E110" s="114" t="str">
        <f aca="false">IF(OR(C110="",P110=""),"",IF(INDEX('CARNET DE SOUDURE'!$U$7:$U$3006,P110)="","",INDEX('CARNET DE SOUDURE'!$U$7:$U$3006,P110)))</f>
        <v/>
      </c>
      <c r="F110" s="82" t="str">
        <f aca="false">IF(OR(C110="",P110=""),"",INDEX('CARNET DE SOUDURE'!$AP$7:$AP$3006,P110))</f>
        <v/>
      </c>
      <c r="G110" s="82" t="str">
        <f aca="false">IF(C110="","",IF(P110="","NJ INCONNU",INDEX('CARNET DE SOUDURE'!$AQ$7:$AQ$3006,P110)))</f>
        <v>À SOUDER</v>
      </c>
      <c r="H110" s="82" t="str">
        <f aca="false">IF(C110="","",IF(G110="ACCEPTÉ","OUI","NON"))</f>
        <v>NON</v>
      </c>
      <c r="I110" s="83"/>
      <c r="J110" s="80"/>
      <c r="K110" s="81"/>
      <c r="L110" s="81"/>
      <c r="M110" s="81"/>
      <c r="N110" s="84" t="str">
        <f aca="false">IF(C110="","",IF(P110="","NJ INCONNU",IF(I110="",IF(H110="OUI","À ENROBER",IF(G110="À SOUDER","NON SOUDÉ","EN ATTENTE RT")),IF(L110="R","À REPRENDRE",IF(H110&lt;&gt;"OUI","⚠ ENROBÉ AVANT ACCEPTATION RT","ENROBÉ")))))</f>
        <v>NON SOUDÉ</v>
      </c>
      <c r="O110" s="80"/>
      <c r="P110" s="82" t="n">
        <f aca="false">IF(C110="","",IFERROR(MATCH(Q110,'CARNET DE SOUDURE'!$AW$7:$AW$3006,0),""))</f>
        <v>104</v>
      </c>
      <c r="Q110" s="82" t="str">
        <f aca="false">IF(C110="","",B110&amp;"|"&amp;C110)</f>
        <v>MFD-ISW → MFD-CPF|JN°104</v>
      </c>
    </row>
    <row r="111" customFormat="false" ht="74.6" hidden="false" customHeight="false" outlineLevel="0" collapsed="false">
      <c r="A111" s="82" t="n">
        <f aca="false">IF(C111="","",ROW()-6)</f>
        <v>105</v>
      </c>
      <c r="B111" s="80" t="s">
        <v>110</v>
      </c>
      <c r="C111" s="113" t="s">
        <v>215</v>
      </c>
      <c r="D111" s="82" t="str">
        <f aca="false">IF(OR(C111="",P111=""),"",INDEX('CARNET DE SOUDURE'!$D$7:$D$3006,P111)&amp;"")</f>
        <v/>
      </c>
      <c r="E111" s="114" t="str">
        <f aca="false">IF(OR(C111="",P111=""),"",IF(INDEX('CARNET DE SOUDURE'!$U$7:$U$3006,P111)="","",INDEX('CARNET DE SOUDURE'!$U$7:$U$3006,P111)))</f>
        <v/>
      </c>
      <c r="F111" s="82" t="str">
        <f aca="false">IF(OR(C111="",P111=""),"",INDEX('CARNET DE SOUDURE'!$AP$7:$AP$3006,P111))</f>
        <v/>
      </c>
      <c r="G111" s="82" t="str">
        <f aca="false">IF(C111="","",IF(P111="","NJ INCONNU",INDEX('CARNET DE SOUDURE'!$AQ$7:$AQ$3006,P111)))</f>
        <v>À SOUDER</v>
      </c>
      <c r="H111" s="82" t="str">
        <f aca="false">IF(C111="","",IF(G111="ACCEPTÉ","OUI","NON"))</f>
        <v>NON</v>
      </c>
      <c r="I111" s="83"/>
      <c r="J111" s="80"/>
      <c r="K111" s="81"/>
      <c r="L111" s="81"/>
      <c r="M111" s="81"/>
      <c r="N111" s="84" t="str">
        <f aca="false">IF(C111="","",IF(P111="","NJ INCONNU",IF(I111="",IF(H111="OUI","À ENROBER",IF(G111="À SOUDER","NON SOUDÉ","EN ATTENTE RT")),IF(L111="R","À REPRENDRE",IF(H111&lt;&gt;"OUI","⚠ ENROBÉ AVANT ACCEPTATION RT","ENROBÉ")))))</f>
        <v>NON SOUDÉ</v>
      </c>
      <c r="O111" s="80"/>
      <c r="P111" s="82" t="n">
        <f aca="false">IF(C111="","",IFERROR(MATCH(Q111,'CARNET DE SOUDURE'!$AW$7:$AW$3006,0),""))</f>
        <v>105</v>
      </c>
      <c r="Q111" s="82" t="str">
        <f aca="false">IF(C111="","",B111&amp;"|"&amp;C111)</f>
        <v>MFD-ISW → MFD-CPF|JN°105</v>
      </c>
    </row>
    <row r="112" customFormat="false" ht="74.6" hidden="false" customHeight="false" outlineLevel="0" collapsed="false">
      <c r="A112" s="82" t="n">
        <f aca="false">IF(C112="","",ROW()-6)</f>
        <v>106</v>
      </c>
      <c r="B112" s="80" t="s">
        <v>110</v>
      </c>
      <c r="C112" s="113" t="s">
        <v>216</v>
      </c>
      <c r="D112" s="82" t="str">
        <f aca="false">IF(OR(C112="",P112=""),"",INDEX('CARNET DE SOUDURE'!$D$7:$D$3006,P112)&amp;"")</f>
        <v/>
      </c>
      <c r="E112" s="114" t="str">
        <f aca="false">IF(OR(C112="",P112=""),"",IF(INDEX('CARNET DE SOUDURE'!$U$7:$U$3006,P112)="","",INDEX('CARNET DE SOUDURE'!$U$7:$U$3006,P112)))</f>
        <v/>
      </c>
      <c r="F112" s="82" t="str">
        <f aca="false">IF(OR(C112="",P112=""),"",INDEX('CARNET DE SOUDURE'!$AP$7:$AP$3006,P112))</f>
        <v/>
      </c>
      <c r="G112" s="82" t="str">
        <f aca="false">IF(C112="","",IF(P112="","NJ INCONNU",INDEX('CARNET DE SOUDURE'!$AQ$7:$AQ$3006,P112)))</f>
        <v>À SOUDER</v>
      </c>
      <c r="H112" s="82" t="str">
        <f aca="false">IF(C112="","",IF(G112="ACCEPTÉ","OUI","NON"))</f>
        <v>NON</v>
      </c>
      <c r="I112" s="83"/>
      <c r="J112" s="80"/>
      <c r="K112" s="81"/>
      <c r="L112" s="81"/>
      <c r="M112" s="81"/>
      <c r="N112" s="84" t="str">
        <f aca="false">IF(C112="","",IF(P112="","NJ INCONNU",IF(I112="",IF(H112="OUI","À ENROBER",IF(G112="À SOUDER","NON SOUDÉ","EN ATTENTE RT")),IF(L112="R","À REPRENDRE",IF(H112&lt;&gt;"OUI","⚠ ENROBÉ AVANT ACCEPTATION RT","ENROBÉ")))))</f>
        <v>NON SOUDÉ</v>
      </c>
      <c r="O112" s="80"/>
      <c r="P112" s="82" t="n">
        <f aca="false">IF(C112="","",IFERROR(MATCH(Q112,'CARNET DE SOUDURE'!$AW$7:$AW$3006,0),""))</f>
        <v>106</v>
      </c>
      <c r="Q112" s="82" t="str">
        <f aca="false">IF(C112="","",B112&amp;"|"&amp;C112)</f>
        <v>MFD-ISW → MFD-CPF|JN°106</v>
      </c>
    </row>
    <row r="113" customFormat="false" ht="74.6" hidden="false" customHeight="false" outlineLevel="0" collapsed="false">
      <c r="A113" s="82" t="n">
        <f aca="false">IF(C113="","",ROW()-6)</f>
        <v>107</v>
      </c>
      <c r="B113" s="80" t="s">
        <v>110</v>
      </c>
      <c r="C113" s="113" t="s">
        <v>217</v>
      </c>
      <c r="D113" s="82" t="str">
        <f aca="false">IF(OR(C113="",P113=""),"",INDEX('CARNET DE SOUDURE'!$D$7:$D$3006,P113)&amp;"")</f>
        <v/>
      </c>
      <c r="E113" s="114" t="str">
        <f aca="false">IF(OR(C113="",P113=""),"",IF(INDEX('CARNET DE SOUDURE'!$U$7:$U$3006,P113)="","",INDEX('CARNET DE SOUDURE'!$U$7:$U$3006,P113)))</f>
        <v/>
      </c>
      <c r="F113" s="82" t="str">
        <f aca="false">IF(OR(C113="",P113=""),"",INDEX('CARNET DE SOUDURE'!$AP$7:$AP$3006,P113))</f>
        <v/>
      </c>
      <c r="G113" s="82" t="str">
        <f aca="false">IF(C113="","",IF(P113="","NJ INCONNU",INDEX('CARNET DE SOUDURE'!$AQ$7:$AQ$3006,P113)))</f>
        <v>À SOUDER</v>
      </c>
      <c r="H113" s="82" t="str">
        <f aca="false">IF(C113="","",IF(G113="ACCEPTÉ","OUI","NON"))</f>
        <v>NON</v>
      </c>
      <c r="I113" s="83"/>
      <c r="J113" s="80"/>
      <c r="K113" s="81"/>
      <c r="L113" s="81"/>
      <c r="M113" s="81"/>
      <c r="N113" s="84" t="str">
        <f aca="false">IF(C113="","",IF(P113="","NJ INCONNU",IF(I113="",IF(H113="OUI","À ENROBER",IF(G113="À SOUDER","NON SOUDÉ","EN ATTENTE RT")),IF(L113="R","À REPRENDRE",IF(H113&lt;&gt;"OUI","⚠ ENROBÉ AVANT ACCEPTATION RT","ENROBÉ")))))</f>
        <v>NON SOUDÉ</v>
      </c>
      <c r="O113" s="80"/>
      <c r="P113" s="82" t="n">
        <f aca="false">IF(C113="","",IFERROR(MATCH(Q113,'CARNET DE SOUDURE'!$AW$7:$AW$3006,0),""))</f>
        <v>107</v>
      </c>
      <c r="Q113" s="82" t="str">
        <f aca="false">IF(C113="","",B113&amp;"|"&amp;C113)</f>
        <v>MFD-ISW → MFD-CPF|JN°107</v>
      </c>
    </row>
    <row r="114" customFormat="false" ht="74.6" hidden="false" customHeight="false" outlineLevel="0" collapsed="false">
      <c r="A114" s="82" t="n">
        <f aca="false">IF(C114="","",ROW()-6)</f>
        <v>108</v>
      </c>
      <c r="B114" s="80" t="s">
        <v>110</v>
      </c>
      <c r="C114" s="113" t="s">
        <v>218</v>
      </c>
      <c r="D114" s="82" t="str">
        <f aca="false">IF(OR(C114="",P114=""),"",INDEX('CARNET DE SOUDURE'!$D$7:$D$3006,P114)&amp;"")</f>
        <v/>
      </c>
      <c r="E114" s="114" t="str">
        <f aca="false">IF(OR(C114="",P114=""),"",IF(INDEX('CARNET DE SOUDURE'!$U$7:$U$3006,P114)="","",INDEX('CARNET DE SOUDURE'!$U$7:$U$3006,P114)))</f>
        <v/>
      </c>
      <c r="F114" s="82" t="str">
        <f aca="false">IF(OR(C114="",P114=""),"",INDEX('CARNET DE SOUDURE'!$AP$7:$AP$3006,P114))</f>
        <v/>
      </c>
      <c r="G114" s="82" t="str">
        <f aca="false">IF(C114="","",IF(P114="","NJ INCONNU",INDEX('CARNET DE SOUDURE'!$AQ$7:$AQ$3006,P114)))</f>
        <v>À SOUDER</v>
      </c>
      <c r="H114" s="82" t="str">
        <f aca="false">IF(C114="","",IF(G114="ACCEPTÉ","OUI","NON"))</f>
        <v>NON</v>
      </c>
      <c r="I114" s="83"/>
      <c r="J114" s="80"/>
      <c r="K114" s="81"/>
      <c r="L114" s="81"/>
      <c r="M114" s="81"/>
      <c r="N114" s="84" t="str">
        <f aca="false">IF(C114="","",IF(P114="","NJ INCONNU",IF(I114="",IF(H114="OUI","À ENROBER",IF(G114="À SOUDER","NON SOUDÉ","EN ATTENTE RT")),IF(L114="R","À REPRENDRE",IF(H114&lt;&gt;"OUI","⚠ ENROBÉ AVANT ACCEPTATION RT","ENROBÉ")))))</f>
        <v>NON SOUDÉ</v>
      </c>
      <c r="O114" s="80"/>
      <c r="P114" s="82" t="n">
        <f aca="false">IF(C114="","",IFERROR(MATCH(Q114,'CARNET DE SOUDURE'!$AW$7:$AW$3006,0),""))</f>
        <v>108</v>
      </c>
      <c r="Q114" s="82" t="str">
        <f aca="false">IF(C114="","",B114&amp;"|"&amp;C114)</f>
        <v>MFD-ISW → MFD-CPF|JN°108</v>
      </c>
    </row>
    <row r="115" customFormat="false" ht="74.6" hidden="false" customHeight="false" outlineLevel="0" collapsed="false">
      <c r="A115" s="82" t="n">
        <f aca="false">IF(C115="","",ROW()-6)</f>
        <v>109</v>
      </c>
      <c r="B115" s="80" t="s">
        <v>110</v>
      </c>
      <c r="C115" s="113" t="s">
        <v>219</v>
      </c>
      <c r="D115" s="82" t="str">
        <f aca="false">IF(OR(C115="",P115=""),"",INDEX('CARNET DE SOUDURE'!$D$7:$D$3006,P115)&amp;"")</f>
        <v/>
      </c>
      <c r="E115" s="114" t="str">
        <f aca="false">IF(OR(C115="",P115=""),"",IF(INDEX('CARNET DE SOUDURE'!$U$7:$U$3006,P115)="","",INDEX('CARNET DE SOUDURE'!$U$7:$U$3006,P115)))</f>
        <v/>
      </c>
      <c r="F115" s="82" t="str">
        <f aca="false">IF(OR(C115="",P115=""),"",INDEX('CARNET DE SOUDURE'!$AP$7:$AP$3006,P115))</f>
        <v/>
      </c>
      <c r="G115" s="82" t="str">
        <f aca="false">IF(C115="","",IF(P115="","NJ INCONNU",INDEX('CARNET DE SOUDURE'!$AQ$7:$AQ$3006,P115)))</f>
        <v>À SOUDER</v>
      </c>
      <c r="H115" s="82" t="str">
        <f aca="false">IF(C115="","",IF(G115="ACCEPTÉ","OUI","NON"))</f>
        <v>NON</v>
      </c>
      <c r="I115" s="83"/>
      <c r="J115" s="80"/>
      <c r="K115" s="81"/>
      <c r="L115" s="81"/>
      <c r="M115" s="81"/>
      <c r="N115" s="84" t="str">
        <f aca="false">IF(C115="","",IF(P115="","NJ INCONNU",IF(I115="",IF(H115="OUI","À ENROBER",IF(G115="À SOUDER","NON SOUDÉ","EN ATTENTE RT")),IF(L115="R","À REPRENDRE",IF(H115&lt;&gt;"OUI","⚠ ENROBÉ AVANT ACCEPTATION RT","ENROBÉ")))))</f>
        <v>NON SOUDÉ</v>
      </c>
      <c r="O115" s="80"/>
      <c r="P115" s="82" t="n">
        <f aca="false">IF(C115="","",IFERROR(MATCH(Q115,'CARNET DE SOUDURE'!$AW$7:$AW$3006,0),""))</f>
        <v>109</v>
      </c>
      <c r="Q115" s="82" t="str">
        <f aca="false">IF(C115="","",B115&amp;"|"&amp;C115)</f>
        <v>MFD-ISW → MFD-CPF|JN°109</v>
      </c>
    </row>
    <row r="116" customFormat="false" ht="74.6" hidden="false" customHeight="false" outlineLevel="0" collapsed="false">
      <c r="A116" s="82" t="n">
        <f aca="false">IF(C116="","",ROW()-6)</f>
        <v>110</v>
      </c>
      <c r="B116" s="80" t="s">
        <v>110</v>
      </c>
      <c r="C116" s="113" t="s">
        <v>220</v>
      </c>
      <c r="D116" s="82" t="str">
        <f aca="false">IF(OR(C116="",P116=""),"",INDEX('CARNET DE SOUDURE'!$D$7:$D$3006,P116)&amp;"")</f>
        <v/>
      </c>
      <c r="E116" s="114" t="str">
        <f aca="false">IF(OR(C116="",P116=""),"",IF(INDEX('CARNET DE SOUDURE'!$U$7:$U$3006,P116)="","",INDEX('CARNET DE SOUDURE'!$U$7:$U$3006,P116)))</f>
        <v/>
      </c>
      <c r="F116" s="82" t="str">
        <f aca="false">IF(OR(C116="",P116=""),"",INDEX('CARNET DE SOUDURE'!$AP$7:$AP$3006,P116))</f>
        <v/>
      </c>
      <c r="G116" s="82" t="str">
        <f aca="false">IF(C116="","",IF(P116="","NJ INCONNU",INDEX('CARNET DE SOUDURE'!$AQ$7:$AQ$3006,P116)))</f>
        <v>À SOUDER</v>
      </c>
      <c r="H116" s="82" t="str">
        <f aca="false">IF(C116="","",IF(G116="ACCEPTÉ","OUI","NON"))</f>
        <v>NON</v>
      </c>
      <c r="I116" s="83"/>
      <c r="J116" s="80"/>
      <c r="K116" s="81"/>
      <c r="L116" s="81"/>
      <c r="M116" s="81"/>
      <c r="N116" s="84" t="str">
        <f aca="false">IF(C116="","",IF(P116="","NJ INCONNU",IF(I116="",IF(H116="OUI","À ENROBER",IF(G116="À SOUDER","NON SOUDÉ","EN ATTENTE RT")),IF(L116="R","À REPRENDRE",IF(H116&lt;&gt;"OUI","⚠ ENROBÉ AVANT ACCEPTATION RT","ENROBÉ")))))</f>
        <v>NON SOUDÉ</v>
      </c>
      <c r="O116" s="80"/>
      <c r="P116" s="82" t="n">
        <f aca="false">IF(C116="","",IFERROR(MATCH(Q116,'CARNET DE SOUDURE'!$AW$7:$AW$3006,0),""))</f>
        <v>110</v>
      </c>
      <c r="Q116" s="82" t="str">
        <f aca="false">IF(C116="","",B116&amp;"|"&amp;C116)</f>
        <v>MFD-ISW → MFD-CPF|JN°110</v>
      </c>
    </row>
    <row r="117" customFormat="false" ht="74.6" hidden="false" customHeight="false" outlineLevel="0" collapsed="false">
      <c r="A117" s="82" t="n">
        <f aca="false">IF(C117="","",ROW()-6)</f>
        <v>111</v>
      </c>
      <c r="B117" s="80" t="s">
        <v>110</v>
      </c>
      <c r="C117" s="113" t="s">
        <v>221</v>
      </c>
      <c r="D117" s="82" t="str">
        <f aca="false">IF(OR(C117="",P117=""),"",INDEX('CARNET DE SOUDURE'!$D$7:$D$3006,P117)&amp;"")</f>
        <v/>
      </c>
      <c r="E117" s="114" t="str">
        <f aca="false">IF(OR(C117="",P117=""),"",IF(INDEX('CARNET DE SOUDURE'!$U$7:$U$3006,P117)="","",INDEX('CARNET DE SOUDURE'!$U$7:$U$3006,P117)))</f>
        <v/>
      </c>
      <c r="F117" s="82" t="str">
        <f aca="false">IF(OR(C117="",P117=""),"",INDEX('CARNET DE SOUDURE'!$AP$7:$AP$3006,P117))</f>
        <v/>
      </c>
      <c r="G117" s="82" t="str">
        <f aca="false">IF(C117="","",IF(P117="","NJ INCONNU",INDEX('CARNET DE SOUDURE'!$AQ$7:$AQ$3006,P117)))</f>
        <v>À SOUDER</v>
      </c>
      <c r="H117" s="82" t="str">
        <f aca="false">IF(C117="","",IF(G117="ACCEPTÉ","OUI","NON"))</f>
        <v>NON</v>
      </c>
      <c r="I117" s="83"/>
      <c r="J117" s="80"/>
      <c r="K117" s="81"/>
      <c r="L117" s="81"/>
      <c r="M117" s="81"/>
      <c r="N117" s="84" t="str">
        <f aca="false">IF(C117="","",IF(P117="","NJ INCONNU",IF(I117="",IF(H117="OUI","À ENROBER",IF(G117="À SOUDER","NON SOUDÉ","EN ATTENTE RT")),IF(L117="R","À REPRENDRE",IF(H117&lt;&gt;"OUI","⚠ ENROBÉ AVANT ACCEPTATION RT","ENROBÉ")))))</f>
        <v>NON SOUDÉ</v>
      </c>
      <c r="O117" s="80"/>
      <c r="P117" s="82" t="n">
        <f aca="false">IF(C117="","",IFERROR(MATCH(Q117,'CARNET DE SOUDURE'!$AW$7:$AW$3006,0),""))</f>
        <v>111</v>
      </c>
      <c r="Q117" s="82" t="str">
        <f aca="false">IF(C117="","",B117&amp;"|"&amp;C117)</f>
        <v>MFD-ISW → MFD-CPF|JN°111</v>
      </c>
    </row>
    <row r="118" customFormat="false" ht="74.6" hidden="false" customHeight="false" outlineLevel="0" collapsed="false">
      <c r="A118" s="82" t="n">
        <f aca="false">IF(C118="","",ROW()-6)</f>
        <v>112</v>
      </c>
      <c r="B118" s="80" t="s">
        <v>110</v>
      </c>
      <c r="C118" s="113" t="s">
        <v>222</v>
      </c>
      <c r="D118" s="82" t="str">
        <f aca="false">IF(OR(C118="",P118=""),"",INDEX('CARNET DE SOUDURE'!$D$7:$D$3006,P118)&amp;"")</f>
        <v/>
      </c>
      <c r="E118" s="114" t="str">
        <f aca="false">IF(OR(C118="",P118=""),"",IF(INDEX('CARNET DE SOUDURE'!$U$7:$U$3006,P118)="","",INDEX('CARNET DE SOUDURE'!$U$7:$U$3006,P118)))</f>
        <v/>
      </c>
      <c r="F118" s="82" t="str">
        <f aca="false">IF(OR(C118="",P118=""),"",INDEX('CARNET DE SOUDURE'!$AP$7:$AP$3006,P118))</f>
        <v/>
      </c>
      <c r="G118" s="82" t="str">
        <f aca="false">IF(C118="","",IF(P118="","NJ INCONNU",INDEX('CARNET DE SOUDURE'!$AQ$7:$AQ$3006,P118)))</f>
        <v>À SOUDER</v>
      </c>
      <c r="H118" s="82" t="str">
        <f aca="false">IF(C118="","",IF(G118="ACCEPTÉ","OUI","NON"))</f>
        <v>NON</v>
      </c>
      <c r="I118" s="83"/>
      <c r="J118" s="80"/>
      <c r="K118" s="81"/>
      <c r="L118" s="81"/>
      <c r="M118" s="81"/>
      <c r="N118" s="84" t="str">
        <f aca="false">IF(C118="","",IF(P118="","NJ INCONNU",IF(I118="",IF(H118="OUI","À ENROBER",IF(G118="À SOUDER","NON SOUDÉ","EN ATTENTE RT")),IF(L118="R","À REPRENDRE",IF(H118&lt;&gt;"OUI","⚠ ENROBÉ AVANT ACCEPTATION RT","ENROBÉ")))))</f>
        <v>NON SOUDÉ</v>
      </c>
      <c r="O118" s="80"/>
      <c r="P118" s="82" t="n">
        <f aca="false">IF(C118="","",IFERROR(MATCH(Q118,'CARNET DE SOUDURE'!$AW$7:$AW$3006,0),""))</f>
        <v>112</v>
      </c>
      <c r="Q118" s="82" t="str">
        <f aca="false">IF(C118="","",B118&amp;"|"&amp;C118)</f>
        <v>MFD-ISW → MFD-CPF|JN°112</v>
      </c>
    </row>
    <row r="119" customFormat="false" ht="74.6" hidden="false" customHeight="false" outlineLevel="0" collapsed="false">
      <c r="A119" s="82" t="n">
        <f aca="false">IF(C119="","",ROW()-6)</f>
        <v>113</v>
      </c>
      <c r="B119" s="80" t="s">
        <v>110</v>
      </c>
      <c r="C119" s="113" t="s">
        <v>223</v>
      </c>
      <c r="D119" s="82" t="str">
        <f aca="false">IF(OR(C119="",P119=""),"",INDEX('CARNET DE SOUDURE'!$D$7:$D$3006,P119)&amp;"")</f>
        <v/>
      </c>
      <c r="E119" s="114" t="str">
        <f aca="false">IF(OR(C119="",P119=""),"",IF(INDEX('CARNET DE SOUDURE'!$U$7:$U$3006,P119)="","",INDEX('CARNET DE SOUDURE'!$U$7:$U$3006,P119)))</f>
        <v/>
      </c>
      <c r="F119" s="82" t="str">
        <f aca="false">IF(OR(C119="",P119=""),"",INDEX('CARNET DE SOUDURE'!$AP$7:$AP$3006,P119))</f>
        <v/>
      </c>
      <c r="G119" s="82" t="str">
        <f aca="false">IF(C119="","",IF(P119="","NJ INCONNU",INDEX('CARNET DE SOUDURE'!$AQ$7:$AQ$3006,P119)))</f>
        <v>À SOUDER</v>
      </c>
      <c r="H119" s="82" t="str">
        <f aca="false">IF(C119="","",IF(G119="ACCEPTÉ","OUI","NON"))</f>
        <v>NON</v>
      </c>
      <c r="I119" s="83"/>
      <c r="J119" s="80"/>
      <c r="K119" s="81"/>
      <c r="L119" s="81"/>
      <c r="M119" s="81"/>
      <c r="N119" s="84" t="str">
        <f aca="false">IF(C119="","",IF(P119="","NJ INCONNU",IF(I119="",IF(H119="OUI","À ENROBER",IF(G119="À SOUDER","NON SOUDÉ","EN ATTENTE RT")),IF(L119="R","À REPRENDRE",IF(H119&lt;&gt;"OUI","⚠ ENROBÉ AVANT ACCEPTATION RT","ENROBÉ")))))</f>
        <v>NON SOUDÉ</v>
      </c>
      <c r="O119" s="80"/>
      <c r="P119" s="82" t="n">
        <f aca="false">IF(C119="","",IFERROR(MATCH(Q119,'CARNET DE SOUDURE'!$AW$7:$AW$3006,0),""))</f>
        <v>113</v>
      </c>
      <c r="Q119" s="82" t="str">
        <f aca="false">IF(C119="","",B119&amp;"|"&amp;C119)</f>
        <v>MFD-ISW → MFD-CPF|JN°113</v>
      </c>
    </row>
    <row r="120" customFormat="false" ht="74.6" hidden="false" customHeight="false" outlineLevel="0" collapsed="false">
      <c r="A120" s="82" t="n">
        <f aca="false">IF(C120="","",ROW()-6)</f>
        <v>114</v>
      </c>
      <c r="B120" s="80" t="s">
        <v>110</v>
      </c>
      <c r="C120" s="113" t="s">
        <v>224</v>
      </c>
      <c r="D120" s="82" t="str">
        <f aca="false">IF(OR(C120="",P120=""),"",INDEX('CARNET DE SOUDURE'!$D$7:$D$3006,P120)&amp;"")</f>
        <v/>
      </c>
      <c r="E120" s="114" t="str">
        <f aca="false">IF(OR(C120="",P120=""),"",IF(INDEX('CARNET DE SOUDURE'!$U$7:$U$3006,P120)="","",INDEX('CARNET DE SOUDURE'!$U$7:$U$3006,P120)))</f>
        <v/>
      </c>
      <c r="F120" s="82" t="str">
        <f aca="false">IF(OR(C120="",P120=""),"",INDEX('CARNET DE SOUDURE'!$AP$7:$AP$3006,P120))</f>
        <v/>
      </c>
      <c r="G120" s="82" t="str">
        <f aca="false">IF(C120="","",IF(P120="","NJ INCONNU",INDEX('CARNET DE SOUDURE'!$AQ$7:$AQ$3006,P120)))</f>
        <v>À SOUDER</v>
      </c>
      <c r="H120" s="82" t="str">
        <f aca="false">IF(C120="","",IF(G120="ACCEPTÉ","OUI","NON"))</f>
        <v>NON</v>
      </c>
      <c r="I120" s="83"/>
      <c r="J120" s="80"/>
      <c r="K120" s="81"/>
      <c r="L120" s="81"/>
      <c r="M120" s="81"/>
      <c r="N120" s="84" t="str">
        <f aca="false">IF(C120="","",IF(P120="","NJ INCONNU",IF(I120="",IF(H120="OUI","À ENROBER",IF(G120="À SOUDER","NON SOUDÉ","EN ATTENTE RT")),IF(L120="R","À REPRENDRE",IF(H120&lt;&gt;"OUI","⚠ ENROBÉ AVANT ACCEPTATION RT","ENROBÉ")))))</f>
        <v>NON SOUDÉ</v>
      </c>
      <c r="O120" s="80"/>
      <c r="P120" s="82" t="n">
        <f aca="false">IF(C120="","",IFERROR(MATCH(Q120,'CARNET DE SOUDURE'!$AW$7:$AW$3006,0),""))</f>
        <v>114</v>
      </c>
      <c r="Q120" s="82" t="str">
        <f aca="false">IF(C120="","",B120&amp;"|"&amp;C120)</f>
        <v>MFD-ISW → MFD-CPF|JN°114</v>
      </c>
    </row>
    <row r="121" customFormat="false" ht="74.6" hidden="false" customHeight="false" outlineLevel="0" collapsed="false">
      <c r="A121" s="82" t="n">
        <f aca="false">IF(C121="","",ROW()-6)</f>
        <v>115</v>
      </c>
      <c r="B121" s="80" t="s">
        <v>110</v>
      </c>
      <c r="C121" s="113" t="s">
        <v>225</v>
      </c>
      <c r="D121" s="82" t="str">
        <f aca="false">IF(OR(C121="",P121=""),"",INDEX('CARNET DE SOUDURE'!$D$7:$D$3006,P121)&amp;"")</f>
        <v/>
      </c>
      <c r="E121" s="114" t="str">
        <f aca="false">IF(OR(C121="",P121=""),"",IF(INDEX('CARNET DE SOUDURE'!$U$7:$U$3006,P121)="","",INDEX('CARNET DE SOUDURE'!$U$7:$U$3006,P121)))</f>
        <v/>
      </c>
      <c r="F121" s="82" t="str">
        <f aca="false">IF(OR(C121="",P121=""),"",INDEX('CARNET DE SOUDURE'!$AP$7:$AP$3006,P121))</f>
        <v/>
      </c>
      <c r="G121" s="82" t="str">
        <f aca="false">IF(C121="","",IF(P121="","NJ INCONNU",INDEX('CARNET DE SOUDURE'!$AQ$7:$AQ$3006,P121)))</f>
        <v>À SOUDER</v>
      </c>
      <c r="H121" s="82" t="str">
        <f aca="false">IF(C121="","",IF(G121="ACCEPTÉ","OUI","NON"))</f>
        <v>NON</v>
      </c>
      <c r="I121" s="83"/>
      <c r="J121" s="80"/>
      <c r="K121" s="81"/>
      <c r="L121" s="81"/>
      <c r="M121" s="81"/>
      <c r="N121" s="84" t="str">
        <f aca="false">IF(C121="","",IF(P121="","NJ INCONNU",IF(I121="",IF(H121="OUI","À ENROBER",IF(G121="À SOUDER","NON SOUDÉ","EN ATTENTE RT")),IF(L121="R","À REPRENDRE",IF(H121&lt;&gt;"OUI","⚠ ENROBÉ AVANT ACCEPTATION RT","ENROBÉ")))))</f>
        <v>NON SOUDÉ</v>
      </c>
      <c r="O121" s="80"/>
      <c r="P121" s="82" t="n">
        <f aca="false">IF(C121="","",IFERROR(MATCH(Q121,'CARNET DE SOUDURE'!$AW$7:$AW$3006,0),""))</f>
        <v>115</v>
      </c>
      <c r="Q121" s="82" t="str">
        <f aca="false">IF(C121="","",B121&amp;"|"&amp;C121)</f>
        <v>MFD-ISW → MFD-CPF|JN°115</v>
      </c>
    </row>
    <row r="122" customFormat="false" ht="74.6" hidden="false" customHeight="false" outlineLevel="0" collapsed="false">
      <c r="A122" s="82" t="n">
        <f aca="false">IF(C122="","",ROW()-6)</f>
        <v>116</v>
      </c>
      <c r="B122" s="80" t="s">
        <v>110</v>
      </c>
      <c r="C122" s="113" t="s">
        <v>226</v>
      </c>
      <c r="D122" s="82" t="str">
        <f aca="false">IF(OR(C122="",P122=""),"",INDEX('CARNET DE SOUDURE'!$D$7:$D$3006,P122)&amp;"")</f>
        <v/>
      </c>
      <c r="E122" s="114" t="str">
        <f aca="false">IF(OR(C122="",P122=""),"",IF(INDEX('CARNET DE SOUDURE'!$U$7:$U$3006,P122)="","",INDEX('CARNET DE SOUDURE'!$U$7:$U$3006,P122)))</f>
        <v/>
      </c>
      <c r="F122" s="82" t="str">
        <f aca="false">IF(OR(C122="",P122=""),"",INDEX('CARNET DE SOUDURE'!$AP$7:$AP$3006,P122))</f>
        <v/>
      </c>
      <c r="G122" s="82" t="str">
        <f aca="false">IF(C122="","",IF(P122="","NJ INCONNU",INDEX('CARNET DE SOUDURE'!$AQ$7:$AQ$3006,P122)))</f>
        <v>À SOUDER</v>
      </c>
      <c r="H122" s="82" t="str">
        <f aca="false">IF(C122="","",IF(G122="ACCEPTÉ","OUI","NON"))</f>
        <v>NON</v>
      </c>
      <c r="I122" s="83"/>
      <c r="J122" s="80"/>
      <c r="K122" s="81"/>
      <c r="L122" s="81"/>
      <c r="M122" s="81"/>
      <c r="N122" s="84" t="str">
        <f aca="false">IF(C122="","",IF(P122="","NJ INCONNU",IF(I122="",IF(H122="OUI","À ENROBER",IF(G122="À SOUDER","NON SOUDÉ","EN ATTENTE RT")),IF(L122="R","À REPRENDRE",IF(H122&lt;&gt;"OUI","⚠ ENROBÉ AVANT ACCEPTATION RT","ENROBÉ")))))</f>
        <v>NON SOUDÉ</v>
      </c>
      <c r="O122" s="80"/>
      <c r="P122" s="82" t="n">
        <f aca="false">IF(C122="","",IFERROR(MATCH(Q122,'CARNET DE SOUDURE'!$AW$7:$AW$3006,0),""))</f>
        <v>116</v>
      </c>
      <c r="Q122" s="82" t="str">
        <f aca="false">IF(C122="","",B122&amp;"|"&amp;C122)</f>
        <v>MFD-ISW → MFD-CPF|JN°116</v>
      </c>
    </row>
    <row r="123" customFormat="false" ht="74.6" hidden="false" customHeight="false" outlineLevel="0" collapsed="false">
      <c r="A123" s="82" t="n">
        <f aca="false">IF(C123="","",ROW()-6)</f>
        <v>117</v>
      </c>
      <c r="B123" s="80" t="s">
        <v>110</v>
      </c>
      <c r="C123" s="113" t="s">
        <v>227</v>
      </c>
      <c r="D123" s="82" t="str">
        <f aca="false">IF(OR(C123="",P123=""),"",INDEX('CARNET DE SOUDURE'!$D$7:$D$3006,P123)&amp;"")</f>
        <v/>
      </c>
      <c r="E123" s="114" t="str">
        <f aca="false">IF(OR(C123="",P123=""),"",IF(INDEX('CARNET DE SOUDURE'!$U$7:$U$3006,P123)="","",INDEX('CARNET DE SOUDURE'!$U$7:$U$3006,P123)))</f>
        <v/>
      </c>
      <c r="F123" s="82" t="str">
        <f aca="false">IF(OR(C123="",P123=""),"",INDEX('CARNET DE SOUDURE'!$AP$7:$AP$3006,P123))</f>
        <v/>
      </c>
      <c r="G123" s="82" t="str">
        <f aca="false">IF(C123="","",IF(P123="","NJ INCONNU",INDEX('CARNET DE SOUDURE'!$AQ$7:$AQ$3006,P123)))</f>
        <v>À SOUDER</v>
      </c>
      <c r="H123" s="82" t="str">
        <f aca="false">IF(C123="","",IF(G123="ACCEPTÉ","OUI","NON"))</f>
        <v>NON</v>
      </c>
      <c r="I123" s="83"/>
      <c r="J123" s="80"/>
      <c r="K123" s="81"/>
      <c r="L123" s="81"/>
      <c r="M123" s="81"/>
      <c r="N123" s="84" t="str">
        <f aca="false">IF(C123="","",IF(P123="","NJ INCONNU",IF(I123="",IF(H123="OUI","À ENROBER",IF(G123="À SOUDER","NON SOUDÉ","EN ATTENTE RT")),IF(L123="R","À REPRENDRE",IF(H123&lt;&gt;"OUI","⚠ ENROBÉ AVANT ACCEPTATION RT","ENROBÉ")))))</f>
        <v>NON SOUDÉ</v>
      </c>
      <c r="O123" s="80"/>
      <c r="P123" s="82" t="n">
        <f aca="false">IF(C123="","",IFERROR(MATCH(Q123,'CARNET DE SOUDURE'!$AW$7:$AW$3006,0),""))</f>
        <v>117</v>
      </c>
      <c r="Q123" s="82" t="str">
        <f aca="false">IF(C123="","",B123&amp;"|"&amp;C123)</f>
        <v>MFD-ISW → MFD-CPF|JN°117</v>
      </c>
    </row>
    <row r="124" customFormat="false" ht="74.6" hidden="false" customHeight="false" outlineLevel="0" collapsed="false">
      <c r="A124" s="82" t="n">
        <f aca="false">IF(C124="","",ROW()-6)</f>
        <v>118</v>
      </c>
      <c r="B124" s="80" t="s">
        <v>110</v>
      </c>
      <c r="C124" s="113" t="s">
        <v>228</v>
      </c>
      <c r="D124" s="82" t="str">
        <f aca="false">IF(OR(C124="",P124=""),"",INDEX('CARNET DE SOUDURE'!$D$7:$D$3006,P124)&amp;"")</f>
        <v/>
      </c>
      <c r="E124" s="114" t="str">
        <f aca="false">IF(OR(C124="",P124=""),"",IF(INDEX('CARNET DE SOUDURE'!$U$7:$U$3006,P124)="","",INDEX('CARNET DE SOUDURE'!$U$7:$U$3006,P124)))</f>
        <v/>
      </c>
      <c r="F124" s="82" t="str">
        <f aca="false">IF(OR(C124="",P124=""),"",INDEX('CARNET DE SOUDURE'!$AP$7:$AP$3006,P124))</f>
        <v/>
      </c>
      <c r="G124" s="82" t="str">
        <f aca="false">IF(C124="","",IF(P124="","NJ INCONNU",INDEX('CARNET DE SOUDURE'!$AQ$7:$AQ$3006,P124)))</f>
        <v>À SOUDER</v>
      </c>
      <c r="H124" s="82" t="str">
        <f aca="false">IF(C124="","",IF(G124="ACCEPTÉ","OUI","NON"))</f>
        <v>NON</v>
      </c>
      <c r="I124" s="83"/>
      <c r="J124" s="80"/>
      <c r="K124" s="81"/>
      <c r="L124" s="81"/>
      <c r="M124" s="81"/>
      <c r="N124" s="84" t="str">
        <f aca="false">IF(C124="","",IF(P124="","NJ INCONNU",IF(I124="",IF(H124="OUI","À ENROBER",IF(G124="À SOUDER","NON SOUDÉ","EN ATTENTE RT")),IF(L124="R","À REPRENDRE",IF(H124&lt;&gt;"OUI","⚠ ENROBÉ AVANT ACCEPTATION RT","ENROBÉ")))))</f>
        <v>NON SOUDÉ</v>
      </c>
      <c r="O124" s="80"/>
      <c r="P124" s="82" t="n">
        <f aca="false">IF(C124="","",IFERROR(MATCH(Q124,'CARNET DE SOUDURE'!$AW$7:$AW$3006,0),""))</f>
        <v>118</v>
      </c>
      <c r="Q124" s="82" t="str">
        <f aca="false">IF(C124="","",B124&amp;"|"&amp;C124)</f>
        <v>MFD-ISW → MFD-CPF|JN°118</v>
      </c>
    </row>
    <row r="125" customFormat="false" ht="74.6" hidden="false" customHeight="false" outlineLevel="0" collapsed="false">
      <c r="A125" s="82" t="n">
        <f aca="false">IF(C125="","",ROW()-6)</f>
        <v>119</v>
      </c>
      <c r="B125" s="80" t="s">
        <v>110</v>
      </c>
      <c r="C125" s="113" t="s">
        <v>229</v>
      </c>
      <c r="D125" s="82" t="str">
        <f aca="false">IF(OR(C125="",P125=""),"",INDEX('CARNET DE SOUDURE'!$D$7:$D$3006,P125)&amp;"")</f>
        <v/>
      </c>
      <c r="E125" s="114" t="str">
        <f aca="false">IF(OR(C125="",P125=""),"",IF(INDEX('CARNET DE SOUDURE'!$U$7:$U$3006,P125)="","",INDEX('CARNET DE SOUDURE'!$U$7:$U$3006,P125)))</f>
        <v/>
      </c>
      <c r="F125" s="82" t="str">
        <f aca="false">IF(OR(C125="",P125=""),"",INDEX('CARNET DE SOUDURE'!$AP$7:$AP$3006,P125))</f>
        <v/>
      </c>
      <c r="G125" s="82" t="str">
        <f aca="false">IF(C125="","",IF(P125="","NJ INCONNU",INDEX('CARNET DE SOUDURE'!$AQ$7:$AQ$3006,P125)))</f>
        <v>À SOUDER</v>
      </c>
      <c r="H125" s="82" t="str">
        <f aca="false">IF(C125="","",IF(G125="ACCEPTÉ","OUI","NON"))</f>
        <v>NON</v>
      </c>
      <c r="I125" s="83"/>
      <c r="J125" s="80"/>
      <c r="K125" s="81"/>
      <c r="L125" s="81"/>
      <c r="M125" s="81"/>
      <c r="N125" s="84" t="str">
        <f aca="false">IF(C125="","",IF(P125="","NJ INCONNU",IF(I125="",IF(H125="OUI","À ENROBER",IF(G125="À SOUDER","NON SOUDÉ","EN ATTENTE RT")),IF(L125="R","À REPRENDRE",IF(H125&lt;&gt;"OUI","⚠ ENROBÉ AVANT ACCEPTATION RT","ENROBÉ")))))</f>
        <v>NON SOUDÉ</v>
      </c>
      <c r="O125" s="80"/>
      <c r="P125" s="82" t="n">
        <f aca="false">IF(C125="","",IFERROR(MATCH(Q125,'CARNET DE SOUDURE'!$AW$7:$AW$3006,0),""))</f>
        <v>119</v>
      </c>
      <c r="Q125" s="82" t="str">
        <f aca="false">IF(C125="","",B125&amp;"|"&amp;C125)</f>
        <v>MFD-ISW → MFD-CPF|JN°119</v>
      </c>
    </row>
    <row r="126" customFormat="false" ht="74.6" hidden="false" customHeight="false" outlineLevel="0" collapsed="false">
      <c r="A126" s="82" t="n">
        <f aca="false">IF(C126="","",ROW()-6)</f>
        <v>120</v>
      </c>
      <c r="B126" s="80" t="s">
        <v>110</v>
      </c>
      <c r="C126" s="113" t="s">
        <v>230</v>
      </c>
      <c r="D126" s="82" t="str">
        <f aca="false">IF(OR(C126="",P126=""),"",INDEX('CARNET DE SOUDURE'!$D$7:$D$3006,P126)&amp;"")</f>
        <v/>
      </c>
      <c r="E126" s="114" t="str">
        <f aca="false">IF(OR(C126="",P126=""),"",IF(INDEX('CARNET DE SOUDURE'!$U$7:$U$3006,P126)="","",INDEX('CARNET DE SOUDURE'!$U$7:$U$3006,P126)))</f>
        <v/>
      </c>
      <c r="F126" s="82" t="str">
        <f aca="false">IF(OR(C126="",P126=""),"",INDEX('CARNET DE SOUDURE'!$AP$7:$AP$3006,P126))</f>
        <v/>
      </c>
      <c r="G126" s="82" t="str">
        <f aca="false">IF(C126="","",IF(P126="","NJ INCONNU",INDEX('CARNET DE SOUDURE'!$AQ$7:$AQ$3006,P126)))</f>
        <v>À SOUDER</v>
      </c>
      <c r="H126" s="82" t="str">
        <f aca="false">IF(C126="","",IF(G126="ACCEPTÉ","OUI","NON"))</f>
        <v>NON</v>
      </c>
      <c r="I126" s="83"/>
      <c r="J126" s="80"/>
      <c r="K126" s="81"/>
      <c r="L126" s="81"/>
      <c r="M126" s="81"/>
      <c r="N126" s="84" t="str">
        <f aca="false">IF(C126="","",IF(P126="","NJ INCONNU",IF(I126="",IF(H126="OUI","À ENROBER",IF(G126="À SOUDER","NON SOUDÉ","EN ATTENTE RT")),IF(L126="R","À REPRENDRE",IF(H126&lt;&gt;"OUI","⚠ ENROBÉ AVANT ACCEPTATION RT","ENROBÉ")))))</f>
        <v>NON SOUDÉ</v>
      </c>
      <c r="O126" s="80"/>
      <c r="P126" s="82" t="n">
        <f aca="false">IF(C126="","",IFERROR(MATCH(Q126,'CARNET DE SOUDURE'!$AW$7:$AW$3006,0),""))</f>
        <v>120</v>
      </c>
      <c r="Q126" s="82" t="str">
        <f aca="false">IF(C126="","",B126&amp;"|"&amp;C126)</f>
        <v>MFD-ISW → MFD-CPF|JN°120</v>
      </c>
    </row>
    <row r="127" customFormat="false" ht="74.6" hidden="false" customHeight="false" outlineLevel="0" collapsed="false">
      <c r="A127" s="82" t="n">
        <f aca="false">IF(C127="","",ROW()-6)</f>
        <v>121</v>
      </c>
      <c r="B127" s="80" t="s">
        <v>110</v>
      </c>
      <c r="C127" s="113" t="s">
        <v>231</v>
      </c>
      <c r="D127" s="82" t="str">
        <f aca="false">IF(OR(C127="",P127=""),"",INDEX('CARNET DE SOUDURE'!$D$7:$D$3006,P127)&amp;"")</f>
        <v/>
      </c>
      <c r="E127" s="114" t="str">
        <f aca="false">IF(OR(C127="",P127=""),"",IF(INDEX('CARNET DE SOUDURE'!$U$7:$U$3006,P127)="","",INDEX('CARNET DE SOUDURE'!$U$7:$U$3006,P127)))</f>
        <v/>
      </c>
      <c r="F127" s="82" t="str">
        <f aca="false">IF(OR(C127="",P127=""),"",INDEX('CARNET DE SOUDURE'!$AP$7:$AP$3006,P127))</f>
        <v/>
      </c>
      <c r="G127" s="82" t="str">
        <f aca="false">IF(C127="","",IF(P127="","NJ INCONNU",INDEX('CARNET DE SOUDURE'!$AQ$7:$AQ$3006,P127)))</f>
        <v>À SOUDER</v>
      </c>
      <c r="H127" s="82" t="str">
        <f aca="false">IF(C127="","",IF(G127="ACCEPTÉ","OUI","NON"))</f>
        <v>NON</v>
      </c>
      <c r="I127" s="83"/>
      <c r="J127" s="80"/>
      <c r="K127" s="81"/>
      <c r="L127" s="81"/>
      <c r="M127" s="81"/>
      <c r="N127" s="84" t="str">
        <f aca="false">IF(C127="","",IF(P127="","NJ INCONNU",IF(I127="",IF(H127="OUI","À ENROBER",IF(G127="À SOUDER","NON SOUDÉ","EN ATTENTE RT")),IF(L127="R","À REPRENDRE",IF(H127&lt;&gt;"OUI","⚠ ENROBÉ AVANT ACCEPTATION RT","ENROBÉ")))))</f>
        <v>NON SOUDÉ</v>
      </c>
      <c r="O127" s="80"/>
      <c r="P127" s="82" t="n">
        <f aca="false">IF(C127="","",IFERROR(MATCH(Q127,'CARNET DE SOUDURE'!$AW$7:$AW$3006,0),""))</f>
        <v>121</v>
      </c>
      <c r="Q127" s="82" t="str">
        <f aca="false">IF(C127="","",B127&amp;"|"&amp;C127)</f>
        <v>MFD-ISW → MFD-CPF|JN°121</v>
      </c>
    </row>
    <row r="128" customFormat="false" ht="74.6" hidden="false" customHeight="false" outlineLevel="0" collapsed="false">
      <c r="A128" s="82" t="n">
        <f aca="false">IF(C128="","",ROW()-6)</f>
        <v>122</v>
      </c>
      <c r="B128" s="80" t="s">
        <v>110</v>
      </c>
      <c r="C128" s="113" t="s">
        <v>232</v>
      </c>
      <c r="D128" s="82" t="str">
        <f aca="false">IF(OR(C128="",P128=""),"",INDEX('CARNET DE SOUDURE'!$D$7:$D$3006,P128)&amp;"")</f>
        <v/>
      </c>
      <c r="E128" s="114" t="str">
        <f aca="false">IF(OR(C128="",P128=""),"",IF(INDEX('CARNET DE SOUDURE'!$U$7:$U$3006,P128)="","",INDEX('CARNET DE SOUDURE'!$U$7:$U$3006,P128)))</f>
        <v/>
      </c>
      <c r="F128" s="82" t="str">
        <f aca="false">IF(OR(C128="",P128=""),"",INDEX('CARNET DE SOUDURE'!$AP$7:$AP$3006,P128))</f>
        <v/>
      </c>
      <c r="G128" s="82" t="str">
        <f aca="false">IF(C128="","",IF(P128="","NJ INCONNU",INDEX('CARNET DE SOUDURE'!$AQ$7:$AQ$3006,P128)))</f>
        <v>À SOUDER</v>
      </c>
      <c r="H128" s="82" t="str">
        <f aca="false">IF(C128="","",IF(G128="ACCEPTÉ","OUI","NON"))</f>
        <v>NON</v>
      </c>
      <c r="I128" s="83"/>
      <c r="J128" s="80"/>
      <c r="K128" s="81"/>
      <c r="L128" s="81"/>
      <c r="M128" s="81"/>
      <c r="N128" s="84" t="str">
        <f aca="false">IF(C128="","",IF(P128="","NJ INCONNU",IF(I128="",IF(H128="OUI","À ENROBER",IF(G128="À SOUDER","NON SOUDÉ","EN ATTENTE RT")),IF(L128="R","À REPRENDRE",IF(H128&lt;&gt;"OUI","⚠ ENROBÉ AVANT ACCEPTATION RT","ENROBÉ")))))</f>
        <v>NON SOUDÉ</v>
      </c>
      <c r="O128" s="80"/>
      <c r="P128" s="82" t="n">
        <f aca="false">IF(C128="","",IFERROR(MATCH(Q128,'CARNET DE SOUDURE'!$AW$7:$AW$3006,0),""))</f>
        <v>122</v>
      </c>
      <c r="Q128" s="82" t="str">
        <f aca="false">IF(C128="","",B128&amp;"|"&amp;C128)</f>
        <v>MFD-ISW → MFD-CPF|JN°122</v>
      </c>
    </row>
    <row r="129" customFormat="false" ht="74.6" hidden="false" customHeight="false" outlineLevel="0" collapsed="false">
      <c r="A129" s="82" t="n">
        <f aca="false">IF(C129="","",ROW()-6)</f>
        <v>123</v>
      </c>
      <c r="B129" s="80" t="s">
        <v>110</v>
      </c>
      <c r="C129" s="113" t="s">
        <v>233</v>
      </c>
      <c r="D129" s="82" t="str">
        <f aca="false">IF(OR(C129="",P129=""),"",INDEX('CARNET DE SOUDURE'!$D$7:$D$3006,P129)&amp;"")</f>
        <v/>
      </c>
      <c r="E129" s="114" t="str">
        <f aca="false">IF(OR(C129="",P129=""),"",IF(INDEX('CARNET DE SOUDURE'!$U$7:$U$3006,P129)="","",INDEX('CARNET DE SOUDURE'!$U$7:$U$3006,P129)))</f>
        <v/>
      </c>
      <c r="F129" s="82" t="str">
        <f aca="false">IF(OR(C129="",P129=""),"",INDEX('CARNET DE SOUDURE'!$AP$7:$AP$3006,P129))</f>
        <v/>
      </c>
      <c r="G129" s="82" t="str">
        <f aca="false">IF(C129="","",IF(P129="","NJ INCONNU",INDEX('CARNET DE SOUDURE'!$AQ$7:$AQ$3006,P129)))</f>
        <v>À SOUDER</v>
      </c>
      <c r="H129" s="82" t="str">
        <f aca="false">IF(C129="","",IF(G129="ACCEPTÉ","OUI","NON"))</f>
        <v>NON</v>
      </c>
      <c r="I129" s="83"/>
      <c r="J129" s="80"/>
      <c r="K129" s="81"/>
      <c r="L129" s="81"/>
      <c r="M129" s="81"/>
      <c r="N129" s="84" t="str">
        <f aca="false">IF(C129="","",IF(P129="","NJ INCONNU",IF(I129="",IF(H129="OUI","À ENROBER",IF(G129="À SOUDER","NON SOUDÉ","EN ATTENTE RT")),IF(L129="R","À REPRENDRE",IF(H129&lt;&gt;"OUI","⚠ ENROBÉ AVANT ACCEPTATION RT","ENROBÉ")))))</f>
        <v>NON SOUDÉ</v>
      </c>
      <c r="O129" s="80"/>
      <c r="P129" s="82" t="n">
        <f aca="false">IF(C129="","",IFERROR(MATCH(Q129,'CARNET DE SOUDURE'!$AW$7:$AW$3006,0),""))</f>
        <v>123</v>
      </c>
      <c r="Q129" s="82" t="str">
        <f aca="false">IF(C129="","",B129&amp;"|"&amp;C129)</f>
        <v>MFD-ISW → MFD-CPF|JN°123</v>
      </c>
    </row>
    <row r="130" customFormat="false" ht="74.6" hidden="false" customHeight="false" outlineLevel="0" collapsed="false">
      <c r="A130" s="82" t="n">
        <f aca="false">IF(C130="","",ROW()-6)</f>
        <v>124</v>
      </c>
      <c r="B130" s="80" t="s">
        <v>110</v>
      </c>
      <c r="C130" s="113" t="s">
        <v>234</v>
      </c>
      <c r="D130" s="82" t="str">
        <f aca="false">IF(OR(C130="",P130=""),"",INDEX('CARNET DE SOUDURE'!$D$7:$D$3006,P130)&amp;"")</f>
        <v/>
      </c>
      <c r="E130" s="114" t="str">
        <f aca="false">IF(OR(C130="",P130=""),"",IF(INDEX('CARNET DE SOUDURE'!$U$7:$U$3006,P130)="","",INDEX('CARNET DE SOUDURE'!$U$7:$U$3006,P130)))</f>
        <v/>
      </c>
      <c r="F130" s="82" t="str">
        <f aca="false">IF(OR(C130="",P130=""),"",INDEX('CARNET DE SOUDURE'!$AP$7:$AP$3006,P130))</f>
        <v/>
      </c>
      <c r="G130" s="82" t="str">
        <f aca="false">IF(C130="","",IF(P130="","NJ INCONNU",INDEX('CARNET DE SOUDURE'!$AQ$7:$AQ$3006,P130)))</f>
        <v>À SOUDER</v>
      </c>
      <c r="H130" s="82" t="str">
        <f aca="false">IF(C130="","",IF(G130="ACCEPTÉ","OUI","NON"))</f>
        <v>NON</v>
      </c>
      <c r="I130" s="83"/>
      <c r="J130" s="80"/>
      <c r="K130" s="81"/>
      <c r="L130" s="81"/>
      <c r="M130" s="81"/>
      <c r="N130" s="84" t="str">
        <f aca="false">IF(C130="","",IF(P130="","NJ INCONNU",IF(I130="",IF(H130="OUI","À ENROBER",IF(G130="À SOUDER","NON SOUDÉ","EN ATTENTE RT")),IF(L130="R","À REPRENDRE",IF(H130&lt;&gt;"OUI","⚠ ENROBÉ AVANT ACCEPTATION RT","ENROBÉ")))))</f>
        <v>NON SOUDÉ</v>
      </c>
      <c r="O130" s="80"/>
      <c r="P130" s="82" t="n">
        <f aca="false">IF(C130="","",IFERROR(MATCH(Q130,'CARNET DE SOUDURE'!$AW$7:$AW$3006,0),""))</f>
        <v>124</v>
      </c>
      <c r="Q130" s="82" t="str">
        <f aca="false">IF(C130="","",B130&amp;"|"&amp;C130)</f>
        <v>MFD-ISW → MFD-CPF|JN°124</v>
      </c>
    </row>
    <row r="131" customFormat="false" ht="74.6" hidden="false" customHeight="false" outlineLevel="0" collapsed="false">
      <c r="A131" s="82" t="n">
        <f aca="false">IF(C131="","",ROW()-6)</f>
        <v>125</v>
      </c>
      <c r="B131" s="80" t="s">
        <v>110</v>
      </c>
      <c r="C131" s="113" t="s">
        <v>235</v>
      </c>
      <c r="D131" s="82" t="str">
        <f aca="false">IF(OR(C131="",P131=""),"",INDEX('CARNET DE SOUDURE'!$D$7:$D$3006,P131)&amp;"")</f>
        <v/>
      </c>
      <c r="E131" s="114" t="str">
        <f aca="false">IF(OR(C131="",P131=""),"",IF(INDEX('CARNET DE SOUDURE'!$U$7:$U$3006,P131)="","",INDEX('CARNET DE SOUDURE'!$U$7:$U$3006,P131)))</f>
        <v/>
      </c>
      <c r="F131" s="82" t="str">
        <f aca="false">IF(OR(C131="",P131=""),"",INDEX('CARNET DE SOUDURE'!$AP$7:$AP$3006,P131))</f>
        <v/>
      </c>
      <c r="G131" s="82" t="str">
        <f aca="false">IF(C131="","",IF(P131="","NJ INCONNU",INDEX('CARNET DE SOUDURE'!$AQ$7:$AQ$3006,P131)))</f>
        <v>À SOUDER</v>
      </c>
      <c r="H131" s="82" t="str">
        <f aca="false">IF(C131="","",IF(G131="ACCEPTÉ","OUI","NON"))</f>
        <v>NON</v>
      </c>
      <c r="I131" s="83"/>
      <c r="J131" s="80"/>
      <c r="K131" s="81"/>
      <c r="L131" s="81"/>
      <c r="M131" s="81"/>
      <c r="N131" s="84" t="str">
        <f aca="false">IF(C131="","",IF(P131="","NJ INCONNU",IF(I131="",IF(H131="OUI","À ENROBER",IF(G131="À SOUDER","NON SOUDÉ","EN ATTENTE RT")),IF(L131="R","À REPRENDRE",IF(H131&lt;&gt;"OUI","⚠ ENROBÉ AVANT ACCEPTATION RT","ENROBÉ")))))</f>
        <v>NON SOUDÉ</v>
      </c>
      <c r="O131" s="80"/>
      <c r="P131" s="82" t="n">
        <f aca="false">IF(C131="","",IFERROR(MATCH(Q131,'CARNET DE SOUDURE'!$AW$7:$AW$3006,0),""))</f>
        <v>125</v>
      </c>
      <c r="Q131" s="82" t="str">
        <f aca="false">IF(C131="","",B131&amp;"|"&amp;C131)</f>
        <v>MFD-ISW → MFD-CPF|JN°125</v>
      </c>
    </row>
    <row r="132" customFormat="false" ht="74.6" hidden="false" customHeight="false" outlineLevel="0" collapsed="false">
      <c r="A132" s="82" t="n">
        <f aca="false">IF(C132="","",ROW()-6)</f>
        <v>126</v>
      </c>
      <c r="B132" s="80" t="s">
        <v>110</v>
      </c>
      <c r="C132" s="113" t="s">
        <v>236</v>
      </c>
      <c r="D132" s="82" t="str">
        <f aca="false">IF(OR(C132="",P132=""),"",INDEX('CARNET DE SOUDURE'!$D$7:$D$3006,P132)&amp;"")</f>
        <v/>
      </c>
      <c r="E132" s="114" t="str">
        <f aca="false">IF(OR(C132="",P132=""),"",IF(INDEX('CARNET DE SOUDURE'!$U$7:$U$3006,P132)="","",INDEX('CARNET DE SOUDURE'!$U$7:$U$3006,P132)))</f>
        <v/>
      </c>
      <c r="F132" s="82" t="str">
        <f aca="false">IF(OR(C132="",P132=""),"",INDEX('CARNET DE SOUDURE'!$AP$7:$AP$3006,P132))</f>
        <v/>
      </c>
      <c r="G132" s="82" t="str">
        <f aca="false">IF(C132="","",IF(P132="","NJ INCONNU",INDEX('CARNET DE SOUDURE'!$AQ$7:$AQ$3006,P132)))</f>
        <v>À SOUDER</v>
      </c>
      <c r="H132" s="82" t="str">
        <f aca="false">IF(C132="","",IF(G132="ACCEPTÉ","OUI","NON"))</f>
        <v>NON</v>
      </c>
      <c r="I132" s="83"/>
      <c r="J132" s="80"/>
      <c r="K132" s="81"/>
      <c r="L132" s="81"/>
      <c r="M132" s="81"/>
      <c r="N132" s="84" t="str">
        <f aca="false">IF(C132="","",IF(P132="","NJ INCONNU",IF(I132="",IF(H132="OUI","À ENROBER",IF(G132="À SOUDER","NON SOUDÉ","EN ATTENTE RT")),IF(L132="R","À REPRENDRE",IF(H132&lt;&gt;"OUI","⚠ ENROBÉ AVANT ACCEPTATION RT","ENROBÉ")))))</f>
        <v>NON SOUDÉ</v>
      </c>
      <c r="O132" s="80"/>
      <c r="P132" s="82" t="n">
        <f aca="false">IF(C132="","",IFERROR(MATCH(Q132,'CARNET DE SOUDURE'!$AW$7:$AW$3006,0),""))</f>
        <v>126</v>
      </c>
      <c r="Q132" s="82" t="str">
        <f aca="false">IF(C132="","",B132&amp;"|"&amp;C132)</f>
        <v>MFD-ISW → MFD-CPF|JN°126</v>
      </c>
    </row>
    <row r="133" customFormat="false" ht="74.6" hidden="false" customHeight="false" outlineLevel="0" collapsed="false">
      <c r="A133" s="82" t="n">
        <f aca="false">IF(C133="","",ROW()-6)</f>
        <v>127</v>
      </c>
      <c r="B133" s="80" t="s">
        <v>110</v>
      </c>
      <c r="C133" s="113" t="s">
        <v>237</v>
      </c>
      <c r="D133" s="82" t="str">
        <f aca="false">IF(OR(C133="",P133=""),"",INDEX('CARNET DE SOUDURE'!$D$7:$D$3006,P133)&amp;"")</f>
        <v/>
      </c>
      <c r="E133" s="114" t="str">
        <f aca="false">IF(OR(C133="",P133=""),"",IF(INDEX('CARNET DE SOUDURE'!$U$7:$U$3006,P133)="","",INDEX('CARNET DE SOUDURE'!$U$7:$U$3006,P133)))</f>
        <v/>
      </c>
      <c r="F133" s="82" t="str">
        <f aca="false">IF(OR(C133="",P133=""),"",INDEX('CARNET DE SOUDURE'!$AP$7:$AP$3006,P133))</f>
        <v/>
      </c>
      <c r="G133" s="82" t="str">
        <f aca="false">IF(C133="","",IF(P133="","NJ INCONNU",INDEX('CARNET DE SOUDURE'!$AQ$7:$AQ$3006,P133)))</f>
        <v>À SOUDER</v>
      </c>
      <c r="H133" s="82" t="str">
        <f aca="false">IF(C133="","",IF(G133="ACCEPTÉ","OUI","NON"))</f>
        <v>NON</v>
      </c>
      <c r="I133" s="83"/>
      <c r="J133" s="80"/>
      <c r="K133" s="81"/>
      <c r="L133" s="81"/>
      <c r="M133" s="81"/>
      <c r="N133" s="84" t="str">
        <f aca="false">IF(C133="","",IF(P133="","NJ INCONNU",IF(I133="",IF(H133="OUI","À ENROBER",IF(G133="À SOUDER","NON SOUDÉ","EN ATTENTE RT")),IF(L133="R","À REPRENDRE",IF(H133&lt;&gt;"OUI","⚠ ENROBÉ AVANT ACCEPTATION RT","ENROBÉ")))))</f>
        <v>NON SOUDÉ</v>
      </c>
      <c r="O133" s="80"/>
      <c r="P133" s="82" t="n">
        <f aca="false">IF(C133="","",IFERROR(MATCH(Q133,'CARNET DE SOUDURE'!$AW$7:$AW$3006,0),""))</f>
        <v>127</v>
      </c>
      <c r="Q133" s="82" t="str">
        <f aca="false">IF(C133="","",B133&amp;"|"&amp;C133)</f>
        <v>MFD-ISW → MFD-CPF|JN°127</v>
      </c>
    </row>
    <row r="134" customFormat="false" ht="74.6" hidden="false" customHeight="false" outlineLevel="0" collapsed="false">
      <c r="A134" s="82" t="n">
        <f aca="false">IF(C134="","",ROW()-6)</f>
        <v>128</v>
      </c>
      <c r="B134" s="80" t="s">
        <v>110</v>
      </c>
      <c r="C134" s="113" t="s">
        <v>238</v>
      </c>
      <c r="D134" s="82" t="str">
        <f aca="false">IF(OR(C134="",P134=""),"",INDEX('CARNET DE SOUDURE'!$D$7:$D$3006,P134)&amp;"")</f>
        <v/>
      </c>
      <c r="E134" s="114" t="str">
        <f aca="false">IF(OR(C134="",P134=""),"",IF(INDEX('CARNET DE SOUDURE'!$U$7:$U$3006,P134)="","",INDEX('CARNET DE SOUDURE'!$U$7:$U$3006,P134)))</f>
        <v/>
      </c>
      <c r="F134" s="82" t="str">
        <f aca="false">IF(OR(C134="",P134=""),"",INDEX('CARNET DE SOUDURE'!$AP$7:$AP$3006,P134))</f>
        <v/>
      </c>
      <c r="G134" s="82" t="str">
        <f aca="false">IF(C134="","",IF(P134="","NJ INCONNU",INDEX('CARNET DE SOUDURE'!$AQ$7:$AQ$3006,P134)))</f>
        <v>À SOUDER</v>
      </c>
      <c r="H134" s="82" t="str">
        <f aca="false">IF(C134="","",IF(G134="ACCEPTÉ","OUI","NON"))</f>
        <v>NON</v>
      </c>
      <c r="I134" s="83"/>
      <c r="J134" s="80"/>
      <c r="K134" s="81"/>
      <c r="L134" s="81"/>
      <c r="M134" s="81"/>
      <c r="N134" s="84" t="str">
        <f aca="false">IF(C134="","",IF(P134="","NJ INCONNU",IF(I134="",IF(H134="OUI","À ENROBER",IF(G134="À SOUDER","NON SOUDÉ","EN ATTENTE RT")),IF(L134="R","À REPRENDRE",IF(H134&lt;&gt;"OUI","⚠ ENROBÉ AVANT ACCEPTATION RT","ENROBÉ")))))</f>
        <v>NON SOUDÉ</v>
      </c>
      <c r="O134" s="80"/>
      <c r="P134" s="82" t="n">
        <f aca="false">IF(C134="","",IFERROR(MATCH(Q134,'CARNET DE SOUDURE'!$AW$7:$AW$3006,0),""))</f>
        <v>128</v>
      </c>
      <c r="Q134" s="82" t="str">
        <f aca="false">IF(C134="","",B134&amp;"|"&amp;C134)</f>
        <v>MFD-ISW → MFD-CPF|JN°128</v>
      </c>
    </row>
    <row r="135" customFormat="false" ht="74.6" hidden="false" customHeight="false" outlineLevel="0" collapsed="false">
      <c r="A135" s="82" t="n">
        <f aca="false">IF(C135="","",ROW()-6)</f>
        <v>129</v>
      </c>
      <c r="B135" s="80" t="s">
        <v>110</v>
      </c>
      <c r="C135" s="113" t="s">
        <v>239</v>
      </c>
      <c r="D135" s="82" t="str">
        <f aca="false">IF(OR(C135="",P135=""),"",INDEX('CARNET DE SOUDURE'!$D$7:$D$3006,P135)&amp;"")</f>
        <v/>
      </c>
      <c r="E135" s="114" t="str">
        <f aca="false">IF(OR(C135="",P135=""),"",IF(INDEX('CARNET DE SOUDURE'!$U$7:$U$3006,P135)="","",INDEX('CARNET DE SOUDURE'!$U$7:$U$3006,P135)))</f>
        <v/>
      </c>
      <c r="F135" s="82" t="str">
        <f aca="false">IF(OR(C135="",P135=""),"",INDEX('CARNET DE SOUDURE'!$AP$7:$AP$3006,P135))</f>
        <v/>
      </c>
      <c r="G135" s="82" t="str">
        <f aca="false">IF(C135="","",IF(P135="","NJ INCONNU",INDEX('CARNET DE SOUDURE'!$AQ$7:$AQ$3006,P135)))</f>
        <v>À SOUDER</v>
      </c>
      <c r="H135" s="82" t="str">
        <f aca="false">IF(C135="","",IF(G135="ACCEPTÉ","OUI","NON"))</f>
        <v>NON</v>
      </c>
      <c r="I135" s="83"/>
      <c r="J135" s="80"/>
      <c r="K135" s="81"/>
      <c r="L135" s="81"/>
      <c r="M135" s="81"/>
      <c r="N135" s="84" t="str">
        <f aca="false">IF(C135="","",IF(P135="","NJ INCONNU",IF(I135="",IF(H135="OUI","À ENROBER",IF(G135="À SOUDER","NON SOUDÉ","EN ATTENTE RT")),IF(L135="R","À REPRENDRE",IF(H135&lt;&gt;"OUI","⚠ ENROBÉ AVANT ACCEPTATION RT","ENROBÉ")))))</f>
        <v>NON SOUDÉ</v>
      </c>
      <c r="O135" s="80"/>
      <c r="P135" s="82" t="n">
        <f aca="false">IF(C135="","",IFERROR(MATCH(Q135,'CARNET DE SOUDURE'!$AW$7:$AW$3006,0),""))</f>
        <v>129</v>
      </c>
      <c r="Q135" s="82" t="str">
        <f aca="false">IF(C135="","",B135&amp;"|"&amp;C135)</f>
        <v>MFD-ISW → MFD-CPF|JN°129</v>
      </c>
    </row>
    <row r="136" customFormat="false" ht="74.6" hidden="false" customHeight="false" outlineLevel="0" collapsed="false">
      <c r="A136" s="82" t="n">
        <f aca="false">IF(C136="","",ROW()-6)</f>
        <v>130</v>
      </c>
      <c r="B136" s="80" t="s">
        <v>110</v>
      </c>
      <c r="C136" s="113" t="s">
        <v>240</v>
      </c>
      <c r="D136" s="82" t="str">
        <f aca="false">IF(OR(C136="",P136=""),"",INDEX('CARNET DE SOUDURE'!$D$7:$D$3006,P136)&amp;"")</f>
        <v/>
      </c>
      <c r="E136" s="114" t="str">
        <f aca="false">IF(OR(C136="",P136=""),"",IF(INDEX('CARNET DE SOUDURE'!$U$7:$U$3006,P136)="","",INDEX('CARNET DE SOUDURE'!$U$7:$U$3006,P136)))</f>
        <v/>
      </c>
      <c r="F136" s="82" t="str">
        <f aca="false">IF(OR(C136="",P136=""),"",INDEX('CARNET DE SOUDURE'!$AP$7:$AP$3006,P136))</f>
        <v/>
      </c>
      <c r="G136" s="82" t="str">
        <f aca="false">IF(C136="","",IF(P136="","NJ INCONNU",INDEX('CARNET DE SOUDURE'!$AQ$7:$AQ$3006,P136)))</f>
        <v>À SOUDER</v>
      </c>
      <c r="H136" s="82" t="str">
        <f aca="false">IF(C136="","",IF(G136="ACCEPTÉ","OUI","NON"))</f>
        <v>NON</v>
      </c>
      <c r="I136" s="83"/>
      <c r="J136" s="80"/>
      <c r="K136" s="81"/>
      <c r="L136" s="81"/>
      <c r="M136" s="81"/>
      <c r="N136" s="84" t="str">
        <f aca="false">IF(C136="","",IF(P136="","NJ INCONNU",IF(I136="",IF(H136="OUI","À ENROBER",IF(G136="À SOUDER","NON SOUDÉ","EN ATTENTE RT")),IF(L136="R","À REPRENDRE",IF(H136&lt;&gt;"OUI","⚠ ENROBÉ AVANT ACCEPTATION RT","ENROBÉ")))))</f>
        <v>NON SOUDÉ</v>
      </c>
      <c r="O136" s="80"/>
      <c r="P136" s="82" t="n">
        <f aca="false">IF(C136="","",IFERROR(MATCH(Q136,'CARNET DE SOUDURE'!$AW$7:$AW$3006,0),""))</f>
        <v>130</v>
      </c>
      <c r="Q136" s="82" t="str">
        <f aca="false">IF(C136="","",B136&amp;"|"&amp;C136)</f>
        <v>MFD-ISW → MFD-CPF|JN°130</v>
      </c>
    </row>
    <row r="137" customFormat="false" ht="74.6" hidden="false" customHeight="false" outlineLevel="0" collapsed="false">
      <c r="A137" s="82" t="n">
        <f aca="false">IF(C137="","",ROW()-6)</f>
        <v>131</v>
      </c>
      <c r="B137" s="80" t="s">
        <v>110</v>
      </c>
      <c r="C137" s="113" t="s">
        <v>241</v>
      </c>
      <c r="D137" s="82" t="str">
        <f aca="false">IF(OR(C137="",P137=""),"",INDEX('CARNET DE SOUDURE'!$D$7:$D$3006,P137)&amp;"")</f>
        <v/>
      </c>
      <c r="E137" s="114" t="str">
        <f aca="false">IF(OR(C137="",P137=""),"",IF(INDEX('CARNET DE SOUDURE'!$U$7:$U$3006,P137)="","",INDEX('CARNET DE SOUDURE'!$U$7:$U$3006,P137)))</f>
        <v/>
      </c>
      <c r="F137" s="82" t="str">
        <f aca="false">IF(OR(C137="",P137=""),"",INDEX('CARNET DE SOUDURE'!$AP$7:$AP$3006,P137))</f>
        <v/>
      </c>
      <c r="G137" s="82" t="str">
        <f aca="false">IF(C137="","",IF(P137="","NJ INCONNU",INDEX('CARNET DE SOUDURE'!$AQ$7:$AQ$3006,P137)))</f>
        <v>À SOUDER</v>
      </c>
      <c r="H137" s="82" t="str">
        <f aca="false">IF(C137="","",IF(G137="ACCEPTÉ","OUI","NON"))</f>
        <v>NON</v>
      </c>
      <c r="I137" s="83"/>
      <c r="J137" s="80"/>
      <c r="K137" s="81"/>
      <c r="L137" s="81"/>
      <c r="M137" s="81"/>
      <c r="N137" s="84" t="str">
        <f aca="false">IF(C137="","",IF(P137="","NJ INCONNU",IF(I137="",IF(H137="OUI","À ENROBER",IF(G137="À SOUDER","NON SOUDÉ","EN ATTENTE RT")),IF(L137="R","À REPRENDRE",IF(H137&lt;&gt;"OUI","⚠ ENROBÉ AVANT ACCEPTATION RT","ENROBÉ")))))</f>
        <v>NON SOUDÉ</v>
      </c>
      <c r="O137" s="80"/>
      <c r="P137" s="82" t="n">
        <f aca="false">IF(C137="","",IFERROR(MATCH(Q137,'CARNET DE SOUDURE'!$AW$7:$AW$3006,0),""))</f>
        <v>131</v>
      </c>
      <c r="Q137" s="82" t="str">
        <f aca="false">IF(C137="","",B137&amp;"|"&amp;C137)</f>
        <v>MFD-ISW → MFD-CPF|JN°131</v>
      </c>
    </row>
    <row r="138" customFormat="false" ht="74.6" hidden="false" customHeight="false" outlineLevel="0" collapsed="false">
      <c r="A138" s="82" t="n">
        <f aca="false">IF(C138="","",ROW()-6)</f>
        <v>132</v>
      </c>
      <c r="B138" s="80" t="s">
        <v>110</v>
      </c>
      <c r="C138" s="113" t="s">
        <v>242</v>
      </c>
      <c r="D138" s="82" t="str">
        <f aca="false">IF(OR(C138="",P138=""),"",INDEX('CARNET DE SOUDURE'!$D$7:$D$3006,P138)&amp;"")</f>
        <v/>
      </c>
      <c r="E138" s="114" t="str">
        <f aca="false">IF(OR(C138="",P138=""),"",IF(INDEX('CARNET DE SOUDURE'!$U$7:$U$3006,P138)="","",INDEX('CARNET DE SOUDURE'!$U$7:$U$3006,P138)))</f>
        <v/>
      </c>
      <c r="F138" s="82" t="str">
        <f aca="false">IF(OR(C138="",P138=""),"",INDEX('CARNET DE SOUDURE'!$AP$7:$AP$3006,P138))</f>
        <v/>
      </c>
      <c r="G138" s="82" t="str">
        <f aca="false">IF(C138="","",IF(P138="","NJ INCONNU",INDEX('CARNET DE SOUDURE'!$AQ$7:$AQ$3006,P138)))</f>
        <v>À SOUDER</v>
      </c>
      <c r="H138" s="82" t="str">
        <f aca="false">IF(C138="","",IF(G138="ACCEPTÉ","OUI","NON"))</f>
        <v>NON</v>
      </c>
      <c r="I138" s="83"/>
      <c r="J138" s="80"/>
      <c r="K138" s="81"/>
      <c r="L138" s="81"/>
      <c r="M138" s="81"/>
      <c r="N138" s="84" t="str">
        <f aca="false">IF(C138="","",IF(P138="","NJ INCONNU",IF(I138="",IF(H138="OUI","À ENROBER",IF(G138="À SOUDER","NON SOUDÉ","EN ATTENTE RT")),IF(L138="R","À REPRENDRE",IF(H138&lt;&gt;"OUI","⚠ ENROBÉ AVANT ACCEPTATION RT","ENROBÉ")))))</f>
        <v>NON SOUDÉ</v>
      </c>
      <c r="O138" s="80"/>
      <c r="P138" s="82" t="n">
        <f aca="false">IF(C138="","",IFERROR(MATCH(Q138,'CARNET DE SOUDURE'!$AW$7:$AW$3006,0),""))</f>
        <v>132</v>
      </c>
      <c r="Q138" s="82" t="str">
        <f aca="false">IF(C138="","",B138&amp;"|"&amp;C138)</f>
        <v>MFD-ISW → MFD-CPF|JN°132</v>
      </c>
    </row>
    <row r="139" customFormat="false" ht="74.6" hidden="false" customHeight="false" outlineLevel="0" collapsed="false">
      <c r="A139" s="82" t="n">
        <f aca="false">IF(C139="","",ROW()-6)</f>
        <v>133</v>
      </c>
      <c r="B139" s="80" t="s">
        <v>110</v>
      </c>
      <c r="C139" s="113" t="s">
        <v>243</v>
      </c>
      <c r="D139" s="82" t="str">
        <f aca="false">IF(OR(C139="",P139=""),"",INDEX('CARNET DE SOUDURE'!$D$7:$D$3006,P139)&amp;"")</f>
        <v/>
      </c>
      <c r="E139" s="114" t="str">
        <f aca="false">IF(OR(C139="",P139=""),"",IF(INDEX('CARNET DE SOUDURE'!$U$7:$U$3006,P139)="","",INDEX('CARNET DE SOUDURE'!$U$7:$U$3006,P139)))</f>
        <v/>
      </c>
      <c r="F139" s="82" t="str">
        <f aca="false">IF(OR(C139="",P139=""),"",INDEX('CARNET DE SOUDURE'!$AP$7:$AP$3006,P139))</f>
        <v/>
      </c>
      <c r="G139" s="82" t="str">
        <f aca="false">IF(C139="","",IF(P139="","NJ INCONNU",INDEX('CARNET DE SOUDURE'!$AQ$7:$AQ$3006,P139)))</f>
        <v>À SOUDER</v>
      </c>
      <c r="H139" s="82" t="str">
        <f aca="false">IF(C139="","",IF(G139="ACCEPTÉ","OUI","NON"))</f>
        <v>NON</v>
      </c>
      <c r="I139" s="83"/>
      <c r="J139" s="80"/>
      <c r="K139" s="81"/>
      <c r="L139" s="81"/>
      <c r="M139" s="81"/>
      <c r="N139" s="84" t="str">
        <f aca="false">IF(C139="","",IF(P139="","NJ INCONNU",IF(I139="",IF(H139="OUI","À ENROBER",IF(G139="À SOUDER","NON SOUDÉ","EN ATTENTE RT")),IF(L139="R","À REPRENDRE",IF(H139&lt;&gt;"OUI","⚠ ENROBÉ AVANT ACCEPTATION RT","ENROBÉ")))))</f>
        <v>NON SOUDÉ</v>
      </c>
      <c r="O139" s="80"/>
      <c r="P139" s="82" t="n">
        <f aca="false">IF(C139="","",IFERROR(MATCH(Q139,'CARNET DE SOUDURE'!$AW$7:$AW$3006,0),""))</f>
        <v>133</v>
      </c>
      <c r="Q139" s="82" t="str">
        <f aca="false">IF(C139="","",B139&amp;"|"&amp;C139)</f>
        <v>MFD-ISW → MFD-CPF|JN°133</v>
      </c>
    </row>
    <row r="140" customFormat="false" ht="74.6" hidden="false" customHeight="false" outlineLevel="0" collapsed="false">
      <c r="A140" s="82" t="n">
        <f aca="false">IF(C140="","",ROW()-6)</f>
        <v>134</v>
      </c>
      <c r="B140" s="80" t="s">
        <v>110</v>
      </c>
      <c r="C140" s="113" t="s">
        <v>244</v>
      </c>
      <c r="D140" s="82" t="str">
        <f aca="false">IF(OR(C140="",P140=""),"",INDEX('CARNET DE SOUDURE'!$D$7:$D$3006,P140)&amp;"")</f>
        <v/>
      </c>
      <c r="E140" s="114" t="str">
        <f aca="false">IF(OR(C140="",P140=""),"",IF(INDEX('CARNET DE SOUDURE'!$U$7:$U$3006,P140)="","",INDEX('CARNET DE SOUDURE'!$U$7:$U$3006,P140)))</f>
        <v/>
      </c>
      <c r="F140" s="82" t="str">
        <f aca="false">IF(OR(C140="",P140=""),"",INDEX('CARNET DE SOUDURE'!$AP$7:$AP$3006,P140))</f>
        <v/>
      </c>
      <c r="G140" s="82" t="str">
        <f aca="false">IF(C140="","",IF(P140="","NJ INCONNU",INDEX('CARNET DE SOUDURE'!$AQ$7:$AQ$3006,P140)))</f>
        <v>À SOUDER</v>
      </c>
      <c r="H140" s="82" t="str">
        <f aca="false">IF(C140="","",IF(G140="ACCEPTÉ","OUI","NON"))</f>
        <v>NON</v>
      </c>
      <c r="I140" s="83"/>
      <c r="J140" s="80"/>
      <c r="K140" s="81"/>
      <c r="L140" s="81"/>
      <c r="M140" s="81"/>
      <c r="N140" s="84" t="str">
        <f aca="false">IF(C140="","",IF(P140="","NJ INCONNU",IF(I140="",IF(H140="OUI","À ENROBER",IF(G140="À SOUDER","NON SOUDÉ","EN ATTENTE RT")),IF(L140="R","À REPRENDRE",IF(H140&lt;&gt;"OUI","⚠ ENROBÉ AVANT ACCEPTATION RT","ENROBÉ")))))</f>
        <v>NON SOUDÉ</v>
      </c>
      <c r="O140" s="80"/>
      <c r="P140" s="82" t="n">
        <f aca="false">IF(C140="","",IFERROR(MATCH(Q140,'CARNET DE SOUDURE'!$AW$7:$AW$3006,0),""))</f>
        <v>134</v>
      </c>
      <c r="Q140" s="82" t="str">
        <f aca="false">IF(C140="","",B140&amp;"|"&amp;C140)</f>
        <v>MFD-ISW → MFD-CPF|JN°134</v>
      </c>
    </row>
    <row r="141" customFormat="false" ht="74.6" hidden="false" customHeight="false" outlineLevel="0" collapsed="false">
      <c r="A141" s="82" t="n">
        <f aca="false">IF(C141="","",ROW()-6)</f>
        <v>135</v>
      </c>
      <c r="B141" s="80" t="s">
        <v>110</v>
      </c>
      <c r="C141" s="113" t="s">
        <v>245</v>
      </c>
      <c r="D141" s="82" t="str">
        <f aca="false">IF(OR(C141="",P141=""),"",INDEX('CARNET DE SOUDURE'!$D$7:$D$3006,P141)&amp;"")</f>
        <v/>
      </c>
      <c r="E141" s="114" t="str">
        <f aca="false">IF(OR(C141="",P141=""),"",IF(INDEX('CARNET DE SOUDURE'!$U$7:$U$3006,P141)="","",INDEX('CARNET DE SOUDURE'!$U$7:$U$3006,P141)))</f>
        <v/>
      </c>
      <c r="F141" s="82" t="str">
        <f aca="false">IF(OR(C141="",P141=""),"",INDEX('CARNET DE SOUDURE'!$AP$7:$AP$3006,P141))</f>
        <v/>
      </c>
      <c r="G141" s="82" t="str">
        <f aca="false">IF(C141="","",IF(P141="","NJ INCONNU",INDEX('CARNET DE SOUDURE'!$AQ$7:$AQ$3006,P141)))</f>
        <v>À SOUDER</v>
      </c>
      <c r="H141" s="82" t="str">
        <f aca="false">IF(C141="","",IF(G141="ACCEPTÉ","OUI","NON"))</f>
        <v>NON</v>
      </c>
      <c r="I141" s="83"/>
      <c r="J141" s="80"/>
      <c r="K141" s="81"/>
      <c r="L141" s="81"/>
      <c r="M141" s="81"/>
      <c r="N141" s="84" t="str">
        <f aca="false">IF(C141="","",IF(P141="","NJ INCONNU",IF(I141="",IF(H141="OUI","À ENROBER",IF(G141="À SOUDER","NON SOUDÉ","EN ATTENTE RT")),IF(L141="R","À REPRENDRE",IF(H141&lt;&gt;"OUI","⚠ ENROBÉ AVANT ACCEPTATION RT","ENROBÉ")))))</f>
        <v>NON SOUDÉ</v>
      </c>
      <c r="O141" s="80"/>
      <c r="P141" s="82" t="n">
        <f aca="false">IF(C141="","",IFERROR(MATCH(Q141,'CARNET DE SOUDURE'!$AW$7:$AW$3006,0),""))</f>
        <v>135</v>
      </c>
      <c r="Q141" s="82" t="str">
        <f aca="false">IF(C141="","",B141&amp;"|"&amp;C141)</f>
        <v>MFD-ISW → MFD-CPF|JN°135</v>
      </c>
    </row>
    <row r="142" customFormat="false" ht="74.6" hidden="false" customHeight="false" outlineLevel="0" collapsed="false">
      <c r="A142" s="82" t="n">
        <f aca="false">IF(C142="","",ROW()-6)</f>
        <v>136</v>
      </c>
      <c r="B142" s="80" t="s">
        <v>110</v>
      </c>
      <c r="C142" s="113" t="s">
        <v>246</v>
      </c>
      <c r="D142" s="82" t="str">
        <f aca="false">IF(OR(C142="",P142=""),"",INDEX('CARNET DE SOUDURE'!$D$7:$D$3006,P142)&amp;"")</f>
        <v/>
      </c>
      <c r="E142" s="114" t="str">
        <f aca="false">IF(OR(C142="",P142=""),"",IF(INDEX('CARNET DE SOUDURE'!$U$7:$U$3006,P142)="","",INDEX('CARNET DE SOUDURE'!$U$7:$U$3006,P142)))</f>
        <v/>
      </c>
      <c r="F142" s="82" t="str">
        <f aca="false">IF(OR(C142="",P142=""),"",INDEX('CARNET DE SOUDURE'!$AP$7:$AP$3006,P142))</f>
        <v/>
      </c>
      <c r="G142" s="82" t="str">
        <f aca="false">IF(C142="","",IF(P142="","NJ INCONNU",INDEX('CARNET DE SOUDURE'!$AQ$7:$AQ$3006,P142)))</f>
        <v>À SOUDER</v>
      </c>
      <c r="H142" s="82" t="str">
        <f aca="false">IF(C142="","",IF(G142="ACCEPTÉ","OUI","NON"))</f>
        <v>NON</v>
      </c>
      <c r="I142" s="83"/>
      <c r="J142" s="80"/>
      <c r="K142" s="81"/>
      <c r="L142" s="81"/>
      <c r="M142" s="81"/>
      <c r="N142" s="84" t="str">
        <f aca="false">IF(C142="","",IF(P142="","NJ INCONNU",IF(I142="",IF(H142="OUI","À ENROBER",IF(G142="À SOUDER","NON SOUDÉ","EN ATTENTE RT")),IF(L142="R","À REPRENDRE",IF(H142&lt;&gt;"OUI","⚠ ENROBÉ AVANT ACCEPTATION RT","ENROBÉ")))))</f>
        <v>NON SOUDÉ</v>
      </c>
      <c r="O142" s="80"/>
      <c r="P142" s="82" t="n">
        <f aca="false">IF(C142="","",IFERROR(MATCH(Q142,'CARNET DE SOUDURE'!$AW$7:$AW$3006,0),""))</f>
        <v>136</v>
      </c>
      <c r="Q142" s="82" t="str">
        <f aca="false">IF(C142="","",B142&amp;"|"&amp;C142)</f>
        <v>MFD-ISW → MFD-CPF|JN°136</v>
      </c>
    </row>
    <row r="143" customFormat="false" ht="74.6" hidden="false" customHeight="false" outlineLevel="0" collapsed="false">
      <c r="A143" s="82" t="n">
        <f aca="false">IF(C143="","",ROW()-6)</f>
        <v>137</v>
      </c>
      <c r="B143" s="80" t="s">
        <v>110</v>
      </c>
      <c r="C143" s="113" t="s">
        <v>247</v>
      </c>
      <c r="D143" s="82" t="str">
        <f aca="false">IF(OR(C143="",P143=""),"",INDEX('CARNET DE SOUDURE'!$D$7:$D$3006,P143)&amp;"")</f>
        <v/>
      </c>
      <c r="E143" s="114" t="str">
        <f aca="false">IF(OR(C143="",P143=""),"",IF(INDEX('CARNET DE SOUDURE'!$U$7:$U$3006,P143)="","",INDEX('CARNET DE SOUDURE'!$U$7:$U$3006,P143)))</f>
        <v/>
      </c>
      <c r="F143" s="82" t="str">
        <f aca="false">IF(OR(C143="",P143=""),"",INDEX('CARNET DE SOUDURE'!$AP$7:$AP$3006,P143))</f>
        <v/>
      </c>
      <c r="G143" s="82" t="str">
        <f aca="false">IF(C143="","",IF(P143="","NJ INCONNU",INDEX('CARNET DE SOUDURE'!$AQ$7:$AQ$3006,P143)))</f>
        <v>À SOUDER</v>
      </c>
      <c r="H143" s="82" t="str">
        <f aca="false">IF(C143="","",IF(G143="ACCEPTÉ","OUI","NON"))</f>
        <v>NON</v>
      </c>
      <c r="I143" s="83"/>
      <c r="J143" s="80"/>
      <c r="K143" s="81"/>
      <c r="L143" s="81"/>
      <c r="M143" s="81"/>
      <c r="N143" s="84" t="str">
        <f aca="false">IF(C143="","",IF(P143="","NJ INCONNU",IF(I143="",IF(H143="OUI","À ENROBER",IF(G143="À SOUDER","NON SOUDÉ","EN ATTENTE RT")),IF(L143="R","À REPRENDRE",IF(H143&lt;&gt;"OUI","⚠ ENROBÉ AVANT ACCEPTATION RT","ENROBÉ")))))</f>
        <v>NON SOUDÉ</v>
      </c>
      <c r="O143" s="80"/>
      <c r="P143" s="82" t="n">
        <f aca="false">IF(C143="","",IFERROR(MATCH(Q143,'CARNET DE SOUDURE'!$AW$7:$AW$3006,0),""))</f>
        <v>137</v>
      </c>
      <c r="Q143" s="82" t="str">
        <f aca="false">IF(C143="","",B143&amp;"|"&amp;C143)</f>
        <v>MFD-ISW → MFD-CPF|JN°137</v>
      </c>
    </row>
    <row r="144" customFormat="false" ht="74.6" hidden="false" customHeight="false" outlineLevel="0" collapsed="false">
      <c r="A144" s="82" t="n">
        <f aca="false">IF(C144="","",ROW()-6)</f>
        <v>138</v>
      </c>
      <c r="B144" s="80" t="s">
        <v>110</v>
      </c>
      <c r="C144" s="113" t="s">
        <v>248</v>
      </c>
      <c r="D144" s="82" t="str">
        <f aca="false">IF(OR(C144="",P144=""),"",INDEX('CARNET DE SOUDURE'!$D$7:$D$3006,P144)&amp;"")</f>
        <v/>
      </c>
      <c r="E144" s="114" t="str">
        <f aca="false">IF(OR(C144="",P144=""),"",IF(INDEX('CARNET DE SOUDURE'!$U$7:$U$3006,P144)="","",INDEX('CARNET DE SOUDURE'!$U$7:$U$3006,P144)))</f>
        <v/>
      </c>
      <c r="F144" s="82" t="str">
        <f aca="false">IF(OR(C144="",P144=""),"",INDEX('CARNET DE SOUDURE'!$AP$7:$AP$3006,P144))</f>
        <v/>
      </c>
      <c r="G144" s="82" t="str">
        <f aca="false">IF(C144="","",IF(P144="","NJ INCONNU",INDEX('CARNET DE SOUDURE'!$AQ$7:$AQ$3006,P144)))</f>
        <v>À SOUDER</v>
      </c>
      <c r="H144" s="82" t="str">
        <f aca="false">IF(C144="","",IF(G144="ACCEPTÉ","OUI","NON"))</f>
        <v>NON</v>
      </c>
      <c r="I144" s="83"/>
      <c r="J144" s="80"/>
      <c r="K144" s="81"/>
      <c r="L144" s="81"/>
      <c r="M144" s="81"/>
      <c r="N144" s="84" t="str">
        <f aca="false">IF(C144="","",IF(P144="","NJ INCONNU",IF(I144="",IF(H144="OUI","À ENROBER",IF(G144="À SOUDER","NON SOUDÉ","EN ATTENTE RT")),IF(L144="R","À REPRENDRE",IF(H144&lt;&gt;"OUI","⚠ ENROBÉ AVANT ACCEPTATION RT","ENROBÉ")))))</f>
        <v>NON SOUDÉ</v>
      </c>
      <c r="O144" s="80"/>
      <c r="P144" s="82" t="n">
        <f aca="false">IF(C144="","",IFERROR(MATCH(Q144,'CARNET DE SOUDURE'!$AW$7:$AW$3006,0),""))</f>
        <v>138</v>
      </c>
      <c r="Q144" s="82" t="str">
        <f aca="false">IF(C144="","",B144&amp;"|"&amp;C144)</f>
        <v>MFD-ISW → MFD-CPF|JN°138</v>
      </c>
    </row>
    <row r="145" customFormat="false" ht="74.6" hidden="false" customHeight="false" outlineLevel="0" collapsed="false">
      <c r="A145" s="82" t="n">
        <f aca="false">IF(C145="","",ROW()-6)</f>
        <v>139</v>
      </c>
      <c r="B145" s="80" t="s">
        <v>110</v>
      </c>
      <c r="C145" s="113" t="s">
        <v>249</v>
      </c>
      <c r="D145" s="82" t="str">
        <f aca="false">IF(OR(C145="",P145=""),"",INDEX('CARNET DE SOUDURE'!$D$7:$D$3006,P145)&amp;"")</f>
        <v/>
      </c>
      <c r="E145" s="114" t="str">
        <f aca="false">IF(OR(C145="",P145=""),"",IF(INDEX('CARNET DE SOUDURE'!$U$7:$U$3006,P145)="","",INDEX('CARNET DE SOUDURE'!$U$7:$U$3006,P145)))</f>
        <v/>
      </c>
      <c r="F145" s="82" t="str">
        <f aca="false">IF(OR(C145="",P145=""),"",INDEX('CARNET DE SOUDURE'!$AP$7:$AP$3006,P145))</f>
        <v/>
      </c>
      <c r="G145" s="82" t="str">
        <f aca="false">IF(C145="","",IF(P145="","NJ INCONNU",INDEX('CARNET DE SOUDURE'!$AQ$7:$AQ$3006,P145)))</f>
        <v>À SOUDER</v>
      </c>
      <c r="H145" s="82" t="str">
        <f aca="false">IF(C145="","",IF(G145="ACCEPTÉ","OUI","NON"))</f>
        <v>NON</v>
      </c>
      <c r="I145" s="83"/>
      <c r="J145" s="80"/>
      <c r="K145" s="81"/>
      <c r="L145" s="81"/>
      <c r="M145" s="81"/>
      <c r="N145" s="84" t="str">
        <f aca="false">IF(C145="","",IF(P145="","NJ INCONNU",IF(I145="",IF(H145="OUI","À ENROBER",IF(G145="À SOUDER","NON SOUDÉ","EN ATTENTE RT")),IF(L145="R","À REPRENDRE",IF(H145&lt;&gt;"OUI","⚠ ENROBÉ AVANT ACCEPTATION RT","ENROBÉ")))))</f>
        <v>NON SOUDÉ</v>
      </c>
      <c r="O145" s="80"/>
      <c r="P145" s="82" t="n">
        <f aca="false">IF(C145="","",IFERROR(MATCH(Q145,'CARNET DE SOUDURE'!$AW$7:$AW$3006,0),""))</f>
        <v>139</v>
      </c>
      <c r="Q145" s="82" t="str">
        <f aca="false">IF(C145="","",B145&amp;"|"&amp;C145)</f>
        <v>MFD-ISW → MFD-CPF|JN°139</v>
      </c>
    </row>
    <row r="146" customFormat="false" ht="74.6" hidden="false" customHeight="false" outlineLevel="0" collapsed="false">
      <c r="A146" s="82" t="n">
        <f aca="false">IF(C146="","",ROW()-6)</f>
        <v>140</v>
      </c>
      <c r="B146" s="80" t="s">
        <v>110</v>
      </c>
      <c r="C146" s="113" t="s">
        <v>250</v>
      </c>
      <c r="D146" s="82" t="str">
        <f aca="false">IF(OR(C146="",P146=""),"",INDEX('CARNET DE SOUDURE'!$D$7:$D$3006,P146)&amp;"")</f>
        <v/>
      </c>
      <c r="E146" s="114" t="str">
        <f aca="false">IF(OR(C146="",P146=""),"",IF(INDEX('CARNET DE SOUDURE'!$U$7:$U$3006,P146)="","",INDEX('CARNET DE SOUDURE'!$U$7:$U$3006,P146)))</f>
        <v/>
      </c>
      <c r="F146" s="82" t="str">
        <f aca="false">IF(OR(C146="",P146=""),"",INDEX('CARNET DE SOUDURE'!$AP$7:$AP$3006,P146))</f>
        <v/>
      </c>
      <c r="G146" s="82" t="str">
        <f aca="false">IF(C146="","",IF(P146="","NJ INCONNU",INDEX('CARNET DE SOUDURE'!$AQ$7:$AQ$3006,P146)))</f>
        <v>À SOUDER</v>
      </c>
      <c r="H146" s="82" t="str">
        <f aca="false">IF(C146="","",IF(G146="ACCEPTÉ","OUI","NON"))</f>
        <v>NON</v>
      </c>
      <c r="I146" s="83"/>
      <c r="J146" s="80"/>
      <c r="K146" s="81"/>
      <c r="L146" s="81"/>
      <c r="M146" s="81"/>
      <c r="N146" s="84" t="str">
        <f aca="false">IF(C146="","",IF(P146="","NJ INCONNU",IF(I146="",IF(H146="OUI","À ENROBER",IF(G146="À SOUDER","NON SOUDÉ","EN ATTENTE RT")),IF(L146="R","À REPRENDRE",IF(H146&lt;&gt;"OUI","⚠ ENROBÉ AVANT ACCEPTATION RT","ENROBÉ")))))</f>
        <v>NON SOUDÉ</v>
      </c>
      <c r="O146" s="80"/>
      <c r="P146" s="82" t="n">
        <f aca="false">IF(C146="","",IFERROR(MATCH(Q146,'CARNET DE SOUDURE'!$AW$7:$AW$3006,0),""))</f>
        <v>140</v>
      </c>
      <c r="Q146" s="82" t="str">
        <f aca="false">IF(C146="","",B146&amp;"|"&amp;C146)</f>
        <v>MFD-ISW → MFD-CPF|JN°140</v>
      </c>
    </row>
    <row r="147" customFormat="false" ht="74.6" hidden="false" customHeight="false" outlineLevel="0" collapsed="false">
      <c r="A147" s="82" t="n">
        <f aca="false">IF(C147="","",ROW()-6)</f>
        <v>141</v>
      </c>
      <c r="B147" s="80" t="s">
        <v>110</v>
      </c>
      <c r="C147" s="113" t="s">
        <v>251</v>
      </c>
      <c r="D147" s="82" t="str">
        <f aca="false">IF(OR(C147="",P147=""),"",INDEX('CARNET DE SOUDURE'!$D$7:$D$3006,P147)&amp;"")</f>
        <v/>
      </c>
      <c r="E147" s="114" t="str">
        <f aca="false">IF(OR(C147="",P147=""),"",IF(INDEX('CARNET DE SOUDURE'!$U$7:$U$3006,P147)="","",INDEX('CARNET DE SOUDURE'!$U$7:$U$3006,P147)))</f>
        <v/>
      </c>
      <c r="F147" s="82" t="str">
        <f aca="false">IF(OR(C147="",P147=""),"",INDEX('CARNET DE SOUDURE'!$AP$7:$AP$3006,P147))</f>
        <v/>
      </c>
      <c r="G147" s="82" t="str">
        <f aca="false">IF(C147="","",IF(P147="","NJ INCONNU",INDEX('CARNET DE SOUDURE'!$AQ$7:$AQ$3006,P147)))</f>
        <v>À SOUDER</v>
      </c>
      <c r="H147" s="82" t="str">
        <f aca="false">IF(C147="","",IF(G147="ACCEPTÉ","OUI","NON"))</f>
        <v>NON</v>
      </c>
      <c r="I147" s="83"/>
      <c r="J147" s="80"/>
      <c r="K147" s="81"/>
      <c r="L147" s="81"/>
      <c r="M147" s="81"/>
      <c r="N147" s="84" t="str">
        <f aca="false">IF(C147="","",IF(P147="","NJ INCONNU",IF(I147="",IF(H147="OUI","À ENROBER",IF(G147="À SOUDER","NON SOUDÉ","EN ATTENTE RT")),IF(L147="R","À REPRENDRE",IF(H147&lt;&gt;"OUI","⚠ ENROBÉ AVANT ACCEPTATION RT","ENROBÉ")))))</f>
        <v>NON SOUDÉ</v>
      </c>
      <c r="O147" s="80"/>
      <c r="P147" s="82" t="n">
        <f aca="false">IF(C147="","",IFERROR(MATCH(Q147,'CARNET DE SOUDURE'!$AW$7:$AW$3006,0),""))</f>
        <v>141</v>
      </c>
      <c r="Q147" s="82" t="str">
        <f aca="false">IF(C147="","",B147&amp;"|"&amp;C147)</f>
        <v>MFD-ISW → MFD-CPF|JN°141</v>
      </c>
    </row>
    <row r="148" customFormat="false" ht="74.6" hidden="false" customHeight="false" outlineLevel="0" collapsed="false">
      <c r="A148" s="82" t="n">
        <f aca="false">IF(C148="","",ROW()-6)</f>
        <v>142</v>
      </c>
      <c r="B148" s="80" t="s">
        <v>110</v>
      </c>
      <c r="C148" s="113" t="s">
        <v>252</v>
      </c>
      <c r="D148" s="82" t="str">
        <f aca="false">IF(OR(C148="",P148=""),"",INDEX('CARNET DE SOUDURE'!$D$7:$D$3006,P148)&amp;"")</f>
        <v/>
      </c>
      <c r="E148" s="114" t="str">
        <f aca="false">IF(OR(C148="",P148=""),"",IF(INDEX('CARNET DE SOUDURE'!$U$7:$U$3006,P148)="","",INDEX('CARNET DE SOUDURE'!$U$7:$U$3006,P148)))</f>
        <v/>
      </c>
      <c r="F148" s="82" t="str">
        <f aca="false">IF(OR(C148="",P148=""),"",INDEX('CARNET DE SOUDURE'!$AP$7:$AP$3006,P148))</f>
        <v/>
      </c>
      <c r="G148" s="82" t="str">
        <f aca="false">IF(C148="","",IF(P148="","NJ INCONNU",INDEX('CARNET DE SOUDURE'!$AQ$7:$AQ$3006,P148)))</f>
        <v>À SOUDER</v>
      </c>
      <c r="H148" s="82" t="str">
        <f aca="false">IF(C148="","",IF(G148="ACCEPTÉ","OUI","NON"))</f>
        <v>NON</v>
      </c>
      <c r="I148" s="83"/>
      <c r="J148" s="80"/>
      <c r="K148" s="81"/>
      <c r="L148" s="81"/>
      <c r="M148" s="81"/>
      <c r="N148" s="84" t="str">
        <f aca="false">IF(C148="","",IF(P148="","NJ INCONNU",IF(I148="",IF(H148="OUI","À ENROBER",IF(G148="À SOUDER","NON SOUDÉ","EN ATTENTE RT")),IF(L148="R","À REPRENDRE",IF(H148&lt;&gt;"OUI","⚠ ENROBÉ AVANT ACCEPTATION RT","ENROBÉ")))))</f>
        <v>NON SOUDÉ</v>
      </c>
      <c r="O148" s="80"/>
      <c r="P148" s="82" t="n">
        <f aca="false">IF(C148="","",IFERROR(MATCH(Q148,'CARNET DE SOUDURE'!$AW$7:$AW$3006,0),""))</f>
        <v>142</v>
      </c>
      <c r="Q148" s="82" t="str">
        <f aca="false">IF(C148="","",B148&amp;"|"&amp;C148)</f>
        <v>MFD-ISW → MFD-CPF|JN°142</v>
      </c>
    </row>
    <row r="149" customFormat="false" ht="74.6" hidden="false" customHeight="false" outlineLevel="0" collapsed="false">
      <c r="A149" s="82" t="n">
        <f aca="false">IF(C149="","",ROW()-6)</f>
        <v>143</v>
      </c>
      <c r="B149" s="80" t="s">
        <v>110</v>
      </c>
      <c r="C149" s="113" t="s">
        <v>253</v>
      </c>
      <c r="D149" s="82" t="str">
        <f aca="false">IF(OR(C149="",P149=""),"",INDEX('CARNET DE SOUDURE'!$D$7:$D$3006,P149)&amp;"")</f>
        <v/>
      </c>
      <c r="E149" s="114" t="str">
        <f aca="false">IF(OR(C149="",P149=""),"",IF(INDEX('CARNET DE SOUDURE'!$U$7:$U$3006,P149)="","",INDEX('CARNET DE SOUDURE'!$U$7:$U$3006,P149)))</f>
        <v/>
      </c>
      <c r="F149" s="82" t="str">
        <f aca="false">IF(OR(C149="",P149=""),"",INDEX('CARNET DE SOUDURE'!$AP$7:$AP$3006,P149))</f>
        <v/>
      </c>
      <c r="G149" s="82" t="str">
        <f aca="false">IF(C149="","",IF(P149="","NJ INCONNU",INDEX('CARNET DE SOUDURE'!$AQ$7:$AQ$3006,P149)))</f>
        <v>À SOUDER</v>
      </c>
      <c r="H149" s="82" t="str">
        <f aca="false">IF(C149="","",IF(G149="ACCEPTÉ","OUI","NON"))</f>
        <v>NON</v>
      </c>
      <c r="I149" s="83"/>
      <c r="J149" s="80"/>
      <c r="K149" s="81"/>
      <c r="L149" s="81"/>
      <c r="M149" s="81"/>
      <c r="N149" s="84" t="str">
        <f aca="false">IF(C149="","",IF(P149="","NJ INCONNU",IF(I149="",IF(H149="OUI","À ENROBER",IF(G149="À SOUDER","NON SOUDÉ","EN ATTENTE RT")),IF(L149="R","À REPRENDRE",IF(H149&lt;&gt;"OUI","⚠ ENROBÉ AVANT ACCEPTATION RT","ENROBÉ")))))</f>
        <v>NON SOUDÉ</v>
      </c>
      <c r="O149" s="80"/>
      <c r="P149" s="82" t="n">
        <f aca="false">IF(C149="","",IFERROR(MATCH(Q149,'CARNET DE SOUDURE'!$AW$7:$AW$3006,0),""))</f>
        <v>143</v>
      </c>
      <c r="Q149" s="82" t="str">
        <f aca="false">IF(C149="","",B149&amp;"|"&amp;C149)</f>
        <v>MFD-ISW → MFD-CPF|JN°143</v>
      </c>
    </row>
    <row r="150" customFormat="false" ht="74.6" hidden="false" customHeight="false" outlineLevel="0" collapsed="false">
      <c r="A150" s="82" t="n">
        <f aca="false">IF(C150="","",ROW()-6)</f>
        <v>144</v>
      </c>
      <c r="B150" s="80" t="s">
        <v>110</v>
      </c>
      <c r="C150" s="113" t="s">
        <v>254</v>
      </c>
      <c r="D150" s="82" t="str">
        <f aca="false">IF(OR(C150="",P150=""),"",INDEX('CARNET DE SOUDURE'!$D$7:$D$3006,P150)&amp;"")</f>
        <v/>
      </c>
      <c r="E150" s="114" t="str">
        <f aca="false">IF(OR(C150="",P150=""),"",IF(INDEX('CARNET DE SOUDURE'!$U$7:$U$3006,P150)="","",INDEX('CARNET DE SOUDURE'!$U$7:$U$3006,P150)))</f>
        <v/>
      </c>
      <c r="F150" s="82" t="str">
        <f aca="false">IF(OR(C150="",P150=""),"",INDEX('CARNET DE SOUDURE'!$AP$7:$AP$3006,P150))</f>
        <v/>
      </c>
      <c r="G150" s="82" t="str">
        <f aca="false">IF(C150="","",IF(P150="","NJ INCONNU",INDEX('CARNET DE SOUDURE'!$AQ$7:$AQ$3006,P150)))</f>
        <v>À SOUDER</v>
      </c>
      <c r="H150" s="82" t="str">
        <f aca="false">IF(C150="","",IF(G150="ACCEPTÉ","OUI","NON"))</f>
        <v>NON</v>
      </c>
      <c r="I150" s="83"/>
      <c r="J150" s="80"/>
      <c r="K150" s="81"/>
      <c r="L150" s="81"/>
      <c r="M150" s="81"/>
      <c r="N150" s="84" t="str">
        <f aca="false">IF(C150="","",IF(P150="","NJ INCONNU",IF(I150="",IF(H150="OUI","À ENROBER",IF(G150="À SOUDER","NON SOUDÉ","EN ATTENTE RT")),IF(L150="R","À REPRENDRE",IF(H150&lt;&gt;"OUI","⚠ ENROBÉ AVANT ACCEPTATION RT","ENROBÉ")))))</f>
        <v>NON SOUDÉ</v>
      </c>
      <c r="O150" s="80"/>
      <c r="P150" s="82" t="n">
        <f aca="false">IF(C150="","",IFERROR(MATCH(Q150,'CARNET DE SOUDURE'!$AW$7:$AW$3006,0),""))</f>
        <v>144</v>
      </c>
      <c r="Q150" s="82" t="str">
        <f aca="false">IF(C150="","",B150&amp;"|"&amp;C150)</f>
        <v>MFD-ISW → MFD-CPF|JN°144</v>
      </c>
    </row>
    <row r="151" customFormat="false" ht="74.6" hidden="false" customHeight="false" outlineLevel="0" collapsed="false">
      <c r="A151" s="82" t="n">
        <f aca="false">IF(C151="","",ROW()-6)</f>
        <v>145</v>
      </c>
      <c r="B151" s="80" t="s">
        <v>110</v>
      </c>
      <c r="C151" s="113" t="s">
        <v>255</v>
      </c>
      <c r="D151" s="82" t="str">
        <f aca="false">IF(OR(C151="",P151=""),"",INDEX('CARNET DE SOUDURE'!$D$7:$D$3006,P151)&amp;"")</f>
        <v/>
      </c>
      <c r="E151" s="114" t="str">
        <f aca="false">IF(OR(C151="",P151=""),"",IF(INDEX('CARNET DE SOUDURE'!$U$7:$U$3006,P151)="","",INDEX('CARNET DE SOUDURE'!$U$7:$U$3006,P151)))</f>
        <v/>
      </c>
      <c r="F151" s="82" t="str">
        <f aca="false">IF(OR(C151="",P151=""),"",INDEX('CARNET DE SOUDURE'!$AP$7:$AP$3006,P151))</f>
        <v/>
      </c>
      <c r="G151" s="82" t="str">
        <f aca="false">IF(C151="","",IF(P151="","NJ INCONNU",INDEX('CARNET DE SOUDURE'!$AQ$7:$AQ$3006,P151)))</f>
        <v>À SOUDER</v>
      </c>
      <c r="H151" s="82" t="str">
        <f aca="false">IF(C151="","",IF(G151="ACCEPTÉ","OUI","NON"))</f>
        <v>NON</v>
      </c>
      <c r="I151" s="83"/>
      <c r="J151" s="80"/>
      <c r="K151" s="81"/>
      <c r="L151" s="81"/>
      <c r="M151" s="81"/>
      <c r="N151" s="84" t="str">
        <f aca="false">IF(C151="","",IF(P151="","NJ INCONNU",IF(I151="",IF(H151="OUI","À ENROBER",IF(G151="À SOUDER","NON SOUDÉ","EN ATTENTE RT")),IF(L151="R","À REPRENDRE",IF(H151&lt;&gt;"OUI","⚠ ENROBÉ AVANT ACCEPTATION RT","ENROBÉ")))))</f>
        <v>NON SOUDÉ</v>
      </c>
      <c r="O151" s="80"/>
      <c r="P151" s="82" t="n">
        <f aca="false">IF(C151="","",IFERROR(MATCH(Q151,'CARNET DE SOUDURE'!$AW$7:$AW$3006,0),""))</f>
        <v>145</v>
      </c>
      <c r="Q151" s="82" t="str">
        <f aca="false">IF(C151="","",B151&amp;"|"&amp;C151)</f>
        <v>MFD-ISW → MFD-CPF|JN°145</v>
      </c>
    </row>
    <row r="152" customFormat="false" ht="74.6" hidden="false" customHeight="false" outlineLevel="0" collapsed="false">
      <c r="A152" s="82" t="n">
        <f aca="false">IF(C152="","",ROW()-6)</f>
        <v>146</v>
      </c>
      <c r="B152" s="80" t="s">
        <v>110</v>
      </c>
      <c r="C152" s="113" t="s">
        <v>256</v>
      </c>
      <c r="D152" s="82" t="str">
        <f aca="false">IF(OR(C152="",P152=""),"",INDEX('CARNET DE SOUDURE'!$D$7:$D$3006,P152)&amp;"")</f>
        <v/>
      </c>
      <c r="E152" s="114" t="str">
        <f aca="false">IF(OR(C152="",P152=""),"",IF(INDEX('CARNET DE SOUDURE'!$U$7:$U$3006,P152)="","",INDEX('CARNET DE SOUDURE'!$U$7:$U$3006,P152)))</f>
        <v/>
      </c>
      <c r="F152" s="82" t="str">
        <f aca="false">IF(OR(C152="",P152=""),"",INDEX('CARNET DE SOUDURE'!$AP$7:$AP$3006,P152))</f>
        <v/>
      </c>
      <c r="G152" s="82" t="str">
        <f aca="false">IF(C152="","",IF(P152="","NJ INCONNU",INDEX('CARNET DE SOUDURE'!$AQ$7:$AQ$3006,P152)))</f>
        <v>À SOUDER</v>
      </c>
      <c r="H152" s="82" t="str">
        <f aca="false">IF(C152="","",IF(G152="ACCEPTÉ","OUI","NON"))</f>
        <v>NON</v>
      </c>
      <c r="I152" s="83"/>
      <c r="J152" s="80"/>
      <c r="K152" s="81"/>
      <c r="L152" s="81"/>
      <c r="M152" s="81"/>
      <c r="N152" s="84" t="str">
        <f aca="false">IF(C152="","",IF(P152="","NJ INCONNU",IF(I152="",IF(H152="OUI","À ENROBER",IF(G152="À SOUDER","NON SOUDÉ","EN ATTENTE RT")),IF(L152="R","À REPRENDRE",IF(H152&lt;&gt;"OUI","⚠ ENROBÉ AVANT ACCEPTATION RT","ENROBÉ")))))</f>
        <v>NON SOUDÉ</v>
      </c>
      <c r="O152" s="80"/>
      <c r="P152" s="82" t="n">
        <f aca="false">IF(C152="","",IFERROR(MATCH(Q152,'CARNET DE SOUDURE'!$AW$7:$AW$3006,0),""))</f>
        <v>146</v>
      </c>
      <c r="Q152" s="82" t="str">
        <f aca="false">IF(C152="","",B152&amp;"|"&amp;C152)</f>
        <v>MFD-ISW → MFD-CPF|JN°146</v>
      </c>
    </row>
    <row r="153" customFormat="false" ht="74.6" hidden="false" customHeight="false" outlineLevel="0" collapsed="false">
      <c r="A153" s="82" t="n">
        <f aca="false">IF(C153="","",ROW()-6)</f>
        <v>147</v>
      </c>
      <c r="B153" s="80" t="s">
        <v>110</v>
      </c>
      <c r="C153" s="113" t="s">
        <v>257</v>
      </c>
      <c r="D153" s="82" t="str">
        <f aca="false">IF(OR(C153="",P153=""),"",INDEX('CARNET DE SOUDURE'!$D$7:$D$3006,P153)&amp;"")</f>
        <v/>
      </c>
      <c r="E153" s="114" t="str">
        <f aca="false">IF(OR(C153="",P153=""),"",IF(INDEX('CARNET DE SOUDURE'!$U$7:$U$3006,P153)="","",INDEX('CARNET DE SOUDURE'!$U$7:$U$3006,P153)))</f>
        <v/>
      </c>
      <c r="F153" s="82" t="str">
        <f aca="false">IF(OR(C153="",P153=""),"",INDEX('CARNET DE SOUDURE'!$AP$7:$AP$3006,P153))</f>
        <v/>
      </c>
      <c r="G153" s="82" t="str">
        <f aca="false">IF(C153="","",IF(P153="","NJ INCONNU",INDEX('CARNET DE SOUDURE'!$AQ$7:$AQ$3006,P153)))</f>
        <v>À SOUDER</v>
      </c>
      <c r="H153" s="82" t="str">
        <f aca="false">IF(C153="","",IF(G153="ACCEPTÉ","OUI","NON"))</f>
        <v>NON</v>
      </c>
      <c r="I153" s="83"/>
      <c r="J153" s="80"/>
      <c r="K153" s="81"/>
      <c r="L153" s="81"/>
      <c r="M153" s="81"/>
      <c r="N153" s="84" t="str">
        <f aca="false">IF(C153="","",IF(P153="","NJ INCONNU",IF(I153="",IF(H153="OUI","À ENROBER",IF(G153="À SOUDER","NON SOUDÉ","EN ATTENTE RT")),IF(L153="R","À REPRENDRE",IF(H153&lt;&gt;"OUI","⚠ ENROBÉ AVANT ACCEPTATION RT","ENROBÉ")))))</f>
        <v>NON SOUDÉ</v>
      </c>
      <c r="O153" s="80"/>
      <c r="P153" s="82" t="n">
        <f aca="false">IF(C153="","",IFERROR(MATCH(Q153,'CARNET DE SOUDURE'!$AW$7:$AW$3006,0),""))</f>
        <v>147</v>
      </c>
      <c r="Q153" s="82" t="str">
        <f aca="false">IF(C153="","",B153&amp;"|"&amp;C153)</f>
        <v>MFD-ISW → MFD-CPF|JN°147</v>
      </c>
    </row>
    <row r="154" customFormat="false" ht="74.6" hidden="false" customHeight="false" outlineLevel="0" collapsed="false">
      <c r="A154" s="82" t="n">
        <f aca="false">IF(C154="","",ROW()-6)</f>
        <v>148</v>
      </c>
      <c r="B154" s="80" t="s">
        <v>110</v>
      </c>
      <c r="C154" s="113" t="s">
        <v>258</v>
      </c>
      <c r="D154" s="82" t="str">
        <f aca="false">IF(OR(C154="",P154=""),"",INDEX('CARNET DE SOUDURE'!$D$7:$D$3006,P154)&amp;"")</f>
        <v/>
      </c>
      <c r="E154" s="114" t="str">
        <f aca="false">IF(OR(C154="",P154=""),"",IF(INDEX('CARNET DE SOUDURE'!$U$7:$U$3006,P154)="","",INDEX('CARNET DE SOUDURE'!$U$7:$U$3006,P154)))</f>
        <v/>
      </c>
      <c r="F154" s="82" t="str">
        <f aca="false">IF(OR(C154="",P154=""),"",INDEX('CARNET DE SOUDURE'!$AP$7:$AP$3006,P154))</f>
        <v/>
      </c>
      <c r="G154" s="82" t="str">
        <f aca="false">IF(C154="","",IF(P154="","NJ INCONNU",INDEX('CARNET DE SOUDURE'!$AQ$7:$AQ$3006,P154)))</f>
        <v>À SOUDER</v>
      </c>
      <c r="H154" s="82" t="str">
        <f aca="false">IF(C154="","",IF(G154="ACCEPTÉ","OUI","NON"))</f>
        <v>NON</v>
      </c>
      <c r="I154" s="83"/>
      <c r="J154" s="80"/>
      <c r="K154" s="81"/>
      <c r="L154" s="81"/>
      <c r="M154" s="81"/>
      <c r="N154" s="84" t="str">
        <f aca="false">IF(C154="","",IF(P154="","NJ INCONNU",IF(I154="",IF(H154="OUI","À ENROBER",IF(G154="À SOUDER","NON SOUDÉ","EN ATTENTE RT")),IF(L154="R","À REPRENDRE",IF(H154&lt;&gt;"OUI","⚠ ENROBÉ AVANT ACCEPTATION RT","ENROBÉ")))))</f>
        <v>NON SOUDÉ</v>
      </c>
      <c r="O154" s="80"/>
      <c r="P154" s="82" t="n">
        <f aca="false">IF(C154="","",IFERROR(MATCH(Q154,'CARNET DE SOUDURE'!$AW$7:$AW$3006,0),""))</f>
        <v>148</v>
      </c>
      <c r="Q154" s="82" t="str">
        <f aca="false">IF(C154="","",B154&amp;"|"&amp;C154)</f>
        <v>MFD-ISW → MFD-CPF|JN°148</v>
      </c>
    </row>
    <row r="155" customFormat="false" ht="74.6" hidden="false" customHeight="false" outlineLevel="0" collapsed="false">
      <c r="A155" s="82" t="n">
        <f aca="false">IF(C155="","",ROW()-6)</f>
        <v>149</v>
      </c>
      <c r="B155" s="80" t="s">
        <v>110</v>
      </c>
      <c r="C155" s="113" t="s">
        <v>259</v>
      </c>
      <c r="D155" s="82" t="str">
        <f aca="false">IF(OR(C155="",P155=""),"",INDEX('CARNET DE SOUDURE'!$D$7:$D$3006,P155)&amp;"")</f>
        <v/>
      </c>
      <c r="E155" s="114" t="str">
        <f aca="false">IF(OR(C155="",P155=""),"",IF(INDEX('CARNET DE SOUDURE'!$U$7:$U$3006,P155)="","",INDEX('CARNET DE SOUDURE'!$U$7:$U$3006,P155)))</f>
        <v/>
      </c>
      <c r="F155" s="82" t="str">
        <f aca="false">IF(OR(C155="",P155=""),"",INDEX('CARNET DE SOUDURE'!$AP$7:$AP$3006,P155))</f>
        <v/>
      </c>
      <c r="G155" s="82" t="str">
        <f aca="false">IF(C155="","",IF(P155="","NJ INCONNU",INDEX('CARNET DE SOUDURE'!$AQ$7:$AQ$3006,P155)))</f>
        <v>À SOUDER</v>
      </c>
      <c r="H155" s="82" t="str">
        <f aca="false">IF(C155="","",IF(G155="ACCEPTÉ","OUI","NON"))</f>
        <v>NON</v>
      </c>
      <c r="I155" s="83"/>
      <c r="J155" s="80"/>
      <c r="K155" s="81"/>
      <c r="L155" s="81"/>
      <c r="M155" s="81"/>
      <c r="N155" s="84" t="str">
        <f aca="false">IF(C155="","",IF(P155="","NJ INCONNU",IF(I155="",IF(H155="OUI","À ENROBER",IF(G155="À SOUDER","NON SOUDÉ","EN ATTENTE RT")),IF(L155="R","À REPRENDRE",IF(H155&lt;&gt;"OUI","⚠ ENROBÉ AVANT ACCEPTATION RT","ENROBÉ")))))</f>
        <v>NON SOUDÉ</v>
      </c>
      <c r="O155" s="80"/>
      <c r="P155" s="82" t="n">
        <f aca="false">IF(C155="","",IFERROR(MATCH(Q155,'CARNET DE SOUDURE'!$AW$7:$AW$3006,0),""))</f>
        <v>149</v>
      </c>
      <c r="Q155" s="82" t="str">
        <f aca="false">IF(C155="","",B155&amp;"|"&amp;C155)</f>
        <v>MFD-ISW → MFD-CPF|JN°149</v>
      </c>
    </row>
    <row r="156" customFormat="false" ht="74.6" hidden="false" customHeight="false" outlineLevel="0" collapsed="false">
      <c r="A156" s="82" t="n">
        <f aca="false">IF(C156="","",ROW()-6)</f>
        <v>150</v>
      </c>
      <c r="B156" s="80" t="s">
        <v>110</v>
      </c>
      <c r="C156" s="113" t="s">
        <v>260</v>
      </c>
      <c r="D156" s="82" t="str">
        <f aca="false">IF(OR(C156="",P156=""),"",INDEX('CARNET DE SOUDURE'!$D$7:$D$3006,P156)&amp;"")</f>
        <v/>
      </c>
      <c r="E156" s="114" t="str">
        <f aca="false">IF(OR(C156="",P156=""),"",IF(INDEX('CARNET DE SOUDURE'!$U$7:$U$3006,P156)="","",INDEX('CARNET DE SOUDURE'!$U$7:$U$3006,P156)))</f>
        <v/>
      </c>
      <c r="F156" s="82" t="str">
        <f aca="false">IF(OR(C156="",P156=""),"",INDEX('CARNET DE SOUDURE'!$AP$7:$AP$3006,P156))</f>
        <v/>
      </c>
      <c r="G156" s="82" t="str">
        <f aca="false">IF(C156="","",IF(P156="","NJ INCONNU",INDEX('CARNET DE SOUDURE'!$AQ$7:$AQ$3006,P156)))</f>
        <v>À SOUDER</v>
      </c>
      <c r="H156" s="82" t="str">
        <f aca="false">IF(C156="","",IF(G156="ACCEPTÉ","OUI","NON"))</f>
        <v>NON</v>
      </c>
      <c r="I156" s="83"/>
      <c r="J156" s="80"/>
      <c r="K156" s="81"/>
      <c r="L156" s="81"/>
      <c r="M156" s="81"/>
      <c r="N156" s="84" t="str">
        <f aca="false">IF(C156="","",IF(P156="","NJ INCONNU",IF(I156="",IF(H156="OUI","À ENROBER",IF(G156="À SOUDER","NON SOUDÉ","EN ATTENTE RT")),IF(L156="R","À REPRENDRE",IF(H156&lt;&gt;"OUI","⚠ ENROBÉ AVANT ACCEPTATION RT","ENROBÉ")))))</f>
        <v>NON SOUDÉ</v>
      </c>
      <c r="O156" s="80"/>
      <c r="P156" s="82" t="n">
        <f aca="false">IF(C156="","",IFERROR(MATCH(Q156,'CARNET DE SOUDURE'!$AW$7:$AW$3006,0),""))</f>
        <v>150</v>
      </c>
      <c r="Q156" s="82" t="str">
        <f aca="false">IF(C156="","",B156&amp;"|"&amp;C156)</f>
        <v>MFD-ISW → MFD-CPF|JN°150</v>
      </c>
    </row>
    <row r="157" customFormat="false" ht="74.6" hidden="false" customHeight="false" outlineLevel="0" collapsed="false">
      <c r="A157" s="82" t="n">
        <f aca="false">IF(C157="","",ROW()-6)</f>
        <v>151</v>
      </c>
      <c r="B157" s="80" t="s">
        <v>110</v>
      </c>
      <c r="C157" s="113" t="s">
        <v>261</v>
      </c>
      <c r="D157" s="82" t="str">
        <f aca="false">IF(OR(C157="",P157=""),"",INDEX('CARNET DE SOUDURE'!$D$7:$D$3006,P157)&amp;"")</f>
        <v/>
      </c>
      <c r="E157" s="114" t="str">
        <f aca="false">IF(OR(C157="",P157=""),"",IF(INDEX('CARNET DE SOUDURE'!$U$7:$U$3006,P157)="","",INDEX('CARNET DE SOUDURE'!$U$7:$U$3006,P157)))</f>
        <v/>
      </c>
      <c r="F157" s="82" t="str">
        <f aca="false">IF(OR(C157="",P157=""),"",INDEX('CARNET DE SOUDURE'!$AP$7:$AP$3006,P157))</f>
        <v/>
      </c>
      <c r="G157" s="82" t="str">
        <f aca="false">IF(C157="","",IF(P157="","NJ INCONNU",INDEX('CARNET DE SOUDURE'!$AQ$7:$AQ$3006,P157)))</f>
        <v>À SOUDER</v>
      </c>
      <c r="H157" s="82" t="str">
        <f aca="false">IF(C157="","",IF(G157="ACCEPTÉ","OUI","NON"))</f>
        <v>NON</v>
      </c>
      <c r="I157" s="83"/>
      <c r="J157" s="80"/>
      <c r="K157" s="81"/>
      <c r="L157" s="81"/>
      <c r="M157" s="81"/>
      <c r="N157" s="84" t="str">
        <f aca="false">IF(C157="","",IF(P157="","NJ INCONNU",IF(I157="",IF(H157="OUI","À ENROBER",IF(G157="À SOUDER","NON SOUDÉ","EN ATTENTE RT")),IF(L157="R","À REPRENDRE",IF(H157&lt;&gt;"OUI","⚠ ENROBÉ AVANT ACCEPTATION RT","ENROBÉ")))))</f>
        <v>NON SOUDÉ</v>
      </c>
      <c r="O157" s="80"/>
      <c r="P157" s="82" t="n">
        <f aca="false">IF(C157="","",IFERROR(MATCH(Q157,'CARNET DE SOUDURE'!$AW$7:$AW$3006,0),""))</f>
        <v>151</v>
      </c>
      <c r="Q157" s="82" t="str">
        <f aca="false">IF(C157="","",B157&amp;"|"&amp;C157)</f>
        <v>MFD-ISW → MFD-CPF|JN°151</v>
      </c>
    </row>
    <row r="158" customFormat="false" ht="74.6" hidden="false" customHeight="false" outlineLevel="0" collapsed="false">
      <c r="A158" s="82" t="n">
        <f aca="false">IF(C158="","",ROW()-6)</f>
        <v>152</v>
      </c>
      <c r="B158" s="80" t="s">
        <v>110</v>
      </c>
      <c r="C158" s="113" t="s">
        <v>262</v>
      </c>
      <c r="D158" s="82" t="str">
        <f aca="false">IF(OR(C158="",P158=""),"",INDEX('CARNET DE SOUDURE'!$D$7:$D$3006,P158)&amp;"")</f>
        <v/>
      </c>
      <c r="E158" s="114" t="str">
        <f aca="false">IF(OR(C158="",P158=""),"",IF(INDEX('CARNET DE SOUDURE'!$U$7:$U$3006,P158)="","",INDEX('CARNET DE SOUDURE'!$U$7:$U$3006,P158)))</f>
        <v/>
      </c>
      <c r="F158" s="82" t="str">
        <f aca="false">IF(OR(C158="",P158=""),"",INDEX('CARNET DE SOUDURE'!$AP$7:$AP$3006,P158))</f>
        <v/>
      </c>
      <c r="G158" s="82" t="str">
        <f aca="false">IF(C158="","",IF(P158="","NJ INCONNU",INDEX('CARNET DE SOUDURE'!$AQ$7:$AQ$3006,P158)))</f>
        <v>À SOUDER</v>
      </c>
      <c r="H158" s="82" t="str">
        <f aca="false">IF(C158="","",IF(G158="ACCEPTÉ","OUI","NON"))</f>
        <v>NON</v>
      </c>
      <c r="I158" s="83"/>
      <c r="J158" s="80"/>
      <c r="K158" s="81"/>
      <c r="L158" s="81"/>
      <c r="M158" s="81"/>
      <c r="N158" s="84" t="str">
        <f aca="false">IF(C158="","",IF(P158="","NJ INCONNU",IF(I158="",IF(H158="OUI","À ENROBER",IF(G158="À SOUDER","NON SOUDÉ","EN ATTENTE RT")),IF(L158="R","À REPRENDRE",IF(H158&lt;&gt;"OUI","⚠ ENROBÉ AVANT ACCEPTATION RT","ENROBÉ")))))</f>
        <v>NON SOUDÉ</v>
      </c>
      <c r="O158" s="80"/>
      <c r="P158" s="82" t="n">
        <f aca="false">IF(C158="","",IFERROR(MATCH(Q158,'CARNET DE SOUDURE'!$AW$7:$AW$3006,0),""))</f>
        <v>152</v>
      </c>
      <c r="Q158" s="82" t="str">
        <f aca="false">IF(C158="","",B158&amp;"|"&amp;C158)</f>
        <v>MFD-ISW → MFD-CPF|JN°152</v>
      </c>
    </row>
    <row r="159" customFormat="false" ht="74.6" hidden="false" customHeight="false" outlineLevel="0" collapsed="false">
      <c r="A159" s="82" t="n">
        <f aca="false">IF(C159="","",ROW()-6)</f>
        <v>153</v>
      </c>
      <c r="B159" s="80" t="s">
        <v>110</v>
      </c>
      <c r="C159" s="113" t="s">
        <v>263</v>
      </c>
      <c r="D159" s="82" t="str">
        <f aca="false">IF(OR(C159="",P159=""),"",INDEX('CARNET DE SOUDURE'!$D$7:$D$3006,P159)&amp;"")</f>
        <v/>
      </c>
      <c r="E159" s="114" t="str">
        <f aca="false">IF(OR(C159="",P159=""),"",IF(INDEX('CARNET DE SOUDURE'!$U$7:$U$3006,P159)="","",INDEX('CARNET DE SOUDURE'!$U$7:$U$3006,P159)))</f>
        <v/>
      </c>
      <c r="F159" s="82" t="str">
        <f aca="false">IF(OR(C159="",P159=""),"",INDEX('CARNET DE SOUDURE'!$AP$7:$AP$3006,P159))</f>
        <v/>
      </c>
      <c r="G159" s="82" t="str">
        <f aca="false">IF(C159="","",IF(P159="","NJ INCONNU",INDEX('CARNET DE SOUDURE'!$AQ$7:$AQ$3006,P159)))</f>
        <v>À SOUDER</v>
      </c>
      <c r="H159" s="82" t="str">
        <f aca="false">IF(C159="","",IF(G159="ACCEPTÉ","OUI","NON"))</f>
        <v>NON</v>
      </c>
      <c r="I159" s="83"/>
      <c r="J159" s="80"/>
      <c r="K159" s="81"/>
      <c r="L159" s="81"/>
      <c r="M159" s="81"/>
      <c r="N159" s="84" t="str">
        <f aca="false">IF(C159="","",IF(P159="","NJ INCONNU",IF(I159="",IF(H159="OUI","À ENROBER",IF(G159="À SOUDER","NON SOUDÉ","EN ATTENTE RT")),IF(L159="R","À REPRENDRE",IF(H159&lt;&gt;"OUI","⚠ ENROBÉ AVANT ACCEPTATION RT","ENROBÉ")))))</f>
        <v>NON SOUDÉ</v>
      </c>
      <c r="O159" s="80"/>
      <c r="P159" s="82" t="n">
        <f aca="false">IF(C159="","",IFERROR(MATCH(Q159,'CARNET DE SOUDURE'!$AW$7:$AW$3006,0),""))</f>
        <v>153</v>
      </c>
      <c r="Q159" s="82" t="str">
        <f aca="false">IF(C159="","",B159&amp;"|"&amp;C159)</f>
        <v>MFD-ISW → MFD-CPF|JN°153</v>
      </c>
    </row>
    <row r="160" customFormat="false" ht="74.6" hidden="false" customHeight="false" outlineLevel="0" collapsed="false">
      <c r="A160" s="82" t="n">
        <f aca="false">IF(C160="","",ROW()-6)</f>
        <v>154</v>
      </c>
      <c r="B160" s="80" t="s">
        <v>110</v>
      </c>
      <c r="C160" s="113" t="s">
        <v>264</v>
      </c>
      <c r="D160" s="82" t="str">
        <f aca="false">IF(OR(C160="",P160=""),"",INDEX('CARNET DE SOUDURE'!$D$7:$D$3006,P160)&amp;"")</f>
        <v/>
      </c>
      <c r="E160" s="114" t="str">
        <f aca="false">IF(OR(C160="",P160=""),"",IF(INDEX('CARNET DE SOUDURE'!$U$7:$U$3006,P160)="","",INDEX('CARNET DE SOUDURE'!$U$7:$U$3006,P160)))</f>
        <v/>
      </c>
      <c r="F160" s="82" t="str">
        <f aca="false">IF(OR(C160="",P160=""),"",INDEX('CARNET DE SOUDURE'!$AP$7:$AP$3006,P160))</f>
        <v/>
      </c>
      <c r="G160" s="82" t="str">
        <f aca="false">IF(C160="","",IF(P160="","NJ INCONNU",INDEX('CARNET DE SOUDURE'!$AQ$7:$AQ$3006,P160)))</f>
        <v>À SOUDER</v>
      </c>
      <c r="H160" s="82" t="str">
        <f aca="false">IF(C160="","",IF(G160="ACCEPTÉ","OUI","NON"))</f>
        <v>NON</v>
      </c>
      <c r="I160" s="83"/>
      <c r="J160" s="80"/>
      <c r="K160" s="81"/>
      <c r="L160" s="81"/>
      <c r="M160" s="81"/>
      <c r="N160" s="84" t="str">
        <f aca="false">IF(C160="","",IF(P160="","NJ INCONNU",IF(I160="",IF(H160="OUI","À ENROBER",IF(G160="À SOUDER","NON SOUDÉ","EN ATTENTE RT")),IF(L160="R","À REPRENDRE",IF(H160&lt;&gt;"OUI","⚠ ENROBÉ AVANT ACCEPTATION RT","ENROBÉ")))))</f>
        <v>NON SOUDÉ</v>
      </c>
      <c r="O160" s="80"/>
      <c r="P160" s="82" t="n">
        <f aca="false">IF(C160="","",IFERROR(MATCH(Q160,'CARNET DE SOUDURE'!$AW$7:$AW$3006,0),""))</f>
        <v>154</v>
      </c>
      <c r="Q160" s="82" t="str">
        <f aca="false">IF(C160="","",B160&amp;"|"&amp;C160)</f>
        <v>MFD-ISW → MFD-CPF|JN°154</v>
      </c>
    </row>
    <row r="161" customFormat="false" ht="74.6" hidden="false" customHeight="false" outlineLevel="0" collapsed="false">
      <c r="A161" s="82" t="n">
        <f aca="false">IF(C161="","",ROW()-6)</f>
        <v>155</v>
      </c>
      <c r="B161" s="80" t="s">
        <v>110</v>
      </c>
      <c r="C161" s="113" t="s">
        <v>265</v>
      </c>
      <c r="D161" s="82" t="str">
        <f aca="false">IF(OR(C161="",P161=""),"",INDEX('CARNET DE SOUDURE'!$D$7:$D$3006,P161)&amp;"")</f>
        <v/>
      </c>
      <c r="E161" s="114" t="str">
        <f aca="false">IF(OR(C161="",P161=""),"",IF(INDEX('CARNET DE SOUDURE'!$U$7:$U$3006,P161)="","",INDEX('CARNET DE SOUDURE'!$U$7:$U$3006,P161)))</f>
        <v/>
      </c>
      <c r="F161" s="82" t="str">
        <f aca="false">IF(OR(C161="",P161=""),"",INDEX('CARNET DE SOUDURE'!$AP$7:$AP$3006,P161))</f>
        <v/>
      </c>
      <c r="G161" s="82" t="str">
        <f aca="false">IF(C161="","",IF(P161="","NJ INCONNU",INDEX('CARNET DE SOUDURE'!$AQ$7:$AQ$3006,P161)))</f>
        <v>À SOUDER</v>
      </c>
      <c r="H161" s="82" t="str">
        <f aca="false">IF(C161="","",IF(G161="ACCEPTÉ","OUI","NON"))</f>
        <v>NON</v>
      </c>
      <c r="I161" s="83"/>
      <c r="J161" s="80"/>
      <c r="K161" s="81"/>
      <c r="L161" s="81"/>
      <c r="M161" s="81"/>
      <c r="N161" s="84" t="str">
        <f aca="false">IF(C161="","",IF(P161="","NJ INCONNU",IF(I161="",IF(H161="OUI","À ENROBER",IF(G161="À SOUDER","NON SOUDÉ","EN ATTENTE RT")),IF(L161="R","À REPRENDRE",IF(H161&lt;&gt;"OUI","⚠ ENROBÉ AVANT ACCEPTATION RT","ENROBÉ")))))</f>
        <v>NON SOUDÉ</v>
      </c>
      <c r="O161" s="80"/>
      <c r="P161" s="82" t="n">
        <f aca="false">IF(C161="","",IFERROR(MATCH(Q161,'CARNET DE SOUDURE'!$AW$7:$AW$3006,0),""))</f>
        <v>155</v>
      </c>
      <c r="Q161" s="82" t="str">
        <f aca="false">IF(C161="","",B161&amp;"|"&amp;C161)</f>
        <v>MFD-ISW → MFD-CPF|JN°155</v>
      </c>
    </row>
    <row r="162" customFormat="false" ht="74.6" hidden="false" customHeight="false" outlineLevel="0" collapsed="false">
      <c r="A162" s="82" t="n">
        <f aca="false">IF(C162="","",ROW()-6)</f>
        <v>156</v>
      </c>
      <c r="B162" s="80" t="s">
        <v>110</v>
      </c>
      <c r="C162" s="113" t="s">
        <v>266</v>
      </c>
      <c r="D162" s="82" t="str">
        <f aca="false">IF(OR(C162="",P162=""),"",INDEX('CARNET DE SOUDURE'!$D$7:$D$3006,P162)&amp;"")</f>
        <v/>
      </c>
      <c r="E162" s="114" t="str">
        <f aca="false">IF(OR(C162="",P162=""),"",IF(INDEX('CARNET DE SOUDURE'!$U$7:$U$3006,P162)="","",INDEX('CARNET DE SOUDURE'!$U$7:$U$3006,P162)))</f>
        <v/>
      </c>
      <c r="F162" s="82" t="str">
        <f aca="false">IF(OR(C162="",P162=""),"",INDEX('CARNET DE SOUDURE'!$AP$7:$AP$3006,P162))</f>
        <v/>
      </c>
      <c r="G162" s="82" t="str">
        <f aca="false">IF(C162="","",IF(P162="","NJ INCONNU",INDEX('CARNET DE SOUDURE'!$AQ$7:$AQ$3006,P162)))</f>
        <v>À SOUDER</v>
      </c>
      <c r="H162" s="82" t="str">
        <f aca="false">IF(C162="","",IF(G162="ACCEPTÉ","OUI","NON"))</f>
        <v>NON</v>
      </c>
      <c r="I162" s="83"/>
      <c r="J162" s="80"/>
      <c r="K162" s="81"/>
      <c r="L162" s="81"/>
      <c r="M162" s="81"/>
      <c r="N162" s="84" t="str">
        <f aca="false">IF(C162="","",IF(P162="","NJ INCONNU",IF(I162="",IF(H162="OUI","À ENROBER",IF(G162="À SOUDER","NON SOUDÉ","EN ATTENTE RT")),IF(L162="R","À REPRENDRE",IF(H162&lt;&gt;"OUI","⚠ ENROBÉ AVANT ACCEPTATION RT","ENROBÉ")))))</f>
        <v>NON SOUDÉ</v>
      </c>
      <c r="O162" s="80"/>
      <c r="P162" s="82" t="n">
        <f aca="false">IF(C162="","",IFERROR(MATCH(Q162,'CARNET DE SOUDURE'!$AW$7:$AW$3006,0),""))</f>
        <v>156</v>
      </c>
      <c r="Q162" s="82" t="str">
        <f aca="false">IF(C162="","",B162&amp;"|"&amp;C162)</f>
        <v>MFD-ISW → MFD-CPF|JN°156</v>
      </c>
    </row>
    <row r="163" customFormat="false" ht="74.6" hidden="false" customHeight="false" outlineLevel="0" collapsed="false">
      <c r="A163" s="82" t="n">
        <f aca="false">IF(C163="","",ROW()-6)</f>
        <v>157</v>
      </c>
      <c r="B163" s="80" t="s">
        <v>110</v>
      </c>
      <c r="C163" s="113" t="s">
        <v>267</v>
      </c>
      <c r="D163" s="82" t="str">
        <f aca="false">IF(OR(C163="",P163=""),"",INDEX('CARNET DE SOUDURE'!$D$7:$D$3006,P163)&amp;"")</f>
        <v/>
      </c>
      <c r="E163" s="114" t="str">
        <f aca="false">IF(OR(C163="",P163=""),"",IF(INDEX('CARNET DE SOUDURE'!$U$7:$U$3006,P163)="","",INDEX('CARNET DE SOUDURE'!$U$7:$U$3006,P163)))</f>
        <v/>
      </c>
      <c r="F163" s="82" t="str">
        <f aca="false">IF(OR(C163="",P163=""),"",INDEX('CARNET DE SOUDURE'!$AP$7:$AP$3006,P163))</f>
        <v/>
      </c>
      <c r="G163" s="82" t="str">
        <f aca="false">IF(C163="","",IF(P163="","NJ INCONNU",INDEX('CARNET DE SOUDURE'!$AQ$7:$AQ$3006,P163)))</f>
        <v>À SOUDER</v>
      </c>
      <c r="H163" s="82" t="str">
        <f aca="false">IF(C163="","",IF(G163="ACCEPTÉ","OUI","NON"))</f>
        <v>NON</v>
      </c>
      <c r="I163" s="83"/>
      <c r="J163" s="80"/>
      <c r="K163" s="81"/>
      <c r="L163" s="81"/>
      <c r="M163" s="81"/>
      <c r="N163" s="84" t="str">
        <f aca="false">IF(C163="","",IF(P163="","NJ INCONNU",IF(I163="",IF(H163="OUI","À ENROBER",IF(G163="À SOUDER","NON SOUDÉ","EN ATTENTE RT")),IF(L163="R","À REPRENDRE",IF(H163&lt;&gt;"OUI","⚠ ENROBÉ AVANT ACCEPTATION RT","ENROBÉ")))))</f>
        <v>NON SOUDÉ</v>
      </c>
      <c r="O163" s="80"/>
      <c r="P163" s="82" t="n">
        <f aca="false">IF(C163="","",IFERROR(MATCH(Q163,'CARNET DE SOUDURE'!$AW$7:$AW$3006,0),""))</f>
        <v>157</v>
      </c>
      <c r="Q163" s="82" t="str">
        <f aca="false">IF(C163="","",B163&amp;"|"&amp;C163)</f>
        <v>MFD-ISW → MFD-CPF|JN°157</v>
      </c>
    </row>
    <row r="164" customFormat="false" ht="74.6" hidden="false" customHeight="false" outlineLevel="0" collapsed="false">
      <c r="A164" s="82" t="n">
        <f aca="false">IF(C164="","",ROW()-6)</f>
        <v>158</v>
      </c>
      <c r="B164" s="80" t="s">
        <v>110</v>
      </c>
      <c r="C164" s="113" t="s">
        <v>268</v>
      </c>
      <c r="D164" s="82" t="str">
        <f aca="false">IF(OR(C164="",P164=""),"",INDEX('CARNET DE SOUDURE'!$D$7:$D$3006,P164)&amp;"")</f>
        <v/>
      </c>
      <c r="E164" s="114" t="str">
        <f aca="false">IF(OR(C164="",P164=""),"",IF(INDEX('CARNET DE SOUDURE'!$U$7:$U$3006,P164)="","",INDEX('CARNET DE SOUDURE'!$U$7:$U$3006,P164)))</f>
        <v/>
      </c>
      <c r="F164" s="82" t="str">
        <f aca="false">IF(OR(C164="",P164=""),"",INDEX('CARNET DE SOUDURE'!$AP$7:$AP$3006,P164))</f>
        <v/>
      </c>
      <c r="G164" s="82" t="str">
        <f aca="false">IF(C164="","",IF(P164="","NJ INCONNU",INDEX('CARNET DE SOUDURE'!$AQ$7:$AQ$3006,P164)))</f>
        <v>À SOUDER</v>
      </c>
      <c r="H164" s="82" t="str">
        <f aca="false">IF(C164="","",IF(G164="ACCEPTÉ","OUI","NON"))</f>
        <v>NON</v>
      </c>
      <c r="I164" s="83"/>
      <c r="J164" s="80"/>
      <c r="K164" s="81"/>
      <c r="L164" s="81"/>
      <c r="M164" s="81"/>
      <c r="N164" s="84" t="str">
        <f aca="false">IF(C164="","",IF(P164="","NJ INCONNU",IF(I164="",IF(H164="OUI","À ENROBER",IF(G164="À SOUDER","NON SOUDÉ","EN ATTENTE RT")),IF(L164="R","À REPRENDRE",IF(H164&lt;&gt;"OUI","⚠ ENROBÉ AVANT ACCEPTATION RT","ENROBÉ")))))</f>
        <v>NON SOUDÉ</v>
      </c>
      <c r="O164" s="80"/>
      <c r="P164" s="82" t="n">
        <f aca="false">IF(C164="","",IFERROR(MATCH(Q164,'CARNET DE SOUDURE'!$AW$7:$AW$3006,0),""))</f>
        <v>158</v>
      </c>
      <c r="Q164" s="82" t="str">
        <f aca="false">IF(C164="","",B164&amp;"|"&amp;C164)</f>
        <v>MFD-ISW → MFD-CPF|JN°158</v>
      </c>
    </row>
    <row r="165" customFormat="false" ht="74.6" hidden="false" customHeight="false" outlineLevel="0" collapsed="false">
      <c r="A165" s="82" t="n">
        <f aca="false">IF(C165="","",ROW()-6)</f>
        <v>159</v>
      </c>
      <c r="B165" s="80" t="s">
        <v>110</v>
      </c>
      <c r="C165" s="113" t="s">
        <v>269</v>
      </c>
      <c r="D165" s="82" t="str">
        <f aca="false">IF(OR(C165="",P165=""),"",INDEX('CARNET DE SOUDURE'!$D$7:$D$3006,P165)&amp;"")</f>
        <v/>
      </c>
      <c r="E165" s="114" t="str">
        <f aca="false">IF(OR(C165="",P165=""),"",IF(INDEX('CARNET DE SOUDURE'!$U$7:$U$3006,P165)="","",INDEX('CARNET DE SOUDURE'!$U$7:$U$3006,P165)))</f>
        <v/>
      </c>
      <c r="F165" s="82" t="str">
        <f aca="false">IF(OR(C165="",P165=""),"",INDEX('CARNET DE SOUDURE'!$AP$7:$AP$3006,P165))</f>
        <v/>
      </c>
      <c r="G165" s="82" t="str">
        <f aca="false">IF(C165="","",IF(P165="","NJ INCONNU",INDEX('CARNET DE SOUDURE'!$AQ$7:$AQ$3006,P165)))</f>
        <v>À SOUDER</v>
      </c>
      <c r="H165" s="82" t="str">
        <f aca="false">IF(C165="","",IF(G165="ACCEPTÉ","OUI","NON"))</f>
        <v>NON</v>
      </c>
      <c r="I165" s="83"/>
      <c r="J165" s="80"/>
      <c r="K165" s="81"/>
      <c r="L165" s="81"/>
      <c r="M165" s="81"/>
      <c r="N165" s="84" t="str">
        <f aca="false">IF(C165="","",IF(P165="","NJ INCONNU",IF(I165="",IF(H165="OUI","À ENROBER",IF(G165="À SOUDER","NON SOUDÉ","EN ATTENTE RT")),IF(L165="R","À REPRENDRE",IF(H165&lt;&gt;"OUI","⚠ ENROBÉ AVANT ACCEPTATION RT","ENROBÉ")))))</f>
        <v>NON SOUDÉ</v>
      </c>
      <c r="O165" s="80"/>
      <c r="P165" s="82" t="n">
        <f aca="false">IF(C165="","",IFERROR(MATCH(Q165,'CARNET DE SOUDURE'!$AW$7:$AW$3006,0),""))</f>
        <v>159</v>
      </c>
      <c r="Q165" s="82" t="str">
        <f aca="false">IF(C165="","",B165&amp;"|"&amp;C165)</f>
        <v>MFD-ISW → MFD-CPF|JN°159</v>
      </c>
    </row>
    <row r="166" customFormat="false" ht="74.6" hidden="false" customHeight="false" outlineLevel="0" collapsed="false">
      <c r="A166" s="82" t="n">
        <f aca="false">IF(C166="","",ROW()-6)</f>
        <v>160</v>
      </c>
      <c r="B166" s="80" t="s">
        <v>110</v>
      </c>
      <c r="C166" s="113" t="s">
        <v>270</v>
      </c>
      <c r="D166" s="82" t="str">
        <f aca="false">IF(OR(C166="",P166=""),"",INDEX('CARNET DE SOUDURE'!$D$7:$D$3006,P166)&amp;"")</f>
        <v/>
      </c>
      <c r="E166" s="114" t="str">
        <f aca="false">IF(OR(C166="",P166=""),"",IF(INDEX('CARNET DE SOUDURE'!$U$7:$U$3006,P166)="","",INDEX('CARNET DE SOUDURE'!$U$7:$U$3006,P166)))</f>
        <v/>
      </c>
      <c r="F166" s="82" t="str">
        <f aca="false">IF(OR(C166="",P166=""),"",INDEX('CARNET DE SOUDURE'!$AP$7:$AP$3006,P166))</f>
        <v/>
      </c>
      <c r="G166" s="82" t="str">
        <f aca="false">IF(C166="","",IF(P166="","NJ INCONNU",INDEX('CARNET DE SOUDURE'!$AQ$7:$AQ$3006,P166)))</f>
        <v>À SOUDER</v>
      </c>
      <c r="H166" s="82" t="str">
        <f aca="false">IF(C166="","",IF(G166="ACCEPTÉ","OUI","NON"))</f>
        <v>NON</v>
      </c>
      <c r="I166" s="83"/>
      <c r="J166" s="80"/>
      <c r="K166" s="81"/>
      <c r="L166" s="81"/>
      <c r="M166" s="81"/>
      <c r="N166" s="84" t="str">
        <f aca="false">IF(C166="","",IF(P166="","NJ INCONNU",IF(I166="",IF(H166="OUI","À ENROBER",IF(G166="À SOUDER","NON SOUDÉ","EN ATTENTE RT")),IF(L166="R","À REPRENDRE",IF(H166&lt;&gt;"OUI","⚠ ENROBÉ AVANT ACCEPTATION RT","ENROBÉ")))))</f>
        <v>NON SOUDÉ</v>
      </c>
      <c r="O166" s="80"/>
      <c r="P166" s="82" t="n">
        <f aca="false">IF(C166="","",IFERROR(MATCH(Q166,'CARNET DE SOUDURE'!$AW$7:$AW$3006,0),""))</f>
        <v>160</v>
      </c>
      <c r="Q166" s="82" t="str">
        <f aca="false">IF(C166="","",B166&amp;"|"&amp;C166)</f>
        <v>MFD-ISW → MFD-CPF|JN°160</v>
      </c>
    </row>
    <row r="167" customFormat="false" ht="74.6" hidden="false" customHeight="false" outlineLevel="0" collapsed="false">
      <c r="A167" s="82" t="n">
        <f aca="false">IF(C167="","",ROW()-6)</f>
        <v>161</v>
      </c>
      <c r="B167" s="80" t="s">
        <v>110</v>
      </c>
      <c r="C167" s="113" t="s">
        <v>271</v>
      </c>
      <c r="D167" s="82" t="str">
        <f aca="false">IF(OR(C167="",P167=""),"",INDEX('CARNET DE SOUDURE'!$D$7:$D$3006,P167)&amp;"")</f>
        <v/>
      </c>
      <c r="E167" s="114" t="str">
        <f aca="false">IF(OR(C167="",P167=""),"",IF(INDEX('CARNET DE SOUDURE'!$U$7:$U$3006,P167)="","",INDEX('CARNET DE SOUDURE'!$U$7:$U$3006,P167)))</f>
        <v/>
      </c>
      <c r="F167" s="82" t="str">
        <f aca="false">IF(OR(C167="",P167=""),"",INDEX('CARNET DE SOUDURE'!$AP$7:$AP$3006,P167))</f>
        <v/>
      </c>
      <c r="G167" s="82" t="str">
        <f aca="false">IF(C167="","",IF(P167="","NJ INCONNU",INDEX('CARNET DE SOUDURE'!$AQ$7:$AQ$3006,P167)))</f>
        <v>À SOUDER</v>
      </c>
      <c r="H167" s="82" t="str">
        <f aca="false">IF(C167="","",IF(G167="ACCEPTÉ","OUI","NON"))</f>
        <v>NON</v>
      </c>
      <c r="I167" s="83"/>
      <c r="J167" s="80"/>
      <c r="K167" s="81"/>
      <c r="L167" s="81"/>
      <c r="M167" s="81"/>
      <c r="N167" s="84" t="str">
        <f aca="false">IF(C167="","",IF(P167="","NJ INCONNU",IF(I167="",IF(H167="OUI","À ENROBER",IF(G167="À SOUDER","NON SOUDÉ","EN ATTENTE RT")),IF(L167="R","À REPRENDRE",IF(H167&lt;&gt;"OUI","⚠ ENROBÉ AVANT ACCEPTATION RT","ENROBÉ")))))</f>
        <v>NON SOUDÉ</v>
      </c>
      <c r="O167" s="80"/>
      <c r="P167" s="82" t="n">
        <f aca="false">IF(C167="","",IFERROR(MATCH(Q167,'CARNET DE SOUDURE'!$AW$7:$AW$3006,0),""))</f>
        <v>161</v>
      </c>
      <c r="Q167" s="82" t="str">
        <f aca="false">IF(C167="","",B167&amp;"|"&amp;C167)</f>
        <v>MFD-ISW → MFD-CPF|JN°161</v>
      </c>
    </row>
    <row r="168" customFormat="false" ht="74.6" hidden="false" customHeight="false" outlineLevel="0" collapsed="false">
      <c r="A168" s="82" t="n">
        <f aca="false">IF(C168="","",ROW()-6)</f>
        <v>162</v>
      </c>
      <c r="B168" s="80" t="s">
        <v>110</v>
      </c>
      <c r="C168" s="113" t="s">
        <v>272</v>
      </c>
      <c r="D168" s="82" t="str">
        <f aca="false">IF(OR(C168="",P168=""),"",INDEX('CARNET DE SOUDURE'!$D$7:$D$3006,P168)&amp;"")</f>
        <v/>
      </c>
      <c r="E168" s="114" t="str">
        <f aca="false">IF(OR(C168="",P168=""),"",IF(INDEX('CARNET DE SOUDURE'!$U$7:$U$3006,P168)="","",INDEX('CARNET DE SOUDURE'!$U$7:$U$3006,P168)))</f>
        <v/>
      </c>
      <c r="F168" s="82" t="str">
        <f aca="false">IF(OR(C168="",P168=""),"",INDEX('CARNET DE SOUDURE'!$AP$7:$AP$3006,P168))</f>
        <v/>
      </c>
      <c r="G168" s="82" t="str">
        <f aca="false">IF(C168="","",IF(P168="","NJ INCONNU",INDEX('CARNET DE SOUDURE'!$AQ$7:$AQ$3006,P168)))</f>
        <v>À SOUDER</v>
      </c>
      <c r="H168" s="82" t="str">
        <f aca="false">IF(C168="","",IF(G168="ACCEPTÉ","OUI","NON"))</f>
        <v>NON</v>
      </c>
      <c r="I168" s="83"/>
      <c r="J168" s="80"/>
      <c r="K168" s="81"/>
      <c r="L168" s="81"/>
      <c r="M168" s="81"/>
      <c r="N168" s="84" t="str">
        <f aca="false">IF(C168="","",IF(P168="","NJ INCONNU",IF(I168="",IF(H168="OUI","À ENROBER",IF(G168="À SOUDER","NON SOUDÉ","EN ATTENTE RT")),IF(L168="R","À REPRENDRE",IF(H168&lt;&gt;"OUI","⚠ ENROBÉ AVANT ACCEPTATION RT","ENROBÉ")))))</f>
        <v>NON SOUDÉ</v>
      </c>
      <c r="O168" s="80"/>
      <c r="P168" s="82" t="n">
        <f aca="false">IF(C168="","",IFERROR(MATCH(Q168,'CARNET DE SOUDURE'!$AW$7:$AW$3006,0),""))</f>
        <v>162</v>
      </c>
      <c r="Q168" s="82" t="str">
        <f aca="false">IF(C168="","",B168&amp;"|"&amp;C168)</f>
        <v>MFD-ISW → MFD-CPF|JN°162</v>
      </c>
    </row>
    <row r="169" customFormat="false" ht="74.6" hidden="false" customHeight="false" outlineLevel="0" collapsed="false">
      <c r="A169" s="82" t="n">
        <f aca="false">IF(C169="","",ROW()-6)</f>
        <v>163</v>
      </c>
      <c r="B169" s="80" t="s">
        <v>110</v>
      </c>
      <c r="C169" s="113" t="s">
        <v>273</v>
      </c>
      <c r="D169" s="82" t="str">
        <f aca="false">IF(OR(C169="",P169=""),"",INDEX('CARNET DE SOUDURE'!$D$7:$D$3006,P169)&amp;"")</f>
        <v/>
      </c>
      <c r="E169" s="114" t="str">
        <f aca="false">IF(OR(C169="",P169=""),"",IF(INDEX('CARNET DE SOUDURE'!$U$7:$U$3006,P169)="","",INDEX('CARNET DE SOUDURE'!$U$7:$U$3006,P169)))</f>
        <v/>
      </c>
      <c r="F169" s="82" t="str">
        <f aca="false">IF(OR(C169="",P169=""),"",INDEX('CARNET DE SOUDURE'!$AP$7:$AP$3006,P169))</f>
        <v/>
      </c>
      <c r="G169" s="82" t="str">
        <f aca="false">IF(C169="","",IF(P169="","NJ INCONNU",INDEX('CARNET DE SOUDURE'!$AQ$7:$AQ$3006,P169)))</f>
        <v>À SOUDER</v>
      </c>
      <c r="H169" s="82" t="str">
        <f aca="false">IF(C169="","",IF(G169="ACCEPTÉ","OUI","NON"))</f>
        <v>NON</v>
      </c>
      <c r="I169" s="83"/>
      <c r="J169" s="80"/>
      <c r="K169" s="81"/>
      <c r="L169" s="81"/>
      <c r="M169" s="81"/>
      <c r="N169" s="84" t="str">
        <f aca="false">IF(C169="","",IF(P169="","NJ INCONNU",IF(I169="",IF(H169="OUI","À ENROBER",IF(G169="À SOUDER","NON SOUDÉ","EN ATTENTE RT")),IF(L169="R","À REPRENDRE",IF(H169&lt;&gt;"OUI","⚠ ENROBÉ AVANT ACCEPTATION RT","ENROBÉ")))))</f>
        <v>NON SOUDÉ</v>
      </c>
      <c r="O169" s="80"/>
      <c r="P169" s="82" t="n">
        <f aca="false">IF(C169="","",IFERROR(MATCH(Q169,'CARNET DE SOUDURE'!$AW$7:$AW$3006,0),""))</f>
        <v>163</v>
      </c>
      <c r="Q169" s="82" t="str">
        <f aca="false">IF(C169="","",B169&amp;"|"&amp;C169)</f>
        <v>MFD-ISW → MFD-CPF|JN°163</v>
      </c>
    </row>
    <row r="170" customFormat="false" ht="74.6" hidden="false" customHeight="false" outlineLevel="0" collapsed="false">
      <c r="A170" s="82" t="n">
        <f aca="false">IF(C170="","",ROW()-6)</f>
        <v>164</v>
      </c>
      <c r="B170" s="80" t="s">
        <v>110</v>
      </c>
      <c r="C170" s="113" t="s">
        <v>274</v>
      </c>
      <c r="D170" s="82" t="str">
        <f aca="false">IF(OR(C170="",P170=""),"",INDEX('CARNET DE SOUDURE'!$D$7:$D$3006,P170)&amp;"")</f>
        <v/>
      </c>
      <c r="E170" s="114" t="str">
        <f aca="false">IF(OR(C170="",P170=""),"",IF(INDEX('CARNET DE SOUDURE'!$U$7:$U$3006,P170)="","",INDEX('CARNET DE SOUDURE'!$U$7:$U$3006,P170)))</f>
        <v/>
      </c>
      <c r="F170" s="82" t="str">
        <f aca="false">IF(OR(C170="",P170=""),"",INDEX('CARNET DE SOUDURE'!$AP$7:$AP$3006,P170))</f>
        <v/>
      </c>
      <c r="G170" s="82" t="str">
        <f aca="false">IF(C170="","",IF(P170="","NJ INCONNU",INDEX('CARNET DE SOUDURE'!$AQ$7:$AQ$3006,P170)))</f>
        <v>À SOUDER</v>
      </c>
      <c r="H170" s="82" t="str">
        <f aca="false">IF(C170="","",IF(G170="ACCEPTÉ","OUI","NON"))</f>
        <v>NON</v>
      </c>
      <c r="I170" s="83"/>
      <c r="J170" s="80"/>
      <c r="K170" s="81"/>
      <c r="L170" s="81"/>
      <c r="M170" s="81"/>
      <c r="N170" s="84" t="str">
        <f aca="false">IF(C170="","",IF(P170="","NJ INCONNU",IF(I170="",IF(H170="OUI","À ENROBER",IF(G170="À SOUDER","NON SOUDÉ","EN ATTENTE RT")),IF(L170="R","À REPRENDRE",IF(H170&lt;&gt;"OUI","⚠ ENROBÉ AVANT ACCEPTATION RT","ENROBÉ")))))</f>
        <v>NON SOUDÉ</v>
      </c>
      <c r="O170" s="80"/>
      <c r="P170" s="82" t="n">
        <f aca="false">IF(C170="","",IFERROR(MATCH(Q170,'CARNET DE SOUDURE'!$AW$7:$AW$3006,0),""))</f>
        <v>164</v>
      </c>
      <c r="Q170" s="82" t="str">
        <f aca="false">IF(C170="","",B170&amp;"|"&amp;C170)</f>
        <v>MFD-ISW → MFD-CPF|JN°164</v>
      </c>
    </row>
    <row r="171" customFormat="false" ht="74.6" hidden="false" customHeight="false" outlineLevel="0" collapsed="false">
      <c r="A171" s="82" t="n">
        <f aca="false">IF(C171="","",ROW()-6)</f>
        <v>165</v>
      </c>
      <c r="B171" s="80" t="s">
        <v>110</v>
      </c>
      <c r="C171" s="113" t="s">
        <v>275</v>
      </c>
      <c r="D171" s="82" t="str">
        <f aca="false">IF(OR(C171="",P171=""),"",INDEX('CARNET DE SOUDURE'!$D$7:$D$3006,P171)&amp;"")</f>
        <v/>
      </c>
      <c r="E171" s="114" t="str">
        <f aca="false">IF(OR(C171="",P171=""),"",IF(INDEX('CARNET DE SOUDURE'!$U$7:$U$3006,P171)="","",INDEX('CARNET DE SOUDURE'!$U$7:$U$3006,P171)))</f>
        <v/>
      </c>
      <c r="F171" s="82" t="str">
        <f aca="false">IF(OR(C171="",P171=""),"",INDEX('CARNET DE SOUDURE'!$AP$7:$AP$3006,P171))</f>
        <v/>
      </c>
      <c r="G171" s="82" t="str">
        <f aca="false">IF(C171="","",IF(P171="","NJ INCONNU",INDEX('CARNET DE SOUDURE'!$AQ$7:$AQ$3006,P171)))</f>
        <v>À SOUDER</v>
      </c>
      <c r="H171" s="82" t="str">
        <f aca="false">IF(C171="","",IF(G171="ACCEPTÉ","OUI","NON"))</f>
        <v>NON</v>
      </c>
      <c r="I171" s="83"/>
      <c r="J171" s="80"/>
      <c r="K171" s="81"/>
      <c r="L171" s="81"/>
      <c r="M171" s="81"/>
      <c r="N171" s="84" t="str">
        <f aca="false">IF(C171="","",IF(P171="","NJ INCONNU",IF(I171="",IF(H171="OUI","À ENROBER",IF(G171="À SOUDER","NON SOUDÉ","EN ATTENTE RT")),IF(L171="R","À REPRENDRE",IF(H171&lt;&gt;"OUI","⚠ ENROBÉ AVANT ACCEPTATION RT","ENROBÉ")))))</f>
        <v>NON SOUDÉ</v>
      </c>
      <c r="O171" s="80"/>
      <c r="P171" s="82" t="n">
        <f aca="false">IF(C171="","",IFERROR(MATCH(Q171,'CARNET DE SOUDURE'!$AW$7:$AW$3006,0),""))</f>
        <v>165</v>
      </c>
      <c r="Q171" s="82" t="str">
        <f aca="false">IF(C171="","",B171&amp;"|"&amp;C171)</f>
        <v>MFD-ISW → MFD-CPF|JN°165</v>
      </c>
    </row>
    <row r="172" customFormat="false" ht="74.6" hidden="false" customHeight="false" outlineLevel="0" collapsed="false">
      <c r="A172" s="82" t="n">
        <f aca="false">IF(C172="","",ROW()-6)</f>
        <v>166</v>
      </c>
      <c r="B172" s="80" t="s">
        <v>110</v>
      </c>
      <c r="C172" s="113" t="s">
        <v>276</v>
      </c>
      <c r="D172" s="82" t="str">
        <f aca="false">IF(OR(C172="",P172=""),"",INDEX('CARNET DE SOUDURE'!$D$7:$D$3006,P172)&amp;"")</f>
        <v/>
      </c>
      <c r="E172" s="114" t="str">
        <f aca="false">IF(OR(C172="",P172=""),"",IF(INDEX('CARNET DE SOUDURE'!$U$7:$U$3006,P172)="","",INDEX('CARNET DE SOUDURE'!$U$7:$U$3006,P172)))</f>
        <v/>
      </c>
      <c r="F172" s="82" t="str">
        <f aca="false">IF(OR(C172="",P172=""),"",INDEX('CARNET DE SOUDURE'!$AP$7:$AP$3006,P172))</f>
        <v/>
      </c>
      <c r="G172" s="82" t="str">
        <f aca="false">IF(C172="","",IF(P172="","NJ INCONNU",INDEX('CARNET DE SOUDURE'!$AQ$7:$AQ$3006,P172)))</f>
        <v>À SOUDER</v>
      </c>
      <c r="H172" s="82" t="str">
        <f aca="false">IF(C172="","",IF(G172="ACCEPTÉ","OUI","NON"))</f>
        <v>NON</v>
      </c>
      <c r="I172" s="83"/>
      <c r="J172" s="80"/>
      <c r="K172" s="81"/>
      <c r="L172" s="81"/>
      <c r="M172" s="81"/>
      <c r="N172" s="84" t="str">
        <f aca="false">IF(C172="","",IF(P172="","NJ INCONNU",IF(I172="",IF(H172="OUI","À ENROBER",IF(G172="À SOUDER","NON SOUDÉ","EN ATTENTE RT")),IF(L172="R","À REPRENDRE",IF(H172&lt;&gt;"OUI","⚠ ENROBÉ AVANT ACCEPTATION RT","ENROBÉ")))))</f>
        <v>NON SOUDÉ</v>
      </c>
      <c r="O172" s="80"/>
      <c r="P172" s="82" t="n">
        <f aca="false">IF(C172="","",IFERROR(MATCH(Q172,'CARNET DE SOUDURE'!$AW$7:$AW$3006,0),""))</f>
        <v>166</v>
      </c>
      <c r="Q172" s="82" t="str">
        <f aca="false">IF(C172="","",B172&amp;"|"&amp;C172)</f>
        <v>MFD-ISW → MFD-CPF|JN°166</v>
      </c>
    </row>
    <row r="173" customFormat="false" ht="74.6" hidden="false" customHeight="false" outlineLevel="0" collapsed="false">
      <c r="A173" s="82" t="n">
        <f aca="false">IF(C173="","",ROW()-6)</f>
        <v>167</v>
      </c>
      <c r="B173" s="80" t="s">
        <v>110</v>
      </c>
      <c r="C173" s="113" t="s">
        <v>277</v>
      </c>
      <c r="D173" s="82" t="str">
        <f aca="false">IF(OR(C173="",P173=""),"",INDEX('CARNET DE SOUDURE'!$D$7:$D$3006,P173)&amp;"")</f>
        <v/>
      </c>
      <c r="E173" s="114" t="str">
        <f aca="false">IF(OR(C173="",P173=""),"",IF(INDEX('CARNET DE SOUDURE'!$U$7:$U$3006,P173)="","",INDEX('CARNET DE SOUDURE'!$U$7:$U$3006,P173)))</f>
        <v/>
      </c>
      <c r="F173" s="82" t="str">
        <f aca="false">IF(OR(C173="",P173=""),"",INDEX('CARNET DE SOUDURE'!$AP$7:$AP$3006,P173))</f>
        <v/>
      </c>
      <c r="G173" s="82" t="str">
        <f aca="false">IF(C173="","",IF(P173="","NJ INCONNU",INDEX('CARNET DE SOUDURE'!$AQ$7:$AQ$3006,P173)))</f>
        <v>À SOUDER</v>
      </c>
      <c r="H173" s="82" t="str">
        <f aca="false">IF(C173="","",IF(G173="ACCEPTÉ","OUI","NON"))</f>
        <v>NON</v>
      </c>
      <c r="I173" s="83"/>
      <c r="J173" s="80"/>
      <c r="K173" s="81"/>
      <c r="L173" s="81"/>
      <c r="M173" s="81"/>
      <c r="N173" s="84" t="str">
        <f aca="false">IF(C173="","",IF(P173="","NJ INCONNU",IF(I173="",IF(H173="OUI","À ENROBER",IF(G173="À SOUDER","NON SOUDÉ","EN ATTENTE RT")),IF(L173="R","À REPRENDRE",IF(H173&lt;&gt;"OUI","⚠ ENROBÉ AVANT ACCEPTATION RT","ENROBÉ")))))</f>
        <v>NON SOUDÉ</v>
      </c>
      <c r="O173" s="80"/>
      <c r="P173" s="82" t="n">
        <f aca="false">IF(C173="","",IFERROR(MATCH(Q173,'CARNET DE SOUDURE'!$AW$7:$AW$3006,0),""))</f>
        <v>167</v>
      </c>
      <c r="Q173" s="82" t="str">
        <f aca="false">IF(C173="","",B173&amp;"|"&amp;C173)</f>
        <v>MFD-ISW → MFD-CPF|JN°167</v>
      </c>
    </row>
    <row r="174" customFormat="false" ht="74.6" hidden="false" customHeight="false" outlineLevel="0" collapsed="false">
      <c r="A174" s="82" t="n">
        <f aca="false">IF(C174="","",ROW()-6)</f>
        <v>168</v>
      </c>
      <c r="B174" s="80" t="s">
        <v>110</v>
      </c>
      <c r="C174" s="113" t="s">
        <v>278</v>
      </c>
      <c r="D174" s="82" t="str">
        <f aca="false">IF(OR(C174="",P174=""),"",INDEX('CARNET DE SOUDURE'!$D$7:$D$3006,P174)&amp;"")</f>
        <v/>
      </c>
      <c r="E174" s="114" t="str">
        <f aca="false">IF(OR(C174="",P174=""),"",IF(INDEX('CARNET DE SOUDURE'!$U$7:$U$3006,P174)="","",INDEX('CARNET DE SOUDURE'!$U$7:$U$3006,P174)))</f>
        <v/>
      </c>
      <c r="F174" s="82" t="str">
        <f aca="false">IF(OR(C174="",P174=""),"",INDEX('CARNET DE SOUDURE'!$AP$7:$AP$3006,P174))</f>
        <v/>
      </c>
      <c r="G174" s="82" t="str">
        <f aca="false">IF(C174="","",IF(P174="","NJ INCONNU",INDEX('CARNET DE SOUDURE'!$AQ$7:$AQ$3006,P174)))</f>
        <v>À SOUDER</v>
      </c>
      <c r="H174" s="82" t="str">
        <f aca="false">IF(C174="","",IF(G174="ACCEPTÉ","OUI","NON"))</f>
        <v>NON</v>
      </c>
      <c r="I174" s="83"/>
      <c r="J174" s="80"/>
      <c r="K174" s="81"/>
      <c r="L174" s="81"/>
      <c r="M174" s="81"/>
      <c r="N174" s="84" t="str">
        <f aca="false">IF(C174="","",IF(P174="","NJ INCONNU",IF(I174="",IF(H174="OUI","À ENROBER",IF(G174="À SOUDER","NON SOUDÉ","EN ATTENTE RT")),IF(L174="R","À REPRENDRE",IF(H174&lt;&gt;"OUI","⚠ ENROBÉ AVANT ACCEPTATION RT","ENROBÉ")))))</f>
        <v>NON SOUDÉ</v>
      </c>
      <c r="O174" s="80"/>
      <c r="P174" s="82" t="n">
        <f aca="false">IF(C174="","",IFERROR(MATCH(Q174,'CARNET DE SOUDURE'!$AW$7:$AW$3006,0),""))</f>
        <v>168</v>
      </c>
      <c r="Q174" s="82" t="str">
        <f aca="false">IF(C174="","",B174&amp;"|"&amp;C174)</f>
        <v>MFD-ISW → MFD-CPF|JN°168</v>
      </c>
    </row>
    <row r="175" customFormat="false" ht="74.6" hidden="false" customHeight="false" outlineLevel="0" collapsed="false">
      <c r="A175" s="82" t="n">
        <f aca="false">IF(C175="","",ROW()-6)</f>
        <v>169</v>
      </c>
      <c r="B175" s="80" t="s">
        <v>110</v>
      </c>
      <c r="C175" s="113" t="s">
        <v>279</v>
      </c>
      <c r="D175" s="82" t="str">
        <f aca="false">IF(OR(C175="",P175=""),"",INDEX('CARNET DE SOUDURE'!$D$7:$D$3006,P175)&amp;"")</f>
        <v/>
      </c>
      <c r="E175" s="114" t="str">
        <f aca="false">IF(OR(C175="",P175=""),"",IF(INDEX('CARNET DE SOUDURE'!$U$7:$U$3006,P175)="","",INDEX('CARNET DE SOUDURE'!$U$7:$U$3006,P175)))</f>
        <v/>
      </c>
      <c r="F175" s="82" t="str">
        <f aca="false">IF(OR(C175="",P175=""),"",INDEX('CARNET DE SOUDURE'!$AP$7:$AP$3006,P175))</f>
        <v/>
      </c>
      <c r="G175" s="82" t="str">
        <f aca="false">IF(C175="","",IF(P175="","NJ INCONNU",INDEX('CARNET DE SOUDURE'!$AQ$7:$AQ$3006,P175)))</f>
        <v>À SOUDER</v>
      </c>
      <c r="H175" s="82" t="str">
        <f aca="false">IF(C175="","",IF(G175="ACCEPTÉ","OUI","NON"))</f>
        <v>NON</v>
      </c>
      <c r="I175" s="83"/>
      <c r="J175" s="80"/>
      <c r="K175" s="81"/>
      <c r="L175" s="81"/>
      <c r="M175" s="81"/>
      <c r="N175" s="84" t="str">
        <f aca="false">IF(C175="","",IF(P175="","NJ INCONNU",IF(I175="",IF(H175="OUI","À ENROBER",IF(G175="À SOUDER","NON SOUDÉ","EN ATTENTE RT")),IF(L175="R","À REPRENDRE",IF(H175&lt;&gt;"OUI","⚠ ENROBÉ AVANT ACCEPTATION RT","ENROBÉ")))))</f>
        <v>NON SOUDÉ</v>
      </c>
      <c r="O175" s="80"/>
      <c r="P175" s="82" t="n">
        <f aca="false">IF(C175="","",IFERROR(MATCH(Q175,'CARNET DE SOUDURE'!$AW$7:$AW$3006,0),""))</f>
        <v>169</v>
      </c>
      <c r="Q175" s="82" t="str">
        <f aca="false">IF(C175="","",B175&amp;"|"&amp;C175)</f>
        <v>MFD-ISW → MFD-CPF|JN°169</v>
      </c>
    </row>
    <row r="176" customFormat="false" ht="74.6" hidden="false" customHeight="false" outlineLevel="0" collapsed="false">
      <c r="A176" s="82" t="n">
        <f aca="false">IF(C176="","",ROW()-6)</f>
        <v>170</v>
      </c>
      <c r="B176" s="80" t="s">
        <v>110</v>
      </c>
      <c r="C176" s="113" t="s">
        <v>280</v>
      </c>
      <c r="D176" s="82" t="str">
        <f aca="false">IF(OR(C176="",P176=""),"",INDEX('CARNET DE SOUDURE'!$D$7:$D$3006,P176)&amp;"")</f>
        <v/>
      </c>
      <c r="E176" s="114" t="str">
        <f aca="false">IF(OR(C176="",P176=""),"",IF(INDEX('CARNET DE SOUDURE'!$U$7:$U$3006,P176)="","",INDEX('CARNET DE SOUDURE'!$U$7:$U$3006,P176)))</f>
        <v/>
      </c>
      <c r="F176" s="82" t="str">
        <f aca="false">IF(OR(C176="",P176=""),"",INDEX('CARNET DE SOUDURE'!$AP$7:$AP$3006,P176))</f>
        <v/>
      </c>
      <c r="G176" s="82" t="str">
        <f aca="false">IF(C176="","",IF(P176="","NJ INCONNU",INDEX('CARNET DE SOUDURE'!$AQ$7:$AQ$3006,P176)))</f>
        <v>À SOUDER</v>
      </c>
      <c r="H176" s="82" t="str">
        <f aca="false">IF(C176="","",IF(G176="ACCEPTÉ","OUI","NON"))</f>
        <v>NON</v>
      </c>
      <c r="I176" s="83"/>
      <c r="J176" s="80"/>
      <c r="K176" s="81"/>
      <c r="L176" s="81"/>
      <c r="M176" s="81"/>
      <c r="N176" s="84" t="str">
        <f aca="false">IF(C176="","",IF(P176="","NJ INCONNU",IF(I176="",IF(H176="OUI","À ENROBER",IF(G176="À SOUDER","NON SOUDÉ","EN ATTENTE RT")),IF(L176="R","À REPRENDRE",IF(H176&lt;&gt;"OUI","⚠ ENROBÉ AVANT ACCEPTATION RT","ENROBÉ")))))</f>
        <v>NON SOUDÉ</v>
      </c>
      <c r="O176" s="80"/>
      <c r="P176" s="82" t="n">
        <f aca="false">IF(C176="","",IFERROR(MATCH(Q176,'CARNET DE SOUDURE'!$AW$7:$AW$3006,0),""))</f>
        <v>170</v>
      </c>
      <c r="Q176" s="82" t="str">
        <f aca="false">IF(C176="","",B176&amp;"|"&amp;C176)</f>
        <v>MFD-ISW → MFD-CPF|JN°170</v>
      </c>
    </row>
    <row r="177" customFormat="false" ht="74.6" hidden="false" customHeight="false" outlineLevel="0" collapsed="false">
      <c r="A177" s="82" t="n">
        <f aca="false">IF(C177="","",ROW()-6)</f>
        <v>171</v>
      </c>
      <c r="B177" s="80" t="s">
        <v>110</v>
      </c>
      <c r="C177" s="113" t="s">
        <v>281</v>
      </c>
      <c r="D177" s="82" t="str">
        <f aca="false">IF(OR(C177="",P177=""),"",INDEX('CARNET DE SOUDURE'!$D$7:$D$3006,P177)&amp;"")</f>
        <v/>
      </c>
      <c r="E177" s="114" t="str">
        <f aca="false">IF(OR(C177="",P177=""),"",IF(INDEX('CARNET DE SOUDURE'!$U$7:$U$3006,P177)="","",INDEX('CARNET DE SOUDURE'!$U$7:$U$3006,P177)))</f>
        <v/>
      </c>
      <c r="F177" s="82" t="str">
        <f aca="false">IF(OR(C177="",P177=""),"",INDEX('CARNET DE SOUDURE'!$AP$7:$AP$3006,P177))</f>
        <v/>
      </c>
      <c r="G177" s="82" t="str">
        <f aca="false">IF(C177="","",IF(P177="","NJ INCONNU",INDEX('CARNET DE SOUDURE'!$AQ$7:$AQ$3006,P177)))</f>
        <v>À SOUDER</v>
      </c>
      <c r="H177" s="82" t="str">
        <f aca="false">IF(C177="","",IF(G177="ACCEPTÉ","OUI","NON"))</f>
        <v>NON</v>
      </c>
      <c r="I177" s="83"/>
      <c r="J177" s="80"/>
      <c r="K177" s="81"/>
      <c r="L177" s="81"/>
      <c r="M177" s="81"/>
      <c r="N177" s="84" t="str">
        <f aca="false">IF(C177="","",IF(P177="","NJ INCONNU",IF(I177="",IF(H177="OUI","À ENROBER",IF(G177="À SOUDER","NON SOUDÉ","EN ATTENTE RT")),IF(L177="R","À REPRENDRE",IF(H177&lt;&gt;"OUI","⚠ ENROBÉ AVANT ACCEPTATION RT","ENROBÉ")))))</f>
        <v>NON SOUDÉ</v>
      </c>
      <c r="O177" s="80"/>
      <c r="P177" s="82" t="n">
        <f aca="false">IF(C177="","",IFERROR(MATCH(Q177,'CARNET DE SOUDURE'!$AW$7:$AW$3006,0),""))</f>
        <v>171</v>
      </c>
      <c r="Q177" s="82" t="str">
        <f aca="false">IF(C177="","",B177&amp;"|"&amp;C177)</f>
        <v>MFD-ISW → MFD-CPF|JN°171</v>
      </c>
    </row>
    <row r="178" customFormat="false" ht="74.6" hidden="false" customHeight="false" outlineLevel="0" collapsed="false">
      <c r="A178" s="82" t="n">
        <f aca="false">IF(C178="","",ROW()-6)</f>
        <v>172</v>
      </c>
      <c r="B178" s="80" t="s">
        <v>110</v>
      </c>
      <c r="C178" s="113" t="s">
        <v>282</v>
      </c>
      <c r="D178" s="82" t="str">
        <f aca="false">IF(OR(C178="",P178=""),"",INDEX('CARNET DE SOUDURE'!$D$7:$D$3006,P178)&amp;"")</f>
        <v/>
      </c>
      <c r="E178" s="114" t="str">
        <f aca="false">IF(OR(C178="",P178=""),"",IF(INDEX('CARNET DE SOUDURE'!$U$7:$U$3006,P178)="","",INDEX('CARNET DE SOUDURE'!$U$7:$U$3006,P178)))</f>
        <v/>
      </c>
      <c r="F178" s="82" t="str">
        <f aca="false">IF(OR(C178="",P178=""),"",INDEX('CARNET DE SOUDURE'!$AP$7:$AP$3006,P178))</f>
        <v/>
      </c>
      <c r="G178" s="82" t="str">
        <f aca="false">IF(C178="","",IF(P178="","NJ INCONNU",INDEX('CARNET DE SOUDURE'!$AQ$7:$AQ$3006,P178)))</f>
        <v>À SOUDER</v>
      </c>
      <c r="H178" s="82" t="str">
        <f aca="false">IF(C178="","",IF(G178="ACCEPTÉ","OUI","NON"))</f>
        <v>NON</v>
      </c>
      <c r="I178" s="83"/>
      <c r="J178" s="80"/>
      <c r="K178" s="81"/>
      <c r="L178" s="81"/>
      <c r="M178" s="81"/>
      <c r="N178" s="84" t="str">
        <f aca="false">IF(C178="","",IF(P178="","NJ INCONNU",IF(I178="",IF(H178="OUI","À ENROBER",IF(G178="À SOUDER","NON SOUDÉ","EN ATTENTE RT")),IF(L178="R","À REPRENDRE",IF(H178&lt;&gt;"OUI","⚠ ENROBÉ AVANT ACCEPTATION RT","ENROBÉ")))))</f>
        <v>NON SOUDÉ</v>
      </c>
      <c r="O178" s="80"/>
      <c r="P178" s="82" t="n">
        <f aca="false">IF(C178="","",IFERROR(MATCH(Q178,'CARNET DE SOUDURE'!$AW$7:$AW$3006,0),""))</f>
        <v>172</v>
      </c>
      <c r="Q178" s="82" t="str">
        <f aca="false">IF(C178="","",B178&amp;"|"&amp;C178)</f>
        <v>MFD-ISW → MFD-CPF|JN°172</v>
      </c>
    </row>
    <row r="179" customFormat="false" ht="74.6" hidden="false" customHeight="false" outlineLevel="0" collapsed="false">
      <c r="A179" s="82" t="n">
        <f aca="false">IF(C179="","",ROW()-6)</f>
        <v>173</v>
      </c>
      <c r="B179" s="80" t="s">
        <v>110</v>
      </c>
      <c r="C179" s="113" t="s">
        <v>283</v>
      </c>
      <c r="D179" s="82" t="str">
        <f aca="false">IF(OR(C179="",P179=""),"",INDEX('CARNET DE SOUDURE'!$D$7:$D$3006,P179)&amp;"")</f>
        <v/>
      </c>
      <c r="E179" s="114" t="str">
        <f aca="false">IF(OR(C179="",P179=""),"",IF(INDEX('CARNET DE SOUDURE'!$U$7:$U$3006,P179)="","",INDEX('CARNET DE SOUDURE'!$U$7:$U$3006,P179)))</f>
        <v/>
      </c>
      <c r="F179" s="82" t="str">
        <f aca="false">IF(OR(C179="",P179=""),"",INDEX('CARNET DE SOUDURE'!$AP$7:$AP$3006,P179))</f>
        <v/>
      </c>
      <c r="G179" s="82" t="str">
        <f aca="false">IF(C179="","",IF(P179="","NJ INCONNU",INDEX('CARNET DE SOUDURE'!$AQ$7:$AQ$3006,P179)))</f>
        <v>À SOUDER</v>
      </c>
      <c r="H179" s="82" t="str">
        <f aca="false">IF(C179="","",IF(G179="ACCEPTÉ","OUI","NON"))</f>
        <v>NON</v>
      </c>
      <c r="I179" s="83"/>
      <c r="J179" s="80"/>
      <c r="K179" s="81"/>
      <c r="L179" s="81"/>
      <c r="M179" s="81"/>
      <c r="N179" s="84" t="str">
        <f aca="false">IF(C179="","",IF(P179="","NJ INCONNU",IF(I179="",IF(H179="OUI","À ENROBER",IF(G179="À SOUDER","NON SOUDÉ","EN ATTENTE RT")),IF(L179="R","À REPRENDRE",IF(H179&lt;&gt;"OUI","⚠ ENROBÉ AVANT ACCEPTATION RT","ENROBÉ")))))</f>
        <v>NON SOUDÉ</v>
      </c>
      <c r="O179" s="80"/>
      <c r="P179" s="82" t="n">
        <f aca="false">IF(C179="","",IFERROR(MATCH(Q179,'CARNET DE SOUDURE'!$AW$7:$AW$3006,0),""))</f>
        <v>173</v>
      </c>
      <c r="Q179" s="82" t="str">
        <f aca="false">IF(C179="","",B179&amp;"|"&amp;C179)</f>
        <v>MFD-ISW → MFD-CPF|JN°173</v>
      </c>
    </row>
    <row r="180" customFormat="false" ht="74.6" hidden="false" customHeight="false" outlineLevel="0" collapsed="false">
      <c r="A180" s="82" t="n">
        <f aca="false">IF(C180="","",ROW()-6)</f>
        <v>174</v>
      </c>
      <c r="B180" s="80" t="s">
        <v>110</v>
      </c>
      <c r="C180" s="113" t="s">
        <v>284</v>
      </c>
      <c r="D180" s="82" t="str">
        <f aca="false">IF(OR(C180="",P180=""),"",INDEX('CARNET DE SOUDURE'!$D$7:$D$3006,P180)&amp;"")</f>
        <v/>
      </c>
      <c r="E180" s="114" t="str">
        <f aca="false">IF(OR(C180="",P180=""),"",IF(INDEX('CARNET DE SOUDURE'!$U$7:$U$3006,P180)="","",INDEX('CARNET DE SOUDURE'!$U$7:$U$3006,P180)))</f>
        <v/>
      </c>
      <c r="F180" s="82" t="str">
        <f aca="false">IF(OR(C180="",P180=""),"",INDEX('CARNET DE SOUDURE'!$AP$7:$AP$3006,P180))</f>
        <v/>
      </c>
      <c r="G180" s="82" t="str">
        <f aca="false">IF(C180="","",IF(P180="","NJ INCONNU",INDEX('CARNET DE SOUDURE'!$AQ$7:$AQ$3006,P180)))</f>
        <v>À SOUDER</v>
      </c>
      <c r="H180" s="82" t="str">
        <f aca="false">IF(C180="","",IF(G180="ACCEPTÉ","OUI","NON"))</f>
        <v>NON</v>
      </c>
      <c r="I180" s="83"/>
      <c r="J180" s="80"/>
      <c r="K180" s="81"/>
      <c r="L180" s="81"/>
      <c r="M180" s="81"/>
      <c r="N180" s="84" t="str">
        <f aca="false">IF(C180="","",IF(P180="","NJ INCONNU",IF(I180="",IF(H180="OUI","À ENROBER",IF(G180="À SOUDER","NON SOUDÉ","EN ATTENTE RT")),IF(L180="R","À REPRENDRE",IF(H180&lt;&gt;"OUI","⚠ ENROBÉ AVANT ACCEPTATION RT","ENROBÉ")))))</f>
        <v>NON SOUDÉ</v>
      </c>
      <c r="O180" s="80"/>
      <c r="P180" s="82" t="n">
        <f aca="false">IF(C180="","",IFERROR(MATCH(Q180,'CARNET DE SOUDURE'!$AW$7:$AW$3006,0),""))</f>
        <v>174</v>
      </c>
      <c r="Q180" s="82" t="str">
        <f aca="false">IF(C180="","",B180&amp;"|"&amp;C180)</f>
        <v>MFD-ISW → MFD-CPF|JN°174</v>
      </c>
    </row>
    <row r="181" customFormat="false" ht="74.6" hidden="false" customHeight="false" outlineLevel="0" collapsed="false">
      <c r="A181" s="82" t="n">
        <f aca="false">IF(C181="","",ROW()-6)</f>
        <v>175</v>
      </c>
      <c r="B181" s="80" t="s">
        <v>110</v>
      </c>
      <c r="C181" s="113" t="s">
        <v>285</v>
      </c>
      <c r="D181" s="82" t="str">
        <f aca="false">IF(OR(C181="",P181=""),"",INDEX('CARNET DE SOUDURE'!$D$7:$D$3006,P181)&amp;"")</f>
        <v/>
      </c>
      <c r="E181" s="114" t="str">
        <f aca="false">IF(OR(C181="",P181=""),"",IF(INDEX('CARNET DE SOUDURE'!$U$7:$U$3006,P181)="","",INDEX('CARNET DE SOUDURE'!$U$7:$U$3006,P181)))</f>
        <v/>
      </c>
      <c r="F181" s="82" t="str">
        <f aca="false">IF(OR(C181="",P181=""),"",INDEX('CARNET DE SOUDURE'!$AP$7:$AP$3006,P181))</f>
        <v/>
      </c>
      <c r="G181" s="82" t="str">
        <f aca="false">IF(C181="","",IF(P181="","NJ INCONNU",INDEX('CARNET DE SOUDURE'!$AQ$7:$AQ$3006,P181)))</f>
        <v>À SOUDER</v>
      </c>
      <c r="H181" s="82" t="str">
        <f aca="false">IF(C181="","",IF(G181="ACCEPTÉ","OUI","NON"))</f>
        <v>NON</v>
      </c>
      <c r="I181" s="83"/>
      <c r="J181" s="80"/>
      <c r="K181" s="81"/>
      <c r="L181" s="81"/>
      <c r="M181" s="81"/>
      <c r="N181" s="84" t="str">
        <f aca="false">IF(C181="","",IF(P181="","NJ INCONNU",IF(I181="",IF(H181="OUI","À ENROBER",IF(G181="À SOUDER","NON SOUDÉ","EN ATTENTE RT")),IF(L181="R","À REPRENDRE",IF(H181&lt;&gt;"OUI","⚠ ENROBÉ AVANT ACCEPTATION RT","ENROBÉ")))))</f>
        <v>NON SOUDÉ</v>
      </c>
      <c r="O181" s="80"/>
      <c r="P181" s="82" t="n">
        <f aca="false">IF(C181="","",IFERROR(MATCH(Q181,'CARNET DE SOUDURE'!$AW$7:$AW$3006,0),""))</f>
        <v>175</v>
      </c>
      <c r="Q181" s="82" t="str">
        <f aca="false">IF(C181="","",B181&amp;"|"&amp;C181)</f>
        <v>MFD-ISW → MFD-CPF|JN°175</v>
      </c>
    </row>
    <row r="182" customFormat="false" ht="74.6" hidden="false" customHeight="false" outlineLevel="0" collapsed="false">
      <c r="A182" s="82" t="n">
        <f aca="false">IF(C182="","",ROW()-6)</f>
        <v>176</v>
      </c>
      <c r="B182" s="80" t="s">
        <v>110</v>
      </c>
      <c r="C182" s="113" t="s">
        <v>286</v>
      </c>
      <c r="D182" s="82" t="str">
        <f aca="false">IF(OR(C182="",P182=""),"",INDEX('CARNET DE SOUDURE'!$D$7:$D$3006,P182)&amp;"")</f>
        <v/>
      </c>
      <c r="E182" s="114" t="str">
        <f aca="false">IF(OR(C182="",P182=""),"",IF(INDEX('CARNET DE SOUDURE'!$U$7:$U$3006,P182)="","",INDEX('CARNET DE SOUDURE'!$U$7:$U$3006,P182)))</f>
        <v/>
      </c>
      <c r="F182" s="82" t="str">
        <f aca="false">IF(OR(C182="",P182=""),"",INDEX('CARNET DE SOUDURE'!$AP$7:$AP$3006,P182))</f>
        <v/>
      </c>
      <c r="G182" s="82" t="str">
        <f aca="false">IF(C182="","",IF(P182="","NJ INCONNU",INDEX('CARNET DE SOUDURE'!$AQ$7:$AQ$3006,P182)))</f>
        <v>À SOUDER</v>
      </c>
      <c r="H182" s="82" t="str">
        <f aca="false">IF(C182="","",IF(G182="ACCEPTÉ","OUI","NON"))</f>
        <v>NON</v>
      </c>
      <c r="I182" s="83"/>
      <c r="J182" s="80"/>
      <c r="K182" s="81"/>
      <c r="L182" s="81"/>
      <c r="M182" s="81"/>
      <c r="N182" s="84" t="str">
        <f aca="false">IF(C182="","",IF(P182="","NJ INCONNU",IF(I182="",IF(H182="OUI","À ENROBER",IF(G182="À SOUDER","NON SOUDÉ","EN ATTENTE RT")),IF(L182="R","À REPRENDRE",IF(H182&lt;&gt;"OUI","⚠ ENROBÉ AVANT ACCEPTATION RT","ENROBÉ")))))</f>
        <v>NON SOUDÉ</v>
      </c>
      <c r="O182" s="80"/>
      <c r="P182" s="82" t="n">
        <f aca="false">IF(C182="","",IFERROR(MATCH(Q182,'CARNET DE SOUDURE'!$AW$7:$AW$3006,0),""))</f>
        <v>176</v>
      </c>
      <c r="Q182" s="82" t="str">
        <f aca="false">IF(C182="","",B182&amp;"|"&amp;C182)</f>
        <v>MFD-ISW → MFD-CPF|JN°176</v>
      </c>
    </row>
    <row r="183" customFormat="false" ht="74.6" hidden="false" customHeight="false" outlineLevel="0" collapsed="false">
      <c r="A183" s="82" t="n">
        <f aca="false">IF(C183="","",ROW()-6)</f>
        <v>177</v>
      </c>
      <c r="B183" s="80" t="s">
        <v>110</v>
      </c>
      <c r="C183" s="113" t="s">
        <v>287</v>
      </c>
      <c r="D183" s="82" t="str">
        <f aca="false">IF(OR(C183="",P183=""),"",INDEX('CARNET DE SOUDURE'!$D$7:$D$3006,P183)&amp;"")</f>
        <v/>
      </c>
      <c r="E183" s="114" t="str">
        <f aca="false">IF(OR(C183="",P183=""),"",IF(INDEX('CARNET DE SOUDURE'!$U$7:$U$3006,P183)="","",INDEX('CARNET DE SOUDURE'!$U$7:$U$3006,P183)))</f>
        <v/>
      </c>
      <c r="F183" s="82" t="str">
        <f aca="false">IF(OR(C183="",P183=""),"",INDEX('CARNET DE SOUDURE'!$AP$7:$AP$3006,P183))</f>
        <v/>
      </c>
      <c r="G183" s="82" t="str">
        <f aca="false">IF(C183="","",IF(P183="","NJ INCONNU",INDEX('CARNET DE SOUDURE'!$AQ$7:$AQ$3006,P183)))</f>
        <v>À SOUDER</v>
      </c>
      <c r="H183" s="82" t="str">
        <f aca="false">IF(C183="","",IF(G183="ACCEPTÉ","OUI","NON"))</f>
        <v>NON</v>
      </c>
      <c r="I183" s="83"/>
      <c r="J183" s="80"/>
      <c r="K183" s="81"/>
      <c r="L183" s="81"/>
      <c r="M183" s="81"/>
      <c r="N183" s="84" t="str">
        <f aca="false">IF(C183="","",IF(P183="","NJ INCONNU",IF(I183="",IF(H183="OUI","À ENROBER",IF(G183="À SOUDER","NON SOUDÉ","EN ATTENTE RT")),IF(L183="R","À REPRENDRE",IF(H183&lt;&gt;"OUI","⚠ ENROBÉ AVANT ACCEPTATION RT","ENROBÉ")))))</f>
        <v>NON SOUDÉ</v>
      </c>
      <c r="O183" s="80"/>
      <c r="P183" s="82" t="n">
        <f aca="false">IF(C183="","",IFERROR(MATCH(Q183,'CARNET DE SOUDURE'!$AW$7:$AW$3006,0),""))</f>
        <v>177</v>
      </c>
      <c r="Q183" s="82" t="str">
        <f aca="false">IF(C183="","",B183&amp;"|"&amp;C183)</f>
        <v>MFD-ISW → MFD-CPF|JN°177</v>
      </c>
    </row>
    <row r="184" customFormat="false" ht="74.6" hidden="false" customHeight="false" outlineLevel="0" collapsed="false">
      <c r="A184" s="82" t="n">
        <f aca="false">IF(C184="","",ROW()-6)</f>
        <v>178</v>
      </c>
      <c r="B184" s="80" t="s">
        <v>110</v>
      </c>
      <c r="C184" s="113" t="s">
        <v>288</v>
      </c>
      <c r="D184" s="82" t="str">
        <f aca="false">IF(OR(C184="",P184=""),"",INDEX('CARNET DE SOUDURE'!$D$7:$D$3006,P184)&amp;"")</f>
        <v/>
      </c>
      <c r="E184" s="114" t="str">
        <f aca="false">IF(OR(C184="",P184=""),"",IF(INDEX('CARNET DE SOUDURE'!$U$7:$U$3006,P184)="","",INDEX('CARNET DE SOUDURE'!$U$7:$U$3006,P184)))</f>
        <v/>
      </c>
      <c r="F184" s="82" t="str">
        <f aca="false">IF(OR(C184="",P184=""),"",INDEX('CARNET DE SOUDURE'!$AP$7:$AP$3006,P184))</f>
        <v/>
      </c>
      <c r="G184" s="82" t="str">
        <f aca="false">IF(C184="","",IF(P184="","NJ INCONNU",INDEX('CARNET DE SOUDURE'!$AQ$7:$AQ$3006,P184)))</f>
        <v>À SOUDER</v>
      </c>
      <c r="H184" s="82" t="str">
        <f aca="false">IF(C184="","",IF(G184="ACCEPTÉ","OUI","NON"))</f>
        <v>NON</v>
      </c>
      <c r="I184" s="83"/>
      <c r="J184" s="80"/>
      <c r="K184" s="81"/>
      <c r="L184" s="81"/>
      <c r="M184" s="81"/>
      <c r="N184" s="84" t="str">
        <f aca="false">IF(C184="","",IF(P184="","NJ INCONNU",IF(I184="",IF(H184="OUI","À ENROBER",IF(G184="À SOUDER","NON SOUDÉ","EN ATTENTE RT")),IF(L184="R","À REPRENDRE",IF(H184&lt;&gt;"OUI","⚠ ENROBÉ AVANT ACCEPTATION RT","ENROBÉ")))))</f>
        <v>NON SOUDÉ</v>
      </c>
      <c r="O184" s="80"/>
      <c r="P184" s="82" t="n">
        <f aca="false">IF(C184="","",IFERROR(MATCH(Q184,'CARNET DE SOUDURE'!$AW$7:$AW$3006,0),""))</f>
        <v>178</v>
      </c>
      <c r="Q184" s="82" t="str">
        <f aca="false">IF(C184="","",B184&amp;"|"&amp;C184)</f>
        <v>MFD-ISW → MFD-CPF|JN°178</v>
      </c>
    </row>
    <row r="185" customFormat="false" ht="74.6" hidden="false" customHeight="false" outlineLevel="0" collapsed="false">
      <c r="A185" s="82" t="n">
        <f aca="false">IF(C185="","",ROW()-6)</f>
        <v>179</v>
      </c>
      <c r="B185" s="80" t="s">
        <v>110</v>
      </c>
      <c r="C185" s="113" t="s">
        <v>289</v>
      </c>
      <c r="D185" s="82" t="str">
        <f aca="false">IF(OR(C185="",P185=""),"",INDEX('CARNET DE SOUDURE'!$D$7:$D$3006,P185)&amp;"")</f>
        <v/>
      </c>
      <c r="E185" s="114" t="str">
        <f aca="false">IF(OR(C185="",P185=""),"",IF(INDEX('CARNET DE SOUDURE'!$U$7:$U$3006,P185)="","",INDEX('CARNET DE SOUDURE'!$U$7:$U$3006,P185)))</f>
        <v/>
      </c>
      <c r="F185" s="82" t="str">
        <f aca="false">IF(OR(C185="",P185=""),"",INDEX('CARNET DE SOUDURE'!$AP$7:$AP$3006,P185))</f>
        <v/>
      </c>
      <c r="G185" s="82" t="str">
        <f aca="false">IF(C185="","",IF(P185="","NJ INCONNU",INDEX('CARNET DE SOUDURE'!$AQ$7:$AQ$3006,P185)))</f>
        <v>À SOUDER</v>
      </c>
      <c r="H185" s="82" t="str">
        <f aca="false">IF(C185="","",IF(G185="ACCEPTÉ","OUI","NON"))</f>
        <v>NON</v>
      </c>
      <c r="I185" s="83"/>
      <c r="J185" s="80"/>
      <c r="K185" s="81"/>
      <c r="L185" s="81"/>
      <c r="M185" s="81"/>
      <c r="N185" s="84" t="str">
        <f aca="false">IF(C185="","",IF(P185="","NJ INCONNU",IF(I185="",IF(H185="OUI","À ENROBER",IF(G185="À SOUDER","NON SOUDÉ","EN ATTENTE RT")),IF(L185="R","À REPRENDRE",IF(H185&lt;&gt;"OUI","⚠ ENROBÉ AVANT ACCEPTATION RT","ENROBÉ")))))</f>
        <v>NON SOUDÉ</v>
      </c>
      <c r="O185" s="80"/>
      <c r="P185" s="82" t="n">
        <f aca="false">IF(C185="","",IFERROR(MATCH(Q185,'CARNET DE SOUDURE'!$AW$7:$AW$3006,0),""))</f>
        <v>179</v>
      </c>
      <c r="Q185" s="82" t="str">
        <f aca="false">IF(C185="","",B185&amp;"|"&amp;C185)</f>
        <v>MFD-ISW → MFD-CPF|JN°179</v>
      </c>
    </row>
    <row r="186" customFormat="false" ht="74.6" hidden="false" customHeight="false" outlineLevel="0" collapsed="false">
      <c r="A186" s="82" t="n">
        <f aca="false">IF(C186="","",ROW()-6)</f>
        <v>180</v>
      </c>
      <c r="B186" s="80" t="s">
        <v>110</v>
      </c>
      <c r="C186" s="113" t="s">
        <v>290</v>
      </c>
      <c r="D186" s="82" t="str">
        <f aca="false">IF(OR(C186="",P186=""),"",INDEX('CARNET DE SOUDURE'!$D$7:$D$3006,P186)&amp;"")</f>
        <v/>
      </c>
      <c r="E186" s="114" t="str">
        <f aca="false">IF(OR(C186="",P186=""),"",IF(INDEX('CARNET DE SOUDURE'!$U$7:$U$3006,P186)="","",INDEX('CARNET DE SOUDURE'!$U$7:$U$3006,P186)))</f>
        <v/>
      </c>
      <c r="F186" s="82" t="str">
        <f aca="false">IF(OR(C186="",P186=""),"",INDEX('CARNET DE SOUDURE'!$AP$7:$AP$3006,P186))</f>
        <v/>
      </c>
      <c r="G186" s="82" t="str">
        <f aca="false">IF(C186="","",IF(P186="","NJ INCONNU",INDEX('CARNET DE SOUDURE'!$AQ$7:$AQ$3006,P186)))</f>
        <v>À SOUDER</v>
      </c>
      <c r="H186" s="82" t="str">
        <f aca="false">IF(C186="","",IF(G186="ACCEPTÉ","OUI","NON"))</f>
        <v>NON</v>
      </c>
      <c r="I186" s="83"/>
      <c r="J186" s="80"/>
      <c r="K186" s="81"/>
      <c r="L186" s="81"/>
      <c r="M186" s="81"/>
      <c r="N186" s="84" t="str">
        <f aca="false">IF(C186="","",IF(P186="","NJ INCONNU",IF(I186="",IF(H186="OUI","À ENROBER",IF(G186="À SOUDER","NON SOUDÉ","EN ATTENTE RT")),IF(L186="R","À REPRENDRE",IF(H186&lt;&gt;"OUI","⚠ ENROBÉ AVANT ACCEPTATION RT","ENROBÉ")))))</f>
        <v>NON SOUDÉ</v>
      </c>
      <c r="O186" s="80"/>
      <c r="P186" s="82" t="n">
        <f aca="false">IF(C186="","",IFERROR(MATCH(Q186,'CARNET DE SOUDURE'!$AW$7:$AW$3006,0),""))</f>
        <v>180</v>
      </c>
      <c r="Q186" s="82" t="str">
        <f aca="false">IF(C186="","",B186&amp;"|"&amp;C186)</f>
        <v>MFD-ISW → MFD-CPF|JN°180</v>
      </c>
    </row>
    <row r="187" customFormat="false" ht="74.6" hidden="false" customHeight="false" outlineLevel="0" collapsed="false">
      <c r="A187" s="82" t="n">
        <f aca="false">IF(C187="","",ROW()-6)</f>
        <v>181</v>
      </c>
      <c r="B187" s="80" t="s">
        <v>110</v>
      </c>
      <c r="C187" s="113" t="s">
        <v>291</v>
      </c>
      <c r="D187" s="82" t="str">
        <f aca="false">IF(OR(C187="",P187=""),"",INDEX('CARNET DE SOUDURE'!$D$7:$D$3006,P187)&amp;"")</f>
        <v/>
      </c>
      <c r="E187" s="114" t="str">
        <f aca="false">IF(OR(C187="",P187=""),"",IF(INDEX('CARNET DE SOUDURE'!$U$7:$U$3006,P187)="","",INDEX('CARNET DE SOUDURE'!$U$7:$U$3006,P187)))</f>
        <v/>
      </c>
      <c r="F187" s="82" t="str">
        <f aca="false">IF(OR(C187="",P187=""),"",INDEX('CARNET DE SOUDURE'!$AP$7:$AP$3006,P187))</f>
        <v/>
      </c>
      <c r="G187" s="82" t="str">
        <f aca="false">IF(C187="","",IF(P187="","NJ INCONNU",INDEX('CARNET DE SOUDURE'!$AQ$7:$AQ$3006,P187)))</f>
        <v>À SOUDER</v>
      </c>
      <c r="H187" s="82" t="str">
        <f aca="false">IF(C187="","",IF(G187="ACCEPTÉ","OUI","NON"))</f>
        <v>NON</v>
      </c>
      <c r="I187" s="83"/>
      <c r="J187" s="80"/>
      <c r="K187" s="81"/>
      <c r="L187" s="81"/>
      <c r="M187" s="81"/>
      <c r="N187" s="84" t="str">
        <f aca="false">IF(C187="","",IF(P187="","NJ INCONNU",IF(I187="",IF(H187="OUI","À ENROBER",IF(G187="À SOUDER","NON SOUDÉ","EN ATTENTE RT")),IF(L187="R","À REPRENDRE",IF(H187&lt;&gt;"OUI","⚠ ENROBÉ AVANT ACCEPTATION RT","ENROBÉ")))))</f>
        <v>NON SOUDÉ</v>
      </c>
      <c r="O187" s="80"/>
      <c r="P187" s="82" t="n">
        <f aca="false">IF(C187="","",IFERROR(MATCH(Q187,'CARNET DE SOUDURE'!$AW$7:$AW$3006,0),""))</f>
        <v>181</v>
      </c>
      <c r="Q187" s="82" t="str">
        <f aca="false">IF(C187="","",B187&amp;"|"&amp;C187)</f>
        <v>MFD-ISW → MFD-CPF|JN°181</v>
      </c>
    </row>
    <row r="188" customFormat="false" ht="74.6" hidden="false" customHeight="false" outlineLevel="0" collapsed="false">
      <c r="A188" s="82" t="n">
        <f aca="false">IF(C188="","",ROW()-6)</f>
        <v>182</v>
      </c>
      <c r="B188" s="80" t="s">
        <v>110</v>
      </c>
      <c r="C188" s="113" t="s">
        <v>292</v>
      </c>
      <c r="D188" s="82" t="str">
        <f aca="false">IF(OR(C188="",P188=""),"",INDEX('CARNET DE SOUDURE'!$D$7:$D$3006,P188)&amp;"")</f>
        <v/>
      </c>
      <c r="E188" s="114" t="str">
        <f aca="false">IF(OR(C188="",P188=""),"",IF(INDEX('CARNET DE SOUDURE'!$U$7:$U$3006,P188)="","",INDEX('CARNET DE SOUDURE'!$U$7:$U$3006,P188)))</f>
        <v/>
      </c>
      <c r="F188" s="82" t="str">
        <f aca="false">IF(OR(C188="",P188=""),"",INDEX('CARNET DE SOUDURE'!$AP$7:$AP$3006,P188))</f>
        <v/>
      </c>
      <c r="G188" s="82" t="str">
        <f aca="false">IF(C188="","",IF(P188="","NJ INCONNU",INDEX('CARNET DE SOUDURE'!$AQ$7:$AQ$3006,P188)))</f>
        <v>À SOUDER</v>
      </c>
      <c r="H188" s="82" t="str">
        <f aca="false">IF(C188="","",IF(G188="ACCEPTÉ","OUI","NON"))</f>
        <v>NON</v>
      </c>
      <c r="I188" s="83"/>
      <c r="J188" s="80"/>
      <c r="K188" s="81"/>
      <c r="L188" s="81"/>
      <c r="M188" s="81"/>
      <c r="N188" s="84" t="str">
        <f aca="false">IF(C188="","",IF(P188="","NJ INCONNU",IF(I188="",IF(H188="OUI","À ENROBER",IF(G188="À SOUDER","NON SOUDÉ","EN ATTENTE RT")),IF(L188="R","À REPRENDRE",IF(H188&lt;&gt;"OUI","⚠ ENROBÉ AVANT ACCEPTATION RT","ENROBÉ")))))</f>
        <v>NON SOUDÉ</v>
      </c>
      <c r="O188" s="80"/>
      <c r="P188" s="82" t="n">
        <f aca="false">IF(C188="","",IFERROR(MATCH(Q188,'CARNET DE SOUDURE'!$AW$7:$AW$3006,0),""))</f>
        <v>182</v>
      </c>
      <c r="Q188" s="82" t="str">
        <f aca="false">IF(C188="","",B188&amp;"|"&amp;C188)</f>
        <v>MFD-ISW → MFD-CPF|JN°182</v>
      </c>
    </row>
    <row r="189" customFormat="false" ht="74.6" hidden="false" customHeight="false" outlineLevel="0" collapsed="false">
      <c r="A189" s="82" t="n">
        <f aca="false">IF(C189="","",ROW()-6)</f>
        <v>183</v>
      </c>
      <c r="B189" s="80" t="s">
        <v>110</v>
      </c>
      <c r="C189" s="113" t="s">
        <v>293</v>
      </c>
      <c r="D189" s="82" t="str">
        <f aca="false">IF(OR(C189="",P189=""),"",INDEX('CARNET DE SOUDURE'!$D$7:$D$3006,P189)&amp;"")</f>
        <v/>
      </c>
      <c r="E189" s="114" t="str">
        <f aca="false">IF(OR(C189="",P189=""),"",IF(INDEX('CARNET DE SOUDURE'!$U$7:$U$3006,P189)="","",INDEX('CARNET DE SOUDURE'!$U$7:$U$3006,P189)))</f>
        <v/>
      </c>
      <c r="F189" s="82" t="str">
        <f aca="false">IF(OR(C189="",P189=""),"",INDEX('CARNET DE SOUDURE'!$AP$7:$AP$3006,P189))</f>
        <v/>
      </c>
      <c r="G189" s="82" t="str">
        <f aca="false">IF(C189="","",IF(P189="","NJ INCONNU",INDEX('CARNET DE SOUDURE'!$AQ$7:$AQ$3006,P189)))</f>
        <v>À SOUDER</v>
      </c>
      <c r="H189" s="82" t="str">
        <f aca="false">IF(C189="","",IF(G189="ACCEPTÉ","OUI","NON"))</f>
        <v>NON</v>
      </c>
      <c r="I189" s="83"/>
      <c r="J189" s="80"/>
      <c r="K189" s="81"/>
      <c r="L189" s="81"/>
      <c r="M189" s="81"/>
      <c r="N189" s="84" t="str">
        <f aca="false">IF(C189="","",IF(P189="","NJ INCONNU",IF(I189="",IF(H189="OUI","À ENROBER",IF(G189="À SOUDER","NON SOUDÉ","EN ATTENTE RT")),IF(L189="R","À REPRENDRE",IF(H189&lt;&gt;"OUI","⚠ ENROBÉ AVANT ACCEPTATION RT","ENROBÉ")))))</f>
        <v>NON SOUDÉ</v>
      </c>
      <c r="O189" s="80"/>
      <c r="P189" s="82" t="n">
        <f aca="false">IF(C189="","",IFERROR(MATCH(Q189,'CARNET DE SOUDURE'!$AW$7:$AW$3006,0),""))</f>
        <v>183</v>
      </c>
      <c r="Q189" s="82" t="str">
        <f aca="false">IF(C189="","",B189&amp;"|"&amp;C189)</f>
        <v>MFD-ISW → MFD-CPF|JN°183</v>
      </c>
    </row>
    <row r="190" customFormat="false" ht="74.6" hidden="false" customHeight="false" outlineLevel="0" collapsed="false">
      <c r="A190" s="82" t="n">
        <f aca="false">IF(C190="","",ROW()-6)</f>
        <v>184</v>
      </c>
      <c r="B190" s="80" t="s">
        <v>110</v>
      </c>
      <c r="C190" s="113" t="s">
        <v>294</v>
      </c>
      <c r="D190" s="82" t="str">
        <f aca="false">IF(OR(C190="",P190=""),"",INDEX('CARNET DE SOUDURE'!$D$7:$D$3006,P190)&amp;"")</f>
        <v/>
      </c>
      <c r="E190" s="114" t="str">
        <f aca="false">IF(OR(C190="",P190=""),"",IF(INDEX('CARNET DE SOUDURE'!$U$7:$U$3006,P190)="","",INDEX('CARNET DE SOUDURE'!$U$7:$U$3006,P190)))</f>
        <v/>
      </c>
      <c r="F190" s="82" t="str">
        <f aca="false">IF(OR(C190="",P190=""),"",INDEX('CARNET DE SOUDURE'!$AP$7:$AP$3006,P190))</f>
        <v/>
      </c>
      <c r="G190" s="82" t="str">
        <f aca="false">IF(C190="","",IF(P190="","NJ INCONNU",INDEX('CARNET DE SOUDURE'!$AQ$7:$AQ$3006,P190)))</f>
        <v>À SOUDER</v>
      </c>
      <c r="H190" s="82" t="str">
        <f aca="false">IF(C190="","",IF(G190="ACCEPTÉ","OUI","NON"))</f>
        <v>NON</v>
      </c>
      <c r="I190" s="83"/>
      <c r="J190" s="80"/>
      <c r="K190" s="81"/>
      <c r="L190" s="81"/>
      <c r="M190" s="81"/>
      <c r="N190" s="84" t="str">
        <f aca="false">IF(C190="","",IF(P190="","NJ INCONNU",IF(I190="",IF(H190="OUI","À ENROBER",IF(G190="À SOUDER","NON SOUDÉ","EN ATTENTE RT")),IF(L190="R","À REPRENDRE",IF(H190&lt;&gt;"OUI","⚠ ENROBÉ AVANT ACCEPTATION RT","ENROBÉ")))))</f>
        <v>NON SOUDÉ</v>
      </c>
      <c r="O190" s="80"/>
      <c r="P190" s="82" t="n">
        <f aca="false">IF(C190="","",IFERROR(MATCH(Q190,'CARNET DE SOUDURE'!$AW$7:$AW$3006,0),""))</f>
        <v>184</v>
      </c>
      <c r="Q190" s="82" t="str">
        <f aca="false">IF(C190="","",B190&amp;"|"&amp;C190)</f>
        <v>MFD-ISW → MFD-CPF|JN°184</v>
      </c>
    </row>
    <row r="191" customFormat="false" ht="74.6" hidden="false" customHeight="false" outlineLevel="0" collapsed="false">
      <c r="A191" s="82" t="n">
        <f aca="false">IF(C191="","",ROW()-6)</f>
        <v>185</v>
      </c>
      <c r="B191" s="80" t="s">
        <v>110</v>
      </c>
      <c r="C191" s="113" t="s">
        <v>295</v>
      </c>
      <c r="D191" s="82" t="str">
        <f aca="false">IF(OR(C191="",P191=""),"",INDEX('CARNET DE SOUDURE'!$D$7:$D$3006,P191)&amp;"")</f>
        <v/>
      </c>
      <c r="E191" s="114" t="str">
        <f aca="false">IF(OR(C191="",P191=""),"",IF(INDEX('CARNET DE SOUDURE'!$U$7:$U$3006,P191)="","",INDEX('CARNET DE SOUDURE'!$U$7:$U$3006,P191)))</f>
        <v/>
      </c>
      <c r="F191" s="82" t="str">
        <f aca="false">IF(OR(C191="",P191=""),"",INDEX('CARNET DE SOUDURE'!$AP$7:$AP$3006,P191))</f>
        <v/>
      </c>
      <c r="G191" s="82" t="str">
        <f aca="false">IF(C191="","",IF(P191="","NJ INCONNU",INDEX('CARNET DE SOUDURE'!$AQ$7:$AQ$3006,P191)))</f>
        <v>À SOUDER</v>
      </c>
      <c r="H191" s="82" t="str">
        <f aca="false">IF(C191="","",IF(G191="ACCEPTÉ","OUI","NON"))</f>
        <v>NON</v>
      </c>
      <c r="I191" s="83"/>
      <c r="J191" s="80"/>
      <c r="K191" s="81"/>
      <c r="L191" s="81"/>
      <c r="M191" s="81"/>
      <c r="N191" s="84" t="str">
        <f aca="false">IF(C191="","",IF(P191="","NJ INCONNU",IF(I191="",IF(H191="OUI","À ENROBER",IF(G191="À SOUDER","NON SOUDÉ","EN ATTENTE RT")),IF(L191="R","À REPRENDRE",IF(H191&lt;&gt;"OUI","⚠ ENROBÉ AVANT ACCEPTATION RT","ENROBÉ")))))</f>
        <v>NON SOUDÉ</v>
      </c>
      <c r="O191" s="80"/>
      <c r="P191" s="82" t="n">
        <f aca="false">IF(C191="","",IFERROR(MATCH(Q191,'CARNET DE SOUDURE'!$AW$7:$AW$3006,0),""))</f>
        <v>185</v>
      </c>
      <c r="Q191" s="82" t="str">
        <f aca="false">IF(C191="","",B191&amp;"|"&amp;C191)</f>
        <v>MFD-ISW → MFD-CPF|JN°185</v>
      </c>
    </row>
    <row r="192" customFormat="false" ht="74.6" hidden="false" customHeight="false" outlineLevel="0" collapsed="false">
      <c r="A192" s="82" t="n">
        <f aca="false">IF(C192="","",ROW()-6)</f>
        <v>186</v>
      </c>
      <c r="B192" s="80" t="s">
        <v>110</v>
      </c>
      <c r="C192" s="113" t="s">
        <v>296</v>
      </c>
      <c r="D192" s="82" t="str">
        <f aca="false">IF(OR(C192="",P192=""),"",INDEX('CARNET DE SOUDURE'!$D$7:$D$3006,P192)&amp;"")</f>
        <v/>
      </c>
      <c r="E192" s="114" t="str">
        <f aca="false">IF(OR(C192="",P192=""),"",IF(INDEX('CARNET DE SOUDURE'!$U$7:$U$3006,P192)="","",INDEX('CARNET DE SOUDURE'!$U$7:$U$3006,P192)))</f>
        <v/>
      </c>
      <c r="F192" s="82" t="str">
        <f aca="false">IF(OR(C192="",P192=""),"",INDEX('CARNET DE SOUDURE'!$AP$7:$AP$3006,P192))</f>
        <v/>
      </c>
      <c r="G192" s="82" t="str">
        <f aca="false">IF(C192="","",IF(P192="","NJ INCONNU",INDEX('CARNET DE SOUDURE'!$AQ$7:$AQ$3006,P192)))</f>
        <v>À SOUDER</v>
      </c>
      <c r="H192" s="82" t="str">
        <f aca="false">IF(C192="","",IF(G192="ACCEPTÉ","OUI","NON"))</f>
        <v>NON</v>
      </c>
      <c r="I192" s="83"/>
      <c r="J192" s="80"/>
      <c r="K192" s="81"/>
      <c r="L192" s="81"/>
      <c r="M192" s="81"/>
      <c r="N192" s="84" t="str">
        <f aca="false">IF(C192="","",IF(P192="","NJ INCONNU",IF(I192="",IF(H192="OUI","À ENROBER",IF(G192="À SOUDER","NON SOUDÉ","EN ATTENTE RT")),IF(L192="R","À REPRENDRE",IF(H192&lt;&gt;"OUI","⚠ ENROBÉ AVANT ACCEPTATION RT","ENROBÉ")))))</f>
        <v>NON SOUDÉ</v>
      </c>
      <c r="O192" s="80"/>
      <c r="P192" s="82" t="n">
        <f aca="false">IF(C192="","",IFERROR(MATCH(Q192,'CARNET DE SOUDURE'!$AW$7:$AW$3006,0),""))</f>
        <v>186</v>
      </c>
      <c r="Q192" s="82" t="str">
        <f aca="false">IF(C192="","",B192&amp;"|"&amp;C192)</f>
        <v>MFD-ISW → MFD-CPF|JN°186</v>
      </c>
    </row>
    <row r="193" customFormat="false" ht="74.6" hidden="false" customHeight="false" outlineLevel="0" collapsed="false">
      <c r="A193" s="82" t="n">
        <f aca="false">IF(C193="","",ROW()-6)</f>
        <v>187</v>
      </c>
      <c r="B193" s="80" t="s">
        <v>110</v>
      </c>
      <c r="C193" s="113" t="s">
        <v>297</v>
      </c>
      <c r="D193" s="82" t="str">
        <f aca="false">IF(OR(C193="",P193=""),"",INDEX('CARNET DE SOUDURE'!$D$7:$D$3006,P193)&amp;"")</f>
        <v/>
      </c>
      <c r="E193" s="114" t="str">
        <f aca="false">IF(OR(C193="",P193=""),"",IF(INDEX('CARNET DE SOUDURE'!$U$7:$U$3006,P193)="","",INDEX('CARNET DE SOUDURE'!$U$7:$U$3006,P193)))</f>
        <v/>
      </c>
      <c r="F193" s="82" t="str">
        <f aca="false">IF(OR(C193="",P193=""),"",INDEX('CARNET DE SOUDURE'!$AP$7:$AP$3006,P193))</f>
        <v/>
      </c>
      <c r="G193" s="82" t="str">
        <f aca="false">IF(C193="","",IF(P193="","NJ INCONNU",INDEX('CARNET DE SOUDURE'!$AQ$7:$AQ$3006,P193)))</f>
        <v>À SOUDER</v>
      </c>
      <c r="H193" s="82" t="str">
        <f aca="false">IF(C193="","",IF(G193="ACCEPTÉ","OUI","NON"))</f>
        <v>NON</v>
      </c>
      <c r="I193" s="83"/>
      <c r="J193" s="80"/>
      <c r="K193" s="81"/>
      <c r="L193" s="81"/>
      <c r="M193" s="81"/>
      <c r="N193" s="84" t="str">
        <f aca="false">IF(C193="","",IF(P193="","NJ INCONNU",IF(I193="",IF(H193="OUI","À ENROBER",IF(G193="À SOUDER","NON SOUDÉ","EN ATTENTE RT")),IF(L193="R","À REPRENDRE",IF(H193&lt;&gt;"OUI","⚠ ENROBÉ AVANT ACCEPTATION RT","ENROBÉ")))))</f>
        <v>NON SOUDÉ</v>
      </c>
      <c r="O193" s="80"/>
      <c r="P193" s="82" t="n">
        <f aca="false">IF(C193="","",IFERROR(MATCH(Q193,'CARNET DE SOUDURE'!$AW$7:$AW$3006,0),""))</f>
        <v>187</v>
      </c>
      <c r="Q193" s="82" t="str">
        <f aca="false">IF(C193="","",B193&amp;"|"&amp;C193)</f>
        <v>MFD-ISW → MFD-CPF|JN°187</v>
      </c>
    </row>
    <row r="194" customFormat="false" ht="74.6" hidden="false" customHeight="false" outlineLevel="0" collapsed="false">
      <c r="A194" s="82" t="n">
        <f aca="false">IF(C194="","",ROW()-6)</f>
        <v>188</v>
      </c>
      <c r="B194" s="80" t="s">
        <v>110</v>
      </c>
      <c r="C194" s="113" t="s">
        <v>298</v>
      </c>
      <c r="D194" s="82" t="str">
        <f aca="false">IF(OR(C194="",P194=""),"",INDEX('CARNET DE SOUDURE'!$D$7:$D$3006,P194)&amp;"")</f>
        <v/>
      </c>
      <c r="E194" s="114" t="str">
        <f aca="false">IF(OR(C194="",P194=""),"",IF(INDEX('CARNET DE SOUDURE'!$U$7:$U$3006,P194)="","",INDEX('CARNET DE SOUDURE'!$U$7:$U$3006,P194)))</f>
        <v/>
      </c>
      <c r="F194" s="82" t="str">
        <f aca="false">IF(OR(C194="",P194=""),"",INDEX('CARNET DE SOUDURE'!$AP$7:$AP$3006,P194))</f>
        <v/>
      </c>
      <c r="G194" s="82" t="str">
        <f aca="false">IF(C194="","",IF(P194="","NJ INCONNU",INDEX('CARNET DE SOUDURE'!$AQ$7:$AQ$3006,P194)))</f>
        <v>À SOUDER</v>
      </c>
      <c r="H194" s="82" t="str">
        <f aca="false">IF(C194="","",IF(G194="ACCEPTÉ","OUI","NON"))</f>
        <v>NON</v>
      </c>
      <c r="I194" s="83"/>
      <c r="J194" s="80"/>
      <c r="K194" s="81"/>
      <c r="L194" s="81"/>
      <c r="M194" s="81"/>
      <c r="N194" s="84" t="str">
        <f aca="false">IF(C194="","",IF(P194="","NJ INCONNU",IF(I194="",IF(H194="OUI","À ENROBER",IF(G194="À SOUDER","NON SOUDÉ","EN ATTENTE RT")),IF(L194="R","À REPRENDRE",IF(H194&lt;&gt;"OUI","⚠ ENROBÉ AVANT ACCEPTATION RT","ENROBÉ")))))</f>
        <v>NON SOUDÉ</v>
      </c>
      <c r="O194" s="80"/>
      <c r="P194" s="82" t="n">
        <f aca="false">IF(C194="","",IFERROR(MATCH(Q194,'CARNET DE SOUDURE'!$AW$7:$AW$3006,0),""))</f>
        <v>188</v>
      </c>
      <c r="Q194" s="82" t="str">
        <f aca="false">IF(C194="","",B194&amp;"|"&amp;C194)</f>
        <v>MFD-ISW → MFD-CPF|JN°188</v>
      </c>
    </row>
    <row r="195" customFormat="false" ht="74.6" hidden="false" customHeight="false" outlineLevel="0" collapsed="false">
      <c r="A195" s="82" t="n">
        <f aca="false">IF(C195="","",ROW()-6)</f>
        <v>189</v>
      </c>
      <c r="B195" s="80" t="s">
        <v>110</v>
      </c>
      <c r="C195" s="113" t="s">
        <v>299</v>
      </c>
      <c r="D195" s="82" t="str">
        <f aca="false">IF(OR(C195="",P195=""),"",INDEX('CARNET DE SOUDURE'!$D$7:$D$3006,P195)&amp;"")</f>
        <v/>
      </c>
      <c r="E195" s="114" t="str">
        <f aca="false">IF(OR(C195="",P195=""),"",IF(INDEX('CARNET DE SOUDURE'!$U$7:$U$3006,P195)="","",INDEX('CARNET DE SOUDURE'!$U$7:$U$3006,P195)))</f>
        <v/>
      </c>
      <c r="F195" s="82" t="str">
        <f aca="false">IF(OR(C195="",P195=""),"",INDEX('CARNET DE SOUDURE'!$AP$7:$AP$3006,P195))</f>
        <v/>
      </c>
      <c r="G195" s="82" t="str">
        <f aca="false">IF(C195="","",IF(P195="","NJ INCONNU",INDEX('CARNET DE SOUDURE'!$AQ$7:$AQ$3006,P195)))</f>
        <v>À SOUDER</v>
      </c>
      <c r="H195" s="82" t="str">
        <f aca="false">IF(C195="","",IF(G195="ACCEPTÉ","OUI","NON"))</f>
        <v>NON</v>
      </c>
      <c r="I195" s="83"/>
      <c r="J195" s="80"/>
      <c r="K195" s="81"/>
      <c r="L195" s="81"/>
      <c r="M195" s="81"/>
      <c r="N195" s="84" t="str">
        <f aca="false">IF(C195="","",IF(P195="","NJ INCONNU",IF(I195="",IF(H195="OUI","À ENROBER",IF(G195="À SOUDER","NON SOUDÉ","EN ATTENTE RT")),IF(L195="R","À REPRENDRE",IF(H195&lt;&gt;"OUI","⚠ ENROBÉ AVANT ACCEPTATION RT","ENROBÉ")))))</f>
        <v>NON SOUDÉ</v>
      </c>
      <c r="O195" s="80"/>
      <c r="P195" s="82" t="n">
        <f aca="false">IF(C195="","",IFERROR(MATCH(Q195,'CARNET DE SOUDURE'!$AW$7:$AW$3006,0),""))</f>
        <v>189</v>
      </c>
      <c r="Q195" s="82" t="str">
        <f aca="false">IF(C195="","",B195&amp;"|"&amp;C195)</f>
        <v>MFD-ISW → MFD-CPF|JN°189</v>
      </c>
    </row>
    <row r="196" customFormat="false" ht="74.6" hidden="false" customHeight="false" outlineLevel="0" collapsed="false">
      <c r="A196" s="82" t="n">
        <f aca="false">IF(C196="","",ROW()-6)</f>
        <v>190</v>
      </c>
      <c r="B196" s="80" t="s">
        <v>110</v>
      </c>
      <c r="C196" s="113" t="s">
        <v>300</v>
      </c>
      <c r="D196" s="82" t="str">
        <f aca="false">IF(OR(C196="",P196=""),"",INDEX('CARNET DE SOUDURE'!$D$7:$D$3006,P196)&amp;"")</f>
        <v/>
      </c>
      <c r="E196" s="114" t="str">
        <f aca="false">IF(OR(C196="",P196=""),"",IF(INDEX('CARNET DE SOUDURE'!$U$7:$U$3006,P196)="","",INDEX('CARNET DE SOUDURE'!$U$7:$U$3006,P196)))</f>
        <v/>
      </c>
      <c r="F196" s="82" t="str">
        <f aca="false">IF(OR(C196="",P196=""),"",INDEX('CARNET DE SOUDURE'!$AP$7:$AP$3006,P196))</f>
        <v/>
      </c>
      <c r="G196" s="82" t="str">
        <f aca="false">IF(C196="","",IF(P196="","NJ INCONNU",INDEX('CARNET DE SOUDURE'!$AQ$7:$AQ$3006,P196)))</f>
        <v>À SOUDER</v>
      </c>
      <c r="H196" s="82" t="str">
        <f aca="false">IF(C196="","",IF(G196="ACCEPTÉ","OUI","NON"))</f>
        <v>NON</v>
      </c>
      <c r="I196" s="83"/>
      <c r="J196" s="80"/>
      <c r="K196" s="81"/>
      <c r="L196" s="81"/>
      <c r="M196" s="81"/>
      <c r="N196" s="84" t="str">
        <f aca="false">IF(C196="","",IF(P196="","NJ INCONNU",IF(I196="",IF(H196="OUI","À ENROBER",IF(G196="À SOUDER","NON SOUDÉ","EN ATTENTE RT")),IF(L196="R","À REPRENDRE",IF(H196&lt;&gt;"OUI","⚠ ENROBÉ AVANT ACCEPTATION RT","ENROBÉ")))))</f>
        <v>NON SOUDÉ</v>
      </c>
      <c r="O196" s="80"/>
      <c r="P196" s="82" t="n">
        <f aca="false">IF(C196="","",IFERROR(MATCH(Q196,'CARNET DE SOUDURE'!$AW$7:$AW$3006,0),""))</f>
        <v>190</v>
      </c>
      <c r="Q196" s="82" t="str">
        <f aca="false">IF(C196="","",B196&amp;"|"&amp;C196)</f>
        <v>MFD-ISW → MFD-CPF|JN°190</v>
      </c>
    </row>
    <row r="197" customFormat="false" ht="74.6" hidden="false" customHeight="false" outlineLevel="0" collapsed="false">
      <c r="A197" s="82" t="n">
        <f aca="false">IF(C197="","",ROW()-6)</f>
        <v>191</v>
      </c>
      <c r="B197" s="80" t="s">
        <v>110</v>
      </c>
      <c r="C197" s="113" t="s">
        <v>301</v>
      </c>
      <c r="D197" s="82" t="str">
        <f aca="false">IF(OR(C197="",P197=""),"",INDEX('CARNET DE SOUDURE'!$D$7:$D$3006,P197)&amp;"")</f>
        <v/>
      </c>
      <c r="E197" s="114" t="str">
        <f aca="false">IF(OR(C197="",P197=""),"",IF(INDEX('CARNET DE SOUDURE'!$U$7:$U$3006,P197)="","",INDEX('CARNET DE SOUDURE'!$U$7:$U$3006,P197)))</f>
        <v/>
      </c>
      <c r="F197" s="82" t="str">
        <f aca="false">IF(OR(C197="",P197=""),"",INDEX('CARNET DE SOUDURE'!$AP$7:$AP$3006,P197))</f>
        <v/>
      </c>
      <c r="G197" s="82" t="str">
        <f aca="false">IF(C197="","",IF(P197="","NJ INCONNU",INDEX('CARNET DE SOUDURE'!$AQ$7:$AQ$3006,P197)))</f>
        <v>À SOUDER</v>
      </c>
      <c r="H197" s="82" t="str">
        <f aca="false">IF(C197="","",IF(G197="ACCEPTÉ","OUI","NON"))</f>
        <v>NON</v>
      </c>
      <c r="I197" s="83"/>
      <c r="J197" s="80"/>
      <c r="K197" s="81"/>
      <c r="L197" s="81"/>
      <c r="M197" s="81"/>
      <c r="N197" s="84" t="str">
        <f aca="false">IF(C197="","",IF(P197="","NJ INCONNU",IF(I197="",IF(H197="OUI","À ENROBER",IF(G197="À SOUDER","NON SOUDÉ","EN ATTENTE RT")),IF(L197="R","À REPRENDRE",IF(H197&lt;&gt;"OUI","⚠ ENROBÉ AVANT ACCEPTATION RT","ENROBÉ")))))</f>
        <v>NON SOUDÉ</v>
      </c>
      <c r="O197" s="80"/>
      <c r="P197" s="82" t="n">
        <f aca="false">IF(C197="","",IFERROR(MATCH(Q197,'CARNET DE SOUDURE'!$AW$7:$AW$3006,0),""))</f>
        <v>191</v>
      </c>
      <c r="Q197" s="82" t="str">
        <f aca="false">IF(C197="","",B197&amp;"|"&amp;C197)</f>
        <v>MFD-ISW → MFD-CPF|JN°191</v>
      </c>
    </row>
    <row r="198" customFormat="false" ht="74.6" hidden="false" customHeight="false" outlineLevel="0" collapsed="false">
      <c r="A198" s="82" t="n">
        <f aca="false">IF(C198="","",ROW()-6)</f>
        <v>192</v>
      </c>
      <c r="B198" s="80" t="s">
        <v>110</v>
      </c>
      <c r="C198" s="113" t="s">
        <v>302</v>
      </c>
      <c r="D198" s="82" t="str">
        <f aca="false">IF(OR(C198="",P198=""),"",INDEX('CARNET DE SOUDURE'!$D$7:$D$3006,P198)&amp;"")</f>
        <v/>
      </c>
      <c r="E198" s="114" t="str">
        <f aca="false">IF(OR(C198="",P198=""),"",IF(INDEX('CARNET DE SOUDURE'!$U$7:$U$3006,P198)="","",INDEX('CARNET DE SOUDURE'!$U$7:$U$3006,P198)))</f>
        <v/>
      </c>
      <c r="F198" s="82" t="str">
        <f aca="false">IF(OR(C198="",P198=""),"",INDEX('CARNET DE SOUDURE'!$AP$7:$AP$3006,P198))</f>
        <v/>
      </c>
      <c r="G198" s="82" t="str">
        <f aca="false">IF(C198="","",IF(P198="","NJ INCONNU",INDEX('CARNET DE SOUDURE'!$AQ$7:$AQ$3006,P198)))</f>
        <v>À SOUDER</v>
      </c>
      <c r="H198" s="82" t="str">
        <f aca="false">IF(C198="","",IF(G198="ACCEPTÉ","OUI","NON"))</f>
        <v>NON</v>
      </c>
      <c r="I198" s="83"/>
      <c r="J198" s="80"/>
      <c r="K198" s="81"/>
      <c r="L198" s="81"/>
      <c r="M198" s="81"/>
      <c r="N198" s="84" t="str">
        <f aca="false">IF(C198="","",IF(P198="","NJ INCONNU",IF(I198="",IF(H198="OUI","À ENROBER",IF(G198="À SOUDER","NON SOUDÉ","EN ATTENTE RT")),IF(L198="R","À REPRENDRE",IF(H198&lt;&gt;"OUI","⚠ ENROBÉ AVANT ACCEPTATION RT","ENROBÉ")))))</f>
        <v>NON SOUDÉ</v>
      </c>
      <c r="O198" s="80"/>
      <c r="P198" s="82" t="n">
        <f aca="false">IF(C198="","",IFERROR(MATCH(Q198,'CARNET DE SOUDURE'!$AW$7:$AW$3006,0),""))</f>
        <v>192</v>
      </c>
      <c r="Q198" s="82" t="str">
        <f aca="false">IF(C198="","",B198&amp;"|"&amp;C198)</f>
        <v>MFD-ISW → MFD-CPF|JN°192</v>
      </c>
    </row>
    <row r="199" customFormat="false" ht="74.6" hidden="false" customHeight="false" outlineLevel="0" collapsed="false">
      <c r="A199" s="82" t="n">
        <f aca="false">IF(C199="","",ROW()-6)</f>
        <v>193</v>
      </c>
      <c r="B199" s="80" t="s">
        <v>110</v>
      </c>
      <c r="C199" s="113" t="s">
        <v>303</v>
      </c>
      <c r="D199" s="82" t="str">
        <f aca="false">IF(OR(C199="",P199=""),"",INDEX('CARNET DE SOUDURE'!$D$7:$D$3006,P199)&amp;"")</f>
        <v/>
      </c>
      <c r="E199" s="114" t="str">
        <f aca="false">IF(OR(C199="",P199=""),"",IF(INDEX('CARNET DE SOUDURE'!$U$7:$U$3006,P199)="","",INDEX('CARNET DE SOUDURE'!$U$7:$U$3006,P199)))</f>
        <v/>
      </c>
      <c r="F199" s="82" t="str">
        <f aca="false">IF(OR(C199="",P199=""),"",INDEX('CARNET DE SOUDURE'!$AP$7:$AP$3006,P199))</f>
        <v/>
      </c>
      <c r="G199" s="82" t="str">
        <f aca="false">IF(C199="","",IF(P199="","NJ INCONNU",INDEX('CARNET DE SOUDURE'!$AQ$7:$AQ$3006,P199)))</f>
        <v>À SOUDER</v>
      </c>
      <c r="H199" s="82" t="str">
        <f aca="false">IF(C199="","",IF(G199="ACCEPTÉ","OUI","NON"))</f>
        <v>NON</v>
      </c>
      <c r="I199" s="83"/>
      <c r="J199" s="80"/>
      <c r="K199" s="81"/>
      <c r="L199" s="81"/>
      <c r="M199" s="81"/>
      <c r="N199" s="84" t="str">
        <f aca="false">IF(C199="","",IF(P199="","NJ INCONNU",IF(I199="",IF(H199="OUI","À ENROBER",IF(G199="À SOUDER","NON SOUDÉ","EN ATTENTE RT")),IF(L199="R","À REPRENDRE",IF(H199&lt;&gt;"OUI","⚠ ENROBÉ AVANT ACCEPTATION RT","ENROBÉ")))))</f>
        <v>NON SOUDÉ</v>
      </c>
      <c r="O199" s="80"/>
      <c r="P199" s="82" t="n">
        <f aca="false">IF(C199="","",IFERROR(MATCH(Q199,'CARNET DE SOUDURE'!$AW$7:$AW$3006,0),""))</f>
        <v>193</v>
      </c>
      <c r="Q199" s="82" t="str">
        <f aca="false">IF(C199="","",B199&amp;"|"&amp;C199)</f>
        <v>MFD-ISW → MFD-CPF|JN°193</v>
      </c>
    </row>
    <row r="200" customFormat="false" ht="74.6" hidden="false" customHeight="false" outlineLevel="0" collapsed="false">
      <c r="A200" s="82" t="n">
        <f aca="false">IF(C200="","",ROW()-6)</f>
        <v>194</v>
      </c>
      <c r="B200" s="80" t="s">
        <v>110</v>
      </c>
      <c r="C200" s="113" t="s">
        <v>304</v>
      </c>
      <c r="D200" s="82" t="str">
        <f aca="false">IF(OR(C200="",P200=""),"",INDEX('CARNET DE SOUDURE'!$D$7:$D$3006,P200)&amp;"")</f>
        <v/>
      </c>
      <c r="E200" s="114" t="str">
        <f aca="false">IF(OR(C200="",P200=""),"",IF(INDEX('CARNET DE SOUDURE'!$U$7:$U$3006,P200)="","",INDEX('CARNET DE SOUDURE'!$U$7:$U$3006,P200)))</f>
        <v/>
      </c>
      <c r="F200" s="82" t="str">
        <f aca="false">IF(OR(C200="",P200=""),"",INDEX('CARNET DE SOUDURE'!$AP$7:$AP$3006,P200))</f>
        <v/>
      </c>
      <c r="G200" s="82" t="str">
        <f aca="false">IF(C200="","",IF(P200="","NJ INCONNU",INDEX('CARNET DE SOUDURE'!$AQ$7:$AQ$3006,P200)))</f>
        <v>À SOUDER</v>
      </c>
      <c r="H200" s="82" t="str">
        <f aca="false">IF(C200="","",IF(G200="ACCEPTÉ","OUI","NON"))</f>
        <v>NON</v>
      </c>
      <c r="I200" s="83"/>
      <c r="J200" s="80"/>
      <c r="K200" s="81"/>
      <c r="L200" s="81"/>
      <c r="M200" s="81"/>
      <c r="N200" s="84" t="str">
        <f aca="false">IF(C200="","",IF(P200="","NJ INCONNU",IF(I200="",IF(H200="OUI","À ENROBER",IF(G200="À SOUDER","NON SOUDÉ","EN ATTENTE RT")),IF(L200="R","À REPRENDRE",IF(H200&lt;&gt;"OUI","⚠ ENROBÉ AVANT ACCEPTATION RT","ENROBÉ")))))</f>
        <v>NON SOUDÉ</v>
      </c>
      <c r="O200" s="80"/>
      <c r="P200" s="82" t="n">
        <f aca="false">IF(C200="","",IFERROR(MATCH(Q200,'CARNET DE SOUDURE'!$AW$7:$AW$3006,0),""))</f>
        <v>194</v>
      </c>
      <c r="Q200" s="82" t="str">
        <f aca="false">IF(C200="","",B200&amp;"|"&amp;C200)</f>
        <v>MFD-ISW → MFD-CPF|JN°194</v>
      </c>
    </row>
    <row r="201" customFormat="false" ht="74.6" hidden="false" customHeight="false" outlineLevel="0" collapsed="false">
      <c r="A201" s="82" t="n">
        <f aca="false">IF(C201="","",ROW()-6)</f>
        <v>195</v>
      </c>
      <c r="B201" s="80" t="s">
        <v>110</v>
      </c>
      <c r="C201" s="113" t="s">
        <v>305</v>
      </c>
      <c r="D201" s="82" t="str">
        <f aca="false">IF(OR(C201="",P201=""),"",INDEX('CARNET DE SOUDURE'!$D$7:$D$3006,P201)&amp;"")</f>
        <v/>
      </c>
      <c r="E201" s="114" t="str">
        <f aca="false">IF(OR(C201="",P201=""),"",IF(INDEX('CARNET DE SOUDURE'!$U$7:$U$3006,P201)="","",INDEX('CARNET DE SOUDURE'!$U$7:$U$3006,P201)))</f>
        <v/>
      </c>
      <c r="F201" s="82" t="str">
        <f aca="false">IF(OR(C201="",P201=""),"",INDEX('CARNET DE SOUDURE'!$AP$7:$AP$3006,P201))</f>
        <v/>
      </c>
      <c r="G201" s="82" t="str">
        <f aca="false">IF(C201="","",IF(P201="","NJ INCONNU",INDEX('CARNET DE SOUDURE'!$AQ$7:$AQ$3006,P201)))</f>
        <v>À SOUDER</v>
      </c>
      <c r="H201" s="82" t="str">
        <f aca="false">IF(C201="","",IF(G201="ACCEPTÉ","OUI","NON"))</f>
        <v>NON</v>
      </c>
      <c r="I201" s="83"/>
      <c r="J201" s="80"/>
      <c r="K201" s="81"/>
      <c r="L201" s="81"/>
      <c r="M201" s="81"/>
      <c r="N201" s="84" t="str">
        <f aca="false">IF(C201="","",IF(P201="","NJ INCONNU",IF(I201="",IF(H201="OUI","À ENROBER",IF(G201="À SOUDER","NON SOUDÉ","EN ATTENTE RT")),IF(L201="R","À REPRENDRE",IF(H201&lt;&gt;"OUI","⚠ ENROBÉ AVANT ACCEPTATION RT","ENROBÉ")))))</f>
        <v>NON SOUDÉ</v>
      </c>
      <c r="O201" s="80"/>
      <c r="P201" s="82" t="n">
        <f aca="false">IF(C201="","",IFERROR(MATCH(Q201,'CARNET DE SOUDURE'!$AW$7:$AW$3006,0),""))</f>
        <v>195</v>
      </c>
      <c r="Q201" s="82" t="str">
        <f aca="false">IF(C201="","",B201&amp;"|"&amp;C201)</f>
        <v>MFD-ISW → MFD-CPF|JN°195</v>
      </c>
    </row>
    <row r="202" customFormat="false" ht="74.6" hidden="false" customHeight="false" outlineLevel="0" collapsed="false">
      <c r="A202" s="82" t="n">
        <f aca="false">IF(C202="","",ROW()-6)</f>
        <v>196</v>
      </c>
      <c r="B202" s="80" t="s">
        <v>110</v>
      </c>
      <c r="C202" s="113" t="s">
        <v>306</v>
      </c>
      <c r="D202" s="82" t="str">
        <f aca="false">IF(OR(C202="",P202=""),"",INDEX('CARNET DE SOUDURE'!$D$7:$D$3006,P202)&amp;"")</f>
        <v/>
      </c>
      <c r="E202" s="114" t="str">
        <f aca="false">IF(OR(C202="",P202=""),"",IF(INDEX('CARNET DE SOUDURE'!$U$7:$U$3006,P202)="","",INDEX('CARNET DE SOUDURE'!$U$7:$U$3006,P202)))</f>
        <v/>
      </c>
      <c r="F202" s="82" t="str">
        <f aca="false">IF(OR(C202="",P202=""),"",INDEX('CARNET DE SOUDURE'!$AP$7:$AP$3006,P202))</f>
        <v/>
      </c>
      <c r="G202" s="82" t="str">
        <f aca="false">IF(C202="","",IF(P202="","NJ INCONNU",INDEX('CARNET DE SOUDURE'!$AQ$7:$AQ$3006,P202)))</f>
        <v>À SOUDER</v>
      </c>
      <c r="H202" s="82" t="str">
        <f aca="false">IF(C202="","",IF(G202="ACCEPTÉ","OUI","NON"))</f>
        <v>NON</v>
      </c>
      <c r="I202" s="83"/>
      <c r="J202" s="80"/>
      <c r="K202" s="81"/>
      <c r="L202" s="81"/>
      <c r="M202" s="81"/>
      <c r="N202" s="84" t="str">
        <f aca="false">IF(C202="","",IF(P202="","NJ INCONNU",IF(I202="",IF(H202="OUI","À ENROBER",IF(G202="À SOUDER","NON SOUDÉ","EN ATTENTE RT")),IF(L202="R","À REPRENDRE",IF(H202&lt;&gt;"OUI","⚠ ENROBÉ AVANT ACCEPTATION RT","ENROBÉ")))))</f>
        <v>NON SOUDÉ</v>
      </c>
      <c r="O202" s="80"/>
      <c r="P202" s="82" t="n">
        <f aca="false">IF(C202="","",IFERROR(MATCH(Q202,'CARNET DE SOUDURE'!$AW$7:$AW$3006,0),""))</f>
        <v>196</v>
      </c>
      <c r="Q202" s="82" t="str">
        <f aca="false">IF(C202="","",B202&amp;"|"&amp;C202)</f>
        <v>MFD-ISW → MFD-CPF|JN°196</v>
      </c>
    </row>
    <row r="203" customFormat="false" ht="74.6" hidden="false" customHeight="false" outlineLevel="0" collapsed="false">
      <c r="A203" s="82" t="n">
        <f aca="false">IF(C203="","",ROW()-6)</f>
        <v>197</v>
      </c>
      <c r="B203" s="80" t="s">
        <v>110</v>
      </c>
      <c r="C203" s="113" t="s">
        <v>307</v>
      </c>
      <c r="D203" s="82" t="str">
        <f aca="false">IF(OR(C203="",P203=""),"",INDEX('CARNET DE SOUDURE'!$D$7:$D$3006,P203)&amp;"")</f>
        <v/>
      </c>
      <c r="E203" s="114" t="str">
        <f aca="false">IF(OR(C203="",P203=""),"",IF(INDEX('CARNET DE SOUDURE'!$U$7:$U$3006,P203)="","",INDEX('CARNET DE SOUDURE'!$U$7:$U$3006,P203)))</f>
        <v/>
      </c>
      <c r="F203" s="82" t="str">
        <f aca="false">IF(OR(C203="",P203=""),"",INDEX('CARNET DE SOUDURE'!$AP$7:$AP$3006,P203))</f>
        <v/>
      </c>
      <c r="G203" s="82" t="str">
        <f aca="false">IF(C203="","",IF(P203="","NJ INCONNU",INDEX('CARNET DE SOUDURE'!$AQ$7:$AQ$3006,P203)))</f>
        <v>À SOUDER</v>
      </c>
      <c r="H203" s="82" t="str">
        <f aca="false">IF(C203="","",IF(G203="ACCEPTÉ","OUI","NON"))</f>
        <v>NON</v>
      </c>
      <c r="I203" s="83"/>
      <c r="J203" s="80"/>
      <c r="K203" s="81"/>
      <c r="L203" s="81"/>
      <c r="M203" s="81"/>
      <c r="N203" s="84" t="str">
        <f aca="false">IF(C203="","",IF(P203="","NJ INCONNU",IF(I203="",IF(H203="OUI","À ENROBER",IF(G203="À SOUDER","NON SOUDÉ","EN ATTENTE RT")),IF(L203="R","À REPRENDRE",IF(H203&lt;&gt;"OUI","⚠ ENROBÉ AVANT ACCEPTATION RT","ENROBÉ")))))</f>
        <v>NON SOUDÉ</v>
      </c>
      <c r="O203" s="80"/>
      <c r="P203" s="82" t="n">
        <f aca="false">IF(C203="","",IFERROR(MATCH(Q203,'CARNET DE SOUDURE'!$AW$7:$AW$3006,0),""))</f>
        <v>197</v>
      </c>
      <c r="Q203" s="82" t="str">
        <f aca="false">IF(C203="","",B203&amp;"|"&amp;C203)</f>
        <v>MFD-ISW → MFD-CPF|JN°197</v>
      </c>
    </row>
    <row r="204" customFormat="false" ht="74.6" hidden="false" customHeight="false" outlineLevel="0" collapsed="false">
      <c r="A204" s="82" t="n">
        <f aca="false">IF(C204="","",ROW()-6)</f>
        <v>198</v>
      </c>
      <c r="B204" s="80" t="s">
        <v>110</v>
      </c>
      <c r="C204" s="113" t="s">
        <v>308</v>
      </c>
      <c r="D204" s="82" t="str">
        <f aca="false">IF(OR(C204="",P204=""),"",INDEX('CARNET DE SOUDURE'!$D$7:$D$3006,P204)&amp;"")</f>
        <v/>
      </c>
      <c r="E204" s="114" t="str">
        <f aca="false">IF(OR(C204="",P204=""),"",IF(INDEX('CARNET DE SOUDURE'!$U$7:$U$3006,P204)="","",INDEX('CARNET DE SOUDURE'!$U$7:$U$3006,P204)))</f>
        <v/>
      </c>
      <c r="F204" s="82" t="str">
        <f aca="false">IF(OR(C204="",P204=""),"",INDEX('CARNET DE SOUDURE'!$AP$7:$AP$3006,P204))</f>
        <v/>
      </c>
      <c r="G204" s="82" t="str">
        <f aca="false">IF(C204="","",IF(P204="","NJ INCONNU",INDEX('CARNET DE SOUDURE'!$AQ$7:$AQ$3006,P204)))</f>
        <v>À SOUDER</v>
      </c>
      <c r="H204" s="82" t="str">
        <f aca="false">IF(C204="","",IF(G204="ACCEPTÉ","OUI","NON"))</f>
        <v>NON</v>
      </c>
      <c r="I204" s="83"/>
      <c r="J204" s="80"/>
      <c r="K204" s="81"/>
      <c r="L204" s="81"/>
      <c r="M204" s="81"/>
      <c r="N204" s="84" t="str">
        <f aca="false">IF(C204="","",IF(P204="","NJ INCONNU",IF(I204="",IF(H204="OUI","À ENROBER",IF(G204="À SOUDER","NON SOUDÉ","EN ATTENTE RT")),IF(L204="R","À REPRENDRE",IF(H204&lt;&gt;"OUI","⚠ ENROBÉ AVANT ACCEPTATION RT","ENROBÉ")))))</f>
        <v>NON SOUDÉ</v>
      </c>
      <c r="O204" s="80"/>
      <c r="P204" s="82" t="n">
        <f aca="false">IF(C204="","",IFERROR(MATCH(Q204,'CARNET DE SOUDURE'!$AW$7:$AW$3006,0),""))</f>
        <v>198</v>
      </c>
      <c r="Q204" s="82" t="str">
        <f aca="false">IF(C204="","",B204&amp;"|"&amp;C204)</f>
        <v>MFD-ISW → MFD-CPF|JN°198</v>
      </c>
    </row>
    <row r="205" customFormat="false" ht="74.6" hidden="false" customHeight="false" outlineLevel="0" collapsed="false">
      <c r="A205" s="82" t="n">
        <f aca="false">IF(C205="","",ROW()-6)</f>
        <v>199</v>
      </c>
      <c r="B205" s="80" t="s">
        <v>110</v>
      </c>
      <c r="C205" s="113" t="s">
        <v>309</v>
      </c>
      <c r="D205" s="82" t="str">
        <f aca="false">IF(OR(C205="",P205=""),"",INDEX('CARNET DE SOUDURE'!$D$7:$D$3006,P205)&amp;"")</f>
        <v/>
      </c>
      <c r="E205" s="114" t="str">
        <f aca="false">IF(OR(C205="",P205=""),"",IF(INDEX('CARNET DE SOUDURE'!$U$7:$U$3006,P205)="","",INDEX('CARNET DE SOUDURE'!$U$7:$U$3006,P205)))</f>
        <v/>
      </c>
      <c r="F205" s="82" t="str">
        <f aca="false">IF(OR(C205="",P205=""),"",INDEX('CARNET DE SOUDURE'!$AP$7:$AP$3006,P205))</f>
        <v/>
      </c>
      <c r="G205" s="82" t="str">
        <f aca="false">IF(C205="","",IF(P205="","NJ INCONNU",INDEX('CARNET DE SOUDURE'!$AQ$7:$AQ$3006,P205)))</f>
        <v>À SOUDER</v>
      </c>
      <c r="H205" s="82" t="str">
        <f aca="false">IF(C205="","",IF(G205="ACCEPTÉ","OUI","NON"))</f>
        <v>NON</v>
      </c>
      <c r="I205" s="83"/>
      <c r="J205" s="80"/>
      <c r="K205" s="81"/>
      <c r="L205" s="81"/>
      <c r="M205" s="81"/>
      <c r="N205" s="84" t="str">
        <f aca="false">IF(C205="","",IF(P205="","NJ INCONNU",IF(I205="",IF(H205="OUI","À ENROBER",IF(G205="À SOUDER","NON SOUDÉ","EN ATTENTE RT")),IF(L205="R","À REPRENDRE",IF(H205&lt;&gt;"OUI","⚠ ENROBÉ AVANT ACCEPTATION RT","ENROBÉ")))))</f>
        <v>NON SOUDÉ</v>
      </c>
      <c r="O205" s="80"/>
      <c r="P205" s="82" t="n">
        <f aca="false">IF(C205="","",IFERROR(MATCH(Q205,'CARNET DE SOUDURE'!$AW$7:$AW$3006,0),""))</f>
        <v>199</v>
      </c>
      <c r="Q205" s="82" t="str">
        <f aca="false">IF(C205="","",B205&amp;"|"&amp;C205)</f>
        <v>MFD-ISW → MFD-CPF|JN°199</v>
      </c>
    </row>
    <row r="206" customFormat="false" ht="74.6" hidden="false" customHeight="false" outlineLevel="0" collapsed="false">
      <c r="A206" s="82" t="n">
        <f aca="false">IF(C206="","",ROW()-6)</f>
        <v>200</v>
      </c>
      <c r="B206" s="80" t="s">
        <v>110</v>
      </c>
      <c r="C206" s="113" t="s">
        <v>310</v>
      </c>
      <c r="D206" s="82" t="str">
        <f aca="false">IF(OR(C206="",P206=""),"",INDEX('CARNET DE SOUDURE'!$D$7:$D$3006,P206)&amp;"")</f>
        <v/>
      </c>
      <c r="E206" s="114" t="str">
        <f aca="false">IF(OR(C206="",P206=""),"",IF(INDEX('CARNET DE SOUDURE'!$U$7:$U$3006,P206)="","",INDEX('CARNET DE SOUDURE'!$U$7:$U$3006,P206)))</f>
        <v/>
      </c>
      <c r="F206" s="82" t="str">
        <f aca="false">IF(OR(C206="",P206=""),"",INDEX('CARNET DE SOUDURE'!$AP$7:$AP$3006,P206))</f>
        <v/>
      </c>
      <c r="G206" s="82" t="str">
        <f aca="false">IF(C206="","",IF(P206="","NJ INCONNU",INDEX('CARNET DE SOUDURE'!$AQ$7:$AQ$3006,P206)))</f>
        <v>À SOUDER</v>
      </c>
      <c r="H206" s="82" t="str">
        <f aca="false">IF(C206="","",IF(G206="ACCEPTÉ","OUI","NON"))</f>
        <v>NON</v>
      </c>
      <c r="I206" s="83"/>
      <c r="J206" s="80"/>
      <c r="K206" s="81"/>
      <c r="L206" s="81"/>
      <c r="M206" s="81"/>
      <c r="N206" s="84" t="str">
        <f aca="false">IF(C206="","",IF(P206="","NJ INCONNU",IF(I206="",IF(H206="OUI","À ENROBER",IF(G206="À SOUDER","NON SOUDÉ","EN ATTENTE RT")),IF(L206="R","À REPRENDRE",IF(H206&lt;&gt;"OUI","⚠ ENROBÉ AVANT ACCEPTATION RT","ENROBÉ")))))</f>
        <v>NON SOUDÉ</v>
      </c>
      <c r="O206" s="80"/>
      <c r="P206" s="82" t="n">
        <f aca="false">IF(C206="","",IFERROR(MATCH(Q206,'CARNET DE SOUDURE'!$AW$7:$AW$3006,0),""))</f>
        <v>200</v>
      </c>
      <c r="Q206" s="82" t="str">
        <f aca="false">IF(C206="","",B206&amp;"|"&amp;C206)</f>
        <v>MFD-ISW → MFD-CPF|JN°200</v>
      </c>
    </row>
    <row r="207" customFormat="false" ht="74.6" hidden="false" customHeight="false" outlineLevel="0" collapsed="false">
      <c r="A207" s="82" t="n">
        <f aca="false">IF(C207="","",ROW()-6)</f>
        <v>201</v>
      </c>
      <c r="B207" s="80" t="s">
        <v>110</v>
      </c>
      <c r="C207" s="113" t="s">
        <v>311</v>
      </c>
      <c r="D207" s="82" t="str">
        <f aca="false">IF(OR(C207="",P207=""),"",INDEX('CARNET DE SOUDURE'!$D$7:$D$3006,P207)&amp;"")</f>
        <v/>
      </c>
      <c r="E207" s="114" t="str">
        <f aca="false">IF(OR(C207="",P207=""),"",IF(INDEX('CARNET DE SOUDURE'!$U$7:$U$3006,P207)="","",INDEX('CARNET DE SOUDURE'!$U$7:$U$3006,P207)))</f>
        <v/>
      </c>
      <c r="F207" s="82" t="str">
        <f aca="false">IF(OR(C207="",P207=""),"",INDEX('CARNET DE SOUDURE'!$AP$7:$AP$3006,P207))</f>
        <v/>
      </c>
      <c r="G207" s="82" t="str">
        <f aca="false">IF(C207="","",IF(P207="","NJ INCONNU",INDEX('CARNET DE SOUDURE'!$AQ$7:$AQ$3006,P207)))</f>
        <v>À SOUDER</v>
      </c>
      <c r="H207" s="82" t="str">
        <f aca="false">IF(C207="","",IF(G207="ACCEPTÉ","OUI","NON"))</f>
        <v>NON</v>
      </c>
      <c r="I207" s="83"/>
      <c r="J207" s="80"/>
      <c r="K207" s="81"/>
      <c r="L207" s="81"/>
      <c r="M207" s="81"/>
      <c r="N207" s="84" t="str">
        <f aca="false">IF(C207="","",IF(P207="","NJ INCONNU",IF(I207="",IF(H207="OUI","À ENROBER",IF(G207="À SOUDER","NON SOUDÉ","EN ATTENTE RT")),IF(L207="R","À REPRENDRE",IF(H207&lt;&gt;"OUI","⚠ ENROBÉ AVANT ACCEPTATION RT","ENROBÉ")))))</f>
        <v>NON SOUDÉ</v>
      </c>
      <c r="O207" s="80"/>
      <c r="P207" s="82" t="n">
        <f aca="false">IF(C207="","",IFERROR(MATCH(Q207,'CARNET DE SOUDURE'!$AW$7:$AW$3006,0),""))</f>
        <v>201</v>
      </c>
      <c r="Q207" s="82" t="str">
        <f aca="false">IF(C207="","",B207&amp;"|"&amp;C207)</f>
        <v>MFD-ISW → MFD-CPF|JN°201</v>
      </c>
    </row>
    <row r="208" customFormat="false" ht="74.6" hidden="false" customHeight="false" outlineLevel="0" collapsed="false">
      <c r="A208" s="82" t="n">
        <f aca="false">IF(C208="","",ROW()-6)</f>
        <v>202</v>
      </c>
      <c r="B208" s="80" t="s">
        <v>110</v>
      </c>
      <c r="C208" s="113" t="s">
        <v>312</v>
      </c>
      <c r="D208" s="82" t="str">
        <f aca="false">IF(OR(C208="",P208=""),"",INDEX('CARNET DE SOUDURE'!$D$7:$D$3006,P208)&amp;"")</f>
        <v/>
      </c>
      <c r="E208" s="114" t="str">
        <f aca="false">IF(OR(C208="",P208=""),"",IF(INDEX('CARNET DE SOUDURE'!$U$7:$U$3006,P208)="","",INDEX('CARNET DE SOUDURE'!$U$7:$U$3006,P208)))</f>
        <v/>
      </c>
      <c r="F208" s="82" t="str">
        <f aca="false">IF(OR(C208="",P208=""),"",INDEX('CARNET DE SOUDURE'!$AP$7:$AP$3006,P208))</f>
        <v/>
      </c>
      <c r="G208" s="82" t="str">
        <f aca="false">IF(C208="","",IF(P208="","NJ INCONNU",INDEX('CARNET DE SOUDURE'!$AQ$7:$AQ$3006,P208)))</f>
        <v>À SOUDER</v>
      </c>
      <c r="H208" s="82" t="str">
        <f aca="false">IF(C208="","",IF(G208="ACCEPTÉ","OUI","NON"))</f>
        <v>NON</v>
      </c>
      <c r="I208" s="83"/>
      <c r="J208" s="80"/>
      <c r="K208" s="81"/>
      <c r="L208" s="81"/>
      <c r="M208" s="81"/>
      <c r="N208" s="84" t="str">
        <f aca="false">IF(C208="","",IF(P208="","NJ INCONNU",IF(I208="",IF(H208="OUI","À ENROBER",IF(G208="À SOUDER","NON SOUDÉ","EN ATTENTE RT")),IF(L208="R","À REPRENDRE",IF(H208&lt;&gt;"OUI","⚠ ENROBÉ AVANT ACCEPTATION RT","ENROBÉ")))))</f>
        <v>NON SOUDÉ</v>
      </c>
      <c r="O208" s="80"/>
      <c r="P208" s="82" t="n">
        <f aca="false">IF(C208="","",IFERROR(MATCH(Q208,'CARNET DE SOUDURE'!$AW$7:$AW$3006,0),""))</f>
        <v>202</v>
      </c>
      <c r="Q208" s="82" t="str">
        <f aca="false">IF(C208="","",B208&amp;"|"&amp;C208)</f>
        <v>MFD-ISW → MFD-CPF|JN°202</v>
      </c>
    </row>
    <row r="209" customFormat="false" ht="74.6" hidden="false" customHeight="false" outlineLevel="0" collapsed="false">
      <c r="A209" s="82" t="n">
        <f aca="false">IF(C209="","",ROW()-6)</f>
        <v>203</v>
      </c>
      <c r="B209" s="80" t="s">
        <v>110</v>
      </c>
      <c r="C209" s="113" t="s">
        <v>313</v>
      </c>
      <c r="D209" s="82" t="str">
        <f aca="false">IF(OR(C209="",P209=""),"",INDEX('CARNET DE SOUDURE'!$D$7:$D$3006,P209)&amp;"")</f>
        <v/>
      </c>
      <c r="E209" s="114" t="str">
        <f aca="false">IF(OR(C209="",P209=""),"",IF(INDEX('CARNET DE SOUDURE'!$U$7:$U$3006,P209)="","",INDEX('CARNET DE SOUDURE'!$U$7:$U$3006,P209)))</f>
        <v/>
      </c>
      <c r="F209" s="82" t="str">
        <f aca="false">IF(OR(C209="",P209=""),"",INDEX('CARNET DE SOUDURE'!$AP$7:$AP$3006,P209))</f>
        <v/>
      </c>
      <c r="G209" s="82" t="str">
        <f aca="false">IF(C209="","",IF(P209="","NJ INCONNU",INDEX('CARNET DE SOUDURE'!$AQ$7:$AQ$3006,P209)))</f>
        <v>À SOUDER</v>
      </c>
      <c r="H209" s="82" t="str">
        <f aca="false">IF(C209="","",IF(G209="ACCEPTÉ","OUI","NON"))</f>
        <v>NON</v>
      </c>
      <c r="I209" s="83"/>
      <c r="J209" s="80"/>
      <c r="K209" s="81"/>
      <c r="L209" s="81"/>
      <c r="M209" s="81"/>
      <c r="N209" s="84" t="str">
        <f aca="false">IF(C209="","",IF(P209="","NJ INCONNU",IF(I209="",IF(H209="OUI","À ENROBER",IF(G209="À SOUDER","NON SOUDÉ","EN ATTENTE RT")),IF(L209="R","À REPRENDRE",IF(H209&lt;&gt;"OUI","⚠ ENROBÉ AVANT ACCEPTATION RT","ENROBÉ")))))</f>
        <v>NON SOUDÉ</v>
      </c>
      <c r="O209" s="80"/>
      <c r="P209" s="82" t="n">
        <f aca="false">IF(C209="","",IFERROR(MATCH(Q209,'CARNET DE SOUDURE'!$AW$7:$AW$3006,0),""))</f>
        <v>203</v>
      </c>
      <c r="Q209" s="82" t="str">
        <f aca="false">IF(C209="","",B209&amp;"|"&amp;C209)</f>
        <v>MFD-ISW → MFD-CPF|JN°203</v>
      </c>
    </row>
    <row r="210" customFormat="false" ht="74.6" hidden="false" customHeight="false" outlineLevel="0" collapsed="false">
      <c r="A210" s="82" t="n">
        <f aca="false">IF(C210="","",ROW()-6)</f>
        <v>204</v>
      </c>
      <c r="B210" s="80" t="s">
        <v>110</v>
      </c>
      <c r="C210" s="113" t="s">
        <v>314</v>
      </c>
      <c r="D210" s="82" t="str">
        <f aca="false">IF(OR(C210="",P210=""),"",INDEX('CARNET DE SOUDURE'!$D$7:$D$3006,P210)&amp;"")</f>
        <v/>
      </c>
      <c r="E210" s="114" t="str">
        <f aca="false">IF(OR(C210="",P210=""),"",IF(INDEX('CARNET DE SOUDURE'!$U$7:$U$3006,P210)="","",INDEX('CARNET DE SOUDURE'!$U$7:$U$3006,P210)))</f>
        <v/>
      </c>
      <c r="F210" s="82" t="str">
        <f aca="false">IF(OR(C210="",P210=""),"",INDEX('CARNET DE SOUDURE'!$AP$7:$AP$3006,P210))</f>
        <v/>
      </c>
      <c r="G210" s="82" t="str">
        <f aca="false">IF(C210="","",IF(P210="","NJ INCONNU",INDEX('CARNET DE SOUDURE'!$AQ$7:$AQ$3006,P210)))</f>
        <v>À SOUDER</v>
      </c>
      <c r="H210" s="82" t="str">
        <f aca="false">IF(C210="","",IF(G210="ACCEPTÉ","OUI","NON"))</f>
        <v>NON</v>
      </c>
      <c r="I210" s="83"/>
      <c r="J210" s="80"/>
      <c r="K210" s="81"/>
      <c r="L210" s="81"/>
      <c r="M210" s="81"/>
      <c r="N210" s="84" t="str">
        <f aca="false">IF(C210="","",IF(P210="","NJ INCONNU",IF(I210="",IF(H210="OUI","À ENROBER",IF(G210="À SOUDER","NON SOUDÉ","EN ATTENTE RT")),IF(L210="R","À REPRENDRE",IF(H210&lt;&gt;"OUI","⚠ ENROBÉ AVANT ACCEPTATION RT","ENROBÉ")))))</f>
        <v>NON SOUDÉ</v>
      </c>
      <c r="O210" s="80"/>
      <c r="P210" s="82" t="n">
        <f aca="false">IF(C210="","",IFERROR(MATCH(Q210,'CARNET DE SOUDURE'!$AW$7:$AW$3006,0),""))</f>
        <v>204</v>
      </c>
      <c r="Q210" s="82" t="str">
        <f aca="false">IF(C210="","",B210&amp;"|"&amp;C210)</f>
        <v>MFD-ISW → MFD-CPF|JN°204</v>
      </c>
    </row>
    <row r="211" customFormat="false" ht="74.6" hidden="false" customHeight="false" outlineLevel="0" collapsed="false">
      <c r="A211" s="82" t="n">
        <f aca="false">IF(C211="","",ROW()-6)</f>
        <v>205</v>
      </c>
      <c r="B211" s="80" t="s">
        <v>110</v>
      </c>
      <c r="C211" s="113" t="s">
        <v>315</v>
      </c>
      <c r="D211" s="82" t="str">
        <f aca="false">IF(OR(C211="",P211=""),"",INDEX('CARNET DE SOUDURE'!$D$7:$D$3006,P211)&amp;"")</f>
        <v/>
      </c>
      <c r="E211" s="114" t="str">
        <f aca="false">IF(OR(C211="",P211=""),"",IF(INDEX('CARNET DE SOUDURE'!$U$7:$U$3006,P211)="","",INDEX('CARNET DE SOUDURE'!$U$7:$U$3006,P211)))</f>
        <v/>
      </c>
      <c r="F211" s="82" t="str">
        <f aca="false">IF(OR(C211="",P211=""),"",INDEX('CARNET DE SOUDURE'!$AP$7:$AP$3006,P211))</f>
        <v/>
      </c>
      <c r="G211" s="82" t="str">
        <f aca="false">IF(C211="","",IF(P211="","NJ INCONNU",INDEX('CARNET DE SOUDURE'!$AQ$7:$AQ$3006,P211)))</f>
        <v>À SOUDER</v>
      </c>
      <c r="H211" s="82" t="str">
        <f aca="false">IF(C211="","",IF(G211="ACCEPTÉ","OUI","NON"))</f>
        <v>NON</v>
      </c>
      <c r="I211" s="83"/>
      <c r="J211" s="80"/>
      <c r="K211" s="81"/>
      <c r="L211" s="81"/>
      <c r="M211" s="81"/>
      <c r="N211" s="84" t="str">
        <f aca="false">IF(C211="","",IF(P211="","NJ INCONNU",IF(I211="",IF(H211="OUI","À ENROBER",IF(G211="À SOUDER","NON SOUDÉ","EN ATTENTE RT")),IF(L211="R","À REPRENDRE",IF(H211&lt;&gt;"OUI","⚠ ENROBÉ AVANT ACCEPTATION RT","ENROBÉ")))))</f>
        <v>NON SOUDÉ</v>
      </c>
      <c r="O211" s="80"/>
      <c r="P211" s="82" t="n">
        <f aca="false">IF(C211="","",IFERROR(MATCH(Q211,'CARNET DE SOUDURE'!$AW$7:$AW$3006,0),""))</f>
        <v>205</v>
      </c>
      <c r="Q211" s="82" t="str">
        <f aca="false">IF(C211="","",B211&amp;"|"&amp;C211)</f>
        <v>MFD-ISW → MFD-CPF|JN°205</v>
      </c>
    </row>
    <row r="212" customFormat="false" ht="74.6" hidden="false" customHeight="false" outlineLevel="0" collapsed="false">
      <c r="A212" s="82" t="n">
        <f aca="false">IF(C212="","",ROW()-6)</f>
        <v>206</v>
      </c>
      <c r="B212" s="80" t="s">
        <v>110</v>
      </c>
      <c r="C212" s="113" t="s">
        <v>316</v>
      </c>
      <c r="D212" s="82" t="str">
        <f aca="false">IF(OR(C212="",P212=""),"",INDEX('CARNET DE SOUDURE'!$D$7:$D$3006,P212)&amp;"")</f>
        <v/>
      </c>
      <c r="E212" s="114" t="str">
        <f aca="false">IF(OR(C212="",P212=""),"",IF(INDEX('CARNET DE SOUDURE'!$U$7:$U$3006,P212)="","",INDEX('CARNET DE SOUDURE'!$U$7:$U$3006,P212)))</f>
        <v/>
      </c>
      <c r="F212" s="82" t="str">
        <f aca="false">IF(OR(C212="",P212=""),"",INDEX('CARNET DE SOUDURE'!$AP$7:$AP$3006,P212))</f>
        <v/>
      </c>
      <c r="G212" s="82" t="str">
        <f aca="false">IF(C212="","",IF(P212="","NJ INCONNU",INDEX('CARNET DE SOUDURE'!$AQ$7:$AQ$3006,P212)))</f>
        <v>À SOUDER</v>
      </c>
      <c r="H212" s="82" t="str">
        <f aca="false">IF(C212="","",IF(G212="ACCEPTÉ","OUI","NON"))</f>
        <v>NON</v>
      </c>
      <c r="I212" s="83"/>
      <c r="J212" s="80"/>
      <c r="K212" s="81"/>
      <c r="L212" s="81"/>
      <c r="M212" s="81"/>
      <c r="N212" s="84" t="str">
        <f aca="false">IF(C212="","",IF(P212="","NJ INCONNU",IF(I212="",IF(H212="OUI","À ENROBER",IF(G212="À SOUDER","NON SOUDÉ","EN ATTENTE RT")),IF(L212="R","À REPRENDRE",IF(H212&lt;&gt;"OUI","⚠ ENROBÉ AVANT ACCEPTATION RT","ENROBÉ")))))</f>
        <v>NON SOUDÉ</v>
      </c>
      <c r="O212" s="80"/>
      <c r="P212" s="82" t="n">
        <f aca="false">IF(C212="","",IFERROR(MATCH(Q212,'CARNET DE SOUDURE'!$AW$7:$AW$3006,0),""))</f>
        <v>206</v>
      </c>
      <c r="Q212" s="82" t="str">
        <f aca="false">IF(C212="","",B212&amp;"|"&amp;C212)</f>
        <v>MFD-ISW → MFD-CPF|JN°206</v>
      </c>
    </row>
    <row r="213" customFormat="false" ht="74.6" hidden="false" customHeight="false" outlineLevel="0" collapsed="false">
      <c r="A213" s="82" t="n">
        <f aca="false">IF(C213="","",ROW()-6)</f>
        <v>207</v>
      </c>
      <c r="B213" s="80" t="s">
        <v>110</v>
      </c>
      <c r="C213" s="113" t="s">
        <v>317</v>
      </c>
      <c r="D213" s="82" t="str">
        <f aca="false">IF(OR(C213="",P213=""),"",INDEX('CARNET DE SOUDURE'!$D$7:$D$3006,P213)&amp;"")</f>
        <v/>
      </c>
      <c r="E213" s="114" t="str">
        <f aca="false">IF(OR(C213="",P213=""),"",IF(INDEX('CARNET DE SOUDURE'!$U$7:$U$3006,P213)="","",INDEX('CARNET DE SOUDURE'!$U$7:$U$3006,P213)))</f>
        <v/>
      </c>
      <c r="F213" s="82" t="str">
        <f aca="false">IF(OR(C213="",P213=""),"",INDEX('CARNET DE SOUDURE'!$AP$7:$AP$3006,P213))</f>
        <v/>
      </c>
      <c r="G213" s="82" t="str">
        <f aca="false">IF(C213="","",IF(P213="","NJ INCONNU",INDEX('CARNET DE SOUDURE'!$AQ$7:$AQ$3006,P213)))</f>
        <v>À SOUDER</v>
      </c>
      <c r="H213" s="82" t="str">
        <f aca="false">IF(C213="","",IF(G213="ACCEPTÉ","OUI","NON"))</f>
        <v>NON</v>
      </c>
      <c r="I213" s="83"/>
      <c r="J213" s="80"/>
      <c r="K213" s="81"/>
      <c r="L213" s="81"/>
      <c r="M213" s="81"/>
      <c r="N213" s="84" t="str">
        <f aca="false">IF(C213="","",IF(P213="","NJ INCONNU",IF(I213="",IF(H213="OUI","À ENROBER",IF(G213="À SOUDER","NON SOUDÉ","EN ATTENTE RT")),IF(L213="R","À REPRENDRE",IF(H213&lt;&gt;"OUI","⚠ ENROBÉ AVANT ACCEPTATION RT","ENROBÉ")))))</f>
        <v>NON SOUDÉ</v>
      </c>
      <c r="O213" s="80"/>
      <c r="P213" s="82" t="n">
        <f aca="false">IF(C213="","",IFERROR(MATCH(Q213,'CARNET DE SOUDURE'!$AW$7:$AW$3006,0),""))</f>
        <v>207</v>
      </c>
      <c r="Q213" s="82" t="str">
        <f aca="false">IF(C213="","",B213&amp;"|"&amp;C213)</f>
        <v>MFD-ISW → MFD-CPF|JN°207</v>
      </c>
    </row>
    <row r="214" customFormat="false" ht="74.6" hidden="false" customHeight="false" outlineLevel="0" collapsed="false">
      <c r="A214" s="82" t="n">
        <f aca="false">IF(C214="","",ROW()-6)</f>
        <v>208</v>
      </c>
      <c r="B214" s="80" t="s">
        <v>110</v>
      </c>
      <c r="C214" s="113" t="s">
        <v>318</v>
      </c>
      <c r="D214" s="82" t="str">
        <f aca="false">IF(OR(C214="",P214=""),"",INDEX('CARNET DE SOUDURE'!$D$7:$D$3006,P214)&amp;"")</f>
        <v/>
      </c>
      <c r="E214" s="114" t="str">
        <f aca="false">IF(OR(C214="",P214=""),"",IF(INDEX('CARNET DE SOUDURE'!$U$7:$U$3006,P214)="","",INDEX('CARNET DE SOUDURE'!$U$7:$U$3006,P214)))</f>
        <v/>
      </c>
      <c r="F214" s="82" t="str">
        <f aca="false">IF(OR(C214="",P214=""),"",INDEX('CARNET DE SOUDURE'!$AP$7:$AP$3006,P214))</f>
        <v/>
      </c>
      <c r="G214" s="82" t="str">
        <f aca="false">IF(C214="","",IF(P214="","NJ INCONNU",INDEX('CARNET DE SOUDURE'!$AQ$7:$AQ$3006,P214)))</f>
        <v>À SOUDER</v>
      </c>
      <c r="H214" s="82" t="str">
        <f aca="false">IF(C214="","",IF(G214="ACCEPTÉ","OUI","NON"))</f>
        <v>NON</v>
      </c>
      <c r="I214" s="83"/>
      <c r="J214" s="80"/>
      <c r="K214" s="81"/>
      <c r="L214" s="81"/>
      <c r="M214" s="81"/>
      <c r="N214" s="84" t="str">
        <f aca="false">IF(C214="","",IF(P214="","NJ INCONNU",IF(I214="",IF(H214="OUI","À ENROBER",IF(G214="À SOUDER","NON SOUDÉ","EN ATTENTE RT")),IF(L214="R","À REPRENDRE",IF(H214&lt;&gt;"OUI","⚠ ENROBÉ AVANT ACCEPTATION RT","ENROBÉ")))))</f>
        <v>NON SOUDÉ</v>
      </c>
      <c r="O214" s="80"/>
      <c r="P214" s="82" t="n">
        <f aca="false">IF(C214="","",IFERROR(MATCH(Q214,'CARNET DE SOUDURE'!$AW$7:$AW$3006,0),""))</f>
        <v>208</v>
      </c>
      <c r="Q214" s="82" t="str">
        <f aca="false">IF(C214="","",B214&amp;"|"&amp;C214)</f>
        <v>MFD-ISW → MFD-CPF|JN°208</v>
      </c>
    </row>
    <row r="215" customFormat="false" ht="74.6" hidden="false" customHeight="false" outlineLevel="0" collapsed="false">
      <c r="A215" s="82" t="n">
        <f aca="false">IF(C215="","",ROW()-6)</f>
        <v>209</v>
      </c>
      <c r="B215" s="80" t="s">
        <v>110</v>
      </c>
      <c r="C215" s="113" t="s">
        <v>319</v>
      </c>
      <c r="D215" s="82" t="str">
        <f aca="false">IF(OR(C215="",P215=""),"",INDEX('CARNET DE SOUDURE'!$D$7:$D$3006,P215)&amp;"")</f>
        <v/>
      </c>
      <c r="E215" s="114" t="str">
        <f aca="false">IF(OR(C215="",P215=""),"",IF(INDEX('CARNET DE SOUDURE'!$U$7:$U$3006,P215)="","",INDEX('CARNET DE SOUDURE'!$U$7:$U$3006,P215)))</f>
        <v/>
      </c>
      <c r="F215" s="82" t="str">
        <f aca="false">IF(OR(C215="",P215=""),"",INDEX('CARNET DE SOUDURE'!$AP$7:$AP$3006,P215))</f>
        <v/>
      </c>
      <c r="G215" s="82" t="str">
        <f aca="false">IF(C215="","",IF(P215="","NJ INCONNU",INDEX('CARNET DE SOUDURE'!$AQ$7:$AQ$3006,P215)))</f>
        <v>À SOUDER</v>
      </c>
      <c r="H215" s="82" t="str">
        <f aca="false">IF(C215="","",IF(G215="ACCEPTÉ","OUI","NON"))</f>
        <v>NON</v>
      </c>
      <c r="I215" s="83"/>
      <c r="J215" s="80"/>
      <c r="K215" s="81"/>
      <c r="L215" s="81"/>
      <c r="M215" s="81"/>
      <c r="N215" s="84" t="str">
        <f aca="false">IF(C215="","",IF(P215="","NJ INCONNU",IF(I215="",IF(H215="OUI","À ENROBER",IF(G215="À SOUDER","NON SOUDÉ","EN ATTENTE RT")),IF(L215="R","À REPRENDRE",IF(H215&lt;&gt;"OUI","⚠ ENROBÉ AVANT ACCEPTATION RT","ENROBÉ")))))</f>
        <v>NON SOUDÉ</v>
      </c>
      <c r="O215" s="80"/>
      <c r="P215" s="82" t="n">
        <f aca="false">IF(C215="","",IFERROR(MATCH(Q215,'CARNET DE SOUDURE'!$AW$7:$AW$3006,0),""))</f>
        <v>209</v>
      </c>
      <c r="Q215" s="82" t="str">
        <f aca="false">IF(C215="","",B215&amp;"|"&amp;C215)</f>
        <v>MFD-ISW → MFD-CPF|JN°209</v>
      </c>
    </row>
    <row r="216" customFormat="false" ht="74.6" hidden="false" customHeight="false" outlineLevel="0" collapsed="false">
      <c r="A216" s="82" t="n">
        <f aca="false">IF(C216="","",ROW()-6)</f>
        <v>210</v>
      </c>
      <c r="B216" s="80" t="s">
        <v>110</v>
      </c>
      <c r="C216" s="113" t="s">
        <v>320</v>
      </c>
      <c r="D216" s="82" t="str">
        <f aca="false">IF(OR(C216="",P216=""),"",INDEX('CARNET DE SOUDURE'!$D$7:$D$3006,P216)&amp;"")</f>
        <v/>
      </c>
      <c r="E216" s="114" t="str">
        <f aca="false">IF(OR(C216="",P216=""),"",IF(INDEX('CARNET DE SOUDURE'!$U$7:$U$3006,P216)="","",INDEX('CARNET DE SOUDURE'!$U$7:$U$3006,P216)))</f>
        <v/>
      </c>
      <c r="F216" s="82" t="str">
        <f aca="false">IF(OR(C216="",P216=""),"",INDEX('CARNET DE SOUDURE'!$AP$7:$AP$3006,P216))</f>
        <v/>
      </c>
      <c r="G216" s="82" t="str">
        <f aca="false">IF(C216="","",IF(P216="","NJ INCONNU",INDEX('CARNET DE SOUDURE'!$AQ$7:$AQ$3006,P216)))</f>
        <v>À SOUDER</v>
      </c>
      <c r="H216" s="82" t="str">
        <f aca="false">IF(C216="","",IF(G216="ACCEPTÉ","OUI","NON"))</f>
        <v>NON</v>
      </c>
      <c r="I216" s="83"/>
      <c r="J216" s="80"/>
      <c r="K216" s="81"/>
      <c r="L216" s="81"/>
      <c r="M216" s="81"/>
      <c r="N216" s="84" t="str">
        <f aca="false">IF(C216="","",IF(P216="","NJ INCONNU",IF(I216="",IF(H216="OUI","À ENROBER",IF(G216="À SOUDER","NON SOUDÉ","EN ATTENTE RT")),IF(L216="R","À REPRENDRE",IF(H216&lt;&gt;"OUI","⚠ ENROBÉ AVANT ACCEPTATION RT","ENROBÉ")))))</f>
        <v>NON SOUDÉ</v>
      </c>
      <c r="O216" s="80"/>
      <c r="P216" s="82" t="n">
        <f aca="false">IF(C216="","",IFERROR(MATCH(Q216,'CARNET DE SOUDURE'!$AW$7:$AW$3006,0),""))</f>
        <v>210</v>
      </c>
      <c r="Q216" s="82" t="str">
        <f aca="false">IF(C216="","",B216&amp;"|"&amp;C216)</f>
        <v>MFD-ISW → MFD-CPF|JN°210</v>
      </c>
    </row>
    <row r="217" customFormat="false" ht="74.6" hidden="false" customHeight="false" outlineLevel="0" collapsed="false">
      <c r="A217" s="82" t="n">
        <f aca="false">IF(C217="","",ROW()-6)</f>
        <v>211</v>
      </c>
      <c r="B217" s="80" t="s">
        <v>110</v>
      </c>
      <c r="C217" s="113" t="s">
        <v>321</v>
      </c>
      <c r="D217" s="82" t="str">
        <f aca="false">IF(OR(C217="",P217=""),"",INDEX('CARNET DE SOUDURE'!$D$7:$D$3006,P217)&amp;"")</f>
        <v/>
      </c>
      <c r="E217" s="114" t="str">
        <f aca="false">IF(OR(C217="",P217=""),"",IF(INDEX('CARNET DE SOUDURE'!$U$7:$U$3006,P217)="","",INDEX('CARNET DE SOUDURE'!$U$7:$U$3006,P217)))</f>
        <v/>
      </c>
      <c r="F217" s="82" t="str">
        <f aca="false">IF(OR(C217="",P217=""),"",INDEX('CARNET DE SOUDURE'!$AP$7:$AP$3006,P217))</f>
        <v/>
      </c>
      <c r="G217" s="82" t="str">
        <f aca="false">IF(C217="","",IF(P217="","NJ INCONNU",INDEX('CARNET DE SOUDURE'!$AQ$7:$AQ$3006,P217)))</f>
        <v>À SOUDER</v>
      </c>
      <c r="H217" s="82" t="str">
        <f aca="false">IF(C217="","",IF(G217="ACCEPTÉ","OUI","NON"))</f>
        <v>NON</v>
      </c>
      <c r="I217" s="83"/>
      <c r="J217" s="80"/>
      <c r="K217" s="81"/>
      <c r="L217" s="81"/>
      <c r="M217" s="81"/>
      <c r="N217" s="84" t="str">
        <f aca="false">IF(C217="","",IF(P217="","NJ INCONNU",IF(I217="",IF(H217="OUI","À ENROBER",IF(G217="À SOUDER","NON SOUDÉ","EN ATTENTE RT")),IF(L217="R","À REPRENDRE",IF(H217&lt;&gt;"OUI","⚠ ENROBÉ AVANT ACCEPTATION RT","ENROBÉ")))))</f>
        <v>NON SOUDÉ</v>
      </c>
      <c r="O217" s="80"/>
      <c r="P217" s="82" t="n">
        <f aca="false">IF(C217="","",IFERROR(MATCH(Q217,'CARNET DE SOUDURE'!$AW$7:$AW$3006,0),""))</f>
        <v>211</v>
      </c>
      <c r="Q217" s="82" t="str">
        <f aca="false">IF(C217="","",B217&amp;"|"&amp;C217)</f>
        <v>MFD-ISW → MFD-CPF|JN°211</v>
      </c>
    </row>
    <row r="218" customFormat="false" ht="74.6" hidden="false" customHeight="false" outlineLevel="0" collapsed="false">
      <c r="A218" s="82" t="n">
        <f aca="false">IF(C218="","",ROW()-6)</f>
        <v>212</v>
      </c>
      <c r="B218" s="80" t="s">
        <v>110</v>
      </c>
      <c r="C218" s="113" t="s">
        <v>322</v>
      </c>
      <c r="D218" s="82" t="str">
        <f aca="false">IF(OR(C218="",P218=""),"",INDEX('CARNET DE SOUDURE'!$D$7:$D$3006,P218)&amp;"")</f>
        <v/>
      </c>
      <c r="E218" s="114" t="str">
        <f aca="false">IF(OR(C218="",P218=""),"",IF(INDEX('CARNET DE SOUDURE'!$U$7:$U$3006,P218)="","",INDEX('CARNET DE SOUDURE'!$U$7:$U$3006,P218)))</f>
        <v/>
      </c>
      <c r="F218" s="82" t="str">
        <f aca="false">IF(OR(C218="",P218=""),"",INDEX('CARNET DE SOUDURE'!$AP$7:$AP$3006,P218))</f>
        <v/>
      </c>
      <c r="G218" s="82" t="str">
        <f aca="false">IF(C218="","",IF(P218="","NJ INCONNU",INDEX('CARNET DE SOUDURE'!$AQ$7:$AQ$3006,P218)))</f>
        <v>À SOUDER</v>
      </c>
      <c r="H218" s="82" t="str">
        <f aca="false">IF(C218="","",IF(G218="ACCEPTÉ","OUI","NON"))</f>
        <v>NON</v>
      </c>
      <c r="I218" s="83"/>
      <c r="J218" s="80"/>
      <c r="K218" s="81"/>
      <c r="L218" s="81"/>
      <c r="M218" s="81"/>
      <c r="N218" s="84" t="str">
        <f aca="false">IF(C218="","",IF(P218="","NJ INCONNU",IF(I218="",IF(H218="OUI","À ENROBER",IF(G218="À SOUDER","NON SOUDÉ","EN ATTENTE RT")),IF(L218="R","À REPRENDRE",IF(H218&lt;&gt;"OUI","⚠ ENROBÉ AVANT ACCEPTATION RT","ENROBÉ")))))</f>
        <v>NON SOUDÉ</v>
      </c>
      <c r="O218" s="80"/>
      <c r="P218" s="82" t="n">
        <f aca="false">IF(C218="","",IFERROR(MATCH(Q218,'CARNET DE SOUDURE'!$AW$7:$AW$3006,0),""))</f>
        <v>212</v>
      </c>
      <c r="Q218" s="82" t="str">
        <f aca="false">IF(C218="","",B218&amp;"|"&amp;C218)</f>
        <v>MFD-ISW → MFD-CPF|JN°212</v>
      </c>
    </row>
    <row r="219" customFormat="false" ht="74.6" hidden="false" customHeight="false" outlineLevel="0" collapsed="false">
      <c r="A219" s="82" t="n">
        <f aca="false">IF(C219="","",ROW()-6)</f>
        <v>213</v>
      </c>
      <c r="B219" s="80" t="s">
        <v>110</v>
      </c>
      <c r="C219" s="113" t="s">
        <v>323</v>
      </c>
      <c r="D219" s="82" t="str">
        <f aca="false">IF(OR(C219="",P219=""),"",INDEX('CARNET DE SOUDURE'!$D$7:$D$3006,P219)&amp;"")</f>
        <v/>
      </c>
      <c r="E219" s="114" t="str">
        <f aca="false">IF(OR(C219="",P219=""),"",IF(INDEX('CARNET DE SOUDURE'!$U$7:$U$3006,P219)="","",INDEX('CARNET DE SOUDURE'!$U$7:$U$3006,P219)))</f>
        <v/>
      </c>
      <c r="F219" s="82" t="str">
        <f aca="false">IF(OR(C219="",P219=""),"",INDEX('CARNET DE SOUDURE'!$AP$7:$AP$3006,P219))</f>
        <v/>
      </c>
      <c r="G219" s="82" t="str">
        <f aca="false">IF(C219="","",IF(P219="","NJ INCONNU",INDEX('CARNET DE SOUDURE'!$AQ$7:$AQ$3006,P219)))</f>
        <v>À SOUDER</v>
      </c>
      <c r="H219" s="82" t="str">
        <f aca="false">IF(C219="","",IF(G219="ACCEPTÉ","OUI","NON"))</f>
        <v>NON</v>
      </c>
      <c r="I219" s="83"/>
      <c r="J219" s="80"/>
      <c r="K219" s="81"/>
      <c r="L219" s="81"/>
      <c r="M219" s="81"/>
      <c r="N219" s="84" t="str">
        <f aca="false">IF(C219="","",IF(P219="","NJ INCONNU",IF(I219="",IF(H219="OUI","À ENROBER",IF(G219="À SOUDER","NON SOUDÉ","EN ATTENTE RT")),IF(L219="R","À REPRENDRE",IF(H219&lt;&gt;"OUI","⚠ ENROBÉ AVANT ACCEPTATION RT","ENROBÉ")))))</f>
        <v>NON SOUDÉ</v>
      </c>
      <c r="O219" s="80"/>
      <c r="P219" s="82" t="n">
        <f aca="false">IF(C219="","",IFERROR(MATCH(Q219,'CARNET DE SOUDURE'!$AW$7:$AW$3006,0),""))</f>
        <v>213</v>
      </c>
      <c r="Q219" s="82" t="str">
        <f aca="false">IF(C219="","",B219&amp;"|"&amp;C219)</f>
        <v>MFD-ISW → MFD-CPF|JN°213</v>
      </c>
    </row>
    <row r="220" customFormat="false" ht="74.6" hidden="false" customHeight="false" outlineLevel="0" collapsed="false">
      <c r="A220" s="82" t="n">
        <f aca="false">IF(C220="","",ROW()-6)</f>
        <v>214</v>
      </c>
      <c r="B220" s="80" t="s">
        <v>110</v>
      </c>
      <c r="C220" s="113" t="s">
        <v>324</v>
      </c>
      <c r="D220" s="82" t="str">
        <f aca="false">IF(OR(C220="",P220=""),"",INDEX('CARNET DE SOUDURE'!$D$7:$D$3006,P220)&amp;"")</f>
        <v/>
      </c>
      <c r="E220" s="114" t="str">
        <f aca="false">IF(OR(C220="",P220=""),"",IF(INDEX('CARNET DE SOUDURE'!$U$7:$U$3006,P220)="","",INDEX('CARNET DE SOUDURE'!$U$7:$U$3006,P220)))</f>
        <v/>
      </c>
      <c r="F220" s="82" t="str">
        <f aca="false">IF(OR(C220="",P220=""),"",INDEX('CARNET DE SOUDURE'!$AP$7:$AP$3006,P220))</f>
        <v/>
      </c>
      <c r="G220" s="82" t="str">
        <f aca="false">IF(C220="","",IF(P220="","NJ INCONNU",INDEX('CARNET DE SOUDURE'!$AQ$7:$AQ$3006,P220)))</f>
        <v>À SOUDER</v>
      </c>
      <c r="H220" s="82" t="str">
        <f aca="false">IF(C220="","",IF(G220="ACCEPTÉ","OUI","NON"))</f>
        <v>NON</v>
      </c>
      <c r="I220" s="83"/>
      <c r="J220" s="80"/>
      <c r="K220" s="81"/>
      <c r="L220" s="81"/>
      <c r="M220" s="81"/>
      <c r="N220" s="84" t="str">
        <f aca="false">IF(C220="","",IF(P220="","NJ INCONNU",IF(I220="",IF(H220="OUI","À ENROBER",IF(G220="À SOUDER","NON SOUDÉ","EN ATTENTE RT")),IF(L220="R","À REPRENDRE",IF(H220&lt;&gt;"OUI","⚠ ENROBÉ AVANT ACCEPTATION RT","ENROBÉ")))))</f>
        <v>NON SOUDÉ</v>
      </c>
      <c r="O220" s="80"/>
      <c r="P220" s="82" t="n">
        <f aca="false">IF(C220="","",IFERROR(MATCH(Q220,'CARNET DE SOUDURE'!$AW$7:$AW$3006,0),""))</f>
        <v>214</v>
      </c>
      <c r="Q220" s="82" t="str">
        <f aca="false">IF(C220="","",B220&amp;"|"&amp;C220)</f>
        <v>MFD-ISW → MFD-CPF|JN°214</v>
      </c>
    </row>
    <row r="221" customFormat="false" ht="74.6" hidden="false" customHeight="false" outlineLevel="0" collapsed="false">
      <c r="A221" s="82" t="n">
        <f aca="false">IF(C221="","",ROW()-6)</f>
        <v>215</v>
      </c>
      <c r="B221" s="80" t="s">
        <v>110</v>
      </c>
      <c r="C221" s="113" t="s">
        <v>325</v>
      </c>
      <c r="D221" s="82" t="str">
        <f aca="false">IF(OR(C221="",P221=""),"",INDEX('CARNET DE SOUDURE'!$D$7:$D$3006,P221)&amp;"")</f>
        <v/>
      </c>
      <c r="E221" s="114" t="str">
        <f aca="false">IF(OR(C221="",P221=""),"",IF(INDEX('CARNET DE SOUDURE'!$U$7:$U$3006,P221)="","",INDEX('CARNET DE SOUDURE'!$U$7:$U$3006,P221)))</f>
        <v/>
      </c>
      <c r="F221" s="82" t="str">
        <f aca="false">IF(OR(C221="",P221=""),"",INDEX('CARNET DE SOUDURE'!$AP$7:$AP$3006,P221))</f>
        <v/>
      </c>
      <c r="G221" s="82" t="str">
        <f aca="false">IF(C221="","",IF(P221="","NJ INCONNU",INDEX('CARNET DE SOUDURE'!$AQ$7:$AQ$3006,P221)))</f>
        <v>À SOUDER</v>
      </c>
      <c r="H221" s="82" t="str">
        <f aca="false">IF(C221="","",IF(G221="ACCEPTÉ","OUI","NON"))</f>
        <v>NON</v>
      </c>
      <c r="I221" s="83"/>
      <c r="J221" s="80"/>
      <c r="K221" s="81"/>
      <c r="L221" s="81"/>
      <c r="M221" s="81"/>
      <c r="N221" s="84" t="str">
        <f aca="false">IF(C221="","",IF(P221="","NJ INCONNU",IF(I221="",IF(H221="OUI","À ENROBER",IF(G221="À SOUDER","NON SOUDÉ","EN ATTENTE RT")),IF(L221="R","À REPRENDRE",IF(H221&lt;&gt;"OUI","⚠ ENROBÉ AVANT ACCEPTATION RT","ENROBÉ")))))</f>
        <v>NON SOUDÉ</v>
      </c>
      <c r="O221" s="80"/>
      <c r="P221" s="82" t="n">
        <f aca="false">IF(C221="","",IFERROR(MATCH(Q221,'CARNET DE SOUDURE'!$AW$7:$AW$3006,0),""))</f>
        <v>215</v>
      </c>
      <c r="Q221" s="82" t="str">
        <f aca="false">IF(C221="","",B221&amp;"|"&amp;C221)</f>
        <v>MFD-ISW → MFD-CPF|JN°215</v>
      </c>
    </row>
    <row r="222" customFormat="false" ht="74.6" hidden="false" customHeight="false" outlineLevel="0" collapsed="false">
      <c r="A222" s="82" t="n">
        <f aca="false">IF(C222="","",ROW()-6)</f>
        <v>216</v>
      </c>
      <c r="B222" s="80" t="s">
        <v>110</v>
      </c>
      <c r="C222" s="113" t="s">
        <v>326</v>
      </c>
      <c r="D222" s="82" t="str">
        <f aca="false">IF(OR(C222="",P222=""),"",INDEX('CARNET DE SOUDURE'!$D$7:$D$3006,P222)&amp;"")</f>
        <v/>
      </c>
      <c r="E222" s="114" t="str">
        <f aca="false">IF(OR(C222="",P222=""),"",IF(INDEX('CARNET DE SOUDURE'!$U$7:$U$3006,P222)="","",INDEX('CARNET DE SOUDURE'!$U$7:$U$3006,P222)))</f>
        <v/>
      </c>
      <c r="F222" s="82" t="str">
        <f aca="false">IF(OR(C222="",P222=""),"",INDEX('CARNET DE SOUDURE'!$AP$7:$AP$3006,P222))</f>
        <v/>
      </c>
      <c r="G222" s="82" t="str">
        <f aca="false">IF(C222="","",IF(P222="","NJ INCONNU",INDEX('CARNET DE SOUDURE'!$AQ$7:$AQ$3006,P222)))</f>
        <v>À SOUDER</v>
      </c>
      <c r="H222" s="82" t="str">
        <f aca="false">IF(C222="","",IF(G222="ACCEPTÉ","OUI","NON"))</f>
        <v>NON</v>
      </c>
      <c r="I222" s="83"/>
      <c r="J222" s="80"/>
      <c r="K222" s="81"/>
      <c r="L222" s="81"/>
      <c r="M222" s="81"/>
      <c r="N222" s="84" t="str">
        <f aca="false">IF(C222="","",IF(P222="","NJ INCONNU",IF(I222="",IF(H222="OUI","À ENROBER",IF(G222="À SOUDER","NON SOUDÉ","EN ATTENTE RT")),IF(L222="R","À REPRENDRE",IF(H222&lt;&gt;"OUI","⚠ ENROBÉ AVANT ACCEPTATION RT","ENROBÉ")))))</f>
        <v>NON SOUDÉ</v>
      </c>
      <c r="O222" s="80"/>
      <c r="P222" s="82" t="n">
        <f aca="false">IF(C222="","",IFERROR(MATCH(Q222,'CARNET DE SOUDURE'!$AW$7:$AW$3006,0),""))</f>
        <v>216</v>
      </c>
      <c r="Q222" s="82" t="str">
        <f aca="false">IF(C222="","",B222&amp;"|"&amp;C222)</f>
        <v>MFD-ISW → MFD-CPF|JN°216</v>
      </c>
    </row>
    <row r="223" customFormat="false" ht="74.6" hidden="false" customHeight="false" outlineLevel="0" collapsed="false">
      <c r="A223" s="82" t="n">
        <f aca="false">IF(C223="","",ROW()-6)</f>
        <v>217</v>
      </c>
      <c r="B223" s="80" t="s">
        <v>110</v>
      </c>
      <c r="C223" s="113" t="s">
        <v>327</v>
      </c>
      <c r="D223" s="82" t="str">
        <f aca="false">IF(OR(C223="",P223=""),"",INDEX('CARNET DE SOUDURE'!$D$7:$D$3006,P223)&amp;"")</f>
        <v/>
      </c>
      <c r="E223" s="114" t="str">
        <f aca="false">IF(OR(C223="",P223=""),"",IF(INDEX('CARNET DE SOUDURE'!$U$7:$U$3006,P223)="","",INDEX('CARNET DE SOUDURE'!$U$7:$U$3006,P223)))</f>
        <v/>
      </c>
      <c r="F223" s="82" t="str">
        <f aca="false">IF(OR(C223="",P223=""),"",INDEX('CARNET DE SOUDURE'!$AP$7:$AP$3006,P223))</f>
        <v/>
      </c>
      <c r="G223" s="82" t="str">
        <f aca="false">IF(C223="","",IF(P223="","NJ INCONNU",INDEX('CARNET DE SOUDURE'!$AQ$7:$AQ$3006,P223)))</f>
        <v>À SOUDER</v>
      </c>
      <c r="H223" s="82" t="str">
        <f aca="false">IF(C223="","",IF(G223="ACCEPTÉ","OUI","NON"))</f>
        <v>NON</v>
      </c>
      <c r="I223" s="83"/>
      <c r="J223" s="80"/>
      <c r="K223" s="81"/>
      <c r="L223" s="81"/>
      <c r="M223" s="81"/>
      <c r="N223" s="84" t="str">
        <f aca="false">IF(C223="","",IF(P223="","NJ INCONNU",IF(I223="",IF(H223="OUI","À ENROBER",IF(G223="À SOUDER","NON SOUDÉ","EN ATTENTE RT")),IF(L223="R","À REPRENDRE",IF(H223&lt;&gt;"OUI","⚠ ENROBÉ AVANT ACCEPTATION RT","ENROBÉ")))))</f>
        <v>NON SOUDÉ</v>
      </c>
      <c r="O223" s="80"/>
      <c r="P223" s="82" t="n">
        <f aca="false">IF(C223="","",IFERROR(MATCH(Q223,'CARNET DE SOUDURE'!$AW$7:$AW$3006,0),""))</f>
        <v>217</v>
      </c>
      <c r="Q223" s="82" t="str">
        <f aca="false">IF(C223="","",B223&amp;"|"&amp;C223)</f>
        <v>MFD-ISW → MFD-CPF|JN°217</v>
      </c>
    </row>
    <row r="224" customFormat="false" ht="74.6" hidden="false" customHeight="false" outlineLevel="0" collapsed="false">
      <c r="A224" s="82" t="n">
        <f aca="false">IF(C224="","",ROW()-6)</f>
        <v>218</v>
      </c>
      <c r="B224" s="80" t="s">
        <v>110</v>
      </c>
      <c r="C224" s="113" t="s">
        <v>328</v>
      </c>
      <c r="D224" s="82" t="str">
        <f aca="false">IF(OR(C224="",P224=""),"",INDEX('CARNET DE SOUDURE'!$D$7:$D$3006,P224)&amp;"")</f>
        <v/>
      </c>
      <c r="E224" s="114" t="str">
        <f aca="false">IF(OR(C224="",P224=""),"",IF(INDEX('CARNET DE SOUDURE'!$U$7:$U$3006,P224)="","",INDEX('CARNET DE SOUDURE'!$U$7:$U$3006,P224)))</f>
        <v/>
      </c>
      <c r="F224" s="82" t="str">
        <f aca="false">IF(OR(C224="",P224=""),"",INDEX('CARNET DE SOUDURE'!$AP$7:$AP$3006,P224))</f>
        <v/>
      </c>
      <c r="G224" s="82" t="str">
        <f aca="false">IF(C224="","",IF(P224="","NJ INCONNU",INDEX('CARNET DE SOUDURE'!$AQ$7:$AQ$3006,P224)))</f>
        <v>À SOUDER</v>
      </c>
      <c r="H224" s="82" t="str">
        <f aca="false">IF(C224="","",IF(G224="ACCEPTÉ","OUI","NON"))</f>
        <v>NON</v>
      </c>
      <c r="I224" s="83"/>
      <c r="J224" s="80"/>
      <c r="K224" s="81"/>
      <c r="L224" s="81"/>
      <c r="M224" s="81"/>
      <c r="N224" s="84" t="str">
        <f aca="false">IF(C224="","",IF(P224="","NJ INCONNU",IF(I224="",IF(H224="OUI","À ENROBER",IF(G224="À SOUDER","NON SOUDÉ","EN ATTENTE RT")),IF(L224="R","À REPRENDRE",IF(H224&lt;&gt;"OUI","⚠ ENROBÉ AVANT ACCEPTATION RT","ENROBÉ")))))</f>
        <v>NON SOUDÉ</v>
      </c>
      <c r="O224" s="80"/>
      <c r="P224" s="82" t="n">
        <f aca="false">IF(C224="","",IFERROR(MATCH(Q224,'CARNET DE SOUDURE'!$AW$7:$AW$3006,0),""))</f>
        <v>218</v>
      </c>
      <c r="Q224" s="82" t="str">
        <f aca="false">IF(C224="","",B224&amp;"|"&amp;C224)</f>
        <v>MFD-ISW → MFD-CPF|JN°218</v>
      </c>
    </row>
    <row r="225" customFormat="false" ht="74.6" hidden="false" customHeight="false" outlineLevel="0" collapsed="false">
      <c r="A225" s="82" t="n">
        <f aca="false">IF(C225="","",ROW()-6)</f>
        <v>219</v>
      </c>
      <c r="B225" s="80" t="s">
        <v>110</v>
      </c>
      <c r="C225" s="113" t="s">
        <v>329</v>
      </c>
      <c r="D225" s="82" t="str">
        <f aca="false">IF(OR(C225="",P225=""),"",INDEX('CARNET DE SOUDURE'!$D$7:$D$3006,P225)&amp;"")</f>
        <v/>
      </c>
      <c r="E225" s="114" t="str">
        <f aca="false">IF(OR(C225="",P225=""),"",IF(INDEX('CARNET DE SOUDURE'!$U$7:$U$3006,P225)="","",INDEX('CARNET DE SOUDURE'!$U$7:$U$3006,P225)))</f>
        <v/>
      </c>
      <c r="F225" s="82" t="str">
        <f aca="false">IF(OR(C225="",P225=""),"",INDEX('CARNET DE SOUDURE'!$AP$7:$AP$3006,P225))</f>
        <v/>
      </c>
      <c r="G225" s="82" t="str">
        <f aca="false">IF(C225="","",IF(P225="","NJ INCONNU",INDEX('CARNET DE SOUDURE'!$AQ$7:$AQ$3006,P225)))</f>
        <v>À SOUDER</v>
      </c>
      <c r="H225" s="82" t="str">
        <f aca="false">IF(C225="","",IF(G225="ACCEPTÉ","OUI","NON"))</f>
        <v>NON</v>
      </c>
      <c r="I225" s="83"/>
      <c r="J225" s="80"/>
      <c r="K225" s="81"/>
      <c r="L225" s="81"/>
      <c r="M225" s="81"/>
      <c r="N225" s="84" t="str">
        <f aca="false">IF(C225="","",IF(P225="","NJ INCONNU",IF(I225="",IF(H225="OUI","À ENROBER",IF(G225="À SOUDER","NON SOUDÉ","EN ATTENTE RT")),IF(L225="R","À REPRENDRE",IF(H225&lt;&gt;"OUI","⚠ ENROBÉ AVANT ACCEPTATION RT","ENROBÉ")))))</f>
        <v>NON SOUDÉ</v>
      </c>
      <c r="O225" s="80"/>
      <c r="P225" s="82" t="n">
        <f aca="false">IF(C225="","",IFERROR(MATCH(Q225,'CARNET DE SOUDURE'!$AW$7:$AW$3006,0),""))</f>
        <v>219</v>
      </c>
      <c r="Q225" s="82" t="str">
        <f aca="false">IF(C225="","",B225&amp;"|"&amp;C225)</f>
        <v>MFD-ISW → MFD-CPF|JN°219</v>
      </c>
    </row>
    <row r="226" customFormat="false" ht="74.6" hidden="false" customHeight="false" outlineLevel="0" collapsed="false">
      <c r="A226" s="82" t="n">
        <f aca="false">IF(C226="","",ROW()-6)</f>
        <v>220</v>
      </c>
      <c r="B226" s="80" t="s">
        <v>110</v>
      </c>
      <c r="C226" s="113" t="s">
        <v>330</v>
      </c>
      <c r="D226" s="82" t="str">
        <f aca="false">IF(OR(C226="",P226=""),"",INDEX('CARNET DE SOUDURE'!$D$7:$D$3006,P226)&amp;"")</f>
        <v/>
      </c>
      <c r="E226" s="114" t="str">
        <f aca="false">IF(OR(C226="",P226=""),"",IF(INDEX('CARNET DE SOUDURE'!$U$7:$U$3006,P226)="","",INDEX('CARNET DE SOUDURE'!$U$7:$U$3006,P226)))</f>
        <v/>
      </c>
      <c r="F226" s="82" t="str">
        <f aca="false">IF(OR(C226="",P226=""),"",INDEX('CARNET DE SOUDURE'!$AP$7:$AP$3006,P226))</f>
        <v/>
      </c>
      <c r="G226" s="82" t="str">
        <f aca="false">IF(C226="","",IF(P226="","NJ INCONNU",INDEX('CARNET DE SOUDURE'!$AQ$7:$AQ$3006,P226)))</f>
        <v>À SOUDER</v>
      </c>
      <c r="H226" s="82" t="str">
        <f aca="false">IF(C226="","",IF(G226="ACCEPTÉ","OUI","NON"))</f>
        <v>NON</v>
      </c>
      <c r="I226" s="83"/>
      <c r="J226" s="80"/>
      <c r="K226" s="81"/>
      <c r="L226" s="81"/>
      <c r="M226" s="81"/>
      <c r="N226" s="84" t="str">
        <f aca="false">IF(C226="","",IF(P226="","NJ INCONNU",IF(I226="",IF(H226="OUI","À ENROBER",IF(G226="À SOUDER","NON SOUDÉ","EN ATTENTE RT")),IF(L226="R","À REPRENDRE",IF(H226&lt;&gt;"OUI","⚠ ENROBÉ AVANT ACCEPTATION RT","ENROBÉ")))))</f>
        <v>NON SOUDÉ</v>
      </c>
      <c r="O226" s="80"/>
      <c r="P226" s="82" t="n">
        <f aca="false">IF(C226="","",IFERROR(MATCH(Q226,'CARNET DE SOUDURE'!$AW$7:$AW$3006,0),""))</f>
        <v>220</v>
      </c>
      <c r="Q226" s="82" t="str">
        <f aca="false">IF(C226="","",B226&amp;"|"&amp;C226)</f>
        <v>MFD-ISW → MFD-CPF|JN°220</v>
      </c>
    </row>
    <row r="227" customFormat="false" ht="74.6" hidden="false" customHeight="false" outlineLevel="0" collapsed="false">
      <c r="A227" s="82" t="n">
        <f aca="false">IF(C227="","",ROW()-6)</f>
        <v>221</v>
      </c>
      <c r="B227" s="80" t="s">
        <v>110</v>
      </c>
      <c r="C227" s="113" t="s">
        <v>331</v>
      </c>
      <c r="D227" s="82" t="str">
        <f aca="false">IF(OR(C227="",P227=""),"",INDEX('CARNET DE SOUDURE'!$D$7:$D$3006,P227)&amp;"")</f>
        <v/>
      </c>
      <c r="E227" s="114" t="str">
        <f aca="false">IF(OR(C227="",P227=""),"",IF(INDEX('CARNET DE SOUDURE'!$U$7:$U$3006,P227)="","",INDEX('CARNET DE SOUDURE'!$U$7:$U$3006,P227)))</f>
        <v/>
      </c>
      <c r="F227" s="82" t="str">
        <f aca="false">IF(OR(C227="",P227=""),"",INDEX('CARNET DE SOUDURE'!$AP$7:$AP$3006,P227))</f>
        <v/>
      </c>
      <c r="G227" s="82" t="str">
        <f aca="false">IF(C227="","",IF(P227="","NJ INCONNU",INDEX('CARNET DE SOUDURE'!$AQ$7:$AQ$3006,P227)))</f>
        <v>À SOUDER</v>
      </c>
      <c r="H227" s="82" t="str">
        <f aca="false">IF(C227="","",IF(G227="ACCEPTÉ","OUI","NON"))</f>
        <v>NON</v>
      </c>
      <c r="I227" s="83"/>
      <c r="J227" s="80"/>
      <c r="K227" s="81"/>
      <c r="L227" s="81"/>
      <c r="M227" s="81"/>
      <c r="N227" s="84" t="str">
        <f aca="false">IF(C227="","",IF(P227="","NJ INCONNU",IF(I227="",IF(H227="OUI","À ENROBER",IF(G227="À SOUDER","NON SOUDÉ","EN ATTENTE RT")),IF(L227="R","À REPRENDRE",IF(H227&lt;&gt;"OUI","⚠ ENROBÉ AVANT ACCEPTATION RT","ENROBÉ")))))</f>
        <v>NON SOUDÉ</v>
      </c>
      <c r="O227" s="80"/>
      <c r="P227" s="82" t="n">
        <f aca="false">IF(C227="","",IFERROR(MATCH(Q227,'CARNET DE SOUDURE'!$AW$7:$AW$3006,0),""))</f>
        <v>221</v>
      </c>
      <c r="Q227" s="82" t="str">
        <f aca="false">IF(C227="","",B227&amp;"|"&amp;C227)</f>
        <v>MFD-ISW → MFD-CPF|JN°221</v>
      </c>
    </row>
    <row r="228" customFormat="false" ht="74.6" hidden="false" customHeight="false" outlineLevel="0" collapsed="false">
      <c r="A228" s="82" t="n">
        <f aca="false">IF(C228="","",ROW()-6)</f>
        <v>222</v>
      </c>
      <c r="B228" s="80" t="s">
        <v>110</v>
      </c>
      <c r="C228" s="113" t="s">
        <v>332</v>
      </c>
      <c r="D228" s="82" t="str">
        <f aca="false">IF(OR(C228="",P228=""),"",INDEX('CARNET DE SOUDURE'!$D$7:$D$3006,P228)&amp;"")</f>
        <v/>
      </c>
      <c r="E228" s="114" t="str">
        <f aca="false">IF(OR(C228="",P228=""),"",IF(INDEX('CARNET DE SOUDURE'!$U$7:$U$3006,P228)="","",INDEX('CARNET DE SOUDURE'!$U$7:$U$3006,P228)))</f>
        <v/>
      </c>
      <c r="F228" s="82" t="str">
        <f aca="false">IF(OR(C228="",P228=""),"",INDEX('CARNET DE SOUDURE'!$AP$7:$AP$3006,P228))</f>
        <v/>
      </c>
      <c r="G228" s="82" t="str">
        <f aca="false">IF(C228="","",IF(P228="","NJ INCONNU",INDEX('CARNET DE SOUDURE'!$AQ$7:$AQ$3006,P228)))</f>
        <v>À SOUDER</v>
      </c>
      <c r="H228" s="82" t="str">
        <f aca="false">IF(C228="","",IF(G228="ACCEPTÉ","OUI","NON"))</f>
        <v>NON</v>
      </c>
      <c r="I228" s="83"/>
      <c r="J228" s="80"/>
      <c r="K228" s="81"/>
      <c r="L228" s="81"/>
      <c r="M228" s="81"/>
      <c r="N228" s="84" t="str">
        <f aca="false">IF(C228="","",IF(P228="","NJ INCONNU",IF(I228="",IF(H228="OUI","À ENROBER",IF(G228="À SOUDER","NON SOUDÉ","EN ATTENTE RT")),IF(L228="R","À REPRENDRE",IF(H228&lt;&gt;"OUI","⚠ ENROBÉ AVANT ACCEPTATION RT","ENROBÉ")))))</f>
        <v>NON SOUDÉ</v>
      </c>
      <c r="O228" s="80"/>
      <c r="P228" s="82" t="n">
        <f aca="false">IF(C228="","",IFERROR(MATCH(Q228,'CARNET DE SOUDURE'!$AW$7:$AW$3006,0),""))</f>
        <v>222</v>
      </c>
      <c r="Q228" s="82" t="str">
        <f aca="false">IF(C228="","",B228&amp;"|"&amp;C228)</f>
        <v>MFD-ISW → MFD-CPF|JN°222</v>
      </c>
    </row>
    <row r="229" customFormat="false" ht="74.6" hidden="false" customHeight="false" outlineLevel="0" collapsed="false">
      <c r="A229" s="82" t="n">
        <f aca="false">IF(C229="","",ROW()-6)</f>
        <v>223</v>
      </c>
      <c r="B229" s="80" t="s">
        <v>110</v>
      </c>
      <c r="C229" s="113" t="s">
        <v>333</v>
      </c>
      <c r="D229" s="82" t="str">
        <f aca="false">IF(OR(C229="",P229=""),"",INDEX('CARNET DE SOUDURE'!$D$7:$D$3006,P229)&amp;"")</f>
        <v/>
      </c>
      <c r="E229" s="114" t="str">
        <f aca="false">IF(OR(C229="",P229=""),"",IF(INDEX('CARNET DE SOUDURE'!$U$7:$U$3006,P229)="","",INDEX('CARNET DE SOUDURE'!$U$7:$U$3006,P229)))</f>
        <v/>
      </c>
      <c r="F229" s="82" t="str">
        <f aca="false">IF(OR(C229="",P229=""),"",INDEX('CARNET DE SOUDURE'!$AP$7:$AP$3006,P229))</f>
        <v/>
      </c>
      <c r="G229" s="82" t="str">
        <f aca="false">IF(C229="","",IF(P229="","NJ INCONNU",INDEX('CARNET DE SOUDURE'!$AQ$7:$AQ$3006,P229)))</f>
        <v>À SOUDER</v>
      </c>
      <c r="H229" s="82" t="str">
        <f aca="false">IF(C229="","",IF(G229="ACCEPTÉ","OUI","NON"))</f>
        <v>NON</v>
      </c>
      <c r="I229" s="83"/>
      <c r="J229" s="80"/>
      <c r="K229" s="81"/>
      <c r="L229" s="81"/>
      <c r="M229" s="81"/>
      <c r="N229" s="84" t="str">
        <f aca="false">IF(C229="","",IF(P229="","NJ INCONNU",IF(I229="",IF(H229="OUI","À ENROBER",IF(G229="À SOUDER","NON SOUDÉ","EN ATTENTE RT")),IF(L229="R","À REPRENDRE",IF(H229&lt;&gt;"OUI","⚠ ENROBÉ AVANT ACCEPTATION RT","ENROBÉ")))))</f>
        <v>NON SOUDÉ</v>
      </c>
      <c r="O229" s="80"/>
      <c r="P229" s="82" t="n">
        <f aca="false">IF(C229="","",IFERROR(MATCH(Q229,'CARNET DE SOUDURE'!$AW$7:$AW$3006,0),""))</f>
        <v>223</v>
      </c>
      <c r="Q229" s="82" t="str">
        <f aca="false">IF(C229="","",B229&amp;"|"&amp;C229)</f>
        <v>MFD-ISW → MFD-CPF|JN°223</v>
      </c>
    </row>
    <row r="230" customFormat="false" ht="74.6" hidden="false" customHeight="false" outlineLevel="0" collapsed="false">
      <c r="A230" s="82" t="n">
        <f aca="false">IF(C230="","",ROW()-6)</f>
        <v>224</v>
      </c>
      <c r="B230" s="80" t="s">
        <v>110</v>
      </c>
      <c r="C230" s="113" t="s">
        <v>334</v>
      </c>
      <c r="D230" s="82" t="str">
        <f aca="false">IF(OR(C230="",P230=""),"",INDEX('CARNET DE SOUDURE'!$D$7:$D$3006,P230)&amp;"")</f>
        <v/>
      </c>
      <c r="E230" s="114" t="str">
        <f aca="false">IF(OR(C230="",P230=""),"",IF(INDEX('CARNET DE SOUDURE'!$U$7:$U$3006,P230)="","",INDEX('CARNET DE SOUDURE'!$U$7:$U$3006,P230)))</f>
        <v/>
      </c>
      <c r="F230" s="82" t="str">
        <f aca="false">IF(OR(C230="",P230=""),"",INDEX('CARNET DE SOUDURE'!$AP$7:$AP$3006,P230))</f>
        <v/>
      </c>
      <c r="G230" s="82" t="str">
        <f aca="false">IF(C230="","",IF(P230="","NJ INCONNU",INDEX('CARNET DE SOUDURE'!$AQ$7:$AQ$3006,P230)))</f>
        <v>À SOUDER</v>
      </c>
      <c r="H230" s="82" t="str">
        <f aca="false">IF(C230="","",IF(G230="ACCEPTÉ","OUI","NON"))</f>
        <v>NON</v>
      </c>
      <c r="I230" s="83"/>
      <c r="J230" s="80"/>
      <c r="K230" s="81"/>
      <c r="L230" s="81"/>
      <c r="M230" s="81"/>
      <c r="N230" s="84" t="str">
        <f aca="false">IF(C230="","",IF(P230="","NJ INCONNU",IF(I230="",IF(H230="OUI","À ENROBER",IF(G230="À SOUDER","NON SOUDÉ","EN ATTENTE RT")),IF(L230="R","À REPRENDRE",IF(H230&lt;&gt;"OUI","⚠ ENROBÉ AVANT ACCEPTATION RT","ENROBÉ")))))</f>
        <v>NON SOUDÉ</v>
      </c>
      <c r="O230" s="80"/>
      <c r="P230" s="82" t="n">
        <f aca="false">IF(C230="","",IFERROR(MATCH(Q230,'CARNET DE SOUDURE'!$AW$7:$AW$3006,0),""))</f>
        <v>224</v>
      </c>
      <c r="Q230" s="82" t="str">
        <f aca="false">IF(C230="","",B230&amp;"|"&amp;C230)</f>
        <v>MFD-ISW → MFD-CPF|JN°224</v>
      </c>
    </row>
    <row r="231" customFormat="false" ht="74.6" hidden="false" customHeight="false" outlineLevel="0" collapsed="false">
      <c r="A231" s="82" t="n">
        <f aca="false">IF(C231="","",ROW()-6)</f>
        <v>225</v>
      </c>
      <c r="B231" s="80" t="s">
        <v>110</v>
      </c>
      <c r="C231" s="113" t="s">
        <v>335</v>
      </c>
      <c r="D231" s="82" t="str">
        <f aca="false">IF(OR(C231="",P231=""),"",INDEX('CARNET DE SOUDURE'!$D$7:$D$3006,P231)&amp;"")</f>
        <v/>
      </c>
      <c r="E231" s="114" t="str">
        <f aca="false">IF(OR(C231="",P231=""),"",IF(INDEX('CARNET DE SOUDURE'!$U$7:$U$3006,P231)="","",INDEX('CARNET DE SOUDURE'!$U$7:$U$3006,P231)))</f>
        <v/>
      </c>
      <c r="F231" s="82" t="str">
        <f aca="false">IF(OR(C231="",P231=""),"",INDEX('CARNET DE SOUDURE'!$AP$7:$AP$3006,P231))</f>
        <v/>
      </c>
      <c r="G231" s="82" t="str">
        <f aca="false">IF(C231="","",IF(P231="","NJ INCONNU",INDEX('CARNET DE SOUDURE'!$AQ$7:$AQ$3006,P231)))</f>
        <v>À SOUDER</v>
      </c>
      <c r="H231" s="82" t="str">
        <f aca="false">IF(C231="","",IF(G231="ACCEPTÉ","OUI","NON"))</f>
        <v>NON</v>
      </c>
      <c r="I231" s="83"/>
      <c r="J231" s="80"/>
      <c r="K231" s="81"/>
      <c r="L231" s="81"/>
      <c r="M231" s="81"/>
      <c r="N231" s="84" t="str">
        <f aca="false">IF(C231="","",IF(P231="","NJ INCONNU",IF(I231="",IF(H231="OUI","À ENROBER",IF(G231="À SOUDER","NON SOUDÉ","EN ATTENTE RT")),IF(L231="R","À REPRENDRE",IF(H231&lt;&gt;"OUI","⚠ ENROBÉ AVANT ACCEPTATION RT","ENROBÉ")))))</f>
        <v>NON SOUDÉ</v>
      </c>
      <c r="O231" s="80"/>
      <c r="P231" s="82" t="n">
        <f aca="false">IF(C231="","",IFERROR(MATCH(Q231,'CARNET DE SOUDURE'!$AW$7:$AW$3006,0),""))</f>
        <v>225</v>
      </c>
      <c r="Q231" s="82" t="str">
        <f aca="false">IF(C231="","",B231&amp;"|"&amp;C231)</f>
        <v>MFD-ISW → MFD-CPF|JN°225</v>
      </c>
    </row>
    <row r="232" customFormat="false" ht="74.6" hidden="false" customHeight="false" outlineLevel="0" collapsed="false">
      <c r="A232" s="82" t="n">
        <f aca="false">IF(C232="","",ROW()-6)</f>
        <v>226</v>
      </c>
      <c r="B232" s="80" t="s">
        <v>110</v>
      </c>
      <c r="C232" s="113" t="s">
        <v>336</v>
      </c>
      <c r="D232" s="82" t="str">
        <f aca="false">IF(OR(C232="",P232=""),"",INDEX('CARNET DE SOUDURE'!$D$7:$D$3006,P232)&amp;"")</f>
        <v/>
      </c>
      <c r="E232" s="114" t="str">
        <f aca="false">IF(OR(C232="",P232=""),"",IF(INDEX('CARNET DE SOUDURE'!$U$7:$U$3006,P232)="","",INDEX('CARNET DE SOUDURE'!$U$7:$U$3006,P232)))</f>
        <v/>
      </c>
      <c r="F232" s="82" t="str">
        <f aca="false">IF(OR(C232="",P232=""),"",INDEX('CARNET DE SOUDURE'!$AP$7:$AP$3006,P232))</f>
        <v/>
      </c>
      <c r="G232" s="82" t="str">
        <f aca="false">IF(C232="","",IF(P232="","NJ INCONNU",INDEX('CARNET DE SOUDURE'!$AQ$7:$AQ$3006,P232)))</f>
        <v>À SOUDER</v>
      </c>
      <c r="H232" s="82" t="str">
        <f aca="false">IF(C232="","",IF(G232="ACCEPTÉ","OUI","NON"))</f>
        <v>NON</v>
      </c>
      <c r="I232" s="83"/>
      <c r="J232" s="80"/>
      <c r="K232" s="81"/>
      <c r="L232" s="81"/>
      <c r="M232" s="81"/>
      <c r="N232" s="84" t="str">
        <f aca="false">IF(C232="","",IF(P232="","NJ INCONNU",IF(I232="",IF(H232="OUI","À ENROBER",IF(G232="À SOUDER","NON SOUDÉ","EN ATTENTE RT")),IF(L232="R","À REPRENDRE",IF(H232&lt;&gt;"OUI","⚠ ENROBÉ AVANT ACCEPTATION RT","ENROBÉ")))))</f>
        <v>NON SOUDÉ</v>
      </c>
      <c r="O232" s="80"/>
      <c r="P232" s="82" t="n">
        <f aca="false">IF(C232="","",IFERROR(MATCH(Q232,'CARNET DE SOUDURE'!$AW$7:$AW$3006,0),""))</f>
        <v>226</v>
      </c>
      <c r="Q232" s="82" t="str">
        <f aca="false">IF(C232="","",B232&amp;"|"&amp;C232)</f>
        <v>MFD-ISW → MFD-CPF|JN°226</v>
      </c>
    </row>
    <row r="233" customFormat="false" ht="74.6" hidden="false" customHeight="false" outlineLevel="0" collapsed="false">
      <c r="A233" s="82" t="n">
        <f aca="false">IF(C233="","",ROW()-6)</f>
        <v>227</v>
      </c>
      <c r="B233" s="80" t="s">
        <v>110</v>
      </c>
      <c r="C233" s="113" t="s">
        <v>337</v>
      </c>
      <c r="D233" s="82" t="str">
        <f aca="false">IF(OR(C233="",P233=""),"",INDEX('CARNET DE SOUDURE'!$D$7:$D$3006,P233)&amp;"")</f>
        <v/>
      </c>
      <c r="E233" s="114" t="str">
        <f aca="false">IF(OR(C233="",P233=""),"",IF(INDEX('CARNET DE SOUDURE'!$U$7:$U$3006,P233)="","",INDEX('CARNET DE SOUDURE'!$U$7:$U$3006,P233)))</f>
        <v/>
      </c>
      <c r="F233" s="82" t="str">
        <f aca="false">IF(OR(C233="",P233=""),"",INDEX('CARNET DE SOUDURE'!$AP$7:$AP$3006,P233))</f>
        <v/>
      </c>
      <c r="G233" s="82" t="str">
        <f aca="false">IF(C233="","",IF(P233="","NJ INCONNU",INDEX('CARNET DE SOUDURE'!$AQ$7:$AQ$3006,P233)))</f>
        <v>À SOUDER</v>
      </c>
      <c r="H233" s="82" t="str">
        <f aca="false">IF(C233="","",IF(G233="ACCEPTÉ","OUI","NON"))</f>
        <v>NON</v>
      </c>
      <c r="I233" s="83"/>
      <c r="J233" s="80"/>
      <c r="K233" s="81"/>
      <c r="L233" s="81"/>
      <c r="M233" s="81"/>
      <c r="N233" s="84" t="str">
        <f aca="false">IF(C233="","",IF(P233="","NJ INCONNU",IF(I233="",IF(H233="OUI","À ENROBER",IF(G233="À SOUDER","NON SOUDÉ","EN ATTENTE RT")),IF(L233="R","À REPRENDRE",IF(H233&lt;&gt;"OUI","⚠ ENROBÉ AVANT ACCEPTATION RT","ENROBÉ")))))</f>
        <v>NON SOUDÉ</v>
      </c>
      <c r="O233" s="80"/>
      <c r="P233" s="82" t="n">
        <f aca="false">IF(C233="","",IFERROR(MATCH(Q233,'CARNET DE SOUDURE'!$AW$7:$AW$3006,0),""))</f>
        <v>227</v>
      </c>
      <c r="Q233" s="82" t="str">
        <f aca="false">IF(C233="","",B233&amp;"|"&amp;C233)</f>
        <v>MFD-ISW → MFD-CPF|JN°227</v>
      </c>
    </row>
    <row r="234" customFormat="false" ht="74.6" hidden="false" customHeight="false" outlineLevel="0" collapsed="false">
      <c r="A234" s="82" t="n">
        <f aca="false">IF(C234="","",ROW()-6)</f>
        <v>228</v>
      </c>
      <c r="B234" s="80" t="s">
        <v>110</v>
      </c>
      <c r="C234" s="113" t="s">
        <v>338</v>
      </c>
      <c r="D234" s="82" t="str">
        <f aca="false">IF(OR(C234="",P234=""),"",INDEX('CARNET DE SOUDURE'!$D$7:$D$3006,P234)&amp;"")</f>
        <v/>
      </c>
      <c r="E234" s="114" t="str">
        <f aca="false">IF(OR(C234="",P234=""),"",IF(INDEX('CARNET DE SOUDURE'!$U$7:$U$3006,P234)="","",INDEX('CARNET DE SOUDURE'!$U$7:$U$3006,P234)))</f>
        <v/>
      </c>
      <c r="F234" s="82" t="str">
        <f aca="false">IF(OR(C234="",P234=""),"",INDEX('CARNET DE SOUDURE'!$AP$7:$AP$3006,P234))</f>
        <v/>
      </c>
      <c r="G234" s="82" t="str">
        <f aca="false">IF(C234="","",IF(P234="","NJ INCONNU",INDEX('CARNET DE SOUDURE'!$AQ$7:$AQ$3006,P234)))</f>
        <v>À SOUDER</v>
      </c>
      <c r="H234" s="82" t="str">
        <f aca="false">IF(C234="","",IF(G234="ACCEPTÉ","OUI","NON"))</f>
        <v>NON</v>
      </c>
      <c r="I234" s="83"/>
      <c r="J234" s="80"/>
      <c r="K234" s="81"/>
      <c r="L234" s="81"/>
      <c r="M234" s="81"/>
      <c r="N234" s="84" t="str">
        <f aca="false">IF(C234="","",IF(P234="","NJ INCONNU",IF(I234="",IF(H234="OUI","À ENROBER",IF(G234="À SOUDER","NON SOUDÉ","EN ATTENTE RT")),IF(L234="R","À REPRENDRE",IF(H234&lt;&gt;"OUI","⚠ ENROBÉ AVANT ACCEPTATION RT","ENROBÉ")))))</f>
        <v>NON SOUDÉ</v>
      </c>
      <c r="O234" s="80"/>
      <c r="P234" s="82" t="n">
        <f aca="false">IF(C234="","",IFERROR(MATCH(Q234,'CARNET DE SOUDURE'!$AW$7:$AW$3006,0),""))</f>
        <v>228</v>
      </c>
      <c r="Q234" s="82" t="str">
        <f aca="false">IF(C234="","",B234&amp;"|"&amp;C234)</f>
        <v>MFD-ISW → MFD-CPF|JN°228</v>
      </c>
    </row>
    <row r="235" customFormat="false" ht="74.6" hidden="false" customHeight="false" outlineLevel="0" collapsed="false">
      <c r="A235" s="82" t="n">
        <f aca="false">IF(C235="","",ROW()-6)</f>
        <v>229</v>
      </c>
      <c r="B235" s="80" t="s">
        <v>110</v>
      </c>
      <c r="C235" s="113" t="s">
        <v>339</v>
      </c>
      <c r="D235" s="82" t="str">
        <f aca="false">IF(OR(C235="",P235=""),"",INDEX('CARNET DE SOUDURE'!$D$7:$D$3006,P235)&amp;"")</f>
        <v/>
      </c>
      <c r="E235" s="114" t="str">
        <f aca="false">IF(OR(C235="",P235=""),"",IF(INDEX('CARNET DE SOUDURE'!$U$7:$U$3006,P235)="","",INDEX('CARNET DE SOUDURE'!$U$7:$U$3006,P235)))</f>
        <v/>
      </c>
      <c r="F235" s="82" t="str">
        <f aca="false">IF(OR(C235="",P235=""),"",INDEX('CARNET DE SOUDURE'!$AP$7:$AP$3006,P235))</f>
        <v/>
      </c>
      <c r="G235" s="82" t="str">
        <f aca="false">IF(C235="","",IF(P235="","NJ INCONNU",INDEX('CARNET DE SOUDURE'!$AQ$7:$AQ$3006,P235)))</f>
        <v>À SOUDER</v>
      </c>
      <c r="H235" s="82" t="str">
        <f aca="false">IF(C235="","",IF(G235="ACCEPTÉ","OUI","NON"))</f>
        <v>NON</v>
      </c>
      <c r="I235" s="83"/>
      <c r="J235" s="80"/>
      <c r="K235" s="81"/>
      <c r="L235" s="81"/>
      <c r="M235" s="81"/>
      <c r="N235" s="84" t="str">
        <f aca="false">IF(C235="","",IF(P235="","NJ INCONNU",IF(I235="",IF(H235="OUI","À ENROBER",IF(G235="À SOUDER","NON SOUDÉ","EN ATTENTE RT")),IF(L235="R","À REPRENDRE",IF(H235&lt;&gt;"OUI","⚠ ENROBÉ AVANT ACCEPTATION RT","ENROBÉ")))))</f>
        <v>NON SOUDÉ</v>
      </c>
      <c r="O235" s="80"/>
      <c r="P235" s="82" t="n">
        <f aca="false">IF(C235="","",IFERROR(MATCH(Q235,'CARNET DE SOUDURE'!$AW$7:$AW$3006,0),""))</f>
        <v>229</v>
      </c>
      <c r="Q235" s="82" t="str">
        <f aca="false">IF(C235="","",B235&amp;"|"&amp;C235)</f>
        <v>MFD-ISW → MFD-CPF|JN°229</v>
      </c>
    </row>
    <row r="236" customFormat="false" ht="74.6" hidden="false" customHeight="false" outlineLevel="0" collapsed="false">
      <c r="A236" s="82" t="n">
        <f aca="false">IF(C236="","",ROW()-6)</f>
        <v>230</v>
      </c>
      <c r="B236" s="80" t="s">
        <v>110</v>
      </c>
      <c r="C236" s="113" t="s">
        <v>340</v>
      </c>
      <c r="D236" s="82" t="str">
        <f aca="false">IF(OR(C236="",P236=""),"",INDEX('CARNET DE SOUDURE'!$D$7:$D$3006,P236)&amp;"")</f>
        <v/>
      </c>
      <c r="E236" s="114" t="str">
        <f aca="false">IF(OR(C236="",P236=""),"",IF(INDEX('CARNET DE SOUDURE'!$U$7:$U$3006,P236)="","",INDEX('CARNET DE SOUDURE'!$U$7:$U$3006,P236)))</f>
        <v/>
      </c>
      <c r="F236" s="82" t="str">
        <f aca="false">IF(OR(C236="",P236=""),"",INDEX('CARNET DE SOUDURE'!$AP$7:$AP$3006,P236))</f>
        <v/>
      </c>
      <c r="G236" s="82" t="str">
        <f aca="false">IF(C236="","",IF(P236="","NJ INCONNU",INDEX('CARNET DE SOUDURE'!$AQ$7:$AQ$3006,P236)))</f>
        <v>À SOUDER</v>
      </c>
      <c r="H236" s="82" t="str">
        <f aca="false">IF(C236="","",IF(G236="ACCEPTÉ","OUI","NON"))</f>
        <v>NON</v>
      </c>
      <c r="I236" s="83"/>
      <c r="J236" s="80"/>
      <c r="K236" s="81"/>
      <c r="L236" s="81"/>
      <c r="M236" s="81"/>
      <c r="N236" s="84" t="str">
        <f aca="false">IF(C236="","",IF(P236="","NJ INCONNU",IF(I236="",IF(H236="OUI","À ENROBER",IF(G236="À SOUDER","NON SOUDÉ","EN ATTENTE RT")),IF(L236="R","À REPRENDRE",IF(H236&lt;&gt;"OUI","⚠ ENROBÉ AVANT ACCEPTATION RT","ENROBÉ")))))</f>
        <v>NON SOUDÉ</v>
      </c>
      <c r="O236" s="80"/>
      <c r="P236" s="82" t="n">
        <f aca="false">IF(C236="","",IFERROR(MATCH(Q236,'CARNET DE SOUDURE'!$AW$7:$AW$3006,0),""))</f>
        <v>230</v>
      </c>
      <c r="Q236" s="82" t="str">
        <f aca="false">IF(C236="","",B236&amp;"|"&amp;C236)</f>
        <v>MFD-ISW → MFD-CPF|JN°230</v>
      </c>
    </row>
    <row r="237" customFormat="false" ht="74.6" hidden="false" customHeight="false" outlineLevel="0" collapsed="false">
      <c r="A237" s="82" t="n">
        <f aca="false">IF(C237="","",ROW()-6)</f>
        <v>231</v>
      </c>
      <c r="B237" s="80" t="s">
        <v>110</v>
      </c>
      <c r="C237" s="113" t="s">
        <v>341</v>
      </c>
      <c r="D237" s="82" t="str">
        <f aca="false">IF(OR(C237="",P237=""),"",INDEX('CARNET DE SOUDURE'!$D$7:$D$3006,P237)&amp;"")</f>
        <v/>
      </c>
      <c r="E237" s="114" t="str">
        <f aca="false">IF(OR(C237="",P237=""),"",IF(INDEX('CARNET DE SOUDURE'!$U$7:$U$3006,P237)="","",INDEX('CARNET DE SOUDURE'!$U$7:$U$3006,P237)))</f>
        <v/>
      </c>
      <c r="F237" s="82" t="str">
        <f aca="false">IF(OR(C237="",P237=""),"",INDEX('CARNET DE SOUDURE'!$AP$7:$AP$3006,P237))</f>
        <v/>
      </c>
      <c r="G237" s="82" t="str">
        <f aca="false">IF(C237="","",IF(P237="","NJ INCONNU",INDEX('CARNET DE SOUDURE'!$AQ$7:$AQ$3006,P237)))</f>
        <v>À SOUDER</v>
      </c>
      <c r="H237" s="82" t="str">
        <f aca="false">IF(C237="","",IF(G237="ACCEPTÉ","OUI","NON"))</f>
        <v>NON</v>
      </c>
      <c r="I237" s="83"/>
      <c r="J237" s="80"/>
      <c r="K237" s="81"/>
      <c r="L237" s="81"/>
      <c r="M237" s="81"/>
      <c r="N237" s="84" t="str">
        <f aca="false">IF(C237="","",IF(P237="","NJ INCONNU",IF(I237="",IF(H237="OUI","À ENROBER",IF(G237="À SOUDER","NON SOUDÉ","EN ATTENTE RT")),IF(L237="R","À REPRENDRE",IF(H237&lt;&gt;"OUI","⚠ ENROBÉ AVANT ACCEPTATION RT","ENROBÉ")))))</f>
        <v>NON SOUDÉ</v>
      </c>
      <c r="O237" s="80"/>
      <c r="P237" s="82" t="n">
        <f aca="false">IF(C237="","",IFERROR(MATCH(Q237,'CARNET DE SOUDURE'!$AW$7:$AW$3006,0),""))</f>
        <v>231</v>
      </c>
      <c r="Q237" s="82" t="str">
        <f aca="false">IF(C237="","",B237&amp;"|"&amp;C237)</f>
        <v>MFD-ISW → MFD-CPF|JN°231</v>
      </c>
    </row>
    <row r="238" customFormat="false" ht="74.6" hidden="false" customHeight="false" outlineLevel="0" collapsed="false">
      <c r="A238" s="82" t="n">
        <f aca="false">IF(C238="","",ROW()-6)</f>
        <v>232</v>
      </c>
      <c r="B238" s="80" t="s">
        <v>110</v>
      </c>
      <c r="C238" s="113" t="s">
        <v>342</v>
      </c>
      <c r="D238" s="82" t="str">
        <f aca="false">IF(OR(C238="",P238=""),"",INDEX('CARNET DE SOUDURE'!$D$7:$D$3006,P238)&amp;"")</f>
        <v/>
      </c>
      <c r="E238" s="114" t="str">
        <f aca="false">IF(OR(C238="",P238=""),"",IF(INDEX('CARNET DE SOUDURE'!$U$7:$U$3006,P238)="","",INDEX('CARNET DE SOUDURE'!$U$7:$U$3006,P238)))</f>
        <v/>
      </c>
      <c r="F238" s="82" t="str">
        <f aca="false">IF(OR(C238="",P238=""),"",INDEX('CARNET DE SOUDURE'!$AP$7:$AP$3006,P238))</f>
        <v/>
      </c>
      <c r="G238" s="82" t="str">
        <f aca="false">IF(C238="","",IF(P238="","NJ INCONNU",INDEX('CARNET DE SOUDURE'!$AQ$7:$AQ$3006,P238)))</f>
        <v>À SOUDER</v>
      </c>
      <c r="H238" s="82" t="str">
        <f aca="false">IF(C238="","",IF(G238="ACCEPTÉ","OUI","NON"))</f>
        <v>NON</v>
      </c>
      <c r="I238" s="83"/>
      <c r="J238" s="80"/>
      <c r="K238" s="81"/>
      <c r="L238" s="81"/>
      <c r="M238" s="81"/>
      <c r="N238" s="84" t="str">
        <f aca="false">IF(C238="","",IF(P238="","NJ INCONNU",IF(I238="",IF(H238="OUI","À ENROBER",IF(G238="À SOUDER","NON SOUDÉ","EN ATTENTE RT")),IF(L238="R","À REPRENDRE",IF(H238&lt;&gt;"OUI","⚠ ENROBÉ AVANT ACCEPTATION RT","ENROBÉ")))))</f>
        <v>NON SOUDÉ</v>
      </c>
      <c r="O238" s="80"/>
      <c r="P238" s="82" t="n">
        <f aca="false">IF(C238="","",IFERROR(MATCH(Q238,'CARNET DE SOUDURE'!$AW$7:$AW$3006,0),""))</f>
        <v>232</v>
      </c>
      <c r="Q238" s="82" t="str">
        <f aca="false">IF(C238="","",B238&amp;"|"&amp;C238)</f>
        <v>MFD-ISW → MFD-CPF|JN°232</v>
      </c>
    </row>
    <row r="239" customFormat="false" ht="74.6" hidden="false" customHeight="false" outlineLevel="0" collapsed="false">
      <c r="A239" s="82" t="n">
        <f aca="false">IF(C239="","",ROW()-6)</f>
        <v>233</v>
      </c>
      <c r="B239" s="80" t="s">
        <v>110</v>
      </c>
      <c r="C239" s="113" t="s">
        <v>343</v>
      </c>
      <c r="D239" s="82" t="str">
        <f aca="false">IF(OR(C239="",P239=""),"",INDEX('CARNET DE SOUDURE'!$D$7:$D$3006,P239)&amp;"")</f>
        <v/>
      </c>
      <c r="E239" s="114" t="str">
        <f aca="false">IF(OR(C239="",P239=""),"",IF(INDEX('CARNET DE SOUDURE'!$U$7:$U$3006,P239)="","",INDEX('CARNET DE SOUDURE'!$U$7:$U$3006,P239)))</f>
        <v/>
      </c>
      <c r="F239" s="82" t="str">
        <f aca="false">IF(OR(C239="",P239=""),"",INDEX('CARNET DE SOUDURE'!$AP$7:$AP$3006,P239))</f>
        <v/>
      </c>
      <c r="G239" s="82" t="str">
        <f aca="false">IF(C239="","",IF(P239="","NJ INCONNU",INDEX('CARNET DE SOUDURE'!$AQ$7:$AQ$3006,P239)))</f>
        <v>À SOUDER</v>
      </c>
      <c r="H239" s="82" t="str">
        <f aca="false">IF(C239="","",IF(G239="ACCEPTÉ","OUI","NON"))</f>
        <v>NON</v>
      </c>
      <c r="I239" s="83"/>
      <c r="J239" s="80"/>
      <c r="K239" s="81"/>
      <c r="L239" s="81"/>
      <c r="M239" s="81"/>
      <c r="N239" s="84" t="str">
        <f aca="false">IF(C239="","",IF(P239="","NJ INCONNU",IF(I239="",IF(H239="OUI","À ENROBER",IF(G239="À SOUDER","NON SOUDÉ","EN ATTENTE RT")),IF(L239="R","À REPRENDRE",IF(H239&lt;&gt;"OUI","⚠ ENROBÉ AVANT ACCEPTATION RT","ENROBÉ")))))</f>
        <v>NON SOUDÉ</v>
      </c>
      <c r="O239" s="80"/>
      <c r="P239" s="82" t="n">
        <f aca="false">IF(C239="","",IFERROR(MATCH(Q239,'CARNET DE SOUDURE'!$AW$7:$AW$3006,0),""))</f>
        <v>233</v>
      </c>
      <c r="Q239" s="82" t="str">
        <f aca="false">IF(C239="","",B239&amp;"|"&amp;C239)</f>
        <v>MFD-ISW → MFD-CPF|JN°233</v>
      </c>
    </row>
    <row r="240" customFormat="false" ht="74.6" hidden="false" customHeight="false" outlineLevel="0" collapsed="false">
      <c r="A240" s="82" t="n">
        <f aca="false">IF(C240="","",ROW()-6)</f>
        <v>234</v>
      </c>
      <c r="B240" s="80" t="s">
        <v>110</v>
      </c>
      <c r="C240" s="113" t="s">
        <v>344</v>
      </c>
      <c r="D240" s="82" t="str">
        <f aca="false">IF(OR(C240="",P240=""),"",INDEX('CARNET DE SOUDURE'!$D$7:$D$3006,P240)&amp;"")</f>
        <v/>
      </c>
      <c r="E240" s="114" t="str">
        <f aca="false">IF(OR(C240="",P240=""),"",IF(INDEX('CARNET DE SOUDURE'!$U$7:$U$3006,P240)="","",INDEX('CARNET DE SOUDURE'!$U$7:$U$3006,P240)))</f>
        <v/>
      </c>
      <c r="F240" s="82" t="str">
        <f aca="false">IF(OR(C240="",P240=""),"",INDEX('CARNET DE SOUDURE'!$AP$7:$AP$3006,P240))</f>
        <v/>
      </c>
      <c r="G240" s="82" t="str">
        <f aca="false">IF(C240="","",IF(P240="","NJ INCONNU",INDEX('CARNET DE SOUDURE'!$AQ$7:$AQ$3006,P240)))</f>
        <v>À SOUDER</v>
      </c>
      <c r="H240" s="82" t="str">
        <f aca="false">IF(C240="","",IF(G240="ACCEPTÉ","OUI","NON"))</f>
        <v>NON</v>
      </c>
      <c r="I240" s="83"/>
      <c r="J240" s="80"/>
      <c r="K240" s="81"/>
      <c r="L240" s="81"/>
      <c r="M240" s="81"/>
      <c r="N240" s="84" t="str">
        <f aca="false">IF(C240="","",IF(P240="","NJ INCONNU",IF(I240="",IF(H240="OUI","À ENROBER",IF(G240="À SOUDER","NON SOUDÉ","EN ATTENTE RT")),IF(L240="R","À REPRENDRE",IF(H240&lt;&gt;"OUI","⚠ ENROBÉ AVANT ACCEPTATION RT","ENROBÉ")))))</f>
        <v>NON SOUDÉ</v>
      </c>
      <c r="O240" s="80"/>
      <c r="P240" s="82" t="n">
        <f aca="false">IF(C240="","",IFERROR(MATCH(Q240,'CARNET DE SOUDURE'!$AW$7:$AW$3006,0),""))</f>
        <v>234</v>
      </c>
      <c r="Q240" s="82" t="str">
        <f aca="false">IF(C240="","",B240&amp;"|"&amp;C240)</f>
        <v>MFD-ISW → MFD-CPF|JN°234</v>
      </c>
    </row>
    <row r="241" customFormat="false" ht="74.6" hidden="false" customHeight="false" outlineLevel="0" collapsed="false">
      <c r="A241" s="82" t="n">
        <f aca="false">IF(C241="","",ROW()-6)</f>
        <v>235</v>
      </c>
      <c r="B241" s="80" t="s">
        <v>110</v>
      </c>
      <c r="C241" s="113" t="s">
        <v>345</v>
      </c>
      <c r="D241" s="82" t="str">
        <f aca="false">IF(OR(C241="",P241=""),"",INDEX('CARNET DE SOUDURE'!$D$7:$D$3006,P241)&amp;"")</f>
        <v/>
      </c>
      <c r="E241" s="114" t="str">
        <f aca="false">IF(OR(C241="",P241=""),"",IF(INDEX('CARNET DE SOUDURE'!$U$7:$U$3006,P241)="","",INDEX('CARNET DE SOUDURE'!$U$7:$U$3006,P241)))</f>
        <v/>
      </c>
      <c r="F241" s="82" t="str">
        <f aca="false">IF(OR(C241="",P241=""),"",INDEX('CARNET DE SOUDURE'!$AP$7:$AP$3006,P241))</f>
        <v/>
      </c>
      <c r="G241" s="82" t="str">
        <f aca="false">IF(C241="","",IF(P241="","NJ INCONNU",INDEX('CARNET DE SOUDURE'!$AQ$7:$AQ$3006,P241)))</f>
        <v>À SOUDER</v>
      </c>
      <c r="H241" s="82" t="str">
        <f aca="false">IF(C241="","",IF(G241="ACCEPTÉ","OUI","NON"))</f>
        <v>NON</v>
      </c>
      <c r="I241" s="83"/>
      <c r="J241" s="80"/>
      <c r="K241" s="81"/>
      <c r="L241" s="81"/>
      <c r="M241" s="81"/>
      <c r="N241" s="84" t="str">
        <f aca="false">IF(C241="","",IF(P241="","NJ INCONNU",IF(I241="",IF(H241="OUI","À ENROBER",IF(G241="À SOUDER","NON SOUDÉ","EN ATTENTE RT")),IF(L241="R","À REPRENDRE",IF(H241&lt;&gt;"OUI","⚠ ENROBÉ AVANT ACCEPTATION RT","ENROBÉ")))))</f>
        <v>NON SOUDÉ</v>
      </c>
      <c r="O241" s="80"/>
      <c r="P241" s="82" t="n">
        <f aca="false">IF(C241="","",IFERROR(MATCH(Q241,'CARNET DE SOUDURE'!$AW$7:$AW$3006,0),""))</f>
        <v>235</v>
      </c>
      <c r="Q241" s="82" t="str">
        <f aca="false">IF(C241="","",B241&amp;"|"&amp;C241)</f>
        <v>MFD-ISW → MFD-CPF|JN°235</v>
      </c>
    </row>
    <row r="242" customFormat="false" ht="74.6" hidden="false" customHeight="false" outlineLevel="0" collapsed="false">
      <c r="A242" s="82" t="n">
        <f aca="false">IF(C242="","",ROW()-6)</f>
        <v>236</v>
      </c>
      <c r="B242" s="80" t="s">
        <v>110</v>
      </c>
      <c r="C242" s="113" t="s">
        <v>346</v>
      </c>
      <c r="D242" s="82" t="str">
        <f aca="false">IF(OR(C242="",P242=""),"",INDEX('CARNET DE SOUDURE'!$D$7:$D$3006,P242)&amp;"")</f>
        <v/>
      </c>
      <c r="E242" s="114" t="str">
        <f aca="false">IF(OR(C242="",P242=""),"",IF(INDEX('CARNET DE SOUDURE'!$U$7:$U$3006,P242)="","",INDEX('CARNET DE SOUDURE'!$U$7:$U$3006,P242)))</f>
        <v/>
      </c>
      <c r="F242" s="82" t="str">
        <f aca="false">IF(OR(C242="",P242=""),"",INDEX('CARNET DE SOUDURE'!$AP$7:$AP$3006,P242))</f>
        <v/>
      </c>
      <c r="G242" s="82" t="str">
        <f aca="false">IF(C242="","",IF(P242="","NJ INCONNU",INDEX('CARNET DE SOUDURE'!$AQ$7:$AQ$3006,P242)))</f>
        <v>À SOUDER</v>
      </c>
      <c r="H242" s="82" t="str">
        <f aca="false">IF(C242="","",IF(G242="ACCEPTÉ","OUI","NON"))</f>
        <v>NON</v>
      </c>
      <c r="I242" s="83"/>
      <c r="J242" s="80"/>
      <c r="K242" s="81"/>
      <c r="L242" s="81"/>
      <c r="M242" s="81"/>
      <c r="N242" s="84" t="str">
        <f aca="false">IF(C242="","",IF(P242="","NJ INCONNU",IF(I242="",IF(H242="OUI","À ENROBER",IF(G242="À SOUDER","NON SOUDÉ","EN ATTENTE RT")),IF(L242="R","À REPRENDRE",IF(H242&lt;&gt;"OUI","⚠ ENROBÉ AVANT ACCEPTATION RT","ENROBÉ")))))</f>
        <v>NON SOUDÉ</v>
      </c>
      <c r="O242" s="80"/>
      <c r="P242" s="82" t="n">
        <f aca="false">IF(C242="","",IFERROR(MATCH(Q242,'CARNET DE SOUDURE'!$AW$7:$AW$3006,0),""))</f>
        <v>236</v>
      </c>
      <c r="Q242" s="82" t="str">
        <f aca="false">IF(C242="","",B242&amp;"|"&amp;C242)</f>
        <v>MFD-ISW → MFD-CPF|JN°236</v>
      </c>
    </row>
    <row r="243" customFormat="false" ht="74.6" hidden="false" customHeight="false" outlineLevel="0" collapsed="false">
      <c r="A243" s="82" t="n">
        <f aca="false">IF(C243="","",ROW()-6)</f>
        <v>237</v>
      </c>
      <c r="B243" s="80" t="s">
        <v>110</v>
      </c>
      <c r="C243" s="113" t="s">
        <v>347</v>
      </c>
      <c r="D243" s="82" t="str">
        <f aca="false">IF(OR(C243="",P243=""),"",INDEX('CARNET DE SOUDURE'!$D$7:$D$3006,P243)&amp;"")</f>
        <v/>
      </c>
      <c r="E243" s="114" t="str">
        <f aca="false">IF(OR(C243="",P243=""),"",IF(INDEX('CARNET DE SOUDURE'!$U$7:$U$3006,P243)="","",INDEX('CARNET DE SOUDURE'!$U$7:$U$3006,P243)))</f>
        <v/>
      </c>
      <c r="F243" s="82" t="str">
        <f aca="false">IF(OR(C243="",P243=""),"",INDEX('CARNET DE SOUDURE'!$AP$7:$AP$3006,P243))</f>
        <v/>
      </c>
      <c r="G243" s="82" t="str">
        <f aca="false">IF(C243="","",IF(P243="","NJ INCONNU",INDEX('CARNET DE SOUDURE'!$AQ$7:$AQ$3006,P243)))</f>
        <v>À SOUDER</v>
      </c>
      <c r="H243" s="82" t="str">
        <f aca="false">IF(C243="","",IF(G243="ACCEPTÉ","OUI","NON"))</f>
        <v>NON</v>
      </c>
      <c r="I243" s="83"/>
      <c r="J243" s="80"/>
      <c r="K243" s="81"/>
      <c r="L243" s="81"/>
      <c r="M243" s="81"/>
      <c r="N243" s="84" t="str">
        <f aca="false">IF(C243="","",IF(P243="","NJ INCONNU",IF(I243="",IF(H243="OUI","À ENROBER",IF(G243="À SOUDER","NON SOUDÉ","EN ATTENTE RT")),IF(L243="R","À REPRENDRE",IF(H243&lt;&gt;"OUI","⚠ ENROBÉ AVANT ACCEPTATION RT","ENROBÉ")))))</f>
        <v>NON SOUDÉ</v>
      </c>
      <c r="O243" s="80"/>
      <c r="P243" s="82" t="n">
        <f aca="false">IF(C243="","",IFERROR(MATCH(Q243,'CARNET DE SOUDURE'!$AW$7:$AW$3006,0),""))</f>
        <v>237</v>
      </c>
      <c r="Q243" s="82" t="str">
        <f aca="false">IF(C243="","",B243&amp;"|"&amp;C243)</f>
        <v>MFD-ISW → MFD-CPF|JN°237</v>
      </c>
    </row>
    <row r="244" customFormat="false" ht="74.6" hidden="false" customHeight="false" outlineLevel="0" collapsed="false">
      <c r="A244" s="82" t="n">
        <f aca="false">IF(C244="","",ROW()-6)</f>
        <v>238</v>
      </c>
      <c r="B244" s="80" t="s">
        <v>110</v>
      </c>
      <c r="C244" s="113" t="s">
        <v>348</v>
      </c>
      <c r="D244" s="82" t="str">
        <f aca="false">IF(OR(C244="",P244=""),"",INDEX('CARNET DE SOUDURE'!$D$7:$D$3006,P244)&amp;"")</f>
        <v/>
      </c>
      <c r="E244" s="114" t="str">
        <f aca="false">IF(OR(C244="",P244=""),"",IF(INDEX('CARNET DE SOUDURE'!$U$7:$U$3006,P244)="","",INDEX('CARNET DE SOUDURE'!$U$7:$U$3006,P244)))</f>
        <v/>
      </c>
      <c r="F244" s="82" t="str">
        <f aca="false">IF(OR(C244="",P244=""),"",INDEX('CARNET DE SOUDURE'!$AP$7:$AP$3006,P244))</f>
        <v/>
      </c>
      <c r="G244" s="82" t="str">
        <f aca="false">IF(C244="","",IF(P244="","NJ INCONNU",INDEX('CARNET DE SOUDURE'!$AQ$7:$AQ$3006,P244)))</f>
        <v>À SOUDER</v>
      </c>
      <c r="H244" s="82" t="str">
        <f aca="false">IF(C244="","",IF(G244="ACCEPTÉ","OUI","NON"))</f>
        <v>NON</v>
      </c>
      <c r="I244" s="83"/>
      <c r="J244" s="80"/>
      <c r="K244" s="81"/>
      <c r="L244" s="81"/>
      <c r="M244" s="81"/>
      <c r="N244" s="84" t="str">
        <f aca="false">IF(C244="","",IF(P244="","NJ INCONNU",IF(I244="",IF(H244="OUI","À ENROBER",IF(G244="À SOUDER","NON SOUDÉ","EN ATTENTE RT")),IF(L244="R","À REPRENDRE",IF(H244&lt;&gt;"OUI","⚠ ENROBÉ AVANT ACCEPTATION RT","ENROBÉ")))))</f>
        <v>NON SOUDÉ</v>
      </c>
      <c r="O244" s="80"/>
      <c r="P244" s="82" t="n">
        <f aca="false">IF(C244="","",IFERROR(MATCH(Q244,'CARNET DE SOUDURE'!$AW$7:$AW$3006,0),""))</f>
        <v>238</v>
      </c>
      <c r="Q244" s="82" t="str">
        <f aca="false">IF(C244="","",B244&amp;"|"&amp;C244)</f>
        <v>MFD-ISW → MFD-CPF|JN°238</v>
      </c>
    </row>
    <row r="245" customFormat="false" ht="74.6" hidden="false" customHeight="false" outlineLevel="0" collapsed="false">
      <c r="A245" s="82" t="n">
        <f aca="false">IF(C245="","",ROW()-6)</f>
        <v>239</v>
      </c>
      <c r="B245" s="80" t="s">
        <v>110</v>
      </c>
      <c r="C245" s="113" t="s">
        <v>349</v>
      </c>
      <c r="D245" s="82" t="str">
        <f aca="false">IF(OR(C245="",P245=""),"",INDEX('CARNET DE SOUDURE'!$D$7:$D$3006,P245)&amp;"")</f>
        <v/>
      </c>
      <c r="E245" s="114" t="str">
        <f aca="false">IF(OR(C245="",P245=""),"",IF(INDEX('CARNET DE SOUDURE'!$U$7:$U$3006,P245)="","",INDEX('CARNET DE SOUDURE'!$U$7:$U$3006,P245)))</f>
        <v/>
      </c>
      <c r="F245" s="82" t="str">
        <f aca="false">IF(OR(C245="",P245=""),"",INDEX('CARNET DE SOUDURE'!$AP$7:$AP$3006,P245))</f>
        <v/>
      </c>
      <c r="G245" s="82" t="str">
        <f aca="false">IF(C245="","",IF(P245="","NJ INCONNU",INDEX('CARNET DE SOUDURE'!$AQ$7:$AQ$3006,P245)))</f>
        <v>À SOUDER</v>
      </c>
      <c r="H245" s="82" t="str">
        <f aca="false">IF(C245="","",IF(G245="ACCEPTÉ","OUI","NON"))</f>
        <v>NON</v>
      </c>
      <c r="I245" s="83"/>
      <c r="J245" s="80"/>
      <c r="K245" s="81"/>
      <c r="L245" s="81"/>
      <c r="M245" s="81"/>
      <c r="N245" s="84" t="str">
        <f aca="false">IF(C245="","",IF(P245="","NJ INCONNU",IF(I245="",IF(H245="OUI","À ENROBER",IF(G245="À SOUDER","NON SOUDÉ","EN ATTENTE RT")),IF(L245="R","À REPRENDRE",IF(H245&lt;&gt;"OUI","⚠ ENROBÉ AVANT ACCEPTATION RT","ENROBÉ")))))</f>
        <v>NON SOUDÉ</v>
      </c>
      <c r="O245" s="80"/>
      <c r="P245" s="82" t="n">
        <f aca="false">IF(C245="","",IFERROR(MATCH(Q245,'CARNET DE SOUDURE'!$AW$7:$AW$3006,0),""))</f>
        <v>239</v>
      </c>
      <c r="Q245" s="82" t="str">
        <f aca="false">IF(C245="","",B245&amp;"|"&amp;C245)</f>
        <v>MFD-ISW → MFD-CPF|JN°239</v>
      </c>
    </row>
    <row r="246" customFormat="false" ht="74.6" hidden="false" customHeight="false" outlineLevel="0" collapsed="false">
      <c r="A246" s="82" t="n">
        <f aca="false">IF(C246="","",ROW()-6)</f>
        <v>240</v>
      </c>
      <c r="B246" s="80" t="s">
        <v>110</v>
      </c>
      <c r="C246" s="113" t="s">
        <v>350</v>
      </c>
      <c r="D246" s="82" t="str">
        <f aca="false">IF(OR(C246="",P246=""),"",INDEX('CARNET DE SOUDURE'!$D$7:$D$3006,P246)&amp;"")</f>
        <v/>
      </c>
      <c r="E246" s="114" t="str">
        <f aca="false">IF(OR(C246="",P246=""),"",IF(INDEX('CARNET DE SOUDURE'!$U$7:$U$3006,P246)="","",INDEX('CARNET DE SOUDURE'!$U$7:$U$3006,P246)))</f>
        <v/>
      </c>
      <c r="F246" s="82" t="str">
        <f aca="false">IF(OR(C246="",P246=""),"",INDEX('CARNET DE SOUDURE'!$AP$7:$AP$3006,P246))</f>
        <v/>
      </c>
      <c r="G246" s="82" t="str">
        <f aca="false">IF(C246="","",IF(P246="","NJ INCONNU",INDEX('CARNET DE SOUDURE'!$AQ$7:$AQ$3006,P246)))</f>
        <v>À SOUDER</v>
      </c>
      <c r="H246" s="82" t="str">
        <f aca="false">IF(C246="","",IF(G246="ACCEPTÉ","OUI","NON"))</f>
        <v>NON</v>
      </c>
      <c r="I246" s="83"/>
      <c r="J246" s="80"/>
      <c r="K246" s="81"/>
      <c r="L246" s="81"/>
      <c r="M246" s="81"/>
      <c r="N246" s="84" t="str">
        <f aca="false">IF(C246="","",IF(P246="","NJ INCONNU",IF(I246="",IF(H246="OUI","À ENROBER",IF(G246="À SOUDER","NON SOUDÉ","EN ATTENTE RT")),IF(L246="R","À REPRENDRE",IF(H246&lt;&gt;"OUI","⚠ ENROBÉ AVANT ACCEPTATION RT","ENROBÉ")))))</f>
        <v>NON SOUDÉ</v>
      </c>
      <c r="O246" s="80"/>
      <c r="P246" s="82" t="n">
        <f aca="false">IF(C246="","",IFERROR(MATCH(Q246,'CARNET DE SOUDURE'!$AW$7:$AW$3006,0),""))</f>
        <v>240</v>
      </c>
      <c r="Q246" s="82" t="str">
        <f aca="false">IF(C246="","",B246&amp;"|"&amp;C246)</f>
        <v>MFD-ISW → MFD-CPF|JN°240</v>
      </c>
    </row>
    <row r="247" customFormat="false" ht="74.6" hidden="false" customHeight="false" outlineLevel="0" collapsed="false">
      <c r="A247" s="82" t="n">
        <f aca="false">IF(C247="","",ROW()-6)</f>
        <v>241</v>
      </c>
      <c r="B247" s="80" t="s">
        <v>110</v>
      </c>
      <c r="C247" s="113" t="s">
        <v>351</v>
      </c>
      <c r="D247" s="82" t="str">
        <f aca="false">IF(OR(C247="",P247=""),"",INDEX('CARNET DE SOUDURE'!$D$7:$D$3006,P247)&amp;"")</f>
        <v/>
      </c>
      <c r="E247" s="114" t="str">
        <f aca="false">IF(OR(C247="",P247=""),"",IF(INDEX('CARNET DE SOUDURE'!$U$7:$U$3006,P247)="","",INDEX('CARNET DE SOUDURE'!$U$7:$U$3006,P247)))</f>
        <v/>
      </c>
      <c r="F247" s="82" t="str">
        <f aca="false">IF(OR(C247="",P247=""),"",INDEX('CARNET DE SOUDURE'!$AP$7:$AP$3006,P247))</f>
        <v/>
      </c>
      <c r="G247" s="82" t="str">
        <f aca="false">IF(C247="","",IF(P247="","NJ INCONNU",INDEX('CARNET DE SOUDURE'!$AQ$7:$AQ$3006,P247)))</f>
        <v>À SOUDER</v>
      </c>
      <c r="H247" s="82" t="str">
        <f aca="false">IF(C247="","",IF(G247="ACCEPTÉ","OUI","NON"))</f>
        <v>NON</v>
      </c>
      <c r="I247" s="83"/>
      <c r="J247" s="80"/>
      <c r="K247" s="81"/>
      <c r="L247" s="81"/>
      <c r="M247" s="81"/>
      <c r="N247" s="84" t="str">
        <f aca="false">IF(C247="","",IF(P247="","NJ INCONNU",IF(I247="",IF(H247="OUI","À ENROBER",IF(G247="À SOUDER","NON SOUDÉ","EN ATTENTE RT")),IF(L247="R","À REPRENDRE",IF(H247&lt;&gt;"OUI","⚠ ENROBÉ AVANT ACCEPTATION RT","ENROBÉ")))))</f>
        <v>NON SOUDÉ</v>
      </c>
      <c r="O247" s="80"/>
      <c r="P247" s="82" t="n">
        <f aca="false">IF(C247="","",IFERROR(MATCH(Q247,'CARNET DE SOUDURE'!$AW$7:$AW$3006,0),""))</f>
        <v>241</v>
      </c>
      <c r="Q247" s="82" t="str">
        <f aca="false">IF(C247="","",B247&amp;"|"&amp;C247)</f>
        <v>MFD-ISW → MFD-CPF|JN°241</v>
      </c>
    </row>
    <row r="248" customFormat="false" ht="74.6" hidden="false" customHeight="false" outlineLevel="0" collapsed="false">
      <c r="A248" s="82" t="n">
        <f aca="false">IF(C248="","",ROW()-6)</f>
        <v>242</v>
      </c>
      <c r="B248" s="80" t="s">
        <v>110</v>
      </c>
      <c r="C248" s="113" t="s">
        <v>352</v>
      </c>
      <c r="D248" s="82" t="str">
        <f aca="false">IF(OR(C248="",P248=""),"",INDEX('CARNET DE SOUDURE'!$D$7:$D$3006,P248)&amp;"")</f>
        <v/>
      </c>
      <c r="E248" s="114" t="str">
        <f aca="false">IF(OR(C248="",P248=""),"",IF(INDEX('CARNET DE SOUDURE'!$U$7:$U$3006,P248)="","",INDEX('CARNET DE SOUDURE'!$U$7:$U$3006,P248)))</f>
        <v/>
      </c>
      <c r="F248" s="82" t="str">
        <f aca="false">IF(OR(C248="",P248=""),"",INDEX('CARNET DE SOUDURE'!$AP$7:$AP$3006,P248))</f>
        <v/>
      </c>
      <c r="G248" s="82" t="str">
        <f aca="false">IF(C248="","",IF(P248="","NJ INCONNU",INDEX('CARNET DE SOUDURE'!$AQ$7:$AQ$3006,P248)))</f>
        <v>À SOUDER</v>
      </c>
      <c r="H248" s="82" t="str">
        <f aca="false">IF(C248="","",IF(G248="ACCEPTÉ","OUI","NON"))</f>
        <v>NON</v>
      </c>
      <c r="I248" s="83"/>
      <c r="J248" s="80"/>
      <c r="K248" s="81"/>
      <c r="L248" s="81"/>
      <c r="M248" s="81"/>
      <c r="N248" s="84" t="str">
        <f aca="false">IF(C248="","",IF(P248="","NJ INCONNU",IF(I248="",IF(H248="OUI","À ENROBER",IF(G248="À SOUDER","NON SOUDÉ","EN ATTENTE RT")),IF(L248="R","À REPRENDRE",IF(H248&lt;&gt;"OUI","⚠ ENROBÉ AVANT ACCEPTATION RT","ENROBÉ")))))</f>
        <v>NON SOUDÉ</v>
      </c>
      <c r="O248" s="80"/>
      <c r="P248" s="82" t="n">
        <f aca="false">IF(C248="","",IFERROR(MATCH(Q248,'CARNET DE SOUDURE'!$AW$7:$AW$3006,0),""))</f>
        <v>242</v>
      </c>
      <c r="Q248" s="82" t="str">
        <f aca="false">IF(C248="","",B248&amp;"|"&amp;C248)</f>
        <v>MFD-ISW → MFD-CPF|JN°242</v>
      </c>
    </row>
    <row r="249" customFormat="false" ht="74.6" hidden="false" customHeight="false" outlineLevel="0" collapsed="false">
      <c r="A249" s="82" t="n">
        <f aca="false">IF(C249="","",ROW()-6)</f>
        <v>243</v>
      </c>
      <c r="B249" s="80" t="s">
        <v>110</v>
      </c>
      <c r="C249" s="113" t="s">
        <v>353</v>
      </c>
      <c r="D249" s="82" t="str">
        <f aca="false">IF(OR(C249="",P249=""),"",INDEX('CARNET DE SOUDURE'!$D$7:$D$3006,P249)&amp;"")</f>
        <v/>
      </c>
      <c r="E249" s="114" t="str">
        <f aca="false">IF(OR(C249="",P249=""),"",IF(INDEX('CARNET DE SOUDURE'!$U$7:$U$3006,P249)="","",INDEX('CARNET DE SOUDURE'!$U$7:$U$3006,P249)))</f>
        <v/>
      </c>
      <c r="F249" s="82" t="str">
        <f aca="false">IF(OR(C249="",P249=""),"",INDEX('CARNET DE SOUDURE'!$AP$7:$AP$3006,P249))</f>
        <v/>
      </c>
      <c r="G249" s="82" t="str">
        <f aca="false">IF(C249="","",IF(P249="","NJ INCONNU",INDEX('CARNET DE SOUDURE'!$AQ$7:$AQ$3006,P249)))</f>
        <v>À SOUDER</v>
      </c>
      <c r="H249" s="82" t="str">
        <f aca="false">IF(C249="","",IF(G249="ACCEPTÉ","OUI","NON"))</f>
        <v>NON</v>
      </c>
      <c r="I249" s="83"/>
      <c r="J249" s="80"/>
      <c r="K249" s="81"/>
      <c r="L249" s="81"/>
      <c r="M249" s="81"/>
      <c r="N249" s="84" t="str">
        <f aca="false">IF(C249="","",IF(P249="","NJ INCONNU",IF(I249="",IF(H249="OUI","À ENROBER",IF(G249="À SOUDER","NON SOUDÉ","EN ATTENTE RT")),IF(L249="R","À REPRENDRE",IF(H249&lt;&gt;"OUI","⚠ ENROBÉ AVANT ACCEPTATION RT","ENROBÉ")))))</f>
        <v>NON SOUDÉ</v>
      </c>
      <c r="O249" s="80"/>
      <c r="P249" s="82" t="n">
        <f aca="false">IF(C249="","",IFERROR(MATCH(Q249,'CARNET DE SOUDURE'!$AW$7:$AW$3006,0),""))</f>
        <v>243</v>
      </c>
      <c r="Q249" s="82" t="str">
        <f aca="false">IF(C249="","",B249&amp;"|"&amp;C249)</f>
        <v>MFD-ISW → MFD-CPF|JN°243</v>
      </c>
    </row>
    <row r="250" customFormat="false" ht="74.6" hidden="false" customHeight="false" outlineLevel="0" collapsed="false">
      <c r="A250" s="82" t="n">
        <f aca="false">IF(C250="","",ROW()-6)</f>
        <v>244</v>
      </c>
      <c r="B250" s="80" t="s">
        <v>110</v>
      </c>
      <c r="C250" s="113" t="s">
        <v>354</v>
      </c>
      <c r="D250" s="82" t="str">
        <f aca="false">IF(OR(C250="",P250=""),"",INDEX('CARNET DE SOUDURE'!$D$7:$D$3006,P250)&amp;"")</f>
        <v/>
      </c>
      <c r="E250" s="114" t="str">
        <f aca="false">IF(OR(C250="",P250=""),"",IF(INDEX('CARNET DE SOUDURE'!$U$7:$U$3006,P250)="","",INDEX('CARNET DE SOUDURE'!$U$7:$U$3006,P250)))</f>
        <v/>
      </c>
      <c r="F250" s="82" t="str">
        <f aca="false">IF(OR(C250="",P250=""),"",INDEX('CARNET DE SOUDURE'!$AP$7:$AP$3006,P250))</f>
        <v/>
      </c>
      <c r="G250" s="82" t="str">
        <f aca="false">IF(C250="","",IF(P250="","NJ INCONNU",INDEX('CARNET DE SOUDURE'!$AQ$7:$AQ$3006,P250)))</f>
        <v>À SOUDER</v>
      </c>
      <c r="H250" s="82" t="str">
        <f aca="false">IF(C250="","",IF(G250="ACCEPTÉ","OUI","NON"))</f>
        <v>NON</v>
      </c>
      <c r="I250" s="83"/>
      <c r="J250" s="80"/>
      <c r="K250" s="81"/>
      <c r="L250" s="81"/>
      <c r="M250" s="81"/>
      <c r="N250" s="84" t="str">
        <f aca="false">IF(C250="","",IF(P250="","NJ INCONNU",IF(I250="",IF(H250="OUI","À ENROBER",IF(G250="À SOUDER","NON SOUDÉ","EN ATTENTE RT")),IF(L250="R","À REPRENDRE",IF(H250&lt;&gt;"OUI","⚠ ENROBÉ AVANT ACCEPTATION RT","ENROBÉ")))))</f>
        <v>NON SOUDÉ</v>
      </c>
      <c r="O250" s="80"/>
      <c r="P250" s="82" t="n">
        <f aca="false">IF(C250="","",IFERROR(MATCH(Q250,'CARNET DE SOUDURE'!$AW$7:$AW$3006,0),""))</f>
        <v>244</v>
      </c>
      <c r="Q250" s="82" t="str">
        <f aca="false">IF(C250="","",B250&amp;"|"&amp;C250)</f>
        <v>MFD-ISW → MFD-CPF|JN°244</v>
      </c>
    </row>
    <row r="251" customFormat="false" ht="74.6" hidden="false" customHeight="false" outlineLevel="0" collapsed="false">
      <c r="A251" s="82" t="n">
        <f aca="false">IF(C251="","",ROW()-6)</f>
        <v>245</v>
      </c>
      <c r="B251" s="80" t="s">
        <v>110</v>
      </c>
      <c r="C251" s="113" t="s">
        <v>355</v>
      </c>
      <c r="D251" s="82" t="str">
        <f aca="false">IF(OR(C251="",P251=""),"",INDEX('CARNET DE SOUDURE'!$D$7:$D$3006,P251)&amp;"")</f>
        <v/>
      </c>
      <c r="E251" s="114" t="str">
        <f aca="false">IF(OR(C251="",P251=""),"",IF(INDEX('CARNET DE SOUDURE'!$U$7:$U$3006,P251)="","",INDEX('CARNET DE SOUDURE'!$U$7:$U$3006,P251)))</f>
        <v/>
      </c>
      <c r="F251" s="82" t="str">
        <f aca="false">IF(OR(C251="",P251=""),"",INDEX('CARNET DE SOUDURE'!$AP$7:$AP$3006,P251))</f>
        <v/>
      </c>
      <c r="G251" s="82" t="str">
        <f aca="false">IF(C251="","",IF(P251="","NJ INCONNU",INDEX('CARNET DE SOUDURE'!$AQ$7:$AQ$3006,P251)))</f>
        <v>À SOUDER</v>
      </c>
      <c r="H251" s="82" t="str">
        <f aca="false">IF(C251="","",IF(G251="ACCEPTÉ","OUI","NON"))</f>
        <v>NON</v>
      </c>
      <c r="I251" s="83"/>
      <c r="J251" s="80"/>
      <c r="K251" s="81"/>
      <c r="L251" s="81"/>
      <c r="M251" s="81"/>
      <c r="N251" s="84" t="str">
        <f aca="false">IF(C251="","",IF(P251="","NJ INCONNU",IF(I251="",IF(H251="OUI","À ENROBER",IF(G251="À SOUDER","NON SOUDÉ","EN ATTENTE RT")),IF(L251="R","À REPRENDRE",IF(H251&lt;&gt;"OUI","⚠ ENROBÉ AVANT ACCEPTATION RT","ENROBÉ")))))</f>
        <v>NON SOUDÉ</v>
      </c>
      <c r="O251" s="80"/>
      <c r="P251" s="82" t="n">
        <f aca="false">IF(C251="","",IFERROR(MATCH(Q251,'CARNET DE SOUDURE'!$AW$7:$AW$3006,0),""))</f>
        <v>245</v>
      </c>
      <c r="Q251" s="82" t="str">
        <f aca="false">IF(C251="","",B251&amp;"|"&amp;C251)</f>
        <v>MFD-ISW → MFD-CPF|JN°245</v>
      </c>
    </row>
    <row r="252" customFormat="false" ht="74.6" hidden="false" customHeight="false" outlineLevel="0" collapsed="false">
      <c r="A252" s="82" t="n">
        <f aca="false">IF(C252="","",ROW()-6)</f>
        <v>246</v>
      </c>
      <c r="B252" s="80" t="s">
        <v>110</v>
      </c>
      <c r="C252" s="113" t="s">
        <v>356</v>
      </c>
      <c r="D252" s="82" t="str">
        <f aca="false">IF(OR(C252="",P252=""),"",INDEX('CARNET DE SOUDURE'!$D$7:$D$3006,P252)&amp;"")</f>
        <v/>
      </c>
      <c r="E252" s="114" t="str">
        <f aca="false">IF(OR(C252="",P252=""),"",IF(INDEX('CARNET DE SOUDURE'!$U$7:$U$3006,P252)="","",INDEX('CARNET DE SOUDURE'!$U$7:$U$3006,P252)))</f>
        <v/>
      </c>
      <c r="F252" s="82" t="str">
        <f aca="false">IF(OR(C252="",P252=""),"",INDEX('CARNET DE SOUDURE'!$AP$7:$AP$3006,P252))</f>
        <v/>
      </c>
      <c r="G252" s="82" t="str">
        <f aca="false">IF(C252="","",IF(P252="","NJ INCONNU",INDEX('CARNET DE SOUDURE'!$AQ$7:$AQ$3006,P252)))</f>
        <v>À SOUDER</v>
      </c>
      <c r="H252" s="82" t="str">
        <f aca="false">IF(C252="","",IF(G252="ACCEPTÉ","OUI","NON"))</f>
        <v>NON</v>
      </c>
      <c r="I252" s="83"/>
      <c r="J252" s="80"/>
      <c r="K252" s="81"/>
      <c r="L252" s="81"/>
      <c r="M252" s="81"/>
      <c r="N252" s="84" t="str">
        <f aca="false">IF(C252="","",IF(P252="","NJ INCONNU",IF(I252="",IF(H252="OUI","À ENROBER",IF(G252="À SOUDER","NON SOUDÉ","EN ATTENTE RT")),IF(L252="R","À REPRENDRE",IF(H252&lt;&gt;"OUI","⚠ ENROBÉ AVANT ACCEPTATION RT","ENROBÉ")))))</f>
        <v>NON SOUDÉ</v>
      </c>
      <c r="O252" s="80"/>
      <c r="P252" s="82" t="n">
        <f aca="false">IF(C252="","",IFERROR(MATCH(Q252,'CARNET DE SOUDURE'!$AW$7:$AW$3006,0),""))</f>
        <v>246</v>
      </c>
      <c r="Q252" s="82" t="str">
        <f aca="false">IF(C252="","",B252&amp;"|"&amp;C252)</f>
        <v>MFD-ISW → MFD-CPF|JN°246</v>
      </c>
    </row>
    <row r="253" customFormat="false" ht="74.6" hidden="false" customHeight="false" outlineLevel="0" collapsed="false">
      <c r="A253" s="82" t="n">
        <f aca="false">IF(C253="","",ROW()-6)</f>
        <v>247</v>
      </c>
      <c r="B253" s="80" t="s">
        <v>110</v>
      </c>
      <c r="C253" s="113" t="s">
        <v>357</v>
      </c>
      <c r="D253" s="82" t="str">
        <f aca="false">IF(OR(C253="",P253=""),"",INDEX('CARNET DE SOUDURE'!$D$7:$D$3006,P253)&amp;"")</f>
        <v/>
      </c>
      <c r="E253" s="114" t="str">
        <f aca="false">IF(OR(C253="",P253=""),"",IF(INDEX('CARNET DE SOUDURE'!$U$7:$U$3006,P253)="","",INDEX('CARNET DE SOUDURE'!$U$7:$U$3006,P253)))</f>
        <v/>
      </c>
      <c r="F253" s="82" t="str">
        <f aca="false">IF(OR(C253="",P253=""),"",INDEX('CARNET DE SOUDURE'!$AP$7:$AP$3006,P253))</f>
        <v/>
      </c>
      <c r="G253" s="82" t="str">
        <f aca="false">IF(C253="","",IF(P253="","NJ INCONNU",INDEX('CARNET DE SOUDURE'!$AQ$7:$AQ$3006,P253)))</f>
        <v>À SOUDER</v>
      </c>
      <c r="H253" s="82" t="str">
        <f aca="false">IF(C253="","",IF(G253="ACCEPTÉ","OUI","NON"))</f>
        <v>NON</v>
      </c>
      <c r="I253" s="83"/>
      <c r="J253" s="80"/>
      <c r="K253" s="81"/>
      <c r="L253" s="81"/>
      <c r="M253" s="81"/>
      <c r="N253" s="84" t="str">
        <f aca="false">IF(C253="","",IF(P253="","NJ INCONNU",IF(I253="",IF(H253="OUI","À ENROBER",IF(G253="À SOUDER","NON SOUDÉ","EN ATTENTE RT")),IF(L253="R","À REPRENDRE",IF(H253&lt;&gt;"OUI","⚠ ENROBÉ AVANT ACCEPTATION RT","ENROBÉ")))))</f>
        <v>NON SOUDÉ</v>
      </c>
      <c r="O253" s="80"/>
      <c r="P253" s="82" t="n">
        <f aca="false">IF(C253="","",IFERROR(MATCH(Q253,'CARNET DE SOUDURE'!$AW$7:$AW$3006,0),""))</f>
        <v>247</v>
      </c>
      <c r="Q253" s="82" t="str">
        <f aca="false">IF(C253="","",B253&amp;"|"&amp;C253)</f>
        <v>MFD-ISW → MFD-CPF|JN°247</v>
      </c>
    </row>
    <row r="254" customFormat="false" ht="74.6" hidden="false" customHeight="false" outlineLevel="0" collapsed="false">
      <c r="A254" s="82" t="n">
        <f aca="false">IF(C254="","",ROW()-6)</f>
        <v>248</v>
      </c>
      <c r="B254" s="80" t="s">
        <v>110</v>
      </c>
      <c r="C254" s="113" t="s">
        <v>358</v>
      </c>
      <c r="D254" s="82" t="str">
        <f aca="false">IF(OR(C254="",P254=""),"",INDEX('CARNET DE SOUDURE'!$D$7:$D$3006,P254)&amp;"")</f>
        <v/>
      </c>
      <c r="E254" s="114" t="str">
        <f aca="false">IF(OR(C254="",P254=""),"",IF(INDEX('CARNET DE SOUDURE'!$U$7:$U$3006,P254)="","",INDEX('CARNET DE SOUDURE'!$U$7:$U$3006,P254)))</f>
        <v/>
      </c>
      <c r="F254" s="82" t="str">
        <f aca="false">IF(OR(C254="",P254=""),"",INDEX('CARNET DE SOUDURE'!$AP$7:$AP$3006,P254))</f>
        <v/>
      </c>
      <c r="G254" s="82" t="str">
        <f aca="false">IF(C254="","",IF(P254="","NJ INCONNU",INDEX('CARNET DE SOUDURE'!$AQ$7:$AQ$3006,P254)))</f>
        <v>À SOUDER</v>
      </c>
      <c r="H254" s="82" t="str">
        <f aca="false">IF(C254="","",IF(G254="ACCEPTÉ","OUI","NON"))</f>
        <v>NON</v>
      </c>
      <c r="I254" s="83"/>
      <c r="J254" s="80"/>
      <c r="K254" s="81"/>
      <c r="L254" s="81"/>
      <c r="M254" s="81"/>
      <c r="N254" s="84" t="str">
        <f aca="false">IF(C254="","",IF(P254="","NJ INCONNU",IF(I254="",IF(H254="OUI","À ENROBER",IF(G254="À SOUDER","NON SOUDÉ","EN ATTENTE RT")),IF(L254="R","À REPRENDRE",IF(H254&lt;&gt;"OUI","⚠ ENROBÉ AVANT ACCEPTATION RT","ENROBÉ")))))</f>
        <v>NON SOUDÉ</v>
      </c>
      <c r="O254" s="80"/>
      <c r="P254" s="82" t="n">
        <f aca="false">IF(C254="","",IFERROR(MATCH(Q254,'CARNET DE SOUDURE'!$AW$7:$AW$3006,0),""))</f>
        <v>248</v>
      </c>
      <c r="Q254" s="82" t="str">
        <f aca="false">IF(C254="","",B254&amp;"|"&amp;C254)</f>
        <v>MFD-ISW → MFD-CPF|JN°248</v>
      </c>
    </row>
    <row r="255" customFormat="false" ht="74.6" hidden="false" customHeight="false" outlineLevel="0" collapsed="false">
      <c r="A255" s="82" t="n">
        <f aca="false">IF(C255="","",ROW()-6)</f>
        <v>249</v>
      </c>
      <c r="B255" s="80" t="s">
        <v>110</v>
      </c>
      <c r="C255" s="113" t="s">
        <v>359</v>
      </c>
      <c r="D255" s="82" t="str">
        <f aca="false">IF(OR(C255="",P255=""),"",INDEX('CARNET DE SOUDURE'!$D$7:$D$3006,P255)&amp;"")</f>
        <v/>
      </c>
      <c r="E255" s="114" t="str">
        <f aca="false">IF(OR(C255="",P255=""),"",IF(INDEX('CARNET DE SOUDURE'!$U$7:$U$3006,P255)="","",INDEX('CARNET DE SOUDURE'!$U$7:$U$3006,P255)))</f>
        <v/>
      </c>
      <c r="F255" s="82" t="str">
        <f aca="false">IF(OR(C255="",P255=""),"",INDEX('CARNET DE SOUDURE'!$AP$7:$AP$3006,P255))</f>
        <v/>
      </c>
      <c r="G255" s="82" t="str">
        <f aca="false">IF(C255="","",IF(P255="","NJ INCONNU",INDEX('CARNET DE SOUDURE'!$AQ$7:$AQ$3006,P255)))</f>
        <v>À SOUDER</v>
      </c>
      <c r="H255" s="82" t="str">
        <f aca="false">IF(C255="","",IF(G255="ACCEPTÉ","OUI","NON"))</f>
        <v>NON</v>
      </c>
      <c r="I255" s="83"/>
      <c r="J255" s="80"/>
      <c r="K255" s="81"/>
      <c r="L255" s="81"/>
      <c r="M255" s="81"/>
      <c r="N255" s="84" t="str">
        <f aca="false">IF(C255="","",IF(P255="","NJ INCONNU",IF(I255="",IF(H255="OUI","À ENROBER",IF(G255="À SOUDER","NON SOUDÉ","EN ATTENTE RT")),IF(L255="R","À REPRENDRE",IF(H255&lt;&gt;"OUI","⚠ ENROBÉ AVANT ACCEPTATION RT","ENROBÉ")))))</f>
        <v>NON SOUDÉ</v>
      </c>
      <c r="O255" s="80"/>
      <c r="P255" s="82" t="n">
        <f aca="false">IF(C255="","",IFERROR(MATCH(Q255,'CARNET DE SOUDURE'!$AW$7:$AW$3006,0),""))</f>
        <v>249</v>
      </c>
      <c r="Q255" s="82" t="str">
        <f aca="false">IF(C255="","",B255&amp;"|"&amp;C255)</f>
        <v>MFD-ISW → MFD-CPF|JN°249</v>
      </c>
    </row>
    <row r="256" customFormat="false" ht="74.6" hidden="false" customHeight="false" outlineLevel="0" collapsed="false">
      <c r="A256" s="82" t="n">
        <f aca="false">IF(C256="","",ROW()-6)</f>
        <v>250</v>
      </c>
      <c r="B256" s="80" t="s">
        <v>110</v>
      </c>
      <c r="C256" s="113" t="s">
        <v>360</v>
      </c>
      <c r="D256" s="82" t="str">
        <f aca="false">IF(OR(C256="",P256=""),"",INDEX('CARNET DE SOUDURE'!$D$7:$D$3006,P256)&amp;"")</f>
        <v/>
      </c>
      <c r="E256" s="114" t="str">
        <f aca="false">IF(OR(C256="",P256=""),"",IF(INDEX('CARNET DE SOUDURE'!$U$7:$U$3006,P256)="","",INDEX('CARNET DE SOUDURE'!$U$7:$U$3006,P256)))</f>
        <v/>
      </c>
      <c r="F256" s="82" t="str">
        <f aca="false">IF(OR(C256="",P256=""),"",INDEX('CARNET DE SOUDURE'!$AP$7:$AP$3006,P256))</f>
        <v/>
      </c>
      <c r="G256" s="82" t="str">
        <f aca="false">IF(C256="","",IF(P256="","NJ INCONNU",INDEX('CARNET DE SOUDURE'!$AQ$7:$AQ$3006,P256)))</f>
        <v>À SOUDER</v>
      </c>
      <c r="H256" s="82" t="str">
        <f aca="false">IF(C256="","",IF(G256="ACCEPTÉ","OUI","NON"))</f>
        <v>NON</v>
      </c>
      <c r="I256" s="83"/>
      <c r="J256" s="80"/>
      <c r="K256" s="81"/>
      <c r="L256" s="81"/>
      <c r="M256" s="81"/>
      <c r="N256" s="84" t="str">
        <f aca="false">IF(C256="","",IF(P256="","NJ INCONNU",IF(I256="",IF(H256="OUI","À ENROBER",IF(G256="À SOUDER","NON SOUDÉ","EN ATTENTE RT")),IF(L256="R","À REPRENDRE",IF(H256&lt;&gt;"OUI","⚠ ENROBÉ AVANT ACCEPTATION RT","ENROBÉ")))))</f>
        <v>NON SOUDÉ</v>
      </c>
      <c r="O256" s="80"/>
      <c r="P256" s="82" t="n">
        <f aca="false">IF(C256="","",IFERROR(MATCH(Q256,'CARNET DE SOUDURE'!$AW$7:$AW$3006,0),""))</f>
        <v>250</v>
      </c>
      <c r="Q256" s="82" t="str">
        <f aca="false">IF(C256="","",B256&amp;"|"&amp;C256)</f>
        <v>MFD-ISW → MFD-CPF|JN°250</v>
      </c>
    </row>
    <row r="257" customFormat="false" ht="74.6" hidden="false" customHeight="false" outlineLevel="0" collapsed="false">
      <c r="A257" s="82" t="n">
        <f aca="false">IF(C257="","",ROW()-6)</f>
        <v>251</v>
      </c>
      <c r="B257" s="80" t="s">
        <v>110</v>
      </c>
      <c r="C257" s="113" t="s">
        <v>361</v>
      </c>
      <c r="D257" s="82" t="str">
        <f aca="false">IF(OR(C257="",P257=""),"",INDEX('CARNET DE SOUDURE'!$D$7:$D$3006,P257)&amp;"")</f>
        <v/>
      </c>
      <c r="E257" s="114" t="str">
        <f aca="false">IF(OR(C257="",P257=""),"",IF(INDEX('CARNET DE SOUDURE'!$U$7:$U$3006,P257)="","",INDEX('CARNET DE SOUDURE'!$U$7:$U$3006,P257)))</f>
        <v/>
      </c>
      <c r="F257" s="82" t="str">
        <f aca="false">IF(OR(C257="",P257=""),"",INDEX('CARNET DE SOUDURE'!$AP$7:$AP$3006,P257))</f>
        <v/>
      </c>
      <c r="G257" s="82" t="str">
        <f aca="false">IF(C257="","",IF(P257="","NJ INCONNU",INDEX('CARNET DE SOUDURE'!$AQ$7:$AQ$3006,P257)))</f>
        <v>À SOUDER</v>
      </c>
      <c r="H257" s="82" t="str">
        <f aca="false">IF(C257="","",IF(G257="ACCEPTÉ","OUI","NON"))</f>
        <v>NON</v>
      </c>
      <c r="I257" s="83"/>
      <c r="J257" s="80"/>
      <c r="K257" s="81"/>
      <c r="L257" s="81"/>
      <c r="M257" s="81"/>
      <c r="N257" s="84" t="str">
        <f aca="false">IF(C257="","",IF(P257="","NJ INCONNU",IF(I257="",IF(H257="OUI","À ENROBER",IF(G257="À SOUDER","NON SOUDÉ","EN ATTENTE RT")),IF(L257="R","À REPRENDRE",IF(H257&lt;&gt;"OUI","⚠ ENROBÉ AVANT ACCEPTATION RT","ENROBÉ")))))</f>
        <v>NON SOUDÉ</v>
      </c>
      <c r="O257" s="80"/>
      <c r="P257" s="82" t="n">
        <f aca="false">IF(C257="","",IFERROR(MATCH(Q257,'CARNET DE SOUDURE'!$AW$7:$AW$3006,0),""))</f>
        <v>251</v>
      </c>
      <c r="Q257" s="82" t="str">
        <f aca="false">IF(C257="","",B257&amp;"|"&amp;C257)</f>
        <v>MFD-ISW → MFD-CPF|JN°251</v>
      </c>
    </row>
    <row r="258" customFormat="false" ht="74.6" hidden="false" customHeight="false" outlineLevel="0" collapsed="false">
      <c r="A258" s="82" t="n">
        <f aca="false">IF(C258="","",ROW()-6)</f>
        <v>252</v>
      </c>
      <c r="B258" s="80" t="s">
        <v>110</v>
      </c>
      <c r="C258" s="113" t="s">
        <v>362</v>
      </c>
      <c r="D258" s="82" t="str">
        <f aca="false">IF(OR(C258="",P258=""),"",INDEX('CARNET DE SOUDURE'!$D$7:$D$3006,P258)&amp;"")</f>
        <v/>
      </c>
      <c r="E258" s="114" t="str">
        <f aca="false">IF(OR(C258="",P258=""),"",IF(INDEX('CARNET DE SOUDURE'!$U$7:$U$3006,P258)="","",INDEX('CARNET DE SOUDURE'!$U$7:$U$3006,P258)))</f>
        <v/>
      </c>
      <c r="F258" s="82" t="str">
        <f aca="false">IF(OR(C258="",P258=""),"",INDEX('CARNET DE SOUDURE'!$AP$7:$AP$3006,P258))</f>
        <v/>
      </c>
      <c r="G258" s="82" t="str">
        <f aca="false">IF(C258="","",IF(P258="","NJ INCONNU",INDEX('CARNET DE SOUDURE'!$AQ$7:$AQ$3006,P258)))</f>
        <v>À SOUDER</v>
      </c>
      <c r="H258" s="82" t="str">
        <f aca="false">IF(C258="","",IF(G258="ACCEPTÉ","OUI","NON"))</f>
        <v>NON</v>
      </c>
      <c r="I258" s="83"/>
      <c r="J258" s="80"/>
      <c r="K258" s="81"/>
      <c r="L258" s="81"/>
      <c r="M258" s="81"/>
      <c r="N258" s="84" t="str">
        <f aca="false">IF(C258="","",IF(P258="","NJ INCONNU",IF(I258="",IF(H258="OUI","À ENROBER",IF(G258="À SOUDER","NON SOUDÉ","EN ATTENTE RT")),IF(L258="R","À REPRENDRE",IF(H258&lt;&gt;"OUI","⚠ ENROBÉ AVANT ACCEPTATION RT","ENROBÉ")))))</f>
        <v>NON SOUDÉ</v>
      </c>
      <c r="O258" s="80"/>
      <c r="P258" s="82" t="n">
        <f aca="false">IF(C258="","",IFERROR(MATCH(Q258,'CARNET DE SOUDURE'!$AW$7:$AW$3006,0),""))</f>
        <v>252</v>
      </c>
      <c r="Q258" s="82" t="str">
        <f aca="false">IF(C258="","",B258&amp;"|"&amp;C258)</f>
        <v>MFD-ISW → MFD-CPF|JN°252</v>
      </c>
    </row>
    <row r="259" customFormat="false" ht="74.6" hidden="false" customHeight="false" outlineLevel="0" collapsed="false">
      <c r="A259" s="82" t="n">
        <f aca="false">IF(C259="","",ROW()-6)</f>
        <v>253</v>
      </c>
      <c r="B259" s="80" t="s">
        <v>110</v>
      </c>
      <c r="C259" s="113" t="s">
        <v>363</v>
      </c>
      <c r="D259" s="82" t="str">
        <f aca="false">IF(OR(C259="",P259=""),"",INDEX('CARNET DE SOUDURE'!$D$7:$D$3006,P259)&amp;"")</f>
        <v/>
      </c>
      <c r="E259" s="114" t="str">
        <f aca="false">IF(OR(C259="",P259=""),"",IF(INDEX('CARNET DE SOUDURE'!$U$7:$U$3006,P259)="","",INDEX('CARNET DE SOUDURE'!$U$7:$U$3006,P259)))</f>
        <v/>
      </c>
      <c r="F259" s="82" t="str">
        <f aca="false">IF(OR(C259="",P259=""),"",INDEX('CARNET DE SOUDURE'!$AP$7:$AP$3006,P259))</f>
        <v/>
      </c>
      <c r="G259" s="82" t="str">
        <f aca="false">IF(C259="","",IF(P259="","NJ INCONNU",INDEX('CARNET DE SOUDURE'!$AQ$7:$AQ$3006,P259)))</f>
        <v>À SOUDER</v>
      </c>
      <c r="H259" s="82" t="str">
        <f aca="false">IF(C259="","",IF(G259="ACCEPTÉ","OUI","NON"))</f>
        <v>NON</v>
      </c>
      <c r="I259" s="83"/>
      <c r="J259" s="80"/>
      <c r="K259" s="81"/>
      <c r="L259" s="81"/>
      <c r="M259" s="81"/>
      <c r="N259" s="84" t="str">
        <f aca="false">IF(C259="","",IF(P259="","NJ INCONNU",IF(I259="",IF(H259="OUI","À ENROBER",IF(G259="À SOUDER","NON SOUDÉ","EN ATTENTE RT")),IF(L259="R","À REPRENDRE",IF(H259&lt;&gt;"OUI","⚠ ENROBÉ AVANT ACCEPTATION RT","ENROBÉ")))))</f>
        <v>NON SOUDÉ</v>
      </c>
      <c r="O259" s="80"/>
      <c r="P259" s="82" t="n">
        <f aca="false">IF(C259="","",IFERROR(MATCH(Q259,'CARNET DE SOUDURE'!$AW$7:$AW$3006,0),""))</f>
        <v>253</v>
      </c>
      <c r="Q259" s="82" t="str">
        <f aca="false">IF(C259="","",B259&amp;"|"&amp;C259)</f>
        <v>MFD-ISW → MFD-CPF|JN°253</v>
      </c>
    </row>
    <row r="260" customFormat="false" ht="74.6" hidden="false" customHeight="false" outlineLevel="0" collapsed="false">
      <c r="A260" s="82" t="n">
        <f aca="false">IF(C260="","",ROW()-6)</f>
        <v>254</v>
      </c>
      <c r="B260" s="80" t="s">
        <v>110</v>
      </c>
      <c r="C260" s="113" t="s">
        <v>364</v>
      </c>
      <c r="D260" s="82" t="str">
        <f aca="false">IF(OR(C260="",P260=""),"",INDEX('CARNET DE SOUDURE'!$D$7:$D$3006,P260)&amp;"")</f>
        <v/>
      </c>
      <c r="E260" s="114" t="str">
        <f aca="false">IF(OR(C260="",P260=""),"",IF(INDEX('CARNET DE SOUDURE'!$U$7:$U$3006,P260)="","",INDEX('CARNET DE SOUDURE'!$U$7:$U$3006,P260)))</f>
        <v/>
      </c>
      <c r="F260" s="82" t="str">
        <f aca="false">IF(OR(C260="",P260=""),"",INDEX('CARNET DE SOUDURE'!$AP$7:$AP$3006,P260))</f>
        <v/>
      </c>
      <c r="G260" s="82" t="str">
        <f aca="false">IF(C260="","",IF(P260="","NJ INCONNU",INDEX('CARNET DE SOUDURE'!$AQ$7:$AQ$3006,P260)))</f>
        <v>À SOUDER</v>
      </c>
      <c r="H260" s="82" t="str">
        <f aca="false">IF(C260="","",IF(G260="ACCEPTÉ","OUI","NON"))</f>
        <v>NON</v>
      </c>
      <c r="I260" s="83"/>
      <c r="J260" s="80"/>
      <c r="K260" s="81"/>
      <c r="L260" s="81"/>
      <c r="M260" s="81"/>
      <c r="N260" s="84" t="str">
        <f aca="false">IF(C260="","",IF(P260="","NJ INCONNU",IF(I260="",IF(H260="OUI","À ENROBER",IF(G260="À SOUDER","NON SOUDÉ","EN ATTENTE RT")),IF(L260="R","À REPRENDRE",IF(H260&lt;&gt;"OUI","⚠ ENROBÉ AVANT ACCEPTATION RT","ENROBÉ")))))</f>
        <v>NON SOUDÉ</v>
      </c>
      <c r="O260" s="80"/>
      <c r="P260" s="82" t="n">
        <f aca="false">IF(C260="","",IFERROR(MATCH(Q260,'CARNET DE SOUDURE'!$AW$7:$AW$3006,0),""))</f>
        <v>254</v>
      </c>
      <c r="Q260" s="82" t="str">
        <f aca="false">IF(C260="","",B260&amp;"|"&amp;C260)</f>
        <v>MFD-ISW → MFD-CPF|JN°254</v>
      </c>
    </row>
    <row r="261" customFormat="false" ht="74.6" hidden="false" customHeight="false" outlineLevel="0" collapsed="false">
      <c r="A261" s="82" t="n">
        <f aca="false">IF(C261="","",ROW()-6)</f>
        <v>255</v>
      </c>
      <c r="B261" s="80" t="s">
        <v>110</v>
      </c>
      <c r="C261" s="113" t="s">
        <v>365</v>
      </c>
      <c r="D261" s="82" t="str">
        <f aca="false">IF(OR(C261="",P261=""),"",INDEX('CARNET DE SOUDURE'!$D$7:$D$3006,P261)&amp;"")</f>
        <v/>
      </c>
      <c r="E261" s="114" t="str">
        <f aca="false">IF(OR(C261="",P261=""),"",IF(INDEX('CARNET DE SOUDURE'!$U$7:$U$3006,P261)="","",INDEX('CARNET DE SOUDURE'!$U$7:$U$3006,P261)))</f>
        <v/>
      </c>
      <c r="F261" s="82" t="str">
        <f aca="false">IF(OR(C261="",P261=""),"",INDEX('CARNET DE SOUDURE'!$AP$7:$AP$3006,P261))</f>
        <v/>
      </c>
      <c r="G261" s="82" t="str">
        <f aca="false">IF(C261="","",IF(P261="","NJ INCONNU",INDEX('CARNET DE SOUDURE'!$AQ$7:$AQ$3006,P261)))</f>
        <v>À SOUDER</v>
      </c>
      <c r="H261" s="82" t="str">
        <f aca="false">IF(C261="","",IF(G261="ACCEPTÉ","OUI","NON"))</f>
        <v>NON</v>
      </c>
      <c r="I261" s="83"/>
      <c r="J261" s="80"/>
      <c r="K261" s="81"/>
      <c r="L261" s="81"/>
      <c r="M261" s="81"/>
      <c r="N261" s="84" t="str">
        <f aca="false">IF(C261="","",IF(P261="","NJ INCONNU",IF(I261="",IF(H261="OUI","À ENROBER",IF(G261="À SOUDER","NON SOUDÉ","EN ATTENTE RT")),IF(L261="R","À REPRENDRE",IF(H261&lt;&gt;"OUI","⚠ ENROBÉ AVANT ACCEPTATION RT","ENROBÉ")))))</f>
        <v>NON SOUDÉ</v>
      </c>
      <c r="O261" s="80"/>
      <c r="P261" s="82" t="n">
        <f aca="false">IF(C261="","",IFERROR(MATCH(Q261,'CARNET DE SOUDURE'!$AW$7:$AW$3006,0),""))</f>
        <v>255</v>
      </c>
      <c r="Q261" s="82" t="str">
        <f aca="false">IF(C261="","",B261&amp;"|"&amp;C261)</f>
        <v>MFD-ISW → MFD-CPF|JN°255</v>
      </c>
    </row>
    <row r="262" customFormat="false" ht="74.6" hidden="false" customHeight="false" outlineLevel="0" collapsed="false">
      <c r="A262" s="82" t="n">
        <f aca="false">IF(C262="","",ROW()-6)</f>
        <v>256</v>
      </c>
      <c r="B262" s="80" t="s">
        <v>110</v>
      </c>
      <c r="C262" s="113" t="s">
        <v>366</v>
      </c>
      <c r="D262" s="82" t="str">
        <f aca="false">IF(OR(C262="",P262=""),"",INDEX('CARNET DE SOUDURE'!$D$7:$D$3006,P262)&amp;"")</f>
        <v/>
      </c>
      <c r="E262" s="114" t="str">
        <f aca="false">IF(OR(C262="",P262=""),"",IF(INDEX('CARNET DE SOUDURE'!$U$7:$U$3006,P262)="","",INDEX('CARNET DE SOUDURE'!$U$7:$U$3006,P262)))</f>
        <v/>
      </c>
      <c r="F262" s="82" t="str">
        <f aca="false">IF(OR(C262="",P262=""),"",INDEX('CARNET DE SOUDURE'!$AP$7:$AP$3006,P262))</f>
        <v/>
      </c>
      <c r="G262" s="82" t="str">
        <f aca="false">IF(C262="","",IF(P262="","NJ INCONNU",INDEX('CARNET DE SOUDURE'!$AQ$7:$AQ$3006,P262)))</f>
        <v>À SOUDER</v>
      </c>
      <c r="H262" s="82" t="str">
        <f aca="false">IF(C262="","",IF(G262="ACCEPTÉ","OUI","NON"))</f>
        <v>NON</v>
      </c>
      <c r="I262" s="83"/>
      <c r="J262" s="80"/>
      <c r="K262" s="81"/>
      <c r="L262" s="81"/>
      <c r="M262" s="81"/>
      <c r="N262" s="84" t="str">
        <f aca="false">IF(C262="","",IF(P262="","NJ INCONNU",IF(I262="",IF(H262="OUI","À ENROBER",IF(G262="À SOUDER","NON SOUDÉ","EN ATTENTE RT")),IF(L262="R","À REPRENDRE",IF(H262&lt;&gt;"OUI","⚠ ENROBÉ AVANT ACCEPTATION RT","ENROBÉ")))))</f>
        <v>NON SOUDÉ</v>
      </c>
      <c r="O262" s="80"/>
      <c r="P262" s="82" t="n">
        <f aca="false">IF(C262="","",IFERROR(MATCH(Q262,'CARNET DE SOUDURE'!$AW$7:$AW$3006,0),""))</f>
        <v>256</v>
      </c>
      <c r="Q262" s="82" t="str">
        <f aca="false">IF(C262="","",B262&amp;"|"&amp;C262)</f>
        <v>MFD-ISW → MFD-CPF|JN°256</v>
      </c>
    </row>
    <row r="263" customFormat="false" ht="74.6" hidden="false" customHeight="false" outlineLevel="0" collapsed="false">
      <c r="A263" s="82" t="n">
        <f aca="false">IF(C263="","",ROW()-6)</f>
        <v>257</v>
      </c>
      <c r="B263" s="80" t="s">
        <v>110</v>
      </c>
      <c r="C263" s="113" t="s">
        <v>367</v>
      </c>
      <c r="D263" s="82" t="str">
        <f aca="false">IF(OR(C263="",P263=""),"",INDEX('CARNET DE SOUDURE'!$D$7:$D$3006,P263)&amp;"")</f>
        <v/>
      </c>
      <c r="E263" s="114" t="str">
        <f aca="false">IF(OR(C263="",P263=""),"",IF(INDEX('CARNET DE SOUDURE'!$U$7:$U$3006,P263)="","",INDEX('CARNET DE SOUDURE'!$U$7:$U$3006,P263)))</f>
        <v/>
      </c>
      <c r="F263" s="82" t="str">
        <f aca="false">IF(OR(C263="",P263=""),"",INDEX('CARNET DE SOUDURE'!$AP$7:$AP$3006,P263))</f>
        <v/>
      </c>
      <c r="G263" s="82" t="str">
        <f aca="false">IF(C263="","",IF(P263="","NJ INCONNU",INDEX('CARNET DE SOUDURE'!$AQ$7:$AQ$3006,P263)))</f>
        <v>À SOUDER</v>
      </c>
      <c r="H263" s="82" t="str">
        <f aca="false">IF(C263="","",IF(G263="ACCEPTÉ","OUI","NON"))</f>
        <v>NON</v>
      </c>
      <c r="I263" s="83"/>
      <c r="J263" s="80"/>
      <c r="K263" s="81"/>
      <c r="L263" s="81"/>
      <c r="M263" s="81"/>
      <c r="N263" s="84" t="str">
        <f aca="false">IF(C263="","",IF(P263="","NJ INCONNU",IF(I263="",IF(H263="OUI","À ENROBER",IF(G263="À SOUDER","NON SOUDÉ","EN ATTENTE RT")),IF(L263="R","À REPRENDRE",IF(H263&lt;&gt;"OUI","⚠ ENROBÉ AVANT ACCEPTATION RT","ENROBÉ")))))</f>
        <v>NON SOUDÉ</v>
      </c>
      <c r="O263" s="80"/>
      <c r="P263" s="82" t="n">
        <f aca="false">IF(C263="","",IFERROR(MATCH(Q263,'CARNET DE SOUDURE'!$AW$7:$AW$3006,0),""))</f>
        <v>257</v>
      </c>
      <c r="Q263" s="82" t="str">
        <f aca="false">IF(C263="","",B263&amp;"|"&amp;C263)</f>
        <v>MFD-ISW → MFD-CPF|JN°257</v>
      </c>
    </row>
    <row r="264" customFormat="false" ht="74.6" hidden="false" customHeight="false" outlineLevel="0" collapsed="false">
      <c r="A264" s="82" t="n">
        <f aca="false">IF(C264="","",ROW()-6)</f>
        <v>258</v>
      </c>
      <c r="B264" s="80" t="s">
        <v>110</v>
      </c>
      <c r="C264" s="113" t="s">
        <v>368</v>
      </c>
      <c r="D264" s="82" t="str">
        <f aca="false">IF(OR(C264="",P264=""),"",INDEX('CARNET DE SOUDURE'!$D$7:$D$3006,P264)&amp;"")</f>
        <v/>
      </c>
      <c r="E264" s="114" t="str">
        <f aca="false">IF(OR(C264="",P264=""),"",IF(INDEX('CARNET DE SOUDURE'!$U$7:$U$3006,P264)="","",INDEX('CARNET DE SOUDURE'!$U$7:$U$3006,P264)))</f>
        <v/>
      </c>
      <c r="F264" s="82" t="str">
        <f aca="false">IF(OR(C264="",P264=""),"",INDEX('CARNET DE SOUDURE'!$AP$7:$AP$3006,P264))</f>
        <v/>
      </c>
      <c r="G264" s="82" t="str">
        <f aca="false">IF(C264="","",IF(P264="","NJ INCONNU",INDEX('CARNET DE SOUDURE'!$AQ$7:$AQ$3006,P264)))</f>
        <v>À SOUDER</v>
      </c>
      <c r="H264" s="82" t="str">
        <f aca="false">IF(C264="","",IF(G264="ACCEPTÉ","OUI","NON"))</f>
        <v>NON</v>
      </c>
      <c r="I264" s="83"/>
      <c r="J264" s="80"/>
      <c r="K264" s="81"/>
      <c r="L264" s="81"/>
      <c r="M264" s="81"/>
      <c r="N264" s="84" t="str">
        <f aca="false">IF(C264="","",IF(P264="","NJ INCONNU",IF(I264="",IF(H264="OUI","À ENROBER",IF(G264="À SOUDER","NON SOUDÉ","EN ATTENTE RT")),IF(L264="R","À REPRENDRE",IF(H264&lt;&gt;"OUI","⚠ ENROBÉ AVANT ACCEPTATION RT","ENROBÉ")))))</f>
        <v>NON SOUDÉ</v>
      </c>
      <c r="O264" s="80"/>
      <c r="P264" s="82" t="n">
        <f aca="false">IF(C264="","",IFERROR(MATCH(Q264,'CARNET DE SOUDURE'!$AW$7:$AW$3006,0),""))</f>
        <v>258</v>
      </c>
      <c r="Q264" s="82" t="str">
        <f aca="false">IF(C264="","",B264&amp;"|"&amp;C264)</f>
        <v>MFD-ISW → MFD-CPF|JN°258</v>
      </c>
    </row>
    <row r="265" customFormat="false" ht="74.6" hidden="false" customHeight="false" outlineLevel="0" collapsed="false">
      <c r="A265" s="82" t="n">
        <f aca="false">IF(C265="","",ROW()-6)</f>
        <v>259</v>
      </c>
      <c r="B265" s="80" t="s">
        <v>110</v>
      </c>
      <c r="C265" s="113" t="s">
        <v>369</v>
      </c>
      <c r="D265" s="82" t="str">
        <f aca="false">IF(OR(C265="",P265=""),"",INDEX('CARNET DE SOUDURE'!$D$7:$D$3006,P265)&amp;"")</f>
        <v/>
      </c>
      <c r="E265" s="114" t="str">
        <f aca="false">IF(OR(C265="",P265=""),"",IF(INDEX('CARNET DE SOUDURE'!$U$7:$U$3006,P265)="","",INDEX('CARNET DE SOUDURE'!$U$7:$U$3006,P265)))</f>
        <v/>
      </c>
      <c r="F265" s="82" t="str">
        <f aca="false">IF(OR(C265="",P265=""),"",INDEX('CARNET DE SOUDURE'!$AP$7:$AP$3006,P265))</f>
        <v/>
      </c>
      <c r="G265" s="82" t="str">
        <f aca="false">IF(C265="","",IF(P265="","NJ INCONNU",INDEX('CARNET DE SOUDURE'!$AQ$7:$AQ$3006,P265)))</f>
        <v>À SOUDER</v>
      </c>
      <c r="H265" s="82" t="str">
        <f aca="false">IF(C265="","",IF(G265="ACCEPTÉ","OUI","NON"))</f>
        <v>NON</v>
      </c>
      <c r="I265" s="83"/>
      <c r="J265" s="80"/>
      <c r="K265" s="81"/>
      <c r="L265" s="81"/>
      <c r="M265" s="81"/>
      <c r="N265" s="84" t="str">
        <f aca="false">IF(C265="","",IF(P265="","NJ INCONNU",IF(I265="",IF(H265="OUI","À ENROBER",IF(G265="À SOUDER","NON SOUDÉ","EN ATTENTE RT")),IF(L265="R","À REPRENDRE",IF(H265&lt;&gt;"OUI","⚠ ENROBÉ AVANT ACCEPTATION RT","ENROBÉ")))))</f>
        <v>NON SOUDÉ</v>
      </c>
      <c r="O265" s="80"/>
      <c r="P265" s="82" t="n">
        <f aca="false">IF(C265="","",IFERROR(MATCH(Q265,'CARNET DE SOUDURE'!$AW$7:$AW$3006,0),""))</f>
        <v>259</v>
      </c>
      <c r="Q265" s="82" t="str">
        <f aca="false">IF(C265="","",B265&amp;"|"&amp;C265)</f>
        <v>MFD-ISW → MFD-CPF|JN°259</v>
      </c>
    </row>
    <row r="266" customFormat="false" ht="74.6" hidden="false" customHeight="false" outlineLevel="0" collapsed="false">
      <c r="A266" s="82" t="n">
        <f aca="false">IF(C266="","",ROW()-6)</f>
        <v>260</v>
      </c>
      <c r="B266" s="80" t="s">
        <v>110</v>
      </c>
      <c r="C266" s="113" t="s">
        <v>370</v>
      </c>
      <c r="D266" s="82" t="str">
        <f aca="false">IF(OR(C266="",P266=""),"",INDEX('CARNET DE SOUDURE'!$D$7:$D$3006,P266)&amp;"")</f>
        <v/>
      </c>
      <c r="E266" s="114" t="str">
        <f aca="false">IF(OR(C266="",P266=""),"",IF(INDEX('CARNET DE SOUDURE'!$U$7:$U$3006,P266)="","",INDEX('CARNET DE SOUDURE'!$U$7:$U$3006,P266)))</f>
        <v/>
      </c>
      <c r="F266" s="82" t="str">
        <f aca="false">IF(OR(C266="",P266=""),"",INDEX('CARNET DE SOUDURE'!$AP$7:$AP$3006,P266))</f>
        <v/>
      </c>
      <c r="G266" s="82" t="str">
        <f aca="false">IF(C266="","",IF(P266="","NJ INCONNU",INDEX('CARNET DE SOUDURE'!$AQ$7:$AQ$3006,P266)))</f>
        <v>À SOUDER</v>
      </c>
      <c r="H266" s="82" t="str">
        <f aca="false">IF(C266="","",IF(G266="ACCEPTÉ","OUI","NON"))</f>
        <v>NON</v>
      </c>
      <c r="I266" s="83"/>
      <c r="J266" s="80"/>
      <c r="K266" s="81"/>
      <c r="L266" s="81"/>
      <c r="M266" s="81"/>
      <c r="N266" s="84" t="str">
        <f aca="false">IF(C266="","",IF(P266="","NJ INCONNU",IF(I266="",IF(H266="OUI","À ENROBER",IF(G266="À SOUDER","NON SOUDÉ","EN ATTENTE RT")),IF(L266="R","À REPRENDRE",IF(H266&lt;&gt;"OUI","⚠ ENROBÉ AVANT ACCEPTATION RT","ENROBÉ")))))</f>
        <v>NON SOUDÉ</v>
      </c>
      <c r="O266" s="80"/>
      <c r="P266" s="82" t="n">
        <f aca="false">IF(C266="","",IFERROR(MATCH(Q266,'CARNET DE SOUDURE'!$AW$7:$AW$3006,0),""))</f>
        <v>260</v>
      </c>
      <c r="Q266" s="82" t="str">
        <f aca="false">IF(C266="","",B266&amp;"|"&amp;C266)</f>
        <v>MFD-ISW → MFD-CPF|JN°260</v>
      </c>
    </row>
    <row r="267" customFormat="false" ht="74.6" hidden="false" customHeight="false" outlineLevel="0" collapsed="false">
      <c r="A267" s="82" t="n">
        <f aca="false">IF(C267="","",ROW()-6)</f>
        <v>261</v>
      </c>
      <c r="B267" s="80" t="s">
        <v>110</v>
      </c>
      <c r="C267" s="113" t="s">
        <v>371</v>
      </c>
      <c r="D267" s="82" t="str">
        <f aca="false">IF(OR(C267="",P267=""),"",INDEX('CARNET DE SOUDURE'!$D$7:$D$3006,P267)&amp;"")</f>
        <v/>
      </c>
      <c r="E267" s="114" t="str">
        <f aca="false">IF(OR(C267="",P267=""),"",IF(INDEX('CARNET DE SOUDURE'!$U$7:$U$3006,P267)="","",INDEX('CARNET DE SOUDURE'!$U$7:$U$3006,P267)))</f>
        <v/>
      </c>
      <c r="F267" s="82" t="str">
        <f aca="false">IF(OR(C267="",P267=""),"",INDEX('CARNET DE SOUDURE'!$AP$7:$AP$3006,P267))</f>
        <v/>
      </c>
      <c r="G267" s="82" t="str">
        <f aca="false">IF(C267="","",IF(P267="","NJ INCONNU",INDEX('CARNET DE SOUDURE'!$AQ$7:$AQ$3006,P267)))</f>
        <v>À SOUDER</v>
      </c>
      <c r="H267" s="82" t="str">
        <f aca="false">IF(C267="","",IF(G267="ACCEPTÉ","OUI","NON"))</f>
        <v>NON</v>
      </c>
      <c r="I267" s="83"/>
      <c r="J267" s="80"/>
      <c r="K267" s="81"/>
      <c r="L267" s="81"/>
      <c r="M267" s="81"/>
      <c r="N267" s="84" t="str">
        <f aca="false">IF(C267="","",IF(P267="","NJ INCONNU",IF(I267="",IF(H267="OUI","À ENROBER",IF(G267="À SOUDER","NON SOUDÉ","EN ATTENTE RT")),IF(L267="R","À REPRENDRE",IF(H267&lt;&gt;"OUI","⚠ ENROBÉ AVANT ACCEPTATION RT","ENROBÉ")))))</f>
        <v>NON SOUDÉ</v>
      </c>
      <c r="O267" s="80"/>
      <c r="P267" s="82" t="n">
        <f aca="false">IF(C267="","",IFERROR(MATCH(Q267,'CARNET DE SOUDURE'!$AW$7:$AW$3006,0),""))</f>
        <v>261</v>
      </c>
      <c r="Q267" s="82" t="str">
        <f aca="false">IF(C267="","",B267&amp;"|"&amp;C267)</f>
        <v>MFD-ISW → MFD-CPF|JN°261</v>
      </c>
    </row>
    <row r="268" customFormat="false" ht="74.6" hidden="false" customHeight="false" outlineLevel="0" collapsed="false">
      <c r="A268" s="82" t="n">
        <f aca="false">IF(C268="","",ROW()-6)</f>
        <v>262</v>
      </c>
      <c r="B268" s="80" t="s">
        <v>110</v>
      </c>
      <c r="C268" s="113" t="s">
        <v>372</v>
      </c>
      <c r="D268" s="82" t="str">
        <f aca="false">IF(OR(C268="",P268=""),"",INDEX('CARNET DE SOUDURE'!$D$7:$D$3006,P268)&amp;"")</f>
        <v/>
      </c>
      <c r="E268" s="114" t="str">
        <f aca="false">IF(OR(C268="",P268=""),"",IF(INDEX('CARNET DE SOUDURE'!$U$7:$U$3006,P268)="","",INDEX('CARNET DE SOUDURE'!$U$7:$U$3006,P268)))</f>
        <v/>
      </c>
      <c r="F268" s="82" t="str">
        <f aca="false">IF(OR(C268="",P268=""),"",INDEX('CARNET DE SOUDURE'!$AP$7:$AP$3006,P268))</f>
        <v/>
      </c>
      <c r="G268" s="82" t="str">
        <f aca="false">IF(C268="","",IF(P268="","NJ INCONNU",INDEX('CARNET DE SOUDURE'!$AQ$7:$AQ$3006,P268)))</f>
        <v>À SOUDER</v>
      </c>
      <c r="H268" s="82" t="str">
        <f aca="false">IF(C268="","",IF(G268="ACCEPTÉ","OUI","NON"))</f>
        <v>NON</v>
      </c>
      <c r="I268" s="83"/>
      <c r="J268" s="80"/>
      <c r="K268" s="81"/>
      <c r="L268" s="81"/>
      <c r="M268" s="81"/>
      <c r="N268" s="84" t="str">
        <f aca="false">IF(C268="","",IF(P268="","NJ INCONNU",IF(I268="",IF(H268="OUI","À ENROBER",IF(G268="À SOUDER","NON SOUDÉ","EN ATTENTE RT")),IF(L268="R","À REPRENDRE",IF(H268&lt;&gt;"OUI","⚠ ENROBÉ AVANT ACCEPTATION RT","ENROBÉ")))))</f>
        <v>NON SOUDÉ</v>
      </c>
      <c r="O268" s="80"/>
      <c r="P268" s="82" t="n">
        <f aca="false">IF(C268="","",IFERROR(MATCH(Q268,'CARNET DE SOUDURE'!$AW$7:$AW$3006,0),""))</f>
        <v>262</v>
      </c>
      <c r="Q268" s="82" t="str">
        <f aca="false">IF(C268="","",B268&amp;"|"&amp;C268)</f>
        <v>MFD-ISW → MFD-CPF|JN°262</v>
      </c>
    </row>
    <row r="269" customFormat="false" ht="74.6" hidden="false" customHeight="false" outlineLevel="0" collapsed="false">
      <c r="A269" s="82" t="n">
        <f aca="false">IF(C269="","",ROW()-6)</f>
        <v>263</v>
      </c>
      <c r="B269" s="80" t="s">
        <v>110</v>
      </c>
      <c r="C269" s="113" t="s">
        <v>373</v>
      </c>
      <c r="D269" s="82" t="str">
        <f aca="false">IF(OR(C269="",P269=""),"",INDEX('CARNET DE SOUDURE'!$D$7:$D$3006,P269)&amp;"")</f>
        <v/>
      </c>
      <c r="E269" s="114" t="str">
        <f aca="false">IF(OR(C269="",P269=""),"",IF(INDEX('CARNET DE SOUDURE'!$U$7:$U$3006,P269)="","",INDEX('CARNET DE SOUDURE'!$U$7:$U$3006,P269)))</f>
        <v/>
      </c>
      <c r="F269" s="82" t="str">
        <f aca="false">IF(OR(C269="",P269=""),"",INDEX('CARNET DE SOUDURE'!$AP$7:$AP$3006,P269))</f>
        <v/>
      </c>
      <c r="G269" s="82" t="str">
        <f aca="false">IF(C269="","",IF(P269="","NJ INCONNU",INDEX('CARNET DE SOUDURE'!$AQ$7:$AQ$3006,P269)))</f>
        <v>À SOUDER</v>
      </c>
      <c r="H269" s="82" t="str">
        <f aca="false">IF(C269="","",IF(G269="ACCEPTÉ","OUI","NON"))</f>
        <v>NON</v>
      </c>
      <c r="I269" s="83"/>
      <c r="J269" s="80"/>
      <c r="K269" s="81"/>
      <c r="L269" s="81"/>
      <c r="M269" s="81"/>
      <c r="N269" s="84" t="str">
        <f aca="false">IF(C269="","",IF(P269="","NJ INCONNU",IF(I269="",IF(H269="OUI","À ENROBER",IF(G269="À SOUDER","NON SOUDÉ","EN ATTENTE RT")),IF(L269="R","À REPRENDRE",IF(H269&lt;&gt;"OUI","⚠ ENROBÉ AVANT ACCEPTATION RT","ENROBÉ")))))</f>
        <v>NON SOUDÉ</v>
      </c>
      <c r="O269" s="80"/>
      <c r="P269" s="82" t="n">
        <f aca="false">IF(C269="","",IFERROR(MATCH(Q269,'CARNET DE SOUDURE'!$AW$7:$AW$3006,0),""))</f>
        <v>263</v>
      </c>
      <c r="Q269" s="82" t="str">
        <f aca="false">IF(C269="","",B269&amp;"|"&amp;C269)</f>
        <v>MFD-ISW → MFD-CPF|JN°263</v>
      </c>
    </row>
    <row r="270" customFormat="false" ht="74.6" hidden="false" customHeight="false" outlineLevel="0" collapsed="false">
      <c r="A270" s="82" t="n">
        <f aca="false">IF(C270="","",ROW()-6)</f>
        <v>264</v>
      </c>
      <c r="B270" s="80" t="s">
        <v>110</v>
      </c>
      <c r="C270" s="113" t="s">
        <v>374</v>
      </c>
      <c r="D270" s="82" t="str">
        <f aca="false">IF(OR(C270="",P270=""),"",INDEX('CARNET DE SOUDURE'!$D$7:$D$3006,P270)&amp;"")</f>
        <v/>
      </c>
      <c r="E270" s="114" t="str">
        <f aca="false">IF(OR(C270="",P270=""),"",IF(INDEX('CARNET DE SOUDURE'!$U$7:$U$3006,P270)="","",INDEX('CARNET DE SOUDURE'!$U$7:$U$3006,P270)))</f>
        <v/>
      </c>
      <c r="F270" s="82" t="str">
        <f aca="false">IF(OR(C270="",P270=""),"",INDEX('CARNET DE SOUDURE'!$AP$7:$AP$3006,P270))</f>
        <v/>
      </c>
      <c r="G270" s="82" t="str">
        <f aca="false">IF(C270="","",IF(P270="","NJ INCONNU",INDEX('CARNET DE SOUDURE'!$AQ$7:$AQ$3006,P270)))</f>
        <v>À SOUDER</v>
      </c>
      <c r="H270" s="82" t="str">
        <f aca="false">IF(C270="","",IF(G270="ACCEPTÉ","OUI","NON"))</f>
        <v>NON</v>
      </c>
      <c r="I270" s="83"/>
      <c r="J270" s="80"/>
      <c r="K270" s="81"/>
      <c r="L270" s="81"/>
      <c r="M270" s="81"/>
      <c r="N270" s="84" t="str">
        <f aca="false">IF(C270="","",IF(P270="","NJ INCONNU",IF(I270="",IF(H270="OUI","À ENROBER",IF(G270="À SOUDER","NON SOUDÉ","EN ATTENTE RT")),IF(L270="R","À REPRENDRE",IF(H270&lt;&gt;"OUI","⚠ ENROBÉ AVANT ACCEPTATION RT","ENROBÉ")))))</f>
        <v>NON SOUDÉ</v>
      </c>
      <c r="O270" s="80"/>
      <c r="P270" s="82" t="n">
        <f aca="false">IF(C270="","",IFERROR(MATCH(Q270,'CARNET DE SOUDURE'!$AW$7:$AW$3006,0),""))</f>
        <v>264</v>
      </c>
      <c r="Q270" s="82" t="str">
        <f aca="false">IF(C270="","",B270&amp;"|"&amp;C270)</f>
        <v>MFD-ISW → MFD-CPF|JN°264</v>
      </c>
    </row>
    <row r="271" customFormat="false" ht="74.6" hidden="false" customHeight="false" outlineLevel="0" collapsed="false">
      <c r="A271" s="82" t="n">
        <f aca="false">IF(C271="","",ROW()-6)</f>
        <v>265</v>
      </c>
      <c r="B271" s="80" t="s">
        <v>110</v>
      </c>
      <c r="C271" s="113" t="s">
        <v>375</v>
      </c>
      <c r="D271" s="82" t="str">
        <f aca="false">IF(OR(C271="",P271=""),"",INDEX('CARNET DE SOUDURE'!$D$7:$D$3006,P271)&amp;"")</f>
        <v/>
      </c>
      <c r="E271" s="114" t="str">
        <f aca="false">IF(OR(C271="",P271=""),"",IF(INDEX('CARNET DE SOUDURE'!$U$7:$U$3006,P271)="","",INDEX('CARNET DE SOUDURE'!$U$7:$U$3006,P271)))</f>
        <v/>
      </c>
      <c r="F271" s="82" t="str">
        <f aca="false">IF(OR(C271="",P271=""),"",INDEX('CARNET DE SOUDURE'!$AP$7:$AP$3006,P271))</f>
        <v/>
      </c>
      <c r="G271" s="82" t="str">
        <f aca="false">IF(C271="","",IF(P271="","NJ INCONNU",INDEX('CARNET DE SOUDURE'!$AQ$7:$AQ$3006,P271)))</f>
        <v>À SOUDER</v>
      </c>
      <c r="H271" s="82" t="str">
        <f aca="false">IF(C271="","",IF(G271="ACCEPTÉ","OUI","NON"))</f>
        <v>NON</v>
      </c>
      <c r="I271" s="83"/>
      <c r="J271" s="80"/>
      <c r="K271" s="81"/>
      <c r="L271" s="81"/>
      <c r="M271" s="81"/>
      <c r="N271" s="84" t="str">
        <f aca="false">IF(C271="","",IF(P271="","NJ INCONNU",IF(I271="",IF(H271="OUI","À ENROBER",IF(G271="À SOUDER","NON SOUDÉ","EN ATTENTE RT")),IF(L271="R","À REPRENDRE",IF(H271&lt;&gt;"OUI","⚠ ENROBÉ AVANT ACCEPTATION RT","ENROBÉ")))))</f>
        <v>NON SOUDÉ</v>
      </c>
      <c r="O271" s="80"/>
      <c r="P271" s="82" t="n">
        <f aca="false">IF(C271="","",IFERROR(MATCH(Q271,'CARNET DE SOUDURE'!$AW$7:$AW$3006,0),""))</f>
        <v>265</v>
      </c>
      <c r="Q271" s="82" t="str">
        <f aca="false">IF(C271="","",B271&amp;"|"&amp;C271)</f>
        <v>MFD-ISW → MFD-CPF|JN°265</v>
      </c>
    </row>
    <row r="272" customFormat="false" ht="74.6" hidden="false" customHeight="false" outlineLevel="0" collapsed="false">
      <c r="A272" s="82" t="n">
        <f aca="false">IF(C272="","",ROW()-6)</f>
        <v>266</v>
      </c>
      <c r="B272" s="80" t="s">
        <v>110</v>
      </c>
      <c r="C272" s="113" t="s">
        <v>376</v>
      </c>
      <c r="D272" s="82" t="str">
        <f aca="false">IF(OR(C272="",P272=""),"",INDEX('CARNET DE SOUDURE'!$D$7:$D$3006,P272)&amp;"")</f>
        <v/>
      </c>
      <c r="E272" s="114" t="str">
        <f aca="false">IF(OR(C272="",P272=""),"",IF(INDEX('CARNET DE SOUDURE'!$U$7:$U$3006,P272)="","",INDEX('CARNET DE SOUDURE'!$U$7:$U$3006,P272)))</f>
        <v/>
      </c>
      <c r="F272" s="82" t="str">
        <f aca="false">IF(OR(C272="",P272=""),"",INDEX('CARNET DE SOUDURE'!$AP$7:$AP$3006,P272))</f>
        <v/>
      </c>
      <c r="G272" s="82" t="str">
        <f aca="false">IF(C272="","",IF(P272="","NJ INCONNU",INDEX('CARNET DE SOUDURE'!$AQ$7:$AQ$3006,P272)))</f>
        <v>À SOUDER</v>
      </c>
      <c r="H272" s="82" t="str">
        <f aca="false">IF(C272="","",IF(G272="ACCEPTÉ","OUI","NON"))</f>
        <v>NON</v>
      </c>
      <c r="I272" s="83"/>
      <c r="J272" s="80"/>
      <c r="K272" s="81"/>
      <c r="L272" s="81"/>
      <c r="M272" s="81"/>
      <c r="N272" s="84" t="str">
        <f aca="false">IF(C272="","",IF(P272="","NJ INCONNU",IF(I272="",IF(H272="OUI","À ENROBER",IF(G272="À SOUDER","NON SOUDÉ","EN ATTENTE RT")),IF(L272="R","À REPRENDRE",IF(H272&lt;&gt;"OUI","⚠ ENROBÉ AVANT ACCEPTATION RT","ENROBÉ")))))</f>
        <v>NON SOUDÉ</v>
      </c>
      <c r="O272" s="80"/>
      <c r="P272" s="82" t="n">
        <f aca="false">IF(C272="","",IFERROR(MATCH(Q272,'CARNET DE SOUDURE'!$AW$7:$AW$3006,0),""))</f>
        <v>266</v>
      </c>
      <c r="Q272" s="82" t="str">
        <f aca="false">IF(C272="","",B272&amp;"|"&amp;C272)</f>
        <v>MFD-ISW → MFD-CPF|JN°266</v>
      </c>
    </row>
    <row r="273" customFormat="false" ht="74.6" hidden="false" customHeight="false" outlineLevel="0" collapsed="false">
      <c r="A273" s="82" t="n">
        <f aca="false">IF(C273="","",ROW()-6)</f>
        <v>267</v>
      </c>
      <c r="B273" s="80" t="s">
        <v>110</v>
      </c>
      <c r="C273" s="113" t="s">
        <v>377</v>
      </c>
      <c r="D273" s="82" t="str">
        <f aca="false">IF(OR(C273="",P273=""),"",INDEX('CARNET DE SOUDURE'!$D$7:$D$3006,P273)&amp;"")</f>
        <v/>
      </c>
      <c r="E273" s="114" t="str">
        <f aca="false">IF(OR(C273="",P273=""),"",IF(INDEX('CARNET DE SOUDURE'!$U$7:$U$3006,P273)="","",INDEX('CARNET DE SOUDURE'!$U$7:$U$3006,P273)))</f>
        <v/>
      </c>
      <c r="F273" s="82" t="str">
        <f aca="false">IF(OR(C273="",P273=""),"",INDEX('CARNET DE SOUDURE'!$AP$7:$AP$3006,P273))</f>
        <v/>
      </c>
      <c r="G273" s="82" t="str">
        <f aca="false">IF(C273="","",IF(P273="","NJ INCONNU",INDEX('CARNET DE SOUDURE'!$AQ$7:$AQ$3006,P273)))</f>
        <v>À SOUDER</v>
      </c>
      <c r="H273" s="82" t="str">
        <f aca="false">IF(C273="","",IF(G273="ACCEPTÉ","OUI","NON"))</f>
        <v>NON</v>
      </c>
      <c r="I273" s="83"/>
      <c r="J273" s="80"/>
      <c r="K273" s="81"/>
      <c r="L273" s="81"/>
      <c r="M273" s="81"/>
      <c r="N273" s="84" t="str">
        <f aca="false">IF(C273="","",IF(P273="","NJ INCONNU",IF(I273="",IF(H273="OUI","À ENROBER",IF(G273="À SOUDER","NON SOUDÉ","EN ATTENTE RT")),IF(L273="R","À REPRENDRE",IF(H273&lt;&gt;"OUI","⚠ ENROBÉ AVANT ACCEPTATION RT","ENROBÉ")))))</f>
        <v>NON SOUDÉ</v>
      </c>
      <c r="O273" s="80"/>
      <c r="P273" s="82" t="n">
        <f aca="false">IF(C273="","",IFERROR(MATCH(Q273,'CARNET DE SOUDURE'!$AW$7:$AW$3006,0),""))</f>
        <v>267</v>
      </c>
      <c r="Q273" s="82" t="str">
        <f aca="false">IF(C273="","",B273&amp;"|"&amp;C273)</f>
        <v>MFD-ISW → MFD-CPF|JN°267</v>
      </c>
    </row>
    <row r="274" customFormat="false" ht="74.6" hidden="false" customHeight="false" outlineLevel="0" collapsed="false">
      <c r="A274" s="82" t="n">
        <f aca="false">IF(C274="","",ROW()-6)</f>
        <v>268</v>
      </c>
      <c r="B274" s="80" t="s">
        <v>110</v>
      </c>
      <c r="C274" s="113" t="s">
        <v>378</v>
      </c>
      <c r="D274" s="82" t="str">
        <f aca="false">IF(OR(C274="",P274=""),"",INDEX('CARNET DE SOUDURE'!$D$7:$D$3006,P274)&amp;"")</f>
        <v/>
      </c>
      <c r="E274" s="114" t="str">
        <f aca="false">IF(OR(C274="",P274=""),"",IF(INDEX('CARNET DE SOUDURE'!$U$7:$U$3006,P274)="","",INDEX('CARNET DE SOUDURE'!$U$7:$U$3006,P274)))</f>
        <v/>
      </c>
      <c r="F274" s="82" t="str">
        <f aca="false">IF(OR(C274="",P274=""),"",INDEX('CARNET DE SOUDURE'!$AP$7:$AP$3006,P274))</f>
        <v/>
      </c>
      <c r="G274" s="82" t="str">
        <f aca="false">IF(C274="","",IF(P274="","NJ INCONNU",INDEX('CARNET DE SOUDURE'!$AQ$7:$AQ$3006,P274)))</f>
        <v>À SOUDER</v>
      </c>
      <c r="H274" s="82" t="str">
        <f aca="false">IF(C274="","",IF(G274="ACCEPTÉ","OUI","NON"))</f>
        <v>NON</v>
      </c>
      <c r="I274" s="83"/>
      <c r="J274" s="80"/>
      <c r="K274" s="81"/>
      <c r="L274" s="81"/>
      <c r="M274" s="81"/>
      <c r="N274" s="84" t="str">
        <f aca="false">IF(C274="","",IF(P274="","NJ INCONNU",IF(I274="",IF(H274="OUI","À ENROBER",IF(G274="À SOUDER","NON SOUDÉ","EN ATTENTE RT")),IF(L274="R","À REPRENDRE",IF(H274&lt;&gt;"OUI","⚠ ENROBÉ AVANT ACCEPTATION RT","ENROBÉ")))))</f>
        <v>NON SOUDÉ</v>
      </c>
      <c r="O274" s="80"/>
      <c r="P274" s="82" t="n">
        <f aca="false">IF(C274="","",IFERROR(MATCH(Q274,'CARNET DE SOUDURE'!$AW$7:$AW$3006,0),""))</f>
        <v>268</v>
      </c>
      <c r="Q274" s="82" t="str">
        <f aca="false">IF(C274="","",B274&amp;"|"&amp;C274)</f>
        <v>MFD-ISW → MFD-CPF|JN°268</v>
      </c>
    </row>
    <row r="275" customFormat="false" ht="74.6" hidden="false" customHeight="false" outlineLevel="0" collapsed="false">
      <c r="A275" s="82" t="n">
        <f aca="false">IF(C275="","",ROW()-6)</f>
        <v>269</v>
      </c>
      <c r="B275" s="80" t="s">
        <v>110</v>
      </c>
      <c r="C275" s="113" t="s">
        <v>379</v>
      </c>
      <c r="D275" s="82" t="str">
        <f aca="false">IF(OR(C275="",P275=""),"",INDEX('CARNET DE SOUDURE'!$D$7:$D$3006,P275)&amp;"")</f>
        <v/>
      </c>
      <c r="E275" s="114" t="str">
        <f aca="false">IF(OR(C275="",P275=""),"",IF(INDEX('CARNET DE SOUDURE'!$U$7:$U$3006,P275)="","",INDEX('CARNET DE SOUDURE'!$U$7:$U$3006,P275)))</f>
        <v/>
      </c>
      <c r="F275" s="82" t="str">
        <f aca="false">IF(OR(C275="",P275=""),"",INDEX('CARNET DE SOUDURE'!$AP$7:$AP$3006,P275))</f>
        <v/>
      </c>
      <c r="G275" s="82" t="str">
        <f aca="false">IF(C275="","",IF(P275="","NJ INCONNU",INDEX('CARNET DE SOUDURE'!$AQ$7:$AQ$3006,P275)))</f>
        <v>À SOUDER</v>
      </c>
      <c r="H275" s="82" t="str">
        <f aca="false">IF(C275="","",IF(G275="ACCEPTÉ","OUI","NON"))</f>
        <v>NON</v>
      </c>
      <c r="I275" s="83"/>
      <c r="J275" s="80"/>
      <c r="K275" s="81"/>
      <c r="L275" s="81"/>
      <c r="M275" s="81"/>
      <c r="N275" s="84" t="str">
        <f aca="false">IF(C275="","",IF(P275="","NJ INCONNU",IF(I275="",IF(H275="OUI","À ENROBER",IF(G275="À SOUDER","NON SOUDÉ","EN ATTENTE RT")),IF(L275="R","À REPRENDRE",IF(H275&lt;&gt;"OUI","⚠ ENROBÉ AVANT ACCEPTATION RT","ENROBÉ")))))</f>
        <v>NON SOUDÉ</v>
      </c>
      <c r="O275" s="80"/>
      <c r="P275" s="82" t="n">
        <f aca="false">IF(C275="","",IFERROR(MATCH(Q275,'CARNET DE SOUDURE'!$AW$7:$AW$3006,0),""))</f>
        <v>269</v>
      </c>
      <c r="Q275" s="82" t="str">
        <f aca="false">IF(C275="","",B275&amp;"|"&amp;C275)</f>
        <v>MFD-ISW → MFD-CPF|JN°269</v>
      </c>
    </row>
    <row r="276" customFormat="false" ht="74.6" hidden="false" customHeight="false" outlineLevel="0" collapsed="false">
      <c r="A276" s="82" t="n">
        <f aca="false">IF(C276="","",ROW()-6)</f>
        <v>270</v>
      </c>
      <c r="B276" s="80" t="s">
        <v>110</v>
      </c>
      <c r="C276" s="113" t="s">
        <v>380</v>
      </c>
      <c r="D276" s="82" t="str">
        <f aca="false">IF(OR(C276="",P276=""),"",INDEX('CARNET DE SOUDURE'!$D$7:$D$3006,P276)&amp;"")</f>
        <v/>
      </c>
      <c r="E276" s="114" t="str">
        <f aca="false">IF(OR(C276="",P276=""),"",IF(INDEX('CARNET DE SOUDURE'!$U$7:$U$3006,P276)="","",INDEX('CARNET DE SOUDURE'!$U$7:$U$3006,P276)))</f>
        <v/>
      </c>
      <c r="F276" s="82" t="str">
        <f aca="false">IF(OR(C276="",P276=""),"",INDEX('CARNET DE SOUDURE'!$AP$7:$AP$3006,P276))</f>
        <v/>
      </c>
      <c r="G276" s="82" t="str">
        <f aca="false">IF(C276="","",IF(P276="","NJ INCONNU",INDEX('CARNET DE SOUDURE'!$AQ$7:$AQ$3006,P276)))</f>
        <v>À SOUDER</v>
      </c>
      <c r="H276" s="82" t="str">
        <f aca="false">IF(C276="","",IF(G276="ACCEPTÉ","OUI","NON"))</f>
        <v>NON</v>
      </c>
      <c r="I276" s="83"/>
      <c r="J276" s="80"/>
      <c r="K276" s="81"/>
      <c r="L276" s="81"/>
      <c r="M276" s="81"/>
      <c r="N276" s="84" t="str">
        <f aca="false">IF(C276="","",IF(P276="","NJ INCONNU",IF(I276="",IF(H276="OUI","À ENROBER",IF(G276="À SOUDER","NON SOUDÉ","EN ATTENTE RT")),IF(L276="R","À REPRENDRE",IF(H276&lt;&gt;"OUI","⚠ ENROBÉ AVANT ACCEPTATION RT","ENROBÉ")))))</f>
        <v>NON SOUDÉ</v>
      </c>
      <c r="O276" s="80"/>
      <c r="P276" s="82" t="n">
        <f aca="false">IF(C276="","",IFERROR(MATCH(Q276,'CARNET DE SOUDURE'!$AW$7:$AW$3006,0),""))</f>
        <v>270</v>
      </c>
      <c r="Q276" s="82" t="str">
        <f aca="false">IF(C276="","",B276&amp;"|"&amp;C276)</f>
        <v>MFD-ISW → MFD-CPF|JN°270</v>
      </c>
    </row>
    <row r="277" customFormat="false" ht="74.6" hidden="false" customHeight="false" outlineLevel="0" collapsed="false">
      <c r="A277" s="82" t="n">
        <f aca="false">IF(C277="","",ROW()-6)</f>
        <v>271</v>
      </c>
      <c r="B277" s="80" t="s">
        <v>110</v>
      </c>
      <c r="C277" s="113" t="s">
        <v>381</v>
      </c>
      <c r="D277" s="82" t="str">
        <f aca="false">IF(OR(C277="",P277=""),"",INDEX('CARNET DE SOUDURE'!$D$7:$D$3006,P277)&amp;"")</f>
        <v/>
      </c>
      <c r="E277" s="114" t="str">
        <f aca="false">IF(OR(C277="",P277=""),"",IF(INDEX('CARNET DE SOUDURE'!$U$7:$U$3006,P277)="","",INDEX('CARNET DE SOUDURE'!$U$7:$U$3006,P277)))</f>
        <v/>
      </c>
      <c r="F277" s="82" t="str">
        <f aca="false">IF(OR(C277="",P277=""),"",INDEX('CARNET DE SOUDURE'!$AP$7:$AP$3006,P277))</f>
        <v/>
      </c>
      <c r="G277" s="82" t="str">
        <f aca="false">IF(C277="","",IF(P277="","NJ INCONNU",INDEX('CARNET DE SOUDURE'!$AQ$7:$AQ$3006,P277)))</f>
        <v>À SOUDER</v>
      </c>
      <c r="H277" s="82" t="str">
        <f aca="false">IF(C277="","",IF(G277="ACCEPTÉ","OUI","NON"))</f>
        <v>NON</v>
      </c>
      <c r="I277" s="83"/>
      <c r="J277" s="80"/>
      <c r="K277" s="81"/>
      <c r="L277" s="81"/>
      <c r="M277" s="81"/>
      <c r="N277" s="84" t="str">
        <f aca="false">IF(C277="","",IF(P277="","NJ INCONNU",IF(I277="",IF(H277="OUI","À ENROBER",IF(G277="À SOUDER","NON SOUDÉ","EN ATTENTE RT")),IF(L277="R","À REPRENDRE",IF(H277&lt;&gt;"OUI","⚠ ENROBÉ AVANT ACCEPTATION RT","ENROBÉ")))))</f>
        <v>NON SOUDÉ</v>
      </c>
      <c r="O277" s="80"/>
      <c r="P277" s="82" t="n">
        <f aca="false">IF(C277="","",IFERROR(MATCH(Q277,'CARNET DE SOUDURE'!$AW$7:$AW$3006,0),""))</f>
        <v>271</v>
      </c>
      <c r="Q277" s="82" t="str">
        <f aca="false">IF(C277="","",B277&amp;"|"&amp;C277)</f>
        <v>MFD-ISW → MFD-CPF|JN°271</v>
      </c>
    </row>
    <row r="278" customFormat="false" ht="74.6" hidden="false" customHeight="false" outlineLevel="0" collapsed="false">
      <c r="A278" s="82" t="n">
        <f aca="false">IF(C278="","",ROW()-6)</f>
        <v>272</v>
      </c>
      <c r="B278" s="80" t="s">
        <v>110</v>
      </c>
      <c r="C278" s="113" t="s">
        <v>382</v>
      </c>
      <c r="D278" s="82" t="str">
        <f aca="false">IF(OR(C278="",P278=""),"",INDEX('CARNET DE SOUDURE'!$D$7:$D$3006,P278)&amp;"")</f>
        <v/>
      </c>
      <c r="E278" s="114" t="str">
        <f aca="false">IF(OR(C278="",P278=""),"",IF(INDEX('CARNET DE SOUDURE'!$U$7:$U$3006,P278)="","",INDEX('CARNET DE SOUDURE'!$U$7:$U$3006,P278)))</f>
        <v/>
      </c>
      <c r="F278" s="82" t="str">
        <f aca="false">IF(OR(C278="",P278=""),"",INDEX('CARNET DE SOUDURE'!$AP$7:$AP$3006,P278))</f>
        <v/>
      </c>
      <c r="G278" s="82" t="str">
        <f aca="false">IF(C278="","",IF(P278="","NJ INCONNU",INDEX('CARNET DE SOUDURE'!$AQ$7:$AQ$3006,P278)))</f>
        <v>À SOUDER</v>
      </c>
      <c r="H278" s="82" t="str">
        <f aca="false">IF(C278="","",IF(G278="ACCEPTÉ","OUI","NON"))</f>
        <v>NON</v>
      </c>
      <c r="I278" s="83"/>
      <c r="J278" s="80"/>
      <c r="K278" s="81"/>
      <c r="L278" s="81"/>
      <c r="M278" s="81"/>
      <c r="N278" s="84" t="str">
        <f aca="false">IF(C278="","",IF(P278="","NJ INCONNU",IF(I278="",IF(H278="OUI","À ENROBER",IF(G278="À SOUDER","NON SOUDÉ","EN ATTENTE RT")),IF(L278="R","À REPRENDRE",IF(H278&lt;&gt;"OUI","⚠ ENROBÉ AVANT ACCEPTATION RT","ENROBÉ")))))</f>
        <v>NON SOUDÉ</v>
      </c>
      <c r="O278" s="80"/>
      <c r="P278" s="82" t="n">
        <f aca="false">IF(C278="","",IFERROR(MATCH(Q278,'CARNET DE SOUDURE'!$AW$7:$AW$3006,0),""))</f>
        <v>272</v>
      </c>
      <c r="Q278" s="82" t="str">
        <f aca="false">IF(C278="","",B278&amp;"|"&amp;C278)</f>
        <v>MFD-ISW → MFD-CPF|JN°272</v>
      </c>
    </row>
    <row r="279" customFormat="false" ht="74.6" hidden="false" customHeight="false" outlineLevel="0" collapsed="false">
      <c r="A279" s="82" t="n">
        <f aca="false">IF(C279="","",ROW()-6)</f>
        <v>273</v>
      </c>
      <c r="B279" s="80" t="s">
        <v>110</v>
      </c>
      <c r="C279" s="113" t="s">
        <v>383</v>
      </c>
      <c r="D279" s="82" t="str">
        <f aca="false">IF(OR(C279="",P279=""),"",INDEX('CARNET DE SOUDURE'!$D$7:$D$3006,P279)&amp;"")</f>
        <v/>
      </c>
      <c r="E279" s="114" t="str">
        <f aca="false">IF(OR(C279="",P279=""),"",IF(INDEX('CARNET DE SOUDURE'!$U$7:$U$3006,P279)="","",INDEX('CARNET DE SOUDURE'!$U$7:$U$3006,P279)))</f>
        <v/>
      </c>
      <c r="F279" s="82" t="str">
        <f aca="false">IF(OR(C279="",P279=""),"",INDEX('CARNET DE SOUDURE'!$AP$7:$AP$3006,P279))</f>
        <v/>
      </c>
      <c r="G279" s="82" t="str">
        <f aca="false">IF(C279="","",IF(P279="","NJ INCONNU",INDEX('CARNET DE SOUDURE'!$AQ$7:$AQ$3006,P279)))</f>
        <v>À SOUDER</v>
      </c>
      <c r="H279" s="82" t="str">
        <f aca="false">IF(C279="","",IF(G279="ACCEPTÉ","OUI","NON"))</f>
        <v>NON</v>
      </c>
      <c r="I279" s="83"/>
      <c r="J279" s="80"/>
      <c r="K279" s="81"/>
      <c r="L279" s="81"/>
      <c r="M279" s="81"/>
      <c r="N279" s="84" t="str">
        <f aca="false">IF(C279="","",IF(P279="","NJ INCONNU",IF(I279="",IF(H279="OUI","À ENROBER",IF(G279="À SOUDER","NON SOUDÉ","EN ATTENTE RT")),IF(L279="R","À REPRENDRE",IF(H279&lt;&gt;"OUI","⚠ ENROBÉ AVANT ACCEPTATION RT","ENROBÉ")))))</f>
        <v>NON SOUDÉ</v>
      </c>
      <c r="O279" s="80"/>
      <c r="P279" s="82" t="n">
        <f aca="false">IF(C279="","",IFERROR(MATCH(Q279,'CARNET DE SOUDURE'!$AW$7:$AW$3006,0),""))</f>
        <v>273</v>
      </c>
      <c r="Q279" s="82" t="str">
        <f aca="false">IF(C279="","",B279&amp;"|"&amp;C279)</f>
        <v>MFD-ISW → MFD-CPF|JN°273</v>
      </c>
    </row>
    <row r="280" customFormat="false" ht="74.6" hidden="false" customHeight="false" outlineLevel="0" collapsed="false">
      <c r="A280" s="82" t="n">
        <f aca="false">IF(C280="","",ROW()-6)</f>
        <v>274</v>
      </c>
      <c r="B280" s="80" t="s">
        <v>110</v>
      </c>
      <c r="C280" s="113" t="s">
        <v>384</v>
      </c>
      <c r="D280" s="82" t="str">
        <f aca="false">IF(OR(C280="",P280=""),"",INDEX('CARNET DE SOUDURE'!$D$7:$D$3006,P280)&amp;"")</f>
        <v/>
      </c>
      <c r="E280" s="114" t="str">
        <f aca="false">IF(OR(C280="",P280=""),"",IF(INDEX('CARNET DE SOUDURE'!$U$7:$U$3006,P280)="","",INDEX('CARNET DE SOUDURE'!$U$7:$U$3006,P280)))</f>
        <v/>
      </c>
      <c r="F280" s="82" t="str">
        <f aca="false">IF(OR(C280="",P280=""),"",INDEX('CARNET DE SOUDURE'!$AP$7:$AP$3006,P280))</f>
        <v/>
      </c>
      <c r="G280" s="82" t="str">
        <f aca="false">IF(C280="","",IF(P280="","NJ INCONNU",INDEX('CARNET DE SOUDURE'!$AQ$7:$AQ$3006,P280)))</f>
        <v>À SOUDER</v>
      </c>
      <c r="H280" s="82" t="str">
        <f aca="false">IF(C280="","",IF(G280="ACCEPTÉ","OUI","NON"))</f>
        <v>NON</v>
      </c>
      <c r="I280" s="83"/>
      <c r="J280" s="80"/>
      <c r="K280" s="81"/>
      <c r="L280" s="81"/>
      <c r="M280" s="81"/>
      <c r="N280" s="84" t="str">
        <f aca="false">IF(C280="","",IF(P280="","NJ INCONNU",IF(I280="",IF(H280="OUI","À ENROBER",IF(G280="À SOUDER","NON SOUDÉ","EN ATTENTE RT")),IF(L280="R","À REPRENDRE",IF(H280&lt;&gt;"OUI","⚠ ENROBÉ AVANT ACCEPTATION RT","ENROBÉ")))))</f>
        <v>NON SOUDÉ</v>
      </c>
      <c r="O280" s="80"/>
      <c r="P280" s="82" t="n">
        <f aca="false">IF(C280="","",IFERROR(MATCH(Q280,'CARNET DE SOUDURE'!$AW$7:$AW$3006,0),""))</f>
        <v>274</v>
      </c>
      <c r="Q280" s="82" t="str">
        <f aca="false">IF(C280="","",B280&amp;"|"&amp;C280)</f>
        <v>MFD-ISW → MFD-CPF|JN°274</v>
      </c>
    </row>
    <row r="281" customFormat="false" ht="74.6" hidden="false" customHeight="false" outlineLevel="0" collapsed="false">
      <c r="A281" s="82" t="n">
        <f aca="false">IF(C281="","",ROW()-6)</f>
        <v>275</v>
      </c>
      <c r="B281" s="80" t="s">
        <v>110</v>
      </c>
      <c r="C281" s="113" t="s">
        <v>385</v>
      </c>
      <c r="D281" s="82" t="str">
        <f aca="false">IF(OR(C281="",P281=""),"",INDEX('CARNET DE SOUDURE'!$D$7:$D$3006,P281)&amp;"")</f>
        <v/>
      </c>
      <c r="E281" s="114" t="str">
        <f aca="false">IF(OR(C281="",P281=""),"",IF(INDEX('CARNET DE SOUDURE'!$U$7:$U$3006,P281)="","",INDEX('CARNET DE SOUDURE'!$U$7:$U$3006,P281)))</f>
        <v/>
      </c>
      <c r="F281" s="82" t="str">
        <f aca="false">IF(OR(C281="",P281=""),"",INDEX('CARNET DE SOUDURE'!$AP$7:$AP$3006,P281))</f>
        <v/>
      </c>
      <c r="G281" s="82" t="str">
        <f aca="false">IF(C281="","",IF(P281="","NJ INCONNU",INDEX('CARNET DE SOUDURE'!$AQ$7:$AQ$3006,P281)))</f>
        <v>À SOUDER</v>
      </c>
      <c r="H281" s="82" t="str">
        <f aca="false">IF(C281="","",IF(G281="ACCEPTÉ","OUI","NON"))</f>
        <v>NON</v>
      </c>
      <c r="I281" s="83"/>
      <c r="J281" s="80"/>
      <c r="K281" s="81"/>
      <c r="L281" s="81"/>
      <c r="M281" s="81"/>
      <c r="N281" s="84" t="str">
        <f aca="false">IF(C281="","",IF(P281="","NJ INCONNU",IF(I281="",IF(H281="OUI","À ENROBER",IF(G281="À SOUDER","NON SOUDÉ","EN ATTENTE RT")),IF(L281="R","À REPRENDRE",IF(H281&lt;&gt;"OUI","⚠ ENROBÉ AVANT ACCEPTATION RT","ENROBÉ")))))</f>
        <v>NON SOUDÉ</v>
      </c>
      <c r="O281" s="80"/>
      <c r="P281" s="82" t="n">
        <f aca="false">IF(C281="","",IFERROR(MATCH(Q281,'CARNET DE SOUDURE'!$AW$7:$AW$3006,0),""))</f>
        <v>275</v>
      </c>
      <c r="Q281" s="82" t="str">
        <f aca="false">IF(C281="","",B281&amp;"|"&amp;C281)</f>
        <v>MFD-ISW → MFD-CPF|JN°275</v>
      </c>
    </row>
    <row r="282" customFormat="false" ht="74.6" hidden="false" customHeight="false" outlineLevel="0" collapsed="false">
      <c r="A282" s="82" t="n">
        <f aca="false">IF(C282="","",ROW()-6)</f>
        <v>276</v>
      </c>
      <c r="B282" s="80" t="s">
        <v>110</v>
      </c>
      <c r="C282" s="113" t="s">
        <v>386</v>
      </c>
      <c r="D282" s="82" t="str">
        <f aca="false">IF(OR(C282="",P282=""),"",INDEX('CARNET DE SOUDURE'!$D$7:$D$3006,P282)&amp;"")</f>
        <v/>
      </c>
      <c r="E282" s="114" t="str">
        <f aca="false">IF(OR(C282="",P282=""),"",IF(INDEX('CARNET DE SOUDURE'!$U$7:$U$3006,P282)="","",INDEX('CARNET DE SOUDURE'!$U$7:$U$3006,P282)))</f>
        <v/>
      </c>
      <c r="F282" s="82" t="str">
        <f aca="false">IF(OR(C282="",P282=""),"",INDEX('CARNET DE SOUDURE'!$AP$7:$AP$3006,P282))</f>
        <v/>
      </c>
      <c r="G282" s="82" t="str">
        <f aca="false">IF(C282="","",IF(P282="","NJ INCONNU",INDEX('CARNET DE SOUDURE'!$AQ$7:$AQ$3006,P282)))</f>
        <v>À SOUDER</v>
      </c>
      <c r="H282" s="82" t="str">
        <f aca="false">IF(C282="","",IF(G282="ACCEPTÉ","OUI","NON"))</f>
        <v>NON</v>
      </c>
      <c r="I282" s="83"/>
      <c r="J282" s="80"/>
      <c r="K282" s="81"/>
      <c r="L282" s="81"/>
      <c r="M282" s="81"/>
      <c r="N282" s="84" t="str">
        <f aca="false">IF(C282="","",IF(P282="","NJ INCONNU",IF(I282="",IF(H282="OUI","À ENROBER",IF(G282="À SOUDER","NON SOUDÉ","EN ATTENTE RT")),IF(L282="R","À REPRENDRE",IF(H282&lt;&gt;"OUI","⚠ ENROBÉ AVANT ACCEPTATION RT","ENROBÉ")))))</f>
        <v>NON SOUDÉ</v>
      </c>
      <c r="O282" s="80"/>
      <c r="P282" s="82" t="n">
        <f aca="false">IF(C282="","",IFERROR(MATCH(Q282,'CARNET DE SOUDURE'!$AW$7:$AW$3006,0),""))</f>
        <v>276</v>
      </c>
      <c r="Q282" s="82" t="str">
        <f aca="false">IF(C282="","",B282&amp;"|"&amp;C282)</f>
        <v>MFD-ISW → MFD-CPF|JN°276</v>
      </c>
    </row>
    <row r="283" customFormat="false" ht="74.6" hidden="false" customHeight="false" outlineLevel="0" collapsed="false">
      <c r="A283" s="82" t="n">
        <f aca="false">IF(C283="","",ROW()-6)</f>
        <v>277</v>
      </c>
      <c r="B283" s="80" t="s">
        <v>110</v>
      </c>
      <c r="C283" s="113" t="s">
        <v>387</v>
      </c>
      <c r="D283" s="82" t="str">
        <f aca="false">IF(OR(C283="",P283=""),"",INDEX('CARNET DE SOUDURE'!$D$7:$D$3006,P283)&amp;"")</f>
        <v/>
      </c>
      <c r="E283" s="114" t="str">
        <f aca="false">IF(OR(C283="",P283=""),"",IF(INDEX('CARNET DE SOUDURE'!$U$7:$U$3006,P283)="","",INDEX('CARNET DE SOUDURE'!$U$7:$U$3006,P283)))</f>
        <v/>
      </c>
      <c r="F283" s="82" t="str">
        <f aca="false">IF(OR(C283="",P283=""),"",INDEX('CARNET DE SOUDURE'!$AP$7:$AP$3006,P283))</f>
        <v/>
      </c>
      <c r="G283" s="82" t="str">
        <f aca="false">IF(C283="","",IF(P283="","NJ INCONNU",INDEX('CARNET DE SOUDURE'!$AQ$7:$AQ$3006,P283)))</f>
        <v>À SOUDER</v>
      </c>
      <c r="H283" s="82" t="str">
        <f aca="false">IF(C283="","",IF(G283="ACCEPTÉ","OUI","NON"))</f>
        <v>NON</v>
      </c>
      <c r="I283" s="83"/>
      <c r="J283" s="80"/>
      <c r="K283" s="81"/>
      <c r="L283" s="81"/>
      <c r="M283" s="81"/>
      <c r="N283" s="84" t="str">
        <f aca="false">IF(C283="","",IF(P283="","NJ INCONNU",IF(I283="",IF(H283="OUI","À ENROBER",IF(G283="À SOUDER","NON SOUDÉ","EN ATTENTE RT")),IF(L283="R","À REPRENDRE",IF(H283&lt;&gt;"OUI","⚠ ENROBÉ AVANT ACCEPTATION RT","ENROBÉ")))))</f>
        <v>NON SOUDÉ</v>
      </c>
      <c r="O283" s="80"/>
      <c r="P283" s="82" t="n">
        <f aca="false">IF(C283="","",IFERROR(MATCH(Q283,'CARNET DE SOUDURE'!$AW$7:$AW$3006,0),""))</f>
        <v>277</v>
      </c>
      <c r="Q283" s="82" t="str">
        <f aca="false">IF(C283="","",B283&amp;"|"&amp;C283)</f>
        <v>MFD-ISW → MFD-CPF|JN°277</v>
      </c>
    </row>
    <row r="284" customFormat="false" ht="74.6" hidden="false" customHeight="false" outlineLevel="0" collapsed="false">
      <c r="A284" s="82" t="n">
        <f aca="false">IF(C284="","",ROW()-6)</f>
        <v>278</v>
      </c>
      <c r="B284" s="80" t="s">
        <v>110</v>
      </c>
      <c r="C284" s="113" t="s">
        <v>388</v>
      </c>
      <c r="D284" s="82" t="str">
        <f aca="false">IF(OR(C284="",P284=""),"",INDEX('CARNET DE SOUDURE'!$D$7:$D$3006,P284)&amp;"")</f>
        <v/>
      </c>
      <c r="E284" s="114" t="str">
        <f aca="false">IF(OR(C284="",P284=""),"",IF(INDEX('CARNET DE SOUDURE'!$U$7:$U$3006,P284)="","",INDEX('CARNET DE SOUDURE'!$U$7:$U$3006,P284)))</f>
        <v/>
      </c>
      <c r="F284" s="82" t="str">
        <f aca="false">IF(OR(C284="",P284=""),"",INDEX('CARNET DE SOUDURE'!$AP$7:$AP$3006,P284))</f>
        <v/>
      </c>
      <c r="G284" s="82" t="str">
        <f aca="false">IF(C284="","",IF(P284="","NJ INCONNU",INDEX('CARNET DE SOUDURE'!$AQ$7:$AQ$3006,P284)))</f>
        <v>À SOUDER</v>
      </c>
      <c r="H284" s="82" t="str">
        <f aca="false">IF(C284="","",IF(G284="ACCEPTÉ","OUI","NON"))</f>
        <v>NON</v>
      </c>
      <c r="I284" s="83"/>
      <c r="J284" s="80"/>
      <c r="K284" s="81"/>
      <c r="L284" s="81"/>
      <c r="M284" s="81"/>
      <c r="N284" s="84" t="str">
        <f aca="false">IF(C284="","",IF(P284="","NJ INCONNU",IF(I284="",IF(H284="OUI","À ENROBER",IF(G284="À SOUDER","NON SOUDÉ","EN ATTENTE RT")),IF(L284="R","À REPRENDRE",IF(H284&lt;&gt;"OUI","⚠ ENROBÉ AVANT ACCEPTATION RT","ENROBÉ")))))</f>
        <v>NON SOUDÉ</v>
      </c>
      <c r="O284" s="80"/>
      <c r="P284" s="82" t="n">
        <f aca="false">IF(C284="","",IFERROR(MATCH(Q284,'CARNET DE SOUDURE'!$AW$7:$AW$3006,0),""))</f>
        <v>278</v>
      </c>
      <c r="Q284" s="82" t="str">
        <f aca="false">IF(C284="","",B284&amp;"|"&amp;C284)</f>
        <v>MFD-ISW → MFD-CPF|JN°278</v>
      </c>
    </row>
    <row r="285" customFormat="false" ht="74.6" hidden="false" customHeight="false" outlineLevel="0" collapsed="false">
      <c r="A285" s="82" t="n">
        <f aca="false">IF(C285="","",ROW()-6)</f>
        <v>279</v>
      </c>
      <c r="B285" s="80" t="s">
        <v>110</v>
      </c>
      <c r="C285" s="113" t="s">
        <v>389</v>
      </c>
      <c r="D285" s="82" t="str">
        <f aca="false">IF(OR(C285="",P285=""),"",INDEX('CARNET DE SOUDURE'!$D$7:$D$3006,P285)&amp;"")</f>
        <v/>
      </c>
      <c r="E285" s="114" t="str">
        <f aca="false">IF(OR(C285="",P285=""),"",IF(INDEX('CARNET DE SOUDURE'!$U$7:$U$3006,P285)="","",INDEX('CARNET DE SOUDURE'!$U$7:$U$3006,P285)))</f>
        <v/>
      </c>
      <c r="F285" s="82" t="str">
        <f aca="false">IF(OR(C285="",P285=""),"",INDEX('CARNET DE SOUDURE'!$AP$7:$AP$3006,P285))</f>
        <v/>
      </c>
      <c r="G285" s="82" t="str">
        <f aca="false">IF(C285="","",IF(P285="","NJ INCONNU",INDEX('CARNET DE SOUDURE'!$AQ$7:$AQ$3006,P285)))</f>
        <v>À SOUDER</v>
      </c>
      <c r="H285" s="82" t="str">
        <f aca="false">IF(C285="","",IF(G285="ACCEPTÉ","OUI","NON"))</f>
        <v>NON</v>
      </c>
      <c r="I285" s="83"/>
      <c r="J285" s="80"/>
      <c r="K285" s="81"/>
      <c r="L285" s="81"/>
      <c r="M285" s="81"/>
      <c r="N285" s="84" t="str">
        <f aca="false">IF(C285="","",IF(P285="","NJ INCONNU",IF(I285="",IF(H285="OUI","À ENROBER",IF(G285="À SOUDER","NON SOUDÉ","EN ATTENTE RT")),IF(L285="R","À REPRENDRE",IF(H285&lt;&gt;"OUI","⚠ ENROBÉ AVANT ACCEPTATION RT","ENROBÉ")))))</f>
        <v>NON SOUDÉ</v>
      </c>
      <c r="O285" s="80"/>
      <c r="P285" s="82" t="n">
        <f aca="false">IF(C285="","",IFERROR(MATCH(Q285,'CARNET DE SOUDURE'!$AW$7:$AW$3006,0),""))</f>
        <v>279</v>
      </c>
      <c r="Q285" s="82" t="str">
        <f aca="false">IF(C285="","",B285&amp;"|"&amp;C285)</f>
        <v>MFD-ISW → MFD-CPF|JN°279</v>
      </c>
    </row>
    <row r="286" customFormat="false" ht="74.6" hidden="false" customHeight="false" outlineLevel="0" collapsed="false">
      <c r="A286" s="82" t="n">
        <f aca="false">IF(C286="","",ROW()-6)</f>
        <v>280</v>
      </c>
      <c r="B286" s="80" t="s">
        <v>110</v>
      </c>
      <c r="C286" s="113" t="s">
        <v>390</v>
      </c>
      <c r="D286" s="82" t="str">
        <f aca="false">IF(OR(C286="",P286=""),"",INDEX('CARNET DE SOUDURE'!$D$7:$D$3006,P286)&amp;"")</f>
        <v/>
      </c>
      <c r="E286" s="114" t="str">
        <f aca="false">IF(OR(C286="",P286=""),"",IF(INDEX('CARNET DE SOUDURE'!$U$7:$U$3006,P286)="","",INDEX('CARNET DE SOUDURE'!$U$7:$U$3006,P286)))</f>
        <v/>
      </c>
      <c r="F286" s="82" t="str">
        <f aca="false">IF(OR(C286="",P286=""),"",INDEX('CARNET DE SOUDURE'!$AP$7:$AP$3006,P286))</f>
        <v/>
      </c>
      <c r="G286" s="82" t="str">
        <f aca="false">IF(C286="","",IF(P286="","NJ INCONNU",INDEX('CARNET DE SOUDURE'!$AQ$7:$AQ$3006,P286)))</f>
        <v>À SOUDER</v>
      </c>
      <c r="H286" s="82" t="str">
        <f aca="false">IF(C286="","",IF(G286="ACCEPTÉ","OUI","NON"))</f>
        <v>NON</v>
      </c>
      <c r="I286" s="83"/>
      <c r="J286" s="80"/>
      <c r="K286" s="81"/>
      <c r="L286" s="81"/>
      <c r="M286" s="81"/>
      <c r="N286" s="84" t="str">
        <f aca="false">IF(C286="","",IF(P286="","NJ INCONNU",IF(I286="",IF(H286="OUI","À ENROBER",IF(G286="À SOUDER","NON SOUDÉ","EN ATTENTE RT")),IF(L286="R","À REPRENDRE",IF(H286&lt;&gt;"OUI","⚠ ENROBÉ AVANT ACCEPTATION RT","ENROBÉ")))))</f>
        <v>NON SOUDÉ</v>
      </c>
      <c r="O286" s="80"/>
      <c r="P286" s="82" t="n">
        <f aca="false">IF(C286="","",IFERROR(MATCH(Q286,'CARNET DE SOUDURE'!$AW$7:$AW$3006,0),""))</f>
        <v>280</v>
      </c>
      <c r="Q286" s="82" t="str">
        <f aca="false">IF(C286="","",B286&amp;"|"&amp;C286)</f>
        <v>MFD-ISW → MFD-CPF|JN°280</v>
      </c>
    </row>
    <row r="287" customFormat="false" ht="74.6" hidden="false" customHeight="false" outlineLevel="0" collapsed="false">
      <c r="A287" s="82" t="n">
        <f aca="false">IF(C287="","",ROW()-6)</f>
        <v>281</v>
      </c>
      <c r="B287" s="80" t="s">
        <v>110</v>
      </c>
      <c r="C287" s="113" t="s">
        <v>391</v>
      </c>
      <c r="D287" s="82" t="str">
        <f aca="false">IF(OR(C287="",P287=""),"",INDEX('CARNET DE SOUDURE'!$D$7:$D$3006,P287)&amp;"")</f>
        <v/>
      </c>
      <c r="E287" s="114" t="str">
        <f aca="false">IF(OR(C287="",P287=""),"",IF(INDEX('CARNET DE SOUDURE'!$U$7:$U$3006,P287)="","",INDEX('CARNET DE SOUDURE'!$U$7:$U$3006,P287)))</f>
        <v/>
      </c>
      <c r="F287" s="82" t="str">
        <f aca="false">IF(OR(C287="",P287=""),"",INDEX('CARNET DE SOUDURE'!$AP$7:$AP$3006,P287))</f>
        <v/>
      </c>
      <c r="G287" s="82" t="str">
        <f aca="false">IF(C287="","",IF(P287="","NJ INCONNU",INDEX('CARNET DE SOUDURE'!$AQ$7:$AQ$3006,P287)))</f>
        <v>À SOUDER</v>
      </c>
      <c r="H287" s="82" t="str">
        <f aca="false">IF(C287="","",IF(G287="ACCEPTÉ","OUI","NON"))</f>
        <v>NON</v>
      </c>
      <c r="I287" s="83"/>
      <c r="J287" s="80"/>
      <c r="K287" s="81"/>
      <c r="L287" s="81"/>
      <c r="M287" s="81"/>
      <c r="N287" s="84" t="str">
        <f aca="false">IF(C287="","",IF(P287="","NJ INCONNU",IF(I287="",IF(H287="OUI","À ENROBER",IF(G287="À SOUDER","NON SOUDÉ","EN ATTENTE RT")),IF(L287="R","À REPRENDRE",IF(H287&lt;&gt;"OUI","⚠ ENROBÉ AVANT ACCEPTATION RT","ENROBÉ")))))</f>
        <v>NON SOUDÉ</v>
      </c>
      <c r="O287" s="80"/>
      <c r="P287" s="82" t="n">
        <f aca="false">IF(C287="","",IFERROR(MATCH(Q287,'CARNET DE SOUDURE'!$AW$7:$AW$3006,0),""))</f>
        <v>281</v>
      </c>
      <c r="Q287" s="82" t="str">
        <f aca="false">IF(C287="","",B287&amp;"|"&amp;C287)</f>
        <v>MFD-ISW → MFD-CPF|JN°281</v>
      </c>
    </row>
    <row r="288" customFormat="false" ht="74.6" hidden="false" customHeight="false" outlineLevel="0" collapsed="false">
      <c r="A288" s="82" t="n">
        <f aca="false">IF(C288="","",ROW()-6)</f>
        <v>282</v>
      </c>
      <c r="B288" s="80" t="s">
        <v>110</v>
      </c>
      <c r="C288" s="113" t="s">
        <v>392</v>
      </c>
      <c r="D288" s="82" t="str">
        <f aca="false">IF(OR(C288="",P288=""),"",INDEX('CARNET DE SOUDURE'!$D$7:$D$3006,P288)&amp;"")</f>
        <v/>
      </c>
      <c r="E288" s="114" t="str">
        <f aca="false">IF(OR(C288="",P288=""),"",IF(INDEX('CARNET DE SOUDURE'!$U$7:$U$3006,P288)="","",INDEX('CARNET DE SOUDURE'!$U$7:$U$3006,P288)))</f>
        <v/>
      </c>
      <c r="F288" s="82" t="str">
        <f aca="false">IF(OR(C288="",P288=""),"",INDEX('CARNET DE SOUDURE'!$AP$7:$AP$3006,P288))</f>
        <v/>
      </c>
      <c r="G288" s="82" t="str">
        <f aca="false">IF(C288="","",IF(P288="","NJ INCONNU",INDEX('CARNET DE SOUDURE'!$AQ$7:$AQ$3006,P288)))</f>
        <v>À SOUDER</v>
      </c>
      <c r="H288" s="82" t="str">
        <f aca="false">IF(C288="","",IF(G288="ACCEPTÉ","OUI","NON"))</f>
        <v>NON</v>
      </c>
      <c r="I288" s="83"/>
      <c r="J288" s="80"/>
      <c r="K288" s="81"/>
      <c r="L288" s="81"/>
      <c r="M288" s="81"/>
      <c r="N288" s="84" t="str">
        <f aca="false">IF(C288="","",IF(P288="","NJ INCONNU",IF(I288="",IF(H288="OUI","À ENROBER",IF(G288="À SOUDER","NON SOUDÉ","EN ATTENTE RT")),IF(L288="R","À REPRENDRE",IF(H288&lt;&gt;"OUI","⚠ ENROBÉ AVANT ACCEPTATION RT","ENROBÉ")))))</f>
        <v>NON SOUDÉ</v>
      </c>
      <c r="O288" s="80"/>
      <c r="P288" s="82" t="n">
        <f aca="false">IF(C288="","",IFERROR(MATCH(Q288,'CARNET DE SOUDURE'!$AW$7:$AW$3006,0),""))</f>
        <v>282</v>
      </c>
      <c r="Q288" s="82" t="str">
        <f aca="false">IF(C288="","",B288&amp;"|"&amp;C288)</f>
        <v>MFD-ISW → MFD-CPF|JN°282</v>
      </c>
    </row>
    <row r="289" customFormat="false" ht="74.6" hidden="false" customHeight="false" outlineLevel="0" collapsed="false">
      <c r="A289" s="82" t="n">
        <f aca="false">IF(C289="","",ROW()-6)</f>
        <v>283</v>
      </c>
      <c r="B289" s="80" t="s">
        <v>110</v>
      </c>
      <c r="C289" s="113" t="s">
        <v>393</v>
      </c>
      <c r="D289" s="82" t="str">
        <f aca="false">IF(OR(C289="",P289=""),"",INDEX('CARNET DE SOUDURE'!$D$7:$D$3006,P289)&amp;"")</f>
        <v/>
      </c>
      <c r="E289" s="114" t="str">
        <f aca="false">IF(OR(C289="",P289=""),"",IF(INDEX('CARNET DE SOUDURE'!$U$7:$U$3006,P289)="","",INDEX('CARNET DE SOUDURE'!$U$7:$U$3006,P289)))</f>
        <v/>
      </c>
      <c r="F289" s="82" t="str">
        <f aca="false">IF(OR(C289="",P289=""),"",INDEX('CARNET DE SOUDURE'!$AP$7:$AP$3006,P289))</f>
        <v/>
      </c>
      <c r="G289" s="82" t="str">
        <f aca="false">IF(C289="","",IF(P289="","NJ INCONNU",INDEX('CARNET DE SOUDURE'!$AQ$7:$AQ$3006,P289)))</f>
        <v>À SOUDER</v>
      </c>
      <c r="H289" s="82" t="str">
        <f aca="false">IF(C289="","",IF(G289="ACCEPTÉ","OUI","NON"))</f>
        <v>NON</v>
      </c>
      <c r="I289" s="83"/>
      <c r="J289" s="80"/>
      <c r="K289" s="81"/>
      <c r="L289" s="81"/>
      <c r="M289" s="81"/>
      <c r="N289" s="84" t="str">
        <f aca="false">IF(C289="","",IF(P289="","NJ INCONNU",IF(I289="",IF(H289="OUI","À ENROBER",IF(G289="À SOUDER","NON SOUDÉ","EN ATTENTE RT")),IF(L289="R","À REPRENDRE",IF(H289&lt;&gt;"OUI","⚠ ENROBÉ AVANT ACCEPTATION RT","ENROBÉ")))))</f>
        <v>NON SOUDÉ</v>
      </c>
      <c r="O289" s="80"/>
      <c r="P289" s="82" t="n">
        <f aca="false">IF(C289="","",IFERROR(MATCH(Q289,'CARNET DE SOUDURE'!$AW$7:$AW$3006,0),""))</f>
        <v>283</v>
      </c>
      <c r="Q289" s="82" t="str">
        <f aca="false">IF(C289="","",B289&amp;"|"&amp;C289)</f>
        <v>MFD-ISW → MFD-CPF|JN°283</v>
      </c>
    </row>
    <row r="290" customFormat="false" ht="74.6" hidden="false" customHeight="false" outlineLevel="0" collapsed="false">
      <c r="A290" s="82" t="n">
        <f aca="false">IF(C290="","",ROW()-6)</f>
        <v>284</v>
      </c>
      <c r="B290" s="80" t="s">
        <v>110</v>
      </c>
      <c r="C290" s="113" t="s">
        <v>394</v>
      </c>
      <c r="D290" s="82" t="str">
        <f aca="false">IF(OR(C290="",P290=""),"",INDEX('CARNET DE SOUDURE'!$D$7:$D$3006,P290)&amp;"")</f>
        <v/>
      </c>
      <c r="E290" s="114" t="str">
        <f aca="false">IF(OR(C290="",P290=""),"",IF(INDEX('CARNET DE SOUDURE'!$U$7:$U$3006,P290)="","",INDEX('CARNET DE SOUDURE'!$U$7:$U$3006,P290)))</f>
        <v/>
      </c>
      <c r="F290" s="82" t="str">
        <f aca="false">IF(OR(C290="",P290=""),"",INDEX('CARNET DE SOUDURE'!$AP$7:$AP$3006,P290))</f>
        <v/>
      </c>
      <c r="G290" s="82" t="str">
        <f aca="false">IF(C290="","",IF(P290="","NJ INCONNU",INDEX('CARNET DE SOUDURE'!$AQ$7:$AQ$3006,P290)))</f>
        <v>À SOUDER</v>
      </c>
      <c r="H290" s="82" t="str">
        <f aca="false">IF(C290="","",IF(G290="ACCEPTÉ","OUI","NON"))</f>
        <v>NON</v>
      </c>
      <c r="I290" s="83"/>
      <c r="J290" s="80"/>
      <c r="K290" s="81"/>
      <c r="L290" s="81"/>
      <c r="M290" s="81"/>
      <c r="N290" s="84" t="str">
        <f aca="false">IF(C290="","",IF(P290="","NJ INCONNU",IF(I290="",IF(H290="OUI","À ENROBER",IF(G290="À SOUDER","NON SOUDÉ","EN ATTENTE RT")),IF(L290="R","À REPRENDRE",IF(H290&lt;&gt;"OUI","⚠ ENROBÉ AVANT ACCEPTATION RT","ENROBÉ")))))</f>
        <v>NON SOUDÉ</v>
      </c>
      <c r="O290" s="80"/>
      <c r="P290" s="82" t="n">
        <f aca="false">IF(C290="","",IFERROR(MATCH(Q290,'CARNET DE SOUDURE'!$AW$7:$AW$3006,0),""))</f>
        <v>284</v>
      </c>
      <c r="Q290" s="82" t="str">
        <f aca="false">IF(C290="","",B290&amp;"|"&amp;C290)</f>
        <v>MFD-ISW → MFD-CPF|JN°284</v>
      </c>
    </row>
    <row r="291" customFormat="false" ht="74.6" hidden="false" customHeight="false" outlineLevel="0" collapsed="false">
      <c r="A291" s="82" t="n">
        <f aca="false">IF(C291="","",ROW()-6)</f>
        <v>285</v>
      </c>
      <c r="B291" s="80" t="s">
        <v>110</v>
      </c>
      <c r="C291" s="113" t="s">
        <v>395</v>
      </c>
      <c r="D291" s="82" t="str">
        <f aca="false">IF(OR(C291="",P291=""),"",INDEX('CARNET DE SOUDURE'!$D$7:$D$3006,P291)&amp;"")</f>
        <v/>
      </c>
      <c r="E291" s="114" t="str">
        <f aca="false">IF(OR(C291="",P291=""),"",IF(INDEX('CARNET DE SOUDURE'!$U$7:$U$3006,P291)="","",INDEX('CARNET DE SOUDURE'!$U$7:$U$3006,P291)))</f>
        <v/>
      </c>
      <c r="F291" s="82" t="str">
        <f aca="false">IF(OR(C291="",P291=""),"",INDEX('CARNET DE SOUDURE'!$AP$7:$AP$3006,P291))</f>
        <v/>
      </c>
      <c r="G291" s="82" t="str">
        <f aca="false">IF(C291="","",IF(P291="","NJ INCONNU",INDEX('CARNET DE SOUDURE'!$AQ$7:$AQ$3006,P291)))</f>
        <v>À SOUDER</v>
      </c>
      <c r="H291" s="82" t="str">
        <f aca="false">IF(C291="","",IF(G291="ACCEPTÉ","OUI","NON"))</f>
        <v>NON</v>
      </c>
      <c r="I291" s="83"/>
      <c r="J291" s="80"/>
      <c r="K291" s="81"/>
      <c r="L291" s="81"/>
      <c r="M291" s="81"/>
      <c r="N291" s="84" t="str">
        <f aca="false">IF(C291="","",IF(P291="","NJ INCONNU",IF(I291="",IF(H291="OUI","À ENROBER",IF(G291="À SOUDER","NON SOUDÉ","EN ATTENTE RT")),IF(L291="R","À REPRENDRE",IF(H291&lt;&gt;"OUI","⚠ ENROBÉ AVANT ACCEPTATION RT","ENROBÉ")))))</f>
        <v>NON SOUDÉ</v>
      </c>
      <c r="O291" s="80"/>
      <c r="P291" s="82" t="n">
        <f aca="false">IF(C291="","",IFERROR(MATCH(Q291,'CARNET DE SOUDURE'!$AW$7:$AW$3006,0),""))</f>
        <v>285</v>
      </c>
      <c r="Q291" s="82" t="str">
        <f aca="false">IF(C291="","",B291&amp;"|"&amp;C291)</f>
        <v>MFD-ISW → MFD-CPF|JN°285</v>
      </c>
    </row>
    <row r="292" customFormat="false" ht="74.6" hidden="false" customHeight="false" outlineLevel="0" collapsed="false">
      <c r="A292" s="82" t="n">
        <f aca="false">IF(C292="","",ROW()-6)</f>
        <v>286</v>
      </c>
      <c r="B292" s="80" t="s">
        <v>110</v>
      </c>
      <c r="C292" s="113" t="s">
        <v>396</v>
      </c>
      <c r="D292" s="82" t="str">
        <f aca="false">IF(OR(C292="",P292=""),"",INDEX('CARNET DE SOUDURE'!$D$7:$D$3006,P292)&amp;"")</f>
        <v/>
      </c>
      <c r="E292" s="114" t="str">
        <f aca="false">IF(OR(C292="",P292=""),"",IF(INDEX('CARNET DE SOUDURE'!$U$7:$U$3006,P292)="","",INDEX('CARNET DE SOUDURE'!$U$7:$U$3006,P292)))</f>
        <v/>
      </c>
      <c r="F292" s="82" t="str">
        <f aca="false">IF(OR(C292="",P292=""),"",INDEX('CARNET DE SOUDURE'!$AP$7:$AP$3006,P292))</f>
        <v/>
      </c>
      <c r="G292" s="82" t="str">
        <f aca="false">IF(C292="","",IF(P292="","NJ INCONNU",INDEX('CARNET DE SOUDURE'!$AQ$7:$AQ$3006,P292)))</f>
        <v>À SOUDER</v>
      </c>
      <c r="H292" s="82" t="str">
        <f aca="false">IF(C292="","",IF(G292="ACCEPTÉ","OUI","NON"))</f>
        <v>NON</v>
      </c>
      <c r="I292" s="83"/>
      <c r="J292" s="80"/>
      <c r="K292" s="81"/>
      <c r="L292" s="81"/>
      <c r="M292" s="81"/>
      <c r="N292" s="84" t="str">
        <f aca="false">IF(C292="","",IF(P292="","NJ INCONNU",IF(I292="",IF(H292="OUI","À ENROBER",IF(G292="À SOUDER","NON SOUDÉ","EN ATTENTE RT")),IF(L292="R","À REPRENDRE",IF(H292&lt;&gt;"OUI","⚠ ENROBÉ AVANT ACCEPTATION RT","ENROBÉ")))))</f>
        <v>NON SOUDÉ</v>
      </c>
      <c r="O292" s="80"/>
      <c r="P292" s="82" t="n">
        <f aca="false">IF(C292="","",IFERROR(MATCH(Q292,'CARNET DE SOUDURE'!$AW$7:$AW$3006,0),""))</f>
        <v>286</v>
      </c>
      <c r="Q292" s="82" t="str">
        <f aca="false">IF(C292="","",B292&amp;"|"&amp;C292)</f>
        <v>MFD-ISW → MFD-CPF|JN°286</v>
      </c>
    </row>
    <row r="293" customFormat="false" ht="74.6" hidden="false" customHeight="false" outlineLevel="0" collapsed="false">
      <c r="A293" s="82" t="n">
        <f aca="false">IF(C293="","",ROW()-6)</f>
        <v>287</v>
      </c>
      <c r="B293" s="80" t="s">
        <v>110</v>
      </c>
      <c r="C293" s="113" t="s">
        <v>397</v>
      </c>
      <c r="D293" s="82" t="str">
        <f aca="false">IF(OR(C293="",P293=""),"",INDEX('CARNET DE SOUDURE'!$D$7:$D$3006,P293)&amp;"")</f>
        <v/>
      </c>
      <c r="E293" s="114" t="str">
        <f aca="false">IF(OR(C293="",P293=""),"",IF(INDEX('CARNET DE SOUDURE'!$U$7:$U$3006,P293)="","",INDEX('CARNET DE SOUDURE'!$U$7:$U$3006,P293)))</f>
        <v/>
      </c>
      <c r="F293" s="82" t="str">
        <f aca="false">IF(OR(C293="",P293=""),"",INDEX('CARNET DE SOUDURE'!$AP$7:$AP$3006,P293))</f>
        <v/>
      </c>
      <c r="G293" s="82" t="str">
        <f aca="false">IF(C293="","",IF(P293="","NJ INCONNU",INDEX('CARNET DE SOUDURE'!$AQ$7:$AQ$3006,P293)))</f>
        <v>À SOUDER</v>
      </c>
      <c r="H293" s="82" t="str">
        <f aca="false">IF(C293="","",IF(G293="ACCEPTÉ","OUI","NON"))</f>
        <v>NON</v>
      </c>
      <c r="I293" s="83"/>
      <c r="J293" s="80"/>
      <c r="K293" s="81"/>
      <c r="L293" s="81"/>
      <c r="M293" s="81"/>
      <c r="N293" s="84" t="str">
        <f aca="false">IF(C293="","",IF(P293="","NJ INCONNU",IF(I293="",IF(H293="OUI","À ENROBER",IF(G293="À SOUDER","NON SOUDÉ","EN ATTENTE RT")),IF(L293="R","À REPRENDRE",IF(H293&lt;&gt;"OUI","⚠ ENROBÉ AVANT ACCEPTATION RT","ENROBÉ")))))</f>
        <v>NON SOUDÉ</v>
      </c>
      <c r="O293" s="80"/>
      <c r="P293" s="82" t="n">
        <f aca="false">IF(C293="","",IFERROR(MATCH(Q293,'CARNET DE SOUDURE'!$AW$7:$AW$3006,0),""))</f>
        <v>287</v>
      </c>
      <c r="Q293" s="82" t="str">
        <f aca="false">IF(C293="","",B293&amp;"|"&amp;C293)</f>
        <v>MFD-ISW → MFD-CPF|JN°287</v>
      </c>
    </row>
    <row r="294" customFormat="false" ht="74.6" hidden="false" customHeight="false" outlineLevel="0" collapsed="false">
      <c r="A294" s="82" t="n">
        <f aca="false">IF(C294="","",ROW()-6)</f>
        <v>288</v>
      </c>
      <c r="B294" s="80" t="s">
        <v>110</v>
      </c>
      <c r="C294" s="113" t="s">
        <v>398</v>
      </c>
      <c r="D294" s="82" t="str">
        <f aca="false">IF(OR(C294="",P294=""),"",INDEX('CARNET DE SOUDURE'!$D$7:$D$3006,P294)&amp;"")</f>
        <v/>
      </c>
      <c r="E294" s="114" t="str">
        <f aca="false">IF(OR(C294="",P294=""),"",IF(INDEX('CARNET DE SOUDURE'!$U$7:$U$3006,P294)="","",INDEX('CARNET DE SOUDURE'!$U$7:$U$3006,P294)))</f>
        <v/>
      </c>
      <c r="F294" s="82" t="str">
        <f aca="false">IF(OR(C294="",P294=""),"",INDEX('CARNET DE SOUDURE'!$AP$7:$AP$3006,P294))</f>
        <v/>
      </c>
      <c r="G294" s="82" t="str">
        <f aca="false">IF(C294="","",IF(P294="","NJ INCONNU",INDEX('CARNET DE SOUDURE'!$AQ$7:$AQ$3006,P294)))</f>
        <v>À SOUDER</v>
      </c>
      <c r="H294" s="82" t="str">
        <f aca="false">IF(C294="","",IF(G294="ACCEPTÉ","OUI","NON"))</f>
        <v>NON</v>
      </c>
      <c r="I294" s="83"/>
      <c r="J294" s="80"/>
      <c r="K294" s="81"/>
      <c r="L294" s="81"/>
      <c r="M294" s="81"/>
      <c r="N294" s="84" t="str">
        <f aca="false">IF(C294="","",IF(P294="","NJ INCONNU",IF(I294="",IF(H294="OUI","À ENROBER",IF(G294="À SOUDER","NON SOUDÉ","EN ATTENTE RT")),IF(L294="R","À REPRENDRE",IF(H294&lt;&gt;"OUI","⚠ ENROBÉ AVANT ACCEPTATION RT","ENROBÉ")))))</f>
        <v>NON SOUDÉ</v>
      </c>
      <c r="O294" s="80"/>
      <c r="P294" s="82" t="n">
        <f aca="false">IF(C294="","",IFERROR(MATCH(Q294,'CARNET DE SOUDURE'!$AW$7:$AW$3006,0),""))</f>
        <v>288</v>
      </c>
      <c r="Q294" s="82" t="str">
        <f aca="false">IF(C294="","",B294&amp;"|"&amp;C294)</f>
        <v>MFD-ISW → MFD-CPF|JN°288</v>
      </c>
    </row>
    <row r="295" customFormat="false" ht="74.6" hidden="false" customHeight="false" outlineLevel="0" collapsed="false">
      <c r="A295" s="82" t="n">
        <f aca="false">IF(C295="","",ROW()-6)</f>
        <v>289</v>
      </c>
      <c r="B295" s="80" t="s">
        <v>110</v>
      </c>
      <c r="C295" s="113" t="s">
        <v>399</v>
      </c>
      <c r="D295" s="82" t="str">
        <f aca="false">IF(OR(C295="",P295=""),"",INDEX('CARNET DE SOUDURE'!$D$7:$D$3006,P295)&amp;"")</f>
        <v/>
      </c>
      <c r="E295" s="114" t="str">
        <f aca="false">IF(OR(C295="",P295=""),"",IF(INDEX('CARNET DE SOUDURE'!$U$7:$U$3006,P295)="","",INDEX('CARNET DE SOUDURE'!$U$7:$U$3006,P295)))</f>
        <v/>
      </c>
      <c r="F295" s="82" t="str">
        <f aca="false">IF(OR(C295="",P295=""),"",INDEX('CARNET DE SOUDURE'!$AP$7:$AP$3006,P295))</f>
        <v/>
      </c>
      <c r="G295" s="82" t="str">
        <f aca="false">IF(C295="","",IF(P295="","NJ INCONNU",INDEX('CARNET DE SOUDURE'!$AQ$7:$AQ$3006,P295)))</f>
        <v>À SOUDER</v>
      </c>
      <c r="H295" s="82" t="str">
        <f aca="false">IF(C295="","",IF(G295="ACCEPTÉ","OUI","NON"))</f>
        <v>NON</v>
      </c>
      <c r="I295" s="83"/>
      <c r="J295" s="80"/>
      <c r="K295" s="81"/>
      <c r="L295" s="81"/>
      <c r="M295" s="81"/>
      <c r="N295" s="84" t="str">
        <f aca="false">IF(C295="","",IF(P295="","NJ INCONNU",IF(I295="",IF(H295="OUI","À ENROBER",IF(G295="À SOUDER","NON SOUDÉ","EN ATTENTE RT")),IF(L295="R","À REPRENDRE",IF(H295&lt;&gt;"OUI","⚠ ENROBÉ AVANT ACCEPTATION RT","ENROBÉ")))))</f>
        <v>NON SOUDÉ</v>
      </c>
      <c r="O295" s="80"/>
      <c r="P295" s="82" t="n">
        <f aca="false">IF(C295="","",IFERROR(MATCH(Q295,'CARNET DE SOUDURE'!$AW$7:$AW$3006,0),""))</f>
        <v>289</v>
      </c>
      <c r="Q295" s="82" t="str">
        <f aca="false">IF(C295="","",B295&amp;"|"&amp;C295)</f>
        <v>MFD-ISW → MFD-CPF|JN°289</v>
      </c>
    </row>
    <row r="296" customFormat="false" ht="74.6" hidden="false" customHeight="false" outlineLevel="0" collapsed="false">
      <c r="A296" s="82" t="n">
        <f aca="false">IF(C296="","",ROW()-6)</f>
        <v>290</v>
      </c>
      <c r="B296" s="80" t="s">
        <v>110</v>
      </c>
      <c r="C296" s="113" t="s">
        <v>400</v>
      </c>
      <c r="D296" s="82" t="str">
        <f aca="false">IF(OR(C296="",P296=""),"",INDEX('CARNET DE SOUDURE'!$D$7:$D$3006,P296)&amp;"")</f>
        <v/>
      </c>
      <c r="E296" s="114" t="str">
        <f aca="false">IF(OR(C296="",P296=""),"",IF(INDEX('CARNET DE SOUDURE'!$U$7:$U$3006,P296)="","",INDEX('CARNET DE SOUDURE'!$U$7:$U$3006,P296)))</f>
        <v/>
      </c>
      <c r="F296" s="82" t="str">
        <f aca="false">IF(OR(C296="",P296=""),"",INDEX('CARNET DE SOUDURE'!$AP$7:$AP$3006,P296))</f>
        <v/>
      </c>
      <c r="G296" s="82" t="str">
        <f aca="false">IF(C296="","",IF(P296="","NJ INCONNU",INDEX('CARNET DE SOUDURE'!$AQ$7:$AQ$3006,P296)))</f>
        <v>À SOUDER</v>
      </c>
      <c r="H296" s="82" t="str">
        <f aca="false">IF(C296="","",IF(G296="ACCEPTÉ","OUI","NON"))</f>
        <v>NON</v>
      </c>
      <c r="I296" s="83"/>
      <c r="J296" s="80"/>
      <c r="K296" s="81"/>
      <c r="L296" s="81"/>
      <c r="M296" s="81"/>
      <c r="N296" s="84" t="str">
        <f aca="false">IF(C296="","",IF(P296="","NJ INCONNU",IF(I296="",IF(H296="OUI","À ENROBER",IF(G296="À SOUDER","NON SOUDÉ","EN ATTENTE RT")),IF(L296="R","À REPRENDRE",IF(H296&lt;&gt;"OUI","⚠ ENROBÉ AVANT ACCEPTATION RT","ENROBÉ")))))</f>
        <v>NON SOUDÉ</v>
      </c>
      <c r="O296" s="80"/>
      <c r="P296" s="82" t="n">
        <f aca="false">IF(C296="","",IFERROR(MATCH(Q296,'CARNET DE SOUDURE'!$AW$7:$AW$3006,0),""))</f>
        <v>290</v>
      </c>
      <c r="Q296" s="82" t="str">
        <f aca="false">IF(C296="","",B296&amp;"|"&amp;C296)</f>
        <v>MFD-ISW → MFD-CPF|JN°290</v>
      </c>
    </row>
    <row r="297" customFormat="false" ht="74.6" hidden="false" customHeight="false" outlineLevel="0" collapsed="false">
      <c r="A297" s="82" t="n">
        <f aca="false">IF(C297="","",ROW()-6)</f>
        <v>291</v>
      </c>
      <c r="B297" s="80" t="s">
        <v>110</v>
      </c>
      <c r="C297" s="113" t="s">
        <v>401</v>
      </c>
      <c r="D297" s="82" t="str">
        <f aca="false">IF(OR(C297="",P297=""),"",INDEX('CARNET DE SOUDURE'!$D$7:$D$3006,P297)&amp;"")</f>
        <v/>
      </c>
      <c r="E297" s="114" t="str">
        <f aca="false">IF(OR(C297="",P297=""),"",IF(INDEX('CARNET DE SOUDURE'!$U$7:$U$3006,P297)="","",INDEX('CARNET DE SOUDURE'!$U$7:$U$3006,P297)))</f>
        <v/>
      </c>
      <c r="F297" s="82" t="str">
        <f aca="false">IF(OR(C297="",P297=""),"",INDEX('CARNET DE SOUDURE'!$AP$7:$AP$3006,P297))</f>
        <v/>
      </c>
      <c r="G297" s="82" t="str">
        <f aca="false">IF(C297="","",IF(P297="","NJ INCONNU",INDEX('CARNET DE SOUDURE'!$AQ$7:$AQ$3006,P297)))</f>
        <v>À SOUDER</v>
      </c>
      <c r="H297" s="82" t="str">
        <f aca="false">IF(C297="","",IF(G297="ACCEPTÉ","OUI","NON"))</f>
        <v>NON</v>
      </c>
      <c r="I297" s="83"/>
      <c r="J297" s="80"/>
      <c r="K297" s="81"/>
      <c r="L297" s="81"/>
      <c r="M297" s="81"/>
      <c r="N297" s="84" t="str">
        <f aca="false">IF(C297="","",IF(P297="","NJ INCONNU",IF(I297="",IF(H297="OUI","À ENROBER",IF(G297="À SOUDER","NON SOUDÉ","EN ATTENTE RT")),IF(L297="R","À REPRENDRE",IF(H297&lt;&gt;"OUI","⚠ ENROBÉ AVANT ACCEPTATION RT","ENROBÉ")))))</f>
        <v>NON SOUDÉ</v>
      </c>
      <c r="O297" s="80"/>
      <c r="P297" s="82" t="n">
        <f aca="false">IF(C297="","",IFERROR(MATCH(Q297,'CARNET DE SOUDURE'!$AW$7:$AW$3006,0),""))</f>
        <v>291</v>
      </c>
      <c r="Q297" s="82" t="str">
        <f aca="false">IF(C297="","",B297&amp;"|"&amp;C297)</f>
        <v>MFD-ISW → MFD-CPF|JN°291</v>
      </c>
    </row>
    <row r="298" customFormat="false" ht="74.6" hidden="false" customHeight="false" outlineLevel="0" collapsed="false">
      <c r="A298" s="82" t="n">
        <f aca="false">IF(C298="","",ROW()-6)</f>
        <v>292</v>
      </c>
      <c r="B298" s="80" t="s">
        <v>110</v>
      </c>
      <c r="C298" s="113" t="s">
        <v>402</v>
      </c>
      <c r="D298" s="82" t="str">
        <f aca="false">IF(OR(C298="",P298=""),"",INDEX('CARNET DE SOUDURE'!$D$7:$D$3006,P298)&amp;"")</f>
        <v/>
      </c>
      <c r="E298" s="114" t="str">
        <f aca="false">IF(OR(C298="",P298=""),"",IF(INDEX('CARNET DE SOUDURE'!$U$7:$U$3006,P298)="","",INDEX('CARNET DE SOUDURE'!$U$7:$U$3006,P298)))</f>
        <v/>
      </c>
      <c r="F298" s="82" t="str">
        <f aca="false">IF(OR(C298="",P298=""),"",INDEX('CARNET DE SOUDURE'!$AP$7:$AP$3006,P298))</f>
        <v/>
      </c>
      <c r="G298" s="82" t="str">
        <f aca="false">IF(C298="","",IF(P298="","NJ INCONNU",INDEX('CARNET DE SOUDURE'!$AQ$7:$AQ$3006,P298)))</f>
        <v>À SOUDER</v>
      </c>
      <c r="H298" s="82" t="str">
        <f aca="false">IF(C298="","",IF(G298="ACCEPTÉ","OUI","NON"))</f>
        <v>NON</v>
      </c>
      <c r="I298" s="83"/>
      <c r="J298" s="80"/>
      <c r="K298" s="81"/>
      <c r="L298" s="81"/>
      <c r="M298" s="81"/>
      <c r="N298" s="84" t="str">
        <f aca="false">IF(C298="","",IF(P298="","NJ INCONNU",IF(I298="",IF(H298="OUI","À ENROBER",IF(G298="À SOUDER","NON SOUDÉ","EN ATTENTE RT")),IF(L298="R","À REPRENDRE",IF(H298&lt;&gt;"OUI","⚠ ENROBÉ AVANT ACCEPTATION RT","ENROBÉ")))))</f>
        <v>NON SOUDÉ</v>
      </c>
      <c r="O298" s="80"/>
      <c r="P298" s="82" t="n">
        <f aca="false">IF(C298="","",IFERROR(MATCH(Q298,'CARNET DE SOUDURE'!$AW$7:$AW$3006,0),""))</f>
        <v>292</v>
      </c>
      <c r="Q298" s="82" t="str">
        <f aca="false">IF(C298="","",B298&amp;"|"&amp;C298)</f>
        <v>MFD-ISW → MFD-CPF|JN°292</v>
      </c>
    </row>
    <row r="299" customFormat="false" ht="74.6" hidden="false" customHeight="false" outlineLevel="0" collapsed="false">
      <c r="A299" s="82" t="n">
        <f aca="false">IF(C299="","",ROW()-6)</f>
        <v>293</v>
      </c>
      <c r="B299" s="80" t="s">
        <v>110</v>
      </c>
      <c r="C299" s="113" t="s">
        <v>403</v>
      </c>
      <c r="D299" s="82" t="str">
        <f aca="false">IF(OR(C299="",P299=""),"",INDEX('CARNET DE SOUDURE'!$D$7:$D$3006,P299)&amp;"")</f>
        <v/>
      </c>
      <c r="E299" s="114" t="str">
        <f aca="false">IF(OR(C299="",P299=""),"",IF(INDEX('CARNET DE SOUDURE'!$U$7:$U$3006,P299)="","",INDEX('CARNET DE SOUDURE'!$U$7:$U$3006,P299)))</f>
        <v/>
      </c>
      <c r="F299" s="82" t="str">
        <f aca="false">IF(OR(C299="",P299=""),"",INDEX('CARNET DE SOUDURE'!$AP$7:$AP$3006,P299))</f>
        <v/>
      </c>
      <c r="G299" s="82" t="str">
        <f aca="false">IF(C299="","",IF(P299="","NJ INCONNU",INDEX('CARNET DE SOUDURE'!$AQ$7:$AQ$3006,P299)))</f>
        <v>À SOUDER</v>
      </c>
      <c r="H299" s="82" t="str">
        <f aca="false">IF(C299="","",IF(G299="ACCEPTÉ","OUI","NON"))</f>
        <v>NON</v>
      </c>
      <c r="I299" s="83"/>
      <c r="J299" s="80"/>
      <c r="K299" s="81"/>
      <c r="L299" s="81"/>
      <c r="M299" s="81"/>
      <c r="N299" s="84" t="str">
        <f aca="false">IF(C299="","",IF(P299="","NJ INCONNU",IF(I299="",IF(H299="OUI","À ENROBER",IF(G299="À SOUDER","NON SOUDÉ","EN ATTENTE RT")),IF(L299="R","À REPRENDRE",IF(H299&lt;&gt;"OUI","⚠ ENROBÉ AVANT ACCEPTATION RT","ENROBÉ")))))</f>
        <v>NON SOUDÉ</v>
      </c>
      <c r="O299" s="80"/>
      <c r="P299" s="82" t="n">
        <f aca="false">IF(C299="","",IFERROR(MATCH(Q299,'CARNET DE SOUDURE'!$AW$7:$AW$3006,0),""))</f>
        <v>293</v>
      </c>
      <c r="Q299" s="82" t="str">
        <f aca="false">IF(C299="","",B299&amp;"|"&amp;C299)</f>
        <v>MFD-ISW → MFD-CPF|JN°293</v>
      </c>
    </row>
    <row r="300" customFormat="false" ht="74.6" hidden="false" customHeight="false" outlineLevel="0" collapsed="false">
      <c r="A300" s="82" t="n">
        <f aca="false">IF(C300="","",ROW()-6)</f>
        <v>294</v>
      </c>
      <c r="B300" s="80" t="s">
        <v>110</v>
      </c>
      <c r="C300" s="113" t="s">
        <v>404</v>
      </c>
      <c r="D300" s="82" t="str">
        <f aca="false">IF(OR(C300="",P300=""),"",INDEX('CARNET DE SOUDURE'!$D$7:$D$3006,P300)&amp;"")</f>
        <v/>
      </c>
      <c r="E300" s="114" t="str">
        <f aca="false">IF(OR(C300="",P300=""),"",IF(INDEX('CARNET DE SOUDURE'!$U$7:$U$3006,P300)="","",INDEX('CARNET DE SOUDURE'!$U$7:$U$3006,P300)))</f>
        <v/>
      </c>
      <c r="F300" s="82" t="str">
        <f aca="false">IF(OR(C300="",P300=""),"",INDEX('CARNET DE SOUDURE'!$AP$7:$AP$3006,P300))</f>
        <v/>
      </c>
      <c r="G300" s="82" t="str">
        <f aca="false">IF(C300="","",IF(P300="","NJ INCONNU",INDEX('CARNET DE SOUDURE'!$AQ$7:$AQ$3006,P300)))</f>
        <v>À SOUDER</v>
      </c>
      <c r="H300" s="82" t="str">
        <f aca="false">IF(C300="","",IF(G300="ACCEPTÉ","OUI","NON"))</f>
        <v>NON</v>
      </c>
      <c r="I300" s="83"/>
      <c r="J300" s="80"/>
      <c r="K300" s="81"/>
      <c r="L300" s="81"/>
      <c r="M300" s="81"/>
      <c r="N300" s="84" t="str">
        <f aca="false">IF(C300="","",IF(P300="","NJ INCONNU",IF(I300="",IF(H300="OUI","À ENROBER",IF(G300="À SOUDER","NON SOUDÉ","EN ATTENTE RT")),IF(L300="R","À REPRENDRE",IF(H300&lt;&gt;"OUI","⚠ ENROBÉ AVANT ACCEPTATION RT","ENROBÉ")))))</f>
        <v>NON SOUDÉ</v>
      </c>
      <c r="O300" s="80"/>
      <c r="P300" s="82" t="n">
        <f aca="false">IF(C300="","",IFERROR(MATCH(Q300,'CARNET DE SOUDURE'!$AW$7:$AW$3006,0),""))</f>
        <v>294</v>
      </c>
      <c r="Q300" s="82" t="str">
        <f aca="false">IF(C300="","",B300&amp;"|"&amp;C300)</f>
        <v>MFD-ISW → MFD-CPF|JN°294</v>
      </c>
    </row>
    <row r="301" customFormat="false" ht="74.6" hidden="false" customHeight="false" outlineLevel="0" collapsed="false">
      <c r="A301" s="82" t="n">
        <f aca="false">IF(C301="","",ROW()-6)</f>
        <v>295</v>
      </c>
      <c r="B301" s="80" t="s">
        <v>110</v>
      </c>
      <c r="C301" s="113" t="s">
        <v>405</v>
      </c>
      <c r="D301" s="82" t="str">
        <f aca="false">IF(OR(C301="",P301=""),"",INDEX('CARNET DE SOUDURE'!$D$7:$D$3006,P301)&amp;"")</f>
        <v/>
      </c>
      <c r="E301" s="114" t="str">
        <f aca="false">IF(OR(C301="",P301=""),"",IF(INDEX('CARNET DE SOUDURE'!$U$7:$U$3006,P301)="","",INDEX('CARNET DE SOUDURE'!$U$7:$U$3006,P301)))</f>
        <v/>
      </c>
      <c r="F301" s="82" t="str">
        <f aca="false">IF(OR(C301="",P301=""),"",INDEX('CARNET DE SOUDURE'!$AP$7:$AP$3006,P301))</f>
        <v/>
      </c>
      <c r="G301" s="82" t="str">
        <f aca="false">IF(C301="","",IF(P301="","NJ INCONNU",INDEX('CARNET DE SOUDURE'!$AQ$7:$AQ$3006,P301)))</f>
        <v>À SOUDER</v>
      </c>
      <c r="H301" s="82" t="str">
        <f aca="false">IF(C301="","",IF(G301="ACCEPTÉ","OUI","NON"))</f>
        <v>NON</v>
      </c>
      <c r="I301" s="83"/>
      <c r="J301" s="80"/>
      <c r="K301" s="81"/>
      <c r="L301" s="81"/>
      <c r="M301" s="81"/>
      <c r="N301" s="84" t="str">
        <f aca="false">IF(C301="","",IF(P301="","NJ INCONNU",IF(I301="",IF(H301="OUI","À ENROBER",IF(G301="À SOUDER","NON SOUDÉ","EN ATTENTE RT")),IF(L301="R","À REPRENDRE",IF(H301&lt;&gt;"OUI","⚠ ENROBÉ AVANT ACCEPTATION RT","ENROBÉ")))))</f>
        <v>NON SOUDÉ</v>
      </c>
      <c r="O301" s="80"/>
      <c r="P301" s="82" t="n">
        <f aca="false">IF(C301="","",IFERROR(MATCH(Q301,'CARNET DE SOUDURE'!$AW$7:$AW$3006,0),""))</f>
        <v>295</v>
      </c>
      <c r="Q301" s="82" t="str">
        <f aca="false">IF(C301="","",B301&amp;"|"&amp;C301)</f>
        <v>MFD-ISW → MFD-CPF|JN°295</v>
      </c>
    </row>
    <row r="302" customFormat="false" ht="74.6" hidden="false" customHeight="false" outlineLevel="0" collapsed="false">
      <c r="A302" s="82" t="n">
        <f aca="false">IF(C302="","",ROW()-6)</f>
        <v>296</v>
      </c>
      <c r="B302" s="80" t="s">
        <v>110</v>
      </c>
      <c r="C302" s="113" t="s">
        <v>406</v>
      </c>
      <c r="D302" s="82" t="str">
        <f aca="false">IF(OR(C302="",P302=""),"",INDEX('CARNET DE SOUDURE'!$D$7:$D$3006,P302)&amp;"")</f>
        <v/>
      </c>
      <c r="E302" s="114" t="str">
        <f aca="false">IF(OR(C302="",P302=""),"",IF(INDEX('CARNET DE SOUDURE'!$U$7:$U$3006,P302)="","",INDEX('CARNET DE SOUDURE'!$U$7:$U$3006,P302)))</f>
        <v/>
      </c>
      <c r="F302" s="82" t="str">
        <f aca="false">IF(OR(C302="",P302=""),"",INDEX('CARNET DE SOUDURE'!$AP$7:$AP$3006,P302))</f>
        <v/>
      </c>
      <c r="G302" s="82" t="str">
        <f aca="false">IF(C302="","",IF(P302="","NJ INCONNU",INDEX('CARNET DE SOUDURE'!$AQ$7:$AQ$3006,P302)))</f>
        <v>À SOUDER</v>
      </c>
      <c r="H302" s="82" t="str">
        <f aca="false">IF(C302="","",IF(G302="ACCEPTÉ","OUI","NON"))</f>
        <v>NON</v>
      </c>
      <c r="I302" s="83"/>
      <c r="J302" s="80"/>
      <c r="K302" s="81"/>
      <c r="L302" s="81"/>
      <c r="M302" s="81"/>
      <c r="N302" s="84" t="str">
        <f aca="false">IF(C302="","",IF(P302="","NJ INCONNU",IF(I302="",IF(H302="OUI","À ENROBER",IF(G302="À SOUDER","NON SOUDÉ","EN ATTENTE RT")),IF(L302="R","À REPRENDRE",IF(H302&lt;&gt;"OUI","⚠ ENROBÉ AVANT ACCEPTATION RT","ENROBÉ")))))</f>
        <v>NON SOUDÉ</v>
      </c>
      <c r="O302" s="80"/>
      <c r="P302" s="82" t="n">
        <f aca="false">IF(C302="","",IFERROR(MATCH(Q302,'CARNET DE SOUDURE'!$AW$7:$AW$3006,0),""))</f>
        <v>296</v>
      </c>
      <c r="Q302" s="82" t="str">
        <f aca="false">IF(C302="","",B302&amp;"|"&amp;C302)</f>
        <v>MFD-ISW → MFD-CPF|JN°296</v>
      </c>
    </row>
    <row r="303" customFormat="false" ht="74.6" hidden="false" customHeight="false" outlineLevel="0" collapsed="false">
      <c r="A303" s="82" t="n">
        <f aca="false">IF(C303="","",ROW()-6)</f>
        <v>297</v>
      </c>
      <c r="B303" s="80" t="s">
        <v>110</v>
      </c>
      <c r="C303" s="113" t="s">
        <v>407</v>
      </c>
      <c r="D303" s="82" t="str">
        <f aca="false">IF(OR(C303="",P303=""),"",INDEX('CARNET DE SOUDURE'!$D$7:$D$3006,P303)&amp;"")</f>
        <v/>
      </c>
      <c r="E303" s="114" t="str">
        <f aca="false">IF(OR(C303="",P303=""),"",IF(INDEX('CARNET DE SOUDURE'!$U$7:$U$3006,P303)="","",INDEX('CARNET DE SOUDURE'!$U$7:$U$3006,P303)))</f>
        <v/>
      </c>
      <c r="F303" s="82" t="str">
        <f aca="false">IF(OR(C303="",P303=""),"",INDEX('CARNET DE SOUDURE'!$AP$7:$AP$3006,P303))</f>
        <v/>
      </c>
      <c r="G303" s="82" t="str">
        <f aca="false">IF(C303="","",IF(P303="","NJ INCONNU",INDEX('CARNET DE SOUDURE'!$AQ$7:$AQ$3006,P303)))</f>
        <v>À SOUDER</v>
      </c>
      <c r="H303" s="82" t="str">
        <f aca="false">IF(C303="","",IF(G303="ACCEPTÉ","OUI","NON"))</f>
        <v>NON</v>
      </c>
      <c r="I303" s="83"/>
      <c r="J303" s="80"/>
      <c r="K303" s="81"/>
      <c r="L303" s="81"/>
      <c r="M303" s="81"/>
      <c r="N303" s="84" t="str">
        <f aca="false">IF(C303="","",IF(P303="","NJ INCONNU",IF(I303="",IF(H303="OUI","À ENROBER",IF(G303="À SOUDER","NON SOUDÉ","EN ATTENTE RT")),IF(L303="R","À REPRENDRE",IF(H303&lt;&gt;"OUI","⚠ ENROBÉ AVANT ACCEPTATION RT","ENROBÉ")))))</f>
        <v>NON SOUDÉ</v>
      </c>
      <c r="O303" s="80"/>
      <c r="P303" s="82" t="n">
        <f aca="false">IF(C303="","",IFERROR(MATCH(Q303,'CARNET DE SOUDURE'!$AW$7:$AW$3006,0),""))</f>
        <v>297</v>
      </c>
      <c r="Q303" s="82" t="str">
        <f aca="false">IF(C303="","",B303&amp;"|"&amp;C303)</f>
        <v>MFD-ISW → MFD-CPF|JN°297</v>
      </c>
    </row>
    <row r="304" customFormat="false" ht="74.6" hidden="false" customHeight="false" outlineLevel="0" collapsed="false">
      <c r="A304" s="82" t="n">
        <f aca="false">IF(C304="","",ROW()-6)</f>
        <v>298</v>
      </c>
      <c r="B304" s="80" t="s">
        <v>110</v>
      </c>
      <c r="C304" s="113" t="s">
        <v>408</v>
      </c>
      <c r="D304" s="82" t="str">
        <f aca="false">IF(OR(C304="",P304=""),"",INDEX('CARNET DE SOUDURE'!$D$7:$D$3006,P304)&amp;"")</f>
        <v/>
      </c>
      <c r="E304" s="114" t="str">
        <f aca="false">IF(OR(C304="",P304=""),"",IF(INDEX('CARNET DE SOUDURE'!$U$7:$U$3006,P304)="","",INDEX('CARNET DE SOUDURE'!$U$7:$U$3006,P304)))</f>
        <v/>
      </c>
      <c r="F304" s="82" t="str">
        <f aca="false">IF(OR(C304="",P304=""),"",INDEX('CARNET DE SOUDURE'!$AP$7:$AP$3006,P304))</f>
        <v/>
      </c>
      <c r="G304" s="82" t="str">
        <f aca="false">IF(C304="","",IF(P304="","NJ INCONNU",INDEX('CARNET DE SOUDURE'!$AQ$7:$AQ$3006,P304)))</f>
        <v>À SOUDER</v>
      </c>
      <c r="H304" s="82" t="str">
        <f aca="false">IF(C304="","",IF(G304="ACCEPTÉ","OUI","NON"))</f>
        <v>NON</v>
      </c>
      <c r="I304" s="83"/>
      <c r="J304" s="80"/>
      <c r="K304" s="81"/>
      <c r="L304" s="81"/>
      <c r="M304" s="81"/>
      <c r="N304" s="84" t="str">
        <f aca="false">IF(C304="","",IF(P304="","NJ INCONNU",IF(I304="",IF(H304="OUI","À ENROBER",IF(G304="À SOUDER","NON SOUDÉ","EN ATTENTE RT")),IF(L304="R","À REPRENDRE",IF(H304&lt;&gt;"OUI","⚠ ENROBÉ AVANT ACCEPTATION RT","ENROBÉ")))))</f>
        <v>NON SOUDÉ</v>
      </c>
      <c r="O304" s="80"/>
      <c r="P304" s="82" t="n">
        <f aca="false">IF(C304="","",IFERROR(MATCH(Q304,'CARNET DE SOUDURE'!$AW$7:$AW$3006,0),""))</f>
        <v>298</v>
      </c>
      <c r="Q304" s="82" t="str">
        <f aca="false">IF(C304="","",B304&amp;"|"&amp;C304)</f>
        <v>MFD-ISW → MFD-CPF|JN°298</v>
      </c>
    </row>
    <row r="305" customFormat="false" ht="74.6" hidden="false" customHeight="false" outlineLevel="0" collapsed="false">
      <c r="A305" s="82" t="n">
        <f aca="false">IF(C305="","",ROW()-6)</f>
        <v>299</v>
      </c>
      <c r="B305" s="80" t="s">
        <v>110</v>
      </c>
      <c r="C305" s="113" t="s">
        <v>409</v>
      </c>
      <c r="D305" s="82" t="str">
        <f aca="false">IF(OR(C305="",P305=""),"",INDEX('CARNET DE SOUDURE'!$D$7:$D$3006,P305)&amp;"")</f>
        <v/>
      </c>
      <c r="E305" s="114" t="str">
        <f aca="false">IF(OR(C305="",P305=""),"",IF(INDEX('CARNET DE SOUDURE'!$U$7:$U$3006,P305)="","",INDEX('CARNET DE SOUDURE'!$U$7:$U$3006,P305)))</f>
        <v/>
      </c>
      <c r="F305" s="82" t="str">
        <f aca="false">IF(OR(C305="",P305=""),"",INDEX('CARNET DE SOUDURE'!$AP$7:$AP$3006,P305))</f>
        <v/>
      </c>
      <c r="G305" s="82" t="str">
        <f aca="false">IF(C305="","",IF(P305="","NJ INCONNU",INDEX('CARNET DE SOUDURE'!$AQ$7:$AQ$3006,P305)))</f>
        <v>À SOUDER</v>
      </c>
      <c r="H305" s="82" t="str">
        <f aca="false">IF(C305="","",IF(G305="ACCEPTÉ","OUI","NON"))</f>
        <v>NON</v>
      </c>
      <c r="I305" s="83"/>
      <c r="J305" s="80"/>
      <c r="K305" s="81"/>
      <c r="L305" s="81"/>
      <c r="M305" s="81"/>
      <c r="N305" s="84" t="str">
        <f aca="false">IF(C305="","",IF(P305="","NJ INCONNU",IF(I305="",IF(H305="OUI","À ENROBER",IF(G305="À SOUDER","NON SOUDÉ","EN ATTENTE RT")),IF(L305="R","À REPRENDRE",IF(H305&lt;&gt;"OUI","⚠ ENROBÉ AVANT ACCEPTATION RT","ENROBÉ")))))</f>
        <v>NON SOUDÉ</v>
      </c>
      <c r="O305" s="80"/>
      <c r="P305" s="82" t="n">
        <f aca="false">IF(C305="","",IFERROR(MATCH(Q305,'CARNET DE SOUDURE'!$AW$7:$AW$3006,0),""))</f>
        <v>299</v>
      </c>
      <c r="Q305" s="82" t="str">
        <f aca="false">IF(C305="","",B305&amp;"|"&amp;C305)</f>
        <v>MFD-ISW → MFD-CPF|JN°299</v>
      </c>
    </row>
    <row r="306" customFormat="false" ht="74.6" hidden="false" customHeight="false" outlineLevel="0" collapsed="false">
      <c r="A306" s="82" t="n">
        <f aca="false">IF(C306="","",ROW()-6)</f>
        <v>300</v>
      </c>
      <c r="B306" s="80" t="s">
        <v>110</v>
      </c>
      <c r="C306" s="113" t="s">
        <v>410</v>
      </c>
      <c r="D306" s="82" t="str">
        <f aca="false">IF(OR(C306="",P306=""),"",INDEX('CARNET DE SOUDURE'!$D$7:$D$3006,P306)&amp;"")</f>
        <v/>
      </c>
      <c r="E306" s="114" t="str">
        <f aca="false">IF(OR(C306="",P306=""),"",IF(INDEX('CARNET DE SOUDURE'!$U$7:$U$3006,P306)="","",INDEX('CARNET DE SOUDURE'!$U$7:$U$3006,P306)))</f>
        <v/>
      </c>
      <c r="F306" s="82" t="str">
        <f aca="false">IF(OR(C306="",P306=""),"",INDEX('CARNET DE SOUDURE'!$AP$7:$AP$3006,P306))</f>
        <v/>
      </c>
      <c r="G306" s="82" t="str">
        <f aca="false">IF(C306="","",IF(P306="","NJ INCONNU",INDEX('CARNET DE SOUDURE'!$AQ$7:$AQ$3006,P306)))</f>
        <v>À SOUDER</v>
      </c>
      <c r="H306" s="82" t="str">
        <f aca="false">IF(C306="","",IF(G306="ACCEPTÉ","OUI","NON"))</f>
        <v>NON</v>
      </c>
      <c r="I306" s="83"/>
      <c r="J306" s="80"/>
      <c r="K306" s="81"/>
      <c r="L306" s="81"/>
      <c r="M306" s="81"/>
      <c r="N306" s="84" t="str">
        <f aca="false">IF(C306="","",IF(P306="","NJ INCONNU",IF(I306="",IF(H306="OUI","À ENROBER",IF(G306="À SOUDER","NON SOUDÉ","EN ATTENTE RT")),IF(L306="R","À REPRENDRE",IF(H306&lt;&gt;"OUI","⚠ ENROBÉ AVANT ACCEPTATION RT","ENROBÉ")))))</f>
        <v>NON SOUDÉ</v>
      </c>
      <c r="O306" s="80"/>
      <c r="P306" s="82" t="n">
        <f aca="false">IF(C306="","",IFERROR(MATCH(Q306,'CARNET DE SOUDURE'!$AW$7:$AW$3006,0),""))</f>
        <v>300</v>
      </c>
      <c r="Q306" s="82" t="str">
        <f aca="false">IF(C306="","",B306&amp;"|"&amp;C306)</f>
        <v>MFD-ISW → MFD-CPF|JN°300</v>
      </c>
    </row>
    <row r="307" customFormat="false" ht="74.6" hidden="false" customHeight="false" outlineLevel="0" collapsed="false">
      <c r="A307" s="82" t="n">
        <f aca="false">IF(C307="","",ROW()-6)</f>
        <v>301</v>
      </c>
      <c r="B307" s="80" t="s">
        <v>110</v>
      </c>
      <c r="C307" s="113" t="s">
        <v>411</v>
      </c>
      <c r="D307" s="82" t="str">
        <f aca="false">IF(OR(C307="",P307=""),"",INDEX('CARNET DE SOUDURE'!$D$7:$D$3006,P307)&amp;"")</f>
        <v/>
      </c>
      <c r="E307" s="114" t="str">
        <f aca="false">IF(OR(C307="",P307=""),"",IF(INDEX('CARNET DE SOUDURE'!$U$7:$U$3006,P307)="","",INDEX('CARNET DE SOUDURE'!$U$7:$U$3006,P307)))</f>
        <v/>
      </c>
      <c r="F307" s="82" t="str">
        <f aca="false">IF(OR(C307="",P307=""),"",INDEX('CARNET DE SOUDURE'!$AP$7:$AP$3006,P307))</f>
        <v/>
      </c>
      <c r="G307" s="82" t="str">
        <f aca="false">IF(C307="","",IF(P307="","NJ INCONNU",INDEX('CARNET DE SOUDURE'!$AQ$7:$AQ$3006,P307)))</f>
        <v>À SOUDER</v>
      </c>
      <c r="H307" s="82" t="str">
        <f aca="false">IF(C307="","",IF(G307="ACCEPTÉ","OUI","NON"))</f>
        <v>NON</v>
      </c>
      <c r="I307" s="83"/>
      <c r="J307" s="80"/>
      <c r="K307" s="81"/>
      <c r="L307" s="81"/>
      <c r="M307" s="81"/>
      <c r="N307" s="84" t="str">
        <f aca="false">IF(C307="","",IF(P307="","NJ INCONNU",IF(I307="",IF(H307="OUI","À ENROBER",IF(G307="À SOUDER","NON SOUDÉ","EN ATTENTE RT")),IF(L307="R","À REPRENDRE",IF(H307&lt;&gt;"OUI","⚠ ENROBÉ AVANT ACCEPTATION RT","ENROBÉ")))))</f>
        <v>NON SOUDÉ</v>
      </c>
      <c r="O307" s="80"/>
      <c r="P307" s="82" t="n">
        <f aca="false">IF(C307="","",IFERROR(MATCH(Q307,'CARNET DE SOUDURE'!$AW$7:$AW$3006,0),""))</f>
        <v>301</v>
      </c>
      <c r="Q307" s="82" t="str">
        <f aca="false">IF(C307="","",B307&amp;"|"&amp;C307)</f>
        <v>MFD-ISW → MFD-CPF|JN°301</v>
      </c>
    </row>
    <row r="308" customFormat="false" ht="74.6" hidden="false" customHeight="false" outlineLevel="0" collapsed="false">
      <c r="A308" s="82" t="n">
        <f aca="false">IF(C308="","",ROW()-6)</f>
        <v>302</v>
      </c>
      <c r="B308" s="80" t="s">
        <v>110</v>
      </c>
      <c r="C308" s="113" t="s">
        <v>412</v>
      </c>
      <c r="D308" s="82" t="str">
        <f aca="false">IF(OR(C308="",P308=""),"",INDEX('CARNET DE SOUDURE'!$D$7:$D$3006,P308)&amp;"")</f>
        <v/>
      </c>
      <c r="E308" s="114" t="str">
        <f aca="false">IF(OR(C308="",P308=""),"",IF(INDEX('CARNET DE SOUDURE'!$U$7:$U$3006,P308)="","",INDEX('CARNET DE SOUDURE'!$U$7:$U$3006,P308)))</f>
        <v/>
      </c>
      <c r="F308" s="82" t="str">
        <f aca="false">IF(OR(C308="",P308=""),"",INDEX('CARNET DE SOUDURE'!$AP$7:$AP$3006,P308))</f>
        <v/>
      </c>
      <c r="G308" s="82" t="str">
        <f aca="false">IF(C308="","",IF(P308="","NJ INCONNU",INDEX('CARNET DE SOUDURE'!$AQ$7:$AQ$3006,P308)))</f>
        <v>À SOUDER</v>
      </c>
      <c r="H308" s="82" t="str">
        <f aca="false">IF(C308="","",IF(G308="ACCEPTÉ","OUI","NON"))</f>
        <v>NON</v>
      </c>
      <c r="I308" s="83"/>
      <c r="J308" s="80"/>
      <c r="K308" s="81"/>
      <c r="L308" s="81"/>
      <c r="M308" s="81"/>
      <c r="N308" s="84" t="str">
        <f aca="false">IF(C308="","",IF(P308="","NJ INCONNU",IF(I308="",IF(H308="OUI","À ENROBER",IF(G308="À SOUDER","NON SOUDÉ","EN ATTENTE RT")),IF(L308="R","À REPRENDRE",IF(H308&lt;&gt;"OUI","⚠ ENROBÉ AVANT ACCEPTATION RT","ENROBÉ")))))</f>
        <v>NON SOUDÉ</v>
      </c>
      <c r="O308" s="80"/>
      <c r="P308" s="82" t="n">
        <f aca="false">IF(C308="","",IFERROR(MATCH(Q308,'CARNET DE SOUDURE'!$AW$7:$AW$3006,0),""))</f>
        <v>302</v>
      </c>
      <c r="Q308" s="82" t="str">
        <f aca="false">IF(C308="","",B308&amp;"|"&amp;C308)</f>
        <v>MFD-ISW → MFD-CPF|JN°302</v>
      </c>
    </row>
    <row r="309" customFormat="false" ht="74.6" hidden="false" customHeight="false" outlineLevel="0" collapsed="false">
      <c r="A309" s="82" t="n">
        <f aca="false">IF(C309="","",ROW()-6)</f>
        <v>303</v>
      </c>
      <c r="B309" s="80" t="s">
        <v>110</v>
      </c>
      <c r="C309" s="113" t="s">
        <v>413</v>
      </c>
      <c r="D309" s="82" t="str">
        <f aca="false">IF(OR(C309="",P309=""),"",INDEX('CARNET DE SOUDURE'!$D$7:$D$3006,P309)&amp;"")</f>
        <v/>
      </c>
      <c r="E309" s="114" t="str">
        <f aca="false">IF(OR(C309="",P309=""),"",IF(INDEX('CARNET DE SOUDURE'!$U$7:$U$3006,P309)="","",INDEX('CARNET DE SOUDURE'!$U$7:$U$3006,P309)))</f>
        <v/>
      </c>
      <c r="F309" s="82" t="str">
        <f aca="false">IF(OR(C309="",P309=""),"",INDEX('CARNET DE SOUDURE'!$AP$7:$AP$3006,P309))</f>
        <v/>
      </c>
      <c r="G309" s="82" t="str">
        <f aca="false">IF(C309="","",IF(P309="","NJ INCONNU",INDEX('CARNET DE SOUDURE'!$AQ$7:$AQ$3006,P309)))</f>
        <v>À SOUDER</v>
      </c>
      <c r="H309" s="82" t="str">
        <f aca="false">IF(C309="","",IF(G309="ACCEPTÉ","OUI","NON"))</f>
        <v>NON</v>
      </c>
      <c r="I309" s="83"/>
      <c r="J309" s="80"/>
      <c r="K309" s="81"/>
      <c r="L309" s="81"/>
      <c r="M309" s="81"/>
      <c r="N309" s="84" t="str">
        <f aca="false">IF(C309="","",IF(P309="","NJ INCONNU",IF(I309="",IF(H309="OUI","À ENROBER",IF(G309="À SOUDER","NON SOUDÉ","EN ATTENTE RT")),IF(L309="R","À REPRENDRE",IF(H309&lt;&gt;"OUI","⚠ ENROBÉ AVANT ACCEPTATION RT","ENROBÉ")))))</f>
        <v>NON SOUDÉ</v>
      </c>
      <c r="O309" s="80"/>
      <c r="P309" s="82" t="n">
        <f aca="false">IF(C309="","",IFERROR(MATCH(Q309,'CARNET DE SOUDURE'!$AW$7:$AW$3006,0),""))</f>
        <v>303</v>
      </c>
      <c r="Q309" s="82" t="str">
        <f aca="false">IF(C309="","",B309&amp;"|"&amp;C309)</f>
        <v>MFD-ISW → MFD-CPF|JN°303</v>
      </c>
    </row>
    <row r="310" customFormat="false" ht="74.6" hidden="false" customHeight="false" outlineLevel="0" collapsed="false">
      <c r="A310" s="82" t="n">
        <f aca="false">IF(C310="","",ROW()-6)</f>
        <v>304</v>
      </c>
      <c r="B310" s="80" t="s">
        <v>110</v>
      </c>
      <c r="C310" s="113" t="s">
        <v>414</v>
      </c>
      <c r="D310" s="82" t="str">
        <f aca="false">IF(OR(C310="",P310=""),"",INDEX('CARNET DE SOUDURE'!$D$7:$D$3006,P310)&amp;"")</f>
        <v/>
      </c>
      <c r="E310" s="114" t="str">
        <f aca="false">IF(OR(C310="",P310=""),"",IF(INDEX('CARNET DE SOUDURE'!$U$7:$U$3006,P310)="","",INDEX('CARNET DE SOUDURE'!$U$7:$U$3006,P310)))</f>
        <v/>
      </c>
      <c r="F310" s="82" t="str">
        <f aca="false">IF(OR(C310="",P310=""),"",INDEX('CARNET DE SOUDURE'!$AP$7:$AP$3006,P310))</f>
        <v/>
      </c>
      <c r="G310" s="82" t="str">
        <f aca="false">IF(C310="","",IF(P310="","NJ INCONNU",INDEX('CARNET DE SOUDURE'!$AQ$7:$AQ$3006,P310)))</f>
        <v>À SOUDER</v>
      </c>
      <c r="H310" s="82" t="str">
        <f aca="false">IF(C310="","",IF(G310="ACCEPTÉ","OUI","NON"))</f>
        <v>NON</v>
      </c>
      <c r="I310" s="83"/>
      <c r="J310" s="80"/>
      <c r="K310" s="81"/>
      <c r="L310" s="81"/>
      <c r="M310" s="81"/>
      <c r="N310" s="84" t="str">
        <f aca="false">IF(C310="","",IF(P310="","NJ INCONNU",IF(I310="",IF(H310="OUI","À ENROBER",IF(G310="À SOUDER","NON SOUDÉ","EN ATTENTE RT")),IF(L310="R","À REPRENDRE",IF(H310&lt;&gt;"OUI","⚠ ENROBÉ AVANT ACCEPTATION RT","ENROBÉ")))))</f>
        <v>NON SOUDÉ</v>
      </c>
      <c r="O310" s="80"/>
      <c r="P310" s="82" t="n">
        <f aca="false">IF(C310="","",IFERROR(MATCH(Q310,'CARNET DE SOUDURE'!$AW$7:$AW$3006,0),""))</f>
        <v>304</v>
      </c>
      <c r="Q310" s="82" t="str">
        <f aca="false">IF(C310="","",B310&amp;"|"&amp;C310)</f>
        <v>MFD-ISW → MFD-CPF|JN°304</v>
      </c>
    </row>
    <row r="311" customFormat="false" ht="74.6" hidden="false" customHeight="false" outlineLevel="0" collapsed="false">
      <c r="A311" s="82" t="n">
        <f aca="false">IF(C311="","",ROW()-6)</f>
        <v>305</v>
      </c>
      <c r="B311" s="80" t="s">
        <v>110</v>
      </c>
      <c r="C311" s="113" t="s">
        <v>415</v>
      </c>
      <c r="D311" s="82" t="str">
        <f aca="false">IF(OR(C311="",P311=""),"",INDEX('CARNET DE SOUDURE'!$D$7:$D$3006,P311)&amp;"")</f>
        <v/>
      </c>
      <c r="E311" s="114" t="str">
        <f aca="false">IF(OR(C311="",P311=""),"",IF(INDEX('CARNET DE SOUDURE'!$U$7:$U$3006,P311)="","",INDEX('CARNET DE SOUDURE'!$U$7:$U$3006,P311)))</f>
        <v/>
      </c>
      <c r="F311" s="82" t="str">
        <f aca="false">IF(OR(C311="",P311=""),"",INDEX('CARNET DE SOUDURE'!$AP$7:$AP$3006,P311))</f>
        <v/>
      </c>
      <c r="G311" s="82" t="str">
        <f aca="false">IF(C311="","",IF(P311="","NJ INCONNU",INDEX('CARNET DE SOUDURE'!$AQ$7:$AQ$3006,P311)))</f>
        <v>À SOUDER</v>
      </c>
      <c r="H311" s="82" t="str">
        <f aca="false">IF(C311="","",IF(G311="ACCEPTÉ","OUI","NON"))</f>
        <v>NON</v>
      </c>
      <c r="I311" s="83"/>
      <c r="J311" s="80"/>
      <c r="K311" s="81"/>
      <c r="L311" s="81"/>
      <c r="M311" s="81"/>
      <c r="N311" s="84" t="str">
        <f aca="false">IF(C311="","",IF(P311="","NJ INCONNU",IF(I311="",IF(H311="OUI","À ENROBER",IF(G311="À SOUDER","NON SOUDÉ","EN ATTENTE RT")),IF(L311="R","À REPRENDRE",IF(H311&lt;&gt;"OUI","⚠ ENROBÉ AVANT ACCEPTATION RT","ENROBÉ")))))</f>
        <v>NON SOUDÉ</v>
      </c>
      <c r="O311" s="80"/>
      <c r="P311" s="82" t="n">
        <f aca="false">IF(C311="","",IFERROR(MATCH(Q311,'CARNET DE SOUDURE'!$AW$7:$AW$3006,0),""))</f>
        <v>305</v>
      </c>
      <c r="Q311" s="82" t="str">
        <f aca="false">IF(C311="","",B311&amp;"|"&amp;C311)</f>
        <v>MFD-ISW → MFD-CPF|JN°305</v>
      </c>
    </row>
    <row r="312" customFormat="false" ht="74.6" hidden="false" customHeight="false" outlineLevel="0" collapsed="false">
      <c r="A312" s="82" t="n">
        <f aca="false">IF(C312="","",ROW()-6)</f>
        <v>306</v>
      </c>
      <c r="B312" s="80" t="s">
        <v>110</v>
      </c>
      <c r="C312" s="113" t="s">
        <v>416</v>
      </c>
      <c r="D312" s="82" t="str">
        <f aca="false">IF(OR(C312="",P312=""),"",INDEX('CARNET DE SOUDURE'!$D$7:$D$3006,P312)&amp;"")</f>
        <v/>
      </c>
      <c r="E312" s="114" t="str">
        <f aca="false">IF(OR(C312="",P312=""),"",IF(INDEX('CARNET DE SOUDURE'!$U$7:$U$3006,P312)="","",INDEX('CARNET DE SOUDURE'!$U$7:$U$3006,P312)))</f>
        <v/>
      </c>
      <c r="F312" s="82" t="str">
        <f aca="false">IF(OR(C312="",P312=""),"",INDEX('CARNET DE SOUDURE'!$AP$7:$AP$3006,P312))</f>
        <v/>
      </c>
      <c r="G312" s="82" t="str">
        <f aca="false">IF(C312="","",IF(P312="","NJ INCONNU",INDEX('CARNET DE SOUDURE'!$AQ$7:$AQ$3006,P312)))</f>
        <v>À SOUDER</v>
      </c>
      <c r="H312" s="82" t="str">
        <f aca="false">IF(C312="","",IF(G312="ACCEPTÉ","OUI","NON"))</f>
        <v>NON</v>
      </c>
      <c r="I312" s="83"/>
      <c r="J312" s="80"/>
      <c r="K312" s="81"/>
      <c r="L312" s="81"/>
      <c r="M312" s="81"/>
      <c r="N312" s="84" t="str">
        <f aca="false">IF(C312="","",IF(P312="","NJ INCONNU",IF(I312="",IF(H312="OUI","À ENROBER",IF(G312="À SOUDER","NON SOUDÉ","EN ATTENTE RT")),IF(L312="R","À REPRENDRE",IF(H312&lt;&gt;"OUI","⚠ ENROBÉ AVANT ACCEPTATION RT","ENROBÉ")))))</f>
        <v>NON SOUDÉ</v>
      </c>
      <c r="O312" s="80"/>
      <c r="P312" s="82" t="n">
        <f aca="false">IF(C312="","",IFERROR(MATCH(Q312,'CARNET DE SOUDURE'!$AW$7:$AW$3006,0),""))</f>
        <v>306</v>
      </c>
      <c r="Q312" s="82" t="str">
        <f aca="false">IF(C312="","",B312&amp;"|"&amp;C312)</f>
        <v>MFD-ISW → MFD-CPF|JN°306</v>
      </c>
    </row>
    <row r="313" customFormat="false" ht="74.6" hidden="false" customHeight="false" outlineLevel="0" collapsed="false">
      <c r="A313" s="82" t="n">
        <f aca="false">IF(C313="","",ROW()-6)</f>
        <v>307</v>
      </c>
      <c r="B313" s="80" t="s">
        <v>110</v>
      </c>
      <c r="C313" s="113" t="s">
        <v>417</v>
      </c>
      <c r="D313" s="82" t="str">
        <f aca="false">IF(OR(C313="",P313=""),"",INDEX('CARNET DE SOUDURE'!$D$7:$D$3006,P313)&amp;"")</f>
        <v/>
      </c>
      <c r="E313" s="114" t="str">
        <f aca="false">IF(OR(C313="",P313=""),"",IF(INDEX('CARNET DE SOUDURE'!$U$7:$U$3006,P313)="","",INDEX('CARNET DE SOUDURE'!$U$7:$U$3006,P313)))</f>
        <v/>
      </c>
      <c r="F313" s="82" t="str">
        <f aca="false">IF(OR(C313="",P313=""),"",INDEX('CARNET DE SOUDURE'!$AP$7:$AP$3006,P313))</f>
        <v/>
      </c>
      <c r="G313" s="82" t="str">
        <f aca="false">IF(C313="","",IF(P313="","NJ INCONNU",INDEX('CARNET DE SOUDURE'!$AQ$7:$AQ$3006,P313)))</f>
        <v>À SOUDER</v>
      </c>
      <c r="H313" s="82" t="str">
        <f aca="false">IF(C313="","",IF(G313="ACCEPTÉ","OUI","NON"))</f>
        <v>NON</v>
      </c>
      <c r="I313" s="83"/>
      <c r="J313" s="80"/>
      <c r="K313" s="81"/>
      <c r="L313" s="81"/>
      <c r="M313" s="81"/>
      <c r="N313" s="84" t="str">
        <f aca="false">IF(C313="","",IF(P313="","NJ INCONNU",IF(I313="",IF(H313="OUI","À ENROBER",IF(G313="À SOUDER","NON SOUDÉ","EN ATTENTE RT")),IF(L313="R","À REPRENDRE",IF(H313&lt;&gt;"OUI","⚠ ENROBÉ AVANT ACCEPTATION RT","ENROBÉ")))))</f>
        <v>NON SOUDÉ</v>
      </c>
      <c r="O313" s="80"/>
      <c r="P313" s="82" t="n">
        <f aca="false">IF(C313="","",IFERROR(MATCH(Q313,'CARNET DE SOUDURE'!$AW$7:$AW$3006,0),""))</f>
        <v>307</v>
      </c>
      <c r="Q313" s="82" t="str">
        <f aca="false">IF(C313="","",B313&amp;"|"&amp;C313)</f>
        <v>MFD-ISW → MFD-CPF|JN°307</v>
      </c>
    </row>
    <row r="314" customFormat="false" ht="74.6" hidden="false" customHeight="false" outlineLevel="0" collapsed="false">
      <c r="A314" s="82" t="n">
        <f aca="false">IF(C314="","",ROW()-6)</f>
        <v>308</v>
      </c>
      <c r="B314" s="80" t="s">
        <v>110</v>
      </c>
      <c r="C314" s="113" t="s">
        <v>418</v>
      </c>
      <c r="D314" s="82" t="str">
        <f aca="false">IF(OR(C314="",P314=""),"",INDEX('CARNET DE SOUDURE'!$D$7:$D$3006,P314)&amp;"")</f>
        <v/>
      </c>
      <c r="E314" s="114" t="str">
        <f aca="false">IF(OR(C314="",P314=""),"",IF(INDEX('CARNET DE SOUDURE'!$U$7:$U$3006,P314)="","",INDEX('CARNET DE SOUDURE'!$U$7:$U$3006,P314)))</f>
        <v/>
      </c>
      <c r="F314" s="82" t="str">
        <f aca="false">IF(OR(C314="",P314=""),"",INDEX('CARNET DE SOUDURE'!$AP$7:$AP$3006,P314))</f>
        <v/>
      </c>
      <c r="G314" s="82" t="str">
        <f aca="false">IF(C314="","",IF(P314="","NJ INCONNU",INDEX('CARNET DE SOUDURE'!$AQ$7:$AQ$3006,P314)))</f>
        <v>À SOUDER</v>
      </c>
      <c r="H314" s="82" t="str">
        <f aca="false">IF(C314="","",IF(G314="ACCEPTÉ","OUI","NON"))</f>
        <v>NON</v>
      </c>
      <c r="I314" s="83"/>
      <c r="J314" s="80"/>
      <c r="K314" s="81"/>
      <c r="L314" s="81"/>
      <c r="M314" s="81"/>
      <c r="N314" s="84" t="str">
        <f aca="false">IF(C314="","",IF(P314="","NJ INCONNU",IF(I314="",IF(H314="OUI","À ENROBER",IF(G314="À SOUDER","NON SOUDÉ","EN ATTENTE RT")),IF(L314="R","À REPRENDRE",IF(H314&lt;&gt;"OUI","⚠ ENROBÉ AVANT ACCEPTATION RT","ENROBÉ")))))</f>
        <v>NON SOUDÉ</v>
      </c>
      <c r="O314" s="80"/>
      <c r="P314" s="82" t="n">
        <f aca="false">IF(C314="","",IFERROR(MATCH(Q314,'CARNET DE SOUDURE'!$AW$7:$AW$3006,0),""))</f>
        <v>308</v>
      </c>
      <c r="Q314" s="82" t="str">
        <f aca="false">IF(C314="","",B314&amp;"|"&amp;C314)</f>
        <v>MFD-ISW → MFD-CPF|JN°308</v>
      </c>
    </row>
    <row r="315" customFormat="false" ht="74.6" hidden="false" customHeight="false" outlineLevel="0" collapsed="false">
      <c r="A315" s="82" t="n">
        <f aca="false">IF(C315="","",ROW()-6)</f>
        <v>309</v>
      </c>
      <c r="B315" s="80" t="s">
        <v>110</v>
      </c>
      <c r="C315" s="113" t="s">
        <v>419</v>
      </c>
      <c r="D315" s="82" t="str">
        <f aca="false">IF(OR(C315="",P315=""),"",INDEX('CARNET DE SOUDURE'!$D$7:$D$3006,P315)&amp;"")</f>
        <v/>
      </c>
      <c r="E315" s="114" t="str">
        <f aca="false">IF(OR(C315="",P315=""),"",IF(INDEX('CARNET DE SOUDURE'!$U$7:$U$3006,P315)="","",INDEX('CARNET DE SOUDURE'!$U$7:$U$3006,P315)))</f>
        <v/>
      </c>
      <c r="F315" s="82" t="str">
        <f aca="false">IF(OR(C315="",P315=""),"",INDEX('CARNET DE SOUDURE'!$AP$7:$AP$3006,P315))</f>
        <v/>
      </c>
      <c r="G315" s="82" t="str">
        <f aca="false">IF(C315="","",IF(P315="","NJ INCONNU",INDEX('CARNET DE SOUDURE'!$AQ$7:$AQ$3006,P315)))</f>
        <v>À SOUDER</v>
      </c>
      <c r="H315" s="82" t="str">
        <f aca="false">IF(C315="","",IF(G315="ACCEPTÉ","OUI","NON"))</f>
        <v>NON</v>
      </c>
      <c r="I315" s="83"/>
      <c r="J315" s="80"/>
      <c r="K315" s="81"/>
      <c r="L315" s="81"/>
      <c r="M315" s="81"/>
      <c r="N315" s="84" t="str">
        <f aca="false">IF(C315="","",IF(P315="","NJ INCONNU",IF(I315="",IF(H315="OUI","À ENROBER",IF(G315="À SOUDER","NON SOUDÉ","EN ATTENTE RT")),IF(L315="R","À REPRENDRE",IF(H315&lt;&gt;"OUI","⚠ ENROBÉ AVANT ACCEPTATION RT","ENROBÉ")))))</f>
        <v>NON SOUDÉ</v>
      </c>
      <c r="O315" s="80"/>
      <c r="P315" s="82" t="n">
        <f aca="false">IF(C315="","",IFERROR(MATCH(Q315,'CARNET DE SOUDURE'!$AW$7:$AW$3006,0),""))</f>
        <v>309</v>
      </c>
      <c r="Q315" s="82" t="str">
        <f aca="false">IF(C315="","",B315&amp;"|"&amp;C315)</f>
        <v>MFD-ISW → MFD-CPF|JN°309</v>
      </c>
    </row>
    <row r="316" customFormat="false" ht="74.6" hidden="false" customHeight="false" outlineLevel="0" collapsed="false">
      <c r="A316" s="82" t="n">
        <f aca="false">IF(C316="","",ROW()-6)</f>
        <v>310</v>
      </c>
      <c r="B316" s="80" t="s">
        <v>110</v>
      </c>
      <c r="C316" s="113" t="s">
        <v>420</v>
      </c>
      <c r="D316" s="82" t="str">
        <f aca="false">IF(OR(C316="",P316=""),"",INDEX('CARNET DE SOUDURE'!$D$7:$D$3006,P316)&amp;"")</f>
        <v/>
      </c>
      <c r="E316" s="114" t="str">
        <f aca="false">IF(OR(C316="",P316=""),"",IF(INDEX('CARNET DE SOUDURE'!$U$7:$U$3006,P316)="","",INDEX('CARNET DE SOUDURE'!$U$7:$U$3006,P316)))</f>
        <v/>
      </c>
      <c r="F316" s="82" t="str">
        <f aca="false">IF(OR(C316="",P316=""),"",INDEX('CARNET DE SOUDURE'!$AP$7:$AP$3006,P316))</f>
        <v/>
      </c>
      <c r="G316" s="82" t="str">
        <f aca="false">IF(C316="","",IF(P316="","NJ INCONNU",INDEX('CARNET DE SOUDURE'!$AQ$7:$AQ$3006,P316)))</f>
        <v>À SOUDER</v>
      </c>
      <c r="H316" s="82" t="str">
        <f aca="false">IF(C316="","",IF(G316="ACCEPTÉ","OUI","NON"))</f>
        <v>NON</v>
      </c>
      <c r="I316" s="83"/>
      <c r="J316" s="80"/>
      <c r="K316" s="81"/>
      <c r="L316" s="81"/>
      <c r="M316" s="81"/>
      <c r="N316" s="84" t="str">
        <f aca="false">IF(C316="","",IF(P316="","NJ INCONNU",IF(I316="",IF(H316="OUI","À ENROBER",IF(G316="À SOUDER","NON SOUDÉ","EN ATTENTE RT")),IF(L316="R","À REPRENDRE",IF(H316&lt;&gt;"OUI","⚠ ENROBÉ AVANT ACCEPTATION RT","ENROBÉ")))))</f>
        <v>NON SOUDÉ</v>
      </c>
      <c r="O316" s="80"/>
      <c r="P316" s="82" t="n">
        <f aca="false">IF(C316="","",IFERROR(MATCH(Q316,'CARNET DE SOUDURE'!$AW$7:$AW$3006,0),""))</f>
        <v>310</v>
      </c>
      <c r="Q316" s="82" t="str">
        <f aca="false">IF(C316="","",B316&amp;"|"&amp;C316)</f>
        <v>MFD-ISW → MFD-CPF|JN°310</v>
      </c>
    </row>
    <row r="317" customFormat="false" ht="74.6" hidden="false" customHeight="false" outlineLevel="0" collapsed="false">
      <c r="A317" s="82" t="n">
        <f aca="false">IF(C317="","",ROW()-6)</f>
        <v>311</v>
      </c>
      <c r="B317" s="80" t="s">
        <v>110</v>
      </c>
      <c r="C317" s="113" t="s">
        <v>421</v>
      </c>
      <c r="D317" s="82" t="str">
        <f aca="false">IF(OR(C317="",P317=""),"",INDEX('CARNET DE SOUDURE'!$D$7:$D$3006,P317)&amp;"")</f>
        <v/>
      </c>
      <c r="E317" s="114" t="str">
        <f aca="false">IF(OR(C317="",P317=""),"",IF(INDEX('CARNET DE SOUDURE'!$U$7:$U$3006,P317)="","",INDEX('CARNET DE SOUDURE'!$U$7:$U$3006,P317)))</f>
        <v/>
      </c>
      <c r="F317" s="82" t="str">
        <f aca="false">IF(OR(C317="",P317=""),"",INDEX('CARNET DE SOUDURE'!$AP$7:$AP$3006,P317))</f>
        <v/>
      </c>
      <c r="G317" s="82" t="str">
        <f aca="false">IF(C317="","",IF(P317="","NJ INCONNU",INDEX('CARNET DE SOUDURE'!$AQ$7:$AQ$3006,P317)))</f>
        <v>À SOUDER</v>
      </c>
      <c r="H317" s="82" t="str">
        <f aca="false">IF(C317="","",IF(G317="ACCEPTÉ","OUI","NON"))</f>
        <v>NON</v>
      </c>
      <c r="I317" s="83"/>
      <c r="J317" s="80"/>
      <c r="K317" s="81"/>
      <c r="L317" s="81"/>
      <c r="M317" s="81"/>
      <c r="N317" s="84" t="str">
        <f aca="false">IF(C317="","",IF(P317="","NJ INCONNU",IF(I317="",IF(H317="OUI","À ENROBER",IF(G317="À SOUDER","NON SOUDÉ","EN ATTENTE RT")),IF(L317="R","À REPRENDRE",IF(H317&lt;&gt;"OUI","⚠ ENROBÉ AVANT ACCEPTATION RT","ENROBÉ")))))</f>
        <v>NON SOUDÉ</v>
      </c>
      <c r="O317" s="80"/>
      <c r="P317" s="82" t="n">
        <f aca="false">IF(C317="","",IFERROR(MATCH(Q317,'CARNET DE SOUDURE'!$AW$7:$AW$3006,0),""))</f>
        <v>311</v>
      </c>
      <c r="Q317" s="82" t="str">
        <f aca="false">IF(C317="","",B317&amp;"|"&amp;C317)</f>
        <v>MFD-ISW → MFD-CPF|JN°311</v>
      </c>
    </row>
    <row r="318" customFormat="false" ht="74.6" hidden="false" customHeight="false" outlineLevel="0" collapsed="false">
      <c r="A318" s="82" t="n">
        <f aca="false">IF(C318="","",ROW()-6)</f>
        <v>312</v>
      </c>
      <c r="B318" s="80" t="s">
        <v>110</v>
      </c>
      <c r="C318" s="113" t="s">
        <v>422</v>
      </c>
      <c r="D318" s="82" t="str">
        <f aca="false">IF(OR(C318="",P318=""),"",INDEX('CARNET DE SOUDURE'!$D$7:$D$3006,P318)&amp;"")</f>
        <v/>
      </c>
      <c r="E318" s="114" t="str">
        <f aca="false">IF(OR(C318="",P318=""),"",IF(INDEX('CARNET DE SOUDURE'!$U$7:$U$3006,P318)="","",INDEX('CARNET DE SOUDURE'!$U$7:$U$3006,P318)))</f>
        <v/>
      </c>
      <c r="F318" s="82" t="str">
        <f aca="false">IF(OR(C318="",P318=""),"",INDEX('CARNET DE SOUDURE'!$AP$7:$AP$3006,P318))</f>
        <v/>
      </c>
      <c r="G318" s="82" t="str">
        <f aca="false">IF(C318="","",IF(P318="","NJ INCONNU",INDEX('CARNET DE SOUDURE'!$AQ$7:$AQ$3006,P318)))</f>
        <v>À SOUDER</v>
      </c>
      <c r="H318" s="82" t="str">
        <f aca="false">IF(C318="","",IF(G318="ACCEPTÉ","OUI","NON"))</f>
        <v>NON</v>
      </c>
      <c r="I318" s="83"/>
      <c r="J318" s="80"/>
      <c r="K318" s="81"/>
      <c r="L318" s="81"/>
      <c r="M318" s="81"/>
      <c r="N318" s="84" t="str">
        <f aca="false">IF(C318="","",IF(P318="","NJ INCONNU",IF(I318="",IF(H318="OUI","À ENROBER",IF(G318="À SOUDER","NON SOUDÉ","EN ATTENTE RT")),IF(L318="R","À REPRENDRE",IF(H318&lt;&gt;"OUI","⚠ ENROBÉ AVANT ACCEPTATION RT","ENROBÉ")))))</f>
        <v>NON SOUDÉ</v>
      </c>
      <c r="O318" s="80"/>
      <c r="P318" s="82" t="n">
        <f aca="false">IF(C318="","",IFERROR(MATCH(Q318,'CARNET DE SOUDURE'!$AW$7:$AW$3006,0),""))</f>
        <v>312</v>
      </c>
      <c r="Q318" s="82" t="str">
        <f aca="false">IF(C318="","",B318&amp;"|"&amp;C318)</f>
        <v>MFD-ISW → MFD-CPF|JN°312</v>
      </c>
    </row>
    <row r="319" customFormat="false" ht="74.6" hidden="false" customHeight="false" outlineLevel="0" collapsed="false">
      <c r="A319" s="82" t="n">
        <f aca="false">IF(C319="","",ROW()-6)</f>
        <v>313</v>
      </c>
      <c r="B319" s="80" t="s">
        <v>110</v>
      </c>
      <c r="C319" s="113" t="s">
        <v>423</v>
      </c>
      <c r="D319" s="82" t="str">
        <f aca="false">IF(OR(C319="",P319=""),"",INDEX('CARNET DE SOUDURE'!$D$7:$D$3006,P319)&amp;"")</f>
        <v/>
      </c>
      <c r="E319" s="114" t="str">
        <f aca="false">IF(OR(C319="",P319=""),"",IF(INDEX('CARNET DE SOUDURE'!$U$7:$U$3006,P319)="","",INDEX('CARNET DE SOUDURE'!$U$7:$U$3006,P319)))</f>
        <v/>
      </c>
      <c r="F319" s="82" t="str">
        <f aca="false">IF(OR(C319="",P319=""),"",INDEX('CARNET DE SOUDURE'!$AP$7:$AP$3006,P319))</f>
        <v/>
      </c>
      <c r="G319" s="82" t="str">
        <f aca="false">IF(C319="","",IF(P319="","NJ INCONNU",INDEX('CARNET DE SOUDURE'!$AQ$7:$AQ$3006,P319)))</f>
        <v>À SOUDER</v>
      </c>
      <c r="H319" s="82" t="str">
        <f aca="false">IF(C319="","",IF(G319="ACCEPTÉ","OUI","NON"))</f>
        <v>NON</v>
      </c>
      <c r="I319" s="83"/>
      <c r="J319" s="80"/>
      <c r="K319" s="81"/>
      <c r="L319" s="81"/>
      <c r="M319" s="81"/>
      <c r="N319" s="84" t="str">
        <f aca="false">IF(C319="","",IF(P319="","NJ INCONNU",IF(I319="",IF(H319="OUI","À ENROBER",IF(G319="À SOUDER","NON SOUDÉ","EN ATTENTE RT")),IF(L319="R","À REPRENDRE",IF(H319&lt;&gt;"OUI","⚠ ENROBÉ AVANT ACCEPTATION RT","ENROBÉ")))))</f>
        <v>NON SOUDÉ</v>
      </c>
      <c r="O319" s="80"/>
      <c r="P319" s="82" t="n">
        <f aca="false">IF(C319="","",IFERROR(MATCH(Q319,'CARNET DE SOUDURE'!$AW$7:$AW$3006,0),""))</f>
        <v>313</v>
      </c>
      <c r="Q319" s="82" t="str">
        <f aca="false">IF(C319="","",B319&amp;"|"&amp;C319)</f>
        <v>MFD-ISW → MFD-CPF|JN°313</v>
      </c>
    </row>
    <row r="320" customFormat="false" ht="74.6" hidden="false" customHeight="false" outlineLevel="0" collapsed="false">
      <c r="A320" s="82" t="n">
        <f aca="false">IF(C320="","",ROW()-6)</f>
        <v>314</v>
      </c>
      <c r="B320" s="80" t="s">
        <v>110</v>
      </c>
      <c r="C320" s="113" t="s">
        <v>424</v>
      </c>
      <c r="D320" s="82" t="str">
        <f aca="false">IF(OR(C320="",P320=""),"",INDEX('CARNET DE SOUDURE'!$D$7:$D$3006,P320)&amp;"")</f>
        <v/>
      </c>
      <c r="E320" s="114" t="str">
        <f aca="false">IF(OR(C320="",P320=""),"",IF(INDEX('CARNET DE SOUDURE'!$U$7:$U$3006,P320)="","",INDEX('CARNET DE SOUDURE'!$U$7:$U$3006,P320)))</f>
        <v/>
      </c>
      <c r="F320" s="82" t="str">
        <f aca="false">IF(OR(C320="",P320=""),"",INDEX('CARNET DE SOUDURE'!$AP$7:$AP$3006,P320))</f>
        <v/>
      </c>
      <c r="G320" s="82" t="str">
        <f aca="false">IF(C320="","",IF(P320="","NJ INCONNU",INDEX('CARNET DE SOUDURE'!$AQ$7:$AQ$3006,P320)))</f>
        <v>À SOUDER</v>
      </c>
      <c r="H320" s="82" t="str">
        <f aca="false">IF(C320="","",IF(G320="ACCEPTÉ","OUI","NON"))</f>
        <v>NON</v>
      </c>
      <c r="I320" s="83"/>
      <c r="J320" s="80"/>
      <c r="K320" s="81"/>
      <c r="L320" s="81"/>
      <c r="M320" s="81"/>
      <c r="N320" s="84" t="str">
        <f aca="false">IF(C320="","",IF(P320="","NJ INCONNU",IF(I320="",IF(H320="OUI","À ENROBER",IF(G320="À SOUDER","NON SOUDÉ","EN ATTENTE RT")),IF(L320="R","À REPRENDRE",IF(H320&lt;&gt;"OUI","⚠ ENROBÉ AVANT ACCEPTATION RT","ENROBÉ")))))</f>
        <v>NON SOUDÉ</v>
      </c>
      <c r="O320" s="80"/>
      <c r="P320" s="82" t="n">
        <f aca="false">IF(C320="","",IFERROR(MATCH(Q320,'CARNET DE SOUDURE'!$AW$7:$AW$3006,0),""))</f>
        <v>314</v>
      </c>
      <c r="Q320" s="82" t="str">
        <f aca="false">IF(C320="","",B320&amp;"|"&amp;C320)</f>
        <v>MFD-ISW → MFD-CPF|JN°314</v>
      </c>
    </row>
    <row r="321" customFormat="false" ht="74.6" hidden="false" customHeight="false" outlineLevel="0" collapsed="false">
      <c r="A321" s="82" t="n">
        <f aca="false">IF(C321="","",ROW()-6)</f>
        <v>315</v>
      </c>
      <c r="B321" s="80" t="s">
        <v>110</v>
      </c>
      <c r="C321" s="113" t="s">
        <v>425</v>
      </c>
      <c r="D321" s="82" t="str">
        <f aca="false">IF(OR(C321="",P321=""),"",INDEX('CARNET DE SOUDURE'!$D$7:$D$3006,P321)&amp;"")</f>
        <v/>
      </c>
      <c r="E321" s="114" t="str">
        <f aca="false">IF(OR(C321="",P321=""),"",IF(INDEX('CARNET DE SOUDURE'!$U$7:$U$3006,P321)="","",INDEX('CARNET DE SOUDURE'!$U$7:$U$3006,P321)))</f>
        <v/>
      </c>
      <c r="F321" s="82" t="str">
        <f aca="false">IF(OR(C321="",P321=""),"",INDEX('CARNET DE SOUDURE'!$AP$7:$AP$3006,P321))</f>
        <v/>
      </c>
      <c r="G321" s="82" t="str">
        <f aca="false">IF(C321="","",IF(P321="","NJ INCONNU",INDEX('CARNET DE SOUDURE'!$AQ$7:$AQ$3006,P321)))</f>
        <v>À SOUDER</v>
      </c>
      <c r="H321" s="82" t="str">
        <f aca="false">IF(C321="","",IF(G321="ACCEPTÉ","OUI","NON"))</f>
        <v>NON</v>
      </c>
      <c r="I321" s="83"/>
      <c r="J321" s="80"/>
      <c r="K321" s="81"/>
      <c r="L321" s="81"/>
      <c r="M321" s="81"/>
      <c r="N321" s="84" t="str">
        <f aca="false">IF(C321="","",IF(P321="","NJ INCONNU",IF(I321="",IF(H321="OUI","À ENROBER",IF(G321="À SOUDER","NON SOUDÉ","EN ATTENTE RT")),IF(L321="R","À REPRENDRE",IF(H321&lt;&gt;"OUI","⚠ ENROBÉ AVANT ACCEPTATION RT","ENROBÉ")))))</f>
        <v>NON SOUDÉ</v>
      </c>
      <c r="O321" s="80"/>
      <c r="P321" s="82" t="n">
        <f aca="false">IF(C321="","",IFERROR(MATCH(Q321,'CARNET DE SOUDURE'!$AW$7:$AW$3006,0),""))</f>
        <v>315</v>
      </c>
      <c r="Q321" s="82" t="str">
        <f aca="false">IF(C321="","",B321&amp;"|"&amp;C321)</f>
        <v>MFD-ISW → MFD-CPF|JN°315</v>
      </c>
    </row>
    <row r="322" customFormat="false" ht="74.6" hidden="false" customHeight="false" outlineLevel="0" collapsed="false">
      <c r="A322" s="82" t="n">
        <f aca="false">IF(C322="","",ROW()-6)</f>
        <v>316</v>
      </c>
      <c r="B322" s="80" t="s">
        <v>110</v>
      </c>
      <c r="C322" s="113" t="s">
        <v>426</v>
      </c>
      <c r="D322" s="82" t="str">
        <f aca="false">IF(OR(C322="",P322=""),"",INDEX('CARNET DE SOUDURE'!$D$7:$D$3006,P322)&amp;"")</f>
        <v/>
      </c>
      <c r="E322" s="114" t="str">
        <f aca="false">IF(OR(C322="",P322=""),"",IF(INDEX('CARNET DE SOUDURE'!$U$7:$U$3006,P322)="","",INDEX('CARNET DE SOUDURE'!$U$7:$U$3006,P322)))</f>
        <v/>
      </c>
      <c r="F322" s="82" t="str">
        <f aca="false">IF(OR(C322="",P322=""),"",INDEX('CARNET DE SOUDURE'!$AP$7:$AP$3006,P322))</f>
        <v/>
      </c>
      <c r="G322" s="82" t="str">
        <f aca="false">IF(C322="","",IF(P322="","NJ INCONNU",INDEX('CARNET DE SOUDURE'!$AQ$7:$AQ$3006,P322)))</f>
        <v>À SOUDER</v>
      </c>
      <c r="H322" s="82" t="str">
        <f aca="false">IF(C322="","",IF(G322="ACCEPTÉ","OUI","NON"))</f>
        <v>NON</v>
      </c>
      <c r="I322" s="83"/>
      <c r="J322" s="80"/>
      <c r="K322" s="81"/>
      <c r="L322" s="81"/>
      <c r="M322" s="81"/>
      <c r="N322" s="84" t="str">
        <f aca="false">IF(C322="","",IF(P322="","NJ INCONNU",IF(I322="",IF(H322="OUI","À ENROBER",IF(G322="À SOUDER","NON SOUDÉ","EN ATTENTE RT")),IF(L322="R","À REPRENDRE",IF(H322&lt;&gt;"OUI","⚠ ENROBÉ AVANT ACCEPTATION RT","ENROBÉ")))))</f>
        <v>NON SOUDÉ</v>
      </c>
      <c r="O322" s="80"/>
      <c r="P322" s="82" t="n">
        <f aca="false">IF(C322="","",IFERROR(MATCH(Q322,'CARNET DE SOUDURE'!$AW$7:$AW$3006,0),""))</f>
        <v>316</v>
      </c>
      <c r="Q322" s="82" t="str">
        <f aca="false">IF(C322="","",B322&amp;"|"&amp;C322)</f>
        <v>MFD-ISW → MFD-CPF|JN°316</v>
      </c>
    </row>
    <row r="323" customFormat="false" ht="74.6" hidden="false" customHeight="false" outlineLevel="0" collapsed="false">
      <c r="A323" s="82" t="n">
        <f aca="false">IF(C323="","",ROW()-6)</f>
        <v>317</v>
      </c>
      <c r="B323" s="80" t="s">
        <v>110</v>
      </c>
      <c r="C323" s="113" t="s">
        <v>427</v>
      </c>
      <c r="D323" s="82" t="str">
        <f aca="false">IF(OR(C323="",P323=""),"",INDEX('CARNET DE SOUDURE'!$D$7:$D$3006,P323)&amp;"")</f>
        <v/>
      </c>
      <c r="E323" s="114" t="str">
        <f aca="false">IF(OR(C323="",P323=""),"",IF(INDEX('CARNET DE SOUDURE'!$U$7:$U$3006,P323)="","",INDEX('CARNET DE SOUDURE'!$U$7:$U$3006,P323)))</f>
        <v/>
      </c>
      <c r="F323" s="82" t="str">
        <f aca="false">IF(OR(C323="",P323=""),"",INDEX('CARNET DE SOUDURE'!$AP$7:$AP$3006,P323))</f>
        <v/>
      </c>
      <c r="G323" s="82" t="str">
        <f aca="false">IF(C323="","",IF(P323="","NJ INCONNU",INDEX('CARNET DE SOUDURE'!$AQ$7:$AQ$3006,P323)))</f>
        <v>À SOUDER</v>
      </c>
      <c r="H323" s="82" t="str">
        <f aca="false">IF(C323="","",IF(G323="ACCEPTÉ","OUI","NON"))</f>
        <v>NON</v>
      </c>
      <c r="I323" s="83"/>
      <c r="J323" s="80"/>
      <c r="K323" s="81"/>
      <c r="L323" s="81"/>
      <c r="M323" s="81"/>
      <c r="N323" s="84" t="str">
        <f aca="false">IF(C323="","",IF(P323="","NJ INCONNU",IF(I323="",IF(H323="OUI","À ENROBER",IF(G323="À SOUDER","NON SOUDÉ","EN ATTENTE RT")),IF(L323="R","À REPRENDRE",IF(H323&lt;&gt;"OUI","⚠ ENROBÉ AVANT ACCEPTATION RT","ENROBÉ")))))</f>
        <v>NON SOUDÉ</v>
      </c>
      <c r="O323" s="80"/>
      <c r="P323" s="82" t="n">
        <f aca="false">IF(C323="","",IFERROR(MATCH(Q323,'CARNET DE SOUDURE'!$AW$7:$AW$3006,0),""))</f>
        <v>317</v>
      </c>
      <c r="Q323" s="82" t="str">
        <f aca="false">IF(C323="","",B323&amp;"|"&amp;C323)</f>
        <v>MFD-ISW → MFD-CPF|JN°317</v>
      </c>
    </row>
    <row r="324" customFormat="false" ht="74.6" hidden="false" customHeight="false" outlineLevel="0" collapsed="false">
      <c r="A324" s="82" t="n">
        <f aca="false">IF(C324="","",ROW()-6)</f>
        <v>318</v>
      </c>
      <c r="B324" s="80" t="s">
        <v>110</v>
      </c>
      <c r="C324" s="113" t="s">
        <v>428</v>
      </c>
      <c r="D324" s="82" t="str">
        <f aca="false">IF(OR(C324="",P324=""),"",INDEX('CARNET DE SOUDURE'!$D$7:$D$3006,P324)&amp;"")</f>
        <v/>
      </c>
      <c r="E324" s="114" t="str">
        <f aca="false">IF(OR(C324="",P324=""),"",IF(INDEX('CARNET DE SOUDURE'!$U$7:$U$3006,P324)="","",INDEX('CARNET DE SOUDURE'!$U$7:$U$3006,P324)))</f>
        <v/>
      </c>
      <c r="F324" s="82" t="str">
        <f aca="false">IF(OR(C324="",P324=""),"",INDEX('CARNET DE SOUDURE'!$AP$7:$AP$3006,P324))</f>
        <v/>
      </c>
      <c r="G324" s="82" t="str">
        <f aca="false">IF(C324="","",IF(P324="","NJ INCONNU",INDEX('CARNET DE SOUDURE'!$AQ$7:$AQ$3006,P324)))</f>
        <v>À SOUDER</v>
      </c>
      <c r="H324" s="82" t="str">
        <f aca="false">IF(C324="","",IF(G324="ACCEPTÉ","OUI","NON"))</f>
        <v>NON</v>
      </c>
      <c r="I324" s="83"/>
      <c r="J324" s="80"/>
      <c r="K324" s="81"/>
      <c r="L324" s="81"/>
      <c r="M324" s="81"/>
      <c r="N324" s="84" t="str">
        <f aca="false">IF(C324="","",IF(P324="","NJ INCONNU",IF(I324="",IF(H324="OUI","À ENROBER",IF(G324="À SOUDER","NON SOUDÉ","EN ATTENTE RT")),IF(L324="R","À REPRENDRE",IF(H324&lt;&gt;"OUI","⚠ ENROBÉ AVANT ACCEPTATION RT","ENROBÉ")))))</f>
        <v>NON SOUDÉ</v>
      </c>
      <c r="O324" s="80"/>
      <c r="P324" s="82" t="n">
        <f aca="false">IF(C324="","",IFERROR(MATCH(Q324,'CARNET DE SOUDURE'!$AW$7:$AW$3006,0),""))</f>
        <v>318</v>
      </c>
      <c r="Q324" s="82" t="str">
        <f aca="false">IF(C324="","",B324&amp;"|"&amp;C324)</f>
        <v>MFD-ISW → MFD-CPF|JN°318</v>
      </c>
    </row>
    <row r="325" customFormat="false" ht="74.6" hidden="false" customHeight="false" outlineLevel="0" collapsed="false">
      <c r="A325" s="82" t="n">
        <f aca="false">IF(C325="","",ROW()-6)</f>
        <v>319</v>
      </c>
      <c r="B325" s="80" t="s">
        <v>110</v>
      </c>
      <c r="C325" s="113" t="s">
        <v>429</v>
      </c>
      <c r="D325" s="82" t="str">
        <f aca="false">IF(OR(C325="",P325=""),"",INDEX('CARNET DE SOUDURE'!$D$7:$D$3006,P325)&amp;"")</f>
        <v/>
      </c>
      <c r="E325" s="114" t="str">
        <f aca="false">IF(OR(C325="",P325=""),"",IF(INDEX('CARNET DE SOUDURE'!$U$7:$U$3006,P325)="","",INDEX('CARNET DE SOUDURE'!$U$7:$U$3006,P325)))</f>
        <v/>
      </c>
      <c r="F325" s="82" t="str">
        <f aca="false">IF(OR(C325="",P325=""),"",INDEX('CARNET DE SOUDURE'!$AP$7:$AP$3006,P325))</f>
        <v/>
      </c>
      <c r="G325" s="82" t="str">
        <f aca="false">IF(C325="","",IF(P325="","NJ INCONNU",INDEX('CARNET DE SOUDURE'!$AQ$7:$AQ$3006,P325)))</f>
        <v>À SOUDER</v>
      </c>
      <c r="H325" s="82" t="str">
        <f aca="false">IF(C325="","",IF(G325="ACCEPTÉ","OUI","NON"))</f>
        <v>NON</v>
      </c>
      <c r="I325" s="83"/>
      <c r="J325" s="80"/>
      <c r="K325" s="81"/>
      <c r="L325" s="81"/>
      <c r="M325" s="81"/>
      <c r="N325" s="84" t="str">
        <f aca="false">IF(C325="","",IF(P325="","NJ INCONNU",IF(I325="",IF(H325="OUI","À ENROBER",IF(G325="À SOUDER","NON SOUDÉ","EN ATTENTE RT")),IF(L325="R","À REPRENDRE",IF(H325&lt;&gt;"OUI","⚠ ENROBÉ AVANT ACCEPTATION RT","ENROBÉ")))))</f>
        <v>NON SOUDÉ</v>
      </c>
      <c r="O325" s="80"/>
      <c r="P325" s="82" t="n">
        <f aca="false">IF(C325="","",IFERROR(MATCH(Q325,'CARNET DE SOUDURE'!$AW$7:$AW$3006,0),""))</f>
        <v>319</v>
      </c>
      <c r="Q325" s="82" t="str">
        <f aca="false">IF(C325="","",B325&amp;"|"&amp;C325)</f>
        <v>MFD-ISW → MFD-CPF|JN°319</v>
      </c>
    </row>
    <row r="326" customFormat="false" ht="74.6" hidden="false" customHeight="false" outlineLevel="0" collapsed="false">
      <c r="A326" s="82" t="n">
        <f aca="false">IF(C326="","",ROW()-6)</f>
        <v>320</v>
      </c>
      <c r="B326" s="80" t="s">
        <v>110</v>
      </c>
      <c r="C326" s="113" t="s">
        <v>430</v>
      </c>
      <c r="D326" s="82" t="str">
        <f aca="false">IF(OR(C326="",P326=""),"",INDEX('CARNET DE SOUDURE'!$D$7:$D$3006,P326)&amp;"")</f>
        <v/>
      </c>
      <c r="E326" s="114" t="str">
        <f aca="false">IF(OR(C326="",P326=""),"",IF(INDEX('CARNET DE SOUDURE'!$U$7:$U$3006,P326)="","",INDEX('CARNET DE SOUDURE'!$U$7:$U$3006,P326)))</f>
        <v/>
      </c>
      <c r="F326" s="82" t="str">
        <f aca="false">IF(OR(C326="",P326=""),"",INDEX('CARNET DE SOUDURE'!$AP$7:$AP$3006,P326))</f>
        <v/>
      </c>
      <c r="G326" s="82" t="str">
        <f aca="false">IF(C326="","",IF(P326="","NJ INCONNU",INDEX('CARNET DE SOUDURE'!$AQ$7:$AQ$3006,P326)))</f>
        <v>À SOUDER</v>
      </c>
      <c r="H326" s="82" t="str">
        <f aca="false">IF(C326="","",IF(G326="ACCEPTÉ","OUI","NON"))</f>
        <v>NON</v>
      </c>
      <c r="I326" s="83"/>
      <c r="J326" s="80"/>
      <c r="K326" s="81"/>
      <c r="L326" s="81"/>
      <c r="M326" s="81"/>
      <c r="N326" s="84" t="str">
        <f aca="false">IF(C326="","",IF(P326="","NJ INCONNU",IF(I326="",IF(H326="OUI","À ENROBER",IF(G326="À SOUDER","NON SOUDÉ","EN ATTENTE RT")),IF(L326="R","À REPRENDRE",IF(H326&lt;&gt;"OUI","⚠ ENROBÉ AVANT ACCEPTATION RT","ENROBÉ")))))</f>
        <v>NON SOUDÉ</v>
      </c>
      <c r="O326" s="80"/>
      <c r="P326" s="82" t="n">
        <f aca="false">IF(C326="","",IFERROR(MATCH(Q326,'CARNET DE SOUDURE'!$AW$7:$AW$3006,0),""))</f>
        <v>320</v>
      </c>
      <c r="Q326" s="82" t="str">
        <f aca="false">IF(C326="","",B326&amp;"|"&amp;C326)</f>
        <v>MFD-ISW → MFD-CPF|JN°320</v>
      </c>
    </row>
    <row r="327" customFormat="false" ht="74.6" hidden="false" customHeight="false" outlineLevel="0" collapsed="false">
      <c r="A327" s="82" t="n">
        <f aca="false">IF(C327="","",ROW()-6)</f>
        <v>321</v>
      </c>
      <c r="B327" s="80" t="s">
        <v>110</v>
      </c>
      <c r="C327" s="113" t="s">
        <v>431</v>
      </c>
      <c r="D327" s="82" t="str">
        <f aca="false">IF(OR(C327="",P327=""),"",INDEX('CARNET DE SOUDURE'!$D$7:$D$3006,P327)&amp;"")</f>
        <v/>
      </c>
      <c r="E327" s="114" t="str">
        <f aca="false">IF(OR(C327="",P327=""),"",IF(INDEX('CARNET DE SOUDURE'!$U$7:$U$3006,P327)="","",INDEX('CARNET DE SOUDURE'!$U$7:$U$3006,P327)))</f>
        <v/>
      </c>
      <c r="F327" s="82" t="str">
        <f aca="false">IF(OR(C327="",P327=""),"",INDEX('CARNET DE SOUDURE'!$AP$7:$AP$3006,P327))</f>
        <v/>
      </c>
      <c r="G327" s="82" t="str">
        <f aca="false">IF(C327="","",IF(P327="","NJ INCONNU",INDEX('CARNET DE SOUDURE'!$AQ$7:$AQ$3006,P327)))</f>
        <v>À SOUDER</v>
      </c>
      <c r="H327" s="82" t="str">
        <f aca="false">IF(C327="","",IF(G327="ACCEPTÉ","OUI","NON"))</f>
        <v>NON</v>
      </c>
      <c r="I327" s="83"/>
      <c r="J327" s="80"/>
      <c r="K327" s="81"/>
      <c r="L327" s="81"/>
      <c r="M327" s="81"/>
      <c r="N327" s="84" t="str">
        <f aca="false">IF(C327="","",IF(P327="","NJ INCONNU",IF(I327="",IF(H327="OUI","À ENROBER",IF(G327="À SOUDER","NON SOUDÉ","EN ATTENTE RT")),IF(L327="R","À REPRENDRE",IF(H327&lt;&gt;"OUI","⚠ ENROBÉ AVANT ACCEPTATION RT","ENROBÉ")))))</f>
        <v>NON SOUDÉ</v>
      </c>
      <c r="O327" s="80"/>
      <c r="P327" s="82" t="n">
        <f aca="false">IF(C327="","",IFERROR(MATCH(Q327,'CARNET DE SOUDURE'!$AW$7:$AW$3006,0),""))</f>
        <v>321</v>
      </c>
      <c r="Q327" s="82" t="str">
        <f aca="false">IF(C327="","",B327&amp;"|"&amp;C327)</f>
        <v>MFD-ISW → MFD-CPF|JN°321</v>
      </c>
    </row>
    <row r="328" customFormat="false" ht="74.6" hidden="false" customHeight="false" outlineLevel="0" collapsed="false">
      <c r="A328" s="82" t="n">
        <f aca="false">IF(C328="","",ROW()-6)</f>
        <v>322</v>
      </c>
      <c r="B328" s="80" t="s">
        <v>110</v>
      </c>
      <c r="C328" s="113" t="s">
        <v>432</v>
      </c>
      <c r="D328" s="82" t="str">
        <f aca="false">IF(OR(C328="",P328=""),"",INDEX('CARNET DE SOUDURE'!$D$7:$D$3006,P328)&amp;"")</f>
        <v/>
      </c>
      <c r="E328" s="114" t="str">
        <f aca="false">IF(OR(C328="",P328=""),"",IF(INDEX('CARNET DE SOUDURE'!$U$7:$U$3006,P328)="","",INDEX('CARNET DE SOUDURE'!$U$7:$U$3006,P328)))</f>
        <v/>
      </c>
      <c r="F328" s="82" t="str">
        <f aca="false">IF(OR(C328="",P328=""),"",INDEX('CARNET DE SOUDURE'!$AP$7:$AP$3006,P328))</f>
        <v/>
      </c>
      <c r="G328" s="82" t="str">
        <f aca="false">IF(C328="","",IF(P328="","NJ INCONNU",INDEX('CARNET DE SOUDURE'!$AQ$7:$AQ$3006,P328)))</f>
        <v>À SOUDER</v>
      </c>
      <c r="H328" s="82" t="str">
        <f aca="false">IF(C328="","",IF(G328="ACCEPTÉ","OUI","NON"))</f>
        <v>NON</v>
      </c>
      <c r="I328" s="83"/>
      <c r="J328" s="80"/>
      <c r="K328" s="81"/>
      <c r="L328" s="81"/>
      <c r="M328" s="81"/>
      <c r="N328" s="84" t="str">
        <f aca="false">IF(C328="","",IF(P328="","NJ INCONNU",IF(I328="",IF(H328="OUI","À ENROBER",IF(G328="À SOUDER","NON SOUDÉ","EN ATTENTE RT")),IF(L328="R","À REPRENDRE",IF(H328&lt;&gt;"OUI","⚠ ENROBÉ AVANT ACCEPTATION RT","ENROBÉ")))))</f>
        <v>NON SOUDÉ</v>
      </c>
      <c r="O328" s="80"/>
      <c r="P328" s="82" t="n">
        <f aca="false">IF(C328="","",IFERROR(MATCH(Q328,'CARNET DE SOUDURE'!$AW$7:$AW$3006,0),""))</f>
        <v>322</v>
      </c>
      <c r="Q328" s="82" t="str">
        <f aca="false">IF(C328="","",B328&amp;"|"&amp;C328)</f>
        <v>MFD-ISW → MFD-CPF|JN°322</v>
      </c>
    </row>
    <row r="329" customFormat="false" ht="74.6" hidden="false" customHeight="false" outlineLevel="0" collapsed="false">
      <c r="A329" s="82" t="n">
        <f aca="false">IF(C329="","",ROW()-6)</f>
        <v>323</v>
      </c>
      <c r="B329" s="80" t="s">
        <v>110</v>
      </c>
      <c r="C329" s="113" t="s">
        <v>433</v>
      </c>
      <c r="D329" s="82" t="str">
        <f aca="false">IF(OR(C329="",P329=""),"",INDEX('CARNET DE SOUDURE'!$D$7:$D$3006,P329)&amp;"")</f>
        <v/>
      </c>
      <c r="E329" s="114" t="str">
        <f aca="false">IF(OR(C329="",P329=""),"",IF(INDEX('CARNET DE SOUDURE'!$U$7:$U$3006,P329)="","",INDEX('CARNET DE SOUDURE'!$U$7:$U$3006,P329)))</f>
        <v/>
      </c>
      <c r="F329" s="82" t="str">
        <f aca="false">IF(OR(C329="",P329=""),"",INDEX('CARNET DE SOUDURE'!$AP$7:$AP$3006,P329))</f>
        <v/>
      </c>
      <c r="G329" s="82" t="str">
        <f aca="false">IF(C329="","",IF(P329="","NJ INCONNU",INDEX('CARNET DE SOUDURE'!$AQ$7:$AQ$3006,P329)))</f>
        <v>À SOUDER</v>
      </c>
      <c r="H329" s="82" t="str">
        <f aca="false">IF(C329="","",IF(G329="ACCEPTÉ","OUI","NON"))</f>
        <v>NON</v>
      </c>
      <c r="I329" s="83"/>
      <c r="J329" s="80"/>
      <c r="K329" s="81"/>
      <c r="L329" s="81"/>
      <c r="M329" s="81"/>
      <c r="N329" s="84" t="str">
        <f aca="false">IF(C329="","",IF(P329="","NJ INCONNU",IF(I329="",IF(H329="OUI","À ENROBER",IF(G329="À SOUDER","NON SOUDÉ","EN ATTENTE RT")),IF(L329="R","À REPRENDRE",IF(H329&lt;&gt;"OUI","⚠ ENROBÉ AVANT ACCEPTATION RT","ENROBÉ")))))</f>
        <v>NON SOUDÉ</v>
      </c>
      <c r="O329" s="80"/>
      <c r="P329" s="82" t="n">
        <f aca="false">IF(C329="","",IFERROR(MATCH(Q329,'CARNET DE SOUDURE'!$AW$7:$AW$3006,0),""))</f>
        <v>323</v>
      </c>
      <c r="Q329" s="82" t="str">
        <f aca="false">IF(C329="","",B329&amp;"|"&amp;C329)</f>
        <v>MFD-ISW → MFD-CPF|JN°323</v>
      </c>
    </row>
    <row r="330" customFormat="false" ht="74.6" hidden="false" customHeight="false" outlineLevel="0" collapsed="false">
      <c r="A330" s="82" t="n">
        <f aca="false">IF(C330="","",ROW()-6)</f>
        <v>324</v>
      </c>
      <c r="B330" s="80" t="s">
        <v>110</v>
      </c>
      <c r="C330" s="113" t="s">
        <v>434</v>
      </c>
      <c r="D330" s="82" t="str">
        <f aca="false">IF(OR(C330="",P330=""),"",INDEX('CARNET DE SOUDURE'!$D$7:$D$3006,P330)&amp;"")</f>
        <v/>
      </c>
      <c r="E330" s="114" t="str">
        <f aca="false">IF(OR(C330="",P330=""),"",IF(INDEX('CARNET DE SOUDURE'!$U$7:$U$3006,P330)="","",INDEX('CARNET DE SOUDURE'!$U$7:$U$3006,P330)))</f>
        <v/>
      </c>
      <c r="F330" s="82" t="str">
        <f aca="false">IF(OR(C330="",P330=""),"",INDEX('CARNET DE SOUDURE'!$AP$7:$AP$3006,P330))</f>
        <v/>
      </c>
      <c r="G330" s="82" t="str">
        <f aca="false">IF(C330="","",IF(P330="","NJ INCONNU",INDEX('CARNET DE SOUDURE'!$AQ$7:$AQ$3006,P330)))</f>
        <v>À SOUDER</v>
      </c>
      <c r="H330" s="82" t="str">
        <f aca="false">IF(C330="","",IF(G330="ACCEPTÉ","OUI","NON"))</f>
        <v>NON</v>
      </c>
      <c r="I330" s="83"/>
      <c r="J330" s="80"/>
      <c r="K330" s="81"/>
      <c r="L330" s="81"/>
      <c r="M330" s="81"/>
      <c r="N330" s="84" t="str">
        <f aca="false">IF(C330="","",IF(P330="","NJ INCONNU",IF(I330="",IF(H330="OUI","À ENROBER",IF(G330="À SOUDER","NON SOUDÉ","EN ATTENTE RT")),IF(L330="R","À REPRENDRE",IF(H330&lt;&gt;"OUI","⚠ ENROBÉ AVANT ACCEPTATION RT","ENROBÉ")))))</f>
        <v>NON SOUDÉ</v>
      </c>
      <c r="O330" s="80"/>
      <c r="P330" s="82" t="n">
        <f aca="false">IF(C330="","",IFERROR(MATCH(Q330,'CARNET DE SOUDURE'!$AW$7:$AW$3006,0),""))</f>
        <v>324</v>
      </c>
      <c r="Q330" s="82" t="str">
        <f aca="false">IF(C330="","",B330&amp;"|"&amp;C330)</f>
        <v>MFD-ISW → MFD-CPF|JN°324</v>
      </c>
    </row>
    <row r="331" customFormat="false" ht="74.6" hidden="false" customHeight="false" outlineLevel="0" collapsed="false">
      <c r="A331" s="82" t="n">
        <f aca="false">IF(C331="","",ROW()-6)</f>
        <v>325</v>
      </c>
      <c r="B331" s="80" t="s">
        <v>110</v>
      </c>
      <c r="C331" s="113" t="s">
        <v>435</v>
      </c>
      <c r="D331" s="82" t="str">
        <f aca="false">IF(OR(C331="",P331=""),"",INDEX('CARNET DE SOUDURE'!$D$7:$D$3006,P331)&amp;"")</f>
        <v/>
      </c>
      <c r="E331" s="114" t="str">
        <f aca="false">IF(OR(C331="",P331=""),"",IF(INDEX('CARNET DE SOUDURE'!$U$7:$U$3006,P331)="","",INDEX('CARNET DE SOUDURE'!$U$7:$U$3006,P331)))</f>
        <v/>
      </c>
      <c r="F331" s="82" t="str">
        <f aca="false">IF(OR(C331="",P331=""),"",INDEX('CARNET DE SOUDURE'!$AP$7:$AP$3006,P331))</f>
        <v/>
      </c>
      <c r="G331" s="82" t="str">
        <f aca="false">IF(C331="","",IF(P331="","NJ INCONNU",INDEX('CARNET DE SOUDURE'!$AQ$7:$AQ$3006,P331)))</f>
        <v>À SOUDER</v>
      </c>
      <c r="H331" s="82" t="str">
        <f aca="false">IF(C331="","",IF(G331="ACCEPTÉ","OUI","NON"))</f>
        <v>NON</v>
      </c>
      <c r="I331" s="83"/>
      <c r="J331" s="80"/>
      <c r="K331" s="81"/>
      <c r="L331" s="81"/>
      <c r="M331" s="81"/>
      <c r="N331" s="84" t="str">
        <f aca="false">IF(C331="","",IF(P331="","NJ INCONNU",IF(I331="",IF(H331="OUI","À ENROBER",IF(G331="À SOUDER","NON SOUDÉ","EN ATTENTE RT")),IF(L331="R","À REPRENDRE",IF(H331&lt;&gt;"OUI","⚠ ENROBÉ AVANT ACCEPTATION RT","ENROBÉ")))))</f>
        <v>NON SOUDÉ</v>
      </c>
      <c r="O331" s="80"/>
      <c r="P331" s="82" t="n">
        <f aca="false">IF(C331="","",IFERROR(MATCH(Q331,'CARNET DE SOUDURE'!$AW$7:$AW$3006,0),""))</f>
        <v>325</v>
      </c>
      <c r="Q331" s="82" t="str">
        <f aca="false">IF(C331="","",B331&amp;"|"&amp;C331)</f>
        <v>MFD-ISW → MFD-CPF|JN°325</v>
      </c>
    </row>
    <row r="332" customFormat="false" ht="74.6" hidden="false" customHeight="false" outlineLevel="0" collapsed="false">
      <c r="A332" s="82" t="n">
        <f aca="false">IF(C332="","",ROW()-6)</f>
        <v>326</v>
      </c>
      <c r="B332" s="80" t="s">
        <v>110</v>
      </c>
      <c r="C332" s="113" t="s">
        <v>436</v>
      </c>
      <c r="D332" s="82" t="str">
        <f aca="false">IF(OR(C332="",P332=""),"",INDEX('CARNET DE SOUDURE'!$D$7:$D$3006,P332)&amp;"")</f>
        <v/>
      </c>
      <c r="E332" s="114" t="str">
        <f aca="false">IF(OR(C332="",P332=""),"",IF(INDEX('CARNET DE SOUDURE'!$U$7:$U$3006,P332)="","",INDEX('CARNET DE SOUDURE'!$U$7:$U$3006,P332)))</f>
        <v/>
      </c>
      <c r="F332" s="82" t="str">
        <f aca="false">IF(OR(C332="",P332=""),"",INDEX('CARNET DE SOUDURE'!$AP$7:$AP$3006,P332))</f>
        <v/>
      </c>
      <c r="G332" s="82" t="str">
        <f aca="false">IF(C332="","",IF(P332="","NJ INCONNU",INDEX('CARNET DE SOUDURE'!$AQ$7:$AQ$3006,P332)))</f>
        <v>À SOUDER</v>
      </c>
      <c r="H332" s="82" t="str">
        <f aca="false">IF(C332="","",IF(G332="ACCEPTÉ","OUI","NON"))</f>
        <v>NON</v>
      </c>
      <c r="I332" s="83"/>
      <c r="J332" s="80"/>
      <c r="K332" s="81"/>
      <c r="L332" s="81"/>
      <c r="M332" s="81"/>
      <c r="N332" s="84" t="str">
        <f aca="false">IF(C332="","",IF(P332="","NJ INCONNU",IF(I332="",IF(H332="OUI","À ENROBER",IF(G332="À SOUDER","NON SOUDÉ","EN ATTENTE RT")),IF(L332="R","À REPRENDRE",IF(H332&lt;&gt;"OUI","⚠ ENROBÉ AVANT ACCEPTATION RT","ENROBÉ")))))</f>
        <v>NON SOUDÉ</v>
      </c>
      <c r="O332" s="80"/>
      <c r="P332" s="82" t="n">
        <f aca="false">IF(C332="","",IFERROR(MATCH(Q332,'CARNET DE SOUDURE'!$AW$7:$AW$3006,0),""))</f>
        <v>326</v>
      </c>
      <c r="Q332" s="82" t="str">
        <f aca="false">IF(C332="","",B332&amp;"|"&amp;C332)</f>
        <v>MFD-ISW → MFD-CPF|JN°326</v>
      </c>
    </row>
    <row r="333" customFormat="false" ht="74.6" hidden="false" customHeight="false" outlineLevel="0" collapsed="false">
      <c r="A333" s="82" t="n">
        <f aca="false">IF(C333="","",ROW()-6)</f>
        <v>327</v>
      </c>
      <c r="B333" s="80" t="s">
        <v>110</v>
      </c>
      <c r="C333" s="113" t="s">
        <v>437</v>
      </c>
      <c r="D333" s="82" t="str">
        <f aca="false">IF(OR(C333="",P333=""),"",INDEX('CARNET DE SOUDURE'!$D$7:$D$3006,P333)&amp;"")</f>
        <v/>
      </c>
      <c r="E333" s="114" t="str">
        <f aca="false">IF(OR(C333="",P333=""),"",IF(INDEX('CARNET DE SOUDURE'!$U$7:$U$3006,P333)="","",INDEX('CARNET DE SOUDURE'!$U$7:$U$3006,P333)))</f>
        <v/>
      </c>
      <c r="F333" s="82" t="str">
        <f aca="false">IF(OR(C333="",P333=""),"",INDEX('CARNET DE SOUDURE'!$AP$7:$AP$3006,P333))</f>
        <v/>
      </c>
      <c r="G333" s="82" t="str">
        <f aca="false">IF(C333="","",IF(P333="","NJ INCONNU",INDEX('CARNET DE SOUDURE'!$AQ$7:$AQ$3006,P333)))</f>
        <v>À SOUDER</v>
      </c>
      <c r="H333" s="82" t="str">
        <f aca="false">IF(C333="","",IF(G333="ACCEPTÉ","OUI","NON"))</f>
        <v>NON</v>
      </c>
      <c r="I333" s="83"/>
      <c r="J333" s="80"/>
      <c r="K333" s="81"/>
      <c r="L333" s="81"/>
      <c r="M333" s="81"/>
      <c r="N333" s="84" t="str">
        <f aca="false">IF(C333="","",IF(P333="","NJ INCONNU",IF(I333="",IF(H333="OUI","À ENROBER",IF(G333="À SOUDER","NON SOUDÉ","EN ATTENTE RT")),IF(L333="R","À REPRENDRE",IF(H333&lt;&gt;"OUI","⚠ ENROBÉ AVANT ACCEPTATION RT","ENROBÉ")))))</f>
        <v>NON SOUDÉ</v>
      </c>
      <c r="O333" s="80"/>
      <c r="P333" s="82" t="n">
        <f aca="false">IF(C333="","",IFERROR(MATCH(Q333,'CARNET DE SOUDURE'!$AW$7:$AW$3006,0),""))</f>
        <v>327</v>
      </c>
      <c r="Q333" s="82" t="str">
        <f aca="false">IF(C333="","",B333&amp;"|"&amp;C333)</f>
        <v>MFD-ISW → MFD-CPF|JN°327</v>
      </c>
    </row>
    <row r="334" customFormat="false" ht="74.6" hidden="false" customHeight="false" outlineLevel="0" collapsed="false">
      <c r="A334" s="82" t="n">
        <f aca="false">IF(C334="","",ROW()-6)</f>
        <v>328</v>
      </c>
      <c r="B334" s="80" t="s">
        <v>110</v>
      </c>
      <c r="C334" s="113" t="s">
        <v>438</v>
      </c>
      <c r="D334" s="82" t="str">
        <f aca="false">IF(OR(C334="",P334=""),"",INDEX('CARNET DE SOUDURE'!$D$7:$D$3006,P334)&amp;"")</f>
        <v/>
      </c>
      <c r="E334" s="114" t="str">
        <f aca="false">IF(OR(C334="",P334=""),"",IF(INDEX('CARNET DE SOUDURE'!$U$7:$U$3006,P334)="","",INDEX('CARNET DE SOUDURE'!$U$7:$U$3006,P334)))</f>
        <v/>
      </c>
      <c r="F334" s="82" t="str">
        <f aca="false">IF(OR(C334="",P334=""),"",INDEX('CARNET DE SOUDURE'!$AP$7:$AP$3006,P334))</f>
        <v/>
      </c>
      <c r="G334" s="82" t="str">
        <f aca="false">IF(C334="","",IF(P334="","NJ INCONNU",INDEX('CARNET DE SOUDURE'!$AQ$7:$AQ$3006,P334)))</f>
        <v>À SOUDER</v>
      </c>
      <c r="H334" s="82" t="str">
        <f aca="false">IF(C334="","",IF(G334="ACCEPTÉ","OUI","NON"))</f>
        <v>NON</v>
      </c>
      <c r="I334" s="83"/>
      <c r="J334" s="80"/>
      <c r="K334" s="81"/>
      <c r="L334" s="81"/>
      <c r="M334" s="81"/>
      <c r="N334" s="84" t="str">
        <f aca="false">IF(C334="","",IF(P334="","NJ INCONNU",IF(I334="",IF(H334="OUI","À ENROBER",IF(G334="À SOUDER","NON SOUDÉ","EN ATTENTE RT")),IF(L334="R","À REPRENDRE",IF(H334&lt;&gt;"OUI","⚠ ENROBÉ AVANT ACCEPTATION RT","ENROBÉ")))))</f>
        <v>NON SOUDÉ</v>
      </c>
      <c r="O334" s="80"/>
      <c r="P334" s="82" t="n">
        <f aca="false">IF(C334="","",IFERROR(MATCH(Q334,'CARNET DE SOUDURE'!$AW$7:$AW$3006,0),""))</f>
        <v>328</v>
      </c>
      <c r="Q334" s="82" t="str">
        <f aca="false">IF(C334="","",B334&amp;"|"&amp;C334)</f>
        <v>MFD-ISW → MFD-CPF|JN°328</v>
      </c>
    </row>
    <row r="335" customFormat="false" ht="74.6" hidden="false" customHeight="false" outlineLevel="0" collapsed="false">
      <c r="A335" s="82" t="n">
        <f aca="false">IF(C335="","",ROW()-6)</f>
        <v>329</v>
      </c>
      <c r="B335" s="80" t="s">
        <v>110</v>
      </c>
      <c r="C335" s="113" t="s">
        <v>439</v>
      </c>
      <c r="D335" s="82" t="str">
        <f aca="false">IF(OR(C335="",P335=""),"",INDEX('CARNET DE SOUDURE'!$D$7:$D$3006,P335)&amp;"")</f>
        <v/>
      </c>
      <c r="E335" s="114" t="str">
        <f aca="false">IF(OR(C335="",P335=""),"",IF(INDEX('CARNET DE SOUDURE'!$U$7:$U$3006,P335)="","",INDEX('CARNET DE SOUDURE'!$U$7:$U$3006,P335)))</f>
        <v/>
      </c>
      <c r="F335" s="82" t="str">
        <f aca="false">IF(OR(C335="",P335=""),"",INDEX('CARNET DE SOUDURE'!$AP$7:$AP$3006,P335))</f>
        <v/>
      </c>
      <c r="G335" s="82" t="str">
        <f aca="false">IF(C335="","",IF(P335="","NJ INCONNU",INDEX('CARNET DE SOUDURE'!$AQ$7:$AQ$3006,P335)))</f>
        <v>À SOUDER</v>
      </c>
      <c r="H335" s="82" t="str">
        <f aca="false">IF(C335="","",IF(G335="ACCEPTÉ","OUI","NON"))</f>
        <v>NON</v>
      </c>
      <c r="I335" s="83"/>
      <c r="J335" s="80"/>
      <c r="K335" s="81"/>
      <c r="L335" s="81"/>
      <c r="M335" s="81"/>
      <c r="N335" s="84" t="str">
        <f aca="false">IF(C335="","",IF(P335="","NJ INCONNU",IF(I335="",IF(H335="OUI","À ENROBER",IF(G335="À SOUDER","NON SOUDÉ","EN ATTENTE RT")),IF(L335="R","À REPRENDRE",IF(H335&lt;&gt;"OUI","⚠ ENROBÉ AVANT ACCEPTATION RT","ENROBÉ")))))</f>
        <v>NON SOUDÉ</v>
      </c>
      <c r="O335" s="80"/>
      <c r="P335" s="82" t="n">
        <f aca="false">IF(C335="","",IFERROR(MATCH(Q335,'CARNET DE SOUDURE'!$AW$7:$AW$3006,0),""))</f>
        <v>329</v>
      </c>
      <c r="Q335" s="82" t="str">
        <f aca="false">IF(C335="","",B335&amp;"|"&amp;C335)</f>
        <v>MFD-ISW → MFD-CPF|JN°329</v>
      </c>
    </row>
    <row r="336" customFormat="false" ht="74.6" hidden="false" customHeight="false" outlineLevel="0" collapsed="false">
      <c r="A336" s="82" t="n">
        <f aca="false">IF(C336="","",ROW()-6)</f>
        <v>330</v>
      </c>
      <c r="B336" s="80" t="s">
        <v>110</v>
      </c>
      <c r="C336" s="113" t="s">
        <v>440</v>
      </c>
      <c r="D336" s="82" t="str">
        <f aca="false">IF(OR(C336="",P336=""),"",INDEX('CARNET DE SOUDURE'!$D$7:$D$3006,P336)&amp;"")</f>
        <v/>
      </c>
      <c r="E336" s="114" t="str">
        <f aca="false">IF(OR(C336="",P336=""),"",IF(INDEX('CARNET DE SOUDURE'!$U$7:$U$3006,P336)="","",INDEX('CARNET DE SOUDURE'!$U$7:$U$3006,P336)))</f>
        <v/>
      </c>
      <c r="F336" s="82" t="str">
        <f aca="false">IF(OR(C336="",P336=""),"",INDEX('CARNET DE SOUDURE'!$AP$7:$AP$3006,P336))</f>
        <v/>
      </c>
      <c r="G336" s="82" t="str">
        <f aca="false">IF(C336="","",IF(P336="","NJ INCONNU",INDEX('CARNET DE SOUDURE'!$AQ$7:$AQ$3006,P336)))</f>
        <v>À SOUDER</v>
      </c>
      <c r="H336" s="82" t="str">
        <f aca="false">IF(C336="","",IF(G336="ACCEPTÉ","OUI","NON"))</f>
        <v>NON</v>
      </c>
      <c r="I336" s="83"/>
      <c r="J336" s="80"/>
      <c r="K336" s="81"/>
      <c r="L336" s="81"/>
      <c r="M336" s="81"/>
      <c r="N336" s="84" t="str">
        <f aca="false">IF(C336="","",IF(P336="","NJ INCONNU",IF(I336="",IF(H336="OUI","À ENROBER",IF(G336="À SOUDER","NON SOUDÉ","EN ATTENTE RT")),IF(L336="R","À REPRENDRE",IF(H336&lt;&gt;"OUI","⚠ ENROBÉ AVANT ACCEPTATION RT","ENROBÉ")))))</f>
        <v>NON SOUDÉ</v>
      </c>
      <c r="O336" s="80"/>
      <c r="P336" s="82" t="n">
        <f aca="false">IF(C336="","",IFERROR(MATCH(Q336,'CARNET DE SOUDURE'!$AW$7:$AW$3006,0),""))</f>
        <v>330</v>
      </c>
      <c r="Q336" s="82" t="str">
        <f aca="false">IF(C336="","",B336&amp;"|"&amp;C336)</f>
        <v>MFD-ISW → MFD-CPF|JN°330</v>
      </c>
    </row>
    <row r="337" customFormat="false" ht="74.6" hidden="false" customHeight="false" outlineLevel="0" collapsed="false">
      <c r="A337" s="82" t="n">
        <f aca="false">IF(C337="","",ROW()-6)</f>
        <v>331</v>
      </c>
      <c r="B337" s="80" t="s">
        <v>110</v>
      </c>
      <c r="C337" s="113" t="s">
        <v>441</v>
      </c>
      <c r="D337" s="82" t="str">
        <f aca="false">IF(OR(C337="",P337=""),"",INDEX('CARNET DE SOUDURE'!$D$7:$D$3006,P337)&amp;"")</f>
        <v/>
      </c>
      <c r="E337" s="114" t="str">
        <f aca="false">IF(OR(C337="",P337=""),"",IF(INDEX('CARNET DE SOUDURE'!$U$7:$U$3006,P337)="","",INDEX('CARNET DE SOUDURE'!$U$7:$U$3006,P337)))</f>
        <v/>
      </c>
      <c r="F337" s="82" t="str">
        <f aca="false">IF(OR(C337="",P337=""),"",INDEX('CARNET DE SOUDURE'!$AP$7:$AP$3006,P337))</f>
        <v/>
      </c>
      <c r="G337" s="82" t="str">
        <f aca="false">IF(C337="","",IF(P337="","NJ INCONNU",INDEX('CARNET DE SOUDURE'!$AQ$7:$AQ$3006,P337)))</f>
        <v>À SOUDER</v>
      </c>
      <c r="H337" s="82" t="str">
        <f aca="false">IF(C337="","",IF(G337="ACCEPTÉ","OUI","NON"))</f>
        <v>NON</v>
      </c>
      <c r="I337" s="83"/>
      <c r="J337" s="80"/>
      <c r="K337" s="81"/>
      <c r="L337" s="81"/>
      <c r="M337" s="81"/>
      <c r="N337" s="84" t="str">
        <f aca="false">IF(C337="","",IF(P337="","NJ INCONNU",IF(I337="",IF(H337="OUI","À ENROBER",IF(G337="À SOUDER","NON SOUDÉ","EN ATTENTE RT")),IF(L337="R","À REPRENDRE",IF(H337&lt;&gt;"OUI","⚠ ENROBÉ AVANT ACCEPTATION RT","ENROBÉ")))))</f>
        <v>NON SOUDÉ</v>
      </c>
      <c r="O337" s="80"/>
      <c r="P337" s="82" t="n">
        <f aca="false">IF(C337="","",IFERROR(MATCH(Q337,'CARNET DE SOUDURE'!$AW$7:$AW$3006,0),""))</f>
        <v>331</v>
      </c>
      <c r="Q337" s="82" t="str">
        <f aca="false">IF(C337="","",B337&amp;"|"&amp;C337)</f>
        <v>MFD-ISW → MFD-CPF|JN°331</v>
      </c>
    </row>
    <row r="338" customFormat="false" ht="74.6" hidden="false" customHeight="false" outlineLevel="0" collapsed="false">
      <c r="A338" s="82" t="n">
        <f aca="false">IF(C338="","",ROW()-6)</f>
        <v>332</v>
      </c>
      <c r="B338" s="80" t="s">
        <v>110</v>
      </c>
      <c r="C338" s="113" t="s">
        <v>442</v>
      </c>
      <c r="D338" s="82" t="str">
        <f aca="false">IF(OR(C338="",P338=""),"",INDEX('CARNET DE SOUDURE'!$D$7:$D$3006,P338)&amp;"")</f>
        <v/>
      </c>
      <c r="E338" s="114" t="str">
        <f aca="false">IF(OR(C338="",P338=""),"",IF(INDEX('CARNET DE SOUDURE'!$U$7:$U$3006,P338)="","",INDEX('CARNET DE SOUDURE'!$U$7:$U$3006,P338)))</f>
        <v/>
      </c>
      <c r="F338" s="82" t="str">
        <f aca="false">IF(OR(C338="",P338=""),"",INDEX('CARNET DE SOUDURE'!$AP$7:$AP$3006,P338))</f>
        <v/>
      </c>
      <c r="G338" s="82" t="str">
        <f aca="false">IF(C338="","",IF(P338="","NJ INCONNU",INDEX('CARNET DE SOUDURE'!$AQ$7:$AQ$3006,P338)))</f>
        <v>À SOUDER</v>
      </c>
      <c r="H338" s="82" t="str">
        <f aca="false">IF(C338="","",IF(G338="ACCEPTÉ","OUI","NON"))</f>
        <v>NON</v>
      </c>
      <c r="I338" s="83"/>
      <c r="J338" s="80"/>
      <c r="K338" s="81"/>
      <c r="L338" s="81"/>
      <c r="M338" s="81"/>
      <c r="N338" s="84" t="str">
        <f aca="false">IF(C338="","",IF(P338="","NJ INCONNU",IF(I338="",IF(H338="OUI","À ENROBER",IF(G338="À SOUDER","NON SOUDÉ","EN ATTENTE RT")),IF(L338="R","À REPRENDRE",IF(H338&lt;&gt;"OUI","⚠ ENROBÉ AVANT ACCEPTATION RT","ENROBÉ")))))</f>
        <v>NON SOUDÉ</v>
      </c>
      <c r="O338" s="80"/>
      <c r="P338" s="82" t="n">
        <f aca="false">IF(C338="","",IFERROR(MATCH(Q338,'CARNET DE SOUDURE'!$AW$7:$AW$3006,0),""))</f>
        <v>332</v>
      </c>
      <c r="Q338" s="82" t="str">
        <f aca="false">IF(C338="","",B338&amp;"|"&amp;C338)</f>
        <v>MFD-ISW → MFD-CPF|JN°332</v>
      </c>
    </row>
    <row r="339" customFormat="false" ht="74.6" hidden="false" customHeight="false" outlineLevel="0" collapsed="false">
      <c r="A339" s="82" t="n">
        <f aca="false">IF(C339="","",ROW()-6)</f>
        <v>333</v>
      </c>
      <c r="B339" s="80" t="s">
        <v>110</v>
      </c>
      <c r="C339" s="113" t="s">
        <v>443</v>
      </c>
      <c r="D339" s="82" t="str">
        <f aca="false">IF(OR(C339="",P339=""),"",INDEX('CARNET DE SOUDURE'!$D$7:$D$3006,P339)&amp;"")</f>
        <v/>
      </c>
      <c r="E339" s="114" t="str">
        <f aca="false">IF(OR(C339="",P339=""),"",IF(INDEX('CARNET DE SOUDURE'!$U$7:$U$3006,P339)="","",INDEX('CARNET DE SOUDURE'!$U$7:$U$3006,P339)))</f>
        <v/>
      </c>
      <c r="F339" s="82" t="str">
        <f aca="false">IF(OR(C339="",P339=""),"",INDEX('CARNET DE SOUDURE'!$AP$7:$AP$3006,P339))</f>
        <v/>
      </c>
      <c r="G339" s="82" t="str">
        <f aca="false">IF(C339="","",IF(P339="","NJ INCONNU",INDEX('CARNET DE SOUDURE'!$AQ$7:$AQ$3006,P339)))</f>
        <v>À SOUDER</v>
      </c>
      <c r="H339" s="82" t="str">
        <f aca="false">IF(C339="","",IF(G339="ACCEPTÉ","OUI","NON"))</f>
        <v>NON</v>
      </c>
      <c r="I339" s="83"/>
      <c r="J339" s="80"/>
      <c r="K339" s="81"/>
      <c r="L339" s="81"/>
      <c r="M339" s="81"/>
      <c r="N339" s="84" t="str">
        <f aca="false">IF(C339="","",IF(P339="","NJ INCONNU",IF(I339="",IF(H339="OUI","À ENROBER",IF(G339="À SOUDER","NON SOUDÉ","EN ATTENTE RT")),IF(L339="R","À REPRENDRE",IF(H339&lt;&gt;"OUI","⚠ ENROBÉ AVANT ACCEPTATION RT","ENROBÉ")))))</f>
        <v>NON SOUDÉ</v>
      </c>
      <c r="O339" s="80"/>
      <c r="P339" s="82" t="n">
        <f aca="false">IF(C339="","",IFERROR(MATCH(Q339,'CARNET DE SOUDURE'!$AW$7:$AW$3006,0),""))</f>
        <v>333</v>
      </c>
      <c r="Q339" s="82" t="str">
        <f aca="false">IF(C339="","",B339&amp;"|"&amp;C339)</f>
        <v>MFD-ISW → MFD-CPF|JN°333</v>
      </c>
    </row>
    <row r="340" customFormat="false" ht="74.6" hidden="false" customHeight="false" outlineLevel="0" collapsed="false">
      <c r="A340" s="82" t="n">
        <f aca="false">IF(C340="","",ROW()-6)</f>
        <v>334</v>
      </c>
      <c r="B340" s="80" t="s">
        <v>110</v>
      </c>
      <c r="C340" s="113" t="s">
        <v>444</v>
      </c>
      <c r="D340" s="82" t="str">
        <f aca="false">IF(OR(C340="",P340=""),"",INDEX('CARNET DE SOUDURE'!$D$7:$D$3006,P340)&amp;"")</f>
        <v/>
      </c>
      <c r="E340" s="114" t="str">
        <f aca="false">IF(OR(C340="",P340=""),"",IF(INDEX('CARNET DE SOUDURE'!$U$7:$U$3006,P340)="","",INDEX('CARNET DE SOUDURE'!$U$7:$U$3006,P340)))</f>
        <v/>
      </c>
      <c r="F340" s="82" t="str">
        <f aca="false">IF(OR(C340="",P340=""),"",INDEX('CARNET DE SOUDURE'!$AP$7:$AP$3006,P340))</f>
        <v/>
      </c>
      <c r="G340" s="82" t="str">
        <f aca="false">IF(C340="","",IF(P340="","NJ INCONNU",INDEX('CARNET DE SOUDURE'!$AQ$7:$AQ$3006,P340)))</f>
        <v>À SOUDER</v>
      </c>
      <c r="H340" s="82" t="str">
        <f aca="false">IF(C340="","",IF(G340="ACCEPTÉ","OUI","NON"))</f>
        <v>NON</v>
      </c>
      <c r="I340" s="83"/>
      <c r="J340" s="80"/>
      <c r="K340" s="81"/>
      <c r="L340" s="81"/>
      <c r="M340" s="81"/>
      <c r="N340" s="84" t="str">
        <f aca="false">IF(C340="","",IF(P340="","NJ INCONNU",IF(I340="",IF(H340="OUI","À ENROBER",IF(G340="À SOUDER","NON SOUDÉ","EN ATTENTE RT")),IF(L340="R","À REPRENDRE",IF(H340&lt;&gt;"OUI","⚠ ENROBÉ AVANT ACCEPTATION RT","ENROBÉ")))))</f>
        <v>NON SOUDÉ</v>
      </c>
      <c r="O340" s="80"/>
      <c r="P340" s="82" t="n">
        <f aca="false">IF(C340="","",IFERROR(MATCH(Q340,'CARNET DE SOUDURE'!$AW$7:$AW$3006,0),""))</f>
        <v>334</v>
      </c>
      <c r="Q340" s="82" t="str">
        <f aca="false">IF(C340="","",B340&amp;"|"&amp;C340)</f>
        <v>MFD-ISW → MFD-CPF|JN°334</v>
      </c>
    </row>
    <row r="341" customFormat="false" ht="74.6" hidden="false" customHeight="false" outlineLevel="0" collapsed="false">
      <c r="A341" s="82" t="n">
        <f aca="false">IF(C341="","",ROW()-6)</f>
        <v>335</v>
      </c>
      <c r="B341" s="80" t="s">
        <v>110</v>
      </c>
      <c r="C341" s="113" t="s">
        <v>445</v>
      </c>
      <c r="D341" s="82" t="str">
        <f aca="false">IF(OR(C341="",P341=""),"",INDEX('CARNET DE SOUDURE'!$D$7:$D$3006,P341)&amp;"")</f>
        <v/>
      </c>
      <c r="E341" s="114" t="str">
        <f aca="false">IF(OR(C341="",P341=""),"",IF(INDEX('CARNET DE SOUDURE'!$U$7:$U$3006,P341)="","",INDEX('CARNET DE SOUDURE'!$U$7:$U$3006,P341)))</f>
        <v/>
      </c>
      <c r="F341" s="82" t="str">
        <f aca="false">IF(OR(C341="",P341=""),"",INDEX('CARNET DE SOUDURE'!$AP$7:$AP$3006,P341))</f>
        <v/>
      </c>
      <c r="G341" s="82" t="str">
        <f aca="false">IF(C341="","",IF(P341="","NJ INCONNU",INDEX('CARNET DE SOUDURE'!$AQ$7:$AQ$3006,P341)))</f>
        <v>À SOUDER</v>
      </c>
      <c r="H341" s="82" t="str">
        <f aca="false">IF(C341="","",IF(G341="ACCEPTÉ","OUI","NON"))</f>
        <v>NON</v>
      </c>
      <c r="I341" s="83"/>
      <c r="J341" s="80"/>
      <c r="K341" s="81"/>
      <c r="L341" s="81"/>
      <c r="M341" s="81"/>
      <c r="N341" s="84" t="str">
        <f aca="false">IF(C341="","",IF(P341="","NJ INCONNU",IF(I341="",IF(H341="OUI","À ENROBER",IF(G341="À SOUDER","NON SOUDÉ","EN ATTENTE RT")),IF(L341="R","À REPRENDRE",IF(H341&lt;&gt;"OUI","⚠ ENROBÉ AVANT ACCEPTATION RT","ENROBÉ")))))</f>
        <v>NON SOUDÉ</v>
      </c>
      <c r="O341" s="80"/>
      <c r="P341" s="82" t="n">
        <f aca="false">IF(C341="","",IFERROR(MATCH(Q341,'CARNET DE SOUDURE'!$AW$7:$AW$3006,0),""))</f>
        <v>335</v>
      </c>
      <c r="Q341" s="82" t="str">
        <f aca="false">IF(C341="","",B341&amp;"|"&amp;C341)</f>
        <v>MFD-ISW → MFD-CPF|JN°335</v>
      </c>
    </row>
    <row r="342" customFormat="false" ht="74.6" hidden="false" customHeight="false" outlineLevel="0" collapsed="false">
      <c r="A342" s="82" t="n">
        <f aca="false">IF(C342="","",ROW()-6)</f>
        <v>336</v>
      </c>
      <c r="B342" s="80" t="s">
        <v>110</v>
      </c>
      <c r="C342" s="113" t="s">
        <v>446</v>
      </c>
      <c r="D342" s="82" t="str">
        <f aca="false">IF(OR(C342="",P342=""),"",INDEX('CARNET DE SOUDURE'!$D$7:$D$3006,P342)&amp;"")</f>
        <v/>
      </c>
      <c r="E342" s="114" t="str">
        <f aca="false">IF(OR(C342="",P342=""),"",IF(INDEX('CARNET DE SOUDURE'!$U$7:$U$3006,P342)="","",INDEX('CARNET DE SOUDURE'!$U$7:$U$3006,P342)))</f>
        <v/>
      </c>
      <c r="F342" s="82" t="str">
        <f aca="false">IF(OR(C342="",P342=""),"",INDEX('CARNET DE SOUDURE'!$AP$7:$AP$3006,P342))</f>
        <v/>
      </c>
      <c r="G342" s="82" t="str">
        <f aca="false">IF(C342="","",IF(P342="","NJ INCONNU",INDEX('CARNET DE SOUDURE'!$AQ$7:$AQ$3006,P342)))</f>
        <v>À SOUDER</v>
      </c>
      <c r="H342" s="82" t="str">
        <f aca="false">IF(C342="","",IF(G342="ACCEPTÉ","OUI","NON"))</f>
        <v>NON</v>
      </c>
      <c r="I342" s="83"/>
      <c r="J342" s="80"/>
      <c r="K342" s="81"/>
      <c r="L342" s="81"/>
      <c r="M342" s="81"/>
      <c r="N342" s="84" t="str">
        <f aca="false">IF(C342="","",IF(P342="","NJ INCONNU",IF(I342="",IF(H342="OUI","À ENROBER",IF(G342="À SOUDER","NON SOUDÉ","EN ATTENTE RT")),IF(L342="R","À REPRENDRE",IF(H342&lt;&gt;"OUI","⚠ ENROBÉ AVANT ACCEPTATION RT","ENROBÉ")))))</f>
        <v>NON SOUDÉ</v>
      </c>
      <c r="O342" s="80"/>
      <c r="P342" s="82" t="n">
        <f aca="false">IF(C342="","",IFERROR(MATCH(Q342,'CARNET DE SOUDURE'!$AW$7:$AW$3006,0),""))</f>
        <v>336</v>
      </c>
      <c r="Q342" s="82" t="str">
        <f aca="false">IF(C342="","",B342&amp;"|"&amp;C342)</f>
        <v>MFD-ISW → MFD-CPF|JN°336</v>
      </c>
    </row>
    <row r="343" customFormat="false" ht="74.6" hidden="false" customHeight="false" outlineLevel="0" collapsed="false">
      <c r="A343" s="82" t="n">
        <f aca="false">IF(C343="","",ROW()-6)</f>
        <v>337</v>
      </c>
      <c r="B343" s="80" t="s">
        <v>110</v>
      </c>
      <c r="C343" s="113" t="s">
        <v>447</v>
      </c>
      <c r="D343" s="82" t="str">
        <f aca="false">IF(OR(C343="",P343=""),"",INDEX('CARNET DE SOUDURE'!$D$7:$D$3006,P343)&amp;"")</f>
        <v/>
      </c>
      <c r="E343" s="114" t="str">
        <f aca="false">IF(OR(C343="",P343=""),"",IF(INDEX('CARNET DE SOUDURE'!$U$7:$U$3006,P343)="","",INDEX('CARNET DE SOUDURE'!$U$7:$U$3006,P343)))</f>
        <v/>
      </c>
      <c r="F343" s="82" t="str">
        <f aca="false">IF(OR(C343="",P343=""),"",INDEX('CARNET DE SOUDURE'!$AP$7:$AP$3006,P343))</f>
        <v/>
      </c>
      <c r="G343" s="82" t="str">
        <f aca="false">IF(C343="","",IF(P343="","NJ INCONNU",INDEX('CARNET DE SOUDURE'!$AQ$7:$AQ$3006,P343)))</f>
        <v>À SOUDER</v>
      </c>
      <c r="H343" s="82" t="str">
        <f aca="false">IF(C343="","",IF(G343="ACCEPTÉ","OUI","NON"))</f>
        <v>NON</v>
      </c>
      <c r="I343" s="83"/>
      <c r="J343" s="80"/>
      <c r="K343" s="81"/>
      <c r="L343" s="81"/>
      <c r="M343" s="81"/>
      <c r="N343" s="84" t="str">
        <f aca="false">IF(C343="","",IF(P343="","NJ INCONNU",IF(I343="",IF(H343="OUI","À ENROBER",IF(G343="À SOUDER","NON SOUDÉ","EN ATTENTE RT")),IF(L343="R","À REPRENDRE",IF(H343&lt;&gt;"OUI","⚠ ENROBÉ AVANT ACCEPTATION RT","ENROBÉ")))))</f>
        <v>NON SOUDÉ</v>
      </c>
      <c r="O343" s="80"/>
      <c r="P343" s="82" t="n">
        <f aca="false">IF(C343="","",IFERROR(MATCH(Q343,'CARNET DE SOUDURE'!$AW$7:$AW$3006,0),""))</f>
        <v>337</v>
      </c>
      <c r="Q343" s="82" t="str">
        <f aca="false">IF(C343="","",B343&amp;"|"&amp;C343)</f>
        <v>MFD-ISW → MFD-CPF|JN°337</v>
      </c>
    </row>
    <row r="344" customFormat="false" ht="74.6" hidden="false" customHeight="false" outlineLevel="0" collapsed="false">
      <c r="A344" s="82" t="n">
        <f aca="false">IF(C344="","",ROW()-6)</f>
        <v>338</v>
      </c>
      <c r="B344" s="80" t="s">
        <v>110</v>
      </c>
      <c r="C344" s="113" t="s">
        <v>448</v>
      </c>
      <c r="D344" s="82" t="str">
        <f aca="false">IF(OR(C344="",P344=""),"",INDEX('CARNET DE SOUDURE'!$D$7:$D$3006,P344)&amp;"")</f>
        <v/>
      </c>
      <c r="E344" s="114" t="str">
        <f aca="false">IF(OR(C344="",P344=""),"",IF(INDEX('CARNET DE SOUDURE'!$U$7:$U$3006,P344)="","",INDEX('CARNET DE SOUDURE'!$U$7:$U$3006,P344)))</f>
        <v/>
      </c>
      <c r="F344" s="82" t="str">
        <f aca="false">IF(OR(C344="",P344=""),"",INDEX('CARNET DE SOUDURE'!$AP$7:$AP$3006,P344))</f>
        <v/>
      </c>
      <c r="G344" s="82" t="str">
        <f aca="false">IF(C344="","",IF(P344="","NJ INCONNU",INDEX('CARNET DE SOUDURE'!$AQ$7:$AQ$3006,P344)))</f>
        <v>À SOUDER</v>
      </c>
      <c r="H344" s="82" t="str">
        <f aca="false">IF(C344="","",IF(G344="ACCEPTÉ","OUI","NON"))</f>
        <v>NON</v>
      </c>
      <c r="I344" s="83"/>
      <c r="J344" s="80"/>
      <c r="K344" s="81"/>
      <c r="L344" s="81"/>
      <c r="M344" s="81"/>
      <c r="N344" s="84" t="str">
        <f aca="false">IF(C344="","",IF(P344="","NJ INCONNU",IF(I344="",IF(H344="OUI","À ENROBER",IF(G344="À SOUDER","NON SOUDÉ","EN ATTENTE RT")),IF(L344="R","À REPRENDRE",IF(H344&lt;&gt;"OUI","⚠ ENROBÉ AVANT ACCEPTATION RT","ENROBÉ")))))</f>
        <v>NON SOUDÉ</v>
      </c>
      <c r="O344" s="80"/>
      <c r="P344" s="82" t="n">
        <f aca="false">IF(C344="","",IFERROR(MATCH(Q344,'CARNET DE SOUDURE'!$AW$7:$AW$3006,0),""))</f>
        <v>338</v>
      </c>
      <c r="Q344" s="82" t="str">
        <f aca="false">IF(C344="","",B344&amp;"|"&amp;C344)</f>
        <v>MFD-ISW → MFD-CPF|JN°338</v>
      </c>
    </row>
    <row r="345" customFormat="false" ht="74.6" hidden="false" customHeight="false" outlineLevel="0" collapsed="false">
      <c r="A345" s="82" t="n">
        <f aca="false">IF(C345="","",ROW()-6)</f>
        <v>339</v>
      </c>
      <c r="B345" s="80" t="s">
        <v>110</v>
      </c>
      <c r="C345" s="113" t="s">
        <v>449</v>
      </c>
      <c r="D345" s="82" t="str">
        <f aca="false">IF(OR(C345="",P345=""),"",INDEX('CARNET DE SOUDURE'!$D$7:$D$3006,P345)&amp;"")</f>
        <v/>
      </c>
      <c r="E345" s="114" t="str">
        <f aca="false">IF(OR(C345="",P345=""),"",IF(INDEX('CARNET DE SOUDURE'!$U$7:$U$3006,P345)="","",INDEX('CARNET DE SOUDURE'!$U$7:$U$3006,P345)))</f>
        <v/>
      </c>
      <c r="F345" s="82" t="str">
        <f aca="false">IF(OR(C345="",P345=""),"",INDEX('CARNET DE SOUDURE'!$AP$7:$AP$3006,P345))</f>
        <v/>
      </c>
      <c r="G345" s="82" t="str">
        <f aca="false">IF(C345="","",IF(P345="","NJ INCONNU",INDEX('CARNET DE SOUDURE'!$AQ$7:$AQ$3006,P345)))</f>
        <v>À SOUDER</v>
      </c>
      <c r="H345" s="82" t="str">
        <f aca="false">IF(C345="","",IF(G345="ACCEPTÉ","OUI","NON"))</f>
        <v>NON</v>
      </c>
      <c r="I345" s="83"/>
      <c r="J345" s="80"/>
      <c r="K345" s="81"/>
      <c r="L345" s="81"/>
      <c r="M345" s="81"/>
      <c r="N345" s="84" t="str">
        <f aca="false">IF(C345="","",IF(P345="","NJ INCONNU",IF(I345="",IF(H345="OUI","À ENROBER",IF(G345="À SOUDER","NON SOUDÉ","EN ATTENTE RT")),IF(L345="R","À REPRENDRE",IF(H345&lt;&gt;"OUI","⚠ ENROBÉ AVANT ACCEPTATION RT","ENROBÉ")))))</f>
        <v>NON SOUDÉ</v>
      </c>
      <c r="O345" s="80"/>
      <c r="P345" s="82" t="n">
        <f aca="false">IF(C345="","",IFERROR(MATCH(Q345,'CARNET DE SOUDURE'!$AW$7:$AW$3006,0),""))</f>
        <v>339</v>
      </c>
      <c r="Q345" s="82" t="str">
        <f aca="false">IF(C345="","",B345&amp;"|"&amp;C345)</f>
        <v>MFD-ISW → MFD-CPF|JN°339</v>
      </c>
    </row>
    <row r="346" customFormat="false" ht="74.6" hidden="false" customHeight="false" outlineLevel="0" collapsed="false">
      <c r="A346" s="82" t="n">
        <f aca="false">IF(C346="","",ROW()-6)</f>
        <v>340</v>
      </c>
      <c r="B346" s="80" t="s">
        <v>110</v>
      </c>
      <c r="C346" s="113" t="s">
        <v>450</v>
      </c>
      <c r="D346" s="82" t="str">
        <f aca="false">IF(OR(C346="",P346=""),"",INDEX('CARNET DE SOUDURE'!$D$7:$D$3006,P346)&amp;"")</f>
        <v/>
      </c>
      <c r="E346" s="114" t="str">
        <f aca="false">IF(OR(C346="",P346=""),"",IF(INDEX('CARNET DE SOUDURE'!$U$7:$U$3006,P346)="","",INDEX('CARNET DE SOUDURE'!$U$7:$U$3006,P346)))</f>
        <v/>
      </c>
      <c r="F346" s="82" t="str">
        <f aca="false">IF(OR(C346="",P346=""),"",INDEX('CARNET DE SOUDURE'!$AP$7:$AP$3006,P346))</f>
        <v/>
      </c>
      <c r="G346" s="82" t="str">
        <f aca="false">IF(C346="","",IF(P346="","NJ INCONNU",INDEX('CARNET DE SOUDURE'!$AQ$7:$AQ$3006,P346)))</f>
        <v>À SOUDER</v>
      </c>
      <c r="H346" s="82" t="str">
        <f aca="false">IF(C346="","",IF(G346="ACCEPTÉ","OUI","NON"))</f>
        <v>NON</v>
      </c>
      <c r="I346" s="83"/>
      <c r="J346" s="80"/>
      <c r="K346" s="81"/>
      <c r="L346" s="81"/>
      <c r="M346" s="81"/>
      <c r="N346" s="84" t="str">
        <f aca="false">IF(C346="","",IF(P346="","NJ INCONNU",IF(I346="",IF(H346="OUI","À ENROBER",IF(G346="À SOUDER","NON SOUDÉ","EN ATTENTE RT")),IF(L346="R","À REPRENDRE",IF(H346&lt;&gt;"OUI","⚠ ENROBÉ AVANT ACCEPTATION RT","ENROBÉ")))))</f>
        <v>NON SOUDÉ</v>
      </c>
      <c r="O346" s="80"/>
      <c r="P346" s="82" t="n">
        <f aca="false">IF(C346="","",IFERROR(MATCH(Q346,'CARNET DE SOUDURE'!$AW$7:$AW$3006,0),""))</f>
        <v>340</v>
      </c>
      <c r="Q346" s="82" t="str">
        <f aca="false">IF(C346="","",B346&amp;"|"&amp;C346)</f>
        <v>MFD-ISW → MFD-CPF|JN°340</v>
      </c>
    </row>
    <row r="347" customFormat="false" ht="74.6" hidden="false" customHeight="false" outlineLevel="0" collapsed="false">
      <c r="A347" s="82" t="n">
        <f aca="false">IF(C347="","",ROW()-6)</f>
        <v>341</v>
      </c>
      <c r="B347" s="80" t="s">
        <v>110</v>
      </c>
      <c r="C347" s="113" t="s">
        <v>451</v>
      </c>
      <c r="D347" s="82" t="str">
        <f aca="false">IF(OR(C347="",P347=""),"",INDEX('CARNET DE SOUDURE'!$D$7:$D$3006,P347)&amp;"")</f>
        <v/>
      </c>
      <c r="E347" s="114" t="str">
        <f aca="false">IF(OR(C347="",P347=""),"",IF(INDEX('CARNET DE SOUDURE'!$U$7:$U$3006,P347)="","",INDEX('CARNET DE SOUDURE'!$U$7:$U$3006,P347)))</f>
        <v/>
      </c>
      <c r="F347" s="82" t="str">
        <f aca="false">IF(OR(C347="",P347=""),"",INDEX('CARNET DE SOUDURE'!$AP$7:$AP$3006,P347))</f>
        <v/>
      </c>
      <c r="G347" s="82" t="str">
        <f aca="false">IF(C347="","",IF(P347="","NJ INCONNU",INDEX('CARNET DE SOUDURE'!$AQ$7:$AQ$3006,P347)))</f>
        <v>À SOUDER</v>
      </c>
      <c r="H347" s="82" t="str">
        <f aca="false">IF(C347="","",IF(G347="ACCEPTÉ","OUI","NON"))</f>
        <v>NON</v>
      </c>
      <c r="I347" s="83"/>
      <c r="J347" s="80"/>
      <c r="K347" s="81"/>
      <c r="L347" s="81"/>
      <c r="M347" s="81"/>
      <c r="N347" s="84" t="str">
        <f aca="false">IF(C347="","",IF(P347="","NJ INCONNU",IF(I347="",IF(H347="OUI","À ENROBER",IF(G347="À SOUDER","NON SOUDÉ","EN ATTENTE RT")),IF(L347="R","À REPRENDRE",IF(H347&lt;&gt;"OUI","⚠ ENROBÉ AVANT ACCEPTATION RT","ENROBÉ")))))</f>
        <v>NON SOUDÉ</v>
      </c>
      <c r="O347" s="80"/>
      <c r="P347" s="82" t="n">
        <f aca="false">IF(C347="","",IFERROR(MATCH(Q347,'CARNET DE SOUDURE'!$AW$7:$AW$3006,0),""))</f>
        <v>341</v>
      </c>
      <c r="Q347" s="82" t="str">
        <f aca="false">IF(C347="","",B347&amp;"|"&amp;C347)</f>
        <v>MFD-ISW → MFD-CPF|JN°341</v>
      </c>
    </row>
    <row r="348" customFormat="false" ht="74.6" hidden="false" customHeight="false" outlineLevel="0" collapsed="false">
      <c r="A348" s="82" t="n">
        <f aca="false">IF(C348="","",ROW()-6)</f>
        <v>342</v>
      </c>
      <c r="B348" s="80" t="s">
        <v>110</v>
      </c>
      <c r="C348" s="113" t="s">
        <v>452</v>
      </c>
      <c r="D348" s="82" t="str">
        <f aca="false">IF(OR(C348="",P348=""),"",INDEX('CARNET DE SOUDURE'!$D$7:$D$3006,P348)&amp;"")</f>
        <v/>
      </c>
      <c r="E348" s="114" t="str">
        <f aca="false">IF(OR(C348="",P348=""),"",IF(INDEX('CARNET DE SOUDURE'!$U$7:$U$3006,P348)="","",INDEX('CARNET DE SOUDURE'!$U$7:$U$3006,P348)))</f>
        <v/>
      </c>
      <c r="F348" s="82" t="str">
        <f aca="false">IF(OR(C348="",P348=""),"",INDEX('CARNET DE SOUDURE'!$AP$7:$AP$3006,P348))</f>
        <v/>
      </c>
      <c r="G348" s="82" t="str">
        <f aca="false">IF(C348="","",IF(P348="","NJ INCONNU",INDEX('CARNET DE SOUDURE'!$AQ$7:$AQ$3006,P348)))</f>
        <v>À SOUDER</v>
      </c>
      <c r="H348" s="82" t="str">
        <f aca="false">IF(C348="","",IF(G348="ACCEPTÉ","OUI","NON"))</f>
        <v>NON</v>
      </c>
      <c r="I348" s="83"/>
      <c r="J348" s="80"/>
      <c r="K348" s="81"/>
      <c r="L348" s="81"/>
      <c r="M348" s="81"/>
      <c r="N348" s="84" t="str">
        <f aca="false">IF(C348="","",IF(P348="","NJ INCONNU",IF(I348="",IF(H348="OUI","À ENROBER",IF(G348="À SOUDER","NON SOUDÉ","EN ATTENTE RT")),IF(L348="R","À REPRENDRE",IF(H348&lt;&gt;"OUI","⚠ ENROBÉ AVANT ACCEPTATION RT","ENROBÉ")))))</f>
        <v>NON SOUDÉ</v>
      </c>
      <c r="O348" s="80"/>
      <c r="P348" s="82" t="n">
        <f aca="false">IF(C348="","",IFERROR(MATCH(Q348,'CARNET DE SOUDURE'!$AW$7:$AW$3006,0),""))</f>
        <v>342</v>
      </c>
      <c r="Q348" s="82" t="str">
        <f aca="false">IF(C348="","",B348&amp;"|"&amp;C348)</f>
        <v>MFD-ISW → MFD-CPF|JN°342</v>
      </c>
    </row>
    <row r="349" customFormat="false" ht="74.6" hidden="false" customHeight="false" outlineLevel="0" collapsed="false">
      <c r="A349" s="82" t="n">
        <f aca="false">IF(C349="","",ROW()-6)</f>
        <v>343</v>
      </c>
      <c r="B349" s="80" t="s">
        <v>110</v>
      </c>
      <c r="C349" s="113" t="s">
        <v>453</v>
      </c>
      <c r="D349" s="82" t="str">
        <f aca="false">IF(OR(C349="",P349=""),"",INDEX('CARNET DE SOUDURE'!$D$7:$D$3006,P349)&amp;"")</f>
        <v/>
      </c>
      <c r="E349" s="114" t="str">
        <f aca="false">IF(OR(C349="",P349=""),"",IF(INDEX('CARNET DE SOUDURE'!$U$7:$U$3006,P349)="","",INDEX('CARNET DE SOUDURE'!$U$7:$U$3006,P349)))</f>
        <v/>
      </c>
      <c r="F349" s="82" t="str">
        <f aca="false">IF(OR(C349="",P349=""),"",INDEX('CARNET DE SOUDURE'!$AP$7:$AP$3006,P349))</f>
        <v/>
      </c>
      <c r="G349" s="82" t="str">
        <f aca="false">IF(C349="","",IF(P349="","NJ INCONNU",INDEX('CARNET DE SOUDURE'!$AQ$7:$AQ$3006,P349)))</f>
        <v>À SOUDER</v>
      </c>
      <c r="H349" s="82" t="str">
        <f aca="false">IF(C349="","",IF(G349="ACCEPTÉ","OUI","NON"))</f>
        <v>NON</v>
      </c>
      <c r="I349" s="83"/>
      <c r="J349" s="80"/>
      <c r="K349" s="81"/>
      <c r="L349" s="81"/>
      <c r="M349" s="81"/>
      <c r="N349" s="84" t="str">
        <f aca="false">IF(C349="","",IF(P349="","NJ INCONNU",IF(I349="",IF(H349="OUI","À ENROBER",IF(G349="À SOUDER","NON SOUDÉ","EN ATTENTE RT")),IF(L349="R","À REPRENDRE",IF(H349&lt;&gt;"OUI","⚠ ENROBÉ AVANT ACCEPTATION RT","ENROBÉ")))))</f>
        <v>NON SOUDÉ</v>
      </c>
      <c r="O349" s="80"/>
      <c r="P349" s="82" t="n">
        <f aca="false">IF(C349="","",IFERROR(MATCH(Q349,'CARNET DE SOUDURE'!$AW$7:$AW$3006,0),""))</f>
        <v>343</v>
      </c>
      <c r="Q349" s="82" t="str">
        <f aca="false">IF(C349="","",B349&amp;"|"&amp;C349)</f>
        <v>MFD-ISW → MFD-CPF|JN°343</v>
      </c>
    </row>
    <row r="350" customFormat="false" ht="74.6" hidden="false" customHeight="false" outlineLevel="0" collapsed="false">
      <c r="A350" s="82" t="n">
        <f aca="false">IF(C350="","",ROW()-6)</f>
        <v>344</v>
      </c>
      <c r="B350" s="80" t="s">
        <v>110</v>
      </c>
      <c r="C350" s="113" t="s">
        <v>454</v>
      </c>
      <c r="D350" s="82" t="str">
        <f aca="false">IF(OR(C350="",P350=""),"",INDEX('CARNET DE SOUDURE'!$D$7:$D$3006,P350)&amp;"")</f>
        <v/>
      </c>
      <c r="E350" s="114" t="str">
        <f aca="false">IF(OR(C350="",P350=""),"",IF(INDEX('CARNET DE SOUDURE'!$U$7:$U$3006,P350)="","",INDEX('CARNET DE SOUDURE'!$U$7:$U$3006,P350)))</f>
        <v/>
      </c>
      <c r="F350" s="82" t="str">
        <f aca="false">IF(OR(C350="",P350=""),"",INDEX('CARNET DE SOUDURE'!$AP$7:$AP$3006,P350))</f>
        <v/>
      </c>
      <c r="G350" s="82" t="str">
        <f aca="false">IF(C350="","",IF(P350="","NJ INCONNU",INDEX('CARNET DE SOUDURE'!$AQ$7:$AQ$3006,P350)))</f>
        <v>À SOUDER</v>
      </c>
      <c r="H350" s="82" t="str">
        <f aca="false">IF(C350="","",IF(G350="ACCEPTÉ","OUI","NON"))</f>
        <v>NON</v>
      </c>
      <c r="I350" s="83"/>
      <c r="J350" s="80"/>
      <c r="K350" s="81"/>
      <c r="L350" s="81"/>
      <c r="M350" s="81"/>
      <c r="N350" s="84" t="str">
        <f aca="false">IF(C350="","",IF(P350="","NJ INCONNU",IF(I350="",IF(H350="OUI","À ENROBER",IF(G350="À SOUDER","NON SOUDÉ","EN ATTENTE RT")),IF(L350="R","À REPRENDRE",IF(H350&lt;&gt;"OUI","⚠ ENROBÉ AVANT ACCEPTATION RT","ENROBÉ")))))</f>
        <v>NON SOUDÉ</v>
      </c>
      <c r="O350" s="80"/>
      <c r="P350" s="82" t="n">
        <f aca="false">IF(C350="","",IFERROR(MATCH(Q350,'CARNET DE SOUDURE'!$AW$7:$AW$3006,0),""))</f>
        <v>344</v>
      </c>
      <c r="Q350" s="82" t="str">
        <f aca="false">IF(C350="","",B350&amp;"|"&amp;C350)</f>
        <v>MFD-ISW → MFD-CPF|JN°344</v>
      </c>
    </row>
    <row r="351" customFormat="false" ht="74.6" hidden="false" customHeight="false" outlineLevel="0" collapsed="false">
      <c r="A351" s="82" t="n">
        <f aca="false">IF(C351="","",ROW()-6)</f>
        <v>345</v>
      </c>
      <c r="B351" s="80" t="s">
        <v>110</v>
      </c>
      <c r="C351" s="113" t="s">
        <v>455</v>
      </c>
      <c r="D351" s="82" t="str">
        <f aca="false">IF(OR(C351="",P351=""),"",INDEX('CARNET DE SOUDURE'!$D$7:$D$3006,P351)&amp;"")</f>
        <v/>
      </c>
      <c r="E351" s="114" t="str">
        <f aca="false">IF(OR(C351="",P351=""),"",IF(INDEX('CARNET DE SOUDURE'!$U$7:$U$3006,P351)="","",INDEX('CARNET DE SOUDURE'!$U$7:$U$3006,P351)))</f>
        <v/>
      </c>
      <c r="F351" s="82" t="str">
        <f aca="false">IF(OR(C351="",P351=""),"",INDEX('CARNET DE SOUDURE'!$AP$7:$AP$3006,P351))</f>
        <v/>
      </c>
      <c r="G351" s="82" t="str">
        <f aca="false">IF(C351="","",IF(P351="","NJ INCONNU",INDEX('CARNET DE SOUDURE'!$AQ$7:$AQ$3006,P351)))</f>
        <v>À SOUDER</v>
      </c>
      <c r="H351" s="82" t="str">
        <f aca="false">IF(C351="","",IF(G351="ACCEPTÉ","OUI","NON"))</f>
        <v>NON</v>
      </c>
      <c r="I351" s="83"/>
      <c r="J351" s="80"/>
      <c r="K351" s="81"/>
      <c r="L351" s="81"/>
      <c r="M351" s="81"/>
      <c r="N351" s="84" t="str">
        <f aca="false">IF(C351="","",IF(P351="","NJ INCONNU",IF(I351="",IF(H351="OUI","À ENROBER",IF(G351="À SOUDER","NON SOUDÉ","EN ATTENTE RT")),IF(L351="R","À REPRENDRE",IF(H351&lt;&gt;"OUI","⚠ ENROBÉ AVANT ACCEPTATION RT","ENROBÉ")))))</f>
        <v>NON SOUDÉ</v>
      </c>
      <c r="O351" s="80"/>
      <c r="P351" s="82" t="n">
        <f aca="false">IF(C351="","",IFERROR(MATCH(Q351,'CARNET DE SOUDURE'!$AW$7:$AW$3006,0),""))</f>
        <v>345</v>
      </c>
      <c r="Q351" s="82" t="str">
        <f aca="false">IF(C351="","",B351&amp;"|"&amp;C351)</f>
        <v>MFD-ISW → MFD-CPF|JN°345</v>
      </c>
    </row>
    <row r="352" customFormat="false" ht="74.6" hidden="false" customHeight="false" outlineLevel="0" collapsed="false">
      <c r="A352" s="82" t="n">
        <f aca="false">IF(C352="","",ROW()-6)</f>
        <v>346</v>
      </c>
      <c r="B352" s="80" t="s">
        <v>110</v>
      </c>
      <c r="C352" s="113" t="s">
        <v>456</v>
      </c>
      <c r="D352" s="82" t="str">
        <f aca="false">IF(OR(C352="",P352=""),"",INDEX('CARNET DE SOUDURE'!$D$7:$D$3006,P352)&amp;"")</f>
        <v/>
      </c>
      <c r="E352" s="114" t="str">
        <f aca="false">IF(OR(C352="",P352=""),"",IF(INDEX('CARNET DE SOUDURE'!$U$7:$U$3006,P352)="","",INDEX('CARNET DE SOUDURE'!$U$7:$U$3006,P352)))</f>
        <v/>
      </c>
      <c r="F352" s="82" t="str">
        <f aca="false">IF(OR(C352="",P352=""),"",INDEX('CARNET DE SOUDURE'!$AP$7:$AP$3006,P352))</f>
        <v/>
      </c>
      <c r="G352" s="82" t="str">
        <f aca="false">IF(C352="","",IF(P352="","NJ INCONNU",INDEX('CARNET DE SOUDURE'!$AQ$7:$AQ$3006,P352)))</f>
        <v>À SOUDER</v>
      </c>
      <c r="H352" s="82" t="str">
        <f aca="false">IF(C352="","",IF(G352="ACCEPTÉ","OUI","NON"))</f>
        <v>NON</v>
      </c>
      <c r="I352" s="83"/>
      <c r="J352" s="80"/>
      <c r="K352" s="81"/>
      <c r="L352" s="81"/>
      <c r="M352" s="81"/>
      <c r="N352" s="84" t="str">
        <f aca="false">IF(C352="","",IF(P352="","NJ INCONNU",IF(I352="",IF(H352="OUI","À ENROBER",IF(G352="À SOUDER","NON SOUDÉ","EN ATTENTE RT")),IF(L352="R","À REPRENDRE",IF(H352&lt;&gt;"OUI","⚠ ENROBÉ AVANT ACCEPTATION RT","ENROBÉ")))))</f>
        <v>NON SOUDÉ</v>
      </c>
      <c r="O352" s="80"/>
      <c r="P352" s="82" t="n">
        <f aca="false">IF(C352="","",IFERROR(MATCH(Q352,'CARNET DE SOUDURE'!$AW$7:$AW$3006,0),""))</f>
        <v>346</v>
      </c>
      <c r="Q352" s="82" t="str">
        <f aca="false">IF(C352="","",B352&amp;"|"&amp;C352)</f>
        <v>MFD-ISW → MFD-CPF|JN°346</v>
      </c>
    </row>
    <row r="353" customFormat="false" ht="74.6" hidden="false" customHeight="false" outlineLevel="0" collapsed="false">
      <c r="A353" s="82" t="n">
        <f aca="false">IF(C353="","",ROW()-6)</f>
        <v>347</v>
      </c>
      <c r="B353" s="80" t="s">
        <v>110</v>
      </c>
      <c r="C353" s="113" t="s">
        <v>457</v>
      </c>
      <c r="D353" s="82" t="str">
        <f aca="false">IF(OR(C353="",P353=""),"",INDEX('CARNET DE SOUDURE'!$D$7:$D$3006,P353)&amp;"")</f>
        <v/>
      </c>
      <c r="E353" s="114" t="str">
        <f aca="false">IF(OR(C353="",P353=""),"",IF(INDEX('CARNET DE SOUDURE'!$U$7:$U$3006,P353)="","",INDEX('CARNET DE SOUDURE'!$U$7:$U$3006,P353)))</f>
        <v/>
      </c>
      <c r="F353" s="82" t="str">
        <f aca="false">IF(OR(C353="",P353=""),"",INDEX('CARNET DE SOUDURE'!$AP$7:$AP$3006,P353))</f>
        <v/>
      </c>
      <c r="G353" s="82" t="str">
        <f aca="false">IF(C353="","",IF(P353="","NJ INCONNU",INDEX('CARNET DE SOUDURE'!$AQ$7:$AQ$3006,P353)))</f>
        <v>À SOUDER</v>
      </c>
      <c r="H353" s="82" t="str">
        <f aca="false">IF(C353="","",IF(G353="ACCEPTÉ","OUI","NON"))</f>
        <v>NON</v>
      </c>
      <c r="I353" s="83"/>
      <c r="J353" s="80"/>
      <c r="K353" s="81"/>
      <c r="L353" s="81"/>
      <c r="M353" s="81"/>
      <c r="N353" s="84" t="str">
        <f aca="false">IF(C353="","",IF(P353="","NJ INCONNU",IF(I353="",IF(H353="OUI","À ENROBER",IF(G353="À SOUDER","NON SOUDÉ","EN ATTENTE RT")),IF(L353="R","À REPRENDRE",IF(H353&lt;&gt;"OUI","⚠ ENROBÉ AVANT ACCEPTATION RT","ENROBÉ")))))</f>
        <v>NON SOUDÉ</v>
      </c>
      <c r="O353" s="80"/>
      <c r="P353" s="82" t="n">
        <f aca="false">IF(C353="","",IFERROR(MATCH(Q353,'CARNET DE SOUDURE'!$AW$7:$AW$3006,0),""))</f>
        <v>347</v>
      </c>
      <c r="Q353" s="82" t="str">
        <f aca="false">IF(C353="","",B353&amp;"|"&amp;C353)</f>
        <v>MFD-ISW → MFD-CPF|JN°347</v>
      </c>
    </row>
    <row r="354" customFormat="false" ht="74.6" hidden="false" customHeight="false" outlineLevel="0" collapsed="false">
      <c r="A354" s="82" t="n">
        <f aca="false">IF(C354="","",ROW()-6)</f>
        <v>348</v>
      </c>
      <c r="B354" s="80" t="s">
        <v>110</v>
      </c>
      <c r="C354" s="113" t="s">
        <v>458</v>
      </c>
      <c r="D354" s="82" t="str">
        <f aca="false">IF(OR(C354="",P354=""),"",INDEX('CARNET DE SOUDURE'!$D$7:$D$3006,P354)&amp;"")</f>
        <v/>
      </c>
      <c r="E354" s="114" t="str">
        <f aca="false">IF(OR(C354="",P354=""),"",IF(INDEX('CARNET DE SOUDURE'!$U$7:$U$3006,P354)="","",INDEX('CARNET DE SOUDURE'!$U$7:$U$3006,P354)))</f>
        <v/>
      </c>
      <c r="F354" s="82" t="str">
        <f aca="false">IF(OR(C354="",P354=""),"",INDEX('CARNET DE SOUDURE'!$AP$7:$AP$3006,P354))</f>
        <v/>
      </c>
      <c r="G354" s="82" t="str">
        <f aca="false">IF(C354="","",IF(P354="","NJ INCONNU",INDEX('CARNET DE SOUDURE'!$AQ$7:$AQ$3006,P354)))</f>
        <v>À SOUDER</v>
      </c>
      <c r="H354" s="82" t="str">
        <f aca="false">IF(C354="","",IF(G354="ACCEPTÉ","OUI","NON"))</f>
        <v>NON</v>
      </c>
      <c r="I354" s="83"/>
      <c r="J354" s="80"/>
      <c r="K354" s="81"/>
      <c r="L354" s="81"/>
      <c r="M354" s="81"/>
      <c r="N354" s="84" t="str">
        <f aca="false">IF(C354="","",IF(P354="","NJ INCONNU",IF(I354="",IF(H354="OUI","À ENROBER",IF(G354="À SOUDER","NON SOUDÉ","EN ATTENTE RT")),IF(L354="R","À REPRENDRE",IF(H354&lt;&gt;"OUI","⚠ ENROBÉ AVANT ACCEPTATION RT","ENROBÉ")))))</f>
        <v>NON SOUDÉ</v>
      </c>
      <c r="O354" s="80"/>
      <c r="P354" s="82" t="n">
        <f aca="false">IF(C354="","",IFERROR(MATCH(Q354,'CARNET DE SOUDURE'!$AW$7:$AW$3006,0),""))</f>
        <v>348</v>
      </c>
      <c r="Q354" s="82" t="str">
        <f aca="false">IF(C354="","",B354&amp;"|"&amp;C354)</f>
        <v>MFD-ISW → MFD-CPF|JN°348</v>
      </c>
    </row>
    <row r="355" customFormat="false" ht="74.6" hidden="false" customHeight="false" outlineLevel="0" collapsed="false">
      <c r="A355" s="82" t="n">
        <f aca="false">IF(C355="","",ROW()-6)</f>
        <v>349</v>
      </c>
      <c r="B355" s="80" t="s">
        <v>110</v>
      </c>
      <c r="C355" s="113" t="s">
        <v>459</v>
      </c>
      <c r="D355" s="82" t="str">
        <f aca="false">IF(OR(C355="",P355=""),"",INDEX('CARNET DE SOUDURE'!$D$7:$D$3006,P355)&amp;"")</f>
        <v/>
      </c>
      <c r="E355" s="114" t="str">
        <f aca="false">IF(OR(C355="",P355=""),"",IF(INDEX('CARNET DE SOUDURE'!$U$7:$U$3006,P355)="","",INDEX('CARNET DE SOUDURE'!$U$7:$U$3006,P355)))</f>
        <v/>
      </c>
      <c r="F355" s="82" t="str">
        <f aca="false">IF(OR(C355="",P355=""),"",INDEX('CARNET DE SOUDURE'!$AP$7:$AP$3006,P355))</f>
        <v/>
      </c>
      <c r="G355" s="82" t="str">
        <f aca="false">IF(C355="","",IF(P355="","NJ INCONNU",INDEX('CARNET DE SOUDURE'!$AQ$7:$AQ$3006,P355)))</f>
        <v>À SOUDER</v>
      </c>
      <c r="H355" s="82" t="str">
        <f aca="false">IF(C355="","",IF(G355="ACCEPTÉ","OUI","NON"))</f>
        <v>NON</v>
      </c>
      <c r="I355" s="83"/>
      <c r="J355" s="80"/>
      <c r="K355" s="81"/>
      <c r="L355" s="81"/>
      <c r="M355" s="81"/>
      <c r="N355" s="84" t="str">
        <f aca="false">IF(C355="","",IF(P355="","NJ INCONNU",IF(I355="",IF(H355="OUI","À ENROBER",IF(G355="À SOUDER","NON SOUDÉ","EN ATTENTE RT")),IF(L355="R","À REPRENDRE",IF(H355&lt;&gt;"OUI","⚠ ENROBÉ AVANT ACCEPTATION RT","ENROBÉ")))))</f>
        <v>NON SOUDÉ</v>
      </c>
      <c r="O355" s="80"/>
      <c r="P355" s="82" t="n">
        <f aca="false">IF(C355="","",IFERROR(MATCH(Q355,'CARNET DE SOUDURE'!$AW$7:$AW$3006,0),""))</f>
        <v>349</v>
      </c>
      <c r="Q355" s="82" t="str">
        <f aca="false">IF(C355="","",B355&amp;"|"&amp;C355)</f>
        <v>MFD-ISW → MFD-CPF|JN°349</v>
      </c>
    </row>
    <row r="356" customFormat="false" ht="74.6" hidden="false" customHeight="false" outlineLevel="0" collapsed="false">
      <c r="A356" s="82" t="n">
        <f aca="false">IF(C356="","",ROW()-6)</f>
        <v>350</v>
      </c>
      <c r="B356" s="80" t="s">
        <v>110</v>
      </c>
      <c r="C356" s="113" t="s">
        <v>460</v>
      </c>
      <c r="D356" s="82" t="str">
        <f aca="false">IF(OR(C356="",P356=""),"",INDEX('CARNET DE SOUDURE'!$D$7:$D$3006,P356)&amp;"")</f>
        <v/>
      </c>
      <c r="E356" s="114" t="str">
        <f aca="false">IF(OR(C356="",P356=""),"",IF(INDEX('CARNET DE SOUDURE'!$U$7:$U$3006,P356)="","",INDEX('CARNET DE SOUDURE'!$U$7:$U$3006,P356)))</f>
        <v/>
      </c>
      <c r="F356" s="82" t="str">
        <f aca="false">IF(OR(C356="",P356=""),"",INDEX('CARNET DE SOUDURE'!$AP$7:$AP$3006,P356))</f>
        <v/>
      </c>
      <c r="G356" s="82" t="str">
        <f aca="false">IF(C356="","",IF(P356="","NJ INCONNU",INDEX('CARNET DE SOUDURE'!$AQ$7:$AQ$3006,P356)))</f>
        <v>À SOUDER</v>
      </c>
      <c r="H356" s="82" t="str">
        <f aca="false">IF(C356="","",IF(G356="ACCEPTÉ","OUI","NON"))</f>
        <v>NON</v>
      </c>
      <c r="I356" s="83"/>
      <c r="J356" s="80"/>
      <c r="K356" s="81"/>
      <c r="L356" s="81"/>
      <c r="M356" s="81"/>
      <c r="N356" s="84" t="str">
        <f aca="false">IF(C356="","",IF(P356="","NJ INCONNU",IF(I356="",IF(H356="OUI","À ENROBER",IF(G356="À SOUDER","NON SOUDÉ","EN ATTENTE RT")),IF(L356="R","À REPRENDRE",IF(H356&lt;&gt;"OUI","⚠ ENROBÉ AVANT ACCEPTATION RT","ENROBÉ")))))</f>
        <v>NON SOUDÉ</v>
      </c>
      <c r="O356" s="80"/>
      <c r="P356" s="82" t="n">
        <f aca="false">IF(C356="","",IFERROR(MATCH(Q356,'CARNET DE SOUDURE'!$AW$7:$AW$3006,0),""))</f>
        <v>350</v>
      </c>
      <c r="Q356" s="82" t="str">
        <f aca="false">IF(C356="","",B356&amp;"|"&amp;C356)</f>
        <v>MFD-ISW → MFD-CPF|JN°350</v>
      </c>
    </row>
    <row r="357" customFormat="false" ht="74.6" hidden="false" customHeight="false" outlineLevel="0" collapsed="false">
      <c r="A357" s="82" t="n">
        <f aca="false">IF(C357="","",ROW()-6)</f>
        <v>351</v>
      </c>
      <c r="B357" s="80" t="s">
        <v>110</v>
      </c>
      <c r="C357" s="113" t="s">
        <v>461</v>
      </c>
      <c r="D357" s="82" t="str">
        <f aca="false">IF(OR(C357="",P357=""),"",INDEX('CARNET DE SOUDURE'!$D$7:$D$3006,P357)&amp;"")</f>
        <v/>
      </c>
      <c r="E357" s="114" t="str">
        <f aca="false">IF(OR(C357="",P357=""),"",IF(INDEX('CARNET DE SOUDURE'!$U$7:$U$3006,P357)="","",INDEX('CARNET DE SOUDURE'!$U$7:$U$3006,P357)))</f>
        <v/>
      </c>
      <c r="F357" s="82" t="str">
        <f aca="false">IF(OR(C357="",P357=""),"",INDEX('CARNET DE SOUDURE'!$AP$7:$AP$3006,P357))</f>
        <v/>
      </c>
      <c r="G357" s="82" t="str">
        <f aca="false">IF(C357="","",IF(P357="","NJ INCONNU",INDEX('CARNET DE SOUDURE'!$AQ$7:$AQ$3006,P357)))</f>
        <v>À SOUDER</v>
      </c>
      <c r="H357" s="82" t="str">
        <f aca="false">IF(C357="","",IF(G357="ACCEPTÉ","OUI","NON"))</f>
        <v>NON</v>
      </c>
      <c r="I357" s="83"/>
      <c r="J357" s="80"/>
      <c r="K357" s="81"/>
      <c r="L357" s="81"/>
      <c r="M357" s="81"/>
      <c r="N357" s="84" t="str">
        <f aca="false">IF(C357="","",IF(P357="","NJ INCONNU",IF(I357="",IF(H357="OUI","À ENROBER",IF(G357="À SOUDER","NON SOUDÉ","EN ATTENTE RT")),IF(L357="R","À REPRENDRE",IF(H357&lt;&gt;"OUI","⚠ ENROBÉ AVANT ACCEPTATION RT","ENROBÉ")))))</f>
        <v>NON SOUDÉ</v>
      </c>
      <c r="O357" s="80"/>
      <c r="P357" s="82" t="n">
        <f aca="false">IF(C357="","",IFERROR(MATCH(Q357,'CARNET DE SOUDURE'!$AW$7:$AW$3006,0),""))</f>
        <v>351</v>
      </c>
      <c r="Q357" s="82" t="str">
        <f aca="false">IF(C357="","",B357&amp;"|"&amp;C357)</f>
        <v>MFD-ISW → MFD-CPF|JN°351</v>
      </c>
    </row>
    <row r="358" customFormat="false" ht="74.6" hidden="false" customHeight="false" outlineLevel="0" collapsed="false">
      <c r="A358" s="82" t="n">
        <f aca="false">IF(C358="","",ROW()-6)</f>
        <v>352</v>
      </c>
      <c r="B358" s="80" t="s">
        <v>110</v>
      </c>
      <c r="C358" s="113" t="s">
        <v>462</v>
      </c>
      <c r="D358" s="82" t="str">
        <f aca="false">IF(OR(C358="",P358=""),"",INDEX('CARNET DE SOUDURE'!$D$7:$D$3006,P358)&amp;"")</f>
        <v/>
      </c>
      <c r="E358" s="114" t="str">
        <f aca="false">IF(OR(C358="",P358=""),"",IF(INDEX('CARNET DE SOUDURE'!$U$7:$U$3006,P358)="","",INDEX('CARNET DE SOUDURE'!$U$7:$U$3006,P358)))</f>
        <v/>
      </c>
      <c r="F358" s="82" t="str">
        <f aca="false">IF(OR(C358="",P358=""),"",INDEX('CARNET DE SOUDURE'!$AP$7:$AP$3006,P358))</f>
        <v/>
      </c>
      <c r="G358" s="82" t="str">
        <f aca="false">IF(C358="","",IF(P358="","NJ INCONNU",INDEX('CARNET DE SOUDURE'!$AQ$7:$AQ$3006,P358)))</f>
        <v>À SOUDER</v>
      </c>
      <c r="H358" s="82" t="str">
        <f aca="false">IF(C358="","",IF(G358="ACCEPTÉ","OUI","NON"))</f>
        <v>NON</v>
      </c>
      <c r="I358" s="83"/>
      <c r="J358" s="80"/>
      <c r="K358" s="81"/>
      <c r="L358" s="81"/>
      <c r="M358" s="81"/>
      <c r="N358" s="84" t="str">
        <f aca="false">IF(C358="","",IF(P358="","NJ INCONNU",IF(I358="",IF(H358="OUI","À ENROBER",IF(G358="À SOUDER","NON SOUDÉ","EN ATTENTE RT")),IF(L358="R","À REPRENDRE",IF(H358&lt;&gt;"OUI","⚠ ENROBÉ AVANT ACCEPTATION RT","ENROBÉ")))))</f>
        <v>NON SOUDÉ</v>
      </c>
      <c r="O358" s="80"/>
      <c r="P358" s="82" t="n">
        <f aca="false">IF(C358="","",IFERROR(MATCH(Q358,'CARNET DE SOUDURE'!$AW$7:$AW$3006,0),""))</f>
        <v>352</v>
      </c>
      <c r="Q358" s="82" t="str">
        <f aca="false">IF(C358="","",B358&amp;"|"&amp;C358)</f>
        <v>MFD-ISW → MFD-CPF|JN°352</v>
      </c>
    </row>
    <row r="359" customFormat="false" ht="74.6" hidden="false" customHeight="false" outlineLevel="0" collapsed="false">
      <c r="A359" s="82" t="n">
        <f aca="false">IF(C359="","",ROW()-6)</f>
        <v>353</v>
      </c>
      <c r="B359" s="80" t="s">
        <v>110</v>
      </c>
      <c r="C359" s="113" t="s">
        <v>463</v>
      </c>
      <c r="D359" s="82" t="str">
        <f aca="false">IF(OR(C359="",P359=""),"",INDEX('CARNET DE SOUDURE'!$D$7:$D$3006,P359)&amp;"")</f>
        <v/>
      </c>
      <c r="E359" s="114" t="str">
        <f aca="false">IF(OR(C359="",P359=""),"",IF(INDEX('CARNET DE SOUDURE'!$U$7:$U$3006,P359)="","",INDEX('CARNET DE SOUDURE'!$U$7:$U$3006,P359)))</f>
        <v/>
      </c>
      <c r="F359" s="82" t="str">
        <f aca="false">IF(OR(C359="",P359=""),"",INDEX('CARNET DE SOUDURE'!$AP$7:$AP$3006,P359))</f>
        <v/>
      </c>
      <c r="G359" s="82" t="str">
        <f aca="false">IF(C359="","",IF(P359="","NJ INCONNU",INDEX('CARNET DE SOUDURE'!$AQ$7:$AQ$3006,P359)))</f>
        <v>À SOUDER</v>
      </c>
      <c r="H359" s="82" t="str">
        <f aca="false">IF(C359="","",IF(G359="ACCEPTÉ","OUI","NON"))</f>
        <v>NON</v>
      </c>
      <c r="I359" s="83"/>
      <c r="J359" s="80"/>
      <c r="K359" s="81"/>
      <c r="L359" s="81"/>
      <c r="M359" s="81"/>
      <c r="N359" s="84" t="str">
        <f aca="false">IF(C359="","",IF(P359="","NJ INCONNU",IF(I359="",IF(H359="OUI","À ENROBER",IF(G359="À SOUDER","NON SOUDÉ","EN ATTENTE RT")),IF(L359="R","À REPRENDRE",IF(H359&lt;&gt;"OUI","⚠ ENROBÉ AVANT ACCEPTATION RT","ENROBÉ")))))</f>
        <v>NON SOUDÉ</v>
      </c>
      <c r="O359" s="80"/>
      <c r="P359" s="82" t="n">
        <f aca="false">IF(C359="","",IFERROR(MATCH(Q359,'CARNET DE SOUDURE'!$AW$7:$AW$3006,0),""))</f>
        <v>353</v>
      </c>
      <c r="Q359" s="82" t="str">
        <f aca="false">IF(C359="","",B359&amp;"|"&amp;C359)</f>
        <v>MFD-ISW → MFD-CPF|JN°353</v>
      </c>
    </row>
    <row r="360" customFormat="false" ht="74.6" hidden="false" customHeight="false" outlineLevel="0" collapsed="false">
      <c r="A360" s="82" t="n">
        <f aca="false">IF(C360="","",ROW()-6)</f>
        <v>354</v>
      </c>
      <c r="B360" s="80" t="s">
        <v>110</v>
      </c>
      <c r="C360" s="113" t="s">
        <v>464</v>
      </c>
      <c r="D360" s="82" t="str">
        <f aca="false">IF(OR(C360="",P360=""),"",INDEX('CARNET DE SOUDURE'!$D$7:$D$3006,P360)&amp;"")</f>
        <v/>
      </c>
      <c r="E360" s="114" t="str">
        <f aca="false">IF(OR(C360="",P360=""),"",IF(INDEX('CARNET DE SOUDURE'!$U$7:$U$3006,P360)="","",INDEX('CARNET DE SOUDURE'!$U$7:$U$3006,P360)))</f>
        <v/>
      </c>
      <c r="F360" s="82" t="str">
        <f aca="false">IF(OR(C360="",P360=""),"",INDEX('CARNET DE SOUDURE'!$AP$7:$AP$3006,P360))</f>
        <v/>
      </c>
      <c r="G360" s="82" t="str">
        <f aca="false">IF(C360="","",IF(P360="","NJ INCONNU",INDEX('CARNET DE SOUDURE'!$AQ$7:$AQ$3006,P360)))</f>
        <v>À SOUDER</v>
      </c>
      <c r="H360" s="82" t="str">
        <f aca="false">IF(C360="","",IF(G360="ACCEPTÉ","OUI","NON"))</f>
        <v>NON</v>
      </c>
      <c r="I360" s="83"/>
      <c r="J360" s="80"/>
      <c r="K360" s="81"/>
      <c r="L360" s="81"/>
      <c r="M360" s="81"/>
      <c r="N360" s="84" t="str">
        <f aca="false">IF(C360="","",IF(P360="","NJ INCONNU",IF(I360="",IF(H360="OUI","À ENROBER",IF(G360="À SOUDER","NON SOUDÉ","EN ATTENTE RT")),IF(L360="R","À REPRENDRE",IF(H360&lt;&gt;"OUI","⚠ ENROBÉ AVANT ACCEPTATION RT","ENROBÉ")))))</f>
        <v>NON SOUDÉ</v>
      </c>
      <c r="O360" s="80"/>
      <c r="P360" s="82" t="n">
        <f aca="false">IF(C360="","",IFERROR(MATCH(Q360,'CARNET DE SOUDURE'!$AW$7:$AW$3006,0),""))</f>
        <v>354</v>
      </c>
      <c r="Q360" s="82" t="str">
        <f aca="false">IF(C360="","",B360&amp;"|"&amp;C360)</f>
        <v>MFD-ISW → MFD-CPF|JN°354</v>
      </c>
    </row>
    <row r="361" customFormat="false" ht="74.6" hidden="false" customHeight="false" outlineLevel="0" collapsed="false">
      <c r="A361" s="82" t="n">
        <f aca="false">IF(C361="","",ROW()-6)</f>
        <v>355</v>
      </c>
      <c r="B361" s="80" t="s">
        <v>110</v>
      </c>
      <c r="C361" s="113" t="s">
        <v>465</v>
      </c>
      <c r="D361" s="82" t="str">
        <f aca="false">IF(OR(C361="",P361=""),"",INDEX('CARNET DE SOUDURE'!$D$7:$D$3006,P361)&amp;"")</f>
        <v/>
      </c>
      <c r="E361" s="114" t="str">
        <f aca="false">IF(OR(C361="",P361=""),"",IF(INDEX('CARNET DE SOUDURE'!$U$7:$U$3006,P361)="","",INDEX('CARNET DE SOUDURE'!$U$7:$U$3006,P361)))</f>
        <v/>
      </c>
      <c r="F361" s="82" t="str">
        <f aca="false">IF(OR(C361="",P361=""),"",INDEX('CARNET DE SOUDURE'!$AP$7:$AP$3006,P361))</f>
        <v/>
      </c>
      <c r="G361" s="82" t="str">
        <f aca="false">IF(C361="","",IF(P361="","NJ INCONNU",INDEX('CARNET DE SOUDURE'!$AQ$7:$AQ$3006,P361)))</f>
        <v>À SOUDER</v>
      </c>
      <c r="H361" s="82" t="str">
        <f aca="false">IF(C361="","",IF(G361="ACCEPTÉ","OUI","NON"))</f>
        <v>NON</v>
      </c>
      <c r="I361" s="83"/>
      <c r="J361" s="80"/>
      <c r="K361" s="81"/>
      <c r="L361" s="81"/>
      <c r="M361" s="81"/>
      <c r="N361" s="84" t="str">
        <f aca="false">IF(C361="","",IF(P361="","NJ INCONNU",IF(I361="",IF(H361="OUI","À ENROBER",IF(G361="À SOUDER","NON SOUDÉ","EN ATTENTE RT")),IF(L361="R","À REPRENDRE",IF(H361&lt;&gt;"OUI","⚠ ENROBÉ AVANT ACCEPTATION RT","ENROBÉ")))))</f>
        <v>NON SOUDÉ</v>
      </c>
      <c r="O361" s="80"/>
      <c r="P361" s="82" t="n">
        <f aca="false">IF(C361="","",IFERROR(MATCH(Q361,'CARNET DE SOUDURE'!$AW$7:$AW$3006,0),""))</f>
        <v>355</v>
      </c>
      <c r="Q361" s="82" t="str">
        <f aca="false">IF(C361="","",B361&amp;"|"&amp;C361)</f>
        <v>MFD-ISW → MFD-CPF|JN°355</v>
      </c>
    </row>
    <row r="362" customFormat="false" ht="74.6" hidden="false" customHeight="false" outlineLevel="0" collapsed="false">
      <c r="A362" s="82" t="n">
        <f aca="false">IF(C362="","",ROW()-6)</f>
        <v>356</v>
      </c>
      <c r="B362" s="80" t="s">
        <v>110</v>
      </c>
      <c r="C362" s="113" t="s">
        <v>466</v>
      </c>
      <c r="D362" s="82" t="str">
        <f aca="false">IF(OR(C362="",P362=""),"",INDEX('CARNET DE SOUDURE'!$D$7:$D$3006,P362)&amp;"")</f>
        <v/>
      </c>
      <c r="E362" s="114" t="str">
        <f aca="false">IF(OR(C362="",P362=""),"",IF(INDEX('CARNET DE SOUDURE'!$U$7:$U$3006,P362)="","",INDEX('CARNET DE SOUDURE'!$U$7:$U$3006,P362)))</f>
        <v/>
      </c>
      <c r="F362" s="82" t="str">
        <f aca="false">IF(OR(C362="",P362=""),"",INDEX('CARNET DE SOUDURE'!$AP$7:$AP$3006,P362))</f>
        <v/>
      </c>
      <c r="G362" s="82" t="str">
        <f aca="false">IF(C362="","",IF(P362="","NJ INCONNU",INDEX('CARNET DE SOUDURE'!$AQ$7:$AQ$3006,P362)))</f>
        <v>À SOUDER</v>
      </c>
      <c r="H362" s="82" t="str">
        <f aca="false">IF(C362="","",IF(G362="ACCEPTÉ","OUI","NON"))</f>
        <v>NON</v>
      </c>
      <c r="I362" s="83"/>
      <c r="J362" s="80"/>
      <c r="K362" s="81"/>
      <c r="L362" s="81"/>
      <c r="M362" s="81"/>
      <c r="N362" s="84" t="str">
        <f aca="false">IF(C362="","",IF(P362="","NJ INCONNU",IF(I362="",IF(H362="OUI","À ENROBER",IF(G362="À SOUDER","NON SOUDÉ","EN ATTENTE RT")),IF(L362="R","À REPRENDRE",IF(H362&lt;&gt;"OUI","⚠ ENROBÉ AVANT ACCEPTATION RT","ENROBÉ")))))</f>
        <v>NON SOUDÉ</v>
      </c>
      <c r="O362" s="80"/>
      <c r="P362" s="82" t="n">
        <f aca="false">IF(C362="","",IFERROR(MATCH(Q362,'CARNET DE SOUDURE'!$AW$7:$AW$3006,0),""))</f>
        <v>356</v>
      </c>
      <c r="Q362" s="82" t="str">
        <f aca="false">IF(C362="","",B362&amp;"|"&amp;C362)</f>
        <v>MFD-ISW → MFD-CPF|JN°356</v>
      </c>
    </row>
    <row r="363" customFormat="false" ht="74.6" hidden="false" customHeight="false" outlineLevel="0" collapsed="false">
      <c r="A363" s="82" t="n">
        <f aca="false">IF(C363="","",ROW()-6)</f>
        <v>357</v>
      </c>
      <c r="B363" s="80" t="s">
        <v>110</v>
      </c>
      <c r="C363" s="113" t="s">
        <v>467</v>
      </c>
      <c r="D363" s="82" t="str">
        <f aca="false">IF(OR(C363="",P363=""),"",INDEX('CARNET DE SOUDURE'!$D$7:$D$3006,P363)&amp;"")</f>
        <v/>
      </c>
      <c r="E363" s="114" t="str">
        <f aca="false">IF(OR(C363="",P363=""),"",IF(INDEX('CARNET DE SOUDURE'!$U$7:$U$3006,P363)="","",INDEX('CARNET DE SOUDURE'!$U$7:$U$3006,P363)))</f>
        <v/>
      </c>
      <c r="F363" s="82" t="str">
        <f aca="false">IF(OR(C363="",P363=""),"",INDEX('CARNET DE SOUDURE'!$AP$7:$AP$3006,P363))</f>
        <v/>
      </c>
      <c r="G363" s="82" t="str">
        <f aca="false">IF(C363="","",IF(P363="","NJ INCONNU",INDEX('CARNET DE SOUDURE'!$AQ$7:$AQ$3006,P363)))</f>
        <v>À SOUDER</v>
      </c>
      <c r="H363" s="82" t="str">
        <f aca="false">IF(C363="","",IF(G363="ACCEPTÉ","OUI","NON"))</f>
        <v>NON</v>
      </c>
      <c r="I363" s="83"/>
      <c r="J363" s="80"/>
      <c r="K363" s="81"/>
      <c r="L363" s="81"/>
      <c r="M363" s="81"/>
      <c r="N363" s="84" t="str">
        <f aca="false">IF(C363="","",IF(P363="","NJ INCONNU",IF(I363="",IF(H363="OUI","À ENROBER",IF(G363="À SOUDER","NON SOUDÉ","EN ATTENTE RT")),IF(L363="R","À REPRENDRE",IF(H363&lt;&gt;"OUI","⚠ ENROBÉ AVANT ACCEPTATION RT","ENROBÉ")))))</f>
        <v>NON SOUDÉ</v>
      </c>
      <c r="O363" s="80"/>
      <c r="P363" s="82" t="n">
        <f aca="false">IF(C363="","",IFERROR(MATCH(Q363,'CARNET DE SOUDURE'!$AW$7:$AW$3006,0),""))</f>
        <v>357</v>
      </c>
      <c r="Q363" s="82" t="str">
        <f aca="false">IF(C363="","",B363&amp;"|"&amp;C363)</f>
        <v>MFD-ISW → MFD-CPF|JN°357</v>
      </c>
    </row>
    <row r="364" customFormat="false" ht="74.6" hidden="false" customHeight="false" outlineLevel="0" collapsed="false">
      <c r="A364" s="82" t="n">
        <f aca="false">IF(C364="","",ROW()-6)</f>
        <v>358</v>
      </c>
      <c r="B364" s="80" t="s">
        <v>110</v>
      </c>
      <c r="C364" s="113" t="s">
        <v>468</v>
      </c>
      <c r="D364" s="82" t="str">
        <f aca="false">IF(OR(C364="",P364=""),"",INDEX('CARNET DE SOUDURE'!$D$7:$D$3006,P364)&amp;"")</f>
        <v/>
      </c>
      <c r="E364" s="114" t="str">
        <f aca="false">IF(OR(C364="",P364=""),"",IF(INDEX('CARNET DE SOUDURE'!$U$7:$U$3006,P364)="","",INDEX('CARNET DE SOUDURE'!$U$7:$U$3006,P364)))</f>
        <v/>
      </c>
      <c r="F364" s="82" t="str">
        <f aca="false">IF(OR(C364="",P364=""),"",INDEX('CARNET DE SOUDURE'!$AP$7:$AP$3006,P364))</f>
        <v/>
      </c>
      <c r="G364" s="82" t="str">
        <f aca="false">IF(C364="","",IF(P364="","NJ INCONNU",INDEX('CARNET DE SOUDURE'!$AQ$7:$AQ$3006,P364)))</f>
        <v>À SOUDER</v>
      </c>
      <c r="H364" s="82" t="str">
        <f aca="false">IF(C364="","",IF(G364="ACCEPTÉ","OUI","NON"))</f>
        <v>NON</v>
      </c>
      <c r="I364" s="83"/>
      <c r="J364" s="80"/>
      <c r="K364" s="81"/>
      <c r="L364" s="81"/>
      <c r="M364" s="81"/>
      <c r="N364" s="84" t="str">
        <f aca="false">IF(C364="","",IF(P364="","NJ INCONNU",IF(I364="",IF(H364="OUI","À ENROBER",IF(G364="À SOUDER","NON SOUDÉ","EN ATTENTE RT")),IF(L364="R","À REPRENDRE",IF(H364&lt;&gt;"OUI","⚠ ENROBÉ AVANT ACCEPTATION RT","ENROBÉ")))))</f>
        <v>NON SOUDÉ</v>
      </c>
      <c r="O364" s="80"/>
      <c r="P364" s="82" t="n">
        <f aca="false">IF(C364="","",IFERROR(MATCH(Q364,'CARNET DE SOUDURE'!$AW$7:$AW$3006,0),""))</f>
        <v>358</v>
      </c>
      <c r="Q364" s="82" t="str">
        <f aca="false">IF(C364="","",B364&amp;"|"&amp;C364)</f>
        <v>MFD-ISW → MFD-CPF|JN°358</v>
      </c>
    </row>
    <row r="365" customFormat="false" ht="74.6" hidden="false" customHeight="false" outlineLevel="0" collapsed="false">
      <c r="A365" s="82" t="n">
        <f aca="false">IF(C365="","",ROW()-6)</f>
        <v>359</v>
      </c>
      <c r="B365" s="80" t="s">
        <v>110</v>
      </c>
      <c r="C365" s="113" t="s">
        <v>469</v>
      </c>
      <c r="D365" s="82" t="str">
        <f aca="false">IF(OR(C365="",P365=""),"",INDEX('CARNET DE SOUDURE'!$D$7:$D$3006,P365)&amp;"")</f>
        <v/>
      </c>
      <c r="E365" s="114" t="str">
        <f aca="false">IF(OR(C365="",P365=""),"",IF(INDEX('CARNET DE SOUDURE'!$U$7:$U$3006,P365)="","",INDEX('CARNET DE SOUDURE'!$U$7:$U$3006,P365)))</f>
        <v/>
      </c>
      <c r="F365" s="82" t="str">
        <f aca="false">IF(OR(C365="",P365=""),"",INDEX('CARNET DE SOUDURE'!$AP$7:$AP$3006,P365))</f>
        <v/>
      </c>
      <c r="G365" s="82" t="str">
        <f aca="false">IF(C365="","",IF(P365="","NJ INCONNU",INDEX('CARNET DE SOUDURE'!$AQ$7:$AQ$3006,P365)))</f>
        <v>À SOUDER</v>
      </c>
      <c r="H365" s="82" t="str">
        <f aca="false">IF(C365="","",IF(G365="ACCEPTÉ","OUI","NON"))</f>
        <v>NON</v>
      </c>
      <c r="I365" s="83"/>
      <c r="J365" s="80"/>
      <c r="K365" s="81"/>
      <c r="L365" s="81"/>
      <c r="M365" s="81"/>
      <c r="N365" s="84" t="str">
        <f aca="false">IF(C365="","",IF(P365="","NJ INCONNU",IF(I365="",IF(H365="OUI","À ENROBER",IF(G365="À SOUDER","NON SOUDÉ","EN ATTENTE RT")),IF(L365="R","À REPRENDRE",IF(H365&lt;&gt;"OUI","⚠ ENROBÉ AVANT ACCEPTATION RT","ENROBÉ")))))</f>
        <v>NON SOUDÉ</v>
      </c>
      <c r="O365" s="80"/>
      <c r="P365" s="82" t="n">
        <f aca="false">IF(C365="","",IFERROR(MATCH(Q365,'CARNET DE SOUDURE'!$AW$7:$AW$3006,0),""))</f>
        <v>359</v>
      </c>
      <c r="Q365" s="82" t="str">
        <f aca="false">IF(C365="","",B365&amp;"|"&amp;C365)</f>
        <v>MFD-ISW → MFD-CPF|JN°359</v>
      </c>
    </row>
    <row r="366" customFormat="false" ht="74.6" hidden="false" customHeight="false" outlineLevel="0" collapsed="false">
      <c r="A366" s="82" t="n">
        <f aca="false">IF(C366="","",ROW()-6)</f>
        <v>360</v>
      </c>
      <c r="B366" s="80" t="s">
        <v>110</v>
      </c>
      <c r="C366" s="113" t="s">
        <v>470</v>
      </c>
      <c r="D366" s="82" t="str">
        <f aca="false">IF(OR(C366="",P366=""),"",INDEX('CARNET DE SOUDURE'!$D$7:$D$3006,P366)&amp;"")</f>
        <v/>
      </c>
      <c r="E366" s="114" t="str">
        <f aca="false">IF(OR(C366="",P366=""),"",IF(INDEX('CARNET DE SOUDURE'!$U$7:$U$3006,P366)="","",INDEX('CARNET DE SOUDURE'!$U$7:$U$3006,P366)))</f>
        <v/>
      </c>
      <c r="F366" s="82" t="str">
        <f aca="false">IF(OR(C366="",P366=""),"",INDEX('CARNET DE SOUDURE'!$AP$7:$AP$3006,P366))</f>
        <v/>
      </c>
      <c r="G366" s="82" t="str">
        <f aca="false">IF(C366="","",IF(P366="","NJ INCONNU",INDEX('CARNET DE SOUDURE'!$AQ$7:$AQ$3006,P366)))</f>
        <v>À SOUDER</v>
      </c>
      <c r="H366" s="82" t="str">
        <f aca="false">IF(C366="","",IF(G366="ACCEPTÉ","OUI","NON"))</f>
        <v>NON</v>
      </c>
      <c r="I366" s="83"/>
      <c r="J366" s="80"/>
      <c r="K366" s="81"/>
      <c r="L366" s="81"/>
      <c r="M366" s="81"/>
      <c r="N366" s="84" t="str">
        <f aca="false">IF(C366="","",IF(P366="","NJ INCONNU",IF(I366="",IF(H366="OUI","À ENROBER",IF(G366="À SOUDER","NON SOUDÉ","EN ATTENTE RT")),IF(L366="R","À REPRENDRE",IF(H366&lt;&gt;"OUI","⚠ ENROBÉ AVANT ACCEPTATION RT","ENROBÉ")))))</f>
        <v>NON SOUDÉ</v>
      </c>
      <c r="O366" s="80"/>
      <c r="P366" s="82" t="n">
        <f aca="false">IF(C366="","",IFERROR(MATCH(Q366,'CARNET DE SOUDURE'!$AW$7:$AW$3006,0),""))</f>
        <v>360</v>
      </c>
      <c r="Q366" s="82" t="str">
        <f aca="false">IF(C366="","",B366&amp;"|"&amp;C366)</f>
        <v>MFD-ISW → MFD-CPF|JN°360</v>
      </c>
    </row>
    <row r="367" customFormat="false" ht="74.6" hidden="false" customHeight="false" outlineLevel="0" collapsed="false">
      <c r="A367" s="82" t="n">
        <f aca="false">IF(C367="","",ROW()-6)</f>
        <v>361</v>
      </c>
      <c r="B367" s="80" t="s">
        <v>110</v>
      </c>
      <c r="C367" s="113" t="s">
        <v>471</v>
      </c>
      <c r="D367" s="82" t="str">
        <f aca="false">IF(OR(C367="",P367=""),"",INDEX('CARNET DE SOUDURE'!$D$7:$D$3006,P367)&amp;"")</f>
        <v/>
      </c>
      <c r="E367" s="114" t="str">
        <f aca="false">IF(OR(C367="",P367=""),"",IF(INDEX('CARNET DE SOUDURE'!$U$7:$U$3006,P367)="","",INDEX('CARNET DE SOUDURE'!$U$7:$U$3006,P367)))</f>
        <v/>
      </c>
      <c r="F367" s="82" t="str">
        <f aca="false">IF(OR(C367="",P367=""),"",INDEX('CARNET DE SOUDURE'!$AP$7:$AP$3006,P367))</f>
        <v/>
      </c>
      <c r="G367" s="82" t="str">
        <f aca="false">IF(C367="","",IF(P367="","NJ INCONNU",INDEX('CARNET DE SOUDURE'!$AQ$7:$AQ$3006,P367)))</f>
        <v>À SOUDER</v>
      </c>
      <c r="H367" s="82" t="str">
        <f aca="false">IF(C367="","",IF(G367="ACCEPTÉ","OUI","NON"))</f>
        <v>NON</v>
      </c>
      <c r="I367" s="83"/>
      <c r="J367" s="80"/>
      <c r="K367" s="81"/>
      <c r="L367" s="81"/>
      <c r="M367" s="81"/>
      <c r="N367" s="84" t="str">
        <f aca="false">IF(C367="","",IF(P367="","NJ INCONNU",IF(I367="",IF(H367="OUI","À ENROBER",IF(G367="À SOUDER","NON SOUDÉ","EN ATTENTE RT")),IF(L367="R","À REPRENDRE",IF(H367&lt;&gt;"OUI","⚠ ENROBÉ AVANT ACCEPTATION RT","ENROBÉ")))))</f>
        <v>NON SOUDÉ</v>
      </c>
      <c r="O367" s="80"/>
      <c r="P367" s="82" t="n">
        <f aca="false">IF(C367="","",IFERROR(MATCH(Q367,'CARNET DE SOUDURE'!$AW$7:$AW$3006,0),""))</f>
        <v>361</v>
      </c>
      <c r="Q367" s="82" t="str">
        <f aca="false">IF(C367="","",B367&amp;"|"&amp;C367)</f>
        <v>MFD-ISW → MFD-CPF|JN°361</v>
      </c>
    </row>
    <row r="368" customFormat="false" ht="74.6" hidden="false" customHeight="false" outlineLevel="0" collapsed="false">
      <c r="A368" s="82" t="n">
        <f aca="false">IF(C368="","",ROW()-6)</f>
        <v>362</v>
      </c>
      <c r="B368" s="80" t="s">
        <v>110</v>
      </c>
      <c r="C368" s="113" t="s">
        <v>472</v>
      </c>
      <c r="D368" s="82" t="str">
        <f aca="false">IF(OR(C368="",P368=""),"",INDEX('CARNET DE SOUDURE'!$D$7:$D$3006,P368)&amp;"")</f>
        <v/>
      </c>
      <c r="E368" s="114" t="str">
        <f aca="false">IF(OR(C368="",P368=""),"",IF(INDEX('CARNET DE SOUDURE'!$U$7:$U$3006,P368)="","",INDEX('CARNET DE SOUDURE'!$U$7:$U$3006,P368)))</f>
        <v/>
      </c>
      <c r="F368" s="82" t="str">
        <f aca="false">IF(OR(C368="",P368=""),"",INDEX('CARNET DE SOUDURE'!$AP$7:$AP$3006,P368))</f>
        <v/>
      </c>
      <c r="G368" s="82" t="str">
        <f aca="false">IF(C368="","",IF(P368="","NJ INCONNU",INDEX('CARNET DE SOUDURE'!$AQ$7:$AQ$3006,P368)))</f>
        <v>À SOUDER</v>
      </c>
      <c r="H368" s="82" t="str">
        <f aca="false">IF(C368="","",IF(G368="ACCEPTÉ","OUI","NON"))</f>
        <v>NON</v>
      </c>
      <c r="I368" s="83"/>
      <c r="J368" s="80"/>
      <c r="K368" s="81"/>
      <c r="L368" s="81"/>
      <c r="M368" s="81"/>
      <c r="N368" s="84" t="str">
        <f aca="false">IF(C368="","",IF(P368="","NJ INCONNU",IF(I368="",IF(H368="OUI","À ENROBER",IF(G368="À SOUDER","NON SOUDÉ","EN ATTENTE RT")),IF(L368="R","À REPRENDRE",IF(H368&lt;&gt;"OUI","⚠ ENROBÉ AVANT ACCEPTATION RT","ENROBÉ")))))</f>
        <v>NON SOUDÉ</v>
      </c>
      <c r="O368" s="80"/>
      <c r="P368" s="82" t="n">
        <f aca="false">IF(C368="","",IFERROR(MATCH(Q368,'CARNET DE SOUDURE'!$AW$7:$AW$3006,0),""))</f>
        <v>362</v>
      </c>
      <c r="Q368" s="82" t="str">
        <f aca="false">IF(C368="","",B368&amp;"|"&amp;C368)</f>
        <v>MFD-ISW → MFD-CPF|JN°362</v>
      </c>
    </row>
    <row r="369" customFormat="false" ht="74.6" hidden="false" customHeight="false" outlineLevel="0" collapsed="false">
      <c r="A369" s="82" t="n">
        <f aca="false">IF(C369="","",ROW()-6)</f>
        <v>363</v>
      </c>
      <c r="B369" s="80" t="s">
        <v>110</v>
      </c>
      <c r="C369" s="113" t="s">
        <v>473</v>
      </c>
      <c r="D369" s="82" t="str">
        <f aca="false">IF(OR(C369="",P369=""),"",INDEX('CARNET DE SOUDURE'!$D$7:$D$3006,P369)&amp;"")</f>
        <v/>
      </c>
      <c r="E369" s="114" t="str">
        <f aca="false">IF(OR(C369="",P369=""),"",IF(INDEX('CARNET DE SOUDURE'!$U$7:$U$3006,P369)="","",INDEX('CARNET DE SOUDURE'!$U$7:$U$3006,P369)))</f>
        <v/>
      </c>
      <c r="F369" s="82" t="str">
        <f aca="false">IF(OR(C369="",P369=""),"",INDEX('CARNET DE SOUDURE'!$AP$7:$AP$3006,P369))</f>
        <v/>
      </c>
      <c r="G369" s="82" t="str">
        <f aca="false">IF(C369="","",IF(P369="","NJ INCONNU",INDEX('CARNET DE SOUDURE'!$AQ$7:$AQ$3006,P369)))</f>
        <v>À SOUDER</v>
      </c>
      <c r="H369" s="82" t="str">
        <f aca="false">IF(C369="","",IF(G369="ACCEPTÉ","OUI","NON"))</f>
        <v>NON</v>
      </c>
      <c r="I369" s="83"/>
      <c r="J369" s="80"/>
      <c r="K369" s="81"/>
      <c r="L369" s="81"/>
      <c r="M369" s="81"/>
      <c r="N369" s="84" t="str">
        <f aca="false">IF(C369="","",IF(P369="","NJ INCONNU",IF(I369="",IF(H369="OUI","À ENROBER",IF(G369="À SOUDER","NON SOUDÉ","EN ATTENTE RT")),IF(L369="R","À REPRENDRE",IF(H369&lt;&gt;"OUI","⚠ ENROBÉ AVANT ACCEPTATION RT","ENROBÉ")))))</f>
        <v>NON SOUDÉ</v>
      </c>
      <c r="O369" s="80"/>
      <c r="P369" s="82" t="n">
        <f aca="false">IF(C369="","",IFERROR(MATCH(Q369,'CARNET DE SOUDURE'!$AW$7:$AW$3006,0),""))</f>
        <v>363</v>
      </c>
      <c r="Q369" s="82" t="str">
        <f aca="false">IF(C369="","",B369&amp;"|"&amp;C369)</f>
        <v>MFD-ISW → MFD-CPF|JN°363</v>
      </c>
    </row>
    <row r="370" customFormat="false" ht="74.6" hidden="false" customHeight="false" outlineLevel="0" collapsed="false">
      <c r="A370" s="82" t="n">
        <f aca="false">IF(C370="","",ROW()-6)</f>
        <v>364</v>
      </c>
      <c r="B370" s="80" t="s">
        <v>110</v>
      </c>
      <c r="C370" s="113" t="s">
        <v>474</v>
      </c>
      <c r="D370" s="82" t="str">
        <f aca="false">IF(OR(C370="",P370=""),"",INDEX('CARNET DE SOUDURE'!$D$7:$D$3006,P370)&amp;"")</f>
        <v/>
      </c>
      <c r="E370" s="114" t="str">
        <f aca="false">IF(OR(C370="",P370=""),"",IF(INDEX('CARNET DE SOUDURE'!$U$7:$U$3006,P370)="","",INDEX('CARNET DE SOUDURE'!$U$7:$U$3006,P370)))</f>
        <v/>
      </c>
      <c r="F370" s="82" t="str">
        <f aca="false">IF(OR(C370="",P370=""),"",INDEX('CARNET DE SOUDURE'!$AP$7:$AP$3006,P370))</f>
        <v/>
      </c>
      <c r="G370" s="82" t="str">
        <f aca="false">IF(C370="","",IF(P370="","NJ INCONNU",INDEX('CARNET DE SOUDURE'!$AQ$7:$AQ$3006,P370)))</f>
        <v>À SOUDER</v>
      </c>
      <c r="H370" s="82" t="str">
        <f aca="false">IF(C370="","",IF(G370="ACCEPTÉ","OUI","NON"))</f>
        <v>NON</v>
      </c>
      <c r="I370" s="83"/>
      <c r="J370" s="80"/>
      <c r="K370" s="81"/>
      <c r="L370" s="81"/>
      <c r="M370" s="81"/>
      <c r="N370" s="84" t="str">
        <f aca="false">IF(C370="","",IF(P370="","NJ INCONNU",IF(I370="",IF(H370="OUI","À ENROBER",IF(G370="À SOUDER","NON SOUDÉ","EN ATTENTE RT")),IF(L370="R","À REPRENDRE",IF(H370&lt;&gt;"OUI","⚠ ENROBÉ AVANT ACCEPTATION RT","ENROBÉ")))))</f>
        <v>NON SOUDÉ</v>
      </c>
      <c r="O370" s="80"/>
      <c r="P370" s="82" t="n">
        <f aca="false">IF(C370="","",IFERROR(MATCH(Q370,'CARNET DE SOUDURE'!$AW$7:$AW$3006,0),""))</f>
        <v>364</v>
      </c>
      <c r="Q370" s="82" t="str">
        <f aca="false">IF(C370="","",B370&amp;"|"&amp;C370)</f>
        <v>MFD-ISW → MFD-CPF|JN°364</v>
      </c>
    </row>
    <row r="371" customFormat="false" ht="74.6" hidden="false" customHeight="false" outlineLevel="0" collapsed="false">
      <c r="A371" s="82" t="n">
        <f aca="false">IF(C371="","",ROW()-6)</f>
        <v>365</v>
      </c>
      <c r="B371" s="80" t="s">
        <v>110</v>
      </c>
      <c r="C371" s="113" t="s">
        <v>475</v>
      </c>
      <c r="D371" s="82" t="str">
        <f aca="false">IF(OR(C371="",P371=""),"",INDEX('CARNET DE SOUDURE'!$D$7:$D$3006,P371)&amp;"")</f>
        <v/>
      </c>
      <c r="E371" s="114" t="str">
        <f aca="false">IF(OR(C371="",P371=""),"",IF(INDEX('CARNET DE SOUDURE'!$U$7:$U$3006,P371)="","",INDEX('CARNET DE SOUDURE'!$U$7:$U$3006,P371)))</f>
        <v/>
      </c>
      <c r="F371" s="82" t="str">
        <f aca="false">IF(OR(C371="",P371=""),"",INDEX('CARNET DE SOUDURE'!$AP$7:$AP$3006,P371))</f>
        <v/>
      </c>
      <c r="G371" s="82" t="str">
        <f aca="false">IF(C371="","",IF(P371="","NJ INCONNU",INDEX('CARNET DE SOUDURE'!$AQ$7:$AQ$3006,P371)))</f>
        <v>À SOUDER</v>
      </c>
      <c r="H371" s="82" t="str">
        <f aca="false">IF(C371="","",IF(G371="ACCEPTÉ","OUI","NON"))</f>
        <v>NON</v>
      </c>
      <c r="I371" s="83"/>
      <c r="J371" s="80"/>
      <c r="K371" s="81"/>
      <c r="L371" s="81"/>
      <c r="M371" s="81"/>
      <c r="N371" s="84" t="str">
        <f aca="false">IF(C371="","",IF(P371="","NJ INCONNU",IF(I371="",IF(H371="OUI","À ENROBER",IF(G371="À SOUDER","NON SOUDÉ","EN ATTENTE RT")),IF(L371="R","À REPRENDRE",IF(H371&lt;&gt;"OUI","⚠ ENROBÉ AVANT ACCEPTATION RT","ENROBÉ")))))</f>
        <v>NON SOUDÉ</v>
      </c>
      <c r="O371" s="80"/>
      <c r="P371" s="82" t="n">
        <f aca="false">IF(C371="","",IFERROR(MATCH(Q371,'CARNET DE SOUDURE'!$AW$7:$AW$3006,0),""))</f>
        <v>365</v>
      </c>
      <c r="Q371" s="82" t="str">
        <f aca="false">IF(C371="","",B371&amp;"|"&amp;C371)</f>
        <v>MFD-ISW → MFD-CPF|JN°365</v>
      </c>
    </row>
    <row r="372" customFormat="false" ht="74.6" hidden="false" customHeight="false" outlineLevel="0" collapsed="false">
      <c r="A372" s="82" t="n">
        <f aca="false">IF(C372="","",ROW()-6)</f>
        <v>366</v>
      </c>
      <c r="B372" s="80" t="s">
        <v>110</v>
      </c>
      <c r="C372" s="113" t="s">
        <v>476</v>
      </c>
      <c r="D372" s="82" t="str">
        <f aca="false">IF(OR(C372="",P372=""),"",INDEX('CARNET DE SOUDURE'!$D$7:$D$3006,P372)&amp;"")</f>
        <v/>
      </c>
      <c r="E372" s="114" t="str">
        <f aca="false">IF(OR(C372="",P372=""),"",IF(INDEX('CARNET DE SOUDURE'!$U$7:$U$3006,P372)="","",INDEX('CARNET DE SOUDURE'!$U$7:$U$3006,P372)))</f>
        <v/>
      </c>
      <c r="F372" s="82" t="str">
        <f aca="false">IF(OR(C372="",P372=""),"",INDEX('CARNET DE SOUDURE'!$AP$7:$AP$3006,P372))</f>
        <v/>
      </c>
      <c r="G372" s="82" t="str">
        <f aca="false">IF(C372="","",IF(P372="","NJ INCONNU",INDEX('CARNET DE SOUDURE'!$AQ$7:$AQ$3006,P372)))</f>
        <v>À SOUDER</v>
      </c>
      <c r="H372" s="82" t="str">
        <f aca="false">IF(C372="","",IF(G372="ACCEPTÉ","OUI","NON"))</f>
        <v>NON</v>
      </c>
      <c r="I372" s="83"/>
      <c r="J372" s="80"/>
      <c r="K372" s="81"/>
      <c r="L372" s="81"/>
      <c r="M372" s="81"/>
      <c r="N372" s="84" t="str">
        <f aca="false">IF(C372="","",IF(P372="","NJ INCONNU",IF(I372="",IF(H372="OUI","À ENROBER",IF(G372="À SOUDER","NON SOUDÉ","EN ATTENTE RT")),IF(L372="R","À REPRENDRE",IF(H372&lt;&gt;"OUI","⚠ ENROBÉ AVANT ACCEPTATION RT","ENROBÉ")))))</f>
        <v>NON SOUDÉ</v>
      </c>
      <c r="O372" s="80"/>
      <c r="P372" s="82" t="n">
        <f aca="false">IF(C372="","",IFERROR(MATCH(Q372,'CARNET DE SOUDURE'!$AW$7:$AW$3006,0),""))</f>
        <v>366</v>
      </c>
      <c r="Q372" s="82" t="str">
        <f aca="false">IF(C372="","",B372&amp;"|"&amp;C372)</f>
        <v>MFD-ISW → MFD-CPF|JN°366</v>
      </c>
    </row>
    <row r="373" customFormat="false" ht="74.6" hidden="false" customHeight="false" outlineLevel="0" collapsed="false">
      <c r="A373" s="82" t="n">
        <f aca="false">IF(C373="","",ROW()-6)</f>
        <v>367</v>
      </c>
      <c r="B373" s="80" t="s">
        <v>110</v>
      </c>
      <c r="C373" s="113" t="s">
        <v>477</v>
      </c>
      <c r="D373" s="82" t="str">
        <f aca="false">IF(OR(C373="",P373=""),"",INDEX('CARNET DE SOUDURE'!$D$7:$D$3006,P373)&amp;"")</f>
        <v/>
      </c>
      <c r="E373" s="114" t="str">
        <f aca="false">IF(OR(C373="",P373=""),"",IF(INDEX('CARNET DE SOUDURE'!$U$7:$U$3006,P373)="","",INDEX('CARNET DE SOUDURE'!$U$7:$U$3006,P373)))</f>
        <v/>
      </c>
      <c r="F373" s="82" t="str">
        <f aca="false">IF(OR(C373="",P373=""),"",INDEX('CARNET DE SOUDURE'!$AP$7:$AP$3006,P373))</f>
        <v/>
      </c>
      <c r="G373" s="82" t="str">
        <f aca="false">IF(C373="","",IF(P373="","NJ INCONNU",INDEX('CARNET DE SOUDURE'!$AQ$7:$AQ$3006,P373)))</f>
        <v>À SOUDER</v>
      </c>
      <c r="H373" s="82" t="str">
        <f aca="false">IF(C373="","",IF(G373="ACCEPTÉ","OUI","NON"))</f>
        <v>NON</v>
      </c>
      <c r="I373" s="83"/>
      <c r="J373" s="80"/>
      <c r="K373" s="81"/>
      <c r="L373" s="81"/>
      <c r="M373" s="81"/>
      <c r="N373" s="84" t="str">
        <f aca="false">IF(C373="","",IF(P373="","NJ INCONNU",IF(I373="",IF(H373="OUI","À ENROBER",IF(G373="À SOUDER","NON SOUDÉ","EN ATTENTE RT")),IF(L373="R","À REPRENDRE",IF(H373&lt;&gt;"OUI","⚠ ENROBÉ AVANT ACCEPTATION RT","ENROBÉ")))))</f>
        <v>NON SOUDÉ</v>
      </c>
      <c r="O373" s="80"/>
      <c r="P373" s="82" t="n">
        <f aca="false">IF(C373="","",IFERROR(MATCH(Q373,'CARNET DE SOUDURE'!$AW$7:$AW$3006,0),""))</f>
        <v>367</v>
      </c>
      <c r="Q373" s="82" t="str">
        <f aca="false">IF(C373="","",B373&amp;"|"&amp;C373)</f>
        <v>MFD-ISW → MFD-CPF|JN°367</v>
      </c>
    </row>
    <row r="374" customFormat="false" ht="74.6" hidden="false" customHeight="false" outlineLevel="0" collapsed="false">
      <c r="A374" s="82" t="n">
        <f aca="false">IF(C374="","",ROW()-6)</f>
        <v>368</v>
      </c>
      <c r="B374" s="80" t="s">
        <v>110</v>
      </c>
      <c r="C374" s="113" t="s">
        <v>478</v>
      </c>
      <c r="D374" s="82" t="str">
        <f aca="false">IF(OR(C374="",P374=""),"",INDEX('CARNET DE SOUDURE'!$D$7:$D$3006,P374)&amp;"")</f>
        <v/>
      </c>
      <c r="E374" s="114" t="str">
        <f aca="false">IF(OR(C374="",P374=""),"",IF(INDEX('CARNET DE SOUDURE'!$U$7:$U$3006,P374)="","",INDEX('CARNET DE SOUDURE'!$U$7:$U$3006,P374)))</f>
        <v/>
      </c>
      <c r="F374" s="82" t="str">
        <f aca="false">IF(OR(C374="",P374=""),"",INDEX('CARNET DE SOUDURE'!$AP$7:$AP$3006,P374))</f>
        <v/>
      </c>
      <c r="G374" s="82" t="str">
        <f aca="false">IF(C374="","",IF(P374="","NJ INCONNU",INDEX('CARNET DE SOUDURE'!$AQ$7:$AQ$3006,P374)))</f>
        <v>À SOUDER</v>
      </c>
      <c r="H374" s="82" t="str">
        <f aca="false">IF(C374="","",IF(G374="ACCEPTÉ","OUI","NON"))</f>
        <v>NON</v>
      </c>
      <c r="I374" s="83"/>
      <c r="J374" s="80"/>
      <c r="K374" s="81"/>
      <c r="L374" s="81"/>
      <c r="M374" s="81"/>
      <c r="N374" s="84" t="str">
        <f aca="false">IF(C374="","",IF(P374="","NJ INCONNU",IF(I374="",IF(H374="OUI","À ENROBER",IF(G374="À SOUDER","NON SOUDÉ","EN ATTENTE RT")),IF(L374="R","À REPRENDRE",IF(H374&lt;&gt;"OUI","⚠ ENROBÉ AVANT ACCEPTATION RT","ENROBÉ")))))</f>
        <v>NON SOUDÉ</v>
      </c>
      <c r="O374" s="80"/>
      <c r="P374" s="82" t="n">
        <f aca="false">IF(C374="","",IFERROR(MATCH(Q374,'CARNET DE SOUDURE'!$AW$7:$AW$3006,0),""))</f>
        <v>368</v>
      </c>
      <c r="Q374" s="82" t="str">
        <f aca="false">IF(C374="","",B374&amp;"|"&amp;C374)</f>
        <v>MFD-ISW → MFD-CPF|JN°368</v>
      </c>
    </row>
    <row r="375" customFormat="false" ht="74.6" hidden="false" customHeight="false" outlineLevel="0" collapsed="false">
      <c r="A375" s="82" t="n">
        <f aca="false">IF(C375="","",ROW()-6)</f>
        <v>369</v>
      </c>
      <c r="B375" s="80" t="s">
        <v>110</v>
      </c>
      <c r="C375" s="113" t="s">
        <v>479</v>
      </c>
      <c r="D375" s="82" t="str">
        <f aca="false">IF(OR(C375="",P375=""),"",INDEX('CARNET DE SOUDURE'!$D$7:$D$3006,P375)&amp;"")</f>
        <v/>
      </c>
      <c r="E375" s="114" t="str">
        <f aca="false">IF(OR(C375="",P375=""),"",IF(INDEX('CARNET DE SOUDURE'!$U$7:$U$3006,P375)="","",INDEX('CARNET DE SOUDURE'!$U$7:$U$3006,P375)))</f>
        <v/>
      </c>
      <c r="F375" s="82" t="str">
        <f aca="false">IF(OR(C375="",P375=""),"",INDEX('CARNET DE SOUDURE'!$AP$7:$AP$3006,P375))</f>
        <v/>
      </c>
      <c r="G375" s="82" t="str">
        <f aca="false">IF(C375="","",IF(P375="","NJ INCONNU",INDEX('CARNET DE SOUDURE'!$AQ$7:$AQ$3006,P375)))</f>
        <v>À SOUDER</v>
      </c>
      <c r="H375" s="82" t="str">
        <f aca="false">IF(C375="","",IF(G375="ACCEPTÉ","OUI","NON"))</f>
        <v>NON</v>
      </c>
      <c r="I375" s="83"/>
      <c r="J375" s="80"/>
      <c r="K375" s="81"/>
      <c r="L375" s="81"/>
      <c r="M375" s="81"/>
      <c r="N375" s="84" t="str">
        <f aca="false">IF(C375="","",IF(P375="","NJ INCONNU",IF(I375="",IF(H375="OUI","À ENROBER",IF(G375="À SOUDER","NON SOUDÉ","EN ATTENTE RT")),IF(L375="R","À REPRENDRE",IF(H375&lt;&gt;"OUI","⚠ ENROBÉ AVANT ACCEPTATION RT","ENROBÉ")))))</f>
        <v>NON SOUDÉ</v>
      </c>
      <c r="O375" s="80"/>
      <c r="P375" s="82" t="n">
        <f aca="false">IF(C375="","",IFERROR(MATCH(Q375,'CARNET DE SOUDURE'!$AW$7:$AW$3006,0),""))</f>
        <v>369</v>
      </c>
      <c r="Q375" s="82" t="str">
        <f aca="false">IF(C375="","",B375&amp;"|"&amp;C375)</f>
        <v>MFD-ISW → MFD-CPF|JN°369</v>
      </c>
    </row>
    <row r="376" customFormat="false" ht="74.6" hidden="false" customHeight="false" outlineLevel="0" collapsed="false">
      <c r="A376" s="82" t="n">
        <f aca="false">IF(C376="","",ROW()-6)</f>
        <v>370</v>
      </c>
      <c r="B376" s="80" t="s">
        <v>110</v>
      </c>
      <c r="C376" s="113" t="s">
        <v>480</v>
      </c>
      <c r="D376" s="82" t="str">
        <f aca="false">IF(OR(C376="",P376=""),"",INDEX('CARNET DE SOUDURE'!$D$7:$D$3006,P376)&amp;"")</f>
        <v/>
      </c>
      <c r="E376" s="114" t="str">
        <f aca="false">IF(OR(C376="",P376=""),"",IF(INDEX('CARNET DE SOUDURE'!$U$7:$U$3006,P376)="","",INDEX('CARNET DE SOUDURE'!$U$7:$U$3006,P376)))</f>
        <v/>
      </c>
      <c r="F376" s="82" t="str">
        <f aca="false">IF(OR(C376="",P376=""),"",INDEX('CARNET DE SOUDURE'!$AP$7:$AP$3006,P376))</f>
        <v/>
      </c>
      <c r="G376" s="82" t="str">
        <f aca="false">IF(C376="","",IF(P376="","NJ INCONNU",INDEX('CARNET DE SOUDURE'!$AQ$7:$AQ$3006,P376)))</f>
        <v>À SOUDER</v>
      </c>
      <c r="H376" s="82" t="str">
        <f aca="false">IF(C376="","",IF(G376="ACCEPTÉ","OUI","NON"))</f>
        <v>NON</v>
      </c>
      <c r="I376" s="83"/>
      <c r="J376" s="80"/>
      <c r="K376" s="81"/>
      <c r="L376" s="81"/>
      <c r="M376" s="81"/>
      <c r="N376" s="84" t="str">
        <f aca="false">IF(C376="","",IF(P376="","NJ INCONNU",IF(I376="",IF(H376="OUI","À ENROBER",IF(G376="À SOUDER","NON SOUDÉ","EN ATTENTE RT")),IF(L376="R","À REPRENDRE",IF(H376&lt;&gt;"OUI","⚠ ENROBÉ AVANT ACCEPTATION RT","ENROBÉ")))))</f>
        <v>NON SOUDÉ</v>
      </c>
      <c r="O376" s="80"/>
      <c r="P376" s="82" t="n">
        <f aca="false">IF(C376="","",IFERROR(MATCH(Q376,'CARNET DE SOUDURE'!$AW$7:$AW$3006,0),""))</f>
        <v>370</v>
      </c>
      <c r="Q376" s="82" t="str">
        <f aca="false">IF(C376="","",B376&amp;"|"&amp;C376)</f>
        <v>MFD-ISW → MFD-CPF|JN°370</v>
      </c>
    </row>
    <row r="377" customFormat="false" ht="74.6" hidden="false" customHeight="false" outlineLevel="0" collapsed="false">
      <c r="A377" s="82" t="n">
        <f aca="false">IF(C377="","",ROW()-6)</f>
        <v>371</v>
      </c>
      <c r="B377" s="80" t="s">
        <v>110</v>
      </c>
      <c r="C377" s="113" t="s">
        <v>481</v>
      </c>
      <c r="D377" s="82" t="str">
        <f aca="false">IF(OR(C377="",P377=""),"",INDEX('CARNET DE SOUDURE'!$D$7:$D$3006,P377)&amp;"")</f>
        <v/>
      </c>
      <c r="E377" s="114" t="str">
        <f aca="false">IF(OR(C377="",P377=""),"",IF(INDEX('CARNET DE SOUDURE'!$U$7:$U$3006,P377)="","",INDEX('CARNET DE SOUDURE'!$U$7:$U$3006,P377)))</f>
        <v/>
      </c>
      <c r="F377" s="82" t="str">
        <f aca="false">IF(OR(C377="",P377=""),"",INDEX('CARNET DE SOUDURE'!$AP$7:$AP$3006,P377))</f>
        <v/>
      </c>
      <c r="G377" s="82" t="str">
        <f aca="false">IF(C377="","",IF(P377="","NJ INCONNU",INDEX('CARNET DE SOUDURE'!$AQ$7:$AQ$3006,P377)))</f>
        <v>À SOUDER</v>
      </c>
      <c r="H377" s="82" t="str">
        <f aca="false">IF(C377="","",IF(G377="ACCEPTÉ","OUI","NON"))</f>
        <v>NON</v>
      </c>
      <c r="I377" s="83"/>
      <c r="J377" s="80"/>
      <c r="K377" s="81"/>
      <c r="L377" s="81"/>
      <c r="M377" s="81"/>
      <c r="N377" s="84" t="str">
        <f aca="false">IF(C377="","",IF(P377="","NJ INCONNU",IF(I377="",IF(H377="OUI","À ENROBER",IF(G377="À SOUDER","NON SOUDÉ","EN ATTENTE RT")),IF(L377="R","À REPRENDRE",IF(H377&lt;&gt;"OUI","⚠ ENROBÉ AVANT ACCEPTATION RT","ENROBÉ")))))</f>
        <v>NON SOUDÉ</v>
      </c>
      <c r="O377" s="80"/>
      <c r="P377" s="82" t="n">
        <f aca="false">IF(C377="","",IFERROR(MATCH(Q377,'CARNET DE SOUDURE'!$AW$7:$AW$3006,0),""))</f>
        <v>371</v>
      </c>
      <c r="Q377" s="82" t="str">
        <f aca="false">IF(C377="","",B377&amp;"|"&amp;C377)</f>
        <v>MFD-ISW → MFD-CPF|JN°371</v>
      </c>
    </row>
    <row r="378" customFormat="false" ht="74.6" hidden="false" customHeight="false" outlineLevel="0" collapsed="false">
      <c r="A378" s="82" t="n">
        <f aca="false">IF(C378="","",ROW()-6)</f>
        <v>372</v>
      </c>
      <c r="B378" s="80" t="s">
        <v>110</v>
      </c>
      <c r="C378" s="113" t="s">
        <v>482</v>
      </c>
      <c r="D378" s="82" t="str">
        <f aca="false">IF(OR(C378="",P378=""),"",INDEX('CARNET DE SOUDURE'!$D$7:$D$3006,P378)&amp;"")</f>
        <v/>
      </c>
      <c r="E378" s="114" t="str">
        <f aca="false">IF(OR(C378="",P378=""),"",IF(INDEX('CARNET DE SOUDURE'!$U$7:$U$3006,P378)="","",INDEX('CARNET DE SOUDURE'!$U$7:$U$3006,P378)))</f>
        <v/>
      </c>
      <c r="F378" s="82" t="str">
        <f aca="false">IF(OR(C378="",P378=""),"",INDEX('CARNET DE SOUDURE'!$AP$7:$AP$3006,P378))</f>
        <v/>
      </c>
      <c r="G378" s="82" t="str">
        <f aca="false">IF(C378="","",IF(P378="","NJ INCONNU",INDEX('CARNET DE SOUDURE'!$AQ$7:$AQ$3006,P378)))</f>
        <v>À SOUDER</v>
      </c>
      <c r="H378" s="82" t="str">
        <f aca="false">IF(C378="","",IF(G378="ACCEPTÉ","OUI","NON"))</f>
        <v>NON</v>
      </c>
      <c r="I378" s="83"/>
      <c r="J378" s="80"/>
      <c r="K378" s="81"/>
      <c r="L378" s="81"/>
      <c r="M378" s="81"/>
      <c r="N378" s="84" t="str">
        <f aca="false">IF(C378="","",IF(P378="","NJ INCONNU",IF(I378="",IF(H378="OUI","À ENROBER",IF(G378="À SOUDER","NON SOUDÉ","EN ATTENTE RT")),IF(L378="R","À REPRENDRE",IF(H378&lt;&gt;"OUI","⚠ ENROBÉ AVANT ACCEPTATION RT","ENROBÉ")))))</f>
        <v>NON SOUDÉ</v>
      </c>
      <c r="O378" s="80"/>
      <c r="P378" s="82" t="n">
        <f aca="false">IF(C378="","",IFERROR(MATCH(Q378,'CARNET DE SOUDURE'!$AW$7:$AW$3006,0),""))</f>
        <v>372</v>
      </c>
      <c r="Q378" s="82" t="str">
        <f aca="false">IF(C378="","",B378&amp;"|"&amp;C378)</f>
        <v>MFD-ISW → MFD-CPF|JN°372</v>
      </c>
    </row>
    <row r="379" customFormat="false" ht="74.6" hidden="false" customHeight="false" outlineLevel="0" collapsed="false">
      <c r="A379" s="82" t="n">
        <f aca="false">IF(C379="","",ROW()-6)</f>
        <v>373</v>
      </c>
      <c r="B379" s="80" t="s">
        <v>110</v>
      </c>
      <c r="C379" s="113" t="s">
        <v>483</v>
      </c>
      <c r="D379" s="82" t="str">
        <f aca="false">IF(OR(C379="",P379=""),"",INDEX('CARNET DE SOUDURE'!$D$7:$D$3006,P379)&amp;"")</f>
        <v/>
      </c>
      <c r="E379" s="114" t="str">
        <f aca="false">IF(OR(C379="",P379=""),"",IF(INDEX('CARNET DE SOUDURE'!$U$7:$U$3006,P379)="","",INDEX('CARNET DE SOUDURE'!$U$7:$U$3006,P379)))</f>
        <v/>
      </c>
      <c r="F379" s="82" t="str">
        <f aca="false">IF(OR(C379="",P379=""),"",INDEX('CARNET DE SOUDURE'!$AP$7:$AP$3006,P379))</f>
        <v/>
      </c>
      <c r="G379" s="82" t="str">
        <f aca="false">IF(C379="","",IF(P379="","NJ INCONNU",INDEX('CARNET DE SOUDURE'!$AQ$7:$AQ$3006,P379)))</f>
        <v>À SOUDER</v>
      </c>
      <c r="H379" s="82" t="str">
        <f aca="false">IF(C379="","",IF(G379="ACCEPTÉ","OUI","NON"))</f>
        <v>NON</v>
      </c>
      <c r="I379" s="83"/>
      <c r="J379" s="80"/>
      <c r="K379" s="81"/>
      <c r="L379" s="81"/>
      <c r="M379" s="81"/>
      <c r="N379" s="84" t="str">
        <f aca="false">IF(C379="","",IF(P379="","NJ INCONNU",IF(I379="",IF(H379="OUI","À ENROBER",IF(G379="À SOUDER","NON SOUDÉ","EN ATTENTE RT")),IF(L379="R","À REPRENDRE",IF(H379&lt;&gt;"OUI","⚠ ENROBÉ AVANT ACCEPTATION RT","ENROBÉ")))))</f>
        <v>NON SOUDÉ</v>
      </c>
      <c r="O379" s="80"/>
      <c r="P379" s="82" t="n">
        <f aca="false">IF(C379="","",IFERROR(MATCH(Q379,'CARNET DE SOUDURE'!$AW$7:$AW$3006,0),""))</f>
        <v>373</v>
      </c>
      <c r="Q379" s="82" t="str">
        <f aca="false">IF(C379="","",B379&amp;"|"&amp;C379)</f>
        <v>MFD-ISW → MFD-CPF|JN°373</v>
      </c>
    </row>
    <row r="380" customFormat="false" ht="74.6" hidden="false" customHeight="false" outlineLevel="0" collapsed="false">
      <c r="A380" s="82" t="n">
        <f aca="false">IF(C380="","",ROW()-6)</f>
        <v>374</v>
      </c>
      <c r="B380" s="80" t="s">
        <v>110</v>
      </c>
      <c r="C380" s="113" t="s">
        <v>484</v>
      </c>
      <c r="D380" s="82" t="str">
        <f aca="false">IF(OR(C380="",P380=""),"",INDEX('CARNET DE SOUDURE'!$D$7:$D$3006,P380)&amp;"")</f>
        <v/>
      </c>
      <c r="E380" s="114" t="str">
        <f aca="false">IF(OR(C380="",P380=""),"",IF(INDEX('CARNET DE SOUDURE'!$U$7:$U$3006,P380)="","",INDEX('CARNET DE SOUDURE'!$U$7:$U$3006,P380)))</f>
        <v/>
      </c>
      <c r="F380" s="82" t="str">
        <f aca="false">IF(OR(C380="",P380=""),"",INDEX('CARNET DE SOUDURE'!$AP$7:$AP$3006,P380))</f>
        <v/>
      </c>
      <c r="G380" s="82" t="str">
        <f aca="false">IF(C380="","",IF(P380="","NJ INCONNU",INDEX('CARNET DE SOUDURE'!$AQ$7:$AQ$3006,P380)))</f>
        <v>À SOUDER</v>
      </c>
      <c r="H380" s="82" t="str">
        <f aca="false">IF(C380="","",IF(G380="ACCEPTÉ","OUI","NON"))</f>
        <v>NON</v>
      </c>
      <c r="I380" s="83"/>
      <c r="J380" s="80"/>
      <c r="K380" s="81"/>
      <c r="L380" s="81"/>
      <c r="M380" s="81"/>
      <c r="N380" s="84" t="str">
        <f aca="false">IF(C380="","",IF(P380="","NJ INCONNU",IF(I380="",IF(H380="OUI","À ENROBER",IF(G380="À SOUDER","NON SOUDÉ","EN ATTENTE RT")),IF(L380="R","À REPRENDRE",IF(H380&lt;&gt;"OUI","⚠ ENROBÉ AVANT ACCEPTATION RT","ENROBÉ")))))</f>
        <v>NON SOUDÉ</v>
      </c>
      <c r="O380" s="80"/>
      <c r="P380" s="82" t="n">
        <f aca="false">IF(C380="","",IFERROR(MATCH(Q380,'CARNET DE SOUDURE'!$AW$7:$AW$3006,0),""))</f>
        <v>374</v>
      </c>
      <c r="Q380" s="82" t="str">
        <f aca="false">IF(C380="","",B380&amp;"|"&amp;C380)</f>
        <v>MFD-ISW → MFD-CPF|JN°374</v>
      </c>
    </row>
    <row r="381" customFormat="false" ht="74.6" hidden="false" customHeight="false" outlineLevel="0" collapsed="false">
      <c r="A381" s="82" t="n">
        <f aca="false">IF(C381="","",ROW()-6)</f>
        <v>375</v>
      </c>
      <c r="B381" s="80" t="s">
        <v>110</v>
      </c>
      <c r="C381" s="113" t="s">
        <v>485</v>
      </c>
      <c r="D381" s="82" t="str">
        <f aca="false">IF(OR(C381="",P381=""),"",INDEX('CARNET DE SOUDURE'!$D$7:$D$3006,P381)&amp;"")</f>
        <v/>
      </c>
      <c r="E381" s="114" t="str">
        <f aca="false">IF(OR(C381="",P381=""),"",IF(INDEX('CARNET DE SOUDURE'!$U$7:$U$3006,P381)="","",INDEX('CARNET DE SOUDURE'!$U$7:$U$3006,P381)))</f>
        <v/>
      </c>
      <c r="F381" s="82" t="str">
        <f aca="false">IF(OR(C381="",P381=""),"",INDEX('CARNET DE SOUDURE'!$AP$7:$AP$3006,P381))</f>
        <v/>
      </c>
      <c r="G381" s="82" t="str">
        <f aca="false">IF(C381="","",IF(P381="","NJ INCONNU",INDEX('CARNET DE SOUDURE'!$AQ$7:$AQ$3006,P381)))</f>
        <v>À SOUDER</v>
      </c>
      <c r="H381" s="82" t="str">
        <f aca="false">IF(C381="","",IF(G381="ACCEPTÉ","OUI","NON"))</f>
        <v>NON</v>
      </c>
      <c r="I381" s="83"/>
      <c r="J381" s="80"/>
      <c r="K381" s="81"/>
      <c r="L381" s="81"/>
      <c r="M381" s="81"/>
      <c r="N381" s="84" t="str">
        <f aca="false">IF(C381="","",IF(P381="","NJ INCONNU",IF(I381="",IF(H381="OUI","À ENROBER",IF(G381="À SOUDER","NON SOUDÉ","EN ATTENTE RT")),IF(L381="R","À REPRENDRE",IF(H381&lt;&gt;"OUI","⚠ ENROBÉ AVANT ACCEPTATION RT","ENROBÉ")))))</f>
        <v>NON SOUDÉ</v>
      </c>
      <c r="O381" s="80"/>
      <c r="P381" s="82" t="n">
        <f aca="false">IF(C381="","",IFERROR(MATCH(Q381,'CARNET DE SOUDURE'!$AW$7:$AW$3006,0),""))</f>
        <v>375</v>
      </c>
      <c r="Q381" s="82" t="str">
        <f aca="false">IF(C381="","",B381&amp;"|"&amp;C381)</f>
        <v>MFD-ISW → MFD-CPF|JN°375</v>
      </c>
    </row>
    <row r="382" customFormat="false" ht="74.6" hidden="false" customHeight="false" outlineLevel="0" collapsed="false">
      <c r="A382" s="82" t="n">
        <f aca="false">IF(C382="","",ROW()-6)</f>
        <v>376</v>
      </c>
      <c r="B382" s="80" t="s">
        <v>110</v>
      </c>
      <c r="C382" s="113" t="s">
        <v>486</v>
      </c>
      <c r="D382" s="82" t="str">
        <f aca="false">IF(OR(C382="",P382=""),"",INDEX('CARNET DE SOUDURE'!$D$7:$D$3006,P382)&amp;"")</f>
        <v/>
      </c>
      <c r="E382" s="114" t="str">
        <f aca="false">IF(OR(C382="",P382=""),"",IF(INDEX('CARNET DE SOUDURE'!$U$7:$U$3006,P382)="","",INDEX('CARNET DE SOUDURE'!$U$7:$U$3006,P382)))</f>
        <v/>
      </c>
      <c r="F382" s="82" t="str">
        <f aca="false">IF(OR(C382="",P382=""),"",INDEX('CARNET DE SOUDURE'!$AP$7:$AP$3006,P382))</f>
        <v/>
      </c>
      <c r="G382" s="82" t="str">
        <f aca="false">IF(C382="","",IF(P382="","NJ INCONNU",INDEX('CARNET DE SOUDURE'!$AQ$7:$AQ$3006,P382)))</f>
        <v>À SOUDER</v>
      </c>
      <c r="H382" s="82" t="str">
        <f aca="false">IF(C382="","",IF(G382="ACCEPTÉ","OUI","NON"))</f>
        <v>NON</v>
      </c>
      <c r="I382" s="83"/>
      <c r="J382" s="80"/>
      <c r="K382" s="81"/>
      <c r="L382" s="81"/>
      <c r="M382" s="81"/>
      <c r="N382" s="84" t="str">
        <f aca="false">IF(C382="","",IF(P382="","NJ INCONNU",IF(I382="",IF(H382="OUI","À ENROBER",IF(G382="À SOUDER","NON SOUDÉ","EN ATTENTE RT")),IF(L382="R","À REPRENDRE",IF(H382&lt;&gt;"OUI","⚠ ENROBÉ AVANT ACCEPTATION RT","ENROBÉ")))))</f>
        <v>NON SOUDÉ</v>
      </c>
      <c r="O382" s="80"/>
      <c r="P382" s="82" t="n">
        <f aca="false">IF(C382="","",IFERROR(MATCH(Q382,'CARNET DE SOUDURE'!$AW$7:$AW$3006,0),""))</f>
        <v>376</v>
      </c>
      <c r="Q382" s="82" t="str">
        <f aca="false">IF(C382="","",B382&amp;"|"&amp;C382)</f>
        <v>MFD-ISW → MFD-CPF|JN°376</v>
      </c>
    </row>
    <row r="383" customFormat="false" ht="74.6" hidden="false" customHeight="false" outlineLevel="0" collapsed="false">
      <c r="A383" s="82" t="n">
        <f aca="false">IF(C383="","",ROW()-6)</f>
        <v>377</v>
      </c>
      <c r="B383" s="80" t="s">
        <v>110</v>
      </c>
      <c r="C383" s="113" t="s">
        <v>487</v>
      </c>
      <c r="D383" s="82" t="str">
        <f aca="false">IF(OR(C383="",P383=""),"",INDEX('CARNET DE SOUDURE'!$D$7:$D$3006,P383)&amp;"")</f>
        <v/>
      </c>
      <c r="E383" s="114" t="str">
        <f aca="false">IF(OR(C383="",P383=""),"",IF(INDEX('CARNET DE SOUDURE'!$U$7:$U$3006,P383)="","",INDEX('CARNET DE SOUDURE'!$U$7:$U$3006,P383)))</f>
        <v/>
      </c>
      <c r="F383" s="82" t="str">
        <f aca="false">IF(OR(C383="",P383=""),"",INDEX('CARNET DE SOUDURE'!$AP$7:$AP$3006,P383))</f>
        <v/>
      </c>
      <c r="G383" s="82" t="str">
        <f aca="false">IF(C383="","",IF(P383="","NJ INCONNU",INDEX('CARNET DE SOUDURE'!$AQ$7:$AQ$3006,P383)))</f>
        <v>À SOUDER</v>
      </c>
      <c r="H383" s="82" t="str">
        <f aca="false">IF(C383="","",IF(G383="ACCEPTÉ","OUI","NON"))</f>
        <v>NON</v>
      </c>
      <c r="I383" s="83"/>
      <c r="J383" s="80"/>
      <c r="K383" s="81"/>
      <c r="L383" s="81"/>
      <c r="M383" s="81"/>
      <c r="N383" s="84" t="str">
        <f aca="false">IF(C383="","",IF(P383="","NJ INCONNU",IF(I383="",IF(H383="OUI","À ENROBER",IF(G383="À SOUDER","NON SOUDÉ","EN ATTENTE RT")),IF(L383="R","À REPRENDRE",IF(H383&lt;&gt;"OUI","⚠ ENROBÉ AVANT ACCEPTATION RT","ENROBÉ")))))</f>
        <v>NON SOUDÉ</v>
      </c>
      <c r="O383" s="80"/>
      <c r="P383" s="82" t="n">
        <f aca="false">IF(C383="","",IFERROR(MATCH(Q383,'CARNET DE SOUDURE'!$AW$7:$AW$3006,0),""))</f>
        <v>377</v>
      </c>
      <c r="Q383" s="82" t="str">
        <f aca="false">IF(C383="","",B383&amp;"|"&amp;C383)</f>
        <v>MFD-ISW → MFD-CPF|JN°377</v>
      </c>
    </row>
    <row r="384" customFormat="false" ht="74.6" hidden="false" customHeight="false" outlineLevel="0" collapsed="false">
      <c r="A384" s="82" t="n">
        <f aca="false">IF(C384="","",ROW()-6)</f>
        <v>378</v>
      </c>
      <c r="B384" s="80" t="s">
        <v>110</v>
      </c>
      <c r="C384" s="113" t="s">
        <v>488</v>
      </c>
      <c r="D384" s="82" t="str">
        <f aca="false">IF(OR(C384="",P384=""),"",INDEX('CARNET DE SOUDURE'!$D$7:$D$3006,P384)&amp;"")</f>
        <v/>
      </c>
      <c r="E384" s="114" t="str">
        <f aca="false">IF(OR(C384="",P384=""),"",IF(INDEX('CARNET DE SOUDURE'!$U$7:$U$3006,P384)="","",INDEX('CARNET DE SOUDURE'!$U$7:$U$3006,P384)))</f>
        <v/>
      </c>
      <c r="F384" s="82" t="str">
        <f aca="false">IF(OR(C384="",P384=""),"",INDEX('CARNET DE SOUDURE'!$AP$7:$AP$3006,P384))</f>
        <v/>
      </c>
      <c r="G384" s="82" t="str">
        <f aca="false">IF(C384="","",IF(P384="","NJ INCONNU",INDEX('CARNET DE SOUDURE'!$AQ$7:$AQ$3006,P384)))</f>
        <v>À SOUDER</v>
      </c>
      <c r="H384" s="82" t="str">
        <f aca="false">IF(C384="","",IF(G384="ACCEPTÉ","OUI","NON"))</f>
        <v>NON</v>
      </c>
      <c r="I384" s="83"/>
      <c r="J384" s="80"/>
      <c r="K384" s="81"/>
      <c r="L384" s="81"/>
      <c r="M384" s="81"/>
      <c r="N384" s="84" t="str">
        <f aca="false">IF(C384="","",IF(P384="","NJ INCONNU",IF(I384="",IF(H384="OUI","À ENROBER",IF(G384="À SOUDER","NON SOUDÉ","EN ATTENTE RT")),IF(L384="R","À REPRENDRE",IF(H384&lt;&gt;"OUI","⚠ ENROBÉ AVANT ACCEPTATION RT","ENROBÉ")))))</f>
        <v>NON SOUDÉ</v>
      </c>
      <c r="O384" s="80"/>
      <c r="P384" s="82" t="n">
        <f aca="false">IF(C384="","",IFERROR(MATCH(Q384,'CARNET DE SOUDURE'!$AW$7:$AW$3006,0),""))</f>
        <v>378</v>
      </c>
      <c r="Q384" s="82" t="str">
        <f aca="false">IF(C384="","",B384&amp;"|"&amp;C384)</f>
        <v>MFD-ISW → MFD-CPF|JN°378</v>
      </c>
    </row>
    <row r="385" customFormat="false" ht="74.6" hidden="false" customHeight="false" outlineLevel="0" collapsed="false">
      <c r="A385" s="82" t="n">
        <f aca="false">IF(C385="","",ROW()-6)</f>
        <v>379</v>
      </c>
      <c r="B385" s="80" t="s">
        <v>110</v>
      </c>
      <c r="C385" s="113" t="s">
        <v>489</v>
      </c>
      <c r="D385" s="82" t="str">
        <f aca="false">IF(OR(C385="",P385=""),"",INDEX('CARNET DE SOUDURE'!$D$7:$D$3006,P385)&amp;"")</f>
        <v/>
      </c>
      <c r="E385" s="114" t="str">
        <f aca="false">IF(OR(C385="",P385=""),"",IF(INDEX('CARNET DE SOUDURE'!$U$7:$U$3006,P385)="","",INDEX('CARNET DE SOUDURE'!$U$7:$U$3006,P385)))</f>
        <v/>
      </c>
      <c r="F385" s="82" t="str">
        <f aca="false">IF(OR(C385="",P385=""),"",INDEX('CARNET DE SOUDURE'!$AP$7:$AP$3006,P385))</f>
        <v/>
      </c>
      <c r="G385" s="82" t="str">
        <f aca="false">IF(C385="","",IF(P385="","NJ INCONNU",INDEX('CARNET DE SOUDURE'!$AQ$7:$AQ$3006,P385)))</f>
        <v>À SOUDER</v>
      </c>
      <c r="H385" s="82" t="str">
        <f aca="false">IF(C385="","",IF(G385="ACCEPTÉ","OUI","NON"))</f>
        <v>NON</v>
      </c>
      <c r="I385" s="83"/>
      <c r="J385" s="80"/>
      <c r="K385" s="81"/>
      <c r="L385" s="81"/>
      <c r="M385" s="81"/>
      <c r="N385" s="84" t="str">
        <f aca="false">IF(C385="","",IF(P385="","NJ INCONNU",IF(I385="",IF(H385="OUI","À ENROBER",IF(G385="À SOUDER","NON SOUDÉ","EN ATTENTE RT")),IF(L385="R","À REPRENDRE",IF(H385&lt;&gt;"OUI","⚠ ENROBÉ AVANT ACCEPTATION RT","ENROBÉ")))))</f>
        <v>NON SOUDÉ</v>
      </c>
      <c r="O385" s="80"/>
      <c r="P385" s="82" t="n">
        <f aca="false">IF(C385="","",IFERROR(MATCH(Q385,'CARNET DE SOUDURE'!$AW$7:$AW$3006,0),""))</f>
        <v>379</v>
      </c>
      <c r="Q385" s="82" t="str">
        <f aca="false">IF(C385="","",B385&amp;"|"&amp;C385)</f>
        <v>MFD-ISW → MFD-CPF|JN°379</v>
      </c>
    </row>
    <row r="386" customFormat="false" ht="74.6" hidden="false" customHeight="false" outlineLevel="0" collapsed="false">
      <c r="A386" s="82" t="n">
        <f aca="false">IF(C386="","",ROW()-6)</f>
        <v>380</v>
      </c>
      <c r="B386" s="80" t="s">
        <v>110</v>
      </c>
      <c r="C386" s="113" t="s">
        <v>490</v>
      </c>
      <c r="D386" s="82" t="str">
        <f aca="false">IF(OR(C386="",P386=""),"",INDEX('CARNET DE SOUDURE'!$D$7:$D$3006,P386)&amp;"")</f>
        <v/>
      </c>
      <c r="E386" s="114" t="str">
        <f aca="false">IF(OR(C386="",P386=""),"",IF(INDEX('CARNET DE SOUDURE'!$U$7:$U$3006,P386)="","",INDEX('CARNET DE SOUDURE'!$U$7:$U$3006,P386)))</f>
        <v/>
      </c>
      <c r="F386" s="82" t="str">
        <f aca="false">IF(OR(C386="",P386=""),"",INDEX('CARNET DE SOUDURE'!$AP$7:$AP$3006,P386))</f>
        <v/>
      </c>
      <c r="G386" s="82" t="str">
        <f aca="false">IF(C386="","",IF(P386="","NJ INCONNU",INDEX('CARNET DE SOUDURE'!$AQ$7:$AQ$3006,P386)))</f>
        <v>À SOUDER</v>
      </c>
      <c r="H386" s="82" t="str">
        <f aca="false">IF(C386="","",IF(G386="ACCEPTÉ","OUI","NON"))</f>
        <v>NON</v>
      </c>
      <c r="I386" s="83"/>
      <c r="J386" s="80"/>
      <c r="K386" s="81"/>
      <c r="L386" s="81"/>
      <c r="M386" s="81"/>
      <c r="N386" s="84" t="str">
        <f aca="false">IF(C386="","",IF(P386="","NJ INCONNU",IF(I386="",IF(H386="OUI","À ENROBER",IF(G386="À SOUDER","NON SOUDÉ","EN ATTENTE RT")),IF(L386="R","À REPRENDRE",IF(H386&lt;&gt;"OUI","⚠ ENROBÉ AVANT ACCEPTATION RT","ENROBÉ")))))</f>
        <v>NON SOUDÉ</v>
      </c>
      <c r="O386" s="80"/>
      <c r="P386" s="82" t="n">
        <f aca="false">IF(C386="","",IFERROR(MATCH(Q386,'CARNET DE SOUDURE'!$AW$7:$AW$3006,0),""))</f>
        <v>380</v>
      </c>
      <c r="Q386" s="82" t="str">
        <f aca="false">IF(C386="","",B386&amp;"|"&amp;C386)</f>
        <v>MFD-ISW → MFD-CPF|JN°380</v>
      </c>
    </row>
    <row r="387" customFormat="false" ht="74.6" hidden="false" customHeight="false" outlineLevel="0" collapsed="false">
      <c r="A387" s="82" t="n">
        <f aca="false">IF(C387="","",ROW()-6)</f>
        <v>381</v>
      </c>
      <c r="B387" s="80" t="s">
        <v>110</v>
      </c>
      <c r="C387" s="113" t="s">
        <v>491</v>
      </c>
      <c r="D387" s="82" t="str">
        <f aca="false">IF(OR(C387="",P387=""),"",INDEX('CARNET DE SOUDURE'!$D$7:$D$3006,P387)&amp;"")</f>
        <v/>
      </c>
      <c r="E387" s="114" t="str">
        <f aca="false">IF(OR(C387="",P387=""),"",IF(INDEX('CARNET DE SOUDURE'!$U$7:$U$3006,P387)="","",INDEX('CARNET DE SOUDURE'!$U$7:$U$3006,P387)))</f>
        <v/>
      </c>
      <c r="F387" s="82" t="str">
        <f aca="false">IF(OR(C387="",P387=""),"",INDEX('CARNET DE SOUDURE'!$AP$7:$AP$3006,P387))</f>
        <v/>
      </c>
      <c r="G387" s="82" t="str">
        <f aca="false">IF(C387="","",IF(P387="","NJ INCONNU",INDEX('CARNET DE SOUDURE'!$AQ$7:$AQ$3006,P387)))</f>
        <v>À SOUDER</v>
      </c>
      <c r="H387" s="82" t="str">
        <f aca="false">IF(C387="","",IF(G387="ACCEPTÉ","OUI","NON"))</f>
        <v>NON</v>
      </c>
      <c r="I387" s="83"/>
      <c r="J387" s="80"/>
      <c r="K387" s="81"/>
      <c r="L387" s="81"/>
      <c r="M387" s="81"/>
      <c r="N387" s="84" t="str">
        <f aca="false">IF(C387="","",IF(P387="","NJ INCONNU",IF(I387="",IF(H387="OUI","À ENROBER",IF(G387="À SOUDER","NON SOUDÉ","EN ATTENTE RT")),IF(L387="R","À REPRENDRE",IF(H387&lt;&gt;"OUI","⚠ ENROBÉ AVANT ACCEPTATION RT","ENROBÉ")))))</f>
        <v>NON SOUDÉ</v>
      </c>
      <c r="O387" s="80"/>
      <c r="P387" s="82" t="n">
        <f aca="false">IF(C387="","",IFERROR(MATCH(Q387,'CARNET DE SOUDURE'!$AW$7:$AW$3006,0),""))</f>
        <v>381</v>
      </c>
      <c r="Q387" s="82" t="str">
        <f aca="false">IF(C387="","",B387&amp;"|"&amp;C387)</f>
        <v>MFD-ISW → MFD-CPF|JN°381</v>
      </c>
    </row>
    <row r="388" customFormat="false" ht="74.6" hidden="false" customHeight="false" outlineLevel="0" collapsed="false">
      <c r="A388" s="82" t="n">
        <f aca="false">IF(C388="","",ROW()-6)</f>
        <v>382</v>
      </c>
      <c r="B388" s="80" t="s">
        <v>110</v>
      </c>
      <c r="C388" s="113" t="s">
        <v>492</v>
      </c>
      <c r="D388" s="82" t="str">
        <f aca="false">IF(OR(C388="",P388=""),"",INDEX('CARNET DE SOUDURE'!$D$7:$D$3006,P388)&amp;"")</f>
        <v/>
      </c>
      <c r="E388" s="114" t="str">
        <f aca="false">IF(OR(C388="",P388=""),"",IF(INDEX('CARNET DE SOUDURE'!$U$7:$U$3006,P388)="","",INDEX('CARNET DE SOUDURE'!$U$7:$U$3006,P388)))</f>
        <v/>
      </c>
      <c r="F388" s="82" t="str">
        <f aca="false">IF(OR(C388="",P388=""),"",INDEX('CARNET DE SOUDURE'!$AP$7:$AP$3006,P388))</f>
        <v/>
      </c>
      <c r="G388" s="82" t="str">
        <f aca="false">IF(C388="","",IF(P388="","NJ INCONNU",INDEX('CARNET DE SOUDURE'!$AQ$7:$AQ$3006,P388)))</f>
        <v>À SOUDER</v>
      </c>
      <c r="H388" s="82" t="str">
        <f aca="false">IF(C388="","",IF(G388="ACCEPTÉ","OUI","NON"))</f>
        <v>NON</v>
      </c>
      <c r="I388" s="83"/>
      <c r="J388" s="80"/>
      <c r="K388" s="81"/>
      <c r="L388" s="81"/>
      <c r="M388" s="81"/>
      <c r="N388" s="84" t="str">
        <f aca="false">IF(C388="","",IF(P388="","NJ INCONNU",IF(I388="",IF(H388="OUI","À ENROBER",IF(G388="À SOUDER","NON SOUDÉ","EN ATTENTE RT")),IF(L388="R","À REPRENDRE",IF(H388&lt;&gt;"OUI","⚠ ENROBÉ AVANT ACCEPTATION RT","ENROBÉ")))))</f>
        <v>NON SOUDÉ</v>
      </c>
      <c r="O388" s="80"/>
      <c r="P388" s="82" t="n">
        <f aca="false">IF(C388="","",IFERROR(MATCH(Q388,'CARNET DE SOUDURE'!$AW$7:$AW$3006,0),""))</f>
        <v>382</v>
      </c>
      <c r="Q388" s="82" t="str">
        <f aca="false">IF(C388="","",B388&amp;"|"&amp;C388)</f>
        <v>MFD-ISW → MFD-CPF|JN°382</v>
      </c>
    </row>
    <row r="389" customFormat="false" ht="74.6" hidden="false" customHeight="false" outlineLevel="0" collapsed="false">
      <c r="A389" s="82" t="n">
        <f aca="false">IF(C389="","",ROW()-6)</f>
        <v>383</v>
      </c>
      <c r="B389" s="80" t="s">
        <v>110</v>
      </c>
      <c r="C389" s="113" t="s">
        <v>493</v>
      </c>
      <c r="D389" s="82" t="str">
        <f aca="false">IF(OR(C389="",P389=""),"",INDEX('CARNET DE SOUDURE'!$D$7:$D$3006,P389)&amp;"")</f>
        <v/>
      </c>
      <c r="E389" s="114" t="str">
        <f aca="false">IF(OR(C389="",P389=""),"",IF(INDEX('CARNET DE SOUDURE'!$U$7:$U$3006,P389)="","",INDEX('CARNET DE SOUDURE'!$U$7:$U$3006,P389)))</f>
        <v/>
      </c>
      <c r="F389" s="82" t="str">
        <f aca="false">IF(OR(C389="",P389=""),"",INDEX('CARNET DE SOUDURE'!$AP$7:$AP$3006,P389))</f>
        <v/>
      </c>
      <c r="G389" s="82" t="str">
        <f aca="false">IF(C389="","",IF(P389="","NJ INCONNU",INDEX('CARNET DE SOUDURE'!$AQ$7:$AQ$3006,P389)))</f>
        <v>À SOUDER</v>
      </c>
      <c r="H389" s="82" t="str">
        <f aca="false">IF(C389="","",IF(G389="ACCEPTÉ","OUI","NON"))</f>
        <v>NON</v>
      </c>
      <c r="I389" s="83"/>
      <c r="J389" s="80"/>
      <c r="K389" s="81"/>
      <c r="L389" s="81"/>
      <c r="M389" s="81"/>
      <c r="N389" s="84" t="str">
        <f aca="false">IF(C389="","",IF(P389="","NJ INCONNU",IF(I389="",IF(H389="OUI","À ENROBER",IF(G389="À SOUDER","NON SOUDÉ","EN ATTENTE RT")),IF(L389="R","À REPRENDRE",IF(H389&lt;&gt;"OUI","⚠ ENROBÉ AVANT ACCEPTATION RT","ENROBÉ")))))</f>
        <v>NON SOUDÉ</v>
      </c>
      <c r="O389" s="80"/>
      <c r="P389" s="82" t="n">
        <f aca="false">IF(C389="","",IFERROR(MATCH(Q389,'CARNET DE SOUDURE'!$AW$7:$AW$3006,0),""))</f>
        <v>383</v>
      </c>
      <c r="Q389" s="82" t="str">
        <f aca="false">IF(C389="","",B389&amp;"|"&amp;C389)</f>
        <v>MFD-ISW → MFD-CPF|JN°383</v>
      </c>
    </row>
    <row r="390" customFormat="false" ht="74.6" hidden="false" customHeight="false" outlineLevel="0" collapsed="false">
      <c r="A390" s="82" t="n">
        <f aca="false">IF(C390="","",ROW()-6)</f>
        <v>384</v>
      </c>
      <c r="B390" s="80" t="s">
        <v>110</v>
      </c>
      <c r="C390" s="113" t="s">
        <v>494</v>
      </c>
      <c r="D390" s="82" t="str">
        <f aca="false">IF(OR(C390="",P390=""),"",INDEX('CARNET DE SOUDURE'!$D$7:$D$3006,P390)&amp;"")</f>
        <v/>
      </c>
      <c r="E390" s="114" t="str">
        <f aca="false">IF(OR(C390="",P390=""),"",IF(INDEX('CARNET DE SOUDURE'!$U$7:$U$3006,P390)="","",INDEX('CARNET DE SOUDURE'!$U$7:$U$3006,P390)))</f>
        <v/>
      </c>
      <c r="F390" s="82" t="str">
        <f aca="false">IF(OR(C390="",P390=""),"",INDEX('CARNET DE SOUDURE'!$AP$7:$AP$3006,P390))</f>
        <v/>
      </c>
      <c r="G390" s="82" t="str">
        <f aca="false">IF(C390="","",IF(P390="","NJ INCONNU",INDEX('CARNET DE SOUDURE'!$AQ$7:$AQ$3006,P390)))</f>
        <v>À SOUDER</v>
      </c>
      <c r="H390" s="82" t="str">
        <f aca="false">IF(C390="","",IF(G390="ACCEPTÉ","OUI","NON"))</f>
        <v>NON</v>
      </c>
      <c r="I390" s="83"/>
      <c r="J390" s="80"/>
      <c r="K390" s="81"/>
      <c r="L390" s="81"/>
      <c r="M390" s="81"/>
      <c r="N390" s="84" t="str">
        <f aca="false">IF(C390="","",IF(P390="","NJ INCONNU",IF(I390="",IF(H390="OUI","À ENROBER",IF(G390="À SOUDER","NON SOUDÉ","EN ATTENTE RT")),IF(L390="R","À REPRENDRE",IF(H390&lt;&gt;"OUI","⚠ ENROBÉ AVANT ACCEPTATION RT","ENROBÉ")))))</f>
        <v>NON SOUDÉ</v>
      </c>
      <c r="O390" s="80"/>
      <c r="P390" s="82" t="n">
        <f aca="false">IF(C390="","",IFERROR(MATCH(Q390,'CARNET DE SOUDURE'!$AW$7:$AW$3006,0),""))</f>
        <v>384</v>
      </c>
      <c r="Q390" s="82" t="str">
        <f aca="false">IF(C390="","",B390&amp;"|"&amp;C390)</f>
        <v>MFD-ISW → MFD-CPF|JN°384</v>
      </c>
    </row>
    <row r="391" customFormat="false" ht="74.6" hidden="false" customHeight="false" outlineLevel="0" collapsed="false">
      <c r="A391" s="82" t="n">
        <f aca="false">IF(C391="","",ROW()-6)</f>
        <v>385</v>
      </c>
      <c r="B391" s="80" t="s">
        <v>110</v>
      </c>
      <c r="C391" s="113" t="s">
        <v>495</v>
      </c>
      <c r="D391" s="82" t="str">
        <f aca="false">IF(OR(C391="",P391=""),"",INDEX('CARNET DE SOUDURE'!$D$7:$D$3006,P391)&amp;"")</f>
        <v/>
      </c>
      <c r="E391" s="114" t="str">
        <f aca="false">IF(OR(C391="",P391=""),"",IF(INDEX('CARNET DE SOUDURE'!$U$7:$U$3006,P391)="","",INDEX('CARNET DE SOUDURE'!$U$7:$U$3006,P391)))</f>
        <v/>
      </c>
      <c r="F391" s="82" t="str">
        <f aca="false">IF(OR(C391="",P391=""),"",INDEX('CARNET DE SOUDURE'!$AP$7:$AP$3006,P391))</f>
        <v/>
      </c>
      <c r="G391" s="82" t="str">
        <f aca="false">IF(C391="","",IF(P391="","NJ INCONNU",INDEX('CARNET DE SOUDURE'!$AQ$7:$AQ$3006,P391)))</f>
        <v>À SOUDER</v>
      </c>
      <c r="H391" s="82" t="str">
        <f aca="false">IF(C391="","",IF(G391="ACCEPTÉ","OUI","NON"))</f>
        <v>NON</v>
      </c>
      <c r="I391" s="83"/>
      <c r="J391" s="80"/>
      <c r="K391" s="81"/>
      <c r="L391" s="81"/>
      <c r="M391" s="81"/>
      <c r="N391" s="84" t="str">
        <f aca="false">IF(C391="","",IF(P391="","NJ INCONNU",IF(I391="",IF(H391="OUI","À ENROBER",IF(G391="À SOUDER","NON SOUDÉ","EN ATTENTE RT")),IF(L391="R","À REPRENDRE",IF(H391&lt;&gt;"OUI","⚠ ENROBÉ AVANT ACCEPTATION RT","ENROBÉ")))))</f>
        <v>NON SOUDÉ</v>
      </c>
      <c r="O391" s="80"/>
      <c r="P391" s="82" t="n">
        <f aca="false">IF(C391="","",IFERROR(MATCH(Q391,'CARNET DE SOUDURE'!$AW$7:$AW$3006,0),""))</f>
        <v>385</v>
      </c>
      <c r="Q391" s="82" t="str">
        <f aca="false">IF(C391="","",B391&amp;"|"&amp;C391)</f>
        <v>MFD-ISW → MFD-CPF|JN°385</v>
      </c>
    </row>
    <row r="392" customFormat="false" ht="74.6" hidden="false" customHeight="false" outlineLevel="0" collapsed="false">
      <c r="A392" s="82" t="n">
        <f aca="false">IF(C392="","",ROW()-6)</f>
        <v>386</v>
      </c>
      <c r="B392" s="80" t="s">
        <v>110</v>
      </c>
      <c r="C392" s="113" t="s">
        <v>496</v>
      </c>
      <c r="D392" s="82" t="str">
        <f aca="false">IF(OR(C392="",P392=""),"",INDEX('CARNET DE SOUDURE'!$D$7:$D$3006,P392)&amp;"")</f>
        <v/>
      </c>
      <c r="E392" s="114" t="str">
        <f aca="false">IF(OR(C392="",P392=""),"",IF(INDEX('CARNET DE SOUDURE'!$U$7:$U$3006,P392)="","",INDEX('CARNET DE SOUDURE'!$U$7:$U$3006,P392)))</f>
        <v/>
      </c>
      <c r="F392" s="82" t="str">
        <f aca="false">IF(OR(C392="",P392=""),"",INDEX('CARNET DE SOUDURE'!$AP$7:$AP$3006,P392))</f>
        <v/>
      </c>
      <c r="G392" s="82" t="str">
        <f aca="false">IF(C392="","",IF(P392="","NJ INCONNU",INDEX('CARNET DE SOUDURE'!$AQ$7:$AQ$3006,P392)))</f>
        <v>À SOUDER</v>
      </c>
      <c r="H392" s="82" t="str">
        <f aca="false">IF(C392="","",IF(G392="ACCEPTÉ","OUI","NON"))</f>
        <v>NON</v>
      </c>
      <c r="I392" s="83"/>
      <c r="J392" s="80"/>
      <c r="K392" s="81"/>
      <c r="L392" s="81"/>
      <c r="M392" s="81"/>
      <c r="N392" s="84" t="str">
        <f aca="false">IF(C392="","",IF(P392="","NJ INCONNU",IF(I392="",IF(H392="OUI","À ENROBER",IF(G392="À SOUDER","NON SOUDÉ","EN ATTENTE RT")),IF(L392="R","À REPRENDRE",IF(H392&lt;&gt;"OUI","⚠ ENROBÉ AVANT ACCEPTATION RT","ENROBÉ")))))</f>
        <v>NON SOUDÉ</v>
      </c>
      <c r="O392" s="80"/>
      <c r="P392" s="82" t="n">
        <f aca="false">IF(C392="","",IFERROR(MATCH(Q392,'CARNET DE SOUDURE'!$AW$7:$AW$3006,0),""))</f>
        <v>386</v>
      </c>
      <c r="Q392" s="82" t="str">
        <f aca="false">IF(C392="","",B392&amp;"|"&amp;C392)</f>
        <v>MFD-ISW → MFD-CPF|JN°386</v>
      </c>
    </row>
    <row r="393" customFormat="false" ht="74.6" hidden="false" customHeight="false" outlineLevel="0" collapsed="false">
      <c r="A393" s="82" t="n">
        <f aca="false">IF(C393="","",ROW()-6)</f>
        <v>387</v>
      </c>
      <c r="B393" s="80" t="s">
        <v>110</v>
      </c>
      <c r="C393" s="113" t="s">
        <v>497</v>
      </c>
      <c r="D393" s="82" t="str">
        <f aca="false">IF(OR(C393="",P393=""),"",INDEX('CARNET DE SOUDURE'!$D$7:$D$3006,P393)&amp;"")</f>
        <v/>
      </c>
      <c r="E393" s="114" t="str">
        <f aca="false">IF(OR(C393="",P393=""),"",IF(INDEX('CARNET DE SOUDURE'!$U$7:$U$3006,P393)="","",INDEX('CARNET DE SOUDURE'!$U$7:$U$3006,P393)))</f>
        <v/>
      </c>
      <c r="F393" s="82" t="str">
        <f aca="false">IF(OR(C393="",P393=""),"",INDEX('CARNET DE SOUDURE'!$AP$7:$AP$3006,P393))</f>
        <v/>
      </c>
      <c r="G393" s="82" t="str">
        <f aca="false">IF(C393="","",IF(P393="","NJ INCONNU",INDEX('CARNET DE SOUDURE'!$AQ$7:$AQ$3006,P393)))</f>
        <v>À SOUDER</v>
      </c>
      <c r="H393" s="82" t="str">
        <f aca="false">IF(C393="","",IF(G393="ACCEPTÉ","OUI","NON"))</f>
        <v>NON</v>
      </c>
      <c r="I393" s="83"/>
      <c r="J393" s="80"/>
      <c r="K393" s="81"/>
      <c r="L393" s="81"/>
      <c r="M393" s="81"/>
      <c r="N393" s="84" t="str">
        <f aca="false">IF(C393="","",IF(P393="","NJ INCONNU",IF(I393="",IF(H393="OUI","À ENROBER",IF(G393="À SOUDER","NON SOUDÉ","EN ATTENTE RT")),IF(L393="R","À REPRENDRE",IF(H393&lt;&gt;"OUI","⚠ ENROBÉ AVANT ACCEPTATION RT","ENROBÉ")))))</f>
        <v>NON SOUDÉ</v>
      </c>
      <c r="O393" s="80"/>
      <c r="P393" s="82" t="n">
        <f aca="false">IF(C393="","",IFERROR(MATCH(Q393,'CARNET DE SOUDURE'!$AW$7:$AW$3006,0),""))</f>
        <v>387</v>
      </c>
      <c r="Q393" s="82" t="str">
        <f aca="false">IF(C393="","",B393&amp;"|"&amp;C393)</f>
        <v>MFD-ISW → MFD-CPF|JN°387</v>
      </c>
    </row>
    <row r="394" customFormat="false" ht="74.6" hidden="false" customHeight="false" outlineLevel="0" collapsed="false">
      <c r="A394" s="82" t="n">
        <f aca="false">IF(C394="","",ROW()-6)</f>
        <v>388</v>
      </c>
      <c r="B394" s="80" t="s">
        <v>110</v>
      </c>
      <c r="C394" s="113" t="s">
        <v>498</v>
      </c>
      <c r="D394" s="82" t="str">
        <f aca="false">IF(OR(C394="",P394=""),"",INDEX('CARNET DE SOUDURE'!$D$7:$D$3006,P394)&amp;"")</f>
        <v/>
      </c>
      <c r="E394" s="114" t="str">
        <f aca="false">IF(OR(C394="",P394=""),"",IF(INDEX('CARNET DE SOUDURE'!$U$7:$U$3006,P394)="","",INDEX('CARNET DE SOUDURE'!$U$7:$U$3006,P394)))</f>
        <v/>
      </c>
      <c r="F394" s="82" t="str">
        <f aca="false">IF(OR(C394="",P394=""),"",INDEX('CARNET DE SOUDURE'!$AP$7:$AP$3006,P394))</f>
        <v/>
      </c>
      <c r="G394" s="82" t="str">
        <f aca="false">IF(C394="","",IF(P394="","NJ INCONNU",INDEX('CARNET DE SOUDURE'!$AQ$7:$AQ$3006,P394)))</f>
        <v>À SOUDER</v>
      </c>
      <c r="H394" s="82" t="str">
        <f aca="false">IF(C394="","",IF(G394="ACCEPTÉ","OUI","NON"))</f>
        <v>NON</v>
      </c>
      <c r="I394" s="83"/>
      <c r="J394" s="80"/>
      <c r="K394" s="81"/>
      <c r="L394" s="81"/>
      <c r="M394" s="81"/>
      <c r="N394" s="84" t="str">
        <f aca="false">IF(C394="","",IF(P394="","NJ INCONNU",IF(I394="",IF(H394="OUI","À ENROBER",IF(G394="À SOUDER","NON SOUDÉ","EN ATTENTE RT")),IF(L394="R","À REPRENDRE",IF(H394&lt;&gt;"OUI","⚠ ENROBÉ AVANT ACCEPTATION RT","ENROBÉ")))))</f>
        <v>NON SOUDÉ</v>
      </c>
      <c r="O394" s="80"/>
      <c r="P394" s="82" t="n">
        <f aca="false">IF(C394="","",IFERROR(MATCH(Q394,'CARNET DE SOUDURE'!$AW$7:$AW$3006,0),""))</f>
        <v>388</v>
      </c>
      <c r="Q394" s="82" t="str">
        <f aca="false">IF(C394="","",B394&amp;"|"&amp;C394)</f>
        <v>MFD-ISW → MFD-CPF|JN°388</v>
      </c>
    </row>
    <row r="395" customFormat="false" ht="74.6" hidden="false" customHeight="false" outlineLevel="0" collapsed="false">
      <c r="A395" s="82" t="n">
        <f aca="false">IF(C395="","",ROW()-6)</f>
        <v>389</v>
      </c>
      <c r="B395" s="80" t="s">
        <v>110</v>
      </c>
      <c r="C395" s="113" t="s">
        <v>499</v>
      </c>
      <c r="D395" s="82" t="str">
        <f aca="false">IF(OR(C395="",P395=""),"",INDEX('CARNET DE SOUDURE'!$D$7:$D$3006,P395)&amp;"")</f>
        <v/>
      </c>
      <c r="E395" s="114" t="str">
        <f aca="false">IF(OR(C395="",P395=""),"",IF(INDEX('CARNET DE SOUDURE'!$U$7:$U$3006,P395)="","",INDEX('CARNET DE SOUDURE'!$U$7:$U$3006,P395)))</f>
        <v/>
      </c>
      <c r="F395" s="82" t="str">
        <f aca="false">IF(OR(C395="",P395=""),"",INDEX('CARNET DE SOUDURE'!$AP$7:$AP$3006,P395))</f>
        <v/>
      </c>
      <c r="G395" s="82" t="str">
        <f aca="false">IF(C395="","",IF(P395="","NJ INCONNU",INDEX('CARNET DE SOUDURE'!$AQ$7:$AQ$3006,P395)))</f>
        <v>À SOUDER</v>
      </c>
      <c r="H395" s="82" t="str">
        <f aca="false">IF(C395="","",IF(G395="ACCEPTÉ","OUI","NON"))</f>
        <v>NON</v>
      </c>
      <c r="I395" s="83"/>
      <c r="J395" s="80"/>
      <c r="K395" s="81"/>
      <c r="L395" s="81"/>
      <c r="M395" s="81"/>
      <c r="N395" s="84" t="str">
        <f aca="false">IF(C395="","",IF(P395="","NJ INCONNU",IF(I395="",IF(H395="OUI","À ENROBER",IF(G395="À SOUDER","NON SOUDÉ","EN ATTENTE RT")),IF(L395="R","À REPRENDRE",IF(H395&lt;&gt;"OUI","⚠ ENROBÉ AVANT ACCEPTATION RT","ENROBÉ")))))</f>
        <v>NON SOUDÉ</v>
      </c>
      <c r="O395" s="80"/>
      <c r="P395" s="82" t="n">
        <f aca="false">IF(C395="","",IFERROR(MATCH(Q395,'CARNET DE SOUDURE'!$AW$7:$AW$3006,0),""))</f>
        <v>389</v>
      </c>
      <c r="Q395" s="82" t="str">
        <f aca="false">IF(C395="","",B395&amp;"|"&amp;C395)</f>
        <v>MFD-ISW → MFD-CPF|JN°389</v>
      </c>
    </row>
    <row r="396" customFormat="false" ht="74.6" hidden="false" customHeight="false" outlineLevel="0" collapsed="false">
      <c r="A396" s="82" t="n">
        <f aca="false">IF(C396="","",ROW()-6)</f>
        <v>390</v>
      </c>
      <c r="B396" s="80" t="s">
        <v>110</v>
      </c>
      <c r="C396" s="113" t="s">
        <v>500</v>
      </c>
      <c r="D396" s="82" t="str">
        <f aca="false">IF(OR(C396="",P396=""),"",INDEX('CARNET DE SOUDURE'!$D$7:$D$3006,P396)&amp;"")</f>
        <v/>
      </c>
      <c r="E396" s="114" t="str">
        <f aca="false">IF(OR(C396="",P396=""),"",IF(INDEX('CARNET DE SOUDURE'!$U$7:$U$3006,P396)="","",INDEX('CARNET DE SOUDURE'!$U$7:$U$3006,P396)))</f>
        <v/>
      </c>
      <c r="F396" s="82" t="str">
        <f aca="false">IF(OR(C396="",P396=""),"",INDEX('CARNET DE SOUDURE'!$AP$7:$AP$3006,P396))</f>
        <v/>
      </c>
      <c r="G396" s="82" t="str">
        <f aca="false">IF(C396="","",IF(P396="","NJ INCONNU",INDEX('CARNET DE SOUDURE'!$AQ$7:$AQ$3006,P396)))</f>
        <v>À SOUDER</v>
      </c>
      <c r="H396" s="82" t="str">
        <f aca="false">IF(C396="","",IF(G396="ACCEPTÉ","OUI","NON"))</f>
        <v>NON</v>
      </c>
      <c r="I396" s="83"/>
      <c r="J396" s="80"/>
      <c r="K396" s="81"/>
      <c r="L396" s="81"/>
      <c r="M396" s="81"/>
      <c r="N396" s="84" t="str">
        <f aca="false">IF(C396="","",IF(P396="","NJ INCONNU",IF(I396="",IF(H396="OUI","À ENROBER",IF(G396="À SOUDER","NON SOUDÉ","EN ATTENTE RT")),IF(L396="R","À REPRENDRE",IF(H396&lt;&gt;"OUI","⚠ ENROBÉ AVANT ACCEPTATION RT","ENROBÉ")))))</f>
        <v>NON SOUDÉ</v>
      </c>
      <c r="O396" s="80"/>
      <c r="P396" s="82" t="n">
        <f aca="false">IF(C396="","",IFERROR(MATCH(Q396,'CARNET DE SOUDURE'!$AW$7:$AW$3006,0),""))</f>
        <v>390</v>
      </c>
      <c r="Q396" s="82" t="str">
        <f aca="false">IF(C396="","",B396&amp;"|"&amp;C396)</f>
        <v>MFD-ISW → MFD-CPF|JN°390</v>
      </c>
    </row>
    <row r="397" customFormat="false" ht="74.6" hidden="false" customHeight="false" outlineLevel="0" collapsed="false">
      <c r="A397" s="82" t="n">
        <f aca="false">IF(C397="","",ROW()-6)</f>
        <v>391</v>
      </c>
      <c r="B397" s="80" t="s">
        <v>110</v>
      </c>
      <c r="C397" s="113" t="s">
        <v>501</v>
      </c>
      <c r="D397" s="82" t="str">
        <f aca="false">IF(OR(C397="",P397=""),"",INDEX('CARNET DE SOUDURE'!$D$7:$D$3006,P397)&amp;"")</f>
        <v/>
      </c>
      <c r="E397" s="114" t="str">
        <f aca="false">IF(OR(C397="",P397=""),"",IF(INDEX('CARNET DE SOUDURE'!$U$7:$U$3006,P397)="","",INDEX('CARNET DE SOUDURE'!$U$7:$U$3006,P397)))</f>
        <v/>
      </c>
      <c r="F397" s="82" t="str">
        <f aca="false">IF(OR(C397="",P397=""),"",INDEX('CARNET DE SOUDURE'!$AP$7:$AP$3006,P397))</f>
        <v/>
      </c>
      <c r="G397" s="82" t="str">
        <f aca="false">IF(C397="","",IF(P397="","NJ INCONNU",INDEX('CARNET DE SOUDURE'!$AQ$7:$AQ$3006,P397)))</f>
        <v>À SOUDER</v>
      </c>
      <c r="H397" s="82" t="str">
        <f aca="false">IF(C397="","",IF(G397="ACCEPTÉ","OUI","NON"))</f>
        <v>NON</v>
      </c>
      <c r="I397" s="83"/>
      <c r="J397" s="80"/>
      <c r="K397" s="81"/>
      <c r="L397" s="81"/>
      <c r="M397" s="81"/>
      <c r="N397" s="84" t="str">
        <f aca="false">IF(C397="","",IF(P397="","NJ INCONNU",IF(I397="",IF(H397="OUI","À ENROBER",IF(G397="À SOUDER","NON SOUDÉ","EN ATTENTE RT")),IF(L397="R","À REPRENDRE",IF(H397&lt;&gt;"OUI","⚠ ENROBÉ AVANT ACCEPTATION RT","ENROBÉ")))))</f>
        <v>NON SOUDÉ</v>
      </c>
      <c r="O397" s="80"/>
      <c r="P397" s="82" t="n">
        <f aca="false">IF(C397="","",IFERROR(MATCH(Q397,'CARNET DE SOUDURE'!$AW$7:$AW$3006,0),""))</f>
        <v>391</v>
      </c>
      <c r="Q397" s="82" t="str">
        <f aca="false">IF(C397="","",B397&amp;"|"&amp;C397)</f>
        <v>MFD-ISW → MFD-CPF|JN°391</v>
      </c>
    </row>
    <row r="398" customFormat="false" ht="74.6" hidden="false" customHeight="false" outlineLevel="0" collapsed="false">
      <c r="A398" s="82" t="n">
        <f aca="false">IF(C398="","",ROW()-6)</f>
        <v>392</v>
      </c>
      <c r="B398" s="80" t="s">
        <v>110</v>
      </c>
      <c r="C398" s="113" t="s">
        <v>502</v>
      </c>
      <c r="D398" s="82" t="str">
        <f aca="false">IF(OR(C398="",P398=""),"",INDEX('CARNET DE SOUDURE'!$D$7:$D$3006,P398)&amp;"")</f>
        <v/>
      </c>
      <c r="E398" s="114" t="str">
        <f aca="false">IF(OR(C398="",P398=""),"",IF(INDEX('CARNET DE SOUDURE'!$U$7:$U$3006,P398)="","",INDEX('CARNET DE SOUDURE'!$U$7:$U$3006,P398)))</f>
        <v/>
      </c>
      <c r="F398" s="82" t="str">
        <f aca="false">IF(OR(C398="",P398=""),"",INDEX('CARNET DE SOUDURE'!$AP$7:$AP$3006,P398))</f>
        <v/>
      </c>
      <c r="G398" s="82" t="str">
        <f aca="false">IF(C398="","",IF(P398="","NJ INCONNU",INDEX('CARNET DE SOUDURE'!$AQ$7:$AQ$3006,P398)))</f>
        <v>À SOUDER</v>
      </c>
      <c r="H398" s="82" t="str">
        <f aca="false">IF(C398="","",IF(G398="ACCEPTÉ","OUI","NON"))</f>
        <v>NON</v>
      </c>
      <c r="I398" s="83"/>
      <c r="J398" s="80"/>
      <c r="K398" s="81"/>
      <c r="L398" s="81"/>
      <c r="M398" s="81"/>
      <c r="N398" s="84" t="str">
        <f aca="false">IF(C398="","",IF(P398="","NJ INCONNU",IF(I398="",IF(H398="OUI","À ENROBER",IF(G398="À SOUDER","NON SOUDÉ","EN ATTENTE RT")),IF(L398="R","À REPRENDRE",IF(H398&lt;&gt;"OUI","⚠ ENROBÉ AVANT ACCEPTATION RT","ENROBÉ")))))</f>
        <v>NON SOUDÉ</v>
      </c>
      <c r="O398" s="80"/>
      <c r="P398" s="82" t="n">
        <f aca="false">IF(C398="","",IFERROR(MATCH(Q398,'CARNET DE SOUDURE'!$AW$7:$AW$3006,0),""))</f>
        <v>392</v>
      </c>
      <c r="Q398" s="82" t="str">
        <f aca="false">IF(C398="","",B398&amp;"|"&amp;C398)</f>
        <v>MFD-ISW → MFD-CPF|JN°392</v>
      </c>
    </row>
    <row r="399" customFormat="false" ht="74.6" hidden="false" customHeight="false" outlineLevel="0" collapsed="false">
      <c r="A399" s="82" t="n">
        <f aca="false">IF(C399="","",ROW()-6)</f>
        <v>393</v>
      </c>
      <c r="B399" s="80" t="s">
        <v>110</v>
      </c>
      <c r="C399" s="113" t="s">
        <v>503</v>
      </c>
      <c r="D399" s="82" t="str">
        <f aca="false">IF(OR(C399="",P399=""),"",INDEX('CARNET DE SOUDURE'!$D$7:$D$3006,P399)&amp;"")</f>
        <v/>
      </c>
      <c r="E399" s="114" t="str">
        <f aca="false">IF(OR(C399="",P399=""),"",IF(INDEX('CARNET DE SOUDURE'!$U$7:$U$3006,P399)="","",INDEX('CARNET DE SOUDURE'!$U$7:$U$3006,P399)))</f>
        <v/>
      </c>
      <c r="F399" s="82" t="str">
        <f aca="false">IF(OR(C399="",P399=""),"",INDEX('CARNET DE SOUDURE'!$AP$7:$AP$3006,P399))</f>
        <v/>
      </c>
      <c r="G399" s="82" t="str">
        <f aca="false">IF(C399="","",IF(P399="","NJ INCONNU",INDEX('CARNET DE SOUDURE'!$AQ$7:$AQ$3006,P399)))</f>
        <v>À SOUDER</v>
      </c>
      <c r="H399" s="82" t="str">
        <f aca="false">IF(C399="","",IF(G399="ACCEPTÉ","OUI","NON"))</f>
        <v>NON</v>
      </c>
      <c r="I399" s="83"/>
      <c r="J399" s="80"/>
      <c r="K399" s="81"/>
      <c r="L399" s="81"/>
      <c r="M399" s="81"/>
      <c r="N399" s="84" t="str">
        <f aca="false">IF(C399="","",IF(P399="","NJ INCONNU",IF(I399="",IF(H399="OUI","À ENROBER",IF(G399="À SOUDER","NON SOUDÉ","EN ATTENTE RT")),IF(L399="R","À REPRENDRE",IF(H399&lt;&gt;"OUI","⚠ ENROBÉ AVANT ACCEPTATION RT","ENROBÉ")))))</f>
        <v>NON SOUDÉ</v>
      </c>
      <c r="O399" s="80"/>
      <c r="P399" s="82" t="n">
        <f aca="false">IF(C399="","",IFERROR(MATCH(Q399,'CARNET DE SOUDURE'!$AW$7:$AW$3006,0),""))</f>
        <v>393</v>
      </c>
      <c r="Q399" s="82" t="str">
        <f aca="false">IF(C399="","",B399&amp;"|"&amp;C399)</f>
        <v>MFD-ISW → MFD-CPF|JN°393</v>
      </c>
    </row>
    <row r="400" customFormat="false" ht="74.6" hidden="false" customHeight="false" outlineLevel="0" collapsed="false">
      <c r="A400" s="82" t="n">
        <f aca="false">IF(C400="","",ROW()-6)</f>
        <v>394</v>
      </c>
      <c r="B400" s="80" t="s">
        <v>110</v>
      </c>
      <c r="C400" s="113" t="s">
        <v>504</v>
      </c>
      <c r="D400" s="82" t="str">
        <f aca="false">IF(OR(C400="",P400=""),"",INDEX('CARNET DE SOUDURE'!$D$7:$D$3006,P400)&amp;"")</f>
        <v/>
      </c>
      <c r="E400" s="114" t="str">
        <f aca="false">IF(OR(C400="",P400=""),"",IF(INDEX('CARNET DE SOUDURE'!$U$7:$U$3006,P400)="","",INDEX('CARNET DE SOUDURE'!$U$7:$U$3006,P400)))</f>
        <v/>
      </c>
      <c r="F400" s="82" t="str">
        <f aca="false">IF(OR(C400="",P400=""),"",INDEX('CARNET DE SOUDURE'!$AP$7:$AP$3006,P400))</f>
        <v/>
      </c>
      <c r="G400" s="82" t="str">
        <f aca="false">IF(C400="","",IF(P400="","NJ INCONNU",INDEX('CARNET DE SOUDURE'!$AQ$7:$AQ$3006,P400)))</f>
        <v>À SOUDER</v>
      </c>
      <c r="H400" s="82" t="str">
        <f aca="false">IF(C400="","",IF(G400="ACCEPTÉ","OUI","NON"))</f>
        <v>NON</v>
      </c>
      <c r="I400" s="83"/>
      <c r="J400" s="80"/>
      <c r="K400" s="81"/>
      <c r="L400" s="81"/>
      <c r="M400" s="81"/>
      <c r="N400" s="84" t="str">
        <f aca="false">IF(C400="","",IF(P400="","NJ INCONNU",IF(I400="",IF(H400="OUI","À ENROBER",IF(G400="À SOUDER","NON SOUDÉ","EN ATTENTE RT")),IF(L400="R","À REPRENDRE",IF(H400&lt;&gt;"OUI","⚠ ENROBÉ AVANT ACCEPTATION RT","ENROBÉ")))))</f>
        <v>NON SOUDÉ</v>
      </c>
      <c r="O400" s="80"/>
      <c r="P400" s="82" t="n">
        <f aca="false">IF(C400="","",IFERROR(MATCH(Q400,'CARNET DE SOUDURE'!$AW$7:$AW$3006,0),""))</f>
        <v>394</v>
      </c>
      <c r="Q400" s="82" t="str">
        <f aca="false">IF(C400="","",B400&amp;"|"&amp;C400)</f>
        <v>MFD-ISW → MFD-CPF|JN°394</v>
      </c>
    </row>
    <row r="401" customFormat="false" ht="74.6" hidden="false" customHeight="false" outlineLevel="0" collapsed="false">
      <c r="A401" s="82" t="n">
        <f aca="false">IF(C401="","",ROW()-6)</f>
        <v>395</v>
      </c>
      <c r="B401" s="80" t="s">
        <v>110</v>
      </c>
      <c r="C401" s="113" t="s">
        <v>505</v>
      </c>
      <c r="D401" s="82" t="str">
        <f aca="false">IF(OR(C401="",P401=""),"",INDEX('CARNET DE SOUDURE'!$D$7:$D$3006,P401)&amp;"")</f>
        <v/>
      </c>
      <c r="E401" s="114" t="str">
        <f aca="false">IF(OR(C401="",P401=""),"",IF(INDEX('CARNET DE SOUDURE'!$U$7:$U$3006,P401)="","",INDEX('CARNET DE SOUDURE'!$U$7:$U$3006,P401)))</f>
        <v/>
      </c>
      <c r="F401" s="82" t="str">
        <f aca="false">IF(OR(C401="",P401=""),"",INDEX('CARNET DE SOUDURE'!$AP$7:$AP$3006,P401))</f>
        <v/>
      </c>
      <c r="G401" s="82" t="str">
        <f aca="false">IF(C401="","",IF(P401="","NJ INCONNU",INDEX('CARNET DE SOUDURE'!$AQ$7:$AQ$3006,P401)))</f>
        <v>À SOUDER</v>
      </c>
      <c r="H401" s="82" t="str">
        <f aca="false">IF(C401="","",IF(G401="ACCEPTÉ","OUI","NON"))</f>
        <v>NON</v>
      </c>
      <c r="I401" s="83"/>
      <c r="J401" s="80"/>
      <c r="K401" s="81"/>
      <c r="L401" s="81"/>
      <c r="M401" s="81"/>
      <c r="N401" s="84" t="str">
        <f aca="false">IF(C401="","",IF(P401="","NJ INCONNU",IF(I401="",IF(H401="OUI","À ENROBER",IF(G401="À SOUDER","NON SOUDÉ","EN ATTENTE RT")),IF(L401="R","À REPRENDRE",IF(H401&lt;&gt;"OUI","⚠ ENROBÉ AVANT ACCEPTATION RT","ENROBÉ")))))</f>
        <v>NON SOUDÉ</v>
      </c>
      <c r="O401" s="80"/>
      <c r="P401" s="82" t="n">
        <f aca="false">IF(C401="","",IFERROR(MATCH(Q401,'CARNET DE SOUDURE'!$AW$7:$AW$3006,0),""))</f>
        <v>395</v>
      </c>
      <c r="Q401" s="82" t="str">
        <f aca="false">IF(C401="","",B401&amp;"|"&amp;C401)</f>
        <v>MFD-ISW → MFD-CPF|JN°395</v>
      </c>
    </row>
    <row r="402" customFormat="false" ht="74.6" hidden="false" customHeight="false" outlineLevel="0" collapsed="false">
      <c r="A402" s="82" t="n">
        <f aca="false">IF(C402="","",ROW()-6)</f>
        <v>396</v>
      </c>
      <c r="B402" s="80" t="s">
        <v>110</v>
      </c>
      <c r="C402" s="113" t="s">
        <v>506</v>
      </c>
      <c r="D402" s="82" t="str">
        <f aca="false">IF(OR(C402="",P402=""),"",INDEX('CARNET DE SOUDURE'!$D$7:$D$3006,P402)&amp;"")</f>
        <v/>
      </c>
      <c r="E402" s="114" t="str">
        <f aca="false">IF(OR(C402="",P402=""),"",IF(INDEX('CARNET DE SOUDURE'!$U$7:$U$3006,P402)="","",INDEX('CARNET DE SOUDURE'!$U$7:$U$3006,P402)))</f>
        <v/>
      </c>
      <c r="F402" s="82" t="str">
        <f aca="false">IF(OR(C402="",P402=""),"",INDEX('CARNET DE SOUDURE'!$AP$7:$AP$3006,P402))</f>
        <v/>
      </c>
      <c r="G402" s="82" t="str">
        <f aca="false">IF(C402="","",IF(P402="","NJ INCONNU",INDEX('CARNET DE SOUDURE'!$AQ$7:$AQ$3006,P402)))</f>
        <v>À SOUDER</v>
      </c>
      <c r="H402" s="82" t="str">
        <f aca="false">IF(C402="","",IF(G402="ACCEPTÉ","OUI","NON"))</f>
        <v>NON</v>
      </c>
      <c r="I402" s="83"/>
      <c r="J402" s="80"/>
      <c r="K402" s="81"/>
      <c r="L402" s="81"/>
      <c r="M402" s="81"/>
      <c r="N402" s="84" t="str">
        <f aca="false">IF(C402="","",IF(P402="","NJ INCONNU",IF(I402="",IF(H402="OUI","À ENROBER",IF(G402="À SOUDER","NON SOUDÉ","EN ATTENTE RT")),IF(L402="R","À REPRENDRE",IF(H402&lt;&gt;"OUI","⚠ ENROBÉ AVANT ACCEPTATION RT","ENROBÉ")))))</f>
        <v>NON SOUDÉ</v>
      </c>
      <c r="O402" s="80"/>
      <c r="P402" s="82" t="n">
        <f aca="false">IF(C402="","",IFERROR(MATCH(Q402,'CARNET DE SOUDURE'!$AW$7:$AW$3006,0),""))</f>
        <v>396</v>
      </c>
      <c r="Q402" s="82" t="str">
        <f aca="false">IF(C402="","",B402&amp;"|"&amp;C402)</f>
        <v>MFD-ISW → MFD-CPF|JN°396</v>
      </c>
    </row>
    <row r="403" customFormat="false" ht="74.6" hidden="false" customHeight="false" outlineLevel="0" collapsed="false">
      <c r="A403" s="82" t="n">
        <f aca="false">IF(C403="","",ROW()-6)</f>
        <v>397</v>
      </c>
      <c r="B403" s="80" t="s">
        <v>110</v>
      </c>
      <c r="C403" s="113" t="s">
        <v>507</v>
      </c>
      <c r="D403" s="82" t="str">
        <f aca="false">IF(OR(C403="",P403=""),"",INDEX('CARNET DE SOUDURE'!$D$7:$D$3006,P403)&amp;"")</f>
        <v/>
      </c>
      <c r="E403" s="114" t="str">
        <f aca="false">IF(OR(C403="",P403=""),"",IF(INDEX('CARNET DE SOUDURE'!$U$7:$U$3006,P403)="","",INDEX('CARNET DE SOUDURE'!$U$7:$U$3006,P403)))</f>
        <v/>
      </c>
      <c r="F403" s="82" t="str">
        <f aca="false">IF(OR(C403="",P403=""),"",INDEX('CARNET DE SOUDURE'!$AP$7:$AP$3006,P403))</f>
        <v/>
      </c>
      <c r="G403" s="82" t="str">
        <f aca="false">IF(C403="","",IF(P403="","NJ INCONNU",INDEX('CARNET DE SOUDURE'!$AQ$7:$AQ$3006,P403)))</f>
        <v>À SOUDER</v>
      </c>
      <c r="H403" s="82" t="str">
        <f aca="false">IF(C403="","",IF(G403="ACCEPTÉ","OUI","NON"))</f>
        <v>NON</v>
      </c>
      <c r="I403" s="83"/>
      <c r="J403" s="80"/>
      <c r="K403" s="81"/>
      <c r="L403" s="81"/>
      <c r="M403" s="81"/>
      <c r="N403" s="84" t="str">
        <f aca="false">IF(C403="","",IF(P403="","NJ INCONNU",IF(I403="",IF(H403="OUI","À ENROBER",IF(G403="À SOUDER","NON SOUDÉ","EN ATTENTE RT")),IF(L403="R","À REPRENDRE",IF(H403&lt;&gt;"OUI","⚠ ENROBÉ AVANT ACCEPTATION RT","ENROBÉ")))))</f>
        <v>NON SOUDÉ</v>
      </c>
      <c r="O403" s="80"/>
      <c r="P403" s="82" t="n">
        <f aca="false">IF(C403="","",IFERROR(MATCH(Q403,'CARNET DE SOUDURE'!$AW$7:$AW$3006,0),""))</f>
        <v>397</v>
      </c>
      <c r="Q403" s="82" t="str">
        <f aca="false">IF(C403="","",B403&amp;"|"&amp;C403)</f>
        <v>MFD-ISW → MFD-CPF|JN°397</v>
      </c>
    </row>
    <row r="404" customFormat="false" ht="74.6" hidden="false" customHeight="false" outlineLevel="0" collapsed="false">
      <c r="A404" s="82" t="n">
        <f aca="false">IF(C404="","",ROW()-6)</f>
        <v>398</v>
      </c>
      <c r="B404" s="80" t="s">
        <v>110</v>
      </c>
      <c r="C404" s="113" t="s">
        <v>508</v>
      </c>
      <c r="D404" s="82" t="str">
        <f aca="false">IF(OR(C404="",P404=""),"",INDEX('CARNET DE SOUDURE'!$D$7:$D$3006,P404)&amp;"")</f>
        <v/>
      </c>
      <c r="E404" s="114" t="str">
        <f aca="false">IF(OR(C404="",P404=""),"",IF(INDEX('CARNET DE SOUDURE'!$U$7:$U$3006,P404)="","",INDEX('CARNET DE SOUDURE'!$U$7:$U$3006,P404)))</f>
        <v/>
      </c>
      <c r="F404" s="82" t="str">
        <f aca="false">IF(OR(C404="",P404=""),"",INDEX('CARNET DE SOUDURE'!$AP$7:$AP$3006,P404))</f>
        <v/>
      </c>
      <c r="G404" s="82" t="str">
        <f aca="false">IF(C404="","",IF(P404="","NJ INCONNU",INDEX('CARNET DE SOUDURE'!$AQ$7:$AQ$3006,P404)))</f>
        <v>À SOUDER</v>
      </c>
      <c r="H404" s="82" t="str">
        <f aca="false">IF(C404="","",IF(G404="ACCEPTÉ","OUI","NON"))</f>
        <v>NON</v>
      </c>
      <c r="I404" s="83"/>
      <c r="J404" s="80"/>
      <c r="K404" s="81"/>
      <c r="L404" s="81"/>
      <c r="M404" s="81"/>
      <c r="N404" s="84" t="str">
        <f aca="false">IF(C404="","",IF(P404="","NJ INCONNU",IF(I404="",IF(H404="OUI","À ENROBER",IF(G404="À SOUDER","NON SOUDÉ","EN ATTENTE RT")),IF(L404="R","À REPRENDRE",IF(H404&lt;&gt;"OUI","⚠ ENROBÉ AVANT ACCEPTATION RT","ENROBÉ")))))</f>
        <v>NON SOUDÉ</v>
      </c>
      <c r="O404" s="80"/>
      <c r="P404" s="82" t="n">
        <f aca="false">IF(C404="","",IFERROR(MATCH(Q404,'CARNET DE SOUDURE'!$AW$7:$AW$3006,0),""))</f>
        <v>398</v>
      </c>
      <c r="Q404" s="82" t="str">
        <f aca="false">IF(C404="","",B404&amp;"|"&amp;C404)</f>
        <v>MFD-ISW → MFD-CPF|JN°398</v>
      </c>
    </row>
    <row r="405" customFormat="false" ht="74.6" hidden="false" customHeight="false" outlineLevel="0" collapsed="false">
      <c r="A405" s="82" t="n">
        <f aca="false">IF(C405="","",ROW()-6)</f>
        <v>399</v>
      </c>
      <c r="B405" s="80" t="s">
        <v>110</v>
      </c>
      <c r="C405" s="113" t="s">
        <v>509</v>
      </c>
      <c r="D405" s="82" t="str">
        <f aca="false">IF(OR(C405="",P405=""),"",INDEX('CARNET DE SOUDURE'!$D$7:$D$3006,P405)&amp;"")</f>
        <v/>
      </c>
      <c r="E405" s="114" t="str">
        <f aca="false">IF(OR(C405="",P405=""),"",IF(INDEX('CARNET DE SOUDURE'!$U$7:$U$3006,P405)="","",INDEX('CARNET DE SOUDURE'!$U$7:$U$3006,P405)))</f>
        <v/>
      </c>
      <c r="F405" s="82" t="str">
        <f aca="false">IF(OR(C405="",P405=""),"",INDEX('CARNET DE SOUDURE'!$AP$7:$AP$3006,P405))</f>
        <v/>
      </c>
      <c r="G405" s="82" t="str">
        <f aca="false">IF(C405="","",IF(P405="","NJ INCONNU",INDEX('CARNET DE SOUDURE'!$AQ$7:$AQ$3006,P405)))</f>
        <v>À SOUDER</v>
      </c>
      <c r="H405" s="82" t="str">
        <f aca="false">IF(C405="","",IF(G405="ACCEPTÉ","OUI","NON"))</f>
        <v>NON</v>
      </c>
      <c r="I405" s="83"/>
      <c r="J405" s="80"/>
      <c r="K405" s="81"/>
      <c r="L405" s="81"/>
      <c r="M405" s="81"/>
      <c r="N405" s="84" t="str">
        <f aca="false">IF(C405="","",IF(P405="","NJ INCONNU",IF(I405="",IF(H405="OUI","À ENROBER",IF(G405="À SOUDER","NON SOUDÉ","EN ATTENTE RT")),IF(L405="R","À REPRENDRE",IF(H405&lt;&gt;"OUI","⚠ ENROBÉ AVANT ACCEPTATION RT","ENROBÉ")))))</f>
        <v>NON SOUDÉ</v>
      </c>
      <c r="O405" s="80"/>
      <c r="P405" s="82" t="n">
        <f aca="false">IF(C405="","",IFERROR(MATCH(Q405,'CARNET DE SOUDURE'!$AW$7:$AW$3006,0),""))</f>
        <v>399</v>
      </c>
      <c r="Q405" s="82" t="str">
        <f aca="false">IF(C405="","",B405&amp;"|"&amp;C405)</f>
        <v>MFD-ISW → MFD-CPF|JN°399</v>
      </c>
    </row>
    <row r="406" customFormat="false" ht="74.6" hidden="false" customHeight="false" outlineLevel="0" collapsed="false">
      <c r="A406" s="82" t="n">
        <f aca="false">IF(C406="","",ROW()-6)</f>
        <v>400</v>
      </c>
      <c r="B406" s="80" t="s">
        <v>110</v>
      </c>
      <c r="C406" s="113" t="s">
        <v>510</v>
      </c>
      <c r="D406" s="82" t="str">
        <f aca="false">IF(OR(C406="",P406=""),"",INDEX('CARNET DE SOUDURE'!$D$7:$D$3006,P406)&amp;"")</f>
        <v/>
      </c>
      <c r="E406" s="114" t="str">
        <f aca="false">IF(OR(C406="",P406=""),"",IF(INDEX('CARNET DE SOUDURE'!$U$7:$U$3006,P406)="","",INDEX('CARNET DE SOUDURE'!$U$7:$U$3006,P406)))</f>
        <v/>
      </c>
      <c r="F406" s="82" t="str">
        <f aca="false">IF(OR(C406="",P406=""),"",INDEX('CARNET DE SOUDURE'!$AP$7:$AP$3006,P406))</f>
        <v/>
      </c>
      <c r="G406" s="82" t="str">
        <f aca="false">IF(C406="","",IF(P406="","NJ INCONNU",INDEX('CARNET DE SOUDURE'!$AQ$7:$AQ$3006,P406)))</f>
        <v>À SOUDER</v>
      </c>
      <c r="H406" s="82" t="str">
        <f aca="false">IF(C406="","",IF(G406="ACCEPTÉ","OUI","NON"))</f>
        <v>NON</v>
      </c>
      <c r="I406" s="83"/>
      <c r="J406" s="80"/>
      <c r="K406" s="81"/>
      <c r="L406" s="81"/>
      <c r="M406" s="81"/>
      <c r="N406" s="84" t="str">
        <f aca="false">IF(C406="","",IF(P406="","NJ INCONNU",IF(I406="",IF(H406="OUI","À ENROBER",IF(G406="À SOUDER","NON SOUDÉ","EN ATTENTE RT")),IF(L406="R","À REPRENDRE",IF(H406&lt;&gt;"OUI","⚠ ENROBÉ AVANT ACCEPTATION RT","ENROBÉ")))))</f>
        <v>NON SOUDÉ</v>
      </c>
      <c r="O406" s="80"/>
      <c r="P406" s="82" t="n">
        <f aca="false">IF(C406="","",IFERROR(MATCH(Q406,'CARNET DE SOUDURE'!$AW$7:$AW$3006,0),""))</f>
        <v>400</v>
      </c>
      <c r="Q406" s="82" t="str">
        <f aca="false">IF(C406="","",B406&amp;"|"&amp;C406)</f>
        <v>MFD-ISW → MFD-CPF|JN°400</v>
      </c>
    </row>
    <row r="407" customFormat="false" ht="74.6" hidden="false" customHeight="false" outlineLevel="0" collapsed="false">
      <c r="A407" s="82" t="n">
        <f aca="false">IF(C407="","",ROW()-6)</f>
        <v>401</v>
      </c>
      <c r="B407" s="80" t="s">
        <v>110</v>
      </c>
      <c r="C407" s="113" t="s">
        <v>511</v>
      </c>
      <c r="D407" s="82" t="str">
        <f aca="false">IF(OR(C407="",P407=""),"",INDEX('CARNET DE SOUDURE'!$D$7:$D$3006,P407)&amp;"")</f>
        <v/>
      </c>
      <c r="E407" s="114" t="str">
        <f aca="false">IF(OR(C407="",P407=""),"",IF(INDEX('CARNET DE SOUDURE'!$U$7:$U$3006,P407)="","",INDEX('CARNET DE SOUDURE'!$U$7:$U$3006,P407)))</f>
        <v/>
      </c>
      <c r="F407" s="82" t="str">
        <f aca="false">IF(OR(C407="",P407=""),"",INDEX('CARNET DE SOUDURE'!$AP$7:$AP$3006,P407))</f>
        <v/>
      </c>
      <c r="G407" s="82" t="str">
        <f aca="false">IF(C407="","",IF(P407="","NJ INCONNU",INDEX('CARNET DE SOUDURE'!$AQ$7:$AQ$3006,P407)))</f>
        <v>À SOUDER</v>
      </c>
      <c r="H407" s="82" t="str">
        <f aca="false">IF(C407="","",IF(G407="ACCEPTÉ","OUI","NON"))</f>
        <v>NON</v>
      </c>
      <c r="I407" s="83"/>
      <c r="J407" s="80"/>
      <c r="K407" s="81"/>
      <c r="L407" s="81"/>
      <c r="M407" s="81"/>
      <c r="N407" s="84" t="str">
        <f aca="false">IF(C407="","",IF(P407="","NJ INCONNU",IF(I407="",IF(H407="OUI","À ENROBER",IF(G407="À SOUDER","NON SOUDÉ","EN ATTENTE RT")),IF(L407="R","À REPRENDRE",IF(H407&lt;&gt;"OUI","⚠ ENROBÉ AVANT ACCEPTATION RT","ENROBÉ")))))</f>
        <v>NON SOUDÉ</v>
      </c>
      <c r="O407" s="80"/>
      <c r="P407" s="82" t="n">
        <f aca="false">IF(C407="","",IFERROR(MATCH(Q407,'CARNET DE SOUDURE'!$AW$7:$AW$3006,0),""))</f>
        <v>401</v>
      </c>
      <c r="Q407" s="82" t="str">
        <f aca="false">IF(C407="","",B407&amp;"|"&amp;C407)</f>
        <v>MFD-ISW → MFD-CPF|JN°401</v>
      </c>
    </row>
    <row r="408" customFormat="false" ht="74.6" hidden="false" customHeight="false" outlineLevel="0" collapsed="false">
      <c r="A408" s="82" t="n">
        <f aca="false">IF(C408="","",ROW()-6)</f>
        <v>402</v>
      </c>
      <c r="B408" s="80" t="s">
        <v>110</v>
      </c>
      <c r="C408" s="113" t="s">
        <v>512</v>
      </c>
      <c r="D408" s="82" t="str">
        <f aca="false">IF(OR(C408="",P408=""),"",INDEX('CARNET DE SOUDURE'!$D$7:$D$3006,P408)&amp;"")</f>
        <v/>
      </c>
      <c r="E408" s="114" t="str">
        <f aca="false">IF(OR(C408="",P408=""),"",IF(INDEX('CARNET DE SOUDURE'!$U$7:$U$3006,P408)="","",INDEX('CARNET DE SOUDURE'!$U$7:$U$3006,P408)))</f>
        <v/>
      </c>
      <c r="F408" s="82" t="str">
        <f aca="false">IF(OR(C408="",P408=""),"",INDEX('CARNET DE SOUDURE'!$AP$7:$AP$3006,P408))</f>
        <v/>
      </c>
      <c r="G408" s="82" t="str">
        <f aca="false">IF(C408="","",IF(P408="","NJ INCONNU",INDEX('CARNET DE SOUDURE'!$AQ$7:$AQ$3006,P408)))</f>
        <v>À SOUDER</v>
      </c>
      <c r="H408" s="82" t="str">
        <f aca="false">IF(C408="","",IF(G408="ACCEPTÉ","OUI","NON"))</f>
        <v>NON</v>
      </c>
      <c r="I408" s="83"/>
      <c r="J408" s="80"/>
      <c r="K408" s="81"/>
      <c r="L408" s="81"/>
      <c r="M408" s="81"/>
      <c r="N408" s="84" t="str">
        <f aca="false">IF(C408="","",IF(P408="","NJ INCONNU",IF(I408="",IF(H408="OUI","À ENROBER",IF(G408="À SOUDER","NON SOUDÉ","EN ATTENTE RT")),IF(L408="R","À REPRENDRE",IF(H408&lt;&gt;"OUI","⚠ ENROBÉ AVANT ACCEPTATION RT","ENROBÉ")))))</f>
        <v>NON SOUDÉ</v>
      </c>
      <c r="O408" s="80"/>
      <c r="P408" s="82" t="n">
        <f aca="false">IF(C408="","",IFERROR(MATCH(Q408,'CARNET DE SOUDURE'!$AW$7:$AW$3006,0),""))</f>
        <v>402</v>
      </c>
      <c r="Q408" s="82" t="str">
        <f aca="false">IF(C408="","",B408&amp;"|"&amp;C408)</f>
        <v>MFD-ISW → MFD-CPF|JN°402</v>
      </c>
    </row>
    <row r="409" customFormat="false" ht="74.6" hidden="false" customHeight="false" outlineLevel="0" collapsed="false">
      <c r="A409" s="82" t="n">
        <f aca="false">IF(C409="","",ROW()-6)</f>
        <v>403</v>
      </c>
      <c r="B409" s="80" t="s">
        <v>110</v>
      </c>
      <c r="C409" s="113" t="s">
        <v>513</v>
      </c>
      <c r="D409" s="82" t="str">
        <f aca="false">IF(OR(C409="",P409=""),"",INDEX('CARNET DE SOUDURE'!$D$7:$D$3006,P409)&amp;"")</f>
        <v/>
      </c>
      <c r="E409" s="114" t="str">
        <f aca="false">IF(OR(C409="",P409=""),"",IF(INDEX('CARNET DE SOUDURE'!$U$7:$U$3006,P409)="","",INDEX('CARNET DE SOUDURE'!$U$7:$U$3006,P409)))</f>
        <v/>
      </c>
      <c r="F409" s="82" t="str">
        <f aca="false">IF(OR(C409="",P409=""),"",INDEX('CARNET DE SOUDURE'!$AP$7:$AP$3006,P409))</f>
        <v/>
      </c>
      <c r="G409" s="82" t="str">
        <f aca="false">IF(C409="","",IF(P409="","NJ INCONNU",INDEX('CARNET DE SOUDURE'!$AQ$7:$AQ$3006,P409)))</f>
        <v>À SOUDER</v>
      </c>
      <c r="H409" s="82" t="str">
        <f aca="false">IF(C409="","",IF(G409="ACCEPTÉ","OUI","NON"))</f>
        <v>NON</v>
      </c>
      <c r="I409" s="83"/>
      <c r="J409" s="80"/>
      <c r="K409" s="81"/>
      <c r="L409" s="81"/>
      <c r="M409" s="81"/>
      <c r="N409" s="84" t="str">
        <f aca="false">IF(C409="","",IF(P409="","NJ INCONNU",IF(I409="",IF(H409="OUI","À ENROBER",IF(G409="À SOUDER","NON SOUDÉ","EN ATTENTE RT")),IF(L409="R","À REPRENDRE",IF(H409&lt;&gt;"OUI","⚠ ENROBÉ AVANT ACCEPTATION RT","ENROBÉ")))))</f>
        <v>NON SOUDÉ</v>
      </c>
      <c r="O409" s="80"/>
      <c r="P409" s="82" t="n">
        <f aca="false">IF(C409="","",IFERROR(MATCH(Q409,'CARNET DE SOUDURE'!$AW$7:$AW$3006,0),""))</f>
        <v>403</v>
      </c>
      <c r="Q409" s="82" t="str">
        <f aca="false">IF(C409="","",B409&amp;"|"&amp;C409)</f>
        <v>MFD-ISW → MFD-CPF|JN°403</v>
      </c>
    </row>
    <row r="410" customFormat="false" ht="74.6" hidden="false" customHeight="false" outlineLevel="0" collapsed="false">
      <c r="A410" s="82" t="n">
        <f aca="false">IF(C410="","",ROW()-6)</f>
        <v>404</v>
      </c>
      <c r="B410" s="80" t="s">
        <v>110</v>
      </c>
      <c r="C410" s="113" t="s">
        <v>514</v>
      </c>
      <c r="D410" s="82" t="str">
        <f aca="false">IF(OR(C410="",P410=""),"",INDEX('CARNET DE SOUDURE'!$D$7:$D$3006,P410)&amp;"")</f>
        <v/>
      </c>
      <c r="E410" s="114" t="str">
        <f aca="false">IF(OR(C410="",P410=""),"",IF(INDEX('CARNET DE SOUDURE'!$U$7:$U$3006,P410)="","",INDEX('CARNET DE SOUDURE'!$U$7:$U$3006,P410)))</f>
        <v/>
      </c>
      <c r="F410" s="82" t="str">
        <f aca="false">IF(OR(C410="",P410=""),"",INDEX('CARNET DE SOUDURE'!$AP$7:$AP$3006,P410))</f>
        <v/>
      </c>
      <c r="G410" s="82" t="str">
        <f aca="false">IF(C410="","",IF(P410="","NJ INCONNU",INDEX('CARNET DE SOUDURE'!$AQ$7:$AQ$3006,P410)))</f>
        <v>À SOUDER</v>
      </c>
      <c r="H410" s="82" t="str">
        <f aca="false">IF(C410="","",IF(G410="ACCEPTÉ","OUI","NON"))</f>
        <v>NON</v>
      </c>
      <c r="I410" s="83"/>
      <c r="J410" s="80"/>
      <c r="K410" s="81"/>
      <c r="L410" s="81"/>
      <c r="M410" s="81"/>
      <c r="N410" s="84" t="str">
        <f aca="false">IF(C410="","",IF(P410="","NJ INCONNU",IF(I410="",IF(H410="OUI","À ENROBER",IF(G410="À SOUDER","NON SOUDÉ","EN ATTENTE RT")),IF(L410="R","À REPRENDRE",IF(H410&lt;&gt;"OUI","⚠ ENROBÉ AVANT ACCEPTATION RT","ENROBÉ")))))</f>
        <v>NON SOUDÉ</v>
      </c>
      <c r="O410" s="80"/>
      <c r="P410" s="82" t="n">
        <f aca="false">IF(C410="","",IFERROR(MATCH(Q410,'CARNET DE SOUDURE'!$AW$7:$AW$3006,0),""))</f>
        <v>404</v>
      </c>
      <c r="Q410" s="82" t="str">
        <f aca="false">IF(C410="","",B410&amp;"|"&amp;C410)</f>
        <v>MFD-ISW → MFD-CPF|JN°404</v>
      </c>
    </row>
    <row r="411" customFormat="false" ht="74.6" hidden="false" customHeight="false" outlineLevel="0" collapsed="false">
      <c r="A411" s="82" t="n">
        <f aca="false">IF(C411="","",ROW()-6)</f>
        <v>405</v>
      </c>
      <c r="B411" s="80" t="s">
        <v>110</v>
      </c>
      <c r="C411" s="113" t="s">
        <v>515</v>
      </c>
      <c r="D411" s="82" t="str">
        <f aca="false">IF(OR(C411="",P411=""),"",INDEX('CARNET DE SOUDURE'!$D$7:$D$3006,P411)&amp;"")</f>
        <v/>
      </c>
      <c r="E411" s="114" t="str">
        <f aca="false">IF(OR(C411="",P411=""),"",IF(INDEX('CARNET DE SOUDURE'!$U$7:$U$3006,P411)="","",INDEX('CARNET DE SOUDURE'!$U$7:$U$3006,P411)))</f>
        <v/>
      </c>
      <c r="F411" s="82" t="str">
        <f aca="false">IF(OR(C411="",P411=""),"",INDEX('CARNET DE SOUDURE'!$AP$7:$AP$3006,P411))</f>
        <v/>
      </c>
      <c r="G411" s="82" t="str">
        <f aca="false">IF(C411="","",IF(P411="","NJ INCONNU",INDEX('CARNET DE SOUDURE'!$AQ$7:$AQ$3006,P411)))</f>
        <v>À SOUDER</v>
      </c>
      <c r="H411" s="82" t="str">
        <f aca="false">IF(C411="","",IF(G411="ACCEPTÉ","OUI","NON"))</f>
        <v>NON</v>
      </c>
      <c r="I411" s="83"/>
      <c r="J411" s="80"/>
      <c r="K411" s="81"/>
      <c r="L411" s="81"/>
      <c r="M411" s="81"/>
      <c r="N411" s="84" t="str">
        <f aca="false">IF(C411="","",IF(P411="","NJ INCONNU",IF(I411="",IF(H411="OUI","À ENROBER",IF(G411="À SOUDER","NON SOUDÉ","EN ATTENTE RT")),IF(L411="R","À REPRENDRE",IF(H411&lt;&gt;"OUI","⚠ ENROBÉ AVANT ACCEPTATION RT","ENROBÉ")))))</f>
        <v>NON SOUDÉ</v>
      </c>
      <c r="O411" s="80"/>
      <c r="P411" s="82" t="n">
        <f aca="false">IF(C411="","",IFERROR(MATCH(Q411,'CARNET DE SOUDURE'!$AW$7:$AW$3006,0),""))</f>
        <v>405</v>
      </c>
      <c r="Q411" s="82" t="str">
        <f aca="false">IF(C411="","",B411&amp;"|"&amp;C411)</f>
        <v>MFD-ISW → MFD-CPF|JN°405</v>
      </c>
    </row>
    <row r="412" customFormat="false" ht="74.6" hidden="false" customHeight="false" outlineLevel="0" collapsed="false">
      <c r="A412" s="82" t="n">
        <f aca="false">IF(C412="","",ROW()-6)</f>
        <v>406</v>
      </c>
      <c r="B412" s="80" t="s">
        <v>110</v>
      </c>
      <c r="C412" s="113" t="s">
        <v>516</v>
      </c>
      <c r="D412" s="82" t="str">
        <f aca="false">IF(OR(C412="",P412=""),"",INDEX('CARNET DE SOUDURE'!$D$7:$D$3006,P412)&amp;"")</f>
        <v/>
      </c>
      <c r="E412" s="114" t="str">
        <f aca="false">IF(OR(C412="",P412=""),"",IF(INDEX('CARNET DE SOUDURE'!$U$7:$U$3006,P412)="","",INDEX('CARNET DE SOUDURE'!$U$7:$U$3006,P412)))</f>
        <v/>
      </c>
      <c r="F412" s="82" t="str">
        <f aca="false">IF(OR(C412="",P412=""),"",INDEX('CARNET DE SOUDURE'!$AP$7:$AP$3006,P412))</f>
        <v/>
      </c>
      <c r="G412" s="82" t="str">
        <f aca="false">IF(C412="","",IF(P412="","NJ INCONNU",INDEX('CARNET DE SOUDURE'!$AQ$7:$AQ$3006,P412)))</f>
        <v>À SOUDER</v>
      </c>
      <c r="H412" s="82" t="str">
        <f aca="false">IF(C412="","",IF(G412="ACCEPTÉ","OUI","NON"))</f>
        <v>NON</v>
      </c>
      <c r="I412" s="83"/>
      <c r="J412" s="80"/>
      <c r="K412" s="81"/>
      <c r="L412" s="81"/>
      <c r="M412" s="81"/>
      <c r="N412" s="84" t="str">
        <f aca="false">IF(C412="","",IF(P412="","NJ INCONNU",IF(I412="",IF(H412="OUI","À ENROBER",IF(G412="À SOUDER","NON SOUDÉ","EN ATTENTE RT")),IF(L412="R","À REPRENDRE",IF(H412&lt;&gt;"OUI","⚠ ENROBÉ AVANT ACCEPTATION RT","ENROBÉ")))))</f>
        <v>NON SOUDÉ</v>
      </c>
      <c r="O412" s="80"/>
      <c r="P412" s="82" t="n">
        <f aca="false">IF(C412="","",IFERROR(MATCH(Q412,'CARNET DE SOUDURE'!$AW$7:$AW$3006,0),""))</f>
        <v>406</v>
      </c>
      <c r="Q412" s="82" t="str">
        <f aca="false">IF(C412="","",B412&amp;"|"&amp;C412)</f>
        <v>MFD-ISW → MFD-CPF|JN°406</v>
      </c>
    </row>
    <row r="413" customFormat="false" ht="74.6" hidden="false" customHeight="false" outlineLevel="0" collapsed="false">
      <c r="A413" s="82" t="n">
        <f aca="false">IF(C413="","",ROW()-6)</f>
        <v>407</v>
      </c>
      <c r="B413" s="80" t="s">
        <v>110</v>
      </c>
      <c r="C413" s="113" t="s">
        <v>517</v>
      </c>
      <c r="D413" s="82" t="str">
        <f aca="false">IF(OR(C413="",P413=""),"",INDEX('CARNET DE SOUDURE'!$D$7:$D$3006,P413)&amp;"")</f>
        <v/>
      </c>
      <c r="E413" s="114" t="str">
        <f aca="false">IF(OR(C413="",P413=""),"",IF(INDEX('CARNET DE SOUDURE'!$U$7:$U$3006,P413)="","",INDEX('CARNET DE SOUDURE'!$U$7:$U$3006,P413)))</f>
        <v/>
      </c>
      <c r="F413" s="82" t="str">
        <f aca="false">IF(OR(C413="",P413=""),"",INDEX('CARNET DE SOUDURE'!$AP$7:$AP$3006,P413))</f>
        <v/>
      </c>
      <c r="G413" s="82" t="str">
        <f aca="false">IF(C413="","",IF(P413="","NJ INCONNU",INDEX('CARNET DE SOUDURE'!$AQ$7:$AQ$3006,P413)))</f>
        <v>À SOUDER</v>
      </c>
      <c r="H413" s="82" t="str">
        <f aca="false">IF(C413="","",IF(G413="ACCEPTÉ","OUI","NON"))</f>
        <v>NON</v>
      </c>
      <c r="I413" s="83"/>
      <c r="J413" s="80"/>
      <c r="K413" s="81"/>
      <c r="L413" s="81"/>
      <c r="M413" s="81"/>
      <c r="N413" s="84" t="str">
        <f aca="false">IF(C413="","",IF(P413="","NJ INCONNU",IF(I413="",IF(H413="OUI","À ENROBER",IF(G413="À SOUDER","NON SOUDÉ","EN ATTENTE RT")),IF(L413="R","À REPRENDRE",IF(H413&lt;&gt;"OUI","⚠ ENROBÉ AVANT ACCEPTATION RT","ENROBÉ")))))</f>
        <v>NON SOUDÉ</v>
      </c>
      <c r="O413" s="80"/>
      <c r="P413" s="82" t="n">
        <f aca="false">IF(C413="","",IFERROR(MATCH(Q413,'CARNET DE SOUDURE'!$AW$7:$AW$3006,0),""))</f>
        <v>407</v>
      </c>
      <c r="Q413" s="82" t="str">
        <f aca="false">IF(C413="","",B413&amp;"|"&amp;C413)</f>
        <v>MFD-ISW → MFD-CPF|JN°407</v>
      </c>
    </row>
    <row r="414" customFormat="false" ht="74.6" hidden="false" customHeight="false" outlineLevel="0" collapsed="false">
      <c r="A414" s="82" t="n">
        <f aca="false">IF(C414="","",ROW()-6)</f>
        <v>408</v>
      </c>
      <c r="B414" s="80" t="s">
        <v>110</v>
      </c>
      <c r="C414" s="113" t="s">
        <v>518</v>
      </c>
      <c r="D414" s="82" t="str">
        <f aca="false">IF(OR(C414="",P414=""),"",INDEX('CARNET DE SOUDURE'!$D$7:$D$3006,P414)&amp;"")</f>
        <v/>
      </c>
      <c r="E414" s="114" t="str">
        <f aca="false">IF(OR(C414="",P414=""),"",IF(INDEX('CARNET DE SOUDURE'!$U$7:$U$3006,P414)="","",INDEX('CARNET DE SOUDURE'!$U$7:$U$3006,P414)))</f>
        <v/>
      </c>
      <c r="F414" s="82" t="str">
        <f aca="false">IF(OR(C414="",P414=""),"",INDEX('CARNET DE SOUDURE'!$AP$7:$AP$3006,P414))</f>
        <v/>
      </c>
      <c r="G414" s="82" t="str">
        <f aca="false">IF(C414="","",IF(P414="","NJ INCONNU",INDEX('CARNET DE SOUDURE'!$AQ$7:$AQ$3006,P414)))</f>
        <v>À SOUDER</v>
      </c>
      <c r="H414" s="82" t="str">
        <f aca="false">IF(C414="","",IF(G414="ACCEPTÉ","OUI","NON"))</f>
        <v>NON</v>
      </c>
      <c r="I414" s="83"/>
      <c r="J414" s="80"/>
      <c r="K414" s="81"/>
      <c r="L414" s="81"/>
      <c r="M414" s="81"/>
      <c r="N414" s="84" t="str">
        <f aca="false">IF(C414="","",IF(P414="","NJ INCONNU",IF(I414="",IF(H414="OUI","À ENROBER",IF(G414="À SOUDER","NON SOUDÉ","EN ATTENTE RT")),IF(L414="R","À REPRENDRE",IF(H414&lt;&gt;"OUI","⚠ ENROBÉ AVANT ACCEPTATION RT","ENROBÉ")))))</f>
        <v>NON SOUDÉ</v>
      </c>
      <c r="O414" s="80"/>
      <c r="P414" s="82" t="n">
        <f aca="false">IF(C414="","",IFERROR(MATCH(Q414,'CARNET DE SOUDURE'!$AW$7:$AW$3006,0),""))</f>
        <v>408</v>
      </c>
      <c r="Q414" s="82" t="str">
        <f aca="false">IF(C414="","",B414&amp;"|"&amp;C414)</f>
        <v>MFD-ISW → MFD-CPF|JN°408</v>
      </c>
    </row>
    <row r="415" customFormat="false" ht="74.6" hidden="false" customHeight="false" outlineLevel="0" collapsed="false">
      <c r="A415" s="82" t="n">
        <f aca="false">IF(C415="","",ROW()-6)</f>
        <v>409</v>
      </c>
      <c r="B415" s="80" t="s">
        <v>110</v>
      </c>
      <c r="C415" s="113" t="s">
        <v>519</v>
      </c>
      <c r="D415" s="82" t="str">
        <f aca="false">IF(OR(C415="",P415=""),"",INDEX('CARNET DE SOUDURE'!$D$7:$D$3006,P415)&amp;"")</f>
        <v/>
      </c>
      <c r="E415" s="114" t="str">
        <f aca="false">IF(OR(C415="",P415=""),"",IF(INDEX('CARNET DE SOUDURE'!$U$7:$U$3006,P415)="","",INDEX('CARNET DE SOUDURE'!$U$7:$U$3006,P415)))</f>
        <v/>
      </c>
      <c r="F415" s="82" t="str">
        <f aca="false">IF(OR(C415="",P415=""),"",INDEX('CARNET DE SOUDURE'!$AP$7:$AP$3006,P415))</f>
        <v/>
      </c>
      <c r="G415" s="82" t="str">
        <f aca="false">IF(C415="","",IF(P415="","NJ INCONNU",INDEX('CARNET DE SOUDURE'!$AQ$7:$AQ$3006,P415)))</f>
        <v>À SOUDER</v>
      </c>
      <c r="H415" s="82" t="str">
        <f aca="false">IF(C415="","",IF(G415="ACCEPTÉ","OUI","NON"))</f>
        <v>NON</v>
      </c>
      <c r="I415" s="83"/>
      <c r="J415" s="80"/>
      <c r="K415" s="81"/>
      <c r="L415" s="81"/>
      <c r="M415" s="81"/>
      <c r="N415" s="84" t="str">
        <f aca="false">IF(C415="","",IF(P415="","NJ INCONNU",IF(I415="",IF(H415="OUI","À ENROBER",IF(G415="À SOUDER","NON SOUDÉ","EN ATTENTE RT")),IF(L415="R","À REPRENDRE",IF(H415&lt;&gt;"OUI","⚠ ENROBÉ AVANT ACCEPTATION RT","ENROBÉ")))))</f>
        <v>NON SOUDÉ</v>
      </c>
      <c r="O415" s="80"/>
      <c r="P415" s="82" t="n">
        <f aca="false">IF(C415="","",IFERROR(MATCH(Q415,'CARNET DE SOUDURE'!$AW$7:$AW$3006,0),""))</f>
        <v>409</v>
      </c>
      <c r="Q415" s="82" t="str">
        <f aca="false">IF(C415="","",B415&amp;"|"&amp;C415)</f>
        <v>MFD-ISW → MFD-CPF|JN°409</v>
      </c>
    </row>
    <row r="416" customFormat="false" ht="74.6" hidden="false" customHeight="false" outlineLevel="0" collapsed="false">
      <c r="A416" s="82" t="n">
        <f aca="false">IF(C416="","",ROW()-6)</f>
        <v>410</v>
      </c>
      <c r="B416" s="80" t="s">
        <v>110</v>
      </c>
      <c r="C416" s="113" t="s">
        <v>520</v>
      </c>
      <c r="D416" s="82" t="str">
        <f aca="false">IF(OR(C416="",P416=""),"",INDEX('CARNET DE SOUDURE'!$D$7:$D$3006,P416)&amp;"")</f>
        <v/>
      </c>
      <c r="E416" s="114" t="str">
        <f aca="false">IF(OR(C416="",P416=""),"",IF(INDEX('CARNET DE SOUDURE'!$U$7:$U$3006,P416)="","",INDEX('CARNET DE SOUDURE'!$U$7:$U$3006,P416)))</f>
        <v/>
      </c>
      <c r="F416" s="82" t="str">
        <f aca="false">IF(OR(C416="",P416=""),"",INDEX('CARNET DE SOUDURE'!$AP$7:$AP$3006,P416))</f>
        <v/>
      </c>
      <c r="G416" s="82" t="str">
        <f aca="false">IF(C416="","",IF(P416="","NJ INCONNU",INDEX('CARNET DE SOUDURE'!$AQ$7:$AQ$3006,P416)))</f>
        <v>À SOUDER</v>
      </c>
      <c r="H416" s="82" t="str">
        <f aca="false">IF(C416="","",IF(G416="ACCEPTÉ","OUI","NON"))</f>
        <v>NON</v>
      </c>
      <c r="I416" s="83"/>
      <c r="J416" s="80"/>
      <c r="K416" s="81"/>
      <c r="L416" s="81"/>
      <c r="M416" s="81"/>
      <c r="N416" s="84" t="str">
        <f aca="false">IF(C416="","",IF(P416="","NJ INCONNU",IF(I416="",IF(H416="OUI","À ENROBER",IF(G416="À SOUDER","NON SOUDÉ","EN ATTENTE RT")),IF(L416="R","À REPRENDRE",IF(H416&lt;&gt;"OUI","⚠ ENROBÉ AVANT ACCEPTATION RT","ENROBÉ")))))</f>
        <v>NON SOUDÉ</v>
      </c>
      <c r="O416" s="80"/>
      <c r="P416" s="82" t="n">
        <f aca="false">IF(C416="","",IFERROR(MATCH(Q416,'CARNET DE SOUDURE'!$AW$7:$AW$3006,0),""))</f>
        <v>410</v>
      </c>
      <c r="Q416" s="82" t="str">
        <f aca="false">IF(C416="","",B416&amp;"|"&amp;C416)</f>
        <v>MFD-ISW → MFD-CPF|JN°410</v>
      </c>
    </row>
    <row r="417" customFormat="false" ht="74.6" hidden="false" customHeight="false" outlineLevel="0" collapsed="false">
      <c r="A417" s="82" t="n">
        <f aca="false">IF(C417="","",ROW()-6)</f>
        <v>411</v>
      </c>
      <c r="B417" s="80" t="s">
        <v>110</v>
      </c>
      <c r="C417" s="113" t="s">
        <v>521</v>
      </c>
      <c r="D417" s="82" t="str">
        <f aca="false">IF(OR(C417="",P417=""),"",INDEX('CARNET DE SOUDURE'!$D$7:$D$3006,P417)&amp;"")</f>
        <v/>
      </c>
      <c r="E417" s="114" t="str">
        <f aca="false">IF(OR(C417="",P417=""),"",IF(INDEX('CARNET DE SOUDURE'!$U$7:$U$3006,P417)="","",INDEX('CARNET DE SOUDURE'!$U$7:$U$3006,P417)))</f>
        <v/>
      </c>
      <c r="F417" s="82" t="str">
        <f aca="false">IF(OR(C417="",P417=""),"",INDEX('CARNET DE SOUDURE'!$AP$7:$AP$3006,P417))</f>
        <v/>
      </c>
      <c r="G417" s="82" t="str">
        <f aca="false">IF(C417="","",IF(P417="","NJ INCONNU",INDEX('CARNET DE SOUDURE'!$AQ$7:$AQ$3006,P417)))</f>
        <v>À SOUDER</v>
      </c>
      <c r="H417" s="82" t="str">
        <f aca="false">IF(C417="","",IF(G417="ACCEPTÉ","OUI","NON"))</f>
        <v>NON</v>
      </c>
      <c r="I417" s="83"/>
      <c r="J417" s="80"/>
      <c r="K417" s="81"/>
      <c r="L417" s="81"/>
      <c r="M417" s="81"/>
      <c r="N417" s="84" t="str">
        <f aca="false">IF(C417="","",IF(P417="","NJ INCONNU",IF(I417="",IF(H417="OUI","À ENROBER",IF(G417="À SOUDER","NON SOUDÉ","EN ATTENTE RT")),IF(L417="R","À REPRENDRE",IF(H417&lt;&gt;"OUI","⚠ ENROBÉ AVANT ACCEPTATION RT","ENROBÉ")))))</f>
        <v>NON SOUDÉ</v>
      </c>
      <c r="O417" s="80"/>
      <c r="P417" s="82" t="n">
        <f aca="false">IF(C417="","",IFERROR(MATCH(Q417,'CARNET DE SOUDURE'!$AW$7:$AW$3006,0),""))</f>
        <v>411</v>
      </c>
      <c r="Q417" s="82" t="str">
        <f aca="false">IF(C417="","",B417&amp;"|"&amp;C417)</f>
        <v>MFD-ISW → MFD-CPF|JN°411</v>
      </c>
    </row>
    <row r="418" customFormat="false" ht="74.6" hidden="false" customHeight="false" outlineLevel="0" collapsed="false">
      <c r="A418" s="82" t="n">
        <f aca="false">IF(C418="","",ROW()-6)</f>
        <v>412</v>
      </c>
      <c r="B418" s="80" t="s">
        <v>110</v>
      </c>
      <c r="C418" s="113" t="s">
        <v>522</v>
      </c>
      <c r="D418" s="82" t="str">
        <f aca="false">IF(OR(C418="",P418=""),"",INDEX('CARNET DE SOUDURE'!$D$7:$D$3006,P418)&amp;"")</f>
        <v/>
      </c>
      <c r="E418" s="114" t="str">
        <f aca="false">IF(OR(C418="",P418=""),"",IF(INDEX('CARNET DE SOUDURE'!$U$7:$U$3006,P418)="","",INDEX('CARNET DE SOUDURE'!$U$7:$U$3006,P418)))</f>
        <v/>
      </c>
      <c r="F418" s="82" t="str">
        <f aca="false">IF(OR(C418="",P418=""),"",INDEX('CARNET DE SOUDURE'!$AP$7:$AP$3006,P418))</f>
        <v/>
      </c>
      <c r="G418" s="82" t="str">
        <f aca="false">IF(C418="","",IF(P418="","NJ INCONNU",INDEX('CARNET DE SOUDURE'!$AQ$7:$AQ$3006,P418)))</f>
        <v>À SOUDER</v>
      </c>
      <c r="H418" s="82" t="str">
        <f aca="false">IF(C418="","",IF(G418="ACCEPTÉ","OUI","NON"))</f>
        <v>NON</v>
      </c>
      <c r="I418" s="83"/>
      <c r="J418" s="80"/>
      <c r="K418" s="81"/>
      <c r="L418" s="81"/>
      <c r="M418" s="81"/>
      <c r="N418" s="84" t="str">
        <f aca="false">IF(C418="","",IF(P418="","NJ INCONNU",IF(I418="",IF(H418="OUI","À ENROBER",IF(G418="À SOUDER","NON SOUDÉ","EN ATTENTE RT")),IF(L418="R","À REPRENDRE",IF(H418&lt;&gt;"OUI","⚠ ENROBÉ AVANT ACCEPTATION RT","ENROBÉ")))))</f>
        <v>NON SOUDÉ</v>
      </c>
      <c r="O418" s="80"/>
      <c r="P418" s="82" t="n">
        <f aca="false">IF(C418="","",IFERROR(MATCH(Q418,'CARNET DE SOUDURE'!$AW$7:$AW$3006,0),""))</f>
        <v>412</v>
      </c>
      <c r="Q418" s="82" t="str">
        <f aca="false">IF(C418="","",B418&amp;"|"&amp;C418)</f>
        <v>MFD-ISW → MFD-CPF|JN°412</v>
      </c>
    </row>
    <row r="419" customFormat="false" ht="74.6" hidden="false" customHeight="false" outlineLevel="0" collapsed="false">
      <c r="A419" s="82" t="n">
        <f aca="false">IF(C419="","",ROW()-6)</f>
        <v>413</v>
      </c>
      <c r="B419" s="80" t="s">
        <v>110</v>
      </c>
      <c r="C419" s="113" t="s">
        <v>523</v>
      </c>
      <c r="D419" s="82" t="str">
        <f aca="false">IF(OR(C419="",P419=""),"",INDEX('CARNET DE SOUDURE'!$D$7:$D$3006,P419)&amp;"")</f>
        <v/>
      </c>
      <c r="E419" s="114" t="str">
        <f aca="false">IF(OR(C419="",P419=""),"",IF(INDEX('CARNET DE SOUDURE'!$U$7:$U$3006,P419)="","",INDEX('CARNET DE SOUDURE'!$U$7:$U$3006,P419)))</f>
        <v/>
      </c>
      <c r="F419" s="82" t="str">
        <f aca="false">IF(OR(C419="",P419=""),"",INDEX('CARNET DE SOUDURE'!$AP$7:$AP$3006,P419))</f>
        <v/>
      </c>
      <c r="G419" s="82" t="str">
        <f aca="false">IF(C419="","",IF(P419="","NJ INCONNU",INDEX('CARNET DE SOUDURE'!$AQ$7:$AQ$3006,P419)))</f>
        <v>À SOUDER</v>
      </c>
      <c r="H419" s="82" t="str">
        <f aca="false">IF(C419="","",IF(G419="ACCEPTÉ","OUI","NON"))</f>
        <v>NON</v>
      </c>
      <c r="I419" s="83"/>
      <c r="J419" s="80"/>
      <c r="K419" s="81"/>
      <c r="L419" s="81"/>
      <c r="M419" s="81"/>
      <c r="N419" s="84" t="str">
        <f aca="false">IF(C419="","",IF(P419="","NJ INCONNU",IF(I419="",IF(H419="OUI","À ENROBER",IF(G419="À SOUDER","NON SOUDÉ","EN ATTENTE RT")),IF(L419="R","À REPRENDRE",IF(H419&lt;&gt;"OUI","⚠ ENROBÉ AVANT ACCEPTATION RT","ENROBÉ")))))</f>
        <v>NON SOUDÉ</v>
      </c>
      <c r="O419" s="80"/>
      <c r="P419" s="82" t="n">
        <f aca="false">IF(C419="","",IFERROR(MATCH(Q419,'CARNET DE SOUDURE'!$AW$7:$AW$3006,0),""))</f>
        <v>413</v>
      </c>
      <c r="Q419" s="82" t="str">
        <f aca="false">IF(C419="","",B419&amp;"|"&amp;C419)</f>
        <v>MFD-ISW → MFD-CPF|JN°413</v>
      </c>
    </row>
    <row r="420" customFormat="false" ht="74.6" hidden="false" customHeight="false" outlineLevel="0" collapsed="false">
      <c r="A420" s="82" t="n">
        <f aca="false">IF(C420="","",ROW()-6)</f>
        <v>414</v>
      </c>
      <c r="B420" s="80" t="s">
        <v>110</v>
      </c>
      <c r="C420" s="113" t="s">
        <v>524</v>
      </c>
      <c r="D420" s="82" t="str">
        <f aca="false">IF(OR(C420="",P420=""),"",INDEX('CARNET DE SOUDURE'!$D$7:$D$3006,P420)&amp;"")</f>
        <v/>
      </c>
      <c r="E420" s="114" t="str">
        <f aca="false">IF(OR(C420="",P420=""),"",IF(INDEX('CARNET DE SOUDURE'!$U$7:$U$3006,P420)="","",INDEX('CARNET DE SOUDURE'!$U$7:$U$3006,P420)))</f>
        <v/>
      </c>
      <c r="F420" s="82" t="str">
        <f aca="false">IF(OR(C420="",P420=""),"",INDEX('CARNET DE SOUDURE'!$AP$7:$AP$3006,P420))</f>
        <v/>
      </c>
      <c r="G420" s="82" t="str">
        <f aca="false">IF(C420="","",IF(P420="","NJ INCONNU",INDEX('CARNET DE SOUDURE'!$AQ$7:$AQ$3006,P420)))</f>
        <v>À SOUDER</v>
      </c>
      <c r="H420" s="82" t="str">
        <f aca="false">IF(C420="","",IF(G420="ACCEPTÉ","OUI","NON"))</f>
        <v>NON</v>
      </c>
      <c r="I420" s="83"/>
      <c r="J420" s="80"/>
      <c r="K420" s="81"/>
      <c r="L420" s="81"/>
      <c r="M420" s="81"/>
      <c r="N420" s="84" t="str">
        <f aca="false">IF(C420="","",IF(P420="","NJ INCONNU",IF(I420="",IF(H420="OUI","À ENROBER",IF(G420="À SOUDER","NON SOUDÉ","EN ATTENTE RT")),IF(L420="R","À REPRENDRE",IF(H420&lt;&gt;"OUI","⚠ ENROBÉ AVANT ACCEPTATION RT","ENROBÉ")))))</f>
        <v>NON SOUDÉ</v>
      </c>
      <c r="O420" s="80"/>
      <c r="P420" s="82" t="n">
        <f aca="false">IF(C420="","",IFERROR(MATCH(Q420,'CARNET DE SOUDURE'!$AW$7:$AW$3006,0),""))</f>
        <v>414</v>
      </c>
      <c r="Q420" s="82" t="str">
        <f aca="false">IF(C420="","",B420&amp;"|"&amp;C420)</f>
        <v>MFD-ISW → MFD-CPF|JN°414</v>
      </c>
    </row>
    <row r="421" customFormat="false" ht="74.6" hidden="false" customHeight="false" outlineLevel="0" collapsed="false">
      <c r="A421" s="82" t="n">
        <f aca="false">IF(C421="","",ROW()-6)</f>
        <v>415</v>
      </c>
      <c r="B421" s="80" t="s">
        <v>110</v>
      </c>
      <c r="C421" s="113" t="s">
        <v>525</v>
      </c>
      <c r="D421" s="82" t="str">
        <f aca="false">IF(OR(C421="",P421=""),"",INDEX('CARNET DE SOUDURE'!$D$7:$D$3006,P421)&amp;"")</f>
        <v/>
      </c>
      <c r="E421" s="114" t="str">
        <f aca="false">IF(OR(C421="",P421=""),"",IF(INDEX('CARNET DE SOUDURE'!$U$7:$U$3006,P421)="","",INDEX('CARNET DE SOUDURE'!$U$7:$U$3006,P421)))</f>
        <v/>
      </c>
      <c r="F421" s="82" t="str">
        <f aca="false">IF(OR(C421="",P421=""),"",INDEX('CARNET DE SOUDURE'!$AP$7:$AP$3006,P421))</f>
        <v/>
      </c>
      <c r="G421" s="82" t="str">
        <f aca="false">IF(C421="","",IF(P421="","NJ INCONNU",INDEX('CARNET DE SOUDURE'!$AQ$7:$AQ$3006,P421)))</f>
        <v>À SOUDER</v>
      </c>
      <c r="H421" s="82" t="str">
        <f aca="false">IF(C421="","",IF(G421="ACCEPTÉ","OUI","NON"))</f>
        <v>NON</v>
      </c>
      <c r="I421" s="83"/>
      <c r="J421" s="80"/>
      <c r="K421" s="81"/>
      <c r="L421" s="81"/>
      <c r="M421" s="81"/>
      <c r="N421" s="84" t="str">
        <f aca="false">IF(C421="","",IF(P421="","NJ INCONNU",IF(I421="",IF(H421="OUI","À ENROBER",IF(G421="À SOUDER","NON SOUDÉ","EN ATTENTE RT")),IF(L421="R","À REPRENDRE",IF(H421&lt;&gt;"OUI","⚠ ENROBÉ AVANT ACCEPTATION RT","ENROBÉ")))))</f>
        <v>NON SOUDÉ</v>
      </c>
      <c r="O421" s="80"/>
      <c r="P421" s="82" t="n">
        <f aca="false">IF(C421="","",IFERROR(MATCH(Q421,'CARNET DE SOUDURE'!$AW$7:$AW$3006,0),""))</f>
        <v>415</v>
      </c>
      <c r="Q421" s="82" t="str">
        <f aca="false">IF(C421="","",B421&amp;"|"&amp;C421)</f>
        <v>MFD-ISW → MFD-CPF|JN°415</v>
      </c>
    </row>
    <row r="422" customFormat="false" ht="74.6" hidden="false" customHeight="false" outlineLevel="0" collapsed="false">
      <c r="A422" s="82" t="n">
        <f aca="false">IF(C422="","",ROW()-6)</f>
        <v>416</v>
      </c>
      <c r="B422" s="80" t="s">
        <v>110</v>
      </c>
      <c r="C422" s="113" t="s">
        <v>526</v>
      </c>
      <c r="D422" s="82" t="str">
        <f aca="false">IF(OR(C422="",P422=""),"",INDEX('CARNET DE SOUDURE'!$D$7:$D$3006,P422)&amp;"")</f>
        <v/>
      </c>
      <c r="E422" s="114" t="str">
        <f aca="false">IF(OR(C422="",P422=""),"",IF(INDEX('CARNET DE SOUDURE'!$U$7:$U$3006,P422)="","",INDEX('CARNET DE SOUDURE'!$U$7:$U$3006,P422)))</f>
        <v/>
      </c>
      <c r="F422" s="82" t="str">
        <f aca="false">IF(OR(C422="",P422=""),"",INDEX('CARNET DE SOUDURE'!$AP$7:$AP$3006,P422))</f>
        <v/>
      </c>
      <c r="G422" s="82" t="str">
        <f aca="false">IF(C422="","",IF(P422="","NJ INCONNU",INDEX('CARNET DE SOUDURE'!$AQ$7:$AQ$3006,P422)))</f>
        <v>À SOUDER</v>
      </c>
      <c r="H422" s="82" t="str">
        <f aca="false">IF(C422="","",IF(G422="ACCEPTÉ","OUI","NON"))</f>
        <v>NON</v>
      </c>
      <c r="I422" s="83"/>
      <c r="J422" s="80"/>
      <c r="K422" s="81"/>
      <c r="L422" s="81"/>
      <c r="M422" s="81"/>
      <c r="N422" s="84" t="str">
        <f aca="false">IF(C422="","",IF(P422="","NJ INCONNU",IF(I422="",IF(H422="OUI","À ENROBER",IF(G422="À SOUDER","NON SOUDÉ","EN ATTENTE RT")),IF(L422="R","À REPRENDRE",IF(H422&lt;&gt;"OUI","⚠ ENROBÉ AVANT ACCEPTATION RT","ENROBÉ")))))</f>
        <v>NON SOUDÉ</v>
      </c>
      <c r="O422" s="80"/>
      <c r="P422" s="82" t="n">
        <f aca="false">IF(C422="","",IFERROR(MATCH(Q422,'CARNET DE SOUDURE'!$AW$7:$AW$3006,0),""))</f>
        <v>416</v>
      </c>
      <c r="Q422" s="82" t="str">
        <f aca="false">IF(C422="","",B422&amp;"|"&amp;C422)</f>
        <v>MFD-ISW → MFD-CPF|JN°416</v>
      </c>
    </row>
    <row r="423" customFormat="false" ht="74.6" hidden="false" customHeight="false" outlineLevel="0" collapsed="false">
      <c r="A423" s="82" t="n">
        <f aca="false">IF(C423="","",ROW()-6)</f>
        <v>417</v>
      </c>
      <c r="B423" s="80" t="s">
        <v>110</v>
      </c>
      <c r="C423" s="113" t="s">
        <v>527</v>
      </c>
      <c r="D423" s="82" t="str">
        <f aca="false">IF(OR(C423="",P423=""),"",INDEX('CARNET DE SOUDURE'!$D$7:$D$3006,P423)&amp;"")</f>
        <v/>
      </c>
      <c r="E423" s="114" t="str">
        <f aca="false">IF(OR(C423="",P423=""),"",IF(INDEX('CARNET DE SOUDURE'!$U$7:$U$3006,P423)="","",INDEX('CARNET DE SOUDURE'!$U$7:$U$3006,P423)))</f>
        <v/>
      </c>
      <c r="F423" s="82" t="str">
        <f aca="false">IF(OR(C423="",P423=""),"",INDEX('CARNET DE SOUDURE'!$AP$7:$AP$3006,P423))</f>
        <v/>
      </c>
      <c r="G423" s="82" t="str">
        <f aca="false">IF(C423="","",IF(P423="","NJ INCONNU",INDEX('CARNET DE SOUDURE'!$AQ$7:$AQ$3006,P423)))</f>
        <v>À SOUDER</v>
      </c>
      <c r="H423" s="82" t="str">
        <f aca="false">IF(C423="","",IF(G423="ACCEPTÉ","OUI","NON"))</f>
        <v>NON</v>
      </c>
      <c r="I423" s="83"/>
      <c r="J423" s="80"/>
      <c r="K423" s="81"/>
      <c r="L423" s="81"/>
      <c r="M423" s="81"/>
      <c r="N423" s="84" t="str">
        <f aca="false">IF(C423="","",IF(P423="","NJ INCONNU",IF(I423="",IF(H423="OUI","À ENROBER",IF(G423="À SOUDER","NON SOUDÉ","EN ATTENTE RT")),IF(L423="R","À REPRENDRE",IF(H423&lt;&gt;"OUI","⚠ ENROBÉ AVANT ACCEPTATION RT","ENROBÉ")))))</f>
        <v>NON SOUDÉ</v>
      </c>
      <c r="O423" s="80"/>
      <c r="P423" s="82" t="n">
        <f aca="false">IF(C423="","",IFERROR(MATCH(Q423,'CARNET DE SOUDURE'!$AW$7:$AW$3006,0),""))</f>
        <v>417</v>
      </c>
      <c r="Q423" s="82" t="str">
        <f aca="false">IF(C423="","",B423&amp;"|"&amp;C423)</f>
        <v>MFD-ISW → MFD-CPF|JN°417</v>
      </c>
    </row>
    <row r="424" customFormat="false" ht="74.6" hidden="false" customHeight="false" outlineLevel="0" collapsed="false">
      <c r="A424" s="82" t="n">
        <f aca="false">IF(C424="","",ROW()-6)</f>
        <v>418</v>
      </c>
      <c r="B424" s="80" t="s">
        <v>110</v>
      </c>
      <c r="C424" s="113" t="s">
        <v>528</v>
      </c>
      <c r="D424" s="82" t="str">
        <f aca="false">IF(OR(C424="",P424=""),"",INDEX('CARNET DE SOUDURE'!$D$7:$D$3006,P424)&amp;"")</f>
        <v/>
      </c>
      <c r="E424" s="114" t="str">
        <f aca="false">IF(OR(C424="",P424=""),"",IF(INDEX('CARNET DE SOUDURE'!$U$7:$U$3006,P424)="","",INDEX('CARNET DE SOUDURE'!$U$7:$U$3006,P424)))</f>
        <v/>
      </c>
      <c r="F424" s="82" t="str">
        <f aca="false">IF(OR(C424="",P424=""),"",INDEX('CARNET DE SOUDURE'!$AP$7:$AP$3006,P424))</f>
        <v/>
      </c>
      <c r="G424" s="82" t="str">
        <f aca="false">IF(C424="","",IF(P424="","NJ INCONNU",INDEX('CARNET DE SOUDURE'!$AQ$7:$AQ$3006,P424)))</f>
        <v>À SOUDER</v>
      </c>
      <c r="H424" s="82" t="str">
        <f aca="false">IF(C424="","",IF(G424="ACCEPTÉ","OUI","NON"))</f>
        <v>NON</v>
      </c>
      <c r="I424" s="83"/>
      <c r="J424" s="80"/>
      <c r="K424" s="81"/>
      <c r="L424" s="81"/>
      <c r="M424" s="81"/>
      <c r="N424" s="84" t="str">
        <f aca="false">IF(C424="","",IF(P424="","NJ INCONNU",IF(I424="",IF(H424="OUI","À ENROBER",IF(G424="À SOUDER","NON SOUDÉ","EN ATTENTE RT")),IF(L424="R","À REPRENDRE",IF(H424&lt;&gt;"OUI","⚠ ENROBÉ AVANT ACCEPTATION RT","ENROBÉ")))))</f>
        <v>NON SOUDÉ</v>
      </c>
      <c r="O424" s="80"/>
      <c r="P424" s="82" t="n">
        <f aca="false">IF(C424="","",IFERROR(MATCH(Q424,'CARNET DE SOUDURE'!$AW$7:$AW$3006,0),""))</f>
        <v>418</v>
      </c>
      <c r="Q424" s="82" t="str">
        <f aca="false">IF(C424="","",B424&amp;"|"&amp;C424)</f>
        <v>MFD-ISW → MFD-CPF|JN°418</v>
      </c>
    </row>
    <row r="425" customFormat="false" ht="74.6" hidden="false" customHeight="false" outlineLevel="0" collapsed="false">
      <c r="A425" s="82" t="n">
        <f aca="false">IF(C425="","",ROW()-6)</f>
        <v>419</v>
      </c>
      <c r="B425" s="80" t="s">
        <v>110</v>
      </c>
      <c r="C425" s="113" t="s">
        <v>529</v>
      </c>
      <c r="D425" s="82" t="str">
        <f aca="false">IF(OR(C425="",P425=""),"",INDEX('CARNET DE SOUDURE'!$D$7:$D$3006,P425)&amp;"")</f>
        <v/>
      </c>
      <c r="E425" s="114" t="str">
        <f aca="false">IF(OR(C425="",P425=""),"",IF(INDEX('CARNET DE SOUDURE'!$U$7:$U$3006,P425)="","",INDEX('CARNET DE SOUDURE'!$U$7:$U$3006,P425)))</f>
        <v/>
      </c>
      <c r="F425" s="82" t="str">
        <f aca="false">IF(OR(C425="",P425=""),"",INDEX('CARNET DE SOUDURE'!$AP$7:$AP$3006,P425))</f>
        <v/>
      </c>
      <c r="G425" s="82" t="str">
        <f aca="false">IF(C425="","",IF(P425="","NJ INCONNU",INDEX('CARNET DE SOUDURE'!$AQ$7:$AQ$3006,P425)))</f>
        <v>À SOUDER</v>
      </c>
      <c r="H425" s="82" t="str">
        <f aca="false">IF(C425="","",IF(G425="ACCEPTÉ","OUI","NON"))</f>
        <v>NON</v>
      </c>
      <c r="I425" s="83"/>
      <c r="J425" s="80"/>
      <c r="K425" s="81"/>
      <c r="L425" s="81"/>
      <c r="M425" s="81"/>
      <c r="N425" s="84" t="str">
        <f aca="false">IF(C425="","",IF(P425="","NJ INCONNU",IF(I425="",IF(H425="OUI","À ENROBER",IF(G425="À SOUDER","NON SOUDÉ","EN ATTENTE RT")),IF(L425="R","À REPRENDRE",IF(H425&lt;&gt;"OUI","⚠ ENROBÉ AVANT ACCEPTATION RT","ENROBÉ")))))</f>
        <v>NON SOUDÉ</v>
      </c>
      <c r="O425" s="80"/>
      <c r="P425" s="82" t="n">
        <f aca="false">IF(C425="","",IFERROR(MATCH(Q425,'CARNET DE SOUDURE'!$AW$7:$AW$3006,0),""))</f>
        <v>419</v>
      </c>
      <c r="Q425" s="82" t="str">
        <f aca="false">IF(C425="","",B425&amp;"|"&amp;C425)</f>
        <v>MFD-ISW → MFD-CPF|JN°419</v>
      </c>
    </row>
    <row r="426" customFormat="false" ht="74.6" hidden="false" customHeight="false" outlineLevel="0" collapsed="false">
      <c r="A426" s="82" t="n">
        <f aca="false">IF(C426="","",ROW()-6)</f>
        <v>420</v>
      </c>
      <c r="B426" s="80" t="s">
        <v>110</v>
      </c>
      <c r="C426" s="113" t="s">
        <v>530</v>
      </c>
      <c r="D426" s="82" t="str">
        <f aca="false">IF(OR(C426="",P426=""),"",INDEX('CARNET DE SOUDURE'!$D$7:$D$3006,P426)&amp;"")</f>
        <v/>
      </c>
      <c r="E426" s="114" t="str">
        <f aca="false">IF(OR(C426="",P426=""),"",IF(INDEX('CARNET DE SOUDURE'!$U$7:$U$3006,P426)="","",INDEX('CARNET DE SOUDURE'!$U$7:$U$3006,P426)))</f>
        <v/>
      </c>
      <c r="F426" s="82" t="str">
        <f aca="false">IF(OR(C426="",P426=""),"",INDEX('CARNET DE SOUDURE'!$AP$7:$AP$3006,P426))</f>
        <v/>
      </c>
      <c r="G426" s="82" t="str">
        <f aca="false">IF(C426="","",IF(P426="","NJ INCONNU",INDEX('CARNET DE SOUDURE'!$AQ$7:$AQ$3006,P426)))</f>
        <v>À SOUDER</v>
      </c>
      <c r="H426" s="82" t="str">
        <f aca="false">IF(C426="","",IF(G426="ACCEPTÉ","OUI","NON"))</f>
        <v>NON</v>
      </c>
      <c r="I426" s="83"/>
      <c r="J426" s="80"/>
      <c r="K426" s="81"/>
      <c r="L426" s="81"/>
      <c r="M426" s="81"/>
      <c r="N426" s="84" t="str">
        <f aca="false">IF(C426="","",IF(P426="","NJ INCONNU",IF(I426="",IF(H426="OUI","À ENROBER",IF(G426="À SOUDER","NON SOUDÉ","EN ATTENTE RT")),IF(L426="R","À REPRENDRE",IF(H426&lt;&gt;"OUI","⚠ ENROBÉ AVANT ACCEPTATION RT","ENROBÉ")))))</f>
        <v>NON SOUDÉ</v>
      </c>
      <c r="O426" s="80"/>
      <c r="P426" s="82" t="n">
        <f aca="false">IF(C426="","",IFERROR(MATCH(Q426,'CARNET DE SOUDURE'!$AW$7:$AW$3006,0),""))</f>
        <v>420</v>
      </c>
      <c r="Q426" s="82" t="str">
        <f aca="false">IF(C426="","",B426&amp;"|"&amp;C426)</f>
        <v>MFD-ISW → MFD-CPF|JN°420</v>
      </c>
    </row>
    <row r="427" customFormat="false" ht="74.6" hidden="false" customHeight="false" outlineLevel="0" collapsed="false">
      <c r="A427" s="82" t="n">
        <f aca="false">IF(C427="","",ROW()-6)</f>
        <v>421</v>
      </c>
      <c r="B427" s="80" t="s">
        <v>110</v>
      </c>
      <c r="C427" s="113" t="s">
        <v>531</v>
      </c>
      <c r="D427" s="82" t="str">
        <f aca="false">IF(OR(C427="",P427=""),"",INDEX('CARNET DE SOUDURE'!$D$7:$D$3006,P427)&amp;"")</f>
        <v/>
      </c>
      <c r="E427" s="114" t="str">
        <f aca="false">IF(OR(C427="",P427=""),"",IF(INDEX('CARNET DE SOUDURE'!$U$7:$U$3006,P427)="","",INDEX('CARNET DE SOUDURE'!$U$7:$U$3006,P427)))</f>
        <v/>
      </c>
      <c r="F427" s="82" t="str">
        <f aca="false">IF(OR(C427="",P427=""),"",INDEX('CARNET DE SOUDURE'!$AP$7:$AP$3006,P427))</f>
        <v/>
      </c>
      <c r="G427" s="82" t="str">
        <f aca="false">IF(C427="","",IF(P427="","NJ INCONNU",INDEX('CARNET DE SOUDURE'!$AQ$7:$AQ$3006,P427)))</f>
        <v>À SOUDER</v>
      </c>
      <c r="H427" s="82" t="str">
        <f aca="false">IF(C427="","",IF(G427="ACCEPTÉ","OUI","NON"))</f>
        <v>NON</v>
      </c>
      <c r="I427" s="83"/>
      <c r="J427" s="80"/>
      <c r="K427" s="81"/>
      <c r="L427" s="81"/>
      <c r="M427" s="81"/>
      <c r="N427" s="84" t="str">
        <f aca="false">IF(C427="","",IF(P427="","NJ INCONNU",IF(I427="",IF(H427="OUI","À ENROBER",IF(G427="À SOUDER","NON SOUDÉ","EN ATTENTE RT")),IF(L427="R","À REPRENDRE",IF(H427&lt;&gt;"OUI","⚠ ENROBÉ AVANT ACCEPTATION RT","ENROBÉ")))))</f>
        <v>NON SOUDÉ</v>
      </c>
      <c r="O427" s="80"/>
      <c r="P427" s="82" t="n">
        <f aca="false">IF(C427="","",IFERROR(MATCH(Q427,'CARNET DE SOUDURE'!$AW$7:$AW$3006,0),""))</f>
        <v>421</v>
      </c>
      <c r="Q427" s="82" t="str">
        <f aca="false">IF(C427="","",B427&amp;"|"&amp;C427)</f>
        <v>MFD-ISW → MFD-CPF|JN°421</v>
      </c>
    </row>
    <row r="428" customFormat="false" ht="74.6" hidden="false" customHeight="false" outlineLevel="0" collapsed="false">
      <c r="A428" s="82" t="n">
        <f aca="false">IF(C428="","",ROW()-6)</f>
        <v>422</v>
      </c>
      <c r="B428" s="80" t="s">
        <v>110</v>
      </c>
      <c r="C428" s="113" t="s">
        <v>532</v>
      </c>
      <c r="D428" s="82" t="str">
        <f aca="false">IF(OR(C428="",P428=""),"",INDEX('CARNET DE SOUDURE'!$D$7:$D$3006,P428)&amp;"")</f>
        <v/>
      </c>
      <c r="E428" s="114" t="str">
        <f aca="false">IF(OR(C428="",P428=""),"",IF(INDEX('CARNET DE SOUDURE'!$U$7:$U$3006,P428)="","",INDEX('CARNET DE SOUDURE'!$U$7:$U$3006,P428)))</f>
        <v/>
      </c>
      <c r="F428" s="82" t="str">
        <f aca="false">IF(OR(C428="",P428=""),"",INDEX('CARNET DE SOUDURE'!$AP$7:$AP$3006,P428))</f>
        <v/>
      </c>
      <c r="G428" s="82" t="str">
        <f aca="false">IF(C428="","",IF(P428="","NJ INCONNU",INDEX('CARNET DE SOUDURE'!$AQ$7:$AQ$3006,P428)))</f>
        <v>À SOUDER</v>
      </c>
      <c r="H428" s="82" t="str">
        <f aca="false">IF(C428="","",IF(G428="ACCEPTÉ","OUI","NON"))</f>
        <v>NON</v>
      </c>
      <c r="I428" s="83"/>
      <c r="J428" s="80"/>
      <c r="K428" s="81"/>
      <c r="L428" s="81"/>
      <c r="M428" s="81"/>
      <c r="N428" s="84" t="str">
        <f aca="false">IF(C428="","",IF(P428="","NJ INCONNU",IF(I428="",IF(H428="OUI","À ENROBER",IF(G428="À SOUDER","NON SOUDÉ","EN ATTENTE RT")),IF(L428="R","À REPRENDRE",IF(H428&lt;&gt;"OUI","⚠ ENROBÉ AVANT ACCEPTATION RT","ENROBÉ")))))</f>
        <v>NON SOUDÉ</v>
      </c>
      <c r="O428" s="80"/>
      <c r="P428" s="82" t="n">
        <f aca="false">IF(C428="","",IFERROR(MATCH(Q428,'CARNET DE SOUDURE'!$AW$7:$AW$3006,0),""))</f>
        <v>422</v>
      </c>
      <c r="Q428" s="82" t="str">
        <f aca="false">IF(C428="","",B428&amp;"|"&amp;C428)</f>
        <v>MFD-ISW → MFD-CPF|JN°422</v>
      </c>
    </row>
    <row r="429" customFormat="false" ht="74.6" hidden="false" customHeight="false" outlineLevel="0" collapsed="false">
      <c r="A429" s="82" t="n">
        <f aca="false">IF(C429="","",ROW()-6)</f>
        <v>423</v>
      </c>
      <c r="B429" s="80" t="s">
        <v>110</v>
      </c>
      <c r="C429" s="113" t="s">
        <v>533</v>
      </c>
      <c r="D429" s="82" t="str">
        <f aca="false">IF(OR(C429="",P429=""),"",INDEX('CARNET DE SOUDURE'!$D$7:$D$3006,P429)&amp;"")</f>
        <v/>
      </c>
      <c r="E429" s="114" t="str">
        <f aca="false">IF(OR(C429="",P429=""),"",IF(INDEX('CARNET DE SOUDURE'!$U$7:$U$3006,P429)="","",INDEX('CARNET DE SOUDURE'!$U$7:$U$3006,P429)))</f>
        <v/>
      </c>
      <c r="F429" s="82" t="str">
        <f aca="false">IF(OR(C429="",P429=""),"",INDEX('CARNET DE SOUDURE'!$AP$7:$AP$3006,P429))</f>
        <v/>
      </c>
      <c r="G429" s="82" t="str">
        <f aca="false">IF(C429="","",IF(P429="","NJ INCONNU",INDEX('CARNET DE SOUDURE'!$AQ$7:$AQ$3006,P429)))</f>
        <v>À SOUDER</v>
      </c>
      <c r="H429" s="82" t="str">
        <f aca="false">IF(C429="","",IF(G429="ACCEPTÉ","OUI","NON"))</f>
        <v>NON</v>
      </c>
      <c r="I429" s="83"/>
      <c r="J429" s="80"/>
      <c r="K429" s="81"/>
      <c r="L429" s="81"/>
      <c r="M429" s="81"/>
      <c r="N429" s="84" t="str">
        <f aca="false">IF(C429="","",IF(P429="","NJ INCONNU",IF(I429="",IF(H429="OUI","À ENROBER",IF(G429="À SOUDER","NON SOUDÉ","EN ATTENTE RT")),IF(L429="R","À REPRENDRE",IF(H429&lt;&gt;"OUI","⚠ ENROBÉ AVANT ACCEPTATION RT","ENROBÉ")))))</f>
        <v>NON SOUDÉ</v>
      </c>
      <c r="O429" s="80"/>
      <c r="P429" s="82" t="n">
        <f aca="false">IF(C429="","",IFERROR(MATCH(Q429,'CARNET DE SOUDURE'!$AW$7:$AW$3006,0),""))</f>
        <v>423</v>
      </c>
      <c r="Q429" s="82" t="str">
        <f aca="false">IF(C429="","",B429&amp;"|"&amp;C429)</f>
        <v>MFD-ISW → MFD-CPF|JN°423</v>
      </c>
    </row>
    <row r="430" customFormat="false" ht="74.6" hidden="false" customHeight="false" outlineLevel="0" collapsed="false">
      <c r="A430" s="82" t="n">
        <f aca="false">IF(C430="","",ROW()-6)</f>
        <v>424</v>
      </c>
      <c r="B430" s="80" t="s">
        <v>110</v>
      </c>
      <c r="C430" s="113" t="s">
        <v>534</v>
      </c>
      <c r="D430" s="82" t="str">
        <f aca="false">IF(OR(C430="",P430=""),"",INDEX('CARNET DE SOUDURE'!$D$7:$D$3006,P430)&amp;"")</f>
        <v/>
      </c>
      <c r="E430" s="114" t="str">
        <f aca="false">IF(OR(C430="",P430=""),"",IF(INDEX('CARNET DE SOUDURE'!$U$7:$U$3006,P430)="","",INDEX('CARNET DE SOUDURE'!$U$7:$U$3006,P430)))</f>
        <v/>
      </c>
      <c r="F430" s="82" t="str">
        <f aca="false">IF(OR(C430="",P430=""),"",INDEX('CARNET DE SOUDURE'!$AP$7:$AP$3006,P430))</f>
        <v/>
      </c>
      <c r="G430" s="82" t="str">
        <f aca="false">IF(C430="","",IF(P430="","NJ INCONNU",INDEX('CARNET DE SOUDURE'!$AQ$7:$AQ$3006,P430)))</f>
        <v>À SOUDER</v>
      </c>
      <c r="H430" s="82" t="str">
        <f aca="false">IF(C430="","",IF(G430="ACCEPTÉ","OUI","NON"))</f>
        <v>NON</v>
      </c>
      <c r="I430" s="83"/>
      <c r="J430" s="80"/>
      <c r="K430" s="81"/>
      <c r="L430" s="81"/>
      <c r="M430" s="81"/>
      <c r="N430" s="84" t="str">
        <f aca="false">IF(C430="","",IF(P430="","NJ INCONNU",IF(I430="",IF(H430="OUI","À ENROBER",IF(G430="À SOUDER","NON SOUDÉ","EN ATTENTE RT")),IF(L430="R","À REPRENDRE",IF(H430&lt;&gt;"OUI","⚠ ENROBÉ AVANT ACCEPTATION RT","ENROBÉ")))))</f>
        <v>NON SOUDÉ</v>
      </c>
      <c r="O430" s="80"/>
      <c r="P430" s="82" t="n">
        <f aca="false">IF(C430="","",IFERROR(MATCH(Q430,'CARNET DE SOUDURE'!$AW$7:$AW$3006,0),""))</f>
        <v>424</v>
      </c>
      <c r="Q430" s="82" t="str">
        <f aca="false">IF(C430="","",B430&amp;"|"&amp;C430)</f>
        <v>MFD-ISW → MFD-CPF|JN°424</v>
      </c>
    </row>
    <row r="431" customFormat="false" ht="74.6" hidden="false" customHeight="false" outlineLevel="0" collapsed="false">
      <c r="A431" s="82" t="n">
        <f aca="false">IF(C431="","",ROW()-6)</f>
        <v>425</v>
      </c>
      <c r="B431" s="80" t="s">
        <v>110</v>
      </c>
      <c r="C431" s="113" t="s">
        <v>535</v>
      </c>
      <c r="D431" s="82" t="str">
        <f aca="false">IF(OR(C431="",P431=""),"",INDEX('CARNET DE SOUDURE'!$D$7:$D$3006,P431)&amp;"")</f>
        <v/>
      </c>
      <c r="E431" s="114" t="str">
        <f aca="false">IF(OR(C431="",P431=""),"",IF(INDEX('CARNET DE SOUDURE'!$U$7:$U$3006,P431)="","",INDEX('CARNET DE SOUDURE'!$U$7:$U$3006,P431)))</f>
        <v/>
      </c>
      <c r="F431" s="82" t="str">
        <f aca="false">IF(OR(C431="",P431=""),"",INDEX('CARNET DE SOUDURE'!$AP$7:$AP$3006,P431))</f>
        <v/>
      </c>
      <c r="G431" s="82" t="str">
        <f aca="false">IF(C431="","",IF(P431="","NJ INCONNU",INDEX('CARNET DE SOUDURE'!$AQ$7:$AQ$3006,P431)))</f>
        <v>À SOUDER</v>
      </c>
      <c r="H431" s="82" t="str">
        <f aca="false">IF(C431="","",IF(G431="ACCEPTÉ","OUI","NON"))</f>
        <v>NON</v>
      </c>
      <c r="I431" s="83"/>
      <c r="J431" s="80"/>
      <c r="K431" s="81"/>
      <c r="L431" s="81"/>
      <c r="M431" s="81"/>
      <c r="N431" s="84" t="str">
        <f aca="false">IF(C431="","",IF(P431="","NJ INCONNU",IF(I431="",IF(H431="OUI","À ENROBER",IF(G431="À SOUDER","NON SOUDÉ","EN ATTENTE RT")),IF(L431="R","À REPRENDRE",IF(H431&lt;&gt;"OUI","⚠ ENROBÉ AVANT ACCEPTATION RT","ENROBÉ")))))</f>
        <v>NON SOUDÉ</v>
      </c>
      <c r="O431" s="80"/>
      <c r="P431" s="82" t="n">
        <f aca="false">IF(C431="","",IFERROR(MATCH(Q431,'CARNET DE SOUDURE'!$AW$7:$AW$3006,0),""))</f>
        <v>425</v>
      </c>
      <c r="Q431" s="82" t="str">
        <f aca="false">IF(C431="","",B431&amp;"|"&amp;C431)</f>
        <v>MFD-ISW → MFD-CPF|JN°425</v>
      </c>
    </row>
    <row r="432" customFormat="false" ht="74.6" hidden="false" customHeight="false" outlineLevel="0" collapsed="false">
      <c r="A432" s="82" t="n">
        <f aca="false">IF(C432="","",ROW()-6)</f>
        <v>426</v>
      </c>
      <c r="B432" s="80" t="s">
        <v>110</v>
      </c>
      <c r="C432" s="113" t="s">
        <v>536</v>
      </c>
      <c r="D432" s="82" t="str">
        <f aca="false">IF(OR(C432="",P432=""),"",INDEX('CARNET DE SOUDURE'!$D$7:$D$3006,P432)&amp;"")</f>
        <v/>
      </c>
      <c r="E432" s="114" t="str">
        <f aca="false">IF(OR(C432="",P432=""),"",IF(INDEX('CARNET DE SOUDURE'!$U$7:$U$3006,P432)="","",INDEX('CARNET DE SOUDURE'!$U$7:$U$3006,P432)))</f>
        <v/>
      </c>
      <c r="F432" s="82" t="str">
        <f aca="false">IF(OR(C432="",P432=""),"",INDEX('CARNET DE SOUDURE'!$AP$7:$AP$3006,P432))</f>
        <v/>
      </c>
      <c r="G432" s="82" t="str">
        <f aca="false">IF(C432="","",IF(P432="","NJ INCONNU",INDEX('CARNET DE SOUDURE'!$AQ$7:$AQ$3006,P432)))</f>
        <v>À SOUDER</v>
      </c>
      <c r="H432" s="82" t="str">
        <f aca="false">IF(C432="","",IF(G432="ACCEPTÉ","OUI","NON"))</f>
        <v>NON</v>
      </c>
      <c r="I432" s="83"/>
      <c r="J432" s="80"/>
      <c r="K432" s="81"/>
      <c r="L432" s="81"/>
      <c r="M432" s="81"/>
      <c r="N432" s="84" t="str">
        <f aca="false">IF(C432="","",IF(P432="","NJ INCONNU",IF(I432="",IF(H432="OUI","À ENROBER",IF(G432="À SOUDER","NON SOUDÉ","EN ATTENTE RT")),IF(L432="R","À REPRENDRE",IF(H432&lt;&gt;"OUI","⚠ ENROBÉ AVANT ACCEPTATION RT","ENROBÉ")))))</f>
        <v>NON SOUDÉ</v>
      </c>
      <c r="O432" s="80"/>
      <c r="P432" s="82" t="n">
        <f aca="false">IF(C432="","",IFERROR(MATCH(Q432,'CARNET DE SOUDURE'!$AW$7:$AW$3006,0),""))</f>
        <v>426</v>
      </c>
      <c r="Q432" s="82" t="str">
        <f aca="false">IF(C432="","",B432&amp;"|"&amp;C432)</f>
        <v>MFD-ISW → MFD-CPF|JN°426</v>
      </c>
    </row>
    <row r="433" customFormat="false" ht="74.6" hidden="false" customHeight="false" outlineLevel="0" collapsed="false">
      <c r="A433" s="82" t="n">
        <f aca="false">IF(C433="","",ROW()-6)</f>
        <v>427</v>
      </c>
      <c r="B433" s="80" t="s">
        <v>110</v>
      </c>
      <c r="C433" s="113" t="s">
        <v>537</v>
      </c>
      <c r="D433" s="82" t="str">
        <f aca="false">IF(OR(C433="",P433=""),"",INDEX('CARNET DE SOUDURE'!$D$7:$D$3006,P433)&amp;"")</f>
        <v/>
      </c>
      <c r="E433" s="114" t="str">
        <f aca="false">IF(OR(C433="",P433=""),"",IF(INDEX('CARNET DE SOUDURE'!$U$7:$U$3006,P433)="","",INDEX('CARNET DE SOUDURE'!$U$7:$U$3006,P433)))</f>
        <v/>
      </c>
      <c r="F433" s="82" t="str">
        <f aca="false">IF(OR(C433="",P433=""),"",INDEX('CARNET DE SOUDURE'!$AP$7:$AP$3006,P433))</f>
        <v/>
      </c>
      <c r="G433" s="82" t="str">
        <f aca="false">IF(C433="","",IF(P433="","NJ INCONNU",INDEX('CARNET DE SOUDURE'!$AQ$7:$AQ$3006,P433)))</f>
        <v>À SOUDER</v>
      </c>
      <c r="H433" s="82" t="str">
        <f aca="false">IF(C433="","",IF(G433="ACCEPTÉ","OUI","NON"))</f>
        <v>NON</v>
      </c>
      <c r="I433" s="83"/>
      <c r="J433" s="80"/>
      <c r="K433" s="81"/>
      <c r="L433" s="81"/>
      <c r="M433" s="81"/>
      <c r="N433" s="84" t="str">
        <f aca="false">IF(C433="","",IF(P433="","NJ INCONNU",IF(I433="",IF(H433="OUI","À ENROBER",IF(G433="À SOUDER","NON SOUDÉ","EN ATTENTE RT")),IF(L433="R","À REPRENDRE",IF(H433&lt;&gt;"OUI","⚠ ENROBÉ AVANT ACCEPTATION RT","ENROBÉ")))))</f>
        <v>NON SOUDÉ</v>
      </c>
      <c r="O433" s="80"/>
      <c r="P433" s="82" t="n">
        <f aca="false">IF(C433="","",IFERROR(MATCH(Q433,'CARNET DE SOUDURE'!$AW$7:$AW$3006,0),""))</f>
        <v>427</v>
      </c>
      <c r="Q433" s="82" t="str">
        <f aca="false">IF(C433="","",B433&amp;"|"&amp;C433)</f>
        <v>MFD-ISW → MFD-CPF|JN°427</v>
      </c>
    </row>
    <row r="434" customFormat="false" ht="74.6" hidden="false" customHeight="false" outlineLevel="0" collapsed="false">
      <c r="A434" s="82" t="n">
        <f aca="false">IF(C434="","",ROW()-6)</f>
        <v>428</v>
      </c>
      <c r="B434" s="80" t="s">
        <v>110</v>
      </c>
      <c r="C434" s="113" t="s">
        <v>538</v>
      </c>
      <c r="D434" s="82" t="str">
        <f aca="false">IF(OR(C434="",P434=""),"",INDEX('CARNET DE SOUDURE'!$D$7:$D$3006,P434)&amp;"")</f>
        <v/>
      </c>
      <c r="E434" s="114" t="str">
        <f aca="false">IF(OR(C434="",P434=""),"",IF(INDEX('CARNET DE SOUDURE'!$U$7:$U$3006,P434)="","",INDEX('CARNET DE SOUDURE'!$U$7:$U$3006,P434)))</f>
        <v/>
      </c>
      <c r="F434" s="82" t="str">
        <f aca="false">IF(OR(C434="",P434=""),"",INDEX('CARNET DE SOUDURE'!$AP$7:$AP$3006,P434))</f>
        <v/>
      </c>
      <c r="G434" s="82" t="str">
        <f aca="false">IF(C434="","",IF(P434="","NJ INCONNU",INDEX('CARNET DE SOUDURE'!$AQ$7:$AQ$3006,P434)))</f>
        <v>À SOUDER</v>
      </c>
      <c r="H434" s="82" t="str">
        <f aca="false">IF(C434="","",IF(G434="ACCEPTÉ","OUI","NON"))</f>
        <v>NON</v>
      </c>
      <c r="I434" s="83"/>
      <c r="J434" s="80"/>
      <c r="K434" s="81"/>
      <c r="L434" s="81"/>
      <c r="M434" s="81"/>
      <c r="N434" s="84" t="str">
        <f aca="false">IF(C434="","",IF(P434="","NJ INCONNU",IF(I434="",IF(H434="OUI","À ENROBER",IF(G434="À SOUDER","NON SOUDÉ","EN ATTENTE RT")),IF(L434="R","À REPRENDRE",IF(H434&lt;&gt;"OUI","⚠ ENROBÉ AVANT ACCEPTATION RT","ENROBÉ")))))</f>
        <v>NON SOUDÉ</v>
      </c>
      <c r="O434" s="80"/>
      <c r="P434" s="82" t="n">
        <f aca="false">IF(C434="","",IFERROR(MATCH(Q434,'CARNET DE SOUDURE'!$AW$7:$AW$3006,0),""))</f>
        <v>428</v>
      </c>
      <c r="Q434" s="82" t="str">
        <f aca="false">IF(C434="","",B434&amp;"|"&amp;C434)</f>
        <v>MFD-ISW → MFD-CPF|JN°428</v>
      </c>
    </row>
    <row r="435" customFormat="false" ht="74.6" hidden="false" customHeight="false" outlineLevel="0" collapsed="false">
      <c r="A435" s="82" t="n">
        <f aca="false">IF(C435="","",ROW()-6)</f>
        <v>429</v>
      </c>
      <c r="B435" s="80" t="s">
        <v>110</v>
      </c>
      <c r="C435" s="113" t="s">
        <v>539</v>
      </c>
      <c r="D435" s="82" t="str">
        <f aca="false">IF(OR(C435="",P435=""),"",INDEX('CARNET DE SOUDURE'!$D$7:$D$3006,P435)&amp;"")</f>
        <v/>
      </c>
      <c r="E435" s="114" t="str">
        <f aca="false">IF(OR(C435="",P435=""),"",IF(INDEX('CARNET DE SOUDURE'!$U$7:$U$3006,P435)="","",INDEX('CARNET DE SOUDURE'!$U$7:$U$3006,P435)))</f>
        <v/>
      </c>
      <c r="F435" s="82" t="str">
        <f aca="false">IF(OR(C435="",P435=""),"",INDEX('CARNET DE SOUDURE'!$AP$7:$AP$3006,P435))</f>
        <v/>
      </c>
      <c r="G435" s="82" t="str">
        <f aca="false">IF(C435="","",IF(P435="","NJ INCONNU",INDEX('CARNET DE SOUDURE'!$AQ$7:$AQ$3006,P435)))</f>
        <v>À SOUDER</v>
      </c>
      <c r="H435" s="82" t="str">
        <f aca="false">IF(C435="","",IF(G435="ACCEPTÉ","OUI","NON"))</f>
        <v>NON</v>
      </c>
      <c r="I435" s="83"/>
      <c r="J435" s="80"/>
      <c r="K435" s="81"/>
      <c r="L435" s="81"/>
      <c r="M435" s="81"/>
      <c r="N435" s="84" t="str">
        <f aca="false">IF(C435="","",IF(P435="","NJ INCONNU",IF(I435="",IF(H435="OUI","À ENROBER",IF(G435="À SOUDER","NON SOUDÉ","EN ATTENTE RT")),IF(L435="R","À REPRENDRE",IF(H435&lt;&gt;"OUI","⚠ ENROBÉ AVANT ACCEPTATION RT","ENROBÉ")))))</f>
        <v>NON SOUDÉ</v>
      </c>
      <c r="O435" s="80"/>
      <c r="P435" s="82" t="n">
        <f aca="false">IF(C435="","",IFERROR(MATCH(Q435,'CARNET DE SOUDURE'!$AW$7:$AW$3006,0),""))</f>
        <v>429</v>
      </c>
      <c r="Q435" s="82" t="str">
        <f aca="false">IF(C435="","",B435&amp;"|"&amp;C435)</f>
        <v>MFD-ISW → MFD-CPF|JN°429</v>
      </c>
    </row>
    <row r="436" customFormat="false" ht="74.6" hidden="false" customHeight="false" outlineLevel="0" collapsed="false">
      <c r="A436" s="82" t="n">
        <f aca="false">IF(C436="","",ROW()-6)</f>
        <v>430</v>
      </c>
      <c r="B436" s="80" t="s">
        <v>110</v>
      </c>
      <c r="C436" s="113" t="s">
        <v>540</v>
      </c>
      <c r="D436" s="82" t="str">
        <f aca="false">IF(OR(C436="",P436=""),"",INDEX('CARNET DE SOUDURE'!$D$7:$D$3006,P436)&amp;"")</f>
        <v/>
      </c>
      <c r="E436" s="114" t="str">
        <f aca="false">IF(OR(C436="",P436=""),"",IF(INDEX('CARNET DE SOUDURE'!$U$7:$U$3006,P436)="","",INDEX('CARNET DE SOUDURE'!$U$7:$U$3006,P436)))</f>
        <v/>
      </c>
      <c r="F436" s="82" t="str">
        <f aca="false">IF(OR(C436="",P436=""),"",INDEX('CARNET DE SOUDURE'!$AP$7:$AP$3006,P436))</f>
        <v/>
      </c>
      <c r="G436" s="82" t="str">
        <f aca="false">IF(C436="","",IF(P436="","NJ INCONNU",INDEX('CARNET DE SOUDURE'!$AQ$7:$AQ$3006,P436)))</f>
        <v>À SOUDER</v>
      </c>
      <c r="H436" s="82" t="str">
        <f aca="false">IF(C436="","",IF(G436="ACCEPTÉ","OUI","NON"))</f>
        <v>NON</v>
      </c>
      <c r="I436" s="83"/>
      <c r="J436" s="80"/>
      <c r="K436" s="81"/>
      <c r="L436" s="81"/>
      <c r="M436" s="81"/>
      <c r="N436" s="84" t="str">
        <f aca="false">IF(C436="","",IF(P436="","NJ INCONNU",IF(I436="",IF(H436="OUI","À ENROBER",IF(G436="À SOUDER","NON SOUDÉ","EN ATTENTE RT")),IF(L436="R","À REPRENDRE",IF(H436&lt;&gt;"OUI","⚠ ENROBÉ AVANT ACCEPTATION RT","ENROBÉ")))))</f>
        <v>NON SOUDÉ</v>
      </c>
      <c r="O436" s="80"/>
      <c r="P436" s="82" t="n">
        <f aca="false">IF(C436="","",IFERROR(MATCH(Q436,'CARNET DE SOUDURE'!$AW$7:$AW$3006,0),""))</f>
        <v>430</v>
      </c>
      <c r="Q436" s="82" t="str">
        <f aca="false">IF(C436="","",B436&amp;"|"&amp;C436)</f>
        <v>MFD-ISW → MFD-CPF|JN°430</v>
      </c>
    </row>
    <row r="437" customFormat="false" ht="74.6" hidden="false" customHeight="false" outlineLevel="0" collapsed="false">
      <c r="A437" s="82" t="n">
        <f aca="false">IF(C437="","",ROW()-6)</f>
        <v>431</v>
      </c>
      <c r="B437" s="80" t="s">
        <v>110</v>
      </c>
      <c r="C437" s="113" t="s">
        <v>541</v>
      </c>
      <c r="D437" s="82" t="str">
        <f aca="false">IF(OR(C437="",P437=""),"",INDEX('CARNET DE SOUDURE'!$D$7:$D$3006,P437)&amp;"")</f>
        <v/>
      </c>
      <c r="E437" s="114" t="str">
        <f aca="false">IF(OR(C437="",P437=""),"",IF(INDEX('CARNET DE SOUDURE'!$U$7:$U$3006,P437)="","",INDEX('CARNET DE SOUDURE'!$U$7:$U$3006,P437)))</f>
        <v/>
      </c>
      <c r="F437" s="82" t="str">
        <f aca="false">IF(OR(C437="",P437=""),"",INDEX('CARNET DE SOUDURE'!$AP$7:$AP$3006,P437))</f>
        <v/>
      </c>
      <c r="G437" s="82" t="str">
        <f aca="false">IF(C437="","",IF(P437="","NJ INCONNU",INDEX('CARNET DE SOUDURE'!$AQ$7:$AQ$3006,P437)))</f>
        <v>À SOUDER</v>
      </c>
      <c r="H437" s="82" t="str">
        <f aca="false">IF(C437="","",IF(G437="ACCEPTÉ","OUI","NON"))</f>
        <v>NON</v>
      </c>
      <c r="I437" s="83"/>
      <c r="J437" s="80"/>
      <c r="K437" s="81"/>
      <c r="L437" s="81"/>
      <c r="M437" s="81"/>
      <c r="N437" s="84" t="str">
        <f aca="false">IF(C437="","",IF(P437="","NJ INCONNU",IF(I437="",IF(H437="OUI","À ENROBER",IF(G437="À SOUDER","NON SOUDÉ","EN ATTENTE RT")),IF(L437="R","À REPRENDRE",IF(H437&lt;&gt;"OUI","⚠ ENROBÉ AVANT ACCEPTATION RT","ENROBÉ")))))</f>
        <v>NON SOUDÉ</v>
      </c>
      <c r="O437" s="80"/>
      <c r="P437" s="82" t="n">
        <f aca="false">IF(C437="","",IFERROR(MATCH(Q437,'CARNET DE SOUDURE'!$AW$7:$AW$3006,0),""))</f>
        <v>431</v>
      </c>
      <c r="Q437" s="82" t="str">
        <f aca="false">IF(C437="","",B437&amp;"|"&amp;C437)</f>
        <v>MFD-ISW → MFD-CPF|JN°431</v>
      </c>
    </row>
    <row r="438" customFormat="false" ht="74.6" hidden="false" customHeight="false" outlineLevel="0" collapsed="false">
      <c r="A438" s="82" t="n">
        <f aca="false">IF(C438="","",ROW()-6)</f>
        <v>432</v>
      </c>
      <c r="B438" s="80" t="s">
        <v>110</v>
      </c>
      <c r="C438" s="113" t="s">
        <v>542</v>
      </c>
      <c r="D438" s="82" t="str">
        <f aca="false">IF(OR(C438="",P438=""),"",INDEX('CARNET DE SOUDURE'!$D$7:$D$3006,P438)&amp;"")</f>
        <v/>
      </c>
      <c r="E438" s="114" t="str">
        <f aca="false">IF(OR(C438="",P438=""),"",IF(INDEX('CARNET DE SOUDURE'!$U$7:$U$3006,P438)="","",INDEX('CARNET DE SOUDURE'!$U$7:$U$3006,P438)))</f>
        <v/>
      </c>
      <c r="F438" s="82" t="str">
        <f aca="false">IF(OR(C438="",P438=""),"",INDEX('CARNET DE SOUDURE'!$AP$7:$AP$3006,P438))</f>
        <v/>
      </c>
      <c r="G438" s="82" t="str">
        <f aca="false">IF(C438="","",IF(P438="","NJ INCONNU",INDEX('CARNET DE SOUDURE'!$AQ$7:$AQ$3006,P438)))</f>
        <v>À SOUDER</v>
      </c>
      <c r="H438" s="82" t="str">
        <f aca="false">IF(C438="","",IF(G438="ACCEPTÉ","OUI","NON"))</f>
        <v>NON</v>
      </c>
      <c r="I438" s="83"/>
      <c r="J438" s="80"/>
      <c r="K438" s="81"/>
      <c r="L438" s="81"/>
      <c r="M438" s="81"/>
      <c r="N438" s="84" t="str">
        <f aca="false">IF(C438="","",IF(P438="","NJ INCONNU",IF(I438="",IF(H438="OUI","À ENROBER",IF(G438="À SOUDER","NON SOUDÉ","EN ATTENTE RT")),IF(L438="R","À REPRENDRE",IF(H438&lt;&gt;"OUI","⚠ ENROBÉ AVANT ACCEPTATION RT","ENROBÉ")))))</f>
        <v>NON SOUDÉ</v>
      </c>
      <c r="O438" s="80"/>
      <c r="P438" s="82" t="n">
        <f aca="false">IF(C438="","",IFERROR(MATCH(Q438,'CARNET DE SOUDURE'!$AW$7:$AW$3006,0),""))</f>
        <v>432</v>
      </c>
      <c r="Q438" s="82" t="str">
        <f aca="false">IF(C438="","",B438&amp;"|"&amp;C438)</f>
        <v>MFD-ISW → MFD-CPF|JN°432</v>
      </c>
    </row>
    <row r="439" customFormat="false" ht="74.6" hidden="false" customHeight="false" outlineLevel="0" collapsed="false">
      <c r="A439" s="82" t="n">
        <f aca="false">IF(C439="","",ROW()-6)</f>
        <v>433</v>
      </c>
      <c r="B439" s="80" t="s">
        <v>110</v>
      </c>
      <c r="C439" s="113" t="s">
        <v>543</v>
      </c>
      <c r="D439" s="82" t="str">
        <f aca="false">IF(OR(C439="",P439=""),"",INDEX('CARNET DE SOUDURE'!$D$7:$D$3006,P439)&amp;"")</f>
        <v/>
      </c>
      <c r="E439" s="114" t="str">
        <f aca="false">IF(OR(C439="",P439=""),"",IF(INDEX('CARNET DE SOUDURE'!$U$7:$U$3006,P439)="","",INDEX('CARNET DE SOUDURE'!$U$7:$U$3006,P439)))</f>
        <v/>
      </c>
      <c r="F439" s="82" t="str">
        <f aca="false">IF(OR(C439="",P439=""),"",INDEX('CARNET DE SOUDURE'!$AP$7:$AP$3006,P439))</f>
        <v/>
      </c>
      <c r="G439" s="82" t="str">
        <f aca="false">IF(C439="","",IF(P439="","NJ INCONNU",INDEX('CARNET DE SOUDURE'!$AQ$7:$AQ$3006,P439)))</f>
        <v>À SOUDER</v>
      </c>
      <c r="H439" s="82" t="str">
        <f aca="false">IF(C439="","",IF(G439="ACCEPTÉ","OUI","NON"))</f>
        <v>NON</v>
      </c>
      <c r="I439" s="83"/>
      <c r="J439" s="80"/>
      <c r="K439" s="81"/>
      <c r="L439" s="81"/>
      <c r="M439" s="81"/>
      <c r="N439" s="84" t="str">
        <f aca="false">IF(C439="","",IF(P439="","NJ INCONNU",IF(I439="",IF(H439="OUI","À ENROBER",IF(G439="À SOUDER","NON SOUDÉ","EN ATTENTE RT")),IF(L439="R","À REPRENDRE",IF(H439&lt;&gt;"OUI","⚠ ENROBÉ AVANT ACCEPTATION RT","ENROBÉ")))))</f>
        <v>NON SOUDÉ</v>
      </c>
      <c r="O439" s="80"/>
      <c r="P439" s="82" t="n">
        <f aca="false">IF(C439="","",IFERROR(MATCH(Q439,'CARNET DE SOUDURE'!$AW$7:$AW$3006,0),""))</f>
        <v>433</v>
      </c>
      <c r="Q439" s="82" t="str">
        <f aca="false">IF(C439="","",B439&amp;"|"&amp;C439)</f>
        <v>MFD-ISW → MFD-CPF|JN°433</v>
      </c>
    </row>
    <row r="440" customFormat="false" ht="74.6" hidden="false" customHeight="false" outlineLevel="0" collapsed="false">
      <c r="A440" s="82" t="n">
        <f aca="false">IF(C440="","",ROW()-6)</f>
        <v>434</v>
      </c>
      <c r="B440" s="80" t="s">
        <v>110</v>
      </c>
      <c r="C440" s="113" t="s">
        <v>544</v>
      </c>
      <c r="D440" s="82" t="str">
        <f aca="false">IF(OR(C440="",P440=""),"",INDEX('CARNET DE SOUDURE'!$D$7:$D$3006,P440)&amp;"")</f>
        <v/>
      </c>
      <c r="E440" s="114" t="str">
        <f aca="false">IF(OR(C440="",P440=""),"",IF(INDEX('CARNET DE SOUDURE'!$U$7:$U$3006,P440)="","",INDEX('CARNET DE SOUDURE'!$U$7:$U$3006,P440)))</f>
        <v/>
      </c>
      <c r="F440" s="82" t="str">
        <f aca="false">IF(OR(C440="",P440=""),"",INDEX('CARNET DE SOUDURE'!$AP$7:$AP$3006,P440))</f>
        <v/>
      </c>
      <c r="G440" s="82" t="str">
        <f aca="false">IF(C440="","",IF(P440="","NJ INCONNU",INDEX('CARNET DE SOUDURE'!$AQ$7:$AQ$3006,P440)))</f>
        <v>À SOUDER</v>
      </c>
      <c r="H440" s="82" t="str">
        <f aca="false">IF(C440="","",IF(G440="ACCEPTÉ","OUI","NON"))</f>
        <v>NON</v>
      </c>
      <c r="I440" s="83"/>
      <c r="J440" s="80"/>
      <c r="K440" s="81"/>
      <c r="L440" s="81"/>
      <c r="M440" s="81"/>
      <c r="N440" s="84" t="str">
        <f aca="false">IF(C440="","",IF(P440="","NJ INCONNU",IF(I440="",IF(H440="OUI","À ENROBER",IF(G440="À SOUDER","NON SOUDÉ","EN ATTENTE RT")),IF(L440="R","À REPRENDRE",IF(H440&lt;&gt;"OUI","⚠ ENROBÉ AVANT ACCEPTATION RT","ENROBÉ")))))</f>
        <v>NON SOUDÉ</v>
      </c>
      <c r="O440" s="80"/>
      <c r="P440" s="82" t="n">
        <f aca="false">IF(C440="","",IFERROR(MATCH(Q440,'CARNET DE SOUDURE'!$AW$7:$AW$3006,0),""))</f>
        <v>434</v>
      </c>
      <c r="Q440" s="82" t="str">
        <f aca="false">IF(C440="","",B440&amp;"|"&amp;C440)</f>
        <v>MFD-ISW → MFD-CPF|JN°434</v>
      </c>
    </row>
    <row r="441" customFormat="false" ht="74.6" hidden="false" customHeight="false" outlineLevel="0" collapsed="false">
      <c r="A441" s="82" t="n">
        <f aca="false">IF(C441="","",ROW()-6)</f>
        <v>435</v>
      </c>
      <c r="B441" s="80" t="s">
        <v>110</v>
      </c>
      <c r="C441" s="113" t="s">
        <v>545</v>
      </c>
      <c r="D441" s="82" t="str">
        <f aca="false">IF(OR(C441="",P441=""),"",INDEX('CARNET DE SOUDURE'!$D$7:$D$3006,P441)&amp;"")</f>
        <v/>
      </c>
      <c r="E441" s="114" t="str">
        <f aca="false">IF(OR(C441="",P441=""),"",IF(INDEX('CARNET DE SOUDURE'!$U$7:$U$3006,P441)="","",INDEX('CARNET DE SOUDURE'!$U$7:$U$3006,P441)))</f>
        <v/>
      </c>
      <c r="F441" s="82" t="str">
        <f aca="false">IF(OR(C441="",P441=""),"",INDEX('CARNET DE SOUDURE'!$AP$7:$AP$3006,P441))</f>
        <v/>
      </c>
      <c r="G441" s="82" t="str">
        <f aca="false">IF(C441="","",IF(P441="","NJ INCONNU",INDEX('CARNET DE SOUDURE'!$AQ$7:$AQ$3006,P441)))</f>
        <v>À SOUDER</v>
      </c>
      <c r="H441" s="82" t="str">
        <f aca="false">IF(C441="","",IF(G441="ACCEPTÉ","OUI","NON"))</f>
        <v>NON</v>
      </c>
      <c r="I441" s="83"/>
      <c r="J441" s="80"/>
      <c r="K441" s="81"/>
      <c r="L441" s="81"/>
      <c r="M441" s="81"/>
      <c r="N441" s="84" t="str">
        <f aca="false">IF(C441="","",IF(P441="","NJ INCONNU",IF(I441="",IF(H441="OUI","À ENROBER",IF(G441="À SOUDER","NON SOUDÉ","EN ATTENTE RT")),IF(L441="R","À REPRENDRE",IF(H441&lt;&gt;"OUI","⚠ ENROBÉ AVANT ACCEPTATION RT","ENROBÉ")))))</f>
        <v>NON SOUDÉ</v>
      </c>
      <c r="O441" s="80"/>
      <c r="P441" s="82" t="n">
        <f aca="false">IF(C441="","",IFERROR(MATCH(Q441,'CARNET DE SOUDURE'!$AW$7:$AW$3006,0),""))</f>
        <v>435</v>
      </c>
      <c r="Q441" s="82" t="str">
        <f aca="false">IF(C441="","",B441&amp;"|"&amp;C441)</f>
        <v>MFD-ISW → MFD-CPF|JN°435</v>
      </c>
    </row>
    <row r="442" customFormat="false" ht="74.6" hidden="false" customHeight="false" outlineLevel="0" collapsed="false">
      <c r="A442" s="82" t="n">
        <f aca="false">IF(C442="","",ROW()-6)</f>
        <v>436</v>
      </c>
      <c r="B442" s="80" t="s">
        <v>110</v>
      </c>
      <c r="C442" s="113" t="s">
        <v>546</v>
      </c>
      <c r="D442" s="82" t="str">
        <f aca="false">IF(OR(C442="",P442=""),"",INDEX('CARNET DE SOUDURE'!$D$7:$D$3006,P442)&amp;"")</f>
        <v/>
      </c>
      <c r="E442" s="114" t="str">
        <f aca="false">IF(OR(C442="",P442=""),"",IF(INDEX('CARNET DE SOUDURE'!$U$7:$U$3006,P442)="","",INDEX('CARNET DE SOUDURE'!$U$7:$U$3006,P442)))</f>
        <v/>
      </c>
      <c r="F442" s="82" t="str">
        <f aca="false">IF(OR(C442="",P442=""),"",INDEX('CARNET DE SOUDURE'!$AP$7:$AP$3006,P442))</f>
        <v/>
      </c>
      <c r="G442" s="82" t="str">
        <f aca="false">IF(C442="","",IF(P442="","NJ INCONNU",INDEX('CARNET DE SOUDURE'!$AQ$7:$AQ$3006,P442)))</f>
        <v>À SOUDER</v>
      </c>
      <c r="H442" s="82" t="str">
        <f aca="false">IF(C442="","",IF(G442="ACCEPTÉ","OUI","NON"))</f>
        <v>NON</v>
      </c>
      <c r="I442" s="83"/>
      <c r="J442" s="80"/>
      <c r="K442" s="81"/>
      <c r="L442" s="81"/>
      <c r="M442" s="81"/>
      <c r="N442" s="84" t="str">
        <f aca="false">IF(C442="","",IF(P442="","NJ INCONNU",IF(I442="",IF(H442="OUI","À ENROBER",IF(G442="À SOUDER","NON SOUDÉ","EN ATTENTE RT")),IF(L442="R","À REPRENDRE",IF(H442&lt;&gt;"OUI","⚠ ENROBÉ AVANT ACCEPTATION RT","ENROBÉ")))))</f>
        <v>NON SOUDÉ</v>
      </c>
      <c r="O442" s="80"/>
      <c r="P442" s="82" t="n">
        <f aca="false">IF(C442="","",IFERROR(MATCH(Q442,'CARNET DE SOUDURE'!$AW$7:$AW$3006,0),""))</f>
        <v>436</v>
      </c>
      <c r="Q442" s="82" t="str">
        <f aca="false">IF(C442="","",B442&amp;"|"&amp;C442)</f>
        <v>MFD-ISW → MFD-CPF|JN°436</v>
      </c>
    </row>
    <row r="443" customFormat="false" ht="74.6" hidden="false" customHeight="false" outlineLevel="0" collapsed="false">
      <c r="A443" s="82" t="n">
        <f aca="false">IF(C443="","",ROW()-6)</f>
        <v>437</v>
      </c>
      <c r="B443" s="80" t="s">
        <v>110</v>
      </c>
      <c r="C443" s="113" t="s">
        <v>547</v>
      </c>
      <c r="D443" s="82" t="str">
        <f aca="false">IF(OR(C443="",P443=""),"",INDEX('CARNET DE SOUDURE'!$D$7:$D$3006,P443)&amp;"")</f>
        <v/>
      </c>
      <c r="E443" s="114" t="str">
        <f aca="false">IF(OR(C443="",P443=""),"",IF(INDEX('CARNET DE SOUDURE'!$U$7:$U$3006,P443)="","",INDEX('CARNET DE SOUDURE'!$U$7:$U$3006,P443)))</f>
        <v/>
      </c>
      <c r="F443" s="82" t="str">
        <f aca="false">IF(OR(C443="",P443=""),"",INDEX('CARNET DE SOUDURE'!$AP$7:$AP$3006,P443))</f>
        <v/>
      </c>
      <c r="G443" s="82" t="str">
        <f aca="false">IF(C443="","",IF(P443="","NJ INCONNU",INDEX('CARNET DE SOUDURE'!$AQ$7:$AQ$3006,P443)))</f>
        <v>À SOUDER</v>
      </c>
      <c r="H443" s="82" t="str">
        <f aca="false">IF(C443="","",IF(G443="ACCEPTÉ","OUI","NON"))</f>
        <v>NON</v>
      </c>
      <c r="I443" s="83"/>
      <c r="J443" s="80"/>
      <c r="K443" s="81"/>
      <c r="L443" s="81"/>
      <c r="M443" s="81"/>
      <c r="N443" s="84" t="str">
        <f aca="false">IF(C443="","",IF(P443="","NJ INCONNU",IF(I443="",IF(H443="OUI","À ENROBER",IF(G443="À SOUDER","NON SOUDÉ","EN ATTENTE RT")),IF(L443="R","À REPRENDRE",IF(H443&lt;&gt;"OUI","⚠ ENROBÉ AVANT ACCEPTATION RT","ENROBÉ")))))</f>
        <v>NON SOUDÉ</v>
      </c>
      <c r="O443" s="80"/>
      <c r="P443" s="82" t="n">
        <f aca="false">IF(C443="","",IFERROR(MATCH(Q443,'CARNET DE SOUDURE'!$AW$7:$AW$3006,0),""))</f>
        <v>437</v>
      </c>
      <c r="Q443" s="82" t="str">
        <f aca="false">IF(C443="","",B443&amp;"|"&amp;C443)</f>
        <v>MFD-ISW → MFD-CPF|JN°437</v>
      </c>
    </row>
    <row r="444" customFormat="false" ht="74.6" hidden="false" customHeight="false" outlineLevel="0" collapsed="false">
      <c r="A444" s="82" t="n">
        <f aca="false">IF(C444="","",ROW()-6)</f>
        <v>438</v>
      </c>
      <c r="B444" s="80" t="s">
        <v>110</v>
      </c>
      <c r="C444" s="113" t="s">
        <v>548</v>
      </c>
      <c r="D444" s="82" t="str">
        <f aca="false">IF(OR(C444="",P444=""),"",INDEX('CARNET DE SOUDURE'!$D$7:$D$3006,P444)&amp;"")</f>
        <v/>
      </c>
      <c r="E444" s="114" t="str">
        <f aca="false">IF(OR(C444="",P444=""),"",IF(INDEX('CARNET DE SOUDURE'!$U$7:$U$3006,P444)="","",INDEX('CARNET DE SOUDURE'!$U$7:$U$3006,P444)))</f>
        <v/>
      </c>
      <c r="F444" s="82" t="str">
        <f aca="false">IF(OR(C444="",P444=""),"",INDEX('CARNET DE SOUDURE'!$AP$7:$AP$3006,P444))</f>
        <v/>
      </c>
      <c r="G444" s="82" t="str">
        <f aca="false">IF(C444="","",IF(P444="","NJ INCONNU",INDEX('CARNET DE SOUDURE'!$AQ$7:$AQ$3006,P444)))</f>
        <v>À SOUDER</v>
      </c>
      <c r="H444" s="82" t="str">
        <f aca="false">IF(C444="","",IF(G444="ACCEPTÉ","OUI","NON"))</f>
        <v>NON</v>
      </c>
      <c r="I444" s="83"/>
      <c r="J444" s="80"/>
      <c r="K444" s="81"/>
      <c r="L444" s="81"/>
      <c r="M444" s="81"/>
      <c r="N444" s="84" t="str">
        <f aca="false">IF(C444="","",IF(P444="","NJ INCONNU",IF(I444="",IF(H444="OUI","À ENROBER",IF(G444="À SOUDER","NON SOUDÉ","EN ATTENTE RT")),IF(L444="R","À REPRENDRE",IF(H444&lt;&gt;"OUI","⚠ ENROBÉ AVANT ACCEPTATION RT","ENROBÉ")))))</f>
        <v>NON SOUDÉ</v>
      </c>
      <c r="O444" s="80"/>
      <c r="P444" s="82" t="n">
        <f aca="false">IF(C444="","",IFERROR(MATCH(Q444,'CARNET DE SOUDURE'!$AW$7:$AW$3006,0),""))</f>
        <v>438</v>
      </c>
      <c r="Q444" s="82" t="str">
        <f aca="false">IF(C444="","",B444&amp;"|"&amp;C444)</f>
        <v>MFD-ISW → MFD-CPF|JN°438</v>
      </c>
    </row>
    <row r="445" customFormat="false" ht="74.6" hidden="false" customHeight="false" outlineLevel="0" collapsed="false">
      <c r="A445" s="82" t="n">
        <f aca="false">IF(C445="","",ROW()-6)</f>
        <v>439</v>
      </c>
      <c r="B445" s="80" t="s">
        <v>110</v>
      </c>
      <c r="C445" s="113" t="s">
        <v>549</v>
      </c>
      <c r="D445" s="82" t="str">
        <f aca="false">IF(OR(C445="",P445=""),"",INDEX('CARNET DE SOUDURE'!$D$7:$D$3006,P445)&amp;"")</f>
        <v/>
      </c>
      <c r="E445" s="114" t="str">
        <f aca="false">IF(OR(C445="",P445=""),"",IF(INDEX('CARNET DE SOUDURE'!$U$7:$U$3006,P445)="","",INDEX('CARNET DE SOUDURE'!$U$7:$U$3006,P445)))</f>
        <v/>
      </c>
      <c r="F445" s="82" t="str">
        <f aca="false">IF(OR(C445="",P445=""),"",INDEX('CARNET DE SOUDURE'!$AP$7:$AP$3006,P445))</f>
        <v/>
      </c>
      <c r="G445" s="82" t="str">
        <f aca="false">IF(C445="","",IF(P445="","NJ INCONNU",INDEX('CARNET DE SOUDURE'!$AQ$7:$AQ$3006,P445)))</f>
        <v>À SOUDER</v>
      </c>
      <c r="H445" s="82" t="str">
        <f aca="false">IF(C445="","",IF(G445="ACCEPTÉ","OUI","NON"))</f>
        <v>NON</v>
      </c>
      <c r="I445" s="83"/>
      <c r="J445" s="80"/>
      <c r="K445" s="81"/>
      <c r="L445" s="81"/>
      <c r="M445" s="81"/>
      <c r="N445" s="84" t="str">
        <f aca="false">IF(C445="","",IF(P445="","NJ INCONNU",IF(I445="",IF(H445="OUI","À ENROBER",IF(G445="À SOUDER","NON SOUDÉ","EN ATTENTE RT")),IF(L445="R","À REPRENDRE",IF(H445&lt;&gt;"OUI","⚠ ENROBÉ AVANT ACCEPTATION RT","ENROBÉ")))))</f>
        <v>NON SOUDÉ</v>
      </c>
      <c r="O445" s="80"/>
      <c r="P445" s="82" t="n">
        <f aca="false">IF(C445="","",IFERROR(MATCH(Q445,'CARNET DE SOUDURE'!$AW$7:$AW$3006,0),""))</f>
        <v>439</v>
      </c>
      <c r="Q445" s="82" t="str">
        <f aca="false">IF(C445="","",B445&amp;"|"&amp;C445)</f>
        <v>MFD-ISW → MFD-CPF|JN°439</v>
      </c>
    </row>
    <row r="446" customFormat="false" ht="74.6" hidden="false" customHeight="false" outlineLevel="0" collapsed="false">
      <c r="A446" s="82" t="n">
        <f aca="false">IF(C446="","",ROW()-6)</f>
        <v>440</v>
      </c>
      <c r="B446" s="80" t="s">
        <v>110</v>
      </c>
      <c r="C446" s="113" t="s">
        <v>550</v>
      </c>
      <c r="D446" s="82" t="str">
        <f aca="false">IF(OR(C446="",P446=""),"",INDEX('CARNET DE SOUDURE'!$D$7:$D$3006,P446)&amp;"")</f>
        <v/>
      </c>
      <c r="E446" s="114" t="str">
        <f aca="false">IF(OR(C446="",P446=""),"",IF(INDEX('CARNET DE SOUDURE'!$U$7:$U$3006,P446)="","",INDEX('CARNET DE SOUDURE'!$U$7:$U$3006,P446)))</f>
        <v/>
      </c>
      <c r="F446" s="82" t="str">
        <f aca="false">IF(OR(C446="",P446=""),"",INDEX('CARNET DE SOUDURE'!$AP$7:$AP$3006,P446))</f>
        <v/>
      </c>
      <c r="G446" s="82" t="str">
        <f aca="false">IF(C446="","",IF(P446="","NJ INCONNU",INDEX('CARNET DE SOUDURE'!$AQ$7:$AQ$3006,P446)))</f>
        <v>À SOUDER</v>
      </c>
      <c r="H446" s="82" t="str">
        <f aca="false">IF(C446="","",IF(G446="ACCEPTÉ","OUI","NON"))</f>
        <v>NON</v>
      </c>
      <c r="I446" s="83"/>
      <c r="J446" s="80"/>
      <c r="K446" s="81"/>
      <c r="L446" s="81"/>
      <c r="M446" s="81"/>
      <c r="N446" s="84" t="str">
        <f aca="false">IF(C446="","",IF(P446="","NJ INCONNU",IF(I446="",IF(H446="OUI","À ENROBER",IF(G446="À SOUDER","NON SOUDÉ","EN ATTENTE RT")),IF(L446="R","À REPRENDRE",IF(H446&lt;&gt;"OUI","⚠ ENROBÉ AVANT ACCEPTATION RT","ENROBÉ")))))</f>
        <v>NON SOUDÉ</v>
      </c>
      <c r="O446" s="80"/>
      <c r="P446" s="82" t="n">
        <f aca="false">IF(C446="","",IFERROR(MATCH(Q446,'CARNET DE SOUDURE'!$AW$7:$AW$3006,0),""))</f>
        <v>440</v>
      </c>
      <c r="Q446" s="82" t="str">
        <f aca="false">IF(C446="","",B446&amp;"|"&amp;C446)</f>
        <v>MFD-ISW → MFD-CPF|JN°440</v>
      </c>
    </row>
    <row r="447" customFormat="false" ht="74.6" hidden="false" customHeight="false" outlineLevel="0" collapsed="false">
      <c r="A447" s="82" t="n">
        <f aca="false">IF(C447="","",ROW()-6)</f>
        <v>441</v>
      </c>
      <c r="B447" s="80" t="s">
        <v>110</v>
      </c>
      <c r="C447" s="113" t="s">
        <v>551</v>
      </c>
      <c r="D447" s="82" t="str">
        <f aca="false">IF(OR(C447="",P447=""),"",INDEX('CARNET DE SOUDURE'!$D$7:$D$3006,P447)&amp;"")</f>
        <v/>
      </c>
      <c r="E447" s="114" t="str">
        <f aca="false">IF(OR(C447="",P447=""),"",IF(INDEX('CARNET DE SOUDURE'!$U$7:$U$3006,P447)="","",INDEX('CARNET DE SOUDURE'!$U$7:$U$3006,P447)))</f>
        <v/>
      </c>
      <c r="F447" s="82" t="str">
        <f aca="false">IF(OR(C447="",P447=""),"",INDEX('CARNET DE SOUDURE'!$AP$7:$AP$3006,P447))</f>
        <v/>
      </c>
      <c r="G447" s="82" t="str">
        <f aca="false">IF(C447="","",IF(P447="","NJ INCONNU",INDEX('CARNET DE SOUDURE'!$AQ$7:$AQ$3006,P447)))</f>
        <v>À SOUDER</v>
      </c>
      <c r="H447" s="82" t="str">
        <f aca="false">IF(C447="","",IF(G447="ACCEPTÉ","OUI","NON"))</f>
        <v>NON</v>
      </c>
      <c r="I447" s="83"/>
      <c r="J447" s="80"/>
      <c r="K447" s="81"/>
      <c r="L447" s="81"/>
      <c r="M447" s="81"/>
      <c r="N447" s="84" t="str">
        <f aca="false">IF(C447="","",IF(P447="","NJ INCONNU",IF(I447="",IF(H447="OUI","À ENROBER",IF(G447="À SOUDER","NON SOUDÉ","EN ATTENTE RT")),IF(L447="R","À REPRENDRE",IF(H447&lt;&gt;"OUI","⚠ ENROBÉ AVANT ACCEPTATION RT","ENROBÉ")))))</f>
        <v>NON SOUDÉ</v>
      </c>
      <c r="O447" s="80"/>
      <c r="P447" s="82" t="n">
        <f aca="false">IF(C447="","",IFERROR(MATCH(Q447,'CARNET DE SOUDURE'!$AW$7:$AW$3006,0),""))</f>
        <v>441</v>
      </c>
      <c r="Q447" s="82" t="str">
        <f aca="false">IF(C447="","",B447&amp;"|"&amp;C447)</f>
        <v>MFD-ISW → MFD-CPF|JN°441</v>
      </c>
    </row>
    <row r="448" customFormat="false" ht="74.6" hidden="false" customHeight="false" outlineLevel="0" collapsed="false">
      <c r="A448" s="82" t="n">
        <f aca="false">IF(C448="","",ROW()-6)</f>
        <v>442</v>
      </c>
      <c r="B448" s="80" t="s">
        <v>110</v>
      </c>
      <c r="C448" s="113" t="s">
        <v>552</v>
      </c>
      <c r="D448" s="82" t="str">
        <f aca="false">IF(OR(C448="",P448=""),"",INDEX('CARNET DE SOUDURE'!$D$7:$D$3006,P448)&amp;"")</f>
        <v/>
      </c>
      <c r="E448" s="114" t="str">
        <f aca="false">IF(OR(C448="",P448=""),"",IF(INDEX('CARNET DE SOUDURE'!$U$7:$U$3006,P448)="","",INDEX('CARNET DE SOUDURE'!$U$7:$U$3006,P448)))</f>
        <v/>
      </c>
      <c r="F448" s="82" t="str">
        <f aca="false">IF(OR(C448="",P448=""),"",INDEX('CARNET DE SOUDURE'!$AP$7:$AP$3006,P448))</f>
        <v/>
      </c>
      <c r="G448" s="82" t="str">
        <f aca="false">IF(C448="","",IF(P448="","NJ INCONNU",INDEX('CARNET DE SOUDURE'!$AQ$7:$AQ$3006,P448)))</f>
        <v>À SOUDER</v>
      </c>
      <c r="H448" s="82" t="str">
        <f aca="false">IF(C448="","",IF(G448="ACCEPTÉ","OUI","NON"))</f>
        <v>NON</v>
      </c>
      <c r="I448" s="83"/>
      <c r="J448" s="80"/>
      <c r="K448" s="81"/>
      <c r="L448" s="81"/>
      <c r="M448" s="81"/>
      <c r="N448" s="84" t="str">
        <f aca="false">IF(C448="","",IF(P448="","NJ INCONNU",IF(I448="",IF(H448="OUI","À ENROBER",IF(G448="À SOUDER","NON SOUDÉ","EN ATTENTE RT")),IF(L448="R","À REPRENDRE",IF(H448&lt;&gt;"OUI","⚠ ENROBÉ AVANT ACCEPTATION RT","ENROBÉ")))))</f>
        <v>NON SOUDÉ</v>
      </c>
      <c r="O448" s="80"/>
      <c r="P448" s="82" t="n">
        <f aca="false">IF(C448="","",IFERROR(MATCH(Q448,'CARNET DE SOUDURE'!$AW$7:$AW$3006,0),""))</f>
        <v>442</v>
      </c>
      <c r="Q448" s="82" t="str">
        <f aca="false">IF(C448="","",B448&amp;"|"&amp;C448)</f>
        <v>MFD-ISW → MFD-CPF|JN°442</v>
      </c>
    </row>
    <row r="449" customFormat="false" ht="74.6" hidden="false" customHeight="false" outlineLevel="0" collapsed="false">
      <c r="A449" s="82" t="n">
        <f aca="false">IF(C449="","",ROW()-6)</f>
        <v>443</v>
      </c>
      <c r="B449" s="80" t="s">
        <v>110</v>
      </c>
      <c r="C449" s="113" t="s">
        <v>553</v>
      </c>
      <c r="D449" s="82" t="str">
        <f aca="false">IF(OR(C449="",P449=""),"",INDEX('CARNET DE SOUDURE'!$D$7:$D$3006,P449)&amp;"")</f>
        <v/>
      </c>
      <c r="E449" s="114" t="str">
        <f aca="false">IF(OR(C449="",P449=""),"",IF(INDEX('CARNET DE SOUDURE'!$U$7:$U$3006,P449)="","",INDEX('CARNET DE SOUDURE'!$U$7:$U$3006,P449)))</f>
        <v/>
      </c>
      <c r="F449" s="82" t="str">
        <f aca="false">IF(OR(C449="",P449=""),"",INDEX('CARNET DE SOUDURE'!$AP$7:$AP$3006,P449))</f>
        <v/>
      </c>
      <c r="G449" s="82" t="str">
        <f aca="false">IF(C449="","",IF(P449="","NJ INCONNU",INDEX('CARNET DE SOUDURE'!$AQ$7:$AQ$3006,P449)))</f>
        <v>À SOUDER</v>
      </c>
      <c r="H449" s="82" t="str">
        <f aca="false">IF(C449="","",IF(G449="ACCEPTÉ","OUI","NON"))</f>
        <v>NON</v>
      </c>
      <c r="I449" s="83"/>
      <c r="J449" s="80"/>
      <c r="K449" s="81"/>
      <c r="L449" s="81"/>
      <c r="M449" s="81"/>
      <c r="N449" s="84" t="str">
        <f aca="false">IF(C449="","",IF(P449="","NJ INCONNU",IF(I449="",IF(H449="OUI","À ENROBER",IF(G449="À SOUDER","NON SOUDÉ","EN ATTENTE RT")),IF(L449="R","À REPRENDRE",IF(H449&lt;&gt;"OUI","⚠ ENROBÉ AVANT ACCEPTATION RT","ENROBÉ")))))</f>
        <v>NON SOUDÉ</v>
      </c>
      <c r="O449" s="80"/>
      <c r="P449" s="82" t="n">
        <f aca="false">IF(C449="","",IFERROR(MATCH(Q449,'CARNET DE SOUDURE'!$AW$7:$AW$3006,0),""))</f>
        <v>443</v>
      </c>
      <c r="Q449" s="82" t="str">
        <f aca="false">IF(C449="","",B449&amp;"|"&amp;C449)</f>
        <v>MFD-ISW → MFD-CPF|JN°443</v>
      </c>
    </row>
    <row r="450" customFormat="false" ht="74.6" hidden="false" customHeight="false" outlineLevel="0" collapsed="false">
      <c r="A450" s="82" t="n">
        <f aca="false">IF(C450="","",ROW()-6)</f>
        <v>444</v>
      </c>
      <c r="B450" s="80" t="s">
        <v>110</v>
      </c>
      <c r="C450" s="113" t="s">
        <v>554</v>
      </c>
      <c r="D450" s="82" t="str">
        <f aca="false">IF(OR(C450="",P450=""),"",INDEX('CARNET DE SOUDURE'!$D$7:$D$3006,P450)&amp;"")</f>
        <v/>
      </c>
      <c r="E450" s="114" t="str">
        <f aca="false">IF(OR(C450="",P450=""),"",IF(INDEX('CARNET DE SOUDURE'!$U$7:$U$3006,P450)="","",INDEX('CARNET DE SOUDURE'!$U$7:$U$3006,P450)))</f>
        <v/>
      </c>
      <c r="F450" s="82" t="str">
        <f aca="false">IF(OR(C450="",P450=""),"",INDEX('CARNET DE SOUDURE'!$AP$7:$AP$3006,P450))</f>
        <v/>
      </c>
      <c r="G450" s="82" t="str">
        <f aca="false">IF(C450="","",IF(P450="","NJ INCONNU",INDEX('CARNET DE SOUDURE'!$AQ$7:$AQ$3006,P450)))</f>
        <v>À SOUDER</v>
      </c>
      <c r="H450" s="82" t="str">
        <f aca="false">IF(C450="","",IF(G450="ACCEPTÉ","OUI","NON"))</f>
        <v>NON</v>
      </c>
      <c r="I450" s="83"/>
      <c r="J450" s="80"/>
      <c r="K450" s="81"/>
      <c r="L450" s="81"/>
      <c r="M450" s="81"/>
      <c r="N450" s="84" t="str">
        <f aca="false">IF(C450="","",IF(P450="","NJ INCONNU",IF(I450="",IF(H450="OUI","À ENROBER",IF(G450="À SOUDER","NON SOUDÉ","EN ATTENTE RT")),IF(L450="R","À REPRENDRE",IF(H450&lt;&gt;"OUI","⚠ ENROBÉ AVANT ACCEPTATION RT","ENROBÉ")))))</f>
        <v>NON SOUDÉ</v>
      </c>
      <c r="O450" s="80"/>
      <c r="P450" s="82" t="n">
        <f aca="false">IF(C450="","",IFERROR(MATCH(Q450,'CARNET DE SOUDURE'!$AW$7:$AW$3006,0),""))</f>
        <v>444</v>
      </c>
      <c r="Q450" s="82" t="str">
        <f aca="false">IF(C450="","",B450&amp;"|"&amp;C450)</f>
        <v>MFD-ISW → MFD-CPF|JN°444</v>
      </c>
    </row>
    <row r="451" customFormat="false" ht="74.6" hidden="false" customHeight="false" outlineLevel="0" collapsed="false">
      <c r="A451" s="82" t="n">
        <f aca="false">IF(C451="","",ROW()-6)</f>
        <v>445</v>
      </c>
      <c r="B451" s="80" t="s">
        <v>110</v>
      </c>
      <c r="C451" s="113" t="s">
        <v>555</v>
      </c>
      <c r="D451" s="82" t="str">
        <f aca="false">IF(OR(C451="",P451=""),"",INDEX('CARNET DE SOUDURE'!$D$7:$D$3006,P451)&amp;"")</f>
        <v/>
      </c>
      <c r="E451" s="114" t="str">
        <f aca="false">IF(OR(C451="",P451=""),"",IF(INDEX('CARNET DE SOUDURE'!$U$7:$U$3006,P451)="","",INDEX('CARNET DE SOUDURE'!$U$7:$U$3006,P451)))</f>
        <v/>
      </c>
      <c r="F451" s="82" t="str">
        <f aca="false">IF(OR(C451="",P451=""),"",INDEX('CARNET DE SOUDURE'!$AP$7:$AP$3006,P451))</f>
        <v/>
      </c>
      <c r="G451" s="82" t="str">
        <f aca="false">IF(C451="","",IF(P451="","NJ INCONNU",INDEX('CARNET DE SOUDURE'!$AQ$7:$AQ$3006,P451)))</f>
        <v>À SOUDER</v>
      </c>
      <c r="H451" s="82" t="str">
        <f aca="false">IF(C451="","",IF(G451="ACCEPTÉ","OUI","NON"))</f>
        <v>NON</v>
      </c>
      <c r="I451" s="83"/>
      <c r="J451" s="80"/>
      <c r="K451" s="81"/>
      <c r="L451" s="81"/>
      <c r="M451" s="81"/>
      <c r="N451" s="84" t="str">
        <f aca="false">IF(C451="","",IF(P451="","NJ INCONNU",IF(I451="",IF(H451="OUI","À ENROBER",IF(G451="À SOUDER","NON SOUDÉ","EN ATTENTE RT")),IF(L451="R","À REPRENDRE",IF(H451&lt;&gt;"OUI","⚠ ENROBÉ AVANT ACCEPTATION RT","ENROBÉ")))))</f>
        <v>NON SOUDÉ</v>
      </c>
      <c r="O451" s="80"/>
      <c r="P451" s="82" t="n">
        <f aca="false">IF(C451="","",IFERROR(MATCH(Q451,'CARNET DE SOUDURE'!$AW$7:$AW$3006,0),""))</f>
        <v>445</v>
      </c>
      <c r="Q451" s="82" t="str">
        <f aca="false">IF(C451="","",B451&amp;"|"&amp;C451)</f>
        <v>MFD-ISW → MFD-CPF|JN°445</v>
      </c>
    </row>
    <row r="452" customFormat="false" ht="74.6" hidden="false" customHeight="false" outlineLevel="0" collapsed="false">
      <c r="A452" s="82" t="n">
        <f aca="false">IF(C452="","",ROW()-6)</f>
        <v>446</v>
      </c>
      <c r="B452" s="80" t="s">
        <v>110</v>
      </c>
      <c r="C452" s="113" t="s">
        <v>556</v>
      </c>
      <c r="D452" s="82" t="str">
        <f aca="false">IF(OR(C452="",P452=""),"",INDEX('CARNET DE SOUDURE'!$D$7:$D$3006,P452)&amp;"")</f>
        <v/>
      </c>
      <c r="E452" s="114" t="str">
        <f aca="false">IF(OR(C452="",P452=""),"",IF(INDEX('CARNET DE SOUDURE'!$U$7:$U$3006,P452)="","",INDEX('CARNET DE SOUDURE'!$U$7:$U$3006,P452)))</f>
        <v/>
      </c>
      <c r="F452" s="82" t="str">
        <f aca="false">IF(OR(C452="",P452=""),"",INDEX('CARNET DE SOUDURE'!$AP$7:$AP$3006,P452))</f>
        <v/>
      </c>
      <c r="G452" s="82" t="str">
        <f aca="false">IF(C452="","",IF(P452="","NJ INCONNU",INDEX('CARNET DE SOUDURE'!$AQ$7:$AQ$3006,P452)))</f>
        <v>À SOUDER</v>
      </c>
      <c r="H452" s="82" t="str">
        <f aca="false">IF(C452="","",IF(G452="ACCEPTÉ","OUI","NON"))</f>
        <v>NON</v>
      </c>
      <c r="I452" s="83"/>
      <c r="J452" s="80"/>
      <c r="K452" s="81"/>
      <c r="L452" s="81"/>
      <c r="M452" s="81"/>
      <c r="N452" s="84" t="str">
        <f aca="false">IF(C452="","",IF(P452="","NJ INCONNU",IF(I452="",IF(H452="OUI","À ENROBER",IF(G452="À SOUDER","NON SOUDÉ","EN ATTENTE RT")),IF(L452="R","À REPRENDRE",IF(H452&lt;&gt;"OUI","⚠ ENROBÉ AVANT ACCEPTATION RT","ENROBÉ")))))</f>
        <v>NON SOUDÉ</v>
      </c>
      <c r="O452" s="80"/>
      <c r="P452" s="82" t="n">
        <f aca="false">IF(C452="","",IFERROR(MATCH(Q452,'CARNET DE SOUDURE'!$AW$7:$AW$3006,0),""))</f>
        <v>446</v>
      </c>
      <c r="Q452" s="82" t="str">
        <f aca="false">IF(C452="","",B452&amp;"|"&amp;C452)</f>
        <v>MFD-ISW → MFD-CPF|JN°446</v>
      </c>
    </row>
    <row r="453" customFormat="false" ht="74.6" hidden="false" customHeight="false" outlineLevel="0" collapsed="false">
      <c r="A453" s="82" t="n">
        <f aca="false">IF(C453="","",ROW()-6)</f>
        <v>447</v>
      </c>
      <c r="B453" s="80" t="s">
        <v>110</v>
      </c>
      <c r="C453" s="113" t="s">
        <v>557</v>
      </c>
      <c r="D453" s="82" t="str">
        <f aca="false">IF(OR(C453="",P453=""),"",INDEX('CARNET DE SOUDURE'!$D$7:$D$3006,P453)&amp;"")</f>
        <v/>
      </c>
      <c r="E453" s="114" t="str">
        <f aca="false">IF(OR(C453="",P453=""),"",IF(INDEX('CARNET DE SOUDURE'!$U$7:$U$3006,P453)="","",INDEX('CARNET DE SOUDURE'!$U$7:$U$3006,P453)))</f>
        <v/>
      </c>
      <c r="F453" s="82" t="str">
        <f aca="false">IF(OR(C453="",P453=""),"",INDEX('CARNET DE SOUDURE'!$AP$7:$AP$3006,P453))</f>
        <v/>
      </c>
      <c r="G453" s="82" t="str">
        <f aca="false">IF(C453="","",IF(P453="","NJ INCONNU",INDEX('CARNET DE SOUDURE'!$AQ$7:$AQ$3006,P453)))</f>
        <v>À SOUDER</v>
      </c>
      <c r="H453" s="82" t="str">
        <f aca="false">IF(C453="","",IF(G453="ACCEPTÉ","OUI","NON"))</f>
        <v>NON</v>
      </c>
      <c r="I453" s="83"/>
      <c r="J453" s="80"/>
      <c r="K453" s="81"/>
      <c r="L453" s="81"/>
      <c r="M453" s="81"/>
      <c r="N453" s="84" t="str">
        <f aca="false">IF(C453="","",IF(P453="","NJ INCONNU",IF(I453="",IF(H453="OUI","À ENROBER",IF(G453="À SOUDER","NON SOUDÉ","EN ATTENTE RT")),IF(L453="R","À REPRENDRE",IF(H453&lt;&gt;"OUI","⚠ ENROBÉ AVANT ACCEPTATION RT","ENROBÉ")))))</f>
        <v>NON SOUDÉ</v>
      </c>
      <c r="O453" s="80"/>
      <c r="P453" s="82" t="n">
        <f aca="false">IF(C453="","",IFERROR(MATCH(Q453,'CARNET DE SOUDURE'!$AW$7:$AW$3006,0),""))</f>
        <v>447</v>
      </c>
      <c r="Q453" s="82" t="str">
        <f aca="false">IF(C453="","",B453&amp;"|"&amp;C453)</f>
        <v>MFD-ISW → MFD-CPF|JN°447</v>
      </c>
    </row>
    <row r="454" customFormat="false" ht="74.6" hidden="false" customHeight="false" outlineLevel="0" collapsed="false">
      <c r="A454" s="82" t="n">
        <f aca="false">IF(C454="","",ROW()-6)</f>
        <v>448</v>
      </c>
      <c r="B454" s="80" t="s">
        <v>110</v>
      </c>
      <c r="C454" s="113" t="s">
        <v>558</v>
      </c>
      <c r="D454" s="82" t="str">
        <f aca="false">IF(OR(C454="",P454=""),"",INDEX('CARNET DE SOUDURE'!$D$7:$D$3006,P454)&amp;"")</f>
        <v/>
      </c>
      <c r="E454" s="114" t="str">
        <f aca="false">IF(OR(C454="",P454=""),"",IF(INDEX('CARNET DE SOUDURE'!$U$7:$U$3006,P454)="","",INDEX('CARNET DE SOUDURE'!$U$7:$U$3006,P454)))</f>
        <v/>
      </c>
      <c r="F454" s="82" t="str">
        <f aca="false">IF(OR(C454="",P454=""),"",INDEX('CARNET DE SOUDURE'!$AP$7:$AP$3006,P454))</f>
        <v/>
      </c>
      <c r="G454" s="82" t="str">
        <f aca="false">IF(C454="","",IF(P454="","NJ INCONNU",INDEX('CARNET DE SOUDURE'!$AQ$7:$AQ$3006,P454)))</f>
        <v>À SOUDER</v>
      </c>
      <c r="H454" s="82" t="str">
        <f aca="false">IF(C454="","",IF(G454="ACCEPTÉ","OUI","NON"))</f>
        <v>NON</v>
      </c>
      <c r="I454" s="83"/>
      <c r="J454" s="80"/>
      <c r="K454" s="81"/>
      <c r="L454" s="81"/>
      <c r="M454" s="81"/>
      <c r="N454" s="84" t="str">
        <f aca="false">IF(C454="","",IF(P454="","NJ INCONNU",IF(I454="",IF(H454="OUI","À ENROBER",IF(G454="À SOUDER","NON SOUDÉ","EN ATTENTE RT")),IF(L454="R","À REPRENDRE",IF(H454&lt;&gt;"OUI","⚠ ENROBÉ AVANT ACCEPTATION RT","ENROBÉ")))))</f>
        <v>NON SOUDÉ</v>
      </c>
      <c r="O454" s="80"/>
      <c r="P454" s="82" t="n">
        <f aca="false">IF(C454="","",IFERROR(MATCH(Q454,'CARNET DE SOUDURE'!$AW$7:$AW$3006,0),""))</f>
        <v>448</v>
      </c>
      <c r="Q454" s="82" t="str">
        <f aca="false">IF(C454="","",B454&amp;"|"&amp;C454)</f>
        <v>MFD-ISW → MFD-CPF|JN°448</v>
      </c>
    </row>
    <row r="455" customFormat="false" ht="74.6" hidden="false" customHeight="false" outlineLevel="0" collapsed="false">
      <c r="A455" s="82" t="n">
        <f aca="false">IF(C455="","",ROW()-6)</f>
        <v>449</v>
      </c>
      <c r="B455" s="80" t="s">
        <v>110</v>
      </c>
      <c r="C455" s="113" t="s">
        <v>559</v>
      </c>
      <c r="D455" s="82" t="str">
        <f aca="false">IF(OR(C455="",P455=""),"",INDEX('CARNET DE SOUDURE'!$D$7:$D$3006,P455)&amp;"")</f>
        <v/>
      </c>
      <c r="E455" s="114" t="str">
        <f aca="false">IF(OR(C455="",P455=""),"",IF(INDEX('CARNET DE SOUDURE'!$U$7:$U$3006,P455)="","",INDEX('CARNET DE SOUDURE'!$U$7:$U$3006,P455)))</f>
        <v/>
      </c>
      <c r="F455" s="82" t="str">
        <f aca="false">IF(OR(C455="",P455=""),"",INDEX('CARNET DE SOUDURE'!$AP$7:$AP$3006,P455))</f>
        <v/>
      </c>
      <c r="G455" s="82" t="str">
        <f aca="false">IF(C455="","",IF(P455="","NJ INCONNU",INDEX('CARNET DE SOUDURE'!$AQ$7:$AQ$3006,P455)))</f>
        <v>À SOUDER</v>
      </c>
      <c r="H455" s="82" t="str">
        <f aca="false">IF(C455="","",IF(G455="ACCEPTÉ","OUI","NON"))</f>
        <v>NON</v>
      </c>
      <c r="I455" s="83"/>
      <c r="J455" s="80"/>
      <c r="K455" s="81"/>
      <c r="L455" s="81"/>
      <c r="M455" s="81"/>
      <c r="N455" s="84" t="str">
        <f aca="false">IF(C455="","",IF(P455="","NJ INCONNU",IF(I455="",IF(H455="OUI","À ENROBER",IF(G455="À SOUDER","NON SOUDÉ","EN ATTENTE RT")),IF(L455="R","À REPRENDRE",IF(H455&lt;&gt;"OUI","⚠ ENROBÉ AVANT ACCEPTATION RT","ENROBÉ")))))</f>
        <v>NON SOUDÉ</v>
      </c>
      <c r="O455" s="80"/>
      <c r="P455" s="82" t="n">
        <f aca="false">IF(C455="","",IFERROR(MATCH(Q455,'CARNET DE SOUDURE'!$AW$7:$AW$3006,0),""))</f>
        <v>449</v>
      </c>
      <c r="Q455" s="82" t="str">
        <f aca="false">IF(C455="","",B455&amp;"|"&amp;C455)</f>
        <v>MFD-ISW → MFD-CPF|JN°449</v>
      </c>
    </row>
    <row r="456" customFormat="false" ht="74.6" hidden="false" customHeight="false" outlineLevel="0" collapsed="false">
      <c r="A456" s="82" t="n">
        <f aca="false">IF(C456="","",ROW()-6)</f>
        <v>450</v>
      </c>
      <c r="B456" s="80" t="s">
        <v>110</v>
      </c>
      <c r="C456" s="113" t="s">
        <v>560</v>
      </c>
      <c r="D456" s="82" t="str">
        <f aca="false">IF(OR(C456="",P456=""),"",INDEX('CARNET DE SOUDURE'!$D$7:$D$3006,P456)&amp;"")</f>
        <v/>
      </c>
      <c r="E456" s="114" t="str">
        <f aca="false">IF(OR(C456="",P456=""),"",IF(INDEX('CARNET DE SOUDURE'!$U$7:$U$3006,P456)="","",INDEX('CARNET DE SOUDURE'!$U$7:$U$3006,P456)))</f>
        <v/>
      </c>
      <c r="F456" s="82" t="str">
        <f aca="false">IF(OR(C456="",P456=""),"",INDEX('CARNET DE SOUDURE'!$AP$7:$AP$3006,P456))</f>
        <v/>
      </c>
      <c r="G456" s="82" t="str">
        <f aca="false">IF(C456="","",IF(P456="","NJ INCONNU",INDEX('CARNET DE SOUDURE'!$AQ$7:$AQ$3006,P456)))</f>
        <v>À SOUDER</v>
      </c>
      <c r="H456" s="82" t="str">
        <f aca="false">IF(C456="","",IF(G456="ACCEPTÉ","OUI","NON"))</f>
        <v>NON</v>
      </c>
      <c r="I456" s="83"/>
      <c r="J456" s="80"/>
      <c r="K456" s="81"/>
      <c r="L456" s="81"/>
      <c r="M456" s="81"/>
      <c r="N456" s="84" t="str">
        <f aca="false">IF(C456="","",IF(P456="","NJ INCONNU",IF(I456="",IF(H456="OUI","À ENROBER",IF(G456="À SOUDER","NON SOUDÉ","EN ATTENTE RT")),IF(L456="R","À REPRENDRE",IF(H456&lt;&gt;"OUI","⚠ ENROBÉ AVANT ACCEPTATION RT","ENROBÉ")))))</f>
        <v>NON SOUDÉ</v>
      </c>
      <c r="O456" s="80"/>
      <c r="P456" s="82" t="n">
        <f aca="false">IF(C456="","",IFERROR(MATCH(Q456,'CARNET DE SOUDURE'!$AW$7:$AW$3006,0),""))</f>
        <v>450</v>
      </c>
      <c r="Q456" s="82" t="str">
        <f aca="false">IF(C456="","",B456&amp;"|"&amp;C456)</f>
        <v>MFD-ISW → MFD-CPF|JN°450</v>
      </c>
    </row>
    <row r="457" customFormat="false" ht="74.6" hidden="false" customHeight="false" outlineLevel="0" collapsed="false">
      <c r="A457" s="82" t="n">
        <f aca="false">IF(C457="","",ROW()-6)</f>
        <v>451</v>
      </c>
      <c r="B457" s="80" t="s">
        <v>110</v>
      </c>
      <c r="C457" s="113" t="s">
        <v>561</v>
      </c>
      <c r="D457" s="82" t="str">
        <f aca="false">IF(OR(C457="",P457=""),"",INDEX('CARNET DE SOUDURE'!$D$7:$D$3006,P457)&amp;"")</f>
        <v/>
      </c>
      <c r="E457" s="114" t="str">
        <f aca="false">IF(OR(C457="",P457=""),"",IF(INDEX('CARNET DE SOUDURE'!$U$7:$U$3006,P457)="","",INDEX('CARNET DE SOUDURE'!$U$7:$U$3006,P457)))</f>
        <v/>
      </c>
      <c r="F457" s="82" t="str">
        <f aca="false">IF(OR(C457="",P457=""),"",INDEX('CARNET DE SOUDURE'!$AP$7:$AP$3006,P457))</f>
        <v/>
      </c>
      <c r="G457" s="82" t="str">
        <f aca="false">IF(C457="","",IF(P457="","NJ INCONNU",INDEX('CARNET DE SOUDURE'!$AQ$7:$AQ$3006,P457)))</f>
        <v>À SOUDER</v>
      </c>
      <c r="H457" s="82" t="str">
        <f aca="false">IF(C457="","",IF(G457="ACCEPTÉ","OUI","NON"))</f>
        <v>NON</v>
      </c>
      <c r="I457" s="83"/>
      <c r="J457" s="80"/>
      <c r="K457" s="81"/>
      <c r="L457" s="81"/>
      <c r="M457" s="81"/>
      <c r="N457" s="84" t="str">
        <f aca="false">IF(C457="","",IF(P457="","NJ INCONNU",IF(I457="",IF(H457="OUI","À ENROBER",IF(G457="À SOUDER","NON SOUDÉ","EN ATTENTE RT")),IF(L457="R","À REPRENDRE",IF(H457&lt;&gt;"OUI","⚠ ENROBÉ AVANT ACCEPTATION RT","ENROBÉ")))))</f>
        <v>NON SOUDÉ</v>
      </c>
      <c r="O457" s="80"/>
      <c r="P457" s="82" t="n">
        <f aca="false">IF(C457="","",IFERROR(MATCH(Q457,'CARNET DE SOUDURE'!$AW$7:$AW$3006,0),""))</f>
        <v>451</v>
      </c>
      <c r="Q457" s="82" t="str">
        <f aca="false">IF(C457="","",B457&amp;"|"&amp;C457)</f>
        <v>MFD-ISW → MFD-CPF|JN°451</v>
      </c>
    </row>
    <row r="458" customFormat="false" ht="74.6" hidden="false" customHeight="false" outlineLevel="0" collapsed="false">
      <c r="A458" s="82" t="n">
        <f aca="false">IF(C458="","",ROW()-6)</f>
        <v>452</v>
      </c>
      <c r="B458" s="80" t="s">
        <v>110</v>
      </c>
      <c r="C458" s="113" t="s">
        <v>562</v>
      </c>
      <c r="D458" s="82" t="str">
        <f aca="false">IF(OR(C458="",P458=""),"",INDEX('CARNET DE SOUDURE'!$D$7:$D$3006,P458)&amp;"")</f>
        <v/>
      </c>
      <c r="E458" s="114" t="str">
        <f aca="false">IF(OR(C458="",P458=""),"",IF(INDEX('CARNET DE SOUDURE'!$U$7:$U$3006,P458)="","",INDEX('CARNET DE SOUDURE'!$U$7:$U$3006,P458)))</f>
        <v/>
      </c>
      <c r="F458" s="82" t="str">
        <f aca="false">IF(OR(C458="",P458=""),"",INDEX('CARNET DE SOUDURE'!$AP$7:$AP$3006,P458))</f>
        <v/>
      </c>
      <c r="G458" s="82" t="str">
        <f aca="false">IF(C458="","",IF(P458="","NJ INCONNU",INDEX('CARNET DE SOUDURE'!$AQ$7:$AQ$3006,P458)))</f>
        <v>À SOUDER</v>
      </c>
      <c r="H458" s="82" t="str">
        <f aca="false">IF(C458="","",IF(G458="ACCEPTÉ","OUI","NON"))</f>
        <v>NON</v>
      </c>
      <c r="I458" s="83"/>
      <c r="J458" s="80"/>
      <c r="K458" s="81"/>
      <c r="L458" s="81"/>
      <c r="M458" s="81"/>
      <c r="N458" s="84" t="str">
        <f aca="false">IF(C458="","",IF(P458="","NJ INCONNU",IF(I458="",IF(H458="OUI","À ENROBER",IF(G458="À SOUDER","NON SOUDÉ","EN ATTENTE RT")),IF(L458="R","À REPRENDRE",IF(H458&lt;&gt;"OUI","⚠ ENROBÉ AVANT ACCEPTATION RT","ENROBÉ")))))</f>
        <v>NON SOUDÉ</v>
      </c>
      <c r="O458" s="80"/>
      <c r="P458" s="82" t="n">
        <f aca="false">IF(C458="","",IFERROR(MATCH(Q458,'CARNET DE SOUDURE'!$AW$7:$AW$3006,0),""))</f>
        <v>452</v>
      </c>
      <c r="Q458" s="82" t="str">
        <f aca="false">IF(C458="","",B458&amp;"|"&amp;C458)</f>
        <v>MFD-ISW → MFD-CPF|JN°452</v>
      </c>
    </row>
    <row r="459" customFormat="false" ht="74.6" hidden="false" customHeight="false" outlineLevel="0" collapsed="false">
      <c r="A459" s="82" t="n">
        <f aca="false">IF(C459="","",ROW()-6)</f>
        <v>453</v>
      </c>
      <c r="B459" s="80" t="s">
        <v>110</v>
      </c>
      <c r="C459" s="113" t="s">
        <v>563</v>
      </c>
      <c r="D459" s="82" t="str">
        <f aca="false">IF(OR(C459="",P459=""),"",INDEX('CARNET DE SOUDURE'!$D$7:$D$3006,P459)&amp;"")</f>
        <v/>
      </c>
      <c r="E459" s="114" t="str">
        <f aca="false">IF(OR(C459="",P459=""),"",IF(INDEX('CARNET DE SOUDURE'!$U$7:$U$3006,P459)="","",INDEX('CARNET DE SOUDURE'!$U$7:$U$3006,P459)))</f>
        <v/>
      </c>
      <c r="F459" s="82" t="str">
        <f aca="false">IF(OR(C459="",P459=""),"",INDEX('CARNET DE SOUDURE'!$AP$7:$AP$3006,P459))</f>
        <v/>
      </c>
      <c r="G459" s="82" t="str">
        <f aca="false">IF(C459="","",IF(P459="","NJ INCONNU",INDEX('CARNET DE SOUDURE'!$AQ$7:$AQ$3006,P459)))</f>
        <v>À SOUDER</v>
      </c>
      <c r="H459" s="82" t="str">
        <f aca="false">IF(C459="","",IF(G459="ACCEPTÉ","OUI","NON"))</f>
        <v>NON</v>
      </c>
      <c r="I459" s="83"/>
      <c r="J459" s="80"/>
      <c r="K459" s="81"/>
      <c r="L459" s="81"/>
      <c r="M459" s="81"/>
      <c r="N459" s="84" t="str">
        <f aca="false">IF(C459="","",IF(P459="","NJ INCONNU",IF(I459="",IF(H459="OUI","À ENROBER",IF(G459="À SOUDER","NON SOUDÉ","EN ATTENTE RT")),IF(L459="R","À REPRENDRE",IF(H459&lt;&gt;"OUI","⚠ ENROBÉ AVANT ACCEPTATION RT","ENROBÉ")))))</f>
        <v>NON SOUDÉ</v>
      </c>
      <c r="O459" s="80"/>
      <c r="P459" s="82" t="n">
        <f aca="false">IF(C459="","",IFERROR(MATCH(Q459,'CARNET DE SOUDURE'!$AW$7:$AW$3006,0),""))</f>
        <v>453</v>
      </c>
      <c r="Q459" s="82" t="str">
        <f aca="false">IF(C459="","",B459&amp;"|"&amp;C459)</f>
        <v>MFD-ISW → MFD-CPF|JN°453</v>
      </c>
    </row>
    <row r="460" customFormat="false" ht="74.6" hidden="false" customHeight="false" outlineLevel="0" collapsed="false">
      <c r="A460" s="82" t="n">
        <f aca="false">IF(C460="","",ROW()-6)</f>
        <v>454</v>
      </c>
      <c r="B460" s="80" t="s">
        <v>110</v>
      </c>
      <c r="C460" s="113" t="s">
        <v>564</v>
      </c>
      <c r="D460" s="82" t="str">
        <f aca="false">IF(OR(C460="",P460=""),"",INDEX('CARNET DE SOUDURE'!$D$7:$D$3006,P460)&amp;"")</f>
        <v/>
      </c>
      <c r="E460" s="114" t="str">
        <f aca="false">IF(OR(C460="",P460=""),"",IF(INDEX('CARNET DE SOUDURE'!$U$7:$U$3006,P460)="","",INDEX('CARNET DE SOUDURE'!$U$7:$U$3006,P460)))</f>
        <v/>
      </c>
      <c r="F460" s="82" t="str">
        <f aca="false">IF(OR(C460="",P460=""),"",INDEX('CARNET DE SOUDURE'!$AP$7:$AP$3006,P460))</f>
        <v/>
      </c>
      <c r="G460" s="82" t="str">
        <f aca="false">IF(C460="","",IF(P460="","NJ INCONNU",INDEX('CARNET DE SOUDURE'!$AQ$7:$AQ$3006,P460)))</f>
        <v>À SOUDER</v>
      </c>
      <c r="H460" s="82" t="str">
        <f aca="false">IF(C460="","",IF(G460="ACCEPTÉ","OUI","NON"))</f>
        <v>NON</v>
      </c>
      <c r="I460" s="83"/>
      <c r="J460" s="80"/>
      <c r="K460" s="81"/>
      <c r="L460" s="81"/>
      <c r="M460" s="81"/>
      <c r="N460" s="84" t="str">
        <f aca="false">IF(C460="","",IF(P460="","NJ INCONNU",IF(I460="",IF(H460="OUI","À ENROBER",IF(G460="À SOUDER","NON SOUDÉ","EN ATTENTE RT")),IF(L460="R","À REPRENDRE",IF(H460&lt;&gt;"OUI","⚠ ENROBÉ AVANT ACCEPTATION RT","ENROBÉ")))))</f>
        <v>NON SOUDÉ</v>
      </c>
      <c r="O460" s="80"/>
      <c r="P460" s="82" t="n">
        <f aca="false">IF(C460="","",IFERROR(MATCH(Q460,'CARNET DE SOUDURE'!$AW$7:$AW$3006,0),""))</f>
        <v>454</v>
      </c>
      <c r="Q460" s="82" t="str">
        <f aca="false">IF(C460="","",B460&amp;"|"&amp;C460)</f>
        <v>MFD-ISW → MFD-CPF|JN°454</v>
      </c>
    </row>
    <row r="461" customFormat="false" ht="74.6" hidden="false" customHeight="false" outlineLevel="0" collapsed="false">
      <c r="A461" s="82" t="n">
        <f aca="false">IF(C461="","",ROW()-6)</f>
        <v>455</v>
      </c>
      <c r="B461" s="80" t="s">
        <v>110</v>
      </c>
      <c r="C461" s="113" t="s">
        <v>565</v>
      </c>
      <c r="D461" s="82" t="str">
        <f aca="false">IF(OR(C461="",P461=""),"",INDEX('CARNET DE SOUDURE'!$D$7:$D$3006,P461)&amp;"")</f>
        <v/>
      </c>
      <c r="E461" s="114" t="str">
        <f aca="false">IF(OR(C461="",P461=""),"",IF(INDEX('CARNET DE SOUDURE'!$U$7:$U$3006,P461)="","",INDEX('CARNET DE SOUDURE'!$U$7:$U$3006,P461)))</f>
        <v/>
      </c>
      <c r="F461" s="82" t="str">
        <f aca="false">IF(OR(C461="",P461=""),"",INDEX('CARNET DE SOUDURE'!$AP$7:$AP$3006,P461))</f>
        <v/>
      </c>
      <c r="G461" s="82" t="str">
        <f aca="false">IF(C461="","",IF(P461="","NJ INCONNU",INDEX('CARNET DE SOUDURE'!$AQ$7:$AQ$3006,P461)))</f>
        <v>À SOUDER</v>
      </c>
      <c r="H461" s="82" t="str">
        <f aca="false">IF(C461="","",IF(G461="ACCEPTÉ","OUI","NON"))</f>
        <v>NON</v>
      </c>
      <c r="I461" s="83"/>
      <c r="J461" s="80"/>
      <c r="K461" s="81"/>
      <c r="L461" s="81"/>
      <c r="M461" s="81"/>
      <c r="N461" s="84" t="str">
        <f aca="false">IF(C461="","",IF(P461="","NJ INCONNU",IF(I461="",IF(H461="OUI","À ENROBER",IF(G461="À SOUDER","NON SOUDÉ","EN ATTENTE RT")),IF(L461="R","À REPRENDRE",IF(H461&lt;&gt;"OUI","⚠ ENROBÉ AVANT ACCEPTATION RT","ENROBÉ")))))</f>
        <v>NON SOUDÉ</v>
      </c>
      <c r="O461" s="80"/>
      <c r="P461" s="82" t="n">
        <f aca="false">IF(C461="","",IFERROR(MATCH(Q461,'CARNET DE SOUDURE'!$AW$7:$AW$3006,0),""))</f>
        <v>455</v>
      </c>
      <c r="Q461" s="82" t="str">
        <f aca="false">IF(C461="","",B461&amp;"|"&amp;C461)</f>
        <v>MFD-ISW → MFD-CPF|JN°455</v>
      </c>
    </row>
    <row r="462" customFormat="false" ht="74.6" hidden="false" customHeight="false" outlineLevel="0" collapsed="false">
      <c r="A462" s="82" t="n">
        <f aca="false">IF(C462="","",ROW()-6)</f>
        <v>456</v>
      </c>
      <c r="B462" s="80" t="s">
        <v>110</v>
      </c>
      <c r="C462" s="113" t="s">
        <v>566</v>
      </c>
      <c r="D462" s="82" t="str">
        <f aca="false">IF(OR(C462="",P462=""),"",INDEX('CARNET DE SOUDURE'!$D$7:$D$3006,P462)&amp;"")</f>
        <v/>
      </c>
      <c r="E462" s="114" t="str">
        <f aca="false">IF(OR(C462="",P462=""),"",IF(INDEX('CARNET DE SOUDURE'!$U$7:$U$3006,P462)="","",INDEX('CARNET DE SOUDURE'!$U$7:$U$3006,P462)))</f>
        <v/>
      </c>
      <c r="F462" s="82" t="str">
        <f aca="false">IF(OR(C462="",P462=""),"",INDEX('CARNET DE SOUDURE'!$AP$7:$AP$3006,P462))</f>
        <v/>
      </c>
      <c r="G462" s="82" t="str">
        <f aca="false">IF(C462="","",IF(P462="","NJ INCONNU",INDEX('CARNET DE SOUDURE'!$AQ$7:$AQ$3006,P462)))</f>
        <v>À SOUDER</v>
      </c>
      <c r="H462" s="82" t="str">
        <f aca="false">IF(C462="","",IF(G462="ACCEPTÉ","OUI","NON"))</f>
        <v>NON</v>
      </c>
      <c r="I462" s="83"/>
      <c r="J462" s="80"/>
      <c r="K462" s="81"/>
      <c r="L462" s="81"/>
      <c r="M462" s="81"/>
      <c r="N462" s="84" t="str">
        <f aca="false">IF(C462="","",IF(P462="","NJ INCONNU",IF(I462="",IF(H462="OUI","À ENROBER",IF(G462="À SOUDER","NON SOUDÉ","EN ATTENTE RT")),IF(L462="R","À REPRENDRE",IF(H462&lt;&gt;"OUI","⚠ ENROBÉ AVANT ACCEPTATION RT","ENROBÉ")))))</f>
        <v>NON SOUDÉ</v>
      </c>
      <c r="O462" s="80"/>
      <c r="P462" s="82" t="n">
        <f aca="false">IF(C462="","",IFERROR(MATCH(Q462,'CARNET DE SOUDURE'!$AW$7:$AW$3006,0),""))</f>
        <v>456</v>
      </c>
      <c r="Q462" s="82" t="str">
        <f aca="false">IF(C462="","",B462&amp;"|"&amp;C462)</f>
        <v>MFD-ISW → MFD-CPF|JN°456</v>
      </c>
    </row>
    <row r="463" customFormat="false" ht="74.6" hidden="false" customHeight="false" outlineLevel="0" collapsed="false">
      <c r="A463" s="82" t="n">
        <f aca="false">IF(C463="","",ROW()-6)</f>
        <v>457</v>
      </c>
      <c r="B463" s="80" t="s">
        <v>110</v>
      </c>
      <c r="C463" s="113" t="s">
        <v>567</v>
      </c>
      <c r="D463" s="82" t="str">
        <f aca="false">IF(OR(C463="",P463=""),"",INDEX('CARNET DE SOUDURE'!$D$7:$D$3006,P463)&amp;"")</f>
        <v/>
      </c>
      <c r="E463" s="114" t="str">
        <f aca="false">IF(OR(C463="",P463=""),"",IF(INDEX('CARNET DE SOUDURE'!$U$7:$U$3006,P463)="","",INDEX('CARNET DE SOUDURE'!$U$7:$U$3006,P463)))</f>
        <v/>
      </c>
      <c r="F463" s="82" t="str">
        <f aca="false">IF(OR(C463="",P463=""),"",INDEX('CARNET DE SOUDURE'!$AP$7:$AP$3006,P463))</f>
        <v/>
      </c>
      <c r="G463" s="82" t="str">
        <f aca="false">IF(C463="","",IF(P463="","NJ INCONNU",INDEX('CARNET DE SOUDURE'!$AQ$7:$AQ$3006,P463)))</f>
        <v>À SOUDER</v>
      </c>
      <c r="H463" s="82" t="str">
        <f aca="false">IF(C463="","",IF(G463="ACCEPTÉ","OUI","NON"))</f>
        <v>NON</v>
      </c>
      <c r="I463" s="83"/>
      <c r="J463" s="80"/>
      <c r="K463" s="81"/>
      <c r="L463" s="81"/>
      <c r="M463" s="81"/>
      <c r="N463" s="84" t="str">
        <f aca="false">IF(C463="","",IF(P463="","NJ INCONNU",IF(I463="",IF(H463="OUI","À ENROBER",IF(G463="À SOUDER","NON SOUDÉ","EN ATTENTE RT")),IF(L463="R","À REPRENDRE",IF(H463&lt;&gt;"OUI","⚠ ENROBÉ AVANT ACCEPTATION RT","ENROBÉ")))))</f>
        <v>NON SOUDÉ</v>
      </c>
      <c r="O463" s="80"/>
      <c r="P463" s="82" t="n">
        <f aca="false">IF(C463="","",IFERROR(MATCH(Q463,'CARNET DE SOUDURE'!$AW$7:$AW$3006,0),""))</f>
        <v>457</v>
      </c>
      <c r="Q463" s="82" t="str">
        <f aca="false">IF(C463="","",B463&amp;"|"&amp;C463)</f>
        <v>MFD-ISW → MFD-CPF|JN°457</v>
      </c>
    </row>
    <row r="464" customFormat="false" ht="74.6" hidden="false" customHeight="false" outlineLevel="0" collapsed="false">
      <c r="A464" s="82" t="n">
        <f aca="false">IF(C464="","",ROW()-6)</f>
        <v>458</v>
      </c>
      <c r="B464" s="80" t="s">
        <v>110</v>
      </c>
      <c r="C464" s="113" t="s">
        <v>568</v>
      </c>
      <c r="D464" s="82" t="str">
        <f aca="false">IF(OR(C464="",P464=""),"",INDEX('CARNET DE SOUDURE'!$D$7:$D$3006,P464)&amp;"")</f>
        <v/>
      </c>
      <c r="E464" s="114" t="str">
        <f aca="false">IF(OR(C464="",P464=""),"",IF(INDEX('CARNET DE SOUDURE'!$U$7:$U$3006,P464)="","",INDEX('CARNET DE SOUDURE'!$U$7:$U$3006,P464)))</f>
        <v/>
      </c>
      <c r="F464" s="82" t="str">
        <f aca="false">IF(OR(C464="",P464=""),"",INDEX('CARNET DE SOUDURE'!$AP$7:$AP$3006,P464))</f>
        <v/>
      </c>
      <c r="G464" s="82" t="str">
        <f aca="false">IF(C464="","",IF(P464="","NJ INCONNU",INDEX('CARNET DE SOUDURE'!$AQ$7:$AQ$3006,P464)))</f>
        <v>À SOUDER</v>
      </c>
      <c r="H464" s="82" t="str">
        <f aca="false">IF(C464="","",IF(G464="ACCEPTÉ","OUI","NON"))</f>
        <v>NON</v>
      </c>
      <c r="I464" s="83"/>
      <c r="J464" s="80"/>
      <c r="K464" s="81"/>
      <c r="L464" s="81"/>
      <c r="M464" s="81"/>
      <c r="N464" s="84" t="str">
        <f aca="false">IF(C464="","",IF(P464="","NJ INCONNU",IF(I464="",IF(H464="OUI","À ENROBER",IF(G464="À SOUDER","NON SOUDÉ","EN ATTENTE RT")),IF(L464="R","À REPRENDRE",IF(H464&lt;&gt;"OUI","⚠ ENROBÉ AVANT ACCEPTATION RT","ENROBÉ")))))</f>
        <v>NON SOUDÉ</v>
      </c>
      <c r="O464" s="80"/>
      <c r="P464" s="82" t="n">
        <f aca="false">IF(C464="","",IFERROR(MATCH(Q464,'CARNET DE SOUDURE'!$AW$7:$AW$3006,0),""))</f>
        <v>458</v>
      </c>
      <c r="Q464" s="82" t="str">
        <f aca="false">IF(C464="","",B464&amp;"|"&amp;C464)</f>
        <v>MFD-ISW → MFD-CPF|JN°458</v>
      </c>
    </row>
    <row r="465" customFormat="false" ht="74.6" hidden="false" customHeight="false" outlineLevel="0" collapsed="false">
      <c r="A465" s="82" t="n">
        <f aca="false">IF(C465="","",ROW()-6)</f>
        <v>459</v>
      </c>
      <c r="B465" s="80" t="s">
        <v>110</v>
      </c>
      <c r="C465" s="113" t="s">
        <v>569</v>
      </c>
      <c r="D465" s="82" t="str">
        <f aca="false">IF(OR(C465="",P465=""),"",INDEX('CARNET DE SOUDURE'!$D$7:$D$3006,P465)&amp;"")</f>
        <v/>
      </c>
      <c r="E465" s="114" t="str">
        <f aca="false">IF(OR(C465="",P465=""),"",IF(INDEX('CARNET DE SOUDURE'!$U$7:$U$3006,P465)="","",INDEX('CARNET DE SOUDURE'!$U$7:$U$3006,P465)))</f>
        <v/>
      </c>
      <c r="F465" s="82" t="str">
        <f aca="false">IF(OR(C465="",P465=""),"",INDEX('CARNET DE SOUDURE'!$AP$7:$AP$3006,P465))</f>
        <v/>
      </c>
      <c r="G465" s="82" t="str">
        <f aca="false">IF(C465="","",IF(P465="","NJ INCONNU",INDEX('CARNET DE SOUDURE'!$AQ$7:$AQ$3006,P465)))</f>
        <v>À SOUDER</v>
      </c>
      <c r="H465" s="82" t="str">
        <f aca="false">IF(C465="","",IF(G465="ACCEPTÉ","OUI","NON"))</f>
        <v>NON</v>
      </c>
      <c r="I465" s="83"/>
      <c r="J465" s="80"/>
      <c r="K465" s="81"/>
      <c r="L465" s="81"/>
      <c r="M465" s="81"/>
      <c r="N465" s="84" t="str">
        <f aca="false">IF(C465="","",IF(P465="","NJ INCONNU",IF(I465="",IF(H465="OUI","À ENROBER",IF(G465="À SOUDER","NON SOUDÉ","EN ATTENTE RT")),IF(L465="R","À REPRENDRE",IF(H465&lt;&gt;"OUI","⚠ ENROBÉ AVANT ACCEPTATION RT","ENROBÉ")))))</f>
        <v>NON SOUDÉ</v>
      </c>
      <c r="O465" s="80"/>
      <c r="P465" s="82" t="n">
        <f aca="false">IF(C465="","",IFERROR(MATCH(Q465,'CARNET DE SOUDURE'!$AW$7:$AW$3006,0),""))</f>
        <v>459</v>
      </c>
      <c r="Q465" s="82" t="str">
        <f aca="false">IF(C465="","",B465&amp;"|"&amp;C465)</f>
        <v>MFD-ISW → MFD-CPF|JN°459</v>
      </c>
    </row>
    <row r="466" customFormat="false" ht="74.6" hidden="false" customHeight="false" outlineLevel="0" collapsed="false">
      <c r="A466" s="82" t="n">
        <f aca="false">IF(C466="","",ROW()-6)</f>
        <v>460</v>
      </c>
      <c r="B466" s="80" t="s">
        <v>110</v>
      </c>
      <c r="C466" s="113" t="s">
        <v>570</v>
      </c>
      <c r="D466" s="82" t="str">
        <f aca="false">IF(OR(C466="",P466=""),"",INDEX('CARNET DE SOUDURE'!$D$7:$D$3006,P466)&amp;"")</f>
        <v/>
      </c>
      <c r="E466" s="114" t="str">
        <f aca="false">IF(OR(C466="",P466=""),"",IF(INDEX('CARNET DE SOUDURE'!$U$7:$U$3006,P466)="","",INDEX('CARNET DE SOUDURE'!$U$7:$U$3006,P466)))</f>
        <v/>
      </c>
      <c r="F466" s="82" t="str">
        <f aca="false">IF(OR(C466="",P466=""),"",INDEX('CARNET DE SOUDURE'!$AP$7:$AP$3006,P466))</f>
        <v/>
      </c>
      <c r="G466" s="82" t="str">
        <f aca="false">IF(C466="","",IF(P466="","NJ INCONNU",INDEX('CARNET DE SOUDURE'!$AQ$7:$AQ$3006,P466)))</f>
        <v>À SOUDER</v>
      </c>
      <c r="H466" s="82" t="str">
        <f aca="false">IF(C466="","",IF(G466="ACCEPTÉ","OUI","NON"))</f>
        <v>NON</v>
      </c>
      <c r="I466" s="83"/>
      <c r="J466" s="80"/>
      <c r="K466" s="81"/>
      <c r="L466" s="81"/>
      <c r="M466" s="81"/>
      <c r="N466" s="84" t="str">
        <f aca="false">IF(C466="","",IF(P466="","NJ INCONNU",IF(I466="",IF(H466="OUI","À ENROBER",IF(G466="À SOUDER","NON SOUDÉ","EN ATTENTE RT")),IF(L466="R","À REPRENDRE",IF(H466&lt;&gt;"OUI","⚠ ENROBÉ AVANT ACCEPTATION RT","ENROBÉ")))))</f>
        <v>NON SOUDÉ</v>
      </c>
      <c r="O466" s="80"/>
      <c r="P466" s="82" t="n">
        <f aca="false">IF(C466="","",IFERROR(MATCH(Q466,'CARNET DE SOUDURE'!$AW$7:$AW$3006,0),""))</f>
        <v>460</v>
      </c>
      <c r="Q466" s="82" t="str">
        <f aca="false">IF(C466="","",B466&amp;"|"&amp;C466)</f>
        <v>MFD-ISW → MFD-CPF|JN°460</v>
      </c>
    </row>
    <row r="467" customFormat="false" ht="74.6" hidden="false" customHeight="false" outlineLevel="0" collapsed="false">
      <c r="A467" s="82" t="n">
        <f aca="false">IF(C467="","",ROW()-6)</f>
        <v>461</v>
      </c>
      <c r="B467" s="80" t="s">
        <v>110</v>
      </c>
      <c r="C467" s="113" t="s">
        <v>571</v>
      </c>
      <c r="D467" s="82" t="str">
        <f aca="false">IF(OR(C467="",P467=""),"",INDEX('CARNET DE SOUDURE'!$D$7:$D$3006,P467)&amp;"")</f>
        <v/>
      </c>
      <c r="E467" s="114" t="str">
        <f aca="false">IF(OR(C467="",P467=""),"",IF(INDEX('CARNET DE SOUDURE'!$U$7:$U$3006,P467)="","",INDEX('CARNET DE SOUDURE'!$U$7:$U$3006,P467)))</f>
        <v/>
      </c>
      <c r="F467" s="82" t="str">
        <f aca="false">IF(OR(C467="",P467=""),"",INDEX('CARNET DE SOUDURE'!$AP$7:$AP$3006,P467))</f>
        <v/>
      </c>
      <c r="G467" s="82" t="str">
        <f aca="false">IF(C467="","",IF(P467="","NJ INCONNU",INDEX('CARNET DE SOUDURE'!$AQ$7:$AQ$3006,P467)))</f>
        <v>À SOUDER</v>
      </c>
      <c r="H467" s="82" t="str">
        <f aca="false">IF(C467="","",IF(G467="ACCEPTÉ","OUI","NON"))</f>
        <v>NON</v>
      </c>
      <c r="I467" s="83"/>
      <c r="J467" s="80"/>
      <c r="K467" s="81"/>
      <c r="L467" s="81"/>
      <c r="M467" s="81"/>
      <c r="N467" s="84" t="str">
        <f aca="false">IF(C467="","",IF(P467="","NJ INCONNU",IF(I467="",IF(H467="OUI","À ENROBER",IF(G467="À SOUDER","NON SOUDÉ","EN ATTENTE RT")),IF(L467="R","À REPRENDRE",IF(H467&lt;&gt;"OUI","⚠ ENROBÉ AVANT ACCEPTATION RT","ENROBÉ")))))</f>
        <v>NON SOUDÉ</v>
      </c>
      <c r="O467" s="80"/>
      <c r="P467" s="82" t="n">
        <f aca="false">IF(C467="","",IFERROR(MATCH(Q467,'CARNET DE SOUDURE'!$AW$7:$AW$3006,0),""))</f>
        <v>461</v>
      </c>
      <c r="Q467" s="82" t="str">
        <f aca="false">IF(C467="","",B467&amp;"|"&amp;C467)</f>
        <v>MFD-ISW → MFD-CPF|JN°461</v>
      </c>
    </row>
    <row r="468" customFormat="false" ht="74.6" hidden="false" customHeight="false" outlineLevel="0" collapsed="false">
      <c r="A468" s="82" t="n">
        <f aca="false">IF(C468="","",ROW()-6)</f>
        <v>462</v>
      </c>
      <c r="B468" s="80" t="s">
        <v>110</v>
      </c>
      <c r="C468" s="113" t="s">
        <v>572</v>
      </c>
      <c r="D468" s="82" t="str">
        <f aca="false">IF(OR(C468="",P468=""),"",INDEX('CARNET DE SOUDURE'!$D$7:$D$3006,P468)&amp;"")</f>
        <v/>
      </c>
      <c r="E468" s="114" t="str">
        <f aca="false">IF(OR(C468="",P468=""),"",IF(INDEX('CARNET DE SOUDURE'!$U$7:$U$3006,P468)="","",INDEX('CARNET DE SOUDURE'!$U$7:$U$3006,P468)))</f>
        <v/>
      </c>
      <c r="F468" s="82" t="str">
        <f aca="false">IF(OR(C468="",P468=""),"",INDEX('CARNET DE SOUDURE'!$AP$7:$AP$3006,P468))</f>
        <v/>
      </c>
      <c r="G468" s="82" t="str">
        <f aca="false">IF(C468="","",IF(P468="","NJ INCONNU",INDEX('CARNET DE SOUDURE'!$AQ$7:$AQ$3006,P468)))</f>
        <v>À SOUDER</v>
      </c>
      <c r="H468" s="82" t="str">
        <f aca="false">IF(C468="","",IF(G468="ACCEPTÉ","OUI","NON"))</f>
        <v>NON</v>
      </c>
      <c r="I468" s="83"/>
      <c r="J468" s="80"/>
      <c r="K468" s="81"/>
      <c r="L468" s="81"/>
      <c r="M468" s="81"/>
      <c r="N468" s="84" t="str">
        <f aca="false">IF(C468="","",IF(P468="","NJ INCONNU",IF(I468="",IF(H468="OUI","À ENROBER",IF(G468="À SOUDER","NON SOUDÉ","EN ATTENTE RT")),IF(L468="R","À REPRENDRE",IF(H468&lt;&gt;"OUI","⚠ ENROBÉ AVANT ACCEPTATION RT","ENROBÉ")))))</f>
        <v>NON SOUDÉ</v>
      </c>
      <c r="O468" s="80"/>
      <c r="P468" s="82" t="n">
        <f aca="false">IF(C468="","",IFERROR(MATCH(Q468,'CARNET DE SOUDURE'!$AW$7:$AW$3006,0),""))</f>
        <v>462</v>
      </c>
      <c r="Q468" s="82" t="str">
        <f aca="false">IF(C468="","",B468&amp;"|"&amp;C468)</f>
        <v>MFD-ISW → MFD-CPF|JN°462</v>
      </c>
    </row>
    <row r="469" customFormat="false" ht="74.6" hidden="false" customHeight="false" outlineLevel="0" collapsed="false">
      <c r="A469" s="82" t="n">
        <f aca="false">IF(C469="","",ROW()-6)</f>
        <v>463</v>
      </c>
      <c r="B469" s="80" t="s">
        <v>110</v>
      </c>
      <c r="C469" s="113" t="s">
        <v>573</v>
      </c>
      <c r="D469" s="82" t="str">
        <f aca="false">IF(OR(C469="",P469=""),"",INDEX('CARNET DE SOUDURE'!$D$7:$D$3006,P469)&amp;"")</f>
        <v/>
      </c>
      <c r="E469" s="114" t="str">
        <f aca="false">IF(OR(C469="",P469=""),"",IF(INDEX('CARNET DE SOUDURE'!$U$7:$U$3006,P469)="","",INDEX('CARNET DE SOUDURE'!$U$7:$U$3006,P469)))</f>
        <v/>
      </c>
      <c r="F469" s="82" t="str">
        <f aca="false">IF(OR(C469="",P469=""),"",INDEX('CARNET DE SOUDURE'!$AP$7:$AP$3006,P469))</f>
        <v/>
      </c>
      <c r="G469" s="82" t="str">
        <f aca="false">IF(C469="","",IF(P469="","NJ INCONNU",INDEX('CARNET DE SOUDURE'!$AQ$7:$AQ$3006,P469)))</f>
        <v>À SOUDER</v>
      </c>
      <c r="H469" s="82" t="str">
        <f aca="false">IF(C469="","",IF(G469="ACCEPTÉ","OUI","NON"))</f>
        <v>NON</v>
      </c>
      <c r="I469" s="83"/>
      <c r="J469" s="80"/>
      <c r="K469" s="81"/>
      <c r="L469" s="81"/>
      <c r="M469" s="81"/>
      <c r="N469" s="84" t="str">
        <f aca="false">IF(C469="","",IF(P469="","NJ INCONNU",IF(I469="",IF(H469="OUI","À ENROBER",IF(G469="À SOUDER","NON SOUDÉ","EN ATTENTE RT")),IF(L469="R","À REPRENDRE",IF(H469&lt;&gt;"OUI","⚠ ENROBÉ AVANT ACCEPTATION RT","ENROBÉ")))))</f>
        <v>NON SOUDÉ</v>
      </c>
      <c r="O469" s="80"/>
      <c r="P469" s="82" t="n">
        <f aca="false">IF(C469="","",IFERROR(MATCH(Q469,'CARNET DE SOUDURE'!$AW$7:$AW$3006,0),""))</f>
        <v>463</v>
      </c>
      <c r="Q469" s="82" t="str">
        <f aca="false">IF(C469="","",B469&amp;"|"&amp;C469)</f>
        <v>MFD-ISW → MFD-CPF|JN°463</v>
      </c>
    </row>
    <row r="470" customFormat="false" ht="74.6" hidden="false" customHeight="false" outlineLevel="0" collapsed="false">
      <c r="A470" s="82" t="n">
        <f aca="false">IF(C470="","",ROW()-6)</f>
        <v>464</v>
      </c>
      <c r="B470" s="80" t="s">
        <v>110</v>
      </c>
      <c r="C470" s="113" t="s">
        <v>574</v>
      </c>
      <c r="D470" s="82" t="str">
        <f aca="false">IF(OR(C470="",P470=""),"",INDEX('CARNET DE SOUDURE'!$D$7:$D$3006,P470)&amp;"")</f>
        <v/>
      </c>
      <c r="E470" s="114" t="str">
        <f aca="false">IF(OR(C470="",P470=""),"",IF(INDEX('CARNET DE SOUDURE'!$U$7:$U$3006,P470)="","",INDEX('CARNET DE SOUDURE'!$U$7:$U$3006,P470)))</f>
        <v/>
      </c>
      <c r="F470" s="82" t="str">
        <f aca="false">IF(OR(C470="",P470=""),"",INDEX('CARNET DE SOUDURE'!$AP$7:$AP$3006,P470))</f>
        <v/>
      </c>
      <c r="G470" s="82" t="str">
        <f aca="false">IF(C470="","",IF(P470="","NJ INCONNU",INDEX('CARNET DE SOUDURE'!$AQ$7:$AQ$3006,P470)))</f>
        <v>À SOUDER</v>
      </c>
      <c r="H470" s="82" t="str">
        <f aca="false">IF(C470="","",IF(G470="ACCEPTÉ","OUI","NON"))</f>
        <v>NON</v>
      </c>
      <c r="I470" s="83"/>
      <c r="J470" s="80"/>
      <c r="K470" s="81"/>
      <c r="L470" s="81"/>
      <c r="M470" s="81"/>
      <c r="N470" s="84" t="str">
        <f aca="false">IF(C470="","",IF(P470="","NJ INCONNU",IF(I470="",IF(H470="OUI","À ENROBER",IF(G470="À SOUDER","NON SOUDÉ","EN ATTENTE RT")),IF(L470="R","À REPRENDRE",IF(H470&lt;&gt;"OUI","⚠ ENROBÉ AVANT ACCEPTATION RT","ENROBÉ")))))</f>
        <v>NON SOUDÉ</v>
      </c>
      <c r="O470" s="80"/>
      <c r="P470" s="82" t="n">
        <f aca="false">IF(C470="","",IFERROR(MATCH(Q470,'CARNET DE SOUDURE'!$AW$7:$AW$3006,0),""))</f>
        <v>464</v>
      </c>
      <c r="Q470" s="82" t="str">
        <f aca="false">IF(C470="","",B470&amp;"|"&amp;C470)</f>
        <v>MFD-ISW → MFD-CPF|JN°464</v>
      </c>
    </row>
    <row r="471" customFormat="false" ht="74.6" hidden="false" customHeight="false" outlineLevel="0" collapsed="false">
      <c r="A471" s="82" t="n">
        <f aca="false">IF(C471="","",ROW()-6)</f>
        <v>465</v>
      </c>
      <c r="B471" s="80" t="s">
        <v>110</v>
      </c>
      <c r="C471" s="113" t="s">
        <v>575</v>
      </c>
      <c r="D471" s="82" t="str">
        <f aca="false">IF(OR(C471="",P471=""),"",INDEX('CARNET DE SOUDURE'!$D$7:$D$3006,P471)&amp;"")</f>
        <v/>
      </c>
      <c r="E471" s="114" t="str">
        <f aca="false">IF(OR(C471="",P471=""),"",IF(INDEX('CARNET DE SOUDURE'!$U$7:$U$3006,P471)="","",INDEX('CARNET DE SOUDURE'!$U$7:$U$3006,P471)))</f>
        <v/>
      </c>
      <c r="F471" s="82" t="str">
        <f aca="false">IF(OR(C471="",P471=""),"",INDEX('CARNET DE SOUDURE'!$AP$7:$AP$3006,P471))</f>
        <v/>
      </c>
      <c r="G471" s="82" t="str">
        <f aca="false">IF(C471="","",IF(P471="","NJ INCONNU",INDEX('CARNET DE SOUDURE'!$AQ$7:$AQ$3006,P471)))</f>
        <v>À SOUDER</v>
      </c>
      <c r="H471" s="82" t="str">
        <f aca="false">IF(C471="","",IF(G471="ACCEPTÉ","OUI","NON"))</f>
        <v>NON</v>
      </c>
      <c r="I471" s="83"/>
      <c r="J471" s="80"/>
      <c r="K471" s="81"/>
      <c r="L471" s="81"/>
      <c r="M471" s="81"/>
      <c r="N471" s="84" t="str">
        <f aca="false">IF(C471="","",IF(P471="","NJ INCONNU",IF(I471="",IF(H471="OUI","À ENROBER",IF(G471="À SOUDER","NON SOUDÉ","EN ATTENTE RT")),IF(L471="R","À REPRENDRE",IF(H471&lt;&gt;"OUI","⚠ ENROBÉ AVANT ACCEPTATION RT","ENROBÉ")))))</f>
        <v>NON SOUDÉ</v>
      </c>
      <c r="O471" s="80"/>
      <c r="P471" s="82" t="n">
        <f aca="false">IF(C471="","",IFERROR(MATCH(Q471,'CARNET DE SOUDURE'!$AW$7:$AW$3006,0),""))</f>
        <v>465</v>
      </c>
      <c r="Q471" s="82" t="str">
        <f aca="false">IF(C471="","",B471&amp;"|"&amp;C471)</f>
        <v>MFD-ISW → MFD-CPF|JN°465</v>
      </c>
    </row>
    <row r="472" customFormat="false" ht="74.6" hidden="false" customHeight="false" outlineLevel="0" collapsed="false">
      <c r="A472" s="82" t="n">
        <f aca="false">IF(C472="","",ROW()-6)</f>
        <v>466</v>
      </c>
      <c r="B472" s="80" t="s">
        <v>110</v>
      </c>
      <c r="C472" s="113" t="s">
        <v>576</v>
      </c>
      <c r="D472" s="82" t="str">
        <f aca="false">IF(OR(C472="",P472=""),"",INDEX('CARNET DE SOUDURE'!$D$7:$D$3006,P472)&amp;"")</f>
        <v/>
      </c>
      <c r="E472" s="114" t="str">
        <f aca="false">IF(OR(C472="",P472=""),"",IF(INDEX('CARNET DE SOUDURE'!$U$7:$U$3006,P472)="","",INDEX('CARNET DE SOUDURE'!$U$7:$U$3006,P472)))</f>
        <v/>
      </c>
      <c r="F472" s="82" t="str">
        <f aca="false">IF(OR(C472="",P472=""),"",INDEX('CARNET DE SOUDURE'!$AP$7:$AP$3006,P472))</f>
        <v/>
      </c>
      <c r="G472" s="82" t="str">
        <f aca="false">IF(C472="","",IF(P472="","NJ INCONNU",INDEX('CARNET DE SOUDURE'!$AQ$7:$AQ$3006,P472)))</f>
        <v>À SOUDER</v>
      </c>
      <c r="H472" s="82" t="str">
        <f aca="false">IF(C472="","",IF(G472="ACCEPTÉ","OUI","NON"))</f>
        <v>NON</v>
      </c>
      <c r="I472" s="83"/>
      <c r="J472" s="80"/>
      <c r="K472" s="81"/>
      <c r="L472" s="81"/>
      <c r="M472" s="81"/>
      <c r="N472" s="84" t="str">
        <f aca="false">IF(C472="","",IF(P472="","NJ INCONNU",IF(I472="",IF(H472="OUI","À ENROBER",IF(G472="À SOUDER","NON SOUDÉ","EN ATTENTE RT")),IF(L472="R","À REPRENDRE",IF(H472&lt;&gt;"OUI","⚠ ENROBÉ AVANT ACCEPTATION RT","ENROBÉ")))))</f>
        <v>NON SOUDÉ</v>
      </c>
      <c r="O472" s="80"/>
      <c r="P472" s="82" t="n">
        <f aca="false">IF(C472="","",IFERROR(MATCH(Q472,'CARNET DE SOUDURE'!$AW$7:$AW$3006,0),""))</f>
        <v>466</v>
      </c>
      <c r="Q472" s="82" t="str">
        <f aca="false">IF(C472="","",B472&amp;"|"&amp;C472)</f>
        <v>MFD-ISW → MFD-CPF|JN°466</v>
      </c>
    </row>
    <row r="473" customFormat="false" ht="74.6" hidden="false" customHeight="false" outlineLevel="0" collapsed="false">
      <c r="A473" s="82" t="n">
        <f aca="false">IF(C473="","",ROW()-6)</f>
        <v>467</v>
      </c>
      <c r="B473" s="80" t="s">
        <v>110</v>
      </c>
      <c r="C473" s="113" t="s">
        <v>577</v>
      </c>
      <c r="D473" s="82" t="str">
        <f aca="false">IF(OR(C473="",P473=""),"",INDEX('CARNET DE SOUDURE'!$D$7:$D$3006,P473)&amp;"")</f>
        <v/>
      </c>
      <c r="E473" s="114" t="str">
        <f aca="false">IF(OR(C473="",P473=""),"",IF(INDEX('CARNET DE SOUDURE'!$U$7:$U$3006,P473)="","",INDEX('CARNET DE SOUDURE'!$U$7:$U$3006,P473)))</f>
        <v/>
      </c>
      <c r="F473" s="82" t="str">
        <f aca="false">IF(OR(C473="",P473=""),"",INDEX('CARNET DE SOUDURE'!$AP$7:$AP$3006,P473))</f>
        <v/>
      </c>
      <c r="G473" s="82" t="str">
        <f aca="false">IF(C473="","",IF(P473="","NJ INCONNU",INDEX('CARNET DE SOUDURE'!$AQ$7:$AQ$3006,P473)))</f>
        <v>À SOUDER</v>
      </c>
      <c r="H473" s="82" t="str">
        <f aca="false">IF(C473="","",IF(G473="ACCEPTÉ","OUI","NON"))</f>
        <v>NON</v>
      </c>
      <c r="I473" s="83"/>
      <c r="J473" s="80"/>
      <c r="K473" s="81"/>
      <c r="L473" s="81"/>
      <c r="M473" s="81"/>
      <c r="N473" s="84" t="str">
        <f aca="false">IF(C473="","",IF(P473="","NJ INCONNU",IF(I473="",IF(H473="OUI","À ENROBER",IF(G473="À SOUDER","NON SOUDÉ","EN ATTENTE RT")),IF(L473="R","À REPRENDRE",IF(H473&lt;&gt;"OUI","⚠ ENROBÉ AVANT ACCEPTATION RT","ENROBÉ")))))</f>
        <v>NON SOUDÉ</v>
      </c>
      <c r="O473" s="80"/>
      <c r="P473" s="82" t="n">
        <f aca="false">IF(C473="","",IFERROR(MATCH(Q473,'CARNET DE SOUDURE'!$AW$7:$AW$3006,0),""))</f>
        <v>467</v>
      </c>
      <c r="Q473" s="82" t="str">
        <f aca="false">IF(C473="","",B473&amp;"|"&amp;C473)</f>
        <v>MFD-ISW → MFD-CPF|JN°467</v>
      </c>
    </row>
    <row r="474" customFormat="false" ht="74.6" hidden="false" customHeight="false" outlineLevel="0" collapsed="false">
      <c r="A474" s="82" t="n">
        <f aca="false">IF(C474="","",ROW()-6)</f>
        <v>468</v>
      </c>
      <c r="B474" s="80" t="s">
        <v>110</v>
      </c>
      <c r="C474" s="113" t="s">
        <v>578</v>
      </c>
      <c r="D474" s="82" t="str">
        <f aca="false">IF(OR(C474="",P474=""),"",INDEX('CARNET DE SOUDURE'!$D$7:$D$3006,P474)&amp;"")</f>
        <v/>
      </c>
      <c r="E474" s="114" t="str">
        <f aca="false">IF(OR(C474="",P474=""),"",IF(INDEX('CARNET DE SOUDURE'!$U$7:$U$3006,P474)="","",INDEX('CARNET DE SOUDURE'!$U$7:$U$3006,P474)))</f>
        <v/>
      </c>
      <c r="F474" s="82" t="str">
        <f aca="false">IF(OR(C474="",P474=""),"",INDEX('CARNET DE SOUDURE'!$AP$7:$AP$3006,P474))</f>
        <v/>
      </c>
      <c r="G474" s="82" t="str">
        <f aca="false">IF(C474="","",IF(P474="","NJ INCONNU",INDEX('CARNET DE SOUDURE'!$AQ$7:$AQ$3006,P474)))</f>
        <v>À SOUDER</v>
      </c>
      <c r="H474" s="82" t="str">
        <f aca="false">IF(C474="","",IF(G474="ACCEPTÉ","OUI","NON"))</f>
        <v>NON</v>
      </c>
      <c r="I474" s="83"/>
      <c r="J474" s="80"/>
      <c r="K474" s="81"/>
      <c r="L474" s="81"/>
      <c r="M474" s="81"/>
      <c r="N474" s="84" t="str">
        <f aca="false">IF(C474="","",IF(P474="","NJ INCONNU",IF(I474="",IF(H474="OUI","À ENROBER",IF(G474="À SOUDER","NON SOUDÉ","EN ATTENTE RT")),IF(L474="R","À REPRENDRE",IF(H474&lt;&gt;"OUI","⚠ ENROBÉ AVANT ACCEPTATION RT","ENROBÉ")))))</f>
        <v>NON SOUDÉ</v>
      </c>
      <c r="O474" s="80"/>
      <c r="P474" s="82" t="n">
        <f aca="false">IF(C474="","",IFERROR(MATCH(Q474,'CARNET DE SOUDURE'!$AW$7:$AW$3006,0),""))</f>
        <v>468</v>
      </c>
      <c r="Q474" s="82" t="str">
        <f aca="false">IF(C474="","",B474&amp;"|"&amp;C474)</f>
        <v>MFD-ISW → MFD-CPF|JN°468</v>
      </c>
    </row>
    <row r="475" customFormat="false" ht="74.6" hidden="false" customHeight="false" outlineLevel="0" collapsed="false">
      <c r="A475" s="82" t="n">
        <f aca="false">IF(C475="","",ROW()-6)</f>
        <v>469</v>
      </c>
      <c r="B475" s="80" t="s">
        <v>110</v>
      </c>
      <c r="C475" s="113" t="s">
        <v>579</v>
      </c>
      <c r="D475" s="82" t="str">
        <f aca="false">IF(OR(C475="",P475=""),"",INDEX('CARNET DE SOUDURE'!$D$7:$D$3006,P475)&amp;"")</f>
        <v/>
      </c>
      <c r="E475" s="114" t="str">
        <f aca="false">IF(OR(C475="",P475=""),"",IF(INDEX('CARNET DE SOUDURE'!$U$7:$U$3006,P475)="","",INDEX('CARNET DE SOUDURE'!$U$7:$U$3006,P475)))</f>
        <v/>
      </c>
      <c r="F475" s="82" t="str">
        <f aca="false">IF(OR(C475="",P475=""),"",INDEX('CARNET DE SOUDURE'!$AP$7:$AP$3006,P475))</f>
        <v/>
      </c>
      <c r="G475" s="82" t="str">
        <f aca="false">IF(C475="","",IF(P475="","NJ INCONNU",INDEX('CARNET DE SOUDURE'!$AQ$7:$AQ$3006,P475)))</f>
        <v>À SOUDER</v>
      </c>
      <c r="H475" s="82" t="str">
        <f aca="false">IF(C475="","",IF(G475="ACCEPTÉ","OUI","NON"))</f>
        <v>NON</v>
      </c>
      <c r="I475" s="83"/>
      <c r="J475" s="80"/>
      <c r="K475" s="81"/>
      <c r="L475" s="81"/>
      <c r="M475" s="81"/>
      <c r="N475" s="84" t="str">
        <f aca="false">IF(C475="","",IF(P475="","NJ INCONNU",IF(I475="",IF(H475="OUI","À ENROBER",IF(G475="À SOUDER","NON SOUDÉ","EN ATTENTE RT")),IF(L475="R","À REPRENDRE",IF(H475&lt;&gt;"OUI","⚠ ENROBÉ AVANT ACCEPTATION RT","ENROBÉ")))))</f>
        <v>NON SOUDÉ</v>
      </c>
      <c r="O475" s="80"/>
      <c r="P475" s="82" t="n">
        <f aca="false">IF(C475="","",IFERROR(MATCH(Q475,'CARNET DE SOUDURE'!$AW$7:$AW$3006,0),""))</f>
        <v>469</v>
      </c>
      <c r="Q475" s="82" t="str">
        <f aca="false">IF(C475="","",B475&amp;"|"&amp;C475)</f>
        <v>MFD-ISW → MFD-CPF|JN°469</v>
      </c>
    </row>
    <row r="476" customFormat="false" ht="74.6" hidden="false" customHeight="false" outlineLevel="0" collapsed="false">
      <c r="A476" s="82" t="n">
        <f aca="false">IF(C476="","",ROW()-6)</f>
        <v>470</v>
      </c>
      <c r="B476" s="80" t="s">
        <v>110</v>
      </c>
      <c r="C476" s="113" t="s">
        <v>580</v>
      </c>
      <c r="D476" s="82" t="str">
        <f aca="false">IF(OR(C476="",P476=""),"",INDEX('CARNET DE SOUDURE'!$D$7:$D$3006,P476)&amp;"")</f>
        <v/>
      </c>
      <c r="E476" s="114" t="str">
        <f aca="false">IF(OR(C476="",P476=""),"",IF(INDEX('CARNET DE SOUDURE'!$U$7:$U$3006,P476)="","",INDEX('CARNET DE SOUDURE'!$U$7:$U$3006,P476)))</f>
        <v/>
      </c>
      <c r="F476" s="82" t="str">
        <f aca="false">IF(OR(C476="",P476=""),"",INDEX('CARNET DE SOUDURE'!$AP$7:$AP$3006,P476))</f>
        <v/>
      </c>
      <c r="G476" s="82" t="str">
        <f aca="false">IF(C476="","",IF(P476="","NJ INCONNU",INDEX('CARNET DE SOUDURE'!$AQ$7:$AQ$3006,P476)))</f>
        <v>À SOUDER</v>
      </c>
      <c r="H476" s="82" t="str">
        <f aca="false">IF(C476="","",IF(G476="ACCEPTÉ","OUI","NON"))</f>
        <v>NON</v>
      </c>
      <c r="I476" s="83"/>
      <c r="J476" s="80"/>
      <c r="K476" s="81"/>
      <c r="L476" s="81"/>
      <c r="M476" s="81"/>
      <c r="N476" s="84" t="str">
        <f aca="false">IF(C476="","",IF(P476="","NJ INCONNU",IF(I476="",IF(H476="OUI","À ENROBER",IF(G476="À SOUDER","NON SOUDÉ","EN ATTENTE RT")),IF(L476="R","À REPRENDRE",IF(H476&lt;&gt;"OUI","⚠ ENROBÉ AVANT ACCEPTATION RT","ENROBÉ")))))</f>
        <v>NON SOUDÉ</v>
      </c>
      <c r="O476" s="80"/>
      <c r="P476" s="82" t="n">
        <f aca="false">IF(C476="","",IFERROR(MATCH(Q476,'CARNET DE SOUDURE'!$AW$7:$AW$3006,0),""))</f>
        <v>470</v>
      </c>
      <c r="Q476" s="82" t="str">
        <f aca="false">IF(C476="","",B476&amp;"|"&amp;C476)</f>
        <v>MFD-ISW → MFD-CPF|JN°470</v>
      </c>
    </row>
    <row r="477" customFormat="false" ht="74.6" hidden="false" customHeight="false" outlineLevel="0" collapsed="false">
      <c r="A477" s="82" t="n">
        <f aca="false">IF(C477="","",ROW()-6)</f>
        <v>471</v>
      </c>
      <c r="B477" s="80" t="s">
        <v>110</v>
      </c>
      <c r="C477" s="113" t="s">
        <v>581</v>
      </c>
      <c r="D477" s="82" t="str">
        <f aca="false">IF(OR(C477="",P477=""),"",INDEX('CARNET DE SOUDURE'!$D$7:$D$3006,P477)&amp;"")</f>
        <v/>
      </c>
      <c r="E477" s="114" t="str">
        <f aca="false">IF(OR(C477="",P477=""),"",IF(INDEX('CARNET DE SOUDURE'!$U$7:$U$3006,P477)="","",INDEX('CARNET DE SOUDURE'!$U$7:$U$3006,P477)))</f>
        <v/>
      </c>
      <c r="F477" s="82" t="str">
        <f aca="false">IF(OR(C477="",P477=""),"",INDEX('CARNET DE SOUDURE'!$AP$7:$AP$3006,P477))</f>
        <v/>
      </c>
      <c r="G477" s="82" t="str">
        <f aca="false">IF(C477="","",IF(P477="","NJ INCONNU",INDEX('CARNET DE SOUDURE'!$AQ$7:$AQ$3006,P477)))</f>
        <v>À SOUDER</v>
      </c>
      <c r="H477" s="82" t="str">
        <f aca="false">IF(C477="","",IF(G477="ACCEPTÉ","OUI","NON"))</f>
        <v>NON</v>
      </c>
      <c r="I477" s="83"/>
      <c r="J477" s="80"/>
      <c r="K477" s="81"/>
      <c r="L477" s="81"/>
      <c r="M477" s="81"/>
      <c r="N477" s="84" t="str">
        <f aca="false">IF(C477="","",IF(P477="","NJ INCONNU",IF(I477="",IF(H477="OUI","À ENROBER",IF(G477="À SOUDER","NON SOUDÉ","EN ATTENTE RT")),IF(L477="R","À REPRENDRE",IF(H477&lt;&gt;"OUI","⚠ ENROBÉ AVANT ACCEPTATION RT","ENROBÉ")))))</f>
        <v>NON SOUDÉ</v>
      </c>
      <c r="O477" s="80"/>
      <c r="P477" s="82" t="n">
        <f aca="false">IF(C477="","",IFERROR(MATCH(Q477,'CARNET DE SOUDURE'!$AW$7:$AW$3006,0),""))</f>
        <v>471</v>
      </c>
      <c r="Q477" s="82" t="str">
        <f aca="false">IF(C477="","",B477&amp;"|"&amp;C477)</f>
        <v>MFD-ISW → MFD-CPF|JN°471</v>
      </c>
    </row>
    <row r="478" customFormat="false" ht="74.6" hidden="false" customHeight="false" outlineLevel="0" collapsed="false">
      <c r="A478" s="82" t="n">
        <f aca="false">IF(C478="","",ROW()-6)</f>
        <v>472</v>
      </c>
      <c r="B478" s="80" t="s">
        <v>110</v>
      </c>
      <c r="C478" s="113" t="s">
        <v>582</v>
      </c>
      <c r="D478" s="82" t="str">
        <f aca="false">IF(OR(C478="",P478=""),"",INDEX('CARNET DE SOUDURE'!$D$7:$D$3006,P478)&amp;"")</f>
        <v/>
      </c>
      <c r="E478" s="114" t="str">
        <f aca="false">IF(OR(C478="",P478=""),"",IF(INDEX('CARNET DE SOUDURE'!$U$7:$U$3006,P478)="","",INDEX('CARNET DE SOUDURE'!$U$7:$U$3006,P478)))</f>
        <v/>
      </c>
      <c r="F478" s="82" t="str">
        <f aca="false">IF(OR(C478="",P478=""),"",INDEX('CARNET DE SOUDURE'!$AP$7:$AP$3006,P478))</f>
        <v/>
      </c>
      <c r="G478" s="82" t="str">
        <f aca="false">IF(C478="","",IF(P478="","NJ INCONNU",INDEX('CARNET DE SOUDURE'!$AQ$7:$AQ$3006,P478)))</f>
        <v>À SOUDER</v>
      </c>
      <c r="H478" s="82" t="str">
        <f aca="false">IF(C478="","",IF(G478="ACCEPTÉ","OUI","NON"))</f>
        <v>NON</v>
      </c>
      <c r="I478" s="83"/>
      <c r="J478" s="80"/>
      <c r="K478" s="81"/>
      <c r="L478" s="81"/>
      <c r="M478" s="81"/>
      <c r="N478" s="84" t="str">
        <f aca="false">IF(C478="","",IF(P478="","NJ INCONNU",IF(I478="",IF(H478="OUI","À ENROBER",IF(G478="À SOUDER","NON SOUDÉ","EN ATTENTE RT")),IF(L478="R","À REPRENDRE",IF(H478&lt;&gt;"OUI","⚠ ENROBÉ AVANT ACCEPTATION RT","ENROBÉ")))))</f>
        <v>NON SOUDÉ</v>
      </c>
      <c r="O478" s="80"/>
      <c r="P478" s="82" t="n">
        <f aca="false">IF(C478="","",IFERROR(MATCH(Q478,'CARNET DE SOUDURE'!$AW$7:$AW$3006,0),""))</f>
        <v>472</v>
      </c>
      <c r="Q478" s="82" t="str">
        <f aca="false">IF(C478="","",B478&amp;"|"&amp;C478)</f>
        <v>MFD-ISW → MFD-CPF|JN°472</v>
      </c>
    </row>
    <row r="479" customFormat="false" ht="74.6" hidden="false" customHeight="false" outlineLevel="0" collapsed="false">
      <c r="A479" s="82" t="n">
        <f aca="false">IF(C479="","",ROW()-6)</f>
        <v>473</v>
      </c>
      <c r="B479" s="80" t="s">
        <v>110</v>
      </c>
      <c r="C479" s="113" t="s">
        <v>583</v>
      </c>
      <c r="D479" s="82" t="str">
        <f aca="false">IF(OR(C479="",P479=""),"",INDEX('CARNET DE SOUDURE'!$D$7:$D$3006,P479)&amp;"")</f>
        <v/>
      </c>
      <c r="E479" s="114" t="str">
        <f aca="false">IF(OR(C479="",P479=""),"",IF(INDEX('CARNET DE SOUDURE'!$U$7:$U$3006,P479)="","",INDEX('CARNET DE SOUDURE'!$U$7:$U$3006,P479)))</f>
        <v/>
      </c>
      <c r="F479" s="82" t="str">
        <f aca="false">IF(OR(C479="",P479=""),"",INDEX('CARNET DE SOUDURE'!$AP$7:$AP$3006,P479))</f>
        <v/>
      </c>
      <c r="G479" s="82" t="str">
        <f aca="false">IF(C479="","",IF(P479="","NJ INCONNU",INDEX('CARNET DE SOUDURE'!$AQ$7:$AQ$3006,P479)))</f>
        <v>À SOUDER</v>
      </c>
      <c r="H479" s="82" t="str">
        <f aca="false">IF(C479="","",IF(G479="ACCEPTÉ","OUI","NON"))</f>
        <v>NON</v>
      </c>
      <c r="I479" s="83"/>
      <c r="J479" s="80"/>
      <c r="K479" s="81"/>
      <c r="L479" s="81"/>
      <c r="M479" s="81"/>
      <c r="N479" s="84" t="str">
        <f aca="false">IF(C479="","",IF(P479="","NJ INCONNU",IF(I479="",IF(H479="OUI","À ENROBER",IF(G479="À SOUDER","NON SOUDÉ","EN ATTENTE RT")),IF(L479="R","À REPRENDRE",IF(H479&lt;&gt;"OUI","⚠ ENROBÉ AVANT ACCEPTATION RT","ENROBÉ")))))</f>
        <v>NON SOUDÉ</v>
      </c>
      <c r="O479" s="80"/>
      <c r="P479" s="82" t="n">
        <f aca="false">IF(C479="","",IFERROR(MATCH(Q479,'CARNET DE SOUDURE'!$AW$7:$AW$3006,0),""))</f>
        <v>473</v>
      </c>
      <c r="Q479" s="82" t="str">
        <f aca="false">IF(C479="","",B479&amp;"|"&amp;C479)</f>
        <v>MFD-ISW → MFD-CPF|JN°473</v>
      </c>
    </row>
    <row r="480" customFormat="false" ht="74.6" hidden="false" customHeight="false" outlineLevel="0" collapsed="false">
      <c r="A480" s="82" t="n">
        <f aca="false">IF(C480="","",ROW()-6)</f>
        <v>474</v>
      </c>
      <c r="B480" s="80" t="s">
        <v>110</v>
      </c>
      <c r="C480" s="113" t="s">
        <v>584</v>
      </c>
      <c r="D480" s="82" t="str">
        <f aca="false">IF(OR(C480="",P480=""),"",INDEX('CARNET DE SOUDURE'!$D$7:$D$3006,P480)&amp;"")</f>
        <v/>
      </c>
      <c r="E480" s="114" t="str">
        <f aca="false">IF(OR(C480="",P480=""),"",IF(INDEX('CARNET DE SOUDURE'!$U$7:$U$3006,P480)="","",INDEX('CARNET DE SOUDURE'!$U$7:$U$3006,P480)))</f>
        <v/>
      </c>
      <c r="F480" s="82" t="str">
        <f aca="false">IF(OR(C480="",P480=""),"",INDEX('CARNET DE SOUDURE'!$AP$7:$AP$3006,P480))</f>
        <v/>
      </c>
      <c r="G480" s="82" t="str">
        <f aca="false">IF(C480="","",IF(P480="","NJ INCONNU",INDEX('CARNET DE SOUDURE'!$AQ$7:$AQ$3006,P480)))</f>
        <v>À SOUDER</v>
      </c>
      <c r="H480" s="82" t="str">
        <f aca="false">IF(C480="","",IF(G480="ACCEPTÉ","OUI","NON"))</f>
        <v>NON</v>
      </c>
      <c r="I480" s="83"/>
      <c r="J480" s="80"/>
      <c r="K480" s="81"/>
      <c r="L480" s="81"/>
      <c r="M480" s="81"/>
      <c r="N480" s="84" t="str">
        <f aca="false">IF(C480="","",IF(P480="","NJ INCONNU",IF(I480="",IF(H480="OUI","À ENROBER",IF(G480="À SOUDER","NON SOUDÉ","EN ATTENTE RT")),IF(L480="R","À REPRENDRE",IF(H480&lt;&gt;"OUI","⚠ ENROBÉ AVANT ACCEPTATION RT","ENROBÉ")))))</f>
        <v>NON SOUDÉ</v>
      </c>
      <c r="O480" s="80"/>
      <c r="P480" s="82" t="n">
        <f aca="false">IF(C480="","",IFERROR(MATCH(Q480,'CARNET DE SOUDURE'!$AW$7:$AW$3006,0),""))</f>
        <v>474</v>
      </c>
      <c r="Q480" s="82" t="str">
        <f aca="false">IF(C480="","",B480&amp;"|"&amp;C480)</f>
        <v>MFD-ISW → MFD-CPF|JN°474</v>
      </c>
    </row>
    <row r="481" customFormat="false" ht="74.6" hidden="false" customHeight="false" outlineLevel="0" collapsed="false">
      <c r="A481" s="82" t="n">
        <f aca="false">IF(C481="","",ROW()-6)</f>
        <v>475</v>
      </c>
      <c r="B481" s="80" t="s">
        <v>110</v>
      </c>
      <c r="C481" s="113" t="s">
        <v>585</v>
      </c>
      <c r="D481" s="82" t="str">
        <f aca="false">IF(OR(C481="",P481=""),"",INDEX('CARNET DE SOUDURE'!$D$7:$D$3006,P481)&amp;"")</f>
        <v/>
      </c>
      <c r="E481" s="114" t="str">
        <f aca="false">IF(OR(C481="",P481=""),"",IF(INDEX('CARNET DE SOUDURE'!$U$7:$U$3006,P481)="","",INDEX('CARNET DE SOUDURE'!$U$7:$U$3006,P481)))</f>
        <v/>
      </c>
      <c r="F481" s="82" t="str">
        <f aca="false">IF(OR(C481="",P481=""),"",INDEX('CARNET DE SOUDURE'!$AP$7:$AP$3006,P481))</f>
        <v/>
      </c>
      <c r="G481" s="82" t="str">
        <f aca="false">IF(C481="","",IF(P481="","NJ INCONNU",INDEX('CARNET DE SOUDURE'!$AQ$7:$AQ$3006,P481)))</f>
        <v>À SOUDER</v>
      </c>
      <c r="H481" s="82" t="str">
        <f aca="false">IF(C481="","",IF(G481="ACCEPTÉ","OUI","NON"))</f>
        <v>NON</v>
      </c>
      <c r="I481" s="83"/>
      <c r="J481" s="80"/>
      <c r="K481" s="81"/>
      <c r="L481" s="81"/>
      <c r="M481" s="81"/>
      <c r="N481" s="84" t="str">
        <f aca="false">IF(C481="","",IF(P481="","NJ INCONNU",IF(I481="",IF(H481="OUI","À ENROBER",IF(G481="À SOUDER","NON SOUDÉ","EN ATTENTE RT")),IF(L481="R","À REPRENDRE",IF(H481&lt;&gt;"OUI","⚠ ENROBÉ AVANT ACCEPTATION RT","ENROBÉ")))))</f>
        <v>NON SOUDÉ</v>
      </c>
      <c r="O481" s="80"/>
      <c r="P481" s="82" t="n">
        <f aca="false">IF(C481="","",IFERROR(MATCH(Q481,'CARNET DE SOUDURE'!$AW$7:$AW$3006,0),""))</f>
        <v>475</v>
      </c>
      <c r="Q481" s="82" t="str">
        <f aca="false">IF(C481="","",B481&amp;"|"&amp;C481)</f>
        <v>MFD-ISW → MFD-CPF|JN°475</v>
      </c>
    </row>
    <row r="482" customFormat="false" ht="74.6" hidden="false" customHeight="false" outlineLevel="0" collapsed="false">
      <c r="A482" s="82" t="n">
        <f aca="false">IF(C482="","",ROW()-6)</f>
        <v>476</v>
      </c>
      <c r="B482" s="80" t="s">
        <v>110</v>
      </c>
      <c r="C482" s="113" t="s">
        <v>586</v>
      </c>
      <c r="D482" s="82" t="str">
        <f aca="false">IF(OR(C482="",P482=""),"",INDEX('CARNET DE SOUDURE'!$D$7:$D$3006,P482)&amp;"")</f>
        <v/>
      </c>
      <c r="E482" s="114" t="str">
        <f aca="false">IF(OR(C482="",P482=""),"",IF(INDEX('CARNET DE SOUDURE'!$U$7:$U$3006,P482)="","",INDEX('CARNET DE SOUDURE'!$U$7:$U$3006,P482)))</f>
        <v/>
      </c>
      <c r="F482" s="82" t="str">
        <f aca="false">IF(OR(C482="",P482=""),"",INDEX('CARNET DE SOUDURE'!$AP$7:$AP$3006,P482))</f>
        <v/>
      </c>
      <c r="G482" s="82" t="str">
        <f aca="false">IF(C482="","",IF(P482="","NJ INCONNU",INDEX('CARNET DE SOUDURE'!$AQ$7:$AQ$3006,P482)))</f>
        <v>À SOUDER</v>
      </c>
      <c r="H482" s="82" t="str">
        <f aca="false">IF(C482="","",IF(G482="ACCEPTÉ","OUI","NON"))</f>
        <v>NON</v>
      </c>
      <c r="I482" s="83"/>
      <c r="J482" s="80"/>
      <c r="K482" s="81"/>
      <c r="L482" s="81"/>
      <c r="M482" s="81"/>
      <c r="N482" s="84" t="str">
        <f aca="false">IF(C482="","",IF(P482="","NJ INCONNU",IF(I482="",IF(H482="OUI","À ENROBER",IF(G482="À SOUDER","NON SOUDÉ","EN ATTENTE RT")),IF(L482="R","À REPRENDRE",IF(H482&lt;&gt;"OUI","⚠ ENROBÉ AVANT ACCEPTATION RT","ENROBÉ")))))</f>
        <v>NON SOUDÉ</v>
      </c>
      <c r="O482" s="80"/>
      <c r="P482" s="82" t="n">
        <f aca="false">IF(C482="","",IFERROR(MATCH(Q482,'CARNET DE SOUDURE'!$AW$7:$AW$3006,0),""))</f>
        <v>476</v>
      </c>
      <c r="Q482" s="82" t="str">
        <f aca="false">IF(C482="","",B482&amp;"|"&amp;C482)</f>
        <v>MFD-ISW → MFD-CPF|JN°476</v>
      </c>
    </row>
    <row r="483" customFormat="false" ht="74.6" hidden="false" customHeight="false" outlineLevel="0" collapsed="false">
      <c r="A483" s="82" t="n">
        <f aca="false">IF(C483="","",ROW()-6)</f>
        <v>477</v>
      </c>
      <c r="B483" s="80" t="s">
        <v>110</v>
      </c>
      <c r="C483" s="113" t="s">
        <v>587</v>
      </c>
      <c r="D483" s="82" t="str">
        <f aca="false">IF(OR(C483="",P483=""),"",INDEX('CARNET DE SOUDURE'!$D$7:$D$3006,P483)&amp;"")</f>
        <v/>
      </c>
      <c r="E483" s="114" t="str">
        <f aca="false">IF(OR(C483="",P483=""),"",IF(INDEX('CARNET DE SOUDURE'!$U$7:$U$3006,P483)="","",INDEX('CARNET DE SOUDURE'!$U$7:$U$3006,P483)))</f>
        <v/>
      </c>
      <c r="F483" s="82" t="str">
        <f aca="false">IF(OR(C483="",P483=""),"",INDEX('CARNET DE SOUDURE'!$AP$7:$AP$3006,P483))</f>
        <v/>
      </c>
      <c r="G483" s="82" t="str">
        <f aca="false">IF(C483="","",IF(P483="","NJ INCONNU",INDEX('CARNET DE SOUDURE'!$AQ$7:$AQ$3006,P483)))</f>
        <v>À SOUDER</v>
      </c>
      <c r="H483" s="82" t="str">
        <f aca="false">IF(C483="","",IF(G483="ACCEPTÉ","OUI","NON"))</f>
        <v>NON</v>
      </c>
      <c r="I483" s="83"/>
      <c r="J483" s="80"/>
      <c r="K483" s="81"/>
      <c r="L483" s="81"/>
      <c r="M483" s="81"/>
      <c r="N483" s="84" t="str">
        <f aca="false">IF(C483="","",IF(P483="","NJ INCONNU",IF(I483="",IF(H483="OUI","À ENROBER",IF(G483="À SOUDER","NON SOUDÉ","EN ATTENTE RT")),IF(L483="R","À REPRENDRE",IF(H483&lt;&gt;"OUI","⚠ ENROBÉ AVANT ACCEPTATION RT","ENROBÉ")))))</f>
        <v>NON SOUDÉ</v>
      </c>
      <c r="O483" s="80"/>
      <c r="P483" s="82" t="n">
        <f aca="false">IF(C483="","",IFERROR(MATCH(Q483,'CARNET DE SOUDURE'!$AW$7:$AW$3006,0),""))</f>
        <v>477</v>
      </c>
      <c r="Q483" s="82" t="str">
        <f aca="false">IF(C483="","",B483&amp;"|"&amp;C483)</f>
        <v>MFD-ISW → MFD-CPF|JN°477</v>
      </c>
    </row>
    <row r="484" customFormat="false" ht="74.6" hidden="false" customHeight="false" outlineLevel="0" collapsed="false">
      <c r="A484" s="82" t="n">
        <f aca="false">IF(C484="","",ROW()-6)</f>
        <v>478</v>
      </c>
      <c r="B484" s="80" t="s">
        <v>110</v>
      </c>
      <c r="C484" s="113" t="s">
        <v>588</v>
      </c>
      <c r="D484" s="82" t="str">
        <f aca="false">IF(OR(C484="",P484=""),"",INDEX('CARNET DE SOUDURE'!$D$7:$D$3006,P484)&amp;"")</f>
        <v/>
      </c>
      <c r="E484" s="114" t="str">
        <f aca="false">IF(OR(C484="",P484=""),"",IF(INDEX('CARNET DE SOUDURE'!$U$7:$U$3006,P484)="","",INDEX('CARNET DE SOUDURE'!$U$7:$U$3006,P484)))</f>
        <v/>
      </c>
      <c r="F484" s="82" t="str">
        <f aca="false">IF(OR(C484="",P484=""),"",INDEX('CARNET DE SOUDURE'!$AP$7:$AP$3006,P484))</f>
        <v/>
      </c>
      <c r="G484" s="82" t="str">
        <f aca="false">IF(C484="","",IF(P484="","NJ INCONNU",INDEX('CARNET DE SOUDURE'!$AQ$7:$AQ$3006,P484)))</f>
        <v>À SOUDER</v>
      </c>
      <c r="H484" s="82" t="str">
        <f aca="false">IF(C484="","",IF(G484="ACCEPTÉ","OUI","NON"))</f>
        <v>NON</v>
      </c>
      <c r="I484" s="83"/>
      <c r="J484" s="80"/>
      <c r="K484" s="81"/>
      <c r="L484" s="81"/>
      <c r="M484" s="81"/>
      <c r="N484" s="84" t="str">
        <f aca="false">IF(C484="","",IF(P484="","NJ INCONNU",IF(I484="",IF(H484="OUI","À ENROBER",IF(G484="À SOUDER","NON SOUDÉ","EN ATTENTE RT")),IF(L484="R","À REPRENDRE",IF(H484&lt;&gt;"OUI","⚠ ENROBÉ AVANT ACCEPTATION RT","ENROBÉ")))))</f>
        <v>NON SOUDÉ</v>
      </c>
      <c r="O484" s="80"/>
      <c r="P484" s="82" t="n">
        <f aca="false">IF(C484="","",IFERROR(MATCH(Q484,'CARNET DE SOUDURE'!$AW$7:$AW$3006,0),""))</f>
        <v>478</v>
      </c>
      <c r="Q484" s="82" t="str">
        <f aca="false">IF(C484="","",B484&amp;"|"&amp;C484)</f>
        <v>MFD-ISW → MFD-CPF|JN°478</v>
      </c>
    </row>
    <row r="485" customFormat="false" ht="74.6" hidden="false" customHeight="false" outlineLevel="0" collapsed="false">
      <c r="A485" s="82" t="n">
        <f aca="false">IF(C485="","",ROW()-6)</f>
        <v>479</v>
      </c>
      <c r="B485" s="80" t="s">
        <v>110</v>
      </c>
      <c r="C485" s="113" t="s">
        <v>589</v>
      </c>
      <c r="D485" s="82" t="str">
        <f aca="false">IF(OR(C485="",P485=""),"",INDEX('CARNET DE SOUDURE'!$D$7:$D$3006,P485)&amp;"")</f>
        <v/>
      </c>
      <c r="E485" s="114" t="str">
        <f aca="false">IF(OR(C485="",P485=""),"",IF(INDEX('CARNET DE SOUDURE'!$U$7:$U$3006,P485)="","",INDEX('CARNET DE SOUDURE'!$U$7:$U$3006,P485)))</f>
        <v/>
      </c>
      <c r="F485" s="82" t="str">
        <f aca="false">IF(OR(C485="",P485=""),"",INDEX('CARNET DE SOUDURE'!$AP$7:$AP$3006,P485))</f>
        <v/>
      </c>
      <c r="G485" s="82" t="str">
        <f aca="false">IF(C485="","",IF(P485="","NJ INCONNU",INDEX('CARNET DE SOUDURE'!$AQ$7:$AQ$3006,P485)))</f>
        <v>À SOUDER</v>
      </c>
      <c r="H485" s="82" t="str">
        <f aca="false">IF(C485="","",IF(G485="ACCEPTÉ","OUI","NON"))</f>
        <v>NON</v>
      </c>
      <c r="I485" s="83"/>
      <c r="J485" s="80"/>
      <c r="K485" s="81"/>
      <c r="L485" s="81"/>
      <c r="M485" s="81"/>
      <c r="N485" s="84" t="str">
        <f aca="false">IF(C485="","",IF(P485="","NJ INCONNU",IF(I485="",IF(H485="OUI","À ENROBER",IF(G485="À SOUDER","NON SOUDÉ","EN ATTENTE RT")),IF(L485="R","À REPRENDRE",IF(H485&lt;&gt;"OUI","⚠ ENROBÉ AVANT ACCEPTATION RT","ENROBÉ")))))</f>
        <v>NON SOUDÉ</v>
      </c>
      <c r="O485" s="80"/>
      <c r="P485" s="82" t="n">
        <f aca="false">IF(C485="","",IFERROR(MATCH(Q485,'CARNET DE SOUDURE'!$AW$7:$AW$3006,0),""))</f>
        <v>479</v>
      </c>
      <c r="Q485" s="82" t="str">
        <f aca="false">IF(C485="","",B485&amp;"|"&amp;C485)</f>
        <v>MFD-ISW → MFD-CPF|JN°479</v>
      </c>
    </row>
    <row r="486" customFormat="false" ht="74.6" hidden="false" customHeight="false" outlineLevel="0" collapsed="false">
      <c r="A486" s="82" t="n">
        <f aca="false">IF(C486="","",ROW()-6)</f>
        <v>480</v>
      </c>
      <c r="B486" s="80" t="s">
        <v>110</v>
      </c>
      <c r="C486" s="113" t="s">
        <v>590</v>
      </c>
      <c r="D486" s="82" t="str">
        <f aca="false">IF(OR(C486="",P486=""),"",INDEX('CARNET DE SOUDURE'!$D$7:$D$3006,P486)&amp;"")</f>
        <v/>
      </c>
      <c r="E486" s="114" t="str">
        <f aca="false">IF(OR(C486="",P486=""),"",IF(INDEX('CARNET DE SOUDURE'!$U$7:$U$3006,P486)="","",INDEX('CARNET DE SOUDURE'!$U$7:$U$3006,P486)))</f>
        <v/>
      </c>
      <c r="F486" s="82" t="str">
        <f aca="false">IF(OR(C486="",P486=""),"",INDEX('CARNET DE SOUDURE'!$AP$7:$AP$3006,P486))</f>
        <v/>
      </c>
      <c r="G486" s="82" t="str">
        <f aca="false">IF(C486="","",IF(P486="","NJ INCONNU",INDEX('CARNET DE SOUDURE'!$AQ$7:$AQ$3006,P486)))</f>
        <v>À SOUDER</v>
      </c>
      <c r="H486" s="82" t="str">
        <f aca="false">IF(C486="","",IF(G486="ACCEPTÉ","OUI","NON"))</f>
        <v>NON</v>
      </c>
      <c r="I486" s="83"/>
      <c r="J486" s="80"/>
      <c r="K486" s="81"/>
      <c r="L486" s="81"/>
      <c r="M486" s="81"/>
      <c r="N486" s="84" t="str">
        <f aca="false">IF(C486="","",IF(P486="","NJ INCONNU",IF(I486="",IF(H486="OUI","À ENROBER",IF(G486="À SOUDER","NON SOUDÉ","EN ATTENTE RT")),IF(L486="R","À REPRENDRE",IF(H486&lt;&gt;"OUI","⚠ ENROBÉ AVANT ACCEPTATION RT","ENROBÉ")))))</f>
        <v>NON SOUDÉ</v>
      </c>
      <c r="O486" s="80"/>
      <c r="P486" s="82" t="n">
        <f aca="false">IF(C486="","",IFERROR(MATCH(Q486,'CARNET DE SOUDURE'!$AW$7:$AW$3006,0),""))</f>
        <v>480</v>
      </c>
      <c r="Q486" s="82" t="str">
        <f aca="false">IF(C486="","",B486&amp;"|"&amp;C486)</f>
        <v>MFD-ISW → MFD-CPF|JN°480</v>
      </c>
    </row>
    <row r="487" customFormat="false" ht="74.6" hidden="false" customHeight="false" outlineLevel="0" collapsed="false">
      <c r="A487" s="82" t="n">
        <f aca="false">IF(C487="","",ROW()-6)</f>
        <v>481</v>
      </c>
      <c r="B487" s="80" t="s">
        <v>110</v>
      </c>
      <c r="C487" s="113" t="s">
        <v>591</v>
      </c>
      <c r="D487" s="82" t="str">
        <f aca="false">IF(OR(C487="",P487=""),"",INDEX('CARNET DE SOUDURE'!$D$7:$D$3006,P487)&amp;"")</f>
        <v/>
      </c>
      <c r="E487" s="114" t="str">
        <f aca="false">IF(OR(C487="",P487=""),"",IF(INDEX('CARNET DE SOUDURE'!$U$7:$U$3006,P487)="","",INDEX('CARNET DE SOUDURE'!$U$7:$U$3006,P487)))</f>
        <v/>
      </c>
      <c r="F487" s="82" t="str">
        <f aca="false">IF(OR(C487="",P487=""),"",INDEX('CARNET DE SOUDURE'!$AP$7:$AP$3006,P487))</f>
        <v/>
      </c>
      <c r="G487" s="82" t="str">
        <f aca="false">IF(C487="","",IF(P487="","NJ INCONNU",INDEX('CARNET DE SOUDURE'!$AQ$7:$AQ$3006,P487)))</f>
        <v>À SOUDER</v>
      </c>
      <c r="H487" s="82" t="str">
        <f aca="false">IF(C487="","",IF(G487="ACCEPTÉ","OUI","NON"))</f>
        <v>NON</v>
      </c>
      <c r="I487" s="83"/>
      <c r="J487" s="80"/>
      <c r="K487" s="81"/>
      <c r="L487" s="81"/>
      <c r="M487" s="81"/>
      <c r="N487" s="84" t="str">
        <f aca="false">IF(C487="","",IF(P487="","NJ INCONNU",IF(I487="",IF(H487="OUI","À ENROBER",IF(G487="À SOUDER","NON SOUDÉ","EN ATTENTE RT")),IF(L487="R","À REPRENDRE",IF(H487&lt;&gt;"OUI","⚠ ENROBÉ AVANT ACCEPTATION RT","ENROBÉ")))))</f>
        <v>NON SOUDÉ</v>
      </c>
      <c r="O487" s="80"/>
      <c r="P487" s="82" t="n">
        <f aca="false">IF(C487="","",IFERROR(MATCH(Q487,'CARNET DE SOUDURE'!$AW$7:$AW$3006,0),""))</f>
        <v>481</v>
      </c>
      <c r="Q487" s="82" t="str">
        <f aca="false">IF(C487="","",B487&amp;"|"&amp;C487)</f>
        <v>MFD-ISW → MFD-CPF|JN°481</v>
      </c>
    </row>
    <row r="488" customFormat="false" ht="74.6" hidden="false" customHeight="false" outlineLevel="0" collapsed="false">
      <c r="A488" s="82" t="n">
        <f aca="false">IF(C488="","",ROW()-6)</f>
        <v>482</v>
      </c>
      <c r="B488" s="80" t="s">
        <v>110</v>
      </c>
      <c r="C488" s="113" t="s">
        <v>592</v>
      </c>
      <c r="D488" s="82" t="str">
        <f aca="false">IF(OR(C488="",P488=""),"",INDEX('CARNET DE SOUDURE'!$D$7:$D$3006,P488)&amp;"")</f>
        <v/>
      </c>
      <c r="E488" s="114" t="str">
        <f aca="false">IF(OR(C488="",P488=""),"",IF(INDEX('CARNET DE SOUDURE'!$U$7:$U$3006,P488)="","",INDEX('CARNET DE SOUDURE'!$U$7:$U$3006,P488)))</f>
        <v/>
      </c>
      <c r="F488" s="82" t="str">
        <f aca="false">IF(OR(C488="",P488=""),"",INDEX('CARNET DE SOUDURE'!$AP$7:$AP$3006,P488))</f>
        <v/>
      </c>
      <c r="G488" s="82" t="str">
        <f aca="false">IF(C488="","",IF(P488="","NJ INCONNU",INDEX('CARNET DE SOUDURE'!$AQ$7:$AQ$3006,P488)))</f>
        <v>À SOUDER</v>
      </c>
      <c r="H488" s="82" t="str">
        <f aca="false">IF(C488="","",IF(G488="ACCEPTÉ","OUI","NON"))</f>
        <v>NON</v>
      </c>
      <c r="I488" s="83"/>
      <c r="J488" s="80"/>
      <c r="K488" s="81"/>
      <c r="L488" s="81"/>
      <c r="M488" s="81"/>
      <c r="N488" s="84" t="str">
        <f aca="false">IF(C488="","",IF(P488="","NJ INCONNU",IF(I488="",IF(H488="OUI","À ENROBER",IF(G488="À SOUDER","NON SOUDÉ","EN ATTENTE RT")),IF(L488="R","À REPRENDRE",IF(H488&lt;&gt;"OUI","⚠ ENROBÉ AVANT ACCEPTATION RT","ENROBÉ")))))</f>
        <v>NON SOUDÉ</v>
      </c>
      <c r="O488" s="80"/>
      <c r="P488" s="82" t="n">
        <f aca="false">IF(C488="","",IFERROR(MATCH(Q488,'CARNET DE SOUDURE'!$AW$7:$AW$3006,0),""))</f>
        <v>482</v>
      </c>
      <c r="Q488" s="82" t="str">
        <f aca="false">IF(C488="","",B488&amp;"|"&amp;C488)</f>
        <v>MFD-ISW → MFD-CPF|JN°482</v>
      </c>
    </row>
    <row r="489" customFormat="false" ht="74.6" hidden="false" customHeight="false" outlineLevel="0" collapsed="false">
      <c r="A489" s="82" t="n">
        <f aca="false">IF(C489="","",ROW()-6)</f>
        <v>483</v>
      </c>
      <c r="B489" s="80" t="s">
        <v>110</v>
      </c>
      <c r="C489" s="113" t="s">
        <v>593</v>
      </c>
      <c r="D489" s="82" t="str">
        <f aca="false">IF(OR(C489="",P489=""),"",INDEX('CARNET DE SOUDURE'!$D$7:$D$3006,P489)&amp;"")</f>
        <v/>
      </c>
      <c r="E489" s="114" t="str">
        <f aca="false">IF(OR(C489="",P489=""),"",IF(INDEX('CARNET DE SOUDURE'!$U$7:$U$3006,P489)="","",INDEX('CARNET DE SOUDURE'!$U$7:$U$3006,P489)))</f>
        <v/>
      </c>
      <c r="F489" s="82" t="str">
        <f aca="false">IF(OR(C489="",P489=""),"",INDEX('CARNET DE SOUDURE'!$AP$7:$AP$3006,P489))</f>
        <v/>
      </c>
      <c r="G489" s="82" t="str">
        <f aca="false">IF(C489="","",IF(P489="","NJ INCONNU",INDEX('CARNET DE SOUDURE'!$AQ$7:$AQ$3006,P489)))</f>
        <v>À SOUDER</v>
      </c>
      <c r="H489" s="82" t="str">
        <f aca="false">IF(C489="","",IF(G489="ACCEPTÉ","OUI","NON"))</f>
        <v>NON</v>
      </c>
      <c r="I489" s="83"/>
      <c r="J489" s="80"/>
      <c r="K489" s="81"/>
      <c r="L489" s="81"/>
      <c r="M489" s="81"/>
      <c r="N489" s="84" t="str">
        <f aca="false">IF(C489="","",IF(P489="","NJ INCONNU",IF(I489="",IF(H489="OUI","À ENROBER",IF(G489="À SOUDER","NON SOUDÉ","EN ATTENTE RT")),IF(L489="R","À REPRENDRE",IF(H489&lt;&gt;"OUI","⚠ ENROBÉ AVANT ACCEPTATION RT","ENROBÉ")))))</f>
        <v>NON SOUDÉ</v>
      </c>
      <c r="O489" s="80"/>
      <c r="P489" s="82" t="n">
        <f aca="false">IF(C489="","",IFERROR(MATCH(Q489,'CARNET DE SOUDURE'!$AW$7:$AW$3006,0),""))</f>
        <v>483</v>
      </c>
      <c r="Q489" s="82" t="str">
        <f aca="false">IF(C489="","",B489&amp;"|"&amp;C489)</f>
        <v>MFD-ISW → MFD-CPF|JN°483</v>
      </c>
    </row>
    <row r="490" customFormat="false" ht="74.6" hidden="false" customHeight="false" outlineLevel="0" collapsed="false">
      <c r="A490" s="82" t="n">
        <f aca="false">IF(C490="","",ROW()-6)</f>
        <v>484</v>
      </c>
      <c r="B490" s="80" t="s">
        <v>110</v>
      </c>
      <c r="C490" s="113" t="s">
        <v>594</v>
      </c>
      <c r="D490" s="82" t="str">
        <f aca="false">IF(OR(C490="",P490=""),"",INDEX('CARNET DE SOUDURE'!$D$7:$D$3006,P490)&amp;"")</f>
        <v/>
      </c>
      <c r="E490" s="114" t="str">
        <f aca="false">IF(OR(C490="",P490=""),"",IF(INDEX('CARNET DE SOUDURE'!$U$7:$U$3006,P490)="","",INDEX('CARNET DE SOUDURE'!$U$7:$U$3006,P490)))</f>
        <v/>
      </c>
      <c r="F490" s="82" t="str">
        <f aca="false">IF(OR(C490="",P490=""),"",INDEX('CARNET DE SOUDURE'!$AP$7:$AP$3006,P490))</f>
        <v/>
      </c>
      <c r="G490" s="82" t="str">
        <f aca="false">IF(C490="","",IF(P490="","NJ INCONNU",INDEX('CARNET DE SOUDURE'!$AQ$7:$AQ$3006,P490)))</f>
        <v>À SOUDER</v>
      </c>
      <c r="H490" s="82" t="str">
        <f aca="false">IF(C490="","",IF(G490="ACCEPTÉ","OUI","NON"))</f>
        <v>NON</v>
      </c>
      <c r="I490" s="83"/>
      <c r="J490" s="80"/>
      <c r="K490" s="81"/>
      <c r="L490" s="81"/>
      <c r="M490" s="81"/>
      <c r="N490" s="84" t="str">
        <f aca="false">IF(C490="","",IF(P490="","NJ INCONNU",IF(I490="",IF(H490="OUI","À ENROBER",IF(G490="À SOUDER","NON SOUDÉ","EN ATTENTE RT")),IF(L490="R","À REPRENDRE",IF(H490&lt;&gt;"OUI","⚠ ENROBÉ AVANT ACCEPTATION RT","ENROBÉ")))))</f>
        <v>NON SOUDÉ</v>
      </c>
      <c r="O490" s="80"/>
      <c r="P490" s="82" t="n">
        <f aca="false">IF(C490="","",IFERROR(MATCH(Q490,'CARNET DE SOUDURE'!$AW$7:$AW$3006,0),""))</f>
        <v>484</v>
      </c>
      <c r="Q490" s="82" t="str">
        <f aca="false">IF(C490="","",B490&amp;"|"&amp;C490)</f>
        <v>MFD-ISW → MFD-CPF|JN°484</v>
      </c>
    </row>
    <row r="491" customFormat="false" ht="74.6" hidden="false" customHeight="false" outlineLevel="0" collapsed="false">
      <c r="A491" s="82" t="n">
        <f aca="false">IF(C491="","",ROW()-6)</f>
        <v>485</v>
      </c>
      <c r="B491" s="80" t="s">
        <v>110</v>
      </c>
      <c r="C491" s="113" t="s">
        <v>595</v>
      </c>
      <c r="D491" s="82" t="str">
        <f aca="false">IF(OR(C491="",P491=""),"",INDEX('CARNET DE SOUDURE'!$D$7:$D$3006,P491)&amp;"")</f>
        <v/>
      </c>
      <c r="E491" s="114" t="str">
        <f aca="false">IF(OR(C491="",P491=""),"",IF(INDEX('CARNET DE SOUDURE'!$U$7:$U$3006,P491)="","",INDEX('CARNET DE SOUDURE'!$U$7:$U$3006,P491)))</f>
        <v/>
      </c>
      <c r="F491" s="82" t="str">
        <f aca="false">IF(OR(C491="",P491=""),"",INDEX('CARNET DE SOUDURE'!$AP$7:$AP$3006,P491))</f>
        <v/>
      </c>
      <c r="G491" s="82" t="str">
        <f aca="false">IF(C491="","",IF(P491="","NJ INCONNU",INDEX('CARNET DE SOUDURE'!$AQ$7:$AQ$3006,P491)))</f>
        <v>À SOUDER</v>
      </c>
      <c r="H491" s="82" t="str">
        <f aca="false">IF(C491="","",IF(G491="ACCEPTÉ","OUI","NON"))</f>
        <v>NON</v>
      </c>
      <c r="I491" s="83"/>
      <c r="J491" s="80"/>
      <c r="K491" s="81"/>
      <c r="L491" s="81"/>
      <c r="M491" s="81"/>
      <c r="N491" s="84" t="str">
        <f aca="false">IF(C491="","",IF(P491="","NJ INCONNU",IF(I491="",IF(H491="OUI","À ENROBER",IF(G491="À SOUDER","NON SOUDÉ","EN ATTENTE RT")),IF(L491="R","À REPRENDRE",IF(H491&lt;&gt;"OUI","⚠ ENROBÉ AVANT ACCEPTATION RT","ENROBÉ")))))</f>
        <v>NON SOUDÉ</v>
      </c>
      <c r="O491" s="80"/>
      <c r="P491" s="82" t="n">
        <f aca="false">IF(C491="","",IFERROR(MATCH(Q491,'CARNET DE SOUDURE'!$AW$7:$AW$3006,0),""))</f>
        <v>485</v>
      </c>
      <c r="Q491" s="82" t="str">
        <f aca="false">IF(C491="","",B491&amp;"|"&amp;C491)</f>
        <v>MFD-ISW → MFD-CPF|JN°485</v>
      </c>
    </row>
    <row r="492" customFormat="false" ht="74.6" hidden="false" customHeight="false" outlineLevel="0" collapsed="false">
      <c r="A492" s="82" t="n">
        <f aca="false">IF(C492="","",ROW()-6)</f>
        <v>486</v>
      </c>
      <c r="B492" s="80" t="s">
        <v>110</v>
      </c>
      <c r="C492" s="113" t="s">
        <v>596</v>
      </c>
      <c r="D492" s="82" t="str">
        <f aca="false">IF(OR(C492="",P492=""),"",INDEX('CARNET DE SOUDURE'!$D$7:$D$3006,P492)&amp;"")</f>
        <v/>
      </c>
      <c r="E492" s="114" t="str">
        <f aca="false">IF(OR(C492="",P492=""),"",IF(INDEX('CARNET DE SOUDURE'!$U$7:$U$3006,P492)="","",INDEX('CARNET DE SOUDURE'!$U$7:$U$3006,P492)))</f>
        <v/>
      </c>
      <c r="F492" s="82" t="str">
        <f aca="false">IF(OR(C492="",P492=""),"",INDEX('CARNET DE SOUDURE'!$AP$7:$AP$3006,P492))</f>
        <v/>
      </c>
      <c r="G492" s="82" t="str">
        <f aca="false">IF(C492="","",IF(P492="","NJ INCONNU",INDEX('CARNET DE SOUDURE'!$AQ$7:$AQ$3006,P492)))</f>
        <v>À SOUDER</v>
      </c>
      <c r="H492" s="82" t="str">
        <f aca="false">IF(C492="","",IF(G492="ACCEPTÉ","OUI","NON"))</f>
        <v>NON</v>
      </c>
      <c r="I492" s="83"/>
      <c r="J492" s="80"/>
      <c r="K492" s="81"/>
      <c r="L492" s="81"/>
      <c r="M492" s="81"/>
      <c r="N492" s="84" t="str">
        <f aca="false">IF(C492="","",IF(P492="","NJ INCONNU",IF(I492="",IF(H492="OUI","À ENROBER",IF(G492="À SOUDER","NON SOUDÉ","EN ATTENTE RT")),IF(L492="R","À REPRENDRE",IF(H492&lt;&gt;"OUI","⚠ ENROBÉ AVANT ACCEPTATION RT","ENROBÉ")))))</f>
        <v>NON SOUDÉ</v>
      </c>
      <c r="O492" s="80"/>
      <c r="P492" s="82" t="n">
        <f aca="false">IF(C492="","",IFERROR(MATCH(Q492,'CARNET DE SOUDURE'!$AW$7:$AW$3006,0),""))</f>
        <v>486</v>
      </c>
      <c r="Q492" s="82" t="str">
        <f aca="false">IF(C492="","",B492&amp;"|"&amp;C492)</f>
        <v>MFD-ISW → MFD-CPF|JN°486</v>
      </c>
    </row>
    <row r="493" customFormat="false" ht="74.6" hidden="false" customHeight="false" outlineLevel="0" collapsed="false">
      <c r="A493" s="82" t="n">
        <f aca="false">IF(C493="","",ROW()-6)</f>
        <v>487</v>
      </c>
      <c r="B493" s="80" t="s">
        <v>110</v>
      </c>
      <c r="C493" s="113" t="s">
        <v>597</v>
      </c>
      <c r="D493" s="82" t="str">
        <f aca="false">IF(OR(C493="",P493=""),"",INDEX('CARNET DE SOUDURE'!$D$7:$D$3006,P493)&amp;"")</f>
        <v/>
      </c>
      <c r="E493" s="114" t="str">
        <f aca="false">IF(OR(C493="",P493=""),"",IF(INDEX('CARNET DE SOUDURE'!$U$7:$U$3006,P493)="","",INDEX('CARNET DE SOUDURE'!$U$7:$U$3006,P493)))</f>
        <v/>
      </c>
      <c r="F493" s="82" t="str">
        <f aca="false">IF(OR(C493="",P493=""),"",INDEX('CARNET DE SOUDURE'!$AP$7:$AP$3006,P493))</f>
        <v/>
      </c>
      <c r="G493" s="82" t="str">
        <f aca="false">IF(C493="","",IF(P493="","NJ INCONNU",INDEX('CARNET DE SOUDURE'!$AQ$7:$AQ$3006,P493)))</f>
        <v>À SOUDER</v>
      </c>
      <c r="H493" s="82" t="str">
        <f aca="false">IF(C493="","",IF(G493="ACCEPTÉ","OUI","NON"))</f>
        <v>NON</v>
      </c>
      <c r="I493" s="83"/>
      <c r="J493" s="80"/>
      <c r="K493" s="81"/>
      <c r="L493" s="81"/>
      <c r="M493" s="81"/>
      <c r="N493" s="84" t="str">
        <f aca="false">IF(C493="","",IF(P493="","NJ INCONNU",IF(I493="",IF(H493="OUI","À ENROBER",IF(G493="À SOUDER","NON SOUDÉ","EN ATTENTE RT")),IF(L493="R","À REPRENDRE",IF(H493&lt;&gt;"OUI","⚠ ENROBÉ AVANT ACCEPTATION RT","ENROBÉ")))))</f>
        <v>NON SOUDÉ</v>
      </c>
      <c r="O493" s="80"/>
      <c r="P493" s="82" t="n">
        <f aca="false">IF(C493="","",IFERROR(MATCH(Q493,'CARNET DE SOUDURE'!$AW$7:$AW$3006,0),""))</f>
        <v>487</v>
      </c>
      <c r="Q493" s="82" t="str">
        <f aca="false">IF(C493="","",B493&amp;"|"&amp;C493)</f>
        <v>MFD-ISW → MFD-CPF|JN°487</v>
      </c>
    </row>
    <row r="494" customFormat="false" ht="74.6" hidden="false" customHeight="false" outlineLevel="0" collapsed="false">
      <c r="A494" s="82" t="n">
        <f aca="false">IF(C494="","",ROW()-6)</f>
        <v>488</v>
      </c>
      <c r="B494" s="80" t="s">
        <v>110</v>
      </c>
      <c r="C494" s="113" t="s">
        <v>598</v>
      </c>
      <c r="D494" s="82" t="str">
        <f aca="false">IF(OR(C494="",P494=""),"",INDEX('CARNET DE SOUDURE'!$D$7:$D$3006,P494)&amp;"")</f>
        <v/>
      </c>
      <c r="E494" s="114" t="str">
        <f aca="false">IF(OR(C494="",P494=""),"",IF(INDEX('CARNET DE SOUDURE'!$U$7:$U$3006,P494)="","",INDEX('CARNET DE SOUDURE'!$U$7:$U$3006,P494)))</f>
        <v/>
      </c>
      <c r="F494" s="82" t="str">
        <f aca="false">IF(OR(C494="",P494=""),"",INDEX('CARNET DE SOUDURE'!$AP$7:$AP$3006,P494))</f>
        <v/>
      </c>
      <c r="G494" s="82" t="str">
        <f aca="false">IF(C494="","",IF(P494="","NJ INCONNU",INDEX('CARNET DE SOUDURE'!$AQ$7:$AQ$3006,P494)))</f>
        <v>À SOUDER</v>
      </c>
      <c r="H494" s="82" t="str">
        <f aca="false">IF(C494="","",IF(G494="ACCEPTÉ","OUI","NON"))</f>
        <v>NON</v>
      </c>
      <c r="I494" s="83"/>
      <c r="J494" s="80"/>
      <c r="K494" s="81"/>
      <c r="L494" s="81"/>
      <c r="M494" s="81"/>
      <c r="N494" s="84" t="str">
        <f aca="false">IF(C494="","",IF(P494="","NJ INCONNU",IF(I494="",IF(H494="OUI","À ENROBER",IF(G494="À SOUDER","NON SOUDÉ","EN ATTENTE RT")),IF(L494="R","À REPRENDRE",IF(H494&lt;&gt;"OUI","⚠ ENROBÉ AVANT ACCEPTATION RT","ENROBÉ")))))</f>
        <v>NON SOUDÉ</v>
      </c>
      <c r="O494" s="80"/>
      <c r="P494" s="82" t="n">
        <f aca="false">IF(C494="","",IFERROR(MATCH(Q494,'CARNET DE SOUDURE'!$AW$7:$AW$3006,0),""))</f>
        <v>488</v>
      </c>
      <c r="Q494" s="82" t="str">
        <f aca="false">IF(C494="","",B494&amp;"|"&amp;C494)</f>
        <v>MFD-ISW → MFD-CPF|JN°488</v>
      </c>
    </row>
    <row r="495" customFormat="false" ht="74.6" hidden="false" customHeight="false" outlineLevel="0" collapsed="false">
      <c r="A495" s="82" t="n">
        <f aca="false">IF(C495="","",ROW()-6)</f>
        <v>489</v>
      </c>
      <c r="B495" s="80" t="s">
        <v>110</v>
      </c>
      <c r="C495" s="113" t="s">
        <v>599</v>
      </c>
      <c r="D495" s="82" t="str">
        <f aca="false">IF(OR(C495="",P495=""),"",INDEX('CARNET DE SOUDURE'!$D$7:$D$3006,P495)&amp;"")</f>
        <v/>
      </c>
      <c r="E495" s="114" t="str">
        <f aca="false">IF(OR(C495="",P495=""),"",IF(INDEX('CARNET DE SOUDURE'!$U$7:$U$3006,P495)="","",INDEX('CARNET DE SOUDURE'!$U$7:$U$3006,P495)))</f>
        <v/>
      </c>
      <c r="F495" s="82" t="str">
        <f aca="false">IF(OR(C495="",P495=""),"",INDEX('CARNET DE SOUDURE'!$AP$7:$AP$3006,P495))</f>
        <v/>
      </c>
      <c r="G495" s="82" t="str">
        <f aca="false">IF(C495="","",IF(P495="","NJ INCONNU",INDEX('CARNET DE SOUDURE'!$AQ$7:$AQ$3006,P495)))</f>
        <v>À SOUDER</v>
      </c>
      <c r="H495" s="82" t="str">
        <f aca="false">IF(C495="","",IF(G495="ACCEPTÉ","OUI","NON"))</f>
        <v>NON</v>
      </c>
      <c r="I495" s="83"/>
      <c r="J495" s="80"/>
      <c r="K495" s="81"/>
      <c r="L495" s="81"/>
      <c r="M495" s="81"/>
      <c r="N495" s="84" t="str">
        <f aca="false">IF(C495="","",IF(P495="","NJ INCONNU",IF(I495="",IF(H495="OUI","À ENROBER",IF(G495="À SOUDER","NON SOUDÉ","EN ATTENTE RT")),IF(L495="R","À REPRENDRE",IF(H495&lt;&gt;"OUI","⚠ ENROBÉ AVANT ACCEPTATION RT","ENROBÉ")))))</f>
        <v>NON SOUDÉ</v>
      </c>
      <c r="O495" s="80"/>
      <c r="P495" s="82" t="n">
        <f aca="false">IF(C495="","",IFERROR(MATCH(Q495,'CARNET DE SOUDURE'!$AW$7:$AW$3006,0),""))</f>
        <v>489</v>
      </c>
      <c r="Q495" s="82" t="str">
        <f aca="false">IF(C495="","",B495&amp;"|"&amp;C495)</f>
        <v>MFD-ISW → MFD-CPF|JN°489</v>
      </c>
    </row>
    <row r="496" customFormat="false" ht="74.6" hidden="false" customHeight="false" outlineLevel="0" collapsed="false">
      <c r="A496" s="82" t="n">
        <f aca="false">IF(C496="","",ROW()-6)</f>
        <v>490</v>
      </c>
      <c r="B496" s="80" t="s">
        <v>110</v>
      </c>
      <c r="C496" s="113" t="s">
        <v>600</v>
      </c>
      <c r="D496" s="82" t="str">
        <f aca="false">IF(OR(C496="",P496=""),"",INDEX('CARNET DE SOUDURE'!$D$7:$D$3006,P496)&amp;"")</f>
        <v/>
      </c>
      <c r="E496" s="114" t="str">
        <f aca="false">IF(OR(C496="",P496=""),"",IF(INDEX('CARNET DE SOUDURE'!$U$7:$U$3006,P496)="","",INDEX('CARNET DE SOUDURE'!$U$7:$U$3006,P496)))</f>
        <v/>
      </c>
      <c r="F496" s="82" t="str">
        <f aca="false">IF(OR(C496="",P496=""),"",INDEX('CARNET DE SOUDURE'!$AP$7:$AP$3006,P496))</f>
        <v/>
      </c>
      <c r="G496" s="82" t="str">
        <f aca="false">IF(C496="","",IF(P496="","NJ INCONNU",INDEX('CARNET DE SOUDURE'!$AQ$7:$AQ$3006,P496)))</f>
        <v>À SOUDER</v>
      </c>
      <c r="H496" s="82" t="str">
        <f aca="false">IF(C496="","",IF(G496="ACCEPTÉ","OUI","NON"))</f>
        <v>NON</v>
      </c>
      <c r="I496" s="83"/>
      <c r="J496" s="80"/>
      <c r="K496" s="81"/>
      <c r="L496" s="81"/>
      <c r="M496" s="81"/>
      <c r="N496" s="84" t="str">
        <f aca="false">IF(C496="","",IF(P496="","NJ INCONNU",IF(I496="",IF(H496="OUI","À ENROBER",IF(G496="À SOUDER","NON SOUDÉ","EN ATTENTE RT")),IF(L496="R","À REPRENDRE",IF(H496&lt;&gt;"OUI","⚠ ENROBÉ AVANT ACCEPTATION RT","ENROBÉ")))))</f>
        <v>NON SOUDÉ</v>
      </c>
      <c r="O496" s="80"/>
      <c r="P496" s="82" t="n">
        <f aca="false">IF(C496="","",IFERROR(MATCH(Q496,'CARNET DE SOUDURE'!$AW$7:$AW$3006,0),""))</f>
        <v>490</v>
      </c>
      <c r="Q496" s="82" t="str">
        <f aca="false">IF(C496="","",B496&amp;"|"&amp;C496)</f>
        <v>MFD-ISW → MFD-CPF|JN°490</v>
      </c>
    </row>
    <row r="497" customFormat="false" ht="74.6" hidden="false" customHeight="false" outlineLevel="0" collapsed="false">
      <c r="A497" s="82" t="n">
        <f aca="false">IF(C497="","",ROW()-6)</f>
        <v>491</v>
      </c>
      <c r="B497" s="80" t="s">
        <v>110</v>
      </c>
      <c r="C497" s="113" t="s">
        <v>601</v>
      </c>
      <c r="D497" s="82" t="str">
        <f aca="false">IF(OR(C497="",P497=""),"",INDEX('CARNET DE SOUDURE'!$D$7:$D$3006,P497)&amp;"")</f>
        <v/>
      </c>
      <c r="E497" s="114" t="str">
        <f aca="false">IF(OR(C497="",P497=""),"",IF(INDEX('CARNET DE SOUDURE'!$U$7:$U$3006,P497)="","",INDEX('CARNET DE SOUDURE'!$U$7:$U$3006,P497)))</f>
        <v/>
      </c>
      <c r="F497" s="82" t="str">
        <f aca="false">IF(OR(C497="",P497=""),"",INDEX('CARNET DE SOUDURE'!$AP$7:$AP$3006,P497))</f>
        <v/>
      </c>
      <c r="G497" s="82" t="str">
        <f aca="false">IF(C497="","",IF(P497="","NJ INCONNU",INDEX('CARNET DE SOUDURE'!$AQ$7:$AQ$3006,P497)))</f>
        <v>À SOUDER</v>
      </c>
      <c r="H497" s="82" t="str">
        <f aca="false">IF(C497="","",IF(G497="ACCEPTÉ","OUI","NON"))</f>
        <v>NON</v>
      </c>
      <c r="I497" s="83"/>
      <c r="J497" s="80"/>
      <c r="K497" s="81"/>
      <c r="L497" s="81"/>
      <c r="M497" s="81"/>
      <c r="N497" s="84" t="str">
        <f aca="false">IF(C497="","",IF(P497="","NJ INCONNU",IF(I497="",IF(H497="OUI","À ENROBER",IF(G497="À SOUDER","NON SOUDÉ","EN ATTENTE RT")),IF(L497="R","À REPRENDRE",IF(H497&lt;&gt;"OUI","⚠ ENROBÉ AVANT ACCEPTATION RT","ENROBÉ")))))</f>
        <v>NON SOUDÉ</v>
      </c>
      <c r="O497" s="80"/>
      <c r="P497" s="82" t="n">
        <f aca="false">IF(C497="","",IFERROR(MATCH(Q497,'CARNET DE SOUDURE'!$AW$7:$AW$3006,0),""))</f>
        <v>491</v>
      </c>
      <c r="Q497" s="82" t="str">
        <f aca="false">IF(C497="","",B497&amp;"|"&amp;C497)</f>
        <v>MFD-ISW → MFD-CPF|JN°491</v>
      </c>
    </row>
    <row r="498" customFormat="false" ht="74.6" hidden="false" customHeight="false" outlineLevel="0" collapsed="false">
      <c r="A498" s="82" t="n">
        <f aca="false">IF(C498="","",ROW()-6)</f>
        <v>492</v>
      </c>
      <c r="B498" s="80" t="s">
        <v>110</v>
      </c>
      <c r="C498" s="113" t="s">
        <v>602</v>
      </c>
      <c r="D498" s="82" t="str">
        <f aca="false">IF(OR(C498="",P498=""),"",INDEX('CARNET DE SOUDURE'!$D$7:$D$3006,P498)&amp;"")</f>
        <v/>
      </c>
      <c r="E498" s="114" t="str">
        <f aca="false">IF(OR(C498="",P498=""),"",IF(INDEX('CARNET DE SOUDURE'!$U$7:$U$3006,P498)="","",INDEX('CARNET DE SOUDURE'!$U$7:$U$3006,P498)))</f>
        <v/>
      </c>
      <c r="F498" s="82" t="str">
        <f aca="false">IF(OR(C498="",P498=""),"",INDEX('CARNET DE SOUDURE'!$AP$7:$AP$3006,P498))</f>
        <v/>
      </c>
      <c r="G498" s="82" t="str">
        <f aca="false">IF(C498="","",IF(P498="","NJ INCONNU",INDEX('CARNET DE SOUDURE'!$AQ$7:$AQ$3006,P498)))</f>
        <v>À SOUDER</v>
      </c>
      <c r="H498" s="82" t="str">
        <f aca="false">IF(C498="","",IF(G498="ACCEPTÉ","OUI","NON"))</f>
        <v>NON</v>
      </c>
      <c r="I498" s="83"/>
      <c r="J498" s="80"/>
      <c r="K498" s="81"/>
      <c r="L498" s="81"/>
      <c r="M498" s="81"/>
      <c r="N498" s="84" t="str">
        <f aca="false">IF(C498="","",IF(P498="","NJ INCONNU",IF(I498="",IF(H498="OUI","À ENROBER",IF(G498="À SOUDER","NON SOUDÉ","EN ATTENTE RT")),IF(L498="R","À REPRENDRE",IF(H498&lt;&gt;"OUI","⚠ ENROBÉ AVANT ACCEPTATION RT","ENROBÉ")))))</f>
        <v>NON SOUDÉ</v>
      </c>
      <c r="O498" s="80"/>
      <c r="P498" s="82" t="n">
        <f aca="false">IF(C498="","",IFERROR(MATCH(Q498,'CARNET DE SOUDURE'!$AW$7:$AW$3006,0),""))</f>
        <v>492</v>
      </c>
      <c r="Q498" s="82" t="str">
        <f aca="false">IF(C498="","",B498&amp;"|"&amp;C498)</f>
        <v>MFD-ISW → MFD-CPF|JN°492</v>
      </c>
    </row>
    <row r="499" customFormat="false" ht="74.6" hidden="false" customHeight="false" outlineLevel="0" collapsed="false">
      <c r="A499" s="82" t="n">
        <f aca="false">IF(C499="","",ROW()-6)</f>
        <v>493</v>
      </c>
      <c r="B499" s="80" t="s">
        <v>110</v>
      </c>
      <c r="C499" s="113" t="s">
        <v>603</v>
      </c>
      <c r="D499" s="82" t="str">
        <f aca="false">IF(OR(C499="",P499=""),"",INDEX('CARNET DE SOUDURE'!$D$7:$D$3006,P499)&amp;"")</f>
        <v/>
      </c>
      <c r="E499" s="114" t="str">
        <f aca="false">IF(OR(C499="",P499=""),"",IF(INDEX('CARNET DE SOUDURE'!$U$7:$U$3006,P499)="","",INDEX('CARNET DE SOUDURE'!$U$7:$U$3006,P499)))</f>
        <v/>
      </c>
      <c r="F499" s="82" t="str">
        <f aca="false">IF(OR(C499="",P499=""),"",INDEX('CARNET DE SOUDURE'!$AP$7:$AP$3006,P499))</f>
        <v/>
      </c>
      <c r="G499" s="82" t="str">
        <f aca="false">IF(C499="","",IF(P499="","NJ INCONNU",INDEX('CARNET DE SOUDURE'!$AQ$7:$AQ$3006,P499)))</f>
        <v>À SOUDER</v>
      </c>
      <c r="H499" s="82" t="str">
        <f aca="false">IF(C499="","",IF(G499="ACCEPTÉ","OUI","NON"))</f>
        <v>NON</v>
      </c>
      <c r="I499" s="83"/>
      <c r="J499" s="80"/>
      <c r="K499" s="81"/>
      <c r="L499" s="81"/>
      <c r="M499" s="81"/>
      <c r="N499" s="84" t="str">
        <f aca="false">IF(C499="","",IF(P499="","NJ INCONNU",IF(I499="",IF(H499="OUI","À ENROBER",IF(G499="À SOUDER","NON SOUDÉ","EN ATTENTE RT")),IF(L499="R","À REPRENDRE",IF(H499&lt;&gt;"OUI","⚠ ENROBÉ AVANT ACCEPTATION RT","ENROBÉ")))))</f>
        <v>NON SOUDÉ</v>
      </c>
      <c r="O499" s="80"/>
      <c r="P499" s="82" t="n">
        <f aca="false">IF(C499="","",IFERROR(MATCH(Q499,'CARNET DE SOUDURE'!$AW$7:$AW$3006,0),""))</f>
        <v>493</v>
      </c>
      <c r="Q499" s="82" t="str">
        <f aca="false">IF(C499="","",B499&amp;"|"&amp;C499)</f>
        <v>MFD-ISW → MFD-CPF|JN°493</v>
      </c>
    </row>
    <row r="500" customFormat="false" ht="74.6" hidden="false" customHeight="false" outlineLevel="0" collapsed="false">
      <c r="A500" s="82" t="n">
        <f aca="false">IF(C500="","",ROW()-6)</f>
        <v>494</v>
      </c>
      <c r="B500" s="80" t="s">
        <v>110</v>
      </c>
      <c r="C500" s="113" t="s">
        <v>604</v>
      </c>
      <c r="D500" s="82" t="str">
        <f aca="false">IF(OR(C500="",P500=""),"",INDEX('CARNET DE SOUDURE'!$D$7:$D$3006,P500)&amp;"")</f>
        <v/>
      </c>
      <c r="E500" s="114" t="str">
        <f aca="false">IF(OR(C500="",P500=""),"",IF(INDEX('CARNET DE SOUDURE'!$U$7:$U$3006,P500)="","",INDEX('CARNET DE SOUDURE'!$U$7:$U$3006,P500)))</f>
        <v/>
      </c>
      <c r="F500" s="82" t="str">
        <f aca="false">IF(OR(C500="",P500=""),"",INDEX('CARNET DE SOUDURE'!$AP$7:$AP$3006,P500))</f>
        <v/>
      </c>
      <c r="G500" s="82" t="str">
        <f aca="false">IF(C500="","",IF(P500="","NJ INCONNU",INDEX('CARNET DE SOUDURE'!$AQ$7:$AQ$3006,P500)))</f>
        <v>À SOUDER</v>
      </c>
      <c r="H500" s="82" t="str">
        <f aca="false">IF(C500="","",IF(G500="ACCEPTÉ","OUI","NON"))</f>
        <v>NON</v>
      </c>
      <c r="I500" s="83"/>
      <c r="J500" s="80"/>
      <c r="K500" s="81"/>
      <c r="L500" s="81"/>
      <c r="M500" s="81"/>
      <c r="N500" s="84" t="str">
        <f aca="false">IF(C500="","",IF(P500="","NJ INCONNU",IF(I500="",IF(H500="OUI","À ENROBER",IF(G500="À SOUDER","NON SOUDÉ","EN ATTENTE RT")),IF(L500="R","À REPRENDRE",IF(H500&lt;&gt;"OUI","⚠ ENROBÉ AVANT ACCEPTATION RT","ENROBÉ")))))</f>
        <v>NON SOUDÉ</v>
      </c>
      <c r="O500" s="80"/>
      <c r="P500" s="82" t="n">
        <f aca="false">IF(C500="","",IFERROR(MATCH(Q500,'CARNET DE SOUDURE'!$AW$7:$AW$3006,0),""))</f>
        <v>494</v>
      </c>
      <c r="Q500" s="82" t="str">
        <f aca="false">IF(C500="","",B500&amp;"|"&amp;C500)</f>
        <v>MFD-ISW → MFD-CPF|JN°494</v>
      </c>
    </row>
    <row r="501" customFormat="false" ht="74.6" hidden="false" customHeight="false" outlineLevel="0" collapsed="false">
      <c r="A501" s="82" t="n">
        <f aca="false">IF(C501="","",ROW()-6)</f>
        <v>495</v>
      </c>
      <c r="B501" s="80" t="s">
        <v>110</v>
      </c>
      <c r="C501" s="113" t="s">
        <v>605</v>
      </c>
      <c r="D501" s="82" t="str">
        <f aca="false">IF(OR(C501="",P501=""),"",INDEX('CARNET DE SOUDURE'!$D$7:$D$3006,P501)&amp;"")</f>
        <v/>
      </c>
      <c r="E501" s="114" t="str">
        <f aca="false">IF(OR(C501="",P501=""),"",IF(INDEX('CARNET DE SOUDURE'!$U$7:$U$3006,P501)="","",INDEX('CARNET DE SOUDURE'!$U$7:$U$3006,P501)))</f>
        <v/>
      </c>
      <c r="F501" s="82" t="str">
        <f aca="false">IF(OR(C501="",P501=""),"",INDEX('CARNET DE SOUDURE'!$AP$7:$AP$3006,P501))</f>
        <v/>
      </c>
      <c r="G501" s="82" t="str">
        <f aca="false">IF(C501="","",IF(P501="","NJ INCONNU",INDEX('CARNET DE SOUDURE'!$AQ$7:$AQ$3006,P501)))</f>
        <v>À SOUDER</v>
      </c>
      <c r="H501" s="82" t="str">
        <f aca="false">IF(C501="","",IF(G501="ACCEPTÉ","OUI","NON"))</f>
        <v>NON</v>
      </c>
      <c r="I501" s="83"/>
      <c r="J501" s="80"/>
      <c r="K501" s="81"/>
      <c r="L501" s="81"/>
      <c r="M501" s="81"/>
      <c r="N501" s="84" t="str">
        <f aca="false">IF(C501="","",IF(P501="","NJ INCONNU",IF(I501="",IF(H501="OUI","À ENROBER",IF(G501="À SOUDER","NON SOUDÉ","EN ATTENTE RT")),IF(L501="R","À REPRENDRE",IF(H501&lt;&gt;"OUI","⚠ ENROBÉ AVANT ACCEPTATION RT","ENROBÉ")))))</f>
        <v>NON SOUDÉ</v>
      </c>
      <c r="O501" s="80"/>
      <c r="P501" s="82" t="n">
        <f aca="false">IF(C501="","",IFERROR(MATCH(Q501,'CARNET DE SOUDURE'!$AW$7:$AW$3006,0),""))</f>
        <v>495</v>
      </c>
      <c r="Q501" s="82" t="str">
        <f aca="false">IF(C501="","",B501&amp;"|"&amp;C501)</f>
        <v>MFD-ISW → MFD-CPF|JN°495</v>
      </c>
    </row>
    <row r="502" customFormat="false" ht="74.6" hidden="false" customHeight="false" outlineLevel="0" collapsed="false">
      <c r="A502" s="82" t="n">
        <f aca="false">IF(C502="","",ROW()-6)</f>
        <v>496</v>
      </c>
      <c r="B502" s="80" t="s">
        <v>110</v>
      </c>
      <c r="C502" s="113" t="s">
        <v>606</v>
      </c>
      <c r="D502" s="82" t="str">
        <f aca="false">IF(OR(C502="",P502=""),"",INDEX('CARNET DE SOUDURE'!$D$7:$D$3006,P502)&amp;"")</f>
        <v/>
      </c>
      <c r="E502" s="114" t="str">
        <f aca="false">IF(OR(C502="",P502=""),"",IF(INDEX('CARNET DE SOUDURE'!$U$7:$U$3006,P502)="","",INDEX('CARNET DE SOUDURE'!$U$7:$U$3006,P502)))</f>
        <v/>
      </c>
      <c r="F502" s="82" t="str">
        <f aca="false">IF(OR(C502="",P502=""),"",INDEX('CARNET DE SOUDURE'!$AP$7:$AP$3006,P502))</f>
        <v/>
      </c>
      <c r="G502" s="82" t="str">
        <f aca="false">IF(C502="","",IF(P502="","NJ INCONNU",INDEX('CARNET DE SOUDURE'!$AQ$7:$AQ$3006,P502)))</f>
        <v>À SOUDER</v>
      </c>
      <c r="H502" s="82" t="str">
        <f aca="false">IF(C502="","",IF(G502="ACCEPTÉ","OUI","NON"))</f>
        <v>NON</v>
      </c>
      <c r="I502" s="83"/>
      <c r="J502" s="80"/>
      <c r="K502" s="81"/>
      <c r="L502" s="81"/>
      <c r="M502" s="81"/>
      <c r="N502" s="84" t="str">
        <f aca="false">IF(C502="","",IF(P502="","NJ INCONNU",IF(I502="",IF(H502="OUI","À ENROBER",IF(G502="À SOUDER","NON SOUDÉ","EN ATTENTE RT")),IF(L502="R","À REPRENDRE",IF(H502&lt;&gt;"OUI","⚠ ENROBÉ AVANT ACCEPTATION RT","ENROBÉ")))))</f>
        <v>NON SOUDÉ</v>
      </c>
      <c r="O502" s="80"/>
      <c r="P502" s="82" t="n">
        <f aca="false">IF(C502="","",IFERROR(MATCH(Q502,'CARNET DE SOUDURE'!$AW$7:$AW$3006,0),""))</f>
        <v>496</v>
      </c>
      <c r="Q502" s="82" t="str">
        <f aca="false">IF(C502="","",B502&amp;"|"&amp;C502)</f>
        <v>MFD-ISW → MFD-CPF|JN°496</v>
      </c>
    </row>
    <row r="503" customFormat="false" ht="74.6" hidden="false" customHeight="false" outlineLevel="0" collapsed="false">
      <c r="A503" s="82" t="n">
        <f aca="false">IF(C503="","",ROW()-6)</f>
        <v>497</v>
      </c>
      <c r="B503" s="80" t="s">
        <v>110</v>
      </c>
      <c r="C503" s="113" t="s">
        <v>607</v>
      </c>
      <c r="D503" s="82" t="str">
        <f aca="false">IF(OR(C503="",P503=""),"",INDEX('CARNET DE SOUDURE'!$D$7:$D$3006,P503)&amp;"")</f>
        <v/>
      </c>
      <c r="E503" s="114" t="str">
        <f aca="false">IF(OR(C503="",P503=""),"",IF(INDEX('CARNET DE SOUDURE'!$U$7:$U$3006,P503)="","",INDEX('CARNET DE SOUDURE'!$U$7:$U$3006,P503)))</f>
        <v/>
      </c>
      <c r="F503" s="82" t="str">
        <f aca="false">IF(OR(C503="",P503=""),"",INDEX('CARNET DE SOUDURE'!$AP$7:$AP$3006,P503))</f>
        <v/>
      </c>
      <c r="G503" s="82" t="str">
        <f aca="false">IF(C503="","",IF(P503="","NJ INCONNU",INDEX('CARNET DE SOUDURE'!$AQ$7:$AQ$3006,P503)))</f>
        <v>À SOUDER</v>
      </c>
      <c r="H503" s="82" t="str">
        <f aca="false">IF(C503="","",IF(G503="ACCEPTÉ","OUI","NON"))</f>
        <v>NON</v>
      </c>
      <c r="I503" s="83"/>
      <c r="J503" s="80"/>
      <c r="K503" s="81"/>
      <c r="L503" s="81"/>
      <c r="M503" s="81"/>
      <c r="N503" s="84" t="str">
        <f aca="false">IF(C503="","",IF(P503="","NJ INCONNU",IF(I503="",IF(H503="OUI","À ENROBER",IF(G503="À SOUDER","NON SOUDÉ","EN ATTENTE RT")),IF(L503="R","À REPRENDRE",IF(H503&lt;&gt;"OUI","⚠ ENROBÉ AVANT ACCEPTATION RT","ENROBÉ")))))</f>
        <v>NON SOUDÉ</v>
      </c>
      <c r="O503" s="80"/>
      <c r="P503" s="82" t="n">
        <f aca="false">IF(C503="","",IFERROR(MATCH(Q503,'CARNET DE SOUDURE'!$AW$7:$AW$3006,0),""))</f>
        <v>497</v>
      </c>
      <c r="Q503" s="82" t="str">
        <f aca="false">IF(C503="","",B503&amp;"|"&amp;C503)</f>
        <v>MFD-ISW → MFD-CPF|JN°497</v>
      </c>
    </row>
    <row r="504" customFormat="false" ht="74.6" hidden="false" customHeight="false" outlineLevel="0" collapsed="false">
      <c r="A504" s="82" t="n">
        <f aca="false">IF(C504="","",ROW()-6)</f>
        <v>498</v>
      </c>
      <c r="B504" s="80" t="s">
        <v>110</v>
      </c>
      <c r="C504" s="113" t="s">
        <v>608</v>
      </c>
      <c r="D504" s="82" t="str">
        <f aca="false">IF(OR(C504="",P504=""),"",INDEX('CARNET DE SOUDURE'!$D$7:$D$3006,P504)&amp;"")</f>
        <v/>
      </c>
      <c r="E504" s="114" t="str">
        <f aca="false">IF(OR(C504="",P504=""),"",IF(INDEX('CARNET DE SOUDURE'!$U$7:$U$3006,P504)="","",INDEX('CARNET DE SOUDURE'!$U$7:$U$3006,P504)))</f>
        <v/>
      </c>
      <c r="F504" s="82" t="str">
        <f aca="false">IF(OR(C504="",P504=""),"",INDEX('CARNET DE SOUDURE'!$AP$7:$AP$3006,P504))</f>
        <v/>
      </c>
      <c r="G504" s="82" t="str">
        <f aca="false">IF(C504="","",IF(P504="","NJ INCONNU",INDEX('CARNET DE SOUDURE'!$AQ$7:$AQ$3006,P504)))</f>
        <v>À SOUDER</v>
      </c>
      <c r="H504" s="82" t="str">
        <f aca="false">IF(C504="","",IF(G504="ACCEPTÉ","OUI","NON"))</f>
        <v>NON</v>
      </c>
      <c r="I504" s="83"/>
      <c r="J504" s="80"/>
      <c r="K504" s="81"/>
      <c r="L504" s="81"/>
      <c r="M504" s="81"/>
      <c r="N504" s="84" t="str">
        <f aca="false">IF(C504="","",IF(P504="","NJ INCONNU",IF(I504="",IF(H504="OUI","À ENROBER",IF(G504="À SOUDER","NON SOUDÉ","EN ATTENTE RT")),IF(L504="R","À REPRENDRE",IF(H504&lt;&gt;"OUI","⚠ ENROBÉ AVANT ACCEPTATION RT","ENROBÉ")))))</f>
        <v>NON SOUDÉ</v>
      </c>
      <c r="O504" s="80"/>
      <c r="P504" s="82" t="n">
        <f aca="false">IF(C504="","",IFERROR(MATCH(Q504,'CARNET DE SOUDURE'!$AW$7:$AW$3006,0),""))</f>
        <v>498</v>
      </c>
      <c r="Q504" s="82" t="str">
        <f aca="false">IF(C504="","",B504&amp;"|"&amp;C504)</f>
        <v>MFD-ISW → MFD-CPF|JN°498</v>
      </c>
    </row>
    <row r="505" customFormat="false" ht="74.6" hidden="false" customHeight="false" outlineLevel="0" collapsed="false">
      <c r="A505" s="82" t="n">
        <f aca="false">IF(C505="","",ROW()-6)</f>
        <v>499</v>
      </c>
      <c r="B505" s="80" t="s">
        <v>110</v>
      </c>
      <c r="C505" s="113" t="s">
        <v>609</v>
      </c>
      <c r="D505" s="82" t="str">
        <f aca="false">IF(OR(C505="",P505=""),"",INDEX('CARNET DE SOUDURE'!$D$7:$D$3006,P505)&amp;"")</f>
        <v/>
      </c>
      <c r="E505" s="114" t="str">
        <f aca="false">IF(OR(C505="",P505=""),"",IF(INDEX('CARNET DE SOUDURE'!$U$7:$U$3006,P505)="","",INDEX('CARNET DE SOUDURE'!$U$7:$U$3006,P505)))</f>
        <v/>
      </c>
      <c r="F505" s="82" t="str">
        <f aca="false">IF(OR(C505="",P505=""),"",INDEX('CARNET DE SOUDURE'!$AP$7:$AP$3006,P505))</f>
        <v/>
      </c>
      <c r="G505" s="82" t="str">
        <f aca="false">IF(C505="","",IF(P505="","NJ INCONNU",INDEX('CARNET DE SOUDURE'!$AQ$7:$AQ$3006,P505)))</f>
        <v>À SOUDER</v>
      </c>
      <c r="H505" s="82" t="str">
        <f aca="false">IF(C505="","",IF(G505="ACCEPTÉ","OUI","NON"))</f>
        <v>NON</v>
      </c>
      <c r="I505" s="83"/>
      <c r="J505" s="80"/>
      <c r="K505" s="81"/>
      <c r="L505" s="81"/>
      <c r="M505" s="81"/>
      <c r="N505" s="84" t="str">
        <f aca="false">IF(C505="","",IF(P505="","NJ INCONNU",IF(I505="",IF(H505="OUI","À ENROBER",IF(G505="À SOUDER","NON SOUDÉ","EN ATTENTE RT")),IF(L505="R","À REPRENDRE",IF(H505&lt;&gt;"OUI","⚠ ENROBÉ AVANT ACCEPTATION RT","ENROBÉ")))))</f>
        <v>NON SOUDÉ</v>
      </c>
      <c r="O505" s="80"/>
      <c r="P505" s="82" t="n">
        <f aca="false">IF(C505="","",IFERROR(MATCH(Q505,'CARNET DE SOUDURE'!$AW$7:$AW$3006,0),""))</f>
        <v>499</v>
      </c>
      <c r="Q505" s="82" t="str">
        <f aca="false">IF(C505="","",B505&amp;"|"&amp;C505)</f>
        <v>MFD-ISW → MFD-CPF|JN°499</v>
      </c>
    </row>
    <row r="506" customFormat="false" ht="74.6" hidden="false" customHeight="false" outlineLevel="0" collapsed="false">
      <c r="A506" s="82" t="n">
        <f aca="false">IF(C506="","",ROW()-6)</f>
        <v>500</v>
      </c>
      <c r="B506" s="80" t="s">
        <v>110</v>
      </c>
      <c r="C506" s="113" t="s">
        <v>610</v>
      </c>
      <c r="D506" s="82" t="str">
        <f aca="false">IF(OR(C506="",P506=""),"",INDEX('CARNET DE SOUDURE'!$D$7:$D$3006,P506)&amp;"")</f>
        <v/>
      </c>
      <c r="E506" s="114" t="str">
        <f aca="false">IF(OR(C506="",P506=""),"",IF(INDEX('CARNET DE SOUDURE'!$U$7:$U$3006,P506)="","",INDEX('CARNET DE SOUDURE'!$U$7:$U$3006,P506)))</f>
        <v/>
      </c>
      <c r="F506" s="82" t="str">
        <f aca="false">IF(OR(C506="",P506=""),"",INDEX('CARNET DE SOUDURE'!$AP$7:$AP$3006,P506))</f>
        <v/>
      </c>
      <c r="G506" s="82" t="str">
        <f aca="false">IF(C506="","",IF(P506="","NJ INCONNU",INDEX('CARNET DE SOUDURE'!$AQ$7:$AQ$3006,P506)))</f>
        <v>À SOUDER</v>
      </c>
      <c r="H506" s="82" t="str">
        <f aca="false">IF(C506="","",IF(G506="ACCEPTÉ","OUI","NON"))</f>
        <v>NON</v>
      </c>
      <c r="I506" s="83"/>
      <c r="J506" s="80"/>
      <c r="K506" s="81"/>
      <c r="L506" s="81"/>
      <c r="M506" s="81"/>
      <c r="N506" s="84" t="str">
        <f aca="false">IF(C506="","",IF(P506="","NJ INCONNU",IF(I506="",IF(H506="OUI","À ENROBER",IF(G506="À SOUDER","NON SOUDÉ","EN ATTENTE RT")),IF(L506="R","À REPRENDRE",IF(H506&lt;&gt;"OUI","⚠ ENROBÉ AVANT ACCEPTATION RT","ENROBÉ")))))</f>
        <v>NON SOUDÉ</v>
      </c>
      <c r="O506" s="80"/>
      <c r="P506" s="82" t="n">
        <f aca="false">IF(C506="","",IFERROR(MATCH(Q506,'CARNET DE SOUDURE'!$AW$7:$AW$3006,0),""))</f>
        <v>500</v>
      </c>
      <c r="Q506" s="82" t="str">
        <f aca="false">IF(C506="","",B506&amp;"|"&amp;C506)</f>
        <v>MFD-ISW → MFD-CPF|JN°500</v>
      </c>
    </row>
    <row r="507" customFormat="false" ht="74.6" hidden="false" customHeight="false" outlineLevel="0" collapsed="false">
      <c r="A507" s="82" t="n">
        <f aca="false">IF(C507="","",ROW()-6)</f>
        <v>501</v>
      </c>
      <c r="B507" s="80" t="s">
        <v>110</v>
      </c>
      <c r="C507" s="113" t="s">
        <v>611</v>
      </c>
      <c r="D507" s="82" t="str">
        <f aca="false">IF(OR(C507="",P507=""),"",INDEX('CARNET DE SOUDURE'!$D$7:$D$3006,P507)&amp;"")</f>
        <v/>
      </c>
      <c r="E507" s="114" t="str">
        <f aca="false">IF(OR(C507="",P507=""),"",IF(INDEX('CARNET DE SOUDURE'!$U$7:$U$3006,P507)="","",INDEX('CARNET DE SOUDURE'!$U$7:$U$3006,P507)))</f>
        <v/>
      </c>
      <c r="F507" s="82" t="str">
        <f aca="false">IF(OR(C507="",P507=""),"",INDEX('CARNET DE SOUDURE'!$AP$7:$AP$3006,P507))</f>
        <v/>
      </c>
      <c r="G507" s="82" t="str">
        <f aca="false">IF(C507="","",IF(P507="","NJ INCONNU",INDEX('CARNET DE SOUDURE'!$AQ$7:$AQ$3006,P507)))</f>
        <v>À SOUDER</v>
      </c>
      <c r="H507" s="82" t="str">
        <f aca="false">IF(C507="","",IF(G507="ACCEPTÉ","OUI","NON"))</f>
        <v>NON</v>
      </c>
      <c r="I507" s="83"/>
      <c r="J507" s="80"/>
      <c r="K507" s="81"/>
      <c r="L507" s="81"/>
      <c r="M507" s="81"/>
      <c r="N507" s="84" t="str">
        <f aca="false">IF(C507="","",IF(P507="","NJ INCONNU",IF(I507="",IF(H507="OUI","À ENROBER",IF(G507="À SOUDER","NON SOUDÉ","EN ATTENTE RT")),IF(L507="R","À REPRENDRE",IF(H507&lt;&gt;"OUI","⚠ ENROBÉ AVANT ACCEPTATION RT","ENROBÉ")))))</f>
        <v>NON SOUDÉ</v>
      </c>
      <c r="O507" s="80"/>
      <c r="P507" s="82" t="n">
        <f aca="false">IF(C507="","",IFERROR(MATCH(Q507,'CARNET DE SOUDURE'!$AW$7:$AW$3006,0),""))</f>
        <v>501</v>
      </c>
      <c r="Q507" s="82" t="str">
        <f aca="false">IF(C507="","",B507&amp;"|"&amp;C507)</f>
        <v>MFD-ISW → MFD-CPF|JN°501</v>
      </c>
    </row>
    <row r="508" customFormat="false" ht="74.6" hidden="false" customHeight="false" outlineLevel="0" collapsed="false">
      <c r="A508" s="82" t="n">
        <f aca="false">IF(C508="","",ROW()-6)</f>
        <v>502</v>
      </c>
      <c r="B508" s="80" t="s">
        <v>110</v>
      </c>
      <c r="C508" s="113" t="s">
        <v>612</v>
      </c>
      <c r="D508" s="82" t="str">
        <f aca="false">IF(OR(C508="",P508=""),"",INDEX('CARNET DE SOUDURE'!$D$7:$D$3006,P508)&amp;"")</f>
        <v/>
      </c>
      <c r="E508" s="114" t="str">
        <f aca="false">IF(OR(C508="",P508=""),"",IF(INDEX('CARNET DE SOUDURE'!$U$7:$U$3006,P508)="","",INDEX('CARNET DE SOUDURE'!$U$7:$U$3006,P508)))</f>
        <v/>
      </c>
      <c r="F508" s="82" t="str">
        <f aca="false">IF(OR(C508="",P508=""),"",INDEX('CARNET DE SOUDURE'!$AP$7:$AP$3006,P508))</f>
        <v/>
      </c>
      <c r="G508" s="82" t="str">
        <f aca="false">IF(C508="","",IF(P508="","NJ INCONNU",INDEX('CARNET DE SOUDURE'!$AQ$7:$AQ$3006,P508)))</f>
        <v>À SOUDER</v>
      </c>
      <c r="H508" s="82" t="str">
        <f aca="false">IF(C508="","",IF(G508="ACCEPTÉ","OUI","NON"))</f>
        <v>NON</v>
      </c>
      <c r="I508" s="83"/>
      <c r="J508" s="80"/>
      <c r="K508" s="81"/>
      <c r="L508" s="81"/>
      <c r="M508" s="81"/>
      <c r="N508" s="84" t="str">
        <f aca="false">IF(C508="","",IF(P508="","NJ INCONNU",IF(I508="",IF(H508="OUI","À ENROBER",IF(G508="À SOUDER","NON SOUDÉ","EN ATTENTE RT")),IF(L508="R","À REPRENDRE",IF(H508&lt;&gt;"OUI","⚠ ENROBÉ AVANT ACCEPTATION RT","ENROBÉ")))))</f>
        <v>NON SOUDÉ</v>
      </c>
      <c r="O508" s="80"/>
      <c r="P508" s="82" t="n">
        <f aca="false">IF(C508="","",IFERROR(MATCH(Q508,'CARNET DE SOUDURE'!$AW$7:$AW$3006,0),""))</f>
        <v>502</v>
      </c>
      <c r="Q508" s="82" t="str">
        <f aca="false">IF(C508="","",B508&amp;"|"&amp;C508)</f>
        <v>MFD-ISW → MFD-CPF|JN°502</v>
      </c>
    </row>
    <row r="509" customFormat="false" ht="74.6" hidden="false" customHeight="false" outlineLevel="0" collapsed="false">
      <c r="A509" s="82" t="n">
        <f aca="false">IF(C509="","",ROW()-6)</f>
        <v>503</v>
      </c>
      <c r="B509" s="80" t="s">
        <v>110</v>
      </c>
      <c r="C509" s="113" t="s">
        <v>613</v>
      </c>
      <c r="D509" s="82" t="str">
        <f aca="false">IF(OR(C509="",P509=""),"",INDEX('CARNET DE SOUDURE'!$D$7:$D$3006,P509)&amp;"")</f>
        <v/>
      </c>
      <c r="E509" s="114" t="str">
        <f aca="false">IF(OR(C509="",P509=""),"",IF(INDEX('CARNET DE SOUDURE'!$U$7:$U$3006,P509)="","",INDEX('CARNET DE SOUDURE'!$U$7:$U$3006,P509)))</f>
        <v/>
      </c>
      <c r="F509" s="82" t="str">
        <f aca="false">IF(OR(C509="",P509=""),"",INDEX('CARNET DE SOUDURE'!$AP$7:$AP$3006,P509))</f>
        <v/>
      </c>
      <c r="G509" s="82" t="str">
        <f aca="false">IF(C509="","",IF(P509="","NJ INCONNU",INDEX('CARNET DE SOUDURE'!$AQ$7:$AQ$3006,P509)))</f>
        <v>À SOUDER</v>
      </c>
      <c r="H509" s="82" t="str">
        <f aca="false">IF(C509="","",IF(G509="ACCEPTÉ","OUI","NON"))</f>
        <v>NON</v>
      </c>
      <c r="I509" s="83"/>
      <c r="J509" s="80"/>
      <c r="K509" s="81"/>
      <c r="L509" s="81"/>
      <c r="M509" s="81"/>
      <c r="N509" s="84" t="str">
        <f aca="false">IF(C509="","",IF(P509="","NJ INCONNU",IF(I509="",IF(H509="OUI","À ENROBER",IF(G509="À SOUDER","NON SOUDÉ","EN ATTENTE RT")),IF(L509="R","À REPRENDRE",IF(H509&lt;&gt;"OUI","⚠ ENROBÉ AVANT ACCEPTATION RT","ENROBÉ")))))</f>
        <v>NON SOUDÉ</v>
      </c>
      <c r="O509" s="80"/>
      <c r="P509" s="82" t="n">
        <f aca="false">IF(C509="","",IFERROR(MATCH(Q509,'CARNET DE SOUDURE'!$AW$7:$AW$3006,0),""))</f>
        <v>503</v>
      </c>
      <c r="Q509" s="82" t="str">
        <f aca="false">IF(C509="","",B509&amp;"|"&amp;C509)</f>
        <v>MFD-ISW → MFD-CPF|JN°503</v>
      </c>
    </row>
    <row r="510" customFormat="false" ht="74.6" hidden="false" customHeight="false" outlineLevel="0" collapsed="false">
      <c r="A510" s="82" t="n">
        <f aca="false">IF(C510="","",ROW()-6)</f>
        <v>504</v>
      </c>
      <c r="B510" s="80" t="s">
        <v>110</v>
      </c>
      <c r="C510" s="113" t="s">
        <v>614</v>
      </c>
      <c r="D510" s="82" t="str">
        <f aca="false">IF(OR(C510="",P510=""),"",INDEX('CARNET DE SOUDURE'!$D$7:$D$3006,P510)&amp;"")</f>
        <v/>
      </c>
      <c r="E510" s="114" t="str">
        <f aca="false">IF(OR(C510="",P510=""),"",IF(INDEX('CARNET DE SOUDURE'!$U$7:$U$3006,P510)="","",INDEX('CARNET DE SOUDURE'!$U$7:$U$3006,P510)))</f>
        <v/>
      </c>
      <c r="F510" s="82" t="str">
        <f aca="false">IF(OR(C510="",P510=""),"",INDEX('CARNET DE SOUDURE'!$AP$7:$AP$3006,P510))</f>
        <v/>
      </c>
      <c r="G510" s="82" t="str">
        <f aca="false">IF(C510="","",IF(P510="","NJ INCONNU",INDEX('CARNET DE SOUDURE'!$AQ$7:$AQ$3006,P510)))</f>
        <v>À SOUDER</v>
      </c>
      <c r="H510" s="82" t="str">
        <f aca="false">IF(C510="","",IF(G510="ACCEPTÉ","OUI","NON"))</f>
        <v>NON</v>
      </c>
      <c r="I510" s="83"/>
      <c r="J510" s="80"/>
      <c r="K510" s="81"/>
      <c r="L510" s="81"/>
      <c r="M510" s="81"/>
      <c r="N510" s="84" t="str">
        <f aca="false">IF(C510="","",IF(P510="","NJ INCONNU",IF(I510="",IF(H510="OUI","À ENROBER",IF(G510="À SOUDER","NON SOUDÉ","EN ATTENTE RT")),IF(L510="R","À REPRENDRE",IF(H510&lt;&gt;"OUI","⚠ ENROBÉ AVANT ACCEPTATION RT","ENROBÉ")))))</f>
        <v>NON SOUDÉ</v>
      </c>
      <c r="O510" s="80"/>
      <c r="P510" s="82" t="n">
        <f aca="false">IF(C510="","",IFERROR(MATCH(Q510,'CARNET DE SOUDURE'!$AW$7:$AW$3006,0),""))</f>
        <v>504</v>
      </c>
      <c r="Q510" s="82" t="str">
        <f aca="false">IF(C510="","",B510&amp;"|"&amp;C510)</f>
        <v>MFD-ISW → MFD-CPF|JN°504</v>
      </c>
    </row>
    <row r="511" customFormat="false" ht="74.6" hidden="false" customHeight="false" outlineLevel="0" collapsed="false">
      <c r="A511" s="82" t="n">
        <f aca="false">IF(C511="","",ROW()-6)</f>
        <v>505</v>
      </c>
      <c r="B511" s="80" t="s">
        <v>110</v>
      </c>
      <c r="C511" s="113" t="s">
        <v>615</v>
      </c>
      <c r="D511" s="82" t="str">
        <f aca="false">IF(OR(C511="",P511=""),"",INDEX('CARNET DE SOUDURE'!$D$7:$D$3006,P511)&amp;"")</f>
        <v/>
      </c>
      <c r="E511" s="114" t="str">
        <f aca="false">IF(OR(C511="",P511=""),"",IF(INDEX('CARNET DE SOUDURE'!$U$7:$U$3006,P511)="","",INDEX('CARNET DE SOUDURE'!$U$7:$U$3006,P511)))</f>
        <v/>
      </c>
      <c r="F511" s="82" t="str">
        <f aca="false">IF(OR(C511="",P511=""),"",INDEX('CARNET DE SOUDURE'!$AP$7:$AP$3006,P511))</f>
        <v/>
      </c>
      <c r="G511" s="82" t="str">
        <f aca="false">IF(C511="","",IF(P511="","NJ INCONNU",INDEX('CARNET DE SOUDURE'!$AQ$7:$AQ$3006,P511)))</f>
        <v>À SOUDER</v>
      </c>
      <c r="H511" s="82" t="str">
        <f aca="false">IF(C511="","",IF(G511="ACCEPTÉ","OUI","NON"))</f>
        <v>NON</v>
      </c>
      <c r="I511" s="83"/>
      <c r="J511" s="80"/>
      <c r="K511" s="81"/>
      <c r="L511" s="81"/>
      <c r="M511" s="81"/>
      <c r="N511" s="84" t="str">
        <f aca="false">IF(C511="","",IF(P511="","NJ INCONNU",IF(I511="",IF(H511="OUI","À ENROBER",IF(G511="À SOUDER","NON SOUDÉ","EN ATTENTE RT")),IF(L511="R","À REPRENDRE",IF(H511&lt;&gt;"OUI","⚠ ENROBÉ AVANT ACCEPTATION RT","ENROBÉ")))))</f>
        <v>NON SOUDÉ</v>
      </c>
      <c r="O511" s="80"/>
      <c r="P511" s="82" t="n">
        <f aca="false">IF(C511="","",IFERROR(MATCH(Q511,'CARNET DE SOUDURE'!$AW$7:$AW$3006,0),""))</f>
        <v>505</v>
      </c>
      <c r="Q511" s="82" t="str">
        <f aca="false">IF(C511="","",B511&amp;"|"&amp;C511)</f>
        <v>MFD-ISW → MFD-CPF|JN°505</v>
      </c>
    </row>
    <row r="512" customFormat="false" ht="74.6" hidden="false" customHeight="false" outlineLevel="0" collapsed="false">
      <c r="A512" s="82" t="n">
        <f aca="false">IF(C512="","",ROW()-6)</f>
        <v>506</v>
      </c>
      <c r="B512" s="80" t="s">
        <v>110</v>
      </c>
      <c r="C512" s="113" t="s">
        <v>616</v>
      </c>
      <c r="D512" s="82" t="str">
        <f aca="false">IF(OR(C512="",P512=""),"",INDEX('CARNET DE SOUDURE'!$D$7:$D$3006,P512)&amp;"")</f>
        <v/>
      </c>
      <c r="E512" s="114" t="str">
        <f aca="false">IF(OR(C512="",P512=""),"",IF(INDEX('CARNET DE SOUDURE'!$U$7:$U$3006,P512)="","",INDEX('CARNET DE SOUDURE'!$U$7:$U$3006,P512)))</f>
        <v/>
      </c>
      <c r="F512" s="82" t="str">
        <f aca="false">IF(OR(C512="",P512=""),"",INDEX('CARNET DE SOUDURE'!$AP$7:$AP$3006,P512))</f>
        <v/>
      </c>
      <c r="G512" s="82" t="str">
        <f aca="false">IF(C512="","",IF(P512="","NJ INCONNU",INDEX('CARNET DE SOUDURE'!$AQ$7:$AQ$3006,P512)))</f>
        <v>À SOUDER</v>
      </c>
      <c r="H512" s="82" t="str">
        <f aca="false">IF(C512="","",IF(G512="ACCEPTÉ","OUI","NON"))</f>
        <v>NON</v>
      </c>
      <c r="I512" s="83"/>
      <c r="J512" s="80"/>
      <c r="K512" s="81"/>
      <c r="L512" s="81"/>
      <c r="M512" s="81"/>
      <c r="N512" s="84" t="str">
        <f aca="false">IF(C512="","",IF(P512="","NJ INCONNU",IF(I512="",IF(H512="OUI","À ENROBER",IF(G512="À SOUDER","NON SOUDÉ","EN ATTENTE RT")),IF(L512="R","À REPRENDRE",IF(H512&lt;&gt;"OUI","⚠ ENROBÉ AVANT ACCEPTATION RT","ENROBÉ")))))</f>
        <v>NON SOUDÉ</v>
      </c>
      <c r="O512" s="80"/>
      <c r="P512" s="82" t="n">
        <f aca="false">IF(C512="","",IFERROR(MATCH(Q512,'CARNET DE SOUDURE'!$AW$7:$AW$3006,0),""))</f>
        <v>506</v>
      </c>
      <c r="Q512" s="82" t="str">
        <f aca="false">IF(C512="","",B512&amp;"|"&amp;C512)</f>
        <v>MFD-ISW → MFD-CPF|JN°506</v>
      </c>
    </row>
    <row r="513" customFormat="false" ht="74.6" hidden="false" customHeight="false" outlineLevel="0" collapsed="false">
      <c r="A513" s="82" t="n">
        <f aca="false">IF(C513="","",ROW()-6)</f>
        <v>507</v>
      </c>
      <c r="B513" s="80" t="s">
        <v>110</v>
      </c>
      <c r="C513" s="113" t="s">
        <v>617</v>
      </c>
      <c r="D513" s="82" t="str">
        <f aca="false">IF(OR(C513="",P513=""),"",INDEX('CARNET DE SOUDURE'!$D$7:$D$3006,P513)&amp;"")</f>
        <v/>
      </c>
      <c r="E513" s="114" t="str">
        <f aca="false">IF(OR(C513="",P513=""),"",IF(INDEX('CARNET DE SOUDURE'!$U$7:$U$3006,P513)="","",INDEX('CARNET DE SOUDURE'!$U$7:$U$3006,P513)))</f>
        <v/>
      </c>
      <c r="F513" s="82" t="str">
        <f aca="false">IF(OR(C513="",P513=""),"",INDEX('CARNET DE SOUDURE'!$AP$7:$AP$3006,P513))</f>
        <v/>
      </c>
      <c r="G513" s="82" t="str">
        <f aca="false">IF(C513="","",IF(P513="","NJ INCONNU",INDEX('CARNET DE SOUDURE'!$AQ$7:$AQ$3006,P513)))</f>
        <v>À SOUDER</v>
      </c>
      <c r="H513" s="82" t="str">
        <f aca="false">IF(C513="","",IF(G513="ACCEPTÉ","OUI","NON"))</f>
        <v>NON</v>
      </c>
      <c r="I513" s="83"/>
      <c r="J513" s="80"/>
      <c r="K513" s="81"/>
      <c r="L513" s="81"/>
      <c r="M513" s="81"/>
      <c r="N513" s="84" t="str">
        <f aca="false">IF(C513="","",IF(P513="","NJ INCONNU",IF(I513="",IF(H513="OUI","À ENROBER",IF(G513="À SOUDER","NON SOUDÉ","EN ATTENTE RT")),IF(L513="R","À REPRENDRE",IF(H513&lt;&gt;"OUI","⚠ ENROBÉ AVANT ACCEPTATION RT","ENROBÉ")))))</f>
        <v>NON SOUDÉ</v>
      </c>
      <c r="O513" s="80"/>
      <c r="P513" s="82" t="n">
        <f aca="false">IF(C513="","",IFERROR(MATCH(Q513,'CARNET DE SOUDURE'!$AW$7:$AW$3006,0),""))</f>
        <v>507</v>
      </c>
      <c r="Q513" s="82" t="str">
        <f aca="false">IF(C513="","",B513&amp;"|"&amp;C513)</f>
        <v>MFD-ISW → MFD-CPF|JN°507</v>
      </c>
    </row>
    <row r="514" customFormat="false" ht="74.6" hidden="false" customHeight="false" outlineLevel="0" collapsed="false">
      <c r="A514" s="82" t="n">
        <f aca="false">IF(C514="","",ROW()-6)</f>
        <v>508</v>
      </c>
      <c r="B514" s="80" t="s">
        <v>110</v>
      </c>
      <c r="C514" s="113" t="s">
        <v>618</v>
      </c>
      <c r="D514" s="82" t="str">
        <f aca="false">IF(OR(C514="",P514=""),"",INDEX('CARNET DE SOUDURE'!$D$7:$D$3006,P514)&amp;"")</f>
        <v/>
      </c>
      <c r="E514" s="114" t="str">
        <f aca="false">IF(OR(C514="",P514=""),"",IF(INDEX('CARNET DE SOUDURE'!$U$7:$U$3006,P514)="","",INDEX('CARNET DE SOUDURE'!$U$7:$U$3006,P514)))</f>
        <v/>
      </c>
      <c r="F514" s="82" t="str">
        <f aca="false">IF(OR(C514="",P514=""),"",INDEX('CARNET DE SOUDURE'!$AP$7:$AP$3006,P514))</f>
        <v/>
      </c>
      <c r="G514" s="82" t="str">
        <f aca="false">IF(C514="","",IF(P514="","NJ INCONNU",INDEX('CARNET DE SOUDURE'!$AQ$7:$AQ$3006,P514)))</f>
        <v>À SOUDER</v>
      </c>
      <c r="H514" s="82" t="str">
        <f aca="false">IF(C514="","",IF(G514="ACCEPTÉ","OUI","NON"))</f>
        <v>NON</v>
      </c>
      <c r="I514" s="83"/>
      <c r="J514" s="80"/>
      <c r="K514" s="81"/>
      <c r="L514" s="81"/>
      <c r="M514" s="81"/>
      <c r="N514" s="84" t="str">
        <f aca="false">IF(C514="","",IF(P514="","NJ INCONNU",IF(I514="",IF(H514="OUI","À ENROBER",IF(G514="À SOUDER","NON SOUDÉ","EN ATTENTE RT")),IF(L514="R","À REPRENDRE",IF(H514&lt;&gt;"OUI","⚠ ENROBÉ AVANT ACCEPTATION RT","ENROBÉ")))))</f>
        <v>NON SOUDÉ</v>
      </c>
      <c r="O514" s="80"/>
      <c r="P514" s="82" t="n">
        <f aca="false">IF(C514="","",IFERROR(MATCH(Q514,'CARNET DE SOUDURE'!$AW$7:$AW$3006,0),""))</f>
        <v>508</v>
      </c>
      <c r="Q514" s="82" t="str">
        <f aca="false">IF(C514="","",B514&amp;"|"&amp;C514)</f>
        <v>MFD-ISW → MFD-CPF|JN°508</v>
      </c>
    </row>
    <row r="515" customFormat="false" ht="74.6" hidden="false" customHeight="false" outlineLevel="0" collapsed="false">
      <c r="A515" s="82" t="n">
        <f aca="false">IF(C515="","",ROW()-6)</f>
        <v>509</v>
      </c>
      <c r="B515" s="80" t="s">
        <v>110</v>
      </c>
      <c r="C515" s="113" t="s">
        <v>619</v>
      </c>
      <c r="D515" s="82" t="str">
        <f aca="false">IF(OR(C515="",P515=""),"",INDEX('CARNET DE SOUDURE'!$D$7:$D$3006,P515)&amp;"")</f>
        <v/>
      </c>
      <c r="E515" s="114" t="str">
        <f aca="false">IF(OR(C515="",P515=""),"",IF(INDEX('CARNET DE SOUDURE'!$U$7:$U$3006,P515)="","",INDEX('CARNET DE SOUDURE'!$U$7:$U$3006,P515)))</f>
        <v/>
      </c>
      <c r="F515" s="82" t="str">
        <f aca="false">IF(OR(C515="",P515=""),"",INDEX('CARNET DE SOUDURE'!$AP$7:$AP$3006,P515))</f>
        <v/>
      </c>
      <c r="G515" s="82" t="str">
        <f aca="false">IF(C515="","",IF(P515="","NJ INCONNU",INDEX('CARNET DE SOUDURE'!$AQ$7:$AQ$3006,P515)))</f>
        <v>À SOUDER</v>
      </c>
      <c r="H515" s="82" t="str">
        <f aca="false">IF(C515="","",IF(G515="ACCEPTÉ","OUI","NON"))</f>
        <v>NON</v>
      </c>
      <c r="I515" s="83"/>
      <c r="J515" s="80"/>
      <c r="K515" s="81"/>
      <c r="L515" s="81"/>
      <c r="M515" s="81"/>
      <c r="N515" s="84" t="str">
        <f aca="false">IF(C515="","",IF(P515="","NJ INCONNU",IF(I515="",IF(H515="OUI","À ENROBER",IF(G515="À SOUDER","NON SOUDÉ","EN ATTENTE RT")),IF(L515="R","À REPRENDRE",IF(H515&lt;&gt;"OUI","⚠ ENROBÉ AVANT ACCEPTATION RT","ENROBÉ")))))</f>
        <v>NON SOUDÉ</v>
      </c>
      <c r="O515" s="80"/>
      <c r="P515" s="82" t="n">
        <f aca="false">IF(C515="","",IFERROR(MATCH(Q515,'CARNET DE SOUDURE'!$AW$7:$AW$3006,0),""))</f>
        <v>509</v>
      </c>
      <c r="Q515" s="82" t="str">
        <f aca="false">IF(C515="","",B515&amp;"|"&amp;C515)</f>
        <v>MFD-ISW → MFD-CPF|JN°509</v>
      </c>
    </row>
    <row r="516" customFormat="false" ht="74.6" hidden="false" customHeight="false" outlineLevel="0" collapsed="false">
      <c r="A516" s="82" t="n">
        <f aca="false">IF(C516="","",ROW()-6)</f>
        <v>510</v>
      </c>
      <c r="B516" s="80" t="s">
        <v>110</v>
      </c>
      <c r="C516" s="113" t="s">
        <v>620</v>
      </c>
      <c r="D516" s="82" t="str">
        <f aca="false">IF(OR(C516="",P516=""),"",INDEX('CARNET DE SOUDURE'!$D$7:$D$3006,P516)&amp;"")</f>
        <v/>
      </c>
      <c r="E516" s="114" t="str">
        <f aca="false">IF(OR(C516="",P516=""),"",IF(INDEX('CARNET DE SOUDURE'!$U$7:$U$3006,P516)="","",INDEX('CARNET DE SOUDURE'!$U$7:$U$3006,P516)))</f>
        <v/>
      </c>
      <c r="F516" s="82" t="str">
        <f aca="false">IF(OR(C516="",P516=""),"",INDEX('CARNET DE SOUDURE'!$AP$7:$AP$3006,P516))</f>
        <v/>
      </c>
      <c r="G516" s="82" t="str">
        <f aca="false">IF(C516="","",IF(P516="","NJ INCONNU",INDEX('CARNET DE SOUDURE'!$AQ$7:$AQ$3006,P516)))</f>
        <v>À SOUDER</v>
      </c>
      <c r="H516" s="82" t="str">
        <f aca="false">IF(C516="","",IF(G516="ACCEPTÉ","OUI","NON"))</f>
        <v>NON</v>
      </c>
      <c r="I516" s="83"/>
      <c r="J516" s="80"/>
      <c r="K516" s="81"/>
      <c r="L516" s="81"/>
      <c r="M516" s="81"/>
      <c r="N516" s="84" t="str">
        <f aca="false">IF(C516="","",IF(P516="","NJ INCONNU",IF(I516="",IF(H516="OUI","À ENROBER",IF(G516="À SOUDER","NON SOUDÉ","EN ATTENTE RT")),IF(L516="R","À REPRENDRE",IF(H516&lt;&gt;"OUI","⚠ ENROBÉ AVANT ACCEPTATION RT","ENROBÉ")))))</f>
        <v>NON SOUDÉ</v>
      </c>
      <c r="O516" s="80"/>
      <c r="P516" s="82" t="n">
        <f aca="false">IF(C516="","",IFERROR(MATCH(Q516,'CARNET DE SOUDURE'!$AW$7:$AW$3006,0),""))</f>
        <v>510</v>
      </c>
      <c r="Q516" s="82" t="str">
        <f aca="false">IF(C516="","",B516&amp;"|"&amp;C516)</f>
        <v>MFD-ISW → MFD-CPF|JN°510</v>
      </c>
    </row>
    <row r="517" customFormat="false" ht="74.6" hidden="false" customHeight="false" outlineLevel="0" collapsed="false">
      <c r="A517" s="82" t="n">
        <f aca="false">IF(C517="","",ROW()-6)</f>
        <v>511</v>
      </c>
      <c r="B517" s="80" t="s">
        <v>110</v>
      </c>
      <c r="C517" s="113" t="s">
        <v>621</v>
      </c>
      <c r="D517" s="82" t="str">
        <f aca="false">IF(OR(C517="",P517=""),"",INDEX('CARNET DE SOUDURE'!$D$7:$D$3006,P517)&amp;"")</f>
        <v/>
      </c>
      <c r="E517" s="114" t="str">
        <f aca="false">IF(OR(C517="",P517=""),"",IF(INDEX('CARNET DE SOUDURE'!$U$7:$U$3006,P517)="","",INDEX('CARNET DE SOUDURE'!$U$7:$U$3006,P517)))</f>
        <v/>
      </c>
      <c r="F517" s="82" t="str">
        <f aca="false">IF(OR(C517="",P517=""),"",INDEX('CARNET DE SOUDURE'!$AP$7:$AP$3006,P517))</f>
        <v/>
      </c>
      <c r="G517" s="82" t="str">
        <f aca="false">IF(C517="","",IF(P517="","NJ INCONNU",INDEX('CARNET DE SOUDURE'!$AQ$7:$AQ$3006,P517)))</f>
        <v>À SOUDER</v>
      </c>
      <c r="H517" s="82" t="str">
        <f aca="false">IF(C517="","",IF(G517="ACCEPTÉ","OUI","NON"))</f>
        <v>NON</v>
      </c>
      <c r="I517" s="83"/>
      <c r="J517" s="80"/>
      <c r="K517" s="81"/>
      <c r="L517" s="81"/>
      <c r="M517" s="81"/>
      <c r="N517" s="84" t="str">
        <f aca="false">IF(C517="","",IF(P517="","NJ INCONNU",IF(I517="",IF(H517="OUI","À ENROBER",IF(G517="À SOUDER","NON SOUDÉ","EN ATTENTE RT")),IF(L517="R","À REPRENDRE",IF(H517&lt;&gt;"OUI","⚠ ENROBÉ AVANT ACCEPTATION RT","ENROBÉ")))))</f>
        <v>NON SOUDÉ</v>
      </c>
      <c r="O517" s="80"/>
      <c r="P517" s="82" t="n">
        <f aca="false">IF(C517="","",IFERROR(MATCH(Q517,'CARNET DE SOUDURE'!$AW$7:$AW$3006,0),""))</f>
        <v>511</v>
      </c>
      <c r="Q517" s="82" t="str">
        <f aca="false">IF(C517="","",B517&amp;"|"&amp;C517)</f>
        <v>MFD-ISW → MFD-CPF|JN°511</v>
      </c>
    </row>
    <row r="518" customFormat="false" ht="74.6" hidden="false" customHeight="false" outlineLevel="0" collapsed="false">
      <c r="A518" s="82" t="n">
        <f aca="false">IF(C518="","",ROW()-6)</f>
        <v>512</v>
      </c>
      <c r="B518" s="80" t="s">
        <v>110</v>
      </c>
      <c r="C518" s="113" t="s">
        <v>622</v>
      </c>
      <c r="D518" s="82" t="str">
        <f aca="false">IF(OR(C518="",P518=""),"",INDEX('CARNET DE SOUDURE'!$D$7:$D$3006,P518)&amp;"")</f>
        <v/>
      </c>
      <c r="E518" s="114" t="str">
        <f aca="false">IF(OR(C518="",P518=""),"",IF(INDEX('CARNET DE SOUDURE'!$U$7:$U$3006,P518)="","",INDEX('CARNET DE SOUDURE'!$U$7:$U$3006,P518)))</f>
        <v/>
      </c>
      <c r="F518" s="82" t="str">
        <f aca="false">IF(OR(C518="",P518=""),"",INDEX('CARNET DE SOUDURE'!$AP$7:$AP$3006,P518))</f>
        <v/>
      </c>
      <c r="G518" s="82" t="str">
        <f aca="false">IF(C518="","",IF(P518="","NJ INCONNU",INDEX('CARNET DE SOUDURE'!$AQ$7:$AQ$3006,P518)))</f>
        <v>À SOUDER</v>
      </c>
      <c r="H518" s="82" t="str">
        <f aca="false">IF(C518="","",IF(G518="ACCEPTÉ","OUI","NON"))</f>
        <v>NON</v>
      </c>
      <c r="I518" s="83"/>
      <c r="J518" s="80"/>
      <c r="K518" s="81"/>
      <c r="L518" s="81"/>
      <c r="M518" s="81"/>
      <c r="N518" s="84" t="str">
        <f aca="false">IF(C518="","",IF(P518="","NJ INCONNU",IF(I518="",IF(H518="OUI","À ENROBER",IF(G518="À SOUDER","NON SOUDÉ","EN ATTENTE RT")),IF(L518="R","À REPRENDRE",IF(H518&lt;&gt;"OUI","⚠ ENROBÉ AVANT ACCEPTATION RT","ENROBÉ")))))</f>
        <v>NON SOUDÉ</v>
      </c>
      <c r="O518" s="80"/>
      <c r="P518" s="82" t="n">
        <f aca="false">IF(C518="","",IFERROR(MATCH(Q518,'CARNET DE SOUDURE'!$AW$7:$AW$3006,0),""))</f>
        <v>512</v>
      </c>
      <c r="Q518" s="82" t="str">
        <f aca="false">IF(C518="","",B518&amp;"|"&amp;C518)</f>
        <v>MFD-ISW → MFD-CPF|JN°512</v>
      </c>
    </row>
    <row r="519" customFormat="false" ht="74.6" hidden="false" customHeight="false" outlineLevel="0" collapsed="false">
      <c r="A519" s="82" t="n">
        <f aca="false">IF(C519="","",ROW()-6)</f>
        <v>513</v>
      </c>
      <c r="B519" s="80" t="s">
        <v>110</v>
      </c>
      <c r="C519" s="113" t="s">
        <v>623</v>
      </c>
      <c r="D519" s="82" t="str">
        <f aca="false">IF(OR(C519="",P519=""),"",INDEX('CARNET DE SOUDURE'!$D$7:$D$3006,P519)&amp;"")</f>
        <v/>
      </c>
      <c r="E519" s="114" t="str">
        <f aca="false">IF(OR(C519="",P519=""),"",IF(INDEX('CARNET DE SOUDURE'!$U$7:$U$3006,P519)="","",INDEX('CARNET DE SOUDURE'!$U$7:$U$3006,P519)))</f>
        <v/>
      </c>
      <c r="F519" s="82" t="str">
        <f aca="false">IF(OR(C519="",P519=""),"",INDEX('CARNET DE SOUDURE'!$AP$7:$AP$3006,P519))</f>
        <v/>
      </c>
      <c r="G519" s="82" t="str">
        <f aca="false">IF(C519="","",IF(P519="","NJ INCONNU",INDEX('CARNET DE SOUDURE'!$AQ$7:$AQ$3006,P519)))</f>
        <v>À SOUDER</v>
      </c>
      <c r="H519" s="82" t="str">
        <f aca="false">IF(C519="","",IF(G519="ACCEPTÉ","OUI","NON"))</f>
        <v>NON</v>
      </c>
      <c r="I519" s="83"/>
      <c r="J519" s="80"/>
      <c r="K519" s="81"/>
      <c r="L519" s="81"/>
      <c r="M519" s="81"/>
      <c r="N519" s="84" t="str">
        <f aca="false">IF(C519="","",IF(P519="","NJ INCONNU",IF(I519="",IF(H519="OUI","À ENROBER",IF(G519="À SOUDER","NON SOUDÉ","EN ATTENTE RT")),IF(L519="R","À REPRENDRE",IF(H519&lt;&gt;"OUI","⚠ ENROBÉ AVANT ACCEPTATION RT","ENROBÉ")))))</f>
        <v>NON SOUDÉ</v>
      </c>
      <c r="O519" s="80"/>
      <c r="P519" s="82" t="n">
        <f aca="false">IF(C519="","",IFERROR(MATCH(Q519,'CARNET DE SOUDURE'!$AW$7:$AW$3006,0),""))</f>
        <v>513</v>
      </c>
      <c r="Q519" s="82" t="str">
        <f aca="false">IF(C519="","",B519&amp;"|"&amp;C519)</f>
        <v>MFD-ISW → MFD-CPF|JN°513</v>
      </c>
    </row>
    <row r="520" customFormat="false" ht="74.6" hidden="false" customHeight="false" outlineLevel="0" collapsed="false">
      <c r="A520" s="82" t="n">
        <f aca="false">IF(C520="","",ROW()-6)</f>
        <v>514</v>
      </c>
      <c r="B520" s="80" t="s">
        <v>110</v>
      </c>
      <c r="C520" s="113" t="s">
        <v>624</v>
      </c>
      <c r="D520" s="82" t="str">
        <f aca="false">IF(OR(C520="",P520=""),"",INDEX('CARNET DE SOUDURE'!$D$7:$D$3006,P520)&amp;"")</f>
        <v/>
      </c>
      <c r="E520" s="114" t="str">
        <f aca="false">IF(OR(C520="",P520=""),"",IF(INDEX('CARNET DE SOUDURE'!$U$7:$U$3006,P520)="","",INDEX('CARNET DE SOUDURE'!$U$7:$U$3006,P520)))</f>
        <v/>
      </c>
      <c r="F520" s="82" t="str">
        <f aca="false">IF(OR(C520="",P520=""),"",INDEX('CARNET DE SOUDURE'!$AP$7:$AP$3006,P520))</f>
        <v/>
      </c>
      <c r="G520" s="82" t="str">
        <f aca="false">IF(C520="","",IF(P520="","NJ INCONNU",INDEX('CARNET DE SOUDURE'!$AQ$7:$AQ$3006,P520)))</f>
        <v>À SOUDER</v>
      </c>
      <c r="H520" s="82" t="str">
        <f aca="false">IF(C520="","",IF(G520="ACCEPTÉ","OUI","NON"))</f>
        <v>NON</v>
      </c>
      <c r="I520" s="83"/>
      <c r="J520" s="80"/>
      <c r="K520" s="81"/>
      <c r="L520" s="81"/>
      <c r="M520" s="81"/>
      <c r="N520" s="84" t="str">
        <f aca="false">IF(C520="","",IF(P520="","NJ INCONNU",IF(I520="",IF(H520="OUI","À ENROBER",IF(G520="À SOUDER","NON SOUDÉ","EN ATTENTE RT")),IF(L520="R","À REPRENDRE",IF(H520&lt;&gt;"OUI","⚠ ENROBÉ AVANT ACCEPTATION RT","ENROBÉ")))))</f>
        <v>NON SOUDÉ</v>
      </c>
      <c r="O520" s="80"/>
      <c r="P520" s="82" t="n">
        <f aca="false">IF(C520="","",IFERROR(MATCH(Q520,'CARNET DE SOUDURE'!$AW$7:$AW$3006,0),""))</f>
        <v>514</v>
      </c>
      <c r="Q520" s="82" t="str">
        <f aca="false">IF(C520="","",B520&amp;"|"&amp;C520)</f>
        <v>MFD-ISW → MFD-CPF|JN°514</v>
      </c>
    </row>
    <row r="521" customFormat="false" ht="74.6" hidden="false" customHeight="false" outlineLevel="0" collapsed="false">
      <c r="A521" s="82" t="n">
        <f aca="false">IF(C521="","",ROW()-6)</f>
        <v>515</v>
      </c>
      <c r="B521" s="80" t="s">
        <v>110</v>
      </c>
      <c r="C521" s="113" t="s">
        <v>625</v>
      </c>
      <c r="D521" s="82" t="str">
        <f aca="false">IF(OR(C521="",P521=""),"",INDEX('CARNET DE SOUDURE'!$D$7:$D$3006,P521)&amp;"")</f>
        <v/>
      </c>
      <c r="E521" s="114" t="str">
        <f aca="false">IF(OR(C521="",P521=""),"",IF(INDEX('CARNET DE SOUDURE'!$U$7:$U$3006,P521)="","",INDEX('CARNET DE SOUDURE'!$U$7:$U$3006,P521)))</f>
        <v/>
      </c>
      <c r="F521" s="82" t="str">
        <f aca="false">IF(OR(C521="",P521=""),"",INDEX('CARNET DE SOUDURE'!$AP$7:$AP$3006,P521))</f>
        <v/>
      </c>
      <c r="G521" s="82" t="str">
        <f aca="false">IF(C521="","",IF(P521="","NJ INCONNU",INDEX('CARNET DE SOUDURE'!$AQ$7:$AQ$3006,P521)))</f>
        <v>À SOUDER</v>
      </c>
      <c r="H521" s="82" t="str">
        <f aca="false">IF(C521="","",IF(G521="ACCEPTÉ","OUI","NON"))</f>
        <v>NON</v>
      </c>
      <c r="I521" s="83"/>
      <c r="J521" s="80"/>
      <c r="K521" s="81"/>
      <c r="L521" s="81"/>
      <c r="M521" s="81"/>
      <c r="N521" s="84" t="str">
        <f aca="false">IF(C521="","",IF(P521="","NJ INCONNU",IF(I521="",IF(H521="OUI","À ENROBER",IF(G521="À SOUDER","NON SOUDÉ","EN ATTENTE RT")),IF(L521="R","À REPRENDRE",IF(H521&lt;&gt;"OUI","⚠ ENROBÉ AVANT ACCEPTATION RT","ENROBÉ")))))</f>
        <v>NON SOUDÉ</v>
      </c>
      <c r="O521" s="80"/>
      <c r="P521" s="82" t="n">
        <f aca="false">IF(C521="","",IFERROR(MATCH(Q521,'CARNET DE SOUDURE'!$AW$7:$AW$3006,0),""))</f>
        <v>515</v>
      </c>
      <c r="Q521" s="82" t="str">
        <f aca="false">IF(C521="","",B521&amp;"|"&amp;C521)</f>
        <v>MFD-ISW → MFD-CPF|JN°515</v>
      </c>
    </row>
    <row r="522" customFormat="false" ht="74.6" hidden="false" customHeight="false" outlineLevel="0" collapsed="false">
      <c r="A522" s="82" t="n">
        <f aca="false">IF(C522="","",ROW()-6)</f>
        <v>516</v>
      </c>
      <c r="B522" s="80" t="s">
        <v>110</v>
      </c>
      <c r="C522" s="113" t="s">
        <v>626</v>
      </c>
      <c r="D522" s="82" t="str">
        <f aca="false">IF(OR(C522="",P522=""),"",INDEX('CARNET DE SOUDURE'!$D$7:$D$3006,P522)&amp;"")</f>
        <v/>
      </c>
      <c r="E522" s="114" t="str">
        <f aca="false">IF(OR(C522="",P522=""),"",IF(INDEX('CARNET DE SOUDURE'!$U$7:$U$3006,P522)="","",INDEX('CARNET DE SOUDURE'!$U$7:$U$3006,P522)))</f>
        <v/>
      </c>
      <c r="F522" s="82" t="str">
        <f aca="false">IF(OR(C522="",P522=""),"",INDEX('CARNET DE SOUDURE'!$AP$7:$AP$3006,P522))</f>
        <v/>
      </c>
      <c r="G522" s="82" t="str">
        <f aca="false">IF(C522="","",IF(P522="","NJ INCONNU",INDEX('CARNET DE SOUDURE'!$AQ$7:$AQ$3006,P522)))</f>
        <v>À SOUDER</v>
      </c>
      <c r="H522" s="82" t="str">
        <f aca="false">IF(C522="","",IF(G522="ACCEPTÉ","OUI","NON"))</f>
        <v>NON</v>
      </c>
      <c r="I522" s="83"/>
      <c r="J522" s="80"/>
      <c r="K522" s="81"/>
      <c r="L522" s="81"/>
      <c r="M522" s="81"/>
      <c r="N522" s="84" t="str">
        <f aca="false">IF(C522="","",IF(P522="","NJ INCONNU",IF(I522="",IF(H522="OUI","À ENROBER",IF(G522="À SOUDER","NON SOUDÉ","EN ATTENTE RT")),IF(L522="R","À REPRENDRE",IF(H522&lt;&gt;"OUI","⚠ ENROBÉ AVANT ACCEPTATION RT","ENROBÉ")))))</f>
        <v>NON SOUDÉ</v>
      </c>
      <c r="O522" s="80"/>
      <c r="P522" s="82" t="n">
        <f aca="false">IF(C522="","",IFERROR(MATCH(Q522,'CARNET DE SOUDURE'!$AW$7:$AW$3006,0),""))</f>
        <v>516</v>
      </c>
      <c r="Q522" s="82" t="str">
        <f aca="false">IF(C522="","",B522&amp;"|"&amp;C522)</f>
        <v>MFD-ISW → MFD-CPF|JN°516</v>
      </c>
    </row>
    <row r="523" customFormat="false" ht="74.6" hidden="false" customHeight="false" outlineLevel="0" collapsed="false">
      <c r="A523" s="82" t="n">
        <f aca="false">IF(C523="","",ROW()-6)</f>
        <v>517</v>
      </c>
      <c r="B523" s="80" t="s">
        <v>110</v>
      </c>
      <c r="C523" s="113" t="s">
        <v>627</v>
      </c>
      <c r="D523" s="82" t="str">
        <f aca="false">IF(OR(C523="",P523=""),"",INDEX('CARNET DE SOUDURE'!$D$7:$D$3006,P523)&amp;"")</f>
        <v/>
      </c>
      <c r="E523" s="114" t="str">
        <f aca="false">IF(OR(C523="",P523=""),"",IF(INDEX('CARNET DE SOUDURE'!$U$7:$U$3006,P523)="","",INDEX('CARNET DE SOUDURE'!$U$7:$U$3006,P523)))</f>
        <v/>
      </c>
      <c r="F523" s="82" t="str">
        <f aca="false">IF(OR(C523="",P523=""),"",INDEX('CARNET DE SOUDURE'!$AP$7:$AP$3006,P523))</f>
        <v/>
      </c>
      <c r="G523" s="82" t="str">
        <f aca="false">IF(C523="","",IF(P523="","NJ INCONNU",INDEX('CARNET DE SOUDURE'!$AQ$7:$AQ$3006,P523)))</f>
        <v>À SOUDER</v>
      </c>
      <c r="H523" s="82" t="str">
        <f aca="false">IF(C523="","",IF(G523="ACCEPTÉ","OUI","NON"))</f>
        <v>NON</v>
      </c>
      <c r="I523" s="83"/>
      <c r="J523" s="80"/>
      <c r="K523" s="81"/>
      <c r="L523" s="81"/>
      <c r="M523" s="81"/>
      <c r="N523" s="84" t="str">
        <f aca="false">IF(C523="","",IF(P523="","NJ INCONNU",IF(I523="",IF(H523="OUI","À ENROBER",IF(G523="À SOUDER","NON SOUDÉ","EN ATTENTE RT")),IF(L523="R","À REPRENDRE",IF(H523&lt;&gt;"OUI","⚠ ENROBÉ AVANT ACCEPTATION RT","ENROBÉ")))))</f>
        <v>NON SOUDÉ</v>
      </c>
      <c r="O523" s="80"/>
      <c r="P523" s="82" t="n">
        <f aca="false">IF(C523="","",IFERROR(MATCH(Q523,'CARNET DE SOUDURE'!$AW$7:$AW$3006,0),""))</f>
        <v>517</v>
      </c>
      <c r="Q523" s="82" t="str">
        <f aca="false">IF(C523="","",B523&amp;"|"&amp;C523)</f>
        <v>MFD-ISW → MFD-CPF|JN°517</v>
      </c>
    </row>
    <row r="524" customFormat="false" ht="74.6" hidden="false" customHeight="false" outlineLevel="0" collapsed="false">
      <c r="A524" s="82" t="n">
        <f aca="false">IF(C524="","",ROW()-6)</f>
        <v>518</v>
      </c>
      <c r="B524" s="80" t="s">
        <v>110</v>
      </c>
      <c r="C524" s="113" t="s">
        <v>628</v>
      </c>
      <c r="D524" s="82" t="str">
        <f aca="false">IF(OR(C524="",P524=""),"",INDEX('CARNET DE SOUDURE'!$D$7:$D$3006,P524)&amp;"")</f>
        <v/>
      </c>
      <c r="E524" s="114" t="str">
        <f aca="false">IF(OR(C524="",P524=""),"",IF(INDEX('CARNET DE SOUDURE'!$U$7:$U$3006,P524)="","",INDEX('CARNET DE SOUDURE'!$U$7:$U$3006,P524)))</f>
        <v/>
      </c>
      <c r="F524" s="82" t="str">
        <f aca="false">IF(OR(C524="",P524=""),"",INDEX('CARNET DE SOUDURE'!$AP$7:$AP$3006,P524))</f>
        <v/>
      </c>
      <c r="G524" s="82" t="str">
        <f aca="false">IF(C524="","",IF(P524="","NJ INCONNU",INDEX('CARNET DE SOUDURE'!$AQ$7:$AQ$3006,P524)))</f>
        <v>À SOUDER</v>
      </c>
      <c r="H524" s="82" t="str">
        <f aca="false">IF(C524="","",IF(G524="ACCEPTÉ","OUI","NON"))</f>
        <v>NON</v>
      </c>
      <c r="I524" s="83"/>
      <c r="J524" s="80"/>
      <c r="K524" s="81"/>
      <c r="L524" s="81"/>
      <c r="M524" s="81"/>
      <c r="N524" s="84" t="str">
        <f aca="false">IF(C524="","",IF(P524="","NJ INCONNU",IF(I524="",IF(H524="OUI","À ENROBER",IF(G524="À SOUDER","NON SOUDÉ","EN ATTENTE RT")),IF(L524="R","À REPRENDRE",IF(H524&lt;&gt;"OUI","⚠ ENROBÉ AVANT ACCEPTATION RT","ENROBÉ")))))</f>
        <v>NON SOUDÉ</v>
      </c>
      <c r="O524" s="80"/>
      <c r="P524" s="82" t="n">
        <f aca="false">IF(C524="","",IFERROR(MATCH(Q524,'CARNET DE SOUDURE'!$AW$7:$AW$3006,0),""))</f>
        <v>518</v>
      </c>
      <c r="Q524" s="82" t="str">
        <f aca="false">IF(C524="","",B524&amp;"|"&amp;C524)</f>
        <v>MFD-ISW → MFD-CPF|JN°518</v>
      </c>
    </row>
    <row r="525" customFormat="false" ht="74.6" hidden="false" customHeight="false" outlineLevel="0" collapsed="false">
      <c r="A525" s="82" t="n">
        <f aca="false">IF(C525="","",ROW()-6)</f>
        <v>519</v>
      </c>
      <c r="B525" s="80" t="s">
        <v>110</v>
      </c>
      <c r="C525" s="113" t="s">
        <v>629</v>
      </c>
      <c r="D525" s="82" t="str">
        <f aca="false">IF(OR(C525="",P525=""),"",INDEX('CARNET DE SOUDURE'!$D$7:$D$3006,P525)&amp;"")</f>
        <v/>
      </c>
      <c r="E525" s="114" t="str">
        <f aca="false">IF(OR(C525="",P525=""),"",IF(INDEX('CARNET DE SOUDURE'!$U$7:$U$3006,P525)="","",INDEX('CARNET DE SOUDURE'!$U$7:$U$3006,P525)))</f>
        <v/>
      </c>
      <c r="F525" s="82" t="str">
        <f aca="false">IF(OR(C525="",P525=""),"",INDEX('CARNET DE SOUDURE'!$AP$7:$AP$3006,P525))</f>
        <v/>
      </c>
      <c r="G525" s="82" t="str">
        <f aca="false">IF(C525="","",IF(P525="","NJ INCONNU",INDEX('CARNET DE SOUDURE'!$AQ$7:$AQ$3006,P525)))</f>
        <v>À SOUDER</v>
      </c>
      <c r="H525" s="82" t="str">
        <f aca="false">IF(C525="","",IF(G525="ACCEPTÉ","OUI","NON"))</f>
        <v>NON</v>
      </c>
      <c r="I525" s="83"/>
      <c r="J525" s="80"/>
      <c r="K525" s="81"/>
      <c r="L525" s="81"/>
      <c r="M525" s="81"/>
      <c r="N525" s="84" t="str">
        <f aca="false">IF(C525="","",IF(P525="","NJ INCONNU",IF(I525="",IF(H525="OUI","À ENROBER",IF(G525="À SOUDER","NON SOUDÉ","EN ATTENTE RT")),IF(L525="R","À REPRENDRE",IF(H525&lt;&gt;"OUI","⚠ ENROBÉ AVANT ACCEPTATION RT","ENROBÉ")))))</f>
        <v>NON SOUDÉ</v>
      </c>
      <c r="O525" s="80"/>
      <c r="P525" s="82" t="n">
        <f aca="false">IF(C525="","",IFERROR(MATCH(Q525,'CARNET DE SOUDURE'!$AW$7:$AW$3006,0),""))</f>
        <v>519</v>
      </c>
      <c r="Q525" s="82" t="str">
        <f aca="false">IF(C525="","",B525&amp;"|"&amp;C525)</f>
        <v>MFD-ISW → MFD-CPF|JN°519</v>
      </c>
    </row>
    <row r="526" customFormat="false" ht="74.6" hidden="false" customHeight="false" outlineLevel="0" collapsed="false">
      <c r="A526" s="82" t="n">
        <f aca="false">IF(C526="","",ROW()-6)</f>
        <v>520</v>
      </c>
      <c r="B526" s="80" t="s">
        <v>110</v>
      </c>
      <c r="C526" s="113" t="s">
        <v>630</v>
      </c>
      <c r="D526" s="82" t="str">
        <f aca="false">IF(OR(C526="",P526=""),"",INDEX('CARNET DE SOUDURE'!$D$7:$D$3006,P526)&amp;"")</f>
        <v/>
      </c>
      <c r="E526" s="114" t="str">
        <f aca="false">IF(OR(C526="",P526=""),"",IF(INDEX('CARNET DE SOUDURE'!$U$7:$U$3006,P526)="","",INDEX('CARNET DE SOUDURE'!$U$7:$U$3006,P526)))</f>
        <v/>
      </c>
      <c r="F526" s="82" t="str">
        <f aca="false">IF(OR(C526="",P526=""),"",INDEX('CARNET DE SOUDURE'!$AP$7:$AP$3006,P526))</f>
        <v/>
      </c>
      <c r="G526" s="82" t="str">
        <f aca="false">IF(C526="","",IF(P526="","NJ INCONNU",INDEX('CARNET DE SOUDURE'!$AQ$7:$AQ$3006,P526)))</f>
        <v>À SOUDER</v>
      </c>
      <c r="H526" s="82" t="str">
        <f aca="false">IF(C526="","",IF(G526="ACCEPTÉ","OUI","NON"))</f>
        <v>NON</v>
      </c>
      <c r="I526" s="83"/>
      <c r="J526" s="80"/>
      <c r="K526" s="81"/>
      <c r="L526" s="81"/>
      <c r="M526" s="81"/>
      <c r="N526" s="84" t="str">
        <f aca="false">IF(C526="","",IF(P526="","NJ INCONNU",IF(I526="",IF(H526="OUI","À ENROBER",IF(G526="À SOUDER","NON SOUDÉ","EN ATTENTE RT")),IF(L526="R","À REPRENDRE",IF(H526&lt;&gt;"OUI","⚠ ENROBÉ AVANT ACCEPTATION RT","ENROBÉ")))))</f>
        <v>NON SOUDÉ</v>
      </c>
      <c r="O526" s="80"/>
      <c r="P526" s="82" t="n">
        <f aca="false">IF(C526="","",IFERROR(MATCH(Q526,'CARNET DE SOUDURE'!$AW$7:$AW$3006,0),""))</f>
        <v>520</v>
      </c>
      <c r="Q526" s="82" t="str">
        <f aca="false">IF(C526="","",B526&amp;"|"&amp;C526)</f>
        <v>MFD-ISW → MFD-CPF|JN°520</v>
      </c>
    </row>
    <row r="527" customFormat="false" ht="74.6" hidden="false" customHeight="false" outlineLevel="0" collapsed="false">
      <c r="A527" s="82" t="n">
        <f aca="false">IF(C527="","",ROW()-6)</f>
        <v>521</v>
      </c>
      <c r="B527" s="80" t="s">
        <v>110</v>
      </c>
      <c r="C527" s="113" t="s">
        <v>631</v>
      </c>
      <c r="D527" s="82" t="str">
        <f aca="false">IF(OR(C527="",P527=""),"",INDEX('CARNET DE SOUDURE'!$D$7:$D$3006,P527)&amp;"")</f>
        <v/>
      </c>
      <c r="E527" s="114" t="str">
        <f aca="false">IF(OR(C527="",P527=""),"",IF(INDEX('CARNET DE SOUDURE'!$U$7:$U$3006,P527)="","",INDEX('CARNET DE SOUDURE'!$U$7:$U$3006,P527)))</f>
        <v/>
      </c>
      <c r="F527" s="82" t="str">
        <f aca="false">IF(OR(C527="",P527=""),"",INDEX('CARNET DE SOUDURE'!$AP$7:$AP$3006,P527))</f>
        <v/>
      </c>
      <c r="G527" s="82" t="str">
        <f aca="false">IF(C527="","",IF(P527="","NJ INCONNU",INDEX('CARNET DE SOUDURE'!$AQ$7:$AQ$3006,P527)))</f>
        <v>À SOUDER</v>
      </c>
      <c r="H527" s="82" t="str">
        <f aca="false">IF(C527="","",IF(G527="ACCEPTÉ","OUI","NON"))</f>
        <v>NON</v>
      </c>
      <c r="I527" s="83"/>
      <c r="J527" s="80"/>
      <c r="K527" s="81"/>
      <c r="L527" s="81"/>
      <c r="M527" s="81"/>
      <c r="N527" s="84" t="str">
        <f aca="false">IF(C527="","",IF(P527="","NJ INCONNU",IF(I527="",IF(H527="OUI","À ENROBER",IF(G527="À SOUDER","NON SOUDÉ","EN ATTENTE RT")),IF(L527="R","À REPRENDRE",IF(H527&lt;&gt;"OUI","⚠ ENROBÉ AVANT ACCEPTATION RT","ENROBÉ")))))</f>
        <v>NON SOUDÉ</v>
      </c>
      <c r="O527" s="80"/>
      <c r="P527" s="82" t="n">
        <f aca="false">IF(C527="","",IFERROR(MATCH(Q527,'CARNET DE SOUDURE'!$AW$7:$AW$3006,0),""))</f>
        <v>521</v>
      </c>
      <c r="Q527" s="82" t="str">
        <f aca="false">IF(C527="","",B527&amp;"|"&amp;C527)</f>
        <v>MFD-ISW → MFD-CPF|JN°521</v>
      </c>
    </row>
    <row r="528" customFormat="false" ht="74.6" hidden="false" customHeight="false" outlineLevel="0" collapsed="false">
      <c r="A528" s="82" t="n">
        <f aca="false">IF(C528="","",ROW()-6)</f>
        <v>522</v>
      </c>
      <c r="B528" s="80" t="s">
        <v>110</v>
      </c>
      <c r="C528" s="113" t="s">
        <v>632</v>
      </c>
      <c r="D528" s="82" t="str">
        <f aca="false">IF(OR(C528="",P528=""),"",INDEX('CARNET DE SOUDURE'!$D$7:$D$3006,P528)&amp;"")</f>
        <v/>
      </c>
      <c r="E528" s="114" t="str">
        <f aca="false">IF(OR(C528="",P528=""),"",IF(INDEX('CARNET DE SOUDURE'!$U$7:$U$3006,P528)="","",INDEX('CARNET DE SOUDURE'!$U$7:$U$3006,P528)))</f>
        <v/>
      </c>
      <c r="F528" s="82" t="str">
        <f aca="false">IF(OR(C528="",P528=""),"",INDEX('CARNET DE SOUDURE'!$AP$7:$AP$3006,P528))</f>
        <v/>
      </c>
      <c r="G528" s="82" t="str">
        <f aca="false">IF(C528="","",IF(P528="","NJ INCONNU",INDEX('CARNET DE SOUDURE'!$AQ$7:$AQ$3006,P528)))</f>
        <v>À SOUDER</v>
      </c>
      <c r="H528" s="82" t="str">
        <f aca="false">IF(C528="","",IF(G528="ACCEPTÉ","OUI","NON"))</f>
        <v>NON</v>
      </c>
      <c r="I528" s="83"/>
      <c r="J528" s="80"/>
      <c r="K528" s="81"/>
      <c r="L528" s="81"/>
      <c r="M528" s="81"/>
      <c r="N528" s="84" t="str">
        <f aca="false">IF(C528="","",IF(P528="","NJ INCONNU",IF(I528="",IF(H528="OUI","À ENROBER",IF(G528="À SOUDER","NON SOUDÉ","EN ATTENTE RT")),IF(L528="R","À REPRENDRE",IF(H528&lt;&gt;"OUI","⚠ ENROBÉ AVANT ACCEPTATION RT","ENROBÉ")))))</f>
        <v>NON SOUDÉ</v>
      </c>
      <c r="O528" s="80"/>
      <c r="P528" s="82" t="n">
        <f aca="false">IF(C528="","",IFERROR(MATCH(Q528,'CARNET DE SOUDURE'!$AW$7:$AW$3006,0),""))</f>
        <v>522</v>
      </c>
      <c r="Q528" s="82" t="str">
        <f aca="false">IF(C528="","",B528&amp;"|"&amp;C528)</f>
        <v>MFD-ISW → MFD-CPF|JN°522</v>
      </c>
    </row>
    <row r="529" customFormat="false" ht="74.6" hidden="false" customHeight="false" outlineLevel="0" collapsed="false">
      <c r="A529" s="82" t="n">
        <f aca="false">IF(C529="","",ROW()-6)</f>
        <v>523</v>
      </c>
      <c r="B529" s="80" t="s">
        <v>110</v>
      </c>
      <c r="C529" s="113" t="s">
        <v>633</v>
      </c>
      <c r="D529" s="82" t="str">
        <f aca="false">IF(OR(C529="",P529=""),"",INDEX('CARNET DE SOUDURE'!$D$7:$D$3006,P529)&amp;"")</f>
        <v/>
      </c>
      <c r="E529" s="114" t="str">
        <f aca="false">IF(OR(C529="",P529=""),"",IF(INDEX('CARNET DE SOUDURE'!$U$7:$U$3006,P529)="","",INDEX('CARNET DE SOUDURE'!$U$7:$U$3006,P529)))</f>
        <v/>
      </c>
      <c r="F529" s="82" t="str">
        <f aca="false">IF(OR(C529="",P529=""),"",INDEX('CARNET DE SOUDURE'!$AP$7:$AP$3006,P529))</f>
        <v/>
      </c>
      <c r="G529" s="82" t="str">
        <f aca="false">IF(C529="","",IF(P529="","NJ INCONNU",INDEX('CARNET DE SOUDURE'!$AQ$7:$AQ$3006,P529)))</f>
        <v>À SOUDER</v>
      </c>
      <c r="H529" s="82" t="str">
        <f aca="false">IF(C529="","",IF(G529="ACCEPTÉ","OUI","NON"))</f>
        <v>NON</v>
      </c>
      <c r="I529" s="83"/>
      <c r="J529" s="80"/>
      <c r="K529" s="81"/>
      <c r="L529" s="81"/>
      <c r="M529" s="81"/>
      <c r="N529" s="84" t="str">
        <f aca="false">IF(C529="","",IF(P529="","NJ INCONNU",IF(I529="",IF(H529="OUI","À ENROBER",IF(G529="À SOUDER","NON SOUDÉ","EN ATTENTE RT")),IF(L529="R","À REPRENDRE",IF(H529&lt;&gt;"OUI","⚠ ENROBÉ AVANT ACCEPTATION RT","ENROBÉ")))))</f>
        <v>NON SOUDÉ</v>
      </c>
      <c r="O529" s="80"/>
      <c r="P529" s="82" t="n">
        <f aca="false">IF(C529="","",IFERROR(MATCH(Q529,'CARNET DE SOUDURE'!$AW$7:$AW$3006,0),""))</f>
        <v>523</v>
      </c>
      <c r="Q529" s="82" t="str">
        <f aca="false">IF(C529="","",B529&amp;"|"&amp;C529)</f>
        <v>MFD-ISW → MFD-CPF|JN°523</v>
      </c>
    </row>
    <row r="530" customFormat="false" ht="74.6" hidden="false" customHeight="false" outlineLevel="0" collapsed="false">
      <c r="A530" s="82" t="n">
        <f aca="false">IF(C530="","",ROW()-6)</f>
        <v>524</v>
      </c>
      <c r="B530" s="80" t="s">
        <v>110</v>
      </c>
      <c r="C530" s="113" t="s">
        <v>634</v>
      </c>
      <c r="D530" s="82" t="str">
        <f aca="false">IF(OR(C530="",P530=""),"",INDEX('CARNET DE SOUDURE'!$D$7:$D$3006,P530)&amp;"")</f>
        <v/>
      </c>
      <c r="E530" s="114" t="str">
        <f aca="false">IF(OR(C530="",P530=""),"",IF(INDEX('CARNET DE SOUDURE'!$U$7:$U$3006,P530)="","",INDEX('CARNET DE SOUDURE'!$U$7:$U$3006,P530)))</f>
        <v/>
      </c>
      <c r="F530" s="82" t="str">
        <f aca="false">IF(OR(C530="",P530=""),"",INDEX('CARNET DE SOUDURE'!$AP$7:$AP$3006,P530))</f>
        <v/>
      </c>
      <c r="G530" s="82" t="str">
        <f aca="false">IF(C530="","",IF(P530="","NJ INCONNU",INDEX('CARNET DE SOUDURE'!$AQ$7:$AQ$3006,P530)))</f>
        <v>À SOUDER</v>
      </c>
      <c r="H530" s="82" t="str">
        <f aca="false">IF(C530="","",IF(G530="ACCEPTÉ","OUI","NON"))</f>
        <v>NON</v>
      </c>
      <c r="I530" s="83"/>
      <c r="J530" s="80"/>
      <c r="K530" s="81"/>
      <c r="L530" s="81"/>
      <c r="M530" s="81"/>
      <c r="N530" s="84" t="str">
        <f aca="false">IF(C530="","",IF(P530="","NJ INCONNU",IF(I530="",IF(H530="OUI","À ENROBER",IF(G530="À SOUDER","NON SOUDÉ","EN ATTENTE RT")),IF(L530="R","À REPRENDRE",IF(H530&lt;&gt;"OUI","⚠ ENROBÉ AVANT ACCEPTATION RT","ENROBÉ")))))</f>
        <v>NON SOUDÉ</v>
      </c>
      <c r="O530" s="80"/>
      <c r="P530" s="82" t="n">
        <f aca="false">IF(C530="","",IFERROR(MATCH(Q530,'CARNET DE SOUDURE'!$AW$7:$AW$3006,0),""))</f>
        <v>524</v>
      </c>
      <c r="Q530" s="82" t="str">
        <f aca="false">IF(C530="","",B530&amp;"|"&amp;C530)</f>
        <v>MFD-ISW → MFD-CPF|JN°524</v>
      </c>
    </row>
    <row r="531" customFormat="false" ht="74.6" hidden="false" customHeight="false" outlineLevel="0" collapsed="false">
      <c r="A531" s="82" t="n">
        <f aca="false">IF(C531="","",ROW()-6)</f>
        <v>525</v>
      </c>
      <c r="B531" s="80" t="s">
        <v>110</v>
      </c>
      <c r="C531" s="113" t="s">
        <v>635</v>
      </c>
      <c r="D531" s="82" t="str">
        <f aca="false">IF(OR(C531="",P531=""),"",INDEX('CARNET DE SOUDURE'!$D$7:$D$3006,P531)&amp;"")</f>
        <v/>
      </c>
      <c r="E531" s="114" t="str">
        <f aca="false">IF(OR(C531="",P531=""),"",IF(INDEX('CARNET DE SOUDURE'!$U$7:$U$3006,P531)="","",INDEX('CARNET DE SOUDURE'!$U$7:$U$3006,P531)))</f>
        <v/>
      </c>
      <c r="F531" s="82" t="str">
        <f aca="false">IF(OR(C531="",P531=""),"",INDEX('CARNET DE SOUDURE'!$AP$7:$AP$3006,P531))</f>
        <v/>
      </c>
      <c r="G531" s="82" t="str">
        <f aca="false">IF(C531="","",IF(P531="","NJ INCONNU",INDEX('CARNET DE SOUDURE'!$AQ$7:$AQ$3006,P531)))</f>
        <v>À SOUDER</v>
      </c>
      <c r="H531" s="82" t="str">
        <f aca="false">IF(C531="","",IF(G531="ACCEPTÉ","OUI","NON"))</f>
        <v>NON</v>
      </c>
      <c r="I531" s="83"/>
      <c r="J531" s="80"/>
      <c r="K531" s="81"/>
      <c r="L531" s="81"/>
      <c r="M531" s="81"/>
      <c r="N531" s="84" t="str">
        <f aca="false">IF(C531="","",IF(P531="","NJ INCONNU",IF(I531="",IF(H531="OUI","À ENROBER",IF(G531="À SOUDER","NON SOUDÉ","EN ATTENTE RT")),IF(L531="R","À REPRENDRE",IF(H531&lt;&gt;"OUI","⚠ ENROBÉ AVANT ACCEPTATION RT","ENROBÉ")))))</f>
        <v>NON SOUDÉ</v>
      </c>
      <c r="O531" s="80"/>
      <c r="P531" s="82" t="n">
        <f aca="false">IF(C531="","",IFERROR(MATCH(Q531,'CARNET DE SOUDURE'!$AW$7:$AW$3006,0),""))</f>
        <v>525</v>
      </c>
      <c r="Q531" s="82" t="str">
        <f aca="false">IF(C531="","",B531&amp;"|"&amp;C531)</f>
        <v>MFD-ISW → MFD-CPF|JN°525</v>
      </c>
    </row>
    <row r="532" customFormat="false" ht="74.6" hidden="false" customHeight="false" outlineLevel="0" collapsed="false">
      <c r="A532" s="82" t="n">
        <f aca="false">IF(C532="","",ROW()-6)</f>
        <v>526</v>
      </c>
      <c r="B532" s="80" t="s">
        <v>110</v>
      </c>
      <c r="C532" s="113" t="s">
        <v>636</v>
      </c>
      <c r="D532" s="82" t="str">
        <f aca="false">IF(OR(C532="",P532=""),"",INDEX('CARNET DE SOUDURE'!$D$7:$D$3006,P532)&amp;"")</f>
        <v/>
      </c>
      <c r="E532" s="114" t="str">
        <f aca="false">IF(OR(C532="",P532=""),"",IF(INDEX('CARNET DE SOUDURE'!$U$7:$U$3006,P532)="","",INDEX('CARNET DE SOUDURE'!$U$7:$U$3006,P532)))</f>
        <v/>
      </c>
      <c r="F532" s="82" t="str">
        <f aca="false">IF(OR(C532="",P532=""),"",INDEX('CARNET DE SOUDURE'!$AP$7:$AP$3006,P532))</f>
        <v/>
      </c>
      <c r="G532" s="82" t="str">
        <f aca="false">IF(C532="","",IF(P532="","NJ INCONNU",INDEX('CARNET DE SOUDURE'!$AQ$7:$AQ$3006,P532)))</f>
        <v>À SOUDER</v>
      </c>
      <c r="H532" s="82" t="str">
        <f aca="false">IF(C532="","",IF(G532="ACCEPTÉ","OUI","NON"))</f>
        <v>NON</v>
      </c>
      <c r="I532" s="83"/>
      <c r="J532" s="80"/>
      <c r="K532" s="81"/>
      <c r="L532" s="81"/>
      <c r="M532" s="81"/>
      <c r="N532" s="84" t="str">
        <f aca="false">IF(C532="","",IF(P532="","NJ INCONNU",IF(I532="",IF(H532="OUI","À ENROBER",IF(G532="À SOUDER","NON SOUDÉ","EN ATTENTE RT")),IF(L532="R","À REPRENDRE",IF(H532&lt;&gt;"OUI","⚠ ENROBÉ AVANT ACCEPTATION RT","ENROBÉ")))))</f>
        <v>NON SOUDÉ</v>
      </c>
      <c r="O532" s="80"/>
      <c r="P532" s="82" t="n">
        <f aca="false">IF(C532="","",IFERROR(MATCH(Q532,'CARNET DE SOUDURE'!$AW$7:$AW$3006,0),""))</f>
        <v>526</v>
      </c>
      <c r="Q532" s="82" t="str">
        <f aca="false">IF(C532="","",B532&amp;"|"&amp;C532)</f>
        <v>MFD-ISW → MFD-CPF|JN°526</v>
      </c>
    </row>
    <row r="533" customFormat="false" ht="74.6" hidden="false" customHeight="false" outlineLevel="0" collapsed="false">
      <c r="A533" s="82" t="n">
        <f aca="false">IF(C533="","",ROW()-6)</f>
        <v>527</v>
      </c>
      <c r="B533" s="80" t="s">
        <v>110</v>
      </c>
      <c r="C533" s="113" t="s">
        <v>637</v>
      </c>
      <c r="D533" s="82" t="str">
        <f aca="false">IF(OR(C533="",P533=""),"",INDEX('CARNET DE SOUDURE'!$D$7:$D$3006,P533)&amp;"")</f>
        <v/>
      </c>
      <c r="E533" s="114" t="str">
        <f aca="false">IF(OR(C533="",P533=""),"",IF(INDEX('CARNET DE SOUDURE'!$U$7:$U$3006,P533)="","",INDEX('CARNET DE SOUDURE'!$U$7:$U$3006,P533)))</f>
        <v/>
      </c>
      <c r="F533" s="82" t="str">
        <f aca="false">IF(OR(C533="",P533=""),"",INDEX('CARNET DE SOUDURE'!$AP$7:$AP$3006,P533))</f>
        <v/>
      </c>
      <c r="G533" s="82" t="str">
        <f aca="false">IF(C533="","",IF(P533="","NJ INCONNU",INDEX('CARNET DE SOUDURE'!$AQ$7:$AQ$3006,P533)))</f>
        <v>À SOUDER</v>
      </c>
      <c r="H533" s="82" t="str">
        <f aca="false">IF(C533="","",IF(G533="ACCEPTÉ","OUI","NON"))</f>
        <v>NON</v>
      </c>
      <c r="I533" s="83"/>
      <c r="J533" s="80"/>
      <c r="K533" s="81"/>
      <c r="L533" s="81"/>
      <c r="M533" s="81"/>
      <c r="N533" s="84" t="str">
        <f aca="false">IF(C533="","",IF(P533="","NJ INCONNU",IF(I533="",IF(H533="OUI","À ENROBER",IF(G533="À SOUDER","NON SOUDÉ","EN ATTENTE RT")),IF(L533="R","À REPRENDRE",IF(H533&lt;&gt;"OUI","⚠ ENROBÉ AVANT ACCEPTATION RT","ENROBÉ")))))</f>
        <v>NON SOUDÉ</v>
      </c>
      <c r="O533" s="80"/>
      <c r="P533" s="82" t="n">
        <f aca="false">IF(C533="","",IFERROR(MATCH(Q533,'CARNET DE SOUDURE'!$AW$7:$AW$3006,0),""))</f>
        <v>527</v>
      </c>
      <c r="Q533" s="82" t="str">
        <f aca="false">IF(C533="","",B533&amp;"|"&amp;C533)</f>
        <v>MFD-ISW → MFD-CPF|JN°527</v>
      </c>
    </row>
    <row r="534" customFormat="false" ht="74.6" hidden="false" customHeight="false" outlineLevel="0" collapsed="false">
      <c r="A534" s="82" t="n">
        <f aca="false">IF(C534="","",ROW()-6)</f>
        <v>528</v>
      </c>
      <c r="B534" s="80" t="s">
        <v>110</v>
      </c>
      <c r="C534" s="113" t="s">
        <v>638</v>
      </c>
      <c r="D534" s="82" t="str">
        <f aca="false">IF(OR(C534="",P534=""),"",INDEX('CARNET DE SOUDURE'!$D$7:$D$3006,P534)&amp;"")</f>
        <v/>
      </c>
      <c r="E534" s="114" t="str">
        <f aca="false">IF(OR(C534="",P534=""),"",IF(INDEX('CARNET DE SOUDURE'!$U$7:$U$3006,P534)="","",INDEX('CARNET DE SOUDURE'!$U$7:$U$3006,P534)))</f>
        <v/>
      </c>
      <c r="F534" s="82" t="str">
        <f aca="false">IF(OR(C534="",P534=""),"",INDEX('CARNET DE SOUDURE'!$AP$7:$AP$3006,P534))</f>
        <v/>
      </c>
      <c r="G534" s="82" t="str">
        <f aca="false">IF(C534="","",IF(P534="","NJ INCONNU",INDEX('CARNET DE SOUDURE'!$AQ$7:$AQ$3006,P534)))</f>
        <v>À SOUDER</v>
      </c>
      <c r="H534" s="82" t="str">
        <f aca="false">IF(C534="","",IF(G534="ACCEPTÉ","OUI","NON"))</f>
        <v>NON</v>
      </c>
      <c r="I534" s="83"/>
      <c r="J534" s="80"/>
      <c r="K534" s="81"/>
      <c r="L534" s="81"/>
      <c r="M534" s="81"/>
      <c r="N534" s="84" t="str">
        <f aca="false">IF(C534="","",IF(P534="","NJ INCONNU",IF(I534="",IF(H534="OUI","À ENROBER",IF(G534="À SOUDER","NON SOUDÉ","EN ATTENTE RT")),IF(L534="R","À REPRENDRE",IF(H534&lt;&gt;"OUI","⚠ ENROBÉ AVANT ACCEPTATION RT","ENROBÉ")))))</f>
        <v>NON SOUDÉ</v>
      </c>
      <c r="O534" s="80"/>
      <c r="P534" s="82" t="n">
        <f aca="false">IF(C534="","",IFERROR(MATCH(Q534,'CARNET DE SOUDURE'!$AW$7:$AW$3006,0),""))</f>
        <v>528</v>
      </c>
      <c r="Q534" s="82" t="str">
        <f aca="false">IF(C534="","",B534&amp;"|"&amp;C534)</f>
        <v>MFD-ISW → MFD-CPF|JN°528</v>
      </c>
    </row>
    <row r="535" customFormat="false" ht="74.6" hidden="false" customHeight="false" outlineLevel="0" collapsed="false">
      <c r="A535" s="82" t="n">
        <f aca="false">IF(C535="","",ROW()-6)</f>
        <v>529</v>
      </c>
      <c r="B535" s="80" t="s">
        <v>110</v>
      </c>
      <c r="C535" s="113" t="s">
        <v>639</v>
      </c>
      <c r="D535" s="82" t="str">
        <f aca="false">IF(OR(C535="",P535=""),"",INDEX('CARNET DE SOUDURE'!$D$7:$D$3006,P535)&amp;"")</f>
        <v/>
      </c>
      <c r="E535" s="114" t="str">
        <f aca="false">IF(OR(C535="",P535=""),"",IF(INDEX('CARNET DE SOUDURE'!$U$7:$U$3006,P535)="","",INDEX('CARNET DE SOUDURE'!$U$7:$U$3006,P535)))</f>
        <v/>
      </c>
      <c r="F535" s="82" t="str">
        <f aca="false">IF(OR(C535="",P535=""),"",INDEX('CARNET DE SOUDURE'!$AP$7:$AP$3006,P535))</f>
        <v/>
      </c>
      <c r="G535" s="82" t="str">
        <f aca="false">IF(C535="","",IF(P535="","NJ INCONNU",INDEX('CARNET DE SOUDURE'!$AQ$7:$AQ$3006,P535)))</f>
        <v>À SOUDER</v>
      </c>
      <c r="H535" s="82" t="str">
        <f aca="false">IF(C535="","",IF(G535="ACCEPTÉ","OUI","NON"))</f>
        <v>NON</v>
      </c>
      <c r="I535" s="83"/>
      <c r="J535" s="80"/>
      <c r="K535" s="81"/>
      <c r="L535" s="81"/>
      <c r="M535" s="81"/>
      <c r="N535" s="84" t="str">
        <f aca="false">IF(C535="","",IF(P535="","NJ INCONNU",IF(I535="",IF(H535="OUI","À ENROBER",IF(G535="À SOUDER","NON SOUDÉ","EN ATTENTE RT")),IF(L535="R","À REPRENDRE",IF(H535&lt;&gt;"OUI","⚠ ENROBÉ AVANT ACCEPTATION RT","ENROBÉ")))))</f>
        <v>NON SOUDÉ</v>
      </c>
      <c r="O535" s="80"/>
      <c r="P535" s="82" t="n">
        <f aca="false">IF(C535="","",IFERROR(MATCH(Q535,'CARNET DE SOUDURE'!$AW$7:$AW$3006,0),""))</f>
        <v>529</v>
      </c>
      <c r="Q535" s="82" t="str">
        <f aca="false">IF(C535="","",B535&amp;"|"&amp;C535)</f>
        <v>MFD-ISW → MFD-CPF|JN°529</v>
      </c>
    </row>
    <row r="536" customFormat="false" ht="74.6" hidden="false" customHeight="false" outlineLevel="0" collapsed="false">
      <c r="A536" s="82" t="n">
        <f aca="false">IF(C536="","",ROW()-6)</f>
        <v>530</v>
      </c>
      <c r="B536" s="80" t="s">
        <v>110</v>
      </c>
      <c r="C536" s="113" t="s">
        <v>640</v>
      </c>
      <c r="D536" s="82" t="str">
        <f aca="false">IF(OR(C536="",P536=""),"",INDEX('CARNET DE SOUDURE'!$D$7:$D$3006,P536)&amp;"")</f>
        <v/>
      </c>
      <c r="E536" s="114" t="str">
        <f aca="false">IF(OR(C536="",P536=""),"",IF(INDEX('CARNET DE SOUDURE'!$U$7:$U$3006,P536)="","",INDEX('CARNET DE SOUDURE'!$U$7:$U$3006,P536)))</f>
        <v/>
      </c>
      <c r="F536" s="82" t="str">
        <f aca="false">IF(OR(C536="",P536=""),"",INDEX('CARNET DE SOUDURE'!$AP$7:$AP$3006,P536))</f>
        <v/>
      </c>
      <c r="G536" s="82" t="str">
        <f aca="false">IF(C536="","",IF(P536="","NJ INCONNU",INDEX('CARNET DE SOUDURE'!$AQ$7:$AQ$3006,P536)))</f>
        <v>À SOUDER</v>
      </c>
      <c r="H536" s="82" t="str">
        <f aca="false">IF(C536="","",IF(G536="ACCEPTÉ","OUI","NON"))</f>
        <v>NON</v>
      </c>
      <c r="I536" s="83"/>
      <c r="J536" s="80"/>
      <c r="K536" s="81"/>
      <c r="L536" s="81"/>
      <c r="M536" s="81"/>
      <c r="N536" s="84" t="str">
        <f aca="false">IF(C536="","",IF(P536="","NJ INCONNU",IF(I536="",IF(H536="OUI","À ENROBER",IF(G536="À SOUDER","NON SOUDÉ","EN ATTENTE RT")),IF(L536="R","À REPRENDRE",IF(H536&lt;&gt;"OUI","⚠ ENROBÉ AVANT ACCEPTATION RT","ENROBÉ")))))</f>
        <v>NON SOUDÉ</v>
      </c>
      <c r="O536" s="80"/>
      <c r="P536" s="82" t="n">
        <f aca="false">IF(C536="","",IFERROR(MATCH(Q536,'CARNET DE SOUDURE'!$AW$7:$AW$3006,0),""))</f>
        <v>530</v>
      </c>
      <c r="Q536" s="82" t="str">
        <f aca="false">IF(C536="","",B536&amp;"|"&amp;C536)</f>
        <v>MFD-ISW → MFD-CPF|JN°530</v>
      </c>
    </row>
    <row r="537" customFormat="false" ht="74.6" hidden="false" customHeight="false" outlineLevel="0" collapsed="false">
      <c r="A537" s="82" t="n">
        <f aca="false">IF(C537="","",ROW()-6)</f>
        <v>531</v>
      </c>
      <c r="B537" s="80" t="s">
        <v>110</v>
      </c>
      <c r="C537" s="113" t="s">
        <v>641</v>
      </c>
      <c r="D537" s="82" t="str">
        <f aca="false">IF(OR(C537="",P537=""),"",INDEX('CARNET DE SOUDURE'!$D$7:$D$3006,P537)&amp;"")</f>
        <v/>
      </c>
      <c r="E537" s="114" t="str">
        <f aca="false">IF(OR(C537="",P537=""),"",IF(INDEX('CARNET DE SOUDURE'!$U$7:$U$3006,P537)="","",INDEX('CARNET DE SOUDURE'!$U$7:$U$3006,P537)))</f>
        <v/>
      </c>
      <c r="F537" s="82" t="str">
        <f aca="false">IF(OR(C537="",P537=""),"",INDEX('CARNET DE SOUDURE'!$AP$7:$AP$3006,P537))</f>
        <v/>
      </c>
      <c r="G537" s="82" t="str">
        <f aca="false">IF(C537="","",IF(P537="","NJ INCONNU",INDEX('CARNET DE SOUDURE'!$AQ$7:$AQ$3006,P537)))</f>
        <v>À SOUDER</v>
      </c>
      <c r="H537" s="82" t="str">
        <f aca="false">IF(C537="","",IF(G537="ACCEPTÉ","OUI","NON"))</f>
        <v>NON</v>
      </c>
      <c r="I537" s="83"/>
      <c r="J537" s="80"/>
      <c r="K537" s="81"/>
      <c r="L537" s="81"/>
      <c r="M537" s="81"/>
      <c r="N537" s="84" t="str">
        <f aca="false">IF(C537="","",IF(P537="","NJ INCONNU",IF(I537="",IF(H537="OUI","À ENROBER",IF(G537="À SOUDER","NON SOUDÉ","EN ATTENTE RT")),IF(L537="R","À REPRENDRE",IF(H537&lt;&gt;"OUI","⚠ ENROBÉ AVANT ACCEPTATION RT","ENROBÉ")))))</f>
        <v>NON SOUDÉ</v>
      </c>
      <c r="O537" s="80"/>
      <c r="P537" s="82" t="n">
        <f aca="false">IF(C537="","",IFERROR(MATCH(Q537,'CARNET DE SOUDURE'!$AW$7:$AW$3006,0),""))</f>
        <v>531</v>
      </c>
      <c r="Q537" s="82" t="str">
        <f aca="false">IF(C537="","",B537&amp;"|"&amp;C537)</f>
        <v>MFD-ISW → MFD-CPF|JN°531</v>
      </c>
    </row>
    <row r="538" customFormat="false" ht="74.6" hidden="false" customHeight="false" outlineLevel="0" collapsed="false">
      <c r="A538" s="82" t="n">
        <f aca="false">IF(C538="","",ROW()-6)</f>
        <v>532</v>
      </c>
      <c r="B538" s="80" t="s">
        <v>110</v>
      </c>
      <c r="C538" s="113" t="s">
        <v>642</v>
      </c>
      <c r="D538" s="82" t="str">
        <f aca="false">IF(OR(C538="",P538=""),"",INDEX('CARNET DE SOUDURE'!$D$7:$D$3006,P538)&amp;"")</f>
        <v/>
      </c>
      <c r="E538" s="114" t="str">
        <f aca="false">IF(OR(C538="",P538=""),"",IF(INDEX('CARNET DE SOUDURE'!$U$7:$U$3006,P538)="","",INDEX('CARNET DE SOUDURE'!$U$7:$U$3006,P538)))</f>
        <v/>
      </c>
      <c r="F538" s="82" t="str">
        <f aca="false">IF(OR(C538="",P538=""),"",INDEX('CARNET DE SOUDURE'!$AP$7:$AP$3006,P538))</f>
        <v/>
      </c>
      <c r="G538" s="82" t="str">
        <f aca="false">IF(C538="","",IF(P538="","NJ INCONNU",INDEX('CARNET DE SOUDURE'!$AQ$7:$AQ$3006,P538)))</f>
        <v>À SOUDER</v>
      </c>
      <c r="H538" s="82" t="str">
        <f aca="false">IF(C538="","",IF(G538="ACCEPTÉ","OUI","NON"))</f>
        <v>NON</v>
      </c>
      <c r="I538" s="83"/>
      <c r="J538" s="80"/>
      <c r="K538" s="81"/>
      <c r="L538" s="81"/>
      <c r="M538" s="81"/>
      <c r="N538" s="84" t="str">
        <f aca="false">IF(C538="","",IF(P538="","NJ INCONNU",IF(I538="",IF(H538="OUI","À ENROBER",IF(G538="À SOUDER","NON SOUDÉ","EN ATTENTE RT")),IF(L538="R","À REPRENDRE",IF(H538&lt;&gt;"OUI","⚠ ENROBÉ AVANT ACCEPTATION RT","ENROBÉ")))))</f>
        <v>NON SOUDÉ</v>
      </c>
      <c r="O538" s="80"/>
      <c r="P538" s="82" t="n">
        <f aca="false">IF(C538="","",IFERROR(MATCH(Q538,'CARNET DE SOUDURE'!$AW$7:$AW$3006,0),""))</f>
        <v>532</v>
      </c>
      <c r="Q538" s="82" t="str">
        <f aca="false">IF(C538="","",B538&amp;"|"&amp;C538)</f>
        <v>MFD-ISW → MFD-CPF|JN°532</v>
      </c>
    </row>
    <row r="539" customFormat="false" ht="74.6" hidden="false" customHeight="false" outlineLevel="0" collapsed="false">
      <c r="A539" s="82" t="n">
        <f aca="false">IF(C539="","",ROW()-6)</f>
        <v>533</v>
      </c>
      <c r="B539" s="80" t="s">
        <v>110</v>
      </c>
      <c r="C539" s="113" t="s">
        <v>643</v>
      </c>
      <c r="D539" s="82" t="str">
        <f aca="false">IF(OR(C539="",P539=""),"",INDEX('CARNET DE SOUDURE'!$D$7:$D$3006,P539)&amp;"")</f>
        <v/>
      </c>
      <c r="E539" s="114" t="str">
        <f aca="false">IF(OR(C539="",P539=""),"",IF(INDEX('CARNET DE SOUDURE'!$U$7:$U$3006,P539)="","",INDEX('CARNET DE SOUDURE'!$U$7:$U$3006,P539)))</f>
        <v/>
      </c>
      <c r="F539" s="82" t="str">
        <f aca="false">IF(OR(C539="",P539=""),"",INDEX('CARNET DE SOUDURE'!$AP$7:$AP$3006,P539))</f>
        <v/>
      </c>
      <c r="G539" s="82" t="str">
        <f aca="false">IF(C539="","",IF(P539="","NJ INCONNU",INDEX('CARNET DE SOUDURE'!$AQ$7:$AQ$3006,P539)))</f>
        <v>À SOUDER</v>
      </c>
      <c r="H539" s="82" t="str">
        <f aca="false">IF(C539="","",IF(G539="ACCEPTÉ","OUI","NON"))</f>
        <v>NON</v>
      </c>
      <c r="I539" s="83"/>
      <c r="J539" s="80"/>
      <c r="K539" s="81"/>
      <c r="L539" s="81"/>
      <c r="M539" s="81"/>
      <c r="N539" s="84" t="str">
        <f aca="false">IF(C539="","",IF(P539="","NJ INCONNU",IF(I539="",IF(H539="OUI","À ENROBER",IF(G539="À SOUDER","NON SOUDÉ","EN ATTENTE RT")),IF(L539="R","À REPRENDRE",IF(H539&lt;&gt;"OUI","⚠ ENROBÉ AVANT ACCEPTATION RT","ENROBÉ")))))</f>
        <v>NON SOUDÉ</v>
      </c>
      <c r="O539" s="80"/>
      <c r="P539" s="82" t="n">
        <f aca="false">IF(C539="","",IFERROR(MATCH(Q539,'CARNET DE SOUDURE'!$AW$7:$AW$3006,0),""))</f>
        <v>533</v>
      </c>
      <c r="Q539" s="82" t="str">
        <f aca="false">IF(C539="","",B539&amp;"|"&amp;C539)</f>
        <v>MFD-ISW → MFD-CPF|JN°533</v>
      </c>
    </row>
    <row r="540" customFormat="false" ht="74.6" hidden="false" customHeight="false" outlineLevel="0" collapsed="false">
      <c r="A540" s="82" t="n">
        <f aca="false">IF(C540="","",ROW()-6)</f>
        <v>534</v>
      </c>
      <c r="B540" s="80" t="s">
        <v>110</v>
      </c>
      <c r="C540" s="113" t="s">
        <v>644</v>
      </c>
      <c r="D540" s="82" t="str">
        <f aca="false">IF(OR(C540="",P540=""),"",INDEX('CARNET DE SOUDURE'!$D$7:$D$3006,P540)&amp;"")</f>
        <v/>
      </c>
      <c r="E540" s="114" t="str">
        <f aca="false">IF(OR(C540="",P540=""),"",IF(INDEX('CARNET DE SOUDURE'!$U$7:$U$3006,P540)="","",INDEX('CARNET DE SOUDURE'!$U$7:$U$3006,P540)))</f>
        <v/>
      </c>
      <c r="F540" s="82" t="str">
        <f aca="false">IF(OR(C540="",P540=""),"",INDEX('CARNET DE SOUDURE'!$AP$7:$AP$3006,P540))</f>
        <v/>
      </c>
      <c r="G540" s="82" t="str">
        <f aca="false">IF(C540="","",IF(P540="","NJ INCONNU",INDEX('CARNET DE SOUDURE'!$AQ$7:$AQ$3006,P540)))</f>
        <v>À SOUDER</v>
      </c>
      <c r="H540" s="82" t="str">
        <f aca="false">IF(C540="","",IF(G540="ACCEPTÉ","OUI","NON"))</f>
        <v>NON</v>
      </c>
      <c r="I540" s="83"/>
      <c r="J540" s="80"/>
      <c r="K540" s="81"/>
      <c r="L540" s="81"/>
      <c r="M540" s="81"/>
      <c r="N540" s="84" t="str">
        <f aca="false">IF(C540="","",IF(P540="","NJ INCONNU",IF(I540="",IF(H540="OUI","À ENROBER",IF(G540="À SOUDER","NON SOUDÉ","EN ATTENTE RT")),IF(L540="R","À REPRENDRE",IF(H540&lt;&gt;"OUI","⚠ ENROBÉ AVANT ACCEPTATION RT","ENROBÉ")))))</f>
        <v>NON SOUDÉ</v>
      </c>
      <c r="O540" s="80"/>
      <c r="P540" s="82" t="n">
        <f aca="false">IF(C540="","",IFERROR(MATCH(Q540,'CARNET DE SOUDURE'!$AW$7:$AW$3006,0),""))</f>
        <v>534</v>
      </c>
      <c r="Q540" s="82" t="str">
        <f aca="false">IF(C540="","",B540&amp;"|"&amp;C540)</f>
        <v>MFD-ISW → MFD-CPF|JN°534</v>
      </c>
    </row>
    <row r="541" customFormat="false" ht="74.6" hidden="false" customHeight="false" outlineLevel="0" collapsed="false">
      <c r="A541" s="82" t="n">
        <f aca="false">IF(C541="","",ROW()-6)</f>
        <v>535</v>
      </c>
      <c r="B541" s="80" t="s">
        <v>110</v>
      </c>
      <c r="C541" s="113" t="s">
        <v>645</v>
      </c>
      <c r="D541" s="82" t="str">
        <f aca="false">IF(OR(C541="",P541=""),"",INDEX('CARNET DE SOUDURE'!$D$7:$D$3006,P541)&amp;"")</f>
        <v/>
      </c>
      <c r="E541" s="114" t="str">
        <f aca="false">IF(OR(C541="",P541=""),"",IF(INDEX('CARNET DE SOUDURE'!$U$7:$U$3006,P541)="","",INDEX('CARNET DE SOUDURE'!$U$7:$U$3006,P541)))</f>
        <v/>
      </c>
      <c r="F541" s="82" t="str">
        <f aca="false">IF(OR(C541="",P541=""),"",INDEX('CARNET DE SOUDURE'!$AP$7:$AP$3006,P541))</f>
        <v/>
      </c>
      <c r="G541" s="82" t="str">
        <f aca="false">IF(C541="","",IF(P541="","NJ INCONNU",INDEX('CARNET DE SOUDURE'!$AQ$7:$AQ$3006,P541)))</f>
        <v>À SOUDER</v>
      </c>
      <c r="H541" s="82" t="str">
        <f aca="false">IF(C541="","",IF(G541="ACCEPTÉ","OUI","NON"))</f>
        <v>NON</v>
      </c>
      <c r="I541" s="83"/>
      <c r="J541" s="80"/>
      <c r="K541" s="81"/>
      <c r="L541" s="81"/>
      <c r="M541" s="81"/>
      <c r="N541" s="84" t="str">
        <f aca="false">IF(C541="","",IF(P541="","NJ INCONNU",IF(I541="",IF(H541="OUI","À ENROBER",IF(G541="À SOUDER","NON SOUDÉ","EN ATTENTE RT")),IF(L541="R","À REPRENDRE",IF(H541&lt;&gt;"OUI","⚠ ENROBÉ AVANT ACCEPTATION RT","ENROBÉ")))))</f>
        <v>NON SOUDÉ</v>
      </c>
      <c r="O541" s="80"/>
      <c r="P541" s="82" t="n">
        <f aca="false">IF(C541="","",IFERROR(MATCH(Q541,'CARNET DE SOUDURE'!$AW$7:$AW$3006,0),""))</f>
        <v>535</v>
      </c>
      <c r="Q541" s="82" t="str">
        <f aca="false">IF(C541="","",B541&amp;"|"&amp;C541)</f>
        <v>MFD-ISW → MFD-CPF|JN°535</v>
      </c>
    </row>
    <row r="542" customFormat="false" ht="74.6" hidden="false" customHeight="false" outlineLevel="0" collapsed="false">
      <c r="A542" s="82" t="n">
        <f aca="false">IF(C542="","",ROW()-6)</f>
        <v>536</v>
      </c>
      <c r="B542" s="80" t="s">
        <v>110</v>
      </c>
      <c r="C542" s="113" t="s">
        <v>646</v>
      </c>
      <c r="D542" s="82" t="str">
        <f aca="false">IF(OR(C542="",P542=""),"",INDEX('CARNET DE SOUDURE'!$D$7:$D$3006,P542)&amp;"")</f>
        <v/>
      </c>
      <c r="E542" s="114" t="str">
        <f aca="false">IF(OR(C542="",P542=""),"",IF(INDEX('CARNET DE SOUDURE'!$U$7:$U$3006,P542)="","",INDEX('CARNET DE SOUDURE'!$U$7:$U$3006,P542)))</f>
        <v/>
      </c>
      <c r="F542" s="82" t="str">
        <f aca="false">IF(OR(C542="",P542=""),"",INDEX('CARNET DE SOUDURE'!$AP$7:$AP$3006,P542))</f>
        <v/>
      </c>
      <c r="G542" s="82" t="str">
        <f aca="false">IF(C542="","",IF(P542="","NJ INCONNU",INDEX('CARNET DE SOUDURE'!$AQ$7:$AQ$3006,P542)))</f>
        <v>À SOUDER</v>
      </c>
      <c r="H542" s="82" t="str">
        <f aca="false">IF(C542="","",IF(G542="ACCEPTÉ","OUI","NON"))</f>
        <v>NON</v>
      </c>
      <c r="I542" s="83"/>
      <c r="J542" s="80"/>
      <c r="K542" s="81"/>
      <c r="L542" s="81"/>
      <c r="M542" s="81"/>
      <c r="N542" s="84" t="str">
        <f aca="false">IF(C542="","",IF(P542="","NJ INCONNU",IF(I542="",IF(H542="OUI","À ENROBER",IF(G542="À SOUDER","NON SOUDÉ","EN ATTENTE RT")),IF(L542="R","À REPRENDRE",IF(H542&lt;&gt;"OUI","⚠ ENROBÉ AVANT ACCEPTATION RT","ENROBÉ")))))</f>
        <v>NON SOUDÉ</v>
      </c>
      <c r="O542" s="80"/>
      <c r="P542" s="82" t="n">
        <f aca="false">IF(C542="","",IFERROR(MATCH(Q542,'CARNET DE SOUDURE'!$AW$7:$AW$3006,0),""))</f>
        <v>536</v>
      </c>
      <c r="Q542" s="82" t="str">
        <f aca="false">IF(C542="","",B542&amp;"|"&amp;C542)</f>
        <v>MFD-ISW → MFD-CPF|JN°536</v>
      </c>
    </row>
    <row r="543" customFormat="false" ht="74.6" hidden="false" customHeight="false" outlineLevel="0" collapsed="false">
      <c r="A543" s="82" t="n">
        <f aca="false">IF(C543="","",ROW()-6)</f>
        <v>537</v>
      </c>
      <c r="B543" s="80" t="s">
        <v>110</v>
      </c>
      <c r="C543" s="113" t="s">
        <v>647</v>
      </c>
      <c r="D543" s="82" t="str">
        <f aca="false">IF(OR(C543="",P543=""),"",INDEX('CARNET DE SOUDURE'!$D$7:$D$3006,P543)&amp;"")</f>
        <v/>
      </c>
      <c r="E543" s="114" t="str">
        <f aca="false">IF(OR(C543="",P543=""),"",IF(INDEX('CARNET DE SOUDURE'!$U$7:$U$3006,P543)="","",INDEX('CARNET DE SOUDURE'!$U$7:$U$3006,P543)))</f>
        <v/>
      </c>
      <c r="F543" s="82" t="str">
        <f aca="false">IF(OR(C543="",P543=""),"",INDEX('CARNET DE SOUDURE'!$AP$7:$AP$3006,P543))</f>
        <v/>
      </c>
      <c r="G543" s="82" t="str">
        <f aca="false">IF(C543="","",IF(P543="","NJ INCONNU",INDEX('CARNET DE SOUDURE'!$AQ$7:$AQ$3006,P543)))</f>
        <v>À SOUDER</v>
      </c>
      <c r="H543" s="82" t="str">
        <f aca="false">IF(C543="","",IF(G543="ACCEPTÉ","OUI","NON"))</f>
        <v>NON</v>
      </c>
      <c r="I543" s="83"/>
      <c r="J543" s="80"/>
      <c r="K543" s="81"/>
      <c r="L543" s="81"/>
      <c r="M543" s="81"/>
      <c r="N543" s="84" t="str">
        <f aca="false">IF(C543="","",IF(P543="","NJ INCONNU",IF(I543="",IF(H543="OUI","À ENROBER",IF(G543="À SOUDER","NON SOUDÉ","EN ATTENTE RT")),IF(L543="R","À REPRENDRE",IF(H543&lt;&gt;"OUI","⚠ ENROBÉ AVANT ACCEPTATION RT","ENROBÉ")))))</f>
        <v>NON SOUDÉ</v>
      </c>
      <c r="O543" s="80"/>
      <c r="P543" s="82" t="n">
        <f aca="false">IF(C543="","",IFERROR(MATCH(Q543,'CARNET DE SOUDURE'!$AW$7:$AW$3006,0),""))</f>
        <v>537</v>
      </c>
      <c r="Q543" s="82" t="str">
        <f aca="false">IF(C543="","",B543&amp;"|"&amp;C543)</f>
        <v>MFD-ISW → MFD-CPF|JN°537</v>
      </c>
    </row>
    <row r="544" customFormat="false" ht="74.6" hidden="false" customHeight="false" outlineLevel="0" collapsed="false">
      <c r="A544" s="82" t="n">
        <f aca="false">IF(C544="","",ROW()-6)</f>
        <v>538</v>
      </c>
      <c r="B544" s="80" t="s">
        <v>110</v>
      </c>
      <c r="C544" s="113" t="s">
        <v>648</v>
      </c>
      <c r="D544" s="82" t="str">
        <f aca="false">IF(OR(C544="",P544=""),"",INDEX('CARNET DE SOUDURE'!$D$7:$D$3006,P544)&amp;"")</f>
        <v/>
      </c>
      <c r="E544" s="114" t="str">
        <f aca="false">IF(OR(C544="",P544=""),"",IF(INDEX('CARNET DE SOUDURE'!$U$7:$U$3006,P544)="","",INDEX('CARNET DE SOUDURE'!$U$7:$U$3006,P544)))</f>
        <v/>
      </c>
      <c r="F544" s="82" t="str">
        <f aca="false">IF(OR(C544="",P544=""),"",INDEX('CARNET DE SOUDURE'!$AP$7:$AP$3006,P544))</f>
        <v/>
      </c>
      <c r="G544" s="82" t="str">
        <f aca="false">IF(C544="","",IF(P544="","NJ INCONNU",INDEX('CARNET DE SOUDURE'!$AQ$7:$AQ$3006,P544)))</f>
        <v>À SOUDER</v>
      </c>
      <c r="H544" s="82" t="str">
        <f aca="false">IF(C544="","",IF(G544="ACCEPTÉ","OUI","NON"))</f>
        <v>NON</v>
      </c>
      <c r="I544" s="83"/>
      <c r="J544" s="80"/>
      <c r="K544" s="81"/>
      <c r="L544" s="81"/>
      <c r="M544" s="81"/>
      <c r="N544" s="84" t="str">
        <f aca="false">IF(C544="","",IF(P544="","NJ INCONNU",IF(I544="",IF(H544="OUI","À ENROBER",IF(G544="À SOUDER","NON SOUDÉ","EN ATTENTE RT")),IF(L544="R","À REPRENDRE",IF(H544&lt;&gt;"OUI","⚠ ENROBÉ AVANT ACCEPTATION RT","ENROBÉ")))))</f>
        <v>NON SOUDÉ</v>
      </c>
      <c r="O544" s="80"/>
      <c r="P544" s="82" t="n">
        <f aca="false">IF(C544="","",IFERROR(MATCH(Q544,'CARNET DE SOUDURE'!$AW$7:$AW$3006,0),""))</f>
        <v>538</v>
      </c>
      <c r="Q544" s="82" t="str">
        <f aca="false">IF(C544="","",B544&amp;"|"&amp;C544)</f>
        <v>MFD-ISW → MFD-CPF|JN°538</v>
      </c>
    </row>
    <row r="545" customFormat="false" ht="74.6" hidden="false" customHeight="false" outlineLevel="0" collapsed="false">
      <c r="A545" s="82" t="n">
        <f aca="false">IF(C545="","",ROW()-6)</f>
        <v>539</v>
      </c>
      <c r="B545" s="80" t="s">
        <v>110</v>
      </c>
      <c r="C545" s="113" t="s">
        <v>649</v>
      </c>
      <c r="D545" s="82" t="str">
        <f aca="false">IF(OR(C545="",P545=""),"",INDEX('CARNET DE SOUDURE'!$D$7:$D$3006,P545)&amp;"")</f>
        <v/>
      </c>
      <c r="E545" s="114" t="str">
        <f aca="false">IF(OR(C545="",P545=""),"",IF(INDEX('CARNET DE SOUDURE'!$U$7:$U$3006,P545)="","",INDEX('CARNET DE SOUDURE'!$U$7:$U$3006,P545)))</f>
        <v/>
      </c>
      <c r="F545" s="82" t="str">
        <f aca="false">IF(OR(C545="",P545=""),"",INDEX('CARNET DE SOUDURE'!$AP$7:$AP$3006,P545))</f>
        <v/>
      </c>
      <c r="G545" s="82" t="str">
        <f aca="false">IF(C545="","",IF(P545="","NJ INCONNU",INDEX('CARNET DE SOUDURE'!$AQ$7:$AQ$3006,P545)))</f>
        <v>À SOUDER</v>
      </c>
      <c r="H545" s="82" t="str">
        <f aca="false">IF(C545="","",IF(G545="ACCEPTÉ","OUI","NON"))</f>
        <v>NON</v>
      </c>
      <c r="I545" s="83"/>
      <c r="J545" s="80"/>
      <c r="K545" s="81"/>
      <c r="L545" s="81"/>
      <c r="M545" s="81"/>
      <c r="N545" s="84" t="str">
        <f aca="false">IF(C545="","",IF(P545="","NJ INCONNU",IF(I545="",IF(H545="OUI","À ENROBER",IF(G545="À SOUDER","NON SOUDÉ","EN ATTENTE RT")),IF(L545="R","À REPRENDRE",IF(H545&lt;&gt;"OUI","⚠ ENROBÉ AVANT ACCEPTATION RT","ENROBÉ")))))</f>
        <v>NON SOUDÉ</v>
      </c>
      <c r="O545" s="80"/>
      <c r="P545" s="82" t="n">
        <f aca="false">IF(C545="","",IFERROR(MATCH(Q545,'CARNET DE SOUDURE'!$AW$7:$AW$3006,0),""))</f>
        <v>539</v>
      </c>
      <c r="Q545" s="82" t="str">
        <f aca="false">IF(C545="","",B545&amp;"|"&amp;C545)</f>
        <v>MFD-ISW → MFD-CPF|JN°539</v>
      </c>
    </row>
    <row r="546" customFormat="false" ht="74.6" hidden="false" customHeight="false" outlineLevel="0" collapsed="false">
      <c r="A546" s="82" t="n">
        <f aca="false">IF(C546="","",ROW()-6)</f>
        <v>540</v>
      </c>
      <c r="B546" s="80" t="s">
        <v>110</v>
      </c>
      <c r="C546" s="113" t="s">
        <v>650</v>
      </c>
      <c r="D546" s="82" t="str">
        <f aca="false">IF(OR(C546="",P546=""),"",INDEX('CARNET DE SOUDURE'!$D$7:$D$3006,P546)&amp;"")</f>
        <v/>
      </c>
      <c r="E546" s="114" t="str">
        <f aca="false">IF(OR(C546="",P546=""),"",IF(INDEX('CARNET DE SOUDURE'!$U$7:$U$3006,P546)="","",INDEX('CARNET DE SOUDURE'!$U$7:$U$3006,P546)))</f>
        <v/>
      </c>
      <c r="F546" s="82" t="str">
        <f aca="false">IF(OR(C546="",P546=""),"",INDEX('CARNET DE SOUDURE'!$AP$7:$AP$3006,P546))</f>
        <v/>
      </c>
      <c r="G546" s="82" t="str">
        <f aca="false">IF(C546="","",IF(P546="","NJ INCONNU",INDEX('CARNET DE SOUDURE'!$AQ$7:$AQ$3006,P546)))</f>
        <v>À SOUDER</v>
      </c>
      <c r="H546" s="82" t="str">
        <f aca="false">IF(C546="","",IF(G546="ACCEPTÉ","OUI","NON"))</f>
        <v>NON</v>
      </c>
      <c r="I546" s="83"/>
      <c r="J546" s="80"/>
      <c r="K546" s="81"/>
      <c r="L546" s="81"/>
      <c r="M546" s="81"/>
      <c r="N546" s="84" t="str">
        <f aca="false">IF(C546="","",IF(P546="","NJ INCONNU",IF(I546="",IF(H546="OUI","À ENROBER",IF(G546="À SOUDER","NON SOUDÉ","EN ATTENTE RT")),IF(L546="R","À REPRENDRE",IF(H546&lt;&gt;"OUI","⚠ ENROBÉ AVANT ACCEPTATION RT","ENROBÉ")))))</f>
        <v>NON SOUDÉ</v>
      </c>
      <c r="O546" s="80"/>
      <c r="P546" s="82" t="n">
        <f aca="false">IF(C546="","",IFERROR(MATCH(Q546,'CARNET DE SOUDURE'!$AW$7:$AW$3006,0),""))</f>
        <v>540</v>
      </c>
      <c r="Q546" s="82" t="str">
        <f aca="false">IF(C546="","",B546&amp;"|"&amp;C546)</f>
        <v>MFD-ISW → MFD-CPF|JN°540</v>
      </c>
    </row>
    <row r="547" customFormat="false" ht="74.6" hidden="false" customHeight="false" outlineLevel="0" collapsed="false">
      <c r="A547" s="82" t="n">
        <f aca="false">IF(C547="","",ROW()-6)</f>
        <v>541</v>
      </c>
      <c r="B547" s="80" t="s">
        <v>110</v>
      </c>
      <c r="C547" s="113" t="s">
        <v>651</v>
      </c>
      <c r="D547" s="82" t="str">
        <f aca="false">IF(OR(C547="",P547=""),"",INDEX('CARNET DE SOUDURE'!$D$7:$D$3006,P547)&amp;"")</f>
        <v/>
      </c>
      <c r="E547" s="114" t="str">
        <f aca="false">IF(OR(C547="",P547=""),"",IF(INDEX('CARNET DE SOUDURE'!$U$7:$U$3006,P547)="","",INDEX('CARNET DE SOUDURE'!$U$7:$U$3006,P547)))</f>
        <v/>
      </c>
      <c r="F547" s="82" t="str">
        <f aca="false">IF(OR(C547="",P547=""),"",INDEX('CARNET DE SOUDURE'!$AP$7:$AP$3006,P547))</f>
        <v/>
      </c>
      <c r="G547" s="82" t="str">
        <f aca="false">IF(C547="","",IF(P547="","NJ INCONNU",INDEX('CARNET DE SOUDURE'!$AQ$7:$AQ$3006,P547)))</f>
        <v>À SOUDER</v>
      </c>
      <c r="H547" s="82" t="str">
        <f aca="false">IF(C547="","",IF(G547="ACCEPTÉ","OUI","NON"))</f>
        <v>NON</v>
      </c>
      <c r="I547" s="83"/>
      <c r="J547" s="80"/>
      <c r="K547" s="81"/>
      <c r="L547" s="81"/>
      <c r="M547" s="81"/>
      <c r="N547" s="84" t="str">
        <f aca="false">IF(C547="","",IF(P547="","NJ INCONNU",IF(I547="",IF(H547="OUI","À ENROBER",IF(G547="À SOUDER","NON SOUDÉ","EN ATTENTE RT")),IF(L547="R","À REPRENDRE",IF(H547&lt;&gt;"OUI","⚠ ENROBÉ AVANT ACCEPTATION RT","ENROBÉ")))))</f>
        <v>NON SOUDÉ</v>
      </c>
      <c r="O547" s="80"/>
      <c r="P547" s="82" t="n">
        <f aca="false">IF(C547="","",IFERROR(MATCH(Q547,'CARNET DE SOUDURE'!$AW$7:$AW$3006,0),""))</f>
        <v>541</v>
      </c>
      <c r="Q547" s="82" t="str">
        <f aca="false">IF(C547="","",B547&amp;"|"&amp;C547)</f>
        <v>MFD-ISW → MFD-CPF|JN°541</v>
      </c>
    </row>
    <row r="548" customFormat="false" ht="74.6" hidden="false" customHeight="false" outlineLevel="0" collapsed="false">
      <c r="A548" s="82" t="n">
        <f aca="false">IF(C548="","",ROW()-6)</f>
        <v>542</v>
      </c>
      <c r="B548" s="80" t="s">
        <v>110</v>
      </c>
      <c r="C548" s="113" t="s">
        <v>652</v>
      </c>
      <c r="D548" s="82" t="str">
        <f aca="false">IF(OR(C548="",P548=""),"",INDEX('CARNET DE SOUDURE'!$D$7:$D$3006,P548)&amp;"")</f>
        <v/>
      </c>
      <c r="E548" s="114" t="str">
        <f aca="false">IF(OR(C548="",P548=""),"",IF(INDEX('CARNET DE SOUDURE'!$U$7:$U$3006,P548)="","",INDEX('CARNET DE SOUDURE'!$U$7:$U$3006,P548)))</f>
        <v/>
      </c>
      <c r="F548" s="82" t="str">
        <f aca="false">IF(OR(C548="",P548=""),"",INDEX('CARNET DE SOUDURE'!$AP$7:$AP$3006,P548))</f>
        <v/>
      </c>
      <c r="G548" s="82" t="str">
        <f aca="false">IF(C548="","",IF(P548="","NJ INCONNU",INDEX('CARNET DE SOUDURE'!$AQ$7:$AQ$3006,P548)))</f>
        <v>À SOUDER</v>
      </c>
      <c r="H548" s="82" t="str">
        <f aca="false">IF(C548="","",IF(G548="ACCEPTÉ","OUI","NON"))</f>
        <v>NON</v>
      </c>
      <c r="I548" s="83"/>
      <c r="J548" s="80"/>
      <c r="K548" s="81"/>
      <c r="L548" s="81"/>
      <c r="M548" s="81"/>
      <c r="N548" s="84" t="str">
        <f aca="false">IF(C548="","",IF(P548="","NJ INCONNU",IF(I548="",IF(H548="OUI","À ENROBER",IF(G548="À SOUDER","NON SOUDÉ","EN ATTENTE RT")),IF(L548="R","À REPRENDRE",IF(H548&lt;&gt;"OUI","⚠ ENROBÉ AVANT ACCEPTATION RT","ENROBÉ")))))</f>
        <v>NON SOUDÉ</v>
      </c>
      <c r="O548" s="80"/>
      <c r="P548" s="82" t="n">
        <f aca="false">IF(C548="","",IFERROR(MATCH(Q548,'CARNET DE SOUDURE'!$AW$7:$AW$3006,0),""))</f>
        <v>542</v>
      </c>
      <c r="Q548" s="82" t="str">
        <f aca="false">IF(C548="","",B548&amp;"|"&amp;C548)</f>
        <v>MFD-ISW → MFD-CPF|JN°542</v>
      </c>
    </row>
    <row r="549" customFormat="false" ht="74.6" hidden="false" customHeight="false" outlineLevel="0" collapsed="false">
      <c r="A549" s="82" t="n">
        <f aca="false">IF(C549="","",ROW()-6)</f>
        <v>543</v>
      </c>
      <c r="B549" s="80" t="s">
        <v>110</v>
      </c>
      <c r="C549" s="113" t="s">
        <v>653</v>
      </c>
      <c r="D549" s="82" t="str">
        <f aca="false">IF(OR(C549="",P549=""),"",INDEX('CARNET DE SOUDURE'!$D$7:$D$3006,P549)&amp;"")</f>
        <v/>
      </c>
      <c r="E549" s="114" t="str">
        <f aca="false">IF(OR(C549="",P549=""),"",IF(INDEX('CARNET DE SOUDURE'!$U$7:$U$3006,P549)="","",INDEX('CARNET DE SOUDURE'!$U$7:$U$3006,P549)))</f>
        <v/>
      </c>
      <c r="F549" s="82" t="str">
        <f aca="false">IF(OR(C549="",P549=""),"",INDEX('CARNET DE SOUDURE'!$AP$7:$AP$3006,P549))</f>
        <v/>
      </c>
      <c r="G549" s="82" t="str">
        <f aca="false">IF(C549="","",IF(P549="","NJ INCONNU",INDEX('CARNET DE SOUDURE'!$AQ$7:$AQ$3006,P549)))</f>
        <v>À SOUDER</v>
      </c>
      <c r="H549" s="82" t="str">
        <f aca="false">IF(C549="","",IF(G549="ACCEPTÉ","OUI","NON"))</f>
        <v>NON</v>
      </c>
      <c r="I549" s="83"/>
      <c r="J549" s="80"/>
      <c r="K549" s="81"/>
      <c r="L549" s="81"/>
      <c r="M549" s="81"/>
      <c r="N549" s="84" t="str">
        <f aca="false">IF(C549="","",IF(P549="","NJ INCONNU",IF(I549="",IF(H549="OUI","À ENROBER",IF(G549="À SOUDER","NON SOUDÉ","EN ATTENTE RT")),IF(L549="R","À REPRENDRE",IF(H549&lt;&gt;"OUI","⚠ ENROBÉ AVANT ACCEPTATION RT","ENROBÉ")))))</f>
        <v>NON SOUDÉ</v>
      </c>
      <c r="O549" s="80"/>
      <c r="P549" s="82" t="n">
        <f aca="false">IF(C549="","",IFERROR(MATCH(Q549,'CARNET DE SOUDURE'!$AW$7:$AW$3006,0),""))</f>
        <v>543</v>
      </c>
      <c r="Q549" s="82" t="str">
        <f aca="false">IF(C549="","",B549&amp;"|"&amp;C549)</f>
        <v>MFD-ISW → MFD-CPF|JN°543</v>
      </c>
    </row>
    <row r="550" customFormat="false" ht="74.6" hidden="false" customHeight="false" outlineLevel="0" collapsed="false">
      <c r="A550" s="82" t="n">
        <f aca="false">IF(C550="","",ROW()-6)</f>
        <v>544</v>
      </c>
      <c r="B550" s="80" t="s">
        <v>110</v>
      </c>
      <c r="C550" s="113" t="s">
        <v>654</v>
      </c>
      <c r="D550" s="82" t="str">
        <f aca="false">IF(OR(C550="",P550=""),"",INDEX('CARNET DE SOUDURE'!$D$7:$D$3006,P550)&amp;"")</f>
        <v/>
      </c>
      <c r="E550" s="114" t="str">
        <f aca="false">IF(OR(C550="",P550=""),"",IF(INDEX('CARNET DE SOUDURE'!$U$7:$U$3006,P550)="","",INDEX('CARNET DE SOUDURE'!$U$7:$U$3006,P550)))</f>
        <v/>
      </c>
      <c r="F550" s="82" t="str">
        <f aca="false">IF(OR(C550="",P550=""),"",INDEX('CARNET DE SOUDURE'!$AP$7:$AP$3006,P550))</f>
        <v/>
      </c>
      <c r="G550" s="82" t="str">
        <f aca="false">IF(C550="","",IF(P550="","NJ INCONNU",INDEX('CARNET DE SOUDURE'!$AQ$7:$AQ$3006,P550)))</f>
        <v>À SOUDER</v>
      </c>
      <c r="H550" s="82" t="str">
        <f aca="false">IF(C550="","",IF(G550="ACCEPTÉ","OUI","NON"))</f>
        <v>NON</v>
      </c>
      <c r="I550" s="83"/>
      <c r="J550" s="80"/>
      <c r="K550" s="81"/>
      <c r="L550" s="81"/>
      <c r="M550" s="81"/>
      <c r="N550" s="84" t="str">
        <f aca="false">IF(C550="","",IF(P550="","NJ INCONNU",IF(I550="",IF(H550="OUI","À ENROBER",IF(G550="À SOUDER","NON SOUDÉ","EN ATTENTE RT")),IF(L550="R","À REPRENDRE",IF(H550&lt;&gt;"OUI","⚠ ENROBÉ AVANT ACCEPTATION RT","ENROBÉ")))))</f>
        <v>NON SOUDÉ</v>
      </c>
      <c r="O550" s="80"/>
      <c r="P550" s="82" t="n">
        <f aca="false">IF(C550="","",IFERROR(MATCH(Q550,'CARNET DE SOUDURE'!$AW$7:$AW$3006,0),""))</f>
        <v>544</v>
      </c>
      <c r="Q550" s="82" t="str">
        <f aca="false">IF(C550="","",B550&amp;"|"&amp;C550)</f>
        <v>MFD-ISW → MFD-CPF|JN°544</v>
      </c>
    </row>
    <row r="551" customFormat="false" ht="74.6" hidden="false" customHeight="false" outlineLevel="0" collapsed="false">
      <c r="A551" s="82" t="n">
        <f aca="false">IF(C551="","",ROW()-6)</f>
        <v>545</v>
      </c>
      <c r="B551" s="80" t="s">
        <v>110</v>
      </c>
      <c r="C551" s="113" t="s">
        <v>655</v>
      </c>
      <c r="D551" s="82" t="str">
        <f aca="false">IF(OR(C551="",P551=""),"",INDEX('CARNET DE SOUDURE'!$D$7:$D$3006,P551)&amp;"")</f>
        <v/>
      </c>
      <c r="E551" s="114" t="str">
        <f aca="false">IF(OR(C551="",P551=""),"",IF(INDEX('CARNET DE SOUDURE'!$U$7:$U$3006,P551)="","",INDEX('CARNET DE SOUDURE'!$U$7:$U$3006,P551)))</f>
        <v/>
      </c>
      <c r="F551" s="82" t="str">
        <f aca="false">IF(OR(C551="",P551=""),"",INDEX('CARNET DE SOUDURE'!$AP$7:$AP$3006,P551))</f>
        <v/>
      </c>
      <c r="G551" s="82" t="str">
        <f aca="false">IF(C551="","",IF(P551="","NJ INCONNU",INDEX('CARNET DE SOUDURE'!$AQ$7:$AQ$3006,P551)))</f>
        <v>À SOUDER</v>
      </c>
      <c r="H551" s="82" t="str">
        <f aca="false">IF(C551="","",IF(G551="ACCEPTÉ","OUI","NON"))</f>
        <v>NON</v>
      </c>
      <c r="I551" s="83"/>
      <c r="J551" s="80"/>
      <c r="K551" s="81"/>
      <c r="L551" s="81"/>
      <c r="M551" s="81"/>
      <c r="N551" s="84" t="str">
        <f aca="false">IF(C551="","",IF(P551="","NJ INCONNU",IF(I551="",IF(H551="OUI","À ENROBER",IF(G551="À SOUDER","NON SOUDÉ","EN ATTENTE RT")),IF(L551="R","À REPRENDRE",IF(H551&lt;&gt;"OUI","⚠ ENROBÉ AVANT ACCEPTATION RT","ENROBÉ")))))</f>
        <v>NON SOUDÉ</v>
      </c>
      <c r="O551" s="80"/>
      <c r="P551" s="82" t="n">
        <f aca="false">IF(C551="","",IFERROR(MATCH(Q551,'CARNET DE SOUDURE'!$AW$7:$AW$3006,0),""))</f>
        <v>545</v>
      </c>
      <c r="Q551" s="82" t="str">
        <f aca="false">IF(C551="","",B551&amp;"|"&amp;C551)</f>
        <v>MFD-ISW → MFD-CPF|JN°545</v>
      </c>
    </row>
    <row r="552" customFormat="false" ht="74.6" hidden="false" customHeight="false" outlineLevel="0" collapsed="false">
      <c r="A552" s="82" t="n">
        <f aca="false">IF(C552="","",ROW()-6)</f>
        <v>546</v>
      </c>
      <c r="B552" s="80" t="s">
        <v>110</v>
      </c>
      <c r="C552" s="113" t="s">
        <v>656</v>
      </c>
      <c r="D552" s="82" t="str">
        <f aca="false">IF(OR(C552="",P552=""),"",INDEX('CARNET DE SOUDURE'!$D$7:$D$3006,P552)&amp;"")</f>
        <v/>
      </c>
      <c r="E552" s="114" t="str">
        <f aca="false">IF(OR(C552="",P552=""),"",IF(INDEX('CARNET DE SOUDURE'!$U$7:$U$3006,P552)="","",INDEX('CARNET DE SOUDURE'!$U$7:$U$3006,P552)))</f>
        <v/>
      </c>
      <c r="F552" s="82" t="str">
        <f aca="false">IF(OR(C552="",P552=""),"",INDEX('CARNET DE SOUDURE'!$AP$7:$AP$3006,P552))</f>
        <v/>
      </c>
      <c r="G552" s="82" t="str">
        <f aca="false">IF(C552="","",IF(P552="","NJ INCONNU",INDEX('CARNET DE SOUDURE'!$AQ$7:$AQ$3006,P552)))</f>
        <v>À SOUDER</v>
      </c>
      <c r="H552" s="82" t="str">
        <f aca="false">IF(C552="","",IF(G552="ACCEPTÉ","OUI","NON"))</f>
        <v>NON</v>
      </c>
      <c r="I552" s="83"/>
      <c r="J552" s="80"/>
      <c r="K552" s="81"/>
      <c r="L552" s="81"/>
      <c r="M552" s="81"/>
      <c r="N552" s="84" t="str">
        <f aca="false">IF(C552="","",IF(P552="","NJ INCONNU",IF(I552="",IF(H552="OUI","À ENROBER",IF(G552="À SOUDER","NON SOUDÉ","EN ATTENTE RT")),IF(L552="R","À REPRENDRE",IF(H552&lt;&gt;"OUI","⚠ ENROBÉ AVANT ACCEPTATION RT","ENROBÉ")))))</f>
        <v>NON SOUDÉ</v>
      </c>
      <c r="O552" s="80"/>
      <c r="P552" s="82" t="n">
        <f aca="false">IF(C552="","",IFERROR(MATCH(Q552,'CARNET DE SOUDURE'!$AW$7:$AW$3006,0),""))</f>
        <v>546</v>
      </c>
      <c r="Q552" s="82" t="str">
        <f aca="false">IF(C552="","",B552&amp;"|"&amp;C552)</f>
        <v>MFD-ISW → MFD-CPF|JN°546</v>
      </c>
    </row>
    <row r="553" customFormat="false" ht="74.6" hidden="false" customHeight="false" outlineLevel="0" collapsed="false">
      <c r="A553" s="82" t="n">
        <f aca="false">IF(C553="","",ROW()-6)</f>
        <v>547</v>
      </c>
      <c r="B553" s="80" t="s">
        <v>110</v>
      </c>
      <c r="C553" s="113" t="s">
        <v>657</v>
      </c>
      <c r="D553" s="82" t="str">
        <f aca="false">IF(OR(C553="",P553=""),"",INDEX('CARNET DE SOUDURE'!$D$7:$D$3006,P553)&amp;"")</f>
        <v/>
      </c>
      <c r="E553" s="114" t="str">
        <f aca="false">IF(OR(C553="",P553=""),"",IF(INDEX('CARNET DE SOUDURE'!$U$7:$U$3006,P553)="","",INDEX('CARNET DE SOUDURE'!$U$7:$U$3006,P553)))</f>
        <v/>
      </c>
      <c r="F553" s="82" t="str">
        <f aca="false">IF(OR(C553="",P553=""),"",INDEX('CARNET DE SOUDURE'!$AP$7:$AP$3006,P553))</f>
        <v/>
      </c>
      <c r="G553" s="82" t="str">
        <f aca="false">IF(C553="","",IF(P553="","NJ INCONNU",INDEX('CARNET DE SOUDURE'!$AQ$7:$AQ$3006,P553)))</f>
        <v>À SOUDER</v>
      </c>
      <c r="H553" s="82" t="str">
        <f aca="false">IF(C553="","",IF(G553="ACCEPTÉ","OUI","NON"))</f>
        <v>NON</v>
      </c>
      <c r="I553" s="83"/>
      <c r="J553" s="80"/>
      <c r="K553" s="81"/>
      <c r="L553" s="81"/>
      <c r="M553" s="81"/>
      <c r="N553" s="84" t="str">
        <f aca="false">IF(C553="","",IF(P553="","NJ INCONNU",IF(I553="",IF(H553="OUI","À ENROBER",IF(G553="À SOUDER","NON SOUDÉ","EN ATTENTE RT")),IF(L553="R","À REPRENDRE",IF(H553&lt;&gt;"OUI","⚠ ENROBÉ AVANT ACCEPTATION RT","ENROBÉ")))))</f>
        <v>NON SOUDÉ</v>
      </c>
      <c r="O553" s="80"/>
      <c r="P553" s="82" t="n">
        <f aca="false">IF(C553="","",IFERROR(MATCH(Q553,'CARNET DE SOUDURE'!$AW$7:$AW$3006,0),""))</f>
        <v>547</v>
      </c>
      <c r="Q553" s="82" t="str">
        <f aca="false">IF(C553="","",B553&amp;"|"&amp;C553)</f>
        <v>MFD-ISW → MFD-CPF|JN°547</v>
      </c>
    </row>
    <row r="554" customFormat="false" ht="74.6" hidden="false" customHeight="false" outlineLevel="0" collapsed="false">
      <c r="A554" s="82" t="n">
        <f aca="false">IF(C554="","",ROW()-6)</f>
        <v>548</v>
      </c>
      <c r="B554" s="80" t="s">
        <v>110</v>
      </c>
      <c r="C554" s="113" t="s">
        <v>658</v>
      </c>
      <c r="D554" s="82" t="str">
        <f aca="false">IF(OR(C554="",P554=""),"",INDEX('CARNET DE SOUDURE'!$D$7:$D$3006,P554)&amp;"")</f>
        <v/>
      </c>
      <c r="E554" s="114" t="str">
        <f aca="false">IF(OR(C554="",P554=""),"",IF(INDEX('CARNET DE SOUDURE'!$U$7:$U$3006,P554)="","",INDEX('CARNET DE SOUDURE'!$U$7:$U$3006,P554)))</f>
        <v/>
      </c>
      <c r="F554" s="82" t="str">
        <f aca="false">IF(OR(C554="",P554=""),"",INDEX('CARNET DE SOUDURE'!$AP$7:$AP$3006,P554))</f>
        <v/>
      </c>
      <c r="G554" s="82" t="str">
        <f aca="false">IF(C554="","",IF(P554="","NJ INCONNU",INDEX('CARNET DE SOUDURE'!$AQ$7:$AQ$3006,P554)))</f>
        <v>À SOUDER</v>
      </c>
      <c r="H554" s="82" t="str">
        <f aca="false">IF(C554="","",IF(G554="ACCEPTÉ","OUI","NON"))</f>
        <v>NON</v>
      </c>
      <c r="I554" s="83"/>
      <c r="J554" s="80"/>
      <c r="K554" s="81"/>
      <c r="L554" s="81"/>
      <c r="M554" s="81"/>
      <c r="N554" s="84" t="str">
        <f aca="false">IF(C554="","",IF(P554="","NJ INCONNU",IF(I554="",IF(H554="OUI","À ENROBER",IF(G554="À SOUDER","NON SOUDÉ","EN ATTENTE RT")),IF(L554="R","À REPRENDRE",IF(H554&lt;&gt;"OUI","⚠ ENROBÉ AVANT ACCEPTATION RT","ENROBÉ")))))</f>
        <v>NON SOUDÉ</v>
      </c>
      <c r="O554" s="80"/>
      <c r="P554" s="82" t="n">
        <f aca="false">IF(C554="","",IFERROR(MATCH(Q554,'CARNET DE SOUDURE'!$AW$7:$AW$3006,0),""))</f>
        <v>548</v>
      </c>
      <c r="Q554" s="82" t="str">
        <f aca="false">IF(C554="","",B554&amp;"|"&amp;C554)</f>
        <v>MFD-ISW → MFD-CPF|JN°548</v>
      </c>
    </row>
    <row r="555" customFormat="false" ht="74.6" hidden="false" customHeight="false" outlineLevel="0" collapsed="false">
      <c r="A555" s="82" t="n">
        <f aca="false">IF(C555="","",ROW()-6)</f>
        <v>549</v>
      </c>
      <c r="B555" s="80" t="s">
        <v>110</v>
      </c>
      <c r="C555" s="113" t="s">
        <v>659</v>
      </c>
      <c r="D555" s="82" t="str">
        <f aca="false">IF(OR(C555="",P555=""),"",INDEX('CARNET DE SOUDURE'!$D$7:$D$3006,P555)&amp;"")</f>
        <v/>
      </c>
      <c r="E555" s="114" t="str">
        <f aca="false">IF(OR(C555="",P555=""),"",IF(INDEX('CARNET DE SOUDURE'!$U$7:$U$3006,P555)="","",INDEX('CARNET DE SOUDURE'!$U$7:$U$3006,P555)))</f>
        <v/>
      </c>
      <c r="F555" s="82" t="str">
        <f aca="false">IF(OR(C555="",P555=""),"",INDEX('CARNET DE SOUDURE'!$AP$7:$AP$3006,P555))</f>
        <v/>
      </c>
      <c r="G555" s="82" t="str">
        <f aca="false">IF(C555="","",IF(P555="","NJ INCONNU",INDEX('CARNET DE SOUDURE'!$AQ$7:$AQ$3006,P555)))</f>
        <v>À SOUDER</v>
      </c>
      <c r="H555" s="82" t="str">
        <f aca="false">IF(C555="","",IF(G555="ACCEPTÉ","OUI","NON"))</f>
        <v>NON</v>
      </c>
      <c r="I555" s="83"/>
      <c r="J555" s="80"/>
      <c r="K555" s="81"/>
      <c r="L555" s="81"/>
      <c r="M555" s="81"/>
      <c r="N555" s="84" t="str">
        <f aca="false">IF(C555="","",IF(P555="","NJ INCONNU",IF(I555="",IF(H555="OUI","À ENROBER",IF(G555="À SOUDER","NON SOUDÉ","EN ATTENTE RT")),IF(L555="R","À REPRENDRE",IF(H555&lt;&gt;"OUI","⚠ ENROBÉ AVANT ACCEPTATION RT","ENROBÉ")))))</f>
        <v>NON SOUDÉ</v>
      </c>
      <c r="O555" s="80"/>
      <c r="P555" s="82" t="n">
        <f aca="false">IF(C555="","",IFERROR(MATCH(Q555,'CARNET DE SOUDURE'!$AW$7:$AW$3006,0),""))</f>
        <v>549</v>
      </c>
      <c r="Q555" s="82" t="str">
        <f aca="false">IF(C555="","",B555&amp;"|"&amp;C555)</f>
        <v>MFD-ISW → MFD-CPF|JN°549</v>
      </c>
    </row>
    <row r="556" customFormat="false" ht="74.6" hidden="false" customHeight="false" outlineLevel="0" collapsed="false">
      <c r="A556" s="82" t="n">
        <f aca="false">IF(C556="","",ROW()-6)</f>
        <v>550</v>
      </c>
      <c r="B556" s="80" t="s">
        <v>110</v>
      </c>
      <c r="C556" s="113" t="s">
        <v>660</v>
      </c>
      <c r="D556" s="82" t="str">
        <f aca="false">IF(OR(C556="",P556=""),"",INDEX('CARNET DE SOUDURE'!$D$7:$D$3006,P556)&amp;"")</f>
        <v/>
      </c>
      <c r="E556" s="114" t="str">
        <f aca="false">IF(OR(C556="",P556=""),"",IF(INDEX('CARNET DE SOUDURE'!$U$7:$U$3006,P556)="","",INDEX('CARNET DE SOUDURE'!$U$7:$U$3006,P556)))</f>
        <v/>
      </c>
      <c r="F556" s="82" t="str">
        <f aca="false">IF(OR(C556="",P556=""),"",INDEX('CARNET DE SOUDURE'!$AP$7:$AP$3006,P556))</f>
        <v/>
      </c>
      <c r="G556" s="82" t="str">
        <f aca="false">IF(C556="","",IF(P556="","NJ INCONNU",INDEX('CARNET DE SOUDURE'!$AQ$7:$AQ$3006,P556)))</f>
        <v>À SOUDER</v>
      </c>
      <c r="H556" s="82" t="str">
        <f aca="false">IF(C556="","",IF(G556="ACCEPTÉ","OUI","NON"))</f>
        <v>NON</v>
      </c>
      <c r="I556" s="83"/>
      <c r="J556" s="80"/>
      <c r="K556" s="81"/>
      <c r="L556" s="81"/>
      <c r="M556" s="81"/>
      <c r="N556" s="84" t="str">
        <f aca="false">IF(C556="","",IF(P556="","NJ INCONNU",IF(I556="",IF(H556="OUI","À ENROBER",IF(G556="À SOUDER","NON SOUDÉ","EN ATTENTE RT")),IF(L556="R","À REPRENDRE",IF(H556&lt;&gt;"OUI","⚠ ENROBÉ AVANT ACCEPTATION RT","ENROBÉ")))))</f>
        <v>NON SOUDÉ</v>
      </c>
      <c r="O556" s="80"/>
      <c r="P556" s="82" t="n">
        <f aca="false">IF(C556="","",IFERROR(MATCH(Q556,'CARNET DE SOUDURE'!$AW$7:$AW$3006,0),""))</f>
        <v>550</v>
      </c>
      <c r="Q556" s="82" t="str">
        <f aca="false">IF(C556="","",B556&amp;"|"&amp;C556)</f>
        <v>MFD-ISW → MFD-CPF|JN°550</v>
      </c>
    </row>
    <row r="557" customFormat="false" ht="74.6" hidden="false" customHeight="false" outlineLevel="0" collapsed="false">
      <c r="A557" s="82" t="n">
        <f aca="false">IF(C557="","",ROW()-6)</f>
        <v>551</v>
      </c>
      <c r="B557" s="80" t="s">
        <v>110</v>
      </c>
      <c r="C557" s="113" t="s">
        <v>661</v>
      </c>
      <c r="D557" s="82" t="str">
        <f aca="false">IF(OR(C557="",P557=""),"",INDEX('CARNET DE SOUDURE'!$D$7:$D$3006,P557)&amp;"")</f>
        <v/>
      </c>
      <c r="E557" s="114" t="str">
        <f aca="false">IF(OR(C557="",P557=""),"",IF(INDEX('CARNET DE SOUDURE'!$U$7:$U$3006,P557)="","",INDEX('CARNET DE SOUDURE'!$U$7:$U$3006,P557)))</f>
        <v/>
      </c>
      <c r="F557" s="82" t="str">
        <f aca="false">IF(OR(C557="",P557=""),"",INDEX('CARNET DE SOUDURE'!$AP$7:$AP$3006,P557))</f>
        <v/>
      </c>
      <c r="G557" s="82" t="str">
        <f aca="false">IF(C557="","",IF(P557="","NJ INCONNU",INDEX('CARNET DE SOUDURE'!$AQ$7:$AQ$3006,P557)))</f>
        <v>À SOUDER</v>
      </c>
      <c r="H557" s="82" t="str">
        <f aca="false">IF(C557="","",IF(G557="ACCEPTÉ","OUI","NON"))</f>
        <v>NON</v>
      </c>
      <c r="I557" s="83"/>
      <c r="J557" s="80"/>
      <c r="K557" s="81"/>
      <c r="L557" s="81"/>
      <c r="M557" s="81"/>
      <c r="N557" s="84" t="str">
        <f aca="false">IF(C557="","",IF(P557="","NJ INCONNU",IF(I557="",IF(H557="OUI","À ENROBER",IF(G557="À SOUDER","NON SOUDÉ","EN ATTENTE RT")),IF(L557="R","À REPRENDRE",IF(H557&lt;&gt;"OUI","⚠ ENROBÉ AVANT ACCEPTATION RT","ENROBÉ")))))</f>
        <v>NON SOUDÉ</v>
      </c>
      <c r="O557" s="80"/>
      <c r="P557" s="82" t="n">
        <f aca="false">IF(C557="","",IFERROR(MATCH(Q557,'CARNET DE SOUDURE'!$AW$7:$AW$3006,0),""))</f>
        <v>551</v>
      </c>
      <c r="Q557" s="82" t="str">
        <f aca="false">IF(C557="","",B557&amp;"|"&amp;C557)</f>
        <v>MFD-ISW → MFD-CPF|JN°551</v>
      </c>
    </row>
    <row r="558" customFormat="false" ht="74.6" hidden="false" customHeight="false" outlineLevel="0" collapsed="false">
      <c r="A558" s="82" t="n">
        <f aca="false">IF(C558="","",ROW()-6)</f>
        <v>552</v>
      </c>
      <c r="B558" s="80" t="s">
        <v>110</v>
      </c>
      <c r="C558" s="113" t="s">
        <v>662</v>
      </c>
      <c r="D558" s="82" t="str">
        <f aca="false">IF(OR(C558="",P558=""),"",INDEX('CARNET DE SOUDURE'!$D$7:$D$3006,P558)&amp;"")</f>
        <v/>
      </c>
      <c r="E558" s="114" t="str">
        <f aca="false">IF(OR(C558="",P558=""),"",IF(INDEX('CARNET DE SOUDURE'!$U$7:$U$3006,P558)="","",INDEX('CARNET DE SOUDURE'!$U$7:$U$3006,P558)))</f>
        <v/>
      </c>
      <c r="F558" s="82" t="str">
        <f aca="false">IF(OR(C558="",P558=""),"",INDEX('CARNET DE SOUDURE'!$AP$7:$AP$3006,P558))</f>
        <v/>
      </c>
      <c r="G558" s="82" t="str">
        <f aca="false">IF(C558="","",IF(P558="","NJ INCONNU",INDEX('CARNET DE SOUDURE'!$AQ$7:$AQ$3006,P558)))</f>
        <v>À SOUDER</v>
      </c>
      <c r="H558" s="82" t="str">
        <f aca="false">IF(C558="","",IF(G558="ACCEPTÉ","OUI","NON"))</f>
        <v>NON</v>
      </c>
      <c r="I558" s="83"/>
      <c r="J558" s="80"/>
      <c r="K558" s="81"/>
      <c r="L558" s="81"/>
      <c r="M558" s="81"/>
      <c r="N558" s="84" t="str">
        <f aca="false">IF(C558="","",IF(P558="","NJ INCONNU",IF(I558="",IF(H558="OUI","À ENROBER",IF(G558="À SOUDER","NON SOUDÉ","EN ATTENTE RT")),IF(L558="R","À REPRENDRE",IF(H558&lt;&gt;"OUI","⚠ ENROBÉ AVANT ACCEPTATION RT","ENROBÉ")))))</f>
        <v>NON SOUDÉ</v>
      </c>
      <c r="O558" s="80"/>
      <c r="P558" s="82" t="n">
        <f aca="false">IF(C558="","",IFERROR(MATCH(Q558,'CARNET DE SOUDURE'!$AW$7:$AW$3006,0),""))</f>
        <v>552</v>
      </c>
      <c r="Q558" s="82" t="str">
        <f aca="false">IF(C558="","",B558&amp;"|"&amp;C558)</f>
        <v>MFD-ISW → MFD-CPF|JN°552</v>
      </c>
    </row>
    <row r="559" customFormat="false" ht="74.6" hidden="false" customHeight="false" outlineLevel="0" collapsed="false">
      <c r="A559" s="82" t="n">
        <f aca="false">IF(C559="","",ROW()-6)</f>
        <v>553</v>
      </c>
      <c r="B559" s="80" t="s">
        <v>110</v>
      </c>
      <c r="C559" s="113" t="s">
        <v>663</v>
      </c>
      <c r="D559" s="82" t="str">
        <f aca="false">IF(OR(C559="",P559=""),"",INDEX('CARNET DE SOUDURE'!$D$7:$D$3006,P559)&amp;"")</f>
        <v/>
      </c>
      <c r="E559" s="114" t="str">
        <f aca="false">IF(OR(C559="",P559=""),"",IF(INDEX('CARNET DE SOUDURE'!$U$7:$U$3006,P559)="","",INDEX('CARNET DE SOUDURE'!$U$7:$U$3006,P559)))</f>
        <v/>
      </c>
      <c r="F559" s="82" t="str">
        <f aca="false">IF(OR(C559="",P559=""),"",INDEX('CARNET DE SOUDURE'!$AP$7:$AP$3006,P559))</f>
        <v/>
      </c>
      <c r="G559" s="82" t="str">
        <f aca="false">IF(C559="","",IF(P559="","NJ INCONNU",INDEX('CARNET DE SOUDURE'!$AQ$7:$AQ$3006,P559)))</f>
        <v>À SOUDER</v>
      </c>
      <c r="H559" s="82" t="str">
        <f aca="false">IF(C559="","",IF(G559="ACCEPTÉ","OUI","NON"))</f>
        <v>NON</v>
      </c>
      <c r="I559" s="83"/>
      <c r="J559" s="80"/>
      <c r="K559" s="81"/>
      <c r="L559" s="81"/>
      <c r="M559" s="81"/>
      <c r="N559" s="84" t="str">
        <f aca="false">IF(C559="","",IF(P559="","NJ INCONNU",IF(I559="",IF(H559="OUI","À ENROBER",IF(G559="À SOUDER","NON SOUDÉ","EN ATTENTE RT")),IF(L559="R","À REPRENDRE",IF(H559&lt;&gt;"OUI","⚠ ENROBÉ AVANT ACCEPTATION RT","ENROBÉ")))))</f>
        <v>NON SOUDÉ</v>
      </c>
      <c r="O559" s="80"/>
      <c r="P559" s="82" t="n">
        <f aca="false">IF(C559="","",IFERROR(MATCH(Q559,'CARNET DE SOUDURE'!$AW$7:$AW$3006,0),""))</f>
        <v>553</v>
      </c>
      <c r="Q559" s="82" t="str">
        <f aca="false">IF(C559="","",B559&amp;"|"&amp;C559)</f>
        <v>MFD-ISW → MFD-CPF|JN°553</v>
      </c>
    </row>
    <row r="560" customFormat="false" ht="74.6" hidden="false" customHeight="false" outlineLevel="0" collapsed="false">
      <c r="A560" s="82" t="n">
        <f aca="false">IF(C560="","",ROW()-6)</f>
        <v>554</v>
      </c>
      <c r="B560" s="80" t="s">
        <v>110</v>
      </c>
      <c r="C560" s="113" t="s">
        <v>664</v>
      </c>
      <c r="D560" s="82" t="str">
        <f aca="false">IF(OR(C560="",P560=""),"",INDEX('CARNET DE SOUDURE'!$D$7:$D$3006,P560)&amp;"")</f>
        <v/>
      </c>
      <c r="E560" s="114" t="str">
        <f aca="false">IF(OR(C560="",P560=""),"",IF(INDEX('CARNET DE SOUDURE'!$U$7:$U$3006,P560)="","",INDEX('CARNET DE SOUDURE'!$U$7:$U$3006,P560)))</f>
        <v/>
      </c>
      <c r="F560" s="82" t="str">
        <f aca="false">IF(OR(C560="",P560=""),"",INDEX('CARNET DE SOUDURE'!$AP$7:$AP$3006,P560))</f>
        <v/>
      </c>
      <c r="G560" s="82" t="str">
        <f aca="false">IF(C560="","",IF(P560="","NJ INCONNU",INDEX('CARNET DE SOUDURE'!$AQ$7:$AQ$3006,P560)))</f>
        <v>À SOUDER</v>
      </c>
      <c r="H560" s="82" t="str">
        <f aca="false">IF(C560="","",IF(G560="ACCEPTÉ","OUI","NON"))</f>
        <v>NON</v>
      </c>
      <c r="I560" s="83"/>
      <c r="J560" s="80"/>
      <c r="K560" s="81"/>
      <c r="L560" s="81"/>
      <c r="M560" s="81"/>
      <c r="N560" s="84" t="str">
        <f aca="false">IF(C560="","",IF(P560="","NJ INCONNU",IF(I560="",IF(H560="OUI","À ENROBER",IF(G560="À SOUDER","NON SOUDÉ","EN ATTENTE RT")),IF(L560="R","À REPRENDRE",IF(H560&lt;&gt;"OUI","⚠ ENROBÉ AVANT ACCEPTATION RT","ENROBÉ")))))</f>
        <v>NON SOUDÉ</v>
      </c>
      <c r="O560" s="80"/>
      <c r="P560" s="82" t="n">
        <f aca="false">IF(C560="","",IFERROR(MATCH(Q560,'CARNET DE SOUDURE'!$AW$7:$AW$3006,0),""))</f>
        <v>554</v>
      </c>
      <c r="Q560" s="82" t="str">
        <f aca="false">IF(C560="","",B560&amp;"|"&amp;C560)</f>
        <v>MFD-ISW → MFD-CPF|JN°554</v>
      </c>
    </row>
    <row r="561" customFormat="false" ht="74.6" hidden="false" customHeight="false" outlineLevel="0" collapsed="false">
      <c r="A561" s="82" t="n">
        <f aca="false">IF(C561="","",ROW()-6)</f>
        <v>555</v>
      </c>
      <c r="B561" s="80" t="s">
        <v>110</v>
      </c>
      <c r="C561" s="113" t="s">
        <v>665</v>
      </c>
      <c r="D561" s="82" t="str">
        <f aca="false">IF(OR(C561="",P561=""),"",INDEX('CARNET DE SOUDURE'!$D$7:$D$3006,P561)&amp;"")</f>
        <v/>
      </c>
      <c r="E561" s="114" t="str">
        <f aca="false">IF(OR(C561="",P561=""),"",IF(INDEX('CARNET DE SOUDURE'!$U$7:$U$3006,P561)="","",INDEX('CARNET DE SOUDURE'!$U$7:$U$3006,P561)))</f>
        <v/>
      </c>
      <c r="F561" s="82" t="str">
        <f aca="false">IF(OR(C561="",P561=""),"",INDEX('CARNET DE SOUDURE'!$AP$7:$AP$3006,P561))</f>
        <v/>
      </c>
      <c r="G561" s="82" t="str">
        <f aca="false">IF(C561="","",IF(P561="","NJ INCONNU",INDEX('CARNET DE SOUDURE'!$AQ$7:$AQ$3006,P561)))</f>
        <v>À SOUDER</v>
      </c>
      <c r="H561" s="82" t="str">
        <f aca="false">IF(C561="","",IF(G561="ACCEPTÉ","OUI","NON"))</f>
        <v>NON</v>
      </c>
      <c r="I561" s="83"/>
      <c r="J561" s="80"/>
      <c r="K561" s="81"/>
      <c r="L561" s="81"/>
      <c r="M561" s="81"/>
      <c r="N561" s="84" t="str">
        <f aca="false">IF(C561="","",IF(P561="","NJ INCONNU",IF(I561="",IF(H561="OUI","À ENROBER",IF(G561="À SOUDER","NON SOUDÉ","EN ATTENTE RT")),IF(L561="R","À REPRENDRE",IF(H561&lt;&gt;"OUI","⚠ ENROBÉ AVANT ACCEPTATION RT","ENROBÉ")))))</f>
        <v>NON SOUDÉ</v>
      </c>
      <c r="O561" s="80"/>
      <c r="P561" s="82" t="n">
        <f aca="false">IF(C561="","",IFERROR(MATCH(Q561,'CARNET DE SOUDURE'!$AW$7:$AW$3006,0),""))</f>
        <v>555</v>
      </c>
      <c r="Q561" s="82" t="str">
        <f aca="false">IF(C561="","",B561&amp;"|"&amp;C561)</f>
        <v>MFD-ISW → MFD-CPF|JN°555</v>
      </c>
    </row>
    <row r="562" customFormat="false" ht="74.6" hidden="false" customHeight="false" outlineLevel="0" collapsed="false">
      <c r="A562" s="82" t="n">
        <f aca="false">IF(C562="","",ROW()-6)</f>
        <v>556</v>
      </c>
      <c r="B562" s="80" t="s">
        <v>110</v>
      </c>
      <c r="C562" s="113" t="s">
        <v>666</v>
      </c>
      <c r="D562" s="82" t="str">
        <f aca="false">IF(OR(C562="",P562=""),"",INDEX('CARNET DE SOUDURE'!$D$7:$D$3006,P562)&amp;"")</f>
        <v/>
      </c>
      <c r="E562" s="114" t="str">
        <f aca="false">IF(OR(C562="",P562=""),"",IF(INDEX('CARNET DE SOUDURE'!$U$7:$U$3006,P562)="","",INDEX('CARNET DE SOUDURE'!$U$7:$U$3006,P562)))</f>
        <v/>
      </c>
      <c r="F562" s="82" t="str">
        <f aca="false">IF(OR(C562="",P562=""),"",INDEX('CARNET DE SOUDURE'!$AP$7:$AP$3006,P562))</f>
        <v/>
      </c>
      <c r="G562" s="82" t="str">
        <f aca="false">IF(C562="","",IF(P562="","NJ INCONNU",INDEX('CARNET DE SOUDURE'!$AQ$7:$AQ$3006,P562)))</f>
        <v>À SOUDER</v>
      </c>
      <c r="H562" s="82" t="str">
        <f aca="false">IF(C562="","",IF(G562="ACCEPTÉ","OUI","NON"))</f>
        <v>NON</v>
      </c>
      <c r="I562" s="83"/>
      <c r="J562" s="80"/>
      <c r="K562" s="81"/>
      <c r="L562" s="81"/>
      <c r="M562" s="81"/>
      <c r="N562" s="84" t="str">
        <f aca="false">IF(C562="","",IF(P562="","NJ INCONNU",IF(I562="",IF(H562="OUI","À ENROBER",IF(G562="À SOUDER","NON SOUDÉ","EN ATTENTE RT")),IF(L562="R","À REPRENDRE",IF(H562&lt;&gt;"OUI","⚠ ENROBÉ AVANT ACCEPTATION RT","ENROBÉ")))))</f>
        <v>NON SOUDÉ</v>
      </c>
      <c r="O562" s="80"/>
      <c r="P562" s="82" t="n">
        <f aca="false">IF(C562="","",IFERROR(MATCH(Q562,'CARNET DE SOUDURE'!$AW$7:$AW$3006,0),""))</f>
        <v>556</v>
      </c>
      <c r="Q562" s="82" t="str">
        <f aca="false">IF(C562="","",B562&amp;"|"&amp;C562)</f>
        <v>MFD-ISW → MFD-CPF|JN°556</v>
      </c>
    </row>
    <row r="563" customFormat="false" ht="74.6" hidden="false" customHeight="false" outlineLevel="0" collapsed="false">
      <c r="A563" s="82" t="n">
        <f aca="false">IF(C563="","",ROW()-6)</f>
        <v>557</v>
      </c>
      <c r="B563" s="80" t="s">
        <v>110</v>
      </c>
      <c r="C563" s="113" t="s">
        <v>667</v>
      </c>
      <c r="D563" s="82" t="str">
        <f aca="false">IF(OR(C563="",P563=""),"",INDEX('CARNET DE SOUDURE'!$D$7:$D$3006,P563)&amp;"")</f>
        <v/>
      </c>
      <c r="E563" s="114" t="str">
        <f aca="false">IF(OR(C563="",P563=""),"",IF(INDEX('CARNET DE SOUDURE'!$U$7:$U$3006,P563)="","",INDEX('CARNET DE SOUDURE'!$U$7:$U$3006,P563)))</f>
        <v/>
      </c>
      <c r="F563" s="82" t="str">
        <f aca="false">IF(OR(C563="",P563=""),"",INDEX('CARNET DE SOUDURE'!$AP$7:$AP$3006,P563))</f>
        <v/>
      </c>
      <c r="G563" s="82" t="str">
        <f aca="false">IF(C563="","",IF(P563="","NJ INCONNU",INDEX('CARNET DE SOUDURE'!$AQ$7:$AQ$3006,P563)))</f>
        <v>À SOUDER</v>
      </c>
      <c r="H563" s="82" t="str">
        <f aca="false">IF(C563="","",IF(G563="ACCEPTÉ","OUI","NON"))</f>
        <v>NON</v>
      </c>
      <c r="I563" s="83"/>
      <c r="J563" s="80"/>
      <c r="K563" s="81"/>
      <c r="L563" s="81"/>
      <c r="M563" s="81"/>
      <c r="N563" s="84" t="str">
        <f aca="false">IF(C563="","",IF(P563="","NJ INCONNU",IF(I563="",IF(H563="OUI","À ENROBER",IF(G563="À SOUDER","NON SOUDÉ","EN ATTENTE RT")),IF(L563="R","À REPRENDRE",IF(H563&lt;&gt;"OUI","⚠ ENROBÉ AVANT ACCEPTATION RT","ENROBÉ")))))</f>
        <v>NON SOUDÉ</v>
      </c>
      <c r="O563" s="80"/>
      <c r="P563" s="82" t="n">
        <f aca="false">IF(C563="","",IFERROR(MATCH(Q563,'CARNET DE SOUDURE'!$AW$7:$AW$3006,0),""))</f>
        <v>557</v>
      </c>
      <c r="Q563" s="82" t="str">
        <f aca="false">IF(C563="","",B563&amp;"|"&amp;C563)</f>
        <v>MFD-ISW → MFD-CPF|JN°557</v>
      </c>
    </row>
    <row r="564" customFormat="false" ht="74.6" hidden="false" customHeight="false" outlineLevel="0" collapsed="false">
      <c r="A564" s="82" t="n">
        <f aca="false">IF(C564="","",ROW()-6)</f>
        <v>558</v>
      </c>
      <c r="B564" s="80" t="s">
        <v>110</v>
      </c>
      <c r="C564" s="113" t="s">
        <v>668</v>
      </c>
      <c r="D564" s="82" t="str">
        <f aca="false">IF(OR(C564="",P564=""),"",INDEX('CARNET DE SOUDURE'!$D$7:$D$3006,P564)&amp;"")</f>
        <v/>
      </c>
      <c r="E564" s="114" t="str">
        <f aca="false">IF(OR(C564="",P564=""),"",IF(INDEX('CARNET DE SOUDURE'!$U$7:$U$3006,P564)="","",INDEX('CARNET DE SOUDURE'!$U$7:$U$3006,P564)))</f>
        <v/>
      </c>
      <c r="F564" s="82" t="str">
        <f aca="false">IF(OR(C564="",P564=""),"",INDEX('CARNET DE SOUDURE'!$AP$7:$AP$3006,P564))</f>
        <v/>
      </c>
      <c r="G564" s="82" t="str">
        <f aca="false">IF(C564="","",IF(P564="","NJ INCONNU",INDEX('CARNET DE SOUDURE'!$AQ$7:$AQ$3006,P564)))</f>
        <v>À SOUDER</v>
      </c>
      <c r="H564" s="82" t="str">
        <f aca="false">IF(C564="","",IF(G564="ACCEPTÉ","OUI","NON"))</f>
        <v>NON</v>
      </c>
      <c r="I564" s="83"/>
      <c r="J564" s="80"/>
      <c r="K564" s="81"/>
      <c r="L564" s="81"/>
      <c r="M564" s="81"/>
      <c r="N564" s="84" t="str">
        <f aca="false">IF(C564="","",IF(P564="","NJ INCONNU",IF(I564="",IF(H564="OUI","À ENROBER",IF(G564="À SOUDER","NON SOUDÉ","EN ATTENTE RT")),IF(L564="R","À REPRENDRE",IF(H564&lt;&gt;"OUI","⚠ ENROBÉ AVANT ACCEPTATION RT","ENROBÉ")))))</f>
        <v>NON SOUDÉ</v>
      </c>
      <c r="O564" s="80"/>
      <c r="P564" s="82" t="n">
        <f aca="false">IF(C564="","",IFERROR(MATCH(Q564,'CARNET DE SOUDURE'!$AW$7:$AW$3006,0),""))</f>
        <v>558</v>
      </c>
      <c r="Q564" s="82" t="str">
        <f aca="false">IF(C564="","",B564&amp;"|"&amp;C564)</f>
        <v>MFD-ISW → MFD-CPF|JN°558</v>
      </c>
    </row>
    <row r="565" customFormat="false" ht="74.6" hidden="false" customHeight="false" outlineLevel="0" collapsed="false">
      <c r="A565" s="82" t="n">
        <f aca="false">IF(C565="","",ROW()-6)</f>
        <v>559</v>
      </c>
      <c r="B565" s="80" t="s">
        <v>110</v>
      </c>
      <c r="C565" s="113" t="s">
        <v>669</v>
      </c>
      <c r="D565" s="82" t="str">
        <f aca="false">IF(OR(C565="",P565=""),"",INDEX('CARNET DE SOUDURE'!$D$7:$D$3006,P565)&amp;"")</f>
        <v/>
      </c>
      <c r="E565" s="114" t="str">
        <f aca="false">IF(OR(C565="",P565=""),"",IF(INDEX('CARNET DE SOUDURE'!$U$7:$U$3006,P565)="","",INDEX('CARNET DE SOUDURE'!$U$7:$U$3006,P565)))</f>
        <v/>
      </c>
      <c r="F565" s="82" t="str">
        <f aca="false">IF(OR(C565="",P565=""),"",INDEX('CARNET DE SOUDURE'!$AP$7:$AP$3006,P565))</f>
        <v/>
      </c>
      <c r="G565" s="82" t="str">
        <f aca="false">IF(C565="","",IF(P565="","NJ INCONNU",INDEX('CARNET DE SOUDURE'!$AQ$7:$AQ$3006,P565)))</f>
        <v>À SOUDER</v>
      </c>
      <c r="H565" s="82" t="str">
        <f aca="false">IF(C565="","",IF(G565="ACCEPTÉ","OUI","NON"))</f>
        <v>NON</v>
      </c>
      <c r="I565" s="83"/>
      <c r="J565" s="80"/>
      <c r="K565" s="81"/>
      <c r="L565" s="81"/>
      <c r="M565" s="81"/>
      <c r="N565" s="84" t="str">
        <f aca="false">IF(C565="","",IF(P565="","NJ INCONNU",IF(I565="",IF(H565="OUI","À ENROBER",IF(G565="À SOUDER","NON SOUDÉ","EN ATTENTE RT")),IF(L565="R","À REPRENDRE",IF(H565&lt;&gt;"OUI","⚠ ENROBÉ AVANT ACCEPTATION RT","ENROBÉ")))))</f>
        <v>NON SOUDÉ</v>
      </c>
      <c r="O565" s="80"/>
      <c r="P565" s="82" t="n">
        <f aca="false">IF(C565="","",IFERROR(MATCH(Q565,'CARNET DE SOUDURE'!$AW$7:$AW$3006,0),""))</f>
        <v>559</v>
      </c>
      <c r="Q565" s="82" t="str">
        <f aca="false">IF(C565="","",B565&amp;"|"&amp;C565)</f>
        <v>MFD-ISW → MFD-CPF|JN°559</v>
      </c>
    </row>
    <row r="566" customFormat="false" ht="74.6" hidden="false" customHeight="false" outlineLevel="0" collapsed="false">
      <c r="A566" s="82" t="n">
        <f aca="false">IF(C566="","",ROW()-6)</f>
        <v>560</v>
      </c>
      <c r="B566" s="80" t="s">
        <v>110</v>
      </c>
      <c r="C566" s="113" t="s">
        <v>670</v>
      </c>
      <c r="D566" s="82" t="str">
        <f aca="false">IF(OR(C566="",P566=""),"",INDEX('CARNET DE SOUDURE'!$D$7:$D$3006,P566)&amp;"")</f>
        <v/>
      </c>
      <c r="E566" s="114" t="str">
        <f aca="false">IF(OR(C566="",P566=""),"",IF(INDEX('CARNET DE SOUDURE'!$U$7:$U$3006,P566)="","",INDEX('CARNET DE SOUDURE'!$U$7:$U$3006,P566)))</f>
        <v/>
      </c>
      <c r="F566" s="82" t="str">
        <f aca="false">IF(OR(C566="",P566=""),"",INDEX('CARNET DE SOUDURE'!$AP$7:$AP$3006,P566))</f>
        <v/>
      </c>
      <c r="G566" s="82" t="str">
        <f aca="false">IF(C566="","",IF(P566="","NJ INCONNU",INDEX('CARNET DE SOUDURE'!$AQ$7:$AQ$3006,P566)))</f>
        <v>À SOUDER</v>
      </c>
      <c r="H566" s="82" t="str">
        <f aca="false">IF(C566="","",IF(G566="ACCEPTÉ","OUI","NON"))</f>
        <v>NON</v>
      </c>
      <c r="I566" s="83"/>
      <c r="J566" s="80"/>
      <c r="K566" s="81"/>
      <c r="L566" s="81"/>
      <c r="M566" s="81"/>
      <c r="N566" s="84" t="str">
        <f aca="false">IF(C566="","",IF(P566="","NJ INCONNU",IF(I566="",IF(H566="OUI","À ENROBER",IF(G566="À SOUDER","NON SOUDÉ","EN ATTENTE RT")),IF(L566="R","À REPRENDRE",IF(H566&lt;&gt;"OUI","⚠ ENROBÉ AVANT ACCEPTATION RT","ENROBÉ")))))</f>
        <v>NON SOUDÉ</v>
      </c>
      <c r="O566" s="80"/>
      <c r="P566" s="82" t="n">
        <f aca="false">IF(C566="","",IFERROR(MATCH(Q566,'CARNET DE SOUDURE'!$AW$7:$AW$3006,0),""))</f>
        <v>560</v>
      </c>
      <c r="Q566" s="82" t="str">
        <f aca="false">IF(C566="","",B566&amp;"|"&amp;C566)</f>
        <v>MFD-ISW → MFD-CPF|JN°560</v>
      </c>
    </row>
    <row r="567" customFormat="false" ht="74.6" hidden="false" customHeight="false" outlineLevel="0" collapsed="false">
      <c r="A567" s="82" t="n">
        <f aca="false">IF(C567="","",ROW()-6)</f>
        <v>561</v>
      </c>
      <c r="B567" s="80" t="s">
        <v>110</v>
      </c>
      <c r="C567" s="113" t="s">
        <v>671</v>
      </c>
      <c r="D567" s="82" t="str">
        <f aca="false">IF(OR(C567="",P567=""),"",INDEX('CARNET DE SOUDURE'!$D$7:$D$3006,P567)&amp;"")</f>
        <v/>
      </c>
      <c r="E567" s="114" t="str">
        <f aca="false">IF(OR(C567="",P567=""),"",IF(INDEX('CARNET DE SOUDURE'!$U$7:$U$3006,P567)="","",INDEX('CARNET DE SOUDURE'!$U$7:$U$3006,P567)))</f>
        <v/>
      </c>
      <c r="F567" s="82" t="str">
        <f aca="false">IF(OR(C567="",P567=""),"",INDEX('CARNET DE SOUDURE'!$AP$7:$AP$3006,P567))</f>
        <v/>
      </c>
      <c r="G567" s="82" t="str">
        <f aca="false">IF(C567="","",IF(P567="","NJ INCONNU",INDEX('CARNET DE SOUDURE'!$AQ$7:$AQ$3006,P567)))</f>
        <v>À SOUDER</v>
      </c>
      <c r="H567" s="82" t="str">
        <f aca="false">IF(C567="","",IF(G567="ACCEPTÉ","OUI","NON"))</f>
        <v>NON</v>
      </c>
      <c r="I567" s="83"/>
      <c r="J567" s="80"/>
      <c r="K567" s="81"/>
      <c r="L567" s="81"/>
      <c r="M567" s="81"/>
      <c r="N567" s="84" t="str">
        <f aca="false">IF(C567="","",IF(P567="","NJ INCONNU",IF(I567="",IF(H567="OUI","À ENROBER",IF(G567="À SOUDER","NON SOUDÉ","EN ATTENTE RT")),IF(L567="R","À REPRENDRE",IF(H567&lt;&gt;"OUI","⚠ ENROBÉ AVANT ACCEPTATION RT","ENROBÉ")))))</f>
        <v>NON SOUDÉ</v>
      </c>
      <c r="O567" s="80"/>
      <c r="P567" s="82" t="n">
        <f aca="false">IF(C567="","",IFERROR(MATCH(Q567,'CARNET DE SOUDURE'!$AW$7:$AW$3006,0),""))</f>
        <v>561</v>
      </c>
      <c r="Q567" s="82" t="str">
        <f aca="false">IF(C567="","",B567&amp;"|"&amp;C567)</f>
        <v>MFD-ISW → MFD-CPF|JN°561</v>
      </c>
    </row>
    <row r="568" customFormat="false" ht="74.6" hidden="false" customHeight="false" outlineLevel="0" collapsed="false">
      <c r="A568" s="82" t="n">
        <f aca="false">IF(C568="","",ROW()-6)</f>
        <v>562</v>
      </c>
      <c r="B568" s="80" t="s">
        <v>110</v>
      </c>
      <c r="C568" s="113" t="s">
        <v>672</v>
      </c>
      <c r="D568" s="82" t="str">
        <f aca="false">IF(OR(C568="",P568=""),"",INDEX('CARNET DE SOUDURE'!$D$7:$D$3006,P568)&amp;"")</f>
        <v/>
      </c>
      <c r="E568" s="114" t="str">
        <f aca="false">IF(OR(C568="",P568=""),"",IF(INDEX('CARNET DE SOUDURE'!$U$7:$U$3006,P568)="","",INDEX('CARNET DE SOUDURE'!$U$7:$U$3006,P568)))</f>
        <v/>
      </c>
      <c r="F568" s="82" t="str">
        <f aca="false">IF(OR(C568="",P568=""),"",INDEX('CARNET DE SOUDURE'!$AP$7:$AP$3006,P568))</f>
        <v/>
      </c>
      <c r="G568" s="82" t="str">
        <f aca="false">IF(C568="","",IF(P568="","NJ INCONNU",INDEX('CARNET DE SOUDURE'!$AQ$7:$AQ$3006,P568)))</f>
        <v>À SOUDER</v>
      </c>
      <c r="H568" s="82" t="str">
        <f aca="false">IF(C568="","",IF(G568="ACCEPTÉ","OUI","NON"))</f>
        <v>NON</v>
      </c>
      <c r="I568" s="83"/>
      <c r="J568" s="80"/>
      <c r="K568" s="81"/>
      <c r="L568" s="81"/>
      <c r="M568" s="81"/>
      <c r="N568" s="84" t="str">
        <f aca="false">IF(C568="","",IF(P568="","NJ INCONNU",IF(I568="",IF(H568="OUI","À ENROBER",IF(G568="À SOUDER","NON SOUDÉ","EN ATTENTE RT")),IF(L568="R","À REPRENDRE",IF(H568&lt;&gt;"OUI","⚠ ENROBÉ AVANT ACCEPTATION RT","ENROBÉ")))))</f>
        <v>NON SOUDÉ</v>
      </c>
      <c r="O568" s="80"/>
      <c r="P568" s="82" t="n">
        <f aca="false">IF(C568="","",IFERROR(MATCH(Q568,'CARNET DE SOUDURE'!$AW$7:$AW$3006,0),""))</f>
        <v>562</v>
      </c>
      <c r="Q568" s="82" t="str">
        <f aca="false">IF(C568="","",B568&amp;"|"&amp;C568)</f>
        <v>MFD-ISW → MFD-CPF|JN°562</v>
      </c>
    </row>
    <row r="569" customFormat="false" ht="74.6" hidden="false" customHeight="false" outlineLevel="0" collapsed="false">
      <c r="A569" s="82" t="n">
        <f aca="false">IF(C569="","",ROW()-6)</f>
        <v>563</v>
      </c>
      <c r="B569" s="80" t="s">
        <v>110</v>
      </c>
      <c r="C569" s="113" t="s">
        <v>673</v>
      </c>
      <c r="D569" s="82" t="str">
        <f aca="false">IF(OR(C569="",P569=""),"",INDEX('CARNET DE SOUDURE'!$D$7:$D$3006,P569)&amp;"")</f>
        <v/>
      </c>
      <c r="E569" s="114" t="str">
        <f aca="false">IF(OR(C569="",P569=""),"",IF(INDEX('CARNET DE SOUDURE'!$U$7:$U$3006,P569)="","",INDEX('CARNET DE SOUDURE'!$U$7:$U$3006,P569)))</f>
        <v/>
      </c>
      <c r="F569" s="82" t="str">
        <f aca="false">IF(OR(C569="",P569=""),"",INDEX('CARNET DE SOUDURE'!$AP$7:$AP$3006,P569))</f>
        <v/>
      </c>
      <c r="G569" s="82" t="str">
        <f aca="false">IF(C569="","",IF(P569="","NJ INCONNU",INDEX('CARNET DE SOUDURE'!$AQ$7:$AQ$3006,P569)))</f>
        <v>À SOUDER</v>
      </c>
      <c r="H569" s="82" t="str">
        <f aca="false">IF(C569="","",IF(G569="ACCEPTÉ","OUI","NON"))</f>
        <v>NON</v>
      </c>
      <c r="I569" s="83"/>
      <c r="J569" s="80"/>
      <c r="K569" s="81"/>
      <c r="L569" s="81"/>
      <c r="M569" s="81"/>
      <c r="N569" s="84" t="str">
        <f aca="false">IF(C569="","",IF(P569="","NJ INCONNU",IF(I569="",IF(H569="OUI","À ENROBER",IF(G569="À SOUDER","NON SOUDÉ","EN ATTENTE RT")),IF(L569="R","À REPRENDRE",IF(H569&lt;&gt;"OUI","⚠ ENROBÉ AVANT ACCEPTATION RT","ENROBÉ")))))</f>
        <v>NON SOUDÉ</v>
      </c>
      <c r="O569" s="80"/>
      <c r="P569" s="82" t="n">
        <f aca="false">IF(C569="","",IFERROR(MATCH(Q569,'CARNET DE SOUDURE'!$AW$7:$AW$3006,0),""))</f>
        <v>563</v>
      </c>
      <c r="Q569" s="82" t="str">
        <f aca="false">IF(C569="","",B569&amp;"|"&amp;C569)</f>
        <v>MFD-ISW → MFD-CPF|JN°563</v>
      </c>
    </row>
    <row r="570" customFormat="false" ht="74.6" hidden="false" customHeight="false" outlineLevel="0" collapsed="false">
      <c r="A570" s="82" t="n">
        <f aca="false">IF(C570="","",ROW()-6)</f>
        <v>564</v>
      </c>
      <c r="B570" s="80" t="s">
        <v>110</v>
      </c>
      <c r="C570" s="113" t="s">
        <v>674</v>
      </c>
      <c r="D570" s="82" t="str">
        <f aca="false">IF(OR(C570="",P570=""),"",INDEX('CARNET DE SOUDURE'!$D$7:$D$3006,P570)&amp;"")</f>
        <v/>
      </c>
      <c r="E570" s="114" t="str">
        <f aca="false">IF(OR(C570="",P570=""),"",IF(INDEX('CARNET DE SOUDURE'!$U$7:$U$3006,P570)="","",INDEX('CARNET DE SOUDURE'!$U$7:$U$3006,P570)))</f>
        <v/>
      </c>
      <c r="F570" s="82" t="str">
        <f aca="false">IF(OR(C570="",P570=""),"",INDEX('CARNET DE SOUDURE'!$AP$7:$AP$3006,P570))</f>
        <v/>
      </c>
      <c r="G570" s="82" t="str">
        <f aca="false">IF(C570="","",IF(P570="","NJ INCONNU",INDEX('CARNET DE SOUDURE'!$AQ$7:$AQ$3006,P570)))</f>
        <v>À SOUDER</v>
      </c>
      <c r="H570" s="82" t="str">
        <f aca="false">IF(C570="","",IF(G570="ACCEPTÉ","OUI","NON"))</f>
        <v>NON</v>
      </c>
      <c r="I570" s="83"/>
      <c r="J570" s="80"/>
      <c r="K570" s="81"/>
      <c r="L570" s="81"/>
      <c r="M570" s="81"/>
      <c r="N570" s="84" t="str">
        <f aca="false">IF(C570="","",IF(P570="","NJ INCONNU",IF(I570="",IF(H570="OUI","À ENROBER",IF(G570="À SOUDER","NON SOUDÉ","EN ATTENTE RT")),IF(L570="R","À REPRENDRE",IF(H570&lt;&gt;"OUI","⚠ ENROBÉ AVANT ACCEPTATION RT","ENROBÉ")))))</f>
        <v>NON SOUDÉ</v>
      </c>
      <c r="O570" s="80"/>
      <c r="P570" s="82" t="n">
        <f aca="false">IF(C570="","",IFERROR(MATCH(Q570,'CARNET DE SOUDURE'!$AW$7:$AW$3006,0),""))</f>
        <v>564</v>
      </c>
      <c r="Q570" s="82" t="str">
        <f aca="false">IF(C570="","",B570&amp;"|"&amp;C570)</f>
        <v>MFD-ISW → MFD-CPF|JN°564</v>
      </c>
    </row>
    <row r="571" customFormat="false" ht="74.6" hidden="false" customHeight="false" outlineLevel="0" collapsed="false">
      <c r="A571" s="82" t="n">
        <f aca="false">IF(C571="","",ROW()-6)</f>
        <v>565</v>
      </c>
      <c r="B571" s="80" t="s">
        <v>110</v>
      </c>
      <c r="C571" s="113" t="s">
        <v>675</v>
      </c>
      <c r="D571" s="82" t="str">
        <f aca="false">IF(OR(C571="",P571=""),"",INDEX('CARNET DE SOUDURE'!$D$7:$D$3006,P571)&amp;"")</f>
        <v/>
      </c>
      <c r="E571" s="114" t="str">
        <f aca="false">IF(OR(C571="",P571=""),"",IF(INDEX('CARNET DE SOUDURE'!$U$7:$U$3006,P571)="","",INDEX('CARNET DE SOUDURE'!$U$7:$U$3006,P571)))</f>
        <v/>
      </c>
      <c r="F571" s="82" t="str">
        <f aca="false">IF(OR(C571="",P571=""),"",INDEX('CARNET DE SOUDURE'!$AP$7:$AP$3006,P571))</f>
        <v/>
      </c>
      <c r="G571" s="82" t="str">
        <f aca="false">IF(C571="","",IF(P571="","NJ INCONNU",INDEX('CARNET DE SOUDURE'!$AQ$7:$AQ$3006,P571)))</f>
        <v>À SOUDER</v>
      </c>
      <c r="H571" s="82" t="str">
        <f aca="false">IF(C571="","",IF(G571="ACCEPTÉ","OUI","NON"))</f>
        <v>NON</v>
      </c>
      <c r="I571" s="83"/>
      <c r="J571" s="80"/>
      <c r="K571" s="81"/>
      <c r="L571" s="81"/>
      <c r="M571" s="81"/>
      <c r="N571" s="84" t="str">
        <f aca="false">IF(C571="","",IF(P571="","NJ INCONNU",IF(I571="",IF(H571="OUI","À ENROBER",IF(G571="À SOUDER","NON SOUDÉ","EN ATTENTE RT")),IF(L571="R","À REPRENDRE",IF(H571&lt;&gt;"OUI","⚠ ENROBÉ AVANT ACCEPTATION RT","ENROBÉ")))))</f>
        <v>NON SOUDÉ</v>
      </c>
      <c r="O571" s="80"/>
      <c r="P571" s="82" t="n">
        <f aca="false">IF(C571="","",IFERROR(MATCH(Q571,'CARNET DE SOUDURE'!$AW$7:$AW$3006,0),""))</f>
        <v>565</v>
      </c>
      <c r="Q571" s="82" t="str">
        <f aca="false">IF(C571="","",B571&amp;"|"&amp;C571)</f>
        <v>MFD-ISW → MFD-CPF|JN°565</v>
      </c>
    </row>
    <row r="572" customFormat="false" ht="74.6" hidden="false" customHeight="false" outlineLevel="0" collapsed="false">
      <c r="A572" s="82" t="n">
        <f aca="false">IF(C572="","",ROW()-6)</f>
        <v>566</v>
      </c>
      <c r="B572" s="80" t="s">
        <v>110</v>
      </c>
      <c r="C572" s="113" t="s">
        <v>676</v>
      </c>
      <c r="D572" s="82" t="str">
        <f aca="false">IF(OR(C572="",P572=""),"",INDEX('CARNET DE SOUDURE'!$D$7:$D$3006,P572)&amp;"")</f>
        <v/>
      </c>
      <c r="E572" s="114" t="str">
        <f aca="false">IF(OR(C572="",P572=""),"",IF(INDEX('CARNET DE SOUDURE'!$U$7:$U$3006,P572)="","",INDEX('CARNET DE SOUDURE'!$U$7:$U$3006,P572)))</f>
        <v/>
      </c>
      <c r="F572" s="82" t="str">
        <f aca="false">IF(OR(C572="",P572=""),"",INDEX('CARNET DE SOUDURE'!$AP$7:$AP$3006,P572))</f>
        <v/>
      </c>
      <c r="G572" s="82" t="str">
        <f aca="false">IF(C572="","",IF(P572="","NJ INCONNU",INDEX('CARNET DE SOUDURE'!$AQ$7:$AQ$3006,P572)))</f>
        <v>À SOUDER</v>
      </c>
      <c r="H572" s="82" t="str">
        <f aca="false">IF(C572="","",IF(G572="ACCEPTÉ","OUI","NON"))</f>
        <v>NON</v>
      </c>
      <c r="I572" s="83"/>
      <c r="J572" s="80"/>
      <c r="K572" s="81"/>
      <c r="L572" s="81"/>
      <c r="M572" s="81"/>
      <c r="N572" s="84" t="str">
        <f aca="false">IF(C572="","",IF(P572="","NJ INCONNU",IF(I572="",IF(H572="OUI","À ENROBER",IF(G572="À SOUDER","NON SOUDÉ","EN ATTENTE RT")),IF(L572="R","À REPRENDRE",IF(H572&lt;&gt;"OUI","⚠ ENROBÉ AVANT ACCEPTATION RT","ENROBÉ")))))</f>
        <v>NON SOUDÉ</v>
      </c>
      <c r="O572" s="80"/>
      <c r="P572" s="82" t="n">
        <f aca="false">IF(C572="","",IFERROR(MATCH(Q572,'CARNET DE SOUDURE'!$AW$7:$AW$3006,0),""))</f>
        <v>566</v>
      </c>
      <c r="Q572" s="82" t="str">
        <f aca="false">IF(C572="","",B572&amp;"|"&amp;C572)</f>
        <v>MFD-ISW → MFD-CPF|JN°566</v>
      </c>
    </row>
    <row r="573" customFormat="false" ht="74.6" hidden="false" customHeight="false" outlineLevel="0" collapsed="false">
      <c r="A573" s="82" t="n">
        <f aca="false">IF(C573="","",ROW()-6)</f>
        <v>567</v>
      </c>
      <c r="B573" s="80" t="s">
        <v>110</v>
      </c>
      <c r="C573" s="113" t="s">
        <v>677</v>
      </c>
      <c r="D573" s="82" t="str">
        <f aca="false">IF(OR(C573="",P573=""),"",INDEX('CARNET DE SOUDURE'!$D$7:$D$3006,P573)&amp;"")</f>
        <v/>
      </c>
      <c r="E573" s="114" t="str">
        <f aca="false">IF(OR(C573="",P573=""),"",IF(INDEX('CARNET DE SOUDURE'!$U$7:$U$3006,P573)="","",INDEX('CARNET DE SOUDURE'!$U$7:$U$3006,P573)))</f>
        <v/>
      </c>
      <c r="F573" s="82" t="str">
        <f aca="false">IF(OR(C573="",P573=""),"",INDEX('CARNET DE SOUDURE'!$AP$7:$AP$3006,P573))</f>
        <v/>
      </c>
      <c r="G573" s="82" t="str">
        <f aca="false">IF(C573="","",IF(P573="","NJ INCONNU",INDEX('CARNET DE SOUDURE'!$AQ$7:$AQ$3006,P573)))</f>
        <v>À SOUDER</v>
      </c>
      <c r="H573" s="82" t="str">
        <f aca="false">IF(C573="","",IF(G573="ACCEPTÉ","OUI","NON"))</f>
        <v>NON</v>
      </c>
      <c r="I573" s="83"/>
      <c r="J573" s="80"/>
      <c r="K573" s="81"/>
      <c r="L573" s="81"/>
      <c r="M573" s="81"/>
      <c r="N573" s="84" t="str">
        <f aca="false">IF(C573="","",IF(P573="","NJ INCONNU",IF(I573="",IF(H573="OUI","À ENROBER",IF(G573="À SOUDER","NON SOUDÉ","EN ATTENTE RT")),IF(L573="R","À REPRENDRE",IF(H573&lt;&gt;"OUI","⚠ ENROBÉ AVANT ACCEPTATION RT","ENROBÉ")))))</f>
        <v>NON SOUDÉ</v>
      </c>
      <c r="O573" s="80"/>
      <c r="P573" s="82" t="n">
        <f aca="false">IF(C573="","",IFERROR(MATCH(Q573,'CARNET DE SOUDURE'!$AW$7:$AW$3006,0),""))</f>
        <v>567</v>
      </c>
      <c r="Q573" s="82" t="str">
        <f aca="false">IF(C573="","",B573&amp;"|"&amp;C573)</f>
        <v>MFD-ISW → MFD-CPF|JN°567</v>
      </c>
    </row>
    <row r="574" customFormat="false" ht="74.6" hidden="false" customHeight="false" outlineLevel="0" collapsed="false">
      <c r="A574" s="82" t="n">
        <f aca="false">IF(C574="","",ROW()-6)</f>
        <v>568</v>
      </c>
      <c r="B574" s="80" t="s">
        <v>110</v>
      </c>
      <c r="C574" s="113" t="s">
        <v>678</v>
      </c>
      <c r="D574" s="82" t="str">
        <f aca="false">IF(OR(C574="",P574=""),"",INDEX('CARNET DE SOUDURE'!$D$7:$D$3006,P574)&amp;"")</f>
        <v/>
      </c>
      <c r="E574" s="114" t="str">
        <f aca="false">IF(OR(C574="",P574=""),"",IF(INDEX('CARNET DE SOUDURE'!$U$7:$U$3006,P574)="","",INDEX('CARNET DE SOUDURE'!$U$7:$U$3006,P574)))</f>
        <v/>
      </c>
      <c r="F574" s="82" t="str">
        <f aca="false">IF(OR(C574="",P574=""),"",INDEX('CARNET DE SOUDURE'!$AP$7:$AP$3006,P574))</f>
        <v/>
      </c>
      <c r="G574" s="82" t="str">
        <f aca="false">IF(C574="","",IF(P574="","NJ INCONNU",INDEX('CARNET DE SOUDURE'!$AQ$7:$AQ$3006,P574)))</f>
        <v>À SOUDER</v>
      </c>
      <c r="H574" s="82" t="str">
        <f aca="false">IF(C574="","",IF(G574="ACCEPTÉ","OUI","NON"))</f>
        <v>NON</v>
      </c>
      <c r="I574" s="83"/>
      <c r="J574" s="80"/>
      <c r="K574" s="81"/>
      <c r="L574" s="81"/>
      <c r="M574" s="81"/>
      <c r="N574" s="84" t="str">
        <f aca="false">IF(C574="","",IF(P574="","NJ INCONNU",IF(I574="",IF(H574="OUI","À ENROBER",IF(G574="À SOUDER","NON SOUDÉ","EN ATTENTE RT")),IF(L574="R","À REPRENDRE",IF(H574&lt;&gt;"OUI","⚠ ENROBÉ AVANT ACCEPTATION RT","ENROBÉ")))))</f>
        <v>NON SOUDÉ</v>
      </c>
      <c r="O574" s="80"/>
      <c r="P574" s="82" t="n">
        <f aca="false">IF(C574="","",IFERROR(MATCH(Q574,'CARNET DE SOUDURE'!$AW$7:$AW$3006,0),""))</f>
        <v>568</v>
      </c>
      <c r="Q574" s="82" t="str">
        <f aca="false">IF(C574="","",B574&amp;"|"&amp;C574)</f>
        <v>MFD-ISW → MFD-CPF|JN°568</v>
      </c>
    </row>
    <row r="575" customFormat="false" ht="74.6" hidden="false" customHeight="false" outlineLevel="0" collapsed="false">
      <c r="A575" s="82" t="n">
        <f aca="false">IF(C575="","",ROW()-6)</f>
        <v>569</v>
      </c>
      <c r="B575" s="80" t="s">
        <v>110</v>
      </c>
      <c r="C575" s="113" t="s">
        <v>679</v>
      </c>
      <c r="D575" s="82" t="str">
        <f aca="false">IF(OR(C575="",P575=""),"",INDEX('CARNET DE SOUDURE'!$D$7:$D$3006,P575)&amp;"")</f>
        <v/>
      </c>
      <c r="E575" s="114" t="str">
        <f aca="false">IF(OR(C575="",P575=""),"",IF(INDEX('CARNET DE SOUDURE'!$U$7:$U$3006,P575)="","",INDEX('CARNET DE SOUDURE'!$U$7:$U$3006,P575)))</f>
        <v/>
      </c>
      <c r="F575" s="82" t="str">
        <f aca="false">IF(OR(C575="",P575=""),"",INDEX('CARNET DE SOUDURE'!$AP$7:$AP$3006,P575))</f>
        <v/>
      </c>
      <c r="G575" s="82" t="str">
        <f aca="false">IF(C575="","",IF(P575="","NJ INCONNU",INDEX('CARNET DE SOUDURE'!$AQ$7:$AQ$3006,P575)))</f>
        <v>À SOUDER</v>
      </c>
      <c r="H575" s="82" t="str">
        <f aca="false">IF(C575="","",IF(G575="ACCEPTÉ","OUI","NON"))</f>
        <v>NON</v>
      </c>
      <c r="I575" s="83"/>
      <c r="J575" s="80"/>
      <c r="K575" s="81"/>
      <c r="L575" s="81"/>
      <c r="M575" s="81"/>
      <c r="N575" s="84" t="str">
        <f aca="false">IF(C575="","",IF(P575="","NJ INCONNU",IF(I575="",IF(H575="OUI","À ENROBER",IF(G575="À SOUDER","NON SOUDÉ","EN ATTENTE RT")),IF(L575="R","À REPRENDRE",IF(H575&lt;&gt;"OUI","⚠ ENROBÉ AVANT ACCEPTATION RT","ENROBÉ")))))</f>
        <v>NON SOUDÉ</v>
      </c>
      <c r="O575" s="80"/>
      <c r="P575" s="82" t="n">
        <f aca="false">IF(C575="","",IFERROR(MATCH(Q575,'CARNET DE SOUDURE'!$AW$7:$AW$3006,0),""))</f>
        <v>569</v>
      </c>
      <c r="Q575" s="82" t="str">
        <f aca="false">IF(C575="","",B575&amp;"|"&amp;C575)</f>
        <v>MFD-ISW → MFD-CPF|JN°569</v>
      </c>
    </row>
    <row r="576" customFormat="false" ht="74.6" hidden="false" customHeight="false" outlineLevel="0" collapsed="false">
      <c r="A576" s="82" t="n">
        <f aca="false">IF(C576="","",ROW()-6)</f>
        <v>570</v>
      </c>
      <c r="B576" s="80" t="s">
        <v>110</v>
      </c>
      <c r="C576" s="113" t="s">
        <v>680</v>
      </c>
      <c r="D576" s="82" t="str">
        <f aca="false">IF(OR(C576="",P576=""),"",INDEX('CARNET DE SOUDURE'!$D$7:$D$3006,P576)&amp;"")</f>
        <v/>
      </c>
      <c r="E576" s="114" t="str">
        <f aca="false">IF(OR(C576="",P576=""),"",IF(INDEX('CARNET DE SOUDURE'!$U$7:$U$3006,P576)="","",INDEX('CARNET DE SOUDURE'!$U$7:$U$3006,P576)))</f>
        <v/>
      </c>
      <c r="F576" s="82" t="str">
        <f aca="false">IF(OR(C576="",P576=""),"",INDEX('CARNET DE SOUDURE'!$AP$7:$AP$3006,P576))</f>
        <v/>
      </c>
      <c r="G576" s="82" t="str">
        <f aca="false">IF(C576="","",IF(P576="","NJ INCONNU",INDEX('CARNET DE SOUDURE'!$AQ$7:$AQ$3006,P576)))</f>
        <v>À SOUDER</v>
      </c>
      <c r="H576" s="82" t="str">
        <f aca="false">IF(C576="","",IF(G576="ACCEPTÉ","OUI","NON"))</f>
        <v>NON</v>
      </c>
      <c r="I576" s="83"/>
      <c r="J576" s="80"/>
      <c r="K576" s="81"/>
      <c r="L576" s="81"/>
      <c r="M576" s="81"/>
      <c r="N576" s="84" t="str">
        <f aca="false">IF(C576="","",IF(P576="","NJ INCONNU",IF(I576="",IF(H576="OUI","À ENROBER",IF(G576="À SOUDER","NON SOUDÉ","EN ATTENTE RT")),IF(L576="R","À REPRENDRE",IF(H576&lt;&gt;"OUI","⚠ ENROBÉ AVANT ACCEPTATION RT","ENROBÉ")))))</f>
        <v>NON SOUDÉ</v>
      </c>
      <c r="O576" s="80"/>
      <c r="P576" s="82" t="n">
        <f aca="false">IF(C576="","",IFERROR(MATCH(Q576,'CARNET DE SOUDURE'!$AW$7:$AW$3006,0),""))</f>
        <v>570</v>
      </c>
      <c r="Q576" s="82" t="str">
        <f aca="false">IF(C576="","",B576&amp;"|"&amp;C576)</f>
        <v>MFD-ISW → MFD-CPF|JN°570</v>
      </c>
    </row>
    <row r="577" customFormat="false" ht="74.6" hidden="false" customHeight="false" outlineLevel="0" collapsed="false">
      <c r="A577" s="82" t="n">
        <f aca="false">IF(C577="","",ROW()-6)</f>
        <v>571</v>
      </c>
      <c r="B577" s="80" t="s">
        <v>110</v>
      </c>
      <c r="C577" s="113" t="s">
        <v>681</v>
      </c>
      <c r="D577" s="82" t="str">
        <f aca="false">IF(OR(C577="",P577=""),"",INDEX('CARNET DE SOUDURE'!$D$7:$D$3006,P577)&amp;"")</f>
        <v/>
      </c>
      <c r="E577" s="114" t="str">
        <f aca="false">IF(OR(C577="",P577=""),"",IF(INDEX('CARNET DE SOUDURE'!$U$7:$U$3006,P577)="","",INDEX('CARNET DE SOUDURE'!$U$7:$U$3006,P577)))</f>
        <v/>
      </c>
      <c r="F577" s="82" t="str">
        <f aca="false">IF(OR(C577="",P577=""),"",INDEX('CARNET DE SOUDURE'!$AP$7:$AP$3006,P577))</f>
        <v/>
      </c>
      <c r="G577" s="82" t="str">
        <f aca="false">IF(C577="","",IF(P577="","NJ INCONNU",INDEX('CARNET DE SOUDURE'!$AQ$7:$AQ$3006,P577)))</f>
        <v>À SOUDER</v>
      </c>
      <c r="H577" s="82" t="str">
        <f aca="false">IF(C577="","",IF(G577="ACCEPTÉ","OUI","NON"))</f>
        <v>NON</v>
      </c>
      <c r="I577" s="83"/>
      <c r="J577" s="80"/>
      <c r="K577" s="81"/>
      <c r="L577" s="81"/>
      <c r="M577" s="81"/>
      <c r="N577" s="84" t="str">
        <f aca="false">IF(C577="","",IF(P577="","NJ INCONNU",IF(I577="",IF(H577="OUI","À ENROBER",IF(G577="À SOUDER","NON SOUDÉ","EN ATTENTE RT")),IF(L577="R","À REPRENDRE",IF(H577&lt;&gt;"OUI","⚠ ENROBÉ AVANT ACCEPTATION RT","ENROBÉ")))))</f>
        <v>NON SOUDÉ</v>
      </c>
      <c r="O577" s="80"/>
      <c r="P577" s="82" t="n">
        <f aca="false">IF(C577="","",IFERROR(MATCH(Q577,'CARNET DE SOUDURE'!$AW$7:$AW$3006,0),""))</f>
        <v>571</v>
      </c>
      <c r="Q577" s="82" t="str">
        <f aca="false">IF(C577="","",B577&amp;"|"&amp;C577)</f>
        <v>MFD-ISW → MFD-CPF|JN°571</v>
      </c>
    </row>
    <row r="578" customFormat="false" ht="74.6" hidden="false" customHeight="false" outlineLevel="0" collapsed="false">
      <c r="A578" s="82" t="n">
        <f aca="false">IF(C578="","",ROW()-6)</f>
        <v>572</v>
      </c>
      <c r="B578" s="80" t="s">
        <v>110</v>
      </c>
      <c r="C578" s="113" t="s">
        <v>682</v>
      </c>
      <c r="D578" s="82" t="str">
        <f aca="false">IF(OR(C578="",P578=""),"",INDEX('CARNET DE SOUDURE'!$D$7:$D$3006,P578)&amp;"")</f>
        <v/>
      </c>
      <c r="E578" s="114" t="str">
        <f aca="false">IF(OR(C578="",P578=""),"",IF(INDEX('CARNET DE SOUDURE'!$U$7:$U$3006,P578)="","",INDEX('CARNET DE SOUDURE'!$U$7:$U$3006,P578)))</f>
        <v/>
      </c>
      <c r="F578" s="82" t="str">
        <f aca="false">IF(OR(C578="",P578=""),"",INDEX('CARNET DE SOUDURE'!$AP$7:$AP$3006,P578))</f>
        <v/>
      </c>
      <c r="G578" s="82" t="str">
        <f aca="false">IF(C578="","",IF(P578="","NJ INCONNU",INDEX('CARNET DE SOUDURE'!$AQ$7:$AQ$3006,P578)))</f>
        <v>À SOUDER</v>
      </c>
      <c r="H578" s="82" t="str">
        <f aca="false">IF(C578="","",IF(G578="ACCEPTÉ","OUI","NON"))</f>
        <v>NON</v>
      </c>
      <c r="I578" s="83"/>
      <c r="J578" s="80"/>
      <c r="K578" s="81"/>
      <c r="L578" s="81"/>
      <c r="M578" s="81"/>
      <c r="N578" s="84" t="str">
        <f aca="false">IF(C578="","",IF(P578="","NJ INCONNU",IF(I578="",IF(H578="OUI","À ENROBER",IF(G578="À SOUDER","NON SOUDÉ","EN ATTENTE RT")),IF(L578="R","À REPRENDRE",IF(H578&lt;&gt;"OUI","⚠ ENROBÉ AVANT ACCEPTATION RT","ENROBÉ")))))</f>
        <v>NON SOUDÉ</v>
      </c>
      <c r="O578" s="80"/>
      <c r="P578" s="82" t="n">
        <f aca="false">IF(C578="","",IFERROR(MATCH(Q578,'CARNET DE SOUDURE'!$AW$7:$AW$3006,0),""))</f>
        <v>572</v>
      </c>
      <c r="Q578" s="82" t="str">
        <f aca="false">IF(C578="","",B578&amp;"|"&amp;C578)</f>
        <v>MFD-ISW → MFD-CPF|JN°572</v>
      </c>
    </row>
    <row r="579" customFormat="false" ht="74.6" hidden="false" customHeight="false" outlineLevel="0" collapsed="false">
      <c r="A579" s="82" t="n">
        <f aca="false">IF(C579="","",ROW()-6)</f>
        <v>573</v>
      </c>
      <c r="B579" s="80" t="s">
        <v>110</v>
      </c>
      <c r="C579" s="113" t="s">
        <v>683</v>
      </c>
      <c r="D579" s="82" t="str">
        <f aca="false">IF(OR(C579="",P579=""),"",INDEX('CARNET DE SOUDURE'!$D$7:$D$3006,P579)&amp;"")</f>
        <v/>
      </c>
      <c r="E579" s="114" t="str">
        <f aca="false">IF(OR(C579="",P579=""),"",IF(INDEX('CARNET DE SOUDURE'!$U$7:$U$3006,P579)="","",INDEX('CARNET DE SOUDURE'!$U$7:$U$3006,P579)))</f>
        <v/>
      </c>
      <c r="F579" s="82" t="str">
        <f aca="false">IF(OR(C579="",P579=""),"",INDEX('CARNET DE SOUDURE'!$AP$7:$AP$3006,P579))</f>
        <v/>
      </c>
      <c r="G579" s="82" t="str">
        <f aca="false">IF(C579="","",IF(P579="","NJ INCONNU",INDEX('CARNET DE SOUDURE'!$AQ$7:$AQ$3006,P579)))</f>
        <v>À SOUDER</v>
      </c>
      <c r="H579" s="82" t="str">
        <f aca="false">IF(C579="","",IF(G579="ACCEPTÉ","OUI","NON"))</f>
        <v>NON</v>
      </c>
      <c r="I579" s="83"/>
      <c r="J579" s="80"/>
      <c r="K579" s="81"/>
      <c r="L579" s="81"/>
      <c r="M579" s="81"/>
      <c r="N579" s="84" t="str">
        <f aca="false">IF(C579="","",IF(P579="","NJ INCONNU",IF(I579="",IF(H579="OUI","À ENROBER",IF(G579="À SOUDER","NON SOUDÉ","EN ATTENTE RT")),IF(L579="R","À REPRENDRE",IF(H579&lt;&gt;"OUI","⚠ ENROBÉ AVANT ACCEPTATION RT","ENROBÉ")))))</f>
        <v>NON SOUDÉ</v>
      </c>
      <c r="O579" s="80"/>
      <c r="P579" s="82" t="n">
        <f aca="false">IF(C579="","",IFERROR(MATCH(Q579,'CARNET DE SOUDURE'!$AW$7:$AW$3006,0),""))</f>
        <v>573</v>
      </c>
      <c r="Q579" s="82" t="str">
        <f aca="false">IF(C579="","",B579&amp;"|"&amp;C579)</f>
        <v>MFD-ISW → MFD-CPF|JN°573</v>
      </c>
    </row>
    <row r="580" customFormat="false" ht="74.6" hidden="false" customHeight="false" outlineLevel="0" collapsed="false">
      <c r="A580" s="82" t="n">
        <f aca="false">IF(C580="","",ROW()-6)</f>
        <v>574</v>
      </c>
      <c r="B580" s="80" t="s">
        <v>110</v>
      </c>
      <c r="C580" s="113" t="s">
        <v>684</v>
      </c>
      <c r="D580" s="82" t="str">
        <f aca="false">IF(OR(C580="",P580=""),"",INDEX('CARNET DE SOUDURE'!$D$7:$D$3006,P580)&amp;"")</f>
        <v/>
      </c>
      <c r="E580" s="114" t="str">
        <f aca="false">IF(OR(C580="",P580=""),"",IF(INDEX('CARNET DE SOUDURE'!$U$7:$U$3006,P580)="","",INDEX('CARNET DE SOUDURE'!$U$7:$U$3006,P580)))</f>
        <v/>
      </c>
      <c r="F580" s="82" t="str">
        <f aca="false">IF(OR(C580="",P580=""),"",INDEX('CARNET DE SOUDURE'!$AP$7:$AP$3006,P580))</f>
        <v/>
      </c>
      <c r="G580" s="82" t="str">
        <f aca="false">IF(C580="","",IF(P580="","NJ INCONNU",INDEX('CARNET DE SOUDURE'!$AQ$7:$AQ$3006,P580)))</f>
        <v>À SOUDER</v>
      </c>
      <c r="H580" s="82" t="str">
        <f aca="false">IF(C580="","",IF(G580="ACCEPTÉ","OUI","NON"))</f>
        <v>NON</v>
      </c>
      <c r="I580" s="83"/>
      <c r="J580" s="80"/>
      <c r="K580" s="81"/>
      <c r="L580" s="81"/>
      <c r="M580" s="81"/>
      <c r="N580" s="84" t="str">
        <f aca="false">IF(C580="","",IF(P580="","NJ INCONNU",IF(I580="",IF(H580="OUI","À ENROBER",IF(G580="À SOUDER","NON SOUDÉ","EN ATTENTE RT")),IF(L580="R","À REPRENDRE",IF(H580&lt;&gt;"OUI","⚠ ENROBÉ AVANT ACCEPTATION RT","ENROBÉ")))))</f>
        <v>NON SOUDÉ</v>
      </c>
      <c r="O580" s="80"/>
      <c r="P580" s="82" t="n">
        <f aca="false">IF(C580="","",IFERROR(MATCH(Q580,'CARNET DE SOUDURE'!$AW$7:$AW$3006,0),""))</f>
        <v>574</v>
      </c>
      <c r="Q580" s="82" t="str">
        <f aca="false">IF(C580="","",B580&amp;"|"&amp;C580)</f>
        <v>MFD-ISW → MFD-CPF|JN°574</v>
      </c>
    </row>
    <row r="581" customFormat="false" ht="74.6" hidden="false" customHeight="false" outlineLevel="0" collapsed="false">
      <c r="A581" s="82" t="n">
        <f aca="false">IF(C581="","",ROW()-6)</f>
        <v>575</v>
      </c>
      <c r="B581" s="80" t="s">
        <v>110</v>
      </c>
      <c r="C581" s="113" t="s">
        <v>685</v>
      </c>
      <c r="D581" s="82" t="str">
        <f aca="false">IF(OR(C581="",P581=""),"",INDEX('CARNET DE SOUDURE'!$D$7:$D$3006,P581)&amp;"")</f>
        <v/>
      </c>
      <c r="E581" s="114" t="str">
        <f aca="false">IF(OR(C581="",P581=""),"",IF(INDEX('CARNET DE SOUDURE'!$U$7:$U$3006,P581)="","",INDEX('CARNET DE SOUDURE'!$U$7:$U$3006,P581)))</f>
        <v/>
      </c>
      <c r="F581" s="82" t="str">
        <f aca="false">IF(OR(C581="",P581=""),"",INDEX('CARNET DE SOUDURE'!$AP$7:$AP$3006,P581))</f>
        <v/>
      </c>
      <c r="G581" s="82" t="str">
        <f aca="false">IF(C581="","",IF(P581="","NJ INCONNU",INDEX('CARNET DE SOUDURE'!$AQ$7:$AQ$3006,P581)))</f>
        <v>À SOUDER</v>
      </c>
      <c r="H581" s="82" t="str">
        <f aca="false">IF(C581="","",IF(G581="ACCEPTÉ","OUI","NON"))</f>
        <v>NON</v>
      </c>
      <c r="I581" s="83"/>
      <c r="J581" s="80"/>
      <c r="K581" s="81"/>
      <c r="L581" s="81"/>
      <c r="M581" s="81"/>
      <c r="N581" s="84" t="str">
        <f aca="false">IF(C581="","",IF(P581="","NJ INCONNU",IF(I581="",IF(H581="OUI","À ENROBER",IF(G581="À SOUDER","NON SOUDÉ","EN ATTENTE RT")),IF(L581="R","À REPRENDRE",IF(H581&lt;&gt;"OUI","⚠ ENROBÉ AVANT ACCEPTATION RT","ENROBÉ")))))</f>
        <v>NON SOUDÉ</v>
      </c>
      <c r="O581" s="80"/>
      <c r="P581" s="82" t="n">
        <f aca="false">IF(C581="","",IFERROR(MATCH(Q581,'CARNET DE SOUDURE'!$AW$7:$AW$3006,0),""))</f>
        <v>575</v>
      </c>
      <c r="Q581" s="82" t="str">
        <f aca="false">IF(C581="","",B581&amp;"|"&amp;C581)</f>
        <v>MFD-ISW → MFD-CPF|JN°575</v>
      </c>
    </row>
    <row r="582" customFormat="false" ht="74.6" hidden="false" customHeight="false" outlineLevel="0" collapsed="false">
      <c r="A582" s="82" t="n">
        <f aca="false">IF(C582="","",ROW()-6)</f>
        <v>576</v>
      </c>
      <c r="B582" s="80" t="s">
        <v>110</v>
      </c>
      <c r="C582" s="113" t="s">
        <v>686</v>
      </c>
      <c r="D582" s="82" t="str">
        <f aca="false">IF(OR(C582="",P582=""),"",INDEX('CARNET DE SOUDURE'!$D$7:$D$3006,P582)&amp;"")</f>
        <v/>
      </c>
      <c r="E582" s="114" t="str">
        <f aca="false">IF(OR(C582="",P582=""),"",IF(INDEX('CARNET DE SOUDURE'!$U$7:$U$3006,P582)="","",INDEX('CARNET DE SOUDURE'!$U$7:$U$3006,P582)))</f>
        <v/>
      </c>
      <c r="F582" s="82" t="str">
        <f aca="false">IF(OR(C582="",P582=""),"",INDEX('CARNET DE SOUDURE'!$AP$7:$AP$3006,P582))</f>
        <v/>
      </c>
      <c r="G582" s="82" t="str">
        <f aca="false">IF(C582="","",IF(P582="","NJ INCONNU",INDEX('CARNET DE SOUDURE'!$AQ$7:$AQ$3006,P582)))</f>
        <v>À SOUDER</v>
      </c>
      <c r="H582" s="82" t="str">
        <f aca="false">IF(C582="","",IF(G582="ACCEPTÉ","OUI","NON"))</f>
        <v>NON</v>
      </c>
      <c r="I582" s="83"/>
      <c r="J582" s="80"/>
      <c r="K582" s="81"/>
      <c r="L582" s="81"/>
      <c r="M582" s="81"/>
      <c r="N582" s="84" t="str">
        <f aca="false">IF(C582="","",IF(P582="","NJ INCONNU",IF(I582="",IF(H582="OUI","À ENROBER",IF(G582="À SOUDER","NON SOUDÉ","EN ATTENTE RT")),IF(L582="R","À REPRENDRE",IF(H582&lt;&gt;"OUI","⚠ ENROBÉ AVANT ACCEPTATION RT","ENROBÉ")))))</f>
        <v>NON SOUDÉ</v>
      </c>
      <c r="O582" s="80"/>
      <c r="P582" s="82" t="n">
        <f aca="false">IF(C582="","",IFERROR(MATCH(Q582,'CARNET DE SOUDURE'!$AW$7:$AW$3006,0),""))</f>
        <v>576</v>
      </c>
      <c r="Q582" s="82" t="str">
        <f aca="false">IF(C582="","",B582&amp;"|"&amp;C582)</f>
        <v>MFD-ISW → MFD-CPF|JN°576</v>
      </c>
    </row>
    <row r="583" customFormat="false" ht="74.6" hidden="false" customHeight="false" outlineLevel="0" collapsed="false">
      <c r="A583" s="82" t="n">
        <f aca="false">IF(C583="","",ROW()-6)</f>
        <v>577</v>
      </c>
      <c r="B583" s="80" t="s">
        <v>110</v>
      </c>
      <c r="C583" s="113" t="s">
        <v>687</v>
      </c>
      <c r="D583" s="82" t="str">
        <f aca="false">IF(OR(C583="",P583=""),"",INDEX('CARNET DE SOUDURE'!$D$7:$D$3006,P583)&amp;"")</f>
        <v/>
      </c>
      <c r="E583" s="114" t="str">
        <f aca="false">IF(OR(C583="",P583=""),"",IF(INDEX('CARNET DE SOUDURE'!$U$7:$U$3006,P583)="","",INDEX('CARNET DE SOUDURE'!$U$7:$U$3006,P583)))</f>
        <v/>
      </c>
      <c r="F583" s="82" t="str">
        <f aca="false">IF(OR(C583="",P583=""),"",INDEX('CARNET DE SOUDURE'!$AP$7:$AP$3006,P583))</f>
        <v/>
      </c>
      <c r="G583" s="82" t="str">
        <f aca="false">IF(C583="","",IF(P583="","NJ INCONNU",INDEX('CARNET DE SOUDURE'!$AQ$7:$AQ$3006,P583)))</f>
        <v>À SOUDER</v>
      </c>
      <c r="H583" s="82" t="str">
        <f aca="false">IF(C583="","",IF(G583="ACCEPTÉ","OUI","NON"))</f>
        <v>NON</v>
      </c>
      <c r="I583" s="83"/>
      <c r="J583" s="80"/>
      <c r="K583" s="81"/>
      <c r="L583" s="81"/>
      <c r="M583" s="81"/>
      <c r="N583" s="84" t="str">
        <f aca="false">IF(C583="","",IF(P583="","NJ INCONNU",IF(I583="",IF(H583="OUI","À ENROBER",IF(G583="À SOUDER","NON SOUDÉ","EN ATTENTE RT")),IF(L583="R","À REPRENDRE",IF(H583&lt;&gt;"OUI","⚠ ENROBÉ AVANT ACCEPTATION RT","ENROBÉ")))))</f>
        <v>NON SOUDÉ</v>
      </c>
      <c r="O583" s="80"/>
      <c r="P583" s="82" t="n">
        <f aca="false">IF(C583="","",IFERROR(MATCH(Q583,'CARNET DE SOUDURE'!$AW$7:$AW$3006,0),""))</f>
        <v>577</v>
      </c>
      <c r="Q583" s="82" t="str">
        <f aca="false">IF(C583="","",B583&amp;"|"&amp;C583)</f>
        <v>MFD-ISW → MFD-CPF|JN°577</v>
      </c>
    </row>
    <row r="584" customFormat="false" ht="74.6" hidden="false" customHeight="false" outlineLevel="0" collapsed="false">
      <c r="A584" s="82" t="n">
        <f aca="false">IF(C584="","",ROW()-6)</f>
        <v>578</v>
      </c>
      <c r="B584" s="80" t="s">
        <v>110</v>
      </c>
      <c r="C584" s="113" t="s">
        <v>688</v>
      </c>
      <c r="D584" s="82" t="str">
        <f aca="false">IF(OR(C584="",P584=""),"",INDEX('CARNET DE SOUDURE'!$D$7:$D$3006,P584)&amp;"")</f>
        <v/>
      </c>
      <c r="E584" s="114" t="str">
        <f aca="false">IF(OR(C584="",P584=""),"",IF(INDEX('CARNET DE SOUDURE'!$U$7:$U$3006,P584)="","",INDEX('CARNET DE SOUDURE'!$U$7:$U$3006,P584)))</f>
        <v/>
      </c>
      <c r="F584" s="82" t="str">
        <f aca="false">IF(OR(C584="",P584=""),"",INDEX('CARNET DE SOUDURE'!$AP$7:$AP$3006,P584))</f>
        <v/>
      </c>
      <c r="G584" s="82" t="str">
        <f aca="false">IF(C584="","",IF(P584="","NJ INCONNU",INDEX('CARNET DE SOUDURE'!$AQ$7:$AQ$3006,P584)))</f>
        <v>À SOUDER</v>
      </c>
      <c r="H584" s="82" t="str">
        <f aca="false">IF(C584="","",IF(G584="ACCEPTÉ","OUI","NON"))</f>
        <v>NON</v>
      </c>
      <c r="I584" s="83"/>
      <c r="J584" s="80"/>
      <c r="K584" s="81"/>
      <c r="L584" s="81"/>
      <c r="M584" s="81"/>
      <c r="N584" s="84" t="str">
        <f aca="false">IF(C584="","",IF(P584="","NJ INCONNU",IF(I584="",IF(H584="OUI","À ENROBER",IF(G584="À SOUDER","NON SOUDÉ","EN ATTENTE RT")),IF(L584="R","À REPRENDRE",IF(H584&lt;&gt;"OUI","⚠ ENROBÉ AVANT ACCEPTATION RT","ENROBÉ")))))</f>
        <v>NON SOUDÉ</v>
      </c>
      <c r="O584" s="80"/>
      <c r="P584" s="82" t="n">
        <f aca="false">IF(C584="","",IFERROR(MATCH(Q584,'CARNET DE SOUDURE'!$AW$7:$AW$3006,0),""))</f>
        <v>578</v>
      </c>
      <c r="Q584" s="82" t="str">
        <f aca="false">IF(C584="","",B584&amp;"|"&amp;C584)</f>
        <v>MFD-ISW → MFD-CPF|JN°578</v>
      </c>
    </row>
    <row r="585" customFormat="false" ht="74.6" hidden="false" customHeight="false" outlineLevel="0" collapsed="false">
      <c r="A585" s="82" t="n">
        <f aca="false">IF(C585="","",ROW()-6)</f>
        <v>579</v>
      </c>
      <c r="B585" s="80" t="s">
        <v>110</v>
      </c>
      <c r="C585" s="113" t="s">
        <v>689</v>
      </c>
      <c r="D585" s="82" t="str">
        <f aca="false">IF(OR(C585="",P585=""),"",INDEX('CARNET DE SOUDURE'!$D$7:$D$3006,P585)&amp;"")</f>
        <v/>
      </c>
      <c r="E585" s="114" t="str">
        <f aca="false">IF(OR(C585="",P585=""),"",IF(INDEX('CARNET DE SOUDURE'!$U$7:$U$3006,P585)="","",INDEX('CARNET DE SOUDURE'!$U$7:$U$3006,P585)))</f>
        <v/>
      </c>
      <c r="F585" s="82" t="str">
        <f aca="false">IF(OR(C585="",P585=""),"",INDEX('CARNET DE SOUDURE'!$AP$7:$AP$3006,P585))</f>
        <v/>
      </c>
      <c r="G585" s="82" t="str">
        <f aca="false">IF(C585="","",IF(P585="","NJ INCONNU",INDEX('CARNET DE SOUDURE'!$AQ$7:$AQ$3006,P585)))</f>
        <v>À SOUDER</v>
      </c>
      <c r="H585" s="82" t="str">
        <f aca="false">IF(C585="","",IF(G585="ACCEPTÉ","OUI","NON"))</f>
        <v>NON</v>
      </c>
      <c r="I585" s="83"/>
      <c r="J585" s="80"/>
      <c r="K585" s="81"/>
      <c r="L585" s="81"/>
      <c r="M585" s="81"/>
      <c r="N585" s="84" t="str">
        <f aca="false">IF(C585="","",IF(P585="","NJ INCONNU",IF(I585="",IF(H585="OUI","À ENROBER",IF(G585="À SOUDER","NON SOUDÉ","EN ATTENTE RT")),IF(L585="R","À REPRENDRE",IF(H585&lt;&gt;"OUI","⚠ ENROBÉ AVANT ACCEPTATION RT","ENROBÉ")))))</f>
        <v>NON SOUDÉ</v>
      </c>
      <c r="O585" s="80"/>
      <c r="P585" s="82" t="n">
        <f aca="false">IF(C585="","",IFERROR(MATCH(Q585,'CARNET DE SOUDURE'!$AW$7:$AW$3006,0),""))</f>
        <v>579</v>
      </c>
      <c r="Q585" s="82" t="str">
        <f aca="false">IF(C585="","",B585&amp;"|"&amp;C585)</f>
        <v>MFD-ISW → MFD-CPF|JN°579</v>
      </c>
    </row>
    <row r="586" customFormat="false" ht="74.6" hidden="false" customHeight="false" outlineLevel="0" collapsed="false">
      <c r="A586" s="82" t="n">
        <f aca="false">IF(C586="","",ROW()-6)</f>
        <v>580</v>
      </c>
      <c r="B586" s="80" t="s">
        <v>110</v>
      </c>
      <c r="C586" s="113" t="s">
        <v>690</v>
      </c>
      <c r="D586" s="82" t="str">
        <f aca="false">IF(OR(C586="",P586=""),"",INDEX('CARNET DE SOUDURE'!$D$7:$D$3006,P586)&amp;"")</f>
        <v/>
      </c>
      <c r="E586" s="114" t="str">
        <f aca="false">IF(OR(C586="",P586=""),"",IF(INDEX('CARNET DE SOUDURE'!$U$7:$U$3006,P586)="","",INDEX('CARNET DE SOUDURE'!$U$7:$U$3006,P586)))</f>
        <v/>
      </c>
      <c r="F586" s="82" t="str">
        <f aca="false">IF(OR(C586="",P586=""),"",INDEX('CARNET DE SOUDURE'!$AP$7:$AP$3006,P586))</f>
        <v/>
      </c>
      <c r="G586" s="82" t="str">
        <f aca="false">IF(C586="","",IF(P586="","NJ INCONNU",INDEX('CARNET DE SOUDURE'!$AQ$7:$AQ$3006,P586)))</f>
        <v>À SOUDER</v>
      </c>
      <c r="H586" s="82" t="str">
        <f aca="false">IF(C586="","",IF(G586="ACCEPTÉ","OUI","NON"))</f>
        <v>NON</v>
      </c>
      <c r="I586" s="83"/>
      <c r="J586" s="80"/>
      <c r="K586" s="81"/>
      <c r="L586" s="81"/>
      <c r="M586" s="81"/>
      <c r="N586" s="84" t="str">
        <f aca="false">IF(C586="","",IF(P586="","NJ INCONNU",IF(I586="",IF(H586="OUI","À ENROBER",IF(G586="À SOUDER","NON SOUDÉ","EN ATTENTE RT")),IF(L586="R","À REPRENDRE",IF(H586&lt;&gt;"OUI","⚠ ENROBÉ AVANT ACCEPTATION RT","ENROBÉ")))))</f>
        <v>NON SOUDÉ</v>
      </c>
      <c r="O586" s="80"/>
      <c r="P586" s="82" t="n">
        <f aca="false">IF(C586="","",IFERROR(MATCH(Q586,'CARNET DE SOUDURE'!$AW$7:$AW$3006,0),""))</f>
        <v>580</v>
      </c>
      <c r="Q586" s="82" t="str">
        <f aca="false">IF(C586="","",B586&amp;"|"&amp;C586)</f>
        <v>MFD-ISW → MFD-CPF|JN°580</v>
      </c>
    </row>
    <row r="587" customFormat="false" ht="74.6" hidden="false" customHeight="false" outlineLevel="0" collapsed="false">
      <c r="A587" s="82" t="n">
        <f aca="false">IF(C587="","",ROW()-6)</f>
        <v>581</v>
      </c>
      <c r="B587" s="80" t="s">
        <v>110</v>
      </c>
      <c r="C587" s="113" t="s">
        <v>691</v>
      </c>
      <c r="D587" s="82" t="str">
        <f aca="false">IF(OR(C587="",P587=""),"",INDEX('CARNET DE SOUDURE'!$D$7:$D$3006,P587)&amp;"")</f>
        <v/>
      </c>
      <c r="E587" s="114" t="str">
        <f aca="false">IF(OR(C587="",P587=""),"",IF(INDEX('CARNET DE SOUDURE'!$U$7:$U$3006,P587)="","",INDEX('CARNET DE SOUDURE'!$U$7:$U$3006,P587)))</f>
        <v/>
      </c>
      <c r="F587" s="82" t="str">
        <f aca="false">IF(OR(C587="",P587=""),"",INDEX('CARNET DE SOUDURE'!$AP$7:$AP$3006,P587))</f>
        <v/>
      </c>
      <c r="G587" s="82" t="str">
        <f aca="false">IF(C587="","",IF(P587="","NJ INCONNU",INDEX('CARNET DE SOUDURE'!$AQ$7:$AQ$3006,P587)))</f>
        <v>À SOUDER</v>
      </c>
      <c r="H587" s="82" t="str">
        <f aca="false">IF(C587="","",IF(G587="ACCEPTÉ","OUI","NON"))</f>
        <v>NON</v>
      </c>
      <c r="I587" s="83"/>
      <c r="J587" s="80"/>
      <c r="K587" s="81"/>
      <c r="L587" s="81"/>
      <c r="M587" s="81"/>
      <c r="N587" s="84" t="str">
        <f aca="false">IF(C587="","",IF(P587="","NJ INCONNU",IF(I587="",IF(H587="OUI","À ENROBER",IF(G587="À SOUDER","NON SOUDÉ","EN ATTENTE RT")),IF(L587="R","À REPRENDRE",IF(H587&lt;&gt;"OUI","⚠ ENROBÉ AVANT ACCEPTATION RT","ENROBÉ")))))</f>
        <v>NON SOUDÉ</v>
      </c>
      <c r="O587" s="80"/>
      <c r="P587" s="82" t="n">
        <f aca="false">IF(C587="","",IFERROR(MATCH(Q587,'CARNET DE SOUDURE'!$AW$7:$AW$3006,0),""))</f>
        <v>581</v>
      </c>
      <c r="Q587" s="82" t="str">
        <f aca="false">IF(C587="","",B587&amp;"|"&amp;C587)</f>
        <v>MFD-ISW → MFD-CPF|JN°581</v>
      </c>
    </row>
    <row r="588" customFormat="false" ht="74.6" hidden="false" customHeight="false" outlineLevel="0" collapsed="false">
      <c r="A588" s="82" t="n">
        <f aca="false">IF(C588="","",ROW()-6)</f>
        <v>582</v>
      </c>
      <c r="B588" s="80" t="s">
        <v>110</v>
      </c>
      <c r="C588" s="113" t="s">
        <v>692</v>
      </c>
      <c r="D588" s="82" t="str">
        <f aca="false">IF(OR(C588="",P588=""),"",INDEX('CARNET DE SOUDURE'!$D$7:$D$3006,P588)&amp;"")</f>
        <v/>
      </c>
      <c r="E588" s="114" t="str">
        <f aca="false">IF(OR(C588="",P588=""),"",IF(INDEX('CARNET DE SOUDURE'!$U$7:$U$3006,P588)="","",INDEX('CARNET DE SOUDURE'!$U$7:$U$3006,P588)))</f>
        <v/>
      </c>
      <c r="F588" s="82" t="str">
        <f aca="false">IF(OR(C588="",P588=""),"",INDEX('CARNET DE SOUDURE'!$AP$7:$AP$3006,P588))</f>
        <v/>
      </c>
      <c r="G588" s="82" t="str">
        <f aca="false">IF(C588="","",IF(P588="","NJ INCONNU",INDEX('CARNET DE SOUDURE'!$AQ$7:$AQ$3006,P588)))</f>
        <v>À SOUDER</v>
      </c>
      <c r="H588" s="82" t="str">
        <f aca="false">IF(C588="","",IF(G588="ACCEPTÉ","OUI","NON"))</f>
        <v>NON</v>
      </c>
      <c r="I588" s="83"/>
      <c r="J588" s="80"/>
      <c r="K588" s="81"/>
      <c r="L588" s="81"/>
      <c r="M588" s="81"/>
      <c r="N588" s="84" t="str">
        <f aca="false">IF(C588="","",IF(P588="","NJ INCONNU",IF(I588="",IF(H588="OUI","À ENROBER",IF(G588="À SOUDER","NON SOUDÉ","EN ATTENTE RT")),IF(L588="R","À REPRENDRE",IF(H588&lt;&gt;"OUI","⚠ ENROBÉ AVANT ACCEPTATION RT","ENROBÉ")))))</f>
        <v>NON SOUDÉ</v>
      </c>
      <c r="O588" s="80"/>
      <c r="P588" s="82" t="n">
        <f aca="false">IF(C588="","",IFERROR(MATCH(Q588,'CARNET DE SOUDURE'!$AW$7:$AW$3006,0),""))</f>
        <v>582</v>
      </c>
      <c r="Q588" s="82" t="str">
        <f aca="false">IF(C588="","",B588&amp;"|"&amp;C588)</f>
        <v>MFD-ISW → MFD-CPF|JN°582</v>
      </c>
    </row>
    <row r="589" customFormat="false" ht="74.6" hidden="false" customHeight="false" outlineLevel="0" collapsed="false">
      <c r="A589" s="82" t="n">
        <f aca="false">IF(C589="","",ROW()-6)</f>
        <v>583</v>
      </c>
      <c r="B589" s="80" t="s">
        <v>110</v>
      </c>
      <c r="C589" s="113" t="s">
        <v>693</v>
      </c>
      <c r="D589" s="82" t="str">
        <f aca="false">IF(OR(C589="",P589=""),"",INDEX('CARNET DE SOUDURE'!$D$7:$D$3006,P589)&amp;"")</f>
        <v/>
      </c>
      <c r="E589" s="114" t="str">
        <f aca="false">IF(OR(C589="",P589=""),"",IF(INDEX('CARNET DE SOUDURE'!$U$7:$U$3006,P589)="","",INDEX('CARNET DE SOUDURE'!$U$7:$U$3006,P589)))</f>
        <v/>
      </c>
      <c r="F589" s="82" t="str">
        <f aca="false">IF(OR(C589="",P589=""),"",INDEX('CARNET DE SOUDURE'!$AP$7:$AP$3006,P589))</f>
        <v/>
      </c>
      <c r="G589" s="82" t="str">
        <f aca="false">IF(C589="","",IF(P589="","NJ INCONNU",INDEX('CARNET DE SOUDURE'!$AQ$7:$AQ$3006,P589)))</f>
        <v>À SOUDER</v>
      </c>
      <c r="H589" s="82" t="str">
        <f aca="false">IF(C589="","",IF(G589="ACCEPTÉ","OUI","NON"))</f>
        <v>NON</v>
      </c>
      <c r="I589" s="83"/>
      <c r="J589" s="80"/>
      <c r="K589" s="81"/>
      <c r="L589" s="81"/>
      <c r="M589" s="81"/>
      <c r="N589" s="84" t="str">
        <f aca="false">IF(C589="","",IF(P589="","NJ INCONNU",IF(I589="",IF(H589="OUI","À ENROBER",IF(G589="À SOUDER","NON SOUDÉ","EN ATTENTE RT")),IF(L589="R","À REPRENDRE",IF(H589&lt;&gt;"OUI","⚠ ENROBÉ AVANT ACCEPTATION RT","ENROBÉ")))))</f>
        <v>NON SOUDÉ</v>
      </c>
      <c r="O589" s="80"/>
      <c r="P589" s="82" t="n">
        <f aca="false">IF(C589="","",IFERROR(MATCH(Q589,'CARNET DE SOUDURE'!$AW$7:$AW$3006,0),""))</f>
        <v>583</v>
      </c>
      <c r="Q589" s="82" t="str">
        <f aca="false">IF(C589="","",B589&amp;"|"&amp;C589)</f>
        <v>MFD-ISW → MFD-CPF|JN°583</v>
      </c>
    </row>
    <row r="590" customFormat="false" ht="74.6" hidden="false" customHeight="false" outlineLevel="0" collapsed="false">
      <c r="A590" s="82" t="n">
        <f aca="false">IF(C590="","",ROW()-6)</f>
        <v>584</v>
      </c>
      <c r="B590" s="80" t="s">
        <v>110</v>
      </c>
      <c r="C590" s="113" t="s">
        <v>694</v>
      </c>
      <c r="D590" s="82" t="str">
        <f aca="false">IF(OR(C590="",P590=""),"",INDEX('CARNET DE SOUDURE'!$D$7:$D$3006,P590)&amp;"")</f>
        <v/>
      </c>
      <c r="E590" s="114" t="str">
        <f aca="false">IF(OR(C590="",P590=""),"",IF(INDEX('CARNET DE SOUDURE'!$U$7:$U$3006,P590)="","",INDEX('CARNET DE SOUDURE'!$U$7:$U$3006,P590)))</f>
        <v/>
      </c>
      <c r="F590" s="82" t="str">
        <f aca="false">IF(OR(C590="",P590=""),"",INDEX('CARNET DE SOUDURE'!$AP$7:$AP$3006,P590))</f>
        <v/>
      </c>
      <c r="G590" s="82" t="str">
        <f aca="false">IF(C590="","",IF(P590="","NJ INCONNU",INDEX('CARNET DE SOUDURE'!$AQ$7:$AQ$3006,P590)))</f>
        <v>À SOUDER</v>
      </c>
      <c r="H590" s="82" t="str">
        <f aca="false">IF(C590="","",IF(G590="ACCEPTÉ","OUI","NON"))</f>
        <v>NON</v>
      </c>
      <c r="I590" s="83"/>
      <c r="J590" s="80"/>
      <c r="K590" s="81"/>
      <c r="L590" s="81"/>
      <c r="M590" s="81"/>
      <c r="N590" s="84" t="str">
        <f aca="false">IF(C590="","",IF(P590="","NJ INCONNU",IF(I590="",IF(H590="OUI","À ENROBER",IF(G590="À SOUDER","NON SOUDÉ","EN ATTENTE RT")),IF(L590="R","À REPRENDRE",IF(H590&lt;&gt;"OUI","⚠ ENROBÉ AVANT ACCEPTATION RT","ENROBÉ")))))</f>
        <v>NON SOUDÉ</v>
      </c>
      <c r="O590" s="80"/>
      <c r="P590" s="82" t="n">
        <f aca="false">IF(C590="","",IFERROR(MATCH(Q590,'CARNET DE SOUDURE'!$AW$7:$AW$3006,0),""))</f>
        <v>584</v>
      </c>
      <c r="Q590" s="82" t="str">
        <f aca="false">IF(C590="","",B590&amp;"|"&amp;C590)</f>
        <v>MFD-ISW → MFD-CPF|JN°584</v>
      </c>
    </row>
    <row r="591" customFormat="false" ht="74.6" hidden="false" customHeight="false" outlineLevel="0" collapsed="false">
      <c r="A591" s="82" t="n">
        <f aca="false">IF(C591="","",ROW()-6)</f>
        <v>585</v>
      </c>
      <c r="B591" s="80" t="s">
        <v>110</v>
      </c>
      <c r="C591" s="113" t="s">
        <v>695</v>
      </c>
      <c r="D591" s="82" t="str">
        <f aca="false">IF(OR(C591="",P591=""),"",INDEX('CARNET DE SOUDURE'!$D$7:$D$3006,P591)&amp;"")</f>
        <v/>
      </c>
      <c r="E591" s="114" t="str">
        <f aca="false">IF(OR(C591="",P591=""),"",IF(INDEX('CARNET DE SOUDURE'!$U$7:$U$3006,P591)="","",INDEX('CARNET DE SOUDURE'!$U$7:$U$3006,P591)))</f>
        <v/>
      </c>
      <c r="F591" s="82" t="str">
        <f aca="false">IF(OR(C591="",P591=""),"",INDEX('CARNET DE SOUDURE'!$AP$7:$AP$3006,P591))</f>
        <v/>
      </c>
      <c r="G591" s="82" t="str">
        <f aca="false">IF(C591="","",IF(P591="","NJ INCONNU",INDEX('CARNET DE SOUDURE'!$AQ$7:$AQ$3006,P591)))</f>
        <v>À SOUDER</v>
      </c>
      <c r="H591" s="82" t="str">
        <f aca="false">IF(C591="","",IF(G591="ACCEPTÉ","OUI","NON"))</f>
        <v>NON</v>
      </c>
      <c r="I591" s="83"/>
      <c r="J591" s="80"/>
      <c r="K591" s="81"/>
      <c r="L591" s="81"/>
      <c r="M591" s="81"/>
      <c r="N591" s="84" t="str">
        <f aca="false">IF(C591="","",IF(P591="","NJ INCONNU",IF(I591="",IF(H591="OUI","À ENROBER",IF(G591="À SOUDER","NON SOUDÉ","EN ATTENTE RT")),IF(L591="R","À REPRENDRE",IF(H591&lt;&gt;"OUI","⚠ ENROBÉ AVANT ACCEPTATION RT","ENROBÉ")))))</f>
        <v>NON SOUDÉ</v>
      </c>
      <c r="O591" s="80"/>
      <c r="P591" s="82" t="n">
        <f aca="false">IF(C591="","",IFERROR(MATCH(Q591,'CARNET DE SOUDURE'!$AW$7:$AW$3006,0),""))</f>
        <v>585</v>
      </c>
      <c r="Q591" s="82" t="str">
        <f aca="false">IF(C591="","",B591&amp;"|"&amp;C591)</f>
        <v>MFD-ISW → MFD-CPF|JN°585</v>
      </c>
    </row>
    <row r="592" customFormat="false" ht="74.6" hidden="false" customHeight="false" outlineLevel="0" collapsed="false">
      <c r="A592" s="82" t="n">
        <f aca="false">IF(C592="","",ROW()-6)</f>
        <v>586</v>
      </c>
      <c r="B592" s="80" t="s">
        <v>110</v>
      </c>
      <c r="C592" s="113" t="s">
        <v>696</v>
      </c>
      <c r="D592" s="82" t="str">
        <f aca="false">IF(OR(C592="",P592=""),"",INDEX('CARNET DE SOUDURE'!$D$7:$D$3006,P592)&amp;"")</f>
        <v/>
      </c>
      <c r="E592" s="114" t="str">
        <f aca="false">IF(OR(C592="",P592=""),"",IF(INDEX('CARNET DE SOUDURE'!$U$7:$U$3006,P592)="","",INDEX('CARNET DE SOUDURE'!$U$7:$U$3006,P592)))</f>
        <v/>
      </c>
      <c r="F592" s="82" t="str">
        <f aca="false">IF(OR(C592="",P592=""),"",INDEX('CARNET DE SOUDURE'!$AP$7:$AP$3006,P592))</f>
        <v/>
      </c>
      <c r="G592" s="82" t="str">
        <f aca="false">IF(C592="","",IF(P592="","NJ INCONNU",INDEX('CARNET DE SOUDURE'!$AQ$7:$AQ$3006,P592)))</f>
        <v>À SOUDER</v>
      </c>
      <c r="H592" s="82" t="str">
        <f aca="false">IF(C592="","",IF(G592="ACCEPTÉ","OUI","NON"))</f>
        <v>NON</v>
      </c>
      <c r="I592" s="83"/>
      <c r="J592" s="80"/>
      <c r="K592" s="81"/>
      <c r="L592" s="81"/>
      <c r="M592" s="81"/>
      <c r="N592" s="84" t="str">
        <f aca="false">IF(C592="","",IF(P592="","NJ INCONNU",IF(I592="",IF(H592="OUI","À ENROBER",IF(G592="À SOUDER","NON SOUDÉ","EN ATTENTE RT")),IF(L592="R","À REPRENDRE",IF(H592&lt;&gt;"OUI","⚠ ENROBÉ AVANT ACCEPTATION RT","ENROBÉ")))))</f>
        <v>NON SOUDÉ</v>
      </c>
      <c r="O592" s="80"/>
      <c r="P592" s="82" t="n">
        <f aca="false">IF(C592="","",IFERROR(MATCH(Q592,'CARNET DE SOUDURE'!$AW$7:$AW$3006,0),""))</f>
        <v>586</v>
      </c>
      <c r="Q592" s="82" t="str">
        <f aca="false">IF(C592="","",B592&amp;"|"&amp;C592)</f>
        <v>MFD-ISW → MFD-CPF|JN°586</v>
      </c>
    </row>
    <row r="593" customFormat="false" ht="74.6" hidden="false" customHeight="false" outlineLevel="0" collapsed="false">
      <c r="A593" s="82" t="n">
        <f aca="false">IF(C593="","",ROW()-6)</f>
        <v>587</v>
      </c>
      <c r="B593" s="80" t="s">
        <v>110</v>
      </c>
      <c r="C593" s="113" t="s">
        <v>697</v>
      </c>
      <c r="D593" s="82" t="str">
        <f aca="false">IF(OR(C593="",P593=""),"",INDEX('CARNET DE SOUDURE'!$D$7:$D$3006,P593)&amp;"")</f>
        <v/>
      </c>
      <c r="E593" s="114" t="str">
        <f aca="false">IF(OR(C593="",P593=""),"",IF(INDEX('CARNET DE SOUDURE'!$U$7:$U$3006,P593)="","",INDEX('CARNET DE SOUDURE'!$U$7:$U$3006,P593)))</f>
        <v/>
      </c>
      <c r="F593" s="82" t="str">
        <f aca="false">IF(OR(C593="",P593=""),"",INDEX('CARNET DE SOUDURE'!$AP$7:$AP$3006,P593))</f>
        <v/>
      </c>
      <c r="G593" s="82" t="str">
        <f aca="false">IF(C593="","",IF(P593="","NJ INCONNU",INDEX('CARNET DE SOUDURE'!$AQ$7:$AQ$3006,P593)))</f>
        <v>À SOUDER</v>
      </c>
      <c r="H593" s="82" t="str">
        <f aca="false">IF(C593="","",IF(G593="ACCEPTÉ","OUI","NON"))</f>
        <v>NON</v>
      </c>
      <c r="I593" s="83"/>
      <c r="J593" s="80"/>
      <c r="K593" s="81"/>
      <c r="L593" s="81"/>
      <c r="M593" s="81"/>
      <c r="N593" s="84" t="str">
        <f aca="false">IF(C593="","",IF(P593="","NJ INCONNU",IF(I593="",IF(H593="OUI","À ENROBER",IF(G593="À SOUDER","NON SOUDÉ","EN ATTENTE RT")),IF(L593="R","À REPRENDRE",IF(H593&lt;&gt;"OUI","⚠ ENROBÉ AVANT ACCEPTATION RT","ENROBÉ")))))</f>
        <v>NON SOUDÉ</v>
      </c>
      <c r="O593" s="80"/>
      <c r="P593" s="82" t="n">
        <f aca="false">IF(C593="","",IFERROR(MATCH(Q593,'CARNET DE SOUDURE'!$AW$7:$AW$3006,0),""))</f>
        <v>587</v>
      </c>
      <c r="Q593" s="82" t="str">
        <f aca="false">IF(C593="","",B593&amp;"|"&amp;C593)</f>
        <v>MFD-ISW → MFD-CPF|JN°587</v>
      </c>
    </row>
    <row r="594" customFormat="false" ht="74.6" hidden="false" customHeight="false" outlineLevel="0" collapsed="false">
      <c r="A594" s="82" t="n">
        <f aca="false">IF(C594="","",ROW()-6)</f>
        <v>588</v>
      </c>
      <c r="B594" s="80" t="s">
        <v>110</v>
      </c>
      <c r="C594" s="113" t="s">
        <v>698</v>
      </c>
      <c r="D594" s="82" t="str">
        <f aca="false">IF(OR(C594="",P594=""),"",INDEX('CARNET DE SOUDURE'!$D$7:$D$3006,P594)&amp;"")</f>
        <v/>
      </c>
      <c r="E594" s="114" t="str">
        <f aca="false">IF(OR(C594="",P594=""),"",IF(INDEX('CARNET DE SOUDURE'!$U$7:$U$3006,P594)="","",INDEX('CARNET DE SOUDURE'!$U$7:$U$3006,P594)))</f>
        <v/>
      </c>
      <c r="F594" s="82" t="str">
        <f aca="false">IF(OR(C594="",P594=""),"",INDEX('CARNET DE SOUDURE'!$AP$7:$AP$3006,P594))</f>
        <v/>
      </c>
      <c r="G594" s="82" t="str">
        <f aca="false">IF(C594="","",IF(P594="","NJ INCONNU",INDEX('CARNET DE SOUDURE'!$AQ$7:$AQ$3006,P594)))</f>
        <v>À SOUDER</v>
      </c>
      <c r="H594" s="82" t="str">
        <f aca="false">IF(C594="","",IF(G594="ACCEPTÉ","OUI","NON"))</f>
        <v>NON</v>
      </c>
      <c r="I594" s="83"/>
      <c r="J594" s="80"/>
      <c r="K594" s="81"/>
      <c r="L594" s="81"/>
      <c r="M594" s="81"/>
      <c r="N594" s="84" t="str">
        <f aca="false">IF(C594="","",IF(P594="","NJ INCONNU",IF(I594="",IF(H594="OUI","À ENROBER",IF(G594="À SOUDER","NON SOUDÉ","EN ATTENTE RT")),IF(L594="R","À REPRENDRE",IF(H594&lt;&gt;"OUI","⚠ ENROBÉ AVANT ACCEPTATION RT","ENROBÉ")))))</f>
        <v>NON SOUDÉ</v>
      </c>
      <c r="O594" s="80"/>
      <c r="P594" s="82" t="n">
        <f aca="false">IF(C594="","",IFERROR(MATCH(Q594,'CARNET DE SOUDURE'!$AW$7:$AW$3006,0),""))</f>
        <v>588</v>
      </c>
      <c r="Q594" s="82" t="str">
        <f aca="false">IF(C594="","",B594&amp;"|"&amp;C594)</f>
        <v>MFD-ISW → MFD-CPF|JN°588</v>
      </c>
    </row>
    <row r="595" customFormat="false" ht="74.6" hidden="false" customHeight="false" outlineLevel="0" collapsed="false">
      <c r="A595" s="82" t="n">
        <f aca="false">IF(C595="","",ROW()-6)</f>
        <v>589</v>
      </c>
      <c r="B595" s="80" t="s">
        <v>110</v>
      </c>
      <c r="C595" s="113" t="s">
        <v>699</v>
      </c>
      <c r="D595" s="82" t="str">
        <f aca="false">IF(OR(C595="",P595=""),"",INDEX('CARNET DE SOUDURE'!$D$7:$D$3006,P595)&amp;"")</f>
        <v/>
      </c>
      <c r="E595" s="114" t="str">
        <f aca="false">IF(OR(C595="",P595=""),"",IF(INDEX('CARNET DE SOUDURE'!$U$7:$U$3006,P595)="","",INDEX('CARNET DE SOUDURE'!$U$7:$U$3006,P595)))</f>
        <v/>
      </c>
      <c r="F595" s="82" t="str">
        <f aca="false">IF(OR(C595="",P595=""),"",INDEX('CARNET DE SOUDURE'!$AP$7:$AP$3006,P595))</f>
        <v/>
      </c>
      <c r="G595" s="82" t="str">
        <f aca="false">IF(C595="","",IF(P595="","NJ INCONNU",INDEX('CARNET DE SOUDURE'!$AQ$7:$AQ$3006,P595)))</f>
        <v>À SOUDER</v>
      </c>
      <c r="H595" s="82" t="str">
        <f aca="false">IF(C595="","",IF(G595="ACCEPTÉ","OUI","NON"))</f>
        <v>NON</v>
      </c>
      <c r="I595" s="83"/>
      <c r="J595" s="80"/>
      <c r="K595" s="81"/>
      <c r="L595" s="81"/>
      <c r="M595" s="81"/>
      <c r="N595" s="84" t="str">
        <f aca="false">IF(C595="","",IF(P595="","NJ INCONNU",IF(I595="",IF(H595="OUI","À ENROBER",IF(G595="À SOUDER","NON SOUDÉ","EN ATTENTE RT")),IF(L595="R","À REPRENDRE",IF(H595&lt;&gt;"OUI","⚠ ENROBÉ AVANT ACCEPTATION RT","ENROBÉ")))))</f>
        <v>NON SOUDÉ</v>
      </c>
      <c r="O595" s="80"/>
      <c r="P595" s="82" t="n">
        <f aca="false">IF(C595="","",IFERROR(MATCH(Q595,'CARNET DE SOUDURE'!$AW$7:$AW$3006,0),""))</f>
        <v>589</v>
      </c>
      <c r="Q595" s="82" t="str">
        <f aca="false">IF(C595="","",B595&amp;"|"&amp;C595)</f>
        <v>MFD-ISW → MFD-CPF|JN°589</v>
      </c>
    </row>
    <row r="596" customFormat="false" ht="74.6" hidden="false" customHeight="false" outlineLevel="0" collapsed="false">
      <c r="A596" s="82" t="n">
        <f aca="false">IF(C596="","",ROW()-6)</f>
        <v>590</v>
      </c>
      <c r="B596" s="80" t="s">
        <v>110</v>
      </c>
      <c r="C596" s="113" t="s">
        <v>700</v>
      </c>
      <c r="D596" s="82" t="str">
        <f aca="false">IF(OR(C596="",P596=""),"",INDEX('CARNET DE SOUDURE'!$D$7:$D$3006,P596)&amp;"")</f>
        <v/>
      </c>
      <c r="E596" s="114" t="str">
        <f aca="false">IF(OR(C596="",P596=""),"",IF(INDEX('CARNET DE SOUDURE'!$U$7:$U$3006,P596)="","",INDEX('CARNET DE SOUDURE'!$U$7:$U$3006,P596)))</f>
        <v/>
      </c>
      <c r="F596" s="82" t="str">
        <f aca="false">IF(OR(C596="",P596=""),"",INDEX('CARNET DE SOUDURE'!$AP$7:$AP$3006,P596))</f>
        <v/>
      </c>
      <c r="G596" s="82" t="str">
        <f aca="false">IF(C596="","",IF(P596="","NJ INCONNU",INDEX('CARNET DE SOUDURE'!$AQ$7:$AQ$3006,P596)))</f>
        <v>À SOUDER</v>
      </c>
      <c r="H596" s="82" t="str">
        <f aca="false">IF(C596="","",IF(G596="ACCEPTÉ","OUI","NON"))</f>
        <v>NON</v>
      </c>
      <c r="I596" s="83"/>
      <c r="J596" s="80"/>
      <c r="K596" s="81"/>
      <c r="L596" s="81"/>
      <c r="M596" s="81"/>
      <c r="N596" s="84" t="str">
        <f aca="false">IF(C596="","",IF(P596="","NJ INCONNU",IF(I596="",IF(H596="OUI","À ENROBER",IF(G596="À SOUDER","NON SOUDÉ","EN ATTENTE RT")),IF(L596="R","À REPRENDRE",IF(H596&lt;&gt;"OUI","⚠ ENROBÉ AVANT ACCEPTATION RT","ENROBÉ")))))</f>
        <v>NON SOUDÉ</v>
      </c>
      <c r="O596" s="80"/>
      <c r="P596" s="82" t="n">
        <f aca="false">IF(C596="","",IFERROR(MATCH(Q596,'CARNET DE SOUDURE'!$AW$7:$AW$3006,0),""))</f>
        <v>590</v>
      </c>
      <c r="Q596" s="82" t="str">
        <f aca="false">IF(C596="","",B596&amp;"|"&amp;C596)</f>
        <v>MFD-ISW → MFD-CPF|JN°590</v>
      </c>
    </row>
    <row r="597" customFormat="false" ht="74.6" hidden="false" customHeight="false" outlineLevel="0" collapsed="false">
      <c r="A597" s="82" t="n">
        <f aca="false">IF(C597="","",ROW()-6)</f>
        <v>591</v>
      </c>
      <c r="B597" s="80" t="s">
        <v>110</v>
      </c>
      <c r="C597" s="113" t="s">
        <v>701</v>
      </c>
      <c r="D597" s="82" t="str">
        <f aca="false">IF(OR(C597="",P597=""),"",INDEX('CARNET DE SOUDURE'!$D$7:$D$3006,P597)&amp;"")</f>
        <v/>
      </c>
      <c r="E597" s="114" t="str">
        <f aca="false">IF(OR(C597="",P597=""),"",IF(INDEX('CARNET DE SOUDURE'!$U$7:$U$3006,P597)="","",INDEX('CARNET DE SOUDURE'!$U$7:$U$3006,P597)))</f>
        <v/>
      </c>
      <c r="F597" s="82" t="str">
        <f aca="false">IF(OR(C597="",P597=""),"",INDEX('CARNET DE SOUDURE'!$AP$7:$AP$3006,P597))</f>
        <v/>
      </c>
      <c r="G597" s="82" t="str">
        <f aca="false">IF(C597="","",IF(P597="","NJ INCONNU",INDEX('CARNET DE SOUDURE'!$AQ$7:$AQ$3006,P597)))</f>
        <v>À SOUDER</v>
      </c>
      <c r="H597" s="82" t="str">
        <f aca="false">IF(C597="","",IF(G597="ACCEPTÉ","OUI","NON"))</f>
        <v>NON</v>
      </c>
      <c r="I597" s="83"/>
      <c r="J597" s="80"/>
      <c r="K597" s="81"/>
      <c r="L597" s="81"/>
      <c r="M597" s="81"/>
      <c r="N597" s="84" t="str">
        <f aca="false">IF(C597="","",IF(P597="","NJ INCONNU",IF(I597="",IF(H597="OUI","À ENROBER",IF(G597="À SOUDER","NON SOUDÉ","EN ATTENTE RT")),IF(L597="R","À REPRENDRE",IF(H597&lt;&gt;"OUI","⚠ ENROBÉ AVANT ACCEPTATION RT","ENROBÉ")))))</f>
        <v>NON SOUDÉ</v>
      </c>
      <c r="O597" s="80"/>
      <c r="P597" s="82" t="n">
        <f aca="false">IF(C597="","",IFERROR(MATCH(Q597,'CARNET DE SOUDURE'!$AW$7:$AW$3006,0),""))</f>
        <v>591</v>
      </c>
      <c r="Q597" s="82" t="str">
        <f aca="false">IF(C597="","",B597&amp;"|"&amp;C597)</f>
        <v>MFD-ISW → MFD-CPF|JN°591</v>
      </c>
    </row>
    <row r="598" customFormat="false" ht="74.6" hidden="false" customHeight="false" outlineLevel="0" collapsed="false">
      <c r="A598" s="82" t="n">
        <f aca="false">IF(C598="","",ROW()-6)</f>
        <v>592</v>
      </c>
      <c r="B598" s="80" t="s">
        <v>110</v>
      </c>
      <c r="C598" s="113" t="s">
        <v>702</v>
      </c>
      <c r="D598" s="82" t="str">
        <f aca="false">IF(OR(C598="",P598=""),"",INDEX('CARNET DE SOUDURE'!$D$7:$D$3006,P598)&amp;"")</f>
        <v/>
      </c>
      <c r="E598" s="114" t="str">
        <f aca="false">IF(OR(C598="",P598=""),"",IF(INDEX('CARNET DE SOUDURE'!$U$7:$U$3006,P598)="","",INDEX('CARNET DE SOUDURE'!$U$7:$U$3006,P598)))</f>
        <v/>
      </c>
      <c r="F598" s="82" t="str">
        <f aca="false">IF(OR(C598="",P598=""),"",INDEX('CARNET DE SOUDURE'!$AP$7:$AP$3006,P598))</f>
        <v/>
      </c>
      <c r="G598" s="82" t="str">
        <f aca="false">IF(C598="","",IF(P598="","NJ INCONNU",INDEX('CARNET DE SOUDURE'!$AQ$7:$AQ$3006,P598)))</f>
        <v>À SOUDER</v>
      </c>
      <c r="H598" s="82" t="str">
        <f aca="false">IF(C598="","",IF(G598="ACCEPTÉ","OUI","NON"))</f>
        <v>NON</v>
      </c>
      <c r="I598" s="83"/>
      <c r="J598" s="80"/>
      <c r="K598" s="81"/>
      <c r="L598" s="81"/>
      <c r="M598" s="81"/>
      <c r="N598" s="84" t="str">
        <f aca="false">IF(C598="","",IF(P598="","NJ INCONNU",IF(I598="",IF(H598="OUI","À ENROBER",IF(G598="À SOUDER","NON SOUDÉ","EN ATTENTE RT")),IF(L598="R","À REPRENDRE",IF(H598&lt;&gt;"OUI","⚠ ENROBÉ AVANT ACCEPTATION RT","ENROBÉ")))))</f>
        <v>NON SOUDÉ</v>
      </c>
      <c r="O598" s="80"/>
      <c r="P598" s="82" t="n">
        <f aca="false">IF(C598="","",IFERROR(MATCH(Q598,'CARNET DE SOUDURE'!$AW$7:$AW$3006,0),""))</f>
        <v>592</v>
      </c>
      <c r="Q598" s="82" t="str">
        <f aca="false">IF(C598="","",B598&amp;"|"&amp;C598)</f>
        <v>MFD-ISW → MFD-CPF|JN°592</v>
      </c>
    </row>
    <row r="599" customFormat="false" ht="74.6" hidden="false" customHeight="false" outlineLevel="0" collapsed="false">
      <c r="A599" s="82" t="n">
        <f aca="false">IF(C599="","",ROW()-6)</f>
        <v>593</v>
      </c>
      <c r="B599" s="80" t="s">
        <v>110</v>
      </c>
      <c r="C599" s="113" t="s">
        <v>703</v>
      </c>
      <c r="D599" s="82" t="str">
        <f aca="false">IF(OR(C599="",P599=""),"",INDEX('CARNET DE SOUDURE'!$D$7:$D$3006,P599)&amp;"")</f>
        <v/>
      </c>
      <c r="E599" s="114" t="str">
        <f aca="false">IF(OR(C599="",P599=""),"",IF(INDEX('CARNET DE SOUDURE'!$U$7:$U$3006,P599)="","",INDEX('CARNET DE SOUDURE'!$U$7:$U$3006,P599)))</f>
        <v/>
      </c>
      <c r="F599" s="82" t="str">
        <f aca="false">IF(OR(C599="",P599=""),"",INDEX('CARNET DE SOUDURE'!$AP$7:$AP$3006,P599))</f>
        <v/>
      </c>
      <c r="G599" s="82" t="str">
        <f aca="false">IF(C599="","",IF(P599="","NJ INCONNU",INDEX('CARNET DE SOUDURE'!$AQ$7:$AQ$3006,P599)))</f>
        <v>À SOUDER</v>
      </c>
      <c r="H599" s="82" t="str">
        <f aca="false">IF(C599="","",IF(G599="ACCEPTÉ","OUI","NON"))</f>
        <v>NON</v>
      </c>
      <c r="I599" s="83"/>
      <c r="J599" s="80"/>
      <c r="K599" s="81"/>
      <c r="L599" s="81"/>
      <c r="M599" s="81"/>
      <c r="N599" s="84" t="str">
        <f aca="false">IF(C599="","",IF(P599="","NJ INCONNU",IF(I599="",IF(H599="OUI","À ENROBER",IF(G599="À SOUDER","NON SOUDÉ","EN ATTENTE RT")),IF(L599="R","À REPRENDRE",IF(H599&lt;&gt;"OUI","⚠ ENROBÉ AVANT ACCEPTATION RT","ENROBÉ")))))</f>
        <v>NON SOUDÉ</v>
      </c>
      <c r="O599" s="80"/>
      <c r="P599" s="82" t="n">
        <f aca="false">IF(C599="","",IFERROR(MATCH(Q599,'CARNET DE SOUDURE'!$AW$7:$AW$3006,0),""))</f>
        <v>593</v>
      </c>
      <c r="Q599" s="82" t="str">
        <f aca="false">IF(C599="","",B599&amp;"|"&amp;C599)</f>
        <v>MFD-ISW → MFD-CPF|JN°593</v>
      </c>
    </row>
    <row r="600" customFormat="false" ht="74.6" hidden="false" customHeight="false" outlineLevel="0" collapsed="false">
      <c r="A600" s="82" t="n">
        <f aca="false">IF(C600="","",ROW()-6)</f>
        <v>594</v>
      </c>
      <c r="B600" s="80" t="s">
        <v>110</v>
      </c>
      <c r="C600" s="113" t="s">
        <v>704</v>
      </c>
      <c r="D600" s="82" t="str">
        <f aca="false">IF(OR(C600="",P600=""),"",INDEX('CARNET DE SOUDURE'!$D$7:$D$3006,P600)&amp;"")</f>
        <v/>
      </c>
      <c r="E600" s="114" t="str">
        <f aca="false">IF(OR(C600="",P600=""),"",IF(INDEX('CARNET DE SOUDURE'!$U$7:$U$3006,P600)="","",INDEX('CARNET DE SOUDURE'!$U$7:$U$3006,P600)))</f>
        <v/>
      </c>
      <c r="F600" s="82" t="str">
        <f aca="false">IF(OR(C600="",P600=""),"",INDEX('CARNET DE SOUDURE'!$AP$7:$AP$3006,P600))</f>
        <v/>
      </c>
      <c r="G600" s="82" t="str">
        <f aca="false">IF(C600="","",IF(P600="","NJ INCONNU",INDEX('CARNET DE SOUDURE'!$AQ$7:$AQ$3006,P600)))</f>
        <v>À SOUDER</v>
      </c>
      <c r="H600" s="82" t="str">
        <f aca="false">IF(C600="","",IF(G600="ACCEPTÉ","OUI","NON"))</f>
        <v>NON</v>
      </c>
      <c r="I600" s="83"/>
      <c r="J600" s="80"/>
      <c r="K600" s="81"/>
      <c r="L600" s="81"/>
      <c r="M600" s="81"/>
      <c r="N600" s="84" t="str">
        <f aca="false">IF(C600="","",IF(P600="","NJ INCONNU",IF(I600="",IF(H600="OUI","À ENROBER",IF(G600="À SOUDER","NON SOUDÉ","EN ATTENTE RT")),IF(L600="R","À REPRENDRE",IF(H600&lt;&gt;"OUI","⚠ ENROBÉ AVANT ACCEPTATION RT","ENROBÉ")))))</f>
        <v>NON SOUDÉ</v>
      </c>
      <c r="O600" s="80"/>
      <c r="P600" s="82" t="n">
        <f aca="false">IF(C600="","",IFERROR(MATCH(Q600,'CARNET DE SOUDURE'!$AW$7:$AW$3006,0),""))</f>
        <v>594</v>
      </c>
      <c r="Q600" s="82" t="str">
        <f aca="false">IF(C600="","",B600&amp;"|"&amp;C600)</f>
        <v>MFD-ISW → MFD-CPF|JN°594</v>
      </c>
    </row>
    <row r="601" customFormat="false" ht="74.6" hidden="false" customHeight="false" outlineLevel="0" collapsed="false">
      <c r="A601" s="82" t="n">
        <f aca="false">IF(C601="","",ROW()-6)</f>
        <v>595</v>
      </c>
      <c r="B601" s="80" t="s">
        <v>110</v>
      </c>
      <c r="C601" s="113" t="s">
        <v>705</v>
      </c>
      <c r="D601" s="82" t="str">
        <f aca="false">IF(OR(C601="",P601=""),"",INDEX('CARNET DE SOUDURE'!$D$7:$D$3006,P601)&amp;"")</f>
        <v/>
      </c>
      <c r="E601" s="114" t="str">
        <f aca="false">IF(OR(C601="",P601=""),"",IF(INDEX('CARNET DE SOUDURE'!$U$7:$U$3006,P601)="","",INDEX('CARNET DE SOUDURE'!$U$7:$U$3006,P601)))</f>
        <v/>
      </c>
      <c r="F601" s="82" t="str">
        <f aca="false">IF(OR(C601="",P601=""),"",INDEX('CARNET DE SOUDURE'!$AP$7:$AP$3006,P601))</f>
        <v/>
      </c>
      <c r="G601" s="82" t="str">
        <f aca="false">IF(C601="","",IF(P601="","NJ INCONNU",INDEX('CARNET DE SOUDURE'!$AQ$7:$AQ$3006,P601)))</f>
        <v>À SOUDER</v>
      </c>
      <c r="H601" s="82" t="str">
        <f aca="false">IF(C601="","",IF(G601="ACCEPTÉ","OUI","NON"))</f>
        <v>NON</v>
      </c>
      <c r="I601" s="83"/>
      <c r="J601" s="80"/>
      <c r="K601" s="81"/>
      <c r="L601" s="81"/>
      <c r="M601" s="81"/>
      <c r="N601" s="84" t="str">
        <f aca="false">IF(C601="","",IF(P601="","NJ INCONNU",IF(I601="",IF(H601="OUI","À ENROBER",IF(G601="À SOUDER","NON SOUDÉ","EN ATTENTE RT")),IF(L601="R","À REPRENDRE",IF(H601&lt;&gt;"OUI","⚠ ENROBÉ AVANT ACCEPTATION RT","ENROBÉ")))))</f>
        <v>NON SOUDÉ</v>
      </c>
      <c r="O601" s="80"/>
      <c r="P601" s="82" t="n">
        <f aca="false">IF(C601="","",IFERROR(MATCH(Q601,'CARNET DE SOUDURE'!$AW$7:$AW$3006,0),""))</f>
        <v>595</v>
      </c>
      <c r="Q601" s="82" t="str">
        <f aca="false">IF(C601="","",B601&amp;"|"&amp;C601)</f>
        <v>MFD-ISW → MFD-CPF|JN°595</v>
      </c>
    </row>
    <row r="602" customFormat="false" ht="74.6" hidden="false" customHeight="false" outlineLevel="0" collapsed="false">
      <c r="A602" s="82" t="n">
        <f aca="false">IF(C602="","",ROW()-6)</f>
        <v>596</v>
      </c>
      <c r="B602" s="80" t="s">
        <v>110</v>
      </c>
      <c r="C602" s="113" t="s">
        <v>706</v>
      </c>
      <c r="D602" s="82" t="str">
        <f aca="false">IF(OR(C602="",P602=""),"",INDEX('CARNET DE SOUDURE'!$D$7:$D$3006,P602)&amp;"")</f>
        <v/>
      </c>
      <c r="E602" s="114" t="str">
        <f aca="false">IF(OR(C602="",P602=""),"",IF(INDEX('CARNET DE SOUDURE'!$U$7:$U$3006,P602)="","",INDEX('CARNET DE SOUDURE'!$U$7:$U$3006,P602)))</f>
        <v/>
      </c>
      <c r="F602" s="82" t="str">
        <f aca="false">IF(OR(C602="",P602=""),"",INDEX('CARNET DE SOUDURE'!$AP$7:$AP$3006,P602))</f>
        <v/>
      </c>
      <c r="G602" s="82" t="str">
        <f aca="false">IF(C602="","",IF(P602="","NJ INCONNU",INDEX('CARNET DE SOUDURE'!$AQ$7:$AQ$3006,P602)))</f>
        <v>À SOUDER</v>
      </c>
      <c r="H602" s="82" t="str">
        <f aca="false">IF(C602="","",IF(G602="ACCEPTÉ","OUI","NON"))</f>
        <v>NON</v>
      </c>
      <c r="I602" s="83"/>
      <c r="J602" s="80"/>
      <c r="K602" s="81"/>
      <c r="L602" s="81"/>
      <c r="M602" s="81"/>
      <c r="N602" s="84" t="str">
        <f aca="false">IF(C602="","",IF(P602="","NJ INCONNU",IF(I602="",IF(H602="OUI","À ENROBER",IF(G602="À SOUDER","NON SOUDÉ","EN ATTENTE RT")),IF(L602="R","À REPRENDRE",IF(H602&lt;&gt;"OUI","⚠ ENROBÉ AVANT ACCEPTATION RT","ENROBÉ")))))</f>
        <v>NON SOUDÉ</v>
      </c>
      <c r="O602" s="80"/>
      <c r="P602" s="82" t="n">
        <f aca="false">IF(C602="","",IFERROR(MATCH(Q602,'CARNET DE SOUDURE'!$AW$7:$AW$3006,0),""))</f>
        <v>596</v>
      </c>
      <c r="Q602" s="82" t="str">
        <f aca="false">IF(C602="","",B602&amp;"|"&amp;C602)</f>
        <v>MFD-ISW → MFD-CPF|JN°596</v>
      </c>
    </row>
    <row r="603" customFormat="false" ht="74.6" hidden="false" customHeight="false" outlineLevel="0" collapsed="false">
      <c r="A603" s="82" t="n">
        <f aca="false">IF(C603="","",ROW()-6)</f>
        <v>597</v>
      </c>
      <c r="B603" s="80" t="s">
        <v>110</v>
      </c>
      <c r="C603" s="113" t="s">
        <v>707</v>
      </c>
      <c r="D603" s="82" t="str">
        <f aca="false">IF(OR(C603="",P603=""),"",INDEX('CARNET DE SOUDURE'!$D$7:$D$3006,P603)&amp;"")</f>
        <v/>
      </c>
      <c r="E603" s="114" t="str">
        <f aca="false">IF(OR(C603="",P603=""),"",IF(INDEX('CARNET DE SOUDURE'!$U$7:$U$3006,P603)="","",INDEX('CARNET DE SOUDURE'!$U$7:$U$3006,P603)))</f>
        <v/>
      </c>
      <c r="F603" s="82" t="str">
        <f aca="false">IF(OR(C603="",P603=""),"",INDEX('CARNET DE SOUDURE'!$AP$7:$AP$3006,P603))</f>
        <v/>
      </c>
      <c r="G603" s="82" t="str">
        <f aca="false">IF(C603="","",IF(P603="","NJ INCONNU",INDEX('CARNET DE SOUDURE'!$AQ$7:$AQ$3006,P603)))</f>
        <v>À SOUDER</v>
      </c>
      <c r="H603" s="82" t="str">
        <f aca="false">IF(C603="","",IF(G603="ACCEPTÉ","OUI","NON"))</f>
        <v>NON</v>
      </c>
      <c r="I603" s="83"/>
      <c r="J603" s="80"/>
      <c r="K603" s="81"/>
      <c r="L603" s="81"/>
      <c r="M603" s="81"/>
      <c r="N603" s="84" t="str">
        <f aca="false">IF(C603="","",IF(P603="","NJ INCONNU",IF(I603="",IF(H603="OUI","À ENROBER",IF(G603="À SOUDER","NON SOUDÉ","EN ATTENTE RT")),IF(L603="R","À REPRENDRE",IF(H603&lt;&gt;"OUI","⚠ ENROBÉ AVANT ACCEPTATION RT","ENROBÉ")))))</f>
        <v>NON SOUDÉ</v>
      </c>
      <c r="O603" s="80"/>
      <c r="P603" s="82" t="n">
        <f aca="false">IF(C603="","",IFERROR(MATCH(Q603,'CARNET DE SOUDURE'!$AW$7:$AW$3006,0),""))</f>
        <v>597</v>
      </c>
      <c r="Q603" s="82" t="str">
        <f aca="false">IF(C603="","",B603&amp;"|"&amp;C603)</f>
        <v>MFD-ISW → MFD-CPF|JN°597</v>
      </c>
    </row>
    <row r="604" customFormat="false" ht="74.6" hidden="false" customHeight="false" outlineLevel="0" collapsed="false">
      <c r="A604" s="82" t="n">
        <f aca="false">IF(C604="","",ROW()-6)</f>
        <v>598</v>
      </c>
      <c r="B604" s="80" t="s">
        <v>110</v>
      </c>
      <c r="C604" s="113" t="s">
        <v>708</v>
      </c>
      <c r="D604" s="82" t="str">
        <f aca="false">IF(OR(C604="",P604=""),"",INDEX('CARNET DE SOUDURE'!$D$7:$D$3006,P604)&amp;"")</f>
        <v/>
      </c>
      <c r="E604" s="114" t="str">
        <f aca="false">IF(OR(C604="",P604=""),"",IF(INDEX('CARNET DE SOUDURE'!$U$7:$U$3006,P604)="","",INDEX('CARNET DE SOUDURE'!$U$7:$U$3006,P604)))</f>
        <v/>
      </c>
      <c r="F604" s="82" t="str">
        <f aca="false">IF(OR(C604="",P604=""),"",INDEX('CARNET DE SOUDURE'!$AP$7:$AP$3006,P604))</f>
        <v/>
      </c>
      <c r="G604" s="82" t="str">
        <f aca="false">IF(C604="","",IF(P604="","NJ INCONNU",INDEX('CARNET DE SOUDURE'!$AQ$7:$AQ$3006,P604)))</f>
        <v>À SOUDER</v>
      </c>
      <c r="H604" s="82" t="str">
        <f aca="false">IF(C604="","",IF(G604="ACCEPTÉ","OUI","NON"))</f>
        <v>NON</v>
      </c>
      <c r="I604" s="83"/>
      <c r="J604" s="80"/>
      <c r="K604" s="81"/>
      <c r="L604" s="81"/>
      <c r="M604" s="81"/>
      <c r="N604" s="84" t="str">
        <f aca="false">IF(C604="","",IF(P604="","NJ INCONNU",IF(I604="",IF(H604="OUI","À ENROBER",IF(G604="À SOUDER","NON SOUDÉ","EN ATTENTE RT")),IF(L604="R","À REPRENDRE",IF(H604&lt;&gt;"OUI","⚠ ENROBÉ AVANT ACCEPTATION RT","ENROBÉ")))))</f>
        <v>NON SOUDÉ</v>
      </c>
      <c r="O604" s="80"/>
      <c r="P604" s="82" t="n">
        <f aca="false">IF(C604="","",IFERROR(MATCH(Q604,'CARNET DE SOUDURE'!$AW$7:$AW$3006,0),""))</f>
        <v>598</v>
      </c>
      <c r="Q604" s="82" t="str">
        <f aca="false">IF(C604="","",B604&amp;"|"&amp;C604)</f>
        <v>MFD-ISW → MFD-CPF|JN°598</v>
      </c>
    </row>
    <row r="605" customFormat="false" ht="74.6" hidden="false" customHeight="false" outlineLevel="0" collapsed="false">
      <c r="A605" s="82" t="n">
        <f aca="false">IF(C605="","",ROW()-6)</f>
        <v>599</v>
      </c>
      <c r="B605" s="80" t="s">
        <v>110</v>
      </c>
      <c r="C605" s="113" t="s">
        <v>709</v>
      </c>
      <c r="D605" s="82" t="str">
        <f aca="false">IF(OR(C605="",P605=""),"",INDEX('CARNET DE SOUDURE'!$D$7:$D$3006,P605)&amp;"")</f>
        <v/>
      </c>
      <c r="E605" s="114" t="str">
        <f aca="false">IF(OR(C605="",P605=""),"",IF(INDEX('CARNET DE SOUDURE'!$U$7:$U$3006,P605)="","",INDEX('CARNET DE SOUDURE'!$U$7:$U$3006,P605)))</f>
        <v/>
      </c>
      <c r="F605" s="82" t="str">
        <f aca="false">IF(OR(C605="",P605=""),"",INDEX('CARNET DE SOUDURE'!$AP$7:$AP$3006,P605))</f>
        <v/>
      </c>
      <c r="G605" s="82" t="str">
        <f aca="false">IF(C605="","",IF(P605="","NJ INCONNU",INDEX('CARNET DE SOUDURE'!$AQ$7:$AQ$3006,P605)))</f>
        <v>À SOUDER</v>
      </c>
      <c r="H605" s="82" t="str">
        <f aca="false">IF(C605="","",IF(G605="ACCEPTÉ","OUI","NON"))</f>
        <v>NON</v>
      </c>
      <c r="I605" s="83"/>
      <c r="J605" s="80"/>
      <c r="K605" s="81"/>
      <c r="L605" s="81"/>
      <c r="M605" s="81"/>
      <c r="N605" s="84" t="str">
        <f aca="false">IF(C605="","",IF(P605="","NJ INCONNU",IF(I605="",IF(H605="OUI","À ENROBER",IF(G605="À SOUDER","NON SOUDÉ","EN ATTENTE RT")),IF(L605="R","À REPRENDRE",IF(H605&lt;&gt;"OUI","⚠ ENROBÉ AVANT ACCEPTATION RT","ENROBÉ")))))</f>
        <v>NON SOUDÉ</v>
      </c>
      <c r="O605" s="80"/>
      <c r="P605" s="82" t="n">
        <f aca="false">IF(C605="","",IFERROR(MATCH(Q605,'CARNET DE SOUDURE'!$AW$7:$AW$3006,0),""))</f>
        <v>599</v>
      </c>
      <c r="Q605" s="82" t="str">
        <f aca="false">IF(C605="","",B605&amp;"|"&amp;C605)</f>
        <v>MFD-ISW → MFD-CPF|JN°599</v>
      </c>
    </row>
    <row r="606" customFormat="false" ht="74.6" hidden="false" customHeight="false" outlineLevel="0" collapsed="false">
      <c r="A606" s="82" t="n">
        <f aca="false">IF(C606="","",ROW()-6)</f>
        <v>600</v>
      </c>
      <c r="B606" s="80" t="s">
        <v>110</v>
      </c>
      <c r="C606" s="113" t="s">
        <v>710</v>
      </c>
      <c r="D606" s="82" t="str">
        <f aca="false">IF(OR(C606="",P606=""),"",INDEX('CARNET DE SOUDURE'!$D$7:$D$3006,P606)&amp;"")</f>
        <v/>
      </c>
      <c r="E606" s="114" t="str">
        <f aca="false">IF(OR(C606="",P606=""),"",IF(INDEX('CARNET DE SOUDURE'!$U$7:$U$3006,P606)="","",INDEX('CARNET DE SOUDURE'!$U$7:$U$3006,P606)))</f>
        <v/>
      </c>
      <c r="F606" s="82" t="str">
        <f aca="false">IF(OR(C606="",P606=""),"",INDEX('CARNET DE SOUDURE'!$AP$7:$AP$3006,P606))</f>
        <v/>
      </c>
      <c r="G606" s="82" t="str">
        <f aca="false">IF(C606="","",IF(P606="","NJ INCONNU",INDEX('CARNET DE SOUDURE'!$AQ$7:$AQ$3006,P606)))</f>
        <v>À SOUDER</v>
      </c>
      <c r="H606" s="82" t="str">
        <f aca="false">IF(C606="","",IF(G606="ACCEPTÉ","OUI","NON"))</f>
        <v>NON</v>
      </c>
      <c r="I606" s="83"/>
      <c r="J606" s="80"/>
      <c r="K606" s="81"/>
      <c r="L606" s="81"/>
      <c r="M606" s="81"/>
      <c r="N606" s="84" t="str">
        <f aca="false">IF(C606="","",IF(P606="","NJ INCONNU",IF(I606="",IF(H606="OUI","À ENROBER",IF(G606="À SOUDER","NON SOUDÉ","EN ATTENTE RT")),IF(L606="R","À REPRENDRE",IF(H606&lt;&gt;"OUI","⚠ ENROBÉ AVANT ACCEPTATION RT","ENROBÉ")))))</f>
        <v>NON SOUDÉ</v>
      </c>
      <c r="O606" s="80"/>
      <c r="P606" s="82" t="n">
        <f aca="false">IF(C606="","",IFERROR(MATCH(Q606,'CARNET DE SOUDURE'!$AW$7:$AW$3006,0),""))</f>
        <v>600</v>
      </c>
      <c r="Q606" s="82" t="str">
        <f aca="false">IF(C606="","",B606&amp;"|"&amp;C606)</f>
        <v>MFD-ISW → MFD-CPF|JN°600</v>
      </c>
    </row>
    <row r="607" customFormat="false" ht="74.6" hidden="false" customHeight="false" outlineLevel="0" collapsed="false">
      <c r="A607" s="82" t="n">
        <f aca="false">IF(C607="","",ROW()-6)</f>
        <v>601</v>
      </c>
      <c r="B607" s="80" t="s">
        <v>110</v>
      </c>
      <c r="C607" s="113" t="s">
        <v>711</v>
      </c>
      <c r="D607" s="82" t="str">
        <f aca="false">IF(OR(C607="",P607=""),"",INDEX('CARNET DE SOUDURE'!$D$7:$D$3006,P607)&amp;"")</f>
        <v/>
      </c>
      <c r="E607" s="114" t="str">
        <f aca="false">IF(OR(C607="",P607=""),"",IF(INDEX('CARNET DE SOUDURE'!$U$7:$U$3006,P607)="","",INDEX('CARNET DE SOUDURE'!$U$7:$U$3006,P607)))</f>
        <v/>
      </c>
      <c r="F607" s="82" t="str">
        <f aca="false">IF(OR(C607="",P607=""),"",INDEX('CARNET DE SOUDURE'!$AP$7:$AP$3006,P607))</f>
        <v/>
      </c>
      <c r="G607" s="82" t="str">
        <f aca="false">IF(C607="","",IF(P607="","NJ INCONNU",INDEX('CARNET DE SOUDURE'!$AQ$7:$AQ$3006,P607)))</f>
        <v>À SOUDER</v>
      </c>
      <c r="H607" s="82" t="str">
        <f aca="false">IF(C607="","",IF(G607="ACCEPTÉ","OUI","NON"))</f>
        <v>NON</v>
      </c>
      <c r="I607" s="83"/>
      <c r="J607" s="80"/>
      <c r="K607" s="81"/>
      <c r="L607" s="81"/>
      <c r="M607" s="81"/>
      <c r="N607" s="84" t="str">
        <f aca="false">IF(C607="","",IF(P607="","NJ INCONNU",IF(I607="",IF(H607="OUI","À ENROBER",IF(G607="À SOUDER","NON SOUDÉ","EN ATTENTE RT")),IF(L607="R","À REPRENDRE",IF(H607&lt;&gt;"OUI","⚠ ENROBÉ AVANT ACCEPTATION RT","ENROBÉ")))))</f>
        <v>NON SOUDÉ</v>
      </c>
      <c r="O607" s="80"/>
      <c r="P607" s="82" t="n">
        <f aca="false">IF(C607="","",IFERROR(MATCH(Q607,'CARNET DE SOUDURE'!$AW$7:$AW$3006,0),""))</f>
        <v>601</v>
      </c>
      <c r="Q607" s="82" t="str">
        <f aca="false">IF(C607="","",B607&amp;"|"&amp;C607)</f>
        <v>MFD-ISW → MFD-CPF|JN°601</v>
      </c>
    </row>
    <row r="608" customFormat="false" ht="74.6" hidden="false" customHeight="false" outlineLevel="0" collapsed="false">
      <c r="A608" s="82" t="n">
        <f aca="false">IF(C608="","",ROW()-6)</f>
        <v>602</v>
      </c>
      <c r="B608" s="80" t="s">
        <v>110</v>
      </c>
      <c r="C608" s="113" t="s">
        <v>712</v>
      </c>
      <c r="D608" s="82" t="str">
        <f aca="false">IF(OR(C608="",P608=""),"",INDEX('CARNET DE SOUDURE'!$D$7:$D$3006,P608)&amp;"")</f>
        <v/>
      </c>
      <c r="E608" s="114" t="str">
        <f aca="false">IF(OR(C608="",P608=""),"",IF(INDEX('CARNET DE SOUDURE'!$U$7:$U$3006,P608)="","",INDEX('CARNET DE SOUDURE'!$U$7:$U$3006,P608)))</f>
        <v/>
      </c>
      <c r="F608" s="82" t="str">
        <f aca="false">IF(OR(C608="",P608=""),"",INDEX('CARNET DE SOUDURE'!$AP$7:$AP$3006,P608))</f>
        <v/>
      </c>
      <c r="G608" s="82" t="str">
        <f aca="false">IF(C608="","",IF(P608="","NJ INCONNU",INDEX('CARNET DE SOUDURE'!$AQ$7:$AQ$3006,P608)))</f>
        <v>À SOUDER</v>
      </c>
      <c r="H608" s="82" t="str">
        <f aca="false">IF(C608="","",IF(G608="ACCEPTÉ","OUI","NON"))</f>
        <v>NON</v>
      </c>
      <c r="I608" s="83"/>
      <c r="J608" s="80"/>
      <c r="K608" s="81"/>
      <c r="L608" s="81"/>
      <c r="M608" s="81"/>
      <c r="N608" s="84" t="str">
        <f aca="false">IF(C608="","",IF(P608="","NJ INCONNU",IF(I608="",IF(H608="OUI","À ENROBER",IF(G608="À SOUDER","NON SOUDÉ","EN ATTENTE RT")),IF(L608="R","À REPRENDRE",IF(H608&lt;&gt;"OUI","⚠ ENROBÉ AVANT ACCEPTATION RT","ENROBÉ")))))</f>
        <v>NON SOUDÉ</v>
      </c>
      <c r="O608" s="80"/>
      <c r="P608" s="82" t="n">
        <f aca="false">IF(C608="","",IFERROR(MATCH(Q608,'CARNET DE SOUDURE'!$AW$7:$AW$3006,0),""))</f>
        <v>602</v>
      </c>
      <c r="Q608" s="82" t="str">
        <f aca="false">IF(C608="","",B608&amp;"|"&amp;C608)</f>
        <v>MFD-ISW → MFD-CPF|JN°602</v>
      </c>
    </row>
    <row r="609" customFormat="false" ht="74.6" hidden="false" customHeight="false" outlineLevel="0" collapsed="false">
      <c r="A609" s="82" t="n">
        <f aca="false">IF(C609="","",ROW()-6)</f>
        <v>603</v>
      </c>
      <c r="B609" s="80" t="s">
        <v>110</v>
      </c>
      <c r="C609" s="113" t="s">
        <v>713</v>
      </c>
      <c r="D609" s="82" t="str">
        <f aca="false">IF(OR(C609="",P609=""),"",INDEX('CARNET DE SOUDURE'!$D$7:$D$3006,P609)&amp;"")</f>
        <v/>
      </c>
      <c r="E609" s="114" t="str">
        <f aca="false">IF(OR(C609="",P609=""),"",IF(INDEX('CARNET DE SOUDURE'!$U$7:$U$3006,P609)="","",INDEX('CARNET DE SOUDURE'!$U$7:$U$3006,P609)))</f>
        <v/>
      </c>
      <c r="F609" s="82" t="str">
        <f aca="false">IF(OR(C609="",P609=""),"",INDEX('CARNET DE SOUDURE'!$AP$7:$AP$3006,P609))</f>
        <v/>
      </c>
      <c r="G609" s="82" t="str">
        <f aca="false">IF(C609="","",IF(P609="","NJ INCONNU",INDEX('CARNET DE SOUDURE'!$AQ$7:$AQ$3006,P609)))</f>
        <v>À SOUDER</v>
      </c>
      <c r="H609" s="82" t="str">
        <f aca="false">IF(C609="","",IF(G609="ACCEPTÉ","OUI","NON"))</f>
        <v>NON</v>
      </c>
      <c r="I609" s="83"/>
      <c r="J609" s="80"/>
      <c r="K609" s="81"/>
      <c r="L609" s="81"/>
      <c r="M609" s="81"/>
      <c r="N609" s="84" t="str">
        <f aca="false">IF(C609="","",IF(P609="","NJ INCONNU",IF(I609="",IF(H609="OUI","À ENROBER",IF(G609="À SOUDER","NON SOUDÉ","EN ATTENTE RT")),IF(L609="R","À REPRENDRE",IF(H609&lt;&gt;"OUI","⚠ ENROBÉ AVANT ACCEPTATION RT","ENROBÉ")))))</f>
        <v>NON SOUDÉ</v>
      </c>
      <c r="O609" s="80"/>
      <c r="P609" s="82" t="n">
        <f aca="false">IF(C609="","",IFERROR(MATCH(Q609,'CARNET DE SOUDURE'!$AW$7:$AW$3006,0),""))</f>
        <v>603</v>
      </c>
      <c r="Q609" s="82" t="str">
        <f aca="false">IF(C609="","",B609&amp;"|"&amp;C609)</f>
        <v>MFD-ISW → MFD-CPF|JN°603</v>
      </c>
    </row>
    <row r="610" customFormat="false" ht="74.6" hidden="false" customHeight="false" outlineLevel="0" collapsed="false">
      <c r="A610" s="82" t="n">
        <f aca="false">IF(C610="","",ROW()-6)</f>
        <v>604</v>
      </c>
      <c r="B610" s="80" t="s">
        <v>110</v>
      </c>
      <c r="C610" s="113" t="s">
        <v>714</v>
      </c>
      <c r="D610" s="82" t="str">
        <f aca="false">IF(OR(C610="",P610=""),"",INDEX('CARNET DE SOUDURE'!$D$7:$D$3006,P610)&amp;"")</f>
        <v/>
      </c>
      <c r="E610" s="114" t="str">
        <f aca="false">IF(OR(C610="",P610=""),"",IF(INDEX('CARNET DE SOUDURE'!$U$7:$U$3006,P610)="","",INDEX('CARNET DE SOUDURE'!$U$7:$U$3006,P610)))</f>
        <v/>
      </c>
      <c r="F610" s="82" t="str">
        <f aca="false">IF(OR(C610="",P610=""),"",INDEX('CARNET DE SOUDURE'!$AP$7:$AP$3006,P610))</f>
        <v/>
      </c>
      <c r="G610" s="82" t="str">
        <f aca="false">IF(C610="","",IF(P610="","NJ INCONNU",INDEX('CARNET DE SOUDURE'!$AQ$7:$AQ$3006,P610)))</f>
        <v>À SOUDER</v>
      </c>
      <c r="H610" s="82" t="str">
        <f aca="false">IF(C610="","",IF(G610="ACCEPTÉ","OUI","NON"))</f>
        <v>NON</v>
      </c>
      <c r="I610" s="83"/>
      <c r="J610" s="80"/>
      <c r="K610" s="81"/>
      <c r="L610" s="81"/>
      <c r="M610" s="81"/>
      <c r="N610" s="84" t="str">
        <f aca="false">IF(C610="","",IF(P610="","NJ INCONNU",IF(I610="",IF(H610="OUI","À ENROBER",IF(G610="À SOUDER","NON SOUDÉ","EN ATTENTE RT")),IF(L610="R","À REPRENDRE",IF(H610&lt;&gt;"OUI","⚠ ENROBÉ AVANT ACCEPTATION RT","ENROBÉ")))))</f>
        <v>NON SOUDÉ</v>
      </c>
      <c r="O610" s="80"/>
      <c r="P610" s="82" t="n">
        <f aca="false">IF(C610="","",IFERROR(MATCH(Q610,'CARNET DE SOUDURE'!$AW$7:$AW$3006,0),""))</f>
        <v>604</v>
      </c>
      <c r="Q610" s="82" t="str">
        <f aca="false">IF(C610="","",B610&amp;"|"&amp;C610)</f>
        <v>MFD-ISW → MFD-CPF|JN°604</v>
      </c>
    </row>
    <row r="611" customFormat="false" ht="74.6" hidden="false" customHeight="false" outlineLevel="0" collapsed="false">
      <c r="A611" s="82" t="n">
        <f aca="false">IF(C611="","",ROW()-6)</f>
        <v>605</v>
      </c>
      <c r="B611" s="80" t="s">
        <v>110</v>
      </c>
      <c r="C611" s="113" t="s">
        <v>715</v>
      </c>
      <c r="D611" s="82" t="str">
        <f aca="false">IF(OR(C611="",P611=""),"",INDEX('CARNET DE SOUDURE'!$D$7:$D$3006,P611)&amp;"")</f>
        <v/>
      </c>
      <c r="E611" s="114" t="str">
        <f aca="false">IF(OR(C611="",P611=""),"",IF(INDEX('CARNET DE SOUDURE'!$U$7:$U$3006,P611)="","",INDEX('CARNET DE SOUDURE'!$U$7:$U$3006,P611)))</f>
        <v/>
      </c>
      <c r="F611" s="82" t="str">
        <f aca="false">IF(OR(C611="",P611=""),"",INDEX('CARNET DE SOUDURE'!$AP$7:$AP$3006,P611))</f>
        <v/>
      </c>
      <c r="G611" s="82" t="str">
        <f aca="false">IF(C611="","",IF(P611="","NJ INCONNU",INDEX('CARNET DE SOUDURE'!$AQ$7:$AQ$3006,P611)))</f>
        <v>À SOUDER</v>
      </c>
      <c r="H611" s="82" t="str">
        <f aca="false">IF(C611="","",IF(G611="ACCEPTÉ","OUI","NON"))</f>
        <v>NON</v>
      </c>
      <c r="I611" s="83"/>
      <c r="J611" s="80"/>
      <c r="K611" s="81"/>
      <c r="L611" s="81"/>
      <c r="M611" s="81"/>
      <c r="N611" s="84" t="str">
        <f aca="false">IF(C611="","",IF(P611="","NJ INCONNU",IF(I611="",IF(H611="OUI","À ENROBER",IF(G611="À SOUDER","NON SOUDÉ","EN ATTENTE RT")),IF(L611="R","À REPRENDRE",IF(H611&lt;&gt;"OUI","⚠ ENROBÉ AVANT ACCEPTATION RT","ENROBÉ")))))</f>
        <v>NON SOUDÉ</v>
      </c>
      <c r="O611" s="80"/>
      <c r="P611" s="82" t="n">
        <f aca="false">IF(C611="","",IFERROR(MATCH(Q611,'CARNET DE SOUDURE'!$AW$7:$AW$3006,0),""))</f>
        <v>605</v>
      </c>
      <c r="Q611" s="82" t="str">
        <f aca="false">IF(C611="","",B611&amp;"|"&amp;C611)</f>
        <v>MFD-ISW → MFD-CPF|JN°605</v>
      </c>
    </row>
    <row r="612" customFormat="false" ht="74.6" hidden="false" customHeight="false" outlineLevel="0" collapsed="false">
      <c r="A612" s="82" t="n">
        <f aca="false">IF(C612="","",ROW()-6)</f>
        <v>606</v>
      </c>
      <c r="B612" s="80" t="s">
        <v>110</v>
      </c>
      <c r="C612" s="113" t="s">
        <v>716</v>
      </c>
      <c r="D612" s="82" t="str">
        <f aca="false">IF(OR(C612="",P612=""),"",INDEX('CARNET DE SOUDURE'!$D$7:$D$3006,P612)&amp;"")</f>
        <v/>
      </c>
      <c r="E612" s="114" t="str">
        <f aca="false">IF(OR(C612="",P612=""),"",IF(INDEX('CARNET DE SOUDURE'!$U$7:$U$3006,P612)="","",INDEX('CARNET DE SOUDURE'!$U$7:$U$3006,P612)))</f>
        <v/>
      </c>
      <c r="F612" s="82" t="str">
        <f aca="false">IF(OR(C612="",P612=""),"",INDEX('CARNET DE SOUDURE'!$AP$7:$AP$3006,P612))</f>
        <v/>
      </c>
      <c r="G612" s="82" t="str">
        <f aca="false">IF(C612="","",IF(P612="","NJ INCONNU",INDEX('CARNET DE SOUDURE'!$AQ$7:$AQ$3006,P612)))</f>
        <v>À SOUDER</v>
      </c>
      <c r="H612" s="82" t="str">
        <f aca="false">IF(C612="","",IF(G612="ACCEPTÉ","OUI","NON"))</f>
        <v>NON</v>
      </c>
      <c r="I612" s="83"/>
      <c r="J612" s="80"/>
      <c r="K612" s="81"/>
      <c r="L612" s="81"/>
      <c r="M612" s="81"/>
      <c r="N612" s="84" t="str">
        <f aca="false">IF(C612="","",IF(P612="","NJ INCONNU",IF(I612="",IF(H612="OUI","À ENROBER",IF(G612="À SOUDER","NON SOUDÉ","EN ATTENTE RT")),IF(L612="R","À REPRENDRE",IF(H612&lt;&gt;"OUI","⚠ ENROBÉ AVANT ACCEPTATION RT","ENROBÉ")))))</f>
        <v>NON SOUDÉ</v>
      </c>
      <c r="O612" s="80"/>
      <c r="P612" s="82" t="n">
        <f aca="false">IF(C612="","",IFERROR(MATCH(Q612,'CARNET DE SOUDURE'!$AW$7:$AW$3006,0),""))</f>
        <v>606</v>
      </c>
      <c r="Q612" s="82" t="str">
        <f aca="false">IF(C612="","",B612&amp;"|"&amp;C612)</f>
        <v>MFD-ISW → MFD-CPF|JN°606</v>
      </c>
    </row>
    <row r="613" customFormat="false" ht="74.6" hidden="false" customHeight="false" outlineLevel="0" collapsed="false">
      <c r="A613" s="82" t="n">
        <f aca="false">IF(C613="","",ROW()-6)</f>
        <v>607</v>
      </c>
      <c r="B613" s="80" t="s">
        <v>110</v>
      </c>
      <c r="C613" s="113" t="s">
        <v>717</v>
      </c>
      <c r="D613" s="82" t="str">
        <f aca="false">IF(OR(C613="",P613=""),"",INDEX('CARNET DE SOUDURE'!$D$7:$D$3006,P613)&amp;"")</f>
        <v/>
      </c>
      <c r="E613" s="114" t="str">
        <f aca="false">IF(OR(C613="",P613=""),"",IF(INDEX('CARNET DE SOUDURE'!$U$7:$U$3006,P613)="","",INDEX('CARNET DE SOUDURE'!$U$7:$U$3006,P613)))</f>
        <v/>
      </c>
      <c r="F613" s="82" t="str">
        <f aca="false">IF(OR(C613="",P613=""),"",INDEX('CARNET DE SOUDURE'!$AP$7:$AP$3006,P613))</f>
        <v/>
      </c>
      <c r="G613" s="82" t="str">
        <f aca="false">IF(C613="","",IF(P613="","NJ INCONNU",INDEX('CARNET DE SOUDURE'!$AQ$7:$AQ$3006,P613)))</f>
        <v>À SOUDER</v>
      </c>
      <c r="H613" s="82" t="str">
        <f aca="false">IF(C613="","",IF(G613="ACCEPTÉ","OUI","NON"))</f>
        <v>NON</v>
      </c>
      <c r="I613" s="83"/>
      <c r="J613" s="80"/>
      <c r="K613" s="81"/>
      <c r="L613" s="81"/>
      <c r="M613" s="81"/>
      <c r="N613" s="84" t="str">
        <f aca="false">IF(C613="","",IF(P613="","NJ INCONNU",IF(I613="",IF(H613="OUI","À ENROBER",IF(G613="À SOUDER","NON SOUDÉ","EN ATTENTE RT")),IF(L613="R","À REPRENDRE",IF(H613&lt;&gt;"OUI","⚠ ENROBÉ AVANT ACCEPTATION RT","ENROBÉ")))))</f>
        <v>NON SOUDÉ</v>
      </c>
      <c r="O613" s="80"/>
      <c r="P613" s="82" t="n">
        <f aca="false">IF(C613="","",IFERROR(MATCH(Q613,'CARNET DE SOUDURE'!$AW$7:$AW$3006,0),""))</f>
        <v>607</v>
      </c>
      <c r="Q613" s="82" t="str">
        <f aca="false">IF(C613="","",B613&amp;"|"&amp;C613)</f>
        <v>MFD-ISW → MFD-CPF|JN°607</v>
      </c>
    </row>
    <row r="614" customFormat="false" ht="74.6" hidden="false" customHeight="false" outlineLevel="0" collapsed="false">
      <c r="A614" s="82" t="n">
        <f aca="false">IF(C614="","",ROW()-6)</f>
        <v>608</v>
      </c>
      <c r="B614" s="80" t="s">
        <v>110</v>
      </c>
      <c r="C614" s="113" t="s">
        <v>718</v>
      </c>
      <c r="D614" s="82" t="str">
        <f aca="false">IF(OR(C614="",P614=""),"",INDEX('CARNET DE SOUDURE'!$D$7:$D$3006,P614)&amp;"")</f>
        <v/>
      </c>
      <c r="E614" s="114" t="str">
        <f aca="false">IF(OR(C614="",P614=""),"",IF(INDEX('CARNET DE SOUDURE'!$U$7:$U$3006,P614)="","",INDEX('CARNET DE SOUDURE'!$U$7:$U$3006,P614)))</f>
        <v/>
      </c>
      <c r="F614" s="82" t="str">
        <f aca="false">IF(OR(C614="",P614=""),"",INDEX('CARNET DE SOUDURE'!$AP$7:$AP$3006,P614))</f>
        <v/>
      </c>
      <c r="G614" s="82" t="str">
        <f aca="false">IF(C614="","",IF(P614="","NJ INCONNU",INDEX('CARNET DE SOUDURE'!$AQ$7:$AQ$3006,P614)))</f>
        <v>À SOUDER</v>
      </c>
      <c r="H614" s="82" t="str">
        <f aca="false">IF(C614="","",IF(G614="ACCEPTÉ","OUI","NON"))</f>
        <v>NON</v>
      </c>
      <c r="I614" s="83"/>
      <c r="J614" s="80"/>
      <c r="K614" s="81"/>
      <c r="L614" s="81"/>
      <c r="M614" s="81"/>
      <c r="N614" s="84" t="str">
        <f aca="false">IF(C614="","",IF(P614="","NJ INCONNU",IF(I614="",IF(H614="OUI","À ENROBER",IF(G614="À SOUDER","NON SOUDÉ","EN ATTENTE RT")),IF(L614="R","À REPRENDRE",IF(H614&lt;&gt;"OUI","⚠ ENROBÉ AVANT ACCEPTATION RT","ENROBÉ")))))</f>
        <v>NON SOUDÉ</v>
      </c>
      <c r="O614" s="80"/>
      <c r="P614" s="82" t="n">
        <f aca="false">IF(C614="","",IFERROR(MATCH(Q614,'CARNET DE SOUDURE'!$AW$7:$AW$3006,0),""))</f>
        <v>608</v>
      </c>
      <c r="Q614" s="82" t="str">
        <f aca="false">IF(C614="","",B614&amp;"|"&amp;C614)</f>
        <v>MFD-ISW → MFD-CPF|JN°608</v>
      </c>
    </row>
    <row r="615" customFormat="false" ht="74.6" hidden="false" customHeight="false" outlineLevel="0" collapsed="false">
      <c r="A615" s="82" t="n">
        <f aca="false">IF(C615="","",ROW()-6)</f>
        <v>609</v>
      </c>
      <c r="B615" s="80" t="s">
        <v>110</v>
      </c>
      <c r="C615" s="113" t="s">
        <v>719</v>
      </c>
      <c r="D615" s="82" t="str">
        <f aca="false">IF(OR(C615="",P615=""),"",INDEX('CARNET DE SOUDURE'!$D$7:$D$3006,P615)&amp;"")</f>
        <v/>
      </c>
      <c r="E615" s="114" t="str">
        <f aca="false">IF(OR(C615="",P615=""),"",IF(INDEX('CARNET DE SOUDURE'!$U$7:$U$3006,P615)="","",INDEX('CARNET DE SOUDURE'!$U$7:$U$3006,P615)))</f>
        <v/>
      </c>
      <c r="F615" s="82" t="str">
        <f aca="false">IF(OR(C615="",P615=""),"",INDEX('CARNET DE SOUDURE'!$AP$7:$AP$3006,P615))</f>
        <v/>
      </c>
      <c r="G615" s="82" t="str">
        <f aca="false">IF(C615="","",IF(P615="","NJ INCONNU",INDEX('CARNET DE SOUDURE'!$AQ$7:$AQ$3006,P615)))</f>
        <v>À SOUDER</v>
      </c>
      <c r="H615" s="82" t="str">
        <f aca="false">IF(C615="","",IF(G615="ACCEPTÉ","OUI","NON"))</f>
        <v>NON</v>
      </c>
      <c r="I615" s="83"/>
      <c r="J615" s="80"/>
      <c r="K615" s="81"/>
      <c r="L615" s="81"/>
      <c r="M615" s="81"/>
      <c r="N615" s="84" t="str">
        <f aca="false">IF(C615="","",IF(P615="","NJ INCONNU",IF(I615="",IF(H615="OUI","À ENROBER",IF(G615="À SOUDER","NON SOUDÉ","EN ATTENTE RT")),IF(L615="R","À REPRENDRE",IF(H615&lt;&gt;"OUI","⚠ ENROBÉ AVANT ACCEPTATION RT","ENROBÉ")))))</f>
        <v>NON SOUDÉ</v>
      </c>
      <c r="O615" s="80"/>
      <c r="P615" s="82" t="n">
        <f aca="false">IF(C615="","",IFERROR(MATCH(Q615,'CARNET DE SOUDURE'!$AW$7:$AW$3006,0),""))</f>
        <v>609</v>
      </c>
      <c r="Q615" s="82" t="str">
        <f aca="false">IF(C615="","",B615&amp;"|"&amp;C615)</f>
        <v>MFD-ISW → MFD-CPF|JN°609</v>
      </c>
    </row>
    <row r="616" customFormat="false" ht="74.6" hidden="false" customHeight="false" outlineLevel="0" collapsed="false">
      <c r="A616" s="82" t="n">
        <f aca="false">IF(C616="","",ROW()-6)</f>
        <v>610</v>
      </c>
      <c r="B616" s="80" t="s">
        <v>110</v>
      </c>
      <c r="C616" s="113" t="s">
        <v>720</v>
      </c>
      <c r="D616" s="82" t="str">
        <f aca="false">IF(OR(C616="",P616=""),"",INDEX('CARNET DE SOUDURE'!$D$7:$D$3006,P616)&amp;"")</f>
        <v/>
      </c>
      <c r="E616" s="114" t="str">
        <f aca="false">IF(OR(C616="",P616=""),"",IF(INDEX('CARNET DE SOUDURE'!$U$7:$U$3006,P616)="","",INDEX('CARNET DE SOUDURE'!$U$7:$U$3006,P616)))</f>
        <v/>
      </c>
      <c r="F616" s="82" t="str">
        <f aca="false">IF(OR(C616="",P616=""),"",INDEX('CARNET DE SOUDURE'!$AP$7:$AP$3006,P616))</f>
        <v/>
      </c>
      <c r="G616" s="82" t="str">
        <f aca="false">IF(C616="","",IF(P616="","NJ INCONNU",INDEX('CARNET DE SOUDURE'!$AQ$7:$AQ$3006,P616)))</f>
        <v>À SOUDER</v>
      </c>
      <c r="H616" s="82" t="str">
        <f aca="false">IF(C616="","",IF(G616="ACCEPTÉ","OUI","NON"))</f>
        <v>NON</v>
      </c>
      <c r="I616" s="83"/>
      <c r="J616" s="80"/>
      <c r="K616" s="81"/>
      <c r="L616" s="81"/>
      <c r="M616" s="81"/>
      <c r="N616" s="84" t="str">
        <f aca="false">IF(C616="","",IF(P616="","NJ INCONNU",IF(I616="",IF(H616="OUI","À ENROBER",IF(G616="À SOUDER","NON SOUDÉ","EN ATTENTE RT")),IF(L616="R","À REPRENDRE",IF(H616&lt;&gt;"OUI","⚠ ENROBÉ AVANT ACCEPTATION RT","ENROBÉ")))))</f>
        <v>NON SOUDÉ</v>
      </c>
      <c r="O616" s="80"/>
      <c r="P616" s="82" t="n">
        <f aca="false">IF(C616="","",IFERROR(MATCH(Q616,'CARNET DE SOUDURE'!$AW$7:$AW$3006,0),""))</f>
        <v>610</v>
      </c>
      <c r="Q616" s="82" t="str">
        <f aca="false">IF(C616="","",B616&amp;"|"&amp;C616)</f>
        <v>MFD-ISW → MFD-CPF|JN°610</v>
      </c>
    </row>
    <row r="617" customFormat="false" ht="74.6" hidden="false" customHeight="false" outlineLevel="0" collapsed="false">
      <c r="A617" s="82" t="n">
        <f aca="false">IF(C617="","",ROW()-6)</f>
        <v>611</v>
      </c>
      <c r="B617" s="80" t="s">
        <v>110</v>
      </c>
      <c r="C617" s="113" t="s">
        <v>721</v>
      </c>
      <c r="D617" s="82" t="str">
        <f aca="false">IF(OR(C617="",P617=""),"",INDEX('CARNET DE SOUDURE'!$D$7:$D$3006,P617)&amp;"")</f>
        <v/>
      </c>
      <c r="E617" s="114" t="str">
        <f aca="false">IF(OR(C617="",P617=""),"",IF(INDEX('CARNET DE SOUDURE'!$U$7:$U$3006,P617)="","",INDEX('CARNET DE SOUDURE'!$U$7:$U$3006,P617)))</f>
        <v/>
      </c>
      <c r="F617" s="82" t="str">
        <f aca="false">IF(OR(C617="",P617=""),"",INDEX('CARNET DE SOUDURE'!$AP$7:$AP$3006,P617))</f>
        <v/>
      </c>
      <c r="G617" s="82" t="str">
        <f aca="false">IF(C617="","",IF(P617="","NJ INCONNU",INDEX('CARNET DE SOUDURE'!$AQ$7:$AQ$3006,P617)))</f>
        <v>À SOUDER</v>
      </c>
      <c r="H617" s="82" t="str">
        <f aca="false">IF(C617="","",IF(G617="ACCEPTÉ","OUI","NON"))</f>
        <v>NON</v>
      </c>
      <c r="I617" s="83"/>
      <c r="J617" s="80"/>
      <c r="K617" s="81"/>
      <c r="L617" s="81"/>
      <c r="M617" s="81"/>
      <c r="N617" s="84" t="str">
        <f aca="false">IF(C617="","",IF(P617="","NJ INCONNU",IF(I617="",IF(H617="OUI","À ENROBER",IF(G617="À SOUDER","NON SOUDÉ","EN ATTENTE RT")),IF(L617="R","À REPRENDRE",IF(H617&lt;&gt;"OUI","⚠ ENROBÉ AVANT ACCEPTATION RT","ENROBÉ")))))</f>
        <v>NON SOUDÉ</v>
      </c>
      <c r="O617" s="80"/>
      <c r="P617" s="82" t="n">
        <f aca="false">IF(C617="","",IFERROR(MATCH(Q617,'CARNET DE SOUDURE'!$AW$7:$AW$3006,0),""))</f>
        <v>611</v>
      </c>
      <c r="Q617" s="82" t="str">
        <f aca="false">IF(C617="","",B617&amp;"|"&amp;C617)</f>
        <v>MFD-ISW → MFD-CPF|JN°611</v>
      </c>
    </row>
    <row r="618" customFormat="false" ht="74.6" hidden="false" customHeight="false" outlineLevel="0" collapsed="false">
      <c r="A618" s="82" t="n">
        <f aca="false">IF(C618="","",ROW()-6)</f>
        <v>612</v>
      </c>
      <c r="B618" s="80" t="s">
        <v>110</v>
      </c>
      <c r="C618" s="113" t="s">
        <v>722</v>
      </c>
      <c r="D618" s="82" t="str">
        <f aca="false">IF(OR(C618="",P618=""),"",INDEX('CARNET DE SOUDURE'!$D$7:$D$3006,P618)&amp;"")</f>
        <v/>
      </c>
      <c r="E618" s="114" t="str">
        <f aca="false">IF(OR(C618="",P618=""),"",IF(INDEX('CARNET DE SOUDURE'!$U$7:$U$3006,P618)="","",INDEX('CARNET DE SOUDURE'!$U$7:$U$3006,P618)))</f>
        <v/>
      </c>
      <c r="F618" s="82" t="str">
        <f aca="false">IF(OR(C618="",P618=""),"",INDEX('CARNET DE SOUDURE'!$AP$7:$AP$3006,P618))</f>
        <v/>
      </c>
      <c r="G618" s="82" t="str">
        <f aca="false">IF(C618="","",IF(P618="","NJ INCONNU",INDEX('CARNET DE SOUDURE'!$AQ$7:$AQ$3006,P618)))</f>
        <v>À SOUDER</v>
      </c>
      <c r="H618" s="82" t="str">
        <f aca="false">IF(C618="","",IF(G618="ACCEPTÉ","OUI","NON"))</f>
        <v>NON</v>
      </c>
      <c r="I618" s="83"/>
      <c r="J618" s="80"/>
      <c r="K618" s="81"/>
      <c r="L618" s="81"/>
      <c r="M618" s="81"/>
      <c r="N618" s="84" t="str">
        <f aca="false">IF(C618="","",IF(P618="","NJ INCONNU",IF(I618="",IF(H618="OUI","À ENROBER",IF(G618="À SOUDER","NON SOUDÉ","EN ATTENTE RT")),IF(L618="R","À REPRENDRE",IF(H618&lt;&gt;"OUI","⚠ ENROBÉ AVANT ACCEPTATION RT","ENROBÉ")))))</f>
        <v>NON SOUDÉ</v>
      </c>
      <c r="O618" s="80"/>
      <c r="P618" s="82" t="n">
        <f aca="false">IF(C618="","",IFERROR(MATCH(Q618,'CARNET DE SOUDURE'!$AW$7:$AW$3006,0),""))</f>
        <v>612</v>
      </c>
      <c r="Q618" s="82" t="str">
        <f aca="false">IF(C618="","",B618&amp;"|"&amp;C618)</f>
        <v>MFD-ISW → MFD-CPF|JN°612</v>
      </c>
    </row>
    <row r="619" customFormat="false" ht="74.6" hidden="false" customHeight="false" outlineLevel="0" collapsed="false">
      <c r="A619" s="82" t="n">
        <f aca="false">IF(C619="","",ROW()-6)</f>
        <v>613</v>
      </c>
      <c r="B619" s="80" t="s">
        <v>110</v>
      </c>
      <c r="C619" s="113" t="s">
        <v>723</v>
      </c>
      <c r="D619" s="82" t="str">
        <f aca="false">IF(OR(C619="",P619=""),"",INDEX('CARNET DE SOUDURE'!$D$7:$D$3006,P619)&amp;"")</f>
        <v/>
      </c>
      <c r="E619" s="114" t="str">
        <f aca="false">IF(OR(C619="",P619=""),"",IF(INDEX('CARNET DE SOUDURE'!$U$7:$U$3006,P619)="","",INDEX('CARNET DE SOUDURE'!$U$7:$U$3006,P619)))</f>
        <v/>
      </c>
      <c r="F619" s="82" t="str">
        <f aca="false">IF(OR(C619="",P619=""),"",INDEX('CARNET DE SOUDURE'!$AP$7:$AP$3006,P619))</f>
        <v/>
      </c>
      <c r="G619" s="82" t="str">
        <f aca="false">IF(C619="","",IF(P619="","NJ INCONNU",INDEX('CARNET DE SOUDURE'!$AQ$7:$AQ$3006,P619)))</f>
        <v>À SOUDER</v>
      </c>
      <c r="H619" s="82" t="str">
        <f aca="false">IF(C619="","",IF(G619="ACCEPTÉ","OUI","NON"))</f>
        <v>NON</v>
      </c>
      <c r="I619" s="83"/>
      <c r="J619" s="80"/>
      <c r="K619" s="81"/>
      <c r="L619" s="81"/>
      <c r="M619" s="81"/>
      <c r="N619" s="84" t="str">
        <f aca="false">IF(C619="","",IF(P619="","NJ INCONNU",IF(I619="",IF(H619="OUI","À ENROBER",IF(G619="À SOUDER","NON SOUDÉ","EN ATTENTE RT")),IF(L619="R","À REPRENDRE",IF(H619&lt;&gt;"OUI","⚠ ENROBÉ AVANT ACCEPTATION RT","ENROBÉ")))))</f>
        <v>NON SOUDÉ</v>
      </c>
      <c r="O619" s="80"/>
      <c r="P619" s="82" t="n">
        <f aca="false">IF(C619="","",IFERROR(MATCH(Q619,'CARNET DE SOUDURE'!$AW$7:$AW$3006,0),""))</f>
        <v>613</v>
      </c>
      <c r="Q619" s="82" t="str">
        <f aca="false">IF(C619="","",B619&amp;"|"&amp;C619)</f>
        <v>MFD-ISW → MFD-CPF|JN°613</v>
      </c>
    </row>
    <row r="620" customFormat="false" ht="74.6" hidden="false" customHeight="false" outlineLevel="0" collapsed="false">
      <c r="A620" s="82" t="n">
        <f aca="false">IF(C620="","",ROW()-6)</f>
        <v>614</v>
      </c>
      <c r="B620" s="80" t="s">
        <v>110</v>
      </c>
      <c r="C620" s="113" t="s">
        <v>724</v>
      </c>
      <c r="D620" s="82" t="str">
        <f aca="false">IF(OR(C620="",P620=""),"",INDEX('CARNET DE SOUDURE'!$D$7:$D$3006,P620)&amp;"")</f>
        <v/>
      </c>
      <c r="E620" s="114" t="str">
        <f aca="false">IF(OR(C620="",P620=""),"",IF(INDEX('CARNET DE SOUDURE'!$U$7:$U$3006,P620)="","",INDEX('CARNET DE SOUDURE'!$U$7:$U$3006,P620)))</f>
        <v/>
      </c>
      <c r="F620" s="82" t="str">
        <f aca="false">IF(OR(C620="",P620=""),"",INDEX('CARNET DE SOUDURE'!$AP$7:$AP$3006,P620))</f>
        <v/>
      </c>
      <c r="G620" s="82" t="str">
        <f aca="false">IF(C620="","",IF(P620="","NJ INCONNU",INDEX('CARNET DE SOUDURE'!$AQ$7:$AQ$3006,P620)))</f>
        <v>À SOUDER</v>
      </c>
      <c r="H620" s="82" t="str">
        <f aca="false">IF(C620="","",IF(G620="ACCEPTÉ","OUI","NON"))</f>
        <v>NON</v>
      </c>
      <c r="I620" s="83"/>
      <c r="J620" s="80"/>
      <c r="K620" s="81"/>
      <c r="L620" s="81"/>
      <c r="M620" s="81"/>
      <c r="N620" s="84" t="str">
        <f aca="false">IF(C620="","",IF(P620="","NJ INCONNU",IF(I620="",IF(H620="OUI","À ENROBER",IF(G620="À SOUDER","NON SOUDÉ","EN ATTENTE RT")),IF(L620="R","À REPRENDRE",IF(H620&lt;&gt;"OUI","⚠ ENROBÉ AVANT ACCEPTATION RT","ENROBÉ")))))</f>
        <v>NON SOUDÉ</v>
      </c>
      <c r="O620" s="80"/>
      <c r="P620" s="82" t="n">
        <f aca="false">IF(C620="","",IFERROR(MATCH(Q620,'CARNET DE SOUDURE'!$AW$7:$AW$3006,0),""))</f>
        <v>614</v>
      </c>
      <c r="Q620" s="82" t="str">
        <f aca="false">IF(C620="","",B620&amp;"|"&amp;C620)</f>
        <v>MFD-ISW → MFD-CPF|JN°614</v>
      </c>
    </row>
    <row r="621" customFormat="false" ht="74.6" hidden="false" customHeight="false" outlineLevel="0" collapsed="false">
      <c r="A621" s="82" t="n">
        <f aca="false">IF(C621="","",ROW()-6)</f>
        <v>615</v>
      </c>
      <c r="B621" s="80" t="s">
        <v>110</v>
      </c>
      <c r="C621" s="113" t="s">
        <v>725</v>
      </c>
      <c r="D621" s="82" t="str">
        <f aca="false">IF(OR(C621="",P621=""),"",INDEX('CARNET DE SOUDURE'!$D$7:$D$3006,P621)&amp;"")</f>
        <v/>
      </c>
      <c r="E621" s="114" t="str">
        <f aca="false">IF(OR(C621="",P621=""),"",IF(INDEX('CARNET DE SOUDURE'!$U$7:$U$3006,P621)="","",INDEX('CARNET DE SOUDURE'!$U$7:$U$3006,P621)))</f>
        <v/>
      </c>
      <c r="F621" s="82" t="str">
        <f aca="false">IF(OR(C621="",P621=""),"",INDEX('CARNET DE SOUDURE'!$AP$7:$AP$3006,P621))</f>
        <v/>
      </c>
      <c r="G621" s="82" t="str">
        <f aca="false">IF(C621="","",IF(P621="","NJ INCONNU",INDEX('CARNET DE SOUDURE'!$AQ$7:$AQ$3006,P621)))</f>
        <v>À SOUDER</v>
      </c>
      <c r="H621" s="82" t="str">
        <f aca="false">IF(C621="","",IF(G621="ACCEPTÉ","OUI","NON"))</f>
        <v>NON</v>
      </c>
      <c r="I621" s="83"/>
      <c r="J621" s="80"/>
      <c r="K621" s="81"/>
      <c r="L621" s="81"/>
      <c r="M621" s="81"/>
      <c r="N621" s="84" t="str">
        <f aca="false">IF(C621="","",IF(P621="","NJ INCONNU",IF(I621="",IF(H621="OUI","À ENROBER",IF(G621="À SOUDER","NON SOUDÉ","EN ATTENTE RT")),IF(L621="R","À REPRENDRE",IF(H621&lt;&gt;"OUI","⚠ ENROBÉ AVANT ACCEPTATION RT","ENROBÉ")))))</f>
        <v>NON SOUDÉ</v>
      </c>
      <c r="O621" s="80"/>
      <c r="P621" s="82" t="n">
        <f aca="false">IF(C621="","",IFERROR(MATCH(Q621,'CARNET DE SOUDURE'!$AW$7:$AW$3006,0),""))</f>
        <v>615</v>
      </c>
      <c r="Q621" s="82" t="str">
        <f aca="false">IF(C621="","",B621&amp;"|"&amp;C621)</f>
        <v>MFD-ISW → MFD-CPF|JN°615</v>
      </c>
    </row>
    <row r="622" customFormat="false" ht="74.6" hidden="false" customHeight="false" outlineLevel="0" collapsed="false">
      <c r="A622" s="82" t="n">
        <f aca="false">IF(C622="","",ROW()-6)</f>
        <v>616</v>
      </c>
      <c r="B622" s="80" t="s">
        <v>110</v>
      </c>
      <c r="C622" s="113" t="s">
        <v>726</v>
      </c>
      <c r="D622" s="82" t="str">
        <f aca="false">IF(OR(C622="",P622=""),"",INDEX('CARNET DE SOUDURE'!$D$7:$D$3006,P622)&amp;"")</f>
        <v/>
      </c>
      <c r="E622" s="114" t="str">
        <f aca="false">IF(OR(C622="",P622=""),"",IF(INDEX('CARNET DE SOUDURE'!$U$7:$U$3006,P622)="","",INDEX('CARNET DE SOUDURE'!$U$7:$U$3006,P622)))</f>
        <v/>
      </c>
      <c r="F622" s="82" t="str">
        <f aca="false">IF(OR(C622="",P622=""),"",INDEX('CARNET DE SOUDURE'!$AP$7:$AP$3006,P622))</f>
        <v/>
      </c>
      <c r="G622" s="82" t="str">
        <f aca="false">IF(C622="","",IF(P622="","NJ INCONNU",INDEX('CARNET DE SOUDURE'!$AQ$7:$AQ$3006,P622)))</f>
        <v>À SOUDER</v>
      </c>
      <c r="H622" s="82" t="str">
        <f aca="false">IF(C622="","",IF(G622="ACCEPTÉ","OUI","NON"))</f>
        <v>NON</v>
      </c>
      <c r="I622" s="83"/>
      <c r="J622" s="80"/>
      <c r="K622" s="81"/>
      <c r="L622" s="81"/>
      <c r="M622" s="81"/>
      <c r="N622" s="84" t="str">
        <f aca="false">IF(C622="","",IF(P622="","NJ INCONNU",IF(I622="",IF(H622="OUI","À ENROBER",IF(G622="À SOUDER","NON SOUDÉ","EN ATTENTE RT")),IF(L622="R","À REPRENDRE",IF(H622&lt;&gt;"OUI","⚠ ENROBÉ AVANT ACCEPTATION RT","ENROBÉ")))))</f>
        <v>NON SOUDÉ</v>
      </c>
      <c r="O622" s="80"/>
      <c r="P622" s="82" t="n">
        <f aca="false">IF(C622="","",IFERROR(MATCH(Q622,'CARNET DE SOUDURE'!$AW$7:$AW$3006,0),""))</f>
        <v>616</v>
      </c>
      <c r="Q622" s="82" t="str">
        <f aca="false">IF(C622="","",B622&amp;"|"&amp;C622)</f>
        <v>MFD-ISW → MFD-CPF|JN°616</v>
      </c>
    </row>
    <row r="623" customFormat="false" ht="74.6" hidden="false" customHeight="false" outlineLevel="0" collapsed="false">
      <c r="A623" s="82" t="n">
        <f aca="false">IF(C623="","",ROW()-6)</f>
        <v>617</v>
      </c>
      <c r="B623" s="80" t="s">
        <v>110</v>
      </c>
      <c r="C623" s="113" t="s">
        <v>727</v>
      </c>
      <c r="D623" s="82" t="str">
        <f aca="false">IF(OR(C623="",P623=""),"",INDEX('CARNET DE SOUDURE'!$D$7:$D$3006,P623)&amp;"")</f>
        <v/>
      </c>
      <c r="E623" s="114" t="str">
        <f aca="false">IF(OR(C623="",P623=""),"",IF(INDEX('CARNET DE SOUDURE'!$U$7:$U$3006,P623)="","",INDEX('CARNET DE SOUDURE'!$U$7:$U$3006,P623)))</f>
        <v/>
      </c>
      <c r="F623" s="82" t="str">
        <f aca="false">IF(OR(C623="",P623=""),"",INDEX('CARNET DE SOUDURE'!$AP$7:$AP$3006,P623))</f>
        <v/>
      </c>
      <c r="G623" s="82" t="str">
        <f aca="false">IF(C623="","",IF(P623="","NJ INCONNU",INDEX('CARNET DE SOUDURE'!$AQ$7:$AQ$3006,P623)))</f>
        <v>À SOUDER</v>
      </c>
      <c r="H623" s="82" t="str">
        <f aca="false">IF(C623="","",IF(G623="ACCEPTÉ","OUI","NON"))</f>
        <v>NON</v>
      </c>
      <c r="I623" s="83"/>
      <c r="J623" s="80"/>
      <c r="K623" s="81"/>
      <c r="L623" s="81"/>
      <c r="M623" s="81"/>
      <c r="N623" s="84" t="str">
        <f aca="false">IF(C623="","",IF(P623="","NJ INCONNU",IF(I623="",IF(H623="OUI","À ENROBER",IF(G623="À SOUDER","NON SOUDÉ","EN ATTENTE RT")),IF(L623="R","À REPRENDRE",IF(H623&lt;&gt;"OUI","⚠ ENROBÉ AVANT ACCEPTATION RT","ENROBÉ")))))</f>
        <v>NON SOUDÉ</v>
      </c>
      <c r="O623" s="80"/>
      <c r="P623" s="82" t="n">
        <f aca="false">IF(C623="","",IFERROR(MATCH(Q623,'CARNET DE SOUDURE'!$AW$7:$AW$3006,0),""))</f>
        <v>617</v>
      </c>
      <c r="Q623" s="82" t="str">
        <f aca="false">IF(C623="","",B623&amp;"|"&amp;C623)</f>
        <v>MFD-ISW → MFD-CPF|JN°617</v>
      </c>
    </row>
    <row r="624" customFormat="false" ht="74.6" hidden="false" customHeight="false" outlineLevel="0" collapsed="false">
      <c r="A624" s="82" t="n">
        <f aca="false">IF(C624="","",ROW()-6)</f>
        <v>618</v>
      </c>
      <c r="B624" s="80" t="s">
        <v>110</v>
      </c>
      <c r="C624" s="113" t="s">
        <v>728</v>
      </c>
      <c r="D624" s="82" t="str">
        <f aca="false">IF(OR(C624="",P624=""),"",INDEX('CARNET DE SOUDURE'!$D$7:$D$3006,P624)&amp;"")</f>
        <v/>
      </c>
      <c r="E624" s="114" t="str">
        <f aca="false">IF(OR(C624="",P624=""),"",IF(INDEX('CARNET DE SOUDURE'!$U$7:$U$3006,P624)="","",INDEX('CARNET DE SOUDURE'!$U$7:$U$3006,P624)))</f>
        <v/>
      </c>
      <c r="F624" s="82" t="str">
        <f aca="false">IF(OR(C624="",P624=""),"",INDEX('CARNET DE SOUDURE'!$AP$7:$AP$3006,P624))</f>
        <v/>
      </c>
      <c r="G624" s="82" t="str">
        <f aca="false">IF(C624="","",IF(P624="","NJ INCONNU",INDEX('CARNET DE SOUDURE'!$AQ$7:$AQ$3006,P624)))</f>
        <v>À SOUDER</v>
      </c>
      <c r="H624" s="82" t="str">
        <f aca="false">IF(C624="","",IF(G624="ACCEPTÉ","OUI","NON"))</f>
        <v>NON</v>
      </c>
      <c r="I624" s="83"/>
      <c r="J624" s="80"/>
      <c r="K624" s="81"/>
      <c r="L624" s="81"/>
      <c r="M624" s="81"/>
      <c r="N624" s="84" t="str">
        <f aca="false">IF(C624="","",IF(P624="","NJ INCONNU",IF(I624="",IF(H624="OUI","À ENROBER",IF(G624="À SOUDER","NON SOUDÉ","EN ATTENTE RT")),IF(L624="R","À REPRENDRE",IF(H624&lt;&gt;"OUI","⚠ ENROBÉ AVANT ACCEPTATION RT","ENROBÉ")))))</f>
        <v>NON SOUDÉ</v>
      </c>
      <c r="O624" s="80"/>
      <c r="P624" s="82" t="n">
        <f aca="false">IF(C624="","",IFERROR(MATCH(Q624,'CARNET DE SOUDURE'!$AW$7:$AW$3006,0),""))</f>
        <v>618</v>
      </c>
      <c r="Q624" s="82" t="str">
        <f aca="false">IF(C624="","",B624&amp;"|"&amp;C624)</f>
        <v>MFD-ISW → MFD-CPF|JN°618</v>
      </c>
    </row>
    <row r="625" customFormat="false" ht="74.6" hidden="false" customHeight="false" outlineLevel="0" collapsed="false">
      <c r="A625" s="82" t="n">
        <f aca="false">IF(C625="","",ROW()-6)</f>
        <v>619</v>
      </c>
      <c r="B625" s="80" t="s">
        <v>110</v>
      </c>
      <c r="C625" s="113" t="s">
        <v>729</v>
      </c>
      <c r="D625" s="82" t="str">
        <f aca="false">IF(OR(C625="",P625=""),"",INDEX('CARNET DE SOUDURE'!$D$7:$D$3006,P625)&amp;"")</f>
        <v/>
      </c>
      <c r="E625" s="114" t="str">
        <f aca="false">IF(OR(C625="",P625=""),"",IF(INDEX('CARNET DE SOUDURE'!$U$7:$U$3006,P625)="","",INDEX('CARNET DE SOUDURE'!$U$7:$U$3006,P625)))</f>
        <v/>
      </c>
      <c r="F625" s="82" t="str">
        <f aca="false">IF(OR(C625="",P625=""),"",INDEX('CARNET DE SOUDURE'!$AP$7:$AP$3006,P625))</f>
        <v/>
      </c>
      <c r="G625" s="82" t="str">
        <f aca="false">IF(C625="","",IF(P625="","NJ INCONNU",INDEX('CARNET DE SOUDURE'!$AQ$7:$AQ$3006,P625)))</f>
        <v>À SOUDER</v>
      </c>
      <c r="H625" s="82" t="str">
        <f aca="false">IF(C625="","",IF(G625="ACCEPTÉ","OUI","NON"))</f>
        <v>NON</v>
      </c>
      <c r="I625" s="83"/>
      <c r="J625" s="80"/>
      <c r="K625" s="81"/>
      <c r="L625" s="81"/>
      <c r="M625" s="81"/>
      <c r="N625" s="84" t="str">
        <f aca="false">IF(C625="","",IF(P625="","NJ INCONNU",IF(I625="",IF(H625="OUI","À ENROBER",IF(G625="À SOUDER","NON SOUDÉ","EN ATTENTE RT")),IF(L625="R","À REPRENDRE",IF(H625&lt;&gt;"OUI","⚠ ENROBÉ AVANT ACCEPTATION RT","ENROBÉ")))))</f>
        <v>NON SOUDÉ</v>
      </c>
      <c r="O625" s="80"/>
      <c r="P625" s="82" t="n">
        <f aca="false">IF(C625="","",IFERROR(MATCH(Q625,'CARNET DE SOUDURE'!$AW$7:$AW$3006,0),""))</f>
        <v>619</v>
      </c>
      <c r="Q625" s="82" t="str">
        <f aca="false">IF(C625="","",B625&amp;"|"&amp;C625)</f>
        <v>MFD-ISW → MFD-CPF|JN°619</v>
      </c>
    </row>
    <row r="626" customFormat="false" ht="74.6" hidden="false" customHeight="false" outlineLevel="0" collapsed="false">
      <c r="A626" s="82" t="n">
        <f aca="false">IF(C626="","",ROW()-6)</f>
        <v>620</v>
      </c>
      <c r="B626" s="80" t="s">
        <v>110</v>
      </c>
      <c r="C626" s="113" t="s">
        <v>730</v>
      </c>
      <c r="D626" s="82" t="str">
        <f aca="false">IF(OR(C626="",P626=""),"",INDEX('CARNET DE SOUDURE'!$D$7:$D$3006,P626)&amp;"")</f>
        <v/>
      </c>
      <c r="E626" s="114" t="str">
        <f aca="false">IF(OR(C626="",P626=""),"",IF(INDEX('CARNET DE SOUDURE'!$U$7:$U$3006,P626)="","",INDEX('CARNET DE SOUDURE'!$U$7:$U$3006,P626)))</f>
        <v/>
      </c>
      <c r="F626" s="82" t="str">
        <f aca="false">IF(OR(C626="",P626=""),"",INDEX('CARNET DE SOUDURE'!$AP$7:$AP$3006,P626))</f>
        <v/>
      </c>
      <c r="G626" s="82" t="str">
        <f aca="false">IF(C626="","",IF(P626="","NJ INCONNU",INDEX('CARNET DE SOUDURE'!$AQ$7:$AQ$3006,P626)))</f>
        <v>À SOUDER</v>
      </c>
      <c r="H626" s="82" t="str">
        <f aca="false">IF(C626="","",IF(G626="ACCEPTÉ","OUI","NON"))</f>
        <v>NON</v>
      </c>
      <c r="I626" s="83"/>
      <c r="J626" s="80"/>
      <c r="K626" s="81"/>
      <c r="L626" s="81"/>
      <c r="M626" s="81"/>
      <c r="N626" s="84" t="str">
        <f aca="false">IF(C626="","",IF(P626="","NJ INCONNU",IF(I626="",IF(H626="OUI","À ENROBER",IF(G626="À SOUDER","NON SOUDÉ","EN ATTENTE RT")),IF(L626="R","À REPRENDRE",IF(H626&lt;&gt;"OUI","⚠ ENROBÉ AVANT ACCEPTATION RT","ENROBÉ")))))</f>
        <v>NON SOUDÉ</v>
      </c>
      <c r="O626" s="80"/>
      <c r="P626" s="82" t="n">
        <f aca="false">IF(C626="","",IFERROR(MATCH(Q626,'CARNET DE SOUDURE'!$AW$7:$AW$3006,0),""))</f>
        <v>620</v>
      </c>
      <c r="Q626" s="82" t="str">
        <f aca="false">IF(C626="","",B626&amp;"|"&amp;C626)</f>
        <v>MFD-ISW → MFD-CPF|JN°620</v>
      </c>
    </row>
    <row r="627" customFormat="false" ht="74.6" hidden="false" customHeight="false" outlineLevel="0" collapsed="false">
      <c r="A627" s="82" t="n">
        <f aca="false">IF(C627="","",ROW()-6)</f>
        <v>621</v>
      </c>
      <c r="B627" s="80" t="s">
        <v>110</v>
      </c>
      <c r="C627" s="113" t="s">
        <v>731</v>
      </c>
      <c r="D627" s="82" t="str">
        <f aca="false">IF(OR(C627="",P627=""),"",INDEX('CARNET DE SOUDURE'!$D$7:$D$3006,P627)&amp;"")</f>
        <v/>
      </c>
      <c r="E627" s="114" t="str">
        <f aca="false">IF(OR(C627="",P627=""),"",IF(INDEX('CARNET DE SOUDURE'!$U$7:$U$3006,P627)="","",INDEX('CARNET DE SOUDURE'!$U$7:$U$3006,P627)))</f>
        <v/>
      </c>
      <c r="F627" s="82" t="str">
        <f aca="false">IF(OR(C627="",P627=""),"",INDEX('CARNET DE SOUDURE'!$AP$7:$AP$3006,P627))</f>
        <v/>
      </c>
      <c r="G627" s="82" t="str">
        <f aca="false">IF(C627="","",IF(P627="","NJ INCONNU",INDEX('CARNET DE SOUDURE'!$AQ$7:$AQ$3006,P627)))</f>
        <v>À SOUDER</v>
      </c>
      <c r="H627" s="82" t="str">
        <f aca="false">IF(C627="","",IF(G627="ACCEPTÉ","OUI","NON"))</f>
        <v>NON</v>
      </c>
      <c r="I627" s="83"/>
      <c r="J627" s="80"/>
      <c r="K627" s="81"/>
      <c r="L627" s="81"/>
      <c r="M627" s="81"/>
      <c r="N627" s="84" t="str">
        <f aca="false">IF(C627="","",IF(P627="","NJ INCONNU",IF(I627="",IF(H627="OUI","À ENROBER",IF(G627="À SOUDER","NON SOUDÉ","EN ATTENTE RT")),IF(L627="R","À REPRENDRE",IF(H627&lt;&gt;"OUI","⚠ ENROBÉ AVANT ACCEPTATION RT","ENROBÉ")))))</f>
        <v>NON SOUDÉ</v>
      </c>
      <c r="O627" s="80"/>
      <c r="P627" s="82" t="n">
        <f aca="false">IF(C627="","",IFERROR(MATCH(Q627,'CARNET DE SOUDURE'!$AW$7:$AW$3006,0),""))</f>
        <v>621</v>
      </c>
      <c r="Q627" s="82" t="str">
        <f aca="false">IF(C627="","",B627&amp;"|"&amp;C627)</f>
        <v>MFD-ISW → MFD-CPF|JN°621</v>
      </c>
    </row>
    <row r="628" customFormat="false" ht="74.6" hidden="false" customHeight="false" outlineLevel="0" collapsed="false">
      <c r="A628" s="82" t="n">
        <f aca="false">IF(C628="","",ROW()-6)</f>
        <v>622</v>
      </c>
      <c r="B628" s="80" t="s">
        <v>110</v>
      </c>
      <c r="C628" s="113" t="s">
        <v>732</v>
      </c>
      <c r="D628" s="82" t="str">
        <f aca="false">IF(OR(C628="",P628=""),"",INDEX('CARNET DE SOUDURE'!$D$7:$D$3006,P628)&amp;"")</f>
        <v/>
      </c>
      <c r="E628" s="114" t="str">
        <f aca="false">IF(OR(C628="",P628=""),"",IF(INDEX('CARNET DE SOUDURE'!$U$7:$U$3006,P628)="","",INDEX('CARNET DE SOUDURE'!$U$7:$U$3006,P628)))</f>
        <v/>
      </c>
      <c r="F628" s="82" t="str">
        <f aca="false">IF(OR(C628="",P628=""),"",INDEX('CARNET DE SOUDURE'!$AP$7:$AP$3006,P628))</f>
        <v/>
      </c>
      <c r="G628" s="82" t="str">
        <f aca="false">IF(C628="","",IF(P628="","NJ INCONNU",INDEX('CARNET DE SOUDURE'!$AQ$7:$AQ$3006,P628)))</f>
        <v>À SOUDER</v>
      </c>
      <c r="H628" s="82" t="str">
        <f aca="false">IF(C628="","",IF(G628="ACCEPTÉ","OUI","NON"))</f>
        <v>NON</v>
      </c>
      <c r="I628" s="83"/>
      <c r="J628" s="80"/>
      <c r="K628" s="81"/>
      <c r="L628" s="81"/>
      <c r="M628" s="81"/>
      <c r="N628" s="84" t="str">
        <f aca="false">IF(C628="","",IF(P628="","NJ INCONNU",IF(I628="",IF(H628="OUI","À ENROBER",IF(G628="À SOUDER","NON SOUDÉ","EN ATTENTE RT")),IF(L628="R","À REPRENDRE",IF(H628&lt;&gt;"OUI","⚠ ENROBÉ AVANT ACCEPTATION RT","ENROBÉ")))))</f>
        <v>NON SOUDÉ</v>
      </c>
      <c r="O628" s="80"/>
      <c r="P628" s="82" t="n">
        <f aca="false">IF(C628="","",IFERROR(MATCH(Q628,'CARNET DE SOUDURE'!$AW$7:$AW$3006,0),""))</f>
        <v>622</v>
      </c>
      <c r="Q628" s="82" t="str">
        <f aca="false">IF(C628="","",B628&amp;"|"&amp;C628)</f>
        <v>MFD-ISW → MFD-CPF|JN°622</v>
      </c>
    </row>
    <row r="629" customFormat="false" ht="74.6" hidden="false" customHeight="false" outlineLevel="0" collapsed="false">
      <c r="A629" s="82" t="n">
        <f aca="false">IF(C629="","",ROW()-6)</f>
        <v>623</v>
      </c>
      <c r="B629" s="80" t="s">
        <v>110</v>
      </c>
      <c r="C629" s="113" t="s">
        <v>733</v>
      </c>
      <c r="D629" s="82" t="str">
        <f aca="false">IF(OR(C629="",P629=""),"",INDEX('CARNET DE SOUDURE'!$D$7:$D$3006,P629)&amp;"")</f>
        <v/>
      </c>
      <c r="E629" s="114" t="str">
        <f aca="false">IF(OR(C629="",P629=""),"",IF(INDEX('CARNET DE SOUDURE'!$U$7:$U$3006,P629)="","",INDEX('CARNET DE SOUDURE'!$U$7:$U$3006,P629)))</f>
        <v/>
      </c>
      <c r="F629" s="82" t="str">
        <f aca="false">IF(OR(C629="",P629=""),"",INDEX('CARNET DE SOUDURE'!$AP$7:$AP$3006,P629))</f>
        <v/>
      </c>
      <c r="G629" s="82" t="str">
        <f aca="false">IF(C629="","",IF(P629="","NJ INCONNU",INDEX('CARNET DE SOUDURE'!$AQ$7:$AQ$3006,P629)))</f>
        <v>À SOUDER</v>
      </c>
      <c r="H629" s="82" t="str">
        <f aca="false">IF(C629="","",IF(G629="ACCEPTÉ","OUI","NON"))</f>
        <v>NON</v>
      </c>
      <c r="I629" s="83"/>
      <c r="J629" s="80"/>
      <c r="K629" s="81"/>
      <c r="L629" s="81"/>
      <c r="M629" s="81"/>
      <c r="N629" s="84" t="str">
        <f aca="false">IF(C629="","",IF(P629="","NJ INCONNU",IF(I629="",IF(H629="OUI","À ENROBER",IF(G629="À SOUDER","NON SOUDÉ","EN ATTENTE RT")),IF(L629="R","À REPRENDRE",IF(H629&lt;&gt;"OUI","⚠ ENROBÉ AVANT ACCEPTATION RT","ENROBÉ")))))</f>
        <v>NON SOUDÉ</v>
      </c>
      <c r="O629" s="80"/>
      <c r="P629" s="82" t="n">
        <f aca="false">IF(C629="","",IFERROR(MATCH(Q629,'CARNET DE SOUDURE'!$AW$7:$AW$3006,0),""))</f>
        <v>623</v>
      </c>
      <c r="Q629" s="82" t="str">
        <f aca="false">IF(C629="","",B629&amp;"|"&amp;C629)</f>
        <v>MFD-ISW → MFD-CPF|JN°623</v>
      </c>
    </row>
    <row r="630" customFormat="false" ht="74.6" hidden="false" customHeight="false" outlineLevel="0" collapsed="false">
      <c r="A630" s="82" t="n">
        <f aca="false">IF(C630="","",ROW()-6)</f>
        <v>624</v>
      </c>
      <c r="B630" s="80" t="s">
        <v>110</v>
      </c>
      <c r="C630" s="113" t="s">
        <v>734</v>
      </c>
      <c r="D630" s="82" t="str">
        <f aca="false">IF(OR(C630="",P630=""),"",INDEX('CARNET DE SOUDURE'!$D$7:$D$3006,P630)&amp;"")</f>
        <v/>
      </c>
      <c r="E630" s="114" t="str">
        <f aca="false">IF(OR(C630="",P630=""),"",IF(INDEX('CARNET DE SOUDURE'!$U$7:$U$3006,P630)="","",INDEX('CARNET DE SOUDURE'!$U$7:$U$3006,P630)))</f>
        <v/>
      </c>
      <c r="F630" s="82" t="str">
        <f aca="false">IF(OR(C630="",P630=""),"",INDEX('CARNET DE SOUDURE'!$AP$7:$AP$3006,P630))</f>
        <v/>
      </c>
      <c r="G630" s="82" t="str">
        <f aca="false">IF(C630="","",IF(P630="","NJ INCONNU",INDEX('CARNET DE SOUDURE'!$AQ$7:$AQ$3006,P630)))</f>
        <v>À SOUDER</v>
      </c>
      <c r="H630" s="82" t="str">
        <f aca="false">IF(C630="","",IF(G630="ACCEPTÉ","OUI","NON"))</f>
        <v>NON</v>
      </c>
      <c r="I630" s="83"/>
      <c r="J630" s="80"/>
      <c r="K630" s="81"/>
      <c r="L630" s="81"/>
      <c r="M630" s="81"/>
      <c r="N630" s="84" t="str">
        <f aca="false">IF(C630="","",IF(P630="","NJ INCONNU",IF(I630="",IF(H630="OUI","À ENROBER",IF(G630="À SOUDER","NON SOUDÉ","EN ATTENTE RT")),IF(L630="R","À REPRENDRE",IF(H630&lt;&gt;"OUI","⚠ ENROBÉ AVANT ACCEPTATION RT","ENROBÉ")))))</f>
        <v>NON SOUDÉ</v>
      </c>
      <c r="O630" s="80"/>
      <c r="P630" s="82" t="n">
        <f aca="false">IF(C630="","",IFERROR(MATCH(Q630,'CARNET DE SOUDURE'!$AW$7:$AW$3006,0),""))</f>
        <v>624</v>
      </c>
      <c r="Q630" s="82" t="str">
        <f aca="false">IF(C630="","",B630&amp;"|"&amp;C630)</f>
        <v>MFD-ISW → MFD-CPF|JN°624</v>
      </c>
    </row>
    <row r="631" customFormat="false" ht="74.6" hidden="false" customHeight="false" outlineLevel="0" collapsed="false">
      <c r="A631" s="82" t="n">
        <f aca="false">IF(C631="","",ROW()-6)</f>
        <v>625</v>
      </c>
      <c r="B631" s="80" t="s">
        <v>110</v>
      </c>
      <c r="C631" s="113" t="s">
        <v>735</v>
      </c>
      <c r="D631" s="82" t="str">
        <f aca="false">IF(OR(C631="",P631=""),"",INDEX('CARNET DE SOUDURE'!$D$7:$D$3006,P631)&amp;"")</f>
        <v/>
      </c>
      <c r="E631" s="114" t="str">
        <f aca="false">IF(OR(C631="",P631=""),"",IF(INDEX('CARNET DE SOUDURE'!$U$7:$U$3006,P631)="","",INDEX('CARNET DE SOUDURE'!$U$7:$U$3006,P631)))</f>
        <v/>
      </c>
      <c r="F631" s="82" t="str">
        <f aca="false">IF(OR(C631="",P631=""),"",INDEX('CARNET DE SOUDURE'!$AP$7:$AP$3006,P631))</f>
        <v/>
      </c>
      <c r="G631" s="82" t="str">
        <f aca="false">IF(C631="","",IF(P631="","NJ INCONNU",INDEX('CARNET DE SOUDURE'!$AQ$7:$AQ$3006,P631)))</f>
        <v>À SOUDER</v>
      </c>
      <c r="H631" s="82" t="str">
        <f aca="false">IF(C631="","",IF(G631="ACCEPTÉ","OUI","NON"))</f>
        <v>NON</v>
      </c>
      <c r="I631" s="83"/>
      <c r="J631" s="80"/>
      <c r="K631" s="81"/>
      <c r="L631" s="81"/>
      <c r="M631" s="81"/>
      <c r="N631" s="84" t="str">
        <f aca="false">IF(C631="","",IF(P631="","NJ INCONNU",IF(I631="",IF(H631="OUI","À ENROBER",IF(G631="À SOUDER","NON SOUDÉ","EN ATTENTE RT")),IF(L631="R","À REPRENDRE",IF(H631&lt;&gt;"OUI","⚠ ENROBÉ AVANT ACCEPTATION RT","ENROBÉ")))))</f>
        <v>NON SOUDÉ</v>
      </c>
      <c r="O631" s="80"/>
      <c r="P631" s="82" t="n">
        <f aca="false">IF(C631="","",IFERROR(MATCH(Q631,'CARNET DE SOUDURE'!$AW$7:$AW$3006,0),""))</f>
        <v>625</v>
      </c>
      <c r="Q631" s="82" t="str">
        <f aca="false">IF(C631="","",B631&amp;"|"&amp;C631)</f>
        <v>MFD-ISW → MFD-CPF|JN°625</v>
      </c>
    </row>
    <row r="632" customFormat="false" ht="74.6" hidden="false" customHeight="false" outlineLevel="0" collapsed="false">
      <c r="A632" s="82" t="n">
        <f aca="false">IF(C632="","",ROW()-6)</f>
        <v>626</v>
      </c>
      <c r="B632" s="80" t="s">
        <v>110</v>
      </c>
      <c r="C632" s="113" t="s">
        <v>736</v>
      </c>
      <c r="D632" s="82" t="str">
        <f aca="false">IF(OR(C632="",P632=""),"",INDEX('CARNET DE SOUDURE'!$D$7:$D$3006,P632)&amp;"")</f>
        <v/>
      </c>
      <c r="E632" s="114" t="str">
        <f aca="false">IF(OR(C632="",P632=""),"",IF(INDEX('CARNET DE SOUDURE'!$U$7:$U$3006,P632)="","",INDEX('CARNET DE SOUDURE'!$U$7:$U$3006,P632)))</f>
        <v/>
      </c>
      <c r="F632" s="82" t="str">
        <f aca="false">IF(OR(C632="",P632=""),"",INDEX('CARNET DE SOUDURE'!$AP$7:$AP$3006,P632))</f>
        <v/>
      </c>
      <c r="G632" s="82" t="str">
        <f aca="false">IF(C632="","",IF(P632="","NJ INCONNU",INDEX('CARNET DE SOUDURE'!$AQ$7:$AQ$3006,P632)))</f>
        <v>À SOUDER</v>
      </c>
      <c r="H632" s="82" t="str">
        <f aca="false">IF(C632="","",IF(G632="ACCEPTÉ","OUI","NON"))</f>
        <v>NON</v>
      </c>
      <c r="I632" s="83"/>
      <c r="J632" s="80"/>
      <c r="K632" s="81"/>
      <c r="L632" s="81"/>
      <c r="M632" s="81"/>
      <c r="N632" s="84" t="str">
        <f aca="false">IF(C632="","",IF(P632="","NJ INCONNU",IF(I632="",IF(H632="OUI","À ENROBER",IF(G632="À SOUDER","NON SOUDÉ","EN ATTENTE RT")),IF(L632="R","À REPRENDRE",IF(H632&lt;&gt;"OUI","⚠ ENROBÉ AVANT ACCEPTATION RT","ENROBÉ")))))</f>
        <v>NON SOUDÉ</v>
      </c>
      <c r="O632" s="80"/>
      <c r="P632" s="82" t="n">
        <f aca="false">IF(C632="","",IFERROR(MATCH(Q632,'CARNET DE SOUDURE'!$AW$7:$AW$3006,0),""))</f>
        <v>626</v>
      </c>
      <c r="Q632" s="82" t="str">
        <f aca="false">IF(C632="","",B632&amp;"|"&amp;C632)</f>
        <v>MFD-ISW → MFD-CPF|JN°626</v>
      </c>
    </row>
    <row r="633" customFormat="false" ht="74.6" hidden="false" customHeight="false" outlineLevel="0" collapsed="false">
      <c r="A633" s="82" t="n">
        <f aca="false">IF(C633="","",ROW()-6)</f>
        <v>627</v>
      </c>
      <c r="B633" s="80" t="s">
        <v>110</v>
      </c>
      <c r="C633" s="113" t="s">
        <v>737</v>
      </c>
      <c r="D633" s="82" t="str">
        <f aca="false">IF(OR(C633="",P633=""),"",INDEX('CARNET DE SOUDURE'!$D$7:$D$3006,P633)&amp;"")</f>
        <v/>
      </c>
      <c r="E633" s="114" t="str">
        <f aca="false">IF(OR(C633="",P633=""),"",IF(INDEX('CARNET DE SOUDURE'!$U$7:$U$3006,P633)="","",INDEX('CARNET DE SOUDURE'!$U$7:$U$3006,P633)))</f>
        <v/>
      </c>
      <c r="F633" s="82" t="str">
        <f aca="false">IF(OR(C633="",P633=""),"",INDEX('CARNET DE SOUDURE'!$AP$7:$AP$3006,P633))</f>
        <v/>
      </c>
      <c r="G633" s="82" t="str">
        <f aca="false">IF(C633="","",IF(P633="","NJ INCONNU",INDEX('CARNET DE SOUDURE'!$AQ$7:$AQ$3006,P633)))</f>
        <v>À SOUDER</v>
      </c>
      <c r="H633" s="82" t="str">
        <f aca="false">IF(C633="","",IF(G633="ACCEPTÉ","OUI","NON"))</f>
        <v>NON</v>
      </c>
      <c r="I633" s="83"/>
      <c r="J633" s="80"/>
      <c r="K633" s="81"/>
      <c r="L633" s="81"/>
      <c r="M633" s="81"/>
      <c r="N633" s="84" t="str">
        <f aca="false">IF(C633="","",IF(P633="","NJ INCONNU",IF(I633="",IF(H633="OUI","À ENROBER",IF(G633="À SOUDER","NON SOUDÉ","EN ATTENTE RT")),IF(L633="R","À REPRENDRE",IF(H633&lt;&gt;"OUI","⚠ ENROBÉ AVANT ACCEPTATION RT","ENROBÉ")))))</f>
        <v>NON SOUDÉ</v>
      </c>
      <c r="O633" s="80"/>
      <c r="P633" s="82" t="n">
        <f aca="false">IF(C633="","",IFERROR(MATCH(Q633,'CARNET DE SOUDURE'!$AW$7:$AW$3006,0),""))</f>
        <v>627</v>
      </c>
      <c r="Q633" s="82" t="str">
        <f aca="false">IF(C633="","",B633&amp;"|"&amp;C633)</f>
        <v>MFD-ISW → MFD-CPF|JN°627</v>
      </c>
    </row>
    <row r="634" customFormat="false" ht="74.6" hidden="false" customHeight="false" outlineLevel="0" collapsed="false">
      <c r="A634" s="82" t="n">
        <f aca="false">IF(C634="","",ROW()-6)</f>
        <v>628</v>
      </c>
      <c r="B634" s="80" t="s">
        <v>110</v>
      </c>
      <c r="C634" s="113" t="s">
        <v>738</v>
      </c>
      <c r="D634" s="82" t="str">
        <f aca="false">IF(OR(C634="",P634=""),"",INDEX('CARNET DE SOUDURE'!$D$7:$D$3006,P634)&amp;"")</f>
        <v/>
      </c>
      <c r="E634" s="114" t="str">
        <f aca="false">IF(OR(C634="",P634=""),"",IF(INDEX('CARNET DE SOUDURE'!$U$7:$U$3006,P634)="","",INDEX('CARNET DE SOUDURE'!$U$7:$U$3006,P634)))</f>
        <v/>
      </c>
      <c r="F634" s="82" t="str">
        <f aca="false">IF(OR(C634="",P634=""),"",INDEX('CARNET DE SOUDURE'!$AP$7:$AP$3006,P634))</f>
        <v/>
      </c>
      <c r="G634" s="82" t="str">
        <f aca="false">IF(C634="","",IF(P634="","NJ INCONNU",INDEX('CARNET DE SOUDURE'!$AQ$7:$AQ$3006,P634)))</f>
        <v>À SOUDER</v>
      </c>
      <c r="H634" s="82" t="str">
        <f aca="false">IF(C634="","",IF(G634="ACCEPTÉ","OUI","NON"))</f>
        <v>NON</v>
      </c>
      <c r="I634" s="83"/>
      <c r="J634" s="80"/>
      <c r="K634" s="81"/>
      <c r="L634" s="81"/>
      <c r="M634" s="81"/>
      <c r="N634" s="84" t="str">
        <f aca="false">IF(C634="","",IF(P634="","NJ INCONNU",IF(I634="",IF(H634="OUI","À ENROBER",IF(G634="À SOUDER","NON SOUDÉ","EN ATTENTE RT")),IF(L634="R","À REPRENDRE",IF(H634&lt;&gt;"OUI","⚠ ENROBÉ AVANT ACCEPTATION RT","ENROBÉ")))))</f>
        <v>NON SOUDÉ</v>
      </c>
      <c r="O634" s="80"/>
      <c r="P634" s="82" t="n">
        <f aca="false">IF(C634="","",IFERROR(MATCH(Q634,'CARNET DE SOUDURE'!$AW$7:$AW$3006,0),""))</f>
        <v>628</v>
      </c>
      <c r="Q634" s="82" t="str">
        <f aca="false">IF(C634="","",B634&amp;"|"&amp;C634)</f>
        <v>MFD-ISW → MFD-CPF|JN°628</v>
      </c>
    </row>
    <row r="635" customFormat="false" ht="74.6" hidden="false" customHeight="false" outlineLevel="0" collapsed="false">
      <c r="A635" s="82" t="n">
        <f aca="false">IF(C635="","",ROW()-6)</f>
        <v>629</v>
      </c>
      <c r="B635" s="80" t="s">
        <v>110</v>
      </c>
      <c r="C635" s="113" t="s">
        <v>739</v>
      </c>
      <c r="D635" s="82" t="str">
        <f aca="false">IF(OR(C635="",P635=""),"",INDEX('CARNET DE SOUDURE'!$D$7:$D$3006,P635)&amp;"")</f>
        <v/>
      </c>
      <c r="E635" s="114" t="str">
        <f aca="false">IF(OR(C635="",P635=""),"",IF(INDEX('CARNET DE SOUDURE'!$U$7:$U$3006,P635)="","",INDEX('CARNET DE SOUDURE'!$U$7:$U$3006,P635)))</f>
        <v/>
      </c>
      <c r="F635" s="82" t="str">
        <f aca="false">IF(OR(C635="",P635=""),"",INDEX('CARNET DE SOUDURE'!$AP$7:$AP$3006,P635))</f>
        <v/>
      </c>
      <c r="G635" s="82" t="str">
        <f aca="false">IF(C635="","",IF(P635="","NJ INCONNU",INDEX('CARNET DE SOUDURE'!$AQ$7:$AQ$3006,P635)))</f>
        <v>À SOUDER</v>
      </c>
      <c r="H635" s="82" t="str">
        <f aca="false">IF(C635="","",IF(G635="ACCEPTÉ","OUI","NON"))</f>
        <v>NON</v>
      </c>
      <c r="I635" s="83"/>
      <c r="J635" s="80"/>
      <c r="K635" s="81"/>
      <c r="L635" s="81"/>
      <c r="M635" s="81"/>
      <c r="N635" s="84" t="str">
        <f aca="false">IF(C635="","",IF(P635="","NJ INCONNU",IF(I635="",IF(H635="OUI","À ENROBER",IF(G635="À SOUDER","NON SOUDÉ","EN ATTENTE RT")),IF(L635="R","À REPRENDRE",IF(H635&lt;&gt;"OUI","⚠ ENROBÉ AVANT ACCEPTATION RT","ENROBÉ")))))</f>
        <v>NON SOUDÉ</v>
      </c>
      <c r="O635" s="80"/>
      <c r="P635" s="82" t="n">
        <f aca="false">IF(C635="","",IFERROR(MATCH(Q635,'CARNET DE SOUDURE'!$AW$7:$AW$3006,0),""))</f>
        <v>629</v>
      </c>
      <c r="Q635" s="82" t="str">
        <f aca="false">IF(C635="","",B635&amp;"|"&amp;C635)</f>
        <v>MFD-ISW → MFD-CPF|JN°629</v>
      </c>
    </row>
    <row r="636" customFormat="false" ht="74.6" hidden="false" customHeight="false" outlineLevel="0" collapsed="false">
      <c r="A636" s="82" t="n">
        <f aca="false">IF(C636="","",ROW()-6)</f>
        <v>630</v>
      </c>
      <c r="B636" s="80" t="s">
        <v>110</v>
      </c>
      <c r="C636" s="113" t="s">
        <v>740</v>
      </c>
      <c r="D636" s="82" t="str">
        <f aca="false">IF(OR(C636="",P636=""),"",INDEX('CARNET DE SOUDURE'!$D$7:$D$3006,P636)&amp;"")</f>
        <v/>
      </c>
      <c r="E636" s="114" t="str">
        <f aca="false">IF(OR(C636="",P636=""),"",IF(INDEX('CARNET DE SOUDURE'!$U$7:$U$3006,P636)="","",INDEX('CARNET DE SOUDURE'!$U$7:$U$3006,P636)))</f>
        <v/>
      </c>
      <c r="F636" s="82" t="str">
        <f aca="false">IF(OR(C636="",P636=""),"",INDEX('CARNET DE SOUDURE'!$AP$7:$AP$3006,P636))</f>
        <v/>
      </c>
      <c r="G636" s="82" t="str">
        <f aca="false">IF(C636="","",IF(P636="","NJ INCONNU",INDEX('CARNET DE SOUDURE'!$AQ$7:$AQ$3006,P636)))</f>
        <v>À SOUDER</v>
      </c>
      <c r="H636" s="82" t="str">
        <f aca="false">IF(C636="","",IF(G636="ACCEPTÉ","OUI","NON"))</f>
        <v>NON</v>
      </c>
      <c r="I636" s="83"/>
      <c r="J636" s="80"/>
      <c r="K636" s="81"/>
      <c r="L636" s="81"/>
      <c r="M636" s="81"/>
      <c r="N636" s="84" t="str">
        <f aca="false">IF(C636="","",IF(P636="","NJ INCONNU",IF(I636="",IF(H636="OUI","À ENROBER",IF(G636="À SOUDER","NON SOUDÉ","EN ATTENTE RT")),IF(L636="R","À REPRENDRE",IF(H636&lt;&gt;"OUI","⚠ ENROBÉ AVANT ACCEPTATION RT","ENROBÉ")))))</f>
        <v>NON SOUDÉ</v>
      </c>
      <c r="O636" s="80"/>
      <c r="P636" s="82" t="n">
        <f aca="false">IF(C636="","",IFERROR(MATCH(Q636,'CARNET DE SOUDURE'!$AW$7:$AW$3006,0),""))</f>
        <v>630</v>
      </c>
      <c r="Q636" s="82" t="str">
        <f aca="false">IF(C636="","",B636&amp;"|"&amp;C636)</f>
        <v>MFD-ISW → MFD-CPF|JN°630</v>
      </c>
    </row>
    <row r="637" customFormat="false" ht="74.6" hidden="false" customHeight="false" outlineLevel="0" collapsed="false">
      <c r="A637" s="82" t="n">
        <f aca="false">IF(C637="","",ROW()-6)</f>
        <v>631</v>
      </c>
      <c r="B637" s="80" t="s">
        <v>110</v>
      </c>
      <c r="C637" s="113" t="s">
        <v>741</v>
      </c>
      <c r="D637" s="82" t="str">
        <f aca="false">IF(OR(C637="",P637=""),"",INDEX('CARNET DE SOUDURE'!$D$7:$D$3006,P637)&amp;"")</f>
        <v/>
      </c>
      <c r="E637" s="114" t="str">
        <f aca="false">IF(OR(C637="",P637=""),"",IF(INDEX('CARNET DE SOUDURE'!$U$7:$U$3006,P637)="","",INDEX('CARNET DE SOUDURE'!$U$7:$U$3006,P637)))</f>
        <v/>
      </c>
      <c r="F637" s="82" t="str">
        <f aca="false">IF(OR(C637="",P637=""),"",INDEX('CARNET DE SOUDURE'!$AP$7:$AP$3006,P637))</f>
        <v/>
      </c>
      <c r="G637" s="82" t="str">
        <f aca="false">IF(C637="","",IF(P637="","NJ INCONNU",INDEX('CARNET DE SOUDURE'!$AQ$7:$AQ$3006,P637)))</f>
        <v>À SOUDER</v>
      </c>
      <c r="H637" s="82" t="str">
        <f aca="false">IF(C637="","",IF(G637="ACCEPTÉ","OUI","NON"))</f>
        <v>NON</v>
      </c>
      <c r="I637" s="83"/>
      <c r="J637" s="80"/>
      <c r="K637" s="81"/>
      <c r="L637" s="81"/>
      <c r="M637" s="81"/>
      <c r="N637" s="84" t="str">
        <f aca="false">IF(C637="","",IF(P637="","NJ INCONNU",IF(I637="",IF(H637="OUI","À ENROBER",IF(G637="À SOUDER","NON SOUDÉ","EN ATTENTE RT")),IF(L637="R","À REPRENDRE",IF(H637&lt;&gt;"OUI","⚠ ENROBÉ AVANT ACCEPTATION RT","ENROBÉ")))))</f>
        <v>NON SOUDÉ</v>
      </c>
      <c r="O637" s="80"/>
      <c r="P637" s="82" t="n">
        <f aca="false">IF(C637="","",IFERROR(MATCH(Q637,'CARNET DE SOUDURE'!$AW$7:$AW$3006,0),""))</f>
        <v>631</v>
      </c>
      <c r="Q637" s="82" t="str">
        <f aca="false">IF(C637="","",B637&amp;"|"&amp;C637)</f>
        <v>MFD-ISW → MFD-CPF|JN°631</v>
      </c>
    </row>
    <row r="638" customFormat="false" ht="74.6" hidden="false" customHeight="false" outlineLevel="0" collapsed="false">
      <c r="A638" s="82" t="n">
        <f aca="false">IF(C638="","",ROW()-6)</f>
        <v>632</v>
      </c>
      <c r="B638" s="80" t="s">
        <v>110</v>
      </c>
      <c r="C638" s="113" t="s">
        <v>742</v>
      </c>
      <c r="D638" s="82" t="str">
        <f aca="false">IF(OR(C638="",P638=""),"",INDEX('CARNET DE SOUDURE'!$D$7:$D$3006,P638)&amp;"")</f>
        <v/>
      </c>
      <c r="E638" s="114" t="str">
        <f aca="false">IF(OR(C638="",P638=""),"",IF(INDEX('CARNET DE SOUDURE'!$U$7:$U$3006,P638)="","",INDEX('CARNET DE SOUDURE'!$U$7:$U$3006,P638)))</f>
        <v/>
      </c>
      <c r="F638" s="82" t="str">
        <f aca="false">IF(OR(C638="",P638=""),"",INDEX('CARNET DE SOUDURE'!$AP$7:$AP$3006,P638))</f>
        <v/>
      </c>
      <c r="G638" s="82" t="str">
        <f aca="false">IF(C638="","",IF(P638="","NJ INCONNU",INDEX('CARNET DE SOUDURE'!$AQ$7:$AQ$3006,P638)))</f>
        <v>À SOUDER</v>
      </c>
      <c r="H638" s="82" t="str">
        <f aca="false">IF(C638="","",IF(G638="ACCEPTÉ","OUI","NON"))</f>
        <v>NON</v>
      </c>
      <c r="I638" s="83"/>
      <c r="J638" s="80"/>
      <c r="K638" s="81"/>
      <c r="L638" s="81"/>
      <c r="M638" s="81"/>
      <c r="N638" s="84" t="str">
        <f aca="false">IF(C638="","",IF(P638="","NJ INCONNU",IF(I638="",IF(H638="OUI","À ENROBER",IF(G638="À SOUDER","NON SOUDÉ","EN ATTENTE RT")),IF(L638="R","À REPRENDRE",IF(H638&lt;&gt;"OUI","⚠ ENROBÉ AVANT ACCEPTATION RT","ENROBÉ")))))</f>
        <v>NON SOUDÉ</v>
      </c>
      <c r="O638" s="80"/>
      <c r="P638" s="82" t="n">
        <f aca="false">IF(C638="","",IFERROR(MATCH(Q638,'CARNET DE SOUDURE'!$AW$7:$AW$3006,0),""))</f>
        <v>632</v>
      </c>
      <c r="Q638" s="82" t="str">
        <f aca="false">IF(C638="","",B638&amp;"|"&amp;C638)</f>
        <v>MFD-ISW → MFD-CPF|JN°632</v>
      </c>
    </row>
    <row r="639" customFormat="false" ht="74.6" hidden="false" customHeight="false" outlineLevel="0" collapsed="false">
      <c r="A639" s="82" t="n">
        <f aca="false">IF(C639="","",ROW()-6)</f>
        <v>633</v>
      </c>
      <c r="B639" s="80" t="s">
        <v>110</v>
      </c>
      <c r="C639" s="113" t="s">
        <v>743</v>
      </c>
      <c r="D639" s="82" t="str">
        <f aca="false">IF(OR(C639="",P639=""),"",INDEX('CARNET DE SOUDURE'!$D$7:$D$3006,P639)&amp;"")</f>
        <v/>
      </c>
      <c r="E639" s="114" t="str">
        <f aca="false">IF(OR(C639="",P639=""),"",IF(INDEX('CARNET DE SOUDURE'!$U$7:$U$3006,P639)="","",INDEX('CARNET DE SOUDURE'!$U$7:$U$3006,P639)))</f>
        <v/>
      </c>
      <c r="F639" s="82" t="str">
        <f aca="false">IF(OR(C639="",P639=""),"",INDEX('CARNET DE SOUDURE'!$AP$7:$AP$3006,P639))</f>
        <v/>
      </c>
      <c r="G639" s="82" t="str">
        <f aca="false">IF(C639="","",IF(P639="","NJ INCONNU",INDEX('CARNET DE SOUDURE'!$AQ$7:$AQ$3006,P639)))</f>
        <v>À SOUDER</v>
      </c>
      <c r="H639" s="82" t="str">
        <f aca="false">IF(C639="","",IF(G639="ACCEPTÉ","OUI","NON"))</f>
        <v>NON</v>
      </c>
      <c r="I639" s="83"/>
      <c r="J639" s="80"/>
      <c r="K639" s="81"/>
      <c r="L639" s="81"/>
      <c r="M639" s="81"/>
      <c r="N639" s="84" t="str">
        <f aca="false">IF(C639="","",IF(P639="","NJ INCONNU",IF(I639="",IF(H639="OUI","À ENROBER",IF(G639="À SOUDER","NON SOUDÉ","EN ATTENTE RT")),IF(L639="R","À REPRENDRE",IF(H639&lt;&gt;"OUI","⚠ ENROBÉ AVANT ACCEPTATION RT","ENROBÉ")))))</f>
        <v>NON SOUDÉ</v>
      </c>
      <c r="O639" s="80"/>
      <c r="P639" s="82" t="n">
        <f aca="false">IF(C639="","",IFERROR(MATCH(Q639,'CARNET DE SOUDURE'!$AW$7:$AW$3006,0),""))</f>
        <v>633</v>
      </c>
      <c r="Q639" s="82" t="str">
        <f aca="false">IF(C639="","",B639&amp;"|"&amp;C639)</f>
        <v>MFD-ISW → MFD-CPF|JN°633</v>
      </c>
    </row>
    <row r="640" customFormat="false" ht="74.6" hidden="false" customHeight="false" outlineLevel="0" collapsed="false">
      <c r="A640" s="82" t="n">
        <f aca="false">IF(C640="","",ROW()-6)</f>
        <v>634</v>
      </c>
      <c r="B640" s="80" t="s">
        <v>110</v>
      </c>
      <c r="C640" s="113" t="s">
        <v>744</v>
      </c>
      <c r="D640" s="82" t="str">
        <f aca="false">IF(OR(C640="",P640=""),"",INDEX('CARNET DE SOUDURE'!$D$7:$D$3006,P640)&amp;"")</f>
        <v/>
      </c>
      <c r="E640" s="114" t="str">
        <f aca="false">IF(OR(C640="",P640=""),"",IF(INDEX('CARNET DE SOUDURE'!$U$7:$U$3006,P640)="","",INDEX('CARNET DE SOUDURE'!$U$7:$U$3006,P640)))</f>
        <v/>
      </c>
      <c r="F640" s="82" t="str">
        <f aca="false">IF(OR(C640="",P640=""),"",INDEX('CARNET DE SOUDURE'!$AP$7:$AP$3006,P640))</f>
        <v/>
      </c>
      <c r="G640" s="82" t="str">
        <f aca="false">IF(C640="","",IF(P640="","NJ INCONNU",INDEX('CARNET DE SOUDURE'!$AQ$7:$AQ$3006,P640)))</f>
        <v>À SOUDER</v>
      </c>
      <c r="H640" s="82" t="str">
        <f aca="false">IF(C640="","",IF(G640="ACCEPTÉ","OUI","NON"))</f>
        <v>NON</v>
      </c>
      <c r="I640" s="83"/>
      <c r="J640" s="80"/>
      <c r="K640" s="81"/>
      <c r="L640" s="81"/>
      <c r="M640" s="81"/>
      <c r="N640" s="84" t="str">
        <f aca="false">IF(C640="","",IF(P640="","NJ INCONNU",IF(I640="",IF(H640="OUI","À ENROBER",IF(G640="À SOUDER","NON SOUDÉ","EN ATTENTE RT")),IF(L640="R","À REPRENDRE",IF(H640&lt;&gt;"OUI","⚠ ENROBÉ AVANT ACCEPTATION RT","ENROBÉ")))))</f>
        <v>NON SOUDÉ</v>
      </c>
      <c r="O640" s="80"/>
      <c r="P640" s="82" t="n">
        <f aca="false">IF(C640="","",IFERROR(MATCH(Q640,'CARNET DE SOUDURE'!$AW$7:$AW$3006,0),""))</f>
        <v>634</v>
      </c>
      <c r="Q640" s="82" t="str">
        <f aca="false">IF(C640="","",B640&amp;"|"&amp;C640)</f>
        <v>MFD-ISW → MFD-CPF|JN°634</v>
      </c>
    </row>
    <row r="641" customFormat="false" ht="74.6" hidden="false" customHeight="false" outlineLevel="0" collapsed="false">
      <c r="A641" s="82" t="n">
        <f aca="false">IF(C641="","",ROW()-6)</f>
        <v>635</v>
      </c>
      <c r="B641" s="80" t="s">
        <v>110</v>
      </c>
      <c r="C641" s="113" t="s">
        <v>745</v>
      </c>
      <c r="D641" s="82" t="str">
        <f aca="false">IF(OR(C641="",P641=""),"",INDEX('CARNET DE SOUDURE'!$D$7:$D$3006,P641)&amp;"")</f>
        <v/>
      </c>
      <c r="E641" s="114" t="str">
        <f aca="false">IF(OR(C641="",P641=""),"",IF(INDEX('CARNET DE SOUDURE'!$U$7:$U$3006,P641)="","",INDEX('CARNET DE SOUDURE'!$U$7:$U$3006,P641)))</f>
        <v/>
      </c>
      <c r="F641" s="82" t="str">
        <f aca="false">IF(OR(C641="",P641=""),"",INDEX('CARNET DE SOUDURE'!$AP$7:$AP$3006,P641))</f>
        <v/>
      </c>
      <c r="G641" s="82" t="str">
        <f aca="false">IF(C641="","",IF(P641="","NJ INCONNU",INDEX('CARNET DE SOUDURE'!$AQ$7:$AQ$3006,P641)))</f>
        <v>À SOUDER</v>
      </c>
      <c r="H641" s="82" t="str">
        <f aca="false">IF(C641="","",IF(G641="ACCEPTÉ","OUI","NON"))</f>
        <v>NON</v>
      </c>
      <c r="I641" s="83"/>
      <c r="J641" s="80"/>
      <c r="K641" s="81"/>
      <c r="L641" s="81"/>
      <c r="M641" s="81"/>
      <c r="N641" s="84" t="str">
        <f aca="false">IF(C641="","",IF(P641="","NJ INCONNU",IF(I641="",IF(H641="OUI","À ENROBER",IF(G641="À SOUDER","NON SOUDÉ","EN ATTENTE RT")),IF(L641="R","À REPRENDRE",IF(H641&lt;&gt;"OUI","⚠ ENROBÉ AVANT ACCEPTATION RT","ENROBÉ")))))</f>
        <v>NON SOUDÉ</v>
      </c>
      <c r="O641" s="80"/>
      <c r="P641" s="82" t="n">
        <f aca="false">IF(C641="","",IFERROR(MATCH(Q641,'CARNET DE SOUDURE'!$AW$7:$AW$3006,0),""))</f>
        <v>635</v>
      </c>
      <c r="Q641" s="82" t="str">
        <f aca="false">IF(C641="","",B641&amp;"|"&amp;C641)</f>
        <v>MFD-ISW → MFD-CPF|JN°635</v>
      </c>
    </row>
    <row r="642" customFormat="false" ht="74.6" hidden="false" customHeight="false" outlineLevel="0" collapsed="false">
      <c r="A642" s="82" t="n">
        <f aca="false">IF(C642="","",ROW()-6)</f>
        <v>636</v>
      </c>
      <c r="B642" s="80" t="s">
        <v>110</v>
      </c>
      <c r="C642" s="113" t="s">
        <v>746</v>
      </c>
      <c r="D642" s="82" t="str">
        <f aca="false">IF(OR(C642="",P642=""),"",INDEX('CARNET DE SOUDURE'!$D$7:$D$3006,P642)&amp;"")</f>
        <v/>
      </c>
      <c r="E642" s="114" t="str">
        <f aca="false">IF(OR(C642="",P642=""),"",IF(INDEX('CARNET DE SOUDURE'!$U$7:$U$3006,P642)="","",INDEX('CARNET DE SOUDURE'!$U$7:$U$3006,P642)))</f>
        <v/>
      </c>
      <c r="F642" s="82" t="str">
        <f aca="false">IF(OR(C642="",P642=""),"",INDEX('CARNET DE SOUDURE'!$AP$7:$AP$3006,P642))</f>
        <v/>
      </c>
      <c r="G642" s="82" t="str">
        <f aca="false">IF(C642="","",IF(P642="","NJ INCONNU",INDEX('CARNET DE SOUDURE'!$AQ$7:$AQ$3006,P642)))</f>
        <v>À SOUDER</v>
      </c>
      <c r="H642" s="82" t="str">
        <f aca="false">IF(C642="","",IF(G642="ACCEPTÉ","OUI","NON"))</f>
        <v>NON</v>
      </c>
      <c r="I642" s="83"/>
      <c r="J642" s="80"/>
      <c r="K642" s="81"/>
      <c r="L642" s="81"/>
      <c r="M642" s="81"/>
      <c r="N642" s="84" t="str">
        <f aca="false">IF(C642="","",IF(P642="","NJ INCONNU",IF(I642="",IF(H642="OUI","À ENROBER",IF(G642="À SOUDER","NON SOUDÉ","EN ATTENTE RT")),IF(L642="R","À REPRENDRE",IF(H642&lt;&gt;"OUI","⚠ ENROBÉ AVANT ACCEPTATION RT","ENROBÉ")))))</f>
        <v>NON SOUDÉ</v>
      </c>
      <c r="O642" s="80"/>
      <c r="P642" s="82" t="n">
        <f aca="false">IF(C642="","",IFERROR(MATCH(Q642,'CARNET DE SOUDURE'!$AW$7:$AW$3006,0),""))</f>
        <v>636</v>
      </c>
      <c r="Q642" s="82" t="str">
        <f aca="false">IF(C642="","",B642&amp;"|"&amp;C642)</f>
        <v>MFD-ISW → MFD-CPF|JN°636</v>
      </c>
    </row>
    <row r="643" customFormat="false" ht="74.6" hidden="false" customHeight="false" outlineLevel="0" collapsed="false">
      <c r="A643" s="82" t="n">
        <f aca="false">IF(C643="","",ROW()-6)</f>
        <v>637</v>
      </c>
      <c r="B643" s="80" t="s">
        <v>110</v>
      </c>
      <c r="C643" s="113" t="s">
        <v>747</v>
      </c>
      <c r="D643" s="82" t="str">
        <f aca="false">IF(OR(C643="",P643=""),"",INDEX('CARNET DE SOUDURE'!$D$7:$D$3006,P643)&amp;"")</f>
        <v/>
      </c>
      <c r="E643" s="114" t="str">
        <f aca="false">IF(OR(C643="",P643=""),"",IF(INDEX('CARNET DE SOUDURE'!$U$7:$U$3006,P643)="","",INDEX('CARNET DE SOUDURE'!$U$7:$U$3006,P643)))</f>
        <v/>
      </c>
      <c r="F643" s="82" t="str">
        <f aca="false">IF(OR(C643="",P643=""),"",INDEX('CARNET DE SOUDURE'!$AP$7:$AP$3006,P643))</f>
        <v/>
      </c>
      <c r="G643" s="82" t="str">
        <f aca="false">IF(C643="","",IF(P643="","NJ INCONNU",INDEX('CARNET DE SOUDURE'!$AQ$7:$AQ$3006,P643)))</f>
        <v>À SOUDER</v>
      </c>
      <c r="H643" s="82" t="str">
        <f aca="false">IF(C643="","",IF(G643="ACCEPTÉ","OUI","NON"))</f>
        <v>NON</v>
      </c>
      <c r="I643" s="83"/>
      <c r="J643" s="80"/>
      <c r="K643" s="81"/>
      <c r="L643" s="81"/>
      <c r="M643" s="81"/>
      <c r="N643" s="84" t="str">
        <f aca="false">IF(C643="","",IF(P643="","NJ INCONNU",IF(I643="",IF(H643="OUI","À ENROBER",IF(G643="À SOUDER","NON SOUDÉ","EN ATTENTE RT")),IF(L643="R","À REPRENDRE",IF(H643&lt;&gt;"OUI","⚠ ENROBÉ AVANT ACCEPTATION RT","ENROBÉ")))))</f>
        <v>NON SOUDÉ</v>
      </c>
      <c r="O643" s="80"/>
      <c r="P643" s="82" t="n">
        <f aca="false">IF(C643="","",IFERROR(MATCH(Q643,'CARNET DE SOUDURE'!$AW$7:$AW$3006,0),""))</f>
        <v>637</v>
      </c>
      <c r="Q643" s="82" t="str">
        <f aca="false">IF(C643="","",B643&amp;"|"&amp;C643)</f>
        <v>MFD-ISW → MFD-CPF|JN°637</v>
      </c>
    </row>
    <row r="644" customFormat="false" ht="74.6" hidden="false" customHeight="false" outlineLevel="0" collapsed="false">
      <c r="A644" s="82" t="n">
        <f aca="false">IF(C644="","",ROW()-6)</f>
        <v>638</v>
      </c>
      <c r="B644" s="80" t="s">
        <v>110</v>
      </c>
      <c r="C644" s="113" t="s">
        <v>748</v>
      </c>
      <c r="D644" s="82" t="str">
        <f aca="false">IF(OR(C644="",P644=""),"",INDEX('CARNET DE SOUDURE'!$D$7:$D$3006,P644)&amp;"")</f>
        <v/>
      </c>
      <c r="E644" s="114" t="str">
        <f aca="false">IF(OR(C644="",P644=""),"",IF(INDEX('CARNET DE SOUDURE'!$U$7:$U$3006,P644)="","",INDEX('CARNET DE SOUDURE'!$U$7:$U$3006,P644)))</f>
        <v/>
      </c>
      <c r="F644" s="82" t="str">
        <f aca="false">IF(OR(C644="",P644=""),"",INDEX('CARNET DE SOUDURE'!$AP$7:$AP$3006,P644))</f>
        <v/>
      </c>
      <c r="G644" s="82" t="str">
        <f aca="false">IF(C644="","",IF(P644="","NJ INCONNU",INDEX('CARNET DE SOUDURE'!$AQ$7:$AQ$3006,P644)))</f>
        <v>À SOUDER</v>
      </c>
      <c r="H644" s="82" t="str">
        <f aca="false">IF(C644="","",IF(G644="ACCEPTÉ","OUI","NON"))</f>
        <v>NON</v>
      </c>
      <c r="I644" s="83"/>
      <c r="J644" s="80"/>
      <c r="K644" s="81"/>
      <c r="L644" s="81"/>
      <c r="M644" s="81"/>
      <c r="N644" s="84" t="str">
        <f aca="false">IF(C644="","",IF(P644="","NJ INCONNU",IF(I644="",IF(H644="OUI","À ENROBER",IF(G644="À SOUDER","NON SOUDÉ","EN ATTENTE RT")),IF(L644="R","À REPRENDRE",IF(H644&lt;&gt;"OUI","⚠ ENROBÉ AVANT ACCEPTATION RT","ENROBÉ")))))</f>
        <v>NON SOUDÉ</v>
      </c>
      <c r="O644" s="80"/>
      <c r="P644" s="82" t="n">
        <f aca="false">IF(C644="","",IFERROR(MATCH(Q644,'CARNET DE SOUDURE'!$AW$7:$AW$3006,0),""))</f>
        <v>638</v>
      </c>
      <c r="Q644" s="82" t="str">
        <f aca="false">IF(C644="","",B644&amp;"|"&amp;C644)</f>
        <v>MFD-ISW → MFD-CPF|JN°638</v>
      </c>
    </row>
    <row r="645" customFormat="false" ht="74.6" hidden="false" customHeight="false" outlineLevel="0" collapsed="false">
      <c r="A645" s="82" t="n">
        <f aca="false">IF(C645="","",ROW()-6)</f>
        <v>639</v>
      </c>
      <c r="B645" s="80" t="s">
        <v>110</v>
      </c>
      <c r="C645" s="113" t="s">
        <v>749</v>
      </c>
      <c r="D645" s="82" t="str">
        <f aca="false">IF(OR(C645="",P645=""),"",INDEX('CARNET DE SOUDURE'!$D$7:$D$3006,P645)&amp;"")</f>
        <v/>
      </c>
      <c r="E645" s="114" t="str">
        <f aca="false">IF(OR(C645="",P645=""),"",IF(INDEX('CARNET DE SOUDURE'!$U$7:$U$3006,P645)="","",INDEX('CARNET DE SOUDURE'!$U$7:$U$3006,P645)))</f>
        <v/>
      </c>
      <c r="F645" s="82" t="str">
        <f aca="false">IF(OR(C645="",P645=""),"",INDEX('CARNET DE SOUDURE'!$AP$7:$AP$3006,P645))</f>
        <v/>
      </c>
      <c r="G645" s="82" t="str">
        <f aca="false">IF(C645="","",IF(P645="","NJ INCONNU",INDEX('CARNET DE SOUDURE'!$AQ$7:$AQ$3006,P645)))</f>
        <v>À SOUDER</v>
      </c>
      <c r="H645" s="82" t="str">
        <f aca="false">IF(C645="","",IF(G645="ACCEPTÉ","OUI","NON"))</f>
        <v>NON</v>
      </c>
      <c r="I645" s="83"/>
      <c r="J645" s="80"/>
      <c r="K645" s="81"/>
      <c r="L645" s="81"/>
      <c r="M645" s="81"/>
      <c r="N645" s="84" t="str">
        <f aca="false">IF(C645="","",IF(P645="","NJ INCONNU",IF(I645="",IF(H645="OUI","À ENROBER",IF(G645="À SOUDER","NON SOUDÉ","EN ATTENTE RT")),IF(L645="R","À REPRENDRE",IF(H645&lt;&gt;"OUI","⚠ ENROBÉ AVANT ACCEPTATION RT","ENROBÉ")))))</f>
        <v>NON SOUDÉ</v>
      </c>
      <c r="O645" s="80"/>
      <c r="P645" s="82" t="n">
        <f aca="false">IF(C645="","",IFERROR(MATCH(Q645,'CARNET DE SOUDURE'!$AW$7:$AW$3006,0),""))</f>
        <v>639</v>
      </c>
      <c r="Q645" s="82" t="str">
        <f aca="false">IF(C645="","",B645&amp;"|"&amp;C645)</f>
        <v>MFD-ISW → MFD-CPF|JN°639</v>
      </c>
    </row>
    <row r="646" customFormat="false" ht="74.6" hidden="false" customHeight="false" outlineLevel="0" collapsed="false">
      <c r="A646" s="82" t="n">
        <f aca="false">IF(C646="","",ROW()-6)</f>
        <v>640</v>
      </c>
      <c r="B646" s="80" t="s">
        <v>110</v>
      </c>
      <c r="C646" s="113" t="s">
        <v>750</v>
      </c>
      <c r="D646" s="82" t="str">
        <f aca="false">IF(OR(C646="",P646=""),"",INDEX('CARNET DE SOUDURE'!$D$7:$D$3006,P646)&amp;"")</f>
        <v/>
      </c>
      <c r="E646" s="114" t="str">
        <f aca="false">IF(OR(C646="",P646=""),"",IF(INDEX('CARNET DE SOUDURE'!$U$7:$U$3006,P646)="","",INDEX('CARNET DE SOUDURE'!$U$7:$U$3006,P646)))</f>
        <v/>
      </c>
      <c r="F646" s="82" t="str">
        <f aca="false">IF(OR(C646="",P646=""),"",INDEX('CARNET DE SOUDURE'!$AP$7:$AP$3006,P646))</f>
        <v/>
      </c>
      <c r="G646" s="82" t="str">
        <f aca="false">IF(C646="","",IF(P646="","NJ INCONNU",INDEX('CARNET DE SOUDURE'!$AQ$7:$AQ$3006,P646)))</f>
        <v>À SOUDER</v>
      </c>
      <c r="H646" s="82" t="str">
        <f aca="false">IF(C646="","",IF(G646="ACCEPTÉ","OUI","NON"))</f>
        <v>NON</v>
      </c>
      <c r="I646" s="83"/>
      <c r="J646" s="80"/>
      <c r="K646" s="81"/>
      <c r="L646" s="81"/>
      <c r="M646" s="81"/>
      <c r="N646" s="84" t="str">
        <f aca="false">IF(C646="","",IF(P646="","NJ INCONNU",IF(I646="",IF(H646="OUI","À ENROBER",IF(G646="À SOUDER","NON SOUDÉ","EN ATTENTE RT")),IF(L646="R","À REPRENDRE",IF(H646&lt;&gt;"OUI","⚠ ENROBÉ AVANT ACCEPTATION RT","ENROBÉ")))))</f>
        <v>NON SOUDÉ</v>
      </c>
      <c r="O646" s="80"/>
      <c r="P646" s="82" t="n">
        <f aca="false">IF(C646="","",IFERROR(MATCH(Q646,'CARNET DE SOUDURE'!$AW$7:$AW$3006,0),""))</f>
        <v>640</v>
      </c>
      <c r="Q646" s="82" t="str">
        <f aca="false">IF(C646="","",B646&amp;"|"&amp;C646)</f>
        <v>MFD-ISW → MFD-CPF|JN°640</v>
      </c>
    </row>
    <row r="647" customFormat="false" ht="74.6" hidden="false" customHeight="false" outlineLevel="0" collapsed="false">
      <c r="A647" s="82" t="n">
        <f aca="false">IF(C647="","",ROW()-6)</f>
        <v>641</v>
      </c>
      <c r="B647" s="80" t="s">
        <v>110</v>
      </c>
      <c r="C647" s="113" t="s">
        <v>751</v>
      </c>
      <c r="D647" s="82" t="str">
        <f aca="false">IF(OR(C647="",P647=""),"",INDEX('CARNET DE SOUDURE'!$D$7:$D$3006,P647)&amp;"")</f>
        <v/>
      </c>
      <c r="E647" s="114" t="str">
        <f aca="false">IF(OR(C647="",P647=""),"",IF(INDEX('CARNET DE SOUDURE'!$U$7:$U$3006,P647)="","",INDEX('CARNET DE SOUDURE'!$U$7:$U$3006,P647)))</f>
        <v/>
      </c>
      <c r="F647" s="82" t="str">
        <f aca="false">IF(OR(C647="",P647=""),"",INDEX('CARNET DE SOUDURE'!$AP$7:$AP$3006,P647))</f>
        <v/>
      </c>
      <c r="G647" s="82" t="str">
        <f aca="false">IF(C647="","",IF(P647="","NJ INCONNU",INDEX('CARNET DE SOUDURE'!$AQ$7:$AQ$3006,P647)))</f>
        <v>À SOUDER</v>
      </c>
      <c r="H647" s="82" t="str">
        <f aca="false">IF(C647="","",IF(G647="ACCEPTÉ","OUI","NON"))</f>
        <v>NON</v>
      </c>
      <c r="I647" s="83"/>
      <c r="J647" s="80"/>
      <c r="K647" s="81"/>
      <c r="L647" s="81"/>
      <c r="M647" s="81"/>
      <c r="N647" s="84" t="str">
        <f aca="false">IF(C647="","",IF(P647="","NJ INCONNU",IF(I647="",IF(H647="OUI","À ENROBER",IF(G647="À SOUDER","NON SOUDÉ","EN ATTENTE RT")),IF(L647="R","À REPRENDRE",IF(H647&lt;&gt;"OUI","⚠ ENROBÉ AVANT ACCEPTATION RT","ENROBÉ")))))</f>
        <v>NON SOUDÉ</v>
      </c>
      <c r="O647" s="80"/>
      <c r="P647" s="82" t="n">
        <f aca="false">IF(C647="","",IFERROR(MATCH(Q647,'CARNET DE SOUDURE'!$AW$7:$AW$3006,0),""))</f>
        <v>641</v>
      </c>
      <c r="Q647" s="82" t="str">
        <f aca="false">IF(C647="","",B647&amp;"|"&amp;C647)</f>
        <v>MFD-ISW → MFD-CPF|JN°641</v>
      </c>
    </row>
    <row r="648" customFormat="false" ht="74.6" hidden="false" customHeight="false" outlineLevel="0" collapsed="false">
      <c r="A648" s="82" t="n">
        <f aca="false">IF(C648="","",ROW()-6)</f>
        <v>642</v>
      </c>
      <c r="B648" s="80" t="s">
        <v>110</v>
      </c>
      <c r="C648" s="113" t="s">
        <v>752</v>
      </c>
      <c r="D648" s="82" t="str">
        <f aca="false">IF(OR(C648="",P648=""),"",INDEX('CARNET DE SOUDURE'!$D$7:$D$3006,P648)&amp;"")</f>
        <v/>
      </c>
      <c r="E648" s="114" t="str">
        <f aca="false">IF(OR(C648="",P648=""),"",IF(INDEX('CARNET DE SOUDURE'!$U$7:$U$3006,P648)="","",INDEX('CARNET DE SOUDURE'!$U$7:$U$3006,P648)))</f>
        <v/>
      </c>
      <c r="F648" s="82" t="str">
        <f aca="false">IF(OR(C648="",P648=""),"",INDEX('CARNET DE SOUDURE'!$AP$7:$AP$3006,P648))</f>
        <v/>
      </c>
      <c r="G648" s="82" t="str">
        <f aca="false">IF(C648="","",IF(P648="","NJ INCONNU",INDEX('CARNET DE SOUDURE'!$AQ$7:$AQ$3006,P648)))</f>
        <v>À SOUDER</v>
      </c>
      <c r="H648" s="82" t="str">
        <f aca="false">IF(C648="","",IF(G648="ACCEPTÉ","OUI","NON"))</f>
        <v>NON</v>
      </c>
      <c r="I648" s="83"/>
      <c r="J648" s="80"/>
      <c r="K648" s="81"/>
      <c r="L648" s="81"/>
      <c r="M648" s="81"/>
      <c r="N648" s="84" t="str">
        <f aca="false">IF(C648="","",IF(P648="","NJ INCONNU",IF(I648="",IF(H648="OUI","À ENROBER",IF(G648="À SOUDER","NON SOUDÉ","EN ATTENTE RT")),IF(L648="R","À REPRENDRE",IF(H648&lt;&gt;"OUI","⚠ ENROBÉ AVANT ACCEPTATION RT","ENROBÉ")))))</f>
        <v>NON SOUDÉ</v>
      </c>
      <c r="O648" s="80"/>
      <c r="P648" s="82" t="n">
        <f aca="false">IF(C648="","",IFERROR(MATCH(Q648,'CARNET DE SOUDURE'!$AW$7:$AW$3006,0),""))</f>
        <v>642</v>
      </c>
      <c r="Q648" s="82" t="str">
        <f aca="false">IF(C648="","",B648&amp;"|"&amp;C648)</f>
        <v>MFD-ISW → MFD-CPF|JN°642</v>
      </c>
    </row>
    <row r="649" customFormat="false" ht="74.6" hidden="false" customHeight="false" outlineLevel="0" collapsed="false">
      <c r="A649" s="82" t="n">
        <f aca="false">IF(C649="","",ROW()-6)</f>
        <v>643</v>
      </c>
      <c r="B649" s="80" t="s">
        <v>110</v>
      </c>
      <c r="C649" s="113" t="s">
        <v>753</v>
      </c>
      <c r="D649" s="82" t="str">
        <f aca="false">IF(OR(C649="",P649=""),"",INDEX('CARNET DE SOUDURE'!$D$7:$D$3006,P649)&amp;"")</f>
        <v/>
      </c>
      <c r="E649" s="114" t="str">
        <f aca="false">IF(OR(C649="",P649=""),"",IF(INDEX('CARNET DE SOUDURE'!$U$7:$U$3006,P649)="","",INDEX('CARNET DE SOUDURE'!$U$7:$U$3006,P649)))</f>
        <v/>
      </c>
      <c r="F649" s="82" t="str">
        <f aca="false">IF(OR(C649="",P649=""),"",INDEX('CARNET DE SOUDURE'!$AP$7:$AP$3006,P649))</f>
        <v/>
      </c>
      <c r="G649" s="82" t="str">
        <f aca="false">IF(C649="","",IF(P649="","NJ INCONNU",INDEX('CARNET DE SOUDURE'!$AQ$7:$AQ$3006,P649)))</f>
        <v>À SOUDER</v>
      </c>
      <c r="H649" s="82" t="str">
        <f aca="false">IF(C649="","",IF(G649="ACCEPTÉ","OUI","NON"))</f>
        <v>NON</v>
      </c>
      <c r="I649" s="83"/>
      <c r="J649" s="80"/>
      <c r="K649" s="81"/>
      <c r="L649" s="81"/>
      <c r="M649" s="81"/>
      <c r="N649" s="84" t="str">
        <f aca="false">IF(C649="","",IF(P649="","NJ INCONNU",IF(I649="",IF(H649="OUI","À ENROBER",IF(G649="À SOUDER","NON SOUDÉ","EN ATTENTE RT")),IF(L649="R","À REPRENDRE",IF(H649&lt;&gt;"OUI","⚠ ENROBÉ AVANT ACCEPTATION RT","ENROBÉ")))))</f>
        <v>NON SOUDÉ</v>
      </c>
      <c r="O649" s="80"/>
      <c r="P649" s="82" t="n">
        <f aca="false">IF(C649="","",IFERROR(MATCH(Q649,'CARNET DE SOUDURE'!$AW$7:$AW$3006,0),""))</f>
        <v>643</v>
      </c>
      <c r="Q649" s="82" t="str">
        <f aca="false">IF(C649="","",B649&amp;"|"&amp;C649)</f>
        <v>MFD-ISW → MFD-CPF|JN°643</v>
      </c>
    </row>
    <row r="650" customFormat="false" ht="74.6" hidden="false" customHeight="false" outlineLevel="0" collapsed="false">
      <c r="A650" s="82" t="n">
        <f aca="false">IF(C650="","",ROW()-6)</f>
        <v>644</v>
      </c>
      <c r="B650" s="80" t="s">
        <v>110</v>
      </c>
      <c r="C650" s="113" t="s">
        <v>754</v>
      </c>
      <c r="D650" s="82" t="str">
        <f aca="false">IF(OR(C650="",P650=""),"",INDEX('CARNET DE SOUDURE'!$D$7:$D$3006,P650)&amp;"")</f>
        <v/>
      </c>
      <c r="E650" s="114" t="str">
        <f aca="false">IF(OR(C650="",P650=""),"",IF(INDEX('CARNET DE SOUDURE'!$U$7:$U$3006,P650)="","",INDEX('CARNET DE SOUDURE'!$U$7:$U$3006,P650)))</f>
        <v/>
      </c>
      <c r="F650" s="82" t="str">
        <f aca="false">IF(OR(C650="",P650=""),"",INDEX('CARNET DE SOUDURE'!$AP$7:$AP$3006,P650))</f>
        <v/>
      </c>
      <c r="G650" s="82" t="str">
        <f aca="false">IF(C650="","",IF(P650="","NJ INCONNU",INDEX('CARNET DE SOUDURE'!$AQ$7:$AQ$3006,P650)))</f>
        <v>À SOUDER</v>
      </c>
      <c r="H650" s="82" t="str">
        <f aca="false">IF(C650="","",IF(G650="ACCEPTÉ","OUI","NON"))</f>
        <v>NON</v>
      </c>
      <c r="I650" s="83"/>
      <c r="J650" s="80"/>
      <c r="K650" s="81"/>
      <c r="L650" s="81"/>
      <c r="M650" s="81"/>
      <c r="N650" s="84" t="str">
        <f aca="false">IF(C650="","",IF(P650="","NJ INCONNU",IF(I650="",IF(H650="OUI","À ENROBER",IF(G650="À SOUDER","NON SOUDÉ","EN ATTENTE RT")),IF(L650="R","À REPRENDRE",IF(H650&lt;&gt;"OUI","⚠ ENROBÉ AVANT ACCEPTATION RT","ENROBÉ")))))</f>
        <v>NON SOUDÉ</v>
      </c>
      <c r="O650" s="80"/>
      <c r="P650" s="82" t="n">
        <f aca="false">IF(C650="","",IFERROR(MATCH(Q650,'CARNET DE SOUDURE'!$AW$7:$AW$3006,0),""))</f>
        <v>644</v>
      </c>
      <c r="Q650" s="82" t="str">
        <f aca="false">IF(C650="","",B650&amp;"|"&amp;C650)</f>
        <v>MFD-ISW → MFD-CPF|JN°644</v>
      </c>
    </row>
    <row r="651" customFormat="false" ht="74.6" hidden="false" customHeight="false" outlineLevel="0" collapsed="false">
      <c r="A651" s="82" t="n">
        <f aca="false">IF(C651="","",ROW()-6)</f>
        <v>645</v>
      </c>
      <c r="B651" s="80" t="s">
        <v>110</v>
      </c>
      <c r="C651" s="113" t="s">
        <v>755</v>
      </c>
      <c r="D651" s="82" t="str">
        <f aca="false">IF(OR(C651="",P651=""),"",INDEX('CARNET DE SOUDURE'!$D$7:$D$3006,P651)&amp;"")</f>
        <v/>
      </c>
      <c r="E651" s="114" t="str">
        <f aca="false">IF(OR(C651="",P651=""),"",IF(INDEX('CARNET DE SOUDURE'!$U$7:$U$3006,P651)="","",INDEX('CARNET DE SOUDURE'!$U$7:$U$3006,P651)))</f>
        <v/>
      </c>
      <c r="F651" s="82" t="str">
        <f aca="false">IF(OR(C651="",P651=""),"",INDEX('CARNET DE SOUDURE'!$AP$7:$AP$3006,P651))</f>
        <v/>
      </c>
      <c r="G651" s="82" t="str">
        <f aca="false">IF(C651="","",IF(P651="","NJ INCONNU",INDEX('CARNET DE SOUDURE'!$AQ$7:$AQ$3006,P651)))</f>
        <v>À SOUDER</v>
      </c>
      <c r="H651" s="82" t="str">
        <f aca="false">IF(C651="","",IF(G651="ACCEPTÉ","OUI","NON"))</f>
        <v>NON</v>
      </c>
      <c r="I651" s="83"/>
      <c r="J651" s="80"/>
      <c r="K651" s="81"/>
      <c r="L651" s="81"/>
      <c r="M651" s="81"/>
      <c r="N651" s="84" t="str">
        <f aca="false">IF(C651="","",IF(P651="","NJ INCONNU",IF(I651="",IF(H651="OUI","À ENROBER",IF(G651="À SOUDER","NON SOUDÉ","EN ATTENTE RT")),IF(L651="R","À REPRENDRE",IF(H651&lt;&gt;"OUI","⚠ ENROBÉ AVANT ACCEPTATION RT","ENROBÉ")))))</f>
        <v>NON SOUDÉ</v>
      </c>
      <c r="O651" s="80"/>
      <c r="P651" s="82" t="n">
        <f aca="false">IF(C651="","",IFERROR(MATCH(Q651,'CARNET DE SOUDURE'!$AW$7:$AW$3006,0),""))</f>
        <v>645</v>
      </c>
      <c r="Q651" s="82" t="str">
        <f aca="false">IF(C651="","",B651&amp;"|"&amp;C651)</f>
        <v>MFD-ISW → MFD-CPF|JN°645</v>
      </c>
    </row>
    <row r="652" customFormat="false" ht="74.6" hidden="false" customHeight="false" outlineLevel="0" collapsed="false">
      <c r="A652" s="82" t="n">
        <f aca="false">IF(C652="","",ROW()-6)</f>
        <v>646</v>
      </c>
      <c r="B652" s="80" t="s">
        <v>110</v>
      </c>
      <c r="C652" s="113" t="s">
        <v>756</v>
      </c>
      <c r="D652" s="82" t="str">
        <f aca="false">IF(OR(C652="",P652=""),"",INDEX('CARNET DE SOUDURE'!$D$7:$D$3006,P652)&amp;"")</f>
        <v/>
      </c>
      <c r="E652" s="114" t="str">
        <f aca="false">IF(OR(C652="",P652=""),"",IF(INDEX('CARNET DE SOUDURE'!$U$7:$U$3006,P652)="","",INDEX('CARNET DE SOUDURE'!$U$7:$U$3006,P652)))</f>
        <v/>
      </c>
      <c r="F652" s="82" t="str">
        <f aca="false">IF(OR(C652="",P652=""),"",INDEX('CARNET DE SOUDURE'!$AP$7:$AP$3006,P652))</f>
        <v/>
      </c>
      <c r="G652" s="82" t="str">
        <f aca="false">IF(C652="","",IF(P652="","NJ INCONNU",INDEX('CARNET DE SOUDURE'!$AQ$7:$AQ$3006,P652)))</f>
        <v>À SOUDER</v>
      </c>
      <c r="H652" s="82" t="str">
        <f aca="false">IF(C652="","",IF(G652="ACCEPTÉ","OUI","NON"))</f>
        <v>NON</v>
      </c>
      <c r="I652" s="83"/>
      <c r="J652" s="80"/>
      <c r="K652" s="81"/>
      <c r="L652" s="81"/>
      <c r="M652" s="81"/>
      <c r="N652" s="84" t="str">
        <f aca="false">IF(C652="","",IF(P652="","NJ INCONNU",IF(I652="",IF(H652="OUI","À ENROBER",IF(G652="À SOUDER","NON SOUDÉ","EN ATTENTE RT")),IF(L652="R","À REPRENDRE",IF(H652&lt;&gt;"OUI","⚠ ENROBÉ AVANT ACCEPTATION RT","ENROBÉ")))))</f>
        <v>NON SOUDÉ</v>
      </c>
      <c r="O652" s="80"/>
      <c r="P652" s="82" t="n">
        <f aca="false">IF(C652="","",IFERROR(MATCH(Q652,'CARNET DE SOUDURE'!$AW$7:$AW$3006,0),""))</f>
        <v>646</v>
      </c>
      <c r="Q652" s="82" t="str">
        <f aca="false">IF(C652="","",B652&amp;"|"&amp;C652)</f>
        <v>MFD-ISW → MFD-CPF|JN°646</v>
      </c>
    </row>
    <row r="653" customFormat="false" ht="74.6" hidden="false" customHeight="false" outlineLevel="0" collapsed="false">
      <c r="A653" s="82" t="n">
        <f aca="false">IF(C653="","",ROW()-6)</f>
        <v>647</v>
      </c>
      <c r="B653" s="80" t="s">
        <v>110</v>
      </c>
      <c r="C653" s="113" t="s">
        <v>757</v>
      </c>
      <c r="D653" s="82" t="str">
        <f aca="false">IF(OR(C653="",P653=""),"",INDEX('CARNET DE SOUDURE'!$D$7:$D$3006,P653)&amp;"")</f>
        <v/>
      </c>
      <c r="E653" s="114" t="str">
        <f aca="false">IF(OR(C653="",P653=""),"",IF(INDEX('CARNET DE SOUDURE'!$U$7:$U$3006,P653)="","",INDEX('CARNET DE SOUDURE'!$U$7:$U$3006,P653)))</f>
        <v/>
      </c>
      <c r="F653" s="82" t="str">
        <f aca="false">IF(OR(C653="",P653=""),"",INDEX('CARNET DE SOUDURE'!$AP$7:$AP$3006,P653))</f>
        <v/>
      </c>
      <c r="G653" s="82" t="str">
        <f aca="false">IF(C653="","",IF(P653="","NJ INCONNU",INDEX('CARNET DE SOUDURE'!$AQ$7:$AQ$3006,P653)))</f>
        <v>À SOUDER</v>
      </c>
      <c r="H653" s="82" t="str">
        <f aca="false">IF(C653="","",IF(G653="ACCEPTÉ","OUI","NON"))</f>
        <v>NON</v>
      </c>
      <c r="I653" s="83"/>
      <c r="J653" s="80"/>
      <c r="K653" s="81"/>
      <c r="L653" s="81"/>
      <c r="M653" s="81"/>
      <c r="N653" s="84" t="str">
        <f aca="false">IF(C653="","",IF(P653="","NJ INCONNU",IF(I653="",IF(H653="OUI","À ENROBER",IF(G653="À SOUDER","NON SOUDÉ","EN ATTENTE RT")),IF(L653="R","À REPRENDRE",IF(H653&lt;&gt;"OUI","⚠ ENROBÉ AVANT ACCEPTATION RT","ENROBÉ")))))</f>
        <v>NON SOUDÉ</v>
      </c>
      <c r="O653" s="80"/>
      <c r="P653" s="82" t="n">
        <f aca="false">IF(C653="","",IFERROR(MATCH(Q653,'CARNET DE SOUDURE'!$AW$7:$AW$3006,0),""))</f>
        <v>647</v>
      </c>
      <c r="Q653" s="82" t="str">
        <f aca="false">IF(C653="","",B653&amp;"|"&amp;C653)</f>
        <v>MFD-ISW → MFD-CPF|JN°647</v>
      </c>
    </row>
    <row r="654" customFormat="false" ht="74.6" hidden="false" customHeight="false" outlineLevel="0" collapsed="false">
      <c r="A654" s="82" t="n">
        <f aca="false">IF(C654="","",ROW()-6)</f>
        <v>648</v>
      </c>
      <c r="B654" s="80" t="s">
        <v>110</v>
      </c>
      <c r="C654" s="113" t="s">
        <v>758</v>
      </c>
      <c r="D654" s="82" t="str">
        <f aca="false">IF(OR(C654="",P654=""),"",INDEX('CARNET DE SOUDURE'!$D$7:$D$3006,P654)&amp;"")</f>
        <v/>
      </c>
      <c r="E654" s="114" t="str">
        <f aca="false">IF(OR(C654="",P654=""),"",IF(INDEX('CARNET DE SOUDURE'!$U$7:$U$3006,P654)="","",INDEX('CARNET DE SOUDURE'!$U$7:$U$3006,P654)))</f>
        <v/>
      </c>
      <c r="F654" s="82" t="str">
        <f aca="false">IF(OR(C654="",P654=""),"",INDEX('CARNET DE SOUDURE'!$AP$7:$AP$3006,P654))</f>
        <v/>
      </c>
      <c r="G654" s="82" t="str">
        <f aca="false">IF(C654="","",IF(P654="","NJ INCONNU",INDEX('CARNET DE SOUDURE'!$AQ$7:$AQ$3006,P654)))</f>
        <v>À SOUDER</v>
      </c>
      <c r="H654" s="82" t="str">
        <f aca="false">IF(C654="","",IF(G654="ACCEPTÉ","OUI","NON"))</f>
        <v>NON</v>
      </c>
      <c r="I654" s="83"/>
      <c r="J654" s="80"/>
      <c r="K654" s="81"/>
      <c r="L654" s="81"/>
      <c r="M654" s="81"/>
      <c r="N654" s="84" t="str">
        <f aca="false">IF(C654="","",IF(P654="","NJ INCONNU",IF(I654="",IF(H654="OUI","À ENROBER",IF(G654="À SOUDER","NON SOUDÉ","EN ATTENTE RT")),IF(L654="R","À REPRENDRE",IF(H654&lt;&gt;"OUI","⚠ ENROBÉ AVANT ACCEPTATION RT","ENROBÉ")))))</f>
        <v>NON SOUDÉ</v>
      </c>
      <c r="O654" s="80"/>
      <c r="P654" s="82" t="n">
        <f aca="false">IF(C654="","",IFERROR(MATCH(Q654,'CARNET DE SOUDURE'!$AW$7:$AW$3006,0),""))</f>
        <v>648</v>
      </c>
      <c r="Q654" s="82" t="str">
        <f aca="false">IF(C654="","",B654&amp;"|"&amp;C654)</f>
        <v>MFD-ISW → MFD-CPF|JN°648</v>
      </c>
    </row>
    <row r="655" customFormat="false" ht="74.6" hidden="false" customHeight="false" outlineLevel="0" collapsed="false">
      <c r="A655" s="82" t="n">
        <f aca="false">IF(C655="","",ROW()-6)</f>
        <v>649</v>
      </c>
      <c r="B655" s="80" t="s">
        <v>110</v>
      </c>
      <c r="C655" s="113" t="s">
        <v>759</v>
      </c>
      <c r="D655" s="82" t="str">
        <f aca="false">IF(OR(C655="",P655=""),"",INDEX('CARNET DE SOUDURE'!$D$7:$D$3006,P655)&amp;"")</f>
        <v/>
      </c>
      <c r="E655" s="114" t="str">
        <f aca="false">IF(OR(C655="",P655=""),"",IF(INDEX('CARNET DE SOUDURE'!$U$7:$U$3006,P655)="","",INDEX('CARNET DE SOUDURE'!$U$7:$U$3006,P655)))</f>
        <v/>
      </c>
      <c r="F655" s="82" t="str">
        <f aca="false">IF(OR(C655="",P655=""),"",INDEX('CARNET DE SOUDURE'!$AP$7:$AP$3006,P655))</f>
        <v/>
      </c>
      <c r="G655" s="82" t="str">
        <f aca="false">IF(C655="","",IF(P655="","NJ INCONNU",INDEX('CARNET DE SOUDURE'!$AQ$7:$AQ$3006,P655)))</f>
        <v>À SOUDER</v>
      </c>
      <c r="H655" s="82" t="str">
        <f aca="false">IF(C655="","",IF(G655="ACCEPTÉ","OUI","NON"))</f>
        <v>NON</v>
      </c>
      <c r="I655" s="83"/>
      <c r="J655" s="80"/>
      <c r="K655" s="81"/>
      <c r="L655" s="81"/>
      <c r="M655" s="81"/>
      <c r="N655" s="84" t="str">
        <f aca="false">IF(C655="","",IF(P655="","NJ INCONNU",IF(I655="",IF(H655="OUI","À ENROBER",IF(G655="À SOUDER","NON SOUDÉ","EN ATTENTE RT")),IF(L655="R","À REPRENDRE",IF(H655&lt;&gt;"OUI","⚠ ENROBÉ AVANT ACCEPTATION RT","ENROBÉ")))))</f>
        <v>NON SOUDÉ</v>
      </c>
      <c r="O655" s="80"/>
      <c r="P655" s="82" t="n">
        <f aca="false">IF(C655="","",IFERROR(MATCH(Q655,'CARNET DE SOUDURE'!$AW$7:$AW$3006,0),""))</f>
        <v>649</v>
      </c>
      <c r="Q655" s="82" t="str">
        <f aca="false">IF(C655="","",B655&amp;"|"&amp;C655)</f>
        <v>MFD-ISW → MFD-CPF|JN°649</v>
      </c>
    </row>
    <row r="656" customFormat="false" ht="74.6" hidden="false" customHeight="false" outlineLevel="0" collapsed="false">
      <c r="A656" s="82" t="n">
        <f aca="false">IF(C656="","",ROW()-6)</f>
        <v>650</v>
      </c>
      <c r="B656" s="80" t="s">
        <v>110</v>
      </c>
      <c r="C656" s="113" t="s">
        <v>760</v>
      </c>
      <c r="D656" s="82" t="str">
        <f aca="false">IF(OR(C656="",P656=""),"",INDEX('CARNET DE SOUDURE'!$D$7:$D$3006,P656)&amp;"")</f>
        <v/>
      </c>
      <c r="E656" s="114" t="str">
        <f aca="false">IF(OR(C656="",P656=""),"",IF(INDEX('CARNET DE SOUDURE'!$U$7:$U$3006,P656)="","",INDEX('CARNET DE SOUDURE'!$U$7:$U$3006,P656)))</f>
        <v/>
      </c>
      <c r="F656" s="82" t="str">
        <f aca="false">IF(OR(C656="",P656=""),"",INDEX('CARNET DE SOUDURE'!$AP$7:$AP$3006,P656))</f>
        <v/>
      </c>
      <c r="G656" s="82" t="str">
        <f aca="false">IF(C656="","",IF(P656="","NJ INCONNU",INDEX('CARNET DE SOUDURE'!$AQ$7:$AQ$3006,P656)))</f>
        <v>À SOUDER</v>
      </c>
      <c r="H656" s="82" t="str">
        <f aca="false">IF(C656="","",IF(G656="ACCEPTÉ","OUI","NON"))</f>
        <v>NON</v>
      </c>
      <c r="I656" s="83"/>
      <c r="J656" s="80"/>
      <c r="K656" s="81"/>
      <c r="L656" s="81"/>
      <c r="M656" s="81"/>
      <c r="N656" s="84" t="str">
        <f aca="false">IF(C656="","",IF(P656="","NJ INCONNU",IF(I656="",IF(H656="OUI","À ENROBER",IF(G656="À SOUDER","NON SOUDÉ","EN ATTENTE RT")),IF(L656="R","À REPRENDRE",IF(H656&lt;&gt;"OUI","⚠ ENROBÉ AVANT ACCEPTATION RT","ENROBÉ")))))</f>
        <v>NON SOUDÉ</v>
      </c>
      <c r="O656" s="80"/>
      <c r="P656" s="82" t="n">
        <f aca="false">IF(C656="","",IFERROR(MATCH(Q656,'CARNET DE SOUDURE'!$AW$7:$AW$3006,0),""))</f>
        <v>650</v>
      </c>
      <c r="Q656" s="82" t="str">
        <f aca="false">IF(C656="","",B656&amp;"|"&amp;C656)</f>
        <v>MFD-ISW → MFD-CPF|JN°650</v>
      </c>
    </row>
    <row r="657" customFormat="false" ht="74.6" hidden="false" customHeight="false" outlineLevel="0" collapsed="false">
      <c r="A657" s="82" t="n">
        <f aca="false">IF(C657="","",ROW()-6)</f>
        <v>651</v>
      </c>
      <c r="B657" s="80" t="s">
        <v>110</v>
      </c>
      <c r="C657" s="113" t="s">
        <v>761</v>
      </c>
      <c r="D657" s="82" t="str">
        <f aca="false">IF(OR(C657="",P657=""),"",INDEX('CARNET DE SOUDURE'!$D$7:$D$3006,P657)&amp;"")</f>
        <v/>
      </c>
      <c r="E657" s="114" t="str">
        <f aca="false">IF(OR(C657="",P657=""),"",IF(INDEX('CARNET DE SOUDURE'!$U$7:$U$3006,P657)="","",INDEX('CARNET DE SOUDURE'!$U$7:$U$3006,P657)))</f>
        <v/>
      </c>
      <c r="F657" s="82" t="str">
        <f aca="false">IF(OR(C657="",P657=""),"",INDEX('CARNET DE SOUDURE'!$AP$7:$AP$3006,P657))</f>
        <v/>
      </c>
      <c r="G657" s="82" t="str">
        <f aca="false">IF(C657="","",IF(P657="","NJ INCONNU",INDEX('CARNET DE SOUDURE'!$AQ$7:$AQ$3006,P657)))</f>
        <v>À SOUDER</v>
      </c>
      <c r="H657" s="82" t="str">
        <f aca="false">IF(C657="","",IF(G657="ACCEPTÉ","OUI","NON"))</f>
        <v>NON</v>
      </c>
      <c r="I657" s="83"/>
      <c r="J657" s="80"/>
      <c r="K657" s="81"/>
      <c r="L657" s="81"/>
      <c r="M657" s="81"/>
      <c r="N657" s="84" t="str">
        <f aca="false">IF(C657="","",IF(P657="","NJ INCONNU",IF(I657="",IF(H657="OUI","À ENROBER",IF(G657="À SOUDER","NON SOUDÉ","EN ATTENTE RT")),IF(L657="R","À REPRENDRE",IF(H657&lt;&gt;"OUI","⚠ ENROBÉ AVANT ACCEPTATION RT","ENROBÉ")))))</f>
        <v>NON SOUDÉ</v>
      </c>
      <c r="O657" s="80"/>
      <c r="P657" s="82" t="n">
        <f aca="false">IF(C657="","",IFERROR(MATCH(Q657,'CARNET DE SOUDURE'!$AW$7:$AW$3006,0),""))</f>
        <v>651</v>
      </c>
      <c r="Q657" s="82" t="str">
        <f aca="false">IF(C657="","",B657&amp;"|"&amp;C657)</f>
        <v>MFD-ISW → MFD-CPF|JN°651</v>
      </c>
    </row>
    <row r="658" customFormat="false" ht="74.6" hidden="false" customHeight="false" outlineLevel="0" collapsed="false">
      <c r="A658" s="82" t="n">
        <f aca="false">IF(C658="","",ROW()-6)</f>
        <v>652</v>
      </c>
      <c r="B658" s="80" t="s">
        <v>110</v>
      </c>
      <c r="C658" s="113" t="s">
        <v>762</v>
      </c>
      <c r="D658" s="82" t="str">
        <f aca="false">IF(OR(C658="",P658=""),"",INDEX('CARNET DE SOUDURE'!$D$7:$D$3006,P658)&amp;"")</f>
        <v/>
      </c>
      <c r="E658" s="114" t="str">
        <f aca="false">IF(OR(C658="",P658=""),"",IF(INDEX('CARNET DE SOUDURE'!$U$7:$U$3006,P658)="","",INDEX('CARNET DE SOUDURE'!$U$7:$U$3006,P658)))</f>
        <v/>
      </c>
      <c r="F658" s="82" t="str">
        <f aca="false">IF(OR(C658="",P658=""),"",INDEX('CARNET DE SOUDURE'!$AP$7:$AP$3006,P658))</f>
        <v/>
      </c>
      <c r="G658" s="82" t="str">
        <f aca="false">IF(C658="","",IF(P658="","NJ INCONNU",INDEX('CARNET DE SOUDURE'!$AQ$7:$AQ$3006,P658)))</f>
        <v>À SOUDER</v>
      </c>
      <c r="H658" s="82" t="str">
        <f aca="false">IF(C658="","",IF(G658="ACCEPTÉ","OUI","NON"))</f>
        <v>NON</v>
      </c>
      <c r="I658" s="83"/>
      <c r="J658" s="80"/>
      <c r="K658" s="81"/>
      <c r="L658" s="81"/>
      <c r="M658" s="81"/>
      <c r="N658" s="84" t="str">
        <f aca="false">IF(C658="","",IF(P658="","NJ INCONNU",IF(I658="",IF(H658="OUI","À ENROBER",IF(G658="À SOUDER","NON SOUDÉ","EN ATTENTE RT")),IF(L658="R","À REPRENDRE",IF(H658&lt;&gt;"OUI","⚠ ENROBÉ AVANT ACCEPTATION RT","ENROBÉ")))))</f>
        <v>NON SOUDÉ</v>
      </c>
      <c r="O658" s="80"/>
      <c r="P658" s="82" t="n">
        <f aca="false">IF(C658="","",IFERROR(MATCH(Q658,'CARNET DE SOUDURE'!$AW$7:$AW$3006,0),""))</f>
        <v>652</v>
      </c>
      <c r="Q658" s="82" t="str">
        <f aca="false">IF(C658="","",B658&amp;"|"&amp;C658)</f>
        <v>MFD-ISW → MFD-CPF|JN°652</v>
      </c>
    </row>
    <row r="659" customFormat="false" ht="74.6" hidden="false" customHeight="false" outlineLevel="0" collapsed="false">
      <c r="A659" s="82" t="n">
        <f aca="false">IF(C659="","",ROW()-6)</f>
        <v>653</v>
      </c>
      <c r="B659" s="80" t="s">
        <v>110</v>
      </c>
      <c r="C659" s="113" t="s">
        <v>763</v>
      </c>
      <c r="D659" s="82" t="str">
        <f aca="false">IF(OR(C659="",P659=""),"",INDEX('CARNET DE SOUDURE'!$D$7:$D$3006,P659)&amp;"")</f>
        <v/>
      </c>
      <c r="E659" s="114" t="str">
        <f aca="false">IF(OR(C659="",P659=""),"",IF(INDEX('CARNET DE SOUDURE'!$U$7:$U$3006,P659)="","",INDEX('CARNET DE SOUDURE'!$U$7:$U$3006,P659)))</f>
        <v/>
      </c>
      <c r="F659" s="82" t="str">
        <f aca="false">IF(OR(C659="",P659=""),"",INDEX('CARNET DE SOUDURE'!$AP$7:$AP$3006,P659))</f>
        <v/>
      </c>
      <c r="G659" s="82" t="str">
        <f aca="false">IF(C659="","",IF(P659="","NJ INCONNU",INDEX('CARNET DE SOUDURE'!$AQ$7:$AQ$3006,P659)))</f>
        <v>À SOUDER</v>
      </c>
      <c r="H659" s="82" t="str">
        <f aca="false">IF(C659="","",IF(G659="ACCEPTÉ","OUI","NON"))</f>
        <v>NON</v>
      </c>
      <c r="I659" s="83"/>
      <c r="J659" s="80"/>
      <c r="K659" s="81"/>
      <c r="L659" s="81"/>
      <c r="M659" s="81"/>
      <c r="N659" s="84" t="str">
        <f aca="false">IF(C659="","",IF(P659="","NJ INCONNU",IF(I659="",IF(H659="OUI","À ENROBER",IF(G659="À SOUDER","NON SOUDÉ","EN ATTENTE RT")),IF(L659="R","À REPRENDRE",IF(H659&lt;&gt;"OUI","⚠ ENROBÉ AVANT ACCEPTATION RT","ENROBÉ")))))</f>
        <v>NON SOUDÉ</v>
      </c>
      <c r="O659" s="80"/>
      <c r="P659" s="82" t="n">
        <f aca="false">IF(C659="","",IFERROR(MATCH(Q659,'CARNET DE SOUDURE'!$AW$7:$AW$3006,0),""))</f>
        <v>653</v>
      </c>
      <c r="Q659" s="82" t="str">
        <f aca="false">IF(C659="","",B659&amp;"|"&amp;C659)</f>
        <v>MFD-ISW → MFD-CPF|JN°653</v>
      </c>
    </row>
    <row r="660" customFormat="false" ht="74.6" hidden="false" customHeight="false" outlineLevel="0" collapsed="false">
      <c r="A660" s="82" t="n">
        <f aca="false">IF(C660="","",ROW()-6)</f>
        <v>654</v>
      </c>
      <c r="B660" s="80" t="s">
        <v>110</v>
      </c>
      <c r="C660" s="113" t="s">
        <v>764</v>
      </c>
      <c r="D660" s="82" t="str">
        <f aca="false">IF(OR(C660="",P660=""),"",INDEX('CARNET DE SOUDURE'!$D$7:$D$3006,P660)&amp;"")</f>
        <v/>
      </c>
      <c r="E660" s="114" t="str">
        <f aca="false">IF(OR(C660="",P660=""),"",IF(INDEX('CARNET DE SOUDURE'!$U$7:$U$3006,P660)="","",INDEX('CARNET DE SOUDURE'!$U$7:$U$3006,P660)))</f>
        <v/>
      </c>
      <c r="F660" s="82" t="str">
        <f aca="false">IF(OR(C660="",P660=""),"",INDEX('CARNET DE SOUDURE'!$AP$7:$AP$3006,P660))</f>
        <v/>
      </c>
      <c r="G660" s="82" t="str">
        <f aca="false">IF(C660="","",IF(P660="","NJ INCONNU",INDEX('CARNET DE SOUDURE'!$AQ$7:$AQ$3006,P660)))</f>
        <v>À SOUDER</v>
      </c>
      <c r="H660" s="82" t="str">
        <f aca="false">IF(C660="","",IF(G660="ACCEPTÉ","OUI","NON"))</f>
        <v>NON</v>
      </c>
      <c r="I660" s="83"/>
      <c r="J660" s="80"/>
      <c r="K660" s="81"/>
      <c r="L660" s="81"/>
      <c r="M660" s="81"/>
      <c r="N660" s="84" t="str">
        <f aca="false">IF(C660="","",IF(P660="","NJ INCONNU",IF(I660="",IF(H660="OUI","À ENROBER",IF(G660="À SOUDER","NON SOUDÉ","EN ATTENTE RT")),IF(L660="R","À REPRENDRE",IF(H660&lt;&gt;"OUI","⚠ ENROBÉ AVANT ACCEPTATION RT","ENROBÉ")))))</f>
        <v>NON SOUDÉ</v>
      </c>
      <c r="O660" s="80"/>
      <c r="P660" s="82" t="n">
        <f aca="false">IF(C660="","",IFERROR(MATCH(Q660,'CARNET DE SOUDURE'!$AW$7:$AW$3006,0),""))</f>
        <v>654</v>
      </c>
      <c r="Q660" s="82" t="str">
        <f aca="false">IF(C660="","",B660&amp;"|"&amp;C660)</f>
        <v>MFD-ISW → MFD-CPF|JN°654</v>
      </c>
    </row>
    <row r="661" customFormat="false" ht="74.6" hidden="false" customHeight="false" outlineLevel="0" collapsed="false">
      <c r="A661" s="82" t="n">
        <f aca="false">IF(C661="","",ROW()-6)</f>
        <v>655</v>
      </c>
      <c r="B661" s="80" t="s">
        <v>110</v>
      </c>
      <c r="C661" s="113" t="s">
        <v>765</v>
      </c>
      <c r="D661" s="82" t="str">
        <f aca="false">IF(OR(C661="",P661=""),"",INDEX('CARNET DE SOUDURE'!$D$7:$D$3006,P661)&amp;"")</f>
        <v/>
      </c>
      <c r="E661" s="114" t="str">
        <f aca="false">IF(OR(C661="",P661=""),"",IF(INDEX('CARNET DE SOUDURE'!$U$7:$U$3006,P661)="","",INDEX('CARNET DE SOUDURE'!$U$7:$U$3006,P661)))</f>
        <v/>
      </c>
      <c r="F661" s="82" t="str">
        <f aca="false">IF(OR(C661="",P661=""),"",INDEX('CARNET DE SOUDURE'!$AP$7:$AP$3006,P661))</f>
        <v/>
      </c>
      <c r="G661" s="82" t="str">
        <f aca="false">IF(C661="","",IF(P661="","NJ INCONNU",INDEX('CARNET DE SOUDURE'!$AQ$7:$AQ$3006,P661)))</f>
        <v>À SOUDER</v>
      </c>
      <c r="H661" s="82" t="str">
        <f aca="false">IF(C661="","",IF(G661="ACCEPTÉ","OUI","NON"))</f>
        <v>NON</v>
      </c>
      <c r="I661" s="83"/>
      <c r="J661" s="80"/>
      <c r="K661" s="81"/>
      <c r="L661" s="81"/>
      <c r="M661" s="81"/>
      <c r="N661" s="84" t="str">
        <f aca="false">IF(C661="","",IF(P661="","NJ INCONNU",IF(I661="",IF(H661="OUI","À ENROBER",IF(G661="À SOUDER","NON SOUDÉ","EN ATTENTE RT")),IF(L661="R","À REPRENDRE",IF(H661&lt;&gt;"OUI","⚠ ENROBÉ AVANT ACCEPTATION RT","ENROBÉ")))))</f>
        <v>NON SOUDÉ</v>
      </c>
      <c r="O661" s="80"/>
      <c r="P661" s="82" t="n">
        <f aca="false">IF(C661="","",IFERROR(MATCH(Q661,'CARNET DE SOUDURE'!$AW$7:$AW$3006,0),""))</f>
        <v>655</v>
      </c>
      <c r="Q661" s="82" t="str">
        <f aca="false">IF(C661="","",B661&amp;"|"&amp;C661)</f>
        <v>MFD-ISW → MFD-CPF|JN°655</v>
      </c>
    </row>
    <row r="662" customFormat="false" ht="74.6" hidden="false" customHeight="false" outlineLevel="0" collapsed="false">
      <c r="A662" s="82" t="n">
        <f aca="false">IF(C662="","",ROW()-6)</f>
        <v>656</v>
      </c>
      <c r="B662" s="80" t="s">
        <v>110</v>
      </c>
      <c r="C662" s="113" t="s">
        <v>766</v>
      </c>
      <c r="D662" s="82" t="str">
        <f aca="false">IF(OR(C662="",P662=""),"",INDEX('CARNET DE SOUDURE'!$D$7:$D$3006,P662)&amp;"")</f>
        <v/>
      </c>
      <c r="E662" s="114" t="str">
        <f aca="false">IF(OR(C662="",P662=""),"",IF(INDEX('CARNET DE SOUDURE'!$U$7:$U$3006,P662)="","",INDEX('CARNET DE SOUDURE'!$U$7:$U$3006,P662)))</f>
        <v/>
      </c>
      <c r="F662" s="82" t="str">
        <f aca="false">IF(OR(C662="",P662=""),"",INDEX('CARNET DE SOUDURE'!$AP$7:$AP$3006,P662))</f>
        <v/>
      </c>
      <c r="G662" s="82" t="str">
        <f aca="false">IF(C662="","",IF(P662="","NJ INCONNU",INDEX('CARNET DE SOUDURE'!$AQ$7:$AQ$3006,P662)))</f>
        <v>À SOUDER</v>
      </c>
      <c r="H662" s="82" t="str">
        <f aca="false">IF(C662="","",IF(G662="ACCEPTÉ","OUI","NON"))</f>
        <v>NON</v>
      </c>
      <c r="I662" s="83"/>
      <c r="J662" s="80"/>
      <c r="K662" s="81"/>
      <c r="L662" s="81"/>
      <c r="M662" s="81"/>
      <c r="N662" s="84" t="str">
        <f aca="false">IF(C662="","",IF(P662="","NJ INCONNU",IF(I662="",IF(H662="OUI","À ENROBER",IF(G662="À SOUDER","NON SOUDÉ","EN ATTENTE RT")),IF(L662="R","À REPRENDRE",IF(H662&lt;&gt;"OUI","⚠ ENROBÉ AVANT ACCEPTATION RT","ENROBÉ")))))</f>
        <v>NON SOUDÉ</v>
      </c>
      <c r="O662" s="80"/>
      <c r="P662" s="82" t="n">
        <f aca="false">IF(C662="","",IFERROR(MATCH(Q662,'CARNET DE SOUDURE'!$AW$7:$AW$3006,0),""))</f>
        <v>656</v>
      </c>
      <c r="Q662" s="82" t="str">
        <f aca="false">IF(C662="","",B662&amp;"|"&amp;C662)</f>
        <v>MFD-ISW → MFD-CPF|JN°656</v>
      </c>
    </row>
    <row r="663" customFormat="false" ht="74.6" hidden="false" customHeight="false" outlineLevel="0" collapsed="false">
      <c r="A663" s="82" t="n">
        <f aca="false">IF(C663="","",ROW()-6)</f>
        <v>657</v>
      </c>
      <c r="B663" s="80" t="s">
        <v>110</v>
      </c>
      <c r="C663" s="113" t="s">
        <v>767</v>
      </c>
      <c r="D663" s="82" t="str">
        <f aca="false">IF(OR(C663="",P663=""),"",INDEX('CARNET DE SOUDURE'!$D$7:$D$3006,P663)&amp;"")</f>
        <v/>
      </c>
      <c r="E663" s="114" t="str">
        <f aca="false">IF(OR(C663="",P663=""),"",IF(INDEX('CARNET DE SOUDURE'!$U$7:$U$3006,P663)="","",INDEX('CARNET DE SOUDURE'!$U$7:$U$3006,P663)))</f>
        <v/>
      </c>
      <c r="F663" s="82" t="str">
        <f aca="false">IF(OR(C663="",P663=""),"",INDEX('CARNET DE SOUDURE'!$AP$7:$AP$3006,P663))</f>
        <v/>
      </c>
      <c r="G663" s="82" t="str">
        <f aca="false">IF(C663="","",IF(P663="","NJ INCONNU",INDEX('CARNET DE SOUDURE'!$AQ$7:$AQ$3006,P663)))</f>
        <v>À SOUDER</v>
      </c>
      <c r="H663" s="82" t="str">
        <f aca="false">IF(C663="","",IF(G663="ACCEPTÉ","OUI","NON"))</f>
        <v>NON</v>
      </c>
      <c r="I663" s="83"/>
      <c r="J663" s="80"/>
      <c r="K663" s="81"/>
      <c r="L663" s="81"/>
      <c r="M663" s="81"/>
      <c r="N663" s="84" t="str">
        <f aca="false">IF(C663="","",IF(P663="","NJ INCONNU",IF(I663="",IF(H663="OUI","À ENROBER",IF(G663="À SOUDER","NON SOUDÉ","EN ATTENTE RT")),IF(L663="R","À REPRENDRE",IF(H663&lt;&gt;"OUI","⚠ ENROBÉ AVANT ACCEPTATION RT","ENROBÉ")))))</f>
        <v>NON SOUDÉ</v>
      </c>
      <c r="O663" s="80"/>
      <c r="P663" s="82" t="n">
        <f aca="false">IF(C663="","",IFERROR(MATCH(Q663,'CARNET DE SOUDURE'!$AW$7:$AW$3006,0),""))</f>
        <v>657</v>
      </c>
      <c r="Q663" s="82" t="str">
        <f aca="false">IF(C663="","",B663&amp;"|"&amp;C663)</f>
        <v>MFD-ISW → MFD-CPF|JN°657</v>
      </c>
    </row>
    <row r="664" customFormat="false" ht="74.6" hidden="false" customHeight="false" outlineLevel="0" collapsed="false">
      <c r="A664" s="82" t="n">
        <f aca="false">IF(C664="","",ROW()-6)</f>
        <v>658</v>
      </c>
      <c r="B664" s="80" t="s">
        <v>110</v>
      </c>
      <c r="C664" s="113" t="s">
        <v>768</v>
      </c>
      <c r="D664" s="82" t="str">
        <f aca="false">IF(OR(C664="",P664=""),"",INDEX('CARNET DE SOUDURE'!$D$7:$D$3006,P664)&amp;"")</f>
        <v/>
      </c>
      <c r="E664" s="114" t="str">
        <f aca="false">IF(OR(C664="",P664=""),"",IF(INDEX('CARNET DE SOUDURE'!$U$7:$U$3006,P664)="","",INDEX('CARNET DE SOUDURE'!$U$7:$U$3006,P664)))</f>
        <v/>
      </c>
      <c r="F664" s="82" t="str">
        <f aca="false">IF(OR(C664="",P664=""),"",INDEX('CARNET DE SOUDURE'!$AP$7:$AP$3006,P664))</f>
        <v/>
      </c>
      <c r="G664" s="82" t="str">
        <f aca="false">IF(C664="","",IF(P664="","NJ INCONNU",INDEX('CARNET DE SOUDURE'!$AQ$7:$AQ$3006,P664)))</f>
        <v>À SOUDER</v>
      </c>
      <c r="H664" s="82" t="str">
        <f aca="false">IF(C664="","",IF(G664="ACCEPTÉ","OUI","NON"))</f>
        <v>NON</v>
      </c>
      <c r="I664" s="83"/>
      <c r="J664" s="80"/>
      <c r="K664" s="81"/>
      <c r="L664" s="81"/>
      <c r="M664" s="81"/>
      <c r="N664" s="84" t="str">
        <f aca="false">IF(C664="","",IF(P664="","NJ INCONNU",IF(I664="",IF(H664="OUI","À ENROBER",IF(G664="À SOUDER","NON SOUDÉ","EN ATTENTE RT")),IF(L664="R","À REPRENDRE",IF(H664&lt;&gt;"OUI","⚠ ENROBÉ AVANT ACCEPTATION RT","ENROBÉ")))))</f>
        <v>NON SOUDÉ</v>
      </c>
      <c r="O664" s="80"/>
      <c r="P664" s="82" t="n">
        <f aca="false">IF(C664="","",IFERROR(MATCH(Q664,'CARNET DE SOUDURE'!$AW$7:$AW$3006,0),""))</f>
        <v>658</v>
      </c>
      <c r="Q664" s="82" t="str">
        <f aca="false">IF(C664="","",B664&amp;"|"&amp;C664)</f>
        <v>MFD-ISW → MFD-CPF|JN°658</v>
      </c>
    </row>
    <row r="665" customFormat="false" ht="74.6" hidden="false" customHeight="false" outlineLevel="0" collapsed="false">
      <c r="A665" s="82" t="n">
        <f aca="false">IF(C665="","",ROW()-6)</f>
        <v>659</v>
      </c>
      <c r="B665" s="80" t="s">
        <v>110</v>
      </c>
      <c r="C665" s="113" t="s">
        <v>769</v>
      </c>
      <c r="D665" s="82" t="str">
        <f aca="false">IF(OR(C665="",P665=""),"",INDEX('CARNET DE SOUDURE'!$D$7:$D$3006,P665)&amp;"")</f>
        <v/>
      </c>
      <c r="E665" s="114" t="str">
        <f aca="false">IF(OR(C665="",P665=""),"",IF(INDEX('CARNET DE SOUDURE'!$U$7:$U$3006,P665)="","",INDEX('CARNET DE SOUDURE'!$U$7:$U$3006,P665)))</f>
        <v/>
      </c>
      <c r="F665" s="82" t="str">
        <f aca="false">IF(OR(C665="",P665=""),"",INDEX('CARNET DE SOUDURE'!$AP$7:$AP$3006,P665))</f>
        <v/>
      </c>
      <c r="G665" s="82" t="str">
        <f aca="false">IF(C665="","",IF(P665="","NJ INCONNU",INDEX('CARNET DE SOUDURE'!$AQ$7:$AQ$3006,P665)))</f>
        <v>À SOUDER</v>
      </c>
      <c r="H665" s="82" t="str">
        <f aca="false">IF(C665="","",IF(G665="ACCEPTÉ","OUI","NON"))</f>
        <v>NON</v>
      </c>
      <c r="I665" s="83"/>
      <c r="J665" s="80"/>
      <c r="K665" s="81"/>
      <c r="L665" s="81"/>
      <c r="M665" s="81"/>
      <c r="N665" s="84" t="str">
        <f aca="false">IF(C665="","",IF(P665="","NJ INCONNU",IF(I665="",IF(H665="OUI","À ENROBER",IF(G665="À SOUDER","NON SOUDÉ","EN ATTENTE RT")),IF(L665="R","À REPRENDRE",IF(H665&lt;&gt;"OUI","⚠ ENROBÉ AVANT ACCEPTATION RT","ENROBÉ")))))</f>
        <v>NON SOUDÉ</v>
      </c>
      <c r="O665" s="80"/>
      <c r="P665" s="82" t="n">
        <f aca="false">IF(C665="","",IFERROR(MATCH(Q665,'CARNET DE SOUDURE'!$AW$7:$AW$3006,0),""))</f>
        <v>659</v>
      </c>
      <c r="Q665" s="82" t="str">
        <f aca="false">IF(C665="","",B665&amp;"|"&amp;C665)</f>
        <v>MFD-ISW → MFD-CPF|JN°659</v>
      </c>
    </row>
    <row r="666" customFormat="false" ht="74.6" hidden="false" customHeight="false" outlineLevel="0" collapsed="false">
      <c r="A666" s="82" t="n">
        <f aca="false">IF(C666="","",ROW()-6)</f>
        <v>660</v>
      </c>
      <c r="B666" s="80" t="s">
        <v>110</v>
      </c>
      <c r="C666" s="113" t="s">
        <v>770</v>
      </c>
      <c r="D666" s="82" t="str">
        <f aca="false">IF(OR(C666="",P666=""),"",INDEX('CARNET DE SOUDURE'!$D$7:$D$3006,P666)&amp;"")</f>
        <v/>
      </c>
      <c r="E666" s="114" t="str">
        <f aca="false">IF(OR(C666="",P666=""),"",IF(INDEX('CARNET DE SOUDURE'!$U$7:$U$3006,P666)="","",INDEX('CARNET DE SOUDURE'!$U$7:$U$3006,P666)))</f>
        <v/>
      </c>
      <c r="F666" s="82" t="str">
        <f aca="false">IF(OR(C666="",P666=""),"",INDEX('CARNET DE SOUDURE'!$AP$7:$AP$3006,P666))</f>
        <v/>
      </c>
      <c r="G666" s="82" t="str">
        <f aca="false">IF(C666="","",IF(P666="","NJ INCONNU",INDEX('CARNET DE SOUDURE'!$AQ$7:$AQ$3006,P666)))</f>
        <v>À SOUDER</v>
      </c>
      <c r="H666" s="82" t="str">
        <f aca="false">IF(C666="","",IF(G666="ACCEPTÉ","OUI","NON"))</f>
        <v>NON</v>
      </c>
      <c r="I666" s="83"/>
      <c r="J666" s="80"/>
      <c r="K666" s="81"/>
      <c r="L666" s="81"/>
      <c r="M666" s="81"/>
      <c r="N666" s="84" t="str">
        <f aca="false">IF(C666="","",IF(P666="","NJ INCONNU",IF(I666="",IF(H666="OUI","À ENROBER",IF(G666="À SOUDER","NON SOUDÉ","EN ATTENTE RT")),IF(L666="R","À REPRENDRE",IF(H666&lt;&gt;"OUI","⚠ ENROBÉ AVANT ACCEPTATION RT","ENROBÉ")))))</f>
        <v>NON SOUDÉ</v>
      </c>
      <c r="O666" s="80"/>
      <c r="P666" s="82" t="n">
        <f aca="false">IF(C666="","",IFERROR(MATCH(Q666,'CARNET DE SOUDURE'!$AW$7:$AW$3006,0),""))</f>
        <v>660</v>
      </c>
      <c r="Q666" s="82" t="str">
        <f aca="false">IF(C666="","",B666&amp;"|"&amp;C666)</f>
        <v>MFD-ISW → MFD-CPF|JN°660</v>
      </c>
    </row>
    <row r="667" customFormat="false" ht="74.6" hidden="false" customHeight="false" outlineLevel="0" collapsed="false">
      <c r="A667" s="82" t="n">
        <f aca="false">IF(C667="","",ROW()-6)</f>
        <v>661</v>
      </c>
      <c r="B667" s="80" t="s">
        <v>110</v>
      </c>
      <c r="C667" s="113" t="s">
        <v>771</v>
      </c>
      <c r="D667" s="82" t="str">
        <f aca="false">IF(OR(C667="",P667=""),"",INDEX('CARNET DE SOUDURE'!$D$7:$D$3006,P667)&amp;"")</f>
        <v/>
      </c>
      <c r="E667" s="114" t="str">
        <f aca="false">IF(OR(C667="",P667=""),"",IF(INDEX('CARNET DE SOUDURE'!$U$7:$U$3006,P667)="","",INDEX('CARNET DE SOUDURE'!$U$7:$U$3006,P667)))</f>
        <v/>
      </c>
      <c r="F667" s="82" t="str">
        <f aca="false">IF(OR(C667="",P667=""),"",INDEX('CARNET DE SOUDURE'!$AP$7:$AP$3006,P667))</f>
        <v/>
      </c>
      <c r="G667" s="82" t="str">
        <f aca="false">IF(C667="","",IF(P667="","NJ INCONNU",INDEX('CARNET DE SOUDURE'!$AQ$7:$AQ$3006,P667)))</f>
        <v>À SOUDER</v>
      </c>
      <c r="H667" s="82" t="str">
        <f aca="false">IF(C667="","",IF(G667="ACCEPTÉ","OUI","NON"))</f>
        <v>NON</v>
      </c>
      <c r="I667" s="83"/>
      <c r="J667" s="80"/>
      <c r="K667" s="81"/>
      <c r="L667" s="81"/>
      <c r="M667" s="81"/>
      <c r="N667" s="84" t="str">
        <f aca="false">IF(C667="","",IF(P667="","NJ INCONNU",IF(I667="",IF(H667="OUI","À ENROBER",IF(G667="À SOUDER","NON SOUDÉ","EN ATTENTE RT")),IF(L667="R","À REPRENDRE",IF(H667&lt;&gt;"OUI","⚠ ENROBÉ AVANT ACCEPTATION RT","ENROBÉ")))))</f>
        <v>NON SOUDÉ</v>
      </c>
      <c r="O667" s="80"/>
      <c r="P667" s="82" t="n">
        <f aca="false">IF(C667="","",IFERROR(MATCH(Q667,'CARNET DE SOUDURE'!$AW$7:$AW$3006,0),""))</f>
        <v>661</v>
      </c>
      <c r="Q667" s="82" t="str">
        <f aca="false">IF(C667="","",B667&amp;"|"&amp;C667)</f>
        <v>MFD-ISW → MFD-CPF|JN°661</v>
      </c>
    </row>
    <row r="668" customFormat="false" ht="74.6" hidden="false" customHeight="false" outlineLevel="0" collapsed="false">
      <c r="A668" s="82" t="n">
        <f aca="false">IF(C668="","",ROW()-6)</f>
        <v>662</v>
      </c>
      <c r="B668" s="80" t="s">
        <v>110</v>
      </c>
      <c r="C668" s="113" t="s">
        <v>772</v>
      </c>
      <c r="D668" s="82" t="str">
        <f aca="false">IF(OR(C668="",P668=""),"",INDEX('CARNET DE SOUDURE'!$D$7:$D$3006,P668)&amp;"")</f>
        <v/>
      </c>
      <c r="E668" s="114" t="str">
        <f aca="false">IF(OR(C668="",P668=""),"",IF(INDEX('CARNET DE SOUDURE'!$U$7:$U$3006,P668)="","",INDEX('CARNET DE SOUDURE'!$U$7:$U$3006,P668)))</f>
        <v/>
      </c>
      <c r="F668" s="82" t="str">
        <f aca="false">IF(OR(C668="",P668=""),"",INDEX('CARNET DE SOUDURE'!$AP$7:$AP$3006,P668))</f>
        <v/>
      </c>
      <c r="G668" s="82" t="str">
        <f aca="false">IF(C668="","",IF(P668="","NJ INCONNU",INDEX('CARNET DE SOUDURE'!$AQ$7:$AQ$3006,P668)))</f>
        <v>À SOUDER</v>
      </c>
      <c r="H668" s="82" t="str">
        <f aca="false">IF(C668="","",IF(G668="ACCEPTÉ","OUI","NON"))</f>
        <v>NON</v>
      </c>
      <c r="I668" s="83"/>
      <c r="J668" s="80"/>
      <c r="K668" s="81"/>
      <c r="L668" s="81"/>
      <c r="M668" s="81"/>
      <c r="N668" s="84" t="str">
        <f aca="false">IF(C668="","",IF(P668="","NJ INCONNU",IF(I668="",IF(H668="OUI","À ENROBER",IF(G668="À SOUDER","NON SOUDÉ","EN ATTENTE RT")),IF(L668="R","À REPRENDRE",IF(H668&lt;&gt;"OUI","⚠ ENROBÉ AVANT ACCEPTATION RT","ENROBÉ")))))</f>
        <v>NON SOUDÉ</v>
      </c>
      <c r="O668" s="80"/>
      <c r="P668" s="82" t="n">
        <f aca="false">IF(C668="","",IFERROR(MATCH(Q668,'CARNET DE SOUDURE'!$AW$7:$AW$3006,0),""))</f>
        <v>662</v>
      </c>
      <c r="Q668" s="82" t="str">
        <f aca="false">IF(C668="","",B668&amp;"|"&amp;C668)</f>
        <v>MFD-ISW → MFD-CPF|JN°662</v>
      </c>
    </row>
    <row r="669" customFormat="false" ht="74.6" hidden="false" customHeight="false" outlineLevel="0" collapsed="false">
      <c r="A669" s="82" t="n">
        <f aca="false">IF(C669="","",ROW()-6)</f>
        <v>663</v>
      </c>
      <c r="B669" s="80" t="s">
        <v>110</v>
      </c>
      <c r="C669" s="113" t="s">
        <v>773</v>
      </c>
      <c r="D669" s="82" t="str">
        <f aca="false">IF(OR(C669="",P669=""),"",INDEX('CARNET DE SOUDURE'!$D$7:$D$3006,P669)&amp;"")</f>
        <v/>
      </c>
      <c r="E669" s="114" t="str">
        <f aca="false">IF(OR(C669="",P669=""),"",IF(INDEX('CARNET DE SOUDURE'!$U$7:$U$3006,P669)="","",INDEX('CARNET DE SOUDURE'!$U$7:$U$3006,P669)))</f>
        <v/>
      </c>
      <c r="F669" s="82" t="str">
        <f aca="false">IF(OR(C669="",P669=""),"",INDEX('CARNET DE SOUDURE'!$AP$7:$AP$3006,P669))</f>
        <v/>
      </c>
      <c r="G669" s="82" t="str">
        <f aca="false">IF(C669="","",IF(P669="","NJ INCONNU",INDEX('CARNET DE SOUDURE'!$AQ$7:$AQ$3006,P669)))</f>
        <v>À SOUDER</v>
      </c>
      <c r="H669" s="82" t="str">
        <f aca="false">IF(C669="","",IF(G669="ACCEPTÉ","OUI","NON"))</f>
        <v>NON</v>
      </c>
      <c r="I669" s="83"/>
      <c r="J669" s="80"/>
      <c r="K669" s="81"/>
      <c r="L669" s="81"/>
      <c r="M669" s="81"/>
      <c r="N669" s="84" t="str">
        <f aca="false">IF(C669="","",IF(P669="","NJ INCONNU",IF(I669="",IF(H669="OUI","À ENROBER",IF(G669="À SOUDER","NON SOUDÉ","EN ATTENTE RT")),IF(L669="R","À REPRENDRE",IF(H669&lt;&gt;"OUI","⚠ ENROBÉ AVANT ACCEPTATION RT","ENROBÉ")))))</f>
        <v>NON SOUDÉ</v>
      </c>
      <c r="O669" s="80"/>
      <c r="P669" s="82" t="n">
        <f aca="false">IF(C669="","",IFERROR(MATCH(Q669,'CARNET DE SOUDURE'!$AW$7:$AW$3006,0),""))</f>
        <v>663</v>
      </c>
      <c r="Q669" s="82" t="str">
        <f aca="false">IF(C669="","",B669&amp;"|"&amp;C669)</f>
        <v>MFD-ISW → MFD-CPF|JN°663</v>
      </c>
    </row>
    <row r="670" customFormat="false" ht="74.6" hidden="false" customHeight="false" outlineLevel="0" collapsed="false">
      <c r="A670" s="82" t="n">
        <f aca="false">IF(C670="","",ROW()-6)</f>
        <v>664</v>
      </c>
      <c r="B670" s="80" t="s">
        <v>110</v>
      </c>
      <c r="C670" s="113" t="s">
        <v>774</v>
      </c>
      <c r="D670" s="82" t="str">
        <f aca="false">IF(OR(C670="",P670=""),"",INDEX('CARNET DE SOUDURE'!$D$7:$D$3006,P670)&amp;"")</f>
        <v/>
      </c>
      <c r="E670" s="114" t="str">
        <f aca="false">IF(OR(C670="",P670=""),"",IF(INDEX('CARNET DE SOUDURE'!$U$7:$U$3006,P670)="","",INDEX('CARNET DE SOUDURE'!$U$7:$U$3006,P670)))</f>
        <v/>
      </c>
      <c r="F670" s="82" t="str">
        <f aca="false">IF(OR(C670="",P670=""),"",INDEX('CARNET DE SOUDURE'!$AP$7:$AP$3006,P670))</f>
        <v/>
      </c>
      <c r="G670" s="82" t="str">
        <f aca="false">IF(C670="","",IF(P670="","NJ INCONNU",INDEX('CARNET DE SOUDURE'!$AQ$7:$AQ$3006,P670)))</f>
        <v>À SOUDER</v>
      </c>
      <c r="H670" s="82" t="str">
        <f aca="false">IF(C670="","",IF(G670="ACCEPTÉ","OUI","NON"))</f>
        <v>NON</v>
      </c>
      <c r="I670" s="83"/>
      <c r="J670" s="80"/>
      <c r="K670" s="81"/>
      <c r="L670" s="81"/>
      <c r="M670" s="81"/>
      <c r="N670" s="84" t="str">
        <f aca="false">IF(C670="","",IF(P670="","NJ INCONNU",IF(I670="",IF(H670="OUI","À ENROBER",IF(G670="À SOUDER","NON SOUDÉ","EN ATTENTE RT")),IF(L670="R","À REPRENDRE",IF(H670&lt;&gt;"OUI","⚠ ENROBÉ AVANT ACCEPTATION RT","ENROBÉ")))))</f>
        <v>NON SOUDÉ</v>
      </c>
      <c r="O670" s="80"/>
      <c r="P670" s="82" t="n">
        <f aca="false">IF(C670="","",IFERROR(MATCH(Q670,'CARNET DE SOUDURE'!$AW$7:$AW$3006,0),""))</f>
        <v>664</v>
      </c>
      <c r="Q670" s="82" t="str">
        <f aca="false">IF(C670="","",B670&amp;"|"&amp;C670)</f>
        <v>MFD-ISW → MFD-CPF|JN°664</v>
      </c>
    </row>
    <row r="671" customFormat="false" ht="74.6" hidden="false" customHeight="false" outlineLevel="0" collapsed="false">
      <c r="A671" s="82" t="n">
        <f aca="false">IF(C671="","",ROW()-6)</f>
        <v>665</v>
      </c>
      <c r="B671" s="80" t="s">
        <v>110</v>
      </c>
      <c r="C671" s="113" t="s">
        <v>775</v>
      </c>
      <c r="D671" s="82" t="str">
        <f aca="false">IF(OR(C671="",P671=""),"",INDEX('CARNET DE SOUDURE'!$D$7:$D$3006,P671)&amp;"")</f>
        <v/>
      </c>
      <c r="E671" s="114" t="str">
        <f aca="false">IF(OR(C671="",P671=""),"",IF(INDEX('CARNET DE SOUDURE'!$U$7:$U$3006,P671)="","",INDEX('CARNET DE SOUDURE'!$U$7:$U$3006,P671)))</f>
        <v/>
      </c>
      <c r="F671" s="82" t="str">
        <f aca="false">IF(OR(C671="",P671=""),"",INDEX('CARNET DE SOUDURE'!$AP$7:$AP$3006,P671))</f>
        <v/>
      </c>
      <c r="G671" s="82" t="str">
        <f aca="false">IF(C671="","",IF(P671="","NJ INCONNU",INDEX('CARNET DE SOUDURE'!$AQ$7:$AQ$3006,P671)))</f>
        <v>À SOUDER</v>
      </c>
      <c r="H671" s="82" t="str">
        <f aca="false">IF(C671="","",IF(G671="ACCEPTÉ","OUI","NON"))</f>
        <v>NON</v>
      </c>
      <c r="I671" s="83"/>
      <c r="J671" s="80"/>
      <c r="K671" s="81"/>
      <c r="L671" s="81"/>
      <c r="M671" s="81"/>
      <c r="N671" s="84" t="str">
        <f aca="false">IF(C671="","",IF(P671="","NJ INCONNU",IF(I671="",IF(H671="OUI","À ENROBER",IF(G671="À SOUDER","NON SOUDÉ","EN ATTENTE RT")),IF(L671="R","À REPRENDRE",IF(H671&lt;&gt;"OUI","⚠ ENROBÉ AVANT ACCEPTATION RT","ENROBÉ")))))</f>
        <v>NON SOUDÉ</v>
      </c>
      <c r="O671" s="80"/>
      <c r="P671" s="82" t="n">
        <f aca="false">IF(C671="","",IFERROR(MATCH(Q671,'CARNET DE SOUDURE'!$AW$7:$AW$3006,0),""))</f>
        <v>665</v>
      </c>
      <c r="Q671" s="82" t="str">
        <f aca="false">IF(C671="","",B671&amp;"|"&amp;C671)</f>
        <v>MFD-ISW → MFD-CPF|JN°665</v>
      </c>
    </row>
    <row r="672" customFormat="false" ht="74.6" hidden="false" customHeight="false" outlineLevel="0" collapsed="false">
      <c r="A672" s="82" t="n">
        <f aca="false">IF(C672="","",ROW()-6)</f>
        <v>666</v>
      </c>
      <c r="B672" s="80" t="s">
        <v>110</v>
      </c>
      <c r="C672" s="113" t="s">
        <v>776</v>
      </c>
      <c r="D672" s="82" t="str">
        <f aca="false">IF(OR(C672="",P672=""),"",INDEX('CARNET DE SOUDURE'!$D$7:$D$3006,P672)&amp;"")</f>
        <v/>
      </c>
      <c r="E672" s="114" t="str">
        <f aca="false">IF(OR(C672="",P672=""),"",IF(INDEX('CARNET DE SOUDURE'!$U$7:$U$3006,P672)="","",INDEX('CARNET DE SOUDURE'!$U$7:$U$3006,P672)))</f>
        <v/>
      </c>
      <c r="F672" s="82" t="str">
        <f aca="false">IF(OR(C672="",P672=""),"",INDEX('CARNET DE SOUDURE'!$AP$7:$AP$3006,P672))</f>
        <v/>
      </c>
      <c r="G672" s="82" t="str">
        <f aca="false">IF(C672="","",IF(P672="","NJ INCONNU",INDEX('CARNET DE SOUDURE'!$AQ$7:$AQ$3006,P672)))</f>
        <v>À SOUDER</v>
      </c>
      <c r="H672" s="82" t="str">
        <f aca="false">IF(C672="","",IF(G672="ACCEPTÉ","OUI","NON"))</f>
        <v>NON</v>
      </c>
      <c r="I672" s="83"/>
      <c r="J672" s="80"/>
      <c r="K672" s="81"/>
      <c r="L672" s="81"/>
      <c r="M672" s="81"/>
      <c r="N672" s="84" t="str">
        <f aca="false">IF(C672="","",IF(P672="","NJ INCONNU",IF(I672="",IF(H672="OUI","À ENROBER",IF(G672="À SOUDER","NON SOUDÉ","EN ATTENTE RT")),IF(L672="R","À REPRENDRE",IF(H672&lt;&gt;"OUI","⚠ ENROBÉ AVANT ACCEPTATION RT","ENROBÉ")))))</f>
        <v>NON SOUDÉ</v>
      </c>
      <c r="O672" s="80"/>
      <c r="P672" s="82" t="n">
        <f aca="false">IF(C672="","",IFERROR(MATCH(Q672,'CARNET DE SOUDURE'!$AW$7:$AW$3006,0),""))</f>
        <v>666</v>
      </c>
      <c r="Q672" s="82" t="str">
        <f aca="false">IF(C672="","",B672&amp;"|"&amp;C672)</f>
        <v>MFD-ISW → MFD-CPF|JN°666</v>
      </c>
    </row>
    <row r="673" customFormat="false" ht="74.6" hidden="false" customHeight="false" outlineLevel="0" collapsed="false">
      <c r="A673" s="82" t="n">
        <f aca="false">IF(C673="","",ROW()-6)</f>
        <v>667</v>
      </c>
      <c r="B673" s="80" t="s">
        <v>110</v>
      </c>
      <c r="C673" s="113" t="s">
        <v>777</v>
      </c>
      <c r="D673" s="82" t="str">
        <f aca="false">IF(OR(C673="",P673=""),"",INDEX('CARNET DE SOUDURE'!$D$7:$D$3006,P673)&amp;"")</f>
        <v/>
      </c>
      <c r="E673" s="114" t="str">
        <f aca="false">IF(OR(C673="",P673=""),"",IF(INDEX('CARNET DE SOUDURE'!$U$7:$U$3006,P673)="","",INDEX('CARNET DE SOUDURE'!$U$7:$U$3006,P673)))</f>
        <v/>
      </c>
      <c r="F673" s="82" t="str">
        <f aca="false">IF(OR(C673="",P673=""),"",INDEX('CARNET DE SOUDURE'!$AP$7:$AP$3006,P673))</f>
        <v/>
      </c>
      <c r="G673" s="82" t="str">
        <f aca="false">IF(C673="","",IF(P673="","NJ INCONNU",INDEX('CARNET DE SOUDURE'!$AQ$7:$AQ$3006,P673)))</f>
        <v>À SOUDER</v>
      </c>
      <c r="H673" s="82" t="str">
        <f aca="false">IF(C673="","",IF(G673="ACCEPTÉ","OUI","NON"))</f>
        <v>NON</v>
      </c>
      <c r="I673" s="83"/>
      <c r="J673" s="80"/>
      <c r="K673" s="81"/>
      <c r="L673" s="81"/>
      <c r="M673" s="81"/>
      <c r="N673" s="84" t="str">
        <f aca="false">IF(C673="","",IF(P673="","NJ INCONNU",IF(I673="",IF(H673="OUI","À ENROBER",IF(G673="À SOUDER","NON SOUDÉ","EN ATTENTE RT")),IF(L673="R","À REPRENDRE",IF(H673&lt;&gt;"OUI","⚠ ENROBÉ AVANT ACCEPTATION RT","ENROBÉ")))))</f>
        <v>NON SOUDÉ</v>
      </c>
      <c r="O673" s="80"/>
      <c r="P673" s="82" t="n">
        <f aca="false">IF(C673="","",IFERROR(MATCH(Q673,'CARNET DE SOUDURE'!$AW$7:$AW$3006,0),""))</f>
        <v>667</v>
      </c>
      <c r="Q673" s="82" t="str">
        <f aca="false">IF(C673="","",B673&amp;"|"&amp;C673)</f>
        <v>MFD-ISW → MFD-CPF|JN°667</v>
      </c>
    </row>
    <row r="674" customFormat="false" ht="74.6" hidden="false" customHeight="false" outlineLevel="0" collapsed="false">
      <c r="A674" s="82" t="n">
        <f aca="false">IF(C674="","",ROW()-6)</f>
        <v>668</v>
      </c>
      <c r="B674" s="80" t="s">
        <v>110</v>
      </c>
      <c r="C674" s="113" t="s">
        <v>778</v>
      </c>
      <c r="D674" s="82" t="str">
        <f aca="false">IF(OR(C674="",P674=""),"",INDEX('CARNET DE SOUDURE'!$D$7:$D$3006,P674)&amp;"")</f>
        <v/>
      </c>
      <c r="E674" s="114" t="str">
        <f aca="false">IF(OR(C674="",P674=""),"",IF(INDEX('CARNET DE SOUDURE'!$U$7:$U$3006,P674)="","",INDEX('CARNET DE SOUDURE'!$U$7:$U$3006,P674)))</f>
        <v/>
      </c>
      <c r="F674" s="82" t="str">
        <f aca="false">IF(OR(C674="",P674=""),"",INDEX('CARNET DE SOUDURE'!$AP$7:$AP$3006,P674))</f>
        <v/>
      </c>
      <c r="G674" s="82" t="str">
        <f aca="false">IF(C674="","",IF(P674="","NJ INCONNU",INDEX('CARNET DE SOUDURE'!$AQ$7:$AQ$3006,P674)))</f>
        <v>À SOUDER</v>
      </c>
      <c r="H674" s="82" t="str">
        <f aca="false">IF(C674="","",IF(G674="ACCEPTÉ","OUI","NON"))</f>
        <v>NON</v>
      </c>
      <c r="I674" s="83"/>
      <c r="J674" s="80"/>
      <c r="K674" s="81"/>
      <c r="L674" s="81"/>
      <c r="M674" s="81"/>
      <c r="N674" s="84" t="str">
        <f aca="false">IF(C674="","",IF(P674="","NJ INCONNU",IF(I674="",IF(H674="OUI","À ENROBER",IF(G674="À SOUDER","NON SOUDÉ","EN ATTENTE RT")),IF(L674="R","À REPRENDRE",IF(H674&lt;&gt;"OUI","⚠ ENROBÉ AVANT ACCEPTATION RT","ENROBÉ")))))</f>
        <v>NON SOUDÉ</v>
      </c>
      <c r="O674" s="80"/>
      <c r="P674" s="82" t="n">
        <f aca="false">IF(C674="","",IFERROR(MATCH(Q674,'CARNET DE SOUDURE'!$AW$7:$AW$3006,0),""))</f>
        <v>668</v>
      </c>
      <c r="Q674" s="82" t="str">
        <f aca="false">IF(C674="","",B674&amp;"|"&amp;C674)</f>
        <v>MFD-ISW → MFD-CPF|JN°668</v>
      </c>
    </row>
    <row r="675" customFormat="false" ht="74.6" hidden="false" customHeight="false" outlineLevel="0" collapsed="false">
      <c r="A675" s="82" t="n">
        <f aca="false">IF(C675="","",ROW()-6)</f>
        <v>669</v>
      </c>
      <c r="B675" s="80" t="s">
        <v>110</v>
      </c>
      <c r="C675" s="113" t="s">
        <v>779</v>
      </c>
      <c r="D675" s="82" t="str">
        <f aca="false">IF(OR(C675="",P675=""),"",INDEX('CARNET DE SOUDURE'!$D$7:$D$3006,P675)&amp;"")</f>
        <v/>
      </c>
      <c r="E675" s="114" t="str">
        <f aca="false">IF(OR(C675="",P675=""),"",IF(INDEX('CARNET DE SOUDURE'!$U$7:$U$3006,P675)="","",INDEX('CARNET DE SOUDURE'!$U$7:$U$3006,P675)))</f>
        <v/>
      </c>
      <c r="F675" s="82" t="str">
        <f aca="false">IF(OR(C675="",P675=""),"",INDEX('CARNET DE SOUDURE'!$AP$7:$AP$3006,P675))</f>
        <v/>
      </c>
      <c r="G675" s="82" t="str">
        <f aca="false">IF(C675="","",IF(P675="","NJ INCONNU",INDEX('CARNET DE SOUDURE'!$AQ$7:$AQ$3006,P675)))</f>
        <v>À SOUDER</v>
      </c>
      <c r="H675" s="82" t="str">
        <f aca="false">IF(C675="","",IF(G675="ACCEPTÉ","OUI","NON"))</f>
        <v>NON</v>
      </c>
      <c r="I675" s="83"/>
      <c r="J675" s="80"/>
      <c r="K675" s="81"/>
      <c r="L675" s="81"/>
      <c r="M675" s="81"/>
      <c r="N675" s="84" t="str">
        <f aca="false">IF(C675="","",IF(P675="","NJ INCONNU",IF(I675="",IF(H675="OUI","À ENROBER",IF(G675="À SOUDER","NON SOUDÉ","EN ATTENTE RT")),IF(L675="R","À REPRENDRE",IF(H675&lt;&gt;"OUI","⚠ ENROBÉ AVANT ACCEPTATION RT","ENROBÉ")))))</f>
        <v>NON SOUDÉ</v>
      </c>
      <c r="O675" s="80"/>
      <c r="P675" s="82" t="n">
        <f aca="false">IF(C675="","",IFERROR(MATCH(Q675,'CARNET DE SOUDURE'!$AW$7:$AW$3006,0),""))</f>
        <v>669</v>
      </c>
      <c r="Q675" s="82" t="str">
        <f aca="false">IF(C675="","",B675&amp;"|"&amp;C675)</f>
        <v>MFD-ISW → MFD-CPF|JN°669</v>
      </c>
    </row>
    <row r="676" customFormat="false" ht="74.6" hidden="false" customHeight="false" outlineLevel="0" collapsed="false">
      <c r="A676" s="82" t="n">
        <f aca="false">IF(C676="","",ROW()-6)</f>
        <v>670</v>
      </c>
      <c r="B676" s="80" t="s">
        <v>110</v>
      </c>
      <c r="C676" s="113" t="s">
        <v>780</v>
      </c>
      <c r="D676" s="82" t="str">
        <f aca="false">IF(OR(C676="",P676=""),"",INDEX('CARNET DE SOUDURE'!$D$7:$D$3006,P676)&amp;"")</f>
        <v/>
      </c>
      <c r="E676" s="114" t="str">
        <f aca="false">IF(OR(C676="",P676=""),"",IF(INDEX('CARNET DE SOUDURE'!$U$7:$U$3006,P676)="","",INDEX('CARNET DE SOUDURE'!$U$7:$U$3006,P676)))</f>
        <v/>
      </c>
      <c r="F676" s="82" t="str">
        <f aca="false">IF(OR(C676="",P676=""),"",INDEX('CARNET DE SOUDURE'!$AP$7:$AP$3006,P676))</f>
        <v/>
      </c>
      <c r="G676" s="82" t="str">
        <f aca="false">IF(C676="","",IF(P676="","NJ INCONNU",INDEX('CARNET DE SOUDURE'!$AQ$7:$AQ$3006,P676)))</f>
        <v>À SOUDER</v>
      </c>
      <c r="H676" s="82" t="str">
        <f aca="false">IF(C676="","",IF(G676="ACCEPTÉ","OUI","NON"))</f>
        <v>NON</v>
      </c>
      <c r="I676" s="83"/>
      <c r="J676" s="80"/>
      <c r="K676" s="81"/>
      <c r="L676" s="81"/>
      <c r="M676" s="81"/>
      <c r="N676" s="84" t="str">
        <f aca="false">IF(C676="","",IF(P676="","NJ INCONNU",IF(I676="",IF(H676="OUI","À ENROBER",IF(G676="À SOUDER","NON SOUDÉ","EN ATTENTE RT")),IF(L676="R","À REPRENDRE",IF(H676&lt;&gt;"OUI","⚠ ENROBÉ AVANT ACCEPTATION RT","ENROBÉ")))))</f>
        <v>NON SOUDÉ</v>
      </c>
      <c r="O676" s="80"/>
      <c r="P676" s="82" t="n">
        <f aca="false">IF(C676="","",IFERROR(MATCH(Q676,'CARNET DE SOUDURE'!$AW$7:$AW$3006,0),""))</f>
        <v>670</v>
      </c>
      <c r="Q676" s="82" t="str">
        <f aca="false">IF(C676="","",B676&amp;"|"&amp;C676)</f>
        <v>MFD-ISW → MFD-CPF|JN°670</v>
      </c>
    </row>
    <row r="677" customFormat="false" ht="74.6" hidden="false" customHeight="false" outlineLevel="0" collapsed="false">
      <c r="A677" s="82" t="n">
        <f aca="false">IF(C677="","",ROW()-6)</f>
        <v>671</v>
      </c>
      <c r="B677" s="80" t="s">
        <v>110</v>
      </c>
      <c r="C677" s="113" t="s">
        <v>781</v>
      </c>
      <c r="D677" s="82" t="str">
        <f aca="false">IF(OR(C677="",P677=""),"",INDEX('CARNET DE SOUDURE'!$D$7:$D$3006,P677)&amp;"")</f>
        <v/>
      </c>
      <c r="E677" s="114" t="str">
        <f aca="false">IF(OR(C677="",P677=""),"",IF(INDEX('CARNET DE SOUDURE'!$U$7:$U$3006,P677)="","",INDEX('CARNET DE SOUDURE'!$U$7:$U$3006,P677)))</f>
        <v/>
      </c>
      <c r="F677" s="82" t="str">
        <f aca="false">IF(OR(C677="",P677=""),"",INDEX('CARNET DE SOUDURE'!$AP$7:$AP$3006,P677))</f>
        <v/>
      </c>
      <c r="G677" s="82" t="str">
        <f aca="false">IF(C677="","",IF(P677="","NJ INCONNU",INDEX('CARNET DE SOUDURE'!$AQ$7:$AQ$3006,P677)))</f>
        <v>À SOUDER</v>
      </c>
      <c r="H677" s="82" t="str">
        <f aca="false">IF(C677="","",IF(G677="ACCEPTÉ","OUI","NON"))</f>
        <v>NON</v>
      </c>
      <c r="I677" s="83"/>
      <c r="J677" s="80"/>
      <c r="K677" s="81"/>
      <c r="L677" s="81"/>
      <c r="M677" s="81"/>
      <c r="N677" s="84" t="str">
        <f aca="false">IF(C677="","",IF(P677="","NJ INCONNU",IF(I677="",IF(H677="OUI","À ENROBER",IF(G677="À SOUDER","NON SOUDÉ","EN ATTENTE RT")),IF(L677="R","À REPRENDRE",IF(H677&lt;&gt;"OUI","⚠ ENROBÉ AVANT ACCEPTATION RT","ENROBÉ")))))</f>
        <v>NON SOUDÉ</v>
      </c>
      <c r="O677" s="80"/>
      <c r="P677" s="82" t="n">
        <f aca="false">IF(C677="","",IFERROR(MATCH(Q677,'CARNET DE SOUDURE'!$AW$7:$AW$3006,0),""))</f>
        <v>671</v>
      </c>
      <c r="Q677" s="82" t="str">
        <f aca="false">IF(C677="","",B677&amp;"|"&amp;C677)</f>
        <v>MFD-ISW → MFD-CPF|JN°671</v>
      </c>
    </row>
    <row r="678" customFormat="false" ht="74.6" hidden="false" customHeight="false" outlineLevel="0" collapsed="false">
      <c r="A678" s="82" t="n">
        <f aca="false">IF(C678="","",ROW()-6)</f>
        <v>672</v>
      </c>
      <c r="B678" s="80" t="s">
        <v>110</v>
      </c>
      <c r="C678" s="113" t="s">
        <v>782</v>
      </c>
      <c r="D678" s="82" t="str">
        <f aca="false">IF(OR(C678="",P678=""),"",INDEX('CARNET DE SOUDURE'!$D$7:$D$3006,P678)&amp;"")</f>
        <v/>
      </c>
      <c r="E678" s="114" t="str">
        <f aca="false">IF(OR(C678="",P678=""),"",IF(INDEX('CARNET DE SOUDURE'!$U$7:$U$3006,P678)="","",INDEX('CARNET DE SOUDURE'!$U$7:$U$3006,P678)))</f>
        <v/>
      </c>
      <c r="F678" s="82" t="str">
        <f aca="false">IF(OR(C678="",P678=""),"",INDEX('CARNET DE SOUDURE'!$AP$7:$AP$3006,P678))</f>
        <v/>
      </c>
      <c r="G678" s="82" t="str">
        <f aca="false">IF(C678="","",IF(P678="","NJ INCONNU",INDEX('CARNET DE SOUDURE'!$AQ$7:$AQ$3006,P678)))</f>
        <v>À SOUDER</v>
      </c>
      <c r="H678" s="82" t="str">
        <f aca="false">IF(C678="","",IF(G678="ACCEPTÉ","OUI","NON"))</f>
        <v>NON</v>
      </c>
      <c r="I678" s="83"/>
      <c r="J678" s="80"/>
      <c r="K678" s="81"/>
      <c r="L678" s="81"/>
      <c r="M678" s="81"/>
      <c r="N678" s="84" t="str">
        <f aca="false">IF(C678="","",IF(P678="","NJ INCONNU",IF(I678="",IF(H678="OUI","À ENROBER",IF(G678="À SOUDER","NON SOUDÉ","EN ATTENTE RT")),IF(L678="R","À REPRENDRE",IF(H678&lt;&gt;"OUI","⚠ ENROBÉ AVANT ACCEPTATION RT","ENROBÉ")))))</f>
        <v>NON SOUDÉ</v>
      </c>
      <c r="O678" s="80"/>
      <c r="P678" s="82" t="n">
        <f aca="false">IF(C678="","",IFERROR(MATCH(Q678,'CARNET DE SOUDURE'!$AW$7:$AW$3006,0),""))</f>
        <v>672</v>
      </c>
      <c r="Q678" s="82" t="str">
        <f aca="false">IF(C678="","",B678&amp;"|"&amp;C678)</f>
        <v>MFD-ISW → MFD-CPF|JN°672</v>
      </c>
    </row>
    <row r="679" customFormat="false" ht="74.6" hidden="false" customHeight="false" outlineLevel="0" collapsed="false">
      <c r="A679" s="82" t="n">
        <f aca="false">IF(C679="","",ROW()-6)</f>
        <v>673</v>
      </c>
      <c r="B679" s="80" t="s">
        <v>110</v>
      </c>
      <c r="C679" s="113" t="s">
        <v>783</v>
      </c>
      <c r="D679" s="82" t="str">
        <f aca="false">IF(OR(C679="",P679=""),"",INDEX('CARNET DE SOUDURE'!$D$7:$D$3006,P679)&amp;"")</f>
        <v/>
      </c>
      <c r="E679" s="114" t="str">
        <f aca="false">IF(OR(C679="",P679=""),"",IF(INDEX('CARNET DE SOUDURE'!$U$7:$U$3006,P679)="","",INDEX('CARNET DE SOUDURE'!$U$7:$U$3006,P679)))</f>
        <v/>
      </c>
      <c r="F679" s="82" t="str">
        <f aca="false">IF(OR(C679="",P679=""),"",INDEX('CARNET DE SOUDURE'!$AP$7:$AP$3006,P679))</f>
        <v/>
      </c>
      <c r="G679" s="82" t="str">
        <f aca="false">IF(C679="","",IF(P679="","NJ INCONNU",INDEX('CARNET DE SOUDURE'!$AQ$7:$AQ$3006,P679)))</f>
        <v>À SOUDER</v>
      </c>
      <c r="H679" s="82" t="str">
        <f aca="false">IF(C679="","",IF(G679="ACCEPTÉ","OUI","NON"))</f>
        <v>NON</v>
      </c>
      <c r="I679" s="83"/>
      <c r="J679" s="80"/>
      <c r="K679" s="81"/>
      <c r="L679" s="81"/>
      <c r="M679" s="81"/>
      <c r="N679" s="84" t="str">
        <f aca="false">IF(C679="","",IF(P679="","NJ INCONNU",IF(I679="",IF(H679="OUI","À ENROBER",IF(G679="À SOUDER","NON SOUDÉ","EN ATTENTE RT")),IF(L679="R","À REPRENDRE",IF(H679&lt;&gt;"OUI","⚠ ENROBÉ AVANT ACCEPTATION RT","ENROBÉ")))))</f>
        <v>NON SOUDÉ</v>
      </c>
      <c r="O679" s="80"/>
      <c r="P679" s="82" t="n">
        <f aca="false">IF(C679="","",IFERROR(MATCH(Q679,'CARNET DE SOUDURE'!$AW$7:$AW$3006,0),""))</f>
        <v>673</v>
      </c>
      <c r="Q679" s="82" t="str">
        <f aca="false">IF(C679="","",B679&amp;"|"&amp;C679)</f>
        <v>MFD-ISW → MFD-CPF|JN°673</v>
      </c>
    </row>
    <row r="680" customFormat="false" ht="74.6" hidden="false" customHeight="false" outlineLevel="0" collapsed="false">
      <c r="A680" s="82" t="n">
        <f aca="false">IF(C680="","",ROW()-6)</f>
        <v>674</v>
      </c>
      <c r="B680" s="80" t="s">
        <v>110</v>
      </c>
      <c r="C680" s="113" t="s">
        <v>784</v>
      </c>
      <c r="D680" s="82" t="str">
        <f aca="false">IF(OR(C680="",P680=""),"",INDEX('CARNET DE SOUDURE'!$D$7:$D$3006,P680)&amp;"")</f>
        <v/>
      </c>
      <c r="E680" s="114" t="str">
        <f aca="false">IF(OR(C680="",P680=""),"",IF(INDEX('CARNET DE SOUDURE'!$U$7:$U$3006,P680)="","",INDEX('CARNET DE SOUDURE'!$U$7:$U$3006,P680)))</f>
        <v/>
      </c>
      <c r="F680" s="82" t="str">
        <f aca="false">IF(OR(C680="",P680=""),"",INDEX('CARNET DE SOUDURE'!$AP$7:$AP$3006,P680))</f>
        <v/>
      </c>
      <c r="G680" s="82" t="str">
        <f aca="false">IF(C680="","",IF(P680="","NJ INCONNU",INDEX('CARNET DE SOUDURE'!$AQ$7:$AQ$3006,P680)))</f>
        <v>À SOUDER</v>
      </c>
      <c r="H680" s="82" t="str">
        <f aca="false">IF(C680="","",IF(G680="ACCEPTÉ","OUI","NON"))</f>
        <v>NON</v>
      </c>
      <c r="I680" s="83"/>
      <c r="J680" s="80"/>
      <c r="K680" s="81"/>
      <c r="L680" s="81"/>
      <c r="M680" s="81"/>
      <c r="N680" s="84" t="str">
        <f aca="false">IF(C680="","",IF(P680="","NJ INCONNU",IF(I680="",IF(H680="OUI","À ENROBER",IF(G680="À SOUDER","NON SOUDÉ","EN ATTENTE RT")),IF(L680="R","À REPRENDRE",IF(H680&lt;&gt;"OUI","⚠ ENROBÉ AVANT ACCEPTATION RT","ENROBÉ")))))</f>
        <v>NON SOUDÉ</v>
      </c>
      <c r="O680" s="80"/>
      <c r="P680" s="82" t="n">
        <f aca="false">IF(C680="","",IFERROR(MATCH(Q680,'CARNET DE SOUDURE'!$AW$7:$AW$3006,0),""))</f>
        <v>674</v>
      </c>
      <c r="Q680" s="82" t="str">
        <f aca="false">IF(C680="","",B680&amp;"|"&amp;C680)</f>
        <v>MFD-ISW → MFD-CPF|JN°674</v>
      </c>
    </row>
    <row r="681" customFormat="false" ht="74.6" hidden="false" customHeight="false" outlineLevel="0" collapsed="false">
      <c r="A681" s="82" t="n">
        <f aca="false">IF(C681="","",ROW()-6)</f>
        <v>675</v>
      </c>
      <c r="B681" s="80" t="s">
        <v>110</v>
      </c>
      <c r="C681" s="113" t="s">
        <v>785</v>
      </c>
      <c r="D681" s="82" t="str">
        <f aca="false">IF(OR(C681="",P681=""),"",INDEX('CARNET DE SOUDURE'!$D$7:$D$3006,P681)&amp;"")</f>
        <v/>
      </c>
      <c r="E681" s="114" t="str">
        <f aca="false">IF(OR(C681="",P681=""),"",IF(INDEX('CARNET DE SOUDURE'!$U$7:$U$3006,P681)="","",INDEX('CARNET DE SOUDURE'!$U$7:$U$3006,P681)))</f>
        <v/>
      </c>
      <c r="F681" s="82" t="str">
        <f aca="false">IF(OR(C681="",P681=""),"",INDEX('CARNET DE SOUDURE'!$AP$7:$AP$3006,P681))</f>
        <v/>
      </c>
      <c r="G681" s="82" t="str">
        <f aca="false">IF(C681="","",IF(P681="","NJ INCONNU",INDEX('CARNET DE SOUDURE'!$AQ$7:$AQ$3006,P681)))</f>
        <v>À SOUDER</v>
      </c>
      <c r="H681" s="82" t="str">
        <f aca="false">IF(C681="","",IF(G681="ACCEPTÉ","OUI","NON"))</f>
        <v>NON</v>
      </c>
      <c r="I681" s="83"/>
      <c r="J681" s="80"/>
      <c r="K681" s="81"/>
      <c r="L681" s="81"/>
      <c r="M681" s="81"/>
      <c r="N681" s="84" t="str">
        <f aca="false">IF(C681="","",IF(P681="","NJ INCONNU",IF(I681="",IF(H681="OUI","À ENROBER",IF(G681="À SOUDER","NON SOUDÉ","EN ATTENTE RT")),IF(L681="R","À REPRENDRE",IF(H681&lt;&gt;"OUI","⚠ ENROBÉ AVANT ACCEPTATION RT","ENROBÉ")))))</f>
        <v>NON SOUDÉ</v>
      </c>
      <c r="O681" s="80"/>
      <c r="P681" s="82" t="n">
        <f aca="false">IF(C681="","",IFERROR(MATCH(Q681,'CARNET DE SOUDURE'!$AW$7:$AW$3006,0),""))</f>
        <v>675</v>
      </c>
      <c r="Q681" s="82" t="str">
        <f aca="false">IF(C681="","",B681&amp;"|"&amp;C681)</f>
        <v>MFD-ISW → MFD-CPF|JN°675</v>
      </c>
    </row>
    <row r="682" customFormat="false" ht="74.6" hidden="false" customHeight="false" outlineLevel="0" collapsed="false">
      <c r="A682" s="82" t="n">
        <f aca="false">IF(C682="","",ROW()-6)</f>
        <v>676</v>
      </c>
      <c r="B682" s="80" t="s">
        <v>110</v>
      </c>
      <c r="C682" s="113" t="s">
        <v>786</v>
      </c>
      <c r="D682" s="82" t="str">
        <f aca="false">IF(OR(C682="",P682=""),"",INDEX('CARNET DE SOUDURE'!$D$7:$D$3006,P682)&amp;"")</f>
        <v/>
      </c>
      <c r="E682" s="114" t="str">
        <f aca="false">IF(OR(C682="",P682=""),"",IF(INDEX('CARNET DE SOUDURE'!$U$7:$U$3006,P682)="","",INDEX('CARNET DE SOUDURE'!$U$7:$U$3006,P682)))</f>
        <v/>
      </c>
      <c r="F682" s="82" t="str">
        <f aca="false">IF(OR(C682="",P682=""),"",INDEX('CARNET DE SOUDURE'!$AP$7:$AP$3006,P682))</f>
        <v/>
      </c>
      <c r="G682" s="82" t="str">
        <f aca="false">IF(C682="","",IF(P682="","NJ INCONNU",INDEX('CARNET DE SOUDURE'!$AQ$7:$AQ$3006,P682)))</f>
        <v>À SOUDER</v>
      </c>
      <c r="H682" s="82" t="str">
        <f aca="false">IF(C682="","",IF(G682="ACCEPTÉ","OUI","NON"))</f>
        <v>NON</v>
      </c>
      <c r="I682" s="83"/>
      <c r="J682" s="80"/>
      <c r="K682" s="81"/>
      <c r="L682" s="81"/>
      <c r="M682" s="81"/>
      <c r="N682" s="84" t="str">
        <f aca="false">IF(C682="","",IF(P682="","NJ INCONNU",IF(I682="",IF(H682="OUI","À ENROBER",IF(G682="À SOUDER","NON SOUDÉ","EN ATTENTE RT")),IF(L682="R","À REPRENDRE",IF(H682&lt;&gt;"OUI","⚠ ENROBÉ AVANT ACCEPTATION RT","ENROBÉ")))))</f>
        <v>NON SOUDÉ</v>
      </c>
      <c r="O682" s="80"/>
      <c r="P682" s="82" t="n">
        <f aca="false">IF(C682="","",IFERROR(MATCH(Q682,'CARNET DE SOUDURE'!$AW$7:$AW$3006,0),""))</f>
        <v>676</v>
      </c>
      <c r="Q682" s="82" t="str">
        <f aca="false">IF(C682="","",B682&amp;"|"&amp;C682)</f>
        <v>MFD-ISW → MFD-CPF|JN°676</v>
      </c>
    </row>
    <row r="683" customFormat="false" ht="74.6" hidden="false" customHeight="false" outlineLevel="0" collapsed="false">
      <c r="A683" s="82" t="n">
        <f aca="false">IF(C683="","",ROW()-6)</f>
        <v>677</v>
      </c>
      <c r="B683" s="80" t="s">
        <v>110</v>
      </c>
      <c r="C683" s="113" t="s">
        <v>787</v>
      </c>
      <c r="D683" s="82" t="str">
        <f aca="false">IF(OR(C683="",P683=""),"",INDEX('CARNET DE SOUDURE'!$D$7:$D$3006,P683)&amp;"")</f>
        <v/>
      </c>
      <c r="E683" s="114" t="str">
        <f aca="false">IF(OR(C683="",P683=""),"",IF(INDEX('CARNET DE SOUDURE'!$U$7:$U$3006,P683)="","",INDEX('CARNET DE SOUDURE'!$U$7:$U$3006,P683)))</f>
        <v/>
      </c>
      <c r="F683" s="82" t="str">
        <f aca="false">IF(OR(C683="",P683=""),"",INDEX('CARNET DE SOUDURE'!$AP$7:$AP$3006,P683))</f>
        <v/>
      </c>
      <c r="G683" s="82" t="str">
        <f aca="false">IF(C683="","",IF(P683="","NJ INCONNU",INDEX('CARNET DE SOUDURE'!$AQ$7:$AQ$3006,P683)))</f>
        <v>À SOUDER</v>
      </c>
      <c r="H683" s="82" t="str">
        <f aca="false">IF(C683="","",IF(G683="ACCEPTÉ","OUI","NON"))</f>
        <v>NON</v>
      </c>
      <c r="I683" s="83"/>
      <c r="J683" s="80"/>
      <c r="K683" s="81"/>
      <c r="L683" s="81"/>
      <c r="M683" s="81"/>
      <c r="N683" s="84" t="str">
        <f aca="false">IF(C683="","",IF(P683="","NJ INCONNU",IF(I683="",IF(H683="OUI","À ENROBER",IF(G683="À SOUDER","NON SOUDÉ","EN ATTENTE RT")),IF(L683="R","À REPRENDRE",IF(H683&lt;&gt;"OUI","⚠ ENROBÉ AVANT ACCEPTATION RT","ENROBÉ")))))</f>
        <v>NON SOUDÉ</v>
      </c>
      <c r="O683" s="80"/>
      <c r="P683" s="82" t="n">
        <f aca="false">IF(C683="","",IFERROR(MATCH(Q683,'CARNET DE SOUDURE'!$AW$7:$AW$3006,0),""))</f>
        <v>677</v>
      </c>
      <c r="Q683" s="82" t="str">
        <f aca="false">IF(C683="","",B683&amp;"|"&amp;C683)</f>
        <v>MFD-ISW → MFD-CPF|JN°677</v>
      </c>
    </row>
    <row r="684" customFormat="false" ht="74.6" hidden="false" customHeight="false" outlineLevel="0" collapsed="false">
      <c r="A684" s="82" t="n">
        <f aca="false">IF(C684="","",ROW()-6)</f>
        <v>678</v>
      </c>
      <c r="B684" s="80" t="s">
        <v>110</v>
      </c>
      <c r="C684" s="113" t="s">
        <v>788</v>
      </c>
      <c r="D684" s="82" t="str">
        <f aca="false">IF(OR(C684="",P684=""),"",INDEX('CARNET DE SOUDURE'!$D$7:$D$3006,P684)&amp;"")</f>
        <v/>
      </c>
      <c r="E684" s="114" t="str">
        <f aca="false">IF(OR(C684="",P684=""),"",IF(INDEX('CARNET DE SOUDURE'!$U$7:$U$3006,P684)="","",INDEX('CARNET DE SOUDURE'!$U$7:$U$3006,P684)))</f>
        <v/>
      </c>
      <c r="F684" s="82" t="str">
        <f aca="false">IF(OR(C684="",P684=""),"",INDEX('CARNET DE SOUDURE'!$AP$7:$AP$3006,P684))</f>
        <v/>
      </c>
      <c r="G684" s="82" t="str">
        <f aca="false">IF(C684="","",IF(P684="","NJ INCONNU",INDEX('CARNET DE SOUDURE'!$AQ$7:$AQ$3006,P684)))</f>
        <v>À SOUDER</v>
      </c>
      <c r="H684" s="82" t="str">
        <f aca="false">IF(C684="","",IF(G684="ACCEPTÉ","OUI","NON"))</f>
        <v>NON</v>
      </c>
      <c r="I684" s="83"/>
      <c r="J684" s="80"/>
      <c r="K684" s="81"/>
      <c r="L684" s="81"/>
      <c r="M684" s="81"/>
      <c r="N684" s="84" t="str">
        <f aca="false">IF(C684="","",IF(P684="","NJ INCONNU",IF(I684="",IF(H684="OUI","À ENROBER",IF(G684="À SOUDER","NON SOUDÉ","EN ATTENTE RT")),IF(L684="R","À REPRENDRE",IF(H684&lt;&gt;"OUI","⚠ ENROBÉ AVANT ACCEPTATION RT","ENROBÉ")))))</f>
        <v>NON SOUDÉ</v>
      </c>
      <c r="O684" s="80"/>
      <c r="P684" s="82" t="n">
        <f aca="false">IF(C684="","",IFERROR(MATCH(Q684,'CARNET DE SOUDURE'!$AW$7:$AW$3006,0),""))</f>
        <v>678</v>
      </c>
      <c r="Q684" s="82" t="str">
        <f aca="false">IF(C684="","",B684&amp;"|"&amp;C684)</f>
        <v>MFD-ISW → MFD-CPF|JN°678</v>
      </c>
    </row>
    <row r="685" customFormat="false" ht="74.6" hidden="false" customHeight="false" outlineLevel="0" collapsed="false">
      <c r="A685" s="82" t="n">
        <f aca="false">IF(C685="","",ROW()-6)</f>
        <v>679</v>
      </c>
      <c r="B685" s="80" t="s">
        <v>110</v>
      </c>
      <c r="C685" s="113" t="s">
        <v>789</v>
      </c>
      <c r="D685" s="82" t="str">
        <f aca="false">IF(OR(C685="",P685=""),"",INDEX('CARNET DE SOUDURE'!$D$7:$D$3006,P685)&amp;"")</f>
        <v/>
      </c>
      <c r="E685" s="114" t="str">
        <f aca="false">IF(OR(C685="",P685=""),"",IF(INDEX('CARNET DE SOUDURE'!$U$7:$U$3006,P685)="","",INDEX('CARNET DE SOUDURE'!$U$7:$U$3006,P685)))</f>
        <v/>
      </c>
      <c r="F685" s="82" t="str">
        <f aca="false">IF(OR(C685="",P685=""),"",INDEX('CARNET DE SOUDURE'!$AP$7:$AP$3006,P685))</f>
        <v/>
      </c>
      <c r="G685" s="82" t="str">
        <f aca="false">IF(C685="","",IF(P685="","NJ INCONNU",INDEX('CARNET DE SOUDURE'!$AQ$7:$AQ$3006,P685)))</f>
        <v>À SOUDER</v>
      </c>
      <c r="H685" s="82" t="str">
        <f aca="false">IF(C685="","",IF(G685="ACCEPTÉ","OUI","NON"))</f>
        <v>NON</v>
      </c>
      <c r="I685" s="83"/>
      <c r="J685" s="80"/>
      <c r="K685" s="81"/>
      <c r="L685" s="81"/>
      <c r="M685" s="81"/>
      <c r="N685" s="84" t="str">
        <f aca="false">IF(C685="","",IF(P685="","NJ INCONNU",IF(I685="",IF(H685="OUI","À ENROBER",IF(G685="À SOUDER","NON SOUDÉ","EN ATTENTE RT")),IF(L685="R","À REPRENDRE",IF(H685&lt;&gt;"OUI","⚠ ENROBÉ AVANT ACCEPTATION RT","ENROBÉ")))))</f>
        <v>NON SOUDÉ</v>
      </c>
      <c r="O685" s="80"/>
      <c r="P685" s="82" t="n">
        <f aca="false">IF(C685="","",IFERROR(MATCH(Q685,'CARNET DE SOUDURE'!$AW$7:$AW$3006,0),""))</f>
        <v>679</v>
      </c>
      <c r="Q685" s="82" t="str">
        <f aca="false">IF(C685="","",B685&amp;"|"&amp;C685)</f>
        <v>MFD-ISW → MFD-CPF|JN°679</v>
      </c>
    </row>
    <row r="686" customFormat="false" ht="74.6" hidden="false" customHeight="false" outlineLevel="0" collapsed="false">
      <c r="A686" s="82" t="n">
        <f aca="false">IF(C686="","",ROW()-6)</f>
        <v>680</v>
      </c>
      <c r="B686" s="80" t="s">
        <v>110</v>
      </c>
      <c r="C686" s="113" t="s">
        <v>790</v>
      </c>
      <c r="D686" s="82" t="str">
        <f aca="false">IF(OR(C686="",P686=""),"",INDEX('CARNET DE SOUDURE'!$D$7:$D$3006,P686)&amp;"")</f>
        <v/>
      </c>
      <c r="E686" s="114" t="str">
        <f aca="false">IF(OR(C686="",P686=""),"",IF(INDEX('CARNET DE SOUDURE'!$U$7:$U$3006,P686)="","",INDEX('CARNET DE SOUDURE'!$U$7:$U$3006,P686)))</f>
        <v/>
      </c>
      <c r="F686" s="82" t="str">
        <f aca="false">IF(OR(C686="",P686=""),"",INDEX('CARNET DE SOUDURE'!$AP$7:$AP$3006,P686))</f>
        <v/>
      </c>
      <c r="G686" s="82" t="str">
        <f aca="false">IF(C686="","",IF(P686="","NJ INCONNU",INDEX('CARNET DE SOUDURE'!$AQ$7:$AQ$3006,P686)))</f>
        <v>À SOUDER</v>
      </c>
      <c r="H686" s="82" t="str">
        <f aca="false">IF(C686="","",IF(G686="ACCEPTÉ","OUI","NON"))</f>
        <v>NON</v>
      </c>
      <c r="I686" s="83"/>
      <c r="J686" s="80"/>
      <c r="K686" s="81"/>
      <c r="L686" s="81"/>
      <c r="M686" s="81"/>
      <c r="N686" s="84" t="str">
        <f aca="false">IF(C686="","",IF(P686="","NJ INCONNU",IF(I686="",IF(H686="OUI","À ENROBER",IF(G686="À SOUDER","NON SOUDÉ","EN ATTENTE RT")),IF(L686="R","À REPRENDRE",IF(H686&lt;&gt;"OUI","⚠ ENROBÉ AVANT ACCEPTATION RT","ENROBÉ")))))</f>
        <v>NON SOUDÉ</v>
      </c>
      <c r="O686" s="80"/>
      <c r="P686" s="82" t="n">
        <f aca="false">IF(C686="","",IFERROR(MATCH(Q686,'CARNET DE SOUDURE'!$AW$7:$AW$3006,0),""))</f>
        <v>680</v>
      </c>
      <c r="Q686" s="82" t="str">
        <f aca="false">IF(C686="","",B686&amp;"|"&amp;C686)</f>
        <v>MFD-ISW → MFD-CPF|JN°680</v>
      </c>
    </row>
    <row r="687" customFormat="false" ht="74.6" hidden="false" customHeight="false" outlineLevel="0" collapsed="false">
      <c r="A687" s="82" t="n">
        <f aca="false">IF(C687="","",ROW()-6)</f>
        <v>681</v>
      </c>
      <c r="B687" s="80" t="s">
        <v>110</v>
      </c>
      <c r="C687" s="113" t="s">
        <v>791</v>
      </c>
      <c r="D687" s="82" t="str">
        <f aca="false">IF(OR(C687="",P687=""),"",INDEX('CARNET DE SOUDURE'!$D$7:$D$3006,P687)&amp;"")</f>
        <v/>
      </c>
      <c r="E687" s="114" t="str">
        <f aca="false">IF(OR(C687="",P687=""),"",IF(INDEX('CARNET DE SOUDURE'!$U$7:$U$3006,P687)="","",INDEX('CARNET DE SOUDURE'!$U$7:$U$3006,P687)))</f>
        <v/>
      </c>
      <c r="F687" s="82" t="str">
        <f aca="false">IF(OR(C687="",P687=""),"",INDEX('CARNET DE SOUDURE'!$AP$7:$AP$3006,P687))</f>
        <v/>
      </c>
      <c r="G687" s="82" t="str">
        <f aca="false">IF(C687="","",IF(P687="","NJ INCONNU",INDEX('CARNET DE SOUDURE'!$AQ$7:$AQ$3006,P687)))</f>
        <v>À SOUDER</v>
      </c>
      <c r="H687" s="82" t="str">
        <f aca="false">IF(C687="","",IF(G687="ACCEPTÉ","OUI","NON"))</f>
        <v>NON</v>
      </c>
      <c r="I687" s="83"/>
      <c r="J687" s="80"/>
      <c r="K687" s="81"/>
      <c r="L687" s="81"/>
      <c r="M687" s="81"/>
      <c r="N687" s="84" t="str">
        <f aca="false">IF(C687="","",IF(P687="","NJ INCONNU",IF(I687="",IF(H687="OUI","À ENROBER",IF(G687="À SOUDER","NON SOUDÉ","EN ATTENTE RT")),IF(L687="R","À REPRENDRE",IF(H687&lt;&gt;"OUI","⚠ ENROBÉ AVANT ACCEPTATION RT","ENROBÉ")))))</f>
        <v>NON SOUDÉ</v>
      </c>
      <c r="O687" s="80"/>
      <c r="P687" s="82" t="n">
        <f aca="false">IF(C687="","",IFERROR(MATCH(Q687,'CARNET DE SOUDURE'!$AW$7:$AW$3006,0),""))</f>
        <v>681</v>
      </c>
      <c r="Q687" s="82" t="str">
        <f aca="false">IF(C687="","",B687&amp;"|"&amp;C687)</f>
        <v>MFD-ISW → MFD-CPF|JN°681</v>
      </c>
    </row>
    <row r="688" customFormat="false" ht="74.6" hidden="false" customHeight="false" outlineLevel="0" collapsed="false">
      <c r="A688" s="82" t="n">
        <f aca="false">IF(C688="","",ROW()-6)</f>
        <v>682</v>
      </c>
      <c r="B688" s="80" t="s">
        <v>110</v>
      </c>
      <c r="C688" s="113" t="s">
        <v>792</v>
      </c>
      <c r="D688" s="82" t="str">
        <f aca="false">IF(OR(C688="",P688=""),"",INDEX('CARNET DE SOUDURE'!$D$7:$D$3006,P688)&amp;"")</f>
        <v/>
      </c>
      <c r="E688" s="114" t="str">
        <f aca="false">IF(OR(C688="",P688=""),"",IF(INDEX('CARNET DE SOUDURE'!$U$7:$U$3006,P688)="","",INDEX('CARNET DE SOUDURE'!$U$7:$U$3006,P688)))</f>
        <v/>
      </c>
      <c r="F688" s="82" t="str">
        <f aca="false">IF(OR(C688="",P688=""),"",INDEX('CARNET DE SOUDURE'!$AP$7:$AP$3006,P688))</f>
        <v/>
      </c>
      <c r="G688" s="82" t="str">
        <f aca="false">IF(C688="","",IF(P688="","NJ INCONNU",INDEX('CARNET DE SOUDURE'!$AQ$7:$AQ$3006,P688)))</f>
        <v>À SOUDER</v>
      </c>
      <c r="H688" s="82" t="str">
        <f aca="false">IF(C688="","",IF(G688="ACCEPTÉ","OUI","NON"))</f>
        <v>NON</v>
      </c>
      <c r="I688" s="83"/>
      <c r="J688" s="80"/>
      <c r="K688" s="81"/>
      <c r="L688" s="81"/>
      <c r="M688" s="81"/>
      <c r="N688" s="84" t="str">
        <f aca="false">IF(C688="","",IF(P688="","NJ INCONNU",IF(I688="",IF(H688="OUI","À ENROBER",IF(G688="À SOUDER","NON SOUDÉ","EN ATTENTE RT")),IF(L688="R","À REPRENDRE",IF(H688&lt;&gt;"OUI","⚠ ENROBÉ AVANT ACCEPTATION RT","ENROBÉ")))))</f>
        <v>NON SOUDÉ</v>
      </c>
      <c r="O688" s="80"/>
      <c r="P688" s="82" t="n">
        <f aca="false">IF(C688="","",IFERROR(MATCH(Q688,'CARNET DE SOUDURE'!$AW$7:$AW$3006,0),""))</f>
        <v>682</v>
      </c>
      <c r="Q688" s="82" t="str">
        <f aca="false">IF(C688="","",B688&amp;"|"&amp;C688)</f>
        <v>MFD-ISW → MFD-CPF|JN°682</v>
      </c>
    </row>
    <row r="689" customFormat="false" ht="74.6" hidden="false" customHeight="false" outlineLevel="0" collapsed="false">
      <c r="A689" s="82" t="n">
        <f aca="false">IF(C689="","",ROW()-6)</f>
        <v>683</v>
      </c>
      <c r="B689" s="80" t="s">
        <v>110</v>
      </c>
      <c r="C689" s="113" t="s">
        <v>793</v>
      </c>
      <c r="D689" s="82" t="str">
        <f aca="false">IF(OR(C689="",P689=""),"",INDEX('CARNET DE SOUDURE'!$D$7:$D$3006,P689)&amp;"")</f>
        <v/>
      </c>
      <c r="E689" s="114" t="str">
        <f aca="false">IF(OR(C689="",P689=""),"",IF(INDEX('CARNET DE SOUDURE'!$U$7:$U$3006,P689)="","",INDEX('CARNET DE SOUDURE'!$U$7:$U$3006,P689)))</f>
        <v/>
      </c>
      <c r="F689" s="82" t="str">
        <f aca="false">IF(OR(C689="",P689=""),"",INDEX('CARNET DE SOUDURE'!$AP$7:$AP$3006,P689))</f>
        <v/>
      </c>
      <c r="G689" s="82" t="str">
        <f aca="false">IF(C689="","",IF(P689="","NJ INCONNU",INDEX('CARNET DE SOUDURE'!$AQ$7:$AQ$3006,P689)))</f>
        <v>À SOUDER</v>
      </c>
      <c r="H689" s="82" t="str">
        <f aca="false">IF(C689="","",IF(G689="ACCEPTÉ","OUI","NON"))</f>
        <v>NON</v>
      </c>
      <c r="I689" s="83"/>
      <c r="J689" s="80"/>
      <c r="K689" s="81"/>
      <c r="L689" s="81"/>
      <c r="M689" s="81"/>
      <c r="N689" s="84" t="str">
        <f aca="false">IF(C689="","",IF(P689="","NJ INCONNU",IF(I689="",IF(H689="OUI","À ENROBER",IF(G689="À SOUDER","NON SOUDÉ","EN ATTENTE RT")),IF(L689="R","À REPRENDRE",IF(H689&lt;&gt;"OUI","⚠ ENROBÉ AVANT ACCEPTATION RT","ENROBÉ")))))</f>
        <v>NON SOUDÉ</v>
      </c>
      <c r="O689" s="80"/>
      <c r="P689" s="82" t="n">
        <f aca="false">IF(C689="","",IFERROR(MATCH(Q689,'CARNET DE SOUDURE'!$AW$7:$AW$3006,0),""))</f>
        <v>683</v>
      </c>
      <c r="Q689" s="82" t="str">
        <f aca="false">IF(C689="","",B689&amp;"|"&amp;C689)</f>
        <v>MFD-ISW → MFD-CPF|JN°683</v>
      </c>
    </row>
    <row r="690" customFormat="false" ht="74.6" hidden="false" customHeight="false" outlineLevel="0" collapsed="false">
      <c r="A690" s="82" t="n">
        <f aca="false">IF(C690="","",ROW()-6)</f>
        <v>684</v>
      </c>
      <c r="B690" s="80" t="s">
        <v>110</v>
      </c>
      <c r="C690" s="113" t="s">
        <v>794</v>
      </c>
      <c r="D690" s="82" t="str">
        <f aca="false">IF(OR(C690="",P690=""),"",INDEX('CARNET DE SOUDURE'!$D$7:$D$3006,P690)&amp;"")</f>
        <v/>
      </c>
      <c r="E690" s="114" t="str">
        <f aca="false">IF(OR(C690="",P690=""),"",IF(INDEX('CARNET DE SOUDURE'!$U$7:$U$3006,P690)="","",INDEX('CARNET DE SOUDURE'!$U$7:$U$3006,P690)))</f>
        <v/>
      </c>
      <c r="F690" s="82" t="str">
        <f aca="false">IF(OR(C690="",P690=""),"",INDEX('CARNET DE SOUDURE'!$AP$7:$AP$3006,P690))</f>
        <v/>
      </c>
      <c r="G690" s="82" t="str">
        <f aca="false">IF(C690="","",IF(P690="","NJ INCONNU",INDEX('CARNET DE SOUDURE'!$AQ$7:$AQ$3006,P690)))</f>
        <v>À SOUDER</v>
      </c>
      <c r="H690" s="82" t="str">
        <f aca="false">IF(C690="","",IF(G690="ACCEPTÉ","OUI","NON"))</f>
        <v>NON</v>
      </c>
      <c r="I690" s="83"/>
      <c r="J690" s="80"/>
      <c r="K690" s="81"/>
      <c r="L690" s="81"/>
      <c r="M690" s="81"/>
      <c r="N690" s="84" t="str">
        <f aca="false">IF(C690="","",IF(P690="","NJ INCONNU",IF(I690="",IF(H690="OUI","À ENROBER",IF(G690="À SOUDER","NON SOUDÉ","EN ATTENTE RT")),IF(L690="R","À REPRENDRE",IF(H690&lt;&gt;"OUI","⚠ ENROBÉ AVANT ACCEPTATION RT","ENROBÉ")))))</f>
        <v>NON SOUDÉ</v>
      </c>
      <c r="O690" s="80"/>
      <c r="P690" s="82" t="n">
        <f aca="false">IF(C690="","",IFERROR(MATCH(Q690,'CARNET DE SOUDURE'!$AW$7:$AW$3006,0),""))</f>
        <v>684</v>
      </c>
      <c r="Q690" s="82" t="str">
        <f aca="false">IF(C690="","",B690&amp;"|"&amp;C690)</f>
        <v>MFD-ISW → MFD-CPF|JN°684</v>
      </c>
    </row>
    <row r="691" customFormat="false" ht="74.6" hidden="false" customHeight="false" outlineLevel="0" collapsed="false">
      <c r="A691" s="82" t="n">
        <f aca="false">IF(C691="","",ROW()-6)</f>
        <v>685</v>
      </c>
      <c r="B691" s="80" t="s">
        <v>110</v>
      </c>
      <c r="C691" s="113" t="s">
        <v>795</v>
      </c>
      <c r="D691" s="82" t="str">
        <f aca="false">IF(OR(C691="",P691=""),"",INDEX('CARNET DE SOUDURE'!$D$7:$D$3006,P691)&amp;"")</f>
        <v/>
      </c>
      <c r="E691" s="114" t="str">
        <f aca="false">IF(OR(C691="",P691=""),"",IF(INDEX('CARNET DE SOUDURE'!$U$7:$U$3006,P691)="","",INDEX('CARNET DE SOUDURE'!$U$7:$U$3006,P691)))</f>
        <v/>
      </c>
      <c r="F691" s="82" t="str">
        <f aca="false">IF(OR(C691="",P691=""),"",INDEX('CARNET DE SOUDURE'!$AP$7:$AP$3006,P691))</f>
        <v/>
      </c>
      <c r="G691" s="82" t="str">
        <f aca="false">IF(C691="","",IF(P691="","NJ INCONNU",INDEX('CARNET DE SOUDURE'!$AQ$7:$AQ$3006,P691)))</f>
        <v>À SOUDER</v>
      </c>
      <c r="H691" s="82" t="str">
        <f aca="false">IF(C691="","",IF(G691="ACCEPTÉ","OUI","NON"))</f>
        <v>NON</v>
      </c>
      <c r="I691" s="83"/>
      <c r="J691" s="80"/>
      <c r="K691" s="81"/>
      <c r="L691" s="81"/>
      <c r="M691" s="81"/>
      <c r="N691" s="84" t="str">
        <f aca="false">IF(C691="","",IF(P691="","NJ INCONNU",IF(I691="",IF(H691="OUI","À ENROBER",IF(G691="À SOUDER","NON SOUDÉ","EN ATTENTE RT")),IF(L691="R","À REPRENDRE",IF(H691&lt;&gt;"OUI","⚠ ENROBÉ AVANT ACCEPTATION RT","ENROBÉ")))))</f>
        <v>NON SOUDÉ</v>
      </c>
      <c r="O691" s="80"/>
      <c r="P691" s="82" t="n">
        <f aca="false">IF(C691="","",IFERROR(MATCH(Q691,'CARNET DE SOUDURE'!$AW$7:$AW$3006,0),""))</f>
        <v>685</v>
      </c>
      <c r="Q691" s="82" t="str">
        <f aca="false">IF(C691="","",B691&amp;"|"&amp;C691)</f>
        <v>MFD-ISW → MFD-CPF|JN°685</v>
      </c>
    </row>
    <row r="692" customFormat="false" ht="74.6" hidden="false" customHeight="false" outlineLevel="0" collapsed="false">
      <c r="A692" s="82" t="n">
        <f aca="false">IF(C692="","",ROW()-6)</f>
        <v>686</v>
      </c>
      <c r="B692" s="80" t="s">
        <v>110</v>
      </c>
      <c r="C692" s="113" t="s">
        <v>796</v>
      </c>
      <c r="D692" s="82" t="str">
        <f aca="false">IF(OR(C692="",P692=""),"",INDEX('CARNET DE SOUDURE'!$D$7:$D$3006,P692)&amp;"")</f>
        <v/>
      </c>
      <c r="E692" s="114" t="str">
        <f aca="false">IF(OR(C692="",P692=""),"",IF(INDEX('CARNET DE SOUDURE'!$U$7:$U$3006,P692)="","",INDEX('CARNET DE SOUDURE'!$U$7:$U$3006,P692)))</f>
        <v/>
      </c>
      <c r="F692" s="82" t="str">
        <f aca="false">IF(OR(C692="",P692=""),"",INDEX('CARNET DE SOUDURE'!$AP$7:$AP$3006,P692))</f>
        <v/>
      </c>
      <c r="G692" s="82" t="str">
        <f aca="false">IF(C692="","",IF(P692="","NJ INCONNU",INDEX('CARNET DE SOUDURE'!$AQ$7:$AQ$3006,P692)))</f>
        <v>À SOUDER</v>
      </c>
      <c r="H692" s="82" t="str">
        <f aca="false">IF(C692="","",IF(G692="ACCEPTÉ","OUI","NON"))</f>
        <v>NON</v>
      </c>
      <c r="I692" s="83"/>
      <c r="J692" s="80"/>
      <c r="K692" s="81"/>
      <c r="L692" s="81"/>
      <c r="M692" s="81"/>
      <c r="N692" s="84" t="str">
        <f aca="false">IF(C692="","",IF(P692="","NJ INCONNU",IF(I692="",IF(H692="OUI","À ENROBER",IF(G692="À SOUDER","NON SOUDÉ","EN ATTENTE RT")),IF(L692="R","À REPRENDRE",IF(H692&lt;&gt;"OUI","⚠ ENROBÉ AVANT ACCEPTATION RT","ENROBÉ")))))</f>
        <v>NON SOUDÉ</v>
      </c>
      <c r="O692" s="80"/>
      <c r="P692" s="82" t="n">
        <f aca="false">IF(C692="","",IFERROR(MATCH(Q692,'CARNET DE SOUDURE'!$AW$7:$AW$3006,0),""))</f>
        <v>686</v>
      </c>
      <c r="Q692" s="82" t="str">
        <f aca="false">IF(C692="","",B692&amp;"|"&amp;C692)</f>
        <v>MFD-ISW → MFD-CPF|JN°686</v>
      </c>
    </row>
    <row r="693" customFormat="false" ht="74.6" hidden="false" customHeight="false" outlineLevel="0" collapsed="false">
      <c r="A693" s="82" t="n">
        <f aca="false">IF(C693="","",ROW()-6)</f>
        <v>687</v>
      </c>
      <c r="B693" s="80" t="s">
        <v>110</v>
      </c>
      <c r="C693" s="113" t="s">
        <v>797</v>
      </c>
      <c r="D693" s="82" t="str">
        <f aca="false">IF(OR(C693="",P693=""),"",INDEX('CARNET DE SOUDURE'!$D$7:$D$3006,P693)&amp;"")</f>
        <v/>
      </c>
      <c r="E693" s="114" t="str">
        <f aca="false">IF(OR(C693="",P693=""),"",IF(INDEX('CARNET DE SOUDURE'!$U$7:$U$3006,P693)="","",INDEX('CARNET DE SOUDURE'!$U$7:$U$3006,P693)))</f>
        <v/>
      </c>
      <c r="F693" s="82" t="str">
        <f aca="false">IF(OR(C693="",P693=""),"",INDEX('CARNET DE SOUDURE'!$AP$7:$AP$3006,P693))</f>
        <v/>
      </c>
      <c r="G693" s="82" t="str">
        <f aca="false">IF(C693="","",IF(P693="","NJ INCONNU",INDEX('CARNET DE SOUDURE'!$AQ$7:$AQ$3006,P693)))</f>
        <v>À SOUDER</v>
      </c>
      <c r="H693" s="82" t="str">
        <f aca="false">IF(C693="","",IF(G693="ACCEPTÉ","OUI","NON"))</f>
        <v>NON</v>
      </c>
      <c r="I693" s="83"/>
      <c r="J693" s="80"/>
      <c r="K693" s="81"/>
      <c r="L693" s="81"/>
      <c r="M693" s="81"/>
      <c r="N693" s="84" t="str">
        <f aca="false">IF(C693="","",IF(P693="","NJ INCONNU",IF(I693="",IF(H693="OUI","À ENROBER",IF(G693="À SOUDER","NON SOUDÉ","EN ATTENTE RT")),IF(L693="R","À REPRENDRE",IF(H693&lt;&gt;"OUI","⚠ ENROBÉ AVANT ACCEPTATION RT","ENROBÉ")))))</f>
        <v>NON SOUDÉ</v>
      </c>
      <c r="O693" s="80"/>
      <c r="P693" s="82" t="n">
        <f aca="false">IF(C693="","",IFERROR(MATCH(Q693,'CARNET DE SOUDURE'!$AW$7:$AW$3006,0),""))</f>
        <v>687</v>
      </c>
      <c r="Q693" s="82" t="str">
        <f aca="false">IF(C693="","",B693&amp;"|"&amp;C693)</f>
        <v>MFD-ISW → MFD-CPF|JN°687</v>
      </c>
    </row>
    <row r="694" customFormat="false" ht="74.6" hidden="false" customHeight="false" outlineLevel="0" collapsed="false">
      <c r="A694" s="82" t="n">
        <f aca="false">IF(C694="","",ROW()-6)</f>
        <v>688</v>
      </c>
      <c r="B694" s="80" t="s">
        <v>110</v>
      </c>
      <c r="C694" s="113" t="s">
        <v>798</v>
      </c>
      <c r="D694" s="82" t="str">
        <f aca="false">IF(OR(C694="",P694=""),"",INDEX('CARNET DE SOUDURE'!$D$7:$D$3006,P694)&amp;"")</f>
        <v/>
      </c>
      <c r="E694" s="114" t="str">
        <f aca="false">IF(OR(C694="",P694=""),"",IF(INDEX('CARNET DE SOUDURE'!$U$7:$U$3006,P694)="","",INDEX('CARNET DE SOUDURE'!$U$7:$U$3006,P694)))</f>
        <v/>
      </c>
      <c r="F694" s="82" t="str">
        <f aca="false">IF(OR(C694="",P694=""),"",INDEX('CARNET DE SOUDURE'!$AP$7:$AP$3006,P694))</f>
        <v/>
      </c>
      <c r="G694" s="82" t="str">
        <f aca="false">IF(C694="","",IF(P694="","NJ INCONNU",INDEX('CARNET DE SOUDURE'!$AQ$7:$AQ$3006,P694)))</f>
        <v>À SOUDER</v>
      </c>
      <c r="H694" s="82" t="str">
        <f aca="false">IF(C694="","",IF(G694="ACCEPTÉ","OUI","NON"))</f>
        <v>NON</v>
      </c>
      <c r="I694" s="83"/>
      <c r="J694" s="80"/>
      <c r="K694" s="81"/>
      <c r="L694" s="81"/>
      <c r="M694" s="81"/>
      <c r="N694" s="84" t="str">
        <f aca="false">IF(C694="","",IF(P694="","NJ INCONNU",IF(I694="",IF(H694="OUI","À ENROBER",IF(G694="À SOUDER","NON SOUDÉ","EN ATTENTE RT")),IF(L694="R","À REPRENDRE",IF(H694&lt;&gt;"OUI","⚠ ENROBÉ AVANT ACCEPTATION RT","ENROBÉ")))))</f>
        <v>NON SOUDÉ</v>
      </c>
      <c r="O694" s="80"/>
      <c r="P694" s="82" t="n">
        <f aca="false">IF(C694="","",IFERROR(MATCH(Q694,'CARNET DE SOUDURE'!$AW$7:$AW$3006,0),""))</f>
        <v>688</v>
      </c>
      <c r="Q694" s="82" t="str">
        <f aca="false">IF(C694="","",B694&amp;"|"&amp;C694)</f>
        <v>MFD-ISW → MFD-CPF|JN°688</v>
      </c>
    </row>
    <row r="695" customFormat="false" ht="74.6" hidden="false" customHeight="false" outlineLevel="0" collapsed="false">
      <c r="A695" s="82" t="n">
        <f aca="false">IF(C695="","",ROW()-6)</f>
        <v>689</v>
      </c>
      <c r="B695" s="80" t="s">
        <v>110</v>
      </c>
      <c r="C695" s="113" t="s">
        <v>799</v>
      </c>
      <c r="D695" s="82" t="str">
        <f aca="false">IF(OR(C695="",P695=""),"",INDEX('CARNET DE SOUDURE'!$D$7:$D$3006,P695)&amp;"")</f>
        <v/>
      </c>
      <c r="E695" s="114" t="str">
        <f aca="false">IF(OR(C695="",P695=""),"",IF(INDEX('CARNET DE SOUDURE'!$U$7:$U$3006,P695)="","",INDEX('CARNET DE SOUDURE'!$U$7:$U$3006,P695)))</f>
        <v/>
      </c>
      <c r="F695" s="82" t="str">
        <f aca="false">IF(OR(C695="",P695=""),"",INDEX('CARNET DE SOUDURE'!$AP$7:$AP$3006,P695))</f>
        <v/>
      </c>
      <c r="G695" s="82" t="str">
        <f aca="false">IF(C695="","",IF(P695="","NJ INCONNU",INDEX('CARNET DE SOUDURE'!$AQ$7:$AQ$3006,P695)))</f>
        <v>À SOUDER</v>
      </c>
      <c r="H695" s="82" t="str">
        <f aca="false">IF(C695="","",IF(G695="ACCEPTÉ","OUI","NON"))</f>
        <v>NON</v>
      </c>
      <c r="I695" s="83"/>
      <c r="J695" s="80"/>
      <c r="K695" s="81"/>
      <c r="L695" s="81"/>
      <c r="M695" s="81"/>
      <c r="N695" s="84" t="str">
        <f aca="false">IF(C695="","",IF(P695="","NJ INCONNU",IF(I695="",IF(H695="OUI","À ENROBER",IF(G695="À SOUDER","NON SOUDÉ","EN ATTENTE RT")),IF(L695="R","À REPRENDRE",IF(H695&lt;&gt;"OUI","⚠ ENROBÉ AVANT ACCEPTATION RT","ENROBÉ")))))</f>
        <v>NON SOUDÉ</v>
      </c>
      <c r="O695" s="80"/>
      <c r="P695" s="82" t="n">
        <f aca="false">IF(C695="","",IFERROR(MATCH(Q695,'CARNET DE SOUDURE'!$AW$7:$AW$3006,0),""))</f>
        <v>689</v>
      </c>
      <c r="Q695" s="82" t="str">
        <f aca="false">IF(C695="","",B695&amp;"|"&amp;C695)</f>
        <v>MFD-ISW → MFD-CPF|JN°689</v>
      </c>
    </row>
    <row r="696" customFormat="false" ht="74.6" hidden="false" customHeight="false" outlineLevel="0" collapsed="false">
      <c r="A696" s="82" t="n">
        <f aca="false">IF(C696="","",ROW()-6)</f>
        <v>690</v>
      </c>
      <c r="B696" s="80" t="s">
        <v>110</v>
      </c>
      <c r="C696" s="113" t="s">
        <v>800</v>
      </c>
      <c r="D696" s="82" t="str">
        <f aca="false">IF(OR(C696="",P696=""),"",INDEX('CARNET DE SOUDURE'!$D$7:$D$3006,P696)&amp;"")</f>
        <v/>
      </c>
      <c r="E696" s="114" t="str">
        <f aca="false">IF(OR(C696="",P696=""),"",IF(INDEX('CARNET DE SOUDURE'!$U$7:$U$3006,P696)="","",INDEX('CARNET DE SOUDURE'!$U$7:$U$3006,P696)))</f>
        <v/>
      </c>
      <c r="F696" s="82" t="str">
        <f aca="false">IF(OR(C696="",P696=""),"",INDEX('CARNET DE SOUDURE'!$AP$7:$AP$3006,P696))</f>
        <v/>
      </c>
      <c r="G696" s="82" t="str">
        <f aca="false">IF(C696="","",IF(P696="","NJ INCONNU",INDEX('CARNET DE SOUDURE'!$AQ$7:$AQ$3006,P696)))</f>
        <v>À SOUDER</v>
      </c>
      <c r="H696" s="82" t="str">
        <f aca="false">IF(C696="","",IF(G696="ACCEPTÉ","OUI","NON"))</f>
        <v>NON</v>
      </c>
      <c r="I696" s="83"/>
      <c r="J696" s="80"/>
      <c r="K696" s="81"/>
      <c r="L696" s="81"/>
      <c r="M696" s="81"/>
      <c r="N696" s="84" t="str">
        <f aca="false">IF(C696="","",IF(P696="","NJ INCONNU",IF(I696="",IF(H696="OUI","À ENROBER",IF(G696="À SOUDER","NON SOUDÉ","EN ATTENTE RT")),IF(L696="R","À REPRENDRE",IF(H696&lt;&gt;"OUI","⚠ ENROBÉ AVANT ACCEPTATION RT","ENROBÉ")))))</f>
        <v>NON SOUDÉ</v>
      </c>
      <c r="O696" s="80"/>
      <c r="P696" s="82" t="n">
        <f aca="false">IF(C696="","",IFERROR(MATCH(Q696,'CARNET DE SOUDURE'!$AW$7:$AW$3006,0),""))</f>
        <v>690</v>
      </c>
      <c r="Q696" s="82" t="str">
        <f aca="false">IF(C696="","",B696&amp;"|"&amp;C696)</f>
        <v>MFD-ISW → MFD-CPF|JN°690</v>
      </c>
    </row>
    <row r="697" customFormat="false" ht="74.6" hidden="false" customHeight="false" outlineLevel="0" collapsed="false">
      <c r="A697" s="82" t="n">
        <f aca="false">IF(C697="","",ROW()-6)</f>
        <v>691</v>
      </c>
      <c r="B697" s="80" t="s">
        <v>110</v>
      </c>
      <c r="C697" s="113" t="s">
        <v>801</v>
      </c>
      <c r="D697" s="82" t="str">
        <f aca="false">IF(OR(C697="",P697=""),"",INDEX('CARNET DE SOUDURE'!$D$7:$D$3006,P697)&amp;"")</f>
        <v/>
      </c>
      <c r="E697" s="114" t="str">
        <f aca="false">IF(OR(C697="",P697=""),"",IF(INDEX('CARNET DE SOUDURE'!$U$7:$U$3006,P697)="","",INDEX('CARNET DE SOUDURE'!$U$7:$U$3006,P697)))</f>
        <v/>
      </c>
      <c r="F697" s="82" t="str">
        <f aca="false">IF(OR(C697="",P697=""),"",INDEX('CARNET DE SOUDURE'!$AP$7:$AP$3006,P697))</f>
        <v/>
      </c>
      <c r="G697" s="82" t="str">
        <f aca="false">IF(C697="","",IF(P697="","NJ INCONNU",INDEX('CARNET DE SOUDURE'!$AQ$7:$AQ$3006,P697)))</f>
        <v>À SOUDER</v>
      </c>
      <c r="H697" s="82" t="str">
        <f aca="false">IF(C697="","",IF(G697="ACCEPTÉ","OUI","NON"))</f>
        <v>NON</v>
      </c>
      <c r="I697" s="83"/>
      <c r="J697" s="80"/>
      <c r="K697" s="81"/>
      <c r="L697" s="81"/>
      <c r="M697" s="81"/>
      <c r="N697" s="84" t="str">
        <f aca="false">IF(C697="","",IF(P697="","NJ INCONNU",IF(I697="",IF(H697="OUI","À ENROBER",IF(G697="À SOUDER","NON SOUDÉ","EN ATTENTE RT")),IF(L697="R","À REPRENDRE",IF(H697&lt;&gt;"OUI","⚠ ENROBÉ AVANT ACCEPTATION RT","ENROBÉ")))))</f>
        <v>NON SOUDÉ</v>
      </c>
      <c r="O697" s="80"/>
      <c r="P697" s="82" t="n">
        <f aca="false">IF(C697="","",IFERROR(MATCH(Q697,'CARNET DE SOUDURE'!$AW$7:$AW$3006,0),""))</f>
        <v>691</v>
      </c>
      <c r="Q697" s="82" t="str">
        <f aca="false">IF(C697="","",B697&amp;"|"&amp;C697)</f>
        <v>MFD-ISW → MFD-CPF|JN°691</v>
      </c>
    </row>
    <row r="698" customFormat="false" ht="74.6" hidden="false" customHeight="false" outlineLevel="0" collapsed="false">
      <c r="A698" s="82" t="n">
        <f aca="false">IF(C698="","",ROW()-6)</f>
        <v>692</v>
      </c>
      <c r="B698" s="80" t="s">
        <v>110</v>
      </c>
      <c r="C698" s="113" t="s">
        <v>802</v>
      </c>
      <c r="D698" s="82" t="str">
        <f aca="false">IF(OR(C698="",P698=""),"",INDEX('CARNET DE SOUDURE'!$D$7:$D$3006,P698)&amp;"")</f>
        <v/>
      </c>
      <c r="E698" s="114" t="str">
        <f aca="false">IF(OR(C698="",P698=""),"",IF(INDEX('CARNET DE SOUDURE'!$U$7:$U$3006,P698)="","",INDEX('CARNET DE SOUDURE'!$U$7:$U$3006,P698)))</f>
        <v/>
      </c>
      <c r="F698" s="82" t="str">
        <f aca="false">IF(OR(C698="",P698=""),"",INDEX('CARNET DE SOUDURE'!$AP$7:$AP$3006,P698))</f>
        <v/>
      </c>
      <c r="G698" s="82" t="str">
        <f aca="false">IF(C698="","",IF(P698="","NJ INCONNU",INDEX('CARNET DE SOUDURE'!$AQ$7:$AQ$3006,P698)))</f>
        <v>À SOUDER</v>
      </c>
      <c r="H698" s="82" t="str">
        <f aca="false">IF(C698="","",IF(G698="ACCEPTÉ","OUI","NON"))</f>
        <v>NON</v>
      </c>
      <c r="I698" s="83"/>
      <c r="J698" s="80"/>
      <c r="K698" s="81"/>
      <c r="L698" s="81"/>
      <c r="M698" s="81"/>
      <c r="N698" s="84" t="str">
        <f aca="false">IF(C698="","",IF(P698="","NJ INCONNU",IF(I698="",IF(H698="OUI","À ENROBER",IF(G698="À SOUDER","NON SOUDÉ","EN ATTENTE RT")),IF(L698="R","À REPRENDRE",IF(H698&lt;&gt;"OUI","⚠ ENROBÉ AVANT ACCEPTATION RT","ENROBÉ")))))</f>
        <v>NON SOUDÉ</v>
      </c>
      <c r="O698" s="80"/>
      <c r="P698" s="82" t="n">
        <f aca="false">IF(C698="","",IFERROR(MATCH(Q698,'CARNET DE SOUDURE'!$AW$7:$AW$3006,0),""))</f>
        <v>692</v>
      </c>
      <c r="Q698" s="82" t="str">
        <f aca="false">IF(C698="","",B698&amp;"|"&amp;C698)</f>
        <v>MFD-ISW → MFD-CPF|JN°692</v>
      </c>
    </row>
    <row r="699" customFormat="false" ht="74.6" hidden="false" customHeight="false" outlineLevel="0" collapsed="false">
      <c r="A699" s="82" t="n">
        <f aca="false">IF(C699="","",ROW()-6)</f>
        <v>693</v>
      </c>
      <c r="B699" s="80" t="s">
        <v>110</v>
      </c>
      <c r="C699" s="113" t="s">
        <v>803</v>
      </c>
      <c r="D699" s="82" t="str">
        <f aca="false">IF(OR(C699="",P699=""),"",INDEX('CARNET DE SOUDURE'!$D$7:$D$3006,P699)&amp;"")</f>
        <v/>
      </c>
      <c r="E699" s="114" t="str">
        <f aca="false">IF(OR(C699="",P699=""),"",IF(INDEX('CARNET DE SOUDURE'!$U$7:$U$3006,P699)="","",INDEX('CARNET DE SOUDURE'!$U$7:$U$3006,P699)))</f>
        <v/>
      </c>
      <c r="F699" s="82" t="str">
        <f aca="false">IF(OR(C699="",P699=""),"",INDEX('CARNET DE SOUDURE'!$AP$7:$AP$3006,P699))</f>
        <v/>
      </c>
      <c r="G699" s="82" t="str">
        <f aca="false">IF(C699="","",IF(P699="","NJ INCONNU",INDEX('CARNET DE SOUDURE'!$AQ$7:$AQ$3006,P699)))</f>
        <v>À SOUDER</v>
      </c>
      <c r="H699" s="82" t="str">
        <f aca="false">IF(C699="","",IF(G699="ACCEPTÉ","OUI","NON"))</f>
        <v>NON</v>
      </c>
      <c r="I699" s="83"/>
      <c r="J699" s="80"/>
      <c r="K699" s="81"/>
      <c r="L699" s="81"/>
      <c r="M699" s="81"/>
      <c r="N699" s="84" t="str">
        <f aca="false">IF(C699="","",IF(P699="","NJ INCONNU",IF(I699="",IF(H699="OUI","À ENROBER",IF(G699="À SOUDER","NON SOUDÉ","EN ATTENTE RT")),IF(L699="R","À REPRENDRE",IF(H699&lt;&gt;"OUI","⚠ ENROBÉ AVANT ACCEPTATION RT","ENROBÉ")))))</f>
        <v>NON SOUDÉ</v>
      </c>
      <c r="O699" s="80"/>
      <c r="P699" s="82" t="n">
        <f aca="false">IF(C699="","",IFERROR(MATCH(Q699,'CARNET DE SOUDURE'!$AW$7:$AW$3006,0),""))</f>
        <v>693</v>
      </c>
      <c r="Q699" s="82" t="str">
        <f aca="false">IF(C699="","",B699&amp;"|"&amp;C699)</f>
        <v>MFD-ISW → MFD-CPF|JN°693</v>
      </c>
    </row>
    <row r="700" customFormat="false" ht="74.6" hidden="false" customHeight="false" outlineLevel="0" collapsed="false">
      <c r="A700" s="82" t="n">
        <f aca="false">IF(C700="","",ROW()-6)</f>
        <v>694</v>
      </c>
      <c r="B700" s="80" t="s">
        <v>110</v>
      </c>
      <c r="C700" s="113" t="s">
        <v>804</v>
      </c>
      <c r="D700" s="82" t="str">
        <f aca="false">IF(OR(C700="",P700=""),"",INDEX('CARNET DE SOUDURE'!$D$7:$D$3006,P700)&amp;"")</f>
        <v/>
      </c>
      <c r="E700" s="114" t="str">
        <f aca="false">IF(OR(C700="",P700=""),"",IF(INDEX('CARNET DE SOUDURE'!$U$7:$U$3006,P700)="","",INDEX('CARNET DE SOUDURE'!$U$7:$U$3006,P700)))</f>
        <v/>
      </c>
      <c r="F700" s="82" t="str">
        <f aca="false">IF(OR(C700="",P700=""),"",INDEX('CARNET DE SOUDURE'!$AP$7:$AP$3006,P700))</f>
        <v/>
      </c>
      <c r="G700" s="82" t="str">
        <f aca="false">IF(C700="","",IF(P700="","NJ INCONNU",INDEX('CARNET DE SOUDURE'!$AQ$7:$AQ$3006,P700)))</f>
        <v>À SOUDER</v>
      </c>
      <c r="H700" s="82" t="str">
        <f aca="false">IF(C700="","",IF(G700="ACCEPTÉ","OUI","NON"))</f>
        <v>NON</v>
      </c>
      <c r="I700" s="83"/>
      <c r="J700" s="80"/>
      <c r="K700" s="81"/>
      <c r="L700" s="81"/>
      <c r="M700" s="81"/>
      <c r="N700" s="84" t="str">
        <f aca="false">IF(C700="","",IF(P700="","NJ INCONNU",IF(I700="",IF(H700="OUI","À ENROBER",IF(G700="À SOUDER","NON SOUDÉ","EN ATTENTE RT")),IF(L700="R","À REPRENDRE",IF(H700&lt;&gt;"OUI","⚠ ENROBÉ AVANT ACCEPTATION RT","ENROBÉ")))))</f>
        <v>NON SOUDÉ</v>
      </c>
      <c r="O700" s="80"/>
      <c r="P700" s="82" t="n">
        <f aca="false">IF(C700="","",IFERROR(MATCH(Q700,'CARNET DE SOUDURE'!$AW$7:$AW$3006,0),""))</f>
        <v>694</v>
      </c>
      <c r="Q700" s="82" t="str">
        <f aca="false">IF(C700="","",B700&amp;"|"&amp;C700)</f>
        <v>MFD-ISW → MFD-CPF|JN°694</v>
      </c>
    </row>
    <row r="701" customFormat="false" ht="74.6" hidden="false" customHeight="false" outlineLevel="0" collapsed="false">
      <c r="A701" s="82" t="n">
        <f aca="false">IF(C701="","",ROW()-6)</f>
        <v>695</v>
      </c>
      <c r="B701" s="80" t="s">
        <v>110</v>
      </c>
      <c r="C701" s="113" t="s">
        <v>805</v>
      </c>
      <c r="D701" s="82" t="str">
        <f aca="false">IF(OR(C701="",P701=""),"",INDEX('CARNET DE SOUDURE'!$D$7:$D$3006,P701)&amp;"")</f>
        <v/>
      </c>
      <c r="E701" s="114" t="str">
        <f aca="false">IF(OR(C701="",P701=""),"",IF(INDEX('CARNET DE SOUDURE'!$U$7:$U$3006,P701)="","",INDEX('CARNET DE SOUDURE'!$U$7:$U$3006,P701)))</f>
        <v/>
      </c>
      <c r="F701" s="82" t="str">
        <f aca="false">IF(OR(C701="",P701=""),"",INDEX('CARNET DE SOUDURE'!$AP$7:$AP$3006,P701))</f>
        <v/>
      </c>
      <c r="G701" s="82" t="str">
        <f aca="false">IF(C701="","",IF(P701="","NJ INCONNU",INDEX('CARNET DE SOUDURE'!$AQ$7:$AQ$3006,P701)))</f>
        <v>À SOUDER</v>
      </c>
      <c r="H701" s="82" t="str">
        <f aca="false">IF(C701="","",IF(G701="ACCEPTÉ","OUI","NON"))</f>
        <v>NON</v>
      </c>
      <c r="I701" s="83"/>
      <c r="J701" s="80"/>
      <c r="K701" s="81"/>
      <c r="L701" s="81"/>
      <c r="M701" s="81"/>
      <c r="N701" s="84" t="str">
        <f aca="false">IF(C701="","",IF(P701="","NJ INCONNU",IF(I701="",IF(H701="OUI","À ENROBER",IF(G701="À SOUDER","NON SOUDÉ","EN ATTENTE RT")),IF(L701="R","À REPRENDRE",IF(H701&lt;&gt;"OUI","⚠ ENROBÉ AVANT ACCEPTATION RT","ENROBÉ")))))</f>
        <v>NON SOUDÉ</v>
      </c>
      <c r="O701" s="80"/>
      <c r="P701" s="82" t="n">
        <f aca="false">IF(C701="","",IFERROR(MATCH(Q701,'CARNET DE SOUDURE'!$AW$7:$AW$3006,0),""))</f>
        <v>695</v>
      </c>
      <c r="Q701" s="82" t="str">
        <f aca="false">IF(C701="","",B701&amp;"|"&amp;C701)</f>
        <v>MFD-ISW → MFD-CPF|JN°695</v>
      </c>
    </row>
    <row r="702" customFormat="false" ht="74.6" hidden="false" customHeight="false" outlineLevel="0" collapsed="false">
      <c r="A702" s="82" t="n">
        <f aca="false">IF(C702="","",ROW()-6)</f>
        <v>696</v>
      </c>
      <c r="B702" s="80" t="s">
        <v>110</v>
      </c>
      <c r="C702" s="113" t="s">
        <v>806</v>
      </c>
      <c r="D702" s="82" t="str">
        <f aca="false">IF(OR(C702="",P702=""),"",INDEX('CARNET DE SOUDURE'!$D$7:$D$3006,P702)&amp;"")</f>
        <v/>
      </c>
      <c r="E702" s="114" t="str">
        <f aca="false">IF(OR(C702="",P702=""),"",IF(INDEX('CARNET DE SOUDURE'!$U$7:$U$3006,P702)="","",INDEX('CARNET DE SOUDURE'!$U$7:$U$3006,P702)))</f>
        <v/>
      </c>
      <c r="F702" s="82" t="str">
        <f aca="false">IF(OR(C702="",P702=""),"",INDEX('CARNET DE SOUDURE'!$AP$7:$AP$3006,P702))</f>
        <v/>
      </c>
      <c r="G702" s="82" t="str">
        <f aca="false">IF(C702="","",IF(P702="","NJ INCONNU",INDEX('CARNET DE SOUDURE'!$AQ$7:$AQ$3006,P702)))</f>
        <v>À SOUDER</v>
      </c>
      <c r="H702" s="82" t="str">
        <f aca="false">IF(C702="","",IF(G702="ACCEPTÉ","OUI","NON"))</f>
        <v>NON</v>
      </c>
      <c r="I702" s="83"/>
      <c r="J702" s="80"/>
      <c r="K702" s="81"/>
      <c r="L702" s="81"/>
      <c r="M702" s="81"/>
      <c r="N702" s="84" t="str">
        <f aca="false">IF(C702="","",IF(P702="","NJ INCONNU",IF(I702="",IF(H702="OUI","À ENROBER",IF(G702="À SOUDER","NON SOUDÉ","EN ATTENTE RT")),IF(L702="R","À REPRENDRE",IF(H702&lt;&gt;"OUI","⚠ ENROBÉ AVANT ACCEPTATION RT","ENROBÉ")))))</f>
        <v>NON SOUDÉ</v>
      </c>
      <c r="O702" s="80"/>
      <c r="P702" s="82" t="n">
        <f aca="false">IF(C702="","",IFERROR(MATCH(Q702,'CARNET DE SOUDURE'!$AW$7:$AW$3006,0),""))</f>
        <v>696</v>
      </c>
      <c r="Q702" s="82" t="str">
        <f aca="false">IF(C702="","",B702&amp;"|"&amp;C702)</f>
        <v>MFD-ISW → MFD-CPF|JN°696</v>
      </c>
    </row>
    <row r="703" customFormat="false" ht="74.6" hidden="false" customHeight="false" outlineLevel="0" collapsed="false">
      <c r="A703" s="82" t="n">
        <f aca="false">IF(C703="","",ROW()-6)</f>
        <v>697</v>
      </c>
      <c r="B703" s="80" t="s">
        <v>110</v>
      </c>
      <c r="C703" s="113" t="s">
        <v>807</v>
      </c>
      <c r="D703" s="82" t="str">
        <f aca="false">IF(OR(C703="",P703=""),"",INDEX('CARNET DE SOUDURE'!$D$7:$D$3006,P703)&amp;"")</f>
        <v/>
      </c>
      <c r="E703" s="114" t="str">
        <f aca="false">IF(OR(C703="",P703=""),"",IF(INDEX('CARNET DE SOUDURE'!$U$7:$U$3006,P703)="","",INDEX('CARNET DE SOUDURE'!$U$7:$U$3006,P703)))</f>
        <v/>
      </c>
      <c r="F703" s="82" t="str">
        <f aca="false">IF(OR(C703="",P703=""),"",INDEX('CARNET DE SOUDURE'!$AP$7:$AP$3006,P703))</f>
        <v/>
      </c>
      <c r="G703" s="82" t="str">
        <f aca="false">IF(C703="","",IF(P703="","NJ INCONNU",INDEX('CARNET DE SOUDURE'!$AQ$7:$AQ$3006,P703)))</f>
        <v>À SOUDER</v>
      </c>
      <c r="H703" s="82" t="str">
        <f aca="false">IF(C703="","",IF(G703="ACCEPTÉ","OUI","NON"))</f>
        <v>NON</v>
      </c>
      <c r="I703" s="83"/>
      <c r="J703" s="80"/>
      <c r="K703" s="81"/>
      <c r="L703" s="81"/>
      <c r="M703" s="81"/>
      <c r="N703" s="84" t="str">
        <f aca="false">IF(C703="","",IF(P703="","NJ INCONNU",IF(I703="",IF(H703="OUI","À ENROBER",IF(G703="À SOUDER","NON SOUDÉ","EN ATTENTE RT")),IF(L703="R","À REPRENDRE",IF(H703&lt;&gt;"OUI","⚠ ENROBÉ AVANT ACCEPTATION RT","ENROBÉ")))))</f>
        <v>NON SOUDÉ</v>
      </c>
      <c r="O703" s="80"/>
      <c r="P703" s="82" t="n">
        <f aca="false">IF(C703="","",IFERROR(MATCH(Q703,'CARNET DE SOUDURE'!$AW$7:$AW$3006,0),""))</f>
        <v>697</v>
      </c>
      <c r="Q703" s="82" t="str">
        <f aca="false">IF(C703="","",B703&amp;"|"&amp;C703)</f>
        <v>MFD-ISW → MFD-CPF|JN°697</v>
      </c>
    </row>
    <row r="704" customFormat="false" ht="74.6" hidden="false" customHeight="false" outlineLevel="0" collapsed="false">
      <c r="A704" s="82" t="n">
        <f aca="false">IF(C704="","",ROW()-6)</f>
        <v>698</v>
      </c>
      <c r="B704" s="80" t="s">
        <v>110</v>
      </c>
      <c r="C704" s="113" t="s">
        <v>808</v>
      </c>
      <c r="D704" s="82" t="str">
        <f aca="false">IF(OR(C704="",P704=""),"",INDEX('CARNET DE SOUDURE'!$D$7:$D$3006,P704)&amp;"")</f>
        <v/>
      </c>
      <c r="E704" s="114" t="str">
        <f aca="false">IF(OR(C704="",P704=""),"",IF(INDEX('CARNET DE SOUDURE'!$U$7:$U$3006,P704)="","",INDEX('CARNET DE SOUDURE'!$U$7:$U$3006,P704)))</f>
        <v/>
      </c>
      <c r="F704" s="82" t="str">
        <f aca="false">IF(OR(C704="",P704=""),"",INDEX('CARNET DE SOUDURE'!$AP$7:$AP$3006,P704))</f>
        <v/>
      </c>
      <c r="G704" s="82" t="str">
        <f aca="false">IF(C704="","",IF(P704="","NJ INCONNU",INDEX('CARNET DE SOUDURE'!$AQ$7:$AQ$3006,P704)))</f>
        <v>À SOUDER</v>
      </c>
      <c r="H704" s="82" t="str">
        <f aca="false">IF(C704="","",IF(G704="ACCEPTÉ","OUI","NON"))</f>
        <v>NON</v>
      </c>
      <c r="I704" s="83"/>
      <c r="J704" s="80"/>
      <c r="K704" s="81"/>
      <c r="L704" s="81"/>
      <c r="M704" s="81"/>
      <c r="N704" s="84" t="str">
        <f aca="false">IF(C704="","",IF(P704="","NJ INCONNU",IF(I704="",IF(H704="OUI","À ENROBER",IF(G704="À SOUDER","NON SOUDÉ","EN ATTENTE RT")),IF(L704="R","À REPRENDRE",IF(H704&lt;&gt;"OUI","⚠ ENROBÉ AVANT ACCEPTATION RT","ENROBÉ")))))</f>
        <v>NON SOUDÉ</v>
      </c>
      <c r="O704" s="80"/>
      <c r="P704" s="82" t="n">
        <f aca="false">IF(C704="","",IFERROR(MATCH(Q704,'CARNET DE SOUDURE'!$AW$7:$AW$3006,0),""))</f>
        <v>698</v>
      </c>
      <c r="Q704" s="82" t="str">
        <f aca="false">IF(C704="","",B704&amp;"|"&amp;C704)</f>
        <v>MFD-ISW → MFD-CPF|JN°698</v>
      </c>
    </row>
    <row r="705" customFormat="false" ht="74.6" hidden="false" customHeight="false" outlineLevel="0" collapsed="false">
      <c r="A705" s="82" t="n">
        <f aca="false">IF(C705="","",ROW()-6)</f>
        <v>699</v>
      </c>
      <c r="B705" s="80" t="s">
        <v>110</v>
      </c>
      <c r="C705" s="113" t="s">
        <v>809</v>
      </c>
      <c r="D705" s="82" t="str">
        <f aca="false">IF(OR(C705="",P705=""),"",INDEX('CARNET DE SOUDURE'!$D$7:$D$3006,P705)&amp;"")</f>
        <v/>
      </c>
      <c r="E705" s="114" t="str">
        <f aca="false">IF(OR(C705="",P705=""),"",IF(INDEX('CARNET DE SOUDURE'!$U$7:$U$3006,P705)="","",INDEX('CARNET DE SOUDURE'!$U$7:$U$3006,P705)))</f>
        <v/>
      </c>
      <c r="F705" s="82" t="str">
        <f aca="false">IF(OR(C705="",P705=""),"",INDEX('CARNET DE SOUDURE'!$AP$7:$AP$3006,P705))</f>
        <v/>
      </c>
      <c r="G705" s="82" t="str">
        <f aca="false">IF(C705="","",IF(P705="","NJ INCONNU",INDEX('CARNET DE SOUDURE'!$AQ$7:$AQ$3006,P705)))</f>
        <v>À SOUDER</v>
      </c>
      <c r="H705" s="82" t="str">
        <f aca="false">IF(C705="","",IF(G705="ACCEPTÉ","OUI","NON"))</f>
        <v>NON</v>
      </c>
      <c r="I705" s="83"/>
      <c r="J705" s="80"/>
      <c r="K705" s="81"/>
      <c r="L705" s="81"/>
      <c r="M705" s="81"/>
      <c r="N705" s="84" t="str">
        <f aca="false">IF(C705="","",IF(P705="","NJ INCONNU",IF(I705="",IF(H705="OUI","À ENROBER",IF(G705="À SOUDER","NON SOUDÉ","EN ATTENTE RT")),IF(L705="R","À REPRENDRE",IF(H705&lt;&gt;"OUI","⚠ ENROBÉ AVANT ACCEPTATION RT","ENROBÉ")))))</f>
        <v>NON SOUDÉ</v>
      </c>
      <c r="O705" s="80"/>
      <c r="P705" s="82" t="n">
        <f aca="false">IF(C705="","",IFERROR(MATCH(Q705,'CARNET DE SOUDURE'!$AW$7:$AW$3006,0),""))</f>
        <v>699</v>
      </c>
      <c r="Q705" s="82" t="str">
        <f aca="false">IF(C705="","",B705&amp;"|"&amp;C705)</f>
        <v>MFD-ISW → MFD-CPF|JN°699</v>
      </c>
    </row>
    <row r="706" customFormat="false" ht="74.6" hidden="false" customHeight="false" outlineLevel="0" collapsed="false">
      <c r="A706" s="82" t="n">
        <f aca="false">IF(C706="","",ROW()-6)</f>
        <v>700</v>
      </c>
      <c r="B706" s="80" t="s">
        <v>110</v>
      </c>
      <c r="C706" s="113" t="s">
        <v>810</v>
      </c>
      <c r="D706" s="82" t="str">
        <f aca="false">IF(OR(C706="",P706=""),"",INDEX('CARNET DE SOUDURE'!$D$7:$D$3006,P706)&amp;"")</f>
        <v/>
      </c>
      <c r="E706" s="114" t="str">
        <f aca="false">IF(OR(C706="",P706=""),"",IF(INDEX('CARNET DE SOUDURE'!$U$7:$U$3006,P706)="","",INDEX('CARNET DE SOUDURE'!$U$7:$U$3006,P706)))</f>
        <v/>
      </c>
      <c r="F706" s="82" t="str">
        <f aca="false">IF(OR(C706="",P706=""),"",INDEX('CARNET DE SOUDURE'!$AP$7:$AP$3006,P706))</f>
        <v/>
      </c>
      <c r="G706" s="82" t="str">
        <f aca="false">IF(C706="","",IF(P706="","NJ INCONNU",INDEX('CARNET DE SOUDURE'!$AQ$7:$AQ$3006,P706)))</f>
        <v>À SOUDER</v>
      </c>
      <c r="H706" s="82" t="str">
        <f aca="false">IF(C706="","",IF(G706="ACCEPTÉ","OUI","NON"))</f>
        <v>NON</v>
      </c>
      <c r="I706" s="83"/>
      <c r="J706" s="80"/>
      <c r="K706" s="81"/>
      <c r="L706" s="81"/>
      <c r="M706" s="81"/>
      <c r="N706" s="84" t="str">
        <f aca="false">IF(C706="","",IF(P706="","NJ INCONNU",IF(I706="",IF(H706="OUI","À ENROBER",IF(G706="À SOUDER","NON SOUDÉ","EN ATTENTE RT")),IF(L706="R","À REPRENDRE",IF(H706&lt;&gt;"OUI","⚠ ENROBÉ AVANT ACCEPTATION RT","ENROBÉ")))))</f>
        <v>NON SOUDÉ</v>
      </c>
      <c r="O706" s="80"/>
      <c r="P706" s="82" t="n">
        <f aca="false">IF(C706="","",IFERROR(MATCH(Q706,'CARNET DE SOUDURE'!$AW$7:$AW$3006,0),""))</f>
        <v>700</v>
      </c>
      <c r="Q706" s="82" t="str">
        <f aca="false">IF(C706="","",B706&amp;"|"&amp;C706)</f>
        <v>MFD-ISW → MFD-CPF|JN°700</v>
      </c>
    </row>
    <row r="707" customFormat="false" ht="74.6" hidden="false" customHeight="false" outlineLevel="0" collapsed="false">
      <c r="A707" s="82" t="n">
        <f aca="false">IF(C707="","",ROW()-6)</f>
        <v>701</v>
      </c>
      <c r="B707" s="80" t="s">
        <v>110</v>
      </c>
      <c r="C707" s="113" t="s">
        <v>811</v>
      </c>
      <c r="D707" s="82" t="str">
        <f aca="false">IF(OR(C707="",P707=""),"",INDEX('CARNET DE SOUDURE'!$D$7:$D$3006,P707)&amp;"")</f>
        <v/>
      </c>
      <c r="E707" s="114" t="str">
        <f aca="false">IF(OR(C707="",P707=""),"",IF(INDEX('CARNET DE SOUDURE'!$U$7:$U$3006,P707)="","",INDEX('CARNET DE SOUDURE'!$U$7:$U$3006,P707)))</f>
        <v/>
      </c>
      <c r="F707" s="82" t="str">
        <f aca="false">IF(OR(C707="",P707=""),"",INDEX('CARNET DE SOUDURE'!$AP$7:$AP$3006,P707))</f>
        <v/>
      </c>
      <c r="G707" s="82" t="str">
        <f aca="false">IF(C707="","",IF(P707="","NJ INCONNU",INDEX('CARNET DE SOUDURE'!$AQ$7:$AQ$3006,P707)))</f>
        <v>À SOUDER</v>
      </c>
      <c r="H707" s="82" t="str">
        <f aca="false">IF(C707="","",IF(G707="ACCEPTÉ","OUI","NON"))</f>
        <v>NON</v>
      </c>
      <c r="I707" s="83"/>
      <c r="J707" s="80"/>
      <c r="K707" s="81"/>
      <c r="L707" s="81"/>
      <c r="M707" s="81"/>
      <c r="N707" s="84" t="str">
        <f aca="false">IF(C707="","",IF(P707="","NJ INCONNU",IF(I707="",IF(H707="OUI","À ENROBER",IF(G707="À SOUDER","NON SOUDÉ","EN ATTENTE RT")),IF(L707="R","À REPRENDRE",IF(H707&lt;&gt;"OUI","⚠ ENROBÉ AVANT ACCEPTATION RT","ENROBÉ")))))</f>
        <v>NON SOUDÉ</v>
      </c>
      <c r="O707" s="80"/>
      <c r="P707" s="82" t="n">
        <f aca="false">IF(C707="","",IFERROR(MATCH(Q707,'CARNET DE SOUDURE'!$AW$7:$AW$3006,0),""))</f>
        <v>701</v>
      </c>
      <c r="Q707" s="82" t="str">
        <f aca="false">IF(C707="","",B707&amp;"|"&amp;C707)</f>
        <v>MFD-ISW → MFD-CPF|JN°701</v>
      </c>
    </row>
    <row r="708" customFormat="false" ht="74.6" hidden="false" customHeight="false" outlineLevel="0" collapsed="false">
      <c r="A708" s="82" t="n">
        <f aca="false">IF(C708="","",ROW()-6)</f>
        <v>702</v>
      </c>
      <c r="B708" s="80" t="s">
        <v>110</v>
      </c>
      <c r="C708" s="113" t="s">
        <v>812</v>
      </c>
      <c r="D708" s="82" t="str">
        <f aca="false">IF(OR(C708="",P708=""),"",INDEX('CARNET DE SOUDURE'!$D$7:$D$3006,P708)&amp;"")</f>
        <v/>
      </c>
      <c r="E708" s="114" t="str">
        <f aca="false">IF(OR(C708="",P708=""),"",IF(INDEX('CARNET DE SOUDURE'!$U$7:$U$3006,P708)="","",INDEX('CARNET DE SOUDURE'!$U$7:$U$3006,P708)))</f>
        <v/>
      </c>
      <c r="F708" s="82" t="str">
        <f aca="false">IF(OR(C708="",P708=""),"",INDEX('CARNET DE SOUDURE'!$AP$7:$AP$3006,P708))</f>
        <v/>
      </c>
      <c r="G708" s="82" t="str">
        <f aca="false">IF(C708="","",IF(P708="","NJ INCONNU",INDEX('CARNET DE SOUDURE'!$AQ$7:$AQ$3006,P708)))</f>
        <v>À SOUDER</v>
      </c>
      <c r="H708" s="82" t="str">
        <f aca="false">IF(C708="","",IF(G708="ACCEPTÉ","OUI","NON"))</f>
        <v>NON</v>
      </c>
      <c r="I708" s="83"/>
      <c r="J708" s="80"/>
      <c r="K708" s="81"/>
      <c r="L708" s="81"/>
      <c r="M708" s="81"/>
      <c r="N708" s="84" t="str">
        <f aca="false">IF(C708="","",IF(P708="","NJ INCONNU",IF(I708="",IF(H708="OUI","À ENROBER",IF(G708="À SOUDER","NON SOUDÉ","EN ATTENTE RT")),IF(L708="R","À REPRENDRE",IF(H708&lt;&gt;"OUI","⚠ ENROBÉ AVANT ACCEPTATION RT","ENROBÉ")))))</f>
        <v>NON SOUDÉ</v>
      </c>
      <c r="O708" s="80"/>
      <c r="P708" s="82" t="n">
        <f aca="false">IF(C708="","",IFERROR(MATCH(Q708,'CARNET DE SOUDURE'!$AW$7:$AW$3006,0),""))</f>
        <v>702</v>
      </c>
      <c r="Q708" s="82" t="str">
        <f aca="false">IF(C708="","",B708&amp;"|"&amp;C708)</f>
        <v>MFD-ISW → MFD-CPF|JN°702</v>
      </c>
    </row>
    <row r="709" customFormat="false" ht="74.6" hidden="false" customHeight="false" outlineLevel="0" collapsed="false">
      <c r="A709" s="82" t="n">
        <f aca="false">IF(C709="","",ROW()-6)</f>
        <v>703</v>
      </c>
      <c r="B709" s="80" t="s">
        <v>110</v>
      </c>
      <c r="C709" s="113" t="s">
        <v>813</v>
      </c>
      <c r="D709" s="82" t="str">
        <f aca="false">IF(OR(C709="",P709=""),"",INDEX('CARNET DE SOUDURE'!$D$7:$D$3006,P709)&amp;"")</f>
        <v/>
      </c>
      <c r="E709" s="114" t="str">
        <f aca="false">IF(OR(C709="",P709=""),"",IF(INDEX('CARNET DE SOUDURE'!$U$7:$U$3006,P709)="","",INDEX('CARNET DE SOUDURE'!$U$7:$U$3006,P709)))</f>
        <v/>
      </c>
      <c r="F709" s="82" t="str">
        <f aca="false">IF(OR(C709="",P709=""),"",INDEX('CARNET DE SOUDURE'!$AP$7:$AP$3006,P709))</f>
        <v/>
      </c>
      <c r="G709" s="82" t="str">
        <f aca="false">IF(C709="","",IF(P709="","NJ INCONNU",INDEX('CARNET DE SOUDURE'!$AQ$7:$AQ$3006,P709)))</f>
        <v>À SOUDER</v>
      </c>
      <c r="H709" s="82" t="str">
        <f aca="false">IF(C709="","",IF(G709="ACCEPTÉ","OUI","NON"))</f>
        <v>NON</v>
      </c>
      <c r="I709" s="83"/>
      <c r="J709" s="80"/>
      <c r="K709" s="81"/>
      <c r="L709" s="81"/>
      <c r="M709" s="81"/>
      <c r="N709" s="84" t="str">
        <f aca="false">IF(C709="","",IF(P709="","NJ INCONNU",IF(I709="",IF(H709="OUI","À ENROBER",IF(G709="À SOUDER","NON SOUDÉ","EN ATTENTE RT")),IF(L709="R","À REPRENDRE",IF(H709&lt;&gt;"OUI","⚠ ENROBÉ AVANT ACCEPTATION RT","ENROBÉ")))))</f>
        <v>NON SOUDÉ</v>
      </c>
      <c r="O709" s="80"/>
      <c r="P709" s="82" t="n">
        <f aca="false">IF(C709="","",IFERROR(MATCH(Q709,'CARNET DE SOUDURE'!$AW$7:$AW$3006,0),""))</f>
        <v>703</v>
      </c>
      <c r="Q709" s="82" t="str">
        <f aca="false">IF(C709="","",B709&amp;"|"&amp;C709)</f>
        <v>MFD-ISW → MFD-CPF|JN°703</v>
      </c>
    </row>
    <row r="710" customFormat="false" ht="74.6" hidden="false" customHeight="false" outlineLevel="0" collapsed="false">
      <c r="A710" s="82" t="n">
        <f aca="false">IF(C710="","",ROW()-6)</f>
        <v>704</v>
      </c>
      <c r="B710" s="80" t="s">
        <v>110</v>
      </c>
      <c r="C710" s="113" t="s">
        <v>814</v>
      </c>
      <c r="D710" s="82" t="str">
        <f aca="false">IF(OR(C710="",P710=""),"",INDEX('CARNET DE SOUDURE'!$D$7:$D$3006,P710)&amp;"")</f>
        <v/>
      </c>
      <c r="E710" s="114" t="str">
        <f aca="false">IF(OR(C710="",P710=""),"",IF(INDEX('CARNET DE SOUDURE'!$U$7:$U$3006,P710)="","",INDEX('CARNET DE SOUDURE'!$U$7:$U$3006,P710)))</f>
        <v/>
      </c>
      <c r="F710" s="82" t="str">
        <f aca="false">IF(OR(C710="",P710=""),"",INDEX('CARNET DE SOUDURE'!$AP$7:$AP$3006,P710))</f>
        <v/>
      </c>
      <c r="G710" s="82" t="str">
        <f aca="false">IF(C710="","",IF(P710="","NJ INCONNU",INDEX('CARNET DE SOUDURE'!$AQ$7:$AQ$3006,P710)))</f>
        <v>À SOUDER</v>
      </c>
      <c r="H710" s="82" t="str">
        <f aca="false">IF(C710="","",IF(G710="ACCEPTÉ","OUI","NON"))</f>
        <v>NON</v>
      </c>
      <c r="I710" s="83"/>
      <c r="J710" s="80"/>
      <c r="K710" s="81"/>
      <c r="L710" s="81"/>
      <c r="M710" s="81"/>
      <c r="N710" s="84" t="str">
        <f aca="false">IF(C710="","",IF(P710="","NJ INCONNU",IF(I710="",IF(H710="OUI","À ENROBER",IF(G710="À SOUDER","NON SOUDÉ","EN ATTENTE RT")),IF(L710="R","À REPRENDRE",IF(H710&lt;&gt;"OUI","⚠ ENROBÉ AVANT ACCEPTATION RT","ENROBÉ")))))</f>
        <v>NON SOUDÉ</v>
      </c>
      <c r="O710" s="80"/>
      <c r="P710" s="82" t="n">
        <f aca="false">IF(C710="","",IFERROR(MATCH(Q710,'CARNET DE SOUDURE'!$AW$7:$AW$3006,0),""))</f>
        <v>704</v>
      </c>
      <c r="Q710" s="82" t="str">
        <f aca="false">IF(C710="","",B710&amp;"|"&amp;C710)</f>
        <v>MFD-ISW → MFD-CPF|JN°704</v>
      </c>
    </row>
    <row r="711" customFormat="false" ht="74.6" hidden="false" customHeight="false" outlineLevel="0" collapsed="false">
      <c r="A711" s="82" t="n">
        <f aca="false">IF(C711="","",ROW()-6)</f>
        <v>705</v>
      </c>
      <c r="B711" s="80" t="s">
        <v>110</v>
      </c>
      <c r="C711" s="113" t="s">
        <v>815</v>
      </c>
      <c r="D711" s="82" t="str">
        <f aca="false">IF(OR(C711="",P711=""),"",INDEX('CARNET DE SOUDURE'!$D$7:$D$3006,P711)&amp;"")</f>
        <v/>
      </c>
      <c r="E711" s="114" t="str">
        <f aca="false">IF(OR(C711="",P711=""),"",IF(INDEX('CARNET DE SOUDURE'!$U$7:$U$3006,P711)="","",INDEX('CARNET DE SOUDURE'!$U$7:$U$3006,P711)))</f>
        <v/>
      </c>
      <c r="F711" s="82" t="str">
        <f aca="false">IF(OR(C711="",P711=""),"",INDEX('CARNET DE SOUDURE'!$AP$7:$AP$3006,P711))</f>
        <v/>
      </c>
      <c r="G711" s="82" t="str">
        <f aca="false">IF(C711="","",IF(P711="","NJ INCONNU",INDEX('CARNET DE SOUDURE'!$AQ$7:$AQ$3006,P711)))</f>
        <v>À SOUDER</v>
      </c>
      <c r="H711" s="82" t="str">
        <f aca="false">IF(C711="","",IF(G711="ACCEPTÉ","OUI","NON"))</f>
        <v>NON</v>
      </c>
      <c r="I711" s="83"/>
      <c r="J711" s="80"/>
      <c r="K711" s="81"/>
      <c r="L711" s="81"/>
      <c r="M711" s="81"/>
      <c r="N711" s="84" t="str">
        <f aca="false">IF(C711="","",IF(P711="","NJ INCONNU",IF(I711="",IF(H711="OUI","À ENROBER",IF(G711="À SOUDER","NON SOUDÉ","EN ATTENTE RT")),IF(L711="R","À REPRENDRE",IF(H711&lt;&gt;"OUI","⚠ ENROBÉ AVANT ACCEPTATION RT","ENROBÉ")))))</f>
        <v>NON SOUDÉ</v>
      </c>
      <c r="O711" s="80"/>
      <c r="P711" s="82" t="n">
        <f aca="false">IF(C711="","",IFERROR(MATCH(Q711,'CARNET DE SOUDURE'!$AW$7:$AW$3006,0),""))</f>
        <v>705</v>
      </c>
      <c r="Q711" s="82" t="str">
        <f aca="false">IF(C711="","",B711&amp;"|"&amp;C711)</f>
        <v>MFD-ISW → MFD-CPF|JN°705</v>
      </c>
    </row>
    <row r="712" customFormat="false" ht="74.6" hidden="false" customHeight="false" outlineLevel="0" collapsed="false">
      <c r="A712" s="82" t="n">
        <f aca="false">IF(C712="","",ROW()-6)</f>
        <v>706</v>
      </c>
      <c r="B712" s="80" t="s">
        <v>110</v>
      </c>
      <c r="C712" s="113" t="s">
        <v>816</v>
      </c>
      <c r="D712" s="82" t="str">
        <f aca="false">IF(OR(C712="",P712=""),"",INDEX('CARNET DE SOUDURE'!$D$7:$D$3006,P712)&amp;"")</f>
        <v/>
      </c>
      <c r="E712" s="114" t="str">
        <f aca="false">IF(OR(C712="",P712=""),"",IF(INDEX('CARNET DE SOUDURE'!$U$7:$U$3006,P712)="","",INDEX('CARNET DE SOUDURE'!$U$7:$U$3006,P712)))</f>
        <v/>
      </c>
      <c r="F712" s="82" t="str">
        <f aca="false">IF(OR(C712="",P712=""),"",INDEX('CARNET DE SOUDURE'!$AP$7:$AP$3006,P712))</f>
        <v/>
      </c>
      <c r="G712" s="82" t="str">
        <f aca="false">IF(C712="","",IF(P712="","NJ INCONNU",INDEX('CARNET DE SOUDURE'!$AQ$7:$AQ$3006,P712)))</f>
        <v>À SOUDER</v>
      </c>
      <c r="H712" s="82" t="str">
        <f aca="false">IF(C712="","",IF(G712="ACCEPTÉ","OUI","NON"))</f>
        <v>NON</v>
      </c>
      <c r="I712" s="83"/>
      <c r="J712" s="80"/>
      <c r="K712" s="81"/>
      <c r="L712" s="81"/>
      <c r="M712" s="81"/>
      <c r="N712" s="84" t="str">
        <f aca="false">IF(C712="","",IF(P712="","NJ INCONNU",IF(I712="",IF(H712="OUI","À ENROBER",IF(G712="À SOUDER","NON SOUDÉ","EN ATTENTE RT")),IF(L712="R","À REPRENDRE",IF(H712&lt;&gt;"OUI","⚠ ENROBÉ AVANT ACCEPTATION RT","ENROBÉ")))))</f>
        <v>NON SOUDÉ</v>
      </c>
      <c r="O712" s="80"/>
      <c r="P712" s="82" t="n">
        <f aca="false">IF(C712="","",IFERROR(MATCH(Q712,'CARNET DE SOUDURE'!$AW$7:$AW$3006,0),""))</f>
        <v>706</v>
      </c>
      <c r="Q712" s="82" t="str">
        <f aca="false">IF(C712="","",B712&amp;"|"&amp;C712)</f>
        <v>MFD-ISW → MFD-CPF|JN°706</v>
      </c>
    </row>
    <row r="713" customFormat="false" ht="74.6" hidden="false" customHeight="false" outlineLevel="0" collapsed="false">
      <c r="A713" s="82" t="n">
        <f aca="false">IF(C713="","",ROW()-6)</f>
        <v>707</v>
      </c>
      <c r="B713" s="80" t="s">
        <v>110</v>
      </c>
      <c r="C713" s="113" t="s">
        <v>817</v>
      </c>
      <c r="D713" s="82" t="str">
        <f aca="false">IF(OR(C713="",P713=""),"",INDEX('CARNET DE SOUDURE'!$D$7:$D$3006,P713)&amp;"")</f>
        <v/>
      </c>
      <c r="E713" s="114" t="str">
        <f aca="false">IF(OR(C713="",P713=""),"",IF(INDEX('CARNET DE SOUDURE'!$U$7:$U$3006,P713)="","",INDEX('CARNET DE SOUDURE'!$U$7:$U$3006,P713)))</f>
        <v/>
      </c>
      <c r="F713" s="82" t="str">
        <f aca="false">IF(OR(C713="",P713=""),"",INDEX('CARNET DE SOUDURE'!$AP$7:$AP$3006,P713))</f>
        <v/>
      </c>
      <c r="G713" s="82" t="str">
        <f aca="false">IF(C713="","",IF(P713="","NJ INCONNU",INDEX('CARNET DE SOUDURE'!$AQ$7:$AQ$3006,P713)))</f>
        <v>À SOUDER</v>
      </c>
      <c r="H713" s="82" t="str">
        <f aca="false">IF(C713="","",IF(G713="ACCEPTÉ","OUI","NON"))</f>
        <v>NON</v>
      </c>
      <c r="I713" s="83"/>
      <c r="J713" s="80"/>
      <c r="K713" s="81"/>
      <c r="L713" s="81"/>
      <c r="M713" s="81"/>
      <c r="N713" s="84" t="str">
        <f aca="false">IF(C713="","",IF(P713="","NJ INCONNU",IF(I713="",IF(H713="OUI","À ENROBER",IF(G713="À SOUDER","NON SOUDÉ","EN ATTENTE RT")),IF(L713="R","À REPRENDRE",IF(H713&lt;&gt;"OUI","⚠ ENROBÉ AVANT ACCEPTATION RT","ENROBÉ")))))</f>
        <v>NON SOUDÉ</v>
      </c>
      <c r="O713" s="80"/>
      <c r="P713" s="82" t="n">
        <f aca="false">IF(C713="","",IFERROR(MATCH(Q713,'CARNET DE SOUDURE'!$AW$7:$AW$3006,0),""))</f>
        <v>707</v>
      </c>
      <c r="Q713" s="82" t="str">
        <f aca="false">IF(C713="","",B713&amp;"|"&amp;C713)</f>
        <v>MFD-ISW → MFD-CPF|JN°707</v>
      </c>
    </row>
    <row r="714" customFormat="false" ht="74.6" hidden="false" customHeight="false" outlineLevel="0" collapsed="false">
      <c r="A714" s="82" t="n">
        <f aca="false">IF(C714="","",ROW()-6)</f>
        <v>708</v>
      </c>
      <c r="B714" s="80" t="s">
        <v>110</v>
      </c>
      <c r="C714" s="113" t="s">
        <v>818</v>
      </c>
      <c r="D714" s="82" t="str">
        <f aca="false">IF(OR(C714="",P714=""),"",INDEX('CARNET DE SOUDURE'!$D$7:$D$3006,P714)&amp;"")</f>
        <v/>
      </c>
      <c r="E714" s="114" t="str">
        <f aca="false">IF(OR(C714="",P714=""),"",IF(INDEX('CARNET DE SOUDURE'!$U$7:$U$3006,P714)="","",INDEX('CARNET DE SOUDURE'!$U$7:$U$3006,P714)))</f>
        <v/>
      </c>
      <c r="F714" s="82" t="str">
        <f aca="false">IF(OR(C714="",P714=""),"",INDEX('CARNET DE SOUDURE'!$AP$7:$AP$3006,P714))</f>
        <v/>
      </c>
      <c r="G714" s="82" t="str">
        <f aca="false">IF(C714="","",IF(P714="","NJ INCONNU",INDEX('CARNET DE SOUDURE'!$AQ$7:$AQ$3006,P714)))</f>
        <v>À SOUDER</v>
      </c>
      <c r="H714" s="82" t="str">
        <f aca="false">IF(C714="","",IF(G714="ACCEPTÉ","OUI","NON"))</f>
        <v>NON</v>
      </c>
      <c r="I714" s="83"/>
      <c r="J714" s="80"/>
      <c r="K714" s="81"/>
      <c r="L714" s="81"/>
      <c r="M714" s="81"/>
      <c r="N714" s="84" t="str">
        <f aca="false">IF(C714="","",IF(P714="","NJ INCONNU",IF(I714="",IF(H714="OUI","À ENROBER",IF(G714="À SOUDER","NON SOUDÉ","EN ATTENTE RT")),IF(L714="R","À REPRENDRE",IF(H714&lt;&gt;"OUI","⚠ ENROBÉ AVANT ACCEPTATION RT","ENROBÉ")))))</f>
        <v>NON SOUDÉ</v>
      </c>
      <c r="O714" s="80"/>
      <c r="P714" s="82" t="n">
        <f aca="false">IF(C714="","",IFERROR(MATCH(Q714,'CARNET DE SOUDURE'!$AW$7:$AW$3006,0),""))</f>
        <v>708</v>
      </c>
      <c r="Q714" s="82" t="str">
        <f aca="false">IF(C714="","",B714&amp;"|"&amp;C714)</f>
        <v>MFD-ISW → MFD-CPF|JN°708</v>
      </c>
    </row>
    <row r="715" customFormat="false" ht="74.6" hidden="false" customHeight="false" outlineLevel="0" collapsed="false">
      <c r="A715" s="82" t="n">
        <f aca="false">IF(C715="","",ROW()-6)</f>
        <v>709</v>
      </c>
      <c r="B715" s="80" t="s">
        <v>110</v>
      </c>
      <c r="C715" s="113" t="s">
        <v>819</v>
      </c>
      <c r="D715" s="82" t="str">
        <f aca="false">IF(OR(C715="",P715=""),"",INDEX('CARNET DE SOUDURE'!$D$7:$D$3006,P715)&amp;"")</f>
        <v/>
      </c>
      <c r="E715" s="114" t="str">
        <f aca="false">IF(OR(C715="",P715=""),"",IF(INDEX('CARNET DE SOUDURE'!$U$7:$U$3006,P715)="","",INDEX('CARNET DE SOUDURE'!$U$7:$U$3006,P715)))</f>
        <v/>
      </c>
      <c r="F715" s="82" t="str">
        <f aca="false">IF(OR(C715="",P715=""),"",INDEX('CARNET DE SOUDURE'!$AP$7:$AP$3006,P715))</f>
        <v/>
      </c>
      <c r="G715" s="82" t="str">
        <f aca="false">IF(C715="","",IF(P715="","NJ INCONNU",INDEX('CARNET DE SOUDURE'!$AQ$7:$AQ$3006,P715)))</f>
        <v>À SOUDER</v>
      </c>
      <c r="H715" s="82" t="str">
        <f aca="false">IF(C715="","",IF(G715="ACCEPTÉ","OUI","NON"))</f>
        <v>NON</v>
      </c>
      <c r="I715" s="83"/>
      <c r="J715" s="80"/>
      <c r="K715" s="81"/>
      <c r="L715" s="81"/>
      <c r="M715" s="81"/>
      <c r="N715" s="84" t="str">
        <f aca="false">IF(C715="","",IF(P715="","NJ INCONNU",IF(I715="",IF(H715="OUI","À ENROBER",IF(G715="À SOUDER","NON SOUDÉ","EN ATTENTE RT")),IF(L715="R","À REPRENDRE",IF(H715&lt;&gt;"OUI","⚠ ENROBÉ AVANT ACCEPTATION RT","ENROBÉ")))))</f>
        <v>NON SOUDÉ</v>
      </c>
      <c r="O715" s="80"/>
      <c r="P715" s="82" t="n">
        <f aca="false">IF(C715="","",IFERROR(MATCH(Q715,'CARNET DE SOUDURE'!$AW$7:$AW$3006,0),""))</f>
        <v>709</v>
      </c>
      <c r="Q715" s="82" t="str">
        <f aca="false">IF(C715="","",B715&amp;"|"&amp;C715)</f>
        <v>MFD-ISW → MFD-CPF|JN°709</v>
      </c>
    </row>
    <row r="716" customFormat="false" ht="74.6" hidden="false" customHeight="false" outlineLevel="0" collapsed="false">
      <c r="A716" s="82" t="n">
        <f aca="false">IF(C716="","",ROW()-6)</f>
        <v>710</v>
      </c>
      <c r="B716" s="80" t="s">
        <v>110</v>
      </c>
      <c r="C716" s="113" t="s">
        <v>820</v>
      </c>
      <c r="D716" s="82" t="str">
        <f aca="false">IF(OR(C716="",P716=""),"",INDEX('CARNET DE SOUDURE'!$D$7:$D$3006,P716)&amp;"")</f>
        <v/>
      </c>
      <c r="E716" s="114" t="str">
        <f aca="false">IF(OR(C716="",P716=""),"",IF(INDEX('CARNET DE SOUDURE'!$U$7:$U$3006,P716)="","",INDEX('CARNET DE SOUDURE'!$U$7:$U$3006,P716)))</f>
        <v/>
      </c>
      <c r="F716" s="82" t="str">
        <f aca="false">IF(OR(C716="",P716=""),"",INDEX('CARNET DE SOUDURE'!$AP$7:$AP$3006,P716))</f>
        <v/>
      </c>
      <c r="G716" s="82" t="str">
        <f aca="false">IF(C716="","",IF(P716="","NJ INCONNU",INDEX('CARNET DE SOUDURE'!$AQ$7:$AQ$3006,P716)))</f>
        <v>À SOUDER</v>
      </c>
      <c r="H716" s="82" t="str">
        <f aca="false">IF(C716="","",IF(G716="ACCEPTÉ","OUI","NON"))</f>
        <v>NON</v>
      </c>
      <c r="I716" s="83"/>
      <c r="J716" s="80"/>
      <c r="K716" s="81"/>
      <c r="L716" s="81"/>
      <c r="M716" s="81"/>
      <c r="N716" s="84" t="str">
        <f aca="false">IF(C716="","",IF(P716="","NJ INCONNU",IF(I716="",IF(H716="OUI","À ENROBER",IF(G716="À SOUDER","NON SOUDÉ","EN ATTENTE RT")),IF(L716="R","À REPRENDRE",IF(H716&lt;&gt;"OUI","⚠ ENROBÉ AVANT ACCEPTATION RT","ENROBÉ")))))</f>
        <v>NON SOUDÉ</v>
      </c>
      <c r="O716" s="80"/>
      <c r="P716" s="82" t="n">
        <f aca="false">IF(C716="","",IFERROR(MATCH(Q716,'CARNET DE SOUDURE'!$AW$7:$AW$3006,0),""))</f>
        <v>710</v>
      </c>
      <c r="Q716" s="82" t="str">
        <f aca="false">IF(C716="","",B716&amp;"|"&amp;C716)</f>
        <v>MFD-ISW → MFD-CPF|JN°710</v>
      </c>
    </row>
    <row r="717" customFormat="false" ht="74.6" hidden="false" customHeight="false" outlineLevel="0" collapsed="false">
      <c r="A717" s="82" t="n">
        <f aca="false">IF(C717="","",ROW()-6)</f>
        <v>711</v>
      </c>
      <c r="B717" s="80" t="s">
        <v>110</v>
      </c>
      <c r="C717" s="113" t="s">
        <v>821</v>
      </c>
      <c r="D717" s="82" t="str">
        <f aca="false">IF(OR(C717="",P717=""),"",INDEX('CARNET DE SOUDURE'!$D$7:$D$3006,P717)&amp;"")</f>
        <v/>
      </c>
      <c r="E717" s="114" t="str">
        <f aca="false">IF(OR(C717="",P717=""),"",IF(INDEX('CARNET DE SOUDURE'!$U$7:$U$3006,P717)="","",INDEX('CARNET DE SOUDURE'!$U$7:$U$3006,P717)))</f>
        <v/>
      </c>
      <c r="F717" s="82" t="str">
        <f aca="false">IF(OR(C717="",P717=""),"",INDEX('CARNET DE SOUDURE'!$AP$7:$AP$3006,P717))</f>
        <v/>
      </c>
      <c r="G717" s="82" t="str">
        <f aca="false">IF(C717="","",IF(P717="","NJ INCONNU",INDEX('CARNET DE SOUDURE'!$AQ$7:$AQ$3006,P717)))</f>
        <v>À SOUDER</v>
      </c>
      <c r="H717" s="82" t="str">
        <f aca="false">IF(C717="","",IF(G717="ACCEPTÉ","OUI","NON"))</f>
        <v>NON</v>
      </c>
      <c r="I717" s="83"/>
      <c r="J717" s="80"/>
      <c r="K717" s="81"/>
      <c r="L717" s="81"/>
      <c r="M717" s="81"/>
      <c r="N717" s="84" t="str">
        <f aca="false">IF(C717="","",IF(P717="","NJ INCONNU",IF(I717="",IF(H717="OUI","À ENROBER",IF(G717="À SOUDER","NON SOUDÉ","EN ATTENTE RT")),IF(L717="R","À REPRENDRE",IF(H717&lt;&gt;"OUI","⚠ ENROBÉ AVANT ACCEPTATION RT","ENROBÉ")))))</f>
        <v>NON SOUDÉ</v>
      </c>
      <c r="O717" s="80"/>
      <c r="P717" s="82" t="n">
        <f aca="false">IF(C717="","",IFERROR(MATCH(Q717,'CARNET DE SOUDURE'!$AW$7:$AW$3006,0),""))</f>
        <v>711</v>
      </c>
      <c r="Q717" s="82" t="str">
        <f aca="false">IF(C717="","",B717&amp;"|"&amp;C717)</f>
        <v>MFD-ISW → MFD-CPF|JN°711</v>
      </c>
    </row>
    <row r="718" customFormat="false" ht="74.6" hidden="false" customHeight="false" outlineLevel="0" collapsed="false">
      <c r="A718" s="82" t="n">
        <f aca="false">IF(C718="","",ROW()-6)</f>
        <v>712</v>
      </c>
      <c r="B718" s="80" t="s">
        <v>110</v>
      </c>
      <c r="C718" s="113" t="s">
        <v>822</v>
      </c>
      <c r="D718" s="82" t="str">
        <f aca="false">IF(OR(C718="",P718=""),"",INDEX('CARNET DE SOUDURE'!$D$7:$D$3006,P718)&amp;"")</f>
        <v/>
      </c>
      <c r="E718" s="114" t="str">
        <f aca="false">IF(OR(C718="",P718=""),"",IF(INDEX('CARNET DE SOUDURE'!$U$7:$U$3006,P718)="","",INDEX('CARNET DE SOUDURE'!$U$7:$U$3006,P718)))</f>
        <v/>
      </c>
      <c r="F718" s="82" t="str">
        <f aca="false">IF(OR(C718="",P718=""),"",INDEX('CARNET DE SOUDURE'!$AP$7:$AP$3006,P718))</f>
        <v/>
      </c>
      <c r="G718" s="82" t="str">
        <f aca="false">IF(C718="","",IF(P718="","NJ INCONNU",INDEX('CARNET DE SOUDURE'!$AQ$7:$AQ$3006,P718)))</f>
        <v>À SOUDER</v>
      </c>
      <c r="H718" s="82" t="str">
        <f aca="false">IF(C718="","",IF(G718="ACCEPTÉ","OUI","NON"))</f>
        <v>NON</v>
      </c>
      <c r="I718" s="83"/>
      <c r="J718" s="80"/>
      <c r="K718" s="81"/>
      <c r="L718" s="81"/>
      <c r="M718" s="81"/>
      <c r="N718" s="84" t="str">
        <f aca="false">IF(C718="","",IF(P718="","NJ INCONNU",IF(I718="",IF(H718="OUI","À ENROBER",IF(G718="À SOUDER","NON SOUDÉ","EN ATTENTE RT")),IF(L718="R","À REPRENDRE",IF(H718&lt;&gt;"OUI","⚠ ENROBÉ AVANT ACCEPTATION RT","ENROBÉ")))))</f>
        <v>NON SOUDÉ</v>
      </c>
      <c r="O718" s="80"/>
      <c r="P718" s="82" t="n">
        <f aca="false">IF(C718="","",IFERROR(MATCH(Q718,'CARNET DE SOUDURE'!$AW$7:$AW$3006,0),""))</f>
        <v>712</v>
      </c>
      <c r="Q718" s="82" t="str">
        <f aca="false">IF(C718="","",B718&amp;"|"&amp;C718)</f>
        <v>MFD-ISW → MFD-CPF|JN°712</v>
      </c>
    </row>
    <row r="719" customFormat="false" ht="74.6" hidden="false" customHeight="false" outlineLevel="0" collapsed="false">
      <c r="A719" s="82" t="n">
        <f aca="false">IF(C719="","",ROW()-6)</f>
        <v>713</v>
      </c>
      <c r="B719" s="80" t="s">
        <v>110</v>
      </c>
      <c r="C719" s="113" t="s">
        <v>823</v>
      </c>
      <c r="D719" s="82" t="str">
        <f aca="false">IF(OR(C719="",P719=""),"",INDEX('CARNET DE SOUDURE'!$D$7:$D$3006,P719)&amp;"")</f>
        <v/>
      </c>
      <c r="E719" s="114" t="str">
        <f aca="false">IF(OR(C719="",P719=""),"",IF(INDEX('CARNET DE SOUDURE'!$U$7:$U$3006,P719)="","",INDEX('CARNET DE SOUDURE'!$U$7:$U$3006,P719)))</f>
        <v/>
      </c>
      <c r="F719" s="82" t="str">
        <f aca="false">IF(OR(C719="",P719=""),"",INDEX('CARNET DE SOUDURE'!$AP$7:$AP$3006,P719))</f>
        <v/>
      </c>
      <c r="G719" s="82" t="str">
        <f aca="false">IF(C719="","",IF(P719="","NJ INCONNU",INDEX('CARNET DE SOUDURE'!$AQ$7:$AQ$3006,P719)))</f>
        <v>À SOUDER</v>
      </c>
      <c r="H719" s="82" t="str">
        <f aca="false">IF(C719="","",IF(G719="ACCEPTÉ","OUI","NON"))</f>
        <v>NON</v>
      </c>
      <c r="I719" s="83"/>
      <c r="J719" s="80"/>
      <c r="K719" s="81"/>
      <c r="L719" s="81"/>
      <c r="M719" s="81"/>
      <c r="N719" s="84" t="str">
        <f aca="false">IF(C719="","",IF(P719="","NJ INCONNU",IF(I719="",IF(H719="OUI","À ENROBER",IF(G719="À SOUDER","NON SOUDÉ","EN ATTENTE RT")),IF(L719="R","À REPRENDRE",IF(H719&lt;&gt;"OUI","⚠ ENROBÉ AVANT ACCEPTATION RT","ENROBÉ")))))</f>
        <v>NON SOUDÉ</v>
      </c>
      <c r="O719" s="80"/>
      <c r="P719" s="82" t="n">
        <f aca="false">IF(C719="","",IFERROR(MATCH(Q719,'CARNET DE SOUDURE'!$AW$7:$AW$3006,0),""))</f>
        <v>713</v>
      </c>
      <c r="Q719" s="82" t="str">
        <f aca="false">IF(C719="","",B719&amp;"|"&amp;C719)</f>
        <v>MFD-ISW → MFD-CPF|JN°713</v>
      </c>
    </row>
    <row r="720" customFormat="false" ht="74.6" hidden="false" customHeight="false" outlineLevel="0" collapsed="false">
      <c r="A720" s="82" t="n">
        <f aca="false">IF(C720="","",ROW()-6)</f>
        <v>714</v>
      </c>
      <c r="B720" s="80" t="s">
        <v>110</v>
      </c>
      <c r="C720" s="113" t="s">
        <v>824</v>
      </c>
      <c r="D720" s="82" t="str">
        <f aca="false">IF(OR(C720="",P720=""),"",INDEX('CARNET DE SOUDURE'!$D$7:$D$3006,P720)&amp;"")</f>
        <v/>
      </c>
      <c r="E720" s="114" t="str">
        <f aca="false">IF(OR(C720="",P720=""),"",IF(INDEX('CARNET DE SOUDURE'!$U$7:$U$3006,P720)="","",INDEX('CARNET DE SOUDURE'!$U$7:$U$3006,P720)))</f>
        <v/>
      </c>
      <c r="F720" s="82" t="str">
        <f aca="false">IF(OR(C720="",P720=""),"",INDEX('CARNET DE SOUDURE'!$AP$7:$AP$3006,P720))</f>
        <v/>
      </c>
      <c r="G720" s="82" t="str">
        <f aca="false">IF(C720="","",IF(P720="","NJ INCONNU",INDEX('CARNET DE SOUDURE'!$AQ$7:$AQ$3006,P720)))</f>
        <v>À SOUDER</v>
      </c>
      <c r="H720" s="82" t="str">
        <f aca="false">IF(C720="","",IF(G720="ACCEPTÉ","OUI","NON"))</f>
        <v>NON</v>
      </c>
      <c r="I720" s="83"/>
      <c r="J720" s="80"/>
      <c r="K720" s="81"/>
      <c r="L720" s="81"/>
      <c r="M720" s="81"/>
      <c r="N720" s="84" t="str">
        <f aca="false">IF(C720="","",IF(P720="","NJ INCONNU",IF(I720="",IF(H720="OUI","À ENROBER",IF(G720="À SOUDER","NON SOUDÉ","EN ATTENTE RT")),IF(L720="R","À REPRENDRE",IF(H720&lt;&gt;"OUI","⚠ ENROBÉ AVANT ACCEPTATION RT","ENROBÉ")))))</f>
        <v>NON SOUDÉ</v>
      </c>
      <c r="O720" s="80"/>
      <c r="P720" s="82" t="n">
        <f aca="false">IF(C720="","",IFERROR(MATCH(Q720,'CARNET DE SOUDURE'!$AW$7:$AW$3006,0),""))</f>
        <v>714</v>
      </c>
      <c r="Q720" s="82" t="str">
        <f aca="false">IF(C720="","",B720&amp;"|"&amp;C720)</f>
        <v>MFD-ISW → MFD-CPF|JN°714</v>
      </c>
    </row>
    <row r="721" customFormat="false" ht="74.6" hidden="false" customHeight="false" outlineLevel="0" collapsed="false">
      <c r="A721" s="82" t="n">
        <f aca="false">IF(C721="","",ROW()-6)</f>
        <v>715</v>
      </c>
      <c r="B721" s="80" t="s">
        <v>110</v>
      </c>
      <c r="C721" s="113" t="s">
        <v>825</v>
      </c>
      <c r="D721" s="82" t="str">
        <f aca="false">IF(OR(C721="",P721=""),"",INDEX('CARNET DE SOUDURE'!$D$7:$D$3006,P721)&amp;"")</f>
        <v/>
      </c>
      <c r="E721" s="114" t="str">
        <f aca="false">IF(OR(C721="",P721=""),"",IF(INDEX('CARNET DE SOUDURE'!$U$7:$U$3006,P721)="","",INDEX('CARNET DE SOUDURE'!$U$7:$U$3006,P721)))</f>
        <v/>
      </c>
      <c r="F721" s="82" t="str">
        <f aca="false">IF(OR(C721="",P721=""),"",INDEX('CARNET DE SOUDURE'!$AP$7:$AP$3006,P721))</f>
        <v/>
      </c>
      <c r="G721" s="82" t="str">
        <f aca="false">IF(C721="","",IF(P721="","NJ INCONNU",INDEX('CARNET DE SOUDURE'!$AQ$7:$AQ$3006,P721)))</f>
        <v>À SOUDER</v>
      </c>
      <c r="H721" s="82" t="str">
        <f aca="false">IF(C721="","",IF(G721="ACCEPTÉ","OUI","NON"))</f>
        <v>NON</v>
      </c>
      <c r="I721" s="83"/>
      <c r="J721" s="80"/>
      <c r="K721" s="81"/>
      <c r="L721" s="81"/>
      <c r="M721" s="81"/>
      <c r="N721" s="84" t="str">
        <f aca="false">IF(C721="","",IF(P721="","NJ INCONNU",IF(I721="",IF(H721="OUI","À ENROBER",IF(G721="À SOUDER","NON SOUDÉ","EN ATTENTE RT")),IF(L721="R","À REPRENDRE",IF(H721&lt;&gt;"OUI","⚠ ENROBÉ AVANT ACCEPTATION RT","ENROBÉ")))))</f>
        <v>NON SOUDÉ</v>
      </c>
      <c r="O721" s="80"/>
      <c r="P721" s="82" t="n">
        <f aca="false">IF(C721="","",IFERROR(MATCH(Q721,'CARNET DE SOUDURE'!$AW$7:$AW$3006,0),""))</f>
        <v>715</v>
      </c>
      <c r="Q721" s="82" t="str">
        <f aca="false">IF(C721="","",B721&amp;"|"&amp;C721)</f>
        <v>MFD-ISW → MFD-CPF|JN°715</v>
      </c>
    </row>
    <row r="722" customFormat="false" ht="74.6" hidden="false" customHeight="false" outlineLevel="0" collapsed="false">
      <c r="A722" s="82" t="n">
        <f aca="false">IF(C722="","",ROW()-6)</f>
        <v>716</v>
      </c>
      <c r="B722" s="80" t="s">
        <v>110</v>
      </c>
      <c r="C722" s="113" t="s">
        <v>826</v>
      </c>
      <c r="D722" s="82" t="str">
        <f aca="false">IF(OR(C722="",P722=""),"",INDEX('CARNET DE SOUDURE'!$D$7:$D$3006,P722)&amp;"")</f>
        <v/>
      </c>
      <c r="E722" s="114" t="str">
        <f aca="false">IF(OR(C722="",P722=""),"",IF(INDEX('CARNET DE SOUDURE'!$U$7:$U$3006,P722)="","",INDEX('CARNET DE SOUDURE'!$U$7:$U$3006,P722)))</f>
        <v/>
      </c>
      <c r="F722" s="82" t="str">
        <f aca="false">IF(OR(C722="",P722=""),"",INDEX('CARNET DE SOUDURE'!$AP$7:$AP$3006,P722))</f>
        <v/>
      </c>
      <c r="G722" s="82" t="str">
        <f aca="false">IF(C722="","",IF(P722="","NJ INCONNU",INDEX('CARNET DE SOUDURE'!$AQ$7:$AQ$3006,P722)))</f>
        <v>À SOUDER</v>
      </c>
      <c r="H722" s="82" t="str">
        <f aca="false">IF(C722="","",IF(G722="ACCEPTÉ","OUI","NON"))</f>
        <v>NON</v>
      </c>
      <c r="I722" s="83"/>
      <c r="J722" s="80"/>
      <c r="K722" s="81"/>
      <c r="L722" s="81"/>
      <c r="M722" s="81"/>
      <c r="N722" s="84" t="str">
        <f aca="false">IF(C722="","",IF(P722="","NJ INCONNU",IF(I722="",IF(H722="OUI","À ENROBER",IF(G722="À SOUDER","NON SOUDÉ","EN ATTENTE RT")),IF(L722="R","À REPRENDRE",IF(H722&lt;&gt;"OUI","⚠ ENROBÉ AVANT ACCEPTATION RT","ENROBÉ")))))</f>
        <v>NON SOUDÉ</v>
      </c>
      <c r="O722" s="80"/>
      <c r="P722" s="82" t="n">
        <f aca="false">IF(C722="","",IFERROR(MATCH(Q722,'CARNET DE SOUDURE'!$AW$7:$AW$3006,0),""))</f>
        <v>716</v>
      </c>
      <c r="Q722" s="82" t="str">
        <f aca="false">IF(C722="","",B722&amp;"|"&amp;C722)</f>
        <v>MFD-ISW → MFD-CPF|JN°716</v>
      </c>
    </row>
    <row r="723" customFormat="false" ht="74.6" hidden="false" customHeight="false" outlineLevel="0" collapsed="false">
      <c r="A723" s="82" t="n">
        <f aca="false">IF(C723="","",ROW()-6)</f>
        <v>717</v>
      </c>
      <c r="B723" s="80" t="s">
        <v>110</v>
      </c>
      <c r="C723" s="113" t="s">
        <v>827</v>
      </c>
      <c r="D723" s="82" t="str">
        <f aca="false">IF(OR(C723="",P723=""),"",INDEX('CARNET DE SOUDURE'!$D$7:$D$3006,P723)&amp;"")</f>
        <v/>
      </c>
      <c r="E723" s="114" t="str">
        <f aca="false">IF(OR(C723="",P723=""),"",IF(INDEX('CARNET DE SOUDURE'!$U$7:$U$3006,P723)="","",INDEX('CARNET DE SOUDURE'!$U$7:$U$3006,P723)))</f>
        <v/>
      </c>
      <c r="F723" s="82" t="str">
        <f aca="false">IF(OR(C723="",P723=""),"",INDEX('CARNET DE SOUDURE'!$AP$7:$AP$3006,P723))</f>
        <v/>
      </c>
      <c r="G723" s="82" t="str">
        <f aca="false">IF(C723="","",IF(P723="","NJ INCONNU",INDEX('CARNET DE SOUDURE'!$AQ$7:$AQ$3006,P723)))</f>
        <v>À SOUDER</v>
      </c>
      <c r="H723" s="82" t="str">
        <f aca="false">IF(C723="","",IF(G723="ACCEPTÉ","OUI","NON"))</f>
        <v>NON</v>
      </c>
      <c r="I723" s="83"/>
      <c r="J723" s="80"/>
      <c r="K723" s="81"/>
      <c r="L723" s="81"/>
      <c r="M723" s="81"/>
      <c r="N723" s="84" t="str">
        <f aca="false">IF(C723="","",IF(P723="","NJ INCONNU",IF(I723="",IF(H723="OUI","À ENROBER",IF(G723="À SOUDER","NON SOUDÉ","EN ATTENTE RT")),IF(L723="R","À REPRENDRE",IF(H723&lt;&gt;"OUI","⚠ ENROBÉ AVANT ACCEPTATION RT","ENROBÉ")))))</f>
        <v>NON SOUDÉ</v>
      </c>
      <c r="O723" s="80"/>
      <c r="P723" s="82" t="n">
        <f aca="false">IF(C723="","",IFERROR(MATCH(Q723,'CARNET DE SOUDURE'!$AW$7:$AW$3006,0),""))</f>
        <v>717</v>
      </c>
      <c r="Q723" s="82" t="str">
        <f aca="false">IF(C723="","",B723&amp;"|"&amp;C723)</f>
        <v>MFD-ISW → MFD-CPF|JN°717</v>
      </c>
    </row>
    <row r="724" customFormat="false" ht="74.6" hidden="false" customHeight="false" outlineLevel="0" collapsed="false">
      <c r="A724" s="82" t="n">
        <f aca="false">IF(C724="","",ROW()-6)</f>
        <v>718</v>
      </c>
      <c r="B724" s="80" t="s">
        <v>110</v>
      </c>
      <c r="C724" s="113" t="s">
        <v>828</v>
      </c>
      <c r="D724" s="82" t="str">
        <f aca="false">IF(OR(C724="",P724=""),"",INDEX('CARNET DE SOUDURE'!$D$7:$D$3006,P724)&amp;"")</f>
        <v/>
      </c>
      <c r="E724" s="114" t="str">
        <f aca="false">IF(OR(C724="",P724=""),"",IF(INDEX('CARNET DE SOUDURE'!$U$7:$U$3006,P724)="","",INDEX('CARNET DE SOUDURE'!$U$7:$U$3006,P724)))</f>
        <v/>
      </c>
      <c r="F724" s="82" t="str">
        <f aca="false">IF(OR(C724="",P724=""),"",INDEX('CARNET DE SOUDURE'!$AP$7:$AP$3006,P724))</f>
        <v/>
      </c>
      <c r="G724" s="82" t="str">
        <f aca="false">IF(C724="","",IF(P724="","NJ INCONNU",INDEX('CARNET DE SOUDURE'!$AQ$7:$AQ$3006,P724)))</f>
        <v>À SOUDER</v>
      </c>
      <c r="H724" s="82" t="str">
        <f aca="false">IF(C724="","",IF(G724="ACCEPTÉ","OUI","NON"))</f>
        <v>NON</v>
      </c>
      <c r="I724" s="83"/>
      <c r="J724" s="80"/>
      <c r="K724" s="81"/>
      <c r="L724" s="81"/>
      <c r="M724" s="81"/>
      <c r="N724" s="84" t="str">
        <f aca="false">IF(C724="","",IF(P724="","NJ INCONNU",IF(I724="",IF(H724="OUI","À ENROBER",IF(G724="À SOUDER","NON SOUDÉ","EN ATTENTE RT")),IF(L724="R","À REPRENDRE",IF(H724&lt;&gt;"OUI","⚠ ENROBÉ AVANT ACCEPTATION RT","ENROBÉ")))))</f>
        <v>NON SOUDÉ</v>
      </c>
      <c r="O724" s="80"/>
      <c r="P724" s="82" t="n">
        <f aca="false">IF(C724="","",IFERROR(MATCH(Q724,'CARNET DE SOUDURE'!$AW$7:$AW$3006,0),""))</f>
        <v>718</v>
      </c>
      <c r="Q724" s="82" t="str">
        <f aca="false">IF(C724="","",B724&amp;"|"&amp;C724)</f>
        <v>MFD-ISW → MFD-CPF|JN°718</v>
      </c>
    </row>
    <row r="725" customFormat="false" ht="74.6" hidden="false" customHeight="false" outlineLevel="0" collapsed="false">
      <c r="A725" s="82" t="n">
        <f aca="false">IF(C725="","",ROW()-6)</f>
        <v>719</v>
      </c>
      <c r="B725" s="80" t="s">
        <v>110</v>
      </c>
      <c r="C725" s="113" t="s">
        <v>829</v>
      </c>
      <c r="D725" s="82" t="str">
        <f aca="false">IF(OR(C725="",P725=""),"",INDEX('CARNET DE SOUDURE'!$D$7:$D$3006,P725)&amp;"")</f>
        <v/>
      </c>
      <c r="E725" s="114" t="str">
        <f aca="false">IF(OR(C725="",P725=""),"",IF(INDEX('CARNET DE SOUDURE'!$U$7:$U$3006,P725)="","",INDEX('CARNET DE SOUDURE'!$U$7:$U$3006,P725)))</f>
        <v/>
      </c>
      <c r="F725" s="82" t="str">
        <f aca="false">IF(OR(C725="",P725=""),"",INDEX('CARNET DE SOUDURE'!$AP$7:$AP$3006,P725))</f>
        <v/>
      </c>
      <c r="G725" s="82" t="str">
        <f aca="false">IF(C725="","",IF(P725="","NJ INCONNU",INDEX('CARNET DE SOUDURE'!$AQ$7:$AQ$3006,P725)))</f>
        <v>À SOUDER</v>
      </c>
      <c r="H725" s="82" t="str">
        <f aca="false">IF(C725="","",IF(G725="ACCEPTÉ","OUI","NON"))</f>
        <v>NON</v>
      </c>
      <c r="I725" s="83"/>
      <c r="J725" s="80"/>
      <c r="K725" s="81"/>
      <c r="L725" s="81"/>
      <c r="M725" s="81"/>
      <c r="N725" s="84" t="str">
        <f aca="false">IF(C725="","",IF(P725="","NJ INCONNU",IF(I725="",IF(H725="OUI","À ENROBER",IF(G725="À SOUDER","NON SOUDÉ","EN ATTENTE RT")),IF(L725="R","À REPRENDRE",IF(H725&lt;&gt;"OUI","⚠ ENROBÉ AVANT ACCEPTATION RT","ENROBÉ")))))</f>
        <v>NON SOUDÉ</v>
      </c>
      <c r="O725" s="80"/>
      <c r="P725" s="82" t="n">
        <f aca="false">IF(C725="","",IFERROR(MATCH(Q725,'CARNET DE SOUDURE'!$AW$7:$AW$3006,0),""))</f>
        <v>719</v>
      </c>
      <c r="Q725" s="82" t="str">
        <f aca="false">IF(C725="","",B725&amp;"|"&amp;C725)</f>
        <v>MFD-ISW → MFD-CPF|JN°719</v>
      </c>
    </row>
    <row r="726" customFormat="false" ht="74.6" hidden="false" customHeight="false" outlineLevel="0" collapsed="false">
      <c r="A726" s="82" t="n">
        <f aca="false">IF(C726="","",ROW()-6)</f>
        <v>720</v>
      </c>
      <c r="B726" s="80" t="s">
        <v>110</v>
      </c>
      <c r="C726" s="113" t="s">
        <v>830</v>
      </c>
      <c r="D726" s="82" t="str">
        <f aca="false">IF(OR(C726="",P726=""),"",INDEX('CARNET DE SOUDURE'!$D$7:$D$3006,P726)&amp;"")</f>
        <v/>
      </c>
      <c r="E726" s="114" t="str">
        <f aca="false">IF(OR(C726="",P726=""),"",IF(INDEX('CARNET DE SOUDURE'!$U$7:$U$3006,P726)="","",INDEX('CARNET DE SOUDURE'!$U$7:$U$3006,P726)))</f>
        <v/>
      </c>
      <c r="F726" s="82" t="str">
        <f aca="false">IF(OR(C726="",P726=""),"",INDEX('CARNET DE SOUDURE'!$AP$7:$AP$3006,P726))</f>
        <v/>
      </c>
      <c r="G726" s="82" t="str">
        <f aca="false">IF(C726="","",IF(P726="","NJ INCONNU",INDEX('CARNET DE SOUDURE'!$AQ$7:$AQ$3006,P726)))</f>
        <v>À SOUDER</v>
      </c>
      <c r="H726" s="82" t="str">
        <f aca="false">IF(C726="","",IF(G726="ACCEPTÉ","OUI","NON"))</f>
        <v>NON</v>
      </c>
      <c r="I726" s="83"/>
      <c r="J726" s="80"/>
      <c r="K726" s="81"/>
      <c r="L726" s="81"/>
      <c r="M726" s="81"/>
      <c r="N726" s="84" t="str">
        <f aca="false">IF(C726="","",IF(P726="","NJ INCONNU",IF(I726="",IF(H726="OUI","À ENROBER",IF(G726="À SOUDER","NON SOUDÉ","EN ATTENTE RT")),IF(L726="R","À REPRENDRE",IF(H726&lt;&gt;"OUI","⚠ ENROBÉ AVANT ACCEPTATION RT","ENROBÉ")))))</f>
        <v>NON SOUDÉ</v>
      </c>
      <c r="O726" s="80"/>
      <c r="P726" s="82" t="n">
        <f aca="false">IF(C726="","",IFERROR(MATCH(Q726,'CARNET DE SOUDURE'!$AW$7:$AW$3006,0),""))</f>
        <v>720</v>
      </c>
      <c r="Q726" s="82" t="str">
        <f aca="false">IF(C726="","",B726&amp;"|"&amp;C726)</f>
        <v>MFD-ISW → MFD-CPF|JN°720</v>
      </c>
    </row>
    <row r="727" customFormat="false" ht="74.6" hidden="false" customHeight="false" outlineLevel="0" collapsed="false">
      <c r="A727" s="82" t="n">
        <f aca="false">IF(C727="","",ROW()-6)</f>
        <v>721</v>
      </c>
      <c r="B727" s="80" t="s">
        <v>110</v>
      </c>
      <c r="C727" s="113" t="s">
        <v>831</v>
      </c>
      <c r="D727" s="82" t="str">
        <f aca="false">IF(OR(C727="",P727=""),"",INDEX('CARNET DE SOUDURE'!$D$7:$D$3006,P727)&amp;"")</f>
        <v/>
      </c>
      <c r="E727" s="114" t="str">
        <f aca="false">IF(OR(C727="",P727=""),"",IF(INDEX('CARNET DE SOUDURE'!$U$7:$U$3006,P727)="","",INDEX('CARNET DE SOUDURE'!$U$7:$U$3006,P727)))</f>
        <v/>
      </c>
      <c r="F727" s="82" t="str">
        <f aca="false">IF(OR(C727="",P727=""),"",INDEX('CARNET DE SOUDURE'!$AP$7:$AP$3006,P727))</f>
        <v/>
      </c>
      <c r="G727" s="82" t="str">
        <f aca="false">IF(C727="","",IF(P727="","NJ INCONNU",INDEX('CARNET DE SOUDURE'!$AQ$7:$AQ$3006,P727)))</f>
        <v>À SOUDER</v>
      </c>
      <c r="H727" s="82" t="str">
        <f aca="false">IF(C727="","",IF(G727="ACCEPTÉ","OUI","NON"))</f>
        <v>NON</v>
      </c>
      <c r="I727" s="83"/>
      <c r="J727" s="80"/>
      <c r="K727" s="81"/>
      <c r="L727" s="81"/>
      <c r="M727" s="81"/>
      <c r="N727" s="84" t="str">
        <f aca="false">IF(C727="","",IF(P727="","NJ INCONNU",IF(I727="",IF(H727="OUI","À ENROBER",IF(G727="À SOUDER","NON SOUDÉ","EN ATTENTE RT")),IF(L727="R","À REPRENDRE",IF(H727&lt;&gt;"OUI","⚠ ENROBÉ AVANT ACCEPTATION RT","ENROBÉ")))))</f>
        <v>NON SOUDÉ</v>
      </c>
      <c r="O727" s="80"/>
      <c r="P727" s="82" t="n">
        <f aca="false">IF(C727="","",IFERROR(MATCH(Q727,'CARNET DE SOUDURE'!$AW$7:$AW$3006,0),""))</f>
        <v>721</v>
      </c>
      <c r="Q727" s="82" t="str">
        <f aca="false">IF(C727="","",B727&amp;"|"&amp;C727)</f>
        <v>MFD-ISW → MFD-CPF|JN°721</v>
      </c>
    </row>
    <row r="728" customFormat="false" ht="74.6" hidden="false" customHeight="false" outlineLevel="0" collapsed="false">
      <c r="A728" s="82" t="n">
        <f aca="false">IF(C728="","",ROW()-6)</f>
        <v>722</v>
      </c>
      <c r="B728" s="80" t="s">
        <v>110</v>
      </c>
      <c r="C728" s="113" t="s">
        <v>832</v>
      </c>
      <c r="D728" s="82" t="str">
        <f aca="false">IF(OR(C728="",P728=""),"",INDEX('CARNET DE SOUDURE'!$D$7:$D$3006,P728)&amp;"")</f>
        <v/>
      </c>
      <c r="E728" s="114" t="str">
        <f aca="false">IF(OR(C728="",P728=""),"",IF(INDEX('CARNET DE SOUDURE'!$U$7:$U$3006,P728)="","",INDEX('CARNET DE SOUDURE'!$U$7:$U$3006,P728)))</f>
        <v/>
      </c>
      <c r="F728" s="82" t="str">
        <f aca="false">IF(OR(C728="",P728=""),"",INDEX('CARNET DE SOUDURE'!$AP$7:$AP$3006,P728))</f>
        <v/>
      </c>
      <c r="G728" s="82" t="str">
        <f aca="false">IF(C728="","",IF(P728="","NJ INCONNU",INDEX('CARNET DE SOUDURE'!$AQ$7:$AQ$3006,P728)))</f>
        <v>À SOUDER</v>
      </c>
      <c r="H728" s="82" t="str">
        <f aca="false">IF(C728="","",IF(G728="ACCEPTÉ","OUI","NON"))</f>
        <v>NON</v>
      </c>
      <c r="I728" s="83"/>
      <c r="J728" s="80"/>
      <c r="K728" s="81"/>
      <c r="L728" s="81"/>
      <c r="M728" s="81"/>
      <c r="N728" s="84" t="str">
        <f aca="false">IF(C728="","",IF(P728="","NJ INCONNU",IF(I728="",IF(H728="OUI","À ENROBER",IF(G728="À SOUDER","NON SOUDÉ","EN ATTENTE RT")),IF(L728="R","À REPRENDRE",IF(H728&lt;&gt;"OUI","⚠ ENROBÉ AVANT ACCEPTATION RT","ENROBÉ")))))</f>
        <v>NON SOUDÉ</v>
      </c>
      <c r="O728" s="80"/>
      <c r="P728" s="82" t="n">
        <f aca="false">IF(C728="","",IFERROR(MATCH(Q728,'CARNET DE SOUDURE'!$AW$7:$AW$3006,0),""))</f>
        <v>722</v>
      </c>
      <c r="Q728" s="82" t="str">
        <f aca="false">IF(C728="","",B728&amp;"|"&amp;C728)</f>
        <v>MFD-ISW → MFD-CPF|JN°722</v>
      </c>
    </row>
    <row r="729" customFormat="false" ht="74.6" hidden="false" customHeight="false" outlineLevel="0" collapsed="false">
      <c r="A729" s="82" t="n">
        <f aca="false">IF(C729="","",ROW()-6)</f>
        <v>723</v>
      </c>
      <c r="B729" s="80" t="s">
        <v>110</v>
      </c>
      <c r="C729" s="113" t="s">
        <v>833</v>
      </c>
      <c r="D729" s="82" t="str">
        <f aca="false">IF(OR(C729="",P729=""),"",INDEX('CARNET DE SOUDURE'!$D$7:$D$3006,P729)&amp;"")</f>
        <v/>
      </c>
      <c r="E729" s="114" t="str">
        <f aca="false">IF(OR(C729="",P729=""),"",IF(INDEX('CARNET DE SOUDURE'!$U$7:$U$3006,P729)="","",INDEX('CARNET DE SOUDURE'!$U$7:$U$3006,P729)))</f>
        <v/>
      </c>
      <c r="F729" s="82" t="str">
        <f aca="false">IF(OR(C729="",P729=""),"",INDEX('CARNET DE SOUDURE'!$AP$7:$AP$3006,P729))</f>
        <v/>
      </c>
      <c r="G729" s="82" t="str">
        <f aca="false">IF(C729="","",IF(P729="","NJ INCONNU",INDEX('CARNET DE SOUDURE'!$AQ$7:$AQ$3006,P729)))</f>
        <v>À SOUDER</v>
      </c>
      <c r="H729" s="82" t="str">
        <f aca="false">IF(C729="","",IF(G729="ACCEPTÉ","OUI","NON"))</f>
        <v>NON</v>
      </c>
      <c r="I729" s="83"/>
      <c r="J729" s="80"/>
      <c r="K729" s="81"/>
      <c r="L729" s="81"/>
      <c r="M729" s="81"/>
      <c r="N729" s="84" t="str">
        <f aca="false">IF(C729="","",IF(P729="","NJ INCONNU",IF(I729="",IF(H729="OUI","À ENROBER",IF(G729="À SOUDER","NON SOUDÉ","EN ATTENTE RT")),IF(L729="R","À REPRENDRE",IF(H729&lt;&gt;"OUI","⚠ ENROBÉ AVANT ACCEPTATION RT","ENROBÉ")))))</f>
        <v>NON SOUDÉ</v>
      </c>
      <c r="O729" s="80"/>
      <c r="P729" s="82" t="n">
        <f aca="false">IF(C729="","",IFERROR(MATCH(Q729,'CARNET DE SOUDURE'!$AW$7:$AW$3006,0),""))</f>
        <v>723</v>
      </c>
      <c r="Q729" s="82" t="str">
        <f aca="false">IF(C729="","",B729&amp;"|"&amp;C729)</f>
        <v>MFD-ISW → MFD-CPF|JN°723</v>
      </c>
    </row>
    <row r="730" customFormat="false" ht="74.6" hidden="false" customHeight="false" outlineLevel="0" collapsed="false">
      <c r="A730" s="82" t="n">
        <f aca="false">IF(C730="","",ROW()-6)</f>
        <v>724</v>
      </c>
      <c r="B730" s="80" t="s">
        <v>110</v>
      </c>
      <c r="C730" s="113" t="s">
        <v>834</v>
      </c>
      <c r="D730" s="82" t="str">
        <f aca="false">IF(OR(C730="",P730=""),"",INDEX('CARNET DE SOUDURE'!$D$7:$D$3006,P730)&amp;"")</f>
        <v/>
      </c>
      <c r="E730" s="114" t="str">
        <f aca="false">IF(OR(C730="",P730=""),"",IF(INDEX('CARNET DE SOUDURE'!$U$7:$U$3006,P730)="","",INDEX('CARNET DE SOUDURE'!$U$7:$U$3006,P730)))</f>
        <v/>
      </c>
      <c r="F730" s="82" t="str">
        <f aca="false">IF(OR(C730="",P730=""),"",INDEX('CARNET DE SOUDURE'!$AP$7:$AP$3006,P730))</f>
        <v/>
      </c>
      <c r="G730" s="82" t="str">
        <f aca="false">IF(C730="","",IF(P730="","NJ INCONNU",INDEX('CARNET DE SOUDURE'!$AQ$7:$AQ$3006,P730)))</f>
        <v>À SOUDER</v>
      </c>
      <c r="H730" s="82" t="str">
        <f aca="false">IF(C730="","",IF(G730="ACCEPTÉ","OUI","NON"))</f>
        <v>NON</v>
      </c>
      <c r="I730" s="83"/>
      <c r="J730" s="80"/>
      <c r="K730" s="81"/>
      <c r="L730" s="81"/>
      <c r="M730" s="81"/>
      <c r="N730" s="84" t="str">
        <f aca="false">IF(C730="","",IF(P730="","NJ INCONNU",IF(I730="",IF(H730="OUI","À ENROBER",IF(G730="À SOUDER","NON SOUDÉ","EN ATTENTE RT")),IF(L730="R","À REPRENDRE",IF(H730&lt;&gt;"OUI","⚠ ENROBÉ AVANT ACCEPTATION RT","ENROBÉ")))))</f>
        <v>NON SOUDÉ</v>
      </c>
      <c r="O730" s="80"/>
      <c r="P730" s="82" t="n">
        <f aca="false">IF(C730="","",IFERROR(MATCH(Q730,'CARNET DE SOUDURE'!$AW$7:$AW$3006,0),""))</f>
        <v>724</v>
      </c>
      <c r="Q730" s="82" t="str">
        <f aca="false">IF(C730="","",B730&amp;"|"&amp;C730)</f>
        <v>MFD-ISW → MFD-CPF|JN°724</v>
      </c>
    </row>
    <row r="731" customFormat="false" ht="74.6" hidden="false" customHeight="false" outlineLevel="0" collapsed="false">
      <c r="A731" s="82" t="n">
        <f aca="false">IF(C731="","",ROW()-6)</f>
        <v>725</v>
      </c>
      <c r="B731" s="80" t="s">
        <v>110</v>
      </c>
      <c r="C731" s="113" t="s">
        <v>835</v>
      </c>
      <c r="D731" s="82" t="str">
        <f aca="false">IF(OR(C731="",P731=""),"",INDEX('CARNET DE SOUDURE'!$D$7:$D$3006,P731)&amp;"")</f>
        <v/>
      </c>
      <c r="E731" s="114" t="str">
        <f aca="false">IF(OR(C731="",P731=""),"",IF(INDEX('CARNET DE SOUDURE'!$U$7:$U$3006,P731)="","",INDEX('CARNET DE SOUDURE'!$U$7:$U$3006,P731)))</f>
        <v/>
      </c>
      <c r="F731" s="82" t="str">
        <f aca="false">IF(OR(C731="",P731=""),"",INDEX('CARNET DE SOUDURE'!$AP$7:$AP$3006,P731))</f>
        <v/>
      </c>
      <c r="G731" s="82" t="str">
        <f aca="false">IF(C731="","",IF(P731="","NJ INCONNU",INDEX('CARNET DE SOUDURE'!$AQ$7:$AQ$3006,P731)))</f>
        <v>À SOUDER</v>
      </c>
      <c r="H731" s="82" t="str">
        <f aca="false">IF(C731="","",IF(G731="ACCEPTÉ","OUI","NON"))</f>
        <v>NON</v>
      </c>
      <c r="I731" s="83"/>
      <c r="J731" s="80"/>
      <c r="K731" s="81"/>
      <c r="L731" s="81"/>
      <c r="M731" s="81"/>
      <c r="N731" s="84" t="str">
        <f aca="false">IF(C731="","",IF(P731="","NJ INCONNU",IF(I731="",IF(H731="OUI","À ENROBER",IF(G731="À SOUDER","NON SOUDÉ","EN ATTENTE RT")),IF(L731="R","À REPRENDRE",IF(H731&lt;&gt;"OUI","⚠ ENROBÉ AVANT ACCEPTATION RT","ENROBÉ")))))</f>
        <v>NON SOUDÉ</v>
      </c>
      <c r="O731" s="80"/>
      <c r="P731" s="82" t="n">
        <f aca="false">IF(C731="","",IFERROR(MATCH(Q731,'CARNET DE SOUDURE'!$AW$7:$AW$3006,0),""))</f>
        <v>725</v>
      </c>
      <c r="Q731" s="82" t="str">
        <f aca="false">IF(C731="","",B731&amp;"|"&amp;C731)</f>
        <v>MFD-ISW → MFD-CPF|JN°725</v>
      </c>
    </row>
    <row r="732" customFormat="false" ht="74.6" hidden="false" customHeight="false" outlineLevel="0" collapsed="false">
      <c r="A732" s="82" t="n">
        <f aca="false">IF(C732="","",ROW()-6)</f>
        <v>726</v>
      </c>
      <c r="B732" s="80" t="s">
        <v>110</v>
      </c>
      <c r="C732" s="113" t="s">
        <v>836</v>
      </c>
      <c r="D732" s="82" t="str">
        <f aca="false">IF(OR(C732="",P732=""),"",INDEX('CARNET DE SOUDURE'!$D$7:$D$3006,P732)&amp;"")</f>
        <v/>
      </c>
      <c r="E732" s="114" t="str">
        <f aca="false">IF(OR(C732="",P732=""),"",IF(INDEX('CARNET DE SOUDURE'!$U$7:$U$3006,P732)="","",INDEX('CARNET DE SOUDURE'!$U$7:$U$3006,P732)))</f>
        <v/>
      </c>
      <c r="F732" s="82" t="str">
        <f aca="false">IF(OR(C732="",P732=""),"",INDEX('CARNET DE SOUDURE'!$AP$7:$AP$3006,P732))</f>
        <v/>
      </c>
      <c r="G732" s="82" t="str">
        <f aca="false">IF(C732="","",IF(P732="","NJ INCONNU",INDEX('CARNET DE SOUDURE'!$AQ$7:$AQ$3006,P732)))</f>
        <v>À SOUDER</v>
      </c>
      <c r="H732" s="82" t="str">
        <f aca="false">IF(C732="","",IF(G732="ACCEPTÉ","OUI","NON"))</f>
        <v>NON</v>
      </c>
      <c r="I732" s="83"/>
      <c r="J732" s="80"/>
      <c r="K732" s="81"/>
      <c r="L732" s="81"/>
      <c r="M732" s="81"/>
      <c r="N732" s="84" t="str">
        <f aca="false">IF(C732="","",IF(P732="","NJ INCONNU",IF(I732="",IF(H732="OUI","À ENROBER",IF(G732="À SOUDER","NON SOUDÉ","EN ATTENTE RT")),IF(L732="R","À REPRENDRE",IF(H732&lt;&gt;"OUI","⚠ ENROBÉ AVANT ACCEPTATION RT","ENROBÉ")))))</f>
        <v>NON SOUDÉ</v>
      </c>
      <c r="O732" s="80"/>
      <c r="P732" s="82" t="n">
        <f aca="false">IF(C732="","",IFERROR(MATCH(Q732,'CARNET DE SOUDURE'!$AW$7:$AW$3006,0),""))</f>
        <v>726</v>
      </c>
      <c r="Q732" s="82" t="str">
        <f aca="false">IF(C732="","",B732&amp;"|"&amp;C732)</f>
        <v>MFD-ISW → MFD-CPF|JN°726</v>
      </c>
    </row>
    <row r="733" customFormat="false" ht="74.6" hidden="false" customHeight="false" outlineLevel="0" collapsed="false">
      <c r="A733" s="82" t="n">
        <f aca="false">IF(C733="","",ROW()-6)</f>
        <v>727</v>
      </c>
      <c r="B733" s="80" t="s">
        <v>110</v>
      </c>
      <c r="C733" s="113" t="s">
        <v>837</v>
      </c>
      <c r="D733" s="82" t="str">
        <f aca="false">IF(OR(C733="",P733=""),"",INDEX('CARNET DE SOUDURE'!$D$7:$D$3006,P733)&amp;"")</f>
        <v/>
      </c>
      <c r="E733" s="114" t="str">
        <f aca="false">IF(OR(C733="",P733=""),"",IF(INDEX('CARNET DE SOUDURE'!$U$7:$U$3006,P733)="","",INDEX('CARNET DE SOUDURE'!$U$7:$U$3006,P733)))</f>
        <v/>
      </c>
      <c r="F733" s="82" t="str">
        <f aca="false">IF(OR(C733="",P733=""),"",INDEX('CARNET DE SOUDURE'!$AP$7:$AP$3006,P733))</f>
        <v/>
      </c>
      <c r="G733" s="82" t="str">
        <f aca="false">IF(C733="","",IF(P733="","NJ INCONNU",INDEX('CARNET DE SOUDURE'!$AQ$7:$AQ$3006,P733)))</f>
        <v>À SOUDER</v>
      </c>
      <c r="H733" s="82" t="str">
        <f aca="false">IF(C733="","",IF(G733="ACCEPTÉ","OUI","NON"))</f>
        <v>NON</v>
      </c>
      <c r="I733" s="83"/>
      <c r="J733" s="80"/>
      <c r="K733" s="81"/>
      <c r="L733" s="81"/>
      <c r="M733" s="81"/>
      <c r="N733" s="84" t="str">
        <f aca="false">IF(C733="","",IF(P733="","NJ INCONNU",IF(I733="",IF(H733="OUI","À ENROBER",IF(G733="À SOUDER","NON SOUDÉ","EN ATTENTE RT")),IF(L733="R","À REPRENDRE",IF(H733&lt;&gt;"OUI","⚠ ENROBÉ AVANT ACCEPTATION RT","ENROBÉ")))))</f>
        <v>NON SOUDÉ</v>
      </c>
      <c r="O733" s="80"/>
      <c r="P733" s="82" t="n">
        <f aca="false">IF(C733="","",IFERROR(MATCH(Q733,'CARNET DE SOUDURE'!$AW$7:$AW$3006,0),""))</f>
        <v>727</v>
      </c>
      <c r="Q733" s="82" t="str">
        <f aca="false">IF(C733="","",B733&amp;"|"&amp;C733)</f>
        <v>MFD-ISW → MFD-CPF|JN°727</v>
      </c>
    </row>
    <row r="734" customFormat="false" ht="74.6" hidden="false" customHeight="false" outlineLevel="0" collapsed="false">
      <c r="A734" s="82" t="n">
        <f aca="false">IF(C734="","",ROW()-6)</f>
        <v>728</v>
      </c>
      <c r="B734" s="80" t="s">
        <v>110</v>
      </c>
      <c r="C734" s="113" t="s">
        <v>838</v>
      </c>
      <c r="D734" s="82" t="str">
        <f aca="false">IF(OR(C734="",P734=""),"",INDEX('CARNET DE SOUDURE'!$D$7:$D$3006,P734)&amp;"")</f>
        <v/>
      </c>
      <c r="E734" s="114" t="str">
        <f aca="false">IF(OR(C734="",P734=""),"",IF(INDEX('CARNET DE SOUDURE'!$U$7:$U$3006,P734)="","",INDEX('CARNET DE SOUDURE'!$U$7:$U$3006,P734)))</f>
        <v/>
      </c>
      <c r="F734" s="82" t="str">
        <f aca="false">IF(OR(C734="",P734=""),"",INDEX('CARNET DE SOUDURE'!$AP$7:$AP$3006,P734))</f>
        <v/>
      </c>
      <c r="G734" s="82" t="str">
        <f aca="false">IF(C734="","",IF(P734="","NJ INCONNU",INDEX('CARNET DE SOUDURE'!$AQ$7:$AQ$3006,P734)))</f>
        <v>À SOUDER</v>
      </c>
      <c r="H734" s="82" t="str">
        <f aca="false">IF(C734="","",IF(G734="ACCEPTÉ","OUI","NON"))</f>
        <v>NON</v>
      </c>
      <c r="I734" s="83"/>
      <c r="J734" s="80"/>
      <c r="K734" s="81"/>
      <c r="L734" s="81"/>
      <c r="M734" s="81"/>
      <c r="N734" s="84" t="str">
        <f aca="false">IF(C734="","",IF(P734="","NJ INCONNU",IF(I734="",IF(H734="OUI","À ENROBER",IF(G734="À SOUDER","NON SOUDÉ","EN ATTENTE RT")),IF(L734="R","À REPRENDRE",IF(H734&lt;&gt;"OUI","⚠ ENROBÉ AVANT ACCEPTATION RT","ENROBÉ")))))</f>
        <v>NON SOUDÉ</v>
      </c>
      <c r="O734" s="80"/>
      <c r="P734" s="82" t="n">
        <f aca="false">IF(C734="","",IFERROR(MATCH(Q734,'CARNET DE SOUDURE'!$AW$7:$AW$3006,0),""))</f>
        <v>728</v>
      </c>
      <c r="Q734" s="82" t="str">
        <f aca="false">IF(C734="","",B734&amp;"|"&amp;C734)</f>
        <v>MFD-ISW → MFD-CPF|JN°728</v>
      </c>
    </row>
    <row r="735" customFormat="false" ht="74.6" hidden="false" customHeight="false" outlineLevel="0" collapsed="false">
      <c r="A735" s="82" t="n">
        <f aca="false">IF(C735="","",ROW()-6)</f>
        <v>729</v>
      </c>
      <c r="B735" s="80" t="s">
        <v>110</v>
      </c>
      <c r="C735" s="113" t="s">
        <v>839</v>
      </c>
      <c r="D735" s="82" t="str">
        <f aca="false">IF(OR(C735="",P735=""),"",INDEX('CARNET DE SOUDURE'!$D$7:$D$3006,P735)&amp;"")</f>
        <v/>
      </c>
      <c r="E735" s="114" t="str">
        <f aca="false">IF(OR(C735="",P735=""),"",IF(INDEX('CARNET DE SOUDURE'!$U$7:$U$3006,P735)="","",INDEX('CARNET DE SOUDURE'!$U$7:$U$3006,P735)))</f>
        <v/>
      </c>
      <c r="F735" s="82" t="str">
        <f aca="false">IF(OR(C735="",P735=""),"",INDEX('CARNET DE SOUDURE'!$AP$7:$AP$3006,P735))</f>
        <v/>
      </c>
      <c r="G735" s="82" t="str">
        <f aca="false">IF(C735="","",IF(P735="","NJ INCONNU",INDEX('CARNET DE SOUDURE'!$AQ$7:$AQ$3006,P735)))</f>
        <v>À SOUDER</v>
      </c>
      <c r="H735" s="82" t="str">
        <f aca="false">IF(C735="","",IF(G735="ACCEPTÉ","OUI","NON"))</f>
        <v>NON</v>
      </c>
      <c r="I735" s="83"/>
      <c r="J735" s="80"/>
      <c r="K735" s="81"/>
      <c r="L735" s="81"/>
      <c r="M735" s="81"/>
      <c r="N735" s="84" t="str">
        <f aca="false">IF(C735="","",IF(P735="","NJ INCONNU",IF(I735="",IF(H735="OUI","À ENROBER",IF(G735="À SOUDER","NON SOUDÉ","EN ATTENTE RT")),IF(L735="R","À REPRENDRE",IF(H735&lt;&gt;"OUI","⚠ ENROBÉ AVANT ACCEPTATION RT","ENROBÉ")))))</f>
        <v>NON SOUDÉ</v>
      </c>
      <c r="O735" s="80"/>
      <c r="P735" s="82" t="n">
        <f aca="false">IF(C735="","",IFERROR(MATCH(Q735,'CARNET DE SOUDURE'!$AW$7:$AW$3006,0),""))</f>
        <v>729</v>
      </c>
      <c r="Q735" s="82" t="str">
        <f aca="false">IF(C735="","",B735&amp;"|"&amp;C735)</f>
        <v>MFD-ISW → MFD-CPF|JN°729</v>
      </c>
    </row>
    <row r="736" customFormat="false" ht="74.6" hidden="false" customHeight="false" outlineLevel="0" collapsed="false">
      <c r="A736" s="82" t="n">
        <f aca="false">IF(C736="","",ROW()-6)</f>
        <v>730</v>
      </c>
      <c r="B736" s="80" t="s">
        <v>110</v>
      </c>
      <c r="C736" s="113" t="s">
        <v>840</v>
      </c>
      <c r="D736" s="82" t="str">
        <f aca="false">IF(OR(C736="",P736=""),"",INDEX('CARNET DE SOUDURE'!$D$7:$D$3006,P736)&amp;"")</f>
        <v/>
      </c>
      <c r="E736" s="114" t="str">
        <f aca="false">IF(OR(C736="",P736=""),"",IF(INDEX('CARNET DE SOUDURE'!$U$7:$U$3006,P736)="","",INDEX('CARNET DE SOUDURE'!$U$7:$U$3006,P736)))</f>
        <v/>
      </c>
      <c r="F736" s="82" t="str">
        <f aca="false">IF(OR(C736="",P736=""),"",INDEX('CARNET DE SOUDURE'!$AP$7:$AP$3006,P736))</f>
        <v/>
      </c>
      <c r="G736" s="82" t="str">
        <f aca="false">IF(C736="","",IF(P736="","NJ INCONNU",INDEX('CARNET DE SOUDURE'!$AQ$7:$AQ$3006,P736)))</f>
        <v>À SOUDER</v>
      </c>
      <c r="H736" s="82" t="str">
        <f aca="false">IF(C736="","",IF(G736="ACCEPTÉ","OUI","NON"))</f>
        <v>NON</v>
      </c>
      <c r="I736" s="83"/>
      <c r="J736" s="80"/>
      <c r="K736" s="81"/>
      <c r="L736" s="81"/>
      <c r="M736" s="81"/>
      <c r="N736" s="84" t="str">
        <f aca="false">IF(C736="","",IF(P736="","NJ INCONNU",IF(I736="",IF(H736="OUI","À ENROBER",IF(G736="À SOUDER","NON SOUDÉ","EN ATTENTE RT")),IF(L736="R","À REPRENDRE",IF(H736&lt;&gt;"OUI","⚠ ENROBÉ AVANT ACCEPTATION RT","ENROBÉ")))))</f>
        <v>NON SOUDÉ</v>
      </c>
      <c r="O736" s="80"/>
      <c r="P736" s="82" t="n">
        <f aca="false">IF(C736="","",IFERROR(MATCH(Q736,'CARNET DE SOUDURE'!$AW$7:$AW$3006,0),""))</f>
        <v>730</v>
      </c>
      <c r="Q736" s="82" t="str">
        <f aca="false">IF(C736="","",B736&amp;"|"&amp;C736)</f>
        <v>MFD-ISW → MFD-CPF|JN°730</v>
      </c>
    </row>
    <row r="737" customFormat="false" ht="74.6" hidden="false" customHeight="false" outlineLevel="0" collapsed="false">
      <c r="A737" s="82" t="n">
        <f aca="false">IF(C737="","",ROW()-6)</f>
        <v>731</v>
      </c>
      <c r="B737" s="80" t="s">
        <v>110</v>
      </c>
      <c r="C737" s="113" t="s">
        <v>841</v>
      </c>
      <c r="D737" s="82" t="str">
        <f aca="false">IF(OR(C737="",P737=""),"",INDEX('CARNET DE SOUDURE'!$D$7:$D$3006,P737)&amp;"")</f>
        <v/>
      </c>
      <c r="E737" s="114" t="str">
        <f aca="false">IF(OR(C737="",P737=""),"",IF(INDEX('CARNET DE SOUDURE'!$U$7:$U$3006,P737)="","",INDEX('CARNET DE SOUDURE'!$U$7:$U$3006,P737)))</f>
        <v/>
      </c>
      <c r="F737" s="82" t="str">
        <f aca="false">IF(OR(C737="",P737=""),"",INDEX('CARNET DE SOUDURE'!$AP$7:$AP$3006,P737))</f>
        <v/>
      </c>
      <c r="G737" s="82" t="str">
        <f aca="false">IF(C737="","",IF(P737="","NJ INCONNU",INDEX('CARNET DE SOUDURE'!$AQ$7:$AQ$3006,P737)))</f>
        <v>À SOUDER</v>
      </c>
      <c r="H737" s="82" t="str">
        <f aca="false">IF(C737="","",IF(G737="ACCEPTÉ","OUI","NON"))</f>
        <v>NON</v>
      </c>
      <c r="I737" s="83"/>
      <c r="J737" s="80"/>
      <c r="K737" s="81"/>
      <c r="L737" s="81"/>
      <c r="M737" s="81"/>
      <c r="N737" s="84" t="str">
        <f aca="false">IF(C737="","",IF(P737="","NJ INCONNU",IF(I737="",IF(H737="OUI","À ENROBER",IF(G737="À SOUDER","NON SOUDÉ","EN ATTENTE RT")),IF(L737="R","À REPRENDRE",IF(H737&lt;&gt;"OUI","⚠ ENROBÉ AVANT ACCEPTATION RT","ENROBÉ")))))</f>
        <v>NON SOUDÉ</v>
      </c>
      <c r="O737" s="80"/>
      <c r="P737" s="82" t="n">
        <f aca="false">IF(C737="","",IFERROR(MATCH(Q737,'CARNET DE SOUDURE'!$AW$7:$AW$3006,0),""))</f>
        <v>731</v>
      </c>
      <c r="Q737" s="82" t="str">
        <f aca="false">IF(C737="","",B737&amp;"|"&amp;C737)</f>
        <v>MFD-ISW → MFD-CPF|JN°731</v>
      </c>
    </row>
    <row r="738" customFormat="false" ht="74.6" hidden="false" customHeight="false" outlineLevel="0" collapsed="false">
      <c r="A738" s="82" t="n">
        <f aca="false">IF(C738="","",ROW()-6)</f>
        <v>732</v>
      </c>
      <c r="B738" s="80" t="s">
        <v>110</v>
      </c>
      <c r="C738" s="113" t="s">
        <v>842</v>
      </c>
      <c r="D738" s="82" t="str">
        <f aca="false">IF(OR(C738="",P738=""),"",INDEX('CARNET DE SOUDURE'!$D$7:$D$3006,P738)&amp;"")</f>
        <v/>
      </c>
      <c r="E738" s="114" t="str">
        <f aca="false">IF(OR(C738="",P738=""),"",IF(INDEX('CARNET DE SOUDURE'!$U$7:$U$3006,P738)="","",INDEX('CARNET DE SOUDURE'!$U$7:$U$3006,P738)))</f>
        <v/>
      </c>
      <c r="F738" s="82" t="str">
        <f aca="false">IF(OR(C738="",P738=""),"",INDEX('CARNET DE SOUDURE'!$AP$7:$AP$3006,P738))</f>
        <v/>
      </c>
      <c r="G738" s="82" t="str">
        <f aca="false">IF(C738="","",IF(P738="","NJ INCONNU",INDEX('CARNET DE SOUDURE'!$AQ$7:$AQ$3006,P738)))</f>
        <v>À SOUDER</v>
      </c>
      <c r="H738" s="82" t="str">
        <f aca="false">IF(C738="","",IF(G738="ACCEPTÉ","OUI","NON"))</f>
        <v>NON</v>
      </c>
      <c r="I738" s="83"/>
      <c r="J738" s="80"/>
      <c r="K738" s="81"/>
      <c r="L738" s="81"/>
      <c r="M738" s="81"/>
      <c r="N738" s="84" t="str">
        <f aca="false">IF(C738="","",IF(P738="","NJ INCONNU",IF(I738="",IF(H738="OUI","À ENROBER",IF(G738="À SOUDER","NON SOUDÉ","EN ATTENTE RT")),IF(L738="R","À REPRENDRE",IF(H738&lt;&gt;"OUI","⚠ ENROBÉ AVANT ACCEPTATION RT","ENROBÉ")))))</f>
        <v>NON SOUDÉ</v>
      </c>
      <c r="O738" s="80"/>
      <c r="P738" s="82" t="n">
        <f aca="false">IF(C738="","",IFERROR(MATCH(Q738,'CARNET DE SOUDURE'!$AW$7:$AW$3006,0),""))</f>
        <v>732</v>
      </c>
      <c r="Q738" s="82" t="str">
        <f aca="false">IF(C738="","",B738&amp;"|"&amp;C738)</f>
        <v>MFD-ISW → MFD-CPF|JN°732</v>
      </c>
    </row>
    <row r="739" customFormat="false" ht="74.6" hidden="false" customHeight="false" outlineLevel="0" collapsed="false">
      <c r="A739" s="82" t="n">
        <f aca="false">IF(C739="","",ROW()-6)</f>
        <v>733</v>
      </c>
      <c r="B739" s="80" t="s">
        <v>110</v>
      </c>
      <c r="C739" s="113" t="s">
        <v>843</v>
      </c>
      <c r="D739" s="82" t="str">
        <f aca="false">IF(OR(C739="",P739=""),"",INDEX('CARNET DE SOUDURE'!$D$7:$D$3006,P739)&amp;"")</f>
        <v/>
      </c>
      <c r="E739" s="114" t="str">
        <f aca="false">IF(OR(C739="",P739=""),"",IF(INDEX('CARNET DE SOUDURE'!$U$7:$U$3006,P739)="","",INDEX('CARNET DE SOUDURE'!$U$7:$U$3006,P739)))</f>
        <v/>
      </c>
      <c r="F739" s="82" t="str">
        <f aca="false">IF(OR(C739="",P739=""),"",INDEX('CARNET DE SOUDURE'!$AP$7:$AP$3006,P739))</f>
        <v/>
      </c>
      <c r="G739" s="82" t="str">
        <f aca="false">IF(C739="","",IF(P739="","NJ INCONNU",INDEX('CARNET DE SOUDURE'!$AQ$7:$AQ$3006,P739)))</f>
        <v>À SOUDER</v>
      </c>
      <c r="H739" s="82" t="str">
        <f aca="false">IF(C739="","",IF(G739="ACCEPTÉ","OUI","NON"))</f>
        <v>NON</v>
      </c>
      <c r="I739" s="83"/>
      <c r="J739" s="80"/>
      <c r="K739" s="81"/>
      <c r="L739" s="81"/>
      <c r="M739" s="81"/>
      <c r="N739" s="84" t="str">
        <f aca="false">IF(C739="","",IF(P739="","NJ INCONNU",IF(I739="",IF(H739="OUI","À ENROBER",IF(G739="À SOUDER","NON SOUDÉ","EN ATTENTE RT")),IF(L739="R","À REPRENDRE",IF(H739&lt;&gt;"OUI","⚠ ENROBÉ AVANT ACCEPTATION RT","ENROBÉ")))))</f>
        <v>NON SOUDÉ</v>
      </c>
      <c r="O739" s="80"/>
      <c r="P739" s="82" t="n">
        <f aca="false">IF(C739="","",IFERROR(MATCH(Q739,'CARNET DE SOUDURE'!$AW$7:$AW$3006,0),""))</f>
        <v>733</v>
      </c>
      <c r="Q739" s="82" t="str">
        <f aca="false">IF(C739="","",B739&amp;"|"&amp;C739)</f>
        <v>MFD-ISW → MFD-CPF|JN°733</v>
      </c>
    </row>
    <row r="740" customFormat="false" ht="74.6" hidden="false" customHeight="false" outlineLevel="0" collapsed="false">
      <c r="A740" s="82" t="n">
        <f aca="false">IF(C740="","",ROW()-6)</f>
        <v>734</v>
      </c>
      <c r="B740" s="80" t="s">
        <v>110</v>
      </c>
      <c r="C740" s="113" t="s">
        <v>844</v>
      </c>
      <c r="D740" s="82" t="str">
        <f aca="false">IF(OR(C740="",P740=""),"",INDEX('CARNET DE SOUDURE'!$D$7:$D$3006,P740)&amp;"")</f>
        <v/>
      </c>
      <c r="E740" s="114" t="str">
        <f aca="false">IF(OR(C740="",P740=""),"",IF(INDEX('CARNET DE SOUDURE'!$U$7:$U$3006,P740)="","",INDEX('CARNET DE SOUDURE'!$U$7:$U$3006,P740)))</f>
        <v/>
      </c>
      <c r="F740" s="82" t="str">
        <f aca="false">IF(OR(C740="",P740=""),"",INDEX('CARNET DE SOUDURE'!$AP$7:$AP$3006,P740))</f>
        <v/>
      </c>
      <c r="G740" s="82" t="str">
        <f aca="false">IF(C740="","",IF(P740="","NJ INCONNU",INDEX('CARNET DE SOUDURE'!$AQ$7:$AQ$3006,P740)))</f>
        <v>À SOUDER</v>
      </c>
      <c r="H740" s="82" t="str">
        <f aca="false">IF(C740="","",IF(G740="ACCEPTÉ","OUI","NON"))</f>
        <v>NON</v>
      </c>
      <c r="I740" s="83"/>
      <c r="J740" s="80"/>
      <c r="K740" s="81"/>
      <c r="L740" s="81"/>
      <c r="M740" s="81"/>
      <c r="N740" s="84" t="str">
        <f aca="false">IF(C740="","",IF(P740="","NJ INCONNU",IF(I740="",IF(H740="OUI","À ENROBER",IF(G740="À SOUDER","NON SOUDÉ","EN ATTENTE RT")),IF(L740="R","À REPRENDRE",IF(H740&lt;&gt;"OUI","⚠ ENROBÉ AVANT ACCEPTATION RT","ENROBÉ")))))</f>
        <v>NON SOUDÉ</v>
      </c>
      <c r="O740" s="80"/>
      <c r="P740" s="82" t="n">
        <f aca="false">IF(C740="","",IFERROR(MATCH(Q740,'CARNET DE SOUDURE'!$AW$7:$AW$3006,0),""))</f>
        <v>734</v>
      </c>
      <c r="Q740" s="82" t="str">
        <f aca="false">IF(C740="","",B740&amp;"|"&amp;C740)</f>
        <v>MFD-ISW → MFD-CPF|JN°734</v>
      </c>
    </row>
    <row r="741" customFormat="false" ht="74.6" hidden="false" customHeight="false" outlineLevel="0" collapsed="false">
      <c r="A741" s="82" t="n">
        <f aca="false">IF(C741="","",ROW()-6)</f>
        <v>735</v>
      </c>
      <c r="B741" s="80" t="s">
        <v>110</v>
      </c>
      <c r="C741" s="113" t="s">
        <v>845</v>
      </c>
      <c r="D741" s="82" t="str">
        <f aca="false">IF(OR(C741="",P741=""),"",INDEX('CARNET DE SOUDURE'!$D$7:$D$3006,P741)&amp;"")</f>
        <v/>
      </c>
      <c r="E741" s="114" t="str">
        <f aca="false">IF(OR(C741="",P741=""),"",IF(INDEX('CARNET DE SOUDURE'!$U$7:$U$3006,P741)="","",INDEX('CARNET DE SOUDURE'!$U$7:$U$3006,P741)))</f>
        <v/>
      </c>
      <c r="F741" s="82" t="str">
        <f aca="false">IF(OR(C741="",P741=""),"",INDEX('CARNET DE SOUDURE'!$AP$7:$AP$3006,P741))</f>
        <v/>
      </c>
      <c r="G741" s="82" t="str">
        <f aca="false">IF(C741="","",IF(P741="","NJ INCONNU",INDEX('CARNET DE SOUDURE'!$AQ$7:$AQ$3006,P741)))</f>
        <v>À SOUDER</v>
      </c>
      <c r="H741" s="82" t="str">
        <f aca="false">IF(C741="","",IF(G741="ACCEPTÉ","OUI","NON"))</f>
        <v>NON</v>
      </c>
      <c r="I741" s="83"/>
      <c r="J741" s="80"/>
      <c r="K741" s="81"/>
      <c r="L741" s="81"/>
      <c r="M741" s="81"/>
      <c r="N741" s="84" t="str">
        <f aca="false">IF(C741="","",IF(P741="","NJ INCONNU",IF(I741="",IF(H741="OUI","À ENROBER",IF(G741="À SOUDER","NON SOUDÉ","EN ATTENTE RT")),IF(L741="R","À REPRENDRE",IF(H741&lt;&gt;"OUI","⚠ ENROBÉ AVANT ACCEPTATION RT","ENROBÉ")))))</f>
        <v>NON SOUDÉ</v>
      </c>
      <c r="O741" s="80"/>
      <c r="P741" s="82" t="n">
        <f aca="false">IF(C741="","",IFERROR(MATCH(Q741,'CARNET DE SOUDURE'!$AW$7:$AW$3006,0),""))</f>
        <v>735</v>
      </c>
      <c r="Q741" s="82" t="str">
        <f aca="false">IF(C741="","",B741&amp;"|"&amp;C741)</f>
        <v>MFD-ISW → MFD-CPF|JN°735</v>
      </c>
    </row>
    <row r="742" customFormat="false" ht="74.6" hidden="false" customHeight="false" outlineLevel="0" collapsed="false">
      <c r="A742" s="82" t="n">
        <f aca="false">IF(C742="","",ROW()-6)</f>
        <v>736</v>
      </c>
      <c r="B742" s="80" t="s">
        <v>110</v>
      </c>
      <c r="C742" s="113" t="s">
        <v>846</v>
      </c>
      <c r="D742" s="82" t="str">
        <f aca="false">IF(OR(C742="",P742=""),"",INDEX('CARNET DE SOUDURE'!$D$7:$D$3006,P742)&amp;"")</f>
        <v/>
      </c>
      <c r="E742" s="114" t="str">
        <f aca="false">IF(OR(C742="",P742=""),"",IF(INDEX('CARNET DE SOUDURE'!$U$7:$U$3006,P742)="","",INDEX('CARNET DE SOUDURE'!$U$7:$U$3006,P742)))</f>
        <v/>
      </c>
      <c r="F742" s="82" t="str">
        <f aca="false">IF(OR(C742="",P742=""),"",INDEX('CARNET DE SOUDURE'!$AP$7:$AP$3006,P742))</f>
        <v/>
      </c>
      <c r="G742" s="82" t="str">
        <f aca="false">IF(C742="","",IF(P742="","NJ INCONNU",INDEX('CARNET DE SOUDURE'!$AQ$7:$AQ$3006,P742)))</f>
        <v>À SOUDER</v>
      </c>
      <c r="H742" s="82" t="str">
        <f aca="false">IF(C742="","",IF(G742="ACCEPTÉ","OUI","NON"))</f>
        <v>NON</v>
      </c>
      <c r="I742" s="83"/>
      <c r="J742" s="80"/>
      <c r="K742" s="81"/>
      <c r="L742" s="81"/>
      <c r="M742" s="81"/>
      <c r="N742" s="84" t="str">
        <f aca="false">IF(C742="","",IF(P742="","NJ INCONNU",IF(I742="",IF(H742="OUI","À ENROBER",IF(G742="À SOUDER","NON SOUDÉ","EN ATTENTE RT")),IF(L742="R","À REPRENDRE",IF(H742&lt;&gt;"OUI","⚠ ENROBÉ AVANT ACCEPTATION RT","ENROBÉ")))))</f>
        <v>NON SOUDÉ</v>
      </c>
      <c r="O742" s="80"/>
      <c r="P742" s="82" t="n">
        <f aca="false">IF(C742="","",IFERROR(MATCH(Q742,'CARNET DE SOUDURE'!$AW$7:$AW$3006,0),""))</f>
        <v>736</v>
      </c>
      <c r="Q742" s="82" t="str">
        <f aca="false">IF(C742="","",B742&amp;"|"&amp;C742)</f>
        <v>MFD-ISW → MFD-CPF|JN°736</v>
      </c>
    </row>
    <row r="743" customFormat="false" ht="74.6" hidden="false" customHeight="false" outlineLevel="0" collapsed="false">
      <c r="A743" s="82" t="n">
        <f aca="false">IF(C743="","",ROW()-6)</f>
        <v>737</v>
      </c>
      <c r="B743" s="80" t="s">
        <v>110</v>
      </c>
      <c r="C743" s="113" t="s">
        <v>847</v>
      </c>
      <c r="D743" s="82" t="str">
        <f aca="false">IF(OR(C743="",P743=""),"",INDEX('CARNET DE SOUDURE'!$D$7:$D$3006,P743)&amp;"")</f>
        <v/>
      </c>
      <c r="E743" s="114" t="str">
        <f aca="false">IF(OR(C743="",P743=""),"",IF(INDEX('CARNET DE SOUDURE'!$U$7:$U$3006,P743)="","",INDEX('CARNET DE SOUDURE'!$U$7:$U$3006,P743)))</f>
        <v/>
      </c>
      <c r="F743" s="82" t="str">
        <f aca="false">IF(OR(C743="",P743=""),"",INDEX('CARNET DE SOUDURE'!$AP$7:$AP$3006,P743))</f>
        <v/>
      </c>
      <c r="G743" s="82" t="str">
        <f aca="false">IF(C743="","",IF(P743="","NJ INCONNU",INDEX('CARNET DE SOUDURE'!$AQ$7:$AQ$3006,P743)))</f>
        <v>À SOUDER</v>
      </c>
      <c r="H743" s="82" t="str">
        <f aca="false">IF(C743="","",IF(G743="ACCEPTÉ","OUI","NON"))</f>
        <v>NON</v>
      </c>
      <c r="I743" s="83"/>
      <c r="J743" s="80"/>
      <c r="K743" s="81"/>
      <c r="L743" s="81"/>
      <c r="M743" s="81"/>
      <c r="N743" s="84" t="str">
        <f aca="false">IF(C743="","",IF(P743="","NJ INCONNU",IF(I743="",IF(H743="OUI","À ENROBER",IF(G743="À SOUDER","NON SOUDÉ","EN ATTENTE RT")),IF(L743="R","À REPRENDRE",IF(H743&lt;&gt;"OUI","⚠ ENROBÉ AVANT ACCEPTATION RT","ENROBÉ")))))</f>
        <v>NON SOUDÉ</v>
      </c>
      <c r="O743" s="80"/>
      <c r="P743" s="82" t="n">
        <f aca="false">IF(C743="","",IFERROR(MATCH(Q743,'CARNET DE SOUDURE'!$AW$7:$AW$3006,0),""))</f>
        <v>737</v>
      </c>
      <c r="Q743" s="82" t="str">
        <f aca="false">IF(C743="","",B743&amp;"|"&amp;C743)</f>
        <v>MFD-ISW → MFD-CPF|JN°737</v>
      </c>
    </row>
    <row r="744" customFormat="false" ht="74.6" hidden="false" customHeight="false" outlineLevel="0" collapsed="false">
      <c r="A744" s="82" t="n">
        <f aca="false">IF(C744="","",ROW()-6)</f>
        <v>738</v>
      </c>
      <c r="B744" s="80" t="s">
        <v>110</v>
      </c>
      <c r="C744" s="113" t="s">
        <v>848</v>
      </c>
      <c r="D744" s="82" t="str">
        <f aca="false">IF(OR(C744="",P744=""),"",INDEX('CARNET DE SOUDURE'!$D$7:$D$3006,P744)&amp;"")</f>
        <v/>
      </c>
      <c r="E744" s="114" t="str">
        <f aca="false">IF(OR(C744="",P744=""),"",IF(INDEX('CARNET DE SOUDURE'!$U$7:$U$3006,P744)="","",INDEX('CARNET DE SOUDURE'!$U$7:$U$3006,P744)))</f>
        <v/>
      </c>
      <c r="F744" s="82" t="str">
        <f aca="false">IF(OR(C744="",P744=""),"",INDEX('CARNET DE SOUDURE'!$AP$7:$AP$3006,P744))</f>
        <v/>
      </c>
      <c r="G744" s="82" t="str">
        <f aca="false">IF(C744="","",IF(P744="","NJ INCONNU",INDEX('CARNET DE SOUDURE'!$AQ$7:$AQ$3006,P744)))</f>
        <v>À SOUDER</v>
      </c>
      <c r="H744" s="82" t="str">
        <f aca="false">IF(C744="","",IF(G744="ACCEPTÉ","OUI","NON"))</f>
        <v>NON</v>
      </c>
      <c r="I744" s="83"/>
      <c r="J744" s="80"/>
      <c r="K744" s="81"/>
      <c r="L744" s="81"/>
      <c r="M744" s="81"/>
      <c r="N744" s="84" t="str">
        <f aca="false">IF(C744="","",IF(P744="","NJ INCONNU",IF(I744="",IF(H744="OUI","À ENROBER",IF(G744="À SOUDER","NON SOUDÉ","EN ATTENTE RT")),IF(L744="R","À REPRENDRE",IF(H744&lt;&gt;"OUI","⚠ ENROBÉ AVANT ACCEPTATION RT","ENROBÉ")))))</f>
        <v>NON SOUDÉ</v>
      </c>
      <c r="O744" s="80"/>
      <c r="P744" s="82" t="n">
        <f aca="false">IF(C744="","",IFERROR(MATCH(Q744,'CARNET DE SOUDURE'!$AW$7:$AW$3006,0),""))</f>
        <v>738</v>
      </c>
      <c r="Q744" s="82" t="str">
        <f aca="false">IF(C744="","",B744&amp;"|"&amp;C744)</f>
        <v>MFD-ISW → MFD-CPF|JN°738</v>
      </c>
    </row>
    <row r="745" customFormat="false" ht="74.6" hidden="false" customHeight="false" outlineLevel="0" collapsed="false">
      <c r="A745" s="82" t="n">
        <f aca="false">IF(C745="","",ROW()-6)</f>
        <v>739</v>
      </c>
      <c r="B745" s="80" t="s">
        <v>110</v>
      </c>
      <c r="C745" s="113" t="s">
        <v>849</v>
      </c>
      <c r="D745" s="82" t="str">
        <f aca="false">IF(OR(C745="",P745=""),"",INDEX('CARNET DE SOUDURE'!$D$7:$D$3006,P745)&amp;"")</f>
        <v/>
      </c>
      <c r="E745" s="114" t="str">
        <f aca="false">IF(OR(C745="",P745=""),"",IF(INDEX('CARNET DE SOUDURE'!$U$7:$U$3006,P745)="","",INDEX('CARNET DE SOUDURE'!$U$7:$U$3006,P745)))</f>
        <v/>
      </c>
      <c r="F745" s="82" t="str">
        <f aca="false">IF(OR(C745="",P745=""),"",INDEX('CARNET DE SOUDURE'!$AP$7:$AP$3006,P745))</f>
        <v/>
      </c>
      <c r="G745" s="82" t="str">
        <f aca="false">IF(C745="","",IF(P745="","NJ INCONNU",INDEX('CARNET DE SOUDURE'!$AQ$7:$AQ$3006,P745)))</f>
        <v>À SOUDER</v>
      </c>
      <c r="H745" s="82" t="str">
        <f aca="false">IF(C745="","",IF(G745="ACCEPTÉ","OUI","NON"))</f>
        <v>NON</v>
      </c>
      <c r="I745" s="83"/>
      <c r="J745" s="80"/>
      <c r="K745" s="81"/>
      <c r="L745" s="81"/>
      <c r="M745" s="81"/>
      <c r="N745" s="84" t="str">
        <f aca="false">IF(C745="","",IF(P745="","NJ INCONNU",IF(I745="",IF(H745="OUI","À ENROBER",IF(G745="À SOUDER","NON SOUDÉ","EN ATTENTE RT")),IF(L745="R","À REPRENDRE",IF(H745&lt;&gt;"OUI","⚠ ENROBÉ AVANT ACCEPTATION RT","ENROBÉ")))))</f>
        <v>NON SOUDÉ</v>
      </c>
      <c r="O745" s="80"/>
      <c r="P745" s="82" t="n">
        <f aca="false">IF(C745="","",IFERROR(MATCH(Q745,'CARNET DE SOUDURE'!$AW$7:$AW$3006,0),""))</f>
        <v>739</v>
      </c>
      <c r="Q745" s="82" t="str">
        <f aca="false">IF(C745="","",B745&amp;"|"&amp;C745)</f>
        <v>MFD-ISW → MFD-CPF|JN°739</v>
      </c>
    </row>
    <row r="746" customFormat="false" ht="74.6" hidden="false" customHeight="false" outlineLevel="0" collapsed="false">
      <c r="A746" s="82" t="n">
        <f aca="false">IF(C746="","",ROW()-6)</f>
        <v>740</v>
      </c>
      <c r="B746" s="80" t="s">
        <v>110</v>
      </c>
      <c r="C746" s="113" t="s">
        <v>850</v>
      </c>
      <c r="D746" s="82" t="str">
        <f aca="false">IF(OR(C746="",P746=""),"",INDEX('CARNET DE SOUDURE'!$D$7:$D$3006,P746)&amp;"")</f>
        <v/>
      </c>
      <c r="E746" s="114" t="str">
        <f aca="false">IF(OR(C746="",P746=""),"",IF(INDEX('CARNET DE SOUDURE'!$U$7:$U$3006,P746)="","",INDEX('CARNET DE SOUDURE'!$U$7:$U$3006,P746)))</f>
        <v/>
      </c>
      <c r="F746" s="82" t="str">
        <f aca="false">IF(OR(C746="",P746=""),"",INDEX('CARNET DE SOUDURE'!$AP$7:$AP$3006,P746))</f>
        <v/>
      </c>
      <c r="G746" s="82" t="str">
        <f aca="false">IF(C746="","",IF(P746="","NJ INCONNU",INDEX('CARNET DE SOUDURE'!$AQ$7:$AQ$3006,P746)))</f>
        <v>À SOUDER</v>
      </c>
      <c r="H746" s="82" t="str">
        <f aca="false">IF(C746="","",IF(G746="ACCEPTÉ","OUI","NON"))</f>
        <v>NON</v>
      </c>
      <c r="I746" s="83"/>
      <c r="J746" s="80"/>
      <c r="K746" s="81"/>
      <c r="L746" s="81"/>
      <c r="M746" s="81"/>
      <c r="N746" s="84" t="str">
        <f aca="false">IF(C746="","",IF(P746="","NJ INCONNU",IF(I746="",IF(H746="OUI","À ENROBER",IF(G746="À SOUDER","NON SOUDÉ","EN ATTENTE RT")),IF(L746="R","À REPRENDRE",IF(H746&lt;&gt;"OUI","⚠ ENROBÉ AVANT ACCEPTATION RT","ENROBÉ")))))</f>
        <v>NON SOUDÉ</v>
      </c>
      <c r="O746" s="80"/>
      <c r="P746" s="82" t="n">
        <f aca="false">IF(C746="","",IFERROR(MATCH(Q746,'CARNET DE SOUDURE'!$AW$7:$AW$3006,0),""))</f>
        <v>740</v>
      </c>
      <c r="Q746" s="82" t="str">
        <f aca="false">IF(C746="","",B746&amp;"|"&amp;C746)</f>
        <v>MFD-ISW → MFD-CPF|JN°740</v>
      </c>
    </row>
    <row r="747" customFormat="false" ht="74.6" hidden="false" customHeight="false" outlineLevel="0" collapsed="false">
      <c r="A747" s="82" t="n">
        <f aca="false">IF(C747="","",ROW()-6)</f>
        <v>741</v>
      </c>
      <c r="B747" s="80" t="s">
        <v>110</v>
      </c>
      <c r="C747" s="113" t="s">
        <v>851</v>
      </c>
      <c r="D747" s="82" t="str">
        <f aca="false">IF(OR(C747="",P747=""),"",INDEX('CARNET DE SOUDURE'!$D$7:$D$3006,P747)&amp;"")</f>
        <v/>
      </c>
      <c r="E747" s="114" t="str">
        <f aca="false">IF(OR(C747="",P747=""),"",IF(INDEX('CARNET DE SOUDURE'!$U$7:$U$3006,P747)="","",INDEX('CARNET DE SOUDURE'!$U$7:$U$3006,P747)))</f>
        <v/>
      </c>
      <c r="F747" s="82" t="str">
        <f aca="false">IF(OR(C747="",P747=""),"",INDEX('CARNET DE SOUDURE'!$AP$7:$AP$3006,P747))</f>
        <v/>
      </c>
      <c r="G747" s="82" t="str">
        <f aca="false">IF(C747="","",IF(P747="","NJ INCONNU",INDEX('CARNET DE SOUDURE'!$AQ$7:$AQ$3006,P747)))</f>
        <v>À SOUDER</v>
      </c>
      <c r="H747" s="82" t="str">
        <f aca="false">IF(C747="","",IF(G747="ACCEPTÉ","OUI","NON"))</f>
        <v>NON</v>
      </c>
      <c r="I747" s="83"/>
      <c r="J747" s="80"/>
      <c r="K747" s="81"/>
      <c r="L747" s="81"/>
      <c r="M747" s="81"/>
      <c r="N747" s="84" t="str">
        <f aca="false">IF(C747="","",IF(P747="","NJ INCONNU",IF(I747="",IF(H747="OUI","À ENROBER",IF(G747="À SOUDER","NON SOUDÉ","EN ATTENTE RT")),IF(L747="R","À REPRENDRE",IF(H747&lt;&gt;"OUI","⚠ ENROBÉ AVANT ACCEPTATION RT","ENROBÉ")))))</f>
        <v>NON SOUDÉ</v>
      </c>
      <c r="O747" s="80"/>
      <c r="P747" s="82" t="n">
        <f aca="false">IF(C747="","",IFERROR(MATCH(Q747,'CARNET DE SOUDURE'!$AW$7:$AW$3006,0),""))</f>
        <v>741</v>
      </c>
      <c r="Q747" s="82" t="str">
        <f aca="false">IF(C747="","",B747&amp;"|"&amp;C747)</f>
        <v>MFD-ISW → MFD-CPF|JN°741</v>
      </c>
    </row>
    <row r="748" customFormat="false" ht="74.6" hidden="false" customHeight="false" outlineLevel="0" collapsed="false">
      <c r="A748" s="82" t="n">
        <f aca="false">IF(C748="","",ROW()-6)</f>
        <v>742</v>
      </c>
      <c r="B748" s="80" t="s">
        <v>110</v>
      </c>
      <c r="C748" s="113" t="s">
        <v>852</v>
      </c>
      <c r="D748" s="82" t="str">
        <f aca="false">IF(OR(C748="",P748=""),"",INDEX('CARNET DE SOUDURE'!$D$7:$D$3006,P748)&amp;"")</f>
        <v/>
      </c>
      <c r="E748" s="114" t="str">
        <f aca="false">IF(OR(C748="",P748=""),"",IF(INDEX('CARNET DE SOUDURE'!$U$7:$U$3006,P748)="","",INDEX('CARNET DE SOUDURE'!$U$7:$U$3006,P748)))</f>
        <v/>
      </c>
      <c r="F748" s="82" t="str">
        <f aca="false">IF(OR(C748="",P748=""),"",INDEX('CARNET DE SOUDURE'!$AP$7:$AP$3006,P748))</f>
        <v/>
      </c>
      <c r="G748" s="82" t="str">
        <f aca="false">IF(C748="","",IF(P748="","NJ INCONNU",INDEX('CARNET DE SOUDURE'!$AQ$7:$AQ$3006,P748)))</f>
        <v>À SOUDER</v>
      </c>
      <c r="H748" s="82" t="str">
        <f aca="false">IF(C748="","",IF(G748="ACCEPTÉ","OUI","NON"))</f>
        <v>NON</v>
      </c>
      <c r="I748" s="83"/>
      <c r="J748" s="80"/>
      <c r="K748" s="81"/>
      <c r="L748" s="81"/>
      <c r="M748" s="81"/>
      <c r="N748" s="84" t="str">
        <f aca="false">IF(C748="","",IF(P748="","NJ INCONNU",IF(I748="",IF(H748="OUI","À ENROBER",IF(G748="À SOUDER","NON SOUDÉ","EN ATTENTE RT")),IF(L748="R","À REPRENDRE",IF(H748&lt;&gt;"OUI","⚠ ENROBÉ AVANT ACCEPTATION RT","ENROBÉ")))))</f>
        <v>NON SOUDÉ</v>
      </c>
      <c r="O748" s="80"/>
      <c r="P748" s="82" t="n">
        <f aca="false">IF(C748="","",IFERROR(MATCH(Q748,'CARNET DE SOUDURE'!$AW$7:$AW$3006,0),""))</f>
        <v>742</v>
      </c>
      <c r="Q748" s="82" t="str">
        <f aca="false">IF(C748="","",B748&amp;"|"&amp;C748)</f>
        <v>MFD-ISW → MFD-CPF|JN°742</v>
      </c>
    </row>
    <row r="749" customFormat="false" ht="74.6" hidden="false" customHeight="false" outlineLevel="0" collapsed="false">
      <c r="A749" s="82" t="n">
        <f aca="false">IF(C749="","",ROW()-6)</f>
        <v>743</v>
      </c>
      <c r="B749" s="80" t="s">
        <v>110</v>
      </c>
      <c r="C749" s="113" t="s">
        <v>853</v>
      </c>
      <c r="D749" s="82" t="str">
        <f aca="false">IF(OR(C749="",P749=""),"",INDEX('CARNET DE SOUDURE'!$D$7:$D$3006,P749)&amp;"")</f>
        <v/>
      </c>
      <c r="E749" s="114" t="str">
        <f aca="false">IF(OR(C749="",P749=""),"",IF(INDEX('CARNET DE SOUDURE'!$U$7:$U$3006,P749)="","",INDEX('CARNET DE SOUDURE'!$U$7:$U$3006,P749)))</f>
        <v/>
      </c>
      <c r="F749" s="82" t="str">
        <f aca="false">IF(OR(C749="",P749=""),"",INDEX('CARNET DE SOUDURE'!$AP$7:$AP$3006,P749))</f>
        <v/>
      </c>
      <c r="G749" s="82" t="str">
        <f aca="false">IF(C749="","",IF(P749="","NJ INCONNU",INDEX('CARNET DE SOUDURE'!$AQ$7:$AQ$3006,P749)))</f>
        <v>À SOUDER</v>
      </c>
      <c r="H749" s="82" t="str">
        <f aca="false">IF(C749="","",IF(G749="ACCEPTÉ","OUI","NON"))</f>
        <v>NON</v>
      </c>
      <c r="I749" s="83"/>
      <c r="J749" s="80"/>
      <c r="K749" s="81"/>
      <c r="L749" s="81"/>
      <c r="M749" s="81"/>
      <c r="N749" s="84" t="str">
        <f aca="false">IF(C749="","",IF(P749="","NJ INCONNU",IF(I749="",IF(H749="OUI","À ENROBER",IF(G749="À SOUDER","NON SOUDÉ","EN ATTENTE RT")),IF(L749="R","À REPRENDRE",IF(H749&lt;&gt;"OUI","⚠ ENROBÉ AVANT ACCEPTATION RT","ENROBÉ")))))</f>
        <v>NON SOUDÉ</v>
      </c>
      <c r="O749" s="80"/>
      <c r="P749" s="82" t="n">
        <f aca="false">IF(C749="","",IFERROR(MATCH(Q749,'CARNET DE SOUDURE'!$AW$7:$AW$3006,0),""))</f>
        <v>743</v>
      </c>
      <c r="Q749" s="82" t="str">
        <f aca="false">IF(C749="","",B749&amp;"|"&amp;C749)</f>
        <v>MFD-ISW → MFD-CPF|JN°743</v>
      </c>
    </row>
    <row r="750" customFormat="false" ht="74.6" hidden="false" customHeight="false" outlineLevel="0" collapsed="false">
      <c r="A750" s="82" t="n">
        <f aca="false">IF(C750="","",ROW()-6)</f>
        <v>744</v>
      </c>
      <c r="B750" s="80" t="s">
        <v>110</v>
      </c>
      <c r="C750" s="113" t="s">
        <v>854</v>
      </c>
      <c r="D750" s="82" t="str">
        <f aca="false">IF(OR(C750="",P750=""),"",INDEX('CARNET DE SOUDURE'!$D$7:$D$3006,P750)&amp;"")</f>
        <v/>
      </c>
      <c r="E750" s="114" t="str">
        <f aca="false">IF(OR(C750="",P750=""),"",IF(INDEX('CARNET DE SOUDURE'!$U$7:$U$3006,P750)="","",INDEX('CARNET DE SOUDURE'!$U$7:$U$3006,P750)))</f>
        <v/>
      </c>
      <c r="F750" s="82" t="str">
        <f aca="false">IF(OR(C750="",P750=""),"",INDEX('CARNET DE SOUDURE'!$AP$7:$AP$3006,P750))</f>
        <v/>
      </c>
      <c r="G750" s="82" t="str">
        <f aca="false">IF(C750="","",IF(P750="","NJ INCONNU",INDEX('CARNET DE SOUDURE'!$AQ$7:$AQ$3006,P750)))</f>
        <v>À SOUDER</v>
      </c>
      <c r="H750" s="82" t="str">
        <f aca="false">IF(C750="","",IF(G750="ACCEPTÉ","OUI","NON"))</f>
        <v>NON</v>
      </c>
      <c r="I750" s="83"/>
      <c r="J750" s="80"/>
      <c r="K750" s="81"/>
      <c r="L750" s="81"/>
      <c r="M750" s="81"/>
      <c r="N750" s="84" t="str">
        <f aca="false">IF(C750="","",IF(P750="","NJ INCONNU",IF(I750="",IF(H750="OUI","À ENROBER",IF(G750="À SOUDER","NON SOUDÉ","EN ATTENTE RT")),IF(L750="R","À REPRENDRE",IF(H750&lt;&gt;"OUI","⚠ ENROBÉ AVANT ACCEPTATION RT","ENROBÉ")))))</f>
        <v>NON SOUDÉ</v>
      </c>
      <c r="O750" s="80"/>
      <c r="P750" s="82" t="n">
        <f aca="false">IF(C750="","",IFERROR(MATCH(Q750,'CARNET DE SOUDURE'!$AW$7:$AW$3006,0),""))</f>
        <v>744</v>
      </c>
      <c r="Q750" s="82" t="str">
        <f aca="false">IF(C750="","",B750&amp;"|"&amp;C750)</f>
        <v>MFD-ISW → MFD-CPF|JN°744</v>
      </c>
    </row>
    <row r="751" customFormat="false" ht="74.6" hidden="false" customHeight="false" outlineLevel="0" collapsed="false">
      <c r="A751" s="82" t="n">
        <f aca="false">IF(C751="","",ROW()-6)</f>
        <v>745</v>
      </c>
      <c r="B751" s="80" t="s">
        <v>110</v>
      </c>
      <c r="C751" s="113" t="s">
        <v>855</v>
      </c>
      <c r="D751" s="82" t="str">
        <f aca="false">IF(OR(C751="",P751=""),"",INDEX('CARNET DE SOUDURE'!$D$7:$D$3006,P751)&amp;"")</f>
        <v/>
      </c>
      <c r="E751" s="114" t="str">
        <f aca="false">IF(OR(C751="",P751=""),"",IF(INDEX('CARNET DE SOUDURE'!$U$7:$U$3006,P751)="","",INDEX('CARNET DE SOUDURE'!$U$7:$U$3006,P751)))</f>
        <v/>
      </c>
      <c r="F751" s="82" t="str">
        <f aca="false">IF(OR(C751="",P751=""),"",INDEX('CARNET DE SOUDURE'!$AP$7:$AP$3006,P751))</f>
        <v/>
      </c>
      <c r="G751" s="82" t="str">
        <f aca="false">IF(C751="","",IF(P751="","NJ INCONNU",INDEX('CARNET DE SOUDURE'!$AQ$7:$AQ$3006,P751)))</f>
        <v>À SOUDER</v>
      </c>
      <c r="H751" s="82" t="str">
        <f aca="false">IF(C751="","",IF(G751="ACCEPTÉ","OUI","NON"))</f>
        <v>NON</v>
      </c>
      <c r="I751" s="83"/>
      <c r="J751" s="80"/>
      <c r="K751" s="81"/>
      <c r="L751" s="81"/>
      <c r="M751" s="81"/>
      <c r="N751" s="84" t="str">
        <f aca="false">IF(C751="","",IF(P751="","NJ INCONNU",IF(I751="",IF(H751="OUI","À ENROBER",IF(G751="À SOUDER","NON SOUDÉ","EN ATTENTE RT")),IF(L751="R","À REPRENDRE",IF(H751&lt;&gt;"OUI","⚠ ENROBÉ AVANT ACCEPTATION RT","ENROBÉ")))))</f>
        <v>NON SOUDÉ</v>
      </c>
      <c r="O751" s="80"/>
      <c r="P751" s="82" t="n">
        <f aca="false">IF(C751="","",IFERROR(MATCH(Q751,'CARNET DE SOUDURE'!$AW$7:$AW$3006,0),""))</f>
        <v>745</v>
      </c>
      <c r="Q751" s="82" t="str">
        <f aca="false">IF(C751="","",B751&amp;"|"&amp;C751)</f>
        <v>MFD-ISW → MFD-CPF|JN°745</v>
      </c>
    </row>
    <row r="752" customFormat="false" ht="74.6" hidden="false" customHeight="false" outlineLevel="0" collapsed="false">
      <c r="A752" s="82" t="n">
        <f aca="false">IF(C752="","",ROW()-6)</f>
        <v>746</v>
      </c>
      <c r="B752" s="80" t="s">
        <v>110</v>
      </c>
      <c r="C752" s="113" t="s">
        <v>856</v>
      </c>
      <c r="D752" s="82" t="str">
        <f aca="false">IF(OR(C752="",P752=""),"",INDEX('CARNET DE SOUDURE'!$D$7:$D$3006,P752)&amp;"")</f>
        <v/>
      </c>
      <c r="E752" s="114" t="str">
        <f aca="false">IF(OR(C752="",P752=""),"",IF(INDEX('CARNET DE SOUDURE'!$U$7:$U$3006,P752)="","",INDEX('CARNET DE SOUDURE'!$U$7:$U$3006,P752)))</f>
        <v/>
      </c>
      <c r="F752" s="82" t="str">
        <f aca="false">IF(OR(C752="",P752=""),"",INDEX('CARNET DE SOUDURE'!$AP$7:$AP$3006,P752))</f>
        <v/>
      </c>
      <c r="G752" s="82" t="str">
        <f aca="false">IF(C752="","",IF(P752="","NJ INCONNU",INDEX('CARNET DE SOUDURE'!$AQ$7:$AQ$3006,P752)))</f>
        <v>À SOUDER</v>
      </c>
      <c r="H752" s="82" t="str">
        <f aca="false">IF(C752="","",IF(G752="ACCEPTÉ","OUI","NON"))</f>
        <v>NON</v>
      </c>
      <c r="I752" s="83"/>
      <c r="J752" s="80"/>
      <c r="K752" s="81"/>
      <c r="L752" s="81"/>
      <c r="M752" s="81"/>
      <c r="N752" s="84" t="str">
        <f aca="false">IF(C752="","",IF(P752="","NJ INCONNU",IF(I752="",IF(H752="OUI","À ENROBER",IF(G752="À SOUDER","NON SOUDÉ","EN ATTENTE RT")),IF(L752="R","À REPRENDRE",IF(H752&lt;&gt;"OUI","⚠ ENROBÉ AVANT ACCEPTATION RT","ENROBÉ")))))</f>
        <v>NON SOUDÉ</v>
      </c>
      <c r="O752" s="80"/>
      <c r="P752" s="82" t="n">
        <f aca="false">IF(C752="","",IFERROR(MATCH(Q752,'CARNET DE SOUDURE'!$AW$7:$AW$3006,0),""))</f>
        <v>746</v>
      </c>
      <c r="Q752" s="82" t="str">
        <f aca="false">IF(C752="","",B752&amp;"|"&amp;C752)</f>
        <v>MFD-ISW → MFD-CPF|JN°746</v>
      </c>
    </row>
    <row r="753" customFormat="false" ht="74.6" hidden="false" customHeight="false" outlineLevel="0" collapsed="false">
      <c r="A753" s="82" t="n">
        <f aca="false">IF(C753="","",ROW()-6)</f>
        <v>747</v>
      </c>
      <c r="B753" s="80" t="s">
        <v>110</v>
      </c>
      <c r="C753" s="113" t="s">
        <v>857</v>
      </c>
      <c r="D753" s="82" t="str">
        <f aca="false">IF(OR(C753="",P753=""),"",INDEX('CARNET DE SOUDURE'!$D$7:$D$3006,P753)&amp;"")</f>
        <v/>
      </c>
      <c r="E753" s="114" t="str">
        <f aca="false">IF(OR(C753="",P753=""),"",IF(INDEX('CARNET DE SOUDURE'!$U$7:$U$3006,P753)="","",INDEX('CARNET DE SOUDURE'!$U$7:$U$3006,P753)))</f>
        <v/>
      </c>
      <c r="F753" s="82" t="str">
        <f aca="false">IF(OR(C753="",P753=""),"",INDEX('CARNET DE SOUDURE'!$AP$7:$AP$3006,P753))</f>
        <v/>
      </c>
      <c r="G753" s="82" t="str">
        <f aca="false">IF(C753="","",IF(P753="","NJ INCONNU",INDEX('CARNET DE SOUDURE'!$AQ$7:$AQ$3006,P753)))</f>
        <v>À SOUDER</v>
      </c>
      <c r="H753" s="82" t="str">
        <f aca="false">IF(C753="","",IF(G753="ACCEPTÉ","OUI","NON"))</f>
        <v>NON</v>
      </c>
      <c r="I753" s="83"/>
      <c r="J753" s="80"/>
      <c r="K753" s="81"/>
      <c r="L753" s="81"/>
      <c r="M753" s="81"/>
      <c r="N753" s="84" t="str">
        <f aca="false">IF(C753="","",IF(P753="","NJ INCONNU",IF(I753="",IF(H753="OUI","À ENROBER",IF(G753="À SOUDER","NON SOUDÉ","EN ATTENTE RT")),IF(L753="R","À REPRENDRE",IF(H753&lt;&gt;"OUI","⚠ ENROBÉ AVANT ACCEPTATION RT","ENROBÉ")))))</f>
        <v>NON SOUDÉ</v>
      </c>
      <c r="O753" s="80"/>
      <c r="P753" s="82" t="n">
        <f aca="false">IF(C753="","",IFERROR(MATCH(Q753,'CARNET DE SOUDURE'!$AW$7:$AW$3006,0),""))</f>
        <v>747</v>
      </c>
      <c r="Q753" s="82" t="str">
        <f aca="false">IF(C753="","",B753&amp;"|"&amp;C753)</f>
        <v>MFD-ISW → MFD-CPF|JN°747</v>
      </c>
    </row>
    <row r="754" customFormat="false" ht="74.6" hidden="false" customHeight="false" outlineLevel="0" collapsed="false">
      <c r="A754" s="82" t="n">
        <f aca="false">IF(C754="","",ROW()-6)</f>
        <v>748</v>
      </c>
      <c r="B754" s="80" t="s">
        <v>110</v>
      </c>
      <c r="C754" s="113" t="s">
        <v>858</v>
      </c>
      <c r="D754" s="82" t="str">
        <f aca="false">IF(OR(C754="",P754=""),"",INDEX('CARNET DE SOUDURE'!$D$7:$D$3006,P754)&amp;"")</f>
        <v/>
      </c>
      <c r="E754" s="114" t="str">
        <f aca="false">IF(OR(C754="",P754=""),"",IF(INDEX('CARNET DE SOUDURE'!$U$7:$U$3006,P754)="","",INDEX('CARNET DE SOUDURE'!$U$7:$U$3006,P754)))</f>
        <v/>
      </c>
      <c r="F754" s="82" t="str">
        <f aca="false">IF(OR(C754="",P754=""),"",INDEX('CARNET DE SOUDURE'!$AP$7:$AP$3006,P754))</f>
        <v/>
      </c>
      <c r="G754" s="82" t="str">
        <f aca="false">IF(C754="","",IF(P754="","NJ INCONNU",INDEX('CARNET DE SOUDURE'!$AQ$7:$AQ$3006,P754)))</f>
        <v>À SOUDER</v>
      </c>
      <c r="H754" s="82" t="str">
        <f aca="false">IF(C754="","",IF(G754="ACCEPTÉ","OUI","NON"))</f>
        <v>NON</v>
      </c>
      <c r="I754" s="83"/>
      <c r="J754" s="80"/>
      <c r="K754" s="81"/>
      <c r="L754" s="81"/>
      <c r="M754" s="81"/>
      <c r="N754" s="84" t="str">
        <f aca="false">IF(C754="","",IF(P754="","NJ INCONNU",IF(I754="",IF(H754="OUI","À ENROBER",IF(G754="À SOUDER","NON SOUDÉ","EN ATTENTE RT")),IF(L754="R","À REPRENDRE",IF(H754&lt;&gt;"OUI","⚠ ENROBÉ AVANT ACCEPTATION RT","ENROBÉ")))))</f>
        <v>NON SOUDÉ</v>
      </c>
      <c r="O754" s="80"/>
      <c r="P754" s="82" t="n">
        <f aca="false">IF(C754="","",IFERROR(MATCH(Q754,'CARNET DE SOUDURE'!$AW$7:$AW$3006,0),""))</f>
        <v>748</v>
      </c>
      <c r="Q754" s="82" t="str">
        <f aca="false">IF(C754="","",B754&amp;"|"&amp;C754)</f>
        <v>MFD-ISW → MFD-CPF|JN°748</v>
      </c>
    </row>
    <row r="755" customFormat="false" ht="74.6" hidden="false" customHeight="false" outlineLevel="0" collapsed="false">
      <c r="A755" s="82" t="n">
        <f aca="false">IF(C755="","",ROW()-6)</f>
        <v>749</v>
      </c>
      <c r="B755" s="80" t="s">
        <v>110</v>
      </c>
      <c r="C755" s="113" t="s">
        <v>859</v>
      </c>
      <c r="D755" s="82" t="str">
        <f aca="false">IF(OR(C755="",P755=""),"",INDEX('CARNET DE SOUDURE'!$D$7:$D$3006,P755)&amp;"")</f>
        <v/>
      </c>
      <c r="E755" s="114" t="str">
        <f aca="false">IF(OR(C755="",P755=""),"",IF(INDEX('CARNET DE SOUDURE'!$U$7:$U$3006,P755)="","",INDEX('CARNET DE SOUDURE'!$U$7:$U$3006,P755)))</f>
        <v/>
      </c>
      <c r="F755" s="82" t="str">
        <f aca="false">IF(OR(C755="",P755=""),"",INDEX('CARNET DE SOUDURE'!$AP$7:$AP$3006,P755))</f>
        <v/>
      </c>
      <c r="G755" s="82" t="str">
        <f aca="false">IF(C755="","",IF(P755="","NJ INCONNU",INDEX('CARNET DE SOUDURE'!$AQ$7:$AQ$3006,P755)))</f>
        <v>À SOUDER</v>
      </c>
      <c r="H755" s="82" t="str">
        <f aca="false">IF(C755="","",IF(G755="ACCEPTÉ","OUI","NON"))</f>
        <v>NON</v>
      </c>
      <c r="I755" s="83"/>
      <c r="J755" s="80"/>
      <c r="K755" s="81"/>
      <c r="L755" s="81"/>
      <c r="M755" s="81"/>
      <c r="N755" s="84" t="str">
        <f aca="false">IF(C755="","",IF(P755="","NJ INCONNU",IF(I755="",IF(H755="OUI","À ENROBER",IF(G755="À SOUDER","NON SOUDÉ","EN ATTENTE RT")),IF(L755="R","À REPRENDRE",IF(H755&lt;&gt;"OUI","⚠ ENROBÉ AVANT ACCEPTATION RT","ENROBÉ")))))</f>
        <v>NON SOUDÉ</v>
      </c>
      <c r="O755" s="80"/>
      <c r="P755" s="82" t="n">
        <f aca="false">IF(C755="","",IFERROR(MATCH(Q755,'CARNET DE SOUDURE'!$AW$7:$AW$3006,0),""))</f>
        <v>749</v>
      </c>
      <c r="Q755" s="82" t="str">
        <f aca="false">IF(C755="","",B755&amp;"|"&amp;C755)</f>
        <v>MFD-ISW → MFD-CPF|JN°749</v>
      </c>
    </row>
    <row r="756" customFormat="false" ht="74.6" hidden="false" customHeight="false" outlineLevel="0" collapsed="false">
      <c r="A756" s="82" t="n">
        <f aca="false">IF(C756="","",ROW()-6)</f>
        <v>750</v>
      </c>
      <c r="B756" s="80" t="s">
        <v>110</v>
      </c>
      <c r="C756" s="113" t="s">
        <v>860</v>
      </c>
      <c r="D756" s="82" t="str">
        <f aca="false">IF(OR(C756="",P756=""),"",INDEX('CARNET DE SOUDURE'!$D$7:$D$3006,P756)&amp;"")</f>
        <v/>
      </c>
      <c r="E756" s="114" t="str">
        <f aca="false">IF(OR(C756="",P756=""),"",IF(INDEX('CARNET DE SOUDURE'!$U$7:$U$3006,P756)="","",INDEX('CARNET DE SOUDURE'!$U$7:$U$3006,P756)))</f>
        <v/>
      </c>
      <c r="F756" s="82" t="str">
        <f aca="false">IF(OR(C756="",P756=""),"",INDEX('CARNET DE SOUDURE'!$AP$7:$AP$3006,P756))</f>
        <v/>
      </c>
      <c r="G756" s="82" t="str">
        <f aca="false">IF(C756="","",IF(P756="","NJ INCONNU",INDEX('CARNET DE SOUDURE'!$AQ$7:$AQ$3006,P756)))</f>
        <v>À SOUDER</v>
      </c>
      <c r="H756" s="82" t="str">
        <f aca="false">IF(C756="","",IF(G756="ACCEPTÉ","OUI","NON"))</f>
        <v>NON</v>
      </c>
      <c r="I756" s="83"/>
      <c r="J756" s="80"/>
      <c r="K756" s="81"/>
      <c r="L756" s="81"/>
      <c r="M756" s="81"/>
      <c r="N756" s="84" t="str">
        <f aca="false">IF(C756="","",IF(P756="","NJ INCONNU",IF(I756="",IF(H756="OUI","À ENROBER",IF(G756="À SOUDER","NON SOUDÉ","EN ATTENTE RT")),IF(L756="R","À REPRENDRE",IF(H756&lt;&gt;"OUI","⚠ ENROBÉ AVANT ACCEPTATION RT","ENROBÉ")))))</f>
        <v>NON SOUDÉ</v>
      </c>
      <c r="O756" s="80"/>
      <c r="P756" s="82" t="n">
        <f aca="false">IF(C756="","",IFERROR(MATCH(Q756,'CARNET DE SOUDURE'!$AW$7:$AW$3006,0),""))</f>
        <v>750</v>
      </c>
      <c r="Q756" s="82" t="str">
        <f aca="false">IF(C756="","",B756&amp;"|"&amp;C756)</f>
        <v>MFD-ISW → MFD-CPF|JN°750</v>
      </c>
    </row>
    <row r="757" customFormat="false" ht="74.6" hidden="false" customHeight="false" outlineLevel="0" collapsed="false">
      <c r="A757" s="82" t="n">
        <f aca="false">IF(C757="","",ROW()-6)</f>
        <v>751</v>
      </c>
      <c r="B757" s="80" t="s">
        <v>110</v>
      </c>
      <c r="C757" s="113" t="s">
        <v>861</v>
      </c>
      <c r="D757" s="82" t="str">
        <f aca="false">IF(OR(C757="",P757=""),"",INDEX('CARNET DE SOUDURE'!$D$7:$D$3006,P757)&amp;"")</f>
        <v/>
      </c>
      <c r="E757" s="114" t="str">
        <f aca="false">IF(OR(C757="",P757=""),"",IF(INDEX('CARNET DE SOUDURE'!$U$7:$U$3006,P757)="","",INDEX('CARNET DE SOUDURE'!$U$7:$U$3006,P757)))</f>
        <v/>
      </c>
      <c r="F757" s="82" t="str">
        <f aca="false">IF(OR(C757="",P757=""),"",INDEX('CARNET DE SOUDURE'!$AP$7:$AP$3006,P757))</f>
        <v/>
      </c>
      <c r="G757" s="82" t="str">
        <f aca="false">IF(C757="","",IF(P757="","NJ INCONNU",INDEX('CARNET DE SOUDURE'!$AQ$7:$AQ$3006,P757)))</f>
        <v>À SOUDER</v>
      </c>
      <c r="H757" s="82" t="str">
        <f aca="false">IF(C757="","",IF(G757="ACCEPTÉ","OUI","NON"))</f>
        <v>NON</v>
      </c>
      <c r="I757" s="83"/>
      <c r="J757" s="80"/>
      <c r="K757" s="81"/>
      <c r="L757" s="81"/>
      <c r="M757" s="81"/>
      <c r="N757" s="84" t="str">
        <f aca="false">IF(C757="","",IF(P757="","NJ INCONNU",IF(I757="",IF(H757="OUI","À ENROBER",IF(G757="À SOUDER","NON SOUDÉ","EN ATTENTE RT")),IF(L757="R","À REPRENDRE",IF(H757&lt;&gt;"OUI","⚠ ENROBÉ AVANT ACCEPTATION RT","ENROBÉ")))))</f>
        <v>NON SOUDÉ</v>
      </c>
      <c r="O757" s="80"/>
      <c r="P757" s="82" t="n">
        <f aca="false">IF(C757="","",IFERROR(MATCH(Q757,'CARNET DE SOUDURE'!$AW$7:$AW$3006,0),""))</f>
        <v>751</v>
      </c>
      <c r="Q757" s="82" t="str">
        <f aca="false">IF(C757="","",B757&amp;"|"&amp;C757)</f>
        <v>MFD-ISW → MFD-CPF|JN°751</v>
      </c>
    </row>
    <row r="758" customFormat="false" ht="74.6" hidden="false" customHeight="false" outlineLevel="0" collapsed="false">
      <c r="A758" s="82" t="n">
        <f aca="false">IF(C758="","",ROW()-6)</f>
        <v>752</v>
      </c>
      <c r="B758" s="80" t="s">
        <v>110</v>
      </c>
      <c r="C758" s="113" t="s">
        <v>862</v>
      </c>
      <c r="D758" s="82" t="str">
        <f aca="false">IF(OR(C758="",P758=""),"",INDEX('CARNET DE SOUDURE'!$D$7:$D$3006,P758)&amp;"")</f>
        <v/>
      </c>
      <c r="E758" s="114" t="str">
        <f aca="false">IF(OR(C758="",P758=""),"",IF(INDEX('CARNET DE SOUDURE'!$U$7:$U$3006,P758)="","",INDEX('CARNET DE SOUDURE'!$U$7:$U$3006,P758)))</f>
        <v/>
      </c>
      <c r="F758" s="82" t="str">
        <f aca="false">IF(OR(C758="",P758=""),"",INDEX('CARNET DE SOUDURE'!$AP$7:$AP$3006,P758))</f>
        <v/>
      </c>
      <c r="G758" s="82" t="str">
        <f aca="false">IF(C758="","",IF(P758="","NJ INCONNU",INDEX('CARNET DE SOUDURE'!$AQ$7:$AQ$3006,P758)))</f>
        <v>À SOUDER</v>
      </c>
      <c r="H758" s="82" t="str">
        <f aca="false">IF(C758="","",IF(G758="ACCEPTÉ","OUI","NON"))</f>
        <v>NON</v>
      </c>
      <c r="I758" s="83"/>
      <c r="J758" s="80"/>
      <c r="K758" s="81"/>
      <c r="L758" s="81"/>
      <c r="M758" s="81"/>
      <c r="N758" s="84" t="str">
        <f aca="false">IF(C758="","",IF(P758="","NJ INCONNU",IF(I758="",IF(H758="OUI","À ENROBER",IF(G758="À SOUDER","NON SOUDÉ","EN ATTENTE RT")),IF(L758="R","À REPRENDRE",IF(H758&lt;&gt;"OUI","⚠ ENROBÉ AVANT ACCEPTATION RT","ENROBÉ")))))</f>
        <v>NON SOUDÉ</v>
      </c>
      <c r="O758" s="80"/>
      <c r="P758" s="82" t="n">
        <f aca="false">IF(C758="","",IFERROR(MATCH(Q758,'CARNET DE SOUDURE'!$AW$7:$AW$3006,0),""))</f>
        <v>752</v>
      </c>
      <c r="Q758" s="82" t="str">
        <f aca="false">IF(C758="","",B758&amp;"|"&amp;C758)</f>
        <v>MFD-ISW → MFD-CPF|JN°752</v>
      </c>
    </row>
    <row r="759" customFormat="false" ht="74.6" hidden="false" customHeight="false" outlineLevel="0" collapsed="false">
      <c r="A759" s="82" t="n">
        <f aca="false">IF(C759="","",ROW()-6)</f>
        <v>753</v>
      </c>
      <c r="B759" s="80" t="s">
        <v>110</v>
      </c>
      <c r="C759" s="113" t="s">
        <v>863</v>
      </c>
      <c r="D759" s="82" t="str">
        <f aca="false">IF(OR(C759="",P759=""),"",INDEX('CARNET DE SOUDURE'!$D$7:$D$3006,P759)&amp;"")</f>
        <v/>
      </c>
      <c r="E759" s="114" t="str">
        <f aca="false">IF(OR(C759="",P759=""),"",IF(INDEX('CARNET DE SOUDURE'!$U$7:$U$3006,P759)="","",INDEX('CARNET DE SOUDURE'!$U$7:$U$3006,P759)))</f>
        <v/>
      </c>
      <c r="F759" s="82" t="str">
        <f aca="false">IF(OR(C759="",P759=""),"",INDEX('CARNET DE SOUDURE'!$AP$7:$AP$3006,P759))</f>
        <v/>
      </c>
      <c r="G759" s="82" t="str">
        <f aca="false">IF(C759="","",IF(P759="","NJ INCONNU",INDEX('CARNET DE SOUDURE'!$AQ$7:$AQ$3006,P759)))</f>
        <v>À SOUDER</v>
      </c>
      <c r="H759" s="82" t="str">
        <f aca="false">IF(C759="","",IF(G759="ACCEPTÉ","OUI","NON"))</f>
        <v>NON</v>
      </c>
      <c r="I759" s="83"/>
      <c r="J759" s="80"/>
      <c r="K759" s="81"/>
      <c r="L759" s="81"/>
      <c r="M759" s="81"/>
      <c r="N759" s="84" t="str">
        <f aca="false">IF(C759="","",IF(P759="","NJ INCONNU",IF(I759="",IF(H759="OUI","À ENROBER",IF(G759="À SOUDER","NON SOUDÉ","EN ATTENTE RT")),IF(L759="R","À REPRENDRE",IF(H759&lt;&gt;"OUI","⚠ ENROBÉ AVANT ACCEPTATION RT","ENROBÉ")))))</f>
        <v>NON SOUDÉ</v>
      </c>
      <c r="O759" s="80"/>
      <c r="P759" s="82" t="n">
        <f aca="false">IF(C759="","",IFERROR(MATCH(Q759,'CARNET DE SOUDURE'!$AW$7:$AW$3006,0),""))</f>
        <v>753</v>
      </c>
      <c r="Q759" s="82" t="str">
        <f aca="false">IF(C759="","",B759&amp;"|"&amp;C759)</f>
        <v>MFD-ISW → MFD-CPF|JN°753</v>
      </c>
    </row>
    <row r="760" customFormat="false" ht="74.6" hidden="false" customHeight="false" outlineLevel="0" collapsed="false">
      <c r="A760" s="82" t="n">
        <f aca="false">IF(C760="","",ROW()-6)</f>
        <v>754</v>
      </c>
      <c r="B760" s="80" t="s">
        <v>110</v>
      </c>
      <c r="C760" s="113" t="s">
        <v>864</v>
      </c>
      <c r="D760" s="82" t="str">
        <f aca="false">IF(OR(C760="",P760=""),"",INDEX('CARNET DE SOUDURE'!$D$7:$D$3006,P760)&amp;"")</f>
        <v/>
      </c>
      <c r="E760" s="114" t="str">
        <f aca="false">IF(OR(C760="",P760=""),"",IF(INDEX('CARNET DE SOUDURE'!$U$7:$U$3006,P760)="","",INDEX('CARNET DE SOUDURE'!$U$7:$U$3006,P760)))</f>
        <v/>
      </c>
      <c r="F760" s="82" t="str">
        <f aca="false">IF(OR(C760="",P760=""),"",INDEX('CARNET DE SOUDURE'!$AP$7:$AP$3006,P760))</f>
        <v/>
      </c>
      <c r="G760" s="82" t="str">
        <f aca="false">IF(C760="","",IF(P760="","NJ INCONNU",INDEX('CARNET DE SOUDURE'!$AQ$7:$AQ$3006,P760)))</f>
        <v>À SOUDER</v>
      </c>
      <c r="H760" s="82" t="str">
        <f aca="false">IF(C760="","",IF(G760="ACCEPTÉ","OUI","NON"))</f>
        <v>NON</v>
      </c>
      <c r="I760" s="83"/>
      <c r="J760" s="80"/>
      <c r="K760" s="81"/>
      <c r="L760" s="81"/>
      <c r="M760" s="81"/>
      <c r="N760" s="84" t="str">
        <f aca="false">IF(C760="","",IF(P760="","NJ INCONNU",IF(I760="",IF(H760="OUI","À ENROBER",IF(G760="À SOUDER","NON SOUDÉ","EN ATTENTE RT")),IF(L760="R","À REPRENDRE",IF(H760&lt;&gt;"OUI","⚠ ENROBÉ AVANT ACCEPTATION RT","ENROBÉ")))))</f>
        <v>NON SOUDÉ</v>
      </c>
      <c r="O760" s="80"/>
      <c r="P760" s="82" t="n">
        <f aca="false">IF(C760="","",IFERROR(MATCH(Q760,'CARNET DE SOUDURE'!$AW$7:$AW$3006,0),""))</f>
        <v>754</v>
      </c>
      <c r="Q760" s="82" t="str">
        <f aca="false">IF(C760="","",B760&amp;"|"&amp;C760)</f>
        <v>MFD-ISW → MFD-CPF|JN°754</v>
      </c>
    </row>
    <row r="761" customFormat="false" ht="74.6" hidden="false" customHeight="false" outlineLevel="0" collapsed="false">
      <c r="A761" s="82" t="n">
        <f aca="false">IF(C761="","",ROW()-6)</f>
        <v>755</v>
      </c>
      <c r="B761" s="80" t="s">
        <v>110</v>
      </c>
      <c r="C761" s="113" t="s">
        <v>865</v>
      </c>
      <c r="D761" s="82" t="str">
        <f aca="false">IF(OR(C761="",P761=""),"",INDEX('CARNET DE SOUDURE'!$D$7:$D$3006,P761)&amp;"")</f>
        <v/>
      </c>
      <c r="E761" s="114" t="str">
        <f aca="false">IF(OR(C761="",P761=""),"",IF(INDEX('CARNET DE SOUDURE'!$U$7:$U$3006,P761)="","",INDEX('CARNET DE SOUDURE'!$U$7:$U$3006,P761)))</f>
        <v/>
      </c>
      <c r="F761" s="82" t="str">
        <f aca="false">IF(OR(C761="",P761=""),"",INDEX('CARNET DE SOUDURE'!$AP$7:$AP$3006,P761))</f>
        <v/>
      </c>
      <c r="G761" s="82" t="str">
        <f aca="false">IF(C761="","",IF(P761="","NJ INCONNU",INDEX('CARNET DE SOUDURE'!$AQ$7:$AQ$3006,P761)))</f>
        <v>À SOUDER</v>
      </c>
      <c r="H761" s="82" t="str">
        <f aca="false">IF(C761="","",IF(G761="ACCEPTÉ","OUI","NON"))</f>
        <v>NON</v>
      </c>
      <c r="I761" s="83"/>
      <c r="J761" s="80"/>
      <c r="K761" s="81"/>
      <c r="L761" s="81"/>
      <c r="M761" s="81"/>
      <c r="N761" s="84" t="str">
        <f aca="false">IF(C761="","",IF(P761="","NJ INCONNU",IF(I761="",IF(H761="OUI","À ENROBER",IF(G761="À SOUDER","NON SOUDÉ","EN ATTENTE RT")),IF(L761="R","À REPRENDRE",IF(H761&lt;&gt;"OUI","⚠ ENROBÉ AVANT ACCEPTATION RT","ENROBÉ")))))</f>
        <v>NON SOUDÉ</v>
      </c>
      <c r="O761" s="80"/>
      <c r="P761" s="82" t="n">
        <f aca="false">IF(C761="","",IFERROR(MATCH(Q761,'CARNET DE SOUDURE'!$AW$7:$AW$3006,0),""))</f>
        <v>755</v>
      </c>
      <c r="Q761" s="82" t="str">
        <f aca="false">IF(C761="","",B761&amp;"|"&amp;C761)</f>
        <v>MFD-ISW → MFD-CPF|JN°755</v>
      </c>
    </row>
    <row r="762" customFormat="false" ht="74.6" hidden="false" customHeight="false" outlineLevel="0" collapsed="false">
      <c r="A762" s="82" t="n">
        <f aca="false">IF(C762="","",ROW()-6)</f>
        <v>756</v>
      </c>
      <c r="B762" s="80" t="s">
        <v>110</v>
      </c>
      <c r="C762" s="113" t="s">
        <v>866</v>
      </c>
      <c r="D762" s="82" t="str">
        <f aca="false">IF(OR(C762="",P762=""),"",INDEX('CARNET DE SOUDURE'!$D$7:$D$3006,P762)&amp;"")</f>
        <v/>
      </c>
      <c r="E762" s="114" t="str">
        <f aca="false">IF(OR(C762="",P762=""),"",IF(INDEX('CARNET DE SOUDURE'!$U$7:$U$3006,P762)="","",INDEX('CARNET DE SOUDURE'!$U$7:$U$3006,P762)))</f>
        <v/>
      </c>
      <c r="F762" s="82" t="str">
        <f aca="false">IF(OR(C762="",P762=""),"",INDEX('CARNET DE SOUDURE'!$AP$7:$AP$3006,P762))</f>
        <v/>
      </c>
      <c r="G762" s="82" t="str">
        <f aca="false">IF(C762="","",IF(P762="","NJ INCONNU",INDEX('CARNET DE SOUDURE'!$AQ$7:$AQ$3006,P762)))</f>
        <v>À SOUDER</v>
      </c>
      <c r="H762" s="82" t="str">
        <f aca="false">IF(C762="","",IF(G762="ACCEPTÉ","OUI","NON"))</f>
        <v>NON</v>
      </c>
      <c r="I762" s="83"/>
      <c r="J762" s="80"/>
      <c r="K762" s="81"/>
      <c r="L762" s="81"/>
      <c r="M762" s="81"/>
      <c r="N762" s="84" t="str">
        <f aca="false">IF(C762="","",IF(P762="","NJ INCONNU",IF(I762="",IF(H762="OUI","À ENROBER",IF(G762="À SOUDER","NON SOUDÉ","EN ATTENTE RT")),IF(L762="R","À REPRENDRE",IF(H762&lt;&gt;"OUI","⚠ ENROBÉ AVANT ACCEPTATION RT","ENROBÉ")))))</f>
        <v>NON SOUDÉ</v>
      </c>
      <c r="O762" s="80"/>
      <c r="P762" s="82" t="n">
        <f aca="false">IF(C762="","",IFERROR(MATCH(Q762,'CARNET DE SOUDURE'!$AW$7:$AW$3006,0),""))</f>
        <v>756</v>
      </c>
      <c r="Q762" s="82" t="str">
        <f aca="false">IF(C762="","",B762&amp;"|"&amp;C762)</f>
        <v>MFD-ISW → MFD-CPF|JN°756</v>
      </c>
    </row>
    <row r="763" customFormat="false" ht="74.6" hidden="false" customHeight="false" outlineLevel="0" collapsed="false">
      <c r="A763" s="82" t="n">
        <f aca="false">IF(C763="","",ROW()-6)</f>
        <v>757</v>
      </c>
      <c r="B763" s="80" t="s">
        <v>110</v>
      </c>
      <c r="C763" s="113" t="s">
        <v>867</v>
      </c>
      <c r="D763" s="82" t="str">
        <f aca="false">IF(OR(C763="",P763=""),"",INDEX('CARNET DE SOUDURE'!$D$7:$D$3006,P763)&amp;"")</f>
        <v/>
      </c>
      <c r="E763" s="114" t="str">
        <f aca="false">IF(OR(C763="",P763=""),"",IF(INDEX('CARNET DE SOUDURE'!$U$7:$U$3006,P763)="","",INDEX('CARNET DE SOUDURE'!$U$7:$U$3006,P763)))</f>
        <v/>
      </c>
      <c r="F763" s="82" t="str">
        <f aca="false">IF(OR(C763="",P763=""),"",INDEX('CARNET DE SOUDURE'!$AP$7:$AP$3006,P763))</f>
        <v/>
      </c>
      <c r="G763" s="82" t="str">
        <f aca="false">IF(C763="","",IF(P763="","NJ INCONNU",INDEX('CARNET DE SOUDURE'!$AQ$7:$AQ$3006,P763)))</f>
        <v>À SOUDER</v>
      </c>
      <c r="H763" s="82" t="str">
        <f aca="false">IF(C763="","",IF(G763="ACCEPTÉ","OUI","NON"))</f>
        <v>NON</v>
      </c>
      <c r="I763" s="83"/>
      <c r="J763" s="80"/>
      <c r="K763" s="81"/>
      <c r="L763" s="81"/>
      <c r="M763" s="81"/>
      <c r="N763" s="84" t="str">
        <f aca="false">IF(C763="","",IF(P763="","NJ INCONNU",IF(I763="",IF(H763="OUI","À ENROBER",IF(G763="À SOUDER","NON SOUDÉ","EN ATTENTE RT")),IF(L763="R","À REPRENDRE",IF(H763&lt;&gt;"OUI","⚠ ENROBÉ AVANT ACCEPTATION RT","ENROBÉ")))))</f>
        <v>NON SOUDÉ</v>
      </c>
      <c r="O763" s="80"/>
      <c r="P763" s="82" t="n">
        <f aca="false">IF(C763="","",IFERROR(MATCH(Q763,'CARNET DE SOUDURE'!$AW$7:$AW$3006,0),""))</f>
        <v>757</v>
      </c>
      <c r="Q763" s="82" t="str">
        <f aca="false">IF(C763="","",B763&amp;"|"&amp;C763)</f>
        <v>MFD-ISW → MFD-CPF|JN°757</v>
      </c>
    </row>
    <row r="764" customFormat="false" ht="74.6" hidden="false" customHeight="false" outlineLevel="0" collapsed="false">
      <c r="A764" s="82" t="n">
        <f aca="false">IF(C764="","",ROW()-6)</f>
        <v>758</v>
      </c>
      <c r="B764" s="80" t="s">
        <v>110</v>
      </c>
      <c r="C764" s="113" t="s">
        <v>870</v>
      </c>
      <c r="D764" s="82" t="str">
        <f aca="false">IF(OR(C764="",P764=""),"",INDEX('CARNET DE SOUDURE'!$D$7:$D$3006,P764)&amp;"")</f>
        <v>/</v>
      </c>
      <c r="E764" s="114" t="n">
        <f aca="false">IF(OR(C764="",P764=""),"",IF(INDEX('CARNET DE SOUDURE'!$U$7:$U$3006,P764)="","",INDEX('CARNET DE SOUDURE'!$U$7:$U$3006,P764)))</f>
        <v>46290</v>
      </c>
      <c r="F764" s="82" t="str">
        <f aca="false">IF(OR(C764="",P764=""),"",INDEX('CARNET DE SOUDURE'!$AP$7:$AP$3006,P764))</f>
        <v>A</v>
      </c>
      <c r="G764" s="82" t="str">
        <f aca="false">IF(C764="","",IF(P764="","NJ INCONNU",INDEX('CARNET DE SOUDURE'!$AQ$7:$AQ$3006,P764)))</f>
        <v>ACCEPTÉ</v>
      </c>
      <c r="H764" s="82" t="str">
        <f aca="false">IF(C764="","",IF(G764="ACCEPTÉ","OUI","NON"))</f>
        <v>OUI</v>
      </c>
      <c r="I764" s="83"/>
      <c r="J764" s="80"/>
      <c r="K764" s="81"/>
      <c r="L764" s="81"/>
      <c r="M764" s="81"/>
      <c r="N764" s="84" t="str">
        <f aca="false">IF(C764="","",IF(P764="","NJ INCONNU",IF(I764="",IF(H764="OUI","À ENROBER",IF(G764="À SOUDER","NON SOUDÉ","EN ATTENTE RT")),IF(L764="R","À REPRENDRE",IF(H764&lt;&gt;"OUI","⚠ ENROBÉ AVANT ACCEPTATION RT","ENROBÉ")))))</f>
        <v>À ENROBER</v>
      </c>
      <c r="O764" s="80"/>
      <c r="P764" s="82" t="n">
        <f aca="false">IF(C764="","",IFERROR(MATCH(Q764,'CARNET DE SOUDURE'!$AW$7:$AW$3006,0),""))</f>
        <v>758</v>
      </c>
      <c r="Q764" s="82" t="str">
        <f aca="false">IF(C764="","",B764&amp;"|"&amp;C764)</f>
        <v>MFD-ISW → MFD-CPF|DJ°522</v>
      </c>
    </row>
    <row r="765" customFormat="false" ht="74.6" hidden="false" customHeight="false" outlineLevel="0" collapsed="false">
      <c r="A765" s="82" t="n">
        <f aca="false">IF(C765="","",ROW()-6)</f>
        <v>759</v>
      </c>
      <c r="B765" s="80" t="s">
        <v>110</v>
      </c>
      <c r="C765" s="113" t="s">
        <v>878</v>
      </c>
      <c r="D765" s="82" t="str">
        <f aca="false">IF(OR(C765="",P765=""),"",INDEX('CARNET DE SOUDURE'!$D$7:$D$3006,P765)&amp;"")</f>
        <v>4</v>
      </c>
      <c r="E765" s="114" t="n">
        <f aca="false">IF(OR(C765="",P765=""),"",IF(INDEX('CARNET DE SOUDURE'!$U$7:$U$3006,P765)="","",INDEX('CARNET DE SOUDURE'!$U$7:$U$3006,P765)))</f>
        <v>46291</v>
      </c>
      <c r="F765" s="82" t="str">
        <f aca="false">IF(OR(C765="",P765=""),"",INDEX('CARNET DE SOUDURE'!$AP$7:$AP$3006,P765))</f>
        <v/>
      </c>
      <c r="G765" s="82" t="str">
        <f aca="false">IF(C765="","",IF(P765="","NJ INCONNU",INDEX('CARNET DE SOUDURE'!$AQ$7:$AQ$3006,P765)))</f>
        <v>À RADIOGRAPHIER</v>
      </c>
      <c r="H765" s="82" t="str">
        <f aca="false">IF(C765="","",IF(G765="ACCEPTÉ","OUI","NON"))</f>
        <v>NON</v>
      </c>
      <c r="I765" s="83"/>
      <c r="J765" s="80"/>
      <c r="K765" s="81"/>
      <c r="L765" s="81"/>
      <c r="M765" s="81"/>
      <c r="N765" s="84" t="str">
        <f aca="false">IF(C765="","",IF(P765="","NJ INCONNU",IF(I765="",IF(H765="OUI","À ENROBER",IF(G765="À SOUDER","NON SOUDÉ","EN ATTENTE RT")),IF(L765="R","À REPRENDRE",IF(H765&lt;&gt;"OUI","⚠ ENROBÉ AVANT ACCEPTATION RT","ENROBÉ")))))</f>
        <v>EN ATTENTE RT</v>
      </c>
      <c r="O765" s="80"/>
      <c r="P765" s="82" t="n">
        <f aca="false">IF(C765="","",IFERROR(MATCH(Q765,'CARNET DE SOUDURE'!$AW$7:$AW$3006,0),""))</f>
        <v>759</v>
      </c>
      <c r="Q765" s="82" t="str">
        <f aca="false">IF(C765="","",B765&amp;"|"&amp;C765)</f>
        <v>MFD-ISW → MFD-CPF|JN°758</v>
      </c>
    </row>
    <row r="766" customFormat="false" ht="74.6" hidden="false" customHeight="false" outlineLevel="0" collapsed="false">
      <c r="A766" s="82" t="n">
        <f aca="false">IF(C766="","",ROW()-6)</f>
        <v>760</v>
      </c>
      <c r="B766" s="80" t="s">
        <v>110</v>
      </c>
      <c r="C766" s="113" t="s">
        <v>881</v>
      </c>
      <c r="D766" s="82" t="str">
        <f aca="false">IF(OR(C766="",P766=""),"",INDEX('CARNET DE SOUDURE'!$D$7:$D$3006,P766)&amp;"")</f>
        <v>4</v>
      </c>
      <c r="E766" s="114" t="n">
        <f aca="false">IF(OR(C766="",P766=""),"",IF(INDEX('CARNET DE SOUDURE'!$U$7:$U$3006,P766)="","",INDEX('CARNET DE SOUDURE'!$U$7:$U$3006,P766)))</f>
        <v>46289</v>
      </c>
      <c r="F766" s="82" t="str">
        <f aca="false">IF(OR(C766="",P766=""),"",INDEX('CARNET DE SOUDURE'!$AP$7:$AP$3006,P766))</f>
        <v>A</v>
      </c>
      <c r="G766" s="82" t="str">
        <f aca="false">IF(C766="","",IF(P766="","NJ INCONNU",INDEX('CARNET DE SOUDURE'!$AQ$7:$AQ$3006,P766)))</f>
        <v>ACCEPTÉ</v>
      </c>
      <c r="H766" s="82" t="str">
        <f aca="false">IF(C766="","",IF(G766="ACCEPTÉ","OUI","NON"))</f>
        <v>OUI</v>
      </c>
      <c r="I766" s="83"/>
      <c r="J766" s="80"/>
      <c r="K766" s="81"/>
      <c r="L766" s="81"/>
      <c r="M766" s="81"/>
      <c r="N766" s="84" t="str">
        <f aca="false">IF(C766="","",IF(P766="","NJ INCONNU",IF(I766="",IF(H766="OUI","À ENROBER",IF(G766="À SOUDER","NON SOUDÉ","EN ATTENTE RT")),IF(L766="R","À REPRENDRE",IF(H766&lt;&gt;"OUI","⚠ ENROBÉ AVANT ACCEPTATION RT","ENROBÉ")))))</f>
        <v>À ENROBER</v>
      </c>
      <c r="O766" s="80"/>
      <c r="P766" s="82" t="n">
        <f aca="false">IF(C766="","",IFERROR(MATCH(Q766,'CARNET DE SOUDURE'!$AW$7:$AW$3006,0),""))</f>
        <v>760</v>
      </c>
      <c r="Q766" s="82" t="str">
        <f aca="false">IF(C766="","",B766&amp;"|"&amp;C766)</f>
        <v>MFD-ISW → MFD-CPF|DJ°507</v>
      </c>
    </row>
    <row r="767" customFormat="false" ht="74.6" hidden="false" customHeight="false" outlineLevel="0" collapsed="false">
      <c r="A767" s="82" t="n">
        <f aca="false">IF(C767="","",ROW()-6)</f>
        <v>761</v>
      </c>
      <c r="B767" s="80" t="s">
        <v>110</v>
      </c>
      <c r="C767" s="113" t="s">
        <v>885</v>
      </c>
      <c r="D767" s="82" t="str">
        <f aca="false">IF(OR(C767="",P767=""),"",INDEX('CARNET DE SOUDURE'!$D$7:$D$3006,P767)&amp;"")</f>
        <v>4</v>
      </c>
      <c r="E767" s="114" t="n">
        <f aca="false">IF(OR(C767="",P767=""),"",IF(INDEX('CARNET DE SOUDURE'!$U$7:$U$3006,P767)="","",INDEX('CARNET DE SOUDURE'!$U$7:$U$3006,P767)))</f>
        <v>46291</v>
      </c>
      <c r="F767" s="82" t="str">
        <f aca="false">IF(OR(C767="",P767=""),"",INDEX('CARNET DE SOUDURE'!$AP$7:$AP$3006,P767))</f>
        <v/>
      </c>
      <c r="G767" s="82" t="str">
        <f aca="false">IF(C767="","",IF(P767="","NJ INCONNU",INDEX('CARNET DE SOUDURE'!$AQ$7:$AQ$3006,P767)))</f>
        <v>À RADIOGRAPHIER</v>
      </c>
      <c r="H767" s="82" t="str">
        <f aca="false">IF(C767="","",IF(G767="ACCEPTÉ","OUI","NON"))</f>
        <v>NON</v>
      </c>
      <c r="I767" s="83"/>
      <c r="J767" s="80"/>
      <c r="K767" s="81"/>
      <c r="L767" s="81"/>
      <c r="M767" s="81"/>
      <c r="N767" s="84" t="str">
        <f aca="false">IF(C767="","",IF(P767="","NJ INCONNU",IF(I767="",IF(H767="OUI","À ENROBER",IF(G767="À SOUDER","NON SOUDÉ","EN ATTENTE RT")),IF(L767="R","À REPRENDRE",IF(H767&lt;&gt;"OUI","⚠ ENROBÉ AVANT ACCEPTATION RT","ENROBÉ")))))</f>
        <v>EN ATTENTE RT</v>
      </c>
      <c r="O767" s="80"/>
      <c r="P767" s="82" t="n">
        <f aca="false">IF(C767="","",IFERROR(MATCH(Q767,'CARNET DE SOUDURE'!$AW$7:$AW$3006,0),""))</f>
        <v>761</v>
      </c>
      <c r="Q767" s="82" t="str">
        <f aca="false">IF(C767="","",B767&amp;"|"&amp;C767)</f>
        <v>MFD-ISW → MFD-CPF|JN°759</v>
      </c>
    </row>
    <row r="768" customFormat="false" ht="74.6" hidden="false" customHeight="false" outlineLevel="0" collapsed="false">
      <c r="A768" s="82" t="n">
        <f aca="false">IF(C768="","",ROW()-6)</f>
        <v>762</v>
      </c>
      <c r="B768" s="80" t="s">
        <v>110</v>
      </c>
      <c r="C768" s="113" t="s">
        <v>887</v>
      </c>
      <c r="D768" s="82" t="str">
        <f aca="false">IF(OR(C768="",P768=""),"",INDEX('CARNET DE SOUDURE'!$D$7:$D$3006,P768)&amp;"")</f>
        <v>4</v>
      </c>
      <c r="E768" s="114" t="n">
        <f aca="false">IF(OR(C768="",P768=""),"",IF(INDEX('CARNET DE SOUDURE'!$U$7:$U$3006,P768)="","",INDEX('CARNET DE SOUDURE'!$U$7:$U$3006,P768)))</f>
        <v>46290</v>
      </c>
      <c r="F768" s="82" t="str">
        <f aca="false">IF(OR(C768="",P768=""),"",INDEX('CARNET DE SOUDURE'!$AP$7:$AP$3006,P768))</f>
        <v>A</v>
      </c>
      <c r="G768" s="82" t="str">
        <f aca="false">IF(C768="","",IF(P768="","NJ INCONNU",INDEX('CARNET DE SOUDURE'!$AQ$7:$AQ$3006,P768)))</f>
        <v>ACCEPTÉ</v>
      </c>
      <c r="H768" s="82" t="str">
        <f aca="false">IF(C768="","",IF(G768="ACCEPTÉ","OUI","NON"))</f>
        <v>OUI</v>
      </c>
      <c r="I768" s="83"/>
      <c r="J768" s="80"/>
      <c r="K768" s="81"/>
      <c r="L768" s="81"/>
      <c r="M768" s="81"/>
      <c r="N768" s="84" t="str">
        <f aca="false">IF(C768="","",IF(P768="","NJ INCONNU",IF(I768="",IF(H768="OUI","À ENROBER",IF(G768="À SOUDER","NON SOUDÉ","EN ATTENTE RT")),IF(L768="R","À REPRENDRE",IF(H768&lt;&gt;"OUI","⚠ ENROBÉ AVANT ACCEPTATION RT","ENROBÉ")))))</f>
        <v>À ENROBER</v>
      </c>
      <c r="O768" s="80"/>
      <c r="P768" s="82" t="n">
        <f aca="false">IF(C768="","",IFERROR(MATCH(Q768,'CARNET DE SOUDURE'!$AW$7:$AW$3006,0),""))</f>
        <v>762</v>
      </c>
      <c r="Q768" s="82" t="str">
        <f aca="false">IF(C768="","",B768&amp;"|"&amp;C768)</f>
        <v>MFD-ISW → MFD-CPF|DJ°520</v>
      </c>
    </row>
    <row r="769" customFormat="false" ht="74.6" hidden="false" customHeight="false" outlineLevel="0" collapsed="false">
      <c r="A769" s="82" t="n">
        <f aca="false">IF(C769="","",ROW()-6)</f>
        <v>763</v>
      </c>
      <c r="B769" s="80" t="s">
        <v>110</v>
      </c>
      <c r="C769" s="113" t="s">
        <v>888</v>
      </c>
      <c r="D769" s="82" t="str">
        <f aca="false">IF(OR(C769="",P769=""),"",INDEX('CARNET DE SOUDURE'!$D$7:$D$3006,P769)&amp;"")</f>
        <v>4</v>
      </c>
      <c r="E769" s="114" t="n">
        <f aca="false">IF(OR(C769="",P769=""),"",IF(INDEX('CARNET DE SOUDURE'!$U$7:$U$3006,P769)="","",INDEX('CARNET DE SOUDURE'!$U$7:$U$3006,P769)))</f>
        <v>46291</v>
      </c>
      <c r="F769" s="82" t="str">
        <f aca="false">IF(OR(C769="",P769=""),"",INDEX('CARNET DE SOUDURE'!$AP$7:$AP$3006,P769))</f>
        <v/>
      </c>
      <c r="G769" s="82" t="str">
        <f aca="false">IF(C769="","",IF(P769="","NJ INCONNU",INDEX('CARNET DE SOUDURE'!$AQ$7:$AQ$3006,P769)))</f>
        <v>À RADIOGRAPHIER</v>
      </c>
      <c r="H769" s="82" t="str">
        <f aca="false">IF(C769="","",IF(G769="ACCEPTÉ","OUI","NON"))</f>
        <v>NON</v>
      </c>
      <c r="I769" s="83"/>
      <c r="J769" s="80"/>
      <c r="K769" s="81"/>
      <c r="L769" s="81"/>
      <c r="M769" s="81"/>
      <c r="N769" s="84" t="str">
        <f aca="false">IF(C769="","",IF(P769="","NJ INCONNU",IF(I769="",IF(H769="OUI","À ENROBER",IF(G769="À SOUDER","NON SOUDÉ","EN ATTENTE RT")),IF(L769="R","À REPRENDRE",IF(H769&lt;&gt;"OUI","⚠ ENROBÉ AVANT ACCEPTATION RT","ENROBÉ")))))</f>
        <v>EN ATTENTE RT</v>
      </c>
      <c r="O769" s="80"/>
      <c r="P769" s="82" t="n">
        <f aca="false">IF(C769="","",IFERROR(MATCH(Q769,'CARNET DE SOUDURE'!$AW$7:$AW$3006,0),""))</f>
        <v>763</v>
      </c>
      <c r="Q769" s="82" t="str">
        <f aca="false">IF(C769="","",B769&amp;"|"&amp;C769)</f>
        <v>MFD-ISW → MFD-CPF|JN°760</v>
      </c>
    </row>
    <row r="770" customFormat="false" ht="74.6" hidden="false" customHeight="false" outlineLevel="0" collapsed="false">
      <c r="A770" s="82" t="n">
        <f aca="false">IF(C770="","",ROW()-6)</f>
        <v>764</v>
      </c>
      <c r="B770" s="80" t="s">
        <v>110</v>
      </c>
      <c r="C770" s="113" t="s">
        <v>889</v>
      </c>
      <c r="D770" s="82" t="str">
        <f aca="false">IF(OR(C770="",P770=""),"",INDEX('CARNET DE SOUDURE'!$D$7:$D$3006,P770)&amp;"")</f>
        <v>4</v>
      </c>
      <c r="E770" s="114" t="n">
        <f aca="false">IF(OR(C770="",P770=""),"",IF(INDEX('CARNET DE SOUDURE'!$U$7:$U$3006,P770)="","",INDEX('CARNET DE SOUDURE'!$U$7:$U$3006,P770)))</f>
        <v>46289</v>
      </c>
      <c r="F770" s="82" t="str">
        <f aca="false">IF(OR(C770="",P770=""),"",INDEX('CARNET DE SOUDURE'!$AP$7:$AP$3006,P770))</f>
        <v>A</v>
      </c>
      <c r="G770" s="82" t="str">
        <f aca="false">IF(C770="","",IF(P770="","NJ INCONNU",INDEX('CARNET DE SOUDURE'!$AQ$7:$AQ$3006,P770)))</f>
        <v>ACCEPTÉ</v>
      </c>
      <c r="H770" s="82" t="str">
        <f aca="false">IF(C770="","",IF(G770="ACCEPTÉ","OUI","NON"))</f>
        <v>OUI</v>
      </c>
      <c r="I770" s="83"/>
      <c r="J770" s="80"/>
      <c r="K770" s="81"/>
      <c r="L770" s="81"/>
      <c r="M770" s="81"/>
      <c r="N770" s="84" t="str">
        <f aca="false">IF(C770="","",IF(P770="","NJ INCONNU",IF(I770="",IF(H770="OUI","À ENROBER",IF(G770="À SOUDER","NON SOUDÉ","EN ATTENTE RT")),IF(L770="R","À REPRENDRE",IF(H770&lt;&gt;"OUI","⚠ ENROBÉ AVANT ACCEPTATION RT","ENROBÉ")))))</f>
        <v>À ENROBER</v>
      </c>
      <c r="O770" s="80"/>
      <c r="P770" s="82" t="n">
        <f aca="false">IF(C770="","",IFERROR(MATCH(Q770,'CARNET DE SOUDURE'!$AW$7:$AW$3006,0),""))</f>
        <v>764</v>
      </c>
      <c r="Q770" s="82" t="str">
        <f aca="false">IF(C770="","",B770&amp;"|"&amp;C770)</f>
        <v>MFD-ISW → MFD-CPF|DJ°505</v>
      </c>
    </row>
    <row r="771" customFormat="false" ht="74.6" hidden="false" customHeight="false" outlineLevel="0" collapsed="false">
      <c r="A771" s="82" t="n">
        <f aca="false">IF(C771="","",ROW()-6)</f>
        <v>765</v>
      </c>
      <c r="B771" s="80" t="s">
        <v>110</v>
      </c>
      <c r="C771" s="113" t="s">
        <v>890</v>
      </c>
      <c r="D771" s="82" t="str">
        <f aca="false">IF(OR(C771="",P771=""),"",INDEX('CARNET DE SOUDURE'!$D$7:$D$3006,P771)&amp;"")</f>
        <v>4</v>
      </c>
      <c r="E771" s="114" t="n">
        <f aca="false">IF(OR(C771="",P771=""),"",IF(INDEX('CARNET DE SOUDURE'!$U$7:$U$3006,P771)="","",INDEX('CARNET DE SOUDURE'!$U$7:$U$3006,P771)))</f>
        <v>46291</v>
      </c>
      <c r="F771" s="82" t="str">
        <f aca="false">IF(OR(C771="",P771=""),"",INDEX('CARNET DE SOUDURE'!$AP$7:$AP$3006,P771))</f>
        <v/>
      </c>
      <c r="G771" s="82" t="str">
        <f aca="false">IF(C771="","",IF(P771="","NJ INCONNU",INDEX('CARNET DE SOUDURE'!$AQ$7:$AQ$3006,P771)))</f>
        <v>À RADIOGRAPHIER</v>
      </c>
      <c r="H771" s="82" t="str">
        <f aca="false">IF(C771="","",IF(G771="ACCEPTÉ","OUI","NON"))</f>
        <v>NON</v>
      </c>
      <c r="I771" s="83"/>
      <c r="J771" s="80"/>
      <c r="K771" s="81"/>
      <c r="L771" s="81"/>
      <c r="M771" s="81"/>
      <c r="N771" s="84" t="str">
        <f aca="false">IF(C771="","",IF(P771="","NJ INCONNU",IF(I771="",IF(H771="OUI","À ENROBER",IF(G771="À SOUDER","NON SOUDÉ","EN ATTENTE RT")),IF(L771="R","À REPRENDRE",IF(H771&lt;&gt;"OUI","⚠ ENROBÉ AVANT ACCEPTATION RT","ENROBÉ")))))</f>
        <v>EN ATTENTE RT</v>
      </c>
      <c r="O771" s="80"/>
      <c r="P771" s="82" t="n">
        <f aca="false">IF(C771="","",IFERROR(MATCH(Q771,'CARNET DE SOUDURE'!$AW$7:$AW$3006,0),""))</f>
        <v>765</v>
      </c>
      <c r="Q771" s="82" t="str">
        <f aca="false">IF(C771="","",B771&amp;"|"&amp;C771)</f>
        <v>MFD-ISW → MFD-CPF|JN°761</v>
      </c>
    </row>
    <row r="772" customFormat="false" ht="74.6" hidden="false" customHeight="false" outlineLevel="0" collapsed="false">
      <c r="A772" s="82" t="n">
        <f aca="false">IF(C772="","",ROW()-6)</f>
        <v>766</v>
      </c>
      <c r="B772" s="80" t="s">
        <v>110</v>
      </c>
      <c r="C772" s="113" t="s">
        <v>891</v>
      </c>
      <c r="D772" s="82" t="str">
        <f aca="false">IF(OR(C772="",P772=""),"",INDEX('CARNET DE SOUDURE'!$D$7:$D$3006,P772)&amp;"")</f>
        <v>4</v>
      </c>
      <c r="E772" s="114" t="n">
        <f aca="false">IF(OR(C772="",P772=""),"",IF(INDEX('CARNET DE SOUDURE'!$U$7:$U$3006,P772)="","",INDEX('CARNET DE SOUDURE'!$U$7:$U$3006,P772)))</f>
        <v>46286</v>
      </c>
      <c r="F772" s="82" t="str">
        <f aca="false">IF(OR(C772="",P772=""),"",INDEX('CARNET DE SOUDURE'!$AP$7:$AP$3006,P772))</f>
        <v>A</v>
      </c>
      <c r="G772" s="82" t="str">
        <f aca="false">IF(C772="","",IF(P772="","NJ INCONNU",INDEX('CARNET DE SOUDURE'!$AQ$7:$AQ$3006,P772)))</f>
        <v>ACCEPTÉ</v>
      </c>
      <c r="H772" s="82" t="str">
        <f aca="false">IF(C772="","",IF(G772="ACCEPTÉ","OUI","NON"))</f>
        <v>OUI</v>
      </c>
      <c r="I772" s="83"/>
      <c r="J772" s="80"/>
      <c r="K772" s="81"/>
      <c r="L772" s="81"/>
      <c r="M772" s="81"/>
      <c r="N772" s="84" t="str">
        <f aca="false">IF(C772="","",IF(P772="","NJ INCONNU",IF(I772="",IF(H772="OUI","À ENROBER",IF(G772="À SOUDER","NON SOUDÉ","EN ATTENTE RT")),IF(L772="R","À REPRENDRE",IF(H772&lt;&gt;"OUI","⚠ ENROBÉ AVANT ACCEPTATION RT","ENROBÉ")))))</f>
        <v>À ENROBER</v>
      </c>
      <c r="O772" s="80"/>
      <c r="P772" s="82" t="n">
        <f aca="false">IF(C772="","",IFERROR(MATCH(Q772,'CARNET DE SOUDURE'!$AW$7:$AW$3006,0),""))</f>
        <v>766</v>
      </c>
      <c r="Q772" s="82" t="str">
        <f aca="false">IF(C772="","",B772&amp;"|"&amp;C772)</f>
        <v>MFD-ISW → MFD-CPF|DJ°466</v>
      </c>
    </row>
    <row r="773" customFormat="false" ht="74.6" hidden="false" customHeight="false" outlineLevel="0" collapsed="false">
      <c r="A773" s="82" t="n">
        <f aca="false">IF(C773="","",ROW()-6)</f>
        <v>767</v>
      </c>
      <c r="B773" s="80" t="s">
        <v>110</v>
      </c>
      <c r="C773" s="113" t="s">
        <v>893</v>
      </c>
      <c r="D773" s="82" t="str">
        <f aca="false">IF(OR(C773="",P773=""),"",INDEX('CARNET DE SOUDURE'!$D$7:$D$3006,P773)&amp;"")</f>
        <v>4</v>
      </c>
      <c r="E773" s="114" t="n">
        <f aca="false">IF(OR(C773="",P773=""),"",IF(INDEX('CARNET DE SOUDURE'!$U$7:$U$3006,P773)="","",INDEX('CARNET DE SOUDURE'!$U$7:$U$3006,P773)))</f>
        <v>46291</v>
      </c>
      <c r="F773" s="82" t="str">
        <f aca="false">IF(OR(C773="",P773=""),"",INDEX('CARNET DE SOUDURE'!$AP$7:$AP$3006,P773))</f>
        <v/>
      </c>
      <c r="G773" s="82" t="str">
        <f aca="false">IF(C773="","",IF(P773="","NJ INCONNU",INDEX('CARNET DE SOUDURE'!$AQ$7:$AQ$3006,P773)))</f>
        <v>À RADIOGRAPHIER</v>
      </c>
      <c r="H773" s="82" t="str">
        <f aca="false">IF(C773="","",IF(G773="ACCEPTÉ","OUI","NON"))</f>
        <v>NON</v>
      </c>
      <c r="I773" s="83"/>
      <c r="J773" s="80"/>
      <c r="K773" s="81"/>
      <c r="L773" s="81"/>
      <c r="M773" s="81"/>
      <c r="N773" s="84" t="str">
        <f aca="false">IF(C773="","",IF(P773="","NJ INCONNU",IF(I773="",IF(H773="OUI","À ENROBER",IF(G773="À SOUDER","NON SOUDÉ","EN ATTENTE RT")),IF(L773="R","À REPRENDRE",IF(H773&lt;&gt;"OUI","⚠ ENROBÉ AVANT ACCEPTATION RT","ENROBÉ")))))</f>
        <v>EN ATTENTE RT</v>
      </c>
      <c r="O773" s="80"/>
      <c r="P773" s="82" t="n">
        <f aca="false">IF(C773="","",IFERROR(MATCH(Q773,'CARNET DE SOUDURE'!$AW$7:$AW$3006,0),""))</f>
        <v>767</v>
      </c>
      <c r="Q773" s="82" t="str">
        <f aca="false">IF(C773="","",B773&amp;"|"&amp;C773)</f>
        <v>MFD-ISW → MFD-CPF|JN°762</v>
      </c>
    </row>
    <row r="774" customFormat="false" ht="74.6" hidden="false" customHeight="false" outlineLevel="0" collapsed="false">
      <c r="A774" s="82" t="n">
        <f aca="false">IF(C774="","",ROW()-6)</f>
        <v>768</v>
      </c>
      <c r="B774" s="80" t="s">
        <v>110</v>
      </c>
      <c r="C774" s="113" t="s">
        <v>894</v>
      </c>
      <c r="D774" s="82" t="str">
        <f aca="false">IF(OR(C774="",P774=""),"",INDEX('CARNET DE SOUDURE'!$D$7:$D$3006,P774)&amp;"")</f>
        <v>4</v>
      </c>
      <c r="E774" s="114" t="n">
        <f aca="false">IF(OR(C774="",P774=""),"",IF(INDEX('CARNET DE SOUDURE'!$U$7:$U$3006,P774)="","",INDEX('CARNET DE SOUDURE'!$U$7:$U$3006,P774)))</f>
        <v>46286</v>
      </c>
      <c r="F774" s="82" t="str">
        <f aca="false">IF(OR(C774="",P774=""),"",INDEX('CARNET DE SOUDURE'!$AP$7:$AP$3006,P774))</f>
        <v>A</v>
      </c>
      <c r="G774" s="82" t="str">
        <f aca="false">IF(C774="","",IF(P774="","NJ INCONNU",INDEX('CARNET DE SOUDURE'!$AQ$7:$AQ$3006,P774)))</f>
        <v>ACCEPTÉ</v>
      </c>
      <c r="H774" s="82" t="str">
        <f aca="false">IF(C774="","",IF(G774="ACCEPTÉ","OUI","NON"))</f>
        <v>OUI</v>
      </c>
      <c r="I774" s="83"/>
      <c r="J774" s="80"/>
      <c r="K774" s="81"/>
      <c r="L774" s="81"/>
      <c r="M774" s="81"/>
      <c r="N774" s="84" t="str">
        <f aca="false">IF(C774="","",IF(P774="","NJ INCONNU",IF(I774="",IF(H774="OUI","À ENROBER",IF(G774="À SOUDER","NON SOUDÉ","EN ATTENTE RT")),IF(L774="R","À REPRENDRE",IF(H774&lt;&gt;"OUI","⚠ ENROBÉ AVANT ACCEPTATION RT","ENROBÉ")))))</f>
        <v>À ENROBER</v>
      </c>
      <c r="O774" s="80"/>
      <c r="P774" s="82" t="n">
        <f aca="false">IF(C774="","",IFERROR(MATCH(Q774,'CARNET DE SOUDURE'!$AW$7:$AW$3006,0),""))</f>
        <v>768</v>
      </c>
      <c r="Q774" s="82" t="str">
        <f aca="false">IF(C774="","",B774&amp;"|"&amp;C774)</f>
        <v>MFD-ISW → MFD-CPF|DJ°477</v>
      </c>
    </row>
    <row r="775" customFormat="false" ht="74.6" hidden="false" customHeight="false" outlineLevel="0" collapsed="false">
      <c r="A775" s="82" t="n">
        <f aca="false">IF(C775="","",ROW()-6)</f>
        <v>769</v>
      </c>
      <c r="B775" s="80" t="s">
        <v>110</v>
      </c>
      <c r="C775" s="113" t="s">
        <v>896</v>
      </c>
      <c r="D775" s="82" t="str">
        <f aca="false">IF(OR(C775="",P775=""),"",INDEX('CARNET DE SOUDURE'!$D$7:$D$3006,P775)&amp;"")</f>
        <v>N,S</v>
      </c>
      <c r="E775" s="114" t="str">
        <f aca="false">IF(OR(C775="",P775=""),"",IF(INDEX('CARNET DE SOUDURE'!$U$7:$U$3006,P775)="","",INDEX('CARNET DE SOUDURE'!$U$7:$U$3006,P775)))</f>
        <v/>
      </c>
      <c r="F775" s="82" t="str">
        <f aca="false">IF(OR(C775="",P775=""),"",INDEX('CARNET DE SOUDURE'!$AP$7:$AP$3006,P775))</f>
        <v/>
      </c>
      <c r="G775" s="82" t="str">
        <f aca="false">IF(C775="","",IF(P775="","NJ INCONNU",INDEX('CARNET DE SOUDURE'!$AQ$7:$AQ$3006,P775)))</f>
        <v>À SOUDER</v>
      </c>
      <c r="H775" s="82" t="str">
        <f aca="false">IF(C775="","",IF(G775="ACCEPTÉ","OUI","NON"))</f>
        <v>NON</v>
      </c>
      <c r="I775" s="83"/>
      <c r="J775" s="80"/>
      <c r="K775" s="81"/>
      <c r="L775" s="81"/>
      <c r="M775" s="81"/>
      <c r="N775" s="84" t="str">
        <f aca="false">IF(C775="","",IF(P775="","NJ INCONNU",IF(I775="",IF(H775="OUI","À ENROBER",IF(G775="À SOUDER","NON SOUDÉ","EN ATTENTE RT")),IF(L775="R","À REPRENDRE",IF(H775&lt;&gt;"OUI","⚠ ENROBÉ AVANT ACCEPTATION RT","ENROBÉ")))))</f>
        <v>NON SOUDÉ</v>
      </c>
      <c r="O775" s="80"/>
      <c r="P775" s="82" t="n">
        <f aca="false">IF(C775="","",IFERROR(MATCH(Q775,'CARNET DE SOUDURE'!$AW$7:$AW$3006,0),""))</f>
        <v>769</v>
      </c>
      <c r="Q775" s="82" t="str">
        <f aca="false">IF(C775="","",B775&amp;"|"&amp;C775)</f>
        <v>MFD-ISW → MFD-CPF|JN°763</v>
      </c>
    </row>
    <row r="776" customFormat="false" ht="74.6" hidden="false" customHeight="false" outlineLevel="0" collapsed="false">
      <c r="A776" s="82" t="n">
        <f aca="false">IF(C776="","",ROW()-6)</f>
        <v>770</v>
      </c>
      <c r="B776" s="80" t="s">
        <v>110</v>
      </c>
      <c r="C776" s="113" t="s">
        <v>897</v>
      </c>
      <c r="D776" s="82" t="str">
        <f aca="false">IF(OR(C776="",P776=""),"",INDEX('CARNET DE SOUDURE'!$D$7:$D$3006,P776)&amp;"")</f>
        <v>N,S</v>
      </c>
      <c r="E776" s="114" t="str">
        <f aca="false">IF(OR(C776="",P776=""),"",IF(INDEX('CARNET DE SOUDURE'!$U$7:$U$3006,P776)="","",INDEX('CARNET DE SOUDURE'!$U$7:$U$3006,P776)))</f>
        <v/>
      </c>
      <c r="F776" s="82" t="str">
        <f aca="false">IF(OR(C776="",P776=""),"",INDEX('CARNET DE SOUDURE'!$AP$7:$AP$3006,P776))</f>
        <v/>
      </c>
      <c r="G776" s="82" t="str">
        <f aca="false">IF(C776="","",IF(P776="","NJ INCONNU",INDEX('CARNET DE SOUDURE'!$AQ$7:$AQ$3006,P776)))</f>
        <v>À SOUDER</v>
      </c>
      <c r="H776" s="82" t="str">
        <f aca="false">IF(C776="","",IF(G776="ACCEPTÉ","OUI","NON"))</f>
        <v>NON</v>
      </c>
      <c r="I776" s="83"/>
      <c r="J776" s="80"/>
      <c r="K776" s="81"/>
      <c r="L776" s="81"/>
      <c r="M776" s="81"/>
      <c r="N776" s="84" t="str">
        <f aca="false">IF(C776="","",IF(P776="","NJ INCONNU",IF(I776="",IF(H776="OUI","À ENROBER",IF(G776="À SOUDER","NON SOUDÉ","EN ATTENTE RT")),IF(L776="R","À REPRENDRE",IF(H776&lt;&gt;"OUI","⚠ ENROBÉ AVANT ACCEPTATION RT","ENROBÉ")))))</f>
        <v>NON SOUDÉ</v>
      </c>
      <c r="O776" s="80"/>
      <c r="P776" s="82" t="n">
        <f aca="false">IF(C776="","",IFERROR(MATCH(Q776,'CARNET DE SOUDURE'!$AW$7:$AW$3006,0),""))</f>
        <v>770</v>
      </c>
      <c r="Q776" s="82" t="str">
        <f aca="false">IF(C776="","",B776&amp;"|"&amp;C776)</f>
        <v>MFD-ISW → MFD-CPF|JN°764</v>
      </c>
    </row>
    <row r="777" customFormat="false" ht="74.6" hidden="false" customHeight="false" outlineLevel="0" collapsed="false">
      <c r="A777" s="82" t="n">
        <f aca="false">IF(C777="","",ROW()-6)</f>
        <v>771</v>
      </c>
      <c r="B777" s="80" t="s">
        <v>110</v>
      </c>
      <c r="C777" s="113" t="s">
        <v>898</v>
      </c>
      <c r="D777" s="82" t="str">
        <f aca="false">IF(OR(C777="",P777=""),"",INDEX('CARNET DE SOUDURE'!$D$7:$D$3006,P777)&amp;"")</f>
        <v>4</v>
      </c>
      <c r="E777" s="114" t="n">
        <f aca="false">IF(OR(C777="",P777=""),"",IF(INDEX('CARNET DE SOUDURE'!$U$7:$U$3006,P777)="","",INDEX('CARNET DE SOUDURE'!$U$7:$U$3006,P777)))</f>
        <v>46289</v>
      </c>
      <c r="F777" s="82" t="str">
        <f aca="false">IF(OR(C777="",P777=""),"",INDEX('CARNET DE SOUDURE'!$AP$7:$AP$3006,P777))</f>
        <v>A</v>
      </c>
      <c r="G777" s="82" t="str">
        <f aca="false">IF(C777="","",IF(P777="","NJ INCONNU",INDEX('CARNET DE SOUDURE'!$AQ$7:$AQ$3006,P777)))</f>
        <v>ACCEPTÉ</v>
      </c>
      <c r="H777" s="82" t="str">
        <f aca="false">IF(C777="","",IF(G777="ACCEPTÉ","OUI","NON"))</f>
        <v>OUI</v>
      </c>
      <c r="I777" s="83"/>
      <c r="J777" s="80"/>
      <c r="K777" s="81"/>
      <c r="L777" s="81"/>
      <c r="M777" s="81"/>
      <c r="N777" s="84" t="str">
        <f aca="false">IF(C777="","",IF(P777="","NJ INCONNU",IF(I777="",IF(H777="OUI","À ENROBER",IF(G777="À SOUDER","NON SOUDÉ","EN ATTENTE RT")),IF(L777="R","À REPRENDRE",IF(H777&lt;&gt;"OUI","⚠ ENROBÉ AVANT ACCEPTATION RT","ENROBÉ")))))</f>
        <v>À ENROBER</v>
      </c>
      <c r="O777" s="80"/>
      <c r="P777" s="82" t="n">
        <f aca="false">IF(C777="","",IFERROR(MATCH(Q777,'CARNET DE SOUDURE'!$AW$7:$AW$3006,0),""))</f>
        <v>771</v>
      </c>
      <c r="Q777" s="82" t="str">
        <f aca="false">IF(C777="","",B777&amp;"|"&amp;C777)</f>
        <v>MFD-ISW → MFD-CPF|DJ°506</v>
      </c>
    </row>
    <row r="778" customFormat="false" ht="74.6" hidden="false" customHeight="false" outlineLevel="0" collapsed="false">
      <c r="A778" s="82" t="n">
        <f aca="false">IF(C778="","",ROW()-6)</f>
        <v>772</v>
      </c>
      <c r="B778" s="80" t="s">
        <v>110</v>
      </c>
      <c r="C778" s="113" t="s">
        <v>900</v>
      </c>
      <c r="D778" s="82" t="str">
        <f aca="false">IF(OR(C778="",P778=""),"",INDEX('CARNET DE SOUDURE'!$D$7:$D$3006,P778)&amp;"")</f>
        <v>4</v>
      </c>
      <c r="E778" s="114" t="n">
        <f aca="false">IF(OR(C778="",P778=""),"",IF(INDEX('CARNET DE SOUDURE'!$U$7:$U$3006,P778)="","",INDEX('CARNET DE SOUDURE'!$U$7:$U$3006,P778)))</f>
        <v>46291</v>
      </c>
      <c r="F778" s="82" t="str">
        <f aca="false">IF(OR(C778="",P778=""),"",INDEX('CARNET DE SOUDURE'!$AP$7:$AP$3006,P778))</f>
        <v/>
      </c>
      <c r="G778" s="82" t="str">
        <f aca="false">IF(C778="","",IF(P778="","NJ INCONNU",INDEX('CARNET DE SOUDURE'!$AQ$7:$AQ$3006,P778)))</f>
        <v>À RADIOGRAPHIER</v>
      </c>
      <c r="H778" s="82" t="str">
        <f aca="false">IF(C778="","",IF(G778="ACCEPTÉ","OUI","NON"))</f>
        <v>NON</v>
      </c>
      <c r="I778" s="83"/>
      <c r="J778" s="80"/>
      <c r="K778" s="81"/>
      <c r="L778" s="81"/>
      <c r="M778" s="81"/>
      <c r="N778" s="84" t="str">
        <f aca="false">IF(C778="","",IF(P778="","NJ INCONNU",IF(I778="",IF(H778="OUI","À ENROBER",IF(G778="À SOUDER","NON SOUDÉ","EN ATTENTE RT")),IF(L778="R","À REPRENDRE",IF(H778&lt;&gt;"OUI","⚠ ENROBÉ AVANT ACCEPTATION RT","ENROBÉ")))))</f>
        <v>EN ATTENTE RT</v>
      </c>
      <c r="O778" s="80"/>
      <c r="P778" s="82" t="n">
        <f aca="false">IF(C778="","",IFERROR(MATCH(Q778,'CARNET DE SOUDURE'!$AW$7:$AW$3006,0),""))</f>
        <v>772</v>
      </c>
      <c r="Q778" s="82" t="str">
        <f aca="false">IF(C778="","",B778&amp;"|"&amp;C778)</f>
        <v>MFD-ISW → MFD-CPF|JN°765</v>
      </c>
    </row>
    <row r="779" customFormat="false" ht="74.6" hidden="false" customHeight="false" outlineLevel="0" collapsed="false">
      <c r="A779" s="82" t="n">
        <f aca="false">IF(C779="","",ROW()-6)</f>
        <v>773</v>
      </c>
      <c r="B779" s="80" t="s">
        <v>110</v>
      </c>
      <c r="C779" s="113" t="s">
        <v>901</v>
      </c>
      <c r="D779" s="82" t="str">
        <f aca="false">IF(OR(C779="",P779=""),"",INDEX('CARNET DE SOUDURE'!$D$7:$D$3006,P779)&amp;"")</f>
        <v>4</v>
      </c>
      <c r="E779" s="114" t="n">
        <f aca="false">IF(OR(C779="",P779=""),"",IF(INDEX('CARNET DE SOUDURE'!$U$7:$U$3006,P779)="","",INDEX('CARNET DE SOUDURE'!$U$7:$U$3006,P779)))</f>
        <v>46289</v>
      </c>
      <c r="F779" s="82" t="str">
        <f aca="false">IF(OR(C779="",P779=""),"",INDEX('CARNET DE SOUDURE'!$AP$7:$AP$3006,P779))</f>
        <v>A</v>
      </c>
      <c r="G779" s="82" t="str">
        <f aca="false">IF(C779="","",IF(P779="","NJ INCONNU",INDEX('CARNET DE SOUDURE'!$AQ$7:$AQ$3006,P779)))</f>
        <v>ACCEPTÉ</v>
      </c>
      <c r="H779" s="82" t="str">
        <f aca="false">IF(C779="","",IF(G779="ACCEPTÉ","OUI","NON"))</f>
        <v>OUI</v>
      </c>
      <c r="I779" s="83"/>
      <c r="J779" s="80"/>
      <c r="K779" s="81"/>
      <c r="L779" s="81"/>
      <c r="M779" s="81"/>
      <c r="N779" s="84" t="str">
        <f aca="false">IF(C779="","",IF(P779="","NJ INCONNU",IF(I779="",IF(H779="OUI","À ENROBER",IF(G779="À SOUDER","NON SOUDÉ","EN ATTENTE RT")),IF(L779="R","À REPRENDRE",IF(H779&lt;&gt;"OUI","⚠ ENROBÉ AVANT ACCEPTATION RT","ENROBÉ")))))</f>
        <v>À ENROBER</v>
      </c>
      <c r="O779" s="80"/>
      <c r="P779" s="82" t="n">
        <f aca="false">IF(C779="","",IFERROR(MATCH(Q779,'CARNET DE SOUDURE'!$AW$7:$AW$3006,0),""))</f>
        <v>773</v>
      </c>
      <c r="Q779" s="82" t="str">
        <f aca="false">IF(C779="","",B779&amp;"|"&amp;C779)</f>
        <v>MFD-ISW → MFD-CPF|DJ°502</v>
      </c>
    </row>
    <row r="780" customFormat="false" ht="74.6" hidden="false" customHeight="false" outlineLevel="0" collapsed="false">
      <c r="A780" s="82" t="n">
        <f aca="false">IF(C780="","",ROW()-6)</f>
        <v>774</v>
      </c>
      <c r="B780" s="80" t="s">
        <v>110</v>
      </c>
      <c r="C780" s="113" t="s">
        <v>902</v>
      </c>
      <c r="D780" s="82" t="str">
        <f aca="false">IF(OR(C780="",P780=""),"",INDEX('CARNET DE SOUDURE'!$D$7:$D$3006,P780)&amp;"")</f>
        <v>4</v>
      </c>
      <c r="E780" s="114" t="n">
        <f aca="false">IF(OR(C780="",P780=""),"",IF(INDEX('CARNET DE SOUDURE'!$U$7:$U$3006,P780)="","",INDEX('CARNET DE SOUDURE'!$U$7:$U$3006,P780)))</f>
        <v>46291</v>
      </c>
      <c r="F780" s="82" t="str">
        <f aca="false">IF(OR(C780="",P780=""),"",INDEX('CARNET DE SOUDURE'!$AP$7:$AP$3006,P780))</f>
        <v/>
      </c>
      <c r="G780" s="82" t="str">
        <f aca="false">IF(C780="","",IF(P780="","NJ INCONNU",INDEX('CARNET DE SOUDURE'!$AQ$7:$AQ$3006,P780)))</f>
        <v>À RADIOGRAPHIER</v>
      </c>
      <c r="H780" s="82" t="str">
        <f aca="false">IF(C780="","",IF(G780="ACCEPTÉ","OUI","NON"))</f>
        <v>NON</v>
      </c>
      <c r="I780" s="83"/>
      <c r="J780" s="80"/>
      <c r="K780" s="81"/>
      <c r="L780" s="81"/>
      <c r="M780" s="81"/>
      <c r="N780" s="84" t="str">
        <f aca="false">IF(C780="","",IF(P780="","NJ INCONNU",IF(I780="",IF(H780="OUI","À ENROBER",IF(G780="À SOUDER","NON SOUDÉ","EN ATTENTE RT")),IF(L780="R","À REPRENDRE",IF(H780&lt;&gt;"OUI","⚠ ENROBÉ AVANT ACCEPTATION RT","ENROBÉ")))))</f>
        <v>EN ATTENTE RT</v>
      </c>
      <c r="O780" s="80"/>
      <c r="P780" s="82" t="n">
        <f aca="false">IF(C780="","",IFERROR(MATCH(Q780,'CARNET DE SOUDURE'!$AW$7:$AW$3006,0),""))</f>
        <v>774</v>
      </c>
      <c r="Q780" s="82" t="str">
        <f aca="false">IF(C780="","",B780&amp;"|"&amp;C780)</f>
        <v>MFD-ISW → MFD-CPF|JN°766</v>
      </c>
    </row>
    <row r="781" customFormat="false" ht="74.6" hidden="false" customHeight="false" outlineLevel="0" collapsed="false">
      <c r="A781" s="82" t="n">
        <f aca="false">IF(C781="","",ROW()-6)</f>
        <v>775</v>
      </c>
      <c r="B781" s="80" t="s">
        <v>110</v>
      </c>
      <c r="C781" s="113" t="s">
        <v>903</v>
      </c>
      <c r="D781" s="82" t="str">
        <f aca="false">IF(OR(C781="",P781=""),"",INDEX('CARNET DE SOUDURE'!$D$7:$D$3006,P781)&amp;"")</f>
        <v>4</v>
      </c>
      <c r="E781" s="114" t="n">
        <f aca="false">IF(OR(C781="",P781=""),"",IF(INDEX('CARNET DE SOUDURE'!$U$7:$U$3006,P781)="","",INDEX('CARNET DE SOUDURE'!$U$7:$U$3006,P781)))</f>
        <v>46289</v>
      </c>
      <c r="F781" s="82" t="str">
        <f aca="false">IF(OR(C781="",P781=""),"",INDEX('CARNET DE SOUDURE'!$AP$7:$AP$3006,P781))</f>
        <v>A</v>
      </c>
      <c r="G781" s="82" t="str">
        <f aca="false">IF(C781="","",IF(P781="","NJ INCONNU",INDEX('CARNET DE SOUDURE'!$AQ$7:$AQ$3006,P781)))</f>
        <v>ACCEPTÉ</v>
      </c>
      <c r="H781" s="82" t="str">
        <f aca="false">IF(C781="","",IF(G781="ACCEPTÉ","OUI","NON"))</f>
        <v>OUI</v>
      </c>
      <c r="I781" s="83"/>
      <c r="J781" s="80"/>
      <c r="K781" s="81"/>
      <c r="L781" s="81"/>
      <c r="M781" s="81"/>
      <c r="N781" s="84" t="str">
        <f aca="false">IF(C781="","",IF(P781="","NJ INCONNU",IF(I781="",IF(H781="OUI","À ENROBER",IF(G781="À SOUDER","NON SOUDÉ","EN ATTENTE RT")),IF(L781="R","À REPRENDRE",IF(H781&lt;&gt;"OUI","⚠ ENROBÉ AVANT ACCEPTATION RT","ENROBÉ")))))</f>
        <v>À ENROBER</v>
      </c>
      <c r="O781" s="80"/>
      <c r="P781" s="82" t="n">
        <f aca="false">IF(C781="","",IFERROR(MATCH(Q781,'CARNET DE SOUDURE'!$AW$7:$AW$3006,0),""))</f>
        <v>775</v>
      </c>
      <c r="Q781" s="82" t="str">
        <f aca="false">IF(C781="","",B781&amp;"|"&amp;C781)</f>
        <v>MFD-ISW → MFD-CPF|DJ°508</v>
      </c>
    </row>
    <row r="782" customFormat="false" ht="74.6" hidden="false" customHeight="false" outlineLevel="0" collapsed="false">
      <c r="A782" s="82" t="n">
        <f aca="false">IF(C782="","",ROW()-6)</f>
        <v>776</v>
      </c>
      <c r="B782" s="80" t="s">
        <v>110</v>
      </c>
      <c r="C782" s="113" t="s">
        <v>904</v>
      </c>
      <c r="D782" s="82" t="str">
        <f aca="false">IF(OR(C782="",P782=""),"",INDEX('CARNET DE SOUDURE'!$D$7:$D$3006,P782)&amp;"")</f>
        <v>4</v>
      </c>
      <c r="E782" s="114" t="n">
        <f aca="false">IF(OR(C782="",P782=""),"",IF(INDEX('CARNET DE SOUDURE'!$U$7:$U$3006,P782)="","",INDEX('CARNET DE SOUDURE'!$U$7:$U$3006,P782)))</f>
        <v>46291</v>
      </c>
      <c r="F782" s="82" t="str">
        <f aca="false">IF(OR(C782="",P782=""),"",INDEX('CARNET DE SOUDURE'!$AP$7:$AP$3006,P782))</f>
        <v/>
      </c>
      <c r="G782" s="82" t="str">
        <f aca="false">IF(C782="","",IF(P782="","NJ INCONNU",INDEX('CARNET DE SOUDURE'!$AQ$7:$AQ$3006,P782)))</f>
        <v>À RADIOGRAPHIER</v>
      </c>
      <c r="H782" s="82" t="str">
        <f aca="false">IF(C782="","",IF(G782="ACCEPTÉ","OUI","NON"))</f>
        <v>NON</v>
      </c>
      <c r="I782" s="83"/>
      <c r="J782" s="80"/>
      <c r="K782" s="81"/>
      <c r="L782" s="81"/>
      <c r="M782" s="81"/>
      <c r="N782" s="84" t="str">
        <f aca="false">IF(C782="","",IF(P782="","NJ INCONNU",IF(I782="",IF(H782="OUI","À ENROBER",IF(G782="À SOUDER","NON SOUDÉ","EN ATTENTE RT")),IF(L782="R","À REPRENDRE",IF(H782&lt;&gt;"OUI","⚠ ENROBÉ AVANT ACCEPTATION RT","ENROBÉ")))))</f>
        <v>EN ATTENTE RT</v>
      </c>
      <c r="O782" s="80"/>
      <c r="P782" s="82" t="n">
        <f aca="false">IF(C782="","",IFERROR(MATCH(Q782,'CARNET DE SOUDURE'!$AW$7:$AW$3006,0),""))</f>
        <v>776</v>
      </c>
      <c r="Q782" s="82" t="str">
        <f aca="false">IF(C782="","",B782&amp;"|"&amp;C782)</f>
        <v>MFD-ISW → MFD-CPF|JN°767</v>
      </c>
    </row>
    <row r="783" customFormat="false" ht="74.6" hidden="false" customHeight="false" outlineLevel="0" collapsed="false">
      <c r="A783" s="82" t="n">
        <f aca="false">IF(C783="","",ROW()-6)</f>
        <v>777</v>
      </c>
      <c r="B783" s="80" t="s">
        <v>110</v>
      </c>
      <c r="C783" s="113" t="s">
        <v>905</v>
      </c>
      <c r="D783" s="82" t="str">
        <f aca="false">IF(OR(C783="",P783=""),"",INDEX('CARNET DE SOUDURE'!$D$7:$D$3006,P783)&amp;"")</f>
        <v>4</v>
      </c>
      <c r="E783" s="114" t="n">
        <f aca="false">IF(OR(C783="",P783=""),"",IF(INDEX('CARNET DE SOUDURE'!$U$7:$U$3006,P783)="","",INDEX('CARNET DE SOUDURE'!$U$7:$U$3006,P783)))</f>
        <v>46289</v>
      </c>
      <c r="F783" s="82" t="str">
        <f aca="false">IF(OR(C783="",P783=""),"",INDEX('CARNET DE SOUDURE'!$AP$7:$AP$3006,P783))</f>
        <v>A</v>
      </c>
      <c r="G783" s="82" t="str">
        <f aca="false">IF(C783="","",IF(P783="","NJ INCONNU",INDEX('CARNET DE SOUDURE'!$AQ$7:$AQ$3006,P783)))</f>
        <v>ACCEPTÉ</v>
      </c>
      <c r="H783" s="82" t="str">
        <f aca="false">IF(C783="","",IF(G783="ACCEPTÉ","OUI","NON"))</f>
        <v>OUI</v>
      </c>
      <c r="I783" s="83"/>
      <c r="J783" s="80"/>
      <c r="K783" s="81"/>
      <c r="L783" s="81"/>
      <c r="M783" s="81"/>
      <c r="N783" s="84" t="str">
        <f aca="false">IF(C783="","",IF(P783="","NJ INCONNU",IF(I783="",IF(H783="OUI","À ENROBER",IF(G783="À SOUDER","NON SOUDÉ","EN ATTENTE RT")),IF(L783="R","À REPRENDRE",IF(H783&lt;&gt;"OUI","⚠ ENROBÉ AVANT ACCEPTATION RT","ENROBÉ")))))</f>
        <v>À ENROBER</v>
      </c>
      <c r="O783" s="80"/>
      <c r="P783" s="82" t="n">
        <f aca="false">IF(C783="","",IFERROR(MATCH(Q783,'CARNET DE SOUDURE'!$AW$7:$AW$3006,0),""))</f>
        <v>777</v>
      </c>
      <c r="Q783" s="82" t="str">
        <f aca="false">IF(C783="","",B783&amp;"|"&amp;C783)</f>
        <v>MFD-ISW → MFD-CPF|DJ°504</v>
      </c>
    </row>
    <row r="784" customFormat="false" ht="74.6" hidden="false" customHeight="false" outlineLevel="0" collapsed="false">
      <c r="A784" s="82" t="n">
        <f aca="false">IF(C784="","",ROW()-6)</f>
        <v>778</v>
      </c>
      <c r="B784" s="80" t="s">
        <v>110</v>
      </c>
      <c r="C784" s="113" t="s">
        <v>906</v>
      </c>
      <c r="D784" s="82" t="str">
        <f aca="false">IF(OR(C784="",P784=""),"",INDEX('CARNET DE SOUDURE'!$D$7:$D$3006,P784)&amp;"")</f>
        <v>4</v>
      </c>
      <c r="E784" s="114" t="n">
        <f aca="false">IF(OR(C784="",P784=""),"",IF(INDEX('CARNET DE SOUDURE'!$U$7:$U$3006,P784)="","",INDEX('CARNET DE SOUDURE'!$U$7:$U$3006,P784)))</f>
        <v>46291</v>
      </c>
      <c r="F784" s="82" t="str">
        <f aca="false">IF(OR(C784="",P784=""),"",INDEX('CARNET DE SOUDURE'!$AP$7:$AP$3006,P784))</f>
        <v/>
      </c>
      <c r="G784" s="82" t="str">
        <f aca="false">IF(C784="","",IF(P784="","NJ INCONNU",INDEX('CARNET DE SOUDURE'!$AQ$7:$AQ$3006,P784)))</f>
        <v>À RADIOGRAPHIER</v>
      </c>
      <c r="H784" s="82" t="str">
        <f aca="false">IF(C784="","",IF(G784="ACCEPTÉ","OUI","NON"))</f>
        <v>NON</v>
      </c>
      <c r="I784" s="83"/>
      <c r="J784" s="80"/>
      <c r="K784" s="81"/>
      <c r="L784" s="81"/>
      <c r="M784" s="81"/>
      <c r="N784" s="84" t="str">
        <f aca="false">IF(C784="","",IF(P784="","NJ INCONNU",IF(I784="",IF(H784="OUI","À ENROBER",IF(G784="À SOUDER","NON SOUDÉ","EN ATTENTE RT")),IF(L784="R","À REPRENDRE",IF(H784&lt;&gt;"OUI","⚠ ENROBÉ AVANT ACCEPTATION RT","ENROBÉ")))))</f>
        <v>EN ATTENTE RT</v>
      </c>
      <c r="O784" s="80"/>
      <c r="P784" s="82" t="n">
        <f aca="false">IF(C784="","",IFERROR(MATCH(Q784,'CARNET DE SOUDURE'!$AW$7:$AW$3006,0),""))</f>
        <v>778</v>
      </c>
      <c r="Q784" s="82" t="str">
        <f aca="false">IF(C784="","",B784&amp;"|"&amp;C784)</f>
        <v>MFD-ISW → MFD-CPF|JN°768</v>
      </c>
    </row>
    <row r="785" customFormat="false" ht="74.6" hidden="false" customHeight="false" outlineLevel="0" collapsed="false">
      <c r="A785" s="82" t="n">
        <f aca="false">IF(C785="","",ROW()-6)</f>
        <v>779</v>
      </c>
      <c r="B785" s="80" t="s">
        <v>110</v>
      </c>
      <c r="C785" s="113" t="s">
        <v>907</v>
      </c>
      <c r="D785" s="82" t="str">
        <f aca="false">IF(OR(C785="",P785=""),"",INDEX('CARNET DE SOUDURE'!$D$7:$D$3006,P785)&amp;"")</f>
        <v>4</v>
      </c>
      <c r="E785" s="114" t="n">
        <f aca="false">IF(OR(C785="",P785=""),"",IF(INDEX('CARNET DE SOUDURE'!$U$7:$U$3006,P785)="","",INDEX('CARNET DE SOUDURE'!$U$7:$U$3006,P785)))</f>
        <v>46289</v>
      </c>
      <c r="F785" s="82" t="str">
        <f aca="false">IF(OR(C785="",P785=""),"",INDEX('CARNET DE SOUDURE'!$AP$7:$AP$3006,P785))</f>
        <v>A</v>
      </c>
      <c r="G785" s="82" t="str">
        <f aca="false">IF(C785="","",IF(P785="","NJ INCONNU",INDEX('CARNET DE SOUDURE'!$AQ$7:$AQ$3006,P785)))</f>
        <v>ACCEPTÉ</v>
      </c>
      <c r="H785" s="82" t="str">
        <f aca="false">IF(C785="","",IF(G785="ACCEPTÉ","OUI","NON"))</f>
        <v>OUI</v>
      </c>
      <c r="I785" s="83"/>
      <c r="J785" s="80"/>
      <c r="K785" s="81"/>
      <c r="L785" s="81"/>
      <c r="M785" s="81"/>
      <c r="N785" s="84" t="str">
        <f aca="false">IF(C785="","",IF(P785="","NJ INCONNU",IF(I785="",IF(H785="OUI","À ENROBER",IF(G785="À SOUDER","NON SOUDÉ","EN ATTENTE RT")),IF(L785="R","À REPRENDRE",IF(H785&lt;&gt;"OUI","⚠ ENROBÉ AVANT ACCEPTATION RT","ENROBÉ")))))</f>
        <v>À ENROBER</v>
      </c>
      <c r="O785" s="80"/>
      <c r="P785" s="82" t="n">
        <f aca="false">IF(C785="","",IFERROR(MATCH(Q785,'CARNET DE SOUDURE'!$AW$7:$AW$3006,0),""))</f>
        <v>779</v>
      </c>
      <c r="Q785" s="82" t="str">
        <f aca="false">IF(C785="","",B785&amp;"|"&amp;C785)</f>
        <v>MFD-ISW → MFD-CPF|DJ°510</v>
      </c>
    </row>
    <row r="786" customFormat="false" ht="74.6" hidden="false" customHeight="false" outlineLevel="0" collapsed="false">
      <c r="A786" s="82" t="n">
        <f aca="false">IF(C786="","",ROW()-6)</f>
        <v>780</v>
      </c>
      <c r="B786" s="80" t="s">
        <v>110</v>
      </c>
      <c r="C786" s="113" t="s">
        <v>908</v>
      </c>
      <c r="D786" s="82" t="str">
        <f aca="false">IF(OR(C786="",P786=""),"",INDEX('CARNET DE SOUDURE'!$D$7:$D$3006,P786)&amp;"")</f>
        <v>4</v>
      </c>
      <c r="E786" s="114" t="n">
        <f aca="false">IF(OR(C786="",P786=""),"",IF(INDEX('CARNET DE SOUDURE'!$U$7:$U$3006,P786)="","",INDEX('CARNET DE SOUDURE'!$U$7:$U$3006,P786)))</f>
        <v>46291</v>
      </c>
      <c r="F786" s="82" t="str">
        <f aca="false">IF(OR(C786="",P786=""),"",INDEX('CARNET DE SOUDURE'!$AP$7:$AP$3006,P786))</f>
        <v/>
      </c>
      <c r="G786" s="82" t="str">
        <f aca="false">IF(C786="","",IF(P786="","NJ INCONNU",INDEX('CARNET DE SOUDURE'!$AQ$7:$AQ$3006,P786)))</f>
        <v>À RADIOGRAPHIER</v>
      </c>
      <c r="H786" s="82" t="str">
        <f aca="false">IF(C786="","",IF(G786="ACCEPTÉ","OUI","NON"))</f>
        <v>NON</v>
      </c>
      <c r="I786" s="83"/>
      <c r="J786" s="80"/>
      <c r="K786" s="81"/>
      <c r="L786" s="81"/>
      <c r="M786" s="81"/>
      <c r="N786" s="84" t="str">
        <f aca="false">IF(C786="","",IF(P786="","NJ INCONNU",IF(I786="",IF(H786="OUI","À ENROBER",IF(G786="À SOUDER","NON SOUDÉ","EN ATTENTE RT")),IF(L786="R","À REPRENDRE",IF(H786&lt;&gt;"OUI","⚠ ENROBÉ AVANT ACCEPTATION RT","ENROBÉ")))))</f>
        <v>EN ATTENTE RT</v>
      </c>
      <c r="O786" s="80"/>
      <c r="P786" s="82" t="n">
        <f aca="false">IF(C786="","",IFERROR(MATCH(Q786,'CARNET DE SOUDURE'!$AW$7:$AW$3006,0),""))</f>
        <v>780</v>
      </c>
      <c r="Q786" s="82" t="str">
        <f aca="false">IF(C786="","",B786&amp;"|"&amp;C786)</f>
        <v>MFD-ISW → MFD-CPF|JN°769</v>
      </c>
    </row>
    <row r="787" customFormat="false" ht="74.6" hidden="false" customHeight="false" outlineLevel="0" collapsed="false">
      <c r="A787" s="82" t="n">
        <f aca="false">IF(C787="","",ROW()-6)</f>
        <v>781</v>
      </c>
      <c r="B787" s="80" t="s">
        <v>110</v>
      </c>
      <c r="C787" s="113" t="s">
        <v>909</v>
      </c>
      <c r="D787" s="82" t="str">
        <f aca="false">IF(OR(C787="",P787=""),"",INDEX('CARNET DE SOUDURE'!$D$7:$D$3006,P787)&amp;"")</f>
        <v>4</v>
      </c>
      <c r="E787" s="114" t="n">
        <f aca="false">IF(OR(C787="",P787=""),"",IF(INDEX('CARNET DE SOUDURE'!$U$7:$U$3006,P787)="","",INDEX('CARNET DE SOUDURE'!$U$7:$U$3006,P787)))</f>
        <v>46289</v>
      </c>
      <c r="F787" s="82" t="str">
        <f aca="false">IF(OR(C787="",P787=""),"",INDEX('CARNET DE SOUDURE'!$AP$7:$AP$3006,P787))</f>
        <v>A</v>
      </c>
      <c r="G787" s="82" t="str">
        <f aca="false">IF(C787="","",IF(P787="","NJ INCONNU",INDEX('CARNET DE SOUDURE'!$AQ$7:$AQ$3006,P787)))</f>
        <v>ACCEPTÉ</v>
      </c>
      <c r="H787" s="82" t="str">
        <f aca="false">IF(C787="","",IF(G787="ACCEPTÉ","OUI","NON"))</f>
        <v>OUI</v>
      </c>
      <c r="I787" s="83"/>
      <c r="J787" s="80"/>
      <c r="K787" s="81"/>
      <c r="L787" s="81"/>
      <c r="M787" s="81"/>
      <c r="N787" s="84" t="str">
        <f aca="false">IF(C787="","",IF(P787="","NJ INCONNU",IF(I787="",IF(H787="OUI","À ENROBER",IF(G787="À SOUDER","NON SOUDÉ","EN ATTENTE RT")),IF(L787="R","À REPRENDRE",IF(H787&lt;&gt;"OUI","⚠ ENROBÉ AVANT ACCEPTATION RT","ENROBÉ")))))</f>
        <v>À ENROBER</v>
      </c>
      <c r="O787" s="80"/>
      <c r="P787" s="82" t="n">
        <f aca="false">IF(C787="","",IFERROR(MATCH(Q787,'CARNET DE SOUDURE'!$AW$7:$AW$3006,0),""))</f>
        <v>781</v>
      </c>
      <c r="Q787" s="82" t="str">
        <f aca="false">IF(C787="","",B787&amp;"|"&amp;C787)</f>
        <v>MFD-ISW → MFD-CPF|DJ°511</v>
      </c>
    </row>
    <row r="788" customFormat="false" ht="74.6" hidden="false" customHeight="false" outlineLevel="0" collapsed="false">
      <c r="A788" s="82" t="n">
        <f aca="false">IF(C788="","",ROW()-6)</f>
        <v>782</v>
      </c>
      <c r="B788" s="80" t="s">
        <v>110</v>
      </c>
      <c r="C788" s="113" t="s">
        <v>910</v>
      </c>
      <c r="D788" s="82" t="str">
        <f aca="false">IF(OR(C788="",P788=""),"",INDEX('CARNET DE SOUDURE'!$D$7:$D$3006,P788)&amp;"")</f>
        <v>4</v>
      </c>
      <c r="E788" s="114" t="n">
        <f aca="false">IF(OR(C788="",P788=""),"",IF(INDEX('CARNET DE SOUDURE'!$U$7:$U$3006,P788)="","",INDEX('CARNET DE SOUDURE'!$U$7:$U$3006,P788)))</f>
        <v>46291</v>
      </c>
      <c r="F788" s="82" t="str">
        <f aca="false">IF(OR(C788="",P788=""),"",INDEX('CARNET DE SOUDURE'!$AP$7:$AP$3006,P788))</f>
        <v/>
      </c>
      <c r="G788" s="82" t="str">
        <f aca="false">IF(C788="","",IF(P788="","NJ INCONNU",INDEX('CARNET DE SOUDURE'!$AQ$7:$AQ$3006,P788)))</f>
        <v>À RADIOGRAPHIER</v>
      </c>
      <c r="H788" s="82" t="str">
        <f aca="false">IF(C788="","",IF(G788="ACCEPTÉ","OUI","NON"))</f>
        <v>NON</v>
      </c>
      <c r="I788" s="83"/>
      <c r="J788" s="80"/>
      <c r="K788" s="81"/>
      <c r="L788" s="81"/>
      <c r="M788" s="81"/>
      <c r="N788" s="84" t="str">
        <f aca="false">IF(C788="","",IF(P788="","NJ INCONNU",IF(I788="",IF(H788="OUI","À ENROBER",IF(G788="À SOUDER","NON SOUDÉ","EN ATTENTE RT")),IF(L788="R","À REPRENDRE",IF(H788&lt;&gt;"OUI","⚠ ENROBÉ AVANT ACCEPTATION RT","ENROBÉ")))))</f>
        <v>EN ATTENTE RT</v>
      </c>
      <c r="O788" s="80"/>
      <c r="P788" s="82" t="n">
        <f aca="false">IF(C788="","",IFERROR(MATCH(Q788,'CARNET DE SOUDURE'!$AW$7:$AW$3006,0),""))</f>
        <v>782</v>
      </c>
      <c r="Q788" s="82" t="str">
        <f aca="false">IF(C788="","",B788&amp;"|"&amp;C788)</f>
        <v>MFD-ISW → MFD-CPF|JN°770</v>
      </c>
    </row>
    <row r="789" customFormat="false" ht="74.6" hidden="false" customHeight="false" outlineLevel="0" collapsed="false">
      <c r="A789" s="82" t="n">
        <f aca="false">IF(C789="","",ROW()-6)</f>
        <v>783</v>
      </c>
      <c r="B789" s="80" t="s">
        <v>110</v>
      </c>
      <c r="C789" s="113" t="s">
        <v>911</v>
      </c>
      <c r="D789" s="82" t="str">
        <f aca="false">IF(OR(C789="",P789=""),"",INDEX('CARNET DE SOUDURE'!$D$7:$D$3006,P789)&amp;"")</f>
        <v>4</v>
      </c>
      <c r="E789" s="114" t="n">
        <f aca="false">IF(OR(C789="",P789=""),"",IF(INDEX('CARNET DE SOUDURE'!$U$7:$U$3006,P789)="","",INDEX('CARNET DE SOUDURE'!$U$7:$U$3006,P789)))</f>
        <v>46290</v>
      </c>
      <c r="F789" s="82" t="str">
        <f aca="false">IF(OR(C789="",P789=""),"",INDEX('CARNET DE SOUDURE'!$AP$7:$AP$3006,P789))</f>
        <v>A</v>
      </c>
      <c r="G789" s="82" t="str">
        <f aca="false">IF(C789="","",IF(P789="","NJ INCONNU",INDEX('CARNET DE SOUDURE'!$AQ$7:$AQ$3006,P789)))</f>
        <v>ACCEPTÉ</v>
      </c>
      <c r="H789" s="82" t="str">
        <f aca="false">IF(C789="","",IF(G789="ACCEPTÉ","OUI","NON"))</f>
        <v>OUI</v>
      </c>
      <c r="I789" s="83"/>
      <c r="J789" s="80"/>
      <c r="K789" s="81"/>
      <c r="L789" s="81"/>
      <c r="M789" s="81"/>
      <c r="N789" s="84" t="str">
        <f aca="false">IF(C789="","",IF(P789="","NJ INCONNU",IF(I789="",IF(H789="OUI","À ENROBER",IF(G789="À SOUDER","NON SOUDÉ","EN ATTENTE RT")),IF(L789="R","À REPRENDRE",IF(H789&lt;&gt;"OUI","⚠ ENROBÉ AVANT ACCEPTATION RT","ENROBÉ")))))</f>
        <v>À ENROBER</v>
      </c>
      <c r="O789" s="80"/>
      <c r="P789" s="82" t="n">
        <f aca="false">IF(C789="","",IFERROR(MATCH(Q789,'CARNET DE SOUDURE'!$AW$7:$AW$3006,0),""))</f>
        <v>783</v>
      </c>
      <c r="Q789" s="82" t="str">
        <f aca="false">IF(C789="","",B789&amp;"|"&amp;C789)</f>
        <v>MFD-ISW → MFD-CPF|DJ°519</v>
      </c>
    </row>
    <row r="790" customFormat="false" ht="74.6" hidden="false" customHeight="false" outlineLevel="0" collapsed="false">
      <c r="A790" s="82" t="n">
        <f aca="false">IF(C790="","",ROW()-6)</f>
        <v>784</v>
      </c>
      <c r="B790" s="80" t="s">
        <v>110</v>
      </c>
      <c r="C790" s="113" t="s">
        <v>912</v>
      </c>
      <c r="D790" s="82" t="str">
        <f aca="false">IF(OR(C790="",P790=""),"",INDEX('CARNET DE SOUDURE'!$D$7:$D$3006,P790)&amp;"")</f>
        <v>4</v>
      </c>
      <c r="E790" s="114" t="n">
        <f aca="false">IF(OR(C790="",P790=""),"",IF(INDEX('CARNET DE SOUDURE'!$U$7:$U$3006,P790)="","",INDEX('CARNET DE SOUDURE'!$U$7:$U$3006,P790)))</f>
        <v>46291</v>
      </c>
      <c r="F790" s="82" t="str">
        <f aca="false">IF(OR(C790="",P790=""),"",INDEX('CARNET DE SOUDURE'!$AP$7:$AP$3006,P790))</f>
        <v/>
      </c>
      <c r="G790" s="82" t="str">
        <f aca="false">IF(C790="","",IF(P790="","NJ INCONNU",INDEX('CARNET DE SOUDURE'!$AQ$7:$AQ$3006,P790)))</f>
        <v>À RADIOGRAPHIER</v>
      </c>
      <c r="H790" s="82" t="str">
        <f aca="false">IF(C790="","",IF(G790="ACCEPTÉ","OUI","NON"))</f>
        <v>NON</v>
      </c>
      <c r="I790" s="83"/>
      <c r="J790" s="80"/>
      <c r="K790" s="81"/>
      <c r="L790" s="81"/>
      <c r="M790" s="81"/>
      <c r="N790" s="84" t="str">
        <f aca="false">IF(C790="","",IF(P790="","NJ INCONNU",IF(I790="",IF(H790="OUI","À ENROBER",IF(G790="À SOUDER","NON SOUDÉ","EN ATTENTE RT")),IF(L790="R","À REPRENDRE",IF(H790&lt;&gt;"OUI","⚠ ENROBÉ AVANT ACCEPTATION RT","ENROBÉ")))))</f>
        <v>EN ATTENTE RT</v>
      </c>
      <c r="O790" s="80"/>
      <c r="P790" s="82" t="n">
        <f aca="false">IF(C790="","",IFERROR(MATCH(Q790,'CARNET DE SOUDURE'!$AW$7:$AW$3006,0),""))</f>
        <v>784</v>
      </c>
      <c r="Q790" s="82" t="str">
        <f aca="false">IF(C790="","",B790&amp;"|"&amp;C790)</f>
        <v>MFD-ISW → MFD-CPF|JN°771</v>
      </c>
    </row>
    <row r="791" customFormat="false" ht="74.6" hidden="false" customHeight="false" outlineLevel="0" collapsed="false">
      <c r="A791" s="82" t="n">
        <f aca="false">IF(C791="","",ROW()-6)</f>
        <v>785</v>
      </c>
      <c r="B791" s="80" t="s">
        <v>110</v>
      </c>
      <c r="C791" s="113" t="s">
        <v>913</v>
      </c>
      <c r="D791" s="82" t="str">
        <f aca="false">IF(OR(C791="",P791=""),"",INDEX('CARNET DE SOUDURE'!$D$7:$D$3006,P791)&amp;"")</f>
        <v>4</v>
      </c>
      <c r="E791" s="114" t="n">
        <f aca="false">IF(OR(C791="",P791=""),"",IF(INDEX('CARNET DE SOUDURE'!$U$7:$U$3006,P791)="","",INDEX('CARNET DE SOUDURE'!$U$7:$U$3006,P791)))</f>
        <v>46289</v>
      </c>
      <c r="F791" s="82" t="str">
        <f aca="false">IF(OR(C791="",P791=""),"",INDEX('CARNET DE SOUDURE'!$AP$7:$AP$3006,P791))</f>
        <v>A</v>
      </c>
      <c r="G791" s="82" t="str">
        <f aca="false">IF(C791="","",IF(P791="","NJ INCONNU",INDEX('CARNET DE SOUDURE'!$AQ$7:$AQ$3006,P791)))</f>
        <v>ACCEPTÉ</v>
      </c>
      <c r="H791" s="82" t="str">
        <f aca="false">IF(C791="","",IF(G791="ACCEPTÉ","OUI","NON"))</f>
        <v>OUI</v>
      </c>
      <c r="I791" s="83"/>
      <c r="J791" s="80"/>
      <c r="K791" s="81"/>
      <c r="L791" s="81"/>
      <c r="M791" s="81"/>
      <c r="N791" s="84" t="str">
        <f aca="false">IF(C791="","",IF(P791="","NJ INCONNU",IF(I791="",IF(H791="OUI","À ENROBER",IF(G791="À SOUDER","NON SOUDÉ","EN ATTENTE RT")),IF(L791="R","À REPRENDRE",IF(H791&lt;&gt;"OUI","⚠ ENROBÉ AVANT ACCEPTATION RT","ENROBÉ")))))</f>
        <v>À ENROBER</v>
      </c>
      <c r="O791" s="80"/>
      <c r="P791" s="82" t="n">
        <f aca="false">IF(C791="","",IFERROR(MATCH(Q791,'CARNET DE SOUDURE'!$AW$7:$AW$3006,0),""))</f>
        <v>785</v>
      </c>
      <c r="Q791" s="82" t="str">
        <f aca="false">IF(C791="","",B791&amp;"|"&amp;C791)</f>
        <v>MFD-ISW → MFD-CPF|DJ°509</v>
      </c>
    </row>
    <row r="792" customFormat="false" ht="74.6" hidden="false" customHeight="false" outlineLevel="0" collapsed="false">
      <c r="A792" s="82" t="n">
        <f aca="false">IF(C792="","",ROW()-6)</f>
        <v>786</v>
      </c>
      <c r="B792" s="80" t="s">
        <v>110</v>
      </c>
      <c r="C792" s="113" t="s">
        <v>914</v>
      </c>
      <c r="D792" s="82" t="str">
        <f aca="false">IF(OR(C792="",P792=""),"",INDEX('CARNET DE SOUDURE'!$D$7:$D$3006,P792)&amp;"")</f>
        <v>4</v>
      </c>
      <c r="E792" s="114" t="n">
        <f aca="false">IF(OR(C792="",P792=""),"",IF(INDEX('CARNET DE SOUDURE'!$U$7:$U$3006,P792)="","",INDEX('CARNET DE SOUDURE'!$U$7:$U$3006,P792)))</f>
        <v>46291</v>
      </c>
      <c r="F792" s="82" t="str">
        <f aca="false">IF(OR(C792="",P792=""),"",INDEX('CARNET DE SOUDURE'!$AP$7:$AP$3006,P792))</f>
        <v/>
      </c>
      <c r="G792" s="82" t="str">
        <f aca="false">IF(C792="","",IF(P792="","NJ INCONNU",INDEX('CARNET DE SOUDURE'!$AQ$7:$AQ$3006,P792)))</f>
        <v>À RADIOGRAPHIER</v>
      </c>
      <c r="H792" s="82" t="str">
        <f aca="false">IF(C792="","",IF(G792="ACCEPTÉ","OUI","NON"))</f>
        <v>NON</v>
      </c>
      <c r="I792" s="83"/>
      <c r="J792" s="80"/>
      <c r="K792" s="81"/>
      <c r="L792" s="81"/>
      <c r="M792" s="81"/>
      <c r="N792" s="84" t="str">
        <f aca="false">IF(C792="","",IF(P792="","NJ INCONNU",IF(I792="",IF(H792="OUI","À ENROBER",IF(G792="À SOUDER","NON SOUDÉ","EN ATTENTE RT")),IF(L792="R","À REPRENDRE",IF(H792&lt;&gt;"OUI","⚠ ENROBÉ AVANT ACCEPTATION RT","ENROBÉ")))))</f>
        <v>EN ATTENTE RT</v>
      </c>
      <c r="O792" s="80"/>
      <c r="P792" s="82" t="n">
        <f aca="false">IF(C792="","",IFERROR(MATCH(Q792,'CARNET DE SOUDURE'!$AW$7:$AW$3006,0),""))</f>
        <v>786</v>
      </c>
      <c r="Q792" s="82" t="str">
        <f aca="false">IF(C792="","",B792&amp;"|"&amp;C792)</f>
        <v>MFD-ISW → MFD-CPF|JN°772</v>
      </c>
    </row>
    <row r="793" customFormat="false" ht="74.6" hidden="false" customHeight="false" outlineLevel="0" collapsed="false">
      <c r="A793" s="82" t="n">
        <f aca="false">IF(C793="","",ROW()-6)</f>
        <v>787</v>
      </c>
      <c r="B793" s="80" t="s">
        <v>110</v>
      </c>
      <c r="C793" s="113" t="s">
        <v>915</v>
      </c>
      <c r="D793" s="82" t="str">
        <f aca="false">IF(OR(C793="",P793=""),"",INDEX('CARNET DE SOUDURE'!$D$7:$D$3006,P793)&amp;"")</f>
        <v>4</v>
      </c>
      <c r="E793" s="114" t="n">
        <f aca="false">IF(OR(C793="",P793=""),"",IF(INDEX('CARNET DE SOUDURE'!$U$7:$U$3006,P793)="","",INDEX('CARNET DE SOUDURE'!$U$7:$U$3006,P793)))</f>
        <v>46290</v>
      </c>
      <c r="F793" s="82" t="str">
        <f aca="false">IF(OR(C793="",P793=""),"",INDEX('CARNET DE SOUDURE'!$AP$7:$AP$3006,P793))</f>
        <v>A</v>
      </c>
      <c r="G793" s="82" t="str">
        <f aca="false">IF(C793="","",IF(P793="","NJ INCONNU",INDEX('CARNET DE SOUDURE'!$AQ$7:$AQ$3006,P793)))</f>
        <v>ACCEPTÉ</v>
      </c>
      <c r="H793" s="82" t="str">
        <f aca="false">IF(C793="","",IF(G793="ACCEPTÉ","OUI","NON"))</f>
        <v>OUI</v>
      </c>
      <c r="I793" s="83"/>
      <c r="J793" s="80"/>
      <c r="K793" s="81"/>
      <c r="L793" s="81"/>
      <c r="M793" s="81"/>
      <c r="N793" s="84" t="str">
        <f aca="false">IF(C793="","",IF(P793="","NJ INCONNU",IF(I793="",IF(H793="OUI","À ENROBER",IF(G793="À SOUDER","NON SOUDÉ","EN ATTENTE RT")),IF(L793="R","À REPRENDRE",IF(H793&lt;&gt;"OUI","⚠ ENROBÉ AVANT ACCEPTATION RT","ENROBÉ")))))</f>
        <v>À ENROBER</v>
      </c>
      <c r="O793" s="80"/>
      <c r="P793" s="82" t="n">
        <f aca="false">IF(C793="","",IFERROR(MATCH(Q793,'CARNET DE SOUDURE'!$AW$7:$AW$3006,0),""))</f>
        <v>787</v>
      </c>
      <c r="Q793" s="82" t="str">
        <f aca="false">IF(C793="","",B793&amp;"|"&amp;C793)</f>
        <v>MFD-ISW → MFD-CPF|DJ°517</v>
      </c>
    </row>
    <row r="794" customFormat="false" ht="74.6" hidden="false" customHeight="false" outlineLevel="0" collapsed="false">
      <c r="A794" s="82" t="n">
        <f aca="false">IF(C794="","",ROW()-6)</f>
        <v>788</v>
      </c>
      <c r="B794" s="80" t="s">
        <v>110</v>
      </c>
      <c r="C794" s="113" t="s">
        <v>916</v>
      </c>
      <c r="D794" s="82" t="str">
        <f aca="false">IF(OR(C794="",P794=""),"",INDEX('CARNET DE SOUDURE'!$D$7:$D$3006,P794)&amp;"")</f>
        <v>4</v>
      </c>
      <c r="E794" s="114" t="n">
        <f aca="false">IF(OR(C794="",P794=""),"",IF(INDEX('CARNET DE SOUDURE'!$U$7:$U$3006,P794)="","",INDEX('CARNET DE SOUDURE'!$U$7:$U$3006,P794)))</f>
        <v>46291</v>
      </c>
      <c r="F794" s="82" t="str">
        <f aca="false">IF(OR(C794="",P794=""),"",INDEX('CARNET DE SOUDURE'!$AP$7:$AP$3006,P794))</f>
        <v/>
      </c>
      <c r="G794" s="82" t="str">
        <f aca="false">IF(C794="","",IF(P794="","NJ INCONNU",INDEX('CARNET DE SOUDURE'!$AQ$7:$AQ$3006,P794)))</f>
        <v>À RADIOGRAPHIER</v>
      </c>
      <c r="H794" s="82" t="str">
        <f aca="false">IF(C794="","",IF(G794="ACCEPTÉ","OUI","NON"))</f>
        <v>NON</v>
      </c>
      <c r="I794" s="83"/>
      <c r="J794" s="80"/>
      <c r="K794" s="81"/>
      <c r="L794" s="81"/>
      <c r="M794" s="81"/>
      <c r="N794" s="84" t="str">
        <f aca="false">IF(C794="","",IF(P794="","NJ INCONNU",IF(I794="",IF(H794="OUI","À ENROBER",IF(G794="À SOUDER","NON SOUDÉ","EN ATTENTE RT")),IF(L794="R","À REPRENDRE",IF(H794&lt;&gt;"OUI","⚠ ENROBÉ AVANT ACCEPTATION RT","ENROBÉ")))))</f>
        <v>EN ATTENTE RT</v>
      </c>
      <c r="O794" s="80"/>
      <c r="P794" s="82" t="n">
        <f aca="false">IF(C794="","",IFERROR(MATCH(Q794,'CARNET DE SOUDURE'!$AW$7:$AW$3006,0),""))</f>
        <v>788</v>
      </c>
      <c r="Q794" s="82" t="str">
        <f aca="false">IF(C794="","",B794&amp;"|"&amp;C794)</f>
        <v>MFD-ISW → MFD-CPF|JN°773</v>
      </c>
    </row>
    <row r="795" customFormat="false" ht="74.6" hidden="false" customHeight="false" outlineLevel="0" collapsed="false">
      <c r="A795" s="82" t="n">
        <f aca="false">IF(C795="","",ROW()-6)</f>
        <v>789</v>
      </c>
      <c r="B795" s="80" t="s">
        <v>110</v>
      </c>
      <c r="C795" s="113" t="s">
        <v>917</v>
      </c>
      <c r="D795" s="82" t="str">
        <f aca="false">IF(OR(C795="",P795=""),"",INDEX('CARNET DE SOUDURE'!$D$7:$D$3006,P795)&amp;"")</f>
        <v>4</v>
      </c>
      <c r="E795" s="114" t="n">
        <f aca="false">IF(OR(C795="",P795=""),"",IF(INDEX('CARNET DE SOUDURE'!$U$7:$U$3006,P795)="","",INDEX('CARNET DE SOUDURE'!$U$7:$U$3006,P795)))</f>
        <v>46290</v>
      </c>
      <c r="F795" s="82" t="str">
        <f aca="false">IF(OR(C795="",P795=""),"",INDEX('CARNET DE SOUDURE'!$AP$7:$AP$3006,P795))</f>
        <v>A</v>
      </c>
      <c r="G795" s="82" t="str">
        <f aca="false">IF(C795="","",IF(P795="","NJ INCONNU",INDEX('CARNET DE SOUDURE'!$AQ$7:$AQ$3006,P795)))</f>
        <v>ACCEPTÉ</v>
      </c>
      <c r="H795" s="82" t="str">
        <f aca="false">IF(C795="","",IF(G795="ACCEPTÉ","OUI","NON"))</f>
        <v>OUI</v>
      </c>
      <c r="I795" s="83"/>
      <c r="J795" s="80"/>
      <c r="K795" s="81"/>
      <c r="L795" s="81"/>
      <c r="M795" s="81"/>
      <c r="N795" s="84" t="str">
        <f aca="false">IF(C795="","",IF(P795="","NJ INCONNU",IF(I795="",IF(H795="OUI","À ENROBER",IF(G795="À SOUDER","NON SOUDÉ","EN ATTENTE RT")),IF(L795="R","À REPRENDRE",IF(H795&lt;&gt;"OUI","⚠ ENROBÉ AVANT ACCEPTATION RT","ENROBÉ")))))</f>
        <v>À ENROBER</v>
      </c>
      <c r="O795" s="80"/>
      <c r="P795" s="82" t="n">
        <f aca="false">IF(C795="","",IFERROR(MATCH(Q795,'CARNET DE SOUDURE'!$AW$7:$AW$3006,0),""))</f>
        <v>789</v>
      </c>
      <c r="Q795" s="82" t="str">
        <f aca="false">IF(C795="","",B795&amp;"|"&amp;C795)</f>
        <v>MFD-ISW → MFD-CPF|DJ°521</v>
      </c>
    </row>
    <row r="796" customFormat="false" ht="74.6" hidden="false" customHeight="false" outlineLevel="0" collapsed="false">
      <c r="A796" s="82" t="n">
        <f aca="false">IF(C796="","",ROW()-6)</f>
        <v>790</v>
      </c>
      <c r="B796" s="80" t="s">
        <v>110</v>
      </c>
      <c r="C796" s="113" t="s">
        <v>918</v>
      </c>
      <c r="D796" s="82" t="str">
        <f aca="false">IF(OR(C796="",P796=""),"",INDEX('CARNET DE SOUDURE'!$D$7:$D$3006,P796)&amp;"")</f>
        <v>4</v>
      </c>
      <c r="E796" s="114" t="n">
        <f aca="false">IF(OR(C796="",P796=""),"",IF(INDEX('CARNET DE SOUDURE'!$U$7:$U$3006,P796)="","",INDEX('CARNET DE SOUDURE'!$U$7:$U$3006,P796)))</f>
        <v>46291</v>
      </c>
      <c r="F796" s="82" t="str">
        <f aca="false">IF(OR(C796="",P796=""),"",INDEX('CARNET DE SOUDURE'!$AP$7:$AP$3006,P796))</f>
        <v/>
      </c>
      <c r="G796" s="82" t="str">
        <f aca="false">IF(C796="","",IF(P796="","NJ INCONNU",INDEX('CARNET DE SOUDURE'!$AQ$7:$AQ$3006,P796)))</f>
        <v>À RADIOGRAPHIER</v>
      </c>
      <c r="H796" s="82" t="str">
        <f aca="false">IF(C796="","",IF(G796="ACCEPTÉ","OUI","NON"))</f>
        <v>NON</v>
      </c>
      <c r="I796" s="83"/>
      <c r="J796" s="80"/>
      <c r="K796" s="81"/>
      <c r="L796" s="81"/>
      <c r="M796" s="81"/>
      <c r="N796" s="84" t="str">
        <f aca="false">IF(C796="","",IF(P796="","NJ INCONNU",IF(I796="",IF(H796="OUI","À ENROBER",IF(G796="À SOUDER","NON SOUDÉ","EN ATTENTE RT")),IF(L796="R","À REPRENDRE",IF(H796&lt;&gt;"OUI","⚠ ENROBÉ AVANT ACCEPTATION RT","ENROBÉ")))))</f>
        <v>EN ATTENTE RT</v>
      </c>
      <c r="O796" s="80"/>
      <c r="P796" s="82" t="n">
        <f aca="false">IF(C796="","",IFERROR(MATCH(Q796,'CARNET DE SOUDURE'!$AW$7:$AW$3006,0),""))</f>
        <v>790</v>
      </c>
      <c r="Q796" s="82" t="str">
        <f aca="false">IF(C796="","",B796&amp;"|"&amp;C796)</f>
        <v>MFD-ISW → MFD-CPF|JN°774</v>
      </c>
    </row>
    <row r="797" customFormat="false" ht="74.6" hidden="false" customHeight="false" outlineLevel="0" collapsed="false">
      <c r="A797" s="82" t="n">
        <f aca="false">IF(C797="","",ROW()-6)</f>
        <v>791</v>
      </c>
      <c r="B797" s="80" t="s">
        <v>110</v>
      </c>
      <c r="C797" s="113" t="s">
        <v>919</v>
      </c>
      <c r="D797" s="82" t="str">
        <f aca="false">IF(OR(C797="",P797=""),"",INDEX('CARNET DE SOUDURE'!$D$7:$D$3006,P797)&amp;"")</f>
        <v>4</v>
      </c>
      <c r="E797" s="114" t="n">
        <f aca="false">IF(OR(C797="",P797=""),"",IF(INDEX('CARNET DE SOUDURE'!$U$7:$U$3006,P797)="","",INDEX('CARNET DE SOUDURE'!$U$7:$U$3006,P797)))</f>
        <v>46286</v>
      </c>
      <c r="F797" s="82" t="str">
        <f aca="false">IF(OR(C797="",P797=""),"",INDEX('CARNET DE SOUDURE'!$AP$7:$AP$3006,P797))</f>
        <v>A</v>
      </c>
      <c r="G797" s="82" t="str">
        <f aca="false">IF(C797="","",IF(P797="","NJ INCONNU",INDEX('CARNET DE SOUDURE'!$AQ$7:$AQ$3006,P797)))</f>
        <v>ACCEPTÉ</v>
      </c>
      <c r="H797" s="82" t="str">
        <f aca="false">IF(C797="","",IF(G797="ACCEPTÉ","OUI","NON"))</f>
        <v>OUI</v>
      </c>
      <c r="I797" s="83"/>
      <c r="J797" s="80"/>
      <c r="K797" s="81"/>
      <c r="L797" s="81"/>
      <c r="M797" s="81"/>
      <c r="N797" s="84" t="str">
        <f aca="false">IF(C797="","",IF(P797="","NJ INCONNU",IF(I797="",IF(H797="OUI","À ENROBER",IF(G797="À SOUDER","NON SOUDÉ","EN ATTENTE RT")),IF(L797="R","À REPRENDRE",IF(H797&lt;&gt;"OUI","⚠ ENROBÉ AVANT ACCEPTATION RT","ENROBÉ")))))</f>
        <v>À ENROBER</v>
      </c>
      <c r="O797" s="80"/>
      <c r="P797" s="82" t="n">
        <f aca="false">IF(C797="","",IFERROR(MATCH(Q797,'CARNET DE SOUDURE'!$AW$7:$AW$3006,0),""))</f>
        <v>791</v>
      </c>
      <c r="Q797" s="82" t="str">
        <f aca="false">IF(C797="","",B797&amp;"|"&amp;C797)</f>
        <v>MFD-ISW → MFD-CPF|DJ°476</v>
      </c>
    </row>
    <row r="798" customFormat="false" ht="74.6" hidden="false" customHeight="false" outlineLevel="0" collapsed="false">
      <c r="A798" s="82" t="n">
        <f aca="false">IF(C798="","",ROW()-6)</f>
        <v>792</v>
      </c>
      <c r="B798" s="80" t="s">
        <v>110</v>
      </c>
      <c r="C798" s="113" t="s">
        <v>922</v>
      </c>
      <c r="D798" s="82" t="str">
        <f aca="false">IF(OR(C798="",P798=""),"",INDEX('CARNET DE SOUDURE'!$D$7:$D$3006,P798)&amp;"")</f>
        <v>4</v>
      </c>
      <c r="E798" s="114" t="n">
        <f aca="false">IF(OR(C798="",P798=""),"",IF(INDEX('CARNET DE SOUDURE'!$U$7:$U$3006,P798)="","",INDEX('CARNET DE SOUDURE'!$U$7:$U$3006,P798)))</f>
        <v>46291</v>
      </c>
      <c r="F798" s="82" t="str">
        <f aca="false">IF(OR(C798="",P798=""),"",INDEX('CARNET DE SOUDURE'!$AP$7:$AP$3006,P798))</f>
        <v/>
      </c>
      <c r="G798" s="82" t="str">
        <f aca="false">IF(C798="","",IF(P798="","NJ INCONNU",INDEX('CARNET DE SOUDURE'!$AQ$7:$AQ$3006,P798)))</f>
        <v>À RADIOGRAPHIER</v>
      </c>
      <c r="H798" s="82" t="str">
        <f aca="false">IF(C798="","",IF(G798="ACCEPTÉ","OUI","NON"))</f>
        <v>NON</v>
      </c>
      <c r="I798" s="83"/>
      <c r="J798" s="80"/>
      <c r="K798" s="81"/>
      <c r="L798" s="81"/>
      <c r="M798" s="81"/>
      <c r="N798" s="84" t="str">
        <f aca="false">IF(C798="","",IF(P798="","NJ INCONNU",IF(I798="",IF(H798="OUI","À ENROBER",IF(G798="À SOUDER","NON SOUDÉ","EN ATTENTE RT")),IF(L798="R","À REPRENDRE",IF(H798&lt;&gt;"OUI","⚠ ENROBÉ AVANT ACCEPTATION RT","ENROBÉ")))))</f>
        <v>EN ATTENTE RT</v>
      </c>
      <c r="O798" s="80"/>
      <c r="P798" s="82" t="n">
        <f aca="false">IF(C798="","",IFERROR(MATCH(Q798,'CARNET DE SOUDURE'!$AW$7:$AW$3006,0),""))</f>
        <v>792</v>
      </c>
      <c r="Q798" s="82" t="str">
        <f aca="false">IF(C798="","",B798&amp;"|"&amp;C798)</f>
        <v>MFD-ISW → MFD-CPF|JN°775</v>
      </c>
    </row>
    <row r="799" customFormat="false" ht="74.6" hidden="false" customHeight="false" outlineLevel="0" collapsed="false">
      <c r="A799" s="82" t="n">
        <f aca="false">IF(C799="","",ROW()-6)</f>
        <v>793</v>
      </c>
      <c r="B799" s="80" t="s">
        <v>110</v>
      </c>
      <c r="C799" s="113" t="s">
        <v>923</v>
      </c>
      <c r="D799" s="82" t="str">
        <f aca="false">IF(OR(C799="",P799=""),"",INDEX('CARNET DE SOUDURE'!$D$7:$D$3006,P799)&amp;"")</f>
        <v>4</v>
      </c>
      <c r="E799" s="114" t="n">
        <f aca="false">IF(OR(C799="",P799=""),"",IF(INDEX('CARNET DE SOUDURE'!$U$7:$U$3006,P799)="","",INDEX('CARNET DE SOUDURE'!$U$7:$U$3006,P799)))</f>
        <v>46288</v>
      </c>
      <c r="F799" s="82" t="str">
        <f aca="false">IF(OR(C799="",P799=""),"",INDEX('CARNET DE SOUDURE'!$AP$7:$AP$3006,P799))</f>
        <v>A</v>
      </c>
      <c r="G799" s="82" t="str">
        <f aca="false">IF(C799="","",IF(P799="","NJ INCONNU",INDEX('CARNET DE SOUDURE'!$AQ$7:$AQ$3006,P799)))</f>
        <v>ACCEPTÉ</v>
      </c>
      <c r="H799" s="82" t="str">
        <f aca="false">IF(C799="","",IF(G799="ACCEPTÉ","OUI","NON"))</f>
        <v>OUI</v>
      </c>
      <c r="I799" s="83"/>
      <c r="J799" s="80"/>
      <c r="K799" s="81"/>
      <c r="L799" s="81"/>
      <c r="M799" s="81"/>
      <c r="N799" s="84" t="str">
        <f aca="false">IF(C799="","",IF(P799="","NJ INCONNU",IF(I799="",IF(H799="OUI","À ENROBER",IF(G799="À SOUDER","NON SOUDÉ","EN ATTENTE RT")),IF(L799="R","À REPRENDRE",IF(H799&lt;&gt;"OUI","⚠ ENROBÉ AVANT ACCEPTATION RT","ENROBÉ")))))</f>
        <v>À ENROBER</v>
      </c>
      <c r="O799" s="80"/>
      <c r="P799" s="82" t="n">
        <f aca="false">IF(C799="","",IFERROR(MATCH(Q799,'CARNET DE SOUDURE'!$AW$7:$AW$3006,0),""))</f>
        <v>793</v>
      </c>
      <c r="Q799" s="82" t="str">
        <f aca="false">IF(C799="","",B799&amp;"|"&amp;C799)</f>
        <v>MFD-ISW → MFD-CPF|DJ°500</v>
      </c>
    </row>
    <row r="800" customFormat="false" ht="74.6" hidden="false" customHeight="false" outlineLevel="0" collapsed="false">
      <c r="A800" s="82" t="n">
        <f aca="false">IF(C800="","",ROW()-6)</f>
        <v>794</v>
      </c>
      <c r="B800" s="80" t="s">
        <v>110</v>
      </c>
      <c r="C800" s="113" t="s">
        <v>927</v>
      </c>
      <c r="D800" s="82" t="str">
        <f aca="false">IF(OR(C800="",P800=""),"",INDEX('CARNET DE SOUDURE'!$D$7:$D$3006,P800)&amp;"")</f>
        <v>4</v>
      </c>
      <c r="E800" s="114" t="str">
        <f aca="false">IF(OR(C800="",P800=""),"",IF(INDEX('CARNET DE SOUDURE'!$U$7:$U$3006,P800)="","",INDEX('CARNET DE SOUDURE'!$U$7:$U$3006,P800)))</f>
        <v/>
      </c>
      <c r="F800" s="82" t="str">
        <f aca="false">IF(OR(C800="",P800=""),"",INDEX('CARNET DE SOUDURE'!$AP$7:$AP$3006,P800))</f>
        <v/>
      </c>
      <c r="G800" s="82" t="str">
        <f aca="false">IF(C800="","",IF(P800="","NJ INCONNU",INDEX('CARNET DE SOUDURE'!$AQ$7:$AQ$3006,P800)))</f>
        <v>À SOUDER</v>
      </c>
      <c r="H800" s="82" t="str">
        <f aca="false">IF(C800="","",IF(G800="ACCEPTÉ","OUI","NON"))</f>
        <v>NON</v>
      </c>
      <c r="I800" s="83"/>
      <c r="J800" s="80"/>
      <c r="K800" s="81"/>
      <c r="L800" s="81"/>
      <c r="M800" s="81"/>
      <c r="N800" s="84" t="str">
        <f aca="false">IF(C800="","",IF(P800="","NJ INCONNU",IF(I800="",IF(H800="OUI","À ENROBER",IF(G800="À SOUDER","NON SOUDÉ","EN ATTENTE RT")),IF(L800="R","À REPRENDRE",IF(H800&lt;&gt;"OUI","⚠ ENROBÉ AVANT ACCEPTATION RT","ENROBÉ")))))</f>
        <v>NON SOUDÉ</v>
      </c>
      <c r="O800" s="80"/>
      <c r="P800" s="82" t="n">
        <f aca="false">IF(C800="","",IFERROR(MATCH(Q800,'CARNET DE SOUDURE'!$AW$7:$AW$3006,0),""))</f>
        <v>794</v>
      </c>
      <c r="Q800" s="82" t="str">
        <f aca="false">IF(C800="","",B800&amp;"|"&amp;C800)</f>
        <v>MFD-ISW → MFD-CPF|JN°776</v>
      </c>
    </row>
    <row r="801" customFormat="false" ht="74.6" hidden="false" customHeight="false" outlineLevel="0" collapsed="false">
      <c r="A801" s="82" t="n">
        <f aca="false">IF(C801="","",ROW()-6)</f>
        <v>795</v>
      </c>
      <c r="B801" s="80" t="s">
        <v>110</v>
      </c>
      <c r="C801" s="113" t="s">
        <v>928</v>
      </c>
      <c r="D801" s="82" t="str">
        <f aca="false">IF(OR(C801="",P801=""),"",INDEX('CARNET DE SOUDURE'!$D$7:$D$3006,P801)&amp;"")</f>
        <v>4</v>
      </c>
      <c r="E801" s="114" t="str">
        <f aca="false">IF(OR(C801="",P801=""),"",IF(INDEX('CARNET DE SOUDURE'!$U$7:$U$3006,P801)="","",INDEX('CARNET DE SOUDURE'!$U$7:$U$3006,P801)))</f>
        <v/>
      </c>
      <c r="F801" s="82" t="str">
        <f aca="false">IF(OR(C801="",P801=""),"",INDEX('CARNET DE SOUDURE'!$AP$7:$AP$3006,P801))</f>
        <v/>
      </c>
      <c r="G801" s="82" t="str">
        <f aca="false">IF(C801="","",IF(P801="","NJ INCONNU",INDEX('CARNET DE SOUDURE'!$AQ$7:$AQ$3006,P801)))</f>
        <v>À SOUDER</v>
      </c>
      <c r="H801" s="82" t="str">
        <f aca="false">IF(C801="","",IF(G801="ACCEPTÉ","OUI","NON"))</f>
        <v>NON</v>
      </c>
      <c r="I801" s="83"/>
      <c r="J801" s="80"/>
      <c r="K801" s="81"/>
      <c r="L801" s="81"/>
      <c r="M801" s="81"/>
      <c r="N801" s="84" t="str">
        <f aca="false">IF(C801="","",IF(P801="","NJ INCONNU",IF(I801="",IF(H801="OUI","À ENROBER",IF(G801="À SOUDER","NON SOUDÉ","EN ATTENTE RT")),IF(L801="R","À REPRENDRE",IF(H801&lt;&gt;"OUI","⚠ ENROBÉ AVANT ACCEPTATION RT","ENROBÉ")))))</f>
        <v>NON SOUDÉ</v>
      </c>
      <c r="O801" s="80"/>
      <c r="P801" s="82" t="n">
        <f aca="false">IF(C801="","",IFERROR(MATCH(Q801,'CARNET DE SOUDURE'!$AW$7:$AW$3006,0),""))</f>
        <v>795</v>
      </c>
      <c r="Q801" s="82" t="str">
        <f aca="false">IF(C801="","",B801&amp;"|"&amp;C801)</f>
        <v>MFD-ISW → MFD-CPF|JN°777</v>
      </c>
    </row>
    <row r="802" customFormat="false" ht="74.6" hidden="false" customHeight="false" outlineLevel="0" collapsed="false">
      <c r="A802" s="82" t="n">
        <f aca="false">IF(C802="","",ROW()-6)</f>
        <v>796</v>
      </c>
      <c r="B802" s="80" t="s">
        <v>110</v>
      </c>
      <c r="C802" s="113" t="s">
        <v>929</v>
      </c>
      <c r="D802" s="82" t="str">
        <f aca="false">IF(OR(C802="",P802=""),"",INDEX('CARNET DE SOUDURE'!$D$7:$D$3006,P802)&amp;"")</f>
        <v>4</v>
      </c>
      <c r="E802" s="114" t="n">
        <f aca="false">IF(OR(C802="",P802=""),"",IF(INDEX('CARNET DE SOUDURE'!$U$7:$U$3006,P802)="","",INDEX('CARNET DE SOUDURE'!$U$7:$U$3006,P802)))</f>
        <v>46289</v>
      </c>
      <c r="F802" s="82" t="str">
        <f aca="false">IF(OR(C802="",P802=""),"",INDEX('CARNET DE SOUDURE'!$AP$7:$AP$3006,P802))</f>
        <v>A</v>
      </c>
      <c r="G802" s="82" t="str">
        <f aca="false">IF(C802="","",IF(P802="","NJ INCONNU",INDEX('CARNET DE SOUDURE'!$AQ$7:$AQ$3006,P802)))</f>
        <v>ACCEPTÉ</v>
      </c>
      <c r="H802" s="82" t="str">
        <f aca="false">IF(C802="","",IF(G802="ACCEPTÉ","OUI","NON"))</f>
        <v>OUI</v>
      </c>
      <c r="I802" s="83"/>
      <c r="J802" s="80"/>
      <c r="K802" s="81"/>
      <c r="L802" s="81"/>
      <c r="M802" s="81"/>
      <c r="N802" s="84" t="str">
        <f aca="false">IF(C802="","",IF(P802="","NJ INCONNU",IF(I802="",IF(H802="OUI","À ENROBER",IF(G802="À SOUDER","NON SOUDÉ","EN ATTENTE RT")),IF(L802="R","À REPRENDRE",IF(H802&lt;&gt;"OUI","⚠ ENROBÉ AVANT ACCEPTATION RT","ENROBÉ")))))</f>
        <v>À ENROBER</v>
      </c>
      <c r="O802" s="80"/>
      <c r="P802" s="82" t="n">
        <f aca="false">IF(C802="","",IFERROR(MATCH(Q802,'CARNET DE SOUDURE'!$AW$7:$AW$3006,0),""))</f>
        <v>796</v>
      </c>
      <c r="Q802" s="82" t="str">
        <f aca="false">IF(C802="","",B802&amp;"|"&amp;C802)</f>
        <v>MFD-ISW → MFD-CPF|DJ°513</v>
      </c>
    </row>
    <row r="803" customFormat="false" ht="74.6" hidden="false" customHeight="false" outlineLevel="0" collapsed="false">
      <c r="A803" s="82" t="n">
        <f aca="false">IF(C803="","",ROW()-6)</f>
        <v>797</v>
      </c>
      <c r="B803" s="80" t="s">
        <v>110</v>
      </c>
      <c r="C803" s="113" t="s">
        <v>930</v>
      </c>
      <c r="D803" s="82" t="str">
        <f aca="false">IF(OR(C803="",P803=""),"",INDEX('CARNET DE SOUDURE'!$D$7:$D$3006,P803)&amp;"")</f>
        <v>4</v>
      </c>
      <c r="E803" s="114" t="n">
        <f aca="false">IF(OR(C803="",P803=""),"",IF(INDEX('CARNET DE SOUDURE'!$U$7:$U$3006,P803)="","",INDEX('CARNET DE SOUDURE'!$U$7:$U$3006,P803)))</f>
        <v>46291</v>
      </c>
      <c r="F803" s="82" t="str">
        <f aca="false">IF(OR(C803="",P803=""),"",INDEX('CARNET DE SOUDURE'!$AP$7:$AP$3006,P803))</f>
        <v/>
      </c>
      <c r="G803" s="82" t="str">
        <f aca="false">IF(C803="","",IF(P803="","NJ INCONNU",INDEX('CARNET DE SOUDURE'!$AQ$7:$AQ$3006,P803)))</f>
        <v>À RADIOGRAPHIER</v>
      </c>
      <c r="H803" s="82" t="str">
        <f aca="false">IF(C803="","",IF(G803="ACCEPTÉ","OUI","NON"))</f>
        <v>NON</v>
      </c>
      <c r="I803" s="83"/>
      <c r="J803" s="80"/>
      <c r="K803" s="81"/>
      <c r="L803" s="81"/>
      <c r="M803" s="81"/>
      <c r="N803" s="84" t="str">
        <f aca="false">IF(C803="","",IF(P803="","NJ INCONNU",IF(I803="",IF(H803="OUI","À ENROBER",IF(G803="À SOUDER","NON SOUDÉ","EN ATTENTE RT")),IF(L803="R","À REPRENDRE",IF(H803&lt;&gt;"OUI","⚠ ENROBÉ AVANT ACCEPTATION RT","ENROBÉ")))))</f>
        <v>EN ATTENTE RT</v>
      </c>
      <c r="O803" s="80"/>
      <c r="P803" s="82" t="n">
        <f aca="false">IF(C803="","",IFERROR(MATCH(Q803,'CARNET DE SOUDURE'!$AW$7:$AW$3006,0),""))</f>
        <v>797</v>
      </c>
      <c r="Q803" s="82" t="str">
        <f aca="false">IF(C803="","",B803&amp;"|"&amp;C803)</f>
        <v>MFD-ISW → MFD-CPF|JN°778</v>
      </c>
    </row>
    <row r="804" customFormat="false" ht="74.6" hidden="false" customHeight="false" outlineLevel="0" collapsed="false">
      <c r="A804" s="82" t="n">
        <f aca="false">IF(C804="","",ROW()-6)</f>
        <v>798</v>
      </c>
      <c r="B804" s="80" t="s">
        <v>110</v>
      </c>
      <c r="C804" s="113" t="s">
        <v>931</v>
      </c>
      <c r="D804" s="82" t="str">
        <f aca="false">IF(OR(C804="",P804=""),"",INDEX('CARNET DE SOUDURE'!$D$7:$D$3006,P804)&amp;"")</f>
        <v>4</v>
      </c>
      <c r="E804" s="114" t="n">
        <f aca="false">IF(OR(C804="",P804=""),"",IF(INDEX('CARNET DE SOUDURE'!$U$7:$U$3006,P804)="","",INDEX('CARNET DE SOUDURE'!$U$7:$U$3006,P804)))</f>
        <v>46289</v>
      </c>
      <c r="F804" s="82" t="str">
        <f aca="false">IF(OR(C804="",P804=""),"",INDEX('CARNET DE SOUDURE'!$AP$7:$AP$3006,P804))</f>
        <v>A</v>
      </c>
      <c r="G804" s="82" t="str">
        <f aca="false">IF(C804="","",IF(P804="","NJ INCONNU",INDEX('CARNET DE SOUDURE'!$AQ$7:$AQ$3006,P804)))</f>
        <v>ACCEPTÉ</v>
      </c>
      <c r="H804" s="82" t="str">
        <f aca="false">IF(C804="","",IF(G804="ACCEPTÉ","OUI","NON"))</f>
        <v>OUI</v>
      </c>
      <c r="I804" s="83"/>
      <c r="J804" s="80"/>
      <c r="K804" s="81"/>
      <c r="L804" s="81"/>
      <c r="M804" s="81"/>
      <c r="N804" s="84" t="str">
        <f aca="false">IF(C804="","",IF(P804="","NJ INCONNU",IF(I804="",IF(H804="OUI","À ENROBER",IF(G804="À SOUDER","NON SOUDÉ","EN ATTENTE RT")),IF(L804="R","À REPRENDRE",IF(H804&lt;&gt;"OUI","⚠ ENROBÉ AVANT ACCEPTATION RT","ENROBÉ")))))</f>
        <v>À ENROBER</v>
      </c>
      <c r="O804" s="80"/>
      <c r="P804" s="82" t="n">
        <f aca="false">IF(C804="","",IFERROR(MATCH(Q804,'CARNET DE SOUDURE'!$AW$7:$AW$3006,0),""))</f>
        <v>798</v>
      </c>
      <c r="Q804" s="82" t="str">
        <f aca="false">IF(C804="","",B804&amp;"|"&amp;C804)</f>
        <v>MFD-ISW → MFD-CPF|DJ°515</v>
      </c>
    </row>
    <row r="805" customFormat="false" ht="74.6" hidden="false" customHeight="false" outlineLevel="0" collapsed="false">
      <c r="A805" s="82" t="n">
        <f aca="false">IF(C805="","",ROW()-6)</f>
        <v>799</v>
      </c>
      <c r="B805" s="80" t="s">
        <v>110</v>
      </c>
      <c r="C805" s="113" t="s">
        <v>932</v>
      </c>
      <c r="D805" s="82" t="str">
        <f aca="false">IF(OR(C805="",P805=""),"",INDEX('CARNET DE SOUDURE'!$D$7:$D$3006,P805)&amp;"")</f>
        <v>4</v>
      </c>
      <c r="E805" s="114" t="n">
        <f aca="false">IF(OR(C805="",P805=""),"",IF(INDEX('CARNET DE SOUDURE'!$U$7:$U$3006,P805)="","",INDEX('CARNET DE SOUDURE'!$U$7:$U$3006,P805)))</f>
        <v>46291</v>
      </c>
      <c r="F805" s="82" t="str">
        <f aca="false">IF(OR(C805="",P805=""),"",INDEX('CARNET DE SOUDURE'!$AP$7:$AP$3006,P805))</f>
        <v/>
      </c>
      <c r="G805" s="82" t="str">
        <f aca="false">IF(C805="","",IF(P805="","NJ INCONNU",INDEX('CARNET DE SOUDURE'!$AQ$7:$AQ$3006,P805)))</f>
        <v>À RADIOGRAPHIER</v>
      </c>
      <c r="H805" s="82" t="str">
        <f aca="false">IF(C805="","",IF(G805="ACCEPTÉ","OUI","NON"))</f>
        <v>NON</v>
      </c>
      <c r="I805" s="83"/>
      <c r="J805" s="80"/>
      <c r="K805" s="81"/>
      <c r="L805" s="81"/>
      <c r="M805" s="81"/>
      <c r="N805" s="84" t="str">
        <f aca="false">IF(C805="","",IF(P805="","NJ INCONNU",IF(I805="",IF(H805="OUI","À ENROBER",IF(G805="À SOUDER","NON SOUDÉ","EN ATTENTE RT")),IF(L805="R","À REPRENDRE",IF(H805&lt;&gt;"OUI","⚠ ENROBÉ AVANT ACCEPTATION RT","ENROBÉ")))))</f>
        <v>EN ATTENTE RT</v>
      </c>
      <c r="O805" s="80"/>
      <c r="P805" s="82" t="n">
        <f aca="false">IF(C805="","",IFERROR(MATCH(Q805,'CARNET DE SOUDURE'!$AW$7:$AW$3006,0),""))</f>
        <v>799</v>
      </c>
      <c r="Q805" s="82" t="str">
        <f aca="false">IF(C805="","",B805&amp;"|"&amp;C805)</f>
        <v>MFD-ISW → MFD-CPF|JN°779</v>
      </c>
    </row>
    <row r="806" customFormat="false" ht="74.6" hidden="false" customHeight="false" outlineLevel="0" collapsed="false">
      <c r="A806" s="82" t="n">
        <f aca="false">IF(C806="","",ROW()-6)</f>
        <v>800</v>
      </c>
      <c r="B806" s="80" t="s">
        <v>110</v>
      </c>
      <c r="C806" s="113" t="s">
        <v>933</v>
      </c>
      <c r="D806" s="82" t="str">
        <f aca="false">IF(OR(C806="",P806=""),"",INDEX('CARNET DE SOUDURE'!$D$7:$D$3006,P806)&amp;"")</f>
        <v>4</v>
      </c>
      <c r="E806" s="114" t="n">
        <f aca="false">IF(OR(C806="",P806=""),"",IF(INDEX('CARNET DE SOUDURE'!$U$7:$U$3006,P806)="","",INDEX('CARNET DE SOUDURE'!$U$7:$U$3006,P806)))</f>
        <v>46289</v>
      </c>
      <c r="F806" s="82" t="str">
        <f aca="false">IF(OR(C806="",P806=""),"",INDEX('CARNET DE SOUDURE'!$AP$7:$AP$3006,P806))</f>
        <v>A</v>
      </c>
      <c r="G806" s="82" t="str">
        <f aca="false">IF(C806="","",IF(P806="","NJ INCONNU",INDEX('CARNET DE SOUDURE'!$AQ$7:$AQ$3006,P806)))</f>
        <v>ACCEPTÉ</v>
      </c>
      <c r="H806" s="82" t="str">
        <f aca="false">IF(C806="","",IF(G806="ACCEPTÉ","OUI","NON"))</f>
        <v>OUI</v>
      </c>
      <c r="I806" s="83"/>
      <c r="J806" s="80"/>
      <c r="K806" s="81"/>
      <c r="L806" s="81"/>
      <c r="M806" s="81"/>
      <c r="N806" s="84" t="str">
        <f aca="false">IF(C806="","",IF(P806="","NJ INCONNU",IF(I806="",IF(H806="OUI","À ENROBER",IF(G806="À SOUDER","NON SOUDÉ","EN ATTENTE RT")),IF(L806="R","À REPRENDRE",IF(H806&lt;&gt;"OUI","⚠ ENROBÉ AVANT ACCEPTATION RT","ENROBÉ")))))</f>
        <v>À ENROBER</v>
      </c>
      <c r="O806" s="80"/>
      <c r="P806" s="82" t="n">
        <f aca="false">IF(C806="","",IFERROR(MATCH(Q806,'CARNET DE SOUDURE'!$AW$7:$AW$3006,0),""))</f>
        <v>800</v>
      </c>
      <c r="Q806" s="82" t="str">
        <f aca="false">IF(C806="","",B806&amp;"|"&amp;C806)</f>
        <v>MFD-ISW → MFD-CPF|DJ°514</v>
      </c>
    </row>
    <row r="807" customFormat="false" ht="74.6" hidden="false" customHeight="false" outlineLevel="0" collapsed="false">
      <c r="A807" s="82" t="n">
        <f aca="false">IF(C807="","",ROW()-6)</f>
        <v>801</v>
      </c>
      <c r="B807" s="80" t="s">
        <v>110</v>
      </c>
      <c r="C807" s="113" t="s">
        <v>934</v>
      </c>
      <c r="D807" s="82" t="str">
        <f aca="false">IF(OR(C807="",P807=""),"",INDEX('CARNET DE SOUDURE'!$D$7:$D$3006,P807)&amp;"")</f>
        <v>4</v>
      </c>
      <c r="E807" s="114" t="n">
        <f aca="false">IF(OR(C807="",P807=""),"",IF(INDEX('CARNET DE SOUDURE'!$U$7:$U$3006,P807)="","",INDEX('CARNET DE SOUDURE'!$U$7:$U$3006,P807)))</f>
        <v>46290</v>
      </c>
      <c r="F807" s="82" t="str">
        <f aca="false">IF(OR(C807="",P807=""),"",INDEX('CARNET DE SOUDURE'!$AP$7:$AP$3006,P807))</f>
        <v/>
      </c>
      <c r="G807" s="82" t="str">
        <f aca="false">IF(C807="","",IF(P807="","NJ INCONNU",INDEX('CARNET DE SOUDURE'!$AQ$7:$AQ$3006,P807)))</f>
        <v>À RADIOGRAPHIER</v>
      </c>
      <c r="H807" s="82" t="str">
        <f aca="false">IF(C807="","",IF(G807="ACCEPTÉ","OUI","NON"))</f>
        <v>NON</v>
      </c>
      <c r="I807" s="83"/>
      <c r="J807" s="80"/>
      <c r="K807" s="81"/>
      <c r="L807" s="81"/>
      <c r="M807" s="81"/>
      <c r="N807" s="84" t="str">
        <f aca="false">IF(C807="","",IF(P807="","NJ INCONNU",IF(I807="",IF(H807="OUI","À ENROBER",IF(G807="À SOUDER","NON SOUDÉ","EN ATTENTE RT")),IF(L807="R","À REPRENDRE",IF(H807&lt;&gt;"OUI","⚠ ENROBÉ AVANT ACCEPTATION RT","ENROBÉ")))))</f>
        <v>EN ATTENTE RT</v>
      </c>
      <c r="O807" s="80"/>
      <c r="P807" s="82" t="n">
        <f aca="false">IF(C807="","",IFERROR(MATCH(Q807,'CARNET DE SOUDURE'!$AW$7:$AW$3006,0),""))</f>
        <v>801</v>
      </c>
      <c r="Q807" s="82" t="str">
        <f aca="false">IF(C807="","",B807&amp;"|"&amp;C807)</f>
        <v>MFD-ISW → MFD-CPF|JN°780</v>
      </c>
    </row>
    <row r="808" customFormat="false" ht="74.6" hidden="false" customHeight="false" outlineLevel="0" collapsed="false">
      <c r="A808" s="82" t="n">
        <f aca="false">IF(C808="","",ROW()-6)</f>
        <v>802</v>
      </c>
      <c r="B808" s="80" t="s">
        <v>110</v>
      </c>
      <c r="C808" s="113" t="s">
        <v>937</v>
      </c>
      <c r="D808" s="82" t="str">
        <f aca="false">IF(OR(C808="",P808=""),"",INDEX('CARNET DE SOUDURE'!$D$7:$D$3006,P808)&amp;"")</f>
        <v>4</v>
      </c>
      <c r="E808" s="114" t="n">
        <f aca="false">IF(OR(C808="",P808=""),"",IF(INDEX('CARNET DE SOUDURE'!$U$7:$U$3006,P808)="","",INDEX('CARNET DE SOUDURE'!$U$7:$U$3006,P808)))</f>
        <v>46287</v>
      </c>
      <c r="F808" s="82" t="str">
        <f aca="false">IF(OR(C808="",P808=""),"",INDEX('CARNET DE SOUDURE'!$AP$7:$AP$3006,P808))</f>
        <v>A</v>
      </c>
      <c r="G808" s="82" t="str">
        <f aca="false">IF(C808="","",IF(P808="","NJ INCONNU",INDEX('CARNET DE SOUDURE'!$AQ$7:$AQ$3006,P808)))</f>
        <v>ACCEPTÉ</v>
      </c>
      <c r="H808" s="82" t="str">
        <f aca="false">IF(C808="","",IF(G808="ACCEPTÉ","OUI","NON"))</f>
        <v>OUI</v>
      </c>
      <c r="I808" s="83"/>
      <c r="J808" s="80"/>
      <c r="K808" s="81"/>
      <c r="L808" s="81"/>
      <c r="M808" s="81"/>
      <c r="N808" s="84" t="str">
        <f aca="false">IF(C808="","",IF(P808="","NJ INCONNU",IF(I808="",IF(H808="OUI","À ENROBER",IF(G808="À SOUDER","NON SOUDÉ","EN ATTENTE RT")),IF(L808="R","À REPRENDRE",IF(H808&lt;&gt;"OUI","⚠ ENROBÉ AVANT ACCEPTATION RT","ENROBÉ")))))</f>
        <v>À ENROBER</v>
      </c>
      <c r="O808" s="80"/>
      <c r="P808" s="82" t="n">
        <f aca="false">IF(C808="","",IFERROR(MATCH(Q808,'CARNET DE SOUDURE'!$AW$7:$AW$3006,0),""))</f>
        <v>802</v>
      </c>
      <c r="Q808" s="82" t="str">
        <f aca="false">IF(C808="","",B808&amp;"|"&amp;C808)</f>
        <v>MFD-ISW → MFD-CPF|DJ°479</v>
      </c>
    </row>
    <row r="809" customFormat="false" ht="74.6" hidden="false" customHeight="false" outlineLevel="0" collapsed="false">
      <c r="A809" s="82" t="n">
        <f aca="false">IF(C809="","",ROW()-6)</f>
        <v>803</v>
      </c>
      <c r="B809" s="80" t="s">
        <v>110</v>
      </c>
      <c r="C809" s="113" t="s">
        <v>940</v>
      </c>
      <c r="D809" s="82" t="str">
        <f aca="false">IF(OR(C809="",P809=""),"",INDEX('CARNET DE SOUDURE'!$D$7:$D$3006,P809)&amp;"")</f>
        <v>4</v>
      </c>
      <c r="E809" s="114" t="n">
        <f aca="false">IF(OR(C809="",P809=""),"",IF(INDEX('CARNET DE SOUDURE'!$U$7:$U$3006,P809)="","",INDEX('CARNET DE SOUDURE'!$U$7:$U$3006,P809)))</f>
        <v>46290</v>
      </c>
      <c r="F809" s="82" t="str">
        <f aca="false">IF(OR(C809="",P809=""),"",INDEX('CARNET DE SOUDURE'!$AP$7:$AP$3006,P809))</f>
        <v/>
      </c>
      <c r="G809" s="82" t="str">
        <f aca="false">IF(C809="","",IF(P809="","NJ INCONNU",INDEX('CARNET DE SOUDURE'!$AQ$7:$AQ$3006,P809)))</f>
        <v>À RADIOGRAPHIER</v>
      </c>
      <c r="H809" s="82" t="str">
        <f aca="false">IF(C809="","",IF(G809="ACCEPTÉ","OUI","NON"))</f>
        <v>NON</v>
      </c>
      <c r="I809" s="83"/>
      <c r="J809" s="80"/>
      <c r="K809" s="81"/>
      <c r="L809" s="81"/>
      <c r="M809" s="81"/>
      <c r="N809" s="84" t="str">
        <f aca="false">IF(C809="","",IF(P809="","NJ INCONNU",IF(I809="",IF(H809="OUI","À ENROBER",IF(G809="À SOUDER","NON SOUDÉ","EN ATTENTE RT")),IF(L809="R","À REPRENDRE",IF(H809&lt;&gt;"OUI","⚠ ENROBÉ AVANT ACCEPTATION RT","ENROBÉ")))))</f>
        <v>EN ATTENTE RT</v>
      </c>
      <c r="O809" s="80"/>
      <c r="P809" s="82" t="n">
        <f aca="false">IF(C809="","",IFERROR(MATCH(Q809,'CARNET DE SOUDURE'!$AW$7:$AW$3006,0),""))</f>
        <v>803</v>
      </c>
      <c r="Q809" s="82" t="str">
        <f aca="false">IF(C809="","",B809&amp;"|"&amp;C809)</f>
        <v>MFD-ISW → MFD-CPF|JN°781</v>
      </c>
    </row>
    <row r="810" customFormat="false" ht="74.6" hidden="false" customHeight="false" outlineLevel="0" collapsed="false">
      <c r="A810" s="82" t="n">
        <f aca="false">IF(C810="","",ROW()-6)</f>
        <v>804</v>
      </c>
      <c r="B810" s="80" t="s">
        <v>110</v>
      </c>
      <c r="C810" s="113" t="s">
        <v>941</v>
      </c>
      <c r="D810" s="82" t="str">
        <f aca="false">IF(OR(C810="",P810=""),"",INDEX('CARNET DE SOUDURE'!$D$7:$D$3006,P810)&amp;"")</f>
        <v>4</v>
      </c>
      <c r="E810" s="114" t="n">
        <f aca="false">IF(OR(C810="",P810=""),"",IF(INDEX('CARNET DE SOUDURE'!$U$7:$U$3006,P810)="","",INDEX('CARNET DE SOUDURE'!$U$7:$U$3006,P810)))</f>
        <v>46289</v>
      </c>
      <c r="F810" s="82" t="str">
        <f aca="false">IF(OR(C810="",P810=""),"",INDEX('CARNET DE SOUDURE'!$AP$7:$AP$3006,P810))</f>
        <v>A</v>
      </c>
      <c r="G810" s="82" t="str">
        <f aca="false">IF(C810="","",IF(P810="","NJ INCONNU",INDEX('CARNET DE SOUDURE'!$AQ$7:$AQ$3006,P810)))</f>
        <v>ACCEPTÉ</v>
      </c>
      <c r="H810" s="82" t="str">
        <f aca="false">IF(C810="","",IF(G810="ACCEPTÉ","OUI","NON"))</f>
        <v>OUI</v>
      </c>
      <c r="I810" s="83"/>
      <c r="J810" s="80"/>
      <c r="K810" s="81"/>
      <c r="L810" s="81"/>
      <c r="M810" s="81"/>
      <c r="N810" s="84" t="str">
        <f aca="false">IF(C810="","",IF(P810="","NJ INCONNU",IF(I810="",IF(H810="OUI","À ENROBER",IF(G810="À SOUDER","NON SOUDÉ","EN ATTENTE RT")),IF(L810="R","À REPRENDRE",IF(H810&lt;&gt;"OUI","⚠ ENROBÉ AVANT ACCEPTATION RT","ENROBÉ")))))</f>
        <v>À ENROBER</v>
      </c>
      <c r="O810" s="80"/>
      <c r="P810" s="82" t="n">
        <f aca="false">IF(C810="","",IFERROR(MATCH(Q810,'CARNET DE SOUDURE'!$AW$7:$AW$3006,0),""))</f>
        <v>804</v>
      </c>
      <c r="Q810" s="82" t="str">
        <f aca="false">IF(C810="","",B810&amp;"|"&amp;C810)</f>
        <v>MFD-ISW → MFD-CPF|DJ°516</v>
      </c>
    </row>
    <row r="811" customFormat="false" ht="74.6" hidden="false" customHeight="false" outlineLevel="0" collapsed="false">
      <c r="A811" s="82" t="n">
        <f aca="false">IF(C811="","",ROW()-6)</f>
        <v>805</v>
      </c>
      <c r="B811" s="80" t="s">
        <v>110</v>
      </c>
      <c r="C811" s="113" t="s">
        <v>942</v>
      </c>
      <c r="D811" s="82" t="str">
        <f aca="false">IF(OR(C811="",P811=""),"",INDEX('CARNET DE SOUDURE'!$D$7:$D$3006,P811)&amp;"")</f>
        <v>4</v>
      </c>
      <c r="E811" s="114" t="n">
        <f aca="false">IF(OR(C811="",P811=""),"",IF(INDEX('CARNET DE SOUDURE'!$U$7:$U$3006,P811)="","",INDEX('CARNET DE SOUDURE'!$U$7:$U$3006,P811)))</f>
        <v>46290</v>
      </c>
      <c r="F811" s="82" t="str">
        <f aca="false">IF(OR(C811="",P811=""),"",INDEX('CARNET DE SOUDURE'!$AP$7:$AP$3006,P811))</f>
        <v/>
      </c>
      <c r="G811" s="82" t="str">
        <f aca="false">IF(C811="","",IF(P811="","NJ INCONNU",INDEX('CARNET DE SOUDURE'!$AQ$7:$AQ$3006,P811)))</f>
        <v>À RADIOGRAPHIER</v>
      </c>
      <c r="H811" s="82" t="str">
        <f aca="false">IF(C811="","",IF(G811="ACCEPTÉ","OUI","NON"))</f>
        <v>NON</v>
      </c>
      <c r="I811" s="83"/>
      <c r="J811" s="80"/>
      <c r="K811" s="81"/>
      <c r="L811" s="81"/>
      <c r="M811" s="81"/>
      <c r="N811" s="84" t="str">
        <f aca="false">IF(C811="","",IF(P811="","NJ INCONNU",IF(I811="",IF(H811="OUI","À ENROBER",IF(G811="À SOUDER","NON SOUDÉ","EN ATTENTE RT")),IF(L811="R","À REPRENDRE",IF(H811&lt;&gt;"OUI","⚠ ENROBÉ AVANT ACCEPTATION RT","ENROBÉ")))))</f>
        <v>EN ATTENTE RT</v>
      </c>
      <c r="O811" s="80"/>
      <c r="P811" s="82" t="n">
        <f aca="false">IF(C811="","",IFERROR(MATCH(Q811,'CARNET DE SOUDURE'!$AW$7:$AW$3006,0),""))</f>
        <v>805</v>
      </c>
      <c r="Q811" s="82" t="str">
        <f aca="false">IF(C811="","",B811&amp;"|"&amp;C811)</f>
        <v>MFD-ISW → MFD-CPF|JN°782</v>
      </c>
    </row>
    <row r="812" customFormat="false" ht="74.6" hidden="false" customHeight="false" outlineLevel="0" collapsed="false">
      <c r="A812" s="82" t="n">
        <f aca="false">IF(C812="","",ROW()-6)</f>
        <v>806</v>
      </c>
      <c r="B812" s="80" t="s">
        <v>110</v>
      </c>
      <c r="C812" s="113" t="s">
        <v>943</v>
      </c>
      <c r="D812" s="82" t="str">
        <f aca="false">IF(OR(C812="",P812=""),"",INDEX('CARNET DE SOUDURE'!$D$7:$D$3006,P812)&amp;"")</f>
        <v>4</v>
      </c>
      <c r="E812" s="114" t="n">
        <f aca="false">IF(OR(C812="",P812=""),"",IF(INDEX('CARNET DE SOUDURE'!$U$7:$U$3006,P812)="","",INDEX('CARNET DE SOUDURE'!$U$7:$U$3006,P812)))</f>
        <v>46288</v>
      </c>
      <c r="F812" s="82" t="str">
        <f aca="false">IF(OR(C812="",P812=""),"",INDEX('CARNET DE SOUDURE'!$AP$7:$AP$3006,P812))</f>
        <v>A</v>
      </c>
      <c r="G812" s="82" t="str">
        <f aca="false">IF(C812="","",IF(P812="","NJ INCONNU",INDEX('CARNET DE SOUDURE'!$AQ$7:$AQ$3006,P812)))</f>
        <v>ACCEPTÉ</v>
      </c>
      <c r="H812" s="82" t="str">
        <f aca="false">IF(C812="","",IF(G812="ACCEPTÉ","OUI","NON"))</f>
        <v>OUI</v>
      </c>
      <c r="I812" s="83"/>
      <c r="J812" s="80"/>
      <c r="K812" s="81"/>
      <c r="L812" s="81"/>
      <c r="M812" s="81"/>
      <c r="N812" s="84" t="str">
        <f aca="false">IF(C812="","",IF(P812="","NJ INCONNU",IF(I812="",IF(H812="OUI","À ENROBER",IF(G812="À SOUDER","NON SOUDÉ","EN ATTENTE RT")),IF(L812="R","À REPRENDRE",IF(H812&lt;&gt;"OUI","⚠ ENROBÉ AVANT ACCEPTATION RT","ENROBÉ")))))</f>
        <v>À ENROBER</v>
      </c>
      <c r="O812" s="80"/>
      <c r="P812" s="82" t="n">
        <f aca="false">IF(C812="","",IFERROR(MATCH(Q812,'CARNET DE SOUDURE'!$AW$7:$AW$3006,0),""))</f>
        <v>806</v>
      </c>
      <c r="Q812" s="82" t="str">
        <f aca="false">IF(C812="","",B812&amp;"|"&amp;C812)</f>
        <v>MFD-ISW → MFD-CPF|DJ°501</v>
      </c>
    </row>
    <row r="813" customFormat="false" ht="74.6" hidden="false" customHeight="false" outlineLevel="0" collapsed="false">
      <c r="A813" s="82" t="n">
        <f aca="false">IF(C813="","",ROW()-6)</f>
        <v>807</v>
      </c>
      <c r="B813" s="80" t="s">
        <v>110</v>
      </c>
      <c r="C813" s="113" t="s">
        <v>944</v>
      </c>
      <c r="D813" s="82" t="str">
        <f aca="false">IF(OR(C813="",P813=""),"",INDEX('CARNET DE SOUDURE'!$D$7:$D$3006,P813)&amp;"")</f>
        <v>4</v>
      </c>
      <c r="E813" s="114" t="n">
        <f aca="false">IF(OR(C813="",P813=""),"",IF(INDEX('CARNET DE SOUDURE'!$U$7:$U$3006,P813)="","",INDEX('CARNET DE SOUDURE'!$U$7:$U$3006,P813)))</f>
        <v>46290</v>
      </c>
      <c r="F813" s="82" t="str">
        <f aca="false">IF(OR(C813="",P813=""),"",INDEX('CARNET DE SOUDURE'!$AP$7:$AP$3006,P813))</f>
        <v/>
      </c>
      <c r="G813" s="82" t="str">
        <f aca="false">IF(C813="","",IF(P813="","NJ INCONNU",INDEX('CARNET DE SOUDURE'!$AQ$7:$AQ$3006,P813)))</f>
        <v>À RADIOGRAPHIER</v>
      </c>
      <c r="H813" s="82" t="str">
        <f aca="false">IF(C813="","",IF(G813="ACCEPTÉ","OUI","NON"))</f>
        <v>NON</v>
      </c>
      <c r="I813" s="83"/>
      <c r="J813" s="80"/>
      <c r="K813" s="81"/>
      <c r="L813" s="81"/>
      <c r="M813" s="81"/>
      <c r="N813" s="84" t="str">
        <f aca="false">IF(C813="","",IF(P813="","NJ INCONNU",IF(I813="",IF(H813="OUI","À ENROBER",IF(G813="À SOUDER","NON SOUDÉ","EN ATTENTE RT")),IF(L813="R","À REPRENDRE",IF(H813&lt;&gt;"OUI","⚠ ENROBÉ AVANT ACCEPTATION RT","ENROBÉ")))))</f>
        <v>EN ATTENTE RT</v>
      </c>
      <c r="O813" s="80"/>
      <c r="P813" s="82" t="n">
        <f aca="false">IF(C813="","",IFERROR(MATCH(Q813,'CARNET DE SOUDURE'!$AW$7:$AW$3006,0),""))</f>
        <v>807</v>
      </c>
      <c r="Q813" s="82" t="str">
        <f aca="false">IF(C813="","",B813&amp;"|"&amp;C813)</f>
        <v>MFD-ISW → MFD-CPF|JN°783</v>
      </c>
    </row>
    <row r="814" customFormat="false" ht="74.6" hidden="false" customHeight="false" outlineLevel="0" collapsed="false">
      <c r="A814" s="82" t="n">
        <f aca="false">IF(C814="","",ROW()-6)</f>
        <v>808</v>
      </c>
      <c r="B814" s="80" t="s">
        <v>110</v>
      </c>
      <c r="C814" s="113" t="s">
        <v>945</v>
      </c>
      <c r="D814" s="82" t="str">
        <f aca="false">IF(OR(C814="",P814=""),"",INDEX('CARNET DE SOUDURE'!$D$7:$D$3006,P814)&amp;"")</f>
        <v>4</v>
      </c>
      <c r="E814" s="114" t="n">
        <f aca="false">IF(OR(C814="",P814=""),"",IF(INDEX('CARNET DE SOUDURE'!$U$7:$U$3006,P814)="","",INDEX('CARNET DE SOUDURE'!$U$7:$U$3006,P814)))</f>
        <v>46288</v>
      </c>
      <c r="F814" s="82" t="str">
        <f aca="false">IF(OR(C814="",P814=""),"",INDEX('CARNET DE SOUDURE'!$AP$7:$AP$3006,P814))</f>
        <v>A</v>
      </c>
      <c r="G814" s="82" t="str">
        <f aca="false">IF(C814="","",IF(P814="","NJ INCONNU",INDEX('CARNET DE SOUDURE'!$AQ$7:$AQ$3006,P814)))</f>
        <v>ACCEPTÉ</v>
      </c>
      <c r="H814" s="82" t="str">
        <f aca="false">IF(C814="","",IF(G814="ACCEPTÉ","OUI","NON"))</f>
        <v>OUI</v>
      </c>
      <c r="I814" s="83"/>
      <c r="J814" s="80"/>
      <c r="K814" s="81"/>
      <c r="L814" s="81"/>
      <c r="M814" s="81"/>
      <c r="N814" s="84" t="str">
        <f aca="false">IF(C814="","",IF(P814="","NJ INCONNU",IF(I814="",IF(H814="OUI","À ENROBER",IF(G814="À SOUDER","NON SOUDÉ","EN ATTENTE RT")),IF(L814="R","À REPRENDRE",IF(H814&lt;&gt;"OUI","⚠ ENROBÉ AVANT ACCEPTATION RT","ENROBÉ")))))</f>
        <v>À ENROBER</v>
      </c>
      <c r="O814" s="80"/>
      <c r="P814" s="82" t="n">
        <f aca="false">IF(C814="","",IFERROR(MATCH(Q814,'CARNET DE SOUDURE'!$AW$7:$AW$3006,0),""))</f>
        <v>808</v>
      </c>
      <c r="Q814" s="82" t="str">
        <f aca="false">IF(C814="","",B814&amp;"|"&amp;C814)</f>
        <v>MFD-ISW → MFD-CPF|DJ°494</v>
      </c>
    </row>
    <row r="815" customFormat="false" ht="74.6" hidden="false" customHeight="false" outlineLevel="0" collapsed="false">
      <c r="A815" s="82" t="n">
        <f aca="false">IF(C815="","",ROW()-6)</f>
        <v>809</v>
      </c>
      <c r="B815" s="80" t="s">
        <v>110</v>
      </c>
      <c r="C815" s="113" t="s">
        <v>946</v>
      </c>
      <c r="D815" s="82" t="str">
        <f aca="false">IF(OR(C815="",P815=""),"",INDEX('CARNET DE SOUDURE'!$D$7:$D$3006,P815)&amp;"")</f>
        <v>4</v>
      </c>
      <c r="E815" s="114" t="n">
        <f aca="false">IF(OR(C815="",P815=""),"",IF(INDEX('CARNET DE SOUDURE'!$U$7:$U$3006,P815)="","",INDEX('CARNET DE SOUDURE'!$U$7:$U$3006,P815)))</f>
        <v>46290</v>
      </c>
      <c r="F815" s="82" t="str">
        <f aca="false">IF(OR(C815="",P815=""),"",INDEX('CARNET DE SOUDURE'!$AP$7:$AP$3006,P815))</f>
        <v/>
      </c>
      <c r="G815" s="82" t="str">
        <f aca="false">IF(C815="","",IF(P815="","NJ INCONNU",INDEX('CARNET DE SOUDURE'!$AQ$7:$AQ$3006,P815)))</f>
        <v>À RADIOGRAPHIER</v>
      </c>
      <c r="H815" s="82" t="str">
        <f aca="false">IF(C815="","",IF(G815="ACCEPTÉ","OUI","NON"))</f>
        <v>NON</v>
      </c>
      <c r="I815" s="83"/>
      <c r="J815" s="80"/>
      <c r="K815" s="81"/>
      <c r="L815" s="81"/>
      <c r="M815" s="81"/>
      <c r="N815" s="84" t="str">
        <f aca="false">IF(C815="","",IF(P815="","NJ INCONNU",IF(I815="",IF(H815="OUI","À ENROBER",IF(G815="À SOUDER","NON SOUDÉ","EN ATTENTE RT")),IF(L815="R","À REPRENDRE",IF(H815&lt;&gt;"OUI","⚠ ENROBÉ AVANT ACCEPTATION RT","ENROBÉ")))))</f>
        <v>EN ATTENTE RT</v>
      </c>
      <c r="O815" s="80"/>
      <c r="P815" s="82" t="n">
        <f aca="false">IF(C815="","",IFERROR(MATCH(Q815,'CARNET DE SOUDURE'!$AW$7:$AW$3006,0),""))</f>
        <v>809</v>
      </c>
      <c r="Q815" s="82" t="str">
        <f aca="false">IF(C815="","",B815&amp;"|"&amp;C815)</f>
        <v>MFD-ISW → MFD-CPF|JN°784</v>
      </c>
    </row>
    <row r="816" customFormat="false" ht="74.6" hidden="false" customHeight="false" outlineLevel="0" collapsed="false">
      <c r="A816" s="82" t="n">
        <f aca="false">IF(C816="","",ROW()-6)</f>
        <v>810</v>
      </c>
      <c r="B816" s="80" t="s">
        <v>110</v>
      </c>
      <c r="C816" s="113" t="s">
        <v>947</v>
      </c>
      <c r="D816" s="82" t="str">
        <f aca="false">IF(OR(C816="",P816=""),"",INDEX('CARNET DE SOUDURE'!$D$7:$D$3006,P816)&amp;"")</f>
        <v>4</v>
      </c>
      <c r="E816" s="114" t="n">
        <f aca="false">IF(OR(C816="",P816=""),"",IF(INDEX('CARNET DE SOUDURE'!$U$7:$U$3006,P816)="","",INDEX('CARNET DE SOUDURE'!$U$7:$U$3006,P816)))</f>
        <v>46288</v>
      </c>
      <c r="F816" s="82" t="str">
        <f aca="false">IF(OR(C816="",P816=""),"",INDEX('CARNET DE SOUDURE'!$AP$7:$AP$3006,P816))</f>
        <v>A</v>
      </c>
      <c r="G816" s="82" t="str">
        <f aca="false">IF(C816="","",IF(P816="","NJ INCONNU",INDEX('CARNET DE SOUDURE'!$AQ$7:$AQ$3006,P816)))</f>
        <v>ACCEPTÉ</v>
      </c>
      <c r="H816" s="82" t="str">
        <f aca="false">IF(C816="","",IF(G816="ACCEPTÉ","OUI","NON"))</f>
        <v>OUI</v>
      </c>
      <c r="I816" s="83"/>
      <c r="J816" s="80"/>
      <c r="K816" s="81"/>
      <c r="L816" s="81"/>
      <c r="M816" s="81"/>
      <c r="N816" s="84" t="str">
        <f aca="false">IF(C816="","",IF(P816="","NJ INCONNU",IF(I816="",IF(H816="OUI","À ENROBER",IF(G816="À SOUDER","NON SOUDÉ","EN ATTENTE RT")),IF(L816="R","À REPRENDRE",IF(H816&lt;&gt;"OUI","⚠ ENROBÉ AVANT ACCEPTATION RT","ENROBÉ")))))</f>
        <v>À ENROBER</v>
      </c>
      <c r="O816" s="80"/>
      <c r="P816" s="82" t="n">
        <f aca="false">IF(C816="","",IFERROR(MATCH(Q816,'CARNET DE SOUDURE'!$AW$7:$AW$3006,0),""))</f>
        <v>810</v>
      </c>
      <c r="Q816" s="82" t="str">
        <f aca="false">IF(C816="","",B816&amp;"|"&amp;C816)</f>
        <v>MFD-ISW → MFD-CPF|DJ°499</v>
      </c>
    </row>
    <row r="817" customFormat="false" ht="74.6" hidden="false" customHeight="false" outlineLevel="0" collapsed="false">
      <c r="A817" s="82" t="n">
        <f aca="false">IF(C817="","",ROW()-6)</f>
        <v>811</v>
      </c>
      <c r="B817" s="80" t="s">
        <v>110</v>
      </c>
      <c r="C817" s="113" t="s">
        <v>948</v>
      </c>
      <c r="D817" s="82" t="str">
        <f aca="false">IF(OR(C817="",P817=""),"",INDEX('CARNET DE SOUDURE'!$D$7:$D$3006,P817)&amp;"")</f>
        <v>4</v>
      </c>
      <c r="E817" s="114" t="n">
        <f aca="false">IF(OR(C817="",P817=""),"",IF(INDEX('CARNET DE SOUDURE'!$U$7:$U$3006,P817)="","",INDEX('CARNET DE SOUDURE'!$U$7:$U$3006,P817)))</f>
        <v>46290</v>
      </c>
      <c r="F817" s="82" t="str">
        <f aca="false">IF(OR(C817="",P817=""),"",INDEX('CARNET DE SOUDURE'!$AP$7:$AP$3006,P817))</f>
        <v/>
      </c>
      <c r="G817" s="82" t="str">
        <f aca="false">IF(C817="","",IF(P817="","NJ INCONNU",INDEX('CARNET DE SOUDURE'!$AQ$7:$AQ$3006,P817)))</f>
        <v>À RADIOGRAPHIER</v>
      </c>
      <c r="H817" s="82" t="str">
        <f aca="false">IF(C817="","",IF(G817="ACCEPTÉ","OUI","NON"))</f>
        <v>NON</v>
      </c>
      <c r="I817" s="83"/>
      <c r="J817" s="80"/>
      <c r="K817" s="81"/>
      <c r="L817" s="81"/>
      <c r="M817" s="81"/>
      <c r="N817" s="84" t="str">
        <f aca="false">IF(C817="","",IF(P817="","NJ INCONNU",IF(I817="",IF(H817="OUI","À ENROBER",IF(G817="À SOUDER","NON SOUDÉ","EN ATTENTE RT")),IF(L817="R","À REPRENDRE",IF(H817&lt;&gt;"OUI","⚠ ENROBÉ AVANT ACCEPTATION RT","ENROBÉ")))))</f>
        <v>EN ATTENTE RT</v>
      </c>
      <c r="O817" s="80"/>
      <c r="P817" s="82" t="n">
        <f aca="false">IF(C817="","",IFERROR(MATCH(Q817,'CARNET DE SOUDURE'!$AW$7:$AW$3006,0),""))</f>
        <v>811</v>
      </c>
      <c r="Q817" s="82" t="str">
        <f aca="false">IF(C817="","",B817&amp;"|"&amp;C817)</f>
        <v>MFD-ISW → MFD-CPF|JN°785</v>
      </c>
    </row>
    <row r="818" customFormat="false" ht="74.6" hidden="false" customHeight="false" outlineLevel="0" collapsed="false">
      <c r="A818" s="82" t="n">
        <f aca="false">IF(C818="","",ROW()-6)</f>
        <v>812</v>
      </c>
      <c r="B818" s="80" t="s">
        <v>110</v>
      </c>
      <c r="C818" s="113" t="s">
        <v>949</v>
      </c>
      <c r="D818" s="82" t="str">
        <f aca="false">IF(OR(C818="",P818=""),"",INDEX('CARNET DE SOUDURE'!$D$7:$D$3006,P818)&amp;"")</f>
        <v>4</v>
      </c>
      <c r="E818" s="114" t="n">
        <f aca="false">IF(OR(C818="",P818=""),"",IF(INDEX('CARNET DE SOUDURE'!$U$7:$U$3006,P818)="","",INDEX('CARNET DE SOUDURE'!$U$7:$U$3006,P818)))</f>
        <v>46288</v>
      </c>
      <c r="F818" s="82" t="str">
        <f aca="false">IF(OR(C818="",P818=""),"",INDEX('CARNET DE SOUDURE'!$AP$7:$AP$3006,P818))</f>
        <v>A</v>
      </c>
      <c r="G818" s="82" t="str">
        <f aca="false">IF(C818="","",IF(P818="","NJ INCONNU",INDEX('CARNET DE SOUDURE'!$AQ$7:$AQ$3006,P818)))</f>
        <v>ACCEPTÉ</v>
      </c>
      <c r="H818" s="82" t="str">
        <f aca="false">IF(C818="","",IF(G818="ACCEPTÉ","OUI","NON"))</f>
        <v>OUI</v>
      </c>
      <c r="I818" s="83"/>
      <c r="J818" s="80"/>
      <c r="K818" s="81"/>
      <c r="L818" s="81"/>
      <c r="M818" s="81"/>
      <c r="N818" s="84" t="str">
        <f aca="false">IF(C818="","",IF(P818="","NJ INCONNU",IF(I818="",IF(H818="OUI","À ENROBER",IF(G818="À SOUDER","NON SOUDÉ","EN ATTENTE RT")),IF(L818="R","À REPRENDRE",IF(H818&lt;&gt;"OUI","⚠ ENROBÉ AVANT ACCEPTATION RT","ENROBÉ")))))</f>
        <v>À ENROBER</v>
      </c>
      <c r="O818" s="80"/>
      <c r="P818" s="82" t="n">
        <f aca="false">IF(C818="","",IFERROR(MATCH(Q818,'CARNET DE SOUDURE'!$AW$7:$AW$3006,0),""))</f>
        <v>812</v>
      </c>
      <c r="Q818" s="82" t="str">
        <f aca="false">IF(C818="","",B818&amp;"|"&amp;C818)</f>
        <v>MFD-ISW → MFD-CPF|DJ°496</v>
      </c>
    </row>
    <row r="819" customFormat="false" ht="74.6" hidden="false" customHeight="false" outlineLevel="0" collapsed="false">
      <c r="A819" s="82" t="n">
        <f aca="false">IF(C819="","",ROW()-6)</f>
        <v>813</v>
      </c>
      <c r="B819" s="80" t="s">
        <v>110</v>
      </c>
      <c r="C819" s="113" t="s">
        <v>950</v>
      </c>
      <c r="D819" s="82" t="str">
        <f aca="false">IF(OR(C819="",P819=""),"",INDEX('CARNET DE SOUDURE'!$D$7:$D$3006,P819)&amp;"")</f>
        <v>4</v>
      </c>
      <c r="E819" s="114" t="n">
        <f aca="false">IF(OR(C819="",P819=""),"",IF(INDEX('CARNET DE SOUDURE'!$U$7:$U$3006,P819)="","",INDEX('CARNET DE SOUDURE'!$U$7:$U$3006,P819)))</f>
        <v>46290</v>
      </c>
      <c r="F819" s="82" t="str">
        <f aca="false">IF(OR(C819="",P819=""),"",INDEX('CARNET DE SOUDURE'!$AP$7:$AP$3006,P819))</f>
        <v/>
      </c>
      <c r="G819" s="82" t="str">
        <f aca="false">IF(C819="","",IF(P819="","NJ INCONNU",INDEX('CARNET DE SOUDURE'!$AQ$7:$AQ$3006,P819)))</f>
        <v>À RADIOGRAPHIER</v>
      </c>
      <c r="H819" s="82" t="str">
        <f aca="false">IF(C819="","",IF(G819="ACCEPTÉ","OUI","NON"))</f>
        <v>NON</v>
      </c>
      <c r="I819" s="83"/>
      <c r="J819" s="80"/>
      <c r="K819" s="81"/>
      <c r="L819" s="81"/>
      <c r="M819" s="81"/>
      <c r="N819" s="84" t="str">
        <f aca="false">IF(C819="","",IF(P819="","NJ INCONNU",IF(I819="",IF(H819="OUI","À ENROBER",IF(G819="À SOUDER","NON SOUDÉ","EN ATTENTE RT")),IF(L819="R","À REPRENDRE",IF(H819&lt;&gt;"OUI","⚠ ENROBÉ AVANT ACCEPTATION RT","ENROBÉ")))))</f>
        <v>EN ATTENTE RT</v>
      </c>
      <c r="O819" s="80"/>
      <c r="P819" s="82" t="n">
        <f aca="false">IF(C819="","",IFERROR(MATCH(Q819,'CARNET DE SOUDURE'!$AW$7:$AW$3006,0),""))</f>
        <v>813</v>
      </c>
      <c r="Q819" s="82" t="str">
        <f aca="false">IF(C819="","",B819&amp;"|"&amp;C819)</f>
        <v>MFD-ISW → MFD-CPF|JN°786</v>
      </c>
    </row>
    <row r="820" customFormat="false" ht="74.6" hidden="false" customHeight="false" outlineLevel="0" collapsed="false">
      <c r="A820" s="82" t="n">
        <f aca="false">IF(C820="","",ROW()-6)</f>
        <v>814</v>
      </c>
      <c r="B820" s="80" t="s">
        <v>110</v>
      </c>
      <c r="C820" s="113" t="s">
        <v>951</v>
      </c>
      <c r="D820" s="82" t="str">
        <f aca="false">IF(OR(C820="",P820=""),"",INDEX('CARNET DE SOUDURE'!$D$7:$D$3006,P820)&amp;"")</f>
        <v>4</v>
      </c>
      <c r="E820" s="114" t="n">
        <f aca="false">IF(OR(C820="",P820=""),"",IF(INDEX('CARNET DE SOUDURE'!$U$7:$U$3006,P820)="","",INDEX('CARNET DE SOUDURE'!$U$7:$U$3006,P820)))</f>
        <v>46288</v>
      </c>
      <c r="F820" s="82" t="str">
        <f aca="false">IF(OR(C820="",P820=""),"",INDEX('CARNET DE SOUDURE'!$AP$7:$AP$3006,P820))</f>
        <v>A</v>
      </c>
      <c r="G820" s="82" t="str">
        <f aca="false">IF(C820="","",IF(P820="","NJ INCONNU",INDEX('CARNET DE SOUDURE'!$AQ$7:$AQ$3006,P820)))</f>
        <v>ACCEPTÉ</v>
      </c>
      <c r="H820" s="82" t="str">
        <f aca="false">IF(C820="","",IF(G820="ACCEPTÉ","OUI","NON"))</f>
        <v>OUI</v>
      </c>
      <c r="I820" s="83"/>
      <c r="J820" s="80"/>
      <c r="K820" s="81"/>
      <c r="L820" s="81"/>
      <c r="M820" s="81"/>
      <c r="N820" s="84" t="str">
        <f aca="false">IF(C820="","",IF(P820="","NJ INCONNU",IF(I820="",IF(H820="OUI","À ENROBER",IF(G820="À SOUDER","NON SOUDÉ","EN ATTENTE RT")),IF(L820="R","À REPRENDRE",IF(H820&lt;&gt;"OUI","⚠ ENROBÉ AVANT ACCEPTATION RT","ENROBÉ")))))</f>
        <v>À ENROBER</v>
      </c>
      <c r="O820" s="80"/>
      <c r="P820" s="82" t="n">
        <f aca="false">IF(C820="","",IFERROR(MATCH(Q820,'CARNET DE SOUDURE'!$AW$7:$AW$3006,0),""))</f>
        <v>814</v>
      </c>
      <c r="Q820" s="82" t="str">
        <f aca="false">IF(C820="","",B820&amp;"|"&amp;C820)</f>
        <v>MFD-ISW → MFD-CPF|DJ°493</v>
      </c>
    </row>
    <row r="821" customFormat="false" ht="74.6" hidden="false" customHeight="false" outlineLevel="0" collapsed="false">
      <c r="A821" s="82" t="n">
        <f aca="false">IF(C821="","",ROW()-6)</f>
        <v>815</v>
      </c>
      <c r="B821" s="80" t="s">
        <v>110</v>
      </c>
      <c r="C821" s="113" t="s">
        <v>952</v>
      </c>
      <c r="D821" s="82" t="str">
        <f aca="false">IF(OR(C821="",P821=""),"",INDEX('CARNET DE SOUDURE'!$D$7:$D$3006,P821)&amp;"")</f>
        <v>N,S</v>
      </c>
      <c r="E821" s="114" t="str">
        <f aca="false">IF(OR(C821="",P821=""),"",IF(INDEX('CARNET DE SOUDURE'!$U$7:$U$3006,P821)="","",INDEX('CARNET DE SOUDURE'!$U$7:$U$3006,P821)))</f>
        <v/>
      </c>
      <c r="F821" s="82" t="str">
        <f aca="false">IF(OR(C821="",P821=""),"",INDEX('CARNET DE SOUDURE'!$AP$7:$AP$3006,P821))</f>
        <v/>
      </c>
      <c r="G821" s="82" t="str">
        <f aca="false">IF(C821="","",IF(P821="","NJ INCONNU",INDEX('CARNET DE SOUDURE'!$AQ$7:$AQ$3006,P821)))</f>
        <v>À SOUDER</v>
      </c>
      <c r="H821" s="82" t="str">
        <f aca="false">IF(C821="","",IF(G821="ACCEPTÉ","OUI","NON"))</f>
        <v>NON</v>
      </c>
      <c r="I821" s="83"/>
      <c r="J821" s="80"/>
      <c r="K821" s="81"/>
      <c r="L821" s="81"/>
      <c r="M821" s="81"/>
      <c r="N821" s="84" t="str">
        <f aca="false">IF(C821="","",IF(P821="","NJ INCONNU",IF(I821="",IF(H821="OUI","À ENROBER",IF(G821="À SOUDER","NON SOUDÉ","EN ATTENTE RT")),IF(L821="R","À REPRENDRE",IF(H821&lt;&gt;"OUI","⚠ ENROBÉ AVANT ACCEPTATION RT","ENROBÉ")))))</f>
        <v>NON SOUDÉ</v>
      </c>
      <c r="O821" s="80"/>
      <c r="P821" s="82" t="n">
        <f aca="false">IF(C821="","",IFERROR(MATCH(Q821,'CARNET DE SOUDURE'!$AW$7:$AW$3006,0),""))</f>
        <v>815</v>
      </c>
      <c r="Q821" s="82" t="str">
        <f aca="false">IF(C821="","",B821&amp;"|"&amp;C821)</f>
        <v>MFD-ISW → MFD-CPF|JN°787</v>
      </c>
    </row>
    <row r="822" customFormat="false" ht="74.6" hidden="false" customHeight="false" outlineLevel="0" collapsed="false">
      <c r="A822" s="82" t="n">
        <f aca="false">IF(C822="","",ROW()-6)</f>
        <v>816</v>
      </c>
      <c r="B822" s="80" t="s">
        <v>110</v>
      </c>
      <c r="C822" s="113" t="s">
        <v>953</v>
      </c>
      <c r="D822" s="82" t="str">
        <f aca="false">IF(OR(C822="",P822=""),"",INDEX('CARNET DE SOUDURE'!$D$7:$D$3006,P822)&amp;"")</f>
        <v>N,S</v>
      </c>
      <c r="E822" s="114" t="str">
        <f aca="false">IF(OR(C822="",P822=""),"",IF(INDEX('CARNET DE SOUDURE'!$U$7:$U$3006,P822)="","",INDEX('CARNET DE SOUDURE'!$U$7:$U$3006,P822)))</f>
        <v/>
      </c>
      <c r="F822" s="82" t="str">
        <f aca="false">IF(OR(C822="",P822=""),"",INDEX('CARNET DE SOUDURE'!$AP$7:$AP$3006,P822))</f>
        <v/>
      </c>
      <c r="G822" s="82" t="str">
        <f aca="false">IF(C822="","",IF(P822="","NJ INCONNU",INDEX('CARNET DE SOUDURE'!$AQ$7:$AQ$3006,P822)))</f>
        <v>À SOUDER</v>
      </c>
      <c r="H822" s="82" t="str">
        <f aca="false">IF(C822="","",IF(G822="ACCEPTÉ","OUI","NON"))</f>
        <v>NON</v>
      </c>
      <c r="I822" s="83"/>
      <c r="J822" s="80"/>
      <c r="K822" s="81"/>
      <c r="L822" s="81"/>
      <c r="M822" s="81"/>
      <c r="N822" s="84" t="str">
        <f aca="false">IF(C822="","",IF(P822="","NJ INCONNU",IF(I822="",IF(H822="OUI","À ENROBER",IF(G822="À SOUDER","NON SOUDÉ","EN ATTENTE RT")),IF(L822="R","À REPRENDRE",IF(H822&lt;&gt;"OUI","⚠ ENROBÉ AVANT ACCEPTATION RT","ENROBÉ")))))</f>
        <v>NON SOUDÉ</v>
      </c>
      <c r="O822" s="80"/>
      <c r="P822" s="82" t="n">
        <f aca="false">IF(C822="","",IFERROR(MATCH(Q822,'CARNET DE SOUDURE'!$AW$7:$AW$3006,0),""))</f>
        <v>816</v>
      </c>
      <c r="Q822" s="82" t="str">
        <f aca="false">IF(C822="","",B822&amp;"|"&amp;C822)</f>
        <v>MFD-ISW → MFD-CPF|JN°788</v>
      </c>
    </row>
    <row r="823" customFormat="false" ht="74.6" hidden="false" customHeight="false" outlineLevel="0" collapsed="false">
      <c r="A823" s="82" t="n">
        <f aca="false">IF(C823="","",ROW()-6)</f>
        <v>817</v>
      </c>
      <c r="B823" s="80" t="s">
        <v>110</v>
      </c>
      <c r="C823" s="113" t="s">
        <v>954</v>
      </c>
      <c r="D823" s="82" t="str">
        <f aca="false">IF(OR(C823="",P823=""),"",INDEX('CARNET DE SOUDURE'!$D$7:$D$3006,P823)&amp;"")</f>
        <v>N,S</v>
      </c>
      <c r="E823" s="114" t="str">
        <f aca="false">IF(OR(C823="",P823=""),"",IF(INDEX('CARNET DE SOUDURE'!$U$7:$U$3006,P823)="","",INDEX('CARNET DE SOUDURE'!$U$7:$U$3006,P823)))</f>
        <v/>
      </c>
      <c r="F823" s="82" t="str">
        <f aca="false">IF(OR(C823="",P823=""),"",INDEX('CARNET DE SOUDURE'!$AP$7:$AP$3006,P823))</f>
        <v/>
      </c>
      <c r="G823" s="82" t="str">
        <f aca="false">IF(C823="","",IF(P823="","NJ INCONNU",INDEX('CARNET DE SOUDURE'!$AQ$7:$AQ$3006,P823)))</f>
        <v>À SOUDER</v>
      </c>
      <c r="H823" s="82" t="str">
        <f aca="false">IF(C823="","",IF(G823="ACCEPTÉ","OUI","NON"))</f>
        <v>NON</v>
      </c>
      <c r="I823" s="83"/>
      <c r="J823" s="80"/>
      <c r="K823" s="81"/>
      <c r="L823" s="81"/>
      <c r="M823" s="81"/>
      <c r="N823" s="84" t="str">
        <f aca="false">IF(C823="","",IF(P823="","NJ INCONNU",IF(I823="",IF(H823="OUI","À ENROBER",IF(G823="À SOUDER","NON SOUDÉ","EN ATTENTE RT")),IF(L823="R","À REPRENDRE",IF(H823&lt;&gt;"OUI","⚠ ENROBÉ AVANT ACCEPTATION RT","ENROBÉ")))))</f>
        <v>NON SOUDÉ</v>
      </c>
      <c r="O823" s="80"/>
      <c r="P823" s="82" t="n">
        <f aca="false">IF(C823="","",IFERROR(MATCH(Q823,'CARNET DE SOUDURE'!$AW$7:$AW$3006,0),""))</f>
        <v>817</v>
      </c>
      <c r="Q823" s="82" t="str">
        <f aca="false">IF(C823="","",B823&amp;"|"&amp;C823)</f>
        <v>MFD-ISW → MFD-CPF|JN°789</v>
      </c>
    </row>
    <row r="824" customFormat="false" ht="74.6" hidden="false" customHeight="false" outlineLevel="0" collapsed="false">
      <c r="A824" s="82" t="n">
        <f aca="false">IF(C824="","",ROW()-6)</f>
        <v>818</v>
      </c>
      <c r="B824" s="80" t="s">
        <v>110</v>
      </c>
      <c r="C824" s="113" t="s">
        <v>955</v>
      </c>
      <c r="D824" s="82" t="str">
        <f aca="false">IF(OR(C824="",P824=""),"",INDEX('CARNET DE SOUDURE'!$D$7:$D$3006,P824)&amp;"")</f>
        <v>4</v>
      </c>
      <c r="E824" s="114" t="n">
        <f aca="false">IF(OR(C824="",P824=""),"",IF(INDEX('CARNET DE SOUDURE'!$U$7:$U$3006,P824)="","",INDEX('CARNET DE SOUDURE'!$U$7:$U$3006,P824)))</f>
        <v>46284</v>
      </c>
      <c r="F824" s="82" t="str">
        <f aca="false">IF(OR(C824="",P824=""),"",INDEX('CARNET DE SOUDURE'!$AP$7:$AP$3006,P824))</f>
        <v>A</v>
      </c>
      <c r="G824" s="82" t="str">
        <f aca="false">IF(C824="","",IF(P824="","NJ INCONNU",INDEX('CARNET DE SOUDURE'!$AQ$7:$AQ$3006,P824)))</f>
        <v>ACCEPTÉ</v>
      </c>
      <c r="H824" s="82" t="str">
        <f aca="false">IF(C824="","",IF(G824="ACCEPTÉ","OUI","NON"))</f>
        <v>OUI</v>
      </c>
      <c r="I824" s="83"/>
      <c r="J824" s="80"/>
      <c r="K824" s="81"/>
      <c r="L824" s="81"/>
      <c r="M824" s="81"/>
      <c r="N824" s="84" t="str">
        <f aca="false">IF(C824="","",IF(P824="","NJ INCONNU",IF(I824="",IF(H824="OUI","À ENROBER",IF(G824="À SOUDER","NON SOUDÉ","EN ATTENTE RT")),IF(L824="R","À REPRENDRE",IF(H824&lt;&gt;"OUI","⚠ ENROBÉ AVANT ACCEPTATION RT","ENROBÉ")))))</f>
        <v>À ENROBER</v>
      </c>
      <c r="O824" s="80"/>
      <c r="P824" s="82" t="n">
        <f aca="false">IF(C824="","",IFERROR(MATCH(Q824,'CARNET DE SOUDURE'!$AW$7:$AW$3006,0),""))</f>
        <v>818</v>
      </c>
      <c r="Q824" s="82" t="str">
        <f aca="false">IF(C824="","",B824&amp;"|"&amp;C824)</f>
        <v>MFD-ISW → MFD-CPF|DJ°438</v>
      </c>
    </row>
    <row r="825" customFormat="false" ht="74.6" hidden="false" customHeight="false" outlineLevel="0" collapsed="false">
      <c r="A825" s="82" t="n">
        <f aca="false">IF(C825="","",ROW()-6)</f>
        <v>819</v>
      </c>
      <c r="B825" s="80" t="s">
        <v>110</v>
      </c>
      <c r="C825" s="113" t="s">
        <v>958</v>
      </c>
      <c r="D825" s="82" t="str">
        <f aca="false">IF(OR(C825="",P825=""),"",INDEX('CARNET DE SOUDURE'!$D$7:$D$3006,P825)&amp;"")</f>
        <v>4</v>
      </c>
      <c r="E825" s="114" t="n">
        <f aca="false">IF(OR(C825="",P825=""),"",IF(INDEX('CARNET DE SOUDURE'!$U$7:$U$3006,P825)="","",INDEX('CARNET DE SOUDURE'!$U$7:$U$3006,P825)))</f>
        <v>46289</v>
      </c>
      <c r="F825" s="82" t="str">
        <f aca="false">IF(OR(C825="",P825=""),"",INDEX('CARNET DE SOUDURE'!$AP$7:$AP$3006,P825))</f>
        <v/>
      </c>
      <c r="G825" s="82" t="str">
        <f aca="false">IF(C825="","",IF(P825="","NJ INCONNU",INDEX('CARNET DE SOUDURE'!$AQ$7:$AQ$3006,P825)))</f>
        <v>À RADIOGRAPHIER</v>
      </c>
      <c r="H825" s="82" t="str">
        <f aca="false">IF(C825="","",IF(G825="ACCEPTÉ","OUI","NON"))</f>
        <v>NON</v>
      </c>
      <c r="I825" s="83"/>
      <c r="J825" s="80"/>
      <c r="K825" s="81"/>
      <c r="L825" s="81"/>
      <c r="M825" s="81"/>
      <c r="N825" s="84" t="str">
        <f aca="false">IF(C825="","",IF(P825="","NJ INCONNU",IF(I825="",IF(H825="OUI","À ENROBER",IF(G825="À SOUDER","NON SOUDÉ","EN ATTENTE RT")),IF(L825="R","À REPRENDRE",IF(H825&lt;&gt;"OUI","⚠ ENROBÉ AVANT ACCEPTATION RT","ENROBÉ")))))</f>
        <v>EN ATTENTE RT</v>
      </c>
      <c r="O825" s="80"/>
      <c r="P825" s="82" t="n">
        <f aca="false">IF(C825="","",IFERROR(MATCH(Q825,'CARNET DE SOUDURE'!$AW$7:$AW$3006,0),""))</f>
        <v>819</v>
      </c>
      <c r="Q825" s="82" t="str">
        <f aca="false">IF(C825="","",B825&amp;"|"&amp;C825)</f>
        <v>MFD-ISW → MFD-CPF|JN°790</v>
      </c>
    </row>
    <row r="826" customFormat="false" ht="74.6" hidden="false" customHeight="false" outlineLevel="0" collapsed="false">
      <c r="A826" s="82" t="n">
        <f aca="false">IF(C826="","",ROW()-6)</f>
        <v>820</v>
      </c>
      <c r="B826" s="80" t="s">
        <v>110</v>
      </c>
      <c r="C826" s="113" t="s">
        <v>960</v>
      </c>
      <c r="D826" s="82" t="str">
        <f aca="false">IF(OR(C826="",P826=""),"",INDEX('CARNET DE SOUDURE'!$D$7:$D$3006,P826)&amp;"")</f>
        <v>5</v>
      </c>
      <c r="E826" s="114" t="n">
        <f aca="false">IF(OR(C826="",P826=""),"",IF(INDEX('CARNET DE SOUDURE'!$U$7:$U$3006,P826)="","",INDEX('CARNET DE SOUDURE'!$U$7:$U$3006,P826)))</f>
        <v>46288</v>
      </c>
      <c r="F826" s="82" t="str">
        <f aca="false">IF(OR(C826="",P826=""),"",INDEX('CARNET DE SOUDURE'!$AP$7:$AP$3006,P826))</f>
        <v>A</v>
      </c>
      <c r="G826" s="82" t="str">
        <f aca="false">IF(C826="","",IF(P826="","NJ INCONNU",INDEX('CARNET DE SOUDURE'!$AQ$7:$AQ$3006,P826)))</f>
        <v>ACCEPTÉ</v>
      </c>
      <c r="H826" s="82" t="str">
        <f aca="false">IF(C826="","",IF(G826="ACCEPTÉ","OUI","NON"))</f>
        <v>OUI</v>
      </c>
      <c r="I826" s="83"/>
      <c r="J826" s="80"/>
      <c r="K826" s="81"/>
      <c r="L826" s="81"/>
      <c r="M826" s="81"/>
      <c r="N826" s="84" t="str">
        <f aca="false">IF(C826="","",IF(P826="","NJ INCONNU",IF(I826="",IF(H826="OUI","À ENROBER",IF(G826="À SOUDER","NON SOUDÉ","EN ATTENTE RT")),IF(L826="R","À REPRENDRE",IF(H826&lt;&gt;"OUI","⚠ ENROBÉ AVANT ACCEPTATION RT","ENROBÉ")))))</f>
        <v>À ENROBER</v>
      </c>
      <c r="O826" s="80"/>
      <c r="P826" s="82" t="n">
        <f aca="false">IF(C826="","",IFERROR(MATCH(Q826,'CARNET DE SOUDURE'!$AW$7:$AW$3006,0),""))</f>
        <v>820</v>
      </c>
      <c r="Q826" s="82" t="str">
        <f aca="false">IF(C826="","",B826&amp;"|"&amp;C826)</f>
        <v>MFD-ISW → MFD-CPF|DJ°497</v>
      </c>
    </row>
    <row r="827" customFormat="false" ht="74.6" hidden="false" customHeight="false" outlineLevel="0" collapsed="false">
      <c r="A827" s="82" t="n">
        <f aca="false">IF(C827="","",ROW()-6)</f>
        <v>821</v>
      </c>
      <c r="B827" s="80" t="s">
        <v>110</v>
      </c>
      <c r="C827" s="113" t="s">
        <v>961</v>
      </c>
      <c r="D827" s="82" t="str">
        <f aca="false">IF(OR(C827="",P827=""),"",INDEX('CARNET DE SOUDURE'!$D$7:$D$3006,P827)&amp;"")</f>
        <v>5</v>
      </c>
      <c r="E827" s="114" t="n">
        <f aca="false">IF(OR(C827="",P827=""),"",IF(INDEX('CARNET DE SOUDURE'!$U$7:$U$3006,P827)="","",INDEX('CARNET DE SOUDURE'!$U$7:$U$3006,P827)))</f>
        <v>46289</v>
      </c>
      <c r="F827" s="82" t="str">
        <f aca="false">IF(OR(C827="",P827=""),"",INDEX('CARNET DE SOUDURE'!$AP$7:$AP$3006,P827))</f>
        <v/>
      </c>
      <c r="G827" s="82" t="str">
        <f aca="false">IF(C827="","",IF(P827="","NJ INCONNU",INDEX('CARNET DE SOUDURE'!$AQ$7:$AQ$3006,P827)))</f>
        <v>À RADIOGRAPHIER</v>
      </c>
      <c r="H827" s="82" t="str">
        <f aca="false">IF(C827="","",IF(G827="ACCEPTÉ","OUI","NON"))</f>
        <v>NON</v>
      </c>
      <c r="I827" s="83"/>
      <c r="J827" s="80"/>
      <c r="K827" s="81"/>
      <c r="L827" s="81"/>
      <c r="M827" s="81"/>
      <c r="N827" s="84" t="str">
        <f aca="false">IF(C827="","",IF(P827="","NJ INCONNU",IF(I827="",IF(H827="OUI","À ENROBER",IF(G827="À SOUDER","NON SOUDÉ","EN ATTENTE RT")),IF(L827="R","À REPRENDRE",IF(H827&lt;&gt;"OUI","⚠ ENROBÉ AVANT ACCEPTATION RT","ENROBÉ")))))</f>
        <v>EN ATTENTE RT</v>
      </c>
      <c r="O827" s="80"/>
      <c r="P827" s="82" t="n">
        <f aca="false">IF(C827="","",IFERROR(MATCH(Q827,'CARNET DE SOUDURE'!$AW$7:$AW$3006,0),""))</f>
        <v>821</v>
      </c>
      <c r="Q827" s="82" t="str">
        <f aca="false">IF(C827="","",B827&amp;"|"&amp;C827)</f>
        <v>MFD-ISW → MFD-CPF|JN°791</v>
      </c>
    </row>
    <row r="828" customFormat="false" ht="74.6" hidden="false" customHeight="false" outlineLevel="0" collapsed="false">
      <c r="A828" s="82" t="n">
        <f aca="false">IF(C828="","",ROW()-6)</f>
        <v>822</v>
      </c>
      <c r="B828" s="80" t="s">
        <v>110</v>
      </c>
      <c r="C828" s="113" t="s">
        <v>962</v>
      </c>
      <c r="D828" s="82" t="str">
        <f aca="false">IF(OR(C828="",P828=""),"",INDEX('CARNET DE SOUDURE'!$D$7:$D$3006,P828)&amp;"")</f>
        <v>5</v>
      </c>
      <c r="E828" s="114" t="n">
        <f aca="false">IF(OR(C828="",P828=""),"",IF(INDEX('CARNET DE SOUDURE'!$U$7:$U$3006,P828)="","",INDEX('CARNET DE SOUDURE'!$U$7:$U$3006,P828)))</f>
        <v>46287</v>
      </c>
      <c r="F828" s="82" t="str">
        <f aca="false">IF(OR(C828="",P828=""),"",INDEX('CARNET DE SOUDURE'!$AP$7:$AP$3006,P828))</f>
        <v>A</v>
      </c>
      <c r="G828" s="82" t="str">
        <f aca="false">IF(C828="","",IF(P828="","NJ INCONNU",INDEX('CARNET DE SOUDURE'!$AQ$7:$AQ$3006,P828)))</f>
        <v>ACCEPTÉ</v>
      </c>
      <c r="H828" s="82" t="str">
        <f aca="false">IF(C828="","",IF(G828="ACCEPTÉ","OUI","NON"))</f>
        <v>OUI</v>
      </c>
      <c r="I828" s="83"/>
      <c r="J828" s="80"/>
      <c r="K828" s="81"/>
      <c r="L828" s="81"/>
      <c r="M828" s="81"/>
      <c r="N828" s="84" t="str">
        <f aca="false">IF(C828="","",IF(P828="","NJ INCONNU",IF(I828="",IF(H828="OUI","À ENROBER",IF(G828="À SOUDER","NON SOUDÉ","EN ATTENTE RT")),IF(L828="R","À REPRENDRE",IF(H828&lt;&gt;"OUI","⚠ ENROBÉ AVANT ACCEPTATION RT","ENROBÉ")))))</f>
        <v>À ENROBER</v>
      </c>
      <c r="O828" s="80"/>
      <c r="P828" s="82" t="n">
        <f aca="false">IF(C828="","",IFERROR(MATCH(Q828,'CARNET DE SOUDURE'!$AW$7:$AW$3006,0),""))</f>
        <v>822</v>
      </c>
      <c r="Q828" s="82" t="str">
        <f aca="false">IF(C828="","",B828&amp;"|"&amp;C828)</f>
        <v>MFD-ISW → MFD-CPF|DJ°480</v>
      </c>
    </row>
    <row r="829" customFormat="false" ht="74.6" hidden="false" customHeight="false" outlineLevel="0" collapsed="false">
      <c r="A829" s="82" t="n">
        <f aca="false">IF(C829="","",ROW()-6)</f>
        <v>823</v>
      </c>
      <c r="B829" s="80" t="s">
        <v>110</v>
      </c>
      <c r="C829" s="113" t="s">
        <v>964</v>
      </c>
      <c r="D829" s="82" t="str">
        <f aca="false">IF(OR(C829="",P829=""),"",INDEX('CARNET DE SOUDURE'!$D$7:$D$3006,P829)&amp;"")</f>
        <v>5</v>
      </c>
      <c r="E829" s="114" t="n">
        <f aca="false">IF(OR(C829="",P829=""),"",IF(INDEX('CARNET DE SOUDURE'!$U$7:$U$3006,P829)="","",INDEX('CARNET DE SOUDURE'!$U$7:$U$3006,P829)))</f>
        <v>46289</v>
      </c>
      <c r="F829" s="82" t="str">
        <f aca="false">IF(OR(C829="",P829=""),"",INDEX('CARNET DE SOUDURE'!$AP$7:$AP$3006,P829))</f>
        <v/>
      </c>
      <c r="G829" s="82" t="str">
        <f aca="false">IF(C829="","",IF(P829="","NJ INCONNU",INDEX('CARNET DE SOUDURE'!$AQ$7:$AQ$3006,P829)))</f>
        <v>À RADIOGRAPHIER</v>
      </c>
      <c r="H829" s="82" t="str">
        <f aca="false">IF(C829="","",IF(G829="ACCEPTÉ","OUI","NON"))</f>
        <v>NON</v>
      </c>
      <c r="I829" s="83"/>
      <c r="J829" s="80"/>
      <c r="K829" s="81"/>
      <c r="L829" s="81"/>
      <c r="M829" s="81"/>
      <c r="N829" s="84" t="str">
        <f aca="false">IF(C829="","",IF(P829="","NJ INCONNU",IF(I829="",IF(H829="OUI","À ENROBER",IF(G829="À SOUDER","NON SOUDÉ","EN ATTENTE RT")),IF(L829="R","À REPRENDRE",IF(H829&lt;&gt;"OUI","⚠ ENROBÉ AVANT ACCEPTATION RT","ENROBÉ")))))</f>
        <v>EN ATTENTE RT</v>
      </c>
      <c r="O829" s="80"/>
      <c r="P829" s="82" t="n">
        <f aca="false">IF(C829="","",IFERROR(MATCH(Q829,'CARNET DE SOUDURE'!$AW$7:$AW$3006,0),""))</f>
        <v>823</v>
      </c>
      <c r="Q829" s="82" t="str">
        <f aca="false">IF(C829="","",B829&amp;"|"&amp;C829)</f>
        <v>MFD-ISW → MFD-CPF|JN°792</v>
      </c>
    </row>
    <row r="830" customFormat="false" ht="74.6" hidden="false" customHeight="false" outlineLevel="0" collapsed="false">
      <c r="A830" s="82" t="n">
        <f aca="false">IF(C830="","",ROW()-6)</f>
        <v>824</v>
      </c>
      <c r="B830" s="80" t="s">
        <v>110</v>
      </c>
      <c r="C830" s="113" t="s">
        <v>965</v>
      </c>
      <c r="D830" s="82" t="str">
        <f aca="false">IF(OR(C830="",P830=""),"",INDEX('CARNET DE SOUDURE'!$D$7:$D$3006,P830)&amp;"")</f>
        <v>5</v>
      </c>
      <c r="E830" s="114" t="n">
        <f aca="false">IF(OR(C830="",P830=""),"",IF(INDEX('CARNET DE SOUDURE'!$U$7:$U$3006,P830)="","",INDEX('CARNET DE SOUDURE'!$U$7:$U$3006,P830)))</f>
        <v>46288</v>
      </c>
      <c r="F830" s="82" t="str">
        <f aca="false">IF(OR(C830="",P830=""),"",INDEX('CARNET DE SOUDURE'!$AP$7:$AP$3006,P830))</f>
        <v>A</v>
      </c>
      <c r="G830" s="82" t="str">
        <f aca="false">IF(C830="","",IF(P830="","NJ INCONNU",INDEX('CARNET DE SOUDURE'!$AQ$7:$AQ$3006,P830)))</f>
        <v>ACCEPTÉ</v>
      </c>
      <c r="H830" s="82" t="str">
        <f aca="false">IF(C830="","",IF(G830="ACCEPTÉ","OUI","NON"))</f>
        <v>OUI</v>
      </c>
      <c r="I830" s="83"/>
      <c r="J830" s="80"/>
      <c r="K830" s="81"/>
      <c r="L830" s="81"/>
      <c r="M830" s="81"/>
      <c r="N830" s="84" t="str">
        <f aca="false">IF(C830="","",IF(P830="","NJ INCONNU",IF(I830="",IF(H830="OUI","À ENROBER",IF(G830="À SOUDER","NON SOUDÉ","EN ATTENTE RT")),IF(L830="R","À REPRENDRE",IF(H830&lt;&gt;"OUI","⚠ ENROBÉ AVANT ACCEPTATION RT","ENROBÉ")))))</f>
        <v>À ENROBER</v>
      </c>
      <c r="O830" s="80"/>
      <c r="P830" s="82" t="n">
        <f aca="false">IF(C830="","",IFERROR(MATCH(Q830,'CARNET DE SOUDURE'!$AW$7:$AW$3006,0),""))</f>
        <v>824</v>
      </c>
      <c r="Q830" s="82" t="str">
        <f aca="false">IF(C830="","",B830&amp;"|"&amp;C830)</f>
        <v>MFD-ISW → MFD-CPF|DJ°495</v>
      </c>
    </row>
    <row r="831" customFormat="false" ht="74.6" hidden="false" customHeight="false" outlineLevel="0" collapsed="false">
      <c r="A831" s="82" t="n">
        <f aca="false">IF(C831="","",ROW()-6)</f>
        <v>825</v>
      </c>
      <c r="B831" s="80" t="s">
        <v>110</v>
      </c>
      <c r="C831" s="113" t="s">
        <v>966</v>
      </c>
      <c r="D831" s="82" t="str">
        <f aca="false">IF(OR(C831="",P831=""),"",INDEX('CARNET DE SOUDURE'!$D$7:$D$3006,P831)&amp;"")</f>
        <v>5</v>
      </c>
      <c r="E831" s="114" t="n">
        <f aca="false">IF(OR(C831="",P831=""),"",IF(INDEX('CARNET DE SOUDURE'!$U$7:$U$3006,P831)="","",INDEX('CARNET DE SOUDURE'!$U$7:$U$3006,P831)))</f>
        <v>46289</v>
      </c>
      <c r="F831" s="82" t="str">
        <f aca="false">IF(OR(C831="",P831=""),"",INDEX('CARNET DE SOUDURE'!$AP$7:$AP$3006,P831))</f>
        <v/>
      </c>
      <c r="G831" s="82" t="str">
        <f aca="false">IF(C831="","",IF(P831="","NJ INCONNU",INDEX('CARNET DE SOUDURE'!$AQ$7:$AQ$3006,P831)))</f>
        <v>À RADIOGRAPHIER</v>
      </c>
      <c r="H831" s="82" t="str">
        <f aca="false">IF(C831="","",IF(G831="ACCEPTÉ","OUI","NON"))</f>
        <v>NON</v>
      </c>
      <c r="I831" s="83"/>
      <c r="J831" s="80"/>
      <c r="K831" s="81"/>
      <c r="L831" s="81"/>
      <c r="M831" s="81"/>
      <c r="N831" s="84" t="str">
        <f aca="false">IF(C831="","",IF(P831="","NJ INCONNU",IF(I831="",IF(H831="OUI","À ENROBER",IF(G831="À SOUDER","NON SOUDÉ","EN ATTENTE RT")),IF(L831="R","À REPRENDRE",IF(H831&lt;&gt;"OUI","⚠ ENROBÉ AVANT ACCEPTATION RT","ENROBÉ")))))</f>
        <v>EN ATTENTE RT</v>
      </c>
      <c r="O831" s="80"/>
      <c r="P831" s="82" t="n">
        <f aca="false">IF(C831="","",IFERROR(MATCH(Q831,'CARNET DE SOUDURE'!$AW$7:$AW$3006,0),""))</f>
        <v>825</v>
      </c>
      <c r="Q831" s="82" t="str">
        <f aca="false">IF(C831="","",B831&amp;"|"&amp;C831)</f>
        <v>MFD-ISW → MFD-CPF|JN°793</v>
      </c>
    </row>
    <row r="832" customFormat="false" ht="74.6" hidden="false" customHeight="false" outlineLevel="0" collapsed="false">
      <c r="A832" s="82" t="n">
        <f aca="false">IF(C832="","",ROW()-6)</f>
        <v>826</v>
      </c>
      <c r="B832" s="80" t="s">
        <v>110</v>
      </c>
      <c r="C832" s="113" t="s">
        <v>967</v>
      </c>
      <c r="D832" s="82" t="str">
        <f aca="false">IF(OR(C832="",P832=""),"",INDEX('CARNET DE SOUDURE'!$D$7:$D$3006,P832)&amp;"")</f>
        <v>5</v>
      </c>
      <c r="E832" s="114" t="n">
        <f aca="false">IF(OR(C832="",P832=""),"",IF(INDEX('CARNET DE SOUDURE'!$U$7:$U$3006,P832)="","",INDEX('CARNET DE SOUDURE'!$U$7:$U$3006,P832)))</f>
        <v>46287</v>
      </c>
      <c r="F832" s="82" t="str">
        <f aca="false">IF(OR(C832="",P832=""),"",INDEX('CARNET DE SOUDURE'!$AP$7:$AP$3006,P832))</f>
        <v>A</v>
      </c>
      <c r="G832" s="82" t="str">
        <f aca="false">IF(C832="","",IF(P832="","NJ INCONNU",INDEX('CARNET DE SOUDURE'!$AQ$7:$AQ$3006,P832)))</f>
        <v>ACCEPTÉ</v>
      </c>
      <c r="H832" s="82" t="str">
        <f aca="false">IF(C832="","",IF(G832="ACCEPTÉ","OUI","NON"))</f>
        <v>OUI</v>
      </c>
      <c r="I832" s="83"/>
      <c r="J832" s="80"/>
      <c r="K832" s="81"/>
      <c r="L832" s="81"/>
      <c r="M832" s="81"/>
      <c r="N832" s="84" t="str">
        <f aca="false">IF(C832="","",IF(P832="","NJ INCONNU",IF(I832="",IF(H832="OUI","À ENROBER",IF(G832="À SOUDER","NON SOUDÉ","EN ATTENTE RT")),IF(L832="R","À REPRENDRE",IF(H832&lt;&gt;"OUI","⚠ ENROBÉ AVANT ACCEPTATION RT","ENROBÉ")))))</f>
        <v>À ENROBER</v>
      </c>
      <c r="O832" s="80"/>
      <c r="P832" s="82" t="n">
        <f aca="false">IF(C832="","",IFERROR(MATCH(Q832,'CARNET DE SOUDURE'!$AW$7:$AW$3006,0),""))</f>
        <v>826</v>
      </c>
      <c r="Q832" s="82" t="str">
        <f aca="false">IF(C832="","",B832&amp;"|"&amp;C832)</f>
        <v>MFD-ISW → MFD-CPF|DJ°482</v>
      </c>
    </row>
    <row r="833" customFormat="false" ht="74.6" hidden="false" customHeight="false" outlineLevel="0" collapsed="false">
      <c r="A833" s="82" t="n">
        <f aca="false">IF(C833="","",ROW()-6)</f>
        <v>827</v>
      </c>
      <c r="B833" s="80" t="s">
        <v>110</v>
      </c>
      <c r="C833" s="113" t="s">
        <v>968</v>
      </c>
      <c r="D833" s="82" t="str">
        <f aca="false">IF(OR(C833="",P833=""),"",INDEX('CARNET DE SOUDURE'!$D$7:$D$3006,P833)&amp;"")</f>
        <v>5</v>
      </c>
      <c r="E833" s="114" t="n">
        <f aca="false">IF(OR(C833="",P833=""),"",IF(INDEX('CARNET DE SOUDURE'!$U$7:$U$3006,P833)="","",INDEX('CARNET DE SOUDURE'!$U$7:$U$3006,P833)))</f>
        <v>46289</v>
      </c>
      <c r="F833" s="82" t="str">
        <f aca="false">IF(OR(C833="",P833=""),"",INDEX('CARNET DE SOUDURE'!$AP$7:$AP$3006,P833))</f>
        <v/>
      </c>
      <c r="G833" s="82" t="str">
        <f aca="false">IF(C833="","",IF(P833="","NJ INCONNU",INDEX('CARNET DE SOUDURE'!$AQ$7:$AQ$3006,P833)))</f>
        <v>À RADIOGRAPHIER</v>
      </c>
      <c r="H833" s="82" t="str">
        <f aca="false">IF(C833="","",IF(G833="ACCEPTÉ","OUI","NON"))</f>
        <v>NON</v>
      </c>
      <c r="I833" s="83"/>
      <c r="J833" s="80"/>
      <c r="K833" s="81"/>
      <c r="L833" s="81"/>
      <c r="M833" s="81"/>
      <c r="N833" s="84" t="str">
        <f aca="false">IF(C833="","",IF(P833="","NJ INCONNU",IF(I833="",IF(H833="OUI","À ENROBER",IF(G833="À SOUDER","NON SOUDÉ","EN ATTENTE RT")),IF(L833="R","À REPRENDRE",IF(H833&lt;&gt;"OUI","⚠ ENROBÉ AVANT ACCEPTATION RT","ENROBÉ")))))</f>
        <v>EN ATTENTE RT</v>
      </c>
      <c r="O833" s="80"/>
      <c r="P833" s="82" t="n">
        <f aca="false">IF(C833="","",IFERROR(MATCH(Q833,'CARNET DE SOUDURE'!$AW$7:$AW$3006,0),""))</f>
        <v>827</v>
      </c>
      <c r="Q833" s="82" t="str">
        <f aca="false">IF(C833="","",B833&amp;"|"&amp;C833)</f>
        <v>MFD-ISW → MFD-CPF|JN°794</v>
      </c>
    </row>
    <row r="834" customFormat="false" ht="74.6" hidden="false" customHeight="false" outlineLevel="0" collapsed="false">
      <c r="A834" s="82" t="n">
        <f aca="false">IF(C834="","",ROW()-6)</f>
        <v>828</v>
      </c>
      <c r="B834" s="80" t="s">
        <v>110</v>
      </c>
      <c r="C834" s="113" t="s">
        <v>969</v>
      </c>
      <c r="D834" s="82" t="str">
        <f aca="false">IF(OR(C834="",P834=""),"",INDEX('CARNET DE SOUDURE'!$D$7:$D$3006,P834)&amp;"")</f>
        <v>5</v>
      </c>
      <c r="E834" s="114" t="n">
        <f aca="false">IF(OR(C834="",P834=""),"",IF(INDEX('CARNET DE SOUDURE'!$U$7:$U$3006,P834)="","",INDEX('CARNET DE SOUDURE'!$U$7:$U$3006,P834)))</f>
        <v>46287</v>
      </c>
      <c r="F834" s="82" t="str">
        <f aca="false">IF(OR(C834="",P834=""),"",INDEX('CARNET DE SOUDURE'!$AP$7:$AP$3006,P834))</f>
        <v>A</v>
      </c>
      <c r="G834" s="82" t="str">
        <f aca="false">IF(C834="","",IF(P834="","NJ INCONNU",INDEX('CARNET DE SOUDURE'!$AQ$7:$AQ$3006,P834)))</f>
        <v>ACCEPTÉ</v>
      </c>
      <c r="H834" s="82" t="str">
        <f aca="false">IF(C834="","",IF(G834="ACCEPTÉ","OUI","NON"))</f>
        <v>OUI</v>
      </c>
      <c r="I834" s="83"/>
      <c r="J834" s="80"/>
      <c r="K834" s="81"/>
      <c r="L834" s="81"/>
      <c r="M834" s="81"/>
      <c r="N834" s="84" t="str">
        <f aca="false">IF(C834="","",IF(P834="","NJ INCONNU",IF(I834="",IF(H834="OUI","À ENROBER",IF(G834="À SOUDER","NON SOUDÉ","EN ATTENTE RT")),IF(L834="R","À REPRENDRE",IF(H834&lt;&gt;"OUI","⚠ ENROBÉ AVANT ACCEPTATION RT","ENROBÉ")))))</f>
        <v>À ENROBER</v>
      </c>
      <c r="O834" s="80"/>
      <c r="P834" s="82" t="n">
        <f aca="false">IF(C834="","",IFERROR(MATCH(Q834,'CARNET DE SOUDURE'!$AW$7:$AW$3006,0),""))</f>
        <v>828</v>
      </c>
      <c r="Q834" s="82" t="str">
        <f aca="false">IF(C834="","",B834&amp;"|"&amp;C834)</f>
        <v>MFD-ISW → MFD-CPF|DJ°481</v>
      </c>
    </row>
    <row r="835" customFormat="false" ht="74.6" hidden="false" customHeight="false" outlineLevel="0" collapsed="false">
      <c r="A835" s="82" t="n">
        <f aca="false">IF(C835="","",ROW()-6)</f>
        <v>829</v>
      </c>
      <c r="B835" s="80" t="s">
        <v>110</v>
      </c>
      <c r="C835" s="113" t="s">
        <v>970</v>
      </c>
      <c r="D835" s="82" t="str">
        <f aca="false">IF(OR(C835="",P835=""),"",INDEX('CARNET DE SOUDURE'!$D$7:$D$3006,P835)&amp;"")</f>
        <v>5</v>
      </c>
      <c r="E835" s="114" t="n">
        <f aca="false">IF(OR(C835="",P835=""),"",IF(INDEX('CARNET DE SOUDURE'!$U$7:$U$3006,P835)="","",INDEX('CARNET DE SOUDURE'!$U$7:$U$3006,P835)))</f>
        <v>46289</v>
      </c>
      <c r="F835" s="82" t="str">
        <f aca="false">IF(OR(C835="",P835=""),"",INDEX('CARNET DE SOUDURE'!$AP$7:$AP$3006,P835))</f>
        <v/>
      </c>
      <c r="G835" s="82" t="str">
        <f aca="false">IF(C835="","",IF(P835="","NJ INCONNU",INDEX('CARNET DE SOUDURE'!$AQ$7:$AQ$3006,P835)))</f>
        <v>À RADIOGRAPHIER</v>
      </c>
      <c r="H835" s="82" t="str">
        <f aca="false">IF(C835="","",IF(G835="ACCEPTÉ","OUI","NON"))</f>
        <v>NON</v>
      </c>
      <c r="I835" s="83"/>
      <c r="J835" s="80"/>
      <c r="K835" s="81"/>
      <c r="L835" s="81"/>
      <c r="M835" s="81"/>
      <c r="N835" s="84" t="str">
        <f aca="false">IF(C835="","",IF(P835="","NJ INCONNU",IF(I835="",IF(H835="OUI","À ENROBER",IF(G835="À SOUDER","NON SOUDÉ","EN ATTENTE RT")),IF(L835="R","À REPRENDRE",IF(H835&lt;&gt;"OUI","⚠ ENROBÉ AVANT ACCEPTATION RT","ENROBÉ")))))</f>
        <v>EN ATTENTE RT</v>
      </c>
      <c r="O835" s="80"/>
      <c r="P835" s="82" t="n">
        <f aca="false">IF(C835="","",IFERROR(MATCH(Q835,'CARNET DE SOUDURE'!$AW$7:$AW$3006,0),""))</f>
        <v>829</v>
      </c>
      <c r="Q835" s="82" t="str">
        <f aca="false">IF(C835="","",B835&amp;"|"&amp;C835)</f>
        <v>MFD-ISW → MFD-CPF|JN°795</v>
      </c>
    </row>
    <row r="836" customFormat="false" ht="74.6" hidden="false" customHeight="false" outlineLevel="0" collapsed="false">
      <c r="A836" s="82" t="n">
        <f aca="false">IF(C836="","",ROW()-6)</f>
        <v>830</v>
      </c>
      <c r="B836" s="80" t="s">
        <v>110</v>
      </c>
      <c r="C836" s="113" t="s">
        <v>972</v>
      </c>
      <c r="D836" s="82" t="str">
        <f aca="false">IF(OR(C836="",P836=""),"",INDEX('CARNET DE SOUDURE'!$D$7:$D$3006,P836)&amp;"")</f>
        <v>5</v>
      </c>
      <c r="E836" s="114" t="n">
        <f aca="false">IF(OR(C836="",P836=""),"",IF(INDEX('CARNET DE SOUDURE'!$U$7:$U$3006,P836)="","",INDEX('CARNET DE SOUDURE'!$U$7:$U$3006,P836)))</f>
        <v>46287</v>
      </c>
      <c r="F836" s="82" t="str">
        <f aca="false">IF(OR(C836="",P836=""),"",INDEX('CARNET DE SOUDURE'!$AP$7:$AP$3006,P836))</f>
        <v>A</v>
      </c>
      <c r="G836" s="82" t="str">
        <f aca="false">IF(C836="","",IF(P836="","NJ INCONNU",INDEX('CARNET DE SOUDURE'!$AQ$7:$AQ$3006,P836)))</f>
        <v>ACCEPTÉ</v>
      </c>
      <c r="H836" s="82" t="str">
        <f aca="false">IF(C836="","",IF(G836="ACCEPTÉ","OUI","NON"))</f>
        <v>OUI</v>
      </c>
      <c r="I836" s="83"/>
      <c r="J836" s="80"/>
      <c r="K836" s="81"/>
      <c r="L836" s="81"/>
      <c r="M836" s="81"/>
      <c r="N836" s="84" t="str">
        <f aca="false">IF(C836="","",IF(P836="","NJ INCONNU",IF(I836="",IF(H836="OUI","À ENROBER",IF(G836="À SOUDER","NON SOUDÉ","EN ATTENTE RT")),IF(L836="R","À REPRENDRE",IF(H836&lt;&gt;"OUI","⚠ ENROBÉ AVANT ACCEPTATION RT","ENROBÉ")))))</f>
        <v>À ENROBER</v>
      </c>
      <c r="O836" s="80"/>
      <c r="P836" s="82" t="n">
        <f aca="false">IF(C836="","",IFERROR(MATCH(Q836,'CARNET DE SOUDURE'!$AW$7:$AW$3006,0),""))</f>
        <v>830</v>
      </c>
      <c r="Q836" s="82" t="str">
        <f aca="false">IF(C836="","",B836&amp;"|"&amp;C836)</f>
        <v>MFD-ISW → MFD-CPF|DJ°484</v>
      </c>
    </row>
    <row r="837" customFormat="false" ht="74.6" hidden="false" customHeight="false" outlineLevel="0" collapsed="false">
      <c r="A837" s="82" t="n">
        <f aca="false">IF(C837="","",ROW()-6)</f>
        <v>831</v>
      </c>
      <c r="B837" s="80" t="s">
        <v>110</v>
      </c>
      <c r="C837" s="113" t="s">
        <v>973</v>
      </c>
      <c r="D837" s="82" t="str">
        <f aca="false">IF(OR(C837="",P837=""),"",INDEX('CARNET DE SOUDURE'!$D$7:$D$3006,P837)&amp;"")</f>
        <v>5</v>
      </c>
      <c r="E837" s="114" t="n">
        <f aca="false">IF(OR(C837="",P837=""),"",IF(INDEX('CARNET DE SOUDURE'!$U$7:$U$3006,P837)="","",INDEX('CARNET DE SOUDURE'!$U$7:$U$3006,P837)))</f>
        <v>46289</v>
      </c>
      <c r="F837" s="82" t="str">
        <f aca="false">IF(OR(C837="",P837=""),"",INDEX('CARNET DE SOUDURE'!$AP$7:$AP$3006,P837))</f>
        <v/>
      </c>
      <c r="G837" s="82" t="str">
        <f aca="false">IF(C837="","",IF(P837="","NJ INCONNU",INDEX('CARNET DE SOUDURE'!$AQ$7:$AQ$3006,P837)))</f>
        <v>À RADIOGRAPHIER</v>
      </c>
      <c r="H837" s="82" t="str">
        <f aca="false">IF(C837="","",IF(G837="ACCEPTÉ","OUI","NON"))</f>
        <v>NON</v>
      </c>
      <c r="I837" s="83"/>
      <c r="J837" s="80"/>
      <c r="K837" s="81"/>
      <c r="L837" s="81"/>
      <c r="M837" s="81"/>
      <c r="N837" s="84" t="str">
        <f aca="false">IF(C837="","",IF(P837="","NJ INCONNU",IF(I837="",IF(H837="OUI","À ENROBER",IF(G837="À SOUDER","NON SOUDÉ","EN ATTENTE RT")),IF(L837="R","À REPRENDRE",IF(H837&lt;&gt;"OUI","⚠ ENROBÉ AVANT ACCEPTATION RT","ENROBÉ")))))</f>
        <v>EN ATTENTE RT</v>
      </c>
      <c r="O837" s="80"/>
      <c r="P837" s="82" t="n">
        <f aca="false">IF(C837="","",IFERROR(MATCH(Q837,'CARNET DE SOUDURE'!$AW$7:$AW$3006,0),""))</f>
        <v>831</v>
      </c>
      <c r="Q837" s="82" t="str">
        <f aca="false">IF(C837="","",B837&amp;"|"&amp;C837)</f>
        <v>MFD-ISW → MFD-CPF|JN°796</v>
      </c>
    </row>
    <row r="838" customFormat="false" ht="74.6" hidden="false" customHeight="false" outlineLevel="0" collapsed="false">
      <c r="A838" s="82" t="n">
        <f aca="false">IF(C838="","",ROW()-6)</f>
        <v>832</v>
      </c>
      <c r="B838" s="80" t="s">
        <v>110</v>
      </c>
      <c r="C838" s="113" t="s">
        <v>974</v>
      </c>
      <c r="D838" s="82" t="str">
        <f aca="false">IF(OR(C838="",P838=""),"",INDEX('CARNET DE SOUDURE'!$D$7:$D$3006,P838)&amp;"")</f>
        <v>5</v>
      </c>
      <c r="E838" s="114" t="n">
        <f aca="false">IF(OR(C838="",P838=""),"",IF(INDEX('CARNET DE SOUDURE'!$U$7:$U$3006,P838)="","",INDEX('CARNET DE SOUDURE'!$U$7:$U$3006,P838)))</f>
        <v>46287</v>
      </c>
      <c r="F838" s="82" t="str">
        <f aca="false">IF(OR(C838="",P838=""),"",INDEX('CARNET DE SOUDURE'!$AP$7:$AP$3006,P838))</f>
        <v>A</v>
      </c>
      <c r="G838" s="82" t="str">
        <f aca="false">IF(C838="","",IF(P838="","NJ INCONNU",INDEX('CARNET DE SOUDURE'!$AQ$7:$AQ$3006,P838)))</f>
        <v>ACCEPTÉ</v>
      </c>
      <c r="H838" s="82" t="str">
        <f aca="false">IF(C838="","",IF(G838="ACCEPTÉ","OUI","NON"))</f>
        <v>OUI</v>
      </c>
      <c r="I838" s="83"/>
      <c r="J838" s="80"/>
      <c r="K838" s="81"/>
      <c r="L838" s="81"/>
      <c r="M838" s="81"/>
      <c r="N838" s="84" t="str">
        <f aca="false">IF(C838="","",IF(P838="","NJ INCONNU",IF(I838="",IF(H838="OUI","À ENROBER",IF(G838="À SOUDER","NON SOUDÉ","EN ATTENTE RT")),IF(L838="R","À REPRENDRE",IF(H838&lt;&gt;"OUI","⚠ ENROBÉ AVANT ACCEPTATION RT","ENROBÉ")))))</f>
        <v>À ENROBER</v>
      </c>
      <c r="O838" s="80"/>
      <c r="P838" s="82" t="n">
        <f aca="false">IF(C838="","",IFERROR(MATCH(Q838,'CARNET DE SOUDURE'!$AW$7:$AW$3006,0),""))</f>
        <v>832</v>
      </c>
      <c r="Q838" s="82" t="str">
        <f aca="false">IF(C838="","",B838&amp;"|"&amp;C838)</f>
        <v>MFD-ISW → MFD-CPF|DJ°483</v>
      </c>
    </row>
    <row r="839" customFormat="false" ht="74.6" hidden="false" customHeight="false" outlineLevel="0" collapsed="false">
      <c r="A839" s="82" t="n">
        <f aca="false">IF(C839="","",ROW()-6)</f>
        <v>833</v>
      </c>
      <c r="B839" s="80" t="s">
        <v>110</v>
      </c>
      <c r="C839" s="113" t="s">
        <v>975</v>
      </c>
      <c r="D839" s="82" t="str">
        <f aca="false">IF(OR(C839="",P839=""),"",INDEX('CARNET DE SOUDURE'!$D$7:$D$3006,P839)&amp;"")</f>
        <v>5</v>
      </c>
      <c r="E839" s="114" t="n">
        <f aca="false">IF(OR(C839="",P839=""),"",IF(INDEX('CARNET DE SOUDURE'!$U$7:$U$3006,P839)="","",INDEX('CARNET DE SOUDURE'!$U$7:$U$3006,P839)))</f>
        <v>46289</v>
      </c>
      <c r="F839" s="82" t="str">
        <f aca="false">IF(OR(C839="",P839=""),"",INDEX('CARNET DE SOUDURE'!$AP$7:$AP$3006,P839))</f>
        <v/>
      </c>
      <c r="G839" s="82" t="str">
        <f aca="false">IF(C839="","",IF(P839="","NJ INCONNU",INDEX('CARNET DE SOUDURE'!$AQ$7:$AQ$3006,P839)))</f>
        <v>À RADIOGRAPHIER</v>
      </c>
      <c r="H839" s="82" t="str">
        <f aca="false">IF(C839="","",IF(G839="ACCEPTÉ","OUI","NON"))</f>
        <v>NON</v>
      </c>
      <c r="I839" s="83"/>
      <c r="J839" s="80"/>
      <c r="K839" s="81"/>
      <c r="L839" s="81"/>
      <c r="M839" s="81"/>
      <c r="N839" s="84" t="str">
        <f aca="false">IF(C839="","",IF(P839="","NJ INCONNU",IF(I839="",IF(H839="OUI","À ENROBER",IF(G839="À SOUDER","NON SOUDÉ","EN ATTENTE RT")),IF(L839="R","À REPRENDRE",IF(H839&lt;&gt;"OUI","⚠ ENROBÉ AVANT ACCEPTATION RT","ENROBÉ")))))</f>
        <v>EN ATTENTE RT</v>
      </c>
      <c r="O839" s="80"/>
      <c r="P839" s="82" t="n">
        <f aca="false">IF(C839="","",IFERROR(MATCH(Q839,'CARNET DE SOUDURE'!$AW$7:$AW$3006,0),""))</f>
        <v>833</v>
      </c>
      <c r="Q839" s="82" t="str">
        <f aca="false">IF(C839="","",B839&amp;"|"&amp;C839)</f>
        <v>MFD-ISW → MFD-CPF|JN°797</v>
      </c>
    </row>
    <row r="840" customFormat="false" ht="74.6" hidden="false" customHeight="false" outlineLevel="0" collapsed="false">
      <c r="A840" s="82" t="n">
        <f aca="false">IF(C840="","",ROW()-6)</f>
        <v>834</v>
      </c>
      <c r="B840" s="80" t="s">
        <v>110</v>
      </c>
      <c r="C840" s="113" t="s">
        <v>976</v>
      </c>
      <c r="D840" s="82" t="str">
        <f aca="false">IF(OR(C840="",P840=""),"",INDEX('CARNET DE SOUDURE'!$D$7:$D$3006,P840)&amp;"")</f>
        <v>5</v>
      </c>
      <c r="E840" s="114" t="n">
        <f aca="false">IF(OR(C840="",P840=""),"",IF(INDEX('CARNET DE SOUDURE'!$U$7:$U$3006,P840)="","",INDEX('CARNET DE SOUDURE'!$U$7:$U$3006,P840)))</f>
        <v>46287</v>
      </c>
      <c r="F840" s="82" t="str">
        <f aca="false">IF(OR(C840="",P840=""),"",INDEX('CARNET DE SOUDURE'!$AP$7:$AP$3006,P840))</f>
        <v>A</v>
      </c>
      <c r="G840" s="82" t="str">
        <f aca="false">IF(C840="","",IF(P840="","NJ INCONNU",INDEX('CARNET DE SOUDURE'!$AQ$7:$AQ$3006,P840)))</f>
        <v>ACCEPTÉ</v>
      </c>
      <c r="H840" s="82" t="str">
        <f aca="false">IF(C840="","",IF(G840="ACCEPTÉ","OUI","NON"))</f>
        <v>OUI</v>
      </c>
      <c r="I840" s="83"/>
      <c r="J840" s="80"/>
      <c r="K840" s="81"/>
      <c r="L840" s="81"/>
      <c r="M840" s="81"/>
      <c r="N840" s="84" t="str">
        <f aca="false">IF(C840="","",IF(P840="","NJ INCONNU",IF(I840="",IF(H840="OUI","À ENROBER",IF(G840="À SOUDER","NON SOUDÉ","EN ATTENTE RT")),IF(L840="R","À REPRENDRE",IF(H840&lt;&gt;"OUI","⚠ ENROBÉ AVANT ACCEPTATION RT","ENROBÉ")))))</f>
        <v>À ENROBER</v>
      </c>
      <c r="O840" s="80"/>
      <c r="P840" s="82" t="n">
        <f aca="false">IF(C840="","",IFERROR(MATCH(Q840,'CARNET DE SOUDURE'!$AW$7:$AW$3006,0),""))</f>
        <v>834</v>
      </c>
      <c r="Q840" s="82" t="str">
        <f aca="false">IF(C840="","",B840&amp;"|"&amp;C840)</f>
        <v>MFD-ISW → MFD-CPF|DJ°486</v>
      </c>
    </row>
    <row r="841" customFormat="false" ht="74.6" hidden="false" customHeight="false" outlineLevel="0" collapsed="false">
      <c r="A841" s="82" t="n">
        <f aca="false">IF(C841="","",ROW()-6)</f>
        <v>835</v>
      </c>
      <c r="B841" s="80" t="s">
        <v>110</v>
      </c>
      <c r="C841" s="113" t="s">
        <v>977</v>
      </c>
      <c r="D841" s="82" t="str">
        <f aca="false">IF(OR(C841="",P841=""),"",INDEX('CARNET DE SOUDURE'!$D$7:$D$3006,P841)&amp;"")</f>
        <v>5</v>
      </c>
      <c r="E841" s="114" t="n">
        <f aca="false">IF(OR(C841="",P841=""),"",IF(INDEX('CARNET DE SOUDURE'!$U$7:$U$3006,P841)="","",INDEX('CARNET DE SOUDURE'!$U$7:$U$3006,P841)))</f>
        <v>46289</v>
      </c>
      <c r="F841" s="82" t="str">
        <f aca="false">IF(OR(C841="",P841=""),"",INDEX('CARNET DE SOUDURE'!$AP$7:$AP$3006,P841))</f>
        <v/>
      </c>
      <c r="G841" s="82" t="str">
        <f aca="false">IF(C841="","",IF(P841="","NJ INCONNU",INDEX('CARNET DE SOUDURE'!$AQ$7:$AQ$3006,P841)))</f>
        <v>À RADIOGRAPHIER</v>
      </c>
      <c r="H841" s="82" t="str">
        <f aca="false">IF(C841="","",IF(G841="ACCEPTÉ","OUI","NON"))</f>
        <v>NON</v>
      </c>
      <c r="I841" s="83"/>
      <c r="J841" s="80"/>
      <c r="K841" s="81"/>
      <c r="L841" s="81"/>
      <c r="M841" s="81"/>
      <c r="N841" s="84" t="str">
        <f aca="false">IF(C841="","",IF(P841="","NJ INCONNU",IF(I841="",IF(H841="OUI","À ENROBER",IF(G841="À SOUDER","NON SOUDÉ","EN ATTENTE RT")),IF(L841="R","À REPRENDRE",IF(H841&lt;&gt;"OUI","⚠ ENROBÉ AVANT ACCEPTATION RT","ENROBÉ")))))</f>
        <v>EN ATTENTE RT</v>
      </c>
      <c r="O841" s="80"/>
      <c r="P841" s="82" t="n">
        <f aca="false">IF(C841="","",IFERROR(MATCH(Q841,'CARNET DE SOUDURE'!$AW$7:$AW$3006,0),""))</f>
        <v>835</v>
      </c>
      <c r="Q841" s="82" t="str">
        <f aca="false">IF(C841="","",B841&amp;"|"&amp;C841)</f>
        <v>MFD-ISW → MFD-CPF|JN°798</v>
      </c>
    </row>
    <row r="842" customFormat="false" ht="74.6" hidden="false" customHeight="false" outlineLevel="0" collapsed="false">
      <c r="A842" s="82" t="n">
        <f aca="false">IF(C842="","",ROW()-6)</f>
        <v>836</v>
      </c>
      <c r="B842" s="80" t="s">
        <v>110</v>
      </c>
      <c r="C842" s="113" t="s">
        <v>978</v>
      </c>
      <c r="D842" s="82" t="str">
        <f aca="false">IF(OR(C842="",P842=""),"",INDEX('CARNET DE SOUDURE'!$D$7:$D$3006,P842)&amp;"")</f>
        <v>5</v>
      </c>
      <c r="E842" s="114" t="n">
        <f aca="false">IF(OR(C842="",P842=""),"",IF(INDEX('CARNET DE SOUDURE'!$U$7:$U$3006,P842)="","",INDEX('CARNET DE SOUDURE'!$U$7:$U$3006,P842)))</f>
        <v>46287</v>
      </c>
      <c r="F842" s="82" t="str">
        <f aca="false">IF(OR(C842="",P842=""),"",INDEX('CARNET DE SOUDURE'!$AP$7:$AP$3006,P842))</f>
        <v>A</v>
      </c>
      <c r="G842" s="82" t="str">
        <f aca="false">IF(C842="","",IF(P842="","NJ INCONNU",INDEX('CARNET DE SOUDURE'!$AQ$7:$AQ$3006,P842)))</f>
        <v>ACCEPTÉ</v>
      </c>
      <c r="H842" s="82" t="str">
        <f aca="false">IF(C842="","",IF(G842="ACCEPTÉ","OUI","NON"))</f>
        <v>OUI</v>
      </c>
      <c r="I842" s="83"/>
      <c r="J842" s="80"/>
      <c r="K842" s="81"/>
      <c r="L842" s="81"/>
      <c r="M842" s="81"/>
      <c r="N842" s="84" t="str">
        <f aca="false">IF(C842="","",IF(P842="","NJ INCONNU",IF(I842="",IF(H842="OUI","À ENROBER",IF(G842="À SOUDER","NON SOUDÉ","EN ATTENTE RT")),IF(L842="R","À REPRENDRE",IF(H842&lt;&gt;"OUI","⚠ ENROBÉ AVANT ACCEPTATION RT","ENROBÉ")))))</f>
        <v>À ENROBER</v>
      </c>
      <c r="O842" s="80"/>
      <c r="P842" s="82" t="n">
        <f aca="false">IF(C842="","",IFERROR(MATCH(Q842,'CARNET DE SOUDURE'!$AW$7:$AW$3006,0),""))</f>
        <v>836</v>
      </c>
      <c r="Q842" s="82" t="str">
        <f aca="false">IF(C842="","",B842&amp;"|"&amp;C842)</f>
        <v>MFD-ISW → MFD-CPF|DJ°488</v>
      </c>
    </row>
    <row r="843" customFormat="false" ht="74.6" hidden="false" customHeight="false" outlineLevel="0" collapsed="false">
      <c r="A843" s="82" t="n">
        <f aca="false">IF(C843="","",ROW()-6)</f>
        <v>837</v>
      </c>
      <c r="B843" s="80" t="s">
        <v>110</v>
      </c>
      <c r="C843" s="113" t="s">
        <v>979</v>
      </c>
      <c r="D843" s="82" t="str">
        <f aca="false">IF(OR(C843="",P843=""),"",INDEX('CARNET DE SOUDURE'!$D$7:$D$3006,P843)&amp;"")</f>
        <v>5</v>
      </c>
      <c r="E843" s="114" t="n">
        <f aca="false">IF(OR(C843="",P843=""),"",IF(INDEX('CARNET DE SOUDURE'!$U$7:$U$3006,P843)="","",INDEX('CARNET DE SOUDURE'!$U$7:$U$3006,P843)))</f>
        <v>46289</v>
      </c>
      <c r="F843" s="82" t="str">
        <f aca="false">IF(OR(C843="",P843=""),"",INDEX('CARNET DE SOUDURE'!$AP$7:$AP$3006,P843))</f>
        <v/>
      </c>
      <c r="G843" s="82" t="str">
        <f aca="false">IF(C843="","",IF(P843="","NJ INCONNU",INDEX('CARNET DE SOUDURE'!$AQ$7:$AQ$3006,P843)))</f>
        <v>À RADIOGRAPHIER</v>
      </c>
      <c r="H843" s="82" t="str">
        <f aca="false">IF(C843="","",IF(G843="ACCEPTÉ","OUI","NON"))</f>
        <v>NON</v>
      </c>
      <c r="I843" s="83"/>
      <c r="J843" s="80"/>
      <c r="K843" s="81"/>
      <c r="L843" s="81"/>
      <c r="M843" s="81"/>
      <c r="N843" s="84" t="str">
        <f aca="false">IF(C843="","",IF(P843="","NJ INCONNU",IF(I843="",IF(H843="OUI","À ENROBER",IF(G843="À SOUDER","NON SOUDÉ","EN ATTENTE RT")),IF(L843="R","À REPRENDRE",IF(H843&lt;&gt;"OUI","⚠ ENROBÉ AVANT ACCEPTATION RT","ENROBÉ")))))</f>
        <v>EN ATTENTE RT</v>
      </c>
      <c r="O843" s="80"/>
      <c r="P843" s="82" t="n">
        <f aca="false">IF(C843="","",IFERROR(MATCH(Q843,'CARNET DE SOUDURE'!$AW$7:$AW$3006,0),""))</f>
        <v>837</v>
      </c>
      <c r="Q843" s="82" t="str">
        <f aca="false">IF(C843="","",B843&amp;"|"&amp;C843)</f>
        <v>MFD-ISW → MFD-CPF|JN°799</v>
      </c>
    </row>
    <row r="844" customFormat="false" ht="74.6" hidden="false" customHeight="false" outlineLevel="0" collapsed="false">
      <c r="A844" s="82" t="n">
        <f aca="false">IF(C844="","",ROW()-6)</f>
        <v>838</v>
      </c>
      <c r="B844" s="80" t="s">
        <v>110</v>
      </c>
      <c r="C844" s="113" t="s">
        <v>980</v>
      </c>
      <c r="D844" s="82" t="str">
        <f aca="false">IF(OR(C844="",P844=""),"",INDEX('CARNET DE SOUDURE'!$D$7:$D$3006,P844)&amp;"")</f>
        <v>5</v>
      </c>
      <c r="E844" s="114" t="n">
        <f aca="false">IF(OR(C844="",P844=""),"",IF(INDEX('CARNET DE SOUDURE'!$U$7:$U$3006,P844)="","",INDEX('CARNET DE SOUDURE'!$U$7:$U$3006,P844)))</f>
        <v>46287</v>
      </c>
      <c r="F844" s="82" t="str">
        <f aca="false">IF(OR(C844="",P844=""),"",INDEX('CARNET DE SOUDURE'!$AP$7:$AP$3006,P844))</f>
        <v>A</v>
      </c>
      <c r="G844" s="82" t="str">
        <f aca="false">IF(C844="","",IF(P844="","NJ INCONNU",INDEX('CARNET DE SOUDURE'!$AQ$7:$AQ$3006,P844)))</f>
        <v>ACCEPTÉ</v>
      </c>
      <c r="H844" s="82" t="str">
        <f aca="false">IF(C844="","",IF(G844="ACCEPTÉ","OUI","NON"))</f>
        <v>OUI</v>
      </c>
      <c r="I844" s="83"/>
      <c r="J844" s="80"/>
      <c r="K844" s="81"/>
      <c r="L844" s="81"/>
      <c r="M844" s="81"/>
      <c r="N844" s="84" t="str">
        <f aca="false">IF(C844="","",IF(P844="","NJ INCONNU",IF(I844="",IF(H844="OUI","À ENROBER",IF(G844="À SOUDER","NON SOUDÉ","EN ATTENTE RT")),IF(L844="R","À REPRENDRE",IF(H844&lt;&gt;"OUI","⚠ ENROBÉ AVANT ACCEPTATION RT","ENROBÉ")))))</f>
        <v>À ENROBER</v>
      </c>
      <c r="O844" s="80"/>
      <c r="P844" s="82" t="n">
        <f aca="false">IF(C844="","",IFERROR(MATCH(Q844,'CARNET DE SOUDURE'!$AW$7:$AW$3006,0),""))</f>
        <v>838</v>
      </c>
      <c r="Q844" s="82" t="str">
        <f aca="false">IF(C844="","",B844&amp;"|"&amp;C844)</f>
        <v>MFD-ISW → MFD-CPF|DJ°478</v>
      </c>
    </row>
    <row r="845" customFormat="false" ht="74.6" hidden="false" customHeight="false" outlineLevel="0" collapsed="false">
      <c r="A845" s="82" t="n">
        <f aca="false">IF(C845="","",ROW()-6)</f>
        <v>839</v>
      </c>
      <c r="B845" s="80" t="s">
        <v>110</v>
      </c>
      <c r="C845" s="113" t="s">
        <v>981</v>
      </c>
      <c r="D845" s="82" t="str">
        <f aca="false">IF(OR(C845="",P845=""),"",INDEX('CARNET DE SOUDURE'!$D$7:$D$3006,P845)&amp;"")</f>
        <v>5</v>
      </c>
      <c r="E845" s="114" t="n">
        <f aca="false">IF(OR(C845="",P845=""),"",IF(INDEX('CARNET DE SOUDURE'!$U$7:$U$3006,P845)="","",INDEX('CARNET DE SOUDURE'!$U$7:$U$3006,P845)))</f>
        <v>46289</v>
      </c>
      <c r="F845" s="82" t="str">
        <f aca="false">IF(OR(C845="",P845=""),"",INDEX('CARNET DE SOUDURE'!$AP$7:$AP$3006,P845))</f>
        <v/>
      </c>
      <c r="G845" s="82" t="str">
        <f aca="false">IF(C845="","",IF(P845="","NJ INCONNU",INDEX('CARNET DE SOUDURE'!$AQ$7:$AQ$3006,P845)))</f>
        <v>À RADIOGRAPHIER</v>
      </c>
      <c r="H845" s="82" t="str">
        <f aca="false">IF(C845="","",IF(G845="ACCEPTÉ","OUI","NON"))</f>
        <v>NON</v>
      </c>
      <c r="I845" s="83"/>
      <c r="J845" s="80"/>
      <c r="K845" s="81"/>
      <c r="L845" s="81"/>
      <c r="M845" s="81"/>
      <c r="N845" s="84" t="str">
        <f aca="false">IF(C845="","",IF(P845="","NJ INCONNU",IF(I845="",IF(H845="OUI","À ENROBER",IF(G845="À SOUDER","NON SOUDÉ","EN ATTENTE RT")),IF(L845="R","À REPRENDRE",IF(H845&lt;&gt;"OUI","⚠ ENROBÉ AVANT ACCEPTATION RT","ENROBÉ")))))</f>
        <v>EN ATTENTE RT</v>
      </c>
      <c r="O845" s="80"/>
      <c r="P845" s="82" t="n">
        <f aca="false">IF(C845="","",IFERROR(MATCH(Q845,'CARNET DE SOUDURE'!$AW$7:$AW$3006,0),""))</f>
        <v>839</v>
      </c>
      <c r="Q845" s="82" t="str">
        <f aca="false">IF(C845="","",B845&amp;"|"&amp;C845)</f>
        <v>MFD-ISW → MFD-CPF|JN°800</v>
      </c>
    </row>
    <row r="846" customFormat="false" ht="74.6" hidden="false" customHeight="false" outlineLevel="0" collapsed="false">
      <c r="A846" s="82" t="n">
        <f aca="false">IF(C846="","",ROW()-6)</f>
        <v>840</v>
      </c>
      <c r="B846" s="80" t="s">
        <v>110</v>
      </c>
      <c r="C846" s="113" t="s">
        <v>983</v>
      </c>
      <c r="D846" s="82" t="str">
        <f aca="false">IF(OR(C846="",P846=""),"",INDEX('CARNET DE SOUDURE'!$D$7:$D$3006,P846)&amp;"")</f>
        <v>5</v>
      </c>
      <c r="E846" s="114" t="n">
        <f aca="false">IF(OR(C846="",P846=""),"",IF(INDEX('CARNET DE SOUDURE'!$U$7:$U$3006,P846)="","",INDEX('CARNET DE SOUDURE'!$U$7:$U$3006,P846)))</f>
        <v>46287</v>
      </c>
      <c r="F846" s="82" t="str">
        <f aca="false">IF(OR(C846="",P846=""),"",INDEX('CARNET DE SOUDURE'!$AP$7:$AP$3006,P846))</f>
        <v>A</v>
      </c>
      <c r="G846" s="82" t="str">
        <f aca="false">IF(C846="","",IF(P846="","NJ INCONNU",INDEX('CARNET DE SOUDURE'!$AQ$7:$AQ$3006,P846)))</f>
        <v>ACCEPTÉ</v>
      </c>
      <c r="H846" s="82" t="str">
        <f aca="false">IF(C846="","",IF(G846="ACCEPTÉ","OUI","NON"))</f>
        <v>OUI</v>
      </c>
      <c r="I846" s="83"/>
      <c r="J846" s="80"/>
      <c r="K846" s="81"/>
      <c r="L846" s="81"/>
      <c r="M846" s="81"/>
      <c r="N846" s="84" t="str">
        <f aca="false">IF(C846="","",IF(P846="","NJ INCONNU",IF(I846="",IF(H846="OUI","À ENROBER",IF(G846="À SOUDER","NON SOUDÉ","EN ATTENTE RT")),IF(L846="R","À REPRENDRE",IF(H846&lt;&gt;"OUI","⚠ ENROBÉ AVANT ACCEPTATION RT","ENROBÉ")))))</f>
        <v>À ENROBER</v>
      </c>
      <c r="O846" s="80"/>
      <c r="P846" s="82" t="n">
        <f aca="false">IF(C846="","",IFERROR(MATCH(Q846,'CARNET DE SOUDURE'!$AW$7:$AW$3006,0),""))</f>
        <v>840</v>
      </c>
      <c r="Q846" s="82" t="str">
        <f aca="false">IF(C846="","",B846&amp;"|"&amp;C846)</f>
        <v>MFD-ISW → MFD-CPF|DJ°485</v>
      </c>
    </row>
    <row r="847" customFormat="false" ht="74.6" hidden="false" customHeight="false" outlineLevel="0" collapsed="false">
      <c r="A847" s="82" t="n">
        <f aca="false">IF(C847="","",ROW()-6)</f>
        <v>841</v>
      </c>
      <c r="B847" s="80" t="s">
        <v>110</v>
      </c>
      <c r="C847" s="113" t="s">
        <v>984</v>
      </c>
      <c r="D847" s="82" t="str">
        <f aca="false">IF(OR(C847="",P847=""),"",INDEX('CARNET DE SOUDURE'!$D$7:$D$3006,P847)&amp;"")</f>
        <v>5</v>
      </c>
      <c r="E847" s="114" t="n">
        <f aca="false">IF(OR(C847="",P847=""),"",IF(INDEX('CARNET DE SOUDURE'!$U$7:$U$3006,P847)="","",INDEX('CARNET DE SOUDURE'!$U$7:$U$3006,P847)))</f>
        <v>46289</v>
      </c>
      <c r="F847" s="82" t="str">
        <f aca="false">IF(OR(C847="",P847=""),"",INDEX('CARNET DE SOUDURE'!$AP$7:$AP$3006,P847))</f>
        <v/>
      </c>
      <c r="G847" s="82" t="str">
        <f aca="false">IF(C847="","",IF(P847="","NJ INCONNU",INDEX('CARNET DE SOUDURE'!$AQ$7:$AQ$3006,P847)))</f>
        <v>À RADIOGRAPHIER</v>
      </c>
      <c r="H847" s="82" t="str">
        <f aca="false">IF(C847="","",IF(G847="ACCEPTÉ","OUI","NON"))</f>
        <v>NON</v>
      </c>
      <c r="I847" s="83"/>
      <c r="J847" s="80"/>
      <c r="K847" s="81"/>
      <c r="L847" s="81"/>
      <c r="M847" s="81"/>
      <c r="N847" s="84" t="str">
        <f aca="false">IF(C847="","",IF(P847="","NJ INCONNU",IF(I847="",IF(H847="OUI","À ENROBER",IF(G847="À SOUDER","NON SOUDÉ","EN ATTENTE RT")),IF(L847="R","À REPRENDRE",IF(H847&lt;&gt;"OUI","⚠ ENROBÉ AVANT ACCEPTATION RT","ENROBÉ")))))</f>
        <v>EN ATTENTE RT</v>
      </c>
      <c r="O847" s="80"/>
      <c r="P847" s="82" t="n">
        <f aca="false">IF(C847="","",IFERROR(MATCH(Q847,'CARNET DE SOUDURE'!$AW$7:$AW$3006,0),""))</f>
        <v>841</v>
      </c>
      <c r="Q847" s="82" t="str">
        <f aca="false">IF(C847="","",B847&amp;"|"&amp;C847)</f>
        <v>MFD-ISW → MFD-CPF|JN°801</v>
      </c>
    </row>
    <row r="848" customFormat="false" ht="74.6" hidden="false" customHeight="false" outlineLevel="0" collapsed="false">
      <c r="A848" s="82" t="n">
        <f aca="false">IF(C848="","",ROW()-6)</f>
        <v>842</v>
      </c>
      <c r="B848" s="80" t="s">
        <v>110</v>
      </c>
      <c r="C848" s="113" t="s">
        <v>986</v>
      </c>
      <c r="D848" s="82" t="str">
        <f aca="false">IF(OR(C848="",P848=""),"",INDEX('CARNET DE SOUDURE'!$D$7:$D$3006,P848)&amp;"")</f>
        <v>/</v>
      </c>
      <c r="E848" s="114" t="n">
        <f aca="false">IF(OR(C848="",P848=""),"",IF(INDEX('CARNET DE SOUDURE'!$U$7:$U$3006,P848)="","",INDEX('CARNET DE SOUDURE'!$U$7:$U$3006,P848)))</f>
        <v>46287</v>
      </c>
      <c r="F848" s="82" t="str">
        <f aca="false">IF(OR(C848="",P848=""),"",INDEX('CARNET DE SOUDURE'!$AP$7:$AP$3006,P848))</f>
        <v>A</v>
      </c>
      <c r="G848" s="82" t="str">
        <f aca="false">IF(C848="","",IF(P848="","NJ INCONNU",INDEX('CARNET DE SOUDURE'!$AQ$7:$AQ$3006,P848)))</f>
        <v>ACCEPTÉ</v>
      </c>
      <c r="H848" s="82" t="str">
        <f aca="false">IF(C848="","",IF(G848="ACCEPTÉ","OUI","NON"))</f>
        <v>OUI</v>
      </c>
      <c r="I848" s="83"/>
      <c r="J848" s="80"/>
      <c r="K848" s="81"/>
      <c r="L848" s="81"/>
      <c r="M848" s="81"/>
      <c r="N848" s="84" t="str">
        <f aca="false">IF(C848="","",IF(P848="","NJ INCONNU",IF(I848="",IF(H848="OUI","À ENROBER",IF(G848="À SOUDER","NON SOUDÉ","EN ATTENTE RT")),IF(L848="R","À REPRENDRE",IF(H848&lt;&gt;"OUI","⚠ ENROBÉ AVANT ACCEPTATION RT","ENROBÉ")))))</f>
        <v>À ENROBER</v>
      </c>
      <c r="O848" s="80"/>
      <c r="P848" s="82" t="n">
        <f aca="false">IF(C848="","",IFERROR(MATCH(Q848,'CARNET DE SOUDURE'!$AW$7:$AW$3006,0),""))</f>
        <v>842</v>
      </c>
      <c r="Q848" s="82" t="str">
        <f aca="false">IF(C848="","",B848&amp;"|"&amp;C848)</f>
        <v>MFD-ISW → MFD-CPF|DJ°490</v>
      </c>
    </row>
    <row r="849" customFormat="false" ht="74.6" hidden="false" customHeight="false" outlineLevel="0" collapsed="false">
      <c r="A849" s="82" t="n">
        <f aca="false">IF(C849="","",ROW()-6)</f>
        <v>843</v>
      </c>
      <c r="B849" s="80" t="s">
        <v>110</v>
      </c>
      <c r="C849" s="113" t="s">
        <v>987</v>
      </c>
      <c r="D849" s="82" t="str">
        <f aca="false">IF(OR(C849="",P849=""),"",INDEX('CARNET DE SOUDURE'!$D$7:$D$3006,P849)&amp;"")</f>
        <v>5</v>
      </c>
      <c r="E849" s="114" t="n">
        <f aca="false">IF(OR(C849="",P849=""),"",IF(INDEX('CARNET DE SOUDURE'!$U$7:$U$3006,P849)="","",INDEX('CARNET DE SOUDURE'!$U$7:$U$3006,P849)))</f>
        <v>46289</v>
      </c>
      <c r="F849" s="82" t="str">
        <f aca="false">IF(OR(C849="",P849=""),"",INDEX('CARNET DE SOUDURE'!$AP$7:$AP$3006,P849))</f>
        <v/>
      </c>
      <c r="G849" s="82" t="str">
        <f aca="false">IF(C849="","",IF(P849="","NJ INCONNU",INDEX('CARNET DE SOUDURE'!$AQ$7:$AQ$3006,P849)))</f>
        <v>À RADIOGRAPHIER</v>
      </c>
      <c r="H849" s="82" t="str">
        <f aca="false">IF(C849="","",IF(G849="ACCEPTÉ","OUI","NON"))</f>
        <v>NON</v>
      </c>
      <c r="I849" s="83"/>
      <c r="J849" s="80"/>
      <c r="K849" s="81"/>
      <c r="L849" s="81"/>
      <c r="M849" s="81"/>
      <c r="N849" s="84" t="str">
        <f aca="false">IF(C849="","",IF(P849="","NJ INCONNU",IF(I849="",IF(H849="OUI","À ENROBER",IF(G849="À SOUDER","NON SOUDÉ","EN ATTENTE RT")),IF(L849="R","À REPRENDRE",IF(H849&lt;&gt;"OUI","⚠ ENROBÉ AVANT ACCEPTATION RT","ENROBÉ")))))</f>
        <v>EN ATTENTE RT</v>
      </c>
      <c r="O849" s="80"/>
      <c r="P849" s="82" t="n">
        <f aca="false">IF(C849="","",IFERROR(MATCH(Q849,'CARNET DE SOUDURE'!$AW$7:$AW$3006,0),""))</f>
        <v>843</v>
      </c>
      <c r="Q849" s="82" t="str">
        <f aca="false">IF(C849="","",B849&amp;"|"&amp;C849)</f>
        <v>MFD-ISW → MFD-CPF|JN°802</v>
      </c>
    </row>
    <row r="850" customFormat="false" ht="74.6" hidden="false" customHeight="false" outlineLevel="0" collapsed="false">
      <c r="A850" s="82" t="n">
        <f aca="false">IF(C850="","",ROW()-6)</f>
        <v>844</v>
      </c>
      <c r="B850" s="80" t="s">
        <v>110</v>
      </c>
      <c r="C850" s="113" t="s">
        <v>988</v>
      </c>
      <c r="D850" s="82" t="str">
        <f aca="false">IF(OR(C850="",P850=""),"",INDEX('CARNET DE SOUDURE'!$D$7:$D$3006,P850)&amp;"")</f>
        <v>5</v>
      </c>
      <c r="E850" s="114" t="n">
        <f aca="false">IF(OR(C850="",P850=""),"",IF(INDEX('CARNET DE SOUDURE'!$U$7:$U$3006,P850)="","",INDEX('CARNET DE SOUDURE'!$U$7:$U$3006,P850)))</f>
        <v>46286</v>
      </c>
      <c r="F850" s="82" t="str">
        <f aca="false">IF(OR(C850="",P850=""),"",INDEX('CARNET DE SOUDURE'!$AP$7:$AP$3006,P850))</f>
        <v>A</v>
      </c>
      <c r="G850" s="82" t="str">
        <f aca="false">IF(C850="","",IF(P850="","NJ INCONNU",INDEX('CARNET DE SOUDURE'!$AQ$7:$AQ$3006,P850)))</f>
        <v>ACCEPTÉ</v>
      </c>
      <c r="H850" s="82" t="str">
        <f aca="false">IF(C850="","",IF(G850="ACCEPTÉ","OUI","NON"))</f>
        <v>OUI</v>
      </c>
      <c r="I850" s="83"/>
      <c r="J850" s="80"/>
      <c r="K850" s="81"/>
      <c r="L850" s="81"/>
      <c r="M850" s="81"/>
      <c r="N850" s="84" t="str">
        <f aca="false">IF(C850="","",IF(P850="","NJ INCONNU",IF(I850="",IF(H850="OUI","À ENROBER",IF(G850="À SOUDER","NON SOUDÉ","EN ATTENTE RT")),IF(L850="R","À REPRENDRE",IF(H850&lt;&gt;"OUI","⚠ ENROBÉ AVANT ACCEPTATION RT","ENROBÉ")))))</f>
        <v>À ENROBER</v>
      </c>
      <c r="O850" s="80"/>
      <c r="P850" s="82" t="n">
        <f aca="false">IF(C850="","",IFERROR(MATCH(Q850,'CARNET DE SOUDURE'!$AW$7:$AW$3006,0),""))</f>
        <v>844</v>
      </c>
      <c r="Q850" s="82" t="str">
        <f aca="false">IF(C850="","",B850&amp;"|"&amp;C850)</f>
        <v>MFD-ISW → MFD-CPF|DJ°463</v>
      </c>
    </row>
    <row r="851" customFormat="false" ht="74.6" hidden="false" customHeight="false" outlineLevel="0" collapsed="false">
      <c r="A851" s="82" t="n">
        <f aca="false">IF(C851="","",ROW()-6)</f>
        <v>845</v>
      </c>
      <c r="B851" s="80" t="s">
        <v>110</v>
      </c>
      <c r="C851" s="113" t="s">
        <v>989</v>
      </c>
      <c r="D851" s="82" t="str">
        <f aca="false">IF(OR(C851="",P851=""),"",INDEX('CARNET DE SOUDURE'!$D$7:$D$3006,P851)&amp;"")</f>
        <v>5</v>
      </c>
      <c r="E851" s="114" t="n">
        <f aca="false">IF(OR(C851="",P851=""),"",IF(INDEX('CARNET DE SOUDURE'!$U$7:$U$3006,P851)="","",INDEX('CARNET DE SOUDURE'!$U$7:$U$3006,P851)))</f>
        <v>46289</v>
      </c>
      <c r="F851" s="82" t="str">
        <f aca="false">IF(OR(C851="",P851=""),"",INDEX('CARNET DE SOUDURE'!$AP$7:$AP$3006,P851))</f>
        <v/>
      </c>
      <c r="G851" s="82" t="str">
        <f aca="false">IF(C851="","",IF(P851="","NJ INCONNU",INDEX('CARNET DE SOUDURE'!$AQ$7:$AQ$3006,P851)))</f>
        <v>À RADIOGRAPHIER</v>
      </c>
      <c r="H851" s="82" t="str">
        <f aca="false">IF(C851="","",IF(G851="ACCEPTÉ","OUI","NON"))</f>
        <v>NON</v>
      </c>
      <c r="I851" s="83"/>
      <c r="J851" s="80"/>
      <c r="K851" s="81"/>
      <c r="L851" s="81"/>
      <c r="M851" s="81"/>
      <c r="N851" s="84" t="str">
        <f aca="false">IF(C851="","",IF(P851="","NJ INCONNU",IF(I851="",IF(H851="OUI","À ENROBER",IF(G851="À SOUDER","NON SOUDÉ","EN ATTENTE RT")),IF(L851="R","À REPRENDRE",IF(H851&lt;&gt;"OUI","⚠ ENROBÉ AVANT ACCEPTATION RT","ENROBÉ")))))</f>
        <v>EN ATTENTE RT</v>
      </c>
      <c r="O851" s="80"/>
      <c r="P851" s="82" t="n">
        <f aca="false">IF(C851="","",IFERROR(MATCH(Q851,'CARNET DE SOUDURE'!$AW$7:$AW$3006,0),""))</f>
        <v>845</v>
      </c>
      <c r="Q851" s="82" t="str">
        <f aca="false">IF(C851="","",B851&amp;"|"&amp;C851)</f>
        <v>MFD-ISW → MFD-CPF|JN°803</v>
      </c>
    </row>
    <row r="852" customFormat="false" ht="74.6" hidden="false" customHeight="false" outlineLevel="0" collapsed="false">
      <c r="A852" s="82" t="n">
        <f aca="false">IF(C852="","",ROW()-6)</f>
        <v>846</v>
      </c>
      <c r="B852" s="80" t="s">
        <v>110</v>
      </c>
      <c r="C852" s="113" t="s">
        <v>990</v>
      </c>
      <c r="D852" s="82" t="str">
        <f aca="false">IF(OR(C852="",P852=""),"",INDEX('CARNET DE SOUDURE'!$D$7:$D$3006,P852)&amp;"")</f>
        <v>/</v>
      </c>
      <c r="E852" s="114" t="n">
        <f aca="false">IF(OR(C852="",P852=""),"",IF(INDEX('CARNET DE SOUDURE'!$U$7:$U$3006,P852)="","",INDEX('CARNET DE SOUDURE'!$U$7:$U$3006,P852)))</f>
        <v>46287</v>
      </c>
      <c r="F852" s="82" t="str">
        <f aca="false">IF(OR(C852="",P852=""),"",INDEX('CARNET DE SOUDURE'!$AP$7:$AP$3006,P852))</f>
        <v>A</v>
      </c>
      <c r="G852" s="82" t="str">
        <f aca="false">IF(C852="","",IF(P852="","NJ INCONNU",INDEX('CARNET DE SOUDURE'!$AQ$7:$AQ$3006,P852)))</f>
        <v>ACCEPTÉ</v>
      </c>
      <c r="H852" s="82" t="str">
        <f aca="false">IF(C852="","",IF(G852="ACCEPTÉ","OUI","NON"))</f>
        <v>OUI</v>
      </c>
      <c r="I852" s="83"/>
      <c r="J852" s="80"/>
      <c r="K852" s="81"/>
      <c r="L852" s="81"/>
      <c r="M852" s="81"/>
      <c r="N852" s="84" t="str">
        <f aca="false">IF(C852="","",IF(P852="","NJ INCONNU",IF(I852="",IF(H852="OUI","À ENROBER",IF(G852="À SOUDER","NON SOUDÉ","EN ATTENTE RT")),IF(L852="R","À REPRENDRE",IF(H852&lt;&gt;"OUI","⚠ ENROBÉ AVANT ACCEPTATION RT","ENROBÉ")))))</f>
        <v>À ENROBER</v>
      </c>
      <c r="O852" s="80"/>
      <c r="P852" s="82" t="n">
        <f aca="false">IF(C852="","",IFERROR(MATCH(Q852,'CARNET DE SOUDURE'!$AW$7:$AW$3006,0),""))</f>
        <v>846</v>
      </c>
      <c r="Q852" s="82" t="str">
        <f aca="false">IF(C852="","",B852&amp;"|"&amp;C852)</f>
        <v>MFD-ISW → MFD-CPF|DJ°491</v>
      </c>
    </row>
    <row r="853" customFormat="false" ht="74.6" hidden="false" customHeight="false" outlineLevel="0" collapsed="false">
      <c r="A853" s="82" t="n">
        <f aca="false">IF(C853="","",ROW()-6)</f>
        <v>847</v>
      </c>
      <c r="B853" s="80" t="s">
        <v>110</v>
      </c>
      <c r="C853" s="113" t="s">
        <v>991</v>
      </c>
      <c r="D853" s="82" t="str">
        <f aca="false">IF(OR(C853="",P853=""),"",INDEX('CARNET DE SOUDURE'!$D$7:$D$3006,P853)&amp;"")</f>
        <v>5</v>
      </c>
      <c r="E853" s="114" t="n">
        <f aca="false">IF(OR(C853="",P853=""),"",IF(INDEX('CARNET DE SOUDURE'!$U$7:$U$3006,P853)="","",INDEX('CARNET DE SOUDURE'!$U$7:$U$3006,P853)))</f>
        <v>46289</v>
      </c>
      <c r="F853" s="82" t="str">
        <f aca="false">IF(OR(C853="",P853=""),"",INDEX('CARNET DE SOUDURE'!$AP$7:$AP$3006,P853))</f>
        <v/>
      </c>
      <c r="G853" s="82" t="str">
        <f aca="false">IF(C853="","",IF(P853="","NJ INCONNU",INDEX('CARNET DE SOUDURE'!$AQ$7:$AQ$3006,P853)))</f>
        <v>À RADIOGRAPHIER</v>
      </c>
      <c r="H853" s="82" t="str">
        <f aca="false">IF(C853="","",IF(G853="ACCEPTÉ","OUI","NON"))</f>
        <v>NON</v>
      </c>
      <c r="I853" s="83"/>
      <c r="J853" s="80"/>
      <c r="K853" s="81"/>
      <c r="L853" s="81"/>
      <c r="M853" s="81"/>
      <c r="N853" s="84" t="str">
        <f aca="false">IF(C853="","",IF(P853="","NJ INCONNU",IF(I853="",IF(H853="OUI","À ENROBER",IF(G853="À SOUDER","NON SOUDÉ","EN ATTENTE RT")),IF(L853="R","À REPRENDRE",IF(H853&lt;&gt;"OUI","⚠ ENROBÉ AVANT ACCEPTATION RT","ENROBÉ")))))</f>
        <v>EN ATTENTE RT</v>
      </c>
      <c r="O853" s="80"/>
      <c r="P853" s="82" t="n">
        <f aca="false">IF(C853="","",IFERROR(MATCH(Q853,'CARNET DE SOUDURE'!$AW$7:$AW$3006,0),""))</f>
        <v>847</v>
      </c>
      <c r="Q853" s="82" t="str">
        <f aca="false">IF(C853="","",B853&amp;"|"&amp;C853)</f>
        <v>MFD-ISW → MFD-CPF|JN°804</v>
      </c>
    </row>
    <row r="854" customFormat="false" ht="74.6" hidden="false" customHeight="false" outlineLevel="0" collapsed="false">
      <c r="A854" s="82" t="n">
        <f aca="false">IF(C854="","",ROW()-6)</f>
        <v>848</v>
      </c>
      <c r="B854" s="80" t="s">
        <v>110</v>
      </c>
      <c r="C854" s="113" t="s">
        <v>992</v>
      </c>
      <c r="D854" s="82" t="str">
        <f aca="false">IF(OR(C854="",P854=""),"",INDEX('CARNET DE SOUDURE'!$D$7:$D$3006,P854)&amp;"")</f>
        <v>5</v>
      </c>
      <c r="E854" s="114" t="n">
        <f aca="false">IF(OR(C854="",P854=""),"",IF(INDEX('CARNET DE SOUDURE'!$U$7:$U$3006,P854)="","",INDEX('CARNET DE SOUDURE'!$U$7:$U$3006,P854)))</f>
        <v>46286</v>
      </c>
      <c r="F854" s="82" t="str">
        <f aca="false">IF(OR(C854="",P854=""),"",INDEX('CARNET DE SOUDURE'!$AP$7:$AP$3006,P854))</f>
        <v>A</v>
      </c>
      <c r="G854" s="82" t="str">
        <f aca="false">IF(C854="","",IF(P854="","NJ INCONNU",INDEX('CARNET DE SOUDURE'!$AQ$7:$AQ$3006,P854)))</f>
        <v>ACCEPTÉ</v>
      </c>
      <c r="H854" s="82" t="str">
        <f aca="false">IF(C854="","",IF(G854="ACCEPTÉ","OUI","NON"))</f>
        <v>OUI</v>
      </c>
      <c r="I854" s="83"/>
      <c r="J854" s="80"/>
      <c r="K854" s="81"/>
      <c r="L854" s="81"/>
      <c r="M854" s="81"/>
      <c r="N854" s="84" t="str">
        <f aca="false">IF(C854="","",IF(P854="","NJ INCONNU",IF(I854="",IF(H854="OUI","À ENROBER",IF(G854="À SOUDER","NON SOUDÉ","EN ATTENTE RT")),IF(L854="R","À REPRENDRE",IF(H854&lt;&gt;"OUI","⚠ ENROBÉ AVANT ACCEPTATION RT","ENROBÉ")))))</f>
        <v>À ENROBER</v>
      </c>
      <c r="O854" s="80"/>
      <c r="P854" s="82" t="n">
        <f aca="false">IF(C854="","",IFERROR(MATCH(Q854,'CARNET DE SOUDURE'!$AW$7:$AW$3006,0),""))</f>
        <v>848</v>
      </c>
      <c r="Q854" s="82" t="str">
        <f aca="false">IF(C854="","",B854&amp;"|"&amp;C854)</f>
        <v>MFD-ISW → MFD-CPF|DJ°462</v>
      </c>
    </row>
    <row r="855" customFormat="false" ht="74.6" hidden="false" customHeight="false" outlineLevel="0" collapsed="false">
      <c r="A855" s="82" t="n">
        <f aca="false">IF(C855="","",ROW()-6)</f>
        <v>849</v>
      </c>
      <c r="B855" s="80" t="s">
        <v>110</v>
      </c>
      <c r="C855" s="113" t="s">
        <v>993</v>
      </c>
      <c r="D855" s="82" t="str">
        <f aca="false">IF(OR(C855="",P855=""),"",INDEX('CARNET DE SOUDURE'!$D$7:$D$3006,P855)&amp;"")</f>
        <v>5</v>
      </c>
      <c r="E855" s="114" t="n">
        <f aca="false">IF(OR(C855="",P855=""),"",IF(INDEX('CARNET DE SOUDURE'!$U$7:$U$3006,P855)="","",INDEX('CARNET DE SOUDURE'!$U$7:$U$3006,P855)))</f>
        <v>46289</v>
      </c>
      <c r="F855" s="82" t="str">
        <f aca="false">IF(OR(C855="",P855=""),"",INDEX('CARNET DE SOUDURE'!$AP$7:$AP$3006,P855))</f>
        <v/>
      </c>
      <c r="G855" s="82" t="str">
        <f aca="false">IF(C855="","",IF(P855="","NJ INCONNU",INDEX('CARNET DE SOUDURE'!$AQ$7:$AQ$3006,P855)))</f>
        <v>À RADIOGRAPHIER</v>
      </c>
      <c r="H855" s="82" t="str">
        <f aca="false">IF(C855="","",IF(G855="ACCEPTÉ","OUI","NON"))</f>
        <v>NON</v>
      </c>
      <c r="I855" s="83"/>
      <c r="J855" s="80"/>
      <c r="K855" s="81"/>
      <c r="L855" s="81"/>
      <c r="M855" s="81"/>
      <c r="N855" s="84" t="str">
        <f aca="false">IF(C855="","",IF(P855="","NJ INCONNU",IF(I855="",IF(H855="OUI","À ENROBER",IF(G855="À SOUDER","NON SOUDÉ","EN ATTENTE RT")),IF(L855="R","À REPRENDRE",IF(H855&lt;&gt;"OUI","⚠ ENROBÉ AVANT ACCEPTATION RT","ENROBÉ")))))</f>
        <v>EN ATTENTE RT</v>
      </c>
      <c r="O855" s="80"/>
      <c r="P855" s="82" t="n">
        <f aca="false">IF(C855="","",IFERROR(MATCH(Q855,'CARNET DE SOUDURE'!$AW$7:$AW$3006,0),""))</f>
        <v>849</v>
      </c>
      <c r="Q855" s="82" t="str">
        <f aca="false">IF(C855="","",B855&amp;"|"&amp;C855)</f>
        <v>MFD-ISW → MFD-CPF|JN°805</v>
      </c>
    </row>
    <row r="856" customFormat="false" ht="74.6" hidden="false" customHeight="false" outlineLevel="0" collapsed="false">
      <c r="A856" s="82" t="n">
        <f aca="false">IF(C856="","",ROW()-6)</f>
        <v>850</v>
      </c>
      <c r="B856" s="80" t="s">
        <v>110</v>
      </c>
      <c r="C856" s="113" t="s">
        <v>994</v>
      </c>
      <c r="D856" s="82" t="str">
        <f aca="false">IF(OR(C856="",P856=""),"",INDEX('CARNET DE SOUDURE'!$D$7:$D$3006,P856)&amp;"")</f>
        <v>5</v>
      </c>
      <c r="E856" s="114" t="n">
        <f aca="false">IF(OR(C856="",P856=""),"",IF(INDEX('CARNET DE SOUDURE'!$U$7:$U$3006,P856)="","",INDEX('CARNET DE SOUDURE'!$U$7:$U$3006,P856)))</f>
        <v>46287</v>
      </c>
      <c r="F856" s="82" t="str">
        <f aca="false">IF(OR(C856="",P856=""),"",INDEX('CARNET DE SOUDURE'!$AP$7:$AP$3006,P856))</f>
        <v>A</v>
      </c>
      <c r="G856" s="82" t="str">
        <f aca="false">IF(C856="","",IF(P856="","NJ INCONNU",INDEX('CARNET DE SOUDURE'!$AQ$7:$AQ$3006,P856)))</f>
        <v>ACCEPTÉ</v>
      </c>
      <c r="H856" s="82" t="str">
        <f aca="false">IF(C856="","",IF(G856="ACCEPTÉ","OUI","NON"))</f>
        <v>OUI</v>
      </c>
      <c r="I856" s="83"/>
      <c r="J856" s="80"/>
      <c r="K856" s="81"/>
      <c r="L856" s="81"/>
      <c r="M856" s="81"/>
      <c r="N856" s="84" t="str">
        <f aca="false">IF(C856="","",IF(P856="","NJ INCONNU",IF(I856="",IF(H856="OUI","À ENROBER",IF(G856="À SOUDER","NON SOUDÉ","EN ATTENTE RT")),IF(L856="R","À REPRENDRE",IF(H856&lt;&gt;"OUI","⚠ ENROBÉ AVANT ACCEPTATION RT","ENROBÉ")))))</f>
        <v>À ENROBER</v>
      </c>
      <c r="O856" s="80"/>
      <c r="P856" s="82" t="n">
        <f aca="false">IF(C856="","",IFERROR(MATCH(Q856,'CARNET DE SOUDURE'!$AW$7:$AW$3006,0),""))</f>
        <v>850</v>
      </c>
      <c r="Q856" s="82" t="str">
        <f aca="false">IF(C856="","",B856&amp;"|"&amp;C856)</f>
        <v>MFD-ISW → MFD-CPF|DJ°489</v>
      </c>
    </row>
    <row r="857" customFormat="false" ht="74.6" hidden="false" customHeight="false" outlineLevel="0" collapsed="false">
      <c r="A857" s="82" t="n">
        <f aca="false">IF(C857="","",ROW()-6)</f>
        <v>851</v>
      </c>
      <c r="B857" s="80" t="s">
        <v>110</v>
      </c>
      <c r="C857" s="113" t="s">
        <v>995</v>
      </c>
      <c r="D857" s="82" t="str">
        <f aca="false">IF(OR(C857="",P857=""),"",INDEX('CARNET DE SOUDURE'!$D$7:$D$3006,P857)&amp;"")</f>
        <v>5</v>
      </c>
      <c r="E857" s="114" t="n">
        <f aca="false">IF(OR(C857="",P857=""),"",IF(INDEX('CARNET DE SOUDURE'!$U$7:$U$3006,P857)="","",INDEX('CARNET DE SOUDURE'!$U$7:$U$3006,P857)))</f>
        <v>46289</v>
      </c>
      <c r="F857" s="82" t="str">
        <f aca="false">IF(OR(C857="",P857=""),"",INDEX('CARNET DE SOUDURE'!$AP$7:$AP$3006,P857))</f>
        <v/>
      </c>
      <c r="G857" s="82" t="str">
        <f aca="false">IF(C857="","",IF(P857="","NJ INCONNU",INDEX('CARNET DE SOUDURE'!$AQ$7:$AQ$3006,P857)))</f>
        <v>À RADIOGRAPHIER</v>
      </c>
      <c r="H857" s="82" t="str">
        <f aca="false">IF(C857="","",IF(G857="ACCEPTÉ","OUI","NON"))</f>
        <v>NON</v>
      </c>
      <c r="I857" s="83"/>
      <c r="J857" s="80"/>
      <c r="K857" s="81"/>
      <c r="L857" s="81"/>
      <c r="M857" s="81"/>
      <c r="N857" s="84" t="str">
        <f aca="false">IF(C857="","",IF(P857="","NJ INCONNU",IF(I857="",IF(H857="OUI","À ENROBER",IF(G857="À SOUDER","NON SOUDÉ","EN ATTENTE RT")),IF(L857="R","À REPRENDRE",IF(H857&lt;&gt;"OUI","⚠ ENROBÉ AVANT ACCEPTATION RT","ENROBÉ")))))</f>
        <v>EN ATTENTE RT</v>
      </c>
      <c r="O857" s="80"/>
      <c r="P857" s="82" t="n">
        <f aca="false">IF(C857="","",IFERROR(MATCH(Q857,'CARNET DE SOUDURE'!$AW$7:$AW$3006,0),""))</f>
        <v>851</v>
      </c>
      <c r="Q857" s="82" t="str">
        <f aca="false">IF(C857="","",B857&amp;"|"&amp;C857)</f>
        <v>MFD-ISW → MFD-CPF|JN°806</v>
      </c>
    </row>
    <row r="858" customFormat="false" ht="74.6" hidden="false" customHeight="false" outlineLevel="0" collapsed="false">
      <c r="A858" s="82" t="n">
        <f aca="false">IF(C858="","",ROW()-6)</f>
        <v>852</v>
      </c>
      <c r="B858" s="80" t="s">
        <v>110</v>
      </c>
      <c r="C858" s="113" t="s">
        <v>996</v>
      </c>
      <c r="D858" s="82" t="str">
        <f aca="false">IF(OR(C858="",P858=""),"",INDEX('CARNET DE SOUDURE'!$D$7:$D$3006,P858)&amp;"")</f>
        <v>5</v>
      </c>
      <c r="E858" s="114" t="n">
        <f aca="false">IF(OR(C858="",P858=""),"",IF(INDEX('CARNET DE SOUDURE'!$U$7:$U$3006,P858)="","",INDEX('CARNET DE SOUDURE'!$U$7:$U$3006,P858)))</f>
        <v>46286</v>
      </c>
      <c r="F858" s="82" t="str">
        <f aca="false">IF(OR(C858="",P858=""),"",INDEX('CARNET DE SOUDURE'!$AP$7:$AP$3006,P858))</f>
        <v>A</v>
      </c>
      <c r="G858" s="82" t="str">
        <f aca="false">IF(C858="","",IF(P858="","NJ INCONNU",INDEX('CARNET DE SOUDURE'!$AQ$7:$AQ$3006,P858)))</f>
        <v>ACCEPTÉ</v>
      </c>
      <c r="H858" s="82" t="str">
        <f aca="false">IF(C858="","",IF(G858="ACCEPTÉ","OUI","NON"))</f>
        <v>OUI</v>
      </c>
      <c r="I858" s="83"/>
      <c r="J858" s="80"/>
      <c r="K858" s="81"/>
      <c r="L858" s="81"/>
      <c r="M858" s="81"/>
      <c r="N858" s="84" t="str">
        <f aca="false">IF(C858="","",IF(P858="","NJ INCONNU",IF(I858="",IF(H858="OUI","À ENROBER",IF(G858="À SOUDER","NON SOUDÉ","EN ATTENTE RT")),IF(L858="R","À REPRENDRE",IF(H858&lt;&gt;"OUI","⚠ ENROBÉ AVANT ACCEPTATION RT","ENROBÉ")))))</f>
        <v>À ENROBER</v>
      </c>
      <c r="O858" s="80"/>
      <c r="P858" s="82" t="n">
        <f aca="false">IF(C858="","",IFERROR(MATCH(Q858,'CARNET DE SOUDURE'!$AW$7:$AW$3006,0),""))</f>
        <v>852</v>
      </c>
      <c r="Q858" s="82" t="str">
        <f aca="false">IF(C858="","",B858&amp;"|"&amp;C858)</f>
        <v>MFD-ISW → MFD-CPF|DJ°464</v>
      </c>
    </row>
    <row r="859" customFormat="false" ht="74.6" hidden="false" customHeight="false" outlineLevel="0" collapsed="false">
      <c r="A859" s="82" t="n">
        <f aca="false">IF(C859="","",ROW()-6)</f>
        <v>853</v>
      </c>
      <c r="B859" s="80" t="s">
        <v>110</v>
      </c>
      <c r="C859" s="113" t="s">
        <v>997</v>
      </c>
      <c r="D859" s="82" t="str">
        <f aca="false">IF(OR(C859="",P859=""),"",INDEX('CARNET DE SOUDURE'!$D$7:$D$3006,P859)&amp;"")</f>
        <v>5</v>
      </c>
      <c r="E859" s="114" t="n">
        <f aca="false">IF(OR(C859="",P859=""),"",IF(INDEX('CARNET DE SOUDURE'!$U$7:$U$3006,P859)="","",INDEX('CARNET DE SOUDURE'!$U$7:$U$3006,P859)))</f>
        <v>46289</v>
      </c>
      <c r="F859" s="82" t="str">
        <f aca="false">IF(OR(C859="",P859=""),"",INDEX('CARNET DE SOUDURE'!$AP$7:$AP$3006,P859))</f>
        <v/>
      </c>
      <c r="G859" s="82" t="str">
        <f aca="false">IF(C859="","",IF(P859="","NJ INCONNU",INDEX('CARNET DE SOUDURE'!$AQ$7:$AQ$3006,P859)))</f>
        <v>À RADIOGRAPHIER</v>
      </c>
      <c r="H859" s="82" t="str">
        <f aca="false">IF(C859="","",IF(G859="ACCEPTÉ","OUI","NON"))</f>
        <v>NON</v>
      </c>
      <c r="I859" s="83"/>
      <c r="J859" s="80"/>
      <c r="K859" s="81"/>
      <c r="L859" s="81"/>
      <c r="M859" s="81"/>
      <c r="N859" s="84" t="str">
        <f aca="false">IF(C859="","",IF(P859="","NJ INCONNU",IF(I859="",IF(H859="OUI","À ENROBER",IF(G859="À SOUDER","NON SOUDÉ","EN ATTENTE RT")),IF(L859="R","À REPRENDRE",IF(H859&lt;&gt;"OUI","⚠ ENROBÉ AVANT ACCEPTATION RT","ENROBÉ")))))</f>
        <v>EN ATTENTE RT</v>
      </c>
      <c r="O859" s="80"/>
      <c r="P859" s="82" t="n">
        <f aca="false">IF(C859="","",IFERROR(MATCH(Q859,'CARNET DE SOUDURE'!$AW$7:$AW$3006,0),""))</f>
        <v>853</v>
      </c>
      <c r="Q859" s="82" t="str">
        <f aca="false">IF(C859="","",B859&amp;"|"&amp;C859)</f>
        <v>MFD-ISW → MFD-CPF|JN°807</v>
      </c>
    </row>
    <row r="860" customFormat="false" ht="74.6" hidden="false" customHeight="false" outlineLevel="0" collapsed="false">
      <c r="A860" s="82" t="n">
        <f aca="false">IF(C860="","",ROW()-6)</f>
        <v>854</v>
      </c>
      <c r="B860" s="80" t="s">
        <v>110</v>
      </c>
      <c r="C860" s="113" t="s">
        <v>998</v>
      </c>
      <c r="D860" s="82" t="str">
        <f aca="false">IF(OR(C860="",P860=""),"",INDEX('CARNET DE SOUDURE'!$D$7:$D$3006,P860)&amp;"")</f>
        <v>5</v>
      </c>
      <c r="E860" s="114" t="n">
        <f aca="false">IF(OR(C860="",P860=""),"",IF(INDEX('CARNET DE SOUDURE'!$U$7:$U$3006,P860)="","",INDEX('CARNET DE SOUDURE'!$U$7:$U$3006,P860)))</f>
        <v>46286</v>
      </c>
      <c r="F860" s="82" t="str">
        <f aca="false">IF(OR(C860="",P860=""),"",INDEX('CARNET DE SOUDURE'!$AP$7:$AP$3006,P860))</f>
        <v>A</v>
      </c>
      <c r="G860" s="82" t="str">
        <f aca="false">IF(C860="","",IF(P860="","NJ INCONNU",INDEX('CARNET DE SOUDURE'!$AQ$7:$AQ$3006,P860)))</f>
        <v>ACCEPTÉ</v>
      </c>
      <c r="H860" s="82" t="str">
        <f aca="false">IF(C860="","",IF(G860="ACCEPTÉ","OUI","NON"))</f>
        <v>OUI</v>
      </c>
      <c r="I860" s="83"/>
      <c r="J860" s="80"/>
      <c r="K860" s="81"/>
      <c r="L860" s="81"/>
      <c r="M860" s="81"/>
      <c r="N860" s="84" t="str">
        <f aca="false">IF(C860="","",IF(P860="","NJ INCONNU",IF(I860="",IF(H860="OUI","À ENROBER",IF(G860="À SOUDER","NON SOUDÉ","EN ATTENTE RT")),IF(L860="R","À REPRENDRE",IF(H860&lt;&gt;"OUI","⚠ ENROBÉ AVANT ACCEPTATION RT","ENROBÉ")))))</f>
        <v>À ENROBER</v>
      </c>
      <c r="O860" s="80"/>
      <c r="P860" s="82" t="n">
        <f aca="false">IF(C860="","",IFERROR(MATCH(Q860,'CARNET DE SOUDURE'!$AW$7:$AW$3006,0),""))</f>
        <v>854</v>
      </c>
      <c r="Q860" s="82" t="str">
        <f aca="false">IF(C860="","",B860&amp;"|"&amp;C860)</f>
        <v>MFD-ISW → MFD-CPF|DJ°465</v>
      </c>
    </row>
    <row r="861" customFormat="false" ht="74.6" hidden="false" customHeight="false" outlineLevel="0" collapsed="false">
      <c r="A861" s="82" t="n">
        <f aca="false">IF(C861="","",ROW()-6)</f>
        <v>855</v>
      </c>
      <c r="B861" s="80" t="s">
        <v>110</v>
      </c>
      <c r="C861" s="113" t="s">
        <v>999</v>
      </c>
      <c r="D861" s="82" t="str">
        <f aca="false">IF(OR(C861="",P861=""),"",INDEX('CARNET DE SOUDURE'!$D$7:$D$3006,P861)&amp;"")</f>
        <v>5</v>
      </c>
      <c r="E861" s="114" t="n">
        <f aca="false">IF(OR(C861="",P861=""),"",IF(INDEX('CARNET DE SOUDURE'!$U$7:$U$3006,P861)="","",INDEX('CARNET DE SOUDURE'!$U$7:$U$3006,P861)))</f>
        <v>46289</v>
      </c>
      <c r="F861" s="82" t="str">
        <f aca="false">IF(OR(C861="",P861=""),"",INDEX('CARNET DE SOUDURE'!$AP$7:$AP$3006,P861))</f>
        <v/>
      </c>
      <c r="G861" s="82" t="str">
        <f aca="false">IF(C861="","",IF(P861="","NJ INCONNU",INDEX('CARNET DE SOUDURE'!$AQ$7:$AQ$3006,P861)))</f>
        <v>À RADIOGRAPHIER</v>
      </c>
      <c r="H861" s="82" t="str">
        <f aca="false">IF(C861="","",IF(G861="ACCEPTÉ","OUI","NON"))</f>
        <v>NON</v>
      </c>
      <c r="I861" s="83"/>
      <c r="J861" s="80"/>
      <c r="K861" s="81"/>
      <c r="L861" s="81"/>
      <c r="M861" s="81"/>
      <c r="N861" s="84" t="str">
        <f aca="false">IF(C861="","",IF(P861="","NJ INCONNU",IF(I861="",IF(H861="OUI","À ENROBER",IF(G861="À SOUDER","NON SOUDÉ","EN ATTENTE RT")),IF(L861="R","À REPRENDRE",IF(H861&lt;&gt;"OUI","⚠ ENROBÉ AVANT ACCEPTATION RT","ENROBÉ")))))</f>
        <v>EN ATTENTE RT</v>
      </c>
      <c r="O861" s="80"/>
      <c r="P861" s="82" t="n">
        <f aca="false">IF(C861="","",IFERROR(MATCH(Q861,'CARNET DE SOUDURE'!$AW$7:$AW$3006,0),""))</f>
        <v>855</v>
      </c>
      <c r="Q861" s="82" t="str">
        <f aca="false">IF(C861="","",B861&amp;"|"&amp;C861)</f>
        <v>MFD-ISW → MFD-CPF|JN°808</v>
      </c>
    </row>
    <row r="862" customFormat="false" ht="74.6" hidden="false" customHeight="false" outlineLevel="0" collapsed="false">
      <c r="A862" s="82" t="n">
        <f aca="false">IF(C862="","",ROW()-6)</f>
        <v>856</v>
      </c>
      <c r="B862" s="80" t="s">
        <v>110</v>
      </c>
      <c r="C862" s="113" t="s">
        <v>1000</v>
      </c>
      <c r="D862" s="82" t="str">
        <f aca="false">IF(OR(C862="",P862=""),"",INDEX('CARNET DE SOUDURE'!$D$7:$D$3006,P862)&amp;"")</f>
        <v>5</v>
      </c>
      <c r="E862" s="114" t="n">
        <f aca="false">IF(OR(C862="",P862=""),"",IF(INDEX('CARNET DE SOUDURE'!$U$7:$U$3006,P862)="","",INDEX('CARNET DE SOUDURE'!$U$7:$U$3006,P862)))</f>
        <v>46287</v>
      </c>
      <c r="F862" s="82" t="str">
        <f aca="false">IF(OR(C862="",P862=""),"",INDEX('CARNET DE SOUDURE'!$AP$7:$AP$3006,P862))</f>
        <v>A</v>
      </c>
      <c r="G862" s="82" t="str">
        <f aca="false">IF(C862="","",IF(P862="","NJ INCONNU",INDEX('CARNET DE SOUDURE'!$AQ$7:$AQ$3006,P862)))</f>
        <v>ACCEPTÉ</v>
      </c>
      <c r="H862" s="82" t="str">
        <f aca="false">IF(C862="","",IF(G862="ACCEPTÉ","OUI","NON"))</f>
        <v>OUI</v>
      </c>
      <c r="I862" s="83"/>
      <c r="J862" s="80"/>
      <c r="K862" s="81"/>
      <c r="L862" s="81"/>
      <c r="M862" s="81"/>
      <c r="N862" s="84" t="str">
        <f aca="false">IF(C862="","",IF(P862="","NJ INCONNU",IF(I862="",IF(H862="OUI","À ENROBER",IF(G862="À SOUDER","NON SOUDÉ","EN ATTENTE RT")),IF(L862="R","À REPRENDRE",IF(H862&lt;&gt;"OUI","⚠ ENROBÉ AVANT ACCEPTATION RT","ENROBÉ")))))</f>
        <v>À ENROBER</v>
      </c>
      <c r="O862" s="80"/>
      <c r="P862" s="82" t="n">
        <f aca="false">IF(C862="","",IFERROR(MATCH(Q862,'CARNET DE SOUDURE'!$AW$7:$AW$3006,0),""))</f>
        <v>856</v>
      </c>
      <c r="Q862" s="82" t="str">
        <f aca="false">IF(C862="","",B862&amp;"|"&amp;C862)</f>
        <v>MFD-ISW → MFD-CPF|DJ°492</v>
      </c>
    </row>
    <row r="863" customFormat="false" ht="74.6" hidden="false" customHeight="false" outlineLevel="0" collapsed="false">
      <c r="A863" s="82" t="n">
        <f aca="false">IF(C863="","",ROW()-6)</f>
        <v>857</v>
      </c>
      <c r="B863" s="80" t="s">
        <v>110</v>
      </c>
      <c r="C863" s="113" t="s">
        <v>1001</v>
      </c>
      <c r="D863" s="82" t="str">
        <f aca="false">IF(OR(C863="",P863=""),"",INDEX('CARNET DE SOUDURE'!$D$7:$D$3006,P863)&amp;"")</f>
        <v>5</v>
      </c>
      <c r="E863" s="114" t="n">
        <f aca="false">IF(OR(C863="",P863=""),"",IF(INDEX('CARNET DE SOUDURE'!$U$7:$U$3006,P863)="","",INDEX('CARNET DE SOUDURE'!$U$7:$U$3006,P863)))</f>
        <v>46289</v>
      </c>
      <c r="F863" s="82" t="str">
        <f aca="false">IF(OR(C863="",P863=""),"",INDEX('CARNET DE SOUDURE'!$AP$7:$AP$3006,P863))</f>
        <v/>
      </c>
      <c r="G863" s="82" t="str">
        <f aca="false">IF(C863="","",IF(P863="","NJ INCONNU",INDEX('CARNET DE SOUDURE'!$AQ$7:$AQ$3006,P863)))</f>
        <v>À RADIOGRAPHIER</v>
      </c>
      <c r="H863" s="82" t="str">
        <f aca="false">IF(C863="","",IF(G863="ACCEPTÉ","OUI","NON"))</f>
        <v>NON</v>
      </c>
      <c r="I863" s="83"/>
      <c r="J863" s="80"/>
      <c r="K863" s="81"/>
      <c r="L863" s="81"/>
      <c r="M863" s="81"/>
      <c r="N863" s="84" t="str">
        <f aca="false">IF(C863="","",IF(P863="","NJ INCONNU",IF(I863="",IF(H863="OUI","À ENROBER",IF(G863="À SOUDER","NON SOUDÉ","EN ATTENTE RT")),IF(L863="R","À REPRENDRE",IF(H863&lt;&gt;"OUI","⚠ ENROBÉ AVANT ACCEPTATION RT","ENROBÉ")))))</f>
        <v>EN ATTENTE RT</v>
      </c>
      <c r="O863" s="80"/>
      <c r="P863" s="82" t="n">
        <f aca="false">IF(C863="","",IFERROR(MATCH(Q863,'CARNET DE SOUDURE'!$AW$7:$AW$3006,0),""))</f>
        <v>857</v>
      </c>
      <c r="Q863" s="82" t="str">
        <f aca="false">IF(C863="","",B863&amp;"|"&amp;C863)</f>
        <v>MFD-ISW → MFD-CPF|JN°809</v>
      </c>
    </row>
    <row r="864" customFormat="false" ht="74.6" hidden="false" customHeight="false" outlineLevel="0" collapsed="false">
      <c r="A864" s="82" t="n">
        <f aca="false">IF(C864="","",ROW()-6)</f>
        <v>858</v>
      </c>
      <c r="B864" s="80" t="s">
        <v>110</v>
      </c>
      <c r="C864" s="113" t="s">
        <v>1002</v>
      </c>
      <c r="D864" s="82" t="str">
        <f aca="false">IF(OR(C864="",P864=""),"",INDEX('CARNET DE SOUDURE'!$D$7:$D$3006,P864)&amp;"")</f>
        <v>5</v>
      </c>
      <c r="E864" s="114" t="n">
        <f aca="false">IF(OR(C864="",P864=""),"",IF(INDEX('CARNET DE SOUDURE'!$U$7:$U$3006,P864)="","",INDEX('CARNET DE SOUDURE'!$U$7:$U$3006,P864)))</f>
        <v>46286</v>
      </c>
      <c r="F864" s="82" t="str">
        <f aca="false">IF(OR(C864="",P864=""),"",INDEX('CARNET DE SOUDURE'!$AP$7:$AP$3006,P864))</f>
        <v>A</v>
      </c>
      <c r="G864" s="82" t="str">
        <f aca="false">IF(C864="","",IF(P864="","NJ INCONNU",INDEX('CARNET DE SOUDURE'!$AQ$7:$AQ$3006,P864)))</f>
        <v>ACCEPTÉ</v>
      </c>
      <c r="H864" s="82" t="str">
        <f aca="false">IF(C864="","",IF(G864="ACCEPTÉ","OUI","NON"))</f>
        <v>OUI</v>
      </c>
      <c r="I864" s="83"/>
      <c r="J864" s="80"/>
      <c r="K864" s="81"/>
      <c r="L864" s="81"/>
      <c r="M864" s="81"/>
      <c r="N864" s="84" t="str">
        <f aca="false">IF(C864="","",IF(P864="","NJ INCONNU",IF(I864="",IF(H864="OUI","À ENROBER",IF(G864="À SOUDER","NON SOUDÉ","EN ATTENTE RT")),IF(L864="R","À REPRENDRE",IF(H864&lt;&gt;"OUI","⚠ ENROBÉ AVANT ACCEPTATION RT","ENROBÉ")))))</f>
        <v>À ENROBER</v>
      </c>
      <c r="O864" s="80"/>
      <c r="P864" s="82" t="n">
        <f aca="false">IF(C864="","",IFERROR(MATCH(Q864,'CARNET DE SOUDURE'!$AW$7:$AW$3006,0),""))</f>
        <v>858</v>
      </c>
      <c r="Q864" s="82" t="str">
        <f aca="false">IF(C864="","",B864&amp;"|"&amp;C864)</f>
        <v>MFD-ISW → MFD-CPF|DJ°474</v>
      </c>
    </row>
    <row r="865" customFormat="false" ht="74.6" hidden="false" customHeight="false" outlineLevel="0" collapsed="false">
      <c r="A865" s="82" t="n">
        <f aca="false">IF(C865="","",ROW()-6)</f>
        <v>859</v>
      </c>
      <c r="B865" s="80" t="s">
        <v>110</v>
      </c>
      <c r="C865" s="113" t="s">
        <v>1003</v>
      </c>
      <c r="D865" s="82" t="str">
        <f aca="false">IF(OR(C865="",P865=""),"",INDEX('CARNET DE SOUDURE'!$D$7:$D$3006,P865)&amp;"")</f>
        <v>5</v>
      </c>
      <c r="E865" s="114" t="n">
        <f aca="false">IF(OR(C865="",P865=""),"",IF(INDEX('CARNET DE SOUDURE'!$U$7:$U$3006,P865)="","",INDEX('CARNET DE SOUDURE'!$U$7:$U$3006,P865)))</f>
        <v>46289</v>
      </c>
      <c r="F865" s="82" t="str">
        <f aca="false">IF(OR(C865="",P865=""),"",INDEX('CARNET DE SOUDURE'!$AP$7:$AP$3006,P865))</f>
        <v/>
      </c>
      <c r="G865" s="82" t="str">
        <f aca="false">IF(C865="","",IF(P865="","NJ INCONNU",INDEX('CARNET DE SOUDURE'!$AQ$7:$AQ$3006,P865)))</f>
        <v>À RADIOGRAPHIER</v>
      </c>
      <c r="H865" s="82" t="str">
        <f aca="false">IF(C865="","",IF(G865="ACCEPTÉ","OUI","NON"))</f>
        <v>NON</v>
      </c>
      <c r="I865" s="83"/>
      <c r="J865" s="80"/>
      <c r="K865" s="81"/>
      <c r="L865" s="81"/>
      <c r="M865" s="81"/>
      <c r="N865" s="84" t="str">
        <f aca="false">IF(C865="","",IF(P865="","NJ INCONNU",IF(I865="",IF(H865="OUI","À ENROBER",IF(G865="À SOUDER","NON SOUDÉ","EN ATTENTE RT")),IF(L865="R","À REPRENDRE",IF(H865&lt;&gt;"OUI","⚠ ENROBÉ AVANT ACCEPTATION RT","ENROBÉ")))))</f>
        <v>EN ATTENTE RT</v>
      </c>
      <c r="O865" s="80"/>
      <c r="P865" s="82" t="n">
        <f aca="false">IF(C865="","",IFERROR(MATCH(Q865,'CARNET DE SOUDURE'!$AW$7:$AW$3006,0),""))</f>
        <v>859</v>
      </c>
      <c r="Q865" s="82" t="str">
        <f aca="false">IF(C865="","",B865&amp;"|"&amp;C865)</f>
        <v>MFD-ISW → MFD-CPF|JN°810</v>
      </c>
    </row>
    <row r="866" customFormat="false" ht="74.6" hidden="false" customHeight="false" outlineLevel="0" collapsed="false">
      <c r="A866" s="82" t="n">
        <f aca="false">IF(C866="","",ROW()-6)</f>
        <v>860</v>
      </c>
      <c r="B866" s="80" t="s">
        <v>110</v>
      </c>
      <c r="C866" s="113" t="s">
        <v>1005</v>
      </c>
      <c r="D866" s="82" t="str">
        <f aca="false">IF(OR(C866="",P866=""),"",INDEX('CARNET DE SOUDURE'!$D$7:$D$3006,P866)&amp;"")</f>
        <v>5</v>
      </c>
      <c r="E866" s="114" t="n">
        <f aca="false">IF(OR(C866="",P866=""),"",IF(INDEX('CARNET DE SOUDURE'!$U$7:$U$3006,P866)="","",INDEX('CARNET DE SOUDURE'!$U$7:$U$3006,P866)))</f>
        <v>46286</v>
      </c>
      <c r="F866" s="82" t="str">
        <f aca="false">IF(OR(C866="",P866=""),"",INDEX('CARNET DE SOUDURE'!$AP$7:$AP$3006,P866))</f>
        <v>A</v>
      </c>
      <c r="G866" s="82" t="str">
        <f aca="false">IF(C866="","",IF(P866="","NJ INCONNU",INDEX('CARNET DE SOUDURE'!$AQ$7:$AQ$3006,P866)))</f>
        <v>ACCEPTÉ</v>
      </c>
      <c r="H866" s="82" t="str">
        <f aca="false">IF(C866="","",IF(G866="ACCEPTÉ","OUI","NON"))</f>
        <v>OUI</v>
      </c>
      <c r="I866" s="83"/>
      <c r="J866" s="80"/>
      <c r="K866" s="81"/>
      <c r="L866" s="81"/>
      <c r="M866" s="81"/>
      <c r="N866" s="84" t="str">
        <f aca="false">IF(C866="","",IF(P866="","NJ INCONNU",IF(I866="",IF(H866="OUI","À ENROBER",IF(G866="À SOUDER","NON SOUDÉ","EN ATTENTE RT")),IF(L866="R","À REPRENDRE",IF(H866&lt;&gt;"OUI","⚠ ENROBÉ AVANT ACCEPTATION RT","ENROBÉ")))))</f>
        <v>À ENROBER</v>
      </c>
      <c r="O866" s="80"/>
      <c r="P866" s="82" t="n">
        <f aca="false">IF(C866="","",IFERROR(MATCH(Q866,'CARNET DE SOUDURE'!$AW$7:$AW$3006,0),""))</f>
        <v>860</v>
      </c>
      <c r="Q866" s="82" t="str">
        <f aca="false">IF(C866="","",B866&amp;"|"&amp;C866)</f>
        <v>MFD-ISW → MFD-CPF|DJ°469</v>
      </c>
    </row>
    <row r="867" customFormat="false" ht="74.6" hidden="false" customHeight="false" outlineLevel="0" collapsed="false">
      <c r="A867" s="82" t="n">
        <f aca="false">IF(C867="","",ROW()-6)</f>
        <v>861</v>
      </c>
      <c r="B867" s="80" t="s">
        <v>110</v>
      </c>
      <c r="C867" s="113" t="s">
        <v>1006</v>
      </c>
      <c r="D867" s="82" t="str">
        <f aca="false">IF(OR(C867="",P867=""),"",INDEX('CARNET DE SOUDURE'!$D$7:$D$3006,P867)&amp;"")</f>
        <v>5</v>
      </c>
      <c r="E867" s="114" t="n">
        <f aca="false">IF(OR(C867="",P867=""),"",IF(INDEX('CARNET DE SOUDURE'!$U$7:$U$3006,P867)="","",INDEX('CARNET DE SOUDURE'!$U$7:$U$3006,P867)))</f>
        <v>46288</v>
      </c>
      <c r="F867" s="82" t="str">
        <f aca="false">IF(OR(C867="",P867=""),"",INDEX('CARNET DE SOUDURE'!$AP$7:$AP$3006,P867))</f>
        <v/>
      </c>
      <c r="G867" s="82" t="str">
        <f aca="false">IF(C867="","",IF(P867="","NJ INCONNU",INDEX('CARNET DE SOUDURE'!$AQ$7:$AQ$3006,P867)))</f>
        <v>À RADIOGRAPHIER</v>
      </c>
      <c r="H867" s="82" t="str">
        <f aca="false">IF(C867="","",IF(G867="ACCEPTÉ","OUI","NON"))</f>
        <v>NON</v>
      </c>
      <c r="I867" s="83"/>
      <c r="J867" s="80"/>
      <c r="K867" s="81"/>
      <c r="L867" s="81"/>
      <c r="M867" s="81"/>
      <c r="N867" s="84" t="str">
        <f aca="false">IF(C867="","",IF(P867="","NJ INCONNU",IF(I867="",IF(H867="OUI","À ENROBER",IF(G867="À SOUDER","NON SOUDÉ","EN ATTENTE RT")),IF(L867="R","À REPRENDRE",IF(H867&lt;&gt;"OUI","⚠ ENROBÉ AVANT ACCEPTATION RT","ENROBÉ")))))</f>
        <v>EN ATTENTE RT</v>
      </c>
      <c r="O867" s="80"/>
      <c r="P867" s="82" t="n">
        <f aca="false">IF(C867="","",IFERROR(MATCH(Q867,'CARNET DE SOUDURE'!$AW$7:$AW$3006,0),""))</f>
        <v>861</v>
      </c>
      <c r="Q867" s="82" t="str">
        <f aca="false">IF(C867="","",B867&amp;"|"&amp;C867)</f>
        <v>MFD-ISW → MFD-CPF|JN°811</v>
      </c>
    </row>
    <row r="868" customFormat="false" ht="74.6" hidden="false" customHeight="false" outlineLevel="0" collapsed="false">
      <c r="A868" s="82" t="n">
        <f aca="false">IF(C868="","",ROW()-6)</f>
        <v>862</v>
      </c>
      <c r="B868" s="80" t="s">
        <v>110</v>
      </c>
      <c r="C868" s="113" t="s">
        <v>1008</v>
      </c>
      <c r="D868" s="82" t="str">
        <f aca="false">IF(OR(C868="",P868=""),"",INDEX('CARNET DE SOUDURE'!$D$7:$D$3006,P868)&amp;"")</f>
        <v>5</v>
      </c>
      <c r="E868" s="114" t="n">
        <f aca="false">IF(OR(C868="",P868=""),"",IF(INDEX('CARNET DE SOUDURE'!$U$7:$U$3006,P868)="","",INDEX('CARNET DE SOUDURE'!$U$7:$U$3006,P868)))</f>
        <v>46286</v>
      </c>
      <c r="F868" s="82" t="str">
        <f aca="false">IF(OR(C868="",P868=""),"",INDEX('CARNET DE SOUDURE'!$AP$7:$AP$3006,P868))</f>
        <v>A</v>
      </c>
      <c r="G868" s="82" t="str">
        <f aca="false">IF(C868="","",IF(P868="","NJ INCONNU",INDEX('CARNET DE SOUDURE'!$AQ$7:$AQ$3006,P868)))</f>
        <v>ACCEPTÉ</v>
      </c>
      <c r="H868" s="82" t="str">
        <f aca="false">IF(C868="","",IF(G868="ACCEPTÉ","OUI","NON"))</f>
        <v>OUI</v>
      </c>
      <c r="I868" s="83"/>
      <c r="J868" s="80"/>
      <c r="K868" s="81"/>
      <c r="L868" s="81"/>
      <c r="M868" s="81"/>
      <c r="N868" s="84" t="str">
        <f aca="false">IF(C868="","",IF(P868="","NJ INCONNU",IF(I868="",IF(H868="OUI","À ENROBER",IF(G868="À SOUDER","NON SOUDÉ","EN ATTENTE RT")),IF(L868="R","À REPRENDRE",IF(H868&lt;&gt;"OUI","⚠ ENROBÉ AVANT ACCEPTATION RT","ENROBÉ")))))</f>
        <v>À ENROBER</v>
      </c>
      <c r="O868" s="80"/>
      <c r="P868" s="82" t="n">
        <f aca="false">IF(C868="","",IFERROR(MATCH(Q868,'CARNET DE SOUDURE'!$AW$7:$AW$3006,0),""))</f>
        <v>862</v>
      </c>
      <c r="Q868" s="82" t="str">
        <f aca="false">IF(C868="","",B868&amp;"|"&amp;C868)</f>
        <v>MFD-ISW → MFD-CPF|DJ°472</v>
      </c>
    </row>
    <row r="869" customFormat="false" ht="74.6" hidden="false" customHeight="false" outlineLevel="0" collapsed="false">
      <c r="A869" s="82" t="n">
        <f aca="false">IF(C869="","",ROW()-6)</f>
        <v>863</v>
      </c>
      <c r="B869" s="80" t="s">
        <v>110</v>
      </c>
      <c r="C869" s="113" t="s">
        <v>1009</v>
      </c>
      <c r="D869" s="82" t="str">
        <f aca="false">IF(OR(C869="",P869=""),"",INDEX('CARNET DE SOUDURE'!$D$7:$D$3006,P869)&amp;"")</f>
        <v>5</v>
      </c>
      <c r="E869" s="114" t="n">
        <f aca="false">IF(OR(C869="",P869=""),"",IF(INDEX('CARNET DE SOUDURE'!$U$7:$U$3006,P869)="","",INDEX('CARNET DE SOUDURE'!$U$7:$U$3006,P869)))</f>
        <v>46288</v>
      </c>
      <c r="F869" s="82" t="str">
        <f aca="false">IF(OR(C869="",P869=""),"",INDEX('CARNET DE SOUDURE'!$AP$7:$AP$3006,P869))</f>
        <v/>
      </c>
      <c r="G869" s="82" t="str">
        <f aca="false">IF(C869="","",IF(P869="","NJ INCONNU",INDEX('CARNET DE SOUDURE'!$AQ$7:$AQ$3006,P869)))</f>
        <v>À RADIOGRAPHIER</v>
      </c>
      <c r="H869" s="82" t="str">
        <f aca="false">IF(C869="","",IF(G869="ACCEPTÉ","OUI","NON"))</f>
        <v>NON</v>
      </c>
      <c r="I869" s="83"/>
      <c r="J869" s="80"/>
      <c r="K869" s="81"/>
      <c r="L869" s="81"/>
      <c r="M869" s="81"/>
      <c r="N869" s="84" t="str">
        <f aca="false">IF(C869="","",IF(P869="","NJ INCONNU",IF(I869="",IF(H869="OUI","À ENROBER",IF(G869="À SOUDER","NON SOUDÉ","EN ATTENTE RT")),IF(L869="R","À REPRENDRE",IF(H869&lt;&gt;"OUI","⚠ ENROBÉ AVANT ACCEPTATION RT","ENROBÉ")))))</f>
        <v>EN ATTENTE RT</v>
      </c>
      <c r="O869" s="80"/>
      <c r="P869" s="82" t="n">
        <f aca="false">IF(C869="","",IFERROR(MATCH(Q869,'CARNET DE SOUDURE'!$AW$7:$AW$3006,0),""))</f>
        <v>863</v>
      </c>
      <c r="Q869" s="82" t="str">
        <f aca="false">IF(C869="","",B869&amp;"|"&amp;C869)</f>
        <v>MFD-ISW → MFD-CPF|JN°812</v>
      </c>
    </row>
    <row r="870" customFormat="false" ht="74.6" hidden="false" customHeight="false" outlineLevel="0" collapsed="false">
      <c r="A870" s="82" t="n">
        <f aca="false">IF(C870="","",ROW()-6)</f>
        <v>864</v>
      </c>
      <c r="B870" s="80" t="s">
        <v>110</v>
      </c>
      <c r="C870" s="113" t="s">
        <v>1010</v>
      </c>
      <c r="D870" s="82" t="str">
        <f aca="false">IF(OR(C870="",P870=""),"",INDEX('CARNET DE SOUDURE'!$D$7:$D$3006,P870)&amp;"")</f>
        <v>5</v>
      </c>
      <c r="E870" s="114" t="n">
        <f aca="false">IF(OR(C870="",P870=""),"",IF(INDEX('CARNET DE SOUDURE'!$U$7:$U$3006,P870)="","",INDEX('CARNET DE SOUDURE'!$U$7:$U$3006,P870)))</f>
        <v>46286</v>
      </c>
      <c r="F870" s="82" t="str">
        <f aca="false">IF(OR(C870="",P870=""),"",INDEX('CARNET DE SOUDURE'!$AP$7:$AP$3006,P870))</f>
        <v>A</v>
      </c>
      <c r="G870" s="82" t="str">
        <f aca="false">IF(C870="","",IF(P870="","NJ INCONNU",INDEX('CARNET DE SOUDURE'!$AQ$7:$AQ$3006,P870)))</f>
        <v>ACCEPTÉ</v>
      </c>
      <c r="H870" s="82" t="str">
        <f aca="false">IF(C870="","",IF(G870="ACCEPTÉ","OUI","NON"))</f>
        <v>OUI</v>
      </c>
      <c r="I870" s="83"/>
      <c r="J870" s="80"/>
      <c r="K870" s="81"/>
      <c r="L870" s="81"/>
      <c r="M870" s="81"/>
      <c r="N870" s="84" t="str">
        <f aca="false">IF(C870="","",IF(P870="","NJ INCONNU",IF(I870="",IF(H870="OUI","À ENROBER",IF(G870="À SOUDER","NON SOUDÉ","EN ATTENTE RT")),IF(L870="R","À REPRENDRE",IF(H870&lt;&gt;"OUI","⚠ ENROBÉ AVANT ACCEPTATION RT","ENROBÉ")))))</f>
        <v>À ENROBER</v>
      </c>
      <c r="O870" s="80"/>
      <c r="P870" s="82" t="n">
        <f aca="false">IF(C870="","",IFERROR(MATCH(Q870,'CARNET DE SOUDURE'!$AW$7:$AW$3006,0),""))</f>
        <v>864</v>
      </c>
      <c r="Q870" s="82" t="str">
        <f aca="false">IF(C870="","",B870&amp;"|"&amp;C870)</f>
        <v>MFD-ISW → MFD-CPF|DJ°467</v>
      </c>
    </row>
    <row r="871" customFormat="false" ht="74.6" hidden="false" customHeight="false" outlineLevel="0" collapsed="false">
      <c r="A871" s="82" t="n">
        <f aca="false">IF(C871="","",ROW()-6)</f>
        <v>865</v>
      </c>
      <c r="B871" s="80" t="s">
        <v>110</v>
      </c>
      <c r="C871" s="113" t="s">
        <v>1011</v>
      </c>
      <c r="D871" s="82" t="str">
        <f aca="false">IF(OR(C871="",P871=""),"",INDEX('CARNET DE SOUDURE'!$D$7:$D$3006,P871)&amp;"")</f>
        <v>5</v>
      </c>
      <c r="E871" s="114" t="n">
        <f aca="false">IF(OR(C871="",P871=""),"",IF(INDEX('CARNET DE SOUDURE'!$U$7:$U$3006,P871)="","",INDEX('CARNET DE SOUDURE'!$U$7:$U$3006,P871)))</f>
        <v>46288</v>
      </c>
      <c r="F871" s="82" t="str">
        <f aca="false">IF(OR(C871="",P871=""),"",INDEX('CARNET DE SOUDURE'!$AP$7:$AP$3006,P871))</f>
        <v/>
      </c>
      <c r="G871" s="82" t="str">
        <f aca="false">IF(C871="","",IF(P871="","NJ INCONNU",INDEX('CARNET DE SOUDURE'!$AQ$7:$AQ$3006,P871)))</f>
        <v>À RADIOGRAPHIER</v>
      </c>
      <c r="H871" s="82" t="str">
        <f aca="false">IF(C871="","",IF(G871="ACCEPTÉ","OUI","NON"))</f>
        <v>NON</v>
      </c>
      <c r="I871" s="83"/>
      <c r="J871" s="80"/>
      <c r="K871" s="81"/>
      <c r="L871" s="81"/>
      <c r="M871" s="81"/>
      <c r="N871" s="84" t="str">
        <f aca="false">IF(C871="","",IF(P871="","NJ INCONNU",IF(I871="",IF(H871="OUI","À ENROBER",IF(G871="À SOUDER","NON SOUDÉ","EN ATTENTE RT")),IF(L871="R","À REPRENDRE",IF(H871&lt;&gt;"OUI","⚠ ENROBÉ AVANT ACCEPTATION RT","ENROBÉ")))))</f>
        <v>EN ATTENTE RT</v>
      </c>
      <c r="O871" s="80"/>
      <c r="P871" s="82" t="n">
        <f aca="false">IF(C871="","",IFERROR(MATCH(Q871,'CARNET DE SOUDURE'!$AW$7:$AW$3006,0),""))</f>
        <v>865</v>
      </c>
      <c r="Q871" s="82" t="str">
        <f aca="false">IF(C871="","",B871&amp;"|"&amp;C871)</f>
        <v>MFD-ISW → MFD-CPF|JN°813</v>
      </c>
    </row>
    <row r="872" customFormat="false" ht="74.6" hidden="false" customHeight="false" outlineLevel="0" collapsed="false">
      <c r="A872" s="82" t="n">
        <f aca="false">IF(C872="","",ROW()-6)</f>
        <v>866</v>
      </c>
      <c r="B872" s="80" t="s">
        <v>110</v>
      </c>
      <c r="C872" s="113" t="s">
        <v>1012</v>
      </c>
      <c r="D872" s="82" t="str">
        <f aca="false">IF(OR(C872="",P872=""),"",INDEX('CARNET DE SOUDURE'!$D$7:$D$3006,P872)&amp;"")</f>
        <v>5</v>
      </c>
      <c r="E872" s="114" t="n">
        <f aca="false">IF(OR(C872="",P872=""),"",IF(INDEX('CARNET DE SOUDURE'!$U$7:$U$3006,P872)="","",INDEX('CARNET DE SOUDURE'!$U$7:$U$3006,P872)))</f>
        <v>46286</v>
      </c>
      <c r="F872" s="82" t="str">
        <f aca="false">IF(OR(C872="",P872=""),"",INDEX('CARNET DE SOUDURE'!$AP$7:$AP$3006,P872))</f>
        <v>A</v>
      </c>
      <c r="G872" s="82" t="str">
        <f aca="false">IF(C872="","",IF(P872="","NJ INCONNU",INDEX('CARNET DE SOUDURE'!$AQ$7:$AQ$3006,P872)))</f>
        <v>ACCEPTÉ</v>
      </c>
      <c r="H872" s="82" t="str">
        <f aca="false">IF(C872="","",IF(G872="ACCEPTÉ","OUI","NON"))</f>
        <v>OUI</v>
      </c>
      <c r="I872" s="83"/>
      <c r="J872" s="80"/>
      <c r="K872" s="81"/>
      <c r="L872" s="81"/>
      <c r="M872" s="81"/>
      <c r="N872" s="84" t="str">
        <f aca="false">IF(C872="","",IF(P872="","NJ INCONNU",IF(I872="",IF(H872="OUI","À ENROBER",IF(G872="À SOUDER","NON SOUDÉ","EN ATTENTE RT")),IF(L872="R","À REPRENDRE",IF(H872&lt;&gt;"OUI","⚠ ENROBÉ AVANT ACCEPTATION RT","ENROBÉ")))))</f>
        <v>À ENROBER</v>
      </c>
      <c r="O872" s="80"/>
      <c r="P872" s="82" t="n">
        <f aca="false">IF(C872="","",IFERROR(MATCH(Q872,'CARNET DE SOUDURE'!$AW$7:$AW$3006,0),""))</f>
        <v>866</v>
      </c>
      <c r="Q872" s="82" t="str">
        <f aca="false">IF(C872="","",B872&amp;"|"&amp;C872)</f>
        <v>MFD-ISW → MFD-CPF|DJ°468</v>
      </c>
    </row>
    <row r="873" customFormat="false" ht="74.6" hidden="false" customHeight="false" outlineLevel="0" collapsed="false">
      <c r="A873" s="82" t="n">
        <f aca="false">IF(C873="","",ROW()-6)</f>
        <v>867</v>
      </c>
      <c r="B873" s="80" t="s">
        <v>110</v>
      </c>
      <c r="C873" s="113" t="s">
        <v>1013</v>
      </c>
      <c r="D873" s="82" t="str">
        <f aca="false">IF(OR(C873="",P873=""),"",INDEX('CARNET DE SOUDURE'!$D$7:$D$3006,P873)&amp;"")</f>
        <v>5</v>
      </c>
      <c r="E873" s="114" t="n">
        <f aca="false">IF(OR(C873="",P873=""),"",IF(INDEX('CARNET DE SOUDURE'!$U$7:$U$3006,P873)="","",INDEX('CARNET DE SOUDURE'!$U$7:$U$3006,P873)))</f>
        <v>46287</v>
      </c>
      <c r="F873" s="82" t="str">
        <f aca="false">IF(OR(C873="",P873=""),"",INDEX('CARNET DE SOUDURE'!$AP$7:$AP$3006,P873))</f>
        <v/>
      </c>
      <c r="G873" s="82" t="str">
        <f aca="false">IF(C873="","",IF(P873="","NJ INCONNU",INDEX('CARNET DE SOUDURE'!$AQ$7:$AQ$3006,P873)))</f>
        <v>À RADIOGRAPHIER</v>
      </c>
      <c r="H873" s="82" t="str">
        <f aca="false">IF(C873="","",IF(G873="ACCEPTÉ","OUI","NON"))</f>
        <v>NON</v>
      </c>
      <c r="I873" s="83"/>
      <c r="J873" s="80"/>
      <c r="K873" s="81"/>
      <c r="L873" s="81"/>
      <c r="M873" s="81"/>
      <c r="N873" s="84" t="str">
        <f aca="false">IF(C873="","",IF(P873="","NJ INCONNU",IF(I873="",IF(H873="OUI","À ENROBER",IF(G873="À SOUDER","NON SOUDÉ","EN ATTENTE RT")),IF(L873="R","À REPRENDRE",IF(H873&lt;&gt;"OUI","⚠ ENROBÉ AVANT ACCEPTATION RT","ENROBÉ")))))</f>
        <v>EN ATTENTE RT</v>
      </c>
      <c r="O873" s="80"/>
      <c r="P873" s="82" t="n">
        <f aca="false">IF(C873="","",IFERROR(MATCH(Q873,'CARNET DE SOUDURE'!$AW$7:$AW$3006,0),""))</f>
        <v>867</v>
      </c>
      <c r="Q873" s="82" t="str">
        <f aca="false">IF(C873="","",B873&amp;"|"&amp;C873)</f>
        <v>MFD-ISW → MFD-CPF|JN°814</v>
      </c>
    </row>
    <row r="874" customFormat="false" ht="74.6" hidden="false" customHeight="false" outlineLevel="0" collapsed="false">
      <c r="A874" s="82" t="n">
        <f aca="false">IF(C874="","",ROW()-6)</f>
        <v>868</v>
      </c>
      <c r="B874" s="80" t="s">
        <v>110</v>
      </c>
      <c r="C874" s="113" t="s">
        <v>1014</v>
      </c>
      <c r="D874" s="82" t="str">
        <f aca="false">IF(OR(C874="",P874=""),"",INDEX('CARNET DE SOUDURE'!$D$7:$D$3006,P874)&amp;"")</f>
        <v>5</v>
      </c>
      <c r="E874" s="114" t="n">
        <f aca="false">IF(OR(C874="",P874=""),"",IF(INDEX('CARNET DE SOUDURE'!$U$7:$U$3006,P874)="","",INDEX('CARNET DE SOUDURE'!$U$7:$U$3006,P874)))</f>
        <v>46286</v>
      </c>
      <c r="F874" s="82" t="str">
        <f aca="false">IF(OR(C874="",P874=""),"",INDEX('CARNET DE SOUDURE'!$AP$7:$AP$3006,P874))</f>
        <v>A</v>
      </c>
      <c r="G874" s="82" t="str">
        <f aca="false">IF(C874="","",IF(P874="","NJ INCONNU",INDEX('CARNET DE SOUDURE'!$AQ$7:$AQ$3006,P874)))</f>
        <v>ACCEPTÉ</v>
      </c>
      <c r="H874" s="82" t="str">
        <f aca="false">IF(C874="","",IF(G874="ACCEPTÉ","OUI","NON"))</f>
        <v>OUI</v>
      </c>
      <c r="I874" s="83"/>
      <c r="J874" s="80"/>
      <c r="K874" s="81"/>
      <c r="L874" s="81"/>
      <c r="M874" s="81"/>
      <c r="N874" s="84" t="str">
        <f aca="false">IF(C874="","",IF(P874="","NJ INCONNU",IF(I874="",IF(H874="OUI","À ENROBER",IF(G874="À SOUDER","NON SOUDÉ","EN ATTENTE RT")),IF(L874="R","À REPRENDRE",IF(H874&lt;&gt;"OUI","⚠ ENROBÉ AVANT ACCEPTATION RT","ENROBÉ")))))</f>
        <v>À ENROBER</v>
      </c>
      <c r="O874" s="80"/>
      <c r="P874" s="82" t="n">
        <f aca="false">IF(C874="","",IFERROR(MATCH(Q874,'CARNET DE SOUDURE'!$AW$7:$AW$3006,0),""))</f>
        <v>868</v>
      </c>
      <c r="Q874" s="82" t="str">
        <f aca="false">IF(C874="","",B874&amp;"|"&amp;C874)</f>
        <v>MFD-ISW → MFD-CPF|DJ°475</v>
      </c>
    </row>
    <row r="875" customFormat="false" ht="74.6" hidden="false" customHeight="false" outlineLevel="0" collapsed="false">
      <c r="A875" s="82" t="n">
        <f aca="false">IF(C875="","",ROW()-6)</f>
        <v>869</v>
      </c>
      <c r="B875" s="80" t="s">
        <v>110</v>
      </c>
      <c r="C875" s="113" t="s">
        <v>1015</v>
      </c>
      <c r="D875" s="82" t="str">
        <f aca="false">IF(OR(C875="",P875=""),"",INDEX('CARNET DE SOUDURE'!$D$7:$D$3006,P875)&amp;"")</f>
        <v>5</v>
      </c>
      <c r="E875" s="114" t="n">
        <f aca="false">IF(OR(C875="",P875=""),"",IF(INDEX('CARNET DE SOUDURE'!$U$7:$U$3006,P875)="","",INDEX('CARNET DE SOUDURE'!$U$7:$U$3006,P875)))</f>
        <v>46287</v>
      </c>
      <c r="F875" s="82" t="str">
        <f aca="false">IF(OR(C875="",P875=""),"",INDEX('CARNET DE SOUDURE'!$AP$7:$AP$3006,P875))</f>
        <v/>
      </c>
      <c r="G875" s="82" t="str">
        <f aca="false">IF(C875="","",IF(P875="","NJ INCONNU",INDEX('CARNET DE SOUDURE'!$AQ$7:$AQ$3006,P875)))</f>
        <v>À RADIOGRAPHIER</v>
      </c>
      <c r="H875" s="82" t="str">
        <f aca="false">IF(C875="","",IF(G875="ACCEPTÉ","OUI","NON"))</f>
        <v>NON</v>
      </c>
      <c r="I875" s="83"/>
      <c r="J875" s="80"/>
      <c r="K875" s="81"/>
      <c r="L875" s="81"/>
      <c r="M875" s="81"/>
      <c r="N875" s="84" t="str">
        <f aca="false">IF(C875="","",IF(P875="","NJ INCONNU",IF(I875="",IF(H875="OUI","À ENROBER",IF(G875="À SOUDER","NON SOUDÉ","EN ATTENTE RT")),IF(L875="R","À REPRENDRE",IF(H875&lt;&gt;"OUI","⚠ ENROBÉ AVANT ACCEPTATION RT","ENROBÉ")))))</f>
        <v>EN ATTENTE RT</v>
      </c>
      <c r="O875" s="80"/>
      <c r="P875" s="82" t="n">
        <f aca="false">IF(C875="","",IFERROR(MATCH(Q875,'CARNET DE SOUDURE'!$AW$7:$AW$3006,0),""))</f>
        <v>869</v>
      </c>
      <c r="Q875" s="82" t="str">
        <f aca="false">IF(C875="","",B875&amp;"|"&amp;C875)</f>
        <v>MFD-ISW → MFD-CPF|JN°815</v>
      </c>
    </row>
    <row r="876" customFormat="false" ht="74.6" hidden="false" customHeight="false" outlineLevel="0" collapsed="false">
      <c r="A876" s="82" t="n">
        <f aca="false">IF(C876="","",ROW()-6)</f>
        <v>870</v>
      </c>
      <c r="B876" s="80" t="s">
        <v>110</v>
      </c>
      <c r="C876" s="113" t="s">
        <v>1017</v>
      </c>
      <c r="D876" s="82" t="str">
        <f aca="false">IF(OR(C876="",P876=""),"",INDEX('CARNET DE SOUDURE'!$D$7:$D$3006,P876)&amp;"")</f>
        <v>5</v>
      </c>
      <c r="E876" s="114" t="n">
        <f aca="false">IF(OR(C876="",P876=""),"",IF(INDEX('CARNET DE SOUDURE'!$U$7:$U$3006,P876)="","",INDEX('CARNET DE SOUDURE'!$U$7:$U$3006,P876)))</f>
        <v>46286</v>
      </c>
      <c r="F876" s="82" t="str">
        <f aca="false">IF(OR(C876="",P876=""),"",INDEX('CARNET DE SOUDURE'!$AP$7:$AP$3006,P876))</f>
        <v>A</v>
      </c>
      <c r="G876" s="82" t="str">
        <f aca="false">IF(C876="","",IF(P876="","NJ INCONNU",INDEX('CARNET DE SOUDURE'!$AQ$7:$AQ$3006,P876)))</f>
        <v>ACCEPTÉ</v>
      </c>
      <c r="H876" s="82" t="str">
        <f aca="false">IF(C876="","",IF(G876="ACCEPTÉ","OUI","NON"))</f>
        <v>OUI</v>
      </c>
      <c r="I876" s="83"/>
      <c r="J876" s="80"/>
      <c r="K876" s="81"/>
      <c r="L876" s="81"/>
      <c r="M876" s="81"/>
      <c r="N876" s="84" t="str">
        <f aca="false">IF(C876="","",IF(P876="","NJ INCONNU",IF(I876="",IF(H876="OUI","À ENROBER",IF(G876="À SOUDER","NON SOUDÉ","EN ATTENTE RT")),IF(L876="R","À REPRENDRE",IF(H876&lt;&gt;"OUI","⚠ ENROBÉ AVANT ACCEPTATION RT","ENROBÉ")))))</f>
        <v>À ENROBER</v>
      </c>
      <c r="O876" s="80"/>
      <c r="P876" s="82" t="n">
        <f aca="false">IF(C876="","",IFERROR(MATCH(Q876,'CARNET DE SOUDURE'!$AW$7:$AW$3006,0),""))</f>
        <v>870</v>
      </c>
      <c r="Q876" s="82" t="str">
        <f aca="false">IF(C876="","",B876&amp;"|"&amp;C876)</f>
        <v>MFD-ISW → MFD-CPF|DJ°470</v>
      </c>
    </row>
    <row r="877" customFormat="false" ht="74.6" hidden="false" customHeight="false" outlineLevel="0" collapsed="false">
      <c r="A877" s="82" t="n">
        <f aca="false">IF(C877="","",ROW()-6)</f>
        <v>871</v>
      </c>
      <c r="B877" s="80" t="s">
        <v>110</v>
      </c>
      <c r="C877" s="113" t="s">
        <v>1018</v>
      </c>
      <c r="D877" s="82" t="str">
        <f aca="false">IF(OR(C877="",P877=""),"",INDEX('CARNET DE SOUDURE'!$D$7:$D$3006,P877)&amp;"")</f>
        <v>5</v>
      </c>
      <c r="E877" s="114" t="n">
        <f aca="false">IF(OR(C877="",P877=""),"",IF(INDEX('CARNET DE SOUDURE'!$U$7:$U$3006,P877)="","",INDEX('CARNET DE SOUDURE'!$U$7:$U$3006,P877)))</f>
        <v>46287</v>
      </c>
      <c r="F877" s="82" t="str">
        <f aca="false">IF(OR(C877="",P877=""),"",INDEX('CARNET DE SOUDURE'!$AP$7:$AP$3006,P877))</f>
        <v/>
      </c>
      <c r="G877" s="82" t="str">
        <f aca="false">IF(C877="","",IF(P877="","NJ INCONNU",INDEX('CARNET DE SOUDURE'!$AQ$7:$AQ$3006,P877)))</f>
        <v>À RADIOGRAPHIER</v>
      </c>
      <c r="H877" s="82" t="str">
        <f aca="false">IF(C877="","",IF(G877="ACCEPTÉ","OUI","NON"))</f>
        <v>NON</v>
      </c>
      <c r="I877" s="83"/>
      <c r="J877" s="80"/>
      <c r="K877" s="81"/>
      <c r="L877" s="81"/>
      <c r="M877" s="81"/>
      <c r="N877" s="84" t="str">
        <f aca="false">IF(C877="","",IF(P877="","NJ INCONNU",IF(I877="",IF(H877="OUI","À ENROBER",IF(G877="À SOUDER","NON SOUDÉ","EN ATTENTE RT")),IF(L877="R","À REPRENDRE",IF(H877&lt;&gt;"OUI","⚠ ENROBÉ AVANT ACCEPTATION RT","ENROBÉ")))))</f>
        <v>EN ATTENTE RT</v>
      </c>
      <c r="O877" s="80"/>
      <c r="P877" s="82" t="n">
        <f aca="false">IF(C877="","",IFERROR(MATCH(Q877,'CARNET DE SOUDURE'!$AW$7:$AW$3006,0),""))</f>
        <v>871</v>
      </c>
      <c r="Q877" s="82" t="str">
        <f aca="false">IF(C877="","",B877&amp;"|"&amp;C877)</f>
        <v>MFD-ISW → MFD-CPF|JN°816</v>
      </c>
    </row>
    <row r="878" customFormat="false" ht="74.6" hidden="false" customHeight="false" outlineLevel="0" collapsed="false">
      <c r="A878" s="82" t="n">
        <f aca="false">IF(C878="","",ROW()-6)</f>
        <v>872</v>
      </c>
      <c r="B878" s="80" t="s">
        <v>110</v>
      </c>
      <c r="C878" s="113" t="s">
        <v>1019</v>
      </c>
      <c r="D878" s="82" t="str">
        <f aca="false">IF(OR(C878="",P878=""),"",INDEX('CARNET DE SOUDURE'!$D$7:$D$3006,P878)&amp;"")</f>
        <v>5</v>
      </c>
      <c r="E878" s="114" t="n">
        <f aca="false">IF(OR(C878="",P878=""),"",IF(INDEX('CARNET DE SOUDURE'!$U$7:$U$3006,P878)="","",INDEX('CARNET DE SOUDURE'!$U$7:$U$3006,P878)))</f>
        <v>46286</v>
      </c>
      <c r="F878" s="82" t="str">
        <f aca="false">IF(OR(C878="",P878=""),"",INDEX('CARNET DE SOUDURE'!$AP$7:$AP$3006,P878))</f>
        <v>A</v>
      </c>
      <c r="G878" s="82" t="str">
        <f aca="false">IF(C878="","",IF(P878="","NJ INCONNU",INDEX('CARNET DE SOUDURE'!$AQ$7:$AQ$3006,P878)))</f>
        <v>ACCEPTÉ</v>
      </c>
      <c r="H878" s="82" t="str">
        <f aca="false">IF(C878="","",IF(G878="ACCEPTÉ","OUI","NON"))</f>
        <v>OUI</v>
      </c>
      <c r="I878" s="83"/>
      <c r="J878" s="80"/>
      <c r="K878" s="81"/>
      <c r="L878" s="81"/>
      <c r="M878" s="81"/>
      <c r="N878" s="84" t="str">
        <f aca="false">IF(C878="","",IF(P878="","NJ INCONNU",IF(I878="",IF(H878="OUI","À ENROBER",IF(G878="À SOUDER","NON SOUDÉ","EN ATTENTE RT")),IF(L878="R","À REPRENDRE",IF(H878&lt;&gt;"OUI","⚠ ENROBÉ AVANT ACCEPTATION RT","ENROBÉ")))))</f>
        <v>À ENROBER</v>
      </c>
      <c r="O878" s="80"/>
      <c r="P878" s="82" t="n">
        <f aca="false">IF(C878="","",IFERROR(MATCH(Q878,'CARNET DE SOUDURE'!$AW$7:$AW$3006,0),""))</f>
        <v>872</v>
      </c>
      <c r="Q878" s="82" t="str">
        <f aca="false">IF(C878="","",B878&amp;"|"&amp;C878)</f>
        <v>MFD-ISW → MFD-CPF|DJ°473</v>
      </c>
    </row>
    <row r="879" customFormat="false" ht="74.6" hidden="false" customHeight="false" outlineLevel="0" collapsed="false">
      <c r="A879" s="82" t="n">
        <f aca="false">IF(C879="","",ROW()-6)</f>
        <v>873</v>
      </c>
      <c r="B879" s="80" t="s">
        <v>110</v>
      </c>
      <c r="C879" s="113" t="s">
        <v>1020</v>
      </c>
      <c r="D879" s="82" t="str">
        <f aca="false">IF(OR(C879="",P879=""),"",INDEX('CARNET DE SOUDURE'!$D$7:$D$3006,P879)&amp;"")</f>
        <v>N-S</v>
      </c>
      <c r="E879" s="114" t="str">
        <f aca="false">IF(OR(C879="",P879=""),"",IF(INDEX('CARNET DE SOUDURE'!$U$7:$U$3006,P879)="","",INDEX('CARNET DE SOUDURE'!$U$7:$U$3006,P879)))</f>
        <v/>
      </c>
      <c r="F879" s="82" t="str">
        <f aca="false">IF(OR(C879="",P879=""),"",INDEX('CARNET DE SOUDURE'!$AP$7:$AP$3006,P879))</f>
        <v/>
      </c>
      <c r="G879" s="82" t="str">
        <f aca="false">IF(C879="","",IF(P879="","NJ INCONNU",INDEX('CARNET DE SOUDURE'!$AQ$7:$AQ$3006,P879)))</f>
        <v>À SOUDER</v>
      </c>
      <c r="H879" s="82" t="str">
        <f aca="false">IF(C879="","",IF(G879="ACCEPTÉ","OUI","NON"))</f>
        <v>NON</v>
      </c>
      <c r="I879" s="83"/>
      <c r="J879" s="80"/>
      <c r="K879" s="81"/>
      <c r="L879" s="81"/>
      <c r="M879" s="81"/>
      <c r="N879" s="84" t="str">
        <f aca="false">IF(C879="","",IF(P879="","NJ INCONNU",IF(I879="",IF(H879="OUI","À ENROBER",IF(G879="À SOUDER","NON SOUDÉ","EN ATTENTE RT")),IF(L879="R","À REPRENDRE",IF(H879&lt;&gt;"OUI","⚠ ENROBÉ AVANT ACCEPTATION RT","ENROBÉ")))))</f>
        <v>NON SOUDÉ</v>
      </c>
      <c r="O879" s="80"/>
      <c r="P879" s="82" t="n">
        <f aca="false">IF(C879="","",IFERROR(MATCH(Q879,'CARNET DE SOUDURE'!$AW$7:$AW$3006,0),""))</f>
        <v>873</v>
      </c>
      <c r="Q879" s="82" t="str">
        <f aca="false">IF(C879="","",B879&amp;"|"&amp;C879)</f>
        <v>MFD-ISW → MFD-CPF|JN°817</v>
      </c>
    </row>
    <row r="880" customFormat="false" ht="74.6" hidden="false" customHeight="false" outlineLevel="0" collapsed="false">
      <c r="A880" s="82" t="n">
        <f aca="false">IF(C880="","",ROW()-6)</f>
        <v>874</v>
      </c>
      <c r="B880" s="80" t="s">
        <v>110</v>
      </c>
      <c r="C880" s="113" t="s">
        <v>1021</v>
      </c>
      <c r="D880" s="82" t="str">
        <f aca="false">IF(OR(C880="",P880=""),"",INDEX('CARNET DE SOUDURE'!$D$7:$D$3006,P880)&amp;"")</f>
        <v>N-S</v>
      </c>
      <c r="E880" s="114" t="str">
        <f aca="false">IF(OR(C880="",P880=""),"",IF(INDEX('CARNET DE SOUDURE'!$U$7:$U$3006,P880)="","",INDEX('CARNET DE SOUDURE'!$U$7:$U$3006,P880)))</f>
        <v/>
      </c>
      <c r="F880" s="82" t="str">
        <f aca="false">IF(OR(C880="",P880=""),"",INDEX('CARNET DE SOUDURE'!$AP$7:$AP$3006,P880))</f>
        <v/>
      </c>
      <c r="G880" s="82" t="str">
        <f aca="false">IF(C880="","",IF(P880="","NJ INCONNU",INDEX('CARNET DE SOUDURE'!$AQ$7:$AQ$3006,P880)))</f>
        <v>À SOUDER</v>
      </c>
      <c r="H880" s="82" t="str">
        <f aca="false">IF(C880="","",IF(G880="ACCEPTÉ","OUI","NON"))</f>
        <v>NON</v>
      </c>
      <c r="I880" s="83"/>
      <c r="J880" s="80"/>
      <c r="K880" s="81"/>
      <c r="L880" s="81"/>
      <c r="M880" s="81"/>
      <c r="N880" s="84" t="str">
        <f aca="false">IF(C880="","",IF(P880="","NJ INCONNU",IF(I880="",IF(H880="OUI","À ENROBER",IF(G880="À SOUDER","NON SOUDÉ","EN ATTENTE RT")),IF(L880="R","À REPRENDRE",IF(H880&lt;&gt;"OUI","⚠ ENROBÉ AVANT ACCEPTATION RT","ENROBÉ")))))</f>
        <v>NON SOUDÉ</v>
      </c>
      <c r="O880" s="80"/>
      <c r="P880" s="82" t="n">
        <f aca="false">IF(C880="","",IFERROR(MATCH(Q880,'CARNET DE SOUDURE'!$AW$7:$AW$3006,0),""))</f>
        <v>874</v>
      </c>
      <c r="Q880" s="82" t="str">
        <f aca="false">IF(C880="","",B880&amp;"|"&amp;C880)</f>
        <v>MFD-ISW → MFD-CPF|JN°818</v>
      </c>
    </row>
    <row r="881" customFormat="false" ht="74.6" hidden="false" customHeight="false" outlineLevel="0" collapsed="false">
      <c r="A881" s="82" t="n">
        <f aca="false">IF(C881="","",ROW()-6)</f>
        <v>875</v>
      </c>
      <c r="B881" s="80" t="s">
        <v>110</v>
      </c>
      <c r="C881" s="113" t="s">
        <v>1023</v>
      </c>
      <c r="D881" s="82" t="str">
        <f aca="false">IF(OR(C881="",P881=""),"",INDEX('CARNET DE SOUDURE'!$D$7:$D$3006,P881)&amp;"")</f>
        <v>5</v>
      </c>
      <c r="E881" s="114" t="n">
        <f aca="false">IF(OR(C881="",P881=""),"",IF(INDEX('CARNET DE SOUDURE'!$U$7:$U$3006,P881)="","",INDEX('CARNET DE SOUDURE'!$U$7:$U$3006,P881)))</f>
        <v>46285</v>
      </c>
      <c r="F881" s="82" t="str">
        <f aca="false">IF(OR(C881="",P881=""),"",INDEX('CARNET DE SOUDURE'!$AP$7:$AP$3006,P881))</f>
        <v>A</v>
      </c>
      <c r="G881" s="82" t="str">
        <f aca="false">IF(C881="","",IF(P881="","NJ INCONNU",INDEX('CARNET DE SOUDURE'!$AQ$7:$AQ$3006,P881)))</f>
        <v>ACCEPTÉ</v>
      </c>
      <c r="H881" s="82" t="str">
        <f aca="false">IF(C881="","",IF(G881="ACCEPTÉ","OUI","NON"))</f>
        <v>OUI</v>
      </c>
      <c r="I881" s="83"/>
      <c r="J881" s="80"/>
      <c r="K881" s="81"/>
      <c r="L881" s="81"/>
      <c r="M881" s="81"/>
      <c r="N881" s="84" t="str">
        <f aca="false">IF(C881="","",IF(P881="","NJ INCONNU",IF(I881="",IF(H881="OUI","À ENROBER",IF(G881="À SOUDER","NON SOUDÉ","EN ATTENTE RT")),IF(L881="R","À REPRENDRE",IF(H881&lt;&gt;"OUI","⚠ ENROBÉ AVANT ACCEPTATION RT","ENROBÉ")))))</f>
        <v>À ENROBER</v>
      </c>
      <c r="O881" s="80"/>
      <c r="P881" s="82" t="n">
        <f aca="false">IF(C881="","",IFERROR(MATCH(Q881,'CARNET DE SOUDURE'!$AW$7:$AW$3006,0),""))</f>
        <v>875</v>
      </c>
      <c r="Q881" s="82" t="str">
        <f aca="false">IF(C881="","",B881&amp;"|"&amp;C881)</f>
        <v>MFD-ISW → MFD-CPF|DJ°453</v>
      </c>
    </row>
    <row r="882" customFormat="false" ht="74.6" hidden="false" customHeight="false" outlineLevel="0" collapsed="false">
      <c r="A882" s="82" t="n">
        <f aca="false">IF(C882="","",ROW()-6)</f>
        <v>876</v>
      </c>
      <c r="B882" s="80" t="s">
        <v>110</v>
      </c>
      <c r="C882" s="113" t="s">
        <v>1026</v>
      </c>
      <c r="D882" s="82" t="str">
        <f aca="false">IF(OR(C882="",P882=""),"",INDEX('CARNET DE SOUDURE'!$D$7:$D$3006,P882)&amp;"")</f>
        <v>5</v>
      </c>
      <c r="E882" s="114" t="n">
        <f aca="false">IF(OR(C882="",P882=""),"",IF(INDEX('CARNET DE SOUDURE'!$U$7:$U$3006,P882)="","",INDEX('CARNET DE SOUDURE'!$U$7:$U$3006,P882)))</f>
        <v>46287</v>
      </c>
      <c r="F882" s="82" t="str">
        <f aca="false">IF(OR(C882="",P882=""),"",INDEX('CARNET DE SOUDURE'!$AP$7:$AP$3006,P882))</f>
        <v/>
      </c>
      <c r="G882" s="82" t="str">
        <f aca="false">IF(C882="","",IF(P882="","NJ INCONNU",INDEX('CARNET DE SOUDURE'!$AQ$7:$AQ$3006,P882)))</f>
        <v>À RADIOGRAPHIER</v>
      </c>
      <c r="H882" s="82" t="str">
        <f aca="false">IF(C882="","",IF(G882="ACCEPTÉ","OUI","NON"))</f>
        <v>NON</v>
      </c>
      <c r="I882" s="83"/>
      <c r="J882" s="80"/>
      <c r="K882" s="81"/>
      <c r="L882" s="81"/>
      <c r="M882" s="81"/>
      <c r="N882" s="84" t="str">
        <f aca="false">IF(C882="","",IF(P882="","NJ INCONNU",IF(I882="",IF(H882="OUI","À ENROBER",IF(G882="À SOUDER","NON SOUDÉ","EN ATTENTE RT")),IF(L882="R","À REPRENDRE",IF(H882&lt;&gt;"OUI","⚠ ENROBÉ AVANT ACCEPTATION RT","ENROBÉ")))))</f>
        <v>EN ATTENTE RT</v>
      </c>
      <c r="O882" s="80"/>
      <c r="P882" s="82" t="n">
        <f aca="false">IF(C882="","",IFERROR(MATCH(Q882,'CARNET DE SOUDURE'!$AW$7:$AW$3006,0),""))</f>
        <v>876</v>
      </c>
      <c r="Q882" s="82" t="str">
        <f aca="false">IF(C882="","",B882&amp;"|"&amp;C882)</f>
        <v>MFD-ISW → MFD-CPF|JN°819</v>
      </c>
    </row>
    <row r="883" customFormat="false" ht="74.6" hidden="false" customHeight="false" outlineLevel="0" collapsed="false">
      <c r="A883" s="82" t="n">
        <f aca="false">IF(C883="","",ROW()-6)</f>
        <v>877</v>
      </c>
      <c r="B883" s="80" t="s">
        <v>110</v>
      </c>
      <c r="C883" s="113" t="s">
        <v>1027</v>
      </c>
      <c r="D883" s="82" t="str">
        <f aca="false">IF(OR(C883="",P883=""),"",INDEX('CARNET DE SOUDURE'!$D$7:$D$3006,P883)&amp;"")</f>
        <v>5</v>
      </c>
      <c r="E883" s="114" t="n">
        <f aca="false">IF(OR(C883="",P883=""),"",IF(INDEX('CARNET DE SOUDURE'!$U$7:$U$3006,P883)="","",INDEX('CARNET DE SOUDURE'!$U$7:$U$3006,P883)))</f>
        <v>46285</v>
      </c>
      <c r="F883" s="82" t="str">
        <f aca="false">IF(OR(C883="",P883=""),"",INDEX('CARNET DE SOUDURE'!$AP$7:$AP$3006,P883))</f>
        <v>A</v>
      </c>
      <c r="G883" s="82" t="str">
        <f aca="false">IF(C883="","",IF(P883="","NJ INCONNU",INDEX('CARNET DE SOUDURE'!$AQ$7:$AQ$3006,P883)))</f>
        <v>ACCEPTÉ</v>
      </c>
      <c r="H883" s="82" t="str">
        <f aca="false">IF(C883="","",IF(G883="ACCEPTÉ","OUI","NON"))</f>
        <v>OUI</v>
      </c>
      <c r="I883" s="83"/>
      <c r="J883" s="80"/>
      <c r="K883" s="81"/>
      <c r="L883" s="81"/>
      <c r="M883" s="81"/>
      <c r="N883" s="84" t="str">
        <f aca="false">IF(C883="","",IF(P883="","NJ INCONNU",IF(I883="",IF(H883="OUI","À ENROBER",IF(G883="À SOUDER","NON SOUDÉ","EN ATTENTE RT")),IF(L883="R","À REPRENDRE",IF(H883&lt;&gt;"OUI","⚠ ENROBÉ AVANT ACCEPTATION RT","ENROBÉ")))))</f>
        <v>À ENROBER</v>
      </c>
      <c r="O883" s="80"/>
      <c r="P883" s="82" t="n">
        <f aca="false">IF(C883="","",IFERROR(MATCH(Q883,'CARNET DE SOUDURE'!$AW$7:$AW$3006,0),""))</f>
        <v>877</v>
      </c>
      <c r="Q883" s="82" t="str">
        <f aca="false">IF(C883="","",B883&amp;"|"&amp;C883)</f>
        <v>MFD-ISW → MFD-CPF|DJ°455</v>
      </c>
    </row>
    <row r="884" customFormat="false" ht="74.6" hidden="false" customHeight="false" outlineLevel="0" collapsed="false">
      <c r="A884" s="82" t="n">
        <f aca="false">IF(C884="","",ROW()-6)</f>
        <v>878</v>
      </c>
      <c r="B884" s="80" t="s">
        <v>110</v>
      </c>
      <c r="C884" s="113" t="s">
        <v>1029</v>
      </c>
      <c r="D884" s="82" t="str">
        <f aca="false">IF(OR(C884="",P884=""),"",INDEX('CARNET DE SOUDURE'!$D$7:$D$3006,P884)&amp;"")</f>
        <v>5</v>
      </c>
      <c r="E884" s="114" t="n">
        <f aca="false">IF(OR(C884="",P884=""),"",IF(INDEX('CARNET DE SOUDURE'!$U$7:$U$3006,P884)="","",INDEX('CARNET DE SOUDURE'!$U$7:$U$3006,P884)))</f>
        <v>46287</v>
      </c>
      <c r="F884" s="82" t="str">
        <f aca="false">IF(OR(C884="",P884=""),"",INDEX('CARNET DE SOUDURE'!$AP$7:$AP$3006,P884))</f>
        <v/>
      </c>
      <c r="G884" s="82" t="str">
        <f aca="false">IF(C884="","",IF(P884="","NJ INCONNU",INDEX('CARNET DE SOUDURE'!$AQ$7:$AQ$3006,P884)))</f>
        <v>À RADIOGRAPHIER</v>
      </c>
      <c r="H884" s="82" t="str">
        <f aca="false">IF(C884="","",IF(G884="ACCEPTÉ","OUI","NON"))</f>
        <v>NON</v>
      </c>
      <c r="I884" s="83"/>
      <c r="J884" s="80"/>
      <c r="K884" s="81"/>
      <c r="L884" s="81"/>
      <c r="M884" s="81"/>
      <c r="N884" s="84" t="str">
        <f aca="false">IF(C884="","",IF(P884="","NJ INCONNU",IF(I884="",IF(H884="OUI","À ENROBER",IF(G884="À SOUDER","NON SOUDÉ","EN ATTENTE RT")),IF(L884="R","À REPRENDRE",IF(H884&lt;&gt;"OUI","⚠ ENROBÉ AVANT ACCEPTATION RT","ENROBÉ")))))</f>
        <v>EN ATTENTE RT</v>
      </c>
      <c r="O884" s="80"/>
      <c r="P884" s="82" t="n">
        <f aca="false">IF(C884="","",IFERROR(MATCH(Q884,'CARNET DE SOUDURE'!$AW$7:$AW$3006,0),""))</f>
        <v>878</v>
      </c>
      <c r="Q884" s="82" t="str">
        <f aca="false">IF(C884="","",B884&amp;"|"&amp;C884)</f>
        <v>MFD-ISW → MFD-CPF|JN°820</v>
      </c>
    </row>
    <row r="885" customFormat="false" ht="74.6" hidden="false" customHeight="false" outlineLevel="0" collapsed="false">
      <c r="A885" s="82" t="n">
        <f aca="false">IF(C885="","",ROW()-6)</f>
        <v>879</v>
      </c>
      <c r="B885" s="80" t="s">
        <v>110</v>
      </c>
      <c r="C885" s="113" t="s">
        <v>1030</v>
      </c>
      <c r="D885" s="82" t="str">
        <f aca="false">IF(OR(C885="",P885=""),"",INDEX('CARNET DE SOUDURE'!$D$7:$D$3006,P885)&amp;"")</f>
        <v>5</v>
      </c>
      <c r="E885" s="114" t="n">
        <f aca="false">IF(OR(C885="",P885=""),"",IF(INDEX('CARNET DE SOUDURE'!$U$7:$U$3006,P885)="","",INDEX('CARNET DE SOUDURE'!$U$7:$U$3006,P885)))</f>
        <v>46285</v>
      </c>
      <c r="F885" s="82" t="str">
        <f aca="false">IF(OR(C885="",P885=""),"",INDEX('CARNET DE SOUDURE'!$AP$7:$AP$3006,P885))</f>
        <v>A</v>
      </c>
      <c r="G885" s="82" t="str">
        <f aca="false">IF(C885="","",IF(P885="","NJ INCONNU",INDEX('CARNET DE SOUDURE'!$AQ$7:$AQ$3006,P885)))</f>
        <v>ACCEPTÉ</v>
      </c>
      <c r="H885" s="82" t="str">
        <f aca="false">IF(C885="","",IF(G885="ACCEPTÉ","OUI","NON"))</f>
        <v>OUI</v>
      </c>
      <c r="I885" s="83"/>
      <c r="J885" s="80"/>
      <c r="K885" s="81"/>
      <c r="L885" s="81"/>
      <c r="M885" s="81"/>
      <c r="N885" s="84" t="str">
        <f aca="false">IF(C885="","",IF(P885="","NJ INCONNU",IF(I885="",IF(H885="OUI","À ENROBER",IF(G885="À SOUDER","NON SOUDÉ","EN ATTENTE RT")),IF(L885="R","À REPRENDRE",IF(H885&lt;&gt;"OUI","⚠ ENROBÉ AVANT ACCEPTATION RT","ENROBÉ")))))</f>
        <v>À ENROBER</v>
      </c>
      <c r="O885" s="80"/>
      <c r="P885" s="82" t="n">
        <f aca="false">IF(C885="","",IFERROR(MATCH(Q885,'CARNET DE SOUDURE'!$AW$7:$AW$3006,0),""))</f>
        <v>879</v>
      </c>
      <c r="Q885" s="82" t="str">
        <f aca="false">IF(C885="","",B885&amp;"|"&amp;C885)</f>
        <v>MFD-ISW → MFD-CPF|DJ°447</v>
      </c>
    </row>
    <row r="886" customFormat="false" ht="74.6" hidden="false" customHeight="false" outlineLevel="0" collapsed="false">
      <c r="A886" s="82" t="n">
        <f aca="false">IF(C886="","",ROW()-6)</f>
        <v>880</v>
      </c>
      <c r="B886" s="80" t="s">
        <v>110</v>
      </c>
      <c r="C886" s="113" t="s">
        <v>1031</v>
      </c>
      <c r="D886" s="82" t="str">
        <f aca="false">IF(OR(C886="",P886=""),"",INDEX('CARNET DE SOUDURE'!$D$7:$D$3006,P886)&amp;"")</f>
        <v>5</v>
      </c>
      <c r="E886" s="114" t="n">
        <f aca="false">IF(OR(C886="",P886=""),"",IF(INDEX('CARNET DE SOUDURE'!$U$7:$U$3006,P886)="","",INDEX('CARNET DE SOUDURE'!$U$7:$U$3006,P886)))</f>
        <v>46287</v>
      </c>
      <c r="F886" s="82" t="str">
        <f aca="false">IF(OR(C886="",P886=""),"",INDEX('CARNET DE SOUDURE'!$AP$7:$AP$3006,P886))</f>
        <v/>
      </c>
      <c r="G886" s="82" t="str">
        <f aca="false">IF(C886="","",IF(P886="","NJ INCONNU",INDEX('CARNET DE SOUDURE'!$AQ$7:$AQ$3006,P886)))</f>
        <v>À RADIOGRAPHIER</v>
      </c>
      <c r="H886" s="82" t="str">
        <f aca="false">IF(C886="","",IF(G886="ACCEPTÉ","OUI","NON"))</f>
        <v>NON</v>
      </c>
      <c r="I886" s="83"/>
      <c r="J886" s="80"/>
      <c r="K886" s="81"/>
      <c r="L886" s="81"/>
      <c r="M886" s="81"/>
      <c r="N886" s="84" t="str">
        <f aca="false">IF(C886="","",IF(P886="","NJ INCONNU",IF(I886="",IF(H886="OUI","À ENROBER",IF(G886="À SOUDER","NON SOUDÉ","EN ATTENTE RT")),IF(L886="R","À REPRENDRE",IF(H886&lt;&gt;"OUI","⚠ ENROBÉ AVANT ACCEPTATION RT","ENROBÉ")))))</f>
        <v>EN ATTENTE RT</v>
      </c>
      <c r="O886" s="80"/>
      <c r="P886" s="82" t="n">
        <f aca="false">IF(C886="","",IFERROR(MATCH(Q886,'CARNET DE SOUDURE'!$AW$7:$AW$3006,0),""))</f>
        <v>880</v>
      </c>
      <c r="Q886" s="82" t="str">
        <f aca="false">IF(C886="","",B886&amp;"|"&amp;C886)</f>
        <v>MFD-ISW → MFD-CPF|JN°821</v>
      </c>
    </row>
    <row r="887" customFormat="false" ht="74.6" hidden="false" customHeight="false" outlineLevel="0" collapsed="false">
      <c r="A887" s="82" t="n">
        <f aca="false">IF(C887="","",ROW()-6)</f>
        <v>881</v>
      </c>
      <c r="B887" s="80" t="s">
        <v>110</v>
      </c>
      <c r="C887" s="113" t="s">
        <v>1032</v>
      </c>
      <c r="D887" s="82" t="str">
        <f aca="false">IF(OR(C887="",P887=""),"",INDEX('CARNET DE SOUDURE'!$D$7:$D$3006,P887)&amp;"")</f>
        <v>5</v>
      </c>
      <c r="E887" s="114" t="n">
        <f aca="false">IF(OR(C887="",P887=""),"",IF(INDEX('CARNET DE SOUDURE'!$U$7:$U$3006,P887)="","",INDEX('CARNET DE SOUDURE'!$U$7:$U$3006,P887)))</f>
        <v>46285</v>
      </c>
      <c r="F887" s="82" t="str">
        <f aca="false">IF(OR(C887="",P887=""),"",INDEX('CARNET DE SOUDURE'!$AP$7:$AP$3006,P887))</f>
        <v>A</v>
      </c>
      <c r="G887" s="82" t="str">
        <f aca="false">IF(C887="","",IF(P887="","NJ INCONNU",INDEX('CARNET DE SOUDURE'!$AQ$7:$AQ$3006,P887)))</f>
        <v>ACCEPTÉ</v>
      </c>
      <c r="H887" s="82" t="str">
        <f aca="false">IF(C887="","",IF(G887="ACCEPTÉ","OUI","NON"))</f>
        <v>OUI</v>
      </c>
      <c r="I887" s="83"/>
      <c r="J887" s="80"/>
      <c r="K887" s="81"/>
      <c r="L887" s="81"/>
      <c r="M887" s="81"/>
      <c r="N887" s="84" t="str">
        <f aca="false">IF(C887="","",IF(P887="","NJ INCONNU",IF(I887="",IF(H887="OUI","À ENROBER",IF(G887="À SOUDER","NON SOUDÉ","EN ATTENTE RT")),IF(L887="R","À REPRENDRE",IF(H887&lt;&gt;"OUI","⚠ ENROBÉ AVANT ACCEPTATION RT","ENROBÉ")))))</f>
        <v>À ENROBER</v>
      </c>
      <c r="O887" s="80"/>
      <c r="P887" s="82" t="n">
        <f aca="false">IF(C887="","",IFERROR(MATCH(Q887,'CARNET DE SOUDURE'!$AW$7:$AW$3006,0),""))</f>
        <v>881</v>
      </c>
      <c r="Q887" s="82" t="str">
        <f aca="false">IF(C887="","",B887&amp;"|"&amp;C887)</f>
        <v>MFD-ISW → MFD-CPF|DJ°445</v>
      </c>
    </row>
    <row r="888" customFormat="false" ht="74.6" hidden="false" customHeight="false" outlineLevel="0" collapsed="false">
      <c r="A888" s="82" t="n">
        <f aca="false">IF(C888="","",ROW()-6)</f>
        <v>882</v>
      </c>
      <c r="B888" s="80" t="s">
        <v>110</v>
      </c>
      <c r="C888" s="113" t="s">
        <v>1033</v>
      </c>
      <c r="D888" s="82" t="str">
        <f aca="false">IF(OR(C888="",P888=""),"",INDEX('CARNET DE SOUDURE'!$D$7:$D$3006,P888)&amp;"")</f>
        <v>5</v>
      </c>
      <c r="E888" s="114" t="n">
        <f aca="false">IF(OR(C888="",P888=""),"",IF(INDEX('CARNET DE SOUDURE'!$U$7:$U$3006,P888)="","",INDEX('CARNET DE SOUDURE'!$U$7:$U$3006,P888)))</f>
        <v>46287</v>
      </c>
      <c r="F888" s="82" t="str">
        <f aca="false">IF(OR(C888="",P888=""),"",INDEX('CARNET DE SOUDURE'!$AP$7:$AP$3006,P888))</f>
        <v/>
      </c>
      <c r="G888" s="82" t="str">
        <f aca="false">IF(C888="","",IF(P888="","NJ INCONNU",INDEX('CARNET DE SOUDURE'!$AQ$7:$AQ$3006,P888)))</f>
        <v>À RADIOGRAPHIER</v>
      </c>
      <c r="H888" s="82" t="str">
        <f aca="false">IF(C888="","",IF(G888="ACCEPTÉ","OUI","NON"))</f>
        <v>NON</v>
      </c>
      <c r="I888" s="83"/>
      <c r="J888" s="80"/>
      <c r="K888" s="81"/>
      <c r="L888" s="81"/>
      <c r="M888" s="81"/>
      <c r="N888" s="84" t="str">
        <f aca="false">IF(C888="","",IF(P888="","NJ INCONNU",IF(I888="",IF(H888="OUI","À ENROBER",IF(G888="À SOUDER","NON SOUDÉ","EN ATTENTE RT")),IF(L888="R","À REPRENDRE",IF(H888&lt;&gt;"OUI","⚠ ENROBÉ AVANT ACCEPTATION RT","ENROBÉ")))))</f>
        <v>EN ATTENTE RT</v>
      </c>
      <c r="O888" s="80"/>
      <c r="P888" s="82" t="n">
        <f aca="false">IF(C888="","",IFERROR(MATCH(Q888,'CARNET DE SOUDURE'!$AW$7:$AW$3006,0),""))</f>
        <v>882</v>
      </c>
      <c r="Q888" s="82" t="str">
        <f aca="false">IF(C888="","",B888&amp;"|"&amp;C888)</f>
        <v>MFD-ISW → MFD-CPF|JN°822</v>
      </c>
    </row>
    <row r="889" customFormat="false" ht="74.6" hidden="false" customHeight="false" outlineLevel="0" collapsed="false">
      <c r="A889" s="82" t="n">
        <f aca="false">IF(C889="","",ROW()-6)</f>
        <v>883</v>
      </c>
      <c r="B889" s="80" t="s">
        <v>110</v>
      </c>
      <c r="C889" s="113" t="s">
        <v>1034</v>
      </c>
      <c r="D889" s="82" t="str">
        <f aca="false">IF(OR(C889="",P889=""),"",INDEX('CARNET DE SOUDURE'!$D$7:$D$3006,P889)&amp;"")</f>
        <v>5</v>
      </c>
      <c r="E889" s="114" t="n">
        <f aca="false">IF(OR(C889="",P889=""),"",IF(INDEX('CARNET DE SOUDURE'!$U$7:$U$3006,P889)="","",INDEX('CARNET DE SOUDURE'!$U$7:$U$3006,P889)))</f>
        <v>46284</v>
      </c>
      <c r="F889" s="82" t="str">
        <f aca="false">IF(OR(C889="",P889=""),"",INDEX('CARNET DE SOUDURE'!$AP$7:$AP$3006,P889))</f>
        <v>A</v>
      </c>
      <c r="G889" s="82" t="str">
        <f aca="false">IF(C889="","",IF(P889="","NJ INCONNU",INDEX('CARNET DE SOUDURE'!$AQ$7:$AQ$3006,P889)))</f>
        <v>ACCEPTÉ</v>
      </c>
      <c r="H889" s="82" t="str">
        <f aca="false">IF(C889="","",IF(G889="ACCEPTÉ","OUI","NON"))</f>
        <v>OUI</v>
      </c>
      <c r="I889" s="83"/>
      <c r="J889" s="80"/>
      <c r="K889" s="81"/>
      <c r="L889" s="81"/>
      <c r="M889" s="81"/>
      <c r="N889" s="84" t="str">
        <f aca="false">IF(C889="","",IF(P889="","NJ INCONNU",IF(I889="",IF(H889="OUI","À ENROBER",IF(G889="À SOUDER","NON SOUDÉ","EN ATTENTE RT")),IF(L889="R","À REPRENDRE",IF(H889&lt;&gt;"OUI","⚠ ENROBÉ AVANT ACCEPTATION RT","ENROBÉ")))))</f>
        <v>À ENROBER</v>
      </c>
      <c r="O889" s="80"/>
      <c r="P889" s="82" t="n">
        <f aca="false">IF(C889="","",IFERROR(MATCH(Q889,'CARNET DE SOUDURE'!$AW$7:$AW$3006,0),""))</f>
        <v>883</v>
      </c>
      <c r="Q889" s="82" t="str">
        <f aca="false">IF(C889="","",B889&amp;"|"&amp;C889)</f>
        <v>MFD-ISW → MFD-CPF|DJ°427</v>
      </c>
    </row>
    <row r="890" customFormat="false" ht="74.6" hidden="false" customHeight="false" outlineLevel="0" collapsed="false">
      <c r="A890" s="82" t="n">
        <f aca="false">IF(C890="","",ROW()-6)</f>
        <v>884</v>
      </c>
      <c r="B890" s="80" t="s">
        <v>110</v>
      </c>
      <c r="C890" s="113" t="s">
        <v>1035</v>
      </c>
      <c r="D890" s="82" t="str">
        <f aca="false">IF(OR(C890="",P890=""),"",INDEX('CARNET DE SOUDURE'!$D$7:$D$3006,P890)&amp;"")</f>
        <v>5</v>
      </c>
      <c r="E890" s="114" t="n">
        <f aca="false">IF(OR(C890="",P890=""),"",IF(INDEX('CARNET DE SOUDURE'!$U$7:$U$3006,P890)="","",INDEX('CARNET DE SOUDURE'!$U$7:$U$3006,P890)))</f>
        <v>46287</v>
      </c>
      <c r="F890" s="82" t="str">
        <f aca="false">IF(OR(C890="",P890=""),"",INDEX('CARNET DE SOUDURE'!$AP$7:$AP$3006,P890))</f>
        <v/>
      </c>
      <c r="G890" s="82" t="str">
        <f aca="false">IF(C890="","",IF(P890="","NJ INCONNU",INDEX('CARNET DE SOUDURE'!$AQ$7:$AQ$3006,P890)))</f>
        <v>À RADIOGRAPHIER</v>
      </c>
      <c r="H890" s="82" t="str">
        <f aca="false">IF(C890="","",IF(G890="ACCEPTÉ","OUI","NON"))</f>
        <v>NON</v>
      </c>
      <c r="I890" s="83"/>
      <c r="J890" s="80"/>
      <c r="K890" s="81"/>
      <c r="L890" s="81"/>
      <c r="M890" s="81"/>
      <c r="N890" s="84" t="str">
        <f aca="false">IF(C890="","",IF(P890="","NJ INCONNU",IF(I890="",IF(H890="OUI","À ENROBER",IF(G890="À SOUDER","NON SOUDÉ","EN ATTENTE RT")),IF(L890="R","À REPRENDRE",IF(H890&lt;&gt;"OUI","⚠ ENROBÉ AVANT ACCEPTATION RT","ENROBÉ")))))</f>
        <v>EN ATTENTE RT</v>
      </c>
      <c r="O890" s="80"/>
      <c r="P890" s="82" t="n">
        <f aca="false">IF(C890="","",IFERROR(MATCH(Q890,'CARNET DE SOUDURE'!$AW$7:$AW$3006,0),""))</f>
        <v>884</v>
      </c>
      <c r="Q890" s="82" t="str">
        <f aca="false">IF(C890="","",B890&amp;"|"&amp;C890)</f>
        <v>MFD-ISW → MFD-CPF|JN°823</v>
      </c>
    </row>
    <row r="891" customFormat="false" ht="74.6" hidden="false" customHeight="false" outlineLevel="0" collapsed="false">
      <c r="A891" s="82" t="n">
        <f aca="false">IF(C891="","",ROW()-6)</f>
        <v>885</v>
      </c>
      <c r="B891" s="80" t="s">
        <v>110</v>
      </c>
      <c r="C891" s="113" t="s">
        <v>1036</v>
      </c>
      <c r="D891" s="82" t="str">
        <f aca="false">IF(OR(C891="",P891=""),"",INDEX('CARNET DE SOUDURE'!$D$7:$D$3006,P891)&amp;"")</f>
        <v>5</v>
      </c>
      <c r="E891" s="114" t="n">
        <f aca="false">IF(OR(C891="",P891=""),"",IF(INDEX('CARNET DE SOUDURE'!$U$7:$U$3006,P891)="","",INDEX('CARNET DE SOUDURE'!$U$7:$U$3006,P891)))</f>
        <v>46285</v>
      </c>
      <c r="F891" s="82" t="str">
        <f aca="false">IF(OR(C891="",P891=""),"",INDEX('CARNET DE SOUDURE'!$AP$7:$AP$3006,P891))</f>
        <v>A</v>
      </c>
      <c r="G891" s="82" t="str">
        <f aca="false">IF(C891="","",IF(P891="","NJ INCONNU",INDEX('CARNET DE SOUDURE'!$AQ$7:$AQ$3006,P891)))</f>
        <v>ACCEPTÉ</v>
      </c>
      <c r="H891" s="82" t="str">
        <f aca="false">IF(C891="","",IF(G891="ACCEPTÉ","OUI","NON"))</f>
        <v>OUI</v>
      </c>
      <c r="I891" s="83"/>
      <c r="J891" s="80"/>
      <c r="K891" s="81"/>
      <c r="L891" s="81"/>
      <c r="M891" s="81"/>
      <c r="N891" s="84" t="str">
        <f aca="false">IF(C891="","",IF(P891="","NJ INCONNU",IF(I891="",IF(H891="OUI","À ENROBER",IF(G891="À SOUDER","NON SOUDÉ","EN ATTENTE RT")),IF(L891="R","À REPRENDRE",IF(H891&lt;&gt;"OUI","⚠ ENROBÉ AVANT ACCEPTATION RT","ENROBÉ")))))</f>
        <v>À ENROBER</v>
      </c>
      <c r="O891" s="80"/>
      <c r="P891" s="82" t="n">
        <f aca="false">IF(C891="","",IFERROR(MATCH(Q891,'CARNET DE SOUDURE'!$AW$7:$AW$3006,0),""))</f>
        <v>885</v>
      </c>
      <c r="Q891" s="82" t="str">
        <f aca="false">IF(C891="","",B891&amp;"|"&amp;C891)</f>
        <v>MFD-ISW → MFD-CPF|DJ°448</v>
      </c>
    </row>
    <row r="892" customFormat="false" ht="74.6" hidden="false" customHeight="false" outlineLevel="0" collapsed="false">
      <c r="A892" s="82" t="n">
        <f aca="false">IF(C892="","",ROW()-6)</f>
        <v>886</v>
      </c>
      <c r="B892" s="80" t="s">
        <v>110</v>
      </c>
      <c r="C892" s="113" t="s">
        <v>1037</v>
      </c>
      <c r="D892" s="82" t="str">
        <f aca="false">IF(OR(C892="",P892=""),"",INDEX('CARNET DE SOUDURE'!$D$7:$D$3006,P892)&amp;"")</f>
        <v>5</v>
      </c>
      <c r="E892" s="114" t="n">
        <f aca="false">IF(OR(C892="",P892=""),"",IF(INDEX('CARNET DE SOUDURE'!$U$7:$U$3006,P892)="","",INDEX('CARNET DE SOUDURE'!$U$7:$U$3006,P892)))</f>
        <v>46287</v>
      </c>
      <c r="F892" s="82" t="str">
        <f aca="false">IF(OR(C892="",P892=""),"",INDEX('CARNET DE SOUDURE'!$AP$7:$AP$3006,P892))</f>
        <v/>
      </c>
      <c r="G892" s="82" t="str">
        <f aca="false">IF(C892="","",IF(P892="","NJ INCONNU",INDEX('CARNET DE SOUDURE'!$AQ$7:$AQ$3006,P892)))</f>
        <v>À RADIOGRAPHIER</v>
      </c>
      <c r="H892" s="82" t="str">
        <f aca="false">IF(C892="","",IF(G892="ACCEPTÉ","OUI","NON"))</f>
        <v>NON</v>
      </c>
      <c r="I892" s="83"/>
      <c r="J892" s="80"/>
      <c r="K892" s="81"/>
      <c r="L892" s="81"/>
      <c r="M892" s="81"/>
      <c r="N892" s="84" t="str">
        <f aca="false">IF(C892="","",IF(P892="","NJ INCONNU",IF(I892="",IF(H892="OUI","À ENROBER",IF(G892="À SOUDER","NON SOUDÉ","EN ATTENTE RT")),IF(L892="R","À REPRENDRE",IF(H892&lt;&gt;"OUI","⚠ ENROBÉ AVANT ACCEPTATION RT","ENROBÉ")))))</f>
        <v>EN ATTENTE RT</v>
      </c>
      <c r="O892" s="80"/>
      <c r="P892" s="82" t="n">
        <f aca="false">IF(C892="","",IFERROR(MATCH(Q892,'CARNET DE SOUDURE'!$AW$7:$AW$3006,0),""))</f>
        <v>886</v>
      </c>
      <c r="Q892" s="82" t="str">
        <f aca="false">IF(C892="","",B892&amp;"|"&amp;C892)</f>
        <v>MFD-ISW → MFD-CPF|JN°824</v>
      </c>
    </row>
    <row r="893" customFormat="false" ht="74.6" hidden="false" customHeight="false" outlineLevel="0" collapsed="false">
      <c r="A893" s="82" t="n">
        <f aca="false">IF(C893="","",ROW()-6)</f>
        <v>887</v>
      </c>
      <c r="B893" s="80" t="s">
        <v>110</v>
      </c>
      <c r="C893" s="113" t="s">
        <v>1038</v>
      </c>
      <c r="D893" s="82" t="str">
        <f aca="false">IF(OR(C893="",P893=""),"",INDEX('CARNET DE SOUDURE'!$D$7:$D$3006,P893)&amp;"")</f>
        <v>5</v>
      </c>
      <c r="E893" s="114" t="n">
        <f aca="false">IF(OR(C893="",P893=""),"",IF(INDEX('CARNET DE SOUDURE'!$U$7:$U$3006,P893)="","",INDEX('CARNET DE SOUDURE'!$U$7:$U$3006,P893)))</f>
        <v>46285</v>
      </c>
      <c r="F893" s="82" t="str">
        <f aca="false">IF(OR(C893="",P893=""),"",INDEX('CARNET DE SOUDURE'!$AP$7:$AP$3006,P893))</f>
        <v>A</v>
      </c>
      <c r="G893" s="82" t="str">
        <f aca="false">IF(C893="","",IF(P893="","NJ INCONNU",INDEX('CARNET DE SOUDURE'!$AQ$7:$AQ$3006,P893)))</f>
        <v>ACCEPTÉ</v>
      </c>
      <c r="H893" s="82" t="str">
        <f aca="false">IF(C893="","",IF(G893="ACCEPTÉ","OUI","NON"))</f>
        <v>OUI</v>
      </c>
      <c r="I893" s="83"/>
      <c r="J893" s="80"/>
      <c r="K893" s="81"/>
      <c r="L893" s="81"/>
      <c r="M893" s="81"/>
      <c r="N893" s="84" t="str">
        <f aca="false">IF(C893="","",IF(P893="","NJ INCONNU",IF(I893="",IF(H893="OUI","À ENROBER",IF(G893="À SOUDER","NON SOUDÉ","EN ATTENTE RT")),IF(L893="R","À REPRENDRE",IF(H893&lt;&gt;"OUI","⚠ ENROBÉ AVANT ACCEPTATION RT","ENROBÉ")))))</f>
        <v>À ENROBER</v>
      </c>
      <c r="O893" s="80"/>
      <c r="P893" s="82" t="n">
        <f aca="false">IF(C893="","",IFERROR(MATCH(Q893,'CARNET DE SOUDURE'!$AW$7:$AW$3006,0),""))</f>
        <v>887</v>
      </c>
      <c r="Q893" s="82" t="str">
        <f aca="false">IF(C893="","",B893&amp;"|"&amp;C893)</f>
        <v>MFD-ISW → MFD-CPF|DJ°446</v>
      </c>
    </row>
    <row r="894" customFormat="false" ht="74.6" hidden="false" customHeight="false" outlineLevel="0" collapsed="false">
      <c r="A894" s="82" t="n">
        <f aca="false">IF(C894="","",ROW()-6)</f>
        <v>888</v>
      </c>
      <c r="B894" s="80" t="s">
        <v>110</v>
      </c>
      <c r="C894" s="113" t="s">
        <v>1039</v>
      </c>
      <c r="D894" s="82" t="str">
        <f aca="false">IF(OR(C894="",P894=""),"",INDEX('CARNET DE SOUDURE'!$D$7:$D$3006,P894)&amp;"")</f>
        <v>5</v>
      </c>
      <c r="E894" s="114" t="n">
        <f aca="false">IF(OR(C894="",P894=""),"",IF(INDEX('CARNET DE SOUDURE'!$U$7:$U$3006,P894)="","",INDEX('CARNET DE SOUDURE'!$U$7:$U$3006,P894)))</f>
        <v>46287</v>
      </c>
      <c r="F894" s="82" t="str">
        <f aca="false">IF(OR(C894="",P894=""),"",INDEX('CARNET DE SOUDURE'!$AP$7:$AP$3006,P894))</f>
        <v/>
      </c>
      <c r="G894" s="82" t="str">
        <f aca="false">IF(C894="","",IF(P894="","NJ INCONNU",INDEX('CARNET DE SOUDURE'!$AQ$7:$AQ$3006,P894)))</f>
        <v>À RADIOGRAPHIER</v>
      </c>
      <c r="H894" s="82" t="str">
        <f aca="false">IF(C894="","",IF(G894="ACCEPTÉ","OUI","NON"))</f>
        <v>NON</v>
      </c>
      <c r="I894" s="83"/>
      <c r="J894" s="80"/>
      <c r="K894" s="81"/>
      <c r="L894" s="81"/>
      <c r="M894" s="81"/>
      <c r="N894" s="84" t="str">
        <f aca="false">IF(C894="","",IF(P894="","NJ INCONNU",IF(I894="",IF(H894="OUI","À ENROBER",IF(G894="À SOUDER","NON SOUDÉ","EN ATTENTE RT")),IF(L894="R","À REPRENDRE",IF(H894&lt;&gt;"OUI","⚠ ENROBÉ AVANT ACCEPTATION RT","ENROBÉ")))))</f>
        <v>EN ATTENTE RT</v>
      </c>
      <c r="O894" s="80"/>
      <c r="P894" s="82" t="n">
        <f aca="false">IF(C894="","",IFERROR(MATCH(Q894,'CARNET DE SOUDURE'!$AW$7:$AW$3006,0),""))</f>
        <v>888</v>
      </c>
      <c r="Q894" s="82" t="str">
        <f aca="false">IF(C894="","",B894&amp;"|"&amp;C894)</f>
        <v>MFD-ISW → MFD-CPF|JN°825</v>
      </c>
    </row>
    <row r="895" customFormat="false" ht="74.6" hidden="false" customHeight="false" outlineLevel="0" collapsed="false">
      <c r="A895" s="82" t="n">
        <f aca="false">IF(C895="","",ROW()-6)</f>
        <v>889</v>
      </c>
      <c r="B895" s="80" t="s">
        <v>110</v>
      </c>
      <c r="C895" s="113" t="s">
        <v>1040</v>
      </c>
      <c r="D895" s="82" t="str">
        <f aca="false">IF(OR(C895="",P895=""),"",INDEX('CARNET DE SOUDURE'!$D$7:$D$3006,P895)&amp;"")</f>
        <v>5</v>
      </c>
      <c r="E895" s="114" t="n">
        <f aca="false">IF(OR(C895="",P895=""),"",IF(INDEX('CARNET DE SOUDURE'!$U$7:$U$3006,P895)="","",INDEX('CARNET DE SOUDURE'!$U$7:$U$3006,P895)))</f>
        <v>46285</v>
      </c>
      <c r="F895" s="82" t="str">
        <f aca="false">IF(OR(C895="",P895=""),"",INDEX('CARNET DE SOUDURE'!$AP$7:$AP$3006,P895))</f>
        <v>A</v>
      </c>
      <c r="G895" s="82" t="str">
        <f aca="false">IF(C895="","",IF(P895="","NJ INCONNU",INDEX('CARNET DE SOUDURE'!$AQ$7:$AQ$3006,P895)))</f>
        <v>ACCEPTÉ</v>
      </c>
      <c r="H895" s="82" t="str">
        <f aca="false">IF(C895="","",IF(G895="ACCEPTÉ","OUI","NON"))</f>
        <v>OUI</v>
      </c>
      <c r="I895" s="83"/>
      <c r="J895" s="80"/>
      <c r="K895" s="81"/>
      <c r="L895" s="81"/>
      <c r="M895" s="81"/>
      <c r="N895" s="84" t="str">
        <f aca="false">IF(C895="","",IF(P895="","NJ INCONNU",IF(I895="",IF(H895="OUI","À ENROBER",IF(G895="À SOUDER","NON SOUDÉ","EN ATTENTE RT")),IF(L895="R","À REPRENDRE",IF(H895&lt;&gt;"OUI","⚠ ENROBÉ AVANT ACCEPTATION RT","ENROBÉ")))))</f>
        <v>À ENROBER</v>
      </c>
      <c r="O895" s="80"/>
      <c r="P895" s="82" t="n">
        <f aca="false">IF(C895="","",IFERROR(MATCH(Q895,'CARNET DE SOUDURE'!$AW$7:$AW$3006,0),""))</f>
        <v>889</v>
      </c>
      <c r="Q895" s="82" t="str">
        <f aca="false">IF(C895="","",B895&amp;"|"&amp;C895)</f>
        <v>MFD-ISW → MFD-CPF|DJ°450</v>
      </c>
    </row>
    <row r="896" customFormat="false" ht="74.6" hidden="false" customHeight="false" outlineLevel="0" collapsed="false">
      <c r="A896" s="82" t="n">
        <f aca="false">IF(C896="","",ROW()-6)</f>
        <v>890</v>
      </c>
      <c r="B896" s="80" t="s">
        <v>110</v>
      </c>
      <c r="C896" s="113" t="s">
        <v>1041</v>
      </c>
      <c r="D896" s="82" t="str">
        <f aca="false">IF(OR(C896="",P896=""),"",INDEX('CARNET DE SOUDURE'!$D$7:$D$3006,P896)&amp;"")</f>
        <v>5</v>
      </c>
      <c r="E896" s="114" t="n">
        <f aca="false">IF(OR(C896="",P896=""),"",IF(INDEX('CARNET DE SOUDURE'!$U$7:$U$3006,P896)="","",INDEX('CARNET DE SOUDURE'!$U$7:$U$3006,P896)))</f>
        <v>46287</v>
      </c>
      <c r="F896" s="82" t="str">
        <f aca="false">IF(OR(C896="",P896=""),"",INDEX('CARNET DE SOUDURE'!$AP$7:$AP$3006,P896))</f>
        <v/>
      </c>
      <c r="G896" s="82" t="str">
        <f aca="false">IF(C896="","",IF(P896="","NJ INCONNU",INDEX('CARNET DE SOUDURE'!$AQ$7:$AQ$3006,P896)))</f>
        <v>À RADIOGRAPHIER</v>
      </c>
      <c r="H896" s="82" t="str">
        <f aca="false">IF(C896="","",IF(G896="ACCEPTÉ","OUI","NON"))</f>
        <v>NON</v>
      </c>
      <c r="I896" s="83"/>
      <c r="J896" s="80"/>
      <c r="K896" s="81"/>
      <c r="L896" s="81"/>
      <c r="M896" s="81"/>
      <c r="N896" s="84" t="str">
        <f aca="false">IF(C896="","",IF(P896="","NJ INCONNU",IF(I896="",IF(H896="OUI","À ENROBER",IF(G896="À SOUDER","NON SOUDÉ","EN ATTENTE RT")),IF(L896="R","À REPRENDRE",IF(H896&lt;&gt;"OUI","⚠ ENROBÉ AVANT ACCEPTATION RT","ENROBÉ")))))</f>
        <v>EN ATTENTE RT</v>
      </c>
      <c r="O896" s="80"/>
      <c r="P896" s="82" t="n">
        <f aca="false">IF(C896="","",IFERROR(MATCH(Q896,'CARNET DE SOUDURE'!$AW$7:$AW$3006,0),""))</f>
        <v>890</v>
      </c>
      <c r="Q896" s="82" t="str">
        <f aca="false">IF(C896="","",B896&amp;"|"&amp;C896)</f>
        <v>MFD-ISW → MFD-CPF|JN°826</v>
      </c>
    </row>
    <row r="897" customFormat="false" ht="74.6" hidden="false" customHeight="false" outlineLevel="0" collapsed="false">
      <c r="A897" s="82" t="n">
        <f aca="false">IF(C897="","",ROW()-6)</f>
        <v>891</v>
      </c>
      <c r="B897" s="80" t="s">
        <v>110</v>
      </c>
      <c r="C897" s="113" t="s">
        <v>1042</v>
      </c>
      <c r="D897" s="82" t="str">
        <f aca="false">IF(OR(C897="",P897=""),"",INDEX('CARNET DE SOUDURE'!$D$7:$D$3006,P897)&amp;"")</f>
        <v>5</v>
      </c>
      <c r="E897" s="114" t="n">
        <f aca="false">IF(OR(C897="",P897=""),"",IF(INDEX('CARNET DE SOUDURE'!$U$7:$U$3006,P897)="","",INDEX('CARNET DE SOUDURE'!$U$7:$U$3006,P897)))</f>
        <v>46285</v>
      </c>
      <c r="F897" s="82" t="str">
        <f aca="false">IF(OR(C897="",P897=""),"",INDEX('CARNET DE SOUDURE'!$AP$7:$AP$3006,P897))</f>
        <v>A</v>
      </c>
      <c r="G897" s="82" t="str">
        <f aca="false">IF(C897="","",IF(P897="","NJ INCONNU",INDEX('CARNET DE SOUDURE'!$AQ$7:$AQ$3006,P897)))</f>
        <v>ACCEPTÉ</v>
      </c>
      <c r="H897" s="82" t="str">
        <f aca="false">IF(C897="","",IF(G897="ACCEPTÉ","OUI","NON"))</f>
        <v>OUI</v>
      </c>
      <c r="I897" s="83"/>
      <c r="J897" s="80"/>
      <c r="K897" s="81"/>
      <c r="L897" s="81"/>
      <c r="M897" s="81"/>
      <c r="N897" s="84" t="str">
        <f aca="false">IF(C897="","",IF(P897="","NJ INCONNU",IF(I897="",IF(H897="OUI","À ENROBER",IF(G897="À SOUDER","NON SOUDÉ","EN ATTENTE RT")),IF(L897="R","À REPRENDRE",IF(H897&lt;&gt;"OUI","⚠ ENROBÉ AVANT ACCEPTATION RT","ENROBÉ")))))</f>
        <v>À ENROBER</v>
      </c>
      <c r="O897" s="80"/>
      <c r="P897" s="82" t="n">
        <f aca="false">IF(C897="","",IFERROR(MATCH(Q897,'CARNET DE SOUDURE'!$AW$7:$AW$3006,0),""))</f>
        <v>891</v>
      </c>
      <c r="Q897" s="82" t="str">
        <f aca="false">IF(C897="","",B897&amp;"|"&amp;C897)</f>
        <v>MFD-ISW → MFD-CPF|DJ°451</v>
      </c>
    </row>
    <row r="898" customFormat="false" ht="74.6" hidden="false" customHeight="false" outlineLevel="0" collapsed="false">
      <c r="A898" s="82" t="n">
        <f aca="false">IF(C898="","",ROW()-6)</f>
        <v>892</v>
      </c>
      <c r="B898" s="80" t="s">
        <v>110</v>
      </c>
      <c r="C898" s="113" t="s">
        <v>1043</v>
      </c>
      <c r="D898" s="82" t="str">
        <f aca="false">IF(OR(C898="",P898=""),"",INDEX('CARNET DE SOUDURE'!$D$7:$D$3006,P898)&amp;"")</f>
        <v>5</v>
      </c>
      <c r="E898" s="114" t="n">
        <f aca="false">IF(OR(C898="",P898=""),"",IF(INDEX('CARNET DE SOUDURE'!$U$7:$U$3006,P898)="","",INDEX('CARNET DE SOUDURE'!$U$7:$U$3006,P898)))</f>
        <v>46287</v>
      </c>
      <c r="F898" s="82" t="str">
        <f aca="false">IF(OR(C898="",P898=""),"",INDEX('CARNET DE SOUDURE'!$AP$7:$AP$3006,P898))</f>
        <v/>
      </c>
      <c r="G898" s="82" t="str">
        <f aca="false">IF(C898="","",IF(P898="","NJ INCONNU",INDEX('CARNET DE SOUDURE'!$AQ$7:$AQ$3006,P898)))</f>
        <v>À RADIOGRAPHIER</v>
      </c>
      <c r="H898" s="82" t="str">
        <f aca="false">IF(C898="","",IF(G898="ACCEPTÉ","OUI","NON"))</f>
        <v>NON</v>
      </c>
      <c r="I898" s="83"/>
      <c r="J898" s="80"/>
      <c r="K898" s="81"/>
      <c r="L898" s="81"/>
      <c r="M898" s="81"/>
      <c r="N898" s="84" t="str">
        <f aca="false">IF(C898="","",IF(P898="","NJ INCONNU",IF(I898="",IF(H898="OUI","À ENROBER",IF(G898="À SOUDER","NON SOUDÉ","EN ATTENTE RT")),IF(L898="R","À REPRENDRE",IF(H898&lt;&gt;"OUI","⚠ ENROBÉ AVANT ACCEPTATION RT","ENROBÉ")))))</f>
        <v>EN ATTENTE RT</v>
      </c>
      <c r="O898" s="80"/>
      <c r="P898" s="82" t="n">
        <f aca="false">IF(C898="","",IFERROR(MATCH(Q898,'CARNET DE SOUDURE'!$AW$7:$AW$3006,0),""))</f>
        <v>892</v>
      </c>
      <c r="Q898" s="82" t="str">
        <f aca="false">IF(C898="","",B898&amp;"|"&amp;C898)</f>
        <v>MFD-ISW → MFD-CPF|JN°827</v>
      </c>
    </row>
    <row r="899" customFormat="false" ht="74.6" hidden="false" customHeight="false" outlineLevel="0" collapsed="false">
      <c r="A899" s="82" t="n">
        <f aca="false">IF(C899="","",ROW()-6)</f>
        <v>893</v>
      </c>
      <c r="B899" s="80" t="s">
        <v>110</v>
      </c>
      <c r="C899" s="113" t="s">
        <v>1044</v>
      </c>
      <c r="D899" s="82" t="str">
        <f aca="false">IF(OR(C899="",P899=""),"",INDEX('CARNET DE SOUDURE'!$D$7:$D$3006,P899)&amp;"")</f>
        <v>5</v>
      </c>
      <c r="E899" s="114" t="n">
        <f aca="false">IF(OR(C899="",P899=""),"",IF(INDEX('CARNET DE SOUDURE'!$U$7:$U$3006,P899)="","",INDEX('CARNET DE SOUDURE'!$U$7:$U$3006,P899)))</f>
        <v>46285</v>
      </c>
      <c r="F899" s="82" t="str">
        <f aca="false">IF(OR(C899="",P899=""),"",INDEX('CARNET DE SOUDURE'!$AP$7:$AP$3006,P899))</f>
        <v>A</v>
      </c>
      <c r="G899" s="82" t="str">
        <f aca="false">IF(C899="","",IF(P899="","NJ INCONNU",INDEX('CARNET DE SOUDURE'!$AQ$7:$AQ$3006,P899)))</f>
        <v>ACCEPTÉ</v>
      </c>
      <c r="H899" s="82" t="str">
        <f aca="false">IF(C899="","",IF(G899="ACCEPTÉ","OUI","NON"))</f>
        <v>OUI</v>
      </c>
      <c r="I899" s="83"/>
      <c r="J899" s="80"/>
      <c r="K899" s="81"/>
      <c r="L899" s="81"/>
      <c r="M899" s="81"/>
      <c r="N899" s="84" t="str">
        <f aca="false">IF(C899="","",IF(P899="","NJ INCONNU",IF(I899="",IF(H899="OUI","À ENROBER",IF(G899="À SOUDER","NON SOUDÉ","EN ATTENTE RT")),IF(L899="R","À REPRENDRE",IF(H899&lt;&gt;"OUI","⚠ ENROBÉ AVANT ACCEPTATION RT","ENROBÉ")))))</f>
        <v>À ENROBER</v>
      </c>
      <c r="O899" s="80"/>
      <c r="P899" s="82" t="n">
        <f aca="false">IF(C899="","",IFERROR(MATCH(Q899,'CARNET DE SOUDURE'!$AW$7:$AW$3006,0),""))</f>
        <v>893</v>
      </c>
      <c r="Q899" s="82" t="str">
        <f aca="false">IF(C899="","",B899&amp;"|"&amp;C899)</f>
        <v>MFD-ISW → MFD-CPF|DJ°452</v>
      </c>
    </row>
    <row r="900" customFormat="false" ht="74.6" hidden="false" customHeight="false" outlineLevel="0" collapsed="false">
      <c r="A900" s="82" t="n">
        <f aca="false">IF(C900="","",ROW()-6)</f>
        <v>894</v>
      </c>
      <c r="B900" s="80" t="s">
        <v>110</v>
      </c>
      <c r="C900" s="113" t="s">
        <v>1045</v>
      </c>
      <c r="D900" s="82" t="str">
        <f aca="false">IF(OR(C900="",P900=""),"",INDEX('CARNET DE SOUDURE'!$D$7:$D$3006,P900)&amp;"")</f>
        <v>5</v>
      </c>
      <c r="E900" s="114" t="n">
        <f aca="false">IF(OR(C900="",P900=""),"",IF(INDEX('CARNET DE SOUDURE'!$U$7:$U$3006,P900)="","",INDEX('CARNET DE SOUDURE'!$U$7:$U$3006,P900)))</f>
        <v>46287</v>
      </c>
      <c r="F900" s="82" t="str">
        <f aca="false">IF(OR(C900="",P900=""),"",INDEX('CARNET DE SOUDURE'!$AP$7:$AP$3006,P900))</f>
        <v/>
      </c>
      <c r="G900" s="82" t="str">
        <f aca="false">IF(C900="","",IF(P900="","NJ INCONNU",INDEX('CARNET DE SOUDURE'!$AQ$7:$AQ$3006,P900)))</f>
        <v>À RADIOGRAPHIER</v>
      </c>
      <c r="H900" s="82" t="str">
        <f aca="false">IF(C900="","",IF(G900="ACCEPTÉ","OUI","NON"))</f>
        <v>NON</v>
      </c>
      <c r="I900" s="83"/>
      <c r="J900" s="80"/>
      <c r="K900" s="81"/>
      <c r="L900" s="81"/>
      <c r="M900" s="81"/>
      <c r="N900" s="84" t="str">
        <f aca="false">IF(C900="","",IF(P900="","NJ INCONNU",IF(I900="",IF(H900="OUI","À ENROBER",IF(G900="À SOUDER","NON SOUDÉ","EN ATTENTE RT")),IF(L900="R","À REPRENDRE",IF(H900&lt;&gt;"OUI","⚠ ENROBÉ AVANT ACCEPTATION RT","ENROBÉ")))))</f>
        <v>EN ATTENTE RT</v>
      </c>
      <c r="O900" s="80"/>
      <c r="P900" s="82" t="n">
        <f aca="false">IF(C900="","",IFERROR(MATCH(Q900,'CARNET DE SOUDURE'!$AW$7:$AW$3006,0),""))</f>
        <v>894</v>
      </c>
      <c r="Q900" s="82" t="str">
        <f aca="false">IF(C900="","",B900&amp;"|"&amp;C900)</f>
        <v>MFD-ISW → MFD-CPF|JN°828</v>
      </c>
    </row>
    <row r="901" customFormat="false" ht="74.6" hidden="false" customHeight="false" outlineLevel="0" collapsed="false">
      <c r="A901" s="82" t="n">
        <f aca="false">IF(C901="","",ROW()-6)</f>
        <v>895</v>
      </c>
      <c r="B901" s="80" t="s">
        <v>110</v>
      </c>
      <c r="C901" s="113" t="s">
        <v>1046</v>
      </c>
      <c r="D901" s="82" t="str">
        <f aca="false">IF(OR(C901="",P901=""),"",INDEX('CARNET DE SOUDURE'!$D$7:$D$3006,P901)&amp;"")</f>
        <v>5</v>
      </c>
      <c r="E901" s="114" t="n">
        <f aca="false">IF(OR(C901="",P901=""),"",IF(INDEX('CARNET DE SOUDURE'!$U$7:$U$3006,P901)="","",INDEX('CARNET DE SOUDURE'!$U$7:$U$3006,P901)))</f>
        <v>46285</v>
      </c>
      <c r="F901" s="82" t="str">
        <f aca="false">IF(OR(C901="",P901=""),"",INDEX('CARNET DE SOUDURE'!$AP$7:$AP$3006,P901))</f>
        <v>A</v>
      </c>
      <c r="G901" s="82" t="str">
        <f aca="false">IF(C901="","",IF(P901="","NJ INCONNU",INDEX('CARNET DE SOUDURE'!$AQ$7:$AQ$3006,P901)))</f>
        <v>ACCEPTÉ</v>
      </c>
      <c r="H901" s="82" t="str">
        <f aca="false">IF(C901="","",IF(G901="ACCEPTÉ","OUI","NON"))</f>
        <v>OUI</v>
      </c>
      <c r="I901" s="83"/>
      <c r="J901" s="80"/>
      <c r="K901" s="81"/>
      <c r="L901" s="81"/>
      <c r="M901" s="81"/>
      <c r="N901" s="84" t="str">
        <f aca="false">IF(C901="","",IF(P901="","NJ INCONNU",IF(I901="",IF(H901="OUI","À ENROBER",IF(G901="À SOUDER","NON SOUDÉ","EN ATTENTE RT")),IF(L901="R","À REPRENDRE",IF(H901&lt;&gt;"OUI","⚠ ENROBÉ AVANT ACCEPTATION RT","ENROBÉ")))))</f>
        <v>À ENROBER</v>
      </c>
      <c r="O901" s="80"/>
      <c r="P901" s="82" t="n">
        <f aca="false">IF(C901="","",IFERROR(MATCH(Q901,'CARNET DE SOUDURE'!$AW$7:$AW$3006,0),""))</f>
        <v>895</v>
      </c>
      <c r="Q901" s="82" t="str">
        <f aca="false">IF(C901="","",B901&amp;"|"&amp;C901)</f>
        <v>MFD-ISW → MFD-CPF|DJ°449</v>
      </c>
    </row>
    <row r="902" customFormat="false" ht="74.6" hidden="false" customHeight="false" outlineLevel="0" collapsed="false">
      <c r="A902" s="82" t="n">
        <f aca="false">IF(C902="","",ROW()-6)</f>
        <v>896</v>
      </c>
      <c r="B902" s="80" t="s">
        <v>110</v>
      </c>
      <c r="C902" s="113" t="s">
        <v>1047</v>
      </c>
      <c r="D902" s="82" t="str">
        <f aca="false">IF(OR(C902="",P902=""),"",INDEX('CARNET DE SOUDURE'!$D$7:$D$3006,P902)&amp;"")</f>
        <v>5</v>
      </c>
      <c r="E902" s="114" t="n">
        <f aca="false">IF(OR(C902="",P902=""),"",IF(INDEX('CARNET DE SOUDURE'!$U$7:$U$3006,P902)="","",INDEX('CARNET DE SOUDURE'!$U$7:$U$3006,P902)))</f>
        <v>46287</v>
      </c>
      <c r="F902" s="82" t="str">
        <f aca="false">IF(OR(C902="",P902=""),"",INDEX('CARNET DE SOUDURE'!$AP$7:$AP$3006,P902))</f>
        <v/>
      </c>
      <c r="G902" s="82" t="str">
        <f aca="false">IF(C902="","",IF(P902="","NJ INCONNU",INDEX('CARNET DE SOUDURE'!$AQ$7:$AQ$3006,P902)))</f>
        <v>À RADIOGRAPHIER</v>
      </c>
      <c r="H902" s="82" t="str">
        <f aca="false">IF(C902="","",IF(G902="ACCEPTÉ","OUI","NON"))</f>
        <v>NON</v>
      </c>
      <c r="I902" s="83"/>
      <c r="J902" s="80"/>
      <c r="K902" s="81"/>
      <c r="L902" s="81"/>
      <c r="M902" s="81"/>
      <c r="N902" s="84" t="str">
        <f aca="false">IF(C902="","",IF(P902="","NJ INCONNU",IF(I902="",IF(H902="OUI","À ENROBER",IF(G902="À SOUDER","NON SOUDÉ","EN ATTENTE RT")),IF(L902="R","À REPRENDRE",IF(H902&lt;&gt;"OUI","⚠ ENROBÉ AVANT ACCEPTATION RT","ENROBÉ")))))</f>
        <v>EN ATTENTE RT</v>
      </c>
      <c r="O902" s="80"/>
      <c r="P902" s="82" t="n">
        <f aca="false">IF(C902="","",IFERROR(MATCH(Q902,'CARNET DE SOUDURE'!$AW$7:$AW$3006,0),""))</f>
        <v>896</v>
      </c>
      <c r="Q902" s="82" t="str">
        <f aca="false">IF(C902="","",B902&amp;"|"&amp;C902)</f>
        <v>MFD-ISW → MFD-CPF|JN°829</v>
      </c>
    </row>
    <row r="903" customFormat="false" ht="74.6" hidden="false" customHeight="false" outlineLevel="0" collapsed="false">
      <c r="A903" s="82" t="n">
        <f aca="false">IF(C903="","",ROW()-6)</f>
        <v>897</v>
      </c>
      <c r="B903" s="80" t="s">
        <v>110</v>
      </c>
      <c r="C903" s="113" t="s">
        <v>1048</v>
      </c>
      <c r="D903" s="82" t="str">
        <f aca="false">IF(OR(C903="",P903=""),"",INDEX('CARNET DE SOUDURE'!$D$7:$D$3006,P903)&amp;"")</f>
        <v>5</v>
      </c>
      <c r="E903" s="114" t="n">
        <f aca="false">IF(OR(C903="",P903=""),"",IF(INDEX('CARNET DE SOUDURE'!$U$7:$U$3006,P903)="","",INDEX('CARNET DE SOUDURE'!$U$7:$U$3006,P903)))</f>
        <v>46284</v>
      </c>
      <c r="F903" s="82" t="str">
        <f aca="false">IF(OR(C903="",P903=""),"",INDEX('CARNET DE SOUDURE'!$AP$7:$AP$3006,P903))</f>
        <v>A</v>
      </c>
      <c r="G903" s="82" t="str">
        <f aca="false">IF(C903="","",IF(P903="","NJ INCONNU",INDEX('CARNET DE SOUDURE'!$AQ$7:$AQ$3006,P903)))</f>
        <v>ACCEPTÉ</v>
      </c>
      <c r="H903" s="82" t="str">
        <f aca="false">IF(C903="","",IF(G903="ACCEPTÉ","OUI","NON"))</f>
        <v>OUI</v>
      </c>
      <c r="I903" s="83"/>
      <c r="J903" s="80"/>
      <c r="K903" s="81"/>
      <c r="L903" s="81"/>
      <c r="M903" s="81"/>
      <c r="N903" s="84" t="str">
        <f aca="false">IF(C903="","",IF(P903="","NJ INCONNU",IF(I903="",IF(H903="OUI","À ENROBER",IF(G903="À SOUDER","NON SOUDÉ","EN ATTENTE RT")),IF(L903="R","À REPRENDRE",IF(H903&lt;&gt;"OUI","⚠ ENROBÉ AVANT ACCEPTATION RT","ENROBÉ")))))</f>
        <v>À ENROBER</v>
      </c>
      <c r="O903" s="80"/>
      <c r="P903" s="82" t="n">
        <f aca="false">IF(C903="","",IFERROR(MATCH(Q903,'CARNET DE SOUDURE'!$AW$7:$AW$3006,0),""))</f>
        <v>897</v>
      </c>
      <c r="Q903" s="82" t="str">
        <f aca="false">IF(C903="","",B903&amp;"|"&amp;C903)</f>
        <v>MFD-ISW → MFD-CPF|DJ°430</v>
      </c>
    </row>
    <row r="904" customFormat="false" ht="74.6" hidden="false" customHeight="false" outlineLevel="0" collapsed="false">
      <c r="A904" s="82" t="n">
        <f aca="false">IF(C904="","",ROW()-6)</f>
        <v>898</v>
      </c>
      <c r="B904" s="80" t="s">
        <v>110</v>
      </c>
      <c r="C904" s="113" t="s">
        <v>1049</v>
      </c>
      <c r="D904" s="82" t="str">
        <f aca="false">IF(OR(C904="",P904=""),"",INDEX('CARNET DE SOUDURE'!$D$7:$D$3006,P904)&amp;"")</f>
        <v>5</v>
      </c>
      <c r="E904" s="114" t="n">
        <f aca="false">IF(OR(C904="",P904=""),"",IF(INDEX('CARNET DE SOUDURE'!$U$7:$U$3006,P904)="","",INDEX('CARNET DE SOUDURE'!$U$7:$U$3006,P904)))</f>
        <v>46287</v>
      </c>
      <c r="F904" s="82" t="str">
        <f aca="false">IF(OR(C904="",P904=""),"",INDEX('CARNET DE SOUDURE'!$AP$7:$AP$3006,P904))</f>
        <v/>
      </c>
      <c r="G904" s="82" t="str">
        <f aca="false">IF(C904="","",IF(P904="","NJ INCONNU",INDEX('CARNET DE SOUDURE'!$AQ$7:$AQ$3006,P904)))</f>
        <v>À RADIOGRAPHIER</v>
      </c>
      <c r="H904" s="82" t="str">
        <f aca="false">IF(C904="","",IF(G904="ACCEPTÉ","OUI","NON"))</f>
        <v>NON</v>
      </c>
      <c r="I904" s="83"/>
      <c r="J904" s="80"/>
      <c r="K904" s="81"/>
      <c r="L904" s="81"/>
      <c r="M904" s="81"/>
      <c r="N904" s="84" t="str">
        <f aca="false">IF(C904="","",IF(P904="","NJ INCONNU",IF(I904="",IF(H904="OUI","À ENROBER",IF(G904="À SOUDER","NON SOUDÉ","EN ATTENTE RT")),IF(L904="R","À REPRENDRE",IF(H904&lt;&gt;"OUI","⚠ ENROBÉ AVANT ACCEPTATION RT","ENROBÉ")))))</f>
        <v>EN ATTENTE RT</v>
      </c>
      <c r="O904" s="80"/>
      <c r="P904" s="82" t="n">
        <f aca="false">IF(C904="","",IFERROR(MATCH(Q904,'CARNET DE SOUDURE'!$AW$7:$AW$3006,0),""))</f>
        <v>898</v>
      </c>
      <c r="Q904" s="82" t="str">
        <f aca="false">IF(C904="","",B904&amp;"|"&amp;C904)</f>
        <v>MFD-ISW → MFD-CPF|JN°830</v>
      </c>
    </row>
    <row r="905" customFormat="false" ht="74.6" hidden="false" customHeight="false" outlineLevel="0" collapsed="false">
      <c r="A905" s="82" t="n">
        <f aca="false">IF(C905="","",ROW()-6)</f>
        <v>899</v>
      </c>
      <c r="B905" s="80" t="s">
        <v>110</v>
      </c>
      <c r="C905" s="113" t="s">
        <v>1050</v>
      </c>
      <c r="D905" s="82" t="str">
        <f aca="false">IF(OR(C905="",P905=""),"",INDEX('CARNET DE SOUDURE'!$D$7:$D$3006,P905)&amp;"")</f>
        <v>5</v>
      </c>
      <c r="E905" s="114" t="n">
        <f aca="false">IF(OR(C905="",P905=""),"",IF(INDEX('CARNET DE SOUDURE'!$U$7:$U$3006,P905)="","",INDEX('CARNET DE SOUDURE'!$U$7:$U$3006,P905)))</f>
        <v>46285</v>
      </c>
      <c r="F905" s="82" t="str">
        <f aca="false">IF(OR(C905="",P905=""),"",INDEX('CARNET DE SOUDURE'!$AP$7:$AP$3006,P905))</f>
        <v>A</v>
      </c>
      <c r="G905" s="82" t="str">
        <f aca="false">IF(C905="","",IF(P905="","NJ INCONNU",INDEX('CARNET DE SOUDURE'!$AQ$7:$AQ$3006,P905)))</f>
        <v>ACCEPTÉ</v>
      </c>
      <c r="H905" s="82" t="str">
        <f aca="false">IF(C905="","",IF(G905="ACCEPTÉ","OUI","NON"))</f>
        <v>OUI</v>
      </c>
      <c r="I905" s="83"/>
      <c r="J905" s="80"/>
      <c r="K905" s="81"/>
      <c r="L905" s="81"/>
      <c r="M905" s="81"/>
      <c r="N905" s="84" t="str">
        <f aca="false">IF(C905="","",IF(P905="","NJ INCONNU",IF(I905="",IF(H905="OUI","À ENROBER",IF(G905="À SOUDER","NON SOUDÉ","EN ATTENTE RT")),IF(L905="R","À REPRENDRE",IF(H905&lt;&gt;"OUI","⚠ ENROBÉ AVANT ACCEPTATION RT","ENROBÉ")))))</f>
        <v>À ENROBER</v>
      </c>
      <c r="O905" s="80"/>
      <c r="P905" s="82" t="n">
        <f aca="false">IF(C905="","",IFERROR(MATCH(Q905,'CARNET DE SOUDURE'!$AW$7:$AW$3006,0),""))</f>
        <v>899</v>
      </c>
      <c r="Q905" s="82" t="str">
        <f aca="false">IF(C905="","",B905&amp;"|"&amp;C905)</f>
        <v>MFD-ISW → MFD-CPF|DJ°456</v>
      </c>
    </row>
    <row r="906" customFormat="false" ht="74.6" hidden="false" customHeight="false" outlineLevel="0" collapsed="false">
      <c r="A906" s="82" t="n">
        <f aca="false">IF(C906="","",ROW()-6)</f>
        <v>900</v>
      </c>
      <c r="B906" s="80" t="s">
        <v>110</v>
      </c>
      <c r="C906" s="113" t="s">
        <v>1051</v>
      </c>
      <c r="D906" s="82" t="str">
        <f aca="false">IF(OR(C906="",P906=""),"",INDEX('CARNET DE SOUDURE'!$D$7:$D$3006,P906)&amp;"")</f>
        <v>5</v>
      </c>
      <c r="E906" s="114" t="n">
        <f aca="false">IF(OR(C906="",P906=""),"",IF(INDEX('CARNET DE SOUDURE'!$U$7:$U$3006,P906)="","",INDEX('CARNET DE SOUDURE'!$U$7:$U$3006,P906)))</f>
        <v>46287</v>
      </c>
      <c r="F906" s="82" t="str">
        <f aca="false">IF(OR(C906="",P906=""),"",INDEX('CARNET DE SOUDURE'!$AP$7:$AP$3006,P906))</f>
        <v/>
      </c>
      <c r="G906" s="82" t="str">
        <f aca="false">IF(C906="","",IF(P906="","NJ INCONNU",INDEX('CARNET DE SOUDURE'!$AQ$7:$AQ$3006,P906)))</f>
        <v>À RADIOGRAPHIER</v>
      </c>
      <c r="H906" s="82" t="str">
        <f aca="false">IF(C906="","",IF(G906="ACCEPTÉ","OUI","NON"))</f>
        <v>NON</v>
      </c>
      <c r="I906" s="83"/>
      <c r="J906" s="80"/>
      <c r="K906" s="81"/>
      <c r="L906" s="81"/>
      <c r="M906" s="81"/>
      <c r="N906" s="84" t="str">
        <f aca="false">IF(C906="","",IF(P906="","NJ INCONNU",IF(I906="",IF(H906="OUI","À ENROBER",IF(G906="À SOUDER","NON SOUDÉ","EN ATTENTE RT")),IF(L906="R","À REPRENDRE",IF(H906&lt;&gt;"OUI","⚠ ENROBÉ AVANT ACCEPTATION RT","ENROBÉ")))))</f>
        <v>EN ATTENTE RT</v>
      </c>
      <c r="O906" s="80"/>
      <c r="P906" s="82" t="n">
        <f aca="false">IF(C906="","",IFERROR(MATCH(Q906,'CARNET DE SOUDURE'!$AW$7:$AW$3006,0),""))</f>
        <v>900</v>
      </c>
      <c r="Q906" s="82" t="str">
        <f aca="false">IF(C906="","",B906&amp;"|"&amp;C906)</f>
        <v>MFD-ISW → MFD-CPF|JN°831</v>
      </c>
    </row>
    <row r="907" customFormat="false" ht="74.6" hidden="false" customHeight="false" outlineLevel="0" collapsed="false">
      <c r="A907" s="82" t="n">
        <f aca="false">IF(C907="","",ROW()-6)</f>
        <v>901</v>
      </c>
      <c r="B907" s="80" t="s">
        <v>110</v>
      </c>
      <c r="C907" s="113" t="s">
        <v>1052</v>
      </c>
      <c r="D907" s="82" t="str">
        <f aca="false">IF(OR(C907="",P907=""),"",INDEX('CARNET DE SOUDURE'!$D$7:$D$3006,P907)&amp;"")</f>
        <v>5</v>
      </c>
      <c r="E907" s="114" t="n">
        <f aca="false">IF(OR(C907="",P907=""),"",IF(INDEX('CARNET DE SOUDURE'!$U$7:$U$3006,P907)="","",INDEX('CARNET DE SOUDURE'!$U$7:$U$3006,P907)))</f>
        <v>46285</v>
      </c>
      <c r="F907" s="82" t="str">
        <f aca="false">IF(OR(C907="",P907=""),"",INDEX('CARNET DE SOUDURE'!$AP$7:$AP$3006,P907))</f>
        <v>A</v>
      </c>
      <c r="G907" s="82" t="str">
        <f aca="false">IF(C907="","",IF(P907="","NJ INCONNU",INDEX('CARNET DE SOUDURE'!$AQ$7:$AQ$3006,P907)))</f>
        <v>ACCEPTÉ</v>
      </c>
      <c r="H907" s="82" t="str">
        <f aca="false">IF(C907="","",IF(G907="ACCEPTÉ","OUI","NON"))</f>
        <v>OUI</v>
      </c>
      <c r="I907" s="83"/>
      <c r="J907" s="80"/>
      <c r="K907" s="81"/>
      <c r="L907" s="81"/>
      <c r="M907" s="81"/>
      <c r="N907" s="84" t="str">
        <f aca="false">IF(C907="","",IF(P907="","NJ INCONNU",IF(I907="",IF(H907="OUI","À ENROBER",IF(G907="À SOUDER","NON SOUDÉ","EN ATTENTE RT")),IF(L907="R","À REPRENDRE",IF(H907&lt;&gt;"OUI","⚠ ENROBÉ AVANT ACCEPTATION RT","ENROBÉ")))))</f>
        <v>À ENROBER</v>
      </c>
      <c r="O907" s="80"/>
      <c r="P907" s="82" t="n">
        <f aca="false">IF(C907="","",IFERROR(MATCH(Q907,'CARNET DE SOUDURE'!$AW$7:$AW$3006,0),""))</f>
        <v>901</v>
      </c>
      <c r="Q907" s="82" t="str">
        <f aca="false">IF(C907="","",B907&amp;"|"&amp;C907)</f>
        <v>MFD-ISW → MFD-CPF|DJ°459</v>
      </c>
    </row>
    <row r="908" customFormat="false" ht="74.6" hidden="false" customHeight="false" outlineLevel="0" collapsed="false">
      <c r="A908" s="82" t="n">
        <f aca="false">IF(C908="","",ROW()-6)</f>
        <v>902</v>
      </c>
      <c r="B908" s="80" t="s">
        <v>110</v>
      </c>
      <c r="C908" s="113" t="s">
        <v>1053</v>
      </c>
      <c r="D908" s="82" t="str">
        <f aca="false">IF(OR(C908="",P908=""),"",INDEX('CARNET DE SOUDURE'!$D$7:$D$3006,P908)&amp;"")</f>
        <v/>
      </c>
      <c r="E908" s="114" t="str">
        <f aca="false">IF(OR(C908="",P908=""),"",IF(INDEX('CARNET DE SOUDURE'!$U$7:$U$3006,P908)="","",INDEX('CARNET DE SOUDURE'!$U$7:$U$3006,P908)))</f>
        <v/>
      </c>
      <c r="F908" s="82" t="str">
        <f aca="false">IF(OR(C908="",P908=""),"",INDEX('CARNET DE SOUDURE'!$AP$7:$AP$3006,P908))</f>
        <v/>
      </c>
      <c r="G908" s="82" t="str">
        <f aca="false">IF(C908="","",IF(P908="","NJ INCONNU",INDEX('CARNET DE SOUDURE'!$AQ$7:$AQ$3006,P908)))</f>
        <v>À SOUDER</v>
      </c>
      <c r="H908" s="82" t="str">
        <f aca="false">IF(C908="","",IF(G908="ACCEPTÉ","OUI","NON"))</f>
        <v>NON</v>
      </c>
      <c r="I908" s="83"/>
      <c r="J908" s="80"/>
      <c r="K908" s="81"/>
      <c r="L908" s="81"/>
      <c r="M908" s="81"/>
      <c r="N908" s="84" t="str">
        <f aca="false">IF(C908="","",IF(P908="","NJ INCONNU",IF(I908="",IF(H908="OUI","À ENROBER",IF(G908="À SOUDER","NON SOUDÉ","EN ATTENTE RT")),IF(L908="R","À REPRENDRE",IF(H908&lt;&gt;"OUI","⚠ ENROBÉ AVANT ACCEPTATION RT","ENROBÉ")))))</f>
        <v>NON SOUDÉ</v>
      </c>
      <c r="O908" s="80"/>
      <c r="P908" s="82" t="n">
        <f aca="false">IF(C908="","",IFERROR(MATCH(Q908,'CARNET DE SOUDURE'!$AW$7:$AW$3006,0),""))</f>
        <v>902</v>
      </c>
      <c r="Q908" s="82" t="str">
        <f aca="false">IF(C908="","",B908&amp;"|"&amp;C908)</f>
        <v>MFD-ISW → MFD-CPF|JN°832</v>
      </c>
    </row>
    <row r="909" customFormat="false" ht="74.6" hidden="false" customHeight="false" outlineLevel="0" collapsed="false">
      <c r="A909" s="82" t="n">
        <f aca="false">IF(C909="","",ROW()-6)</f>
        <v>903</v>
      </c>
      <c r="B909" s="80" t="s">
        <v>110</v>
      </c>
      <c r="C909" s="113" t="s">
        <v>1055</v>
      </c>
      <c r="D909" s="82" t="str">
        <f aca="false">IF(OR(C909="",P909=""),"",INDEX('CARNET DE SOUDURE'!$D$7:$D$3006,P909)&amp;"")</f>
        <v>6</v>
      </c>
      <c r="E909" s="114" t="n">
        <f aca="false">IF(OR(C909="",P909=""),"",IF(INDEX('CARNET DE SOUDURE'!$U$7:$U$3006,P909)="","",INDEX('CARNET DE SOUDURE'!$U$7:$U$3006,P909)))</f>
        <v>46285</v>
      </c>
      <c r="F909" s="82" t="str">
        <f aca="false">IF(OR(C909="",P909=""),"",INDEX('CARNET DE SOUDURE'!$AP$7:$AP$3006,P909))</f>
        <v>A</v>
      </c>
      <c r="G909" s="82" t="str">
        <f aca="false">IF(C909="","",IF(P909="","NJ INCONNU",INDEX('CARNET DE SOUDURE'!$AQ$7:$AQ$3006,P909)))</f>
        <v>ACCEPTÉ</v>
      </c>
      <c r="H909" s="82" t="str">
        <f aca="false">IF(C909="","",IF(G909="ACCEPTÉ","OUI","NON"))</f>
        <v>OUI</v>
      </c>
      <c r="I909" s="83"/>
      <c r="J909" s="80"/>
      <c r="K909" s="81"/>
      <c r="L909" s="81"/>
      <c r="M909" s="81"/>
      <c r="N909" s="84" t="str">
        <f aca="false">IF(C909="","",IF(P909="","NJ INCONNU",IF(I909="",IF(H909="OUI","À ENROBER",IF(G909="À SOUDER","NON SOUDÉ","EN ATTENTE RT")),IF(L909="R","À REPRENDRE",IF(H909&lt;&gt;"OUI","⚠ ENROBÉ AVANT ACCEPTATION RT","ENROBÉ")))))</f>
        <v>À ENROBER</v>
      </c>
      <c r="O909" s="80"/>
      <c r="P909" s="82" t="n">
        <f aca="false">IF(C909="","",IFERROR(MATCH(Q909,'CARNET DE SOUDURE'!$AW$7:$AW$3006,0),""))</f>
        <v>903</v>
      </c>
      <c r="Q909" s="82" t="str">
        <f aca="false">IF(C909="","",B909&amp;"|"&amp;C909)</f>
        <v>MFD-ISW → MFD-CPF|DJ°458</v>
      </c>
    </row>
    <row r="910" customFormat="false" ht="74.6" hidden="false" customHeight="false" outlineLevel="0" collapsed="false">
      <c r="A910" s="82" t="n">
        <f aca="false">IF(C910="","",ROW()-6)</f>
        <v>904</v>
      </c>
      <c r="B910" s="80" t="s">
        <v>110</v>
      </c>
      <c r="C910" s="113" t="s">
        <v>1056</v>
      </c>
      <c r="D910" s="82" t="str">
        <f aca="false">IF(OR(C910="",P910=""),"",INDEX('CARNET DE SOUDURE'!$D$7:$D$3006,P910)&amp;"")</f>
        <v>6</v>
      </c>
      <c r="E910" s="114" t="n">
        <f aca="false">IF(OR(C910="",P910=""),"",IF(INDEX('CARNET DE SOUDURE'!$U$7:$U$3006,P910)="","",INDEX('CARNET DE SOUDURE'!$U$7:$U$3006,P910)))</f>
        <v>46287</v>
      </c>
      <c r="F910" s="82" t="str">
        <f aca="false">IF(OR(C910="",P910=""),"",INDEX('CARNET DE SOUDURE'!$AP$7:$AP$3006,P910))</f>
        <v>A</v>
      </c>
      <c r="G910" s="82" t="str">
        <f aca="false">IF(C910="","",IF(P910="","NJ INCONNU",INDEX('CARNET DE SOUDURE'!$AQ$7:$AQ$3006,P910)))</f>
        <v>ACCEPTÉ</v>
      </c>
      <c r="H910" s="82" t="str">
        <f aca="false">IF(C910="","",IF(G910="ACCEPTÉ","OUI","NON"))</f>
        <v>OUI</v>
      </c>
      <c r="I910" s="83"/>
      <c r="J910" s="80"/>
      <c r="K910" s="81"/>
      <c r="L910" s="81"/>
      <c r="M910" s="81"/>
      <c r="N910" s="84" t="str">
        <f aca="false">IF(C910="","",IF(P910="","NJ INCONNU",IF(I910="",IF(H910="OUI","À ENROBER",IF(G910="À SOUDER","NON SOUDÉ","EN ATTENTE RT")),IF(L910="R","À REPRENDRE",IF(H910&lt;&gt;"OUI","⚠ ENROBÉ AVANT ACCEPTATION RT","ENROBÉ")))))</f>
        <v>À ENROBER</v>
      </c>
      <c r="O910" s="80"/>
      <c r="P910" s="82" t="n">
        <f aca="false">IF(C910="","",IFERROR(MATCH(Q910,'CARNET DE SOUDURE'!$AW$7:$AW$3006,0),""))</f>
        <v>904</v>
      </c>
      <c r="Q910" s="82" t="str">
        <f aca="false">IF(C910="","",B910&amp;"|"&amp;C910)</f>
        <v>MFD-ISW → MFD-CPF|JN°833</v>
      </c>
    </row>
    <row r="911" customFormat="false" ht="74.6" hidden="false" customHeight="false" outlineLevel="0" collapsed="false">
      <c r="A911" s="82" t="n">
        <f aca="false">IF(C911="","",ROW()-6)</f>
        <v>905</v>
      </c>
      <c r="B911" s="80" t="s">
        <v>110</v>
      </c>
      <c r="C911" s="113" t="s">
        <v>1058</v>
      </c>
      <c r="D911" s="82" t="str">
        <f aca="false">IF(OR(C911="",P911=""),"",INDEX('CARNET DE SOUDURE'!$D$7:$D$3006,P911)&amp;"")</f>
        <v>6</v>
      </c>
      <c r="E911" s="114" t="n">
        <f aca="false">IF(OR(C911="",P911=""),"",IF(INDEX('CARNET DE SOUDURE'!$U$7:$U$3006,P911)="","",INDEX('CARNET DE SOUDURE'!$U$7:$U$3006,P911)))</f>
        <v>46285</v>
      </c>
      <c r="F911" s="82" t="str">
        <f aca="false">IF(OR(C911="",P911=""),"",INDEX('CARNET DE SOUDURE'!$AP$7:$AP$3006,P911))</f>
        <v>A</v>
      </c>
      <c r="G911" s="82" t="str">
        <f aca="false">IF(C911="","",IF(P911="","NJ INCONNU",INDEX('CARNET DE SOUDURE'!$AQ$7:$AQ$3006,P911)))</f>
        <v>ACCEPTÉ</v>
      </c>
      <c r="H911" s="82" t="str">
        <f aca="false">IF(C911="","",IF(G911="ACCEPTÉ","OUI","NON"))</f>
        <v>OUI</v>
      </c>
      <c r="I911" s="83"/>
      <c r="J911" s="80"/>
      <c r="K911" s="81"/>
      <c r="L911" s="81"/>
      <c r="M911" s="81"/>
      <c r="N911" s="84" t="str">
        <f aca="false">IF(C911="","",IF(P911="","NJ INCONNU",IF(I911="",IF(H911="OUI","À ENROBER",IF(G911="À SOUDER","NON SOUDÉ","EN ATTENTE RT")),IF(L911="R","À REPRENDRE",IF(H911&lt;&gt;"OUI","⚠ ENROBÉ AVANT ACCEPTATION RT","ENROBÉ")))))</f>
        <v>À ENROBER</v>
      </c>
      <c r="O911" s="80"/>
      <c r="P911" s="82" t="n">
        <f aca="false">IF(C911="","",IFERROR(MATCH(Q911,'CARNET DE SOUDURE'!$AW$7:$AW$3006,0),""))</f>
        <v>905</v>
      </c>
      <c r="Q911" s="82" t="str">
        <f aca="false">IF(C911="","",B911&amp;"|"&amp;C911)</f>
        <v>MFD-ISW → MFD-CPF|DJ°457</v>
      </c>
    </row>
    <row r="912" customFormat="false" ht="74.6" hidden="false" customHeight="false" outlineLevel="0" collapsed="false">
      <c r="A912" s="82" t="n">
        <f aca="false">IF(C912="","",ROW()-6)</f>
        <v>906</v>
      </c>
      <c r="B912" s="80" t="s">
        <v>110</v>
      </c>
      <c r="C912" s="113" t="s">
        <v>1059</v>
      </c>
      <c r="D912" s="82" t="str">
        <f aca="false">IF(OR(C912="",P912=""),"",INDEX('CARNET DE SOUDURE'!$D$7:$D$3006,P912)&amp;"")</f>
        <v>6</v>
      </c>
      <c r="E912" s="114" t="n">
        <f aca="false">IF(OR(C912="",P912=""),"",IF(INDEX('CARNET DE SOUDURE'!$U$7:$U$3006,P912)="","",INDEX('CARNET DE SOUDURE'!$U$7:$U$3006,P912)))</f>
        <v>46287</v>
      </c>
      <c r="F912" s="82" t="str">
        <f aca="false">IF(OR(C912="",P912=""),"",INDEX('CARNET DE SOUDURE'!$AP$7:$AP$3006,P912))</f>
        <v>A</v>
      </c>
      <c r="G912" s="82" t="str">
        <f aca="false">IF(C912="","",IF(P912="","NJ INCONNU",INDEX('CARNET DE SOUDURE'!$AQ$7:$AQ$3006,P912)))</f>
        <v>ACCEPTÉ</v>
      </c>
      <c r="H912" s="82" t="str">
        <f aca="false">IF(C912="","",IF(G912="ACCEPTÉ","OUI","NON"))</f>
        <v>OUI</v>
      </c>
      <c r="I912" s="83"/>
      <c r="J912" s="80"/>
      <c r="K912" s="81"/>
      <c r="L912" s="81"/>
      <c r="M912" s="81"/>
      <c r="N912" s="84" t="str">
        <f aca="false">IF(C912="","",IF(P912="","NJ INCONNU",IF(I912="",IF(H912="OUI","À ENROBER",IF(G912="À SOUDER","NON SOUDÉ","EN ATTENTE RT")),IF(L912="R","À REPRENDRE",IF(H912&lt;&gt;"OUI","⚠ ENROBÉ AVANT ACCEPTATION RT","ENROBÉ")))))</f>
        <v>À ENROBER</v>
      </c>
      <c r="O912" s="80"/>
      <c r="P912" s="82" t="n">
        <f aca="false">IF(C912="","",IFERROR(MATCH(Q912,'CARNET DE SOUDURE'!$AW$7:$AW$3006,0),""))</f>
        <v>906</v>
      </c>
      <c r="Q912" s="82" t="str">
        <f aca="false">IF(C912="","",B912&amp;"|"&amp;C912)</f>
        <v>MFD-ISW → MFD-CPF|JN°834</v>
      </c>
    </row>
    <row r="913" customFormat="false" ht="74.6" hidden="false" customHeight="false" outlineLevel="0" collapsed="false">
      <c r="A913" s="82" t="n">
        <f aca="false">IF(C913="","",ROW()-6)</f>
        <v>907</v>
      </c>
      <c r="B913" s="80" t="s">
        <v>110</v>
      </c>
      <c r="C913" s="113" t="s">
        <v>1060</v>
      </c>
      <c r="D913" s="82" t="str">
        <f aca="false">IF(OR(C913="",P913=""),"",INDEX('CARNET DE SOUDURE'!$D$7:$D$3006,P913)&amp;"")</f>
        <v>6</v>
      </c>
      <c r="E913" s="114" t="n">
        <f aca="false">IF(OR(C913="",P913=""),"",IF(INDEX('CARNET DE SOUDURE'!$U$7:$U$3006,P913)="","",INDEX('CARNET DE SOUDURE'!$U$7:$U$3006,P913)))</f>
        <v>46285</v>
      </c>
      <c r="F913" s="82" t="str">
        <f aca="false">IF(OR(C913="",P913=""),"",INDEX('CARNET DE SOUDURE'!$AP$7:$AP$3006,P913))</f>
        <v>A</v>
      </c>
      <c r="G913" s="82" t="str">
        <f aca="false">IF(C913="","",IF(P913="","NJ INCONNU",INDEX('CARNET DE SOUDURE'!$AQ$7:$AQ$3006,P913)))</f>
        <v>ACCEPTÉ</v>
      </c>
      <c r="H913" s="82" t="str">
        <f aca="false">IF(C913="","",IF(G913="ACCEPTÉ","OUI","NON"))</f>
        <v>OUI</v>
      </c>
      <c r="I913" s="83"/>
      <c r="J913" s="80"/>
      <c r="K913" s="81"/>
      <c r="L913" s="81"/>
      <c r="M913" s="81"/>
      <c r="N913" s="84" t="str">
        <f aca="false">IF(C913="","",IF(P913="","NJ INCONNU",IF(I913="",IF(H913="OUI","À ENROBER",IF(G913="À SOUDER","NON SOUDÉ","EN ATTENTE RT")),IF(L913="R","À REPRENDRE",IF(H913&lt;&gt;"OUI","⚠ ENROBÉ AVANT ACCEPTATION RT","ENROBÉ")))))</f>
        <v>À ENROBER</v>
      </c>
      <c r="O913" s="80"/>
      <c r="P913" s="82" t="n">
        <f aca="false">IF(C913="","",IFERROR(MATCH(Q913,'CARNET DE SOUDURE'!$AW$7:$AW$3006,0),""))</f>
        <v>907</v>
      </c>
      <c r="Q913" s="82" t="str">
        <f aca="false">IF(C913="","",B913&amp;"|"&amp;C913)</f>
        <v>MFD-ISW → MFD-CPF|DJ°454</v>
      </c>
    </row>
    <row r="914" customFormat="false" ht="74.6" hidden="false" customHeight="false" outlineLevel="0" collapsed="false">
      <c r="A914" s="82" t="n">
        <f aca="false">IF(C914="","",ROW()-6)</f>
        <v>908</v>
      </c>
      <c r="B914" s="80" t="s">
        <v>110</v>
      </c>
      <c r="C914" s="113" t="s">
        <v>1061</v>
      </c>
      <c r="D914" s="82" t="str">
        <f aca="false">IF(OR(C914="",P914=""),"",INDEX('CARNET DE SOUDURE'!$D$7:$D$3006,P914)&amp;"")</f>
        <v>6</v>
      </c>
      <c r="E914" s="114" t="n">
        <f aca="false">IF(OR(C914="",P914=""),"",IF(INDEX('CARNET DE SOUDURE'!$U$7:$U$3006,P914)="","",INDEX('CARNET DE SOUDURE'!$U$7:$U$3006,P914)))</f>
        <v>46286</v>
      </c>
      <c r="F914" s="82" t="str">
        <f aca="false">IF(OR(C914="",P914=""),"",INDEX('CARNET DE SOUDURE'!$AP$7:$AP$3006,P914))</f>
        <v>A</v>
      </c>
      <c r="G914" s="82" t="str">
        <f aca="false">IF(C914="","",IF(P914="","NJ INCONNU",INDEX('CARNET DE SOUDURE'!$AQ$7:$AQ$3006,P914)))</f>
        <v>ACCEPTÉ</v>
      </c>
      <c r="H914" s="82" t="str">
        <f aca="false">IF(C914="","",IF(G914="ACCEPTÉ","OUI","NON"))</f>
        <v>OUI</v>
      </c>
      <c r="I914" s="83"/>
      <c r="J914" s="80"/>
      <c r="K914" s="81"/>
      <c r="L914" s="81"/>
      <c r="M914" s="81"/>
      <c r="N914" s="84" t="str">
        <f aca="false">IF(C914="","",IF(P914="","NJ INCONNU",IF(I914="",IF(H914="OUI","À ENROBER",IF(G914="À SOUDER","NON SOUDÉ","EN ATTENTE RT")),IF(L914="R","À REPRENDRE",IF(H914&lt;&gt;"OUI","⚠ ENROBÉ AVANT ACCEPTATION RT","ENROBÉ")))))</f>
        <v>À ENROBER</v>
      </c>
      <c r="O914" s="80"/>
      <c r="P914" s="82" t="n">
        <f aca="false">IF(C914="","",IFERROR(MATCH(Q914,'CARNET DE SOUDURE'!$AW$7:$AW$3006,0),""))</f>
        <v>908</v>
      </c>
      <c r="Q914" s="82" t="str">
        <f aca="false">IF(C914="","",B914&amp;"|"&amp;C914)</f>
        <v>MFD-ISW → MFD-CPF|JN°835</v>
      </c>
    </row>
    <row r="915" customFormat="false" ht="74.6" hidden="false" customHeight="false" outlineLevel="0" collapsed="false">
      <c r="A915" s="82" t="n">
        <f aca="false">IF(C915="","",ROW()-6)</f>
        <v>909</v>
      </c>
      <c r="B915" s="80" t="s">
        <v>110</v>
      </c>
      <c r="C915" s="113" t="s">
        <v>1064</v>
      </c>
      <c r="D915" s="82" t="str">
        <f aca="false">IF(OR(C915="",P915=""),"",INDEX('CARNET DE SOUDURE'!$D$7:$D$3006,P915)&amp;"")</f>
        <v>6</v>
      </c>
      <c r="E915" s="114" t="n">
        <f aca="false">IF(OR(C915="",P915=""),"",IF(INDEX('CARNET DE SOUDURE'!$U$7:$U$3006,P915)="","",INDEX('CARNET DE SOUDURE'!$U$7:$U$3006,P915)))</f>
        <v>46284</v>
      </c>
      <c r="F915" s="82" t="str">
        <f aca="false">IF(OR(C915="",P915=""),"",INDEX('CARNET DE SOUDURE'!$AP$7:$AP$3006,P915))</f>
        <v>A</v>
      </c>
      <c r="G915" s="82" t="str">
        <f aca="false">IF(C915="","",IF(P915="","NJ INCONNU",INDEX('CARNET DE SOUDURE'!$AQ$7:$AQ$3006,P915)))</f>
        <v>ACCEPTÉ</v>
      </c>
      <c r="H915" s="82" t="str">
        <f aca="false">IF(C915="","",IF(G915="ACCEPTÉ","OUI","NON"))</f>
        <v>OUI</v>
      </c>
      <c r="I915" s="83"/>
      <c r="J915" s="80"/>
      <c r="K915" s="81"/>
      <c r="L915" s="81"/>
      <c r="M915" s="81"/>
      <c r="N915" s="84" t="str">
        <f aca="false">IF(C915="","",IF(P915="","NJ INCONNU",IF(I915="",IF(H915="OUI","À ENROBER",IF(G915="À SOUDER","NON SOUDÉ","EN ATTENTE RT")),IF(L915="R","À REPRENDRE",IF(H915&lt;&gt;"OUI","⚠ ENROBÉ AVANT ACCEPTATION RT","ENROBÉ")))))</f>
        <v>À ENROBER</v>
      </c>
      <c r="O915" s="80"/>
      <c r="P915" s="82" t="n">
        <f aca="false">IF(C915="","",IFERROR(MATCH(Q915,'CARNET DE SOUDURE'!$AW$7:$AW$3006,0),""))</f>
        <v>909</v>
      </c>
      <c r="Q915" s="82" t="str">
        <f aca="false">IF(C915="","",B915&amp;"|"&amp;C915)</f>
        <v>MFD-ISW → MFD-CPF|DJ°432</v>
      </c>
    </row>
    <row r="916" customFormat="false" ht="74.6" hidden="false" customHeight="false" outlineLevel="0" collapsed="false">
      <c r="A916" s="82" t="n">
        <f aca="false">IF(C916="","",ROW()-6)</f>
        <v>910</v>
      </c>
      <c r="B916" s="80" t="s">
        <v>110</v>
      </c>
      <c r="C916" s="113" t="s">
        <v>1065</v>
      </c>
      <c r="D916" s="82" t="str">
        <f aca="false">IF(OR(C916="",P916=""),"",INDEX('CARNET DE SOUDURE'!$D$7:$D$3006,P916)&amp;"")</f>
        <v>6</v>
      </c>
      <c r="E916" s="114" t="n">
        <f aca="false">IF(OR(C916="",P916=""),"",IF(INDEX('CARNET DE SOUDURE'!$U$7:$U$3006,P916)="","",INDEX('CARNET DE SOUDURE'!$U$7:$U$3006,P916)))</f>
        <v>46286</v>
      </c>
      <c r="F916" s="82" t="str">
        <f aca="false">IF(OR(C916="",P916=""),"",INDEX('CARNET DE SOUDURE'!$AP$7:$AP$3006,P916))</f>
        <v>A</v>
      </c>
      <c r="G916" s="82" t="str">
        <f aca="false">IF(C916="","",IF(P916="","NJ INCONNU",INDEX('CARNET DE SOUDURE'!$AQ$7:$AQ$3006,P916)))</f>
        <v>ACCEPTÉ</v>
      </c>
      <c r="H916" s="82" t="str">
        <f aca="false">IF(C916="","",IF(G916="ACCEPTÉ","OUI","NON"))</f>
        <v>OUI</v>
      </c>
      <c r="I916" s="83"/>
      <c r="J916" s="80"/>
      <c r="K916" s="81"/>
      <c r="L916" s="81"/>
      <c r="M916" s="81"/>
      <c r="N916" s="84" t="str">
        <f aca="false">IF(C916="","",IF(P916="","NJ INCONNU",IF(I916="",IF(H916="OUI","À ENROBER",IF(G916="À SOUDER","NON SOUDÉ","EN ATTENTE RT")),IF(L916="R","À REPRENDRE",IF(H916&lt;&gt;"OUI","⚠ ENROBÉ AVANT ACCEPTATION RT","ENROBÉ")))))</f>
        <v>À ENROBER</v>
      </c>
      <c r="O916" s="80"/>
      <c r="P916" s="82" t="n">
        <f aca="false">IF(C916="","",IFERROR(MATCH(Q916,'CARNET DE SOUDURE'!$AW$7:$AW$3006,0),""))</f>
        <v>910</v>
      </c>
      <c r="Q916" s="82" t="str">
        <f aca="false">IF(C916="","",B916&amp;"|"&amp;C916)</f>
        <v>MFD-ISW → MFD-CPF|JN°836</v>
      </c>
    </row>
    <row r="917" customFormat="false" ht="74.6" hidden="false" customHeight="false" outlineLevel="0" collapsed="false">
      <c r="A917" s="82" t="n">
        <f aca="false">IF(C917="","",ROW()-6)</f>
        <v>911</v>
      </c>
      <c r="B917" s="80" t="s">
        <v>110</v>
      </c>
      <c r="C917" s="113" t="s">
        <v>1066</v>
      </c>
      <c r="D917" s="82" t="str">
        <f aca="false">IF(OR(C917="",P917=""),"",INDEX('CARNET DE SOUDURE'!$D$7:$D$3006,P917)&amp;"")</f>
        <v>6</v>
      </c>
      <c r="E917" s="114" t="n">
        <f aca="false">IF(OR(C917="",P917=""),"",IF(INDEX('CARNET DE SOUDURE'!$U$7:$U$3006,P917)="","",INDEX('CARNET DE SOUDURE'!$U$7:$U$3006,P917)))</f>
        <v>46284</v>
      </c>
      <c r="F917" s="82" t="str">
        <f aca="false">IF(OR(C917="",P917=""),"",INDEX('CARNET DE SOUDURE'!$AP$7:$AP$3006,P917))</f>
        <v>A</v>
      </c>
      <c r="G917" s="82" t="str">
        <f aca="false">IF(C917="","",IF(P917="","NJ INCONNU",INDEX('CARNET DE SOUDURE'!$AQ$7:$AQ$3006,P917)))</f>
        <v>ACCEPTÉ</v>
      </c>
      <c r="H917" s="82" t="str">
        <f aca="false">IF(C917="","",IF(G917="ACCEPTÉ","OUI","NON"))</f>
        <v>OUI</v>
      </c>
      <c r="I917" s="83"/>
      <c r="J917" s="80"/>
      <c r="K917" s="81"/>
      <c r="L917" s="81"/>
      <c r="M917" s="81"/>
      <c r="N917" s="84" t="str">
        <f aca="false">IF(C917="","",IF(P917="","NJ INCONNU",IF(I917="",IF(H917="OUI","À ENROBER",IF(G917="À SOUDER","NON SOUDÉ","EN ATTENTE RT")),IF(L917="R","À REPRENDRE",IF(H917&lt;&gt;"OUI","⚠ ENROBÉ AVANT ACCEPTATION RT","ENROBÉ")))))</f>
        <v>À ENROBER</v>
      </c>
      <c r="O917" s="80"/>
      <c r="P917" s="82" t="n">
        <f aca="false">IF(C917="","",IFERROR(MATCH(Q917,'CARNET DE SOUDURE'!$AW$7:$AW$3006,0),""))</f>
        <v>911</v>
      </c>
      <c r="Q917" s="82" t="str">
        <f aca="false">IF(C917="","",B917&amp;"|"&amp;C917)</f>
        <v>MFD-ISW → MFD-CPF|DJ°429</v>
      </c>
    </row>
    <row r="918" customFormat="false" ht="74.6" hidden="false" customHeight="false" outlineLevel="0" collapsed="false">
      <c r="A918" s="82" t="n">
        <f aca="false">IF(C918="","",ROW()-6)</f>
        <v>912</v>
      </c>
      <c r="B918" s="80" t="s">
        <v>110</v>
      </c>
      <c r="C918" s="113" t="s">
        <v>1067</v>
      </c>
      <c r="D918" s="82" t="str">
        <f aca="false">IF(OR(C918="",P918=""),"",INDEX('CARNET DE SOUDURE'!$D$7:$D$3006,P918)&amp;"")</f>
        <v>6</v>
      </c>
      <c r="E918" s="114" t="n">
        <f aca="false">IF(OR(C918="",P918=""),"",IF(INDEX('CARNET DE SOUDURE'!$U$7:$U$3006,P918)="","",INDEX('CARNET DE SOUDURE'!$U$7:$U$3006,P918)))</f>
        <v>46286</v>
      </c>
      <c r="F918" s="82" t="str">
        <f aca="false">IF(OR(C918="",P918=""),"",INDEX('CARNET DE SOUDURE'!$AP$7:$AP$3006,P918))</f>
        <v>A</v>
      </c>
      <c r="G918" s="82" t="str">
        <f aca="false">IF(C918="","",IF(P918="","NJ INCONNU",INDEX('CARNET DE SOUDURE'!$AQ$7:$AQ$3006,P918)))</f>
        <v>ACCEPTÉ</v>
      </c>
      <c r="H918" s="82" t="str">
        <f aca="false">IF(C918="","",IF(G918="ACCEPTÉ","OUI","NON"))</f>
        <v>OUI</v>
      </c>
      <c r="I918" s="83"/>
      <c r="J918" s="80"/>
      <c r="K918" s="81"/>
      <c r="L918" s="81"/>
      <c r="M918" s="81"/>
      <c r="N918" s="84" t="str">
        <f aca="false">IF(C918="","",IF(P918="","NJ INCONNU",IF(I918="",IF(H918="OUI","À ENROBER",IF(G918="À SOUDER","NON SOUDÉ","EN ATTENTE RT")),IF(L918="R","À REPRENDRE",IF(H918&lt;&gt;"OUI","⚠ ENROBÉ AVANT ACCEPTATION RT","ENROBÉ")))))</f>
        <v>À ENROBER</v>
      </c>
      <c r="O918" s="80"/>
      <c r="P918" s="82" t="n">
        <f aca="false">IF(C918="","",IFERROR(MATCH(Q918,'CARNET DE SOUDURE'!$AW$7:$AW$3006,0),""))</f>
        <v>912</v>
      </c>
      <c r="Q918" s="82" t="str">
        <f aca="false">IF(C918="","",B918&amp;"|"&amp;C918)</f>
        <v>MFD-ISW → MFD-CPF|JN°837</v>
      </c>
    </row>
    <row r="919" customFormat="false" ht="74.6" hidden="false" customHeight="false" outlineLevel="0" collapsed="false">
      <c r="A919" s="82" t="n">
        <f aca="false">IF(C919="","",ROW()-6)</f>
        <v>913</v>
      </c>
      <c r="B919" s="80" t="s">
        <v>110</v>
      </c>
      <c r="C919" s="113" t="s">
        <v>1069</v>
      </c>
      <c r="D919" s="82" t="str">
        <f aca="false">IF(OR(C919="",P919=""),"",INDEX('CARNET DE SOUDURE'!$D$7:$D$3006,P919)&amp;"")</f>
        <v>6</v>
      </c>
      <c r="E919" s="114" t="n">
        <f aca="false">IF(OR(C919="",P919=""),"",IF(INDEX('CARNET DE SOUDURE'!$U$7:$U$3006,P919)="","",INDEX('CARNET DE SOUDURE'!$U$7:$U$3006,P919)))</f>
        <v>46284</v>
      </c>
      <c r="F919" s="82" t="str">
        <f aca="false">IF(OR(C919="",P919=""),"",INDEX('CARNET DE SOUDURE'!$AP$7:$AP$3006,P919))</f>
        <v>A</v>
      </c>
      <c r="G919" s="82" t="str">
        <f aca="false">IF(C919="","",IF(P919="","NJ INCONNU",INDEX('CARNET DE SOUDURE'!$AQ$7:$AQ$3006,P919)))</f>
        <v>ACCEPTÉ</v>
      </c>
      <c r="H919" s="82" t="str">
        <f aca="false">IF(C919="","",IF(G919="ACCEPTÉ","OUI","NON"))</f>
        <v>OUI</v>
      </c>
      <c r="I919" s="83"/>
      <c r="J919" s="80"/>
      <c r="K919" s="81"/>
      <c r="L919" s="81"/>
      <c r="M919" s="81"/>
      <c r="N919" s="84" t="str">
        <f aca="false">IF(C919="","",IF(P919="","NJ INCONNU",IF(I919="",IF(H919="OUI","À ENROBER",IF(G919="À SOUDER","NON SOUDÉ","EN ATTENTE RT")),IF(L919="R","À REPRENDRE",IF(H919&lt;&gt;"OUI","⚠ ENROBÉ AVANT ACCEPTATION RT","ENROBÉ")))))</f>
        <v>À ENROBER</v>
      </c>
      <c r="O919" s="80"/>
      <c r="P919" s="82" t="n">
        <f aca="false">IF(C919="","",IFERROR(MATCH(Q919,'CARNET DE SOUDURE'!$AW$7:$AW$3006,0),""))</f>
        <v>913</v>
      </c>
      <c r="Q919" s="82" t="str">
        <f aca="false">IF(C919="","",B919&amp;"|"&amp;C919)</f>
        <v>MFD-ISW → MFD-CPF|DJ°431</v>
      </c>
    </row>
    <row r="920" customFormat="false" ht="74.6" hidden="false" customHeight="false" outlineLevel="0" collapsed="false">
      <c r="A920" s="82" t="n">
        <f aca="false">IF(C920="","",ROW()-6)</f>
        <v>914</v>
      </c>
      <c r="B920" s="80" t="s">
        <v>110</v>
      </c>
      <c r="C920" s="113" t="s">
        <v>1070</v>
      </c>
      <c r="D920" s="82" t="str">
        <f aca="false">IF(OR(C920="",P920=""),"",INDEX('CARNET DE SOUDURE'!$D$7:$D$3006,P920)&amp;"")</f>
        <v>6</v>
      </c>
      <c r="E920" s="114" t="n">
        <f aca="false">IF(OR(C920="",P920=""),"",IF(INDEX('CARNET DE SOUDURE'!$U$7:$U$3006,P920)="","",INDEX('CARNET DE SOUDURE'!$U$7:$U$3006,P920)))</f>
        <v>46286</v>
      </c>
      <c r="F920" s="82" t="str">
        <f aca="false">IF(OR(C920="",P920=""),"",INDEX('CARNET DE SOUDURE'!$AP$7:$AP$3006,P920))</f>
        <v>A</v>
      </c>
      <c r="G920" s="82" t="str">
        <f aca="false">IF(C920="","",IF(P920="","NJ INCONNU",INDEX('CARNET DE SOUDURE'!$AQ$7:$AQ$3006,P920)))</f>
        <v>ACCEPTÉ</v>
      </c>
      <c r="H920" s="82" t="str">
        <f aca="false">IF(C920="","",IF(G920="ACCEPTÉ","OUI","NON"))</f>
        <v>OUI</v>
      </c>
      <c r="I920" s="83"/>
      <c r="J920" s="80"/>
      <c r="K920" s="81"/>
      <c r="L920" s="81"/>
      <c r="M920" s="81"/>
      <c r="N920" s="84" t="str">
        <f aca="false">IF(C920="","",IF(P920="","NJ INCONNU",IF(I920="",IF(H920="OUI","À ENROBER",IF(G920="À SOUDER","NON SOUDÉ","EN ATTENTE RT")),IF(L920="R","À REPRENDRE",IF(H920&lt;&gt;"OUI","⚠ ENROBÉ AVANT ACCEPTATION RT","ENROBÉ")))))</f>
        <v>À ENROBER</v>
      </c>
      <c r="O920" s="80"/>
      <c r="P920" s="82" t="n">
        <f aca="false">IF(C920="","",IFERROR(MATCH(Q920,'CARNET DE SOUDURE'!$AW$7:$AW$3006,0),""))</f>
        <v>914</v>
      </c>
      <c r="Q920" s="82" t="str">
        <f aca="false">IF(C920="","",B920&amp;"|"&amp;C920)</f>
        <v>MFD-ISW → MFD-CPF|JN°838</v>
      </c>
    </row>
    <row r="921" customFormat="false" ht="74.6" hidden="false" customHeight="false" outlineLevel="0" collapsed="false">
      <c r="A921" s="82" t="n">
        <f aca="false">IF(C921="","",ROW()-6)</f>
        <v>915</v>
      </c>
      <c r="B921" s="80" t="s">
        <v>110</v>
      </c>
      <c r="C921" s="113" t="s">
        <v>1071</v>
      </c>
      <c r="D921" s="82" t="str">
        <f aca="false">IF(OR(C921="",P921=""),"",INDEX('CARNET DE SOUDURE'!$D$7:$D$3006,P921)&amp;"")</f>
        <v>6</v>
      </c>
      <c r="E921" s="114" t="n">
        <f aca="false">IF(OR(C921="",P921=""),"",IF(INDEX('CARNET DE SOUDURE'!$U$7:$U$3006,P921)="","",INDEX('CARNET DE SOUDURE'!$U$7:$U$3006,P921)))</f>
        <v>46284</v>
      </c>
      <c r="F921" s="82" t="str">
        <f aca="false">IF(OR(C921="",P921=""),"",INDEX('CARNET DE SOUDURE'!$AP$7:$AP$3006,P921))</f>
        <v>R</v>
      </c>
      <c r="G921" s="82" t="str">
        <f aca="false">IF(C921="","",IF(P921="","NJ INCONNU",INDEX('CARNET DE SOUDURE'!$AQ$7:$AQ$3006,P921)))</f>
        <v>À RÉPARER</v>
      </c>
      <c r="H921" s="82" t="str">
        <f aca="false">IF(C921="","",IF(G921="ACCEPTÉ","OUI","NON"))</f>
        <v>NON</v>
      </c>
      <c r="I921" s="83"/>
      <c r="J921" s="80"/>
      <c r="K921" s="81"/>
      <c r="L921" s="81"/>
      <c r="M921" s="81"/>
      <c r="N921" s="84" t="str">
        <f aca="false">IF(C921="","",IF(P921="","NJ INCONNU",IF(I921="",IF(H921="OUI","À ENROBER",IF(G921="À SOUDER","NON SOUDÉ","EN ATTENTE RT")),IF(L921="R","À REPRENDRE",IF(H921&lt;&gt;"OUI","⚠ ENROBÉ AVANT ACCEPTATION RT","ENROBÉ")))))</f>
        <v>EN ATTENTE RT</v>
      </c>
      <c r="O921" s="80"/>
      <c r="P921" s="82" t="n">
        <f aca="false">IF(C921="","",IFERROR(MATCH(Q921,'CARNET DE SOUDURE'!$AW$7:$AW$3006,0),""))</f>
        <v>915</v>
      </c>
      <c r="Q921" s="82" t="str">
        <f aca="false">IF(C921="","",B921&amp;"|"&amp;C921)</f>
        <v>MFD-ISW → MFD-CPF|DJ°443</v>
      </c>
    </row>
    <row r="922" customFormat="false" ht="74.6" hidden="false" customHeight="false" outlineLevel="0" collapsed="false">
      <c r="A922" s="82" t="n">
        <f aca="false">IF(C922="","",ROW()-6)</f>
        <v>916</v>
      </c>
      <c r="B922" s="80" t="s">
        <v>110</v>
      </c>
      <c r="C922" s="113" t="s">
        <v>1075</v>
      </c>
      <c r="D922" s="82" t="str">
        <f aca="false">IF(OR(C922="",P922=""),"",INDEX('CARNET DE SOUDURE'!$D$7:$D$3006,P922)&amp;"")</f>
        <v>6</v>
      </c>
      <c r="E922" s="114" t="n">
        <f aca="false">IF(OR(C922="",P922=""),"",IF(INDEX('CARNET DE SOUDURE'!$U$7:$U$3006,P922)="","",INDEX('CARNET DE SOUDURE'!$U$7:$U$3006,P922)))</f>
        <v>46286</v>
      </c>
      <c r="F922" s="82" t="str">
        <f aca="false">IF(OR(C922="",P922=""),"",INDEX('CARNET DE SOUDURE'!$AP$7:$AP$3006,P922))</f>
        <v>A</v>
      </c>
      <c r="G922" s="82" t="str">
        <f aca="false">IF(C922="","",IF(P922="","NJ INCONNU",INDEX('CARNET DE SOUDURE'!$AQ$7:$AQ$3006,P922)))</f>
        <v>ACCEPTÉ</v>
      </c>
      <c r="H922" s="82" t="str">
        <f aca="false">IF(C922="","",IF(G922="ACCEPTÉ","OUI","NON"))</f>
        <v>OUI</v>
      </c>
      <c r="I922" s="83"/>
      <c r="J922" s="80"/>
      <c r="K922" s="81"/>
      <c r="L922" s="81"/>
      <c r="M922" s="81"/>
      <c r="N922" s="84" t="str">
        <f aca="false">IF(C922="","",IF(P922="","NJ INCONNU",IF(I922="",IF(H922="OUI","À ENROBER",IF(G922="À SOUDER","NON SOUDÉ","EN ATTENTE RT")),IF(L922="R","À REPRENDRE",IF(H922&lt;&gt;"OUI","⚠ ENROBÉ AVANT ACCEPTATION RT","ENROBÉ")))))</f>
        <v>À ENROBER</v>
      </c>
      <c r="O922" s="80"/>
      <c r="P922" s="82" t="n">
        <f aca="false">IF(C922="","",IFERROR(MATCH(Q922,'CARNET DE SOUDURE'!$AW$7:$AW$3006,0),""))</f>
        <v>916</v>
      </c>
      <c r="Q922" s="82" t="str">
        <f aca="false">IF(C922="","",B922&amp;"|"&amp;C922)</f>
        <v>MFD-ISW → MFD-CPF|JN°839</v>
      </c>
    </row>
    <row r="923" customFormat="false" ht="74.6" hidden="false" customHeight="false" outlineLevel="0" collapsed="false">
      <c r="A923" s="82" t="n">
        <f aca="false">IF(C923="","",ROW()-6)</f>
        <v>917</v>
      </c>
      <c r="B923" s="80" t="s">
        <v>110</v>
      </c>
      <c r="C923" s="113" t="s">
        <v>1076</v>
      </c>
      <c r="D923" s="82" t="str">
        <f aca="false">IF(OR(C923="",P923=""),"",INDEX('CARNET DE SOUDURE'!$D$7:$D$3006,P923)&amp;"")</f>
        <v>6</v>
      </c>
      <c r="E923" s="114" t="n">
        <f aca="false">IF(OR(C923="",P923=""),"",IF(INDEX('CARNET DE SOUDURE'!$U$7:$U$3006,P923)="","",INDEX('CARNET DE SOUDURE'!$U$7:$U$3006,P923)))</f>
        <v>46283</v>
      </c>
      <c r="F923" s="82" t="str">
        <f aca="false">IF(OR(C923="",P923=""),"",INDEX('CARNET DE SOUDURE'!$AP$7:$AP$3006,P923))</f>
        <v>A</v>
      </c>
      <c r="G923" s="82" t="str">
        <f aca="false">IF(C923="","",IF(P923="","NJ INCONNU",INDEX('CARNET DE SOUDURE'!$AQ$7:$AQ$3006,P923)))</f>
        <v>ACCEPTÉ</v>
      </c>
      <c r="H923" s="82" t="str">
        <f aca="false">IF(C923="","",IF(G923="ACCEPTÉ","OUI","NON"))</f>
        <v>OUI</v>
      </c>
      <c r="I923" s="83"/>
      <c r="J923" s="80"/>
      <c r="K923" s="81"/>
      <c r="L923" s="81"/>
      <c r="M923" s="81"/>
      <c r="N923" s="84" t="str">
        <f aca="false">IF(C923="","",IF(P923="","NJ INCONNU",IF(I923="",IF(H923="OUI","À ENROBER",IF(G923="À SOUDER","NON SOUDÉ","EN ATTENTE RT")),IF(L923="R","À REPRENDRE",IF(H923&lt;&gt;"OUI","⚠ ENROBÉ AVANT ACCEPTATION RT","ENROBÉ")))))</f>
        <v>À ENROBER</v>
      </c>
      <c r="O923" s="80"/>
      <c r="P923" s="82" t="n">
        <f aca="false">IF(C923="","",IFERROR(MATCH(Q923,'CARNET DE SOUDURE'!$AW$7:$AW$3006,0),""))</f>
        <v>917</v>
      </c>
      <c r="Q923" s="82" t="str">
        <f aca="false">IF(C923="","",B923&amp;"|"&amp;C923)</f>
        <v>MFD-ISW → MFD-CPF|DJ°420</v>
      </c>
    </row>
    <row r="924" customFormat="false" ht="74.6" hidden="false" customHeight="false" outlineLevel="0" collapsed="false">
      <c r="A924" s="82" t="n">
        <f aca="false">IF(C924="","",ROW()-6)</f>
        <v>918</v>
      </c>
      <c r="B924" s="80" t="s">
        <v>110</v>
      </c>
      <c r="C924" s="113" t="s">
        <v>1079</v>
      </c>
      <c r="D924" s="82" t="str">
        <f aca="false">IF(OR(C924="",P924=""),"",INDEX('CARNET DE SOUDURE'!$D$7:$D$3006,P924)&amp;"")</f>
        <v>6</v>
      </c>
      <c r="E924" s="114" t="n">
        <f aca="false">IF(OR(C924="",P924=""),"",IF(INDEX('CARNET DE SOUDURE'!$U$7:$U$3006,P924)="","",INDEX('CARNET DE SOUDURE'!$U$7:$U$3006,P924)))</f>
        <v>46286</v>
      </c>
      <c r="F924" s="82" t="str">
        <f aca="false">IF(OR(C924="",P924=""),"",INDEX('CARNET DE SOUDURE'!$AP$7:$AP$3006,P924))</f>
        <v>A</v>
      </c>
      <c r="G924" s="82" t="str">
        <f aca="false">IF(C924="","",IF(P924="","NJ INCONNU",INDEX('CARNET DE SOUDURE'!$AQ$7:$AQ$3006,P924)))</f>
        <v>ACCEPTÉ</v>
      </c>
      <c r="H924" s="82" t="str">
        <f aca="false">IF(C924="","",IF(G924="ACCEPTÉ","OUI","NON"))</f>
        <v>OUI</v>
      </c>
      <c r="I924" s="83"/>
      <c r="J924" s="80"/>
      <c r="K924" s="81"/>
      <c r="L924" s="81"/>
      <c r="M924" s="81"/>
      <c r="N924" s="84" t="str">
        <f aca="false">IF(C924="","",IF(P924="","NJ INCONNU",IF(I924="",IF(H924="OUI","À ENROBER",IF(G924="À SOUDER","NON SOUDÉ","EN ATTENTE RT")),IF(L924="R","À REPRENDRE",IF(H924&lt;&gt;"OUI","⚠ ENROBÉ AVANT ACCEPTATION RT","ENROBÉ")))))</f>
        <v>À ENROBER</v>
      </c>
      <c r="O924" s="80"/>
      <c r="P924" s="82" t="n">
        <f aca="false">IF(C924="","",IFERROR(MATCH(Q924,'CARNET DE SOUDURE'!$AW$7:$AW$3006,0),""))</f>
        <v>918</v>
      </c>
      <c r="Q924" s="82" t="str">
        <f aca="false">IF(C924="","",B924&amp;"|"&amp;C924)</f>
        <v>MFD-ISW → MFD-CPF|JN°840</v>
      </c>
    </row>
    <row r="925" customFormat="false" ht="74.6" hidden="false" customHeight="false" outlineLevel="0" collapsed="false">
      <c r="A925" s="82" t="n">
        <f aca="false">IF(C925="","",ROW()-6)</f>
        <v>919</v>
      </c>
      <c r="B925" s="80" t="s">
        <v>110</v>
      </c>
      <c r="C925" s="113" t="s">
        <v>1080</v>
      </c>
      <c r="D925" s="82" t="str">
        <f aca="false">IF(OR(C925="",P925=""),"",INDEX('CARNET DE SOUDURE'!$D$7:$D$3006,P925)&amp;"")</f>
        <v>6</v>
      </c>
      <c r="E925" s="114" t="n">
        <f aca="false">IF(OR(C925="",P925=""),"",IF(INDEX('CARNET DE SOUDURE'!$U$7:$U$3006,P925)="","",INDEX('CARNET DE SOUDURE'!$U$7:$U$3006,P925)))</f>
        <v>46284</v>
      </c>
      <c r="F925" s="82" t="str">
        <f aca="false">IF(OR(C925="",P925=""),"",INDEX('CARNET DE SOUDURE'!$AP$7:$AP$3006,P925))</f>
        <v>A</v>
      </c>
      <c r="G925" s="82" t="str">
        <f aca="false">IF(C925="","",IF(P925="","NJ INCONNU",INDEX('CARNET DE SOUDURE'!$AQ$7:$AQ$3006,P925)))</f>
        <v>ACCEPTÉ</v>
      </c>
      <c r="H925" s="82" t="str">
        <f aca="false">IF(C925="","",IF(G925="ACCEPTÉ","OUI","NON"))</f>
        <v>OUI</v>
      </c>
      <c r="I925" s="83"/>
      <c r="J925" s="80"/>
      <c r="K925" s="81"/>
      <c r="L925" s="81"/>
      <c r="M925" s="81"/>
      <c r="N925" s="84" t="str">
        <f aca="false">IF(C925="","",IF(P925="","NJ INCONNU",IF(I925="",IF(H925="OUI","À ENROBER",IF(G925="À SOUDER","NON SOUDÉ","EN ATTENTE RT")),IF(L925="R","À REPRENDRE",IF(H925&lt;&gt;"OUI","⚠ ENROBÉ AVANT ACCEPTATION RT","ENROBÉ")))))</f>
        <v>À ENROBER</v>
      </c>
      <c r="O925" s="80"/>
      <c r="P925" s="82" t="n">
        <f aca="false">IF(C925="","",IFERROR(MATCH(Q925,'CARNET DE SOUDURE'!$AW$7:$AW$3006,0),""))</f>
        <v>919</v>
      </c>
      <c r="Q925" s="82" t="str">
        <f aca="false">IF(C925="","",B925&amp;"|"&amp;C925)</f>
        <v>MFD-ISW → MFD-CPF|DJ°433</v>
      </c>
    </row>
    <row r="926" customFormat="false" ht="74.6" hidden="false" customHeight="false" outlineLevel="0" collapsed="false">
      <c r="A926" s="82" t="n">
        <f aca="false">IF(C926="","",ROW()-6)</f>
        <v>920</v>
      </c>
      <c r="B926" s="80" t="s">
        <v>110</v>
      </c>
      <c r="C926" s="113" t="s">
        <v>1081</v>
      </c>
      <c r="D926" s="82" t="str">
        <f aca="false">IF(OR(C926="",P926=""),"",INDEX('CARNET DE SOUDURE'!$D$7:$D$3006,P926)&amp;"")</f>
        <v>6</v>
      </c>
      <c r="E926" s="114" t="n">
        <f aca="false">IF(OR(C926="",P926=""),"",IF(INDEX('CARNET DE SOUDURE'!$U$7:$U$3006,P926)="","",INDEX('CARNET DE SOUDURE'!$U$7:$U$3006,P926)))</f>
        <v>46286</v>
      </c>
      <c r="F926" s="82" t="str">
        <f aca="false">IF(OR(C926="",P926=""),"",INDEX('CARNET DE SOUDURE'!$AP$7:$AP$3006,P926))</f>
        <v>A</v>
      </c>
      <c r="G926" s="82" t="str">
        <f aca="false">IF(C926="","",IF(P926="","NJ INCONNU",INDEX('CARNET DE SOUDURE'!$AQ$7:$AQ$3006,P926)))</f>
        <v>ACCEPTÉ</v>
      </c>
      <c r="H926" s="82" t="str">
        <f aca="false">IF(C926="","",IF(G926="ACCEPTÉ","OUI","NON"))</f>
        <v>OUI</v>
      </c>
      <c r="I926" s="83"/>
      <c r="J926" s="80"/>
      <c r="K926" s="81"/>
      <c r="L926" s="81"/>
      <c r="M926" s="81"/>
      <c r="N926" s="84" t="str">
        <f aca="false">IF(C926="","",IF(P926="","NJ INCONNU",IF(I926="",IF(H926="OUI","À ENROBER",IF(G926="À SOUDER","NON SOUDÉ","EN ATTENTE RT")),IF(L926="R","À REPRENDRE",IF(H926&lt;&gt;"OUI","⚠ ENROBÉ AVANT ACCEPTATION RT","ENROBÉ")))))</f>
        <v>À ENROBER</v>
      </c>
      <c r="O926" s="80"/>
      <c r="P926" s="82" t="n">
        <f aca="false">IF(C926="","",IFERROR(MATCH(Q926,'CARNET DE SOUDURE'!$AW$7:$AW$3006,0),""))</f>
        <v>920</v>
      </c>
      <c r="Q926" s="82" t="str">
        <f aca="false">IF(C926="","",B926&amp;"|"&amp;C926)</f>
        <v>MFD-ISW → MFD-CPF|JN°841</v>
      </c>
    </row>
    <row r="927" customFormat="false" ht="74.6" hidden="false" customHeight="false" outlineLevel="0" collapsed="false">
      <c r="A927" s="82" t="n">
        <f aca="false">IF(C927="","",ROW()-6)</f>
        <v>921</v>
      </c>
      <c r="B927" s="80" t="s">
        <v>110</v>
      </c>
      <c r="C927" s="113" t="s">
        <v>1082</v>
      </c>
      <c r="D927" s="82" t="str">
        <f aca="false">IF(OR(C927="",P927=""),"",INDEX('CARNET DE SOUDURE'!$D$7:$D$3006,P927)&amp;"")</f>
        <v>6</v>
      </c>
      <c r="E927" s="114" t="n">
        <f aca="false">IF(OR(C927="",P927=""),"",IF(INDEX('CARNET DE SOUDURE'!$U$7:$U$3006,P927)="","",INDEX('CARNET DE SOUDURE'!$U$7:$U$3006,P927)))</f>
        <v>46283</v>
      </c>
      <c r="F927" s="82" t="str">
        <f aca="false">IF(OR(C927="",P927=""),"",INDEX('CARNET DE SOUDURE'!$AP$7:$AP$3006,P927))</f>
        <v>A</v>
      </c>
      <c r="G927" s="82" t="str">
        <f aca="false">IF(C927="","",IF(P927="","NJ INCONNU",INDEX('CARNET DE SOUDURE'!$AQ$7:$AQ$3006,P927)))</f>
        <v>ACCEPTÉ</v>
      </c>
      <c r="H927" s="82" t="str">
        <f aca="false">IF(C927="","",IF(G927="ACCEPTÉ","OUI","NON"))</f>
        <v>OUI</v>
      </c>
      <c r="I927" s="83"/>
      <c r="J927" s="80"/>
      <c r="K927" s="81"/>
      <c r="L927" s="81"/>
      <c r="M927" s="81"/>
      <c r="N927" s="84" t="str">
        <f aca="false">IF(C927="","",IF(P927="","NJ INCONNU",IF(I927="",IF(H927="OUI","À ENROBER",IF(G927="À SOUDER","NON SOUDÉ","EN ATTENTE RT")),IF(L927="R","À REPRENDRE",IF(H927&lt;&gt;"OUI","⚠ ENROBÉ AVANT ACCEPTATION RT","ENROBÉ")))))</f>
        <v>À ENROBER</v>
      </c>
      <c r="O927" s="80"/>
      <c r="P927" s="82" t="n">
        <f aca="false">IF(C927="","",IFERROR(MATCH(Q927,'CARNET DE SOUDURE'!$AW$7:$AW$3006,0),""))</f>
        <v>921</v>
      </c>
      <c r="Q927" s="82" t="str">
        <f aca="false">IF(C927="","",B927&amp;"|"&amp;C927)</f>
        <v>MFD-ISW → MFD-CPF|DJ°422</v>
      </c>
    </row>
    <row r="928" customFormat="false" ht="74.6" hidden="false" customHeight="false" outlineLevel="0" collapsed="false">
      <c r="A928" s="82" t="n">
        <f aca="false">IF(C928="","",ROW()-6)</f>
        <v>922</v>
      </c>
      <c r="B928" s="80" t="s">
        <v>110</v>
      </c>
      <c r="C928" s="113" t="s">
        <v>1083</v>
      </c>
      <c r="D928" s="82" t="str">
        <f aca="false">IF(OR(C928="",P928=""),"",INDEX('CARNET DE SOUDURE'!$D$7:$D$3006,P928)&amp;"")</f>
        <v>6</v>
      </c>
      <c r="E928" s="114" t="n">
        <f aca="false">IF(OR(C928="",P928=""),"",IF(INDEX('CARNET DE SOUDURE'!$U$7:$U$3006,P928)="","",INDEX('CARNET DE SOUDURE'!$U$7:$U$3006,P928)))</f>
        <v>46286</v>
      </c>
      <c r="F928" s="82" t="str">
        <f aca="false">IF(OR(C928="",P928=""),"",INDEX('CARNET DE SOUDURE'!$AP$7:$AP$3006,P928))</f>
        <v>A</v>
      </c>
      <c r="G928" s="82" t="str">
        <f aca="false">IF(C928="","",IF(P928="","NJ INCONNU",INDEX('CARNET DE SOUDURE'!$AQ$7:$AQ$3006,P928)))</f>
        <v>ACCEPTÉ</v>
      </c>
      <c r="H928" s="82" t="str">
        <f aca="false">IF(C928="","",IF(G928="ACCEPTÉ","OUI","NON"))</f>
        <v>OUI</v>
      </c>
      <c r="I928" s="83"/>
      <c r="J928" s="80"/>
      <c r="K928" s="81"/>
      <c r="L928" s="81"/>
      <c r="M928" s="81"/>
      <c r="N928" s="84" t="str">
        <f aca="false">IF(C928="","",IF(P928="","NJ INCONNU",IF(I928="",IF(H928="OUI","À ENROBER",IF(G928="À SOUDER","NON SOUDÉ","EN ATTENTE RT")),IF(L928="R","À REPRENDRE",IF(H928&lt;&gt;"OUI","⚠ ENROBÉ AVANT ACCEPTATION RT","ENROBÉ")))))</f>
        <v>À ENROBER</v>
      </c>
      <c r="O928" s="80"/>
      <c r="P928" s="82" t="n">
        <f aca="false">IF(C928="","",IFERROR(MATCH(Q928,'CARNET DE SOUDURE'!$AW$7:$AW$3006,0),""))</f>
        <v>922</v>
      </c>
      <c r="Q928" s="82" t="str">
        <f aca="false">IF(C928="","",B928&amp;"|"&amp;C928)</f>
        <v>MFD-ISW → MFD-CPF|JN°842</v>
      </c>
    </row>
    <row r="929" customFormat="false" ht="74.6" hidden="false" customHeight="false" outlineLevel="0" collapsed="false">
      <c r="A929" s="82" t="n">
        <f aca="false">IF(C929="","",ROW()-6)</f>
        <v>923</v>
      </c>
      <c r="B929" s="80" t="s">
        <v>110</v>
      </c>
      <c r="C929" s="113" t="s">
        <v>1084</v>
      </c>
      <c r="D929" s="82" t="str">
        <f aca="false">IF(OR(C929="",P929=""),"",INDEX('CARNET DE SOUDURE'!$D$7:$D$3006,P929)&amp;"")</f>
        <v>6</v>
      </c>
      <c r="E929" s="114" t="n">
        <f aca="false">IF(OR(C929="",P929=""),"",IF(INDEX('CARNET DE SOUDURE'!$U$7:$U$3006,P929)="","",INDEX('CARNET DE SOUDURE'!$U$7:$U$3006,P929)))</f>
        <v>46284</v>
      </c>
      <c r="F929" s="82" t="str">
        <f aca="false">IF(OR(C929="",P929=""),"",INDEX('CARNET DE SOUDURE'!$AP$7:$AP$3006,P929))</f>
        <v>A</v>
      </c>
      <c r="G929" s="82" t="str">
        <f aca="false">IF(C929="","",IF(P929="","NJ INCONNU",INDEX('CARNET DE SOUDURE'!$AQ$7:$AQ$3006,P929)))</f>
        <v>ACCEPTÉ</v>
      </c>
      <c r="H929" s="82" t="str">
        <f aca="false">IF(C929="","",IF(G929="ACCEPTÉ","OUI","NON"))</f>
        <v>OUI</v>
      </c>
      <c r="I929" s="83"/>
      <c r="J929" s="80"/>
      <c r="K929" s="81"/>
      <c r="L929" s="81"/>
      <c r="M929" s="81"/>
      <c r="N929" s="84" t="str">
        <f aca="false">IF(C929="","",IF(P929="","NJ INCONNU",IF(I929="",IF(H929="OUI","À ENROBER",IF(G929="À SOUDER","NON SOUDÉ","EN ATTENTE RT")),IF(L929="R","À REPRENDRE",IF(H929&lt;&gt;"OUI","⚠ ENROBÉ AVANT ACCEPTATION RT","ENROBÉ")))))</f>
        <v>À ENROBER</v>
      </c>
      <c r="O929" s="80"/>
      <c r="P929" s="82" t="n">
        <f aca="false">IF(C929="","",IFERROR(MATCH(Q929,'CARNET DE SOUDURE'!$AW$7:$AW$3006,0),""))</f>
        <v>923</v>
      </c>
      <c r="Q929" s="82" t="str">
        <f aca="false">IF(C929="","",B929&amp;"|"&amp;C929)</f>
        <v>MFD-ISW → MFD-CPF|DJ°442</v>
      </c>
    </row>
    <row r="930" customFormat="false" ht="74.6" hidden="false" customHeight="false" outlineLevel="0" collapsed="false">
      <c r="A930" s="82" t="n">
        <f aca="false">IF(C930="","",ROW()-6)</f>
        <v>924</v>
      </c>
      <c r="B930" s="80" t="s">
        <v>110</v>
      </c>
      <c r="C930" s="113" t="s">
        <v>1085</v>
      </c>
      <c r="D930" s="82" t="str">
        <f aca="false">IF(OR(C930="",P930=""),"",INDEX('CARNET DE SOUDURE'!$D$7:$D$3006,P930)&amp;"")</f>
        <v>6</v>
      </c>
      <c r="E930" s="114" t="n">
        <f aca="false">IF(OR(C930="",P930=""),"",IF(INDEX('CARNET DE SOUDURE'!$U$7:$U$3006,P930)="","",INDEX('CARNET DE SOUDURE'!$U$7:$U$3006,P930)))</f>
        <v>46286</v>
      </c>
      <c r="F930" s="82" t="str">
        <f aca="false">IF(OR(C930="",P930=""),"",INDEX('CARNET DE SOUDURE'!$AP$7:$AP$3006,P930))</f>
        <v>A</v>
      </c>
      <c r="G930" s="82" t="str">
        <f aca="false">IF(C930="","",IF(P930="","NJ INCONNU",INDEX('CARNET DE SOUDURE'!$AQ$7:$AQ$3006,P930)))</f>
        <v>ACCEPTÉ</v>
      </c>
      <c r="H930" s="82" t="str">
        <f aca="false">IF(C930="","",IF(G930="ACCEPTÉ","OUI","NON"))</f>
        <v>OUI</v>
      </c>
      <c r="I930" s="83"/>
      <c r="J930" s="80"/>
      <c r="K930" s="81"/>
      <c r="L930" s="81"/>
      <c r="M930" s="81"/>
      <c r="N930" s="84" t="str">
        <f aca="false">IF(C930="","",IF(P930="","NJ INCONNU",IF(I930="",IF(H930="OUI","À ENROBER",IF(G930="À SOUDER","NON SOUDÉ","EN ATTENTE RT")),IF(L930="R","À REPRENDRE",IF(H930&lt;&gt;"OUI","⚠ ENROBÉ AVANT ACCEPTATION RT","ENROBÉ")))))</f>
        <v>À ENROBER</v>
      </c>
      <c r="O930" s="80"/>
      <c r="P930" s="82" t="n">
        <f aca="false">IF(C930="","",IFERROR(MATCH(Q930,'CARNET DE SOUDURE'!$AW$7:$AW$3006,0),""))</f>
        <v>924</v>
      </c>
      <c r="Q930" s="82" t="str">
        <f aca="false">IF(C930="","",B930&amp;"|"&amp;C930)</f>
        <v>MFD-ISW → MFD-CPF|JN°843</v>
      </c>
    </row>
    <row r="931" customFormat="false" ht="74.6" hidden="false" customHeight="false" outlineLevel="0" collapsed="false">
      <c r="A931" s="82" t="n">
        <f aca="false">IF(C931="","",ROW()-6)</f>
        <v>925</v>
      </c>
      <c r="B931" s="80" t="s">
        <v>110</v>
      </c>
      <c r="C931" s="113" t="s">
        <v>1086</v>
      </c>
      <c r="D931" s="82" t="str">
        <f aca="false">IF(OR(C931="",P931=""),"",INDEX('CARNET DE SOUDURE'!$D$7:$D$3006,P931)&amp;"")</f>
        <v>6</v>
      </c>
      <c r="E931" s="114" t="n">
        <f aca="false">IF(OR(C931="",P931=""),"",IF(INDEX('CARNET DE SOUDURE'!$U$7:$U$3006,P931)="","",INDEX('CARNET DE SOUDURE'!$U$7:$U$3006,P931)))</f>
        <v>46283</v>
      </c>
      <c r="F931" s="82" t="str">
        <f aca="false">IF(OR(C931="",P931=""),"",INDEX('CARNET DE SOUDURE'!$AP$7:$AP$3006,P931))</f>
        <v>A</v>
      </c>
      <c r="G931" s="82" t="str">
        <f aca="false">IF(C931="","",IF(P931="","NJ INCONNU",INDEX('CARNET DE SOUDURE'!$AQ$7:$AQ$3006,P931)))</f>
        <v>ACCEPTÉ</v>
      </c>
      <c r="H931" s="82" t="str">
        <f aca="false">IF(C931="","",IF(G931="ACCEPTÉ","OUI","NON"))</f>
        <v>OUI</v>
      </c>
      <c r="I931" s="83"/>
      <c r="J931" s="80"/>
      <c r="K931" s="81"/>
      <c r="L931" s="81"/>
      <c r="M931" s="81"/>
      <c r="N931" s="84" t="str">
        <f aca="false">IF(C931="","",IF(P931="","NJ INCONNU",IF(I931="",IF(H931="OUI","À ENROBER",IF(G931="À SOUDER","NON SOUDÉ","EN ATTENTE RT")),IF(L931="R","À REPRENDRE",IF(H931&lt;&gt;"OUI","⚠ ENROBÉ AVANT ACCEPTATION RT","ENROBÉ")))))</f>
        <v>À ENROBER</v>
      </c>
      <c r="O931" s="80"/>
      <c r="P931" s="82" t="n">
        <f aca="false">IF(C931="","",IFERROR(MATCH(Q931,'CARNET DE SOUDURE'!$AW$7:$AW$3006,0),""))</f>
        <v>925</v>
      </c>
      <c r="Q931" s="82" t="str">
        <f aca="false">IF(C931="","",B931&amp;"|"&amp;C931)</f>
        <v>MFD-ISW → MFD-CPF|DJ°421</v>
      </c>
    </row>
    <row r="932" customFormat="false" ht="74.6" hidden="false" customHeight="false" outlineLevel="0" collapsed="false">
      <c r="A932" s="82" t="n">
        <f aca="false">IF(C932="","",ROW()-6)</f>
        <v>926</v>
      </c>
      <c r="B932" s="80" t="s">
        <v>110</v>
      </c>
      <c r="C932" s="113" t="s">
        <v>1087</v>
      </c>
      <c r="D932" s="82" t="str">
        <f aca="false">IF(OR(C932="",P932=""),"",INDEX('CARNET DE SOUDURE'!$D$7:$D$3006,P932)&amp;"")</f>
        <v>6</v>
      </c>
      <c r="E932" s="114" t="n">
        <f aca="false">IF(OR(C932="",P932=""),"",IF(INDEX('CARNET DE SOUDURE'!$U$7:$U$3006,P932)="","",INDEX('CARNET DE SOUDURE'!$U$7:$U$3006,P932)))</f>
        <v>46286</v>
      </c>
      <c r="F932" s="82" t="str">
        <f aca="false">IF(OR(C932="",P932=""),"",INDEX('CARNET DE SOUDURE'!$AP$7:$AP$3006,P932))</f>
        <v>A</v>
      </c>
      <c r="G932" s="82" t="str">
        <f aca="false">IF(C932="","",IF(P932="","NJ INCONNU",INDEX('CARNET DE SOUDURE'!$AQ$7:$AQ$3006,P932)))</f>
        <v>ACCEPTÉ</v>
      </c>
      <c r="H932" s="82" t="str">
        <f aca="false">IF(C932="","",IF(G932="ACCEPTÉ","OUI","NON"))</f>
        <v>OUI</v>
      </c>
      <c r="I932" s="83"/>
      <c r="J932" s="80"/>
      <c r="K932" s="81"/>
      <c r="L932" s="81"/>
      <c r="M932" s="81"/>
      <c r="N932" s="84" t="str">
        <f aca="false">IF(C932="","",IF(P932="","NJ INCONNU",IF(I932="",IF(H932="OUI","À ENROBER",IF(G932="À SOUDER","NON SOUDÉ","EN ATTENTE RT")),IF(L932="R","À REPRENDRE",IF(H932&lt;&gt;"OUI","⚠ ENROBÉ AVANT ACCEPTATION RT","ENROBÉ")))))</f>
        <v>À ENROBER</v>
      </c>
      <c r="O932" s="80"/>
      <c r="P932" s="82" t="n">
        <f aca="false">IF(C932="","",IFERROR(MATCH(Q932,'CARNET DE SOUDURE'!$AW$7:$AW$3006,0),""))</f>
        <v>926</v>
      </c>
      <c r="Q932" s="82" t="str">
        <f aca="false">IF(C932="","",B932&amp;"|"&amp;C932)</f>
        <v>MFD-ISW → MFD-CPF|JN°844</v>
      </c>
    </row>
    <row r="933" customFormat="false" ht="74.6" hidden="false" customHeight="false" outlineLevel="0" collapsed="false">
      <c r="A933" s="82" t="n">
        <f aca="false">IF(C933="","",ROW()-6)</f>
        <v>927</v>
      </c>
      <c r="B933" s="80" t="s">
        <v>110</v>
      </c>
      <c r="C933" s="113" t="s">
        <v>1088</v>
      </c>
      <c r="D933" s="82" t="str">
        <f aca="false">IF(OR(C933="",P933=""),"",INDEX('CARNET DE SOUDURE'!$D$7:$D$3006,P933)&amp;"")</f>
        <v>6</v>
      </c>
      <c r="E933" s="114" t="n">
        <f aca="false">IF(OR(C933="",P933=""),"",IF(INDEX('CARNET DE SOUDURE'!$U$7:$U$3006,P933)="","",INDEX('CARNET DE SOUDURE'!$U$7:$U$3006,P933)))</f>
        <v>46280</v>
      </c>
      <c r="F933" s="82" t="str">
        <f aca="false">IF(OR(C933="",P933=""),"",INDEX('CARNET DE SOUDURE'!$AP$7:$AP$3006,P933))</f>
        <v>R</v>
      </c>
      <c r="G933" s="82" t="str">
        <f aca="false">IF(C933="","",IF(P933="","NJ INCONNU",INDEX('CARNET DE SOUDURE'!$AQ$7:$AQ$3006,P933)))</f>
        <v>À RÉPARER</v>
      </c>
      <c r="H933" s="82" t="str">
        <f aca="false">IF(C933="","",IF(G933="ACCEPTÉ","OUI","NON"))</f>
        <v>NON</v>
      </c>
      <c r="I933" s="83"/>
      <c r="J933" s="80"/>
      <c r="K933" s="81"/>
      <c r="L933" s="81"/>
      <c r="M933" s="81"/>
      <c r="N933" s="84" t="str">
        <f aca="false">IF(C933="","",IF(P933="","NJ INCONNU",IF(I933="",IF(H933="OUI","À ENROBER",IF(G933="À SOUDER","NON SOUDÉ","EN ATTENTE RT")),IF(L933="R","À REPRENDRE",IF(H933&lt;&gt;"OUI","⚠ ENROBÉ AVANT ACCEPTATION RT","ENROBÉ")))))</f>
        <v>EN ATTENTE RT</v>
      </c>
      <c r="O933" s="80"/>
      <c r="P933" s="82" t="n">
        <f aca="false">IF(C933="","",IFERROR(MATCH(Q933,'CARNET DE SOUDURE'!$AW$7:$AW$3006,0),""))</f>
        <v>927</v>
      </c>
      <c r="Q933" s="82" t="str">
        <f aca="false">IF(C933="","",B933&amp;"|"&amp;C933)</f>
        <v>MFD-ISW → MFD-CPF|DJ°408</v>
      </c>
    </row>
    <row r="934" customFormat="false" ht="74.6" hidden="false" customHeight="false" outlineLevel="0" collapsed="false">
      <c r="A934" s="82" t="n">
        <f aca="false">IF(C934="","",ROW()-6)</f>
        <v>928</v>
      </c>
      <c r="B934" s="80" t="s">
        <v>110</v>
      </c>
      <c r="C934" s="113" t="s">
        <v>1092</v>
      </c>
      <c r="D934" s="82" t="str">
        <f aca="false">IF(OR(C934="",P934=""),"",INDEX('CARNET DE SOUDURE'!$D$7:$D$3006,P934)&amp;"")</f>
        <v>6</v>
      </c>
      <c r="E934" s="114" t="n">
        <f aca="false">IF(OR(C934="",P934=""),"",IF(INDEX('CARNET DE SOUDURE'!$U$7:$U$3006,P934)="","",INDEX('CARNET DE SOUDURE'!$U$7:$U$3006,P934)))</f>
        <v>46286</v>
      </c>
      <c r="F934" s="82" t="str">
        <f aca="false">IF(OR(C934="",P934=""),"",INDEX('CARNET DE SOUDURE'!$AP$7:$AP$3006,P934))</f>
        <v>A</v>
      </c>
      <c r="G934" s="82" t="str">
        <f aca="false">IF(C934="","",IF(P934="","NJ INCONNU",INDEX('CARNET DE SOUDURE'!$AQ$7:$AQ$3006,P934)))</f>
        <v>ACCEPTÉ</v>
      </c>
      <c r="H934" s="82" t="str">
        <f aca="false">IF(C934="","",IF(G934="ACCEPTÉ","OUI","NON"))</f>
        <v>OUI</v>
      </c>
      <c r="I934" s="83"/>
      <c r="J934" s="80"/>
      <c r="K934" s="81"/>
      <c r="L934" s="81"/>
      <c r="M934" s="81"/>
      <c r="N934" s="84" t="str">
        <f aca="false">IF(C934="","",IF(P934="","NJ INCONNU",IF(I934="",IF(H934="OUI","À ENROBER",IF(G934="À SOUDER","NON SOUDÉ","EN ATTENTE RT")),IF(L934="R","À REPRENDRE",IF(H934&lt;&gt;"OUI","⚠ ENROBÉ AVANT ACCEPTATION RT","ENROBÉ")))))</f>
        <v>À ENROBER</v>
      </c>
      <c r="O934" s="80"/>
      <c r="P934" s="82" t="n">
        <f aca="false">IF(C934="","",IFERROR(MATCH(Q934,'CARNET DE SOUDURE'!$AW$7:$AW$3006,0),""))</f>
        <v>928</v>
      </c>
      <c r="Q934" s="82" t="str">
        <f aca="false">IF(C934="","",B934&amp;"|"&amp;C934)</f>
        <v>MFD-ISW → MFD-CPF|JN°845</v>
      </c>
    </row>
    <row r="935" customFormat="false" ht="74.6" hidden="false" customHeight="false" outlineLevel="0" collapsed="false">
      <c r="A935" s="82" t="n">
        <f aca="false">IF(C935="","",ROW()-6)</f>
        <v>929</v>
      </c>
      <c r="B935" s="80" t="s">
        <v>110</v>
      </c>
      <c r="C935" s="113" t="s">
        <v>1093</v>
      </c>
      <c r="D935" s="82" t="str">
        <f aca="false">IF(OR(C935="",P935=""),"",INDEX('CARNET DE SOUDURE'!$D$7:$D$3006,P935)&amp;"")</f>
        <v>6</v>
      </c>
      <c r="E935" s="114" t="n">
        <f aca="false">IF(OR(C935="",P935=""),"",IF(INDEX('CARNET DE SOUDURE'!$U$7:$U$3006,P935)="","",INDEX('CARNET DE SOUDURE'!$U$7:$U$3006,P935)))</f>
        <v>46280</v>
      </c>
      <c r="F935" s="82" t="str">
        <f aca="false">IF(OR(C935="",P935=""),"",INDEX('CARNET DE SOUDURE'!$AP$7:$AP$3006,P935))</f>
        <v>A</v>
      </c>
      <c r="G935" s="82" t="str">
        <f aca="false">IF(C935="","",IF(P935="","NJ INCONNU",INDEX('CARNET DE SOUDURE'!$AQ$7:$AQ$3006,P935)))</f>
        <v>ACCEPTÉ</v>
      </c>
      <c r="H935" s="82" t="str">
        <f aca="false">IF(C935="","",IF(G935="ACCEPTÉ","OUI","NON"))</f>
        <v>OUI</v>
      </c>
      <c r="I935" s="83"/>
      <c r="J935" s="80"/>
      <c r="K935" s="81"/>
      <c r="L935" s="81"/>
      <c r="M935" s="81"/>
      <c r="N935" s="84" t="str">
        <f aca="false">IF(C935="","",IF(P935="","NJ INCONNU",IF(I935="",IF(H935="OUI","À ENROBER",IF(G935="À SOUDER","NON SOUDÉ","EN ATTENTE RT")),IF(L935="R","À REPRENDRE",IF(H935&lt;&gt;"OUI","⚠ ENROBÉ AVANT ACCEPTATION RT","ENROBÉ")))))</f>
        <v>À ENROBER</v>
      </c>
      <c r="O935" s="80"/>
      <c r="P935" s="82" t="n">
        <f aca="false">IF(C935="","",IFERROR(MATCH(Q935,'CARNET DE SOUDURE'!$AW$7:$AW$3006,0),""))</f>
        <v>929</v>
      </c>
      <c r="Q935" s="82" t="str">
        <f aca="false">IF(C935="","",B935&amp;"|"&amp;C935)</f>
        <v>MFD-ISW → MFD-CPF|DJ°409</v>
      </c>
    </row>
    <row r="936" customFormat="false" ht="74.6" hidden="false" customHeight="false" outlineLevel="0" collapsed="false">
      <c r="A936" s="82" t="n">
        <f aca="false">IF(C936="","",ROW()-6)</f>
        <v>930</v>
      </c>
      <c r="B936" s="80" t="s">
        <v>110</v>
      </c>
      <c r="C936" s="113" t="s">
        <v>1096</v>
      </c>
      <c r="D936" s="82" t="str">
        <f aca="false">IF(OR(C936="",P936=""),"",INDEX('CARNET DE SOUDURE'!$D$7:$D$3006,P936)&amp;"")</f>
        <v>6</v>
      </c>
      <c r="E936" s="114" t="n">
        <f aca="false">IF(OR(C936="",P936=""),"",IF(INDEX('CARNET DE SOUDURE'!$U$7:$U$3006,P936)="","",INDEX('CARNET DE SOUDURE'!$U$7:$U$3006,P936)))</f>
        <v>46286</v>
      </c>
      <c r="F936" s="82" t="str">
        <f aca="false">IF(OR(C936="",P936=""),"",INDEX('CARNET DE SOUDURE'!$AP$7:$AP$3006,P936))</f>
        <v>A</v>
      </c>
      <c r="G936" s="82" t="str">
        <f aca="false">IF(C936="","",IF(P936="","NJ INCONNU",INDEX('CARNET DE SOUDURE'!$AQ$7:$AQ$3006,P936)))</f>
        <v>ACCEPTÉ</v>
      </c>
      <c r="H936" s="82" t="str">
        <f aca="false">IF(C936="","",IF(G936="ACCEPTÉ","OUI","NON"))</f>
        <v>OUI</v>
      </c>
      <c r="I936" s="83"/>
      <c r="J936" s="80"/>
      <c r="K936" s="81"/>
      <c r="L936" s="81"/>
      <c r="M936" s="81"/>
      <c r="N936" s="84" t="str">
        <f aca="false">IF(C936="","",IF(P936="","NJ INCONNU",IF(I936="",IF(H936="OUI","À ENROBER",IF(G936="À SOUDER","NON SOUDÉ","EN ATTENTE RT")),IF(L936="R","À REPRENDRE",IF(H936&lt;&gt;"OUI","⚠ ENROBÉ AVANT ACCEPTATION RT","ENROBÉ")))))</f>
        <v>À ENROBER</v>
      </c>
      <c r="O936" s="80"/>
      <c r="P936" s="82" t="n">
        <f aca="false">IF(C936="","",IFERROR(MATCH(Q936,'CARNET DE SOUDURE'!$AW$7:$AW$3006,0),""))</f>
        <v>930</v>
      </c>
      <c r="Q936" s="82" t="str">
        <f aca="false">IF(C936="","",B936&amp;"|"&amp;C936)</f>
        <v>MFD-ISW → MFD-CPF|JN°846</v>
      </c>
    </row>
    <row r="937" customFormat="false" ht="74.6" hidden="false" customHeight="false" outlineLevel="0" collapsed="false">
      <c r="A937" s="82" t="n">
        <f aca="false">IF(C937="","",ROW()-6)</f>
        <v>931</v>
      </c>
      <c r="B937" s="80" t="s">
        <v>110</v>
      </c>
      <c r="C937" s="113" t="s">
        <v>1097</v>
      </c>
      <c r="D937" s="82" t="str">
        <f aca="false">IF(OR(C937="",P937=""),"",INDEX('CARNET DE SOUDURE'!$D$7:$D$3006,P937)&amp;"")</f>
        <v>6</v>
      </c>
      <c r="E937" s="114" t="n">
        <f aca="false">IF(OR(C937="",P937=""),"",IF(INDEX('CARNET DE SOUDURE'!$U$7:$U$3006,P937)="","",INDEX('CARNET DE SOUDURE'!$U$7:$U$3006,P937)))</f>
        <v>46284</v>
      </c>
      <c r="F937" s="82" t="str">
        <f aca="false">IF(OR(C937="",P937=""),"",INDEX('CARNET DE SOUDURE'!$AP$7:$AP$3006,P937))</f>
        <v>A</v>
      </c>
      <c r="G937" s="82" t="str">
        <f aca="false">IF(C937="","",IF(P937="","NJ INCONNU",INDEX('CARNET DE SOUDURE'!$AQ$7:$AQ$3006,P937)))</f>
        <v>ACCEPTÉ</v>
      </c>
      <c r="H937" s="82" t="str">
        <f aca="false">IF(C937="","",IF(G937="ACCEPTÉ","OUI","NON"))</f>
        <v>OUI</v>
      </c>
      <c r="I937" s="83"/>
      <c r="J937" s="80"/>
      <c r="K937" s="81"/>
      <c r="L937" s="81"/>
      <c r="M937" s="81"/>
      <c r="N937" s="84" t="str">
        <f aca="false">IF(C937="","",IF(P937="","NJ INCONNU",IF(I937="",IF(H937="OUI","À ENROBER",IF(G937="À SOUDER","NON SOUDÉ","EN ATTENTE RT")),IF(L937="R","À REPRENDRE",IF(H937&lt;&gt;"OUI","⚠ ENROBÉ AVANT ACCEPTATION RT","ENROBÉ")))))</f>
        <v>À ENROBER</v>
      </c>
      <c r="O937" s="80"/>
      <c r="P937" s="82" t="n">
        <f aca="false">IF(C937="","",IFERROR(MATCH(Q937,'CARNET DE SOUDURE'!$AW$7:$AW$3006,0),""))</f>
        <v>931</v>
      </c>
      <c r="Q937" s="82" t="str">
        <f aca="false">IF(C937="","",B937&amp;"|"&amp;C937)</f>
        <v>MFD-ISW → MFD-CPF|DJ°436</v>
      </c>
    </row>
    <row r="938" customFormat="false" ht="74.6" hidden="false" customHeight="false" outlineLevel="0" collapsed="false">
      <c r="A938" s="82" t="n">
        <f aca="false">IF(C938="","",ROW()-6)</f>
        <v>932</v>
      </c>
      <c r="B938" s="80" t="s">
        <v>110</v>
      </c>
      <c r="C938" s="113" t="s">
        <v>1098</v>
      </c>
      <c r="D938" s="82" t="str">
        <f aca="false">IF(OR(C938="",P938=""),"",INDEX('CARNET DE SOUDURE'!$D$7:$D$3006,P938)&amp;"")</f>
        <v>6</v>
      </c>
      <c r="E938" s="114" t="n">
        <f aca="false">IF(OR(C938="",P938=""),"",IF(INDEX('CARNET DE SOUDURE'!$U$7:$U$3006,P938)="","",INDEX('CARNET DE SOUDURE'!$U$7:$U$3006,P938)))</f>
        <v>46285</v>
      </c>
      <c r="F938" s="82" t="str">
        <f aca="false">IF(OR(C938="",P938=""),"",INDEX('CARNET DE SOUDURE'!$AP$7:$AP$3006,P938))</f>
        <v>A</v>
      </c>
      <c r="G938" s="82" t="str">
        <f aca="false">IF(C938="","",IF(P938="","NJ INCONNU",INDEX('CARNET DE SOUDURE'!$AQ$7:$AQ$3006,P938)))</f>
        <v>ACCEPTÉ</v>
      </c>
      <c r="H938" s="82" t="str">
        <f aca="false">IF(C938="","",IF(G938="ACCEPTÉ","OUI","NON"))</f>
        <v>OUI</v>
      </c>
      <c r="I938" s="83"/>
      <c r="J938" s="80"/>
      <c r="K938" s="81"/>
      <c r="L938" s="81"/>
      <c r="M938" s="81"/>
      <c r="N938" s="84" t="str">
        <f aca="false">IF(C938="","",IF(P938="","NJ INCONNU",IF(I938="",IF(H938="OUI","À ENROBER",IF(G938="À SOUDER","NON SOUDÉ","EN ATTENTE RT")),IF(L938="R","À REPRENDRE",IF(H938&lt;&gt;"OUI","⚠ ENROBÉ AVANT ACCEPTATION RT","ENROBÉ")))))</f>
        <v>À ENROBER</v>
      </c>
      <c r="O938" s="80"/>
      <c r="P938" s="82" t="n">
        <f aca="false">IF(C938="","",IFERROR(MATCH(Q938,'CARNET DE SOUDURE'!$AW$7:$AW$3006,0),""))</f>
        <v>932</v>
      </c>
      <c r="Q938" s="82" t="str">
        <f aca="false">IF(C938="","",B938&amp;"|"&amp;C938)</f>
        <v>MFD-ISW → MFD-CPF|JN°847</v>
      </c>
    </row>
    <row r="939" customFormat="false" ht="74.6" hidden="false" customHeight="false" outlineLevel="0" collapsed="false">
      <c r="A939" s="82" t="n">
        <f aca="false">IF(C939="","",ROW()-6)</f>
        <v>933</v>
      </c>
      <c r="B939" s="80" t="s">
        <v>110</v>
      </c>
      <c r="C939" s="113" t="s">
        <v>1101</v>
      </c>
      <c r="D939" s="82" t="str">
        <f aca="false">IF(OR(C939="",P939=""),"",INDEX('CARNET DE SOUDURE'!$D$7:$D$3006,P939)&amp;"")</f>
        <v>6</v>
      </c>
      <c r="E939" s="114" t="n">
        <f aca="false">IF(OR(C939="",P939=""),"",IF(INDEX('CARNET DE SOUDURE'!$U$7:$U$3006,P939)="","",INDEX('CARNET DE SOUDURE'!$U$7:$U$3006,P939)))</f>
        <v>46284</v>
      </c>
      <c r="F939" s="82" t="str">
        <f aca="false">IF(OR(C939="",P939=""),"",INDEX('CARNET DE SOUDURE'!$AP$7:$AP$3006,P939))</f>
        <v>A</v>
      </c>
      <c r="G939" s="82" t="str">
        <f aca="false">IF(C939="","",IF(P939="","NJ INCONNU",INDEX('CARNET DE SOUDURE'!$AQ$7:$AQ$3006,P939)))</f>
        <v>ACCEPTÉ</v>
      </c>
      <c r="H939" s="82" t="str">
        <f aca="false">IF(C939="","",IF(G939="ACCEPTÉ","OUI","NON"))</f>
        <v>OUI</v>
      </c>
      <c r="I939" s="83"/>
      <c r="J939" s="80"/>
      <c r="K939" s="81"/>
      <c r="L939" s="81"/>
      <c r="M939" s="81"/>
      <c r="N939" s="84" t="str">
        <f aca="false">IF(C939="","",IF(P939="","NJ INCONNU",IF(I939="",IF(H939="OUI","À ENROBER",IF(G939="À SOUDER","NON SOUDÉ","EN ATTENTE RT")),IF(L939="R","À REPRENDRE",IF(H939&lt;&gt;"OUI","⚠ ENROBÉ AVANT ACCEPTATION RT","ENROBÉ")))))</f>
        <v>À ENROBER</v>
      </c>
      <c r="O939" s="80"/>
      <c r="P939" s="82" t="n">
        <f aca="false">IF(C939="","",IFERROR(MATCH(Q939,'CARNET DE SOUDURE'!$AW$7:$AW$3006,0),""))</f>
        <v>933</v>
      </c>
      <c r="Q939" s="82" t="str">
        <f aca="false">IF(C939="","",B939&amp;"|"&amp;C939)</f>
        <v>MFD-ISW → MFD-CPF|DJ°437</v>
      </c>
    </row>
    <row r="940" customFormat="false" ht="74.6" hidden="false" customHeight="false" outlineLevel="0" collapsed="false">
      <c r="A940" s="82" t="n">
        <f aca="false">IF(C940="","",ROW()-6)</f>
        <v>934</v>
      </c>
      <c r="B940" s="80" t="s">
        <v>110</v>
      </c>
      <c r="C940" s="113" t="s">
        <v>1102</v>
      </c>
      <c r="D940" s="82" t="str">
        <f aca="false">IF(OR(C940="",P940=""),"",INDEX('CARNET DE SOUDURE'!$D$7:$D$3006,P940)&amp;"")</f>
        <v>6</v>
      </c>
      <c r="E940" s="114" t="n">
        <f aca="false">IF(OR(C940="",P940=""),"",IF(INDEX('CARNET DE SOUDURE'!$U$7:$U$3006,P940)="","",INDEX('CARNET DE SOUDURE'!$U$7:$U$3006,P940)))</f>
        <v>46285</v>
      </c>
      <c r="F940" s="82" t="str">
        <f aca="false">IF(OR(C940="",P940=""),"",INDEX('CARNET DE SOUDURE'!$AP$7:$AP$3006,P940))</f>
        <v>A</v>
      </c>
      <c r="G940" s="82" t="str">
        <f aca="false">IF(C940="","",IF(P940="","NJ INCONNU",INDEX('CARNET DE SOUDURE'!$AQ$7:$AQ$3006,P940)))</f>
        <v>ACCEPTÉ</v>
      </c>
      <c r="H940" s="82" t="str">
        <f aca="false">IF(C940="","",IF(G940="ACCEPTÉ","OUI","NON"))</f>
        <v>OUI</v>
      </c>
      <c r="I940" s="83"/>
      <c r="J940" s="80"/>
      <c r="K940" s="81"/>
      <c r="L940" s="81"/>
      <c r="M940" s="81"/>
      <c r="N940" s="84" t="str">
        <f aca="false">IF(C940="","",IF(P940="","NJ INCONNU",IF(I940="",IF(H940="OUI","À ENROBER",IF(G940="À SOUDER","NON SOUDÉ","EN ATTENTE RT")),IF(L940="R","À REPRENDRE",IF(H940&lt;&gt;"OUI","⚠ ENROBÉ AVANT ACCEPTATION RT","ENROBÉ")))))</f>
        <v>À ENROBER</v>
      </c>
      <c r="O940" s="80"/>
      <c r="P940" s="82" t="n">
        <f aca="false">IF(C940="","",IFERROR(MATCH(Q940,'CARNET DE SOUDURE'!$AW$7:$AW$3006,0),""))</f>
        <v>934</v>
      </c>
      <c r="Q940" s="82" t="str">
        <f aca="false">IF(C940="","",B940&amp;"|"&amp;C940)</f>
        <v>MFD-ISW → MFD-CPF|JN°848</v>
      </c>
    </row>
    <row r="941" customFormat="false" ht="74.6" hidden="false" customHeight="false" outlineLevel="0" collapsed="false">
      <c r="A941" s="82" t="n">
        <f aca="false">IF(C941="","",ROW()-6)</f>
        <v>935</v>
      </c>
      <c r="B941" s="80" t="s">
        <v>110</v>
      </c>
      <c r="C941" s="113" t="s">
        <v>1104</v>
      </c>
      <c r="D941" s="82" t="str">
        <f aca="false">IF(OR(C941="",P941=""),"",INDEX('CARNET DE SOUDURE'!$D$7:$D$3006,P941)&amp;"")</f>
        <v>6</v>
      </c>
      <c r="E941" s="114" t="n">
        <f aca="false">IF(OR(C941="",P941=""),"",IF(INDEX('CARNET DE SOUDURE'!$U$7:$U$3006,P941)="","",INDEX('CARNET DE SOUDURE'!$U$7:$U$3006,P941)))</f>
        <v>46284</v>
      </c>
      <c r="F941" s="82" t="str">
        <f aca="false">IF(OR(C941="",P941=""),"",INDEX('CARNET DE SOUDURE'!$AP$7:$AP$3006,P941))</f>
        <v>A</v>
      </c>
      <c r="G941" s="82" t="str">
        <f aca="false">IF(C941="","",IF(P941="","NJ INCONNU",INDEX('CARNET DE SOUDURE'!$AQ$7:$AQ$3006,P941)))</f>
        <v>ACCEPTÉ</v>
      </c>
      <c r="H941" s="82" t="str">
        <f aca="false">IF(C941="","",IF(G941="ACCEPTÉ","OUI","NON"))</f>
        <v>OUI</v>
      </c>
      <c r="I941" s="83"/>
      <c r="J941" s="80"/>
      <c r="K941" s="81"/>
      <c r="L941" s="81"/>
      <c r="M941" s="81"/>
      <c r="N941" s="84" t="str">
        <f aca="false">IF(C941="","",IF(P941="","NJ INCONNU",IF(I941="",IF(H941="OUI","À ENROBER",IF(G941="À SOUDER","NON SOUDÉ","EN ATTENTE RT")),IF(L941="R","À REPRENDRE",IF(H941&lt;&gt;"OUI","⚠ ENROBÉ AVANT ACCEPTATION RT","ENROBÉ")))))</f>
        <v>À ENROBER</v>
      </c>
      <c r="O941" s="80"/>
      <c r="P941" s="82" t="n">
        <f aca="false">IF(C941="","",IFERROR(MATCH(Q941,'CARNET DE SOUDURE'!$AW$7:$AW$3006,0),""))</f>
        <v>935</v>
      </c>
      <c r="Q941" s="82" t="str">
        <f aca="false">IF(C941="","",B941&amp;"|"&amp;C941)</f>
        <v>MFD-ISW → MFD-CPF|DJ°435</v>
      </c>
    </row>
    <row r="942" customFormat="false" ht="74.6" hidden="false" customHeight="false" outlineLevel="0" collapsed="false">
      <c r="A942" s="82" t="n">
        <f aca="false">IF(C942="","",ROW()-6)</f>
        <v>936</v>
      </c>
      <c r="B942" s="80" t="s">
        <v>110</v>
      </c>
      <c r="C942" s="113" t="s">
        <v>1105</v>
      </c>
      <c r="D942" s="82" t="str">
        <f aca="false">IF(OR(C942="",P942=""),"",INDEX('CARNET DE SOUDURE'!$D$7:$D$3006,P942)&amp;"")</f>
        <v>6</v>
      </c>
      <c r="E942" s="114" t="n">
        <f aca="false">IF(OR(C942="",P942=""),"",IF(INDEX('CARNET DE SOUDURE'!$U$7:$U$3006,P942)="","",INDEX('CARNET DE SOUDURE'!$U$7:$U$3006,P942)))</f>
        <v>46285</v>
      </c>
      <c r="F942" s="82" t="str">
        <f aca="false">IF(OR(C942="",P942=""),"",INDEX('CARNET DE SOUDURE'!$AP$7:$AP$3006,P942))</f>
        <v>A</v>
      </c>
      <c r="G942" s="82" t="str">
        <f aca="false">IF(C942="","",IF(P942="","NJ INCONNU",INDEX('CARNET DE SOUDURE'!$AQ$7:$AQ$3006,P942)))</f>
        <v>ACCEPTÉ</v>
      </c>
      <c r="H942" s="82" t="str">
        <f aca="false">IF(C942="","",IF(G942="ACCEPTÉ","OUI","NON"))</f>
        <v>OUI</v>
      </c>
      <c r="I942" s="83"/>
      <c r="J942" s="80"/>
      <c r="K942" s="81"/>
      <c r="L942" s="81"/>
      <c r="M942" s="81"/>
      <c r="N942" s="84" t="str">
        <f aca="false">IF(C942="","",IF(P942="","NJ INCONNU",IF(I942="",IF(H942="OUI","À ENROBER",IF(G942="À SOUDER","NON SOUDÉ","EN ATTENTE RT")),IF(L942="R","À REPRENDRE",IF(H942&lt;&gt;"OUI","⚠ ENROBÉ AVANT ACCEPTATION RT","ENROBÉ")))))</f>
        <v>À ENROBER</v>
      </c>
      <c r="O942" s="80"/>
      <c r="P942" s="82" t="n">
        <f aca="false">IF(C942="","",IFERROR(MATCH(Q942,'CARNET DE SOUDURE'!$AW$7:$AW$3006,0),""))</f>
        <v>936</v>
      </c>
      <c r="Q942" s="82" t="str">
        <f aca="false">IF(C942="","",B942&amp;"|"&amp;C942)</f>
        <v>MFD-ISW → MFD-CPF|JN°849</v>
      </c>
    </row>
    <row r="943" customFormat="false" ht="74.6" hidden="false" customHeight="false" outlineLevel="0" collapsed="false">
      <c r="A943" s="82" t="n">
        <f aca="false">IF(C943="","",ROW()-6)</f>
        <v>937</v>
      </c>
      <c r="B943" s="80" t="s">
        <v>110</v>
      </c>
      <c r="C943" s="113" t="s">
        <v>1106</v>
      </c>
      <c r="D943" s="82" t="str">
        <f aca="false">IF(OR(C943="",P943=""),"",INDEX('CARNET DE SOUDURE'!$D$7:$D$3006,P943)&amp;"")</f>
        <v>6</v>
      </c>
      <c r="E943" s="114" t="n">
        <f aca="false">IF(OR(C943="",P943=""),"",IF(INDEX('CARNET DE SOUDURE'!$U$7:$U$3006,P943)="","",INDEX('CARNET DE SOUDURE'!$U$7:$U$3006,P943)))</f>
        <v>46284</v>
      </c>
      <c r="F943" s="82" t="str">
        <f aca="false">IF(OR(C943="",P943=""),"",INDEX('CARNET DE SOUDURE'!$AP$7:$AP$3006,P943))</f>
        <v>A</v>
      </c>
      <c r="G943" s="82" t="str">
        <f aca="false">IF(C943="","",IF(P943="","NJ INCONNU",INDEX('CARNET DE SOUDURE'!$AQ$7:$AQ$3006,P943)))</f>
        <v>ACCEPTÉ</v>
      </c>
      <c r="H943" s="82" t="str">
        <f aca="false">IF(C943="","",IF(G943="ACCEPTÉ","OUI","NON"))</f>
        <v>OUI</v>
      </c>
      <c r="I943" s="83"/>
      <c r="J943" s="80"/>
      <c r="K943" s="81"/>
      <c r="L943" s="81"/>
      <c r="M943" s="81"/>
      <c r="N943" s="84" t="str">
        <f aca="false">IF(C943="","",IF(P943="","NJ INCONNU",IF(I943="",IF(H943="OUI","À ENROBER",IF(G943="À SOUDER","NON SOUDÉ","EN ATTENTE RT")),IF(L943="R","À REPRENDRE",IF(H943&lt;&gt;"OUI","⚠ ENROBÉ AVANT ACCEPTATION RT","ENROBÉ")))))</f>
        <v>À ENROBER</v>
      </c>
      <c r="O943" s="80"/>
      <c r="P943" s="82" t="n">
        <f aca="false">IF(C943="","",IFERROR(MATCH(Q943,'CARNET DE SOUDURE'!$AW$7:$AW$3006,0),""))</f>
        <v>937</v>
      </c>
      <c r="Q943" s="82" t="str">
        <f aca="false">IF(C943="","",B943&amp;"|"&amp;C943)</f>
        <v>MFD-ISW → MFD-CPF|DJ°440</v>
      </c>
    </row>
    <row r="944" customFormat="false" ht="74.6" hidden="false" customHeight="false" outlineLevel="0" collapsed="false">
      <c r="A944" s="82" t="n">
        <f aca="false">IF(C944="","",ROW()-6)</f>
        <v>938</v>
      </c>
      <c r="B944" s="80" t="s">
        <v>110</v>
      </c>
      <c r="C944" s="113" t="s">
        <v>1107</v>
      </c>
      <c r="D944" s="82" t="str">
        <f aca="false">IF(OR(C944="",P944=""),"",INDEX('CARNET DE SOUDURE'!$D$7:$D$3006,P944)&amp;"")</f>
        <v>6</v>
      </c>
      <c r="E944" s="114" t="n">
        <f aca="false">IF(OR(C944="",P944=""),"",IF(INDEX('CARNET DE SOUDURE'!$U$7:$U$3006,P944)="","",INDEX('CARNET DE SOUDURE'!$U$7:$U$3006,P944)))</f>
        <v>46285</v>
      </c>
      <c r="F944" s="82" t="str">
        <f aca="false">IF(OR(C944="",P944=""),"",INDEX('CARNET DE SOUDURE'!$AP$7:$AP$3006,P944))</f>
        <v>A</v>
      </c>
      <c r="G944" s="82" t="str">
        <f aca="false">IF(C944="","",IF(P944="","NJ INCONNU",INDEX('CARNET DE SOUDURE'!$AQ$7:$AQ$3006,P944)))</f>
        <v>ACCEPTÉ</v>
      </c>
      <c r="H944" s="82" t="str">
        <f aca="false">IF(C944="","",IF(G944="ACCEPTÉ","OUI","NON"))</f>
        <v>OUI</v>
      </c>
      <c r="I944" s="83"/>
      <c r="J944" s="80"/>
      <c r="K944" s="81"/>
      <c r="L944" s="81"/>
      <c r="M944" s="81"/>
      <c r="N944" s="84" t="str">
        <f aca="false">IF(C944="","",IF(P944="","NJ INCONNU",IF(I944="",IF(H944="OUI","À ENROBER",IF(G944="À SOUDER","NON SOUDÉ","EN ATTENTE RT")),IF(L944="R","À REPRENDRE",IF(H944&lt;&gt;"OUI","⚠ ENROBÉ AVANT ACCEPTATION RT","ENROBÉ")))))</f>
        <v>À ENROBER</v>
      </c>
      <c r="O944" s="80"/>
      <c r="P944" s="82" t="n">
        <f aca="false">IF(C944="","",IFERROR(MATCH(Q944,'CARNET DE SOUDURE'!$AW$7:$AW$3006,0),""))</f>
        <v>938</v>
      </c>
      <c r="Q944" s="82" t="str">
        <f aca="false">IF(C944="","",B944&amp;"|"&amp;C944)</f>
        <v>MFD-ISW → MFD-CPF|JN°850</v>
      </c>
    </row>
    <row r="945" customFormat="false" ht="74.6" hidden="false" customHeight="false" outlineLevel="0" collapsed="false">
      <c r="A945" s="82" t="n">
        <f aca="false">IF(C945="","",ROW()-6)</f>
        <v>939</v>
      </c>
      <c r="B945" s="80" t="s">
        <v>110</v>
      </c>
      <c r="C945" s="113" t="s">
        <v>1108</v>
      </c>
      <c r="D945" s="82" t="str">
        <f aca="false">IF(OR(C945="",P945=""),"",INDEX('CARNET DE SOUDURE'!$D$7:$D$3006,P945)&amp;"")</f>
        <v>6</v>
      </c>
      <c r="E945" s="114" t="n">
        <f aca="false">IF(OR(C945="",P945=""),"",IF(INDEX('CARNET DE SOUDURE'!$U$7:$U$3006,P945)="","",INDEX('CARNET DE SOUDURE'!$U$7:$U$3006,P945)))</f>
        <v>46284</v>
      </c>
      <c r="F945" s="82" t="str">
        <f aca="false">IF(OR(C945="",P945=""),"",INDEX('CARNET DE SOUDURE'!$AP$7:$AP$3006,P945))</f>
        <v>A</v>
      </c>
      <c r="G945" s="82" t="str">
        <f aca="false">IF(C945="","",IF(P945="","NJ INCONNU",INDEX('CARNET DE SOUDURE'!$AQ$7:$AQ$3006,P945)))</f>
        <v>ACCEPTÉ</v>
      </c>
      <c r="H945" s="82" t="str">
        <f aca="false">IF(C945="","",IF(G945="ACCEPTÉ","OUI","NON"))</f>
        <v>OUI</v>
      </c>
      <c r="I945" s="83"/>
      <c r="J945" s="80"/>
      <c r="K945" s="81"/>
      <c r="L945" s="81"/>
      <c r="M945" s="81"/>
      <c r="N945" s="84" t="str">
        <f aca="false">IF(C945="","",IF(P945="","NJ INCONNU",IF(I945="",IF(H945="OUI","À ENROBER",IF(G945="À SOUDER","NON SOUDÉ","EN ATTENTE RT")),IF(L945="R","À REPRENDRE",IF(H945&lt;&gt;"OUI","⚠ ENROBÉ AVANT ACCEPTATION RT","ENROBÉ")))))</f>
        <v>À ENROBER</v>
      </c>
      <c r="O945" s="80"/>
      <c r="P945" s="82" t="n">
        <f aca="false">IF(C945="","",IFERROR(MATCH(Q945,'CARNET DE SOUDURE'!$AW$7:$AW$3006,0),""))</f>
        <v>939</v>
      </c>
      <c r="Q945" s="82" t="str">
        <f aca="false">IF(C945="","",B945&amp;"|"&amp;C945)</f>
        <v>MFD-ISW → MFD-CPF|DJ°439</v>
      </c>
    </row>
    <row r="946" customFormat="false" ht="74.6" hidden="false" customHeight="false" outlineLevel="0" collapsed="false">
      <c r="A946" s="82" t="n">
        <f aca="false">IF(C946="","",ROW()-6)</f>
        <v>940</v>
      </c>
      <c r="B946" s="80" t="s">
        <v>110</v>
      </c>
      <c r="C946" s="113" t="s">
        <v>1109</v>
      </c>
      <c r="D946" s="82" t="str">
        <f aca="false">IF(OR(C946="",P946=""),"",INDEX('CARNET DE SOUDURE'!$D$7:$D$3006,P946)&amp;"")</f>
        <v>6</v>
      </c>
      <c r="E946" s="114" t="n">
        <f aca="false">IF(OR(C946="",P946=""),"",IF(INDEX('CARNET DE SOUDURE'!$U$7:$U$3006,P946)="","",INDEX('CARNET DE SOUDURE'!$U$7:$U$3006,P946)))</f>
        <v>46285</v>
      </c>
      <c r="F946" s="82" t="str">
        <f aca="false">IF(OR(C946="",P946=""),"",INDEX('CARNET DE SOUDURE'!$AP$7:$AP$3006,P946))</f>
        <v>A</v>
      </c>
      <c r="G946" s="82" t="str">
        <f aca="false">IF(C946="","",IF(P946="","NJ INCONNU",INDEX('CARNET DE SOUDURE'!$AQ$7:$AQ$3006,P946)))</f>
        <v>ACCEPTÉ</v>
      </c>
      <c r="H946" s="82" t="str">
        <f aca="false">IF(C946="","",IF(G946="ACCEPTÉ","OUI","NON"))</f>
        <v>OUI</v>
      </c>
      <c r="I946" s="83"/>
      <c r="J946" s="80"/>
      <c r="K946" s="81"/>
      <c r="L946" s="81"/>
      <c r="M946" s="81"/>
      <c r="N946" s="84" t="str">
        <f aca="false">IF(C946="","",IF(P946="","NJ INCONNU",IF(I946="",IF(H946="OUI","À ENROBER",IF(G946="À SOUDER","NON SOUDÉ","EN ATTENTE RT")),IF(L946="R","À REPRENDRE",IF(H946&lt;&gt;"OUI","⚠ ENROBÉ AVANT ACCEPTATION RT","ENROBÉ")))))</f>
        <v>À ENROBER</v>
      </c>
      <c r="O946" s="80"/>
      <c r="P946" s="82" t="n">
        <f aca="false">IF(C946="","",IFERROR(MATCH(Q946,'CARNET DE SOUDURE'!$AW$7:$AW$3006,0),""))</f>
        <v>940</v>
      </c>
      <c r="Q946" s="82" t="str">
        <f aca="false">IF(C946="","",B946&amp;"|"&amp;C946)</f>
        <v>MFD-ISW → MFD-CPF|JN°851</v>
      </c>
    </row>
    <row r="947" customFormat="false" ht="74.6" hidden="false" customHeight="false" outlineLevel="0" collapsed="false">
      <c r="A947" s="82" t="n">
        <f aca="false">IF(C947="","",ROW()-6)</f>
        <v>941</v>
      </c>
      <c r="B947" s="80" t="s">
        <v>110</v>
      </c>
      <c r="C947" s="113" t="s">
        <v>1110</v>
      </c>
      <c r="D947" s="82" t="str">
        <f aca="false">IF(OR(C947="",P947=""),"",INDEX('CARNET DE SOUDURE'!$D$7:$D$3006,P947)&amp;"")</f>
        <v>6</v>
      </c>
      <c r="E947" s="114" t="n">
        <f aca="false">IF(OR(C947="",P947=""),"",IF(INDEX('CARNET DE SOUDURE'!$U$7:$U$3006,P947)="","",INDEX('CARNET DE SOUDURE'!$U$7:$U$3006,P947)))</f>
        <v>46284</v>
      </c>
      <c r="F947" s="82" t="str">
        <f aca="false">IF(OR(C947="",P947=""),"",INDEX('CARNET DE SOUDURE'!$AP$7:$AP$3006,P947))</f>
        <v>A</v>
      </c>
      <c r="G947" s="82" t="str">
        <f aca="false">IF(C947="","",IF(P947="","NJ INCONNU",INDEX('CARNET DE SOUDURE'!$AQ$7:$AQ$3006,P947)))</f>
        <v>ACCEPTÉ</v>
      </c>
      <c r="H947" s="82" t="str">
        <f aca="false">IF(C947="","",IF(G947="ACCEPTÉ","OUI","NON"))</f>
        <v>OUI</v>
      </c>
      <c r="I947" s="83"/>
      <c r="J947" s="80"/>
      <c r="K947" s="81"/>
      <c r="L947" s="81"/>
      <c r="M947" s="81"/>
      <c r="N947" s="84" t="str">
        <f aca="false">IF(C947="","",IF(P947="","NJ INCONNU",IF(I947="",IF(H947="OUI","À ENROBER",IF(G947="À SOUDER","NON SOUDÉ","EN ATTENTE RT")),IF(L947="R","À REPRENDRE",IF(H947&lt;&gt;"OUI","⚠ ENROBÉ AVANT ACCEPTATION RT","ENROBÉ")))))</f>
        <v>À ENROBER</v>
      </c>
      <c r="O947" s="80"/>
      <c r="P947" s="82" t="n">
        <f aca="false">IF(C947="","",IFERROR(MATCH(Q947,'CARNET DE SOUDURE'!$AW$7:$AW$3006,0),""))</f>
        <v>941</v>
      </c>
      <c r="Q947" s="82" t="str">
        <f aca="false">IF(C947="","",B947&amp;"|"&amp;C947)</f>
        <v>MFD-ISW → MFD-CPF|DJ°441</v>
      </c>
    </row>
    <row r="948" customFormat="false" ht="74.6" hidden="false" customHeight="false" outlineLevel="0" collapsed="false">
      <c r="A948" s="82" t="n">
        <f aca="false">IF(C948="","",ROW()-6)</f>
        <v>942</v>
      </c>
      <c r="B948" s="80" t="s">
        <v>110</v>
      </c>
      <c r="C948" s="113" t="s">
        <v>1111</v>
      </c>
      <c r="D948" s="82" t="str">
        <f aca="false">IF(OR(C948="",P948=""),"",INDEX('CARNET DE SOUDURE'!$D$7:$D$3006,P948)&amp;"")</f>
        <v>6</v>
      </c>
      <c r="E948" s="114" t="n">
        <f aca="false">IF(OR(C948="",P948=""),"",IF(INDEX('CARNET DE SOUDURE'!$U$7:$U$3006,P948)="","",INDEX('CARNET DE SOUDURE'!$U$7:$U$3006,P948)))</f>
        <v>46285</v>
      </c>
      <c r="F948" s="82" t="str">
        <f aca="false">IF(OR(C948="",P948=""),"",INDEX('CARNET DE SOUDURE'!$AP$7:$AP$3006,P948))</f>
        <v>A</v>
      </c>
      <c r="G948" s="82" t="str">
        <f aca="false">IF(C948="","",IF(P948="","NJ INCONNU",INDEX('CARNET DE SOUDURE'!$AQ$7:$AQ$3006,P948)))</f>
        <v>ACCEPTÉ</v>
      </c>
      <c r="H948" s="82" t="str">
        <f aca="false">IF(C948="","",IF(G948="ACCEPTÉ","OUI","NON"))</f>
        <v>OUI</v>
      </c>
      <c r="I948" s="83"/>
      <c r="J948" s="80"/>
      <c r="K948" s="81"/>
      <c r="L948" s="81"/>
      <c r="M948" s="81"/>
      <c r="N948" s="84" t="str">
        <f aca="false">IF(C948="","",IF(P948="","NJ INCONNU",IF(I948="",IF(H948="OUI","À ENROBER",IF(G948="À SOUDER","NON SOUDÉ","EN ATTENTE RT")),IF(L948="R","À REPRENDRE",IF(H948&lt;&gt;"OUI","⚠ ENROBÉ AVANT ACCEPTATION RT","ENROBÉ")))))</f>
        <v>À ENROBER</v>
      </c>
      <c r="O948" s="80"/>
      <c r="P948" s="82" t="n">
        <f aca="false">IF(C948="","",IFERROR(MATCH(Q948,'CARNET DE SOUDURE'!$AW$7:$AW$3006,0),""))</f>
        <v>942</v>
      </c>
      <c r="Q948" s="82" t="str">
        <f aca="false">IF(C948="","",B948&amp;"|"&amp;C948)</f>
        <v>MFD-ISW → MFD-CPF|JN°852</v>
      </c>
    </row>
    <row r="949" customFormat="false" ht="74.6" hidden="false" customHeight="false" outlineLevel="0" collapsed="false">
      <c r="A949" s="82" t="n">
        <f aca="false">IF(C949="","",ROW()-6)</f>
        <v>943</v>
      </c>
      <c r="B949" s="80" t="s">
        <v>110</v>
      </c>
      <c r="C949" s="113" t="s">
        <v>955</v>
      </c>
      <c r="D949" s="82" t="str">
        <f aca="false">IF(OR(C949="",P949=""),"",INDEX('CARNET DE SOUDURE'!$D$7:$D$3006,P949)&amp;"")</f>
        <v>4</v>
      </c>
      <c r="E949" s="114" t="n">
        <f aca="false">IF(OR(C949="",P949=""),"",IF(INDEX('CARNET DE SOUDURE'!$U$7:$U$3006,P949)="","",INDEX('CARNET DE SOUDURE'!$U$7:$U$3006,P949)))</f>
        <v>46284</v>
      </c>
      <c r="F949" s="82" t="str">
        <f aca="false">IF(OR(C949="",P949=""),"",INDEX('CARNET DE SOUDURE'!$AP$7:$AP$3006,P949))</f>
        <v>A</v>
      </c>
      <c r="G949" s="82" t="str">
        <f aca="false">IF(C949="","",IF(P949="","NJ INCONNU",INDEX('CARNET DE SOUDURE'!$AQ$7:$AQ$3006,P949)))</f>
        <v>ACCEPTÉ</v>
      </c>
      <c r="H949" s="82" t="str">
        <f aca="false">IF(C949="","",IF(G949="ACCEPTÉ","OUI","NON"))</f>
        <v>OUI</v>
      </c>
      <c r="I949" s="83"/>
      <c r="J949" s="80"/>
      <c r="K949" s="81"/>
      <c r="L949" s="81"/>
      <c r="M949" s="81"/>
      <c r="N949" s="84" t="str">
        <f aca="false">IF(C949="","",IF(P949="","NJ INCONNU",IF(I949="",IF(H949="OUI","À ENROBER",IF(G949="À SOUDER","NON SOUDÉ","EN ATTENTE RT")),IF(L949="R","À REPRENDRE",IF(H949&lt;&gt;"OUI","⚠ ENROBÉ AVANT ACCEPTATION RT","ENROBÉ")))))</f>
        <v>À ENROBER</v>
      </c>
      <c r="O949" s="80"/>
      <c r="P949" s="82" t="n">
        <f aca="false">IF(C949="","",IFERROR(MATCH(Q949,'CARNET DE SOUDURE'!$AW$7:$AW$3006,0),""))</f>
        <v>818</v>
      </c>
      <c r="Q949" s="82" t="str">
        <f aca="false">IF(C949="","",B949&amp;"|"&amp;C949)</f>
        <v>MFD-ISW → MFD-CPF|DJ°438</v>
      </c>
    </row>
    <row r="950" customFormat="false" ht="74.6" hidden="false" customHeight="false" outlineLevel="0" collapsed="false">
      <c r="A950" s="82" t="n">
        <f aca="false">IF(C950="","",ROW()-6)</f>
        <v>944</v>
      </c>
      <c r="B950" s="80" t="s">
        <v>110</v>
      </c>
      <c r="C950" s="113" t="s">
        <v>1112</v>
      </c>
      <c r="D950" s="82" t="str">
        <f aca="false">IF(OR(C950="",P950=""),"",INDEX('CARNET DE SOUDURE'!$D$7:$D$3006,P950)&amp;"")</f>
        <v>6</v>
      </c>
      <c r="E950" s="114" t="n">
        <f aca="false">IF(OR(C950="",P950=""),"",IF(INDEX('CARNET DE SOUDURE'!$U$7:$U$3006,P950)="","",INDEX('CARNET DE SOUDURE'!$U$7:$U$3006,P950)))</f>
        <v>46285</v>
      </c>
      <c r="F950" s="82" t="str">
        <f aca="false">IF(OR(C950="",P950=""),"",INDEX('CARNET DE SOUDURE'!$AP$7:$AP$3006,P950))</f>
        <v>A</v>
      </c>
      <c r="G950" s="82" t="str">
        <f aca="false">IF(C950="","",IF(P950="","NJ INCONNU",INDEX('CARNET DE SOUDURE'!$AQ$7:$AQ$3006,P950)))</f>
        <v>ACCEPTÉ</v>
      </c>
      <c r="H950" s="82" t="str">
        <f aca="false">IF(C950="","",IF(G950="ACCEPTÉ","OUI","NON"))</f>
        <v>OUI</v>
      </c>
      <c r="I950" s="83"/>
      <c r="J950" s="80"/>
      <c r="K950" s="81"/>
      <c r="L950" s="81"/>
      <c r="M950" s="81"/>
      <c r="N950" s="84" t="str">
        <f aca="false">IF(C950="","",IF(P950="","NJ INCONNU",IF(I950="",IF(H950="OUI","À ENROBER",IF(G950="À SOUDER","NON SOUDÉ","EN ATTENTE RT")),IF(L950="R","À REPRENDRE",IF(H950&lt;&gt;"OUI","⚠ ENROBÉ AVANT ACCEPTATION RT","ENROBÉ")))))</f>
        <v>À ENROBER</v>
      </c>
      <c r="O950" s="80"/>
      <c r="P950" s="82" t="n">
        <f aca="false">IF(C950="","",IFERROR(MATCH(Q950,'CARNET DE SOUDURE'!$AW$7:$AW$3006,0),""))</f>
        <v>944</v>
      </c>
      <c r="Q950" s="82" t="str">
        <f aca="false">IF(C950="","",B950&amp;"|"&amp;C950)</f>
        <v>MFD-ISW → MFD-CPF|JN°853</v>
      </c>
    </row>
    <row r="951" customFormat="false" ht="74.6" hidden="false" customHeight="false" outlineLevel="0" collapsed="false">
      <c r="A951" s="82" t="n">
        <f aca="false">IF(C951="","",ROW()-6)</f>
        <v>945</v>
      </c>
      <c r="B951" s="80" t="s">
        <v>110</v>
      </c>
      <c r="C951" s="113" t="s">
        <v>1113</v>
      </c>
      <c r="D951" s="82" t="str">
        <f aca="false">IF(OR(C951="",P951=""),"",INDEX('CARNET DE SOUDURE'!$D$7:$D$3006,P951)&amp;"")</f>
        <v>6</v>
      </c>
      <c r="E951" s="114" t="n">
        <f aca="false">IF(OR(C951="",P951=""),"",IF(INDEX('CARNET DE SOUDURE'!$U$7:$U$3006,P951)="","",INDEX('CARNET DE SOUDURE'!$U$7:$U$3006,P951)))</f>
        <v>46284</v>
      </c>
      <c r="F951" s="82" t="str">
        <f aca="false">IF(OR(C951="",P951=""),"",INDEX('CARNET DE SOUDURE'!$AP$7:$AP$3006,P951))</f>
        <v>A</v>
      </c>
      <c r="G951" s="82" t="str">
        <f aca="false">IF(C951="","",IF(P951="","NJ INCONNU",INDEX('CARNET DE SOUDURE'!$AQ$7:$AQ$3006,P951)))</f>
        <v>ACCEPTÉ</v>
      </c>
      <c r="H951" s="82" t="str">
        <f aca="false">IF(C951="","",IF(G951="ACCEPTÉ","OUI","NON"))</f>
        <v>OUI</v>
      </c>
      <c r="I951" s="83"/>
      <c r="J951" s="80"/>
      <c r="K951" s="81"/>
      <c r="L951" s="81"/>
      <c r="M951" s="81"/>
      <c r="N951" s="84" t="str">
        <f aca="false">IF(C951="","",IF(P951="","NJ INCONNU",IF(I951="",IF(H951="OUI","À ENROBER",IF(G951="À SOUDER","NON SOUDÉ","EN ATTENTE RT")),IF(L951="R","À REPRENDRE",IF(H951&lt;&gt;"OUI","⚠ ENROBÉ AVANT ACCEPTATION RT","ENROBÉ")))))</f>
        <v>À ENROBER</v>
      </c>
      <c r="O951" s="80"/>
      <c r="P951" s="82" t="n">
        <f aca="false">IF(C951="","",IFERROR(MATCH(Q951,'CARNET DE SOUDURE'!$AW$7:$AW$3006,0),""))</f>
        <v>945</v>
      </c>
      <c r="Q951" s="82" t="str">
        <f aca="false">IF(C951="","",B951&amp;"|"&amp;C951)</f>
        <v>MFD-ISW → MFD-CPF|DJ°434</v>
      </c>
    </row>
    <row r="952" customFormat="false" ht="74.6" hidden="false" customHeight="false" outlineLevel="0" collapsed="false">
      <c r="A952" s="82" t="n">
        <f aca="false">IF(C952="","",ROW()-6)</f>
        <v>946</v>
      </c>
      <c r="B952" s="80" t="s">
        <v>110</v>
      </c>
      <c r="C952" s="113" t="s">
        <v>1114</v>
      </c>
      <c r="D952" s="82" t="str">
        <f aca="false">IF(OR(C952="",P952=""),"",INDEX('CARNET DE SOUDURE'!$D$7:$D$3006,P952)&amp;"")</f>
        <v>6</v>
      </c>
      <c r="E952" s="114" t="n">
        <f aca="false">IF(OR(C952="",P952=""),"",IF(INDEX('CARNET DE SOUDURE'!$U$7:$U$3006,P952)="","",INDEX('CARNET DE SOUDURE'!$U$7:$U$3006,P952)))</f>
        <v>46285</v>
      </c>
      <c r="F952" s="82" t="str">
        <f aca="false">IF(OR(C952="",P952=""),"",INDEX('CARNET DE SOUDURE'!$AP$7:$AP$3006,P952))</f>
        <v>A</v>
      </c>
      <c r="G952" s="82" t="str">
        <f aca="false">IF(C952="","",IF(P952="","NJ INCONNU",INDEX('CARNET DE SOUDURE'!$AQ$7:$AQ$3006,P952)))</f>
        <v>ACCEPTÉ</v>
      </c>
      <c r="H952" s="82" t="str">
        <f aca="false">IF(C952="","",IF(G952="ACCEPTÉ","OUI","NON"))</f>
        <v>OUI</v>
      </c>
      <c r="I952" s="83"/>
      <c r="J952" s="80"/>
      <c r="K952" s="81"/>
      <c r="L952" s="81"/>
      <c r="M952" s="81"/>
      <c r="N952" s="84" t="str">
        <f aca="false">IF(C952="","",IF(P952="","NJ INCONNU",IF(I952="",IF(H952="OUI","À ENROBER",IF(G952="À SOUDER","NON SOUDÉ","EN ATTENTE RT")),IF(L952="R","À REPRENDRE",IF(H952&lt;&gt;"OUI","⚠ ENROBÉ AVANT ACCEPTATION RT","ENROBÉ")))))</f>
        <v>À ENROBER</v>
      </c>
      <c r="O952" s="80"/>
      <c r="P952" s="82" t="n">
        <f aca="false">IF(C952="","",IFERROR(MATCH(Q952,'CARNET DE SOUDURE'!$AW$7:$AW$3006,0),""))</f>
        <v>946</v>
      </c>
      <c r="Q952" s="82" t="str">
        <f aca="false">IF(C952="","",B952&amp;"|"&amp;C952)</f>
        <v>MFD-ISW → MFD-CPF|JN°854</v>
      </c>
    </row>
    <row r="953" customFormat="false" ht="74.6" hidden="false" customHeight="false" outlineLevel="0" collapsed="false">
      <c r="A953" s="82" t="n">
        <f aca="false">IF(C953="","",ROW()-6)</f>
        <v>947</v>
      </c>
      <c r="B953" s="80" t="s">
        <v>110</v>
      </c>
      <c r="C953" s="113" t="s">
        <v>1115</v>
      </c>
      <c r="D953" s="82" t="str">
        <f aca="false">IF(OR(C953="",P953=""),"",INDEX('CARNET DE SOUDURE'!$D$7:$D$3006,P953)&amp;"")</f>
        <v>6</v>
      </c>
      <c r="E953" s="114" t="n">
        <f aca="false">IF(OR(C953="",P953=""),"",IF(INDEX('CARNET DE SOUDURE'!$U$7:$U$3006,P953)="","",INDEX('CARNET DE SOUDURE'!$U$7:$U$3006,P953)))</f>
        <v>46282</v>
      </c>
      <c r="F953" s="82" t="str">
        <f aca="false">IF(OR(C953="",P953=""),"",INDEX('CARNET DE SOUDURE'!$AP$7:$AP$3006,P953))</f>
        <v>A</v>
      </c>
      <c r="G953" s="82" t="str">
        <f aca="false">IF(C953="","",IF(P953="","NJ INCONNU",INDEX('CARNET DE SOUDURE'!$AQ$7:$AQ$3006,P953)))</f>
        <v>ACCEPTÉ</v>
      </c>
      <c r="H953" s="82" t="str">
        <f aca="false">IF(C953="","",IF(G953="ACCEPTÉ","OUI","NON"))</f>
        <v>OUI</v>
      </c>
      <c r="I953" s="83"/>
      <c r="J953" s="80"/>
      <c r="K953" s="81"/>
      <c r="L953" s="81"/>
      <c r="M953" s="81"/>
      <c r="N953" s="84" t="str">
        <f aca="false">IF(C953="","",IF(P953="","NJ INCONNU",IF(I953="",IF(H953="OUI","À ENROBER",IF(G953="À SOUDER","NON SOUDÉ","EN ATTENTE RT")),IF(L953="R","À REPRENDRE",IF(H953&lt;&gt;"OUI","⚠ ENROBÉ AVANT ACCEPTATION RT","ENROBÉ")))))</f>
        <v>À ENROBER</v>
      </c>
      <c r="O953" s="80"/>
      <c r="P953" s="82" t="n">
        <f aca="false">IF(C953="","",IFERROR(MATCH(Q953,'CARNET DE SOUDURE'!$AW$7:$AW$3006,0),""))</f>
        <v>947</v>
      </c>
      <c r="Q953" s="82" t="str">
        <f aca="false">IF(C953="","",B953&amp;"|"&amp;C953)</f>
        <v>MFD-ISW → MFD-CPF|DJ°416</v>
      </c>
    </row>
    <row r="954" customFormat="false" ht="74.6" hidden="false" customHeight="false" outlineLevel="0" collapsed="false">
      <c r="A954" s="82" t="n">
        <f aca="false">IF(C954="","",ROW()-6)</f>
        <v>948</v>
      </c>
      <c r="B954" s="80" t="s">
        <v>110</v>
      </c>
      <c r="C954" s="113" t="s">
        <v>1118</v>
      </c>
      <c r="D954" s="82" t="str">
        <f aca="false">IF(OR(C954="",P954=""),"",INDEX('CARNET DE SOUDURE'!$D$7:$D$3006,P954)&amp;"")</f>
        <v>6</v>
      </c>
      <c r="E954" s="114" t="n">
        <f aca="false">IF(OR(C954="",P954=""),"",IF(INDEX('CARNET DE SOUDURE'!$U$7:$U$3006,P954)="","",INDEX('CARNET DE SOUDURE'!$U$7:$U$3006,P954)))</f>
        <v>46285</v>
      </c>
      <c r="F954" s="82" t="str">
        <f aca="false">IF(OR(C954="",P954=""),"",INDEX('CARNET DE SOUDURE'!$AP$7:$AP$3006,P954))</f>
        <v>A</v>
      </c>
      <c r="G954" s="82" t="str">
        <f aca="false">IF(C954="","",IF(P954="","NJ INCONNU",INDEX('CARNET DE SOUDURE'!$AQ$7:$AQ$3006,P954)))</f>
        <v>ACCEPTÉ</v>
      </c>
      <c r="H954" s="82" t="str">
        <f aca="false">IF(C954="","",IF(G954="ACCEPTÉ","OUI","NON"))</f>
        <v>OUI</v>
      </c>
      <c r="I954" s="83"/>
      <c r="J954" s="80"/>
      <c r="K954" s="81"/>
      <c r="L954" s="81"/>
      <c r="M954" s="81"/>
      <c r="N954" s="84" t="str">
        <f aca="false">IF(C954="","",IF(P954="","NJ INCONNU",IF(I954="",IF(H954="OUI","À ENROBER",IF(G954="À SOUDER","NON SOUDÉ","EN ATTENTE RT")),IF(L954="R","À REPRENDRE",IF(H954&lt;&gt;"OUI","⚠ ENROBÉ AVANT ACCEPTATION RT","ENROBÉ")))))</f>
        <v>À ENROBER</v>
      </c>
      <c r="O954" s="80"/>
      <c r="P954" s="82" t="n">
        <f aca="false">IF(C954="","",IFERROR(MATCH(Q954,'CARNET DE SOUDURE'!$AW$7:$AW$3006,0),""))</f>
        <v>948</v>
      </c>
      <c r="Q954" s="82" t="str">
        <f aca="false">IF(C954="","",B954&amp;"|"&amp;C954)</f>
        <v>MFD-ISW → MFD-CPF|JN°855</v>
      </c>
    </row>
    <row r="955" customFormat="false" ht="74.6" hidden="false" customHeight="false" outlineLevel="0" collapsed="false">
      <c r="A955" s="82" t="n">
        <f aca="false">IF(C955="","",ROW()-6)</f>
        <v>949</v>
      </c>
      <c r="B955" s="80" t="s">
        <v>110</v>
      </c>
      <c r="C955" s="113" t="s">
        <v>1119</v>
      </c>
      <c r="D955" s="82" t="str">
        <f aca="false">IF(OR(C955="",P955=""),"",INDEX('CARNET DE SOUDURE'!$D$7:$D$3006,P955)&amp;"")</f>
        <v>6</v>
      </c>
      <c r="E955" s="114" t="n">
        <f aca="false">IF(OR(C955="",P955=""),"",IF(INDEX('CARNET DE SOUDURE'!$U$7:$U$3006,P955)="","",INDEX('CARNET DE SOUDURE'!$U$7:$U$3006,P955)))</f>
        <v>46283</v>
      </c>
      <c r="F955" s="82" t="str">
        <f aca="false">IF(OR(C955="",P955=""),"",INDEX('CARNET DE SOUDURE'!$AP$7:$AP$3006,P955))</f>
        <v>A</v>
      </c>
      <c r="G955" s="82" t="str">
        <f aca="false">IF(C955="","",IF(P955="","NJ INCONNU",INDEX('CARNET DE SOUDURE'!$AQ$7:$AQ$3006,P955)))</f>
        <v>ACCEPTÉ</v>
      </c>
      <c r="H955" s="82" t="str">
        <f aca="false">IF(C955="","",IF(G955="ACCEPTÉ","OUI","NON"))</f>
        <v>OUI</v>
      </c>
      <c r="I955" s="83"/>
      <c r="J955" s="80"/>
      <c r="K955" s="81"/>
      <c r="L955" s="81"/>
      <c r="M955" s="81"/>
      <c r="N955" s="84" t="str">
        <f aca="false">IF(C955="","",IF(P955="","NJ INCONNU",IF(I955="",IF(H955="OUI","À ENROBER",IF(G955="À SOUDER","NON SOUDÉ","EN ATTENTE RT")),IF(L955="R","À REPRENDRE",IF(H955&lt;&gt;"OUI","⚠ ENROBÉ AVANT ACCEPTATION RT","ENROBÉ")))))</f>
        <v>À ENROBER</v>
      </c>
      <c r="O955" s="80"/>
      <c r="P955" s="82" t="n">
        <f aca="false">IF(C955="","",IFERROR(MATCH(Q955,'CARNET DE SOUDURE'!$AW$7:$AW$3006,0),""))</f>
        <v>949</v>
      </c>
      <c r="Q955" s="82" t="str">
        <f aca="false">IF(C955="","",B955&amp;"|"&amp;C955)</f>
        <v>MFD-ISW → MFD-CPF|DJ°424</v>
      </c>
    </row>
    <row r="956" customFormat="false" ht="74.6" hidden="false" customHeight="false" outlineLevel="0" collapsed="false">
      <c r="A956" s="82" t="n">
        <f aca="false">IF(C956="","",ROW()-6)</f>
        <v>950</v>
      </c>
      <c r="B956" s="80" t="s">
        <v>110</v>
      </c>
      <c r="C956" s="113" t="s">
        <v>1120</v>
      </c>
      <c r="D956" s="82" t="str">
        <f aca="false">IF(OR(C956="",P956=""),"",INDEX('CARNET DE SOUDURE'!$D$7:$D$3006,P956)&amp;"")</f>
        <v>6</v>
      </c>
      <c r="E956" s="114" t="n">
        <f aca="false">IF(OR(C956="",P956=""),"",IF(INDEX('CARNET DE SOUDURE'!$U$7:$U$3006,P956)="","",INDEX('CARNET DE SOUDURE'!$U$7:$U$3006,P956)))</f>
        <v>46285</v>
      </c>
      <c r="F956" s="82" t="str">
        <f aca="false">IF(OR(C956="",P956=""),"",INDEX('CARNET DE SOUDURE'!$AP$7:$AP$3006,P956))</f>
        <v>A</v>
      </c>
      <c r="G956" s="82" t="str">
        <f aca="false">IF(C956="","",IF(P956="","NJ INCONNU",INDEX('CARNET DE SOUDURE'!$AQ$7:$AQ$3006,P956)))</f>
        <v>ACCEPTÉ</v>
      </c>
      <c r="H956" s="82" t="str">
        <f aca="false">IF(C956="","",IF(G956="ACCEPTÉ","OUI","NON"))</f>
        <v>OUI</v>
      </c>
      <c r="I956" s="83"/>
      <c r="J956" s="80"/>
      <c r="K956" s="81"/>
      <c r="L956" s="81"/>
      <c r="M956" s="81"/>
      <c r="N956" s="84" t="str">
        <f aca="false">IF(C956="","",IF(P956="","NJ INCONNU",IF(I956="",IF(H956="OUI","À ENROBER",IF(G956="À SOUDER","NON SOUDÉ","EN ATTENTE RT")),IF(L956="R","À REPRENDRE",IF(H956&lt;&gt;"OUI","⚠ ENROBÉ AVANT ACCEPTATION RT","ENROBÉ")))))</f>
        <v>À ENROBER</v>
      </c>
      <c r="O956" s="80"/>
      <c r="P956" s="82" t="n">
        <f aca="false">IF(C956="","",IFERROR(MATCH(Q956,'CARNET DE SOUDURE'!$AW$7:$AW$3006,0),""))</f>
        <v>950</v>
      </c>
      <c r="Q956" s="82" t="str">
        <f aca="false">IF(C956="","",B956&amp;"|"&amp;C956)</f>
        <v>MFD-ISW → MFD-CPF|JN°856</v>
      </c>
    </row>
    <row r="957" customFormat="false" ht="74.6" hidden="false" customHeight="false" outlineLevel="0" collapsed="false">
      <c r="A957" s="82" t="n">
        <f aca="false">IF(C957="","",ROW()-6)</f>
        <v>951</v>
      </c>
      <c r="B957" s="80" t="s">
        <v>110</v>
      </c>
      <c r="C957" s="113" t="s">
        <v>1121</v>
      </c>
      <c r="D957" s="82" t="str">
        <f aca="false">IF(OR(C957="",P957=""),"",INDEX('CARNET DE SOUDURE'!$D$7:$D$3006,P957)&amp;"")</f>
        <v>6</v>
      </c>
      <c r="E957" s="114" t="n">
        <f aca="false">IF(OR(C957="",P957=""),"",IF(INDEX('CARNET DE SOUDURE'!$U$7:$U$3006,P957)="","",INDEX('CARNET DE SOUDURE'!$U$7:$U$3006,P957)))</f>
        <v>46282</v>
      </c>
      <c r="F957" s="82" t="str">
        <f aca="false">IF(OR(C957="",P957=""),"",INDEX('CARNET DE SOUDURE'!$AP$7:$AP$3006,P957))</f>
        <v>A</v>
      </c>
      <c r="G957" s="82" t="str">
        <f aca="false">IF(C957="","",IF(P957="","NJ INCONNU",INDEX('CARNET DE SOUDURE'!$AQ$7:$AQ$3006,P957)))</f>
        <v>ACCEPTÉ</v>
      </c>
      <c r="H957" s="82" t="str">
        <f aca="false">IF(C957="","",IF(G957="ACCEPTÉ","OUI","NON"))</f>
        <v>OUI</v>
      </c>
      <c r="I957" s="83"/>
      <c r="J957" s="80"/>
      <c r="K957" s="81"/>
      <c r="L957" s="81"/>
      <c r="M957" s="81"/>
      <c r="N957" s="84" t="str">
        <f aca="false">IF(C957="","",IF(P957="","NJ INCONNU",IF(I957="",IF(H957="OUI","À ENROBER",IF(G957="À SOUDER","NON SOUDÉ","EN ATTENTE RT")),IF(L957="R","À REPRENDRE",IF(H957&lt;&gt;"OUI","⚠ ENROBÉ AVANT ACCEPTATION RT","ENROBÉ")))))</f>
        <v>À ENROBER</v>
      </c>
      <c r="O957" s="80"/>
      <c r="P957" s="82" t="n">
        <f aca="false">IF(C957="","",IFERROR(MATCH(Q957,'CARNET DE SOUDURE'!$AW$7:$AW$3006,0),""))</f>
        <v>951</v>
      </c>
      <c r="Q957" s="82" t="str">
        <f aca="false">IF(C957="","",B957&amp;"|"&amp;C957)</f>
        <v>MFD-ISW → MFD-CPF|DJ°415</v>
      </c>
    </row>
    <row r="958" customFormat="false" ht="74.6" hidden="false" customHeight="false" outlineLevel="0" collapsed="false">
      <c r="A958" s="82" t="n">
        <f aca="false">IF(C958="","",ROW()-6)</f>
        <v>952</v>
      </c>
      <c r="B958" s="80" t="s">
        <v>110</v>
      </c>
      <c r="C958" s="113" t="s">
        <v>1122</v>
      </c>
      <c r="D958" s="82" t="str">
        <f aca="false">IF(OR(C958="",P958=""),"",INDEX('CARNET DE SOUDURE'!$D$7:$D$3006,P958)&amp;"")</f>
        <v>6</v>
      </c>
      <c r="E958" s="114" t="n">
        <f aca="false">IF(OR(C958="",P958=""),"",IF(INDEX('CARNET DE SOUDURE'!$U$7:$U$3006,P958)="","",INDEX('CARNET DE SOUDURE'!$U$7:$U$3006,P958)))</f>
        <v>46285</v>
      </c>
      <c r="F958" s="82" t="str">
        <f aca="false">IF(OR(C958="",P958=""),"",INDEX('CARNET DE SOUDURE'!$AP$7:$AP$3006,P958))</f>
        <v>A</v>
      </c>
      <c r="G958" s="82" t="str">
        <f aca="false">IF(C958="","",IF(P958="","NJ INCONNU",INDEX('CARNET DE SOUDURE'!$AQ$7:$AQ$3006,P958)))</f>
        <v>ACCEPTÉ</v>
      </c>
      <c r="H958" s="82" t="str">
        <f aca="false">IF(C958="","",IF(G958="ACCEPTÉ","OUI","NON"))</f>
        <v>OUI</v>
      </c>
      <c r="I958" s="83"/>
      <c r="J958" s="80"/>
      <c r="K958" s="81"/>
      <c r="L958" s="81"/>
      <c r="M958" s="81"/>
      <c r="N958" s="84" t="str">
        <f aca="false">IF(C958="","",IF(P958="","NJ INCONNU",IF(I958="",IF(H958="OUI","À ENROBER",IF(G958="À SOUDER","NON SOUDÉ","EN ATTENTE RT")),IF(L958="R","À REPRENDRE",IF(H958&lt;&gt;"OUI","⚠ ENROBÉ AVANT ACCEPTATION RT","ENROBÉ")))))</f>
        <v>À ENROBER</v>
      </c>
      <c r="O958" s="80"/>
      <c r="P958" s="82" t="n">
        <f aca="false">IF(C958="","",IFERROR(MATCH(Q958,'CARNET DE SOUDURE'!$AW$7:$AW$3006,0),""))</f>
        <v>952</v>
      </c>
      <c r="Q958" s="82" t="str">
        <f aca="false">IF(C958="","",B958&amp;"|"&amp;C958)</f>
        <v>MFD-ISW → MFD-CPF|JN°857</v>
      </c>
    </row>
    <row r="959" customFormat="false" ht="74.6" hidden="false" customHeight="false" outlineLevel="0" collapsed="false">
      <c r="A959" s="82" t="n">
        <f aca="false">IF(C959="","",ROW()-6)</f>
        <v>953</v>
      </c>
      <c r="B959" s="80" t="s">
        <v>110</v>
      </c>
      <c r="C959" s="113" t="s">
        <v>1123</v>
      </c>
      <c r="D959" s="82" t="str">
        <f aca="false">IF(OR(C959="",P959=""),"",INDEX('CARNET DE SOUDURE'!$D$7:$D$3006,P959)&amp;"")</f>
        <v>6</v>
      </c>
      <c r="E959" s="114" t="n">
        <f aca="false">IF(OR(C959="",P959=""),"",IF(INDEX('CARNET DE SOUDURE'!$U$7:$U$3006,P959)="","",INDEX('CARNET DE SOUDURE'!$U$7:$U$3006,P959)))</f>
        <v>46282</v>
      </c>
      <c r="F959" s="82" t="str">
        <f aca="false">IF(OR(C959="",P959=""),"",INDEX('CARNET DE SOUDURE'!$AP$7:$AP$3006,P959))</f>
        <v>A</v>
      </c>
      <c r="G959" s="82" t="str">
        <f aca="false">IF(C959="","",IF(P959="","NJ INCONNU",INDEX('CARNET DE SOUDURE'!$AQ$7:$AQ$3006,P959)))</f>
        <v>ACCEPTÉ</v>
      </c>
      <c r="H959" s="82" t="str">
        <f aca="false">IF(C959="","",IF(G959="ACCEPTÉ","OUI","NON"))</f>
        <v>OUI</v>
      </c>
      <c r="I959" s="83"/>
      <c r="J959" s="80"/>
      <c r="K959" s="81"/>
      <c r="L959" s="81"/>
      <c r="M959" s="81"/>
      <c r="N959" s="84" t="str">
        <f aca="false">IF(C959="","",IF(P959="","NJ INCONNU",IF(I959="",IF(H959="OUI","À ENROBER",IF(G959="À SOUDER","NON SOUDÉ","EN ATTENTE RT")),IF(L959="R","À REPRENDRE",IF(H959&lt;&gt;"OUI","⚠ ENROBÉ AVANT ACCEPTATION RT","ENROBÉ")))))</f>
        <v>À ENROBER</v>
      </c>
      <c r="O959" s="80"/>
      <c r="P959" s="82" t="n">
        <f aca="false">IF(C959="","",IFERROR(MATCH(Q959,'CARNET DE SOUDURE'!$AW$7:$AW$3006,0),""))</f>
        <v>953</v>
      </c>
      <c r="Q959" s="82" t="str">
        <f aca="false">IF(C959="","",B959&amp;"|"&amp;C959)</f>
        <v>MFD-ISW → MFD-CPF|DJ°419</v>
      </c>
    </row>
    <row r="960" customFormat="false" ht="74.6" hidden="false" customHeight="false" outlineLevel="0" collapsed="false">
      <c r="A960" s="82" t="n">
        <f aca="false">IF(C960="","",ROW()-6)</f>
        <v>954</v>
      </c>
      <c r="B960" s="80" t="s">
        <v>110</v>
      </c>
      <c r="C960" s="113" t="s">
        <v>1124</v>
      </c>
      <c r="D960" s="82" t="str">
        <f aca="false">IF(OR(C960="",P960=""),"",INDEX('CARNET DE SOUDURE'!$D$7:$D$3006,P960)&amp;"")</f>
        <v>6</v>
      </c>
      <c r="E960" s="114" t="n">
        <f aca="false">IF(OR(C960="",P960=""),"",IF(INDEX('CARNET DE SOUDURE'!$U$7:$U$3006,P960)="","",INDEX('CARNET DE SOUDURE'!$U$7:$U$3006,P960)))</f>
        <v>46285</v>
      </c>
      <c r="F960" s="82" t="str">
        <f aca="false">IF(OR(C960="",P960=""),"",INDEX('CARNET DE SOUDURE'!$AP$7:$AP$3006,P960))</f>
        <v>A</v>
      </c>
      <c r="G960" s="82" t="str">
        <f aca="false">IF(C960="","",IF(P960="","NJ INCONNU",INDEX('CARNET DE SOUDURE'!$AQ$7:$AQ$3006,P960)))</f>
        <v>ACCEPTÉ</v>
      </c>
      <c r="H960" s="82" t="str">
        <f aca="false">IF(C960="","",IF(G960="ACCEPTÉ","OUI","NON"))</f>
        <v>OUI</v>
      </c>
      <c r="I960" s="83"/>
      <c r="J960" s="80"/>
      <c r="K960" s="81"/>
      <c r="L960" s="81"/>
      <c r="M960" s="81"/>
      <c r="N960" s="84" t="str">
        <f aca="false">IF(C960="","",IF(P960="","NJ INCONNU",IF(I960="",IF(H960="OUI","À ENROBER",IF(G960="À SOUDER","NON SOUDÉ","EN ATTENTE RT")),IF(L960="R","À REPRENDRE",IF(H960&lt;&gt;"OUI","⚠ ENROBÉ AVANT ACCEPTATION RT","ENROBÉ")))))</f>
        <v>À ENROBER</v>
      </c>
      <c r="O960" s="80"/>
      <c r="P960" s="82" t="n">
        <f aca="false">IF(C960="","",IFERROR(MATCH(Q960,'CARNET DE SOUDURE'!$AW$7:$AW$3006,0),""))</f>
        <v>954</v>
      </c>
      <c r="Q960" s="82" t="str">
        <f aca="false">IF(C960="","",B960&amp;"|"&amp;C960)</f>
        <v>MFD-ISW → MFD-CPF|JN°858</v>
      </c>
    </row>
    <row r="961" customFormat="false" ht="74.6" hidden="false" customHeight="false" outlineLevel="0" collapsed="false">
      <c r="A961" s="82" t="n">
        <f aca="false">IF(C961="","",ROW()-6)</f>
        <v>955</v>
      </c>
      <c r="B961" s="80" t="s">
        <v>110</v>
      </c>
      <c r="C961" s="113" t="s">
        <v>1125</v>
      </c>
      <c r="D961" s="82" t="str">
        <f aca="false">IF(OR(C961="",P961=""),"",INDEX('CARNET DE SOUDURE'!$D$7:$D$3006,P961)&amp;"")</f>
        <v>6</v>
      </c>
      <c r="E961" s="114" t="n">
        <f aca="false">IF(OR(C961="",P961=""),"",IF(INDEX('CARNET DE SOUDURE'!$U$7:$U$3006,P961)="","",INDEX('CARNET DE SOUDURE'!$U$7:$U$3006,P961)))</f>
        <v>46282</v>
      </c>
      <c r="F961" s="82" t="str">
        <f aca="false">IF(OR(C961="",P961=""),"",INDEX('CARNET DE SOUDURE'!$AP$7:$AP$3006,P961))</f>
        <v>A</v>
      </c>
      <c r="G961" s="82" t="str">
        <f aca="false">IF(C961="","",IF(P961="","NJ INCONNU",INDEX('CARNET DE SOUDURE'!$AQ$7:$AQ$3006,P961)))</f>
        <v>ACCEPTÉ</v>
      </c>
      <c r="H961" s="82" t="str">
        <f aca="false">IF(C961="","",IF(G961="ACCEPTÉ","OUI","NON"))</f>
        <v>OUI</v>
      </c>
      <c r="I961" s="83"/>
      <c r="J961" s="80"/>
      <c r="K961" s="81"/>
      <c r="L961" s="81"/>
      <c r="M961" s="81"/>
      <c r="N961" s="84" t="str">
        <f aca="false">IF(C961="","",IF(P961="","NJ INCONNU",IF(I961="",IF(H961="OUI","À ENROBER",IF(G961="À SOUDER","NON SOUDÉ","EN ATTENTE RT")),IF(L961="R","À REPRENDRE",IF(H961&lt;&gt;"OUI","⚠ ENROBÉ AVANT ACCEPTATION RT","ENROBÉ")))))</f>
        <v>À ENROBER</v>
      </c>
      <c r="O961" s="80"/>
      <c r="P961" s="82" t="n">
        <f aca="false">IF(C961="","",IFERROR(MATCH(Q961,'CARNET DE SOUDURE'!$AW$7:$AW$3006,0),""))</f>
        <v>955</v>
      </c>
      <c r="Q961" s="82" t="str">
        <f aca="false">IF(C961="","",B961&amp;"|"&amp;C961)</f>
        <v>MFD-ISW → MFD-CPF|DJ°418</v>
      </c>
    </row>
    <row r="962" customFormat="false" ht="74.6" hidden="false" customHeight="false" outlineLevel="0" collapsed="false">
      <c r="A962" s="82" t="n">
        <f aca="false">IF(C962="","",ROW()-6)</f>
        <v>956</v>
      </c>
      <c r="B962" s="80" t="s">
        <v>110</v>
      </c>
      <c r="C962" s="113" t="s">
        <v>1126</v>
      </c>
      <c r="D962" s="82" t="str">
        <f aca="false">IF(OR(C962="",P962=""),"",INDEX('CARNET DE SOUDURE'!$D$7:$D$3006,P962)&amp;"")</f>
        <v>6</v>
      </c>
      <c r="E962" s="114" t="n">
        <f aca="false">IF(OR(C962="",P962=""),"",IF(INDEX('CARNET DE SOUDURE'!$U$7:$U$3006,P962)="","",INDEX('CARNET DE SOUDURE'!$U$7:$U$3006,P962)))</f>
        <v>46285</v>
      </c>
      <c r="F962" s="82" t="str">
        <f aca="false">IF(OR(C962="",P962=""),"",INDEX('CARNET DE SOUDURE'!$AP$7:$AP$3006,P962))</f>
        <v>A</v>
      </c>
      <c r="G962" s="82" t="str">
        <f aca="false">IF(C962="","",IF(P962="","NJ INCONNU",INDEX('CARNET DE SOUDURE'!$AQ$7:$AQ$3006,P962)))</f>
        <v>ACCEPTÉ</v>
      </c>
      <c r="H962" s="82" t="str">
        <f aca="false">IF(C962="","",IF(G962="ACCEPTÉ","OUI","NON"))</f>
        <v>OUI</v>
      </c>
      <c r="I962" s="83"/>
      <c r="J962" s="80"/>
      <c r="K962" s="81"/>
      <c r="L962" s="81"/>
      <c r="M962" s="81"/>
      <c r="N962" s="84" t="str">
        <f aca="false">IF(C962="","",IF(P962="","NJ INCONNU",IF(I962="",IF(H962="OUI","À ENROBER",IF(G962="À SOUDER","NON SOUDÉ","EN ATTENTE RT")),IF(L962="R","À REPRENDRE",IF(H962&lt;&gt;"OUI","⚠ ENROBÉ AVANT ACCEPTATION RT","ENROBÉ")))))</f>
        <v>À ENROBER</v>
      </c>
      <c r="O962" s="80"/>
      <c r="P962" s="82" t="n">
        <f aca="false">IF(C962="","",IFERROR(MATCH(Q962,'CARNET DE SOUDURE'!$AW$7:$AW$3006,0),""))</f>
        <v>956</v>
      </c>
      <c r="Q962" s="82" t="str">
        <f aca="false">IF(C962="","",B962&amp;"|"&amp;C962)</f>
        <v>MFD-ISW → MFD-CPF|JN°859</v>
      </c>
    </row>
    <row r="963" customFormat="false" ht="74.6" hidden="false" customHeight="false" outlineLevel="0" collapsed="false">
      <c r="A963" s="82" t="n">
        <f aca="false">IF(C963="","",ROW()-6)</f>
        <v>957</v>
      </c>
      <c r="B963" s="80" t="s">
        <v>110</v>
      </c>
      <c r="C963" s="113" t="s">
        <v>1127</v>
      </c>
      <c r="D963" s="82" t="str">
        <f aca="false">IF(OR(C963="",P963=""),"",INDEX('CARNET DE SOUDURE'!$D$7:$D$3006,P963)&amp;"")</f>
        <v>6</v>
      </c>
      <c r="E963" s="114" t="n">
        <f aca="false">IF(OR(C963="",P963=""),"",IF(INDEX('CARNET DE SOUDURE'!$U$7:$U$3006,P963)="","",INDEX('CARNET DE SOUDURE'!$U$7:$U$3006,P963)))</f>
        <v>46283</v>
      </c>
      <c r="F963" s="82" t="str">
        <f aca="false">IF(OR(C963="",P963=""),"",INDEX('CARNET DE SOUDURE'!$AP$7:$AP$3006,P963))</f>
        <v>A</v>
      </c>
      <c r="G963" s="82" t="str">
        <f aca="false">IF(C963="","",IF(P963="","NJ INCONNU",INDEX('CARNET DE SOUDURE'!$AQ$7:$AQ$3006,P963)))</f>
        <v>ACCEPTÉ</v>
      </c>
      <c r="H963" s="82" t="str">
        <f aca="false">IF(C963="","",IF(G963="ACCEPTÉ","OUI","NON"))</f>
        <v>OUI</v>
      </c>
      <c r="I963" s="83"/>
      <c r="J963" s="80"/>
      <c r="K963" s="81"/>
      <c r="L963" s="81"/>
      <c r="M963" s="81"/>
      <c r="N963" s="84" t="str">
        <f aca="false">IF(C963="","",IF(P963="","NJ INCONNU",IF(I963="",IF(H963="OUI","À ENROBER",IF(G963="À SOUDER","NON SOUDÉ","EN ATTENTE RT")),IF(L963="R","À REPRENDRE",IF(H963&lt;&gt;"OUI","⚠ ENROBÉ AVANT ACCEPTATION RT","ENROBÉ")))))</f>
        <v>À ENROBER</v>
      </c>
      <c r="O963" s="80"/>
      <c r="P963" s="82" t="n">
        <f aca="false">IF(C963="","",IFERROR(MATCH(Q963,'CARNET DE SOUDURE'!$AW$7:$AW$3006,0),""))</f>
        <v>957</v>
      </c>
      <c r="Q963" s="82" t="str">
        <f aca="false">IF(C963="","",B963&amp;"|"&amp;C963)</f>
        <v>MFD-ISW → MFD-CPF|DJ°423</v>
      </c>
    </row>
    <row r="964" customFormat="false" ht="74.6" hidden="false" customHeight="false" outlineLevel="0" collapsed="false">
      <c r="A964" s="82" t="n">
        <f aca="false">IF(C964="","",ROW()-6)</f>
        <v>958</v>
      </c>
      <c r="B964" s="80" t="s">
        <v>110</v>
      </c>
      <c r="C964" s="113" t="s">
        <v>1128</v>
      </c>
      <c r="D964" s="82" t="str">
        <f aca="false">IF(OR(C964="",P964=""),"",INDEX('CARNET DE SOUDURE'!$D$7:$D$3006,P964)&amp;"")</f>
        <v>6</v>
      </c>
      <c r="E964" s="114" t="n">
        <f aca="false">IF(OR(C964="",P964=""),"",IF(INDEX('CARNET DE SOUDURE'!$U$7:$U$3006,P964)="","",INDEX('CARNET DE SOUDURE'!$U$7:$U$3006,P964)))</f>
        <v>46285</v>
      </c>
      <c r="F964" s="82" t="str">
        <f aca="false">IF(OR(C964="",P964=""),"",INDEX('CARNET DE SOUDURE'!$AP$7:$AP$3006,P964))</f>
        <v>A</v>
      </c>
      <c r="G964" s="82" t="str">
        <f aca="false">IF(C964="","",IF(P964="","NJ INCONNU",INDEX('CARNET DE SOUDURE'!$AQ$7:$AQ$3006,P964)))</f>
        <v>ACCEPTÉ</v>
      </c>
      <c r="H964" s="82" t="str">
        <f aca="false">IF(C964="","",IF(G964="ACCEPTÉ","OUI","NON"))</f>
        <v>OUI</v>
      </c>
      <c r="I964" s="83"/>
      <c r="J964" s="80"/>
      <c r="K964" s="81"/>
      <c r="L964" s="81"/>
      <c r="M964" s="81"/>
      <c r="N964" s="84" t="str">
        <f aca="false">IF(C964="","",IF(P964="","NJ INCONNU",IF(I964="",IF(H964="OUI","À ENROBER",IF(G964="À SOUDER","NON SOUDÉ","EN ATTENTE RT")),IF(L964="R","À REPRENDRE",IF(H964&lt;&gt;"OUI","⚠ ENROBÉ AVANT ACCEPTATION RT","ENROBÉ")))))</f>
        <v>À ENROBER</v>
      </c>
      <c r="O964" s="80"/>
      <c r="P964" s="82" t="n">
        <f aca="false">IF(C964="","",IFERROR(MATCH(Q964,'CARNET DE SOUDURE'!$AW$7:$AW$3006,0),""))</f>
        <v>958</v>
      </c>
      <c r="Q964" s="82" t="str">
        <f aca="false">IF(C964="","",B964&amp;"|"&amp;C964)</f>
        <v>MFD-ISW → MFD-CPF|JN°860</v>
      </c>
    </row>
    <row r="965" customFormat="false" ht="74.6" hidden="false" customHeight="false" outlineLevel="0" collapsed="false">
      <c r="A965" s="82" t="n">
        <f aca="false">IF(C965="","",ROW()-6)</f>
        <v>959</v>
      </c>
      <c r="B965" s="80" t="s">
        <v>110</v>
      </c>
      <c r="C965" s="113" t="s">
        <v>1130</v>
      </c>
      <c r="D965" s="82" t="str">
        <f aca="false">IF(OR(C965="",P965=""),"",INDEX('CARNET DE SOUDURE'!$D$7:$D$3006,P965)&amp;"")</f>
        <v>6</v>
      </c>
      <c r="E965" s="114" t="n">
        <f aca="false">IF(OR(C965="",P965=""),"",IF(INDEX('CARNET DE SOUDURE'!$U$7:$U$3006,P965)="","",INDEX('CARNET DE SOUDURE'!$U$7:$U$3006,P965)))</f>
        <v>46282</v>
      </c>
      <c r="F965" s="82" t="str">
        <f aca="false">IF(OR(C965="",P965=""),"",INDEX('CARNET DE SOUDURE'!$AP$7:$AP$3006,P965))</f>
        <v>A</v>
      </c>
      <c r="G965" s="82" t="str">
        <f aca="false">IF(C965="","",IF(P965="","NJ INCONNU",INDEX('CARNET DE SOUDURE'!$AQ$7:$AQ$3006,P965)))</f>
        <v>ACCEPTÉ</v>
      </c>
      <c r="H965" s="82" t="str">
        <f aca="false">IF(C965="","",IF(G965="ACCEPTÉ","OUI","NON"))</f>
        <v>OUI</v>
      </c>
      <c r="I965" s="83"/>
      <c r="J965" s="80"/>
      <c r="K965" s="81"/>
      <c r="L965" s="81"/>
      <c r="M965" s="81"/>
      <c r="N965" s="84" t="str">
        <f aca="false">IF(C965="","",IF(P965="","NJ INCONNU",IF(I965="",IF(H965="OUI","À ENROBER",IF(G965="À SOUDER","NON SOUDÉ","EN ATTENTE RT")),IF(L965="R","À REPRENDRE",IF(H965&lt;&gt;"OUI","⚠ ENROBÉ AVANT ACCEPTATION RT","ENROBÉ")))))</f>
        <v>À ENROBER</v>
      </c>
      <c r="O965" s="80"/>
      <c r="P965" s="82" t="n">
        <f aca="false">IF(C965="","",IFERROR(MATCH(Q965,'CARNET DE SOUDURE'!$AW$7:$AW$3006,0),""))</f>
        <v>959</v>
      </c>
      <c r="Q965" s="82" t="str">
        <f aca="false">IF(C965="","",B965&amp;"|"&amp;C965)</f>
        <v>MFD-ISW → MFD-CPF|DJ°417</v>
      </c>
    </row>
    <row r="966" customFormat="false" ht="74.6" hidden="false" customHeight="false" outlineLevel="0" collapsed="false">
      <c r="A966" s="82" t="n">
        <f aca="false">IF(C966="","",ROW()-6)</f>
        <v>960</v>
      </c>
      <c r="B966" s="80" t="s">
        <v>110</v>
      </c>
      <c r="C966" s="113" t="s">
        <v>1131</v>
      </c>
      <c r="D966" s="82" t="str">
        <f aca="false">IF(OR(C966="",P966=""),"",INDEX('CARNET DE SOUDURE'!$D$7:$D$3006,P966)&amp;"")</f>
        <v>6</v>
      </c>
      <c r="E966" s="114" t="n">
        <f aca="false">IF(OR(C966="",P966=""),"",IF(INDEX('CARNET DE SOUDURE'!$U$7:$U$3006,P966)="","",INDEX('CARNET DE SOUDURE'!$U$7:$U$3006,P966)))</f>
        <v>46285</v>
      </c>
      <c r="F966" s="82" t="str">
        <f aca="false">IF(OR(C966="",P966=""),"",INDEX('CARNET DE SOUDURE'!$AP$7:$AP$3006,P966))</f>
        <v>A</v>
      </c>
      <c r="G966" s="82" t="str">
        <f aca="false">IF(C966="","",IF(P966="","NJ INCONNU",INDEX('CARNET DE SOUDURE'!$AQ$7:$AQ$3006,P966)))</f>
        <v>ACCEPTÉ</v>
      </c>
      <c r="H966" s="82" t="str">
        <f aca="false">IF(C966="","",IF(G966="ACCEPTÉ","OUI","NON"))</f>
        <v>OUI</v>
      </c>
      <c r="I966" s="83"/>
      <c r="J966" s="80"/>
      <c r="K966" s="81"/>
      <c r="L966" s="81"/>
      <c r="M966" s="81"/>
      <c r="N966" s="84" t="str">
        <f aca="false">IF(C966="","",IF(P966="","NJ INCONNU",IF(I966="",IF(H966="OUI","À ENROBER",IF(G966="À SOUDER","NON SOUDÉ","EN ATTENTE RT")),IF(L966="R","À REPRENDRE",IF(H966&lt;&gt;"OUI","⚠ ENROBÉ AVANT ACCEPTATION RT","ENROBÉ")))))</f>
        <v>À ENROBER</v>
      </c>
      <c r="O966" s="80"/>
      <c r="P966" s="82" t="n">
        <f aca="false">IF(C966="","",IFERROR(MATCH(Q966,'CARNET DE SOUDURE'!$AW$7:$AW$3006,0),""))</f>
        <v>960</v>
      </c>
      <c r="Q966" s="82" t="str">
        <f aca="false">IF(C966="","",B966&amp;"|"&amp;C966)</f>
        <v>MFD-ISW → MFD-CPF|JN°861</v>
      </c>
    </row>
    <row r="967" customFormat="false" ht="74.6" hidden="false" customHeight="false" outlineLevel="0" collapsed="false">
      <c r="A967" s="82" t="n">
        <f aca="false">IF(C967="","",ROW()-6)</f>
        <v>961</v>
      </c>
      <c r="B967" s="80" t="s">
        <v>110</v>
      </c>
      <c r="C967" s="113" t="s">
        <v>1132</v>
      </c>
      <c r="D967" s="82" t="str">
        <f aca="false">IF(OR(C967="",P967=""),"",INDEX('CARNET DE SOUDURE'!$D$7:$D$3006,P967)&amp;"")</f>
        <v>6</v>
      </c>
      <c r="E967" s="114" t="n">
        <f aca="false">IF(OR(C967="",P967=""),"",IF(INDEX('CARNET DE SOUDURE'!$U$7:$U$3006,P967)="","",INDEX('CARNET DE SOUDURE'!$U$7:$U$3006,P967)))</f>
        <v>46281</v>
      </c>
      <c r="F967" s="82" t="str">
        <f aca="false">IF(OR(C967="",P967=""),"",INDEX('CARNET DE SOUDURE'!$AP$7:$AP$3006,P967))</f>
        <v>A</v>
      </c>
      <c r="G967" s="82" t="str">
        <f aca="false">IF(C967="","",IF(P967="","NJ INCONNU",INDEX('CARNET DE SOUDURE'!$AQ$7:$AQ$3006,P967)))</f>
        <v>ACCEPTÉ</v>
      </c>
      <c r="H967" s="82" t="str">
        <f aca="false">IF(C967="","",IF(G967="ACCEPTÉ","OUI","NON"))</f>
        <v>OUI</v>
      </c>
      <c r="I967" s="83"/>
      <c r="J967" s="80"/>
      <c r="K967" s="81"/>
      <c r="L967" s="81"/>
      <c r="M967" s="81"/>
      <c r="N967" s="84" t="str">
        <f aca="false">IF(C967="","",IF(P967="","NJ INCONNU",IF(I967="",IF(H967="OUI","À ENROBER",IF(G967="À SOUDER","NON SOUDÉ","EN ATTENTE RT")),IF(L967="R","À REPRENDRE",IF(H967&lt;&gt;"OUI","⚠ ENROBÉ AVANT ACCEPTATION RT","ENROBÉ")))))</f>
        <v>À ENROBER</v>
      </c>
      <c r="O967" s="80"/>
      <c r="P967" s="82" t="n">
        <f aca="false">IF(C967="","",IFERROR(MATCH(Q967,'CARNET DE SOUDURE'!$AW$7:$AW$3006,0),""))</f>
        <v>961</v>
      </c>
      <c r="Q967" s="82" t="str">
        <f aca="false">IF(C967="","",B967&amp;"|"&amp;C967)</f>
        <v>MFD-ISW → MFD-CPF|DJ°411</v>
      </c>
    </row>
    <row r="968" customFormat="false" ht="74.6" hidden="false" customHeight="false" outlineLevel="0" collapsed="false">
      <c r="A968" s="82" t="n">
        <f aca="false">IF(C968="","",ROW()-6)</f>
        <v>962</v>
      </c>
      <c r="B968" s="80" t="s">
        <v>110</v>
      </c>
      <c r="C968" s="113" t="s">
        <v>1133</v>
      </c>
      <c r="D968" s="82" t="str">
        <f aca="false">IF(OR(C968="",P968=""),"",INDEX('CARNET DE SOUDURE'!$D$7:$D$3006,P968)&amp;"")</f>
        <v>6</v>
      </c>
      <c r="E968" s="114" t="n">
        <f aca="false">IF(OR(C968="",P968=""),"",IF(INDEX('CARNET DE SOUDURE'!$U$7:$U$3006,P968)="","",INDEX('CARNET DE SOUDURE'!$U$7:$U$3006,P968)))</f>
        <v>46285</v>
      </c>
      <c r="F968" s="82" t="str">
        <f aca="false">IF(OR(C968="",P968=""),"",INDEX('CARNET DE SOUDURE'!$AP$7:$AP$3006,P968))</f>
        <v>A</v>
      </c>
      <c r="G968" s="82" t="str">
        <f aca="false">IF(C968="","",IF(P968="","NJ INCONNU",INDEX('CARNET DE SOUDURE'!$AQ$7:$AQ$3006,P968)))</f>
        <v>ACCEPTÉ</v>
      </c>
      <c r="H968" s="82" t="str">
        <f aca="false">IF(C968="","",IF(G968="ACCEPTÉ","OUI","NON"))</f>
        <v>OUI</v>
      </c>
      <c r="I968" s="83"/>
      <c r="J968" s="80"/>
      <c r="K968" s="81"/>
      <c r="L968" s="81"/>
      <c r="M968" s="81"/>
      <c r="N968" s="84" t="str">
        <f aca="false">IF(C968="","",IF(P968="","NJ INCONNU",IF(I968="",IF(H968="OUI","À ENROBER",IF(G968="À SOUDER","NON SOUDÉ","EN ATTENTE RT")),IF(L968="R","À REPRENDRE",IF(H968&lt;&gt;"OUI","⚠ ENROBÉ AVANT ACCEPTATION RT","ENROBÉ")))))</f>
        <v>À ENROBER</v>
      </c>
      <c r="O968" s="80"/>
      <c r="P968" s="82" t="n">
        <f aca="false">IF(C968="","",IFERROR(MATCH(Q968,'CARNET DE SOUDURE'!$AW$7:$AW$3006,0),""))</f>
        <v>962</v>
      </c>
      <c r="Q968" s="82" t="str">
        <f aca="false">IF(C968="","",B968&amp;"|"&amp;C968)</f>
        <v>MFD-ISW → MFD-CPF|JN°862</v>
      </c>
    </row>
    <row r="969" customFormat="false" ht="74.6" hidden="false" customHeight="false" outlineLevel="0" collapsed="false">
      <c r="A969" s="82" t="n">
        <f aca="false">IF(C969="","",ROW()-6)</f>
        <v>963</v>
      </c>
      <c r="B969" s="80" t="s">
        <v>110</v>
      </c>
      <c r="C969" s="113" t="s">
        <v>1134</v>
      </c>
      <c r="D969" s="82" t="str">
        <f aca="false">IF(OR(C969="",P969=""),"",INDEX('CARNET DE SOUDURE'!$D$7:$D$3006,P969)&amp;"")</f>
        <v>6</v>
      </c>
      <c r="E969" s="114" t="n">
        <f aca="false">IF(OR(C969="",P969=""),"",IF(INDEX('CARNET DE SOUDURE'!$U$7:$U$3006,P969)="","",INDEX('CARNET DE SOUDURE'!$U$7:$U$3006,P969)))</f>
        <v>46277</v>
      </c>
      <c r="F969" s="82" t="str">
        <f aca="false">IF(OR(C969="",P969=""),"",INDEX('CARNET DE SOUDURE'!$AP$7:$AP$3006,P969))</f>
        <v>A</v>
      </c>
      <c r="G969" s="82" t="str">
        <f aca="false">IF(C969="","",IF(P969="","NJ INCONNU",INDEX('CARNET DE SOUDURE'!$AQ$7:$AQ$3006,P969)))</f>
        <v>ACCEPTÉ</v>
      </c>
      <c r="H969" s="82" t="str">
        <f aca="false">IF(C969="","",IF(G969="ACCEPTÉ","OUI","NON"))</f>
        <v>OUI</v>
      </c>
      <c r="I969" s="83"/>
      <c r="J969" s="80"/>
      <c r="K969" s="81"/>
      <c r="L969" s="81"/>
      <c r="M969" s="81"/>
      <c r="N969" s="84" t="str">
        <f aca="false">IF(C969="","",IF(P969="","NJ INCONNU",IF(I969="",IF(H969="OUI","À ENROBER",IF(G969="À SOUDER","NON SOUDÉ","EN ATTENTE RT")),IF(L969="R","À REPRENDRE",IF(H969&lt;&gt;"OUI","⚠ ENROBÉ AVANT ACCEPTATION RT","ENROBÉ")))))</f>
        <v>À ENROBER</v>
      </c>
      <c r="O969" s="80"/>
      <c r="P969" s="82" t="n">
        <f aca="false">IF(C969="","",IFERROR(MATCH(Q969,'CARNET DE SOUDURE'!$AW$7:$AW$3006,0),""))</f>
        <v>963</v>
      </c>
      <c r="Q969" s="82" t="str">
        <f aca="false">IF(C969="","",B969&amp;"|"&amp;C969)</f>
        <v>MFD-ISW → MFD-CPF|DJ°360</v>
      </c>
    </row>
    <row r="970" customFormat="false" ht="74.6" hidden="false" customHeight="false" outlineLevel="0" collapsed="false">
      <c r="A970" s="82" t="n">
        <f aca="false">IF(C970="","",ROW()-6)</f>
        <v>964</v>
      </c>
      <c r="B970" s="80" t="s">
        <v>110</v>
      </c>
      <c r="C970" s="113" t="s">
        <v>1138</v>
      </c>
      <c r="D970" s="82" t="str">
        <f aca="false">IF(OR(C970="",P970=""),"",INDEX('CARNET DE SOUDURE'!$D$7:$D$3006,P970)&amp;"")</f>
        <v>6</v>
      </c>
      <c r="E970" s="114" t="n">
        <f aca="false">IF(OR(C970="",P970=""),"",IF(INDEX('CARNET DE SOUDURE'!$U$7:$U$3006,P970)="","",INDEX('CARNET DE SOUDURE'!$U$7:$U$3006,P970)))</f>
        <v>46285</v>
      </c>
      <c r="F970" s="82" t="str">
        <f aca="false">IF(OR(C970="",P970=""),"",INDEX('CARNET DE SOUDURE'!$AP$7:$AP$3006,P970))</f>
        <v>A</v>
      </c>
      <c r="G970" s="82" t="str">
        <f aca="false">IF(C970="","",IF(P970="","NJ INCONNU",INDEX('CARNET DE SOUDURE'!$AQ$7:$AQ$3006,P970)))</f>
        <v>ACCEPTÉ</v>
      </c>
      <c r="H970" s="82" t="str">
        <f aca="false">IF(C970="","",IF(G970="ACCEPTÉ","OUI","NON"))</f>
        <v>OUI</v>
      </c>
      <c r="I970" s="83"/>
      <c r="J970" s="80"/>
      <c r="K970" s="81"/>
      <c r="L970" s="81"/>
      <c r="M970" s="81"/>
      <c r="N970" s="84" t="str">
        <f aca="false">IF(C970="","",IF(P970="","NJ INCONNU",IF(I970="",IF(H970="OUI","À ENROBER",IF(G970="À SOUDER","NON SOUDÉ","EN ATTENTE RT")),IF(L970="R","À REPRENDRE",IF(H970&lt;&gt;"OUI","⚠ ENROBÉ AVANT ACCEPTATION RT","ENROBÉ")))))</f>
        <v>À ENROBER</v>
      </c>
      <c r="O970" s="80"/>
      <c r="P970" s="82" t="n">
        <f aca="false">IF(C970="","",IFERROR(MATCH(Q970,'CARNET DE SOUDURE'!$AW$7:$AW$3006,0),""))</f>
        <v>964</v>
      </c>
      <c r="Q970" s="82" t="str">
        <f aca="false">IF(C970="","",B970&amp;"|"&amp;C970)</f>
        <v>MFD-ISW → MFD-CPF|JN°863</v>
      </c>
    </row>
    <row r="971" customFormat="false" ht="74.6" hidden="false" customHeight="false" outlineLevel="0" collapsed="false">
      <c r="A971" s="82" t="n">
        <f aca="false">IF(C971="","",ROW()-6)</f>
        <v>965</v>
      </c>
      <c r="B971" s="80" t="s">
        <v>110</v>
      </c>
      <c r="C971" s="113" t="s">
        <v>1140</v>
      </c>
      <c r="D971" s="82" t="str">
        <f aca="false">IF(OR(C971="",P971=""),"",INDEX('CARNET DE SOUDURE'!$D$7:$D$3006,P971)&amp;"")</f>
        <v>6</v>
      </c>
      <c r="E971" s="114" t="n">
        <f aca="false">IF(OR(C971="",P971=""),"",IF(INDEX('CARNET DE SOUDURE'!$U$7:$U$3006,P971)="","",INDEX('CARNET DE SOUDURE'!$U$7:$U$3006,P971)))</f>
        <v>46281</v>
      </c>
      <c r="F971" s="82" t="str">
        <f aca="false">IF(OR(C971="",P971=""),"",INDEX('CARNET DE SOUDURE'!$AP$7:$AP$3006,P971))</f>
        <v>A</v>
      </c>
      <c r="G971" s="82" t="str">
        <f aca="false">IF(C971="","",IF(P971="","NJ INCONNU",INDEX('CARNET DE SOUDURE'!$AQ$7:$AQ$3006,P971)))</f>
        <v>ACCEPTÉ</v>
      </c>
      <c r="H971" s="82" t="str">
        <f aca="false">IF(C971="","",IF(G971="ACCEPTÉ","OUI","NON"))</f>
        <v>OUI</v>
      </c>
      <c r="I971" s="83"/>
      <c r="J971" s="80"/>
      <c r="K971" s="81"/>
      <c r="L971" s="81"/>
      <c r="M971" s="81"/>
      <c r="N971" s="84" t="str">
        <f aca="false">IF(C971="","",IF(P971="","NJ INCONNU",IF(I971="",IF(H971="OUI","À ENROBER",IF(G971="À SOUDER","NON SOUDÉ","EN ATTENTE RT")),IF(L971="R","À REPRENDRE",IF(H971&lt;&gt;"OUI","⚠ ENROBÉ AVANT ACCEPTATION RT","ENROBÉ")))))</f>
        <v>À ENROBER</v>
      </c>
      <c r="O971" s="80"/>
      <c r="P971" s="82" t="n">
        <f aca="false">IF(C971="","",IFERROR(MATCH(Q971,'CARNET DE SOUDURE'!$AW$7:$AW$3006,0),""))</f>
        <v>965</v>
      </c>
      <c r="Q971" s="82" t="str">
        <f aca="false">IF(C971="","",B971&amp;"|"&amp;C971)</f>
        <v>MFD-ISW → MFD-CPF|DJ°414</v>
      </c>
    </row>
    <row r="972" customFormat="false" ht="74.6" hidden="false" customHeight="false" outlineLevel="0" collapsed="false">
      <c r="A972" s="82" t="n">
        <f aca="false">IF(C972="","",ROW()-6)</f>
        <v>966</v>
      </c>
      <c r="B972" s="80" t="s">
        <v>110</v>
      </c>
      <c r="C972" s="113" t="s">
        <v>1141</v>
      </c>
      <c r="D972" s="82" t="str">
        <f aca="false">IF(OR(C972="",P972=""),"",INDEX('CARNET DE SOUDURE'!$D$7:$D$3006,P972)&amp;"")</f>
        <v>6</v>
      </c>
      <c r="E972" s="114" t="n">
        <f aca="false">IF(OR(C972="",P972=""),"",IF(INDEX('CARNET DE SOUDURE'!$U$7:$U$3006,P972)="","",INDEX('CARNET DE SOUDURE'!$U$7:$U$3006,P972)))</f>
        <v>46285</v>
      </c>
      <c r="F972" s="82" t="str">
        <f aca="false">IF(OR(C972="",P972=""),"",INDEX('CARNET DE SOUDURE'!$AP$7:$AP$3006,P972))</f>
        <v>A</v>
      </c>
      <c r="G972" s="82" t="str">
        <f aca="false">IF(C972="","",IF(P972="","NJ INCONNU",INDEX('CARNET DE SOUDURE'!$AQ$7:$AQ$3006,P972)))</f>
        <v>ACCEPTÉ</v>
      </c>
      <c r="H972" s="82" t="str">
        <f aca="false">IF(C972="","",IF(G972="ACCEPTÉ","OUI","NON"))</f>
        <v>OUI</v>
      </c>
      <c r="I972" s="83"/>
      <c r="J972" s="80"/>
      <c r="K972" s="81"/>
      <c r="L972" s="81"/>
      <c r="M972" s="81"/>
      <c r="N972" s="84" t="str">
        <f aca="false">IF(C972="","",IF(P972="","NJ INCONNU",IF(I972="",IF(H972="OUI","À ENROBER",IF(G972="À SOUDER","NON SOUDÉ","EN ATTENTE RT")),IF(L972="R","À REPRENDRE",IF(H972&lt;&gt;"OUI","⚠ ENROBÉ AVANT ACCEPTATION RT","ENROBÉ")))))</f>
        <v>À ENROBER</v>
      </c>
      <c r="O972" s="80"/>
      <c r="P972" s="82" t="n">
        <f aca="false">IF(C972="","",IFERROR(MATCH(Q972,'CARNET DE SOUDURE'!$AW$7:$AW$3006,0),""))</f>
        <v>966</v>
      </c>
      <c r="Q972" s="82" t="str">
        <f aca="false">IF(C972="","",B972&amp;"|"&amp;C972)</f>
        <v>MFD-ISW → MFD-CPF|JN°864</v>
      </c>
    </row>
    <row r="973" customFormat="false" ht="74.6" hidden="false" customHeight="false" outlineLevel="0" collapsed="false">
      <c r="A973" s="82" t="n">
        <f aca="false">IF(C973="","",ROW()-6)</f>
        <v>967</v>
      </c>
      <c r="B973" s="80" t="s">
        <v>110</v>
      </c>
      <c r="C973" s="113" t="s">
        <v>1142</v>
      </c>
      <c r="D973" s="82" t="str">
        <f aca="false">IF(OR(C973="",P973=""),"",INDEX('CARNET DE SOUDURE'!$D$7:$D$3006,P973)&amp;"")</f>
        <v>6</v>
      </c>
      <c r="E973" s="114" t="n">
        <f aca="false">IF(OR(C973="",P973=""),"",IF(INDEX('CARNET DE SOUDURE'!$U$7:$U$3006,P973)="","",INDEX('CARNET DE SOUDURE'!$U$7:$U$3006,P973)))</f>
        <v>46283</v>
      </c>
      <c r="F973" s="82" t="str">
        <f aca="false">IF(OR(C973="",P973=""),"",INDEX('CARNET DE SOUDURE'!$AP$7:$AP$3006,P973))</f>
        <v>A</v>
      </c>
      <c r="G973" s="82" t="str">
        <f aca="false">IF(C973="","",IF(P973="","NJ INCONNU",INDEX('CARNET DE SOUDURE'!$AQ$7:$AQ$3006,P973)))</f>
        <v>ACCEPTÉ</v>
      </c>
      <c r="H973" s="82" t="str">
        <f aca="false">IF(C973="","",IF(G973="ACCEPTÉ","OUI","NON"))</f>
        <v>OUI</v>
      </c>
      <c r="I973" s="83"/>
      <c r="J973" s="80"/>
      <c r="K973" s="81"/>
      <c r="L973" s="81"/>
      <c r="M973" s="81"/>
      <c r="N973" s="84" t="str">
        <f aca="false">IF(C973="","",IF(P973="","NJ INCONNU",IF(I973="",IF(H973="OUI","À ENROBER",IF(G973="À SOUDER","NON SOUDÉ","EN ATTENTE RT")),IF(L973="R","À REPRENDRE",IF(H973&lt;&gt;"OUI","⚠ ENROBÉ AVANT ACCEPTATION RT","ENROBÉ")))))</f>
        <v>À ENROBER</v>
      </c>
      <c r="O973" s="80"/>
      <c r="P973" s="82" t="n">
        <f aca="false">IF(C973="","",IFERROR(MATCH(Q973,'CARNET DE SOUDURE'!$AW$7:$AW$3006,0),""))</f>
        <v>967</v>
      </c>
      <c r="Q973" s="82" t="str">
        <f aca="false">IF(C973="","",B973&amp;"|"&amp;C973)</f>
        <v>MFD-ISW → MFD-CPF|DJ°426</v>
      </c>
    </row>
    <row r="974" customFormat="false" ht="74.6" hidden="false" customHeight="false" outlineLevel="0" collapsed="false">
      <c r="A974" s="82" t="n">
        <f aca="false">IF(C974="","",ROW()-6)</f>
        <v>968</v>
      </c>
      <c r="B974" s="80" t="s">
        <v>110</v>
      </c>
      <c r="C974" s="113" t="s">
        <v>1143</v>
      </c>
      <c r="D974" s="82" t="str">
        <f aca="false">IF(OR(C974="",P974=""),"",INDEX('CARNET DE SOUDURE'!$D$7:$D$3006,P974)&amp;"")</f>
        <v>6</v>
      </c>
      <c r="E974" s="114" t="n">
        <f aca="false">IF(OR(C974="",P974=""),"",IF(INDEX('CARNET DE SOUDURE'!$U$7:$U$3006,P974)="","",INDEX('CARNET DE SOUDURE'!$U$7:$U$3006,P974)))</f>
        <v>46285</v>
      </c>
      <c r="F974" s="82" t="str">
        <f aca="false">IF(OR(C974="",P974=""),"",INDEX('CARNET DE SOUDURE'!$AP$7:$AP$3006,P974))</f>
        <v>A</v>
      </c>
      <c r="G974" s="82" t="str">
        <f aca="false">IF(C974="","",IF(P974="","NJ INCONNU",INDEX('CARNET DE SOUDURE'!$AQ$7:$AQ$3006,P974)))</f>
        <v>ACCEPTÉ</v>
      </c>
      <c r="H974" s="82" t="str">
        <f aca="false">IF(C974="","",IF(G974="ACCEPTÉ","OUI","NON"))</f>
        <v>OUI</v>
      </c>
      <c r="I974" s="83"/>
      <c r="J974" s="80"/>
      <c r="K974" s="81"/>
      <c r="L974" s="81"/>
      <c r="M974" s="81"/>
      <c r="N974" s="84" t="str">
        <f aca="false">IF(C974="","",IF(P974="","NJ INCONNU",IF(I974="",IF(H974="OUI","À ENROBER",IF(G974="À SOUDER","NON SOUDÉ","EN ATTENTE RT")),IF(L974="R","À REPRENDRE",IF(H974&lt;&gt;"OUI","⚠ ENROBÉ AVANT ACCEPTATION RT","ENROBÉ")))))</f>
        <v>À ENROBER</v>
      </c>
      <c r="O974" s="80"/>
      <c r="P974" s="82" t="n">
        <f aca="false">IF(C974="","",IFERROR(MATCH(Q974,'CARNET DE SOUDURE'!$AW$7:$AW$3006,0),""))</f>
        <v>968</v>
      </c>
      <c r="Q974" s="82" t="str">
        <f aca="false">IF(C974="","",B974&amp;"|"&amp;C974)</f>
        <v>MFD-ISW → MFD-CPF|JN°865</v>
      </c>
    </row>
    <row r="975" customFormat="false" ht="74.6" hidden="false" customHeight="false" outlineLevel="0" collapsed="false">
      <c r="A975" s="82" t="n">
        <f aca="false">IF(C975="","",ROW()-6)</f>
        <v>969</v>
      </c>
      <c r="B975" s="80" t="s">
        <v>110</v>
      </c>
      <c r="C975" s="113" t="s">
        <v>1144</v>
      </c>
      <c r="D975" s="82" t="str">
        <f aca="false">IF(OR(C975="",P975=""),"",INDEX('CARNET DE SOUDURE'!$D$7:$D$3006,P975)&amp;"")</f>
        <v>6</v>
      </c>
      <c r="E975" s="114" t="n">
        <f aca="false">IF(OR(C975="",P975=""),"",IF(INDEX('CARNET DE SOUDURE'!$U$7:$U$3006,P975)="","",INDEX('CARNET DE SOUDURE'!$U$7:$U$3006,P975)))</f>
        <v>46281</v>
      </c>
      <c r="F975" s="82" t="str">
        <f aca="false">IF(OR(C975="",P975=""),"",INDEX('CARNET DE SOUDURE'!$AP$7:$AP$3006,P975))</f>
        <v>A</v>
      </c>
      <c r="G975" s="82" t="str">
        <f aca="false">IF(C975="","",IF(P975="","NJ INCONNU",INDEX('CARNET DE SOUDURE'!$AQ$7:$AQ$3006,P975)))</f>
        <v>ACCEPTÉ</v>
      </c>
      <c r="H975" s="82" t="str">
        <f aca="false">IF(C975="","",IF(G975="ACCEPTÉ","OUI","NON"))</f>
        <v>OUI</v>
      </c>
      <c r="I975" s="83"/>
      <c r="J975" s="80"/>
      <c r="K975" s="81"/>
      <c r="L975" s="81"/>
      <c r="M975" s="81"/>
      <c r="N975" s="84" t="str">
        <f aca="false">IF(C975="","",IF(P975="","NJ INCONNU",IF(I975="",IF(H975="OUI","À ENROBER",IF(G975="À SOUDER","NON SOUDÉ","EN ATTENTE RT")),IF(L975="R","À REPRENDRE",IF(H975&lt;&gt;"OUI","⚠ ENROBÉ AVANT ACCEPTATION RT","ENROBÉ")))))</f>
        <v>À ENROBER</v>
      </c>
      <c r="O975" s="80"/>
      <c r="P975" s="82" t="n">
        <f aca="false">IF(C975="","",IFERROR(MATCH(Q975,'CARNET DE SOUDURE'!$AW$7:$AW$3006,0),""))</f>
        <v>969</v>
      </c>
      <c r="Q975" s="82" t="str">
        <f aca="false">IF(C975="","",B975&amp;"|"&amp;C975)</f>
        <v>MFD-ISW → MFD-CPF|DJ°413</v>
      </c>
    </row>
    <row r="976" customFormat="false" ht="74.6" hidden="false" customHeight="false" outlineLevel="0" collapsed="false">
      <c r="A976" s="82" t="n">
        <f aca="false">IF(C976="","",ROW()-6)</f>
        <v>970</v>
      </c>
      <c r="B976" s="80" t="s">
        <v>110</v>
      </c>
      <c r="C976" s="113" t="s">
        <v>1145</v>
      </c>
      <c r="D976" s="82" t="str">
        <f aca="false">IF(OR(C976="",P976=""),"",INDEX('CARNET DE SOUDURE'!$D$7:$D$3006,P976)&amp;"")</f>
        <v>6</v>
      </c>
      <c r="E976" s="114" t="n">
        <f aca="false">IF(OR(C976="",P976=""),"",IF(INDEX('CARNET DE SOUDURE'!$U$7:$U$3006,P976)="","",INDEX('CARNET DE SOUDURE'!$U$7:$U$3006,P976)))</f>
        <v>46285</v>
      </c>
      <c r="F976" s="82" t="str">
        <f aca="false">IF(OR(C976="",P976=""),"",INDEX('CARNET DE SOUDURE'!$AP$7:$AP$3006,P976))</f>
        <v>A</v>
      </c>
      <c r="G976" s="82" t="str">
        <f aca="false">IF(C976="","",IF(P976="","NJ INCONNU",INDEX('CARNET DE SOUDURE'!$AQ$7:$AQ$3006,P976)))</f>
        <v>ACCEPTÉ</v>
      </c>
      <c r="H976" s="82" t="str">
        <f aca="false">IF(C976="","",IF(G976="ACCEPTÉ","OUI","NON"))</f>
        <v>OUI</v>
      </c>
      <c r="I976" s="83"/>
      <c r="J976" s="80"/>
      <c r="K976" s="81"/>
      <c r="L976" s="81"/>
      <c r="M976" s="81"/>
      <c r="N976" s="84" t="str">
        <f aca="false">IF(C976="","",IF(P976="","NJ INCONNU",IF(I976="",IF(H976="OUI","À ENROBER",IF(G976="À SOUDER","NON SOUDÉ","EN ATTENTE RT")),IF(L976="R","À REPRENDRE",IF(H976&lt;&gt;"OUI","⚠ ENROBÉ AVANT ACCEPTATION RT","ENROBÉ")))))</f>
        <v>À ENROBER</v>
      </c>
      <c r="O976" s="80"/>
      <c r="P976" s="82" t="n">
        <f aca="false">IF(C976="","",IFERROR(MATCH(Q976,'CARNET DE SOUDURE'!$AW$7:$AW$3006,0),""))</f>
        <v>970</v>
      </c>
      <c r="Q976" s="82" t="str">
        <f aca="false">IF(C976="","",B976&amp;"|"&amp;C976)</f>
        <v>MFD-ISW → MFD-CPF|JN°866</v>
      </c>
    </row>
    <row r="977" customFormat="false" ht="74.6" hidden="false" customHeight="false" outlineLevel="0" collapsed="false">
      <c r="A977" s="82" t="n">
        <f aca="false">IF(C977="","",ROW()-6)</f>
        <v>971</v>
      </c>
      <c r="B977" s="80" t="s">
        <v>110</v>
      </c>
      <c r="C977" s="113" t="s">
        <v>1146</v>
      </c>
      <c r="D977" s="82" t="str">
        <f aca="false">IF(OR(C977="",P977=""),"",INDEX('CARNET DE SOUDURE'!$D$7:$D$3006,P977)&amp;"")</f>
        <v>6</v>
      </c>
      <c r="E977" s="114" t="n">
        <f aca="false">IF(OR(C977="",P977=""),"",IF(INDEX('CARNET DE SOUDURE'!$U$7:$U$3006,P977)="","",INDEX('CARNET DE SOUDURE'!$U$7:$U$3006,P977)))</f>
        <v>46276</v>
      </c>
      <c r="F977" s="82" t="str">
        <f aca="false">IF(OR(C977="",P977=""),"",INDEX('CARNET DE SOUDURE'!$AP$7:$AP$3006,P977))</f>
        <v>A</v>
      </c>
      <c r="G977" s="82" t="str">
        <f aca="false">IF(C977="","",IF(P977="","NJ INCONNU",INDEX('CARNET DE SOUDURE'!$AQ$7:$AQ$3006,P977)))</f>
        <v>ACCEPTÉ</v>
      </c>
      <c r="H977" s="82" t="str">
        <f aca="false">IF(C977="","",IF(G977="ACCEPTÉ","OUI","NON"))</f>
        <v>OUI</v>
      </c>
      <c r="I977" s="83"/>
      <c r="J977" s="80"/>
      <c r="K977" s="81"/>
      <c r="L977" s="81"/>
      <c r="M977" s="81"/>
      <c r="N977" s="84" t="str">
        <f aca="false">IF(C977="","",IF(P977="","NJ INCONNU",IF(I977="",IF(H977="OUI","À ENROBER",IF(G977="À SOUDER","NON SOUDÉ","EN ATTENTE RT")),IF(L977="R","À REPRENDRE",IF(H977&lt;&gt;"OUI","⚠ ENROBÉ AVANT ACCEPTATION RT","ENROBÉ")))))</f>
        <v>À ENROBER</v>
      </c>
      <c r="O977" s="80"/>
      <c r="P977" s="82" t="n">
        <f aca="false">IF(C977="","",IFERROR(MATCH(Q977,'CARNET DE SOUDURE'!$AW$7:$AW$3006,0),""))</f>
        <v>971</v>
      </c>
      <c r="Q977" s="82" t="str">
        <f aca="false">IF(C977="","",B977&amp;"|"&amp;C977)</f>
        <v>MFD-ISW → MFD-CPF|DJ°341</v>
      </c>
    </row>
    <row r="978" customFormat="false" ht="74.6" hidden="false" customHeight="false" outlineLevel="0" collapsed="false">
      <c r="A978" s="82" t="n">
        <f aca="false">IF(C978="","",ROW()-6)</f>
        <v>972</v>
      </c>
      <c r="B978" s="80" t="s">
        <v>110</v>
      </c>
      <c r="C978" s="113" t="s">
        <v>1150</v>
      </c>
      <c r="D978" s="82" t="str">
        <f aca="false">IF(OR(C978="",P978=""),"",INDEX('CARNET DE SOUDURE'!$D$7:$D$3006,P978)&amp;"")</f>
        <v>6</v>
      </c>
      <c r="E978" s="114" t="n">
        <f aca="false">IF(OR(C978="",P978=""),"",IF(INDEX('CARNET DE SOUDURE'!$U$7:$U$3006,P978)="","",INDEX('CARNET DE SOUDURE'!$U$7:$U$3006,P978)))</f>
        <v>46284</v>
      </c>
      <c r="F978" s="82" t="str">
        <f aca="false">IF(OR(C978="",P978=""),"",INDEX('CARNET DE SOUDURE'!$AP$7:$AP$3006,P978))</f>
        <v>NX</v>
      </c>
      <c r="G978" s="82" t="str">
        <f aca="false">IF(C978="","",IF(P978="","NJ INCONNU",INDEX('CARNET DE SOUDURE'!$AQ$7:$AQ$3006,P978)))</f>
        <v>NX – RT À REFAIRE</v>
      </c>
      <c r="H978" s="82" t="str">
        <f aca="false">IF(C978="","",IF(G978="ACCEPTÉ","OUI","NON"))</f>
        <v>NON</v>
      </c>
      <c r="I978" s="83"/>
      <c r="J978" s="80"/>
      <c r="K978" s="81"/>
      <c r="L978" s="81"/>
      <c r="M978" s="81"/>
      <c r="N978" s="84" t="str">
        <f aca="false">IF(C978="","",IF(P978="","NJ INCONNU",IF(I978="",IF(H978="OUI","À ENROBER",IF(G978="À SOUDER","NON SOUDÉ","EN ATTENTE RT")),IF(L978="R","À REPRENDRE",IF(H978&lt;&gt;"OUI","⚠ ENROBÉ AVANT ACCEPTATION RT","ENROBÉ")))))</f>
        <v>EN ATTENTE RT</v>
      </c>
      <c r="O978" s="80"/>
      <c r="P978" s="82" t="n">
        <f aca="false">IF(C978="","",IFERROR(MATCH(Q978,'CARNET DE SOUDURE'!$AW$7:$AW$3006,0),""))</f>
        <v>972</v>
      </c>
      <c r="Q978" s="82" t="str">
        <f aca="false">IF(C978="","",B978&amp;"|"&amp;C978)</f>
        <v>MFD-ISW → MFD-CPF|JN°867</v>
      </c>
    </row>
    <row r="979" customFormat="false" ht="74.6" hidden="false" customHeight="false" outlineLevel="0" collapsed="false">
      <c r="A979" s="82" t="n">
        <f aca="false">IF(C979="","",ROW()-6)</f>
        <v>973</v>
      </c>
      <c r="B979" s="80" t="s">
        <v>110</v>
      </c>
      <c r="C979" s="113" t="s">
        <v>1154</v>
      </c>
      <c r="D979" s="82" t="str">
        <f aca="false">IF(OR(C979="",P979=""),"",INDEX('CARNET DE SOUDURE'!$D$7:$D$3006,P979)&amp;"")</f>
        <v>6</v>
      </c>
      <c r="E979" s="114" t="n">
        <f aca="false">IF(OR(C979="",P979=""),"",IF(INDEX('CARNET DE SOUDURE'!$U$7:$U$3006,P979)="","",INDEX('CARNET DE SOUDURE'!$U$7:$U$3006,P979)))</f>
        <v>46281</v>
      </c>
      <c r="F979" s="82" t="str">
        <f aca="false">IF(OR(C979="",P979=""),"",INDEX('CARNET DE SOUDURE'!$AP$7:$AP$3006,P979))</f>
        <v>A</v>
      </c>
      <c r="G979" s="82" t="str">
        <f aca="false">IF(C979="","",IF(P979="","NJ INCONNU",INDEX('CARNET DE SOUDURE'!$AQ$7:$AQ$3006,P979)))</f>
        <v>ACCEPTÉ</v>
      </c>
      <c r="H979" s="82" t="str">
        <f aca="false">IF(C979="","",IF(G979="ACCEPTÉ","OUI","NON"))</f>
        <v>OUI</v>
      </c>
      <c r="I979" s="83"/>
      <c r="J979" s="80"/>
      <c r="K979" s="81"/>
      <c r="L979" s="81"/>
      <c r="M979" s="81"/>
      <c r="N979" s="84" t="str">
        <f aca="false">IF(C979="","",IF(P979="","NJ INCONNU",IF(I979="",IF(H979="OUI","À ENROBER",IF(G979="À SOUDER","NON SOUDÉ","EN ATTENTE RT")),IF(L979="R","À REPRENDRE",IF(H979&lt;&gt;"OUI","⚠ ENROBÉ AVANT ACCEPTATION RT","ENROBÉ")))))</f>
        <v>À ENROBER</v>
      </c>
      <c r="O979" s="80"/>
      <c r="P979" s="82" t="n">
        <f aca="false">IF(C979="","",IFERROR(MATCH(Q979,'CARNET DE SOUDURE'!$AW$7:$AW$3006,0),""))</f>
        <v>973</v>
      </c>
      <c r="Q979" s="82" t="str">
        <f aca="false">IF(C979="","",B979&amp;"|"&amp;C979)</f>
        <v>MFD-ISW → MFD-CPF|DJ°410</v>
      </c>
    </row>
    <row r="980" customFormat="false" ht="74.6" hidden="false" customHeight="false" outlineLevel="0" collapsed="false">
      <c r="A980" s="82" t="n">
        <f aca="false">IF(C980="","",ROW()-6)</f>
        <v>974</v>
      </c>
      <c r="B980" s="80" t="s">
        <v>110</v>
      </c>
      <c r="C980" s="113" t="s">
        <v>1155</v>
      </c>
      <c r="D980" s="82" t="str">
        <f aca="false">IF(OR(C980="",P980=""),"",INDEX('CARNET DE SOUDURE'!$D$7:$D$3006,P980)&amp;"")</f>
        <v>6</v>
      </c>
      <c r="E980" s="114" t="n">
        <f aca="false">IF(OR(C980="",P980=""),"",IF(INDEX('CARNET DE SOUDURE'!$U$7:$U$3006,P980)="","",INDEX('CARNET DE SOUDURE'!$U$7:$U$3006,P980)))</f>
        <v>46284</v>
      </c>
      <c r="F980" s="82" t="str">
        <f aca="false">IF(OR(C980="",P980=""),"",INDEX('CARNET DE SOUDURE'!$AP$7:$AP$3006,P980))</f>
        <v>A</v>
      </c>
      <c r="G980" s="82" t="str">
        <f aca="false">IF(C980="","",IF(P980="","NJ INCONNU",INDEX('CARNET DE SOUDURE'!$AQ$7:$AQ$3006,P980)))</f>
        <v>ACCEPTÉ</v>
      </c>
      <c r="H980" s="82" t="str">
        <f aca="false">IF(C980="","",IF(G980="ACCEPTÉ","OUI","NON"))</f>
        <v>OUI</v>
      </c>
      <c r="I980" s="83"/>
      <c r="J980" s="80"/>
      <c r="K980" s="81"/>
      <c r="L980" s="81"/>
      <c r="M980" s="81"/>
      <c r="N980" s="84" t="str">
        <f aca="false">IF(C980="","",IF(P980="","NJ INCONNU",IF(I980="",IF(H980="OUI","À ENROBER",IF(G980="À SOUDER","NON SOUDÉ","EN ATTENTE RT")),IF(L980="R","À REPRENDRE",IF(H980&lt;&gt;"OUI","⚠ ENROBÉ AVANT ACCEPTATION RT","ENROBÉ")))))</f>
        <v>À ENROBER</v>
      </c>
      <c r="O980" s="80"/>
      <c r="P980" s="82" t="n">
        <f aca="false">IF(C980="","",IFERROR(MATCH(Q980,'CARNET DE SOUDURE'!$AW$7:$AW$3006,0),""))</f>
        <v>974</v>
      </c>
      <c r="Q980" s="82" t="str">
        <f aca="false">IF(C980="","",B980&amp;"|"&amp;C980)</f>
        <v>MFD-ISW → MFD-CPF|JN°868</v>
      </c>
    </row>
    <row r="981" customFormat="false" ht="74.6" hidden="false" customHeight="false" outlineLevel="0" collapsed="false">
      <c r="A981" s="82" t="n">
        <f aca="false">IF(C981="","",ROW()-6)</f>
        <v>975</v>
      </c>
      <c r="B981" s="80" t="s">
        <v>110</v>
      </c>
      <c r="C981" s="113" t="s">
        <v>1156</v>
      </c>
      <c r="D981" s="82" t="str">
        <f aca="false">IF(OR(C981="",P981=""),"",INDEX('CARNET DE SOUDURE'!$D$7:$D$3006,P981)&amp;"")</f>
        <v>6</v>
      </c>
      <c r="E981" s="114" t="n">
        <f aca="false">IF(OR(C981="",P981=""),"",IF(INDEX('CARNET DE SOUDURE'!$U$7:$U$3006,P981)="","",INDEX('CARNET DE SOUDURE'!$U$7:$U$3006,P981)))</f>
        <v>46281</v>
      </c>
      <c r="F981" s="82" t="str">
        <f aca="false">IF(OR(C981="",P981=""),"",INDEX('CARNET DE SOUDURE'!$AP$7:$AP$3006,P981))</f>
        <v>A</v>
      </c>
      <c r="G981" s="82" t="str">
        <f aca="false">IF(C981="","",IF(P981="","NJ INCONNU",INDEX('CARNET DE SOUDURE'!$AQ$7:$AQ$3006,P981)))</f>
        <v>ACCEPTÉ</v>
      </c>
      <c r="H981" s="82" t="str">
        <f aca="false">IF(C981="","",IF(G981="ACCEPTÉ","OUI","NON"))</f>
        <v>OUI</v>
      </c>
      <c r="I981" s="83"/>
      <c r="J981" s="80"/>
      <c r="K981" s="81"/>
      <c r="L981" s="81"/>
      <c r="M981" s="81"/>
      <c r="N981" s="84" t="str">
        <f aca="false">IF(C981="","",IF(P981="","NJ INCONNU",IF(I981="",IF(H981="OUI","À ENROBER",IF(G981="À SOUDER","NON SOUDÉ","EN ATTENTE RT")),IF(L981="R","À REPRENDRE",IF(H981&lt;&gt;"OUI","⚠ ENROBÉ AVANT ACCEPTATION RT","ENROBÉ")))))</f>
        <v>À ENROBER</v>
      </c>
      <c r="O981" s="80"/>
      <c r="P981" s="82" t="n">
        <f aca="false">IF(C981="","",IFERROR(MATCH(Q981,'CARNET DE SOUDURE'!$AW$7:$AW$3006,0),""))</f>
        <v>975</v>
      </c>
      <c r="Q981" s="82" t="str">
        <f aca="false">IF(C981="","",B981&amp;"|"&amp;C981)</f>
        <v>MFD-ISW → MFD-CPF|DJ°412</v>
      </c>
    </row>
    <row r="982" customFormat="false" ht="74.6" hidden="false" customHeight="false" outlineLevel="0" collapsed="false">
      <c r="A982" s="82" t="n">
        <f aca="false">IF(C982="","",ROW()-6)</f>
        <v>976</v>
      </c>
      <c r="B982" s="80" t="s">
        <v>110</v>
      </c>
      <c r="C982" s="113" t="s">
        <v>1157</v>
      </c>
      <c r="D982" s="82" t="str">
        <f aca="false">IF(OR(C982="",P982=""),"",INDEX('CARNET DE SOUDURE'!$D$7:$D$3006,P982)&amp;"")</f>
        <v>6</v>
      </c>
      <c r="E982" s="114" t="n">
        <f aca="false">IF(OR(C982="",P982=""),"",IF(INDEX('CARNET DE SOUDURE'!$U$7:$U$3006,P982)="","",INDEX('CARNET DE SOUDURE'!$U$7:$U$3006,P982)))</f>
        <v>46284</v>
      </c>
      <c r="F982" s="82" t="str">
        <f aca="false">IF(OR(C982="",P982=""),"",INDEX('CARNET DE SOUDURE'!$AP$7:$AP$3006,P982))</f>
        <v>A</v>
      </c>
      <c r="G982" s="82" t="str">
        <f aca="false">IF(C982="","",IF(P982="","NJ INCONNU",INDEX('CARNET DE SOUDURE'!$AQ$7:$AQ$3006,P982)))</f>
        <v>ACCEPTÉ</v>
      </c>
      <c r="H982" s="82" t="str">
        <f aca="false">IF(C982="","",IF(G982="ACCEPTÉ","OUI","NON"))</f>
        <v>OUI</v>
      </c>
      <c r="I982" s="83"/>
      <c r="J982" s="80"/>
      <c r="K982" s="81"/>
      <c r="L982" s="81"/>
      <c r="M982" s="81"/>
      <c r="N982" s="84" t="str">
        <f aca="false">IF(C982="","",IF(P982="","NJ INCONNU",IF(I982="",IF(H982="OUI","À ENROBER",IF(G982="À SOUDER","NON SOUDÉ","EN ATTENTE RT")),IF(L982="R","À REPRENDRE",IF(H982&lt;&gt;"OUI","⚠ ENROBÉ AVANT ACCEPTATION RT","ENROBÉ")))))</f>
        <v>À ENROBER</v>
      </c>
      <c r="O982" s="80"/>
      <c r="P982" s="82" t="n">
        <f aca="false">IF(C982="","",IFERROR(MATCH(Q982,'CARNET DE SOUDURE'!$AW$7:$AW$3006,0),""))</f>
        <v>976</v>
      </c>
      <c r="Q982" s="82" t="str">
        <f aca="false">IF(C982="","",B982&amp;"|"&amp;C982)</f>
        <v>MFD-ISW → MFD-CPF|JN°869</v>
      </c>
    </row>
    <row r="983" customFormat="false" ht="74.6" hidden="false" customHeight="false" outlineLevel="0" collapsed="false">
      <c r="A983" s="82" t="n">
        <f aca="false">IF(C983="","",ROW()-6)</f>
        <v>977</v>
      </c>
      <c r="B983" s="80" t="s">
        <v>110</v>
      </c>
      <c r="C983" s="113" t="s">
        <v>1158</v>
      </c>
      <c r="D983" s="82" t="str">
        <f aca="false">IF(OR(C983="",P983=""),"",INDEX('CARNET DE SOUDURE'!$D$7:$D$3006,P983)&amp;"")</f>
        <v>6</v>
      </c>
      <c r="E983" s="114" t="n">
        <f aca="false">IF(OR(C983="",P983=""),"",IF(INDEX('CARNET DE SOUDURE'!$U$7:$U$3006,P983)="","",INDEX('CARNET DE SOUDURE'!$U$7:$U$3006,P983)))</f>
        <v>46284</v>
      </c>
      <c r="F983" s="82" t="str">
        <f aca="false">IF(OR(C983="",P983=""),"",INDEX('CARNET DE SOUDURE'!$AP$7:$AP$3006,P983))</f>
        <v>A</v>
      </c>
      <c r="G983" s="82" t="str">
        <f aca="false">IF(C983="","",IF(P983="","NJ INCONNU",INDEX('CARNET DE SOUDURE'!$AQ$7:$AQ$3006,P983)))</f>
        <v>ACCEPTÉ</v>
      </c>
      <c r="H983" s="82" t="str">
        <f aca="false">IF(C983="","",IF(G983="ACCEPTÉ","OUI","NON"))</f>
        <v>OUI</v>
      </c>
      <c r="I983" s="83"/>
      <c r="J983" s="80"/>
      <c r="K983" s="81"/>
      <c r="L983" s="81"/>
      <c r="M983" s="81"/>
      <c r="N983" s="84" t="str">
        <f aca="false">IF(C983="","",IF(P983="","NJ INCONNU",IF(I983="",IF(H983="OUI","À ENROBER",IF(G983="À SOUDER","NON SOUDÉ","EN ATTENTE RT")),IF(L983="R","À REPRENDRE",IF(H983&lt;&gt;"OUI","⚠ ENROBÉ AVANT ACCEPTATION RT","ENROBÉ")))))</f>
        <v>À ENROBER</v>
      </c>
      <c r="O983" s="80"/>
      <c r="P983" s="82" t="n">
        <f aca="false">IF(C983="","",IFERROR(MATCH(Q983,'CARNET DE SOUDURE'!$AW$7:$AW$3006,0),""))</f>
        <v>977</v>
      </c>
      <c r="Q983" s="82" t="str">
        <f aca="false">IF(C983="","",B983&amp;"|"&amp;C983)</f>
        <v>MFD-ISW → MFD-CPF|JN°870</v>
      </c>
    </row>
    <row r="984" customFormat="false" ht="74.6" hidden="false" customHeight="false" outlineLevel="0" collapsed="false">
      <c r="A984" s="82" t="n">
        <f aca="false">IF(C984="","",ROW()-6)</f>
        <v>978</v>
      </c>
      <c r="B984" s="80" t="s">
        <v>110</v>
      </c>
      <c r="C984" s="113" t="s">
        <v>1159</v>
      </c>
      <c r="D984" s="82" t="str">
        <f aca="false">IF(OR(C984="",P984=""),"",INDEX('CARNET DE SOUDURE'!$D$7:$D$3006,P984)&amp;"")</f>
        <v>6</v>
      </c>
      <c r="E984" s="114" t="n">
        <f aca="false">IF(OR(C984="",P984=""),"",IF(INDEX('CARNET DE SOUDURE'!$U$7:$U$3006,P984)="","",INDEX('CARNET DE SOUDURE'!$U$7:$U$3006,P984)))</f>
        <v>46284</v>
      </c>
      <c r="F984" s="82" t="str">
        <f aca="false">IF(OR(C984="",P984=""),"",INDEX('CARNET DE SOUDURE'!$AP$7:$AP$3006,P984))</f>
        <v>A</v>
      </c>
      <c r="G984" s="82" t="str">
        <f aca="false">IF(C984="","",IF(P984="","NJ INCONNU",INDEX('CARNET DE SOUDURE'!$AQ$7:$AQ$3006,P984)))</f>
        <v>ACCEPTÉ</v>
      </c>
      <c r="H984" s="82" t="str">
        <f aca="false">IF(C984="","",IF(G984="ACCEPTÉ","OUI","NON"))</f>
        <v>OUI</v>
      </c>
      <c r="I984" s="83"/>
      <c r="J984" s="80"/>
      <c r="K984" s="81"/>
      <c r="L984" s="81"/>
      <c r="M984" s="81"/>
      <c r="N984" s="84" t="str">
        <f aca="false">IF(C984="","",IF(P984="","NJ INCONNU",IF(I984="",IF(H984="OUI","À ENROBER",IF(G984="À SOUDER","NON SOUDÉ","EN ATTENTE RT")),IF(L984="R","À REPRENDRE",IF(H984&lt;&gt;"OUI","⚠ ENROBÉ AVANT ACCEPTATION RT","ENROBÉ")))))</f>
        <v>À ENROBER</v>
      </c>
      <c r="O984" s="80"/>
      <c r="P984" s="82" t="n">
        <f aca="false">IF(C984="","",IFERROR(MATCH(Q984,'CARNET DE SOUDURE'!$AW$7:$AW$3006,0),""))</f>
        <v>978</v>
      </c>
      <c r="Q984" s="82" t="str">
        <f aca="false">IF(C984="","",B984&amp;"|"&amp;C984)</f>
        <v>MFD-ISW → MFD-CPF|JN°871</v>
      </c>
    </row>
    <row r="985" customFormat="false" ht="74.6" hidden="false" customHeight="false" outlineLevel="0" collapsed="false">
      <c r="A985" s="82" t="n">
        <f aca="false">IF(C985="","",ROW()-6)</f>
        <v>979</v>
      </c>
      <c r="B985" s="80" t="s">
        <v>110</v>
      </c>
      <c r="C985" s="113" t="s">
        <v>1160</v>
      </c>
      <c r="D985" s="82" t="str">
        <f aca="false">IF(OR(C985="",P985=""),"",INDEX('CARNET DE SOUDURE'!$D$7:$D$3006,P985)&amp;"")</f>
        <v>6</v>
      </c>
      <c r="E985" s="114" t="n">
        <f aca="false">IF(OR(C985="",P985=""),"",IF(INDEX('CARNET DE SOUDURE'!$U$7:$U$3006,P985)="","",INDEX('CARNET DE SOUDURE'!$U$7:$U$3006,P985)))</f>
        <v>46284</v>
      </c>
      <c r="F985" s="82" t="str">
        <f aca="false">IF(OR(C985="",P985=""),"",INDEX('CARNET DE SOUDURE'!$AP$7:$AP$3006,P985))</f>
        <v>A</v>
      </c>
      <c r="G985" s="82" t="str">
        <f aca="false">IF(C985="","",IF(P985="","NJ INCONNU",INDEX('CARNET DE SOUDURE'!$AQ$7:$AQ$3006,P985)))</f>
        <v>ACCEPTÉ</v>
      </c>
      <c r="H985" s="82" t="str">
        <f aca="false">IF(C985="","",IF(G985="ACCEPTÉ","OUI","NON"))</f>
        <v>OUI</v>
      </c>
      <c r="I985" s="83"/>
      <c r="J985" s="80"/>
      <c r="K985" s="81"/>
      <c r="L985" s="81"/>
      <c r="M985" s="81"/>
      <c r="N985" s="84" t="str">
        <f aca="false">IF(C985="","",IF(P985="","NJ INCONNU",IF(I985="",IF(H985="OUI","À ENROBER",IF(G985="À SOUDER","NON SOUDÉ","EN ATTENTE RT")),IF(L985="R","À REPRENDRE",IF(H985&lt;&gt;"OUI","⚠ ENROBÉ AVANT ACCEPTATION RT","ENROBÉ")))))</f>
        <v>À ENROBER</v>
      </c>
      <c r="O985" s="80"/>
      <c r="P985" s="82" t="n">
        <f aca="false">IF(C985="","",IFERROR(MATCH(Q985,'CARNET DE SOUDURE'!$AW$7:$AW$3006,0),""))</f>
        <v>979</v>
      </c>
      <c r="Q985" s="82" t="str">
        <f aca="false">IF(C985="","",B985&amp;"|"&amp;C985)</f>
        <v>MFD-ISW → MFD-CPF|JN°872</v>
      </c>
    </row>
    <row r="986" customFormat="false" ht="74.6" hidden="false" customHeight="false" outlineLevel="0" collapsed="false">
      <c r="A986" s="82" t="n">
        <f aca="false">IF(C986="","",ROW()-6)</f>
        <v>980</v>
      </c>
      <c r="B986" s="80" t="s">
        <v>110</v>
      </c>
      <c r="C986" s="113" t="s">
        <v>1161</v>
      </c>
      <c r="D986" s="82" t="str">
        <f aca="false">IF(OR(C986="",P986=""),"",INDEX('CARNET DE SOUDURE'!$D$7:$D$3006,P986)&amp;"")</f>
        <v>6</v>
      </c>
      <c r="E986" s="114" t="n">
        <f aca="false">IF(OR(C986="",P986=""),"",IF(INDEX('CARNET DE SOUDURE'!$U$7:$U$3006,P986)="","",INDEX('CARNET DE SOUDURE'!$U$7:$U$3006,P986)))</f>
        <v>46284</v>
      </c>
      <c r="F986" s="82" t="str">
        <f aca="false">IF(OR(C986="",P986=""),"",INDEX('CARNET DE SOUDURE'!$AP$7:$AP$3006,P986))</f>
        <v>A</v>
      </c>
      <c r="G986" s="82" t="str">
        <f aca="false">IF(C986="","",IF(P986="","NJ INCONNU",INDEX('CARNET DE SOUDURE'!$AQ$7:$AQ$3006,P986)))</f>
        <v>ACCEPTÉ</v>
      </c>
      <c r="H986" s="82" t="str">
        <f aca="false">IF(C986="","",IF(G986="ACCEPTÉ","OUI","NON"))</f>
        <v>OUI</v>
      </c>
      <c r="I986" s="83"/>
      <c r="J986" s="80"/>
      <c r="K986" s="81"/>
      <c r="L986" s="81"/>
      <c r="M986" s="81"/>
      <c r="N986" s="84" t="str">
        <f aca="false">IF(C986="","",IF(P986="","NJ INCONNU",IF(I986="",IF(H986="OUI","À ENROBER",IF(G986="À SOUDER","NON SOUDÉ","EN ATTENTE RT")),IF(L986="R","À REPRENDRE",IF(H986&lt;&gt;"OUI","⚠ ENROBÉ AVANT ACCEPTATION RT","ENROBÉ")))))</f>
        <v>À ENROBER</v>
      </c>
      <c r="O986" s="80"/>
      <c r="P986" s="82" t="n">
        <f aca="false">IF(C986="","",IFERROR(MATCH(Q986,'CARNET DE SOUDURE'!$AW$7:$AW$3006,0),""))</f>
        <v>980</v>
      </c>
      <c r="Q986" s="82" t="str">
        <f aca="false">IF(C986="","",B986&amp;"|"&amp;C986)</f>
        <v>MFD-ISW → MFD-CPF|JN°873</v>
      </c>
    </row>
    <row r="987" customFormat="false" ht="74.6" hidden="false" customHeight="false" outlineLevel="0" collapsed="false">
      <c r="A987" s="82" t="n">
        <f aca="false">IF(C987="","",ROW()-6)</f>
        <v>981</v>
      </c>
      <c r="B987" s="80" t="s">
        <v>110</v>
      </c>
      <c r="C987" s="113" t="s">
        <v>1162</v>
      </c>
      <c r="D987" s="82" t="str">
        <f aca="false">IF(OR(C987="",P987=""),"",INDEX('CARNET DE SOUDURE'!$D$7:$D$3006,P987)&amp;"")</f>
        <v>6</v>
      </c>
      <c r="E987" s="114" t="n">
        <f aca="false">IF(OR(C987="",P987=""),"",IF(INDEX('CARNET DE SOUDURE'!$U$7:$U$3006,P987)="","",INDEX('CARNET DE SOUDURE'!$U$7:$U$3006,P987)))</f>
        <v>46284</v>
      </c>
      <c r="F987" s="82" t="str">
        <f aca="false">IF(OR(C987="",P987=""),"",INDEX('CARNET DE SOUDURE'!$AP$7:$AP$3006,P987))</f>
        <v>A</v>
      </c>
      <c r="G987" s="82" t="str">
        <f aca="false">IF(C987="","",IF(P987="","NJ INCONNU",INDEX('CARNET DE SOUDURE'!$AQ$7:$AQ$3006,P987)))</f>
        <v>ACCEPTÉ</v>
      </c>
      <c r="H987" s="82" t="str">
        <f aca="false">IF(C987="","",IF(G987="ACCEPTÉ","OUI","NON"))</f>
        <v>OUI</v>
      </c>
      <c r="I987" s="83"/>
      <c r="J987" s="80"/>
      <c r="K987" s="81"/>
      <c r="L987" s="81"/>
      <c r="M987" s="81"/>
      <c r="N987" s="84" t="str">
        <f aca="false">IF(C987="","",IF(P987="","NJ INCONNU",IF(I987="",IF(H987="OUI","À ENROBER",IF(G987="À SOUDER","NON SOUDÉ","EN ATTENTE RT")),IF(L987="R","À REPRENDRE",IF(H987&lt;&gt;"OUI","⚠ ENROBÉ AVANT ACCEPTATION RT","ENROBÉ")))))</f>
        <v>À ENROBER</v>
      </c>
      <c r="O987" s="80"/>
      <c r="P987" s="82" t="n">
        <f aca="false">IF(C987="","",IFERROR(MATCH(Q987,'CARNET DE SOUDURE'!$AW$7:$AW$3006,0),""))</f>
        <v>981</v>
      </c>
      <c r="Q987" s="82" t="str">
        <f aca="false">IF(C987="","",B987&amp;"|"&amp;C987)</f>
        <v>MFD-ISW → MFD-CPF|JN°874</v>
      </c>
    </row>
    <row r="988" customFormat="false" ht="74.6" hidden="false" customHeight="false" outlineLevel="0" collapsed="false">
      <c r="A988" s="82" t="n">
        <f aca="false">IF(C988="","",ROW()-6)</f>
        <v>982</v>
      </c>
      <c r="B988" s="80" t="s">
        <v>110</v>
      </c>
      <c r="C988" s="113" t="s">
        <v>1163</v>
      </c>
      <c r="D988" s="82" t="str">
        <f aca="false">IF(OR(C988="",P988=""),"",INDEX('CARNET DE SOUDURE'!$D$7:$D$3006,P988)&amp;"")</f>
        <v>6</v>
      </c>
      <c r="E988" s="114" t="n">
        <f aca="false">IF(OR(C988="",P988=""),"",IF(INDEX('CARNET DE SOUDURE'!$U$7:$U$3006,P988)="","",INDEX('CARNET DE SOUDURE'!$U$7:$U$3006,P988)))</f>
        <v>46284</v>
      </c>
      <c r="F988" s="82" t="str">
        <f aca="false">IF(OR(C988="",P988=""),"",INDEX('CARNET DE SOUDURE'!$AP$7:$AP$3006,P988))</f>
        <v>A</v>
      </c>
      <c r="G988" s="82" t="str">
        <f aca="false">IF(C988="","",IF(P988="","NJ INCONNU",INDEX('CARNET DE SOUDURE'!$AQ$7:$AQ$3006,P988)))</f>
        <v>ACCEPTÉ</v>
      </c>
      <c r="H988" s="82" t="str">
        <f aca="false">IF(C988="","",IF(G988="ACCEPTÉ","OUI","NON"))</f>
        <v>OUI</v>
      </c>
      <c r="I988" s="83"/>
      <c r="J988" s="80"/>
      <c r="K988" s="81"/>
      <c r="L988" s="81"/>
      <c r="M988" s="81"/>
      <c r="N988" s="84" t="str">
        <f aca="false">IF(C988="","",IF(P988="","NJ INCONNU",IF(I988="",IF(H988="OUI","À ENROBER",IF(G988="À SOUDER","NON SOUDÉ","EN ATTENTE RT")),IF(L988="R","À REPRENDRE",IF(H988&lt;&gt;"OUI","⚠ ENROBÉ AVANT ACCEPTATION RT","ENROBÉ")))))</f>
        <v>À ENROBER</v>
      </c>
      <c r="O988" s="80"/>
      <c r="P988" s="82" t="n">
        <f aca="false">IF(C988="","",IFERROR(MATCH(Q988,'CARNET DE SOUDURE'!$AW$7:$AW$3006,0),""))</f>
        <v>982</v>
      </c>
      <c r="Q988" s="82" t="str">
        <f aca="false">IF(C988="","",B988&amp;"|"&amp;C988)</f>
        <v>MFD-ISW → MFD-CPF|JN°875</v>
      </c>
    </row>
    <row r="989" customFormat="false" ht="74.6" hidden="false" customHeight="false" outlineLevel="0" collapsed="false">
      <c r="A989" s="82" t="n">
        <f aca="false">IF(C989="","",ROW()-6)</f>
        <v>983</v>
      </c>
      <c r="B989" s="80" t="s">
        <v>110</v>
      </c>
      <c r="C989" s="113" t="s">
        <v>1164</v>
      </c>
      <c r="D989" s="82" t="str">
        <f aca="false">IF(OR(C989="",P989=""),"",INDEX('CARNET DE SOUDURE'!$D$7:$D$3006,P989)&amp;"")</f>
        <v>6</v>
      </c>
      <c r="E989" s="114" t="str">
        <f aca="false">IF(OR(C989="",P989=""),"",IF(INDEX('CARNET DE SOUDURE'!$U$7:$U$3006,P989)="","",INDEX('CARNET DE SOUDURE'!$U$7:$U$3006,P989)))</f>
        <v/>
      </c>
      <c r="F989" s="82" t="str">
        <f aca="false">IF(OR(C989="",P989=""),"",INDEX('CARNET DE SOUDURE'!$AP$7:$AP$3006,P989))</f>
        <v/>
      </c>
      <c r="G989" s="82" t="str">
        <f aca="false">IF(C989="","",IF(P989="","NJ INCONNU",INDEX('CARNET DE SOUDURE'!$AQ$7:$AQ$3006,P989)))</f>
        <v>À SOUDER</v>
      </c>
      <c r="H989" s="82" t="str">
        <f aca="false">IF(C989="","",IF(G989="ACCEPTÉ","OUI","NON"))</f>
        <v>NON</v>
      </c>
      <c r="I989" s="83"/>
      <c r="J989" s="80"/>
      <c r="K989" s="81"/>
      <c r="L989" s="81"/>
      <c r="M989" s="81"/>
      <c r="N989" s="84" t="str">
        <f aca="false">IF(C989="","",IF(P989="","NJ INCONNU",IF(I989="",IF(H989="OUI","À ENROBER",IF(G989="À SOUDER","NON SOUDÉ","EN ATTENTE RT")),IF(L989="R","À REPRENDRE",IF(H989&lt;&gt;"OUI","⚠ ENROBÉ AVANT ACCEPTATION RT","ENROBÉ")))))</f>
        <v>NON SOUDÉ</v>
      </c>
      <c r="O989" s="80"/>
      <c r="P989" s="82" t="n">
        <f aca="false">IF(C989="","",IFERROR(MATCH(Q989,'CARNET DE SOUDURE'!$AW$7:$AW$3006,0),""))</f>
        <v>983</v>
      </c>
      <c r="Q989" s="82" t="str">
        <f aca="false">IF(C989="","",B989&amp;"|"&amp;C989)</f>
        <v>MFD-ISW → MFD-CPF|JN°876</v>
      </c>
    </row>
    <row r="990" customFormat="false" ht="74.6" hidden="false" customHeight="false" outlineLevel="0" collapsed="false">
      <c r="A990" s="82" t="n">
        <f aca="false">IF(C990="","",ROW()-6)</f>
        <v>984</v>
      </c>
      <c r="B990" s="80" t="s">
        <v>110</v>
      </c>
      <c r="C990" s="113" t="s">
        <v>1165</v>
      </c>
      <c r="D990" s="82" t="str">
        <f aca="false">IF(OR(C990="",P990=""),"",INDEX('CARNET DE SOUDURE'!$D$7:$D$3006,P990)&amp;"")</f>
        <v>6</v>
      </c>
      <c r="E990" s="114" t="str">
        <f aca="false">IF(OR(C990="",P990=""),"",IF(INDEX('CARNET DE SOUDURE'!$U$7:$U$3006,P990)="","",INDEX('CARNET DE SOUDURE'!$U$7:$U$3006,P990)))</f>
        <v/>
      </c>
      <c r="F990" s="82" t="str">
        <f aca="false">IF(OR(C990="",P990=""),"",INDEX('CARNET DE SOUDURE'!$AP$7:$AP$3006,P990))</f>
        <v/>
      </c>
      <c r="G990" s="82" t="str">
        <f aca="false">IF(C990="","",IF(P990="","NJ INCONNU",INDEX('CARNET DE SOUDURE'!$AQ$7:$AQ$3006,P990)))</f>
        <v>À SOUDER</v>
      </c>
      <c r="H990" s="82" t="str">
        <f aca="false">IF(C990="","",IF(G990="ACCEPTÉ","OUI","NON"))</f>
        <v>NON</v>
      </c>
      <c r="I990" s="83"/>
      <c r="J990" s="80"/>
      <c r="K990" s="81"/>
      <c r="L990" s="81"/>
      <c r="M990" s="81"/>
      <c r="N990" s="84" t="str">
        <f aca="false">IF(C990="","",IF(P990="","NJ INCONNU",IF(I990="",IF(H990="OUI","À ENROBER",IF(G990="À SOUDER","NON SOUDÉ","EN ATTENTE RT")),IF(L990="R","À REPRENDRE",IF(H990&lt;&gt;"OUI","⚠ ENROBÉ AVANT ACCEPTATION RT","ENROBÉ")))))</f>
        <v>NON SOUDÉ</v>
      </c>
      <c r="O990" s="80"/>
      <c r="P990" s="82" t="n">
        <f aca="false">IF(C990="","",IFERROR(MATCH(Q990,'CARNET DE SOUDURE'!$AW$7:$AW$3006,0),""))</f>
        <v>984</v>
      </c>
      <c r="Q990" s="82" t="str">
        <f aca="false">IF(C990="","",B990&amp;"|"&amp;C990)</f>
        <v>MFD-ISW → MFD-CPF|JN°877</v>
      </c>
    </row>
    <row r="991" customFormat="false" ht="74.6" hidden="false" customHeight="false" outlineLevel="0" collapsed="false">
      <c r="A991" s="82" t="n">
        <f aca="false">IF(C991="","",ROW()-6)</f>
        <v>985</v>
      </c>
      <c r="B991" s="80" t="s">
        <v>110</v>
      </c>
      <c r="C991" s="113" t="s">
        <v>1166</v>
      </c>
      <c r="D991" s="82" t="str">
        <f aca="false">IF(OR(C991="",P991=""),"",INDEX('CARNET DE SOUDURE'!$D$7:$D$3006,P991)&amp;"")</f>
        <v>6</v>
      </c>
      <c r="E991" s="114" t="str">
        <f aca="false">IF(OR(C991="",P991=""),"",IF(INDEX('CARNET DE SOUDURE'!$U$7:$U$3006,P991)="","",INDEX('CARNET DE SOUDURE'!$U$7:$U$3006,P991)))</f>
        <v/>
      </c>
      <c r="F991" s="82" t="str">
        <f aca="false">IF(OR(C991="",P991=""),"",INDEX('CARNET DE SOUDURE'!$AP$7:$AP$3006,P991))</f>
        <v/>
      </c>
      <c r="G991" s="82" t="str">
        <f aca="false">IF(C991="","",IF(P991="","NJ INCONNU",INDEX('CARNET DE SOUDURE'!$AQ$7:$AQ$3006,P991)))</f>
        <v>À SOUDER</v>
      </c>
      <c r="H991" s="82" t="str">
        <f aca="false">IF(C991="","",IF(G991="ACCEPTÉ","OUI","NON"))</f>
        <v>NON</v>
      </c>
      <c r="I991" s="83"/>
      <c r="J991" s="80"/>
      <c r="K991" s="81"/>
      <c r="L991" s="81"/>
      <c r="M991" s="81"/>
      <c r="N991" s="84" t="str">
        <f aca="false">IF(C991="","",IF(P991="","NJ INCONNU",IF(I991="",IF(H991="OUI","À ENROBER",IF(G991="À SOUDER","NON SOUDÉ","EN ATTENTE RT")),IF(L991="R","À REPRENDRE",IF(H991&lt;&gt;"OUI","⚠ ENROBÉ AVANT ACCEPTATION RT","ENROBÉ")))))</f>
        <v>NON SOUDÉ</v>
      </c>
      <c r="O991" s="80"/>
      <c r="P991" s="82" t="n">
        <f aca="false">IF(C991="","",IFERROR(MATCH(Q991,'CARNET DE SOUDURE'!$AW$7:$AW$3006,0),""))</f>
        <v>985</v>
      </c>
      <c r="Q991" s="82" t="str">
        <f aca="false">IF(C991="","",B991&amp;"|"&amp;C991)</f>
        <v>MFD-ISW → MFD-CPF|JN°878</v>
      </c>
    </row>
    <row r="992" customFormat="false" ht="74.6" hidden="false" customHeight="false" outlineLevel="0" collapsed="false">
      <c r="A992" s="82" t="n">
        <f aca="false">IF(C992="","",ROW()-6)</f>
        <v>986</v>
      </c>
      <c r="B992" s="80" t="s">
        <v>110</v>
      </c>
      <c r="C992" s="113" t="s">
        <v>1167</v>
      </c>
      <c r="D992" s="82" t="str">
        <f aca="false">IF(OR(C992="",P992=""),"",INDEX('CARNET DE SOUDURE'!$D$7:$D$3006,P992)&amp;"")</f>
        <v>6</v>
      </c>
      <c r="E992" s="114" t="str">
        <f aca="false">IF(OR(C992="",P992=""),"",IF(INDEX('CARNET DE SOUDURE'!$U$7:$U$3006,P992)="","",INDEX('CARNET DE SOUDURE'!$U$7:$U$3006,P992)))</f>
        <v/>
      </c>
      <c r="F992" s="82" t="str">
        <f aca="false">IF(OR(C992="",P992=""),"",INDEX('CARNET DE SOUDURE'!$AP$7:$AP$3006,P992))</f>
        <v/>
      </c>
      <c r="G992" s="82" t="str">
        <f aca="false">IF(C992="","",IF(P992="","NJ INCONNU",INDEX('CARNET DE SOUDURE'!$AQ$7:$AQ$3006,P992)))</f>
        <v>À SOUDER</v>
      </c>
      <c r="H992" s="82" t="str">
        <f aca="false">IF(C992="","",IF(G992="ACCEPTÉ","OUI","NON"))</f>
        <v>NON</v>
      </c>
      <c r="I992" s="83"/>
      <c r="J992" s="80"/>
      <c r="K992" s="81"/>
      <c r="L992" s="81"/>
      <c r="M992" s="81"/>
      <c r="N992" s="84" t="str">
        <f aca="false">IF(C992="","",IF(P992="","NJ INCONNU",IF(I992="",IF(H992="OUI","À ENROBER",IF(G992="À SOUDER","NON SOUDÉ","EN ATTENTE RT")),IF(L992="R","À REPRENDRE",IF(H992&lt;&gt;"OUI","⚠ ENROBÉ AVANT ACCEPTATION RT","ENROBÉ")))))</f>
        <v>NON SOUDÉ</v>
      </c>
      <c r="O992" s="80"/>
      <c r="P992" s="82" t="n">
        <f aca="false">IF(C992="","",IFERROR(MATCH(Q992,'CARNET DE SOUDURE'!$AW$7:$AW$3006,0),""))</f>
        <v>986</v>
      </c>
      <c r="Q992" s="82" t="str">
        <f aca="false">IF(C992="","",B992&amp;"|"&amp;C992)</f>
        <v>MFD-ISW → MFD-CPF|JN°879</v>
      </c>
    </row>
    <row r="993" customFormat="false" ht="74.6" hidden="false" customHeight="false" outlineLevel="0" collapsed="false">
      <c r="A993" s="82" t="n">
        <f aca="false">IF(C993="","",ROW()-6)</f>
        <v>987</v>
      </c>
      <c r="B993" s="80" t="s">
        <v>110</v>
      </c>
      <c r="C993" s="113" t="s">
        <v>1169</v>
      </c>
      <c r="D993" s="82" t="str">
        <f aca="false">IF(OR(C993="",P993=""),"",INDEX('CARNET DE SOUDURE'!$D$7:$D$3006,P993)&amp;"")</f>
        <v>6</v>
      </c>
      <c r="E993" s="114" t="n">
        <f aca="false">IF(OR(C993="",P993=""),"",IF(INDEX('CARNET DE SOUDURE'!$U$7:$U$3006,P993)="","",INDEX('CARNET DE SOUDURE'!$U$7:$U$3006,P993)))</f>
        <v>46284</v>
      </c>
      <c r="F993" s="82" t="str">
        <f aca="false">IF(OR(C993="",P993=""),"",INDEX('CARNET DE SOUDURE'!$AP$7:$AP$3006,P993))</f>
        <v>A</v>
      </c>
      <c r="G993" s="82" t="str">
        <f aca="false">IF(C993="","",IF(P993="","NJ INCONNU",INDEX('CARNET DE SOUDURE'!$AQ$7:$AQ$3006,P993)))</f>
        <v>ACCEPTÉ</v>
      </c>
      <c r="H993" s="82" t="str">
        <f aca="false">IF(C993="","",IF(G993="ACCEPTÉ","OUI","NON"))</f>
        <v>OUI</v>
      </c>
      <c r="I993" s="83"/>
      <c r="J993" s="80"/>
      <c r="K993" s="81"/>
      <c r="L993" s="81"/>
      <c r="M993" s="81"/>
      <c r="N993" s="84" t="str">
        <f aca="false">IF(C993="","",IF(P993="","NJ INCONNU",IF(I993="",IF(H993="OUI","À ENROBER",IF(G993="À SOUDER","NON SOUDÉ","EN ATTENTE RT")),IF(L993="R","À REPRENDRE",IF(H993&lt;&gt;"OUI","⚠ ENROBÉ AVANT ACCEPTATION RT","ENROBÉ")))))</f>
        <v>À ENROBER</v>
      </c>
      <c r="O993" s="80"/>
      <c r="P993" s="82" t="n">
        <f aca="false">IF(C993="","",IFERROR(MATCH(Q993,'CARNET DE SOUDURE'!$AW$7:$AW$3006,0),""))</f>
        <v>987</v>
      </c>
      <c r="Q993" s="82" t="str">
        <f aca="false">IF(C993="","",B993&amp;"|"&amp;C993)</f>
        <v>MFD-ISW → MFD-CPF|JN°880</v>
      </c>
    </row>
    <row r="994" customFormat="false" ht="74.6" hidden="false" customHeight="false" outlineLevel="0" collapsed="false">
      <c r="A994" s="82" t="n">
        <f aca="false">IF(C994="","",ROW()-6)</f>
        <v>988</v>
      </c>
      <c r="B994" s="80" t="s">
        <v>110</v>
      </c>
      <c r="C994" s="113" t="s">
        <v>1170</v>
      </c>
      <c r="D994" s="82" t="str">
        <f aca="false">IF(OR(C994="",P994=""),"",INDEX('CARNET DE SOUDURE'!$D$7:$D$3006,P994)&amp;"")</f>
        <v>6</v>
      </c>
      <c r="E994" s="114" t="n">
        <f aca="false">IF(OR(C994="",P994=""),"",IF(INDEX('CARNET DE SOUDURE'!$U$7:$U$3006,P994)="","",INDEX('CARNET DE SOUDURE'!$U$7:$U$3006,P994)))</f>
        <v>46284</v>
      </c>
      <c r="F994" s="82" t="str">
        <f aca="false">IF(OR(C994="",P994=""),"",INDEX('CARNET DE SOUDURE'!$AP$7:$AP$3006,P994))</f>
        <v>R</v>
      </c>
      <c r="G994" s="82" t="str">
        <f aca="false">IF(C994="","",IF(P994="","NJ INCONNU",INDEX('CARNET DE SOUDURE'!$AQ$7:$AQ$3006,P994)))</f>
        <v>À RÉPARER</v>
      </c>
      <c r="H994" s="82" t="str">
        <f aca="false">IF(C994="","",IF(G994="ACCEPTÉ","OUI","NON"))</f>
        <v>NON</v>
      </c>
      <c r="I994" s="83"/>
      <c r="J994" s="80"/>
      <c r="K994" s="81"/>
      <c r="L994" s="81"/>
      <c r="M994" s="81"/>
      <c r="N994" s="84" t="str">
        <f aca="false">IF(C994="","",IF(P994="","NJ INCONNU",IF(I994="",IF(H994="OUI","À ENROBER",IF(G994="À SOUDER","NON SOUDÉ","EN ATTENTE RT")),IF(L994="R","À REPRENDRE",IF(H994&lt;&gt;"OUI","⚠ ENROBÉ AVANT ACCEPTATION RT","ENROBÉ")))))</f>
        <v>EN ATTENTE RT</v>
      </c>
      <c r="O994" s="80"/>
      <c r="P994" s="82" t="n">
        <f aca="false">IF(C994="","",IFERROR(MATCH(Q994,'CARNET DE SOUDURE'!$AW$7:$AW$3006,0),""))</f>
        <v>988</v>
      </c>
      <c r="Q994" s="82" t="str">
        <f aca="false">IF(C994="","",B994&amp;"|"&amp;C994)</f>
        <v>MFD-ISW → MFD-CPF|JN°881</v>
      </c>
    </row>
    <row r="995" customFormat="false" ht="74.6" hidden="false" customHeight="false" outlineLevel="0" collapsed="false">
      <c r="A995" s="82" t="n">
        <f aca="false">IF(C995="","",ROW()-6)</f>
        <v>989</v>
      </c>
      <c r="B995" s="80" t="s">
        <v>110</v>
      </c>
      <c r="C995" s="113" t="s">
        <v>1172</v>
      </c>
      <c r="D995" s="82" t="str">
        <f aca="false">IF(OR(C995="",P995=""),"",INDEX('CARNET DE SOUDURE'!$D$7:$D$3006,P995)&amp;"")</f>
        <v>6</v>
      </c>
      <c r="E995" s="114" t="n">
        <f aca="false">IF(OR(C995="",P995=""),"",IF(INDEX('CARNET DE SOUDURE'!$U$7:$U$3006,P995)="","",INDEX('CARNET DE SOUDURE'!$U$7:$U$3006,P995)))</f>
        <v>46284</v>
      </c>
      <c r="F995" s="82" t="str">
        <f aca="false">IF(OR(C995="",P995=""),"",INDEX('CARNET DE SOUDURE'!$AP$7:$AP$3006,P995))</f>
        <v>A</v>
      </c>
      <c r="G995" s="82" t="str">
        <f aca="false">IF(C995="","",IF(P995="","NJ INCONNU",INDEX('CARNET DE SOUDURE'!$AQ$7:$AQ$3006,P995)))</f>
        <v>ACCEPTÉ</v>
      </c>
      <c r="H995" s="82" t="str">
        <f aca="false">IF(C995="","",IF(G995="ACCEPTÉ","OUI","NON"))</f>
        <v>OUI</v>
      </c>
      <c r="I995" s="83"/>
      <c r="J995" s="80"/>
      <c r="K995" s="81"/>
      <c r="L995" s="81"/>
      <c r="M995" s="81"/>
      <c r="N995" s="84" t="str">
        <f aca="false">IF(C995="","",IF(P995="","NJ INCONNU",IF(I995="",IF(H995="OUI","À ENROBER",IF(G995="À SOUDER","NON SOUDÉ","EN ATTENTE RT")),IF(L995="R","À REPRENDRE",IF(H995&lt;&gt;"OUI","⚠ ENROBÉ AVANT ACCEPTATION RT","ENROBÉ")))))</f>
        <v>À ENROBER</v>
      </c>
      <c r="O995" s="80"/>
      <c r="P995" s="82" t="n">
        <f aca="false">IF(C995="","",IFERROR(MATCH(Q995,'CARNET DE SOUDURE'!$AW$7:$AW$3006,0),""))</f>
        <v>989</v>
      </c>
      <c r="Q995" s="82" t="str">
        <f aca="false">IF(C995="","",B995&amp;"|"&amp;C995)</f>
        <v>MFD-ISW → MFD-CPF|JN°882</v>
      </c>
    </row>
    <row r="996" customFormat="false" ht="74.6" hidden="false" customHeight="false" outlineLevel="0" collapsed="false">
      <c r="A996" s="82" t="n">
        <f aca="false">IF(C996="","",ROW()-6)</f>
        <v>990</v>
      </c>
      <c r="B996" s="80" t="s">
        <v>110</v>
      </c>
      <c r="C996" s="113" t="s">
        <v>1173</v>
      </c>
      <c r="D996" s="82" t="str">
        <f aca="false">IF(OR(C996="",P996=""),"",INDEX('CARNET DE SOUDURE'!$D$7:$D$3006,P996)&amp;"")</f>
        <v>7</v>
      </c>
      <c r="E996" s="114" t="str">
        <f aca="false">IF(OR(C996="",P996=""),"",IF(INDEX('CARNET DE SOUDURE'!$U$7:$U$3006,P996)="","",INDEX('CARNET DE SOUDURE'!$U$7:$U$3006,P996)))</f>
        <v/>
      </c>
      <c r="F996" s="82" t="str">
        <f aca="false">IF(OR(C996="",P996=""),"",INDEX('CARNET DE SOUDURE'!$AP$7:$AP$3006,P996))</f>
        <v/>
      </c>
      <c r="G996" s="82" t="str">
        <f aca="false">IF(C996="","",IF(P996="","NJ INCONNU",INDEX('CARNET DE SOUDURE'!$AQ$7:$AQ$3006,P996)))</f>
        <v>À SOUDER</v>
      </c>
      <c r="H996" s="82" t="str">
        <f aca="false">IF(C996="","",IF(G996="ACCEPTÉ","OUI","NON"))</f>
        <v>NON</v>
      </c>
      <c r="I996" s="83"/>
      <c r="J996" s="80"/>
      <c r="K996" s="81"/>
      <c r="L996" s="81"/>
      <c r="M996" s="81"/>
      <c r="N996" s="84" t="str">
        <f aca="false">IF(C996="","",IF(P996="","NJ INCONNU",IF(I996="",IF(H996="OUI","À ENROBER",IF(G996="À SOUDER","NON SOUDÉ","EN ATTENTE RT")),IF(L996="R","À REPRENDRE",IF(H996&lt;&gt;"OUI","⚠ ENROBÉ AVANT ACCEPTATION RT","ENROBÉ")))))</f>
        <v>NON SOUDÉ</v>
      </c>
      <c r="O996" s="80"/>
      <c r="P996" s="82" t="n">
        <f aca="false">IF(C996="","",IFERROR(MATCH(Q996,'CARNET DE SOUDURE'!$AW$7:$AW$3006,0),""))</f>
        <v>990</v>
      </c>
      <c r="Q996" s="82" t="str">
        <f aca="false">IF(C996="","",B996&amp;"|"&amp;C996)</f>
        <v>MFD-ISW → MFD-CPF|JN°883</v>
      </c>
    </row>
    <row r="997" customFormat="false" ht="74.6" hidden="false" customHeight="false" outlineLevel="0" collapsed="false">
      <c r="A997" s="82" t="n">
        <f aca="false">IF(C997="","",ROW()-6)</f>
        <v>991</v>
      </c>
      <c r="B997" s="80" t="s">
        <v>110</v>
      </c>
      <c r="C997" s="113" t="s">
        <v>1174</v>
      </c>
      <c r="D997" s="82" t="str">
        <f aca="false">IF(OR(C997="",P997=""),"",INDEX('CARNET DE SOUDURE'!$D$7:$D$3006,P997)&amp;"")</f>
        <v>7</v>
      </c>
      <c r="E997" s="114" t="str">
        <f aca="false">IF(OR(C997="",P997=""),"",IF(INDEX('CARNET DE SOUDURE'!$U$7:$U$3006,P997)="","",INDEX('CARNET DE SOUDURE'!$U$7:$U$3006,P997)))</f>
        <v/>
      </c>
      <c r="F997" s="82" t="str">
        <f aca="false">IF(OR(C997="",P997=""),"",INDEX('CARNET DE SOUDURE'!$AP$7:$AP$3006,P997))</f>
        <v/>
      </c>
      <c r="G997" s="82" t="str">
        <f aca="false">IF(C997="","",IF(P997="","NJ INCONNU",INDEX('CARNET DE SOUDURE'!$AQ$7:$AQ$3006,P997)))</f>
        <v>À SOUDER</v>
      </c>
      <c r="H997" s="82" t="str">
        <f aca="false">IF(C997="","",IF(G997="ACCEPTÉ","OUI","NON"))</f>
        <v>NON</v>
      </c>
      <c r="I997" s="83"/>
      <c r="J997" s="80"/>
      <c r="K997" s="81"/>
      <c r="L997" s="81"/>
      <c r="M997" s="81"/>
      <c r="N997" s="84" t="str">
        <f aca="false">IF(C997="","",IF(P997="","NJ INCONNU",IF(I997="",IF(H997="OUI","À ENROBER",IF(G997="À SOUDER","NON SOUDÉ","EN ATTENTE RT")),IF(L997="R","À REPRENDRE",IF(H997&lt;&gt;"OUI","⚠ ENROBÉ AVANT ACCEPTATION RT","ENROBÉ")))))</f>
        <v>NON SOUDÉ</v>
      </c>
      <c r="O997" s="80"/>
      <c r="P997" s="82" t="n">
        <f aca="false">IF(C997="","",IFERROR(MATCH(Q997,'CARNET DE SOUDURE'!$AW$7:$AW$3006,0),""))</f>
        <v>991</v>
      </c>
      <c r="Q997" s="82" t="str">
        <f aca="false">IF(C997="","",B997&amp;"|"&amp;C997)</f>
        <v>MFD-ISW → MFD-CPF|JN°884</v>
      </c>
    </row>
    <row r="998" customFormat="false" ht="74.6" hidden="false" customHeight="false" outlineLevel="0" collapsed="false">
      <c r="A998" s="82" t="n">
        <f aca="false">IF(C998="","",ROW()-6)</f>
        <v>992</v>
      </c>
      <c r="B998" s="80" t="s">
        <v>110</v>
      </c>
      <c r="C998" s="113" t="s">
        <v>1175</v>
      </c>
      <c r="D998" s="82" t="str">
        <f aca="false">IF(OR(C998="",P998=""),"",INDEX('CARNET DE SOUDURE'!$D$7:$D$3006,P998)&amp;"")</f>
        <v>7</v>
      </c>
      <c r="E998" s="114" t="str">
        <f aca="false">IF(OR(C998="",P998=""),"",IF(INDEX('CARNET DE SOUDURE'!$U$7:$U$3006,P998)="","",INDEX('CARNET DE SOUDURE'!$U$7:$U$3006,P998)))</f>
        <v/>
      </c>
      <c r="F998" s="82" t="str">
        <f aca="false">IF(OR(C998="",P998=""),"",INDEX('CARNET DE SOUDURE'!$AP$7:$AP$3006,P998))</f>
        <v/>
      </c>
      <c r="G998" s="82" t="str">
        <f aca="false">IF(C998="","",IF(P998="","NJ INCONNU",INDEX('CARNET DE SOUDURE'!$AQ$7:$AQ$3006,P998)))</f>
        <v>À SOUDER</v>
      </c>
      <c r="H998" s="82" t="str">
        <f aca="false">IF(C998="","",IF(G998="ACCEPTÉ","OUI","NON"))</f>
        <v>NON</v>
      </c>
      <c r="I998" s="83"/>
      <c r="J998" s="80"/>
      <c r="K998" s="81"/>
      <c r="L998" s="81"/>
      <c r="M998" s="81"/>
      <c r="N998" s="84" t="str">
        <f aca="false">IF(C998="","",IF(P998="","NJ INCONNU",IF(I998="",IF(H998="OUI","À ENROBER",IF(G998="À SOUDER","NON SOUDÉ","EN ATTENTE RT")),IF(L998="R","À REPRENDRE",IF(H998&lt;&gt;"OUI","⚠ ENROBÉ AVANT ACCEPTATION RT","ENROBÉ")))))</f>
        <v>NON SOUDÉ</v>
      </c>
      <c r="O998" s="80"/>
      <c r="P998" s="82" t="n">
        <f aca="false">IF(C998="","",IFERROR(MATCH(Q998,'CARNET DE SOUDURE'!$AW$7:$AW$3006,0),""))</f>
        <v>992</v>
      </c>
      <c r="Q998" s="82" t="str">
        <f aca="false">IF(C998="","",B998&amp;"|"&amp;C998)</f>
        <v>MFD-ISW → MFD-CPF|JN°885</v>
      </c>
    </row>
    <row r="999" customFormat="false" ht="74.6" hidden="false" customHeight="false" outlineLevel="0" collapsed="false">
      <c r="A999" s="82" t="n">
        <f aca="false">IF(C999="","",ROW()-6)</f>
        <v>993</v>
      </c>
      <c r="B999" s="80" t="s">
        <v>110</v>
      </c>
      <c r="C999" s="113" t="s">
        <v>1176</v>
      </c>
      <c r="D999" s="82" t="str">
        <f aca="false">IF(OR(C999="",P999=""),"",INDEX('CARNET DE SOUDURE'!$D$7:$D$3006,P999)&amp;"")</f>
        <v>7</v>
      </c>
      <c r="E999" s="114" t="str">
        <f aca="false">IF(OR(C999="",P999=""),"",IF(INDEX('CARNET DE SOUDURE'!$U$7:$U$3006,P999)="","",INDEX('CARNET DE SOUDURE'!$U$7:$U$3006,P999)))</f>
        <v/>
      </c>
      <c r="F999" s="82" t="str">
        <f aca="false">IF(OR(C999="",P999=""),"",INDEX('CARNET DE SOUDURE'!$AP$7:$AP$3006,P999))</f>
        <v/>
      </c>
      <c r="G999" s="82" t="str">
        <f aca="false">IF(C999="","",IF(P999="","NJ INCONNU",INDEX('CARNET DE SOUDURE'!$AQ$7:$AQ$3006,P999)))</f>
        <v>À SOUDER</v>
      </c>
      <c r="H999" s="82" t="str">
        <f aca="false">IF(C999="","",IF(G999="ACCEPTÉ","OUI","NON"))</f>
        <v>NON</v>
      </c>
      <c r="I999" s="83"/>
      <c r="J999" s="80"/>
      <c r="K999" s="81"/>
      <c r="L999" s="81"/>
      <c r="M999" s="81"/>
      <c r="N999" s="84" t="str">
        <f aca="false">IF(C999="","",IF(P999="","NJ INCONNU",IF(I999="",IF(H999="OUI","À ENROBER",IF(G999="À SOUDER","NON SOUDÉ","EN ATTENTE RT")),IF(L999="R","À REPRENDRE",IF(H999&lt;&gt;"OUI","⚠ ENROBÉ AVANT ACCEPTATION RT","ENROBÉ")))))</f>
        <v>NON SOUDÉ</v>
      </c>
      <c r="O999" s="80"/>
      <c r="P999" s="82" t="n">
        <f aca="false">IF(C999="","",IFERROR(MATCH(Q999,'CARNET DE SOUDURE'!$AW$7:$AW$3006,0),""))</f>
        <v>993</v>
      </c>
      <c r="Q999" s="82" t="str">
        <f aca="false">IF(C999="","",B999&amp;"|"&amp;C999)</f>
        <v>MFD-ISW → MFD-CPF|JN°886</v>
      </c>
    </row>
    <row r="1000" customFormat="false" ht="74.6" hidden="false" customHeight="false" outlineLevel="0" collapsed="false">
      <c r="A1000" s="82" t="n">
        <f aca="false">IF(C1000="","",ROW()-6)</f>
        <v>994</v>
      </c>
      <c r="B1000" s="80" t="s">
        <v>110</v>
      </c>
      <c r="C1000" s="113" t="s">
        <v>1177</v>
      </c>
      <c r="D1000" s="82" t="str">
        <f aca="false">IF(OR(C1000="",P1000=""),"",INDEX('CARNET DE SOUDURE'!$D$7:$D$3006,P1000)&amp;"")</f>
        <v>7</v>
      </c>
      <c r="E1000" s="114" t="str">
        <f aca="false">IF(OR(C1000="",P1000=""),"",IF(INDEX('CARNET DE SOUDURE'!$U$7:$U$3006,P1000)="","",INDEX('CARNET DE SOUDURE'!$U$7:$U$3006,P1000)))</f>
        <v/>
      </c>
      <c r="F1000" s="82" t="str">
        <f aca="false">IF(OR(C1000="",P1000=""),"",INDEX('CARNET DE SOUDURE'!$AP$7:$AP$3006,P1000))</f>
        <v/>
      </c>
      <c r="G1000" s="82" t="str">
        <f aca="false">IF(C1000="","",IF(P1000="","NJ INCONNU",INDEX('CARNET DE SOUDURE'!$AQ$7:$AQ$3006,P1000)))</f>
        <v>À SOUDER</v>
      </c>
      <c r="H1000" s="82" t="str">
        <f aca="false">IF(C1000="","",IF(G1000="ACCEPTÉ","OUI","NON"))</f>
        <v>NON</v>
      </c>
      <c r="I1000" s="83"/>
      <c r="J1000" s="80"/>
      <c r="K1000" s="81"/>
      <c r="L1000" s="81"/>
      <c r="M1000" s="81"/>
      <c r="N1000" s="84" t="str">
        <f aca="false">IF(C1000="","",IF(P1000="","NJ INCONNU",IF(I1000="",IF(H1000="OUI","À ENROBER",IF(G1000="À SOUDER","NON SOUDÉ","EN ATTENTE RT")),IF(L1000="R","À REPRENDRE",IF(H1000&lt;&gt;"OUI","⚠ ENROBÉ AVANT ACCEPTATION RT","ENROBÉ")))))</f>
        <v>NON SOUDÉ</v>
      </c>
      <c r="O1000" s="80"/>
      <c r="P1000" s="82" t="n">
        <f aca="false">IF(C1000="","",IFERROR(MATCH(Q1000,'CARNET DE SOUDURE'!$AW$7:$AW$3006,0),""))</f>
        <v>994</v>
      </c>
      <c r="Q1000" s="82" t="str">
        <f aca="false">IF(C1000="","",B1000&amp;"|"&amp;C1000)</f>
        <v>MFD-ISW → MFD-CPF|JN°887</v>
      </c>
    </row>
    <row r="1001" customFormat="false" ht="74.6" hidden="false" customHeight="false" outlineLevel="0" collapsed="false">
      <c r="A1001" s="82" t="n">
        <f aca="false">IF(C1001="","",ROW()-6)</f>
        <v>995</v>
      </c>
      <c r="B1001" s="80" t="s">
        <v>110</v>
      </c>
      <c r="C1001" s="113" t="s">
        <v>1178</v>
      </c>
      <c r="D1001" s="82" t="str">
        <f aca="false">IF(OR(C1001="",P1001=""),"",INDEX('CARNET DE SOUDURE'!$D$7:$D$3006,P1001)&amp;"")</f>
        <v>7</v>
      </c>
      <c r="E1001" s="114" t="str">
        <f aca="false">IF(OR(C1001="",P1001=""),"",IF(INDEX('CARNET DE SOUDURE'!$U$7:$U$3006,P1001)="","",INDEX('CARNET DE SOUDURE'!$U$7:$U$3006,P1001)))</f>
        <v/>
      </c>
      <c r="F1001" s="82" t="str">
        <f aca="false">IF(OR(C1001="",P1001=""),"",INDEX('CARNET DE SOUDURE'!$AP$7:$AP$3006,P1001))</f>
        <v/>
      </c>
      <c r="G1001" s="82" t="str">
        <f aca="false">IF(C1001="","",IF(P1001="","NJ INCONNU",INDEX('CARNET DE SOUDURE'!$AQ$7:$AQ$3006,P1001)))</f>
        <v>À SOUDER</v>
      </c>
      <c r="H1001" s="82" t="str">
        <f aca="false">IF(C1001="","",IF(G1001="ACCEPTÉ","OUI","NON"))</f>
        <v>NON</v>
      </c>
      <c r="I1001" s="83"/>
      <c r="J1001" s="80"/>
      <c r="K1001" s="81"/>
      <c r="L1001" s="81"/>
      <c r="M1001" s="81"/>
      <c r="N1001" s="84" t="str">
        <f aca="false">IF(C1001="","",IF(P1001="","NJ INCONNU",IF(I1001="",IF(H1001="OUI","À ENROBER",IF(G1001="À SOUDER","NON SOUDÉ","EN ATTENTE RT")),IF(L1001="R","À REPRENDRE",IF(H1001&lt;&gt;"OUI","⚠ ENROBÉ AVANT ACCEPTATION RT","ENROBÉ")))))</f>
        <v>NON SOUDÉ</v>
      </c>
      <c r="O1001" s="80"/>
      <c r="P1001" s="82" t="n">
        <f aca="false">IF(C1001="","",IFERROR(MATCH(Q1001,'CARNET DE SOUDURE'!$AW$7:$AW$3006,0),""))</f>
        <v>995</v>
      </c>
      <c r="Q1001" s="82" t="str">
        <f aca="false">IF(C1001="","",B1001&amp;"|"&amp;C1001)</f>
        <v>MFD-ISW → MFD-CPF|JN°888</v>
      </c>
    </row>
    <row r="1002" customFormat="false" ht="74.6" hidden="false" customHeight="false" outlineLevel="0" collapsed="false">
      <c r="A1002" s="82" t="n">
        <f aca="false">IF(C1002="","",ROW()-6)</f>
        <v>996</v>
      </c>
      <c r="B1002" s="80" t="s">
        <v>110</v>
      </c>
      <c r="C1002" s="113" t="s">
        <v>1179</v>
      </c>
      <c r="D1002" s="82" t="str">
        <f aca="false">IF(OR(C1002="",P1002=""),"",INDEX('CARNET DE SOUDURE'!$D$7:$D$3006,P1002)&amp;"")</f>
        <v>7</v>
      </c>
      <c r="E1002" s="114" t="str">
        <f aca="false">IF(OR(C1002="",P1002=""),"",IF(INDEX('CARNET DE SOUDURE'!$U$7:$U$3006,P1002)="","",INDEX('CARNET DE SOUDURE'!$U$7:$U$3006,P1002)))</f>
        <v/>
      </c>
      <c r="F1002" s="82" t="str">
        <f aca="false">IF(OR(C1002="",P1002=""),"",INDEX('CARNET DE SOUDURE'!$AP$7:$AP$3006,P1002))</f>
        <v/>
      </c>
      <c r="G1002" s="82" t="str">
        <f aca="false">IF(C1002="","",IF(P1002="","NJ INCONNU",INDEX('CARNET DE SOUDURE'!$AQ$7:$AQ$3006,P1002)))</f>
        <v>À SOUDER</v>
      </c>
      <c r="H1002" s="82" t="str">
        <f aca="false">IF(C1002="","",IF(G1002="ACCEPTÉ","OUI","NON"))</f>
        <v>NON</v>
      </c>
      <c r="I1002" s="83"/>
      <c r="J1002" s="80"/>
      <c r="K1002" s="81"/>
      <c r="L1002" s="81"/>
      <c r="M1002" s="81"/>
      <c r="N1002" s="84" t="str">
        <f aca="false">IF(C1002="","",IF(P1002="","NJ INCONNU",IF(I1002="",IF(H1002="OUI","À ENROBER",IF(G1002="À SOUDER","NON SOUDÉ","EN ATTENTE RT")),IF(L1002="R","À REPRENDRE",IF(H1002&lt;&gt;"OUI","⚠ ENROBÉ AVANT ACCEPTATION RT","ENROBÉ")))))</f>
        <v>NON SOUDÉ</v>
      </c>
      <c r="O1002" s="80"/>
      <c r="P1002" s="82" t="n">
        <f aca="false">IF(C1002="","",IFERROR(MATCH(Q1002,'CARNET DE SOUDURE'!$AW$7:$AW$3006,0),""))</f>
        <v>996</v>
      </c>
      <c r="Q1002" s="82" t="str">
        <f aca="false">IF(C1002="","",B1002&amp;"|"&amp;C1002)</f>
        <v>MFD-ISW → MFD-CPF|JN°889</v>
      </c>
    </row>
    <row r="1003" customFormat="false" ht="74.6" hidden="false" customHeight="false" outlineLevel="0" collapsed="false">
      <c r="A1003" s="82" t="n">
        <f aca="false">IF(C1003="","",ROW()-6)</f>
        <v>997</v>
      </c>
      <c r="B1003" s="80" t="s">
        <v>110</v>
      </c>
      <c r="C1003" s="113" t="s">
        <v>1180</v>
      </c>
      <c r="D1003" s="82" t="str">
        <f aca="false">IF(OR(C1003="",P1003=""),"",INDEX('CARNET DE SOUDURE'!$D$7:$D$3006,P1003)&amp;"")</f>
        <v>7</v>
      </c>
      <c r="E1003" s="114" t="str">
        <f aca="false">IF(OR(C1003="",P1003=""),"",IF(INDEX('CARNET DE SOUDURE'!$U$7:$U$3006,P1003)="","",INDEX('CARNET DE SOUDURE'!$U$7:$U$3006,P1003)))</f>
        <v/>
      </c>
      <c r="F1003" s="82" t="str">
        <f aca="false">IF(OR(C1003="",P1003=""),"",INDEX('CARNET DE SOUDURE'!$AP$7:$AP$3006,P1003))</f>
        <v/>
      </c>
      <c r="G1003" s="82" t="str">
        <f aca="false">IF(C1003="","",IF(P1003="","NJ INCONNU",INDEX('CARNET DE SOUDURE'!$AQ$7:$AQ$3006,P1003)))</f>
        <v>À SOUDER</v>
      </c>
      <c r="H1003" s="82" t="str">
        <f aca="false">IF(C1003="","",IF(G1003="ACCEPTÉ","OUI","NON"))</f>
        <v>NON</v>
      </c>
      <c r="I1003" s="83"/>
      <c r="J1003" s="80"/>
      <c r="K1003" s="81"/>
      <c r="L1003" s="81"/>
      <c r="M1003" s="81"/>
      <c r="N1003" s="84" t="str">
        <f aca="false">IF(C1003="","",IF(P1003="","NJ INCONNU",IF(I1003="",IF(H1003="OUI","À ENROBER",IF(G1003="À SOUDER","NON SOUDÉ","EN ATTENTE RT")),IF(L1003="R","À REPRENDRE",IF(H1003&lt;&gt;"OUI","⚠ ENROBÉ AVANT ACCEPTATION RT","ENROBÉ")))))</f>
        <v>NON SOUDÉ</v>
      </c>
      <c r="O1003" s="80"/>
      <c r="P1003" s="82" t="n">
        <f aca="false">IF(C1003="","",IFERROR(MATCH(Q1003,'CARNET DE SOUDURE'!$AW$7:$AW$3006,0),""))</f>
        <v>997</v>
      </c>
      <c r="Q1003" s="82" t="str">
        <f aca="false">IF(C1003="","",B1003&amp;"|"&amp;C1003)</f>
        <v>MFD-ISW → MFD-CPF|JN°890</v>
      </c>
    </row>
    <row r="1004" customFormat="false" ht="74.6" hidden="false" customHeight="false" outlineLevel="0" collapsed="false">
      <c r="A1004" s="82" t="n">
        <f aca="false">IF(C1004="","",ROW()-6)</f>
        <v>998</v>
      </c>
      <c r="B1004" s="80" t="s">
        <v>110</v>
      </c>
      <c r="C1004" s="113" t="s">
        <v>1181</v>
      </c>
      <c r="D1004" s="82" t="str">
        <f aca="false">IF(OR(C1004="",P1004=""),"",INDEX('CARNET DE SOUDURE'!$D$7:$D$3006,P1004)&amp;"")</f>
        <v>7</v>
      </c>
      <c r="E1004" s="114" t="str">
        <f aca="false">IF(OR(C1004="",P1004=""),"",IF(INDEX('CARNET DE SOUDURE'!$U$7:$U$3006,P1004)="","",INDEX('CARNET DE SOUDURE'!$U$7:$U$3006,P1004)))</f>
        <v/>
      </c>
      <c r="F1004" s="82" t="str">
        <f aca="false">IF(OR(C1004="",P1004=""),"",INDEX('CARNET DE SOUDURE'!$AP$7:$AP$3006,P1004))</f>
        <v/>
      </c>
      <c r="G1004" s="82" t="str">
        <f aca="false">IF(C1004="","",IF(P1004="","NJ INCONNU",INDEX('CARNET DE SOUDURE'!$AQ$7:$AQ$3006,P1004)))</f>
        <v>À SOUDER</v>
      </c>
      <c r="H1004" s="82" t="str">
        <f aca="false">IF(C1004="","",IF(G1004="ACCEPTÉ","OUI","NON"))</f>
        <v>NON</v>
      </c>
      <c r="I1004" s="83"/>
      <c r="J1004" s="80"/>
      <c r="K1004" s="81"/>
      <c r="L1004" s="81"/>
      <c r="M1004" s="81"/>
      <c r="N1004" s="84" t="str">
        <f aca="false">IF(C1004="","",IF(P1004="","NJ INCONNU",IF(I1004="",IF(H1004="OUI","À ENROBER",IF(G1004="À SOUDER","NON SOUDÉ","EN ATTENTE RT")),IF(L1004="R","À REPRENDRE",IF(H1004&lt;&gt;"OUI","⚠ ENROBÉ AVANT ACCEPTATION RT","ENROBÉ")))))</f>
        <v>NON SOUDÉ</v>
      </c>
      <c r="O1004" s="80"/>
      <c r="P1004" s="82" t="n">
        <f aca="false">IF(C1004="","",IFERROR(MATCH(Q1004,'CARNET DE SOUDURE'!$AW$7:$AW$3006,0),""))</f>
        <v>998</v>
      </c>
      <c r="Q1004" s="82" t="str">
        <f aca="false">IF(C1004="","",B1004&amp;"|"&amp;C1004)</f>
        <v>MFD-ISW → MFD-CPF|JN°891</v>
      </c>
    </row>
    <row r="1005" customFormat="false" ht="74.6" hidden="false" customHeight="false" outlineLevel="0" collapsed="false">
      <c r="A1005" s="82" t="n">
        <f aca="false">IF(C1005="","",ROW()-6)</f>
        <v>999</v>
      </c>
      <c r="B1005" s="80" t="s">
        <v>110</v>
      </c>
      <c r="C1005" s="113" t="s">
        <v>1182</v>
      </c>
      <c r="D1005" s="82" t="str">
        <f aca="false">IF(OR(C1005="",P1005=""),"",INDEX('CARNET DE SOUDURE'!$D$7:$D$3006,P1005)&amp;"")</f>
        <v>7</v>
      </c>
      <c r="E1005" s="114" t="str">
        <f aca="false">IF(OR(C1005="",P1005=""),"",IF(INDEX('CARNET DE SOUDURE'!$U$7:$U$3006,P1005)="","",INDEX('CARNET DE SOUDURE'!$U$7:$U$3006,P1005)))</f>
        <v/>
      </c>
      <c r="F1005" s="82" t="str">
        <f aca="false">IF(OR(C1005="",P1005=""),"",INDEX('CARNET DE SOUDURE'!$AP$7:$AP$3006,P1005))</f>
        <v/>
      </c>
      <c r="G1005" s="82" t="str">
        <f aca="false">IF(C1005="","",IF(P1005="","NJ INCONNU",INDEX('CARNET DE SOUDURE'!$AQ$7:$AQ$3006,P1005)))</f>
        <v>À SOUDER</v>
      </c>
      <c r="H1005" s="82" t="str">
        <f aca="false">IF(C1005="","",IF(G1005="ACCEPTÉ","OUI","NON"))</f>
        <v>NON</v>
      </c>
      <c r="I1005" s="83"/>
      <c r="J1005" s="80"/>
      <c r="K1005" s="81"/>
      <c r="L1005" s="81"/>
      <c r="M1005" s="81"/>
      <c r="N1005" s="84" t="str">
        <f aca="false">IF(C1005="","",IF(P1005="","NJ INCONNU",IF(I1005="",IF(H1005="OUI","À ENROBER",IF(G1005="À SOUDER","NON SOUDÉ","EN ATTENTE RT")),IF(L1005="R","À REPRENDRE",IF(H1005&lt;&gt;"OUI","⚠ ENROBÉ AVANT ACCEPTATION RT","ENROBÉ")))))</f>
        <v>NON SOUDÉ</v>
      </c>
      <c r="O1005" s="80"/>
      <c r="P1005" s="82" t="n">
        <f aca="false">IF(C1005="","",IFERROR(MATCH(Q1005,'CARNET DE SOUDURE'!$AW$7:$AW$3006,0),""))</f>
        <v>999</v>
      </c>
      <c r="Q1005" s="82" t="str">
        <f aca="false">IF(C1005="","",B1005&amp;"|"&amp;C1005)</f>
        <v>MFD-ISW → MFD-CPF|JN°892</v>
      </c>
    </row>
    <row r="1006" customFormat="false" ht="74.6" hidden="false" customHeight="false" outlineLevel="0" collapsed="false">
      <c r="A1006" s="82" t="n">
        <f aca="false">IF(C1006="","",ROW()-6)</f>
        <v>1000</v>
      </c>
      <c r="B1006" s="80" t="s">
        <v>110</v>
      </c>
      <c r="C1006" s="113" t="s">
        <v>1183</v>
      </c>
      <c r="D1006" s="82" t="str">
        <f aca="false">IF(OR(C1006="",P1006=""),"",INDEX('CARNET DE SOUDURE'!$D$7:$D$3006,P1006)&amp;"")</f>
        <v>7</v>
      </c>
      <c r="E1006" s="114" t="str">
        <f aca="false">IF(OR(C1006="",P1006=""),"",IF(INDEX('CARNET DE SOUDURE'!$U$7:$U$3006,P1006)="","",INDEX('CARNET DE SOUDURE'!$U$7:$U$3006,P1006)))</f>
        <v/>
      </c>
      <c r="F1006" s="82" t="str">
        <f aca="false">IF(OR(C1006="",P1006=""),"",INDEX('CARNET DE SOUDURE'!$AP$7:$AP$3006,P1006))</f>
        <v/>
      </c>
      <c r="G1006" s="82" t="str">
        <f aca="false">IF(C1006="","",IF(P1006="","NJ INCONNU",INDEX('CARNET DE SOUDURE'!$AQ$7:$AQ$3006,P1006)))</f>
        <v>À SOUDER</v>
      </c>
      <c r="H1006" s="82" t="str">
        <f aca="false">IF(C1006="","",IF(G1006="ACCEPTÉ","OUI","NON"))</f>
        <v>NON</v>
      </c>
      <c r="I1006" s="83"/>
      <c r="J1006" s="80"/>
      <c r="K1006" s="81"/>
      <c r="L1006" s="81"/>
      <c r="M1006" s="81"/>
      <c r="N1006" s="84" t="str">
        <f aca="false">IF(C1006="","",IF(P1006="","NJ INCONNU",IF(I1006="",IF(H1006="OUI","À ENROBER",IF(G1006="À SOUDER","NON SOUDÉ","EN ATTENTE RT")),IF(L1006="R","À REPRENDRE",IF(H1006&lt;&gt;"OUI","⚠ ENROBÉ AVANT ACCEPTATION RT","ENROBÉ")))))</f>
        <v>NON SOUDÉ</v>
      </c>
      <c r="O1006" s="80"/>
      <c r="P1006" s="82" t="n">
        <f aca="false">IF(C1006="","",IFERROR(MATCH(Q1006,'CARNET DE SOUDURE'!$AW$7:$AW$3006,0),""))</f>
        <v>1000</v>
      </c>
      <c r="Q1006" s="82" t="str">
        <f aca="false">IF(C1006="","",B1006&amp;"|"&amp;C1006)</f>
        <v>MFD-ISW → MFD-CPF|JN°893</v>
      </c>
    </row>
    <row r="1007" customFormat="false" ht="74.6" hidden="false" customHeight="false" outlineLevel="0" collapsed="false">
      <c r="A1007" s="82" t="n">
        <f aca="false">IF(C1007="","",ROW()-6)</f>
        <v>1001</v>
      </c>
      <c r="B1007" s="80" t="s">
        <v>110</v>
      </c>
      <c r="C1007" s="113" t="s">
        <v>1184</v>
      </c>
      <c r="D1007" s="82" t="str">
        <f aca="false">IF(OR(C1007="",P1007=""),"",INDEX('CARNET DE SOUDURE'!$D$7:$D$3006,P1007)&amp;"")</f>
        <v>7</v>
      </c>
      <c r="E1007" s="114" t="str">
        <f aca="false">IF(OR(C1007="",P1007=""),"",IF(INDEX('CARNET DE SOUDURE'!$U$7:$U$3006,P1007)="","",INDEX('CARNET DE SOUDURE'!$U$7:$U$3006,P1007)))</f>
        <v/>
      </c>
      <c r="F1007" s="82" t="str">
        <f aca="false">IF(OR(C1007="",P1007=""),"",INDEX('CARNET DE SOUDURE'!$AP$7:$AP$3006,P1007))</f>
        <v/>
      </c>
      <c r="G1007" s="82" t="str">
        <f aca="false">IF(C1007="","",IF(P1007="","NJ INCONNU",INDEX('CARNET DE SOUDURE'!$AQ$7:$AQ$3006,P1007)))</f>
        <v>À SOUDER</v>
      </c>
      <c r="H1007" s="82" t="str">
        <f aca="false">IF(C1007="","",IF(G1007="ACCEPTÉ","OUI","NON"))</f>
        <v>NON</v>
      </c>
      <c r="I1007" s="83"/>
      <c r="J1007" s="80"/>
      <c r="K1007" s="81"/>
      <c r="L1007" s="81"/>
      <c r="M1007" s="81"/>
      <c r="N1007" s="84" t="str">
        <f aca="false">IF(C1007="","",IF(P1007="","NJ INCONNU",IF(I1007="",IF(H1007="OUI","À ENROBER",IF(G1007="À SOUDER","NON SOUDÉ","EN ATTENTE RT")),IF(L1007="R","À REPRENDRE",IF(H1007&lt;&gt;"OUI","⚠ ENROBÉ AVANT ACCEPTATION RT","ENROBÉ")))))</f>
        <v>NON SOUDÉ</v>
      </c>
      <c r="O1007" s="80"/>
      <c r="P1007" s="82" t="n">
        <f aca="false">IF(C1007="","",IFERROR(MATCH(Q1007,'CARNET DE SOUDURE'!$AW$7:$AW$3006,0),""))</f>
        <v>1001</v>
      </c>
      <c r="Q1007" s="82" t="str">
        <f aca="false">IF(C1007="","",B1007&amp;"|"&amp;C1007)</f>
        <v>MFD-ISW → MFD-CPF|JN°894</v>
      </c>
    </row>
    <row r="1008" customFormat="false" ht="74.6" hidden="false" customHeight="false" outlineLevel="0" collapsed="false">
      <c r="A1008" s="82" t="n">
        <f aca="false">IF(C1008="","",ROW()-6)</f>
        <v>1002</v>
      </c>
      <c r="B1008" s="80" t="s">
        <v>110</v>
      </c>
      <c r="C1008" s="113" t="s">
        <v>1185</v>
      </c>
      <c r="D1008" s="82" t="str">
        <f aca="false">IF(OR(C1008="",P1008=""),"",INDEX('CARNET DE SOUDURE'!$D$7:$D$3006,P1008)&amp;"")</f>
        <v>7</v>
      </c>
      <c r="E1008" s="114" t="str">
        <f aca="false">IF(OR(C1008="",P1008=""),"",IF(INDEX('CARNET DE SOUDURE'!$U$7:$U$3006,P1008)="","",INDEX('CARNET DE SOUDURE'!$U$7:$U$3006,P1008)))</f>
        <v/>
      </c>
      <c r="F1008" s="82" t="str">
        <f aca="false">IF(OR(C1008="",P1008=""),"",INDEX('CARNET DE SOUDURE'!$AP$7:$AP$3006,P1008))</f>
        <v/>
      </c>
      <c r="G1008" s="82" t="str">
        <f aca="false">IF(C1008="","",IF(P1008="","NJ INCONNU",INDEX('CARNET DE SOUDURE'!$AQ$7:$AQ$3006,P1008)))</f>
        <v>À SOUDER</v>
      </c>
      <c r="H1008" s="82" t="str">
        <f aca="false">IF(C1008="","",IF(G1008="ACCEPTÉ","OUI","NON"))</f>
        <v>NON</v>
      </c>
      <c r="I1008" s="83"/>
      <c r="J1008" s="80"/>
      <c r="K1008" s="81"/>
      <c r="L1008" s="81"/>
      <c r="M1008" s="81"/>
      <c r="N1008" s="84" t="str">
        <f aca="false">IF(C1008="","",IF(P1008="","NJ INCONNU",IF(I1008="",IF(H1008="OUI","À ENROBER",IF(G1008="À SOUDER","NON SOUDÉ","EN ATTENTE RT")),IF(L1008="R","À REPRENDRE",IF(H1008&lt;&gt;"OUI","⚠ ENROBÉ AVANT ACCEPTATION RT","ENROBÉ")))))</f>
        <v>NON SOUDÉ</v>
      </c>
      <c r="O1008" s="80"/>
      <c r="P1008" s="82" t="n">
        <f aca="false">IF(C1008="","",IFERROR(MATCH(Q1008,'CARNET DE SOUDURE'!$AW$7:$AW$3006,0),""))</f>
        <v>1002</v>
      </c>
      <c r="Q1008" s="82" t="str">
        <f aca="false">IF(C1008="","",B1008&amp;"|"&amp;C1008)</f>
        <v>MFD-ISW → MFD-CPF|JN°895</v>
      </c>
    </row>
    <row r="1009" customFormat="false" ht="74.6" hidden="false" customHeight="false" outlineLevel="0" collapsed="false">
      <c r="A1009" s="82" t="n">
        <f aca="false">IF(C1009="","",ROW()-6)</f>
        <v>1003</v>
      </c>
      <c r="B1009" s="80" t="s">
        <v>110</v>
      </c>
      <c r="C1009" s="113" t="s">
        <v>1186</v>
      </c>
      <c r="D1009" s="82" t="str">
        <f aca="false">IF(OR(C1009="",P1009=""),"",INDEX('CARNET DE SOUDURE'!$D$7:$D$3006,P1009)&amp;"")</f>
        <v>7</v>
      </c>
      <c r="E1009" s="114" t="str">
        <f aca="false">IF(OR(C1009="",P1009=""),"",IF(INDEX('CARNET DE SOUDURE'!$U$7:$U$3006,P1009)="","",INDEX('CARNET DE SOUDURE'!$U$7:$U$3006,P1009)))</f>
        <v/>
      </c>
      <c r="F1009" s="82" t="str">
        <f aca="false">IF(OR(C1009="",P1009=""),"",INDEX('CARNET DE SOUDURE'!$AP$7:$AP$3006,P1009))</f>
        <v/>
      </c>
      <c r="G1009" s="82" t="str">
        <f aca="false">IF(C1009="","",IF(P1009="","NJ INCONNU",INDEX('CARNET DE SOUDURE'!$AQ$7:$AQ$3006,P1009)))</f>
        <v>À SOUDER</v>
      </c>
      <c r="H1009" s="82" t="str">
        <f aca="false">IF(C1009="","",IF(G1009="ACCEPTÉ","OUI","NON"))</f>
        <v>NON</v>
      </c>
      <c r="I1009" s="83"/>
      <c r="J1009" s="80"/>
      <c r="K1009" s="81"/>
      <c r="L1009" s="81"/>
      <c r="M1009" s="81"/>
      <c r="N1009" s="84" t="str">
        <f aca="false">IF(C1009="","",IF(P1009="","NJ INCONNU",IF(I1009="",IF(H1009="OUI","À ENROBER",IF(G1009="À SOUDER","NON SOUDÉ","EN ATTENTE RT")),IF(L1009="R","À REPRENDRE",IF(H1009&lt;&gt;"OUI","⚠ ENROBÉ AVANT ACCEPTATION RT","ENROBÉ")))))</f>
        <v>NON SOUDÉ</v>
      </c>
      <c r="O1009" s="80"/>
      <c r="P1009" s="82" t="n">
        <f aca="false">IF(C1009="","",IFERROR(MATCH(Q1009,'CARNET DE SOUDURE'!$AW$7:$AW$3006,0),""))</f>
        <v>1003</v>
      </c>
      <c r="Q1009" s="82" t="str">
        <f aca="false">IF(C1009="","",B1009&amp;"|"&amp;C1009)</f>
        <v>MFD-ISW → MFD-CPF|JN°896</v>
      </c>
    </row>
    <row r="1010" customFormat="false" ht="74.6" hidden="false" customHeight="false" outlineLevel="0" collapsed="false">
      <c r="A1010" s="82" t="n">
        <f aca="false">IF(C1010="","",ROW()-6)</f>
        <v>1004</v>
      </c>
      <c r="B1010" s="80" t="s">
        <v>110</v>
      </c>
      <c r="C1010" s="113" t="s">
        <v>1187</v>
      </c>
      <c r="D1010" s="82" t="str">
        <f aca="false">IF(OR(C1010="",P1010=""),"",INDEX('CARNET DE SOUDURE'!$D$7:$D$3006,P1010)&amp;"")</f>
        <v>7</v>
      </c>
      <c r="E1010" s="114" t="str">
        <f aca="false">IF(OR(C1010="",P1010=""),"",IF(INDEX('CARNET DE SOUDURE'!$U$7:$U$3006,P1010)="","",INDEX('CARNET DE SOUDURE'!$U$7:$U$3006,P1010)))</f>
        <v/>
      </c>
      <c r="F1010" s="82" t="str">
        <f aca="false">IF(OR(C1010="",P1010=""),"",INDEX('CARNET DE SOUDURE'!$AP$7:$AP$3006,P1010))</f>
        <v/>
      </c>
      <c r="G1010" s="82" t="str">
        <f aca="false">IF(C1010="","",IF(P1010="","NJ INCONNU",INDEX('CARNET DE SOUDURE'!$AQ$7:$AQ$3006,P1010)))</f>
        <v>À SOUDER</v>
      </c>
      <c r="H1010" s="82" t="str">
        <f aca="false">IF(C1010="","",IF(G1010="ACCEPTÉ","OUI","NON"))</f>
        <v>NON</v>
      </c>
      <c r="I1010" s="83"/>
      <c r="J1010" s="80"/>
      <c r="K1010" s="81"/>
      <c r="L1010" s="81"/>
      <c r="M1010" s="81"/>
      <c r="N1010" s="84" t="str">
        <f aca="false">IF(C1010="","",IF(P1010="","NJ INCONNU",IF(I1010="",IF(H1010="OUI","À ENROBER",IF(G1010="À SOUDER","NON SOUDÉ","EN ATTENTE RT")),IF(L1010="R","À REPRENDRE",IF(H1010&lt;&gt;"OUI","⚠ ENROBÉ AVANT ACCEPTATION RT","ENROBÉ")))))</f>
        <v>NON SOUDÉ</v>
      </c>
      <c r="O1010" s="80"/>
      <c r="P1010" s="82" t="n">
        <f aca="false">IF(C1010="","",IFERROR(MATCH(Q1010,'CARNET DE SOUDURE'!$AW$7:$AW$3006,0),""))</f>
        <v>1004</v>
      </c>
      <c r="Q1010" s="82" t="str">
        <f aca="false">IF(C1010="","",B1010&amp;"|"&amp;C1010)</f>
        <v>MFD-ISW → MFD-CPF|JN°897</v>
      </c>
    </row>
    <row r="1011" customFormat="false" ht="74.6" hidden="false" customHeight="false" outlineLevel="0" collapsed="false">
      <c r="A1011" s="82" t="n">
        <f aca="false">IF(C1011="","",ROW()-6)</f>
        <v>1005</v>
      </c>
      <c r="B1011" s="80" t="s">
        <v>110</v>
      </c>
      <c r="C1011" s="113" t="s">
        <v>1188</v>
      </c>
      <c r="D1011" s="82" t="str">
        <f aca="false">IF(OR(C1011="",P1011=""),"",INDEX('CARNET DE SOUDURE'!$D$7:$D$3006,P1011)&amp;"")</f>
        <v>7</v>
      </c>
      <c r="E1011" s="114" t="str">
        <f aca="false">IF(OR(C1011="",P1011=""),"",IF(INDEX('CARNET DE SOUDURE'!$U$7:$U$3006,P1011)="","",INDEX('CARNET DE SOUDURE'!$U$7:$U$3006,P1011)))</f>
        <v/>
      </c>
      <c r="F1011" s="82" t="str">
        <f aca="false">IF(OR(C1011="",P1011=""),"",INDEX('CARNET DE SOUDURE'!$AP$7:$AP$3006,P1011))</f>
        <v/>
      </c>
      <c r="G1011" s="82" t="str">
        <f aca="false">IF(C1011="","",IF(P1011="","NJ INCONNU",INDEX('CARNET DE SOUDURE'!$AQ$7:$AQ$3006,P1011)))</f>
        <v>À SOUDER</v>
      </c>
      <c r="H1011" s="82" t="str">
        <f aca="false">IF(C1011="","",IF(G1011="ACCEPTÉ","OUI","NON"))</f>
        <v>NON</v>
      </c>
      <c r="I1011" s="83"/>
      <c r="J1011" s="80"/>
      <c r="K1011" s="81"/>
      <c r="L1011" s="81"/>
      <c r="M1011" s="81"/>
      <c r="N1011" s="84" t="str">
        <f aca="false">IF(C1011="","",IF(P1011="","NJ INCONNU",IF(I1011="",IF(H1011="OUI","À ENROBER",IF(G1011="À SOUDER","NON SOUDÉ","EN ATTENTE RT")),IF(L1011="R","À REPRENDRE",IF(H1011&lt;&gt;"OUI","⚠ ENROBÉ AVANT ACCEPTATION RT","ENROBÉ")))))</f>
        <v>NON SOUDÉ</v>
      </c>
      <c r="O1011" s="80"/>
      <c r="P1011" s="82" t="n">
        <f aca="false">IF(C1011="","",IFERROR(MATCH(Q1011,'CARNET DE SOUDURE'!$AW$7:$AW$3006,0),""))</f>
        <v>1005</v>
      </c>
      <c r="Q1011" s="82" t="str">
        <f aca="false">IF(C1011="","",B1011&amp;"|"&amp;C1011)</f>
        <v>MFD-ISW → MFD-CPF|JN°898</v>
      </c>
    </row>
    <row r="1012" customFormat="false" ht="74.6" hidden="false" customHeight="false" outlineLevel="0" collapsed="false">
      <c r="A1012" s="82" t="n">
        <f aca="false">IF(C1012="","",ROW()-6)</f>
        <v>1006</v>
      </c>
      <c r="B1012" s="80" t="s">
        <v>110</v>
      </c>
      <c r="C1012" s="113" t="s">
        <v>1189</v>
      </c>
      <c r="D1012" s="82" t="str">
        <f aca="false">IF(OR(C1012="",P1012=""),"",INDEX('CARNET DE SOUDURE'!$D$7:$D$3006,P1012)&amp;"")</f>
        <v>7</v>
      </c>
      <c r="E1012" s="114" t="str">
        <f aca="false">IF(OR(C1012="",P1012=""),"",IF(INDEX('CARNET DE SOUDURE'!$U$7:$U$3006,P1012)="","",INDEX('CARNET DE SOUDURE'!$U$7:$U$3006,P1012)))</f>
        <v/>
      </c>
      <c r="F1012" s="82" t="str">
        <f aca="false">IF(OR(C1012="",P1012=""),"",INDEX('CARNET DE SOUDURE'!$AP$7:$AP$3006,P1012))</f>
        <v/>
      </c>
      <c r="G1012" s="82" t="str">
        <f aca="false">IF(C1012="","",IF(P1012="","NJ INCONNU",INDEX('CARNET DE SOUDURE'!$AQ$7:$AQ$3006,P1012)))</f>
        <v>À SOUDER</v>
      </c>
      <c r="H1012" s="82" t="str">
        <f aca="false">IF(C1012="","",IF(G1012="ACCEPTÉ","OUI","NON"))</f>
        <v>NON</v>
      </c>
      <c r="I1012" s="83"/>
      <c r="J1012" s="80"/>
      <c r="K1012" s="81"/>
      <c r="L1012" s="81"/>
      <c r="M1012" s="81"/>
      <c r="N1012" s="84" t="str">
        <f aca="false">IF(C1012="","",IF(P1012="","NJ INCONNU",IF(I1012="",IF(H1012="OUI","À ENROBER",IF(G1012="À SOUDER","NON SOUDÉ","EN ATTENTE RT")),IF(L1012="R","À REPRENDRE",IF(H1012&lt;&gt;"OUI","⚠ ENROBÉ AVANT ACCEPTATION RT","ENROBÉ")))))</f>
        <v>NON SOUDÉ</v>
      </c>
      <c r="O1012" s="80"/>
      <c r="P1012" s="82" t="n">
        <f aca="false">IF(C1012="","",IFERROR(MATCH(Q1012,'CARNET DE SOUDURE'!$AW$7:$AW$3006,0),""))</f>
        <v>1006</v>
      </c>
      <c r="Q1012" s="82" t="str">
        <f aca="false">IF(C1012="","",B1012&amp;"|"&amp;C1012)</f>
        <v>MFD-ISW → MFD-CPF|JN°899</v>
      </c>
    </row>
    <row r="1013" customFormat="false" ht="74.6" hidden="false" customHeight="false" outlineLevel="0" collapsed="false">
      <c r="A1013" s="82" t="n">
        <f aca="false">IF(C1013="","",ROW()-6)</f>
        <v>1007</v>
      </c>
      <c r="B1013" s="80" t="s">
        <v>110</v>
      </c>
      <c r="C1013" s="113" t="s">
        <v>1190</v>
      </c>
      <c r="D1013" s="82" t="str">
        <f aca="false">IF(OR(C1013="",P1013=""),"",INDEX('CARNET DE SOUDURE'!$D$7:$D$3006,P1013)&amp;"")</f>
        <v>7</v>
      </c>
      <c r="E1013" s="114" t="str">
        <f aca="false">IF(OR(C1013="",P1013=""),"",IF(INDEX('CARNET DE SOUDURE'!$U$7:$U$3006,P1013)="","",INDEX('CARNET DE SOUDURE'!$U$7:$U$3006,P1013)))</f>
        <v/>
      </c>
      <c r="F1013" s="82" t="str">
        <f aca="false">IF(OR(C1013="",P1013=""),"",INDEX('CARNET DE SOUDURE'!$AP$7:$AP$3006,P1013))</f>
        <v/>
      </c>
      <c r="G1013" s="82" t="str">
        <f aca="false">IF(C1013="","",IF(P1013="","NJ INCONNU",INDEX('CARNET DE SOUDURE'!$AQ$7:$AQ$3006,P1013)))</f>
        <v>À SOUDER</v>
      </c>
      <c r="H1013" s="82" t="str">
        <f aca="false">IF(C1013="","",IF(G1013="ACCEPTÉ","OUI","NON"))</f>
        <v>NON</v>
      </c>
      <c r="I1013" s="83"/>
      <c r="J1013" s="80"/>
      <c r="K1013" s="81"/>
      <c r="L1013" s="81"/>
      <c r="M1013" s="81"/>
      <c r="N1013" s="84" t="str">
        <f aca="false">IF(C1013="","",IF(P1013="","NJ INCONNU",IF(I1013="",IF(H1013="OUI","À ENROBER",IF(G1013="À SOUDER","NON SOUDÉ","EN ATTENTE RT")),IF(L1013="R","À REPRENDRE",IF(H1013&lt;&gt;"OUI","⚠ ENROBÉ AVANT ACCEPTATION RT","ENROBÉ")))))</f>
        <v>NON SOUDÉ</v>
      </c>
      <c r="O1013" s="80"/>
      <c r="P1013" s="82" t="n">
        <f aca="false">IF(C1013="","",IFERROR(MATCH(Q1013,'CARNET DE SOUDURE'!$AW$7:$AW$3006,0),""))</f>
        <v>1007</v>
      </c>
      <c r="Q1013" s="82" t="str">
        <f aca="false">IF(C1013="","",B1013&amp;"|"&amp;C1013)</f>
        <v>MFD-ISW → MFD-CPF|JN°900</v>
      </c>
    </row>
    <row r="1014" customFormat="false" ht="74.6" hidden="false" customHeight="false" outlineLevel="0" collapsed="false">
      <c r="A1014" s="82" t="n">
        <f aca="false">IF(C1014="","",ROW()-6)</f>
        <v>1008</v>
      </c>
      <c r="B1014" s="80" t="s">
        <v>110</v>
      </c>
      <c r="C1014" s="113" t="s">
        <v>1191</v>
      </c>
      <c r="D1014" s="82" t="str">
        <f aca="false">IF(OR(C1014="",P1014=""),"",INDEX('CARNET DE SOUDURE'!$D$7:$D$3006,P1014)&amp;"")</f>
        <v>7</v>
      </c>
      <c r="E1014" s="114" t="str">
        <f aca="false">IF(OR(C1014="",P1014=""),"",IF(INDEX('CARNET DE SOUDURE'!$U$7:$U$3006,P1014)="","",INDEX('CARNET DE SOUDURE'!$U$7:$U$3006,P1014)))</f>
        <v/>
      </c>
      <c r="F1014" s="82" t="str">
        <f aca="false">IF(OR(C1014="",P1014=""),"",INDEX('CARNET DE SOUDURE'!$AP$7:$AP$3006,P1014))</f>
        <v/>
      </c>
      <c r="G1014" s="82" t="str">
        <f aca="false">IF(C1014="","",IF(P1014="","NJ INCONNU",INDEX('CARNET DE SOUDURE'!$AQ$7:$AQ$3006,P1014)))</f>
        <v>À SOUDER</v>
      </c>
      <c r="H1014" s="82" t="str">
        <f aca="false">IF(C1014="","",IF(G1014="ACCEPTÉ","OUI","NON"))</f>
        <v>NON</v>
      </c>
      <c r="I1014" s="83"/>
      <c r="J1014" s="80"/>
      <c r="K1014" s="81"/>
      <c r="L1014" s="81"/>
      <c r="M1014" s="81"/>
      <c r="N1014" s="84" t="str">
        <f aca="false">IF(C1014="","",IF(P1014="","NJ INCONNU",IF(I1014="",IF(H1014="OUI","À ENROBER",IF(G1014="À SOUDER","NON SOUDÉ","EN ATTENTE RT")),IF(L1014="R","À REPRENDRE",IF(H1014&lt;&gt;"OUI","⚠ ENROBÉ AVANT ACCEPTATION RT","ENROBÉ")))))</f>
        <v>NON SOUDÉ</v>
      </c>
      <c r="O1014" s="80"/>
      <c r="P1014" s="82" t="n">
        <f aca="false">IF(C1014="","",IFERROR(MATCH(Q1014,'CARNET DE SOUDURE'!$AW$7:$AW$3006,0),""))</f>
        <v>1008</v>
      </c>
      <c r="Q1014" s="82" t="str">
        <f aca="false">IF(C1014="","",B1014&amp;"|"&amp;C1014)</f>
        <v>MFD-ISW → MFD-CPF|JN°901</v>
      </c>
    </row>
    <row r="1015" customFormat="false" ht="74.6" hidden="false" customHeight="false" outlineLevel="0" collapsed="false">
      <c r="A1015" s="82" t="n">
        <f aca="false">IF(C1015="","",ROW()-6)</f>
        <v>1009</v>
      </c>
      <c r="B1015" s="80" t="s">
        <v>110</v>
      </c>
      <c r="C1015" s="113" t="s">
        <v>1192</v>
      </c>
      <c r="D1015" s="82" t="str">
        <f aca="false">IF(OR(C1015="",P1015=""),"",INDEX('CARNET DE SOUDURE'!$D$7:$D$3006,P1015)&amp;"")</f>
        <v>7</v>
      </c>
      <c r="E1015" s="114" t="str">
        <f aca="false">IF(OR(C1015="",P1015=""),"",IF(INDEX('CARNET DE SOUDURE'!$U$7:$U$3006,P1015)="","",INDEX('CARNET DE SOUDURE'!$U$7:$U$3006,P1015)))</f>
        <v/>
      </c>
      <c r="F1015" s="82" t="str">
        <f aca="false">IF(OR(C1015="",P1015=""),"",INDEX('CARNET DE SOUDURE'!$AP$7:$AP$3006,P1015))</f>
        <v/>
      </c>
      <c r="G1015" s="82" t="str">
        <f aca="false">IF(C1015="","",IF(P1015="","NJ INCONNU",INDEX('CARNET DE SOUDURE'!$AQ$7:$AQ$3006,P1015)))</f>
        <v>À SOUDER</v>
      </c>
      <c r="H1015" s="82" t="str">
        <f aca="false">IF(C1015="","",IF(G1015="ACCEPTÉ","OUI","NON"))</f>
        <v>NON</v>
      </c>
      <c r="I1015" s="83"/>
      <c r="J1015" s="80"/>
      <c r="K1015" s="81"/>
      <c r="L1015" s="81"/>
      <c r="M1015" s="81"/>
      <c r="N1015" s="84" t="str">
        <f aca="false">IF(C1015="","",IF(P1015="","NJ INCONNU",IF(I1015="",IF(H1015="OUI","À ENROBER",IF(G1015="À SOUDER","NON SOUDÉ","EN ATTENTE RT")),IF(L1015="R","À REPRENDRE",IF(H1015&lt;&gt;"OUI","⚠ ENROBÉ AVANT ACCEPTATION RT","ENROBÉ")))))</f>
        <v>NON SOUDÉ</v>
      </c>
      <c r="O1015" s="80"/>
      <c r="P1015" s="82" t="n">
        <f aca="false">IF(C1015="","",IFERROR(MATCH(Q1015,'CARNET DE SOUDURE'!$AW$7:$AW$3006,0),""))</f>
        <v>1009</v>
      </c>
      <c r="Q1015" s="82" t="str">
        <f aca="false">IF(C1015="","",B1015&amp;"|"&amp;C1015)</f>
        <v>MFD-ISW → MFD-CPF|JN°902</v>
      </c>
    </row>
    <row r="1016" customFormat="false" ht="74.6" hidden="false" customHeight="false" outlineLevel="0" collapsed="false">
      <c r="A1016" s="82" t="n">
        <f aca="false">IF(C1016="","",ROW()-6)</f>
        <v>1010</v>
      </c>
      <c r="B1016" s="80" t="s">
        <v>110</v>
      </c>
      <c r="C1016" s="113" t="s">
        <v>1193</v>
      </c>
      <c r="D1016" s="82" t="str">
        <f aca="false">IF(OR(C1016="",P1016=""),"",INDEX('CARNET DE SOUDURE'!$D$7:$D$3006,P1016)&amp;"")</f>
        <v>7</v>
      </c>
      <c r="E1016" s="114" t="str">
        <f aca="false">IF(OR(C1016="",P1016=""),"",IF(INDEX('CARNET DE SOUDURE'!$U$7:$U$3006,P1016)="","",INDEX('CARNET DE SOUDURE'!$U$7:$U$3006,P1016)))</f>
        <v/>
      </c>
      <c r="F1016" s="82" t="str">
        <f aca="false">IF(OR(C1016="",P1016=""),"",INDEX('CARNET DE SOUDURE'!$AP$7:$AP$3006,P1016))</f>
        <v/>
      </c>
      <c r="G1016" s="82" t="str">
        <f aca="false">IF(C1016="","",IF(P1016="","NJ INCONNU",INDEX('CARNET DE SOUDURE'!$AQ$7:$AQ$3006,P1016)))</f>
        <v>À SOUDER</v>
      </c>
      <c r="H1016" s="82" t="str">
        <f aca="false">IF(C1016="","",IF(G1016="ACCEPTÉ","OUI","NON"))</f>
        <v>NON</v>
      </c>
      <c r="I1016" s="83"/>
      <c r="J1016" s="80"/>
      <c r="K1016" s="81"/>
      <c r="L1016" s="81"/>
      <c r="M1016" s="81"/>
      <c r="N1016" s="84" t="str">
        <f aca="false">IF(C1016="","",IF(P1016="","NJ INCONNU",IF(I1016="",IF(H1016="OUI","À ENROBER",IF(G1016="À SOUDER","NON SOUDÉ","EN ATTENTE RT")),IF(L1016="R","À REPRENDRE",IF(H1016&lt;&gt;"OUI","⚠ ENROBÉ AVANT ACCEPTATION RT","ENROBÉ")))))</f>
        <v>NON SOUDÉ</v>
      </c>
      <c r="O1016" s="80"/>
      <c r="P1016" s="82" t="n">
        <f aca="false">IF(C1016="","",IFERROR(MATCH(Q1016,'CARNET DE SOUDURE'!$AW$7:$AW$3006,0),""))</f>
        <v>1010</v>
      </c>
      <c r="Q1016" s="82" t="str">
        <f aca="false">IF(C1016="","",B1016&amp;"|"&amp;C1016)</f>
        <v>MFD-ISW → MFD-CPF|JN°903</v>
      </c>
    </row>
    <row r="1017" customFormat="false" ht="74.6" hidden="false" customHeight="false" outlineLevel="0" collapsed="false">
      <c r="A1017" s="82" t="n">
        <f aca="false">IF(C1017="","",ROW()-6)</f>
        <v>1011</v>
      </c>
      <c r="B1017" s="80" t="s">
        <v>110</v>
      </c>
      <c r="C1017" s="113" t="s">
        <v>1194</v>
      </c>
      <c r="D1017" s="82" t="str">
        <f aca="false">IF(OR(C1017="",P1017=""),"",INDEX('CARNET DE SOUDURE'!$D$7:$D$3006,P1017)&amp;"")</f>
        <v>7</v>
      </c>
      <c r="E1017" s="114" t="str">
        <f aca="false">IF(OR(C1017="",P1017=""),"",IF(INDEX('CARNET DE SOUDURE'!$U$7:$U$3006,P1017)="","",INDEX('CARNET DE SOUDURE'!$U$7:$U$3006,P1017)))</f>
        <v/>
      </c>
      <c r="F1017" s="82" t="str">
        <f aca="false">IF(OR(C1017="",P1017=""),"",INDEX('CARNET DE SOUDURE'!$AP$7:$AP$3006,P1017))</f>
        <v/>
      </c>
      <c r="G1017" s="82" t="str">
        <f aca="false">IF(C1017="","",IF(P1017="","NJ INCONNU",INDEX('CARNET DE SOUDURE'!$AQ$7:$AQ$3006,P1017)))</f>
        <v>À SOUDER</v>
      </c>
      <c r="H1017" s="82" t="str">
        <f aca="false">IF(C1017="","",IF(G1017="ACCEPTÉ","OUI","NON"))</f>
        <v>NON</v>
      </c>
      <c r="I1017" s="83"/>
      <c r="J1017" s="80"/>
      <c r="K1017" s="81"/>
      <c r="L1017" s="81"/>
      <c r="M1017" s="81"/>
      <c r="N1017" s="84" t="str">
        <f aca="false">IF(C1017="","",IF(P1017="","NJ INCONNU",IF(I1017="",IF(H1017="OUI","À ENROBER",IF(G1017="À SOUDER","NON SOUDÉ","EN ATTENTE RT")),IF(L1017="R","À REPRENDRE",IF(H1017&lt;&gt;"OUI","⚠ ENROBÉ AVANT ACCEPTATION RT","ENROBÉ")))))</f>
        <v>NON SOUDÉ</v>
      </c>
      <c r="O1017" s="80"/>
      <c r="P1017" s="82" t="n">
        <f aca="false">IF(C1017="","",IFERROR(MATCH(Q1017,'CARNET DE SOUDURE'!$AW$7:$AW$3006,0),""))</f>
        <v>1011</v>
      </c>
      <c r="Q1017" s="82" t="str">
        <f aca="false">IF(C1017="","",B1017&amp;"|"&amp;C1017)</f>
        <v>MFD-ISW → MFD-CPF|JN°904</v>
      </c>
    </row>
    <row r="1018" customFormat="false" ht="74.6" hidden="false" customHeight="false" outlineLevel="0" collapsed="false">
      <c r="A1018" s="82" t="n">
        <f aca="false">IF(C1018="","",ROW()-6)</f>
        <v>1012</v>
      </c>
      <c r="B1018" s="80" t="s">
        <v>110</v>
      </c>
      <c r="C1018" s="113" t="s">
        <v>1195</v>
      </c>
      <c r="D1018" s="82" t="str">
        <f aca="false">IF(OR(C1018="",P1018=""),"",INDEX('CARNET DE SOUDURE'!$D$7:$D$3006,P1018)&amp;"")</f>
        <v>7</v>
      </c>
      <c r="E1018" s="114" t="str">
        <f aca="false">IF(OR(C1018="",P1018=""),"",IF(INDEX('CARNET DE SOUDURE'!$U$7:$U$3006,P1018)="","",INDEX('CARNET DE SOUDURE'!$U$7:$U$3006,P1018)))</f>
        <v/>
      </c>
      <c r="F1018" s="82" t="str">
        <f aca="false">IF(OR(C1018="",P1018=""),"",INDEX('CARNET DE SOUDURE'!$AP$7:$AP$3006,P1018))</f>
        <v/>
      </c>
      <c r="G1018" s="82" t="str">
        <f aca="false">IF(C1018="","",IF(P1018="","NJ INCONNU",INDEX('CARNET DE SOUDURE'!$AQ$7:$AQ$3006,P1018)))</f>
        <v>À SOUDER</v>
      </c>
      <c r="H1018" s="82" t="str">
        <f aca="false">IF(C1018="","",IF(G1018="ACCEPTÉ","OUI","NON"))</f>
        <v>NON</v>
      </c>
      <c r="I1018" s="83"/>
      <c r="J1018" s="80"/>
      <c r="K1018" s="81"/>
      <c r="L1018" s="81"/>
      <c r="M1018" s="81"/>
      <c r="N1018" s="84" t="str">
        <f aca="false">IF(C1018="","",IF(P1018="","NJ INCONNU",IF(I1018="",IF(H1018="OUI","À ENROBER",IF(G1018="À SOUDER","NON SOUDÉ","EN ATTENTE RT")),IF(L1018="R","À REPRENDRE",IF(H1018&lt;&gt;"OUI","⚠ ENROBÉ AVANT ACCEPTATION RT","ENROBÉ")))))</f>
        <v>NON SOUDÉ</v>
      </c>
      <c r="O1018" s="80"/>
      <c r="P1018" s="82" t="n">
        <f aca="false">IF(C1018="","",IFERROR(MATCH(Q1018,'CARNET DE SOUDURE'!$AW$7:$AW$3006,0),""))</f>
        <v>1012</v>
      </c>
      <c r="Q1018" s="82" t="str">
        <f aca="false">IF(C1018="","",B1018&amp;"|"&amp;C1018)</f>
        <v>MFD-ISW → MFD-CPF|JN°905</v>
      </c>
    </row>
    <row r="1019" customFormat="false" ht="74.6" hidden="false" customHeight="false" outlineLevel="0" collapsed="false">
      <c r="A1019" s="82" t="n">
        <f aca="false">IF(C1019="","",ROW()-6)</f>
        <v>1013</v>
      </c>
      <c r="B1019" s="80" t="s">
        <v>110</v>
      </c>
      <c r="C1019" s="113" t="s">
        <v>1196</v>
      </c>
      <c r="D1019" s="82" t="str">
        <f aca="false">IF(OR(C1019="",P1019=""),"",INDEX('CARNET DE SOUDURE'!$D$7:$D$3006,P1019)&amp;"")</f>
        <v>7</v>
      </c>
      <c r="E1019" s="114" t="str">
        <f aca="false">IF(OR(C1019="",P1019=""),"",IF(INDEX('CARNET DE SOUDURE'!$U$7:$U$3006,P1019)="","",INDEX('CARNET DE SOUDURE'!$U$7:$U$3006,P1019)))</f>
        <v/>
      </c>
      <c r="F1019" s="82" t="str">
        <f aca="false">IF(OR(C1019="",P1019=""),"",INDEX('CARNET DE SOUDURE'!$AP$7:$AP$3006,P1019))</f>
        <v/>
      </c>
      <c r="G1019" s="82" t="str">
        <f aca="false">IF(C1019="","",IF(P1019="","NJ INCONNU",INDEX('CARNET DE SOUDURE'!$AQ$7:$AQ$3006,P1019)))</f>
        <v>À SOUDER</v>
      </c>
      <c r="H1019" s="82" t="str">
        <f aca="false">IF(C1019="","",IF(G1019="ACCEPTÉ","OUI","NON"))</f>
        <v>NON</v>
      </c>
      <c r="I1019" s="83"/>
      <c r="J1019" s="80"/>
      <c r="K1019" s="81"/>
      <c r="L1019" s="81"/>
      <c r="M1019" s="81"/>
      <c r="N1019" s="84" t="str">
        <f aca="false">IF(C1019="","",IF(P1019="","NJ INCONNU",IF(I1019="",IF(H1019="OUI","À ENROBER",IF(G1019="À SOUDER","NON SOUDÉ","EN ATTENTE RT")),IF(L1019="R","À REPRENDRE",IF(H1019&lt;&gt;"OUI","⚠ ENROBÉ AVANT ACCEPTATION RT","ENROBÉ")))))</f>
        <v>NON SOUDÉ</v>
      </c>
      <c r="O1019" s="80"/>
      <c r="P1019" s="82" t="n">
        <f aca="false">IF(C1019="","",IFERROR(MATCH(Q1019,'CARNET DE SOUDURE'!$AW$7:$AW$3006,0),""))</f>
        <v>1013</v>
      </c>
      <c r="Q1019" s="82" t="str">
        <f aca="false">IF(C1019="","",B1019&amp;"|"&amp;C1019)</f>
        <v>MFD-ISW → MFD-CPF|JN°906</v>
      </c>
    </row>
    <row r="1020" customFormat="false" ht="74.6" hidden="false" customHeight="false" outlineLevel="0" collapsed="false">
      <c r="A1020" s="82" t="n">
        <f aca="false">IF(C1020="","",ROW()-6)</f>
        <v>1014</v>
      </c>
      <c r="B1020" s="80" t="s">
        <v>110</v>
      </c>
      <c r="C1020" s="113" t="s">
        <v>1197</v>
      </c>
      <c r="D1020" s="82" t="str">
        <f aca="false">IF(OR(C1020="",P1020=""),"",INDEX('CARNET DE SOUDURE'!$D$7:$D$3006,P1020)&amp;"")</f>
        <v>7</v>
      </c>
      <c r="E1020" s="114" t="str">
        <f aca="false">IF(OR(C1020="",P1020=""),"",IF(INDEX('CARNET DE SOUDURE'!$U$7:$U$3006,P1020)="","",INDEX('CARNET DE SOUDURE'!$U$7:$U$3006,P1020)))</f>
        <v/>
      </c>
      <c r="F1020" s="82" t="str">
        <f aca="false">IF(OR(C1020="",P1020=""),"",INDEX('CARNET DE SOUDURE'!$AP$7:$AP$3006,P1020))</f>
        <v/>
      </c>
      <c r="G1020" s="82" t="str">
        <f aca="false">IF(C1020="","",IF(P1020="","NJ INCONNU",INDEX('CARNET DE SOUDURE'!$AQ$7:$AQ$3006,P1020)))</f>
        <v>À SOUDER</v>
      </c>
      <c r="H1020" s="82" t="str">
        <f aca="false">IF(C1020="","",IF(G1020="ACCEPTÉ","OUI","NON"))</f>
        <v>NON</v>
      </c>
      <c r="I1020" s="83"/>
      <c r="J1020" s="80"/>
      <c r="K1020" s="81"/>
      <c r="L1020" s="81"/>
      <c r="M1020" s="81"/>
      <c r="N1020" s="84" t="str">
        <f aca="false">IF(C1020="","",IF(P1020="","NJ INCONNU",IF(I1020="",IF(H1020="OUI","À ENROBER",IF(G1020="À SOUDER","NON SOUDÉ","EN ATTENTE RT")),IF(L1020="R","À REPRENDRE",IF(H1020&lt;&gt;"OUI","⚠ ENROBÉ AVANT ACCEPTATION RT","ENROBÉ")))))</f>
        <v>NON SOUDÉ</v>
      </c>
      <c r="O1020" s="80"/>
      <c r="P1020" s="82" t="n">
        <f aca="false">IF(C1020="","",IFERROR(MATCH(Q1020,'CARNET DE SOUDURE'!$AW$7:$AW$3006,0),""))</f>
        <v>1014</v>
      </c>
      <c r="Q1020" s="82" t="str">
        <f aca="false">IF(C1020="","",B1020&amp;"|"&amp;C1020)</f>
        <v>MFD-ISW → MFD-CPF|JN°907</v>
      </c>
    </row>
    <row r="1021" customFormat="false" ht="74.6" hidden="false" customHeight="false" outlineLevel="0" collapsed="false">
      <c r="A1021" s="82" t="n">
        <f aca="false">IF(C1021="","",ROW()-6)</f>
        <v>1015</v>
      </c>
      <c r="B1021" s="80" t="s">
        <v>110</v>
      </c>
      <c r="C1021" s="113" t="s">
        <v>1198</v>
      </c>
      <c r="D1021" s="82" t="str">
        <f aca="false">IF(OR(C1021="",P1021=""),"",INDEX('CARNET DE SOUDURE'!$D$7:$D$3006,P1021)&amp;"")</f>
        <v>7</v>
      </c>
      <c r="E1021" s="114" t="str">
        <f aca="false">IF(OR(C1021="",P1021=""),"",IF(INDEX('CARNET DE SOUDURE'!$U$7:$U$3006,P1021)="","",INDEX('CARNET DE SOUDURE'!$U$7:$U$3006,P1021)))</f>
        <v/>
      </c>
      <c r="F1021" s="82" t="str">
        <f aca="false">IF(OR(C1021="",P1021=""),"",INDEX('CARNET DE SOUDURE'!$AP$7:$AP$3006,P1021))</f>
        <v/>
      </c>
      <c r="G1021" s="82" t="str">
        <f aca="false">IF(C1021="","",IF(P1021="","NJ INCONNU",INDEX('CARNET DE SOUDURE'!$AQ$7:$AQ$3006,P1021)))</f>
        <v>À SOUDER</v>
      </c>
      <c r="H1021" s="82" t="str">
        <f aca="false">IF(C1021="","",IF(G1021="ACCEPTÉ","OUI","NON"))</f>
        <v>NON</v>
      </c>
      <c r="I1021" s="83"/>
      <c r="J1021" s="80"/>
      <c r="K1021" s="81"/>
      <c r="L1021" s="81"/>
      <c r="M1021" s="81"/>
      <c r="N1021" s="84" t="str">
        <f aca="false">IF(C1021="","",IF(P1021="","NJ INCONNU",IF(I1021="",IF(H1021="OUI","À ENROBER",IF(G1021="À SOUDER","NON SOUDÉ","EN ATTENTE RT")),IF(L1021="R","À REPRENDRE",IF(H1021&lt;&gt;"OUI","⚠ ENROBÉ AVANT ACCEPTATION RT","ENROBÉ")))))</f>
        <v>NON SOUDÉ</v>
      </c>
      <c r="O1021" s="80"/>
      <c r="P1021" s="82" t="n">
        <f aca="false">IF(C1021="","",IFERROR(MATCH(Q1021,'CARNET DE SOUDURE'!$AW$7:$AW$3006,0),""))</f>
        <v>1015</v>
      </c>
      <c r="Q1021" s="82" t="str">
        <f aca="false">IF(C1021="","",B1021&amp;"|"&amp;C1021)</f>
        <v>MFD-ISW → MFD-CPF|JN°908</v>
      </c>
    </row>
    <row r="1022" customFormat="false" ht="74.6" hidden="false" customHeight="false" outlineLevel="0" collapsed="false">
      <c r="A1022" s="82" t="n">
        <f aca="false">IF(C1022="","",ROW()-6)</f>
        <v>1016</v>
      </c>
      <c r="B1022" s="80" t="s">
        <v>110</v>
      </c>
      <c r="C1022" s="113" t="s">
        <v>1200</v>
      </c>
      <c r="D1022" s="82" t="str">
        <f aca="false">IF(OR(C1022="",P1022=""),"",INDEX('CARNET DE SOUDURE'!$D$7:$D$3006,P1022)&amp;"")</f>
        <v>7</v>
      </c>
      <c r="E1022" s="114" t="n">
        <f aca="false">IF(OR(C1022="",P1022=""),"",IF(INDEX('CARNET DE SOUDURE'!$U$7:$U$3006,P1022)="","",INDEX('CARNET DE SOUDURE'!$U$7:$U$3006,P1022)))</f>
        <v>46284</v>
      </c>
      <c r="F1022" s="82" t="str">
        <f aca="false">IF(OR(C1022="",P1022=""),"",INDEX('CARNET DE SOUDURE'!$AP$7:$AP$3006,P1022))</f>
        <v>R</v>
      </c>
      <c r="G1022" s="82" t="str">
        <f aca="false">IF(C1022="","",IF(P1022="","NJ INCONNU",INDEX('CARNET DE SOUDURE'!$AQ$7:$AQ$3006,P1022)))</f>
        <v>À RÉPARER</v>
      </c>
      <c r="H1022" s="82" t="str">
        <f aca="false">IF(C1022="","",IF(G1022="ACCEPTÉ","OUI","NON"))</f>
        <v>NON</v>
      </c>
      <c r="I1022" s="83"/>
      <c r="J1022" s="80"/>
      <c r="K1022" s="81"/>
      <c r="L1022" s="81"/>
      <c r="M1022" s="81"/>
      <c r="N1022" s="84" t="str">
        <f aca="false">IF(C1022="","",IF(P1022="","NJ INCONNU",IF(I1022="",IF(H1022="OUI","À ENROBER",IF(G1022="À SOUDER","NON SOUDÉ","EN ATTENTE RT")),IF(L1022="R","À REPRENDRE",IF(H1022&lt;&gt;"OUI","⚠ ENROBÉ AVANT ACCEPTATION RT","ENROBÉ")))))</f>
        <v>EN ATTENTE RT</v>
      </c>
      <c r="O1022" s="80"/>
      <c r="P1022" s="82" t="n">
        <f aca="false">IF(C1022="","",IFERROR(MATCH(Q1022,'CARNET DE SOUDURE'!$AW$7:$AW$3006,0),""))</f>
        <v>1016</v>
      </c>
      <c r="Q1022" s="82" t="str">
        <f aca="false">IF(C1022="","",B1022&amp;"|"&amp;C1022)</f>
        <v>MFD-ISW → MFD-CPF|JN°909</v>
      </c>
    </row>
    <row r="1023" customFormat="false" ht="74.6" hidden="false" customHeight="false" outlineLevel="0" collapsed="false">
      <c r="A1023" s="82" t="n">
        <f aca="false">IF(C1023="","",ROW()-6)</f>
        <v>1017</v>
      </c>
      <c r="B1023" s="80" t="s">
        <v>110</v>
      </c>
      <c r="C1023" s="113" t="s">
        <v>1203</v>
      </c>
      <c r="D1023" s="82" t="str">
        <f aca="false">IF(OR(C1023="",P1023=""),"",INDEX('CARNET DE SOUDURE'!$D$7:$D$3006,P1023)&amp;"")</f>
        <v>7</v>
      </c>
      <c r="E1023" s="114" t="n">
        <f aca="false">IF(OR(C1023="",P1023=""),"",IF(INDEX('CARNET DE SOUDURE'!$U$7:$U$3006,P1023)="","",INDEX('CARNET DE SOUDURE'!$U$7:$U$3006,P1023)))</f>
        <v>46284</v>
      </c>
      <c r="F1023" s="82" t="str">
        <f aca="false">IF(OR(C1023="",P1023=""),"",INDEX('CARNET DE SOUDURE'!$AP$7:$AP$3006,P1023))</f>
        <v>A</v>
      </c>
      <c r="G1023" s="82" t="str">
        <f aca="false">IF(C1023="","",IF(P1023="","NJ INCONNU",INDEX('CARNET DE SOUDURE'!$AQ$7:$AQ$3006,P1023)))</f>
        <v>ACCEPTÉ</v>
      </c>
      <c r="H1023" s="82" t="str">
        <f aca="false">IF(C1023="","",IF(G1023="ACCEPTÉ","OUI","NON"))</f>
        <v>OUI</v>
      </c>
      <c r="I1023" s="83"/>
      <c r="J1023" s="80"/>
      <c r="K1023" s="81"/>
      <c r="L1023" s="81"/>
      <c r="M1023" s="81"/>
      <c r="N1023" s="84" t="str">
        <f aca="false">IF(C1023="","",IF(P1023="","NJ INCONNU",IF(I1023="",IF(H1023="OUI","À ENROBER",IF(G1023="À SOUDER","NON SOUDÉ","EN ATTENTE RT")),IF(L1023="R","À REPRENDRE",IF(H1023&lt;&gt;"OUI","⚠ ENROBÉ AVANT ACCEPTATION RT","ENROBÉ")))))</f>
        <v>À ENROBER</v>
      </c>
      <c r="O1023" s="80"/>
      <c r="P1023" s="82" t="n">
        <f aca="false">IF(C1023="","",IFERROR(MATCH(Q1023,'CARNET DE SOUDURE'!$AW$7:$AW$3006,0),""))</f>
        <v>1017</v>
      </c>
      <c r="Q1023" s="82" t="str">
        <f aca="false">IF(C1023="","",B1023&amp;"|"&amp;C1023)</f>
        <v>MFD-ISW → MFD-CPF|JN°910</v>
      </c>
    </row>
    <row r="1024" customFormat="false" ht="74.6" hidden="false" customHeight="false" outlineLevel="0" collapsed="false">
      <c r="A1024" s="82" t="n">
        <f aca="false">IF(C1024="","",ROW()-6)</f>
        <v>1018</v>
      </c>
      <c r="B1024" s="80" t="s">
        <v>110</v>
      </c>
      <c r="C1024" s="113" t="s">
        <v>1204</v>
      </c>
      <c r="D1024" s="82" t="str">
        <f aca="false">IF(OR(C1024="",P1024=""),"",INDEX('CARNET DE SOUDURE'!$D$7:$D$3006,P1024)&amp;"")</f>
        <v>7</v>
      </c>
      <c r="E1024" s="114" t="n">
        <f aca="false">IF(OR(C1024="",P1024=""),"",IF(INDEX('CARNET DE SOUDURE'!$U$7:$U$3006,P1024)="","",INDEX('CARNET DE SOUDURE'!$U$7:$U$3006,P1024)))</f>
        <v>46284</v>
      </c>
      <c r="F1024" s="82" t="str">
        <f aca="false">IF(OR(C1024="",P1024=""),"",INDEX('CARNET DE SOUDURE'!$AP$7:$AP$3006,P1024))</f>
        <v>R</v>
      </c>
      <c r="G1024" s="82" t="str">
        <f aca="false">IF(C1024="","",IF(P1024="","NJ INCONNU",INDEX('CARNET DE SOUDURE'!$AQ$7:$AQ$3006,P1024)))</f>
        <v>À RÉPARER</v>
      </c>
      <c r="H1024" s="82" t="str">
        <f aca="false">IF(C1024="","",IF(G1024="ACCEPTÉ","OUI","NON"))</f>
        <v>NON</v>
      </c>
      <c r="I1024" s="83"/>
      <c r="J1024" s="80"/>
      <c r="K1024" s="81"/>
      <c r="L1024" s="81"/>
      <c r="M1024" s="81"/>
      <c r="N1024" s="84" t="str">
        <f aca="false">IF(C1024="","",IF(P1024="","NJ INCONNU",IF(I1024="",IF(H1024="OUI","À ENROBER",IF(G1024="À SOUDER","NON SOUDÉ","EN ATTENTE RT")),IF(L1024="R","À REPRENDRE",IF(H1024&lt;&gt;"OUI","⚠ ENROBÉ AVANT ACCEPTATION RT","ENROBÉ")))))</f>
        <v>EN ATTENTE RT</v>
      </c>
      <c r="O1024" s="80"/>
      <c r="P1024" s="82" t="n">
        <f aca="false">IF(C1024="","",IFERROR(MATCH(Q1024,'CARNET DE SOUDURE'!$AW$7:$AW$3006,0),""))</f>
        <v>1018</v>
      </c>
      <c r="Q1024" s="82" t="str">
        <f aca="false">IF(C1024="","",B1024&amp;"|"&amp;C1024)</f>
        <v>MFD-ISW → MFD-CPF|JN°911</v>
      </c>
    </row>
    <row r="1025" customFormat="false" ht="74.6" hidden="false" customHeight="false" outlineLevel="0" collapsed="false">
      <c r="A1025" s="82" t="n">
        <f aca="false">IF(C1025="","",ROW()-6)</f>
        <v>1019</v>
      </c>
      <c r="B1025" s="80" t="s">
        <v>110</v>
      </c>
      <c r="C1025" s="113" t="s">
        <v>1206</v>
      </c>
      <c r="D1025" s="82" t="str">
        <f aca="false">IF(OR(C1025="",P1025=""),"",INDEX('CARNET DE SOUDURE'!$D$7:$D$3006,P1025)&amp;"")</f>
        <v>7</v>
      </c>
      <c r="E1025" s="114" t="n">
        <f aca="false">IF(OR(C1025="",P1025=""),"",IF(INDEX('CARNET DE SOUDURE'!$U$7:$U$3006,P1025)="","",INDEX('CARNET DE SOUDURE'!$U$7:$U$3006,P1025)))</f>
        <v>46284</v>
      </c>
      <c r="F1025" s="82" t="str">
        <f aca="false">IF(OR(C1025="",P1025=""),"",INDEX('CARNET DE SOUDURE'!$AP$7:$AP$3006,P1025))</f>
        <v>A</v>
      </c>
      <c r="G1025" s="82" t="str">
        <f aca="false">IF(C1025="","",IF(P1025="","NJ INCONNU",INDEX('CARNET DE SOUDURE'!$AQ$7:$AQ$3006,P1025)))</f>
        <v>ACCEPTÉ</v>
      </c>
      <c r="H1025" s="82" t="str">
        <f aca="false">IF(C1025="","",IF(G1025="ACCEPTÉ","OUI","NON"))</f>
        <v>OUI</v>
      </c>
      <c r="I1025" s="83"/>
      <c r="J1025" s="80"/>
      <c r="K1025" s="81"/>
      <c r="L1025" s="81"/>
      <c r="M1025" s="81"/>
      <c r="N1025" s="84" t="str">
        <f aca="false">IF(C1025="","",IF(P1025="","NJ INCONNU",IF(I1025="",IF(H1025="OUI","À ENROBER",IF(G1025="À SOUDER","NON SOUDÉ","EN ATTENTE RT")),IF(L1025="R","À REPRENDRE",IF(H1025&lt;&gt;"OUI","⚠ ENROBÉ AVANT ACCEPTATION RT","ENROBÉ")))))</f>
        <v>À ENROBER</v>
      </c>
      <c r="O1025" s="80"/>
      <c r="P1025" s="82" t="n">
        <f aca="false">IF(C1025="","",IFERROR(MATCH(Q1025,'CARNET DE SOUDURE'!$AW$7:$AW$3006,0),""))</f>
        <v>1019</v>
      </c>
      <c r="Q1025" s="82" t="str">
        <f aca="false">IF(C1025="","",B1025&amp;"|"&amp;C1025)</f>
        <v>MFD-ISW → MFD-CPF|JN°912</v>
      </c>
    </row>
    <row r="1026" customFormat="false" ht="74.6" hidden="false" customHeight="false" outlineLevel="0" collapsed="false">
      <c r="A1026" s="82" t="n">
        <f aca="false">IF(C1026="","",ROW()-6)</f>
        <v>1020</v>
      </c>
      <c r="B1026" s="80" t="s">
        <v>110</v>
      </c>
      <c r="C1026" s="113" t="s">
        <v>1207</v>
      </c>
      <c r="D1026" s="82" t="str">
        <f aca="false">IF(OR(C1026="",P1026=""),"",INDEX('CARNET DE SOUDURE'!$D$7:$D$3006,P1026)&amp;"")</f>
        <v>7</v>
      </c>
      <c r="E1026" s="114" t="n">
        <f aca="false">IF(OR(C1026="",P1026=""),"",IF(INDEX('CARNET DE SOUDURE'!$U$7:$U$3006,P1026)="","",INDEX('CARNET DE SOUDURE'!$U$7:$U$3006,P1026)))</f>
        <v>46284</v>
      </c>
      <c r="F1026" s="82" t="str">
        <f aca="false">IF(OR(C1026="",P1026=""),"",INDEX('CARNET DE SOUDURE'!$AP$7:$AP$3006,P1026))</f>
        <v>A</v>
      </c>
      <c r="G1026" s="82" t="str">
        <f aca="false">IF(C1026="","",IF(P1026="","NJ INCONNU",INDEX('CARNET DE SOUDURE'!$AQ$7:$AQ$3006,P1026)))</f>
        <v>ACCEPTÉ</v>
      </c>
      <c r="H1026" s="82" t="str">
        <f aca="false">IF(C1026="","",IF(G1026="ACCEPTÉ","OUI","NON"))</f>
        <v>OUI</v>
      </c>
      <c r="I1026" s="83"/>
      <c r="J1026" s="80"/>
      <c r="K1026" s="81"/>
      <c r="L1026" s="81"/>
      <c r="M1026" s="81"/>
      <c r="N1026" s="84" t="str">
        <f aca="false">IF(C1026="","",IF(P1026="","NJ INCONNU",IF(I1026="",IF(H1026="OUI","À ENROBER",IF(G1026="À SOUDER","NON SOUDÉ","EN ATTENTE RT")),IF(L1026="R","À REPRENDRE",IF(H1026&lt;&gt;"OUI","⚠ ENROBÉ AVANT ACCEPTATION RT","ENROBÉ")))))</f>
        <v>À ENROBER</v>
      </c>
      <c r="O1026" s="80"/>
      <c r="P1026" s="82" t="n">
        <f aca="false">IF(C1026="","",IFERROR(MATCH(Q1026,'CARNET DE SOUDURE'!$AW$7:$AW$3006,0),""))</f>
        <v>1020</v>
      </c>
      <c r="Q1026" s="82" t="str">
        <f aca="false">IF(C1026="","",B1026&amp;"|"&amp;C1026)</f>
        <v>MFD-ISW → MFD-CPF|JN°913</v>
      </c>
    </row>
    <row r="1027" customFormat="false" ht="74.6" hidden="false" customHeight="false" outlineLevel="0" collapsed="false">
      <c r="A1027" s="82" t="n">
        <f aca="false">IF(C1027="","",ROW()-6)</f>
        <v>1021</v>
      </c>
      <c r="B1027" s="80" t="s">
        <v>110</v>
      </c>
      <c r="C1027" s="113" t="s">
        <v>1208</v>
      </c>
      <c r="D1027" s="82" t="str">
        <f aca="false">IF(OR(C1027="",P1027=""),"",INDEX('CARNET DE SOUDURE'!$D$7:$D$3006,P1027)&amp;"")</f>
        <v>7</v>
      </c>
      <c r="E1027" s="114" t="n">
        <f aca="false">IF(OR(C1027="",P1027=""),"",IF(INDEX('CARNET DE SOUDURE'!$U$7:$U$3006,P1027)="","",INDEX('CARNET DE SOUDURE'!$U$7:$U$3006,P1027)))</f>
        <v>46284</v>
      </c>
      <c r="F1027" s="82" t="str">
        <f aca="false">IF(OR(C1027="",P1027=""),"",INDEX('CARNET DE SOUDURE'!$AP$7:$AP$3006,P1027))</f>
        <v>R</v>
      </c>
      <c r="G1027" s="82" t="str">
        <f aca="false">IF(C1027="","",IF(P1027="","NJ INCONNU",INDEX('CARNET DE SOUDURE'!$AQ$7:$AQ$3006,P1027)))</f>
        <v>À RÉPARER</v>
      </c>
      <c r="H1027" s="82" t="str">
        <f aca="false">IF(C1027="","",IF(G1027="ACCEPTÉ","OUI","NON"))</f>
        <v>NON</v>
      </c>
      <c r="I1027" s="83"/>
      <c r="J1027" s="80"/>
      <c r="K1027" s="81"/>
      <c r="L1027" s="81"/>
      <c r="M1027" s="81"/>
      <c r="N1027" s="84" t="str">
        <f aca="false">IF(C1027="","",IF(P1027="","NJ INCONNU",IF(I1027="",IF(H1027="OUI","À ENROBER",IF(G1027="À SOUDER","NON SOUDÉ","EN ATTENTE RT")),IF(L1027="R","À REPRENDRE",IF(H1027&lt;&gt;"OUI","⚠ ENROBÉ AVANT ACCEPTATION RT","ENROBÉ")))))</f>
        <v>EN ATTENTE RT</v>
      </c>
      <c r="O1027" s="80"/>
      <c r="P1027" s="82" t="n">
        <f aca="false">IF(C1027="","",IFERROR(MATCH(Q1027,'CARNET DE SOUDURE'!$AW$7:$AW$3006,0),""))</f>
        <v>1021</v>
      </c>
      <c r="Q1027" s="82" t="str">
        <f aca="false">IF(C1027="","",B1027&amp;"|"&amp;C1027)</f>
        <v>MFD-ISW → MFD-CPF|JN°914</v>
      </c>
    </row>
    <row r="1028" customFormat="false" ht="74.6" hidden="false" customHeight="false" outlineLevel="0" collapsed="false">
      <c r="A1028" s="82" t="n">
        <f aca="false">IF(C1028="","",ROW()-6)</f>
        <v>1022</v>
      </c>
      <c r="B1028" s="80" t="s">
        <v>110</v>
      </c>
      <c r="C1028" s="113" t="s">
        <v>1211</v>
      </c>
      <c r="D1028" s="82" t="str">
        <f aca="false">IF(OR(C1028="",P1028=""),"",INDEX('CARNET DE SOUDURE'!$D$7:$D$3006,P1028)&amp;"")</f>
        <v>7</v>
      </c>
      <c r="E1028" s="114" t="n">
        <f aca="false">IF(OR(C1028="",P1028=""),"",IF(INDEX('CARNET DE SOUDURE'!$U$7:$U$3006,P1028)="","",INDEX('CARNET DE SOUDURE'!$U$7:$U$3006,P1028)))</f>
        <v>46284</v>
      </c>
      <c r="F1028" s="82" t="str">
        <f aca="false">IF(OR(C1028="",P1028=""),"",INDEX('CARNET DE SOUDURE'!$AP$7:$AP$3006,P1028))</f>
        <v>R</v>
      </c>
      <c r="G1028" s="82" t="str">
        <f aca="false">IF(C1028="","",IF(P1028="","NJ INCONNU",INDEX('CARNET DE SOUDURE'!$AQ$7:$AQ$3006,P1028)))</f>
        <v>À RÉPARER</v>
      </c>
      <c r="H1028" s="82" t="str">
        <f aca="false">IF(C1028="","",IF(G1028="ACCEPTÉ","OUI","NON"))</f>
        <v>NON</v>
      </c>
      <c r="I1028" s="83"/>
      <c r="J1028" s="80"/>
      <c r="K1028" s="81"/>
      <c r="L1028" s="81"/>
      <c r="M1028" s="81"/>
      <c r="N1028" s="84" t="str">
        <f aca="false">IF(C1028="","",IF(P1028="","NJ INCONNU",IF(I1028="",IF(H1028="OUI","À ENROBER",IF(G1028="À SOUDER","NON SOUDÉ","EN ATTENTE RT")),IF(L1028="R","À REPRENDRE",IF(H1028&lt;&gt;"OUI","⚠ ENROBÉ AVANT ACCEPTATION RT","ENROBÉ")))))</f>
        <v>EN ATTENTE RT</v>
      </c>
      <c r="O1028" s="80"/>
      <c r="P1028" s="82" t="n">
        <f aca="false">IF(C1028="","",IFERROR(MATCH(Q1028,'CARNET DE SOUDURE'!$AW$7:$AW$3006,0),""))</f>
        <v>1022</v>
      </c>
      <c r="Q1028" s="82" t="str">
        <f aca="false">IF(C1028="","",B1028&amp;"|"&amp;C1028)</f>
        <v>MFD-ISW → MFD-CPF|JN°915</v>
      </c>
    </row>
    <row r="1029" customFormat="false" ht="74.6" hidden="false" customHeight="false" outlineLevel="0" collapsed="false">
      <c r="A1029" s="82" t="n">
        <f aca="false">IF(C1029="","",ROW()-6)</f>
        <v>1023</v>
      </c>
      <c r="B1029" s="80" t="s">
        <v>110</v>
      </c>
      <c r="C1029" s="113" t="s">
        <v>1213</v>
      </c>
      <c r="D1029" s="82" t="str">
        <f aca="false">IF(OR(C1029="",P1029=""),"",INDEX('CARNET DE SOUDURE'!$D$7:$D$3006,P1029)&amp;"")</f>
        <v>7</v>
      </c>
      <c r="E1029" s="114" t="n">
        <f aca="false">IF(OR(C1029="",P1029=""),"",IF(INDEX('CARNET DE SOUDURE'!$U$7:$U$3006,P1029)="","",INDEX('CARNET DE SOUDURE'!$U$7:$U$3006,P1029)))</f>
        <v>46284</v>
      </c>
      <c r="F1029" s="82" t="str">
        <f aca="false">IF(OR(C1029="",P1029=""),"",INDEX('CARNET DE SOUDURE'!$AP$7:$AP$3006,P1029))</f>
        <v>R</v>
      </c>
      <c r="G1029" s="82" t="str">
        <f aca="false">IF(C1029="","",IF(P1029="","NJ INCONNU",INDEX('CARNET DE SOUDURE'!$AQ$7:$AQ$3006,P1029)))</f>
        <v>À RÉPARER</v>
      </c>
      <c r="H1029" s="82" t="str">
        <f aca="false">IF(C1029="","",IF(G1029="ACCEPTÉ","OUI","NON"))</f>
        <v>NON</v>
      </c>
      <c r="I1029" s="83"/>
      <c r="J1029" s="80"/>
      <c r="K1029" s="81"/>
      <c r="L1029" s="81"/>
      <c r="M1029" s="81"/>
      <c r="N1029" s="84" t="str">
        <f aca="false">IF(C1029="","",IF(P1029="","NJ INCONNU",IF(I1029="",IF(H1029="OUI","À ENROBER",IF(G1029="À SOUDER","NON SOUDÉ","EN ATTENTE RT")),IF(L1029="R","À REPRENDRE",IF(H1029&lt;&gt;"OUI","⚠ ENROBÉ AVANT ACCEPTATION RT","ENROBÉ")))))</f>
        <v>EN ATTENTE RT</v>
      </c>
      <c r="O1029" s="80"/>
      <c r="P1029" s="82" t="n">
        <f aca="false">IF(C1029="","",IFERROR(MATCH(Q1029,'CARNET DE SOUDURE'!$AW$7:$AW$3006,0),""))</f>
        <v>1023</v>
      </c>
      <c r="Q1029" s="82" t="str">
        <f aca="false">IF(C1029="","",B1029&amp;"|"&amp;C1029)</f>
        <v>MFD-ISW → MFD-CPF|JN°916</v>
      </c>
    </row>
    <row r="1030" customFormat="false" ht="74.6" hidden="false" customHeight="false" outlineLevel="0" collapsed="false">
      <c r="A1030" s="82" t="n">
        <f aca="false">IF(C1030="","",ROW()-6)</f>
        <v>1024</v>
      </c>
      <c r="B1030" s="80" t="s">
        <v>110</v>
      </c>
      <c r="C1030" s="113" t="s">
        <v>1215</v>
      </c>
      <c r="D1030" s="82" t="str">
        <f aca="false">IF(OR(C1030="",P1030=""),"",INDEX('CARNET DE SOUDURE'!$D$7:$D$3006,P1030)&amp;"")</f>
        <v>7</v>
      </c>
      <c r="E1030" s="114" t="n">
        <f aca="false">IF(OR(C1030="",P1030=""),"",IF(INDEX('CARNET DE SOUDURE'!$U$7:$U$3006,P1030)="","",INDEX('CARNET DE SOUDURE'!$U$7:$U$3006,P1030)))</f>
        <v>46284</v>
      </c>
      <c r="F1030" s="82" t="str">
        <f aca="false">IF(OR(C1030="",P1030=""),"",INDEX('CARNET DE SOUDURE'!$AP$7:$AP$3006,P1030))</f>
        <v>A</v>
      </c>
      <c r="G1030" s="82" t="str">
        <f aca="false">IF(C1030="","",IF(P1030="","NJ INCONNU",INDEX('CARNET DE SOUDURE'!$AQ$7:$AQ$3006,P1030)))</f>
        <v>ACCEPTÉ</v>
      </c>
      <c r="H1030" s="82" t="str">
        <f aca="false">IF(C1030="","",IF(G1030="ACCEPTÉ","OUI","NON"))</f>
        <v>OUI</v>
      </c>
      <c r="I1030" s="83"/>
      <c r="J1030" s="80"/>
      <c r="K1030" s="81"/>
      <c r="L1030" s="81"/>
      <c r="M1030" s="81"/>
      <c r="N1030" s="84" t="str">
        <f aca="false">IF(C1030="","",IF(P1030="","NJ INCONNU",IF(I1030="",IF(H1030="OUI","À ENROBER",IF(G1030="À SOUDER","NON SOUDÉ","EN ATTENTE RT")),IF(L1030="R","À REPRENDRE",IF(H1030&lt;&gt;"OUI","⚠ ENROBÉ AVANT ACCEPTATION RT","ENROBÉ")))))</f>
        <v>À ENROBER</v>
      </c>
      <c r="O1030" s="80"/>
      <c r="P1030" s="82" t="n">
        <f aca="false">IF(C1030="","",IFERROR(MATCH(Q1030,'CARNET DE SOUDURE'!$AW$7:$AW$3006,0),""))</f>
        <v>1024</v>
      </c>
      <c r="Q1030" s="82" t="str">
        <f aca="false">IF(C1030="","",B1030&amp;"|"&amp;C1030)</f>
        <v>MFD-ISW → MFD-CPF|JN°917</v>
      </c>
    </row>
    <row r="1031" customFormat="false" ht="74.6" hidden="false" customHeight="false" outlineLevel="0" collapsed="false">
      <c r="A1031" s="82" t="n">
        <f aca="false">IF(C1031="","",ROW()-6)</f>
        <v>1025</v>
      </c>
      <c r="B1031" s="80" t="s">
        <v>110</v>
      </c>
      <c r="C1031" s="113" t="s">
        <v>1216</v>
      </c>
      <c r="D1031" s="82" t="str">
        <f aca="false">IF(OR(C1031="",P1031=""),"",INDEX('CARNET DE SOUDURE'!$D$7:$D$3006,P1031)&amp;"")</f>
        <v>7</v>
      </c>
      <c r="E1031" s="114" t="n">
        <f aca="false">IF(OR(C1031="",P1031=""),"",IF(INDEX('CARNET DE SOUDURE'!$U$7:$U$3006,P1031)="","",INDEX('CARNET DE SOUDURE'!$U$7:$U$3006,P1031)))</f>
        <v>46280</v>
      </c>
      <c r="F1031" s="82" t="str">
        <f aca="false">IF(OR(C1031="",P1031=""),"",INDEX('CARNET DE SOUDURE'!$AP$7:$AP$3006,P1031))</f>
        <v>A</v>
      </c>
      <c r="G1031" s="82" t="str">
        <f aca="false">IF(C1031="","",IF(P1031="","NJ INCONNU",INDEX('CARNET DE SOUDURE'!$AQ$7:$AQ$3006,P1031)))</f>
        <v>ACCEPTÉ</v>
      </c>
      <c r="H1031" s="82" t="str">
        <f aca="false">IF(C1031="","",IF(G1031="ACCEPTÉ","OUI","NON"))</f>
        <v>OUI</v>
      </c>
      <c r="I1031" s="83"/>
      <c r="J1031" s="80"/>
      <c r="K1031" s="81"/>
      <c r="L1031" s="81"/>
      <c r="M1031" s="81"/>
      <c r="N1031" s="84" t="str">
        <f aca="false">IF(C1031="","",IF(P1031="","NJ INCONNU",IF(I1031="",IF(H1031="OUI","À ENROBER",IF(G1031="À SOUDER","NON SOUDÉ","EN ATTENTE RT")),IF(L1031="R","À REPRENDRE",IF(H1031&lt;&gt;"OUI","⚠ ENROBÉ AVANT ACCEPTATION RT","ENROBÉ")))))</f>
        <v>À ENROBER</v>
      </c>
      <c r="O1031" s="80"/>
      <c r="P1031" s="82" t="n">
        <f aca="false">IF(C1031="","",IFERROR(MATCH(Q1031,'CARNET DE SOUDURE'!$AW$7:$AW$3006,0),""))</f>
        <v>1025</v>
      </c>
      <c r="Q1031" s="82" t="str">
        <f aca="false">IF(C1031="","",B1031&amp;"|"&amp;C1031)</f>
        <v>MFD-ISW → MFD-CPF|DJ°401</v>
      </c>
    </row>
    <row r="1032" customFormat="false" ht="74.6" hidden="false" customHeight="false" outlineLevel="0" collapsed="false">
      <c r="A1032" s="82" t="n">
        <f aca="false">IF(C1032="","",ROW()-6)</f>
        <v>1026</v>
      </c>
      <c r="B1032" s="80" t="s">
        <v>110</v>
      </c>
      <c r="C1032" s="113" t="s">
        <v>1218</v>
      </c>
      <c r="D1032" s="82" t="str">
        <f aca="false">IF(OR(C1032="",P1032=""),"",INDEX('CARNET DE SOUDURE'!$D$7:$D$3006,P1032)&amp;"")</f>
        <v>7</v>
      </c>
      <c r="E1032" s="114" t="n">
        <f aca="false">IF(OR(C1032="",P1032=""),"",IF(INDEX('CARNET DE SOUDURE'!$U$7:$U$3006,P1032)="","",INDEX('CARNET DE SOUDURE'!$U$7:$U$3006,P1032)))</f>
        <v>46284</v>
      </c>
      <c r="F1032" s="82" t="str">
        <f aca="false">IF(OR(C1032="",P1032=""),"",INDEX('CARNET DE SOUDURE'!$AP$7:$AP$3006,P1032))</f>
        <v>A</v>
      </c>
      <c r="G1032" s="82" t="str">
        <f aca="false">IF(C1032="","",IF(P1032="","NJ INCONNU",INDEX('CARNET DE SOUDURE'!$AQ$7:$AQ$3006,P1032)))</f>
        <v>ACCEPTÉ</v>
      </c>
      <c r="H1032" s="82" t="str">
        <f aca="false">IF(C1032="","",IF(G1032="ACCEPTÉ","OUI","NON"))</f>
        <v>OUI</v>
      </c>
      <c r="I1032" s="83"/>
      <c r="J1032" s="80"/>
      <c r="K1032" s="81"/>
      <c r="L1032" s="81"/>
      <c r="M1032" s="81"/>
      <c r="N1032" s="84" t="str">
        <f aca="false">IF(C1032="","",IF(P1032="","NJ INCONNU",IF(I1032="",IF(H1032="OUI","À ENROBER",IF(G1032="À SOUDER","NON SOUDÉ","EN ATTENTE RT")),IF(L1032="R","À REPRENDRE",IF(H1032&lt;&gt;"OUI","⚠ ENROBÉ AVANT ACCEPTATION RT","ENROBÉ")))))</f>
        <v>À ENROBER</v>
      </c>
      <c r="O1032" s="80"/>
      <c r="P1032" s="82" t="n">
        <f aca="false">IF(C1032="","",IFERROR(MATCH(Q1032,'CARNET DE SOUDURE'!$AW$7:$AW$3006,0),""))</f>
        <v>1026</v>
      </c>
      <c r="Q1032" s="82" t="str">
        <f aca="false">IF(C1032="","",B1032&amp;"|"&amp;C1032)</f>
        <v>MFD-ISW → MFD-CPF|JN°918</v>
      </c>
    </row>
    <row r="1033" customFormat="false" ht="74.6" hidden="false" customHeight="false" outlineLevel="0" collapsed="false">
      <c r="A1033" s="82" t="n">
        <f aca="false">IF(C1033="","",ROW()-6)</f>
        <v>1027</v>
      </c>
      <c r="B1033" s="80" t="s">
        <v>110</v>
      </c>
      <c r="C1033" s="113" t="s">
        <v>1219</v>
      </c>
      <c r="D1033" s="82" t="str">
        <f aca="false">IF(OR(C1033="",P1033=""),"",INDEX('CARNET DE SOUDURE'!$D$7:$D$3006,P1033)&amp;"")</f>
        <v>7</v>
      </c>
      <c r="E1033" s="114" t="n">
        <f aca="false">IF(OR(C1033="",P1033=""),"",IF(INDEX('CARNET DE SOUDURE'!$U$7:$U$3006,P1033)="","",INDEX('CARNET DE SOUDURE'!$U$7:$U$3006,P1033)))</f>
        <v>46280</v>
      </c>
      <c r="F1033" s="82" t="str">
        <f aca="false">IF(OR(C1033="",P1033=""),"",INDEX('CARNET DE SOUDURE'!$AP$7:$AP$3006,P1033))</f>
        <v>A</v>
      </c>
      <c r="G1033" s="82" t="str">
        <f aca="false">IF(C1033="","",IF(P1033="","NJ INCONNU",INDEX('CARNET DE SOUDURE'!$AQ$7:$AQ$3006,P1033)))</f>
        <v>ACCEPTÉ</v>
      </c>
      <c r="H1033" s="82" t="str">
        <f aca="false">IF(C1033="","",IF(G1033="ACCEPTÉ","OUI","NON"))</f>
        <v>OUI</v>
      </c>
      <c r="I1033" s="83"/>
      <c r="J1033" s="80"/>
      <c r="K1033" s="81"/>
      <c r="L1033" s="81"/>
      <c r="M1033" s="81"/>
      <c r="N1033" s="84" t="str">
        <f aca="false">IF(C1033="","",IF(P1033="","NJ INCONNU",IF(I1033="",IF(H1033="OUI","À ENROBER",IF(G1033="À SOUDER","NON SOUDÉ","EN ATTENTE RT")),IF(L1033="R","À REPRENDRE",IF(H1033&lt;&gt;"OUI","⚠ ENROBÉ AVANT ACCEPTATION RT","ENROBÉ")))))</f>
        <v>À ENROBER</v>
      </c>
      <c r="O1033" s="80"/>
      <c r="P1033" s="82" t="n">
        <f aca="false">IF(C1033="","",IFERROR(MATCH(Q1033,'CARNET DE SOUDURE'!$AW$7:$AW$3006,0),""))</f>
        <v>1027</v>
      </c>
      <c r="Q1033" s="82" t="str">
        <f aca="false">IF(C1033="","",B1033&amp;"|"&amp;C1033)</f>
        <v>MFD-ISW → MFD-CPF|DJ°397</v>
      </c>
    </row>
    <row r="1034" customFormat="false" ht="74.6" hidden="false" customHeight="false" outlineLevel="0" collapsed="false">
      <c r="A1034" s="82" t="n">
        <f aca="false">IF(C1034="","",ROW()-6)</f>
        <v>1028</v>
      </c>
      <c r="B1034" s="80" t="s">
        <v>110</v>
      </c>
      <c r="C1034" s="113" t="s">
        <v>1220</v>
      </c>
      <c r="D1034" s="82" t="str">
        <f aca="false">IF(OR(C1034="",P1034=""),"",INDEX('CARNET DE SOUDURE'!$D$7:$D$3006,P1034)&amp;"")</f>
        <v>7</v>
      </c>
      <c r="E1034" s="114" t="n">
        <f aca="false">IF(OR(C1034="",P1034=""),"",IF(INDEX('CARNET DE SOUDURE'!$U$7:$U$3006,P1034)="","",INDEX('CARNET DE SOUDURE'!$U$7:$U$3006,P1034)))</f>
        <v>46284</v>
      </c>
      <c r="F1034" s="82" t="str">
        <f aca="false">IF(OR(C1034="",P1034=""),"",INDEX('CARNET DE SOUDURE'!$AP$7:$AP$3006,P1034))</f>
        <v>R</v>
      </c>
      <c r="G1034" s="82" t="str">
        <f aca="false">IF(C1034="","",IF(P1034="","NJ INCONNU",INDEX('CARNET DE SOUDURE'!$AQ$7:$AQ$3006,P1034)))</f>
        <v>À RÉPARER</v>
      </c>
      <c r="H1034" s="82" t="str">
        <f aca="false">IF(C1034="","",IF(G1034="ACCEPTÉ","OUI","NON"))</f>
        <v>NON</v>
      </c>
      <c r="I1034" s="83"/>
      <c r="J1034" s="80"/>
      <c r="K1034" s="81"/>
      <c r="L1034" s="81"/>
      <c r="M1034" s="81"/>
      <c r="N1034" s="84" t="str">
        <f aca="false">IF(C1034="","",IF(P1034="","NJ INCONNU",IF(I1034="",IF(H1034="OUI","À ENROBER",IF(G1034="À SOUDER","NON SOUDÉ","EN ATTENTE RT")),IF(L1034="R","À REPRENDRE",IF(H1034&lt;&gt;"OUI","⚠ ENROBÉ AVANT ACCEPTATION RT","ENROBÉ")))))</f>
        <v>EN ATTENTE RT</v>
      </c>
      <c r="O1034" s="80"/>
      <c r="P1034" s="82" t="n">
        <f aca="false">IF(C1034="","",IFERROR(MATCH(Q1034,'CARNET DE SOUDURE'!$AW$7:$AW$3006,0),""))</f>
        <v>1028</v>
      </c>
      <c r="Q1034" s="82" t="str">
        <f aca="false">IF(C1034="","",B1034&amp;"|"&amp;C1034)</f>
        <v>MFD-ISW → MFD-CPF|JN°919</v>
      </c>
    </row>
    <row r="1035" customFormat="false" ht="74.6" hidden="false" customHeight="false" outlineLevel="0" collapsed="false">
      <c r="A1035" s="82" t="n">
        <f aca="false">IF(C1035="","",ROW()-6)</f>
        <v>1029</v>
      </c>
      <c r="B1035" s="80" t="s">
        <v>110</v>
      </c>
      <c r="C1035" s="113" t="s">
        <v>1222</v>
      </c>
      <c r="D1035" s="82" t="str">
        <f aca="false">IF(OR(C1035="",P1035=""),"",INDEX('CARNET DE SOUDURE'!$D$7:$D$3006,P1035)&amp;"")</f>
        <v>7</v>
      </c>
      <c r="E1035" s="114" t="n">
        <f aca="false">IF(OR(C1035="",P1035=""),"",IF(INDEX('CARNET DE SOUDURE'!$U$7:$U$3006,P1035)="","",INDEX('CARNET DE SOUDURE'!$U$7:$U$3006,P1035)))</f>
        <v>46280</v>
      </c>
      <c r="F1035" s="82" t="str">
        <f aca="false">IF(OR(C1035="",P1035=""),"",INDEX('CARNET DE SOUDURE'!$AP$7:$AP$3006,P1035))</f>
        <v>A</v>
      </c>
      <c r="G1035" s="82" t="str">
        <f aca="false">IF(C1035="","",IF(P1035="","NJ INCONNU",INDEX('CARNET DE SOUDURE'!$AQ$7:$AQ$3006,P1035)))</f>
        <v>ACCEPTÉ</v>
      </c>
      <c r="H1035" s="82" t="str">
        <f aca="false">IF(C1035="","",IF(G1035="ACCEPTÉ","OUI","NON"))</f>
        <v>OUI</v>
      </c>
      <c r="I1035" s="83"/>
      <c r="J1035" s="80"/>
      <c r="K1035" s="81"/>
      <c r="L1035" s="81"/>
      <c r="M1035" s="81"/>
      <c r="N1035" s="84" t="str">
        <f aca="false">IF(C1035="","",IF(P1035="","NJ INCONNU",IF(I1035="",IF(H1035="OUI","À ENROBER",IF(G1035="À SOUDER","NON SOUDÉ","EN ATTENTE RT")),IF(L1035="R","À REPRENDRE",IF(H1035&lt;&gt;"OUI","⚠ ENROBÉ AVANT ACCEPTATION RT","ENROBÉ")))))</f>
        <v>À ENROBER</v>
      </c>
      <c r="O1035" s="80"/>
      <c r="P1035" s="82" t="n">
        <f aca="false">IF(C1035="","",IFERROR(MATCH(Q1035,'CARNET DE SOUDURE'!$AW$7:$AW$3006,0),""))</f>
        <v>1029</v>
      </c>
      <c r="Q1035" s="82" t="str">
        <f aca="false">IF(C1035="","",B1035&amp;"|"&amp;C1035)</f>
        <v>MFD-ISW → MFD-CPF|DJ°392</v>
      </c>
    </row>
    <row r="1036" customFormat="false" ht="74.6" hidden="false" customHeight="false" outlineLevel="0" collapsed="false">
      <c r="A1036" s="82" t="n">
        <f aca="false">IF(C1036="","",ROW()-6)</f>
        <v>1030</v>
      </c>
      <c r="B1036" s="80" t="s">
        <v>110</v>
      </c>
      <c r="C1036" s="113" t="s">
        <v>1223</v>
      </c>
      <c r="D1036" s="82" t="str">
        <f aca="false">IF(OR(C1036="",P1036=""),"",INDEX('CARNET DE SOUDURE'!$D$7:$D$3006,P1036)&amp;"")</f>
        <v>7</v>
      </c>
      <c r="E1036" s="114" t="n">
        <f aca="false">IF(OR(C1036="",P1036=""),"",IF(INDEX('CARNET DE SOUDURE'!$U$7:$U$3006,P1036)="","",INDEX('CARNET DE SOUDURE'!$U$7:$U$3006,P1036)))</f>
        <v>46284</v>
      </c>
      <c r="F1036" s="82" t="str">
        <f aca="false">IF(OR(C1036="",P1036=""),"",INDEX('CARNET DE SOUDURE'!$AP$7:$AP$3006,P1036))</f>
        <v>A</v>
      </c>
      <c r="G1036" s="82" t="str">
        <f aca="false">IF(C1036="","",IF(P1036="","NJ INCONNU",INDEX('CARNET DE SOUDURE'!$AQ$7:$AQ$3006,P1036)))</f>
        <v>ACCEPTÉ</v>
      </c>
      <c r="H1036" s="82" t="str">
        <f aca="false">IF(C1036="","",IF(G1036="ACCEPTÉ","OUI","NON"))</f>
        <v>OUI</v>
      </c>
      <c r="I1036" s="83"/>
      <c r="J1036" s="80"/>
      <c r="K1036" s="81"/>
      <c r="L1036" s="81"/>
      <c r="M1036" s="81"/>
      <c r="N1036" s="84" t="str">
        <f aca="false">IF(C1036="","",IF(P1036="","NJ INCONNU",IF(I1036="",IF(H1036="OUI","À ENROBER",IF(G1036="À SOUDER","NON SOUDÉ","EN ATTENTE RT")),IF(L1036="R","À REPRENDRE",IF(H1036&lt;&gt;"OUI","⚠ ENROBÉ AVANT ACCEPTATION RT","ENROBÉ")))))</f>
        <v>À ENROBER</v>
      </c>
      <c r="O1036" s="80"/>
      <c r="P1036" s="82" t="n">
        <f aca="false">IF(C1036="","",IFERROR(MATCH(Q1036,'CARNET DE SOUDURE'!$AW$7:$AW$3006,0),""))</f>
        <v>1030</v>
      </c>
      <c r="Q1036" s="82" t="str">
        <f aca="false">IF(C1036="","",B1036&amp;"|"&amp;C1036)</f>
        <v>MFD-ISW → MFD-CPF|JN°920</v>
      </c>
    </row>
    <row r="1037" customFormat="false" ht="74.6" hidden="false" customHeight="false" outlineLevel="0" collapsed="false">
      <c r="A1037" s="82" t="n">
        <f aca="false">IF(C1037="","",ROW()-6)</f>
        <v>1031</v>
      </c>
      <c r="B1037" s="80" t="s">
        <v>110</v>
      </c>
      <c r="C1037" s="113" t="s">
        <v>1224</v>
      </c>
      <c r="D1037" s="82" t="str">
        <f aca="false">IF(OR(C1037="",P1037=""),"",INDEX('CARNET DE SOUDURE'!$D$7:$D$3006,P1037)&amp;"")</f>
        <v>7</v>
      </c>
      <c r="E1037" s="114" t="n">
        <f aca="false">IF(OR(C1037="",P1037=""),"",IF(INDEX('CARNET DE SOUDURE'!$U$7:$U$3006,P1037)="","",INDEX('CARNET DE SOUDURE'!$U$7:$U$3006,P1037)))</f>
        <v>46280</v>
      </c>
      <c r="F1037" s="82" t="str">
        <f aca="false">IF(OR(C1037="",P1037=""),"",INDEX('CARNET DE SOUDURE'!$AP$7:$AP$3006,P1037))</f>
        <v>A</v>
      </c>
      <c r="G1037" s="82" t="str">
        <f aca="false">IF(C1037="","",IF(P1037="","NJ INCONNU",INDEX('CARNET DE SOUDURE'!$AQ$7:$AQ$3006,P1037)))</f>
        <v>ACCEPTÉ</v>
      </c>
      <c r="H1037" s="82" t="str">
        <f aca="false">IF(C1037="","",IF(G1037="ACCEPTÉ","OUI","NON"))</f>
        <v>OUI</v>
      </c>
      <c r="I1037" s="83"/>
      <c r="J1037" s="80"/>
      <c r="K1037" s="81"/>
      <c r="L1037" s="81"/>
      <c r="M1037" s="81"/>
      <c r="N1037" s="84" t="str">
        <f aca="false">IF(C1037="","",IF(P1037="","NJ INCONNU",IF(I1037="",IF(H1037="OUI","À ENROBER",IF(G1037="À SOUDER","NON SOUDÉ","EN ATTENTE RT")),IF(L1037="R","À REPRENDRE",IF(H1037&lt;&gt;"OUI","⚠ ENROBÉ AVANT ACCEPTATION RT","ENROBÉ")))))</f>
        <v>À ENROBER</v>
      </c>
      <c r="O1037" s="80"/>
      <c r="P1037" s="82" t="n">
        <f aca="false">IF(C1037="","",IFERROR(MATCH(Q1037,'CARNET DE SOUDURE'!$AW$7:$AW$3006,0),""))</f>
        <v>1031</v>
      </c>
      <c r="Q1037" s="82" t="str">
        <f aca="false">IF(C1037="","",B1037&amp;"|"&amp;C1037)</f>
        <v>MFD-ISW → MFD-CPF|DJ°406</v>
      </c>
    </row>
    <row r="1038" customFormat="false" ht="74.6" hidden="false" customHeight="false" outlineLevel="0" collapsed="false">
      <c r="A1038" s="82" t="n">
        <f aca="false">IF(C1038="","",ROW()-6)</f>
        <v>1032</v>
      </c>
      <c r="B1038" s="80" t="s">
        <v>110</v>
      </c>
      <c r="C1038" s="113" t="s">
        <v>1225</v>
      </c>
      <c r="D1038" s="82" t="str">
        <f aca="false">IF(OR(C1038="",P1038=""),"",INDEX('CARNET DE SOUDURE'!$D$7:$D$3006,P1038)&amp;"")</f>
        <v>7</v>
      </c>
      <c r="E1038" s="114" t="n">
        <f aca="false">IF(OR(C1038="",P1038=""),"",IF(INDEX('CARNET DE SOUDURE'!$U$7:$U$3006,P1038)="","",INDEX('CARNET DE SOUDURE'!$U$7:$U$3006,P1038)))</f>
        <v>46284</v>
      </c>
      <c r="F1038" s="82" t="str">
        <f aca="false">IF(OR(C1038="",P1038=""),"",INDEX('CARNET DE SOUDURE'!$AP$7:$AP$3006,P1038))</f>
        <v>A</v>
      </c>
      <c r="G1038" s="82" t="str">
        <f aca="false">IF(C1038="","",IF(P1038="","NJ INCONNU",INDEX('CARNET DE SOUDURE'!$AQ$7:$AQ$3006,P1038)))</f>
        <v>ACCEPTÉ</v>
      </c>
      <c r="H1038" s="82" t="str">
        <f aca="false">IF(C1038="","",IF(G1038="ACCEPTÉ","OUI","NON"))</f>
        <v>OUI</v>
      </c>
      <c r="I1038" s="83"/>
      <c r="J1038" s="80"/>
      <c r="K1038" s="81"/>
      <c r="L1038" s="81"/>
      <c r="M1038" s="81"/>
      <c r="N1038" s="84" t="str">
        <f aca="false">IF(C1038="","",IF(P1038="","NJ INCONNU",IF(I1038="",IF(H1038="OUI","À ENROBER",IF(G1038="À SOUDER","NON SOUDÉ","EN ATTENTE RT")),IF(L1038="R","À REPRENDRE",IF(H1038&lt;&gt;"OUI","⚠ ENROBÉ AVANT ACCEPTATION RT","ENROBÉ")))))</f>
        <v>À ENROBER</v>
      </c>
      <c r="O1038" s="80"/>
      <c r="P1038" s="82" t="n">
        <f aca="false">IF(C1038="","",IFERROR(MATCH(Q1038,'CARNET DE SOUDURE'!$AW$7:$AW$3006,0),""))</f>
        <v>1032</v>
      </c>
      <c r="Q1038" s="82" t="str">
        <f aca="false">IF(C1038="","",B1038&amp;"|"&amp;C1038)</f>
        <v>MFD-ISW → MFD-CPF|JN°921</v>
      </c>
    </row>
    <row r="1039" customFormat="false" ht="74.6" hidden="false" customHeight="false" outlineLevel="0" collapsed="false">
      <c r="A1039" s="82" t="n">
        <f aca="false">IF(C1039="","",ROW()-6)</f>
        <v>1033</v>
      </c>
      <c r="B1039" s="80" t="s">
        <v>110</v>
      </c>
      <c r="C1039" s="113" t="s">
        <v>1226</v>
      </c>
      <c r="D1039" s="82" t="str">
        <f aca="false">IF(OR(C1039="",P1039=""),"",INDEX('CARNET DE SOUDURE'!$D$7:$D$3006,P1039)&amp;"")</f>
        <v>7</v>
      </c>
      <c r="E1039" s="114" t="n">
        <f aca="false">IF(OR(C1039="",P1039=""),"",IF(INDEX('CARNET DE SOUDURE'!$U$7:$U$3006,P1039)="","",INDEX('CARNET DE SOUDURE'!$U$7:$U$3006,P1039)))</f>
        <v>46279</v>
      </c>
      <c r="F1039" s="82" t="str">
        <f aca="false">IF(OR(C1039="",P1039=""),"",INDEX('CARNET DE SOUDURE'!$AP$7:$AP$3006,P1039))</f>
        <v>A</v>
      </c>
      <c r="G1039" s="82" t="str">
        <f aca="false">IF(C1039="","",IF(P1039="","NJ INCONNU",INDEX('CARNET DE SOUDURE'!$AQ$7:$AQ$3006,P1039)))</f>
        <v>ACCEPTÉ</v>
      </c>
      <c r="H1039" s="82" t="str">
        <f aca="false">IF(C1039="","",IF(G1039="ACCEPTÉ","OUI","NON"))</f>
        <v>OUI</v>
      </c>
      <c r="I1039" s="83"/>
      <c r="J1039" s="80"/>
      <c r="K1039" s="81"/>
      <c r="L1039" s="81"/>
      <c r="M1039" s="81"/>
      <c r="N1039" s="84" t="str">
        <f aca="false">IF(C1039="","",IF(P1039="","NJ INCONNU",IF(I1039="",IF(H1039="OUI","À ENROBER",IF(G1039="À SOUDER","NON SOUDÉ","EN ATTENTE RT")),IF(L1039="R","À REPRENDRE",IF(H1039&lt;&gt;"OUI","⚠ ENROBÉ AVANT ACCEPTATION RT","ENROBÉ")))))</f>
        <v>À ENROBER</v>
      </c>
      <c r="O1039" s="80"/>
      <c r="P1039" s="82" t="n">
        <f aca="false">IF(C1039="","",IFERROR(MATCH(Q1039,'CARNET DE SOUDURE'!$AW$7:$AW$3006,0),""))</f>
        <v>1033</v>
      </c>
      <c r="Q1039" s="82" t="str">
        <f aca="false">IF(C1039="","",B1039&amp;"|"&amp;C1039)</f>
        <v>MFD-ISW → MFD-CPF|DJ°388</v>
      </c>
    </row>
    <row r="1040" customFormat="false" ht="74.6" hidden="false" customHeight="false" outlineLevel="0" collapsed="false">
      <c r="A1040" s="82" t="n">
        <f aca="false">IF(C1040="","",ROW()-6)</f>
        <v>1034</v>
      </c>
      <c r="B1040" s="80" t="s">
        <v>110</v>
      </c>
      <c r="C1040" s="113" t="s">
        <v>1229</v>
      </c>
      <c r="D1040" s="82" t="str">
        <f aca="false">IF(OR(C1040="",P1040=""),"",INDEX('CARNET DE SOUDURE'!$D$7:$D$3006,P1040)&amp;"")</f>
        <v>7</v>
      </c>
      <c r="E1040" s="114" t="n">
        <f aca="false">IF(OR(C1040="",P1040=""),"",IF(INDEX('CARNET DE SOUDURE'!$U$7:$U$3006,P1040)="","",INDEX('CARNET DE SOUDURE'!$U$7:$U$3006,P1040)))</f>
        <v>46284</v>
      </c>
      <c r="F1040" s="82" t="str">
        <f aca="false">IF(OR(C1040="",P1040=""),"",INDEX('CARNET DE SOUDURE'!$AP$7:$AP$3006,P1040))</f>
        <v>A</v>
      </c>
      <c r="G1040" s="82" t="str">
        <f aca="false">IF(C1040="","",IF(P1040="","NJ INCONNU",INDEX('CARNET DE SOUDURE'!$AQ$7:$AQ$3006,P1040)))</f>
        <v>ACCEPTÉ</v>
      </c>
      <c r="H1040" s="82" t="str">
        <f aca="false">IF(C1040="","",IF(G1040="ACCEPTÉ","OUI","NON"))</f>
        <v>OUI</v>
      </c>
      <c r="I1040" s="83"/>
      <c r="J1040" s="80"/>
      <c r="K1040" s="81"/>
      <c r="L1040" s="81"/>
      <c r="M1040" s="81"/>
      <c r="N1040" s="84" t="str">
        <f aca="false">IF(C1040="","",IF(P1040="","NJ INCONNU",IF(I1040="",IF(H1040="OUI","À ENROBER",IF(G1040="À SOUDER","NON SOUDÉ","EN ATTENTE RT")),IF(L1040="R","À REPRENDRE",IF(H1040&lt;&gt;"OUI","⚠ ENROBÉ AVANT ACCEPTATION RT","ENROBÉ")))))</f>
        <v>À ENROBER</v>
      </c>
      <c r="O1040" s="80"/>
      <c r="P1040" s="82" t="n">
        <f aca="false">IF(C1040="","",IFERROR(MATCH(Q1040,'CARNET DE SOUDURE'!$AW$7:$AW$3006,0),""))</f>
        <v>1034</v>
      </c>
      <c r="Q1040" s="82" t="str">
        <f aca="false">IF(C1040="","",B1040&amp;"|"&amp;C1040)</f>
        <v>MFD-ISW → MFD-CPF|JN°922</v>
      </c>
    </row>
    <row r="1041" customFormat="false" ht="74.6" hidden="false" customHeight="false" outlineLevel="0" collapsed="false">
      <c r="A1041" s="82" t="n">
        <f aca="false">IF(C1041="","",ROW()-6)</f>
        <v>1035</v>
      </c>
      <c r="B1041" s="80" t="s">
        <v>110</v>
      </c>
      <c r="C1041" s="113" t="s">
        <v>1230</v>
      </c>
      <c r="D1041" s="82" t="str">
        <f aca="false">IF(OR(C1041="",P1041=""),"",INDEX('CARNET DE SOUDURE'!$D$7:$D$3006,P1041)&amp;"")</f>
        <v>7</v>
      </c>
      <c r="E1041" s="114" t="n">
        <f aca="false">IF(OR(C1041="",P1041=""),"",IF(INDEX('CARNET DE SOUDURE'!$U$7:$U$3006,P1041)="","",INDEX('CARNET DE SOUDURE'!$U$7:$U$3006,P1041)))</f>
        <v>46279</v>
      </c>
      <c r="F1041" s="82" t="str">
        <f aca="false">IF(OR(C1041="",P1041=""),"",INDEX('CARNET DE SOUDURE'!$AP$7:$AP$3006,P1041))</f>
        <v>A</v>
      </c>
      <c r="G1041" s="82" t="str">
        <f aca="false">IF(C1041="","",IF(P1041="","NJ INCONNU",INDEX('CARNET DE SOUDURE'!$AQ$7:$AQ$3006,P1041)))</f>
        <v>ACCEPTÉ</v>
      </c>
      <c r="H1041" s="82" t="str">
        <f aca="false">IF(C1041="","",IF(G1041="ACCEPTÉ","OUI","NON"))</f>
        <v>OUI</v>
      </c>
      <c r="I1041" s="83"/>
      <c r="J1041" s="80"/>
      <c r="K1041" s="81"/>
      <c r="L1041" s="81"/>
      <c r="M1041" s="81"/>
      <c r="N1041" s="84" t="str">
        <f aca="false">IF(C1041="","",IF(P1041="","NJ INCONNU",IF(I1041="",IF(H1041="OUI","À ENROBER",IF(G1041="À SOUDER","NON SOUDÉ","EN ATTENTE RT")),IF(L1041="R","À REPRENDRE",IF(H1041&lt;&gt;"OUI","⚠ ENROBÉ AVANT ACCEPTATION RT","ENROBÉ")))))</f>
        <v>À ENROBER</v>
      </c>
      <c r="O1041" s="80"/>
      <c r="P1041" s="82" t="n">
        <f aca="false">IF(C1041="","",IFERROR(MATCH(Q1041,'CARNET DE SOUDURE'!$AW$7:$AW$3006,0),""))</f>
        <v>1035</v>
      </c>
      <c r="Q1041" s="82" t="str">
        <f aca="false">IF(C1041="","",B1041&amp;"|"&amp;C1041)</f>
        <v>MFD-ISW → MFD-CPF|DJ°386</v>
      </c>
    </row>
    <row r="1042" customFormat="false" ht="74.6" hidden="false" customHeight="false" outlineLevel="0" collapsed="false">
      <c r="A1042" s="82" t="n">
        <f aca="false">IF(C1042="","",ROW()-6)</f>
        <v>1036</v>
      </c>
      <c r="B1042" s="80" t="s">
        <v>110</v>
      </c>
      <c r="C1042" s="113" t="s">
        <v>1231</v>
      </c>
      <c r="D1042" s="82" t="str">
        <f aca="false">IF(OR(C1042="",P1042=""),"",INDEX('CARNET DE SOUDURE'!$D$7:$D$3006,P1042)&amp;"")</f>
        <v>7</v>
      </c>
      <c r="E1042" s="114" t="n">
        <f aca="false">IF(OR(C1042="",P1042=""),"",IF(INDEX('CARNET DE SOUDURE'!$U$7:$U$3006,P1042)="","",INDEX('CARNET DE SOUDURE'!$U$7:$U$3006,P1042)))</f>
        <v>46284</v>
      </c>
      <c r="F1042" s="82" t="str">
        <f aca="false">IF(OR(C1042="",P1042=""),"",INDEX('CARNET DE SOUDURE'!$AP$7:$AP$3006,P1042))</f>
        <v>A</v>
      </c>
      <c r="G1042" s="82" t="str">
        <f aca="false">IF(C1042="","",IF(P1042="","NJ INCONNU",INDEX('CARNET DE SOUDURE'!$AQ$7:$AQ$3006,P1042)))</f>
        <v>ACCEPTÉ</v>
      </c>
      <c r="H1042" s="82" t="str">
        <f aca="false">IF(C1042="","",IF(G1042="ACCEPTÉ","OUI","NON"))</f>
        <v>OUI</v>
      </c>
      <c r="I1042" s="83"/>
      <c r="J1042" s="80"/>
      <c r="K1042" s="81"/>
      <c r="L1042" s="81"/>
      <c r="M1042" s="81"/>
      <c r="N1042" s="84" t="str">
        <f aca="false">IF(C1042="","",IF(P1042="","NJ INCONNU",IF(I1042="",IF(H1042="OUI","À ENROBER",IF(G1042="À SOUDER","NON SOUDÉ","EN ATTENTE RT")),IF(L1042="R","À REPRENDRE",IF(H1042&lt;&gt;"OUI","⚠ ENROBÉ AVANT ACCEPTATION RT","ENROBÉ")))))</f>
        <v>À ENROBER</v>
      </c>
      <c r="O1042" s="80"/>
      <c r="P1042" s="82" t="n">
        <f aca="false">IF(C1042="","",IFERROR(MATCH(Q1042,'CARNET DE SOUDURE'!$AW$7:$AW$3006,0),""))</f>
        <v>1036</v>
      </c>
      <c r="Q1042" s="82" t="str">
        <f aca="false">IF(C1042="","",B1042&amp;"|"&amp;C1042)</f>
        <v>MFD-ISW → MFD-CPF|JN°923</v>
      </c>
    </row>
    <row r="1043" customFormat="false" ht="74.6" hidden="false" customHeight="false" outlineLevel="0" collapsed="false">
      <c r="A1043" s="82" t="n">
        <f aca="false">IF(C1043="","",ROW()-6)</f>
        <v>1037</v>
      </c>
      <c r="B1043" s="80" t="s">
        <v>110</v>
      </c>
      <c r="C1043" s="113" t="s">
        <v>1232</v>
      </c>
      <c r="D1043" s="82" t="str">
        <f aca="false">IF(OR(C1043="",P1043=""),"",INDEX('CARNET DE SOUDURE'!$D$7:$D$3006,P1043)&amp;"")</f>
        <v>7</v>
      </c>
      <c r="E1043" s="114" t="n">
        <f aca="false">IF(OR(C1043="",P1043=""),"",IF(INDEX('CARNET DE SOUDURE'!$U$7:$U$3006,P1043)="","",INDEX('CARNET DE SOUDURE'!$U$7:$U$3006,P1043)))</f>
        <v>46280</v>
      </c>
      <c r="F1043" s="82" t="str">
        <f aca="false">IF(OR(C1043="",P1043=""),"",INDEX('CARNET DE SOUDURE'!$AP$7:$AP$3006,P1043))</f>
        <v>A</v>
      </c>
      <c r="G1043" s="82" t="str">
        <f aca="false">IF(C1043="","",IF(P1043="","NJ INCONNU",INDEX('CARNET DE SOUDURE'!$AQ$7:$AQ$3006,P1043)))</f>
        <v>ACCEPTÉ</v>
      </c>
      <c r="H1043" s="82" t="str">
        <f aca="false">IF(C1043="","",IF(G1043="ACCEPTÉ","OUI","NON"))</f>
        <v>OUI</v>
      </c>
      <c r="I1043" s="83"/>
      <c r="J1043" s="80"/>
      <c r="K1043" s="81"/>
      <c r="L1043" s="81"/>
      <c r="M1043" s="81"/>
      <c r="N1043" s="84" t="str">
        <f aca="false">IF(C1043="","",IF(P1043="","NJ INCONNU",IF(I1043="",IF(H1043="OUI","À ENROBER",IF(G1043="À SOUDER","NON SOUDÉ","EN ATTENTE RT")),IF(L1043="R","À REPRENDRE",IF(H1043&lt;&gt;"OUI","⚠ ENROBÉ AVANT ACCEPTATION RT","ENROBÉ")))))</f>
        <v>À ENROBER</v>
      </c>
      <c r="O1043" s="80"/>
      <c r="P1043" s="82" t="n">
        <f aca="false">IF(C1043="","",IFERROR(MATCH(Q1043,'CARNET DE SOUDURE'!$AW$7:$AW$3006,0),""))</f>
        <v>1037</v>
      </c>
      <c r="Q1043" s="82" t="str">
        <f aca="false">IF(C1043="","",B1043&amp;"|"&amp;C1043)</f>
        <v>MFD-ISW → MFD-CPF|DJ°407</v>
      </c>
    </row>
    <row r="1044" customFormat="false" ht="74.6" hidden="false" customHeight="false" outlineLevel="0" collapsed="false">
      <c r="A1044" s="82" t="n">
        <f aca="false">IF(C1044="","",ROW()-6)</f>
        <v>1038</v>
      </c>
      <c r="B1044" s="80" t="s">
        <v>110</v>
      </c>
      <c r="C1044" s="113" t="s">
        <v>1233</v>
      </c>
      <c r="D1044" s="82" t="str">
        <f aca="false">IF(OR(C1044="",P1044=""),"",INDEX('CARNET DE SOUDURE'!$D$7:$D$3006,P1044)&amp;"")</f>
        <v>7</v>
      </c>
      <c r="E1044" s="114" t="n">
        <f aca="false">IF(OR(C1044="",P1044=""),"",IF(INDEX('CARNET DE SOUDURE'!$U$7:$U$3006,P1044)="","",INDEX('CARNET DE SOUDURE'!$U$7:$U$3006,P1044)))</f>
        <v>46283</v>
      </c>
      <c r="F1044" s="82" t="str">
        <f aca="false">IF(OR(C1044="",P1044=""),"",INDEX('CARNET DE SOUDURE'!$AP$7:$AP$3006,P1044))</f>
        <v>A</v>
      </c>
      <c r="G1044" s="82" t="str">
        <f aca="false">IF(C1044="","",IF(P1044="","NJ INCONNU",INDEX('CARNET DE SOUDURE'!$AQ$7:$AQ$3006,P1044)))</f>
        <v>ACCEPTÉ</v>
      </c>
      <c r="H1044" s="82" t="str">
        <f aca="false">IF(C1044="","",IF(G1044="ACCEPTÉ","OUI","NON"))</f>
        <v>OUI</v>
      </c>
      <c r="I1044" s="83"/>
      <c r="J1044" s="80"/>
      <c r="K1044" s="81"/>
      <c r="L1044" s="81"/>
      <c r="M1044" s="81"/>
      <c r="N1044" s="84" t="str">
        <f aca="false">IF(C1044="","",IF(P1044="","NJ INCONNU",IF(I1044="",IF(H1044="OUI","À ENROBER",IF(G1044="À SOUDER","NON SOUDÉ","EN ATTENTE RT")),IF(L1044="R","À REPRENDRE",IF(H1044&lt;&gt;"OUI","⚠ ENROBÉ AVANT ACCEPTATION RT","ENROBÉ")))))</f>
        <v>À ENROBER</v>
      </c>
      <c r="O1044" s="80"/>
      <c r="P1044" s="82" t="n">
        <f aca="false">IF(C1044="","",IFERROR(MATCH(Q1044,'CARNET DE SOUDURE'!$AW$7:$AW$3006,0),""))</f>
        <v>1038</v>
      </c>
      <c r="Q1044" s="82" t="str">
        <f aca="false">IF(C1044="","",B1044&amp;"|"&amp;C1044)</f>
        <v>MFD-ISW → MFD-CPF|JN°924</v>
      </c>
    </row>
    <row r="1045" customFormat="false" ht="74.6" hidden="false" customHeight="false" outlineLevel="0" collapsed="false">
      <c r="A1045" s="82" t="n">
        <f aca="false">IF(C1045="","",ROW()-6)</f>
        <v>1039</v>
      </c>
      <c r="B1045" s="80" t="s">
        <v>110</v>
      </c>
      <c r="C1045" s="113" t="s">
        <v>1237</v>
      </c>
      <c r="D1045" s="82" t="str">
        <f aca="false">IF(OR(C1045="",P1045=""),"",INDEX('CARNET DE SOUDURE'!$D$7:$D$3006,P1045)&amp;"")</f>
        <v>7</v>
      </c>
      <c r="E1045" s="114" t="n">
        <f aca="false">IF(OR(C1045="",P1045=""),"",IF(INDEX('CARNET DE SOUDURE'!$U$7:$U$3006,P1045)="","",INDEX('CARNET DE SOUDURE'!$U$7:$U$3006,P1045)))</f>
        <v>46280</v>
      </c>
      <c r="F1045" s="82" t="str">
        <f aca="false">IF(OR(C1045="",P1045=""),"",INDEX('CARNET DE SOUDURE'!$AP$7:$AP$3006,P1045))</f>
        <v>A</v>
      </c>
      <c r="G1045" s="82" t="str">
        <f aca="false">IF(C1045="","",IF(P1045="","NJ INCONNU",INDEX('CARNET DE SOUDURE'!$AQ$7:$AQ$3006,P1045)))</f>
        <v>ACCEPTÉ</v>
      </c>
      <c r="H1045" s="82" t="str">
        <f aca="false">IF(C1045="","",IF(G1045="ACCEPTÉ","OUI","NON"))</f>
        <v>OUI</v>
      </c>
      <c r="I1045" s="83"/>
      <c r="J1045" s="80"/>
      <c r="K1045" s="81"/>
      <c r="L1045" s="81"/>
      <c r="M1045" s="81"/>
      <c r="N1045" s="84" t="str">
        <f aca="false">IF(C1045="","",IF(P1045="","NJ INCONNU",IF(I1045="",IF(H1045="OUI","À ENROBER",IF(G1045="À SOUDER","NON SOUDÉ","EN ATTENTE RT")),IF(L1045="R","À REPRENDRE",IF(H1045&lt;&gt;"OUI","⚠ ENROBÉ AVANT ACCEPTATION RT","ENROBÉ")))))</f>
        <v>À ENROBER</v>
      </c>
      <c r="O1045" s="80"/>
      <c r="P1045" s="82" t="n">
        <f aca="false">IF(C1045="","",IFERROR(MATCH(Q1045,'CARNET DE SOUDURE'!$AW$7:$AW$3006,0),""))</f>
        <v>1039</v>
      </c>
      <c r="Q1045" s="82" t="str">
        <f aca="false">IF(C1045="","",B1045&amp;"|"&amp;C1045)</f>
        <v>MFD-ISW → MFD-CPF|DJ°403</v>
      </c>
    </row>
    <row r="1046" customFormat="false" ht="74.6" hidden="false" customHeight="false" outlineLevel="0" collapsed="false">
      <c r="A1046" s="82" t="n">
        <f aca="false">IF(C1046="","",ROW()-6)</f>
        <v>1040</v>
      </c>
      <c r="B1046" s="80" t="s">
        <v>110</v>
      </c>
      <c r="C1046" s="113" t="s">
        <v>1238</v>
      </c>
      <c r="D1046" s="82" t="str">
        <f aca="false">IF(OR(C1046="",P1046=""),"",INDEX('CARNET DE SOUDURE'!$D$7:$D$3006,P1046)&amp;"")</f>
        <v>7</v>
      </c>
      <c r="E1046" s="114" t="n">
        <f aca="false">IF(OR(C1046="",P1046=""),"",IF(INDEX('CARNET DE SOUDURE'!$U$7:$U$3006,P1046)="","",INDEX('CARNET DE SOUDURE'!$U$7:$U$3006,P1046)))</f>
        <v>46283</v>
      </c>
      <c r="F1046" s="82" t="str">
        <f aca="false">IF(OR(C1046="",P1046=""),"",INDEX('CARNET DE SOUDURE'!$AP$7:$AP$3006,P1046))</f>
        <v>A</v>
      </c>
      <c r="G1046" s="82" t="str">
        <f aca="false">IF(C1046="","",IF(P1046="","NJ INCONNU",INDEX('CARNET DE SOUDURE'!$AQ$7:$AQ$3006,P1046)))</f>
        <v>ACCEPTÉ</v>
      </c>
      <c r="H1046" s="82" t="str">
        <f aca="false">IF(C1046="","",IF(G1046="ACCEPTÉ","OUI","NON"))</f>
        <v>OUI</v>
      </c>
      <c r="I1046" s="83"/>
      <c r="J1046" s="80"/>
      <c r="K1046" s="81"/>
      <c r="L1046" s="81"/>
      <c r="M1046" s="81"/>
      <c r="N1046" s="84" t="str">
        <f aca="false">IF(C1046="","",IF(P1046="","NJ INCONNU",IF(I1046="",IF(H1046="OUI","À ENROBER",IF(G1046="À SOUDER","NON SOUDÉ","EN ATTENTE RT")),IF(L1046="R","À REPRENDRE",IF(H1046&lt;&gt;"OUI","⚠ ENROBÉ AVANT ACCEPTATION RT","ENROBÉ")))))</f>
        <v>À ENROBER</v>
      </c>
      <c r="O1046" s="80"/>
      <c r="P1046" s="82" t="n">
        <f aca="false">IF(C1046="","",IFERROR(MATCH(Q1046,'CARNET DE SOUDURE'!$AW$7:$AW$3006,0),""))</f>
        <v>1040</v>
      </c>
      <c r="Q1046" s="82" t="str">
        <f aca="false">IF(C1046="","",B1046&amp;"|"&amp;C1046)</f>
        <v>MFD-ISW → MFD-CPF|JN°925</v>
      </c>
    </row>
    <row r="1047" customFormat="false" ht="74.6" hidden="false" customHeight="false" outlineLevel="0" collapsed="false">
      <c r="A1047" s="82" t="n">
        <f aca="false">IF(C1047="","",ROW()-6)</f>
        <v>1041</v>
      </c>
      <c r="B1047" s="80" t="s">
        <v>110</v>
      </c>
      <c r="C1047" s="113" t="s">
        <v>1239</v>
      </c>
      <c r="D1047" s="82" t="str">
        <f aca="false">IF(OR(C1047="",P1047=""),"",INDEX('CARNET DE SOUDURE'!$D$7:$D$3006,P1047)&amp;"")</f>
        <v>7</v>
      </c>
      <c r="E1047" s="114" t="n">
        <f aca="false">IF(OR(C1047="",P1047=""),"",IF(INDEX('CARNET DE SOUDURE'!$U$7:$U$3006,P1047)="","",INDEX('CARNET DE SOUDURE'!$U$7:$U$3006,P1047)))</f>
        <v>46280</v>
      </c>
      <c r="F1047" s="82" t="str">
        <f aca="false">IF(OR(C1047="",P1047=""),"",INDEX('CARNET DE SOUDURE'!$AP$7:$AP$3006,P1047))</f>
        <v>A</v>
      </c>
      <c r="G1047" s="82" t="str">
        <f aca="false">IF(C1047="","",IF(P1047="","NJ INCONNU",INDEX('CARNET DE SOUDURE'!$AQ$7:$AQ$3006,P1047)))</f>
        <v>ACCEPTÉ</v>
      </c>
      <c r="H1047" s="82" t="str">
        <f aca="false">IF(C1047="","",IF(G1047="ACCEPTÉ","OUI","NON"))</f>
        <v>OUI</v>
      </c>
      <c r="I1047" s="83"/>
      <c r="J1047" s="80"/>
      <c r="K1047" s="81"/>
      <c r="L1047" s="81"/>
      <c r="M1047" s="81"/>
      <c r="N1047" s="84" t="str">
        <f aca="false">IF(C1047="","",IF(P1047="","NJ INCONNU",IF(I1047="",IF(H1047="OUI","À ENROBER",IF(G1047="À SOUDER","NON SOUDÉ","EN ATTENTE RT")),IF(L1047="R","À REPRENDRE",IF(H1047&lt;&gt;"OUI","⚠ ENROBÉ AVANT ACCEPTATION RT","ENROBÉ")))))</f>
        <v>À ENROBER</v>
      </c>
      <c r="O1047" s="80"/>
      <c r="P1047" s="82" t="n">
        <f aca="false">IF(C1047="","",IFERROR(MATCH(Q1047,'CARNET DE SOUDURE'!$AW$7:$AW$3006,0),""))</f>
        <v>1041</v>
      </c>
      <c r="Q1047" s="82" t="str">
        <f aca="false">IF(C1047="","",B1047&amp;"|"&amp;C1047)</f>
        <v>MFD-ISW → MFD-CPF|DJ°404</v>
      </c>
    </row>
    <row r="1048" customFormat="false" ht="74.6" hidden="false" customHeight="false" outlineLevel="0" collapsed="false">
      <c r="A1048" s="82" t="n">
        <f aca="false">IF(C1048="","",ROW()-6)</f>
        <v>1042</v>
      </c>
      <c r="B1048" s="80" t="s">
        <v>110</v>
      </c>
      <c r="C1048" s="113" t="s">
        <v>1240</v>
      </c>
      <c r="D1048" s="82" t="str">
        <f aca="false">IF(OR(C1048="",P1048=""),"",INDEX('CARNET DE SOUDURE'!$D$7:$D$3006,P1048)&amp;"")</f>
        <v>7</v>
      </c>
      <c r="E1048" s="114" t="n">
        <f aca="false">IF(OR(C1048="",P1048=""),"",IF(INDEX('CARNET DE SOUDURE'!$U$7:$U$3006,P1048)="","",INDEX('CARNET DE SOUDURE'!$U$7:$U$3006,P1048)))</f>
        <v>46283</v>
      </c>
      <c r="F1048" s="82" t="str">
        <f aca="false">IF(OR(C1048="",P1048=""),"",INDEX('CARNET DE SOUDURE'!$AP$7:$AP$3006,P1048))</f>
        <v>R</v>
      </c>
      <c r="G1048" s="82" t="str">
        <f aca="false">IF(C1048="","",IF(P1048="","NJ INCONNU",INDEX('CARNET DE SOUDURE'!$AQ$7:$AQ$3006,P1048)))</f>
        <v>À RÉPARER</v>
      </c>
      <c r="H1048" s="82" t="str">
        <f aca="false">IF(C1048="","",IF(G1048="ACCEPTÉ","OUI","NON"))</f>
        <v>NON</v>
      </c>
      <c r="I1048" s="83"/>
      <c r="J1048" s="80"/>
      <c r="K1048" s="81"/>
      <c r="L1048" s="81"/>
      <c r="M1048" s="81"/>
      <c r="N1048" s="84" t="str">
        <f aca="false">IF(C1048="","",IF(P1048="","NJ INCONNU",IF(I1048="",IF(H1048="OUI","À ENROBER",IF(G1048="À SOUDER","NON SOUDÉ","EN ATTENTE RT")),IF(L1048="R","À REPRENDRE",IF(H1048&lt;&gt;"OUI","⚠ ENROBÉ AVANT ACCEPTATION RT","ENROBÉ")))))</f>
        <v>EN ATTENTE RT</v>
      </c>
      <c r="O1048" s="80"/>
      <c r="P1048" s="82" t="n">
        <f aca="false">IF(C1048="","",IFERROR(MATCH(Q1048,'CARNET DE SOUDURE'!$AW$7:$AW$3006,0),""))</f>
        <v>1042</v>
      </c>
      <c r="Q1048" s="82" t="str">
        <f aca="false">IF(C1048="","",B1048&amp;"|"&amp;C1048)</f>
        <v>MFD-ISW → MFD-CPF|JN°926</v>
      </c>
    </row>
    <row r="1049" customFormat="false" ht="74.6" hidden="false" customHeight="false" outlineLevel="0" collapsed="false">
      <c r="A1049" s="82" t="n">
        <f aca="false">IF(C1049="","",ROW()-6)</f>
        <v>1043</v>
      </c>
      <c r="B1049" s="80" t="s">
        <v>110</v>
      </c>
      <c r="C1049" s="113" t="s">
        <v>1242</v>
      </c>
      <c r="D1049" s="82" t="str">
        <f aca="false">IF(OR(C1049="",P1049=""),"",INDEX('CARNET DE SOUDURE'!$D$7:$D$3006,P1049)&amp;"")</f>
        <v>7</v>
      </c>
      <c r="E1049" s="114" t="n">
        <f aca="false">IF(OR(C1049="",P1049=""),"",IF(INDEX('CARNET DE SOUDURE'!$U$7:$U$3006,P1049)="","",INDEX('CARNET DE SOUDURE'!$U$7:$U$3006,P1049)))</f>
        <v>46280</v>
      </c>
      <c r="F1049" s="82" t="str">
        <f aca="false">IF(OR(C1049="",P1049=""),"",INDEX('CARNET DE SOUDURE'!$AP$7:$AP$3006,P1049))</f>
        <v>A</v>
      </c>
      <c r="G1049" s="82" t="str">
        <f aca="false">IF(C1049="","",IF(P1049="","NJ INCONNU",INDEX('CARNET DE SOUDURE'!$AQ$7:$AQ$3006,P1049)))</f>
        <v>ACCEPTÉ</v>
      </c>
      <c r="H1049" s="82" t="str">
        <f aca="false">IF(C1049="","",IF(G1049="ACCEPTÉ","OUI","NON"))</f>
        <v>OUI</v>
      </c>
      <c r="I1049" s="83"/>
      <c r="J1049" s="80"/>
      <c r="K1049" s="81"/>
      <c r="L1049" s="81"/>
      <c r="M1049" s="81"/>
      <c r="N1049" s="84" t="str">
        <f aca="false">IF(C1049="","",IF(P1049="","NJ INCONNU",IF(I1049="",IF(H1049="OUI","À ENROBER",IF(G1049="À SOUDER","NON SOUDÉ","EN ATTENTE RT")),IF(L1049="R","À REPRENDRE",IF(H1049&lt;&gt;"OUI","⚠ ENROBÉ AVANT ACCEPTATION RT","ENROBÉ")))))</f>
        <v>À ENROBER</v>
      </c>
      <c r="O1049" s="80"/>
      <c r="P1049" s="82" t="n">
        <f aca="false">IF(C1049="","",IFERROR(MATCH(Q1049,'CARNET DE SOUDURE'!$AW$7:$AW$3006,0),""))</f>
        <v>1043</v>
      </c>
      <c r="Q1049" s="82" t="str">
        <f aca="false">IF(C1049="","",B1049&amp;"|"&amp;C1049)</f>
        <v>MFD-ISW → MFD-CPF|DJ°405</v>
      </c>
    </row>
    <row r="1050" customFormat="false" ht="74.6" hidden="false" customHeight="false" outlineLevel="0" collapsed="false">
      <c r="A1050" s="82" t="n">
        <f aca="false">IF(C1050="","",ROW()-6)</f>
        <v>1044</v>
      </c>
      <c r="B1050" s="80" t="s">
        <v>110</v>
      </c>
      <c r="C1050" s="113" t="s">
        <v>1243</v>
      </c>
      <c r="D1050" s="82" t="str">
        <f aca="false">IF(OR(C1050="",P1050=""),"",INDEX('CARNET DE SOUDURE'!$D$7:$D$3006,P1050)&amp;"")</f>
        <v>7</v>
      </c>
      <c r="E1050" s="114" t="n">
        <f aca="false">IF(OR(C1050="",P1050=""),"",IF(INDEX('CARNET DE SOUDURE'!$U$7:$U$3006,P1050)="","",INDEX('CARNET DE SOUDURE'!$U$7:$U$3006,P1050)))</f>
        <v>46282</v>
      </c>
      <c r="F1050" s="82" t="str">
        <f aca="false">IF(OR(C1050="",P1050=""),"",INDEX('CARNET DE SOUDURE'!$AP$7:$AP$3006,P1050))</f>
        <v>R</v>
      </c>
      <c r="G1050" s="82" t="str">
        <f aca="false">IF(C1050="","",IF(P1050="","NJ INCONNU",INDEX('CARNET DE SOUDURE'!$AQ$7:$AQ$3006,P1050)))</f>
        <v>À RÉPARER</v>
      </c>
      <c r="H1050" s="82" t="str">
        <f aca="false">IF(C1050="","",IF(G1050="ACCEPTÉ","OUI","NON"))</f>
        <v>NON</v>
      </c>
      <c r="I1050" s="83"/>
      <c r="J1050" s="80"/>
      <c r="K1050" s="81"/>
      <c r="L1050" s="81"/>
      <c r="M1050" s="81"/>
      <c r="N1050" s="84" t="str">
        <f aca="false">IF(C1050="","",IF(P1050="","NJ INCONNU",IF(I1050="",IF(H1050="OUI","À ENROBER",IF(G1050="À SOUDER","NON SOUDÉ","EN ATTENTE RT")),IF(L1050="R","À REPRENDRE",IF(H1050&lt;&gt;"OUI","⚠ ENROBÉ AVANT ACCEPTATION RT","ENROBÉ")))))</f>
        <v>EN ATTENTE RT</v>
      </c>
      <c r="O1050" s="80"/>
      <c r="P1050" s="82" t="n">
        <f aca="false">IF(C1050="","",IFERROR(MATCH(Q1050,'CARNET DE SOUDURE'!$AW$7:$AW$3006,0),""))</f>
        <v>1044</v>
      </c>
      <c r="Q1050" s="82" t="str">
        <f aca="false">IF(C1050="","",B1050&amp;"|"&amp;C1050)</f>
        <v>MFD-ISW → MFD-CPF|JN°927</v>
      </c>
    </row>
    <row r="1051" customFormat="false" ht="74.6" hidden="false" customHeight="false" outlineLevel="0" collapsed="false">
      <c r="A1051" s="82" t="n">
        <f aca="false">IF(C1051="","",ROW()-6)</f>
        <v>1045</v>
      </c>
      <c r="B1051" s="80" t="s">
        <v>110</v>
      </c>
      <c r="C1051" s="113" t="s">
        <v>1247</v>
      </c>
      <c r="D1051" s="82" t="str">
        <f aca="false">IF(OR(C1051="",P1051=""),"",INDEX('CARNET DE SOUDURE'!$D$7:$D$3006,P1051)&amp;"")</f>
        <v>7</v>
      </c>
      <c r="E1051" s="114" t="n">
        <f aca="false">IF(OR(C1051="",P1051=""),"",IF(INDEX('CARNET DE SOUDURE'!$U$7:$U$3006,P1051)="","",INDEX('CARNET DE SOUDURE'!$U$7:$U$3006,P1051)))</f>
        <v>46280</v>
      </c>
      <c r="F1051" s="82" t="str">
        <f aca="false">IF(OR(C1051="",P1051=""),"",INDEX('CARNET DE SOUDURE'!$AP$7:$AP$3006,P1051))</f>
        <v>A</v>
      </c>
      <c r="G1051" s="82" t="str">
        <f aca="false">IF(C1051="","",IF(P1051="","NJ INCONNU",INDEX('CARNET DE SOUDURE'!$AQ$7:$AQ$3006,P1051)))</f>
        <v>ACCEPTÉ</v>
      </c>
      <c r="H1051" s="82" t="str">
        <f aca="false">IF(C1051="","",IF(G1051="ACCEPTÉ","OUI","NON"))</f>
        <v>OUI</v>
      </c>
      <c r="I1051" s="83"/>
      <c r="J1051" s="80"/>
      <c r="K1051" s="81"/>
      <c r="L1051" s="81"/>
      <c r="M1051" s="81"/>
      <c r="N1051" s="84" t="str">
        <f aca="false">IF(C1051="","",IF(P1051="","NJ INCONNU",IF(I1051="",IF(H1051="OUI","À ENROBER",IF(G1051="À SOUDER","NON SOUDÉ","EN ATTENTE RT")),IF(L1051="R","À REPRENDRE",IF(H1051&lt;&gt;"OUI","⚠ ENROBÉ AVANT ACCEPTATION RT","ENROBÉ")))))</f>
        <v>À ENROBER</v>
      </c>
      <c r="O1051" s="80"/>
      <c r="P1051" s="82" t="n">
        <f aca="false">IF(C1051="","",IFERROR(MATCH(Q1051,'CARNET DE SOUDURE'!$AW$7:$AW$3006,0),""))</f>
        <v>1045</v>
      </c>
      <c r="Q1051" s="82" t="str">
        <f aca="false">IF(C1051="","",B1051&amp;"|"&amp;C1051)</f>
        <v>MFD-ISW → MFD-CPF|DJ°399</v>
      </c>
    </row>
    <row r="1052" customFormat="false" ht="74.6" hidden="false" customHeight="false" outlineLevel="0" collapsed="false">
      <c r="A1052" s="82" t="n">
        <f aca="false">IF(C1052="","",ROW()-6)</f>
        <v>1046</v>
      </c>
      <c r="B1052" s="80" t="s">
        <v>110</v>
      </c>
      <c r="C1052" s="113" t="s">
        <v>1248</v>
      </c>
      <c r="D1052" s="82" t="str">
        <f aca="false">IF(OR(C1052="",P1052=""),"",INDEX('CARNET DE SOUDURE'!$D$7:$D$3006,P1052)&amp;"")</f>
        <v>7</v>
      </c>
      <c r="E1052" s="114" t="n">
        <f aca="false">IF(OR(C1052="",P1052=""),"",IF(INDEX('CARNET DE SOUDURE'!$U$7:$U$3006,P1052)="","",INDEX('CARNET DE SOUDURE'!$U$7:$U$3006,P1052)))</f>
        <v>46282</v>
      </c>
      <c r="F1052" s="82" t="str">
        <f aca="false">IF(OR(C1052="",P1052=""),"",INDEX('CARNET DE SOUDURE'!$AP$7:$AP$3006,P1052))</f>
        <v>NX</v>
      </c>
      <c r="G1052" s="82" t="str">
        <f aca="false">IF(C1052="","",IF(P1052="","NJ INCONNU",INDEX('CARNET DE SOUDURE'!$AQ$7:$AQ$3006,P1052)))</f>
        <v>NX – RT À REFAIRE</v>
      </c>
      <c r="H1052" s="82" t="str">
        <f aca="false">IF(C1052="","",IF(G1052="ACCEPTÉ","OUI","NON"))</f>
        <v>NON</v>
      </c>
      <c r="I1052" s="83"/>
      <c r="J1052" s="80"/>
      <c r="K1052" s="81"/>
      <c r="L1052" s="81"/>
      <c r="M1052" s="81"/>
      <c r="N1052" s="84" t="str">
        <f aca="false">IF(C1052="","",IF(P1052="","NJ INCONNU",IF(I1052="",IF(H1052="OUI","À ENROBER",IF(G1052="À SOUDER","NON SOUDÉ","EN ATTENTE RT")),IF(L1052="R","À REPRENDRE",IF(H1052&lt;&gt;"OUI","⚠ ENROBÉ AVANT ACCEPTATION RT","ENROBÉ")))))</f>
        <v>EN ATTENTE RT</v>
      </c>
      <c r="O1052" s="80"/>
      <c r="P1052" s="82" t="n">
        <f aca="false">IF(C1052="","",IFERROR(MATCH(Q1052,'CARNET DE SOUDURE'!$AW$7:$AW$3006,0),""))</f>
        <v>1046</v>
      </c>
      <c r="Q1052" s="82" t="str">
        <f aca="false">IF(C1052="","",B1052&amp;"|"&amp;C1052)</f>
        <v>MFD-ISW → MFD-CPF|JN°928</v>
      </c>
    </row>
    <row r="1053" customFormat="false" ht="74.6" hidden="false" customHeight="false" outlineLevel="0" collapsed="false">
      <c r="A1053" s="82" t="n">
        <f aca="false">IF(C1053="","",ROW()-6)</f>
        <v>1047</v>
      </c>
      <c r="B1053" s="80" t="s">
        <v>110</v>
      </c>
      <c r="C1053" s="113" t="s">
        <v>1250</v>
      </c>
      <c r="D1053" s="82" t="str">
        <f aca="false">IF(OR(C1053="",P1053=""),"",INDEX('CARNET DE SOUDURE'!$D$7:$D$3006,P1053)&amp;"")</f>
        <v>7</v>
      </c>
      <c r="E1053" s="114" t="n">
        <f aca="false">IF(OR(C1053="",P1053=""),"",IF(INDEX('CARNET DE SOUDURE'!$U$7:$U$3006,P1053)="","",INDEX('CARNET DE SOUDURE'!$U$7:$U$3006,P1053)))</f>
        <v>46280</v>
      </c>
      <c r="F1053" s="82" t="str">
        <f aca="false">IF(OR(C1053="",P1053=""),"",INDEX('CARNET DE SOUDURE'!$AP$7:$AP$3006,P1053))</f>
        <v>A</v>
      </c>
      <c r="G1053" s="82" t="str">
        <f aca="false">IF(C1053="","",IF(P1053="","NJ INCONNU",INDEX('CARNET DE SOUDURE'!$AQ$7:$AQ$3006,P1053)))</f>
        <v>ACCEPTÉ</v>
      </c>
      <c r="H1053" s="82" t="str">
        <f aca="false">IF(C1053="","",IF(G1053="ACCEPTÉ","OUI","NON"))</f>
        <v>OUI</v>
      </c>
      <c r="I1053" s="83"/>
      <c r="J1053" s="80"/>
      <c r="K1053" s="81"/>
      <c r="L1053" s="81"/>
      <c r="M1053" s="81"/>
      <c r="N1053" s="84" t="str">
        <f aca="false">IF(C1053="","",IF(P1053="","NJ INCONNU",IF(I1053="",IF(H1053="OUI","À ENROBER",IF(G1053="À SOUDER","NON SOUDÉ","EN ATTENTE RT")),IF(L1053="R","À REPRENDRE",IF(H1053&lt;&gt;"OUI","⚠ ENROBÉ AVANT ACCEPTATION RT","ENROBÉ")))))</f>
        <v>À ENROBER</v>
      </c>
      <c r="O1053" s="80"/>
      <c r="P1053" s="82" t="n">
        <f aca="false">IF(C1053="","",IFERROR(MATCH(Q1053,'CARNET DE SOUDURE'!$AW$7:$AW$3006,0),""))</f>
        <v>1047</v>
      </c>
      <c r="Q1053" s="82" t="str">
        <f aca="false">IF(C1053="","",B1053&amp;"|"&amp;C1053)</f>
        <v>MFD-ISW → MFD-CPF|DJ°400</v>
      </c>
    </row>
    <row r="1054" customFormat="false" ht="74.6" hidden="false" customHeight="false" outlineLevel="0" collapsed="false">
      <c r="A1054" s="82" t="n">
        <f aca="false">IF(C1054="","",ROW()-6)</f>
        <v>1048</v>
      </c>
      <c r="B1054" s="80" t="s">
        <v>110</v>
      </c>
      <c r="C1054" s="113" t="s">
        <v>1251</v>
      </c>
      <c r="D1054" s="82" t="str">
        <f aca="false">IF(OR(C1054="",P1054=""),"",INDEX('CARNET DE SOUDURE'!$D$7:$D$3006,P1054)&amp;"")</f>
        <v>7</v>
      </c>
      <c r="E1054" s="114" t="n">
        <f aca="false">IF(OR(C1054="",P1054=""),"",IF(INDEX('CARNET DE SOUDURE'!$U$7:$U$3006,P1054)="","",INDEX('CARNET DE SOUDURE'!$U$7:$U$3006,P1054)))</f>
        <v>46282</v>
      </c>
      <c r="F1054" s="82" t="str">
        <f aca="false">IF(OR(C1054="",P1054=""),"",INDEX('CARNET DE SOUDURE'!$AP$7:$AP$3006,P1054))</f>
        <v>A</v>
      </c>
      <c r="G1054" s="82" t="str">
        <f aca="false">IF(C1054="","",IF(P1054="","NJ INCONNU",INDEX('CARNET DE SOUDURE'!$AQ$7:$AQ$3006,P1054)))</f>
        <v>ACCEPTÉ</v>
      </c>
      <c r="H1054" s="82" t="str">
        <f aca="false">IF(C1054="","",IF(G1054="ACCEPTÉ","OUI","NON"))</f>
        <v>OUI</v>
      </c>
      <c r="I1054" s="83"/>
      <c r="J1054" s="80"/>
      <c r="K1054" s="81"/>
      <c r="L1054" s="81"/>
      <c r="M1054" s="81"/>
      <c r="N1054" s="84" t="str">
        <f aca="false">IF(C1054="","",IF(P1054="","NJ INCONNU",IF(I1054="",IF(H1054="OUI","À ENROBER",IF(G1054="À SOUDER","NON SOUDÉ","EN ATTENTE RT")),IF(L1054="R","À REPRENDRE",IF(H1054&lt;&gt;"OUI","⚠ ENROBÉ AVANT ACCEPTATION RT","ENROBÉ")))))</f>
        <v>À ENROBER</v>
      </c>
      <c r="O1054" s="80"/>
      <c r="P1054" s="82" t="n">
        <f aca="false">IF(C1054="","",IFERROR(MATCH(Q1054,'CARNET DE SOUDURE'!$AW$7:$AW$3006,0),""))</f>
        <v>1048</v>
      </c>
      <c r="Q1054" s="82" t="str">
        <f aca="false">IF(C1054="","",B1054&amp;"|"&amp;C1054)</f>
        <v>MFD-ISW → MFD-CPF|JN°929</v>
      </c>
    </row>
    <row r="1055" customFormat="false" ht="74.6" hidden="false" customHeight="false" outlineLevel="0" collapsed="false">
      <c r="A1055" s="82" t="n">
        <f aca="false">IF(C1055="","",ROW()-6)</f>
        <v>1049</v>
      </c>
      <c r="B1055" s="80" t="s">
        <v>110</v>
      </c>
      <c r="C1055" s="113" t="s">
        <v>1252</v>
      </c>
      <c r="D1055" s="82" t="str">
        <f aca="false">IF(OR(C1055="",P1055=""),"",INDEX('CARNET DE SOUDURE'!$D$7:$D$3006,P1055)&amp;"")</f>
        <v>7</v>
      </c>
      <c r="E1055" s="114" t="n">
        <f aca="false">IF(OR(C1055="",P1055=""),"",IF(INDEX('CARNET DE SOUDURE'!$U$7:$U$3006,P1055)="","",INDEX('CARNET DE SOUDURE'!$U$7:$U$3006,P1055)))</f>
        <v>46280</v>
      </c>
      <c r="F1055" s="82" t="str">
        <f aca="false">IF(OR(C1055="",P1055=""),"",INDEX('CARNET DE SOUDURE'!$AP$7:$AP$3006,P1055))</f>
        <v>A</v>
      </c>
      <c r="G1055" s="82" t="str">
        <f aca="false">IF(C1055="","",IF(P1055="","NJ INCONNU",INDEX('CARNET DE SOUDURE'!$AQ$7:$AQ$3006,P1055)))</f>
        <v>ACCEPTÉ</v>
      </c>
      <c r="H1055" s="82" t="str">
        <f aca="false">IF(C1055="","",IF(G1055="ACCEPTÉ","OUI","NON"))</f>
        <v>OUI</v>
      </c>
      <c r="I1055" s="83"/>
      <c r="J1055" s="80"/>
      <c r="K1055" s="81"/>
      <c r="L1055" s="81"/>
      <c r="M1055" s="81"/>
      <c r="N1055" s="84" t="str">
        <f aca="false">IF(C1055="","",IF(P1055="","NJ INCONNU",IF(I1055="",IF(H1055="OUI","À ENROBER",IF(G1055="À SOUDER","NON SOUDÉ","EN ATTENTE RT")),IF(L1055="R","À REPRENDRE",IF(H1055&lt;&gt;"OUI","⚠ ENROBÉ AVANT ACCEPTATION RT","ENROBÉ")))))</f>
        <v>À ENROBER</v>
      </c>
      <c r="O1055" s="80"/>
      <c r="P1055" s="82" t="n">
        <f aca="false">IF(C1055="","",IFERROR(MATCH(Q1055,'CARNET DE SOUDURE'!$AW$7:$AW$3006,0),""))</f>
        <v>1049</v>
      </c>
      <c r="Q1055" s="82" t="str">
        <f aca="false">IF(C1055="","",B1055&amp;"|"&amp;C1055)</f>
        <v>MFD-ISW → MFD-CPF|DJ°398</v>
      </c>
    </row>
    <row r="1056" customFormat="false" ht="74.6" hidden="false" customHeight="false" outlineLevel="0" collapsed="false">
      <c r="A1056" s="82" t="n">
        <f aca="false">IF(C1056="","",ROW()-6)</f>
        <v>1050</v>
      </c>
      <c r="B1056" s="80" t="s">
        <v>110</v>
      </c>
      <c r="C1056" s="113" t="s">
        <v>1253</v>
      </c>
      <c r="D1056" s="82" t="str">
        <f aca="false">IF(OR(C1056="",P1056=""),"",INDEX('CARNET DE SOUDURE'!$D$7:$D$3006,P1056)&amp;"")</f>
        <v>7</v>
      </c>
      <c r="E1056" s="114" t="n">
        <f aca="false">IF(OR(C1056="",P1056=""),"",IF(INDEX('CARNET DE SOUDURE'!$U$7:$U$3006,P1056)="","",INDEX('CARNET DE SOUDURE'!$U$7:$U$3006,P1056)))</f>
        <v>46282</v>
      </c>
      <c r="F1056" s="82" t="str">
        <f aca="false">IF(OR(C1056="",P1056=""),"",INDEX('CARNET DE SOUDURE'!$AP$7:$AP$3006,P1056))</f>
        <v>A</v>
      </c>
      <c r="G1056" s="82" t="str">
        <f aca="false">IF(C1056="","",IF(P1056="","NJ INCONNU",INDEX('CARNET DE SOUDURE'!$AQ$7:$AQ$3006,P1056)))</f>
        <v>ACCEPTÉ</v>
      </c>
      <c r="H1056" s="82" t="str">
        <f aca="false">IF(C1056="","",IF(G1056="ACCEPTÉ","OUI","NON"))</f>
        <v>OUI</v>
      </c>
      <c r="I1056" s="83"/>
      <c r="J1056" s="80"/>
      <c r="K1056" s="81"/>
      <c r="L1056" s="81"/>
      <c r="M1056" s="81"/>
      <c r="N1056" s="84" t="str">
        <f aca="false">IF(C1056="","",IF(P1056="","NJ INCONNU",IF(I1056="",IF(H1056="OUI","À ENROBER",IF(G1056="À SOUDER","NON SOUDÉ","EN ATTENTE RT")),IF(L1056="R","À REPRENDRE",IF(H1056&lt;&gt;"OUI","⚠ ENROBÉ AVANT ACCEPTATION RT","ENROBÉ")))))</f>
        <v>À ENROBER</v>
      </c>
      <c r="O1056" s="80"/>
      <c r="P1056" s="82" t="n">
        <f aca="false">IF(C1056="","",IFERROR(MATCH(Q1056,'CARNET DE SOUDURE'!$AW$7:$AW$3006,0),""))</f>
        <v>1050</v>
      </c>
      <c r="Q1056" s="82" t="str">
        <f aca="false">IF(C1056="","",B1056&amp;"|"&amp;C1056)</f>
        <v>MFD-ISW → MFD-CPF|JN°930</v>
      </c>
    </row>
    <row r="1057" customFormat="false" ht="74.6" hidden="false" customHeight="false" outlineLevel="0" collapsed="false">
      <c r="A1057" s="82" t="n">
        <f aca="false">IF(C1057="","",ROW()-6)</f>
        <v>1051</v>
      </c>
      <c r="B1057" s="80" t="s">
        <v>110</v>
      </c>
      <c r="C1057" s="113" t="s">
        <v>1254</v>
      </c>
      <c r="D1057" s="82" t="str">
        <f aca="false">IF(OR(C1057="",P1057=""),"",INDEX('CARNET DE SOUDURE'!$D$7:$D$3006,P1057)&amp;"")</f>
        <v>7</v>
      </c>
      <c r="E1057" s="114" t="n">
        <f aca="false">IF(OR(C1057="",P1057=""),"",IF(INDEX('CARNET DE SOUDURE'!$U$7:$U$3006,P1057)="","",INDEX('CARNET DE SOUDURE'!$U$7:$U$3006,P1057)))</f>
        <v>46280</v>
      </c>
      <c r="F1057" s="82" t="str">
        <f aca="false">IF(OR(C1057="",P1057=""),"",INDEX('CARNET DE SOUDURE'!$AP$7:$AP$3006,P1057))</f>
        <v>A</v>
      </c>
      <c r="G1057" s="82" t="str">
        <f aca="false">IF(C1057="","",IF(P1057="","NJ INCONNU",INDEX('CARNET DE SOUDURE'!$AQ$7:$AQ$3006,P1057)))</f>
        <v>ACCEPTÉ</v>
      </c>
      <c r="H1057" s="82" t="str">
        <f aca="false">IF(C1057="","",IF(G1057="ACCEPTÉ","OUI","NON"))</f>
        <v>OUI</v>
      </c>
      <c r="I1057" s="83"/>
      <c r="J1057" s="80"/>
      <c r="K1057" s="81"/>
      <c r="L1057" s="81"/>
      <c r="M1057" s="81"/>
      <c r="N1057" s="84" t="str">
        <f aca="false">IF(C1057="","",IF(P1057="","NJ INCONNU",IF(I1057="",IF(H1057="OUI","À ENROBER",IF(G1057="À SOUDER","NON SOUDÉ","EN ATTENTE RT")),IF(L1057="R","À REPRENDRE",IF(H1057&lt;&gt;"OUI","⚠ ENROBÉ AVANT ACCEPTATION RT","ENROBÉ")))))</f>
        <v>À ENROBER</v>
      </c>
      <c r="O1057" s="80"/>
      <c r="P1057" s="82" t="n">
        <f aca="false">IF(C1057="","",IFERROR(MATCH(Q1057,'CARNET DE SOUDURE'!$AW$7:$AW$3006,0),""))</f>
        <v>1051</v>
      </c>
      <c r="Q1057" s="82" t="str">
        <f aca="false">IF(C1057="","",B1057&amp;"|"&amp;C1057)</f>
        <v>MFD-ISW → MFD-CPF|DJ°396</v>
      </c>
    </row>
    <row r="1058" customFormat="false" ht="74.6" hidden="false" customHeight="false" outlineLevel="0" collapsed="false">
      <c r="A1058" s="82" t="n">
        <f aca="false">IF(C1058="","",ROW()-6)</f>
        <v>1052</v>
      </c>
      <c r="B1058" s="80" t="s">
        <v>110</v>
      </c>
      <c r="C1058" s="113" t="s">
        <v>1255</v>
      </c>
      <c r="D1058" s="82" t="str">
        <f aca="false">IF(OR(C1058="",P1058=""),"",INDEX('CARNET DE SOUDURE'!$D$7:$D$3006,P1058)&amp;"")</f>
        <v>7</v>
      </c>
      <c r="E1058" s="114" t="n">
        <f aca="false">IF(OR(C1058="",P1058=""),"",IF(INDEX('CARNET DE SOUDURE'!$U$7:$U$3006,P1058)="","",INDEX('CARNET DE SOUDURE'!$U$7:$U$3006,P1058)))</f>
        <v>46282</v>
      </c>
      <c r="F1058" s="82" t="str">
        <f aca="false">IF(OR(C1058="",P1058=""),"",INDEX('CARNET DE SOUDURE'!$AP$7:$AP$3006,P1058))</f>
        <v>A</v>
      </c>
      <c r="G1058" s="82" t="str">
        <f aca="false">IF(C1058="","",IF(P1058="","NJ INCONNU",INDEX('CARNET DE SOUDURE'!$AQ$7:$AQ$3006,P1058)))</f>
        <v>ACCEPTÉ</v>
      </c>
      <c r="H1058" s="82" t="str">
        <f aca="false">IF(C1058="","",IF(G1058="ACCEPTÉ","OUI","NON"))</f>
        <v>OUI</v>
      </c>
      <c r="I1058" s="83"/>
      <c r="J1058" s="80"/>
      <c r="K1058" s="81"/>
      <c r="L1058" s="81"/>
      <c r="M1058" s="81"/>
      <c r="N1058" s="84" t="str">
        <f aca="false">IF(C1058="","",IF(P1058="","NJ INCONNU",IF(I1058="",IF(H1058="OUI","À ENROBER",IF(G1058="À SOUDER","NON SOUDÉ","EN ATTENTE RT")),IF(L1058="R","À REPRENDRE",IF(H1058&lt;&gt;"OUI","⚠ ENROBÉ AVANT ACCEPTATION RT","ENROBÉ")))))</f>
        <v>À ENROBER</v>
      </c>
      <c r="O1058" s="80"/>
      <c r="P1058" s="82" t="n">
        <f aca="false">IF(C1058="","",IFERROR(MATCH(Q1058,'CARNET DE SOUDURE'!$AW$7:$AW$3006,0),""))</f>
        <v>1052</v>
      </c>
      <c r="Q1058" s="82" t="str">
        <f aca="false">IF(C1058="","",B1058&amp;"|"&amp;C1058)</f>
        <v>MFD-ISW → MFD-CPF|JN°931</v>
      </c>
    </row>
    <row r="1059" customFormat="false" ht="74.6" hidden="false" customHeight="false" outlineLevel="0" collapsed="false">
      <c r="A1059" s="82" t="n">
        <f aca="false">IF(C1059="","",ROW()-6)</f>
        <v>1053</v>
      </c>
      <c r="B1059" s="80" t="s">
        <v>110</v>
      </c>
      <c r="C1059" s="113" t="s">
        <v>1256</v>
      </c>
      <c r="D1059" s="82" t="str">
        <f aca="false">IF(OR(C1059="",P1059=""),"",INDEX('CARNET DE SOUDURE'!$D$7:$D$3006,P1059)&amp;"")</f>
        <v>7</v>
      </c>
      <c r="E1059" s="114" t="n">
        <f aca="false">IF(OR(C1059="",P1059=""),"",IF(INDEX('CARNET DE SOUDURE'!$U$7:$U$3006,P1059)="","",INDEX('CARNET DE SOUDURE'!$U$7:$U$3006,P1059)))</f>
        <v>46280</v>
      </c>
      <c r="F1059" s="82" t="str">
        <f aca="false">IF(OR(C1059="",P1059=""),"",INDEX('CARNET DE SOUDURE'!$AP$7:$AP$3006,P1059))</f>
        <v>A</v>
      </c>
      <c r="G1059" s="82" t="str">
        <f aca="false">IF(C1059="","",IF(P1059="","NJ INCONNU",INDEX('CARNET DE SOUDURE'!$AQ$7:$AQ$3006,P1059)))</f>
        <v>ACCEPTÉ</v>
      </c>
      <c r="H1059" s="82" t="str">
        <f aca="false">IF(C1059="","",IF(G1059="ACCEPTÉ","OUI","NON"))</f>
        <v>OUI</v>
      </c>
      <c r="I1059" s="83"/>
      <c r="J1059" s="80"/>
      <c r="K1059" s="81"/>
      <c r="L1059" s="81"/>
      <c r="M1059" s="81"/>
      <c r="N1059" s="84" t="str">
        <f aca="false">IF(C1059="","",IF(P1059="","NJ INCONNU",IF(I1059="",IF(H1059="OUI","À ENROBER",IF(G1059="À SOUDER","NON SOUDÉ","EN ATTENTE RT")),IF(L1059="R","À REPRENDRE",IF(H1059&lt;&gt;"OUI","⚠ ENROBÉ AVANT ACCEPTATION RT","ENROBÉ")))))</f>
        <v>À ENROBER</v>
      </c>
      <c r="O1059" s="80"/>
      <c r="P1059" s="82" t="n">
        <f aca="false">IF(C1059="","",IFERROR(MATCH(Q1059,'CARNET DE SOUDURE'!$AW$7:$AW$3006,0),""))</f>
        <v>1053</v>
      </c>
      <c r="Q1059" s="82" t="str">
        <f aca="false">IF(C1059="","",B1059&amp;"|"&amp;C1059)</f>
        <v>MFD-ISW → MFD-CPF|DJ°395</v>
      </c>
    </row>
    <row r="1060" customFormat="false" ht="74.6" hidden="false" customHeight="false" outlineLevel="0" collapsed="false">
      <c r="A1060" s="82" t="n">
        <f aca="false">IF(C1060="","",ROW()-6)</f>
        <v>1054</v>
      </c>
      <c r="B1060" s="80" t="s">
        <v>110</v>
      </c>
      <c r="C1060" s="113" t="s">
        <v>1257</v>
      </c>
      <c r="D1060" s="82" t="str">
        <f aca="false">IF(OR(C1060="",P1060=""),"",INDEX('CARNET DE SOUDURE'!$D$7:$D$3006,P1060)&amp;"")</f>
        <v>7</v>
      </c>
      <c r="E1060" s="114" t="n">
        <f aca="false">IF(OR(C1060="",P1060=""),"",IF(INDEX('CARNET DE SOUDURE'!$U$7:$U$3006,P1060)="","",INDEX('CARNET DE SOUDURE'!$U$7:$U$3006,P1060)))</f>
        <v>46282</v>
      </c>
      <c r="F1060" s="82" t="str">
        <f aca="false">IF(OR(C1060="",P1060=""),"",INDEX('CARNET DE SOUDURE'!$AP$7:$AP$3006,P1060))</f>
        <v>A</v>
      </c>
      <c r="G1060" s="82" t="str">
        <f aca="false">IF(C1060="","",IF(P1060="","NJ INCONNU",INDEX('CARNET DE SOUDURE'!$AQ$7:$AQ$3006,P1060)))</f>
        <v>ACCEPTÉ</v>
      </c>
      <c r="H1060" s="82" t="str">
        <f aca="false">IF(C1060="","",IF(G1060="ACCEPTÉ","OUI","NON"))</f>
        <v>OUI</v>
      </c>
      <c r="I1060" s="83"/>
      <c r="J1060" s="80"/>
      <c r="K1060" s="81"/>
      <c r="L1060" s="81"/>
      <c r="M1060" s="81"/>
      <c r="N1060" s="84" t="str">
        <f aca="false">IF(C1060="","",IF(P1060="","NJ INCONNU",IF(I1060="",IF(H1060="OUI","À ENROBER",IF(G1060="À SOUDER","NON SOUDÉ","EN ATTENTE RT")),IF(L1060="R","À REPRENDRE",IF(H1060&lt;&gt;"OUI","⚠ ENROBÉ AVANT ACCEPTATION RT","ENROBÉ")))))</f>
        <v>À ENROBER</v>
      </c>
      <c r="O1060" s="80"/>
      <c r="P1060" s="82" t="n">
        <f aca="false">IF(C1060="","",IFERROR(MATCH(Q1060,'CARNET DE SOUDURE'!$AW$7:$AW$3006,0),""))</f>
        <v>1054</v>
      </c>
      <c r="Q1060" s="82" t="str">
        <f aca="false">IF(C1060="","",B1060&amp;"|"&amp;C1060)</f>
        <v>MFD-ISW → MFD-CPF|JN°932</v>
      </c>
    </row>
    <row r="1061" customFormat="false" ht="74.6" hidden="false" customHeight="false" outlineLevel="0" collapsed="false">
      <c r="A1061" s="82" t="n">
        <f aca="false">IF(C1061="","",ROW()-6)</f>
        <v>1055</v>
      </c>
      <c r="B1061" s="80" t="s">
        <v>110</v>
      </c>
      <c r="C1061" s="113" t="s">
        <v>1258</v>
      </c>
      <c r="D1061" s="82" t="str">
        <f aca="false">IF(OR(C1061="",P1061=""),"",INDEX('CARNET DE SOUDURE'!$D$7:$D$3006,P1061)&amp;"")</f>
        <v>7</v>
      </c>
      <c r="E1061" s="114" t="n">
        <f aca="false">IF(OR(C1061="",P1061=""),"",IF(INDEX('CARNET DE SOUDURE'!$U$7:$U$3006,P1061)="","",INDEX('CARNET DE SOUDURE'!$U$7:$U$3006,P1061)))</f>
        <v>46280</v>
      </c>
      <c r="F1061" s="82" t="str">
        <f aca="false">IF(OR(C1061="",P1061=""),"",INDEX('CARNET DE SOUDURE'!$AP$7:$AP$3006,P1061))</f>
        <v>A</v>
      </c>
      <c r="G1061" s="82" t="str">
        <f aca="false">IF(C1061="","",IF(P1061="","NJ INCONNU",INDEX('CARNET DE SOUDURE'!$AQ$7:$AQ$3006,P1061)))</f>
        <v>ACCEPTÉ</v>
      </c>
      <c r="H1061" s="82" t="str">
        <f aca="false">IF(C1061="","",IF(G1061="ACCEPTÉ","OUI","NON"))</f>
        <v>OUI</v>
      </c>
      <c r="I1061" s="83"/>
      <c r="J1061" s="80"/>
      <c r="K1061" s="81"/>
      <c r="L1061" s="81"/>
      <c r="M1061" s="81"/>
      <c r="N1061" s="84" t="str">
        <f aca="false">IF(C1061="","",IF(P1061="","NJ INCONNU",IF(I1061="",IF(H1061="OUI","À ENROBER",IF(G1061="À SOUDER","NON SOUDÉ","EN ATTENTE RT")),IF(L1061="R","À REPRENDRE",IF(H1061&lt;&gt;"OUI","⚠ ENROBÉ AVANT ACCEPTATION RT","ENROBÉ")))))</f>
        <v>À ENROBER</v>
      </c>
      <c r="O1061" s="80"/>
      <c r="P1061" s="82" t="n">
        <f aca="false">IF(C1061="","",IFERROR(MATCH(Q1061,'CARNET DE SOUDURE'!$AW$7:$AW$3006,0),""))</f>
        <v>1055</v>
      </c>
      <c r="Q1061" s="82" t="str">
        <f aca="false">IF(C1061="","",B1061&amp;"|"&amp;C1061)</f>
        <v>MFD-ISW → MFD-CPF|DJ°393</v>
      </c>
    </row>
    <row r="1062" customFormat="false" ht="74.6" hidden="false" customHeight="false" outlineLevel="0" collapsed="false">
      <c r="A1062" s="82" t="n">
        <f aca="false">IF(C1062="","",ROW()-6)</f>
        <v>1056</v>
      </c>
      <c r="B1062" s="80" t="s">
        <v>110</v>
      </c>
      <c r="C1062" s="113" t="s">
        <v>1259</v>
      </c>
      <c r="D1062" s="82" t="str">
        <f aca="false">IF(OR(C1062="",P1062=""),"",INDEX('CARNET DE SOUDURE'!$D$7:$D$3006,P1062)&amp;"")</f>
        <v>7</v>
      </c>
      <c r="E1062" s="114" t="n">
        <f aca="false">IF(OR(C1062="",P1062=""),"",IF(INDEX('CARNET DE SOUDURE'!$U$7:$U$3006,P1062)="","",INDEX('CARNET DE SOUDURE'!$U$7:$U$3006,P1062)))</f>
        <v>46281</v>
      </c>
      <c r="F1062" s="82" t="str">
        <f aca="false">IF(OR(C1062="",P1062=""),"",INDEX('CARNET DE SOUDURE'!$AP$7:$AP$3006,P1062))</f>
        <v>A</v>
      </c>
      <c r="G1062" s="82" t="str">
        <f aca="false">IF(C1062="","",IF(P1062="","NJ INCONNU",INDEX('CARNET DE SOUDURE'!$AQ$7:$AQ$3006,P1062)))</f>
        <v>ACCEPTÉ</v>
      </c>
      <c r="H1062" s="82" t="str">
        <f aca="false">IF(C1062="","",IF(G1062="ACCEPTÉ","OUI","NON"))</f>
        <v>OUI</v>
      </c>
      <c r="I1062" s="83"/>
      <c r="J1062" s="80"/>
      <c r="K1062" s="81"/>
      <c r="L1062" s="81"/>
      <c r="M1062" s="81"/>
      <c r="N1062" s="84" t="str">
        <f aca="false">IF(C1062="","",IF(P1062="","NJ INCONNU",IF(I1062="",IF(H1062="OUI","À ENROBER",IF(G1062="À SOUDER","NON SOUDÉ","EN ATTENTE RT")),IF(L1062="R","À REPRENDRE",IF(H1062&lt;&gt;"OUI","⚠ ENROBÉ AVANT ACCEPTATION RT","ENROBÉ")))))</f>
        <v>À ENROBER</v>
      </c>
      <c r="O1062" s="80"/>
      <c r="P1062" s="82" t="n">
        <f aca="false">IF(C1062="","",IFERROR(MATCH(Q1062,'CARNET DE SOUDURE'!$AW$7:$AW$3006,0),""))</f>
        <v>1056</v>
      </c>
      <c r="Q1062" s="82" t="str">
        <f aca="false">IF(C1062="","",B1062&amp;"|"&amp;C1062)</f>
        <v>MFD-ISW → MFD-CPF|JN°933</v>
      </c>
    </row>
    <row r="1063" customFormat="false" ht="74.6" hidden="false" customHeight="false" outlineLevel="0" collapsed="false">
      <c r="A1063" s="82" t="n">
        <f aca="false">IF(C1063="","",ROW()-6)</f>
        <v>1057</v>
      </c>
      <c r="B1063" s="80" t="s">
        <v>110</v>
      </c>
      <c r="C1063" s="113" t="s">
        <v>1262</v>
      </c>
      <c r="D1063" s="82" t="str">
        <f aca="false">IF(OR(C1063="",P1063=""),"",INDEX('CARNET DE SOUDURE'!$D$7:$D$3006,P1063)&amp;"")</f>
        <v>7</v>
      </c>
      <c r="E1063" s="114" t="n">
        <f aca="false">IF(OR(C1063="",P1063=""),"",IF(INDEX('CARNET DE SOUDURE'!$U$7:$U$3006,P1063)="","",INDEX('CARNET DE SOUDURE'!$U$7:$U$3006,P1063)))</f>
        <v>46281</v>
      </c>
      <c r="F1063" s="82" t="str">
        <f aca="false">IF(OR(C1063="",P1063=""),"",INDEX('CARNET DE SOUDURE'!$AP$7:$AP$3006,P1063))</f>
        <v>A</v>
      </c>
      <c r="G1063" s="82" t="str">
        <f aca="false">IF(C1063="","",IF(P1063="","NJ INCONNU",INDEX('CARNET DE SOUDURE'!$AQ$7:$AQ$3006,P1063)))</f>
        <v>ACCEPTÉ</v>
      </c>
      <c r="H1063" s="82" t="str">
        <f aca="false">IF(C1063="","",IF(G1063="ACCEPTÉ","OUI","NON"))</f>
        <v>OUI</v>
      </c>
      <c r="I1063" s="83"/>
      <c r="J1063" s="80"/>
      <c r="K1063" s="81"/>
      <c r="L1063" s="81"/>
      <c r="M1063" s="81"/>
      <c r="N1063" s="84" t="str">
        <f aca="false">IF(C1063="","",IF(P1063="","NJ INCONNU",IF(I1063="",IF(H1063="OUI","À ENROBER",IF(G1063="À SOUDER","NON SOUDÉ","EN ATTENTE RT")),IF(L1063="R","À REPRENDRE",IF(H1063&lt;&gt;"OUI","⚠ ENROBÉ AVANT ACCEPTATION RT","ENROBÉ")))))</f>
        <v>À ENROBER</v>
      </c>
      <c r="O1063" s="80"/>
      <c r="P1063" s="82" t="n">
        <f aca="false">IF(C1063="","",IFERROR(MATCH(Q1063,'CARNET DE SOUDURE'!$AW$7:$AW$3006,0),""))</f>
        <v>1057</v>
      </c>
      <c r="Q1063" s="82" t="str">
        <f aca="false">IF(C1063="","",B1063&amp;"|"&amp;C1063)</f>
        <v>MFD-ISW → MFD-CPF|JN°934</v>
      </c>
    </row>
    <row r="1064" customFormat="false" ht="74.6" hidden="false" customHeight="false" outlineLevel="0" collapsed="false">
      <c r="A1064" s="82" t="n">
        <f aca="false">IF(C1064="","",ROW()-6)</f>
        <v>1058</v>
      </c>
      <c r="B1064" s="80" t="s">
        <v>110</v>
      </c>
      <c r="C1064" s="113" t="s">
        <v>1263</v>
      </c>
      <c r="D1064" s="82" t="str">
        <f aca="false">IF(OR(C1064="",P1064=""),"",INDEX('CARNET DE SOUDURE'!$D$7:$D$3006,P1064)&amp;"")</f>
        <v>7</v>
      </c>
      <c r="E1064" s="114" t="n">
        <f aca="false">IF(OR(C1064="",P1064=""),"",IF(INDEX('CARNET DE SOUDURE'!$U$7:$U$3006,P1064)="","",INDEX('CARNET DE SOUDURE'!$U$7:$U$3006,P1064)))</f>
        <v>46281</v>
      </c>
      <c r="F1064" s="82" t="str">
        <f aca="false">IF(OR(C1064="",P1064=""),"",INDEX('CARNET DE SOUDURE'!$AP$7:$AP$3006,P1064))</f>
        <v>R</v>
      </c>
      <c r="G1064" s="82" t="str">
        <f aca="false">IF(C1064="","",IF(P1064="","NJ INCONNU",INDEX('CARNET DE SOUDURE'!$AQ$7:$AQ$3006,P1064)))</f>
        <v>À RÉPARER</v>
      </c>
      <c r="H1064" s="82" t="str">
        <f aca="false">IF(C1064="","",IF(G1064="ACCEPTÉ","OUI","NON"))</f>
        <v>NON</v>
      </c>
      <c r="I1064" s="83"/>
      <c r="J1064" s="80"/>
      <c r="K1064" s="81"/>
      <c r="L1064" s="81"/>
      <c r="M1064" s="81"/>
      <c r="N1064" s="84" t="str">
        <f aca="false">IF(C1064="","",IF(P1064="","NJ INCONNU",IF(I1064="",IF(H1064="OUI","À ENROBER",IF(G1064="À SOUDER","NON SOUDÉ","EN ATTENTE RT")),IF(L1064="R","À REPRENDRE",IF(H1064&lt;&gt;"OUI","⚠ ENROBÉ AVANT ACCEPTATION RT","ENROBÉ")))))</f>
        <v>EN ATTENTE RT</v>
      </c>
      <c r="O1064" s="80"/>
      <c r="P1064" s="82" t="n">
        <f aca="false">IF(C1064="","",IFERROR(MATCH(Q1064,'CARNET DE SOUDURE'!$AW$7:$AW$3006,0),""))</f>
        <v>1058</v>
      </c>
      <c r="Q1064" s="82" t="str">
        <f aca="false">IF(C1064="","",B1064&amp;"|"&amp;C1064)</f>
        <v>MFD-ISW → MFD-CPF|JN°935</v>
      </c>
    </row>
    <row r="1065" customFormat="false" ht="74.6" hidden="false" customHeight="false" outlineLevel="0" collapsed="false">
      <c r="A1065" s="82" t="n">
        <f aca="false">IF(C1065="","",ROW()-6)</f>
        <v>1059</v>
      </c>
      <c r="B1065" s="80" t="s">
        <v>110</v>
      </c>
      <c r="C1065" s="113" t="s">
        <v>1265</v>
      </c>
      <c r="D1065" s="82" t="str">
        <f aca="false">IF(OR(C1065="",P1065=""),"",INDEX('CARNET DE SOUDURE'!$D$7:$D$3006,P1065)&amp;"")</f>
        <v>7</v>
      </c>
      <c r="E1065" s="114" t="n">
        <f aca="false">IF(OR(C1065="",P1065=""),"",IF(INDEX('CARNET DE SOUDURE'!$U$7:$U$3006,P1065)="","",INDEX('CARNET DE SOUDURE'!$U$7:$U$3006,P1065)))</f>
        <v>46281</v>
      </c>
      <c r="F1065" s="82" t="str">
        <f aca="false">IF(OR(C1065="",P1065=""),"",INDEX('CARNET DE SOUDURE'!$AP$7:$AP$3006,P1065))</f>
        <v>A</v>
      </c>
      <c r="G1065" s="82" t="str">
        <f aca="false">IF(C1065="","",IF(P1065="","NJ INCONNU",INDEX('CARNET DE SOUDURE'!$AQ$7:$AQ$3006,P1065)))</f>
        <v>ACCEPTÉ</v>
      </c>
      <c r="H1065" s="82" t="str">
        <f aca="false">IF(C1065="","",IF(G1065="ACCEPTÉ","OUI","NON"))</f>
        <v>OUI</v>
      </c>
      <c r="I1065" s="83"/>
      <c r="J1065" s="80"/>
      <c r="K1065" s="81"/>
      <c r="L1065" s="81"/>
      <c r="M1065" s="81"/>
      <c r="N1065" s="84" t="str">
        <f aca="false">IF(C1065="","",IF(P1065="","NJ INCONNU",IF(I1065="",IF(H1065="OUI","À ENROBER",IF(G1065="À SOUDER","NON SOUDÉ","EN ATTENTE RT")),IF(L1065="R","À REPRENDRE",IF(H1065&lt;&gt;"OUI","⚠ ENROBÉ AVANT ACCEPTATION RT","ENROBÉ")))))</f>
        <v>À ENROBER</v>
      </c>
      <c r="O1065" s="80"/>
      <c r="P1065" s="82" t="n">
        <f aca="false">IF(C1065="","",IFERROR(MATCH(Q1065,'CARNET DE SOUDURE'!$AW$7:$AW$3006,0),""))</f>
        <v>1059</v>
      </c>
      <c r="Q1065" s="82" t="str">
        <f aca="false">IF(C1065="","",B1065&amp;"|"&amp;C1065)</f>
        <v>MFD-ISW → MFD-CPF|JN°936</v>
      </c>
    </row>
    <row r="1066" customFormat="false" ht="74.6" hidden="false" customHeight="false" outlineLevel="0" collapsed="false">
      <c r="A1066" s="82" t="n">
        <f aca="false">IF(C1066="","",ROW()-6)</f>
        <v>1060</v>
      </c>
      <c r="B1066" s="80" t="s">
        <v>110</v>
      </c>
      <c r="C1066" s="113" t="s">
        <v>1266</v>
      </c>
      <c r="D1066" s="82" t="str">
        <f aca="false">IF(OR(C1066="",P1066=""),"",INDEX('CARNET DE SOUDURE'!$D$7:$D$3006,P1066)&amp;"")</f>
        <v>7</v>
      </c>
      <c r="E1066" s="114" t="n">
        <f aca="false">IF(OR(C1066="",P1066=""),"",IF(INDEX('CARNET DE SOUDURE'!$U$7:$U$3006,P1066)="","",INDEX('CARNET DE SOUDURE'!$U$7:$U$3006,P1066)))</f>
        <v>46281</v>
      </c>
      <c r="F1066" s="82" t="str">
        <f aca="false">IF(OR(C1066="",P1066=""),"",INDEX('CARNET DE SOUDURE'!$AP$7:$AP$3006,P1066))</f>
        <v>A</v>
      </c>
      <c r="G1066" s="82" t="str">
        <f aca="false">IF(C1066="","",IF(P1066="","NJ INCONNU",INDEX('CARNET DE SOUDURE'!$AQ$7:$AQ$3006,P1066)))</f>
        <v>ACCEPTÉ</v>
      </c>
      <c r="H1066" s="82" t="str">
        <f aca="false">IF(C1066="","",IF(G1066="ACCEPTÉ","OUI","NON"))</f>
        <v>OUI</v>
      </c>
      <c r="I1066" s="83"/>
      <c r="J1066" s="80"/>
      <c r="K1066" s="81"/>
      <c r="L1066" s="81"/>
      <c r="M1066" s="81"/>
      <c r="N1066" s="84" t="str">
        <f aca="false">IF(C1066="","",IF(P1066="","NJ INCONNU",IF(I1066="",IF(H1066="OUI","À ENROBER",IF(G1066="À SOUDER","NON SOUDÉ","EN ATTENTE RT")),IF(L1066="R","À REPRENDRE",IF(H1066&lt;&gt;"OUI","⚠ ENROBÉ AVANT ACCEPTATION RT","ENROBÉ")))))</f>
        <v>À ENROBER</v>
      </c>
      <c r="O1066" s="80"/>
      <c r="P1066" s="82" t="n">
        <f aca="false">IF(C1066="","",IFERROR(MATCH(Q1066,'CARNET DE SOUDURE'!$AW$7:$AW$3006,0),""))</f>
        <v>1060</v>
      </c>
      <c r="Q1066" s="82" t="str">
        <f aca="false">IF(C1066="","",B1066&amp;"|"&amp;C1066)</f>
        <v>MFD-ISW → MFD-CPF|JN°937</v>
      </c>
    </row>
    <row r="1067" customFormat="false" ht="74.6" hidden="false" customHeight="false" outlineLevel="0" collapsed="false">
      <c r="A1067" s="82" t="n">
        <f aca="false">IF(C1067="","",ROW()-6)</f>
        <v>1061</v>
      </c>
      <c r="B1067" s="80" t="s">
        <v>110</v>
      </c>
      <c r="C1067" s="113" t="s">
        <v>1267</v>
      </c>
      <c r="D1067" s="82" t="str">
        <f aca="false">IF(OR(C1067="",P1067=""),"",INDEX('CARNET DE SOUDURE'!$D$7:$D$3006,P1067)&amp;"")</f>
        <v/>
      </c>
      <c r="E1067" s="114" t="str">
        <f aca="false">IF(OR(C1067="",P1067=""),"",IF(INDEX('CARNET DE SOUDURE'!$U$7:$U$3006,P1067)="","",INDEX('CARNET DE SOUDURE'!$U$7:$U$3006,P1067)))</f>
        <v/>
      </c>
      <c r="F1067" s="82" t="str">
        <f aca="false">IF(OR(C1067="",P1067=""),"",INDEX('CARNET DE SOUDURE'!$AP$7:$AP$3006,P1067))</f>
        <v/>
      </c>
      <c r="G1067" s="82" t="str">
        <f aca="false">IF(C1067="","",IF(P1067="","NJ INCONNU",INDEX('CARNET DE SOUDURE'!$AQ$7:$AQ$3006,P1067)))</f>
        <v>À SOUDER</v>
      </c>
      <c r="H1067" s="82" t="str">
        <f aca="false">IF(C1067="","",IF(G1067="ACCEPTÉ","OUI","NON"))</f>
        <v>NON</v>
      </c>
      <c r="I1067" s="83"/>
      <c r="J1067" s="80"/>
      <c r="K1067" s="81"/>
      <c r="L1067" s="81"/>
      <c r="M1067" s="81"/>
      <c r="N1067" s="84" t="str">
        <f aca="false">IF(C1067="","",IF(P1067="","NJ INCONNU",IF(I1067="",IF(H1067="OUI","À ENROBER",IF(G1067="À SOUDER","NON SOUDÉ","EN ATTENTE RT")),IF(L1067="R","À REPRENDRE",IF(H1067&lt;&gt;"OUI","⚠ ENROBÉ AVANT ACCEPTATION RT","ENROBÉ")))))</f>
        <v>NON SOUDÉ</v>
      </c>
      <c r="O1067" s="80"/>
      <c r="P1067" s="82" t="n">
        <f aca="false">IF(C1067="","",IFERROR(MATCH(Q1067,'CARNET DE SOUDURE'!$AW$7:$AW$3006,0),""))</f>
        <v>1061</v>
      </c>
      <c r="Q1067" s="82" t="str">
        <f aca="false">IF(C1067="","",B1067&amp;"|"&amp;C1067)</f>
        <v>MFD-ISW → MFD-CPF|JN°938</v>
      </c>
    </row>
    <row r="1068" customFormat="false" ht="74.6" hidden="false" customHeight="false" outlineLevel="0" collapsed="false">
      <c r="A1068" s="82" t="n">
        <f aca="false">IF(C1068="","",ROW()-6)</f>
        <v>1062</v>
      </c>
      <c r="B1068" s="80" t="s">
        <v>110</v>
      </c>
      <c r="C1068" s="113" t="s">
        <v>1269</v>
      </c>
      <c r="D1068" s="82" t="str">
        <f aca="false">IF(OR(C1068="",P1068=""),"",INDEX('CARNET DE SOUDURE'!$D$7:$D$3006,P1068)&amp;"")</f>
        <v/>
      </c>
      <c r="E1068" s="114" t="str">
        <f aca="false">IF(OR(C1068="",P1068=""),"",IF(INDEX('CARNET DE SOUDURE'!$U$7:$U$3006,P1068)="","",INDEX('CARNET DE SOUDURE'!$U$7:$U$3006,P1068)))</f>
        <v/>
      </c>
      <c r="F1068" s="82" t="str">
        <f aca="false">IF(OR(C1068="",P1068=""),"",INDEX('CARNET DE SOUDURE'!$AP$7:$AP$3006,P1068))</f>
        <v/>
      </c>
      <c r="G1068" s="82" t="str">
        <f aca="false">IF(C1068="","",IF(P1068="","NJ INCONNU",INDEX('CARNET DE SOUDURE'!$AQ$7:$AQ$3006,P1068)))</f>
        <v>À SOUDER</v>
      </c>
      <c r="H1068" s="82" t="str">
        <f aca="false">IF(C1068="","",IF(G1068="ACCEPTÉ","OUI","NON"))</f>
        <v>NON</v>
      </c>
      <c r="I1068" s="83"/>
      <c r="J1068" s="80"/>
      <c r="K1068" s="81"/>
      <c r="L1068" s="81"/>
      <c r="M1068" s="81"/>
      <c r="N1068" s="84" t="str">
        <f aca="false">IF(C1068="","",IF(P1068="","NJ INCONNU",IF(I1068="",IF(H1068="OUI","À ENROBER",IF(G1068="À SOUDER","NON SOUDÉ","EN ATTENTE RT")),IF(L1068="R","À REPRENDRE",IF(H1068&lt;&gt;"OUI","⚠ ENROBÉ AVANT ACCEPTATION RT","ENROBÉ")))))</f>
        <v>NON SOUDÉ</v>
      </c>
      <c r="O1068" s="80"/>
      <c r="P1068" s="82" t="n">
        <f aca="false">IF(C1068="","",IFERROR(MATCH(Q1068,'CARNET DE SOUDURE'!$AW$7:$AW$3006,0),""))</f>
        <v>1062</v>
      </c>
      <c r="Q1068" s="82" t="str">
        <f aca="false">IF(C1068="","",B1068&amp;"|"&amp;C1068)</f>
        <v>MFD-ISW → MFD-CPF|JN°939</v>
      </c>
    </row>
    <row r="1069" customFormat="false" ht="74.6" hidden="false" customHeight="false" outlineLevel="0" collapsed="false">
      <c r="A1069" s="82" t="n">
        <f aca="false">IF(C1069="","",ROW()-6)</f>
        <v>1063</v>
      </c>
      <c r="B1069" s="80" t="s">
        <v>110</v>
      </c>
      <c r="C1069" s="113" t="s">
        <v>1271</v>
      </c>
      <c r="D1069" s="82" t="str">
        <f aca="false">IF(OR(C1069="",P1069=""),"",INDEX('CARNET DE SOUDURE'!$D$7:$D$3006,P1069)&amp;"")</f>
        <v/>
      </c>
      <c r="E1069" s="114" t="str">
        <f aca="false">IF(OR(C1069="",P1069=""),"",IF(INDEX('CARNET DE SOUDURE'!$U$7:$U$3006,P1069)="","",INDEX('CARNET DE SOUDURE'!$U$7:$U$3006,P1069)))</f>
        <v/>
      </c>
      <c r="F1069" s="82" t="str">
        <f aca="false">IF(OR(C1069="",P1069=""),"",INDEX('CARNET DE SOUDURE'!$AP$7:$AP$3006,P1069))</f>
        <v/>
      </c>
      <c r="G1069" s="82" t="str">
        <f aca="false">IF(C1069="","",IF(P1069="","NJ INCONNU",INDEX('CARNET DE SOUDURE'!$AQ$7:$AQ$3006,P1069)))</f>
        <v>À SOUDER</v>
      </c>
      <c r="H1069" s="82" t="str">
        <f aca="false">IF(C1069="","",IF(G1069="ACCEPTÉ","OUI","NON"))</f>
        <v>NON</v>
      </c>
      <c r="I1069" s="83"/>
      <c r="J1069" s="80"/>
      <c r="K1069" s="81"/>
      <c r="L1069" s="81"/>
      <c r="M1069" s="81"/>
      <c r="N1069" s="84" t="str">
        <f aca="false">IF(C1069="","",IF(P1069="","NJ INCONNU",IF(I1069="",IF(H1069="OUI","À ENROBER",IF(G1069="À SOUDER","NON SOUDÉ","EN ATTENTE RT")),IF(L1069="R","À REPRENDRE",IF(H1069&lt;&gt;"OUI","⚠ ENROBÉ AVANT ACCEPTATION RT","ENROBÉ")))))</f>
        <v>NON SOUDÉ</v>
      </c>
      <c r="O1069" s="80"/>
      <c r="P1069" s="82" t="n">
        <f aca="false">IF(C1069="","",IFERROR(MATCH(Q1069,'CARNET DE SOUDURE'!$AW$7:$AW$3006,0),""))</f>
        <v>1063</v>
      </c>
      <c r="Q1069" s="82" t="str">
        <f aca="false">IF(C1069="","",B1069&amp;"|"&amp;C1069)</f>
        <v>MFD-ISW → MFD-CPF|JN°940</v>
      </c>
    </row>
    <row r="1070" customFormat="false" ht="74.6" hidden="false" customHeight="false" outlineLevel="0" collapsed="false">
      <c r="A1070" s="82" t="n">
        <f aca="false">IF(C1070="","",ROW()-6)</f>
        <v>1064</v>
      </c>
      <c r="B1070" s="80" t="s">
        <v>110</v>
      </c>
      <c r="C1070" s="113" t="s">
        <v>1272</v>
      </c>
      <c r="D1070" s="82" t="str">
        <f aca="false">IF(OR(C1070="",P1070=""),"",INDEX('CARNET DE SOUDURE'!$D$7:$D$3006,P1070)&amp;"")</f>
        <v/>
      </c>
      <c r="E1070" s="114" t="str">
        <f aca="false">IF(OR(C1070="",P1070=""),"",IF(INDEX('CARNET DE SOUDURE'!$U$7:$U$3006,P1070)="","",INDEX('CARNET DE SOUDURE'!$U$7:$U$3006,P1070)))</f>
        <v/>
      </c>
      <c r="F1070" s="82" t="str">
        <f aca="false">IF(OR(C1070="",P1070=""),"",INDEX('CARNET DE SOUDURE'!$AP$7:$AP$3006,P1070))</f>
        <v/>
      </c>
      <c r="G1070" s="82" t="str">
        <f aca="false">IF(C1070="","",IF(P1070="","NJ INCONNU",INDEX('CARNET DE SOUDURE'!$AQ$7:$AQ$3006,P1070)))</f>
        <v>À SOUDER</v>
      </c>
      <c r="H1070" s="82" t="str">
        <f aca="false">IF(C1070="","",IF(G1070="ACCEPTÉ","OUI","NON"))</f>
        <v>NON</v>
      </c>
      <c r="I1070" s="83"/>
      <c r="J1070" s="80"/>
      <c r="K1070" s="81"/>
      <c r="L1070" s="81"/>
      <c r="M1070" s="81"/>
      <c r="N1070" s="84" t="str">
        <f aca="false">IF(C1070="","",IF(P1070="","NJ INCONNU",IF(I1070="",IF(H1070="OUI","À ENROBER",IF(G1070="À SOUDER","NON SOUDÉ","EN ATTENTE RT")),IF(L1070="R","À REPRENDRE",IF(H1070&lt;&gt;"OUI","⚠ ENROBÉ AVANT ACCEPTATION RT","ENROBÉ")))))</f>
        <v>NON SOUDÉ</v>
      </c>
      <c r="O1070" s="80"/>
      <c r="P1070" s="82" t="n">
        <f aca="false">IF(C1070="","",IFERROR(MATCH(Q1070,'CARNET DE SOUDURE'!$AW$7:$AW$3006,0),""))</f>
        <v>1064</v>
      </c>
      <c r="Q1070" s="82" t="str">
        <f aca="false">IF(C1070="","",B1070&amp;"|"&amp;C1070)</f>
        <v>MFD-ISW → MFD-CPF|JN°941</v>
      </c>
    </row>
    <row r="1071" customFormat="false" ht="74.6" hidden="false" customHeight="false" outlineLevel="0" collapsed="false">
      <c r="A1071" s="82" t="n">
        <f aca="false">IF(C1071="","",ROW()-6)</f>
        <v>1065</v>
      </c>
      <c r="B1071" s="80" t="s">
        <v>110</v>
      </c>
      <c r="C1071" s="113" t="s">
        <v>1273</v>
      </c>
      <c r="D1071" s="82" t="str">
        <f aca="false">IF(OR(C1071="",P1071=""),"",INDEX('CARNET DE SOUDURE'!$D$7:$D$3006,P1071)&amp;"")</f>
        <v/>
      </c>
      <c r="E1071" s="114" t="str">
        <f aca="false">IF(OR(C1071="",P1071=""),"",IF(INDEX('CARNET DE SOUDURE'!$U$7:$U$3006,P1071)="","",INDEX('CARNET DE SOUDURE'!$U$7:$U$3006,P1071)))</f>
        <v/>
      </c>
      <c r="F1071" s="82" t="str">
        <f aca="false">IF(OR(C1071="",P1071=""),"",INDEX('CARNET DE SOUDURE'!$AP$7:$AP$3006,P1071))</f>
        <v/>
      </c>
      <c r="G1071" s="82" t="str">
        <f aca="false">IF(C1071="","",IF(P1071="","NJ INCONNU",INDEX('CARNET DE SOUDURE'!$AQ$7:$AQ$3006,P1071)))</f>
        <v>À SOUDER</v>
      </c>
      <c r="H1071" s="82" t="str">
        <f aca="false">IF(C1071="","",IF(G1071="ACCEPTÉ","OUI","NON"))</f>
        <v>NON</v>
      </c>
      <c r="I1071" s="83"/>
      <c r="J1071" s="80"/>
      <c r="K1071" s="81"/>
      <c r="L1071" s="81"/>
      <c r="M1071" s="81"/>
      <c r="N1071" s="84" t="str">
        <f aca="false">IF(C1071="","",IF(P1071="","NJ INCONNU",IF(I1071="",IF(H1071="OUI","À ENROBER",IF(G1071="À SOUDER","NON SOUDÉ","EN ATTENTE RT")),IF(L1071="R","À REPRENDRE",IF(H1071&lt;&gt;"OUI","⚠ ENROBÉ AVANT ACCEPTATION RT","ENROBÉ")))))</f>
        <v>NON SOUDÉ</v>
      </c>
      <c r="O1071" s="80"/>
      <c r="P1071" s="82" t="n">
        <f aca="false">IF(C1071="","",IFERROR(MATCH(Q1071,'CARNET DE SOUDURE'!$AW$7:$AW$3006,0),""))</f>
        <v>1065</v>
      </c>
      <c r="Q1071" s="82" t="str">
        <f aca="false">IF(C1071="","",B1071&amp;"|"&amp;C1071)</f>
        <v>MFD-ISW → MFD-CPF|JN°942</v>
      </c>
    </row>
    <row r="1072" customFormat="false" ht="74.6" hidden="false" customHeight="false" outlineLevel="0" collapsed="false">
      <c r="A1072" s="82" t="n">
        <f aca="false">IF(C1072="","",ROW()-6)</f>
        <v>1066</v>
      </c>
      <c r="B1072" s="80" t="s">
        <v>110</v>
      </c>
      <c r="C1072" s="113" t="s">
        <v>1274</v>
      </c>
      <c r="D1072" s="82" t="str">
        <f aca="false">IF(OR(C1072="",P1072=""),"",INDEX('CARNET DE SOUDURE'!$D$7:$D$3006,P1072)&amp;"")</f>
        <v/>
      </c>
      <c r="E1072" s="114" t="str">
        <f aca="false">IF(OR(C1072="",P1072=""),"",IF(INDEX('CARNET DE SOUDURE'!$U$7:$U$3006,P1072)="","",INDEX('CARNET DE SOUDURE'!$U$7:$U$3006,P1072)))</f>
        <v/>
      </c>
      <c r="F1072" s="82" t="str">
        <f aca="false">IF(OR(C1072="",P1072=""),"",INDEX('CARNET DE SOUDURE'!$AP$7:$AP$3006,P1072))</f>
        <v/>
      </c>
      <c r="G1072" s="82" t="str">
        <f aca="false">IF(C1072="","",IF(P1072="","NJ INCONNU",INDEX('CARNET DE SOUDURE'!$AQ$7:$AQ$3006,P1072)))</f>
        <v>À SOUDER</v>
      </c>
      <c r="H1072" s="82" t="str">
        <f aca="false">IF(C1072="","",IF(G1072="ACCEPTÉ","OUI","NON"))</f>
        <v>NON</v>
      </c>
      <c r="I1072" s="83"/>
      <c r="J1072" s="80"/>
      <c r="K1072" s="81"/>
      <c r="L1072" s="81"/>
      <c r="M1072" s="81"/>
      <c r="N1072" s="84" t="str">
        <f aca="false">IF(C1072="","",IF(P1072="","NJ INCONNU",IF(I1072="",IF(H1072="OUI","À ENROBER",IF(G1072="À SOUDER","NON SOUDÉ","EN ATTENTE RT")),IF(L1072="R","À REPRENDRE",IF(H1072&lt;&gt;"OUI","⚠ ENROBÉ AVANT ACCEPTATION RT","ENROBÉ")))))</f>
        <v>NON SOUDÉ</v>
      </c>
      <c r="O1072" s="80"/>
      <c r="P1072" s="82" t="n">
        <f aca="false">IF(C1072="","",IFERROR(MATCH(Q1072,'CARNET DE SOUDURE'!$AW$7:$AW$3006,0),""))</f>
        <v>1066</v>
      </c>
      <c r="Q1072" s="82" t="str">
        <f aca="false">IF(C1072="","",B1072&amp;"|"&amp;C1072)</f>
        <v>MFD-ISW → MFD-CPF|JN°943</v>
      </c>
    </row>
    <row r="1073" customFormat="false" ht="74.6" hidden="false" customHeight="false" outlineLevel="0" collapsed="false">
      <c r="A1073" s="82" t="n">
        <f aca="false">IF(C1073="","",ROW()-6)</f>
        <v>1067</v>
      </c>
      <c r="B1073" s="80" t="s">
        <v>110</v>
      </c>
      <c r="C1073" s="113" t="s">
        <v>1275</v>
      </c>
      <c r="D1073" s="82" t="str">
        <f aca="false">IF(OR(C1073="",P1073=""),"",INDEX('CARNET DE SOUDURE'!$D$7:$D$3006,P1073)&amp;"")</f>
        <v/>
      </c>
      <c r="E1073" s="114" t="str">
        <f aca="false">IF(OR(C1073="",P1073=""),"",IF(INDEX('CARNET DE SOUDURE'!$U$7:$U$3006,P1073)="","",INDEX('CARNET DE SOUDURE'!$U$7:$U$3006,P1073)))</f>
        <v/>
      </c>
      <c r="F1073" s="82" t="str">
        <f aca="false">IF(OR(C1073="",P1073=""),"",INDEX('CARNET DE SOUDURE'!$AP$7:$AP$3006,P1073))</f>
        <v/>
      </c>
      <c r="G1073" s="82" t="str">
        <f aca="false">IF(C1073="","",IF(P1073="","NJ INCONNU",INDEX('CARNET DE SOUDURE'!$AQ$7:$AQ$3006,P1073)))</f>
        <v>À SOUDER</v>
      </c>
      <c r="H1073" s="82" t="str">
        <f aca="false">IF(C1073="","",IF(G1073="ACCEPTÉ","OUI","NON"))</f>
        <v>NON</v>
      </c>
      <c r="I1073" s="83"/>
      <c r="J1073" s="80"/>
      <c r="K1073" s="81"/>
      <c r="L1073" s="81"/>
      <c r="M1073" s="81"/>
      <c r="N1073" s="84" t="str">
        <f aca="false">IF(C1073="","",IF(P1073="","NJ INCONNU",IF(I1073="",IF(H1073="OUI","À ENROBER",IF(G1073="À SOUDER","NON SOUDÉ","EN ATTENTE RT")),IF(L1073="R","À REPRENDRE",IF(H1073&lt;&gt;"OUI","⚠ ENROBÉ AVANT ACCEPTATION RT","ENROBÉ")))))</f>
        <v>NON SOUDÉ</v>
      </c>
      <c r="O1073" s="80"/>
      <c r="P1073" s="82" t="n">
        <f aca="false">IF(C1073="","",IFERROR(MATCH(Q1073,'CARNET DE SOUDURE'!$AW$7:$AW$3006,0),""))</f>
        <v>1067</v>
      </c>
      <c r="Q1073" s="82" t="str">
        <f aca="false">IF(C1073="","",B1073&amp;"|"&amp;C1073)</f>
        <v>MFD-ISW → MFD-CPF|JN°944</v>
      </c>
    </row>
    <row r="1074" customFormat="false" ht="74.6" hidden="false" customHeight="false" outlineLevel="0" collapsed="false">
      <c r="A1074" s="82" t="n">
        <f aca="false">IF(C1074="","",ROW()-6)</f>
        <v>1068</v>
      </c>
      <c r="B1074" s="80" t="s">
        <v>110</v>
      </c>
      <c r="C1074" s="113" t="s">
        <v>1276</v>
      </c>
      <c r="D1074" s="82" t="str">
        <f aca="false">IF(OR(C1074="",P1074=""),"",INDEX('CARNET DE SOUDURE'!$D$7:$D$3006,P1074)&amp;"")</f>
        <v/>
      </c>
      <c r="E1074" s="114" t="str">
        <f aca="false">IF(OR(C1074="",P1074=""),"",IF(INDEX('CARNET DE SOUDURE'!$U$7:$U$3006,P1074)="","",INDEX('CARNET DE SOUDURE'!$U$7:$U$3006,P1074)))</f>
        <v/>
      </c>
      <c r="F1074" s="82" t="str">
        <f aca="false">IF(OR(C1074="",P1074=""),"",INDEX('CARNET DE SOUDURE'!$AP$7:$AP$3006,P1074))</f>
        <v/>
      </c>
      <c r="G1074" s="82" t="str">
        <f aca="false">IF(C1074="","",IF(P1074="","NJ INCONNU",INDEX('CARNET DE SOUDURE'!$AQ$7:$AQ$3006,P1074)))</f>
        <v>À SOUDER</v>
      </c>
      <c r="H1074" s="82" t="str">
        <f aca="false">IF(C1074="","",IF(G1074="ACCEPTÉ","OUI","NON"))</f>
        <v>NON</v>
      </c>
      <c r="I1074" s="83"/>
      <c r="J1074" s="80"/>
      <c r="K1074" s="81"/>
      <c r="L1074" s="81"/>
      <c r="M1074" s="81"/>
      <c r="N1074" s="84" t="str">
        <f aca="false">IF(C1074="","",IF(P1074="","NJ INCONNU",IF(I1074="",IF(H1074="OUI","À ENROBER",IF(G1074="À SOUDER","NON SOUDÉ","EN ATTENTE RT")),IF(L1074="R","À REPRENDRE",IF(H1074&lt;&gt;"OUI","⚠ ENROBÉ AVANT ACCEPTATION RT","ENROBÉ")))))</f>
        <v>NON SOUDÉ</v>
      </c>
      <c r="O1074" s="80"/>
      <c r="P1074" s="82" t="n">
        <f aca="false">IF(C1074="","",IFERROR(MATCH(Q1074,'CARNET DE SOUDURE'!$AW$7:$AW$3006,0),""))</f>
        <v>1068</v>
      </c>
      <c r="Q1074" s="82" t="str">
        <f aca="false">IF(C1074="","",B1074&amp;"|"&amp;C1074)</f>
        <v>MFD-ISW → MFD-CPF|JN°945</v>
      </c>
    </row>
    <row r="1075" customFormat="false" ht="74.6" hidden="false" customHeight="false" outlineLevel="0" collapsed="false">
      <c r="A1075" s="82" t="n">
        <f aca="false">IF(C1075="","",ROW()-6)</f>
        <v>1069</v>
      </c>
      <c r="B1075" s="80" t="s">
        <v>110</v>
      </c>
      <c r="C1075" s="113" t="s">
        <v>1277</v>
      </c>
      <c r="D1075" s="82" t="str">
        <f aca="false">IF(OR(C1075="",P1075=""),"",INDEX('CARNET DE SOUDURE'!$D$7:$D$3006,P1075)&amp;"")</f>
        <v/>
      </c>
      <c r="E1075" s="114" t="str">
        <f aca="false">IF(OR(C1075="",P1075=""),"",IF(INDEX('CARNET DE SOUDURE'!$U$7:$U$3006,P1075)="","",INDEX('CARNET DE SOUDURE'!$U$7:$U$3006,P1075)))</f>
        <v/>
      </c>
      <c r="F1075" s="82" t="str">
        <f aca="false">IF(OR(C1075="",P1075=""),"",INDEX('CARNET DE SOUDURE'!$AP$7:$AP$3006,P1075))</f>
        <v/>
      </c>
      <c r="G1075" s="82" t="str">
        <f aca="false">IF(C1075="","",IF(P1075="","NJ INCONNU",INDEX('CARNET DE SOUDURE'!$AQ$7:$AQ$3006,P1075)))</f>
        <v>À SOUDER</v>
      </c>
      <c r="H1075" s="82" t="str">
        <f aca="false">IF(C1075="","",IF(G1075="ACCEPTÉ","OUI","NON"))</f>
        <v>NON</v>
      </c>
      <c r="I1075" s="83"/>
      <c r="J1075" s="80"/>
      <c r="K1075" s="81"/>
      <c r="L1075" s="81"/>
      <c r="M1075" s="81"/>
      <c r="N1075" s="84" t="str">
        <f aca="false">IF(C1075="","",IF(P1075="","NJ INCONNU",IF(I1075="",IF(H1075="OUI","À ENROBER",IF(G1075="À SOUDER","NON SOUDÉ","EN ATTENTE RT")),IF(L1075="R","À REPRENDRE",IF(H1075&lt;&gt;"OUI","⚠ ENROBÉ AVANT ACCEPTATION RT","ENROBÉ")))))</f>
        <v>NON SOUDÉ</v>
      </c>
      <c r="O1075" s="80"/>
      <c r="P1075" s="82" t="n">
        <f aca="false">IF(C1075="","",IFERROR(MATCH(Q1075,'CARNET DE SOUDURE'!$AW$7:$AW$3006,0),""))</f>
        <v>1069</v>
      </c>
      <c r="Q1075" s="82" t="str">
        <f aca="false">IF(C1075="","",B1075&amp;"|"&amp;C1075)</f>
        <v>MFD-ISW → MFD-CPF|JN°946</v>
      </c>
    </row>
    <row r="1076" customFormat="false" ht="74.6" hidden="false" customHeight="false" outlineLevel="0" collapsed="false">
      <c r="A1076" s="82" t="n">
        <f aca="false">IF(C1076="","",ROW()-6)</f>
        <v>1070</v>
      </c>
      <c r="B1076" s="80" t="s">
        <v>110</v>
      </c>
      <c r="C1076" s="113" t="s">
        <v>1278</v>
      </c>
      <c r="D1076" s="82" t="str">
        <f aca="false">IF(OR(C1076="",P1076=""),"",INDEX('CARNET DE SOUDURE'!$D$7:$D$3006,P1076)&amp;"")</f>
        <v/>
      </c>
      <c r="E1076" s="114" t="str">
        <f aca="false">IF(OR(C1076="",P1076=""),"",IF(INDEX('CARNET DE SOUDURE'!$U$7:$U$3006,P1076)="","",INDEX('CARNET DE SOUDURE'!$U$7:$U$3006,P1076)))</f>
        <v/>
      </c>
      <c r="F1076" s="82" t="str">
        <f aca="false">IF(OR(C1076="",P1076=""),"",INDEX('CARNET DE SOUDURE'!$AP$7:$AP$3006,P1076))</f>
        <v/>
      </c>
      <c r="G1076" s="82" t="str">
        <f aca="false">IF(C1076="","",IF(P1076="","NJ INCONNU",INDEX('CARNET DE SOUDURE'!$AQ$7:$AQ$3006,P1076)))</f>
        <v>À SOUDER</v>
      </c>
      <c r="H1076" s="82" t="str">
        <f aca="false">IF(C1076="","",IF(G1076="ACCEPTÉ","OUI","NON"))</f>
        <v>NON</v>
      </c>
      <c r="I1076" s="83"/>
      <c r="J1076" s="80"/>
      <c r="K1076" s="81"/>
      <c r="L1076" s="81"/>
      <c r="M1076" s="81"/>
      <c r="N1076" s="84" t="str">
        <f aca="false">IF(C1076="","",IF(P1076="","NJ INCONNU",IF(I1076="",IF(H1076="OUI","À ENROBER",IF(G1076="À SOUDER","NON SOUDÉ","EN ATTENTE RT")),IF(L1076="R","À REPRENDRE",IF(H1076&lt;&gt;"OUI","⚠ ENROBÉ AVANT ACCEPTATION RT","ENROBÉ")))))</f>
        <v>NON SOUDÉ</v>
      </c>
      <c r="O1076" s="80"/>
      <c r="P1076" s="82" t="n">
        <f aca="false">IF(C1076="","",IFERROR(MATCH(Q1076,'CARNET DE SOUDURE'!$AW$7:$AW$3006,0),""))</f>
        <v>1070</v>
      </c>
      <c r="Q1076" s="82" t="str">
        <f aca="false">IF(C1076="","",B1076&amp;"|"&amp;C1076)</f>
        <v>MFD-ISW → MFD-CPF|JN°947</v>
      </c>
    </row>
    <row r="1077" customFormat="false" ht="74.6" hidden="false" customHeight="false" outlineLevel="0" collapsed="false">
      <c r="A1077" s="82" t="n">
        <f aca="false">IF(C1077="","",ROW()-6)</f>
        <v>1071</v>
      </c>
      <c r="B1077" s="80" t="s">
        <v>110</v>
      </c>
      <c r="C1077" s="113" t="s">
        <v>1279</v>
      </c>
      <c r="D1077" s="82" t="str">
        <f aca="false">IF(OR(C1077="",P1077=""),"",INDEX('CARNET DE SOUDURE'!$D$7:$D$3006,P1077)&amp;"")</f>
        <v/>
      </c>
      <c r="E1077" s="114" t="str">
        <f aca="false">IF(OR(C1077="",P1077=""),"",IF(INDEX('CARNET DE SOUDURE'!$U$7:$U$3006,P1077)="","",INDEX('CARNET DE SOUDURE'!$U$7:$U$3006,P1077)))</f>
        <v/>
      </c>
      <c r="F1077" s="82" t="str">
        <f aca="false">IF(OR(C1077="",P1077=""),"",INDEX('CARNET DE SOUDURE'!$AP$7:$AP$3006,P1077))</f>
        <v/>
      </c>
      <c r="G1077" s="82" t="str">
        <f aca="false">IF(C1077="","",IF(P1077="","NJ INCONNU",INDEX('CARNET DE SOUDURE'!$AQ$7:$AQ$3006,P1077)))</f>
        <v>À SOUDER</v>
      </c>
      <c r="H1077" s="82" t="str">
        <f aca="false">IF(C1077="","",IF(G1077="ACCEPTÉ","OUI","NON"))</f>
        <v>NON</v>
      </c>
      <c r="I1077" s="83"/>
      <c r="J1077" s="80"/>
      <c r="K1077" s="81"/>
      <c r="L1077" s="81"/>
      <c r="M1077" s="81"/>
      <c r="N1077" s="84" t="str">
        <f aca="false">IF(C1077="","",IF(P1077="","NJ INCONNU",IF(I1077="",IF(H1077="OUI","À ENROBER",IF(G1077="À SOUDER","NON SOUDÉ","EN ATTENTE RT")),IF(L1077="R","À REPRENDRE",IF(H1077&lt;&gt;"OUI","⚠ ENROBÉ AVANT ACCEPTATION RT","ENROBÉ")))))</f>
        <v>NON SOUDÉ</v>
      </c>
      <c r="O1077" s="80"/>
      <c r="P1077" s="82" t="n">
        <f aca="false">IF(C1077="","",IFERROR(MATCH(Q1077,'CARNET DE SOUDURE'!$AW$7:$AW$3006,0),""))</f>
        <v>1071</v>
      </c>
      <c r="Q1077" s="82" t="str">
        <f aca="false">IF(C1077="","",B1077&amp;"|"&amp;C1077)</f>
        <v>MFD-ISW → MFD-CPF|JN°948</v>
      </c>
    </row>
    <row r="1078" customFormat="false" ht="74.6" hidden="false" customHeight="false" outlineLevel="0" collapsed="false">
      <c r="A1078" s="82" t="n">
        <f aca="false">IF(C1078="","",ROW()-6)</f>
        <v>1072</v>
      </c>
      <c r="B1078" s="80" t="s">
        <v>110</v>
      </c>
      <c r="C1078" s="113" t="s">
        <v>1280</v>
      </c>
      <c r="D1078" s="82" t="str">
        <f aca="false">IF(OR(C1078="",P1078=""),"",INDEX('CARNET DE SOUDURE'!$D$7:$D$3006,P1078)&amp;"")</f>
        <v/>
      </c>
      <c r="E1078" s="114" t="str">
        <f aca="false">IF(OR(C1078="",P1078=""),"",IF(INDEX('CARNET DE SOUDURE'!$U$7:$U$3006,P1078)="","",INDEX('CARNET DE SOUDURE'!$U$7:$U$3006,P1078)))</f>
        <v/>
      </c>
      <c r="F1078" s="82" t="str">
        <f aca="false">IF(OR(C1078="",P1078=""),"",INDEX('CARNET DE SOUDURE'!$AP$7:$AP$3006,P1078))</f>
        <v/>
      </c>
      <c r="G1078" s="82" t="str">
        <f aca="false">IF(C1078="","",IF(P1078="","NJ INCONNU",INDEX('CARNET DE SOUDURE'!$AQ$7:$AQ$3006,P1078)))</f>
        <v>À SOUDER</v>
      </c>
      <c r="H1078" s="82" t="str">
        <f aca="false">IF(C1078="","",IF(G1078="ACCEPTÉ","OUI","NON"))</f>
        <v>NON</v>
      </c>
      <c r="I1078" s="83"/>
      <c r="J1078" s="80"/>
      <c r="K1078" s="81"/>
      <c r="L1078" s="81"/>
      <c r="M1078" s="81"/>
      <c r="N1078" s="84" t="str">
        <f aca="false">IF(C1078="","",IF(P1078="","NJ INCONNU",IF(I1078="",IF(H1078="OUI","À ENROBER",IF(G1078="À SOUDER","NON SOUDÉ","EN ATTENTE RT")),IF(L1078="R","À REPRENDRE",IF(H1078&lt;&gt;"OUI","⚠ ENROBÉ AVANT ACCEPTATION RT","ENROBÉ")))))</f>
        <v>NON SOUDÉ</v>
      </c>
      <c r="O1078" s="80"/>
      <c r="P1078" s="82" t="n">
        <f aca="false">IF(C1078="","",IFERROR(MATCH(Q1078,'CARNET DE SOUDURE'!$AW$7:$AW$3006,0),""))</f>
        <v>1072</v>
      </c>
      <c r="Q1078" s="82" t="str">
        <f aca="false">IF(C1078="","",B1078&amp;"|"&amp;C1078)</f>
        <v>MFD-ISW → MFD-CPF|JN°949</v>
      </c>
    </row>
    <row r="1079" customFormat="false" ht="74.6" hidden="false" customHeight="false" outlineLevel="0" collapsed="false">
      <c r="A1079" s="82" t="n">
        <f aca="false">IF(C1079="","",ROW()-6)</f>
        <v>1073</v>
      </c>
      <c r="B1079" s="80" t="s">
        <v>110</v>
      </c>
      <c r="C1079" s="113" t="s">
        <v>1281</v>
      </c>
      <c r="D1079" s="82" t="str">
        <f aca="false">IF(OR(C1079="",P1079=""),"",INDEX('CARNET DE SOUDURE'!$D$7:$D$3006,P1079)&amp;"")</f>
        <v/>
      </c>
      <c r="E1079" s="114" t="str">
        <f aca="false">IF(OR(C1079="",P1079=""),"",IF(INDEX('CARNET DE SOUDURE'!$U$7:$U$3006,P1079)="","",INDEX('CARNET DE SOUDURE'!$U$7:$U$3006,P1079)))</f>
        <v/>
      </c>
      <c r="F1079" s="82" t="str">
        <f aca="false">IF(OR(C1079="",P1079=""),"",INDEX('CARNET DE SOUDURE'!$AP$7:$AP$3006,P1079))</f>
        <v/>
      </c>
      <c r="G1079" s="82" t="str">
        <f aca="false">IF(C1079="","",IF(P1079="","NJ INCONNU",INDEX('CARNET DE SOUDURE'!$AQ$7:$AQ$3006,P1079)))</f>
        <v>À SOUDER</v>
      </c>
      <c r="H1079" s="82" t="str">
        <f aca="false">IF(C1079="","",IF(G1079="ACCEPTÉ","OUI","NON"))</f>
        <v>NON</v>
      </c>
      <c r="I1079" s="83"/>
      <c r="J1079" s="80"/>
      <c r="K1079" s="81"/>
      <c r="L1079" s="81"/>
      <c r="M1079" s="81"/>
      <c r="N1079" s="84" t="str">
        <f aca="false">IF(C1079="","",IF(P1079="","NJ INCONNU",IF(I1079="",IF(H1079="OUI","À ENROBER",IF(G1079="À SOUDER","NON SOUDÉ","EN ATTENTE RT")),IF(L1079="R","À REPRENDRE",IF(H1079&lt;&gt;"OUI","⚠ ENROBÉ AVANT ACCEPTATION RT","ENROBÉ")))))</f>
        <v>NON SOUDÉ</v>
      </c>
      <c r="O1079" s="80"/>
      <c r="P1079" s="82" t="n">
        <f aca="false">IF(C1079="","",IFERROR(MATCH(Q1079,'CARNET DE SOUDURE'!$AW$7:$AW$3006,0),""))</f>
        <v>1073</v>
      </c>
      <c r="Q1079" s="82" t="str">
        <f aca="false">IF(C1079="","",B1079&amp;"|"&amp;C1079)</f>
        <v>MFD-ISW → MFD-CPF|JN°950</v>
      </c>
    </row>
    <row r="1080" customFormat="false" ht="74.6" hidden="false" customHeight="false" outlineLevel="0" collapsed="false">
      <c r="A1080" s="82" t="n">
        <f aca="false">IF(C1080="","",ROW()-6)</f>
        <v>1074</v>
      </c>
      <c r="B1080" s="80" t="s">
        <v>110</v>
      </c>
      <c r="C1080" s="113" t="s">
        <v>1282</v>
      </c>
      <c r="D1080" s="82" t="str">
        <f aca="false">IF(OR(C1080="",P1080=""),"",INDEX('CARNET DE SOUDURE'!$D$7:$D$3006,P1080)&amp;"")</f>
        <v/>
      </c>
      <c r="E1080" s="114" t="str">
        <f aca="false">IF(OR(C1080="",P1080=""),"",IF(INDEX('CARNET DE SOUDURE'!$U$7:$U$3006,P1080)="","",INDEX('CARNET DE SOUDURE'!$U$7:$U$3006,P1080)))</f>
        <v/>
      </c>
      <c r="F1080" s="82" t="str">
        <f aca="false">IF(OR(C1080="",P1080=""),"",INDEX('CARNET DE SOUDURE'!$AP$7:$AP$3006,P1080))</f>
        <v/>
      </c>
      <c r="G1080" s="82" t="str">
        <f aca="false">IF(C1080="","",IF(P1080="","NJ INCONNU",INDEX('CARNET DE SOUDURE'!$AQ$7:$AQ$3006,P1080)))</f>
        <v>À SOUDER</v>
      </c>
      <c r="H1080" s="82" t="str">
        <f aca="false">IF(C1080="","",IF(G1080="ACCEPTÉ","OUI","NON"))</f>
        <v>NON</v>
      </c>
      <c r="I1080" s="83"/>
      <c r="J1080" s="80"/>
      <c r="K1080" s="81"/>
      <c r="L1080" s="81"/>
      <c r="M1080" s="81"/>
      <c r="N1080" s="84" t="str">
        <f aca="false">IF(C1080="","",IF(P1080="","NJ INCONNU",IF(I1080="",IF(H1080="OUI","À ENROBER",IF(G1080="À SOUDER","NON SOUDÉ","EN ATTENTE RT")),IF(L1080="R","À REPRENDRE",IF(H1080&lt;&gt;"OUI","⚠ ENROBÉ AVANT ACCEPTATION RT","ENROBÉ")))))</f>
        <v>NON SOUDÉ</v>
      </c>
      <c r="O1080" s="80"/>
      <c r="P1080" s="82" t="n">
        <f aca="false">IF(C1080="","",IFERROR(MATCH(Q1080,'CARNET DE SOUDURE'!$AW$7:$AW$3006,0),""))</f>
        <v>1074</v>
      </c>
      <c r="Q1080" s="82" t="str">
        <f aca="false">IF(C1080="","",B1080&amp;"|"&amp;C1080)</f>
        <v>MFD-ISW → MFD-CPF|JN°951</v>
      </c>
    </row>
    <row r="1081" customFormat="false" ht="74.6" hidden="false" customHeight="false" outlineLevel="0" collapsed="false">
      <c r="A1081" s="82" t="n">
        <f aca="false">IF(C1081="","",ROW()-6)</f>
        <v>1075</v>
      </c>
      <c r="B1081" s="80" t="s">
        <v>110</v>
      </c>
      <c r="C1081" s="113" t="s">
        <v>1283</v>
      </c>
      <c r="D1081" s="82" t="str">
        <f aca="false">IF(OR(C1081="",P1081=""),"",INDEX('CARNET DE SOUDURE'!$D$7:$D$3006,P1081)&amp;"")</f>
        <v/>
      </c>
      <c r="E1081" s="114" t="str">
        <f aca="false">IF(OR(C1081="",P1081=""),"",IF(INDEX('CARNET DE SOUDURE'!$U$7:$U$3006,P1081)="","",INDEX('CARNET DE SOUDURE'!$U$7:$U$3006,P1081)))</f>
        <v/>
      </c>
      <c r="F1081" s="82" t="str">
        <f aca="false">IF(OR(C1081="",P1081=""),"",INDEX('CARNET DE SOUDURE'!$AP$7:$AP$3006,P1081))</f>
        <v/>
      </c>
      <c r="G1081" s="82" t="str">
        <f aca="false">IF(C1081="","",IF(P1081="","NJ INCONNU",INDEX('CARNET DE SOUDURE'!$AQ$7:$AQ$3006,P1081)))</f>
        <v>À SOUDER</v>
      </c>
      <c r="H1081" s="82" t="str">
        <f aca="false">IF(C1081="","",IF(G1081="ACCEPTÉ","OUI","NON"))</f>
        <v>NON</v>
      </c>
      <c r="I1081" s="83"/>
      <c r="J1081" s="80"/>
      <c r="K1081" s="81"/>
      <c r="L1081" s="81"/>
      <c r="M1081" s="81"/>
      <c r="N1081" s="84" t="str">
        <f aca="false">IF(C1081="","",IF(P1081="","NJ INCONNU",IF(I1081="",IF(H1081="OUI","À ENROBER",IF(G1081="À SOUDER","NON SOUDÉ","EN ATTENTE RT")),IF(L1081="R","À REPRENDRE",IF(H1081&lt;&gt;"OUI","⚠ ENROBÉ AVANT ACCEPTATION RT","ENROBÉ")))))</f>
        <v>NON SOUDÉ</v>
      </c>
      <c r="O1081" s="80"/>
      <c r="P1081" s="82" t="n">
        <f aca="false">IF(C1081="","",IFERROR(MATCH(Q1081,'CARNET DE SOUDURE'!$AW$7:$AW$3006,0),""))</f>
        <v>1075</v>
      </c>
      <c r="Q1081" s="82" t="str">
        <f aca="false">IF(C1081="","",B1081&amp;"|"&amp;C1081)</f>
        <v>MFD-ISW → MFD-CPF|JN°952</v>
      </c>
    </row>
    <row r="1082" customFormat="false" ht="74.6" hidden="false" customHeight="false" outlineLevel="0" collapsed="false">
      <c r="A1082" s="82" t="n">
        <f aca="false">IF(C1082="","",ROW()-6)</f>
        <v>1076</v>
      </c>
      <c r="B1082" s="80" t="s">
        <v>110</v>
      </c>
      <c r="C1082" s="113" t="s">
        <v>1284</v>
      </c>
      <c r="D1082" s="82" t="str">
        <f aca="false">IF(OR(C1082="",P1082=""),"",INDEX('CARNET DE SOUDURE'!$D$7:$D$3006,P1082)&amp;"")</f>
        <v/>
      </c>
      <c r="E1082" s="114" t="str">
        <f aca="false">IF(OR(C1082="",P1082=""),"",IF(INDEX('CARNET DE SOUDURE'!$U$7:$U$3006,P1082)="","",INDEX('CARNET DE SOUDURE'!$U$7:$U$3006,P1082)))</f>
        <v/>
      </c>
      <c r="F1082" s="82" t="str">
        <f aca="false">IF(OR(C1082="",P1082=""),"",INDEX('CARNET DE SOUDURE'!$AP$7:$AP$3006,P1082))</f>
        <v/>
      </c>
      <c r="G1082" s="82" t="str">
        <f aca="false">IF(C1082="","",IF(P1082="","NJ INCONNU",INDEX('CARNET DE SOUDURE'!$AQ$7:$AQ$3006,P1082)))</f>
        <v>À SOUDER</v>
      </c>
      <c r="H1082" s="82" t="str">
        <f aca="false">IF(C1082="","",IF(G1082="ACCEPTÉ","OUI","NON"))</f>
        <v>NON</v>
      </c>
      <c r="I1082" s="83"/>
      <c r="J1082" s="80"/>
      <c r="K1082" s="81"/>
      <c r="L1082" s="81"/>
      <c r="M1082" s="81"/>
      <c r="N1082" s="84" t="str">
        <f aca="false">IF(C1082="","",IF(P1082="","NJ INCONNU",IF(I1082="",IF(H1082="OUI","À ENROBER",IF(G1082="À SOUDER","NON SOUDÉ","EN ATTENTE RT")),IF(L1082="R","À REPRENDRE",IF(H1082&lt;&gt;"OUI","⚠ ENROBÉ AVANT ACCEPTATION RT","ENROBÉ")))))</f>
        <v>NON SOUDÉ</v>
      </c>
      <c r="O1082" s="80"/>
      <c r="P1082" s="82" t="n">
        <f aca="false">IF(C1082="","",IFERROR(MATCH(Q1082,'CARNET DE SOUDURE'!$AW$7:$AW$3006,0),""))</f>
        <v>1076</v>
      </c>
      <c r="Q1082" s="82" t="str">
        <f aca="false">IF(C1082="","",B1082&amp;"|"&amp;C1082)</f>
        <v>MFD-ISW → MFD-CPF|JN°953</v>
      </c>
    </row>
    <row r="1083" customFormat="false" ht="74.6" hidden="false" customHeight="false" outlineLevel="0" collapsed="false">
      <c r="A1083" s="82" t="n">
        <f aca="false">IF(C1083="","",ROW()-6)</f>
        <v>1077</v>
      </c>
      <c r="B1083" s="80" t="s">
        <v>110</v>
      </c>
      <c r="C1083" s="113" t="s">
        <v>1286</v>
      </c>
      <c r="D1083" s="82" t="str">
        <f aca="false">IF(OR(C1083="",P1083=""),"",INDEX('CARNET DE SOUDURE'!$D$7:$D$3006,P1083)&amp;"")</f>
        <v>8</v>
      </c>
      <c r="E1083" s="114" t="n">
        <f aca="false">IF(OR(C1083="",P1083=""),"",IF(INDEX('CARNET DE SOUDURE'!$U$7:$U$3006,P1083)="","",INDEX('CARNET DE SOUDURE'!$U$7:$U$3006,P1083)))</f>
        <v>46281</v>
      </c>
      <c r="F1083" s="82" t="str">
        <f aca="false">IF(OR(C1083="",P1083=""),"",INDEX('CARNET DE SOUDURE'!$AP$7:$AP$3006,P1083))</f>
        <v>A</v>
      </c>
      <c r="G1083" s="82" t="str">
        <f aca="false">IF(C1083="","",IF(P1083="","NJ INCONNU",INDEX('CARNET DE SOUDURE'!$AQ$7:$AQ$3006,P1083)))</f>
        <v>ACCEPTÉ</v>
      </c>
      <c r="H1083" s="82" t="str">
        <f aca="false">IF(C1083="","",IF(G1083="ACCEPTÉ","OUI","NON"))</f>
        <v>OUI</v>
      </c>
      <c r="I1083" s="83"/>
      <c r="J1083" s="80"/>
      <c r="K1083" s="81"/>
      <c r="L1083" s="81"/>
      <c r="M1083" s="81"/>
      <c r="N1083" s="84" t="str">
        <f aca="false">IF(C1083="","",IF(P1083="","NJ INCONNU",IF(I1083="",IF(H1083="OUI","À ENROBER",IF(G1083="À SOUDER","NON SOUDÉ","EN ATTENTE RT")),IF(L1083="R","À REPRENDRE",IF(H1083&lt;&gt;"OUI","⚠ ENROBÉ AVANT ACCEPTATION RT","ENROBÉ")))))</f>
        <v>À ENROBER</v>
      </c>
      <c r="O1083" s="80"/>
      <c r="P1083" s="82" t="n">
        <f aca="false">IF(C1083="","",IFERROR(MATCH(Q1083,'CARNET DE SOUDURE'!$AW$7:$AW$3006,0),""))</f>
        <v>1077</v>
      </c>
      <c r="Q1083" s="82" t="str">
        <f aca="false">IF(C1083="","",B1083&amp;"|"&amp;C1083)</f>
        <v>MFD-ISW → MFD-CPF|JN°954</v>
      </c>
    </row>
    <row r="1084" customFormat="false" ht="74.6" hidden="false" customHeight="false" outlineLevel="0" collapsed="false">
      <c r="A1084" s="82" t="n">
        <f aca="false">IF(C1084="","",ROW()-6)</f>
        <v>1078</v>
      </c>
      <c r="B1084" s="80" t="s">
        <v>110</v>
      </c>
      <c r="C1084" s="113" t="s">
        <v>1288</v>
      </c>
      <c r="D1084" s="82" t="str">
        <f aca="false">IF(OR(C1084="",P1084=""),"",INDEX('CARNET DE SOUDURE'!$D$7:$D$3006,P1084)&amp;"")</f>
        <v>8</v>
      </c>
      <c r="E1084" s="114" t="n">
        <f aca="false">IF(OR(C1084="",P1084=""),"",IF(INDEX('CARNET DE SOUDURE'!$U$7:$U$3006,P1084)="","",INDEX('CARNET DE SOUDURE'!$U$7:$U$3006,P1084)))</f>
        <v>46281</v>
      </c>
      <c r="F1084" s="82" t="str">
        <f aca="false">IF(OR(C1084="",P1084=""),"",INDEX('CARNET DE SOUDURE'!$AP$7:$AP$3006,P1084))</f>
        <v>R</v>
      </c>
      <c r="G1084" s="82" t="str">
        <f aca="false">IF(C1084="","",IF(P1084="","NJ INCONNU",INDEX('CARNET DE SOUDURE'!$AQ$7:$AQ$3006,P1084)))</f>
        <v>À RÉPARER</v>
      </c>
      <c r="H1084" s="82" t="str">
        <f aca="false">IF(C1084="","",IF(G1084="ACCEPTÉ","OUI","NON"))</f>
        <v>NON</v>
      </c>
      <c r="I1084" s="83"/>
      <c r="J1084" s="80"/>
      <c r="K1084" s="81"/>
      <c r="L1084" s="81"/>
      <c r="M1084" s="81"/>
      <c r="N1084" s="84" t="str">
        <f aca="false">IF(C1084="","",IF(P1084="","NJ INCONNU",IF(I1084="",IF(H1084="OUI","À ENROBER",IF(G1084="À SOUDER","NON SOUDÉ","EN ATTENTE RT")),IF(L1084="R","À REPRENDRE",IF(H1084&lt;&gt;"OUI","⚠ ENROBÉ AVANT ACCEPTATION RT","ENROBÉ")))))</f>
        <v>EN ATTENTE RT</v>
      </c>
      <c r="O1084" s="80"/>
      <c r="P1084" s="82" t="n">
        <f aca="false">IF(C1084="","",IFERROR(MATCH(Q1084,'CARNET DE SOUDURE'!$AW$7:$AW$3006,0),""))</f>
        <v>1078</v>
      </c>
      <c r="Q1084" s="82" t="str">
        <f aca="false">IF(C1084="","",B1084&amp;"|"&amp;C1084)</f>
        <v>MFD-ISW → MFD-CPF|JN°955</v>
      </c>
    </row>
    <row r="1085" customFormat="false" ht="74.6" hidden="false" customHeight="false" outlineLevel="0" collapsed="false">
      <c r="A1085" s="82" t="n">
        <f aca="false">IF(C1085="","",ROW()-6)</f>
        <v>1079</v>
      </c>
      <c r="B1085" s="80" t="s">
        <v>110</v>
      </c>
      <c r="C1085" s="113" t="s">
        <v>1290</v>
      </c>
      <c r="D1085" s="82" t="str">
        <f aca="false">IF(OR(C1085="",P1085=""),"",INDEX('CARNET DE SOUDURE'!$D$7:$D$3006,P1085)&amp;"")</f>
        <v>8</v>
      </c>
      <c r="E1085" s="114" t="n">
        <f aca="false">IF(OR(C1085="",P1085=""),"",IF(INDEX('CARNET DE SOUDURE'!$U$7:$U$3006,P1085)="","",INDEX('CARNET DE SOUDURE'!$U$7:$U$3006,P1085)))</f>
        <v>46281</v>
      </c>
      <c r="F1085" s="82" t="str">
        <f aca="false">IF(OR(C1085="",P1085=""),"",INDEX('CARNET DE SOUDURE'!$AP$7:$AP$3006,P1085))</f>
        <v>A</v>
      </c>
      <c r="G1085" s="82" t="str">
        <f aca="false">IF(C1085="","",IF(P1085="","NJ INCONNU",INDEX('CARNET DE SOUDURE'!$AQ$7:$AQ$3006,P1085)))</f>
        <v>ACCEPTÉ</v>
      </c>
      <c r="H1085" s="82" t="str">
        <f aca="false">IF(C1085="","",IF(G1085="ACCEPTÉ","OUI","NON"))</f>
        <v>OUI</v>
      </c>
      <c r="I1085" s="83"/>
      <c r="J1085" s="80"/>
      <c r="K1085" s="81"/>
      <c r="L1085" s="81"/>
      <c r="M1085" s="81"/>
      <c r="N1085" s="84" t="str">
        <f aca="false">IF(C1085="","",IF(P1085="","NJ INCONNU",IF(I1085="",IF(H1085="OUI","À ENROBER",IF(G1085="À SOUDER","NON SOUDÉ","EN ATTENTE RT")),IF(L1085="R","À REPRENDRE",IF(H1085&lt;&gt;"OUI","⚠ ENROBÉ AVANT ACCEPTATION RT","ENROBÉ")))))</f>
        <v>À ENROBER</v>
      </c>
      <c r="O1085" s="80"/>
      <c r="P1085" s="82" t="n">
        <f aca="false">IF(C1085="","",IFERROR(MATCH(Q1085,'CARNET DE SOUDURE'!$AW$7:$AW$3006,0),""))</f>
        <v>1079</v>
      </c>
      <c r="Q1085" s="82" t="str">
        <f aca="false">IF(C1085="","",B1085&amp;"|"&amp;C1085)</f>
        <v>MFD-ISW → MFD-CPF|JN°956</v>
      </c>
    </row>
    <row r="1086" customFormat="false" ht="74.6" hidden="false" customHeight="false" outlineLevel="0" collapsed="false">
      <c r="A1086" s="82" t="n">
        <f aca="false">IF(C1086="","",ROW()-6)</f>
        <v>1080</v>
      </c>
      <c r="B1086" s="80" t="s">
        <v>110</v>
      </c>
      <c r="C1086" s="113" t="s">
        <v>1291</v>
      </c>
      <c r="D1086" s="82" t="str">
        <f aca="false">IF(OR(C1086="",P1086=""),"",INDEX('CARNET DE SOUDURE'!$D$7:$D$3006,P1086)&amp;"")</f>
        <v>8</v>
      </c>
      <c r="E1086" s="114" t="n">
        <f aca="false">IF(OR(C1086="",P1086=""),"",IF(INDEX('CARNET DE SOUDURE'!$U$7:$U$3006,P1086)="","",INDEX('CARNET DE SOUDURE'!$U$7:$U$3006,P1086)))</f>
        <v>46281</v>
      </c>
      <c r="F1086" s="82" t="str">
        <f aca="false">IF(OR(C1086="",P1086=""),"",INDEX('CARNET DE SOUDURE'!$AP$7:$AP$3006,P1086))</f>
        <v>A</v>
      </c>
      <c r="G1086" s="82" t="str">
        <f aca="false">IF(C1086="","",IF(P1086="","NJ INCONNU",INDEX('CARNET DE SOUDURE'!$AQ$7:$AQ$3006,P1086)))</f>
        <v>ACCEPTÉ</v>
      </c>
      <c r="H1086" s="82" t="str">
        <f aca="false">IF(C1086="","",IF(G1086="ACCEPTÉ","OUI","NON"))</f>
        <v>OUI</v>
      </c>
      <c r="I1086" s="83"/>
      <c r="J1086" s="80"/>
      <c r="K1086" s="81"/>
      <c r="L1086" s="81"/>
      <c r="M1086" s="81"/>
      <c r="N1086" s="84" t="str">
        <f aca="false">IF(C1086="","",IF(P1086="","NJ INCONNU",IF(I1086="",IF(H1086="OUI","À ENROBER",IF(G1086="À SOUDER","NON SOUDÉ","EN ATTENTE RT")),IF(L1086="R","À REPRENDRE",IF(H1086&lt;&gt;"OUI","⚠ ENROBÉ AVANT ACCEPTATION RT","ENROBÉ")))))</f>
        <v>À ENROBER</v>
      </c>
      <c r="O1086" s="80"/>
      <c r="P1086" s="82" t="n">
        <f aca="false">IF(C1086="","",IFERROR(MATCH(Q1086,'CARNET DE SOUDURE'!$AW$7:$AW$3006,0),""))</f>
        <v>1080</v>
      </c>
      <c r="Q1086" s="82" t="str">
        <f aca="false">IF(C1086="","",B1086&amp;"|"&amp;C1086)</f>
        <v>MFD-ISW → MFD-CPF|JN°957</v>
      </c>
    </row>
    <row r="1087" customFormat="false" ht="74.6" hidden="false" customHeight="false" outlineLevel="0" collapsed="false">
      <c r="A1087" s="82" t="n">
        <f aca="false">IF(C1087="","",ROW()-6)</f>
        <v>1081</v>
      </c>
      <c r="B1087" s="80" t="s">
        <v>110</v>
      </c>
      <c r="C1087" s="113" t="s">
        <v>1292</v>
      </c>
      <c r="D1087" s="82" t="str">
        <f aca="false">IF(OR(C1087="",P1087=""),"",INDEX('CARNET DE SOUDURE'!$D$7:$D$3006,P1087)&amp;"")</f>
        <v>8</v>
      </c>
      <c r="E1087" s="114" t="n">
        <f aca="false">IF(OR(C1087="",P1087=""),"",IF(INDEX('CARNET DE SOUDURE'!$U$7:$U$3006,P1087)="","",INDEX('CARNET DE SOUDURE'!$U$7:$U$3006,P1087)))</f>
        <v>46281</v>
      </c>
      <c r="F1087" s="82" t="str">
        <f aca="false">IF(OR(C1087="",P1087=""),"",INDEX('CARNET DE SOUDURE'!$AP$7:$AP$3006,P1087))</f>
        <v>A</v>
      </c>
      <c r="G1087" s="82" t="str">
        <f aca="false">IF(C1087="","",IF(P1087="","NJ INCONNU",INDEX('CARNET DE SOUDURE'!$AQ$7:$AQ$3006,P1087)))</f>
        <v>ACCEPTÉ</v>
      </c>
      <c r="H1087" s="82" t="str">
        <f aca="false">IF(C1087="","",IF(G1087="ACCEPTÉ","OUI","NON"))</f>
        <v>OUI</v>
      </c>
      <c r="I1087" s="83"/>
      <c r="J1087" s="80"/>
      <c r="K1087" s="81"/>
      <c r="L1087" s="81"/>
      <c r="M1087" s="81"/>
      <c r="N1087" s="84" t="str">
        <f aca="false">IF(C1087="","",IF(P1087="","NJ INCONNU",IF(I1087="",IF(H1087="OUI","À ENROBER",IF(G1087="À SOUDER","NON SOUDÉ","EN ATTENTE RT")),IF(L1087="R","À REPRENDRE",IF(H1087&lt;&gt;"OUI","⚠ ENROBÉ AVANT ACCEPTATION RT","ENROBÉ")))))</f>
        <v>À ENROBER</v>
      </c>
      <c r="O1087" s="80"/>
      <c r="P1087" s="82" t="n">
        <f aca="false">IF(C1087="","",IFERROR(MATCH(Q1087,'CARNET DE SOUDURE'!$AW$7:$AW$3006,0),""))</f>
        <v>1081</v>
      </c>
      <c r="Q1087" s="82" t="str">
        <f aca="false">IF(C1087="","",B1087&amp;"|"&amp;C1087)</f>
        <v>MFD-ISW → MFD-CPF|JN°958</v>
      </c>
    </row>
    <row r="1088" customFormat="false" ht="74.6" hidden="false" customHeight="false" outlineLevel="0" collapsed="false">
      <c r="A1088" s="82" t="n">
        <f aca="false">IF(C1088="","",ROW()-6)</f>
        <v>1082</v>
      </c>
      <c r="B1088" s="80" t="s">
        <v>110</v>
      </c>
      <c r="C1088" s="113" t="s">
        <v>1293</v>
      </c>
      <c r="D1088" s="82" t="str">
        <f aca="false">IF(OR(C1088="",P1088=""),"",INDEX('CARNET DE SOUDURE'!$D$7:$D$3006,P1088)&amp;"")</f>
        <v>8</v>
      </c>
      <c r="E1088" s="114" t="n">
        <f aca="false">IF(OR(C1088="",P1088=""),"",IF(INDEX('CARNET DE SOUDURE'!$U$7:$U$3006,P1088)="","",INDEX('CARNET DE SOUDURE'!$U$7:$U$3006,P1088)))</f>
        <v>46281</v>
      </c>
      <c r="F1088" s="82" t="str">
        <f aca="false">IF(OR(C1088="",P1088=""),"",INDEX('CARNET DE SOUDURE'!$AP$7:$AP$3006,P1088))</f>
        <v>A</v>
      </c>
      <c r="G1088" s="82" t="str">
        <f aca="false">IF(C1088="","",IF(P1088="","NJ INCONNU",INDEX('CARNET DE SOUDURE'!$AQ$7:$AQ$3006,P1088)))</f>
        <v>ACCEPTÉ</v>
      </c>
      <c r="H1088" s="82" t="str">
        <f aca="false">IF(C1088="","",IF(G1088="ACCEPTÉ","OUI","NON"))</f>
        <v>OUI</v>
      </c>
      <c r="I1088" s="83"/>
      <c r="J1088" s="80"/>
      <c r="K1088" s="81"/>
      <c r="L1088" s="81"/>
      <c r="M1088" s="81"/>
      <c r="N1088" s="84" t="str">
        <f aca="false">IF(C1088="","",IF(P1088="","NJ INCONNU",IF(I1088="",IF(H1088="OUI","À ENROBER",IF(G1088="À SOUDER","NON SOUDÉ","EN ATTENTE RT")),IF(L1088="R","À REPRENDRE",IF(H1088&lt;&gt;"OUI","⚠ ENROBÉ AVANT ACCEPTATION RT","ENROBÉ")))))</f>
        <v>À ENROBER</v>
      </c>
      <c r="O1088" s="80"/>
      <c r="P1088" s="82" t="n">
        <f aca="false">IF(C1088="","",IFERROR(MATCH(Q1088,'CARNET DE SOUDURE'!$AW$7:$AW$3006,0),""))</f>
        <v>1082</v>
      </c>
      <c r="Q1088" s="82" t="str">
        <f aca="false">IF(C1088="","",B1088&amp;"|"&amp;C1088)</f>
        <v>MFD-ISW → MFD-CPF|JN°959</v>
      </c>
    </row>
    <row r="1089" customFormat="false" ht="74.6" hidden="false" customHeight="false" outlineLevel="0" collapsed="false">
      <c r="A1089" s="82" t="n">
        <f aca="false">IF(C1089="","",ROW()-6)</f>
        <v>1083</v>
      </c>
      <c r="B1089" s="80" t="s">
        <v>110</v>
      </c>
      <c r="C1089" s="113" t="s">
        <v>1294</v>
      </c>
      <c r="D1089" s="82" t="str">
        <f aca="false">IF(OR(C1089="",P1089=""),"",INDEX('CARNET DE SOUDURE'!$D$7:$D$3006,P1089)&amp;"")</f>
        <v>8</v>
      </c>
      <c r="E1089" s="114" t="n">
        <f aca="false">IF(OR(C1089="",P1089=""),"",IF(INDEX('CARNET DE SOUDURE'!$U$7:$U$3006,P1089)="","",INDEX('CARNET DE SOUDURE'!$U$7:$U$3006,P1089)))</f>
        <v>46281</v>
      </c>
      <c r="F1089" s="82" t="str">
        <f aca="false">IF(OR(C1089="",P1089=""),"",INDEX('CARNET DE SOUDURE'!$AP$7:$AP$3006,P1089))</f>
        <v>R</v>
      </c>
      <c r="G1089" s="82" t="str">
        <f aca="false">IF(C1089="","",IF(P1089="","NJ INCONNU",INDEX('CARNET DE SOUDURE'!$AQ$7:$AQ$3006,P1089)))</f>
        <v>À RÉPARER</v>
      </c>
      <c r="H1089" s="82" t="str">
        <f aca="false">IF(C1089="","",IF(G1089="ACCEPTÉ","OUI","NON"))</f>
        <v>NON</v>
      </c>
      <c r="I1089" s="83"/>
      <c r="J1089" s="80"/>
      <c r="K1089" s="81"/>
      <c r="L1089" s="81"/>
      <c r="M1089" s="81"/>
      <c r="N1089" s="84" t="str">
        <f aca="false">IF(C1089="","",IF(P1089="","NJ INCONNU",IF(I1089="",IF(H1089="OUI","À ENROBER",IF(G1089="À SOUDER","NON SOUDÉ","EN ATTENTE RT")),IF(L1089="R","À REPRENDRE",IF(H1089&lt;&gt;"OUI","⚠ ENROBÉ AVANT ACCEPTATION RT","ENROBÉ")))))</f>
        <v>EN ATTENTE RT</v>
      </c>
      <c r="O1089" s="80"/>
      <c r="P1089" s="82" t="n">
        <f aca="false">IF(C1089="","",IFERROR(MATCH(Q1089,'CARNET DE SOUDURE'!$AW$7:$AW$3006,0),""))</f>
        <v>1083</v>
      </c>
      <c r="Q1089" s="82" t="str">
        <f aca="false">IF(C1089="","",B1089&amp;"|"&amp;C1089)</f>
        <v>MFD-ISW → MFD-CPF|JN°960</v>
      </c>
    </row>
    <row r="1090" customFormat="false" ht="74.6" hidden="false" customHeight="false" outlineLevel="0" collapsed="false">
      <c r="A1090" s="82" t="n">
        <f aca="false">IF(C1090="","",ROW()-6)</f>
        <v>1084</v>
      </c>
      <c r="B1090" s="80" t="s">
        <v>110</v>
      </c>
      <c r="C1090" s="113" t="s">
        <v>1296</v>
      </c>
      <c r="D1090" s="82" t="str">
        <f aca="false">IF(OR(C1090="",P1090=""),"",INDEX('CARNET DE SOUDURE'!$D$7:$D$3006,P1090)&amp;"")</f>
        <v>8</v>
      </c>
      <c r="E1090" s="114" t="n">
        <f aca="false">IF(OR(C1090="",P1090=""),"",IF(INDEX('CARNET DE SOUDURE'!$U$7:$U$3006,P1090)="","",INDEX('CARNET DE SOUDURE'!$U$7:$U$3006,P1090)))</f>
        <v>46281</v>
      </c>
      <c r="F1090" s="82" t="str">
        <f aca="false">IF(OR(C1090="",P1090=""),"",INDEX('CARNET DE SOUDURE'!$AP$7:$AP$3006,P1090))</f>
        <v>R</v>
      </c>
      <c r="G1090" s="82" t="str">
        <f aca="false">IF(C1090="","",IF(P1090="","NJ INCONNU",INDEX('CARNET DE SOUDURE'!$AQ$7:$AQ$3006,P1090)))</f>
        <v>À RÉPARER</v>
      </c>
      <c r="H1090" s="82" t="str">
        <f aca="false">IF(C1090="","",IF(G1090="ACCEPTÉ","OUI","NON"))</f>
        <v>NON</v>
      </c>
      <c r="I1090" s="83"/>
      <c r="J1090" s="80"/>
      <c r="K1090" s="81"/>
      <c r="L1090" s="81"/>
      <c r="M1090" s="81"/>
      <c r="N1090" s="84" t="str">
        <f aca="false">IF(C1090="","",IF(P1090="","NJ INCONNU",IF(I1090="",IF(H1090="OUI","À ENROBER",IF(G1090="À SOUDER","NON SOUDÉ","EN ATTENTE RT")),IF(L1090="R","À REPRENDRE",IF(H1090&lt;&gt;"OUI","⚠ ENROBÉ AVANT ACCEPTATION RT","ENROBÉ")))))</f>
        <v>EN ATTENTE RT</v>
      </c>
      <c r="O1090" s="80"/>
      <c r="P1090" s="82" t="n">
        <f aca="false">IF(C1090="","",IFERROR(MATCH(Q1090,'CARNET DE SOUDURE'!$AW$7:$AW$3006,0),""))</f>
        <v>1084</v>
      </c>
      <c r="Q1090" s="82" t="str">
        <f aca="false">IF(C1090="","",B1090&amp;"|"&amp;C1090)</f>
        <v>MFD-ISW → MFD-CPF|JN°961</v>
      </c>
    </row>
    <row r="1091" customFormat="false" ht="74.6" hidden="false" customHeight="false" outlineLevel="0" collapsed="false">
      <c r="A1091" s="82" t="n">
        <f aca="false">IF(C1091="","",ROW()-6)</f>
        <v>1085</v>
      </c>
      <c r="B1091" s="80" t="s">
        <v>110</v>
      </c>
      <c r="C1091" s="113" t="s">
        <v>1298</v>
      </c>
      <c r="D1091" s="82" t="str">
        <f aca="false">IF(OR(C1091="",P1091=""),"",INDEX('CARNET DE SOUDURE'!$D$7:$D$3006,P1091)&amp;"")</f>
        <v>8</v>
      </c>
      <c r="E1091" s="114" t="n">
        <f aca="false">IF(OR(C1091="",P1091=""),"",IF(INDEX('CARNET DE SOUDURE'!$U$7:$U$3006,P1091)="","",INDEX('CARNET DE SOUDURE'!$U$7:$U$3006,P1091)))</f>
        <v>46280</v>
      </c>
      <c r="F1091" s="82" t="str">
        <f aca="false">IF(OR(C1091="",P1091=""),"",INDEX('CARNET DE SOUDURE'!$AP$7:$AP$3006,P1091))</f>
        <v>A</v>
      </c>
      <c r="G1091" s="82" t="str">
        <f aca="false">IF(C1091="","",IF(P1091="","NJ INCONNU",INDEX('CARNET DE SOUDURE'!$AQ$7:$AQ$3006,P1091)))</f>
        <v>ACCEPTÉ</v>
      </c>
      <c r="H1091" s="82" t="str">
        <f aca="false">IF(C1091="","",IF(G1091="ACCEPTÉ","OUI","NON"))</f>
        <v>OUI</v>
      </c>
      <c r="I1091" s="83"/>
      <c r="J1091" s="80"/>
      <c r="K1091" s="81"/>
      <c r="L1091" s="81"/>
      <c r="M1091" s="81"/>
      <c r="N1091" s="84" t="str">
        <f aca="false">IF(C1091="","",IF(P1091="","NJ INCONNU",IF(I1091="",IF(H1091="OUI","À ENROBER",IF(G1091="À SOUDER","NON SOUDÉ","EN ATTENTE RT")),IF(L1091="R","À REPRENDRE",IF(H1091&lt;&gt;"OUI","⚠ ENROBÉ AVANT ACCEPTATION RT","ENROBÉ")))))</f>
        <v>À ENROBER</v>
      </c>
      <c r="O1091" s="80"/>
      <c r="P1091" s="82" t="n">
        <f aca="false">IF(C1091="","",IFERROR(MATCH(Q1091,'CARNET DE SOUDURE'!$AW$7:$AW$3006,0),""))</f>
        <v>1085</v>
      </c>
      <c r="Q1091" s="82" t="str">
        <f aca="false">IF(C1091="","",B1091&amp;"|"&amp;C1091)</f>
        <v>MFD-ISW → MFD-CPF|JN°962</v>
      </c>
    </row>
    <row r="1092" customFormat="false" ht="74.6" hidden="false" customHeight="false" outlineLevel="0" collapsed="false">
      <c r="A1092" s="82" t="n">
        <f aca="false">IF(C1092="","",ROW()-6)</f>
        <v>1086</v>
      </c>
      <c r="B1092" s="80" t="s">
        <v>110</v>
      </c>
      <c r="C1092" s="113" t="s">
        <v>1301</v>
      </c>
      <c r="D1092" s="82" t="str">
        <f aca="false">IF(OR(C1092="",P1092=""),"",INDEX('CARNET DE SOUDURE'!$D$7:$D$3006,P1092)&amp;"")</f>
        <v>8</v>
      </c>
      <c r="E1092" s="114" t="n">
        <f aca="false">IF(OR(C1092="",P1092=""),"",IF(INDEX('CARNET DE SOUDURE'!$U$7:$U$3006,P1092)="","",INDEX('CARNET DE SOUDURE'!$U$7:$U$3006,P1092)))</f>
        <v>46280</v>
      </c>
      <c r="F1092" s="82" t="str">
        <f aca="false">IF(OR(C1092="",P1092=""),"",INDEX('CARNET DE SOUDURE'!$AP$7:$AP$3006,P1092))</f>
        <v>A</v>
      </c>
      <c r="G1092" s="82" t="str">
        <f aca="false">IF(C1092="","",IF(P1092="","NJ INCONNU",INDEX('CARNET DE SOUDURE'!$AQ$7:$AQ$3006,P1092)))</f>
        <v>ACCEPTÉ</v>
      </c>
      <c r="H1092" s="82" t="str">
        <f aca="false">IF(C1092="","",IF(G1092="ACCEPTÉ","OUI","NON"))</f>
        <v>OUI</v>
      </c>
      <c r="I1092" s="83"/>
      <c r="J1092" s="80"/>
      <c r="K1092" s="81"/>
      <c r="L1092" s="81"/>
      <c r="M1092" s="81"/>
      <c r="N1092" s="84" t="str">
        <f aca="false">IF(C1092="","",IF(P1092="","NJ INCONNU",IF(I1092="",IF(H1092="OUI","À ENROBER",IF(G1092="À SOUDER","NON SOUDÉ","EN ATTENTE RT")),IF(L1092="R","À REPRENDRE",IF(H1092&lt;&gt;"OUI","⚠ ENROBÉ AVANT ACCEPTATION RT","ENROBÉ")))))</f>
        <v>À ENROBER</v>
      </c>
      <c r="O1092" s="80"/>
      <c r="P1092" s="82" t="n">
        <f aca="false">IF(C1092="","",IFERROR(MATCH(Q1092,'CARNET DE SOUDURE'!$AW$7:$AW$3006,0),""))</f>
        <v>1086</v>
      </c>
      <c r="Q1092" s="82" t="str">
        <f aca="false">IF(C1092="","",B1092&amp;"|"&amp;C1092)</f>
        <v>MFD-ISW → MFD-CPF|JN°963</v>
      </c>
    </row>
    <row r="1093" customFormat="false" ht="74.6" hidden="false" customHeight="false" outlineLevel="0" collapsed="false">
      <c r="A1093" s="82" t="n">
        <f aca="false">IF(C1093="","",ROW()-6)</f>
        <v>1087</v>
      </c>
      <c r="B1093" s="80" t="s">
        <v>110</v>
      </c>
      <c r="C1093" s="113" t="s">
        <v>1302</v>
      </c>
      <c r="D1093" s="82" t="str">
        <f aca="false">IF(OR(C1093="",P1093=""),"",INDEX('CARNET DE SOUDURE'!$D$7:$D$3006,P1093)&amp;"")</f>
        <v>8</v>
      </c>
      <c r="E1093" s="114" t="n">
        <f aca="false">IF(OR(C1093="",P1093=""),"",IF(INDEX('CARNET DE SOUDURE'!$U$7:$U$3006,P1093)="","",INDEX('CARNET DE SOUDURE'!$U$7:$U$3006,P1093)))</f>
        <v>46280</v>
      </c>
      <c r="F1093" s="82" t="str">
        <f aca="false">IF(OR(C1093="",P1093=""),"",INDEX('CARNET DE SOUDURE'!$AP$7:$AP$3006,P1093))</f>
        <v>A</v>
      </c>
      <c r="G1093" s="82" t="str">
        <f aca="false">IF(C1093="","",IF(P1093="","NJ INCONNU",INDEX('CARNET DE SOUDURE'!$AQ$7:$AQ$3006,P1093)))</f>
        <v>ACCEPTÉ</v>
      </c>
      <c r="H1093" s="82" t="str">
        <f aca="false">IF(C1093="","",IF(G1093="ACCEPTÉ","OUI","NON"))</f>
        <v>OUI</v>
      </c>
      <c r="I1093" s="83"/>
      <c r="J1093" s="80"/>
      <c r="K1093" s="81"/>
      <c r="L1093" s="81"/>
      <c r="M1093" s="81"/>
      <c r="N1093" s="84" t="str">
        <f aca="false">IF(C1093="","",IF(P1093="","NJ INCONNU",IF(I1093="",IF(H1093="OUI","À ENROBER",IF(G1093="À SOUDER","NON SOUDÉ","EN ATTENTE RT")),IF(L1093="R","À REPRENDRE",IF(H1093&lt;&gt;"OUI","⚠ ENROBÉ AVANT ACCEPTATION RT","ENROBÉ")))))</f>
        <v>À ENROBER</v>
      </c>
      <c r="O1093" s="80"/>
      <c r="P1093" s="82" t="n">
        <f aca="false">IF(C1093="","",IFERROR(MATCH(Q1093,'CARNET DE SOUDURE'!$AW$7:$AW$3006,0),""))</f>
        <v>1087</v>
      </c>
      <c r="Q1093" s="82" t="str">
        <f aca="false">IF(C1093="","",B1093&amp;"|"&amp;C1093)</f>
        <v>MFD-ISW → MFD-CPF|JN°964</v>
      </c>
    </row>
    <row r="1094" customFormat="false" ht="74.6" hidden="false" customHeight="false" outlineLevel="0" collapsed="false">
      <c r="A1094" s="82" t="n">
        <f aca="false">IF(C1094="","",ROW()-6)</f>
        <v>1088</v>
      </c>
      <c r="B1094" s="80" t="s">
        <v>110</v>
      </c>
      <c r="C1094" s="113" t="s">
        <v>1303</v>
      </c>
      <c r="D1094" s="82" t="str">
        <f aca="false">IF(OR(C1094="",P1094=""),"",INDEX('CARNET DE SOUDURE'!$D$7:$D$3006,P1094)&amp;"")</f>
        <v>8</v>
      </c>
      <c r="E1094" s="114" t="n">
        <f aca="false">IF(OR(C1094="",P1094=""),"",IF(INDEX('CARNET DE SOUDURE'!$U$7:$U$3006,P1094)="","",INDEX('CARNET DE SOUDURE'!$U$7:$U$3006,P1094)))</f>
        <v>46280</v>
      </c>
      <c r="F1094" s="82" t="str">
        <f aca="false">IF(OR(C1094="",P1094=""),"",INDEX('CARNET DE SOUDURE'!$AP$7:$AP$3006,P1094))</f>
        <v>A</v>
      </c>
      <c r="G1094" s="82" t="str">
        <f aca="false">IF(C1094="","",IF(P1094="","NJ INCONNU",INDEX('CARNET DE SOUDURE'!$AQ$7:$AQ$3006,P1094)))</f>
        <v>ACCEPTÉ</v>
      </c>
      <c r="H1094" s="82" t="str">
        <f aca="false">IF(C1094="","",IF(G1094="ACCEPTÉ","OUI","NON"))</f>
        <v>OUI</v>
      </c>
      <c r="I1094" s="83"/>
      <c r="J1094" s="80"/>
      <c r="K1094" s="81"/>
      <c r="L1094" s="81"/>
      <c r="M1094" s="81"/>
      <c r="N1094" s="84" t="str">
        <f aca="false">IF(C1094="","",IF(P1094="","NJ INCONNU",IF(I1094="",IF(H1094="OUI","À ENROBER",IF(G1094="À SOUDER","NON SOUDÉ","EN ATTENTE RT")),IF(L1094="R","À REPRENDRE",IF(H1094&lt;&gt;"OUI","⚠ ENROBÉ AVANT ACCEPTATION RT","ENROBÉ")))))</f>
        <v>À ENROBER</v>
      </c>
      <c r="O1094" s="80"/>
      <c r="P1094" s="82" t="n">
        <f aca="false">IF(C1094="","",IFERROR(MATCH(Q1094,'CARNET DE SOUDURE'!$AW$7:$AW$3006,0),""))</f>
        <v>1088</v>
      </c>
      <c r="Q1094" s="82" t="str">
        <f aca="false">IF(C1094="","",B1094&amp;"|"&amp;C1094)</f>
        <v>MFD-ISW → MFD-CPF|JN°965</v>
      </c>
    </row>
    <row r="1095" customFormat="false" ht="74.6" hidden="false" customHeight="false" outlineLevel="0" collapsed="false">
      <c r="A1095" s="82" t="n">
        <f aca="false">IF(C1095="","",ROW()-6)</f>
        <v>1089</v>
      </c>
      <c r="B1095" s="80" t="s">
        <v>110</v>
      </c>
      <c r="C1095" s="113" t="s">
        <v>1304</v>
      </c>
      <c r="D1095" s="82" t="str">
        <f aca="false">IF(OR(C1095="",P1095=""),"",INDEX('CARNET DE SOUDURE'!$D$7:$D$3006,P1095)&amp;"")</f>
        <v>8</v>
      </c>
      <c r="E1095" s="114" t="n">
        <f aca="false">IF(OR(C1095="",P1095=""),"",IF(INDEX('CARNET DE SOUDURE'!$U$7:$U$3006,P1095)="","",INDEX('CARNET DE SOUDURE'!$U$7:$U$3006,P1095)))</f>
        <v>46280</v>
      </c>
      <c r="F1095" s="82" t="str">
        <f aca="false">IF(OR(C1095="",P1095=""),"",INDEX('CARNET DE SOUDURE'!$AP$7:$AP$3006,P1095))</f>
        <v>A</v>
      </c>
      <c r="G1095" s="82" t="str">
        <f aca="false">IF(C1095="","",IF(P1095="","NJ INCONNU",INDEX('CARNET DE SOUDURE'!$AQ$7:$AQ$3006,P1095)))</f>
        <v>ACCEPTÉ</v>
      </c>
      <c r="H1095" s="82" t="str">
        <f aca="false">IF(C1095="","",IF(G1095="ACCEPTÉ","OUI","NON"))</f>
        <v>OUI</v>
      </c>
      <c r="I1095" s="83"/>
      <c r="J1095" s="80"/>
      <c r="K1095" s="81"/>
      <c r="L1095" s="81"/>
      <c r="M1095" s="81"/>
      <c r="N1095" s="84" t="str">
        <f aca="false">IF(C1095="","",IF(P1095="","NJ INCONNU",IF(I1095="",IF(H1095="OUI","À ENROBER",IF(G1095="À SOUDER","NON SOUDÉ","EN ATTENTE RT")),IF(L1095="R","À REPRENDRE",IF(H1095&lt;&gt;"OUI","⚠ ENROBÉ AVANT ACCEPTATION RT","ENROBÉ")))))</f>
        <v>À ENROBER</v>
      </c>
      <c r="O1095" s="80"/>
      <c r="P1095" s="82" t="n">
        <f aca="false">IF(C1095="","",IFERROR(MATCH(Q1095,'CARNET DE SOUDURE'!$AW$7:$AW$3006,0),""))</f>
        <v>1089</v>
      </c>
      <c r="Q1095" s="82" t="str">
        <f aca="false">IF(C1095="","",B1095&amp;"|"&amp;C1095)</f>
        <v>MFD-ISW → MFD-CPF|JN°966</v>
      </c>
    </row>
    <row r="1096" customFormat="false" ht="74.6" hidden="false" customHeight="false" outlineLevel="0" collapsed="false">
      <c r="A1096" s="82" t="n">
        <f aca="false">IF(C1096="","",ROW()-6)</f>
        <v>1090</v>
      </c>
      <c r="B1096" s="80" t="s">
        <v>110</v>
      </c>
      <c r="C1096" s="113" t="s">
        <v>1305</v>
      </c>
      <c r="D1096" s="82" t="str">
        <f aca="false">IF(OR(C1096="",P1096=""),"",INDEX('CARNET DE SOUDURE'!$D$7:$D$3006,P1096)&amp;"")</f>
        <v>8</v>
      </c>
      <c r="E1096" s="114" t="n">
        <f aca="false">IF(OR(C1096="",P1096=""),"",IF(INDEX('CARNET DE SOUDURE'!$U$7:$U$3006,P1096)="","",INDEX('CARNET DE SOUDURE'!$U$7:$U$3006,P1096)))</f>
        <v>46280</v>
      </c>
      <c r="F1096" s="82" t="str">
        <f aca="false">IF(OR(C1096="",P1096=""),"",INDEX('CARNET DE SOUDURE'!$AP$7:$AP$3006,P1096))</f>
        <v>A</v>
      </c>
      <c r="G1096" s="82" t="str">
        <f aca="false">IF(C1096="","",IF(P1096="","NJ INCONNU",INDEX('CARNET DE SOUDURE'!$AQ$7:$AQ$3006,P1096)))</f>
        <v>ACCEPTÉ</v>
      </c>
      <c r="H1096" s="82" t="str">
        <f aca="false">IF(C1096="","",IF(G1096="ACCEPTÉ","OUI","NON"))</f>
        <v>OUI</v>
      </c>
      <c r="I1096" s="83"/>
      <c r="J1096" s="80"/>
      <c r="K1096" s="81"/>
      <c r="L1096" s="81"/>
      <c r="M1096" s="81"/>
      <c r="N1096" s="84" t="str">
        <f aca="false">IF(C1096="","",IF(P1096="","NJ INCONNU",IF(I1096="",IF(H1096="OUI","À ENROBER",IF(G1096="À SOUDER","NON SOUDÉ","EN ATTENTE RT")),IF(L1096="R","À REPRENDRE",IF(H1096&lt;&gt;"OUI","⚠ ENROBÉ AVANT ACCEPTATION RT","ENROBÉ")))))</f>
        <v>À ENROBER</v>
      </c>
      <c r="O1096" s="80"/>
      <c r="P1096" s="82" t="n">
        <f aca="false">IF(C1096="","",IFERROR(MATCH(Q1096,'CARNET DE SOUDURE'!$AW$7:$AW$3006,0),""))</f>
        <v>1090</v>
      </c>
      <c r="Q1096" s="82" t="str">
        <f aca="false">IF(C1096="","",B1096&amp;"|"&amp;C1096)</f>
        <v>MFD-ISW → MFD-CPF|JN°967</v>
      </c>
    </row>
    <row r="1097" customFormat="false" ht="74.6" hidden="false" customHeight="false" outlineLevel="0" collapsed="false">
      <c r="A1097" s="82" t="n">
        <f aca="false">IF(C1097="","",ROW()-6)</f>
        <v>1091</v>
      </c>
      <c r="B1097" s="80" t="s">
        <v>110</v>
      </c>
      <c r="C1097" s="113" t="s">
        <v>1306</v>
      </c>
      <c r="D1097" s="82" t="str">
        <f aca="false">IF(OR(C1097="",P1097=""),"",INDEX('CARNET DE SOUDURE'!$D$7:$D$3006,P1097)&amp;"")</f>
        <v>8</v>
      </c>
      <c r="E1097" s="114" t="n">
        <f aca="false">IF(OR(C1097="",P1097=""),"",IF(INDEX('CARNET DE SOUDURE'!$U$7:$U$3006,P1097)="","",INDEX('CARNET DE SOUDURE'!$U$7:$U$3006,P1097)))</f>
        <v>46280</v>
      </c>
      <c r="F1097" s="82" t="str">
        <f aca="false">IF(OR(C1097="",P1097=""),"",INDEX('CARNET DE SOUDURE'!$AP$7:$AP$3006,P1097))</f>
        <v>A</v>
      </c>
      <c r="G1097" s="82" t="str">
        <f aca="false">IF(C1097="","",IF(P1097="","NJ INCONNU",INDEX('CARNET DE SOUDURE'!$AQ$7:$AQ$3006,P1097)))</f>
        <v>ACCEPTÉ</v>
      </c>
      <c r="H1097" s="82" t="str">
        <f aca="false">IF(C1097="","",IF(G1097="ACCEPTÉ","OUI","NON"))</f>
        <v>OUI</v>
      </c>
      <c r="I1097" s="83"/>
      <c r="J1097" s="80"/>
      <c r="K1097" s="81"/>
      <c r="L1097" s="81"/>
      <c r="M1097" s="81"/>
      <c r="N1097" s="84" t="str">
        <f aca="false">IF(C1097="","",IF(P1097="","NJ INCONNU",IF(I1097="",IF(H1097="OUI","À ENROBER",IF(G1097="À SOUDER","NON SOUDÉ","EN ATTENTE RT")),IF(L1097="R","À REPRENDRE",IF(H1097&lt;&gt;"OUI","⚠ ENROBÉ AVANT ACCEPTATION RT","ENROBÉ")))))</f>
        <v>À ENROBER</v>
      </c>
      <c r="O1097" s="80"/>
      <c r="P1097" s="82" t="n">
        <f aca="false">IF(C1097="","",IFERROR(MATCH(Q1097,'CARNET DE SOUDURE'!$AW$7:$AW$3006,0),""))</f>
        <v>1091</v>
      </c>
      <c r="Q1097" s="82" t="str">
        <f aca="false">IF(C1097="","",B1097&amp;"|"&amp;C1097)</f>
        <v>MFD-ISW → MFD-CPF|JN°968</v>
      </c>
    </row>
    <row r="1098" customFormat="false" ht="74.6" hidden="false" customHeight="false" outlineLevel="0" collapsed="false">
      <c r="A1098" s="82" t="n">
        <f aca="false">IF(C1098="","",ROW()-6)</f>
        <v>1092</v>
      </c>
      <c r="B1098" s="80" t="s">
        <v>110</v>
      </c>
      <c r="C1098" s="113" t="s">
        <v>1307</v>
      </c>
      <c r="D1098" s="82" t="str">
        <f aca="false">IF(OR(C1098="",P1098=""),"",INDEX('CARNET DE SOUDURE'!$D$7:$D$3006,P1098)&amp;"")</f>
        <v>8</v>
      </c>
      <c r="E1098" s="114" t="n">
        <f aca="false">IF(OR(C1098="",P1098=""),"",IF(INDEX('CARNET DE SOUDURE'!$U$7:$U$3006,P1098)="","",INDEX('CARNET DE SOUDURE'!$U$7:$U$3006,P1098)))</f>
        <v>46279</v>
      </c>
      <c r="F1098" s="82" t="str">
        <f aca="false">IF(OR(C1098="",P1098=""),"",INDEX('CARNET DE SOUDURE'!$AP$7:$AP$3006,P1098))</f>
        <v>A</v>
      </c>
      <c r="G1098" s="82" t="str">
        <f aca="false">IF(C1098="","",IF(P1098="","NJ INCONNU",INDEX('CARNET DE SOUDURE'!$AQ$7:$AQ$3006,P1098)))</f>
        <v>ACCEPTÉ</v>
      </c>
      <c r="H1098" s="82" t="str">
        <f aca="false">IF(C1098="","",IF(G1098="ACCEPTÉ","OUI","NON"))</f>
        <v>OUI</v>
      </c>
      <c r="I1098" s="83"/>
      <c r="J1098" s="80"/>
      <c r="K1098" s="81"/>
      <c r="L1098" s="81"/>
      <c r="M1098" s="81"/>
      <c r="N1098" s="84" t="str">
        <f aca="false">IF(C1098="","",IF(P1098="","NJ INCONNU",IF(I1098="",IF(H1098="OUI","À ENROBER",IF(G1098="À SOUDER","NON SOUDÉ","EN ATTENTE RT")),IF(L1098="R","À REPRENDRE",IF(H1098&lt;&gt;"OUI","⚠ ENROBÉ AVANT ACCEPTATION RT","ENROBÉ")))))</f>
        <v>À ENROBER</v>
      </c>
      <c r="O1098" s="80"/>
      <c r="P1098" s="82" t="n">
        <f aca="false">IF(C1098="","",IFERROR(MATCH(Q1098,'CARNET DE SOUDURE'!$AW$7:$AW$3006,0),""))</f>
        <v>1092</v>
      </c>
      <c r="Q1098" s="82" t="str">
        <f aca="false">IF(C1098="","",B1098&amp;"|"&amp;C1098)</f>
        <v>MFD-ISW → MFD-CPF|DJ°381</v>
      </c>
    </row>
    <row r="1099" customFormat="false" ht="74.6" hidden="false" customHeight="false" outlineLevel="0" collapsed="false">
      <c r="A1099" s="82" t="n">
        <f aca="false">IF(C1099="","",ROW()-6)</f>
        <v>1093</v>
      </c>
      <c r="B1099" s="80" t="s">
        <v>110</v>
      </c>
      <c r="C1099" s="113" t="s">
        <v>1308</v>
      </c>
      <c r="D1099" s="82" t="str">
        <f aca="false">IF(OR(C1099="",P1099=""),"",INDEX('CARNET DE SOUDURE'!$D$7:$D$3006,P1099)&amp;"")</f>
        <v>8</v>
      </c>
      <c r="E1099" s="114" t="n">
        <f aca="false">IF(OR(C1099="",P1099=""),"",IF(INDEX('CARNET DE SOUDURE'!$U$7:$U$3006,P1099)="","",INDEX('CARNET DE SOUDURE'!$U$7:$U$3006,P1099)))</f>
        <v>46280</v>
      </c>
      <c r="F1099" s="82" t="str">
        <f aca="false">IF(OR(C1099="",P1099=""),"",INDEX('CARNET DE SOUDURE'!$AP$7:$AP$3006,P1099))</f>
        <v>R</v>
      </c>
      <c r="G1099" s="82" t="str">
        <f aca="false">IF(C1099="","",IF(P1099="","NJ INCONNU",INDEX('CARNET DE SOUDURE'!$AQ$7:$AQ$3006,P1099)))</f>
        <v>À RÉPARER</v>
      </c>
      <c r="H1099" s="82" t="str">
        <f aca="false">IF(C1099="","",IF(G1099="ACCEPTÉ","OUI","NON"))</f>
        <v>NON</v>
      </c>
      <c r="I1099" s="83"/>
      <c r="J1099" s="80"/>
      <c r="K1099" s="81"/>
      <c r="L1099" s="81"/>
      <c r="M1099" s="81"/>
      <c r="N1099" s="84" t="str">
        <f aca="false">IF(C1099="","",IF(P1099="","NJ INCONNU",IF(I1099="",IF(H1099="OUI","À ENROBER",IF(G1099="À SOUDER","NON SOUDÉ","EN ATTENTE RT")),IF(L1099="R","À REPRENDRE",IF(H1099&lt;&gt;"OUI","⚠ ENROBÉ AVANT ACCEPTATION RT","ENROBÉ")))))</f>
        <v>EN ATTENTE RT</v>
      </c>
      <c r="O1099" s="80"/>
      <c r="P1099" s="82" t="n">
        <f aca="false">IF(C1099="","",IFERROR(MATCH(Q1099,'CARNET DE SOUDURE'!$AW$7:$AW$3006,0),""))</f>
        <v>1093</v>
      </c>
      <c r="Q1099" s="82" t="str">
        <f aca="false">IF(C1099="","",B1099&amp;"|"&amp;C1099)</f>
        <v>MFD-ISW → MFD-CPF|JN°969</v>
      </c>
    </row>
    <row r="1100" customFormat="false" ht="74.6" hidden="false" customHeight="false" outlineLevel="0" collapsed="false">
      <c r="A1100" s="82" t="n">
        <f aca="false">IF(C1100="","",ROW()-6)</f>
        <v>1094</v>
      </c>
      <c r="B1100" s="80" t="s">
        <v>110</v>
      </c>
      <c r="C1100" s="113" t="s">
        <v>1311</v>
      </c>
      <c r="D1100" s="82" t="str">
        <f aca="false">IF(OR(C1100="",P1100=""),"",INDEX('CARNET DE SOUDURE'!$D$7:$D$3006,P1100)&amp;"")</f>
        <v>8</v>
      </c>
      <c r="E1100" s="114" t="n">
        <f aca="false">IF(OR(C1100="",P1100=""),"",IF(INDEX('CARNET DE SOUDURE'!$U$7:$U$3006,P1100)="","",INDEX('CARNET DE SOUDURE'!$U$7:$U$3006,P1100)))</f>
        <v>46279</v>
      </c>
      <c r="F1100" s="82" t="str">
        <f aca="false">IF(OR(C1100="",P1100=""),"",INDEX('CARNET DE SOUDURE'!$AP$7:$AP$3006,P1100))</f>
        <v>A</v>
      </c>
      <c r="G1100" s="82" t="str">
        <f aca="false">IF(C1100="","",IF(P1100="","NJ INCONNU",INDEX('CARNET DE SOUDURE'!$AQ$7:$AQ$3006,P1100)))</f>
        <v>ACCEPTÉ</v>
      </c>
      <c r="H1100" s="82" t="str">
        <f aca="false">IF(C1100="","",IF(G1100="ACCEPTÉ","OUI","NON"))</f>
        <v>OUI</v>
      </c>
      <c r="I1100" s="83"/>
      <c r="J1100" s="80"/>
      <c r="K1100" s="81"/>
      <c r="L1100" s="81"/>
      <c r="M1100" s="81"/>
      <c r="N1100" s="84" t="str">
        <f aca="false">IF(C1100="","",IF(P1100="","NJ INCONNU",IF(I1100="",IF(H1100="OUI","À ENROBER",IF(G1100="À SOUDER","NON SOUDÉ","EN ATTENTE RT")),IF(L1100="R","À REPRENDRE",IF(H1100&lt;&gt;"OUI","⚠ ENROBÉ AVANT ACCEPTATION RT","ENROBÉ")))))</f>
        <v>À ENROBER</v>
      </c>
      <c r="O1100" s="80"/>
      <c r="P1100" s="82" t="n">
        <f aca="false">IF(C1100="","",IFERROR(MATCH(Q1100,'CARNET DE SOUDURE'!$AW$7:$AW$3006,0),""))</f>
        <v>1094</v>
      </c>
      <c r="Q1100" s="82" t="str">
        <f aca="false">IF(C1100="","",B1100&amp;"|"&amp;C1100)</f>
        <v>MFD-ISW → MFD-CPF|DJ°382</v>
      </c>
    </row>
    <row r="1101" customFormat="false" ht="74.6" hidden="false" customHeight="false" outlineLevel="0" collapsed="false">
      <c r="A1101" s="82" t="n">
        <f aca="false">IF(C1101="","",ROW()-6)</f>
        <v>1095</v>
      </c>
      <c r="B1101" s="80" t="s">
        <v>110</v>
      </c>
      <c r="C1101" s="113" t="s">
        <v>1312</v>
      </c>
      <c r="D1101" s="82" t="str">
        <f aca="false">IF(OR(C1101="",P1101=""),"",INDEX('CARNET DE SOUDURE'!$D$7:$D$3006,P1101)&amp;"")</f>
        <v>8</v>
      </c>
      <c r="E1101" s="114" t="n">
        <f aca="false">IF(OR(C1101="",P1101=""),"",IF(INDEX('CARNET DE SOUDURE'!$U$7:$U$3006,P1101)="","",INDEX('CARNET DE SOUDURE'!$U$7:$U$3006,P1101)))</f>
        <v>46280</v>
      </c>
      <c r="F1101" s="82" t="str">
        <f aca="false">IF(OR(C1101="",P1101=""),"",INDEX('CARNET DE SOUDURE'!$AP$7:$AP$3006,P1101))</f>
        <v>A</v>
      </c>
      <c r="G1101" s="82" t="str">
        <f aca="false">IF(C1101="","",IF(P1101="","NJ INCONNU",INDEX('CARNET DE SOUDURE'!$AQ$7:$AQ$3006,P1101)))</f>
        <v>ACCEPTÉ</v>
      </c>
      <c r="H1101" s="82" t="str">
        <f aca="false">IF(C1101="","",IF(G1101="ACCEPTÉ","OUI","NON"))</f>
        <v>OUI</v>
      </c>
      <c r="I1101" s="83"/>
      <c r="J1101" s="80"/>
      <c r="K1101" s="81"/>
      <c r="L1101" s="81"/>
      <c r="M1101" s="81"/>
      <c r="N1101" s="84" t="str">
        <f aca="false">IF(C1101="","",IF(P1101="","NJ INCONNU",IF(I1101="",IF(H1101="OUI","À ENROBER",IF(G1101="À SOUDER","NON SOUDÉ","EN ATTENTE RT")),IF(L1101="R","À REPRENDRE",IF(H1101&lt;&gt;"OUI","⚠ ENROBÉ AVANT ACCEPTATION RT","ENROBÉ")))))</f>
        <v>À ENROBER</v>
      </c>
      <c r="O1101" s="80"/>
      <c r="P1101" s="82" t="n">
        <f aca="false">IF(C1101="","",IFERROR(MATCH(Q1101,'CARNET DE SOUDURE'!$AW$7:$AW$3006,0),""))</f>
        <v>1095</v>
      </c>
      <c r="Q1101" s="82" t="str">
        <f aca="false">IF(C1101="","",B1101&amp;"|"&amp;C1101)</f>
        <v>MFD-ISW → MFD-CPF|JN°970</v>
      </c>
    </row>
    <row r="1102" customFormat="false" ht="74.6" hidden="false" customHeight="false" outlineLevel="0" collapsed="false">
      <c r="A1102" s="82" t="n">
        <f aca="false">IF(C1102="","",ROW()-6)</f>
        <v>1096</v>
      </c>
      <c r="B1102" s="80" t="s">
        <v>110</v>
      </c>
      <c r="C1102" s="113" t="s">
        <v>1313</v>
      </c>
      <c r="D1102" s="82" t="str">
        <f aca="false">IF(OR(C1102="",P1102=""),"",INDEX('CARNET DE SOUDURE'!$D$7:$D$3006,P1102)&amp;"")</f>
        <v>8</v>
      </c>
      <c r="E1102" s="114" t="n">
        <f aca="false">IF(OR(C1102="",P1102=""),"",IF(INDEX('CARNET DE SOUDURE'!$U$7:$U$3006,P1102)="","",INDEX('CARNET DE SOUDURE'!$U$7:$U$3006,P1102)))</f>
        <v>46279</v>
      </c>
      <c r="F1102" s="82" t="str">
        <f aca="false">IF(OR(C1102="",P1102=""),"",INDEX('CARNET DE SOUDURE'!$AP$7:$AP$3006,P1102))</f>
        <v>A</v>
      </c>
      <c r="G1102" s="82" t="str">
        <f aca="false">IF(C1102="","",IF(P1102="","NJ INCONNU",INDEX('CARNET DE SOUDURE'!$AQ$7:$AQ$3006,P1102)))</f>
        <v>ACCEPTÉ</v>
      </c>
      <c r="H1102" s="82" t="str">
        <f aca="false">IF(C1102="","",IF(G1102="ACCEPTÉ","OUI","NON"))</f>
        <v>OUI</v>
      </c>
      <c r="I1102" s="83"/>
      <c r="J1102" s="80"/>
      <c r="K1102" s="81"/>
      <c r="L1102" s="81"/>
      <c r="M1102" s="81"/>
      <c r="N1102" s="84" t="str">
        <f aca="false">IF(C1102="","",IF(P1102="","NJ INCONNU",IF(I1102="",IF(H1102="OUI","À ENROBER",IF(G1102="À SOUDER","NON SOUDÉ","EN ATTENTE RT")),IF(L1102="R","À REPRENDRE",IF(H1102&lt;&gt;"OUI","⚠ ENROBÉ AVANT ACCEPTATION RT","ENROBÉ")))))</f>
        <v>À ENROBER</v>
      </c>
      <c r="O1102" s="80"/>
      <c r="P1102" s="82" t="n">
        <f aca="false">IF(C1102="","",IFERROR(MATCH(Q1102,'CARNET DE SOUDURE'!$AW$7:$AW$3006,0),""))</f>
        <v>1096</v>
      </c>
      <c r="Q1102" s="82" t="str">
        <f aca="false">IF(C1102="","",B1102&amp;"|"&amp;C1102)</f>
        <v>MFD-ISW → MFD-CPF|DJ°391</v>
      </c>
    </row>
    <row r="1103" customFormat="false" ht="74.6" hidden="false" customHeight="false" outlineLevel="0" collapsed="false">
      <c r="A1103" s="82" t="n">
        <f aca="false">IF(C1103="","",ROW()-6)</f>
        <v>1097</v>
      </c>
      <c r="B1103" s="80" t="s">
        <v>110</v>
      </c>
      <c r="C1103" s="113" t="s">
        <v>1315</v>
      </c>
      <c r="D1103" s="82" t="str">
        <f aca="false">IF(OR(C1103="",P1103=""),"",INDEX('CARNET DE SOUDURE'!$D$7:$D$3006,P1103)&amp;"")</f>
        <v>8</v>
      </c>
      <c r="E1103" s="114" t="n">
        <f aca="false">IF(OR(C1103="",P1103=""),"",IF(INDEX('CARNET DE SOUDURE'!$U$7:$U$3006,P1103)="","",INDEX('CARNET DE SOUDURE'!$U$7:$U$3006,P1103)))</f>
        <v>46280</v>
      </c>
      <c r="F1103" s="82" t="str">
        <f aca="false">IF(OR(C1103="",P1103=""),"",INDEX('CARNET DE SOUDURE'!$AP$7:$AP$3006,P1103))</f>
        <v>A</v>
      </c>
      <c r="G1103" s="82" t="str">
        <f aca="false">IF(C1103="","",IF(P1103="","NJ INCONNU",INDEX('CARNET DE SOUDURE'!$AQ$7:$AQ$3006,P1103)))</f>
        <v>ACCEPTÉ</v>
      </c>
      <c r="H1103" s="82" t="str">
        <f aca="false">IF(C1103="","",IF(G1103="ACCEPTÉ","OUI","NON"))</f>
        <v>OUI</v>
      </c>
      <c r="I1103" s="83"/>
      <c r="J1103" s="80"/>
      <c r="K1103" s="81"/>
      <c r="L1103" s="81"/>
      <c r="M1103" s="81"/>
      <c r="N1103" s="84" t="str">
        <f aca="false">IF(C1103="","",IF(P1103="","NJ INCONNU",IF(I1103="",IF(H1103="OUI","À ENROBER",IF(G1103="À SOUDER","NON SOUDÉ","EN ATTENTE RT")),IF(L1103="R","À REPRENDRE",IF(H1103&lt;&gt;"OUI","⚠ ENROBÉ AVANT ACCEPTATION RT","ENROBÉ")))))</f>
        <v>À ENROBER</v>
      </c>
      <c r="O1103" s="80"/>
      <c r="P1103" s="82" t="n">
        <f aca="false">IF(C1103="","",IFERROR(MATCH(Q1103,'CARNET DE SOUDURE'!$AW$7:$AW$3006,0),""))</f>
        <v>1097</v>
      </c>
      <c r="Q1103" s="82" t="str">
        <f aca="false">IF(C1103="","",B1103&amp;"|"&amp;C1103)</f>
        <v>MFD-ISW → MFD-CPF|JN°971</v>
      </c>
    </row>
    <row r="1104" customFormat="false" ht="74.6" hidden="false" customHeight="false" outlineLevel="0" collapsed="false">
      <c r="A1104" s="82" t="n">
        <f aca="false">IF(C1104="","",ROW()-6)</f>
        <v>1098</v>
      </c>
      <c r="B1104" s="80" t="s">
        <v>110</v>
      </c>
      <c r="C1104" s="113" t="s">
        <v>1316</v>
      </c>
      <c r="D1104" s="82" t="str">
        <f aca="false">IF(OR(C1104="",P1104=""),"",INDEX('CARNET DE SOUDURE'!$D$7:$D$3006,P1104)&amp;"")</f>
        <v>8</v>
      </c>
      <c r="E1104" s="114" t="n">
        <f aca="false">IF(OR(C1104="",P1104=""),"",IF(INDEX('CARNET DE SOUDURE'!$U$7:$U$3006,P1104)="","",INDEX('CARNET DE SOUDURE'!$U$7:$U$3006,P1104)))</f>
        <v>46279</v>
      </c>
      <c r="F1104" s="82" t="str">
        <f aca="false">IF(OR(C1104="",P1104=""),"",INDEX('CARNET DE SOUDURE'!$AP$7:$AP$3006,P1104))</f>
        <v>A</v>
      </c>
      <c r="G1104" s="82" t="str">
        <f aca="false">IF(C1104="","",IF(P1104="","NJ INCONNU",INDEX('CARNET DE SOUDURE'!$AQ$7:$AQ$3006,P1104)))</f>
        <v>ACCEPTÉ</v>
      </c>
      <c r="H1104" s="82" t="str">
        <f aca="false">IF(C1104="","",IF(G1104="ACCEPTÉ","OUI","NON"))</f>
        <v>OUI</v>
      </c>
      <c r="I1104" s="83"/>
      <c r="J1104" s="80"/>
      <c r="K1104" s="81"/>
      <c r="L1104" s="81"/>
      <c r="M1104" s="81"/>
      <c r="N1104" s="84" t="str">
        <f aca="false">IF(C1104="","",IF(P1104="","NJ INCONNU",IF(I1104="",IF(H1104="OUI","À ENROBER",IF(G1104="À SOUDER","NON SOUDÉ","EN ATTENTE RT")),IF(L1104="R","À REPRENDRE",IF(H1104&lt;&gt;"OUI","⚠ ENROBÉ AVANT ACCEPTATION RT","ENROBÉ")))))</f>
        <v>À ENROBER</v>
      </c>
      <c r="O1104" s="80"/>
      <c r="P1104" s="82" t="n">
        <f aca="false">IF(C1104="","",IFERROR(MATCH(Q1104,'CARNET DE SOUDURE'!$AW$7:$AW$3006,0),""))</f>
        <v>1098</v>
      </c>
      <c r="Q1104" s="82" t="str">
        <f aca="false">IF(C1104="","",B1104&amp;"|"&amp;C1104)</f>
        <v>MFD-ISW → MFD-CPF|DJ°390</v>
      </c>
    </row>
    <row r="1105" customFormat="false" ht="74.6" hidden="false" customHeight="false" outlineLevel="0" collapsed="false">
      <c r="A1105" s="82" t="n">
        <f aca="false">IF(C1105="","",ROW()-6)</f>
        <v>1099</v>
      </c>
      <c r="B1105" s="80" t="s">
        <v>110</v>
      </c>
      <c r="C1105" s="113" t="s">
        <v>1317</v>
      </c>
      <c r="D1105" s="82" t="str">
        <f aca="false">IF(OR(C1105="",P1105=""),"",INDEX('CARNET DE SOUDURE'!$D$7:$D$3006,P1105)&amp;"")</f>
        <v>8</v>
      </c>
      <c r="E1105" s="114" t="n">
        <f aca="false">IF(OR(C1105="",P1105=""),"",IF(INDEX('CARNET DE SOUDURE'!$U$7:$U$3006,P1105)="","",INDEX('CARNET DE SOUDURE'!$U$7:$U$3006,P1105)))</f>
        <v>46280</v>
      </c>
      <c r="F1105" s="82" t="str">
        <f aca="false">IF(OR(C1105="",P1105=""),"",INDEX('CARNET DE SOUDURE'!$AP$7:$AP$3006,P1105))</f>
        <v>A</v>
      </c>
      <c r="G1105" s="82" t="str">
        <f aca="false">IF(C1105="","",IF(P1105="","NJ INCONNU",INDEX('CARNET DE SOUDURE'!$AQ$7:$AQ$3006,P1105)))</f>
        <v>ACCEPTÉ</v>
      </c>
      <c r="H1105" s="82" t="str">
        <f aca="false">IF(C1105="","",IF(G1105="ACCEPTÉ","OUI","NON"))</f>
        <v>OUI</v>
      </c>
      <c r="I1105" s="83"/>
      <c r="J1105" s="80"/>
      <c r="K1105" s="81"/>
      <c r="L1105" s="81"/>
      <c r="M1105" s="81"/>
      <c r="N1105" s="84" t="str">
        <f aca="false">IF(C1105="","",IF(P1105="","NJ INCONNU",IF(I1105="",IF(H1105="OUI","À ENROBER",IF(G1105="À SOUDER","NON SOUDÉ","EN ATTENTE RT")),IF(L1105="R","À REPRENDRE",IF(H1105&lt;&gt;"OUI","⚠ ENROBÉ AVANT ACCEPTATION RT","ENROBÉ")))))</f>
        <v>À ENROBER</v>
      </c>
      <c r="O1105" s="80"/>
      <c r="P1105" s="82" t="n">
        <f aca="false">IF(C1105="","",IFERROR(MATCH(Q1105,'CARNET DE SOUDURE'!$AW$7:$AW$3006,0),""))</f>
        <v>1099</v>
      </c>
      <c r="Q1105" s="82" t="str">
        <f aca="false">IF(C1105="","",B1105&amp;"|"&amp;C1105)</f>
        <v>MFD-ISW → MFD-CPF|JN°972</v>
      </c>
    </row>
    <row r="1106" customFormat="false" ht="74.6" hidden="false" customHeight="false" outlineLevel="0" collapsed="false">
      <c r="A1106" s="82" t="n">
        <f aca="false">IF(C1106="","",ROW()-6)</f>
        <v>1100</v>
      </c>
      <c r="B1106" s="80" t="s">
        <v>110</v>
      </c>
      <c r="C1106" s="113" t="s">
        <v>1318</v>
      </c>
      <c r="D1106" s="82" t="str">
        <f aca="false">IF(OR(C1106="",P1106=""),"",INDEX('CARNET DE SOUDURE'!$D$7:$D$3006,P1106)&amp;"")</f>
        <v>8</v>
      </c>
      <c r="E1106" s="114" t="n">
        <f aca="false">IF(OR(C1106="",P1106=""),"",IF(INDEX('CARNET DE SOUDURE'!$U$7:$U$3006,P1106)="","",INDEX('CARNET DE SOUDURE'!$U$7:$U$3006,P1106)))</f>
        <v>46279</v>
      </c>
      <c r="F1106" s="82" t="str">
        <f aca="false">IF(OR(C1106="",P1106=""),"",INDEX('CARNET DE SOUDURE'!$AP$7:$AP$3006,P1106))</f>
        <v>A</v>
      </c>
      <c r="G1106" s="82" t="str">
        <f aca="false">IF(C1106="","",IF(P1106="","NJ INCONNU",INDEX('CARNET DE SOUDURE'!$AQ$7:$AQ$3006,P1106)))</f>
        <v>ACCEPTÉ</v>
      </c>
      <c r="H1106" s="82" t="str">
        <f aca="false">IF(C1106="","",IF(G1106="ACCEPTÉ","OUI","NON"))</f>
        <v>OUI</v>
      </c>
      <c r="I1106" s="83"/>
      <c r="J1106" s="80"/>
      <c r="K1106" s="81"/>
      <c r="L1106" s="81"/>
      <c r="M1106" s="81"/>
      <c r="N1106" s="84" t="str">
        <f aca="false">IF(C1106="","",IF(P1106="","NJ INCONNU",IF(I1106="",IF(H1106="OUI","À ENROBER",IF(G1106="À SOUDER","NON SOUDÉ","EN ATTENTE RT")),IF(L1106="R","À REPRENDRE",IF(H1106&lt;&gt;"OUI","⚠ ENROBÉ AVANT ACCEPTATION RT","ENROBÉ")))))</f>
        <v>À ENROBER</v>
      </c>
      <c r="O1106" s="80"/>
      <c r="P1106" s="82" t="n">
        <f aca="false">IF(C1106="","",IFERROR(MATCH(Q1106,'CARNET DE SOUDURE'!$AW$7:$AW$3006,0),""))</f>
        <v>1100</v>
      </c>
      <c r="Q1106" s="82" t="str">
        <f aca="false">IF(C1106="","",B1106&amp;"|"&amp;C1106)</f>
        <v>MFD-ISW → MFD-CPF|DJ°389</v>
      </c>
    </row>
    <row r="1107" customFormat="false" ht="74.6" hidden="false" customHeight="false" outlineLevel="0" collapsed="false">
      <c r="A1107" s="82" t="n">
        <f aca="false">IF(C1107="","",ROW()-6)</f>
        <v>1101</v>
      </c>
      <c r="B1107" s="80" t="s">
        <v>110</v>
      </c>
      <c r="C1107" s="113" t="s">
        <v>1319</v>
      </c>
      <c r="D1107" s="82" t="str">
        <f aca="false">IF(OR(C1107="",P1107=""),"",INDEX('CARNET DE SOUDURE'!$D$7:$D$3006,P1107)&amp;"")</f>
        <v>8</v>
      </c>
      <c r="E1107" s="114" t="n">
        <f aca="false">IF(OR(C1107="",P1107=""),"",IF(INDEX('CARNET DE SOUDURE'!$U$7:$U$3006,P1107)="","",INDEX('CARNET DE SOUDURE'!$U$7:$U$3006,P1107)))</f>
        <v>46280</v>
      </c>
      <c r="F1107" s="82" t="str">
        <f aca="false">IF(OR(C1107="",P1107=""),"",INDEX('CARNET DE SOUDURE'!$AP$7:$AP$3006,P1107))</f>
        <v>A</v>
      </c>
      <c r="G1107" s="82" t="str">
        <f aca="false">IF(C1107="","",IF(P1107="","NJ INCONNU",INDEX('CARNET DE SOUDURE'!$AQ$7:$AQ$3006,P1107)))</f>
        <v>ACCEPTÉ</v>
      </c>
      <c r="H1107" s="82" t="str">
        <f aca="false">IF(C1107="","",IF(G1107="ACCEPTÉ","OUI","NON"))</f>
        <v>OUI</v>
      </c>
      <c r="I1107" s="83"/>
      <c r="J1107" s="80"/>
      <c r="K1107" s="81"/>
      <c r="L1107" s="81"/>
      <c r="M1107" s="81"/>
      <c r="N1107" s="84" t="str">
        <f aca="false">IF(C1107="","",IF(P1107="","NJ INCONNU",IF(I1107="",IF(H1107="OUI","À ENROBER",IF(G1107="À SOUDER","NON SOUDÉ","EN ATTENTE RT")),IF(L1107="R","À REPRENDRE",IF(H1107&lt;&gt;"OUI","⚠ ENROBÉ AVANT ACCEPTATION RT","ENROBÉ")))))</f>
        <v>À ENROBER</v>
      </c>
      <c r="O1107" s="80"/>
      <c r="P1107" s="82" t="n">
        <f aca="false">IF(C1107="","",IFERROR(MATCH(Q1107,'CARNET DE SOUDURE'!$AW$7:$AW$3006,0),""))</f>
        <v>1101</v>
      </c>
      <c r="Q1107" s="82" t="str">
        <f aca="false">IF(C1107="","",B1107&amp;"|"&amp;C1107)</f>
        <v>MFD-ISW → MFD-CPF|JN°973</v>
      </c>
    </row>
    <row r="1108" customFormat="false" ht="74.6" hidden="false" customHeight="false" outlineLevel="0" collapsed="false">
      <c r="A1108" s="82" t="n">
        <f aca="false">IF(C1108="","",ROW()-6)</f>
        <v>1102</v>
      </c>
      <c r="B1108" s="80" t="s">
        <v>110</v>
      </c>
      <c r="C1108" s="113" t="s">
        <v>1320</v>
      </c>
      <c r="D1108" s="82" t="str">
        <f aca="false">IF(OR(C1108="",P1108=""),"",INDEX('CARNET DE SOUDURE'!$D$7:$D$3006,P1108)&amp;"")</f>
        <v>8</v>
      </c>
      <c r="E1108" s="114" t="n">
        <f aca="false">IF(OR(C1108="",P1108=""),"",IF(INDEX('CARNET DE SOUDURE'!$U$7:$U$3006,P1108)="","",INDEX('CARNET DE SOUDURE'!$U$7:$U$3006,P1108)))</f>
        <v>46279</v>
      </c>
      <c r="F1108" s="82" t="str">
        <f aca="false">IF(OR(C1108="",P1108=""),"",INDEX('CARNET DE SOUDURE'!$AP$7:$AP$3006,P1108))</f>
        <v>A</v>
      </c>
      <c r="G1108" s="82" t="str">
        <f aca="false">IF(C1108="","",IF(P1108="","NJ INCONNU",INDEX('CARNET DE SOUDURE'!$AQ$7:$AQ$3006,P1108)))</f>
        <v>ACCEPTÉ</v>
      </c>
      <c r="H1108" s="82" t="str">
        <f aca="false">IF(C1108="","",IF(G1108="ACCEPTÉ","OUI","NON"))</f>
        <v>OUI</v>
      </c>
      <c r="I1108" s="83"/>
      <c r="J1108" s="80"/>
      <c r="K1108" s="81"/>
      <c r="L1108" s="81"/>
      <c r="M1108" s="81"/>
      <c r="N1108" s="84" t="str">
        <f aca="false">IF(C1108="","",IF(P1108="","NJ INCONNU",IF(I1108="",IF(H1108="OUI","À ENROBER",IF(G1108="À SOUDER","NON SOUDÉ","EN ATTENTE RT")),IF(L1108="R","À REPRENDRE",IF(H1108&lt;&gt;"OUI","⚠ ENROBÉ AVANT ACCEPTATION RT","ENROBÉ")))))</f>
        <v>À ENROBER</v>
      </c>
      <c r="O1108" s="80"/>
      <c r="P1108" s="82" t="n">
        <f aca="false">IF(C1108="","",IFERROR(MATCH(Q1108,'CARNET DE SOUDURE'!$AW$7:$AW$3006,0),""))</f>
        <v>1102</v>
      </c>
      <c r="Q1108" s="82" t="str">
        <f aca="false">IF(C1108="","",B1108&amp;"|"&amp;C1108)</f>
        <v>MFD-ISW → MFD-CPF|DJ°383</v>
      </c>
    </row>
    <row r="1109" customFormat="false" ht="74.6" hidden="false" customHeight="false" outlineLevel="0" collapsed="false">
      <c r="A1109" s="82" t="n">
        <f aca="false">IF(C1109="","",ROW()-6)</f>
        <v>1103</v>
      </c>
      <c r="B1109" s="80" t="s">
        <v>110</v>
      </c>
      <c r="C1109" s="113" t="s">
        <v>1321</v>
      </c>
      <c r="D1109" s="82" t="str">
        <f aca="false">IF(OR(C1109="",P1109=""),"",INDEX('CARNET DE SOUDURE'!$D$7:$D$3006,P1109)&amp;"")</f>
        <v>8</v>
      </c>
      <c r="E1109" s="114" t="n">
        <f aca="false">IF(OR(C1109="",P1109=""),"",IF(INDEX('CARNET DE SOUDURE'!$U$7:$U$3006,P1109)="","",INDEX('CARNET DE SOUDURE'!$U$7:$U$3006,P1109)))</f>
        <v>46280</v>
      </c>
      <c r="F1109" s="82" t="str">
        <f aca="false">IF(OR(C1109="",P1109=""),"",INDEX('CARNET DE SOUDURE'!$AP$7:$AP$3006,P1109))</f>
        <v>A</v>
      </c>
      <c r="G1109" s="82" t="str">
        <f aca="false">IF(C1109="","",IF(P1109="","NJ INCONNU",INDEX('CARNET DE SOUDURE'!$AQ$7:$AQ$3006,P1109)))</f>
        <v>ACCEPTÉ</v>
      </c>
      <c r="H1109" s="82" t="str">
        <f aca="false">IF(C1109="","",IF(G1109="ACCEPTÉ","OUI","NON"))</f>
        <v>OUI</v>
      </c>
      <c r="I1109" s="83"/>
      <c r="J1109" s="80"/>
      <c r="K1109" s="81"/>
      <c r="L1109" s="81"/>
      <c r="M1109" s="81"/>
      <c r="N1109" s="84" t="str">
        <f aca="false">IF(C1109="","",IF(P1109="","NJ INCONNU",IF(I1109="",IF(H1109="OUI","À ENROBER",IF(G1109="À SOUDER","NON SOUDÉ","EN ATTENTE RT")),IF(L1109="R","À REPRENDRE",IF(H1109&lt;&gt;"OUI","⚠ ENROBÉ AVANT ACCEPTATION RT","ENROBÉ")))))</f>
        <v>À ENROBER</v>
      </c>
      <c r="O1109" s="80"/>
      <c r="P1109" s="82" t="n">
        <f aca="false">IF(C1109="","",IFERROR(MATCH(Q1109,'CARNET DE SOUDURE'!$AW$7:$AW$3006,0),""))</f>
        <v>1103</v>
      </c>
      <c r="Q1109" s="82" t="str">
        <f aca="false">IF(C1109="","",B1109&amp;"|"&amp;C1109)</f>
        <v>MFD-ISW → MFD-CPF|JN°974</v>
      </c>
    </row>
    <row r="1110" customFormat="false" ht="74.6" hidden="false" customHeight="false" outlineLevel="0" collapsed="false">
      <c r="A1110" s="82" t="n">
        <f aca="false">IF(C1110="","",ROW()-6)</f>
        <v>1104</v>
      </c>
      <c r="B1110" s="80" t="s">
        <v>110</v>
      </c>
      <c r="C1110" s="113" t="s">
        <v>1322</v>
      </c>
      <c r="D1110" s="82" t="str">
        <f aca="false">IF(OR(C1110="",P1110=""),"",INDEX('CARNET DE SOUDURE'!$D$7:$D$3006,P1110)&amp;"")</f>
        <v>8</v>
      </c>
      <c r="E1110" s="114" t="n">
        <f aca="false">IF(OR(C1110="",P1110=""),"",IF(INDEX('CARNET DE SOUDURE'!$U$7:$U$3006,P1110)="","",INDEX('CARNET DE SOUDURE'!$U$7:$U$3006,P1110)))</f>
        <v>46279</v>
      </c>
      <c r="F1110" s="82" t="str">
        <f aca="false">IF(OR(C1110="",P1110=""),"",INDEX('CARNET DE SOUDURE'!$AP$7:$AP$3006,P1110))</f>
        <v>A</v>
      </c>
      <c r="G1110" s="82" t="str">
        <f aca="false">IF(C1110="","",IF(P1110="","NJ INCONNU",INDEX('CARNET DE SOUDURE'!$AQ$7:$AQ$3006,P1110)))</f>
        <v>ACCEPTÉ</v>
      </c>
      <c r="H1110" s="82" t="str">
        <f aca="false">IF(C1110="","",IF(G1110="ACCEPTÉ","OUI","NON"))</f>
        <v>OUI</v>
      </c>
      <c r="I1110" s="83"/>
      <c r="J1110" s="80"/>
      <c r="K1110" s="81"/>
      <c r="L1110" s="81"/>
      <c r="M1110" s="81"/>
      <c r="N1110" s="84" t="str">
        <f aca="false">IF(C1110="","",IF(P1110="","NJ INCONNU",IF(I1110="",IF(H1110="OUI","À ENROBER",IF(G1110="À SOUDER","NON SOUDÉ","EN ATTENTE RT")),IF(L1110="R","À REPRENDRE",IF(H1110&lt;&gt;"OUI","⚠ ENROBÉ AVANT ACCEPTATION RT","ENROBÉ")))))</f>
        <v>À ENROBER</v>
      </c>
      <c r="O1110" s="80"/>
      <c r="P1110" s="82" t="n">
        <f aca="false">IF(C1110="","",IFERROR(MATCH(Q1110,'CARNET DE SOUDURE'!$AW$7:$AW$3006,0),""))</f>
        <v>1104</v>
      </c>
      <c r="Q1110" s="82" t="str">
        <f aca="false">IF(C1110="","",B1110&amp;"|"&amp;C1110)</f>
        <v>MFD-ISW → MFD-CPF|DJ°384</v>
      </c>
    </row>
    <row r="1111" customFormat="false" ht="74.6" hidden="false" customHeight="false" outlineLevel="0" collapsed="false">
      <c r="A1111" s="82" t="n">
        <f aca="false">IF(C1111="","",ROW()-6)</f>
        <v>1105</v>
      </c>
      <c r="B1111" s="80" t="s">
        <v>110</v>
      </c>
      <c r="C1111" s="113" t="s">
        <v>1323</v>
      </c>
      <c r="D1111" s="82" t="str">
        <f aca="false">IF(OR(C1111="",P1111=""),"",INDEX('CARNET DE SOUDURE'!$D$7:$D$3006,P1111)&amp;"")</f>
        <v>8</v>
      </c>
      <c r="E1111" s="114" t="n">
        <f aca="false">IF(OR(C1111="",P1111=""),"",IF(INDEX('CARNET DE SOUDURE'!$U$7:$U$3006,P1111)="","",INDEX('CARNET DE SOUDURE'!$U$7:$U$3006,P1111)))</f>
        <v>46280</v>
      </c>
      <c r="F1111" s="82" t="str">
        <f aca="false">IF(OR(C1111="",P1111=""),"",INDEX('CARNET DE SOUDURE'!$AP$7:$AP$3006,P1111))</f>
        <v>A</v>
      </c>
      <c r="G1111" s="82" t="str">
        <f aca="false">IF(C1111="","",IF(P1111="","NJ INCONNU",INDEX('CARNET DE SOUDURE'!$AQ$7:$AQ$3006,P1111)))</f>
        <v>ACCEPTÉ</v>
      </c>
      <c r="H1111" s="82" t="str">
        <f aca="false">IF(C1111="","",IF(G1111="ACCEPTÉ","OUI","NON"))</f>
        <v>OUI</v>
      </c>
      <c r="I1111" s="83"/>
      <c r="J1111" s="80"/>
      <c r="K1111" s="81"/>
      <c r="L1111" s="81"/>
      <c r="M1111" s="81"/>
      <c r="N1111" s="84" t="str">
        <f aca="false">IF(C1111="","",IF(P1111="","NJ INCONNU",IF(I1111="",IF(H1111="OUI","À ENROBER",IF(G1111="À SOUDER","NON SOUDÉ","EN ATTENTE RT")),IF(L1111="R","À REPRENDRE",IF(H1111&lt;&gt;"OUI","⚠ ENROBÉ AVANT ACCEPTATION RT","ENROBÉ")))))</f>
        <v>À ENROBER</v>
      </c>
      <c r="O1111" s="80"/>
      <c r="P1111" s="82" t="n">
        <f aca="false">IF(C1111="","",IFERROR(MATCH(Q1111,'CARNET DE SOUDURE'!$AW$7:$AW$3006,0),""))</f>
        <v>1105</v>
      </c>
      <c r="Q1111" s="82" t="str">
        <f aca="false">IF(C1111="","",B1111&amp;"|"&amp;C1111)</f>
        <v>MFD-ISW → MFD-CPF|JN°975</v>
      </c>
    </row>
    <row r="1112" customFormat="false" ht="74.6" hidden="false" customHeight="false" outlineLevel="0" collapsed="false">
      <c r="A1112" s="82" t="n">
        <f aca="false">IF(C1112="","",ROW()-6)</f>
        <v>1106</v>
      </c>
      <c r="B1112" s="80" t="s">
        <v>110</v>
      </c>
      <c r="C1112" s="113" t="s">
        <v>1324</v>
      </c>
      <c r="D1112" s="82" t="str">
        <f aca="false">IF(OR(C1112="",P1112=""),"",INDEX('CARNET DE SOUDURE'!$D$7:$D$3006,P1112)&amp;"")</f>
        <v>8</v>
      </c>
      <c r="E1112" s="114" t="n">
        <f aca="false">IF(OR(C1112="",P1112=""),"",IF(INDEX('CARNET DE SOUDURE'!$U$7:$U$3006,P1112)="","",INDEX('CARNET DE SOUDURE'!$U$7:$U$3006,P1112)))</f>
        <v>46279</v>
      </c>
      <c r="F1112" s="82" t="str">
        <f aca="false">IF(OR(C1112="",P1112=""),"",INDEX('CARNET DE SOUDURE'!$AP$7:$AP$3006,P1112))</f>
        <v>A</v>
      </c>
      <c r="G1112" s="82" t="str">
        <f aca="false">IF(C1112="","",IF(P1112="","NJ INCONNU",INDEX('CARNET DE SOUDURE'!$AQ$7:$AQ$3006,P1112)))</f>
        <v>ACCEPTÉ</v>
      </c>
      <c r="H1112" s="82" t="str">
        <f aca="false">IF(C1112="","",IF(G1112="ACCEPTÉ","OUI","NON"))</f>
        <v>OUI</v>
      </c>
      <c r="I1112" s="83"/>
      <c r="J1112" s="80"/>
      <c r="K1112" s="81"/>
      <c r="L1112" s="81"/>
      <c r="M1112" s="81"/>
      <c r="N1112" s="84" t="str">
        <f aca="false">IF(C1112="","",IF(P1112="","NJ INCONNU",IF(I1112="",IF(H1112="OUI","À ENROBER",IF(G1112="À SOUDER","NON SOUDÉ","EN ATTENTE RT")),IF(L1112="R","À REPRENDRE",IF(H1112&lt;&gt;"OUI","⚠ ENROBÉ AVANT ACCEPTATION RT","ENROBÉ")))))</f>
        <v>À ENROBER</v>
      </c>
      <c r="O1112" s="80"/>
      <c r="P1112" s="82" t="n">
        <f aca="false">IF(C1112="","",IFERROR(MATCH(Q1112,'CARNET DE SOUDURE'!$AW$7:$AW$3006,0),""))</f>
        <v>1106</v>
      </c>
      <c r="Q1112" s="82" t="str">
        <f aca="false">IF(C1112="","",B1112&amp;"|"&amp;C1112)</f>
        <v>MFD-ISW → MFD-CPF|DJ°385</v>
      </c>
    </row>
    <row r="1113" customFormat="false" ht="74.6" hidden="false" customHeight="false" outlineLevel="0" collapsed="false">
      <c r="A1113" s="82" t="n">
        <f aca="false">IF(C1113="","",ROW()-6)</f>
        <v>1107</v>
      </c>
      <c r="B1113" s="80" t="s">
        <v>110</v>
      </c>
      <c r="C1113" s="113" t="s">
        <v>1325</v>
      </c>
      <c r="D1113" s="82" t="str">
        <f aca="false">IF(OR(C1113="",P1113=""),"",INDEX('CARNET DE SOUDURE'!$D$7:$D$3006,P1113)&amp;"")</f>
        <v>8</v>
      </c>
      <c r="E1113" s="114" t="n">
        <f aca="false">IF(OR(C1113="",P1113=""),"",IF(INDEX('CARNET DE SOUDURE'!$U$7:$U$3006,P1113)="","",INDEX('CARNET DE SOUDURE'!$U$7:$U$3006,P1113)))</f>
        <v>46280</v>
      </c>
      <c r="F1113" s="82" t="str">
        <f aca="false">IF(OR(C1113="",P1113=""),"",INDEX('CARNET DE SOUDURE'!$AP$7:$AP$3006,P1113))</f>
        <v>A</v>
      </c>
      <c r="G1113" s="82" t="str">
        <f aca="false">IF(C1113="","",IF(P1113="","NJ INCONNU",INDEX('CARNET DE SOUDURE'!$AQ$7:$AQ$3006,P1113)))</f>
        <v>ACCEPTÉ</v>
      </c>
      <c r="H1113" s="82" t="str">
        <f aca="false">IF(C1113="","",IF(G1113="ACCEPTÉ","OUI","NON"))</f>
        <v>OUI</v>
      </c>
      <c r="I1113" s="83"/>
      <c r="J1113" s="80"/>
      <c r="K1113" s="81"/>
      <c r="L1113" s="81"/>
      <c r="M1113" s="81"/>
      <c r="N1113" s="84" t="str">
        <f aca="false">IF(C1113="","",IF(P1113="","NJ INCONNU",IF(I1113="",IF(H1113="OUI","À ENROBER",IF(G1113="À SOUDER","NON SOUDÉ","EN ATTENTE RT")),IF(L1113="R","À REPRENDRE",IF(H1113&lt;&gt;"OUI","⚠ ENROBÉ AVANT ACCEPTATION RT","ENROBÉ")))))</f>
        <v>À ENROBER</v>
      </c>
      <c r="O1113" s="80"/>
      <c r="P1113" s="82" t="n">
        <f aca="false">IF(C1113="","",IFERROR(MATCH(Q1113,'CARNET DE SOUDURE'!$AW$7:$AW$3006,0),""))</f>
        <v>1107</v>
      </c>
      <c r="Q1113" s="82" t="str">
        <f aca="false">IF(C1113="","",B1113&amp;"|"&amp;C1113)</f>
        <v>MFD-ISW → MFD-CPF|JN°976</v>
      </c>
    </row>
    <row r="1114" customFormat="false" ht="74.6" hidden="false" customHeight="false" outlineLevel="0" collapsed="false">
      <c r="A1114" s="82" t="n">
        <f aca="false">IF(C1114="","",ROW()-6)</f>
        <v>1108</v>
      </c>
      <c r="B1114" s="80" t="s">
        <v>110</v>
      </c>
      <c r="C1114" s="113" t="s">
        <v>1326</v>
      </c>
      <c r="D1114" s="82" t="str">
        <f aca="false">IF(OR(C1114="",P1114=""),"",INDEX('CARNET DE SOUDURE'!$D$7:$D$3006,P1114)&amp;"")</f>
        <v>8</v>
      </c>
      <c r="E1114" s="114" t="n">
        <f aca="false">IF(OR(C1114="",P1114=""),"",IF(INDEX('CARNET DE SOUDURE'!$U$7:$U$3006,P1114)="","",INDEX('CARNET DE SOUDURE'!$U$7:$U$3006,P1114)))</f>
        <v>46279</v>
      </c>
      <c r="F1114" s="82" t="str">
        <f aca="false">IF(OR(C1114="",P1114=""),"",INDEX('CARNET DE SOUDURE'!$AP$7:$AP$3006,P1114))</f>
        <v>A</v>
      </c>
      <c r="G1114" s="82" t="str">
        <f aca="false">IF(C1114="","",IF(P1114="","NJ INCONNU",INDEX('CARNET DE SOUDURE'!$AQ$7:$AQ$3006,P1114)))</f>
        <v>ACCEPTÉ</v>
      </c>
      <c r="H1114" s="82" t="str">
        <f aca="false">IF(C1114="","",IF(G1114="ACCEPTÉ","OUI","NON"))</f>
        <v>OUI</v>
      </c>
      <c r="I1114" s="83"/>
      <c r="J1114" s="80"/>
      <c r="K1114" s="81"/>
      <c r="L1114" s="81"/>
      <c r="M1114" s="81"/>
      <c r="N1114" s="84" t="str">
        <f aca="false">IF(C1114="","",IF(P1114="","NJ INCONNU",IF(I1114="",IF(H1114="OUI","À ENROBER",IF(G1114="À SOUDER","NON SOUDÉ","EN ATTENTE RT")),IF(L1114="R","À REPRENDRE",IF(H1114&lt;&gt;"OUI","⚠ ENROBÉ AVANT ACCEPTATION RT","ENROBÉ")))))</f>
        <v>À ENROBER</v>
      </c>
      <c r="O1114" s="80"/>
      <c r="P1114" s="82" t="n">
        <f aca="false">IF(C1114="","",IFERROR(MATCH(Q1114,'CARNET DE SOUDURE'!$AW$7:$AW$3006,0),""))</f>
        <v>1108</v>
      </c>
      <c r="Q1114" s="82" t="str">
        <f aca="false">IF(C1114="","",B1114&amp;"|"&amp;C1114)</f>
        <v>MFD-ISW → MFD-CPF|DJ°374</v>
      </c>
    </row>
    <row r="1115" customFormat="false" ht="74.6" hidden="false" customHeight="false" outlineLevel="0" collapsed="false">
      <c r="A1115" s="82" t="n">
        <f aca="false">IF(C1115="","",ROW()-6)</f>
        <v>1109</v>
      </c>
      <c r="B1115" s="80" t="s">
        <v>110</v>
      </c>
      <c r="C1115" s="113" t="s">
        <v>1327</v>
      </c>
      <c r="D1115" s="82" t="str">
        <f aca="false">IF(OR(C1115="",P1115=""),"",INDEX('CARNET DE SOUDURE'!$D$7:$D$3006,P1115)&amp;"")</f>
        <v>8</v>
      </c>
      <c r="E1115" s="114" t="n">
        <f aca="false">IF(OR(C1115="",P1115=""),"",IF(INDEX('CARNET DE SOUDURE'!$U$7:$U$3006,P1115)="","",INDEX('CARNET DE SOUDURE'!$U$7:$U$3006,P1115)))</f>
        <v>46280</v>
      </c>
      <c r="F1115" s="82" t="str">
        <f aca="false">IF(OR(C1115="",P1115=""),"",INDEX('CARNET DE SOUDURE'!$AP$7:$AP$3006,P1115))</f>
        <v>R</v>
      </c>
      <c r="G1115" s="82" t="str">
        <f aca="false">IF(C1115="","",IF(P1115="","NJ INCONNU",INDEX('CARNET DE SOUDURE'!$AQ$7:$AQ$3006,P1115)))</f>
        <v>À RÉPARER</v>
      </c>
      <c r="H1115" s="82" t="str">
        <f aca="false">IF(C1115="","",IF(G1115="ACCEPTÉ","OUI","NON"))</f>
        <v>NON</v>
      </c>
      <c r="I1115" s="83"/>
      <c r="J1115" s="80"/>
      <c r="K1115" s="81"/>
      <c r="L1115" s="81"/>
      <c r="M1115" s="81"/>
      <c r="N1115" s="84" t="str">
        <f aca="false">IF(C1115="","",IF(P1115="","NJ INCONNU",IF(I1115="",IF(H1115="OUI","À ENROBER",IF(G1115="À SOUDER","NON SOUDÉ","EN ATTENTE RT")),IF(L1115="R","À REPRENDRE",IF(H1115&lt;&gt;"OUI","⚠ ENROBÉ AVANT ACCEPTATION RT","ENROBÉ")))))</f>
        <v>EN ATTENTE RT</v>
      </c>
      <c r="O1115" s="80"/>
      <c r="P1115" s="82" t="n">
        <f aca="false">IF(C1115="","",IFERROR(MATCH(Q1115,'CARNET DE SOUDURE'!$AW$7:$AW$3006,0),""))</f>
        <v>1109</v>
      </c>
      <c r="Q1115" s="82" t="str">
        <f aca="false">IF(C1115="","",B1115&amp;"|"&amp;C1115)</f>
        <v>MFD-ISW → MFD-CPF|JN°977</v>
      </c>
    </row>
    <row r="1116" customFormat="false" ht="74.6" hidden="false" customHeight="false" outlineLevel="0" collapsed="false">
      <c r="A1116" s="82" t="n">
        <f aca="false">IF(C1116="","",ROW()-6)</f>
        <v>1110</v>
      </c>
      <c r="B1116" s="80" t="s">
        <v>110</v>
      </c>
      <c r="C1116" s="113" t="s">
        <v>1329</v>
      </c>
      <c r="D1116" s="82" t="str">
        <f aca="false">IF(OR(C1116="",P1116=""),"",INDEX('CARNET DE SOUDURE'!$D$7:$D$3006,P1116)&amp;"")</f>
        <v>8</v>
      </c>
      <c r="E1116" s="114" t="n">
        <f aca="false">IF(OR(C1116="",P1116=""),"",IF(INDEX('CARNET DE SOUDURE'!$U$7:$U$3006,P1116)="","",INDEX('CARNET DE SOUDURE'!$U$7:$U$3006,P1116)))</f>
        <v>46279</v>
      </c>
      <c r="F1116" s="82" t="str">
        <f aca="false">IF(OR(C1116="",P1116=""),"",INDEX('CARNET DE SOUDURE'!$AP$7:$AP$3006,P1116))</f>
        <v>A</v>
      </c>
      <c r="G1116" s="82" t="str">
        <f aca="false">IF(C1116="","",IF(P1116="","NJ INCONNU",INDEX('CARNET DE SOUDURE'!$AQ$7:$AQ$3006,P1116)))</f>
        <v>ACCEPTÉ</v>
      </c>
      <c r="H1116" s="82" t="str">
        <f aca="false">IF(C1116="","",IF(G1116="ACCEPTÉ","OUI","NON"))</f>
        <v>OUI</v>
      </c>
      <c r="I1116" s="83"/>
      <c r="J1116" s="80"/>
      <c r="K1116" s="81"/>
      <c r="L1116" s="81"/>
      <c r="M1116" s="81"/>
      <c r="N1116" s="84" t="str">
        <f aca="false">IF(C1116="","",IF(P1116="","NJ INCONNU",IF(I1116="",IF(H1116="OUI","À ENROBER",IF(G1116="À SOUDER","NON SOUDÉ","EN ATTENTE RT")),IF(L1116="R","À REPRENDRE",IF(H1116&lt;&gt;"OUI","⚠ ENROBÉ AVANT ACCEPTATION RT","ENROBÉ")))))</f>
        <v>À ENROBER</v>
      </c>
      <c r="O1116" s="80"/>
      <c r="P1116" s="82" t="n">
        <f aca="false">IF(C1116="","",IFERROR(MATCH(Q1116,'CARNET DE SOUDURE'!$AW$7:$AW$3006,0),""))</f>
        <v>1110</v>
      </c>
      <c r="Q1116" s="82" t="str">
        <f aca="false">IF(C1116="","",B1116&amp;"|"&amp;C1116)</f>
        <v>MFD-ISW → MFD-CPF|DJ°377</v>
      </c>
    </row>
    <row r="1117" customFormat="false" ht="74.6" hidden="false" customHeight="false" outlineLevel="0" collapsed="false">
      <c r="A1117" s="82" t="n">
        <f aca="false">IF(C1117="","",ROW()-6)</f>
        <v>1111</v>
      </c>
      <c r="B1117" s="80" t="s">
        <v>110</v>
      </c>
      <c r="C1117" s="113" t="s">
        <v>1330</v>
      </c>
      <c r="D1117" s="82" t="str">
        <f aca="false">IF(OR(C1117="",P1117=""),"",INDEX('CARNET DE SOUDURE'!$D$7:$D$3006,P1117)&amp;"")</f>
        <v>8</v>
      </c>
      <c r="E1117" s="114" t="n">
        <f aca="false">IF(OR(C1117="",P1117=""),"",IF(INDEX('CARNET DE SOUDURE'!$U$7:$U$3006,P1117)="","",INDEX('CARNET DE SOUDURE'!$U$7:$U$3006,P1117)))</f>
        <v>46280</v>
      </c>
      <c r="F1117" s="82" t="str">
        <f aca="false">IF(OR(C1117="",P1117=""),"",INDEX('CARNET DE SOUDURE'!$AP$7:$AP$3006,P1117))</f>
        <v>A</v>
      </c>
      <c r="G1117" s="82" t="str">
        <f aca="false">IF(C1117="","",IF(P1117="","NJ INCONNU",INDEX('CARNET DE SOUDURE'!$AQ$7:$AQ$3006,P1117)))</f>
        <v>ACCEPTÉ</v>
      </c>
      <c r="H1117" s="82" t="str">
        <f aca="false">IF(C1117="","",IF(G1117="ACCEPTÉ","OUI","NON"))</f>
        <v>OUI</v>
      </c>
      <c r="I1117" s="83"/>
      <c r="J1117" s="80"/>
      <c r="K1117" s="81"/>
      <c r="L1117" s="81"/>
      <c r="M1117" s="81"/>
      <c r="N1117" s="84" t="str">
        <f aca="false">IF(C1117="","",IF(P1117="","NJ INCONNU",IF(I1117="",IF(H1117="OUI","À ENROBER",IF(G1117="À SOUDER","NON SOUDÉ","EN ATTENTE RT")),IF(L1117="R","À REPRENDRE",IF(H1117&lt;&gt;"OUI","⚠ ENROBÉ AVANT ACCEPTATION RT","ENROBÉ")))))</f>
        <v>À ENROBER</v>
      </c>
      <c r="O1117" s="80"/>
      <c r="P1117" s="82" t="n">
        <f aca="false">IF(C1117="","",IFERROR(MATCH(Q1117,'CARNET DE SOUDURE'!$AW$7:$AW$3006,0),""))</f>
        <v>1111</v>
      </c>
      <c r="Q1117" s="82" t="str">
        <f aca="false">IF(C1117="","",B1117&amp;"|"&amp;C1117)</f>
        <v>MFD-ISW → MFD-CPF|JN°978</v>
      </c>
    </row>
    <row r="1118" customFormat="false" ht="74.6" hidden="false" customHeight="false" outlineLevel="0" collapsed="false">
      <c r="A1118" s="82" t="n">
        <f aca="false">IF(C1118="","",ROW()-6)</f>
        <v>1112</v>
      </c>
      <c r="B1118" s="80" t="s">
        <v>110</v>
      </c>
      <c r="C1118" s="113" t="s">
        <v>1331</v>
      </c>
      <c r="D1118" s="82" t="str">
        <f aca="false">IF(OR(C1118="",P1118=""),"",INDEX('CARNET DE SOUDURE'!$D$7:$D$3006,P1118)&amp;"")</f>
        <v>8</v>
      </c>
      <c r="E1118" s="114" t="n">
        <f aca="false">IF(OR(C1118="",P1118=""),"",IF(INDEX('CARNET DE SOUDURE'!$U$7:$U$3006,P1118)="","",INDEX('CARNET DE SOUDURE'!$U$7:$U$3006,P1118)))</f>
        <v>46279</v>
      </c>
      <c r="F1118" s="82" t="str">
        <f aca="false">IF(OR(C1118="",P1118=""),"",INDEX('CARNET DE SOUDURE'!$AP$7:$AP$3006,P1118))</f>
        <v>A</v>
      </c>
      <c r="G1118" s="82" t="str">
        <f aca="false">IF(C1118="","",IF(P1118="","NJ INCONNU",INDEX('CARNET DE SOUDURE'!$AQ$7:$AQ$3006,P1118)))</f>
        <v>ACCEPTÉ</v>
      </c>
      <c r="H1118" s="82" t="str">
        <f aca="false">IF(C1118="","",IF(G1118="ACCEPTÉ","OUI","NON"))</f>
        <v>OUI</v>
      </c>
      <c r="I1118" s="83"/>
      <c r="J1118" s="80"/>
      <c r="K1118" s="81"/>
      <c r="L1118" s="81"/>
      <c r="M1118" s="81"/>
      <c r="N1118" s="84" t="str">
        <f aca="false">IF(C1118="","",IF(P1118="","NJ INCONNU",IF(I1118="",IF(H1118="OUI","À ENROBER",IF(G1118="À SOUDER","NON SOUDÉ","EN ATTENTE RT")),IF(L1118="R","À REPRENDRE",IF(H1118&lt;&gt;"OUI","⚠ ENROBÉ AVANT ACCEPTATION RT","ENROBÉ")))))</f>
        <v>À ENROBER</v>
      </c>
      <c r="O1118" s="80"/>
      <c r="P1118" s="82" t="n">
        <f aca="false">IF(C1118="","",IFERROR(MATCH(Q1118,'CARNET DE SOUDURE'!$AW$7:$AW$3006,0),""))</f>
        <v>1112</v>
      </c>
      <c r="Q1118" s="82" t="str">
        <f aca="false">IF(C1118="","",B1118&amp;"|"&amp;C1118)</f>
        <v>MFD-ISW → MFD-CPF|DJ°373</v>
      </c>
    </row>
    <row r="1119" customFormat="false" ht="74.6" hidden="false" customHeight="false" outlineLevel="0" collapsed="false">
      <c r="A1119" s="82" t="n">
        <f aca="false">IF(C1119="","",ROW()-6)</f>
        <v>1113</v>
      </c>
      <c r="B1119" s="80" t="s">
        <v>110</v>
      </c>
      <c r="C1119" s="113" t="s">
        <v>1332</v>
      </c>
      <c r="D1119" s="82" t="str">
        <f aca="false">IF(OR(C1119="",P1119=""),"",INDEX('CARNET DE SOUDURE'!$D$7:$D$3006,P1119)&amp;"")</f>
        <v>8</v>
      </c>
      <c r="E1119" s="114" t="str">
        <f aca="false">IF(OR(C1119="",P1119=""),"",IF(INDEX('CARNET DE SOUDURE'!$U$7:$U$3006,P1119)="","",INDEX('CARNET DE SOUDURE'!$U$7:$U$3006,P1119)))</f>
        <v/>
      </c>
      <c r="F1119" s="82" t="str">
        <f aca="false">IF(OR(C1119="",P1119=""),"",INDEX('CARNET DE SOUDURE'!$AP$7:$AP$3006,P1119))</f>
        <v/>
      </c>
      <c r="G1119" s="82" t="str">
        <f aca="false">IF(C1119="","",IF(P1119="","NJ INCONNU",INDEX('CARNET DE SOUDURE'!$AQ$7:$AQ$3006,P1119)))</f>
        <v>À SOUDER</v>
      </c>
      <c r="H1119" s="82" t="str">
        <f aca="false">IF(C1119="","",IF(G1119="ACCEPTÉ","OUI","NON"))</f>
        <v>NON</v>
      </c>
      <c r="I1119" s="83"/>
      <c r="J1119" s="80"/>
      <c r="K1119" s="81"/>
      <c r="L1119" s="81"/>
      <c r="M1119" s="81"/>
      <c r="N1119" s="84" t="str">
        <f aca="false">IF(C1119="","",IF(P1119="","NJ INCONNU",IF(I1119="",IF(H1119="OUI","À ENROBER",IF(G1119="À SOUDER","NON SOUDÉ","EN ATTENTE RT")),IF(L1119="R","À REPRENDRE",IF(H1119&lt;&gt;"OUI","⚠ ENROBÉ AVANT ACCEPTATION RT","ENROBÉ")))))</f>
        <v>NON SOUDÉ</v>
      </c>
      <c r="O1119" s="80"/>
      <c r="P1119" s="82" t="n">
        <f aca="false">IF(C1119="","",IFERROR(MATCH(Q1119,'CARNET DE SOUDURE'!$AW$7:$AW$3006,0),""))</f>
        <v>1113</v>
      </c>
      <c r="Q1119" s="82" t="str">
        <f aca="false">IF(C1119="","",B1119&amp;"|"&amp;C1119)</f>
        <v>MFD-ISW → MFD-CPF|JN°979</v>
      </c>
    </row>
    <row r="1120" customFormat="false" ht="74.6" hidden="false" customHeight="false" outlineLevel="0" collapsed="false">
      <c r="A1120" s="82" t="n">
        <f aca="false">IF(C1120="","",ROW()-6)</f>
        <v>1114</v>
      </c>
      <c r="B1120" s="80" t="s">
        <v>110</v>
      </c>
      <c r="C1120" s="113" t="s">
        <v>1333</v>
      </c>
      <c r="D1120" s="82" t="str">
        <f aca="false">IF(OR(C1120="",P1120=""),"",INDEX('CARNET DE SOUDURE'!$D$7:$D$3006,P1120)&amp;"")</f>
        <v>8</v>
      </c>
      <c r="E1120" s="114" t="str">
        <f aca="false">IF(OR(C1120="",P1120=""),"",IF(INDEX('CARNET DE SOUDURE'!$U$7:$U$3006,P1120)="","",INDEX('CARNET DE SOUDURE'!$U$7:$U$3006,P1120)))</f>
        <v/>
      </c>
      <c r="F1120" s="82" t="str">
        <f aca="false">IF(OR(C1120="",P1120=""),"",INDEX('CARNET DE SOUDURE'!$AP$7:$AP$3006,P1120))</f>
        <v/>
      </c>
      <c r="G1120" s="82" t="str">
        <f aca="false">IF(C1120="","",IF(P1120="","NJ INCONNU",INDEX('CARNET DE SOUDURE'!$AQ$7:$AQ$3006,P1120)))</f>
        <v>À SOUDER</v>
      </c>
      <c r="H1120" s="82" t="str">
        <f aca="false">IF(C1120="","",IF(G1120="ACCEPTÉ","OUI","NON"))</f>
        <v>NON</v>
      </c>
      <c r="I1120" s="83"/>
      <c r="J1120" s="80"/>
      <c r="K1120" s="81"/>
      <c r="L1120" s="81"/>
      <c r="M1120" s="81"/>
      <c r="N1120" s="84" t="str">
        <f aca="false">IF(C1120="","",IF(P1120="","NJ INCONNU",IF(I1120="",IF(H1120="OUI","À ENROBER",IF(G1120="À SOUDER","NON SOUDÉ","EN ATTENTE RT")),IF(L1120="R","À REPRENDRE",IF(H1120&lt;&gt;"OUI","⚠ ENROBÉ AVANT ACCEPTATION RT","ENROBÉ")))))</f>
        <v>NON SOUDÉ</v>
      </c>
      <c r="O1120" s="80"/>
      <c r="P1120" s="82" t="n">
        <f aca="false">IF(C1120="","",IFERROR(MATCH(Q1120,'CARNET DE SOUDURE'!$AW$7:$AW$3006,0),""))</f>
        <v>1114</v>
      </c>
      <c r="Q1120" s="82" t="str">
        <f aca="false">IF(C1120="","",B1120&amp;"|"&amp;C1120)</f>
        <v>MFD-ISW → MFD-CPF|JN°980</v>
      </c>
    </row>
    <row r="1121" customFormat="false" ht="74.6" hidden="false" customHeight="false" outlineLevel="0" collapsed="false">
      <c r="A1121" s="82" t="n">
        <f aca="false">IF(C1121="","",ROW()-6)</f>
        <v>1115</v>
      </c>
      <c r="B1121" s="80" t="s">
        <v>110</v>
      </c>
      <c r="C1121" s="113" t="s">
        <v>1334</v>
      </c>
      <c r="D1121" s="82" t="str">
        <f aca="false">IF(OR(C1121="",P1121=""),"",INDEX('CARNET DE SOUDURE'!$D$7:$D$3006,P1121)&amp;"")</f>
        <v>8</v>
      </c>
      <c r="E1121" s="114" t="str">
        <f aca="false">IF(OR(C1121="",P1121=""),"",IF(INDEX('CARNET DE SOUDURE'!$U$7:$U$3006,P1121)="","",INDEX('CARNET DE SOUDURE'!$U$7:$U$3006,P1121)))</f>
        <v/>
      </c>
      <c r="F1121" s="82" t="str">
        <f aca="false">IF(OR(C1121="",P1121=""),"",INDEX('CARNET DE SOUDURE'!$AP$7:$AP$3006,P1121))</f>
        <v/>
      </c>
      <c r="G1121" s="82" t="str">
        <f aca="false">IF(C1121="","",IF(P1121="","NJ INCONNU",INDEX('CARNET DE SOUDURE'!$AQ$7:$AQ$3006,P1121)))</f>
        <v>À SOUDER</v>
      </c>
      <c r="H1121" s="82" t="str">
        <f aca="false">IF(C1121="","",IF(G1121="ACCEPTÉ","OUI","NON"))</f>
        <v>NON</v>
      </c>
      <c r="I1121" s="83"/>
      <c r="J1121" s="80"/>
      <c r="K1121" s="81"/>
      <c r="L1121" s="81"/>
      <c r="M1121" s="81"/>
      <c r="N1121" s="84" t="str">
        <f aca="false">IF(C1121="","",IF(P1121="","NJ INCONNU",IF(I1121="",IF(H1121="OUI","À ENROBER",IF(G1121="À SOUDER","NON SOUDÉ","EN ATTENTE RT")),IF(L1121="R","À REPRENDRE",IF(H1121&lt;&gt;"OUI","⚠ ENROBÉ AVANT ACCEPTATION RT","ENROBÉ")))))</f>
        <v>NON SOUDÉ</v>
      </c>
      <c r="O1121" s="80"/>
      <c r="P1121" s="82" t="n">
        <f aca="false">IF(C1121="","",IFERROR(MATCH(Q1121,'CARNET DE SOUDURE'!$AW$7:$AW$3006,0),""))</f>
        <v>1115</v>
      </c>
      <c r="Q1121" s="82" t="str">
        <f aca="false">IF(C1121="","",B1121&amp;"|"&amp;C1121)</f>
        <v>MFD-ISW → MFD-CPF|JN°981</v>
      </c>
    </row>
    <row r="1122" customFormat="false" ht="74.6" hidden="false" customHeight="false" outlineLevel="0" collapsed="false">
      <c r="A1122" s="82" t="n">
        <f aca="false">IF(C1122="","",ROW()-6)</f>
        <v>1116</v>
      </c>
      <c r="B1122" s="80" t="s">
        <v>110</v>
      </c>
      <c r="C1122" s="113" t="s">
        <v>1335</v>
      </c>
      <c r="D1122" s="82" t="str">
        <f aca="false">IF(OR(C1122="",P1122=""),"",INDEX('CARNET DE SOUDURE'!$D$7:$D$3006,P1122)&amp;"")</f>
        <v>8</v>
      </c>
      <c r="E1122" s="114" t="str">
        <f aca="false">IF(OR(C1122="",P1122=""),"",IF(INDEX('CARNET DE SOUDURE'!$U$7:$U$3006,P1122)="","",INDEX('CARNET DE SOUDURE'!$U$7:$U$3006,P1122)))</f>
        <v/>
      </c>
      <c r="F1122" s="82" t="str">
        <f aca="false">IF(OR(C1122="",P1122=""),"",INDEX('CARNET DE SOUDURE'!$AP$7:$AP$3006,P1122))</f>
        <v/>
      </c>
      <c r="G1122" s="82" t="str">
        <f aca="false">IF(C1122="","",IF(P1122="","NJ INCONNU",INDEX('CARNET DE SOUDURE'!$AQ$7:$AQ$3006,P1122)))</f>
        <v>À SOUDER</v>
      </c>
      <c r="H1122" s="82" t="str">
        <f aca="false">IF(C1122="","",IF(G1122="ACCEPTÉ","OUI","NON"))</f>
        <v>NON</v>
      </c>
      <c r="I1122" s="83"/>
      <c r="J1122" s="80"/>
      <c r="K1122" s="81"/>
      <c r="L1122" s="81"/>
      <c r="M1122" s="81"/>
      <c r="N1122" s="84" t="str">
        <f aca="false">IF(C1122="","",IF(P1122="","NJ INCONNU",IF(I1122="",IF(H1122="OUI","À ENROBER",IF(G1122="À SOUDER","NON SOUDÉ","EN ATTENTE RT")),IF(L1122="R","À REPRENDRE",IF(H1122&lt;&gt;"OUI","⚠ ENROBÉ AVANT ACCEPTATION RT","ENROBÉ")))))</f>
        <v>NON SOUDÉ</v>
      </c>
      <c r="O1122" s="80"/>
      <c r="P1122" s="82" t="n">
        <f aca="false">IF(C1122="","",IFERROR(MATCH(Q1122,'CARNET DE SOUDURE'!$AW$7:$AW$3006,0),""))</f>
        <v>1116</v>
      </c>
      <c r="Q1122" s="82" t="str">
        <f aca="false">IF(C1122="","",B1122&amp;"|"&amp;C1122)</f>
        <v>MFD-ISW → MFD-CPF|JN°982</v>
      </c>
    </row>
    <row r="1123" customFormat="false" ht="74.6" hidden="false" customHeight="false" outlineLevel="0" collapsed="false">
      <c r="A1123" s="82" t="n">
        <f aca="false">IF(C1123="","",ROW()-6)</f>
        <v>1117</v>
      </c>
      <c r="B1123" s="80" t="s">
        <v>110</v>
      </c>
      <c r="C1123" s="113" t="s">
        <v>1337</v>
      </c>
      <c r="D1123" s="82" t="str">
        <f aca="false">IF(OR(C1123="",P1123=""),"",INDEX('CARNET DE SOUDURE'!$D$7:$D$3006,P1123)&amp;"")</f>
        <v>8</v>
      </c>
      <c r="E1123" s="114" t="n">
        <f aca="false">IF(OR(C1123="",P1123=""),"",IF(INDEX('CARNET DE SOUDURE'!$U$7:$U$3006,P1123)="","",INDEX('CARNET DE SOUDURE'!$U$7:$U$3006,P1123)))</f>
        <v>46279</v>
      </c>
      <c r="F1123" s="82" t="str">
        <f aca="false">IF(OR(C1123="",P1123=""),"",INDEX('CARNET DE SOUDURE'!$AP$7:$AP$3006,P1123))</f>
        <v>A</v>
      </c>
      <c r="G1123" s="82" t="str">
        <f aca="false">IF(C1123="","",IF(P1123="","NJ INCONNU",INDEX('CARNET DE SOUDURE'!$AQ$7:$AQ$3006,P1123)))</f>
        <v>ACCEPTÉ</v>
      </c>
      <c r="H1123" s="82" t="str">
        <f aca="false">IF(C1123="","",IF(G1123="ACCEPTÉ","OUI","NON"))</f>
        <v>OUI</v>
      </c>
      <c r="I1123" s="83"/>
      <c r="J1123" s="80"/>
      <c r="K1123" s="81"/>
      <c r="L1123" s="81"/>
      <c r="M1123" s="81"/>
      <c r="N1123" s="84" t="str">
        <f aca="false">IF(C1123="","",IF(P1123="","NJ INCONNU",IF(I1123="",IF(H1123="OUI","À ENROBER",IF(G1123="À SOUDER","NON SOUDÉ","EN ATTENTE RT")),IF(L1123="R","À REPRENDRE",IF(H1123&lt;&gt;"OUI","⚠ ENROBÉ AVANT ACCEPTATION RT","ENROBÉ")))))</f>
        <v>À ENROBER</v>
      </c>
      <c r="O1123" s="80"/>
      <c r="P1123" s="82" t="n">
        <f aca="false">IF(C1123="","",IFERROR(MATCH(Q1123,'CARNET DE SOUDURE'!$AW$7:$AW$3006,0),""))</f>
        <v>1117</v>
      </c>
      <c r="Q1123" s="82" t="str">
        <f aca="false">IF(C1123="","",B1123&amp;"|"&amp;C1123)</f>
        <v>MFD-ISW → MFD-CPF|DJ°378</v>
      </c>
    </row>
    <row r="1124" customFormat="false" ht="74.6" hidden="false" customHeight="false" outlineLevel="0" collapsed="false">
      <c r="A1124" s="82" t="n">
        <f aca="false">IF(C1124="","",ROW()-6)</f>
        <v>1118</v>
      </c>
      <c r="B1124" s="80" t="s">
        <v>110</v>
      </c>
      <c r="C1124" s="113" t="s">
        <v>1338</v>
      </c>
      <c r="D1124" s="82" t="str">
        <f aca="false">IF(OR(C1124="",P1124=""),"",INDEX('CARNET DE SOUDURE'!$D$7:$D$3006,P1124)&amp;"")</f>
        <v>8</v>
      </c>
      <c r="E1124" s="114" t="n">
        <f aca="false">IF(OR(C1124="",P1124=""),"",IF(INDEX('CARNET DE SOUDURE'!$U$7:$U$3006,P1124)="","",INDEX('CARNET DE SOUDURE'!$U$7:$U$3006,P1124)))</f>
        <v>46280</v>
      </c>
      <c r="F1124" s="82" t="str">
        <f aca="false">IF(OR(C1124="",P1124=""),"",INDEX('CARNET DE SOUDURE'!$AP$7:$AP$3006,P1124))</f>
        <v>R</v>
      </c>
      <c r="G1124" s="82" t="str">
        <f aca="false">IF(C1124="","",IF(P1124="","NJ INCONNU",INDEX('CARNET DE SOUDURE'!$AQ$7:$AQ$3006,P1124)))</f>
        <v>À RÉPARER</v>
      </c>
      <c r="H1124" s="82" t="str">
        <f aca="false">IF(C1124="","",IF(G1124="ACCEPTÉ","OUI","NON"))</f>
        <v>NON</v>
      </c>
      <c r="I1124" s="83"/>
      <c r="J1124" s="80"/>
      <c r="K1124" s="81"/>
      <c r="L1124" s="81"/>
      <c r="M1124" s="81"/>
      <c r="N1124" s="84" t="str">
        <f aca="false">IF(C1124="","",IF(P1124="","NJ INCONNU",IF(I1124="",IF(H1124="OUI","À ENROBER",IF(G1124="À SOUDER","NON SOUDÉ","EN ATTENTE RT")),IF(L1124="R","À REPRENDRE",IF(H1124&lt;&gt;"OUI","⚠ ENROBÉ AVANT ACCEPTATION RT","ENROBÉ")))))</f>
        <v>EN ATTENTE RT</v>
      </c>
      <c r="O1124" s="80"/>
      <c r="P1124" s="82" t="n">
        <f aca="false">IF(C1124="","",IFERROR(MATCH(Q1124,'CARNET DE SOUDURE'!$AW$7:$AW$3006,0),""))</f>
        <v>1118</v>
      </c>
      <c r="Q1124" s="82" t="str">
        <f aca="false">IF(C1124="","",B1124&amp;"|"&amp;C1124)</f>
        <v>MFD-ISW → MFD-CPF|JN°983</v>
      </c>
    </row>
    <row r="1125" customFormat="false" ht="74.6" hidden="false" customHeight="false" outlineLevel="0" collapsed="false">
      <c r="A1125" s="82" t="n">
        <f aca="false">IF(C1125="","",ROW()-6)</f>
        <v>1119</v>
      </c>
      <c r="B1125" s="80" t="s">
        <v>110</v>
      </c>
      <c r="C1125" s="113" t="s">
        <v>1341</v>
      </c>
      <c r="D1125" s="82" t="str">
        <f aca="false">IF(OR(C1125="",P1125=""),"",INDEX('CARNET DE SOUDURE'!$D$7:$D$3006,P1125)&amp;"")</f>
        <v>8</v>
      </c>
      <c r="E1125" s="114" t="n">
        <f aca="false">IF(OR(C1125="",P1125=""),"",IF(INDEX('CARNET DE SOUDURE'!$U$7:$U$3006,P1125)="","",INDEX('CARNET DE SOUDURE'!$U$7:$U$3006,P1125)))</f>
        <v>46279</v>
      </c>
      <c r="F1125" s="82" t="str">
        <f aca="false">IF(OR(C1125="",P1125=""),"",INDEX('CARNET DE SOUDURE'!$AP$7:$AP$3006,P1125))</f>
        <v>A</v>
      </c>
      <c r="G1125" s="82" t="str">
        <f aca="false">IF(C1125="","",IF(P1125="","NJ INCONNU",INDEX('CARNET DE SOUDURE'!$AQ$7:$AQ$3006,P1125)))</f>
        <v>ACCEPTÉ</v>
      </c>
      <c r="H1125" s="82" t="str">
        <f aca="false">IF(C1125="","",IF(G1125="ACCEPTÉ","OUI","NON"))</f>
        <v>OUI</v>
      </c>
      <c r="I1125" s="83"/>
      <c r="J1125" s="80"/>
      <c r="K1125" s="81"/>
      <c r="L1125" s="81"/>
      <c r="M1125" s="81"/>
      <c r="N1125" s="84" t="str">
        <f aca="false">IF(C1125="","",IF(P1125="","NJ INCONNU",IF(I1125="",IF(H1125="OUI","À ENROBER",IF(G1125="À SOUDER","NON SOUDÉ","EN ATTENTE RT")),IF(L1125="R","À REPRENDRE",IF(H1125&lt;&gt;"OUI","⚠ ENROBÉ AVANT ACCEPTATION RT","ENROBÉ")))))</f>
        <v>À ENROBER</v>
      </c>
      <c r="O1125" s="80"/>
      <c r="P1125" s="82" t="n">
        <f aca="false">IF(C1125="","",IFERROR(MATCH(Q1125,'CARNET DE SOUDURE'!$AW$7:$AW$3006,0),""))</f>
        <v>1119</v>
      </c>
      <c r="Q1125" s="82" t="str">
        <f aca="false">IF(C1125="","",B1125&amp;"|"&amp;C1125)</f>
        <v>MFD-ISW → MFD-CPF|DJ°375</v>
      </c>
    </row>
    <row r="1126" customFormat="false" ht="74.6" hidden="false" customHeight="false" outlineLevel="0" collapsed="false">
      <c r="A1126" s="82" t="n">
        <f aca="false">IF(C1126="","",ROW()-6)</f>
        <v>1120</v>
      </c>
      <c r="B1126" s="80" t="s">
        <v>110</v>
      </c>
      <c r="C1126" s="113" t="s">
        <v>1342</v>
      </c>
      <c r="D1126" s="82" t="str">
        <f aca="false">IF(OR(C1126="",P1126=""),"",INDEX('CARNET DE SOUDURE'!$D$7:$D$3006,P1126)&amp;"")</f>
        <v>8</v>
      </c>
      <c r="E1126" s="114" t="n">
        <f aca="false">IF(OR(C1126="",P1126=""),"",IF(INDEX('CARNET DE SOUDURE'!$U$7:$U$3006,P1126)="","",INDEX('CARNET DE SOUDURE'!$U$7:$U$3006,P1126)))</f>
        <v>46280</v>
      </c>
      <c r="F1126" s="82" t="str">
        <f aca="false">IF(OR(C1126="",P1126=""),"",INDEX('CARNET DE SOUDURE'!$AP$7:$AP$3006,P1126))</f>
        <v>R</v>
      </c>
      <c r="G1126" s="82" t="str">
        <f aca="false">IF(C1126="","",IF(P1126="","NJ INCONNU",INDEX('CARNET DE SOUDURE'!$AQ$7:$AQ$3006,P1126)))</f>
        <v>À RÉPARER</v>
      </c>
      <c r="H1126" s="82" t="str">
        <f aca="false">IF(C1126="","",IF(G1126="ACCEPTÉ","OUI","NON"))</f>
        <v>NON</v>
      </c>
      <c r="I1126" s="83"/>
      <c r="J1126" s="80"/>
      <c r="K1126" s="81"/>
      <c r="L1126" s="81"/>
      <c r="M1126" s="81"/>
      <c r="N1126" s="84" t="str">
        <f aca="false">IF(C1126="","",IF(P1126="","NJ INCONNU",IF(I1126="",IF(H1126="OUI","À ENROBER",IF(G1126="À SOUDER","NON SOUDÉ","EN ATTENTE RT")),IF(L1126="R","À REPRENDRE",IF(H1126&lt;&gt;"OUI","⚠ ENROBÉ AVANT ACCEPTATION RT","ENROBÉ")))))</f>
        <v>EN ATTENTE RT</v>
      </c>
      <c r="O1126" s="80"/>
      <c r="P1126" s="82" t="n">
        <f aca="false">IF(C1126="","",IFERROR(MATCH(Q1126,'CARNET DE SOUDURE'!$AW$7:$AW$3006,0),""))</f>
        <v>1120</v>
      </c>
      <c r="Q1126" s="82" t="str">
        <f aca="false">IF(C1126="","",B1126&amp;"|"&amp;C1126)</f>
        <v>MFD-ISW → MFD-CPF|JN°984</v>
      </c>
    </row>
    <row r="1127" customFormat="false" ht="74.6" hidden="false" customHeight="false" outlineLevel="0" collapsed="false">
      <c r="A1127" s="82" t="n">
        <f aca="false">IF(C1127="","",ROW()-6)</f>
        <v>1121</v>
      </c>
      <c r="B1127" s="80" t="s">
        <v>110</v>
      </c>
      <c r="C1127" s="113" t="s">
        <v>1344</v>
      </c>
      <c r="D1127" s="82" t="str">
        <f aca="false">IF(OR(C1127="",P1127=""),"",INDEX('CARNET DE SOUDURE'!$D$7:$D$3006,P1127)&amp;"")</f>
        <v>8</v>
      </c>
      <c r="E1127" s="114" t="n">
        <f aca="false">IF(OR(C1127="",P1127=""),"",IF(INDEX('CARNET DE SOUDURE'!$U$7:$U$3006,P1127)="","",INDEX('CARNET DE SOUDURE'!$U$7:$U$3006,P1127)))</f>
        <v>46279</v>
      </c>
      <c r="F1127" s="82" t="str">
        <f aca="false">IF(OR(C1127="",P1127=""),"",INDEX('CARNET DE SOUDURE'!$AP$7:$AP$3006,P1127))</f>
        <v>A</v>
      </c>
      <c r="G1127" s="82" t="str">
        <f aca="false">IF(C1127="","",IF(P1127="","NJ INCONNU",INDEX('CARNET DE SOUDURE'!$AQ$7:$AQ$3006,P1127)))</f>
        <v>ACCEPTÉ</v>
      </c>
      <c r="H1127" s="82" t="str">
        <f aca="false">IF(C1127="","",IF(G1127="ACCEPTÉ","OUI","NON"))</f>
        <v>OUI</v>
      </c>
      <c r="I1127" s="83"/>
      <c r="J1127" s="80"/>
      <c r="K1127" s="81"/>
      <c r="L1127" s="81"/>
      <c r="M1127" s="81"/>
      <c r="N1127" s="84" t="str">
        <f aca="false">IF(C1127="","",IF(P1127="","NJ INCONNU",IF(I1127="",IF(H1127="OUI","À ENROBER",IF(G1127="À SOUDER","NON SOUDÉ","EN ATTENTE RT")),IF(L1127="R","À REPRENDRE",IF(H1127&lt;&gt;"OUI","⚠ ENROBÉ AVANT ACCEPTATION RT","ENROBÉ")))))</f>
        <v>À ENROBER</v>
      </c>
      <c r="O1127" s="80"/>
      <c r="P1127" s="82" t="n">
        <f aca="false">IF(C1127="","",IFERROR(MATCH(Q1127,'CARNET DE SOUDURE'!$AW$7:$AW$3006,0),""))</f>
        <v>1121</v>
      </c>
      <c r="Q1127" s="82" t="str">
        <f aca="false">IF(C1127="","",B1127&amp;"|"&amp;C1127)</f>
        <v>MFD-ISW → MFD-CPF|DJ°379</v>
      </c>
    </row>
    <row r="1128" customFormat="false" ht="74.6" hidden="false" customHeight="false" outlineLevel="0" collapsed="false">
      <c r="A1128" s="82" t="n">
        <f aca="false">IF(C1128="","",ROW()-6)</f>
        <v>1122</v>
      </c>
      <c r="B1128" s="80" t="s">
        <v>110</v>
      </c>
      <c r="C1128" s="113" t="s">
        <v>1345</v>
      </c>
      <c r="D1128" s="82" t="str">
        <f aca="false">IF(OR(C1128="",P1128=""),"",INDEX('CARNET DE SOUDURE'!$D$7:$D$3006,P1128)&amp;"")</f>
        <v>8</v>
      </c>
      <c r="E1128" s="114" t="n">
        <f aca="false">IF(OR(C1128="",P1128=""),"",IF(INDEX('CARNET DE SOUDURE'!$U$7:$U$3006,P1128)="","",INDEX('CARNET DE SOUDURE'!$U$7:$U$3006,P1128)))</f>
        <v>46280</v>
      </c>
      <c r="F1128" s="82" t="str">
        <f aca="false">IF(OR(C1128="",P1128=""),"",INDEX('CARNET DE SOUDURE'!$AP$7:$AP$3006,P1128))</f>
        <v>R</v>
      </c>
      <c r="G1128" s="82" t="str">
        <f aca="false">IF(C1128="","",IF(P1128="","NJ INCONNU",INDEX('CARNET DE SOUDURE'!$AQ$7:$AQ$3006,P1128)))</f>
        <v>À RÉPARER</v>
      </c>
      <c r="H1128" s="82" t="str">
        <f aca="false">IF(C1128="","",IF(G1128="ACCEPTÉ","OUI","NON"))</f>
        <v>NON</v>
      </c>
      <c r="I1128" s="83"/>
      <c r="J1128" s="80"/>
      <c r="K1128" s="81"/>
      <c r="L1128" s="81"/>
      <c r="M1128" s="81"/>
      <c r="N1128" s="84" t="str">
        <f aca="false">IF(C1128="","",IF(P1128="","NJ INCONNU",IF(I1128="",IF(H1128="OUI","À ENROBER",IF(G1128="À SOUDER","NON SOUDÉ","EN ATTENTE RT")),IF(L1128="R","À REPRENDRE",IF(H1128&lt;&gt;"OUI","⚠ ENROBÉ AVANT ACCEPTATION RT","ENROBÉ")))))</f>
        <v>EN ATTENTE RT</v>
      </c>
      <c r="O1128" s="80"/>
      <c r="P1128" s="82" t="n">
        <f aca="false">IF(C1128="","",IFERROR(MATCH(Q1128,'CARNET DE SOUDURE'!$AW$7:$AW$3006,0),""))</f>
        <v>1122</v>
      </c>
      <c r="Q1128" s="82" t="str">
        <f aca="false">IF(C1128="","",B1128&amp;"|"&amp;C1128)</f>
        <v>MFD-ISW → MFD-CPF|JN°985</v>
      </c>
    </row>
    <row r="1129" customFormat="false" ht="74.6" hidden="false" customHeight="false" outlineLevel="0" collapsed="false">
      <c r="A1129" s="82" t="n">
        <f aca="false">IF(C1129="","",ROW()-6)</f>
        <v>1123</v>
      </c>
      <c r="B1129" s="80" t="s">
        <v>110</v>
      </c>
      <c r="C1129" s="113" t="s">
        <v>1347</v>
      </c>
      <c r="D1129" s="82" t="str">
        <f aca="false">IF(OR(C1129="",P1129=""),"",INDEX('CARNET DE SOUDURE'!$D$7:$D$3006,P1129)&amp;"")</f>
        <v>8</v>
      </c>
      <c r="E1129" s="114" t="n">
        <f aca="false">IF(OR(C1129="",P1129=""),"",IF(INDEX('CARNET DE SOUDURE'!$U$7:$U$3006,P1129)="","",INDEX('CARNET DE SOUDURE'!$U$7:$U$3006,P1129)))</f>
        <v>46279</v>
      </c>
      <c r="F1129" s="82" t="str">
        <f aca="false">IF(OR(C1129="",P1129=""),"",INDEX('CARNET DE SOUDURE'!$AP$7:$AP$3006,P1129))</f>
        <v>A</v>
      </c>
      <c r="G1129" s="82" t="str">
        <f aca="false">IF(C1129="","",IF(P1129="","NJ INCONNU",INDEX('CARNET DE SOUDURE'!$AQ$7:$AQ$3006,P1129)))</f>
        <v>ACCEPTÉ</v>
      </c>
      <c r="H1129" s="82" t="str">
        <f aca="false">IF(C1129="","",IF(G1129="ACCEPTÉ","OUI","NON"))</f>
        <v>OUI</v>
      </c>
      <c r="I1129" s="83"/>
      <c r="J1129" s="80"/>
      <c r="K1129" s="81"/>
      <c r="L1129" s="81"/>
      <c r="M1129" s="81"/>
      <c r="N1129" s="84" t="str">
        <f aca="false">IF(C1129="","",IF(P1129="","NJ INCONNU",IF(I1129="",IF(H1129="OUI","À ENROBER",IF(G1129="À SOUDER","NON SOUDÉ","EN ATTENTE RT")),IF(L1129="R","À REPRENDRE",IF(H1129&lt;&gt;"OUI","⚠ ENROBÉ AVANT ACCEPTATION RT","ENROBÉ")))))</f>
        <v>À ENROBER</v>
      </c>
      <c r="O1129" s="80"/>
      <c r="P1129" s="82" t="n">
        <f aca="false">IF(C1129="","",IFERROR(MATCH(Q1129,'CARNET DE SOUDURE'!$AW$7:$AW$3006,0),""))</f>
        <v>1123</v>
      </c>
      <c r="Q1129" s="82" t="str">
        <f aca="false">IF(C1129="","",B1129&amp;"|"&amp;C1129)</f>
        <v>MFD-ISW → MFD-CPF|DJ°376</v>
      </c>
    </row>
    <row r="1130" customFormat="false" ht="74.6" hidden="false" customHeight="false" outlineLevel="0" collapsed="false">
      <c r="A1130" s="82" t="n">
        <f aca="false">IF(C1130="","",ROW()-6)</f>
        <v>1124</v>
      </c>
      <c r="B1130" s="80" t="s">
        <v>110</v>
      </c>
      <c r="C1130" s="113" t="s">
        <v>1348</v>
      </c>
      <c r="D1130" s="82" t="str">
        <f aca="false">IF(OR(C1130="",P1130=""),"",INDEX('CARNET DE SOUDURE'!$D$7:$D$3006,P1130)&amp;"")</f>
        <v>8</v>
      </c>
      <c r="E1130" s="114" t="str">
        <f aca="false">IF(OR(C1130="",P1130=""),"",IF(INDEX('CARNET DE SOUDURE'!$U$7:$U$3006,P1130)="","",INDEX('CARNET DE SOUDURE'!$U$7:$U$3006,P1130)))</f>
        <v/>
      </c>
      <c r="F1130" s="82" t="str">
        <f aca="false">IF(OR(C1130="",P1130=""),"",INDEX('CARNET DE SOUDURE'!$AP$7:$AP$3006,P1130))</f>
        <v/>
      </c>
      <c r="G1130" s="82" t="str">
        <f aca="false">IF(C1130="","",IF(P1130="","NJ INCONNU",INDEX('CARNET DE SOUDURE'!$AQ$7:$AQ$3006,P1130)))</f>
        <v>À SOUDER</v>
      </c>
      <c r="H1130" s="82" t="str">
        <f aca="false">IF(C1130="","",IF(G1130="ACCEPTÉ","OUI","NON"))</f>
        <v>NON</v>
      </c>
      <c r="I1130" s="83"/>
      <c r="J1130" s="80"/>
      <c r="K1130" s="81"/>
      <c r="L1130" s="81"/>
      <c r="M1130" s="81"/>
      <c r="N1130" s="84" t="str">
        <f aca="false">IF(C1130="","",IF(P1130="","NJ INCONNU",IF(I1130="",IF(H1130="OUI","À ENROBER",IF(G1130="À SOUDER","NON SOUDÉ","EN ATTENTE RT")),IF(L1130="R","À REPRENDRE",IF(H1130&lt;&gt;"OUI","⚠ ENROBÉ AVANT ACCEPTATION RT","ENROBÉ")))))</f>
        <v>NON SOUDÉ</v>
      </c>
      <c r="O1130" s="80"/>
      <c r="P1130" s="82" t="n">
        <f aca="false">IF(C1130="","",IFERROR(MATCH(Q1130,'CARNET DE SOUDURE'!$AW$7:$AW$3006,0),""))</f>
        <v>1124</v>
      </c>
      <c r="Q1130" s="82" t="str">
        <f aca="false">IF(C1130="","",B1130&amp;"|"&amp;C1130)</f>
        <v>MFD-ISW → MFD-CPF|JN°986</v>
      </c>
    </row>
    <row r="1131" customFormat="false" ht="74.6" hidden="false" customHeight="false" outlineLevel="0" collapsed="false">
      <c r="A1131" s="82" t="n">
        <f aca="false">IF(C1131="","",ROW()-6)</f>
        <v>1125</v>
      </c>
      <c r="B1131" s="80" t="s">
        <v>110</v>
      </c>
      <c r="C1131" s="113" t="s">
        <v>1349</v>
      </c>
      <c r="D1131" s="82" t="str">
        <f aca="false">IF(OR(C1131="",P1131=""),"",INDEX('CARNET DE SOUDURE'!$D$7:$D$3006,P1131)&amp;"")</f>
        <v>8</v>
      </c>
      <c r="E1131" s="114" t="str">
        <f aca="false">IF(OR(C1131="",P1131=""),"",IF(INDEX('CARNET DE SOUDURE'!$U$7:$U$3006,P1131)="","",INDEX('CARNET DE SOUDURE'!$U$7:$U$3006,P1131)))</f>
        <v/>
      </c>
      <c r="F1131" s="82" t="str">
        <f aca="false">IF(OR(C1131="",P1131=""),"",INDEX('CARNET DE SOUDURE'!$AP$7:$AP$3006,P1131))</f>
        <v/>
      </c>
      <c r="G1131" s="82" t="str">
        <f aca="false">IF(C1131="","",IF(P1131="","NJ INCONNU",INDEX('CARNET DE SOUDURE'!$AQ$7:$AQ$3006,P1131)))</f>
        <v>À SOUDER</v>
      </c>
      <c r="H1131" s="82" t="str">
        <f aca="false">IF(C1131="","",IF(G1131="ACCEPTÉ","OUI","NON"))</f>
        <v>NON</v>
      </c>
      <c r="I1131" s="83"/>
      <c r="J1131" s="80"/>
      <c r="K1131" s="81"/>
      <c r="L1131" s="81"/>
      <c r="M1131" s="81"/>
      <c r="N1131" s="84" t="str">
        <f aca="false">IF(C1131="","",IF(P1131="","NJ INCONNU",IF(I1131="",IF(H1131="OUI","À ENROBER",IF(G1131="À SOUDER","NON SOUDÉ","EN ATTENTE RT")),IF(L1131="R","À REPRENDRE",IF(H1131&lt;&gt;"OUI","⚠ ENROBÉ AVANT ACCEPTATION RT","ENROBÉ")))))</f>
        <v>NON SOUDÉ</v>
      </c>
      <c r="O1131" s="80"/>
      <c r="P1131" s="82" t="n">
        <f aca="false">IF(C1131="","",IFERROR(MATCH(Q1131,'CARNET DE SOUDURE'!$AW$7:$AW$3006,0),""))</f>
        <v>1125</v>
      </c>
      <c r="Q1131" s="82" t="str">
        <f aca="false">IF(C1131="","",B1131&amp;"|"&amp;C1131)</f>
        <v>MFD-ISW → MFD-CPF|JN°987</v>
      </c>
    </row>
    <row r="1132" customFormat="false" ht="74.6" hidden="false" customHeight="false" outlineLevel="0" collapsed="false">
      <c r="A1132" s="82" t="n">
        <f aca="false">IF(C1132="","",ROW()-6)</f>
        <v>1126</v>
      </c>
      <c r="B1132" s="80" t="s">
        <v>110</v>
      </c>
      <c r="C1132" s="113" t="s">
        <v>1350</v>
      </c>
      <c r="D1132" s="82" t="str">
        <f aca="false">IF(OR(C1132="",P1132=""),"",INDEX('CARNET DE SOUDURE'!$D$7:$D$3006,P1132)&amp;"")</f>
        <v>8</v>
      </c>
      <c r="E1132" s="114" t="str">
        <f aca="false">IF(OR(C1132="",P1132=""),"",IF(INDEX('CARNET DE SOUDURE'!$U$7:$U$3006,P1132)="","",INDEX('CARNET DE SOUDURE'!$U$7:$U$3006,P1132)))</f>
        <v/>
      </c>
      <c r="F1132" s="82" t="str">
        <f aca="false">IF(OR(C1132="",P1132=""),"",INDEX('CARNET DE SOUDURE'!$AP$7:$AP$3006,P1132))</f>
        <v/>
      </c>
      <c r="G1132" s="82" t="str">
        <f aca="false">IF(C1132="","",IF(P1132="","NJ INCONNU",INDEX('CARNET DE SOUDURE'!$AQ$7:$AQ$3006,P1132)))</f>
        <v>À SOUDER</v>
      </c>
      <c r="H1132" s="82" t="str">
        <f aca="false">IF(C1132="","",IF(G1132="ACCEPTÉ","OUI","NON"))</f>
        <v>NON</v>
      </c>
      <c r="I1132" s="83"/>
      <c r="J1132" s="80"/>
      <c r="K1132" s="81"/>
      <c r="L1132" s="81"/>
      <c r="M1132" s="81"/>
      <c r="N1132" s="84" t="str">
        <f aca="false">IF(C1132="","",IF(P1132="","NJ INCONNU",IF(I1132="",IF(H1132="OUI","À ENROBER",IF(G1132="À SOUDER","NON SOUDÉ","EN ATTENTE RT")),IF(L1132="R","À REPRENDRE",IF(H1132&lt;&gt;"OUI","⚠ ENROBÉ AVANT ACCEPTATION RT","ENROBÉ")))))</f>
        <v>NON SOUDÉ</v>
      </c>
      <c r="O1132" s="80"/>
      <c r="P1132" s="82" t="n">
        <f aca="false">IF(C1132="","",IFERROR(MATCH(Q1132,'CARNET DE SOUDURE'!$AW$7:$AW$3006,0),""))</f>
        <v>1126</v>
      </c>
      <c r="Q1132" s="82" t="str">
        <f aca="false">IF(C1132="","",B1132&amp;"|"&amp;C1132)</f>
        <v>MFD-ISW → MFD-CPF|JN°988</v>
      </c>
    </row>
    <row r="1133" customFormat="false" ht="74.6" hidden="false" customHeight="false" outlineLevel="0" collapsed="false">
      <c r="A1133" s="82" t="n">
        <f aca="false">IF(C1133="","",ROW()-6)</f>
        <v>1127</v>
      </c>
      <c r="B1133" s="80" t="s">
        <v>110</v>
      </c>
      <c r="C1133" s="113" t="s">
        <v>1351</v>
      </c>
      <c r="D1133" s="82" t="str">
        <f aca="false">IF(OR(C1133="",P1133=""),"",INDEX('CARNET DE SOUDURE'!$D$7:$D$3006,P1133)&amp;"")</f>
        <v>8</v>
      </c>
      <c r="E1133" s="114" t="str">
        <f aca="false">IF(OR(C1133="",P1133=""),"",IF(INDEX('CARNET DE SOUDURE'!$U$7:$U$3006,P1133)="","",INDEX('CARNET DE SOUDURE'!$U$7:$U$3006,P1133)))</f>
        <v/>
      </c>
      <c r="F1133" s="82" t="str">
        <f aca="false">IF(OR(C1133="",P1133=""),"",INDEX('CARNET DE SOUDURE'!$AP$7:$AP$3006,P1133))</f>
        <v/>
      </c>
      <c r="G1133" s="82" t="str">
        <f aca="false">IF(C1133="","",IF(P1133="","NJ INCONNU",INDEX('CARNET DE SOUDURE'!$AQ$7:$AQ$3006,P1133)))</f>
        <v>À SOUDER</v>
      </c>
      <c r="H1133" s="82" t="str">
        <f aca="false">IF(C1133="","",IF(G1133="ACCEPTÉ","OUI","NON"))</f>
        <v>NON</v>
      </c>
      <c r="I1133" s="83"/>
      <c r="J1133" s="80"/>
      <c r="K1133" s="81"/>
      <c r="L1133" s="81"/>
      <c r="M1133" s="81"/>
      <c r="N1133" s="84" t="str">
        <f aca="false">IF(C1133="","",IF(P1133="","NJ INCONNU",IF(I1133="",IF(H1133="OUI","À ENROBER",IF(G1133="À SOUDER","NON SOUDÉ","EN ATTENTE RT")),IF(L1133="R","À REPRENDRE",IF(H1133&lt;&gt;"OUI","⚠ ENROBÉ AVANT ACCEPTATION RT","ENROBÉ")))))</f>
        <v>NON SOUDÉ</v>
      </c>
      <c r="O1133" s="80"/>
      <c r="P1133" s="82" t="n">
        <f aca="false">IF(C1133="","",IFERROR(MATCH(Q1133,'CARNET DE SOUDURE'!$AW$7:$AW$3006,0),""))</f>
        <v>1127</v>
      </c>
      <c r="Q1133" s="82" t="str">
        <f aca="false">IF(C1133="","",B1133&amp;"|"&amp;C1133)</f>
        <v>MFD-ISW → MFD-CPF|JN°989</v>
      </c>
    </row>
    <row r="1134" customFormat="false" ht="74.6" hidden="false" customHeight="false" outlineLevel="0" collapsed="false">
      <c r="A1134" s="82" t="n">
        <f aca="false">IF(C1134="","",ROW()-6)</f>
        <v>1128</v>
      </c>
      <c r="B1134" s="80" t="s">
        <v>110</v>
      </c>
      <c r="C1134" s="113" t="s">
        <v>1353</v>
      </c>
      <c r="D1134" s="82" t="str">
        <f aca="false">IF(OR(C1134="",P1134=""),"",INDEX('CARNET DE SOUDURE'!$D$7:$D$3006,P1134)&amp;"")</f>
        <v>8</v>
      </c>
      <c r="E1134" s="114" t="n">
        <f aca="false">IF(OR(C1134="",P1134=""),"",IF(INDEX('CARNET DE SOUDURE'!$U$7:$U$3006,P1134)="","",INDEX('CARNET DE SOUDURE'!$U$7:$U$3006,P1134)))</f>
        <v>46280</v>
      </c>
      <c r="F1134" s="82" t="str">
        <f aca="false">IF(OR(C1134="",P1134=""),"",INDEX('CARNET DE SOUDURE'!$AP$7:$AP$3006,P1134))</f>
        <v>A</v>
      </c>
      <c r="G1134" s="82" t="str">
        <f aca="false">IF(C1134="","",IF(P1134="","NJ INCONNU",INDEX('CARNET DE SOUDURE'!$AQ$7:$AQ$3006,P1134)))</f>
        <v>ACCEPTÉ</v>
      </c>
      <c r="H1134" s="82" t="str">
        <f aca="false">IF(C1134="","",IF(G1134="ACCEPTÉ","OUI","NON"))</f>
        <v>OUI</v>
      </c>
      <c r="I1134" s="83"/>
      <c r="J1134" s="80"/>
      <c r="K1134" s="81"/>
      <c r="L1134" s="81"/>
      <c r="M1134" s="81"/>
      <c r="N1134" s="84" t="str">
        <f aca="false">IF(C1134="","",IF(P1134="","NJ INCONNU",IF(I1134="",IF(H1134="OUI","À ENROBER",IF(G1134="À SOUDER","NON SOUDÉ","EN ATTENTE RT")),IF(L1134="R","À REPRENDRE",IF(H1134&lt;&gt;"OUI","⚠ ENROBÉ AVANT ACCEPTATION RT","ENROBÉ")))))</f>
        <v>À ENROBER</v>
      </c>
      <c r="O1134" s="80"/>
      <c r="P1134" s="82" t="n">
        <f aca="false">IF(C1134="","",IFERROR(MATCH(Q1134,'CARNET DE SOUDURE'!$AW$7:$AW$3006,0),""))</f>
        <v>1128</v>
      </c>
      <c r="Q1134" s="82" t="str">
        <f aca="false">IF(C1134="","",B1134&amp;"|"&amp;C1134)</f>
        <v>MFD-ISW → MFD-CPF|JN°990</v>
      </c>
    </row>
    <row r="1135" customFormat="false" ht="74.6" hidden="false" customHeight="false" outlineLevel="0" collapsed="false">
      <c r="A1135" s="82" t="n">
        <f aca="false">IF(C1135="","",ROW()-6)</f>
        <v>1129</v>
      </c>
      <c r="B1135" s="80" t="s">
        <v>110</v>
      </c>
      <c r="C1135" s="113" t="s">
        <v>1355</v>
      </c>
      <c r="D1135" s="82" t="str">
        <f aca="false">IF(OR(C1135="",P1135=""),"",INDEX('CARNET DE SOUDURE'!$D$7:$D$3006,P1135)&amp;"")</f>
        <v>8</v>
      </c>
      <c r="E1135" s="114" t="n">
        <f aca="false">IF(OR(C1135="",P1135=""),"",IF(INDEX('CARNET DE SOUDURE'!$U$7:$U$3006,P1135)="","",INDEX('CARNET DE SOUDURE'!$U$7:$U$3006,P1135)))</f>
        <v>46280</v>
      </c>
      <c r="F1135" s="82" t="str">
        <f aca="false">IF(OR(C1135="",P1135=""),"",INDEX('CARNET DE SOUDURE'!$AP$7:$AP$3006,P1135))</f>
        <v>A</v>
      </c>
      <c r="G1135" s="82" t="str">
        <f aca="false">IF(C1135="","",IF(P1135="","NJ INCONNU",INDEX('CARNET DE SOUDURE'!$AQ$7:$AQ$3006,P1135)))</f>
        <v>ACCEPTÉ</v>
      </c>
      <c r="H1135" s="82" t="str">
        <f aca="false">IF(C1135="","",IF(G1135="ACCEPTÉ","OUI","NON"))</f>
        <v>OUI</v>
      </c>
      <c r="I1135" s="83"/>
      <c r="J1135" s="80"/>
      <c r="K1135" s="81"/>
      <c r="L1135" s="81"/>
      <c r="M1135" s="81"/>
      <c r="N1135" s="84" t="str">
        <f aca="false">IF(C1135="","",IF(P1135="","NJ INCONNU",IF(I1135="",IF(H1135="OUI","À ENROBER",IF(G1135="À SOUDER","NON SOUDÉ","EN ATTENTE RT")),IF(L1135="R","À REPRENDRE",IF(H1135&lt;&gt;"OUI","⚠ ENROBÉ AVANT ACCEPTATION RT","ENROBÉ")))))</f>
        <v>À ENROBER</v>
      </c>
      <c r="O1135" s="80"/>
      <c r="P1135" s="82" t="n">
        <f aca="false">IF(C1135="","",IFERROR(MATCH(Q1135,'CARNET DE SOUDURE'!$AW$7:$AW$3006,0),""))</f>
        <v>1129</v>
      </c>
      <c r="Q1135" s="82" t="str">
        <f aca="false">IF(C1135="","",B1135&amp;"|"&amp;C1135)</f>
        <v>MFD-ISW → MFD-CPF|JN°991</v>
      </c>
    </row>
    <row r="1136" customFormat="false" ht="74.6" hidden="false" customHeight="false" outlineLevel="0" collapsed="false">
      <c r="A1136" s="82" t="n">
        <f aca="false">IF(C1136="","",ROW()-6)</f>
        <v>1130</v>
      </c>
      <c r="B1136" s="80" t="s">
        <v>110</v>
      </c>
      <c r="C1136" s="113" t="s">
        <v>1356</v>
      </c>
      <c r="D1136" s="82" t="str">
        <f aca="false">IF(OR(C1136="",P1136=""),"",INDEX('CARNET DE SOUDURE'!$D$7:$D$3006,P1136)&amp;"")</f>
        <v>8</v>
      </c>
      <c r="E1136" s="114" t="n">
        <f aca="false">IF(OR(C1136="",P1136=""),"",IF(INDEX('CARNET DE SOUDURE'!$U$7:$U$3006,P1136)="","",INDEX('CARNET DE SOUDURE'!$U$7:$U$3006,P1136)))</f>
        <v>46280</v>
      </c>
      <c r="F1136" s="82" t="str">
        <f aca="false">IF(OR(C1136="",P1136=""),"",INDEX('CARNET DE SOUDURE'!$AP$7:$AP$3006,P1136))</f>
        <v>A</v>
      </c>
      <c r="G1136" s="82" t="str">
        <f aca="false">IF(C1136="","",IF(P1136="","NJ INCONNU",INDEX('CARNET DE SOUDURE'!$AQ$7:$AQ$3006,P1136)))</f>
        <v>ACCEPTÉ</v>
      </c>
      <c r="H1136" s="82" t="str">
        <f aca="false">IF(C1136="","",IF(G1136="ACCEPTÉ","OUI","NON"))</f>
        <v>OUI</v>
      </c>
      <c r="I1136" s="83"/>
      <c r="J1136" s="80"/>
      <c r="K1136" s="81"/>
      <c r="L1136" s="81"/>
      <c r="M1136" s="81"/>
      <c r="N1136" s="84" t="str">
        <f aca="false">IF(C1136="","",IF(P1136="","NJ INCONNU",IF(I1136="",IF(H1136="OUI","À ENROBER",IF(G1136="À SOUDER","NON SOUDÉ","EN ATTENTE RT")),IF(L1136="R","À REPRENDRE",IF(H1136&lt;&gt;"OUI","⚠ ENROBÉ AVANT ACCEPTATION RT","ENROBÉ")))))</f>
        <v>À ENROBER</v>
      </c>
      <c r="O1136" s="80"/>
      <c r="P1136" s="82" t="n">
        <f aca="false">IF(C1136="","",IFERROR(MATCH(Q1136,'CARNET DE SOUDURE'!$AW$7:$AW$3006,0),""))</f>
        <v>1130</v>
      </c>
      <c r="Q1136" s="82" t="str">
        <f aca="false">IF(C1136="","",B1136&amp;"|"&amp;C1136)</f>
        <v>MFD-ISW → MFD-CPF|JN°992</v>
      </c>
    </row>
    <row r="1137" customFormat="false" ht="74.6" hidden="false" customHeight="false" outlineLevel="0" collapsed="false">
      <c r="A1137" s="82" t="n">
        <f aca="false">IF(C1137="","",ROW()-6)</f>
        <v>1131</v>
      </c>
      <c r="B1137" s="80" t="s">
        <v>110</v>
      </c>
      <c r="C1137" s="113" t="s">
        <v>1357</v>
      </c>
      <c r="D1137" s="82" t="str">
        <f aca="false">IF(OR(C1137="",P1137=""),"",INDEX('CARNET DE SOUDURE'!$D$7:$D$3006,P1137)&amp;"")</f>
        <v>8</v>
      </c>
      <c r="E1137" s="114" t="n">
        <f aca="false">IF(OR(C1137="",P1137=""),"",IF(INDEX('CARNET DE SOUDURE'!$U$7:$U$3006,P1137)="","",INDEX('CARNET DE SOUDURE'!$U$7:$U$3006,P1137)))</f>
        <v>46280</v>
      </c>
      <c r="F1137" s="82" t="str">
        <f aca="false">IF(OR(C1137="",P1137=""),"",INDEX('CARNET DE SOUDURE'!$AP$7:$AP$3006,P1137))</f>
        <v>A</v>
      </c>
      <c r="G1137" s="82" t="str">
        <f aca="false">IF(C1137="","",IF(P1137="","NJ INCONNU",INDEX('CARNET DE SOUDURE'!$AQ$7:$AQ$3006,P1137)))</f>
        <v>ACCEPTÉ</v>
      </c>
      <c r="H1137" s="82" t="str">
        <f aca="false">IF(C1137="","",IF(G1137="ACCEPTÉ","OUI","NON"))</f>
        <v>OUI</v>
      </c>
      <c r="I1137" s="83"/>
      <c r="J1137" s="80"/>
      <c r="K1137" s="81"/>
      <c r="L1137" s="81"/>
      <c r="M1137" s="81"/>
      <c r="N1137" s="84" t="str">
        <f aca="false">IF(C1137="","",IF(P1137="","NJ INCONNU",IF(I1137="",IF(H1137="OUI","À ENROBER",IF(G1137="À SOUDER","NON SOUDÉ","EN ATTENTE RT")),IF(L1137="R","À REPRENDRE",IF(H1137&lt;&gt;"OUI","⚠ ENROBÉ AVANT ACCEPTATION RT","ENROBÉ")))))</f>
        <v>À ENROBER</v>
      </c>
      <c r="O1137" s="80"/>
      <c r="P1137" s="82" t="n">
        <f aca="false">IF(C1137="","",IFERROR(MATCH(Q1137,'CARNET DE SOUDURE'!$AW$7:$AW$3006,0),""))</f>
        <v>1131</v>
      </c>
      <c r="Q1137" s="82" t="str">
        <f aca="false">IF(C1137="","",B1137&amp;"|"&amp;C1137)</f>
        <v>MFD-ISW → MFD-CPF|JN°993</v>
      </c>
    </row>
    <row r="1138" customFormat="false" ht="74.6" hidden="false" customHeight="false" outlineLevel="0" collapsed="false">
      <c r="A1138" s="82" t="n">
        <f aca="false">IF(C1138="","",ROW()-6)</f>
        <v>1132</v>
      </c>
      <c r="B1138" s="80" t="s">
        <v>110</v>
      </c>
      <c r="C1138" s="113" t="s">
        <v>1358</v>
      </c>
      <c r="D1138" s="82" t="str">
        <f aca="false">IF(OR(C1138="",P1138=""),"",INDEX('CARNET DE SOUDURE'!$D$7:$D$3006,P1138)&amp;"")</f>
        <v>8</v>
      </c>
      <c r="E1138" s="114" t="n">
        <f aca="false">IF(OR(C1138="",P1138=""),"",IF(INDEX('CARNET DE SOUDURE'!$U$7:$U$3006,P1138)="","",INDEX('CARNET DE SOUDURE'!$U$7:$U$3006,P1138)))</f>
        <v>46280</v>
      </c>
      <c r="F1138" s="82" t="str">
        <f aca="false">IF(OR(C1138="",P1138=""),"",INDEX('CARNET DE SOUDURE'!$AP$7:$AP$3006,P1138))</f>
        <v>R</v>
      </c>
      <c r="G1138" s="82" t="str">
        <f aca="false">IF(C1138="","",IF(P1138="","NJ INCONNU",INDEX('CARNET DE SOUDURE'!$AQ$7:$AQ$3006,P1138)))</f>
        <v>À RÉPARER</v>
      </c>
      <c r="H1138" s="82" t="str">
        <f aca="false">IF(C1138="","",IF(G1138="ACCEPTÉ","OUI","NON"))</f>
        <v>NON</v>
      </c>
      <c r="I1138" s="83"/>
      <c r="J1138" s="80"/>
      <c r="K1138" s="81"/>
      <c r="L1138" s="81"/>
      <c r="M1138" s="81"/>
      <c r="N1138" s="84" t="str">
        <f aca="false">IF(C1138="","",IF(P1138="","NJ INCONNU",IF(I1138="",IF(H1138="OUI","À ENROBER",IF(G1138="À SOUDER","NON SOUDÉ","EN ATTENTE RT")),IF(L1138="R","À REPRENDRE",IF(H1138&lt;&gt;"OUI","⚠ ENROBÉ AVANT ACCEPTATION RT","ENROBÉ")))))</f>
        <v>EN ATTENTE RT</v>
      </c>
      <c r="O1138" s="80"/>
      <c r="P1138" s="82" t="n">
        <f aca="false">IF(C1138="","",IFERROR(MATCH(Q1138,'CARNET DE SOUDURE'!$AW$7:$AW$3006,0),""))</f>
        <v>1132</v>
      </c>
      <c r="Q1138" s="82" t="str">
        <f aca="false">IF(C1138="","",B1138&amp;"|"&amp;C1138)</f>
        <v>MFD-ISW → MFD-CPF|JN°994</v>
      </c>
    </row>
    <row r="1139" customFormat="false" ht="74.6" hidden="false" customHeight="false" outlineLevel="0" collapsed="false">
      <c r="A1139" s="82" t="n">
        <f aca="false">IF(C1139="","",ROW()-6)</f>
        <v>1133</v>
      </c>
      <c r="B1139" s="80" t="s">
        <v>110</v>
      </c>
      <c r="C1139" s="113" t="s">
        <v>1360</v>
      </c>
      <c r="D1139" s="82" t="str">
        <f aca="false">IF(OR(C1139="",P1139=""),"",INDEX('CARNET DE SOUDURE'!$D$7:$D$3006,P1139)&amp;"")</f>
        <v>8</v>
      </c>
      <c r="E1139" s="114" t="n">
        <f aca="false">IF(OR(C1139="",P1139=""),"",IF(INDEX('CARNET DE SOUDURE'!$U$7:$U$3006,P1139)="","",INDEX('CARNET DE SOUDURE'!$U$7:$U$3006,P1139)))</f>
        <v>46279</v>
      </c>
      <c r="F1139" s="82" t="str">
        <f aca="false">IF(OR(C1139="",P1139=""),"",INDEX('CARNET DE SOUDURE'!$AP$7:$AP$3006,P1139))</f>
        <v>A</v>
      </c>
      <c r="G1139" s="82" t="str">
        <f aca="false">IF(C1139="","",IF(P1139="","NJ INCONNU",INDEX('CARNET DE SOUDURE'!$AQ$7:$AQ$3006,P1139)))</f>
        <v>ACCEPTÉ</v>
      </c>
      <c r="H1139" s="82" t="str">
        <f aca="false">IF(C1139="","",IF(G1139="ACCEPTÉ","OUI","NON"))</f>
        <v>OUI</v>
      </c>
      <c r="I1139" s="83"/>
      <c r="J1139" s="80"/>
      <c r="K1139" s="81"/>
      <c r="L1139" s="81"/>
      <c r="M1139" s="81"/>
      <c r="N1139" s="84" t="str">
        <f aca="false">IF(C1139="","",IF(P1139="","NJ INCONNU",IF(I1139="",IF(H1139="OUI","À ENROBER",IF(G1139="À SOUDER","NON SOUDÉ","EN ATTENTE RT")),IF(L1139="R","À REPRENDRE",IF(H1139&lt;&gt;"OUI","⚠ ENROBÉ AVANT ACCEPTATION RT","ENROBÉ")))))</f>
        <v>À ENROBER</v>
      </c>
      <c r="O1139" s="80"/>
      <c r="P1139" s="82" t="n">
        <f aca="false">IF(C1139="","",IFERROR(MATCH(Q1139,'CARNET DE SOUDURE'!$AW$7:$AW$3006,0),""))</f>
        <v>1133</v>
      </c>
      <c r="Q1139" s="82" t="str">
        <f aca="false">IF(C1139="","",B1139&amp;"|"&amp;C1139)</f>
        <v>MFD-ISW → MFD-CPF|DJ°380</v>
      </c>
    </row>
    <row r="1140" customFormat="false" ht="74.6" hidden="false" customHeight="false" outlineLevel="0" collapsed="false">
      <c r="A1140" s="82" t="n">
        <f aca="false">IF(C1140="","",ROW()-6)</f>
        <v>1134</v>
      </c>
      <c r="B1140" s="80" t="s">
        <v>110</v>
      </c>
      <c r="C1140" s="113" t="s">
        <v>1361</v>
      </c>
      <c r="D1140" s="82" t="str">
        <f aca="false">IF(OR(C1140="",P1140=""),"",INDEX('CARNET DE SOUDURE'!$D$7:$D$3006,P1140)&amp;"")</f>
        <v>8</v>
      </c>
      <c r="E1140" s="114" t="n">
        <f aca="false">IF(OR(C1140="",P1140=""),"",IF(INDEX('CARNET DE SOUDURE'!$U$7:$U$3006,P1140)="","",INDEX('CARNET DE SOUDURE'!$U$7:$U$3006,P1140)))</f>
        <v>46280</v>
      </c>
      <c r="F1140" s="82" t="str">
        <f aca="false">IF(OR(C1140="",P1140=""),"",INDEX('CARNET DE SOUDURE'!$AP$7:$AP$3006,P1140))</f>
        <v>A</v>
      </c>
      <c r="G1140" s="82" t="str">
        <f aca="false">IF(C1140="","",IF(P1140="","NJ INCONNU",INDEX('CARNET DE SOUDURE'!$AQ$7:$AQ$3006,P1140)))</f>
        <v>ACCEPTÉ</v>
      </c>
      <c r="H1140" s="82" t="str">
        <f aca="false">IF(C1140="","",IF(G1140="ACCEPTÉ","OUI","NON"))</f>
        <v>OUI</v>
      </c>
      <c r="I1140" s="83"/>
      <c r="J1140" s="80"/>
      <c r="K1140" s="81"/>
      <c r="L1140" s="81"/>
      <c r="M1140" s="81"/>
      <c r="N1140" s="84" t="str">
        <f aca="false">IF(C1140="","",IF(P1140="","NJ INCONNU",IF(I1140="",IF(H1140="OUI","À ENROBER",IF(G1140="À SOUDER","NON SOUDÉ","EN ATTENTE RT")),IF(L1140="R","À REPRENDRE",IF(H1140&lt;&gt;"OUI","⚠ ENROBÉ AVANT ACCEPTATION RT","ENROBÉ")))))</f>
        <v>À ENROBER</v>
      </c>
      <c r="O1140" s="80"/>
      <c r="P1140" s="82" t="n">
        <f aca="false">IF(C1140="","",IFERROR(MATCH(Q1140,'CARNET DE SOUDURE'!$AW$7:$AW$3006,0),""))</f>
        <v>1134</v>
      </c>
      <c r="Q1140" s="82" t="str">
        <f aca="false">IF(C1140="","",B1140&amp;"|"&amp;C1140)</f>
        <v>MFD-ISW → MFD-CPF|JN°995</v>
      </c>
    </row>
    <row r="1141" customFormat="false" ht="74.6" hidden="false" customHeight="false" outlineLevel="0" collapsed="false">
      <c r="A1141" s="82" t="n">
        <f aca="false">IF(C1141="","",ROW()-6)</f>
        <v>1135</v>
      </c>
      <c r="B1141" s="80" t="s">
        <v>110</v>
      </c>
      <c r="C1141" s="113" t="s">
        <v>1362</v>
      </c>
      <c r="D1141" s="82" t="str">
        <f aca="false">IF(OR(C1141="",P1141=""),"",INDEX('CARNET DE SOUDURE'!$D$7:$D$3006,P1141)&amp;"")</f>
        <v>8</v>
      </c>
      <c r="E1141" s="114" t="n">
        <f aca="false">IF(OR(C1141="",P1141=""),"",IF(INDEX('CARNET DE SOUDURE'!$U$7:$U$3006,P1141)="","",INDEX('CARNET DE SOUDURE'!$U$7:$U$3006,P1141)))</f>
        <v>46280</v>
      </c>
      <c r="F1141" s="82" t="str">
        <f aca="false">IF(OR(C1141="",P1141=""),"",INDEX('CARNET DE SOUDURE'!$AP$7:$AP$3006,P1141))</f>
        <v>A</v>
      </c>
      <c r="G1141" s="82" t="str">
        <f aca="false">IF(C1141="","",IF(P1141="","NJ INCONNU",INDEX('CARNET DE SOUDURE'!$AQ$7:$AQ$3006,P1141)))</f>
        <v>ACCEPTÉ</v>
      </c>
      <c r="H1141" s="82" t="str">
        <f aca="false">IF(C1141="","",IF(G1141="ACCEPTÉ","OUI","NON"))</f>
        <v>OUI</v>
      </c>
      <c r="I1141" s="83"/>
      <c r="J1141" s="80"/>
      <c r="K1141" s="81"/>
      <c r="L1141" s="81"/>
      <c r="M1141" s="81"/>
      <c r="N1141" s="84" t="str">
        <f aca="false">IF(C1141="","",IF(P1141="","NJ INCONNU",IF(I1141="",IF(H1141="OUI","À ENROBER",IF(G1141="À SOUDER","NON SOUDÉ","EN ATTENTE RT")),IF(L1141="R","À REPRENDRE",IF(H1141&lt;&gt;"OUI","⚠ ENROBÉ AVANT ACCEPTATION RT","ENROBÉ")))))</f>
        <v>À ENROBER</v>
      </c>
      <c r="O1141" s="80"/>
      <c r="P1141" s="82" t="n">
        <f aca="false">IF(C1141="","",IFERROR(MATCH(Q1141,'CARNET DE SOUDURE'!$AW$7:$AW$3006,0),""))</f>
        <v>1135</v>
      </c>
      <c r="Q1141" s="82" t="str">
        <f aca="false">IF(C1141="","",B1141&amp;"|"&amp;C1141)</f>
        <v>MFD-ISW → MFD-CPF|JN°996</v>
      </c>
    </row>
    <row r="1142" customFormat="false" ht="74.6" hidden="false" customHeight="false" outlineLevel="0" collapsed="false">
      <c r="A1142" s="82" t="n">
        <f aca="false">IF(C1142="","",ROW()-6)</f>
        <v>1136</v>
      </c>
      <c r="B1142" s="80" t="s">
        <v>110</v>
      </c>
      <c r="C1142" s="113" t="s">
        <v>1363</v>
      </c>
      <c r="D1142" s="82" t="str">
        <f aca="false">IF(OR(C1142="",P1142=""),"",INDEX('CARNET DE SOUDURE'!$D$7:$D$3006,P1142)&amp;"")</f>
        <v>8</v>
      </c>
      <c r="E1142" s="114" t="n">
        <f aca="false">IF(OR(C1142="",P1142=""),"",IF(INDEX('CARNET DE SOUDURE'!$U$7:$U$3006,P1142)="","",INDEX('CARNET DE SOUDURE'!$U$7:$U$3006,P1142)))</f>
        <v>46280</v>
      </c>
      <c r="F1142" s="82" t="str">
        <f aca="false">IF(OR(C1142="",P1142=""),"",INDEX('CARNET DE SOUDURE'!$AP$7:$AP$3006,P1142))</f>
        <v>A</v>
      </c>
      <c r="G1142" s="82" t="str">
        <f aca="false">IF(C1142="","",IF(P1142="","NJ INCONNU",INDEX('CARNET DE SOUDURE'!$AQ$7:$AQ$3006,P1142)))</f>
        <v>ACCEPTÉ</v>
      </c>
      <c r="H1142" s="82" t="str">
        <f aca="false">IF(C1142="","",IF(G1142="ACCEPTÉ","OUI","NON"))</f>
        <v>OUI</v>
      </c>
      <c r="I1142" s="83"/>
      <c r="J1142" s="80"/>
      <c r="K1142" s="81"/>
      <c r="L1142" s="81"/>
      <c r="M1142" s="81"/>
      <c r="N1142" s="84" t="str">
        <f aca="false">IF(C1142="","",IF(P1142="","NJ INCONNU",IF(I1142="",IF(H1142="OUI","À ENROBER",IF(G1142="À SOUDER","NON SOUDÉ","EN ATTENTE RT")),IF(L1142="R","À REPRENDRE",IF(H1142&lt;&gt;"OUI","⚠ ENROBÉ AVANT ACCEPTATION RT","ENROBÉ")))))</f>
        <v>À ENROBER</v>
      </c>
      <c r="O1142" s="80"/>
      <c r="P1142" s="82" t="n">
        <f aca="false">IF(C1142="","",IFERROR(MATCH(Q1142,'CARNET DE SOUDURE'!$AW$7:$AW$3006,0),""))</f>
        <v>1136</v>
      </c>
      <c r="Q1142" s="82" t="str">
        <f aca="false">IF(C1142="","",B1142&amp;"|"&amp;C1142)</f>
        <v>MFD-ISW → MFD-CPF|JN°997</v>
      </c>
    </row>
    <row r="1143" customFormat="false" ht="74.6" hidden="false" customHeight="false" outlineLevel="0" collapsed="false">
      <c r="A1143" s="82" t="n">
        <f aca="false">IF(C1143="","",ROW()-6)</f>
        <v>1137</v>
      </c>
      <c r="B1143" s="80" t="s">
        <v>110</v>
      </c>
      <c r="C1143" s="113" t="s">
        <v>1364</v>
      </c>
      <c r="D1143" s="82" t="str">
        <f aca="false">IF(OR(C1143="",P1143=""),"",INDEX('CARNET DE SOUDURE'!$D$7:$D$3006,P1143)&amp;"")</f>
        <v>8</v>
      </c>
      <c r="E1143" s="114" t="n">
        <f aca="false">IF(OR(C1143="",P1143=""),"",IF(INDEX('CARNET DE SOUDURE'!$U$7:$U$3006,P1143)="","",INDEX('CARNET DE SOUDURE'!$U$7:$U$3006,P1143)))</f>
        <v>46280</v>
      </c>
      <c r="F1143" s="82" t="str">
        <f aca="false">IF(OR(C1143="",P1143=""),"",INDEX('CARNET DE SOUDURE'!$AP$7:$AP$3006,P1143))</f>
        <v>A</v>
      </c>
      <c r="G1143" s="82" t="str">
        <f aca="false">IF(C1143="","",IF(P1143="","NJ INCONNU",INDEX('CARNET DE SOUDURE'!$AQ$7:$AQ$3006,P1143)))</f>
        <v>ACCEPTÉ</v>
      </c>
      <c r="H1143" s="82" t="str">
        <f aca="false">IF(C1143="","",IF(G1143="ACCEPTÉ","OUI","NON"))</f>
        <v>OUI</v>
      </c>
      <c r="I1143" s="83"/>
      <c r="J1143" s="80"/>
      <c r="K1143" s="81"/>
      <c r="L1143" s="81"/>
      <c r="M1143" s="81"/>
      <c r="N1143" s="84" t="str">
        <f aca="false">IF(C1143="","",IF(P1143="","NJ INCONNU",IF(I1143="",IF(H1143="OUI","À ENROBER",IF(G1143="À SOUDER","NON SOUDÉ","EN ATTENTE RT")),IF(L1143="R","À REPRENDRE",IF(H1143&lt;&gt;"OUI","⚠ ENROBÉ AVANT ACCEPTATION RT","ENROBÉ")))))</f>
        <v>À ENROBER</v>
      </c>
      <c r="O1143" s="80"/>
      <c r="P1143" s="82" t="n">
        <f aca="false">IF(C1143="","",IFERROR(MATCH(Q1143,'CARNET DE SOUDURE'!$AW$7:$AW$3006,0),""))</f>
        <v>1137</v>
      </c>
      <c r="Q1143" s="82" t="str">
        <f aca="false">IF(C1143="","",B1143&amp;"|"&amp;C1143)</f>
        <v>MFD-ISW → MFD-CPF|JN°998</v>
      </c>
    </row>
    <row r="1144" customFormat="false" ht="74.6" hidden="false" customHeight="false" outlineLevel="0" collapsed="false">
      <c r="A1144" s="82" t="n">
        <f aca="false">IF(C1144="","",ROW()-6)</f>
        <v>1138</v>
      </c>
      <c r="B1144" s="80" t="s">
        <v>110</v>
      </c>
      <c r="C1144" s="113" t="s">
        <v>1365</v>
      </c>
      <c r="D1144" s="82" t="str">
        <f aca="false">IF(OR(C1144="",P1144=""),"",INDEX('CARNET DE SOUDURE'!$D$7:$D$3006,P1144)&amp;"")</f>
        <v>8</v>
      </c>
      <c r="E1144" s="114" t="n">
        <f aca="false">IF(OR(C1144="",P1144=""),"",IF(INDEX('CARNET DE SOUDURE'!$U$7:$U$3006,P1144)="","",INDEX('CARNET DE SOUDURE'!$U$7:$U$3006,P1144)))</f>
        <v>46280</v>
      </c>
      <c r="F1144" s="82" t="str">
        <f aca="false">IF(OR(C1144="",P1144=""),"",INDEX('CARNET DE SOUDURE'!$AP$7:$AP$3006,P1144))</f>
        <v>A</v>
      </c>
      <c r="G1144" s="82" t="str">
        <f aca="false">IF(C1144="","",IF(P1144="","NJ INCONNU",INDEX('CARNET DE SOUDURE'!$AQ$7:$AQ$3006,P1144)))</f>
        <v>ACCEPTÉ</v>
      </c>
      <c r="H1144" s="82" t="str">
        <f aca="false">IF(C1144="","",IF(G1144="ACCEPTÉ","OUI","NON"))</f>
        <v>OUI</v>
      </c>
      <c r="I1144" s="83"/>
      <c r="J1144" s="80"/>
      <c r="K1144" s="81"/>
      <c r="L1144" s="81"/>
      <c r="M1144" s="81"/>
      <c r="N1144" s="84" t="str">
        <f aca="false">IF(C1144="","",IF(P1144="","NJ INCONNU",IF(I1144="",IF(H1144="OUI","À ENROBER",IF(G1144="À SOUDER","NON SOUDÉ","EN ATTENTE RT")),IF(L1144="R","À REPRENDRE",IF(H1144&lt;&gt;"OUI","⚠ ENROBÉ AVANT ACCEPTATION RT","ENROBÉ")))))</f>
        <v>À ENROBER</v>
      </c>
      <c r="O1144" s="80"/>
      <c r="P1144" s="82" t="n">
        <f aca="false">IF(C1144="","",IFERROR(MATCH(Q1144,'CARNET DE SOUDURE'!$AW$7:$AW$3006,0),""))</f>
        <v>1138</v>
      </c>
      <c r="Q1144" s="82" t="str">
        <f aca="false">IF(C1144="","",B1144&amp;"|"&amp;C1144)</f>
        <v>MFD-ISW → MFD-CPF|JN°999</v>
      </c>
    </row>
    <row r="1145" customFormat="false" ht="74.6" hidden="false" customHeight="false" outlineLevel="0" collapsed="false">
      <c r="A1145" s="82" t="n">
        <f aca="false">IF(C1145="","",ROW()-6)</f>
        <v>1139</v>
      </c>
      <c r="B1145" s="80" t="s">
        <v>110</v>
      </c>
      <c r="C1145" s="113" t="s">
        <v>1366</v>
      </c>
      <c r="D1145" s="82" t="str">
        <f aca="false">IF(OR(C1145="",P1145=""),"",INDEX('CARNET DE SOUDURE'!$D$7:$D$3006,P1145)&amp;"")</f>
        <v>8</v>
      </c>
      <c r="E1145" s="114" t="n">
        <f aca="false">IF(OR(C1145="",P1145=""),"",IF(INDEX('CARNET DE SOUDURE'!$U$7:$U$3006,P1145)="","",INDEX('CARNET DE SOUDURE'!$U$7:$U$3006,P1145)))</f>
        <v>46279</v>
      </c>
      <c r="F1145" s="82" t="str">
        <f aca="false">IF(OR(C1145="",P1145=""),"",INDEX('CARNET DE SOUDURE'!$AP$7:$AP$3006,P1145))</f>
        <v>A</v>
      </c>
      <c r="G1145" s="82" t="str">
        <f aca="false">IF(C1145="","",IF(P1145="","NJ INCONNU",INDEX('CARNET DE SOUDURE'!$AQ$7:$AQ$3006,P1145)))</f>
        <v>ACCEPTÉ</v>
      </c>
      <c r="H1145" s="82" t="str">
        <f aca="false">IF(C1145="","",IF(G1145="ACCEPTÉ","OUI","NON"))</f>
        <v>OUI</v>
      </c>
      <c r="I1145" s="83"/>
      <c r="J1145" s="80"/>
      <c r="K1145" s="81"/>
      <c r="L1145" s="81"/>
      <c r="M1145" s="81"/>
      <c r="N1145" s="84" t="str">
        <f aca="false">IF(C1145="","",IF(P1145="","NJ INCONNU",IF(I1145="",IF(H1145="OUI","À ENROBER",IF(G1145="À SOUDER","NON SOUDÉ","EN ATTENTE RT")),IF(L1145="R","À REPRENDRE",IF(H1145&lt;&gt;"OUI","⚠ ENROBÉ AVANT ACCEPTATION RT","ENROBÉ")))))</f>
        <v>À ENROBER</v>
      </c>
      <c r="O1145" s="80"/>
      <c r="P1145" s="82" t="n">
        <f aca="false">IF(C1145="","",IFERROR(MATCH(Q1145,'CARNET DE SOUDURE'!$AW$7:$AW$3006,0),""))</f>
        <v>1139</v>
      </c>
      <c r="Q1145" s="82" t="str">
        <f aca="false">IF(C1145="","",B1145&amp;"|"&amp;C1145)</f>
        <v>MFD-ISW → MFD-CPF|JN°1000</v>
      </c>
    </row>
    <row r="1146" customFormat="false" ht="74.6" hidden="false" customHeight="false" outlineLevel="0" collapsed="false">
      <c r="A1146" s="82" t="n">
        <f aca="false">IF(C1146="","",ROW()-6)</f>
        <v>1140</v>
      </c>
      <c r="B1146" s="80" t="s">
        <v>110</v>
      </c>
      <c r="C1146" s="113" t="s">
        <v>1369</v>
      </c>
      <c r="D1146" s="82" t="str">
        <f aca="false">IF(OR(C1146="",P1146=""),"",INDEX('CARNET DE SOUDURE'!$D$7:$D$3006,P1146)&amp;"")</f>
        <v>8</v>
      </c>
      <c r="E1146" s="114" t="n">
        <f aca="false">IF(OR(C1146="",P1146=""),"",IF(INDEX('CARNET DE SOUDURE'!$U$7:$U$3006,P1146)="","",INDEX('CARNET DE SOUDURE'!$U$7:$U$3006,P1146)))</f>
        <v>46279</v>
      </c>
      <c r="F1146" s="82" t="str">
        <f aca="false">IF(OR(C1146="",P1146=""),"",INDEX('CARNET DE SOUDURE'!$AP$7:$AP$3006,P1146))</f>
        <v>A</v>
      </c>
      <c r="G1146" s="82" t="str">
        <f aca="false">IF(C1146="","",IF(P1146="","NJ INCONNU",INDEX('CARNET DE SOUDURE'!$AQ$7:$AQ$3006,P1146)))</f>
        <v>ACCEPTÉ</v>
      </c>
      <c r="H1146" s="82" t="str">
        <f aca="false">IF(C1146="","",IF(G1146="ACCEPTÉ","OUI","NON"))</f>
        <v>OUI</v>
      </c>
      <c r="I1146" s="83"/>
      <c r="J1146" s="80"/>
      <c r="K1146" s="81"/>
      <c r="L1146" s="81"/>
      <c r="M1146" s="81"/>
      <c r="N1146" s="84" t="str">
        <f aca="false">IF(C1146="","",IF(P1146="","NJ INCONNU",IF(I1146="",IF(H1146="OUI","À ENROBER",IF(G1146="À SOUDER","NON SOUDÉ","EN ATTENTE RT")),IF(L1146="R","À REPRENDRE",IF(H1146&lt;&gt;"OUI","⚠ ENROBÉ AVANT ACCEPTATION RT","ENROBÉ")))))</f>
        <v>À ENROBER</v>
      </c>
      <c r="O1146" s="80"/>
      <c r="P1146" s="82" t="n">
        <f aca="false">IF(C1146="","",IFERROR(MATCH(Q1146,'CARNET DE SOUDURE'!$AW$7:$AW$3006,0),""))</f>
        <v>1140</v>
      </c>
      <c r="Q1146" s="82" t="str">
        <f aca="false">IF(C1146="","",B1146&amp;"|"&amp;C1146)</f>
        <v>MFD-ISW → MFD-CPF|JN°1001</v>
      </c>
    </row>
    <row r="1147" customFormat="false" ht="74.6" hidden="false" customHeight="false" outlineLevel="0" collapsed="false">
      <c r="A1147" s="82" t="n">
        <f aca="false">IF(C1147="","",ROW()-6)</f>
        <v>1141</v>
      </c>
      <c r="B1147" s="80" t="s">
        <v>110</v>
      </c>
      <c r="C1147" s="113" t="s">
        <v>1370</v>
      </c>
      <c r="D1147" s="82" t="str">
        <f aca="false">IF(OR(C1147="",P1147=""),"",INDEX('CARNET DE SOUDURE'!$D$7:$D$3006,P1147)&amp;"")</f>
        <v>8</v>
      </c>
      <c r="E1147" s="114" t="n">
        <f aca="false">IF(OR(C1147="",P1147=""),"",IF(INDEX('CARNET DE SOUDURE'!$U$7:$U$3006,P1147)="","",INDEX('CARNET DE SOUDURE'!$U$7:$U$3006,P1147)))</f>
        <v>46278</v>
      </c>
      <c r="F1147" s="82" t="str">
        <f aca="false">IF(OR(C1147="",P1147=""),"",INDEX('CARNET DE SOUDURE'!$AP$7:$AP$3006,P1147))</f>
        <v>A</v>
      </c>
      <c r="G1147" s="82" t="str">
        <f aca="false">IF(C1147="","",IF(P1147="","NJ INCONNU",INDEX('CARNET DE SOUDURE'!$AQ$7:$AQ$3006,P1147)))</f>
        <v>ACCEPTÉ</v>
      </c>
      <c r="H1147" s="82" t="str">
        <f aca="false">IF(C1147="","",IF(G1147="ACCEPTÉ","OUI","NON"))</f>
        <v>OUI</v>
      </c>
      <c r="I1147" s="83"/>
      <c r="J1147" s="80"/>
      <c r="K1147" s="81"/>
      <c r="L1147" s="81"/>
      <c r="M1147" s="81"/>
      <c r="N1147" s="84" t="str">
        <f aca="false">IF(C1147="","",IF(P1147="","NJ INCONNU",IF(I1147="",IF(H1147="OUI","À ENROBER",IF(G1147="À SOUDER","NON SOUDÉ","EN ATTENTE RT")),IF(L1147="R","À REPRENDRE",IF(H1147&lt;&gt;"OUI","⚠ ENROBÉ AVANT ACCEPTATION RT","ENROBÉ")))))</f>
        <v>À ENROBER</v>
      </c>
      <c r="O1147" s="80"/>
      <c r="P1147" s="82" t="n">
        <f aca="false">IF(C1147="","",IFERROR(MATCH(Q1147,'CARNET DE SOUDURE'!$AW$7:$AW$3006,0),""))</f>
        <v>1141</v>
      </c>
      <c r="Q1147" s="82" t="str">
        <f aca="false">IF(C1147="","",B1147&amp;"|"&amp;C1147)</f>
        <v>MFD-ISW → MFD-CPF|DJ°372</v>
      </c>
    </row>
    <row r="1148" customFormat="false" ht="74.6" hidden="false" customHeight="false" outlineLevel="0" collapsed="false">
      <c r="A1148" s="82" t="n">
        <f aca="false">IF(C1148="","",ROW()-6)</f>
        <v>1142</v>
      </c>
      <c r="B1148" s="80" t="s">
        <v>110</v>
      </c>
      <c r="C1148" s="113" t="s">
        <v>1372</v>
      </c>
      <c r="D1148" s="82" t="str">
        <f aca="false">IF(OR(C1148="",P1148=""),"",INDEX('CARNET DE SOUDURE'!$D$7:$D$3006,P1148)&amp;"")</f>
        <v>8</v>
      </c>
      <c r="E1148" s="114" t="n">
        <f aca="false">IF(OR(C1148="",P1148=""),"",IF(INDEX('CARNET DE SOUDURE'!$U$7:$U$3006,P1148)="","",INDEX('CARNET DE SOUDURE'!$U$7:$U$3006,P1148)))</f>
        <v>46279</v>
      </c>
      <c r="F1148" s="82" t="str">
        <f aca="false">IF(OR(C1148="",P1148=""),"",INDEX('CARNET DE SOUDURE'!$AP$7:$AP$3006,P1148))</f>
        <v>A</v>
      </c>
      <c r="G1148" s="82" t="str">
        <f aca="false">IF(C1148="","",IF(P1148="","NJ INCONNU",INDEX('CARNET DE SOUDURE'!$AQ$7:$AQ$3006,P1148)))</f>
        <v>ACCEPTÉ</v>
      </c>
      <c r="H1148" s="82" t="str">
        <f aca="false">IF(C1148="","",IF(G1148="ACCEPTÉ","OUI","NON"))</f>
        <v>OUI</v>
      </c>
      <c r="I1148" s="83"/>
      <c r="J1148" s="80"/>
      <c r="K1148" s="81"/>
      <c r="L1148" s="81"/>
      <c r="M1148" s="81"/>
      <c r="N1148" s="84" t="str">
        <f aca="false">IF(C1148="","",IF(P1148="","NJ INCONNU",IF(I1148="",IF(H1148="OUI","À ENROBER",IF(G1148="À SOUDER","NON SOUDÉ","EN ATTENTE RT")),IF(L1148="R","À REPRENDRE",IF(H1148&lt;&gt;"OUI","⚠ ENROBÉ AVANT ACCEPTATION RT","ENROBÉ")))))</f>
        <v>À ENROBER</v>
      </c>
      <c r="O1148" s="80"/>
      <c r="P1148" s="82" t="n">
        <f aca="false">IF(C1148="","",IFERROR(MATCH(Q1148,'CARNET DE SOUDURE'!$AW$7:$AW$3006,0),""))</f>
        <v>1142</v>
      </c>
      <c r="Q1148" s="82" t="str">
        <f aca="false">IF(C1148="","",B1148&amp;"|"&amp;C1148)</f>
        <v>MFD-ISW → MFD-CPF|JN°1002</v>
      </c>
    </row>
    <row r="1149" customFormat="false" ht="74.6" hidden="false" customHeight="false" outlineLevel="0" collapsed="false">
      <c r="A1149" s="82" t="n">
        <f aca="false">IF(C1149="","",ROW()-6)</f>
        <v>1143</v>
      </c>
      <c r="B1149" s="80" t="s">
        <v>110</v>
      </c>
      <c r="C1149" s="113" t="s">
        <v>1373</v>
      </c>
      <c r="D1149" s="82" t="str">
        <f aca="false">IF(OR(C1149="",P1149=""),"",INDEX('CARNET DE SOUDURE'!$D$7:$D$3006,P1149)&amp;"")</f>
        <v>8</v>
      </c>
      <c r="E1149" s="114" t="n">
        <f aca="false">IF(OR(C1149="",P1149=""),"",IF(INDEX('CARNET DE SOUDURE'!$U$7:$U$3006,P1149)="","",INDEX('CARNET DE SOUDURE'!$U$7:$U$3006,P1149)))</f>
        <v>46278</v>
      </c>
      <c r="F1149" s="82" t="str">
        <f aca="false">IF(OR(C1149="",P1149=""),"",INDEX('CARNET DE SOUDURE'!$AP$7:$AP$3006,P1149))</f>
        <v>A</v>
      </c>
      <c r="G1149" s="82" t="str">
        <f aca="false">IF(C1149="","",IF(P1149="","NJ INCONNU",INDEX('CARNET DE SOUDURE'!$AQ$7:$AQ$3006,P1149)))</f>
        <v>ACCEPTÉ</v>
      </c>
      <c r="H1149" s="82" t="str">
        <f aca="false">IF(C1149="","",IF(G1149="ACCEPTÉ","OUI","NON"))</f>
        <v>OUI</v>
      </c>
      <c r="I1149" s="83"/>
      <c r="J1149" s="80"/>
      <c r="K1149" s="81"/>
      <c r="L1149" s="81"/>
      <c r="M1149" s="81"/>
      <c r="N1149" s="84" t="str">
        <f aca="false">IF(C1149="","",IF(P1149="","NJ INCONNU",IF(I1149="",IF(H1149="OUI","À ENROBER",IF(G1149="À SOUDER","NON SOUDÉ","EN ATTENTE RT")),IF(L1149="R","À REPRENDRE",IF(H1149&lt;&gt;"OUI","⚠ ENROBÉ AVANT ACCEPTATION RT","ENROBÉ")))))</f>
        <v>À ENROBER</v>
      </c>
      <c r="O1149" s="80"/>
      <c r="P1149" s="82" t="n">
        <f aca="false">IF(C1149="","",IFERROR(MATCH(Q1149,'CARNET DE SOUDURE'!$AW$7:$AW$3006,0),""))</f>
        <v>1143</v>
      </c>
      <c r="Q1149" s="82" t="str">
        <f aca="false">IF(C1149="","",B1149&amp;"|"&amp;C1149)</f>
        <v>MFD-ISW → MFD-CPF|DJ°370</v>
      </c>
    </row>
    <row r="1150" customFormat="false" ht="74.6" hidden="false" customHeight="false" outlineLevel="0" collapsed="false">
      <c r="A1150" s="82" t="n">
        <f aca="false">IF(C1150="","",ROW()-6)</f>
        <v>1144</v>
      </c>
      <c r="B1150" s="80" t="s">
        <v>110</v>
      </c>
      <c r="C1150" s="113" t="s">
        <v>1374</v>
      </c>
      <c r="D1150" s="82" t="str">
        <f aca="false">IF(OR(C1150="",P1150=""),"",INDEX('CARNET DE SOUDURE'!$D$7:$D$3006,P1150)&amp;"")</f>
        <v>8</v>
      </c>
      <c r="E1150" s="114" t="n">
        <f aca="false">IF(OR(C1150="",P1150=""),"",IF(INDEX('CARNET DE SOUDURE'!$U$7:$U$3006,P1150)="","",INDEX('CARNET DE SOUDURE'!$U$7:$U$3006,P1150)))</f>
        <v>46279</v>
      </c>
      <c r="F1150" s="82" t="str">
        <f aca="false">IF(OR(C1150="",P1150=""),"",INDEX('CARNET DE SOUDURE'!$AP$7:$AP$3006,P1150))</f>
        <v>A</v>
      </c>
      <c r="G1150" s="82" t="str">
        <f aca="false">IF(C1150="","",IF(P1150="","NJ INCONNU",INDEX('CARNET DE SOUDURE'!$AQ$7:$AQ$3006,P1150)))</f>
        <v>ACCEPTÉ</v>
      </c>
      <c r="H1150" s="82" t="str">
        <f aca="false">IF(C1150="","",IF(G1150="ACCEPTÉ","OUI","NON"))</f>
        <v>OUI</v>
      </c>
      <c r="I1150" s="83"/>
      <c r="J1150" s="80"/>
      <c r="K1150" s="81"/>
      <c r="L1150" s="81"/>
      <c r="M1150" s="81"/>
      <c r="N1150" s="84" t="str">
        <f aca="false">IF(C1150="","",IF(P1150="","NJ INCONNU",IF(I1150="",IF(H1150="OUI","À ENROBER",IF(G1150="À SOUDER","NON SOUDÉ","EN ATTENTE RT")),IF(L1150="R","À REPRENDRE",IF(H1150&lt;&gt;"OUI","⚠ ENROBÉ AVANT ACCEPTATION RT","ENROBÉ")))))</f>
        <v>À ENROBER</v>
      </c>
      <c r="O1150" s="80"/>
      <c r="P1150" s="82" t="n">
        <f aca="false">IF(C1150="","",IFERROR(MATCH(Q1150,'CARNET DE SOUDURE'!$AW$7:$AW$3006,0),""))</f>
        <v>1144</v>
      </c>
      <c r="Q1150" s="82" t="str">
        <f aca="false">IF(C1150="","",B1150&amp;"|"&amp;C1150)</f>
        <v>MFD-ISW → MFD-CPF|JN°1003</v>
      </c>
    </row>
    <row r="1151" customFormat="false" ht="74.6" hidden="false" customHeight="false" outlineLevel="0" collapsed="false">
      <c r="A1151" s="82" t="n">
        <f aca="false">IF(C1151="","",ROW()-6)</f>
        <v>1145</v>
      </c>
      <c r="B1151" s="80" t="s">
        <v>110</v>
      </c>
      <c r="C1151" s="113" t="s">
        <v>1375</v>
      </c>
      <c r="D1151" s="82" t="str">
        <f aca="false">IF(OR(C1151="",P1151=""),"",INDEX('CARNET DE SOUDURE'!$D$7:$D$3006,P1151)&amp;"")</f>
        <v>8</v>
      </c>
      <c r="E1151" s="114" t="n">
        <f aca="false">IF(OR(C1151="",P1151=""),"",IF(INDEX('CARNET DE SOUDURE'!$U$7:$U$3006,P1151)="","",INDEX('CARNET DE SOUDURE'!$U$7:$U$3006,P1151)))</f>
        <v>46278</v>
      </c>
      <c r="F1151" s="82" t="str">
        <f aca="false">IF(OR(C1151="",P1151=""),"",INDEX('CARNET DE SOUDURE'!$AP$7:$AP$3006,P1151))</f>
        <v>A</v>
      </c>
      <c r="G1151" s="82" t="str">
        <f aca="false">IF(C1151="","",IF(P1151="","NJ INCONNU",INDEX('CARNET DE SOUDURE'!$AQ$7:$AQ$3006,P1151)))</f>
        <v>ACCEPTÉ</v>
      </c>
      <c r="H1151" s="82" t="str">
        <f aca="false">IF(C1151="","",IF(G1151="ACCEPTÉ","OUI","NON"))</f>
        <v>OUI</v>
      </c>
      <c r="I1151" s="83"/>
      <c r="J1151" s="80"/>
      <c r="K1151" s="81"/>
      <c r="L1151" s="81"/>
      <c r="M1151" s="81"/>
      <c r="N1151" s="84" t="str">
        <f aca="false">IF(C1151="","",IF(P1151="","NJ INCONNU",IF(I1151="",IF(H1151="OUI","À ENROBER",IF(G1151="À SOUDER","NON SOUDÉ","EN ATTENTE RT")),IF(L1151="R","À REPRENDRE",IF(H1151&lt;&gt;"OUI","⚠ ENROBÉ AVANT ACCEPTATION RT","ENROBÉ")))))</f>
        <v>À ENROBER</v>
      </c>
      <c r="O1151" s="80"/>
      <c r="P1151" s="82" t="n">
        <f aca="false">IF(C1151="","",IFERROR(MATCH(Q1151,'CARNET DE SOUDURE'!$AW$7:$AW$3006,0),""))</f>
        <v>1145</v>
      </c>
      <c r="Q1151" s="82" t="str">
        <f aca="false">IF(C1151="","",B1151&amp;"|"&amp;C1151)</f>
        <v>MFD-ISW → MFD-CPF|DJ°371</v>
      </c>
    </row>
    <row r="1152" customFormat="false" ht="74.6" hidden="false" customHeight="false" outlineLevel="0" collapsed="false">
      <c r="A1152" s="82" t="n">
        <f aca="false">IF(C1152="","",ROW()-6)</f>
        <v>1146</v>
      </c>
      <c r="B1152" s="80" t="s">
        <v>110</v>
      </c>
      <c r="C1152" s="113" t="s">
        <v>1376</v>
      </c>
      <c r="D1152" s="82" t="str">
        <f aca="false">IF(OR(C1152="",P1152=""),"",INDEX('CARNET DE SOUDURE'!$D$7:$D$3006,P1152)&amp;"")</f>
        <v>8</v>
      </c>
      <c r="E1152" s="114" t="n">
        <f aca="false">IF(OR(C1152="",P1152=""),"",IF(INDEX('CARNET DE SOUDURE'!$U$7:$U$3006,P1152)="","",INDEX('CARNET DE SOUDURE'!$U$7:$U$3006,P1152)))</f>
        <v>46279</v>
      </c>
      <c r="F1152" s="82" t="str">
        <f aca="false">IF(OR(C1152="",P1152=""),"",INDEX('CARNET DE SOUDURE'!$AP$7:$AP$3006,P1152))</f>
        <v>A</v>
      </c>
      <c r="G1152" s="82" t="str">
        <f aca="false">IF(C1152="","",IF(P1152="","NJ INCONNU",INDEX('CARNET DE SOUDURE'!$AQ$7:$AQ$3006,P1152)))</f>
        <v>ACCEPTÉ</v>
      </c>
      <c r="H1152" s="82" t="str">
        <f aca="false">IF(C1152="","",IF(G1152="ACCEPTÉ","OUI","NON"))</f>
        <v>OUI</v>
      </c>
      <c r="I1152" s="83"/>
      <c r="J1152" s="80"/>
      <c r="K1152" s="81"/>
      <c r="L1152" s="81"/>
      <c r="M1152" s="81"/>
      <c r="N1152" s="84" t="str">
        <f aca="false">IF(C1152="","",IF(P1152="","NJ INCONNU",IF(I1152="",IF(H1152="OUI","À ENROBER",IF(G1152="À SOUDER","NON SOUDÉ","EN ATTENTE RT")),IF(L1152="R","À REPRENDRE",IF(H1152&lt;&gt;"OUI","⚠ ENROBÉ AVANT ACCEPTATION RT","ENROBÉ")))))</f>
        <v>À ENROBER</v>
      </c>
      <c r="O1152" s="80"/>
      <c r="P1152" s="82" t="n">
        <f aca="false">IF(C1152="","",IFERROR(MATCH(Q1152,'CARNET DE SOUDURE'!$AW$7:$AW$3006,0),""))</f>
        <v>1146</v>
      </c>
      <c r="Q1152" s="82" t="str">
        <f aca="false">IF(C1152="","",B1152&amp;"|"&amp;C1152)</f>
        <v>MFD-ISW → MFD-CPF|JN°1004</v>
      </c>
    </row>
    <row r="1153" customFormat="false" ht="74.6" hidden="false" customHeight="false" outlineLevel="0" collapsed="false">
      <c r="A1153" s="82" t="n">
        <f aca="false">IF(C1153="","",ROW()-6)</f>
        <v>1147</v>
      </c>
      <c r="B1153" s="80" t="s">
        <v>110</v>
      </c>
      <c r="C1153" s="113" t="s">
        <v>1377</v>
      </c>
      <c r="D1153" s="82" t="str">
        <f aca="false">IF(OR(C1153="",P1153=""),"",INDEX('CARNET DE SOUDURE'!$D$7:$D$3006,P1153)&amp;"")</f>
        <v>8</v>
      </c>
      <c r="E1153" s="114" t="n">
        <f aca="false">IF(OR(C1153="",P1153=""),"",IF(INDEX('CARNET DE SOUDURE'!$U$7:$U$3006,P1153)="","",INDEX('CARNET DE SOUDURE'!$U$7:$U$3006,P1153)))</f>
        <v>46277</v>
      </c>
      <c r="F1153" s="82" t="str">
        <f aca="false">IF(OR(C1153="",P1153=""),"",INDEX('CARNET DE SOUDURE'!$AP$7:$AP$3006,P1153))</f>
        <v>A</v>
      </c>
      <c r="G1153" s="82" t="str">
        <f aca="false">IF(C1153="","",IF(P1153="","NJ INCONNU",INDEX('CARNET DE SOUDURE'!$AQ$7:$AQ$3006,P1153)))</f>
        <v>ACCEPTÉ</v>
      </c>
      <c r="H1153" s="82" t="str">
        <f aca="false">IF(C1153="","",IF(G1153="ACCEPTÉ","OUI","NON"))</f>
        <v>OUI</v>
      </c>
      <c r="I1153" s="83"/>
      <c r="J1153" s="80"/>
      <c r="K1153" s="81"/>
      <c r="L1153" s="81"/>
      <c r="M1153" s="81"/>
      <c r="N1153" s="84" t="str">
        <f aca="false">IF(C1153="","",IF(P1153="","NJ INCONNU",IF(I1153="",IF(H1153="OUI","À ENROBER",IF(G1153="À SOUDER","NON SOUDÉ","EN ATTENTE RT")),IF(L1153="R","À REPRENDRE",IF(H1153&lt;&gt;"OUI","⚠ ENROBÉ AVANT ACCEPTATION RT","ENROBÉ")))))</f>
        <v>À ENROBER</v>
      </c>
      <c r="O1153" s="80"/>
      <c r="P1153" s="82" t="n">
        <f aca="false">IF(C1153="","",IFERROR(MATCH(Q1153,'CARNET DE SOUDURE'!$AW$7:$AW$3006,0),""))</f>
        <v>1147</v>
      </c>
      <c r="Q1153" s="82" t="str">
        <f aca="false">IF(C1153="","",B1153&amp;"|"&amp;C1153)</f>
        <v>MFD-ISW → MFD-CPF|DJ°365</v>
      </c>
    </row>
    <row r="1154" customFormat="false" ht="74.6" hidden="false" customHeight="false" outlineLevel="0" collapsed="false">
      <c r="A1154" s="82" t="n">
        <f aca="false">IF(C1154="","",ROW()-6)</f>
        <v>1148</v>
      </c>
      <c r="B1154" s="80" t="s">
        <v>110</v>
      </c>
      <c r="C1154" s="113" t="s">
        <v>1379</v>
      </c>
      <c r="D1154" s="82" t="str">
        <f aca="false">IF(OR(C1154="",P1154=""),"",INDEX('CARNET DE SOUDURE'!$D$7:$D$3006,P1154)&amp;"")</f>
        <v>8</v>
      </c>
      <c r="E1154" s="114" t="n">
        <f aca="false">IF(OR(C1154="",P1154=""),"",IF(INDEX('CARNET DE SOUDURE'!$U$7:$U$3006,P1154)="","",INDEX('CARNET DE SOUDURE'!$U$7:$U$3006,P1154)))</f>
        <v>46279</v>
      </c>
      <c r="F1154" s="82" t="str">
        <f aca="false">IF(OR(C1154="",P1154=""),"",INDEX('CARNET DE SOUDURE'!$AP$7:$AP$3006,P1154))</f>
        <v>A</v>
      </c>
      <c r="G1154" s="82" t="str">
        <f aca="false">IF(C1154="","",IF(P1154="","NJ INCONNU",INDEX('CARNET DE SOUDURE'!$AQ$7:$AQ$3006,P1154)))</f>
        <v>ACCEPTÉ</v>
      </c>
      <c r="H1154" s="82" t="str">
        <f aca="false">IF(C1154="","",IF(G1154="ACCEPTÉ","OUI","NON"))</f>
        <v>OUI</v>
      </c>
      <c r="I1154" s="83"/>
      <c r="J1154" s="80"/>
      <c r="K1154" s="81"/>
      <c r="L1154" s="81"/>
      <c r="M1154" s="81"/>
      <c r="N1154" s="84" t="str">
        <f aca="false">IF(C1154="","",IF(P1154="","NJ INCONNU",IF(I1154="",IF(H1154="OUI","À ENROBER",IF(G1154="À SOUDER","NON SOUDÉ","EN ATTENTE RT")),IF(L1154="R","À REPRENDRE",IF(H1154&lt;&gt;"OUI","⚠ ENROBÉ AVANT ACCEPTATION RT","ENROBÉ")))))</f>
        <v>À ENROBER</v>
      </c>
      <c r="O1154" s="80"/>
      <c r="P1154" s="82" t="n">
        <f aca="false">IF(C1154="","",IFERROR(MATCH(Q1154,'CARNET DE SOUDURE'!$AW$7:$AW$3006,0),""))</f>
        <v>1148</v>
      </c>
      <c r="Q1154" s="82" t="str">
        <f aca="false">IF(C1154="","",B1154&amp;"|"&amp;C1154)</f>
        <v>MFD-ISW → MFD-CPF|JN°1005</v>
      </c>
    </row>
    <row r="1155" customFormat="false" ht="74.6" hidden="false" customHeight="false" outlineLevel="0" collapsed="false">
      <c r="A1155" s="82" t="n">
        <f aca="false">IF(C1155="","",ROW()-6)</f>
        <v>1149</v>
      </c>
      <c r="B1155" s="80" t="s">
        <v>110</v>
      </c>
      <c r="C1155" s="113" t="s">
        <v>1381</v>
      </c>
      <c r="D1155" s="82" t="str">
        <f aca="false">IF(OR(C1155="",P1155=""),"",INDEX('CARNET DE SOUDURE'!$D$7:$D$3006,P1155)&amp;"")</f>
        <v>8</v>
      </c>
      <c r="E1155" s="114" t="n">
        <f aca="false">IF(OR(C1155="",P1155=""),"",IF(INDEX('CARNET DE SOUDURE'!$U$7:$U$3006,P1155)="","",INDEX('CARNET DE SOUDURE'!$U$7:$U$3006,P1155)))</f>
        <v>46278</v>
      </c>
      <c r="F1155" s="82" t="str">
        <f aca="false">IF(OR(C1155="",P1155=""),"",INDEX('CARNET DE SOUDURE'!$AP$7:$AP$3006,P1155))</f>
        <v>A</v>
      </c>
      <c r="G1155" s="82" t="str">
        <f aca="false">IF(C1155="","",IF(P1155="","NJ INCONNU",INDEX('CARNET DE SOUDURE'!$AQ$7:$AQ$3006,P1155)))</f>
        <v>ACCEPTÉ</v>
      </c>
      <c r="H1155" s="82" t="str">
        <f aca="false">IF(C1155="","",IF(G1155="ACCEPTÉ","OUI","NON"))</f>
        <v>OUI</v>
      </c>
      <c r="I1155" s="83"/>
      <c r="J1155" s="80"/>
      <c r="K1155" s="81"/>
      <c r="L1155" s="81"/>
      <c r="M1155" s="81"/>
      <c r="N1155" s="84" t="str">
        <f aca="false">IF(C1155="","",IF(P1155="","NJ INCONNU",IF(I1155="",IF(H1155="OUI","À ENROBER",IF(G1155="À SOUDER","NON SOUDÉ","EN ATTENTE RT")),IF(L1155="R","À REPRENDRE",IF(H1155&lt;&gt;"OUI","⚠ ENROBÉ AVANT ACCEPTATION RT","ENROBÉ")))))</f>
        <v>À ENROBER</v>
      </c>
      <c r="O1155" s="80"/>
      <c r="P1155" s="82" t="n">
        <f aca="false">IF(C1155="","",IFERROR(MATCH(Q1155,'CARNET DE SOUDURE'!$AW$7:$AW$3006,0),""))</f>
        <v>1149</v>
      </c>
      <c r="Q1155" s="82" t="str">
        <f aca="false">IF(C1155="","",B1155&amp;"|"&amp;C1155)</f>
        <v>MFD-ISW → MFD-CPF|DJ°366</v>
      </c>
    </row>
    <row r="1156" customFormat="false" ht="74.6" hidden="false" customHeight="false" outlineLevel="0" collapsed="false">
      <c r="A1156" s="82" t="n">
        <f aca="false">IF(C1156="","",ROW()-6)</f>
        <v>1150</v>
      </c>
      <c r="B1156" s="80" t="s">
        <v>110</v>
      </c>
      <c r="C1156" s="113" t="s">
        <v>1382</v>
      </c>
      <c r="D1156" s="82" t="str">
        <f aca="false">IF(OR(C1156="",P1156=""),"",INDEX('CARNET DE SOUDURE'!$D$7:$D$3006,P1156)&amp;"")</f>
        <v>8</v>
      </c>
      <c r="E1156" s="114" t="n">
        <f aca="false">IF(OR(C1156="",P1156=""),"",IF(INDEX('CARNET DE SOUDURE'!$U$7:$U$3006,P1156)="","",INDEX('CARNET DE SOUDURE'!$U$7:$U$3006,P1156)))</f>
        <v>46279</v>
      </c>
      <c r="F1156" s="82" t="str">
        <f aca="false">IF(OR(C1156="",P1156=""),"",INDEX('CARNET DE SOUDURE'!$AP$7:$AP$3006,P1156))</f>
        <v>A</v>
      </c>
      <c r="G1156" s="82" t="str">
        <f aca="false">IF(C1156="","",IF(P1156="","NJ INCONNU",INDEX('CARNET DE SOUDURE'!$AQ$7:$AQ$3006,P1156)))</f>
        <v>ACCEPTÉ</v>
      </c>
      <c r="H1156" s="82" t="str">
        <f aca="false">IF(C1156="","",IF(G1156="ACCEPTÉ","OUI","NON"))</f>
        <v>OUI</v>
      </c>
      <c r="I1156" s="83"/>
      <c r="J1156" s="80"/>
      <c r="K1156" s="81"/>
      <c r="L1156" s="81"/>
      <c r="M1156" s="81"/>
      <c r="N1156" s="84" t="str">
        <f aca="false">IF(C1156="","",IF(P1156="","NJ INCONNU",IF(I1156="",IF(H1156="OUI","À ENROBER",IF(G1156="À SOUDER","NON SOUDÉ","EN ATTENTE RT")),IF(L1156="R","À REPRENDRE",IF(H1156&lt;&gt;"OUI","⚠ ENROBÉ AVANT ACCEPTATION RT","ENROBÉ")))))</f>
        <v>À ENROBER</v>
      </c>
      <c r="O1156" s="80"/>
      <c r="P1156" s="82" t="n">
        <f aca="false">IF(C1156="","",IFERROR(MATCH(Q1156,'CARNET DE SOUDURE'!$AW$7:$AW$3006,0),""))</f>
        <v>1150</v>
      </c>
      <c r="Q1156" s="82" t="str">
        <f aca="false">IF(C1156="","",B1156&amp;"|"&amp;C1156)</f>
        <v>MFD-ISW → MFD-CPF|JN°1006</v>
      </c>
    </row>
    <row r="1157" customFormat="false" ht="74.6" hidden="false" customHeight="false" outlineLevel="0" collapsed="false">
      <c r="A1157" s="82" t="n">
        <f aca="false">IF(C1157="","",ROW()-6)</f>
        <v>1151</v>
      </c>
      <c r="B1157" s="80" t="s">
        <v>110</v>
      </c>
      <c r="C1157" s="113" t="s">
        <v>1383</v>
      </c>
      <c r="D1157" s="82" t="str">
        <f aca="false">IF(OR(C1157="",P1157=""),"",INDEX('CARNET DE SOUDURE'!$D$7:$D$3006,P1157)&amp;"")</f>
        <v>8</v>
      </c>
      <c r="E1157" s="114" t="n">
        <f aca="false">IF(OR(C1157="",P1157=""),"",IF(INDEX('CARNET DE SOUDURE'!$U$7:$U$3006,P1157)="","",INDEX('CARNET DE SOUDURE'!$U$7:$U$3006,P1157)))</f>
        <v>46278</v>
      </c>
      <c r="F1157" s="82" t="str">
        <f aca="false">IF(OR(C1157="",P1157=""),"",INDEX('CARNET DE SOUDURE'!$AP$7:$AP$3006,P1157))</f>
        <v>A</v>
      </c>
      <c r="G1157" s="82" t="str">
        <f aca="false">IF(C1157="","",IF(P1157="","NJ INCONNU",INDEX('CARNET DE SOUDURE'!$AQ$7:$AQ$3006,P1157)))</f>
        <v>ACCEPTÉ</v>
      </c>
      <c r="H1157" s="82" t="str">
        <f aca="false">IF(C1157="","",IF(G1157="ACCEPTÉ","OUI","NON"))</f>
        <v>OUI</v>
      </c>
      <c r="I1157" s="83"/>
      <c r="J1157" s="80"/>
      <c r="K1157" s="81"/>
      <c r="L1157" s="81"/>
      <c r="M1157" s="81"/>
      <c r="N1157" s="84" t="str">
        <f aca="false">IF(C1157="","",IF(P1157="","NJ INCONNU",IF(I1157="",IF(H1157="OUI","À ENROBER",IF(G1157="À SOUDER","NON SOUDÉ","EN ATTENTE RT")),IF(L1157="R","À REPRENDRE",IF(H1157&lt;&gt;"OUI","⚠ ENROBÉ AVANT ACCEPTATION RT","ENROBÉ")))))</f>
        <v>À ENROBER</v>
      </c>
      <c r="O1157" s="80"/>
      <c r="P1157" s="82" t="n">
        <f aca="false">IF(C1157="","",IFERROR(MATCH(Q1157,'CARNET DE SOUDURE'!$AW$7:$AW$3006,0),""))</f>
        <v>1151</v>
      </c>
      <c r="Q1157" s="82" t="str">
        <f aca="false">IF(C1157="","",B1157&amp;"|"&amp;C1157)</f>
        <v>MFD-ISW → MFD-CPF|DJ°369</v>
      </c>
    </row>
    <row r="1158" customFormat="false" ht="74.6" hidden="false" customHeight="false" outlineLevel="0" collapsed="false">
      <c r="A1158" s="82" t="n">
        <f aca="false">IF(C1158="","",ROW()-6)</f>
        <v>1152</v>
      </c>
      <c r="B1158" s="80" t="s">
        <v>110</v>
      </c>
      <c r="C1158" s="113" t="s">
        <v>1384</v>
      </c>
      <c r="D1158" s="82" t="str">
        <f aca="false">IF(OR(C1158="",P1158=""),"",INDEX('CARNET DE SOUDURE'!$D$7:$D$3006,P1158)&amp;"")</f>
        <v>8</v>
      </c>
      <c r="E1158" s="114" t="n">
        <f aca="false">IF(OR(C1158="",P1158=""),"",IF(INDEX('CARNET DE SOUDURE'!$U$7:$U$3006,P1158)="","",INDEX('CARNET DE SOUDURE'!$U$7:$U$3006,P1158)))</f>
        <v>46279</v>
      </c>
      <c r="F1158" s="82" t="str">
        <f aca="false">IF(OR(C1158="",P1158=""),"",INDEX('CARNET DE SOUDURE'!$AP$7:$AP$3006,P1158))</f>
        <v>A</v>
      </c>
      <c r="G1158" s="82" t="str">
        <f aca="false">IF(C1158="","",IF(P1158="","NJ INCONNU",INDEX('CARNET DE SOUDURE'!$AQ$7:$AQ$3006,P1158)))</f>
        <v>ACCEPTÉ</v>
      </c>
      <c r="H1158" s="82" t="str">
        <f aca="false">IF(C1158="","",IF(G1158="ACCEPTÉ","OUI","NON"))</f>
        <v>OUI</v>
      </c>
      <c r="I1158" s="83"/>
      <c r="J1158" s="80"/>
      <c r="K1158" s="81"/>
      <c r="L1158" s="81"/>
      <c r="M1158" s="81"/>
      <c r="N1158" s="84" t="str">
        <f aca="false">IF(C1158="","",IF(P1158="","NJ INCONNU",IF(I1158="",IF(H1158="OUI","À ENROBER",IF(G1158="À SOUDER","NON SOUDÉ","EN ATTENTE RT")),IF(L1158="R","À REPRENDRE",IF(H1158&lt;&gt;"OUI","⚠ ENROBÉ AVANT ACCEPTATION RT","ENROBÉ")))))</f>
        <v>À ENROBER</v>
      </c>
      <c r="O1158" s="80"/>
      <c r="P1158" s="82" t="n">
        <f aca="false">IF(C1158="","",IFERROR(MATCH(Q1158,'CARNET DE SOUDURE'!$AW$7:$AW$3006,0),""))</f>
        <v>1152</v>
      </c>
      <c r="Q1158" s="82" t="str">
        <f aca="false">IF(C1158="","",B1158&amp;"|"&amp;C1158)</f>
        <v>MFD-ISW → MFD-CPF|JN°1007</v>
      </c>
    </row>
    <row r="1159" customFormat="false" ht="74.6" hidden="false" customHeight="false" outlineLevel="0" collapsed="false">
      <c r="A1159" s="82" t="n">
        <f aca="false">IF(C1159="","",ROW()-6)</f>
        <v>1153</v>
      </c>
      <c r="B1159" s="80" t="s">
        <v>110</v>
      </c>
      <c r="C1159" s="113" t="s">
        <v>1134</v>
      </c>
      <c r="D1159" s="82" t="str">
        <f aca="false">IF(OR(C1159="",P1159=""),"",INDEX('CARNET DE SOUDURE'!$D$7:$D$3006,P1159)&amp;"")</f>
        <v>6</v>
      </c>
      <c r="E1159" s="114" t="n">
        <f aca="false">IF(OR(C1159="",P1159=""),"",IF(INDEX('CARNET DE SOUDURE'!$U$7:$U$3006,P1159)="","",INDEX('CARNET DE SOUDURE'!$U$7:$U$3006,P1159)))</f>
        <v>46277</v>
      </c>
      <c r="F1159" s="82" t="str">
        <f aca="false">IF(OR(C1159="",P1159=""),"",INDEX('CARNET DE SOUDURE'!$AP$7:$AP$3006,P1159))</f>
        <v>A</v>
      </c>
      <c r="G1159" s="82" t="str">
        <f aca="false">IF(C1159="","",IF(P1159="","NJ INCONNU",INDEX('CARNET DE SOUDURE'!$AQ$7:$AQ$3006,P1159)))</f>
        <v>ACCEPTÉ</v>
      </c>
      <c r="H1159" s="82" t="str">
        <f aca="false">IF(C1159="","",IF(G1159="ACCEPTÉ","OUI","NON"))</f>
        <v>OUI</v>
      </c>
      <c r="I1159" s="83"/>
      <c r="J1159" s="80"/>
      <c r="K1159" s="81"/>
      <c r="L1159" s="81"/>
      <c r="M1159" s="81"/>
      <c r="N1159" s="84" t="str">
        <f aca="false">IF(C1159="","",IF(P1159="","NJ INCONNU",IF(I1159="",IF(H1159="OUI","À ENROBER",IF(G1159="À SOUDER","NON SOUDÉ","EN ATTENTE RT")),IF(L1159="R","À REPRENDRE",IF(H1159&lt;&gt;"OUI","⚠ ENROBÉ AVANT ACCEPTATION RT","ENROBÉ")))))</f>
        <v>À ENROBER</v>
      </c>
      <c r="O1159" s="80"/>
      <c r="P1159" s="82" t="n">
        <f aca="false">IF(C1159="","",IFERROR(MATCH(Q1159,'CARNET DE SOUDURE'!$AW$7:$AW$3006,0),""))</f>
        <v>963</v>
      </c>
      <c r="Q1159" s="82" t="str">
        <f aca="false">IF(C1159="","",B1159&amp;"|"&amp;C1159)</f>
        <v>MFD-ISW → MFD-CPF|DJ°360</v>
      </c>
    </row>
    <row r="1160" customFormat="false" ht="74.6" hidden="false" customHeight="false" outlineLevel="0" collapsed="false">
      <c r="A1160" s="82" t="n">
        <f aca="false">IF(C1160="","",ROW()-6)</f>
        <v>1154</v>
      </c>
      <c r="B1160" s="80" t="s">
        <v>110</v>
      </c>
      <c r="C1160" s="113" t="s">
        <v>1385</v>
      </c>
      <c r="D1160" s="82" t="str">
        <f aca="false">IF(OR(C1160="",P1160=""),"",INDEX('CARNET DE SOUDURE'!$D$7:$D$3006,P1160)&amp;"")</f>
        <v>9</v>
      </c>
      <c r="E1160" s="114" t="n">
        <f aca="false">IF(OR(C1160="",P1160=""),"",IF(INDEX('CARNET DE SOUDURE'!$U$7:$U$3006,P1160)="","",INDEX('CARNET DE SOUDURE'!$U$7:$U$3006,P1160)))</f>
        <v>46279</v>
      </c>
      <c r="F1160" s="82" t="str">
        <f aca="false">IF(OR(C1160="",P1160=""),"",INDEX('CARNET DE SOUDURE'!$AP$7:$AP$3006,P1160))</f>
        <v>A</v>
      </c>
      <c r="G1160" s="82" t="str">
        <f aca="false">IF(C1160="","",IF(P1160="","NJ INCONNU",INDEX('CARNET DE SOUDURE'!$AQ$7:$AQ$3006,P1160)))</f>
        <v>ACCEPTÉ</v>
      </c>
      <c r="H1160" s="82" t="str">
        <f aca="false">IF(C1160="","",IF(G1160="ACCEPTÉ","OUI","NON"))</f>
        <v>OUI</v>
      </c>
      <c r="I1160" s="83"/>
      <c r="J1160" s="80"/>
      <c r="K1160" s="81"/>
      <c r="L1160" s="81"/>
      <c r="M1160" s="81"/>
      <c r="N1160" s="84" t="str">
        <f aca="false">IF(C1160="","",IF(P1160="","NJ INCONNU",IF(I1160="",IF(H1160="OUI","À ENROBER",IF(G1160="À SOUDER","NON SOUDÉ","EN ATTENTE RT")),IF(L1160="R","À REPRENDRE",IF(H1160&lt;&gt;"OUI","⚠ ENROBÉ AVANT ACCEPTATION RT","ENROBÉ")))))</f>
        <v>À ENROBER</v>
      </c>
      <c r="O1160" s="80"/>
      <c r="P1160" s="82" t="n">
        <f aca="false">IF(C1160="","",IFERROR(MATCH(Q1160,'CARNET DE SOUDURE'!$AW$7:$AW$3006,0),""))</f>
        <v>1154</v>
      </c>
      <c r="Q1160" s="82" t="str">
        <f aca="false">IF(C1160="","",B1160&amp;"|"&amp;C1160)</f>
        <v>MFD-ISW → MFD-CPF|JN°1008</v>
      </c>
    </row>
    <row r="1161" customFormat="false" ht="74.6" hidden="false" customHeight="false" outlineLevel="0" collapsed="false">
      <c r="A1161" s="82" t="n">
        <f aca="false">IF(C1161="","",ROW()-6)</f>
        <v>1155</v>
      </c>
      <c r="B1161" s="80" t="s">
        <v>110</v>
      </c>
      <c r="C1161" s="113" t="s">
        <v>1386</v>
      </c>
      <c r="D1161" s="82" t="str">
        <f aca="false">IF(OR(C1161="",P1161=""),"",INDEX('CARNET DE SOUDURE'!$D$7:$D$3006,P1161)&amp;"")</f>
        <v>9</v>
      </c>
      <c r="E1161" s="114" t="n">
        <f aca="false">IF(OR(C1161="",P1161=""),"",IF(INDEX('CARNET DE SOUDURE'!$U$7:$U$3006,P1161)="","",INDEX('CARNET DE SOUDURE'!$U$7:$U$3006,P1161)))</f>
        <v>46277</v>
      </c>
      <c r="F1161" s="82" t="str">
        <f aca="false">IF(OR(C1161="",P1161=""),"",INDEX('CARNET DE SOUDURE'!$AP$7:$AP$3006,P1161))</f>
        <v>A</v>
      </c>
      <c r="G1161" s="82" t="str">
        <f aca="false">IF(C1161="","",IF(P1161="","NJ INCONNU",INDEX('CARNET DE SOUDURE'!$AQ$7:$AQ$3006,P1161)))</f>
        <v>ACCEPTÉ</v>
      </c>
      <c r="H1161" s="82" t="str">
        <f aca="false">IF(C1161="","",IF(G1161="ACCEPTÉ","OUI","NON"))</f>
        <v>OUI</v>
      </c>
      <c r="I1161" s="83"/>
      <c r="J1161" s="80"/>
      <c r="K1161" s="81"/>
      <c r="L1161" s="81"/>
      <c r="M1161" s="81"/>
      <c r="N1161" s="84" t="str">
        <f aca="false">IF(C1161="","",IF(P1161="","NJ INCONNU",IF(I1161="",IF(H1161="OUI","À ENROBER",IF(G1161="À SOUDER","NON SOUDÉ","EN ATTENTE RT")),IF(L1161="R","À REPRENDRE",IF(H1161&lt;&gt;"OUI","⚠ ENROBÉ AVANT ACCEPTATION RT","ENROBÉ")))))</f>
        <v>À ENROBER</v>
      </c>
      <c r="O1161" s="80"/>
      <c r="P1161" s="82" t="n">
        <f aca="false">IF(C1161="","",IFERROR(MATCH(Q1161,'CARNET DE SOUDURE'!$AW$7:$AW$3006,0),""))</f>
        <v>1155</v>
      </c>
      <c r="Q1161" s="82" t="str">
        <f aca="false">IF(C1161="","",B1161&amp;"|"&amp;C1161)</f>
        <v>MFD-ISW → MFD-CPF|DJ°358</v>
      </c>
    </row>
    <row r="1162" customFormat="false" ht="74.6" hidden="false" customHeight="false" outlineLevel="0" collapsed="false">
      <c r="A1162" s="82" t="n">
        <f aca="false">IF(C1162="","",ROW()-6)</f>
        <v>1156</v>
      </c>
      <c r="B1162" s="80" t="s">
        <v>110</v>
      </c>
      <c r="C1162" s="113" t="s">
        <v>1387</v>
      </c>
      <c r="D1162" s="82" t="str">
        <f aca="false">IF(OR(C1162="",P1162=""),"",INDEX('CARNET DE SOUDURE'!$D$7:$D$3006,P1162)&amp;"")</f>
        <v>9</v>
      </c>
      <c r="E1162" s="114" t="n">
        <f aca="false">IF(OR(C1162="",P1162=""),"",IF(INDEX('CARNET DE SOUDURE'!$U$7:$U$3006,P1162)="","",INDEX('CARNET DE SOUDURE'!$U$7:$U$3006,P1162)))</f>
        <v>46279</v>
      </c>
      <c r="F1162" s="82" t="str">
        <f aca="false">IF(OR(C1162="",P1162=""),"",INDEX('CARNET DE SOUDURE'!$AP$7:$AP$3006,P1162))</f>
        <v>A</v>
      </c>
      <c r="G1162" s="82" t="str">
        <f aca="false">IF(C1162="","",IF(P1162="","NJ INCONNU",INDEX('CARNET DE SOUDURE'!$AQ$7:$AQ$3006,P1162)))</f>
        <v>ACCEPTÉ</v>
      </c>
      <c r="H1162" s="82" t="str">
        <f aca="false">IF(C1162="","",IF(G1162="ACCEPTÉ","OUI","NON"))</f>
        <v>OUI</v>
      </c>
      <c r="I1162" s="83"/>
      <c r="J1162" s="80"/>
      <c r="K1162" s="81"/>
      <c r="L1162" s="81"/>
      <c r="M1162" s="81"/>
      <c r="N1162" s="84" t="str">
        <f aca="false">IF(C1162="","",IF(P1162="","NJ INCONNU",IF(I1162="",IF(H1162="OUI","À ENROBER",IF(G1162="À SOUDER","NON SOUDÉ","EN ATTENTE RT")),IF(L1162="R","À REPRENDRE",IF(H1162&lt;&gt;"OUI","⚠ ENROBÉ AVANT ACCEPTATION RT","ENROBÉ")))))</f>
        <v>À ENROBER</v>
      </c>
      <c r="O1162" s="80"/>
      <c r="P1162" s="82" t="n">
        <f aca="false">IF(C1162="","",IFERROR(MATCH(Q1162,'CARNET DE SOUDURE'!$AW$7:$AW$3006,0),""))</f>
        <v>1156</v>
      </c>
      <c r="Q1162" s="82" t="str">
        <f aca="false">IF(C1162="","",B1162&amp;"|"&amp;C1162)</f>
        <v>MFD-ISW → MFD-CPF|JN°1009</v>
      </c>
    </row>
    <row r="1163" customFormat="false" ht="74.6" hidden="false" customHeight="false" outlineLevel="0" collapsed="false">
      <c r="A1163" s="82" t="n">
        <f aca="false">IF(C1163="","",ROW()-6)</f>
        <v>1157</v>
      </c>
      <c r="B1163" s="80" t="s">
        <v>110</v>
      </c>
      <c r="C1163" s="113" t="s">
        <v>1388</v>
      </c>
      <c r="D1163" s="82" t="str">
        <f aca="false">IF(OR(C1163="",P1163=""),"",INDEX('CARNET DE SOUDURE'!$D$7:$D$3006,P1163)&amp;"")</f>
        <v>9</v>
      </c>
      <c r="E1163" s="114" t="n">
        <f aca="false">IF(OR(C1163="",P1163=""),"",IF(INDEX('CARNET DE SOUDURE'!$U$7:$U$3006,P1163)="","",INDEX('CARNET DE SOUDURE'!$U$7:$U$3006,P1163)))</f>
        <v>46277</v>
      </c>
      <c r="F1163" s="82" t="str">
        <f aca="false">IF(OR(C1163="",P1163=""),"",INDEX('CARNET DE SOUDURE'!$AP$7:$AP$3006,P1163))</f>
        <v>A</v>
      </c>
      <c r="G1163" s="82" t="str">
        <f aca="false">IF(C1163="","",IF(P1163="","NJ INCONNU",INDEX('CARNET DE SOUDURE'!$AQ$7:$AQ$3006,P1163)))</f>
        <v>ACCEPTÉ</v>
      </c>
      <c r="H1163" s="82" t="str">
        <f aca="false">IF(C1163="","",IF(G1163="ACCEPTÉ","OUI","NON"))</f>
        <v>OUI</v>
      </c>
      <c r="I1163" s="83"/>
      <c r="J1163" s="80"/>
      <c r="K1163" s="81"/>
      <c r="L1163" s="81"/>
      <c r="M1163" s="81"/>
      <c r="N1163" s="84" t="str">
        <f aca="false">IF(C1163="","",IF(P1163="","NJ INCONNU",IF(I1163="",IF(H1163="OUI","À ENROBER",IF(G1163="À SOUDER","NON SOUDÉ","EN ATTENTE RT")),IF(L1163="R","À REPRENDRE",IF(H1163&lt;&gt;"OUI","⚠ ENROBÉ AVANT ACCEPTATION RT","ENROBÉ")))))</f>
        <v>À ENROBER</v>
      </c>
      <c r="O1163" s="80"/>
      <c r="P1163" s="82" t="n">
        <f aca="false">IF(C1163="","",IFERROR(MATCH(Q1163,'CARNET DE SOUDURE'!$AW$7:$AW$3006,0),""))</f>
        <v>1157</v>
      </c>
      <c r="Q1163" s="82" t="str">
        <f aca="false">IF(C1163="","",B1163&amp;"|"&amp;C1163)</f>
        <v>MFD-ISW → MFD-CPF|DJ°357</v>
      </c>
    </row>
    <row r="1164" customFormat="false" ht="74.6" hidden="false" customHeight="false" outlineLevel="0" collapsed="false">
      <c r="A1164" s="82" t="n">
        <f aca="false">IF(C1164="","",ROW()-6)</f>
        <v>1158</v>
      </c>
      <c r="B1164" s="80" t="s">
        <v>110</v>
      </c>
      <c r="C1164" s="113" t="s">
        <v>1390</v>
      </c>
      <c r="D1164" s="82" t="str">
        <f aca="false">IF(OR(C1164="",P1164=""),"",INDEX('CARNET DE SOUDURE'!$D$7:$D$3006,P1164)&amp;"")</f>
        <v>9</v>
      </c>
      <c r="E1164" s="114" t="str">
        <f aca="false">IF(OR(C1164="",P1164=""),"",IF(INDEX('CARNET DE SOUDURE'!$U$7:$U$3006,P1164)="","",INDEX('CARNET DE SOUDURE'!$U$7:$U$3006,P1164)))</f>
        <v/>
      </c>
      <c r="F1164" s="82" t="str">
        <f aca="false">IF(OR(C1164="",P1164=""),"",INDEX('CARNET DE SOUDURE'!$AP$7:$AP$3006,P1164))</f>
        <v/>
      </c>
      <c r="G1164" s="82" t="str">
        <f aca="false">IF(C1164="","",IF(P1164="","NJ INCONNU",INDEX('CARNET DE SOUDURE'!$AQ$7:$AQ$3006,P1164)))</f>
        <v>À SOUDER</v>
      </c>
      <c r="H1164" s="82" t="str">
        <f aca="false">IF(C1164="","",IF(G1164="ACCEPTÉ","OUI","NON"))</f>
        <v>NON</v>
      </c>
      <c r="I1164" s="83"/>
      <c r="J1164" s="80"/>
      <c r="K1164" s="81"/>
      <c r="L1164" s="81"/>
      <c r="M1164" s="81"/>
      <c r="N1164" s="84" t="str">
        <f aca="false">IF(C1164="","",IF(P1164="","NJ INCONNU",IF(I1164="",IF(H1164="OUI","À ENROBER",IF(G1164="À SOUDER","NON SOUDÉ","EN ATTENTE RT")),IF(L1164="R","À REPRENDRE",IF(H1164&lt;&gt;"OUI","⚠ ENROBÉ AVANT ACCEPTATION RT","ENROBÉ")))))</f>
        <v>NON SOUDÉ</v>
      </c>
      <c r="O1164" s="80"/>
      <c r="P1164" s="82" t="n">
        <f aca="false">IF(C1164="","",IFERROR(MATCH(Q1164,'CARNET DE SOUDURE'!$AW$7:$AW$3006,0),""))</f>
        <v>1158</v>
      </c>
      <c r="Q1164" s="82" t="str">
        <f aca="false">IF(C1164="","",B1164&amp;"|"&amp;C1164)</f>
        <v>MFD-ISW → MFD-CPF|JN°1010</v>
      </c>
    </row>
    <row r="1165" customFormat="false" ht="74.6" hidden="false" customHeight="false" outlineLevel="0" collapsed="false">
      <c r="A1165" s="82" t="n">
        <f aca="false">IF(C1165="","",ROW()-6)</f>
        <v>1159</v>
      </c>
      <c r="B1165" s="80" t="s">
        <v>110</v>
      </c>
      <c r="C1165" s="113" t="s">
        <v>1392</v>
      </c>
      <c r="D1165" s="82" t="str">
        <f aca="false">IF(OR(C1165="",P1165=""),"",INDEX('CARNET DE SOUDURE'!$D$7:$D$3006,P1165)&amp;"")</f>
        <v>9</v>
      </c>
      <c r="E1165" s="114" t="str">
        <f aca="false">IF(OR(C1165="",P1165=""),"",IF(INDEX('CARNET DE SOUDURE'!$U$7:$U$3006,P1165)="","",INDEX('CARNET DE SOUDURE'!$U$7:$U$3006,P1165)))</f>
        <v/>
      </c>
      <c r="F1165" s="82" t="str">
        <f aca="false">IF(OR(C1165="",P1165=""),"",INDEX('CARNET DE SOUDURE'!$AP$7:$AP$3006,P1165))</f>
        <v/>
      </c>
      <c r="G1165" s="82" t="str">
        <f aca="false">IF(C1165="","",IF(P1165="","NJ INCONNU",INDEX('CARNET DE SOUDURE'!$AQ$7:$AQ$3006,P1165)))</f>
        <v>À SOUDER</v>
      </c>
      <c r="H1165" s="82" t="str">
        <f aca="false">IF(C1165="","",IF(G1165="ACCEPTÉ","OUI","NON"))</f>
        <v>NON</v>
      </c>
      <c r="I1165" s="83"/>
      <c r="J1165" s="80"/>
      <c r="K1165" s="81"/>
      <c r="L1165" s="81"/>
      <c r="M1165" s="81"/>
      <c r="N1165" s="84" t="str">
        <f aca="false">IF(C1165="","",IF(P1165="","NJ INCONNU",IF(I1165="",IF(H1165="OUI","À ENROBER",IF(G1165="À SOUDER","NON SOUDÉ","EN ATTENTE RT")),IF(L1165="R","À REPRENDRE",IF(H1165&lt;&gt;"OUI","⚠ ENROBÉ AVANT ACCEPTATION RT","ENROBÉ")))))</f>
        <v>NON SOUDÉ</v>
      </c>
      <c r="O1165" s="80"/>
      <c r="P1165" s="82" t="n">
        <f aca="false">IF(C1165="","",IFERROR(MATCH(Q1165,'CARNET DE SOUDURE'!$AW$7:$AW$3006,0),""))</f>
        <v>1159</v>
      </c>
      <c r="Q1165" s="82" t="str">
        <f aca="false">IF(C1165="","",B1165&amp;"|"&amp;C1165)</f>
        <v>MFD-ISW → MFD-CPF|JN°1011</v>
      </c>
    </row>
    <row r="1166" customFormat="false" ht="74.6" hidden="false" customHeight="false" outlineLevel="0" collapsed="false">
      <c r="A1166" s="82" t="n">
        <f aca="false">IF(C1166="","",ROW()-6)</f>
        <v>1160</v>
      </c>
      <c r="B1166" s="80" t="s">
        <v>110</v>
      </c>
      <c r="C1166" s="113" t="s">
        <v>1393</v>
      </c>
      <c r="D1166" s="82" t="str">
        <f aca="false">IF(OR(C1166="",P1166=""),"",INDEX('CARNET DE SOUDURE'!$D$7:$D$3006,P1166)&amp;"")</f>
        <v>9</v>
      </c>
      <c r="E1166" s="114" t="str">
        <f aca="false">IF(OR(C1166="",P1166=""),"",IF(INDEX('CARNET DE SOUDURE'!$U$7:$U$3006,P1166)="","",INDEX('CARNET DE SOUDURE'!$U$7:$U$3006,P1166)))</f>
        <v/>
      </c>
      <c r="F1166" s="82" t="str">
        <f aca="false">IF(OR(C1166="",P1166=""),"",INDEX('CARNET DE SOUDURE'!$AP$7:$AP$3006,P1166))</f>
        <v/>
      </c>
      <c r="G1166" s="82" t="str">
        <f aca="false">IF(C1166="","",IF(P1166="","NJ INCONNU",INDEX('CARNET DE SOUDURE'!$AQ$7:$AQ$3006,P1166)))</f>
        <v>À SOUDER</v>
      </c>
      <c r="H1166" s="82" t="str">
        <f aca="false">IF(C1166="","",IF(G1166="ACCEPTÉ","OUI","NON"))</f>
        <v>NON</v>
      </c>
      <c r="I1166" s="83"/>
      <c r="J1166" s="80"/>
      <c r="K1166" s="81"/>
      <c r="L1166" s="81"/>
      <c r="M1166" s="81"/>
      <c r="N1166" s="84" t="str">
        <f aca="false">IF(C1166="","",IF(P1166="","NJ INCONNU",IF(I1166="",IF(H1166="OUI","À ENROBER",IF(G1166="À SOUDER","NON SOUDÉ","EN ATTENTE RT")),IF(L1166="R","À REPRENDRE",IF(H1166&lt;&gt;"OUI","⚠ ENROBÉ AVANT ACCEPTATION RT","ENROBÉ")))))</f>
        <v>NON SOUDÉ</v>
      </c>
      <c r="O1166" s="80"/>
      <c r="P1166" s="82" t="n">
        <f aca="false">IF(C1166="","",IFERROR(MATCH(Q1166,'CARNET DE SOUDURE'!$AW$7:$AW$3006,0),""))</f>
        <v>1160</v>
      </c>
      <c r="Q1166" s="82" t="str">
        <f aca="false">IF(C1166="","",B1166&amp;"|"&amp;C1166)</f>
        <v>MFD-ISW → MFD-CPF|JN°1012</v>
      </c>
    </row>
    <row r="1167" customFormat="false" ht="74.6" hidden="false" customHeight="false" outlineLevel="0" collapsed="false">
      <c r="A1167" s="82" t="n">
        <f aca="false">IF(C1167="","",ROW()-6)</f>
        <v>1161</v>
      </c>
      <c r="B1167" s="80" t="s">
        <v>110</v>
      </c>
      <c r="C1167" s="113" t="s">
        <v>1394</v>
      </c>
      <c r="D1167" s="82" t="str">
        <f aca="false">IF(OR(C1167="",P1167=""),"",INDEX('CARNET DE SOUDURE'!$D$7:$D$3006,P1167)&amp;"")</f>
        <v>9</v>
      </c>
      <c r="E1167" s="114" t="str">
        <f aca="false">IF(OR(C1167="",P1167=""),"",IF(INDEX('CARNET DE SOUDURE'!$U$7:$U$3006,P1167)="","",INDEX('CARNET DE SOUDURE'!$U$7:$U$3006,P1167)))</f>
        <v/>
      </c>
      <c r="F1167" s="82" t="str">
        <f aca="false">IF(OR(C1167="",P1167=""),"",INDEX('CARNET DE SOUDURE'!$AP$7:$AP$3006,P1167))</f>
        <v/>
      </c>
      <c r="G1167" s="82" t="str">
        <f aca="false">IF(C1167="","",IF(P1167="","NJ INCONNU",INDEX('CARNET DE SOUDURE'!$AQ$7:$AQ$3006,P1167)))</f>
        <v>À SOUDER</v>
      </c>
      <c r="H1167" s="82" t="str">
        <f aca="false">IF(C1167="","",IF(G1167="ACCEPTÉ","OUI","NON"))</f>
        <v>NON</v>
      </c>
      <c r="I1167" s="83"/>
      <c r="J1167" s="80"/>
      <c r="K1167" s="81"/>
      <c r="L1167" s="81"/>
      <c r="M1167" s="81"/>
      <c r="N1167" s="84" t="str">
        <f aca="false">IF(C1167="","",IF(P1167="","NJ INCONNU",IF(I1167="",IF(H1167="OUI","À ENROBER",IF(G1167="À SOUDER","NON SOUDÉ","EN ATTENTE RT")),IF(L1167="R","À REPRENDRE",IF(H1167&lt;&gt;"OUI","⚠ ENROBÉ AVANT ACCEPTATION RT","ENROBÉ")))))</f>
        <v>NON SOUDÉ</v>
      </c>
      <c r="O1167" s="80"/>
      <c r="P1167" s="82" t="n">
        <f aca="false">IF(C1167="","",IFERROR(MATCH(Q1167,'CARNET DE SOUDURE'!$AW$7:$AW$3006,0),""))</f>
        <v>1161</v>
      </c>
      <c r="Q1167" s="82" t="str">
        <f aca="false">IF(C1167="","",B1167&amp;"|"&amp;C1167)</f>
        <v>MFD-ISW → MFD-CPF|JN°1013</v>
      </c>
    </row>
    <row r="1168" customFormat="false" ht="74.6" hidden="false" customHeight="false" outlineLevel="0" collapsed="false">
      <c r="A1168" s="82" t="n">
        <f aca="false">IF(C1168="","",ROW()-6)</f>
        <v>1162</v>
      </c>
      <c r="B1168" s="80" t="s">
        <v>110</v>
      </c>
      <c r="C1168" s="113" t="s">
        <v>1395</v>
      </c>
      <c r="D1168" s="82" t="str">
        <f aca="false">IF(OR(C1168="",P1168=""),"",INDEX('CARNET DE SOUDURE'!$D$7:$D$3006,P1168)&amp;"")</f>
        <v>9</v>
      </c>
      <c r="E1168" s="114" t="str">
        <f aca="false">IF(OR(C1168="",P1168=""),"",IF(INDEX('CARNET DE SOUDURE'!$U$7:$U$3006,P1168)="","",INDEX('CARNET DE SOUDURE'!$U$7:$U$3006,P1168)))</f>
        <v/>
      </c>
      <c r="F1168" s="82" t="str">
        <f aca="false">IF(OR(C1168="",P1168=""),"",INDEX('CARNET DE SOUDURE'!$AP$7:$AP$3006,P1168))</f>
        <v/>
      </c>
      <c r="G1168" s="82" t="str">
        <f aca="false">IF(C1168="","",IF(P1168="","NJ INCONNU",INDEX('CARNET DE SOUDURE'!$AQ$7:$AQ$3006,P1168)))</f>
        <v>À SOUDER</v>
      </c>
      <c r="H1168" s="82" t="str">
        <f aca="false">IF(C1168="","",IF(G1168="ACCEPTÉ","OUI","NON"))</f>
        <v>NON</v>
      </c>
      <c r="I1168" s="83"/>
      <c r="J1168" s="80"/>
      <c r="K1168" s="81"/>
      <c r="L1168" s="81"/>
      <c r="M1168" s="81"/>
      <c r="N1168" s="84" t="str">
        <f aca="false">IF(C1168="","",IF(P1168="","NJ INCONNU",IF(I1168="",IF(H1168="OUI","À ENROBER",IF(G1168="À SOUDER","NON SOUDÉ","EN ATTENTE RT")),IF(L1168="R","À REPRENDRE",IF(H1168&lt;&gt;"OUI","⚠ ENROBÉ AVANT ACCEPTATION RT","ENROBÉ")))))</f>
        <v>NON SOUDÉ</v>
      </c>
      <c r="O1168" s="80"/>
      <c r="P1168" s="82" t="n">
        <f aca="false">IF(C1168="","",IFERROR(MATCH(Q1168,'CARNET DE SOUDURE'!$AW$7:$AW$3006,0),""))</f>
        <v>1162</v>
      </c>
      <c r="Q1168" s="82" t="str">
        <f aca="false">IF(C1168="","",B1168&amp;"|"&amp;C1168)</f>
        <v>MFD-ISW → MFD-CPF|JN°1014</v>
      </c>
    </row>
    <row r="1169" customFormat="false" ht="74.6" hidden="false" customHeight="false" outlineLevel="0" collapsed="false">
      <c r="A1169" s="82" t="n">
        <f aca="false">IF(C1169="","",ROW()-6)</f>
        <v>1163</v>
      </c>
      <c r="B1169" s="80" t="s">
        <v>110</v>
      </c>
      <c r="C1169" s="113" t="s">
        <v>1396</v>
      </c>
      <c r="D1169" s="82" t="str">
        <f aca="false">IF(OR(C1169="",P1169=""),"",INDEX('CARNET DE SOUDURE'!$D$7:$D$3006,P1169)&amp;"")</f>
        <v>9</v>
      </c>
      <c r="E1169" s="114" t="str">
        <f aca="false">IF(OR(C1169="",P1169=""),"",IF(INDEX('CARNET DE SOUDURE'!$U$7:$U$3006,P1169)="","",INDEX('CARNET DE SOUDURE'!$U$7:$U$3006,P1169)))</f>
        <v/>
      </c>
      <c r="F1169" s="82" t="str">
        <f aca="false">IF(OR(C1169="",P1169=""),"",INDEX('CARNET DE SOUDURE'!$AP$7:$AP$3006,P1169))</f>
        <v/>
      </c>
      <c r="G1169" s="82" t="str">
        <f aca="false">IF(C1169="","",IF(P1169="","NJ INCONNU",INDEX('CARNET DE SOUDURE'!$AQ$7:$AQ$3006,P1169)))</f>
        <v>À SOUDER</v>
      </c>
      <c r="H1169" s="82" t="str">
        <f aca="false">IF(C1169="","",IF(G1169="ACCEPTÉ","OUI","NON"))</f>
        <v>NON</v>
      </c>
      <c r="I1169" s="83"/>
      <c r="J1169" s="80"/>
      <c r="K1169" s="81"/>
      <c r="L1169" s="81"/>
      <c r="M1169" s="81"/>
      <c r="N1169" s="84" t="str">
        <f aca="false">IF(C1169="","",IF(P1169="","NJ INCONNU",IF(I1169="",IF(H1169="OUI","À ENROBER",IF(G1169="À SOUDER","NON SOUDÉ","EN ATTENTE RT")),IF(L1169="R","À REPRENDRE",IF(H1169&lt;&gt;"OUI","⚠ ENROBÉ AVANT ACCEPTATION RT","ENROBÉ")))))</f>
        <v>NON SOUDÉ</v>
      </c>
      <c r="O1169" s="80"/>
      <c r="P1169" s="82" t="n">
        <f aca="false">IF(C1169="","",IFERROR(MATCH(Q1169,'CARNET DE SOUDURE'!$AW$7:$AW$3006,0),""))</f>
        <v>1163</v>
      </c>
      <c r="Q1169" s="82" t="str">
        <f aca="false">IF(C1169="","",B1169&amp;"|"&amp;C1169)</f>
        <v>MFD-ISW → MFD-CPF|JN°1015</v>
      </c>
    </row>
    <row r="1170" customFormat="false" ht="74.6" hidden="false" customHeight="false" outlineLevel="0" collapsed="false">
      <c r="A1170" s="82" t="n">
        <f aca="false">IF(C1170="","",ROW()-6)</f>
        <v>1164</v>
      </c>
      <c r="B1170" s="80" t="s">
        <v>110</v>
      </c>
      <c r="C1170" s="113" t="s">
        <v>1397</v>
      </c>
      <c r="D1170" s="82" t="str">
        <f aca="false">IF(OR(C1170="",P1170=""),"",INDEX('CARNET DE SOUDURE'!$D$7:$D$3006,P1170)&amp;"")</f>
        <v>9</v>
      </c>
      <c r="E1170" s="114" t="str">
        <f aca="false">IF(OR(C1170="",P1170=""),"",IF(INDEX('CARNET DE SOUDURE'!$U$7:$U$3006,P1170)="","",INDEX('CARNET DE SOUDURE'!$U$7:$U$3006,P1170)))</f>
        <v/>
      </c>
      <c r="F1170" s="82" t="str">
        <f aca="false">IF(OR(C1170="",P1170=""),"",INDEX('CARNET DE SOUDURE'!$AP$7:$AP$3006,P1170))</f>
        <v/>
      </c>
      <c r="G1170" s="82" t="str">
        <f aca="false">IF(C1170="","",IF(P1170="","NJ INCONNU",INDEX('CARNET DE SOUDURE'!$AQ$7:$AQ$3006,P1170)))</f>
        <v>À SOUDER</v>
      </c>
      <c r="H1170" s="82" t="str">
        <f aca="false">IF(C1170="","",IF(G1170="ACCEPTÉ","OUI","NON"))</f>
        <v>NON</v>
      </c>
      <c r="I1170" s="83"/>
      <c r="J1170" s="80"/>
      <c r="K1170" s="81"/>
      <c r="L1170" s="81"/>
      <c r="M1170" s="81"/>
      <c r="N1170" s="84" t="str">
        <f aca="false">IF(C1170="","",IF(P1170="","NJ INCONNU",IF(I1170="",IF(H1170="OUI","À ENROBER",IF(G1170="À SOUDER","NON SOUDÉ","EN ATTENTE RT")),IF(L1170="R","À REPRENDRE",IF(H1170&lt;&gt;"OUI","⚠ ENROBÉ AVANT ACCEPTATION RT","ENROBÉ")))))</f>
        <v>NON SOUDÉ</v>
      </c>
      <c r="O1170" s="80"/>
      <c r="P1170" s="82" t="n">
        <f aca="false">IF(C1170="","",IFERROR(MATCH(Q1170,'CARNET DE SOUDURE'!$AW$7:$AW$3006,0),""))</f>
        <v>1164</v>
      </c>
      <c r="Q1170" s="82" t="str">
        <f aca="false">IF(C1170="","",B1170&amp;"|"&amp;C1170)</f>
        <v>MFD-ISW → MFD-CPF|JN°1016</v>
      </c>
    </row>
    <row r="1171" customFormat="false" ht="74.6" hidden="false" customHeight="false" outlineLevel="0" collapsed="false">
      <c r="A1171" s="82" t="n">
        <f aca="false">IF(C1171="","",ROW()-6)</f>
        <v>1165</v>
      </c>
      <c r="B1171" s="80" t="s">
        <v>110</v>
      </c>
      <c r="C1171" s="113" t="s">
        <v>1398</v>
      </c>
      <c r="D1171" s="82" t="str">
        <f aca="false">IF(OR(C1171="",P1171=""),"",INDEX('CARNET DE SOUDURE'!$D$7:$D$3006,P1171)&amp;"")</f>
        <v>9</v>
      </c>
      <c r="E1171" s="114" t="str">
        <f aca="false">IF(OR(C1171="",P1171=""),"",IF(INDEX('CARNET DE SOUDURE'!$U$7:$U$3006,P1171)="","",INDEX('CARNET DE SOUDURE'!$U$7:$U$3006,P1171)))</f>
        <v/>
      </c>
      <c r="F1171" s="82" t="str">
        <f aca="false">IF(OR(C1171="",P1171=""),"",INDEX('CARNET DE SOUDURE'!$AP$7:$AP$3006,P1171))</f>
        <v/>
      </c>
      <c r="G1171" s="82" t="str">
        <f aca="false">IF(C1171="","",IF(P1171="","NJ INCONNU",INDEX('CARNET DE SOUDURE'!$AQ$7:$AQ$3006,P1171)))</f>
        <v>À SOUDER</v>
      </c>
      <c r="H1171" s="82" t="str">
        <f aca="false">IF(C1171="","",IF(G1171="ACCEPTÉ","OUI","NON"))</f>
        <v>NON</v>
      </c>
      <c r="I1171" s="83"/>
      <c r="J1171" s="80"/>
      <c r="K1171" s="81"/>
      <c r="L1171" s="81"/>
      <c r="M1171" s="81"/>
      <c r="N1171" s="84" t="str">
        <f aca="false">IF(C1171="","",IF(P1171="","NJ INCONNU",IF(I1171="",IF(H1171="OUI","À ENROBER",IF(G1171="À SOUDER","NON SOUDÉ","EN ATTENTE RT")),IF(L1171="R","À REPRENDRE",IF(H1171&lt;&gt;"OUI","⚠ ENROBÉ AVANT ACCEPTATION RT","ENROBÉ")))))</f>
        <v>NON SOUDÉ</v>
      </c>
      <c r="O1171" s="80"/>
      <c r="P1171" s="82" t="n">
        <f aca="false">IF(C1171="","",IFERROR(MATCH(Q1171,'CARNET DE SOUDURE'!$AW$7:$AW$3006,0),""))</f>
        <v>1165</v>
      </c>
      <c r="Q1171" s="82" t="str">
        <f aca="false">IF(C1171="","",B1171&amp;"|"&amp;C1171)</f>
        <v>MFD-ISW → MFD-CPF|JN°1017</v>
      </c>
    </row>
    <row r="1172" customFormat="false" ht="74.6" hidden="false" customHeight="false" outlineLevel="0" collapsed="false">
      <c r="A1172" s="82" t="n">
        <f aca="false">IF(C1172="","",ROW()-6)</f>
        <v>1166</v>
      </c>
      <c r="B1172" s="80" t="s">
        <v>110</v>
      </c>
      <c r="C1172" s="113" t="s">
        <v>1399</v>
      </c>
      <c r="D1172" s="82" t="str">
        <f aca="false">IF(OR(C1172="",P1172=""),"",INDEX('CARNET DE SOUDURE'!$D$7:$D$3006,P1172)&amp;"")</f>
        <v>9</v>
      </c>
      <c r="E1172" s="114" t="str">
        <f aca="false">IF(OR(C1172="",P1172=""),"",IF(INDEX('CARNET DE SOUDURE'!$U$7:$U$3006,P1172)="","",INDEX('CARNET DE SOUDURE'!$U$7:$U$3006,P1172)))</f>
        <v/>
      </c>
      <c r="F1172" s="82" t="str">
        <f aca="false">IF(OR(C1172="",P1172=""),"",INDEX('CARNET DE SOUDURE'!$AP$7:$AP$3006,P1172))</f>
        <v/>
      </c>
      <c r="G1172" s="82" t="str">
        <f aca="false">IF(C1172="","",IF(P1172="","NJ INCONNU",INDEX('CARNET DE SOUDURE'!$AQ$7:$AQ$3006,P1172)))</f>
        <v>À SOUDER</v>
      </c>
      <c r="H1172" s="82" t="str">
        <f aca="false">IF(C1172="","",IF(G1172="ACCEPTÉ","OUI","NON"))</f>
        <v>NON</v>
      </c>
      <c r="I1172" s="83"/>
      <c r="J1172" s="80"/>
      <c r="K1172" s="81"/>
      <c r="L1172" s="81"/>
      <c r="M1172" s="81"/>
      <c r="N1172" s="84" t="str">
        <f aca="false">IF(C1172="","",IF(P1172="","NJ INCONNU",IF(I1172="",IF(H1172="OUI","À ENROBER",IF(G1172="À SOUDER","NON SOUDÉ","EN ATTENTE RT")),IF(L1172="R","À REPRENDRE",IF(H1172&lt;&gt;"OUI","⚠ ENROBÉ AVANT ACCEPTATION RT","ENROBÉ")))))</f>
        <v>NON SOUDÉ</v>
      </c>
      <c r="O1172" s="80"/>
      <c r="P1172" s="82" t="n">
        <f aca="false">IF(C1172="","",IFERROR(MATCH(Q1172,'CARNET DE SOUDURE'!$AW$7:$AW$3006,0),""))</f>
        <v>1166</v>
      </c>
      <c r="Q1172" s="82" t="str">
        <f aca="false">IF(C1172="","",B1172&amp;"|"&amp;C1172)</f>
        <v>MFD-ISW → MFD-CPF|JN°1018</v>
      </c>
    </row>
    <row r="1173" customFormat="false" ht="74.6" hidden="false" customHeight="false" outlineLevel="0" collapsed="false">
      <c r="A1173" s="82" t="n">
        <f aca="false">IF(C1173="","",ROW()-6)</f>
        <v>1167</v>
      </c>
      <c r="B1173" s="80" t="s">
        <v>110</v>
      </c>
      <c r="C1173" s="113" t="s">
        <v>1400</v>
      </c>
      <c r="D1173" s="82" t="str">
        <f aca="false">IF(OR(C1173="",P1173=""),"",INDEX('CARNET DE SOUDURE'!$D$7:$D$3006,P1173)&amp;"")</f>
        <v>9</v>
      </c>
      <c r="E1173" s="114" t="str">
        <f aca="false">IF(OR(C1173="",P1173=""),"",IF(INDEX('CARNET DE SOUDURE'!$U$7:$U$3006,P1173)="","",INDEX('CARNET DE SOUDURE'!$U$7:$U$3006,P1173)))</f>
        <v/>
      </c>
      <c r="F1173" s="82" t="str">
        <f aca="false">IF(OR(C1173="",P1173=""),"",INDEX('CARNET DE SOUDURE'!$AP$7:$AP$3006,P1173))</f>
        <v/>
      </c>
      <c r="G1173" s="82" t="str">
        <f aca="false">IF(C1173="","",IF(P1173="","NJ INCONNU",INDEX('CARNET DE SOUDURE'!$AQ$7:$AQ$3006,P1173)))</f>
        <v>À SOUDER</v>
      </c>
      <c r="H1173" s="82" t="str">
        <f aca="false">IF(C1173="","",IF(G1173="ACCEPTÉ","OUI","NON"))</f>
        <v>NON</v>
      </c>
      <c r="I1173" s="83"/>
      <c r="J1173" s="80"/>
      <c r="K1173" s="81"/>
      <c r="L1173" s="81"/>
      <c r="M1173" s="81"/>
      <c r="N1173" s="84" t="str">
        <f aca="false">IF(C1173="","",IF(P1173="","NJ INCONNU",IF(I1173="",IF(H1173="OUI","À ENROBER",IF(G1173="À SOUDER","NON SOUDÉ","EN ATTENTE RT")),IF(L1173="R","À REPRENDRE",IF(H1173&lt;&gt;"OUI","⚠ ENROBÉ AVANT ACCEPTATION RT","ENROBÉ")))))</f>
        <v>NON SOUDÉ</v>
      </c>
      <c r="O1173" s="80"/>
      <c r="P1173" s="82" t="n">
        <f aca="false">IF(C1173="","",IFERROR(MATCH(Q1173,'CARNET DE SOUDURE'!$AW$7:$AW$3006,0),""))</f>
        <v>1167</v>
      </c>
      <c r="Q1173" s="82" t="str">
        <f aca="false">IF(C1173="","",B1173&amp;"|"&amp;C1173)</f>
        <v>MFD-ISW → MFD-CPF|JN°1019</v>
      </c>
    </row>
    <row r="1174" customFormat="false" ht="74.6" hidden="false" customHeight="false" outlineLevel="0" collapsed="false">
      <c r="A1174" s="82" t="n">
        <f aca="false">IF(C1174="","",ROW()-6)</f>
        <v>1168</v>
      </c>
      <c r="B1174" s="80" t="s">
        <v>110</v>
      </c>
      <c r="C1174" s="113" t="s">
        <v>1401</v>
      </c>
      <c r="D1174" s="82" t="str">
        <f aca="false">IF(OR(C1174="",P1174=""),"",INDEX('CARNET DE SOUDURE'!$D$7:$D$3006,P1174)&amp;"")</f>
        <v>9</v>
      </c>
      <c r="E1174" s="114" t="str">
        <f aca="false">IF(OR(C1174="",P1174=""),"",IF(INDEX('CARNET DE SOUDURE'!$U$7:$U$3006,P1174)="","",INDEX('CARNET DE SOUDURE'!$U$7:$U$3006,P1174)))</f>
        <v/>
      </c>
      <c r="F1174" s="82" t="str">
        <f aca="false">IF(OR(C1174="",P1174=""),"",INDEX('CARNET DE SOUDURE'!$AP$7:$AP$3006,P1174))</f>
        <v/>
      </c>
      <c r="G1174" s="82" t="str">
        <f aca="false">IF(C1174="","",IF(P1174="","NJ INCONNU",INDEX('CARNET DE SOUDURE'!$AQ$7:$AQ$3006,P1174)))</f>
        <v>À SOUDER</v>
      </c>
      <c r="H1174" s="82" t="str">
        <f aca="false">IF(C1174="","",IF(G1174="ACCEPTÉ","OUI","NON"))</f>
        <v>NON</v>
      </c>
      <c r="I1174" s="83"/>
      <c r="J1174" s="80"/>
      <c r="K1174" s="81"/>
      <c r="L1174" s="81"/>
      <c r="M1174" s="81"/>
      <c r="N1174" s="84" t="str">
        <f aca="false">IF(C1174="","",IF(P1174="","NJ INCONNU",IF(I1174="",IF(H1174="OUI","À ENROBER",IF(G1174="À SOUDER","NON SOUDÉ","EN ATTENTE RT")),IF(L1174="R","À REPRENDRE",IF(H1174&lt;&gt;"OUI","⚠ ENROBÉ AVANT ACCEPTATION RT","ENROBÉ")))))</f>
        <v>NON SOUDÉ</v>
      </c>
      <c r="O1174" s="80"/>
      <c r="P1174" s="82" t="n">
        <f aca="false">IF(C1174="","",IFERROR(MATCH(Q1174,'CARNET DE SOUDURE'!$AW$7:$AW$3006,0),""))</f>
        <v>1168</v>
      </c>
      <c r="Q1174" s="82" t="str">
        <f aca="false">IF(C1174="","",B1174&amp;"|"&amp;C1174)</f>
        <v>MFD-ISW → MFD-CPF|JN°1020</v>
      </c>
    </row>
    <row r="1175" customFormat="false" ht="74.6" hidden="false" customHeight="false" outlineLevel="0" collapsed="false">
      <c r="A1175" s="82" t="n">
        <f aca="false">IF(C1175="","",ROW()-6)</f>
        <v>1169</v>
      </c>
      <c r="B1175" s="80" t="s">
        <v>110</v>
      </c>
      <c r="C1175" s="113" t="s">
        <v>1402</v>
      </c>
      <c r="D1175" s="82" t="str">
        <f aca="false">IF(OR(C1175="",P1175=""),"",INDEX('CARNET DE SOUDURE'!$D$7:$D$3006,P1175)&amp;"")</f>
        <v>9</v>
      </c>
      <c r="E1175" s="114" t="str">
        <f aca="false">IF(OR(C1175="",P1175=""),"",IF(INDEX('CARNET DE SOUDURE'!$U$7:$U$3006,P1175)="","",INDEX('CARNET DE SOUDURE'!$U$7:$U$3006,P1175)))</f>
        <v/>
      </c>
      <c r="F1175" s="82" t="str">
        <f aca="false">IF(OR(C1175="",P1175=""),"",INDEX('CARNET DE SOUDURE'!$AP$7:$AP$3006,P1175))</f>
        <v/>
      </c>
      <c r="G1175" s="82" t="str">
        <f aca="false">IF(C1175="","",IF(P1175="","NJ INCONNU",INDEX('CARNET DE SOUDURE'!$AQ$7:$AQ$3006,P1175)))</f>
        <v>À SOUDER</v>
      </c>
      <c r="H1175" s="82" t="str">
        <f aca="false">IF(C1175="","",IF(G1175="ACCEPTÉ","OUI","NON"))</f>
        <v>NON</v>
      </c>
      <c r="I1175" s="83"/>
      <c r="J1175" s="80"/>
      <c r="K1175" s="81"/>
      <c r="L1175" s="81"/>
      <c r="M1175" s="81"/>
      <c r="N1175" s="84" t="str">
        <f aca="false">IF(C1175="","",IF(P1175="","NJ INCONNU",IF(I1175="",IF(H1175="OUI","À ENROBER",IF(G1175="À SOUDER","NON SOUDÉ","EN ATTENTE RT")),IF(L1175="R","À REPRENDRE",IF(H1175&lt;&gt;"OUI","⚠ ENROBÉ AVANT ACCEPTATION RT","ENROBÉ")))))</f>
        <v>NON SOUDÉ</v>
      </c>
      <c r="O1175" s="80"/>
      <c r="P1175" s="82" t="n">
        <f aca="false">IF(C1175="","",IFERROR(MATCH(Q1175,'CARNET DE SOUDURE'!$AW$7:$AW$3006,0),""))</f>
        <v>1169</v>
      </c>
      <c r="Q1175" s="82" t="str">
        <f aca="false">IF(C1175="","",B1175&amp;"|"&amp;C1175)</f>
        <v>MFD-ISW → MFD-CPF|JN°1021</v>
      </c>
    </row>
    <row r="1176" customFormat="false" ht="74.6" hidden="false" customHeight="false" outlineLevel="0" collapsed="false">
      <c r="A1176" s="82" t="n">
        <f aca="false">IF(C1176="","",ROW()-6)</f>
        <v>1170</v>
      </c>
      <c r="B1176" s="80" t="s">
        <v>110</v>
      </c>
      <c r="C1176" s="113" t="s">
        <v>1403</v>
      </c>
      <c r="D1176" s="82" t="str">
        <f aca="false">IF(OR(C1176="",P1176=""),"",INDEX('CARNET DE SOUDURE'!$D$7:$D$3006,P1176)&amp;"")</f>
        <v>9</v>
      </c>
      <c r="E1176" s="114" t="str">
        <f aca="false">IF(OR(C1176="",P1176=""),"",IF(INDEX('CARNET DE SOUDURE'!$U$7:$U$3006,P1176)="","",INDEX('CARNET DE SOUDURE'!$U$7:$U$3006,P1176)))</f>
        <v/>
      </c>
      <c r="F1176" s="82" t="str">
        <f aca="false">IF(OR(C1176="",P1176=""),"",INDEX('CARNET DE SOUDURE'!$AP$7:$AP$3006,P1176))</f>
        <v/>
      </c>
      <c r="G1176" s="82" t="str">
        <f aca="false">IF(C1176="","",IF(P1176="","NJ INCONNU",INDEX('CARNET DE SOUDURE'!$AQ$7:$AQ$3006,P1176)))</f>
        <v>À SOUDER</v>
      </c>
      <c r="H1176" s="82" t="str">
        <f aca="false">IF(C1176="","",IF(G1176="ACCEPTÉ","OUI","NON"))</f>
        <v>NON</v>
      </c>
      <c r="I1176" s="83"/>
      <c r="J1176" s="80"/>
      <c r="K1176" s="81"/>
      <c r="L1176" s="81"/>
      <c r="M1176" s="81"/>
      <c r="N1176" s="84" t="str">
        <f aca="false">IF(C1176="","",IF(P1176="","NJ INCONNU",IF(I1176="",IF(H1176="OUI","À ENROBER",IF(G1176="À SOUDER","NON SOUDÉ","EN ATTENTE RT")),IF(L1176="R","À REPRENDRE",IF(H1176&lt;&gt;"OUI","⚠ ENROBÉ AVANT ACCEPTATION RT","ENROBÉ")))))</f>
        <v>NON SOUDÉ</v>
      </c>
      <c r="O1176" s="80"/>
      <c r="P1176" s="82" t="n">
        <f aca="false">IF(C1176="","",IFERROR(MATCH(Q1176,'CARNET DE SOUDURE'!$AW$7:$AW$3006,0),""))</f>
        <v>1170</v>
      </c>
      <c r="Q1176" s="82" t="str">
        <f aca="false">IF(C1176="","",B1176&amp;"|"&amp;C1176)</f>
        <v>MFD-ISW → MFD-CPF|JN°1022</v>
      </c>
    </row>
    <row r="1177" customFormat="false" ht="74.6" hidden="false" customHeight="false" outlineLevel="0" collapsed="false">
      <c r="A1177" s="82" t="n">
        <f aca="false">IF(C1177="","",ROW()-6)</f>
        <v>1171</v>
      </c>
      <c r="B1177" s="80" t="s">
        <v>110</v>
      </c>
      <c r="C1177" s="113" t="s">
        <v>1405</v>
      </c>
      <c r="D1177" s="82" t="str">
        <f aca="false">IF(OR(C1177="",P1177=""),"",INDEX('CARNET DE SOUDURE'!$D$7:$D$3006,P1177)&amp;"")</f>
        <v>9</v>
      </c>
      <c r="E1177" s="114" t="n">
        <f aca="false">IF(OR(C1177="",P1177=""),"",IF(INDEX('CARNET DE SOUDURE'!$U$7:$U$3006,P1177)="","",INDEX('CARNET DE SOUDURE'!$U$7:$U$3006,P1177)))</f>
        <v>46277</v>
      </c>
      <c r="F1177" s="82" t="str">
        <f aca="false">IF(OR(C1177="",P1177=""),"",INDEX('CARNET DE SOUDURE'!$AP$7:$AP$3006,P1177))</f>
        <v>A</v>
      </c>
      <c r="G1177" s="82" t="str">
        <f aca="false">IF(C1177="","",IF(P1177="","NJ INCONNU",INDEX('CARNET DE SOUDURE'!$AQ$7:$AQ$3006,P1177)))</f>
        <v>ACCEPTÉ</v>
      </c>
      <c r="H1177" s="82" t="str">
        <f aca="false">IF(C1177="","",IF(G1177="ACCEPTÉ","OUI","NON"))</f>
        <v>OUI</v>
      </c>
      <c r="I1177" s="83"/>
      <c r="J1177" s="80"/>
      <c r="K1177" s="81"/>
      <c r="L1177" s="81"/>
      <c r="M1177" s="81"/>
      <c r="N1177" s="84" t="str">
        <f aca="false">IF(C1177="","",IF(P1177="","NJ INCONNU",IF(I1177="",IF(H1177="OUI","À ENROBER",IF(G1177="À SOUDER","NON SOUDÉ","EN ATTENTE RT")),IF(L1177="R","À REPRENDRE",IF(H1177&lt;&gt;"OUI","⚠ ENROBÉ AVANT ACCEPTATION RT","ENROBÉ")))))</f>
        <v>À ENROBER</v>
      </c>
      <c r="O1177" s="80"/>
      <c r="P1177" s="82" t="n">
        <f aca="false">IF(C1177="","",IFERROR(MATCH(Q1177,'CARNET DE SOUDURE'!$AW$7:$AW$3006,0),""))</f>
        <v>1171</v>
      </c>
      <c r="Q1177" s="82" t="str">
        <f aca="false">IF(C1177="","",B1177&amp;"|"&amp;C1177)</f>
        <v>MFD-ISW → MFD-CPF|DJ°363</v>
      </c>
    </row>
    <row r="1178" customFormat="false" ht="74.6" hidden="false" customHeight="false" outlineLevel="0" collapsed="false">
      <c r="A1178" s="82" t="n">
        <f aca="false">IF(C1178="","",ROW()-6)</f>
        <v>1172</v>
      </c>
      <c r="B1178" s="80" t="s">
        <v>110</v>
      </c>
      <c r="C1178" s="113" t="s">
        <v>1406</v>
      </c>
      <c r="D1178" s="82" t="str">
        <f aca="false">IF(OR(C1178="",P1178=""),"",INDEX('CARNET DE SOUDURE'!$D$7:$D$3006,P1178)&amp;"")</f>
        <v>9</v>
      </c>
      <c r="E1178" s="114" t="n">
        <f aca="false">IF(OR(C1178="",P1178=""),"",IF(INDEX('CARNET DE SOUDURE'!$U$7:$U$3006,P1178)="","",INDEX('CARNET DE SOUDURE'!$U$7:$U$3006,P1178)))</f>
        <v>46279</v>
      </c>
      <c r="F1178" s="82" t="str">
        <f aca="false">IF(OR(C1178="",P1178=""),"",INDEX('CARNET DE SOUDURE'!$AP$7:$AP$3006,P1178))</f>
        <v>A</v>
      </c>
      <c r="G1178" s="82" t="str">
        <f aca="false">IF(C1178="","",IF(P1178="","NJ INCONNU",INDEX('CARNET DE SOUDURE'!$AQ$7:$AQ$3006,P1178)))</f>
        <v>ACCEPTÉ</v>
      </c>
      <c r="H1178" s="82" t="str">
        <f aca="false">IF(C1178="","",IF(G1178="ACCEPTÉ","OUI","NON"))</f>
        <v>OUI</v>
      </c>
      <c r="I1178" s="83"/>
      <c r="J1178" s="80"/>
      <c r="K1178" s="81"/>
      <c r="L1178" s="81"/>
      <c r="M1178" s="81"/>
      <c r="N1178" s="84" t="str">
        <f aca="false">IF(C1178="","",IF(P1178="","NJ INCONNU",IF(I1178="",IF(H1178="OUI","À ENROBER",IF(G1178="À SOUDER","NON SOUDÉ","EN ATTENTE RT")),IF(L1178="R","À REPRENDRE",IF(H1178&lt;&gt;"OUI","⚠ ENROBÉ AVANT ACCEPTATION RT","ENROBÉ")))))</f>
        <v>À ENROBER</v>
      </c>
      <c r="O1178" s="80"/>
      <c r="P1178" s="82" t="n">
        <f aca="false">IF(C1178="","",IFERROR(MATCH(Q1178,'CARNET DE SOUDURE'!$AW$7:$AW$3006,0),""))</f>
        <v>1172</v>
      </c>
      <c r="Q1178" s="82" t="str">
        <f aca="false">IF(C1178="","",B1178&amp;"|"&amp;C1178)</f>
        <v>MFD-ISW → MFD-CPF|JN°1023</v>
      </c>
    </row>
    <row r="1179" customFormat="false" ht="74.6" hidden="false" customHeight="false" outlineLevel="0" collapsed="false">
      <c r="A1179" s="82" t="n">
        <f aca="false">IF(C1179="","",ROW()-6)</f>
        <v>1173</v>
      </c>
      <c r="B1179" s="80" t="s">
        <v>110</v>
      </c>
      <c r="C1179" s="113" t="s">
        <v>1407</v>
      </c>
      <c r="D1179" s="82" t="str">
        <f aca="false">IF(OR(C1179="",P1179=""),"",INDEX('CARNET DE SOUDURE'!$D$7:$D$3006,P1179)&amp;"")</f>
        <v>9</v>
      </c>
      <c r="E1179" s="114" t="n">
        <f aca="false">IF(OR(C1179="",P1179=""),"",IF(INDEX('CARNET DE SOUDURE'!$U$7:$U$3006,P1179)="","",INDEX('CARNET DE SOUDURE'!$U$7:$U$3006,P1179)))</f>
        <v>46277</v>
      </c>
      <c r="F1179" s="82" t="str">
        <f aca="false">IF(OR(C1179="",P1179=""),"",INDEX('CARNET DE SOUDURE'!$AP$7:$AP$3006,P1179))</f>
        <v>A</v>
      </c>
      <c r="G1179" s="82" t="str">
        <f aca="false">IF(C1179="","",IF(P1179="","NJ INCONNU",INDEX('CARNET DE SOUDURE'!$AQ$7:$AQ$3006,P1179)))</f>
        <v>ACCEPTÉ</v>
      </c>
      <c r="H1179" s="82" t="str">
        <f aca="false">IF(C1179="","",IF(G1179="ACCEPTÉ","OUI","NON"))</f>
        <v>OUI</v>
      </c>
      <c r="I1179" s="83"/>
      <c r="J1179" s="80"/>
      <c r="K1179" s="81"/>
      <c r="L1179" s="81"/>
      <c r="M1179" s="81"/>
      <c r="N1179" s="84" t="str">
        <f aca="false">IF(C1179="","",IF(P1179="","NJ INCONNU",IF(I1179="",IF(H1179="OUI","À ENROBER",IF(G1179="À SOUDER","NON SOUDÉ","EN ATTENTE RT")),IF(L1179="R","À REPRENDRE",IF(H1179&lt;&gt;"OUI","⚠ ENROBÉ AVANT ACCEPTATION RT","ENROBÉ")))))</f>
        <v>À ENROBER</v>
      </c>
      <c r="O1179" s="80"/>
      <c r="P1179" s="82" t="n">
        <f aca="false">IF(C1179="","",IFERROR(MATCH(Q1179,'CARNET DE SOUDURE'!$AW$7:$AW$3006,0),""))</f>
        <v>1173</v>
      </c>
      <c r="Q1179" s="82" t="str">
        <f aca="false">IF(C1179="","",B1179&amp;"|"&amp;C1179)</f>
        <v>MFD-ISW → MFD-CPF|DJ°364</v>
      </c>
    </row>
    <row r="1180" customFormat="false" ht="74.6" hidden="false" customHeight="false" outlineLevel="0" collapsed="false">
      <c r="A1180" s="82" t="n">
        <f aca="false">IF(C1180="","",ROW()-6)</f>
        <v>1174</v>
      </c>
      <c r="B1180" s="80" t="s">
        <v>110</v>
      </c>
      <c r="C1180" s="113" t="s">
        <v>1408</v>
      </c>
      <c r="D1180" s="82" t="str">
        <f aca="false">IF(OR(C1180="",P1180=""),"",INDEX('CARNET DE SOUDURE'!$D$7:$D$3006,P1180)&amp;"")</f>
        <v>9</v>
      </c>
      <c r="E1180" s="114" t="n">
        <f aca="false">IF(OR(C1180="",P1180=""),"",IF(INDEX('CARNET DE SOUDURE'!$U$7:$U$3006,P1180)="","",INDEX('CARNET DE SOUDURE'!$U$7:$U$3006,P1180)))</f>
        <v>46279</v>
      </c>
      <c r="F1180" s="82" t="str">
        <f aca="false">IF(OR(C1180="",P1180=""),"",INDEX('CARNET DE SOUDURE'!$AP$7:$AP$3006,P1180))</f>
        <v>A</v>
      </c>
      <c r="G1180" s="82" t="str">
        <f aca="false">IF(C1180="","",IF(P1180="","NJ INCONNU",INDEX('CARNET DE SOUDURE'!$AQ$7:$AQ$3006,P1180)))</f>
        <v>ACCEPTÉ</v>
      </c>
      <c r="H1180" s="82" t="str">
        <f aca="false">IF(C1180="","",IF(G1180="ACCEPTÉ","OUI","NON"))</f>
        <v>OUI</v>
      </c>
      <c r="I1180" s="83"/>
      <c r="J1180" s="80"/>
      <c r="K1180" s="81"/>
      <c r="L1180" s="81"/>
      <c r="M1180" s="81"/>
      <c r="N1180" s="84" t="str">
        <f aca="false">IF(C1180="","",IF(P1180="","NJ INCONNU",IF(I1180="",IF(H1180="OUI","À ENROBER",IF(G1180="À SOUDER","NON SOUDÉ","EN ATTENTE RT")),IF(L1180="R","À REPRENDRE",IF(H1180&lt;&gt;"OUI","⚠ ENROBÉ AVANT ACCEPTATION RT","ENROBÉ")))))</f>
        <v>À ENROBER</v>
      </c>
      <c r="O1180" s="80"/>
      <c r="P1180" s="82" t="n">
        <f aca="false">IF(C1180="","",IFERROR(MATCH(Q1180,'CARNET DE SOUDURE'!$AW$7:$AW$3006,0),""))</f>
        <v>1174</v>
      </c>
      <c r="Q1180" s="82" t="str">
        <f aca="false">IF(C1180="","",B1180&amp;"|"&amp;C1180)</f>
        <v>MFD-ISW → MFD-CPF|JN°1024</v>
      </c>
    </row>
    <row r="1181" customFormat="false" ht="74.6" hidden="false" customHeight="false" outlineLevel="0" collapsed="false">
      <c r="A1181" s="82" t="n">
        <f aca="false">IF(C1181="","",ROW()-6)</f>
        <v>1175</v>
      </c>
      <c r="B1181" s="80" t="s">
        <v>110</v>
      </c>
      <c r="C1181" s="113" t="s">
        <v>1409</v>
      </c>
      <c r="D1181" s="82" t="str">
        <f aca="false">IF(OR(C1181="",P1181=""),"",INDEX('CARNET DE SOUDURE'!$D$7:$D$3006,P1181)&amp;"")</f>
        <v>9</v>
      </c>
      <c r="E1181" s="114" t="n">
        <f aca="false">IF(OR(C1181="",P1181=""),"",IF(INDEX('CARNET DE SOUDURE'!$U$7:$U$3006,P1181)="","",INDEX('CARNET DE SOUDURE'!$U$7:$U$3006,P1181)))</f>
        <v>46277</v>
      </c>
      <c r="F1181" s="82" t="str">
        <f aca="false">IF(OR(C1181="",P1181=""),"",INDEX('CARNET DE SOUDURE'!$AP$7:$AP$3006,P1181))</f>
        <v>A</v>
      </c>
      <c r="G1181" s="82" t="str">
        <f aca="false">IF(C1181="","",IF(P1181="","NJ INCONNU",INDEX('CARNET DE SOUDURE'!$AQ$7:$AQ$3006,P1181)))</f>
        <v>ACCEPTÉ</v>
      </c>
      <c r="H1181" s="82" t="str">
        <f aca="false">IF(C1181="","",IF(G1181="ACCEPTÉ","OUI","NON"))</f>
        <v>OUI</v>
      </c>
      <c r="I1181" s="83"/>
      <c r="J1181" s="80"/>
      <c r="K1181" s="81"/>
      <c r="L1181" s="81"/>
      <c r="M1181" s="81"/>
      <c r="N1181" s="84" t="str">
        <f aca="false">IF(C1181="","",IF(P1181="","NJ INCONNU",IF(I1181="",IF(H1181="OUI","À ENROBER",IF(G1181="À SOUDER","NON SOUDÉ","EN ATTENTE RT")),IF(L1181="R","À REPRENDRE",IF(H1181&lt;&gt;"OUI","⚠ ENROBÉ AVANT ACCEPTATION RT","ENROBÉ")))))</f>
        <v>À ENROBER</v>
      </c>
      <c r="O1181" s="80"/>
      <c r="P1181" s="82" t="n">
        <f aca="false">IF(C1181="","",IFERROR(MATCH(Q1181,'CARNET DE SOUDURE'!$AW$7:$AW$3006,0),""))</f>
        <v>1175</v>
      </c>
      <c r="Q1181" s="82" t="str">
        <f aca="false">IF(C1181="","",B1181&amp;"|"&amp;C1181)</f>
        <v>MFD-ISW → MFD-CPF|DJ°359</v>
      </c>
    </row>
    <row r="1182" customFormat="false" ht="74.6" hidden="false" customHeight="false" outlineLevel="0" collapsed="false">
      <c r="A1182" s="82" t="n">
        <f aca="false">IF(C1182="","",ROW()-6)</f>
        <v>1176</v>
      </c>
      <c r="B1182" s="80" t="s">
        <v>110</v>
      </c>
      <c r="C1182" s="113" t="s">
        <v>1410</v>
      </c>
      <c r="D1182" s="82" t="str">
        <f aca="false">IF(OR(C1182="",P1182=""),"",INDEX('CARNET DE SOUDURE'!$D$7:$D$3006,P1182)&amp;"")</f>
        <v>9</v>
      </c>
      <c r="E1182" s="114" t="n">
        <f aca="false">IF(OR(C1182="",P1182=""),"",IF(INDEX('CARNET DE SOUDURE'!$U$7:$U$3006,P1182)="","",INDEX('CARNET DE SOUDURE'!$U$7:$U$3006,P1182)))</f>
        <v>46279</v>
      </c>
      <c r="F1182" s="82" t="str">
        <f aca="false">IF(OR(C1182="",P1182=""),"",INDEX('CARNET DE SOUDURE'!$AP$7:$AP$3006,P1182))</f>
        <v>A</v>
      </c>
      <c r="G1182" s="82" t="str">
        <f aca="false">IF(C1182="","",IF(P1182="","NJ INCONNU",INDEX('CARNET DE SOUDURE'!$AQ$7:$AQ$3006,P1182)))</f>
        <v>ACCEPTÉ</v>
      </c>
      <c r="H1182" s="82" t="str">
        <f aca="false">IF(C1182="","",IF(G1182="ACCEPTÉ","OUI","NON"))</f>
        <v>OUI</v>
      </c>
      <c r="I1182" s="83"/>
      <c r="J1182" s="80"/>
      <c r="K1182" s="81"/>
      <c r="L1182" s="81"/>
      <c r="M1182" s="81"/>
      <c r="N1182" s="84" t="str">
        <f aca="false">IF(C1182="","",IF(P1182="","NJ INCONNU",IF(I1182="",IF(H1182="OUI","À ENROBER",IF(G1182="À SOUDER","NON SOUDÉ","EN ATTENTE RT")),IF(L1182="R","À REPRENDRE",IF(H1182&lt;&gt;"OUI","⚠ ENROBÉ AVANT ACCEPTATION RT","ENROBÉ")))))</f>
        <v>À ENROBER</v>
      </c>
      <c r="O1182" s="80"/>
      <c r="P1182" s="82" t="n">
        <f aca="false">IF(C1182="","",IFERROR(MATCH(Q1182,'CARNET DE SOUDURE'!$AW$7:$AW$3006,0),""))</f>
        <v>1176</v>
      </c>
      <c r="Q1182" s="82" t="str">
        <f aca="false">IF(C1182="","",B1182&amp;"|"&amp;C1182)</f>
        <v>MFD-ISW → MFD-CPF|JN°1025</v>
      </c>
    </row>
    <row r="1183" customFormat="false" ht="74.6" hidden="false" customHeight="false" outlineLevel="0" collapsed="false">
      <c r="A1183" s="82" t="n">
        <f aca="false">IF(C1183="","",ROW()-6)</f>
        <v>1177</v>
      </c>
      <c r="B1183" s="80" t="s">
        <v>110</v>
      </c>
      <c r="C1183" s="113" t="s">
        <v>1411</v>
      </c>
      <c r="D1183" s="82" t="str">
        <f aca="false">IF(OR(C1183="",P1183=""),"",INDEX('CARNET DE SOUDURE'!$D$7:$D$3006,P1183)&amp;"")</f>
        <v>9</v>
      </c>
      <c r="E1183" s="114" t="n">
        <f aca="false">IF(OR(C1183="",P1183=""),"",IF(INDEX('CARNET DE SOUDURE'!$U$7:$U$3006,P1183)="","",INDEX('CARNET DE SOUDURE'!$U$7:$U$3006,P1183)))</f>
        <v>46277</v>
      </c>
      <c r="F1183" s="82" t="str">
        <f aca="false">IF(OR(C1183="",P1183=""),"",INDEX('CARNET DE SOUDURE'!$AP$7:$AP$3006,P1183))</f>
        <v>A</v>
      </c>
      <c r="G1183" s="82" t="str">
        <f aca="false">IF(C1183="","",IF(P1183="","NJ INCONNU",INDEX('CARNET DE SOUDURE'!$AQ$7:$AQ$3006,P1183)))</f>
        <v>ACCEPTÉ</v>
      </c>
      <c r="H1183" s="82" t="str">
        <f aca="false">IF(C1183="","",IF(G1183="ACCEPTÉ","OUI","NON"))</f>
        <v>OUI</v>
      </c>
      <c r="I1183" s="83"/>
      <c r="J1183" s="80"/>
      <c r="K1183" s="81"/>
      <c r="L1183" s="81"/>
      <c r="M1183" s="81"/>
      <c r="N1183" s="84" t="str">
        <f aca="false">IF(C1183="","",IF(P1183="","NJ INCONNU",IF(I1183="",IF(H1183="OUI","À ENROBER",IF(G1183="À SOUDER","NON SOUDÉ","EN ATTENTE RT")),IF(L1183="R","À REPRENDRE",IF(H1183&lt;&gt;"OUI","⚠ ENROBÉ AVANT ACCEPTATION RT","ENROBÉ")))))</f>
        <v>À ENROBER</v>
      </c>
      <c r="O1183" s="80"/>
      <c r="P1183" s="82" t="n">
        <f aca="false">IF(C1183="","",IFERROR(MATCH(Q1183,'CARNET DE SOUDURE'!$AW$7:$AW$3006,0),""))</f>
        <v>1177</v>
      </c>
      <c r="Q1183" s="82" t="str">
        <f aca="false">IF(C1183="","",B1183&amp;"|"&amp;C1183)</f>
        <v>MFD-ISW → MFD-CPF|DJ°356</v>
      </c>
    </row>
    <row r="1184" customFormat="false" ht="74.6" hidden="false" customHeight="false" outlineLevel="0" collapsed="false">
      <c r="A1184" s="82" t="n">
        <f aca="false">IF(C1184="","",ROW()-6)</f>
        <v>1178</v>
      </c>
      <c r="B1184" s="80" t="s">
        <v>110</v>
      </c>
      <c r="C1184" s="113" t="s">
        <v>1413</v>
      </c>
      <c r="D1184" s="82" t="str">
        <f aca="false">IF(OR(C1184="",P1184=""),"",INDEX('CARNET DE SOUDURE'!$D$7:$D$3006,P1184)&amp;"")</f>
        <v>9</v>
      </c>
      <c r="E1184" s="114" t="n">
        <f aca="false">IF(OR(C1184="",P1184=""),"",IF(INDEX('CARNET DE SOUDURE'!$U$7:$U$3006,P1184)="","",INDEX('CARNET DE SOUDURE'!$U$7:$U$3006,P1184)))</f>
        <v>46279</v>
      </c>
      <c r="F1184" s="82" t="str">
        <f aca="false">IF(OR(C1184="",P1184=""),"",INDEX('CARNET DE SOUDURE'!$AP$7:$AP$3006,P1184))</f>
        <v>A</v>
      </c>
      <c r="G1184" s="82" t="str">
        <f aca="false">IF(C1184="","",IF(P1184="","NJ INCONNU",INDEX('CARNET DE SOUDURE'!$AQ$7:$AQ$3006,P1184)))</f>
        <v>ACCEPTÉ</v>
      </c>
      <c r="H1184" s="82" t="str">
        <f aca="false">IF(C1184="","",IF(G1184="ACCEPTÉ","OUI","NON"))</f>
        <v>OUI</v>
      </c>
      <c r="I1184" s="83"/>
      <c r="J1184" s="80"/>
      <c r="K1184" s="81"/>
      <c r="L1184" s="81"/>
      <c r="M1184" s="81"/>
      <c r="N1184" s="84" t="str">
        <f aca="false">IF(C1184="","",IF(P1184="","NJ INCONNU",IF(I1184="",IF(H1184="OUI","À ENROBER",IF(G1184="À SOUDER","NON SOUDÉ","EN ATTENTE RT")),IF(L1184="R","À REPRENDRE",IF(H1184&lt;&gt;"OUI","⚠ ENROBÉ AVANT ACCEPTATION RT","ENROBÉ")))))</f>
        <v>À ENROBER</v>
      </c>
      <c r="O1184" s="80"/>
      <c r="P1184" s="82" t="n">
        <f aca="false">IF(C1184="","",IFERROR(MATCH(Q1184,'CARNET DE SOUDURE'!$AW$7:$AW$3006,0),""))</f>
        <v>1178</v>
      </c>
      <c r="Q1184" s="82" t="str">
        <f aca="false">IF(C1184="","",B1184&amp;"|"&amp;C1184)</f>
        <v>MFD-ISW → MFD-CPF|JN°1026</v>
      </c>
    </row>
    <row r="1185" customFormat="false" ht="74.6" hidden="false" customHeight="false" outlineLevel="0" collapsed="false">
      <c r="A1185" s="82" t="n">
        <f aca="false">IF(C1185="","",ROW()-6)</f>
        <v>1179</v>
      </c>
      <c r="B1185" s="80" t="s">
        <v>110</v>
      </c>
      <c r="C1185" s="113" t="s">
        <v>1414</v>
      </c>
      <c r="D1185" s="82" t="str">
        <f aca="false">IF(OR(C1185="",P1185=""),"",INDEX('CARNET DE SOUDURE'!$D$7:$D$3006,P1185)&amp;"")</f>
        <v>9</v>
      </c>
      <c r="E1185" s="114" t="n">
        <f aca="false">IF(OR(C1185="",P1185=""),"",IF(INDEX('CARNET DE SOUDURE'!$U$7:$U$3006,P1185)="","",INDEX('CARNET DE SOUDURE'!$U$7:$U$3006,P1185)))</f>
        <v>46277</v>
      </c>
      <c r="F1185" s="82" t="str">
        <f aca="false">IF(OR(C1185="",P1185=""),"",INDEX('CARNET DE SOUDURE'!$AP$7:$AP$3006,P1185))</f>
        <v>A</v>
      </c>
      <c r="G1185" s="82" t="str">
        <f aca="false">IF(C1185="","",IF(P1185="","NJ INCONNU",INDEX('CARNET DE SOUDURE'!$AQ$7:$AQ$3006,P1185)))</f>
        <v>ACCEPTÉ</v>
      </c>
      <c r="H1185" s="82" t="str">
        <f aca="false">IF(C1185="","",IF(G1185="ACCEPTÉ","OUI","NON"))</f>
        <v>OUI</v>
      </c>
      <c r="I1185" s="83"/>
      <c r="J1185" s="80"/>
      <c r="K1185" s="81"/>
      <c r="L1185" s="81"/>
      <c r="M1185" s="81"/>
      <c r="N1185" s="84" t="str">
        <f aca="false">IF(C1185="","",IF(P1185="","NJ INCONNU",IF(I1185="",IF(H1185="OUI","À ENROBER",IF(G1185="À SOUDER","NON SOUDÉ","EN ATTENTE RT")),IF(L1185="R","À REPRENDRE",IF(H1185&lt;&gt;"OUI","⚠ ENROBÉ AVANT ACCEPTATION RT","ENROBÉ")))))</f>
        <v>À ENROBER</v>
      </c>
      <c r="O1185" s="80"/>
      <c r="P1185" s="82" t="n">
        <f aca="false">IF(C1185="","",IFERROR(MATCH(Q1185,'CARNET DE SOUDURE'!$AW$7:$AW$3006,0),""))</f>
        <v>1179</v>
      </c>
      <c r="Q1185" s="82" t="str">
        <f aca="false">IF(C1185="","",B1185&amp;"|"&amp;C1185)</f>
        <v>MFD-ISW → MFD-CPF|DJ°362</v>
      </c>
    </row>
    <row r="1186" customFormat="false" ht="74.6" hidden="false" customHeight="false" outlineLevel="0" collapsed="false">
      <c r="A1186" s="82" t="n">
        <f aca="false">IF(C1186="","",ROW()-6)</f>
        <v>1180</v>
      </c>
      <c r="B1186" s="80" t="s">
        <v>110</v>
      </c>
      <c r="C1186" s="113" t="s">
        <v>1415</v>
      </c>
      <c r="D1186" s="82" t="str">
        <f aca="false">IF(OR(C1186="",P1186=""),"",INDEX('CARNET DE SOUDURE'!$D$7:$D$3006,P1186)&amp;"")</f>
        <v>9</v>
      </c>
      <c r="E1186" s="114" t="str">
        <f aca="false">IF(OR(C1186="",P1186=""),"",IF(INDEX('CARNET DE SOUDURE'!$U$7:$U$3006,P1186)="","",INDEX('CARNET DE SOUDURE'!$U$7:$U$3006,P1186)))</f>
        <v/>
      </c>
      <c r="F1186" s="82" t="str">
        <f aca="false">IF(OR(C1186="",P1186=""),"",INDEX('CARNET DE SOUDURE'!$AP$7:$AP$3006,P1186))</f>
        <v/>
      </c>
      <c r="G1186" s="82" t="str">
        <f aca="false">IF(C1186="","",IF(P1186="","NJ INCONNU",INDEX('CARNET DE SOUDURE'!$AQ$7:$AQ$3006,P1186)))</f>
        <v>À SOUDER</v>
      </c>
      <c r="H1186" s="82" t="str">
        <f aca="false">IF(C1186="","",IF(G1186="ACCEPTÉ","OUI","NON"))</f>
        <v>NON</v>
      </c>
      <c r="I1186" s="83"/>
      <c r="J1186" s="80"/>
      <c r="K1186" s="81"/>
      <c r="L1186" s="81"/>
      <c r="M1186" s="81"/>
      <c r="N1186" s="84" t="str">
        <f aca="false">IF(C1186="","",IF(P1186="","NJ INCONNU",IF(I1186="",IF(H1186="OUI","À ENROBER",IF(G1186="À SOUDER","NON SOUDÉ","EN ATTENTE RT")),IF(L1186="R","À REPRENDRE",IF(H1186&lt;&gt;"OUI","⚠ ENROBÉ AVANT ACCEPTATION RT","ENROBÉ")))))</f>
        <v>NON SOUDÉ</v>
      </c>
      <c r="O1186" s="80"/>
      <c r="P1186" s="82" t="n">
        <f aca="false">IF(C1186="","",IFERROR(MATCH(Q1186,'CARNET DE SOUDURE'!$AW$7:$AW$3006,0),""))</f>
        <v>1180</v>
      </c>
      <c r="Q1186" s="82" t="str">
        <f aca="false">IF(C1186="","",B1186&amp;"|"&amp;C1186)</f>
        <v>MFD-ISW → MFD-CPF|JN°1027</v>
      </c>
    </row>
    <row r="1187" customFormat="false" ht="74.6" hidden="false" customHeight="false" outlineLevel="0" collapsed="false">
      <c r="A1187" s="82" t="n">
        <f aca="false">IF(C1187="","",ROW()-6)</f>
        <v>1181</v>
      </c>
      <c r="B1187" s="80" t="s">
        <v>110</v>
      </c>
      <c r="C1187" s="113" t="s">
        <v>1416</v>
      </c>
      <c r="D1187" s="82" t="str">
        <f aca="false">IF(OR(C1187="",P1187=""),"",INDEX('CARNET DE SOUDURE'!$D$7:$D$3006,P1187)&amp;"")</f>
        <v>9</v>
      </c>
      <c r="E1187" s="114" t="str">
        <f aca="false">IF(OR(C1187="",P1187=""),"",IF(INDEX('CARNET DE SOUDURE'!$U$7:$U$3006,P1187)="","",INDEX('CARNET DE SOUDURE'!$U$7:$U$3006,P1187)))</f>
        <v/>
      </c>
      <c r="F1187" s="82" t="str">
        <f aca="false">IF(OR(C1187="",P1187=""),"",INDEX('CARNET DE SOUDURE'!$AP$7:$AP$3006,P1187))</f>
        <v/>
      </c>
      <c r="G1187" s="82" t="str">
        <f aca="false">IF(C1187="","",IF(P1187="","NJ INCONNU",INDEX('CARNET DE SOUDURE'!$AQ$7:$AQ$3006,P1187)))</f>
        <v>À SOUDER</v>
      </c>
      <c r="H1187" s="82" t="str">
        <f aca="false">IF(C1187="","",IF(G1187="ACCEPTÉ","OUI","NON"))</f>
        <v>NON</v>
      </c>
      <c r="I1187" s="83"/>
      <c r="J1187" s="80"/>
      <c r="K1187" s="81"/>
      <c r="L1187" s="81"/>
      <c r="M1187" s="81"/>
      <c r="N1187" s="84" t="str">
        <f aca="false">IF(C1187="","",IF(P1187="","NJ INCONNU",IF(I1187="",IF(H1187="OUI","À ENROBER",IF(G1187="À SOUDER","NON SOUDÉ","EN ATTENTE RT")),IF(L1187="R","À REPRENDRE",IF(H1187&lt;&gt;"OUI","⚠ ENROBÉ AVANT ACCEPTATION RT","ENROBÉ")))))</f>
        <v>NON SOUDÉ</v>
      </c>
      <c r="O1187" s="80"/>
      <c r="P1187" s="82" t="n">
        <f aca="false">IF(C1187="","",IFERROR(MATCH(Q1187,'CARNET DE SOUDURE'!$AW$7:$AW$3006,0),""))</f>
        <v>1181</v>
      </c>
      <c r="Q1187" s="82" t="str">
        <f aca="false">IF(C1187="","",B1187&amp;"|"&amp;C1187)</f>
        <v>MFD-ISW → MFD-CPF|JN°1028</v>
      </c>
    </row>
    <row r="1188" customFormat="false" ht="74.6" hidden="false" customHeight="false" outlineLevel="0" collapsed="false">
      <c r="A1188" s="82" t="n">
        <f aca="false">IF(C1188="","",ROW()-6)</f>
        <v>1182</v>
      </c>
      <c r="B1188" s="80" t="s">
        <v>110</v>
      </c>
      <c r="C1188" s="113" t="s">
        <v>1417</v>
      </c>
      <c r="D1188" s="82" t="str">
        <f aca="false">IF(OR(C1188="",P1188=""),"",INDEX('CARNET DE SOUDURE'!$D$7:$D$3006,P1188)&amp;"")</f>
        <v>9</v>
      </c>
      <c r="E1188" s="114" t="str">
        <f aca="false">IF(OR(C1188="",P1188=""),"",IF(INDEX('CARNET DE SOUDURE'!$U$7:$U$3006,P1188)="","",INDEX('CARNET DE SOUDURE'!$U$7:$U$3006,P1188)))</f>
        <v/>
      </c>
      <c r="F1188" s="82" t="str">
        <f aca="false">IF(OR(C1188="",P1188=""),"",INDEX('CARNET DE SOUDURE'!$AP$7:$AP$3006,P1188))</f>
        <v/>
      </c>
      <c r="G1188" s="82" t="str">
        <f aca="false">IF(C1188="","",IF(P1188="","NJ INCONNU",INDEX('CARNET DE SOUDURE'!$AQ$7:$AQ$3006,P1188)))</f>
        <v>À SOUDER</v>
      </c>
      <c r="H1188" s="82" t="str">
        <f aca="false">IF(C1188="","",IF(G1188="ACCEPTÉ","OUI","NON"))</f>
        <v>NON</v>
      </c>
      <c r="I1188" s="83"/>
      <c r="J1188" s="80"/>
      <c r="K1188" s="81"/>
      <c r="L1188" s="81"/>
      <c r="M1188" s="81"/>
      <c r="N1188" s="84" t="str">
        <f aca="false">IF(C1188="","",IF(P1188="","NJ INCONNU",IF(I1188="",IF(H1188="OUI","À ENROBER",IF(G1188="À SOUDER","NON SOUDÉ","EN ATTENTE RT")),IF(L1188="R","À REPRENDRE",IF(H1188&lt;&gt;"OUI","⚠ ENROBÉ AVANT ACCEPTATION RT","ENROBÉ")))))</f>
        <v>NON SOUDÉ</v>
      </c>
      <c r="O1188" s="80"/>
      <c r="P1188" s="82" t="n">
        <f aca="false">IF(C1188="","",IFERROR(MATCH(Q1188,'CARNET DE SOUDURE'!$AW$7:$AW$3006,0),""))</f>
        <v>1182</v>
      </c>
      <c r="Q1188" s="82" t="str">
        <f aca="false">IF(C1188="","",B1188&amp;"|"&amp;C1188)</f>
        <v>MFD-ISW → MFD-CPF|JN°1029</v>
      </c>
    </row>
    <row r="1189" customFormat="false" ht="74.6" hidden="false" customHeight="false" outlineLevel="0" collapsed="false">
      <c r="A1189" s="82" t="n">
        <f aca="false">IF(C1189="","",ROW()-6)</f>
        <v>1183</v>
      </c>
      <c r="B1189" s="80" t="s">
        <v>110</v>
      </c>
      <c r="C1189" s="113" t="s">
        <v>1419</v>
      </c>
      <c r="D1189" s="82" t="str">
        <f aca="false">IF(OR(C1189="",P1189=""),"",INDEX('CARNET DE SOUDURE'!$D$7:$D$3006,P1189)&amp;"")</f>
        <v>9</v>
      </c>
      <c r="E1189" s="114" t="n">
        <f aca="false">IF(OR(C1189="",P1189=""),"",IF(INDEX('CARNET DE SOUDURE'!$U$7:$U$3006,P1189)="","",INDEX('CARNET DE SOUDURE'!$U$7:$U$3006,P1189)))</f>
        <v>46277</v>
      </c>
      <c r="F1189" s="82" t="str">
        <f aca="false">IF(OR(C1189="",P1189=""),"",INDEX('CARNET DE SOUDURE'!$AP$7:$AP$3006,P1189))</f>
        <v>A</v>
      </c>
      <c r="G1189" s="82" t="str">
        <f aca="false">IF(C1189="","",IF(P1189="","NJ INCONNU",INDEX('CARNET DE SOUDURE'!$AQ$7:$AQ$3006,P1189)))</f>
        <v>ACCEPTÉ</v>
      </c>
      <c r="H1189" s="82" t="str">
        <f aca="false">IF(C1189="","",IF(G1189="ACCEPTÉ","OUI","NON"))</f>
        <v>OUI</v>
      </c>
      <c r="I1189" s="83"/>
      <c r="J1189" s="80"/>
      <c r="K1189" s="81"/>
      <c r="L1189" s="81"/>
      <c r="M1189" s="81"/>
      <c r="N1189" s="84" t="str">
        <f aca="false">IF(C1189="","",IF(P1189="","NJ INCONNU",IF(I1189="",IF(H1189="OUI","À ENROBER",IF(G1189="À SOUDER","NON SOUDÉ","EN ATTENTE RT")),IF(L1189="R","À REPRENDRE",IF(H1189&lt;&gt;"OUI","⚠ ENROBÉ AVANT ACCEPTATION RT","ENROBÉ")))))</f>
        <v>À ENROBER</v>
      </c>
      <c r="O1189" s="80"/>
      <c r="P1189" s="82" t="n">
        <f aca="false">IF(C1189="","",IFERROR(MATCH(Q1189,'CARNET DE SOUDURE'!$AW$7:$AW$3006,0),""))</f>
        <v>1183</v>
      </c>
      <c r="Q1189" s="82" t="str">
        <f aca="false">IF(C1189="","",B1189&amp;"|"&amp;C1189)</f>
        <v>MFD-ISW → MFD-CPF|DJ°361</v>
      </c>
    </row>
    <row r="1190" customFormat="false" ht="74.6" hidden="false" customHeight="false" outlineLevel="0" collapsed="false">
      <c r="A1190" s="82" t="n">
        <f aca="false">IF(C1190="","",ROW()-6)</f>
        <v>1184</v>
      </c>
      <c r="B1190" s="80" t="s">
        <v>110</v>
      </c>
      <c r="C1190" s="113" t="s">
        <v>1420</v>
      </c>
      <c r="D1190" s="82" t="str">
        <f aca="false">IF(OR(C1190="",P1190=""),"",INDEX('CARNET DE SOUDURE'!$D$7:$D$3006,P1190)&amp;"")</f>
        <v>9</v>
      </c>
      <c r="E1190" s="114" t="n">
        <f aca="false">IF(OR(C1190="",P1190=""),"",IF(INDEX('CARNET DE SOUDURE'!$U$7:$U$3006,P1190)="","",INDEX('CARNET DE SOUDURE'!$U$7:$U$3006,P1190)))</f>
        <v>46279</v>
      </c>
      <c r="F1190" s="82" t="str">
        <f aca="false">IF(OR(C1190="",P1190=""),"",INDEX('CARNET DE SOUDURE'!$AP$7:$AP$3006,P1190))</f>
        <v>A</v>
      </c>
      <c r="G1190" s="82" t="str">
        <f aca="false">IF(C1190="","",IF(P1190="","NJ INCONNU",INDEX('CARNET DE SOUDURE'!$AQ$7:$AQ$3006,P1190)))</f>
        <v>ACCEPTÉ</v>
      </c>
      <c r="H1190" s="82" t="str">
        <f aca="false">IF(C1190="","",IF(G1190="ACCEPTÉ","OUI","NON"))</f>
        <v>OUI</v>
      </c>
      <c r="I1190" s="83"/>
      <c r="J1190" s="80"/>
      <c r="K1190" s="81"/>
      <c r="L1190" s="81"/>
      <c r="M1190" s="81"/>
      <c r="N1190" s="84" t="str">
        <f aca="false">IF(C1190="","",IF(P1190="","NJ INCONNU",IF(I1190="",IF(H1190="OUI","À ENROBER",IF(G1190="À SOUDER","NON SOUDÉ","EN ATTENTE RT")),IF(L1190="R","À REPRENDRE",IF(H1190&lt;&gt;"OUI","⚠ ENROBÉ AVANT ACCEPTATION RT","ENROBÉ")))))</f>
        <v>À ENROBER</v>
      </c>
      <c r="O1190" s="80"/>
      <c r="P1190" s="82" t="n">
        <f aca="false">IF(C1190="","",IFERROR(MATCH(Q1190,'CARNET DE SOUDURE'!$AW$7:$AW$3006,0),""))</f>
        <v>1184</v>
      </c>
      <c r="Q1190" s="82" t="str">
        <f aca="false">IF(C1190="","",B1190&amp;"|"&amp;C1190)</f>
        <v>MFD-ISW → MFD-CPF|JN°1030</v>
      </c>
    </row>
    <row r="1191" customFormat="false" ht="74.6" hidden="false" customHeight="false" outlineLevel="0" collapsed="false">
      <c r="A1191" s="82" t="n">
        <f aca="false">IF(C1191="","",ROW()-6)</f>
        <v>1185</v>
      </c>
      <c r="B1191" s="80" t="s">
        <v>110</v>
      </c>
      <c r="C1191" s="113" t="s">
        <v>1421</v>
      </c>
      <c r="D1191" s="82" t="str">
        <f aca="false">IF(OR(C1191="",P1191=""),"",INDEX('CARNET DE SOUDURE'!$D$7:$D$3006,P1191)&amp;"")</f>
        <v>9</v>
      </c>
      <c r="E1191" s="114" t="n">
        <f aca="false">IF(OR(C1191="",P1191=""),"",IF(INDEX('CARNET DE SOUDURE'!$U$7:$U$3006,P1191)="","",INDEX('CARNET DE SOUDURE'!$U$7:$U$3006,P1191)))</f>
        <v>46277</v>
      </c>
      <c r="F1191" s="82" t="str">
        <f aca="false">IF(OR(C1191="",P1191=""),"",INDEX('CARNET DE SOUDURE'!$AP$7:$AP$3006,P1191))</f>
        <v>A</v>
      </c>
      <c r="G1191" s="82" t="str">
        <f aca="false">IF(C1191="","",IF(P1191="","NJ INCONNU",INDEX('CARNET DE SOUDURE'!$AQ$7:$AQ$3006,P1191)))</f>
        <v>ACCEPTÉ</v>
      </c>
      <c r="H1191" s="82" t="str">
        <f aca="false">IF(C1191="","",IF(G1191="ACCEPTÉ","OUI","NON"))</f>
        <v>OUI</v>
      </c>
      <c r="I1191" s="83"/>
      <c r="J1191" s="80"/>
      <c r="K1191" s="81"/>
      <c r="L1191" s="81"/>
      <c r="M1191" s="81"/>
      <c r="N1191" s="84" t="str">
        <f aca="false">IF(C1191="","",IF(P1191="","NJ INCONNU",IF(I1191="",IF(H1191="OUI","À ENROBER",IF(G1191="À SOUDER","NON SOUDÉ","EN ATTENTE RT")),IF(L1191="R","À REPRENDRE",IF(H1191&lt;&gt;"OUI","⚠ ENROBÉ AVANT ACCEPTATION RT","ENROBÉ")))))</f>
        <v>À ENROBER</v>
      </c>
      <c r="O1191" s="80"/>
      <c r="P1191" s="82" t="n">
        <f aca="false">IF(C1191="","",IFERROR(MATCH(Q1191,'CARNET DE SOUDURE'!$AW$7:$AW$3006,0),""))</f>
        <v>1185</v>
      </c>
      <c r="Q1191" s="82" t="str">
        <f aca="false">IF(C1191="","",B1191&amp;"|"&amp;C1191)</f>
        <v>MFD-ISW → MFD-CPF|DJ°355</v>
      </c>
    </row>
    <row r="1192" customFormat="false" ht="74.6" hidden="false" customHeight="false" outlineLevel="0" collapsed="false">
      <c r="A1192" s="82" t="n">
        <f aca="false">IF(C1192="","",ROW()-6)</f>
        <v>1186</v>
      </c>
      <c r="B1192" s="80" t="s">
        <v>110</v>
      </c>
      <c r="C1192" s="113" t="s">
        <v>1422</v>
      </c>
      <c r="D1192" s="82" t="str">
        <f aca="false">IF(OR(C1192="",P1192=""),"",INDEX('CARNET DE SOUDURE'!$D$7:$D$3006,P1192)&amp;"")</f>
        <v>9</v>
      </c>
      <c r="E1192" s="114" t="n">
        <f aca="false">IF(OR(C1192="",P1192=""),"",IF(INDEX('CARNET DE SOUDURE'!$U$7:$U$3006,P1192)="","",INDEX('CARNET DE SOUDURE'!$U$7:$U$3006,P1192)))</f>
        <v>46279</v>
      </c>
      <c r="F1192" s="82" t="str">
        <f aca="false">IF(OR(C1192="",P1192=""),"",INDEX('CARNET DE SOUDURE'!$AP$7:$AP$3006,P1192))</f>
        <v>A</v>
      </c>
      <c r="G1192" s="82" t="str">
        <f aca="false">IF(C1192="","",IF(P1192="","NJ INCONNU",INDEX('CARNET DE SOUDURE'!$AQ$7:$AQ$3006,P1192)))</f>
        <v>ACCEPTÉ</v>
      </c>
      <c r="H1192" s="82" t="str">
        <f aca="false">IF(C1192="","",IF(G1192="ACCEPTÉ","OUI","NON"))</f>
        <v>OUI</v>
      </c>
      <c r="I1192" s="83"/>
      <c r="J1192" s="80"/>
      <c r="K1192" s="81"/>
      <c r="L1192" s="81"/>
      <c r="M1192" s="81"/>
      <c r="N1192" s="84" t="str">
        <f aca="false">IF(C1192="","",IF(P1192="","NJ INCONNU",IF(I1192="",IF(H1192="OUI","À ENROBER",IF(G1192="À SOUDER","NON SOUDÉ","EN ATTENTE RT")),IF(L1192="R","À REPRENDRE",IF(H1192&lt;&gt;"OUI","⚠ ENROBÉ AVANT ACCEPTATION RT","ENROBÉ")))))</f>
        <v>À ENROBER</v>
      </c>
      <c r="O1192" s="80"/>
      <c r="P1192" s="82" t="n">
        <f aca="false">IF(C1192="","",IFERROR(MATCH(Q1192,'CARNET DE SOUDURE'!$AW$7:$AW$3006,0),""))</f>
        <v>1186</v>
      </c>
      <c r="Q1192" s="82" t="str">
        <f aca="false">IF(C1192="","",B1192&amp;"|"&amp;C1192)</f>
        <v>MFD-ISW → MFD-CPF|JN°1031</v>
      </c>
    </row>
    <row r="1193" customFormat="false" ht="74.6" hidden="false" customHeight="false" outlineLevel="0" collapsed="false">
      <c r="A1193" s="82" t="n">
        <f aca="false">IF(C1193="","",ROW()-6)</f>
        <v>1187</v>
      </c>
      <c r="B1193" s="80" t="s">
        <v>110</v>
      </c>
      <c r="C1193" s="113" t="s">
        <v>1423</v>
      </c>
      <c r="D1193" s="82" t="str">
        <f aca="false">IF(OR(C1193="",P1193=""),"",INDEX('CARNET DE SOUDURE'!$D$7:$D$3006,P1193)&amp;"")</f>
        <v>9</v>
      </c>
      <c r="E1193" s="114" t="n">
        <f aca="false">IF(OR(C1193="",P1193=""),"",IF(INDEX('CARNET DE SOUDURE'!$U$7:$U$3006,P1193)="","",INDEX('CARNET DE SOUDURE'!$U$7:$U$3006,P1193)))</f>
        <v>46277</v>
      </c>
      <c r="F1193" s="82" t="str">
        <f aca="false">IF(OR(C1193="",P1193=""),"",INDEX('CARNET DE SOUDURE'!$AP$7:$AP$3006,P1193))</f>
        <v>A</v>
      </c>
      <c r="G1193" s="82" t="str">
        <f aca="false">IF(C1193="","",IF(P1193="","NJ INCONNU",INDEX('CARNET DE SOUDURE'!$AQ$7:$AQ$3006,P1193)))</f>
        <v>ACCEPTÉ</v>
      </c>
      <c r="H1193" s="82" t="str">
        <f aca="false">IF(C1193="","",IF(G1193="ACCEPTÉ","OUI","NON"))</f>
        <v>OUI</v>
      </c>
      <c r="I1193" s="83"/>
      <c r="J1193" s="80"/>
      <c r="K1193" s="81"/>
      <c r="L1193" s="81"/>
      <c r="M1193" s="81"/>
      <c r="N1193" s="84" t="str">
        <f aca="false">IF(C1193="","",IF(P1193="","NJ INCONNU",IF(I1193="",IF(H1193="OUI","À ENROBER",IF(G1193="À SOUDER","NON SOUDÉ","EN ATTENTE RT")),IF(L1193="R","À REPRENDRE",IF(H1193&lt;&gt;"OUI","⚠ ENROBÉ AVANT ACCEPTATION RT","ENROBÉ")))))</f>
        <v>À ENROBER</v>
      </c>
      <c r="O1193" s="80"/>
      <c r="P1193" s="82" t="n">
        <f aca="false">IF(C1193="","",IFERROR(MATCH(Q1193,'CARNET DE SOUDURE'!$AW$7:$AW$3006,0),""))</f>
        <v>1187</v>
      </c>
      <c r="Q1193" s="82" t="str">
        <f aca="false">IF(C1193="","",B1193&amp;"|"&amp;C1193)</f>
        <v>MFD-ISW → MFD-CPF|DJ°347</v>
      </c>
    </row>
    <row r="1194" customFormat="false" ht="74.6" hidden="false" customHeight="false" outlineLevel="0" collapsed="false">
      <c r="A1194" s="82" t="n">
        <f aca="false">IF(C1194="","",ROW()-6)</f>
        <v>1188</v>
      </c>
      <c r="B1194" s="80" t="s">
        <v>110</v>
      </c>
      <c r="C1194" s="113" t="s">
        <v>1424</v>
      </c>
      <c r="D1194" s="82" t="str">
        <f aca="false">IF(OR(C1194="",P1194=""),"",INDEX('CARNET DE SOUDURE'!$D$7:$D$3006,P1194)&amp;"")</f>
        <v>9</v>
      </c>
      <c r="E1194" s="114" t="n">
        <f aca="false">IF(OR(C1194="",P1194=""),"",IF(INDEX('CARNET DE SOUDURE'!$U$7:$U$3006,P1194)="","",INDEX('CARNET DE SOUDURE'!$U$7:$U$3006,P1194)))</f>
        <v>46279</v>
      </c>
      <c r="F1194" s="82" t="str">
        <f aca="false">IF(OR(C1194="",P1194=""),"",INDEX('CARNET DE SOUDURE'!$AP$7:$AP$3006,P1194))</f>
        <v>A</v>
      </c>
      <c r="G1194" s="82" t="str">
        <f aca="false">IF(C1194="","",IF(P1194="","NJ INCONNU",INDEX('CARNET DE SOUDURE'!$AQ$7:$AQ$3006,P1194)))</f>
        <v>ACCEPTÉ</v>
      </c>
      <c r="H1194" s="82" t="str">
        <f aca="false">IF(C1194="","",IF(G1194="ACCEPTÉ","OUI","NON"))</f>
        <v>OUI</v>
      </c>
      <c r="I1194" s="83"/>
      <c r="J1194" s="80"/>
      <c r="K1194" s="81"/>
      <c r="L1194" s="81"/>
      <c r="M1194" s="81"/>
      <c r="N1194" s="84" t="str">
        <f aca="false">IF(C1194="","",IF(P1194="","NJ INCONNU",IF(I1194="",IF(H1194="OUI","À ENROBER",IF(G1194="À SOUDER","NON SOUDÉ","EN ATTENTE RT")),IF(L1194="R","À REPRENDRE",IF(H1194&lt;&gt;"OUI","⚠ ENROBÉ AVANT ACCEPTATION RT","ENROBÉ")))))</f>
        <v>À ENROBER</v>
      </c>
      <c r="O1194" s="80"/>
      <c r="P1194" s="82" t="n">
        <f aca="false">IF(C1194="","",IFERROR(MATCH(Q1194,'CARNET DE SOUDURE'!$AW$7:$AW$3006,0),""))</f>
        <v>1188</v>
      </c>
      <c r="Q1194" s="82" t="str">
        <f aca="false">IF(C1194="","",B1194&amp;"|"&amp;C1194)</f>
        <v>MFD-ISW → MFD-CPF|JN°1032</v>
      </c>
    </row>
    <row r="1195" customFormat="false" ht="74.6" hidden="false" customHeight="false" outlineLevel="0" collapsed="false">
      <c r="A1195" s="82" t="n">
        <f aca="false">IF(C1195="","",ROW()-6)</f>
        <v>1189</v>
      </c>
      <c r="B1195" s="80" t="s">
        <v>110</v>
      </c>
      <c r="C1195" s="113" t="s">
        <v>1425</v>
      </c>
      <c r="D1195" s="82" t="str">
        <f aca="false">IF(OR(C1195="",P1195=""),"",INDEX('CARNET DE SOUDURE'!$D$7:$D$3006,P1195)&amp;"")</f>
        <v>9</v>
      </c>
      <c r="E1195" s="114" t="n">
        <f aca="false">IF(OR(C1195="",P1195=""),"",IF(INDEX('CARNET DE SOUDURE'!$U$7:$U$3006,P1195)="","",INDEX('CARNET DE SOUDURE'!$U$7:$U$3006,P1195)))</f>
        <v>46277</v>
      </c>
      <c r="F1195" s="82" t="str">
        <f aca="false">IF(OR(C1195="",P1195=""),"",INDEX('CARNET DE SOUDURE'!$AP$7:$AP$3006,P1195))</f>
        <v>A</v>
      </c>
      <c r="G1195" s="82" t="str">
        <f aca="false">IF(C1195="","",IF(P1195="","NJ INCONNU",INDEX('CARNET DE SOUDURE'!$AQ$7:$AQ$3006,P1195)))</f>
        <v>ACCEPTÉ</v>
      </c>
      <c r="H1195" s="82" t="str">
        <f aca="false">IF(C1195="","",IF(G1195="ACCEPTÉ","OUI","NON"))</f>
        <v>OUI</v>
      </c>
      <c r="I1195" s="83"/>
      <c r="J1195" s="80"/>
      <c r="K1195" s="81"/>
      <c r="L1195" s="81"/>
      <c r="M1195" s="81"/>
      <c r="N1195" s="84" t="str">
        <f aca="false">IF(C1195="","",IF(P1195="","NJ INCONNU",IF(I1195="",IF(H1195="OUI","À ENROBER",IF(G1195="À SOUDER","NON SOUDÉ","EN ATTENTE RT")),IF(L1195="R","À REPRENDRE",IF(H1195&lt;&gt;"OUI","⚠ ENROBÉ AVANT ACCEPTATION RT","ENROBÉ")))))</f>
        <v>À ENROBER</v>
      </c>
      <c r="O1195" s="80"/>
      <c r="P1195" s="82" t="n">
        <f aca="false">IF(C1195="","",IFERROR(MATCH(Q1195,'CARNET DE SOUDURE'!$AW$7:$AW$3006,0),""))</f>
        <v>1189</v>
      </c>
      <c r="Q1195" s="82" t="str">
        <f aca="false">IF(C1195="","",B1195&amp;"|"&amp;C1195)</f>
        <v>MFD-ISW → MFD-CPF|DJ°349</v>
      </c>
    </row>
    <row r="1196" customFormat="false" ht="74.6" hidden="false" customHeight="false" outlineLevel="0" collapsed="false">
      <c r="A1196" s="82" t="n">
        <f aca="false">IF(C1196="","",ROW()-6)</f>
        <v>1190</v>
      </c>
      <c r="B1196" s="80" t="s">
        <v>110</v>
      </c>
      <c r="C1196" s="113" t="s">
        <v>1426</v>
      </c>
      <c r="D1196" s="82" t="str">
        <f aca="false">IF(OR(C1196="",P1196=""),"",INDEX('CARNET DE SOUDURE'!$D$7:$D$3006,P1196)&amp;"")</f>
        <v>9</v>
      </c>
      <c r="E1196" s="114" t="n">
        <f aca="false">IF(OR(C1196="",P1196=""),"",IF(INDEX('CARNET DE SOUDURE'!$U$7:$U$3006,P1196)="","",INDEX('CARNET DE SOUDURE'!$U$7:$U$3006,P1196)))</f>
        <v>46279</v>
      </c>
      <c r="F1196" s="82" t="str">
        <f aca="false">IF(OR(C1196="",P1196=""),"",INDEX('CARNET DE SOUDURE'!$AP$7:$AP$3006,P1196))</f>
        <v>A</v>
      </c>
      <c r="G1196" s="82" t="str">
        <f aca="false">IF(C1196="","",IF(P1196="","NJ INCONNU",INDEX('CARNET DE SOUDURE'!$AQ$7:$AQ$3006,P1196)))</f>
        <v>ACCEPTÉ</v>
      </c>
      <c r="H1196" s="82" t="str">
        <f aca="false">IF(C1196="","",IF(G1196="ACCEPTÉ","OUI","NON"))</f>
        <v>OUI</v>
      </c>
      <c r="I1196" s="83"/>
      <c r="J1196" s="80"/>
      <c r="K1196" s="81"/>
      <c r="L1196" s="81"/>
      <c r="M1196" s="81"/>
      <c r="N1196" s="84" t="str">
        <f aca="false">IF(C1196="","",IF(P1196="","NJ INCONNU",IF(I1196="",IF(H1196="OUI","À ENROBER",IF(G1196="À SOUDER","NON SOUDÉ","EN ATTENTE RT")),IF(L1196="R","À REPRENDRE",IF(H1196&lt;&gt;"OUI","⚠ ENROBÉ AVANT ACCEPTATION RT","ENROBÉ")))))</f>
        <v>À ENROBER</v>
      </c>
      <c r="O1196" s="80"/>
      <c r="P1196" s="82" t="n">
        <f aca="false">IF(C1196="","",IFERROR(MATCH(Q1196,'CARNET DE SOUDURE'!$AW$7:$AW$3006,0),""))</f>
        <v>1190</v>
      </c>
      <c r="Q1196" s="82" t="str">
        <f aca="false">IF(C1196="","",B1196&amp;"|"&amp;C1196)</f>
        <v>MFD-ISW → MFD-CPF|JN°1033</v>
      </c>
    </row>
    <row r="1197" customFormat="false" ht="74.6" hidden="false" customHeight="false" outlineLevel="0" collapsed="false">
      <c r="A1197" s="82" t="n">
        <f aca="false">IF(C1197="","",ROW()-6)</f>
        <v>1191</v>
      </c>
      <c r="B1197" s="80" t="s">
        <v>110</v>
      </c>
      <c r="C1197" s="113" t="s">
        <v>1428</v>
      </c>
      <c r="D1197" s="82" t="str">
        <f aca="false">IF(OR(C1197="",P1197=""),"",INDEX('CARNET DE SOUDURE'!$D$7:$D$3006,P1197)&amp;"")</f>
        <v>9</v>
      </c>
      <c r="E1197" s="114" t="n">
        <f aca="false">IF(OR(C1197="",P1197=""),"",IF(INDEX('CARNET DE SOUDURE'!$U$7:$U$3006,P1197)="","",INDEX('CARNET DE SOUDURE'!$U$7:$U$3006,P1197)))</f>
        <v>46276</v>
      </c>
      <c r="F1197" s="82" t="str">
        <f aca="false">IF(OR(C1197="",P1197=""),"",INDEX('CARNET DE SOUDURE'!$AP$7:$AP$3006,P1197))</f>
        <v>A</v>
      </c>
      <c r="G1197" s="82" t="str">
        <f aca="false">IF(C1197="","",IF(P1197="","NJ INCONNU",INDEX('CARNET DE SOUDURE'!$AQ$7:$AQ$3006,P1197)))</f>
        <v>ACCEPTÉ</v>
      </c>
      <c r="H1197" s="82" t="str">
        <f aca="false">IF(C1197="","",IF(G1197="ACCEPTÉ","OUI","NON"))</f>
        <v>OUI</v>
      </c>
      <c r="I1197" s="83"/>
      <c r="J1197" s="80"/>
      <c r="K1197" s="81"/>
      <c r="L1197" s="81"/>
      <c r="M1197" s="81"/>
      <c r="N1197" s="84" t="str">
        <f aca="false">IF(C1197="","",IF(P1197="","NJ INCONNU",IF(I1197="",IF(H1197="OUI","À ENROBER",IF(G1197="À SOUDER","NON SOUDÉ","EN ATTENTE RT")),IF(L1197="R","À REPRENDRE",IF(H1197&lt;&gt;"OUI","⚠ ENROBÉ AVANT ACCEPTATION RT","ENROBÉ")))))</f>
        <v>À ENROBER</v>
      </c>
      <c r="O1197" s="80"/>
      <c r="P1197" s="82" t="n">
        <f aca="false">IF(C1197="","",IFERROR(MATCH(Q1197,'CARNET DE SOUDURE'!$AW$7:$AW$3006,0),""))</f>
        <v>1191</v>
      </c>
      <c r="Q1197" s="82" t="str">
        <f aca="false">IF(C1197="","",B1197&amp;"|"&amp;C1197)</f>
        <v>MFD-ISW → MFD-CPF|DJ°340</v>
      </c>
    </row>
    <row r="1198" customFormat="false" ht="74.6" hidden="false" customHeight="false" outlineLevel="0" collapsed="false">
      <c r="A1198" s="82" t="n">
        <f aca="false">IF(C1198="","",ROW()-6)</f>
        <v>1192</v>
      </c>
      <c r="B1198" s="80" t="s">
        <v>110</v>
      </c>
      <c r="C1198" s="113" t="s">
        <v>1429</v>
      </c>
      <c r="D1198" s="82" t="str">
        <f aca="false">IF(OR(C1198="",P1198=""),"",INDEX('CARNET DE SOUDURE'!$D$7:$D$3006,P1198)&amp;"")</f>
        <v>9</v>
      </c>
      <c r="E1198" s="114" t="n">
        <f aca="false">IF(OR(C1198="",P1198=""),"",IF(INDEX('CARNET DE SOUDURE'!$U$7:$U$3006,P1198)="","",INDEX('CARNET DE SOUDURE'!$U$7:$U$3006,P1198)))</f>
        <v>46279</v>
      </c>
      <c r="F1198" s="82" t="str">
        <f aca="false">IF(OR(C1198="",P1198=""),"",INDEX('CARNET DE SOUDURE'!$AP$7:$AP$3006,P1198))</f>
        <v>A</v>
      </c>
      <c r="G1198" s="82" t="str">
        <f aca="false">IF(C1198="","",IF(P1198="","NJ INCONNU",INDEX('CARNET DE SOUDURE'!$AQ$7:$AQ$3006,P1198)))</f>
        <v>ACCEPTÉ</v>
      </c>
      <c r="H1198" s="82" t="str">
        <f aca="false">IF(C1198="","",IF(G1198="ACCEPTÉ","OUI","NON"))</f>
        <v>OUI</v>
      </c>
      <c r="I1198" s="83"/>
      <c r="J1198" s="80"/>
      <c r="K1198" s="81"/>
      <c r="L1198" s="81"/>
      <c r="M1198" s="81"/>
      <c r="N1198" s="84" t="str">
        <f aca="false">IF(C1198="","",IF(P1198="","NJ INCONNU",IF(I1198="",IF(H1198="OUI","À ENROBER",IF(G1198="À SOUDER","NON SOUDÉ","EN ATTENTE RT")),IF(L1198="R","À REPRENDRE",IF(H1198&lt;&gt;"OUI","⚠ ENROBÉ AVANT ACCEPTATION RT","ENROBÉ")))))</f>
        <v>À ENROBER</v>
      </c>
      <c r="O1198" s="80"/>
      <c r="P1198" s="82" t="n">
        <f aca="false">IF(C1198="","",IFERROR(MATCH(Q1198,'CARNET DE SOUDURE'!$AW$7:$AW$3006,0),""))</f>
        <v>1192</v>
      </c>
      <c r="Q1198" s="82" t="str">
        <f aca="false">IF(C1198="","",B1198&amp;"|"&amp;C1198)</f>
        <v>MFD-ISW → MFD-CPF|JN°1034</v>
      </c>
    </row>
    <row r="1199" customFormat="false" ht="74.6" hidden="false" customHeight="false" outlineLevel="0" collapsed="false">
      <c r="A1199" s="82" t="n">
        <f aca="false">IF(C1199="","",ROW()-6)</f>
        <v>1193</v>
      </c>
      <c r="B1199" s="80" t="s">
        <v>110</v>
      </c>
      <c r="C1199" s="113" t="s">
        <v>1430</v>
      </c>
      <c r="D1199" s="82" t="str">
        <f aca="false">IF(OR(C1199="",P1199=""),"",INDEX('CARNET DE SOUDURE'!$D$7:$D$3006,P1199)&amp;"")</f>
        <v>9</v>
      </c>
      <c r="E1199" s="114" t="n">
        <f aca="false">IF(OR(C1199="",P1199=""),"",IF(INDEX('CARNET DE SOUDURE'!$U$7:$U$3006,P1199)="","",INDEX('CARNET DE SOUDURE'!$U$7:$U$3006,P1199)))</f>
        <v>46277</v>
      </c>
      <c r="F1199" s="82" t="str">
        <f aca="false">IF(OR(C1199="",P1199=""),"",INDEX('CARNET DE SOUDURE'!$AP$7:$AP$3006,P1199))</f>
        <v>A</v>
      </c>
      <c r="G1199" s="82" t="str">
        <f aca="false">IF(C1199="","",IF(P1199="","NJ INCONNU",INDEX('CARNET DE SOUDURE'!$AQ$7:$AQ$3006,P1199)))</f>
        <v>ACCEPTÉ</v>
      </c>
      <c r="H1199" s="82" t="str">
        <f aca="false">IF(C1199="","",IF(G1199="ACCEPTÉ","OUI","NON"))</f>
        <v>OUI</v>
      </c>
      <c r="I1199" s="83"/>
      <c r="J1199" s="80"/>
      <c r="K1199" s="81"/>
      <c r="L1199" s="81"/>
      <c r="M1199" s="81"/>
      <c r="N1199" s="84" t="str">
        <f aca="false">IF(C1199="","",IF(P1199="","NJ INCONNU",IF(I1199="",IF(H1199="OUI","À ENROBER",IF(G1199="À SOUDER","NON SOUDÉ","EN ATTENTE RT")),IF(L1199="R","À REPRENDRE",IF(H1199&lt;&gt;"OUI","⚠ ENROBÉ AVANT ACCEPTATION RT","ENROBÉ")))))</f>
        <v>À ENROBER</v>
      </c>
      <c r="O1199" s="80"/>
      <c r="P1199" s="82" t="n">
        <f aca="false">IF(C1199="","",IFERROR(MATCH(Q1199,'CARNET DE SOUDURE'!$AW$7:$AW$3006,0),""))</f>
        <v>1193</v>
      </c>
      <c r="Q1199" s="82" t="str">
        <f aca="false">IF(C1199="","",B1199&amp;"|"&amp;C1199)</f>
        <v>MFD-ISW → MFD-CPF|DJ°346</v>
      </c>
    </row>
    <row r="1200" customFormat="false" ht="74.6" hidden="false" customHeight="false" outlineLevel="0" collapsed="false">
      <c r="A1200" s="82" t="n">
        <f aca="false">IF(C1200="","",ROW()-6)</f>
        <v>1194</v>
      </c>
      <c r="B1200" s="80" t="s">
        <v>110</v>
      </c>
      <c r="C1200" s="113" t="s">
        <v>1431</v>
      </c>
      <c r="D1200" s="82" t="str">
        <f aca="false">IF(OR(C1200="",P1200=""),"",INDEX('CARNET DE SOUDURE'!$D$7:$D$3006,P1200)&amp;"")</f>
        <v>9</v>
      </c>
      <c r="E1200" s="114" t="n">
        <f aca="false">IF(OR(C1200="",P1200=""),"",IF(INDEX('CARNET DE SOUDURE'!$U$7:$U$3006,P1200)="","",INDEX('CARNET DE SOUDURE'!$U$7:$U$3006,P1200)))</f>
        <v>46279</v>
      </c>
      <c r="F1200" s="82" t="str">
        <f aca="false">IF(OR(C1200="",P1200=""),"",INDEX('CARNET DE SOUDURE'!$AP$7:$AP$3006,P1200))</f>
        <v>A</v>
      </c>
      <c r="G1200" s="82" t="str">
        <f aca="false">IF(C1200="","",IF(P1200="","NJ INCONNU",INDEX('CARNET DE SOUDURE'!$AQ$7:$AQ$3006,P1200)))</f>
        <v>ACCEPTÉ</v>
      </c>
      <c r="H1200" s="82" t="str">
        <f aca="false">IF(C1200="","",IF(G1200="ACCEPTÉ","OUI","NON"))</f>
        <v>OUI</v>
      </c>
      <c r="I1200" s="83"/>
      <c r="J1200" s="80"/>
      <c r="K1200" s="81"/>
      <c r="L1200" s="81"/>
      <c r="M1200" s="81"/>
      <c r="N1200" s="84" t="str">
        <f aca="false">IF(C1200="","",IF(P1200="","NJ INCONNU",IF(I1200="",IF(H1200="OUI","À ENROBER",IF(G1200="À SOUDER","NON SOUDÉ","EN ATTENTE RT")),IF(L1200="R","À REPRENDRE",IF(H1200&lt;&gt;"OUI","⚠ ENROBÉ AVANT ACCEPTATION RT","ENROBÉ")))))</f>
        <v>À ENROBER</v>
      </c>
      <c r="O1200" s="80"/>
      <c r="P1200" s="82" t="n">
        <f aca="false">IF(C1200="","",IFERROR(MATCH(Q1200,'CARNET DE SOUDURE'!$AW$7:$AW$3006,0),""))</f>
        <v>1194</v>
      </c>
      <c r="Q1200" s="82" t="str">
        <f aca="false">IF(C1200="","",B1200&amp;"|"&amp;C1200)</f>
        <v>MFD-ISW → MFD-CPF|JN°1035</v>
      </c>
    </row>
    <row r="1201" customFormat="false" ht="74.6" hidden="false" customHeight="false" outlineLevel="0" collapsed="false">
      <c r="A1201" s="82" t="n">
        <f aca="false">IF(C1201="","",ROW()-6)</f>
        <v>1195</v>
      </c>
      <c r="B1201" s="80" t="s">
        <v>110</v>
      </c>
      <c r="C1201" s="113" t="s">
        <v>1432</v>
      </c>
      <c r="D1201" s="82" t="str">
        <f aca="false">IF(OR(C1201="",P1201=""),"",INDEX('CARNET DE SOUDURE'!$D$7:$D$3006,P1201)&amp;"")</f>
        <v>9</v>
      </c>
      <c r="E1201" s="114" t="n">
        <f aca="false">IF(OR(C1201="",P1201=""),"",IF(INDEX('CARNET DE SOUDURE'!$U$7:$U$3006,P1201)="","",INDEX('CARNET DE SOUDURE'!$U$7:$U$3006,P1201)))</f>
        <v>46277</v>
      </c>
      <c r="F1201" s="82" t="str">
        <f aca="false">IF(OR(C1201="",P1201=""),"",INDEX('CARNET DE SOUDURE'!$AP$7:$AP$3006,P1201))</f>
        <v>A</v>
      </c>
      <c r="G1201" s="82" t="str">
        <f aca="false">IF(C1201="","",IF(P1201="","NJ INCONNU",INDEX('CARNET DE SOUDURE'!$AQ$7:$AQ$3006,P1201)))</f>
        <v>ACCEPTÉ</v>
      </c>
      <c r="H1201" s="82" t="str">
        <f aca="false">IF(C1201="","",IF(G1201="ACCEPTÉ","OUI","NON"))</f>
        <v>OUI</v>
      </c>
      <c r="I1201" s="83"/>
      <c r="J1201" s="80"/>
      <c r="K1201" s="81"/>
      <c r="L1201" s="81"/>
      <c r="M1201" s="81"/>
      <c r="N1201" s="84" t="str">
        <f aca="false">IF(C1201="","",IF(P1201="","NJ INCONNU",IF(I1201="",IF(H1201="OUI","À ENROBER",IF(G1201="À SOUDER","NON SOUDÉ","EN ATTENTE RT")),IF(L1201="R","À REPRENDRE",IF(H1201&lt;&gt;"OUI","⚠ ENROBÉ AVANT ACCEPTATION RT","ENROBÉ")))))</f>
        <v>À ENROBER</v>
      </c>
      <c r="O1201" s="80"/>
      <c r="P1201" s="82" t="n">
        <f aca="false">IF(C1201="","",IFERROR(MATCH(Q1201,'CARNET DE SOUDURE'!$AW$7:$AW$3006,0),""))</f>
        <v>1195</v>
      </c>
      <c r="Q1201" s="82" t="str">
        <f aca="false">IF(C1201="","",B1201&amp;"|"&amp;C1201)</f>
        <v>MFD-ISW → MFD-CPF|DJ°350</v>
      </c>
    </row>
    <row r="1202" customFormat="false" ht="74.6" hidden="false" customHeight="false" outlineLevel="0" collapsed="false">
      <c r="A1202" s="82" t="n">
        <f aca="false">IF(C1202="","",ROW()-6)</f>
        <v>1196</v>
      </c>
      <c r="B1202" s="80" t="s">
        <v>110</v>
      </c>
      <c r="C1202" s="113" t="s">
        <v>1433</v>
      </c>
      <c r="D1202" s="82" t="str">
        <f aca="false">IF(OR(C1202="",P1202=""),"",INDEX('CARNET DE SOUDURE'!$D$7:$D$3006,P1202)&amp;"")</f>
        <v>9</v>
      </c>
      <c r="E1202" s="114" t="n">
        <f aca="false">IF(OR(C1202="",P1202=""),"",IF(INDEX('CARNET DE SOUDURE'!$U$7:$U$3006,P1202)="","",INDEX('CARNET DE SOUDURE'!$U$7:$U$3006,P1202)))</f>
        <v>46279</v>
      </c>
      <c r="F1202" s="82" t="str">
        <f aca="false">IF(OR(C1202="",P1202=""),"",INDEX('CARNET DE SOUDURE'!$AP$7:$AP$3006,P1202))</f>
        <v>A</v>
      </c>
      <c r="G1202" s="82" t="str">
        <f aca="false">IF(C1202="","",IF(P1202="","NJ INCONNU",INDEX('CARNET DE SOUDURE'!$AQ$7:$AQ$3006,P1202)))</f>
        <v>ACCEPTÉ</v>
      </c>
      <c r="H1202" s="82" t="str">
        <f aca="false">IF(C1202="","",IF(G1202="ACCEPTÉ","OUI","NON"))</f>
        <v>OUI</v>
      </c>
      <c r="I1202" s="83"/>
      <c r="J1202" s="80"/>
      <c r="K1202" s="81"/>
      <c r="L1202" s="81"/>
      <c r="M1202" s="81"/>
      <c r="N1202" s="84" t="str">
        <f aca="false">IF(C1202="","",IF(P1202="","NJ INCONNU",IF(I1202="",IF(H1202="OUI","À ENROBER",IF(G1202="À SOUDER","NON SOUDÉ","EN ATTENTE RT")),IF(L1202="R","À REPRENDRE",IF(H1202&lt;&gt;"OUI","⚠ ENROBÉ AVANT ACCEPTATION RT","ENROBÉ")))))</f>
        <v>À ENROBER</v>
      </c>
      <c r="O1202" s="80"/>
      <c r="P1202" s="82" t="n">
        <f aca="false">IF(C1202="","",IFERROR(MATCH(Q1202,'CARNET DE SOUDURE'!$AW$7:$AW$3006,0),""))</f>
        <v>1196</v>
      </c>
      <c r="Q1202" s="82" t="str">
        <f aca="false">IF(C1202="","",B1202&amp;"|"&amp;C1202)</f>
        <v>MFD-ISW → MFD-CPF|JN°1036</v>
      </c>
    </row>
    <row r="1203" customFormat="false" ht="74.6" hidden="false" customHeight="false" outlineLevel="0" collapsed="false">
      <c r="A1203" s="82" t="n">
        <f aca="false">IF(C1203="","",ROW()-6)</f>
        <v>1197</v>
      </c>
      <c r="B1203" s="80" t="s">
        <v>110</v>
      </c>
      <c r="C1203" s="113" t="s">
        <v>1435</v>
      </c>
      <c r="D1203" s="82" t="str">
        <f aca="false">IF(OR(C1203="",P1203=""),"",INDEX('CARNET DE SOUDURE'!$D$7:$D$3006,P1203)&amp;"")</f>
        <v>9</v>
      </c>
      <c r="E1203" s="114" t="n">
        <f aca="false">IF(OR(C1203="",P1203=""),"",IF(INDEX('CARNET DE SOUDURE'!$U$7:$U$3006,P1203)="","",INDEX('CARNET DE SOUDURE'!$U$7:$U$3006,P1203)))</f>
        <v>46277</v>
      </c>
      <c r="F1203" s="82" t="str">
        <f aca="false">IF(OR(C1203="",P1203=""),"",INDEX('CARNET DE SOUDURE'!$AP$7:$AP$3006,P1203))</f>
        <v>A</v>
      </c>
      <c r="G1203" s="82" t="str">
        <f aca="false">IF(C1203="","",IF(P1203="","NJ INCONNU",INDEX('CARNET DE SOUDURE'!$AQ$7:$AQ$3006,P1203)))</f>
        <v>ACCEPTÉ</v>
      </c>
      <c r="H1203" s="82" t="str">
        <f aca="false">IF(C1203="","",IF(G1203="ACCEPTÉ","OUI","NON"))</f>
        <v>OUI</v>
      </c>
      <c r="I1203" s="83"/>
      <c r="J1203" s="80"/>
      <c r="K1203" s="81"/>
      <c r="L1203" s="81"/>
      <c r="M1203" s="81"/>
      <c r="N1203" s="84" t="str">
        <f aca="false">IF(C1203="","",IF(P1203="","NJ INCONNU",IF(I1203="",IF(H1203="OUI","À ENROBER",IF(G1203="À SOUDER","NON SOUDÉ","EN ATTENTE RT")),IF(L1203="R","À REPRENDRE",IF(H1203&lt;&gt;"OUI","⚠ ENROBÉ AVANT ACCEPTATION RT","ENROBÉ")))))</f>
        <v>À ENROBER</v>
      </c>
      <c r="O1203" s="80"/>
      <c r="P1203" s="82" t="n">
        <f aca="false">IF(C1203="","",IFERROR(MATCH(Q1203,'CARNET DE SOUDURE'!$AW$7:$AW$3006,0),""))</f>
        <v>1197</v>
      </c>
      <c r="Q1203" s="82" t="str">
        <f aca="false">IF(C1203="","",B1203&amp;"|"&amp;C1203)</f>
        <v>MFD-ISW → MFD-CPF|DJ°351</v>
      </c>
    </row>
    <row r="1204" customFormat="false" ht="74.6" hidden="false" customHeight="false" outlineLevel="0" collapsed="false">
      <c r="A1204" s="82" t="n">
        <f aca="false">IF(C1204="","",ROW()-6)</f>
        <v>1198</v>
      </c>
      <c r="B1204" s="80" t="s">
        <v>110</v>
      </c>
      <c r="C1204" s="113" t="s">
        <v>1436</v>
      </c>
      <c r="D1204" s="82" t="str">
        <f aca="false">IF(OR(C1204="",P1204=""),"",INDEX('CARNET DE SOUDURE'!$D$7:$D$3006,P1204)&amp;"")</f>
        <v>9</v>
      </c>
      <c r="E1204" s="114" t="n">
        <f aca="false">IF(OR(C1204="",P1204=""),"",IF(INDEX('CARNET DE SOUDURE'!$U$7:$U$3006,P1204)="","",INDEX('CARNET DE SOUDURE'!$U$7:$U$3006,P1204)))</f>
        <v>46279</v>
      </c>
      <c r="F1204" s="82" t="str">
        <f aca="false">IF(OR(C1204="",P1204=""),"",INDEX('CARNET DE SOUDURE'!$AP$7:$AP$3006,P1204))</f>
        <v>A</v>
      </c>
      <c r="G1204" s="82" t="str">
        <f aca="false">IF(C1204="","",IF(P1204="","NJ INCONNU",INDEX('CARNET DE SOUDURE'!$AQ$7:$AQ$3006,P1204)))</f>
        <v>ACCEPTÉ</v>
      </c>
      <c r="H1204" s="82" t="str">
        <f aca="false">IF(C1204="","",IF(G1204="ACCEPTÉ","OUI","NON"))</f>
        <v>OUI</v>
      </c>
      <c r="I1204" s="83"/>
      <c r="J1204" s="80"/>
      <c r="K1204" s="81"/>
      <c r="L1204" s="81"/>
      <c r="M1204" s="81"/>
      <c r="N1204" s="84" t="str">
        <f aca="false">IF(C1204="","",IF(P1204="","NJ INCONNU",IF(I1204="",IF(H1204="OUI","À ENROBER",IF(G1204="À SOUDER","NON SOUDÉ","EN ATTENTE RT")),IF(L1204="R","À REPRENDRE",IF(H1204&lt;&gt;"OUI","⚠ ENROBÉ AVANT ACCEPTATION RT","ENROBÉ")))))</f>
        <v>À ENROBER</v>
      </c>
      <c r="O1204" s="80"/>
      <c r="P1204" s="82" t="n">
        <f aca="false">IF(C1204="","",IFERROR(MATCH(Q1204,'CARNET DE SOUDURE'!$AW$7:$AW$3006,0),""))</f>
        <v>1198</v>
      </c>
      <c r="Q1204" s="82" t="str">
        <f aca="false">IF(C1204="","",B1204&amp;"|"&amp;C1204)</f>
        <v>MFD-ISW → MFD-CPF|JN°1037</v>
      </c>
    </row>
    <row r="1205" customFormat="false" ht="74.6" hidden="false" customHeight="false" outlineLevel="0" collapsed="false">
      <c r="A1205" s="82" t="n">
        <f aca="false">IF(C1205="","",ROW()-6)</f>
        <v>1199</v>
      </c>
      <c r="B1205" s="80" t="s">
        <v>110</v>
      </c>
      <c r="C1205" s="113" t="s">
        <v>1437</v>
      </c>
      <c r="D1205" s="82" t="str">
        <f aca="false">IF(OR(C1205="",P1205=""),"",INDEX('CARNET DE SOUDURE'!$D$7:$D$3006,P1205)&amp;"")</f>
        <v>9</v>
      </c>
      <c r="E1205" s="114" t="n">
        <f aca="false">IF(OR(C1205="",P1205=""),"",IF(INDEX('CARNET DE SOUDURE'!$U$7:$U$3006,P1205)="","",INDEX('CARNET DE SOUDURE'!$U$7:$U$3006,P1205)))</f>
        <v>46277</v>
      </c>
      <c r="F1205" s="82" t="str">
        <f aca="false">IF(OR(C1205="",P1205=""),"",INDEX('CARNET DE SOUDURE'!$AP$7:$AP$3006,P1205))</f>
        <v>A</v>
      </c>
      <c r="G1205" s="82" t="str">
        <f aca="false">IF(C1205="","",IF(P1205="","NJ INCONNU",INDEX('CARNET DE SOUDURE'!$AQ$7:$AQ$3006,P1205)))</f>
        <v>ACCEPTÉ</v>
      </c>
      <c r="H1205" s="82" t="str">
        <f aca="false">IF(C1205="","",IF(G1205="ACCEPTÉ","OUI","NON"))</f>
        <v>OUI</v>
      </c>
      <c r="I1205" s="83"/>
      <c r="J1205" s="80"/>
      <c r="K1205" s="81"/>
      <c r="L1205" s="81"/>
      <c r="M1205" s="81"/>
      <c r="N1205" s="84" t="str">
        <f aca="false">IF(C1205="","",IF(P1205="","NJ INCONNU",IF(I1205="",IF(H1205="OUI","À ENROBER",IF(G1205="À SOUDER","NON SOUDÉ","EN ATTENTE RT")),IF(L1205="R","À REPRENDRE",IF(H1205&lt;&gt;"OUI","⚠ ENROBÉ AVANT ACCEPTATION RT","ENROBÉ")))))</f>
        <v>À ENROBER</v>
      </c>
      <c r="O1205" s="80"/>
      <c r="P1205" s="82" t="n">
        <f aca="false">IF(C1205="","",IFERROR(MATCH(Q1205,'CARNET DE SOUDURE'!$AW$7:$AW$3006,0),""))</f>
        <v>1199</v>
      </c>
      <c r="Q1205" s="82" t="str">
        <f aca="false">IF(C1205="","",B1205&amp;"|"&amp;C1205)</f>
        <v>MFD-ISW → MFD-CPF|DJ°354</v>
      </c>
    </row>
    <row r="1206" customFormat="false" ht="74.6" hidden="false" customHeight="false" outlineLevel="0" collapsed="false">
      <c r="A1206" s="82" t="n">
        <f aca="false">IF(C1206="","",ROW()-6)</f>
        <v>1200</v>
      </c>
      <c r="B1206" s="80" t="s">
        <v>110</v>
      </c>
      <c r="C1206" s="113" t="s">
        <v>1438</v>
      </c>
      <c r="D1206" s="82" t="str">
        <f aca="false">IF(OR(C1206="",P1206=""),"",INDEX('CARNET DE SOUDURE'!$D$7:$D$3006,P1206)&amp;"")</f>
        <v>9</v>
      </c>
      <c r="E1206" s="114" t="n">
        <f aca="false">IF(OR(C1206="",P1206=""),"",IF(INDEX('CARNET DE SOUDURE'!$U$7:$U$3006,P1206)="","",INDEX('CARNET DE SOUDURE'!$U$7:$U$3006,P1206)))</f>
        <v>46279</v>
      </c>
      <c r="F1206" s="82" t="str">
        <f aca="false">IF(OR(C1206="",P1206=""),"",INDEX('CARNET DE SOUDURE'!$AP$7:$AP$3006,P1206))</f>
        <v>R</v>
      </c>
      <c r="G1206" s="82" t="str">
        <f aca="false">IF(C1206="","",IF(P1206="","NJ INCONNU",INDEX('CARNET DE SOUDURE'!$AQ$7:$AQ$3006,P1206)))</f>
        <v>À RÉPARER</v>
      </c>
      <c r="H1206" s="82" t="str">
        <f aca="false">IF(C1206="","",IF(G1206="ACCEPTÉ","OUI","NON"))</f>
        <v>NON</v>
      </c>
      <c r="I1206" s="83"/>
      <c r="J1206" s="80"/>
      <c r="K1206" s="81"/>
      <c r="L1206" s="81"/>
      <c r="M1206" s="81"/>
      <c r="N1206" s="84" t="str">
        <f aca="false">IF(C1206="","",IF(P1206="","NJ INCONNU",IF(I1206="",IF(H1206="OUI","À ENROBER",IF(G1206="À SOUDER","NON SOUDÉ","EN ATTENTE RT")),IF(L1206="R","À REPRENDRE",IF(H1206&lt;&gt;"OUI","⚠ ENROBÉ AVANT ACCEPTATION RT","ENROBÉ")))))</f>
        <v>EN ATTENTE RT</v>
      </c>
      <c r="O1206" s="80"/>
      <c r="P1206" s="82" t="n">
        <f aca="false">IF(C1206="","",IFERROR(MATCH(Q1206,'CARNET DE SOUDURE'!$AW$7:$AW$3006,0),""))</f>
        <v>1200</v>
      </c>
      <c r="Q1206" s="82" t="str">
        <f aca="false">IF(C1206="","",B1206&amp;"|"&amp;C1206)</f>
        <v>MFD-ISW → MFD-CPF|JN°1038</v>
      </c>
    </row>
    <row r="1207" customFormat="false" ht="74.6" hidden="false" customHeight="false" outlineLevel="0" collapsed="false">
      <c r="A1207" s="82" t="n">
        <f aca="false">IF(C1207="","",ROW()-6)</f>
        <v>1201</v>
      </c>
      <c r="B1207" s="80" t="s">
        <v>110</v>
      </c>
      <c r="C1207" s="113" t="s">
        <v>1440</v>
      </c>
      <c r="D1207" s="82" t="str">
        <f aca="false">IF(OR(C1207="",P1207=""),"",INDEX('CARNET DE SOUDURE'!$D$7:$D$3006,P1207)&amp;"")</f>
        <v>9</v>
      </c>
      <c r="E1207" s="114" t="n">
        <f aca="false">IF(OR(C1207="",P1207=""),"",IF(INDEX('CARNET DE SOUDURE'!$U$7:$U$3006,P1207)="","",INDEX('CARNET DE SOUDURE'!$U$7:$U$3006,P1207)))</f>
        <v>46277</v>
      </c>
      <c r="F1207" s="82" t="str">
        <f aca="false">IF(OR(C1207="",P1207=""),"",INDEX('CARNET DE SOUDURE'!$AP$7:$AP$3006,P1207))</f>
        <v>A</v>
      </c>
      <c r="G1207" s="82" t="str">
        <f aca="false">IF(C1207="","",IF(P1207="","NJ INCONNU",INDEX('CARNET DE SOUDURE'!$AQ$7:$AQ$3006,P1207)))</f>
        <v>ACCEPTÉ</v>
      </c>
      <c r="H1207" s="82" t="str">
        <f aca="false">IF(C1207="","",IF(G1207="ACCEPTÉ","OUI","NON"))</f>
        <v>OUI</v>
      </c>
      <c r="I1207" s="83"/>
      <c r="J1207" s="80"/>
      <c r="K1207" s="81"/>
      <c r="L1207" s="81"/>
      <c r="M1207" s="81"/>
      <c r="N1207" s="84" t="str">
        <f aca="false">IF(C1207="","",IF(P1207="","NJ INCONNU",IF(I1207="",IF(H1207="OUI","À ENROBER",IF(G1207="À SOUDER","NON SOUDÉ","EN ATTENTE RT")),IF(L1207="R","À REPRENDRE",IF(H1207&lt;&gt;"OUI","⚠ ENROBÉ AVANT ACCEPTATION RT","ENROBÉ")))))</f>
        <v>À ENROBER</v>
      </c>
      <c r="O1207" s="80"/>
      <c r="P1207" s="82" t="n">
        <f aca="false">IF(C1207="","",IFERROR(MATCH(Q1207,'CARNET DE SOUDURE'!$AW$7:$AW$3006,0),""))</f>
        <v>1201</v>
      </c>
      <c r="Q1207" s="82" t="str">
        <f aca="false">IF(C1207="","",B1207&amp;"|"&amp;C1207)</f>
        <v>MFD-ISW → MFD-CPF|DJ°348</v>
      </c>
    </row>
    <row r="1208" customFormat="false" ht="74.6" hidden="false" customHeight="false" outlineLevel="0" collapsed="false">
      <c r="A1208" s="82" t="n">
        <f aca="false">IF(C1208="","",ROW()-6)</f>
        <v>1202</v>
      </c>
      <c r="B1208" s="80" t="s">
        <v>110</v>
      </c>
      <c r="C1208" s="113" t="s">
        <v>1441</v>
      </c>
      <c r="D1208" s="82" t="str">
        <f aca="false">IF(OR(C1208="",P1208=""),"",INDEX('CARNET DE SOUDURE'!$D$7:$D$3006,P1208)&amp;"")</f>
        <v>9</v>
      </c>
      <c r="E1208" s="114" t="n">
        <f aca="false">IF(OR(C1208="",P1208=""),"",IF(INDEX('CARNET DE SOUDURE'!$U$7:$U$3006,P1208)="","",INDEX('CARNET DE SOUDURE'!$U$7:$U$3006,P1208)))</f>
        <v>46279</v>
      </c>
      <c r="F1208" s="82" t="str">
        <f aca="false">IF(OR(C1208="",P1208=""),"",INDEX('CARNET DE SOUDURE'!$AP$7:$AP$3006,P1208))</f>
        <v>R</v>
      </c>
      <c r="G1208" s="82" t="str">
        <f aca="false">IF(C1208="","",IF(P1208="","NJ INCONNU",INDEX('CARNET DE SOUDURE'!$AQ$7:$AQ$3006,P1208)))</f>
        <v>À RÉPARER</v>
      </c>
      <c r="H1208" s="82" t="str">
        <f aca="false">IF(C1208="","",IF(G1208="ACCEPTÉ","OUI","NON"))</f>
        <v>NON</v>
      </c>
      <c r="I1208" s="83"/>
      <c r="J1208" s="80"/>
      <c r="K1208" s="81"/>
      <c r="L1208" s="81"/>
      <c r="M1208" s="81"/>
      <c r="N1208" s="84" t="str">
        <f aca="false">IF(C1208="","",IF(P1208="","NJ INCONNU",IF(I1208="",IF(H1208="OUI","À ENROBER",IF(G1208="À SOUDER","NON SOUDÉ","EN ATTENTE RT")),IF(L1208="R","À REPRENDRE",IF(H1208&lt;&gt;"OUI","⚠ ENROBÉ AVANT ACCEPTATION RT","ENROBÉ")))))</f>
        <v>EN ATTENTE RT</v>
      </c>
      <c r="O1208" s="80"/>
      <c r="P1208" s="82" t="n">
        <f aca="false">IF(C1208="","",IFERROR(MATCH(Q1208,'CARNET DE SOUDURE'!$AW$7:$AW$3006,0),""))</f>
        <v>1202</v>
      </c>
      <c r="Q1208" s="82" t="str">
        <f aca="false">IF(C1208="","",B1208&amp;"|"&amp;C1208)</f>
        <v>MFD-ISW → MFD-CPF|JN°1039</v>
      </c>
    </row>
    <row r="1209" customFormat="false" ht="74.6" hidden="false" customHeight="false" outlineLevel="0" collapsed="false">
      <c r="A1209" s="82" t="n">
        <f aca="false">IF(C1209="","",ROW()-6)</f>
        <v>1203</v>
      </c>
      <c r="B1209" s="80" t="s">
        <v>110</v>
      </c>
      <c r="C1209" s="113" t="s">
        <v>1443</v>
      </c>
      <c r="D1209" s="82" t="str">
        <f aca="false">IF(OR(C1209="",P1209=""),"",INDEX('CARNET DE SOUDURE'!$D$7:$D$3006,P1209)&amp;"")</f>
        <v>9</v>
      </c>
      <c r="E1209" s="114" t="n">
        <f aca="false">IF(OR(C1209="",P1209=""),"",IF(INDEX('CARNET DE SOUDURE'!$U$7:$U$3006,P1209)="","",INDEX('CARNET DE SOUDURE'!$U$7:$U$3006,P1209)))</f>
        <v>46270</v>
      </c>
      <c r="F1209" s="82" t="str">
        <f aca="false">IF(OR(C1209="",P1209=""),"",INDEX('CARNET DE SOUDURE'!$AP$7:$AP$3006,P1209))</f>
        <v>A</v>
      </c>
      <c r="G1209" s="82" t="str">
        <f aca="false">IF(C1209="","",IF(P1209="","NJ INCONNU",INDEX('CARNET DE SOUDURE'!$AQ$7:$AQ$3006,P1209)))</f>
        <v>ACCEPTÉ</v>
      </c>
      <c r="H1209" s="82" t="str">
        <f aca="false">IF(C1209="","",IF(G1209="ACCEPTÉ","OUI","NON"))</f>
        <v>OUI</v>
      </c>
      <c r="I1209" s="83"/>
      <c r="J1209" s="80"/>
      <c r="K1209" s="81"/>
      <c r="L1209" s="81"/>
      <c r="M1209" s="81"/>
      <c r="N1209" s="84" t="str">
        <f aca="false">IF(C1209="","",IF(P1209="","NJ INCONNU",IF(I1209="",IF(H1209="OUI","À ENROBER",IF(G1209="À SOUDER","NON SOUDÉ","EN ATTENTE RT")),IF(L1209="R","À REPRENDRE",IF(H1209&lt;&gt;"OUI","⚠ ENROBÉ AVANT ACCEPTATION RT","ENROBÉ")))))</f>
        <v>À ENROBER</v>
      </c>
      <c r="O1209" s="80"/>
      <c r="P1209" s="82" t="n">
        <f aca="false">IF(C1209="","",IFERROR(MATCH(Q1209,'CARNET DE SOUDURE'!$AW$7:$AW$3006,0),""))</f>
        <v>1203</v>
      </c>
      <c r="Q1209" s="82" t="str">
        <f aca="false">IF(C1209="","",B1209&amp;"|"&amp;C1209)</f>
        <v>MFD-ISW → MFD-CPF|DJ°278</v>
      </c>
    </row>
    <row r="1210" customFormat="false" ht="74.6" hidden="false" customHeight="false" outlineLevel="0" collapsed="false">
      <c r="A1210" s="82" t="n">
        <f aca="false">IF(C1210="","",ROW()-6)</f>
        <v>1204</v>
      </c>
      <c r="B1210" s="80" t="s">
        <v>110</v>
      </c>
      <c r="C1210" s="113" t="s">
        <v>1446</v>
      </c>
      <c r="D1210" s="82" t="str">
        <f aca="false">IF(OR(C1210="",P1210=""),"",INDEX('CARNET DE SOUDURE'!$D$7:$D$3006,P1210)&amp;"")</f>
        <v>9</v>
      </c>
      <c r="E1210" s="114" t="n">
        <f aca="false">IF(OR(C1210="",P1210=""),"",IF(INDEX('CARNET DE SOUDURE'!$U$7:$U$3006,P1210)="","",INDEX('CARNET DE SOUDURE'!$U$7:$U$3006,P1210)))</f>
        <v>46279</v>
      </c>
      <c r="F1210" s="82" t="str">
        <f aca="false">IF(OR(C1210="",P1210=""),"",INDEX('CARNET DE SOUDURE'!$AP$7:$AP$3006,P1210))</f>
        <v>A</v>
      </c>
      <c r="G1210" s="82" t="str">
        <f aca="false">IF(C1210="","",IF(P1210="","NJ INCONNU",INDEX('CARNET DE SOUDURE'!$AQ$7:$AQ$3006,P1210)))</f>
        <v>ACCEPTÉ</v>
      </c>
      <c r="H1210" s="82" t="str">
        <f aca="false">IF(C1210="","",IF(G1210="ACCEPTÉ","OUI","NON"))</f>
        <v>OUI</v>
      </c>
      <c r="I1210" s="83"/>
      <c r="J1210" s="80"/>
      <c r="K1210" s="81"/>
      <c r="L1210" s="81"/>
      <c r="M1210" s="81"/>
      <c r="N1210" s="84" t="str">
        <f aca="false">IF(C1210="","",IF(P1210="","NJ INCONNU",IF(I1210="",IF(H1210="OUI","À ENROBER",IF(G1210="À SOUDER","NON SOUDÉ","EN ATTENTE RT")),IF(L1210="R","À REPRENDRE",IF(H1210&lt;&gt;"OUI","⚠ ENROBÉ AVANT ACCEPTATION RT","ENROBÉ")))))</f>
        <v>À ENROBER</v>
      </c>
      <c r="O1210" s="80"/>
      <c r="P1210" s="82" t="n">
        <f aca="false">IF(C1210="","",IFERROR(MATCH(Q1210,'CARNET DE SOUDURE'!$AW$7:$AW$3006,0),""))</f>
        <v>1204</v>
      </c>
      <c r="Q1210" s="82" t="str">
        <f aca="false">IF(C1210="","",B1210&amp;"|"&amp;C1210)</f>
        <v>MFD-ISW → MFD-CPF|JN°1040</v>
      </c>
    </row>
    <row r="1211" customFormat="false" ht="74.6" hidden="false" customHeight="false" outlineLevel="0" collapsed="false">
      <c r="A1211" s="82" t="n">
        <f aca="false">IF(C1211="","",ROW()-6)</f>
        <v>1205</v>
      </c>
      <c r="B1211" s="80" t="s">
        <v>110</v>
      </c>
      <c r="C1211" s="113" t="s">
        <v>1447</v>
      </c>
      <c r="D1211" s="82" t="str">
        <f aca="false">IF(OR(C1211="",P1211=""),"",INDEX('CARNET DE SOUDURE'!$D$7:$D$3006,P1211)&amp;"")</f>
        <v>9</v>
      </c>
      <c r="E1211" s="114" t="n">
        <f aca="false">IF(OR(C1211="",P1211=""),"",IF(INDEX('CARNET DE SOUDURE'!$U$7:$U$3006,P1211)="","",INDEX('CARNET DE SOUDURE'!$U$7:$U$3006,P1211)))</f>
        <v>46276</v>
      </c>
      <c r="F1211" s="82" t="str">
        <f aca="false">IF(OR(C1211="",P1211=""),"",INDEX('CARNET DE SOUDURE'!$AP$7:$AP$3006,P1211))</f>
        <v>A</v>
      </c>
      <c r="G1211" s="82" t="str">
        <f aca="false">IF(C1211="","",IF(P1211="","NJ INCONNU",INDEX('CARNET DE SOUDURE'!$AQ$7:$AQ$3006,P1211)))</f>
        <v>ACCEPTÉ</v>
      </c>
      <c r="H1211" s="82" t="str">
        <f aca="false">IF(C1211="","",IF(G1211="ACCEPTÉ","OUI","NON"))</f>
        <v>OUI</v>
      </c>
      <c r="I1211" s="83"/>
      <c r="J1211" s="80"/>
      <c r="K1211" s="81"/>
      <c r="L1211" s="81"/>
      <c r="M1211" s="81"/>
      <c r="N1211" s="84" t="str">
        <f aca="false">IF(C1211="","",IF(P1211="","NJ INCONNU",IF(I1211="",IF(H1211="OUI","À ENROBER",IF(G1211="À SOUDER","NON SOUDÉ","EN ATTENTE RT")),IF(L1211="R","À REPRENDRE",IF(H1211&lt;&gt;"OUI","⚠ ENROBÉ AVANT ACCEPTATION RT","ENROBÉ")))))</f>
        <v>À ENROBER</v>
      </c>
      <c r="O1211" s="80"/>
      <c r="P1211" s="82" t="n">
        <f aca="false">IF(C1211="","",IFERROR(MATCH(Q1211,'CARNET DE SOUDURE'!$AW$7:$AW$3006,0),""))</f>
        <v>1205</v>
      </c>
      <c r="Q1211" s="82" t="str">
        <f aca="false">IF(C1211="","",B1211&amp;"|"&amp;C1211)</f>
        <v>MFD-ISW → MFD-CPF|DJ°343</v>
      </c>
    </row>
    <row r="1212" customFormat="false" ht="74.6" hidden="false" customHeight="false" outlineLevel="0" collapsed="false">
      <c r="A1212" s="82" t="n">
        <f aca="false">IF(C1212="","",ROW()-6)</f>
        <v>1206</v>
      </c>
      <c r="B1212" s="80" t="s">
        <v>110</v>
      </c>
      <c r="C1212" s="113" t="s">
        <v>1448</v>
      </c>
      <c r="D1212" s="82" t="str">
        <f aca="false">IF(OR(C1212="",P1212=""),"",INDEX('CARNET DE SOUDURE'!$D$7:$D$3006,P1212)&amp;"")</f>
        <v>9</v>
      </c>
      <c r="E1212" s="114" t="n">
        <f aca="false">IF(OR(C1212="",P1212=""),"",IF(INDEX('CARNET DE SOUDURE'!$U$7:$U$3006,P1212)="","",INDEX('CARNET DE SOUDURE'!$U$7:$U$3006,P1212)))</f>
        <v>46279</v>
      </c>
      <c r="F1212" s="82" t="str">
        <f aca="false">IF(OR(C1212="",P1212=""),"",INDEX('CARNET DE SOUDURE'!$AP$7:$AP$3006,P1212))</f>
        <v>A</v>
      </c>
      <c r="G1212" s="82" t="str">
        <f aca="false">IF(C1212="","",IF(P1212="","NJ INCONNU",INDEX('CARNET DE SOUDURE'!$AQ$7:$AQ$3006,P1212)))</f>
        <v>ACCEPTÉ</v>
      </c>
      <c r="H1212" s="82" t="str">
        <f aca="false">IF(C1212="","",IF(G1212="ACCEPTÉ","OUI","NON"))</f>
        <v>OUI</v>
      </c>
      <c r="I1212" s="83"/>
      <c r="J1212" s="80"/>
      <c r="K1212" s="81"/>
      <c r="L1212" s="81"/>
      <c r="M1212" s="81"/>
      <c r="N1212" s="84" t="str">
        <f aca="false">IF(C1212="","",IF(P1212="","NJ INCONNU",IF(I1212="",IF(H1212="OUI","À ENROBER",IF(G1212="À SOUDER","NON SOUDÉ","EN ATTENTE RT")),IF(L1212="R","À REPRENDRE",IF(H1212&lt;&gt;"OUI","⚠ ENROBÉ AVANT ACCEPTATION RT","ENROBÉ")))))</f>
        <v>À ENROBER</v>
      </c>
      <c r="O1212" s="80"/>
      <c r="P1212" s="82" t="n">
        <f aca="false">IF(C1212="","",IFERROR(MATCH(Q1212,'CARNET DE SOUDURE'!$AW$7:$AW$3006,0),""))</f>
        <v>1206</v>
      </c>
      <c r="Q1212" s="82" t="str">
        <f aca="false">IF(C1212="","",B1212&amp;"|"&amp;C1212)</f>
        <v>MFD-ISW → MFD-CPF|JN°1041</v>
      </c>
    </row>
    <row r="1213" customFormat="false" ht="74.6" hidden="false" customHeight="false" outlineLevel="0" collapsed="false">
      <c r="A1213" s="82" t="n">
        <f aca="false">IF(C1213="","",ROW()-6)</f>
        <v>1207</v>
      </c>
      <c r="B1213" s="80" t="s">
        <v>110</v>
      </c>
      <c r="C1213" s="113" t="s">
        <v>1449</v>
      </c>
      <c r="D1213" s="82" t="str">
        <f aca="false">IF(OR(C1213="",P1213=""),"",INDEX('CARNET DE SOUDURE'!$D$7:$D$3006,P1213)&amp;"")</f>
        <v>9</v>
      </c>
      <c r="E1213" s="114" t="n">
        <f aca="false">IF(OR(C1213="",P1213=""),"",IF(INDEX('CARNET DE SOUDURE'!$U$7:$U$3006,P1213)="","",INDEX('CARNET DE SOUDURE'!$U$7:$U$3006,P1213)))</f>
        <v>46276</v>
      </c>
      <c r="F1213" s="82" t="str">
        <f aca="false">IF(OR(C1213="",P1213=""),"",INDEX('CARNET DE SOUDURE'!$AP$7:$AP$3006,P1213))</f>
        <v>A</v>
      </c>
      <c r="G1213" s="82" t="str">
        <f aca="false">IF(C1213="","",IF(P1213="","NJ INCONNU",INDEX('CARNET DE SOUDURE'!$AQ$7:$AQ$3006,P1213)))</f>
        <v>ACCEPTÉ</v>
      </c>
      <c r="H1213" s="82" t="str">
        <f aca="false">IF(C1213="","",IF(G1213="ACCEPTÉ","OUI","NON"))</f>
        <v>OUI</v>
      </c>
      <c r="I1213" s="83"/>
      <c r="J1213" s="80"/>
      <c r="K1213" s="81"/>
      <c r="L1213" s="81"/>
      <c r="M1213" s="81"/>
      <c r="N1213" s="84" t="str">
        <f aca="false">IF(C1213="","",IF(P1213="","NJ INCONNU",IF(I1213="",IF(H1213="OUI","À ENROBER",IF(G1213="À SOUDER","NON SOUDÉ","EN ATTENTE RT")),IF(L1213="R","À REPRENDRE",IF(H1213&lt;&gt;"OUI","⚠ ENROBÉ AVANT ACCEPTATION RT","ENROBÉ")))))</f>
        <v>À ENROBER</v>
      </c>
      <c r="O1213" s="80"/>
      <c r="P1213" s="82" t="n">
        <f aca="false">IF(C1213="","",IFERROR(MATCH(Q1213,'CARNET DE SOUDURE'!$AW$7:$AW$3006,0),""))</f>
        <v>1207</v>
      </c>
      <c r="Q1213" s="82" t="str">
        <f aca="false">IF(C1213="","",B1213&amp;"|"&amp;C1213)</f>
        <v>MFD-ISW → MFD-CPF|DJ°338</v>
      </c>
    </row>
    <row r="1214" customFormat="false" ht="74.6" hidden="false" customHeight="false" outlineLevel="0" collapsed="false">
      <c r="A1214" s="82" t="n">
        <f aca="false">IF(C1214="","",ROW()-6)</f>
        <v>1208</v>
      </c>
      <c r="B1214" s="80" t="s">
        <v>110</v>
      </c>
      <c r="C1214" s="113" t="s">
        <v>1450</v>
      </c>
      <c r="D1214" s="82" t="str">
        <f aca="false">IF(OR(C1214="",P1214=""),"",INDEX('CARNET DE SOUDURE'!$D$7:$D$3006,P1214)&amp;"")</f>
        <v>9</v>
      </c>
      <c r="E1214" s="114" t="n">
        <f aca="false">IF(OR(C1214="",P1214=""),"",IF(INDEX('CARNET DE SOUDURE'!$U$7:$U$3006,P1214)="","",INDEX('CARNET DE SOUDURE'!$U$7:$U$3006,P1214)))</f>
        <v>46279</v>
      </c>
      <c r="F1214" s="82" t="str">
        <f aca="false">IF(OR(C1214="",P1214=""),"",INDEX('CARNET DE SOUDURE'!$AP$7:$AP$3006,P1214))</f>
        <v>R</v>
      </c>
      <c r="G1214" s="82" t="str">
        <f aca="false">IF(C1214="","",IF(P1214="","NJ INCONNU",INDEX('CARNET DE SOUDURE'!$AQ$7:$AQ$3006,P1214)))</f>
        <v>À RÉPARER</v>
      </c>
      <c r="H1214" s="82" t="str">
        <f aca="false">IF(C1214="","",IF(G1214="ACCEPTÉ","OUI","NON"))</f>
        <v>NON</v>
      </c>
      <c r="I1214" s="83"/>
      <c r="J1214" s="80"/>
      <c r="K1214" s="81"/>
      <c r="L1214" s="81"/>
      <c r="M1214" s="81"/>
      <c r="N1214" s="84" t="str">
        <f aca="false">IF(C1214="","",IF(P1214="","NJ INCONNU",IF(I1214="",IF(H1214="OUI","À ENROBER",IF(G1214="À SOUDER","NON SOUDÉ","EN ATTENTE RT")),IF(L1214="R","À REPRENDRE",IF(H1214&lt;&gt;"OUI","⚠ ENROBÉ AVANT ACCEPTATION RT","ENROBÉ")))))</f>
        <v>EN ATTENTE RT</v>
      </c>
      <c r="O1214" s="80"/>
      <c r="P1214" s="82" t="n">
        <f aca="false">IF(C1214="","",IFERROR(MATCH(Q1214,'CARNET DE SOUDURE'!$AW$7:$AW$3006,0),""))</f>
        <v>1208</v>
      </c>
      <c r="Q1214" s="82" t="str">
        <f aca="false">IF(C1214="","",B1214&amp;"|"&amp;C1214)</f>
        <v>MFD-ISW → MFD-CPF|JN°1042</v>
      </c>
    </row>
    <row r="1215" customFormat="false" ht="74.6" hidden="false" customHeight="false" outlineLevel="0" collapsed="false">
      <c r="A1215" s="82" t="n">
        <f aca="false">IF(C1215="","",ROW()-6)</f>
        <v>1209</v>
      </c>
      <c r="B1215" s="80" t="s">
        <v>110</v>
      </c>
      <c r="C1215" s="113" t="s">
        <v>1452</v>
      </c>
      <c r="D1215" s="82" t="str">
        <f aca="false">IF(OR(C1215="",P1215=""),"",INDEX('CARNET DE SOUDURE'!$D$7:$D$3006,P1215)&amp;"")</f>
        <v>9</v>
      </c>
      <c r="E1215" s="114" t="n">
        <f aca="false">IF(OR(C1215="",P1215=""),"",IF(INDEX('CARNET DE SOUDURE'!$U$7:$U$3006,P1215)="","",INDEX('CARNET DE SOUDURE'!$U$7:$U$3006,P1215)))</f>
        <v>46275</v>
      </c>
      <c r="F1215" s="82" t="str">
        <f aca="false">IF(OR(C1215="",P1215=""),"",INDEX('CARNET DE SOUDURE'!$AP$7:$AP$3006,P1215))</f>
        <v>A</v>
      </c>
      <c r="G1215" s="82" t="str">
        <f aca="false">IF(C1215="","",IF(P1215="","NJ INCONNU",INDEX('CARNET DE SOUDURE'!$AQ$7:$AQ$3006,P1215)))</f>
        <v>ACCEPTÉ</v>
      </c>
      <c r="H1215" s="82" t="str">
        <f aca="false">IF(C1215="","",IF(G1215="ACCEPTÉ","OUI","NON"))</f>
        <v>OUI</v>
      </c>
      <c r="I1215" s="83"/>
      <c r="J1215" s="80"/>
      <c r="K1215" s="81"/>
      <c r="L1215" s="81"/>
      <c r="M1215" s="81"/>
      <c r="N1215" s="84" t="str">
        <f aca="false">IF(C1215="","",IF(P1215="","NJ INCONNU",IF(I1215="",IF(H1215="OUI","À ENROBER",IF(G1215="À SOUDER","NON SOUDÉ","EN ATTENTE RT")),IF(L1215="R","À REPRENDRE",IF(H1215&lt;&gt;"OUI","⚠ ENROBÉ AVANT ACCEPTATION RT","ENROBÉ")))))</f>
        <v>À ENROBER</v>
      </c>
      <c r="O1215" s="80"/>
      <c r="P1215" s="82" t="n">
        <f aca="false">IF(C1215="","",IFERROR(MATCH(Q1215,'CARNET DE SOUDURE'!$AW$7:$AW$3006,0),""))</f>
        <v>1209</v>
      </c>
      <c r="Q1215" s="82" t="str">
        <f aca="false">IF(C1215="","",B1215&amp;"|"&amp;C1215)</f>
        <v>MFD-ISW → MFD-CPF|DJ°336</v>
      </c>
    </row>
    <row r="1216" customFormat="false" ht="74.6" hidden="false" customHeight="false" outlineLevel="0" collapsed="false">
      <c r="A1216" s="82" t="n">
        <f aca="false">IF(C1216="","",ROW()-6)</f>
        <v>1210</v>
      </c>
      <c r="B1216" s="80" t="s">
        <v>110</v>
      </c>
      <c r="C1216" s="113" t="s">
        <v>1455</v>
      </c>
      <c r="D1216" s="82" t="str">
        <f aca="false">IF(OR(C1216="",P1216=""),"",INDEX('CARNET DE SOUDURE'!$D$7:$D$3006,P1216)&amp;"")</f>
        <v>9</v>
      </c>
      <c r="E1216" s="114" t="n">
        <f aca="false">IF(OR(C1216="",P1216=""),"",IF(INDEX('CARNET DE SOUDURE'!$U$7:$U$3006,P1216)="","",INDEX('CARNET DE SOUDURE'!$U$7:$U$3006,P1216)))</f>
        <v>46279</v>
      </c>
      <c r="F1216" s="82" t="str">
        <f aca="false">IF(OR(C1216="",P1216=""),"",INDEX('CARNET DE SOUDURE'!$AP$7:$AP$3006,P1216))</f>
        <v>A</v>
      </c>
      <c r="G1216" s="82" t="str">
        <f aca="false">IF(C1216="","",IF(P1216="","NJ INCONNU",INDEX('CARNET DE SOUDURE'!$AQ$7:$AQ$3006,P1216)))</f>
        <v>ACCEPTÉ</v>
      </c>
      <c r="H1216" s="82" t="str">
        <f aca="false">IF(C1216="","",IF(G1216="ACCEPTÉ","OUI","NON"))</f>
        <v>OUI</v>
      </c>
      <c r="I1216" s="83"/>
      <c r="J1216" s="80"/>
      <c r="K1216" s="81"/>
      <c r="L1216" s="81"/>
      <c r="M1216" s="81"/>
      <c r="N1216" s="84" t="str">
        <f aca="false">IF(C1216="","",IF(P1216="","NJ INCONNU",IF(I1216="",IF(H1216="OUI","À ENROBER",IF(G1216="À SOUDER","NON SOUDÉ","EN ATTENTE RT")),IF(L1216="R","À REPRENDRE",IF(H1216&lt;&gt;"OUI","⚠ ENROBÉ AVANT ACCEPTATION RT","ENROBÉ")))))</f>
        <v>À ENROBER</v>
      </c>
      <c r="O1216" s="80"/>
      <c r="P1216" s="82" t="n">
        <f aca="false">IF(C1216="","",IFERROR(MATCH(Q1216,'CARNET DE SOUDURE'!$AW$7:$AW$3006,0),""))</f>
        <v>1210</v>
      </c>
      <c r="Q1216" s="82" t="str">
        <f aca="false">IF(C1216="","",B1216&amp;"|"&amp;C1216)</f>
        <v>MFD-ISW → MFD-CPF|JN°1043</v>
      </c>
    </row>
    <row r="1217" customFormat="false" ht="74.6" hidden="false" customHeight="false" outlineLevel="0" collapsed="false">
      <c r="A1217" s="82" t="n">
        <f aca="false">IF(C1217="","",ROW()-6)</f>
        <v>1211</v>
      </c>
      <c r="B1217" s="80" t="s">
        <v>110</v>
      </c>
      <c r="C1217" s="113" t="s">
        <v>1456</v>
      </c>
      <c r="D1217" s="82" t="str">
        <f aca="false">IF(OR(C1217="",P1217=""),"",INDEX('CARNET DE SOUDURE'!$D$7:$D$3006,P1217)&amp;"")</f>
        <v>9</v>
      </c>
      <c r="E1217" s="114" t="n">
        <f aca="false">IF(OR(C1217="",P1217=""),"",IF(INDEX('CARNET DE SOUDURE'!$U$7:$U$3006,P1217)="","",INDEX('CARNET DE SOUDURE'!$U$7:$U$3006,P1217)))</f>
        <v>46275</v>
      </c>
      <c r="F1217" s="82" t="str">
        <f aca="false">IF(OR(C1217="",P1217=""),"",INDEX('CARNET DE SOUDURE'!$AP$7:$AP$3006,P1217))</f>
        <v>A</v>
      </c>
      <c r="G1217" s="82" t="str">
        <f aca="false">IF(C1217="","",IF(P1217="","NJ INCONNU",INDEX('CARNET DE SOUDURE'!$AQ$7:$AQ$3006,P1217)))</f>
        <v>ACCEPTÉ</v>
      </c>
      <c r="H1217" s="82" t="str">
        <f aca="false">IF(C1217="","",IF(G1217="ACCEPTÉ","OUI","NON"))</f>
        <v>OUI</v>
      </c>
      <c r="I1217" s="83"/>
      <c r="J1217" s="80"/>
      <c r="K1217" s="81"/>
      <c r="L1217" s="81"/>
      <c r="M1217" s="81"/>
      <c r="N1217" s="84" t="str">
        <f aca="false">IF(C1217="","",IF(P1217="","NJ INCONNU",IF(I1217="",IF(H1217="OUI","À ENROBER",IF(G1217="À SOUDER","NON SOUDÉ","EN ATTENTE RT")),IF(L1217="R","À REPRENDRE",IF(H1217&lt;&gt;"OUI","⚠ ENROBÉ AVANT ACCEPTATION RT","ENROBÉ")))))</f>
        <v>À ENROBER</v>
      </c>
      <c r="O1217" s="80"/>
      <c r="P1217" s="82" t="n">
        <f aca="false">IF(C1217="","",IFERROR(MATCH(Q1217,'CARNET DE SOUDURE'!$AW$7:$AW$3006,0),""))</f>
        <v>1211</v>
      </c>
      <c r="Q1217" s="82" t="str">
        <f aca="false">IF(C1217="","",B1217&amp;"|"&amp;C1217)</f>
        <v>MFD-ISW → MFD-CPF|DJ°337</v>
      </c>
    </row>
    <row r="1218" customFormat="false" ht="74.6" hidden="false" customHeight="false" outlineLevel="0" collapsed="false">
      <c r="A1218" s="82" t="n">
        <f aca="false">IF(C1218="","",ROW()-6)</f>
        <v>1212</v>
      </c>
      <c r="B1218" s="80" t="s">
        <v>110</v>
      </c>
      <c r="C1218" s="113" t="s">
        <v>1457</v>
      </c>
      <c r="D1218" s="82" t="str">
        <f aca="false">IF(OR(C1218="",P1218=""),"",INDEX('CARNET DE SOUDURE'!$D$7:$D$3006,P1218)&amp;"")</f>
        <v>9</v>
      </c>
      <c r="E1218" s="114" t="n">
        <f aca="false">IF(OR(C1218="",P1218=""),"",IF(INDEX('CARNET DE SOUDURE'!$U$7:$U$3006,P1218)="","",INDEX('CARNET DE SOUDURE'!$U$7:$U$3006,P1218)))</f>
        <v>46279</v>
      </c>
      <c r="F1218" s="82" t="str">
        <f aca="false">IF(OR(C1218="",P1218=""),"",INDEX('CARNET DE SOUDURE'!$AP$7:$AP$3006,P1218))</f>
        <v>R</v>
      </c>
      <c r="G1218" s="82" t="str">
        <f aca="false">IF(C1218="","",IF(P1218="","NJ INCONNU",INDEX('CARNET DE SOUDURE'!$AQ$7:$AQ$3006,P1218)))</f>
        <v>À RÉPARER</v>
      </c>
      <c r="H1218" s="82" t="str">
        <f aca="false">IF(C1218="","",IF(G1218="ACCEPTÉ","OUI","NON"))</f>
        <v>NON</v>
      </c>
      <c r="I1218" s="83"/>
      <c r="J1218" s="80"/>
      <c r="K1218" s="81"/>
      <c r="L1218" s="81"/>
      <c r="M1218" s="81"/>
      <c r="N1218" s="84" t="str">
        <f aca="false">IF(C1218="","",IF(P1218="","NJ INCONNU",IF(I1218="",IF(H1218="OUI","À ENROBER",IF(G1218="À SOUDER","NON SOUDÉ","EN ATTENTE RT")),IF(L1218="R","À REPRENDRE",IF(H1218&lt;&gt;"OUI","⚠ ENROBÉ AVANT ACCEPTATION RT","ENROBÉ")))))</f>
        <v>EN ATTENTE RT</v>
      </c>
      <c r="O1218" s="80"/>
      <c r="P1218" s="82" t="n">
        <f aca="false">IF(C1218="","",IFERROR(MATCH(Q1218,'CARNET DE SOUDURE'!$AW$7:$AW$3006,0),""))</f>
        <v>1212</v>
      </c>
      <c r="Q1218" s="82" t="str">
        <f aca="false">IF(C1218="","",B1218&amp;"|"&amp;C1218)</f>
        <v>MFD-ISW → MFD-CPF|JN°1044</v>
      </c>
    </row>
    <row r="1219" customFormat="false" ht="74.6" hidden="false" customHeight="false" outlineLevel="0" collapsed="false">
      <c r="A1219" s="82" t="n">
        <f aca="false">IF(C1219="","",ROW()-6)</f>
        <v>1213</v>
      </c>
      <c r="B1219" s="80" t="s">
        <v>110</v>
      </c>
      <c r="C1219" s="113" t="s">
        <v>1459</v>
      </c>
      <c r="D1219" s="82" t="str">
        <f aca="false">IF(OR(C1219="",P1219=""),"",INDEX('CARNET DE SOUDURE'!$D$7:$D$3006,P1219)&amp;"")</f>
        <v>9</v>
      </c>
      <c r="E1219" s="114" t="n">
        <f aca="false">IF(OR(C1219="",P1219=""),"",IF(INDEX('CARNET DE SOUDURE'!$U$7:$U$3006,P1219)="","",INDEX('CARNET DE SOUDURE'!$U$7:$U$3006,P1219)))</f>
        <v>46276</v>
      </c>
      <c r="F1219" s="82" t="str">
        <f aca="false">IF(OR(C1219="",P1219=""),"",INDEX('CARNET DE SOUDURE'!$AP$7:$AP$3006,P1219))</f>
        <v>A</v>
      </c>
      <c r="G1219" s="82" t="str">
        <f aca="false">IF(C1219="","",IF(P1219="","NJ INCONNU",INDEX('CARNET DE SOUDURE'!$AQ$7:$AQ$3006,P1219)))</f>
        <v>ACCEPTÉ</v>
      </c>
      <c r="H1219" s="82" t="str">
        <f aca="false">IF(C1219="","",IF(G1219="ACCEPTÉ","OUI","NON"))</f>
        <v>OUI</v>
      </c>
      <c r="I1219" s="83"/>
      <c r="J1219" s="80"/>
      <c r="K1219" s="81"/>
      <c r="L1219" s="81"/>
      <c r="M1219" s="81"/>
      <c r="N1219" s="84" t="str">
        <f aca="false">IF(C1219="","",IF(P1219="","NJ INCONNU",IF(I1219="",IF(H1219="OUI","À ENROBER",IF(G1219="À SOUDER","NON SOUDÉ","EN ATTENTE RT")),IF(L1219="R","À REPRENDRE",IF(H1219&lt;&gt;"OUI","⚠ ENROBÉ AVANT ACCEPTATION RT","ENROBÉ")))))</f>
        <v>À ENROBER</v>
      </c>
      <c r="O1219" s="80"/>
      <c r="P1219" s="82" t="n">
        <f aca="false">IF(C1219="","",IFERROR(MATCH(Q1219,'CARNET DE SOUDURE'!$AW$7:$AW$3006,0),""))</f>
        <v>1213</v>
      </c>
      <c r="Q1219" s="82" t="str">
        <f aca="false">IF(C1219="","",B1219&amp;"|"&amp;C1219)</f>
        <v>MFD-ISW → MFD-CPF|DJ°344</v>
      </c>
    </row>
    <row r="1220" customFormat="false" ht="74.6" hidden="false" customHeight="false" outlineLevel="0" collapsed="false">
      <c r="A1220" s="82" t="n">
        <f aca="false">IF(C1220="","",ROW()-6)</f>
        <v>1214</v>
      </c>
      <c r="B1220" s="80" t="s">
        <v>110</v>
      </c>
      <c r="C1220" s="113" t="s">
        <v>1460</v>
      </c>
      <c r="D1220" s="82" t="str">
        <f aca="false">IF(OR(C1220="",P1220=""),"",INDEX('CARNET DE SOUDURE'!$D$7:$D$3006,P1220)&amp;"")</f>
        <v>9</v>
      </c>
      <c r="E1220" s="114" t="str">
        <f aca="false">IF(OR(C1220="",P1220=""),"",IF(INDEX('CARNET DE SOUDURE'!$U$7:$U$3006,P1220)="","",INDEX('CARNET DE SOUDURE'!$U$7:$U$3006,P1220)))</f>
        <v/>
      </c>
      <c r="F1220" s="82" t="str">
        <f aca="false">IF(OR(C1220="",P1220=""),"",INDEX('CARNET DE SOUDURE'!$AP$7:$AP$3006,P1220))</f>
        <v/>
      </c>
      <c r="G1220" s="82" t="str">
        <f aca="false">IF(C1220="","",IF(P1220="","NJ INCONNU",INDEX('CARNET DE SOUDURE'!$AQ$7:$AQ$3006,P1220)))</f>
        <v>À SOUDER</v>
      </c>
      <c r="H1220" s="82" t="str">
        <f aca="false">IF(C1220="","",IF(G1220="ACCEPTÉ","OUI","NON"))</f>
        <v>NON</v>
      </c>
      <c r="I1220" s="83"/>
      <c r="J1220" s="80"/>
      <c r="K1220" s="81"/>
      <c r="L1220" s="81"/>
      <c r="M1220" s="81"/>
      <c r="N1220" s="84" t="str">
        <f aca="false">IF(C1220="","",IF(P1220="","NJ INCONNU",IF(I1220="",IF(H1220="OUI","À ENROBER",IF(G1220="À SOUDER","NON SOUDÉ","EN ATTENTE RT")),IF(L1220="R","À REPRENDRE",IF(H1220&lt;&gt;"OUI","⚠ ENROBÉ AVANT ACCEPTATION RT","ENROBÉ")))))</f>
        <v>NON SOUDÉ</v>
      </c>
      <c r="O1220" s="80"/>
      <c r="P1220" s="82" t="n">
        <f aca="false">IF(C1220="","",IFERROR(MATCH(Q1220,'CARNET DE SOUDURE'!$AW$7:$AW$3006,0),""))</f>
        <v>1214</v>
      </c>
      <c r="Q1220" s="82" t="str">
        <f aca="false">IF(C1220="","",B1220&amp;"|"&amp;C1220)</f>
        <v>MFD-ISW → MFD-CPF|JN°1045</v>
      </c>
    </row>
    <row r="1221" customFormat="false" ht="74.6" hidden="false" customHeight="false" outlineLevel="0" collapsed="false">
      <c r="A1221" s="82" t="n">
        <f aca="false">IF(C1221="","",ROW()-6)</f>
        <v>1215</v>
      </c>
      <c r="B1221" s="80" t="s">
        <v>110</v>
      </c>
      <c r="C1221" s="113" t="s">
        <v>1461</v>
      </c>
      <c r="D1221" s="82" t="str">
        <f aca="false">IF(OR(C1221="",P1221=""),"",INDEX('CARNET DE SOUDURE'!$D$7:$D$3006,P1221)&amp;"")</f>
        <v>9</v>
      </c>
      <c r="E1221" s="114" t="str">
        <f aca="false">IF(OR(C1221="",P1221=""),"",IF(INDEX('CARNET DE SOUDURE'!$U$7:$U$3006,P1221)="","",INDEX('CARNET DE SOUDURE'!$U$7:$U$3006,P1221)))</f>
        <v/>
      </c>
      <c r="F1221" s="82" t="str">
        <f aca="false">IF(OR(C1221="",P1221=""),"",INDEX('CARNET DE SOUDURE'!$AP$7:$AP$3006,P1221))</f>
        <v/>
      </c>
      <c r="G1221" s="82" t="str">
        <f aca="false">IF(C1221="","",IF(P1221="","NJ INCONNU",INDEX('CARNET DE SOUDURE'!$AQ$7:$AQ$3006,P1221)))</f>
        <v>À SOUDER</v>
      </c>
      <c r="H1221" s="82" t="str">
        <f aca="false">IF(C1221="","",IF(G1221="ACCEPTÉ","OUI","NON"))</f>
        <v>NON</v>
      </c>
      <c r="I1221" s="83"/>
      <c r="J1221" s="80"/>
      <c r="K1221" s="81"/>
      <c r="L1221" s="81"/>
      <c r="M1221" s="81"/>
      <c r="N1221" s="84" t="str">
        <f aca="false">IF(C1221="","",IF(P1221="","NJ INCONNU",IF(I1221="",IF(H1221="OUI","À ENROBER",IF(G1221="À SOUDER","NON SOUDÉ","EN ATTENTE RT")),IF(L1221="R","À REPRENDRE",IF(H1221&lt;&gt;"OUI","⚠ ENROBÉ AVANT ACCEPTATION RT","ENROBÉ")))))</f>
        <v>NON SOUDÉ</v>
      </c>
      <c r="O1221" s="80"/>
      <c r="P1221" s="82" t="n">
        <f aca="false">IF(C1221="","",IFERROR(MATCH(Q1221,'CARNET DE SOUDURE'!$AW$7:$AW$3006,0),""))</f>
        <v>1215</v>
      </c>
      <c r="Q1221" s="82" t="str">
        <f aca="false">IF(C1221="","",B1221&amp;"|"&amp;C1221)</f>
        <v>MFD-ISW → MFD-CPF|JN°1046</v>
      </c>
    </row>
    <row r="1222" customFormat="false" ht="74.6" hidden="false" customHeight="false" outlineLevel="0" collapsed="false">
      <c r="A1222" s="82" t="n">
        <f aca="false">IF(C1222="","",ROW()-6)</f>
        <v>1216</v>
      </c>
      <c r="B1222" s="80" t="s">
        <v>110</v>
      </c>
      <c r="C1222" s="113" t="s">
        <v>1462</v>
      </c>
      <c r="D1222" s="82" t="str">
        <f aca="false">IF(OR(C1222="",P1222=""),"",INDEX('CARNET DE SOUDURE'!$D$7:$D$3006,P1222)&amp;"")</f>
        <v>9</v>
      </c>
      <c r="E1222" s="114" t="str">
        <f aca="false">IF(OR(C1222="",P1222=""),"",IF(INDEX('CARNET DE SOUDURE'!$U$7:$U$3006,P1222)="","",INDEX('CARNET DE SOUDURE'!$U$7:$U$3006,P1222)))</f>
        <v/>
      </c>
      <c r="F1222" s="82" t="str">
        <f aca="false">IF(OR(C1222="",P1222=""),"",INDEX('CARNET DE SOUDURE'!$AP$7:$AP$3006,P1222))</f>
        <v/>
      </c>
      <c r="G1222" s="82" t="str">
        <f aca="false">IF(C1222="","",IF(P1222="","NJ INCONNU",INDEX('CARNET DE SOUDURE'!$AQ$7:$AQ$3006,P1222)))</f>
        <v>À SOUDER</v>
      </c>
      <c r="H1222" s="82" t="str">
        <f aca="false">IF(C1222="","",IF(G1222="ACCEPTÉ","OUI","NON"))</f>
        <v>NON</v>
      </c>
      <c r="I1222" s="83"/>
      <c r="J1222" s="80"/>
      <c r="K1222" s="81"/>
      <c r="L1222" s="81"/>
      <c r="M1222" s="81"/>
      <c r="N1222" s="84" t="str">
        <f aca="false">IF(C1222="","",IF(P1222="","NJ INCONNU",IF(I1222="",IF(H1222="OUI","À ENROBER",IF(G1222="À SOUDER","NON SOUDÉ","EN ATTENTE RT")),IF(L1222="R","À REPRENDRE",IF(H1222&lt;&gt;"OUI","⚠ ENROBÉ AVANT ACCEPTATION RT","ENROBÉ")))))</f>
        <v>NON SOUDÉ</v>
      </c>
      <c r="O1222" s="80"/>
      <c r="P1222" s="82" t="n">
        <f aca="false">IF(C1222="","",IFERROR(MATCH(Q1222,'CARNET DE SOUDURE'!$AW$7:$AW$3006,0),""))</f>
        <v>1216</v>
      </c>
      <c r="Q1222" s="82" t="str">
        <f aca="false">IF(C1222="","",B1222&amp;"|"&amp;C1222)</f>
        <v>MFD-ISW → MFD-CPF|JN°1047</v>
      </c>
    </row>
    <row r="1223" customFormat="false" ht="74.6" hidden="false" customHeight="false" outlineLevel="0" collapsed="false">
      <c r="A1223" s="82" t="n">
        <f aca="false">IF(C1223="","",ROW()-6)</f>
        <v>1217</v>
      </c>
      <c r="B1223" s="80" t="s">
        <v>110</v>
      </c>
      <c r="C1223" s="113" t="s">
        <v>1463</v>
      </c>
      <c r="D1223" s="82" t="str">
        <f aca="false">IF(OR(C1223="",P1223=""),"",INDEX('CARNET DE SOUDURE'!$D$7:$D$3006,P1223)&amp;"")</f>
        <v>9</v>
      </c>
      <c r="E1223" s="114" t="str">
        <f aca="false">IF(OR(C1223="",P1223=""),"",IF(INDEX('CARNET DE SOUDURE'!$U$7:$U$3006,P1223)="","",INDEX('CARNET DE SOUDURE'!$U$7:$U$3006,P1223)))</f>
        <v/>
      </c>
      <c r="F1223" s="82" t="str">
        <f aca="false">IF(OR(C1223="",P1223=""),"",INDEX('CARNET DE SOUDURE'!$AP$7:$AP$3006,P1223))</f>
        <v/>
      </c>
      <c r="G1223" s="82" t="str">
        <f aca="false">IF(C1223="","",IF(P1223="","NJ INCONNU",INDEX('CARNET DE SOUDURE'!$AQ$7:$AQ$3006,P1223)))</f>
        <v>À SOUDER</v>
      </c>
      <c r="H1223" s="82" t="str">
        <f aca="false">IF(C1223="","",IF(G1223="ACCEPTÉ","OUI","NON"))</f>
        <v>NON</v>
      </c>
      <c r="I1223" s="83"/>
      <c r="J1223" s="80"/>
      <c r="K1223" s="81"/>
      <c r="L1223" s="81"/>
      <c r="M1223" s="81"/>
      <c r="N1223" s="84" t="str">
        <f aca="false">IF(C1223="","",IF(P1223="","NJ INCONNU",IF(I1223="",IF(H1223="OUI","À ENROBER",IF(G1223="À SOUDER","NON SOUDÉ","EN ATTENTE RT")),IF(L1223="R","À REPRENDRE",IF(H1223&lt;&gt;"OUI","⚠ ENROBÉ AVANT ACCEPTATION RT","ENROBÉ")))))</f>
        <v>NON SOUDÉ</v>
      </c>
      <c r="O1223" s="80"/>
      <c r="P1223" s="82" t="n">
        <f aca="false">IF(C1223="","",IFERROR(MATCH(Q1223,'CARNET DE SOUDURE'!$AW$7:$AW$3006,0),""))</f>
        <v>1217</v>
      </c>
      <c r="Q1223" s="82" t="str">
        <f aca="false">IF(C1223="","",B1223&amp;"|"&amp;C1223)</f>
        <v>MFD-ISW → MFD-CPF|JN°1048</v>
      </c>
    </row>
    <row r="1224" customFormat="false" ht="74.6" hidden="false" customHeight="false" outlineLevel="0" collapsed="false">
      <c r="A1224" s="82" t="n">
        <f aca="false">IF(C1224="","",ROW()-6)</f>
        <v>1218</v>
      </c>
      <c r="B1224" s="80" t="s">
        <v>110</v>
      </c>
      <c r="C1224" s="113" t="s">
        <v>1464</v>
      </c>
      <c r="D1224" s="82" t="str">
        <f aca="false">IF(OR(C1224="",P1224=""),"",INDEX('CARNET DE SOUDURE'!$D$7:$D$3006,P1224)&amp;"")</f>
        <v>9</v>
      </c>
      <c r="E1224" s="114" t="str">
        <f aca="false">IF(OR(C1224="",P1224=""),"",IF(INDEX('CARNET DE SOUDURE'!$U$7:$U$3006,P1224)="","",INDEX('CARNET DE SOUDURE'!$U$7:$U$3006,P1224)))</f>
        <v/>
      </c>
      <c r="F1224" s="82" t="str">
        <f aca="false">IF(OR(C1224="",P1224=""),"",INDEX('CARNET DE SOUDURE'!$AP$7:$AP$3006,P1224))</f>
        <v/>
      </c>
      <c r="G1224" s="82" t="str">
        <f aca="false">IF(C1224="","",IF(P1224="","NJ INCONNU",INDEX('CARNET DE SOUDURE'!$AQ$7:$AQ$3006,P1224)))</f>
        <v>À SOUDER</v>
      </c>
      <c r="H1224" s="82" t="str">
        <f aca="false">IF(C1224="","",IF(G1224="ACCEPTÉ","OUI","NON"))</f>
        <v>NON</v>
      </c>
      <c r="I1224" s="83"/>
      <c r="J1224" s="80"/>
      <c r="K1224" s="81"/>
      <c r="L1224" s="81"/>
      <c r="M1224" s="81"/>
      <c r="N1224" s="84" t="str">
        <f aca="false">IF(C1224="","",IF(P1224="","NJ INCONNU",IF(I1224="",IF(H1224="OUI","À ENROBER",IF(G1224="À SOUDER","NON SOUDÉ","EN ATTENTE RT")),IF(L1224="R","À REPRENDRE",IF(H1224&lt;&gt;"OUI","⚠ ENROBÉ AVANT ACCEPTATION RT","ENROBÉ")))))</f>
        <v>NON SOUDÉ</v>
      </c>
      <c r="O1224" s="80"/>
      <c r="P1224" s="82" t="n">
        <f aca="false">IF(C1224="","",IFERROR(MATCH(Q1224,'CARNET DE SOUDURE'!$AW$7:$AW$3006,0),""))</f>
        <v>1218</v>
      </c>
      <c r="Q1224" s="82" t="str">
        <f aca="false">IF(C1224="","",B1224&amp;"|"&amp;C1224)</f>
        <v>MFD-ISW → MFD-CPF|JN°1049</v>
      </c>
    </row>
    <row r="1225" customFormat="false" ht="74.6" hidden="false" customHeight="false" outlineLevel="0" collapsed="false">
      <c r="A1225" s="82" t="n">
        <f aca="false">IF(C1225="","",ROW()-6)</f>
        <v>1219</v>
      </c>
      <c r="B1225" s="80" t="s">
        <v>110</v>
      </c>
      <c r="C1225" s="113" t="s">
        <v>1465</v>
      </c>
      <c r="D1225" s="82" t="str">
        <f aca="false">IF(OR(C1225="",P1225=""),"",INDEX('CARNET DE SOUDURE'!$D$7:$D$3006,P1225)&amp;"")</f>
        <v>9</v>
      </c>
      <c r="E1225" s="114" t="str">
        <f aca="false">IF(OR(C1225="",P1225=""),"",IF(INDEX('CARNET DE SOUDURE'!$U$7:$U$3006,P1225)="","",INDEX('CARNET DE SOUDURE'!$U$7:$U$3006,P1225)))</f>
        <v/>
      </c>
      <c r="F1225" s="82" t="str">
        <f aca="false">IF(OR(C1225="",P1225=""),"",INDEX('CARNET DE SOUDURE'!$AP$7:$AP$3006,P1225))</f>
        <v/>
      </c>
      <c r="G1225" s="82" t="str">
        <f aca="false">IF(C1225="","",IF(P1225="","NJ INCONNU",INDEX('CARNET DE SOUDURE'!$AQ$7:$AQ$3006,P1225)))</f>
        <v>À SOUDER</v>
      </c>
      <c r="H1225" s="82" t="str">
        <f aca="false">IF(C1225="","",IF(G1225="ACCEPTÉ","OUI","NON"))</f>
        <v>NON</v>
      </c>
      <c r="I1225" s="83"/>
      <c r="J1225" s="80"/>
      <c r="K1225" s="81"/>
      <c r="L1225" s="81"/>
      <c r="M1225" s="81"/>
      <c r="N1225" s="84" t="str">
        <f aca="false">IF(C1225="","",IF(P1225="","NJ INCONNU",IF(I1225="",IF(H1225="OUI","À ENROBER",IF(G1225="À SOUDER","NON SOUDÉ","EN ATTENTE RT")),IF(L1225="R","À REPRENDRE",IF(H1225&lt;&gt;"OUI","⚠ ENROBÉ AVANT ACCEPTATION RT","ENROBÉ")))))</f>
        <v>NON SOUDÉ</v>
      </c>
      <c r="O1225" s="80"/>
      <c r="P1225" s="82" t="n">
        <f aca="false">IF(C1225="","",IFERROR(MATCH(Q1225,'CARNET DE SOUDURE'!$AW$7:$AW$3006,0),""))</f>
        <v>1219</v>
      </c>
      <c r="Q1225" s="82" t="str">
        <f aca="false">IF(C1225="","",B1225&amp;"|"&amp;C1225)</f>
        <v>MFD-ISW → MFD-CPF|JN°1050</v>
      </c>
    </row>
    <row r="1226" customFormat="false" ht="74.6" hidden="false" customHeight="false" outlineLevel="0" collapsed="false">
      <c r="A1226" s="82" t="n">
        <f aca="false">IF(C1226="","",ROW()-6)</f>
        <v>1220</v>
      </c>
      <c r="B1226" s="80" t="s">
        <v>110</v>
      </c>
      <c r="C1226" s="113" t="s">
        <v>1466</v>
      </c>
      <c r="D1226" s="82" t="str">
        <f aca="false">IF(OR(C1226="",P1226=""),"",INDEX('CARNET DE SOUDURE'!$D$7:$D$3006,P1226)&amp;"")</f>
        <v>9</v>
      </c>
      <c r="E1226" s="114" t="str">
        <f aca="false">IF(OR(C1226="",P1226=""),"",IF(INDEX('CARNET DE SOUDURE'!$U$7:$U$3006,P1226)="","",INDEX('CARNET DE SOUDURE'!$U$7:$U$3006,P1226)))</f>
        <v/>
      </c>
      <c r="F1226" s="82" t="str">
        <f aca="false">IF(OR(C1226="",P1226=""),"",INDEX('CARNET DE SOUDURE'!$AP$7:$AP$3006,P1226))</f>
        <v/>
      </c>
      <c r="G1226" s="82" t="str">
        <f aca="false">IF(C1226="","",IF(P1226="","NJ INCONNU",INDEX('CARNET DE SOUDURE'!$AQ$7:$AQ$3006,P1226)))</f>
        <v>À SOUDER</v>
      </c>
      <c r="H1226" s="82" t="str">
        <f aca="false">IF(C1226="","",IF(G1226="ACCEPTÉ","OUI","NON"))</f>
        <v>NON</v>
      </c>
      <c r="I1226" s="83"/>
      <c r="J1226" s="80"/>
      <c r="K1226" s="81"/>
      <c r="L1226" s="81"/>
      <c r="M1226" s="81"/>
      <c r="N1226" s="84" t="str">
        <f aca="false">IF(C1226="","",IF(P1226="","NJ INCONNU",IF(I1226="",IF(H1226="OUI","À ENROBER",IF(G1226="À SOUDER","NON SOUDÉ","EN ATTENTE RT")),IF(L1226="R","À REPRENDRE",IF(H1226&lt;&gt;"OUI","⚠ ENROBÉ AVANT ACCEPTATION RT","ENROBÉ")))))</f>
        <v>NON SOUDÉ</v>
      </c>
      <c r="O1226" s="80"/>
      <c r="P1226" s="82" t="n">
        <f aca="false">IF(C1226="","",IFERROR(MATCH(Q1226,'CARNET DE SOUDURE'!$AW$7:$AW$3006,0),""))</f>
        <v>1220</v>
      </c>
      <c r="Q1226" s="82" t="str">
        <f aca="false">IF(C1226="","",B1226&amp;"|"&amp;C1226)</f>
        <v>MFD-ISW → MFD-CPF|JN°1051</v>
      </c>
    </row>
    <row r="1227" customFormat="false" ht="74.6" hidden="false" customHeight="false" outlineLevel="0" collapsed="false">
      <c r="A1227" s="82" t="n">
        <f aca="false">IF(C1227="","",ROW()-6)</f>
        <v>1221</v>
      </c>
      <c r="B1227" s="80" t="s">
        <v>110</v>
      </c>
      <c r="C1227" s="113" t="s">
        <v>1467</v>
      </c>
      <c r="D1227" s="82" t="str">
        <f aca="false">IF(OR(C1227="",P1227=""),"",INDEX('CARNET DE SOUDURE'!$D$7:$D$3006,P1227)&amp;"")</f>
        <v>9</v>
      </c>
      <c r="E1227" s="114" t="str">
        <f aca="false">IF(OR(C1227="",P1227=""),"",IF(INDEX('CARNET DE SOUDURE'!$U$7:$U$3006,P1227)="","",INDEX('CARNET DE SOUDURE'!$U$7:$U$3006,P1227)))</f>
        <v/>
      </c>
      <c r="F1227" s="82" t="str">
        <f aca="false">IF(OR(C1227="",P1227=""),"",INDEX('CARNET DE SOUDURE'!$AP$7:$AP$3006,P1227))</f>
        <v/>
      </c>
      <c r="G1227" s="82" t="str">
        <f aca="false">IF(C1227="","",IF(P1227="","NJ INCONNU",INDEX('CARNET DE SOUDURE'!$AQ$7:$AQ$3006,P1227)))</f>
        <v>À SOUDER</v>
      </c>
      <c r="H1227" s="82" t="str">
        <f aca="false">IF(C1227="","",IF(G1227="ACCEPTÉ","OUI","NON"))</f>
        <v>NON</v>
      </c>
      <c r="I1227" s="83"/>
      <c r="J1227" s="80"/>
      <c r="K1227" s="81"/>
      <c r="L1227" s="81"/>
      <c r="M1227" s="81"/>
      <c r="N1227" s="84" t="str">
        <f aca="false">IF(C1227="","",IF(P1227="","NJ INCONNU",IF(I1227="",IF(H1227="OUI","À ENROBER",IF(G1227="À SOUDER","NON SOUDÉ","EN ATTENTE RT")),IF(L1227="R","À REPRENDRE",IF(H1227&lt;&gt;"OUI","⚠ ENROBÉ AVANT ACCEPTATION RT","ENROBÉ")))))</f>
        <v>NON SOUDÉ</v>
      </c>
      <c r="O1227" s="80"/>
      <c r="P1227" s="82" t="n">
        <f aca="false">IF(C1227="","",IFERROR(MATCH(Q1227,'CARNET DE SOUDURE'!$AW$7:$AW$3006,0),""))</f>
        <v>1221</v>
      </c>
      <c r="Q1227" s="82" t="str">
        <f aca="false">IF(C1227="","",B1227&amp;"|"&amp;C1227)</f>
        <v>MFD-ISW → MFD-CPF|JN°1052</v>
      </c>
    </row>
    <row r="1228" customFormat="false" ht="74.6" hidden="false" customHeight="false" outlineLevel="0" collapsed="false">
      <c r="A1228" s="82" t="n">
        <f aca="false">IF(C1228="","",ROW()-6)</f>
        <v>1222</v>
      </c>
      <c r="B1228" s="80" t="s">
        <v>110</v>
      </c>
      <c r="C1228" s="113" t="s">
        <v>1468</v>
      </c>
      <c r="D1228" s="82" t="str">
        <f aca="false">IF(OR(C1228="",P1228=""),"",INDEX('CARNET DE SOUDURE'!$D$7:$D$3006,P1228)&amp;"")</f>
        <v>9</v>
      </c>
      <c r="E1228" s="114" t="str">
        <f aca="false">IF(OR(C1228="",P1228=""),"",IF(INDEX('CARNET DE SOUDURE'!$U$7:$U$3006,P1228)="","",INDEX('CARNET DE SOUDURE'!$U$7:$U$3006,P1228)))</f>
        <v/>
      </c>
      <c r="F1228" s="82" t="str">
        <f aca="false">IF(OR(C1228="",P1228=""),"",INDEX('CARNET DE SOUDURE'!$AP$7:$AP$3006,P1228))</f>
        <v/>
      </c>
      <c r="G1228" s="82" t="str">
        <f aca="false">IF(C1228="","",IF(P1228="","NJ INCONNU",INDEX('CARNET DE SOUDURE'!$AQ$7:$AQ$3006,P1228)))</f>
        <v>À SOUDER</v>
      </c>
      <c r="H1228" s="82" t="str">
        <f aca="false">IF(C1228="","",IF(G1228="ACCEPTÉ","OUI","NON"))</f>
        <v>NON</v>
      </c>
      <c r="I1228" s="83"/>
      <c r="J1228" s="80"/>
      <c r="K1228" s="81"/>
      <c r="L1228" s="81"/>
      <c r="M1228" s="81"/>
      <c r="N1228" s="84" t="str">
        <f aca="false">IF(C1228="","",IF(P1228="","NJ INCONNU",IF(I1228="",IF(H1228="OUI","À ENROBER",IF(G1228="À SOUDER","NON SOUDÉ","EN ATTENTE RT")),IF(L1228="R","À REPRENDRE",IF(H1228&lt;&gt;"OUI","⚠ ENROBÉ AVANT ACCEPTATION RT","ENROBÉ")))))</f>
        <v>NON SOUDÉ</v>
      </c>
      <c r="O1228" s="80"/>
      <c r="P1228" s="82" t="n">
        <f aca="false">IF(C1228="","",IFERROR(MATCH(Q1228,'CARNET DE SOUDURE'!$AW$7:$AW$3006,0),""))</f>
        <v>1222</v>
      </c>
      <c r="Q1228" s="82" t="str">
        <f aca="false">IF(C1228="","",B1228&amp;"|"&amp;C1228)</f>
        <v>MFD-ISW → MFD-CPF|JN°1053</v>
      </c>
    </row>
    <row r="1229" customFormat="false" ht="74.6" hidden="false" customHeight="false" outlineLevel="0" collapsed="false">
      <c r="A1229" s="82" t="n">
        <f aca="false">IF(C1229="","",ROW()-6)</f>
        <v>1223</v>
      </c>
      <c r="B1229" s="80" t="s">
        <v>110</v>
      </c>
      <c r="C1229" s="113" t="s">
        <v>1469</v>
      </c>
      <c r="D1229" s="82" t="str">
        <f aca="false">IF(OR(C1229="",P1229=""),"",INDEX('CARNET DE SOUDURE'!$D$7:$D$3006,P1229)&amp;"")</f>
        <v>9</v>
      </c>
      <c r="E1229" s="114" t="str">
        <f aca="false">IF(OR(C1229="",P1229=""),"",IF(INDEX('CARNET DE SOUDURE'!$U$7:$U$3006,P1229)="","",INDEX('CARNET DE SOUDURE'!$U$7:$U$3006,P1229)))</f>
        <v/>
      </c>
      <c r="F1229" s="82" t="str">
        <f aca="false">IF(OR(C1229="",P1229=""),"",INDEX('CARNET DE SOUDURE'!$AP$7:$AP$3006,P1229))</f>
        <v/>
      </c>
      <c r="G1229" s="82" t="str">
        <f aca="false">IF(C1229="","",IF(P1229="","NJ INCONNU",INDEX('CARNET DE SOUDURE'!$AQ$7:$AQ$3006,P1229)))</f>
        <v>À SOUDER</v>
      </c>
      <c r="H1229" s="82" t="str">
        <f aca="false">IF(C1229="","",IF(G1229="ACCEPTÉ","OUI","NON"))</f>
        <v>NON</v>
      </c>
      <c r="I1229" s="83"/>
      <c r="J1229" s="80"/>
      <c r="K1229" s="81"/>
      <c r="L1229" s="81"/>
      <c r="M1229" s="81"/>
      <c r="N1229" s="84" t="str">
        <f aca="false">IF(C1229="","",IF(P1229="","NJ INCONNU",IF(I1229="",IF(H1229="OUI","À ENROBER",IF(G1229="À SOUDER","NON SOUDÉ","EN ATTENTE RT")),IF(L1229="R","À REPRENDRE",IF(H1229&lt;&gt;"OUI","⚠ ENROBÉ AVANT ACCEPTATION RT","ENROBÉ")))))</f>
        <v>NON SOUDÉ</v>
      </c>
      <c r="O1229" s="80"/>
      <c r="P1229" s="82" t="n">
        <f aca="false">IF(C1229="","",IFERROR(MATCH(Q1229,'CARNET DE SOUDURE'!$AW$7:$AW$3006,0),""))</f>
        <v>1223</v>
      </c>
      <c r="Q1229" s="82" t="str">
        <f aca="false">IF(C1229="","",B1229&amp;"|"&amp;C1229)</f>
        <v>MFD-ISW → MFD-CPF|JN°1054</v>
      </c>
    </row>
    <row r="1230" customFormat="false" ht="74.6" hidden="false" customHeight="false" outlineLevel="0" collapsed="false">
      <c r="A1230" s="82" t="n">
        <f aca="false">IF(C1230="","",ROW()-6)</f>
        <v>1224</v>
      </c>
      <c r="B1230" s="80" t="s">
        <v>110</v>
      </c>
      <c r="C1230" s="113" t="s">
        <v>1470</v>
      </c>
      <c r="D1230" s="82" t="str">
        <f aca="false">IF(OR(C1230="",P1230=""),"",INDEX('CARNET DE SOUDURE'!$D$7:$D$3006,P1230)&amp;"")</f>
        <v>9</v>
      </c>
      <c r="E1230" s="114" t="str">
        <f aca="false">IF(OR(C1230="",P1230=""),"",IF(INDEX('CARNET DE SOUDURE'!$U$7:$U$3006,P1230)="","",INDEX('CARNET DE SOUDURE'!$U$7:$U$3006,P1230)))</f>
        <v/>
      </c>
      <c r="F1230" s="82" t="str">
        <f aca="false">IF(OR(C1230="",P1230=""),"",INDEX('CARNET DE SOUDURE'!$AP$7:$AP$3006,P1230))</f>
        <v/>
      </c>
      <c r="G1230" s="82" t="str">
        <f aca="false">IF(C1230="","",IF(P1230="","NJ INCONNU",INDEX('CARNET DE SOUDURE'!$AQ$7:$AQ$3006,P1230)))</f>
        <v>À SOUDER</v>
      </c>
      <c r="H1230" s="82" t="str">
        <f aca="false">IF(C1230="","",IF(G1230="ACCEPTÉ","OUI","NON"))</f>
        <v>NON</v>
      </c>
      <c r="I1230" s="83"/>
      <c r="J1230" s="80"/>
      <c r="K1230" s="81"/>
      <c r="L1230" s="81"/>
      <c r="M1230" s="81"/>
      <c r="N1230" s="84" t="str">
        <f aca="false">IF(C1230="","",IF(P1230="","NJ INCONNU",IF(I1230="",IF(H1230="OUI","À ENROBER",IF(G1230="À SOUDER","NON SOUDÉ","EN ATTENTE RT")),IF(L1230="R","À REPRENDRE",IF(H1230&lt;&gt;"OUI","⚠ ENROBÉ AVANT ACCEPTATION RT","ENROBÉ")))))</f>
        <v>NON SOUDÉ</v>
      </c>
      <c r="O1230" s="80"/>
      <c r="P1230" s="82" t="n">
        <f aca="false">IF(C1230="","",IFERROR(MATCH(Q1230,'CARNET DE SOUDURE'!$AW$7:$AW$3006,0),""))</f>
        <v>1224</v>
      </c>
      <c r="Q1230" s="82" t="str">
        <f aca="false">IF(C1230="","",B1230&amp;"|"&amp;C1230)</f>
        <v>MFD-ISW → MFD-CPF|JN°1055</v>
      </c>
    </row>
    <row r="1231" customFormat="false" ht="74.6" hidden="false" customHeight="false" outlineLevel="0" collapsed="false">
      <c r="A1231" s="82" t="n">
        <f aca="false">IF(C1231="","",ROW()-6)</f>
        <v>1225</v>
      </c>
      <c r="B1231" s="80" t="s">
        <v>110</v>
      </c>
      <c r="C1231" s="113" t="s">
        <v>1471</v>
      </c>
      <c r="D1231" s="82" t="str">
        <f aca="false">IF(OR(C1231="",P1231=""),"",INDEX('CARNET DE SOUDURE'!$D$7:$D$3006,P1231)&amp;"")</f>
        <v>9</v>
      </c>
      <c r="E1231" s="114" t="str">
        <f aca="false">IF(OR(C1231="",P1231=""),"",IF(INDEX('CARNET DE SOUDURE'!$U$7:$U$3006,P1231)="","",INDEX('CARNET DE SOUDURE'!$U$7:$U$3006,P1231)))</f>
        <v/>
      </c>
      <c r="F1231" s="82" t="str">
        <f aca="false">IF(OR(C1231="",P1231=""),"",INDEX('CARNET DE SOUDURE'!$AP$7:$AP$3006,P1231))</f>
        <v/>
      </c>
      <c r="G1231" s="82" t="str">
        <f aca="false">IF(C1231="","",IF(P1231="","NJ INCONNU",INDEX('CARNET DE SOUDURE'!$AQ$7:$AQ$3006,P1231)))</f>
        <v>À SOUDER</v>
      </c>
      <c r="H1231" s="82" t="str">
        <f aca="false">IF(C1231="","",IF(G1231="ACCEPTÉ","OUI","NON"))</f>
        <v>NON</v>
      </c>
      <c r="I1231" s="83"/>
      <c r="J1231" s="80"/>
      <c r="K1231" s="81"/>
      <c r="L1231" s="81"/>
      <c r="M1231" s="81"/>
      <c r="N1231" s="84" t="str">
        <f aca="false">IF(C1231="","",IF(P1231="","NJ INCONNU",IF(I1231="",IF(H1231="OUI","À ENROBER",IF(G1231="À SOUDER","NON SOUDÉ","EN ATTENTE RT")),IF(L1231="R","À REPRENDRE",IF(H1231&lt;&gt;"OUI","⚠ ENROBÉ AVANT ACCEPTATION RT","ENROBÉ")))))</f>
        <v>NON SOUDÉ</v>
      </c>
      <c r="O1231" s="80"/>
      <c r="P1231" s="82" t="n">
        <f aca="false">IF(C1231="","",IFERROR(MATCH(Q1231,'CARNET DE SOUDURE'!$AW$7:$AW$3006,0),""))</f>
        <v>1225</v>
      </c>
      <c r="Q1231" s="82" t="str">
        <f aca="false">IF(C1231="","",B1231&amp;"|"&amp;C1231)</f>
        <v>MFD-ISW → MFD-CPF|JN°1056</v>
      </c>
    </row>
    <row r="1232" customFormat="false" ht="74.6" hidden="false" customHeight="false" outlineLevel="0" collapsed="false">
      <c r="A1232" s="82" t="n">
        <f aca="false">IF(C1232="","",ROW()-6)</f>
        <v>1226</v>
      </c>
      <c r="B1232" s="80" t="s">
        <v>110</v>
      </c>
      <c r="C1232" s="113" t="s">
        <v>1472</v>
      </c>
      <c r="D1232" s="82" t="str">
        <f aca="false">IF(OR(C1232="",P1232=""),"",INDEX('CARNET DE SOUDURE'!$D$7:$D$3006,P1232)&amp;"")</f>
        <v>9</v>
      </c>
      <c r="E1232" s="114" t="str">
        <f aca="false">IF(OR(C1232="",P1232=""),"",IF(INDEX('CARNET DE SOUDURE'!$U$7:$U$3006,P1232)="","",INDEX('CARNET DE SOUDURE'!$U$7:$U$3006,P1232)))</f>
        <v/>
      </c>
      <c r="F1232" s="82" t="str">
        <f aca="false">IF(OR(C1232="",P1232=""),"",INDEX('CARNET DE SOUDURE'!$AP$7:$AP$3006,P1232))</f>
        <v/>
      </c>
      <c r="G1232" s="82" t="str">
        <f aca="false">IF(C1232="","",IF(P1232="","NJ INCONNU",INDEX('CARNET DE SOUDURE'!$AQ$7:$AQ$3006,P1232)))</f>
        <v>À SOUDER</v>
      </c>
      <c r="H1232" s="82" t="str">
        <f aca="false">IF(C1232="","",IF(G1232="ACCEPTÉ","OUI","NON"))</f>
        <v>NON</v>
      </c>
      <c r="I1232" s="83"/>
      <c r="J1232" s="80"/>
      <c r="K1232" s="81"/>
      <c r="L1232" s="81"/>
      <c r="M1232" s="81"/>
      <c r="N1232" s="84" t="str">
        <f aca="false">IF(C1232="","",IF(P1232="","NJ INCONNU",IF(I1232="",IF(H1232="OUI","À ENROBER",IF(G1232="À SOUDER","NON SOUDÉ","EN ATTENTE RT")),IF(L1232="R","À REPRENDRE",IF(H1232&lt;&gt;"OUI","⚠ ENROBÉ AVANT ACCEPTATION RT","ENROBÉ")))))</f>
        <v>NON SOUDÉ</v>
      </c>
      <c r="O1232" s="80"/>
      <c r="P1232" s="82" t="n">
        <f aca="false">IF(C1232="","",IFERROR(MATCH(Q1232,'CARNET DE SOUDURE'!$AW$7:$AW$3006,0),""))</f>
        <v>1226</v>
      </c>
      <c r="Q1232" s="82" t="str">
        <f aca="false">IF(C1232="","",B1232&amp;"|"&amp;C1232)</f>
        <v>MFD-ISW → MFD-CPF|JN°1057</v>
      </c>
    </row>
    <row r="1233" customFormat="false" ht="74.6" hidden="false" customHeight="false" outlineLevel="0" collapsed="false">
      <c r="A1233" s="82" t="n">
        <f aca="false">IF(C1233="","",ROW()-6)</f>
        <v>1227</v>
      </c>
      <c r="B1233" s="80" t="s">
        <v>110</v>
      </c>
      <c r="C1233" s="113" t="s">
        <v>1474</v>
      </c>
      <c r="D1233" s="82" t="str">
        <f aca="false">IF(OR(C1233="",P1233=""),"",INDEX('CARNET DE SOUDURE'!$D$7:$D$3006,P1233)&amp;"")</f>
        <v>9</v>
      </c>
      <c r="E1233" s="114" t="n">
        <f aca="false">IF(OR(C1233="",P1233=""),"",IF(INDEX('CARNET DE SOUDURE'!$U$7:$U$3006,P1233)="","",INDEX('CARNET DE SOUDURE'!$U$7:$U$3006,P1233)))</f>
        <v>46276</v>
      </c>
      <c r="F1233" s="82" t="str">
        <f aca="false">IF(OR(C1233="",P1233=""),"",INDEX('CARNET DE SOUDURE'!$AP$7:$AP$3006,P1233))</f>
        <v>A</v>
      </c>
      <c r="G1233" s="82" t="str">
        <f aca="false">IF(C1233="","",IF(P1233="","NJ INCONNU",INDEX('CARNET DE SOUDURE'!$AQ$7:$AQ$3006,P1233)))</f>
        <v>ACCEPTÉ</v>
      </c>
      <c r="H1233" s="82" t="str">
        <f aca="false">IF(C1233="","",IF(G1233="ACCEPTÉ","OUI","NON"))</f>
        <v>OUI</v>
      </c>
      <c r="I1233" s="83"/>
      <c r="J1233" s="80"/>
      <c r="K1233" s="81"/>
      <c r="L1233" s="81"/>
      <c r="M1233" s="81"/>
      <c r="N1233" s="84" t="str">
        <f aca="false">IF(C1233="","",IF(P1233="","NJ INCONNU",IF(I1233="",IF(H1233="OUI","À ENROBER",IF(G1233="À SOUDER","NON SOUDÉ","EN ATTENTE RT")),IF(L1233="R","À REPRENDRE",IF(H1233&lt;&gt;"OUI","⚠ ENROBÉ AVANT ACCEPTATION RT","ENROBÉ")))))</f>
        <v>À ENROBER</v>
      </c>
      <c r="O1233" s="80"/>
      <c r="P1233" s="82" t="n">
        <f aca="false">IF(C1233="","",IFERROR(MATCH(Q1233,'CARNET DE SOUDURE'!$AW$7:$AW$3006,0),""))</f>
        <v>1227</v>
      </c>
      <c r="Q1233" s="82" t="str">
        <f aca="false">IF(C1233="","",B1233&amp;"|"&amp;C1233)</f>
        <v>MFD-ISW → MFD-CPF|DJ°342</v>
      </c>
    </row>
    <row r="1234" customFormat="false" ht="74.6" hidden="false" customHeight="false" outlineLevel="0" collapsed="false">
      <c r="A1234" s="82" t="n">
        <f aca="false">IF(C1234="","",ROW()-6)</f>
        <v>1228</v>
      </c>
      <c r="B1234" s="80" t="s">
        <v>110</v>
      </c>
      <c r="C1234" s="113" t="s">
        <v>1475</v>
      </c>
      <c r="D1234" s="82" t="str">
        <f aca="false">IF(OR(C1234="",P1234=""),"",INDEX('CARNET DE SOUDURE'!$D$7:$D$3006,P1234)&amp;"")</f>
        <v>9</v>
      </c>
      <c r="E1234" s="114" t="n">
        <f aca="false">IF(OR(C1234="",P1234=""),"",IF(INDEX('CARNET DE SOUDURE'!$U$7:$U$3006,P1234)="","",INDEX('CARNET DE SOUDURE'!$U$7:$U$3006,P1234)))</f>
        <v>46279</v>
      </c>
      <c r="F1234" s="82" t="str">
        <f aca="false">IF(OR(C1234="",P1234=""),"",INDEX('CARNET DE SOUDURE'!$AP$7:$AP$3006,P1234))</f>
        <v>A</v>
      </c>
      <c r="G1234" s="82" t="str">
        <f aca="false">IF(C1234="","",IF(P1234="","NJ INCONNU",INDEX('CARNET DE SOUDURE'!$AQ$7:$AQ$3006,P1234)))</f>
        <v>ACCEPTÉ</v>
      </c>
      <c r="H1234" s="82" t="str">
        <f aca="false">IF(C1234="","",IF(G1234="ACCEPTÉ","OUI","NON"))</f>
        <v>OUI</v>
      </c>
      <c r="I1234" s="83"/>
      <c r="J1234" s="80"/>
      <c r="K1234" s="81"/>
      <c r="L1234" s="81"/>
      <c r="M1234" s="81"/>
      <c r="N1234" s="84" t="str">
        <f aca="false">IF(C1234="","",IF(P1234="","NJ INCONNU",IF(I1234="",IF(H1234="OUI","À ENROBER",IF(G1234="À SOUDER","NON SOUDÉ","EN ATTENTE RT")),IF(L1234="R","À REPRENDRE",IF(H1234&lt;&gt;"OUI","⚠ ENROBÉ AVANT ACCEPTATION RT","ENROBÉ")))))</f>
        <v>À ENROBER</v>
      </c>
      <c r="O1234" s="80"/>
      <c r="P1234" s="82" t="n">
        <f aca="false">IF(C1234="","",IFERROR(MATCH(Q1234,'CARNET DE SOUDURE'!$AW$7:$AW$3006,0),""))</f>
        <v>1228</v>
      </c>
      <c r="Q1234" s="82" t="str">
        <f aca="false">IF(C1234="","",B1234&amp;"|"&amp;C1234)</f>
        <v>MFD-ISW → MFD-CPF|JN°1058</v>
      </c>
    </row>
    <row r="1235" customFormat="false" ht="74.6" hidden="false" customHeight="false" outlineLevel="0" collapsed="false">
      <c r="A1235" s="82" t="n">
        <f aca="false">IF(C1235="","",ROW()-6)</f>
        <v>1229</v>
      </c>
      <c r="B1235" s="80" t="s">
        <v>110</v>
      </c>
      <c r="C1235" s="113" t="s">
        <v>1477</v>
      </c>
      <c r="D1235" s="82" t="str">
        <f aca="false">IF(OR(C1235="",P1235=""),"",INDEX('CARNET DE SOUDURE'!$D$7:$D$3006,P1235)&amp;"")</f>
        <v>9</v>
      </c>
      <c r="E1235" s="114" t="n">
        <f aca="false">IF(OR(C1235="",P1235=""),"",IF(INDEX('CARNET DE SOUDURE'!$U$7:$U$3006,P1235)="","",INDEX('CARNET DE SOUDURE'!$U$7:$U$3006,P1235)))</f>
        <v>46275</v>
      </c>
      <c r="F1235" s="82" t="str">
        <f aca="false">IF(OR(C1235="",P1235=""),"",INDEX('CARNET DE SOUDURE'!$AP$7:$AP$3006,P1235))</f>
        <v>A</v>
      </c>
      <c r="G1235" s="82" t="str">
        <f aca="false">IF(C1235="","",IF(P1235="","NJ INCONNU",INDEX('CARNET DE SOUDURE'!$AQ$7:$AQ$3006,P1235)))</f>
        <v>ACCEPTÉ</v>
      </c>
      <c r="H1235" s="82" t="str">
        <f aca="false">IF(C1235="","",IF(G1235="ACCEPTÉ","OUI","NON"))</f>
        <v>OUI</v>
      </c>
      <c r="I1235" s="83"/>
      <c r="J1235" s="80"/>
      <c r="K1235" s="81"/>
      <c r="L1235" s="81"/>
      <c r="M1235" s="81"/>
      <c r="N1235" s="84" t="str">
        <f aca="false">IF(C1235="","",IF(P1235="","NJ INCONNU",IF(I1235="",IF(H1235="OUI","À ENROBER",IF(G1235="À SOUDER","NON SOUDÉ","EN ATTENTE RT")),IF(L1235="R","À REPRENDRE",IF(H1235&lt;&gt;"OUI","⚠ ENROBÉ AVANT ACCEPTATION RT","ENROBÉ")))))</f>
        <v>À ENROBER</v>
      </c>
      <c r="O1235" s="80"/>
      <c r="P1235" s="82" t="n">
        <f aca="false">IF(C1235="","",IFERROR(MATCH(Q1235,'CARNET DE SOUDURE'!$AW$7:$AW$3006,0),""))</f>
        <v>1229</v>
      </c>
      <c r="Q1235" s="82" t="str">
        <f aca="false">IF(C1235="","",B1235&amp;"|"&amp;C1235)</f>
        <v>MFD-ISW → MFD-CPF|DJ°329</v>
      </c>
    </row>
    <row r="1236" customFormat="false" ht="74.6" hidden="false" customHeight="false" outlineLevel="0" collapsed="false">
      <c r="A1236" s="82" t="n">
        <f aca="false">IF(C1236="","",ROW()-6)</f>
        <v>1230</v>
      </c>
      <c r="B1236" s="80" t="s">
        <v>110</v>
      </c>
      <c r="C1236" s="113" t="s">
        <v>1478</v>
      </c>
      <c r="D1236" s="82" t="str">
        <f aca="false">IF(OR(C1236="",P1236=""),"",INDEX('CARNET DE SOUDURE'!$D$7:$D$3006,P1236)&amp;"")</f>
        <v>9</v>
      </c>
      <c r="E1236" s="114" t="n">
        <f aca="false">IF(OR(C1236="",P1236=""),"",IF(INDEX('CARNET DE SOUDURE'!$U$7:$U$3006,P1236)="","",INDEX('CARNET DE SOUDURE'!$U$7:$U$3006,P1236)))</f>
        <v>46279</v>
      </c>
      <c r="F1236" s="82" t="str">
        <f aca="false">IF(OR(C1236="",P1236=""),"",INDEX('CARNET DE SOUDURE'!$AP$7:$AP$3006,P1236))</f>
        <v>A</v>
      </c>
      <c r="G1236" s="82" t="str">
        <f aca="false">IF(C1236="","",IF(P1236="","NJ INCONNU",INDEX('CARNET DE SOUDURE'!$AQ$7:$AQ$3006,P1236)))</f>
        <v>ACCEPTÉ</v>
      </c>
      <c r="H1236" s="82" t="str">
        <f aca="false">IF(C1236="","",IF(G1236="ACCEPTÉ","OUI","NON"))</f>
        <v>OUI</v>
      </c>
      <c r="I1236" s="83"/>
      <c r="J1236" s="80"/>
      <c r="K1236" s="81"/>
      <c r="L1236" s="81"/>
      <c r="M1236" s="81"/>
      <c r="N1236" s="84" t="str">
        <f aca="false">IF(C1236="","",IF(P1236="","NJ INCONNU",IF(I1236="",IF(H1236="OUI","À ENROBER",IF(G1236="À SOUDER","NON SOUDÉ","EN ATTENTE RT")),IF(L1236="R","À REPRENDRE",IF(H1236&lt;&gt;"OUI","⚠ ENROBÉ AVANT ACCEPTATION RT","ENROBÉ")))))</f>
        <v>À ENROBER</v>
      </c>
      <c r="O1236" s="80"/>
      <c r="P1236" s="82" t="n">
        <f aca="false">IF(C1236="","",IFERROR(MATCH(Q1236,'CARNET DE SOUDURE'!$AW$7:$AW$3006,0),""))</f>
        <v>1230</v>
      </c>
      <c r="Q1236" s="82" t="str">
        <f aca="false">IF(C1236="","",B1236&amp;"|"&amp;C1236)</f>
        <v>MFD-ISW → MFD-CPF|JN°1059</v>
      </c>
    </row>
    <row r="1237" customFormat="false" ht="74.6" hidden="false" customHeight="false" outlineLevel="0" collapsed="false">
      <c r="A1237" s="82" t="n">
        <f aca="false">IF(C1237="","",ROW()-6)</f>
        <v>1231</v>
      </c>
      <c r="B1237" s="80" t="s">
        <v>110</v>
      </c>
      <c r="C1237" s="113" t="s">
        <v>1479</v>
      </c>
      <c r="D1237" s="82" t="str">
        <f aca="false">IF(OR(C1237="",P1237=""),"",INDEX('CARNET DE SOUDURE'!$D$7:$D$3006,P1237)&amp;"")</f>
        <v>9</v>
      </c>
      <c r="E1237" s="114" t="n">
        <f aca="false">IF(OR(C1237="",P1237=""),"",IF(INDEX('CARNET DE SOUDURE'!$U$7:$U$3006,P1237)="","",INDEX('CARNET DE SOUDURE'!$U$7:$U$3006,P1237)))</f>
        <v>46275</v>
      </c>
      <c r="F1237" s="82" t="str">
        <f aca="false">IF(OR(C1237="",P1237=""),"",INDEX('CARNET DE SOUDURE'!$AP$7:$AP$3006,P1237))</f>
        <v>A</v>
      </c>
      <c r="G1237" s="82" t="str">
        <f aca="false">IF(C1237="","",IF(P1237="","NJ INCONNU",INDEX('CARNET DE SOUDURE'!$AQ$7:$AQ$3006,P1237)))</f>
        <v>ACCEPTÉ</v>
      </c>
      <c r="H1237" s="82" t="str">
        <f aca="false">IF(C1237="","",IF(G1237="ACCEPTÉ","OUI","NON"))</f>
        <v>OUI</v>
      </c>
      <c r="I1237" s="83"/>
      <c r="J1237" s="80"/>
      <c r="K1237" s="81"/>
      <c r="L1237" s="81"/>
      <c r="M1237" s="81"/>
      <c r="N1237" s="84" t="str">
        <f aca="false">IF(C1237="","",IF(P1237="","NJ INCONNU",IF(I1237="",IF(H1237="OUI","À ENROBER",IF(G1237="À SOUDER","NON SOUDÉ","EN ATTENTE RT")),IF(L1237="R","À REPRENDRE",IF(H1237&lt;&gt;"OUI","⚠ ENROBÉ AVANT ACCEPTATION RT","ENROBÉ")))))</f>
        <v>À ENROBER</v>
      </c>
      <c r="O1237" s="80"/>
      <c r="P1237" s="82" t="n">
        <f aca="false">IF(C1237="","",IFERROR(MATCH(Q1237,'CARNET DE SOUDURE'!$AW$7:$AW$3006,0),""))</f>
        <v>1231</v>
      </c>
      <c r="Q1237" s="82" t="str">
        <f aca="false">IF(C1237="","",B1237&amp;"|"&amp;C1237)</f>
        <v>MFD-ISW → MFD-CPF|DJ°330</v>
      </c>
    </row>
    <row r="1238" customFormat="false" ht="74.6" hidden="false" customHeight="false" outlineLevel="0" collapsed="false">
      <c r="A1238" s="82" t="n">
        <f aca="false">IF(C1238="","",ROW()-6)</f>
        <v>1232</v>
      </c>
      <c r="B1238" s="80" t="s">
        <v>110</v>
      </c>
      <c r="C1238" s="113" t="s">
        <v>1480</v>
      </c>
      <c r="D1238" s="82" t="str">
        <f aca="false">IF(OR(C1238="",P1238=""),"",INDEX('CARNET DE SOUDURE'!$D$7:$D$3006,P1238)&amp;"")</f>
        <v>9</v>
      </c>
      <c r="E1238" s="114" t="n">
        <f aca="false">IF(OR(C1238="",P1238=""),"",IF(INDEX('CARNET DE SOUDURE'!$U$7:$U$3006,P1238)="","",INDEX('CARNET DE SOUDURE'!$U$7:$U$3006,P1238)))</f>
        <v>46279</v>
      </c>
      <c r="F1238" s="82" t="str">
        <f aca="false">IF(OR(C1238="",P1238=""),"",INDEX('CARNET DE SOUDURE'!$AP$7:$AP$3006,P1238))</f>
        <v>A</v>
      </c>
      <c r="G1238" s="82" t="str">
        <f aca="false">IF(C1238="","",IF(P1238="","NJ INCONNU",INDEX('CARNET DE SOUDURE'!$AQ$7:$AQ$3006,P1238)))</f>
        <v>ACCEPTÉ</v>
      </c>
      <c r="H1238" s="82" t="str">
        <f aca="false">IF(C1238="","",IF(G1238="ACCEPTÉ","OUI","NON"))</f>
        <v>OUI</v>
      </c>
      <c r="I1238" s="83"/>
      <c r="J1238" s="80"/>
      <c r="K1238" s="81"/>
      <c r="L1238" s="81"/>
      <c r="M1238" s="81"/>
      <c r="N1238" s="84" t="str">
        <f aca="false">IF(C1238="","",IF(P1238="","NJ INCONNU",IF(I1238="",IF(H1238="OUI","À ENROBER",IF(G1238="À SOUDER","NON SOUDÉ","EN ATTENTE RT")),IF(L1238="R","À REPRENDRE",IF(H1238&lt;&gt;"OUI","⚠ ENROBÉ AVANT ACCEPTATION RT","ENROBÉ")))))</f>
        <v>À ENROBER</v>
      </c>
      <c r="O1238" s="80"/>
      <c r="P1238" s="82" t="n">
        <f aca="false">IF(C1238="","",IFERROR(MATCH(Q1238,'CARNET DE SOUDURE'!$AW$7:$AW$3006,0),""))</f>
        <v>1232</v>
      </c>
      <c r="Q1238" s="82" t="str">
        <f aca="false">IF(C1238="","",B1238&amp;"|"&amp;C1238)</f>
        <v>MFD-ISW → MFD-CPF|JN°1060</v>
      </c>
    </row>
    <row r="1239" customFormat="false" ht="74.6" hidden="false" customHeight="false" outlineLevel="0" collapsed="false">
      <c r="A1239" s="82" t="n">
        <f aca="false">IF(C1239="","",ROW()-6)</f>
        <v>1233</v>
      </c>
      <c r="B1239" s="80" t="s">
        <v>110</v>
      </c>
      <c r="C1239" s="113" t="s">
        <v>1481</v>
      </c>
      <c r="D1239" s="82" t="str">
        <f aca="false">IF(OR(C1239="",P1239=""),"",INDEX('CARNET DE SOUDURE'!$D$7:$D$3006,P1239)&amp;"")</f>
        <v>10</v>
      </c>
      <c r="E1239" s="114" t="n">
        <f aca="false">IF(OR(C1239="",P1239=""),"",IF(INDEX('CARNET DE SOUDURE'!$U$7:$U$3006,P1239)="","",INDEX('CARNET DE SOUDURE'!$U$7:$U$3006,P1239)))</f>
        <v>46275</v>
      </c>
      <c r="F1239" s="82" t="str">
        <f aca="false">IF(OR(C1239="",P1239=""),"",INDEX('CARNET DE SOUDURE'!$AP$7:$AP$3006,P1239))</f>
        <v>A</v>
      </c>
      <c r="G1239" s="82" t="str">
        <f aca="false">IF(C1239="","",IF(P1239="","NJ INCONNU",INDEX('CARNET DE SOUDURE'!$AQ$7:$AQ$3006,P1239)))</f>
        <v>ACCEPTÉ</v>
      </c>
      <c r="H1239" s="82" t="str">
        <f aca="false">IF(C1239="","",IF(G1239="ACCEPTÉ","OUI","NON"))</f>
        <v>OUI</v>
      </c>
      <c r="I1239" s="83"/>
      <c r="J1239" s="80"/>
      <c r="K1239" s="81"/>
      <c r="L1239" s="81"/>
      <c r="M1239" s="81"/>
      <c r="N1239" s="84" t="str">
        <f aca="false">IF(C1239="","",IF(P1239="","NJ INCONNU",IF(I1239="",IF(H1239="OUI","À ENROBER",IF(G1239="À SOUDER","NON SOUDÉ","EN ATTENTE RT")),IF(L1239="R","À REPRENDRE",IF(H1239&lt;&gt;"OUI","⚠ ENROBÉ AVANT ACCEPTATION RT","ENROBÉ")))))</f>
        <v>À ENROBER</v>
      </c>
      <c r="O1239" s="80"/>
      <c r="P1239" s="82" t="n">
        <f aca="false">IF(C1239="","",IFERROR(MATCH(Q1239,'CARNET DE SOUDURE'!$AW$7:$AW$3006,0),""))</f>
        <v>1233</v>
      </c>
      <c r="Q1239" s="82" t="str">
        <f aca="false">IF(C1239="","",B1239&amp;"|"&amp;C1239)</f>
        <v>MFD-ISW → MFD-CPF|DJ°328</v>
      </c>
    </row>
    <row r="1240" customFormat="false" ht="74.6" hidden="false" customHeight="false" outlineLevel="0" collapsed="false">
      <c r="A1240" s="82" t="n">
        <f aca="false">IF(C1240="","",ROW()-6)</f>
        <v>1234</v>
      </c>
      <c r="B1240" s="80" t="s">
        <v>110</v>
      </c>
      <c r="C1240" s="113" t="s">
        <v>1482</v>
      </c>
      <c r="D1240" s="82" t="str">
        <f aca="false">IF(OR(C1240="",P1240=""),"",INDEX('CARNET DE SOUDURE'!$D$7:$D$3006,P1240)&amp;"")</f>
        <v>10</v>
      </c>
      <c r="E1240" s="114" t="n">
        <f aca="false">IF(OR(C1240="",P1240=""),"",IF(INDEX('CARNET DE SOUDURE'!$U$7:$U$3006,P1240)="","",INDEX('CARNET DE SOUDURE'!$U$7:$U$3006,P1240)))</f>
        <v>46279</v>
      </c>
      <c r="F1240" s="82" t="str">
        <f aca="false">IF(OR(C1240="",P1240=""),"",INDEX('CARNET DE SOUDURE'!$AP$7:$AP$3006,P1240))</f>
        <v>A</v>
      </c>
      <c r="G1240" s="82" t="str">
        <f aca="false">IF(C1240="","",IF(P1240="","NJ INCONNU",INDEX('CARNET DE SOUDURE'!$AQ$7:$AQ$3006,P1240)))</f>
        <v>ACCEPTÉ</v>
      </c>
      <c r="H1240" s="82" t="str">
        <f aca="false">IF(C1240="","",IF(G1240="ACCEPTÉ","OUI","NON"))</f>
        <v>OUI</v>
      </c>
      <c r="I1240" s="83"/>
      <c r="J1240" s="80"/>
      <c r="K1240" s="81"/>
      <c r="L1240" s="81"/>
      <c r="M1240" s="81"/>
      <c r="N1240" s="84" t="str">
        <f aca="false">IF(C1240="","",IF(P1240="","NJ INCONNU",IF(I1240="",IF(H1240="OUI","À ENROBER",IF(G1240="À SOUDER","NON SOUDÉ","EN ATTENTE RT")),IF(L1240="R","À REPRENDRE",IF(H1240&lt;&gt;"OUI","⚠ ENROBÉ AVANT ACCEPTATION RT","ENROBÉ")))))</f>
        <v>À ENROBER</v>
      </c>
      <c r="O1240" s="80"/>
      <c r="P1240" s="82" t="n">
        <f aca="false">IF(C1240="","",IFERROR(MATCH(Q1240,'CARNET DE SOUDURE'!$AW$7:$AW$3006,0),""))</f>
        <v>1234</v>
      </c>
      <c r="Q1240" s="82" t="str">
        <f aca="false">IF(C1240="","",B1240&amp;"|"&amp;C1240)</f>
        <v>MFD-ISW → MFD-CPF|JN°1061</v>
      </c>
    </row>
    <row r="1241" customFormat="false" ht="74.6" hidden="false" customHeight="false" outlineLevel="0" collapsed="false">
      <c r="A1241" s="82" t="n">
        <f aca="false">IF(C1241="","",ROW()-6)</f>
        <v>1235</v>
      </c>
      <c r="B1241" s="80" t="s">
        <v>110</v>
      </c>
      <c r="C1241" s="113" t="s">
        <v>1483</v>
      </c>
      <c r="D1241" s="82" t="str">
        <f aca="false">IF(OR(C1241="",P1241=""),"",INDEX('CARNET DE SOUDURE'!$D$7:$D$3006,P1241)&amp;"")</f>
        <v>10</v>
      </c>
      <c r="E1241" s="114" t="n">
        <f aca="false">IF(OR(C1241="",P1241=""),"",IF(INDEX('CARNET DE SOUDURE'!$U$7:$U$3006,P1241)="","",INDEX('CARNET DE SOUDURE'!$U$7:$U$3006,P1241)))</f>
        <v>46275</v>
      </c>
      <c r="F1241" s="82" t="str">
        <f aca="false">IF(OR(C1241="",P1241=""),"",INDEX('CARNET DE SOUDURE'!$AP$7:$AP$3006,P1241))</f>
        <v>A</v>
      </c>
      <c r="G1241" s="82" t="str">
        <f aca="false">IF(C1241="","",IF(P1241="","NJ INCONNU",INDEX('CARNET DE SOUDURE'!$AQ$7:$AQ$3006,P1241)))</f>
        <v>ACCEPTÉ</v>
      </c>
      <c r="H1241" s="82" t="str">
        <f aca="false">IF(C1241="","",IF(G1241="ACCEPTÉ","OUI","NON"))</f>
        <v>OUI</v>
      </c>
      <c r="I1241" s="83"/>
      <c r="J1241" s="80"/>
      <c r="K1241" s="81"/>
      <c r="L1241" s="81"/>
      <c r="M1241" s="81"/>
      <c r="N1241" s="84" t="str">
        <f aca="false">IF(C1241="","",IF(P1241="","NJ INCONNU",IF(I1241="",IF(H1241="OUI","À ENROBER",IF(G1241="À SOUDER","NON SOUDÉ","EN ATTENTE RT")),IF(L1241="R","À REPRENDRE",IF(H1241&lt;&gt;"OUI","⚠ ENROBÉ AVANT ACCEPTATION RT","ENROBÉ")))))</f>
        <v>À ENROBER</v>
      </c>
      <c r="O1241" s="80"/>
      <c r="P1241" s="82" t="n">
        <f aca="false">IF(C1241="","",IFERROR(MATCH(Q1241,'CARNET DE SOUDURE'!$AW$7:$AW$3006,0),""))</f>
        <v>1235</v>
      </c>
      <c r="Q1241" s="82" t="str">
        <f aca="false">IF(C1241="","",B1241&amp;"|"&amp;C1241)</f>
        <v>MFD-ISW → MFD-CPF|DJ°331</v>
      </c>
    </row>
    <row r="1242" customFormat="false" ht="74.6" hidden="false" customHeight="false" outlineLevel="0" collapsed="false">
      <c r="A1242" s="82" t="n">
        <f aca="false">IF(C1242="","",ROW()-6)</f>
        <v>1236</v>
      </c>
      <c r="B1242" s="80" t="s">
        <v>110</v>
      </c>
      <c r="C1242" s="113" t="s">
        <v>1484</v>
      </c>
      <c r="D1242" s="82" t="str">
        <f aca="false">IF(OR(C1242="",P1242=""),"",INDEX('CARNET DE SOUDURE'!$D$7:$D$3006,P1242)&amp;"")</f>
        <v>10</v>
      </c>
      <c r="E1242" s="114" t="n">
        <f aca="false">IF(OR(C1242="",P1242=""),"",IF(INDEX('CARNET DE SOUDURE'!$U$7:$U$3006,P1242)="","",INDEX('CARNET DE SOUDURE'!$U$7:$U$3006,P1242)))</f>
        <v>46279</v>
      </c>
      <c r="F1242" s="82" t="str">
        <f aca="false">IF(OR(C1242="",P1242=""),"",INDEX('CARNET DE SOUDURE'!$AP$7:$AP$3006,P1242))</f>
        <v>A</v>
      </c>
      <c r="G1242" s="82" t="str">
        <f aca="false">IF(C1242="","",IF(P1242="","NJ INCONNU",INDEX('CARNET DE SOUDURE'!$AQ$7:$AQ$3006,P1242)))</f>
        <v>ACCEPTÉ</v>
      </c>
      <c r="H1242" s="82" t="str">
        <f aca="false">IF(C1242="","",IF(G1242="ACCEPTÉ","OUI","NON"))</f>
        <v>OUI</v>
      </c>
      <c r="I1242" s="83"/>
      <c r="J1242" s="80"/>
      <c r="K1242" s="81"/>
      <c r="L1242" s="81"/>
      <c r="M1242" s="81"/>
      <c r="N1242" s="84" t="str">
        <f aca="false">IF(C1242="","",IF(P1242="","NJ INCONNU",IF(I1242="",IF(H1242="OUI","À ENROBER",IF(G1242="À SOUDER","NON SOUDÉ","EN ATTENTE RT")),IF(L1242="R","À REPRENDRE",IF(H1242&lt;&gt;"OUI","⚠ ENROBÉ AVANT ACCEPTATION RT","ENROBÉ")))))</f>
        <v>À ENROBER</v>
      </c>
      <c r="O1242" s="80"/>
      <c r="P1242" s="82" t="n">
        <f aca="false">IF(C1242="","",IFERROR(MATCH(Q1242,'CARNET DE SOUDURE'!$AW$7:$AW$3006,0),""))</f>
        <v>1236</v>
      </c>
      <c r="Q1242" s="82" t="str">
        <f aca="false">IF(C1242="","",B1242&amp;"|"&amp;C1242)</f>
        <v>MFD-ISW → MFD-CPF|JN°1062</v>
      </c>
    </row>
    <row r="1243" customFormat="false" ht="74.6" hidden="false" customHeight="false" outlineLevel="0" collapsed="false">
      <c r="A1243" s="82" t="n">
        <f aca="false">IF(C1243="","",ROW()-6)</f>
        <v>1237</v>
      </c>
      <c r="B1243" s="80" t="s">
        <v>110</v>
      </c>
      <c r="C1243" s="113" t="s">
        <v>1485</v>
      </c>
      <c r="D1243" s="82" t="str">
        <f aca="false">IF(OR(C1243="",P1243=""),"",INDEX('CARNET DE SOUDURE'!$D$7:$D$3006,P1243)&amp;"")</f>
        <v>10</v>
      </c>
      <c r="E1243" s="114" t="n">
        <f aca="false">IF(OR(C1243="",P1243=""),"",IF(INDEX('CARNET DE SOUDURE'!$U$7:$U$3006,P1243)="","",INDEX('CARNET DE SOUDURE'!$U$7:$U$3006,P1243)))</f>
        <v>46275</v>
      </c>
      <c r="F1243" s="82" t="str">
        <f aca="false">IF(OR(C1243="",P1243=""),"",INDEX('CARNET DE SOUDURE'!$AP$7:$AP$3006,P1243))</f>
        <v>A</v>
      </c>
      <c r="G1243" s="82" t="str">
        <f aca="false">IF(C1243="","",IF(P1243="","NJ INCONNU",INDEX('CARNET DE SOUDURE'!$AQ$7:$AQ$3006,P1243)))</f>
        <v>ACCEPTÉ</v>
      </c>
      <c r="H1243" s="82" t="str">
        <f aca="false">IF(C1243="","",IF(G1243="ACCEPTÉ","OUI","NON"))</f>
        <v>OUI</v>
      </c>
      <c r="I1243" s="83"/>
      <c r="J1243" s="80"/>
      <c r="K1243" s="81"/>
      <c r="L1243" s="81"/>
      <c r="M1243" s="81"/>
      <c r="N1243" s="84" t="str">
        <f aca="false">IF(C1243="","",IF(P1243="","NJ INCONNU",IF(I1243="",IF(H1243="OUI","À ENROBER",IF(G1243="À SOUDER","NON SOUDÉ","EN ATTENTE RT")),IF(L1243="R","À REPRENDRE",IF(H1243&lt;&gt;"OUI","⚠ ENROBÉ AVANT ACCEPTATION RT","ENROBÉ")))))</f>
        <v>À ENROBER</v>
      </c>
      <c r="O1243" s="80"/>
      <c r="P1243" s="82" t="n">
        <f aca="false">IF(C1243="","",IFERROR(MATCH(Q1243,'CARNET DE SOUDURE'!$AW$7:$AW$3006,0),""))</f>
        <v>1237</v>
      </c>
      <c r="Q1243" s="82" t="str">
        <f aca="false">IF(C1243="","",B1243&amp;"|"&amp;C1243)</f>
        <v>MFD-ISW → MFD-CPF|DJ°327</v>
      </c>
    </row>
    <row r="1244" customFormat="false" ht="74.6" hidden="false" customHeight="false" outlineLevel="0" collapsed="false">
      <c r="A1244" s="82" t="n">
        <f aca="false">IF(C1244="","",ROW()-6)</f>
        <v>1238</v>
      </c>
      <c r="B1244" s="80" t="s">
        <v>110</v>
      </c>
      <c r="C1244" s="113" t="s">
        <v>1486</v>
      </c>
      <c r="D1244" s="82" t="str">
        <f aca="false">IF(OR(C1244="",P1244=""),"",INDEX('CARNET DE SOUDURE'!$D$7:$D$3006,P1244)&amp;"")</f>
        <v>10</v>
      </c>
      <c r="E1244" s="114" t="n">
        <f aca="false">IF(OR(C1244="",P1244=""),"",IF(INDEX('CARNET DE SOUDURE'!$U$7:$U$3006,P1244)="","",INDEX('CARNET DE SOUDURE'!$U$7:$U$3006,P1244)))</f>
        <v>46279</v>
      </c>
      <c r="F1244" s="82" t="str">
        <f aca="false">IF(OR(C1244="",P1244=""),"",INDEX('CARNET DE SOUDURE'!$AP$7:$AP$3006,P1244))</f>
        <v>A</v>
      </c>
      <c r="G1244" s="82" t="str">
        <f aca="false">IF(C1244="","",IF(P1244="","NJ INCONNU",INDEX('CARNET DE SOUDURE'!$AQ$7:$AQ$3006,P1244)))</f>
        <v>ACCEPTÉ</v>
      </c>
      <c r="H1244" s="82" t="str">
        <f aca="false">IF(C1244="","",IF(G1244="ACCEPTÉ","OUI","NON"))</f>
        <v>OUI</v>
      </c>
      <c r="I1244" s="83"/>
      <c r="J1244" s="80"/>
      <c r="K1244" s="81"/>
      <c r="L1244" s="81"/>
      <c r="M1244" s="81"/>
      <c r="N1244" s="84" t="str">
        <f aca="false">IF(C1244="","",IF(P1244="","NJ INCONNU",IF(I1244="",IF(H1244="OUI","À ENROBER",IF(G1244="À SOUDER","NON SOUDÉ","EN ATTENTE RT")),IF(L1244="R","À REPRENDRE",IF(H1244&lt;&gt;"OUI","⚠ ENROBÉ AVANT ACCEPTATION RT","ENROBÉ")))))</f>
        <v>À ENROBER</v>
      </c>
      <c r="O1244" s="80"/>
      <c r="P1244" s="82" t="n">
        <f aca="false">IF(C1244="","",IFERROR(MATCH(Q1244,'CARNET DE SOUDURE'!$AW$7:$AW$3006,0),""))</f>
        <v>1238</v>
      </c>
      <c r="Q1244" s="82" t="str">
        <f aca="false">IF(C1244="","",B1244&amp;"|"&amp;C1244)</f>
        <v>MFD-ISW → MFD-CPF|JN°1063</v>
      </c>
    </row>
    <row r="1245" customFormat="false" ht="74.6" hidden="false" customHeight="false" outlineLevel="0" collapsed="false">
      <c r="A1245" s="82" t="n">
        <f aca="false">IF(C1245="","",ROW()-6)</f>
        <v>1239</v>
      </c>
      <c r="B1245" s="80" t="s">
        <v>110</v>
      </c>
      <c r="C1245" s="113" t="s">
        <v>1488</v>
      </c>
      <c r="D1245" s="82" t="str">
        <f aca="false">IF(OR(C1245="",P1245=""),"",INDEX('CARNET DE SOUDURE'!$D$7:$D$3006,P1245)&amp;"")</f>
        <v>10</v>
      </c>
      <c r="E1245" s="114" t="n">
        <f aca="false">IF(OR(C1245="",P1245=""),"",IF(INDEX('CARNET DE SOUDURE'!$U$7:$U$3006,P1245)="","",INDEX('CARNET DE SOUDURE'!$U$7:$U$3006,P1245)))</f>
        <v>46275</v>
      </c>
      <c r="F1245" s="82" t="str">
        <f aca="false">IF(OR(C1245="",P1245=""),"",INDEX('CARNET DE SOUDURE'!$AP$7:$AP$3006,P1245))</f>
        <v>A</v>
      </c>
      <c r="G1245" s="82" t="str">
        <f aca="false">IF(C1245="","",IF(P1245="","NJ INCONNU",INDEX('CARNET DE SOUDURE'!$AQ$7:$AQ$3006,P1245)))</f>
        <v>ACCEPTÉ</v>
      </c>
      <c r="H1245" s="82" t="str">
        <f aca="false">IF(C1245="","",IF(G1245="ACCEPTÉ","OUI","NON"))</f>
        <v>OUI</v>
      </c>
      <c r="I1245" s="83"/>
      <c r="J1245" s="80"/>
      <c r="K1245" s="81"/>
      <c r="L1245" s="81"/>
      <c r="M1245" s="81"/>
      <c r="N1245" s="84" t="str">
        <f aca="false">IF(C1245="","",IF(P1245="","NJ INCONNU",IF(I1245="",IF(H1245="OUI","À ENROBER",IF(G1245="À SOUDER","NON SOUDÉ","EN ATTENTE RT")),IF(L1245="R","À REPRENDRE",IF(H1245&lt;&gt;"OUI","⚠ ENROBÉ AVANT ACCEPTATION RT","ENROBÉ")))))</f>
        <v>À ENROBER</v>
      </c>
      <c r="O1245" s="80"/>
      <c r="P1245" s="82" t="n">
        <f aca="false">IF(C1245="","",IFERROR(MATCH(Q1245,'CARNET DE SOUDURE'!$AW$7:$AW$3006,0),""))</f>
        <v>1239</v>
      </c>
      <c r="Q1245" s="82" t="str">
        <f aca="false">IF(C1245="","",B1245&amp;"|"&amp;C1245)</f>
        <v>MFD-ISW → MFD-CPF|DJ°334</v>
      </c>
    </row>
    <row r="1246" customFormat="false" ht="74.6" hidden="false" customHeight="false" outlineLevel="0" collapsed="false">
      <c r="A1246" s="82" t="n">
        <f aca="false">IF(C1246="","",ROW()-6)</f>
        <v>1240</v>
      </c>
      <c r="B1246" s="80" t="s">
        <v>110</v>
      </c>
      <c r="C1246" s="113" t="s">
        <v>1489</v>
      </c>
      <c r="D1246" s="82" t="str">
        <f aca="false">IF(OR(C1246="",P1246=""),"",INDEX('CARNET DE SOUDURE'!$D$7:$D$3006,P1246)&amp;"")</f>
        <v>10</v>
      </c>
      <c r="E1246" s="114" t="n">
        <f aca="false">IF(OR(C1246="",P1246=""),"",IF(INDEX('CARNET DE SOUDURE'!$U$7:$U$3006,P1246)="","",INDEX('CARNET DE SOUDURE'!$U$7:$U$3006,P1246)))</f>
        <v>46279</v>
      </c>
      <c r="F1246" s="82" t="str">
        <f aca="false">IF(OR(C1246="",P1246=""),"",INDEX('CARNET DE SOUDURE'!$AP$7:$AP$3006,P1246))</f>
        <v>A</v>
      </c>
      <c r="G1246" s="82" t="str">
        <f aca="false">IF(C1246="","",IF(P1246="","NJ INCONNU",INDEX('CARNET DE SOUDURE'!$AQ$7:$AQ$3006,P1246)))</f>
        <v>ACCEPTÉ</v>
      </c>
      <c r="H1246" s="82" t="str">
        <f aca="false">IF(C1246="","",IF(G1246="ACCEPTÉ","OUI","NON"))</f>
        <v>OUI</v>
      </c>
      <c r="I1246" s="83"/>
      <c r="J1246" s="80"/>
      <c r="K1246" s="81"/>
      <c r="L1246" s="81"/>
      <c r="M1246" s="81"/>
      <c r="N1246" s="84" t="str">
        <f aca="false">IF(C1246="","",IF(P1246="","NJ INCONNU",IF(I1246="",IF(H1246="OUI","À ENROBER",IF(G1246="À SOUDER","NON SOUDÉ","EN ATTENTE RT")),IF(L1246="R","À REPRENDRE",IF(H1246&lt;&gt;"OUI","⚠ ENROBÉ AVANT ACCEPTATION RT","ENROBÉ")))))</f>
        <v>À ENROBER</v>
      </c>
      <c r="O1246" s="80"/>
      <c r="P1246" s="82" t="n">
        <f aca="false">IF(C1246="","",IFERROR(MATCH(Q1246,'CARNET DE SOUDURE'!$AW$7:$AW$3006,0),""))</f>
        <v>1240</v>
      </c>
      <c r="Q1246" s="82" t="str">
        <f aca="false">IF(C1246="","",B1246&amp;"|"&amp;C1246)</f>
        <v>MFD-ISW → MFD-CPF|JN°1064</v>
      </c>
    </row>
    <row r="1247" customFormat="false" ht="74.6" hidden="false" customHeight="false" outlineLevel="0" collapsed="false">
      <c r="A1247" s="82" t="n">
        <f aca="false">IF(C1247="","",ROW()-6)</f>
        <v>1241</v>
      </c>
      <c r="B1247" s="80" t="s">
        <v>110</v>
      </c>
      <c r="C1247" s="113" t="s">
        <v>1490</v>
      </c>
      <c r="D1247" s="82" t="str">
        <f aca="false">IF(OR(C1247="",P1247=""),"",INDEX('CARNET DE SOUDURE'!$D$7:$D$3006,P1247)&amp;"")</f>
        <v>10</v>
      </c>
      <c r="E1247" s="114" t="n">
        <f aca="false">IF(OR(C1247="",P1247=""),"",IF(INDEX('CARNET DE SOUDURE'!$U$7:$U$3006,P1247)="","",INDEX('CARNET DE SOUDURE'!$U$7:$U$3006,P1247)))</f>
        <v>46275</v>
      </c>
      <c r="F1247" s="82" t="str">
        <f aca="false">IF(OR(C1247="",P1247=""),"",INDEX('CARNET DE SOUDURE'!$AP$7:$AP$3006,P1247))</f>
        <v>A</v>
      </c>
      <c r="G1247" s="82" t="str">
        <f aca="false">IF(C1247="","",IF(P1247="","NJ INCONNU",INDEX('CARNET DE SOUDURE'!$AQ$7:$AQ$3006,P1247)))</f>
        <v>ACCEPTÉ</v>
      </c>
      <c r="H1247" s="82" t="str">
        <f aca="false">IF(C1247="","",IF(G1247="ACCEPTÉ","OUI","NON"))</f>
        <v>OUI</v>
      </c>
      <c r="I1247" s="83"/>
      <c r="J1247" s="80"/>
      <c r="K1247" s="81"/>
      <c r="L1247" s="81"/>
      <c r="M1247" s="81"/>
      <c r="N1247" s="84" t="str">
        <f aca="false">IF(C1247="","",IF(P1247="","NJ INCONNU",IF(I1247="",IF(H1247="OUI","À ENROBER",IF(G1247="À SOUDER","NON SOUDÉ","EN ATTENTE RT")),IF(L1247="R","À REPRENDRE",IF(H1247&lt;&gt;"OUI","⚠ ENROBÉ AVANT ACCEPTATION RT","ENROBÉ")))))</f>
        <v>À ENROBER</v>
      </c>
      <c r="O1247" s="80"/>
      <c r="P1247" s="82" t="n">
        <f aca="false">IF(C1247="","",IFERROR(MATCH(Q1247,'CARNET DE SOUDURE'!$AW$7:$AW$3006,0),""))</f>
        <v>1241</v>
      </c>
      <c r="Q1247" s="82" t="str">
        <f aca="false">IF(C1247="","",B1247&amp;"|"&amp;C1247)</f>
        <v>MFD-ISW → MFD-CPF|DJ°332</v>
      </c>
    </row>
    <row r="1248" customFormat="false" ht="74.6" hidden="false" customHeight="false" outlineLevel="0" collapsed="false">
      <c r="A1248" s="82" t="n">
        <f aca="false">IF(C1248="","",ROW()-6)</f>
        <v>1242</v>
      </c>
      <c r="B1248" s="80" t="s">
        <v>110</v>
      </c>
      <c r="C1248" s="113" t="s">
        <v>1491</v>
      </c>
      <c r="D1248" s="82" t="str">
        <f aca="false">IF(OR(C1248="",P1248=""),"",INDEX('CARNET DE SOUDURE'!$D$7:$D$3006,P1248)&amp;"")</f>
        <v>10</v>
      </c>
      <c r="E1248" s="114" t="n">
        <f aca="false">IF(OR(C1248="",P1248=""),"",IF(INDEX('CARNET DE SOUDURE'!$U$7:$U$3006,P1248)="","",INDEX('CARNET DE SOUDURE'!$U$7:$U$3006,P1248)))</f>
        <v>46279</v>
      </c>
      <c r="F1248" s="82" t="str">
        <f aca="false">IF(OR(C1248="",P1248=""),"",INDEX('CARNET DE SOUDURE'!$AP$7:$AP$3006,P1248))</f>
        <v>A</v>
      </c>
      <c r="G1248" s="82" t="str">
        <f aca="false">IF(C1248="","",IF(P1248="","NJ INCONNU",INDEX('CARNET DE SOUDURE'!$AQ$7:$AQ$3006,P1248)))</f>
        <v>ACCEPTÉ</v>
      </c>
      <c r="H1248" s="82" t="str">
        <f aca="false">IF(C1248="","",IF(G1248="ACCEPTÉ","OUI","NON"))</f>
        <v>OUI</v>
      </c>
      <c r="I1248" s="83"/>
      <c r="J1248" s="80"/>
      <c r="K1248" s="81"/>
      <c r="L1248" s="81"/>
      <c r="M1248" s="81"/>
      <c r="N1248" s="84" t="str">
        <f aca="false">IF(C1248="","",IF(P1248="","NJ INCONNU",IF(I1248="",IF(H1248="OUI","À ENROBER",IF(G1248="À SOUDER","NON SOUDÉ","EN ATTENTE RT")),IF(L1248="R","À REPRENDRE",IF(H1248&lt;&gt;"OUI","⚠ ENROBÉ AVANT ACCEPTATION RT","ENROBÉ")))))</f>
        <v>À ENROBER</v>
      </c>
      <c r="O1248" s="80"/>
      <c r="P1248" s="82" t="n">
        <f aca="false">IF(C1248="","",IFERROR(MATCH(Q1248,'CARNET DE SOUDURE'!$AW$7:$AW$3006,0),""))</f>
        <v>1242</v>
      </c>
      <c r="Q1248" s="82" t="str">
        <f aca="false">IF(C1248="","",B1248&amp;"|"&amp;C1248)</f>
        <v>MFD-ISW → MFD-CPF|JN°1065</v>
      </c>
    </row>
    <row r="1249" customFormat="false" ht="74.6" hidden="false" customHeight="false" outlineLevel="0" collapsed="false">
      <c r="A1249" s="82" t="n">
        <f aca="false">IF(C1249="","",ROW()-6)</f>
        <v>1243</v>
      </c>
      <c r="B1249" s="80" t="s">
        <v>110</v>
      </c>
      <c r="C1249" s="113" t="s">
        <v>1492</v>
      </c>
      <c r="D1249" s="82" t="str">
        <f aca="false">IF(OR(C1249="",P1249=""),"",INDEX('CARNET DE SOUDURE'!$D$7:$D$3006,P1249)&amp;"")</f>
        <v>10</v>
      </c>
      <c r="E1249" s="114" t="n">
        <f aca="false">IF(OR(C1249="",P1249=""),"",IF(INDEX('CARNET DE SOUDURE'!$U$7:$U$3006,P1249)="","",INDEX('CARNET DE SOUDURE'!$U$7:$U$3006,P1249)))</f>
        <v>46275</v>
      </c>
      <c r="F1249" s="82" t="str">
        <f aca="false">IF(OR(C1249="",P1249=""),"",INDEX('CARNET DE SOUDURE'!$AP$7:$AP$3006,P1249))</f>
        <v>A</v>
      </c>
      <c r="G1249" s="82" t="str">
        <f aca="false">IF(C1249="","",IF(P1249="","NJ INCONNU",INDEX('CARNET DE SOUDURE'!$AQ$7:$AQ$3006,P1249)))</f>
        <v>ACCEPTÉ</v>
      </c>
      <c r="H1249" s="82" t="str">
        <f aca="false">IF(C1249="","",IF(G1249="ACCEPTÉ","OUI","NON"))</f>
        <v>OUI</v>
      </c>
      <c r="I1249" s="83"/>
      <c r="J1249" s="80"/>
      <c r="K1249" s="81"/>
      <c r="L1249" s="81"/>
      <c r="M1249" s="81"/>
      <c r="N1249" s="84" t="str">
        <f aca="false">IF(C1249="","",IF(P1249="","NJ INCONNU",IF(I1249="",IF(H1249="OUI","À ENROBER",IF(G1249="À SOUDER","NON SOUDÉ","EN ATTENTE RT")),IF(L1249="R","À REPRENDRE",IF(H1249&lt;&gt;"OUI","⚠ ENROBÉ AVANT ACCEPTATION RT","ENROBÉ")))))</f>
        <v>À ENROBER</v>
      </c>
      <c r="O1249" s="80"/>
      <c r="P1249" s="82" t="n">
        <f aca="false">IF(C1249="","",IFERROR(MATCH(Q1249,'CARNET DE SOUDURE'!$AW$7:$AW$3006,0),""))</f>
        <v>1243</v>
      </c>
      <c r="Q1249" s="82" t="str">
        <f aca="false">IF(C1249="","",B1249&amp;"|"&amp;C1249)</f>
        <v>MFD-ISW → MFD-CPF|DJ°326</v>
      </c>
    </row>
    <row r="1250" customFormat="false" ht="74.6" hidden="false" customHeight="false" outlineLevel="0" collapsed="false">
      <c r="A1250" s="82" t="n">
        <f aca="false">IF(C1250="","",ROW()-6)</f>
        <v>1244</v>
      </c>
      <c r="B1250" s="80" t="s">
        <v>110</v>
      </c>
      <c r="C1250" s="113" t="s">
        <v>1493</v>
      </c>
      <c r="D1250" s="82" t="str">
        <f aca="false">IF(OR(C1250="",P1250=""),"",INDEX('CARNET DE SOUDURE'!$D$7:$D$3006,P1250)&amp;"")</f>
        <v>10</v>
      </c>
      <c r="E1250" s="114" t="n">
        <f aca="false">IF(OR(C1250="",P1250=""),"",IF(INDEX('CARNET DE SOUDURE'!$U$7:$U$3006,P1250)="","",INDEX('CARNET DE SOUDURE'!$U$7:$U$3006,P1250)))</f>
        <v>46279</v>
      </c>
      <c r="F1250" s="82" t="str">
        <f aca="false">IF(OR(C1250="",P1250=""),"",INDEX('CARNET DE SOUDURE'!$AP$7:$AP$3006,P1250))</f>
        <v>A</v>
      </c>
      <c r="G1250" s="82" t="str">
        <f aca="false">IF(C1250="","",IF(P1250="","NJ INCONNU",INDEX('CARNET DE SOUDURE'!$AQ$7:$AQ$3006,P1250)))</f>
        <v>ACCEPTÉ</v>
      </c>
      <c r="H1250" s="82" t="str">
        <f aca="false">IF(C1250="","",IF(G1250="ACCEPTÉ","OUI","NON"))</f>
        <v>OUI</v>
      </c>
      <c r="I1250" s="83"/>
      <c r="J1250" s="80"/>
      <c r="K1250" s="81"/>
      <c r="L1250" s="81"/>
      <c r="M1250" s="81"/>
      <c r="N1250" s="84" t="str">
        <f aca="false">IF(C1250="","",IF(P1250="","NJ INCONNU",IF(I1250="",IF(H1250="OUI","À ENROBER",IF(G1250="À SOUDER","NON SOUDÉ","EN ATTENTE RT")),IF(L1250="R","À REPRENDRE",IF(H1250&lt;&gt;"OUI","⚠ ENROBÉ AVANT ACCEPTATION RT","ENROBÉ")))))</f>
        <v>À ENROBER</v>
      </c>
      <c r="O1250" s="80"/>
      <c r="P1250" s="82" t="n">
        <f aca="false">IF(C1250="","",IFERROR(MATCH(Q1250,'CARNET DE SOUDURE'!$AW$7:$AW$3006,0),""))</f>
        <v>1244</v>
      </c>
      <c r="Q1250" s="82" t="str">
        <f aca="false">IF(C1250="","",B1250&amp;"|"&amp;C1250)</f>
        <v>MFD-ISW → MFD-CPF|JN°1066</v>
      </c>
    </row>
    <row r="1251" customFormat="false" ht="74.6" hidden="false" customHeight="false" outlineLevel="0" collapsed="false">
      <c r="A1251" s="82" t="n">
        <f aca="false">IF(C1251="","",ROW()-6)</f>
        <v>1245</v>
      </c>
      <c r="B1251" s="80" t="s">
        <v>110</v>
      </c>
      <c r="C1251" s="113" t="s">
        <v>1494</v>
      </c>
      <c r="D1251" s="82" t="str">
        <f aca="false">IF(OR(C1251="",P1251=""),"",INDEX('CARNET DE SOUDURE'!$D$7:$D$3006,P1251)&amp;"")</f>
        <v>10</v>
      </c>
      <c r="E1251" s="114" t="n">
        <f aca="false">IF(OR(C1251="",P1251=""),"",IF(INDEX('CARNET DE SOUDURE'!$U$7:$U$3006,P1251)="","",INDEX('CARNET DE SOUDURE'!$U$7:$U$3006,P1251)))</f>
        <v>46274</v>
      </c>
      <c r="F1251" s="82" t="str">
        <f aca="false">IF(OR(C1251="",P1251=""),"",INDEX('CARNET DE SOUDURE'!$AP$7:$AP$3006,P1251))</f>
        <v>A</v>
      </c>
      <c r="G1251" s="82" t="str">
        <f aca="false">IF(C1251="","",IF(P1251="","NJ INCONNU",INDEX('CARNET DE SOUDURE'!$AQ$7:$AQ$3006,P1251)))</f>
        <v>ACCEPTÉ</v>
      </c>
      <c r="H1251" s="82" t="str">
        <f aca="false">IF(C1251="","",IF(G1251="ACCEPTÉ","OUI","NON"))</f>
        <v>OUI</v>
      </c>
      <c r="I1251" s="83"/>
      <c r="J1251" s="80"/>
      <c r="K1251" s="81"/>
      <c r="L1251" s="81"/>
      <c r="M1251" s="81"/>
      <c r="N1251" s="84" t="str">
        <f aca="false">IF(C1251="","",IF(P1251="","NJ INCONNU",IF(I1251="",IF(H1251="OUI","À ENROBER",IF(G1251="À SOUDER","NON SOUDÉ","EN ATTENTE RT")),IF(L1251="R","À REPRENDRE",IF(H1251&lt;&gt;"OUI","⚠ ENROBÉ AVANT ACCEPTATION RT","ENROBÉ")))))</f>
        <v>À ENROBER</v>
      </c>
      <c r="O1251" s="80"/>
      <c r="P1251" s="82" t="n">
        <f aca="false">IF(C1251="","",IFERROR(MATCH(Q1251,'CARNET DE SOUDURE'!$AW$7:$AW$3006,0),""))</f>
        <v>1245</v>
      </c>
      <c r="Q1251" s="82" t="str">
        <f aca="false">IF(C1251="","",B1251&amp;"|"&amp;C1251)</f>
        <v>MFD-ISW → MFD-CPF|DJ°323</v>
      </c>
    </row>
    <row r="1252" customFormat="false" ht="74.6" hidden="false" customHeight="false" outlineLevel="0" collapsed="false">
      <c r="A1252" s="82" t="n">
        <f aca="false">IF(C1252="","",ROW()-6)</f>
        <v>1246</v>
      </c>
      <c r="B1252" s="80" t="s">
        <v>110</v>
      </c>
      <c r="C1252" s="113" t="s">
        <v>1497</v>
      </c>
      <c r="D1252" s="82" t="str">
        <f aca="false">IF(OR(C1252="",P1252=""),"",INDEX('CARNET DE SOUDURE'!$D$7:$D$3006,P1252)&amp;"")</f>
        <v>10</v>
      </c>
      <c r="E1252" s="114" t="n">
        <f aca="false">IF(OR(C1252="",P1252=""),"",IF(INDEX('CARNET DE SOUDURE'!$U$7:$U$3006,P1252)="","",INDEX('CARNET DE SOUDURE'!$U$7:$U$3006,P1252)))</f>
        <v>46279</v>
      </c>
      <c r="F1252" s="82" t="str">
        <f aca="false">IF(OR(C1252="",P1252=""),"",INDEX('CARNET DE SOUDURE'!$AP$7:$AP$3006,P1252))</f>
        <v>A</v>
      </c>
      <c r="G1252" s="82" t="str">
        <f aca="false">IF(C1252="","",IF(P1252="","NJ INCONNU",INDEX('CARNET DE SOUDURE'!$AQ$7:$AQ$3006,P1252)))</f>
        <v>ACCEPTÉ</v>
      </c>
      <c r="H1252" s="82" t="str">
        <f aca="false">IF(C1252="","",IF(G1252="ACCEPTÉ","OUI","NON"))</f>
        <v>OUI</v>
      </c>
      <c r="I1252" s="83"/>
      <c r="J1252" s="80"/>
      <c r="K1252" s="81"/>
      <c r="L1252" s="81"/>
      <c r="M1252" s="81"/>
      <c r="N1252" s="84" t="str">
        <f aca="false">IF(C1252="","",IF(P1252="","NJ INCONNU",IF(I1252="",IF(H1252="OUI","À ENROBER",IF(G1252="À SOUDER","NON SOUDÉ","EN ATTENTE RT")),IF(L1252="R","À REPRENDRE",IF(H1252&lt;&gt;"OUI","⚠ ENROBÉ AVANT ACCEPTATION RT","ENROBÉ")))))</f>
        <v>À ENROBER</v>
      </c>
      <c r="O1252" s="80"/>
      <c r="P1252" s="82" t="n">
        <f aca="false">IF(C1252="","",IFERROR(MATCH(Q1252,'CARNET DE SOUDURE'!$AW$7:$AW$3006,0),""))</f>
        <v>1246</v>
      </c>
      <c r="Q1252" s="82" t="str">
        <f aca="false">IF(C1252="","",B1252&amp;"|"&amp;C1252)</f>
        <v>MFD-ISW → MFD-CPF|JN°1067</v>
      </c>
    </row>
    <row r="1253" customFormat="false" ht="74.6" hidden="false" customHeight="false" outlineLevel="0" collapsed="false">
      <c r="A1253" s="82" t="n">
        <f aca="false">IF(C1253="","",ROW()-6)</f>
        <v>1247</v>
      </c>
      <c r="B1253" s="80" t="s">
        <v>110</v>
      </c>
      <c r="C1253" s="113" t="s">
        <v>1498</v>
      </c>
      <c r="D1253" s="82" t="str">
        <f aca="false">IF(OR(C1253="",P1253=""),"",INDEX('CARNET DE SOUDURE'!$D$7:$D$3006,P1253)&amp;"")</f>
        <v>10</v>
      </c>
      <c r="E1253" s="114" t="n">
        <f aca="false">IF(OR(C1253="",P1253=""),"",IF(INDEX('CARNET DE SOUDURE'!$U$7:$U$3006,P1253)="","",INDEX('CARNET DE SOUDURE'!$U$7:$U$3006,P1253)))</f>
        <v>46273</v>
      </c>
      <c r="F1253" s="82" t="str">
        <f aca="false">IF(OR(C1253="",P1253=""),"",INDEX('CARNET DE SOUDURE'!$AP$7:$AP$3006,P1253))</f>
        <v>A</v>
      </c>
      <c r="G1253" s="82" t="str">
        <f aca="false">IF(C1253="","",IF(P1253="","NJ INCONNU",INDEX('CARNET DE SOUDURE'!$AQ$7:$AQ$3006,P1253)))</f>
        <v>ACCEPTÉ</v>
      </c>
      <c r="H1253" s="82" t="str">
        <f aca="false">IF(C1253="","",IF(G1253="ACCEPTÉ","OUI","NON"))</f>
        <v>OUI</v>
      </c>
      <c r="I1253" s="83"/>
      <c r="J1253" s="80"/>
      <c r="K1253" s="81"/>
      <c r="L1253" s="81"/>
      <c r="M1253" s="81"/>
      <c r="N1253" s="84" t="str">
        <f aca="false">IF(C1253="","",IF(P1253="","NJ INCONNU",IF(I1253="",IF(H1253="OUI","À ENROBER",IF(G1253="À SOUDER","NON SOUDÉ","EN ATTENTE RT")),IF(L1253="R","À REPRENDRE",IF(H1253&lt;&gt;"OUI","⚠ ENROBÉ AVANT ACCEPTATION RT","ENROBÉ")))))</f>
        <v>À ENROBER</v>
      </c>
      <c r="O1253" s="80"/>
      <c r="P1253" s="82" t="n">
        <f aca="false">IF(C1253="","",IFERROR(MATCH(Q1253,'CARNET DE SOUDURE'!$AW$7:$AW$3006,0),""))</f>
        <v>1247</v>
      </c>
      <c r="Q1253" s="82" t="str">
        <f aca="false">IF(C1253="","",B1253&amp;"|"&amp;C1253)</f>
        <v>MFD-ISW → MFD-CPF|DJ°320</v>
      </c>
    </row>
    <row r="1254" customFormat="false" ht="74.6" hidden="false" customHeight="false" outlineLevel="0" collapsed="false">
      <c r="A1254" s="82" t="n">
        <f aca="false">IF(C1254="","",ROW()-6)</f>
        <v>1248</v>
      </c>
      <c r="B1254" s="80" t="s">
        <v>110</v>
      </c>
      <c r="C1254" s="113" t="s">
        <v>1501</v>
      </c>
      <c r="D1254" s="82" t="str">
        <f aca="false">IF(OR(C1254="",P1254=""),"",INDEX('CARNET DE SOUDURE'!$D$7:$D$3006,P1254)&amp;"")</f>
        <v>10</v>
      </c>
      <c r="E1254" s="114" t="n">
        <f aca="false">IF(OR(C1254="",P1254=""),"",IF(INDEX('CARNET DE SOUDURE'!$U$7:$U$3006,P1254)="","",INDEX('CARNET DE SOUDURE'!$U$7:$U$3006,P1254)))</f>
        <v>46279</v>
      </c>
      <c r="F1254" s="82" t="str">
        <f aca="false">IF(OR(C1254="",P1254=""),"",INDEX('CARNET DE SOUDURE'!$AP$7:$AP$3006,P1254))</f>
        <v>A</v>
      </c>
      <c r="G1254" s="82" t="str">
        <f aca="false">IF(C1254="","",IF(P1254="","NJ INCONNU",INDEX('CARNET DE SOUDURE'!$AQ$7:$AQ$3006,P1254)))</f>
        <v>ACCEPTÉ</v>
      </c>
      <c r="H1254" s="82" t="str">
        <f aca="false">IF(C1254="","",IF(G1254="ACCEPTÉ","OUI","NON"))</f>
        <v>OUI</v>
      </c>
      <c r="I1254" s="83"/>
      <c r="J1254" s="80"/>
      <c r="K1254" s="81"/>
      <c r="L1254" s="81"/>
      <c r="M1254" s="81"/>
      <c r="N1254" s="84" t="str">
        <f aca="false">IF(C1254="","",IF(P1254="","NJ INCONNU",IF(I1254="",IF(H1254="OUI","À ENROBER",IF(G1254="À SOUDER","NON SOUDÉ","EN ATTENTE RT")),IF(L1254="R","À REPRENDRE",IF(H1254&lt;&gt;"OUI","⚠ ENROBÉ AVANT ACCEPTATION RT","ENROBÉ")))))</f>
        <v>À ENROBER</v>
      </c>
      <c r="O1254" s="80"/>
      <c r="P1254" s="82" t="n">
        <f aca="false">IF(C1254="","",IFERROR(MATCH(Q1254,'CARNET DE SOUDURE'!$AW$7:$AW$3006,0),""))</f>
        <v>1248</v>
      </c>
      <c r="Q1254" s="82" t="str">
        <f aca="false">IF(C1254="","",B1254&amp;"|"&amp;C1254)</f>
        <v>MFD-ISW → MFD-CPF|JN°1068</v>
      </c>
    </row>
    <row r="1255" customFormat="false" ht="74.6" hidden="false" customHeight="false" outlineLevel="0" collapsed="false">
      <c r="A1255" s="82" t="n">
        <f aca="false">IF(C1255="","",ROW()-6)</f>
        <v>1249</v>
      </c>
      <c r="B1255" s="80" t="s">
        <v>110</v>
      </c>
      <c r="C1255" s="113" t="s">
        <v>1502</v>
      </c>
      <c r="D1255" s="82" t="str">
        <f aca="false">IF(OR(C1255="",P1255=""),"",INDEX('CARNET DE SOUDURE'!$D$7:$D$3006,P1255)&amp;"")</f>
        <v>10</v>
      </c>
      <c r="E1255" s="114" t="n">
        <f aca="false">IF(OR(C1255="",P1255=""),"",IF(INDEX('CARNET DE SOUDURE'!$U$7:$U$3006,P1255)="","",INDEX('CARNET DE SOUDURE'!$U$7:$U$3006,P1255)))</f>
        <v>46273</v>
      </c>
      <c r="F1255" s="82" t="str">
        <f aca="false">IF(OR(C1255="",P1255=""),"",INDEX('CARNET DE SOUDURE'!$AP$7:$AP$3006,P1255))</f>
        <v>A</v>
      </c>
      <c r="G1255" s="82" t="str">
        <f aca="false">IF(C1255="","",IF(P1255="","NJ INCONNU",INDEX('CARNET DE SOUDURE'!$AQ$7:$AQ$3006,P1255)))</f>
        <v>ACCEPTÉ</v>
      </c>
      <c r="H1255" s="82" t="str">
        <f aca="false">IF(C1255="","",IF(G1255="ACCEPTÉ","OUI","NON"))</f>
        <v>OUI</v>
      </c>
      <c r="I1255" s="83"/>
      <c r="J1255" s="80"/>
      <c r="K1255" s="81"/>
      <c r="L1255" s="81"/>
      <c r="M1255" s="81"/>
      <c r="N1255" s="84" t="str">
        <f aca="false">IF(C1255="","",IF(P1255="","NJ INCONNU",IF(I1255="",IF(H1255="OUI","À ENROBER",IF(G1255="À SOUDER","NON SOUDÉ","EN ATTENTE RT")),IF(L1255="R","À REPRENDRE",IF(H1255&lt;&gt;"OUI","⚠ ENROBÉ AVANT ACCEPTATION RT","ENROBÉ")))))</f>
        <v>À ENROBER</v>
      </c>
      <c r="O1255" s="80"/>
      <c r="P1255" s="82" t="n">
        <f aca="false">IF(C1255="","",IFERROR(MATCH(Q1255,'CARNET DE SOUDURE'!$AW$7:$AW$3006,0),""))</f>
        <v>1249</v>
      </c>
      <c r="Q1255" s="82" t="str">
        <f aca="false">IF(C1255="","",B1255&amp;"|"&amp;C1255)</f>
        <v>MFD-ISW → MFD-CPF|DJ°321</v>
      </c>
    </row>
    <row r="1256" customFormat="false" ht="74.6" hidden="false" customHeight="false" outlineLevel="0" collapsed="false">
      <c r="A1256" s="82" t="n">
        <f aca="false">IF(C1256="","",ROW()-6)</f>
        <v>1250</v>
      </c>
      <c r="B1256" s="80" t="s">
        <v>110</v>
      </c>
      <c r="C1256" s="113" t="s">
        <v>1503</v>
      </c>
      <c r="D1256" s="82" t="str">
        <f aca="false">IF(OR(C1256="",P1256=""),"",INDEX('CARNET DE SOUDURE'!$D$7:$D$3006,P1256)&amp;"")</f>
        <v>10</v>
      </c>
      <c r="E1256" s="114" t="n">
        <f aca="false">IF(OR(C1256="",P1256=""),"",IF(INDEX('CARNET DE SOUDURE'!$U$7:$U$3006,P1256)="","",INDEX('CARNET DE SOUDURE'!$U$7:$U$3006,P1256)))</f>
        <v>46278</v>
      </c>
      <c r="F1256" s="82" t="str">
        <f aca="false">IF(OR(C1256="",P1256=""),"",INDEX('CARNET DE SOUDURE'!$AP$7:$AP$3006,P1256))</f>
        <v>R</v>
      </c>
      <c r="G1256" s="82" t="str">
        <f aca="false">IF(C1256="","",IF(P1256="","NJ INCONNU",INDEX('CARNET DE SOUDURE'!$AQ$7:$AQ$3006,P1256)))</f>
        <v>À RÉPARER</v>
      </c>
      <c r="H1256" s="82" t="str">
        <f aca="false">IF(C1256="","",IF(G1256="ACCEPTÉ","OUI","NON"))</f>
        <v>NON</v>
      </c>
      <c r="I1256" s="83"/>
      <c r="J1256" s="80"/>
      <c r="K1256" s="81"/>
      <c r="L1256" s="81"/>
      <c r="M1256" s="81"/>
      <c r="N1256" s="84" t="str">
        <f aca="false">IF(C1256="","",IF(P1256="","NJ INCONNU",IF(I1256="",IF(H1256="OUI","À ENROBER",IF(G1256="À SOUDER","NON SOUDÉ","EN ATTENTE RT")),IF(L1256="R","À REPRENDRE",IF(H1256&lt;&gt;"OUI","⚠ ENROBÉ AVANT ACCEPTATION RT","ENROBÉ")))))</f>
        <v>EN ATTENTE RT</v>
      </c>
      <c r="O1256" s="80"/>
      <c r="P1256" s="82" t="n">
        <f aca="false">IF(C1256="","",IFERROR(MATCH(Q1256,'CARNET DE SOUDURE'!$AW$7:$AW$3006,0),""))</f>
        <v>1250</v>
      </c>
      <c r="Q1256" s="82" t="str">
        <f aca="false">IF(C1256="","",B1256&amp;"|"&amp;C1256)</f>
        <v>MFD-ISW → MFD-CPF|JN°1069</v>
      </c>
    </row>
    <row r="1257" customFormat="false" ht="74.6" hidden="false" customHeight="false" outlineLevel="0" collapsed="false">
      <c r="A1257" s="82" t="n">
        <f aca="false">IF(C1257="","",ROW()-6)</f>
        <v>1251</v>
      </c>
      <c r="B1257" s="80" t="s">
        <v>110</v>
      </c>
      <c r="C1257" s="113" t="s">
        <v>1507</v>
      </c>
      <c r="D1257" s="82" t="str">
        <f aca="false">IF(OR(C1257="",P1257=""),"",INDEX('CARNET DE SOUDURE'!$D$7:$D$3006,P1257)&amp;"")</f>
        <v>10</v>
      </c>
      <c r="E1257" s="114" t="n">
        <f aca="false">IF(OR(C1257="",P1257=""),"",IF(INDEX('CARNET DE SOUDURE'!$U$7:$U$3006,P1257)="","",INDEX('CARNET DE SOUDURE'!$U$7:$U$3006,P1257)))</f>
        <v>46274</v>
      </c>
      <c r="F1257" s="82" t="str">
        <f aca="false">IF(OR(C1257="",P1257=""),"",INDEX('CARNET DE SOUDURE'!$AP$7:$AP$3006,P1257))</f>
        <v>A</v>
      </c>
      <c r="G1257" s="82" t="str">
        <f aca="false">IF(C1257="","",IF(P1257="","NJ INCONNU",INDEX('CARNET DE SOUDURE'!$AQ$7:$AQ$3006,P1257)))</f>
        <v>ACCEPTÉ</v>
      </c>
      <c r="H1257" s="82" t="str">
        <f aca="false">IF(C1257="","",IF(G1257="ACCEPTÉ","OUI","NON"))</f>
        <v>OUI</v>
      </c>
      <c r="I1257" s="83"/>
      <c r="J1257" s="80"/>
      <c r="K1257" s="81"/>
      <c r="L1257" s="81"/>
      <c r="M1257" s="81"/>
      <c r="N1257" s="84" t="str">
        <f aca="false">IF(C1257="","",IF(P1257="","NJ INCONNU",IF(I1257="",IF(H1257="OUI","À ENROBER",IF(G1257="À SOUDER","NON SOUDÉ","EN ATTENTE RT")),IF(L1257="R","À REPRENDRE",IF(H1257&lt;&gt;"OUI","⚠ ENROBÉ AVANT ACCEPTATION RT","ENROBÉ")))))</f>
        <v>À ENROBER</v>
      </c>
      <c r="O1257" s="80"/>
      <c r="P1257" s="82" t="n">
        <f aca="false">IF(C1257="","",IFERROR(MATCH(Q1257,'CARNET DE SOUDURE'!$AW$7:$AW$3006,0),""))</f>
        <v>1251</v>
      </c>
      <c r="Q1257" s="82" t="str">
        <f aca="false">IF(C1257="","",B1257&amp;"|"&amp;C1257)</f>
        <v>MFD-ISW → MFD-CPF|DJ°322</v>
      </c>
    </row>
    <row r="1258" customFormat="false" ht="74.6" hidden="false" customHeight="false" outlineLevel="0" collapsed="false">
      <c r="A1258" s="82" t="n">
        <f aca="false">IF(C1258="","",ROW()-6)</f>
        <v>1252</v>
      </c>
      <c r="B1258" s="80" t="s">
        <v>110</v>
      </c>
      <c r="C1258" s="113" t="s">
        <v>1508</v>
      </c>
      <c r="D1258" s="82" t="str">
        <f aca="false">IF(OR(C1258="",P1258=""),"",INDEX('CARNET DE SOUDURE'!$D$7:$D$3006,P1258)&amp;"")</f>
        <v>10</v>
      </c>
      <c r="E1258" s="114" t="n">
        <f aca="false">IF(OR(C1258="",P1258=""),"",IF(INDEX('CARNET DE SOUDURE'!$U$7:$U$3006,P1258)="","",INDEX('CARNET DE SOUDURE'!$U$7:$U$3006,P1258)))</f>
        <v>46278</v>
      </c>
      <c r="F1258" s="82" t="str">
        <f aca="false">IF(OR(C1258="",P1258=""),"",INDEX('CARNET DE SOUDURE'!$AP$7:$AP$3006,P1258))</f>
        <v>NX</v>
      </c>
      <c r="G1258" s="82" t="str">
        <f aca="false">IF(C1258="","",IF(P1258="","NJ INCONNU",INDEX('CARNET DE SOUDURE'!$AQ$7:$AQ$3006,P1258)))</f>
        <v>NX – RT À REFAIRE</v>
      </c>
      <c r="H1258" s="82" t="str">
        <f aca="false">IF(C1258="","",IF(G1258="ACCEPTÉ","OUI","NON"))</f>
        <v>NON</v>
      </c>
      <c r="I1258" s="83"/>
      <c r="J1258" s="80"/>
      <c r="K1258" s="81"/>
      <c r="L1258" s="81"/>
      <c r="M1258" s="81"/>
      <c r="N1258" s="84" t="str">
        <f aca="false">IF(C1258="","",IF(P1258="","NJ INCONNU",IF(I1258="",IF(H1258="OUI","À ENROBER",IF(G1258="À SOUDER","NON SOUDÉ","EN ATTENTE RT")),IF(L1258="R","À REPRENDRE",IF(H1258&lt;&gt;"OUI","⚠ ENROBÉ AVANT ACCEPTATION RT","ENROBÉ")))))</f>
        <v>EN ATTENTE RT</v>
      </c>
      <c r="O1258" s="80"/>
      <c r="P1258" s="82" t="n">
        <f aca="false">IF(C1258="","",IFERROR(MATCH(Q1258,'CARNET DE SOUDURE'!$AW$7:$AW$3006,0),""))</f>
        <v>1252</v>
      </c>
      <c r="Q1258" s="82" t="str">
        <f aca="false">IF(C1258="","",B1258&amp;"|"&amp;C1258)</f>
        <v>MFD-ISW → MFD-CPF|JN°1070</v>
      </c>
    </row>
    <row r="1259" customFormat="false" ht="74.6" hidden="false" customHeight="false" outlineLevel="0" collapsed="false">
      <c r="A1259" s="82" t="n">
        <f aca="false">IF(C1259="","",ROW()-6)</f>
        <v>1253</v>
      </c>
      <c r="B1259" s="80" t="s">
        <v>110</v>
      </c>
      <c r="C1259" s="113" t="s">
        <v>1510</v>
      </c>
      <c r="D1259" s="82" t="str">
        <f aca="false">IF(OR(C1259="",P1259=""),"",INDEX('CARNET DE SOUDURE'!$D$7:$D$3006,P1259)&amp;"")</f>
        <v>10</v>
      </c>
      <c r="E1259" s="114" t="n">
        <f aca="false">IF(OR(C1259="",P1259=""),"",IF(INDEX('CARNET DE SOUDURE'!$U$7:$U$3006,P1259)="","",INDEX('CARNET DE SOUDURE'!$U$7:$U$3006,P1259)))</f>
        <v>46274</v>
      </c>
      <c r="F1259" s="82" t="str">
        <f aca="false">IF(OR(C1259="",P1259=""),"",INDEX('CARNET DE SOUDURE'!$AP$7:$AP$3006,P1259))</f>
        <v>A</v>
      </c>
      <c r="G1259" s="82" t="str">
        <f aca="false">IF(C1259="","",IF(P1259="","NJ INCONNU",INDEX('CARNET DE SOUDURE'!$AQ$7:$AQ$3006,P1259)))</f>
        <v>ACCEPTÉ</v>
      </c>
      <c r="H1259" s="82" t="str">
        <f aca="false">IF(C1259="","",IF(G1259="ACCEPTÉ","OUI","NON"))</f>
        <v>OUI</v>
      </c>
      <c r="I1259" s="83"/>
      <c r="J1259" s="80"/>
      <c r="K1259" s="81"/>
      <c r="L1259" s="81"/>
      <c r="M1259" s="81"/>
      <c r="N1259" s="84" t="str">
        <f aca="false">IF(C1259="","",IF(P1259="","NJ INCONNU",IF(I1259="",IF(H1259="OUI","À ENROBER",IF(G1259="À SOUDER","NON SOUDÉ","EN ATTENTE RT")),IF(L1259="R","À REPRENDRE",IF(H1259&lt;&gt;"OUI","⚠ ENROBÉ AVANT ACCEPTATION RT","ENROBÉ")))))</f>
        <v>À ENROBER</v>
      </c>
      <c r="O1259" s="80"/>
      <c r="P1259" s="82" t="n">
        <f aca="false">IF(C1259="","",IFERROR(MATCH(Q1259,'CARNET DE SOUDURE'!$AW$7:$AW$3006,0),""))</f>
        <v>1253</v>
      </c>
      <c r="Q1259" s="82" t="str">
        <f aca="false">IF(C1259="","",B1259&amp;"|"&amp;C1259)</f>
        <v>MFD-ISW → MFD-CPF|DJ°324</v>
      </c>
    </row>
    <row r="1260" customFormat="false" ht="74.6" hidden="false" customHeight="false" outlineLevel="0" collapsed="false">
      <c r="A1260" s="82" t="n">
        <f aca="false">IF(C1260="","",ROW()-6)</f>
        <v>1254</v>
      </c>
      <c r="B1260" s="80" t="s">
        <v>110</v>
      </c>
      <c r="C1260" s="113" t="s">
        <v>1511</v>
      </c>
      <c r="D1260" s="82" t="str">
        <f aca="false">IF(OR(C1260="",P1260=""),"",INDEX('CARNET DE SOUDURE'!$D$7:$D$3006,P1260)&amp;"")</f>
        <v>10</v>
      </c>
      <c r="E1260" s="114" t="n">
        <f aca="false">IF(OR(C1260="",P1260=""),"",IF(INDEX('CARNET DE SOUDURE'!$U$7:$U$3006,P1260)="","",INDEX('CARNET DE SOUDURE'!$U$7:$U$3006,P1260)))</f>
        <v>46278</v>
      </c>
      <c r="F1260" s="82" t="str">
        <f aca="false">IF(OR(C1260="",P1260=""),"",INDEX('CARNET DE SOUDURE'!$AP$7:$AP$3006,P1260))</f>
        <v>A</v>
      </c>
      <c r="G1260" s="82" t="str">
        <f aca="false">IF(C1260="","",IF(P1260="","NJ INCONNU",INDEX('CARNET DE SOUDURE'!$AQ$7:$AQ$3006,P1260)))</f>
        <v>ACCEPTÉ</v>
      </c>
      <c r="H1260" s="82" t="str">
        <f aca="false">IF(C1260="","",IF(G1260="ACCEPTÉ","OUI","NON"))</f>
        <v>OUI</v>
      </c>
      <c r="I1260" s="83"/>
      <c r="J1260" s="80"/>
      <c r="K1260" s="81"/>
      <c r="L1260" s="81"/>
      <c r="M1260" s="81"/>
      <c r="N1260" s="84" t="str">
        <f aca="false">IF(C1260="","",IF(P1260="","NJ INCONNU",IF(I1260="",IF(H1260="OUI","À ENROBER",IF(G1260="À SOUDER","NON SOUDÉ","EN ATTENTE RT")),IF(L1260="R","À REPRENDRE",IF(H1260&lt;&gt;"OUI","⚠ ENROBÉ AVANT ACCEPTATION RT","ENROBÉ")))))</f>
        <v>À ENROBER</v>
      </c>
      <c r="O1260" s="80"/>
      <c r="P1260" s="82" t="n">
        <f aca="false">IF(C1260="","",IFERROR(MATCH(Q1260,'CARNET DE SOUDURE'!$AW$7:$AW$3006,0),""))</f>
        <v>1254</v>
      </c>
      <c r="Q1260" s="82" t="str">
        <f aca="false">IF(C1260="","",B1260&amp;"|"&amp;C1260)</f>
        <v>MFD-ISW → MFD-CPF|JN°1071</v>
      </c>
    </row>
    <row r="1261" customFormat="false" ht="74.6" hidden="false" customHeight="false" outlineLevel="0" collapsed="false">
      <c r="A1261" s="82" t="n">
        <f aca="false">IF(C1261="","",ROW()-6)</f>
        <v>1255</v>
      </c>
      <c r="B1261" s="80" t="s">
        <v>110</v>
      </c>
      <c r="C1261" s="113" t="s">
        <v>1512</v>
      </c>
      <c r="D1261" s="82" t="str">
        <f aca="false">IF(OR(C1261="",P1261=""),"",INDEX('CARNET DE SOUDURE'!$D$7:$D$3006,P1261)&amp;"")</f>
        <v>10</v>
      </c>
      <c r="E1261" s="114" t="n">
        <f aca="false">IF(OR(C1261="",P1261=""),"",IF(INDEX('CARNET DE SOUDURE'!$U$7:$U$3006,P1261)="","",INDEX('CARNET DE SOUDURE'!$U$7:$U$3006,P1261)))</f>
        <v>46274</v>
      </c>
      <c r="F1261" s="82" t="str">
        <f aca="false">IF(OR(C1261="",P1261=""),"",INDEX('CARNET DE SOUDURE'!$AP$7:$AP$3006,P1261))</f>
        <v>A</v>
      </c>
      <c r="G1261" s="82" t="str">
        <f aca="false">IF(C1261="","",IF(P1261="","NJ INCONNU",INDEX('CARNET DE SOUDURE'!$AQ$7:$AQ$3006,P1261)))</f>
        <v>ACCEPTÉ</v>
      </c>
      <c r="H1261" s="82" t="str">
        <f aca="false">IF(C1261="","",IF(G1261="ACCEPTÉ","OUI","NON"))</f>
        <v>OUI</v>
      </c>
      <c r="I1261" s="83"/>
      <c r="J1261" s="80"/>
      <c r="K1261" s="81"/>
      <c r="L1261" s="81"/>
      <c r="M1261" s="81"/>
      <c r="N1261" s="84" t="str">
        <f aca="false">IF(C1261="","",IF(P1261="","NJ INCONNU",IF(I1261="",IF(H1261="OUI","À ENROBER",IF(G1261="À SOUDER","NON SOUDÉ","EN ATTENTE RT")),IF(L1261="R","À REPRENDRE",IF(H1261&lt;&gt;"OUI","⚠ ENROBÉ AVANT ACCEPTATION RT","ENROBÉ")))))</f>
        <v>À ENROBER</v>
      </c>
      <c r="O1261" s="80"/>
      <c r="P1261" s="82" t="n">
        <f aca="false">IF(C1261="","",IFERROR(MATCH(Q1261,'CARNET DE SOUDURE'!$AW$7:$AW$3006,0),""))</f>
        <v>1255</v>
      </c>
      <c r="Q1261" s="82" t="str">
        <f aca="false">IF(C1261="","",B1261&amp;"|"&amp;C1261)</f>
        <v>MFD-ISW → MFD-CPF|DJ°325</v>
      </c>
    </row>
    <row r="1262" customFormat="false" ht="74.6" hidden="false" customHeight="false" outlineLevel="0" collapsed="false">
      <c r="A1262" s="82" t="n">
        <f aca="false">IF(C1262="","",ROW()-6)</f>
        <v>1256</v>
      </c>
      <c r="B1262" s="80" t="s">
        <v>110</v>
      </c>
      <c r="C1262" s="113" t="s">
        <v>1513</v>
      </c>
      <c r="D1262" s="82" t="str">
        <f aca="false">IF(OR(C1262="",P1262=""),"",INDEX('CARNET DE SOUDURE'!$D$7:$D$3006,P1262)&amp;"")</f>
        <v>10</v>
      </c>
      <c r="E1262" s="114" t="n">
        <f aca="false">IF(OR(C1262="",P1262=""),"",IF(INDEX('CARNET DE SOUDURE'!$U$7:$U$3006,P1262)="","",INDEX('CARNET DE SOUDURE'!$U$7:$U$3006,P1262)))</f>
        <v>46278</v>
      </c>
      <c r="F1262" s="82" t="str">
        <f aca="false">IF(OR(C1262="",P1262=""),"",INDEX('CARNET DE SOUDURE'!$AP$7:$AP$3006,P1262))</f>
        <v>A</v>
      </c>
      <c r="G1262" s="82" t="str">
        <f aca="false">IF(C1262="","",IF(P1262="","NJ INCONNU",INDEX('CARNET DE SOUDURE'!$AQ$7:$AQ$3006,P1262)))</f>
        <v>ACCEPTÉ</v>
      </c>
      <c r="H1262" s="82" t="str">
        <f aca="false">IF(C1262="","",IF(G1262="ACCEPTÉ","OUI","NON"))</f>
        <v>OUI</v>
      </c>
      <c r="I1262" s="83"/>
      <c r="J1262" s="80"/>
      <c r="K1262" s="81"/>
      <c r="L1262" s="81"/>
      <c r="M1262" s="81"/>
      <c r="N1262" s="84" t="str">
        <f aca="false">IF(C1262="","",IF(P1262="","NJ INCONNU",IF(I1262="",IF(H1262="OUI","À ENROBER",IF(G1262="À SOUDER","NON SOUDÉ","EN ATTENTE RT")),IF(L1262="R","À REPRENDRE",IF(H1262&lt;&gt;"OUI","⚠ ENROBÉ AVANT ACCEPTATION RT","ENROBÉ")))))</f>
        <v>À ENROBER</v>
      </c>
      <c r="O1262" s="80"/>
      <c r="P1262" s="82" t="n">
        <f aca="false">IF(C1262="","",IFERROR(MATCH(Q1262,'CARNET DE SOUDURE'!$AW$7:$AW$3006,0),""))</f>
        <v>1256</v>
      </c>
      <c r="Q1262" s="82" t="str">
        <f aca="false">IF(C1262="","",B1262&amp;"|"&amp;C1262)</f>
        <v>MFD-ISW → MFD-CPF|JN°1072</v>
      </c>
    </row>
    <row r="1263" customFormat="false" ht="74.6" hidden="false" customHeight="false" outlineLevel="0" collapsed="false">
      <c r="A1263" s="82" t="n">
        <f aca="false">IF(C1263="","",ROW()-6)</f>
        <v>1257</v>
      </c>
      <c r="B1263" s="80" t="s">
        <v>110</v>
      </c>
      <c r="C1263" s="113" t="s">
        <v>1514</v>
      </c>
      <c r="D1263" s="82" t="str">
        <f aca="false">IF(OR(C1263="",P1263=""),"",INDEX('CARNET DE SOUDURE'!$D$7:$D$3006,P1263)&amp;"")</f>
        <v>10</v>
      </c>
      <c r="E1263" s="114" t="n">
        <f aca="false">IF(OR(C1263="",P1263=""),"",IF(INDEX('CARNET DE SOUDURE'!$U$7:$U$3006,P1263)="","",INDEX('CARNET DE SOUDURE'!$U$7:$U$3006,P1263)))</f>
        <v>46273</v>
      </c>
      <c r="F1263" s="82" t="str">
        <f aca="false">IF(OR(C1263="",P1263=""),"",INDEX('CARNET DE SOUDURE'!$AP$7:$AP$3006,P1263))</f>
        <v>A</v>
      </c>
      <c r="G1263" s="82" t="str">
        <f aca="false">IF(C1263="","",IF(P1263="","NJ INCONNU",INDEX('CARNET DE SOUDURE'!$AQ$7:$AQ$3006,P1263)))</f>
        <v>ACCEPTÉ</v>
      </c>
      <c r="H1263" s="82" t="str">
        <f aca="false">IF(C1263="","",IF(G1263="ACCEPTÉ","OUI","NON"))</f>
        <v>OUI</v>
      </c>
      <c r="I1263" s="83"/>
      <c r="J1263" s="80"/>
      <c r="K1263" s="81"/>
      <c r="L1263" s="81"/>
      <c r="M1263" s="81"/>
      <c r="N1263" s="84" t="str">
        <f aca="false">IF(C1263="","",IF(P1263="","NJ INCONNU",IF(I1263="",IF(H1263="OUI","À ENROBER",IF(G1263="À SOUDER","NON SOUDÉ","EN ATTENTE RT")),IF(L1263="R","À REPRENDRE",IF(H1263&lt;&gt;"OUI","⚠ ENROBÉ AVANT ACCEPTATION RT","ENROBÉ")))))</f>
        <v>À ENROBER</v>
      </c>
      <c r="O1263" s="80"/>
      <c r="P1263" s="82" t="n">
        <f aca="false">IF(C1263="","",IFERROR(MATCH(Q1263,'CARNET DE SOUDURE'!$AW$7:$AW$3006,0),""))</f>
        <v>1257</v>
      </c>
      <c r="Q1263" s="82" t="str">
        <f aca="false">IF(C1263="","",B1263&amp;"|"&amp;C1263)</f>
        <v>MFD-ISW → MFD-CPF|DJ°319</v>
      </c>
    </row>
    <row r="1264" customFormat="false" ht="74.6" hidden="false" customHeight="false" outlineLevel="0" collapsed="false">
      <c r="A1264" s="82" t="n">
        <f aca="false">IF(C1264="","",ROW()-6)</f>
        <v>1258</v>
      </c>
      <c r="B1264" s="80" t="s">
        <v>110</v>
      </c>
      <c r="C1264" s="113" t="s">
        <v>1515</v>
      </c>
      <c r="D1264" s="82" t="str">
        <f aca="false">IF(OR(C1264="",P1264=""),"",INDEX('CARNET DE SOUDURE'!$D$7:$D$3006,P1264)&amp;"")</f>
        <v>10</v>
      </c>
      <c r="E1264" s="114" t="n">
        <f aca="false">IF(OR(C1264="",P1264=""),"",IF(INDEX('CARNET DE SOUDURE'!$U$7:$U$3006,P1264)="","",INDEX('CARNET DE SOUDURE'!$U$7:$U$3006,P1264)))</f>
        <v>46278</v>
      </c>
      <c r="F1264" s="82" t="str">
        <f aca="false">IF(OR(C1264="",P1264=""),"",INDEX('CARNET DE SOUDURE'!$AP$7:$AP$3006,P1264))</f>
        <v>A</v>
      </c>
      <c r="G1264" s="82" t="str">
        <f aca="false">IF(C1264="","",IF(P1264="","NJ INCONNU",INDEX('CARNET DE SOUDURE'!$AQ$7:$AQ$3006,P1264)))</f>
        <v>ACCEPTÉ</v>
      </c>
      <c r="H1264" s="82" t="str">
        <f aca="false">IF(C1264="","",IF(G1264="ACCEPTÉ","OUI","NON"))</f>
        <v>OUI</v>
      </c>
      <c r="I1264" s="83"/>
      <c r="J1264" s="80"/>
      <c r="K1264" s="81"/>
      <c r="L1264" s="81"/>
      <c r="M1264" s="81"/>
      <c r="N1264" s="84" t="str">
        <f aca="false">IF(C1264="","",IF(P1264="","NJ INCONNU",IF(I1264="",IF(H1264="OUI","À ENROBER",IF(G1264="À SOUDER","NON SOUDÉ","EN ATTENTE RT")),IF(L1264="R","À REPRENDRE",IF(H1264&lt;&gt;"OUI","⚠ ENROBÉ AVANT ACCEPTATION RT","ENROBÉ")))))</f>
        <v>À ENROBER</v>
      </c>
      <c r="O1264" s="80"/>
      <c r="P1264" s="82" t="n">
        <f aca="false">IF(C1264="","",IFERROR(MATCH(Q1264,'CARNET DE SOUDURE'!$AW$7:$AW$3006,0),""))</f>
        <v>1258</v>
      </c>
      <c r="Q1264" s="82" t="str">
        <f aca="false">IF(C1264="","",B1264&amp;"|"&amp;C1264)</f>
        <v>MFD-ISW → MFD-CPF|JN°1073</v>
      </c>
    </row>
    <row r="1265" customFormat="false" ht="74.6" hidden="false" customHeight="false" outlineLevel="0" collapsed="false">
      <c r="A1265" s="82" t="n">
        <f aca="false">IF(C1265="","",ROW()-6)</f>
        <v>1259</v>
      </c>
      <c r="B1265" s="80" t="s">
        <v>110</v>
      </c>
      <c r="C1265" s="113" t="s">
        <v>1516</v>
      </c>
      <c r="D1265" s="82" t="str">
        <f aca="false">IF(OR(C1265="",P1265=""),"",INDEX('CARNET DE SOUDURE'!$D$7:$D$3006,P1265)&amp;"")</f>
        <v>10</v>
      </c>
      <c r="E1265" s="114" t="n">
        <f aca="false">IF(OR(C1265="",P1265=""),"",IF(INDEX('CARNET DE SOUDURE'!$U$7:$U$3006,P1265)="","",INDEX('CARNET DE SOUDURE'!$U$7:$U$3006,P1265)))</f>
        <v>46272</v>
      </c>
      <c r="F1265" s="82" t="str">
        <f aca="false">IF(OR(C1265="",P1265=""),"",INDEX('CARNET DE SOUDURE'!$AP$7:$AP$3006,P1265))</f>
        <v>A</v>
      </c>
      <c r="G1265" s="82" t="str">
        <f aca="false">IF(C1265="","",IF(P1265="","NJ INCONNU",INDEX('CARNET DE SOUDURE'!$AQ$7:$AQ$3006,P1265)))</f>
        <v>ACCEPTÉ</v>
      </c>
      <c r="H1265" s="82" t="str">
        <f aca="false">IF(C1265="","",IF(G1265="ACCEPTÉ","OUI","NON"))</f>
        <v>OUI</v>
      </c>
      <c r="I1265" s="83"/>
      <c r="J1265" s="80"/>
      <c r="K1265" s="81"/>
      <c r="L1265" s="81"/>
      <c r="M1265" s="81"/>
      <c r="N1265" s="84" t="str">
        <f aca="false">IF(C1265="","",IF(P1265="","NJ INCONNU",IF(I1265="",IF(H1265="OUI","À ENROBER",IF(G1265="À SOUDER","NON SOUDÉ","EN ATTENTE RT")),IF(L1265="R","À REPRENDRE",IF(H1265&lt;&gt;"OUI","⚠ ENROBÉ AVANT ACCEPTATION RT","ENROBÉ")))))</f>
        <v>À ENROBER</v>
      </c>
      <c r="O1265" s="80"/>
      <c r="P1265" s="82" t="n">
        <f aca="false">IF(C1265="","",IFERROR(MATCH(Q1265,'CARNET DE SOUDURE'!$AW$7:$AW$3006,0),""))</f>
        <v>1259</v>
      </c>
      <c r="Q1265" s="82" t="str">
        <f aca="false">IF(C1265="","",B1265&amp;"|"&amp;C1265)</f>
        <v>MFD-ISW → MFD-CPF|DJ°318</v>
      </c>
    </row>
    <row r="1266" customFormat="false" ht="74.6" hidden="false" customHeight="false" outlineLevel="0" collapsed="false">
      <c r="A1266" s="82" t="n">
        <f aca="false">IF(C1266="","",ROW()-6)</f>
        <v>1260</v>
      </c>
      <c r="B1266" s="80" t="s">
        <v>110</v>
      </c>
      <c r="C1266" s="113" t="s">
        <v>1519</v>
      </c>
      <c r="D1266" s="82" t="str">
        <f aca="false">IF(OR(C1266="",P1266=""),"",INDEX('CARNET DE SOUDURE'!$D$7:$D$3006,P1266)&amp;"")</f>
        <v>10</v>
      </c>
      <c r="E1266" s="114" t="n">
        <f aca="false">IF(OR(C1266="",P1266=""),"",IF(INDEX('CARNET DE SOUDURE'!$U$7:$U$3006,P1266)="","",INDEX('CARNET DE SOUDURE'!$U$7:$U$3006,P1266)))</f>
        <v>46278</v>
      </c>
      <c r="F1266" s="82" t="str">
        <f aca="false">IF(OR(C1266="",P1266=""),"",INDEX('CARNET DE SOUDURE'!$AP$7:$AP$3006,P1266))</f>
        <v>A</v>
      </c>
      <c r="G1266" s="82" t="str">
        <f aca="false">IF(C1266="","",IF(P1266="","NJ INCONNU",INDEX('CARNET DE SOUDURE'!$AQ$7:$AQ$3006,P1266)))</f>
        <v>ACCEPTÉ</v>
      </c>
      <c r="H1266" s="82" t="str">
        <f aca="false">IF(C1266="","",IF(G1266="ACCEPTÉ","OUI","NON"))</f>
        <v>OUI</v>
      </c>
      <c r="I1266" s="83"/>
      <c r="J1266" s="80"/>
      <c r="K1266" s="81"/>
      <c r="L1266" s="81"/>
      <c r="M1266" s="81"/>
      <c r="N1266" s="84" t="str">
        <f aca="false">IF(C1266="","",IF(P1266="","NJ INCONNU",IF(I1266="",IF(H1266="OUI","À ENROBER",IF(G1266="À SOUDER","NON SOUDÉ","EN ATTENTE RT")),IF(L1266="R","À REPRENDRE",IF(H1266&lt;&gt;"OUI","⚠ ENROBÉ AVANT ACCEPTATION RT","ENROBÉ")))))</f>
        <v>À ENROBER</v>
      </c>
      <c r="O1266" s="80"/>
      <c r="P1266" s="82" t="n">
        <f aca="false">IF(C1266="","",IFERROR(MATCH(Q1266,'CARNET DE SOUDURE'!$AW$7:$AW$3006,0),""))</f>
        <v>1260</v>
      </c>
      <c r="Q1266" s="82" t="str">
        <f aca="false">IF(C1266="","",B1266&amp;"|"&amp;C1266)</f>
        <v>MFD-ISW → MFD-CPF|JN°1074</v>
      </c>
    </row>
    <row r="1267" customFormat="false" ht="74.6" hidden="false" customHeight="false" outlineLevel="0" collapsed="false">
      <c r="A1267" s="82" t="n">
        <f aca="false">IF(C1267="","",ROW()-6)</f>
        <v>1261</v>
      </c>
      <c r="B1267" s="80" t="s">
        <v>110</v>
      </c>
      <c r="C1267" s="113" t="s">
        <v>1521</v>
      </c>
      <c r="D1267" s="82" t="str">
        <f aca="false">IF(OR(C1267="",P1267=""),"",INDEX('CARNET DE SOUDURE'!$D$7:$D$3006,P1267)&amp;"")</f>
        <v>10</v>
      </c>
      <c r="E1267" s="114" t="n">
        <f aca="false">IF(OR(C1267="",P1267=""),"",IF(INDEX('CARNET DE SOUDURE'!$U$7:$U$3006,P1267)="","",INDEX('CARNET DE SOUDURE'!$U$7:$U$3006,P1267)))</f>
        <v>46272</v>
      </c>
      <c r="F1267" s="82" t="str">
        <f aca="false">IF(OR(C1267="",P1267=""),"",INDEX('CARNET DE SOUDURE'!$AP$7:$AP$3006,P1267))</f>
        <v>A</v>
      </c>
      <c r="G1267" s="82" t="str">
        <f aca="false">IF(C1267="","",IF(P1267="","NJ INCONNU",INDEX('CARNET DE SOUDURE'!$AQ$7:$AQ$3006,P1267)))</f>
        <v>ACCEPTÉ</v>
      </c>
      <c r="H1267" s="82" t="str">
        <f aca="false">IF(C1267="","",IF(G1267="ACCEPTÉ","OUI","NON"))</f>
        <v>OUI</v>
      </c>
      <c r="I1267" s="83"/>
      <c r="J1267" s="80"/>
      <c r="K1267" s="81"/>
      <c r="L1267" s="81"/>
      <c r="M1267" s="81"/>
      <c r="N1267" s="84" t="str">
        <f aca="false">IF(C1267="","",IF(P1267="","NJ INCONNU",IF(I1267="",IF(H1267="OUI","À ENROBER",IF(G1267="À SOUDER","NON SOUDÉ","EN ATTENTE RT")),IF(L1267="R","À REPRENDRE",IF(H1267&lt;&gt;"OUI","⚠ ENROBÉ AVANT ACCEPTATION RT","ENROBÉ")))))</f>
        <v>À ENROBER</v>
      </c>
      <c r="O1267" s="80"/>
      <c r="P1267" s="82" t="n">
        <f aca="false">IF(C1267="","",IFERROR(MATCH(Q1267,'CARNET DE SOUDURE'!$AW$7:$AW$3006,0),""))</f>
        <v>1261</v>
      </c>
      <c r="Q1267" s="82" t="str">
        <f aca="false">IF(C1267="","",B1267&amp;"|"&amp;C1267)</f>
        <v>MFD-ISW → MFD-CPF|DJ°308</v>
      </c>
    </row>
    <row r="1268" customFormat="false" ht="74.6" hidden="false" customHeight="false" outlineLevel="0" collapsed="false">
      <c r="A1268" s="82" t="n">
        <f aca="false">IF(C1268="","",ROW()-6)</f>
        <v>1262</v>
      </c>
      <c r="B1268" s="80" t="s">
        <v>110</v>
      </c>
      <c r="C1268" s="113" t="s">
        <v>1523</v>
      </c>
      <c r="D1268" s="82" t="str">
        <f aca="false">IF(OR(C1268="",P1268=""),"",INDEX('CARNET DE SOUDURE'!$D$7:$D$3006,P1268)&amp;"")</f>
        <v>10</v>
      </c>
      <c r="E1268" s="114" t="n">
        <f aca="false">IF(OR(C1268="",P1268=""),"",IF(INDEX('CARNET DE SOUDURE'!$U$7:$U$3006,P1268)="","",INDEX('CARNET DE SOUDURE'!$U$7:$U$3006,P1268)))</f>
        <v>46278</v>
      </c>
      <c r="F1268" s="82" t="str">
        <f aca="false">IF(OR(C1268="",P1268=""),"",INDEX('CARNET DE SOUDURE'!$AP$7:$AP$3006,P1268))</f>
        <v>A</v>
      </c>
      <c r="G1268" s="82" t="str">
        <f aca="false">IF(C1268="","",IF(P1268="","NJ INCONNU",INDEX('CARNET DE SOUDURE'!$AQ$7:$AQ$3006,P1268)))</f>
        <v>ACCEPTÉ</v>
      </c>
      <c r="H1268" s="82" t="str">
        <f aca="false">IF(C1268="","",IF(G1268="ACCEPTÉ","OUI","NON"))</f>
        <v>OUI</v>
      </c>
      <c r="I1268" s="83"/>
      <c r="J1268" s="80"/>
      <c r="K1268" s="81"/>
      <c r="L1268" s="81"/>
      <c r="M1268" s="81"/>
      <c r="N1268" s="84" t="str">
        <f aca="false">IF(C1268="","",IF(P1268="","NJ INCONNU",IF(I1268="",IF(H1268="OUI","À ENROBER",IF(G1268="À SOUDER","NON SOUDÉ","EN ATTENTE RT")),IF(L1268="R","À REPRENDRE",IF(H1268&lt;&gt;"OUI","⚠ ENROBÉ AVANT ACCEPTATION RT","ENROBÉ")))))</f>
        <v>À ENROBER</v>
      </c>
      <c r="O1268" s="80"/>
      <c r="P1268" s="82" t="n">
        <f aca="false">IF(C1268="","",IFERROR(MATCH(Q1268,'CARNET DE SOUDURE'!$AW$7:$AW$3006,0),""))</f>
        <v>1262</v>
      </c>
      <c r="Q1268" s="82" t="str">
        <f aca="false">IF(C1268="","",B1268&amp;"|"&amp;C1268)</f>
        <v>MFD-ISW → MFD-CPF|JN°1075</v>
      </c>
    </row>
    <row r="1269" customFormat="false" ht="74.6" hidden="false" customHeight="false" outlineLevel="0" collapsed="false">
      <c r="A1269" s="82" t="n">
        <f aca="false">IF(C1269="","",ROW()-6)</f>
        <v>1263</v>
      </c>
      <c r="B1269" s="80" t="s">
        <v>110</v>
      </c>
      <c r="C1269" s="113" t="s">
        <v>1524</v>
      </c>
      <c r="D1269" s="82" t="str">
        <f aca="false">IF(OR(C1269="",P1269=""),"",INDEX('CARNET DE SOUDURE'!$D$7:$D$3006,P1269)&amp;"")</f>
        <v>10</v>
      </c>
      <c r="E1269" s="114" t="n">
        <f aca="false">IF(OR(C1269="",P1269=""),"",IF(INDEX('CARNET DE SOUDURE'!$U$7:$U$3006,P1269)="","",INDEX('CARNET DE SOUDURE'!$U$7:$U$3006,P1269)))</f>
        <v>46272</v>
      </c>
      <c r="F1269" s="82" t="str">
        <f aca="false">IF(OR(C1269="",P1269=""),"",INDEX('CARNET DE SOUDURE'!$AP$7:$AP$3006,P1269))</f>
        <v>A</v>
      </c>
      <c r="G1269" s="82" t="str">
        <f aca="false">IF(C1269="","",IF(P1269="","NJ INCONNU",INDEX('CARNET DE SOUDURE'!$AQ$7:$AQ$3006,P1269)))</f>
        <v>ACCEPTÉ</v>
      </c>
      <c r="H1269" s="82" t="str">
        <f aca="false">IF(C1269="","",IF(G1269="ACCEPTÉ","OUI","NON"))</f>
        <v>OUI</v>
      </c>
      <c r="I1269" s="83"/>
      <c r="J1269" s="80"/>
      <c r="K1269" s="81"/>
      <c r="L1269" s="81"/>
      <c r="M1269" s="81"/>
      <c r="N1269" s="84" t="str">
        <f aca="false">IF(C1269="","",IF(P1269="","NJ INCONNU",IF(I1269="",IF(H1269="OUI","À ENROBER",IF(G1269="À SOUDER","NON SOUDÉ","EN ATTENTE RT")),IF(L1269="R","À REPRENDRE",IF(H1269&lt;&gt;"OUI","⚠ ENROBÉ AVANT ACCEPTATION RT","ENROBÉ")))))</f>
        <v>À ENROBER</v>
      </c>
      <c r="O1269" s="80"/>
      <c r="P1269" s="82" t="n">
        <f aca="false">IF(C1269="","",IFERROR(MATCH(Q1269,'CARNET DE SOUDURE'!$AW$7:$AW$3006,0),""))</f>
        <v>1263</v>
      </c>
      <c r="Q1269" s="82" t="str">
        <f aca="false">IF(C1269="","",B1269&amp;"|"&amp;C1269)</f>
        <v>MFD-ISW → MFD-CPF|DJ°311</v>
      </c>
    </row>
    <row r="1270" customFormat="false" ht="74.6" hidden="false" customHeight="false" outlineLevel="0" collapsed="false">
      <c r="A1270" s="82" t="n">
        <f aca="false">IF(C1270="","",ROW()-6)</f>
        <v>1264</v>
      </c>
      <c r="B1270" s="80" t="s">
        <v>110</v>
      </c>
      <c r="C1270" s="113" t="s">
        <v>1525</v>
      </c>
      <c r="D1270" s="82" t="str">
        <f aca="false">IF(OR(C1270="",P1270=""),"",INDEX('CARNET DE SOUDURE'!$D$7:$D$3006,P1270)&amp;"")</f>
        <v>10</v>
      </c>
      <c r="E1270" s="114" t="n">
        <f aca="false">IF(OR(C1270="",P1270=""),"",IF(INDEX('CARNET DE SOUDURE'!$U$7:$U$3006,P1270)="","",INDEX('CARNET DE SOUDURE'!$U$7:$U$3006,P1270)))</f>
        <v>46278</v>
      </c>
      <c r="F1270" s="82" t="str">
        <f aca="false">IF(OR(C1270="",P1270=""),"",INDEX('CARNET DE SOUDURE'!$AP$7:$AP$3006,P1270))</f>
        <v>A</v>
      </c>
      <c r="G1270" s="82" t="str">
        <f aca="false">IF(C1270="","",IF(P1270="","NJ INCONNU",INDEX('CARNET DE SOUDURE'!$AQ$7:$AQ$3006,P1270)))</f>
        <v>ACCEPTÉ</v>
      </c>
      <c r="H1270" s="82" t="str">
        <f aca="false">IF(C1270="","",IF(G1270="ACCEPTÉ","OUI","NON"))</f>
        <v>OUI</v>
      </c>
      <c r="I1270" s="83"/>
      <c r="J1270" s="80"/>
      <c r="K1270" s="81"/>
      <c r="L1270" s="81"/>
      <c r="M1270" s="81"/>
      <c r="N1270" s="84" t="str">
        <f aca="false">IF(C1270="","",IF(P1270="","NJ INCONNU",IF(I1270="",IF(H1270="OUI","À ENROBER",IF(G1270="À SOUDER","NON SOUDÉ","EN ATTENTE RT")),IF(L1270="R","À REPRENDRE",IF(H1270&lt;&gt;"OUI","⚠ ENROBÉ AVANT ACCEPTATION RT","ENROBÉ")))))</f>
        <v>À ENROBER</v>
      </c>
      <c r="O1270" s="80"/>
      <c r="P1270" s="82" t="n">
        <f aca="false">IF(C1270="","",IFERROR(MATCH(Q1270,'CARNET DE SOUDURE'!$AW$7:$AW$3006,0),""))</f>
        <v>1264</v>
      </c>
      <c r="Q1270" s="82" t="str">
        <f aca="false">IF(C1270="","",B1270&amp;"|"&amp;C1270)</f>
        <v>MFD-ISW → MFD-CPF|JN°1076</v>
      </c>
    </row>
    <row r="1271" customFormat="false" ht="74.6" hidden="false" customHeight="false" outlineLevel="0" collapsed="false">
      <c r="A1271" s="82" t="n">
        <f aca="false">IF(C1271="","",ROW()-6)</f>
        <v>1265</v>
      </c>
      <c r="B1271" s="80" t="s">
        <v>110</v>
      </c>
      <c r="C1271" s="113" t="s">
        <v>1526</v>
      </c>
      <c r="D1271" s="82" t="str">
        <f aca="false">IF(OR(C1271="",P1271=""),"",INDEX('CARNET DE SOUDURE'!$D$7:$D$3006,P1271)&amp;"")</f>
        <v>10</v>
      </c>
      <c r="E1271" s="114" t="n">
        <f aca="false">IF(OR(C1271="",P1271=""),"",IF(INDEX('CARNET DE SOUDURE'!$U$7:$U$3006,P1271)="","",INDEX('CARNET DE SOUDURE'!$U$7:$U$3006,P1271)))</f>
        <v>46272</v>
      </c>
      <c r="F1271" s="82" t="str">
        <f aca="false">IF(OR(C1271="",P1271=""),"",INDEX('CARNET DE SOUDURE'!$AP$7:$AP$3006,P1271))</f>
        <v>A</v>
      </c>
      <c r="G1271" s="82" t="str">
        <f aca="false">IF(C1271="","",IF(P1271="","NJ INCONNU",INDEX('CARNET DE SOUDURE'!$AQ$7:$AQ$3006,P1271)))</f>
        <v>ACCEPTÉ</v>
      </c>
      <c r="H1271" s="82" t="str">
        <f aca="false">IF(C1271="","",IF(G1271="ACCEPTÉ","OUI","NON"))</f>
        <v>OUI</v>
      </c>
      <c r="I1271" s="83"/>
      <c r="J1271" s="80"/>
      <c r="K1271" s="81"/>
      <c r="L1271" s="81"/>
      <c r="M1271" s="81"/>
      <c r="N1271" s="84" t="str">
        <f aca="false">IF(C1271="","",IF(P1271="","NJ INCONNU",IF(I1271="",IF(H1271="OUI","À ENROBER",IF(G1271="À SOUDER","NON SOUDÉ","EN ATTENTE RT")),IF(L1271="R","À REPRENDRE",IF(H1271&lt;&gt;"OUI","⚠ ENROBÉ AVANT ACCEPTATION RT","ENROBÉ")))))</f>
        <v>À ENROBER</v>
      </c>
      <c r="O1271" s="80"/>
      <c r="P1271" s="82" t="n">
        <f aca="false">IF(C1271="","",IFERROR(MATCH(Q1271,'CARNET DE SOUDURE'!$AW$7:$AW$3006,0),""))</f>
        <v>1265</v>
      </c>
      <c r="Q1271" s="82" t="str">
        <f aca="false">IF(C1271="","",B1271&amp;"|"&amp;C1271)</f>
        <v>MFD-ISW → MFD-CPF|DJ°309</v>
      </c>
    </row>
    <row r="1272" customFormat="false" ht="74.6" hidden="false" customHeight="false" outlineLevel="0" collapsed="false">
      <c r="A1272" s="82" t="n">
        <f aca="false">IF(C1272="","",ROW()-6)</f>
        <v>1266</v>
      </c>
      <c r="B1272" s="80" t="s">
        <v>110</v>
      </c>
      <c r="C1272" s="113" t="s">
        <v>1527</v>
      </c>
      <c r="D1272" s="82" t="str">
        <f aca="false">IF(OR(C1272="",P1272=""),"",INDEX('CARNET DE SOUDURE'!$D$7:$D$3006,P1272)&amp;"")</f>
        <v>10</v>
      </c>
      <c r="E1272" s="114" t="str">
        <f aca="false">IF(OR(C1272="",P1272=""),"",IF(INDEX('CARNET DE SOUDURE'!$U$7:$U$3006,P1272)="","",INDEX('CARNET DE SOUDURE'!$U$7:$U$3006,P1272)))</f>
        <v/>
      </c>
      <c r="F1272" s="82" t="str">
        <f aca="false">IF(OR(C1272="",P1272=""),"",INDEX('CARNET DE SOUDURE'!$AP$7:$AP$3006,P1272))</f>
        <v/>
      </c>
      <c r="G1272" s="82" t="str">
        <f aca="false">IF(C1272="","",IF(P1272="","NJ INCONNU",INDEX('CARNET DE SOUDURE'!$AQ$7:$AQ$3006,P1272)))</f>
        <v>À SOUDER</v>
      </c>
      <c r="H1272" s="82" t="str">
        <f aca="false">IF(C1272="","",IF(G1272="ACCEPTÉ","OUI","NON"))</f>
        <v>NON</v>
      </c>
      <c r="I1272" s="83"/>
      <c r="J1272" s="80"/>
      <c r="K1272" s="81"/>
      <c r="L1272" s="81"/>
      <c r="M1272" s="81"/>
      <c r="N1272" s="84" t="str">
        <f aca="false">IF(C1272="","",IF(P1272="","NJ INCONNU",IF(I1272="",IF(H1272="OUI","À ENROBER",IF(G1272="À SOUDER","NON SOUDÉ","EN ATTENTE RT")),IF(L1272="R","À REPRENDRE",IF(H1272&lt;&gt;"OUI","⚠ ENROBÉ AVANT ACCEPTATION RT","ENROBÉ")))))</f>
        <v>NON SOUDÉ</v>
      </c>
      <c r="O1272" s="80"/>
      <c r="P1272" s="82" t="n">
        <f aca="false">IF(C1272="","",IFERROR(MATCH(Q1272,'CARNET DE SOUDURE'!$AW$7:$AW$3006,0),""))</f>
        <v>1266</v>
      </c>
      <c r="Q1272" s="82" t="str">
        <f aca="false">IF(C1272="","",B1272&amp;"|"&amp;C1272)</f>
        <v>MFD-ISW → MFD-CPF|JN°1077</v>
      </c>
    </row>
    <row r="1273" customFormat="false" ht="74.6" hidden="false" customHeight="false" outlineLevel="0" collapsed="false">
      <c r="A1273" s="82" t="n">
        <f aca="false">IF(C1273="","",ROW()-6)</f>
        <v>1267</v>
      </c>
      <c r="B1273" s="80" t="s">
        <v>110</v>
      </c>
      <c r="C1273" s="113" t="s">
        <v>1528</v>
      </c>
      <c r="D1273" s="82" t="str">
        <f aca="false">IF(OR(C1273="",P1273=""),"",INDEX('CARNET DE SOUDURE'!$D$7:$D$3006,P1273)&amp;"")</f>
        <v>10</v>
      </c>
      <c r="E1273" s="114" t="str">
        <f aca="false">IF(OR(C1273="",P1273=""),"",IF(INDEX('CARNET DE SOUDURE'!$U$7:$U$3006,P1273)="","",INDEX('CARNET DE SOUDURE'!$U$7:$U$3006,P1273)))</f>
        <v/>
      </c>
      <c r="F1273" s="82" t="str">
        <f aca="false">IF(OR(C1273="",P1273=""),"",INDEX('CARNET DE SOUDURE'!$AP$7:$AP$3006,P1273))</f>
        <v/>
      </c>
      <c r="G1273" s="82" t="str">
        <f aca="false">IF(C1273="","",IF(P1273="","NJ INCONNU",INDEX('CARNET DE SOUDURE'!$AQ$7:$AQ$3006,P1273)))</f>
        <v>À SOUDER</v>
      </c>
      <c r="H1273" s="82" t="str">
        <f aca="false">IF(C1273="","",IF(G1273="ACCEPTÉ","OUI","NON"))</f>
        <v>NON</v>
      </c>
      <c r="I1273" s="83"/>
      <c r="J1273" s="80"/>
      <c r="K1273" s="81"/>
      <c r="L1273" s="81"/>
      <c r="M1273" s="81"/>
      <c r="N1273" s="84" t="str">
        <f aca="false">IF(C1273="","",IF(P1273="","NJ INCONNU",IF(I1273="",IF(H1273="OUI","À ENROBER",IF(G1273="À SOUDER","NON SOUDÉ","EN ATTENTE RT")),IF(L1273="R","À REPRENDRE",IF(H1273&lt;&gt;"OUI","⚠ ENROBÉ AVANT ACCEPTATION RT","ENROBÉ")))))</f>
        <v>NON SOUDÉ</v>
      </c>
      <c r="O1273" s="80"/>
      <c r="P1273" s="82" t="n">
        <f aca="false">IF(C1273="","",IFERROR(MATCH(Q1273,'CARNET DE SOUDURE'!$AW$7:$AW$3006,0),""))</f>
        <v>1267</v>
      </c>
      <c r="Q1273" s="82" t="str">
        <f aca="false">IF(C1273="","",B1273&amp;"|"&amp;C1273)</f>
        <v>MFD-ISW → MFD-CPF|JN°1078</v>
      </c>
    </row>
    <row r="1274" customFormat="false" ht="74.6" hidden="false" customHeight="false" outlineLevel="0" collapsed="false">
      <c r="A1274" s="82" t="n">
        <f aca="false">IF(C1274="","",ROW()-6)</f>
        <v>1268</v>
      </c>
      <c r="B1274" s="80" t="s">
        <v>110</v>
      </c>
      <c r="C1274" s="113" t="s">
        <v>1529</v>
      </c>
      <c r="D1274" s="82" t="str">
        <f aca="false">IF(OR(C1274="",P1274=""),"",INDEX('CARNET DE SOUDURE'!$D$7:$D$3006,P1274)&amp;"")</f>
        <v>10</v>
      </c>
      <c r="E1274" s="114" t="str">
        <f aca="false">IF(OR(C1274="",P1274=""),"",IF(INDEX('CARNET DE SOUDURE'!$U$7:$U$3006,P1274)="","",INDEX('CARNET DE SOUDURE'!$U$7:$U$3006,P1274)))</f>
        <v/>
      </c>
      <c r="F1274" s="82" t="str">
        <f aca="false">IF(OR(C1274="",P1274=""),"",INDEX('CARNET DE SOUDURE'!$AP$7:$AP$3006,P1274))</f>
        <v/>
      </c>
      <c r="G1274" s="82" t="str">
        <f aca="false">IF(C1274="","",IF(P1274="","NJ INCONNU",INDEX('CARNET DE SOUDURE'!$AQ$7:$AQ$3006,P1274)))</f>
        <v>À SOUDER</v>
      </c>
      <c r="H1274" s="82" t="str">
        <f aca="false">IF(C1274="","",IF(G1274="ACCEPTÉ","OUI","NON"))</f>
        <v>NON</v>
      </c>
      <c r="I1274" s="83"/>
      <c r="J1274" s="80"/>
      <c r="K1274" s="81"/>
      <c r="L1274" s="81"/>
      <c r="M1274" s="81"/>
      <c r="N1274" s="84" t="str">
        <f aca="false">IF(C1274="","",IF(P1274="","NJ INCONNU",IF(I1274="",IF(H1274="OUI","À ENROBER",IF(G1274="À SOUDER","NON SOUDÉ","EN ATTENTE RT")),IF(L1274="R","À REPRENDRE",IF(H1274&lt;&gt;"OUI","⚠ ENROBÉ AVANT ACCEPTATION RT","ENROBÉ")))))</f>
        <v>NON SOUDÉ</v>
      </c>
      <c r="O1274" s="80"/>
      <c r="P1274" s="82" t="n">
        <f aca="false">IF(C1274="","",IFERROR(MATCH(Q1274,'CARNET DE SOUDURE'!$AW$7:$AW$3006,0),""))</f>
        <v>1268</v>
      </c>
      <c r="Q1274" s="82" t="str">
        <f aca="false">IF(C1274="","",B1274&amp;"|"&amp;C1274)</f>
        <v>MFD-ISW → MFD-CPF|JN°1079</v>
      </c>
    </row>
    <row r="1275" customFormat="false" ht="74.6" hidden="false" customHeight="false" outlineLevel="0" collapsed="false">
      <c r="A1275" s="82" t="n">
        <f aca="false">IF(C1275="","",ROW()-6)</f>
        <v>1269</v>
      </c>
      <c r="B1275" s="80" t="s">
        <v>110</v>
      </c>
      <c r="C1275" s="113" t="s">
        <v>1531</v>
      </c>
      <c r="D1275" s="82" t="str">
        <f aca="false">IF(OR(C1275="",P1275=""),"",INDEX('CARNET DE SOUDURE'!$D$7:$D$3006,P1275)&amp;"")</f>
        <v>10</v>
      </c>
      <c r="E1275" s="114" t="n">
        <f aca="false">IF(OR(C1275="",P1275=""),"",IF(INDEX('CARNET DE SOUDURE'!$U$7:$U$3006,P1275)="","",INDEX('CARNET DE SOUDURE'!$U$7:$U$3006,P1275)))</f>
        <v>46272</v>
      </c>
      <c r="F1275" s="82" t="str">
        <f aca="false">IF(OR(C1275="",P1275=""),"",INDEX('CARNET DE SOUDURE'!$AP$7:$AP$3006,P1275))</f>
        <v>A</v>
      </c>
      <c r="G1275" s="82" t="str">
        <f aca="false">IF(C1275="","",IF(P1275="","NJ INCONNU",INDEX('CARNET DE SOUDURE'!$AQ$7:$AQ$3006,P1275)))</f>
        <v>ACCEPTÉ</v>
      </c>
      <c r="H1275" s="82" t="str">
        <f aca="false">IF(C1275="","",IF(G1275="ACCEPTÉ","OUI","NON"))</f>
        <v>OUI</v>
      </c>
      <c r="I1275" s="83"/>
      <c r="J1275" s="80"/>
      <c r="K1275" s="81"/>
      <c r="L1275" s="81"/>
      <c r="M1275" s="81"/>
      <c r="N1275" s="84" t="str">
        <f aca="false">IF(C1275="","",IF(P1275="","NJ INCONNU",IF(I1275="",IF(H1275="OUI","À ENROBER",IF(G1275="À SOUDER","NON SOUDÉ","EN ATTENTE RT")),IF(L1275="R","À REPRENDRE",IF(H1275&lt;&gt;"OUI","⚠ ENROBÉ AVANT ACCEPTATION RT","ENROBÉ")))))</f>
        <v>À ENROBER</v>
      </c>
      <c r="O1275" s="80"/>
      <c r="P1275" s="82" t="n">
        <f aca="false">IF(C1275="","",IFERROR(MATCH(Q1275,'CARNET DE SOUDURE'!$AW$7:$AW$3006,0),""))</f>
        <v>1269</v>
      </c>
      <c r="Q1275" s="82" t="str">
        <f aca="false">IF(C1275="","",B1275&amp;"|"&amp;C1275)</f>
        <v>MFD-ISW → MFD-CPF|DJ°312</v>
      </c>
    </row>
    <row r="1276" customFormat="false" ht="74.6" hidden="false" customHeight="false" outlineLevel="0" collapsed="false">
      <c r="A1276" s="82" t="n">
        <f aca="false">IF(C1276="","",ROW()-6)</f>
        <v>1270</v>
      </c>
      <c r="B1276" s="80" t="s">
        <v>110</v>
      </c>
      <c r="C1276" s="113" t="s">
        <v>1532</v>
      </c>
      <c r="D1276" s="82" t="str">
        <f aca="false">IF(OR(C1276="",P1276=""),"",INDEX('CARNET DE SOUDURE'!$D$7:$D$3006,P1276)&amp;"")</f>
        <v>10</v>
      </c>
      <c r="E1276" s="114" t="n">
        <f aca="false">IF(OR(C1276="",P1276=""),"",IF(INDEX('CARNET DE SOUDURE'!$U$7:$U$3006,P1276)="","",INDEX('CARNET DE SOUDURE'!$U$7:$U$3006,P1276)))</f>
        <v>46278</v>
      </c>
      <c r="F1276" s="82" t="str">
        <f aca="false">IF(OR(C1276="",P1276=""),"",INDEX('CARNET DE SOUDURE'!$AP$7:$AP$3006,P1276))</f>
        <v/>
      </c>
      <c r="G1276" s="82" t="str">
        <f aca="false">IF(C1276="","",IF(P1276="","NJ INCONNU",INDEX('CARNET DE SOUDURE'!$AQ$7:$AQ$3006,P1276)))</f>
        <v>À RADIOGRAPHIER</v>
      </c>
      <c r="H1276" s="82" t="str">
        <f aca="false">IF(C1276="","",IF(G1276="ACCEPTÉ","OUI","NON"))</f>
        <v>NON</v>
      </c>
      <c r="I1276" s="83"/>
      <c r="J1276" s="80"/>
      <c r="K1276" s="81"/>
      <c r="L1276" s="81"/>
      <c r="M1276" s="81"/>
      <c r="N1276" s="84" t="str">
        <f aca="false">IF(C1276="","",IF(P1276="","NJ INCONNU",IF(I1276="",IF(H1276="OUI","À ENROBER",IF(G1276="À SOUDER","NON SOUDÉ","EN ATTENTE RT")),IF(L1276="R","À REPRENDRE",IF(H1276&lt;&gt;"OUI","⚠ ENROBÉ AVANT ACCEPTATION RT","ENROBÉ")))))</f>
        <v>EN ATTENTE RT</v>
      </c>
      <c r="O1276" s="80"/>
      <c r="P1276" s="82" t="n">
        <f aca="false">IF(C1276="","",IFERROR(MATCH(Q1276,'CARNET DE SOUDURE'!$AW$7:$AW$3006,0),""))</f>
        <v>1270</v>
      </c>
      <c r="Q1276" s="82" t="str">
        <f aca="false">IF(C1276="","",B1276&amp;"|"&amp;C1276)</f>
        <v>MFD-ISW → MFD-CPF|JN°1080</v>
      </c>
    </row>
    <row r="1277" customFormat="false" ht="74.6" hidden="false" customHeight="false" outlineLevel="0" collapsed="false">
      <c r="A1277" s="82" t="n">
        <f aca="false">IF(C1277="","",ROW()-6)</f>
        <v>1271</v>
      </c>
      <c r="B1277" s="80" t="s">
        <v>110</v>
      </c>
      <c r="C1277" s="113" t="s">
        <v>1533</v>
      </c>
      <c r="D1277" s="82" t="str">
        <f aca="false">IF(OR(C1277="",P1277=""),"",INDEX('CARNET DE SOUDURE'!$D$7:$D$3006,P1277)&amp;"")</f>
        <v>10</v>
      </c>
      <c r="E1277" s="114" t="n">
        <f aca="false">IF(OR(C1277="",P1277=""),"",IF(INDEX('CARNET DE SOUDURE'!$U$7:$U$3006,P1277)="","",INDEX('CARNET DE SOUDURE'!$U$7:$U$3006,P1277)))</f>
        <v>46272</v>
      </c>
      <c r="F1277" s="82" t="str">
        <f aca="false">IF(OR(C1277="",P1277=""),"",INDEX('CARNET DE SOUDURE'!$AP$7:$AP$3006,P1277))</f>
        <v>A</v>
      </c>
      <c r="G1277" s="82" t="str">
        <f aca="false">IF(C1277="","",IF(P1277="","NJ INCONNU",INDEX('CARNET DE SOUDURE'!$AQ$7:$AQ$3006,P1277)))</f>
        <v>ACCEPTÉ</v>
      </c>
      <c r="H1277" s="82" t="str">
        <f aca="false">IF(C1277="","",IF(G1277="ACCEPTÉ","OUI","NON"))</f>
        <v>OUI</v>
      </c>
      <c r="I1277" s="83"/>
      <c r="J1277" s="80"/>
      <c r="K1277" s="81"/>
      <c r="L1277" s="81"/>
      <c r="M1277" s="81"/>
      <c r="N1277" s="84" t="str">
        <f aca="false">IF(C1277="","",IF(P1277="","NJ INCONNU",IF(I1277="",IF(H1277="OUI","À ENROBER",IF(G1277="À SOUDER","NON SOUDÉ","EN ATTENTE RT")),IF(L1277="R","À REPRENDRE",IF(H1277&lt;&gt;"OUI","⚠ ENROBÉ AVANT ACCEPTATION RT","ENROBÉ")))))</f>
        <v>À ENROBER</v>
      </c>
      <c r="O1277" s="80"/>
      <c r="P1277" s="82" t="n">
        <f aca="false">IF(C1277="","",IFERROR(MATCH(Q1277,'CARNET DE SOUDURE'!$AW$7:$AW$3006,0),""))</f>
        <v>1271</v>
      </c>
      <c r="Q1277" s="82" t="str">
        <f aca="false">IF(C1277="","",B1277&amp;"|"&amp;C1277)</f>
        <v>MFD-ISW → MFD-CPF|DJ°310</v>
      </c>
    </row>
    <row r="1278" customFormat="false" ht="74.6" hidden="false" customHeight="false" outlineLevel="0" collapsed="false">
      <c r="A1278" s="82" t="n">
        <f aca="false">IF(C1278="","",ROW()-6)</f>
        <v>1272</v>
      </c>
      <c r="B1278" s="80" t="s">
        <v>110</v>
      </c>
      <c r="C1278" s="113" t="s">
        <v>1534</v>
      </c>
      <c r="D1278" s="82" t="str">
        <f aca="false">IF(OR(C1278="",P1278=""),"",INDEX('CARNET DE SOUDURE'!$D$7:$D$3006,P1278)&amp;"")</f>
        <v>10</v>
      </c>
      <c r="E1278" s="114" t="n">
        <f aca="false">IF(OR(C1278="",P1278=""),"",IF(INDEX('CARNET DE SOUDURE'!$U$7:$U$3006,P1278)="","",INDEX('CARNET DE SOUDURE'!$U$7:$U$3006,P1278)))</f>
        <v>46278</v>
      </c>
      <c r="F1278" s="82" t="str">
        <f aca="false">IF(OR(C1278="",P1278=""),"",INDEX('CARNET DE SOUDURE'!$AP$7:$AP$3006,P1278))</f>
        <v/>
      </c>
      <c r="G1278" s="82" t="str">
        <f aca="false">IF(C1278="","",IF(P1278="","NJ INCONNU",INDEX('CARNET DE SOUDURE'!$AQ$7:$AQ$3006,P1278)))</f>
        <v>À RADIOGRAPHIER</v>
      </c>
      <c r="H1278" s="82" t="str">
        <f aca="false">IF(C1278="","",IF(G1278="ACCEPTÉ","OUI","NON"))</f>
        <v>NON</v>
      </c>
      <c r="I1278" s="83"/>
      <c r="J1278" s="80"/>
      <c r="K1278" s="81"/>
      <c r="L1278" s="81"/>
      <c r="M1278" s="81"/>
      <c r="N1278" s="84" t="str">
        <f aca="false">IF(C1278="","",IF(P1278="","NJ INCONNU",IF(I1278="",IF(H1278="OUI","À ENROBER",IF(G1278="À SOUDER","NON SOUDÉ","EN ATTENTE RT")),IF(L1278="R","À REPRENDRE",IF(H1278&lt;&gt;"OUI","⚠ ENROBÉ AVANT ACCEPTATION RT","ENROBÉ")))))</f>
        <v>EN ATTENTE RT</v>
      </c>
      <c r="O1278" s="80"/>
      <c r="P1278" s="82" t="n">
        <f aca="false">IF(C1278="","",IFERROR(MATCH(Q1278,'CARNET DE SOUDURE'!$AW$7:$AW$3006,0),""))</f>
        <v>1272</v>
      </c>
      <c r="Q1278" s="82" t="str">
        <f aca="false">IF(C1278="","",B1278&amp;"|"&amp;C1278)</f>
        <v>MFD-ISW → MFD-CPF|JN°1081</v>
      </c>
    </row>
    <row r="1279" customFormat="false" ht="74.6" hidden="false" customHeight="false" outlineLevel="0" collapsed="false">
      <c r="A1279" s="82" t="n">
        <f aca="false">IF(C1279="","",ROW()-6)</f>
        <v>1273</v>
      </c>
      <c r="B1279" s="80" t="s">
        <v>110</v>
      </c>
      <c r="C1279" s="113" t="s">
        <v>1535</v>
      </c>
      <c r="D1279" s="82" t="str">
        <f aca="false">IF(OR(C1279="",P1279=""),"",INDEX('CARNET DE SOUDURE'!$D$7:$D$3006,P1279)&amp;"")</f>
        <v>10</v>
      </c>
      <c r="E1279" s="114" t="n">
        <f aca="false">IF(OR(C1279="",P1279=""),"",IF(INDEX('CARNET DE SOUDURE'!$U$7:$U$3006,P1279)="","",INDEX('CARNET DE SOUDURE'!$U$7:$U$3006,P1279)))</f>
        <v>46271</v>
      </c>
      <c r="F1279" s="82" t="str">
        <f aca="false">IF(OR(C1279="",P1279=""),"",INDEX('CARNET DE SOUDURE'!$AP$7:$AP$3006,P1279))</f>
        <v>A</v>
      </c>
      <c r="G1279" s="82" t="str">
        <f aca="false">IF(C1279="","",IF(P1279="","NJ INCONNU",INDEX('CARNET DE SOUDURE'!$AQ$7:$AQ$3006,P1279)))</f>
        <v>ACCEPTÉ</v>
      </c>
      <c r="H1279" s="82" t="str">
        <f aca="false">IF(C1279="","",IF(G1279="ACCEPTÉ","OUI","NON"))</f>
        <v>OUI</v>
      </c>
      <c r="I1279" s="83"/>
      <c r="J1279" s="80"/>
      <c r="K1279" s="81"/>
      <c r="L1279" s="81"/>
      <c r="M1279" s="81"/>
      <c r="N1279" s="84" t="str">
        <f aca="false">IF(C1279="","",IF(P1279="","NJ INCONNU",IF(I1279="",IF(H1279="OUI","À ENROBER",IF(G1279="À SOUDER","NON SOUDÉ","EN ATTENTE RT")),IF(L1279="R","À REPRENDRE",IF(H1279&lt;&gt;"OUI","⚠ ENROBÉ AVANT ACCEPTATION RT","ENROBÉ")))))</f>
        <v>À ENROBER</v>
      </c>
      <c r="O1279" s="80"/>
      <c r="P1279" s="82" t="n">
        <f aca="false">IF(C1279="","",IFERROR(MATCH(Q1279,'CARNET DE SOUDURE'!$AW$7:$AW$3006,0),""))</f>
        <v>1273</v>
      </c>
      <c r="Q1279" s="82" t="str">
        <f aca="false">IF(C1279="","",B1279&amp;"|"&amp;C1279)</f>
        <v>MFD-ISW → MFD-CPF|DJ°304</v>
      </c>
    </row>
    <row r="1280" customFormat="false" ht="74.6" hidden="false" customHeight="false" outlineLevel="0" collapsed="false">
      <c r="A1280" s="82" t="n">
        <f aca="false">IF(C1280="","",ROW()-6)</f>
        <v>1274</v>
      </c>
      <c r="B1280" s="80" t="s">
        <v>110</v>
      </c>
      <c r="C1280" s="113" t="s">
        <v>1537</v>
      </c>
      <c r="D1280" s="82" t="str">
        <f aca="false">IF(OR(C1280="",P1280=""),"",INDEX('CARNET DE SOUDURE'!$D$7:$D$3006,P1280)&amp;"")</f>
        <v>10</v>
      </c>
      <c r="E1280" s="114" t="n">
        <f aca="false">IF(OR(C1280="",P1280=""),"",IF(INDEX('CARNET DE SOUDURE'!$U$7:$U$3006,P1280)="","",INDEX('CARNET DE SOUDURE'!$U$7:$U$3006,P1280)))</f>
        <v>46278</v>
      </c>
      <c r="F1280" s="82" t="str">
        <f aca="false">IF(OR(C1280="",P1280=""),"",INDEX('CARNET DE SOUDURE'!$AP$7:$AP$3006,P1280))</f>
        <v>A</v>
      </c>
      <c r="G1280" s="82" t="str">
        <f aca="false">IF(C1280="","",IF(P1280="","NJ INCONNU",INDEX('CARNET DE SOUDURE'!$AQ$7:$AQ$3006,P1280)))</f>
        <v>ACCEPTÉ</v>
      </c>
      <c r="H1280" s="82" t="str">
        <f aca="false">IF(C1280="","",IF(G1280="ACCEPTÉ","OUI","NON"))</f>
        <v>OUI</v>
      </c>
      <c r="I1280" s="83"/>
      <c r="J1280" s="80"/>
      <c r="K1280" s="81"/>
      <c r="L1280" s="81"/>
      <c r="M1280" s="81"/>
      <c r="N1280" s="84" t="str">
        <f aca="false">IF(C1280="","",IF(P1280="","NJ INCONNU",IF(I1280="",IF(H1280="OUI","À ENROBER",IF(G1280="À SOUDER","NON SOUDÉ","EN ATTENTE RT")),IF(L1280="R","À REPRENDRE",IF(H1280&lt;&gt;"OUI","⚠ ENROBÉ AVANT ACCEPTATION RT","ENROBÉ")))))</f>
        <v>À ENROBER</v>
      </c>
      <c r="O1280" s="80"/>
      <c r="P1280" s="82" t="n">
        <f aca="false">IF(C1280="","",IFERROR(MATCH(Q1280,'CARNET DE SOUDURE'!$AW$7:$AW$3006,0),""))</f>
        <v>1274</v>
      </c>
      <c r="Q1280" s="82" t="str">
        <f aca="false">IF(C1280="","",B1280&amp;"|"&amp;C1280)</f>
        <v>MFD-ISW → MFD-CPF|JN°1082</v>
      </c>
    </row>
    <row r="1281" customFormat="false" ht="74.6" hidden="false" customHeight="false" outlineLevel="0" collapsed="false">
      <c r="A1281" s="82" t="n">
        <f aca="false">IF(C1281="","",ROW()-6)</f>
        <v>1275</v>
      </c>
      <c r="B1281" s="80" t="s">
        <v>110</v>
      </c>
      <c r="C1281" s="113" t="s">
        <v>1539</v>
      </c>
      <c r="D1281" s="82" t="str">
        <f aca="false">IF(OR(C1281="",P1281=""),"",INDEX('CARNET DE SOUDURE'!$D$7:$D$3006,P1281)&amp;"")</f>
        <v>10</v>
      </c>
      <c r="E1281" s="114" t="n">
        <f aca="false">IF(OR(C1281="",P1281=""),"",IF(INDEX('CARNET DE SOUDURE'!$U$7:$U$3006,P1281)="","",INDEX('CARNET DE SOUDURE'!$U$7:$U$3006,P1281)))</f>
        <v>46271</v>
      </c>
      <c r="F1281" s="82" t="str">
        <f aca="false">IF(OR(C1281="",P1281=""),"",INDEX('CARNET DE SOUDURE'!$AP$7:$AP$3006,P1281))</f>
        <v>A</v>
      </c>
      <c r="G1281" s="82" t="str">
        <f aca="false">IF(C1281="","",IF(P1281="","NJ INCONNU",INDEX('CARNET DE SOUDURE'!$AQ$7:$AQ$3006,P1281)))</f>
        <v>ACCEPTÉ</v>
      </c>
      <c r="H1281" s="82" t="str">
        <f aca="false">IF(C1281="","",IF(G1281="ACCEPTÉ","OUI","NON"))</f>
        <v>OUI</v>
      </c>
      <c r="I1281" s="83"/>
      <c r="J1281" s="80"/>
      <c r="K1281" s="81"/>
      <c r="L1281" s="81"/>
      <c r="M1281" s="81"/>
      <c r="N1281" s="84" t="str">
        <f aca="false">IF(C1281="","",IF(P1281="","NJ INCONNU",IF(I1281="",IF(H1281="OUI","À ENROBER",IF(G1281="À SOUDER","NON SOUDÉ","EN ATTENTE RT")),IF(L1281="R","À REPRENDRE",IF(H1281&lt;&gt;"OUI","⚠ ENROBÉ AVANT ACCEPTATION RT","ENROBÉ")))))</f>
        <v>À ENROBER</v>
      </c>
      <c r="O1281" s="80"/>
      <c r="P1281" s="82" t="n">
        <f aca="false">IF(C1281="","",IFERROR(MATCH(Q1281,'CARNET DE SOUDURE'!$AW$7:$AW$3006,0),""))</f>
        <v>1275</v>
      </c>
      <c r="Q1281" s="82" t="str">
        <f aca="false">IF(C1281="","",B1281&amp;"|"&amp;C1281)</f>
        <v>MFD-ISW → MFD-CPF|DJ°305</v>
      </c>
    </row>
    <row r="1282" customFormat="false" ht="74.6" hidden="false" customHeight="false" outlineLevel="0" collapsed="false">
      <c r="A1282" s="82" t="n">
        <f aca="false">IF(C1282="","",ROW()-6)</f>
        <v>1276</v>
      </c>
      <c r="B1282" s="80" t="s">
        <v>110</v>
      </c>
      <c r="C1282" s="113" t="s">
        <v>1540</v>
      </c>
      <c r="D1282" s="82" t="str">
        <f aca="false">IF(OR(C1282="",P1282=""),"",INDEX('CARNET DE SOUDURE'!$D$7:$D$3006,P1282)&amp;"")</f>
        <v>10</v>
      </c>
      <c r="E1282" s="114" t="n">
        <f aca="false">IF(OR(C1282="",P1282=""),"",IF(INDEX('CARNET DE SOUDURE'!$U$7:$U$3006,P1282)="","",INDEX('CARNET DE SOUDURE'!$U$7:$U$3006,P1282)))</f>
        <v>46278</v>
      </c>
      <c r="F1282" s="82" t="str">
        <f aca="false">IF(OR(C1282="",P1282=""),"",INDEX('CARNET DE SOUDURE'!$AP$7:$AP$3006,P1282))</f>
        <v>A</v>
      </c>
      <c r="G1282" s="82" t="str">
        <f aca="false">IF(C1282="","",IF(P1282="","NJ INCONNU",INDEX('CARNET DE SOUDURE'!$AQ$7:$AQ$3006,P1282)))</f>
        <v>ACCEPTÉ</v>
      </c>
      <c r="H1282" s="82" t="str">
        <f aca="false">IF(C1282="","",IF(G1282="ACCEPTÉ","OUI","NON"))</f>
        <v>OUI</v>
      </c>
      <c r="I1282" s="83"/>
      <c r="J1282" s="80"/>
      <c r="K1282" s="81"/>
      <c r="L1282" s="81"/>
      <c r="M1282" s="81"/>
      <c r="N1282" s="84" t="str">
        <f aca="false">IF(C1282="","",IF(P1282="","NJ INCONNU",IF(I1282="",IF(H1282="OUI","À ENROBER",IF(G1282="À SOUDER","NON SOUDÉ","EN ATTENTE RT")),IF(L1282="R","À REPRENDRE",IF(H1282&lt;&gt;"OUI","⚠ ENROBÉ AVANT ACCEPTATION RT","ENROBÉ")))))</f>
        <v>À ENROBER</v>
      </c>
      <c r="O1282" s="80"/>
      <c r="P1282" s="82" t="n">
        <f aca="false">IF(C1282="","",IFERROR(MATCH(Q1282,'CARNET DE SOUDURE'!$AW$7:$AW$3006,0),""))</f>
        <v>1276</v>
      </c>
      <c r="Q1282" s="82" t="str">
        <f aca="false">IF(C1282="","",B1282&amp;"|"&amp;C1282)</f>
        <v>MFD-ISW → MFD-CPF|JN°1083</v>
      </c>
    </row>
    <row r="1283" customFormat="false" ht="74.6" hidden="false" customHeight="false" outlineLevel="0" collapsed="false">
      <c r="A1283" s="82" t="n">
        <f aca="false">IF(C1283="","",ROW()-6)</f>
        <v>1277</v>
      </c>
      <c r="B1283" s="80" t="s">
        <v>110</v>
      </c>
      <c r="C1283" s="113" t="s">
        <v>1541</v>
      </c>
      <c r="D1283" s="82" t="str">
        <f aca="false">IF(OR(C1283="",P1283=""),"",INDEX('CARNET DE SOUDURE'!$D$7:$D$3006,P1283)&amp;"")</f>
        <v>10</v>
      </c>
      <c r="E1283" s="114" t="n">
        <f aca="false">IF(OR(C1283="",P1283=""),"",IF(INDEX('CARNET DE SOUDURE'!$U$7:$U$3006,P1283)="","",INDEX('CARNET DE SOUDURE'!$U$7:$U$3006,P1283)))</f>
        <v>46271</v>
      </c>
      <c r="F1283" s="82" t="str">
        <f aca="false">IF(OR(C1283="",P1283=""),"",INDEX('CARNET DE SOUDURE'!$AP$7:$AP$3006,P1283))</f>
        <v>A</v>
      </c>
      <c r="G1283" s="82" t="str">
        <f aca="false">IF(C1283="","",IF(P1283="","NJ INCONNU",INDEX('CARNET DE SOUDURE'!$AQ$7:$AQ$3006,P1283)))</f>
        <v>ACCEPTÉ</v>
      </c>
      <c r="H1283" s="82" t="str">
        <f aca="false">IF(C1283="","",IF(G1283="ACCEPTÉ","OUI","NON"))</f>
        <v>OUI</v>
      </c>
      <c r="I1283" s="83"/>
      <c r="J1283" s="80"/>
      <c r="K1283" s="81"/>
      <c r="L1283" s="81"/>
      <c r="M1283" s="81"/>
      <c r="N1283" s="84" t="str">
        <f aca="false">IF(C1283="","",IF(P1283="","NJ INCONNU",IF(I1283="",IF(H1283="OUI","À ENROBER",IF(G1283="À SOUDER","NON SOUDÉ","EN ATTENTE RT")),IF(L1283="R","À REPRENDRE",IF(H1283&lt;&gt;"OUI","⚠ ENROBÉ AVANT ACCEPTATION RT","ENROBÉ")))))</f>
        <v>À ENROBER</v>
      </c>
      <c r="O1283" s="80"/>
      <c r="P1283" s="82" t="n">
        <f aca="false">IF(C1283="","",IFERROR(MATCH(Q1283,'CARNET DE SOUDURE'!$AW$7:$AW$3006,0),""))</f>
        <v>1277</v>
      </c>
      <c r="Q1283" s="82" t="str">
        <f aca="false">IF(C1283="","",B1283&amp;"|"&amp;C1283)</f>
        <v>MFD-ISW → MFD-CPF|DJ°296</v>
      </c>
    </row>
    <row r="1284" customFormat="false" ht="74.6" hidden="false" customHeight="false" outlineLevel="0" collapsed="false">
      <c r="A1284" s="82" t="n">
        <f aca="false">IF(C1284="","",ROW()-6)</f>
        <v>1278</v>
      </c>
      <c r="B1284" s="80" t="s">
        <v>110</v>
      </c>
      <c r="C1284" s="113" t="s">
        <v>1543</v>
      </c>
      <c r="D1284" s="82" t="str">
        <f aca="false">IF(OR(C1284="",P1284=""),"",INDEX('CARNET DE SOUDURE'!$D$7:$D$3006,P1284)&amp;"")</f>
        <v>10</v>
      </c>
      <c r="E1284" s="114" t="n">
        <f aca="false">IF(OR(C1284="",P1284=""),"",IF(INDEX('CARNET DE SOUDURE'!$U$7:$U$3006,P1284)="","",INDEX('CARNET DE SOUDURE'!$U$7:$U$3006,P1284)))</f>
        <v>46278</v>
      </c>
      <c r="F1284" s="82" t="str">
        <f aca="false">IF(OR(C1284="",P1284=""),"",INDEX('CARNET DE SOUDURE'!$AP$7:$AP$3006,P1284))</f>
        <v>A</v>
      </c>
      <c r="G1284" s="82" t="str">
        <f aca="false">IF(C1284="","",IF(P1284="","NJ INCONNU",INDEX('CARNET DE SOUDURE'!$AQ$7:$AQ$3006,P1284)))</f>
        <v>ACCEPTÉ</v>
      </c>
      <c r="H1284" s="82" t="str">
        <f aca="false">IF(C1284="","",IF(G1284="ACCEPTÉ","OUI","NON"))</f>
        <v>OUI</v>
      </c>
      <c r="I1284" s="83"/>
      <c r="J1284" s="80"/>
      <c r="K1284" s="81"/>
      <c r="L1284" s="81"/>
      <c r="M1284" s="81"/>
      <c r="N1284" s="84" t="str">
        <f aca="false">IF(C1284="","",IF(P1284="","NJ INCONNU",IF(I1284="",IF(H1284="OUI","À ENROBER",IF(G1284="À SOUDER","NON SOUDÉ","EN ATTENTE RT")),IF(L1284="R","À REPRENDRE",IF(H1284&lt;&gt;"OUI","⚠ ENROBÉ AVANT ACCEPTATION RT","ENROBÉ")))))</f>
        <v>À ENROBER</v>
      </c>
      <c r="O1284" s="80"/>
      <c r="P1284" s="82" t="n">
        <f aca="false">IF(C1284="","",IFERROR(MATCH(Q1284,'CARNET DE SOUDURE'!$AW$7:$AW$3006,0),""))</f>
        <v>1278</v>
      </c>
      <c r="Q1284" s="82" t="str">
        <f aca="false">IF(C1284="","",B1284&amp;"|"&amp;C1284)</f>
        <v>MFD-ISW → MFD-CPF|JN°1084</v>
      </c>
    </row>
    <row r="1285" customFormat="false" ht="74.6" hidden="false" customHeight="false" outlineLevel="0" collapsed="false">
      <c r="A1285" s="82" t="n">
        <f aca="false">IF(C1285="","",ROW()-6)</f>
        <v>1279</v>
      </c>
      <c r="B1285" s="80" t="s">
        <v>110</v>
      </c>
      <c r="C1285" s="113" t="s">
        <v>1544</v>
      </c>
      <c r="D1285" s="82" t="str">
        <f aca="false">IF(OR(C1285="",P1285=""),"",INDEX('CARNET DE SOUDURE'!$D$7:$D$3006,P1285)&amp;"")</f>
        <v>10</v>
      </c>
      <c r="E1285" s="114" t="n">
        <f aca="false">IF(OR(C1285="",P1285=""),"",IF(INDEX('CARNET DE SOUDURE'!$U$7:$U$3006,P1285)="","",INDEX('CARNET DE SOUDURE'!$U$7:$U$3006,P1285)))</f>
        <v>46272</v>
      </c>
      <c r="F1285" s="82" t="str">
        <f aca="false">IF(OR(C1285="",P1285=""),"",INDEX('CARNET DE SOUDURE'!$AP$7:$AP$3006,P1285))</f>
        <v>A</v>
      </c>
      <c r="G1285" s="82" t="str">
        <f aca="false">IF(C1285="","",IF(P1285="","NJ INCONNU",INDEX('CARNET DE SOUDURE'!$AQ$7:$AQ$3006,P1285)))</f>
        <v>ACCEPTÉ</v>
      </c>
      <c r="H1285" s="82" t="str">
        <f aca="false">IF(C1285="","",IF(G1285="ACCEPTÉ","OUI","NON"))</f>
        <v>OUI</v>
      </c>
      <c r="I1285" s="83"/>
      <c r="J1285" s="80"/>
      <c r="K1285" s="81"/>
      <c r="L1285" s="81"/>
      <c r="M1285" s="81"/>
      <c r="N1285" s="84" t="str">
        <f aca="false">IF(C1285="","",IF(P1285="","NJ INCONNU",IF(I1285="",IF(H1285="OUI","À ENROBER",IF(G1285="À SOUDER","NON SOUDÉ","EN ATTENTE RT")),IF(L1285="R","À REPRENDRE",IF(H1285&lt;&gt;"OUI","⚠ ENROBÉ AVANT ACCEPTATION RT","ENROBÉ")))))</f>
        <v>À ENROBER</v>
      </c>
      <c r="O1285" s="80"/>
      <c r="P1285" s="82" t="n">
        <f aca="false">IF(C1285="","",IFERROR(MATCH(Q1285,'CARNET DE SOUDURE'!$AW$7:$AW$3006,0),""))</f>
        <v>1279</v>
      </c>
      <c r="Q1285" s="82" t="str">
        <f aca="false">IF(C1285="","",B1285&amp;"|"&amp;C1285)</f>
        <v>MFD-ISW → MFD-CPF|DJ°317</v>
      </c>
    </row>
    <row r="1286" customFormat="false" ht="74.6" hidden="false" customHeight="false" outlineLevel="0" collapsed="false">
      <c r="A1286" s="82" t="n">
        <f aca="false">IF(C1286="","",ROW()-6)</f>
        <v>1280</v>
      </c>
      <c r="B1286" s="80" t="s">
        <v>110</v>
      </c>
      <c r="C1286" s="113" t="s">
        <v>1545</v>
      </c>
      <c r="D1286" s="82" t="str">
        <f aca="false">IF(OR(C1286="",P1286=""),"",INDEX('CARNET DE SOUDURE'!$D$7:$D$3006,P1286)&amp;"")</f>
        <v>10</v>
      </c>
      <c r="E1286" s="114" t="n">
        <f aca="false">IF(OR(C1286="",P1286=""),"",IF(INDEX('CARNET DE SOUDURE'!$U$7:$U$3006,P1286)="","",INDEX('CARNET DE SOUDURE'!$U$7:$U$3006,P1286)))</f>
        <v>46278</v>
      </c>
      <c r="F1286" s="82" t="str">
        <f aca="false">IF(OR(C1286="",P1286=""),"",INDEX('CARNET DE SOUDURE'!$AP$7:$AP$3006,P1286))</f>
        <v>R</v>
      </c>
      <c r="G1286" s="82" t="str">
        <f aca="false">IF(C1286="","",IF(P1286="","NJ INCONNU",INDEX('CARNET DE SOUDURE'!$AQ$7:$AQ$3006,P1286)))</f>
        <v>À RÉPARER</v>
      </c>
      <c r="H1286" s="82" t="str">
        <f aca="false">IF(C1286="","",IF(G1286="ACCEPTÉ","OUI","NON"))</f>
        <v>NON</v>
      </c>
      <c r="I1286" s="83"/>
      <c r="J1286" s="80"/>
      <c r="K1286" s="81"/>
      <c r="L1286" s="81"/>
      <c r="M1286" s="81"/>
      <c r="N1286" s="84" t="str">
        <f aca="false">IF(C1286="","",IF(P1286="","NJ INCONNU",IF(I1286="",IF(H1286="OUI","À ENROBER",IF(G1286="À SOUDER","NON SOUDÉ","EN ATTENTE RT")),IF(L1286="R","À REPRENDRE",IF(H1286&lt;&gt;"OUI","⚠ ENROBÉ AVANT ACCEPTATION RT","ENROBÉ")))))</f>
        <v>EN ATTENTE RT</v>
      </c>
      <c r="O1286" s="80"/>
      <c r="P1286" s="82" t="n">
        <f aca="false">IF(C1286="","",IFERROR(MATCH(Q1286,'CARNET DE SOUDURE'!$AW$7:$AW$3006,0),""))</f>
        <v>1280</v>
      </c>
      <c r="Q1286" s="82" t="str">
        <f aca="false">IF(C1286="","",B1286&amp;"|"&amp;C1286)</f>
        <v>MFD-ISW → MFD-CPF|JN°1085</v>
      </c>
    </row>
    <row r="1287" customFormat="false" ht="74.6" hidden="false" customHeight="false" outlineLevel="0" collapsed="false">
      <c r="A1287" s="82" t="n">
        <f aca="false">IF(C1287="","",ROW()-6)</f>
        <v>1281</v>
      </c>
      <c r="B1287" s="80" t="s">
        <v>110</v>
      </c>
      <c r="C1287" s="113" t="s">
        <v>1547</v>
      </c>
      <c r="D1287" s="82" t="str">
        <f aca="false">IF(OR(C1287="",P1287=""),"",INDEX('CARNET DE SOUDURE'!$D$7:$D$3006,P1287)&amp;"")</f>
        <v>10</v>
      </c>
      <c r="E1287" s="114" t="n">
        <f aca="false">IF(OR(C1287="",P1287=""),"",IF(INDEX('CARNET DE SOUDURE'!$U$7:$U$3006,P1287)="","",INDEX('CARNET DE SOUDURE'!$U$7:$U$3006,P1287)))</f>
        <v>46271</v>
      </c>
      <c r="F1287" s="82" t="str">
        <f aca="false">IF(OR(C1287="",P1287=""),"",INDEX('CARNET DE SOUDURE'!$AP$7:$AP$3006,P1287))</f>
        <v>A</v>
      </c>
      <c r="G1287" s="82" t="str">
        <f aca="false">IF(C1287="","",IF(P1287="","NJ INCONNU",INDEX('CARNET DE SOUDURE'!$AQ$7:$AQ$3006,P1287)))</f>
        <v>ACCEPTÉ</v>
      </c>
      <c r="H1287" s="82" t="str">
        <f aca="false">IF(C1287="","",IF(G1287="ACCEPTÉ","OUI","NON"))</f>
        <v>OUI</v>
      </c>
      <c r="I1287" s="83"/>
      <c r="J1287" s="80"/>
      <c r="K1287" s="81"/>
      <c r="L1287" s="81"/>
      <c r="M1287" s="81"/>
      <c r="N1287" s="84" t="str">
        <f aca="false">IF(C1287="","",IF(P1287="","NJ INCONNU",IF(I1287="",IF(H1287="OUI","À ENROBER",IF(G1287="À SOUDER","NON SOUDÉ","EN ATTENTE RT")),IF(L1287="R","À REPRENDRE",IF(H1287&lt;&gt;"OUI","⚠ ENROBÉ AVANT ACCEPTATION RT","ENROBÉ")))))</f>
        <v>À ENROBER</v>
      </c>
      <c r="O1287" s="80"/>
      <c r="P1287" s="82" t="n">
        <f aca="false">IF(C1287="","",IFERROR(MATCH(Q1287,'CARNET DE SOUDURE'!$AW$7:$AW$3006,0),""))</f>
        <v>1281</v>
      </c>
      <c r="Q1287" s="82" t="str">
        <f aca="false">IF(C1287="","",B1287&amp;"|"&amp;C1287)</f>
        <v>MFD-ISW → MFD-CPF|DJ°291</v>
      </c>
    </row>
    <row r="1288" customFormat="false" ht="74.6" hidden="false" customHeight="false" outlineLevel="0" collapsed="false">
      <c r="A1288" s="82" t="n">
        <f aca="false">IF(C1288="","",ROW()-6)</f>
        <v>1282</v>
      </c>
      <c r="B1288" s="80" t="s">
        <v>110</v>
      </c>
      <c r="C1288" s="113" t="s">
        <v>1548</v>
      </c>
      <c r="D1288" s="82" t="str">
        <f aca="false">IF(OR(C1288="",P1288=""),"",INDEX('CARNET DE SOUDURE'!$D$7:$D$3006,P1288)&amp;"")</f>
        <v>10</v>
      </c>
      <c r="E1288" s="114" t="n">
        <f aca="false">IF(OR(C1288="",P1288=""),"",IF(INDEX('CARNET DE SOUDURE'!$U$7:$U$3006,P1288)="","",INDEX('CARNET DE SOUDURE'!$U$7:$U$3006,P1288)))</f>
        <v>46278</v>
      </c>
      <c r="F1288" s="82" t="str">
        <f aca="false">IF(OR(C1288="",P1288=""),"",INDEX('CARNET DE SOUDURE'!$AP$7:$AP$3006,P1288))</f>
        <v>A</v>
      </c>
      <c r="G1288" s="82" t="str">
        <f aca="false">IF(C1288="","",IF(P1288="","NJ INCONNU",INDEX('CARNET DE SOUDURE'!$AQ$7:$AQ$3006,P1288)))</f>
        <v>ACCEPTÉ</v>
      </c>
      <c r="H1288" s="82" t="str">
        <f aca="false">IF(C1288="","",IF(G1288="ACCEPTÉ","OUI","NON"))</f>
        <v>OUI</v>
      </c>
      <c r="I1288" s="83"/>
      <c r="J1288" s="80"/>
      <c r="K1288" s="81"/>
      <c r="L1288" s="81"/>
      <c r="M1288" s="81"/>
      <c r="N1288" s="84" t="str">
        <f aca="false">IF(C1288="","",IF(P1288="","NJ INCONNU",IF(I1288="",IF(H1288="OUI","À ENROBER",IF(G1288="À SOUDER","NON SOUDÉ","EN ATTENTE RT")),IF(L1288="R","À REPRENDRE",IF(H1288&lt;&gt;"OUI","⚠ ENROBÉ AVANT ACCEPTATION RT","ENROBÉ")))))</f>
        <v>À ENROBER</v>
      </c>
      <c r="O1288" s="80"/>
      <c r="P1288" s="82" t="n">
        <f aca="false">IF(C1288="","",IFERROR(MATCH(Q1288,'CARNET DE SOUDURE'!$AW$7:$AW$3006,0),""))</f>
        <v>1282</v>
      </c>
      <c r="Q1288" s="82" t="str">
        <f aca="false">IF(C1288="","",B1288&amp;"|"&amp;C1288)</f>
        <v>MFD-ISW → MFD-CPF|JN°1086</v>
      </c>
    </row>
    <row r="1289" customFormat="false" ht="74.6" hidden="false" customHeight="false" outlineLevel="0" collapsed="false">
      <c r="A1289" s="82" t="n">
        <f aca="false">IF(C1289="","",ROW()-6)</f>
        <v>1283</v>
      </c>
      <c r="B1289" s="80" t="s">
        <v>110</v>
      </c>
      <c r="C1289" s="113" t="s">
        <v>1549</v>
      </c>
      <c r="D1289" s="82" t="str">
        <f aca="false">IF(OR(C1289="",P1289=""),"",INDEX('CARNET DE SOUDURE'!$D$7:$D$3006,P1289)&amp;"")</f>
        <v>10</v>
      </c>
      <c r="E1289" s="114" t="n">
        <f aca="false">IF(OR(C1289="",P1289=""),"",IF(INDEX('CARNET DE SOUDURE'!$U$7:$U$3006,P1289)="","",INDEX('CARNET DE SOUDURE'!$U$7:$U$3006,P1289)))</f>
        <v>46272</v>
      </c>
      <c r="F1289" s="82" t="str">
        <f aca="false">IF(OR(C1289="",P1289=""),"",INDEX('CARNET DE SOUDURE'!$AP$7:$AP$3006,P1289))</f>
        <v>A</v>
      </c>
      <c r="G1289" s="82" t="str">
        <f aca="false">IF(C1289="","",IF(P1289="","NJ INCONNU",INDEX('CARNET DE SOUDURE'!$AQ$7:$AQ$3006,P1289)))</f>
        <v>ACCEPTÉ</v>
      </c>
      <c r="H1289" s="82" t="str">
        <f aca="false">IF(C1289="","",IF(G1289="ACCEPTÉ","OUI","NON"))</f>
        <v>OUI</v>
      </c>
      <c r="I1289" s="83"/>
      <c r="J1289" s="80"/>
      <c r="K1289" s="81"/>
      <c r="L1289" s="81"/>
      <c r="M1289" s="81"/>
      <c r="N1289" s="84" t="str">
        <f aca="false">IF(C1289="","",IF(P1289="","NJ INCONNU",IF(I1289="",IF(H1289="OUI","À ENROBER",IF(G1289="À SOUDER","NON SOUDÉ","EN ATTENTE RT")),IF(L1289="R","À REPRENDRE",IF(H1289&lt;&gt;"OUI","⚠ ENROBÉ AVANT ACCEPTATION RT","ENROBÉ")))))</f>
        <v>À ENROBER</v>
      </c>
      <c r="O1289" s="80"/>
      <c r="P1289" s="82" t="n">
        <f aca="false">IF(C1289="","",IFERROR(MATCH(Q1289,'CARNET DE SOUDURE'!$AW$7:$AW$3006,0),""))</f>
        <v>1283</v>
      </c>
      <c r="Q1289" s="82" t="str">
        <f aca="false">IF(C1289="","",B1289&amp;"|"&amp;C1289)</f>
        <v>MFD-ISW → MFD-CPF|DJ°314</v>
      </c>
    </row>
    <row r="1290" customFormat="false" ht="74.6" hidden="false" customHeight="false" outlineLevel="0" collapsed="false">
      <c r="A1290" s="82" t="n">
        <f aca="false">IF(C1290="","",ROW()-6)</f>
        <v>1284</v>
      </c>
      <c r="B1290" s="80" t="s">
        <v>110</v>
      </c>
      <c r="C1290" s="113" t="s">
        <v>1550</v>
      </c>
      <c r="D1290" s="82" t="str">
        <f aca="false">IF(OR(C1290="",P1290=""),"",INDEX('CARNET DE SOUDURE'!$D$7:$D$3006,P1290)&amp;"")</f>
        <v>10</v>
      </c>
      <c r="E1290" s="114" t="n">
        <f aca="false">IF(OR(C1290="",P1290=""),"",IF(INDEX('CARNET DE SOUDURE'!$U$7:$U$3006,P1290)="","",INDEX('CARNET DE SOUDURE'!$U$7:$U$3006,P1290)))</f>
        <v>46278</v>
      </c>
      <c r="F1290" s="82" t="str">
        <f aca="false">IF(OR(C1290="",P1290=""),"",INDEX('CARNET DE SOUDURE'!$AP$7:$AP$3006,P1290))</f>
        <v>A</v>
      </c>
      <c r="G1290" s="82" t="str">
        <f aca="false">IF(C1290="","",IF(P1290="","NJ INCONNU",INDEX('CARNET DE SOUDURE'!$AQ$7:$AQ$3006,P1290)))</f>
        <v>ACCEPTÉ</v>
      </c>
      <c r="H1290" s="82" t="str">
        <f aca="false">IF(C1290="","",IF(G1290="ACCEPTÉ","OUI","NON"))</f>
        <v>OUI</v>
      </c>
      <c r="I1290" s="83"/>
      <c r="J1290" s="80"/>
      <c r="K1290" s="81"/>
      <c r="L1290" s="81"/>
      <c r="M1290" s="81"/>
      <c r="N1290" s="84" t="str">
        <f aca="false">IF(C1290="","",IF(P1290="","NJ INCONNU",IF(I1290="",IF(H1290="OUI","À ENROBER",IF(G1290="À SOUDER","NON SOUDÉ","EN ATTENTE RT")),IF(L1290="R","À REPRENDRE",IF(H1290&lt;&gt;"OUI","⚠ ENROBÉ AVANT ACCEPTATION RT","ENROBÉ")))))</f>
        <v>À ENROBER</v>
      </c>
      <c r="O1290" s="80"/>
      <c r="P1290" s="82" t="n">
        <f aca="false">IF(C1290="","",IFERROR(MATCH(Q1290,'CARNET DE SOUDURE'!$AW$7:$AW$3006,0),""))</f>
        <v>1284</v>
      </c>
      <c r="Q1290" s="82" t="str">
        <f aca="false">IF(C1290="","",B1290&amp;"|"&amp;C1290)</f>
        <v>MFD-ISW → MFD-CPF|JN°1087</v>
      </c>
    </row>
    <row r="1291" customFormat="false" ht="74.6" hidden="false" customHeight="false" outlineLevel="0" collapsed="false">
      <c r="A1291" s="82" t="n">
        <f aca="false">IF(C1291="","",ROW()-6)</f>
        <v>1285</v>
      </c>
      <c r="B1291" s="80" t="s">
        <v>110</v>
      </c>
      <c r="C1291" s="113" t="s">
        <v>1551</v>
      </c>
      <c r="D1291" s="82" t="str">
        <f aca="false">IF(OR(C1291="",P1291=""),"",INDEX('CARNET DE SOUDURE'!$D$7:$D$3006,P1291)&amp;"")</f>
        <v>10</v>
      </c>
      <c r="E1291" s="114" t="n">
        <f aca="false">IF(OR(C1291="",P1291=""),"",IF(INDEX('CARNET DE SOUDURE'!$U$7:$U$3006,P1291)="","",INDEX('CARNET DE SOUDURE'!$U$7:$U$3006,P1291)))</f>
        <v>46272</v>
      </c>
      <c r="F1291" s="82" t="str">
        <f aca="false">IF(OR(C1291="",P1291=""),"",INDEX('CARNET DE SOUDURE'!$AP$7:$AP$3006,P1291))</f>
        <v>A</v>
      </c>
      <c r="G1291" s="82" t="str">
        <f aca="false">IF(C1291="","",IF(P1291="","NJ INCONNU",INDEX('CARNET DE SOUDURE'!$AQ$7:$AQ$3006,P1291)))</f>
        <v>ACCEPTÉ</v>
      </c>
      <c r="H1291" s="82" t="str">
        <f aca="false">IF(C1291="","",IF(G1291="ACCEPTÉ","OUI","NON"))</f>
        <v>OUI</v>
      </c>
      <c r="I1291" s="83"/>
      <c r="J1291" s="80"/>
      <c r="K1291" s="81"/>
      <c r="L1291" s="81"/>
      <c r="M1291" s="81"/>
      <c r="N1291" s="84" t="str">
        <f aca="false">IF(C1291="","",IF(P1291="","NJ INCONNU",IF(I1291="",IF(H1291="OUI","À ENROBER",IF(G1291="À SOUDER","NON SOUDÉ","EN ATTENTE RT")),IF(L1291="R","À REPRENDRE",IF(H1291&lt;&gt;"OUI","⚠ ENROBÉ AVANT ACCEPTATION RT","ENROBÉ")))))</f>
        <v>À ENROBER</v>
      </c>
      <c r="O1291" s="80"/>
      <c r="P1291" s="82" t="n">
        <f aca="false">IF(C1291="","",IFERROR(MATCH(Q1291,'CARNET DE SOUDURE'!$AW$7:$AW$3006,0),""))</f>
        <v>1285</v>
      </c>
      <c r="Q1291" s="82" t="str">
        <f aca="false">IF(C1291="","",B1291&amp;"|"&amp;C1291)</f>
        <v>MFD-ISW → MFD-CPF|DJ°316</v>
      </c>
    </row>
    <row r="1292" customFormat="false" ht="74.6" hidden="false" customHeight="false" outlineLevel="0" collapsed="false">
      <c r="A1292" s="82" t="n">
        <f aca="false">IF(C1292="","",ROW()-6)</f>
        <v>1286</v>
      </c>
      <c r="B1292" s="80" t="s">
        <v>110</v>
      </c>
      <c r="C1292" s="113" t="s">
        <v>1552</v>
      </c>
      <c r="D1292" s="82" t="str">
        <f aca="false">IF(OR(C1292="",P1292=""),"",INDEX('CARNET DE SOUDURE'!$D$7:$D$3006,P1292)&amp;"")</f>
        <v>10</v>
      </c>
      <c r="E1292" s="114" t="n">
        <f aca="false">IF(OR(C1292="",P1292=""),"",IF(INDEX('CARNET DE SOUDURE'!$U$7:$U$3006,P1292)="","",INDEX('CARNET DE SOUDURE'!$U$7:$U$3006,P1292)))</f>
        <v>46278</v>
      </c>
      <c r="F1292" s="82" t="str">
        <f aca="false">IF(OR(C1292="",P1292=""),"",INDEX('CARNET DE SOUDURE'!$AP$7:$AP$3006,P1292))</f>
        <v>A</v>
      </c>
      <c r="G1292" s="82" t="str">
        <f aca="false">IF(C1292="","",IF(P1292="","NJ INCONNU",INDEX('CARNET DE SOUDURE'!$AQ$7:$AQ$3006,P1292)))</f>
        <v>ACCEPTÉ</v>
      </c>
      <c r="H1292" s="82" t="str">
        <f aca="false">IF(C1292="","",IF(G1292="ACCEPTÉ","OUI","NON"))</f>
        <v>OUI</v>
      </c>
      <c r="I1292" s="83"/>
      <c r="J1292" s="80"/>
      <c r="K1292" s="81"/>
      <c r="L1292" s="81"/>
      <c r="M1292" s="81"/>
      <c r="N1292" s="84" t="str">
        <f aca="false">IF(C1292="","",IF(P1292="","NJ INCONNU",IF(I1292="",IF(H1292="OUI","À ENROBER",IF(G1292="À SOUDER","NON SOUDÉ","EN ATTENTE RT")),IF(L1292="R","À REPRENDRE",IF(H1292&lt;&gt;"OUI","⚠ ENROBÉ AVANT ACCEPTATION RT","ENROBÉ")))))</f>
        <v>À ENROBER</v>
      </c>
      <c r="O1292" s="80"/>
      <c r="P1292" s="82" t="n">
        <f aca="false">IF(C1292="","",IFERROR(MATCH(Q1292,'CARNET DE SOUDURE'!$AW$7:$AW$3006,0),""))</f>
        <v>1286</v>
      </c>
      <c r="Q1292" s="82" t="str">
        <f aca="false">IF(C1292="","",B1292&amp;"|"&amp;C1292)</f>
        <v>MFD-ISW → MFD-CPF|JN°1088</v>
      </c>
    </row>
    <row r="1293" customFormat="false" ht="74.6" hidden="false" customHeight="false" outlineLevel="0" collapsed="false">
      <c r="A1293" s="82" t="n">
        <f aca="false">IF(C1293="","",ROW()-6)</f>
        <v>1287</v>
      </c>
      <c r="B1293" s="80" t="s">
        <v>110</v>
      </c>
      <c r="C1293" s="113" t="s">
        <v>1553</v>
      </c>
      <c r="D1293" s="82" t="str">
        <f aca="false">IF(OR(C1293="",P1293=""),"",INDEX('CARNET DE SOUDURE'!$D$7:$D$3006,P1293)&amp;"")</f>
        <v>10</v>
      </c>
      <c r="E1293" s="114" t="n">
        <f aca="false">IF(OR(C1293="",P1293=""),"",IF(INDEX('CARNET DE SOUDURE'!$U$7:$U$3006,P1293)="","",INDEX('CARNET DE SOUDURE'!$U$7:$U$3006,P1293)))</f>
        <v>46272</v>
      </c>
      <c r="F1293" s="82" t="str">
        <f aca="false">IF(OR(C1293="",P1293=""),"",INDEX('CARNET DE SOUDURE'!$AP$7:$AP$3006,P1293))</f>
        <v>A</v>
      </c>
      <c r="G1293" s="82" t="str">
        <f aca="false">IF(C1293="","",IF(P1293="","NJ INCONNU",INDEX('CARNET DE SOUDURE'!$AQ$7:$AQ$3006,P1293)))</f>
        <v>ACCEPTÉ</v>
      </c>
      <c r="H1293" s="82" t="str">
        <f aca="false">IF(C1293="","",IF(G1293="ACCEPTÉ","OUI","NON"))</f>
        <v>OUI</v>
      </c>
      <c r="I1293" s="83"/>
      <c r="J1293" s="80"/>
      <c r="K1293" s="81"/>
      <c r="L1293" s="81"/>
      <c r="M1293" s="81"/>
      <c r="N1293" s="84" t="str">
        <f aca="false">IF(C1293="","",IF(P1293="","NJ INCONNU",IF(I1293="",IF(H1293="OUI","À ENROBER",IF(G1293="À SOUDER","NON SOUDÉ","EN ATTENTE RT")),IF(L1293="R","À REPRENDRE",IF(H1293&lt;&gt;"OUI","⚠ ENROBÉ AVANT ACCEPTATION RT","ENROBÉ")))))</f>
        <v>À ENROBER</v>
      </c>
      <c r="O1293" s="80"/>
      <c r="P1293" s="82" t="n">
        <f aca="false">IF(C1293="","",IFERROR(MATCH(Q1293,'CARNET DE SOUDURE'!$AW$7:$AW$3006,0),""))</f>
        <v>1287</v>
      </c>
      <c r="Q1293" s="82" t="str">
        <f aca="false">IF(C1293="","",B1293&amp;"|"&amp;C1293)</f>
        <v>MFD-ISW → MFD-CPF|DJ°315</v>
      </c>
    </row>
    <row r="1294" customFormat="false" ht="74.6" hidden="false" customHeight="false" outlineLevel="0" collapsed="false">
      <c r="A1294" s="82" t="n">
        <f aca="false">IF(C1294="","",ROW()-6)</f>
        <v>1288</v>
      </c>
      <c r="B1294" s="80" t="s">
        <v>110</v>
      </c>
      <c r="C1294" s="113" t="s">
        <v>1554</v>
      </c>
      <c r="D1294" s="82" t="str">
        <f aca="false">IF(OR(C1294="",P1294=""),"",INDEX('CARNET DE SOUDURE'!$D$7:$D$3006,P1294)&amp;"")</f>
        <v>10</v>
      </c>
      <c r="E1294" s="114" t="n">
        <f aca="false">IF(OR(C1294="",P1294=""),"",IF(INDEX('CARNET DE SOUDURE'!$U$7:$U$3006,P1294)="","",INDEX('CARNET DE SOUDURE'!$U$7:$U$3006,P1294)))</f>
        <v>46278</v>
      </c>
      <c r="F1294" s="82" t="str">
        <f aca="false">IF(OR(C1294="",P1294=""),"",INDEX('CARNET DE SOUDURE'!$AP$7:$AP$3006,P1294))</f>
        <v>R</v>
      </c>
      <c r="G1294" s="82" t="str">
        <f aca="false">IF(C1294="","",IF(P1294="","NJ INCONNU",INDEX('CARNET DE SOUDURE'!$AQ$7:$AQ$3006,P1294)))</f>
        <v>À RÉPARER</v>
      </c>
      <c r="H1294" s="82" t="str">
        <f aca="false">IF(C1294="","",IF(G1294="ACCEPTÉ","OUI","NON"))</f>
        <v>NON</v>
      </c>
      <c r="I1294" s="83"/>
      <c r="J1294" s="80"/>
      <c r="K1294" s="81"/>
      <c r="L1294" s="81"/>
      <c r="M1294" s="81"/>
      <c r="N1294" s="84" t="str">
        <f aca="false">IF(C1294="","",IF(P1294="","NJ INCONNU",IF(I1294="",IF(H1294="OUI","À ENROBER",IF(G1294="À SOUDER","NON SOUDÉ","EN ATTENTE RT")),IF(L1294="R","À REPRENDRE",IF(H1294&lt;&gt;"OUI","⚠ ENROBÉ AVANT ACCEPTATION RT","ENROBÉ")))))</f>
        <v>EN ATTENTE RT</v>
      </c>
      <c r="O1294" s="80"/>
      <c r="P1294" s="82" t="n">
        <f aca="false">IF(C1294="","",IFERROR(MATCH(Q1294,'CARNET DE SOUDURE'!$AW$7:$AW$3006,0),""))</f>
        <v>1288</v>
      </c>
      <c r="Q1294" s="82" t="str">
        <f aca="false">IF(C1294="","",B1294&amp;"|"&amp;C1294)</f>
        <v>MFD-ISW → MFD-CPF|JN°1089</v>
      </c>
    </row>
    <row r="1295" customFormat="false" ht="74.6" hidden="false" customHeight="false" outlineLevel="0" collapsed="false">
      <c r="A1295" s="82" t="n">
        <f aca="false">IF(C1295="","",ROW()-6)</f>
        <v>1289</v>
      </c>
      <c r="B1295" s="80" t="s">
        <v>110</v>
      </c>
      <c r="C1295" s="113" t="s">
        <v>1557</v>
      </c>
      <c r="D1295" s="82" t="str">
        <f aca="false">IF(OR(C1295="",P1295=""),"",INDEX('CARNET DE SOUDURE'!$D$7:$D$3006,P1295)&amp;"")</f>
        <v>10</v>
      </c>
      <c r="E1295" s="114" t="n">
        <f aca="false">IF(OR(C1295="",P1295=""),"",IF(INDEX('CARNET DE SOUDURE'!$U$7:$U$3006,P1295)="","",INDEX('CARNET DE SOUDURE'!$U$7:$U$3006,P1295)))</f>
        <v>46271</v>
      </c>
      <c r="F1295" s="82" t="str">
        <f aca="false">IF(OR(C1295="",P1295=""),"",INDEX('CARNET DE SOUDURE'!$AP$7:$AP$3006,P1295))</f>
        <v>A</v>
      </c>
      <c r="G1295" s="82" t="str">
        <f aca="false">IF(C1295="","",IF(P1295="","NJ INCONNU",INDEX('CARNET DE SOUDURE'!$AQ$7:$AQ$3006,P1295)))</f>
        <v>ACCEPTÉ</v>
      </c>
      <c r="H1295" s="82" t="str">
        <f aca="false">IF(C1295="","",IF(G1295="ACCEPTÉ","OUI","NON"))</f>
        <v>OUI</v>
      </c>
      <c r="I1295" s="83"/>
      <c r="J1295" s="80"/>
      <c r="K1295" s="81"/>
      <c r="L1295" s="81"/>
      <c r="M1295" s="81"/>
      <c r="N1295" s="84" t="str">
        <f aca="false">IF(C1295="","",IF(P1295="","NJ INCONNU",IF(I1295="",IF(H1295="OUI","À ENROBER",IF(G1295="À SOUDER","NON SOUDÉ","EN ATTENTE RT")),IF(L1295="R","À REPRENDRE",IF(H1295&lt;&gt;"OUI","⚠ ENROBÉ AVANT ACCEPTATION RT","ENROBÉ")))))</f>
        <v>À ENROBER</v>
      </c>
      <c r="O1295" s="80"/>
      <c r="P1295" s="82" t="n">
        <f aca="false">IF(C1295="","",IFERROR(MATCH(Q1295,'CARNET DE SOUDURE'!$AW$7:$AW$3006,0),""))</f>
        <v>1289</v>
      </c>
      <c r="Q1295" s="82" t="str">
        <f aca="false">IF(C1295="","",B1295&amp;"|"&amp;C1295)</f>
        <v>MFD-ISW → MFD-CPF|DJ°299</v>
      </c>
    </row>
    <row r="1296" customFormat="false" ht="74.6" hidden="false" customHeight="false" outlineLevel="0" collapsed="false">
      <c r="A1296" s="82" t="n">
        <f aca="false">IF(C1296="","",ROW()-6)</f>
        <v>1290</v>
      </c>
      <c r="B1296" s="80" t="s">
        <v>110</v>
      </c>
      <c r="C1296" s="113" t="s">
        <v>1558</v>
      </c>
      <c r="D1296" s="82" t="str">
        <f aca="false">IF(OR(C1296="",P1296=""),"",INDEX('CARNET DE SOUDURE'!$D$7:$D$3006,P1296)&amp;"")</f>
        <v>10</v>
      </c>
      <c r="E1296" s="114" t="n">
        <f aca="false">IF(OR(C1296="",P1296=""),"",IF(INDEX('CARNET DE SOUDURE'!$U$7:$U$3006,P1296)="","",INDEX('CARNET DE SOUDURE'!$U$7:$U$3006,P1296)))</f>
        <v>46278</v>
      </c>
      <c r="F1296" s="82" t="str">
        <f aca="false">IF(OR(C1296="",P1296=""),"",INDEX('CARNET DE SOUDURE'!$AP$7:$AP$3006,P1296))</f>
        <v>A</v>
      </c>
      <c r="G1296" s="82" t="str">
        <f aca="false">IF(C1296="","",IF(P1296="","NJ INCONNU",INDEX('CARNET DE SOUDURE'!$AQ$7:$AQ$3006,P1296)))</f>
        <v>ACCEPTÉ</v>
      </c>
      <c r="H1296" s="82" t="str">
        <f aca="false">IF(C1296="","",IF(G1296="ACCEPTÉ","OUI","NON"))</f>
        <v>OUI</v>
      </c>
      <c r="I1296" s="83"/>
      <c r="J1296" s="80"/>
      <c r="K1296" s="81"/>
      <c r="L1296" s="81"/>
      <c r="M1296" s="81"/>
      <c r="N1296" s="84" t="str">
        <f aca="false">IF(C1296="","",IF(P1296="","NJ INCONNU",IF(I1296="",IF(H1296="OUI","À ENROBER",IF(G1296="À SOUDER","NON SOUDÉ","EN ATTENTE RT")),IF(L1296="R","À REPRENDRE",IF(H1296&lt;&gt;"OUI","⚠ ENROBÉ AVANT ACCEPTATION RT","ENROBÉ")))))</f>
        <v>À ENROBER</v>
      </c>
      <c r="O1296" s="80"/>
      <c r="P1296" s="82" t="n">
        <f aca="false">IF(C1296="","",IFERROR(MATCH(Q1296,'CARNET DE SOUDURE'!$AW$7:$AW$3006,0),""))</f>
        <v>1290</v>
      </c>
      <c r="Q1296" s="82" t="str">
        <f aca="false">IF(C1296="","",B1296&amp;"|"&amp;C1296)</f>
        <v>MFD-ISW → MFD-CPF|JN°1090</v>
      </c>
    </row>
    <row r="1297" customFormat="false" ht="74.6" hidden="false" customHeight="false" outlineLevel="0" collapsed="false">
      <c r="A1297" s="82" t="n">
        <f aca="false">IF(C1297="","",ROW()-6)</f>
        <v>1291</v>
      </c>
      <c r="B1297" s="80" t="s">
        <v>110</v>
      </c>
      <c r="C1297" s="113" t="s">
        <v>1559</v>
      </c>
      <c r="D1297" s="82" t="str">
        <f aca="false">IF(OR(C1297="",P1297=""),"",INDEX('CARNET DE SOUDURE'!$D$7:$D$3006,P1297)&amp;"")</f>
        <v>10</v>
      </c>
      <c r="E1297" s="114" t="n">
        <f aca="false">IF(OR(C1297="",P1297=""),"",IF(INDEX('CARNET DE SOUDURE'!$U$7:$U$3006,P1297)="","",INDEX('CARNET DE SOUDURE'!$U$7:$U$3006,P1297)))</f>
        <v>46257</v>
      </c>
      <c r="F1297" s="82" t="str">
        <f aca="false">IF(OR(C1297="",P1297=""),"",INDEX('CARNET DE SOUDURE'!$AP$7:$AP$3006,P1297))</f>
        <v>A</v>
      </c>
      <c r="G1297" s="82" t="str">
        <f aca="false">IF(C1297="","",IF(P1297="","NJ INCONNU",INDEX('CARNET DE SOUDURE'!$AQ$7:$AQ$3006,P1297)))</f>
        <v>ACCEPTÉ</v>
      </c>
      <c r="H1297" s="82" t="str">
        <f aca="false">IF(C1297="","",IF(G1297="ACCEPTÉ","OUI","NON"))</f>
        <v>OUI</v>
      </c>
      <c r="I1297" s="83"/>
      <c r="J1297" s="80"/>
      <c r="K1297" s="81"/>
      <c r="L1297" s="81"/>
      <c r="M1297" s="81"/>
      <c r="N1297" s="84" t="str">
        <f aca="false">IF(C1297="","",IF(P1297="","NJ INCONNU",IF(I1297="",IF(H1297="OUI","À ENROBER",IF(G1297="À SOUDER","NON SOUDÉ","EN ATTENTE RT")),IF(L1297="R","À REPRENDRE",IF(H1297&lt;&gt;"OUI","⚠ ENROBÉ AVANT ACCEPTATION RT","ENROBÉ")))))</f>
        <v>À ENROBER</v>
      </c>
      <c r="O1297" s="80"/>
      <c r="P1297" s="82" t="n">
        <f aca="false">IF(C1297="","",IFERROR(MATCH(Q1297,'CARNET DE SOUDURE'!$AW$7:$AW$3006,0),""))</f>
        <v>1291</v>
      </c>
      <c r="Q1297" s="82" t="str">
        <f aca="false">IF(C1297="","",B1297&amp;"|"&amp;C1297)</f>
        <v>MFD-ISW → MFD-CPF|DJ°103</v>
      </c>
    </row>
    <row r="1298" customFormat="false" ht="74.6" hidden="false" customHeight="false" outlineLevel="0" collapsed="false">
      <c r="A1298" s="82" t="n">
        <f aca="false">IF(C1298="","",ROW()-6)</f>
        <v>1292</v>
      </c>
      <c r="B1298" s="80" t="s">
        <v>110</v>
      </c>
      <c r="C1298" s="113" t="s">
        <v>1562</v>
      </c>
      <c r="D1298" s="82" t="str">
        <f aca="false">IF(OR(C1298="",P1298=""),"",INDEX('CARNET DE SOUDURE'!$D$7:$D$3006,P1298)&amp;"")</f>
        <v>10</v>
      </c>
      <c r="E1298" s="114" t="n">
        <f aca="false">IF(OR(C1298="",P1298=""),"",IF(INDEX('CARNET DE SOUDURE'!$U$7:$U$3006,P1298)="","",INDEX('CARNET DE SOUDURE'!$U$7:$U$3006,P1298)))</f>
        <v>46278</v>
      </c>
      <c r="F1298" s="82" t="str">
        <f aca="false">IF(OR(C1298="",P1298=""),"",INDEX('CARNET DE SOUDURE'!$AP$7:$AP$3006,P1298))</f>
        <v>R</v>
      </c>
      <c r="G1298" s="82" t="str">
        <f aca="false">IF(C1298="","",IF(P1298="","NJ INCONNU",INDEX('CARNET DE SOUDURE'!$AQ$7:$AQ$3006,P1298)))</f>
        <v>À RÉPARER</v>
      </c>
      <c r="H1298" s="82" t="str">
        <f aca="false">IF(C1298="","",IF(G1298="ACCEPTÉ","OUI","NON"))</f>
        <v>NON</v>
      </c>
      <c r="I1298" s="83"/>
      <c r="J1298" s="80"/>
      <c r="K1298" s="81"/>
      <c r="L1298" s="81"/>
      <c r="M1298" s="81"/>
      <c r="N1298" s="84" t="str">
        <f aca="false">IF(C1298="","",IF(P1298="","NJ INCONNU",IF(I1298="",IF(H1298="OUI","À ENROBER",IF(G1298="À SOUDER","NON SOUDÉ","EN ATTENTE RT")),IF(L1298="R","À REPRENDRE",IF(H1298&lt;&gt;"OUI","⚠ ENROBÉ AVANT ACCEPTATION RT","ENROBÉ")))))</f>
        <v>EN ATTENTE RT</v>
      </c>
      <c r="O1298" s="80"/>
      <c r="P1298" s="82" t="n">
        <f aca="false">IF(C1298="","",IFERROR(MATCH(Q1298,'CARNET DE SOUDURE'!$AW$7:$AW$3006,0),""))</f>
        <v>1292</v>
      </c>
      <c r="Q1298" s="82" t="str">
        <f aca="false">IF(C1298="","",B1298&amp;"|"&amp;C1298)</f>
        <v>MFD-ISW → MFD-CPF|JN°1091</v>
      </c>
    </row>
    <row r="1299" customFormat="false" ht="74.6" hidden="false" customHeight="false" outlineLevel="0" collapsed="false">
      <c r="A1299" s="82" t="n">
        <f aca="false">IF(C1299="","",ROW()-6)</f>
        <v>1293</v>
      </c>
      <c r="B1299" s="80" t="s">
        <v>110</v>
      </c>
      <c r="C1299" s="113" t="s">
        <v>1564</v>
      </c>
      <c r="D1299" s="82" t="str">
        <f aca="false">IF(OR(C1299="",P1299=""),"",INDEX('CARNET DE SOUDURE'!$D$7:$D$3006,P1299)&amp;"")</f>
        <v>10</v>
      </c>
      <c r="E1299" s="114" t="n">
        <f aca="false">IF(OR(C1299="",P1299=""),"",IF(INDEX('CARNET DE SOUDURE'!$U$7:$U$3006,P1299)="","",INDEX('CARNET DE SOUDURE'!$U$7:$U$3006,P1299)))</f>
        <v>46256</v>
      </c>
      <c r="F1299" s="82" t="str">
        <f aca="false">IF(OR(C1299="",P1299=""),"",INDEX('CARNET DE SOUDURE'!$AP$7:$AP$3006,P1299))</f>
        <v>A</v>
      </c>
      <c r="G1299" s="82" t="str">
        <f aca="false">IF(C1299="","",IF(P1299="","NJ INCONNU",INDEX('CARNET DE SOUDURE'!$AQ$7:$AQ$3006,P1299)))</f>
        <v>ACCEPTÉ</v>
      </c>
      <c r="H1299" s="82" t="str">
        <f aca="false">IF(C1299="","",IF(G1299="ACCEPTÉ","OUI","NON"))</f>
        <v>OUI</v>
      </c>
      <c r="I1299" s="83"/>
      <c r="J1299" s="80"/>
      <c r="K1299" s="81"/>
      <c r="L1299" s="81"/>
      <c r="M1299" s="81"/>
      <c r="N1299" s="84" t="str">
        <f aca="false">IF(C1299="","",IF(P1299="","NJ INCONNU",IF(I1299="",IF(H1299="OUI","À ENROBER",IF(G1299="À SOUDER","NON SOUDÉ","EN ATTENTE RT")),IF(L1299="R","À REPRENDRE",IF(H1299&lt;&gt;"OUI","⚠ ENROBÉ AVANT ACCEPTATION RT","ENROBÉ")))))</f>
        <v>À ENROBER</v>
      </c>
      <c r="O1299" s="80"/>
      <c r="P1299" s="82" t="n">
        <f aca="false">IF(C1299="","",IFERROR(MATCH(Q1299,'CARNET DE SOUDURE'!$AW$7:$AW$3006,0),""))</f>
        <v>1293</v>
      </c>
      <c r="Q1299" s="82" t="str">
        <f aca="false">IF(C1299="","",B1299&amp;"|"&amp;C1299)</f>
        <v>MFD-ISW → MFD-CPF|DJ°090</v>
      </c>
    </row>
    <row r="1300" customFormat="false" ht="74.6" hidden="false" customHeight="false" outlineLevel="0" collapsed="false">
      <c r="A1300" s="82" t="n">
        <f aca="false">IF(C1300="","",ROW()-6)</f>
        <v>1294</v>
      </c>
      <c r="B1300" s="80" t="s">
        <v>110</v>
      </c>
      <c r="C1300" s="113" t="s">
        <v>1566</v>
      </c>
      <c r="D1300" s="82" t="str">
        <f aca="false">IF(OR(C1300="",P1300=""),"",INDEX('CARNET DE SOUDURE'!$D$7:$D$3006,P1300)&amp;"")</f>
        <v>10</v>
      </c>
      <c r="E1300" s="114" t="n">
        <f aca="false">IF(OR(C1300="",P1300=""),"",IF(INDEX('CARNET DE SOUDURE'!$U$7:$U$3006,P1300)="","",INDEX('CARNET DE SOUDURE'!$U$7:$U$3006,P1300)))</f>
        <v>46277</v>
      </c>
      <c r="F1300" s="82" t="str">
        <f aca="false">IF(OR(C1300="",P1300=""),"",INDEX('CARNET DE SOUDURE'!$AP$7:$AP$3006,P1300))</f>
        <v>A</v>
      </c>
      <c r="G1300" s="82" t="str">
        <f aca="false">IF(C1300="","",IF(P1300="","NJ INCONNU",INDEX('CARNET DE SOUDURE'!$AQ$7:$AQ$3006,P1300)))</f>
        <v>ACCEPTÉ</v>
      </c>
      <c r="H1300" s="82" t="str">
        <f aca="false">IF(C1300="","",IF(G1300="ACCEPTÉ","OUI","NON"))</f>
        <v>OUI</v>
      </c>
      <c r="I1300" s="83"/>
      <c r="J1300" s="80"/>
      <c r="K1300" s="81"/>
      <c r="L1300" s="81"/>
      <c r="M1300" s="81"/>
      <c r="N1300" s="84" t="str">
        <f aca="false">IF(C1300="","",IF(P1300="","NJ INCONNU",IF(I1300="",IF(H1300="OUI","À ENROBER",IF(G1300="À SOUDER","NON SOUDÉ","EN ATTENTE RT")),IF(L1300="R","À REPRENDRE",IF(H1300&lt;&gt;"OUI","⚠ ENROBÉ AVANT ACCEPTATION RT","ENROBÉ")))))</f>
        <v>À ENROBER</v>
      </c>
      <c r="O1300" s="80"/>
      <c r="P1300" s="82" t="n">
        <f aca="false">IF(C1300="","",IFERROR(MATCH(Q1300,'CARNET DE SOUDURE'!$AW$7:$AW$3006,0),""))</f>
        <v>1294</v>
      </c>
      <c r="Q1300" s="82" t="str">
        <f aca="false">IF(C1300="","",B1300&amp;"|"&amp;C1300)</f>
        <v>MFD-ISW → MFD-CPF|JN°1092</v>
      </c>
    </row>
    <row r="1301" customFormat="false" ht="74.6" hidden="false" customHeight="false" outlineLevel="0" collapsed="false">
      <c r="A1301" s="82" t="n">
        <f aca="false">IF(C1301="","",ROW()-6)</f>
        <v>1295</v>
      </c>
      <c r="B1301" s="80" t="s">
        <v>110</v>
      </c>
      <c r="C1301" s="113" t="s">
        <v>1568</v>
      </c>
      <c r="D1301" s="82" t="str">
        <f aca="false">IF(OR(C1301="",P1301=""),"",INDEX('CARNET DE SOUDURE'!$D$7:$D$3006,P1301)&amp;"")</f>
        <v>10</v>
      </c>
      <c r="E1301" s="114" t="n">
        <f aca="false">IF(OR(C1301="",P1301=""),"",IF(INDEX('CARNET DE SOUDURE'!$U$7:$U$3006,P1301)="","",INDEX('CARNET DE SOUDURE'!$U$7:$U$3006,P1301)))</f>
        <v>46256</v>
      </c>
      <c r="F1301" s="82" t="str">
        <f aca="false">IF(OR(C1301="",P1301=""),"",INDEX('CARNET DE SOUDURE'!$AP$7:$AP$3006,P1301))</f>
        <v>A</v>
      </c>
      <c r="G1301" s="82" t="str">
        <f aca="false">IF(C1301="","",IF(P1301="","NJ INCONNU",INDEX('CARNET DE SOUDURE'!$AQ$7:$AQ$3006,P1301)))</f>
        <v>ACCEPTÉ</v>
      </c>
      <c r="H1301" s="82" t="str">
        <f aca="false">IF(C1301="","",IF(G1301="ACCEPTÉ","OUI","NON"))</f>
        <v>OUI</v>
      </c>
      <c r="I1301" s="83"/>
      <c r="J1301" s="80"/>
      <c r="K1301" s="81"/>
      <c r="L1301" s="81"/>
      <c r="M1301" s="81"/>
      <c r="N1301" s="84" t="str">
        <f aca="false">IF(C1301="","",IF(P1301="","NJ INCONNU",IF(I1301="",IF(H1301="OUI","À ENROBER",IF(G1301="À SOUDER","NON SOUDÉ","EN ATTENTE RT")),IF(L1301="R","À REPRENDRE",IF(H1301&lt;&gt;"OUI","⚠ ENROBÉ AVANT ACCEPTATION RT","ENROBÉ")))))</f>
        <v>À ENROBER</v>
      </c>
      <c r="O1301" s="80"/>
      <c r="P1301" s="82" t="n">
        <f aca="false">IF(C1301="","",IFERROR(MATCH(Q1301,'CARNET DE SOUDURE'!$AW$7:$AW$3006,0),""))</f>
        <v>1295</v>
      </c>
      <c r="Q1301" s="82" t="str">
        <f aca="false">IF(C1301="","",B1301&amp;"|"&amp;C1301)</f>
        <v>MFD-ISW → MFD-CPF|DJ°093</v>
      </c>
    </row>
    <row r="1302" customFormat="false" ht="74.6" hidden="false" customHeight="false" outlineLevel="0" collapsed="false">
      <c r="A1302" s="82" t="n">
        <f aca="false">IF(C1302="","",ROW()-6)</f>
        <v>1296</v>
      </c>
      <c r="B1302" s="80" t="s">
        <v>110</v>
      </c>
      <c r="C1302" s="113" t="s">
        <v>1570</v>
      </c>
      <c r="D1302" s="82" t="str">
        <f aca="false">IF(OR(C1302="",P1302=""),"",INDEX('CARNET DE SOUDURE'!$D$7:$D$3006,P1302)&amp;"")</f>
        <v>10</v>
      </c>
      <c r="E1302" s="114" t="n">
        <f aca="false">IF(OR(C1302="",P1302=""),"",IF(INDEX('CARNET DE SOUDURE'!$U$7:$U$3006,P1302)="","",INDEX('CARNET DE SOUDURE'!$U$7:$U$3006,P1302)))</f>
        <v>46277</v>
      </c>
      <c r="F1302" s="82" t="str">
        <f aca="false">IF(OR(C1302="",P1302=""),"",INDEX('CARNET DE SOUDURE'!$AP$7:$AP$3006,P1302))</f>
        <v>A</v>
      </c>
      <c r="G1302" s="82" t="str">
        <f aca="false">IF(C1302="","",IF(P1302="","NJ INCONNU",INDEX('CARNET DE SOUDURE'!$AQ$7:$AQ$3006,P1302)))</f>
        <v>ACCEPTÉ</v>
      </c>
      <c r="H1302" s="82" t="str">
        <f aca="false">IF(C1302="","",IF(G1302="ACCEPTÉ","OUI","NON"))</f>
        <v>OUI</v>
      </c>
      <c r="I1302" s="83"/>
      <c r="J1302" s="80"/>
      <c r="K1302" s="81"/>
      <c r="L1302" s="81"/>
      <c r="M1302" s="81"/>
      <c r="N1302" s="84" t="str">
        <f aca="false">IF(C1302="","",IF(P1302="","NJ INCONNU",IF(I1302="",IF(H1302="OUI","À ENROBER",IF(G1302="À SOUDER","NON SOUDÉ","EN ATTENTE RT")),IF(L1302="R","À REPRENDRE",IF(H1302&lt;&gt;"OUI","⚠ ENROBÉ AVANT ACCEPTATION RT","ENROBÉ")))))</f>
        <v>À ENROBER</v>
      </c>
      <c r="O1302" s="80"/>
      <c r="P1302" s="82" t="n">
        <f aca="false">IF(C1302="","",IFERROR(MATCH(Q1302,'CARNET DE SOUDURE'!$AW$7:$AW$3006,0),""))</f>
        <v>1296</v>
      </c>
      <c r="Q1302" s="82" t="str">
        <f aca="false">IF(C1302="","",B1302&amp;"|"&amp;C1302)</f>
        <v>MFD-ISW → MFD-CPF|JN°1093</v>
      </c>
    </row>
    <row r="1303" customFormat="false" ht="74.6" hidden="false" customHeight="false" outlineLevel="0" collapsed="false">
      <c r="A1303" s="82" t="n">
        <f aca="false">IF(C1303="","",ROW()-6)</f>
        <v>1297</v>
      </c>
      <c r="B1303" s="80" t="s">
        <v>110</v>
      </c>
      <c r="C1303" s="113" t="s">
        <v>1571</v>
      </c>
      <c r="D1303" s="82" t="str">
        <f aca="false">IF(OR(C1303="",P1303=""),"",INDEX('CARNET DE SOUDURE'!$D$7:$D$3006,P1303)&amp;"")</f>
        <v>10</v>
      </c>
      <c r="E1303" s="114" t="n">
        <f aca="false">IF(OR(C1303="",P1303=""),"",IF(INDEX('CARNET DE SOUDURE'!$U$7:$U$3006,P1303)="","",INDEX('CARNET DE SOUDURE'!$U$7:$U$3006,P1303)))</f>
        <v>46256</v>
      </c>
      <c r="F1303" s="82" t="str">
        <f aca="false">IF(OR(C1303="",P1303=""),"",INDEX('CARNET DE SOUDURE'!$AP$7:$AP$3006,P1303))</f>
        <v>A</v>
      </c>
      <c r="G1303" s="82" t="str">
        <f aca="false">IF(C1303="","",IF(P1303="","NJ INCONNU",INDEX('CARNET DE SOUDURE'!$AQ$7:$AQ$3006,P1303)))</f>
        <v>ACCEPTÉ</v>
      </c>
      <c r="H1303" s="82" t="str">
        <f aca="false">IF(C1303="","",IF(G1303="ACCEPTÉ","OUI","NON"))</f>
        <v>OUI</v>
      </c>
      <c r="I1303" s="83"/>
      <c r="J1303" s="80"/>
      <c r="K1303" s="81"/>
      <c r="L1303" s="81"/>
      <c r="M1303" s="81"/>
      <c r="N1303" s="84" t="str">
        <f aca="false">IF(C1303="","",IF(P1303="","NJ INCONNU",IF(I1303="",IF(H1303="OUI","À ENROBER",IF(G1303="À SOUDER","NON SOUDÉ","EN ATTENTE RT")),IF(L1303="R","À REPRENDRE",IF(H1303&lt;&gt;"OUI","⚠ ENROBÉ AVANT ACCEPTATION RT","ENROBÉ")))))</f>
        <v>À ENROBER</v>
      </c>
      <c r="O1303" s="80"/>
      <c r="P1303" s="82" t="n">
        <f aca="false">IF(C1303="","",IFERROR(MATCH(Q1303,'CARNET DE SOUDURE'!$AW$7:$AW$3006,0),""))</f>
        <v>1297</v>
      </c>
      <c r="Q1303" s="82" t="str">
        <f aca="false">IF(C1303="","",B1303&amp;"|"&amp;C1303)</f>
        <v>MFD-ISW → MFD-CPF|DJ°086</v>
      </c>
    </row>
    <row r="1304" customFormat="false" ht="74.6" hidden="false" customHeight="false" outlineLevel="0" collapsed="false">
      <c r="A1304" s="82" t="n">
        <f aca="false">IF(C1304="","",ROW()-6)</f>
        <v>1298</v>
      </c>
      <c r="B1304" s="80" t="s">
        <v>110</v>
      </c>
      <c r="C1304" s="113" t="s">
        <v>1572</v>
      </c>
      <c r="D1304" s="82" t="str">
        <f aca="false">IF(OR(C1304="",P1304=""),"",INDEX('CARNET DE SOUDURE'!$D$7:$D$3006,P1304)&amp;"")</f>
        <v>10</v>
      </c>
      <c r="E1304" s="114" t="n">
        <f aca="false">IF(OR(C1304="",P1304=""),"",IF(INDEX('CARNET DE SOUDURE'!$U$7:$U$3006,P1304)="","",INDEX('CARNET DE SOUDURE'!$U$7:$U$3006,P1304)))</f>
        <v>46277</v>
      </c>
      <c r="F1304" s="82" t="str">
        <f aca="false">IF(OR(C1304="",P1304=""),"",INDEX('CARNET DE SOUDURE'!$AP$7:$AP$3006,P1304))</f>
        <v>A</v>
      </c>
      <c r="G1304" s="82" t="str">
        <f aca="false">IF(C1304="","",IF(P1304="","NJ INCONNU",INDEX('CARNET DE SOUDURE'!$AQ$7:$AQ$3006,P1304)))</f>
        <v>ACCEPTÉ</v>
      </c>
      <c r="H1304" s="82" t="str">
        <f aca="false">IF(C1304="","",IF(G1304="ACCEPTÉ","OUI","NON"))</f>
        <v>OUI</v>
      </c>
      <c r="I1304" s="83"/>
      <c r="J1304" s="80"/>
      <c r="K1304" s="81"/>
      <c r="L1304" s="81"/>
      <c r="M1304" s="81"/>
      <c r="N1304" s="84" t="str">
        <f aca="false">IF(C1304="","",IF(P1304="","NJ INCONNU",IF(I1304="",IF(H1304="OUI","À ENROBER",IF(G1304="À SOUDER","NON SOUDÉ","EN ATTENTE RT")),IF(L1304="R","À REPRENDRE",IF(H1304&lt;&gt;"OUI","⚠ ENROBÉ AVANT ACCEPTATION RT","ENROBÉ")))))</f>
        <v>À ENROBER</v>
      </c>
      <c r="O1304" s="80"/>
      <c r="P1304" s="82" t="n">
        <f aca="false">IF(C1304="","",IFERROR(MATCH(Q1304,'CARNET DE SOUDURE'!$AW$7:$AW$3006,0),""))</f>
        <v>1298</v>
      </c>
      <c r="Q1304" s="82" t="str">
        <f aca="false">IF(C1304="","",B1304&amp;"|"&amp;C1304)</f>
        <v>MFD-ISW → MFD-CPF|JN°1094</v>
      </c>
    </row>
    <row r="1305" customFormat="false" ht="74.6" hidden="false" customHeight="false" outlineLevel="0" collapsed="false">
      <c r="A1305" s="82" t="n">
        <f aca="false">IF(C1305="","",ROW()-6)</f>
        <v>1299</v>
      </c>
      <c r="B1305" s="80" t="s">
        <v>110</v>
      </c>
      <c r="C1305" s="113" t="s">
        <v>1573</v>
      </c>
      <c r="D1305" s="82" t="str">
        <f aca="false">IF(OR(C1305="",P1305=""),"",INDEX('CARNET DE SOUDURE'!$D$7:$D$3006,P1305)&amp;"")</f>
        <v>10</v>
      </c>
      <c r="E1305" s="114" t="n">
        <f aca="false">IF(OR(C1305="",P1305=""),"",IF(INDEX('CARNET DE SOUDURE'!$U$7:$U$3006,P1305)="","",INDEX('CARNET DE SOUDURE'!$U$7:$U$3006,P1305)))</f>
        <v>46256</v>
      </c>
      <c r="F1305" s="82" t="str">
        <f aca="false">IF(OR(C1305="",P1305=""),"",INDEX('CARNET DE SOUDURE'!$AP$7:$AP$3006,P1305))</f>
        <v>A</v>
      </c>
      <c r="G1305" s="82" t="str">
        <f aca="false">IF(C1305="","",IF(P1305="","NJ INCONNU",INDEX('CARNET DE SOUDURE'!$AQ$7:$AQ$3006,P1305)))</f>
        <v>ACCEPTÉ</v>
      </c>
      <c r="H1305" s="82" t="str">
        <f aca="false">IF(C1305="","",IF(G1305="ACCEPTÉ","OUI","NON"))</f>
        <v>OUI</v>
      </c>
      <c r="I1305" s="83"/>
      <c r="J1305" s="80"/>
      <c r="K1305" s="81"/>
      <c r="L1305" s="81"/>
      <c r="M1305" s="81"/>
      <c r="N1305" s="84" t="str">
        <f aca="false">IF(C1305="","",IF(P1305="","NJ INCONNU",IF(I1305="",IF(H1305="OUI","À ENROBER",IF(G1305="À SOUDER","NON SOUDÉ","EN ATTENTE RT")),IF(L1305="R","À REPRENDRE",IF(H1305&lt;&gt;"OUI","⚠ ENROBÉ AVANT ACCEPTATION RT","ENROBÉ")))))</f>
        <v>À ENROBER</v>
      </c>
      <c r="O1305" s="80"/>
      <c r="P1305" s="82" t="n">
        <f aca="false">IF(C1305="","",IFERROR(MATCH(Q1305,'CARNET DE SOUDURE'!$AW$7:$AW$3006,0),""))</f>
        <v>1299</v>
      </c>
      <c r="Q1305" s="82" t="str">
        <f aca="false">IF(C1305="","",B1305&amp;"|"&amp;C1305)</f>
        <v>MFD-ISW → MFD-CPF|DJ°087</v>
      </c>
    </row>
    <row r="1306" customFormat="false" ht="74.6" hidden="false" customHeight="false" outlineLevel="0" collapsed="false">
      <c r="A1306" s="82" t="n">
        <f aca="false">IF(C1306="","",ROW()-6)</f>
        <v>1300</v>
      </c>
      <c r="B1306" s="80" t="s">
        <v>110</v>
      </c>
      <c r="C1306" s="113" t="s">
        <v>1574</v>
      </c>
      <c r="D1306" s="82" t="str">
        <f aca="false">IF(OR(C1306="",P1306=""),"",INDEX('CARNET DE SOUDURE'!$D$7:$D$3006,P1306)&amp;"")</f>
        <v>10</v>
      </c>
      <c r="E1306" s="114" t="n">
        <f aca="false">IF(OR(C1306="",P1306=""),"",IF(INDEX('CARNET DE SOUDURE'!$U$7:$U$3006,P1306)="","",INDEX('CARNET DE SOUDURE'!$U$7:$U$3006,P1306)))</f>
        <v>46277</v>
      </c>
      <c r="F1306" s="82" t="str">
        <f aca="false">IF(OR(C1306="",P1306=""),"",INDEX('CARNET DE SOUDURE'!$AP$7:$AP$3006,P1306))</f>
        <v>A</v>
      </c>
      <c r="G1306" s="82" t="str">
        <f aca="false">IF(C1306="","",IF(P1306="","NJ INCONNU",INDEX('CARNET DE SOUDURE'!$AQ$7:$AQ$3006,P1306)))</f>
        <v>ACCEPTÉ</v>
      </c>
      <c r="H1306" s="82" t="str">
        <f aca="false">IF(C1306="","",IF(G1306="ACCEPTÉ","OUI","NON"))</f>
        <v>OUI</v>
      </c>
      <c r="I1306" s="83"/>
      <c r="J1306" s="80"/>
      <c r="K1306" s="81"/>
      <c r="L1306" s="81"/>
      <c r="M1306" s="81"/>
      <c r="N1306" s="84" t="str">
        <f aca="false">IF(C1306="","",IF(P1306="","NJ INCONNU",IF(I1306="",IF(H1306="OUI","À ENROBER",IF(G1306="À SOUDER","NON SOUDÉ","EN ATTENTE RT")),IF(L1306="R","À REPRENDRE",IF(H1306&lt;&gt;"OUI","⚠ ENROBÉ AVANT ACCEPTATION RT","ENROBÉ")))))</f>
        <v>À ENROBER</v>
      </c>
      <c r="O1306" s="80"/>
      <c r="P1306" s="82" t="n">
        <f aca="false">IF(C1306="","",IFERROR(MATCH(Q1306,'CARNET DE SOUDURE'!$AW$7:$AW$3006,0),""))</f>
        <v>1300</v>
      </c>
      <c r="Q1306" s="82" t="str">
        <f aca="false">IF(C1306="","",B1306&amp;"|"&amp;C1306)</f>
        <v>MFD-ISW → MFD-CPF|JN°1095</v>
      </c>
    </row>
    <row r="1307" customFormat="false" ht="74.6" hidden="false" customHeight="false" outlineLevel="0" collapsed="false">
      <c r="A1307" s="82" t="n">
        <f aca="false">IF(C1307="","",ROW()-6)</f>
        <v>1301</v>
      </c>
      <c r="B1307" s="80" t="s">
        <v>110</v>
      </c>
      <c r="C1307" s="113" t="s">
        <v>1575</v>
      </c>
      <c r="D1307" s="82" t="str">
        <f aca="false">IF(OR(C1307="",P1307=""),"",INDEX('CARNET DE SOUDURE'!$D$7:$D$3006,P1307)&amp;"")</f>
        <v>10</v>
      </c>
      <c r="E1307" s="114" t="n">
        <f aca="false">IF(OR(C1307="",P1307=""),"",IF(INDEX('CARNET DE SOUDURE'!$U$7:$U$3006,P1307)="","",INDEX('CARNET DE SOUDURE'!$U$7:$U$3006,P1307)))</f>
        <v>46256</v>
      </c>
      <c r="F1307" s="82" t="str">
        <f aca="false">IF(OR(C1307="",P1307=""),"",INDEX('CARNET DE SOUDURE'!$AP$7:$AP$3006,P1307))</f>
        <v>A</v>
      </c>
      <c r="G1307" s="82" t="str">
        <f aca="false">IF(C1307="","",IF(P1307="","NJ INCONNU",INDEX('CARNET DE SOUDURE'!$AQ$7:$AQ$3006,P1307)))</f>
        <v>ACCEPTÉ</v>
      </c>
      <c r="H1307" s="82" t="str">
        <f aca="false">IF(C1307="","",IF(G1307="ACCEPTÉ","OUI","NON"))</f>
        <v>OUI</v>
      </c>
      <c r="I1307" s="83"/>
      <c r="J1307" s="80"/>
      <c r="K1307" s="81"/>
      <c r="L1307" s="81"/>
      <c r="M1307" s="81"/>
      <c r="N1307" s="84" t="str">
        <f aca="false">IF(C1307="","",IF(P1307="","NJ INCONNU",IF(I1307="",IF(H1307="OUI","À ENROBER",IF(G1307="À SOUDER","NON SOUDÉ","EN ATTENTE RT")),IF(L1307="R","À REPRENDRE",IF(H1307&lt;&gt;"OUI","⚠ ENROBÉ AVANT ACCEPTATION RT","ENROBÉ")))))</f>
        <v>À ENROBER</v>
      </c>
      <c r="O1307" s="80"/>
      <c r="P1307" s="82" t="n">
        <f aca="false">IF(C1307="","",IFERROR(MATCH(Q1307,'CARNET DE SOUDURE'!$AW$7:$AW$3006,0),""))</f>
        <v>1301</v>
      </c>
      <c r="Q1307" s="82" t="str">
        <f aca="false">IF(C1307="","",B1307&amp;"|"&amp;C1307)</f>
        <v>MFD-ISW → MFD-CPF|DJ°085</v>
      </c>
    </row>
    <row r="1308" customFormat="false" ht="74.6" hidden="false" customHeight="false" outlineLevel="0" collapsed="false">
      <c r="A1308" s="82" t="n">
        <f aca="false">IF(C1308="","",ROW()-6)</f>
        <v>1302</v>
      </c>
      <c r="B1308" s="80" t="s">
        <v>110</v>
      </c>
      <c r="C1308" s="113" t="s">
        <v>1576</v>
      </c>
      <c r="D1308" s="82" t="str">
        <f aca="false">IF(OR(C1308="",P1308=""),"",INDEX('CARNET DE SOUDURE'!$D$7:$D$3006,P1308)&amp;"")</f>
        <v>10</v>
      </c>
      <c r="E1308" s="114" t="n">
        <f aca="false">IF(OR(C1308="",P1308=""),"",IF(INDEX('CARNET DE SOUDURE'!$U$7:$U$3006,P1308)="","",INDEX('CARNET DE SOUDURE'!$U$7:$U$3006,P1308)))</f>
        <v>46277</v>
      </c>
      <c r="F1308" s="82" t="str">
        <f aca="false">IF(OR(C1308="",P1308=""),"",INDEX('CARNET DE SOUDURE'!$AP$7:$AP$3006,P1308))</f>
        <v>A</v>
      </c>
      <c r="G1308" s="82" t="str">
        <f aca="false">IF(C1308="","",IF(P1308="","NJ INCONNU",INDEX('CARNET DE SOUDURE'!$AQ$7:$AQ$3006,P1308)))</f>
        <v>ACCEPTÉ</v>
      </c>
      <c r="H1308" s="82" t="str">
        <f aca="false">IF(C1308="","",IF(G1308="ACCEPTÉ","OUI","NON"))</f>
        <v>OUI</v>
      </c>
      <c r="I1308" s="83"/>
      <c r="J1308" s="80"/>
      <c r="K1308" s="81"/>
      <c r="L1308" s="81"/>
      <c r="M1308" s="81"/>
      <c r="N1308" s="84" t="str">
        <f aca="false">IF(C1308="","",IF(P1308="","NJ INCONNU",IF(I1308="",IF(H1308="OUI","À ENROBER",IF(G1308="À SOUDER","NON SOUDÉ","EN ATTENTE RT")),IF(L1308="R","À REPRENDRE",IF(H1308&lt;&gt;"OUI","⚠ ENROBÉ AVANT ACCEPTATION RT","ENROBÉ")))))</f>
        <v>À ENROBER</v>
      </c>
      <c r="O1308" s="80"/>
      <c r="P1308" s="82" t="n">
        <f aca="false">IF(C1308="","",IFERROR(MATCH(Q1308,'CARNET DE SOUDURE'!$AW$7:$AW$3006,0),""))</f>
        <v>1302</v>
      </c>
      <c r="Q1308" s="82" t="str">
        <f aca="false">IF(C1308="","",B1308&amp;"|"&amp;C1308)</f>
        <v>MFD-ISW → MFD-CPF|JN°1096</v>
      </c>
    </row>
    <row r="1309" customFormat="false" ht="74.6" hidden="false" customHeight="false" outlineLevel="0" collapsed="false">
      <c r="A1309" s="82" t="n">
        <f aca="false">IF(C1309="","",ROW()-6)</f>
        <v>1303</v>
      </c>
      <c r="B1309" s="80" t="s">
        <v>110</v>
      </c>
      <c r="C1309" s="113" t="s">
        <v>1577</v>
      </c>
      <c r="D1309" s="82" t="str">
        <f aca="false">IF(OR(C1309="",P1309=""),"",INDEX('CARNET DE SOUDURE'!$D$7:$D$3006,P1309)&amp;"")</f>
        <v>10</v>
      </c>
      <c r="E1309" s="114" t="n">
        <f aca="false">IF(OR(C1309="",P1309=""),"",IF(INDEX('CARNET DE SOUDURE'!$U$7:$U$3006,P1309)="","",INDEX('CARNET DE SOUDURE'!$U$7:$U$3006,P1309)))</f>
        <v>46254</v>
      </c>
      <c r="F1309" s="82" t="str">
        <f aca="false">IF(OR(C1309="",P1309=""),"",INDEX('CARNET DE SOUDURE'!$AP$7:$AP$3006,P1309))</f>
        <v>A</v>
      </c>
      <c r="G1309" s="82" t="str">
        <f aca="false">IF(C1309="","",IF(P1309="","NJ INCONNU",INDEX('CARNET DE SOUDURE'!$AQ$7:$AQ$3006,P1309)))</f>
        <v>ACCEPTÉ</v>
      </c>
      <c r="H1309" s="82" t="str">
        <f aca="false">IF(C1309="","",IF(G1309="ACCEPTÉ","OUI","NON"))</f>
        <v>OUI</v>
      </c>
      <c r="I1309" s="83"/>
      <c r="J1309" s="80"/>
      <c r="K1309" s="81"/>
      <c r="L1309" s="81"/>
      <c r="M1309" s="81"/>
      <c r="N1309" s="84" t="str">
        <f aca="false">IF(C1309="","",IF(P1309="","NJ INCONNU",IF(I1309="",IF(H1309="OUI","À ENROBER",IF(G1309="À SOUDER","NON SOUDÉ","EN ATTENTE RT")),IF(L1309="R","À REPRENDRE",IF(H1309&lt;&gt;"OUI","⚠ ENROBÉ AVANT ACCEPTATION RT","ENROBÉ")))))</f>
        <v>À ENROBER</v>
      </c>
      <c r="O1309" s="80"/>
      <c r="P1309" s="82" t="n">
        <f aca="false">IF(C1309="","",IFERROR(MATCH(Q1309,'CARNET DE SOUDURE'!$AW$7:$AW$3006,0),""))</f>
        <v>1303</v>
      </c>
      <c r="Q1309" s="82" t="str">
        <f aca="false">IF(C1309="","",B1309&amp;"|"&amp;C1309)</f>
        <v>MFD-ISW → MFD-CPF|DJ°073</v>
      </c>
    </row>
    <row r="1310" customFormat="false" ht="74.6" hidden="false" customHeight="false" outlineLevel="0" collapsed="false">
      <c r="A1310" s="82" t="n">
        <f aca="false">IF(C1310="","",ROW()-6)</f>
        <v>1304</v>
      </c>
      <c r="B1310" s="80" t="s">
        <v>110</v>
      </c>
      <c r="C1310" s="113" t="s">
        <v>1579</v>
      </c>
      <c r="D1310" s="82" t="str">
        <f aca="false">IF(OR(C1310="",P1310=""),"",INDEX('CARNET DE SOUDURE'!$D$7:$D$3006,P1310)&amp;"")</f>
        <v>10</v>
      </c>
      <c r="E1310" s="114" t="str">
        <f aca="false">IF(OR(C1310="",P1310=""),"",IF(INDEX('CARNET DE SOUDURE'!$U$7:$U$3006,P1310)="","",INDEX('CARNET DE SOUDURE'!$U$7:$U$3006,P1310)))</f>
        <v/>
      </c>
      <c r="F1310" s="82" t="str">
        <f aca="false">IF(OR(C1310="",P1310=""),"",INDEX('CARNET DE SOUDURE'!$AP$7:$AP$3006,P1310))</f>
        <v/>
      </c>
      <c r="G1310" s="82" t="str">
        <f aca="false">IF(C1310="","",IF(P1310="","NJ INCONNU",INDEX('CARNET DE SOUDURE'!$AQ$7:$AQ$3006,P1310)))</f>
        <v>À SOUDER</v>
      </c>
      <c r="H1310" s="82" t="str">
        <f aca="false">IF(C1310="","",IF(G1310="ACCEPTÉ","OUI","NON"))</f>
        <v>NON</v>
      </c>
      <c r="I1310" s="83"/>
      <c r="J1310" s="80"/>
      <c r="K1310" s="81"/>
      <c r="L1310" s="81"/>
      <c r="M1310" s="81"/>
      <c r="N1310" s="84" t="str">
        <f aca="false">IF(C1310="","",IF(P1310="","NJ INCONNU",IF(I1310="",IF(H1310="OUI","À ENROBER",IF(G1310="À SOUDER","NON SOUDÉ","EN ATTENTE RT")),IF(L1310="R","À REPRENDRE",IF(H1310&lt;&gt;"OUI","⚠ ENROBÉ AVANT ACCEPTATION RT","ENROBÉ")))))</f>
        <v>NON SOUDÉ</v>
      </c>
      <c r="O1310" s="80"/>
      <c r="P1310" s="82" t="n">
        <f aca="false">IF(C1310="","",IFERROR(MATCH(Q1310,'CARNET DE SOUDURE'!$AW$7:$AW$3006,0),""))</f>
        <v>1304</v>
      </c>
      <c r="Q1310" s="82" t="str">
        <f aca="false">IF(C1310="","",B1310&amp;"|"&amp;C1310)</f>
        <v>MFD-ISW → MFD-CPF|JN°1097</v>
      </c>
    </row>
    <row r="1311" customFormat="false" ht="74.6" hidden="false" customHeight="false" outlineLevel="0" collapsed="false">
      <c r="A1311" s="82" t="n">
        <f aca="false">IF(C1311="","",ROW()-6)</f>
        <v>1305</v>
      </c>
      <c r="B1311" s="80" t="s">
        <v>110</v>
      </c>
      <c r="C1311" s="113" t="s">
        <v>1580</v>
      </c>
      <c r="D1311" s="82" t="str">
        <f aca="false">IF(OR(C1311="",P1311=""),"",INDEX('CARNET DE SOUDURE'!$D$7:$D$3006,P1311)&amp;"")</f>
        <v>10</v>
      </c>
      <c r="E1311" s="114" t="str">
        <f aca="false">IF(OR(C1311="",P1311=""),"",IF(INDEX('CARNET DE SOUDURE'!$U$7:$U$3006,P1311)="","",INDEX('CARNET DE SOUDURE'!$U$7:$U$3006,P1311)))</f>
        <v/>
      </c>
      <c r="F1311" s="82" t="str">
        <f aca="false">IF(OR(C1311="",P1311=""),"",INDEX('CARNET DE SOUDURE'!$AP$7:$AP$3006,P1311))</f>
        <v/>
      </c>
      <c r="G1311" s="82" t="str">
        <f aca="false">IF(C1311="","",IF(P1311="","NJ INCONNU",INDEX('CARNET DE SOUDURE'!$AQ$7:$AQ$3006,P1311)))</f>
        <v>À SOUDER</v>
      </c>
      <c r="H1311" s="82" t="str">
        <f aca="false">IF(C1311="","",IF(G1311="ACCEPTÉ","OUI","NON"))</f>
        <v>NON</v>
      </c>
      <c r="I1311" s="83"/>
      <c r="J1311" s="80"/>
      <c r="K1311" s="81"/>
      <c r="L1311" s="81"/>
      <c r="M1311" s="81"/>
      <c r="N1311" s="84" t="str">
        <f aca="false">IF(C1311="","",IF(P1311="","NJ INCONNU",IF(I1311="",IF(H1311="OUI","À ENROBER",IF(G1311="À SOUDER","NON SOUDÉ","EN ATTENTE RT")),IF(L1311="R","À REPRENDRE",IF(H1311&lt;&gt;"OUI","⚠ ENROBÉ AVANT ACCEPTATION RT","ENROBÉ")))))</f>
        <v>NON SOUDÉ</v>
      </c>
      <c r="O1311" s="80"/>
      <c r="P1311" s="82" t="n">
        <f aca="false">IF(C1311="","",IFERROR(MATCH(Q1311,'CARNET DE SOUDURE'!$AW$7:$AW$3006,0),""))</f>
        <v>1305</v>
      </c>
      <c r="Q1311" s="82" t="str">
        <f aca="false">IF(C1311="","",B1311&amp;"|"&amp;C1311)</f>
        <v>MFD-ISW → MFD-CPF|JN°1098</v>
      </c>
    </row>
    <row r="1312" customFormat="false" ht="74.6" hidden="false" customHeight="false" outlineLevel="0" collapsed="false">
      <c r="A1312" s="82" t="n">
        <f aca="false">IF(C1312="","",ROW()-6)</f>
        <v>1306</v>
      </c>
      <c r="B1312" s="80" t="s">
        <v>110</v>
      </c>
      <c r="C1312" s="113" t="s">
        <v>1581</v>
      </c>
      <c r="D1312" s="82" t="str">
        <f aca="false">IF(OR(C1312="",P1312=""),"",INDEX('CARNET DE SOUDURE'!$D$7:$D$3006,P1312)&amp;"")</f>
        <v>10</v>
      </c>
      <c r="E1312" s="114" t="str">
        <f aca="false">IF(OR(C1312="",P1312=""),"",IF(INDEX('CARNET DE SOUDURE'!$U$7:$U$3006,P1312)="","",INDEX('CARNET DE SOUDURE'!$U$7:$U$3006,P1312)))</f>
        <v/>
      </c>
      <c r="F1312" s="82" t="str">
        <f aca="false">IF(OR(C1312="",P1312=""),"",INDEX('CARNET DE SOUDURE'!$AP$7:$AP$3006,P1312))</f>
        <v/>
      </c>
      <c r="G1312" s="82" t="str">
        <f aca="false">IF(C1312="","",IF(P1312="","NJ INCONNU",INDEX('CARNET DE SOUDURE'!$AQ$7:$AQ$3006,P1312)))</f>
        <v>À SOUDER</v>
      </c>
      <c r="H1312" s="82" t="str">
        <f aca="false">IF(C1312="","",IF(G1312="ACCEPTÉ","OUI","NON"))</f>
        <v>NON</v>
      </c>
      <c r="I1312" s="83"/>
      <c r="J1312" s="80"/>
      <c r="K1312" s="81"/>
      <c r="L1312" s="81"/>
      <c r="M1312" s="81"/>
      <c r="N1312" s="84" t="str">
        <f aca="false">IF(C1312="","",IF(P1312="","NJ INCONNU",IF(I1312="",IF(H1312="OUI","À ENROBER",IF(G1312="À SOUDER","NON SOUDÉ","EN ATTENTE RT")),IF(L1312="R","À REPRENDRE",IF(H1312&lt;&gt;"OUI","⚠ ENROBÉ AVANT ACCEPTATION RT","ENROBÉ")))))</f>
        <v>NON SOUDÉ</v>
      </c>
      <c r="O1312" s="80"/>
      <c r="P1312" s="82" t="n">
        <f aca="false">IF(C1312="","",IFERROR(MATCH(Q1312,'CARNET DE SOUDURE'!$AW$7:$AW$3006,0),""))</f>
        <v>1306</v>
      </c>
      <c r="Q1312" s="82" t="str">
        <f aca="false">IF(C1312="","",B1312&amp;"|"&amp;C1312)</f>
        <v>MFD-ISW → MFD-CPF|JN°1099</v>
      </c>
    </row>
    <row r="1313" customFormat="false" ht="74.6" hidden="false" customHeight="false" outlineLevel="0" collapsed="false">
      <c r="A1313" s="82" t="n">
        <f aca="false">IF(C1313="","",ROW()-6)</f>
        <v>1307</v>
      </c>
      <c r="B1313" s="80" t="s">
        <v>110</v>
      </c>
      <c r="C1313" s="113" t="s">
        <v>1582</v>
      </c>
      <c r="D1313" s="82" t="str">
        <f aca="false">IF(OR(C1313="",P1313=""),"",INDEX('CARNET DE SOUDURE'!$D$7:$D$3006,P1313)&amp;"")</f>
        <v>10</v>
      </c>
      <c r="E1313" s="114" t="str">
        <f aca="false">IF(OR(C1313="",P1313=""),"",IF(INDEX('CARNET DE SOUDURE'!$U$7:$U$3006,P1313)="","",INDEX('CARNET DE SOUDURE'!$U$7:$U$3006,P1313)))</f>
        <v/>
      </c>
      <c r="F1313" s="82" t="str">
        <f aca="false">IF(OR(C1313="",P1313=""),"",INDEX('CARNET DE SOUDURE'!$AP$7:$AP$3006,P1313))</f>
        <v/>
      </c>
      <c r="G1313" s="82" t="str">
        <f aca="false">IF(C1313="","",IF(P1313="","NJ INCONNU",INDEX('CARNET DE SOUDURE'!$AQ$7:$AQ$3006,P1313)))</f>
        <v>À SOUDER</v>
      </c>
      <c r="H1313" s="82" t="str">
        <f aca="false">IF(C1313="","",IF(G1313="ACCEPTÉ","OUI","NON"))</f>
        <v>NON</v>
      </c>
      <c r="I1313" s="83"/>
      <c r="J1313" s="80"/>
      <c r="K1313" s="81"/>
      <c r="L1313" s="81"/>
      <c r="M1313" s="81"/>
      <c r="N1313" s="84" t="str">
        <f aca="false">IF(C1313="","",IF(P1313="","NJ INCONNU",IF(I1313="",IF(H1313="OUI","À ENROBER",IF(G1313="À SOUDER","NON SOUDÉ","EN ATTENTE RT")),IF(L1313="R","À REPRENDRE",IF(H1313&lt;&gt;"OUI","⚠ ENROBÉ AVANT ACCEPTATION RT","ENROBÉ")))))</f>
        <v>NON SOUDÉ</v>
      </c>
      <c r="O1313" s="80"/>
      <c r="P1313" s="82" t="n">
        <f aca="false">IF(C1313="","",IFERROR(MATCH(Q1313,'CARNET DE SOUDURE'!$AW$7:$AW$3006,0),""))</f>
        <v>1307</v>
      </c>
      <c r="Q1313" s="82" t="str">
        <f aca="false">IF(C1313="","",B1313&amp;"|"&amp;C1313)</f>
        <v>MFD-ISW → MFD-CPF|JN°1100</v>
      </c>
    </row>
    <row r="1314" customFormat="false" ht="74.6" hidden="false" customHeight="false" outlineLevel="0" collapsed="false">
      <c r="A1314" s="82" t="n">
        <f aca="false">IF(C1314="","",ROW()-6)</f>
        <v>1308</v>
      </c>
      <c r="B1314" s="80" t="s">
        <v>110</v>
      </c>
      <c r="C1314" s="113" t="s">
        <v>1583</v>
      </c>
      <c r="D1314" s="82" t="str">
        <f aca="false">IF(OR(C1314="",P1314=""),"",INDEX('CARNET DE SOUDURE'!$D$7:$D$3006,P1314)&amp;"")</f>
        <v>10</v>
      </c>
      <c r="E1314" s="114" t="str">
        <f aca="false">IF(OR(C1314="",P1314=""),"",IF(INDEX('CARNET DE SOUDURE'!$U$7:$U$3006,P1314)="","",INDEX('CARNET DE SOUDURE'!$U$7:$U$3006,P1314)))</f>
        <v/>
      </c>
      <c r="F1314" s="82" t="str">
        <f aca="false">IF(OR(C1314="",P1314=""),"",INDEX('CARNET DE SOUDURE'!$AP$7:$AP$3006,P1314))</f>
        <v/>
      </c>
      <c r="G1314" s="82" t="str">
        <f aca="false">IF(C1314="","",IF(P1314="","NJ INCONNU",INDEX('CARNET DE SOUDURE'!$AQ$7:$AQ$3006,P1314)))</f>
        <v>À SOUDER</v>
      </c>
      <c r="H1314" s="82" t="str">
        <f aca="false">IF(C1314="","",IF(G1314="ACCEPTÉ","OUI","NON"))</f>
        <v>NON</v>
      </c>
      <c r="I1314" s="83"/>
      <c r="J1314" s="80"/>
      <c r="K1314" s="81"/>
      <c r="L1314" s="81"/>
      <c r="M1314" s="81"/>
      <c r="N1314" s="84" t="str">
        <f aca="false">IF(C1314="","",IF(P1314="","NJ INCONNU",IF(I1314="",IF(H1314="OUI","À ENROBER",IF(G1314="À SOUDER","NON SOUDÉ","EN ATTENTE RT")),IF(L1314="R","À REPRENDRE",IF(H1314&lt;&gt;"OUI","⚠ ENROBÉ AVANT ACCEPTATION RT","ENROBÉ")))))</f>
        <v>NON SOUDÉ</v>
      </c>
      <c r="O1314" s="80"/>
      <c r="P1314" s="82" t="n">
        <f aca="false">IF(C1314="","",IFERROR(MATCH(Q1314,'CARNET DE SOUDURE'!$AW$7:$AW$3006,0),""))</f>
        <v>1308</v>
      </c>
      <c r="Q1314" s="82" t="str">
        <f aca="false">IF(C1314="","",B1314&amp;"|"&amp;C1314)</f>
        <v>MFD-ISW → MFD-CPF|JN°1101</v>
      </c>
    </row>
    <row r="1315" customFormat="false" ht="74.6" hidden="false" customHeight="false" outlineLevel="0" collapsed="false">
      <c r="A1315" s="82" t="n">
        <f aca="false">IF(C1315="","",ROW()-6)</f>
        <v>1309</v>
      </c>
      <c r="B1315" s="80" t="s">
        <v>110</v>
      </c>
      <c r="C1315" s="113" t="s">
        <v>1584</v>
      </c>
      <c r="D1315" s="82" t="str">
        <f aca="false">IF(OR(C1315="",P1315=""),"",INDEX('CARNET DE SOUDURE'!$D$7:$D$3006,P1315)&amp;"")</f>
        <v>10</v>
      </c>
      <c r="E1315" s="114" t="str">
        <f aca="false">IF(OR(C1315="",P1315=""),"",IF(INDEX('CARNET DE SOUDURE'!$U$7:$U$3006,P1315)="","",INDEX('CARNET DE SOUDURE'!$U$7:$U$3006,P1315)))</f>
        <v/>
      </c>
      <c r="F1315" s="82" t="str">
        <f aca="false">IF(OR(C1315="",P1315=""),"",INDEX('CARNET DE SOUDURE'!$AP$7:$AP$3006,P1315))</f>
        <v/>
      </c>
      <c r="G1315" s="82" t="str">
        <f aca="false">IF(C1315="","",IF(P1315="","NJ INCONNU",INDEX('CARNET DE SOUDURE'!$AQ$7:$AQ$3006,P1315)))</f>
        <v>À SOUDER</v>
      </c>
      <c r="H1315" s="82" t="str">
        <f aca="false">IF(C1315="","",IF(G1315="ACCEPTÉ","OUI","NON"))</f>
        <v>NON</v>
      </c>
      <c r="I1315" s="83"/>
      <c r="J1315" s="80"/>
      <c r="K1315" s="81"/>
      <c r="L1315" s="81"/>
      <c r="M1315" s="81"/>
      <c r="N1315" s="84" t="str">
        <f aca="false">IF(C1315="","",IF(P1315="","NJ INCONNU",IF(I1315="",IF(H1315="OUI","À ENROBER",IF(G1315="À SOUDER","NON SOUDÉ","EN ATTENTE RT")),IF(L1315="R","À REPRENDRE",IF(H1315&lt;&gt;"OUI","⚠ ENROBÉ AVANT ACCEPTATION RT","ENROBÉ")))))</f>
        <v>NON SOUDÉ</v>
      </c>
      <c r="O1315" s="80"/>
      <c r="P1315" s="82" t="n">
        <f aca="false">IF(C1315="","",IFERROR(MATCH(Q1315,'CARNET DE SOUDURE'!$AW$7:$AW$3006,0),""))</f>
        <v>1309</v>
      </c>
      <c r="Q1315" s="82" t="str">
        <f aca="false">IF(C1315="","",B1315&amp;"|"&amp;C1315)</f>
        <v>MFD-ISW → MFD-CPF|JN°1102</v>
      </c>
    </row>
    <row r="1316" customFormat="false" ht="74.6" hidden="false" customHeight="false" outlineLevel="0" collapsed="false">
      <c r="A1316" s="82" t="n">
        <f aca="false">IF(C1316="","",ROW()-6)</f>
        <v>1310</v>
      </c>
      <c r="B1316" s="80" t="s">
        <v>110</v>
      </c>
      <c r="C1316" s="113" t="s">
        <v>1585</v>
      </c>
      <c r="D1316" s="82" t="str">
        <f aca="false">IF(OR(C1316="",P1316=""),"",INDEX('CARNET DE SOUDURE'!$D$7:$D$3006,P1316)&amp;"")</f>
        <v>10</v>
      </c>
      <c r="E1316" s="114" t="str">
        <f aca="false">IF(OR(C1316="",P1316=""),"",IF(INDEX('CARNET DE SOUDURE'!$U$7:$U$3006,P1316)="","",INDEX('CARNET DE SOUDURE'!$U$7:$U$3006,P1316)))</f>
        <v/>
      </c>
      <c r="F1316" s="82" t="str">
        <f aca="false">IF(OR(C1316="",P1316=""),"",INDEX('CARNET DE SOUDURE'!$AP$7:$AP$3006,P1316))</f>
        <v/>
      </c>
      <c r="G1316" s="82" t="str">
        <f aca="false">IF(C1316="","",IF(P1316="","NJ INCONNU",INDEX('CARNET DE SOUDURE'!$AQ$7:$AQ$3006,P1316)))</f>
        <v>À SOUDER</v>
      </c>
      <c r="H1316" s="82" t="str">
        <f aca="false">IF(C1316="","",IF(G1316="ACCEPTÉ","OUI","NON"))</f>
        <v>NON</v>
      </c>
      <c r="I1316" s="83"/>
      <c r="J1316" s="80"/>
      <c r="K1316" s="81"/>
      <c r="L1316" s="81"/>
      <c r="M1316" s="81"/>
      <c r="N1316" s="84" t="str">
        <f aca="false">IF(C1316="","",IF(P1316="","NJ INCONNU",IF(I1316="",IF(H1316="OUI","À ENROBER",IF(G1316="À SOUDER","NON SOUDÉ","EN ATTENTE RT")),IF(L1316="R","À REPRENDRE",IF(H1316&lt;&gt;"OUI","⚠ ENROBÉ AVANT ACCEPTATION RT","ENROBÉ")))))</f>
        <v>NON SOUDÉ</v>
      </c>
      <c r="O1316" s="80"/>
      <c r="P1316" s="82" t="n">
        <f aca="false">IF(C1316="","",IFERROR(MATCH(Q1316,'CARNET DE SOUDURE'!$AW$7:$AW$3006,0),""))</f>
        <v>1310</v>
      </c>
      <c r="Q1316" s="82" t="str">
        <f aca="false">IF(C1316="","",B1316&amp;"|"&amp;C1316)</f>
        <v>MFD-ISW → MFD-CPF|JN°1103</v>
      </c>
    </row>
    <row r="1317" customFormat="false" ht="74.6" hidden="false" customHeight="false" outlineLevel="0" collapsed="false">
      <c r="A1317" s="82" t="n">
        <f aca="false">IF(C1317="","",ROW()-6)</f>
        <v>1311</v>
      </c>
      <c r="B1317" s="80" t="s">
        <v>110</v>
      </c>
      <c r="C1317" s="113" t="s">
        <v>1586</v>
      </c>
      <c r="D1317" s="82" t="str">
        <f aca="false">IF(OR(C1317="",P1317=""),"",INDEX('CARNET DE SOUDURE'!$D$7:$D$3006,P1317)&amp;"")</f>
        <v>10</v>
      </c>
      <c r="E1317" s="114" t="str">
        <f aca="false">IF(OR(C1317="",P1317=""),"",IF(INDEX('CARNET DE SOUDURE'!$U$7:$U$3006,P1317)="","",INDEX('CARNET DE SOUDURE'!$U$7:$U$3006,P1317)))</f>
        <v/>
      </c>
      <c r="F1317" s="82" t="str">
        <f aca="false">IF(OR(C1317="",P1317=""),"",INDEX('CARNET DE SOUDURE'!$AP$7:$AP$3006,P1317))</f>
        <v/>
      </c>
      <c r="G1317" s="82" t="str">
        <f aca="false">IF(C1317="","",IF(P1317="","NJ INCONNU",INDEX('CARNET DE SOUDURE'!$AQ$7:$AQ$3006,P1317)))</f>
        <v>À SOUDER</v>
      </c>
      <c r="H1317" s="82" t="str">
        <f aca="false">IF(C1317="","",IF(G1317="ACCEPTÉ","OUI","NON"))</f>
        <v>NON</v>
      </c>
      <c r="I1317" s="83"/>
      <c r="J1317" s="80"/>
      <c r="K1317" s="81"/>
      <c r="L1317" s="81"/>
      <c r="M1317" s="81"/>
      <c r="N1317" s="84" t="str">
        <f aca="false">IF(C1317="","",IF(P1317="","NJ INCONNU",IF(I1317="",IF(H1317="OUI","À ENROBER",IF(G1317="À SOUDER","NON SOUDÉ","EN ATTENTE RT")),IF(L1317="R","À REPRENDRE",IF(H1317&lt;&gt;"OUI","⚠ ENROBÉ AVANT ACCEPTATION RT","ENROBÉ")))))</f>
        <v>NON SOUDÉ</v>
      </c>
      <c r="O1317" s="80"/>
      <c r="P1317" s="82" t="n">
        <f aca="false">IF(C1317="","",IFERROR(MATCH(Q1317,'CARNET DE SOUDURE'!$AW$7:$AW$3006,0),""))</f>
        <v>1311</v>
      </c>
      <c r="Q1317" s="82" t="str">
        <f aca="false">IF(C1317="","",B1317&amp;"|"&amp;C1317)</f>
        <v>MFD-ISW → MFD-CPF|JN°1104</v>
      </c>
    </row>
    <row r="1318" customFormat="false" ht="74.6" hidden="false" customHeight="false" outlineLevel="0" collapsed="false">
      <c r="A1318" s="82" t="n">
        <f aca="false">IF(C1318="","",ROW()-6)</f>
        <v>1312</v>
      </c>
      <c r="B1318" s="80" t="s">
        <v>110</v>
      </c>
      <c r="C1318" s="113" t="s">
        <v>1588</v>
      </c>
      <c r="D1318" s="82" t="str">
        <f aca="false">IF(OR(C1318="",P1318=""),"",INDEX('CARNET DE SOUDURE'!$D$7:$D$3006,P1318)&amp;"")</f>
        <v>10</v>
      </c>
      <c r="E1318" s="114" t="n">
        <f aca="false">IF(OR(C1318="",P1318=""),"",IF(INDEX('CARNET DE SOUDURE'!$U$7:$U$3006,P1318)="","",INDEX('CARNET DE SOUDURE'!$U$7:$U$3006,P1318)))</f>
        <v>46256</v>
      </c>
      <c r="F1318" s="82" t="str">
        <f aca="false">IF(OR(C1318="",P1318=""),"",INDEX('CARNET DE SOUDURE'!$AP$7:$AP$3006,P1318))</f>
        <v>A</v>
      </c>
      <c r="G1318" s="82" t="str">
        <f aca="false">IF(C1318="","",IF(P1318="","NJ INCONNU",INDEX('CARNET DE SOUDURE'!$AQ$7:$AQ$3006,P1318)))</f>
        <v>ACCEPTÉ</v>
      </c>
      <c r="H1318" s="82" t="str">
        <f aca="false">IF(C1318="","",IF(G1318="ACCEPTÉ","OUI","NON"))</f>
        <v>OUI</v>
      </c>
      <c r="I1318" s="83"/>
      <c r="J1318" s="80"/>
      <c r="K1318" s="81"/>
      <c r="L1318" s="81"/>
      <c r="M1318" s="81"/>
      <c r="N1318" s="84" t="str">
        <f aca="false">IF(C1318="","",IF(P1318="","NJ INCONNU",IF(I1318="",IF(H1318="OUI","À ENROBER",IF(G1318="À SOUDER","NON SOUDÉ","EN ATTENTE RT")),IF(L1318="R","À REPRENDRE",IF(H1318&lt;&gt;"OUI","⚠ ENROBÉ AVANT ACCEPTATION RT","ENROBÉ")))))</f>
        <v>À ENROBER</v>
      </c>
      <c r="O1318" s="80"/>
      <c r="P1318" s="82" t="n">
        <f aca="false">IF(C1318="","",IFERROR(MATCH(Q1318,'CARNET DE SOUDURE'!$AW$7:$AW$3006,0),""))</f>
        <v>1312</v>
      </c>
      <c r="Q1318" s="82" t="str">
        <f aca="false">IF(C1318="","",B1318&amp;"|"&amp;C1318)</f>
        <v>MFD-ISW → MFD-CPF|DJ°094</v>
      </c>
    </row>
    <row r="1319" customFormat="false" ht="74.6" hidden="false" customHeight="false" outlineLevel="0" collapsed="false">
      <c r="A1319" s="82" t="n">
        <f aca="false">IF(C1319="","",ROW()-6)</f>
        <v>1313</v>
      </c>
      <c r="B1319" s="80" t="s">
        <v>110</v>
      </c>
      <c r="C1319" s="113" t="s">
        <v>1589</v>
      </c>
      <c r="D1319" s="82" t="str">
        <f aca="false">IF(OR(C1319="",P1319=""),"",INDEX('CARNET DE SOUDURE'!$D$7:$D$3006,P1319)&amp;"")</f>
        <v>10</v>
      </c>
      <c r="E1319" s="114" t="n">
        <f aca="false">IF(OR(C1319="",P1319=""),"",IF(INDEX('CARNET DE SOUDURE'!$U$7:$U$3006,P1319)="","",INDEX('CARNET DE SOUDURE'!$U$7:$U$3006,P1319)))</f>
        <v>46277</v>
      </c>
      <c r="F1319" s="82" t="str">
        <f aca="false">IF(OR(C1319="",P1319=""),"",INDEX('CARNET DE SOUDURE'!$AP$7:$AP$3006,P1319))</f>
        <v/>
      </c>
      <c r="G1319" s="82" t="str">
        <f aca="false">IF(C1319="","",IF(P1319="","NJ INCONNU",INDEX('CARNET DE SOUDURE'!$AQ$7:$AQ$3006,P1319)))</f>
        <v>À RADIOGRAPHIER</v>
      </c>
      <c r="H1319" s="82" t="str">
        <f aca="false">IF(C1319="","",IF(G1319="ACCEPTÉ","OUI","NON"))</f>
        <v>NON</v>
      </c>
      <c r="I1319" s="83"/>
      <c r="J1319" s="80"/>
      <c r="K1319" s="81"/>
      <c r="L1319" s="81"/>
      <c r="M1319" s="81"/>
      <c r="N1319" s="84" t="str">
        <f aca="false">IF(C1319="","",IF(P1319="","NJ INCONNU",IF(I1319="",IF(H1319="OUI","À ENROBER",IF(G1319="À SOUDER","NON SOUDÉ","EN ATTENTE RT")),IF(L1319="R","À REPRENDRE",IF(H1319&lt;&gt;"OUI","⚠ ENROBÉ AVANT ACCEPTATION RT","ENROBÉ")))))</f>
        <v>EN ATTENTE RT</v>
      </c>
      <c r="O1319" s="80"/>
      <c r="P1319" s="82" t="n">
        <f aca="false">IF(C1319="","",IFERROR(MATCH(Q1319,'CARNET DE SOUDURE'!$AW$7:$AW$3006,0),""))</f>
        <v>1313</v>
      </c>
      <c r="Q1319" s="82" t="str">
        <f aca="false">IF(C1319="","",B1319&amp;"|"&amp;C1319)</f>
        <v>MFD-ISW → MFD-CPF|JN°1105</v>
      </c>
    </row>
    <row r="1320" customFormat="false" ht="74.6" hidden="false" customHeight="false" outlineLevel="0" collapsed="false">
      <c r="A1320" s="82" t="n">
        <f aca="false">IF(C1320="","",ROW()-6)</f>
        <v>1314</v>
      </c>
      <c r="B1320" s="80" t="s">
        <v>110</v>
      </c>
      <c r="C1320" s="113" t="s">
        <v>1590</v>
      </c>
      <c r="D1320" s="82" t="str">
        <f aca="false">IF(OR(C1320="",P1320=""),"",INDEX('CARNET DE SOUDURE'!$D$7:$D$3006,P1320)&amp;"")</f>
        <v>11</v>
      </c>
      <c r="E1320" s="114" t="n">
        <f aca="false">IF(OR(C1320="",P1320=""),"",IF(INDEX('CARNET DE SOUDURE'!$U$7:$U$3006,P1320)="","",INDEX('CARNET DE SOUDURE'!$U$7:$U$3006,P1320)))</f>
        <v>46256</v>
      </c>
      <c r="F1320" s="82" t="str">
        <f aca="false">IF(OR(C1320="",P1320=""),"",INDEX('CARNET DE SOUDURE'!$AP$7:$AP$3006,P1320))</f>
        <v>A</v>
      </c>
      <c r="G1320" s="82" t="str">
        <f aca="false">IF(C1320="","",IF(P1320="","NJ INCONNU",INDEX('CARNET DE SOUDURE'!$AQ$7:$AQ$3006,P1320)))</f>
        <v>ACCEPTÉ</v>
      </c>
      <c r="H1320" s="82" t="str">
        <f aca="false">IF(C1320="","",IF(G1320="ACCEPTÉ","OUI","NON"))</f>
        <v>OUI</v>
      </c>
      <c r="I1320" s="83"/>
      <c r="J1320" s="80"/>
      <c r="K1320" s="81"/>
      <c r="L1320" s="81"/>
      <c r="M1320" s="81"/>
      <c r="N1320" s="84" t="str">
        <f aca="false">IF(C1320="","",IF(P1320="","NJ INCONNU",IF(I1320="",IF(H1320="OUI","À ENROBER",IF(G1320="À SOUDER","NON SOUDÉ","EN ATTENTE RT")),IF(L1320="R","À REPRENDRE",IF(H1320&lt;&gt;"OUI","⚠ ENROBÉ AVANT ACCEPTATION RT","ENROBÉ")))))</f>
        <v>À ENROBER</v>
      </c>
      <c r="O1320" s="80"/>
      <c r="P1320" s="82" t="n">
        <f aca="false">IF(C1320="","",IFERROR(MATCH(Q1320,'CARNET DE SOUDURE'!$AW$7:$AW$3006,0),""))</f>
        <v>1314</v>
      </c>
      <c r="Q1320" s="82" t="str">
        <f aca="false">IF(C1320="","",B1320&amp;"|"&amp;C1320)</f>
        <v>MFD-ISW → MFD-CPF|DJ°091</v>
      </c>
    </row>
    <row r="1321" customFormat="false" ht="74.6" hidden="false" customHeight="false" outlineLevel="0" collapsed="false">
      <c r="A1321" s="82" t="n">
        <f aca="false">IF(C1321="","",ROW()-6)</f>
        <v>1315</v>
      </c>
      <c r="B1321" s="80" t="s">
        <v>110</v>
      </c>
      <c r="C1321" s="113" t="s">
        <v>1591</v>
      </c>
      <c r="D1321" s="82" t="str">
        <f aca="false">IF(OR(C1321="",P1321=""),"",INDEX('CARNET DE SOUDURE'!$D$7:$D$3006,P1321)&amp;"")</f>
        <v>11</v>
      </c>
      <c r="E1321" s="114" t="n">
        <f aca="false">IF(OR(C1321="",P1321=""),"",IF(INDEX('CARNET DE SOUDURE'!$U$7:$U$3006,P1321)="","",INDEX('CARNET DE SOUDURE'!$U$7:$U$3006,P1321)))</f>
        <v>46277</v>
      </c>
      <c r="F1321" s="82" t="str">
        <f aca="false">IF(OR(C1321="",P1321=""),"",INDEX('CARNET DE SOUDURE'!$AP$7:$AP$3006,P1321))</f>
        <v/>
      </c>
      <c r="G1321" s="82" t="str">
        <f aca="false">IF(C1321="","",IF(P1321="","NJ INCONNU",INDEX('CARNET DE SOUDURE'!$AQ$7:$AQ$3006,P1321)))</f>
        <v>À RADIOGRAPHIER</v>
      </c>
      <c r="H1321" s="82" t="str">
        <f aca="false">IF(C1321="","",IF(G1321="ACCEPTÉ","OUI","NON"))</f>
        <v>NON</v>
      </c>
      <c r="I1321" s="83"/>
      <c r="J1321" s="80"/>
      <c r="K1321" s="81"/>
      <c r="L1321" s="81"/>
      <c r="M1321" s="81"/>
      <c r="N1321" s="84" t="str">
        <f aca="false">IF(C1321="","",IF(P1321="","NJ INCONNU",IF(I1321="",IF(H1321="OUI","À ENROBER",IF(G1321="À SOUDER","NON SOUDÉ","EN ATTENTE RT")),IF(L1321="R","À REPRENDRE",IF(H1321&lt;&gt;"OUI","⚠ ENROBÉ AVANT ACCEPTATION RT","ENROBÉ")))))</f>
        <v>EN ATTENTE RT</v>
      </c>
      <c r="O1321" s="80"/>
      <c r="P1321" s="82" t="n">
        <f aca="false">IF(C1321="","",IFERROR(MATCH(Q1321,'CARNET DE SOUDURE'!$AW$7:$AW$3006,0),""))</f>
        <v>1315</v>
      </c>
      <c r="Q1321" s="82" t="str">
        <f aca="false">IF(C1321="","",B1321&amp;"|"&amp;C1321)</f>
        <v>MFD-ISW → MFD-CPF|JN°1106</v>
      </c>
    </row>
    <row r="1322" customFormat="false" ht="74.6" hidden="false" customHeight="false" outlineLevel="0" collapsed="false">
      <c r="A1322" s="82" t="n">
        <f aca="false">IF(C1322="","",ROW()-6)</f>
        <v>1316</v>
      </c>
      <c r="B1322" s="80" t="s">
        <v>110</v>
      </c>
      <c r="C1322" s="113" t="s">
        <v>1592</v>
      </c>
      <c r="D1322" s="82" t="str">
        <f aca="false">IF(OR(C1322="",P1322=""),"",INDEX('CARNET DE SOUDURE'!$D$7:$D$3006,P1322)&amp;"")</f>
        <v>11</v>
      </c>
      <c r="E1322" s="114" t="n">
        <f aca="false">IF(OR(C1322="",P1322=""),"",IF(INDEX('CARNET DE SOUDURE'!$U$7:$U$3006,P1322)="","",INDEX('CARNET DE SOUDURE'!$U$7:$U$3006,P1322)))</f>
        <v>46271</v>
      </c>
      <c r="F1322" s="82" t="str">
        <f aca="false">IF(OR(C1322="",P1322=""),"",INDEX('CARNET DE SOUDURE'!$AP$7:$AP$3006,P1322))</f>
        <v>A</v>
      </c>
      <c r="G1322" s="82" t="str">
        <f aca="false">IF(C1322="","",IF(P1322="","NJ INCONNU",INDEX('CARNET DE SOUDURE'!$AQ$7:$AQ$3006,P1322)))</f>
        <v>ACCEPTÉ</v>
      </c>
      <c r="H1322" s="82" t="str">
        <f aca="false">IF(C1322="","",IF(G1322="ACCEPTÉ","OUI","NON"))</f>
        <v>OUI</v>
      </c>
      <c r="I1322" s="83"/>
      <c r="J1322" s="80"/>
      <c r="K1322" s="81"/>
      <c r="L1322" s="81"/>
      <c r="M1322" s="81"/>
      <c r="N1322" s="84" t="str">
        <f aca="false">IF(C1322="","",IF(P1322="","NJ INCONNU",IF(I1322="",IF(H1322="OUI","À ENROBER",IF(G1322="À SOUDER","NON SOUDÉ","EN ATTENTE RT")),IF(L1322="R","À REPRENDRE",IF(H1322&lt;&gt;"OUI","⚠ ENROBÉ AVANT ACCEPTATION RT","ENROBÉ")))))</f>
        <v>À ENROBER</v>
      </c>
      <c r="O1322" s="80"/>
      <c r="P1322" s="82" t="n">
        <f aca="false">IF(C1322="","",IFERROR(MATCH(Q1322,'CARNET DE SOUDURE'!$AW$7:$AW$3006,0),""))</f>
        <v>1316</v>
      </c>
      <c r="Q1322" s="82" t="str">
        <f aca="false">IF(C1322="","",B1322&amp;"|"&amp;C1322)</f>
        <v>MFD-ISW → MFD-CPF|DJ°302</v>
      </c>
    </row>
    <row r="1323" customFormat="false" ht="74.6" hidden="false" customHeight="false" outlineLevel="0" collapsed="false">
      <c r="A1323" s="82" t="n">
        <f aca="false">IF(C1323="","",ROW()-6)</f>
        <v>1317</v>
      </c>
      <c r="B1323" s="80" t="s">
        <v>110</v>
      </c>
      <c r="C1323" s="113" t="s">
        <v>1593</v>
      </c>
      <c r="D1323" s="82" t="str">
        <f aca="false">IF(OR(C1323="",P1323=""),"",INDEX('CARNET DE SOUDURE'!$D$7:$D$3006,P1323)&amp;"")</f>
        <v>11</v>
      </c>
      <c r="E1323" s="114" t="n">
        <f aca="false">IF(OR(C1323="",P1323=""),"",IF(INDEX('CARNET DE SOUDURE'!$U$7:$U$3006,P1323)="","",INDEX('CARNET DE SOUDURE'!$U$7:$U$3006,P1323)))</f>
        <v>46277</v>
      </c>
      <c r="F1323" s="82" t="str">
        <f aca="false">IF(OR(C1323="",P1323=""),"",INDEX('CARNET DE SOUDURE'!$AP$7:$AP$3006,P1323))</f>
        <v>A</v>
      </c>
      <c r="G1323" s="82" t="str">
        <f aca="false">IF(C1323="","",IF(P1323="","NJ INCONNU",INDEX('CARNET DE SOUDURE'!$AQ$7:$AQ$3006,P1323)))</f>
        <v>ACCEPTÉ</v>
      </c>
      <c r="H1323" s="82" t="str">
        <f aca="false">IF(C1323="","",IF(G1323="ACCEPTÉ","OUI","NON"))</f>
        <v>OUI</v>
      </c>
      <c r="I1323" s="83"/>
      <c r="J1323" s="80"/>
      <c r="K1323" s="81"/>
      <c r="L1323" s="81"/>
      <c r="M1323" s="81"/>
      <c r="N1323" s="84" t="str">
        <f aca="false">IF(C1323="","",IF(P1323="","NJ INCONNU",IF(I1323="",IF(H1323="OUI","À ENROBER",IF(G1323="À SOUDER","NON SOUDÉ","EN ATTENTE RT")),IF(L1323="R","À REPRENDRE",IF(H1323&lt;&gt;"OUI","⚠ ENROBÉ AVANT ACCEPTATION RT","ENROBÉ")))))</f>
        <v>À ENROBER</v>
      </c>
      <c r="O1323" s="80"/>
      <c r="P1323" s="82" t="n">
        <f aca="false">IF(C1323="","",IFERROR(MATCH(Q1323,'CARNET DE SOUDURE'!$AW$7:$AW$3006,0),""))</f>
        <v>1317</v>
      </c>
      <c r="Q1323" s="82" t="str">
        <f aca="false">IF(C1323="","",B1323&amp;"|"&amp;C1323)</f>
        <v>MFD-ISW → MFD-CPF|JN°1107</v>
      </c>
    </row>
    <row r="1324" customFormat="false" ht="74.6" hidden="false" customHeight="false" outlineLevel="0" collapsed="false">
      <c r="A1324" s="82" t="n">
        <f aca="false">IF(C1324="","",ROW()-6)</f>
        <v>1318</v>
      </c>
      <c r="B1324" s="80" t="s">
        <v>110</v>
      </c>
      <c r="C1324" s="113" t="s">
        <v>1595</v>
      </c>
      <c r="D1324" s="82" t="str">
        <f aca="false">IF(OR(C1324="",P1324=""),"",INDEX('CARNET DE SOUDURE'!$D$7:$D$3006,P1324)&amp;"")</f>
        <v>11</v>
      </c>
      <c r="E1324" s="114" t="n">
        <f aca="false">IF(OR(C1324="",P1324=""),"",IF(INDEX('CARNET DE SOUDURE'!$U$7:$U$3006,P1324)="","",INDEX('CARNET DE SOUDURE'!$U$7:$U$3006,P1324)))</f>
        <v>46271</v>
      </c>
      <c r="F1324" s="82" t="str">
        <f aca="false">IF(OR(C1324="",P1324=""),"",INDEX('CARNET DE SOUDURE'!$AP$7:$AP$3006,P1324))</f>
        <v>A</v>
      </c>
      <c r="G1324" s="82" t="str">
        <f aca="false">IF(C1324="","",IF(P1324="","NJ INCONNU",INDEX('CARNET DE SOUDURE'!$AQ$7:$AQ$3006,P1324)))</f>
        <v>ACCEPTÉ</v>
      </c>
      <c r="H1324" s="82" t="str">
        <f aca="false">IF(C1324="","",IF(G1324="ACCEPTÉ","OUI","NON"))</f>
        <v>OUI</v>
      </c>
      <c r="I1324" s="83"/>
      <c r="J1324" s="80"/>
      <c r="K1324" s="81"/>
      <c r="L1324" s="81"/>
      <c r="M1324" s="81"/>
      <c r="N1324" s="84" t="str">
        <f aca="false">IF(C1324="","",IF(P1324="","NJ INCONNU",IF(I1324="",IF(H1324="OUI","À ENROBER",IF(G1324="À SOUDER","NON SOUDÉ","EN ATTENTE RT")),IF(L1324="R","À REPRENDRE",IF(H1324&lt;&gt;"OUI","⚠ ENROBÉ AVANT ACCEPTATION RT","ENROBÉ")))))</f>
        <v>À ENROBER</v>
      </c>
      <c r="O1324" s="80"/>
      <c r="P1324" s="82" t="n">
        <f aca="false">IF(C1324="","",IFERROR(MATCH(Q1324,'CARNET DE SOUDURE'!$AW$7:$AW$3006,0),""))</f>
        <v>1318</v>
      </c>
      <c r="Q1324" s="82" t="str">
        <f aca="false">IF(C1324="","",B1324&amp;"|"&amp;C1324)</f>
        <v>MFD-ISW → MFD-CPF|DJ°293</v>
      </c>
    </row>
    <row r="1325" customFormat="false" ht="74.6" hidden="false" customHeight="false" outlineLevel="0" collapsed="false">
      <c r="A1325" s="82" t="n">
        <f aca="false">IF(C1325="","",ROW()-6)</f>
        <v>1319</v>
      </c>
      <c r="B1325" s="80" t="s">
        <v>110</v>
      </c>
      <c r="C1325" s="113" t="s">
        <v>1596</v>
      </c>
      <c r="D1325" s="82" t="str">
        <f aca="false">IF(OR(C1325="",P1325=""),"",INDEX('CARNET DE SOUDURE'!$D$7:$D$3006,P1325)&amp;"")</f>
        <v>11</v>
      </c>
      <c r="E1325" s="114" t="n">
        <f aca="false">IF(OR(C1325="",P1325=""),"",IF(INDEX('CARNET DE SOUDURE'!$U$7:$U$3006,P1325)="","",INDEX('CARNET DE SOUDURE'!$U$7:$U$3006,P1325)))</f>
        <v>46277</v>
      </c>
      <c r="F1325" s="82" t="str">
        <f aca="false">IF(OR(C1325="",P1325=""),"",INDEX('CARNET DE SOUDURE'!$AP$7:$AP$3006,P1325))</f>
        <v>R</v>
      </c>
      <c r="G1325" s="82" t="str">
        <f aca="false">IF(C1325="","",IF(P1325="","NJ INCONNU",INDEX('CARNET DE SOUDURE'!$AQ$7:$AQ$3006,P1325)))</f>
        <v>À RÉPARER</v>
      </c>
      <c r="H1325" s="82" t="str">
        <f aca="false">IF(C1325="","",IF(G1325="ACCEPTÉ","OUI","NON"))</f>
        <v>NON</v>
      </c>
      <c r="I1325" s="83"/>
      <c r="J1325" s="80"/>
      <c r="K1325" s="81"/>
      <c r="L1325" s="81"/>
      <c r="M1325" s="81"/>
      <c r="N1325" s="84" t="str">
        <f aca="false">IF(C1325="","",IF(P1325="","NJ INCONNU",IF(I1325="",IF(H1325="OUI","À ENROBER",IF(G1325="À SOUDER","NON SOUDÉ","EN ATTENTE RT")),IF(L1325="R","À REPRENDRE",IF(H1325&lt;&gt;"OUI","⚠ ENROBÉ AVANT ACCEPTATION RT","ENROBÉ")))))</f>
        <v>EN ATTENTE RT</v>
      </c>
      <c r="O1325" s="80"/>
      <c r="P1325" s="82" t="n">
        <f aca="false">IF(C1325="","",IFERROR(MATCH(Q1325,'CARNET DE SOUDURE'!$AW$7:$AW$3006,0),""))</f>
        <v>1319</v>
      </c>
      <c r="Q1325" s="82" t="str">
        <f aca="false">IF(C1325="","",B1325&amp;"|"&amp;C1325)</f>
        <v>MFD-ISW → MFD-CPF|JN°1108</v>
      </c>
    </row>
    <row r="1326" customFormat="false" ht="74.6" hidden="false" customHeight="false" outlineLevel="0" collapsed="false">
      <c r="A1326" s="82" t="n">
        <f aca="false">IF(C1326="","",ROW()-6)</f>
        <v>1320</v>
      </c>
      <c r="B1326" s="80" t="s">
        <v>110</v>
      </c>
      <c r="C1326" s="113" t="s">
        <v>1598</v>
      </c>
      <c r="D1326" s="82" t="str">
        <f aca="false">IF(OR(C1326="",P1326=""),"",INDEX('CARNET DE SOUDURE'!$D$7:$D$3006,P1326)&amp;"")</f>
        <v>11</v>
      </c>
      <c r="E1326" s="114" t="n">
        <f aca="false">IF(OR(C1326="",P1326=""),"",IF(INDEX('CARNET DE SOUDURE'!$U$7:$U$3006,P1326)="","",INDEX('CARNET DE SOUDURE'!$U$7:$U$3006,P1326)))</f>
        <v>46270</v>
      </c>
      <c r="F1326" s="82" t="str">
        <f aca="false">IF(OR(C1326="",P1326=""),"",INDEX('CARNET DE SOUDURE'!$AP$7:$AP$3006,P1326))</f>
        <v>A</v>
      </c>
      <c r="G1326" s="82" t="str">
        <f aca="false">IF(C1326="","",IF(P1326="","NJ INCONNU",INDEX('CARNET DE SOUDURE'!$AQ$7:$AQ$3006,P1326)))</f>
        <v>ACCEPTÉ</v>
      </c>
      <c r="H1326" s="82" t="str">
        <f aca="false">IF(C1326="","",IF(G1326="ACCEPTÉ","OUI","NON"))</f>
        <v>OUI</v>
      </c>
      <c r="I1326" s="83"/>
      <c r="J1326" s="80"/>
      <c r="K1326" s="81"/>
      <c r="L1326" s="81"/>
      <c r="M1326" s="81"/>
      <c r="N1326" s="84" t="str">
        <f aca="false">IF(C1326="","",IF(P1326="","NJ INCONNU",IF(I1326="",IF(H1326="OUI","À ENROBER",IF(G1326="À SOUDER","NON SOUDÉ","EN ATTENTE RT")),IF(L1326="R","À REPRENDRE",IF(H1326&lt;&gt;"OUI","⚠ ENROBÉ AVANT ACCEPTATION RT","ENROBÉ")))))</f>
        <v>À ENROBER</v>
      </c>
      <c r="O1326" s="80"/>
      <c r="P1326" s="82" t="n">
        <f aca="false">IF(C1326="","",IFERROR(MATCH(Q1326,'CARNET DE SOUDURE'!$AW$7:$AW$3006,0),""))</f>
        <v>1320</v>
      </c>
      <c r="Q1326" s="82" t="str">
        <f aca="false">IF(C1326="","",B1326&amp;"|"&amp;C1326)</f>
        <v>MFD-ISW → MFD-CPF|DJ°289</v>
      </c>
    </row>
    <row r="1327" customFormat="false" ht="74.6" hidden="false" customHeight="false" outlineLevel="0" collapsed="false">
      <c r="A1327" s="82" t="n">
        <f aca="false">IF(C1327="","",ROW()-6)</f>
        <v>1321</v>
      </c>
      <c r="B1327" s="80" t="s">
        <v>110</v>
      </c>
      <c r="C1327" s="113" t="s">
        <v>1600</v>
      </c>
      <c r="D1327" s="82" t="str">
        <f aca="false">IF(OR(C1327="",P1327=""),"",INDEX('CARNET DE SOUDURE'!$D$7:$D$3006,P1327)&amp;"")</f>
        <v>11</v>
      </c>
      <c r="E1327" s="114" t="n">
        <f aca="false">IF(OR(C1327="",P1327=""),"",IF(INDEX('CARNET DE SOUDURE'!$U$7:$U$3006,P1327)="","",INDEX('CARNET DE SOUDURE'!$U$7:$U$3006,P1327)))</f>
        <v>46277</v>
      </c>
      <c r="F1327" s="82" t="str">
        <f aca="false">IF(OR(C1327="",P1327=""),"",INDEX('CARNET DE SOUDURE'!$AP$7:$AP$3006,P1327))</f>
        <v>A</v>
      </c>
      <c r="G1327" s="82" t="str">
        <f aca="false">IF(C1327="","",IF(P1327="","NJ INCONNU",INDEX('CARNET DE SOUDURE'!$AQ$7:$AQ$3006,P1327)))</f>
        <v>ACCEPTÉ</v>
      </c>
      <c r="H1327" s="82" t="str">
        <f aca="false">IF(C1327="","",IF(G1327="ACCEPTÉ","OUI","NON"))</f>
        <v>OUI</v>
      </c>
      <c r="I1327" s="83"/>
      <c r="J1327" s="80"/>
      <c r="K1327" s="81"/>
      <c r="L1327" s="81"/>
      <c r="M1327" s="81"/>
      <c r="N1327" s="84" t="str">
        <f aca="false">IF(C1327="","",IF(P1327="","NJ INCONNU",IF(I1327="",IF(H1327="OUI","À ENROBER",IF(G1327="À SOUDER","NON SOUDÉ","EN ATTENTE RT")),IF(L1327="R","À REPRENDRE",IF(H1327&lt;&gt;"OUI","⚠ ENROBÉ AVANT ACCEPTATION RT","ENROBÉ")))))</f>
        <v>À ENROBER</v>
      </c>
      <c r="O1327" s="80"/>
      <c r="P1327" s="82" t="n">
        <f aca="false">IF(C1327="","",IFERROR(MATCH(Q1327,'CARNET DE SOUDURE'!$AW$7:$AW$3006,0),""))</f>
        <v>1321</v>
      </c>
      <c r="Q1327" s="82" t="str">
        <f aca="false">IF(C1327="","",B1327&amp;"|"&amp;C1327)</f>
        <v>MFD-ISW → MFD-CPF|JN°1109</v>
      </c>
    </row>
    <row r="1328" customFormat="false" ht="74.6" hidden="false" customHeight="false" outlineLevel="0" collapsed="false">
      <c r="A1328" s="82" t="n">
        <f aca="false">IF(C1328="","",ROW()-6)</f>
        <v>1322</v>
      </c>
      <c r="B1328" s="80" t="s">
        <v>110</v>
      </c>
      <c r="C1328" s="113" t="s">
        <v>1601</v>
      </c>
      <c r="D1328" s="82" t="str">
        <f aca="false">IF(OR(C1328="",P1328=""),"",INDEX('CARNET DE SOUDURE'!$D$7:$D$3006,P1328)&amp;"")</f>
        <v>11</v>
      </c>
      <c r="E1328" s="114" t="n">
        <f aca="false">IF(OR(C1328="",P1328=""),"",IF(INDEX('CARNET DE SOUDURE'!$U$7:$U$3006,P1328)="","",INDEX('CARNET DE SOUDURE'!$U$7:$U$3006,P1328)))</f>
        <v>46270</v>
      </c>
      <c r="F1328" s="82" t="str">
        <f aca="false">IF(OR(C1328="",P1328=""),"",INDEX('CARNET DE SOUDURE'!$AP$7:$AP$3006,P1328))</f>
        <v>A</v>
      </c>
      <c r="G1328" s="82" t="str">
        <f aca="false">IF(C1328="","",IF(P1328="","NJ INCONNU",INDEX('CARNET DE SOUDURE'!$AQ$7:$AQ$3006,P1328)))</f>
        <v>ACCEPTÉ</v>
      </c>
      <c r="H1328" s="82" t="str">
        <f aca="false">IF(C1328="","",IF(G1328="ACCEPTÉ","OUI","NON"))</f>
        <v>OUI</v>
      </c>
      <c r="I1328" s="83"/>
      <c r="J1328" s="80"/>
      <c r="K1328" s="81"/>
      <c r="L1328" s="81"/>
      <c r="M1328" s="81"/>
      <c r="N1328" s="84" t="str">
        <f aca="false">IF(C1328="","",IF(P1328="","NJ INCONNU",IF(I1328="",IF(H1328="OUI","À ENROBER",IF(G1328="À SOUDER","NON SOUDÉ","EN ATTENTE RT")),IF(L1328="R","À REPRENDRE",IF(H1328&lt;&gt;"OUI","⚠ ENROBÉ AVANT ACCEPTATION RT","ENROBÉ")))))</f>
        <v>À ENROBER</v>
      </c>
      <c r="O1328" s="80"/>
      <c r="P1328" s="82" t="n">
        <f aca="false">IF(C1328="","",IFERROR(MATCH(Q1328,'CARNET DE SOUDURE'!$AW$7:$AW$3006,0),""))</f>
        <v>1322</v>
      </c>
      <c r="Q1328" s="82" t="str">
        <f aca="false">IF(C1328="","",B1328&amp;"|"&amp;C1328)</f>
        <v>MFD-ISW → MFD-CPF|DJ°277</v>
      </c>
    </row>
    <row r="1329" customFormat="false" ht="74.6" hidden="false" customHeight="false" outlineLevel="0" collapsed="false">
      <c r="A1329" s="82" t="n">
        <f aca="false">IF(C1329="","",ROW()-6)</f>
        <v>1323</v>
      </c>
      <c r="B1329" s="80" t="s">
        <v>110</v>
      </c>
      <c r="C1329" s="113" t="s">
        <v>1602</v>
      </c>
      <c r="D1329" s="82" t="str">
        <f aca="false">IF(OR(C1329="",P1329=""),"",INDEX('CARNET DE SOUDURE'!$D$7:$D$3006,P1329)&amp;"")</f>
        <v>11</v>
      </c>
      <c r="E1329" s="114" t="n">
        <f aca="false">IF(OR(C1329="",P1329=""),"",IF(INDEX('CARNET DE SOUDURE'!$U$7:$U$3006,P1329)="","",INDEX('CARNET DE SOUDURE'!$U$7:$U$3006,P1329)))</f>
        <v>46277</v>
      </c>
      <c r="F1329" s="82" t="str">
        <f aca="false">IF(OR(C1329="",P1329=""),"",INDEX('CARNET DE SOUDURE'!$AP$7:$AP$3006,P1329))</f>
        <v>A</v>
      </c>
      <c r="G1329" s="82" t="str">
        <f aca="false">IF(C1329="","",IF(P1329="","NJ INCONNU",INDEX('CARNET DE SOUDURE'!$AQ$7:$AQ$3006,P1329)))</f>
        <v>ACCEPTÉ</v>
      </c>
      <c r="H1329" s="82" t="str">
        <f aca="false">IF(C1329="","",IF(G1329="ACCEPTÉ","OUI","NON"))</f>
        <v>OUI</v>
      </c>
      <c r="I1329" s="83"/>
      <c r="J1329" s="80"/>
      <c r="K1329" s="81"/>
      <c r="L1329" s="81"/>
      <c r="M1329" s="81"/>
      <c r="N1329" s="84" t="str">
        <f aca="false">IF(C1329="","",IF(P1329="","NJ INCONNU",IF(I1329="",IF(H1329="OUI","À ENROBER",IF(G1329="À SOUDER","NON SOUDÉ","EN ATTENTE RT")),IF(L1329="R","À REPRENDRE",IF(H1329&lt;&gt;"OUI","⚠ ENROBÉ AVANT ACCEPTATION RT","ENROBÉ")))))</f>
        <v>À ENROBER</v>
      </c>
      <c r="O1329" s="80"/>
      <c r="P1329" s="82" t="n">
        <f aca="false">IF(C1329="","",IFERROR(MATCH(Q1329,'CARNET DE SOUDURE'!$AW$7:$AW$3006,0),""))</f>
        <v>1323</v>
      </c>
      <c r="Q1329" s="82" t="str">
        <f aca="false">IF(C1329="","",B1329&amp;"|"&amp;C1329)</f>
        <v>MFD-ISW → MFD-CPF|JN°1110</v>
      </c>
    </row>
    <row r="1330" customFormat="false" ht="74.6" hidden="false" customHeight="false" outlineLevel="0" collapsed="false">
      <c r="A1330" s="82" t="n">
        <f aca="false">IF(C1330="","",ROW()-6)</f>
        <v>1324</v>
      </c>
      <c r="B1330" s="80" t="s">
        <v>110</v>
      </c>
      <c r="C1330" s="113" t="s">
        <v>1603</v>
      </c>
      <c r="D1330" s="82" t="str">
        <f aca="false">IF(OR(C1330="",P1330=""),"",INDEX('CARNET DE SOUDURE'!$D$7:$D$3006,P1330)&amp;"")</f>
        <v>11</v>
      </c>
      <c r="E1330" s="114" t="n">
        <f aca="false">IF(OR(C1330="",P1330=""),"",IF(INDEX('CARNET DE SOUDURE'!$U$7:$U$3006,P1330)="","",INDEX('CARNET DE SOUDURE'!$U$7:$U$3006,P1330)))</f>
        <v>46270</v>
      </c>
      <c r="F1330" s="82" t="str">
        <f aca="false">IF(OR(C1330="",P1330=""),"",INDEX('CARNET DE SOUDURE'!$AP$7:$AP$3006,P1330))</f>
        <v>A</v>
      </c>
      <c r="G1330" s="82" t="str">
        <f aca="false">IF(C1330="","",IF(P1330="","NJ INCONNU",INDEX('CARNET DE SOUDURE'!$AQ$7:$AQ$3006,P1330)))</f>
        <v>ACCEPTÉ</v>
      </c>
      <c r="H1330" s="82" t="str">
        <f aca="false">IF(C1330="","",IF(G1330="ACCEPTÉ","OUI","NON"))</f>
        <v>OUI</v>
      </c>
      <c r="I1330" s="83"/>
      <c r="J1330" s="80"/>
      <c r="K1330" s="81"/>
      <c r="L1330" s="81"/>
      <c r="M1330" s="81"/>
      <c r="N1330" s="84" t="str">
        <f aca="false">IF(C1330="","",IF(P1330="","NJ INCONNU",IF(I1330="",IF(H1330="OUI","À ENROBER",IF(G1330="À SOUDER","NON SOUDÉ","EN ATTENTE RT")),IF(L1330="R","À REPRENDRE",IF(H1330&lt;&gt;"OUI","⚠ ENROBÉ AVANT ACCEPTATION RT","ENROBÉ")))))</f>
        <v>À ENROBER</v>
      </c>
      <c r="O1330" s="80"/>
      <c r="P1330" s="82" t="n">
        <f aca="false">IF(C1330="","",IFERROR(MATCH(Q1330,'CARNET DE SOUDURE'!$AW$7:$AW$3006,0),""))</f>
        <v>1324</v>
      </c>
      <c r="Q1330" s="82" t="str">
        <f aca="false">IF(C1330="","",B1330&amp;"|"&amp;C1330)</f>
        <v>MFD-ISW → MFD-CPF|DJ°290</v>
      </c>
    </row>
    <row r="1331" customFormat="false" ht="74.6" hidden="false" customHeight="false" outlineLevel="0" collapsed="false">
      <c r="A1331" s="82" t="n">
        <f aca="false">IF(C1331="","",ROW()-6)</f>
        <v>1325</v>
      </c>
      <c r="B1331" s="80" t="s">
        <v>110</v>
      </c>
      <c r="C1331" s="113" t="s">
        <v>1604</v>
      </c>
      <c r="D1331" s="82" t="str">
        <f aca="false">IF(OR(C1331="",P1331=""),"",INDEX('CARNET DE SOUDURE'!$D$7:$D$3006,P1331)&amp;"")</f>
        <v>11</v>
      </c>
      <c r="E1331" s="114" t="n">
        <f aca="false">IF(OR(C1331="",P1331=""),"",IF(INDEX('CARNET DE SOUDURE'!$U$7:$U$3006,P1331)="","",INDEX('CARNET DE SOUDURE'!$U$7:$U$3006,P1331)))</f>
        <v>46277</v>
      </c>
      <c r="F1331" s="82" t="str">
        <f aca="false">IF(OR(C1331="",P1331=""),"",INDEX('CARNET DE SOUDURE'!$AP$7:$AP$3006,P1331))</f>
        <v>A</v>
      </c>
      <c r="G1331" s="82" t="str">
        <f aca="false">IF(C1331="","",IF(P1331="","NJ INCONNU",INDEX('CARNET DE SOUDURE'!$AQ$7:$AQ$3006,P1331)))</f>
        <v>ACCEPTÉ</v>
      </c>
      <c r="H1331" s="82" t="str">
        <f aca="false">IF(C1331="","",IF(G1331="ACCEPTÉ","OUI","NON"))</f>
        <v>OUI</v>
      </c>
      <c r="I1331" s="83"/>
      <c r="J1331" s="80"/>
      <c r="K1331" s="81"/>
      <c r="L1331" s="81"/>
      <c r="M1331" s="81"/>
      <c r="N1331" s="84" t="str">
        <f aca="false">IF(C1331="","",IF(P1331="","NJ INCONNU",IF(I1331="",IF(H1331="OUI","À ENROBER",IF(G1331="À SOUDER","NON SOUDÉ","EN ATTENTE RT")),IF(L1331="R","À REPRENDRE",IF(H1331&lt;&gt;"OUI","⚠ ENROBÉ AVANT ACCEPTATION RT","ENROBÉ")))))</f>
        <v>À ENROBER</v>
      </c>
      <c r="O1331" s="80"/>
      <c r="P1331" s="82" t="n">
        <f aca="false">IF(C1331="","",IFERROR(MATCH(Q1331,'CARNET DE SOUDURE'!$AW$7:$AW$3006,0),""))</f>
        <v>1325</v>
      </c>
      <c r="Q1331" s="82" t="str">
        <f aca="false">IF(C1331="","",B1331&amp;"|"&amp;C1331)</f>
        <v>MFD-ISW → MFD-CPF|JN°1111</v>
      </c>
    </row>
    <row r="1332" customFormat="false" ht="74.6" hidden="false" customHeight="false" outlineLevel="0" collapsed="false">
      <c r="A1332" s="82" t="n">
        <f aca="false">IF(C1332="","",ROW()-6)</f>
        <v>1326</v>
      </c>
      <c r="B1332" s="80" t="s">
        <v>110</v>
      </c>
      <c r="C1332" s="113" t="s">
        <v>1605</v>
      </c>
      <c r="D1332" s="82" t="str">
        <f aca="false">IF(OR(C1332="",P1332=""),"",INDEX('CARNET DE SOUDURE'!$D$7:$D$3006,P1332)&amp;"")</f>
        <v>11</v>
      </c>
      <c r="E1332" s="114" t="n">
        <f aca="false">IF(OR(C1332="",P1332=""),"",IF(INDEX('CARNET DE SOUDURE'!$U$7:$U$3006,P1332)="","",INDEX('CARNET DE SOUDURE'!$U$7:$U$3006,P1332)))</f>
        <v>46269</v>
      </c>
      <c r="F1332" s="82" t="str">
        <f aca="false">IF(OR(C1332="",P1332=""),"",INDEX('CARNET DE SOUDURE'!$AP$7:$AP$3006,P1332))</f>
        <v>A</v>
      </c>
      <c r="G1332" s="82" t="str">
        <f aca="false">IF(C1332="","",IF(P1332="","NJ INCONNU",INDEX('CARNET DE SOUDURE'!$AQ$7:$AQ$3006,P1332)))</f>
        <v>ACCEPTÉ</v>
      </c>
      <c r="H1332" s="82" t="str">
        <f aca="false">IF(C1332="","",IF(G1332="ACCEPTÉ","OUI","NON"))</f>
        <v>OUI</v>
      </c>
      <c r="I1332" s="83"/>
      <c r="J1332" s="80"/>
      <c r="K1332" s="81"/>
      <c r="L1332" s="81"/>
      <c r="M1332" s="81"/>
      <c r="N1332" s="84" t="str">
        <f aca="false">IF(C1332="","",IF(P1332="","NJ INCONNU",IF(I1332="",IF(H1332="OUI","À ENROBER",IF(G1332="À SOUDER","NON SOUDÉ","EN ATTENTE RT")),IF(L1332="R","À REPRENDRE",IF(H1332&lt;&gt;"OUI","⚠ ENROBÉ AVANT ACCEPTATION RT","ENROBÉ")))))</f>
        <v>À ENROBER</v>
      </c>
      <c r="O1332" s="80"/>
      <c r="P1332" s="82" t="n">
        <f aca="false">IF(C1332="","",IFERROR(MATCH(Q1332,'CARNET DE SOUDURE'!$AW$7:$AW$3006,0),""))</f>
        <v>1326</v>
      </c>
      <c r="Q1332" s="82" t="str">
        <f aca="false">IF(C1332="","",B1332&amp;"|"&amp;C1332)</f>
        <v>MFD-ISW → MFD-CPF|DJ°274</v>
      </c>
    </row>
    <row r="1333" customFormat="false" ht="74.6" hidden="false" customHeight="false" outlineLevel="0" collapsed="false">
      <c r="A1333" s="82" t="n">
        <f aca="false">IF(C1333="","",ROW()-6)</f>
        <v>1327</v>
      </c>
      <c r="B1333" s="80" t="s">
        <v>110</v>
      </c>
      <c r="C1333" s="113" t="s">
        <v>1607</v>
      </c>
      <c r="D1333" s="82" t="str">
        <f aca="false">IF(OR(C1333="",P1333=""),"",INDEX('CARNET DE SOUDURE'!$D$7:$D$3006,P1333)&amp;"")</f>
        <v>11</v>
      </c>
      <c r="E1333" s="114" t="str">
        <f aca="false">IF(OR(C1333="",P1333=""),"",IF(INDEX('CARNET DE SOUDURE'!$U$7:$U$3006,P1333)="","",INDEX('CARNET DE SOUDURE'!$U$7:$U$3006,P1333)))</f>
        <v/>
      </c>
      <c r="F1333" s="82" t="str">
        <f aca="false">IF(OR(C1333="",P1333=""),"",INDEX('CARNET DE SOUDURE'!$AP$7:$AP$3006,P1333))</f>
        <v/>
      </c>
      <c r="G1333" s="82" t="str">
        <f aca="false">IF(C1333="","",IF(P1333="","NJ INCONNU",INDEX('CARNET DE SOUDURE'!$AQ$7:$AQ$3006,P1333)))</f>
        <v>À SOUDER</v>
      </c>
      <c r="H1333" s="82" t="str">
        <f aca="false">IF(C1333="","",IF(G1333="ACCEPTÉ","OUI","NON"))</f>
        <v>NON</v>
      </c>
      <c r="I1333" s="83"/>
      <c r="J1333" s="80"/>
      <c r="K1333" s="81"/>
      <c r="L1333" s="81"/>
      <c r="M1333" s="81"/>
      <c r="N1333" s="84" t="str">
        <f aca="false">IF(C1333="","",IF(P1333="","NJ INCONNU",IF(I1333="",IF(H1333="OUI","À ENROBER",IF(G1333="À SOUDER","NON SOUDÉ","EN ATTENTE RT")),IF(L1333="R","À REPRENDRE",IF(H1333&lt;&gt;"OUI","⚠ ENROBÉ AVANT ACCEPTATION RT","ENROBÉ")))))</f>
        <v>NON SOUDÉ</v>
      </c>
      <c r="O1333" s="80"/>
      <c r="P1333" s="82" t="n">
        <f aca="false">IF(C1333="","",IFERROR(MATCH(Q1333,'CARNET DE SOUDURE'!$AW$7:$AW$3006,0),""))</f>
        <v>1327</v>
      </c>
      <c r="Q1333" s="82" t="str">
        <f aca="false">IF(C1333="","",B1333&amp;"|"&amp;C1333)</f>
        <v>MFD-ISW → MFD-CPF|JN°1112</v>
      </c>
    </row>
    <row r="1334" customFormat="false" ht="74.6" hidden="false" customHeight="false" outlineLevel="0" collapsed="false">
      <c r="A1334" s="82" t="n">
        <f aca="false">IF(C1334="","",ROW()-6)</f>
        <v>1328</v>
      </c>
      <c r="B1334" s="80" t="s">
        <v>110</v>
      </c>
      <c r="C1334" s="113" t="s">
        <v>1608</v>
      </c>
      <c r="D1334" s="82" t="str">
        <f aca="false">IF(OR(C1334="",P1334=""),"",INDEX('CARNET DE SOUDURE'!$D$7:$D$3006,P1334)&amp;"")</f>
        <v>11</v>
      </c>
      <c r="E1334" s="114" t="str">
        <f aca="false">IF(OR(C1334="",P1334=""),"",IF(INDEX('CARNET DE SOUDURE'!$U$7:$U$3006,P1334)="","",INDEX('CARNET DE SOUDURE'!$U$7:$U$3006,P1334)))</f>
        <v/>
      </c>
      <c r="F1334" s="82" t="str">
        <f aca="false">IF(OR(C1334="",P1334=""),"",INDEX('CARNET DE SOUDURE'!$AP$7:$AP$3006,P1334))</f>
        <v/>
      </c>
      <c r="G1334" s="82" t="str">
        <f aca="false">IF(C1334="","",IF(P1334="","NJ INCONNU",INDEX('CARNET DE SOUDURE'!$AQ$7:$AQ$3006,P1334)))</f>
        <v>À SOUDER</v>
      </c>
      <c r="H1334" s="82" t="str">
        <f aca="false">IF(C1334="","",IF(G1334="ACCEPTÉ","OUI","NON"))</f>
        <v>NON</v>
      </c>
      <c r="I1334" s="83"/>
      <c r="J1334" s="80"/>
      <c r="K1334" s="81"/>
      <c r="L1334" s="81"/>
      <c r="M1334" s="81"/>
      <c r="N1334" s="84" t="str">
        <f aca="false">IF(C1334="","",IF(P1334="","NJ INCONNU",IF(I1334="",IF(H1334="OUI","À ENROBER",IF(G1334="À SOUDER","NON SOUDÉ","EN ATTENTE RT")),IF(L1334="R","À REPRENDRE",IF(H1334&lt;&gt;"OUI","⚠ ENROBÉ AVANT ACCEPTATION RT","ENROBÉ")))))</f>
        <v>NON SOUDÉ</v>
      </c>
      <c r="O1334" s="80"/>
      <c r="P1334" s="82" t="n">
        <f aca="false">IF(C1334="","",IFERROR(MATCH(Q1334,'CARNET DE SOUDURE'!$AW$7:$AW$3006,0),""))</f>
        <v>1328</v>
      </c>
      <c r="Q1334" s="82" t="str">
        <f aca="false">IF(C1334="","",B1334&amp;"|"&amp;C1334)</f>
        <v>MFD-ISW → MFD-CPF|JN°1113</v>
      </c>
    </row>
    <row r="1335" customFormat="false" ht="74.6" hidden="false" customHeight="false" outlineLevel="0" collapsed="false">
      <c r="A1335" s="82" t="n">
        <f aca="false">IF(C1335="","",ROW()-6)</f>
        <v>1329</v>
      </c>
      <c r="B1335" s="80" t="s">
        <v>110</v>
      </c>
      <c r="C1335" s="113" t="s">
        <v>1610</v>
      </c>
      <c r="D1335" s="82" t="str">
        <f aca="false">IF(OR(C1335="",P1335=""),"",INDEX('CARNET DE SOUDURE'!$D$7:$D$3006,P1335)&amp;"")</f>
        <v>11</v>
      </c>
      <c r="E1335" s="114" t="n">
        <f aca="false">IF(OR(C1335="",P1335=""),"",IF(INDEX('CARNET DE SOUDURE'!$U$7:$U$3006,P1335)="","",INDEX('CARNET DE SOUDURE'!$U$7:$U$3006,P1335)))</f>
        <v>46271</v>
      </c>
      <c r="F1335" s="82" t="str">
        <f aca="false">IF(OR(C1335="",P1335=""),"",INDEX('CARNET DE SOUDURE'!$AP$7:$AP$3006,P1335))</f>
        <v>A</v>
      </c>
      <c r="G1335" s="82" t="str">
        <f aca="false">IF(C1335="","",IF(P1335="","NJ INCONNU",INDEX('CARNET DE SOUDURE'!$AQ$7:$AQ$3006,P1335)))</f>
        <v>ACCEPTÉ</v>
      </c>
      <c r="H1335" s="82" t="str">
        <f aca="false">IF(C1335="","",IF(G1335="ACCEPTÉ","OUI","NON"))</f>
        <v>OUI</v>
      </c>
      <c r="I1335" s="83"/>
      <c r="J1335" s="80"/>
      <c r="K1335" s="81"/>
      <c r="L1335" s="81"/>
      <c r="M1335" s="81"/>
      <c r="N1335" s="84" t="str">
        <f aca="false">IF(C1335="","",IF(P1335="","NJ INCONNU",IF(I1335="",IF(H1335="OUI","À ENROBER",IF(G1335="À SOUDER","NON SOUDÉ","EN ATTENTE RT")),IF(L1335="R","À REPRENDRE",IF(H1335&lt;&gt;"OUI","⚠ ENROBÉ AVANT ACCEPTATION RT","ENROBÉ")))))</f>
        <v>À ENROBER</v>
      </c>
      <c r="O1335" s="80"/>
      <c r="P1335" s="82" t="n">
        <f aca="false">IF(C1335="","",IFERROR(MATCH(Q1335,'CARNET DE SOUDURE'!$AW$7:$AW$3006,0),""))</f>
        <v>1329</v>
      </c>
      <c r="Q1335" s="82" t="str">
        <f aca="false">IF(C1335="","",B1335&amp;"|"&amp;C1335)</f>
        <v>MFD-ISW → MFD-CPF|DJ°295</v>
      </c>
    </row>
    <row r="1336" customFormat="false" ht="74.6" hidden="false" customHeight="false" outlineLevel="0" collapsed="false">
      <c r="A1336" s="82" t="n">
        <f aca="false">IF(C1336="","",ROW()-6)</f>
        <v>1330</v>
      </c>
      <c r="B1336" s="80" t="s">
        <v>110</v>
      </c>
      <c r="C1336" s="113" t="s">
        <v>1611</v>
      </c>
      <c r="D1336" s="82" t="str">
        <f aca="false">IF(OR(C1336="",P1336=""),"",INDEX('CARNET DE SOUDURE'!$D$7:$D$3006,P1336)&amp;"")</f>
        <v>11</v>
      </c>
      <c r="E1336" s="114" t="n">
        <f aca="false">IF(OR(C1336="",P1336=""),"",IF(INDEX('CARNET DE SOUDURE'!$U$7:$U$3006,P1336)="","",INDEX('CARNET DE SOUDURE'!$U$7:$U$3006,P1336)))</f>
        <v>46277</v>
      </c>
      <c r="F1336" s="82" t="str">
        <f aca="false">IF(OR(C1336="",P1336=""),"",INDEX('CARNET DE SOUDURE'!$AP$7:$AP$3006,P1336))</f>
        <v>A</v>
      </c>
      <c r="G1336" s="82" t="str">
        <f aca="false">IF(C1336="","",IF(P1336="","NJ INCONNU",INDEX('CARNET DE SOUDURE'!$AQ$7:$AQ$3006,P1336)))</f>
        <v>ACCEPTÉ</v>
      </c>
      <c r="H1336" s="82" t="str">
        <f aca="false">IF(C1336="","",IF(G1336="ACCEPTÉ","OUI","NON"))</f>
        <v>OUI</v>
      </c>
      <c r="I1336" s="83"/>
      <c r="J1336" s="80"/>
      <c r="K1336" s="81"/>
      <c r="L1336" s="81"/>
      <c r="M1336" s="81"/>
      <c r="N1336" s="84" t="str">
        <f aca="false">IF(C1336="","",IF(P1336="","NJ INCONNU",IF(I1336="",IF(H1336="OUI","À ENROBER",IF(G1336="À SOUDER","NON SOUDÉ","EN ATTENTE RT")),IF(L1336="R","À REPRENDRE",IF(H1336&lt;&gt;"OUI","⚠ ENROBÉ AVANT ACCEPTATION RT","ENROBÉ")))))</f>
        <v>À ENROBER</v>
      </c>
      <c r="O1336" s="80"/>
      <c r="P1336" s="82" t="n">
        <f aca="false">IF(C1336="","",IFERROR(MATCH(Q1336,'CARNET DE SOUDURE'!$AW$7:$AW$3006,0),""))</f>
        <v>1330</v>
      </c>
      <c r="Q1336" s="82" t="str">
        <f aca="false">IF(C1336="","",B1336&amp;"|"&amp;C1336)</f>
        <v>MFD-ISW → MFD-CPF|JN°1114</v>
      </c>
    </row>
    <row r="1337" customFormat="false" ht="74.6" hidden="false" customHeight="false" outlineLevel="0" collapsed="false">
      <c r="A1337" s="82" t="n">
        <f aca="false">IF(C1337="","",ROW()-6)</f>
        <v>1331</v>
      </c>
      <c r="B1337" s="80" t="s">
        <v>110</v>
      </c>
      <c r="C1337" s="113" t="s">
        <v>1612</v>
      </c>
      <c r="D1337" s="82" t="str">
        <f aca="false">IF(OR(C1337="",P1337=""),"",INDEX('CARNET DE SOUDURE'!$D$7:$D$3006,P1337)&amp;"")</f>
        <v>11</v>
      </c>
      <c r="E1337" s="114" t="n">
        <f aca="false">IF(OR(C1337="",P1337=""),"",IF(INDEX('CARNET DE SOUDURE'!$U$7:$U$3006,P1337)="","",INDEX('CARNET DE SOUDURE'!$U$7:$U$3006,P1337)))</f>
        <v>46271</v>
      </c>
      <c r="F1337" s="82" t="str">
        <f aca="false">IF(OR(C1337="",P1337=""),"",INDEX('CARNET DE SOUDURE'!$AP$7:$AP$3006,P1337))</f>
        <v>A</v>
      </c>
      <c r="G1337" s="82" t="str">
        <f aca="false">IF(C1337="","",IF(P1337="","NJ INCONNU",INDEX('CARNET DE SOUDURE'!$AQ$7:$AQ$3006,P1337)))</f>
        <v>ACCEPTÉ</v>
      </c>
      <c r="H1337" s="82" t="str">
        <f aca="false">IF(C1337="","",IF(G1337="ACCEPTÉ","OUI","NON"))</f>
        <v>OUI</v>
      </c>
      <c r="I1337" s="83"/>
      <c r="J1337" s="80"/>
      <c r="K1337" s="81"/>
      <c r="L1337" s="81"/>
      <c r="M1337" s="81"/>
      <c r="N1337" s="84" t="str">
        <f aca="false">IF(C1337="","",IF(P1337="","NJ INCONNU",IF(I1337="",IF(H1337="OUI","À ENROBER",IF(G1337="À SOUDER","NON SOUDÉ","EN ATTENTE RT")),IF(L1337="R","À REPRENDRE",IF(H1337&lt;&gt;"OUI","⚠ ENROBÉ AVANT ACCEPTATION RT","ENROBÉ")))))</f>
        <v>À ENROBER</v>
      </c>
      <c r="O1337" s="80"/>
      <c r="P1337" s="82" t="n">
        <f aca="false">IF(C1337="","",IFERROR(MATCH(Q1337,'CARNET DE SOUDURE'!$AW$7:$AW$3006,0),""))</f>
        <v>1331</v>
      </c>
      <c r="Q1337" s="82" t="str">
        <f aca="false">IF(C1337="","",B1337&amp;"|"&amp;C1337)</f>
        <v>MFD-ISW → MFD-CPF|DJ°303</v>
      </c>
    </row>
    <row r="1338" customFormat="false" ht="74.6" hidden="false" customHeight="false" outlineLevel="0" collapsed="false">
      <c r="A1338" s="82" t="n">
        <f aca="false">IF(C1338="","",ROW()-6)</f>
        <v>1332</v>
      </c>
      <c r="B1338" s="80" t="s">
        <v>110</v>
      </c>
      <c r="C1338" s="113" t="s">
        <v>1613</v>
      </c>
      <c r="D1338" s="82" t="str">
        <f aca="false">IF(OR(C1338="",P1338=""),"",INDEX('CARNET DE SOUDURE'!$D$7:$D$3006,P1338)&amp;"")</f>
        <v>11</v>
      </c>
      <c r="E1338" s="114" t="n">
        <f aca="false">IF(OR(C1338="",P1338=""),"",IF(INDEX('CARNET DE SOUDURE'!$U$7:$U$3006,P1338)="","",INDEX('CARNET DE SOUDURE'!$U$7:$U$3006,P1338)))</f>
        <v>46277</v>
      </c>
      <c r="F1338" s="82" t="str">
        <f aca="false">IF(OR(C1338="",P1338=""),"",INDEX('CARNET DE SOUDURE'!$AP$7:$AP$3006,P1338))</f>
        <v>A</v>
      </c>
      <c r="G1338" s="82" t="str">
        <f aca="false">IF(C1338="","",IF(P1338="","NJ INCONNU",INDEX('CARNET DE SOUDURE'!$AQ$7:$AQ$3006,P1338)))</f>
        <v>ACCEPTÉ</v>
      </c>
      <c r="H1338" s="82" t="str">
        <f aca="false">IF(C1338="","",IF(G1338="ACCEPTÉ","OUI","NON"))</f>
        <v>OUI</v>
      </c>
      <c r="I1338" s="83"/>
      <c r="J1338" s="80"/>
      <c r="K1338" s="81"/>
      <c r="L1338" s="81"/>
      <c r="M1338" s="81"/>
      <c r="N1338" s="84" t="str">
        <f aca="false">IF(C1338="","",IF(P1338="","NJ INCONNU",IF(I1338="",IF(H1338="OUI","À ENROBER",IF(G1338="À SOUDER","NON SOUDÉ","EN ATTENTE RT")),IF(L1338="R","À REPRENDRE",IF(H1338&lt;&gt;"OUI","⚠ ENROBÉ AVANT ACCEPTATION RT","ENROBÉ")))))</f>
        <v>À ENROBER</v>
      </c>
      <c r="O1338" s="80"/>
      <c r="P1338" s="82" t="n">
        <f aca="false">IF(C1338="","",IFERROR(MATCH(Q1338,'CARNET DE SOUDURE'!$AW$7:$AW$3006,0),""))</f>
        <v>1332</v>
      </c>
      <c r="Q1338" s="82" t="str">
        <f aca="false">IF(C1338="","",B1338&amp;"|"&amp;C1338)</f>
        <v>MFD-ISW → MFD-CPF|JN°1115</v>
      </c>
    </row>
    <row r="1339" customFormat="false" ht="74.6" hidden="false" customHeight="false" outlineLevel="0" collapsed="false">
      <c r="A1339" s="82" t="n">
        <f aca="false">IF(C1339="","",ROW()-6)</f>
        <v>1333</v>
      </c>
      <c r="B1339" s="80" t="s">
        <v>110</v>
      </c>
      <c r="C1339" s="113" t="s">
        <v>1614</v>
      </c>
      <c r="D1339" s="82" t="str">
        <f aca="false">IF(OR(C1339="",P1339=""),"",INDEX('CARNET DE SOUDURE'!$D$7:$D$3006,P1339)&amp;"")</f>
        <v>11</v>
      </c>
      <c r="E1339" s="114" t="n">
        <f aca="false">IF(OR(C1339="",P1339=""),"",IF(INDEX('CARNET DE SOUDURE'!$U$7:$U$3006,P1339)="","",INDEX('CARNET DE SOUDURE'!$U$7:$U$3006,P1339)))</f>
        <v>46271</v>
      </c>
      <c r="F1339" s="82" t="str">
        <f aca="false">IF(OR(C1339="",P1339=""),"",INDEX('CARNET DE SOUDURE'!$AP$7:$AP$3006,P1339))</f>
        <v>A</v>
      </c>
      <c r="G1339" s="82" t="str">
        <f aca="false">IF(C1339="","",IF(P1339="","NJ INCONNU",INDEX('CARNET DE SOUDURE'!$AQ$7:$AQ$3006,P1339)))</f>
        <v>ACCEPTÉ</v>
      </c>
      <c r="H1339" s="82" t="str">
        <f aca="false">IF(C1339="","",IF(G1339="ACCEPTÉ","OUI","NON"))</f>
        <v>OUI</v>
      </c>
      <c r="I1339" s="83"/>
      <c r="J1339" s="80"/>
      <c r="K1339" s="81"/>
      <c r="L1339" s="81"/>
      <c r="M1339" s="81"/>
      <c r="N1339" s="84" t="str">
        <f aca="false">IF(C1339="","",IF(P1339="","NJ INCONNU",IF(I1339="",IF(H1339="OUI","À ENROBER",IF(G1339="À SOUDER","NON SOUDÉ","EN ATTENTE RT")),IF(L1339="R","À REPRENDRE",IF(H1339&lt;&gt;"OUI","⚠ ENROBÉ AVANT ACCEPTATION RT","ENROBÉ")))))</f>
        <v>À ENROBER</v>
      </c>
      <c r="O1339" s="80"/>
      <c r="P1339" s="82" t="n">
        <f aca="false">IF(C1339="","",IFERROR(MATCH(Q1339,'CARNET DE SOUDURE'!$AW$7:$AW$3006,0),""))</f>
        <v>1333</v>
      </c>
      <c r="Q1339" s="82" t="str">
        <f aca="false">IF(C1339="","",B1339&amp;"|"&amp;C1339)</f>
        <v>MFD-ISW → MFD-CPF|DJ°297</v>
      </c>
    </row>
    <row r="1340" customFormat="false" ht="74.6" hidden="false" customHeight="false" outlineLevel="0" collapsed="false">
      <c r="A1340" s="82" t="n">
        <f aca="false">IF(C1340="","",ROW()-6)</f>
        <v>1334</v>
      </c>
      <c r="B1340" s="80" t="s">
        <v>110</v>
      </c>
      <c r="C1340" s="113" t="s">
        <v>1615</v>
      </c>
      <c r="D1340" s="82" t="str">
        <f aca="false">IF(OR(C1340="",P1340=""),"",INDEX('CARNET DE SOUDURE'!$D$7:$D$3006,P1340)&amp;"")</f>
        <v>11</v>
      </c>
      <c r="E1340" s="114" t="n">
        <f aca="false">IF(OR(C1340="",P1340=""),"",IF(INDEX('CARNET DE SOUDURE'!$U$7:$U$3006,P1340)="","",INDEX('CARNET DE SOUDURE'!$U$7:$U$3006,P1340)))</f>
        <v>46277</v>
      </c>
      <c r="F1340" s="82" t="str">
        <f aca="false">IF(OR(C1340="",P1340=""),"",INDEX('CARNET DE SOUDURE'!$AP$7:$AP$3006,P1340))</f>
        <v>A</v>
      </c>
      <c r="G1340" s="82" t="str">
        <f aca="false">IF(C1340="","",IF(P1340="","NJ INCONNU",INDEX('CARNET DE SOUDURE'!$AQ$7:$AQ$3006,P1340)))</f>
        <v>ACCEPTÉ</v>
      </c>
      <c r="H1340" s="82" t="str">
        <f aca="false">IF(C1340="","",IF(G1340="ACCEPTÉ","OUI","NON"))</f>
        <v>OUI</v>
      </c>
      <c r="I1340" s="83"/>
      <c r="J1340" s="80"/>
      <c r="K1340" s="81"/>
      <c r="L1340" s="81"/>
      <c r="M1340" s="81"/>
      <c r="N1340" s="84" t="str">
        <f aca="false">IF(C1340="","",IF(P1340="","NJ INCONNU",IF(I1340="",IF(H1340="OUI","À ENROBER",IF(G1340="À SOUDER","NON SOUDÉ","EN ATTENTE RT")),IF(L1340="R","À REPRENDRE",IF(H1340&lt;&gt;"OUI","⚠ ENROBÉ AVANT ACCEPTATION RT","ENROBÉ")))))</f>
        <v>À ENROBER</v>
      </c>
      <c r="O1340" s="80"/>
      <c r="P1340" s="82" t="n">
        <f aca="false">IF(C1340="","",IFERROR(MATCH(Q1340,'CARNET DE SOUDURE'!$AW$7:$AW$3006,0),""))</f>
        <v>1334</v>
      </c>
      <c r="Q1340" s="82" t="str">
        <f aca="false">IF(C1340="","",B1340&amp;"|"&amp;C1340)</f>
        <v>MFD-ISW → MFD-CPF|JN°1116</v>
      </c>
    </row>
    <row r="1341" customFormat="false" ht="74.6" hidden="false" customHeight="false" outlineLevel="0" collapsed="false">
      <c r="A1341" s="82" t="n">
        <f aca="false">IF(C1341="","",ROW()-6)</f>
        <v>1335</v>
      </c>
      <c r="B1341" s="80" t="s">
        <v>110</v>
      </c>
      <c r="C1341" s="113" t="s">
        <v>1616</v>
      </c>
      <c r="D1341" s="82" t="str">
        <f aca="false">IF(OR(C1341="",P1341=""),"",INDEX('CARNET DE SOUDURE'!$D$7:$D$3006,P1341)&amp;"")</f>
        <v>11</v>
      </c>
      <c r="E1341" s="114" t="n">
        <f aca="false">IF(OR(C1341="",P1341=""),"",IF(INDEX('CARNET DE SOUDURE'!$U$7:$U$3006,P1341)="","",INDEX('CARNET DE SOUDURE'!$U$7:$U$3006,P1341)))</f>
        <v>46271</v>
      </c>
      <c r="F1341" s="82" t="str">
        <f aca="false">IF(OR(C1341="",P1341=""),"",INDEX('CARNET DE SOUDURE'!$AP$7:$AP$3006,P1341))</f>
        <v>A</v>
      </c>
      <c r="G1341" s="82" t="str">
        <f aca="false">IF(C1341="","",IF(P1341="","NJ INCONNU",INDEX('CARNET DE SOUDURE'!$AQ$7:$AQ$3006,P1341)))</f>
        <v>ACCEPTÉ</v>
      </c>
      <c r="H1341" s="82" t="str">
        <f aca="false">IF(C1341="","",IF(G1341="ACCEPTÉ","OUI","NON"))</f>
        <v>OUI</v>
      </c>
      <c r="I1341" s="83"/>
      <c r="J1341" s="80"/>
      <c r="K1341" s="81"/>
      <c r="L1341" s="81"/>
      <c r="M1341" s="81"/>
      <c r="N1341" s="84" t="str">
        <f aca="false">IF(C1341="","",IF(P1341="","NJ INCONNU",IF(I1341="",IF(H1341="OUI","À ENROBER",IF(G1341="À SOUDER","NON SOUDÉ","EN ATTENTE RT")),IF(L1341="R","À REPRENDRE",IF(H1341&lt;&gt;"OUI","⚠ ENROBÉ AVANT ACCEPTATION RT","ENROBÉ")))))</f>
        <v>À ENROBER</v>
      </c>
      <c r="O1341" s="80"/>
      <c r="P1341" s="82" t="n">
        <f aca="false">IF(C1341="","",IFERROR(MATCH(Q1341,'CARNET DE SOUDURE'!$AW$7:$AW$3006,0),""))</f>
        <v>1335</v>
      </c>
      <c r="Q1341" s="82" t="str">
        <f aca="false">IF(C1341="","",B1341&amp;"|"&amp;C1341)</f>
        <v>MFD-ISW → MFD-CPF|DJ°300</v>
      </c>
    </row>
    <row r="1342" customFormat="false" ht="74.6" hidden="false" customHeight="false" outlineLevel="0" collapsed="false">
      <c r="A1342" s="82" t="n">
        <f aca="false">IF(C1342="","",ROW()-6)</f>
        <v>1336</v>
      </c>
      <c r="B1342" s="80" t="s">
        <v>110</v>
      </c>
      <c r="C1342" s="113" t="s">
        <v>1617</v>
      </c>
      <c r="D1342" s="82" t="str">
        <f aca="false">IF(OR(C1342="",P1342=""),"",INDEX('CARNET DE SOUDURE'!$D$7:$D$3006,P1342)&amp;"")</f>
        <v>11</v>
      </c>
      <c r="E1342" s="114" t="n">
        <f aca="false">IF(OR(C1342="",P1342=""),"",IF(INDEX('CARNET DE SOUDURE'!$U$7:$U$3006,P1342)="","",INDEX('CARNET DE SOUDURE'!$U$7:$U$3006,P1342)))</f>
        <v>46277</v>
      </c>
      <c r="F1342" s="82" t="str">
        <f aca="false">IF(OR(C1342="",P1342=""),"",INDEX('CARNET DE SOUDURE'!$AP$7:$AP$3006,P1342))</f>
        <v>A</v>
      </c>
      <c r="G1342" s="82" t="str">
        <f aca="false">IF(C1342="","",IF(P1342="","NJ INCONNU",INDEX('CARNET DE SOUDURE'!$AQ$7:$AQ$3006,P1342)))</f>
        <v>ACCEPTÉ</v>
      </c>
      <c r="H1342" s="82" t="str">
        <f aca="false">IF(C1342="","",IF(G1342="ACCEPTÉ","OUI","NON"))</f>
        <v>OUI</v>
      </c>
      <c r="I1342" s="83"/>
      <c r="J1342" s="80"/>
      <c r="K1342" s="81"/>
      <c r="L1342" s="81"/>
      <c r="M1342" s="81"/>
      <c r="N1342" s="84" t="str">
        <f aca="false">IF(C1342="","",IF(P1342="","NJ INCONNU",IF(I1342="",IF(H1342="OUI","À ENROBER",IF(G1342="À SOUDER","NON SOUDÉ","EN ATTENTE RT")),IF(L1342="R","À REPRENDRE",IF(H1342&lt;&gt;"OUI","⚠ ENROBÉ AVANT ACCEPTATION RT","ENROBÉ")))))</f>
        <v>À ENROBER</v>
      </c>
      <c r="O1342" s="80"/>
      <c r="P1342" s="82" t="n">
        <f aca="false">IF(C1342="","",IFERROR(MATCH(Q1342,'CARNET DE SOUDURE'!$AW$7:$AW$3006,0),""))</f>
        <v>1336</v>
      </c>
      <c r="Q1342" s="82" t="str">
        <f aca="false">IF(C1342="","",B1342&amp;"|"&amp;C1342)</f>
        <v>MFD-ISW → MFD-CPF|JN°1117</v>
      </c>
    </row>
    <row r="1343" customFormat="false" ht="74.6" hidden="false" customHeight="false" outlineLevel="0" collapsed="false">
      <c r="A1343" s="82" t="n">
        <f aca="false">IF(C1343="","",ROW()-6)</f>
        <v>1337</v>
      </c>
      <c r="B1343" s="80" t="s">
        <v>110</v>
      </c>
      <c r="C1343" s="113" t="s">
        <v>1618</v>
      </c>
      <c r="D1343" s="82" t="str">
        <f aca="false">IF(OR(C1343="",P1343=""),"",INDEX('CARNET DE SOUDURE'!$D$7:$D$3006,P1343)&amp;"")</f>
        <v>11</v>
      </c>
      <c r="E1343" s="114" t="n">
        <f aca="false">IF(OR(C1343="",P1343=""),"",IF(INDEX('CARNET DE SOUDURE'!$U$7:$U$3006,P1343)="","",INDEX('CARNET DE SOUDURE'!$U$7:$U$3006,P1343)))</f>
        <v>46270</v>
      </c>
      <c r="F1343" s="82" t="str">
        <f aca="false">IF(OR(C1343="",P1343=""),"",INDEX('CARNET DE SOUDURE'!$AP$7:$AP$3006,P1343))</f>
        <v>A</v>
      </c>
      <c r="G1343" s="82" t="str">
        <f aca="false">IF(C1343="","",IF(P1343="","NJ INCONNU",INDEX('CARNET DE SOUDURE'!$AQ$7:$AQ$3006,P1343)))</f>
        <v>ACCEPTÉ</v>
      </c>
      <c r="H1343" s="82" t="str">
        <f aca="false">IF(C1343="","",IF(G1343="ACCEPTÉ","OUI","NON"))</f>
        <v>OUI</v>
      </c>
      <c r="I1343" s="83"/>
      <c r="J1343" s="80"/>
      <c r="K1343" s="81"/>
      <c r="L1343" s="81"/>
      <c r="M1343" s="81"/>
      <c r="N1343" s="84" t="str">
        <f aca="false">IF(C1343="","",IF(P1343="","NJ INCONNU",IF(I1343="",IF(H1343="OUI","À ENROBER",IF(G1343="À SOUDER","NON SOUDÉ","EN ATTENTE RT")),IF(L1343="R","À REPRENDRE",IF(H1343&lt;&gt;"OUI","⚠ ENROBÉ AVANT ACCEPTATION RT","ENROBÉ")))))</f>
        <v>À ENROBER</v>
      </c>
      <c r="O1343" s="80"/>
      <c r="P1343" s="82" t="n">
        <f aca="false">IF(C1343="","",IFERROR(MATCH(Q1343,'CARNET DE SOUDURE'!$AW$7:$AW$3006,0),""))</f>
        <v>1337</v>
      </c>
      <c r="Q1343" s="82" t="str">
        <f aca="false">IF(C1343="","",B1343&amp;"|"&amp;C1343)</f>
        <v>MFD-ISW → MFD-CPF|DJ°288</v>
      </c>
    </row>
    <row r="1344" customFormat="false" ht="74.6" hidden="false" customHeight="false" outlineLevel="0" collapsed="false">
      <c r="A1344" s="82" t="n">
        <f aca="false">IF(C1344="","",ROW()-6)</f>
        <v>1338</v>
      </c>
      <c r="B1344" s="80" t="s">
        <v>110</v>
      </c>
      <c r="C1344" s="113" t="s">
        <v>1619</v>
      </c>
      <c r="D1344" s="82" t="str">
        <f aca="false">IF(OR(C1344="",P1344=""),"",INDEX('CARNET DE SOUDURE'!$D$7:$D$3006,P1344)&amp;"")</f>
        <v>11</v>
      </c>
      <c r="E1344" s="114" t="str">
        <f aca="false">IF(OR(C1344="",P1344=""),"",IF(INDEX('CARNET DE SOUDURE'!$U$7:$U$3006,P1344)="","",INDEX('CARNET DE SOUDURE'!$U$7:$U$3006,P1344)))</f>
        <v/>
      </c>
      <c r="F1344" s="82" t="str">
        <f aca="false">IF(OR(C1344="",P1344=""),"",INDEX('CARNET DE SOUDURE'!$AP$7:$AP$3006,P1344))</f>
        <v/>
      </c>
      <c r="G1344" s="82" t="str">
        <f aca="false">IF(C1344="","",IF(P1344="","NJ INCONNU",INDEX('CARNET DE SOUDURE'!$AQ$7:$AQ$3006,P1344)))</f>
        <v>À SOUDER</v>
      </c>
      <c r="H1344" s="82" t="str">
        <f aca="false">IF(C1344="","",IF(G1344="ACCEPTÉ","OUI","NON"))</f>
        <v>NON</v>
      </c>
      <c r="I1344" s="83"/>
      <c r="J1344" s="80"/>
      <c r="K1344" s="81"/>
      <c r="L1344" s="81"/>
      <c r="M1344" s="81"/>
      <c r="N1344" s="84" t="str">
        <f aca="false">IF(C1344="","",IF(P1344="","NJ INCONNU",IF(I1344="",IF(H1344="OUI","À ENROBER",IF(G1344="À SOUDER","NON SOUDÉ","EN ATTENTE RT")),IF(L1344="R","À REPRENDRE",IF(H1344&lt;&gt;"OUI","⚠ ENROBÉ AVANT ACCEPTATION RT","ENROBÉ")))))</f>
        <v>NON SOUDÉ</v>
      </c>
      <c r="O1344" s="80"/>
      <c r="P1344" s="82" t="n">
        <f aca="false">IF(C1344="","",IFERROR(MATCH(Q1344,'CARNET DE SOUDURE'!$AW$7:$AW$3006,0),""))</f>
        <v>1338</v>
      </c>
      <c r="Q1344" s="82" t="str">
        <f aca="false">IF(C1344="","",B1344&amp;"|"&amp;C1344)</f>
        <v>MFD-ISW → MFD-CPF|JN°1118</v>
      </c>
    </row>
    <row r="1345" customFormat="false" ht="74.6" hidden="false" customHeight="false" outlineLevel="0" collapsed="false">
      <c r="A1345" s="82" t="n">
        <f aca="false">IF(C1345="","",ROW()-6)</f>
        <v>1339</v>
      </c>
      <c r="B1345" s="80" t="s">
        <v>110</v>
      </c>
      <c r="C1345" s="113" t="s">
        <v>1620</v>
      </c>
      <c r="D1345" s="82" t="str">
        <f aca="false">IF(OR(C1345="",P1345=""),"",INDEX('CARNET DE SOUDURE'!$D$7:$D$3006,P1345)&amp;"")</f>
        <v>11</v>
      </c>
      <c r="E1345" s="114" t="str">
        <f aca="false">IF(OR(C1345="",P1345=""),"",IF(INDEX('CARNET DE SOUDURE'!$U$7:$U$3006,P1345)="","",INDEX('CARNET DE SOUDURE'!$U$7:$U$3006,P1345)))</f>
        <v/>
      </c>
      <c r="F1345" s="82" t="str">
        <f aca="false">IF(OR(C1345="",P1345=""),"",INDEX('CARNET DE SOUDURE'!$AP$7:$AP$3006,P1345))</f>
        <v/>
      </c>
      <c r="G1345" s="82" t="str">
        <f aca="false">IF(C1345="","",IF(P1345="","NJ INCONNU",INDEX('CARNET DE SOUDURE'!$AQ$7:$AQ$3006,P1345)))</f>
        <v>À SOUDER</v>
      </c>
      <c r="H1345" s="82" t="str">
        <f aca="false">IF(C1345="","",IF(G1345="ACCEPTÉ","OUI","NON"))</f>
        <v>NON</v>
      </c>
      <c r="I1345" s="83"/>
      <c r="J1345" s="80"/>
      <c r="K1345" s="81"/>
      <c r="L1345" s="81"/>
      <c r="M1345" s="81"/>
      <c r="N1345" s="84" t="str">
        <f aca="false">IF(C1345="","",IF(P1345="","NJ INCONNU",IF(I1345="",IF(H1345="OUI","À ENROBER",IF(G1345="À SOUDER","NON SOUDÉ","EN ATTENTE RT")),IF(L1345="R","À REPRENDRE",IF(H1345&lt;&gt;"OUI","⚠ ENROBÉ AVANT ACCEPTATION RT","ENROBÉ")))))</f>
        <v>NON SOUDÉ</v>
      </c>
      <c r="O1345" s="80"/>
      <c r="P1345" s="82" t="n">
        <f aca="false">IF(C1345="","",IFERROR(MATCH(Q1345,'CARNET DE SOUDURE'!$AW$7:$AW$3006,0),""))</f>
        <v>1339</v>
      </c>
      <c r="Q1345" s="82" t="str">
        <f aca="false">IF(C1345="","",B1345&amp;"|"&amp;C1345)</f>
        <v>MFD-ISW → MFD-CPF|JN°1119</v>
      </c>
    </row>
    <row r="1346" customFormat="false" ht="74.6" hidden="false" customHeight="false" outlineLevel="0" collapsed="false">
      <c r="A1346" s="82" t="n">
        <f aca="false">IF(C1346="","",ROW()-6)</f>
        <v>1340</v>
      </c>
      <c r="B1346" s="80" t="s">
        <v>110</v>
      </c>
      <c r="C1346" s="113" t="s">
        <v>1621</v>
      </c>
      <c r="D1346" s="82" t="str">
        <f aca="false">IF(OR(C1346="",P1346=""),"",INDEX('CARNET DE SOUDURE'!$D$7:$D$3006,P1346)&amp;"")</f>
        <v>11</v>
      </c>
      <c r="E1346" s="114" t="str">
        <f aca="false">IF(OR(C1346="",P1346=""),"",IF(INDEX('CARNET DE SOUDURE'!$U$7:$U$3006,P1346)="","",INDEX('CARNET DE SOUDURE'!$U$7:$U$3006,P1346)))</f>
        <v/>
      </c>
      <c r="F1346" s="82" t="str">
        <f aca="false">IF(OR(C1346="",P1346=""),"",INDEX('CARNET DE SOUDURE'!$AP$7:$AP$3006,P1346))</f>
        <v/>
      </c>
      <c r="G1346" s="82" t="str">
        <f aca="false">IF(C1346="","",IF(P1346="","NJ INCONNU",INDEX('CARNET DE SOUDURE'!$AQ$7:$AQ$3006,P1346)))</f>
        <v>À SOUDER</v>
      </c>
      <c r="H1346" s="82" t="str">
        <f aca="false">IF(C1346="","",IF(G1346="ACCEPTÉ","OUI","NON"))</f>
        <v>NON</v>
      </c>
      <c r="I1346" s="83"/>
      <c r="J1346" s="80"/>
      <c r="K1346" s="81"/>
      <c r="L1346" s="81"/>
      <c r="M1346" s="81"/>
      <c r="N1346" s="84" t="str">
        <f aca="false">IF(C1346="","",IF(P1346="","NJ INCONNU",IF(I1346="",IF(H1346="OUI","À ENROBER",IF(G1346="À SOUDER","NON SOUDÉ","EN ATTENTE RT")),IF(L1346="R","À REPRENDRE",IF(H1346&lt;&gt;"OUI","⚠ ENROBÉ AVANT ACCEPTATION RT","ENROBÉ")))))</f>
        <v>NON SOUDÉ</v>
      </c>
      <c r="O1346" s="80"/>
      <c r="P1346" s="82" t="n">
        <f aca="false">IF(C1346="","",IFERROR(MATCH(Q1346,'CARNET DE SOUDURE'!$AW$7:$AW$3006,0),""))</f>
        <v>1340</v>
      </c>
      <c r="Q1346" s="82" t="str">
        <f aca="false">IF(C1346="","",B1346&amp;"|"&amp;C1346)</f>
        <v>MFD-ISW → MFD-CPF|JN°1120</v>
      </c>
    </row>
    <row r="1347" customFormat="false" ht="74.6" hidden="false" customHeight="false" outlineLevel="0" collapsed="false">
      <c r="A1347" s="82" t="n">
        <f aca="false">IF(C1347="","",ROW()-6)</f>
        <v>1341</v>
      </c>
      <c r="B1347" s="80" t="s">
        <v>110</v>
      </c>
      <c r="C1347" s="113" t="s">
        <v>1622</v>
      </c>
      <c r="D1347" s="82" t="str">
        <f aca="false">IF(OR(C1347="",P1347=""),"",INDEX('CARNET DE SOUDURE'!$D$7:$D$3006,P1347)&amp;"")</f>
        <v>11</v>
      </c>
      <c r="E1347" s="114" t="str">
        <f aca="false">IF(OR(C1347="",P1347=""),"",IF(INDEX('CARNET DE SOUDURE'!$U$7:$U$3006,P1347)="","",INDEX('CARNET DE SOUDURE'!$U$7:$U$3006,P1347)))</f>
        <v/>
      </c>
      <c r="F1347" s="82" t="str">
        <f aca="false">IF(OR(C1347="",P1347=""),"",INDEX('CARNET DE SOUDURE'!$AP$7:$AP$3006,P1347))</f>
        <v/>
      </c>
      <c r="G1347" s="82" t="str">
        <f aca="false">IF(C1347="","",IF(P1347="","NJ INCONNU",INDEX('CARNET DE SOUDURE'!$AQ$7:$AQ$3006,P1347)))</f>
        <v>À SOUDER</v>
      </c>
      <c r="H1347" s="82" t="str">
        <f aca="false">IF(C1347="","",IF(G1347="ACCEPTÉ","OUI","NON"))</f>
        <v>NON</v>
      </c>
      <c r="I1347" s="83"/>
      <c r="J1347" s="80"/>
      <c r="K1347" s="81"/>
      <c r="L1347" s="81"/>
      <c r="M1347" s="81"/>
      <c r="N1347" s="84" t="str">
        <f aca="false">IF(C1347="","",IF(P1347="","NJ INCONNU",IF(I1347="",IF(H1347="OUI","À ENROBER",IF(G1347="À SOUDER","NON SOUDÉ","EN ATTENTE RT")),IF(L1347="R","À REPRENDRE",IF(H1347&lt;&gt;"OUI","⚠ ENROBÉ AVANT ACCEPTATION RT","ENROBÉ")))))</f>
        <v>NON SOUDÉ</v>
      </c>
      <c r="O1347" s="80"/>
      <c r="P1347" s="82" t="n">
        <f aca="false">IF(C1347="","",IFERROR(MATCH(Q1347,'CARNET DE SOUDURE'!$AW$7:$AW$3006,0),""))</f>
        <v>1341</v>
      </c>
      <c r="Q1347" s="82" t="str">
        <f aca="false">IF(C1347="","",B1347&amp;"|"&amp;C1347)</f>
        <v>MFD-ISW → MFD-CPF|JN°1121</v>
      </c>
    </row>
    <row r="1348" customFormat="false" ht="74.6" hidden="false" customHeight="false" outlineLevel="0" collapsed="false">
      <c r="A1348" s="82" t="n">
        <f aca="false">IF(C1348="","",ROW()-6)</f>
        <v>1342</v>
      </c>
      <c r="B1348" s="80" t="s">
        <v>110</v>
      </c>
      <c r="C1348" s="113" t="s">
        <v>1624</v>
      </c>
      <c r="D1348" s="82" t="str">
        <f aca="false">IF(OR(C1348="",P1348=""),"",INDEX('CARNET DE SOUDURE'!$D$7:$D$3006,P1348)&amp;"")</f>
        <v>11</v>
      </c>
      <c r="E1348" s="114" t="n">
        <f aca="false">IF(OR(C1348="",P1348=""),"",IF(INDEX('CARNET DE SOUDURE'!$U$7:$U$3006,P1348)="","",INDEX('CARNET DE SOUDURE'!$U$7:$U$3006,P1348)))</f>
        <v>46270</v>
      </c>
      <c r="F1348" s="82" t="str">
        <f aca="false">IF(OR(C1348="",P1348=""),"",INDEX('CARNET DE SOUDURE'!$AP$7:$AP$3006,P1348))</f>
        <v>A</v>
      </c>
      <c r="G1348" s="82" t="str">
        <f aca="false">IF(C1348="","",IF(P1348="","NJ INCONNU",INDEX('CARNET DE SOUDURE'!$AQ$7:$AQ$3006,P1348)))</f>
        <v>ACCEPTÉ</v>
      </c>
      <c r="H1348" s="82" t="str">
        <f aca="false">IF(C1348="","",IF(G1348="ACCEPTÉ","OUI","NON"))</f>
        <v>OUI</v>
      </c>
      <c r="I1348" s="83"/>
      <c r="J1348" s="80"/>
      <c r="K1348" s="81"/>
      <c r="L1348" s="81"/>
      <c r="M1348" s="81"/>
      <c r="N1348" s="84" t="str">
        <f aca="false">IF(C1348="","",IF(P1348="","NJ INCONNU",IF(I1348="",IF(H1348="OUI","À ENROBER",IF(G1348="À SOUDER","NON SOUDÉ","EN ATTENTE RT")),IF(L1348="R","À REPRENDRE",IF(H1348&lt;&gt;"OUI","⚠ ENROBÉ AVANT ACCEPTATION RT","ENROBÉ")))))</f>
        <v>À ENROBER</v>
      </c>
      <c r="O1348" s="80"/>
      <c r="P1348" s="82" t="n">
        <f aca="false">IF(C1348="","",IFERROR(MATCH(Q1348,'CARNET DE SOUDURE'!$AW$7:$AW$3006,0),""))</f>
        <v>1342</v>
      </c>
      <c r="Q1348" s="82" t="str">
        <f aca="false">IF(C1348="","",B1348&amp;"|"&amp;C1348)</f>
        <v>MFD-ISW → MFD-CPF|DJ°287</v>
      </c>
    </row>
    <row r="1349" customFormat="false" ht="74.6" hidden="false" customHeight="false" outlineLevel="0" collapsed="false">
      <c r="A1349" s="82" t="n">
        <f aca="false">IF(C1349="","",ROW()-6)</f>
        <v>1343</v>
      </c>
      <c r="B1349" s="80" t="s">
        <v>110</v>
      </c>
      <c r="C1349" s="113" t="s">
        <v>1625</v>
      </c>
      <c r="D1349" s="82" t="str">
        <f aca="false">IF(OR(C1349="",P1349=""),"",INDEX('CARNET DE SOUDURE'!$D$7:$D$3006,P1349)&amp;"")</f>
        <v>11</v>
      </c>
      <c r="E1349" s="114" t="n">
        <f aca="false">IF(OR(C1349="",P1349=""),"",IF(INDEX('CARNET DE SOUDURE'!$U$7:$U$3006,P1349)="","",INDEX('CARNET DE SOUDURE'!$U$7:$U$3006,P1349)))</f>
        <v>46277</v>
      </c>
      <c r="F1349" s="82" t="str">
        <f aca="false">IF(OR(C1349="",P1349=""),"",INDEX('CARNET DE SOUDURE'!$AP$7:$AP$3006,P1349))</f>
        <v>A</v>
      </c>
      <c r="G1349" s="82" t="str">
        <f aca="false">IF(C1349="","",IF(P1349="","NJ INCONNU",INDEX('CARNET DE SOUDURE'!$AQ$7:$AQ$3006,P1349)))</f>
        <v>ACCEPTÉ</v>
      </c>
      <c r="H1349" s="82" t="str">
        <f aca="false">IF(C1349="","",IF(G1349="ACCEPTÉ","OUI","NON"))</f>
        <v>OUI</v>
      </c>
      <c r="I1349" s="83"/>
      <c r="J1349" s="80"/>
      <c r="K1349" s="81"/>
      <c r="L1349" s="81"/>
      <c r="M1349" s="81"/>
      <c r="N1349" s="84" t="str">
        <f aca="false">IF(C1349="","",IF(P1349="","NJ INCONNU",IF(I1349="",IF(H1349="OUI","À ENROBER",IF(G1349="À SOUDER","NON SOUDÉ","EN ATTENTE RT")),IF(L1349="R","À REPRENDRE",IF(H1349&lt;&gt;"OUI","⚠ ENROBÉ AVANT ACCEPTATION RT","ENROBÉ")))))</f>
        <v>À ENROBER</v>
      </c>
      <c r="O1349" s="80"/>
      <c r="P1349" s="82" t="n">
        <f aca="false">IF(C1349="","",IFERROR(MATCH(Q1349,'CARNET DE SOUDURE'!$AW$7:$AW$3006,0),""))</f>
        <v>1343</v>
      </c>
      <c r="Q1349" s="82" t="str">
        <f aca="false">IF(C1349="","",B1349&amp;"|"&amp;C1349)</f>
        <v>MFD-ISW → MFD-CPF|JN°1122</v>
      </c>
    </row>
    <row r="1350" customFormat="false" ht="74.6" hidden="false" customHeight="false" outlineLevel="0" collapsed="false">
      <c r="A1350" s="82" t="n">
        <f aca="false">IF(C1350="","",ROW()-6)</f>
        <v>1344</v>
      </c>
      <c r="B1350" s="80" t="s">
        <v>110</v>
      </c>
      <c r="C1350" s="113" t="s">
        <v>1626</v>
      </c>
      <c r="D1350" s="82" t="str">
        <f aca="false">IF(OR(C1350="",P1350=""),"",INDEX('CARNET DE SOUDURE'!$D$7:$D$3006,P1350)&amp;"")</f>
        <v>11</v>
      </c>
      <c r="E1350" s="114" t="n">
        <f aca="false">IF(OR(C1350="",P1350=""),"",IF(INDEX('CARNET DE SOUDURE'!$U$7:$U$3006,P1350)="","",INDEX('CARNET DE SOUDURE'!$U$7:$U$3006,P1350)))</f>
        <v>46270</v>
      </c>
      <c r="F1350" s="82" t="str">
        <f aca="false">IF(OR(C1350="",P1350=""),"",INDEX('CARNET DE SOUDURE'!$AP$7:$AP$3006,P1350))</f>
        <v>A</v>
      </c>
      <c r="G1350" s="82" t="str">
        <f aca="false">IF(C1350="","",IF(P1350="","NJ INCONNU",INDEX('CARNET DE SOUDURE'!$AQ$7:$AQ$3006,P1350)))</f>
        <v>ACCEPTÉ</v>
      </c>
      <c r="H1350" s="82" t="str">
        <f aca="false">IF(C1350="","",IF(G1350="ACCEPTÉ","OUI","NON"))</f>
        <v>OUI</v>
      </c>
      <c r="I1350" s="83"/>
      <c r="J1350" s="80"/>
      <c r="K1350" s="81"/>
      <c r="L1350" s="81"/>
      <c r="M1350" s="81"/>
      <c r="N1350" s="84" t="str">
        <f aca="false">IF(C1350="","",IF(P1350="","NJ INCONNU",IF(I1350="",IF(H1350="OUI","À ENROBER",IF(G1350="À SOUDER","NON SOUDÉ","EN ATTENTE RT")),IF(L1350="R","À REPRENDRE",IF(H1350&lt;&gt;"OUI","⚠ ENROBÉ AVANT ACCEPTATION RT","ENROBÉ")))))</f>
        <v>À ENROBER</v>
      </c>
      <c r="O1350" s="80"/>
      <c r="P1350" s="82" t="n">
        <f aca="false">IF(C1350="","",IFERROR(MATCH(Q1350,'CARNET DE SOUDURE'!$AW$7:$AW$3006,0),""))</f>
        <v>1344</v>
      </c>
      <c r="Q1350" s="82" t="str">
        <f aca="false">IF(C1350="","",B1350&amp;"|"&amp;C1350)</f>
        <v>MFD-ISW → MFD-CPF|DJ°279</v>
      </c>
    </row>
    <row r="1351" customFormat="false" ht="74.6" hidden="false" customHeight="false" outlineLevel="0" collapsed="false">
      <c r="A1351" s="82" t="n">
        <f aca="false">IF(C1351="","",ROW()-6)</f>
        <v>1345</v>
      </c>
      <c r="B1351" s="80" t="s">
        <v>110</v>
      </c>
      <c r="C1351" s="113" t="s">
        <v>1627</v>
      </c>
      <c r="D1351" s="82" t="str">
        <f aca="false">IF(OR(C1351="",P1351=""),"",INDEX('CARNET DE SOUDURE'!$D$7:$D$3006,P1351)&amp;"")</f>
        <v>11</v>
      </c>
      <c r="E1351" s="114" t="n">
        <f aca="false">IF(OR(C1351="",P1351=""),"",IF(INDEX('CARNET DE SOUDURE'!$U$7:$U$3006,P1351)="","",INDEX('CARNET DE SOUDURE'!$U$7:$U$3006,P1351)))</f>
        <v>46277</v>
      </c>
      <c r="F1351" s="82" t="str">
        <f aca="false">IF(OR(C1351="",P1351=""),"",INDEX('CARNET DE SOUDURE'!$AP$7:$AP$3006,P1351))</f>
        <v>R</v>
      </c>
      <c r="G1351" s="82" t="str">
        <f aca="false">IF(C1351="","",IF(P1351="","NJ INCONNU",INDEX('CARNET DE SOUDURE'!$AQ$7:$AQ$3006,P1351)))</f>
        <v>À RÉPARER</v>
      </c>
      <c r="H1351" s="82" t="str">
        <f aca="false">IF(C1351="","",IF(G1351="ACCEPTÉ","OUI","NON"))</f>
        <v>NON</v>
      </c>
      <c r="I1351" s="83"/>
      <c r="J1351" s="80"/>
      <c r="K1351" s="81"/>
      <c r="L1351" s="81"/>
      <c r="M1351" s="81"/>
      <c r="N1351" s="84" t="str">
        <f aca="false">IF(C1351="","",IF(P1351="","NJ INCONNU",IF(I1351="",IF(H1351="OUI","À ENROBER",IF(G1351="À SOUDER","NON SOUDÉ","EN ATTENTE RT")),IF(L1351="R","À REPRENDRE",IF(H1351&lt;&gt;"OUI","⚠ ENROBÉ AVANT ACCEPTATION RT","ENROBÉ")))))</f>
        <v>EN ATTENTE RT</v>
      </c>
      <c r="O1351" s="80"/>
      <c r="P1351" s="82" t="n">
        <f aca="false">IF(C1351="","",IFERROR(MATCH(Q1351,'CARNET DE SOUDURE'!$AW$7:$AW$3006,0),""))</f>
        <v>1345</v>
      </c>
      <c r="Q1351" s="82" t="str">
        <f aca="false">IF(C1351="","",B1351&amp;"|"&amp;C1351)</f>
        <v>MFD-ISW → MFD-CPF|JN°1123</v>
      </c>
    </row>
    <row r="1352" customFormat="false" ht="74.6" hidden="false" customHeight="false" outlineLevel="0" collapsed="false">
      <c r="A1352" s="82" t="n">
        <f aca="false">IF(C1352="","",ROW()-6)</f>
        <v>1346</v>
      </c>
      <c r="B1352" s="80" t="s">
        <v>110</v>
      </c>
      <c r="C1352" s="113" t="s">
        <v>1630</v>
      </c>
      <c r="D1352" s="82" t="str">
        <f aca="false">IF(OR(C1352="",P1352=""),"",INDEX('CARNET DE SOUDURE'!$D$7:$D$3006,P1352)&amp;"")</f>
        <v>11</v>
      </c>
      <c r="E1352" s="114" t="n">
        <f aca="false">IF(OR(C1352="",P1352=""),"",IF(INDEX('CARNET DE SOUDURE'!$U$7:$U$3006,P1352)="","",INDEX('CARNET DE SOUDURE'!$U$7:$U$3006,P1352)))</f>
        <v>46271</v>
      </c>
      <c r="F1352" s="82" t="str">
        <f aca="false">IF(OR(C1352="",P1352=""),"",INDEX('CARNET DE SOUDURE'!$AP$7:$AP$3006,P1352))</f>
        <v>A</v>
      </c>
      <c r="G1352" s="82" t="str">
        <f aca="false">IF(C1352="","",IF(P1352="","NJ INCONNU",INDEX('CARNET DE SOUDURE'!$AQ$7:$AQ$3006,P1352)))</f>
        <v>ACCEPTÉ</v>
      </c>
      <c r="H1352" s="82" t="str">
        <f aca="false">IF(C1352="","",IF(G1352="ACCEPTÉ","OUI","NON"))</f>
        <v>OUI</v>
      </c>
      <c r="I1352" s="83"/>
      <c r="J1352" s="80"/>
      <c r="K1352" s="81"/>
      <c r="L1352" s="81"/>
      <c r="M1352" s="81"/>
      <c r="N1352" s="84" t="str">
        <f aca="false">IF(C1352="","",IF(P1352="","NJ INCONNU",IF(I1352="",IF(H1352="OUI","À ENROBER",IF(G1352="À SOUDER","NON SOUDÉ","EN ATTENTE RT")),IF(L1352="R","À REPRENDRE",IF(H1352&lt;&gt;"OUI","⚠ ENROBÉ AVANT ACCEPTATION RT","ENROBÉ")))))</f>
        <v>À ENROBER</v>
      </c>
      <c r="O1352" s="80"/>
      <c r="P1352" s="82" t="n">
        <f aca="false">IF(C1352="","",IFERROR(MATCH(Q1352,'CARNET DE SOUDURE'!$AW$7:$AW$3006,0),""))</f>
        <v>1346</v>
      </c>
      <c r="Q1352" s="82" t="str">
        <f aca="false">IF(C1352="","",B1352&amp;"|"&amp;C1352)</f>
        <v>MFD-ISW → MFD-CPF|DJ°306</v>
      </c>
    </row>
    <row r="1353" customFormat="false" ht="74.6" hidden="false" customHeight="false" outlineLevel="0" collapsed="false">
      <c r="A1353" s="82" t="n">
        <f aca="false">IF(C1353="","",ROW()-6)</f>
        <v>1347</v>
      </c>
      <c r="B1353" s="80" t="s">
        <v>110</v>
      </c>
      <c r="C1353" s="113" t="s">
        <v>1631</v>
      </c>
      <c r="D1353" s="82" t="str">
        <f aca="false">IF(OR(C1353="",P1353=""),"",INDEX('CARNET DE SOUDURE'!$D$7:$D$3006,P1353)&amp;"")</f>
        <v>11</v>
      </c>
      <c r="E1353" s="114" t="n">
        <f aca="false">IF(OR(C1353="",P1353=""),"",IF(INDEX('CARNET DE SOUDURE'!$U$7:$U$3006,P1353)="","",INDEX('CARNET DE SOUDURE'!$U$7:$U$3006,P1353)))</f>
        <v>46277</v>
      </c>
      <c r="F1353" s="82" t="str">
        <f aca="false">IF(OR(C1353="",P1353=""),"",INDEX('CARNET DE SOUDURE'!$AP$7:$AP$3006,P1353))</f>
        <v>R</v>
      </c>
      <c r="G1353" s="82" t="str">
        <f aca="false">IF(C1353="","",IF(P1353="","NJ INCONNU",INDEX('CARNET DE SOUDURE'!$AQ$7:$AQ$3006,P1353)))</f>
        <v>À RÉPARER</v>
      </c>
      <c r="H1353" s="82" t="str">
        <f aca="false">IF(C1353="","",IF(G1353="ACCEPTÉ","OUI","NON"))</f>
        <v>NON</v>
      </c>
      <c r="I1353" s="83"/>
      <c r="J1353" s="80"/>
      <c r="K1353" s="81"/>
      <c r="L1353" s="81"/>
      <c r="M1353" s="81"/>
      <c r="N1353" s="84" t="str">
        <f aca="false">IF(C1353="","",IF(P1353="","NJ INCONNU",IF(I1353="",IF(H1353="OUI","À ENROBER",IF(G1353="À SOUDER","NON SOUDÉ","EN ATTENTE RT")),IF(L1353="R","À REPRENDRE",IF(H1353&lt;&gt;"OUI","⚠ ENROBÉ AVANT ACCEPTATION RT","ENROBÉ")))))</f>
        <v>EN ATTENTE RT</v>
      </c>
      <c r="O1353" s="80"/>
      <c r="P1353" s="82" t="n">
        <f aca="false">IF(C1353="","",IFERROR(MATCH(Q1353,'CARNET DE SOUDURE'!$AW$7:$AW$3006,0),""))</f>
        <v>1347</v>
      </c>
      <c r="Q1353" s="82" t="str">
        <f aca="false">IF(C1353="","",B1353&amp;"|"&amp;C1353)</f>
        <v>MFD-ISW → MFD-CPF|JN°1124</v>
      </c>
    </row>
    <row r="1354" customFormat="false" ht="74.6" hidden="false" customHeight="false" outlineLevel="0" collapsed="false">
      <c r="A1354" s="82" t="n">
        <f aca="false">IF(C1354="","",ROW()-6)</f>
        <v>1348</v>
      </c>
      <c r="B1354" s="80" t="s">
        <v>110</v>
      </c>
      <c r="C1354" s="113" t="s">
        <v>1633</v>
      </c>
      <c r="D1354" s="82" t="str">
        <f aca="false">IF(OR(C1354="",P1354=""),"",INDEX('CARNET DE SOUDURE'!$D$7:$D$3006,P1354)&amp;"")</f>
        <v>11</v>
      </c>
      <c r="E1354" s="114" t="n">
        <f aca="false">IF(OR(C1354="",P1354=""),"",IF(INDEX('CARNET DE SOUDURE'!$U$7:$U$3006,P1354)="","",INDEX('CARNET DE SOUDURE'!$U$7:$U$3006,P1354)))</f>
        <v>46271</v>
      </c>
      <c r="F1354" s="82" t="str">
        <f aca="false">IF(OR(C1354="",P1354=""),"",INDEX('CARNET DE SOUDURE'!$AP$7:$AP$3006,P1354))</f>
        <v>A</v>
      </c>
      <c r="G1354" s="82" t="str">
        <f aca="false">IF(C1354="","",IF(P1354="","NJ INCONNU",INDEX('CARNET DE SOUDURE'!$AQ$7:$AQ$3006,P1354)))</f>
        <v>ACCEPTÉ</v>
      </c>
      <c r="H1354" s="82" t="str">
        <f aca="false">IF(C1354="","",IF(G1354="ACCEPTÉ","OUI","NON"))</f>
        <v>OUI</v>
      </c>
      <c r="I1354" s="83"/>
      <c r="J1354" s="80"/>
      <c r="K1354" s="81"/>
      <c r="L1354" s="81"/>
      <c r="M1354" s="81"/>
      <c r="N1354" s="84" t="str">
        <f aca="false">IF(C1354="","",IF(P1354="","NJ INCONNU",IF(I1354="",IF(H1354="OUI","À ENROBER",IF(G1354="À SOUDER","NON SOUDÉ","EN ATTENTE RT")),IF(L1354="R","À REPRENDRE",IF(H1354&lt;&gt;"OUI","⚠ ENROBÉ AVANT ACCEPTATION RT","ENROBÉ")))))</f>
        <v>À ENROBER</v>
      </c>
      <c r="O1354" s="80"/>
      <c r="P1354" s="82" t="n">
        <f aca="false">IF(C1354="","",IFERROR(MATCH(Q1354,'CARNET DE SOUDURE'!$AW$7:$AW$3006,0),""))</f>
        <v>1348</v>
      </c>
      <c r="Q1354" s="82" t="str">
        <f aca="false">IF(C1354="","",B1354&amp;"|"&amp;C1354)</f>
        <v>MFD-ISW → MFD-CPF|DJ°294</v>
      </c>
    </row>
    <row r="1355" customFormat="false" ht="74.6" hidden="false" customHeight="false" outlineLevel="0" collapsed="false">
      <c r="A1355" s="82" t="n">
        <f aca="false">IF(C1355="","",ROW()-6)</f>
        <v>1349</v>
      </c>
      <c r="B1355" s="80" t="s">
        <v>110</v>
      </c>
      <c r="C1355" s="113" t="s">
        <v>1634</v>
      </c>
      <c r="D1355" s="82" t="str">
        <f aca="false">IF(OR(C1355="",P1355=""),"",INDEX('CARNET DE SOUDURE'!$D$7:$D$3006,P1355)&amp;"")</f>
        <v>11</v>
      </c>
      <c r="E1355" s="114" t="str">
        <f aca="false">IF(OR(C1355="",P1355=""),"",IF(INDEX('CARNET DE SOUDURE'!$U$7:$U$3006,P1355)="","",INDEX('CARNET DE SOUDURE'!$U$7:$U$3006,P1355)))</f>
        <v/>
      </c>
      <c r="F1355" s="82" t="str">
        <f aca="false">IF(OR(C1355="",P1355=""),"",INDEX('CARNET DE SOUDURE'!$AP$7:$AP$3006,P1355))</f>
        <v/>
      </c>
      <c r="G1355" s="82" t="str">
        <f aca="false">IF(C1355="","",IF(P1355="","NJ INCONNU",INDEX('CARNET DE SOUDURE'!$AQ$7:$AQ$3006,P1355)))</f>
        <v>À SOUDER</v>
      </c>
      <c r="H1355" s="82" t="str">
        <f aca="false">IF(C1355="","",IF(G1355="ACCEPTÉ","OUI","NON"))</f>
        <v>NON</v>
      </c>
      <c r="I1355" s="83"/>
      <c r="J1355" s="80"/>
      <c r="K1355" s="81"/>
      <c r="L1355" s="81"/>
      <c r="M1355" s="81"/>
      <c r="N1355" s="84" t="str">
        <f aca="false">IF(C1355="","",IF(P1355="","NJ INCONNU",IF(I1355="",IF(H1355="OUI","À ENROBER",IF(G1355="À SOUDER","NON SOUDÉ","EN ATTENTE RT")),IF(L1355="R","À REPRENDRE",IF(H1355&lt;&gt;"OUI","⚠ ENROBÉ AVANT ACCEPTATION RT","ENROBÉ")))))</f>
        <v>NON SOUDÉ</v>
      </c>
      <c r="O1355" s="80"/>
      <c r="P1355" s="82" t="n">
        <f aca="false">IF(C1355="","",IFERROR(MATCH(Q1355,'CARNET DE SOUDURE'!$AW$7:$AW$3006,0),""))</f>
        <v>1349</v>
      </c>
      <c r="Q1355" s="82" t="str">
        <f aca="false">IF(C1355="","",B1355&amp;"|"&amp;C1355)</f>
        <v>MFD-ISW → MFD-CPF|JN°1125</v>
      </c>
    </row>
    <row r="1356" customFormat="false" ht="74.6" hidden="false" customHeight="false" outlineLevel="0" collapsed="false">
      <c r="A1356" s="82" t="n">
        <f aca="false">IF(C1356="","",ROW()-6)</f>
        <v>1350</v>
      </c>
      <c r="B1356" s="80" t="s">
        <v>110</v>
      </c>
      <c r="C1356" s="113" t="s">
        <v>1635</v>
      </c>
      <c r="D1356" s="82" t="str">
        <f aca="false">IF(OR(C1356="",P1356=""),"",INDEX('CARNET DE SOUDURE'!$D$7:$D$3006,P1356)&amp;"")</f>
        <v>11</v>
      </c>
      <c r="E1356" s="114" t="str">
        <f aca="false">IF(OR(C1356="",P1356=""),"",IF(INDEX('CARNET DE SOUDURE'!$U$7:$U$3006,P1356)="","",INDEX('CARNET DE SOUDURE'!$U$7:$U$3006,P1356)))</f>
        <v/>
      </c>
      <c r="F1356" s="82" t="str">
        <f aca="false">IF(OR(C1356="",P1356=""),"",INDEX('CARNET DE SOUDURE'!$AP$7:$AP$3006,P1356))</f>
        <v/>
      </c>
      <c r="G1356" s="82" t="str">
        <f aca="false">IF(C1356="","",IF(P1356="","NJ INCONNU",INDEX('CARNET DE SOUDURE'!$AQ$7:$AQ$3006,P1356)))</f>
        <v>À SOUDER</v>
      </c>
      <c r="H1356" s="82" t="str">
        <f aca="false">IF(C1356="","",IF(G1356="ACCEPTÉ","OUI","NON"))</f>
        <v>NON</v>
      </c>
      <c r="I1356" s="83"/>
      <c r="J1356" s="80"/>
      <c r="K1356" s="81"/>
      <c r="L1356" s="81"/>
      <c r="M1356" s="81"/>
      <c r="N1356" s="84" t="str">
        <f aca="false">IF(C1356="","",IF(P1356="","NJ INCONNU",IF(I1356="",IF(H1356="OUI","À ENROBER",IF(G1356="À SOUDER","NON SOUDÉ","EN ATTENTE RT")),IF(L1356="R","À REPRENDRE",IF(H1356&lt;&gt;"OUI","⚠ ENROBÉ AVANT ACCEPTATION RT","ENROBÉ")))))</f>
        <v>NON SOUDÉ</v>
      </c>
      <c r="O1356" s="80"/>
      <c r="P1356" s="82" t="n">
        <f aca="false">IF(C1356="","",IFERROR(MATCH(Q1356,'CARNET DE SOUDURE'!$AW$7:$AW$3006,0),""))</f>
        <v>1350</v>
      </c>
      <c r="Q1356" s="82" t="str">
        <f aca="false">IF(C1356="","",B1356&amp;"|"&amp;C1356)</f>
        <v>MFD-ISW → MFD-CPF|JN°1126</v>
      </c>
    </row>
    <row r="1357" customFormat="false" ht="74.6" hidden="false" customHeight="false" outlineLevel="0" collapsed="false">
      <c r="A1357" s="82" t="n">
        <f aca="false">IF(C1357="","",ROW()-6)</f>
        <v>1351</v>
      </c>
      <c r="B1357" s="80" t="s">
        <v>110</v>
      </c>
      <c r="C1357" s="113" t="s">
        <v>1636</v>
      </c>
      <c r="D1357" s="82" t="str">
        <f aca="false">IF(OR(C1357="",P1357=""),"",INDEX('CARNET DE SOUDURE'!$D$7:$D$3006,P1357)&amp;"")</f>
        <v>11</v>
      </c>
      <c r="E1357" s="114" t="str">
        <f aca="false">IF(OR(C1357="",P1357=""),"",IF(INDEX('CARNET DE SOUDURE'!$U$7:$U$3006,P1357)="","",INDEX('CARNET DE SOUDURE'!$U$7:$U$3006,P1357)))</f>
        <v/>
      </c>
      <c r="F1357" s="82" t="str">
        <f aca="false">IF(OR(C1357="",P1357=""),"",INDEX('CARNET DE SOUDURE'!$AP$7:$AP$3006,P1357))</f>
        <v/>
      </c>
      <c r="G1357" s="82" t="str">
        <f aca="false">IF(C1357="","",IF(P1357="","NJ INCONNU",INDEX('CARNET DE SOUDURE'!$AQ$7:$AQ$3006,P1357)))</f>
        <v>À SOUDER</v>
      </c>
      <c r="H1357" s="82" t="str">
        <f aca="false">IF(C1357="","",IF(G1357="ACCEPTÉ","OUI","NON"))</f>
        <v>NON</v>
      </c>
      <c r="I1357" s="83"/>
      <c r="J1357" s="80"/>
      <c r="K1357" s="81"/>
      <c r="L1357" s="81"/>
      <c r="M1357" s="81"/>
      <c r="N1357" s="84" t="str">
        <f aca="false">IF(C1357="","",IF(P1357="","NJ INCONNU",IF(I1357="",IF(H1357="OUI","À ENROBER",IF(G1357="À SOUDER","NON SOUDÉ","EN ATTENTE RT")),IF(L1357="R","À REPRENDRE",IF(H1357&lt;&gt;"OUI","⚠ ENROBÉ AVANT ACCEPTATION RT","ENROBÉ")))))</f>
        <v>NON SOUDÉ</v>
      </c>
      <c r="O1357" s="80"/>
      <c r="P1357" s="82" t="n">
        <f aca="false">IF(C1357="","",IFERROR(MATCH(Q1357,'CARNET DE SOUDURE'!$AW$7:$AW$3006,0),""))</f>
        <v>1351</v>
      </c>
      <c r="Q1357" s="82" t="str">
        <f aca="false">IF(C1357="","",B1357&amp;"|"&amp;C1357)</f>
        <v>MFD-ISW → MFD-CPF|JN°1127</v>
      </c>
    </row>
    <row r="1358" customFormat="false" ht="74.6" hidden="false" customHeight="false" outlineLevel="0" collapsed="false">
      <c r="A1358" s="82" t="n">
        <f aca="false">IF(C1358="","",ROW()-6)</f>
        <v>1352</v>
      </c>
      <c r="B1358" s="80" t="s">
        <v>110</v>
      </c>
      <c r="C1358" s="113" t="s">
        <v>1637</v>
      </c>
      <c r="D1358" s="82" t="str">
        <f aca="false">IF(OR(C1358="",P1358=""),"",INDEX('CARNET DE SOUDURE'!$D$7:$D$3006,P1358)&amp;"")</f>
        <v>11</v>
      </c>
      <c r="E1358" s="114" t="str">
        <f aca="false">IF(OR(C1358="",P1358=""),"",IF(INDEX('CARNET DE SOUDURE'!$U$7:$U$3006,P1358)="","",INDEX('CARNET DE SOUDURE'!$U$7:$U$3006,P1358)))</f>
        <v/>
      </c>
      <c r="F1358" s="82" t="str">
        <f aca="false">IF(OR(C1358="",P1358=""),"",INDEX('CARNET DE SOUDURE'!$AP$7:$AP$3006,P1358))</f>
        <v/>
      </c>
      <c r="G1358" s="82" t="str">
        <f aca="false">IF(C1358="","",IF(P1358="","NJ INCONNU",INDEX('CARNET DE SOUDURE'!$AQ$7:$AQ$3006,P1358)))</f>
        <v>À SOUDER</v>
      </c>
      <c r="H1358" s="82" t="str">
        <f aca="false">IF(C1358="","",IF(G1358="ACCEPTÉ","OUI","NON"))</f>
        <v>NON</v>
      </c>
      <c r="I1358" s="83"/>
      <c r="J1358" s="80"/>
      <c r="K1358" s="81"/>
      <c r="L1358" s="81"/>
      <c r="M1358" s="81"/>
      <c r="N1358" s="84" t="str">
        <f aca="false">IF(C1358="","",IF(P1358="","NJ INCONNU",IF(I1358="",IF(H1358="OUI","À ENROBER",IF(G1358="À SOUDER","NON SOUDÉ","EN ATTENTE RT")),IF(L1358="R","À REPRENDRE",IF(H1358&lt;&gt;"OUI","⚠ ENROBÉ AVANT ACCEPTATION RT","ENROBÉ")))))</f>
        <v>NON SOUDÉ</v>
      </c>
      <c r="O1358" s="80"/>
      <c r="P1358" s="82" t="n">
        <f aca="false">IF(C1358="","",IFERROR(MATCH(Q1358,'CARNET DE SOUDURE'!$AW$7:$AW$3006,0),""))</f>
        <v>1352</v>
      </c>
      <c r="Q1358" s="82" t="str">
        <f aca="false">IF(C1358="","",B1358&amp;"|"&amp;C1358)</f>
        <v>MFD-ISW → MFD-CPF|JN°1128</v>
      </c>
    </row>
    <row r="1359" customFormat="false" ht="74.6" hidden="false" customHeight="false" outlineLevel="0" collapsed="false">
      <c r="A1359" s="82" t="n">
        <f aca="false">IF(C1359="","",ROW()-6)</f>
        <v>1353</v>
      </c>
      <c r="B1359" s="80" t="s">
        <v>110</v>
      </c>
      <c r="C1359" s="113" t="s">
        <v>1638</v>
      </c>
      <c r="D1359" s="82" t="str">
        <f aca="false">IF(OR(C1359="",P1359=""),"",INDEX('CARNET DE SOUDURE'!$D$7:$D$3006,P1359)&amp;"")</f>
        <v>11</v>
      </c>
      <c r="E1359" s="114" t="str">
        <f aca="false">IF(OR(C1359="",P1359=""),"",IF(INDEX('CARNET DE SOUDURE'!$U$7:$U$3006,P1359)="","",INDEX('CARNET DE SOUDURE'!$U$7:$U$3006,P1359)))</f>
        <v/>
      </c>
      <c r="F1359" s="82" t="str">
        <f aca="false">IF(OR(C1359="",P1359=""),"",INDEX('CARNET DE SOUDURE'!$AP$7:$AP$3006,P1359))</f>
        <v/>
      </c>
      <c r="G1359" s="82" t="str">
        <f aca="false">IF(C1359="","",IF(P1359="","NJ INCONNU",INDEX('CARNET DE SOUDURE'!$AQ$7:$AQ$3006,P1359)))</f>
        <v>À SOUDER</v>
      </c>
      <c r="H1359" s="82" t="str">
        <f aca="false">IF(C1359="","",IF(G1359="ACCEPTÉ","OUI","NON"))</f>
        <v>NON</v>
      </c>
      <c r="I1359" s="83"/>
      <c r="J1359" s="80"/>
      <c r="K1359" s="81"/>
      <c r="L1359" s="81"/>
      <c r="M1359" s="81"/>
      <c r="N1359" s="84" t="str">
        <f aca="false">IF(C1359="","",IF(P1359="","NJ INCONNU",IF(I1359="",IF(H1359="OUI","À ENROBER",IF(G1359="À SOUDER","NON SOUDÉ","EN ATTENTE RT")),IF(L1359="R","À REPRENDRE",IF(H1359&lt;&gt;"OUI","⚠ ENROBÉ AVANT ACCEPTATION RT","ENROBÉ")))))</f>
        <v>NON SOUDÉ</v>
      </c>
      <c r="O1359" s="80"/>
      <c r="P1359" s="82" t="n">
        <f aca="false">IF(C1359="","",IFERROR(MATCH(Q1359,'CARNET DE SOUDURE'!$AW$7:$AW$3006,0),""))</f>
        <v>1353</v>
      </c>
      <c r="Q1359" s="82" t="str">
        <f aca="false">IF(C1359="","",B1359&amp;"|"&amp;C1359)</f>
        <v>MFD-ISW → MFD-CPF|JN°1129</v>
      </c>
    </row>
    <row r="1360" customFormat="false" ht="74.6" hidden="false" customHeight="false" outlineLevel="0" collapsed="false">
      <c r="A1360" s="82" t="n">
        <f aca="false">IF(C1360="","",ROW()-6)</f>
        <v>1354</v>
      </c>
      <c r="B1360" s="80" t="s">
        <v>110</v>
      </c>
      <c r="C1360" s="113" t="s">
        <v>1639</v>
      </c>
      <c r="D1360" s="82" t="str">
        <f aca="false">IF(OR(C1360="",P1360=""),"",INDEX('CARNET DE SOUDURE'!$D$7:$D$3006,P1360)&amp;"")</f>
        <v>11</v>
      </c>
      <c r="E1360" s="114" t="str">
        <f aca="false">IF(OR(C1360="",P1360=""),"",IF(INDEX('CARNET DE SOUDURE'!$U$7:$U$3006,P1360)="","",INDEX('CARNET DE SOUDURE'!$U$7:$U$3006,P1360)))</f>
        <v/>
      </c>
      <c r="F1360" s="82" t="str">
        <f aca="false">IF(OR(C1360="",P1360=""),"",INDEX('CARNET DE SOUDURE'!$AP$7:$AP$3006,P1360))</f>
        <v/>
      </c>
      <c r="G1360" s="82" t="str">
        <f aca="false">IF(C1360="","",IF(P1360="","NJ INCONNU",INDEX('CARNET DE SOUDURE'!$AQ$7:$AQ$3006,P1360)))</f>
        <v>À SOUDER</v>
      </c>
      <c r="H1360" s="82" t="str">
        <f aca="false">IF(C1360="","",IF(G1360="ACCEPTÉ","OUI","NON"))</f>
        <v>NON</v>
      </c>
      <c r="I1360" s="83"/>
      <c r="J1360" s="80"/>
      <c r="K1360" s="81"/>
      <c r="L1360" s="81"/>
      <c r="M1360" s="81"/>
      <c r="N1360" s="84" t="str">
        <f aca="false">IF(C1360="","",IF(P1360="","NJ INCONNU",IF(I1360="",IF(H1360="OUI","À ENROBER",IF(G1360="À SOUDER","NON SOUDÉ","EN ATTENTE RT")),IF(L1360="R","À REPRENDRE",IF(H1360&lt;&gt;"OUI","⚠ ENROBÉ AVANT ACCEPTATION RT","ENROBÉ")))))</f>
        <v>NON SOUDÉ</v>
      </c>
      <c r="O1360" s="80"/>
      <c r="P1360" s="82" t="n">
        <f aca="false">IF(C1360="","",IFERROR(MATCH(Q1360,'CARNET DE SOUDURE'!$AW$7:$AW$3006,0),""))</f>
        <v>1354</v>
      </c>
      <c r="Q1360" s="82" t="str">
        <f aca="false">IF(C1360="","",B1360&amp;"|"&amp;C1360)</f>
        <v>MFD-ISW → MFD-CPF|JN°1130</v>
      </c>
    </row>
    <row r="1361" customFormat="false" ht="74.6" hidden="false" customHeight="false" outlineLevel="0" collapsed="false">
      <c r="A1361" s="82" t="n">
        <f aca="false">IF(C1361="","",ROW()-6)</f>
        <v>1355</v>
      </c>
      <c r="B1361" s="80" t="s">
        <v>110</v>
      </c>
      <c r="C1361" s="113" t="s">
        <v>1640</v>
      </c>
      <c r="D1361" s="82" t="str">
        <f aca="false">IF(OR(C1361="",P1361=""),"",INDEX('CARNET DE SOUDURE'!$D$7:$D$3006,P1361)&amp;"")</f>
        <v>11</v>
      </c>
      <c r="E1361" s="114" t="str">
        <f aca="false">IF(OR(C1361="",P1361=""),"",IF(INDEX('CARNET DE SOUDURE'!$U$7:$U$3006,P1361)="","",INDEX('CARNET DE SOUDURE'!$U$7:$U$3006,P1361)))</f>
        <v/>
      </c>
      <c r="F1361" s="82" t="str">
        <f aca="false">IF(OR(C1361="",P1361=""),"",INDEX('CARNET DE SOUDURE'!$AP$7:$AP$3006,P1361))</f>
        <v/>
      </c>
      <c r="G1361" s="82" t="str">
        <f aca="false">IF(C1361="","",IF(P1361="","NJ INCONNU",INDEX('CARNET DE SOUDURE'!$AQ$7:$AQ$3006,P1361)))</f>
        <v>À SOUDER</v>
      </c>
      <c r="H1361" s="82" t="str">
        <f aca="false">IF(C1361="","",IF(G1361="ACCEPTÉ","OUI","NON"))</f>
        <v>NON</v>
      </c>
      <c r="I1361" s="83"/>
      <c r="J1361" s="80"/>
      <c r="K1361" s="81"/>
      <c r="L1361" s="81"/>
      <c r="M1361" s="81"/>
      <c r="N1361" s="84" t="str">
        <f aca="false">IF(C1361="","",IF(P1361="","NJ INCONNU",IF(I1361="",IF(H1361="OUI","À ENROBER",IF(G1361="À SOUDER","NON SOUDÉ","EN ATTENTE RT")),IF(L1361="R","À REPRENDRE",IF(H1361&lt;&gt;"OUI","⚠ ENROBÉ AVANT ACCEPTATION RT","ENROBÉ")))))</f>
        <v>NON SOUDÉ</v>
      </c>
      <c r="O1361" s="80"/>
      <c r="P1361" s="82" t="n">
        <f aca="false">IF(C1361="","",IFERROR(MATCH(Q1361,'CARNET DE SOUDURE'!$AW$7:$AW$3006,0),""))</f>
        <v>1355</v>
      </c>
      <c r="Q1361" s="82" t="str">
        <f aca="false">IF(C1361="","",B1361&amp;"|"&amp;C1361)</f>
        <v>MFD-ISW → MFD-CPF|JN°1131</v>
      </c>
    </row>
    <row r="1362" customFormat="false" ht="74.6" hidden="false" customHeight="false" outlineLevel="0" collapsed="false">
      <c r="A1362" s="82" t="n">
        <f aca="false">IF(C1362="","",ROW()-6)</f>
        <v>1356</v>
      </c>
      <c r="B1362" s="80" t="s">
        <v>110</v>
      </c>
      <c r="C1362" s="113" t="s">
        <v>1641</v>
      </c>
      <c r="D1362" s="82" t="str">
        <f aca="false">IF(OR(C1362="",P1362=""),"",INDEX('CARNET DE SOUDURE'!$D$7:$D$3006,P1362)&amp;"")</f>
        <v>11</v>
      </c>
      <c r="E1362" s="114" t="str">
        <f aca="false">IF(OR(C1362="",P1362=""),"",IF(INDEX('CARNET DE SOUDURE'!$U$7:$U$3006,P1362)="","",INDEX('CARNET DE SOUDURE'!$U$7:$U$3006,P1362)))</f>
        <v/>
      </c>
      <c r="F1362" s="82" t="str">
        <f aca="false">IF(OR(C1362="",P1362=""),"",INDEX('CARNET DE SOUDURE'!$AP$7:$AP$3006,P1362))</f>
        <v/>
      </c>
      <c r="G1362" s="82" t="str">
        <f aca="false">IF(C1362="","",IF(P1362="","NJ INCONNU",INDEX('CARNET DE SOUDURE'!$AQ$7:$AQ$3006,P1362)))</f>
        <v>À SOUDER</v>
      </c>
      <c r="H1362" s="82" t="str">
        <f aca="false">IF(C1362="","",IF(G1362="ACCEPTÉ","OUI","NON"))</f>
        <v>NON</v>
      </c>
      <c r="I1362" s="83"/>
      <c r="J1362" s="80"/>
      <c r="K1362" s="81"/>
      <c r="L1362" s="81"/>
      <c r="M1362" s="81"/>
      <c r="N1362" s="84" t="str">
        <f aca="false">IF(C1362="","",IF(P1362="","NJ INCONNU",IF(I1362="",IF(H1362="OUI","À ENROBER",IF(G1362="À SOUDER","NON SOUDÉ","EN ATTENTE RT")),IF(L1362="R","À REPRENDRE",IF(H1362&lt;&gt;"OUI","⚠ ENROBÉ AVANT ACCEPTATION RT","ENROBÉ")))))</f>
        <v>NON SOUDÉ</v>
      </c>
      <c r="O1362" s="80"/>
      <c r="P1362" s="82" t="n">
        <f aca="false">IF(C1362="","",IFERROR(MATCH(Q1362,'CARNET DE SOUDURE'!$AW$7:$AW$3006,0),""))</f>
        <v>1356</v>
      </c>
      <c r="Q1362" s="82" t="str">
        <f aca="false">IF(C1362="","",B1362&amp;"|"&amp;C1362)</f>
        <v>MFD-ISW → MFD-CPF|JN°1132</v>
      </c>
    </row>
    <row r="1363" customFormat="false" ht="74.6" hidden="false" customHeight="false" outlineLevel="0" collapsed="false">
      <c r="A1363" s="82" t="n">
        <f aca="false">IF(C1363="","",ROW()-6)</f>
        <v>1357</v>
      </c>
      <c r="B1363" s="80" t="s">
        <v>110</v>
      </c>
      <c r="C1363" s="113" t="s">
        <v>1642</v>
      </c>
      <c r="D1363" s="82" t="str">
        <f aca="false">IF(OR(C1363="",P1363=""),"",INDEX('CARNET DE SOUDURE'!$D$7:$D$3006,P1363)&amp;"")</f>
        <v>11</v>
      </c>
      <c r="E1363" s="114" t="str">
        <f aca="false">IF(OR(C1363="",P1363=""),"",IF(INDEX('CARNET DE SOUDURE'!$U$7:$U$3006,P1363)="","",INDEX('CARNET DE SOUDURE'!$U$7:$U$3006,P1363)))</f>
        <v/>
      </c>
      <c r="F1363" s="82" t="str">
        <f aca="false">IF(OR(C1363="",P1363=""),"",INDEX('CARNET DE SOUDURE'!$AP$7:$AP$3006,P1363))</f>
        <v/>
      </c>
      <c r="G1363" s="82" t="str">
        <f aca="false">IF(C1363="","",IF(P1363="","NJ INCONNU",INDEX('CARNET DE SOUDURE'!$AQ$7:$AQ$3006,P1363)))</f>
        <v>À SOUDER</v>
      </c>
      <c r="H1363" s="82" t="str">
        <f aca="false">IF(C1363="","",IF(G1363="ACCEPTÉ","OUI","NON"))</f>
        <v>NON</v>
      </c>
      <c r="I1363" s="83"/>
      <c r="J1363" s="80"/>
      <c r="K1363" s="81"/>
      <c r="L1363" s="81"/>
      <c r="M1363" s="81"/>
      <c r="N1363" s="84" t="str">
        <f aca="false">IF(C1363="","",IF(P1363="","NJ INCONNU",IF(I1363="",IF(H1363="OUI","À ENROBER",IF(G1363="À SOUDER","NON SOUDÉ","EN ATTENTE RT")),IF(L1363="R","À REPRENDRE",IF(H1363&lt;&gt;"OUI","⚠ ENROBÉ AVANT ACCEPTATION RT","ENROBÉ")))))</f>
        <v>NON SOUDÉ</v>
      </c>
      <c r="O1363" s="80"/>
      <c r="P1363" s="82" t="n">
        <f aca="false">IF(C1363="","",IFERROR(MATCH(Q1363,'CARNET DE SOUDURE'!$AW$7:$AW$3006,0),""))</f>
        <v>1357</v>
      </c>
      <c r="Q1363" s="82" t="str">
        <f aca="false">IF(C1363="","",B1363&amp;"|"&amp;C1363)</f>
        <v>MFD-ISW → MFD-CPF|JN°1133</v>
      </c>
    </row>
    <row r="1364" customFormat="false" ht="74.6" hidden="false" customHeight="false" outlineLevel="0" collapsed="false">
      <c r="A1364" s="82" t="n">
        <f aca="false">IF(C1364="","",ROW()-6)</f>
        <v>1358</v>
      </c>
      <c r="B1364" s="80" t="s">
        <v>110</v>
      </c>
      <c r="C1364" s="113" t="s">
        <v>1643</v>
      </c>
      <c r="D1364" s="82" t="str">
        <f aca="false">IF(OR(C1364="",P1364=""),"",INDEX('CARNET DE SOUDURE'!$D$7:$D$3006,P1364)&amp;"")</f>
        <v>11</v>
      </c>
      <c r="E1364" s="114" t="str">
        <f aca="false">IF(OR(C1364="",P1364=""),"",IF(INDEX('CARNET DE SOUDURE'!$U$7:$U$3006,P1364)="","",INDEX('CARNET DE SOUDURE'!$U$7:$U$3006,P1364)))</f>
        <v/>
      </c>
      <c r="F1364" s="82" t="str">
        <f aca="false">IF(OR(C1364="",P1364=""),"",INDEX('CARNET DE SOUDURE'!$AP$7:$AP$3006,P1364))</f>
        <v/>
      </c>
      <c r="G1364" s="82" t="str">
        <f aca="false">IF(C1364="","",IF(P1364="","NJ INCONNU",INDEX('CARNET DE SOUDURE'!$AQ$7:$AQ$3006,P1364)))</f>
        <v>À SOUDER</v>
      </c>
      <c r="H1364" s="82" t="str">
        <f aca="false">IF(C1364="","",IF(G1364="ACCEPTÉ","OUI","NON"))</f>
        <v>NON</v>
      </c>
      <c r="I1364" s="83"/>
      <c r="J1364" s="80"/>
      <c r="K1364" s="81"/>
      <c r="L1364" s="81"/>
      <c r="M1364" s="81"/>
      <c r="N1364" s="84" t="str">
        <f aca="false">IF(C1364="","",IF(P1364="","NJ INCONNU",IF(I1364="",IF(H1364="OUI","À ENROBER",IF(G1364="À SOUDER","NON SOUDÉ","EN ATTENTE RT")),IF(L1364="R","À REPRENDRE",IF(H1364&lt;&gt;"OUI","⚠ ENROBÉ AVANT ACCEPTATION RT","ENROBÉ")))))</f>
        <v>NON SOUDÉ</v>
      </c>
      <c r="O1364" s="80"/>
      <c r="P1364" s="82" t="n">
        <f aca="false">IF(C1364="","",IFERROR(MATCH(Q1364,'CARNET DE SOUDURE'!$AW$7:$AW$3006,0),""))</f>
        <v>1358</v>
      </c>
      <c r="Q1364" s="82" t="str">
        <f aca="false">IF(C1364="","",B1364&amp;"|"&amp;C1364)</f>
        <v>MFD-ISW → MFD-CPF|JN°1134</v>
      </c>
    </row>
    <row r="1365" customFormat="false" ht="74.6" hidden="false" customHeight="false" outlineLevel="0" collapsed="false">
      <c r="A1365" s="82" t="n">
        <f aca="false">IF(C1365="","",ROW()-6)</f>
        <v>1359</v>
      </c>
      <c r="B1365" s="80" t="s">
        <v>110</v>
      </c>
      <c r="C1365" s="113" t="s">
        <v>1644</v>
      </c>
      <c r="D1365" s="82" t="str">
        <f aca="false">IF(OR(C1365="",P1365=""),"",INDEX('CARNET DE SOUDURE'!$D$7:$D$3006,P1365)&amp;"")</f>
        <v>11</v>
      </c>
      <c r="E1365" s="114" t="str">
        <f aca="false">IF(OR(C1365="",P1365=""),"",IF(INDEX('CARNET DE SOUDURE'!$U$7:$U$3006,P1365)="","",INDEX('CARNET DE SOUDURE'!$U$7:$U$3006,P1365)))</f>
        <v/>
      </c>
      <c r="F1365" s="82" t="str">
        <f aca="false">IF(OR(C1365="",P1365=""),"",INDEX('CARNET DE SOUDURE'!$AP$7:$AP$3006,P1365))</f>
        <v/>
      </c>
      <c r="G1365" s="82" t="str">
        <f aca="false">IF(C1365="","",IF(P1365="","NJ INCONNU",INDEX('CARNET DE SOUDURE'!$AQ$7:$AQ$3006,P1365)))</f>
        <v>À SOUDER</v>
      </c>
      <c r="H1365" s="82" t="str">
        <f aca="false">IF(C1365="","",IF(G1365="ACCEPTÉ","OUI","NON"))</f>
        <v>NON</v>
      </c>
      <c r="I1365" s="83"/>
      <c r="J1365" s="80"/>
      <c r="K1365" s="81"/>
      <c r="L1365" s="81"/>
      <c r="M1365" s="81"/>
      <c r="N1365" s="84" t="str">
        <f aca="false">IF(C1365="","",IF(P1365="","NJ INCONNU",IF(I1365="",IF(H1365="OUI","À ENROBER",IF(G1365="À SOUDER","NON SOUDÉ","EN ATTENTE RT")),IF(L1365="R","À REPRENDRE",IF(H1365&lt;&gt;"OUI","⚠ ENROBÉ AVANT ACCEPTATION RT","ENROBÉ")))))</f>
        <v>NON SOUDÉ</v>
      </c>
      <c r="O1365" s="80"/>
      <c r="P1365" s="82" t="n">
        <f aca="false">IF(C1365="","",IFERROR(MATCH(Q1365,'CARNET DE SOUDURE'!$AW$7:$AW$3006,0),""))</f>
        <v>1359</v>
      </c>
      <c r="Q1365" s="82" t="str">
        <f aca="false">IF(C1365="","",B1365&amp;"|"&amp;C1365)</f>
        <v>MFD-ISW → MFD-CPF|JN°1135</v>
      </c>
    </row>
    <row r="1366" customFormat="false" ht="74.6" hidden="false" customHeight="false" outlineLevel="0" collapsed="false">
      <c r="A1366" s="82" t="n">
        <f aca="false">IF(C1366="","",ROW()-6)</f>
        <v>1360</v>
      </c>
      <c r="B1366" s="80" t="s">
        <v>110</v>
      </c>
      <c r="C1366" s="113" t="s">
        <v>1645</v>
      </c>
      <c r="D1366" s="82" t="str">
        <f aca="false">IF(OR(C1366="",P1366=""),"",INDEX('CARNET DE SOUDURE'!$D$7:$D$3006,P1366)&amp;"")</f>
        <v>11</v>
      </c>
      <c r="E1366" s="114" t="str">
        <f aca="false">IF(OR(C1366="",P1366=""),"",IF(INDEX('CARNET DE SOUDURE'!$U$7:$U$3006,P1366)="","",INDEX('CARNET DE SOUDURE'!$U$7:$U$3006,P1366)))</f>
        <v/>
      </c>
      <c r="F1366" s="82" t="str">
        <f aca="false">IF(OR(C1366="",P1366=""),"",INDEX('CARNET DE SOUDURE'!$AP$7:$AP$3006,P1366))</f>
        <v/>
      </c>
      <c r="G1366" s="82" t="str">
        <f aca="false">IF(C1366="","",IF(P1366="","NJ INCONNU",INDEX('CARNET DE SOUDURE'!$AQ$7:$AQ$3006,P1366)))</f>
        <v>À SOUDER</v>
      </c>
      <c r="H1366" s="82" t="str">
        <f aca="false">IF(C1366="","",IF(G1366="ACCEPTÉ","OUI","NON"))</f>
        <v>NON</v>
      </c>
      <c r="I1366" s="83"/>
      <c r="J1366" s="80"/>
      <c r="K1366" s="81"/>
      <c r="L1366" s="81"/>
      <c r="M1366" s="81"/>
      <c r="N1366" s="84" t="str">
        <f aca="false">IF(C1366="","",IF(P1366="","NJ INCONNU",IF(I1366="",IF(H1366="OUI","À ENROBER",IF(G1366="À SOUDER","NON SOUDÉ","EN ATTENTE RT")),IF(L1366="R","À REPRENDRE",IF(H1366&lt;&gt;"OUI","⚠ ENROBÉ AVANT ACCEPTATION RT","ENROBÉ")))))</f>
        <v>NON SOUDÉ</v>
      </c>
      <c r="O1366" s="80"/>
      <c r="P1366" s="82" t="n">
        <f aca="false">IF(C1366="","",IFERROR(MATCH(Q1366,'CARNET DE SOUDURE'!$AW$7:$AW$3006,0),""))</f>
        <v>1360</v>
      </c>
      <c r="Q1366" s="82" t="str">
        <f aca="false">IF(C1366="","",B1366&amp;"|"&amp;C1366)</f>
        <v>MFD-ISW → MFD-CPF|JN°1136</v>
      </c>
    </row>
    <row r="1367" customFormat="false" ht="74.6" hidden="false" customHeight="false" outlineLevel="0" collapsed="false">
      <c r="A1367" s="82" t="n">
        <f aca="false">IF(C1367="","",ROW()-6)</f>
        <v>1361</v>
      </c>
      <c r="B1367" s="80" t="s">
        <v>110</v>
      </c>
      <c r="C1367" s="113" t="s">
        <v>1646</v>
      </c>
      <c r="D1367" s="82" t="str">
        <f aca="false">IF(OR(C1367="",P1367=""),"",INDEX('CARNET DE SOUDURE'!$D$7:$D$3006,P1367)&amp;"")</f>
        <v>11</v>
      </c>
      <c r="E1367" s="114" t="str">
        <f aca="false">IF(OR(C1367="",P1367=""),"",IF(INDEX('CARNET DE SOUDURE'!$U$7:$U$3006,P1367)="","",INDEX('CARNET DE SOUDURE'!$U$7:$U$3006,P1367)))</f>
        <v/>
      </c>
      <c r="F1367" s="82" t="str">
        <f aca="false">IF(OR(C1367="",P1367=""),"",INDEX('CARNET DE SOUDURE'!$AP$7:$AP$3006,P1367))</f>
        <v/>
      </c>
      <c r="G1367" s="82" t="str">
        <f aca="false">IF(C1367="","",IF(P1367="","NJ INCONNU",INDEX('CARNET DE SOUDURE'!$AQ$7:$AQ$3006,P1367)))</f>
        <v>À SOUDER</v>
      </c>
      <c r="H1367" s="82" t="str">
        <f aca="false">IF(C1367="","",IF(G1367="ACCEPTÉ","OUI","NON"))</f>
        <v>NON</v>
      </c>
      <c r="I1367" s="83"/>
      <c r="J1367" s="80"/>
      <c r="K1367" s="81"/>
      <c r="L1367" s="81"/>
      <c r="M1367" s="81"/>
      <c r="N1367" s="84" t="str">
        <f aca="false">IF(C1367="","",IF(P1367="","NJ INCONNU",IF(I1367="",IF(H1367="OUI","À ENROBER",IF(G1367="À SOUDER","NON SOUDÉ","EN ATTENTE RT")),IF(L1367="R","À REPRENDRE",IF(H1367&lt;&gt;"OUI","⚠ ENROBÉ AVANT ACCEPTATION RT","ENROBÉ")))))</f>
        <v>NON SOUDÉ</v>
      </c>
      <c r="O1367" s="80"/>
      <c r="P1367" s="82" t="n">
        <f aca="false">IF(C1367="","",IFERROR(MATCH(Q1367,'CARNET DE SOUDURE'!$AW$7:$AW$3006,0),""))</f>
        <v>1361</v>
      </c>
      <c r="Q1367" s="82" t="str">
        <f aca="false">IF(C1367="","",B1367&amp;"|"&amp;C1367)</f>
        <v>MFD-ISW → MFD-CPF|JN°1137</v>
      </c>
    </row>
    <row r="1368" customFormat="false" ht="74.6" hidden="false" customHeight="false" outlineLevel="0" collapsed="false">
      <c r="A1368" s="82" t="n">
        <f aca="false">IF(C1368="","",ROW()-6)</f>
        <v>1362</v>
      </c>
      <c r="B1368" s="80" t="s">
        <v>110</v>
      </c>
      <c r="C1368" s="113" t="s">
        <v>1648</v>
      </c>
      <c r="D1368" s="82" t="str">
        <f aca="false">IF(OR(C1368="",P1368=""),"",INDEX('CARNET DE SOUDURE'!$D$7:$D$3006,P1368)&amp;"")</f>
        <v>11</v>
      </c>
      <c r="E1368" s="114" t="n">
        <f aca="false">IF(OR(C1368="",P1368=""),"",IF(INDEX('CARNET DE SOUDURE'!$U$7:$U$3006,P1368)="","",INDEX('CARNET DE SOUDURE'!$U$7:$U$3006,P1368)))</f>
        <v>46271</v>
      </c>
      <c r="F1368" s="82" t="str">
        <f aca="false">IF(OR(C1368="",P1368=""),"",INDEX('CARNET DE SOUDURE'!$AP$7:$AP$3006,P1368))</f>
        <v>A</v>
      </c>
      <c r="G1368" s="82" t="str">
        <f aca="false">IF(C1368="","",IF(P1368="","NJ INCONNU",INDEX('CARNET DE SOUDURE'!$AQ$7:$AQ$3006,P1368)))</f>
        <v>ACCEPTÉ</v>
      </c>
      <c r="H1368" s="82" t="str">
        <f aca="false">IF(C1368="","",IF(G1368="ACCEPTÉ","OUI","NON"))</f>
        <v>OUI</v>
      </c>
      <c r="I1368" s="83"/>
      <c r="J1368" s="80"/>
      <c r="K1368" s="81"/>
      <c r="L1368" s="81"/>
      <c r="M1368" s="81"/>
      <c r="N1368" s="84" t="str">
        <f aca="false">IF(C1368="","",IF(P1368="","NJ INCONNU",IF(I1368="",IF(H1368="OUI","À ENROBER",IF(G1368="À SOUDER","NON SOUDÉ","EN ATTENTE RT")),IF(L1368="R","À REPRENDRE",IF(H1368&lt;&gt;"OUI","⚠ ENROBÉ AVANT ACCEPTATION RT","ENROBÉ")))))</f>
        <v>À ENROBER</v>
      </c>
      <c r="O1368" s="80"/>
      <c r="P1368" s="82" t="n">
        <f aca="false">IF(C1368="","",IFERROR(MATCH(Q1368,'CARNET DE SOUDURE'!$AW$7:$AW$3006,0),""))</f>
        <v>1362</v>
      </c>
      <c r="Q1368" s="82" t="str">
        <f aca="false">IF(C1368="","",B1368&amp;"|"&amp;C1368)</f>
        <v>MFD-ISW → MFD-CPF|DJ°301</v>
      </c>
    </row>
    <row r="1369" customFormat="false" ht="74.6" hidden="false" customHeight="false" outlineLevel="0" collapsed="false">
      <c r="A1369" s="82" t="n">
        <f aca="false">IF(C1369="","",ROW()-6)</f>
        <v>1363</v>
      </c>
      <c r="B1369" s="80" t="s">
        <v>110</v>
      </c>
      <c r="C1369" s="113" t="s">
        <v>1649</v>
      </c>
      <c r="D1369" s="82" t="str">
        <f aca="false">IF(OR(C1369="",P1369=""),"",INDEX('CARNET DE SOUDURE'!$D$7:$D$3006,P1369)&amp;"")</f>
        <v>11</v>
      </c>
      <c r="E1369" s="114" t="n">
        <f aca="false">IF(OR(C1369="",P1369=""),"",IF(INDEX('CARNET DE SOUDURE'!$U$7:$U$3006,P1369)="","",INDEX('CARNET DE SOUDURE'!$U$7:$U$3006,P1369)))</f>
        <v>46277</v>
      </c>
      <c r="F1369" s="82" t="str">
        <f aca="false">IF(OR(C1369="",P1369=""),"",INDEX('CARNET DE SOUDURE'!$AP$7:$AP$3006,P1369))</f>
        <v>A</v>
      </c>
      <c r="G1369" s="82" t="str">
        <f aca="false">IF(C1369="","",IF(P1369="","NJ INCONNU",INDEX('CARNET DE SOUDURE'!$AQ$7:$AQ$3006,P1369)))</f>
        <v>ACCEPTÉ</v>
      </c>
      <c r="H1369" s="82" t="str">
        <f aca="false">IF(C1369="","",IF(G1369="ACCEPTÉ","OUI","NON"))</f>
        <v>OUI</v>
      </c>
      <c r="I1369" s="83"/>
      <c r="J1369" s="80"/>
      <c r="K1369" s="81"/>
      <c r="L1369" s="81"/>
      <c r="M1369" s="81"/>
      <c r="N1369" s="84" t="str">
        <f aca="false">IF(C1369="","",IF(P1369="","NJ INCONNU",IF(I1369="",IF(H1369="OUI","À ENROBER",IF(G1369="À SOUDER","NON SOUDÉ","EN ATTENTE RT")),IF(L1369="R","À REPRENDRE",IF(H1369&lt;&gt;"OUI","⚠ ENROBÉ AVANT ACCEPTATION RT","ENROBÉ")))))</f>
        <v>À ENROBER</v>
      </c>
      <c r="O1369" s="80"/>
      <c r="P1369" s="82" t="n">
        <f aca="false">IF(C1369="","",IFERROR(MATCH(Q1369,'CARNET DE SOUDURE'!$AW$7:$AW$3006,0),""))</f>
        <v>1363</v>
      </c>
      <c r="Q1369" s="82" t="str">
        <f aca="false">IF(C1369="","",B1369&amp;"|"&amp;C1369)</f>
        <v>MFD-ISW → MFD-CPF|JN°1138</v>
      </c>
    </row>
    <row r="1370" customFormat="false" ht="74.6" hidden="false" customHeight="false" outlineLevel="0" collapsed="false">
      <c r="A1370" s="82" t="n">
        <f aca="false">IF(C1370="","",ROW()-6)</f>
        <v>1364</v>
      </c>
      <c r="B1370" s="80" t="s">
        <v>110</v>
      </c>
      <c r="C1370" s="113" t="s">
        <v>1651</v>
      </c>
      <c r="D1370" s="82" t="str">
        <f aca="false">IF(OR(C1370="",P1370=""),"",INDEX('CARNET DE SOUDURE'!$D$7:$D$3006,P1370)&amp;"")</f>
        <v>11</v>
      </c>
      <c r="E1370" s="114" t="n">
        <f aca="false">IF(OR(C1370="",P1370=""),"",IF(INDEX('CARNET DE SOUDURE'!$U$7:$U$3006,P1370)="","",INDEX('CARNET DE SOUDURE'!$U$7:$U$3006,P1370)))</f>
        <v>46271</v>
      </c>
      <c r="F1370" s="82" t="str">
        <f aca="false">IF(OR(C1370="",P1370=""),"",INDEX('CARNET DE SOUDURE'!$AP$7:$AP$3006,P1370))</f>
        <v>A</v>
      </c>
      <c r="G1370" s="82" t="str">
        <f aca="false">IF(C1370="","",IF(P1370="","NJ INCONNU",INDEX('CARNET DE SOUDURE'!$AQ$7:$AQ$3006,P1370)))</f>
        <v>ACCEPTÉ</v>
      </c>
      <c r="H1370" s="82" t="str">
        <f aca="false">IF(C1370="","",IF(G1370="ACCEPTÉ","OUI","NON"))</f>
        <v>OUI</v>
      </c>
      <c r="I1370" s="83"/>
      <c r="J1370" s="80"/>
      <c r="K1370" s="81"/>
      <c r="L1370" s="81"/>
      <c r="M1370" s="81"/>
      <c r="N1370" s="84" t="str">
        <f aca="false">IF(C1370="","",IF(P1370="","NJ INCONNU",IF(I1370="",IF(H1370="OUI","À ENROBER",IF(G1370="À SOUDER","NON SOUDÉ","EN ATTENTE RT")),IF(L1370="R","À REPRENDRE",IF(H1370&lt;&gt;"OUI","⚠ ENROBÉ AVANT ACCEPTATION RT","ENROBÉ")))))</f>
        <v>À ENROBER</v>
      </c>
      <c r="O1370" s="80"/>
      <c r="P1370" s="82" t="n">
        <f aca="false">IF(C1370="","",IFERROR(MATCH(Q1370,'CARNET DE SOUDURE'!$AW$7:$AW$3006,0),""))</f>
        <v>1364</v>
      </c>
      <c r="Q1370" s="82" t="str">
        <f aca="false">IF(C1370="","",B1370&amp;"|"&amp;C1370)</f>
        <v>MFD-ISW → MFD-CPF|DJ°292</v>
      </c>
    </row>
    <row r="1371" customFormat="false" ht="74.6" hidden="false" customHeight="false" outlineLevel="0" collapsed="false">
      <c r="A1371" s="82" t="n">
        <f aca="false">IF(C1371="","",ROW()-6)</f>
        <v>1365</v>
      </c>
      <c r="B1371" s="80" t="s">
        <v>110</v>
      </c>
      <c r="C1371" s="113" t="s">
        <v>1652</v>
      </c>
      <c r="D1371" s="82" t="str">
        <f aca="false">IF(OR(C1371="",P1371=""),"",INDEX('CARNET DE SOUDURE'!$D$7:$D$3006,P1371)&amp;"")</f>
        <v>11</v>
      </c>
      <c r="E1371" s="114" t="n">
        <f aca="false">IF(OR(C1371="",P1371=""),"",IF(INDEX('CARNET DE SOUDURE'!$U$7:$U$3006,P1371)="","",INDEX('CARNET DE SOUDURE'!$U$7:$U$3006,P1371)))</f>
        <v>46277</v>
      </c>
      <c r="F1371" s="82" t="str">
        <f aca="false">IF(OR(C1371="",P1371=""),"",INDEX('CARNET DE SOUDURE'!$AP$7:$AP$3006,P1371))</f>
        <v>A</v>
      </c>
      <c r="G1371" s="82" t="str">
        <f aca="false">IF(C1371="","",IF(P1371="","NJ INCONNU",INDEX('CARNET DE SOUDURE'!$AQ$7:$AQ$3006,P1371)))</f>
        <v>ACCEPTÉ</v>
      </c>
      <c r="H1371" s="82" t="str">
        <f aca="false">IF(C1371="","",IF(G1371="ACCEPTÉ","OUI","NON"))</f>
        <v>OUI</v>
      </c>
      <c r="I1371" s="83"/>
      <c r="J1371" s="80"/>
      <c r="K1371" s="81"/>
      <c r="L1371" s="81"/>
      <c r="M1371" s="81"/>
      <c r="N1371" s="84" t="str">
        <f aca="false">IF(C1371="","",IF(P1371="","NJ INCONNU",IF(I1371="",IF(H1371="OUI","À ENROBER",IF(G1371="À SOUDER","NON SOUDÉ","EN ATTENTE RT")),IF(L1371="R","À REPRENDRE",IF(H1371&lt;&gt;"OUI","⚠ ENROBÉ AVANT ACCEPTATION RT","ENROBÉ")))))</f>
        <v>À ENROBER</v>
      </c>
      <c r="O1371" s="80"/>
      <c r="P1371" s="82" t="n">
        <f aca="false">IF(C1371="","",IFERROR(MATCH(Q1371,'CARNET DE SOUDURE'!$AW$7:$AW$3006,0),""))</f>
        <v>1365</v>
      </c>
      <c r="Q1371" s="82" t="str">
        <f aca="false">IF(C1371="","",B1371&amp;"|"&amp;C1371)</f>
        <v>MFD-ISW → MFD-CPF|JN°1139</v>
      </c>
    </row>
    <row r="1372" customFormat="false" ht="74.6" hidden="false" customHeight="false" outlineLevel="0" collapsed="false">
      <c r="A1372" s="82" t="n">
        <f aca="false">IF(C1372="","",ROW()-6)</f>
        <v>1366</v>
      </c>
      <c r="B1372" s="80" t="s">
        <v>110</v>
      </c>
      <c r="C1372" s="113" t="s">
        <v>1653</v>
      </c>
      <c r="D1372" s="82" t="str">
        <f aca="false">IF(OR(C1372="",P1372=""),"",INDEX('CARNET DE SOUDURE'!$D$7:$D$3006,P1372)&amp;"")</f>
        <v>11</v>
      </c>
      <c r="E1372" s="114" t="n">
        <f aca="false">IF(OR(C1372="",P1372=""),"",IF(INDEX('CARNET DE SOUDURE'!$U$7:$U$3006,P1372)="","",INDEX('CARNET DE SOUDURE'!$U$7:$U$3006,P1372)))</f>
        <v>46270</v>
      </c>
      <c r="F1372" s="82" t="str">
        <f aca="false">IF(OR(C1372="",P1372=""),"",INDEX('CARNET DE SOUDURE'!$AP$7:$AP$3006,P1372))</f>
        <v>A</v>
      </c>
      <c r="G1372" s="82" t="str">
        <f aca="false">IF(C1372="","",IF(P1372="","NJ INCONNU",INDEX('CARNET DE SOUDURE'!$AQ$7:$AQ$3006,P1372)))</f>
        <v>ACCEPTÉ</v>
      </c>
      <c r="H1372" s="82" t="str">
        <f aca="false">IF(C1372="","",IF(G1372="ACCEPTÉ","OUI","NON"))</f>
        <v>OUI</v>
      </c>
      <c r="I1372" s="83"/>
      <c r="J1372" s="80"/>
      <c r="K1372" s="81"/>
      <c r="L1372" s="81"/>
      <c r="M1372" s="81"/>
      <c r="N1372" s="84" t="str">
        <f aca="false">IF(C1372="","",IF(P1372="","NJ INCONNU",IF(I1372="",IF(H1372="OUI","À ENROBER",IF(G1372="À SOUDER","NON SOUDÉ","EN ATTENTE RT")),IF(L1372="R","À REPRENDRE",IF(H1372&lt;&gt;"OUI","⚠ ENROBÉ AVANT ACCEPTATION RT","ENROBÉ")))))</f>
        <v>À ENROBER</v>
      </c>
      <c r="O1372" s="80"/>
      <c r="P1372" s="82" t="n">
        <f aca="false">IF(C1372="","",IFERROR(MATCH(Q1372,'CARNET DE SOUDURE'!$AW$7:$AW$3006,0),""))</f>
        <v>1366</v>
      </c>
      <c r="Q1372" s="82" t="str">
        <f aca="false">IF(C1372="","",B1372&amp;"|"&amp;C1372)</f>
        <v>MFD-ISW → MFD-CPF|DJ°286</v>
      </c>
    </row>
    <row r="1373" customFormat="false" ht="74.6" hidden="false" customHeight="false" outlineLevel="0" collapsed="false">
      <c r="A1373" s="82" t="n">
        <f aca="false">IF(C1373="","",ROW()-6)</f>
        <v>1367</v>
      </c>
      <c r="B1373" s="80" t="s">
        <v>110</v>
      </c>
      <c r="C1373" s="113" t="s">
        <v>1654</v>
      </c>
      <c r="D1373" s="82" t="str">
        <f aca="false">IF(OR(C1373="",P1373=""),"",INDEX('CARNET DE SOUDURE'!$D$7:$D$3006,P1373)&amp;"")</f>
        <v>11</v>
      </c>
      <c r="E1373" s="114" t="n">
        <f aca="false">IF(OR(C1373="",P1373=""),"",IF(INDEX('CARNET DE SOUDURE'!$U$7:$U$3006,P1373)="","",INDEX('CARNET DE SOUDURE'!$U$7:$U$3006,P1373)))</f>
        <v>46277</v>
      </c>
      <c r="F1373" s="82" t="str">
        <f aca="false">IF(OR(C1373="",P1373=""),"",INDEX('CARNET DE SOUDURE'!$AP$7:$AP$3006,P1373))</f>
        <v>A</v>
      </c>
      <c r="G1373" s="82" t="str">
        <f aca="false">IF(C1373="","",IF(P1373="","NJ INCONNU",INDEX('CARNET DE SOUDURE'!$AQ$7:$AQ$3006,P1373)))</f>
        <v>ACCEPTÉ</v>
      </c>
      <c r="H1373" s="82" t="str">
        <f aca="false">IF(C1373="","",IF(G1373="ACCEPTÉ","OUI","NON"))</f>
        <v>OUI</v>
      </c>
      <c r="I1373" s="83"/>
      <c r="J1373" s="80"/>
      <c r="K1373" s="81"/>
      <c r="L1373" s="81"/>
      <c r="M1373" s="81"/>
      <c r="N1373" s="84" t="str">
        <f aca="false">IF(C1373="","",IF(P1373="","NJ INCONNU",IF(I1373="",IF(H1373="OUI","À ENROBER",IF(G1373="À SOUDER","NON SOUDÉ","EN ATTENTE RT")),IF(L1373="R","À REPRENDRE",IF(H1373&lt;&gt;"OUI","⚠ ENROBÉ AVANT ACCEPTATION RT","ENROBÉ")))))</f>
        <v>À ENROBER</v>
      </c>
      <c r="O1373" s="80"/>
      <c r="P1373" s="82" t="n">
        <f aca="false">IF(C1373="","",IFERROR(MATCH(Q1373,'CARNET DE SOUDURE'!$AW$7:$AW$3006,0),""))</f>
        <v>1367</v>
      </c>
      <c r="Q1373" s="82" t="str">
        <f aca="false">IF(C1373="","",B1373&amp;"|"&amp;C1373)</f>
        <v>MFD-ISW → MFD-CPF|JN°1140</v>
      </c>
    </row>
    <row r="1374" customFormat="false" ht="74.6" hidden="false" customHeight="false" outlineLevel="0" collapsed="false">
      <c r="A1374" s="82" t="n">
        <f aca="false">IF(C1374="","",ROW()-6)</f>
        <v>1368</v>
      </c>
      <c r="B1374" s="80" t="s">
        <v>110</v>
      </c>
      <c r="C1374" s="113" t="s">
        <v>1655</v>
      </c>
      <c r="D1374" s="82" t="str">
        <f aca="false">IF(OR(C1374="",P1374=""),"",INDEX('CARNET DE SOUDURE'!$D$7:$D$3006,P1374)&amp;"")</f>
        <v>11</v>
      </c>
      <c r="E1374" s="114" t="n">
        <f aca="false">IF(OR(C1374="",P1374=""),"",IF(INDEX('CARNET DE SOUDURE'!$U$7:$U$3006,P1374)="","",INDEX('CARNET DE SOUDURE'!$U$7:$U$3006,P1374)))</f>
        <v>46270</v>
      </c>
      <c r="F1374" s="82" t="str">
        <f aca="false">IF(OR(C1374="",P1374=""),"",INDEX('CARNET DE SOUDURE'!$AP$7:$AP$3006,P1374))</f>
        <v>A</v>
      </c>
      <c r="G1374" s="82" t="str">
        <f aca="false">IF(C1374="","",IF(P1374="","NJ INCONNU",INDEX('CARNET DE SOUDURE'!$AQ$7:$AQ$3006,P1374)))</f>
        <v>ACCEPTÉ</v>
      </c>
      <c r="H1374" s="82" t="str">
        <f aca="false">IF(C1374="","",IF(G1374="ACCEPTÉ","OUI","NON"))</f>
        <v>OUI</v>
      </c>
      <c r="I1374" s="83"/>
      <c r="J1374" s="80"/>
      <c r="K1374" s="81"/>
      <c r="L1374" s="81"/>
      <c r="M1374" s="81"/>
      <c r="N1374" s="84" t="str">
        <f aca="false">IF(C1374="","",IF(P1374="","NJ INCONNU",IF(I1374="",IF(H1374="OUI","À ENROBER",IF(G1374="À SOUDER","NON SOUDÉ","EN ATTENTE RT")),IF(L1374="R","À REPRENDRE",IF(H1374&lt;&gt;"OUI","⚠ ENROBÉ AVANT ACCEPTATION RT","ENROBÉ")))))</f>
        <v>À ENROBER</v>
      </c>
      <c r="O1374" s="80"/>
      <c r="P1374" s="82" t="n">
        <f aca="false">IF(C1374="","",IFERROR(MATCH(Q1374,'CARNET DE SOUDURE'!$AW$7:$AW$3006,0),""))</f>
        <v>1368</v>
      </c>
      <c r="Q1374" s="82" t="str">
        <f aca="false">IF(C1374="","",B1374&amp;"|"&amp;C1374)</f>
        <v>MFD-ISW → MFD-CPF|DJ°280</v>
      </c>
    </row>
    <row r="1375" customFormat="false" ht="74.6" hidden="false" customHeight="false" outlineLevel="0" collapsed="false">
      <c r="A1375" s="82" t="n">
        <f aca="false">IF(C1375="","",ROW()-6)</f>
        <v>1369</v>
      </c>
      <c r="B1375" s="80" t="s">
        <v>110</v>
      </c>
      <c r="C1375" s="113" t="s">
        <v>1656</v>
      </c>
      <c r="D1375" s="82" t="str">
        <f aca="false">IF(OR(C1375="",P1375=""),"",INDEX('CARNET DE SOUDURE'!$D$7:$D$3006,P1375)&amp;"")</f>
        <v>11</v>
      </c>
      <c r="E1375" s="114" t="n">
        <f aca="false">IF(OR(C1375="",P1375=""),"",IF(INDEX('CARNET DE SOUDURE'!$U$7:$U$3006,P1375)="","",INDEX('CARNET DE SOUDURE'!$U$7:$U$3006,P1375)))</f>
        <v>46277</v>
      </c>
      <c r="F1375" s="82" t="str">
        <f aca="false">IF(OR(C1375="",P1375=""),"",INDEX('CARNET DE SOUDURE'!$AP$7:$AP$3006,P1375))</f>
        <v>A</v>
      </c>
      <c r="G1375" s="82" t="str">
        <f aca="false">IF(C1375="","",IF(P1375="","NJ INCONNU",INDEX('CARNET DE SOUDURE'!$AQ$7:$AQ$3006,P1375)))</f>
        <v>ACCEPTÉ</v>
      </c>
      <c r="H1375" s="82" t="str">
        <f aca="false">IF(C1375="","",IF(G1375="ACCEPTÉ","OUI","NON"))</f>
        <v>OUI</v>
      </c>
      <c r="I1375" s="83"/>
      <c r="J1375" s="80"/>
      <c r="K1375" s="81"/>
      <c r="L1375" s="81"/>
      <c r="M1375" s="81"/>
      <c r="N1375" s="84" t="str">
        <f aca="false">IF(C1375="","",IF(P1375="","NJ INCONNU",IF(I1375="",IF(H1375="OUI","À ENROBER",IF(G1375="À SOUDER","NON SOUDÉ","EN ATTENTE RT")),IF(L1375="R","À REPRENDRE",IF(H1375&lt;&gt;"OUI","⚠ ENROBÉ AVANT ACCEPTATION RT","ENROBÉ")))))</f>
        <v>À ENROBER</v>
      </c>
      <c r="O1375" s="80"/>
      <c r="P1375" s="82" t="n">
        <f aca="false">IF(C1375="","",IFERROR(MATCH(Q1375,'CARNET DE SOUDURE'!$AW$7:$AW$3006,0),""))</f>
        <v>1369</v>
      </c>
      <c r="Q1375" s="82" t="str">
        <f aca="false">IF(C1375="","",B1375&amp;"|"&amp;C1375)</f>
        <v>MFD-ISW → MFD-CPF|JN°1141</v>
      </c>
    </row>
    <row r="1376" customFormat="false" ht="74.6" hidden="false" customHeight="false" outlineLevel="0" collapsed="false">
      <c r="A1376" s="82" t="n">
        <f aca="false">IF(C1376="","",ROW()-6)</f>
        <v>1370</v>
      </c>
      <c r="B1376" s="80" t="s">
        <v>110</v>
      </c>
      <c r="C1376" s="113" t="s">
        <v>1657</v>
      </c>
      <c r="D1376" s="82" t="str">
        <f aca="false">IF(OR(C1376="",P1376=""),"",INDEX('CARNET DE SOUDURE'!$D$7:$D$3006,P1376)&amp;"")</f>
        <v>11</v>
      </c>
      <c r="E1376" s="114" t="n">
        <f aca="false">IF(OR(C1376="",P1376=""),"",IF(INDEX('CARNET DE SOUDURE'!$U$7:$U$3006,P1376)="","",INDEX('CARNET DE SOUDURE'!$U$7:$U$3006,P1376)))</f>
        <v>46270</v>
      </c>
      <c r="F1376" s="82" t="str">
        <f aca="false">IF(OR(C1376="",P1376=""),"",INDEX('CARNET DE SOUDURE'!$AP$7:$AP$3006,P1376))</f>
        <v>A</v>
      </c>
      <c r="G1376" s="82" t="str">
        <f aca="false">IF(C1376="","",IF(P1376="","NJ INCONNU",INDEX('CARNET DE SOUDURE'!$AQ$7:$AQ$3006,P1376)))</f>
        <v>ACCEPTÉ</v>
      </c>
      <c r="H1376" s="82" t="str">
        <f aca="false">IF(C1376="","",IF(G1376="ACCEPTÉ","OUI","NON"))</f>
        <v>OUI</v>
      </c>
      <c r="I1376" s="83"/>
      <c r="J1376" s="80"/>
      <c r="K1376" s="81"/>
      <c r="L1376" s="81"/>
      <c r="M1376" s="81"/>
      <c r="N1376" s="84" t="str">
        <f aca="false">IF(C1376="","",IF(P1376="","NJ INCONNU",IF(I1376="",IF(H1376="OUI","À ENROBER",IF(G1376="À SOUDER","NON SOUDÉ","EN ATTENTE RT")),IF(L1376="R","À REPRENDRE",IF(H1376&lt;&gt;"OUI","⚠ ENROBÉ AVANT ACCEPTATION RT","ENROBÉ")))))</f>
        <v>À ENROBER</v>
      </c>
      <c r="O1376" s="80"/>
      <c r="P1376" s="82" t="n">
        <f aca="false">IF(C1376="","",IFERROR(MATCH(Q1376,'CARNET DE SOUDURE'!$AW$7:$AW$3006,0),""))</f>
        <v>1370</v>
      </c>
      <c r="Q1376" s="82" t="str">
        <f aca="false">IF(C1376="","",B1376&amp;"|"&amp;C1376)</f>
        <v>MFD-ISW → MFD-CPF|DJ°281</v>
      </c>
    </row>
    <row r="1377" customFormat="false" ht="74.6" hidden="false" customHeight="false" outlineLevel="0" collapsed="false">
      <c r="A1377" s="82" t="n">
        <f aca="false">IF(C1377="","",ROW()-6)</f>
        <v>1371</v>
      </c>
      <c r="B1377" s="80" t="s">
        <v>110</v>
      </c>
      <c r="C1377" s="113" t="s">
        <v>1658</v>
      </c>
      <c r="D1377" s="82" t="str">
        <f aca="false">IF(OR(C1377="",P1377=""),"",INDEX('CARNET DE SOUDURE'!$D$7:$D$3006,P1377)&amp;"")</f>
        <v>11</v>
      </c>
      <c r="E1377" s="114" t="str">
        <f aca="false">IF(OR(C1377="",P1377=""),"",IF(INDEX('CARNET DE SOUDURE'!$U$7:$U$3006,P1377)="","",INDEX('CARNET DE SOUDURE'!$U$7:$U$3006,P1377)))</f>
        <v/>
      </c>
      <c r="F1377" s="82" t="str">
        <f aca="false">IF(OR(C1377="",P1377=""),"",INDEX('CARNET DE SOUDURE'!$AP$7:$AP$3006,P1377))</f>
        <v/>
      </c>
      <c r="G1377" s="82" t="str">
        <f aca="false">IF(C1377="","",IF(P1377="","NJ INCONNU",INDEX('CARNET DE SOUDURE'!$AQ$7:$AQ$3006,P1377)))</f>
        <v>À SOUDER</v>
      </c>
      <c r="H1377" s="82" t="str">
        <f aca="false">IF(C1377="","",IF(G1377="ACCEPTÉ","OUI","NON"))</f>
        <v>NON</v>
      </c>
      <c r="I1377" s="83"/>
      <c r="J1377" s="80"/>
      <c r="K1377" s="81"/>
      <c r="L1377" s="81"/>
      <c r="M1377" s="81"/>
      <c r="N1377" s="84" t="str">
        <f aca="false">IF(C1377="","",IF(P1377="","NJ INCONNU",IF(I1377="",IF(H1377="OUI","À ENROBER",IF(G1377="À SOUDER","NON SOUDÉ","EN ATTENTE RT")),IF(L1377="R","À REPRENDRE",IF(H1377&lt;&gt;"OUI","⚠ ENROBÉ AVANT ACCEPTATION RT","ENROBÉ")))))</f>
        <v>NON SOUDÉ</v>
      </c>
      <c r="O1377" s="80"/>
      <c r="P1377" s="82" t="n">
        <f aca="false">IF(C1377="","",IFERROR(MATCH(Q1377,'CARNET DE SOUDURE'!$AW$7:$AW$3006,0),""))</f>
        <v>1371</v>
      </c>
      <c r="Q1377" s="82" t="str">
        <f aca="false">IF(C1377="","",B1377&amp;"|"&amp;C1377)</f>
        <v>MFD-ISW → MFD-CPF|JN°1142</v>
      </c>
    </row>
    <row r="1378" customFormat="false" ht="74.6" hidden="false" customHeight="false" outlineLevel="0" collapsed="false">
      <c r="A1378" s="82" t="n">
        <f aca="false">IF(C1378="","",ROW()-6)</f>
        <v>1372</v>
      </c>
      <c r="B1378" s="80" t="s">
        <v>110</v>
      </c>
      <c r="C1378" s="113" t="s">
        <v>1659</v>
      </c>
      <c r="D1378" s="82" t="str">
        <f aca="false">IF(OR(C1378="",P1378=""),"",INDEX('CARNET DE SOUDURE'!$D$7:$D$3006,P1378)&amp;"")</f>
        <v>11</v>
      </c>
      <c r="E1378" s="114" t="str">
        <f aca="false">IF(OR(C1378="",P1378=""),"",IF(INDEX('CARNET DE SOUDURE'!$U$7:$U$3006,P1378)="","",INDEX('CARNET DE SOUDURE'!$U$7:$U$3006,P1378)))</f>
        <v/>
      </c>
      <c r="F1378" s="82" t="str">
        <f aca="false">IF(OR(C1378="",P1378=""),"",INDEX('CARNET DE SOUDURE'!$AP$7:$AP$3006,P1378))</f>
        <v/>
      </c>
      <c r="G1378" s="82" t="str">
        <f aca="false">IF(C1378="","",IF(P1378="","NJ INCONNU",INDEX('CARNET DE SOUDURE'!$AQ$7:$AQ$3006,P1378)))</f>
        <v>À SOUDER</v>
      </c>
      <c r="H1378" s="82" t="str">
        <f aca="false">IF(C1378="","",IF(G1378="ACCEPTÉ","OUI","NON"))</f>
        <v>NON</v>
      </c>
      <c r="I1378" s="83"/>
      <c r="J1378" s="80"/>
      <c r="K1378" s="81"/>
      <c r="L1378" s="81"/>
      <c r="M1378" s="81"/>
      <c r="N1378" s="84" t="str">
        <f aca="false">IF(C1378="","",IF(P1378="","NJ INCONNU",IF(I1378="",IF(H1378="OUI","À ENROBER",IF(G1378="À SOUDER","NON SOUDÉ","EN ATTENTE RT")),IF(L1378="R","À REPRENDRE",IF(H1378&lt;&gt;"OUI","⚠ ENROBÉ AVANT ACCEPTATION RT","ENROBÉ")))))</f>
        <v>NON SOUDÉ</v>
      </c>
      <c r="O1378" s="80"/>
      <c r="P1378" s="82" t="n">
        <f aca="false">IF(C1378="","",IFERROR(MATCH(Q1378,'CARNET DE SOUDURE'!$AW$7:$AW$3006,0),""))</f>
        <v>1372</v>
      </c>
      <c r="Q1378" s="82" t="str">
        <f aca="false">IF(C1378="","",B1378&amp;"|"&amp;C1378)</f>
        <v>MFD-ISW → MFD-CPF|JN°1143</v>
      </c>
    </row>
    <row r="1379" customFormat="false" ht="74.6" hidden="false" customHeight="false" outlineLevel="0" collapsed="false">
      <c r="A1379" s="82" t="n">
        <f aca="false">IF(C1379="","",ROW()-6)</f>
        <v>1373</v>
      </c>
      <c r="B1379" s="80" t="s">
        <v>110</v>
      </c>
      <c r="C1379" s="113" t="s">
        <v>1661</v>
      </c>
      <c r="D1379" s="82" t="str">
        <f aca="false">IF(OR(C1379="",P1379=""),"",INDEX('CARNET DE SOUDURE'!$D$7:$D$3006,P1379)&amp;"")</f>
        <v>11</v>
      </c>
      <c r="E1379" s="114" t="n">
        <f aca="false">IF(OR(C1379="",P1379=""),"",IF(INDEX('CARNET DE SOUDURE'!$U$7:$U$3006,P1379)="","",INDEX('CARNET DE SOUDURE'!$U$7:$U$3006,P1379)))</f>
        <v>46270</v>
      </c>
      <c r="F1379" s="82" t="str">
        <f aca="false">IF(OR(C1379="",P1379=""),"",INDEX('CARNET DE SOUDURE'!$AP$7:$AP$3006,P1379))</f>
        <v>A</v>
      </c>
      <c r="G1379" s="82" t="str">
        <f aca="false">IF(C1379="","",IF(P1379="","NJ INCONNU",INDEX('CARNET DE SOUDURE'!$AQ$7:$AQ$3006,P1379)))</f>
        <v>ACCEPTÉ</v>
      </c>
      <c r="H1379" s="82" t="str">
        <f aca="false">IF(C1379="","",IF(G1379="ACCEPTÉ","OUI","NON"))</f>
        <v>OUI</v>
      </c>
      <c r="I1379" s="83"/>
      <c r="J1379" s="80"/>
      <c r="K1379" s="81"/>
      <c r="L1379" s="81"/>
      <c r="M1379" s="81"/>
      <c r="N1379" s="84" t="str">
        <f aca="false">IF(C1379="","",IF(P1379="","NJ INCONNU",IF(I1379="",IF(H1379="OUI","À ENROBER",IF(G1379="À SOUDER","NON SOUDÉ","EN ATTENTE RT")),IF(L1379="R","À REPRENDRE",IF(H1379&lt;&gt;"OUI","⚠ ENROBÉ AVANT ACCEPTATION RT","ENROBÉ")))))</f>
        <v>À ENROBER</v>
      </c>
      <c r="O1379" s="80"/>
      <c r="P1379" s="82" t="n">
        <f aca="false">IF(C1379="","",IFERROR(MATCH(Q1379,'CARNET DE SOUDURE'!$AW$7:$AW$3006,0),""))</f>
        <v>1373</v>
      </c>
      <c r="Q1379" s="82" t="str">
        <f aca="false">IF(C1379="","",B1379&amp;"|"&amp;C1379)</f>
        <v>MFD-ISW → MFD-CPF|DJ°282</v>
      </c>
    </row>
    <row r="1380" customFormat="false" ht="74.6" hidden="false" customHeight="false" outlineLevel="0" collapsed="false">
      <c r="A1380" s="82" t="n">
        <f aca="false">IF(C1380="","",ROW()-6)</f>
        <v>1374</v>
      </c>
      <c r="B1380" s="80" t="s">
        <v>110</v>
      </c>
      <c r="C1380" s="113" t="s">
        <v>1662</v>
      </c>
      <c r="D1380" s="82" t="str">
        <f aca="false">IF(OR(C1380="",P1380=""),"",INDEX('CARNET DE SOUDURE'!$D$7:$D$3006,P1380)&amp;"")</f>
        <v>11</v>
      </c>
      <c r="E1380" s="114" t="n">
        <f aca="false">IF(OR(C1380="",P1380=""),"",IF(INDEX('CARNET DE SOUDURE'!$U$7:$U$3006,P1380)="","",INDEX('CARNET DE SOUDURE'!$U$7:$U$3006,P1380)))</f>
        <v>46277</v>
      </c>
      <c r="F1380" s="82" t="str">
        <f aca="false">IF(OR(C1380="",P1380=""),"",INDEX('CARNET DE SOUDURE'!$AP$7:$AP$3006,P1380))</f>
        <v>A</v>
      </c>
      <c r="G1380" s="82" t="str">
        <f aca="false">IF(C1380="","",IF(P1380="","NJ INCONNU",INDEX('CARNET DE SOUDURE'!$AQ$7:$AQ$3006,P1380)))</f>
        <v>ACCEPTÉ</v>
      </c>
      <c r="H1380" s="82" t="str">
        <f aca="false">IF(C1380="","",IF(G1380="ACCEPTÉ","OUI","NON"))</f>
        <v>OUI</v>
      </c>
      <c r="I1380" s="83"/>
      <c r="J1380" s="80"/>
      <c r="K1380" s="81"/>
      <c r="L1380" s="81"/>
      <c r="M1380" s="81"/>
      <c r="N1380" s="84" t="str">
        <f aca="false">IF(C1380="","",IF(P1380="","NJ INCONNU",IF(I1380="",IF(H1380="OUI","À ENROBER",IF(G1380="À SOUDER","NON SOUDÉ","EN ATTENTE RT")),IF(L1380="R","À REPRENDRE",IF(H1380&lt;&gt;"OUI","⚠ ENROBÉ AVANT ACCEPTATION RT","ENROBÉ")))))</f>
        <v>À ENROBER</v>
      </c>
      <c r="O1380" s="80"/>
      <c r="P1380" s="82" t="n">
        <f aca="false">IF(C1380="","",IFERROR(MATCH(Q1380,'CARNET DE SOUDURE'!$AW$7:$AW$3006,0),""))</f>
        <v>1374</v>
      </c>
      <c r="Q1380" s="82" t="str">
        <f aca="false">IF(C1380="","",B1380&amp;"|"&amp;C1380)</f>
        <v>MFD-ISW → MFD-CPF|JN°1144</v>
      </c>
    </row>
    <row r="1381" customFormat="false" ht="74.6" hidden="false" customHeight="false" outlineLevel="0" collapsed="false">
      <c r="A1381" s="82" t="n">
        <f aca="false">IF(C1381="","",ROW()-6)</f>
        <v>1375</v>
      </c>
      <c r="B1381" s="80" t="s">
        <v>110</v>
      </c>
      <c r="C1381" s="113" t="s">
        <v>1663</v>
      </c>
      <c r="D1381" s="82" t="str">
        <f aca="false">IF(OR(C1381="",P1381=""),"",INDEX('CARNET DE SOUDURE'!$D$7:$D$3006,P1381)&amp;"")</f>
        <v>11</v>
      </c>
      <c r="E1381" s="114" t="n">
        <f aca="false">IF(OR(C1381="",P1381=""),"",IF(INDEX('CARNET DE SOUDURE'!$U$7:$U$3006,P1381)="","",INDEX('CARNET DE SOUDURE'!$U$7:$U$3006,P1381)))</f>
        <v>46270</v>
      </c>
      <c r="F1381" s="82" t="str">
        <f aca="false">IF(OR(C1381="",P1381=""),"",INDEX('CARNET DE SOUDURE'!$AP$7:$AP$3006,P1381))</f>
        <v>A</v>
      </c>
      <c r="G1381" s="82" t="str">
        <f aca="false">IF(C1381="","",IF(P1381="","NJ INCONNU",INDEX('CARNET DE SOUDURE'!$AQ$7:$AQ$3006,P1381)))</f>
        <v>ACCEPTÉ</v>
      </c>
      <c r="H1381" s="82" t="str">
        <f aca="false">IF(C1381="","",IF(G1381="ACCEPTÉ","OUI","NON"))</f>
        <v>OUI</v>
      </c>
      <c r="I1381" s="83"/>
      <c r="J1381" s="80"/>
      <c r="K1381" s="81"/>
      <c r="L1381" s="81"/>
      <c r="M1381" s="81"/>
      <c r="N1381" s="84" t="str">
        <f aca="false">IF(C1381="","",IF(P1381="","NJ INCONNU",IF(I1381="",IF(H1381="OUI","À ENROBER",IF(G1381="À SOUDER","NON SOUDÉ","EN ATTENTE RT")),IF(L1381="R","À REPRENDRE",IF(H1381&lt;&gt;"OUI","⚠ ENROBÉ AVANT ACCEPTATION RT","ENROBÉ")))))</f>
        <v>À ENROBER</v>
      </c>
      <c r="O1381" s="80"/>
      <c r="P1381" s="82" t="n">
        <f aca="false">IF(C1381="","",IFERROR(MATCH(Q1381,'CARNET DE SOUDURE'!$AW$7:$AW$3006,0),""))</f>
        <v>1375</v>
      </c>
      <c r="Q1381" s="82" t="str">
        <f aca="false">IF(C1381="","",B1381&amp;"|"&amp;C1381)</f>
        <v>MFD-ISW → MFD-CPF|DJ°285</v>
      </c>
    </row>
    <row r="1382" customFormat="false" ht="74.6" hidden="false" customHeight="false" outlineLevel="0" collapsed="false">
      <c r="A1382" s="82" t="n">
        <f aca="false">IF(C1382="","",ROW()-6)</f>
        <v>1376</v>
      </c>
      <c r="B1382" s="80" t="s">
        <v>110</v>
      </c>
      <c r="C1382" s="113" t="s">
        <v>1664</v>
      </c>
      <c r="D1382" s="82" t="str">
        <f aca="false">IF(OR(C1382="",P1382=""),"",INDEX('CARNET DE SOUDURE'!$D$7:$D$3006,P1382)&amp;"")</f>
        <v>11</v>
      </c>
      <c r="E1382" s="114" t="n">
        <f aca="false">IF(OR(C1382="",P1382=""),"",IF(INDEX('CARNET DE SOUDURE'!$U$7:$U$3006,P1382)="","",INDEX('CARNET DE SOUDURE'!$U$7:$U$3006,P1382)))</f>
        <v>46277</v>
      </c>
      <c r="F1382" s="82" t="str">
        <f aca="false">IF(OR(C1382="",P1382=""),"",INDEX('CARNET DE SOUDURE'!$AP$7:$AP$3006,P1382))</f>
        <v>A</v>
      </c>
      <c r="G1382" s="82" t="str">
        <f aca="false">IF(C1382="","",IF(P1382="","NJ INCONNU",INDEX('CARNET DE SOUDURE'!$AQ$7:$AQ$3006,P1382)))</f>
        <v>ACCEPTÉ</v>
      </c>
      <c r="H1382" s="82" t="str">
        <f aca="false">IF(C1382="","",IF(G1382="ACCEPTÉ","OUI","NON"))</f>
        <v>OUI</v>
      </c>
      <c r="I1382" s="83"/>
      <c r="J1382" s="80"/>
      <c r="K1382" s="81"/>
      <c r="L1382" s="81"/>
      <c r="M1382" s="81"/>
      <c r="N1382" s="84" t="str">
        <f aca="false">IF(C1382="","",IF(P1382="","NJ INCONNU",IF(I1382="",IF(H1382="OUI","À ENROBER",IF(G1382="À SOUDER","NON SOUDÉ","EN ATTENTE RT")),IF(L1382="R","À REPRENDRE",IF(H1382&lt;&gt;"OUI","⚠ ENROBÉ AVANT ACCEPTATION RT","ENROBÉ")))))</f>
        <v>À ENROBER</v>
      </c>
      <c r="O1382" s="80"/>
      <c r="P1382" s="82" t="n">
        <f aca="false">IF(C1382="","",IFERROR(MATCH(Q1382,'CARNET DE SOUDURE'!$AW$7:$AW$3006,0),""))</f>
        <v>1376</v>
      </c>
      <c r="Q1382" s="82" t="str">
        <f aca="false">IF(C1382="","",B1382&amp;"|"&amp;C1382)</f>
        <v>MFD-ISW → MFD-CPF|JN°1145</v>
      </c>
    </row>
    <row r="1383" customFormat="false" ht="74.6" hidden="false" customHeight="false" outlineLevel="0" collapsed="false">
      <c r="A1383" s="82" t="n">
        <f aca="false">IF(C1383="","",ROW()-6)</f>
        <v>1377</v>
      </c>
      <c r="B1383" s="80" t="s">
        <v>110</v>
      </c>
      <c r="C1383" s="113" t="s">
        <v>1665</v>
      </c>
      <c r="D1383" s="82" t="str">
        <f aca="false">IF(OR(C1383="",P1383=""),"",INDEX('CARNET DE SOUDURE'!$D$7:$D$3006,P1383)&amp;"")</f>
        <v>11</v>
      </c>
      <c r="E1383" s="114" t="n">
        <f aca="false">IF(OR(C1383="",P1383=""),"",IF(INDEX('CARNET DE SOUDURE'!$U$7:$U$3006,P1383)="","",INDEX('CARNET DE SOUDURE'!$U$7:$U$3006,P1383)))</f>
        <v>46270</v>
      </c>
      <c r="F1383" s="82" t="str">
        <f aca="false">IF(OR(C1383="",P1383=""),"",INDEX('CARNET DE SOUDURE'!$AP$7:$AP$3006,P1383))</f>
        <v>A</v>
      </c>
      <c r="G1383" s="82" t="str">
        <f aca="false">IF(C1383="","",IF(P1383="","NJ INCONNU",INDEX('CARNET DE SOUDURE'!$AQ$7:$AQ$3006,P1383)))</f>
        <v>ACCEPTÉ</v>
      </c>
      <c r="H1383" s="82" t="str">
        <f aca="false">IF(C1383="","",IF(G1383="ACCEPTÉ","OUI","NON"))</f>
        <v>OUI</v>
      </c>
      <c r="I1383" s="83"/>
      <c r="J1383" s="80"/>
      <c r="K1383" s="81"/>
      <c r="L1383" s="81"/>
      <c r="M1383" s="81"/>
      <c r="N1383" s="84" t="str">
        <f aca="false">IF(C1383="","",IF(P1383="","NJ INCONNU",IF(I1383="",IF(H1383="OUI","À ENROBER",IF(G1383="À SOUDER","NON SOUDÉ","EN ATTENTE RT")),IF(L1383="R","À REPRENDRE",IF(H1383&lt;&gt;"OUI","⚠ ENROBÉ AVANT ACCEPTATION RT","ENROBÉ")))))</f>
        <v>À ENROBER</v>
      </c>
      <c r="O1383" s="80"/>
      <c r="P1383" s="82" t="n">
        <f aca="false">IF(C1383="","",IFERROR(MATCH(Q1383,'CARNET DE SOUDURE'!$AW$7:$AW$3006,0),""))</f>
        <v>1377</v>
      </c>
      <c r="Q1383" s="82" t="str">
        <f aca="false">IF(C1383="","",B1383&amp;"|"&amp;C1383)</f>
        <v>MFD-ISW → MFD-CPF|DJ°275</v>
      </c>
    </row>
    <row r="1384" customFormat="false" ht="74.6" hidden="false" customHeight="false" outlineLevel="0" collapsed="false">
      <c r="A1384" s="82" t="n">
        <f aca="false">IF(C1384="","",ROW()-6)</f>
        <v>1378</v>
      </c>
      <c r="B1384" s="80" t="s">
        <v>110</v>
      </c>
      <c r="C1384" s="113" t="s">
        <v>1666</v>
      </c>
      <c r="D1384" s="82" t="str">
        <f aca="false">IF(OR(C1384="",P1384=""),"",INDEX('CARNET DE SOUDURE'!$D$7:$D$3006,P1384)&amp;"")</f>
        <v>11</v>
      </c>
      <c r="E1384" s="114" t="n">
        <f aca="false">IF(OR(C1384="",P1384=""),"",IF(INDEX('CARNET DE SOUDURE'!$U$7:$U$3006,P1384)="","",INDEX('CARNET DE SOUDURE'!$U$7:$U$3006,P1384)))</f>
        <v>46277</v>
      </c>
      <c r="F1384" s="82" t="str">
        <f aca="false">IF(OR(C1384="",P1384=""),"",INDEX('CARNET DE SOUDURE'!$AP$7:$AP$3006,P1384))</f>
        <v>A</v>
      </c>
      <c r="G1384" s="82" t="str">
        <f aca="false">IF(C1384="","",IF(P1384="","NJ INCONNU",INDEX('CARNET DE SOUDURE'!$AQ$7:$AQ$3006,P1384)))</f>
        <v>ACCEPTÉ</v>
      </c>
      <c r="H1384" s="82" t="str">
        <f aca="false">IF(C1384="","",IF(G1384="ACCEPTÉ","OUI","NON"))</f>
        <v>OUI</v>
      </c>
      <c r="I1384" s="83"/>
      <c r="J1384" s="80"/>
      <c r="K1384" s="81"/>
      <c r="L1384" s="81"/>
      <c r="M1384" s="81"/>
      <c r="N1384" s="84" t="str">
        <f aca="false">IF(C1384="","",IF(P1384="","NJ INCONNU",IF(I1384="",IF(H1384="OUI","À ENROBER",IF(G1384="À SOUDER","NON SOUDÉ","EN ATTENTE RT")),IF(L1384="R","À REPRENDRE",IF(H1384&lt;&gt;"OUI","⚠ ENROBÉ AVANT ACCEPTATION RT","ENROBÉ")))))</f>
        <v>À ENROBER</v>
      </c>
      <c r="O1384" s="80"/>
      <c r="P1384" s="82" t="n">
        <f aca="false">IF(C1384="","",IFERROR(MATCH(Q1384,'CARNET DE SOUDURE'!$AW$7:$AW$3006,0),""))</f>
        <v>1378</v>
      </c>
      <c r="Q1384" s="82" t="str">
        <f aca="false">IF(C1384="","",B1384&amp;"|"&amp;C1384)</f>
        <v>MFD-ISW → MFD-CPF|JN°1146</v>
      </c>
    </row>
    <row r="1385" customFormat="false" ht="74.6" hidden="false" customHeight="false" outlineLevel="0" collapsed="false">
      <c r="A1385" s="82" t="n">
        <f aca="false">IF(C1385="","",ROW()-6)</f>
        <v>1379</v>
      </c>
      <c r="B1385" s="80" t="s">
        <v>110</v>
      </c>
      <c r="C1385" s="113" t="s">
        <v>1667</v>
      </c>
      <c r="D1385" s="82" t="str">
        <f aca="false">IF(OR(C1385="",P1385=""),"",INDEX('CARNET DE SOUDURE'!$D$7:$D$3006,P1385)&amp;"")</f>
        <v>11</v>
      </c>
      <c r="E1385" s="114" t="n">
        <f aca="false">IF(OR(C1385="",P1385=""),"",IF(INDEX('CARNET DE SOUDURE'!$U$7:$U$3006,P1385)="","",INDEX('CARNET DE SOUDURE'!$U$7:$U$3006,P1385)))</f>
        <v>46270</v>
      </c>
      <c r="F1385" s="82" t="str">
        <f aca="false">IF(OR(C1385="",P1385=""),"",INDEX('CARNET DE SOUDURE'!$AP$7:$AP$3006,P1385))</f>
        <v>A</v>
      </c>
      <c r="G1385" s="82" t="str">
        <f aca="false">IF(C1385="","",IF(P1385="","NJ INCONNU",INDEX('CARNET DE SOUDURE'!$AQ$7:$AQ$3006,P1385)))</f>
        <v>ACCEPTÉ</v>
      </c>
      <c r="H1385" s="82" t="str">
        <f aca="false">IF(C1385="","",IF(G1385="ACCEPTÉ","OUI","NON"))</f>
        <v>OUI</v>
      </c>
      <c r="I1385" s="83"/>
      <c r="J1385" s="80"/>
      <c r="K1385" s="81"/>
      <c r="L1385" s="81"/>
      <c r="M1385" s="81"/>
      <c r="N1385" s="84" t="str">
        <f aca="false">IF(C1385="","",IF(P1385="","NJ INCONNU",IF(I1385="",IF(H1385="OUI","À ENROBER",IF(G1385="À SOUDER","NON SOUDÉ","EN ATTENTE RT")),IF(L1385="R","À REPRENDRE",IF(H1385&lt;&gt;"OUI","⚠ ENROBÉ AVANT ACCEPTATION RT","ENROBÉ")))))</f>
        <v>À ENROBER</v>
      </c>
      <c r="O1385" s="80"/>
      <c r="P1385" s="82" t="n">
        <f aca="false">IF(C1385="","",IFERROR(MATCH(Q1385,'CARNET DE SOUDURE'!$AW$7:$AW$3006,0),""))</f>
        <v>1379</v>
      </c>
      <c r="Q1385" s="82" t="str">
        <f aca="false">IF(C1385="","",B1385&amp;"|"&amp;C1385)</f>
        <v>MFD-ISW → MFD-CPF|DJ°283</v>
      </c>
    </row>
    <row r="1386" customFormat="false" ht="74.6" hidden="false" customHeight="false" outlineLevel="0" collapsed="false">
      <c r="A1386" s="82" t="n">
        <f aca="false">IF(C1386="","",ROW()-6)</f>
        <v>1380</v>
      </c>
      <c r="B1386" s="80" t="s">
        <v>110</v>
      </c>
      <c r="C1386" s="113" t="s">
        <v>1668</v>
      </c>
      <c r="D1386" s="82" t="str">
        <f aca="false">IF(OR(C1386="",P1386=""),"",INDEX('CARNET DE SOUDURE'!$D$7:$D$3006,P1386)&amp;"")</f>
        <v>11</v>
      </c>
      <c r="E1386" s="114" t="n">
        <f aca="false">IF(OR(C1386="",P1386=""),"",IF(INDEX('CARNET DE SOUDURE'!$U$7:$U$3006,P1386)="","",INDEX('CARNET DE SOUDURE'!$U$7:$U$3006,P1386)))</f>
        <v>46277</v>
      </c>
      <c r="F1386" s="82" t="str">
        <f aca="false">IF(OR(C1386="",P1386=""),"",INDEX('CARNET DE SOUDURE'!$AP$7:$AP$3006,P1386))</f>
        <v>A</v>
      </c>
      <c r="G1386" s="82" t="str">
        <f aca="false">IF(C1386="","",IF(P1386="","NJ INCONNU",INDEX('CARNET DE SOUDURE'!$AQ$7:$AQ$3006,P1386)))</f>
        <v>ACCEPTÉ</v>
      </c>
      <c r="H1386" s="82" t="str">
        <f aca="false">IF(C1386="","",IF(G1386="ACCEPTÉ","OUI","NON"))</f>
        <v>OUI</v>
      </c>
      <c r="I1386" s="83"/>
      <c r="J1386" s="80"/>
      <c r="K1386" s="81"/>
      <c r="L1386" s="81"/>
      <c r="M1386" s="81"/>
      <c r="N1386" s="84" t="str">
        <f aca="false">IF(C1386="","",IF(P1386="","NJ INCONNU",IF(I1386="",IF(H1386="OUI","À ENROBER",IF(G1386="À SOUDER","NON SOUDÉ","EN ATTENTE RT")),IF(L1386="R","À REPRENDRE",IF(H1386&lt;&gt;"OUI","⚠ ENROBÉ AVANT ACCEPTATION RT","ENROBÉ")))))</f>
        <v>À ENROBER</v>
      </c>
      <c r="O1386" s="80"/>
      <c r="P1386" s="82" t="n">
        <f aca="false">IF(C1386="","",IFERROR(MATCH(Q1386,'CARNET DE SOUDURE'!$AW$7:$AW$3006,0),""))</f>
        <v>1380</v>
      </c>
      <c r="Q1386" s="82" t="str">
        <f aca="false">IF(C1386="","",B1386&amp;"|"&amp;C1386)</f>
        <v>MFD-ISW → MFD-CPF|JN°1147</v>
      </c>
    </row>
    <row r="1387" customFormat="false" ht="74.6" hidden="false" customHeight="false" outlineLevel="0" collapsed="false">
      <c r="A1387" s="82" t="n">
        <f aca="false">IF(C1387="","",ROW()-6)</f>
        <v>1381</v>
      </c>
      <c r="B1387" s="80" t="s">
        <v>110</v>
      </c>
      <c r="C1387" s="113" t="s">
        <v>1669</v>
      </c>
      <c r="D1387" s="82" t="str">
        <f aca="false">IF(OR(C1387="",P1387=""),"",INDEX('CARNET DE SOUDURE'!$D$7:$D$3006,P1387)&amp;"")</f>
        <v>11</v>
      </c>
      <c r="E1387" s="114" t="n">
        <f aca="false">IF(OR(C1387="",P1387=""),"",IF(INDEX('CARNET DE SOUDURE'!$U$7:$U$3006,P1387)="","",INDEX('CARNET DE SOUDURE'!$U$7:$U$3006,P1387)))</f>
        <v>46270</v>
      </c>
      <c r="F1387" s="82" t="str">
        <f aca="false">IF(OR(C1387="",P1387=""),"",INDEX('CARNET DE SOUDURE'!$AP$7:$AP$3006,P1387))</f>
        <v>A</v>
      </c>
      <c r="G1387" s="82" t="str">
        <f aca="false">IF(C1387="","",IF(P1387="","NJ INCONNU",INDEX('CARNET DE SOUDURE'!$AQ$7:$AQ$3006,P1387)))</f>
        <v>ACCEPTÉ</v>
      </c>
      <c r="H1387" s="82" t="str">
        <f aca="false">IF(C1387="","",IF(G1387="ACCEPTÉ","OUI","NON"))</f>
        <v>OUI</v>
      </c>
      <c r="I1387" s="83"/>
      <c r="J1387" s="80"/>
      <c r="K1387" s="81"/>
      <c r="L1387" s="81"/>
      <c r="M1387" s="81"/>
      <c r="N1387" s="84" t="str">
        <f aca="false">IF(C1387="","",IF(P1387="","NJ INCONNU",IF(I1387="",IF(H1387="OUI","À ENROBER",IF(G1387="À SOUDER","NON SOUDÉ","EN ATTENTE RT")),IF(L1387="R","À REPRENDRE",IF(H1387&lt;&gt;"OUI","⚠ ENROBÉ AVANT ACCEPTATION RT","ENROBÉ")))))</f>
        <v>À ENROBER</v>
      </c>
      <c r="O1387" s="80"/>
      <c r="P1387" s="82" t="n">
        <f aca="false">IF(C1387="","",IFERROR(MATCH(Q1387,'CARNET DE SOUDURE'!$AW$7:$AW$3006,0),""))</f>
        <v>1381</v>
      </c>
      <c r="Q1387" s="82" t="str">
        <f aca="false">IF(C1387="","",B1387&amp;"|"&amp;C1387)</f>
        <v>MFD-ISW → MFD-CPF|DJ°284</v>
      </c>
    </row>
    <row r="1388" customFormat="false" ht="74.6" hidden="false" customHeight="false" outlineLevel="0" collapsed="false">
      <c r="A1388" s="82" t="n">
        <f aca="false">IF(C1388="","",ROW()-6)</f>
        <v>1382</v>
      </c>
      <c r="B1388" s="80" t="s">
        <v>110</v>
      </c>
      <c r="C1388" s="113" t="s">
        <v>1670</v>
      </c>
      <c r="D1388" s="82" t="str">
        <f aca="false">IF(OR(C1388="",P1388=""),"",INDEX('CARNET DE SOUDURE'!$D$7:$D$3006,P1388)&amp;"")</f>
        <v>12</v>
      </c>
      <c r="E1388" s="114" t="str">
        <f aca="false">IF(OR(C1388="",P1388=""),"",IF(INDEX('CARNET DE SOUDURE'!$U$7:$U$3006,P1388)="","",INDEX('CARNET DE SOUDURE'!$U$7:$U$3006,P1388)))</f>
        <v/>
      </c>
      <c r="F1388" s="82" t="str">
        <f aca="false">IF(OR(C1388="",P1388=""),"",INDEX('CARNET DE SOUDURE'!$AP$7:$AP$3006,P1388))</f>
        <v/>
      </c>
      <c r="G1388" s="82" t="str">
        <f aca="false">IF(C1388="","",IF(P1388="","NJ INCONNU",INDEX('CARNET DE SOUDURE'!$AQ$7:$AQ$3006,P1388)))</f>
        <v>À SOUDER</v>
      </c>
      <c r="H1388" s="82" t="str">
        <f aca="false">IF(C1388="","",IF(G1388="ACCEPTÉ","OUI","NON"))</f>
        <v>NON</v>
      </c>
      <c r="I1388" s="83"/>
      <c r="J1388" s="80"/>
      <c r="K1388" s="81"/>
      <c r="L1388" s="81"/>
      <c r="M1388" s="81"/>
      <c r="N1388" s="84" t="str">
        <f aca="false">IF(C1388="","",IF(P1388="","NJ INCONNU",IF(I1388="",IF(H1388="OUI","À ENROBER",IF(G1388="À SOUDER","NON SOUDÉ","EN ATTENTE RT")),IF(L1388="R","À REPRENDRE",IF(H1388&lt;&gt;"OUI","⚠ ENROBÉ AVANT ACCEPTATION RT","ENROBÉ")))))</f>
        <v>NON SOUDÉ</v>
      </c>
      <c r="O1388" s="80"/>
      <c r="P1388" s="82" t="n">
        <f aca="false">IF(C1388="","",IFERROR(MATCH(Q1388,'CARNET DE SOUDURE'!$AW$7:$AW$3006,0),""))</f>
        <v>1382</v>
      </c>
      <c r="Q1388" s="82" t="str">
        <f aca="false">IF(C1388="","",B1388&amp;"|"&amp;C1388)</f>
        <v>MFD-ISW → MFD-CPF|JN°1148</v>
      </c>
    </row>
    <row r="1389" customFormat="false" ht="74.6" hidden="false" customHeight="false" outlineLevel="0" collapsed="false">
      <c r="A1389" s="82" t="n">
        <f aca="false">IF(C1389="","",ROW()-6)</f>
        <v>1383</v>
      </c>
      <c r="B1389" s="80" t="s">
        <v>110</v>
      </c>
      <c r="C1389" s="113" t="s">
        <v>1672</v>
      </c>
      <c r="D1389" s="82" t="str">
        <f aca="false">IF(OR(C1389="",P1389=""),"",INDEX('CARNET DE SOUDURE'!$D$7:$D$3006,P1389)&amp;"")</f>
        <v>12</v>
      </c>
      <c r="E1389" s="114" t="str">
        <f aca="false">IF(OR(C1389="",P1389=""),"",IF(INDEX('CARNET DE SOUDURE'!$U$7:$U$3006,P1389)="","",INDEX('CARNET DE SOUDURE'!$U$7:$U$3006,P1389)))</f>
        <v/>
      </c>
      <c r="F1389" s="82" t="str">
        <f aca="false">IF(OR(C1389="",P1389=""),"",INDEX('CARNET DE SOUDURE'!$AP$7:$AP$3006,P1389))</f>
        <v/>
      </c>
      <c r="G1389" s="82" t="str">
        <f aca="false">IF(C1389="","",IF(P1389="","NJ INCONNU",INDEX('CARNET DE SOUDURE'!$AQ$7:$AQ$3006,P1389)))</f>
        <v>À SOUDER</v>
      </c>
      <c r="H1389" s="82" t="str">
        <f aca="false">IF(C1389="","",IF(G1389="ACCEPTÉ","OUI","NON"))</f>
        <v>NON</v>
      </c>
      <c r="I1389" s="83"/>
      <c r="J1389" s="80"/>
      <c r="K1389" s="81"/>
      <c r="L1389" s="81"/>
      <c r="M1389" s="81"/>
      <c r="N1389" s="84" t="str">
        <f aca="false">IF(C1389="","",IF(P1389="","NJ INCONNU",IF(I1389="",IF(H1389="OUI","À ENROBER",IF(G1389="À SOUDER","NON SOUDÉ","EN ATTENTE RT")),IF(L1389="R","À REPRENDRE",IF(H1389&lt;&gt;"OUI","⚠ ENROBÉ AVANT ACCEPTATION RT","ENROBÉ")))))</f>
        <v>NON SOUDÉ</v>
      </c>
      <c r="O1389" s="80"/>
      <c r="P1389" s="82" t="n">
        <f aca="false">IF(C1389="","",IFERROR(MATCH(Q1389,'CARNET DE SOUDURE'!$AW$7:$AW$3006,0),""))</f>
        <v>1383</v>
      </c>
      <c r="Q1389" s="82" t="str">
        <f aca="false">IF(C1389="","",B1389&amp;"|"&amp;C1389)</f>
        <v>MFD-ISW → MFD-CPF|JN°1149</v>
      </c>
    </row>
    <row r="1390" customFormat="false" ht="74.6" hidden="false" customHeight="false" outlineLevel="0" collapsed="false">
      <c r="A1390" s="82" t="n">
        <f aca="false">IF(C1390="","",ROW()-6)</f>
        <v>1384</v>
      </c>
      <c r="B1390" s="80" t="s">
        <v>110</v>
      </c>
      <c r="C1390" s="113" t="s">
        <v>1673</v>
      </c>
      <c r="D1390" s="82" t="str">
        <f aca="false">IF(OR(C1390="",P1390=""),"",INDEX('CARNET DE SOUDURE'!$D$7:$D$3006,P1390)&amp;"")</f>
        <v>12</v>
      </c>
      <c r="E1390" s="114" t="str">
        <f aca="false">IF(OR(C1390="",P1390=""),"",IF(INDEX('CARNET DE SOUDURE'!$U$7:$U$3006,P1390)="","",INDEX('CARNET DE SOUDURE'!$U$7:$U$3006,P1390)))</f>
        <v/>
      </c>
      <c r="F1390" s="82" t="str">
        <f aca="false">IF(OR(C1390="",P1390=""),"",INDEX('CARNET DE SOUDURE'!$AP$7:$AP$3006,P1390))</f>
        <v/>
      </c>
      <c r="G1390" s="82" t="str">
        <f aca="false">IF(C1390="","",IF(P1390="","NJ INCONNU",INDEX('CARNET DE SOUDURE'!$AQ$7:$AQ$3006,P1390)))</f>
        <v>À SOUDER</v>
      </c>
      <c r="H1390" s="82" t="str">
        <f aca="false">IF(C1390="","",IF(G1390="ACCEPTÉ","OUI","NON"))</f>
        <v>NON</v>
      </c>
      <c r="I1390" s="83"/>
      <c r="J1390" s="80"/>
      <c r="K1390" s="81"/>
      <c r="L1390" s="81"/>
      <c r="M1390" s="81"/>
      <c r="N1390" s="84" t="str">
        <f aca="false">IF(C1390="","",IF(P1390="","NJ INCONNU",IF(I1390="",IF(H1390="OUI","À ENROBER",IF(G1390="À SOUDER","NON SOUDÉ","EN ATTENTE RT")),IF(L1390="R","À REPRENDRE",IF(H1390&lt;&gt;"OUI","⚠ ENROBÉ AVANT ACCEPTATION RT","ENROBÉ")))))</f>
        <v>NON SOUDÉ</v>
      </c>
      <c r="O1390" s="80"/>
      <c r="P1390" s="82" t="n">
        <f aca="false">IF(C1390="","",IFERROR(MATCH(Q1390,'CARNET DE SOUDURE'!$AW$7:$AW$3006,0),""))</f>
        <v>1384</v>
      </c>
      <c r="Q1390" s="82" t="str">
        <f aca="false">IF(C1390="","",B1390&amp;"|"&amp;C1390)</f>
        <v>MFD-ISW → MFD-CPF|JN°1150</v>
      </c>
    </row>
    <row r="1391" customFormat="false" ht="74.6" hidden="false" customHeight="false" outlineLevel="0" collapsed="false">
      <c r="A1391" s="82" t="n">
        <f aca="false">IF(C1391="","",ROW()-6)</f>
        <v>1385</v>
      </c>
      <c r="B1391" s="80" t="s">
        <v>110</v>
      </c>
      <c r="C1391" s="113" t="s">
        <v>1674</v>
      </c>
      <c r="D1391" s="82" t="str">
        <f aca="false">IF(OR(C1391="",P1391=""),"",INDEX('CARNET DE SOUDURE'!$D$7:$D$3006,P1391)&amp;"")</f>
        <v>12</v>
      </c>
      <c r="E1391" s="114" t="str">
        <f aca="false">IF(OR(C1391="",P1391=""),"",IF(INDEX('CARNET DE SOUDURE'!$U$7:$U$3006,P1391)="","",INDEX('CARNET DE SOUDURE'!$U$7:$U$3006,P1391)))</f>
        <v/>
      </c>
      <c r="F1391" s="82" t="str">
        <f aca="false">IF(OR(C1391="",P1391=""),"",INDEX('CARNET DE SOUDURE'!$AP$7:$AP$3006,P1391))</f>
        <v/>
      </c>
      <c r="G1391" s="82" t="str">
        <f aca="false">IF(C1391="","",IF(P1391="","NJ INCONNU",INDEX('CARNET DE SOUDURE'!$AQ$7:$AQ$3006,P1391)))</f>
        <v>À SOUDER</v>
      </c>
      <c r="H1391" s="82" t="str">
        <f aca="false">IF(C1391="","",IF(G1391="ACCEPTÉ","OUI","NON"))</f>
        <v>NON</v>
      </c>
      <c r="I1391" s="83"/>
      <c r="J1391" s="80"/>
      <c r="K1391" s="81"/>
      <c r="L1391" s="81"/>
      <c r="M1391" s="81"/>
      <c r="N1391" s="84" t="str">
        <f aca="false">IF(C1391="","",IF(P1391="","NJ INCONNU",IF(I1391="",IF(H1391="OUI","À ENROBER",IF(G1391="À SOUDER","NON SOUDÉ","EN ATTENTE RT")),IF(L1391="R","À REPRENDRE",IF(H1391&lt;&gt;"OUI","⚠ ENROBÉ AVANT ACCEPTATION RT","ENROBÉ")))))</f>
        <v>NON SOUDÉ</v>
      </c>
      <c r="O1391" s="80"/>
      <c r="P1391" s="82" t="n">
        <f aca="false">IF(C1391="","",IFERROR(MATCH(Q1391,'CARNET DE SOUDURE'!$AW$7:$AW$3006,0),""))</f>
        <v>1385</v>
      </c>
      <c r="Q1391" s="82" t="str">
        <f aca="false">IF(C1391="","",B1391&amp;"|"&amp;C1391)</f>
        <v>MFD-ISW → MFD-CPF|JN°1151</v>
      </c>
    </row>
    <row r="1392" customFormat="false" ht="74.6" hidden="false" customHeight="false" outlineLevel="0" collapsed="false">
      <c r="A1392" s="82" t="n">
        <f aca="false">IF(C1392="","",ROW()-6)</f>
        <v>1386</v>
      </c>
      <c r="B1392" s="80" t="s">
        <v>110</v>
      </c>
      <c r="C1392" s="113" t="s">
        <v>1675</v>
      </c>
      <c r="D1392" s="82" t="str">
        <f aca="false">IF(OR(C1392="",P1392=""),"",INDEX('CARNET DE SOUDURE'!$D$7:$D$3006,P1392)&amp;"")</f>
        <v>12</v>
      </c>
      <c r="E1392" s="114" t="str">
        <f aca="false">IF(OR(C1392="",P1392=""),"",IF(INDEX('CARNET DE SOUDURE'!$U$7:$U$3006,P1392)="","",INDEX('CARNET DE SOUDURE'!$U$7:$U$3006,P1392)))</f>
        <v/>
      </c>
      <c r="F1392" s="82" t="str">
        <f aca="false">IF(OR(C1392="",P1392=""),"",INDEX('CARNET DE SOUDURE'!$AP$7:$AP$3006,P1392))</f>
        <v/>
      </c>
      <c r="G1392" s="82" t="str">
        <f aca="false">IF(C1392="","",IF(P1392="","NJ INCONNU",INDEX('CARNET DE SOUDURE'!$AQ$7:$AQ$3006,P1392)))</f>
        <v>À SOUDER</v>
      </c>
      <c r="H1392" s="82" t="str">
        <f aca="false">IF(C1392="","",IF(G1392="ACCEPTÉ","OUI","NON"))</f>
        <v>NON</v>
      </c>
      <c r="I1392" s="83"/>
      <c r="J1392" s="80"/>
      <c r="K1392" s="81"/>
      <c r="L1392" s="81"/>
      <c r="M1392" s="81"/>
      <c r="N1392" s="84" t="str">
        <f aca="false">IF(C1392="","",IF(P1392="","NJ INCONNU",IF(I1392="",IF(H1392="OUI","À ENROBER",IF(G1392="À SOUDER","NON SOUDÉ","EN ATTENTE RT")),IF(L1392="R","À REPRENDRE",IF(H1392&lt;&gt;"OUI","⚠ ENROBÉ AVANT ACCEPTATION RT","ENROBÉ")))))</f>
        <v>NON SOUDÉ</v>
      </c>
      <c r="O1392" s="80"/>
      <c r="P1392" s="82" t="n">
        <f aca="false">IF(C1392="","",IFERROR(MATCH(Q1392,'CARNET DE SOUDURE'!$AW$7:$AW$3006,0),""))</f>
        <v>1386</v>
      </c>
      <c r="Q1392" s="82" t="str">
        <f aca="false">IF(C1392="","",B1392&amp;"|"&amp;C1392)</f>
        <v>MFD-ISW → MFD-CPF|JN°1152</v>
      </c>
    </row>
    <row r="1393" customFormat="false" ht="74.6" hidden="false" customHeight="false" outlineLevel="0" collapsed="false">
      <c r="A1393" s="82" t="n">
        <f aca="false">IF(C1393="","",ROW()-6)</f>
        <v>1387</v>
      </c>
      <c r="B1393" s="80" t="s">
        <v>110</v>
      </c>
      <c r="C1393" s="113" t="s">
        <v>1676</v>
      </c>
      <c r="D1393" s="82" t="str">
        <f aca="false">IF(OR(C1393="",P1393=""),"",INDEX('CARNET DE SOUDURE'!$D$7:$D$3006,P1393)&amp;"")</f>
        <v>12</v>
      </c>
      <c r="E1393" s="114" t="str">
        <f aca="false">IF(OR(C1393="",P1393=""),"",IF(INDEX('CARNET DE SOUDURE'!$U$7:$U$3006,P1393)="","",INDEX('CARNET DE SOUDURE'!$U$7:$U$3006,P1393)))</f>
        <v/>
      </c>
      <c r="F1393" s="82" t="str">
        <f aca="false">IF(OR(C1393="",P1393=""),"",INDEX('CARNET DE SOUDURE'!$AP$7:$AP$3006,P1393))</f>
        <v/>
      </c>
      <c r="G1393" s="82" t="str">
        <f aca="false">IF(C1393="","",IF(P1393="","NJ INCONNU",INDEX('CARNET DE SOUDURE'!$AQ$7:$AQ$3006,P1393)))</f>
        <v>À SOUDER</v>
      </c>
      <c r="H1393" s="82" t="str">
        <f aca="false">IF(C1393="","",IF(G1393="ACCEPTÉ","OUI","NON"))</f>
        <v>NON</v>
      </c>
      <c r="I1393" s="83"/>
      <c r="J1393" s="80"/>
      <c r="K1393" s="81"/>
      <c r="L1393" s="81"/>
      <c r="M1393" s="81"/>
      <c r="N1393" s="84" t="str">
        <f aca="false">IF(C1393="","",IF(P1393="","NJ INCONNU",IF(I1393="",IF(H1393="OUI","À ENROBER",IF(G1393="À SOUDER","NON SOUDÉ","EN ATTENTE RT")),IF(L1393="R","À REPRENDRE",IF(H1393&lt;&gt;"OUI","⚠ ENROBÉ AVANT ACCEPTATION RT","ENROBÉ")))))</f>
        <v>NON SOUDÉ</v>
      </c>
      <c r="O1393" s="80"/>
      <c r="P1393" s="82" t="n">
        <f aca="false">IF(C1393="","",IFERROR(MATCH(Q1393,'CARNET DE SOUDURE'!$AW$7:$AW$3006,0),""))</f>
        <v>1387</v>
      </c>
      <c r="Q1393" s="82" t="str">
        <f aca="false">IF(C1393="","",B1393&amp;"|"&amp;C1393)</f>
        <v>MFD-ISW → MFD-CPF|JN°1153</v>
      </c>
    </row>
    <row r="1394" customFormat="false" ht="74.6" hidden="false" customHeight="false" outlineLevel="0" collapsed="false">
      <c r="A1394" s="82" t="n">
        <f aca="false">IF(C1394="","",ROW()-6)</f>
        <v>1388</v>
      </c>
      <c r="B1394" s="80" t="s">
        <v>110</v>
      </c>
      <c r="C1394" s="113" t="s">
        <v>1677</v>
      </c>
      <c r="D1394" s="82" t="str">
        <f aca="false">IF(OR(C1394="",P1394=""),"",INDEX('CARNET DE SOUDURE'!$D$7:$D$3006,P1394)&amp;"")</f>
        <v>12</v>
      </c>
      <c r="E1394" s="114" t="str">
        <f aca="false">IF(OR(C1394="",P1394=""),"",IF(INDEX('CARNET DE SOUDURE'!$U$7:$U$3006,P1394)="","",INDEX('CARNET DE SOUDURE'!$U$7:$U$3006,P1394)))</f>
        <v/>
      </c>
      <c r="F1394" s="82" t="str">
        <f aca="false">IF(OR(C1394="",P1394=""),"",INDEX('CARNET DE SOUDURE'!$AP$7:$AP$3006,P1394))</f>
        <v/>
      </c>
      <c r="G1394" s="82" t="str">
        <f aca="false">IF(C1394="","",IF(P1394="","NJ INCONNU",INDEX('CARNET DE SOUDURE'!$AQ$7:$AQ$3006,P1394)))</f>
        <v>À SOUDER</v>
      </c>
      <c r="H1394" s="82" t="str">
        <f aca="false">IF(C1394="","",IF(G1394="ACCEPTÉ","OUI","NON"))</f>
        <v>NON</v>
      </c>
      <c r="I1394" s="83"/>
      <c r="J1394" s="80"/>
      <c r="K1394" s="81"/>
      <c r="L1394" s="81"/>
      <c r="M1394" s="81"/>
      <c r="N1394" s="84" t="str">
        <f aca="false">IF(C1394="","",IF(P1394="","NJ INCONNU",IF(I1394="",IF(H1394="OUI","À ENROBER",IF(G1394="À SOUDER","NON SOUDÉ","EN ATTENTE RT")),IF(L1394="R","À REPRENDRE",IF(H1394&lt;&gt;"OUI","⚠ ENROBÉ AVANT ACCEPTATION RT","ENROBÉ")))))</f>
        <v>NON SOUDÉ</v>
      </c>
      <c r="O1394" s="80"/>
      <c r="P1394" s="82" t="n">
        <f aca="false">IF(C1394="","",IFERROR(MATCH(Q1394,'CARNET DE SOUDURE'!$AW$7:$AW$3006,0),""))</f>
        <v>1388</v>
      </c>
      <c r="Q1394" s="82" t="str">
        <f aca="false">IF(C1394="","",B1394&amp;"|"&amp;C1394)</f>
        <v>MFD-ISW → MFD-CPF|JN°1154</v>
      </c>
    </row>
    <row r="1395" customFormat="false" ht="74.6" hidden="false" customHeight="false" outlineLevel="0" collapsed="false">
      <c r="A1395" s="82" t="n">
        <f aca="false">IF(C1395="","",ROW()-6)</f>
        <v>1389</v>
      </c>
      <c r="B1395" s="80" t="s">
        <v>110</v>
      </c>
      <c r="C1395" s="113" t="s">
        <v>1678</v>
      </c>
      <c r="D1395" s="82" t="str">
        <f aca="false">IF(OR(C1395="",P1395=""),"",INDEX('CARNET DE SOUDURE'!$D$7:$D$3006,P1395)&amp;"")</f>
        <v>12</v>
      </c>
      <c r="E1395" s="114" t="str">
        <f aca="false">IF(OR(C1395="",P1395=""),"",IF(INDEX('CARNET DE SOUDURE'!$U$7:$U$3006,P1395)="","",INDEX('CARNET DE SOUDURE'!$U$7:$U$3006,P1395)))</f>
        <v/>
      </c>
      <c r="F1395" s="82" t="str">
        <f aca="false">IF(OR(C1395="",P1395=""),"",INDEX('CARNET DE SOUDURE'!$AP$7:$AP$3006,P1395))</f>
        <v/>
      </c>
      <c r="G1395" s="82" t="str">
        <f aca="false">IF(C1395="","",IF(P1395="","NJ INCONNU",INDEX('CARNET DE SOUDURE'!$AQ$7:$AQ$3006,P1395)))</f>
        <v>À SOUDER</v>
      </c>
      <c r="H1395" s="82" t="str">
        <f aca="false">IF(C1395="","",IF(G1395="ACCEPTÉ","OUI","NON"))</f>
        <v>NON</v>
      </c>
      <c r="I1395" s="83"/>
      <c r="J1395" s="80"/>
      <c r="K1395" s="81"/>
      <c r="L1395" s="81"/>
      <c r="M1395" s="81"/>
      <c r="N1395" s="84" t="str">
        <f aca="false">IF(C1395="","",IF(P1395="","NJ INCONNU",IF(I1395="",IF(H1395="OUI","À ENROBER",IF(G1395="À SOUDER","NON SOUDÉ","EN ATTENTE RT")),IF(L1395="R","À REPRENDRE",IF(H1395&lt;&gt;"OUI","⚠ ENROBÉ AVANT ACCEPTATION RT","ENROBÉ")))))</f>
        <v>NON SOUDÉ</v>
      </c>
      <c r="O1395" s="80"/>
      <c r="P1395" s="82" t="n">
        <f aca="false">IF(C1395="","",IFERROR(MATCH(Q1395,'CARNET DE SOUDURE'!$AW$7:$AW$3006,0),""))</f>
        <v>1389</v>
      </c>
      <c r="Q1395" s="82" t="str">
        <f aca="false">IF(C1395="","",B1395&amp;"|"&amp;C1395)</f>
        <v>MFD-ISW → MFD-CPF|JN°1155</v>
      </c>
    </row>
    <row r="1396" customFormat="false" ht="74.6" hidden="false" customHeight="false" outlineLevel="0" collapsed="false">
      <c r="A1396" s="82" t="n">
        <f aca="false">IF(C1396="","",ROW()-6)</f>
        <v>1390</v>
      </c>
      <c r="B1396" s="80" t="s">
        <v>110</v>
      </c>
      <c r="C1396" s="113" t="s">
        <v>1679</v>
      </c>
      <c r="D1396" s="82" t="str">
        <f aca="false">IF(OR(C1396="",P1396=""),"",INDEX('CARNET DE SOUDURE'!$D$7:$D$3006,P1396)&amp;"")</f>
        <v>12</v>
      </c>
      <c r="E1396" s="114" t="str">
        <f aca="false">IF(OR(C1396="",P1396=""),"",IF(INDEX('CARNET DE SOUDURE'!$U$7:$U$3006,P1396)="","",INDEX('CARNET DE SOUDURE'!$U$7:$U$3006,P1396)))</f>
        <v/>
      </c>
      <c r="F1396" s="82" t="str">
        <f aca="false">IF(OR(C1396="",P1396=""),"",INDEX('CARNET DE SOUDURE'!$AP$7:$AP$3006,P1396))</f>
        <v/>
      </c>
      <c r="G1396" s="82" t="str">
        <f aca="false">IF(C1396="","",IF(P1396="","NJ INCONNU",INDEX('CARNET DE SOUDURE'!$AQ$7:$AQ$3006,P1396)))</f>
        <v>À SOUDER</v>
      </c>
      <c r="H1396" s="82" t="str">
        <f aca="false">IF(C1396="","",IF(G1396="ACCEPTÉ","OUI","NON"))</f>
        <v>NON</v>
      </c>
      <c r="I1396" s="83"/>
      <c r="J1396" s="80"/>
      <c r="K1396" s="81"/>
      <c r="L1396" s="81"/>
      <c r="M1396" s="81"/>
      <c r="N1396" s="84" t="str">
        <f aca="false">IF(C1396="","",IF(P1396="","NJ INCONNU",IF(I1396="",IF(H1396="OUI","À ENROBER",IF(G1396="À SOUDER","NON SOUDÉ","EN ATTENTE RT")),IF(L1396="R","À REPRENDRE",IF(H1396&lt;&gt;"OUI","⚠ ENROBÉ AVANT ACCEPTATION RT","ENROBÉ")))))</f>
        <v>NON SOUDÉ</v>
      </c>
      <c r="O1396" s="80"/>
      <c r="P1396" s="82" t="n">
        <f aca="false">IF(C1396="","",IFERROR(MATCH(Q1396,'CARNET DE SOUDURE'!$AW$7:$AW$3006,0),""))</f>
        <v>1390</v>
      </c>
      <c r="Q1396" s="82" t="str">
        <f aca="false">IF(C1396="","",B1396&amp;"|"&amp;C1396)</f>
        <v>MFD-ISW → MFD-CPF|JN°1156</v>
      </c>
    </row>
    <row r="1397" customFormat="false" ht="74.6" hidden="false" customHeight="false" outlineLevel="0" collapsed="false">
      <c r="A1397" s="82" t="n">
        <f aca="false">IF(C1397="","",ROW()-6)</f>
        <v>1391</v>
      </c>
      <c r="B1397" s="80" t="s">
        <v>110</v>
      </c>
      <c r="C1397" s="113" t="s">
        <v>1680</v>
      </c>
      <c r="D1397" s="82" t="str">
        <f aca="false">IF(OR(C1397="",P1397=""),"",INDEX('CARNET DE SOUDURE'!$D$7:$D$3006,P1397)&amp;"")</f>
        <v>12</v>
      </c>
      <c r="E1397" s="114" t="str">
        <f aca="false">IF(OR(C1397="",P1397=""),"",IF(INDEX('CARNET DE SOUDURE'!$U$7:$U$3006,P1397)="","",INDEX('CARNET DE SOUDURE'!$U$7:$U$3006,P1397)))</f>
        <v/>
      </c>
      <c r="F1397" s="82" t="str">
        <f aca="false">IF(OR(C1397="",P1397=""),"",INDEX('CARNET DE SOUDURE'!$AP$7:$AP$3006,P1397))</f>
        <v/>
      </c>
      <c r="G1397" s="82" t="str">
        <f aca="false">IF(C1397="","",IF(P1397="","NJ INCONNU",INDEX('CARNET DE SOUDURE'!$AQ$7:$AQ$3006,P1397)))</f>
        <v>À SOUDER</v>
      </c>
      <c r="H1397" s="82" t="str">
        <f aca="false">IF(C1397="","",IF(G1397="ACCEPTÉ","OUI","NON"))</f>
        <v>NON</v>
      </c>
      <c r="I1397" s="83"/>
      <c r="J1397" s="80"/>
      <c r="K1397" s="81"/>
      <c r="L1397" s="81"/>
      <c r="M1397" s="81"/>
      <c r="N1397" s="84" t="str">
        <f aca="false">IF(C1397="","",IF(P1397="","NJ INCONNU",IF(I1397="",IF(H1397="OUI","À ENROBER",IF(G1397="À SOUDER","NON SOUDÉ","EN ATTENTE RT")),IF(L1397="R","À REPRENDRE",IF(H1397&lt;&gt;"OUI","⚠ ENROBÉ AVANT ACCEPTATION RT","ENROBÉ")))))</f>
        <v>NON SOUDÉ</v>
      </c>
      <c r="O1397" s="80"/>
      <c r="P1397" s="82" t="n">
        <f aca="false">IF(C1397="","",IFERROR(MATCH(Q1397,'CARNET DE SOUDURE'!$AW$7:$AW$3006,0),""))</f>
        <v>1391</v>
      </c>
      <c r="Q1397" s="82" t="str">
        <f aca="false">IF(C1397="","",B1397&amp;"|"&amp;C1397)</f>
        <v>MFD-ISW → MFD-CPF|JN°1157</v>
      </c>
    </row>
    <row r="1398" customFormat="false" ht="74.6" hidden="false" customHeight="false" outlineLevel="0" collapsed="false">
      <c r="A1398" s="82" t="n">
        <f aca="false">IF(C1398="","",ROW()-6)</f>
        <v>1392</v>
      </c>
      <c r="B1398" s="80" t="s">
        <v>110</v>
      </c>
      <c r="C1398" s="113" t="s">
        <v>1681</v>
      </c>
      <c r="D1398" s="82" t="str">
        <f aca="false">IF(OR(C1398="",P1398=""),"",INDEX('CARNET DE SOUDURE'!$D$7:$D$3006,P1398)&amp;"")</f>
        <v>12</v>
      </c>
      <c r="E1398" s="114" t="str">
        <f aca="false">IF(OR(C1398="",P1398=""),"",IF(INDEX('CARNET DE SOUDURE'!$U$7:$U$3006,P1398)="","",INDEX('CARNET DE SOUDURE'!$U$7:$U$3006,P1398)))</f>
        <v/>
      </c>
      <c r="F1398" s="82" t="str">
        <f aca="false">IF(OR(C1398="",P1398=""),"",INDEX('CARNET DE SOUDURE'!$AP$7:$AP$3006,P1398))</f>
        <v/>
      </c>
      <c r="G1398" s="82" t="str">
        <f aca="false">IF(C1398="","",IF(P1398="","NJ INCONNU",INDEX('CARNET DE SOUDURE'!$AQ$7:$AQ$3006,P1398)))</f>
        <v>À SOUDER</v>
      </c>
      <c r="H1398" s="82" t="str">
        <f aca="false">IF(C1398="","",IF(G1398="ACCEPTÉ","OUI","NON"))</f>
        <v>NON</v>
      </c>
      <c r="I1398" s="83"/>
      <c r="J1398" s="80"/>
      <c r="K1398" s="81"/>
      <c r="L1398" s="81"/>
      <c r="M1398" s="81"/>
      <c r="N1398" s="84" t="str">
        <f aca="false">IF(C1398="","",IF(P1398="","NJ INCONNU",IF(I1398="",IF(H1398="OUI","À ENROBER",IF(G1398="À SOUDER","NON SOUDÉ","EN ATTENTE RT")),IF(L1398="R","À REPRENDRE",IF(H1398&lt;&gt;"OUI","⚠ ENROBÉ AVANT ACCEPTATION RT","ENROBÉ")))))</f>
        <v>NON SOUDÉ</v>
      </c>
      <c r="O1398" s="80"/>
      <c r="P1398" s="82" t="n">
        <f aca="false">IF(C1398="","",IFERROR(MATCH(Q1398,'CARNET DE SOUDURE'!$AW$7:$AW$3006,0),""))</f>
        <v>1392</v>
      </c>
      <c r="Q1398" s="82" t="str">
        <f aca="false">IF(C1398="","",B1398&amp;"|"&amp;C1398)</f>
        <v>MFD-ISW → MFD-CPF|JN°1158</v>
      </c>
    </row>
    <row r="1399" customFormat="false" ht="74.6" hidden="false" customHeight="false" outlineLevel="0" collapsed="false">
      <c r="A1399" s="82" t="n">
        <f aca="false">IF(C1399="","",ROW()-6)</f>
        <v>1393</v>
      </c>
      <c r="B1399" s="80" t="s">
        <v>110</v>
      </c>
      <c r="C1399" s="113" t="s">
        <v>1682</v>
      </c>
      <c r="D1399" s="82" t="str">
        <f aca="false">IF(OR(C1399="",P1399=""),"",INDEX('CARNET DE SOUDURE'!$D$7:$D$3006,P1399)&amp;"")</f>
        <v>12</v>
      </c>
      <c r="E1399" s="114" t="str">
        <f aca="false">IF(OR(C1399="",P1399=""),"",IF(INDEX('CARNET DE SOUDURE'!$U$7:$U$3006,P1399)="","",INDEX('CARNET DE SOUDURE'!$U$7:$U$3006,P1399)))</f>
        <v/>
      </c>
      <c r="F1399" s="82" t="str">
        <f aca="false">IF(OR(C1399="",P1399=""),"",INDEX('CARNET DE SOUDURE'!$AP$7:$AP$3006,P1399))</f>
        <v/>
      </c>
      <c r="G1399" s="82" t="str">
        <f aca="false">IF(C1399="","",IF(P1399="","NJ INCONNU",INDEX('CARNET DE SOUDURE'!$AQ$7:$AQ$3006,P1399)))</f>
        <v>À SOUDER</v>
      </c>
      <c r="H1399" s="82" t="str">
        <f aca="false">IF(C1399="","",IF(G1399="ACCEPTÉ","OUI","NON"))</f>
        <v>NON</v>
      </c>
      <c r="I1399" s="83"/>
      <c r="J1399" s="80"/>
      <c r="K1399" s="81"/>
      <c r="L1399" s="81"/>
      <c r="M1399" s="81"/>
      <c r="N1399" s="84" t="str">
        <f aca="false">IF(C1399="","",IF(P1399="","NJ INCONNU",IF(I1399="",IF(H1399="OUI","À ENROBER",IF(G1399="À SOUDER","NON SOUDÉ","EN ATTENTE RT")),IF(L1399="R","À REPRENDRE",IF(H1399&lt;&gt;"OUI","⚠ ENROBÉ AVANT ACCEPTATION RT","ENROBÉ")))))</f>
        <v>NON SOUDÉ</v>
      </c>
      <c r="O1399" s="80"/>
      <c r="P1399" s="82" t="n">
        <f aca="false">IF(C1399="","",IFERROR(MATCH(Q1399,'CARNET DE SOUDURE'!$AW$7:$AW$3006,0),""))</f>
        <v>1393</v>
      </c>
      <c r="Q1399" s="82" t="str">
        <f aca="false">IF(C1399="","",B1399&amp;"|"&amp;C1399)</f>
        <v>MFD-ISW → MFD-CPF|JN°1159</v>
      </c>
    </row>
    <row r="1400" customFormat="false" ht="74.6" hidden="false" customHeight="false" outlineLevel="0" collapsed="false">
      <c r="A1400" s="82" t="n">
        <f aca="false">IF(C1400="","",ROW()-6)</f>
        <v>1394</v>
      </c>
      <c r="B1400" s="80" t="s">
        <v>110</v>
      </c>
      <c r="C1400" s="113" t="s">
        <v>1683</v>
      </c>
      <c r="D1400" s="82" t="str">
        <f aca="false">IF(OR(C1400="",P1400=""),"",INDEX('CARNET DE SOUDURE'!$D$7:$D$3006,P1400)&amp;"")</f>
        <v>12</v>
      </c>
      <c r="E1400" s="114" t="str">
        <f aca="false">IF(OR(C1400="",P1400=""),"",IF(INDEX('CARNET DE SOUDURE'!$U$7:$U$3006,P1400)="","",INDEX('CARNET DE SOUDURE'!$U$7:$U$3006,P1400)))</f>
        <v/>
      </c>
      <c r="F1400" s="82" t="str">
        <f aca="false">IF(OR(C1400="",P1400=""),"",INDEX('CARNET DE SOUDURE'!$AP$7:$AP$3006,P1400))</f>
        <v/>
      </c>
      <c r="G1400" s="82" t="str">
        <f aca="false">IF(C1400="","",IF(P1400="","NJ INCONNU",INDEX('CARNET DE SOUDURE'!$AQ$7:$AQ$3006,P1400)))</f>
        <v>À SOUDER</v>
      </c>
      <c r="H1400" s="82" t="str">
        <f aca="false">IF(C1400="","",IF(G1400="ACCEPTÉ","OUI","NON"))</f>
        <v>NON</v>
      </c>
      <c r="I1400" s="83"/>
      <c r="J1400" s="80"/>
      <c r="K1400" s="81"/>
      <c r="L1400" s="81"/>
      <c r="M1400" s="81"/>
      <c r="N1400" s="84" t="str">
        <f aca="false">IF(C1400="","",IF(P1400="","NJ INCONNU",IF(I1400="",IF(H1400="OUI","À ENROBER",IF(G1400="À SOUDER","NON SOUDÉ","EN ATTENTE RT")),IF(L1400="R","À REPRENDRE",IF(H1400&lt;&gt;"OUI","⚠ ENROBÉ AVANT ACCEPTATION RT","ENROBÉ")))))</f>
        <v>NON SOUDÉ</v>
      </c>
      <c r="O1400" s="80"/>
      <c r="P1400" s="82" t="n">
        <f aca="false">IF(C1400="","",IFERROR(MATCH(Q1400,'CARNET DE SOUDURE'!$AW$7:$AW$3006,0),""))</f>
        <v>1394</v>
      </c>
      <c r="Q1400" s="82" t="str">
        <f aca="false">IF(C1400="","",B1400&amp;"|"&amp;C1400)</f>
        <v>MFD-ISW → MFD-CPF|JN°1160</v>
      </c>
    </row>
    <row r="1401" customFormat="false" ht="74.6" hidden="false" customHeight="false" outlineLevel="0" collapsed="false">
      <c r="A1401" s="82" t="n">
        <f aca="false">IF(C1401="","",ROW()-6)</f>
        <v>1395</v>
      </c>
      <c r="B1401" s="80" t="s">
        <v>110</v>
      </c>
      <c r="C1401" s="113" t="s">
        <v>1684</v>
      </c>
      <c r="D1401" s="82" t="str">
        <f aca="false">IF(OR(C1401="",P1401=""),"",INDEX('CARNET DE SOUDURE'!$D$7:$D$3006,P1401)&amp;"")</f>
        <v>12</v>
      </c>
      <c r="E1401" s="114" t="str">
        <f aca="false">IF(OR(C1401="",P1401=""),"",IF(INDEX('CARNET DE SOUDURE'!$U$7:$U$3006,P1401)="","",INDEX('CARNET DE SOUDURE'!$U$7:$U$3006,P1401)))</f>
        <v/>
      </c>
      <c r="F1401" s="82" t="str">
        <f aca="false">IF(OR(C1401="",P1401=""),"",INDEX('CARNET DE SOUDURE'!$AP$7:$AP$3006,P1401))</f>
        <v/>
      </c>
      <c r="G1401" s="82" t="str">
        <f aca="false">IF(C1401="","",IF(P1401="","NJ INCONNU",INDEX('CARNET DE SOUDURE'!$AQ$7:$AQ$3006,P1401)))</f>
        <v>À SOUDER</v>
      </c>
      <c r="H1401" s="82" t="str">
        <f aca="false">IF(C1401="","",IF(G1401="ACCEPTÉ","OUI","NON"))</f>
        <v>NON</v>
      </c>
      <c r="I1401" s="83"/>
      <c r="J1401" s="80"/>
      <c r="K1401" s="81"/>
      <c r="L1401" s="81"/>
      <c r="M1401" s="81"/>
      <c r="N1401" s="84" t="str">
        <f aca="false">IF(C1401="","",IF(P1401="","NJ INCONNU",IF(I1401="",IF(H1401="OUI","À ENROBER",IF(G1401="À SOUDER","NON SOUDÉ","EN ATTENTE RT")),IF(L1401="R","À REPRENDRE",IF(H1401&lt;&gt;"OUI","⚠ ENROBÉ AVANT ACCEPTATION RT","ENROBÉ")))))</f>
        <v>NON SOUDÉ</v>
      </c>
      <c r="O1401" s="80"/>
      <c r="P1401" s="82" t="n">
        <f aca="false">IF(C1401="","",IFERROR(MATCH(Q1401,'CARNET DE SOUDURE'!$AW$7:$AW$3006,0),""))</f>
        <v>1395</v>
      </c>
      <c r="Q1401" s="82" t="str">
        <f aca="false">IF(C1401="","",B1401&amp;"|"&amp;C1401)</f>
        <v>MFD-ISW → MFD-CPF|JN°1161</v>
      </c>
    </row>
    <row r="1402" customFormat="false" ht="74.6" hidden="false" customHeight="false" outlineLevel="0" collapsed="false">
      <c r="A1402" s="82" t="n">
        <f aca="false">IF(C1402="","",ROW()-6)</f>
        <v>1396</v>
      </c>
      <c r="B1402" s="80" t="s">
        <v>110</v>
      </c>
      <c r="C1402" s="113" t="s">
        <v>1685</v>
      </c>
      <c r="D1402" s="82" t="str">
        <f aca="false">IF(OR(C1402="",P1402=""),"",INDEX('CARNET DE SOUDURE'!$D$7:$D$3006,P1402)&amp;"")</f>
        <v>12</v>
      </c>
      <c r="E1402" s="114" t="str">
        <f aca="false">IF(OR(C1402="",P1402=""),"",IF(INDEX('CARNET DE SOUDURE'!$U$7:$U$3006,P1402)="","",INDEX('CARNET DE SOUDURE'!$U$7:$U$3006,P1402)))</f>
        <v/>
      </c>
      <c r="F1402" s="82" t="str">
        <f aca="false">IF(OR(C1402="",P1402=""),"",INDEX('CARNET DE SOUDURE'!$AP$7:$AP$3006,P1402))</f>
        <v/>
      </c>
      <c r="G1402" s="82" t="str">
        <f aca="false">IF(C1402="","",IF(P1402="","NJ INCONNU",INDEX('CARNET DE SOUDURE'!$AQ$7:$AQ$3006,P1402)))</f>
        <v>À SOUDER</v>
      </c>
      <c r="H1402" s="82" t="str">
        <f aca="false">IF(C1402="","",IF(G1402="ACCEPTÉ","OUI","NON"))</f>
        <v>NON</v>
      </c>
      <c r="I1402" s="83"/>
      <c r="J1402" s="80"/>
      <c r="K1402" s="81"/>
      <c r="L1402" s="81"/>
      <c r="M1402" s="81"/>
      <c r="N1402" s="84" t="str">
        <f aca="false">IF(C1402="","",IF(P1402="","NJ INCONNU",IF(I1402="",IF(H1402="OUI","À ENROBER",IF(G1402="À SOUDER","NON SOUDÉ","EN ATTENTE RT")),IF(L1402="R","À REPRENDRE",IF(H1402&lt;&gt;"OUI","⚠ ENROBÉ AVANT ACCEPTATION RT","ENROBÉ")))))</f>
        <v>NON SOUDÉ</v>
      </c>
      <c r="O1402" s="80"/>
      <c r="P1402" s="82" t="n">
        <f aca="false">IF(C1402="","",IFERROR(MATCH(Q1402,'CARNET DE SOUDURE'!$AW$7:$AW$3006,0),""))</f>
        <v>1396</v>
      </c>
      <c r="Q1402" s="82" t="str">
        <f aca="false">IF(C1402="","",B1402&amp;"|"&amp;C1402)</f>
        <v>MFD-ISW → MFD-CPF|JN°1162</v>
      </c>
    </row>
    <row r="1403" customFormat="false" ht="74.6" hidden="false" customHeight="false" outlineLevel="0" collapsed="false">
      <c r="A1403" s="82" t="n">
        <f aca="false">IF(C1403="","",ROW()-6)</f>
        <v>1397</v>
      </c>
      <c r="B1403" s="80" t="s">
        <v>110</v>
      </c>
      <c r="C1403" s="113" t="s">
        <v>1686</v>
      </c>
      <c r="D1403" s="82" t="str">
        <f aca="false">IF(OR(C1403="",P1403=""),"",INDEX('CARNET DE SOUDURE'!$D$7:$D$3006,P1403)&amp;"")</f>
        <v>12</v>
      </c>
      <c r="E1403" s="114" t="str">
        <f aca="false">IF(OR(C1403="",P1403=""),"",IF(INDEX('CARNET DE SOUDURE'!$U$7:$U$3006,P1403)="","",INDEX('CARNET DE SOUDURE'!$U$7:$U$3006,P1403)))</f>
        <v/>
      </c>
      <c r="F1403" s="82" t="str">
        <f aca="false">IF(OR(C1403="",P1403=""),"",INDEX('CARNET DE SOUDURE'!$AP$7:$AP$3006,P1403))</f>
        <v/>
      </c>
      <c r="G1403" s="82" t="str">
        <f aca="false">IF(C1403="","",IF(P1403="","NJ INCONNU",INDEX('CARNET DE SOUDURE'!$AQ$7:$AQ$3006,P1403)))</f>
        <v>À SOUDER</v>
      </c>
      <c r="H1403" s="82" t="str">
        <f aca="false">IF(C1403="","",IF(G1403="ACCEPTÉ","OUI","NON"))</f>
        <v>NON</v>
      </c>
      <c r="I1403" s="83"/>
      <c r="J1403" s="80"/>
      <c r="K1403" s="81"/>
      <c r="L1403" s="81"/>
      <c r="M1403" s="81"/>
      <c r="N1403" s="84" t="str">
        <f aca="false">IF(C1403="","",IF(P1403="","NJ INCONNU",IF(I1403="",IF(H1403="OUI","À ENROBER",IF(G1403="À SOUDER","NON SOUDÉ","EN ATTENTE RT")),IF(L1403="R","À REPRENDRE",IF(H1403&lt;&gt;"OUI","⚠ ENROBÉ AVANT ACCEPTATION RT","ENROBÉ")))))</f>
        <v>NON SOUDÉ</v>
      </c>
      <c r="O1403" s="80"/>
      <c r="P1403" s="82" t="n">
        <f aca="false">IF(C1403="","",IFERROR(MATCH(Q1403,'CARNET DE SOUDURE'!$AW$7:$AW$3006,0),""))</f>
        <v>1397</v>
      </c>
      <c r="Q1403" s="82" t="str">
        <f aca="false">IF(C1403="","",B1403&amp;"|"&amp;C1403)</f>
        <v>MFD-ISW → MFD-CPF|JN°1163</v>
      </c>
    </row>
    <row r="1404" customFormat="false" ht="74.6" hidden="false" customHeight="false" outlineLevel="0" collapsed="false">
      <c r="A1404" s="82" t="n">
        <f aca="false">IF(C1404="","",ROW()-6)</f>
        <v>1398</v>
      </c>
      <c r="B1404" s="80" t="s">
        <v>110</v>
      </c>
      <c r="C1404" s="113" t="s">
        <v>1687</v>
      </c>
      <c r="D1404" s="82" t="str">
        <f aca="false">IF(OR(C1404="",P1404=""),"",INDEX('CARNET DE SOUDURE'!$D$7:$D$3006,P1404)&amp;"")</f>
        <v>12</v>
      </c>
      <c r="E1404" s="114" t="str">
        <f aca="false">IF(OR(C1404="",P1404=""),"",IF(INDEX('CARNET DE SOUDURE'!$U$7:$U$3006,P1404)="","",INDEX('CARNET DE SOUDURE'!$U$7:$U$3006,P1404)))</f>
        <v/>
      </c>
      <c r="F1404" s="82" t="str">
        <f aca="false">IF(OR(C1404="",P1404=""),"",INDEX('CARNET DE SOUDURE'!$AP$7:$AP$3006,P1404))</f>
        <v/>
      </c>
      <c r="G1404" s="82" t="str">
        <f aca="false">IF(C1404="","",IF(P1404="","NJ INCONNU",INDEX('CARNET DE SOUDURE'!$AQ$7:$AQ$3006,P1404)))</f>
        <v>À SOUDER</v>
      </c>
      <c r="H1404" s="82" t="str">
        <f aca="false">IF(C1404="","",IF(G1404="ACCEPTÉ","OUI","NON"))</f>
        <v>NON</v>
      </c>
      <c r="I1404" s="83"/>
      <c r="J1404" s="80"/>
      <c r="K1404" s="81"/>
      <c r="L1404" s="81"/>
      <c r="M1404" s="81"/>
      <c r="N1404" s="84" t="str">
        <f aca="false">IF(C1404="","",IF(P1404="","NJ INCONNU",IF(I1404="",IF(H1404="OUI","À ENROBER",IF(G1404="À SOUDER","NON SOUDÉ","EN ATTENTE RT")),IF(L1404="R","À REPRENDRE",IF(H1404&lt;&gt;"OUI","⚠ ENROBÉ AVANT ACCEPTATION RT","ENROBÉ")))))</f>
        <v>NON SOUDÉ</v>
      </c>
      <c r="O1404" s="80"/>
      <c r="P1404" s="82" t="n">
        <f aca="false">IF(C1404="","",IFERROR(MATCH(Q1404,'CARNET DE SOUDURE'!$AW$7:$AW$3006,0),""))</f>
        <v>1398</v>
      </c>
      <c r="Q1404" s="82" t="str">
        <f aca="false">IF(C1404="","",B1404&amp;"|"&amp;C1404)</f>
        <v>MFD-ISW → MFD-CPF|JN°1164</v>
      </c>
    </row>
    <row r="1405" customFormat="false" ht="74.6" hidden="false" customHeight="false" outlineLevel="0" collapsed="false">
      <c r="A1405" s="82" t="n">
        <f aca="false">IF(C1405="","",ROW()-6)</f>
        <v>1399</v>
      </c>
      <c r="B1405" s="80" t="s">
        <v>110</v>
      </c>
      <c r="C1405" s="113" t="s">
        <v>1688</v>
      </c>
      <c r="D1405" s="82" t="str">
        <f aca="false">IF(OR(C1405="",P1405=""),"",INDEX('CARNET DE SOUDURE'!$D$7:$D$3006,P1405)&amp;"")</f>
        <v>12</v>
      </c>
      <c r="E1405" s="114" t="str">
        <f aca="false">IF(OR(C1405="",P1405=""),"",IF(INDEX('CARNET DE SOUDURE'!$U$7:$U$3006,P1405)="","",INDEX('CARNET DE SOUDURE'!$U$7:$U$3006,P1405)))</f>
        <v/>
      </c>
      <c r="F1405" s="82" t="str">
        <f aca="false">IF(OR(C1405="",P1405=""),"",INDEX('CARNET DE SOUDURE'!$AP$7:$AP$3006,P1405))</f>
        <v/>
      </c>
      <c r="G1405" s="82" t="str">
        <f aca="false">IF(C1405="","",IF(P1405="","NJ INCONNU",INDEX('CARNET DE SOUDURE'!$AQ$7:$AQ$3006,P1405)))</f>
        <v>À SOUDER</v>
      </c>
      <c r="H1405" s="82" t="str">
        <f aca="false">IF(C1405="","",IF(G1405="ACCEPTÉ","OUI","NON"))</f>
        <v>NON</v>
      </c>
      <c r="I1405" s="83"/>
      <c r="J1405" s="80"/>
      <c r="K1405" s="81"/>
      <c r="L1405" s="81"/>
      <c r="M1405" s="81"/>
      <c r="N1405" s="84" t="str">
        <f aca="false">IF(C1405="","",IF(P1405="","NJ INCONNU",IF(I1405="",IF(H1405="OUI","À ENROBER",IF(G1405="À SOUDER","NON SOUDÉ","EN ATTENTE RT")),IF(L1405="R","À REPRENDRE",IF(H1405&lt;&gt;"OUI","⚠ ENROBÉ AVANT ACCEPTATION RT","ENROBÉ")))))</f>
        <v>NON SOUDÉ</v>
      </c>
      <c r="O1405" s="80"/>
      <c r="P1405" s="82" t="n">
        <f aca="false">IF(C1405="","",IFERROR(MATCH(Q1405,'CARNET DE SOUDURE'!$AW$7:$AW$3006,0),""))</f>
        <v>1399</v>
      </c>
      <c r="Q1405" s="82" t="str">
        <f aca="false">IF(C1405="","",B1405&amp;"|"&amp;C1405)</f>
        <v>MFD-ISW → MFD-CPF|JN°1165</v>
      </c>
    </row>
    <row r="1406" customFormat="false" ht="74.6" hidden="false" customHeight="false" outlineLevel="0" collapsed="false">
      <c r="A1406" s="82" t="n">
        <f aca="false">IF(C1406="","",ROW()-6)</f>
        <v>1400</v>
      </c>
      <c r="B1406" s="80" t="s">
        <v>110</v>
      </c>
      <c r="C1406" s="113" t="s">
        <v>1689</v>
      </c>
      <c r="D1406" s="82" t="str">
        <f aca="false">IF(OR(C1406="",P1406=""),"",INDEX('CARNET DE SOUDURE'!$D$7:$D$3006,P1406)&amp;"")</f>
        <v>12</v>
      </c>
      <c r="E1406" s="114" t="str">
        <f aca="false">IF(OR(C1406="",P1406=""),"",IF(INDEX('CARNET DE SOUDURE'!$U$7:$U$3006,P1406)="","",INDEX('CARNET DE SOUDURE'!$U$7:$U$3006,P1406)))</f>
        <v/>
      </c>
      <c r="F1406" s="82" t="str">
        <f aca="false">IF(OR(C1406="",P1406=""),"",INDEX('CARNET DE SOUDURE'!$AP$7:$AP$3006,P1406))</f>
        <v/>
      </c>
      <c r="G1406" s="82" t="str">
        <f aca="false">IF(C1406="","",IF(P1406="","NJ INCONNU",INDEX('CARNET DE SOUDURE'!$AQ$7:$AQ$3006,P1406)))</f>
        <v>À SOUDER</v>
      </c>
      <c r="H1406" s="82" t="str">
        <f aca="false">IF(C1406="","",IF(G1406="ACCEPTÉ","OUI","NON"))</f>
        <v>NON</v>
      </c>
      <c r="I1406" s="83"/>
      <c r="J1406" s="80"/>
      <c r="K1406" s="81"/>
      <c r="L1406" s="81"/>
      <c r="M1406" s="81"/>
      <c r="N1406" s="84" t="str">
        <f aca="false">IF(C1406="","",IF(P1406="","NJ INCONNU",IF(I1406="",IF(H1406="OUI","À ENROBER",IF(G1406="À SOUDER","NON SOUDÉ","EN ATTENTE RT")),IF(L1406="R","À REPRENDRE",IF(H1406&lt;&gt;"OUI","⚠ ENROBÉ AVANT ACCEPTATION RT","ENROBÉ")))))</f>
        <v>NON SOUDÉ</v>
      </c>
      <c r="O1406" s="80"/>
      <c r="P1406" s="82" t="n">
        <f aca="false">IF(C1406="","",IFERROR(MATCH(Q1406,'CARNET DE SOUDURE'!$AW$7:$AW$3006,0),""))</f>
        <v>1400</v>
      </c>
      <c r="Q1406" s="82" t="str">
        <f aca="false">IF(C1406="","",B1406&amp;"|"&amp;C1406)</f>
        <v>MFD-ISW → MFD-CPF|JN°1166</v>
      </c>
    </row>
    <row r="1407" customFormat="false" ht="74.6" hidden="false" customHeight="false" outlineLevel="0" collapsed="false">
      <c r="A1407" s="82" t="n">
        <f aca="false">IF(C1407="","",ROW()-6)</f>
        <v>1401</v>
      </c>
      <c r="B1407" s="80" t="s">
        <v>110</v>
      </c>
      <c r="C1407" s="113" t="s">
        <v>1690</v>
      </c>
      <c r="D1407" s="82" t="str">
        <f aca="false">IF(OR(C1407="",P1407=""),"",INDEX('CARNET DE SOUDURE'!$D$7:$D$3006,P1407)&amp;"")</f>
        <v>12</v>
      </c>
      <c r="E1407" s="114" t="str">
        <f aca="false">IF(OR(C1407="",P1407=""),"",IF(INDEX('CARNET DE SOUDURE'!$U$7:$U$3006,P1407)="","",INDEX('CARNET DE SOUDURE'!$U$7:$U$3006,P1407)))</f>
        <v/>
      </c>
      <c r="F1407" s="82" t="str">
        <f aca="false">IF(OR(C1407="",P1407=""),"",INDEX('CARNET DE SOUDURE'!$AP$7:$AP$3006,P1407))</f>
        <v/>
      </c>
      <c r="G1407" s="82" t="str">
        <f aca="false">IF(C1407="","",IF(P1407="","NJ INCONNU",INDEX('CARNET DE SOUDURE'!$AQ$7:$AQ$3006,P1407)))</f>
        <v>À SOUDER</v>
      </c>
      <c r="H1407" s="82" t="str">
        <f aca="false">IF(C1407="","",IF(G1407="ACCEPTÉ","OUI","NON"))</f>
        <v>NON</v>
      </c>
      <c r="I1407" s="83"/>
      <c r="J1407" s="80"/>
      <c r="K1407" s="81"/>
      <c r="L1407" s="81"/>
      <c r="M1407" s="81"/>
      <c r="N1407" s="84" t="str">
        <f aca="false">IF(C1407="","",IF(P1407="","NJ INCONNU",IF(I1407="",IF(H1407="OUI","À ENROBER",IF(G1407="À SOUDER","NON SOUDÉ","EN ATTENTE RT")),IF(L1407="R","À REPRENDRE",IF(H1407&lt;&gt;"OUI","⚠ ENROBÉ AVANT ACCEPTATION RT","ENROBÉ")))))</f>
        <v>NON SOUDÉ</v>
      </c>
      <c r="O1407" s="80"/>
      <c r="P1407" s="82" t="n">
        <f aca="false">IF(C1407="","",IFERROR(MATCH(Q1407,'CARNET DE SOUDURE'!$AW$7:$AW$3006,0),""))</f>
        <v>1401</v>
      </c>
      <c r="Q1407" s="82" t="str">
        <f aca="false">IF(C1407="","",B1407&amp;"|"&amp;C1407)</f>
        <v>MFD-ISW → MFD-CPF|JN°1167</v>
      </c>
    </row>
    <row r="1408" customFormat="false" ht="74.6" hidden="false" customHeight="false" outlineLevel="0" collapsed="false">
      <c r="A1408" s="82" t="n">
        <f aca="false">IF(C1408="","",ROW()-6)</f>
        <v>1402</v>
      </c>
      <c r="B1408" s="80" t="s">
        <v>110</v>
      </c>
      <c r="C1408" s="113" t="s">
        <v>1691</v>
      </c>
      <c r="D1408" s="82" t="str">
        <f aca="false">IF(OR(C1408="",P1408=""),"",INDEX('CARNET DE SOUDURE'!$D$7:$D$3006,P1408)&amp;"")</f>
        <v>12</v>
      </c>
      <c r="E1408" s="114" t="str">
        <f aca="false">IF(OR(C1408="",P1408=""),"",IF(INDEX('CARNET DE SOUDURE'!$U$7:$U$3006,P1408)="","",INDEX('CARNET DE SOUDURE'!$U$7:$U$3006,P1408)))</f>
        <v/>
      </c>
      <c r="F1408" s="82" t="str">
        <f aca="false">IF(OR(C1408="",P1408=""),"",INDEX('CARNET DE SOUDURE'!$AP$7:$AP$3006,P1408))</f>
        <v/>
      </c>
      <c r="G1408" s="82" t="str">
        <f aca="false">IF(C1408="","",IF(P1408="","NJ INCONNU",INDEX('CARNET DE SOUDURE'!$AQ$7:$AQ$3006,P1408)))</f>
        <v>À SOUDER</v>
      </c>
      <c r="H1408" s="82" t="str">
        <f aca="false">IF(C1408="","",IF(G1408="ACCEPTÉ","OUI","NON"))</f>
        <v>NON</v>
      </c>
      <c r="I1408" s="83"/>
      <c r="J1408" s="80"/>
      <c r="K1408" s="81"/>
      <c r="L1408" s="81"/>
      <c r="M1408" s="81"/>
      <c r="N1408" s="84" t="str">
        <f aca="false">IF(C1408="","",IF(P1408="","NJ INCONNU",IF(I1408="",IF(H1408="OUI","À ENROBER",IF(G1408="À SOUDER","NON SOUDÉ","EN ATTENTE RT")),IF(L1408="R","À REPRENDRE",IF(H1408&lt;&gt;"OUI","⚠ ENROBÉ AVANT ACCEPTATION RT","ENROBÉ")))))</f>
        <v>NON SOUDÉ</v>
      </c>
      <c r="O1408" s="80"/>
      <c r="P1408" s="82" t="n">
        <f aca="false">IF(C1408="","",IFERROR(MATCH(Q1408,'CARNET DE SOUDURE'!$AW$7:$AW$3006,0),""))</f>
        <v>1402</v>
      </c>
      <c r="Q1408" s="82" t="str">
        <f aca="false">IF(C1408="","",B1408&amp;"|"&amp;C1408)</f>
        <v>MFD-ISW → MFD-CPF|JN°1168</v>
      </c>
    </row>
    <row r="1409" customFormat="false" ht="74.6" hidden="false" customHeight="false" outlineLevel="0" collapsed="false">
      <c r="A1409" s="82" t="n">
        <f aca="false">IF(C1409="","",ROW()-6)</f>
        <v>1403</v>
      </c>
      <c r="B1409" s="80" t="s">
        <v>110</v>
      </c>
      <c r="C1409" s="113" t="s">
        <v>1692</v>
      </c>
      <c r="D1409" s="82" t="str">
        <f aca="false">IF(OR(C1409="",P1409=""),"",INDEX('CARNET DE SOUDURE'!$D$7:$D$3006,P1409)&amp;"")</f>
        <v>12</v>
      </c>
      <c r="E1409" s="114" t="str">
        <f aca="false">IF(OR(C1409="",P1409=""),"",IF(INDEX('CARNET DE SOUDURE'!$U$7:$U$3006,P1409)="","",INDEX('CARNET DE SOUDURE'!$U$7:$U$3006,P1409)))</f>
        <v/>
      </c>
      <c r="F1409" s="82" t="str">
        <f aca="false">IF(OR(C1409="",P1409=""),"",INDEX('CARNET DE SOUDURE'!$AP$7:$AP$3006,P1409))</f>
        <v/>
      </c>
      <c r="G1409" s="82" t="str">
        <f aca="false">IF(C1409="","",IF(P1409="","NJ INCONNU",INDEX('CARNET DE SOUDURE'!$AQ$7:$AQ$3006,P1409)))</f>
        <v>À SOUDER</v>
      </c>
      <c r="H1409" s="82" t="str">
        <f aca="false">IF(C1409="","",IF(G1409="ACCEPTÉ","OUI","NON"))</f>
        <v>NON</v>
      </c>
      <c r="I1409" s="83"/>
      <c r="J1409" s="80"/>
      <c r="K1409" s="81"/>
      <c r="L1409" s="81"/>
      <c r="M1409" s="81"/>
      <c r="N1409" s="84" t="str">
        <f aca="false">IF(C1409="","",IF(P1409="","NJ INCONNU",IF(I1409="",IF(H1409="OUI","À ENROBER",IF(G1409="À SOUDER","NON SOUDÉ","EN ATTENTE RT")),IF(L1409="R","À REPRENDRE",IF(H1409&lt;&gt;"OUI","⚠ ENROBÉ AVANT ACCEPTATION RT","ENROBÉ")))))</f>
        <v>NON SOUDÉ</v>
      </c>
      <c r="O1409" s="80"/>
      <c r="P1409" s="82" t="n">
        <f aca="false">IF(C1409="","",IFERROR(MATCH(Q1409,'CARNET DE SOUDURE'!$AW$7:$AW$3006,0),""))</f>
        <v>1403</v>
      </c>
      <c r="Q1409" s="82" t="str">
        <f aca="false">IF(C1409="","",B1409&amp;"|"&amp;C1409)</f>
        <v>MFD-ISW → MFD-CPF|JN°1169</v>
      </c>
    </row>
    <row r="1410" customFormat="false" ht="74.6" hidden="false" customHeight="false" outlineLevel="0" collapsed="false">
      <c r="A1410" s="82" t="n">
        <f aca="false">IF(C1410="","",ROW()-6)</f>
        <v>1404</v>
      </c>
      <c r="B1410" s="80" t="s">
        <v>110</v>
      </c>
      <c r="C1410" s="113" t="s">
        <v>1693</v>
      </c>
      <c r="D1410" s="82" t="str">
        <f aca="false">IF(OR(C1410="",P1410=""),"",INDEX('CARNET DE SOUDURE'!$D$7:$D$3006,P1410)&amp;"")</f>
        <v>12</v>
      </c>
      <c r="E1410" s="114" t="str">
        <f aca="false">IF(OR(C1410="",P1410=""),"",IF(INDEX('CARNET DE SOUDURE'!$U$7:$U$3006,P1410)="","",INDEX('CARNET DE SOUDURE'!$U$7:$U$3006,P1410)))</f>
        <v/>
      </c>
      <c r="F1410" s="82" t="str">
        <f aca="false">IF(OR(C1410="",P1410=""),"",INDEX('CARNET DE SOUDURE'!$AP$7:$AP$3006,P1410))</f>
        <v/>
      </c>
      <c r="G1410" s="82" t="str">
        <f aca="false">IF(C1410="","",IF(P1410="","NJ INCONNU",INDEX('CARNET DE SOUDURE'!$AQ$7:$AQ$3006,P1410)))</f>
        <v>À SOUDER</v>
      </c>
      <c r="H1410" s="82" t="str">
        <f aca="false">IF(C1410="","",IF(G1410="ACCEPTÉ","OUI","NON"))</f>
        <v>NON</v>
      </c>
      <c r="I1410" s="83"/>
      <c r="J1410" s="80"/>
      <c r="K1410" s="81"/>
      <c r="L1410" s="81"/>
      <c r="M1410" s="81"/>
      <c r="N1410" s="84" t="str">
        <f aca="false">IF(C1410="","",IF(P1410="","NJ INCONNU",IF(I1410="",IF(H1410="OUI","À ENROBER",IF(G1410="À SOUDER","NON SOUDÉ","EN ATTENTE RT")),IF(L1410="R","À REPRENDRE",IF(H1410&lt;&gt;"OUI","⚠ ENROBÉ AVANT ACCEPTATION RT","ENROBÉ")))))</f>
        <v>NON SOUDÉ</v>
      </c>
      <c r="O1410" s="80"/>
      <c r="P1410" s="82" t="n">
        <f aca="false">IF(C1410="","",IFERROR(MATCH(Q1410,'CARNET DE SOUDURE'!$AW$7:$AW$3006,0),""))</f>
        <v>1404</v>
      </c>
      <c r="Q1410" s="82" t="str">
        <f aca="false">IF(C1410="","",B1410&amp;"|"&amp;C1410)</f>
        <v>MFD-ISW → MFD-CPF|JN°1170</v>
      </c>
    </row>
    <row r="1411" customFormat="false" ht="74.6" hidden="false" customHeight="false" outlineLevel="0" collapsed="false">
      <c r="A1411" s="82" t="n">
        <f aca="false">IF(C1411="","",ROW()-6)</f>
        <v>1405</v>
      </c>
      <c r="B1411" s="80" t="s">
        <v>110</v>
      </c>
      <c r="C1411" s="113" t="s">
        <v>1694</v>
      </c>
      <c r="D1411" s="82" t="str">
        <f aca="false">IF(OR(C1411="",P1411=""),"",INDEX('CARNET DE SOUDURE'!$D$7:$D$3006,P1411)&amp;"")</f>
        <v>12</v>
      </c>
      <c r="E1411" s="114" t="str">
        <f aca="false">IF(OR(C1411="",P1411=""),"",IF(INDEX('CARNET DE SOUDURE'!$U$7:$U$3006,P1411)="","",INDEX('CARNET DE SOUDURE'!$U$7:$U$3006,P1411)))</f>
        <v/>
      </c>
      <c r="F1411" s="82" t="str">
        <f aca="false">IF(OR(C1411="",P1411=""),"",INDEX('CARNET DE SOUDURE'!$AP$7:$AP$3006,P1411))</f>
        <v/>
      </c>
      <c r="G1411" s="82" t="str">
        <f aca="false">IF(C1411="","",IF(P1411="","NJ INCONNU",INDEX('CARNET DE SOUDURE'!$AQ$7:$AQ$3006,P1411)))</f>
        <v>À SOUDER</v>
      </c>
      <c r="H1411" s="82" t="str">
        <f aca="false">IF(C1411="","",IF(G1411="ACCEPTÉ","OUI","NON"))</f>
        <v>NON</v>
      </c>
      <c r="I1411" s="83"/>
      <c r="J1411" s="80"/>
      <c r="K1411" s="81"/>
      <c r="L1411" s="81"/>
      <c r="M1411" s="81"/>
      <c r="N1411" s="84" t="str">
        <f aca="false">IF(C1411="","",IF(P1411="","NJ INCONNU",IF(I1411="",IF(H1411="OUI","À ENROBER",IF(G1411="À SOUDER","NON SOUDÉ","EN ATTENTE RT")),IF(L1411="R","À REPRENDRE",IF(H1411&lt;&gt;"OUI","⚠ ENROBÉ AVANT ACCEPTATION RT","ENROBÉ")))))</f>
        <v>NON SOUDÉ</v>
      </c>
      <c r="O1411" s="80"/>
      <c r="P1411" s="82" t="n">
        <f aca="false">IF(C1411="","",IFERROR(MATCH(Q1411,'CARNET DE SOUDURE'!$AW$7:$AW$3006,0),""))</f>
        <v>1405</v>
      </c>
      <c r="Q1411" s="82" t="str">
        <f aca="false">IF(C1411="","",B1411&amp;"|"&amp;C1411)</f>
        <v>MFD-ISW → MFD-CPF|JN°1171</v>
      </c>
    </row>
    <row r="1412" customFormat="false" ht="74.6" hidden="false" customHeight="false" outlineLevel="0" collapsed="false">
      <c r="A1412" s="82" t="n">
        <f aca="false">IF(C1412="","",ROW()-6)</f>
        <v>1406</v>
      </c>
      <c r="B1412" s="80" t="s">
        <v>110</v>
      </c>
      <c r="C1412" s="113" t="s">
        <v>1695</v>
      </c>
      <c r="D1412" s="82" t="str">
        <f aca="false">IF(OR(C1412="",P1412=""),"",INDEX('CARNET DE SOUDURE'!$D$7:$D$3006,P1412)&amp;"")</f>
        <v>12</v>
      </c>
      <c r="E1412" s="114" t="str">
        <f aca="false">IF(OR(C1412="",P1412=""),"",IF(INDEX('CARNET DE SOUDURE'!$U$7:$U$3006,P1412)="","",INDEX('CARNET DE SOUDURE'!$U$7:$U$3006,P1412)))</f>
        <v/>
      </c>
      <c r="F1412" s="82" t="str">
        <f aca="false">IF(OR(C1412="",P1412=""),"",INDEX('CARNET DE SOUDURE'!$AP$7:$AP$3006,P1412))</f>
        <v/>
      </c>
      <c r="G1412" s="82" t="str">
        <f aca="false">IF(C1412="","",IF(P1412="","NJ INCONNU",INDEX('CARNET DE SOUDURE'!$AQ$7:$AQ$3006,P1412)))</f>
        <v>À SOUDER</v>
      </c>
      <c r="H1412" s="82" t="str">
        <f aca="false">IF(C1412="","",IF(G1412="ACCEPTÉ","OUI","NON"))</f>
        <v>NON</v>
      </c>
      <c r="I1412" s="83"/>
      <c r="J1412" s="80"/>
      <c r="K1412" s="81"/>
      <c r="L1412" s="81"/>
      <c r="M1412" s="81"/>
      <c r="N1412" s="84" t="str">
        <f aca="false">IF(C1412="","",IF(P1412="","NJ INCONNU",IF(I1412="",IF(H1412="OUI","À ENROBER",IF(G1412="À SOUDER","NON SOUDÉ","EN ATTENTE RT")),IF(L1412="R","À REPRENDRE",IF(H1412&lt;&gt;"OUI","⚠ ENROBÉ AVANT ACCEPTATION RT","ENROBÉ")))))</f>
        <v>NON SOUDÉ</v>
      </c>
      <c r="O1412" s="80"/>
      <c r="P1412" s="82" t="n">
        <f aca="false">IF(C1412="","",IFERROR(MATCH(Q1412,'CARNET DE SOUDURE'!$AW$7:$AW$3006,0),""))</f>
        <v>1406</v>
      </c>
      <c r="Q1412" s="82" t="str">
        <f aca="false">IF(C1412="","",B1412&amp;"|"&amp;C1412)</f>
        <v>MFD-ISW → MFD-CPF|JN°1172</v>
      </c>
    </row>
    <row r="1413" customFormat="false" ht="74.6" hidden="false" customHeight="false" outlineLevel="0" collapsed="false">
      <c r="A1413" s="82" t="n">
        <f aca="false">IF(C1413="","",ROW()-6)</f>
        <v>1407</v>
      </c>
      <c r="B1413" s="80" t="s">
        <v>110</v>
      </c>
      <c r="C1413" s="113" t="s">
        <v>1696</v>
      </c>
      <c r="D1413" s="82" t="str">
        <f aca="false">IF(OR(C1413="",P1413=""),"",INDEX('CARNET DE SOUDURE'!$D$7:$D$3006,P1413)&amp;"")</f>
        <v>12</v>
      </c>
      <c r="E1413" s="114" t="str">
        <f aca="false">IF(OR(C1413="",P1413=""),"",IF(INDEX('CARNET DE SOUDURE'!$U$7:$U$3006,P1413)="","",INDEX('CARNET DE SOUDURE'!$U$7:$U$3006,P1413)))</f>
        <v/>
      </c>
      <c r="F1413" s="82" t="str">
        <f aca="false">IF(OR(C1413="",P1413=""),"",INDEX('CARNET DE SOUDURE'!$AP$7:$AP$3006,P1413))</f>
        <v/>
      </c>
      <c r="G1413" s="82" t="str">
        <f aca="false">IF(C1413="","",IF(P1413="","NJ INCONNU",INDEX('CARNET DE SOUDURE'!$AQ$7:$AQ$3006,P1413)))</f>
        <v>À SOUDER</v>
      </c>
      <c r="H1413" s="82" t="str">
        <f aca="false">IF(C1413="","",IF(G1413="ACCEPTÉ","OUI","NON"))</f>
        <v>NON</v>
      </c>
      <c r="I1413" s="83"/>
      <c r="J1413" s="80"/>
      <c r="K1413" s="81"/>
      <c r="L1413" s="81"/>
      <c r="M1413" s="81"/>
      <c r="N1413" s="84" t="str">
        <f aca="false">IF(C1413="","",IF(P1413="","NJ INCONNU",IF(I1413="",IF(H1413="OUI","À ENROBER",IF(G1413="À SOUDER","NON SOUDÉ","EN ATTENTE RT")),IF(L1413="R","À REPRENDRE",IF(H1413&lt;&gt;"OUI","⚠ ENROBÉ AVANT ACCEPTATION RT","ENROBÉ")))))</f>
        <v>NON SOUDÉ</v>
      </c>
      <c r="O1413" s="80"/>
      <c r="P1413" s="82" t="n">
        <f aca="false">IF(C1413="","",IFERROR(MATCH(Q1413,'CARNET DE SOUDURE'!$AW$7:$AW$3006,0),""))</f>
        <v>1407</v>
      </c>
      <c r="Q1413" s="82" t="str">
        <f aca="false">IF(C1413="","",B1413&amp;"|"&amp;C1413)</f>
        <v>MFD-ISW → MFD-CPF|JN°1173</v>
      </c>
    </row>
    <row r="1414" customFormat="false" ht="74.6" hidden="false" customHeight="false" outlineLevel="0" collapsed="false">
      <c r="A1414" s="82" t="n">
        <f aca="false">IF(C1414="","",ROW()-6)</f>
        <v>1408</v>
      </c>
      <c r="B1414" s="80" t="s">
        <v>110</v>
      </c>
      <c r="C1414" s="113" t="s">
        <v>1697</v>
      </c>
      <c r="D1414" s="82" t="str">
        <f aca="false">IF(OR(C1414="",P1414=""),"",INDEX('CARNET DE SOUDURE'!$D$7:$D$3006,P1414)&amp;"")</f>
        <v>12</v>
      </c>
      <c r="E1414" s="114" t="str">
        <f aca="false">IF(OR(C1414="",P1414=""),"",IF(INDEX('CARNET DE SOUDURE'!$U$7:$U$3006,P1414)="","",INDEX('CARNET DE SOUDURE'!$U$7:$U$3006,P1414)))</f>
        <v/>
      </c>
      <c r="F1414" s="82" t="str">
        <f aca="false">IF(OR(C1414="",P1414=""),"",INDEX('CARNET DE SOUDURE'!$AP$7:$AP$3006,P1414))</f>
        <v/>
      </c>
      <c r="G1414" s="82" t="str">
        <f aca="false">IF(C1414="","",IF(P1414="","NJ INCONNU",INDEX('CARNET DE SOUDURE'!$AQ$7:$AQ$3006,P1414)))</f>
        <v>À SOUDER</v>
      </c>
      <c r="H1414" s="82" t="str">
        <f aca="false">IF(C1414="","",IF(G1414="ACCEPTÉ","OUI","NON"))</f>
        <v>NON</v>
      </c>
      <c r="I1414" s="83"/>
      <c r="J1414" s="80"/>
      <c r="K1414" s="81"/>
      <c r="L1414" s="81"/>
      <c r="M1414" s="81"/>
      <c r="N1414" s="84" t="str">
        <f aca="false">IF(C1414="","",IF(P1414="","NJ INCONNU",IF(I1414="",IF(H1414="OUI","À ENROBER",IF(G1414="À SOUDER","NON SOUDÉ","EN ATTENTE RT")),IF(L1414="R","À REPRENDRE",IF(H1414&lt;&gt;"OUI","⚠ ENROBÉ AVANT ACCEPTATION RT","ENROBÉ")))))</f>
        <v>NON SOUDÉ</v>
      </c>
      <c r="O1414" s="80"/>
      <c r="P1414" s="82" t="n">
        <f aca="false">IF(C1414="","",IFERROR(MATCH(Q1414,'CARNET DE SOUDURE'!$AW$7:$AW$3006,0),""))</f>
        <v>1408</v>
      </c>
      <c r="Q1414" s="82" t="str">
        <f aca="false">IF(C1414="","",B1414&amp;"|"&amp;C1414)</f>
        <v>MFD-ISW → MFD-CPF|JN°1174</v>
      </c>
    </row>
    <row r="1415" customFormat="false" ht="74.6" hidden="false" customHeight="false" outlineLevel="0" collapsed="false">
      <c r="A1415" s="82" t="n">
        <f aca="false">IF(C1415="","",ROW()-6)</f>
        <v>1409</v>
      </c>
      <c r="B1415" s="80" t="s">
        <v>110</v>
      </c>
      <c r="C1415" s="113" t="s">
        <v>1698</v>
      </c>
      <c r="D1415" s="82" t="str">
        <f aca="false">IF(OR(C1415="",P1415=""),"",INDEX('CARNET DE SOUDURE'!$D$7:$D$3006,P1415)&amp;"")</f>
        <v>12</v>
      </c>
      <c r="E1415" s="114" t="str">
        <f aca="false">IF(OR(C1415="",P1415=""),"",IF(INDEX('CARNET DE SOUDURE'!$U$7:$U$3006,P1415)="","",INDEX('CARNET DE SOUDURE'!$U$7:$U$3006,P1415)))</f>
        <v/>
      </c>
      <c r="F1415" s="82" t="str">
        <f aca="false">IF(OR(C1415="",P1415=""),"",INDEX('CARNET DE SOUDURE'!$AP$7:$AP$3006,P1415))</f>
        <v/>
      </c>
      <c r="G1415" s="82" t="str">
        <f aca="false">IF(C1415="","",IF(P1415="","NJ INCONNU",INDEX('CARNET DE SOUDURE'!$AQ$7:$AQ$3006,P1415)))</f>
        <v>À SOUDER</v>
      </c>
      <c r="H1415" s="82" t="str">
        <f aca="false">IF(C1415="","",IF(G1415="ACCEPTÉ","OUI","NON"))</f>
        <v>NON</v>
      </c>
      <c r="I1415" s="83"/>
      <c r="J1415" s="80"/>
      <c r="K1415" s="81"/>
      <c r="L1415" s="81"/>
      <c r="M1415" s="81"/>
      <c r="N1415" s="84" t="str">
        <f aca="false">IF(C1415="","",IF(P1415="","NJ INCONNU",IF(I1415="",IF(H1415="OUI","À ENROBER",IF(G1415="À SOUDER","NON SOUDÉ","EN ATTENTE RT")),IF(L1415="R","À REPRENDRE",IF(H1415&lt;&gt;"OUI","⚠ ENROBÉ AVANT ACCEPTATION RT","ENROBÉ")))))</f>
        <v>NON SOUDÉ</v>
      </c>
      <c r="O1415" s="80"/>
      <c r="P1415" s="82" t="n">
        <f aca="false">IF(C1415="","",IFERROR(MATCH(Q1415,'CARNET DE SOUDURE'!$AW$7:$AW$3006,0),""))</f>
        <v>1409</v>
      </c>
      <c r="Q1415" s="82" t="str">
        <f aca="false">IF(C1415="","",B1415&amp;"|"&amp;C1415)</f>
        <v>MFD-ISW → MFD-CPF|JN°1175</v>
      </c>
    </row>
    <row r="1416" customFormat="false" ht="74.6" hidden="false" customHeight="false" outlineLevel="0" collapsed="false">
      <c r="A1416" s="82" t="n">
        <f aca="false">IF(C1416="","",ROW()-6)</f>
        <v>1410</v>
      </c>
      <c r="B1416" s="80" t="s">
        <v>110</v>
      </c>
      <c r="C1416" s="113" t="s">
        <v>1699</v>
      </c>
      <c r="D1416" s="82" t="str">
        <f aca="false">IF(OR(C1416="",P1416=""),"",INDEX('CARNET DE SOUDURE'!$D$7:$D$3006,P1416)&amp;"")</f>
        <v>12</v>
      </c>
      <c r="E1416" s="114" t="str">
        <f aca="false">IF(OR(C1416="",P1416=""),"",IF(INDEX('CARNET DE SOUDURE'!$U$7:$U$3006,P1416)="","",INDEX('CARNET DE SOUDURE'!$U$7:$U$3006,P1416)))</f>
        <v/>
      </c>
      <c r="F1416" s="82" t="str">
        <f aca="false">IF(OR(C1416="",P1416=""),"",INDEX('CARNET DE SOUDURE'!$AP$7:$AP$3006,P1416))</f>
        <v/>
      </c>
      <c r="G1416" s="82" t="str">
        <f aca="false">IF(C1416="","",IF(P1416="","NJ INCONNU",INDEX('CARNET DE SOUDURE'!$AQ$7:$AQ$3006,P1416)))</f>
        <v>À SOUDER</v>
      </c>
      <c r="H1416" s="82" t="str">
        <f aca="false">IF(C1416="","",IF(G1416="ACCEPTÉ","OUI","NON"))</f>
        <v>NON</v>
      </c>
      <c r="I1416" s="83"/>
      <c r="J1416" s="80"/>
      <c r="K1416" s="81"/>
      <c r="L1416" s="81"/>
      <c r="M1416" s="81"/>
      <c r="N1416" s="84" t="str">
        <f aca="false">IF(C1416="","",IF(P1416="","NJ INCONNU",IF(I1416="",IF(H1416="OUI","À ENROBER",IF(G1416="À SOUDER","NON SOUDÉ","EN ATTENTE RT")),IF(L1416="R","À REPRENDRE",IF(H1416&lt;&gt;"OUI","⚠ ENROBÉ AVANT ACCEPTATION RT","ENROBÉ")))))</f>
        <v>NON SOUDÉ</v>
      </c>
      <c r="O1416" s="80"/>
      <c r="P1416" s="82" t="n">
        <f aca="false">IF(C1416="","",IFERROR(MATCH(Q1416,'CARNET DE SOUDURE'!$AW$7:$AW$3006,0),""))</f>
        <v>1410</v>
      </c>
      <c r="Q1416" s="82" t="str">
        <f aca="false">IF(C1416="","",B1416&amp;"|"&amp;C1416)</f>
        <v>MFD-ISW → MFD-CPF|JN°1176</v>
      </c>
    </row>
    <row r="1417" customFormat="false" ht="74.6" hidden="false" customHeight="false" outlineLevel="0" collapsed="false">
      <c r="A1417" s="82" t="n">
        <f aca="false">IF(C1417="","",ROW()-6)</f>
        <v>1411</v>
      </c>
      <c r="B1417" s="80" t="s">
        <v>110</v>
      </c>
      <c r="C1417" s="113" t="s">
        <v>1700</v>
      </c>
      <c r="D1417" s="82" t="str">
        <f aca="false">IF(OR(C1417="",P1417=""),"",INDEX('CARNET DE SOUDURE'!$D$7:$D$3006,P1417)&amp;"")</f>
        <v>12</v>
      </c>
      <c r="E1417" s="114" t="str">
        <f aca="false">IF(OR(C1417="",P1417=""),"",IF(INDEX('CARNET DE SOUDURE'!$U$7:$U$3006,P1417)="","",INDEX('CARNET DE SOUDURE'!$U$7:$U$3006,P1417)))</f>
        <v/>
      </c>
      <c r="F1417" s="82" t="str">
        <f aca="false">IF(OR(C1417="",P1417=""),"",INDEX('CARNET DE SOUDURE'!$AP$7:$AP$3006,P1417))</f>
        <v/>
      </c>
      <c r="G1417" s="82" t="str">
        <f aca="false">IF(C1417="","",IF(P1417="","NJ INCONNU",INDEX('CARNET DE SOUDURE'!$AQ$7:$AQ$3006,P1417)))</f>
        <v>À SOUDER</v>
      </c>
      <c r="H1417" s="82" t="str">
        <f aca="false">IF(C1417="","",IF(G1417="ACCEPTÉ","OUI","NON"))</f>
        <v>NON</v>
      </c>
      <c r="I1417" s="83"/>
      <c r="J1417" s="80"/>
      <c r="K1417" s="81"/>
      <c r="L1417" s="81"/>
      <c r="M1417" s="81"/>
      <c r="N1417" s="84" t="str">
        <f aca="false">IF(C1417="","",IF(P1417="","NJ INCONNU",IF(I1417="",IF(H1417="OUI","À ENROBER",IF(G1417="À SOUDER","NON SOUDÉ","EN ATTENTE RT")),IF(L1417="R","À REPRENDRE",IF(H1417&lt;&gt;"OUI","⚠ ENROBÉ AVANT ACCEPTATION RT","ENROBÉ")))))</f>
        <v>NON SOUDÉ</v>
      </c>
      <c r="O1417" s="80"/>
      <c r="P1417" s="82" t="n">
        <f aca="false">IF(C1417="","",IFERROR(MATCH(Q1417,'CARNET DE SOUDURE'!$AW$7:$AW$3006,0),""))</f>
        <v>1411</v>
      </c>
      <c r="Q1417" s="82" t="str">
        <f aca="false">IF(C1417="","",B1417&amp;"|"&amp;C1417)</f>
        <v>MFD-ISW → MFD-CPF|JN°1177</v>
      </c>
    </row>
    <row r="1418" customFormat="false" ht="74.6" hidden="false" customHeight="false" outlineLevel="0" collapsed="false">
      <c r="A1418" s="82" t="n">
        <f aca="false">IF(C1418="","",ROW()-6)</f>
        <v>1412</v>
      </c>
      <c r="B1418" s="80" t="s">
        <v>110</v>
      </c>
      <c r="C1418" s="113" t="s">
        <v>1701</v>
      </c>
      <c r="D1418" s="82" t="str">
        <f aca="false">IF(OR(C1418="",P1418=""),"",INDEX('CARNET DE SOUDURE'!$D$7:$D$3006,P1418)&amp;"")</f>
        <v>12</v>
      </c>
      <c r="E1418" s="114" t="str">
        <f aca="false">IF(OR(C1418="",P1418=""),"",IF(INDEX('CARNET DE SOUDURE'!$U$7:$U$3006,P1418)="","",INDEX('CARNET DE SOUDURE'!$U$7:$U$3006,P1418)))</f>
        <v/>
      </c>
      <c r="F1418" s="82" t="str">
        <f aca="false">IF(OR(C1418="",P1418=""),"",INDEX('CARNET DE SOUDURE'!$AP$7:$AP$3006,P1418))</f>
        <v/>
      </c>
      <c r="G1418" s="82" t="str">
        <f aca="false">IF(C1418="","",IF(P1418="","NJ INCONNU",INDEX('CARNET DE SOUDURE'!$AQ$7:$AQ$3006,P1418)))</f>
        <v>À SOUDER</v>
      </c>
      <c r="H1418" s="82" t="str">
        <f aca="false">IF(C1418="","",IF(G1418="ACCEPTÉ","OUI","NON"))</f>
        <v>NON</v>
      </c>
      <c r="I1418" s="83"/>
      <c r="J1418" s="80"/>
      <c r="K1418" s="81"/>
      <c r="L1418" s="81"/>
      <c r="M1418" s="81"/>
      <c r="N1418" s="84" t="str">
        <f aca="false">IF(C1418="","",IF(P1418="","NJ INCONNU",IF(I1418="",IF(H1418="OUI","À ENROBER",IF(G1418="À SOUDER","NON SOUDÉ","EN ATTENTE RT")),IF(L1418="R","À REPRENDRE",IF(H1418&lt;&gt;"OUI","⚠ ENROBÉ AVANT ACCEPTATION RT","ENROBÉ")))))</f>
        <v>NON SOUDÉ</v>
      </c>
      <c r="O1418" s="80"/>
      <c r="P1418" s="82" t="n">
        <f aca="false">IF(C1418="","",IFERROR(MATCH(Q1418,'CARNET DE SOUDURE'!$AW$7:$AW$3006,0),""))</f>
        <v>1412</v>
      </c>
      <c r="Q1418" s="82" t="str">
        <f aca="false">IF(C1418="","",B1418&amp;"|"&amp;C1418)</f>
        <v>MFD-ISW → MFD-CPF|JN°1178</v>
      </c>
    </row>
    <row r="1419" customFormat="false" ht="74.6" hidden="false" customHeight="false" outlineLevel="0" collapsed="false">
      <c r="A1419" s="82" t="n">
        <f aca="false">IF(C1419="","",ROW()-6)</f>
        <v>1413</v>
      </c>
      <c r="B1419" s="80" t="s">
        <v>110</v>
      </c>
      <c r="C1419" s="113" t="s">
        <v>1702</v>
      </c>
      <c r="D1419" s="82" t="str">
        <f aca="false">IF(OR(C1419="",P1419=""),"",INDEX('CARNET DE SOUDURE'!$D$7:$D$3006,P1419)&amp;"")</f>
        <v>12</v>
      </c>
      <c r="E1419" s="114" t="str">
        <f aca="false">IF(OR(C1419="",P1419=""),"",IF(INDEX('CARNET DE SOUDURE'!$U$7:$U$3006,P1419)="","",INDEX('CARNET DE SOUDURE'!$U$7:$U$3006,P1419)))</f>
        <v/>
      </c>
      <c r="F1419" s="82" t="str">
        <f aca="false">IF(OR(C1419="",P1419=""),"",INDEX('CARNET DE SOUDURE'!$AP$7:$AP$3006,P1419))</f>
        <v/>
      </c>
      <c r="G1419" s="82" t="str">
        <f aca="false">IF(C1419="","",IF(P1419="","NJ INCONNU",INDEX('CARNET DE SOUDURE'!$AQ$7:$AQ$3006,P1419)))</f>
        <v>À SOUDER</v>
      </c>
      <c r="H1419" s="82" t="str">
        <f aca="false">IF(C1419="","",IF(G1419="ACCEPTÉ","OUI","NON"))</f>
        <v>NON</v>
      </c>
      <c r="I1419" s="83"/>
      <c r="J1419" s="80"/>
      <c r="K1419" s="81"/>
      <c r="L1419" s="81"/>
      <c r="M1419" s="81"/>
      <c r="N1419" s="84" t="str">
        <f aca="false">IF(C1419="","",IF(P1419="","NJ INCONNU",IF(I1419="",IF(H1419="OUI","À ENROBER",IF(G1419="À SOUDER","NON SOUDÉ","EN ATTENTE RT")),IF(L1419="R","À REPRENDRE",IF(H1419&lt;&gt;"OUI","⚠ ENROBÉ AVANT ACCEPTATION RT","ENROBÉ")))))</f>
        <v>NON SOUDÉ</v>
      </c>
      <c r="O1419" s="80"/>
      <c r="P1419" s="82" t="n">
        <f aca="false">IF(C1419="","",IFERROR(MATCH(Q1419,'CARNET DE SOUDURE'!$AW$7:$AW$3006,0),""))</f>
        <v>1413</v>
      </c>
      <c r="Q1419" s="82" t="str">
        <f aca="false">IF(C1419="","",B1419&amp;"|"&amp;C1419)</f>
        <v>MFD-ISW → MFD-CPF|JN°1179</v>
      </c>
    </row>
    <row r="1420" customFormat="false" ht="74.6" hidden="false" customHeight="false" outlineLevel="0" collapsed="false">
      <c r="A1420" s="82" t="n">
        <f aca="false">IF(C1420="","",ROW()-6)</f>
        <v>1414</v>
      </c>
      <c r="B1420" s="80" t="s">
        <v>110</v>
      </c>
      <c r="C1420" s="113" t="s">
        <v>1703</v>
      </c>
      <c r="D1420" s="82" t="str">
        <f aca="false">IF(OR(C1420="",P1420=""),"",INDEX('CARNET DE SOUDURE'!$D$7:$D$3006,P1420)&amp;"")</f>
        <v>12</v>
      </c>
      <c r="E1420" s="114" t="str">
        <f aca="false">IF(OR(C1420="",P1420=""),"",IF(INDEX('CARNET DE SOUDURE'!$U$7:$U$3006,P1420)="","",INDEX('CARNET DE SOUDURE'!$U$7:$U$3006,P1420)))</f>
        <v/>
      </c>
      <c r="F1420" s="82" t="str">
        <f aca="false">IF(OR(C1420="",P1420=""),"",INDEX('CARNET DE SOUDURE'!$AP$7:$AP$3006,P1420))</f>
        <v/>
      </c>
      <c r="G1420" s="82" t="str">
        <f aca="false">IF(C1420="","",IF(P1420="","NJ INCONNU",INDEX('CARNET DE SOUDURE'!$AQ$7:$AQ$3006,P1420)))</f>
        <v>À SOUDER</v>
      </c>
      <c r="H1420" s="82" t="str">
        <f aca="false">IF(C1420="","",IF(G1420="ACCEPTÉ","OUI","NON"))</f>
        <v>NON</v>
      </c>
      <c r="I1420" s="83"/>
      <c r="J1420" s="80"/>
      <c r="K1420" s="81"/>
      <c r="L1420" s="81"/>
      <c r="M1420" s="81"/>
      <c r="N1420" s="84" t="str">
        <f aca="false">IF(C1420="","",IF(P1420="","NJ INCONNU",IF(I1420="",IF(H1420="OUI","À ENROBER",IF(G1420="À SOUDER","NON SOUDÉ","EN ATTENTE RT")),IF(L1420="R","À REPRENDRE",IF(H1420&lt;&gt;"OUI","⚠ ENROBÉ AVANT ACCEPTATION RT","ENROBÉ")))))</f>
        <v>NON SOUDÉ</v>
      </c>
      <c r="O1420" s="80"/>
      <c r="P1420" s="82" t="n">
        <f aca="false">IF(C1420="","",IFERROR(MATCH(Q1420,'CARNET DE SOUDURE'!$AW$7:$AW$3006,0),""))</f>
        <v>1414</v>
      </c>
      <c r="Q1420" s="82" t="str">
        <f aca="false">IF(C1420="","",B1420&amp;"|"&amp;C1420)</f>
        <v>MFD-ISW → MFD-CPF|JN°1180</v>
      </c>
    </row>
    <row r="1421" customFormat="false" ht="74.6" hidden="false" customHeight="false" outlineLevel="0" collapsed="false">
      <c r="A1421" s="82" t="n">
        <f aca="false">IF(C1421="","",ROW()-6)</f>
        <v>1415</v>
      </c>
      <c r="B1421" s="80" t="s">
        <v>110</v>
      </c>
      <c r="C1421" s="113" t="s">
        <v>1704</v>
      </c>
      <c r="D1421" s="82" t="str">
        <f aca="false">IF(OR(C1421="",P1421=""),"",INDEX('CARNET DE SOUDURE'!$D$7:$D$3006,P1421)&amp;"")</f>
        <v>12</v>
      </c>
      <c r="E1421" s="114" t="str">
        <f aca="false">IF(OR(C1421="",P1421=""),"",IF(INDEX('CARNET DE SOUDURE'!$U$7:$U$3006,P1421)="","",INDEX('CARNET DE SOUDURE'!$U$7:$U$3006,P1421)))</f>
        <v/>
      </c>
      <c r="F1421" s="82" t="str">
        <f aca="false">IF(OR(C1421="",P1421=""),"",INDEX('CARNET DE SOUDURE'!$AP$7:$AP$3006,P1421))</f>
        <v/>
      </c>
      <c r="G1421" s="82" t="str">
        <f aca="false">IF(C1421="","",IF(P1421="","NJ INCONNU",INDEX('CARNET DE SOUDURE'!$AQ$7:$AQ$3006,P1421)))</f>
        <v>À SOUDER</v>
      </c>
      <c r="H1421" s="82" t="str">
        <f aca="false">IF(C1421="","",IF(G1421="ACCEPTÉ","OUI","NON"))</f>
        <v>NON</v>
      </c>
      <c r="I1421" s="83"/>
      <c r="J1421" s="80"/>
      <c r="K1421" s="81"/>
      <c r="L1421" s="81"/>
      <c r="M1421" s="81"/>
      <c r="N1421" s="84" t="str">
        <f aca="false">IF(C1421="","",IF(P1421="","NJ INCONNU",IF(I1421="",IF(H1421="OUI","À ENROBER",IF(G1421="À SOUDER","NON SOUDÉ","EN ATTENTE RT")),IF(L1421="R","À REPRENDRE",IF(H1421&lt;&gt;"OUI","⚠ ENROBÉ AVANT ACCEPTATION RT","ENROBÉ")))))</f>
        <v>NON SOUDÉ</v>
      </c>
      <c r="O1421" s="80"/>
      <c r="P1421" s="82" t="n">
        <f aca="false">IF(C1421="","",IFERROR(MATCH(Q1421,'CARNET DE SOUDURE'!$AW$7:$AW$3006,0),""))</f>
        <v>1415</v>
      </c>
      <c r="Q1421" s="82" t="str">
        <f aca="false">IF(C1421="","",B1421&amp;"|"&amp;C1421)</f>
        <v>MFD-ISW → MFD-CPF|JN°1181</v>
      </c>
    </row>
    <row r="1422" customFormat="false" ht="74.6" hidden="false" customHeight="false" outlineLevel="0" collapsed="false">
      <c r="A1422" s="82" t="n">
        <f aca="false">IF(C1422="","",ROW()-6)</f>
        <v>1416</v>
      </c>
      <c r="B1422" s="80" t="s">
        <v>110</v>
      </c>
      <c r="C1422" s="113" t="s">
        <v>1705</v>
      </c>
      <c r="D1422" s="82" t="str">
        <f aca="false">IF(OR(C1422="",P1422=""),"",INDEX('CARNET DE SOUDURE'!$D$7:$D$3006,P1422)&amp;"")</f>
        <v>12</v>
      </c>
      <c r="E1422" s="114" t="str">
        <f aca="false">IF(OR(C1422="",P1422=""),"",IF(INDEX('CARNET DE SOUDURE'!$U$7:$U$3006,P1422)="","",INDEX('CARNET DE SOUDURE'!$U$7:$U$3006,P1422)))</f>
        <v/>
      </c>
      <c r="F1422" s="82" t="str">
        <f aca="false">IF(OR(C1422="",P1422=""),"",INDEX('CARNET DE SOUDURE'!$AP$7:$AP$3006,P1422))</f>
        <v/>
      </c>
      <c r="G1422" s="82" t="str">
        <f aca="false">IF(C1422="","",IF(P1422="","NJ INCONNU",INDEX('CARNET DE SOUDURE'!$AQ$7:$AQ$3006,P1422)))</f>
        <v>À SOUDER</v>
      </c>
      <c r="H1422" s="82" t="str">
        <f aca="false">IF(C1422="","",IF(G1422="ACCEPTÉ","OUI","NON"))</f>
        <v>NON</v>
      </c>
      <c r="I1422" s="83"/>
      <c r="J1422" s="80"/>
      <c r="K1422" s="81"/>
      <c r="L1422" s="81"/>
      <c r="M1422" s="81"/>
      <c r="N1422" s="84" t="str">
        <f aca="false">IF(C1422="","",IF(P1422="","NJ INCONNU",IF(I1422="",IF(H1422="OUI","À ENROBER",IF(G1422="À SOUDER","NON SOUDÉ","EN ATTENTE RT")),IF(L1422="R","À REPRENDRE",IF(H1422&lt;&gt;"OUI","⚠ ENROBÉ AVANT ACCEPTATION RT","ENROBÉ")))))</f>
        <v>NON SOUDÉ</v>
      </c>
      <c r="O1422" s="80"/>
      <c r="P1422" s="82" t="n">
        <f aca="false">IF(C1422="","",IFERROR(MATCH(Q1422,'CARNET DE SOUDURE'!$AW$7:$AW$3006,0),""))</f>
        <v>1416</v>
      </c>
      <c r="Q1422" s="82" t="str">
        <f aca="false">IF(C1422="","",B1422&amp;"|"&amp;C1422)</f>
        <v>MFD-ISW → MFD-CPF|JN°1182</v>
      </c>
    </row>
    <row r="1423" customFormat="false" ht="74.6" hidden="false" customHeight="false" outlineLevel="0" collapsed="false">
      <c r="A1423" s="82" t="n">
        <f aca="false">IF(C1423="","",ROW()-6)</f>
        <v>1417</v>
      </c>
      <c r="B1423" s="80" t="s">
        <v>110</v>
      </c>
      <c r="C1423" s="113" t="s">
        <v>1706</v>
      </c>
      <c r="D1423" s="82" t="str">
        <f aca="false">IF(OR(C1423="",P1423=""),"",INDEX('CARNET DE SOUDURE'!$D$7:$D$3006,P1423)&amp;"")</f>
        <v>12</v>
      </c>
      <c r="E1423" s="114" t="str">
        <f aca="false">IF(OR(C1423="",P1423=""),"",IF(INDEX('CARNET DE SOUDURE'!$U$7:$U$3006,P1423)="","",INDEX('CARNET DE SOUDURE'!$U$7:$U$3006,P1423)))</f>
        <v/>
      </c>
      <c r="F1423" s="82" t="str">
        <f aca="false">IF(OR(C1423="",P1423=""),"",INDEX('CARNET DE SOUDURE'!$AP$7:$AP$3006,P1423))</f>
        <v/>
      </c>
      <c r="G1423" s="82" t="str">
        <f aca="false">IF(C1423="","",IF(P1423="","NJ INCONNU",INDEX('CARNET DE SOUDURE'!$AQ$7:$AQ$3006,P1423)))</f>
        <v>À SOUDER</v>
      </c>
      <c r="H1423" s="82" t="str">
        <f aca="false">IF(C1423="","",IF(G1423="ACCEPTÉ","OUI","NON"))</f>
        <v>NON</v>
      </c>
      <c r="I1423" s="83"/>
      <c r="J1423" s="80"/>
      <c r="K1423" s="81"/>
      <c r="L1423" s="81"/>
      <c r="M1423" s="81"/>
      <c r="N1423" s="84" t="str">
        <f aca="false">IF(C1423="","",IF(P1423="","NJ INCONNU",IF(I1423="",IF(H1423="OUI","À ENROBER",IF(G1423="À SOUDER","NON SOUDÉ","EN ATTENTE RT")),IF(L1423="R","À REPRENDRE",IF(H1423&lt;&gt;"OUI","⚠ ENROBÉ AVANT ACCEPTATION RT","ENROBÉ")))))</f>
        <v>NON SOUDÉ</v>
      </c>
      <c r="O1423" s="80"/>
      <c r="P1423" s="82" t="n">
        <f aca="false">IF(C1423="","",IFERROR(MATCH(Q1423,'CARNET DE SOUDURE'!$AW$7:$AW$3006,0),""))</f>
        <v>1417</v>
      </c>
      <c r="Q1423" s="82" t="str">
        <f aca="false">IF(C1423="","",B1423&amp;"|"&amp;C1423)</f>
        <v>MFD-ISW → MFD-CPF|JN°1183</v>
      </c>
    </row>
    <row r="1424" customFormat="false" ht="74.6" hidden="false" customHeight="false" outlineLevel="0" collapsed="false">
      <c r="A1424" s="82" t="n">
        <f aca="false">IF(C1424="","",ROW()-6)</f>
        <v>1418</v>
      </c>
      <c r="B1424" s="80" t="s">
        <v>110</v>
      </c>
      <c r="C1424" s="113" t="s">
        <v>1707</v>
      </c>
      <c r="D1424" s="82" t="str">
        <f aca="false">IF(OR(C1424="",P1424=""),"",INDEX('CARNET DE SOUDURE'!$D$7:$D$3006,P1424)&amp;"")</f>
        <v>12</v>
      </c>
      <c r="E1424" s="114" t="str">
        <f aca="false">IF(OR(C1424="",P1424=""),"",IF(INDEX('CARNET DE SOUDURE'!$U$7:$U$3006,P1424)="","",INDEX('CARNET DE SOUDURE'!$U$7:$U$3006,P1424)))</f>
        <v/>
      </c>
      <c r="F1424" s="82" t="str">
        <f aca="false">IF(OR(C1424="",P1424=""),"",INDEX('CARNET DE SOUDURE'!$AP$7:$AP$3006,P1424))</f>
        <v/>
      </c>
      <c r="G1424" s="82" t="str">
        <f aca="false">IF(C1424="","",IF(P1424="","NJ INCONNU",INDEX('CARNET DE SOUDURE'!$AQ$7:$AQ$3006,P1424)))</f>
        <v>À SOUDER</v>
      </c>
      <c r="H1424" s="82" t="str">
        <f aca="false">IF(C1424="","",IF(G1424="ACCEPTÉ","OUI","NON"))</f>
        <v>NON</v>
      </c>
      <c r="I1424" s="83"/>
      <c r="J1424" s="80"/>
      <c r="K1424" s="81"/>
      <c r="L1424" s="81"/>
      <c r="M1424" s="81"/>
      <c r="N1424" s="84" t="str">
        <f aca="false">IF(C1424="","",IF(P1424="","NJ INCONNU",IF(I1424="",IF(H1424="OUI","À ENROBER",IF(G1424="À SOUDER","NON SOUDÉ","EN ATTENTE RT")),IF(L1424="R","À REPRENDRE",IF(H1424&lt;&gt;"OUI","⚠ ENROBÉ AVANT ACCEPTATION RT","ENROBÉ")))))</f>
        <v>NON SOUDÉ</v>
      </c>
      <c r="O1424" s="80"/>
      <c r="P1424" s="82" t="n">
        <f aca="false">IF(C1424="","",IFERROR(MATCH(Q1424,'CARNET DE SOUDURE'!$AW$7:$AW$3006,0),""))</f>
        <v>1418</v>
      </c>
      <c r="Q1424" s="82" t="str">
        <f aca="false">IF(C1424="","",B1424&amp;"|"&amp;C1424)</f>
        <v>MFD-ISW → MFD-CPF|JN°1184</v>
      </c>
    </row>
    <row r="1425" customFormat="false" ht="74.6" hidden="false" customHeight="false" outlineLevel="0" collapsed="false">
      <c r="A1425" s="82" t="n">
        <f aca="false">IF(C1425="","",ROW()-6)</f>
        <v>1419</v>
      </c>
      <c r="B1425" s="80" t="s">
        <v>110</v>
      </c>
      <c r="C1425" s="113" t="s">
        <v>1708</v>
      </c>
      <c r="D1425" s="82" t="str">
        <f aca="false">IF(OR(C1425="",P1425=""),"",INDEX('CARNET DE SOUDURE'!$D$7:$D$3006,P1425)&amp;"")</f>
        <v>12</v>
      </c>
      <c r="E1425" s="114" t="str">
        <f aca="false">IF(OR(C1425="",P1425=""),"",IF(INDEX('CARNET DE SOUDURE'!$U$7:$U$3006,P1425)="","",INDEX('CARNET DE SOUDURE'!$U$7:$U$3006,P1425)))</f>
        <v/>
      </c>
      <c r="F1425" s="82" t="str">
        <f aca="false">IF(OR(C1425="",P1425=""),"",INDEX('CARNET DE SOUDURE'!$AP$7:$AP$3006,P1425))</f>
        <v/>
      </c>
      <c r="G1425" s="82" t="str">
        <f aca="false">IF(C1425="","",IF(P1425="","NJ INCONNU",INDEX('CARNET DE SOUDURE'!$AQ$7:$AQ$3006,P1425)))</f>
        <v>À SOUDER</v>
      </c>
      <c r="H1425" s="82" t="str">
        <f aca="false">IF(C1425="","",IF(G1425="ACCEPTÉ","OUI","NON"))</f>
        <v>NON</v>
      </c>
      <c r="I1425" s="83"/>
      <c r="J1425" s="80"/>
      <c r="K1425" s="81"/>
      <c r="L1425" s="81"/>
      <c r="M1425" s="81"/>
      <c r="N1425" s="84" t="str">
        <f aca="false">IF(C1425="","",IF(P1425="","NJ INCONNU",IF(I1425="",IF(H1425="OUI","À ENROBER",IF(G1425="À SOUDER","NON SOUDÉ","EN ATTENTE RT")),IF(L1425="R","À REPRENDRE",IF(H1425&lt;&gt;"OUI","⚠ ENROBÉ AVANT ACCEPTATION RT","ENROBÉ")))))</f>
        <v>NON SOUDÉ</v>
      </c>
      <c r="O1425" s="80"/>
      <c r="P1425" s="82" t="n">
        <f aca="false">IF(C1425="","",IFERROR(MATCH(Q1425,'CARNET DE SOUDURE'!$AW$7:$AW$3006,0),""))</f>
        <v>1419</v>
      </c>
      <c r="Q1425" s="82" t="str">
        <f aca="false">IF(C1425="","",B1425&amp;"|"&amp;C1425)</f>
        <v>MFD-ISW → MFD-CPF|JN°1185</v>
      </c>
    </row>
    <row r="1426" customFormat="false" ht="74.6" hidden="false" customHeight="false" outlineLevel="0" collapsed="false">
      <c r="A1426" s="82" t="n">
        <f aca="false">IF(C1426="","",ROW()-6)</f>
        <v>1420</v>
      </c>
      <c r="B1426" s="80" t="s">
        <v>110</v>
      </c>
      <c r="C1426" s="113" t="s">
        <v>1709</v>
      </c>
      <c r="D1426" s="82" t="str">
        <f aca="false">IF(OR(C1426="",P1426=""),"",INDEX('CARNET DE SOUDURE'!$D$7:$D$3006,P1426)&amp;"")</f>
        <v>12</v>
      </c>
      <c r="E1426" s="114" t="str">
        <f aca="false">IF(OR(C1426="",P1426=""),"",IF(INDEX('CARNET DE SOUDURE'!$U$7:$U$3006,P1426)="","",INDEX('CARNET DE SOUDURE'!$U$7:$U$3006,P1426)))</f>
        <v/>
      </c>
      <c r="F1426" s="82" t="str">
        <f aca="false">IF(OR(C1426="",P1426=""),"",INDEX('CARNET DE SOUDURE'!$AP$7:$AP$3006,P1426))</f>
        <v/>
      </c>
      <c r="G1426" s="82" t="str">
        <f aca="false">IF(C1426="","",IF(P1426="","NJ INCONNU",INDEX('CARNET DE SOUDURE'!$AQ$7:$AQ$3006,P1426)))</f>
        <v>À SOUDER</v>
      </c>
      <c r="H1426" s="82" t="str">
        <f aca="false">IF(C1426="","",IF(G1426="ACCEPTÉ","OUI","NON"))</f>
        <v>NON</v>
      </c>
      <c r="I1426" s="83"/>
      <c r="J1426" s="80"/>
      <c r="K1426" s="81"/>
      <c r="L1426" s="81"/>
      <c r="M1426" s="81"/>
      <c r="N1426" s="84" t="str">
        <f aca="false">IF(C1426="","",IF(P1426="","NJ INCONNU",IF(I1426="",IF(H1426="OUI","À ENROBER",IF(G1426="À SOUDER","NON SOUDÉ","EN ATTENTE RT")),IF(L1426="R","À REPRENDRE",IF(H1426&lt;&gt;"OUI","⚠ ENROBÉ AVANT ACCEPTATION RT","ENROBÉ")))))</f>
        <v>NON SOUDÉ</v>
      </c>
      <c r="O1426" s="80"/>
      <c r="P1426" s="82" t="n">
        <f aca="false">IF(C1426="","",IFERROR(MATCH(Q1426,'CARNET DE SOUDURE'!$AW$7:$AW$3006,0),""))</f>
        <v>1420</v>
      </c>
      <c r="Q1426" s="82" t="str">
        <f aca="false">IF(C1426="","",B1426&amp;"|"&amp;C1426)</f>
        <v>MFD-ISW → MFD-CPF|JN°1186</v>
      </c>
    </row>
    <row r="1427" customFormat="false" ht="74.6" hidden="false" customHeight="false" outlineLevel="0" collapsed="false">
      <c r="A1427" s="82" t="n">
        <f aca="false">IF(C1427="","",ROW()-6)</f>
        <v>1421</v>
      </c>
      <c r="B1427" s="80" t="s">
        <v>110</v>
      </c>
      <c r="C1427" s="113" t="s">
        <v>1710</v>
      </c>
      <c r="D1427" s="82" t="str">
        <f aca="false">IF(OR(C1427="",P1427=""),"",INDEX('CARNET DE SOUDURE'!$D$7:$D$3006,P1427)&amp;"")</f>
        <v>12</v>
      </c>
      <c r="E1427" s="114" t="str">
        <f aca="false">IF(OR(C1427="",P1427=""),"",IF(INDEX('CARNET DE SOUDURE'!$U$7:$U$3006,P1427)="","",INDEX('CARNET DE SOUDURE'!$U$7:$U$3006,P1427)))</f>
        <v/>
      </c>
      <c r="F1427" s="82" t="str">
        <f aca="false">IF(OR(C1427="",P1427=""),"",INDEX('CARNET DE SOUDURE'!$AP$7:$AP$3006,P1427))</f>
        <v/>
      </c>
      <c r="G1427" s="82" t="str">
        <f aca="false">IF(C1427="","",IF(P1427="","NJ INCONNU",INDEX('CARNET DE SOUDURE'!$AQ$7:$AQ$3006,P1427)))</f>
        <v>À SOUDER</v>
      </c>
      <c r="H1427" s="82" t="str">
        <f aca="false">IF(C1427="","",IF(G1427="ACCEPTÉ","OUI","NON"))</f>
        <v>NON</v>
      </c>
      <c r="I1427" s="83"/>
      <c r="J1427" s="80"/>
      <c r="K1427" s="81"/>
      <c r="L1427" s="81"/>
      <c r="M1427" s="81"/>
      <c r="N1427" s="84" t="str">
        <f aca="false">IF(C1427="","",IF(P1427="","NJ INCONNU",IF(I1427="",IF(H1427="OUI","À ENROBER",IF(G1427="À SOUDER","NON SOUDÉ","EN ATTENTE RT")),IF(L1427="R","À REPRENDRE",IF(H1427&lt;&gt;"OUI","⚠ ENROBÉ AVANT ACCEPTATION RT","ENROBÉ")))))</f>
        <v>NON SOUDÉ</v>
      </c>
      <c r="O1427" s="80"/>
      <c r="P1427" s="82" t="n">
        <f aca="false">IF(C1427="","",IFERROR(MATCH(Q1427,'CARNET DE SOUDURE'!$AW$7:$AW$3006,0),""))</f>
        <v>1421</v>
      </c>
      <c r="Q1427" s="82" t="str">
        <f aca="false">IF(C1427="","",B1427&amp;"|"&amp;C1427)</f>
        <v>MFD-ISW → MFD-CPF|JN°1187</v>
      </c>
    </row>
    <row r="1428" customFormat="false" ht="74.6" hidden="false" customHeight="false" outlineLevel="0" collapsed="false">
      <c r="A1428" s="82" t="n">
        <f aca="false">IF(C1428="","",ROW()-6)</f>
        <v>1422</v>
      </c>
      <c r="B1428" s="80" t="s">
        <v>110</v>
      </c>
      <c r="C1428" s="113" t="s">
        <v>1711</v>
      </c>
      <c r="D1428" s="82" t="str">
        <f aca="false">IF(OR(C1428="",P1428=""),"",INDEX('CARNET DE SOUDURE'!$D$7:$D$3006,P1428)&amp;"")</f>
        <v>12</v>
      </c>
      <c r="E1428" s="114" t="str">
        <f aca="false">IF(OR(C1428="",P1428=""),"",IF(INDEX('CARNET DE SOUDURE'!$U$7:$U$3006,P1428)="","",INDEX('CARNET DE SOUDURE'!$U$7:$U$3006,P1428)))</f>
        <v/>
      </c>
      <c r="F1428" s="82" t="str">
        <f aca="false">IF(OR(C1428="",P1428=""),"",INDEX('CARNET DE SOUDURE'!$AP$7:$AP$3006,P1428))</f>
        <v/>
      </c>
      <c r="G1428" s="82" t="str">
        <f aca="false">IF(C1428="","",IF(P1428="","NJ INCONNU",INDEX('CARNET DE SOUDURE'!$AQ$7:$AQ$3006,P1428)))</f>
        <v>À SOUDER</v>
      </c>
      <c r="H1428" s="82" t="str">
        <f aca="false">IF(C1428="","",IF(G1428="ACCEPTÉ","OUI","NON"))</f>
        <v>NON</v>
      </c>
      <c r="I1428" s="83"/>
      <c r="J1428" s="80"/>
      <c r="K1428" s="81"/>
      <c r="L1428" s="81"/>
      <c r="M1428" s="81"/>
      <c r="N1428" s="84" t="str">
        <f aca="false">IF(C1428="","",IF(P1428="","NJ INCONNU",IF(I1428="",IF(H1428="OUI","À ENROBER",IF(G1428="À SOUDER","NON SOUDÉ","EN ATTENTE RT")),IF(L1428="R","À REPRENDRE",IF(H1428&lt;&gt;"OUI","⚠ ENROBÉ AVANT ACCEPTATION RT","ENROBÉ")))))</f>
        <v>NON SOUDÉ</v>
      </c>
      <c r="O1428" s="80"/>
      <c r="P1428" s="82" t="n">
        <f aca="false">IF(C1428="","",IFERROR(MATCH(Q1428,'CARNET DE SOUDURE'!$AW$7:$AW$3006,0),""))</f>
        <v>1422</v>
      </c>
      <c r="Q1428" s="82" t="str">
        <f aca="false">IF(C1428="","",B1428&amp;"|"&amp;C1428)</f>
        <v>MFD-ISW → MFD-CPF|JN°1188</v>
      </c>
    </row>
    <row r="1429" customFormat="false" ht="74.6" hidden="false" customHeight="false" outlineLevel="0" collapsed="false">
      <c r="A1429" s="82" t="n">
        <f aca="false">IF(C1429="","",ROW()-6)</f>
        <v>1423</v>
      </c>
      <c r="B1429" s="80" t="s">
        <v>110</v>
      </c>
      <c r="C1429" s="113" t="s">
        <v>1712</v>
      </c>
      <c r="D1429" s="82" t="str">
        <f aca="false">IF(OR(C1429="",P1429=""),"",INDEX('CARNET DE SOUDURE'!$D$7:$D$3006,P1429)&amp;"")</f>
        <v>12</v>
      </c>
      <c r="E1429" s="114" t="str">
        <f aca="false">IF(OR(C1429="",P1429=""),"",IF(INDEX('CARNET DE SOUDURE'!$U$7:$U$3006,P1429)="","",INDEX('CARNET DE SOUDURE'!$U$7:$U$3006,P1429)))</f>
        <v/>
      </c>
      <c r="F1429" s="82" t="str">
        <f aca="false">IF(OR(C1429="",P1429=""),"",INDEX('CARNET DE SOUDURE'!$AP$7:$AP$3006,P1429))</f>
        <v/>
      </c>
      <c r="G1429" s="82" t="str">
        <f aca="false">IF(C1429="","",IF(P1429="","NJ INCONNU",INDEX('CARNET DE SOUDURE'!$AQ$7:$AQ$3006,P1429)))</f>
        <v>À SOUDER</v>
      </c>
      <c r="H1429" s="82" t="str">
        <f aca="false">IF(C1429="","",IF(G1429="ACCEPTÉ","OUI","NON"))</f>
        <v>NON</v>
      </c>
      <c r="I1429" s="83"/>
      <c r="J1429" s="80"/>
      <c r="K1429" s="81"/>
      <c r="L1429" s="81"/>
      <c r="M1429" s="81"/>
      <c r="N1429" s="84" t="str">
        <f aca="false">IF(C1429="","",IF(P1429="","NJ INCONNU",IF(I1429="",IF(H1429="OUI","À ENROBER",IF(G1429="À SOUDER","NON SOUDÉ","EN ATTENTE RT")),IF(L1429="R","À REPRENDRE",IF(H1429&lt;&gt;"OUI","⚠ ENROBÉ AVANT ACCEPTATION RT","ENROBÉ")))))</f>
        <v>NON SOUDÉ</v>
      </c>
      <c r="O1429" s="80"/>
      <c r="P1429" s="82" t="n">
        <f aca="false">IF(C1429="","",IFERROR(MATCH(Q1429,'CARNET DE SOUDURE'!$AW$7:$AW$3006,0),""))</f>
        <v>1423</v>
      </c>
      <c r="Q1429" s="82" t="str">
        <f aca="false">IF(C1429="","",B1429&amp;"|"&amp;C1429)</f>
        <v>MFD-ISW → MFD-CPF|JN°1189</v>
      </c>
    </row>
    <row r="1430" customFormat="false" ht="74.6" hidden="false" customHeight="false" outlineLevel="0" collapsed="false">
      <c r="A1430" s="82" t="n">
        <f aca="false">IF(C1430="","",ROW()-6)</f>
        <v>1424</v>
      </c>
      <c r="B1430" s="80" t="s">
        <v>110</v>
      </c>
      <c r="C1430" s="113" t="s">
        <v>1713</v>
      </c>
      <c r="D1430" s="82" t="str">
        <f aca="false">IF(OR(C1430="",P1430=""),"",INDEX('CARNET DE SOUDURE'!$D$7:$D$3006,P1430)&amp;"")</f>
        <v>12</v>
      </c>
      <c r="E1430" s="114" t="str">
        <f aca="false">IF(OR(C1430="",P1430=""),"",IF(INDEX('CARNET DE SOUDURE'!$U$7:$U$3006,P1430)="","",INDEX('CARNET DE SOUDURE'!$U$7:$U$3006,P1430)))</f>
        <v/>
      </c>
      <c r="F1430" s="82" t="str">
        <f aca="false">IF(OR(C1430="",P1430=""),"",INDEX('CARNET DE SOUDURE'!$AP$7:$AP$3006,P1430))</f>
        <v/>
      </c>
      <c r="G1430" s="82" t="str">
        <f aca="false">IF(C1430="","",IF(P1430="","NJ INCONNU",INDEX('CARNET DE SOUDURE'!$AQ$7:$AQ$3006,P1430)))</f>
        <v>À SOUDER</v>
      </c>
      <c r="H1430" s="82" t="str">
        <f aca="false">IF(C1430="","",IF(G1430="ACCEPTÉ","OUI","NON"))</f>
        <v>NON</v>
      </c>
      <c r="I1430" s="83"/>
      <c r="J1430" s="80"/>
      <c r="K1430" s="81"/>
      <c r="L1430" s="81"/>
      <c r="M1430" s="81"/>
      <c r="N1430" s="84" t="str">
        <f aca="false">IF(C1430="","",IF(P1430="","NJ INCONNU",IF(I1430="",IF(H1430="OUI","À ENROBER",IF(G1430="À SOUDER","NON SOUDÉ","EN ATTENTE RT")),IF(L1430="R","À REPRENDRE",IF(H1430&lt;&gt;"OUI","⚠ ENROBÉ AVANT ACCEPTATION RT","ENROBÉ")))))</f>
        <v>NON SOUDÉ</v>
      </c>
      <c r="O1430" s="80"/>
      <c r="P1430" s="82" t="n">
        <f aca="false">IF(C1430="","",IFERROR(MATCH(Q1430,'CARNET DE SOUDURE'!$AW$7:$AW$3006,0),""))</f>
        <v>1424</v>
      </c>
      <c r="Q1430" s="82" t="str">
        <f aca="false">IF(C1430="","",B1430&amp;"|"&amp;C1430)</f>
        <v>MFD-ISW → MFD-CPF|JN°1190</v>
      </c>
    </row>
    <row r="1431" customFormat="false" ht="74.6" hidden="false" customHeight="false" outlineLevel="0" collapsed="false">
      <c r="A1431" s="82" t="n">
        <f aca="false">IF(C1431="","",ROW()-6)</f>
        <v>1425</v>
      </c>
      <c r="B1431" s="80" t="s">
        <v>110</v>
      </c>
      <c r="C1431" s="113" t="s">
        <v>1714</v>
      </c>
      <c r="D1431" s="82" t="str">
        <f aca="false">IF(OR(C1431="",P1431=""),"",INDEX('CARNET DE SOUDURE'!$D$7:$D$3006,P1431)&amp;"")</f>
        <v>12</v>
      </c>
      <c r="E1431" s="114" t="str">
        <f aca="false">IF(OR(C1431="",P1431=""),"",IF(INDEX('CARNET DE SOUDURE'!$U$7:$U$3006,P1431)="","",INDEX('CARNET DE SOUDURE'!$U$7:$U$3006,P1431)))</f>
        <v/>
      </c>
      <c r="F1431" s="82" t="str">
        <f aca="false">IF(OR(C1431="",P1431=""),"",INDEX('CARNET DE SOUDURE'!$AP$7:$AP$3006,P1431))</f>
        <v/>
      </c>
      <c r="G1431" s="82" t="str">
        <f aca="false">IF(C1431="","",IF(P1431="","NJ INCONNU",INDEX('CARNET DE SOUDURE'!$AQ$7:$AQ$3006,P1431)))</f>
        <v>À SOUDER</v>
      </c>
      <c r="H1431" s="82" t="str">
        <f aca="false">IF(C1431="","",IF(G1431="ACCEPTÉ","OUI","NON"))</f>
        <v>NON</v>
      </c>
      <c r="I1431" s="83"/>
      <c r="J1431" s="80"/>
      <c r="K1431" s="81"/>
      <c r="L1431" s="81"/>
      <c r="M1431" s="81"/>
      <c r="N1431" s="84" t="str">
        <f aca="false">IF(C1431="","",IF(P1431="","NJ INCONNU",IF(I1431="",IF(H1431="OUI","À ENROBER",IF(G1431="À SOUDER","NON SOUDÉ","EN ATTENTE RT")),IF(L1431="R","À REPRENDRE",IF(H1431&lt;&gt;"OUI","⚠ ENROBÉ AVANT ACCEPTATION RT","ENROBÉ")))))</f>
        <v>NON SOUDÉ</v>
      </c>
      <c r="O1431" s="80"/>
      <c r="P1431" s="82" t="n">
        <f aca="false">IF(C1431="","",IFERROR(MATCH(Q1431,'CARNET DE SOUDURE'!$AW$7:$AW$3006,0),""))</f>
        <v>1425</v>
      </c>
      <c r="Q1431" s="82" t="str">
        <f aca="false">IF(C1431="","",B1431&amp;"|"&amp;C1431)</f>
        <v>MFD-ISW → MFD-CPF|JN°1191</v>
      </c>
    </row>
    <row r="1432" customFormat="false" ht="74.6" hidden="false" customHeight="false" outlineLevel="0" collapsed="false">
      <c r="A1432" s="82" t="n">
        <f aca="false">IF(C1432="","",ROW()-6)</f>
        <v>1426</v>
      </c>
      <c r="B1432" s="80" t="s">
        <v>110</v>
      </c>
      <c r="C1432" s="113" t="s">
        <v>1715</v>
      </c>
      <c r="D1432" s="82" t="str">
        <f aca="false">IF(OR(C1432="",P1432=""),"",INDEX('CARNET DE SOUDURE'!$D$7:$D$3006,P1432)&amp;"")</f>
        <v>12</v>
      </c>
      <c r="E1432" s="114" t="str">
        <f aca="false">IF(OR(C1432="",P1432=""),"",IF(INDEX('CARNET DE SOUDURE'!$U$7:$U$3006,P1432)="","",INDEX('CARNET DE SOUDURE'!$U$7:$U$3006,P1432)))</f>
        <v/>
      </c>
      <c r="F1432" s="82" t="str">
        <f aca="false">IF(OR(C1432="",P1432=""),"",INDEX('CARNET DE SOUDURE'!$AP$7:$AP$3006,P1432))</f>
        <v/>
      </c>
      <c r="G1432" s="82" t="str">
        <f aca="false">IF(C1432="","",IF(P1432="","NJ INCONNU",INDEX('CARNET DE SOUDURE'!$AQ$7:$AQ$3006,P1432)))</f>
        <v>À SOUDER</v>
      </c>
      <c r="H1432" s="82" t="str">
        <f aca="false">IF(C1432="","",IF(G1432="ACCEPTÉ","OUI","NON"))</f>
        <v>NON</v>
      </c>
      <c r="I1432" s="83"/>
      <c r="J1432" s="80"/>
      <c r="K1432" s="81"/>
      <c r="L1432" s="81"/>
      <c r="M1432" s="81"/>
      <c r="N1432" s="84" t="str">
        <f aca="false">IF(C1432="","",IF(P1432="","NJ INCONNU",IF(I1432="",IF(H1432="OUI","À ENROBER",IF(G1432="À SOUDER","NON SOUDÉ","EN ATTENTE RT")),IF(L1432="R","À REPRENDRE",IF(H1432&lt;&gt;"OUI","⚠ ENROBÉ AVANT ACCEPTATION RT","ENROBÉ")))))</f>
        <v>NON SOUDÉ</v>
      </c>
      <c r="O1432" s="80"/>
      <c r="P1432" s="82" t="n">
        <f aca="false">IF(C1432="","",IFERROR(MATCH(Q1432,'CARNET DE SOUDURE'!$AW$7:$AW$3006,0),""))</f>
        <v>1426</v>
      </c>
      <c r="Q1432" s="82" t="str">
        <f aca="false">IF(C1432="","",B1432&amp;"|"&amp;C1432)</f>
        <v>MFD-ISW → MFD-CPF|JN°1192</v>
      </c>
    </row>
    <row r="1433" customFormat="false" ht="74.6" hidden="false" customHeight="false" outlineLevel="0" collapsed="false">
      <c r="A1433" s="82" t="n">
        <f aca="false">IF(C1433="","",ROW()-6)</f>
        <v>1427</v>
      </c>
      <c r="B1433" s="80" t="s">
        <v>110</v>
      </c>
      <c r="C1433" s="113" t="s">
        <v>1716</v>
      </c>
      <c r="D1433" s="82" t="str">
        <f aca="false">IF(OR(C1433="",P1433=""),"",INDEX('CARNET DE SOUDURE'!$D$7:$D$3006,P1433)&amp;"")</f>
        <v>12</v>
      </c>
      <c r="E1433" s="114" t="str">
        <f aca="false">IF(OR(C1433="",P1433=""),"",IF(INDEX('CARNET DE SOUDURE'!$U$7:$U$3006,P1433)="","",INDEX('CARNET DE SOUDURE'!$U$7:$U$3006,P1433)))</f>
        <v/>
      </c>
      <c r="F1433" s="82" t="str">
        <f aca="false">IF(OR(C1433="",P1433=""),"",INDEX('CARNET DE SOUDURE'!$AP$7:$AP$3006,P1433))</f>
        <v/>
      </c>
      <c r="G1433" s="82" t="str">
        <f aca="false">IF(C1433="","",IF(P1433="","NJ INCONNU",INDEX('CARNET DE SOUDURE'!$AQ$7:$AQ$3006,P1433)))</f>
        <v>À SOUDER</v>
      </c>
      <c r="H1433" s="82" t="str">
        <f aca="false">IF(C1433="","",IF(G1433="ACCEPTÉ","OUI","NON"))</f>
        <v>NON</v>
      </c>
      <c r="I1433" s="83"/>
      <c r="J1433" s="80"/>
      <c r="K1433" s="81"/>
      <c r="L1433" s="81"/>
      <c r="M1433" s="81"/>
      <c r="N1433" s="84" t="str">
        <f aca="false">IF(C1433="","",IF(P1433="","NJ INCONNU",IF(I1433="",IF(H1433="OUI","À ENROBER",IF(G1433="À SOUDER","NON SOUDÉ","EN ATTENTE RT")),IF(L1433="R","À REPRENDRE",IF(H1433&lt;&gt;"OUI","⚠ ENROBÉ AVANT ACCEPTATION RT","ENROBÉ")))))</f>
        <v>NON SOUDÉ</v>
      </c>
      <c r="O1433" s="80"/>
      <c r="P1433" s="82" t="n">
        <f aca="false">IF(C1433="","",IFERROR(MATCH(Q1433,'CARNET DE SOUDURE'!$AW$7:$AW$3006,0),""))</f>
        <v>1427</v>
      </c>
      <c r="Q1433" s="82" t="str">
        <f aca="false">IF(C1433="","",B1433&amp;"|"&amp;C1433)</f>
        <v>MFD-ISW → MFD-CPF|JN°1193</v>
      </c>
    </row>
    <row r="1434" customFormat="false" ht="74.6" hidden="false" customHeight="false" outlineLevel="0" collapsed="false">
      <c r="A1434" s="82" t="n">
        <f aca="false">IF(C1434="","",ROW()-6)</f>
        <v>1428</v>
      </c>
      <c r="B1434" s="80" t="s">
        <v>110</v>
      </c>
      <c r="C1434" s="113" t="s">
        <v>1717</v>
      </c>
      <c r="D1434" s="82" t="str">
        <f aca="false">IF(OR(C1434="",P1434=""),"",INDEX('CARNET DE SOUDURE'!$D$7:$D$3006,P1434)&amp;"")</f>
        <v>12</v>
      </c>
      <c r="E1434" s="114" t="str">
        <f aca="false">IF(OR(C1434="",P1434=""),"",IF(INDEX('CARNET DE SOUDURE'!$U$7:$U$3006,P1434)="","",INDEX('CARNET DE SOUDURE'!$U$7:$U$3006,P1434)))</f>
        <v/>
      </c>
      <c r="F1434" s="82" t="str">
        <f aca="false">IF(OR(C1434="",P1434=""),"",INDEX('CARNET DE SOUDURE'!$AP$7:$AP$3006,P1434))</f>
        <v/>
      </c>
      <c r="G1434" s="82" t="str">
        <f aca="false">IF(C1434="","",IF(P1434="","NJ INCONNU",INDEX('CARNET DE SOUDURE'!$AQ$7:$AQ$3006,P1434)))</f>
        <v>À SOUDER</v>
      </c>
      <c r="H1434" s="82" t="str">
        <f aca="false">IF(C1434="","",IF(G1434="ACCEPTÉ","OUI","NON"))</f>
        <v>NON</v>
      </c>
      <c r="I1434" s="83"/>
      <c r="J1434" s="80"/>
      <c r="K1434" s="81"/>
      <c r="L1434" s="81"/>
      <c r="M1434" s="81"/>
      <c r="N1434" s="84" t="str">
        <f aca="false">IF(C1434="","",IF(P1434="","NJ INCONNU",IF(I1434="",IF(H1434="OUI","À ENROBER",IF(G1434="À SOUDER","NON SOUDÉ","EN ATTENTE RT")),IF(L1434="R","À REPRENDRE",IF(H1434&lt;&gt;"OUI","⚠ ENROBÉ AVANT ACCEPTATION RT","ENROBÉ")))))</f>
        <v>NON SOUDÉ</v>
      </c>
      <c r="O1434" s="80"/>
      <c r="P1434" s="82" t="n">
        <f aca="false">IF(C1434="","",IFERROR(MATCH(Q1434,'CARNET DE SOUDURE'!$AW$7:$AW$3006,0),""))</f>
        <v>1428</v>
      </c>
      <c r="Q1434" s="82" t="str">
        <f aca="false">IF(C1434="","",B1434&amp;"|"&amp;C1434)</f>
        <v>MFD-ISW → MFD-CPF|JN°1194</v>
      </c>
    </row>
    <row r="1435" customFormat="false" ht="74.6" hidden="false" customHeight="false" outlineLevel="0" collapsed="false">
      <c r="A1435" s="82" t="n">
        <f aca="false">IF(C1435="","",ROW()-6)</f>
        <v>1429</v>
      </c>
      <c r="B1435" s="80" t="s">
        <v>110</v>
      </c>
      <c r="C1435" s="113" t="s">
        <v>1718</v>
      </c>
      <c r="D1435" s="82" t="str">
        <f aca="false">IF(OR(C1435="",P1435=""),"",INDEX('CARNET DE SOUDURE'!$D$7:$D$3006,P1435)&amp;"")</f>
        <v>12</v>
      </c>
      <c r="E1435" s="114" t="str">
        <f aca="false">IF(OR(C1435="",P1435=""),"",IF(INDEX('CARNET DE SOUDURE'!$U$7:$U$3006,P1435)="","",INDEX('CARNET DE SOUDURE'!$U$7:$U$3006,P1435)))</f>
        <v/>
      </c>
      <c r="F1435" s="82" t="str">
        <f aca="false">IF(OR(C1435="",P1435=""),"",INDEX('CARNET DE SOUDURE'!$AP$7:$AP$3006,P1435))</f>
        <v/>
      </c>
      <c r="G1435" s="82" t="str">
        <f aca="false">IF(C1435="","",IF(P1435="","NJ INCONNU",INDEX('CARNET DE SOUDURE'!$AQ$7:$AQ$3006,P1435)))</f>
        <v>À SOUDER</v>
      </c>
      <c r="H1435" s="82" t="str">
        <f aca="false">IF(C1435="","",IF(G1435="ACCEPTÉ","OUI","NON"))</f>
        <v>NON</v>
      </c>
      <c r="I1435" s="83"/>
      <c r="J1435" s="80"/>
      <c r="K1435" s="81"/>
      <c r="L1435" s="81"/>
      <c r="M1435" s="81"/>
      <c r="N1435" s="84" t="str">
        <f aca="false">IF(C1435="","",IF(P1435="","NJ INCONNU",IF(I1435="",IF(H1435="OUI","À ENROBER",IF(G1435="À SOUDER","NON SOUDÉ","EN ATTENTE RT")),IF(L1435="R","À REPRENDRE",IF(H1435&lt;&gt;"OUI","⚠ ENROBÉ AVANT ACCEPTATION RT","ENROBÉ")))))</f>
        <v>NON SOUDÉ</v>
      </c>
      <c r="O1435" s="80"/>
      <c r="P1435" s="82" t="n">
        <f aca="false">IF(C1435="","",IFERROR(MATCH(Q1435,'CARNET DE SOUDURE'!$AW$7:$AW$3006,0),""))</f>
        <v>1429</v>
      </c>
      <c r="Q1435" s="82" t="str">
        <f aca="false">IF(C1435="","",B1435&amp;"|"&amp;C1435)</f>
        <v>MFD-ISW → MFD-CPF|JN°1195</v>
      </c>
    </row>
    <row r="1436" customFormat="false" ht="74.6" hidden="false" customHeight="false" outlineLevel="0" collapsed="false">
      <c r="A1436" s="82" t="n">
        <f aca="false">IF(C1436="","",ROW()-6)</f>
        <v>1430</v>
      </c>
      <c r="B1436" s="80" t="s">
        <v>110</v>
      </c>
      <c r="C1436" s="113" t="s">
        <v>1719</v>
      </c>
      <c r="D1436" s="82" t="str">
        <f aca="false">IF(OR(C1436="",P1436=""),"",INDEX('CARNET DE SOUDURE'!$D$7:$D$3006,P1436)&amp;"")</f>
        <v>12</v>
      </c>
      <c r="E1436" s="114" t="str">
        <f aca="false">IF(OR(C1436="",P1436=""),"",IF(INDEX('CARNET DE SOUDURE'!$U$7:$U$3006,P1436)="","",INDEX('CARNET DE SOUDURE'!$U$7:$U$3006,P1436)))</f>
        <v/>
      </c>
      <c r="F1436" s="82" t="str">
        <f aca="false">IF(OR(C1436="",P1436=""),"",INDEX('CARNET DE SOUDURE'!$AP$7:$AP$3006,P1436))</f>
        <v/>
      </c>
      <c r="G1436" s="82" t="str">
        <f aca="false">IF(C1436="","",IF(P1436="","NJ INCONNU",INDEX('CARNET DE SOUDURE'!$AQ$7:$AQ$3006,P1436)))</f>
        <v>À SOUDER</v>
      </c>
      <c r="H1436" s="82" t="str">
        <f aca="false">IF(C1436="","",IF(G1436="ACCEPTÉ","OUI","NON"))</f>
        <v>NON</v>
      </c>
      <c r="I1436" s="83"/>
      <c r="J1436" s="80"/>
      <c r="K1436" s="81"/>
      <c r="L1436" s="81"/>
      <c r="M1436" s="81"/>
      <c r="N1436" s="84" t="str">
        <f aca="false">IF(C1436="","",IF(P1436="","NJ INCONNU",IF(I1436="",IF(H1436="OUI","À ENROBER",IF(G1436="À SOUDER","NON SOUDÉ","EN ATTENTE RT")),IF(L1436="R","À REPRENDRE",IF(H1436&lt;&gt;"OUI","⚠ ENROBÉ AVANT ACCEPTATION RT","ENROBÉ")))))</f>
        <v>NON SOUDÉ</v>
      </c>
      <c r="O1436" s="80"/>
      <c r="P1436" s="82" t="n">
        <f aca="false">IF(C1436="","",IFERROR(MATCH(Q1436,'CARNET DE SOUDURE'!$AW$7:$AW$3006,0),""))</f>
        <v>1430</v>
      </c>
      <c r="Q1436" s="82" t="str">
        <f aca="false">IF(C1436="","",B1436&amp;"|"&amp;C1436)</f>
        <v>MFD-ISW → MFD-CPF|JN°1196</v>
      </c>
    </row>
    <row r="1437" customFormat="false" ht="74.6" hidden="false" customHeight="false" outlineLevel="0" collapsed="false">
      <c r="A1437" s="82" t="n">
        <f aca="false">IF(C1437="","",ROW()-6)</f>
        <v>1431</v>
      </c>
      <c r="B1437" s="80" t="s">
        <v>110</v>
      </c>
      <c r="C1437" s="113" t="s">
        <v>1720</v>
      </c>
      <c r="D1437" s="82" t="str">
        <f aca="false">IF(OR(C1437="",P1437=""),"",INDEX('CARNET DE SOUDURE'!$D$7:$D$3006,P1437)&amp;"")</f>
        <v>12</v>
      </c>
      <c r="E1437" s="114" t="str">
        <f aca="false">IF(OR(C1437="",P1437=""),"",IF(INDEX('CARNET DE SOUDURE'!$U$7:$U$3006,P1437)="","",INDEX('CARNET DE SOUDURE'!$U$7:$U$3006,P1437)))</f>
        <v/>
      </c>
      <c r="F1437" s="82" t="str">
        <f aca="false">IF(OR(C1437="",P1437=""),"",INDEX('CARNET DE SOUDURE'!$AP$7:$AP$3006,P1437))</f>
        <v/>
      </c>
      <c r="G1437" s="82" t="str">
        <f aca="false">IF(C1437="","",IF(P1437="","NJ INCONNU",INDEX('CARNET DE SOUDURE'!$AQ$7:$AQ$3006,P1437)))</f>
        <v>À SOUDER</v>
      </c>
      <c r="H1437" s="82" t="str">
        <f aca="false">IF(C1437="","",IF(G1437="ACCEPTÉ","OUI","NON"))</f>
        <v>NON</v>
      </c>
      <c r="I1437" s="83"/>
      <c r="J1437" s="80"/>
      <c r="K1437" s="81"/>
      <c r="L1437" s="81"/>
      <c r="M1437" s="81"/>
      <c r="N1437" s="84" t="str">
        <f aca="false">IF(C1437="","",IF(P1437="","NJ INCONNU",IF(I1437="",IF(H1437="OUI","À ENROBER",IF(G1437="À SOUDER","NON SOUDÉ","EN ATTENTE RT")),IF(L1437="R","À REPRENDRE",IF(H1437&lt;&gt;"OUI","⚠ ENROBÉ AVANT ACCEPTATION RT","ENROBÉ")))))</f>
        <v>NON SOUDÉ</v>
      </c>
      <c r="O1437" s="80"/>
      <c r="P1437" s="82" t="n">
        <f aca="false">IF(C1437="","",IFERROR(MATCH(Q1437,'CARNET DE SOUDURE'!$AW$7:$AW$3006,0),""))</f>
        <v>1431</v>
      </c>
      <c r="Q1437" s="82" t="str">
        <f aca="false">IF(C1437="","",B1437&amp;"|"&amp;C1437)</f>
        <v>MFD-ISW → MFD-CPF|JN°1197</v>
      </c>
    </row>
    <row r="1438" customFormat="false" ht="74.6" hidden="false" customHeight="false" outlineLevel="0" collapsed="false">
      <c r="A1438" s="82" t="n">
        <f aca="false">IF(C1438="","",ROW()-6)</f>
        <v>1432</v>
      </c>
      <c r="B1438" s="80" t="s">
        <v>110</v>
      </c>
      <c r="C1438" s="113" t="s">
        <v>1721</v>
      </c>
      <c r="D1438" s="82" t="str">
        <f aca="false">IF(OR(C1438="",P1438=""),"",INDEX('CARNET DE SOUDURE'!$D$7:$D$3006,P1438)&amp;"")</f>
        <v>12</v>
      </c>
      <c r="E1438" s="114" t="str">
        <f aca="false">IF(OR(C1438="",P1438=""),"",IF(INDEX('CARNET DE SOUDURE'!$U$7:$U$3006,P1438)="","",INDEX('CARNET DE SOUDURE'!$U$7:$U$3006,P1438)))</f>
        <v/>
      </c>
      <c r="F1438" s="82" t="str">
        <f aca="false">IF(OR(C1438="",P1438=""),"",INDEX('CARNET DE SOUDURE'!$AP$7:$AP$3006,P1438))</f>
        <v/>
      </c>
      <c r="G1438" s="82" t="str">
        <f aca="false">IF(C1438="","",IF(P1438="","NJ INCONNU",INDEX('CARNET DE SOUDURE'!$AQ$7:$AQ$3006,P1438)))</f>
        <v>À SOUDER</v>
      </c>
      <c r="H1438" s="82" t="str">
        <f aca="false">IF(C1438="","",IF(G1438="ACCEPTÉ","OUI","NON"))</f>
        <v>NON</v>
      </c>
      <c r="I1438" s="83"/>
      <c r="J1438" s="80"/>
      <c r="K1438" s="81"/>
      <c r="L1438" s="81"/>
      <c r="M1438" s="81"/>
      <c r="N1438" s="84" t="str">
        <f aca="false">IF(C1438="","",IF(P1438="","NJ INCONNU",IF(I1438="",IF(H1438="OUI","À ENROBER",IF(G1438="À SOUDER","NON SOUDÉ","EN ATTENTE RT")),IF(L1438="R","À REPRENDRE",IF(H1438&lt;&gt;"OUI","⚠ ENROBÉ AVANT ACCEPTATION RT","ENROBÉ")))))</f>
        <v>NON SOUDÉ</v>
      </c>
      <c r="O1438" s="80"/>
      <c r="P1438" s="82" t="n">
        <f aca="false">IF(C1438="","",IFERROR(MATCH(Q1438,'CARNET DE SOUDURE'!$AW$7:$AW$3006,0),""))</f>
        <v>1432</v>
      </c>
      <c r="Q1438" s="82" t="str">
        <f aca="false">IF(C1438="","",B1438&amp;"|"&amp;C1438)</f>
        <v>MFD-ISW → MFD-CPF|JN°1198</v>
      </c>
    </row>
    <row r="1439" customFormat="false" ht="74.6" hidden="false" customHeight="false" outlineLevel="0" collapsed="false">
      <c r="A1439" s="82" t="n">
        <f aca="false">IF(C1439="","",ROW()-6)</f>
        <v>1433</v>
      </c>
      <c r="B1439" s="80" t="s">
        <v>110</v>
      </c>
      <c r="C1439" s="113" t="s">
        <v>1722</v>
      </c>
      <c r="D1439" s="82" t="str">
        <f aca="false">IF(OR(C1439="",P1439=""),"",INDEX('CARNET DE SOUDURE'!$D$7:$D$3006,P1439)&amp;"")</f>
        <v>12</v>
      </c>
      <c r="E1439" s="114" t="str">
        <f aca="false">IF(OR(C1439="",P1439=""),"",IF(INDEX('CARNET DE SOUDURE'!$U$7:$U$3006,P1439)="","",INDEX('CARNET DE SOUDURE'!$U$7:$U$3006,P1439)))</f>
        <v/>
      </c>
      <c r="F1439" s="82" t="str">
        <f aca="false">IF(OR(C1439="",P1439=""),"",INDEX('CARNET DE SOUDURE'!$AP$7:$AP$3006,P1439))</f>
        <v/>
      </c>
      <c r="G1439" s="82" t="str">
        <f aca="false">IF(C1439="","",IF(P1439="","NJ INCONNU",INDEX('CARNET DE SOUDURE'!$AQ$7:$AQ$3006,P1439)))</f>
        <v>À SOUDER</v>
      </c>
      <c r="H1439" s="82" t="str">
        <f aca="false">IF(C1439="","",IF(G1439="ACCEPTÉ","OUI","NON"))</f>
        <v>NON</v>
      </c>
      <c r="I1439" s="83"/>
      <c r="J1439" s="80"/>
      <c r="K1439" s="81"/>
      <c r="L1439" s="81"/>
      <c r="M1439" s="81"/>
      <c r="N1439" s="84" t="str">
        <f aca="false">IF(C1439="","",IF(P1439="","NJ INCONNU",IF(I1439="",IF(H1439="OUI","À ENROBER",IF(G1439="À SOUDER","NON SOUDÉ","EN ATTENTE RT")),IF(L1439="R","À REPRENDRE",IF(H1439&lt;&gt;"OUI","⚠ ENROBÉ AVANT ACCEPTATION RT","ENROBÉ")))))</f>
        <v>NON SOUDÉ</v>
      </c>
      <c r="O1439" s="80"/>
      <c r="P1439" s="82" t="n">
        <f aca="false">IF(C1439="","",IFERROR(MATCH(Q1439,'CARNET DE SOUDURE'!$AW$7:$AW$3006,0),""))</f>
        <v>1433</v>
      </c>
      <c r="Q1439" s="82" t="str">
        <f aca="false">IF(C1439="","",B1439&amp;"|"&amp;C1439)</f>
        <v>MFD-ISW → MFD-CPF|JN°1199</v>
      </c>
    </row>
    <row r="1440" customFormat="false" ht="74.6" hidden="false" customHeight="false" outlineLevel="0" collapsed="false">
      <c r="A1440" s="82" t="n">
        <f aca="false">IF(C1440="","",ROW()-6)</f>
        <v>1434</v>
      </c>
      <c r="B1440" s="80" t="s">
        <v>110</v>
      </c>
      <c r="C1440" s="113" t="s">
        <v>1723</v>
      </c>
      <c r="D1440" s="82" t="str">
        <f aca="false">IF(OR(C1440="",P1440=""),"",INDEX('CARNET DE SOUDURE'!$D$7:$D$3006,P1440)&amp;"")</f>
        <v>12</v>
      </c>
      <c r="E1440" s="114" t="str">
        <f aca="false">IF(OR(C1440="",P1440=""),"",IF(INDEX('CARNET DE SOUDURE'!$U$7:$U$3006,P1440)="","",INDEX('CARNET DE SOUDURE'!$U$7:$U$3006,P1440)))</f>
        <v/>
      </c>
      <c r="F1440" s="82" t="str">
        <f aca="false">IF(OR(C1440="",P1440=""),"",INDEX('CARNET DE SOUDURE'!$AP$7:$AP$3006,P1440))</f>
        <v/>
      </c>
      <c r="G1440" s="82" t="str">
        <f aca="false">IF(C1440="","",IF(P1440="","NJ INCONNU",INDEX('CARNET DE SOUDURE'!$AQ$7:$AQ$3006,P1440)))</f>
        <v>À SOUDER</v>
      </c>
      <c r="H1440" s="82" t="str">
        <f aca="false">IF(C1440="","",IF(G1440="ACCEPTÉ","OUI","NON"))</f>
        <v>NON</v>
      </c>
      <c r="I1440" s="83"/>
      <c r="J1440" s="80"/>
      <c r="K1440" s="81"/>
      <c r="L1440" s="81"/>
      <c r="M1440" s="81"/>
      <c r="N1440" s="84" t="str">
        <f aca="false">IF(C1440="","",IF(P1440="","NJ INCONNU",IF(I1440="",IF(H1440="OUI","À ENROBER",IF(G1440="À SOUDER","NON SOUDÉ","EN ATTENTE RT")),IF(L1440="R","À REPRENDRE",IF(H1440&lt;&gt;"OUI","⚠ ENROBÉ AVANT ACCEPTATION RT","ENROBÉ")))))</f>
        <v>NON SOUDÉ</v>
      </c>
      <c r="O1440" s="80"/>
      <c r="P1440" s="82" t="n">
        <f aca="false">IF(C1440="","",IFERROR(MATCH(Q1440,'CARNET DE SOUDURE'!$AW$7:$AW$3006,0),""))</f>
        <v>1434</v>
      </c>
      <c r="Q1440" s="82" t="str">
        <f aca="false">IF(C1440="","",B1440&amp;"|"&amp;C1440)</f>
        <v>MFD-ISW → MFD-CPF|JN°1200</v>
      </c>
    </row>
    <row r="1441" customFormat="false" ht="74.6" hidden="false" customHeight="false" outlineLevel="0" collapsed="false">
      <c r="A1441" s="82" t="n">
        <f aca="false">IF(C1441="","",ROW()-6)</f>
        <v>1435</v>
      </c>
      <c r="B1441" s="80" t="s">
        <v>110</v>
      </c>
      <c r="C1441" s="113" t="s">
        <v>1724</v>
      </c>
      <c r="D1441" s="82" t="str">
        <f aca="false">IF(OR(C1441="",P1441=""),"",INDEX('CARNET DE SOUDURE'!$D$7:$D$3006,P1441)&amp;"")</f>
        <v>12</v>
      </c>
      <c r="E1441" s="114" t="str">
        <f aca="false">IF(OR(C1441="",P1441=""),"",IF(INDEX('CARNET DE SOUDURE'!$U$7:$U$3006,P1441)="","",INDEX('CARNET DE SOUDURE'!$U$7:$U$3006,P1441)))</f>
        <v/>
      </c>
      <c r="F1441" s="82" t="str">
        <f aca="false">IF(OR(C1441="",P1441=""),"",INDEX('CARNET DE SOUDURE'!$AP$7:$AP$3006,P1441))</f>
        <v/>
      </c>
      <c r="G1441" s="82" t="str">
        <f aca="false">IF(C1441="","",IF(P1441="","NJ INCONNU",INDEX('CARNET DE SOUDURE'!$AQ$7:$AQ$3006,P1441)))</f>
        <v>À SOUDER</v>
      </c>
      <c r="H1441" s="82" t="str">
        <f aca="false">IF(C1441="","",IF(G1441="ACCEPTÉ","OUI","NON"))</f>
        <v>NON</v>
      </c>
      <c r="I1441" s="83"/>
      <c r="J1441" s="80"/>
      <c r="K1441" s="81"/>
      <c r="L1441" s="81"/>
      <c r="M1441" s="81"/>
      <c r="N1441" s="84" t="str">
        <f aca="false">IF(C1441="","",IF(P1441="","NJ INCONNU",IF(I1441="",IF(H1441="OUI","À ENROBER",IF(G1441="À SOUDER","NON SOUDÉ","EN ATTENTE RT")),IF(L1441="R","À REPRENDRE",IF(H1441&lt;&gt;"OUI","⚠ ENROBÉ AVANT ACCEPTATION RT","ENROBÉ")))))</f>
        <v>NON SOUDÉ</v>
      </c>
      <c r="O1441" s="80"/>
      <c r="P1441" s="82" t="n">
        <f aca="false">IF(C1441="","",IFERROR(MATCH(Q1441,'CARNET DE SOUDURE'!$AW$7:$AW$3006,0),""))</f>
        <v>1435</v>
      </c>
      <c r="Q1441" s="82" t="str">
        <f aca="false">IF(C1441="","",B1441&amp;"|"&amp;C1441)</f>
        <v>MFD-ISW → MFD-CPF|JN°1201</v>
      </c>
    </row>
    <row r="1442" customFormat="false" ht="74.6" hidden="false" customHeight="false" outlineLevel="0" collapsed="false">
      <c r="A1442" s="82" t="n">
        <f aca="false">IF(C1442="","",ROW()-6)</f>
        <v>1436</v>
      </c>
      <c r="B1442" s="80" t="s">
        <v>110</v>
      </c>
      <c r="C1442" s="113" t="s">
        <v>1725</v>
      </c>
      <c r="D1442" s="82" t="str">
        <f aca="false">IF(OR(C1442="",P1442=""),"",INDEX('CARNET DE SOUDURE'!$D$7:$D$3006,P1442)&amp;"")</f>
        <v>12</v>
      </c>
      <c r="E1442" s="114" t="str">
        <f aca="false">IF(OR(C1442="",P1442=""),"",IF(INDEX('CARNET DE SOUDURE'!$U$7:$U$3006,P1442)="","",INDEX('CARNET DE SOUDURE'!$U$7:$U$3006,P1442)))</f>
        <v/>
      </c>
      <c r="F1442" s="82" t="str">
        <f aca="false">IF(OR(C1442="",P1442=""),"",INDEX('CARNET DE SOUDURE'!$AP$7:$AP$3006,P1442))</f>
        <v/>
      </c>
      <c r="G1442" s="82" t="str">
        <f aca="false">IF(C1442="","",IF(P1442="","NJ INCONNU",INDEX('CARNET DE SOUDURE'!$AQ$7:$AQ$3006,P1442)))</f>
        <v>À SOUDER</v>
      </c>
      <c r="H1442" s="82" t="str">
        <f aca="false">IF(C1442="","",IF(G1442="ACCEPTÉ","OUI","NON"))</f>
        <v>NON</v>
      </c>
      <c r="I1442" s="83"/>
      <c r="J1442" s="80"/>
      <c r="K1442" s="81"/>
      <c r="L1442" s="81"/>
      <c r="M1442" s="81"/>
      <c r="N1442" s="84" t="str">
        <f aca="false">IF(C1442="","",IF(P1442="","NJ INCONNU",IF(I1442="",IF(H1442="OUI","À ENROBER",IF(G1442="À SOUDER","NON SOUDÉ","EN ATTENTE RT")),IF(L1442="R","À REPRENDRE",IF(H1442&lt;&gt;"OUI","⚠ ENROBÉ AVANT ACCEPTATION RT","ENROBÉ")))))</f>
        <v>NON SOUDÉ</v>
      </c>
      <c r="O1442" s="80"/>
      <c r="P1442" s="82" t="n">
        <f aca="false">IF(C1442="","",IFERROR(MATCH(Q1442,'CARNET DE SOUDURE'!$AW$7:$AW$3006,0),""))</f>
        <v>1436</v>
      </c>
      <c r="Q1442" s="82" t="str">
        <f aca="false">IF(C1442="","",B1442&amp;"|"&amp;C1442)</f>
        <v>MFD-ISW → MFD-CPF|JN°1202</v>
      </c>
    </row>
    <row r="1443" customFormat="false" ht="74.6" hidden="false" customHeight="false" outlineLevel="0" collapsed="false">
      <c r="A1443" s="82" t="n">
        <f aca="false">IF(C1443="","",ROW()-6)</f>
        <v>1437</v>
      </c>
      <c r="B1443" s="80" t="s">
        <v>110</v>
      </c>
      <c r="C1443" s="113" t="s">
        <v>1726</v>
      </c>
      <c r="D1443" s="82" t="str">
        <f aca="false">IF(OR(C1443="",P1443=""),"",INDEX('CARNET DE SOUDURE'!$D$7:$D$3006,P1443)&amp;"")</f>
        <v>12</v>
      </c>
      <c r="E1443" s="114" t="str">
        <f aca="false">IF(OR(C1443="",P1443=""),"",IF(INDEX('CARNET DE SOUDURE'!$U$7:$U$3006,P1443)="","",INDEX('CARNET DE SOUDURE'!$U$7:$U$3006,P1443)))</f>
        <v/>
      </c>
      <c r="F1443" s="82" t="str">
        <f aca="false">IF(OR(C1443="",P1443=""),"",INDEX('CARNET DE SOUDURE'!$AP$7:$AP$3006,P1443))</f>
        <v/>
      </c>
      <c r="G1443" s="82" t="str">
        <f aca="false">IF(C1443="","",IF(P1443="","NJ INCONNU",INDEX('CARNET DE SOUDURE'!$AQ$7:$AQ$3006,P1443)))</f>
        <v>À SOUDER</v>
      </c>
      <c r="H1443" s="82" t="str">
        <f aca="false">IF(C1443="","",IF(G1443="ACCEPTÉ","OUI","NON"))</f>
        <v>NON</v>
      </c>
      <c r="I1443" s="83"/>
      <c r="J1443" s="80"/>
      <c r="K1443" s="81"/>
      <c r="L1443" s="81"/>
      <c r="M1443" s="81"/>
      <c r="N1443" s="84" t="str">
        <f aca="false">IF(C1443="","",IF(P1443="","NJ INCONNU",IF(I1443="",IF(H1443="OUI","À ENROBER",IF(G1443="À SOUDER","NON SOUDÉ","EN ATTENTE RT")),IF(L1443="R","À REPRENDRE",IF(H1443&lt;&gt;"OUI","⚠ ENROBÉ AVANT ACCEPTATION RT","ENROBÉ")))))</f>
        <v>NON SOUDÉ</v>
      </c>
      <c r="O1443" s="80"/>
      <c r="P1443" s="82" t="n">
        <f aca="false">IF(C1443="","",IFERROR(MATCH(Q1443,'CARNET DE SOUDURE'!$AW$7:$AW$3006,0),""))</f>
        <v>1437</v>
      </c>
      <c r="Q1443" s="82" t="str">
        <f aca="false">IF(C1443="","",B1443&amp;"|"&amp;C1443)</f>
        <v>MFD-ISW → MFD-CPF|JN°1203</v>
      </c>
    </row>
    <row r="1444" customFormat="false" ht="74.6" hidden="false" customHeight="false" outlineLevel="0" collapsed="false">
      <c r="A1444" s="82" t="n">
        <f aca="false">IF(C1444="","",ROW()-6)</f>
        <v>1438</v>
      </c>
      <c r="B1444" s="80" t="s">
        <v>110</v>
      </c>
      <c r="C1444" s="113" t="s">
        <v>1727</v>
      </c>
      <c r="D1444" s="82" t="str">
        <f aca="false">IF(OR(C1444="",P1444=""),"",INDEX('CARNET DE SOUDURE'!$D$7:$D$3006,P1444)&amp;"")</f>
        <v>12</v>
      </c>
      <c r="E1444" s="114" t="str">
        <f aca="false">IF(OR(C1444="",P1444=""),"",IF(INDEX('CARNET DE SOUDURE'!$U$7:$U$3006,P1444)="","",INDEX('CARNET DE SOUDURE'!$U$7:$U$3006,P1444)))</f>
        <v/>
      </c>
      <c r="F1444" s="82" t="str">
        <f aca="false">IF(OR(C1444="",P1444=""),"",INDEX('CARNET DE SOUDURE'!$AP$7:$AP$3006,P1444))</f>
        <v/>
      </c>
      <c r="G1444" s="82" t="str">
        <f aca="false">IF(C1444="","",IF(P1444="","NJ INCONNU",INDEX('CARNET DE SOUDURE'!$AQ$7:$AQ$3006,P1444)))</f>
        <v>À SOUDER</v>
      </c>
      <c r="H1444" s="82" t="str">
        <f aca="false">IF(C1444="","",IF(G1444="ACCEPTÉ","OUI","NON"))</f>
        <v>NON</v>
      </c>
      <c r="I1444" s="83"/>
      <c r="J1444" s="80"/>
      <c r="K1444" s="81"/>
      <c r="L1444" s="81"/>
      <c r="M1444" s="81"/>
      <c r="N1444" s="84" t="str">
        <f aca="false">IF(C1444="","",IF(P1444="","NJ INCONNU",IF(I1444="",IF(H1444="OUI","À ENROBER",IF(G1444="À SOUDER","NON SOUDÉ","EN ATTENTE RT")),IF(L1444="R","À REPRENDRE",IF(H1444&lt;&gt;"OUI","⚠ ENROBÉ AVANT ACCEPTATION RT","ENROBÉ")))))</f>
        <v>NON SOUDÉ</v>
      </c>
      <c r="O1444" s="80"/>
      <c r="P1444" s="82" t="n">
        <f aca="false">IF(C1444="","",IFERROR(MATCH(Q1444,'CARNET DE SOUDURE'!$AW$7:$AW$3006,0),""))</f>
        <v>1438</v>
      </c>
      <c r="Q1444" s="82" t="str">
        <f aca="false">IF(C1444="","",B1444&amp;"|"&amp;C1444)</f>
        <v>MFD-ISW → MFD-CPF|JN°1204</v>
      </c>
    </row>
    <row r="1445" customFormat="false" ht="74.6" hidden="false" customHeight="false" outlineLevel="0" collapsed="false">
      <c r="A1445" s="82" t="n">
        <f aca="false">IF(C1445="","",ROW()-6)</f>
        <v>1439</v>
      </c>
      <c r="B1445" s="80" t="s">
        <v>110</v>
      </c>
      <c r="C1445" s="113" t="s">
        <v>1728</v>
      </c>
      <c r="D1445" s="82" t="str">
        <f aca="false">IF(OR(C1445="",P1445=""),"",INDEX('CARNET DE SOUDURE'!$D$7:$D$3006,P1445)&amp;"")</f>
        <v>12</v>
      </c>
      <c r="E1445" s="114" t="str">
        <f aca="false">IF(OR(C1445="",P1445=""),"",IF(INDEX('CARNET DE SOUDURE'!$U$7:$U$3006,P1445)="","",INDEX('CARNET DE SOUDURE'!$U$7:$U$3006,P1445)))</f>
        <v/>
      </c>
      <c r="F1445" s="82" t="str">
        <f aca="false">IF(OR(C1445="",P1445=""),"",INDEX('CARNET DE SOUDURE'!$AP$7:$AP$3006,P1445))</f>
        <v/>
      </c>
      <c r="G1445" s="82" t="str">
        <f aca="false">IF(C1445="","",IF(P1445="","NJ INCONNU",INDEX('CARNET DE SOUDURE'!$AQ$7:$AQ$3006,P1445)))</f>
        <v>À SOUDER</v>
      </c>
      <c r="H1445" s="82" t="str">
        <f aca="false">IF(C1445="","",IF(G1445="ACCEPTÉ","OUI","NON"))</f>
        <v>NON</v>
      </c>
      <c r="I1445" s="83"/>
      <c r="J1445" s="80"/>
      <c r="K1445" s="81"/>
      <c r="L1445" s="81"/>
      <c r="M1445" s="81"/>
      <c r="N1445" s="84" t="str">
        <f aca="false">IF(C1445="","",IF(P1445="","NJ INCONNU",IF(I1445="",IF(H1445="OUI","À ENROBER",IF(G1445="À SOUDER","NON SOUDÉ","EN ATTENTE RT")),IF(L1445="R","À REPRENDRE",IF(H1445&lt;&gt;"OUI","⚠ ENROBÉ AVANT ACCEPTATION RT","ENROBÉ")))))</f>
        <v>NON SOUDÉ</v>
      </c>
      <c r="O1445" s="80"/>
      <c r="P1445" s="82" t="n">
        <f aca="false">IF(C1445="","",IFERROR(MATCH(Q1445,'CARNET DE SOUDURE'!$AW$7:$AW$3006,0),""))</f>
        <v>1439</v>
      </c>
      <c r="Q1445" s="82" t="str">
        <f aca="false">IF(C1445="","",B1445&amp;"|"&amp;C1445)</f>
        <v>MFD-ISW → MFD-CPF|JN°1205</v>
      </c>
    </row>
    <row r="1446" customFormat="false" ht="74.6" hidden="false" customHeight="false" outlineLevel="0" collapsed="false">
      <c r="A1446" s="82" t="n">
        <f aca="false">IF(C1446="","",ROW()-6)</f>
        <v>1440</v>
      </c>
      <c r="B1446" s="80" t="s">
        <v>110</v>
      </c>
      <c r="C1446" s="113" t="s">
        <v>1729</v>
      </c>
      <c r="D1446" s="82" t="str">
        <f aca="false">IF(OR(C1446="",P1446=""),"",INDEX('CARNET DE SOUDURE'!$D$7:$D$3006,P1446)&amp;"")</f>
        <v>12</v>
      </c>
      <c r="E1446" s="114" t="str">
        <f aca="false">IF(OR(C1446="",P1446=""),"",IF(INDEX('CARNET DE SOUDURE'!$U$7:$U$3006,P1446)="","",INDEX('CARNET DE SOUDURE'!$U$7:$U$3006,P1446)))</f>
        <v/>
      </c>
      <c r="F1446" s="82" t="str">
        <f aca="false">IF(OR(C1446="",P1446=""),"",INDEX('CARNET DE SOUDURE'!$AP$7:$AP$3006,P1446))</f>
        <v/>
      </c>
      <c r="G1446" s="82" t="str">
        <f aca="false">IF(C1446="","",IF(P1446="","NJ INCONNU",INDEX('CARNET DE SOUDURE'!$AQ$7:$AQ$3006,P1446)))</f>
        <v>À SOUDER</v>
      </c>
      <c r="H1446" s="82" t="str">
        <f aca="false">IF(C1446="","",IF(G1446="ACCEPTÉ","OUI","NON"))</f>
        <v>NON</v>
      </c>
      <c r="I1446" s="83"/>
      <c r="J1446" s="80"/>
      <c r="K1446" s="81"/>
      <c r="L1446" s="81"/>
      <c r="M1446" s="81"/>
      <c r="N1446" s="84" t="str">
        <f aca="false">IF(C1446="","",IF(P1446="","NJ INCONNU",IF(I1446="",IF(H1446="OUI","À ENROBER",IF(G1446="À SOUDER","NON SOUDÉ","EN ATTENTE RT")),IF(L1446="R","À REPRENDRE",IF(H1446&lt;&gt;"OUI","⚠ ENROBÉ AVANT ACCEPTATION RT","ENROBÉ")))))</f>
        <v>NON SOUDÉ</v>
      </c>
      <c r="O1446" s="80"/>
      <c r="P1446" s="82" t="n">
        <f aca="false">IF(C1446="","",IFERROR(MATCH(Q1446,'CARNET DE SOUDURE'!$AW$7:$AW$3006,0),""))</f>
        <v>1440</v>
      </c>
      <c r="Q1446" s="82" t="str">
        <f aca="false">IF(C1446="","",B1446&amp;"|"&amp;C1446)</f>
        <v>MFD-ISW → MFD-CPF|JN°1206</v>
      </c>
    </row>
    <row r="1447" customFormat="false" ht="74.6" hidden="false" customHeight="false" outlineLevel="0" collapsed="false">
      <c r="A1447" s="82" t="n">
        <f aca="false">IF(C1447="","",ROW()-6)</f>
        <v>1441</v>
      </c>
      <c r="B1447" s="80" t="s">
        <v>110</v>
      </c>
      <c r="C1447" s="113" t="s">
        <v>1730</v>
      </c>
      <c r="D1447" s="82" t="str">
        <f aca="false">IF(OR(C1447="",P1447=""),"",INDEX('CARNET DE SOUDURE'!$D$7:$D$3006,P1447)&amp;"")</f>
        <v>12</v>
      </c>
      <c r="E1447" s="114" t="str">
        <f aca="false">IF(OR(C1447="",P1447=""),"",IF(INDEX('CARNET DE SOUDURE'!$U$7:$U$3006,P1447)="","",INDEX('CARNET DE SOUDURE'!$U$7:$U$3006,P1447)))</f>
        <v/>
      </c>
      <c r="F1447" s="82" t="str">
        <f aca="false">IF(OR(C1447="",P1447=""),"",INDEX('CARNET DE SOUDURE'!$AP$7:$AP$3006,P1447))</f>
        <v/>
      </c>
      <c r="G1447" s="82" t="str">
        <f aca="false">IF(C1447="","",IF(P1447="","NJ INCONNU",INDEX('CARNET DE SOUDURE'!$AQ$7:$AQ$3006,P1447)))</f>
        <v>À SOUDER</v>
      </c>
      <c r="H1447" s="82" t="str">
        <f aca="false">IF(C1447="","",IF(G1447="ACCEPTÉ","OUI","NON"))</f>
        <v>NON</v>
      </c>
      <c r="I1447" s="83"/>
      <c r="J1447" s="80"/>
      <c r="K1447" s="81"/>
      <c r="L1447" s="81"/>
      <c r="M1447" s="81"/>
      <c r="N1447" s="84" t="str">
        <f aca="false">IF(C1447="","",IF(P1447="","NJ INCONNU",IF(I1447="",IF(H1447="OUI","À ENROBER",IF(G1447="À SOUDER","NON SOUDÉ","EN ATTENTE RT")),IF(L1447="R","À REPRENDRE",IF(H1447&lt;&gt;"OUI","⚠ ENROBÉ AVANT ACCEPTATION RT","ENROBÉ")))))</f>
        <v>NON SOUDÉ</v>
      </c>
      <c r="O1447" s="80"/>
      <c r="P1447" s="82" t="n">
        <f aca="false">IF(C1447="","",IFERROR(MATCH(Q1447,'CARNET DE SOUDURE'!$AW$7:$AW$3006,0),""))</f>
        <v>1441</v>
      </c>
      <c r="Q1447" s="82" t="str">
        <f aca="false">IF(C1447="","",B1447&amp;"|"&amp;C1447)</f>
        <v>MFD-ISW → MFD-CPF|JN°1207</v>
      </c>
    </row>
    <row r="1448" customFormat="false" ht="74.6" hidden="false" customHeight="false" outlineLevel="0" collapsed="false">
      <c r="A1448" s="82" t="n">
        <f aca="false">IF(C1448="","",ROW()-6)</f>
        <v>1442</v>
      </c>
      <c r="B1448" s="80" t="s">
        <v>110</v>
      </c>
      <c r="C1448" s="113" t="s">
        <v>1731</v>
      </c>
      <c r="D1448" s="82" t="str">
        <f aca="false">IF(OR(C1448="",P1448=""),"",INDEX('CARNET DE SOUDURE'!$D$7:$D$3006,P1448)&amp;"")</f>
        <v>12</v>
      </c>
      <c r="E1448" s="114" t="str">
        <f aca="false">IF(OR(C1448="",P1448=""),"",IF(INDEX('CARNET DE SOUDURE'!$U$7:$U$3006,P1448)="","",INDEX('CARNET DE SOUDURE'!$U$7:$U$3006,P1448)))</f>
        <v/>
      </c>
      <c r="F1448" s="82" t="str">
        <f aca="false">IF(OR(C1448="",P1448=""),"",INDEX('CARNET DE SOUDURE'!$AP$7:$AP$3006,P1448))</f>
        <v/>
      </c>
      <c r="G1448" s="82" t="str">
        <f aca="false">IF(C1448="","",IF(P1448="","NJ INCONNU",INDEX('CARNET DE SOUDURE'!$AQ$7:$AQ$3006,P1448)))</f>
        <v>À SOUDER</v>
      </c>
      <c r="H1448" s="82" t="str">
        <f aca="false">IF(C1448="","",IF(G1448="ACCEPTÉ","OUI","NON"))</f>
        <v>NON</v>
      </c>
      <c r="I1448" s="83"/>
      <c r="J1448" s="80"/>
      <c r="K1448" s="81"/>
      <c r="L1448" s="81"/>
      <c r="M1448" s="81"/>
      <c r="N1448" s="84" t="str">
        <f aca="false">IF(C1448="","",IF(P1448="","NJ INCONNU",IF(I1448="",IF(H1448="OUI","À ENROBER",IF(G1448="À SOUDER","NON SOUDÉ","EN ATTENTE RT")),IF(L1448="R","À REPRENDRE",IF(H1448&lt;&gt;"OUI","⚠ ENROBÉ AVANT ACCEPTATION RT","ENROBÉ")))))</f>
        <v>NON SOUDÉ</v>
      </c>
      <c r="O1448" s="80"/>
      <c r="P1448" s="82" t="n">
        <f aca="false">IF(C1448="","",IFERROR(MATCH(Q1448,'CARNET DE SOUDURE'!$AW$7:$AW$3006,0),""))</f>
        <v>1442</v>
      </c>
      <c r="Q1448" s="82" t="str">
        <f aca="false">IF(C1448="","",B1448&amp;"|"&amp;C1448)</f>
        <v>MFD-ISW → MFD-CPF|JN°1208</v>
      </c>
    </row>
    <row r="1449" customFormat="false" ht="74.6" hidden="false" customHeight="false" outlineLevel="0" collapsed="false">
      <c r="A1449" s="82" t="n">
        <f aca="false">IF(C1449="","",ROW()-6)</f>
        <v>1443</v>
      </c>
      <c r="B1449" s="80" t="s">
        <v>110</v>
      </c>
      <c r="C1449" s="113" t="s">
        <v>1732</v>
      </c>
      <c r="D1449" s="82" t="str">
        <f aca="false">IF(OR(C1449="",P1449=""),"",INDEX('CARNET DE SOUDURE'!$D$7:$D$3006,P1449)&amp;"")</f>
        <v>12</v>
      </c>
      <c r="E1449" s="114" t="str">
        <f aca="false">IF(OR(C1449="",P1449=""),"",IF(INDEX('CARNET DE SOUDURE'!$U$7:$U$3006,P1449)="","",INDEX('CARNET DE SOUDURE'!$U$7:$U$3006,P1449)))</f>
        <v/>
      </c>
      <c r="F1449" s="82" t="str">
        <f aca="false">IF(OR(C1449="",P1449=""),"",INDEX('CARNET DE SOUDURE'!$AP$7:$AP$3006,P1449))</f>
        <v/>
      </c>
      <c r="G1449" s="82" t="str">
        <f aca="false">IF(C1449="","",IF(P1449="","NJ INCONNU",INDEX('CARNET DE SOUDURE'!$AQ$7:$AQ$3006,P1449)))</f>
        <v>À SOUDER</v>
      </c>
      <c r="H1449" s="82" t="str">
        <f aca="false">IF(C1449="","",IF(G1449="ACCEPTÉ","OUI","NON"))</f>
        <v>NON</v>
      </c>
      <c r="I1449" s="83"/>
      <c r="J1449" s="80"/>
      <c r="K1449" s="81"/>
      <c r="L1449" s="81"/>
      <c r="M1449" s="81"/>
      <c r="N1449" s="84" t="str">
        <f aca="false">IF(C1449="","",IF(P1449="","NJ INCONNU",IF(I1449="",IF(H1449="OUI","À ENROBER",IF(G1449="À SOUDER","NON SOUDÉ","EN ATTENTE RT")),IF(L1449="R","À REPRENDRE",IF(H1449&lt;&gt;"OUI","⚠ ENROBÉ AVANT ACCEPTATION RT","ENROBÉ")))))</f>
        <v>NON SOUDÉ</v>
      </c>
      <c r="O1449" s="80"/>
      <c r="P1449" s="82" t="n">
        <f aca="false">IF(C1449="","",IFERROR(MATCH(Q1449,'CARNET DE SOUDURE'!$AW$7:$AW$3006,0),""))</f>
        <v>1443</v>
      </c>
      <c r="Q1449" s="82" t="str">
        <f aca="false">IF(C1449="","",B1449&amp;"|"&amp;C1449)</f>
        <v>MFD-ISW → MFD-CPF|JN°1209</v>
      </c>
    </row>
    <row r="1450" customFormat="false" ht="74.6" hidden="false" customHeight="false" outlineLevel="0" collapsed="false">
      <c r="A1450" s="82" t="n">
        <f aca="false">IF(C1450="","",ROW()-6)</f>
        <v>1444</v>
      </c>
      <c r="B1450" s="80" t="s">
        <v>110</v>
      </c>
      <c r="C1450" s="113" t="s">
        <v>1733</v>
      </c>
      <c r="D1450" s="82" t="str">
        <f aca="false">IF(OR(C1450="",P1450=""),"",INDEX('CARNET DE SOUDURE'!$D$7:$D$3006,P1450)&amp;"")</f>
        <v>12</v>
      </c>
      <c r="E1450" s="114" t="str">
        <f aca="false">IF(OR(C1450="",P1450=""),"",IF(INDEX('CARNET DE SOUDURE'!$U$7:$U$3006,P1450)="","",INDEX('CARNET DE SOUDURE'!$U$7:$U$3006,P1450)))</f>
        <v/>
      </c>
      <c r="F1450" s="82" t="str">
        <f aca="false">IF(OR(C1450="",P1450=""),"",INDEX('CARNET DE SOUDURE'!$AP$7:$AP$3006,P1450))</f>
        <v/>
      </c>
      <c r="G1450" s="82" t="str">
        <f aca="false">IF(C1450="","",IF(P1450="","NJ INCONNU",INDEX('CARNET DE SOUDURE'!$AQ$7:$AQ$3006,P1450)))</f>
        <v>À SOUDER</v>
      </c>
      <c r="H1450" s="82" t="str">
        <f aca="false">IF(C1450="","",IF(G1450="ACCEPTÉ","OUI","NON"))</f>
        <v>NON</v>
      </c>
      <c r="I1450" s="83"/>
      <c r="J1450" s="80"/>
      <c r="K1450" s="81"/>
      <c r="L1450" s="81"/>
      <c r="M1450" s="81"/>
      <c r="N1450" s="84" t="str">
        <f aca="false">IF(C1450="","",IF(P1450="","NJ INCONNU",IF(I1450="",IF(H1450="OUI","À ENROBER",IF(G1450="À SOUDER","NON SOUDÉ","EN ATTENTE RT")),IF(L1450="R","À REPRENDRE",IF(H1450&lt;&gt;"OUI","⚠ ENROBÉ AVANT ACCEPTATION RT","ENROBÉ")))))</f>
        <v>NON SOUDÉ</v>
      </c>
      <c r="O1450" s="80"/>
      <c r="P1450" s="82" t="n">
        <f aca="false">IF(C1450="","",IFERROR(MATCH(Q1450,'CARNET DE SOUDURE'!$AW$7:$AW$3006,0),""))</f>
        <v>1444</v>
      </c>
      <c r="Q1450" s="82" t="str">
        <f aca="false">IF(C1450="","",B1450&amp;"|"&amp;C1450)</f>
        <v>MFD-ISW → MFD-CPF|JN°1210</v>
      </c>
    </row>
    <row r="1451" customFormat="false" ht="74.6" hidden="false" customHeight="false" outlineLevel="0" collapsed="false">
      <c r="A1451" s="82" t="n">
        <f aca="false">IF(C1451="","",ROW()-6)</f>
        <v>1445</v>
      </c>
      <c r="B1451" s="80" t="s">
        <v>110</v>
      </c>
      <c r="C1451" s="113" t="s">
        <v>1734</v>
      </c>
      <c r="D1451" s="82" t="str">
        <f aca="false">IF(OR(C1451="",P1451=""),"",INDEX('CARNET DE SOUDURE'!$D$7:$D$3006,P1451)&amp;"")</f>
        <v>12</v>
      </c>
      <c r="E1451" s="114" t="str">
        <f aca="false">IF(OR(C1451="",P1451=""),"",IF(INDEX('CARNET DE SOUDURE'!$U$7:$U$3006,P1451)="","",INDEX('CARNET DE SOUDURE'!$U$7:$U$3006,P1451)))</f>
        <v/>
      </c>
      <c r="F1451" s="82" t="str">
        <f aca="false">IF(OR(C1451="",P1451=""),"",INDEX('CARNET DE SOUDURE'!$AP$7:$AP$3006,P1451))</f>
        <v/>
      </c>
      <c r="G1451" s="82" t="str">
        <f aca="false">IF(C1451="","",IF(P1451="","NJ INCONNU",INDEX('CARNET DE SOUDURE'!$AQ$7:$AQ$3006,P1451)))</f>
        <v>À SOUDER</v>
      </c>
      <c r="H1451" s="82" t="str">
        <f aca="false">IF(C1451="","",IF(G1451="ACCEPTÉ","OUI","NON"))</f>
        <v>NON</v>
      </c>
      <c r="I1451" s="83"/>
      <c r="J1451" s="80"/>
      <c r="K1451" s="81"/>
      <c r="L1451" s="81"/>
      <c r="M1451" s="81"/>
      <c r="N1451" s="84" t="str">
        <f aca="false">IF(C1451="","",IF(P1451="","NJ INCONNU",IF(I1451="",IF(H1451="OUI","À ENROBER",IF(G1451="À SOUDER","NON SOUDÉ","EN ATTENTE RT")),IF(L1451="R","À REPRENDRE",IF(H1451&lt;&gt;"OUI","⚠ ENROBÉ AVANT ACCEPTATION RT","ENROBÉ")))))</f>
        <v>NON SOUDÉ</v>
      </c>
      <c r="O1451" s="80"/>
      <c r="P1451" s="82" t="n">
        <f aca="false">IF(C1451="","",IFERROR(MATCH(Q1451,'CARNET DE SOUDURE'!$AW$7:$AW$3006,0),""))</f>
        <v>1445</v>
      </c>
      <c r="Q1451" s="82" t="str">
        <f aca="false">IF(C1451="","",B1451&amp;"|"&amp;C1451)</f>
        <v>MFD-ISW → MFD-CPF|JN°1211</v>
      </c>
    </row>
    <row r="1452" customFormat="false" ht="74.6" hidden="false" customHeight="false" outlineLevel="0" collapsed="false">
      <c r="A1452" s="82" t="n">
        <f aca="false">IF(C1452="","",ROW()-6)</f>
        <v>1446</v>
      </c>
      <c r="B1452" s="80" t="s">
        <v>110</v>
      </c>
      <c r="C1452" s="113" t="s">
        <v>1735</v>
      </c>
      <c r="D1452" s="82" t="str">
        <f aca="false">IF(OR(C1452="",P1452=""),"",INDEX('CARNET DE SOUDURE'!$D$7:$D$3006,P1452)&amp;"")</f>
        <v>12</v>
      </c>
      <c r="E1452" s="114" t="str">
        <f aca="false">IF(OR(C1452="",P1452=""),"",IF(INDEX('CARNET DE SOUDURE'!$U$7:$U$3006,P1452)="","",INDEX('CARNET DE SOUDURE'!$U$7:$U$3006,P1452)))</f>
        <v/>
      </c>
      <c r="F1452" s="82" t="str">
        <f aca="false">IF(OR(C1452="",P1452=""),"",INDEX('CARNET DE SOUDURE'!$AP$7:$AP$3006,P1452))</f>
        <v/>
      </c>
      <c r="G1452" s="82" t="str">
        <f aca="false">IF(C1452="","",IF(P1452="","NJ INCONNU",INDEX('CARNET DE SOUDURE'!$AQ$7:$AQ$3006,P1452)))</f>
        <v>À SOUDER</v>
      </c>
      <c r="H1452" s="82" t="str">
        <f aca="false">IF(C1452="","",IF(G1452="ACCEPTÉ","OUI","NON"))</f>
        <v>NON</v>
      </c>
      <c r="I1452" s="83"/>
      <c r="J1452" s="80"/>
      <c r="K1452" s="81"/>
      <c r="L1452" s="81"/>
      <c r="M1452" s="81"/>
      <c r="N1452" s="84" t="str">
        <f aca="false">IF(C1452="","",IF(P1452="","NJ INCONNU",IF(I1452="",IF(H1452="OUI","À ENROBER",IF(G1452="À SOUDER","NON SOUDÉ","EN ATTENTE RT")),IF(L1452="R","À REPRENDRE",IF(H1452&lt;&gt;"OUI","⚠ ENROBÉ AVANT ACCEPTATION RT","ENROBÉ")))))</f>
        <v>NON SOUDÉ</v>
      </c>
      <c r="O1452" s="80"/>
      <c r="P1452" s="82" t="n">
        <f aca="false">IF(C1452="","",IFERROR(MATCH(Q1452,'CARNET DE SOUDURE'!$AW$7:$AW$3006,0),""))</f>
        <v>1446</v>
      </c>
      <c r="Q1452" s="82" t="str">
        <f aca="false">IF(C1452="","",B1452&amp;"|"&amp;C1452)</f>
        <v>MFD-ISW → MFD-CPF|JN°1212</v>
      </c>
    </row>
    <row r="1453" customFormat="false" ht="74.6" hidden="false" customHeight="false" outlineLevel="0" collapsed="false">
      <c r="A1453" s="82" t="n">
        <f aca="false">IF(C1453="","",ROW()-6)</f>
        <v>1447</v>
      </c>
      <c r="B1453" s="80" t="s">
        <v>110</v>
      </c>
      <c r="C1453" s="113" t="s">
        <v>1736</v>
      </c>
      <c r="D1453" s="82" t="str">
        <f aca="false">IF(OR(C1453="",P1453=""),"",INDEX('CARNET DE SOUDURE'!$D$7:$D$3006,P1453)&amp;"")</f>
        <v>12</v>
      </c>
      <c r="E1453" s="114" t="str">
        <f aca="false">IF(OR(C1453="",P1453=""),"",IF(INDEX('CARNET DE SOUDURE'!$U$7:$U$3006,P1453)="","",INDEX('CARNET DE SOUDURE'!$U$7:$U$3006,P1453)))</f>
        <v/>
      </c>
      <c r="F1453" s="82" t="str">
        <f aca="false">IF(OR(C1453="",P1453=""),"",INDEX('CARNET DE SOUDURE'!$AP$7:$AP$3006,P1453))</f>
        <v/>
      </c>
      <c r="G1453" s="82" t="str">
        <f aca="false">IF(C1453="","",IF(P1453="","NJ INCONNU",INDEX('CARNET DE SOUDURE'!$AQ$7:$AQ$3006,P1453)))</f>
        <v>À SOUDER</v>
      </c>
      <c r="H1453" s="82" t="str">
        <f aca="false">IF(C1453="","",IF(G1453="ACCEPTÉ","OUI","NON"))</f>
        <v>NON</v>
      </c>
      <c r="I1453" s="83"/>
      <c r="J1453" s="80"/>
      <c r="K1453" s="81"/>
      <c r="L1453" s="81"/>
      <c r="M1453" s="81"/>
      <c r="N1453" s="84" t="str">
        <f aca="false">IF(C1453="","",IF(P1453="","NJ INCONNU",IF(I1453="",IF(H1453="OUI","À ENROBER",IF(G1453="À SOUDER","NON SOUDÉ","EN ATTENTE RT")),IF(L1453="R","À REPRENDRE",IF(H1453&lt;&gt;"OUI","⚠ ENROBÉ AVANT ACCEPTATION RT","ENROBÉ")))))</f>
        <v>NON SOUDÉ</v>
      </c>
      <c r="O1453" s="80"/>
      <c r="P1453" s="82" t="n">
        <f aca="false">IF(C1453="","",IFERROR(MATCH(Q1453,'CARNET DE SOUDURE'!$AW$7:$AW$3006,0),""))</f>
        <v>1447</v>
      </c>
      <c r="Q1453" s="82" t="str">
        <f aca="false">IF(C1453="","",B1453&amp;"|"&amp;C1453)</f>
        <v>MFD-ISW → MFD-CPF|JN°1213</v>
      </c>
    </row>
    <row r="1454" customFormat="false" ht="74.6" hidden="false" customHeight="false" outlineLevel="0" collapsed="false">
      <c r="A1454" s="82" t="n">
        <f aca="false">IF(C1454="","",ROW()-6)</f>
        <v>1448</v>
      </c>
      <c r="B1454" s="80" t="s">
        <v>110</v>
      </c>
      <c r="C1454" s="113" t="s">
        <v>1737</v>
      </c>
      <c r="D1454" s="82" t="str">
        <f aca="false">IF(OR(C1454="",P1454=""),"",INDEX('CARNET DE SOUDURE'!$D$7:$D$3006,P1454)&amp;"")</f>
        <v>12</v>
      </c>
      <c r="E1454" s="114" t="str">
        <f aca="false">IF(OR(C1454="",P1454=""),"",IF(INDEX('CARNET DE SOUDURE'!$U$7:$U$3006,P1454)="","",INDEX('CARNET DE SOUDURE'!$U$7:$U$3006,P1454)))</f>
        <v/>
      </c>
      <c r="F1454" s="82" t="str">
        <f aca="false">IF(OR(C1454="",P1454=""),"",INDEX('CARNET DE SOUDURE'!$AP$7:$AP$3006,P1454))</f>
        <v/>
      </c>
      <c r="G1454" s="82" t="str">
        <f aca="false">IF(C1454="","",IF(P1454="","NJ INCONNU",INDEX('CARNET DE SOUDURE'!$AQ$7:$AQ$3006,P1454)))</f>
        <v>À SOUDER</v>
      </c>
      <c r="H1454" s="82" t="str">
        <f aca="false">IF(C1454="","",IF(G1454="ACCEPTÉ","OUI","NON"))</f>
        <v>NON</v>
      </c>
      <c r="I1454" s="83"/>
      <c r="J1454" s="80"/>
      <c r="K1454" s="81"/>
      <c r="L1454" s="81"/>
      <c r="M1454" s="81"/>
      <c r="N1454" s="84" t="str">
        <f aca="false">IF(C1454="","",IF(P1454="","NJ INCONNU",IF(I1454="",IF(H1454="OUI","À ENROBER",IF(G1454="À SOUDER","NON SOUDÉ","EN ATTENTE RT")),IF(L1454="R","À REPRENDRE",IF(H1454&lt;&gt;"OUI","⚠ ENROBÉ AVANT ACCEPTATION RT","ENROBÉ")))))</f>
        <v>NON SOUDÉ</v>
      </c>
      <c r="O1454" s="80"/>
      <c r="P1454" s="82" t="n">
        <f aca="false">IF(C1454="","",IFERROR(MATCH(Q1454,'CARNET DE SOUDURE'!$AW$7:$AW$3006,0),""))</f>
        <v>1448</v>
      </c>
      <c r="Q1454" s="82" t="str">
        <f aca="false">IF(C1454="","",B1454&amp;"|"&amp;C1454)</f>
        <v>MFD-ISW → MFD-CPF|JN°1214</v>
      </c>
    </row>
    <row r="1455" customFormat="false" ht="74.6" hidden="false" customHeight="false" outlineLevel="0" collapsed="false">
      <c r="A1455" s="82" t="n">
        <f aca="false">IF(C1455="","",ROW()-6)</f>
        <v>1449</v>
      </c>
      <c r="B1455" s="80" t="s">
        <v>110</v>
      </c>
      <c r="C1455" s="113" t="s">
        <v>1738</v>
      </c>
      <c r="D1455" s="82" t="str">
        <f aca="false">IF(OR(C1455="",P1455=""),"",INDEX('CARNET DE SOUDURE'!$D$7:$D$3006,P1455)&amp;"")</f>
        <v>12</v>
      </c>
      <c r="E1455" s="114" t="str">
        <f aca="false">IF(OR(C1455="",P1455=""),"",IF(INDEX('CARNET DE SOUDURE'!$U$7:$U$3006,P1455)="","",INDEX('CARNET DE SOUDURE'!$U$7:$U$3006,P1455)))</f>
        <v/>
      </c>
      <c r="F1455" s="82" t="str">
        <f aca="false">IF(OR(C1455="",P1455=""),"",INDEX('CARNET DE SOUDURE'!$AP$7:$AP$3006,P1455))</f>
        <v/>
      </c>
      <c r="G1455" s="82" t="str">
        <f aca="false">IF(C1455="","",IF(P1455="","NJ INCONNU",INDEX('CARNET DE SOUDURE'!$AQ$7:$AQ$3006,P1455)))</f>
        <v>À SOUDER</v>
      </c>
      <c r="H1455" s="82" t="str">
        <f aca="false">IF(C1455="","",IF(G1455="ACCEPTÉ","OUI","NON"))</f>
        <v>NON</v>
      </c>
      <c r="I1455" s="83"/>
      <c r="J1455" s="80"/>
      <c r="K1455" s="81"/>
      <c r="L1455" s="81"/>
      <c r="M1455" s="81"/>
      <c r="N1455" s="84" t="str">
        <f aca="false">IF(C1455="","",IF(P1455="","NJ INCONNU",IF(I1455="",IF(H1455="OUI","À ENROBER",IF(G1455="À SOUDER","NON SOUDÉ","EN ATTENTE RT")),IF(L1455="R","À REPRENDRE",IF(H1455&lt;&gt;"OUI","⚠ ENROBÉ AVANT ACCEPTATION RT","ENROBÉ")))))</f>
        <v>NON SOUDÉ</v>
      </c>
      <c r="O1455" s="80"/>
      <c r="P1455" s="82" t="n">
        <f aca="false">IF(C1455="","",IFERROR(MATCH(Q1455,'CARNET DE SOUDURE'!$AW$7:$AW$3006,0),""))</f>
        <v>1449</v>
      </c>
      <c r="Q1455" s="82" t="str">
        <f aca="false">IF(C1455="","",B1455&amp;"|"&amp;C1455)</f>
        <v>MFD-ISW → MFD-CPF|JN°1215</v>
      </c>
    </row>
    <row r="1456" customFormat="false" ht="74.6" hidden="false" customHeight="false" outlineLevel="0" collapsed="false">
      <c r="A1456" s="82" t="n">
        <f aca="false">IF(C1456="","",ROW()-6)</f>
        <v>1450</v>
      </c>
      <c r="B1456" s="80" t="s">
        <v>110</v>
      </c>
      <c r="C1456" s="113" t="s">
        <v>1739</v>
      </c>
      <c r="D1456" s="82" t="str">
        <f aca="false">IF(OR(C1456="",P1456=""),"",INDEX('CARNET DE SOUDURE'!$D$7:$D$3006,P1456)&amp;"")</f>
        <v>12</v>
      </c>
      <c r="E1456" s="114" t="str">
        <f aca="false">IF(OR(C1456="",P1456=""),"",IF(INDEX('CARNET DE SOUDURE'!$U$7:$U$3006,P1456)="","",INDEX('CARNET DE SOUDURE'!$U$7:$U$3006,P1456)))</f>
        <v/>
      </c>
      <c r="F1456" s="82" t="str">
        <f aca="false">IF(OR(C1456="",P1456=""),"",INDEX('CARNET DE SOUDURE'!$AP$7:$AP$3006,P1456))</f>
        <v/>
      </c>
      <c r="G1456" s="82" t="str">
        <f aca="false">IF(C1456="","",IF(P1456="","NJ INCONNU",INDEX('CARNET DE SOUDURE'!$AQ$7:$AQ$3006,P1456)))</f>
        <v>À SOUDER</v>
      </c>
      <c r="H1456" s="82" t="str">
        <f aca="false">IF(C1456="","",IF(G1456="ACCEPTÉ","OUI","NON"))</f>
        <v>NON</v>
      </c>
      <c r="I1456" s="83"/>
      <c r="J1456" s="80"/>
      <c r="K1456" s="81"/>
      <c r="L1456" s="81"/>
      <c r="M1456" s="81"/>
      <c r="N1456" s="84" t="str">
        <f aca="false">IF(C1456="","",IF(P1456="","NJ INCONNU",IF(I1456="",IF(H1456="OUI","À ENROBER",IF(G1456="À SOUDER","NON SOUDÉ","EN ATTENTE RT")),IF(L1456="R","À REPRENDRE",IF(H1456&lt;&gt;"OUI","⚠ ENROBÉ AVANT ACCEPTATION RT","ENROBÉ")))))</f>
        <v>NON SOUDÉ</v>
      </c>
      <c r="O1456" s="80"/>
      <c r="P1456" s="82" t="n">
        <f aca="false">IF(C1456="","",IFERROR(MATCH(Q1456,'CARNET DE SOUDURE'!$AW$7:$AW$3006,0),""))</f>
        <v>1450</v>
      </c>
      <c r="Q1456" s="82" t="str">
        <f aca="false">IF(C1456="","",B1456&amp;"|"&amp;C1456)</f>
        <v>MFD-ISW → MFD-CPF|JN°1216</v>
      </c>
    </row>
    <row r="1457" customFormat="false" ht="74.6" hidden="false" customHeight="false" outlineLevel="0" collapsed="false">
      <c r="A1457" s="82" t="n">
        <f aca="false">IF(C1457="","",ROW()-6)</f>
        <v>1451</v>
      </c>
      <c r="B1457" s="80" t="s">
        <v>110</v>
      </c>
      <c r="C1457" s="113" t="s">
        <v>1740</v>
      </c>
      <c r="D1457" s="82" t="str">
        <f aca="false">IF(OR(C1457="",P1457=""),"",INDEX('CARNET DE SOUDURE'!$D$7:$D$3006,P1457)&amp;"")</f>
        <v>12</v>
      </c>
      <c r="E1457" s="114" t="str">
        <f aca="false">IF(OR(C1457="",P1457=""),"",IF(INDEX('CARNET DE SOUDURE'!$U$7:$U$3006,P1457)="","",INDEX('CARNET DE SOUDURE'!$U$7:$U$3006,P1457)))</f>
        <v/>
      </c>
      <c r="F1457" s="82" t="str">
        <f aca="false">IF(OR(C1457="",P1457=""),"",INDEX('CARNET DE SOUDURE'!$AP$7:$AP$3006,P1457))</f>
        <v/>
      </c>
      <c r="G1457" s="82" t="str">
        <f aca="false">IF(C1457="","",IF(P1457="","NJ INCONNU",INDEX('CARNET DE SOUDURE'!$AQ$7:$AQ$3006,P1457)))</f>
        <v>À SOUDER</v>
      </c>
      <c r="H1457" s="82" t="str">
        <f aca="false">IF(C1457="","",IF(G1457="ACCEPTÉ","OUI","NON"))</f>
        <v>NON</v>
      </c>
      <c r="I1457" s="83"/>
      <c r="J1457" s="80"/>
      <c r="K1457" s="81"/>
      <c r="L1457" s="81"/>
      <c r="M1457" s="81"/>
      <c r="N1457" s="84" t="str">
        <f aca="false">IF(C1457="","",IF(P1457="","NJ INCONNU",IF(I1457="",IF(H1457="OUI","À ENROBER",IF(G1457="À SOUDER","NON SOUDÉ","EN ATTENTE RT")),IF(L1457="R","À REPRENDRE",IF(H1457&lt;&gt;"OUI","⚠ ENROBÉ AVANT ACCEPTATION RT","ENROBÉ")))))</f>
        <v>NON SOUDÉ</v>
      </c>
      <c r="O1457" s="80"/>
      <c r="P1457" s="82" t="n">
        <f aca="false">IF(C1457="","",IFERROR(MATCH(Q1457,'CARNET DE SOUDURE'!$AW$7:$AW$3006,0),""))</f>
        <v>1451</v>
      </c>
      <c r="Q1457" s="82" t="str">
        <f aca="false">IF(C1457="","",B1457&amp;"|"&amp;C1457)</f>
        <v>MFD-ISW → MFD-CPF|JN°1217</v>
      </c>
    </row>
    <row r="1458" customFormat="false" ht="74.6" hidden="false" customHeight="false" outlineLevel="0" collapsed="false">
      <c r="A1458" s="82" t="n">
        <f aca="false">IF(C1458="","",ROW()-6)</f>
        <v>1452</v>
      </c>
      <c r="B1458" s="80" t="s">
        <v>110</v>
      </c>
      <c r="C1458" s="113" t="s">
        <v>1741</v>
      </c>
      <c r="D1458" s="82" t="str">
        <f aca="false">IF(OR(C1458="",P1458=""),"",INDEX('CARNET DE SOUDURE'!$D$7:$D$3006,P1458)&amp;"")</f>
        <v>12</v>
      </c>
      <c r="E1458" s="114" t="str">
        <f aca="false">IF(OR(C1458="",P1458=""),"",IF(INDEX('CARNET DE SOUDURE'!$U$7:$U$3006,P1458)="","",INDEX('CARNET DE SOUDURE'!$U$7:$U$3006,P1458)))</f>
        <v/>
      </c>
      <c r="F1458" s="82" t="str">
        <f aca="false">IF(OR(C1458="",P1458=""),"",INDEX('CARNET DE SOUDURE'!$AP$7:$AP$3006,P1458))</f>
        <v/>
      </c>
      <c r="G1458" s="82" t="str">
        <f aca="false">IF(C1458="","",IF(P1458="","NJ INCONNU",INDEX('CARNET DE SOUDURE'!$AQ$7:$AQ$3006,P1458)))</f>
        <v>À SOUDER</v>
      </c>
      <c r="H1458" s="82" t="str">
        <f aca="false">IF(C1458="","",IF(G1458="ACCEPTÉ","OUI","NON"))</f>
        <v>NON</v>
      </c>
      <c r="I1458" s="83"/>
      <c r="J1458" s="80"/>
      <c r="K1458" s="81"/>
      <c r="L1458" s="81"/>
      <c r="M1458" s="81"/>
      <c r="N1458" s="84" t="str">
        <f aca="false">IF(C1458="","",IF(P1458="","NJ INCONNU",IF(I1458="",IF(H1458="OUI","À ENROBER",IF(G1458="À SOUDER","NON SOUDÉ","EN ATTENTE RT")),IF(L1458="R","À REPRENDRE",IF(H1458&lt;&gt;"OUI","⚠ ENROBÉ AVANT ACCEPTATION RT","ENROBÉ")))))</f>
        <v>NON SOUDÉ</v>
      </c>
      <c r="O1458" s="80"/>
      <c r="P1458" s="82" t="n">
        <f aca="false">IF(C1458="","",IFERROR(MATCH(Q1458,'CARNET DE SOUDURE'!$AW$7:$AW$3006,0),""))</f>
        <v>1452</v>
      </c>
      <c r="Q1458" s="82" t="str">
        <f aca="false">IF(C1458="","",B1458&amp;"|"&amp;C1458)</f>
        <v>MFD-ISW → MFD-CPF|JN°1218</v>
      </c>
    </row>
    <row r="1459" customFormat="false" ht="74.6" hidden="false" customHeight="false" outlineLevel="0" collapsed="false">
      <c r="A1459" s="82" t="n">
        <f aca="false">IF(C1459="","",ROW()-6)</f>
        <v>1453</v>
      </c>
      <c r="B1459" s="80" t="s">
        <v>110</v>
      </c>
      <c r="C1459" s="113" t="s">
        <v>1742</v>
      </c>
      <c r="D1459" s="82" t="str">
        <f aca="false">IF(OR(C1459="",P1459=""),"",INDEX('CARNET DE SOUDURE'!$D$7:$D$3006,P1459)&amp;"")</f>
        <v>12</v>
      </c>
      <c r="E1459" s="114" t="str">
        <f aca="false">IF(OR(C1459="",P1459=""),"",IF(INDEX('CARNET DE SOUDURE'!$U$7:$U$3006,P1459)="","",INDEX('CARNET DE SOUDURE'!$U$7:$U$3006,P1459)))</f>
        <v/>
      </c>
      <c r="F1459" s="82" t="str">
        <f aca="false">IF(OR(C1459="",P1459=""),"",INDEX('CARNET DE SOUDURE'!$AP$7:$AP$3006,P1459))</f>
        <v/>
      </c>
      <c r="G1459" s="82" t="str">
        <f aca="false">IF(C1459="","",IF(P1459="","NJ INCONNU",INDEX('CARNET DE SOUDURE'!$AQ$7:$AQ$3006,P1459)))</f>
        <v>À SOUDER</v>
      </c>
      <c r="H1459" s="82" t="str">
        <f aca="false">IF(C1459="","",IF(G1459="ACCEPTÉ","OUI","NON"))</f>
        <v>NON</v>
      </c>
      <c r="I1459" s="83"/>
      <c r="J1459" s="80"/>
      <c r="K1459" s="81"/>
      <c r="L1459" s="81"/>
      <c r="M1459" s="81"/>
      <c r="N1459" s="84" t="str">
        <f aca="false">IF(C1459="","",IF(P1459="","NJ INCONNU",IF(I1459="",IF(H1459="OUI","À ENROBER",IF(G1459="À SOUDER","NON SOUDÉ","EN ATTENTE RT")),IF(L1459="R","À REPRENDRE",IF(H1459&lt;&gt;"OUI","⚠ ENROBÉ AVANT ACCEPTATION RT","ENROBÉ")))))</f>
        <v>NON SOUDÉ</v>
      </c>
      <c r="O1459" s="80"/>
      <c r="P1459" s="82" t="n">
        <f aca="false">IF(C1459="","",IFERROR(MATCH(Q1459,'CARNET DE SOUDURE'!$AW$7:$AW$3006,0),""))</f>
        <v>1453</v>
      </c>
      <c r="Q1459" s="82" t="str">
        <f aca="false">IF(C1459="","",B1459&amp;"|"&amp;C1459)</f>
        <v>MFD-ISW → MFD-CPF|JN°1219</v>
      </c>
    </row>
    <row r="1460" customFormat="false" ht="74.6" hidden="false" customHeight="false" outlineLevel="0" collapsed="false">
      <c r="A1460" s="82" t="n">
        <f aca="false">IF(C1460="","",ROW()-6)</f>
        <v>1454</v>
      </c>
      <c r="B1460" s="80" t="s">
        <v>110</v>
      </c>
      <c r="C1460" s="113" t="s">
        <v>1743</v>
      </c>
      <c r="D1460" s="82" t="str">
        <f aca="false">IF(OR(C1460="",P1460=""),"",INDEX('CARNET DE SOUDURE'!$D$7:$D$3006,P1460)&amp;"")</f>
        <v>12</v>
      </c>
      <c r="E1460" s="114" t="str">
        <f aca="false">IF(OR(C1460="",P1460=""),"",IF(INDEX('CARNET DE SOUDURE'!$U$7:$U$3006,P1460)="","",INDEX('CARNET DE SOUDURE'!$U$7:$U$3006,P1460)))</f>
        <v/>
      </c>
      <c r="F1460" s="82" t="str">
        <f aca="false">IF(OR(C1460="",P1460=""),"",INDEX('CARNET DE SOUDURE'!$AP$7:$AP$3006,P1460))</f>
        <v/>
      </c>
      <c r="G1460" s="82" t="str">
        <f aca="false">IF(C1460="","",IF(P1460="","NJ INCONNU",INDEX('CARNET DE SOUDURE'!$AQ$7:$AQ$3006,P1460)))</f>
        <v>À SOUDER</v>
      </c>
      <c r="H1460" s="82" t="str">
        <f aca="false">IF(C1460="","",IF(G1460="ACCEPTÉ","OUI","NON"))</f>
        <v>NON</v>
      </c>
      <c r="I1460" s="83"/>
      <c r="J1460" s="80"/>
      <c r="K1460" s="81"/>
      <c r="L1460" s="81"/>
      <c r="M1460" s="81"/>
      <c r="N1460" s="84" t="str">
        <f aca="false">IF(C1460="","",IF(P1460="","NJ INCONNU",IF(I1460="",IF(H1460="OUI","À ENROBER",IF(G1460="À SOUDER","NON SOUDÉ","EN ATTENTE RT")),IF(L1460="R","À REPRENDRE",IF(H1460&lt;&gt;"OUI","⚠ ENROBÉ AVANT ACCEPTATION RT","ENROBÉ")))))</f>
        <v>NON SOUDÉ</v>
      </c>
      <c r="O1460" s="80"/>
      <c r="P1460" s="82" t="n">
        <f aca="false">IF(C1460="","",IFERROR(MATCH(Q1460,'CARNET DE SOUDURE'!$AW$7:$AW$3006,0),""))</f>
        <v>1454</v>
      </c>
      <c r="Q1460" s="82" t="str">
        <f aca="false">IF(C1460="","",B1460&amp;"|"&amp;C1460)</f>
        <v>MFD-ISW → MFD-CPF|JN°1220</v>
      </c>
    </row>
    <row r="1461" customFormat="false" ht="74.6" hidden="false" customHeight="false" outlineLevel="0" collapsed="false">
      <c r="A1461" s="82" t="n">
        <f aca="false">IF(C1461="","",ROW()-6)</f>
        <v>1455</v>
      </c>
      <c r="B1461" s="80" t="s">
        <v>110</v>
      </c>
      <c r="C1461" s="113" t="s">
        <v>1744</v>
      </c>
      <c r="D1461" s="82" t="str">
        <f aca="false">IF(OR(C1461="",P1461=""),"",INDEX('CARNET DE SOUDURE'!$D$7:$D$3006,P1461)&amp;"")</f>
        <v>12</v>
      </c>
      <c r="E1461" s="114" t="str">
        <f aca="false">IF(OR(C1461="",P1461=""),"",IF(INDEX('CARNET DE SOUDURE'!$U$7:$U$3006,P1461)="","",INDEX('CARNET DE SOUDURE'!$U$7:$U$3006,P1461)))</f>
        <v/>
      </c>
      <c r="F1461" s="82" t="str">
        <f aca="false">IF(OR(C1461="",P1461=""),"",INDEX('CARNET DE SOUDURE'!$AP$7:$AP$3006,P1461))</f>
        <v/>
      </c>
      <c r="G1461" s="82" t="str">
        <f aca="false">IF(C1461="","",IF(P1461="","NJ INCONNU",INDEX('CARNET DE SOUDURE'!$AQ$7:$AQ$3006,P1461)))</f>
        <v>À SOUDER</v>
      </c>
      <c r="H1461" s="82" t="str">
        <f aca="false">IF(C1461="","",IF(G1461="ACCEPTÉ","OUI","NON"))</f>
        <v>NON</v>
      </c>
      <c r="I1461" s="83"/>
      <c r="J1461" s="80"/>
      <c r="K1461" s="81"/>
      <c r="L1461" s="81"/>
      <c r="M1461" s="81"/>
      <c r="N1461" s="84" t="str">
        <f aca="false">IF(C1461="","",IF(P1461="","NJ INCONNU",IF(I1461="",IF(H1461="OUI","À ENROBER",IF(G1461="À SOUDER","NON SOUDÉ","EN ATTENTE RT")),IF(L1461="R","À REPRENDRE",IF(H1461&lt;&gt;"OUI","⚠ ENROBÉ AVANT ACCEPTATION RT","ENROBÉ")))))</f>
        <v>NON SOUDÉ</v>
      </c>
      <c r="O1461" s="80"/>
      <c r="P1461" s="82" t="n">
        <f aca="false">IF(C1461="","",IFERROR(MATCH(Q1461,'CARNET DE SOUDURE'!$AW$7:$AW$3006,0),""))</f>
        <v>1455</v>
      </c>
      <c r="Q1461" s="82" t="str">
        <f aca="false">IF(C1461="","",B1461&amp;"|"&amp;C1461)</f>
        <v>MFD-ISW → MFD-CPF|JN°1221</v>
      </c>
    </row>
    <row r="1462" customFormat="false" ht="74.6" hidden="false" customHeight="false" outlineLevel="0" collapsed="false">
      <c r="A1462" s="82" t="n">
        <f aca="false">IF(C1462="","",ROW()-6)</f>
        <v>1456</v>
      </c>
      <c r="B1462" s="80" t="s">
        <v>110</v>
      </c>
      <c r="C1462" s="113" t="s">
        <v>1745</v>
      </c>
      <c r="D1462" s="82" t="str">
        <f aca="false">IF(OR(C1462="",P1462=""),"",INDEX('CARNET DE SOUDURE'!$D$7:$D$3006,P1462)&amp;"")</f>
        <v>12</v>
      </c>
      <c r="E1462" s="114" t="str">
        <f aca="false">IF(OR(C1462="",P1462=""),"",IF(INDEX('CARNET DE SOUDURE'!$U$7:$U$3006,P1462)="","",INDEX('CARNET DE SOUDURE'!$U$7:$U$3006,P1462)))</f>
        <v/>
      </c>
      <c r="F1462" s="82" t="str">
        <f aca="false">IF(OR(C1462="",P1462=""),"",INDEX('CARNET DE SOUDURE'!$AP$7:$AP$3006,P1462))</f>
        <v/>
      </c>
      <c r="G1462" s="82" t="str">
        <f aca="false">IF(C1462="","",IF(P1462="","NJ INCONNU",INDEX('CARNET DE SOUDURE'!$AQ$7:$AQ$3006,P1462)))</f>
        <v>À SOUDER</v>
      </c>
      <c r="H1462" s="82" t="str">
        <f aca="false">IF(C1462="","",IF(G1462="ACCEPTÉ","OUI","NON"))</f>
        <v>NON</v>
      </c>
      <c r="I1462" s="83"/>
      <c r="J1462" s="80"/>
      <c r="K1462" s="81"/>
      <c r="L1462" s="81"/>
      <c r="M1462" s="81"/>
      <c r="N1462" s="84" t="str">
        <f aca="false">IF(C1462="","",IF(P1462="","NJ INCONNU",IF(I1462="",IF(H1462="OUI","À ENROBER",IF(G1462="À SOUDER","NON SOUDÉ","EN ATTENTE RT")),IF(L1462="R","À REPRENDRE",IF(H1462&lt;&gt;"OUI","⚠ ENROBÉ AVANT ACCEPTATION RT","ENROBÉ")))))</f>
        <v>NON SOUDÉ</v>
      </c>
      <c r="O1462" s="80"/>
      <c r="P1462" s="82" t="n">
        <f aca="false">IF(C1462="","",IFERROR(MATCH(Q1462,'CARNET DE SOUDURE'!$AW$7:$AW$3006,0),""))</f>
        <v>1456</v>
      </c>
      <c r="Q1462" s="82" t="str">
        <f aca="false">IF(C1462="","",B1462&amp;"|"&amp;C1462)</f>
        <v>MFD-ISW → MFD-CPF|JN°1222</v>
      </c>
    </row>
    <row r="1463" customFormat="false" ht="74.6" hidden="false" customHeight="false" outlineLevel="0" collapsed="false">
      <c r="A1463" s="82" t="n">
        <f aca="false">IF(C1463="","",ROW()-6)</f>
        <v>1457</v>
      </c>
      <c r="B1463" s="80" t="s">
        <v>110</v>
      </c>
      <c r="C1463" s="113" t="s">
        <v>1746</v>
      </c>
      <c r="D1463" s="82" t="str">
        <f aca="false">IF(OR(C1463="",P1463=""),"",INDEX('CARNET DE SOUDURE'!$D$7:$D$3006,P1463)&amp;"")</f>
        <v>12</v>
      </c>
      <c r="E1463" s="114" t="str">
        <f aca="false">IF(OR(C1463="",P1463=""),"",IF(INDEX('CARNET DE SOUDURE'!$U$7:$U$3006,P1463)="","",INDEX('CARNET DE SOUDURE'!$U$7:$U$3006,P1463)))</f>
        <v/>
      </c>
      <c r="F1463" s="82" t="str">
        <f aca="false">IF(OR(C1463="",P1463=""),"",INDEX('CARNET DE SOUDURE'!$AP$7:$AP$3006,P1463))</f>
        <v/>
      </c>
      <c r="G1463" s="82" t="str">
        <f aca="false">IF(C1463="","",IF(P1463="","NJ INCONNU",INDEX('CARNET DE SOUDURE'!$AQ$7:$AQ$3006,P1463)))</f>
        <v>À SOUDER</v>
      </c>
      <c r="H1463" s="82" t="str">
        <f aca="false">IF(C1463="","",IF(G1463="ACCEPTÉ","OUI","NON"))</f>
        <v>NON</v>
      </c>
      <c r="I1463" s="83"/>
      <c r="J1463" s="80"/>
      <c r="K1463" s="81"/>
      <c r="L1463" s="81"/>
      <c r="M1463" s="81"/>
      <c r="N1463" s="84" t="str">
        <f aca="false">IF(C1463="","",IF(P1463="","NJ INCONNU",IF(I1463="",IF(H1463="OUI","À ENROBER",IF(G1463="À SOUDER","NON SOUDÉ","EN ATTENTE RT")),IF(L1463="R","À REPRENDRE",IF(H1463&lt;&gt;"OUI","⚠ ENROBÉ AVANT ACCEPTATION RT","ENROBÉ")))))</f>
        <v>NON SOUDÉ</v>
      </c>
      <c r="O1463" s="80"/>
      <c r="P1463" s="82" t="n">
        <f aca="false">IF(C1463="","",IFERROR(MATCH(Q1463,'CARNET DE SOUDURE'!$AW$7:$AW$3006,0),""))</f>
        <v>1457</v>
      </c>
      <c r="Q1463" s="82" t="str">
        <f aca="false">IF(C1463="","",B1463&amp;"|"&amp;C1463)</f>
        <v>MFD-ISW → MFD-CPF|JN°1223</v>
      </c>
    </row>
    <row r="1464" customFormat="false" ht="74.6" hidden="false" customHeight="false" outlineLevel="0" collapsed="false">
      <c r="A1464" s="82" t="n">
        <f aca="false">IF(C1464="","",ROW()-6)</f>
        <v>1458</v>
      </c>
      <c r="B1464" s="80" t="s">
        <v>110</v>
      </c>
      <c r="C1464" s="113" t="s">
        <v>1747</v>
      </c>
      <c r="D1464" s="82" t="str">
        <f aca="false">IF(OR(C1464="",P1464=""),"",INDEX('CARNET DE SOUDURE'!$D$7:$D$3006,P1464)&amp;"")</f>
        <v>12</v>
      </c>
      <c r="E1464" s="114" t="str">
        <f aca="false">IF(OR(C1464="",P1464=""),"",IF(INDEX('CARNET DE SOUDURE'!$U$7:$U$3006,P1464)="","",INDEX('CARNET DE SOUDURE'!$U$7:$U$3006,P1464)))</f>
        <v/>
      </c>
      <c r="F1464" s="82" t="str">
        <f aca="false">IF(OR(C1464="",P1464=""),"",INDEX('CARNET DE SOUDURE'!$AP$7:$AP$3006,P1464))</f>
        <v/>
      </c>
      <c r="G1464" s="82" t="str">
        <f aca="false">IF(C1464="","",IF(P1464="","NJ INCONNU",INDEX('CARNET DE SOUDURE'!$AQ$7:$AQ$3006,P1464)))</f>
        <v>À SOUDER</v>
      </c>
      <c r="H1464" s="82" t="str">
        <f aca="false">IF(C1464="","",IF(G1464="ACCEPTÉ","OUI","NON"))</f>
        <v>NON</v>
      </c>
      <c r="I1464" s="83"/>
      <c r="J1464" s="80"/>
      <c r="K1464" s="81"/>
      <c r="L1464" s="81"/>
      <c r="M1464" s="81"/>
      <c r="N1464" s="84" t="str">
        <f aca="false">IF(C1464="","",IF(P1464="","NJ INCONNU",IF(I1464="",IF(H1464="OUI","À ENROBER",IF(G1464="À SOUDER","NON SOUDÉ","EN ATTENTE RT")),IF(L1464="R","À REPRENDRE",IF(H1464&lt;&gt;"OUI","⚠ ENROBÉ AVANT ACCEPTATION RT","ENROBÉ")))))</f>
        <v>NON SOUDÉ</v>
      </c>
      <c r="O1464" s="80"/>
      <c r="P1464" s="82" t="n">
        <f aca="false">IF(C1464="","",IFERROR(MATCH(Q1464,'CARNET DE SOUDURE'!$AW$7:$AW$3006,0),""))</f>
        <v>1458</v>
      </c>
      <c r="Q1464" s="82" t="str">
        <f aca="false">IF(C1464="","",B1464&amp;"|"&amp;C1464)</f>
        <v>MFD-ISW → MFD-CPF|JN°1224</v>
      </c>
    </row>
    <row r="1465" customFormat="false" ht="74.6" hidden="false" customHeight="false" outlineLevel="0" collapsed="false">
      <c r="A1465" s="82" t="n">
        <f aca="false">IF(C1465="","",ROW()-6)</f>
        <v>1459</v>
      </c>
      <c r="B1465" s="80" t="s">
        <v>110</v>
      </c>
      <c r="C1465" s="113" t="s">
        <v>1749</v>
      </c>
      <c r="D1465" s="82" t="str">
        <f aca="false">IF(OR(C1465="",P1465=""),"",INDEX('CARNET DE SOUDURE'!$D$7:$D$3006,P1465)&amp;"")</f>
        <v>13</v>
      </c>
      <c r="E1465" s="114" t="n">
        <f aca="false">IF(OR(C1465="",P1465=""),"",IF(INDEX('CARNET DE SOUDURE'!$U$7:$U$3006,P1465)="","",INDEX('CARNET DE SOUDURE'!$U$7:$U$3006,P1465)))</f>
        <v>46270</v>
      </c>
      <c r="F1465" s="82" t="str">
        <f aca="false">IF(OR(C1465="",P1465=""),"",INDEX('CARNET DE SOUDURE'!$AP$7:$AP$3006,P1465))</f>
        <v>A</v>
      </c>
      <c r="G1465" s="82" t="str">
        <f aca="false">IF(C1465="","",IF(P1465="","NJ INCONNU",INDEX('CARNET DE SOUDURE'!$AQ$7:$AQ$3006,P1465)))</f>
        <v>ACCEPTÉ</v>
      </c>
      <c r="H1465" s="82" t="str">
        <f aca="false">IF(C1465="","",IF(G1465="ACCEPTÉ","OUI","NON"))</f>
        <v>OUI</v>
      </c>
      <c r="I1465" s="83"/>
      <c r="J1465" s="80"/>
      <c r="K1465" s="81"/>
      <c r="L1465" s="81"/>
      <c r="M1465" s="81"/>
      <c r="N1465" s="84" t="str">
        <f aca="false">IF(C1465="","",IF(P1465="","NJ INCONNU",IF(I1465="",IF(H1465="OUI","À ENROBER",IF(G1465="À SOUDER","NON SOUDÉ","EN ATTENTE RT")),IF(L1465="R","À REPRENDRE",IF(H1465&lt;&gt;"OUI","⚠ ENROBÉ AVANT ACCEPTATION RT","ENROBÉ")))))</f>
        <v>À ENROBER</v>
      </c>
      <c r="O1465" s="80"/>
      <c r="P1465" s="82" t="n">
        <f aca="false">IF(C1465="","",IFERROR(MATCH(Q1465,'CARNET DE SOUDURE'!$AW$7:$AW$3006,0),""))</f>
        <v>1459</v>
      </c>
      <c r="Q1465" s="82" t="str">
        <f aca="false">IF(C1465="","",B1465&amp;"|"&amp;C1465)</f>
        <v>MFD-ISW → MFD-CPF|DJ°276</v>
      </c>
    </row>
    <row r="1466" customFormat="false" ht="74.6" hidden="false" customHeight="false" outlineLevel="0" collapsed="false">
      <c r="A1466" s="82" t="n">
        <f aca="false">IF(C1466="","",ROW()-6)</f>
        <v>1460</v>
      </c>
      <c r="B1466" s="80" t="s">
        <v>110</v>
      </c>
      <c r="C1466" s="113" t="s">
        <v>1750</v>
      </c>
      <c r="D1466" s="82" t="str">
        <f aca="false">IF(OR(C1466="",P1466=""),"",INDEX('CARNET DE SOUDURE'!$D$7:$D$3006,P1466)&amp;"")</f>
        <v>13</v>
      </c>
      <c r="E1466" s="114" t="n">
        <f aca="false">IF(OR(C1466="",P1466=""),"",IF(INDEX('CARNET DE SOUDURE'!$U$7:$U$3006,P1466)="","",INDEX('CARNET DE SOUDURE'!$U$7:$U$3006,P1466)))</f>
        <v>46276</v>
      </c>
      <c r="F1466" s="82" t="str">
        <f aca="false">IF(OR(C1466="",P1466=""),"",INDEX('CARNET DE SOUDURE'!$AP$7:$AP$3006,P1466))</f>
        <v>A</v>
      </c>
      <c r="G1466" s="82" t="str">
        <f aca="false">IF(C1466="","",IF(P1466="","NJ INCONNU",INDEX('CARNET DE SOUDURE'!$AQ$7:$AQ$3006,P1466)))</f>
        <v>ACCEPTÉ</v>
      </c>
      <c r="H1466" s="82" t="str">
        <f aca="false">IF(C1466="","",IF(G1466="ACCEPTÉ","OUI","NON"))</f>
        <v>OUI</v>
      </c>
      <c r="I1466" s="83"/>
      <c r="J1466" s="80"/>
      <c r="K1466" s="81"/>
      <c r="L1466" s="81"/>
      <c r="M1466" s="81"/>
      <c r="N1466" s="84" t="str">
        <f aca="false">IF(C1466="","",IF(P1466="","NJ INCONNU",IF(I1466="",IF(H1466="OUI","À ENROBER",IF(G1466="À SOUDER","NON SOUDÉ","EN ATTENTE RT")),IF(L1466="R","À REPRENDRE",IF(H1466&lt;&gt;"OUI","⚠ ENROBÉ AVANT ACCEPTATION RT","ENROBÉ")))))</f>
        <v>À ENROBER</v>
      </c>
      <c r="O1466" s="80"/>
      <c r="P1466" s="82" t="n">
        <f aca="false">IF(C1466="","",IFERROR(MATCH(Q1466,'CARNET DE SOUDURE'!$AW$7:$AW$3006,0),""))</f>
        <v>1460</v>
      </c>
      <c r="Q1466" s="82" t="str">
        <f aca="false">IF(C1466="","",B1466&amp;"|"&amp;C1466)</f>
        <v>MFD-ISW → MFD-CPF|JN°1225</v>
      </c>
    </row>
    <row r="1467" customFormat="false" ht="74.6" hidden="false" customHeight="false" outlineLevel="0" collapsed="false">
      <c r="A1467" s="82" t="n">
        <f aca="false">IF(C1467="","",ROW()-6)</f>
        <v>1461</v>
      </c>
      <c r="B1467" s="80" t="s">
        <v>110</v>
      </c>
      <c r="C1467" s="113" t="s">
        <v>1752</v>
      </c>
      <c r="D1467" s="82" t="str">
        <f aca="false">IF(OR(C1467="",P1467=""),"",INDEX('CARNET DE SOUDURE'!$D$7:$D$3006,P1467)&amp;"")</f>
        <v>13</v>
      </c>
      <c r="E1467" s="114" t="n">
        <f aca="false">IF(OR(C1467="",P1467=""),"",IF(INDEX('CARNET DE SOUDURE'!$U$7:$U$3006,P1467)="","",INDEX('CARNET DE SOUDURE'!$U$7:$U$3006,P1467)))</f>
        <v>46266</v>
      </c>
      <c r="F1467" s="82" t="str">
        <f aca="false">IF(OR(C1467="",P1467=""),"",INDEX('CARNET DE SOUDURE'!$AP$7:$AP$3006,P1467))</f>
        <v>A</v>
      </c>
      <c r="G1467" s="82" t="str">
        <f aca="false">IF(C1467="","",IF(P1467="","NJ INCONNU",INDEX('CARNET DE SOUDURE'!$AQ$7:$AQ$3006,P1467)))</f>
        <v>ACCEPTÉ</v>
      </c>
      <c r="H1467" s="82" t="str">
        <f aca="false">IF(C1467="","",IF(G1467="ACCEPTÉ","OUI","NON"))</f>
        <v>OUI</v>
      </c>
      <c r="I1467" s="83"/>
      <c r="J1467" s="80"/>
      <c r="K1467" s="81"/>
      <c r="L1467" s="81"/>
      <c r="M1467" s="81"/>
      <c r="N1467" s="84" t="str">
        <f aca="false">IF(C1467="","",IF(P1467="","NJ INCONNU",IF(I1467="",IF(H1467="OUI","À ENROBER",IF(G1467="À SOUDER","NON SOUDÉ","EN ATTENTE RT")),IF(L1467="R","À REPRENDRE",IF(H1467&lt;&gt;"OUI","⚠ ENROBÉ AVANT ACCEPTATION RT","ENROBÉ")))))</f>
        <v>À ENROBER</v>
      </c>
      <c r="O1467" s="80"/>
      <c r="P1467" s="82" t="n">
        <f aca="false">IF(C1467="","",IFERROR(MATCH(Q1467,'CARNET DE SOUDURE'!$AW$7:$AW$3006,0),""))</f>
        <v>1461</v>
      </c>
      <c r="Q1467" s="82" t="str">
        <f aca="false">IF(C1467="","",B1467&amp;"|"&amp;C1467)</f>
        <v>MFD-ISW → MFD-CPF|DJ°231</v>
      </c>
    </row>
    <row r="1468" customFormat="false" ht="74.6" hidden="false" customHeight="false" outlineLevel="0" collapsed="false">
      <c r="A1468" s="82" t="n">
        <f aca="false">IF(C1468="","",ROW()-6)</f>
        <v>1462</v>
      </c>
      <c r="B1468" s="80" t="s">
        <v>110</v>
      </c>
      <c r="C1468" s="113" t="s">
        <v>1755</v>
      </c>
      <c r="D1468" s="82" t="str">
        <f aca="false">IF(OR(C1468="",P1468=""),"",INDEX('CARNET DE SOUDURE'!$D$7:$D$3006,P1468)&amp;"")</f>
        <v>13</v>
      </c>
      <c r="E1468" s="114" t="n">
        <f aca="false">IF(OR(C1468="",P1468=""),"",IF(INDEX('CARNET DE SOUDURE'!$U$7:$U$3006,P1468)="","",INDEX('CARNET DE SOUDURE'!$U$7:$U$3006,P1468)))</f>
        <v>46276</v>
      </c>
      <c r="F1468" s="82" t="str">
        <f aca="false">IF(OR(C1468="",P1468=""),"",INDEX('CARNET DE SOUDURE'!$AP$7:$AP$3006,P1468))</f>
        <v>A</v>
      </c>
      <c r="G1468" s="82" t="str">
        <f aca="false">IF(C1468="","",IF(P1468="","NJ INCONNU",INDEX('CARNET DE SOUDURE'!$AQ$7:$AQ$3006,P1468)))</f>
        <v>ACCEPTÉ</v>
      </c>
      <c r="H1468" s="82" t="str">
        <f aca="false">IF(C1468="","",IF(G1468="ACCEPTÉ","OUI","NON"))</f>
        <v>OUI</v>
      </c>
      <c r="I1468" s="83"/>
      <c r="J1468" s="80"/>
      <c r="K1468" s="81"/>
      <c r="L1468" s="81"/>
      <c r="M1468" s="81"/>
      <c r="N1468" s="84" t="str">
        <f aca="false">IF(C1468="","",IF(P1468="","NJ INCONNU",IF(I1468="",IF(H1468="OUI","À ENROBER",IF(G1468="À SOUDER","NON SOUDÉ","EN ATTENTE RT")),IF(L1468="R","À REPRENDRE",IF(H1468&lt;&gt;"OUI","⚠ ENROBÉ AVANT ACCEPTATION RT","ENROBÉ")))))</f>
        <v>À ENROBER</v>
      </c>
      <c r="O1468" s="80"/>
      <c r="P1468" s="82" t="n">
        <f aca="false">IF(C1468="","",IFERROR(MATCH(Q1468,'CARNET DE SOUDURE'!$AW$7:$AW$3006,0),""))</f>
        <v>1462</v>
      </c>
      <c r="Q1468" s="82" t="str">
        <f aca="false">IF(C1468="","",B1468&amp;"|"&amp;C1468)</f>
        <v>MFD-ISW → MFD-CPF|JN°1226</v>
      </c>
    </row>
    <row r="1469" customFormat="false" ht="74.6" hidden="false" customHeight="false" outlineLevel="0" collapsed="false">
      <c r="A1469" s="82" t="n">
        <f aca="false">IF(C1469="","",ROW()-6)</f>
        <v>1463</v>
      </c>
      <c r="B1469" s="80" t="s">
        <v>110</v>
      </c>
      <c r="C1469" s="113" t="s">
        <v>1756</v>
      </c>
      <c r="D1469" s="82" t="str">
        <f aca="false">IF(OR(C1469="",P1469=""),"",INDEX('CARNET DE SOUDURE'!$D$7:$D$3006,P1469)&amp;"")</f>
        <v>13</v>
      </c>
      <c r="E1469" s="114" t="n">
        <f aca="false">IF(OR(C1469="",P1469=""),"",IF(INDEX('CARNET DE SOUDURE'!$U$7:$U$3006,P1469)="","",INDEX('CARNET DE SOUDURE'!$U$7:$U$3006,P1469)))</f>
        <v>46269</v>
      </c>
      <c r="F1469" s="82" t="str">
        <f aca="false">IF(OR(C1469="",P1469=""),"",INDEX('CARNET DE SOUDURE'!$AP$7:$AP$3006,P1469))</f>
        <v>A</v>
      </c>
      <c r="G1469" s="82" t="str">
        <f aca="false">IF(C1469="","",IF(P1469="","NJ INCONNU",INDEX('CARNET DE SOUDURE'!$AQ$7:$AQ$3006,P1469)))</f>
        <v>ACCEPTÉ</v>
      </c>
      <c r="H1469" s="82" t="str">
        <f aca="false">IF(C1469="","",IF(G1469="ACCEPTÉ","OUI","NON"))</f>
        <v>OUI</v>
      </c>
      <c r="I1469" s="83"/>
      <c r="J1469" s="80"/>
      <c r="K1469" s="81"/>
      <c r="L1469" s="81"/>
      <c r="M1469" s="81"/>
      <c r="N1469" s="84" t="str">
        <f aca="false">IF(C1469="","",IF(P1469="","NJ INCONNU",IF(I1469="",IF(H1469="OUI","À ENROBER",IF(G1469="À SOUDER","NON SOUDÉ","EN ATTENTE RT")),IF(L1469="R","À REPRENDRE",IF(H1469&lt;&gt;"OUI","⚠ ENROBÉ AVANT ACCEPTATION RT","ENROBÉ")))))</f>
        <v>À ENROBER</v>
      </c>
      <c r="O1469" s="80"/>
      <c r="P1469" s="82" t="n">
        <f aca="false">IF(C1469="","",IFERROR(MATCH(Q1469,'CARNET DE SOUDURE'!$AW$7:$AW$3006,0),""))</f>
        <v>1463</v>
      </c>
      <c r="Q1469" s="82" t="str">
        <f aca="false">IF(C1469="","",B1469&amp;"|"&amp;C1469)</f>
        <v>MFD-ISW → MFD-CPF|DJ°272</v>
      </c>
    </row>
    <row r="1470" customFormat="false" ht="74.6" hidden="false" customHeight="false" outlineLevel="0" collapsed="false">
      <c r="A1470" s="82" t="n">
        <f aca="false">IF(C1470="","",ROW()-6)</f>
        <v>1464</v>
      </c>
      <c r="B1470" s="80" t="s">
        <v>110</v>
      </c>
      <c r="C1470" s="113" t="s">
        <v>1758</v>
      </c>
      <c r="D1470" s="82" t="str">
        <f aca="false">IF(OR(C1470="",P1470=""),"",INDEX('CARNET DE SOUDURE'!$D$7:$D$3006,P1470)&amp;"")</f>
        <v>13</v>
      </c>
      <c r="E1470" s="114" t="n">
        <f aca="false">IF(OR(C1470="",P1470=""),"",IF(INDEX('CARNET DE SOUDURE'!$U$7:$U$3006,P1470)="","",INDEX('CARNET DE SOUDURE'!$U$7:$U$3006,P1470)))</f>
        <v>46276</v>
      </c>
      <c r="F1470" s="82" t="str">
        <f aca="false">IF(OR(C1470="",P1470=""),"",INDEX('CARNET DE SOUDURE'!$AP$7:$AP$3006,P1470))</f>
        <v>A</v>
      </c>
      <c r="G1470" s="82" t="str">
        <f aca="false">IF(C1470="","",IF(P1470="","NJ INCONNU",INDEX('CARNET DE SOUDURE'!$AQ$7:$AQ$3006,P1470)))</f>
        <v>ACCEPTÉ</v>
      </c>
      <c r="H1470" s="82" t="str">
        <f aca="false">IF(C1470="","",IF(G1470="ACCEPTÉ","OUI","NON"))</f>
        <v>OUI</v>
      </c>
      <c r="I1470" s="83"/>
      <c r="J1470" s="80"/>
      <c r="K1470" s="81"/>
      <c r="L1470" s="81"/>
      <c r="M1470" s="81"/>
      <c r="N1470" s="84" t="str">
        <f aca="false">IF(C1470="","",IF(P1470="","NJ INCONNU",IF(I1470="",IF(H1470="OUI","À ENROBER",IF(G1470="À SOUDER","NON SOUDÉ","EN ATTENTE RT")),IF(L1470="R","À REPRENDRE",IF(H1470&lt;&gt;"OUI","⚠ ENROBÉ AVANT ACCEPTATION RT","ENROBÉ")))))</f>
        <v>À ENROBER</v>
      </c>
      <c r="O1470" s="80"/>
      <c r="P1470" s="82" t="n">
        <f aca="false">IF(C1470="","",IFERROR(MATCH(Q1470,'CARNET DE SOUDURE'!$AW$7:$AW$3006,0),""))</f>
        <v>1464</v>
      </c>
      <c r="Q1470" s="82" t="str">
        <f aca="false">IF(C1470="","",B1470&amp;"|"&amp;C1470)</f>
        <v>MFD-ISW → MFD-CPF|JN°1227</v>
      </c>
    </row>
    <row r="1471" customFormat="false" ht="74.6" hidden="false" customHeight="false" outlineLevel="0" collapsed="false">
      <c r="A1471" s="82" t="n">
        <f aca="false">IF(C1471="","",ROW()-6)</f>
        <v>1465</v>
      </c>
      <c r="B1471" s="80" t="s">
        <v>110</v>
      </c>
      <c r="C1471" s="113" t="s">
        <v>1759</v>
      </c>
      <c r="D1471" s="82" t="str">
        <f aca="false">IF(OR(C1471="",P1471=""),"",INDEX('CARNET DE SOUDURE'!$D$7:$D$3006,P1471)&amp;"")</f>
        <v>13</v>
      </c>
      <c r="E1471" s="114" t="n">
        <f aca="false">IF(OR(C1471="",P1471=""),"",IF(INDEX('CARNET DE SOUDURE'!$U$7:$U$3006,P1471)="","",INDEX('CARNET DE SOUDURE'!$U$7:$U$3006,P1471)))</f>
        <v>46267</v>
      </c>
      <c r="F1471" s="82" t="str">
        <f aca="false">IF(OR(C1471="",P1471=""),"",INDEX('CARNET DE SOUDURE'!$AP$7:$AP$3006,P1471))</f>
        <v>A</v>
      </c>
      <c r="G1471" s="82" t="str">
        <f aca="false">IF(C1471="","",IF(P1471="","NJ INCONNU",INDEX('CARNET DE SOUDURE'!$AQ$7:$AQ$3006,P1471)))</f>
        <v>ACCEPTÉ</v>
      </c>
      <c r="H1471" s="82" t="str">
        <f aca="false">IF(C1471="","",IF(G1471="ACCEPTÉ","OUI","NON"))</f>
        <v>OUI</v>
      </c>
      <c r="I1471" s="83"/>
      <c r="J1471" s="80"/>
      <c r="K1471" s="81"/>
      <c r="L1471" s="81"/>
      <c r="M1471" s="81"/>
      <c r="N1471" s="84" t="str">
        <f aca="false">IF(C1471="","",IF(P1471="","NJ INCONNU",IF(I1471="",IF(H1471="OUI","À ENROBER",IF(G1471="À SOUDER","NON SOUDÉ","EN ATTENTE RT")),IF(L1471="R","À REPRENDRE",IF(H1471&lt;&gt;"OUI","⚠ ENROBÉ AVANT ACCEPTATION RT","ENROBÉ")))))</f>
        <v>À ENROBER</v>
      </c>
      <c r="O1471" s="80"/>
      <c r="P1471" s="82" t="n">
        <f aca="false">IF(C1471="","",IFERROR(MATCH(Q1471,'CARNET DE SOUDURE'!$AW$7:$AW$3006,0),""))</f>
        <v>1465</v>
      </c>
      <c r="Q1471" s="82" t="str">
        <f aca="false">IF(C1471="","",B1471&amp;"|"&amp;C1471)</f>
        <v>MFD-ISW → MFD-CPF|DJ°247</v>
      </c>
    </row>
    <row r="1472" customFormat="false" ht="74.6" hidden="false" customHeight="false" outlineLevel="0" collapsed="false">
      <c r="A1472" s="82" t="n">
        <f aca="false">IF(C1472="","",ROW()-6)</f>
        <v>1466</v>
      </c>
      <c r="B1472" s="80" t="s">
        <v>110</v>
      </c>
      <c r="C1472" s="113" t="s">
        <v>1762</v>
      </c>
      <c r="D1472" s="82" t="str">
        <f aca="false">IF(OR(C1472="",P1472=""),"",INDEX('CARNET DE SOUDURE'!$D$7:$D$3006,P1472)&amp;"")</f>
        <v>13</v>
      </c>
      <c r="E1472" s="114" t="n">
        <f aca="false">IF(OR(C1472="",P1472=""),"",IF(INDEX('CARNET DE SOUDURE'!$U$7:$U$3006,P1472)="","",INDEX('CARNET DE SOUDURE'!$U$7:$U$3006,P1472)))</f>
        <v>46276</v>
      </c>
      <c r="F1472" s="82" t="str">
        <f aca="false">IF(OR(C1472="",P1472=""),"",INDEX('CARNET DE SOUDURE'!$AP$7:$AP$3006,P1472))</f>
        <v>R</v>
      </c>
      <c r="G1472" s="82" t="str">
        <f aca="false">IF(C1472="","",IF(P1472="","NJ INCONNU",INDEX('CARNET DE SOUDURE'!$AQ$7:$AQ$3006,P1472)))</f>
        <v>À RÉPARER</v>
      </c>
      <c r="H1472" s="82" t="str">
        <f aca="false">IF(C1472="","",IF(G1472="ACCEPTÉ","OUI","NON"))</f>
        <v>NON</v>
      </c>
      <c r="I1472" s="83"/>
      <c r="J1472" s="80"/>
      <c r="K1472" s="81"/>
      <c r="L1472" s="81"/>
      <c r="M1472" s="81"/>
      <c r="N1472" s="84" t="str">
        <f aca="false">IF(C1472="","",IF(P1472="","NJ INCONNU",IF(I1472="",IF(H1472="OUI","À ENROBER",IF(G1472="À SOUDER","NON SOUDÉ","EN ATTENTE RT")),IF(L1472="R","À REPRENDRE",IF(H1472&lt;&gt;"OUI","⚠ ENROBÉ AVANT ACCEPTATION RT","ENROBÉ")))))</f>
        <v>EN ATTENTE RT</v>
      </c>
      <c r="O1472" s="80"/>
      <c r="P1472" s="82" t="n">
        <f aca="false">IF(C1472="","",IFERROR(MATCH(Q1472,'CARNET DE SOUDURE'!$AW$7:$AW$3006,0),""))</f>
        <v>1466</v>
      </c>
      <c r="Q1472" s="82" t="str">
        <f aca="false">IF(C1472="","",B1472&amp;"|"&amp;C1472)</f>
        <v>MFD-ISW → MFD-CPF|JN°1228</v>
      </c>
    </row>
    <row r="1473" customFormat="false" ht="74.6" hidden="false" customHeight="false" outlineLevel="0" collapsed="false">
      <c r="A1473" s="82" t="n">
        <f aca="false">IF(C1473="","",ROW()-6)</f>
        <v>1467</v>
      </c>
      <c r="B1473" s="80" t="s">
        <v>110</v>
      </c>
      <c r="C1473" s="113" t="s">
        <v>1764</v>
      </c>
      <c r="D1473" s="82" t="str">
        <f aca="false">IF(OR(C1473="",P1473=""),"",INDEX('CARNET DE SOUDURE'!$D$7:$D$3006,P1473)&amp;"")</f>
        <v>13</v>
      </c>
      <c r="E1473" s="114" t="n">
        <f aca="false">IF(OR(C1473="",P1473=""),"",IF(INDEX('CARNET DE SOUDURE'!$U$7:$U$3006,P1473)="","",INDEX('CARNET DE SOUDURE'!$U$7:$U$3006,P1473)))</f>
        <v>46269</v>
      </c>
      <c r="F1473" s="82" t="str">
        <f aca="false">IF(OR(C1473="",P1473=""),"",INDEX('CARNET DE SOUDURE'!$AP$7:$AP$3006,P1473))</f>
        <v>A</v>
      </c>
      <c r="G1473" s="82" t="str">
        <f aca="false">IF(C1473="","",IF(P1473="","NJ INCONNU",INDEX('CARNET DE SOUDURE'!$AQ$7:$AQ$3006,P1473)))</f>
        <v>ACCEPTÉ</v>
      </c>
      <c r="H1473" s="82" t="str">
        <f aca="false">IF(C1473="","",IF(G1473="ACCEPTÉ","OUI","NON"))</f>
        <v>OUI</v>
      </c>
      <c r="I1473" s="83"/>
      <c r="J1473" s="80"/>
      <c r="K1473" s="81"/>
      <c r="L1473" s="81"/>
      <c r="M1473" s="81"/>
      <c r="N1473" s="84" t="str">
        <f aca="false">IF(C1473="","",IF(P1473="","NJ INCONNU",IF(I1473="",IF(H1473="OUI","À ENROBER",IF(G1473="À SOUDER","NON SOUDÉ","EN ATTENTE RT")),IF(L1473="R","À REPRENDRE",IF(H1473&lt;&gt;"OUI","⚠ ENROBÉ AVANT ACCEPTATION RT","ENROBÉ")))))</f>
        <v>À ENROBER</v>
      </c>
      <c r="O1473" s="80"/>
      <c r="P1473" s="82" t="n">
        <f aca="false">IF(C1473="","",IFERROR(MATCH(Q1473,'CARNET DE SOUDURE'!$AW$7:$AW$3006,0),""))</f>
        <v>1467</v>
      </c>
      <c r="Q1473" s="82" t="str">
        <f aca="false">IF(C1473="","",B1473&amp;"|"&amp;C1473)</f>
        <v>MFD-ISW → MFD-CPF|DJ°267</v>
      </c>
    </row>
    <row r="1474" customFormat="false" ht="74.6" hidden="false" customHeight="false" outlineLevel="0" collapsed="false">
      <c r="A1474" s="82" t="n">
        <f aca="false">IF(C1474="","",ROW()-6)</f>
        <v>1468</v>
      </c>
      <c r="B1474" s="80" t="s">
        <v>110</v>
      </c>
      <c r="C1474" s="113" t="s">
        <v>1765</v>
      </c>
      <c r="D1474" s="82" t="str">
        <f aca="false">IF(OR(C1474="",P1474=""),"",INDEX('CARNET DE SOUDURE'!$D$7:$D$3006,P1474)&amp;"")</f>
        <v>13</v>
      </c>
      <c r="E1474" s="114" t="n">
        <f aca="false">IF(OR(C1474="",P1474=""),"",IF(INDEX('CARNET DE SOUDURE'!$U$7:$U$3006,P1474)="","",INDEX('CARNET DE SOUDURE'!$U$7:$U$3006,P1474)))</f>
        <v>46276</v>
      </c>
      <c r="F1474" s="82" t="str">
        <f aca="false">IF(OR(C1474="",P1474=""),"",INDEX('CARNET DE SOUDURE'!$AP$7:$AP$3006,P1474))</f>
        <v>A</v>
      </c>
      <c r="G1474" s="82" t="str">
        <f aca="false">IF(C1474="","",IF(P1474="","NJ INCONNU",INDEX('CARNET DE SOUDURE'!$AQ$7:$AQ$3006,P1474)))</f>
        <v>ACCEPTÉ</v>
      </c>
      <c r="H1474" s="82" t="str">
        <f aca="false">IF(C1474="","",IF(G1474="ACCEPTÉ","OUI","NON"))</f>
        <v>OUI</v>
      </c>
      <c r="I1474" s="83"/>
      <c r="J1474" s="80"/>
      <c r="K1474" s="81"/>
      <c r="L1474" s="81"/>
      <c r="M1474" s="81"/>
      <c r="N1474" s="84" t="str">
        <f aca="false">IF(C1474="","",IF(P1474="","NJ INCONNU",IF(I1474="",IF(H1474="OUI","À ENROBER",IF(G1474="À SOUDER","NON SOUDÉ","EN ATTENTE RT")),IF(L1474="R","À REPRENDRE",IF(H1474&lt;&gt;"OUI","⚠ ENROBÉ AVANT ACCEPTATION RT","ENROBÉ")))))</f>
        <v>À ENROBER</v>
      </c>
      <c r="O1474" s="80"/>
      <c r="P1474" s="82" t="n">
        <f aca="false">IF(C1474="","",IFERROR(MATCH(Q1474,'CARNET DE SOUDURE'!$AW$7:$AW$3006,0),""))</f>
        <v>1468</v>
      </c>
      <c r="Q1474" s="82" t="str">
        <f aca="false">IF(C1474="","",B1474&amp;"|"&amp;C1474)</f>
        <v>MFD-ISW → MFD-CPF|JN°1229</v>
      </c>
    </row>
    <row r="1475" customFormat="false" ht="74.6" hidden="false" customHeight="false" outlineLevel="0" collapsed="false">
      <c r="A1475" s="82" t="n">
        <f aca="false">IF(C1475="","",ROW()-6)</f>
        <v>1469</v>
      </c>
      <c r="B1475" s="80" t="s">
        <v>110</v>
      </c>
      <c r="C1475" s="113" t="s">
        <v>1766</v>
      </c>
      <c r="D1475" s="82" t="str">
        <f aca="false">IF(OR(C1475="",P1475=""),"",INDEX('CARNET DE SOUDURE'!$D$7:$D$3006,P1475)&amp;"")</f>
        <v>13</v>
      </c>
      <c r="E1475" s="114" t="n">
        <f aca="false">IF(OR(C1475="",P1475=""),"",IF(INDEX('CARNET DE SOUDURE'!$U$7:$U$3006,P1475)="","",INDEX('CARNET DE SOUDURE'!$U$7:$U$3006,P1475)))</f>
        <v>46267</v>
      </c>
      <c r="F1475" s="82" t="str">
        <f aca="false">IF(OR(C1475="",P1475=""),"",INDEX('CARNET DE SOUDURE'!$AP$7:$AP$3006,P1475))</f>
        <v>A</v>
      </c>
      <c r="G1475" s="82" t="str">
        <f aca="false">IF(C1475="","",IF(P1475="","NJ INCONNU",INDEX('CARNET DE SOUDURE'!$AQ$7:$AQ$3006,P1475)))</f>
        <v>ACCEPTÉ</v>
      </c>
      <c r="H1475" s="82" t="str">
        <f aca="false">IF(C1475="","",IF(G1475="ACCEPTÉ","OUI","NON"))</f>
        <v>OUI</v>
      </c>
      <c r="I1475" s="83"/>
      <c r="J1475" s="80"/>
      <c r="K1475" s="81"/>
      <c r="L1475" s="81"/>
      <c r="M1475" s="81"/>
      <c r="N1475" s="84" t="str">
        <f aca="false">IF(C1475="","",IF(P1475="","NJ INCONNU",IF(I1475="",IF(H1475="OUI","À ENROBER",IF(G1475="À SOUDER","NON SOUDÉ","EN ATTENTE RT")),IF(L1475="R","À REPRENDRE",IF(H1475&lt;&gt;"OUI","⚠ ENROBÉ AVANT ACCEPTATION RT","ENROBÉ")))))</f>
        <v>À ENROBER</v>
      </c>
      <c r="O1475" s="80"/>
      <c r="P1475" s="82" t="n">
        <f aca="false">IF(C1475="","",IFERROR(MATCH(Q1475,'CARNET DE SOUDURE'!$AW$7:$AW$3006,0),""))</f>
        <v>1469</v>
      </c>
      <c r="Q1475" s="82" t="str">
        <f aca="false">IF(C1475="","",B1475&amp;"|"&amp;C1475)</f>
        <v>MFD-ISW → MFD-CPF|DJ°237</v>
      </c>
    </row>
    <row r="1476" customFormat="false" ht="74.6" hidden="false" customHeight="false" outlineLevel="0" collapsed="false">
      <c r="A1476" s="82" t="n">
        <f aca="false">IF(C1476="","",ROW()-6)</f>
        <v>1470</v>
      </c>
      <c r="B1476" s="80" t="s">
        <v>110</v>
      </c>
      <c r="C1476" s="113" t="s">
        <v>1767</v>
      </c>
      <c r="D1476" s="82" t="str">
        <f aca="false">IF(OR(C1476="",P1476=""),"",INDEX('CARNET DE SOUDURE'!$D$7:$D$3006,P1476)&amp;"")</f>
        <v>13</v>
      </c>
      <c r="E1476" s="114" t="n">
        <f aca="false">IF(OR(C1476="",P1476=""),"",IF(INDEX('CARNET DE SOUDURE'!$U$7:$U$3006,P1476)="","",INDEX('CARNET DE SOUDURE'!$U$7:$U$3006,P1476)))</f>
        <v>46276</v>
      </c>
      <c r="F1476" s="82" t="str">
        <f aca="false">IF(OR(C1476="",P1476=""),"",INDEX('CARNET DE SOUDURE'!$AP$7:$AP$3006,P1476))</f>
        <v>R</v>
      </c>
      <c r="G1476" s="82" t="str">
        <f aca="false">IF(C1476="","",IF(P1476="","NJ INCONNU",INDEX('CARNET DE SOUDURE'!$AQ$7:$AQ$3006,P1476)))</f>
        <v>À RÉPARER</v>
      </c>
      <c r="H1476" s="82" t="str">
        <f aca="false">IF(C1476="","",IF(G1476="ACCEPTÉ","OUI","NON"))</f>
        <v>NON</v>
      </c>
      <c r="I1476" s="83"/>
      <c r="J1476" s="80"/>
      <c r="K1476" s="81"/>
      <c r="L1476" s="81"/>
      <c r="M1476" s="81"/>
      <c r="N1476" s="84" t="str">
        <f aca="false">IF(C1476="","",IF(P1476="","NJ INCONNU",IF(I1476="",IF(H1476="OUI","À ENROBER",IF(G1476="À SOUDER","NON SOUDÉ","EN ATTENTE RT")),IF(L1476="R","À REPRENDRE",IF(H1476&lt;&gt;"OUI","⚠ ENROBÉ AVANT ACCEPTATION RT","ENROBÉ")))))</f>
        <v>EN ATTENTE RT</v>
      </c>
      <c r="O1476" s="80"/>
      <c r="P1476" s="82" t="n">
        <f aca="false">IF(C1476="","",IFERROR(MATCH(Q1476,'CARNET DE SOUDURE'!$AW$7:$AW$3006,0),""))</f>
        <v>1470</v>
      </c>
      <c r="Q1476" s="82" t="str">
        <f aca="false">IF(C1476="","",B1476&amp;"|"&amp;C1476)</f>
        <v>MFD-ISW → MFD-CPF|JN°1230</v>
      </c>
    </row>
    <row r="1477" customFormat="false" ht="74.6" hidden="false" customHeight="false" outlineLevel="0" collapsed="false">
      <c r="A1477" s="82" t="n">
        <f aca="false">IF(C1477="","",ROW()-6)</f>
        <v>1471</v>
      </c>
      <c r="B1477" s="80" t="s">
        <v>110</v>
      </c>
      <c r="C1477" s="113" t="s">
        <v>1769</v>
      </c>
      <c r="D1477" s="82" t="str">
        <f aca="false">IF(OR(C1477="",P1477=""),"",INDEX('CARNET DE SOUDURE'!$D$7:$D$3006,P1477)&amp;"")</f>
        <v>13</v>
      </c>
      <c r="E1477" s="114" t="n">
        <f aca="false">IF(OR(C1477="",P1477=""),"",IF(INDEX('CARNET DE SOUDURE'!$U$7:$U$3006,P1477)="","",INDEX('CARNET DE SOUDURE'!$U$7:$U$3006,P1477)))</f>
        <v>46267</v>
      </c>
      <c r="F1477" s="82" t="str">
        <f aca="false">IF(OR(C1477="",P1477=""),"",INDEX('CARNET DE SOUDURE'!$AP$7:$AP$3006,P1477))</f>
        <v>A</v>
      </c>
      <c r="G1477" s="82" t="str">
        <f aca="false">IF(C1477="","",IF(P1477="","NJ INCONNU",INDEX('CARNET DE SOUDURE'!$AQ$7:$AQ$3006,P1477)))</f>
        <v>ACCEPTÉ</v>
      </c>
      <c r="H1477" s="82" t="str">
        <f aca="false">IF(C1477="","",IF(G1477="ACCEPTÉ","OUI","NON"))</f>
        <v>OUI</v>
      </c>
      <c r="I1477" s="83"/>
      <c r="J1477" s="80"/>
      <c r="K1477" s="81"/>
      <c r="L1477" s="81"/>
      <c r="M1477" s="81"/>
      <c r="N1477" s="84" t="str">
        <f aca="false">IF(C1477="","",IF(P1477="","NJ INCONNU",IF(I1477="",IF(H1477="OUI","À ENROBER",IF(G1477="À SOUDER","NON SOUDÉ","EN ATTENTE RT")),IF(L1477="R","À REPRENDRE",IF(H1477&lt;&gt;"OUI","⚠ ENROBÉ AVANT ACCEPTATION RT","ENROBÉ")))))</f>
        <v>À ENROBER</v>
      </c>
      <c r="O1477" s="80"/>
      <c r="P1477" s="82" t="n">
        <f aca="false">IF(C1477="","",IFERROR(MATCH(Q1477,'CARNET DE SOUDURE'!$AW$7:$AW$3006,0),""))</f>
        <v>1471</v>
      </c>
      <c r="Q1477" s="82" t="str">
        <f aca="false">IF(C1477="","",B1477&amp;"|"&amp;C1477)</f>
        <v>MFD-ISW → MFD-CPF|DJ°244</v>
      </c>
    </row>
    <row r="1478" customFormat="false" ht="74.6" hidden="false" customHeight="false" outlineLevel="0" collapsed="false">
      <c r="A1478" s="82" t="n">
        <f aca="false">IF(C1478="","",ROW()-6)</f>
        <v>1472</v>
      </c>
      <c r="B1478" s="80" t="s">
        <v>110</v>
      </c>
      <c r="C1478" s="113" t="s">
        <v>1770</v>
      </c>
      <c r="D1478" s="82" t="str">
        <f aca="false">IF(OR(C1478="",P1478=""),"",INDEX('CARNET DE SOUDURE'!$D$7:$D$3006,P1478)&amp;"")</f>
        <v>13</v>
      </c>
      <c r="E1478" s="114" t="n">
        <f aca="false">IF(OR(C1478="",P1478=""),"",IF(INDEX('CARNET DE SOUDURE'!$U$7:$U$3006,P1478)="","",INDEX('CARNET DE SOUDURE'!$U$7:$U$3006,P1478)))</f>
        <v>46276</v>
      </c>
      <c r="F1478" s="82" t="str">
        <f aca="false">IF(OR(C1478="",P1478=""),"",INDEX('CARNET DE SOUDURE'!$AP$7:$AP$3006,P1478))</f>
        <v>R</v>
      </c>
      <c r="G1478" s="82" t="str">
        <f aca="false">IF(C1478="","",IF(P1478="","NJ INCONNU",INDEX('CARNET DE SOUDURE'!$AQ$7:$AQ$3006,P1478)))</f>
        <v>À RÉPARER</v>
      </c>
      <c r="H1478" s="82" t="str">
        <f aca="false">IF(C1478="","",IF(G1478="ACCEPTÉ","OUI","NON"))</f>
        <v>NON</v>
      </c>
      <c r="I1478" s="83"/>
      <c r="J1478" s="80"/>
      <c r="K1478" s="81"/>
      <c r="L1478" s="81"/>
      <c r="M1478" s="81"/>
      <c r="N1478" s="84" t="str">
        <f aca="false">IF(C1478="","",IF(P1478="","NJ INCONNU",IF(I1478="",IF(H1478="OUI","À ENROBER",IF(G1478="À SOUDER","NON SOUDÉ","EN ATTENTE RT")),IF(L1478="R","À REPRENDRE",IF(H1478&lt;&gt;"OUI","⚠ ENROBÉ AVANT ACCEPTATION RT","ENROBÉ")))))</f>
        <v>EN ATTENTE RT</v>
      </c>
      <c r="O1478" s="80"/>
      <c r="P1478" s="82" t="n">
        <f aca="false">IF(C1478="","",IFERROR(MATCH(Q1478,'CARNET DE SOUDURE'!$AW$7:$AW$3006,0),""))</f>
        <v>1472</v>
      </c>
      <c r="Q1478" s="82" t="str">
        <f aca="false">IF(C1478="","",B1478&amp;"|"&amp;C1478)</f>
        <v>MFD-ISW → MFD-CPF|JN°1231</v>
      </c>
    </row>
    <row r="1479" customFormat="false" ht="74.6" hidden="false" customHeight="false" outlineLevel="0" collapsed="false">
      <c r="A1479" s="82" t="n">
        <f aca="false">IF(C1479="","",ROW()-6)</f>
        <v>1473</v>
      </c>
      <c r="B1479" s="80" t="s">
        <v>110</v>
      </c>
      <c r="C1479" s="113" t="s">
        <v>1772</v>
      </c>
      <c r="D1479" s="82" t="str">
        <f aca="false">IF(OR(C1479="",P1479=""),"",INDEX('CARNET DE SOUDURE'!$D$7:$D$3006,P1479)&amp;"")</f>
        <v>13</v>
      </c>
      <c r="E1479" s="114" t="n">
        <f aca="false">IF(OR(C1479="",P1479=""),"",IF(INDEX('CARNET DE SOUDURE'!$U$7:$U$3006,P1479)="","",INDEX('CARNET DE SOUDURE'!$U$7:$U$3006,P1479)))</f>
        <v>46268</v>
      </c>
      <c r="F1479" s="82" t="str">
        <f aca="false">IF(OR(C1479="",P1479=""),"",INDEX('CARNET DE SOUDURE'!$AP$7:$AP$3006,P1479))</f>
        <v>A</v>
      </c>
      <c r="G1479" s="82" t="str">
        <f aca="false">IF(C1479="","",IF(P1479="","NJ INCONNU",INDEX('CARNET DE SOUDURE'!$AQ$7:$AQ$3006,P1479)))</f>
        <v>ACCEPTÉ</v>
      </c>
      <c r="H1479" s="82" t="str">
        <f aca="false">IF(C1479="","",IF(G1479="ACCEPTÉ","OUI","NON"))</f>
        <v>OUI</v>
      </c>
      <c r="I1479" s="83"/>
      <c r="J1479" s="80"/>
      <c r="K1479" s="81"/>
      <c r="L1479" s="81"/>
      <c r="M1479" s="81"/>
      <c r="N1479" s="84" t="str">
        <f aca="false">IF(C1479="","",IF(P1479="","NJ INCONNU",IF(I1479="",IF(H1479="OUI","À ENROBER",IF(G1479="À SOUDER","NON SOUDÉ","EN ATTENTE RT")),IF(L1479="R","À REPRENDRE",IF(H1479&lt;&gt;"OUI","⚠ ENROBÉ AVANT ACCEPTATION RT","ENROBÉ")))))</f>
        <v>À ENROBER</v>
      </c>
      <c r="O1479" s="80"/>
      <c r="P1479" s="82" t="n">
        <f aca="false">IF(C1479="","",IFERROR(MATCH(Q1479,'CARNET DE SOUDURE'!$AW$7:$AW$3006,0),""))</f>
        <v>1473</v>
      </c>
      <c r="Q1479" s="82" t="str">
        <f aca="false">IF(C1479="","",B1479&amp;"|"&amp;C1479)</f>
        <v>MFD-ISW → MFD-CPF|DJ°262</v>
      </c>
    </row>
    <row r="1480" customFormat="false" ht="74.6" hidden="false" customHeight="false" outlineLevel="0" collapsed="false">
      <c r="A1480" s="82" t="n">
        <f aca="false">IF(C1480="","",ROW()-6)</f>
        <v>1474</v>
      </c>
      <c r="B1480" s="80" t="s">
        <v>110</v>
      </c>
      <c r="C1480" s="113" t="s">
        <v>1775</v>
      </c>
      <c r="D1480" s="82" t="str">
        <f aca="false">IF(OR(C1480="",P1480=""),"",INDEX('CARNET DE SOUDURE'!$D$7:$D$3006,P1480)&amp;"")</f>
        <v>13</v>
      </c>
      <c r="E1480" s="114" t="n">
        <f aca="false">IF(OR(C1480="",P1480=""),"",IF(INDEX('CARNET DE SOUDURE'!$U$7:$U$3006,P1480)="","",INDEX('CARNET DE SOUDURE'!$U$7:$U$3006,P1480)))</f>
        <v>46276</v>
      </c>
      <c r="F1480" s="82" t="str">
        <f aca="false">IF(OR(C1480="",P1480=""),"",INDEX('CARNET DE SOUDURE'!$AP$7:$AP$3006,P1480))</f>
        <v>A</v>
      </c>
      <c r="G1480" s="82" t="str">
        <f aca="false">IF(C1480="","",IF(P1480="","NJ INCONNU",INDEX('CARNET DE SOUDURE'!$AQ$7:$AQ$3006,P1480)))</f>
        <v>ACCEPTÉ</v>
      </c>
      <c r="H1480" s="82" t="str">
        <f aca="false">IF(C1480="","",IF(G1480="ACCEPTÉ","OUI","NON"))</f>
        <v>OUI</v>
      </c>
      <c r="I1480" s="83"/>
      <c r="J1480" s="80"/>
      <c r="K1480" s="81"/>
      <c r="L1480" s="81"/>
      <c r="M1480" s="81"/>
      <c r="N1480" s="84" t="str">
        <f aca="false">IF(C1480="","",IF(P1480="","NJ INCONNU",IF(I1480="",IF(H1480="OUI","À ENROBER",IF(G1480="À SOUDER","NON SOUDÉ","EN ATTENTE RT")),IF(L1480="R","À REPRENDRE",IF(H1480&lt;&gt;"OUI","⚠ ENROBÉ AVANT ACCEPTATION RT","ENROBÉ")))))</f>
        <v>À ENROBER</v>
      </c>
      <c r="O1480" s="80"/>
      <c r="P1480" s="82" t="n">
        <f aca="false">IF(C1480="","",IFERROR(MATCH(Q1480,'CARNET DE SOUDURE'!$AW$7:$AW$3006,0),""))</f>
        <v>1474</v>
      </c>
      <c r="Q1480" s="82" t="str">
        <f aca="false">IF(C1480="","",B1480&amp;"|"&amp;C1480)</f>
        <v>MFD-ISW → MFD-CPF|JN°1232</v>
      </c>
    </row>
    <row r="1481" customFormat="false" ht="74.6" hidden="false" customHeight="false" outlineLevel="0" collapsed="false">
      <c r="A1481" s="82" t="n">
        <f aca="false">IF(C1481="","",ROW()-6)</f>
        <v>1475</v>
      </c>
      <c r="B1481" s="80" t="s">
        <v>110</v>
      </c>
      <c r="C1481" s="113" t="s">
        <v>1777</v>
      </c>
      <c r="D1481" s="82" t="str">
        <f aca="false">IF(OR(C1481="",P1481=""),"",INDEX('CARNET DE SOUDURE'!$D$7:$D$3006,P1481)&amp;"")</f>
        <v>13</v>
      </c>
      <c r="E1481" s="114" t="n">
        <f aca="false">IF(OR(C1481="",P1481=""),"",IF(INDEX('CARNET DE SOUDURE'!$U$7:$U$3006,P1481)="","",INDEX('CARNET DE SOUDURE'!$U$7:$U$3006,P1481)))</f>
        <v>46268</v>
      </c>
      <c r="F1481" s="82" t="str">
        <f aca="false">IF(OR(C1481="",P1481=""),"",INDEX('CARNET DE SOUDURE'!$AP$7:$AP$3006,P1481))</f>
        <v>A</v>
      </c>
      <c r="G1481" s="82" t="str">
        <f aca="false">IF(C1481="","",IF(P1481="","NJ INCONNU",INDEX('CARNET DE SOUDURE'!$AQ$7:$AQ$3006,P1481)))</f>
        <v>ACCEPTÉ</v>
      </c>
      <c r="H1481" s="82" t="str">
        <f aca="false">IF(C1481="","",IF(G1481="ACCEPTÉ","OUI","NON"))</f>
        <v>OUI</v>
      </c>
      <c r="I1481" s="83"/>
      <c r="J1481" s="80"/>
      <c r="K1481" s="81"/>
      <c r="L1481" s="81"/>
      <c r="M1481" s="81"/>
      <c r="N1481" s="84" t="str">
        <f aca="false">IF(C1481="","",IF(P1481="","NJ INCONNU",IF(I1481="",IF(H1481="OUI","À ENROBER",IF(G1481="À SOUDER","NON SOUDÉ","EN ATTENTE RT")),IF(L1481="R","À REPRENDRE",IF(H1481&lt;&gt;"OUI","⚠ ENROBÉ AVANT ACCEPTATION RT","ENROBÉ")))))</f>
        <v>À ENROBER</v>
      </c>
      <c r="O1481" s="80"/>
      <c r="P1481" s="82" t="n">
        <f aca="false">IF(C1481="","",IFERROR(MATCH(Q1481,'CARNET DE SOUDURE'!$AW$7:$AW$3006,0),""))</f>
        <v>1475</v>
      </c>
      <c r="Q1481" s="82" t="str">
        <f aca="false">IF(C1481="","",B1481&amp;"|"&amp;C1481)</f>
        <v>MFD-ISW → MFD-CPF|DJ°261</v>
      </c>
    </row>
    <row r="1482" customFormat="false" ht="74.6" hidden="false" customHeight="false" outlineLevel="0" collapsed="false">
      <c r="A1482" s="82" t="n">
        <f aca="false">IF(C1482="","",ROW()-6)</f>
        <v>1476</v>
      </c>
      <c r="B1482" s="80" t="s">
        <v>110</v>
      </c>
      <c r="C1482" s="113" t="s">
        <v>1778</v>
      </c>
      <c r="D1482" s="82" t="str">
        <f aca="false">IF(OR(C1482="",P1482=""),"",INDEX('CARNET DE SOUDURE'!$D$7:$D$3006,P1482)&amp;"")</f>
        <v>13</v>
      </c>
      <c r="E1482" s="114" t="n">
        <f aca="false">IF(OR(C1482="",P1482=""),"",IF(INDEX('CARNET DE SOUDURE'!$U$7:$U$3006,P1482)="","",INDEX('CARNET DE SOUDURE'!$U$7:$U$3006,P1482)))</f>
        <v>46276</v>
      </c>
      <c r="F1482" s="82" t="str">
        <f aca="false">IF(OR(C1482="",P1482=""),"",INDEX('CARNET DE SOUDURE'!$AP$7:$AP$3006,P1482))</f>
        <v>A</v>
      </c>
      <c r="G1482" s="82" t="str">
        <f aca="false">IF(C1482="","",IF(P1482="","NJ INCONNU",INDEX('CARNET DE SOUDURE'!$AQ$7:$AQ$3006,P1482)))</f>
        <v>ACCEPTÉ</v>
      </c>
      <c r="H1482" s="82" t="str">
        <f aca="false">IF(C1482="","",IF(G1482="ACCEPTÉ","OUI","NON"))</f>
        <v>OUI</v>
      </c>
      <c r="I1482" s="83"/>
      <c r="J1482" s="80"/>
      <c r="K1482" s="81"/>
      <c r="L1482" s="81"/>
      <c r="M1482" s="81"/>
      <c r="N1482" s="84" t="str">
        <f aca="false">IF(C1482="","",IF(P1482="","NJ INCONNU",IF(I1482="",IF(H1482="OUI","À ENROBER",IF(G1482="À SOUDER","NON SOUDÉ","EN ATTENTE RT")),IF(L1482="R","À REPRENDRE",IF(H1482&lt;&gt;"OUI","⚠ ENROBÉ AVANT ACCEPTATION RT","ENROBÉ")))))</f>
        <v>À ENROBER</v>
      </c>
      <c r="O1482" s="80"/>
      <c r="P1482" s="82" t="n">
        <f aca="false">IF(C1482="","",IFERROR(MATCH(Q1482,'CARNET DE SOUDURE'!$AW$7:$AW$3006,0),""))</f>
        <v>1476</v>
      </c>
      <c r="Q1482" s="82" t="str">
        <f aca="false">IF(C1482="","",B1482&amp;"|"&amp;C1482)</f>
        <v>MFD-ISW → MFD-CPF|JN°1233</v>
      </c>
    </row>
    <row r="1483" customFormat="false" ht="74.6" hidden="false" customHeight="false" outlineLevel="0" collapsed="false">
      <c r="A1483" s="82" t="n">
        <f aca="false">IF(C1483="","",ROW()-6)</f>
        <v>1477</v>
      </c>
      <c r="B1483" s="80" t="s">
        <v>110</v>
      </c>
      <c r="C1483" s="113" t="s">
        <v>1779</v>
      </c>
      <c r="D1483" s="82" t="str">
        <f aca="false">IF(OR(C1483="",P1483=""),"",INDEX('CARNET DE SOUDURE'!$D$7:$D$3006,P1483)&amp;"")</f>
        <v>13</v>
      </c>
      <c r="E1483" s="114" t="n">
        <f aca="false">IF(OR(C1483="",P1483=""),"",IF(INDEX('CARNET DE SOUDURE'!$U$7:$U$3006,P1483)="","",INDEX('CARNET DE SOUDURE'!$U$7:$U$3006,P1483)))</f>
        <v>46267</v>
      </c>
      <c r="F1483" s="82" t="str">
        <f aca="false">IF(OR(C1483="",P1483=""),"",INDEX('CARNET DE SOUDURE'!$AP$7:$AP$3006,P1483))</f>
        <v>A</v>
      </c>
      <c r="G1483" s="82" t="str">
        <f aca="false">IF(C1483="","",IF(P1483="","NJ INCONNU",INDEX('CARNET DE SOUDURE'!$AQ$7:$AQ$3006,P1483)))</f>
        <v>ACCEPTÉ</v>
      </c>
      <c r="H1483" s="82" t="str">
        <f aca="false">IF(C1483="","",IF(G1483="ACCEPTÉ","OUI","NON"))</f>
        <v>OUI</v>
      </c>
      <c r="I1483" s="83"/>
      <c r="J1483" s="80"/>
      <c r="K1483" s="81"/>
      <c r="L1483" s="81"/>
      <c r="M1483" s="81"/>
      <c r="N1483" s="84" t="str">
        <f aca="false">IF(C1483="","",IF(P1483="","NJ INCONNU",IF(I1483="",IF(H1483="OUI","À ENROBER",IF(G1483="À SOUDER","NON SOUDÉ","EN ATTENTE RT")),IF(L1483="R","À REPRENDRE",IF(H1483&lt;&gt;"OUI","⚠ ENROBÉ AVANT ACCEPTATION RT","ENROBÉ")))))</f>
        <v>À ENROBER</v>
      </c>
      <c r="O1483" s="80"/>
      <c r="P1483" s="82" t="n">
        <f aca="false">IF(C1483="","",IFERROR(MATCH(Q1483,'CARNET DE SOUDURE'!$AW$7:$AW$3006,0),""))</f>
        <v>1477</v>
      </c>
      <c r="Q1483" s="82" t="str">
        <f aca="false">IF(C1483="","",B1483&amp;"|"&amp;C1483)</f>
        <v>MFD-ISW → MFD-CPF|DJ°235</v>
      </c>
    </row>
    <row r="1484" customFormat="false" ht="74.6" hidden="false" customHeight="false" outlineLevel="0" collapsed="false">
      <c r="A1484" s="82" t="n">
        <f aca="false">IF(C1484="","",ROW()-6)</f>
        <v>1478</v>
      </c>
      <c r="B1484" s="80" t="s">
        <v>110</v>
      </c>
      <c r="C1484" s="113" t="s">
        <v>1780</v>
      </c>
      <c r="D1484" s="82" t="str">
        <f aca="false">IF(OR(C1484="",P1484=""),"",INDEX('CARNET DE SOUDURE'!$D$7:$D$3006,P1484)&amp;"")</f>
        <v>13</v>
      </c>
      <c r="E1484" s="114" t="n">
        <f aca="false">IF(OR(C1484="",P1484=""),"",IF(INDEX('CARNET DE SOUDURE'!$U$7:$U$3006,P1484)="","",INDEX('CARNET DE SOUDURE'!$U$7:$U$3006,P1484)))</f>
        <v>46276</v>
      </c>
      <c r="F1484" s="82" t="str">
        <f aca="false">IF(OR(C1484="",P1484=""),"",INDEX('CARNET DE SOUDURE'!$AP$7:$AP$3006,P1484))</f>
        <v>A</v>
      </c>
      <c r="G1484" s="82" t="str">
        <f aca="false">IF(C1484="","",IF(P1484="","NJ INCONNU",INDEX('CARNET DE SOUDURE'!$AQ$7:$AQ$3006,P1484)))</f>
        <v>ACCEPTÉ</v>
      </c>
      <c r="H1484" s="82" t="str">
        <f aca="false">IF(C1484="","",IF(G1484="ACCEPTÉ","OUI","NON"))</f>
        <v>OUI</v>
      </c>
      <c r="I1484" s="83"/>
      <c r="J1484" s="80"/>
      <c r="K1484" s="81"/>
      <c r="L1484" s="81"/>
      <c r="M1484" s="81"/>
      <c r="N1484" s="84" t="str">
        <f aca="false">IF(C1484="","",IF(P1484="","NJ INCONNU",IF(I1484="",IF(H1484="OUI","À ENROBER",IF(G1484="À SOUDER","NON SOUDÉ","EN ATTENTE RT")),IF(L1484="R","À REPRENDRE",IF(H1484&lt;&gt;"OUI","⚠ ENROBÉ AVANT ACCEPTATION RT","ENROBÉ")))))</f>
        <v>À ENROBER</v>
      </c>
      <c r="O1484" s="80"/>
      <c r="P1484" s="82" t="n">
        <f aca="false">IF(C1484="","",IFERROR(MATCH(Q1484,'CARNET DE SOUDURE'!$AW$7:$AW$3006,0),""))</f>
        <v>1478</v>
      </c>
      <c r="Q1484" s="82" t="str">
        <f aca="false">IF(C1484="","",B1484&amp;"|"&amp;C1484)</f>
        <v>MFD-ISW → MFD-CPF|JN°1234</v>
      </c>
    </row>
    <row r="1485" customFormat="false" ht="74.6" hidden="false" customHeight="false" outlineLevel="0" collapsed="false">
      <c r="A1485" s="82" t="n">
        <f aca="false">IF(C1485="","",ROW()-6)</f>
        <v>1479</v>
      </c>
      <c r="B1485" s="80" t="s">
        <v>110</v>
      </c>
      <c r="C1485" s="113" t="s">
        <v>1781</v>
      </c>
      <c r="D1485" s="82" t="str">
        <f aca="false">IF(OR(C1485="",P1485=""),"",INDEX('CARNET DE SOUDURE'!$D$7:$D$3006,P1485)&amp;"")</f>
        <v>13</v>
      </c>
      <c r="E1485" s="114" t="n">
        <f aca="false">IF(OR(C1485="",P1485=""),"",IF(INDEX('CARNET DE SOUDURE'!$U$7:$U$3006,P1485)="","",INDEX('CARNET DE SOUDURE'!$U$7:$U$3006,P1485)))</f>
        <v>46269</v>
      </c>
      <c r="F1485" s="82" t="str">
        <f aca="false">IF(OR(C1485="",P1485=""),"",INDEX('CARNET DE SOUDURE'!$AP$7:$AP$3006,P1485))</f>
        <v>A</v>
      </c>
      <c r="G1485" s="82" t="str">
        <f aca="false">IF(C1485="","",IF(P1485="","NJ INCONNU",INDEX('CARNET DE SOUDURE'!$AQ$7:$AQ$3006,P1485)))</f>
        <v>ACCEPTÉ</v>
      </c>
      <c r="H1485" s="82" t="str">
        <f aca="false">IF(C1485="","",IF(G1485="ACCEPTÉ","OUI","NON"))</f>
        <v>OUI</v>
      </c>
      <c r="I1485" s="83"/>
      <c r="J1485" s="80"/>
      <c r="K1485" s="81"/>
      <c r="L1485" s="81"/>
      <c r="M1485" s="81"/>
      <c r="N1485" s="84" t="str">
        <f aca="false">IF(C1485="","",IF(P1485="","NJ INCONNU",IF(I1485="",IF(H1485="OUI","À ENROBER",IF(G1485="À SOUDER","NON SOUDÉ","EN ATTENTE RT")),IF(L1485="R","À REPRENDRE",IF(H1485&lt;&gt;"OUI","⚠ ENROBÉ AVANT ACCEPTATION RT","ENROBÉ")))))</f>
        <v>À ENROBER</v>
      </c>
      <c r="O1485" s="80"/>
      <c r="P1485" s="82" t="n">
        <f aca="false">IF(C1485="","",IFERROR(MATCH(Q1485,'CARNET DE SOUDURE'!$AW$7:$AW$3006,0),""))</f>
        <v>1479</v>
      </c>
      <c r="Q1485" s="82" t="str">
        <f aca="false">IF(C1485="","",B1485&amp;"|"&amp;C1485)</f>
        <v>MFD-ISW → MFD-CPF|DJ°270</v>
      </c>
    </row>
    <row r="1486" customFormat="false" ht="74.6" hidden="false" customHeight="false" outlineLevel="0" collapsed="false">
      <c r="A1486" s="82" t="n">
        <f aca="false">IF(C1486="","",ROW()-6)</f>
        <v>1480</v>
      </c>
      <c r="B1486" s="80" t="s">
        <v>110</v>
      </c>
      <c r="C1486" s="113" t="s">
        <v>1782</v>
      </c>
      <c r="D1486" s="82" t="str">
        <f aca="false">IF(OR(C1486="",P1486=""),"",INDEX('CARNET DE SOUDURE'!$D$7:$D$3006,P1486)&amp;"")</f>
        <v>13</v>
      </c>
      <c r="E1486" s="114" t="n">
        <f aca="false">IF(OR(C1486="",P1486=""),"",IF(INDEX('CARNET DE SOUDURE'!$U$7:$U$3006,P1486)="","",INDEX('CARNET DE SOUDURE'!$U$7:$U$3006,P1486)))</f>
        <v>46276</v>
      </c>
      <c r="F1486" s="82" t="str">
        <f aca="false">IF(OR(C1486="",P1486=""),"",INDEX('CARNET DE SOUDURE'!$AP$7:$AP$3006,P1486))</f>
        <v>R</v>
      </c>
      <c r="G1486" s="82" t="str">
        <f aca="false">IF(C1486="","",IF(P1486="","NJ INCONNU",INDEX('CARNET DE SOUDURE'!$AQ$7:$AQ$3006,P1486)))</f>
        <v>À RÉPARER</v>
      </c>
      <c r="H1486" s="82" t="str">
        <f aca="false">IF(C1486="","",IF(G1486="ACCEPTÉ","OUI","NON"))</f>
        <v>NON</v>
      </c>
      <c r="I1486" s="83"/>
      <c r="J1486" s="80"/>
      <c r="K1486" s="81"/>
      <c r="L1486" s="81"/>
      <c r="M1486" s="81"/>
      <c r="N1486" s="84" t="str">
        <f aca="false">IF(C1486="","",IF(P1486="","NJ INCONNU",IF(I1486="",IF(H1486="OUI","À ENROBER",IF(G1486="À SOUDER","NON SOUDÉ","EN ATTENTE RT")),IF(L1486="R","À REPRENDRE",IF(H1486&lt;&gt;"OUI","⚠ ENROBÉ AVANT ACCEPTATION RT","ENROBÉ")))))</f>
        <v>EN ATTENTE RT</v>
      </c>
      <c r="O1486" s="80"/>
      <c r="P1486" s="82" t="n">
        <f aca="false">IF(C1486="","",IFERROR(MATCH(Q1486,'CARNET DE SOUDURE'!$AW$7:$AW$3006,0),""))</f>
        <v>1480</v>
      </c>
      <c r="Q1486" s="82" t="str">
        <f aca="false">IF(C1486="","",B1486&amp;"|"&amp;C1486)</f>
        <v>MFD-ISW → MFD-CPF|JN°1235</v>
      </c>
    </row>
    <row r="1487" customFormat="false" ht="74.6" hidden="false" customHeight="false" outlineLevel="0" collapsed="false">
      <c r="A1487" s="82" t="n">
        <f aca="false">IF(C1487="","",ROW()-6)</f>
        <v>1481</v>
      </c>
      <c r="B1487" s="80" t="s">
        <v>110</v>
      </c>
      <c r="C1487" s="113" t="s">
        <v>1784</v>
      </c>
      <c r="D1487" s="82" t="str">
        <f aca="false">IF(OR(C1487="",P1487=""),"",INDEX('CARNET DE SOUDURE'!$D$7:$D$3006,P1487)&amp;"")</f>
        <v>/</v>
      </c>
      <c r="E1487" s="114" t="n">
        <f aca="false">IF(OR(C1487="",P1487=""),"",IF(INDEX('CARNET DE SOUDURE'!$U$7:$U$3006,P1487)="","",INDEX('CARNET DE SOUDURE'!$U$7:$U$3006,P1487)))</f>
        <v>46267</v>
      </c>
      <c r="F1487" s="82" t="str">
        <f aca="false">IF(OR(C1487="",P1487=""),"",INDEX('CARNET DE SOUDURE'!$AP$7:$AP$3006,P1487))</f>
        <v>A</v>
      </c>
      <c r="G1487" s="82" t="str">
        <f aca="false">IF(C1487="","",IF(P1487="","NJ INCONNU",INDEX('CARNET DE SOUDURE'!$AQ$7:$AQ$3006,P1487)))</f>
        <v>ACCEPTÉ</v>
      </c>
      <c r="H1487" s="82" t="str">
        <f aca="false">IF(C1487="","",IF(G1487="ACCEPTÉ","OUI","NON"))</f>
        <v>OUI</v>
      </c>
      <c r="I1487" s="83"/>
      <c r="J1487" s="80"/>
      <c r="K1487" s="81"/>
      <c r="L1487" s="81"/>
      <c r="M1487" s="81"/>
      <c r="N1487" s="84" t="str">
        <f aca="false">IF(C1487="","",IF(P1487="","NJ INCONNU",IF(I1487="",IF(H1487="OUI","À ENROBER",IF(G1487="À SOUDER","NON SOUDÉ","EN ATTENTE RT")),IF(L1487="R","À REPRENDRE",IF(H1487&lt;&gt;"OUI","⚠ ENROBÉ AVANT ACCEPTATION RT","ENROBÉ")))))</f>
        <v>À ENROBER</v>
      </c>
      <c r="O1487" s="80"/>
      <c r="P1487" s="82" t="n">
        <f aca="false">IF(C1487="","",IFERROR(MATCH(Q1487,'CARNET DE SOUDURE'!$AW$7:$AW$3006,0),""))</f>
        <v>1481</v>
      </c>
      <c r="Q1487" s="82" t="str">
        <f aca="false">IF(C1487="","",B1487&amp;"|"&amp;C1487)</f>
        <v>MFD-ISW → MFD-CPF|DJ°250</v>
      </c>
    </row>
    <row r="1488" customFormat="false" ht="74.6" hidden="false" customHeight="false" outlineLevel="0" collapsed="false">
      <c r="A1488" s="82" t="n">
        <f aca="false">IF(C1488="","",ROW()-6)</f>
        <v>1482</v>
      </c>
      <c r="B1488" s="80" t="s">
        <v>110</v>
      </c>
      <c r="C1488" s="113" t="s">
        <v>1785</v>
      </c>
      <c r="D1488" s="82" t="str">
        <f aca="false">IF(OR(C1488="",P1488=""),"",INDEX('CARNET DE SOUDURE'!$D$7:$D$3006,P1488)&amp;"")</f>
        <v>13</v>
      </c>
      <c r="E1488" s="114" t="n">
        <f aca="false">IF(OR(C1488="",P1488=""),"",IF(INDEX('CARNET DE SOUDURE'!$U$7:$U$3006,P1488)="","",INDEX('CARNET DE SOUDURE'!$U$7:$U$3006,P1488)))</f>
        <v>46276</v>
      </c>
      <c r="F1488" s="82" t="str">
        <f aca="false">IF(OR(C1488="",P1488=""),"",INDEX('CARNET DE SOUDURE'!$AP$7:$AP$3006,P1488))</f>
        <v>R</v>
      </c>
      <c r="G1488" s="82" t="str">
        <f aca="false">IF(C1488="","",IF(P1488="","NJ INCONNU",INDEX('CARNET DE SOUDURE'!$AQ$7:$AQ$3006,P1488)))</f>
        <v>À RÉPARER</v>
      </c>
      <c r="H1488" s="82" t="str">
        <f aca="false">IF(C1488="","",IF(G1488="ACCEPTÉ","OUI","NON"))</f>
        <v>NON</v>
      </c>
      <c r="I1488" s="83"/>
      <c r="J1488" s="80"/>
      <c r="K1488" s="81"/>
      <c r="L1488" s="81"/>
      <c r="M1488" s="81"/>
      <c r="N1488" s="84" t="str">
        <f aca="false">IF(C1488="","",IF(P1488="","NJ INCONNU",IF(I1488="",IF(H1488="OUI","À ENROBER",IF(G1488="À SOUDER","NON SOUDÉ","EN ATTENTE RT")),IF(L1488="R","À REPRENDRE",IF(H1488&lt;&gt;"OUI","⚠ ENROBÉ AVANT ACCEPTATION RT","ENROBÉ")))))</f>
        <v>EN ATTENTE RT</v>
      </c>
      <c r="O1488" s="80"/>
      <c r="P1488" s="82" t="n">
        <f aca="false">IF(C1488="","",IFERROR(MATCH(Q1488,'CARNET DE SOUDURE'!$AW$7:$AW$3006,0),""))</f>
        <v>1482</v>
      </c>
      <c r="Q1488" s="82" t="str">
        <f aca="false">IF(C1488="","",B1488&amp;"|"&amp;C1488)</f>
        <v>MFD-ISW → MFD-CPF|JN°1236</v>
      </c>
    </row>
    <row r="1489" customFormat="false" ht="74.6" hidden="false" customHeight="false" outlineLevel="0" collapsed="false">
      <c r="A1489" s="82" t="n">
        <f aca="false">IF(C1489="","",ROW()-6)</f>
        <v>1483</v>
      </c>
      <c r="B1489" s="80" t="s">
        <v>110</v>
      </c>
      <c r="C1489" s="113" t="s">
        <v>1787</v>
      </c>
      <c r="D1489" s="82" t="str">
        <f aca="false">IF(OR(C1489="",P1489=""),"",INDEX('CARNET DE SOUDURE'!$D$7:$D$3006,P1489)&amp;"")</f>
        <v>/</v>
      </c>
      <c r="E1489" s="114" t="n">
        <f aca="false">IF(OR(C1489="",P1489=""),"",IF(INDEX('CARNET DE SOUDURE'!$U$7:$U$3006,P1489)="","",INDEX('CARNET DE SOUDURE'!$U$7:$U$3006,P1489)))</f>
        <v>46267</v>
      </c>
      <c r="F1489" s="82" t="str">
        <f aca="false">IF(OR(C1489="",P1489=""),"",INDEX('CARNET DE SOUDURE'!$AP$7:$AP$3006,P1489))</f>
        <v>A</v>
      </c>
      <c r="G1489" s="82" t="str">
        <f aca="false">IF(C1489="","",IF(P1489="","NJ INCONNU",INDEX('CARNET DE SOUDURE'!$AQ$7:$AQ$3006,P1489)))</f>
        <v>ACCEPTÉ</v>
      </c>
      <c r="H1489" s="82" t="str">
        <f aca="false">IF(C1489="","",IF(G1489="ACCEPTÉ","OUI","NON"))</f>
        <v>OUI</v>
      </c>
      <c r="I1489" s="83"/>
      <c r="J1489" s="80"/>
      <c r="K1489" s="81"/>
      <c r="L1489" s="81"/>
      <c r="M1489" s="81"/>
      <c r="N1489" s="84" t="str">
        <f aca="false">IF(C1489="","",IF(P1489="","NJ INCONNU",IF(I1489="",IF(H1489="OUI","À ENROBER",IF(G1489="À SOUDER","NON SOUDÉ","EN ATTENTE RT")),IF(L1489="R","À REPRENDRE",IF(H1489&lt;&gt;"OUI","⚠ ENROBÉ AVANT ACCEPTATION RT","ENROBÉ")))))</f>
        <v>À ENROBER</v>
      </c>
      <c r="O1489" s="80"/>
      <c r="P1489" s="82" t="n">
        <f aca="false">IF(C1489="","",IFERROR(MATCH(Q1489,'CARNET DE SOUDURE'!$AW$7:$AW$3006,0),""))</f>
        <v>1483</v>
      </c>
      <c r="Q1489" s="82" t="str">
        <f aca="false">IF(C1489="","",B1489&amp;"|"&amp;C1489)</f>
        <v>MFD-ISW → MFD-CPF|DJ°246</v>
      </c>
    </row>
    <row r="1490" customFormat="false" ht="74.6" hidden="false" customHeight="false" outlineLevel="0" collapsed="false">
      <c r="A1490" s="82" t="n">
        <f aca="false">IF(C1490="","",ROW()-6)</f>
        <v>1484</v>
      </c>
      <c r="B1490" s="80" t="s">
        <v>110</v>
      </c>
      <c r="C1490" s="113" t="s">
        <v>1788</v>
      </c>
      <c r="D1490" s="82" t="str">
        <f aca="false">IF(OR(C1490="",P1490=""),"",INDEX('CARNET DE SOUDURE'!$D$7:$D$3006,P1490)&amp;"")</f>
        <v>13</v>
      </c>
      <c r="E1490" s="114" t="str">
        <f aca="false">IF(OR(C1490="",P1490=""),"",IF(INDEX('CARNET DE SOUDURE'!$U$7:$U$3006,P1490)="","",INDEX('CARNET DE SOUDURE'!$U$7:$U$3006,P1490)))</f>
        <v/>
      </c>
      <c r="F1490" s="82" t="str">
        <f aca="false">IF(OR(C1490="",P1490=""),"",INDEX('CARNET DE SOUDURE'!$AP$7:$AP$3006,P1490))</f>
        <v/>
      </c>
      <c r="G1490" s="82" t="str">
        <f aca="false">IF(C1490="","",IF(P1490="","NJ INCONNU",INDEX('CARNET DE SOUDURE'!$AQ$7:$AQ$3006,P1490)))</f>
        <v>À SOUDER</v>
      </c>
      <c r="H1490" s="82" t="str">
        <f aca="false">IF(C1490="","",IF(G1490="ACCEPTÉ","OUI","NON"))</f>
        <v>NON</v>
      </c>
      <c r="I1490" s="83"/>
      <c r="J1490" s="80"/>
      <c r="K1490" s="81"/>
      <c r="L1490" s="81"/>
      <c r="M1490" s="81"/>
      <c r="N1490" s="84" t="str">
        <f aca="false">IF(C1490="","",IF(P1490="","NJ INCONNU",IF(I1490="",IF(H1490="OUI","À ENROBER",IF(G1490="À SOUDER","NON SOUDÉ","EN ATTENTE RT")),IF(L1490="R","À REPRENDRE",IF(H1490&lt;&gt;"OUI","⚠ ENROBÉ AVANT ACCEPTATION RT","ENROBÉ")))))</f>
        <v>NON SOUDÉ</v>
      </c>
      <c r="O1490" s="80"/>
      <c r="P1490" s="82" t="n">
        <f aca="false">IF(C1490="","",IFERROR(MATCH(Q1490,'CARNET DE SOUDURE'!$AW$7:$AW$3006,0),""))</f>
        <v>1484</v>
      </c>
      <c r="Q1490" s="82" t="str">
        <f aca="false">IF(C1490="","",B1490&amp;"|"&amp;C1490)</f>
        <v>MFD-ISW → MFD-CPF|JN°1237</v>
      </c>
    </row>
    <row r="1491" customFormat="false" ht="74.6" hidden="false" customHeight="false" outlineLevel="0" collapsed="false">
      <c r="A1491" s="82" t="n">
        <f aca="false">IF(C1491="","",ROW()-6)</f>
        <v>1485</v>
      </c>
      <c r="B1491" s="80" t="s">
        <v>110</v>
      </c>
      <c r="C1491" s="113" t="s">
        <v>1789</v>
      </c>
      <c r="D1491" s="82" t="str">
        <f aca="false">IF(OR(C1491="",P1491=""),"",INDEX('CARNET DE SOUDURE'!$D$7:$D$3006,P1491)&amp;"")</f>
        <v>13</v>
      </c>
      <c r="E1491" s="114" t="str">
        <f aca="false">IF(OR(C1491="",P1491=""),"",IF(INDEX('CARNET DE SOUDURE'!$U$7:$U$3006,P1491)="","",INDEX('CARNET DE SOUDURE'!$U$7:$U$3006,P1491)))</f>
        <v/>
      </c>
      <c r="F1491" s="82" t="str">
        <f aca="false">IF(OR(C1491="",P1491=""),"",INDEX('CARNET DE SOUDURE'!$AP$7:$AP$3006,P1491))</f>
        <v/>
      </c>
      <c r="G1491" s="82" t="str">
        <f aca="false">IF(C1491="","",IF(P1491="","NJ INCONNU",INDEX('CARNET DE SOUDURE'!$AQ$7:$AQ$3006,P1491)))</f>
        <v>À SOUDER</v>
      </c>
      <c r="H1491" s="82" t="str">
        <f aca="false">IF(C1491="","",IF(G1491="ACCEPTÉ","OUI","NON"))</f>
        <v>NON</v>
      </c>
      <c r="I1491" s="83"/>
      <c r="J1491" s="80"/>
      <c r="K1491" s="81"/>
      <c r="L1491" s="81"/>
      <c r="M1491" s="81"/>
      <c r="N1491" s="84" t="str">
        <f aca="false">IF(C1491="","",IF(P1491="","NJ INCONNU",IF(I1491="",IF(H1491="OUI","À ENROBER",IF(G1491="À SOUDER","NON SOUDÉ","EN ATTENTE RT")),IF(L1491="R","À REPRENDRE",IF(H1491&lt;&gt;"OUI","⚠ ENROBÉ AVANT ACCEPTATION RT","ENROBÉ")))))</f>
        <v>NON SOUDÉ</v>
      </c>
      <c r="O1491" s="80"/>
      <c r="P1491" s="82" t="n">
        <f aca="false">IF(C1491="","",IFERROR(MATCH(Q1491,'CARNET DE SOUDURE'!$AW$7:$AW$3006,0),""))</f>
        <v>1485</v>
      </c>
      <c r="Q1491" s="82" t="str">
        <f aca="false">IF(C1491="","",B1491&amp;"|"&amp;C1491)</f>
        <v>MFD-ISW → MFD-CPF|JN°1238</v>
      </c>
    </row>
    <row r="1492" customFormat="false" ht="74.6" hidden="false" customHeight="false" outlineLevel="0" collapsed="false">
      <c r="A1492" s="82" t="n">
        <f aca="false">IF(C1492="","",ROW()-6)</f>
        <v>1486</v>
      </c>
      <c r="B1492" s="80" t="s">
        <v>110</v>
      </c>
      <c r="C1492" s="113" t="s">
        <v>1790</v>
      </c>
      <c r="D1492" s="82" t="str">
        <f aca="false">IF(OR(C1492="",P1492=""),"",INDEX('CARNET DE SOUDURE'!$D$7:$D$3006,P1492)&amp;"")</f>
        <v>13</v>
      </c>
      <c r="E1492" s="114" t="str">
        <f aca="false">IF(OR(C1492="",P1492=""),"",IF(INDEX('CARNET DE SOUDURE'!$U$7:$U$3006,P1492)="","",INDEX('CARNET DE SOUDURE'!$U$7:$U$3006,P1492)))</f>
        <v/>
      </c>
      <c r="F1492" s="82" t="str">
        <f aca="false">IF(OR(C1492="",P1492=""),"",INDEX('CARNET DE SOUDURE'!$AP$7:$AP$3006,P1492))</f>
        <v/>
      </c>
      <c r="G1492" s="82" t="str">
        <f aca="false">IF(C1492="","",IF(P1492="","NJ INCONNU",INDEX('CARNET DE SOUDURE'!$AQ$7:$AQ$3006,P1492)))</f>
        <v>À SOUDER</v>
      </c>
      <c r="H1492" s="82" t="str">
        <f aca="false">IF(C1492="","",IF(G1492="ACCEPTÉ","OUI","NON"))</f>
        <v>NON</v>
      </c>
      <c r="I1492" s="83"/>
      <c r="J1492" s="80"/>
      <c r="K1492" s="81"/>
      <c r="L1492" s="81"/>
      <c r="M1492" s="81"/>
      <c r="N1492" s="84" t="str">
        <f aca="false">IF(C1492="","",IF(P1492="","NJ INCONNU",IF(I1492="",IF(H1492="OUI","À ENROBER",IF(G1492="À SOUDER","NON SOUDÉ","EN ATTENTE RT")),IF(L1492="R","À REPRENDRE",IF(H1492&lt;&gt;"OUI","⚠ ENROBÉ AVANT ACCEPTATION RT","ENROBÉ")))))</f>
        <v>NON SOUDÉ</v>
      </c>
      <c r="O1492" s="80"/>
      <c r="P1492" s="82" t="n">
        <f aca="false">IF(C1492="","",IFERROR(MATCH(Q1492,'CARNET DE SOUDURE'!$AW$7:$AW$3006,0),""))</f>
        <v>1486</v>
      </c>
      <c r="Q1492" s="82" t="str">
        <f aca="false">IF(C1492="","",B1492&amp;"|"&amp;C1492)</f>
        <v>MFD-ISW → MFD-CPF|JN°1239</v>
      </c>
    </row>
    <row r="1493" customFormat="false" ht="74.6" hidden="false" customHeight="false" outlineLevel="0" collapsed="false">
      <c r="A1493" s="82" t="n">
        <f aca="false">IF(C1493="","",ROW()-6)</f>
        <v>1487</v>
      </c>
      <c r="B1493" s="80" t="s">
        <v>110</v>
      </c>
      <c r="C1493" s="113" t="s">
        <v>1791</v>
      </c>
      <c r="D1493" s="82" t="str">
        <f aca="false">IF(OR(C1493="",P1493=""),"",INDEX('CARNET DE SOUDURE'!$D$7:$D$3006,P1493)&amp;"")</f>
        <v>13</v>
      </c>
      <c r="E1493" s="114" t="str">
        <f aca="false">IF(OR(C1493="",P1493=""),"",IF(INDEX('CARNET DE SOUDURE'!$U$7:$U$3006,P1493)="","",INDEX('CARNET DE SOUDURE'!$U$7:$U$3006,P1493)))</f>
        <v/>
      </c>
      <c r="F1493" s="82" t="str">
        <f aca="false">IF(OR(C1493="",P1493=""),"",INDEX('CARNET DE SOUDURE'!$AP$7:$AP$3006,P1493))</f>
        <v/>
      </c>
      <c r="G1493" s="82" t="str">
        <f aca="false">IF(C1493="","",IF(P1493="","NJ INCONNU",INDEX('CARNET DE SOUDURE'!$AQ$7:$AQ$3006,P1493)))</f>
        <v>À SOUDER</v>
      </c>
      <c r="H1493" s="82" t="str">
        <f aca="false">IF(C1493="","",IF(G1493="ACCEPTÉ","OUI","NON"))</f>
        <v>NON</v>
      </c>
      <c r="I1493" s="83"/>
      <c r="J1493" s="80"/>
      <c r="K1493" s="81"/>
      <c r="L1493" s="81"/>
      <c r="M1493" s="81"/>
      <c r="N1493" s="84" t="str">
        <f aca="false">IF(C1493="","",IF(P1493="","NJ INCONNU",IF(I1493="",IF(H1493="OUI","À ENROBER",IF(G1493="À SOUDER","NON SOUDÉ","EN ATTENTE RT")),IF(L1493="R","À REPRENDRE",IF(H1493&lt;&gt;"OUI","⚠ ENROBÉ AVANT ACCEPTATION RT","ENROBÉ")))))</f>
        <v>NON SOUDÉ</v>
      </c>
      <c r="O1493" s="80"/>
      <c r="P1493" s="82" t="n">
        <f aca="false">IF(C1493="","",IFERROR(MATCH(Q1493,'CARNET DE SOUDURE'!$AW$7:$AW$3006,0),""))</f>
        <v>1487</v>
      </c>
      <c r="Q1493" s="82" t="str">
        <f aca="false">IF(C1493="","",B1493&amp;"|"&amp;C1493)</f>
        <v>MFD-ISW → MFD-CPF|JN°1240</v>
      </c>
    </row>
    <row r="1494" customFormat="false" ht="74.6" hidden="false" customHeight="false" outlineLevel="0" collapsed="false">
      <c r="A1494" s="82" t="n">
        <f aca="false">IF(C1494="","",ROW()-6)</f>
        <v>1488</v>
      </c>
      <c r="B1494" s="80" t="s">
        <v>110</v>
      </c>
      <c r="C1494" s="113" t="s">
        <v>1793</v>
      </c>
      <c r="D1494" s="82" t="str">
        <f aca="false">IF(OR(C1494="",P1494=""),"",INDEX('CARNET DE SOUDURE'!$D$7:$D$3006,P1494)&amp;"")</f>
        <v>13</v>
      </c>
      <c r="E1494" s="114" t="n">
        <f aca="false">IF(OR(C1494="",P1494=""),"",IF(INDEX('CARNET DE SOUDURE'!$U$7:$U$3006,P1494)="","",INDEX('CARNET DE SOUDURE'!$U$7:$U$3006,P1494)))</f>
        <v>46269</v>
      </c>
      <c r="F1494" s="82" t="str">
        <f aca="false">IF(OR(C1494="",P1494=""),"",INDEX('CARNET DE SOUDURE'!$AP$7:$AP$3006,P1494))</f>
        <v>A</v>
      </c>
      <c r="G1494" s="82" t="str">
        <f aca="false">IF(C1494="","",IF(P1494="","NJ INCONNU",INDEX('CARNET DE SOUDURE'!$AQ$7:$AQ$3006,P1494)))</f>
        <v>ACCEPTÉ</v>
      </c>
      <c r="H1494" s="82" t="str">
        <f aca="false">IF(C1494="","",IF(G1494="ACCEPTÉ","OUI","NON"))</f>
        <v>OUI</v>
      </c>
      <c r="I1494" s="83"/>
      <c r="J1494" s="80"/>
      <c r="K1494" s="81"/>
      <c r="L1494" s="81"/>
      <c r="M1494" s="81"/>
      <c r="N1494" s="84" t="str">
        <f aca="false">IF(C1494="","",IF(P1494="","NJ INCONNU",IF(I1494="",IF(H1494="OUI","À ENROBER",IF(G1494="À SOUDER","NON SOUDÉ","EN ATTENTE RT")),IF(L1494="R","À REPRENDRE",IF(H1494&lt;&gt;"OUI","⚠ ENROBÉ AVANT ACCEPTATION RT","ENROBÉ")))))</f>
        <v>À ENROBER</v>
      </c>
      <c r="O1494" s="80"/>
      <c r="P1494" s="82" t="n">
        <f aca="false">IF(C1494="","",IFERROR(MATCH(Q1494,'CARNET DE SOUDURE'!$AW$7:$AW$3006,0),""))</f>
        <v>1488</v>
      </c>
      <c r="Q1494" s="82" t="str">
        <f aca="false">IF(C1494="","",B1494&amp;"|"&amp;C1494)</f>
        <v>MFD-ISW → MFD-CPF|DJ°268</v>
      </c>
    </row>
    <row r="1495" customFormat="false" ht="74.6" hidden="false" customHeight="false" outlineLevel="0" collapsed="false">
      <c r="A1495" s="82" t="n">
        <f aca="false">IF(C1495="","",ROW()-6)</f>
        <v>1489</v>
      </c>
      <c r="B1495" s="80" t="s">
        <v>110</v>
      </c>
      <c r="C1495" s="113" t="s">
        <v>1794</v>
      </c>
      <c r="D1495" s="82" t="str">
        <f aca="false">IF(OR(C1495="",P1495=""),"",INDEX('CARNET DE SOUDURE'!$D$7:$D$3006,P1495)&amp;"")</f>
        <v>13</v>
      </c>
      <c r="E1495" s="114" t="n">
        <f aca="false">IF(OR(C1495="",P1495=""),"",IF(INDEX('CARNET DE SOUDURE'!$U$7:$U$3006,P1495)="","",INDEX('CARNET DE SOUDURE'!$U$7:$U$3006,P1495)))</f>
        <v>46276</v>
      </c>
      <c r="F1495" s="82" t="str">
        <f aca="false">IF(OR(C1495="",P1495=""),"",INDEX('CARNET DE SOUDURE'!$AP$7:$AP$3006,P1495))</f>
        <v>A</v>
      </c>
      <c r="G1495" s="82" t="str">
        <f aca="false">IF(C1495="","",IF(P1495="","NJ INCONNU",INDEX('CARNET DE SOUDURE'!$AQ$7:$AQ$3006,P1495)))</f>
        <v>ACCEPTÉ</v>
      </c>
      <c r="H1495" s="82" t="str">
        <f aca="false">IF(C1495="","",IF(G1495="ACCEPTÉ","OUI","NON"))</f>
        <v>OUI</v>
      </c>
      <c r="I1495" s="83"/>
      <c r="J1495" s="80"/>
      <c r="K1495" s="81"/>
      <c r="L1495" s="81"/>
      <c r="M1495" s="81"/>
      <c r="N1495" s="84" t="str">
        <f aca="false">IF(C1495="","",IF(P1495="","NJ INCONNU",IF(I1495="",IF(H1495="OUI","À ENROBER",IF(G1495="À SOUDER","NON SOUDÉ","EN ATTENTE RT")),IF(L1495="R","À REPRENDRE",IF(H1495&lt;&gt;"OUI","⚠ ENROBÉ AVANT ACCEPTATION RT","ENROBÉ")))))</f>
        <v>À ENROBER</v>
      </c>
      <c r="O1495" s="80"/>
      <c r="P1495" s="82" t="n">
        <f aca="false">IF(C1495="","",IFERROR(MATCH(Q1495,'CARNET DE SOUDURE'!$AW$7:$AW$3006,0),""))</f>
        <v>1489</v>
      </c>
      <c r="Q1495" s="82" t="str">
        <f aca="false">IF(C1495="","",B1495&amp;"|"&amp;C1495)</f>
        <v>MFD-ISW → MFD-CPF|JN°1241</v>
      </c>
    </row>
    <row r="1496" customFormat="false" ht="74.6" hidden="false" customHeight="false" outlineLevel="0" collapsed="false">
      <c r="A1496" s="82" t="n">
        <f aca="false">IF(C1496="","",ROW()-6)</f>
        <v>1490</v>
      </c>
      <c r="B1496" s="80" t="s">
        <v>110</v>
      </c>
      <c r="C1496" s="113" t="s">
        <v>1797</v>
      </c>
      <c r="D1496" s="82" t="str">
        <f aca="false">IF(OR(C1496="",P1496=""),"",INDEX('CARNET DE SOUDURE'!$D$7:$D$3006,P1496)&amp;"")</f>
        <v>13</v>
      </c>
      <c r="E1496" s="114" t="n">
        <f aca="false">IF(OR(C1496="",P1496=""),"",IF(INDEX('CARNET DE SOUDURE'!$U$7:$U$3006,P1496)="","",INDEX('CARNET DE SOUDURE'!$U$7:$U$3006,P1496)))</f>
        <v>46269</v>
      </c>
      <c r="F1496" s="82" t="str">
        <f aca="false">IF(OR(C1496="",P1496=""),"",INDEX('CARNET DE SOUDURE'!$AP$7:$AP$3006,P1496))</f>
        <v>A</v>
      </c>
      <c r="G1496" s="82" t="str">
        <f aca="false">IF(C1496="","",IF(P1496="","NJ INCONNU",INDEX('CARNET DE SOUDURE'!$AQ$7:$AQ$3006,P1496)))</f>
        <v>ACCEPTÉ</v>
      </c>
      <c r="H1496" s="82" t="str">
        <f aca="false">IF(C1496="","",IF(G1496="ACCEPTÉ","OUI","NON"))</f>
        <v>OUI</v>
      </c>
      <c r="I1496" s="83"/>
      <c r="J1496" s="80"/>
      <c r="K1496" s="81"/>
      <c r="L1496" s="81"/>
      <c r="M1496" s="81"/>
      <c r="N1496" s="84" t="str">
        <f aca="false">IF(C1496="","",IF(P1496="","NJ INCONNU",IF(I1496="",IF(H1496="OUI","À ENROBER",IF(G1496="À SOUDER","NON SOUDÉ","EN ATTENTE RT")),IF(L1496="R","À REPRENDRE",IF(H1496&lt;&gt;"OUI","⚠ ENROBÉ AVANT ACCEPTATION RT","ENROBÉ")))))</f>
        <v>À ENROBER</v>
      </c>
      <c r="O1496" s="80"/>
      <c r="P1496" s="82" t="n">
        <f aca="false">IF(C1496="","",IFERROR(MATCH(Q1496,'CARNET DE SOUDURE'!$AW$7:$AW$3006,0),""))</f>
        <v>1490</v>
      </c>
      <c r="Q1496" s="82" t="str">
        <f aca="false">IF(C1496="","",B1496&amp;"|"&amp;C1496)</f>
        <v>MFD-ISW → MFD-CPF|DJ°269</v>
      </c>
    </row>
    <row r="1497" customFormat="false" ht="74.6" hidden="false" customHeight="false" outlineLevel="0" collapsed="false">
      <c r="A1497" s="82" t="n">
        <f aca="false">IF(C1497="","",ROW()-6)</f>
        <v>1491</v>
      </c>
      <c r="B1497" s="80" t="s">
        <v>110</v>
      </c>
      <c r="C1497" s="113" t="s">
        <v>1798</v>
      </c>
      <c r="D1497" s="82" t="str">
        <f aca="false">IF(OR(C1497="",P1497=""),"",INDEX('CARNET DE SOUDURE'!$D$7:$D$3006,P1497)&amp;"")</f>
        <v>13</v>
      </c>
      <c r="E1497" s="114" t="n">
        <f aca="false">IF(OR(C1497="",P1497=""),"",IF(INDEX('CARNET DE SOUDURE'!$U$7:$U$3006,P1497)="","",INDEX('CARNET DE SOUDURE'!$U$7:$U$3006,P1497)))</f>
        <v>46276</v>
      </c>
      <c r="F1497" s="82" t="str">
        <f aca="false">IF(OR(C1497="",P1497=""),"",INDEX('CARNET DE SOUDURE'!$AP$7:$AP$3006,P1497))</f>
        <v>A</v>
      </c>
      <c r="G1497" s="82" t="str">
        <f aca="false">IF(C1497="","",IF(P1497="","NJ INCONNU",INDEX('CARNET DE SOUDURE'!$AQ$7:$AQ$3006,P1497)))</f>
        <v>ACCEPTÉ</v>
      </c>
      <c r="H1497" s="82" t="str">
        <f aca="false">IF(C1497="","",IF(G1497="ACCEPTÉ","OUI","NON"))</f>
        <v>OUI</v>
      </c>
      <c r="I1497" s="83"/>
      <c r="J1497" s="80"/>
      <c r="K1497" s="81"/>
      <c r="L1497" s="81"/>
      <c r="M1497" s="81"/>
      <c r="N1497" s="84" t="str">
        <f aca="false">IF(C1497="","",IF(P1497="","NJ INCONNU",IF(I1497="",IF(H1497="OUI","À ENROBER",IF(G1497="À SOUDER","NON SOUDÉ","EN ATTENTE RT")),IF(L1497="R","À REPRENDRE",IF(H1497&lt;&gt;"OUI","⚠ ENROBÉ AVANT ACCEPTATION RT","ENROBÉ")))))</f>
        <v>À ENROBER</v>
      </c>
      <c r="O1497" s="80"/>
      <c r="P1497" s="82" t="n">
        <f aca="false">IF(C1497="","",IFERROR(MATCH(Q1497,'CARNET DE SOUDURE'!$AW$7:$AW$3006,0),""))</f>
        <v>1491</v>
      </c>
      <c r="Q1497" s="82" t="str">
        <f aca="false">IF(C1497="","",B1497&amp;"|"&amp;C1497)</f>
        <v>MFD-ISW → MFD-CPF|JN°1242</v>
      </c>
    </row>
    <row r="1498" customFormat="false" ht="74.6" hidden="false" customHeight="false" outlineLevel="0" collapsed="false">
      <c r="A1498" s="82" t="n">
        <f aca="false">IF(C1498="","",ROW()-6)</f>
        <v>1492</v>
      </c>
      <c r="B1498" s="80" t="s">
        <v>110</v>
      </c>
      <c r="C1498" s="113" t="s">
        <v>1799</v>
      </c>
      <c r="D1498" s="82" t="str">
        <f aca="false">IF(OR(C1498="",P1498=""),"",INDEX('CARNET DE SOUDURE'!$D$7:$D$3006,P1498)&amp;"")</f>
        <v>/</v>
      </c>
      <c r="E1498" s="114" t="n">
        <f aca="false">IF(OR(C1498="",P1498=""),"",IF(INDEX('CARNET DE SOUDURE'!$U$7:$U$3006,P1498)="","",INDEX('CARNET DE SOUDURE'!$U$7:$U$3006,P1498)))</f>
        <v>46269</v>
      </c>
      <c r="F1498" s="82" t="str">
        <f aca="false">IF(OR(C1498="",P1498=""),"",INDEX('CARNET DE SOUDURE'!$AP$7:$AP$3006,P1498))</f>
        <v>A</v>
      </c>
      <c r="G1498" s="82" t="str">
        <f aca="false">IF(C1498="","",IF(P1498="","NJ INCONNU",INDEX('CARNET DE SOUDURE'!$AQ$7:$AQ$3006,P1498)))</f>
        <v>ACCEPTÉ</v>
      </c>
      <c r="H1498" s="82" t="str">
        <f aca="false">IF(C1498="","",IF(G1498="ACCEPTÉ","OUI","NON"))</f>
        <v>OUI</v>
      </c>
      <c r="I1498" s="83"/>
      <c r="J1498" s="80"/>
      <c r="K1498" s="81"/>
      <c r="L1498" s="81"/>
      <c r="M1498" s="81"/>
      <c r="N1498" s="84" t="str">
        <f aca="false">IF(C1498="","",IF(P1498="","NJ INCONNU",IF(I1498="",IF(H1498="OUI","À ENROBER",IF(G1498="À SOUDER","NON SOUDÉ","EN ATTENTE RT")),IF(L1498="R","À REPRENDRE",IF(H1498&lt;&gt;"OUI","⚠ ENROBÉ AVANT ACCEPTATION RT","ENROBÉ")))))</f>
        <v>À ENROBER</v>
      </c>
      <c r="O1498" s="80"/>
      <c r="P1498" s="82" t="n">
        <f aca="false">IF(C1498="","",IFERROR(MATCH(Q1498,'CARNET DE SOUDURE'!$AW$7:$AW$3006,0),""))</f>
        <v>1492</v>
      </c>
      <c r="Q1498" s="82" t="str">
        <f aca="false">IF(C1498="","",B1498&amp;"|"&amp;C1498)</f>
        <v>MFD-ISW → MFD-CPF|DJ°271</v>
      </c>
    </row>
    <row r="1499" customFormat="false" ht="74.6" hidden="false" customHeight="false" outlineLevel="0" collapsed="false">
      <c r="A1499" s="82" t="n">
        <f aca="false">IF(C1499="","",ROW()-6)</f>
        <v>1493</v>
      </c>
      <c r="B1499" s="80" t="s">
        <v>110</v>
      </c>
      <c r="C1499" s="113" t="s">
        <v>1800</v>
      </c>
      <c r="D1499" s="82" t="str">
        <f aca="false">IF(OR(C1499="",P1499=""),"",INDEX('CARNET DE SOUDURE'!$D$7:$D$3006,P1499)&amp;"")</f>
        <v>13</v>
      </c>
      <c r="E1499" s="114" t="n">
        <f aca="false">IF(OR(C1499="",P1499=""),"",IF(INDEX('CARNET DE SOUDURE'!$U$7:$U$3006,P1499)="","",INDEX('CARNET DE SOUDURE'!$U$7:$U$3006,P1499)))</f>
        <v>46276</v>
      </c>
      <c r="F1499" s="82" t="str">
        <f aca="false">IF(OR(C1499="",P1499=""),"",INDEX('CARNET DE SOUDURE'!$AP$7:$AP$3006,P1499))</f>
        <v>A</v>
      </c>
      <c r="G1499" s="82" t="str">
        <f aca="false">IF(C1499="","",IF(P1499="","NJ INCONNU",INDEX('CARNET DE SOUDURE'!$AQ$7:$AQ$3006,P1499)))</f>
        <v>ACCEPTÉ</v>
      </c>
      <c r="H1499" s="82" t="str">
        <f aca="false">IF(C1499="","",IF(G1499="ACCEPTÉ","OUI","NON"))</f>
        <v>OUI</v>
      </c>
      <c r="I1499" s="83"/>
      <c r="J1499" s="80"/>
      <c r="K1499" s="81"/>
      <c r="L1499" s="81"/>
      <c r="M1499" s="81"/>
      <c r="N1499" s="84" t="str">
        <f aca="false">IF(C1499="","",IF(P1499="","NJ INCONNU",IF(I1499="",IF(H1499="OUI","À ENROBER",IF(G1499="À SOUDER","NON SOUDÉ","EN ATTENTE RT")),IF(L1499="R","À REPRENDRE",IF(H1499&lt;&gt;"OUI","⚠ ENROBÉ AVANT ACCEPTATION RT","ENROBÉ")))))</f>
        <v>À ENROBER</v>
      </c>
      <c r="O1499" s="80"/>
      <c r="P1499" s="82" t="n">
        <f aca="false">IF(C1499="","",IFERROR(MATCH(Q1499,'CARNET DE SOUDURE'!$AW$7:$AW$3006,0),""))</f>
        <v>1493</v>
      </c>
      <c r="Q1499" s="82" t="str">
        <f aca="false">IF(C1499="","",B1499&amp;"|"&amp;C1499)</f>
        <v>MFD-ISW → MFD-CPF|JN°1243</v>
      </c>
    </row>
    <row r="1500" customFormat="false" ht="74.6" hidden="false" customHeight="false" outlineLevel="0" collapsed="false">
      <c r="A1500" s="82" t="n">
        <f aca="false">IF(C1500="","",ROW()-6)</f>
        <v>1494</v>
      </c>
      <c r="B1500" s="80" t="s">
        <v>110</v>
      </c>
      <c r="C1500" s="113" t="s">
        <v>1801</v>
      </c>
      <c r="D1500" s="82" t="str">
        <f aca="false">IF(OR(C1500="",P1500=""),"",INDEX('CARNET DE SOUDURE'!$D$7:$D$3006,P1500)&amp;"")</f>
        <v>13</v>
      </c>
      <c r="E1500" s="114" t="n">
        <f aca="false">IF(OR(C1500="",P1500=""),"",IF(INDEX('CARNET DE SOUDURE'!$U$7:$U$3006,P1500)="","",INDEX('CARNET DE SOUDURE'!$U$7:$U$3006,P1500)))</f>
        <v>46269</v>
      </c>
      <c r="F1500" s="82" t="str">
        <f aca="false">IF(OR(C1500="",P1500=""),"",INDEX('CARNET DE SOUDURE'!$AP$7:$AP$3006,P1500))</f>
        <v>A</v>
      </c>
      <c r="G1500" s="82" t="str">
        <f aca="false">IF(C1500="","",IF(P1500="","NJ INCONNU",INDEX('CARNET DE SOUDURE'!$AQ$7:$AQ$3006,P1500)))</f>
        <v>ACCEPTÉ</v>
      </c>
      <c r="H1500" s="82" t="str">
        <f aca="false">IF(C1500="","",IF(G1500="ACCEPTÉ","OUI","NON"))</f>
        <v>OUI</v>
      </c>
      <c r="I1500" s="83"/>
      <c r="J1500" s="80"/>
      <c r="K1500" s="81"/>
      <c r="L1500" s="81"/>
      <c r="M1500" s="81"/>
      <c r="N1500" s="84" t="str">
        <f aca="false">IF(C1500="","",IF(P1500="","NJ INCONNU",IF(I1500="",IF(H1500="OUI","À ENROBER",IF(G1500="À SOUDER","NON SOUDÉ","EN ATTENTE RT")),IF(L1500="R","À REPRENDRE",IF(H1500&lt;&gt;"OUI","⚠ ENROBÉ AVANT ACCEPTATION RT","ENROBÉ")))))</f>
        <v>À ENROBER</v>
      </c>
      <c r="O1500" s="80"/>
      <c r="P1500" s="82" t="n">
        <f aca="false">IF(C1500="","",IFERROR(MATCH(Q1500,'CARNET DE SOUDURE'!$AW$7:$AW$3006,0),""))</f>
        <v>1494</v>
      </c>
      <c r="Q1500" s="82" t="str">
        <f aca="false">IF(C1500="","",B1500&amp;"|"&amp;C1500)</f>
        <v>MFD-ISW → MFD-CPF|DJ°273</v>
      </c>
    </row>
    <row r="1501" customFormat="false" ht="74.6" hidden="false" customHeight="false" outlineLevel="0" collapsed="false">
      <c r="A1501" s="82" t="n">
        <f aca="false">IF(C1501="","",ROW()-6)</f>
        <v>1495</v>
      </c>
      <c r="B1501" s="80" t="s">
        <v>110</v>
      </c>
      <c r="C1501" s="113" t="s">
        <v>1802</v>
      </c>
      <c r="D1501" s="82" t="str">
        <f aca="false">IF(OR(C1501="",P1501=""),"",INDEX('CARNET DE SOUDURE'!$D$7:$D$3006,P1501)&amp;"")</f>
        <v>13</v>
      </c>
      <c r="E1501" s="114" t="n">
        <f aca="false">IF(OR(C1501="",P1501=""),"",IF(INDEX('CARNET DE SOUDURE'!$U$7:$U$3006,P1501)="","",INDEX('CARNET DE SOUDURE'!$U$7:$U$3006,P1501)))</f>
        <v>46276</v>
      </c>
      <c r="F1501" s="82" t="str">
        <f aca="false">IF(OR(C1501="",P1501=""),"",INDEX('CARNET DE SOUDURE'!$AP$7:$AP$3006,P1501))</f>
        <v>A</v>
      </c>
      <c r="G1501" s="82" t="str">
        <f aca="false">IF(C1501="","",IF(P1501="","NJ INCONNU",INDEX('CARNET DE SOUDURE'!$AQ$7:$AQ$3006,P1501)))</f>
        <v>ACCEPTÉ</v>
      </c>
      <c r="H1501" s="82" t="str">
        <f aca="false">IF(C1501="","",IF(G1501="ACCEPTÉ","OUI","NON"))</f>
        <v>OUI</v>
      </c>
      <c r="I1501" s="83"/>
      <c r="J1501" s="80"/>
      <c r="K1501" s="81"/>
      <c r="L1501" s="81"/>
      <c r="M1501" s="81"/>
      <c r="N1501" s="84" t="str">
        <f aca="false">IF(C1501="","",IF(P1501="","NJ INCONNU",IF(I1501="",IF(H1501="OUI","À ENROBER",IF(G1501="À SOUDER","NON SOUDÉ","EN ATTENTE RT")),IF(L1501="R","À REPRENDRE",IF(H1501&lt;&gt;"OUI","⚠ ENROBÉ AVANT ACCEPTATION RT","ENROBÉ")))))</f>
        <v>À ENROBER</v>
      </c>
      <c r="O1501" s="80"/>
      <c r="P1501" s="82" t="n">
        <f aca="false">IF(C1501="","",IFERROR(MATCH(Q1501,'CARNET DE SOUDURE'!$AW$7:$AW$3006,0),""))</f>
        <v>1495</v>
      </c>
      <c r="Q1501" s="82" t="str">
        <f aca="false">IF(C1501="","",B1501&amp;"|"&amp;C1501)</f>
        <v>MFD-ISW → MFD-CPF|JN°1244</v>
      </c>
    </row>
    <row r="1502" customFormat="false" ht="74.6" hidden="false" customHeight="false" outlineLevel="0" collapsed="false">
      <c r="A1502" s="82" t="n">
        <f aca="false">IF(C1502="","",ROW()-6)</f>
        <v>1496</v>
      </c>
      <c r="B1502" s="80" t="s">
        <v>110</v>
      </c>
      <c r="C1502" s="113" t="s">
        <v>1803</v>
      </c>
      <c r="D1502" s="82" t="str">
        <f aca="false">IF(OR(C1502="",P1502=""),"",INDEX('CARNET DE SOUDURE'!$D$7:$D$3006,P1502)&amp;"")</f>
        <v>13</v>
      </c>
      <c r="E1502" s="114" t="n">
        <f aca="false">IF(OR(C1502="",P1502=""),"",IF(INDEX('CARNET DE SOUDURE'!$U$7:$U$3006,P1502)="","",INDEX('CARNET DE SOUDURE'!$U$7:$U$3006,P1502)))</f>
        <v>46267</v>
      </c>
      <c r="F1502" s="82" t="str">
        <f aca="false">IF(OR(C1502="",P1502=""),"",INDEX('CARNET DE SOUDURE'!$AP$7:$AP$3006,P1502))</f>
        <v>A</v>
      </c>
      <c r="G1502" s="82" t="str">
        <f aca="false">IF(C1502="","",IF(P1502="","NJ INCONNU",INDEX('CARNET DE SOUDURE'!$AQ$7:$AQ$3006,P1502)))</f>
        <v>ACCEPTÉ</v>
      </c>
      <c r="H1502" s="82" t="str">
        <f aca="false">IF(C1502="","",IF(G1502="ACCEPTÉ","OUI","NON"))</f>
        <v>OUI</v>
      </c>
      <c r="I1502" s="83"/>
      <c r="J1502" s="80"/>
      <c r="K1502" s="81"/>
      <c r="L1502" s="81"/>
      <c r="M1502" s="81"/>
      <c r="N1502" s="84" t="str">
        <f aca="false">IF(C1502="","",IF(P1502="","NJ INCONNU",IF(I1502="",IF(H1502="OUI","À ENROBER",IF(G1502="À SOUDER","NON SOUDÉ","EN ATTENTE RT")),IF(L1502="R","À REPRENDRE",IF(H1502&lt;&gt;"OUI","⚠ ENROBÉ AVANT ACCEPTATION RT","ENROBÉ")))))</f>
        <v>À ENROBER</v>
      </c>
      <c r="O1502" s="80"/>
      <c r="P1502" s="82" t="n">
        <f aca="false">IF(C1502="","",IFERROR(MATCH(Q1502,'CARNET DE SOUDURE'!$AW$7:$AW$3006,0),""))</f>
        <v>1496</v>
      </c>
      <c r="Q1502" s="82" t="str">
        <f aca="false">IF(C1502="","",B1502&amp;"|"&amp;C1502)</f>
        <v>MFD-ISW → MFD-CPF|DJ°242</v>
      </c>
    </row>
    <row r="1503" customFormat="false" ht="74.6" hidden="false" customHeight="false" outlineLevel="0" collapsed="false">
      <c r="A1503" s="82" t="n">
        <f aca="false">IF(C1503="","",ROW()-6)</f>
        <v>1497</v>
      </c>
      <c r="B1503" s="80" t="s">
        <v>110</v>
      </c>
      <c r="C1503" s="113" t="s">
        <v>1805</v>
      </c>
      <c r="D1503" s="82" t="str">
        <f aca="false">IF(OR(C1503="",P1503=""),"",INDEX('CARNET DE SOUDURE'!$D$7:$D$3006,P1503)&amp;"")</f>
        <v>13</v>
      </c>
      <c r="E1503" s="114" t="n">
        <f aca="false">IF(OR(C1503="",P1503=""),"",IF(INDEX('CARNET DE SOUDURE'!$U$7:$U$3006,P1503)="","",INDEX('CARNET DE SOUDURE'!$U$7:$U$3006,P1503)))</f>
        <v>46275</v>
      </c>
      <c r="F1503" s="82" t="str">
        <f aca="false">IF(OR(C1503="",P1503=""),"",INDEX('CARNET DE SOUDURE'!$AP$7:$AP$3006,P1503))</f>
        <v>A</v>
      </c>
      <c r="G1503" s="82" t="str">
        <f aca="false">IF(C1503="","",IF(P1503="","NJ INCONNU",INDEX('CARNET DE SOUDURE'!$AQ$7:$AQ$3006,P1503)))</f>
        <v>ACCEPTÉ</v>
      </c>
      <c r="H1503" s="82" t="str">
        <f aca="false">IF(C1503="","",IF(G1503="ACCEPTÉ","OUI","NON"))</f>
        <v>OUI</v>
      </c>
      <c r="I1503" s="83"/>
      <c r="J1503" s="80"/>
      <c r="K1503" s="81"/>
      <c r="L1503" s="81"/>
      <c r="M1503" s="81"/>
      <c r="N1503" s="84" t="str">
        <f aca="false">IF(C1503="","",IF(P1503="","NJ INCONNU",IF(I1503="",IF(H1503="OUI","À ENROBER",IF(G1503="À SOUDER","NON SOUDÉ","EN ATTENTE RT")),IF(L1503="R","À REPRENDRE",IF(H1503&lt;&gt;"OUI","⚠ ENROBÉ AVANT ACCEPTATION RT","ENROBÉ")))))</f>
        <v>À ENROBER</v>
      </c>
      <c r="O1503" s="80"/>
      <c r="P1503" s="82" t="n">
        <f aca="false">IF(C1503="","",IFERROR(MATCH(Q1503,'CARNET DE SOUDURE'!$AW$7:$AW$3006,0),""))</f>
        <v>1497</v>
      </c>
      <c r="Q1503" s="82" t="str">
        <f aca="false">IF(C1503="","",B1503&amp;"|"&amp;C1503)</f>
        <v>MFD-ISW → MFD-CPF|JN°1245</v>
      </c>
    </row>
    <row r="1504" customFormat="false" ht="74.6" hidden="false" customHeight="false" outlineLevel="0" collapsed="false">
      <c r="A1504" s="82" t="n">
        <f aca="false">IF(C1504="","",ROW()-6)</f>
        <v>1498</v>
      </c>
      <c r="B1504" s="80" t="s">
        <v>110</v>
      </c>
      <c r="C1504" s="113" t="s">
        <v>1807</v>
      </c>
      <c r="D1504" s="82" t="str">
        <f aca="false">IF(OR(C1504="",P1504=""),"",INDEX('CARNET DE SOUDURE'!$D$7:$D$3006,P1504)&amp;"")</f>
        <v>13</v>
      </c>
      <c r="E1504" s="114" t="n">
        <f aca="false">IF(OR(C1504="",P1504=""),"",IF(INDEX('CARNET DE SOUDURE'!$U$7:$U$3006,P1504)="","",INDEX('CARNET DE SOUDURE'!$U$7:$U$3006,P1504)))</f>
        <v>46267</v>
      </c>
      <c r="F1504" s="82" t="str">
        <f aca="false">IF(OR(C1504="",P1504=""),"",INDEX('CARNET DE SOUDURE'!$AP$7:$AP$3006,P1504))</f>
        <v>A</v>
      </c>
      <c r="G1504" s="82" t="str">
        <f aca="false">IF(C1504="","",IF(P1504="","NJ INCONNU",INDEX('CARNET DE SOUDURE'!$AQ$7:$AQ$3006,P1504)))</f>
        <v>ACCEPTÉ</v>
      </c>
      <c r="H1504" s="82" t="str">
        <f aca="false">IF(C1504="","",IF(G1504="ACCEPTÉ","OUI","NON"))</f>
        <v>OUI</v>
      </c>
      <c r="I1504" s="83"/>
      <c r="J1504" s="80"/>
      <c r="K1504" s="81"/>
      <c r="L1504" s="81"/>
      <c r="M1504" s="81"/>
      <c r="N1504" s="84" t="str">
        <f aca="false">IF(C1504="","",IF(P1504="","NJ INCONNU",IF(I1504="",IF(H1504="OUI","À ENROBER",IF(G1504="À SOUDER","NON SOUDÉ","EN ATTENTE RT")),IF(L1504="R","À REPRENDRE",IF(H1504&lt;&gt;"OUI","⚠ ENROBÉ AVANT ACCEPTATION RT","ENROBÉ")))))</f>
        <v>À ENROBER</v>
      </c>
      <c r="O1504" s="80"/>
      <c r="P1504" s="82" t="n">
        <f aca="false">IF(C1504="","",IFERROR(MATCH(Q1504,'CARNET DE SOUDURE'!$AW$7:$AW$3006,0),""))</f>
        <v>1498</v>
      </c>
      <c r="Q1504" s="82" t="str">
        <f aca="false">IF(C1504="","",B1504&amp;"|"&amp;C1504)</f>
        <v>MFD-ISW → MFD-CPF|DJ°236</v>
      </c>
    </row>
    <row r="1505" customFormat="false" ht="74.6" hidden="false" customHeight="false" outlineLevel="0" collapsed="false">
      <c r="A1505" s="82" t="n">
        <f aca="false">IF(C1505="","",ROW()-6)</f>
        <v>1499</v>
      </c>
      <c r="B1505" s="80" t="s">
        <v>110</v>
      </c>
      <c r="C1505" s="113" t="s">
        <v>1808</v>
      </c>
      <c r="D1505" s="82" t="str">
        <f aca="false">IF(OR(C1505="",P1505=""),"",INDEX('CARNET DE SOUDURE'!$D$7:$D$3006,P1505)&amp;"")</f>
        <v>13</v>
      </c>
      <c r="E1505" s="114" t="n">
        <f aca="false">IF(OR(C1505="",P1505=""),"",IF(INDEX('CARNET DE SOUDURE'!$U$7:$U$3006,P1505)="","",INDEX('CARNET DE SOUDURE'!$U$7:$U$3006,P1505)))</f>
        <v>46275</v>
      </c>
      <c r="F1505" s="82" t="str">
        <f aca="false">IF(OR(C1505="",P1505=""),"",INDEX('CARNET DE SOUDURE'!$AP$7:$AP$3006,P1505))</f>
        <v>A</v>
      </c>
      <c r="G1505" s="82" t="str">
        <f aca="false">IF(C1505="","",IF(P1505="","NJ INCONNU",INDEX('CARNET DE SOUDURE'!$AQ$7:$AQ$3006,P1505)))</f>
        <v>ACCEPTÉ</v>
      </c>
      <c r="H1505" s="82" t="str">
        <f aca="false">IF(C1505="","",IF(G1505="ACCEPTÉ","OUI","NON"))</f>
        <v>OUI</v>
      </c>
      <c r="I1505" s="83"/>
      <c r="J1505" s="80"/>
      <c r="K1505" s="81"/>
      <c r="L1505" s="81"/>
      <c r="M1505" s="81"/>
      <c r="N1505" s="84" t="str">
        <f aca="false">IF(C1505="","",IF(P1505="","NJ INCONNU",IF(I1505="",IF(H1505="OUI","À ENROBER",IF(G1505="À SOUDER","NON SOUDÉ","EN ATTENTE RT")),IF(L1505="R","À REPRENDRE",IF(H1505&lt;&gt;"OUI","⚠ ENROBÉ AVANT ACCEPTATION RT","ENROBÉ")))))</f>
        <v>À ENROBER</v>
      </c>
      <c r="O1505" s="80"/>
      <c r="P1505" s="82" t="n">
        <f aca="false">IF(C1505="","",IFERROR(MATCH(Q1505,'CARNET DE SOUDURE'!$AW$7:$AW$3006,0),""))</f>
        <v>1499</v>
      </c>
      <c r="Q1505" s="82" t="str">
        <f aca="false">IF(C1505="","",B1505&amp;"|"&amp;C1505)</f>
        <v>MFD-ISW → MFD-CPF|JN°1246</v>
      </c>
    </row>
    <row r="1506" customFormat="false" ht="74.6" hidden="false" customHeight="false" outlineLevel="0" collapsed="false">
      <c r="A1506" s="82" t="n">
        <f aca="false">IF(C1506="","",ROW()-6)</f>
        <v>1500</v>
      </c>
      <c r="B1506" s="80" t="s">
        <v>110</v>
      </c>
      <c r="C1506" s="113" t="s">
        <v>1809</v>
      </c>
      <c r="D1506" s="82" t="str">
        <f aca="false">IF(OR(C1506="",P1506=""),"",INDEX('CARNET DE SOUDURE'!$D$7:$D$3006,P1506)&amp;"")</f>
        <v>13</v>
      </c>
      <c r="E1506" s="114" t="n">
        <f aca="false">IF(OR(C1506="",P1506=""),"",IF(INDEX('CARNET DE SOUDURE'!$U$7:$U$3006,P1506)="","",INDEX('CARNET DE SOUDURE'!$U$7:$U$3006,P1506)))</f>
        <v>46268</v>
      </c>
      <c r="F1506" s="82" t="str">
        <f aca="false">IF(OR(C1506="",P1506=""),"",INDEX('CARNET DE SOUDURE'!$AP$7:$AP$3006,P1506))</f>
        <v>A</v>
      </c>
      <c r="G1506" s="82" t="str">
        <f aca="false">IF(C1506="","",IF(P1506="","NJ INCONNU",INDEX('CARNET DE SOUDURE'!$AQ$7:$AQ$3006,P1506)))</f>
        <v>ACCEPTÉ</v>
      </c>
      <c r="H1506" s="82" t="str">
        <f aca="false">IF(C1506="","",IF(G1506="ACCEPTÉ","OUI","NON"))</f>
        <v>OUI</v>
      </c>
      <c r="I1506" s="83"/>
      <c r="J1506" s="80"/>
      <c r="K1506" s="81"/>
      <c r="L1506" s="81"/>
      <c r="M1506" s="81"/>
      <c r="N1506" s="84" t="str">
        <f aca="false">IF(C1506="","",IF(P1506="","NJ INCONNU",IF(I1506="",IF(H1506="OUI","À ENROBER",IF(G1506="À SOUDER","NON SOUDÉ","EN ATTENTE RT")),IF(L1506="R","À REPRENDRE",IF(H1506&lt;&gt;"OUI","⚠ ENROBÉ AVANT ACCEPTATION RT","ENROBÉ")))))</f>
        <v>À ENROBER</v>
      </c>
      <c r="O1506" s="80"/>
      <c r="P1506" s="82" t="n">
        <f aca="false">IF(C1506="","",IFERROR(MATCH(Q1506,'CARNET DE SOUDURE'!$AW$7:$AW$3006,0),""))</f>
        <v>1500</v>
      </c>
      <c r="Q1506" s="82" t="str">
        <f aca="false">IF(C1506="","",B1506&amp;"|"&amp;C1506)</f>
        <v>MFD-ISW → MFD-CPF|DJ°255</v>
      </c>
    </row>
    <row r="1507" customFormat="false" ht="74.6" hidden="false" customHeight="false" outlineLevel="0" collapsed="false">
      <c r="A1507" s="82" t="n">
        <f aca="false">IF(C1507="","",ROW()-6)</f>
        <v>1501</v>
      </c>
      <c r="B1507" s="80" t="s">
        <v>110</v>
      </c>
      <c r="C1507" s="113" t="s">
        <v>1810</v>
      </c>
      <c r="D1507" s="82" t="str">
        <f aca="false">IF(OR(C1507="",P1507=""),"",INDEX('CARNET DE SOUDURE'!$D$7:$D$3006,P1507)&amp;"")</f>
        <v>13</v>
      </c>
      <c r="E1507" s="114" t="n">
        <f aca="false">IF(OR(C1507="",P1507=""),"",IF(INDEX('CARNET DE SOUDURE'!$U$7:$U$3006,P1507)="","",INDEX('CARNET DE SOUDURE'!$U$7:$U$3006,P1507)))</f>
        <v>46275</v>
      </c>
      <c r="F1507" s="82" t="str">
        <f aca="false">IF(OR(C1507="",P1507=""),"",INDEX('CARNET DE SOUDURE'!$AP$7:$AP$3006,P1507))</f>
        <v>A</v>
      </c>
      <c r="G1507" s="82" t="str">
        <f aca="false">IF(C1507="","",IF(P1507="","NJ INCONNU",INDEX('CARNET DE SOUDURE'!$AQ$7:$AQ$3006,P1507)))</f>
        <v>ACCEPTÉ</v>
      </c>
      <c r="H1507" s="82" t="str">
        <f aca="false">IF(C1507="","",IF(G1507="ACCEPTÉ","OUI","NON"))</f>
        <v>OUI</v>
      </c>
      <c r="I1507" s="83"/>
      <c r="J1507" s="80"/>
      <c r="K1507" s="81"/>
      <c r="L1507" s="81"/>
      <c r="M1507" s="81"/>
      <c r="N1507" s="84" t="str">
        <f aca="false">IF(C1507="","",IF(P1507="","NJ INCONNU",IF(I1507="",IF(H1507="OUI","À ENROBER",IF(G1507="À SOUDER","NON SOUDÉ","EN ATTENTE RT")),IF(L1507="R","À REPRENDRE",IF(H1507&lt;&gt;"OUI","⚠ ENROBÉ AVANT ACCEPTATION RT","ENROBÉ")))))</f>
        <v>À ENROBER</v>
      </c>
      <c r="O1507" s="80"/>
      <c r="P1507" s="82" t="n">
        <f aca="false">IF(C1507="","",IFERROR(MATCH(Q1507,'CARNET DE SOUDURE'!$AW$7:$AW$3006,0),""))</f>
        <v>1501</v>
      </c>
      <c r="Q1507" s="82" t="str">
        <f aca="false">IF(C1507="","",B1507&amp;"|"&amp;C1507)</f>
        <v>MFD-ISW → MFD-CPF|JN°1247</v>
      </c>
    </row>
    <row r="1508" customFormat="false" ht="74.6" hidden="false" customHeight="false" outlineLevel="0" collapsed="false">
      <c r="A1508" s="82" t="n">
        <f aca="false">IF(C1508="","",ROW()-6)</f>
        <v>1502</v>
      </c>
      <c r="B1508" s="80" t="s">
        <v>110</v>
      </c>
      <c r="C1508" s="113" t="s">
        <v>1811</v>
      </c>
      <c r="D1508" s="82" t="str">
        <f aca="false">IF(OR(C1508="",P1508=""),"",INDEX('CARNET DE SOUDURE'!$D$7:$D$3006,P1508)&amp;"")</f>
        <v>13</v>
      </c>
      <c r="E1508" s="114" t="n">
        <f aca="false">IF(OR(C1508="",P1508=""),"",IF(INDEX('CARNET DE SOUDURE'!$U$7:$U$3006,P1508)="","",INDEX('CARNET DE SOUDURE'!$U$7:$U$3006,P1508)))</f>
        <v>46268</v>
      </c>
      <c r="F1508" s="82" t="str">
        <f aca="false">IF(OR(C1508="",P1508=""),"",INDEX('CARNET DE SOUDURE'!$AP$7:$AP$3006,P1508))</f>
        <v>A</v>
      </c>
      <c r="G1508" s="82" t="str">
        <f aca="false">IF(C1508="","",IF(P1508="","NJ INCONNU",INDEX('CARNET DE SOUDURE'!$AQ$7:$AQ$3006,P1508)))</f>
        <v>ACCEPTÉ</v>
      </c>
      <c r="H1508" s="82" t="str">
        <f aca="false">IF(C1508="","",IF(G1508="ACCEPTÉ","OUI","NON"))</f>
        <v>OUI</v>
      </c>
      <c r="I1508" s="83"/>
      <c r="J1508" s="80"/>
      <c r="K1508" s="81"/>
      <c r="L1508" s="81"/>
      <c r="M1508" s="81"/>
      <c r="N1508" s="84" t="str">
        <f aca="false">IF(C1508="","",IF(P1508="","NJ INCONNU",IF(I1508="",IF(H1508="OUI","À ENROBER",IF(G1508="À SOUDER","NON SOUDÉ","EN ATTENTE RT")),IF(L1508="R","À REPRENDRE",IF(H1508&lt;&gt;"OUI","⚠ ENROBÉ AVANT ACCEPTATION RT","ENROBÉ")))))</f>
        <v>À ENROBER</v>
      </c>
      <c r="O1508" s="80"/>
      <c r="P1508" s="82" t="n">
        <f aca="false">IF(C1508="","",IFERROR(MATCH(Q1508,'CARNET DE SOUDURE'!$AW$7:$AW$3006,0),""))</f>
        <v>1502</v>
      </c>
      <c r="Q1508" s="82" t="str">
        <f aca="false">IF(C1508="","",B1508&amp;"|"&amp;C1508)</f>
        <v>MFD-ISW → MFD-CPF|DJ°256</v>
      </c>
    </row>
    <row r="1509" customFormat="false" ht="74.6" hidden="false" customHeight="false" outlineLevel="0" collapsed="false">
      <c r="A1509" s="82" t="n">
        <f aca="false">IF(C1509="","",ROW()-6)</f>
        <v>1503</v>
      </c>
      <c r="B1509" s="80" t="s">
        <v>110</v>
      </c>
      <c r="C1509" s="113" t="s">
        <v>1812</v>
      </c>
      <c r="D1509" s="82" t="str">
        <f aca="false">IF(OR(C1509="",P1509=""),"",INDEX('CARNET DE SOUDURE'!$D$7:$D$3006,P1509)&amp;"")</f>
        <v>13</v>
      </c>
      <c r="E1509" s="114" t="str">
        <f aca="false">IF(OR(C1509="",P1509=""),"",IF(INDEX('CARNET DE SOUDURE'!$U$7:$U$3006,P1509)="","",INDEX('CARNET DE SOUDURE'!$U$7:$U$3006,P1509)))</f>
        <v/>
      </c>
      <c r="F1509" s="82" t="str">
        <f aca="false">IF(OR(C1509="",P1509=""),"",INDEX('CARNET DE SOUDURE'!$AP$7:$AP$3006,P1509))</f>
        <v/>
      </c>
      <c r="G1509" s="82" t="str">
        <f aca="false">IF(C1509="","",IF(P1509="","NJ INCONNU",INDEX('CARNET DE SOUDURE'!$AQ$7:$AQ$3006,P1509)))</f>
        <v>À SOUDER</v>
      </c>
      <c r="H1509" s="82" t="str">
        <f aca="false">IF(C1509="","",IF(G1509="ACCEPTÉ","OUI","NON"))</f>
        <v>NON</v>
      </c>
      <c r="I1509" s="83"/>
      <c r="J1509" s="80"/>
      <c r="K1509" s="81"/>
      <c r="L1509" s="81"/>
      <c r="M1509" s="81"/>
      <c r="N1509" s="84" t="str">
        <f aca="false">IF(C1509="","",IF(P1509="","NJ INCONNU",IF(I1509="",IF(H1509="OUI","À ENROBER",IF(G1509="À SOUDER","NON SOUDÉ","EN ATTENTE RT")),IF(L1509="R","À REPRENDRE",IF(H1509&lt;&gt;"OUI","⚠ ENROBÉ AVANT ACCEPTATION RT","ENROBÉ")))))</f>
        <v>NON SOUDÉ</v>
      </c>
      <c r="O1509" s="80"/>
      <c r="P1509" s="82" t="n">
        <f aca="false">IF(C1509="","",IFERROR(MATCH(Q1509,'CARNET DE SOUDURE'!$AW$7:$AW$3006,0),""))</f>
        <v>1503</v>
      </c>
      <c r="Q1509" s="82" t="str">
        <f aca="false">IF(C1509="","",B1509&amp;"|"&amp;C1509)</f>
        <v>MFD-ISW → MFD-CPF|JN°1248</v>
      </c>
    </row>
    <row r="1510" customFormat="false" ht="74.6" hidden="false" customHeight="false" outlineLevel="0" collapsed="false">
      <c r="A1510" s="82" t="n">
        <f aca="false">IF(C1510="","",ROW()-6)</f>
        <v>1504</v>
      </c>
      <c r="B1510" s="80" t="s">
        <v>110</v>
      </c>
      <c r="C1510" s="113" t="s">
        <v>1813</v>
      </c>
      <c r="D1510" s="82" t="str">
        <f aca="false">IF(OR(C1510="",P1510=""),"",INDEX('CARNET DE SOUDURE'!$D$7:$D$3006,P1510)&amp;"")</f>
        <v>13</v>
      </c>
      <c r="E1510" s="114" t="str">
        <f aca="false">IF(OR(C1510="",P1510=""),"",IF(INDEX('CARNET DE SOUDURE'!$U$7:$U$3006,P1510)="","",INDEX('CARNET DE SOUDURE'!$U$7:$U$3006,P1510)))</f>
        <v/>
      </c>
      <c r="F1510" s="82" t="str">
        <f aca="false">IF(OR(C1510="",P1510=""),"",INDEX('CARNET DE SOUDURE'!$AP$7:$AP$3006,P1510))</f>
        <v/>
      </c>
      <c r="G1510" s="82" t="str">
        <f aca="false">IF(C1510="","",IF(P1510="","NJ INCONNU",INDEX('CARNET DE SOUDURE'!$AQ$7:$AQ$3006,P1510)))</f>
        <v>À SOUDER</v>
      </c>
      <c r="H1510" s="82" t="str">
        <f aca="false">IF(C1510="","",IF(G1510="ACCEPTÉ","OUI","NON"))</f>
        <v>NON</v>
      </c>
      <c r="I1510" s="83"/>
      <c r="J1510" s="80"/>
      <c r="K1510" s="81"/>
      <c r="L1510" s="81"/>
      <c r="M1510" s="81"/>
      <c r="N1510" s="84" t="str">
        <f aca="false">IF(C1510="","",IF(P1510="","NJ INCONNU",IF(I1510="",IF(H1510="OUI","À ENROBER",IF(G1510="À SOUDER","NON SOUDÉ","EN ATTENTE RT")),IF(L1510="R","À REPRENDRE",IF(H1510&lt;&gt;"OUI","⚠ ENROBÉ AVANT ACCEPTATION RT","ENROBÉ")))))</f>
        <v>NON SOUDÉ</v>
      </c>
      <c r="O1510" s="80"/>
      <c r="P1510" s="82" t="n">
        <f aca="false">IF(C1510="","",IFERROR(MATCH(Q1510,'CARNET DE SOUDURE'!$AW$7:$AW$3006,0),""))</f>
        <v>1504</v>
      </c>
      <c r="Q1510" s="82" t="str">
        <f aca="false">IF(C1510="","",B1510&amp;"|"&amp;C1510)</f>
        <v>MFD-ISW → MFD-CPF|JN°1249</v>
      </c>
    </row>
    <row r="1511" customFormat="false" ht="74.6" hidden="false" customHeight="false" outlineLevel="0" collapsed="false">
      <c r="A1511" s="82" t="n">
        <f aca="false">IF(C1511="","",ROW()-6)</f>
        <v>1505</v>
      </c>
      <c r="B1511" s="80" t="s">
        <v>110</v>
      </c>
      <c r="C1511" s="113" t="s">
        <v>1814</v>
      </c>
      <c r="D1511" s="82" t="str">
        <f aca="false">IF(OR(C1511="",P1511=""),"",INDEX('CARNET DE SOUDURE'!$D$7:$D$3006,P1511)&amp;"")</f>
        <v>13</v>
      </c>
      <c r="E1511" s="114" t="str">
        <f aca="false">IF(OR(C1511="",P1511=""),"",IF(INDEX('CARNET DE SOUDURE'!$U$7:$U$3006,P1511)="","",INDEX('CARNET DE SOUDURE'!$U$7:$U$3006,P1511)))</f>
        <v/>
      </c>
      <c r="F1511" s="82" t="str">
        <f aca="false">IF(OR(C1511="",P1511=""),"",INDEX('CARNET DE SOUDURE'!$AP$7:$AP$3006,P1511))</f>
        <v/>
      </c>
      <c r="G1511" s="82" t="str">
        <f aca="false">IF(C1511="","",IF(P1511="","NJ INCONNU",INDEX('CARNET DE SOUDURE'!$AQ$7:$AQ$3006,P1511)))</f>
        <v>À SOUDER</v>
      </c>
      <c r="H1511" s="82" t="str">
        <f aca="false">IF(C1511="","",IF(G1511="ACCEPTÉ","OUI","NON"))</f>
        <v>NON</v>
      </c>
      <c r="I1511" s="83"/>
      <c r="J1511" s="80"/>
      <c r="K1511" s="81"/>
      <c r="L1511" s="81"/>
      <c r="M1511" s="81"/>
      <c r="N1511" s="84" t="str">
        <f aca="false">IF(C1511="","",IF(P1511="","NJ INCONNU",IF(I1511="",IF(H1511="OUI","À ENROBER",IF(G1511="À SOUDER","NON SOUDÉ","EN ATTENTE RT")),IF(L1511="R","À REPRENDRE",IF(H1511&lt;&gt;"OUI","⚠ ENROBÉ AVANT ACCEPTATION RT","ENROBÉ")))))</f>
        <v>NON SOUDÉ</v>
      </c>
      <c r="O1511" s="80"/>
      <c r="P1511" s="82" t="n">
        <f aca="false">IF(C1511="","",IFERROR(MATCH(Q1511,'CARNET DE SOUDURE'!$AW$7:$AW$3006,0),""))</f>
        <v>1505</v>
      </c>
      <c r="Q1511" s="82" t="str">
        <f aca="false">IF(C1511="","",B1511&amp;"|"&amp;C1511)</f>
        <v>MFD-ISW → MFD-CPF|JN°1250</v>
      </c>
    </row>
    <row r="1512" customFormat="false" ht="74.6" hidden="false" customHeight="false" outlineLevel="0" collapsed="false">
      <c r="A1512" s="82" t="n">
        <f aca="false">IF(C1512="","",ROW()-6)</f>
        <v>1506</v>
      </c>
      <c r="B1512" s="80" t="s">
        <v>110</v>
      </c>
      <c r="C1512" s="113" t="s">
        <v>1815</v>
      </c>
      <c r="D1512" s="82" t="str">
        <f aca="false">IF(OR(C1512="",P1512=""),"",INDEX('CARNET DE SOUDURE'!$D$7:$D$3006,P1512)&amp;"")</f>
        <v>13</v>
      </c>
      <c r="E1512" s="114" t="str">
        <f aca="false">IF(OR(C1512="",P1512=""),"",IF(INDEX('CARNET DE SOUDURE'!$U$7:$U$3006,P1512)="","",INDEX('CARNET DE SOUDURE'!$U$7:$U$3006,P1512)))</f>
        <v/>
      </c>
      <c r="F1512" s="82" t="str">
        <f aca="false">IF(OR(C1512="",P1512=""),"",INDEX('CARNET DE SOUDURE'!$AP$7:$AP$3006,P1512))</f>
        <v/>
      </c>
      <c r="G1512" s="82" t="str">
        <f aca="false">IF(C1512="","",IF(P1512="","NJ INCONNU",INDEX('CARNET DE SOUDURE'!$AQ$7:$AQ$3006,P1512)))</f>
        <v>À SOUDER</v>
      </c>
      <c r="H1512" s="82" t="str">
        <f aca="false">IF(C1512="","",IF(G1512="ACCEPTÉ","OUI","NON"))</f>
        <v>NON</v>
      </c>
      <c r="I1512" s="83"/>
      <c r="J1512" s="80"/>
      <c r="K1512" s="81"/>
      <c r="L1512" s="81"/>
      <c r="M1512" s="81"/>
      <c r="N1512" s="84" t="str">
        <f aca="false">IF(C1512="","",IF(P1512="","NJ INCONNU",IF(I1512="",IF(H1512="OUI","À ENROBER",IF(G1512="À SOUDER","NON SOUDÉ","EN ATTENTE RT")),IF(L1512="R","À REPRENDRE",IF(H1512&lt;&gt;"OUI","⚠ ENROBÉ AVANT ACCEPTATION RT","ENROBÉ")))))</f>
        <v>NON SOUDÉ</v>
      </c>
      <c r="O1512" s="80"/>
      <c r="P1512" s="82" t="n">
        <f aca="false">IF(C1512="","",IFERROR(MATCH(Q1512,'CARNET DE SOUDURE'!$AW$7:$AW$3006,0),""))</f>
        <v>1506</v>
      </c>
      <c r="Q1512" s="82" t="str">
        <f aca="false">IF(C1512="","",B1512&amp;"|"&amp;C1512)</f>
        <v>MFD-ISW → MFD-CPF|JN°1251</v>
      </c>
    </row>
    <row r="1513" customFormat="false" ht="74.6" hidden="false" customHeight="false" outlineLevel="0" collapsed="false">
      <c r="A1513" s="82" t="n">
        <f aca="false">IF(C1513="","",ROW()-6)</f>
        <v>1507</v>
      </c>
      <c r="B1513" s="80" t="s">
        <v>110</v>
      </c>
      <c r="C1513" s="113" t="s">
        <v>1816</v>
      </c>
      <c r="D1513" s="82" t="str">
        <f aca="false">IF(OR(C1513="",P1513=""),"",INDEX('CARNET DE SOUDURE'!$D$7:$D$3006,P1513)&amp;"")</f>
        <v>13</v>
      </c>
      <c r="E1513" s="114" t="str">
        <f aca="false">IF(OR(C1513="",P1513=""),"",IF(INDEX('CARNET DE SOUDURE'!$U$7:$U$3006,P1513)="","",INDEX('CARNET DE SOUDURE'!$U$7:$U$3006,P1513)))</f>
        <v/>
      </c>
      <c r="F1513" s="82" t="str">
        <f aca="false">IF(OR(C1513="",P1513=""),"",INDEX('CARNET DE SOUDURE'!$AP$7:$AP$3006,P1513))</f>
        <v/>
      </c>
      <c r="G1513" s="82" t="str">
        <f aca="false">IF(C1513="","",IF(P1513="","NJ INCONNU",INDEX('CARNET DE SOUDURE'!$AQ$7:$AQ$3006,P1513)))</f>
        <v>À SOUDER</v>
      </c>
      <c r="H1513" s="82" t="str">
        <f aca="false">IF(C1513="","",IF(G1513="ACCEPTÉ","OUI","NON"))</f>
        <v>NON</v>
      </c>
      <c r="I1513" s="83"/>
      <c r="J1513" s="80"/>
      <c r="K1513" s="81"/>
      <c r="L1513" s="81"/>
      <c r="M1513" s="81"/>
      <c r="N1513" s="84" t="str">
        <f aca="false">IF(C1513="","",IF(P1513="","NJ INCONNU",IF(I1513="",IF(H1513="OUI","À ENROBER",IF(G1513="À SOUDER","NON SOUDÉ","EN ATTENTE RT")),IF(L1513="R","À REPRENDRE",IF(H1513&lt;&gt;"OUI","⚠ ENROBÉ AVANT ACCEPTATION RT","ENROBÉ")))))</f>
        <v>NON SOUDÉ</v>
      </c>
      <c r="O1513" s="80"/>
      <c r="P1513" s="82" t="n">
        <f aca="false">IF(C1513="","",IFERROR(MATCH(Q1513,'CARNET DE SOUDURE'!$AW$7:$AW$3006,0),""))</f>
        <v>1507</v>
      </c>
      <c r="Q1513" s="82" t="str">
        <f aca="false">IF(C1513="","",B1513&amp;"|"&amp;C1513)</f>
        <v>MFD-ISW → MFD-CPF|JN°1252</v>
      </c>
    </row>
    <row r="1514" customFormat="false" ht="74.6" hidden="false" customHeight="false" outlineLevel="0" collapsed="false">
      <c r="A1514" s="82" t="n">
        <f aca="false">IF(C1514="","",ROW()-6)</f>
        <v>1508</v>
      </c>
      <c r="B1514" s="80" t="s">
        <v>110</v>
      </c>
      <c r="C1514" s="113" t="s">
        <v>1817</v>
      </c>
      <c r="D1514" s="82" t="str">
        <f aca="false">IF(OR(C1514="",P1514=""),"",INDEX('CARNET DE SOUDURE'!$D$7:$D$3006,P1514)&amp;"")</f>
        <v>13</v>
      </c>
      <c r="E1514" s="114" t="str">
        <f aca="false">IF(OR(C1514="",P1514=""),"",IF(INDEX('CARNET DE SOUDURE'!$U$7:$U$3006,P1514)="","",INDEX('CARNET DE SOUDURE'!$U$7:$U$3006,P1514)))</f>
        <v/>
      </c>
      <c r="F1514" s="82" t="str">
        <f aca="false">IF(OR(C1514="",P1514=""),"",INDEX('CARNET DE SOUDURE'!$AP$7:$AP$3006,P1514))</f>
        <v/>
      </c>
      <c r="G1514" s="82" t="str">
        <f aca="false">IF(C1514="","",IF(P1514="","NJ INCONNU",INDEX('CARNET DE SOUDURE'!$AQ$7:$AQ$3006,P1514)))</f>
        <v>À SOUDER</v>
      </c>
      <c r="H1514" s="82" t="str">
        <f aca="false">IF(C1514="","",IF(G1514="ACCEPTÉ","OUI","NON"))</f>
        <v>NON</v>
      </c>
      <c r="I1514" s="83"/>
      <c r="J1514" s="80"/>
      <c r="K1514" s="81"/>
      <c r="L1514" s="81"/>
      <c r="M1514" s="81"/>
      <c r="N1514" s="84" t="str">
        <f aca="false">IF(C1514="","",IF(P1514="","NJ INCONNU",IF(I1514="",IF(H1514="OUI","À ENROBER",IF(G1514="À SOUDER","NON SOUDÉ","EN ATTENTE RT")),IF(L1514="R","À REPRENDRE",IF(H1514&lt;&gt;"OUI","⚠ ENROBÉ AVANT ACCEPTATION RT","ENROBÉ")))))</f>
        <v>NON SOUDÉ</v>
      </c>
      <c r="O1514" s="80"/>
      <c r="P1514" s="82" t="n">
        <f aca="false">IF(C1514="","",IFERROR(MATCH(Q1514,'CARNET DE SOUDURE'!$AW$7:$AW$3006,0),""))</f>
        <v>1508</v>
      </c>
      <c r="Q1514" s="82" t="str">
        <f aca="false">IF(C1514="","",B1514&amp;"|"&amp;C1514)</f>
        <v>MFD-ISW → MFD-CPF|JN°1253</v>
      </c>
    </row>
    <row r="1515" customFormat="false" ht="74.6" hidden="false" customHeight="false" outlineLevel="0" collapsed="false">
      <c r="A1515" s="82" t="n">
        <f aca="false">IF(C1515="","",ROW()-6)</f>
        <v>1509</v>
      </c>
      <c r="B1515" s="80" t="s">
        <v>110</v>
      </c>
      <c r="C1515" s="113" t="s">
        <v>1818</v>
      </c>
      <c r="D1515" s="82" t="str">
        <f aca="false">IF(OR(C1515="",P1515=""),"",INDEX('CARNET DE SOUDURE'!$D$7:$D$3006,P1515)&amp;"")</f>
        <v>13</v>
      </c>
      <c r="E1515" s="114" t="str">
        <f aca="false">IF(OR(C1515="",P1515=""),"",IF(INDEX('CARNET DE SOUDURE'!$U$7:$U$3006,P1515)="","",INDEX('CARNET DE SOUDURE'!$U$7:$U$3006,P1515)))</f>
        <v/>
      </c>
      <c r="F1515" s="82" t="str">
        <f aca="false">IF(OR(C1515="",P1515=""),"",INDEX('CARNET DE SOUDURE'!$AP$7:$AP$3006,P1515))</f>
        <v/>
      </c>
      <c r="G1515" s="82" t="str">
        <f aca="false">IF(C1515="","",IF(P1515="","NJ INCONNU",INDEX('CARNET DE SOUDURE'!$AQ$7:$AQ$3006,P1515)))</f>
        <v>À SOUDER</v>
      </c>
      <c r="H1515" s="82" t="str">
        <f aca="false">IF(C1515="","",IF(G1515="ACCEPTÉ","OUI","NON"))</f>
        <v>NON</v>
      </c>
      <c r="I1515" s="83"/>
      <c r="J1515" s="80"/>
      <c r="K1515" s="81"/>
      <c r="L1515" s="81"/>
      <c r="M1515" s="81"/>
      <c r="N1515" s="84" t="str">
        <f aca="false">IF(C1515="","",IF(P1515="","NJ INCONNU",IF(I1515="",IF(H1515="OUI","À ENROBER",IF(G1515="À SOUDER","NON SOUDÉ","EN ATTENTE RT")),IF(L1515="R","À REPRENDRE",IF(H1515&lt;&gt;"OUI","⚠ ENROBÉ AVANT ACCEPTATION RT","ENROBÉ")))))</f>
        <v>NON SOUDÉ</v>
      </c>
      <c r="O1515" s="80"/>
      <c r="P1515" s="82" t="n">
        <f aca="false">IF(C1515="","",IFERROR(MATCH(Q1515,'CARNET DE SOUDURE'!$AW$7:$AW$3006,0),""))</f>
        <v>1509</v>
      </c>
      <c r="Q1515" s="82" t="str">
        <f aca="false">IF(C1515="","",B1515&amp;"|"&amp;C1515)</f>
        <v>MFD-ISW → MFD-CPF|JN°1254</v>
      </c>
    </row>
    <row r="1516" customFormat="false" ht="74.6" hidden="false" customHeight="false" outlineLevel="0" collapsed="false">
      <c r="A1516" s="82" t="n">
        <f aca="false">IF(C1516="","",ROW()-6)</f>
        <v>1510</v>
      </c>
      <c r="B1516" s="80" t="s">
        <v>110</v>
      </c>
      <c r="C1516" s="113" t="s">
        <v>1819</v>
      </c>
      <c r="D1516" s="82" t="str">
        <f aca="false">IF(OR(C1516="",P1516=""),"",INDEX('CARNET DE SOUDURE'!$D$7:$D$3006,P1516)&amp;"")</f>
        <v>13</v>
      </c>
      <c r="E1516" s="114" t="str">
        <f aca="false">IF(OR(C1516="",P1516=""),"",IF(INDEX('CARNET DE SOUDURE'!$U$7:$U$3006,P1516)="","",INDEX('CARNET DE SOUDURE'!$U$7:$U$3006,P1516)))</f>
        <v/>
      </c>
      <c r="F1516" s="82" t="str">
        <f aca="false">IF(OR(C1516="",P1516=""),"",INDEX('CARNET DE SOUDURE'!$AP$7:$AP$3006,P1516))</f>
        <v/>
      </c>
      <c r="G1516" s="82" t="str">
        <f aca="false">IF(C1516="","",IF(P1516="","NJ INCONNU",INDEX('CARNET DE SOUDURE'!$AQ$7:$AQ$3006,P1516)))</f>
        <v>À SOUDER</v>
      </c>
      <c r="H1516" s="82" t="str">
        <f aca="false">IF(C1516="","",IF(G1516="ACCEPTÉ","OUI","NON"))</f>
        <v>NON</v>
      </c>
      <c r="I1516" s="83"/>
      <c r="J1516" s="80"/>
      <c r="K1516" s="81"/>
      <c r="L1516" s="81"/>
      <c r="M1516" s="81"/>
      <c r="N1516" s="84" t="str">
        <f aca="false">IF(C1516="","",IF(P1516="","NJ INCONNU",IF(I1516="",IF(H1516="OUI","À ENROBER",IF(G1516="À SOUDER","NON SOUDÉ","EN ATTENTE RT")),IF(L1516="R","À REPRENDRE",IF(H1516&lt;&gt;"OUI","⚠ ENROBÉ AVANT ACCEPTATION RT","ENROBÉ")))))</f>
        <v>NON SOUDÉ</v>
      </c>
      <c r="O1516" s="80"/>
      <c r="P1516" s="82" t="n">
        <f aca="false">IF(C1516="","",IFERROR(MATCH(Q1516,'CARNET DE SOUDURE'!$AW$7:$AW$3006,0),""))</f>
        <v>1510</v>
      </c>
      <c r="Q1516" s="82" t="str">
        <f aca="false">IF(C1516="","",B1516&amp;"|"&amp;C1516)</f>
        <v>MFD-ISW → MFD-CPF|JN°1255</v>
      </c>
    </row>
    <row r="1517" customFormat="false" ht="74.6" hidden="false" customHeight="false" outlineLevel="0" collapsed="false">
      <c r="A1517" s="82" t="n">
        <f aca="false">IF(C1517="","",ROW()-6)</f>
        <v>1511</v>
      </c>
      <c r="B1517" s="80" t="s">
        <v>110</v>
      </c>
      <c r="C1517" s="113" t="s">
        <v>1820</v>
      </c>
      <c r="D1517" s="82" t="str">
        <f aca="false">IF(OR(C1517="",P1517=""),"",INDEX('CARNET DE SOUDURE'!$D$7:$D$3006,P1517)&amp;"")</f>
        <v>13</v>
      </c>
      <c r="E1517" s="114" t="str">
        <f aca="false">IF(OR(C1517="",P1517=""),"",IF(INDEX('CARNET DE SOUDURE'!$U$7:$U$3006,P1517)="","",INDEX('CARNET DE SOUDURE'!$U$7:$U$3006,P1517)))</f>
        <v/>
      </c>
      <c r="F1517" s="82" t="str">
        <f aca="false">IF(OR(C1517="",P1517=""),"",INDEX('CARNET DE SOUDURE'!$AP$7:$AP$3006,P1517))</f>
        <v/>
      </c>
      <c r="G1517" s="82" t="str">
        <f aca="false">IF(C1517="","",IF(P1517="","NJ INCONNU",INDEX('CARNET DE SOUDURE'!$AQ$7:$AQ$3006,P1517)))</f>
        <v>À SOUDER</v>
      </c>
      <c r="H1517" s="82" t="str">
        <f aca="false">IF(C1517="","",IF(G1517="ACCEPTÉ","OUI","NON"))</f>
        <v>NON</v>
      </c>
      <c r="I1517" s="83"/>
      <c r="J1517" s="80"/>
      <c r="K1517" s="81"/>
      <c r="L1517" s="81"/>
      <c r="M1517" s="81"/>
      <c r="N1517" s="84" t="str">
        <f aca="false">IF(C1517="","",IF(P1517="","NJ INCONNU",IF(I1517="",IF(H1517="OUI","À ENROBER",IF(G1517="À SOUDER","NON SOUDÉ","EN ATTENTE RT")),IF(L1517="R","À REPRENDRE",IF(H1517&lt;&gt;"OUI","⚠ ENROBÉ AVANT ACCEPTATION RT","ENROBÉ")))))</f>
        <v>NON SOUDÉ</v>
      </c>
      <c r="O1517" s="80"/>
      <c r="P1517" s="82" t="n">
        <f aca="false">IF(C1517="","",IFERROR(MATCH(Q1517,'CARNET DE SOUDURE'!$AW$7:$AW$3006,0),""))</f>
        <v>1511</v>
      </c>
      <c r="Q1517" s="82" t="str">
        <f aca="false">IF(C1517="","",B1517&amp;"|"&amp;C1517)</f>
        <v>MFD-ISW → MFD-CPF|JN°1256</v>
      </c>
    </row>
    <row r="1518" customFormat="false" ht="74.6" hidden="false" customHeight="false" outlineLevel="0" collapsed="false">
      <c r="A1518" s="82" t="n">
        <f aca="false">IF(C1518="","",ROW()-6)</f>
        <v>1512</v>
      </c>
      <c r="B1518" s="80" t="s">
        <v>110</v>
      </c>
      <c r="C1518" s="113" t="s">
        <v>1821</v>
      </c>
      <c r="D1518" s="82" t="str">
        <f aca="false">IF(OR(C1518="",P1518=""),"",INDEX('CARNET DE SOUDURE'!$D$7:$D$3006,P1518)&amp;"")</f>
        <v>13</v>
      </c>
      <c r="E1518" s="114" t="str">
        <f aca="false">IF(OR(C1518="",P1518=""),"",IF(INDEX('CARNET DE SOUDURE'!$U$7:$U$3006,P1518)="","",INDEX('CARNET DE SOUDURE'!$U$7:$U$3006,P1518)))</f>
        <v/>
      </c>
      <c r="F1518" s="82" t="str">
        <f aca="false">IF(OR(C1518="",P1518=""),"",INDEX('CARNET DE SOUDURE'!$AP$7:$AP$3006,P1518))</f>
        <v/>
      </c>
      <c r="G1518" s="82" t="str">
        <f aca="false">IF(C1518="","",IF(P1518="","NJ INCONNU",INDEX('CARNET DE SOUDURE'!$AQ$7:$AQ$3006,P1518)))</f>
        <v>À SOUDER</v>
      </c>
      <c r="H1518" s="82" t="str">
        <f aca="false">IF(C1518="","",IF(G1518="ACCEPTÉ","OUI","NON"))</f>
        <v>NON</v>
      </c>
      <c r="I1518" s="83"/>
      <c r="J1518" s="80"/>
      <c r="K1518" s="81"/>
      <c r="L1518" s="81"/>
      <c r="M1518" s="81"/>
      <c r="N1518" s="84" t="str">
        <f aca="false">IF(C1518="","",IF(P1518="","NJ INCONNU",IF(I1518="",IF(H1518="OUI","À ENROBER",IF(G1518="À SOUDER","NON SOUDÉ","EN ATTENTE RT")),IF(L1518="R","À REPRENDRE",IF(H1518&lt;&gt;"OUI","⚠ ENROBÉ AVANT ACCEPTATION RT","ENROBÉ")))))</f>
        <v>NON SOUDÉ</v>
      </c>
      <c r="O1518" s="80"/>
      <c r="P1518" s="82" t="n">
        <f aca="false">IF(C1518="","",IFERROR(MATCH(Q1518,'CARNET DE SOUDURE'!$AW$7:$AW$3006,0),""))</f>
        <v>1512</v>
      </c>
      <c r="Q1518" s="82" t="str">
        <f aca="false">IF(C1518="","",B1518&amp;"|"&amp;C1518)</f>
        <v>MFD-ISW → MFD-CPF|JN°1257</v>
      </c>
    </row>
    <row r="1519" customFormat="false" ht="74.6" hidden="false" customHeight="false" outlineLevel="0" collapsed="false">
      <c r="A1519" s="82" t="n">
        <f aca="false">IF(C1519="","",ROW()-6)</f>
        <v>1513</v>
      </c>
      <c r="B1519" s="80" t="s">
        <v>110</v>
      </c>
      <c r="C1519" s="113" t="s">
        <v>1822</v>
      </c>
      <c r="D1519" s="82" t="str">
        <f aca="false">IF(OR(C1519="",P1519=""),"",INDEX('CARNET DE SOUDURE'!$D$7:$D$3006,P1519)&amp;"")</f>
        <v>13</v>
      </c>
      <c r="E1519" s="114" t="str">
        <f aca="false">IF(OR(C1519="",P1519=""),"",IF(INDEX('CARNET DE SOUDURE'!$U$7:$U$3006,P1519)="","",INDEX('CARNET DE SOUDURE'!$U$7:$U$3006,P1519)))</f>
        <v/>
      </c>
      <c r="F1519" s="82" t="str">
        <f aca="false">IF(OR(C1519="",P1519=""),"",INDEX('CARNET DE SOUDURE'!$AP$7:$AP$3006,P1519))</f>
        <v/>
      </c>
      <c r="G1519" s="82" t="str">
        <f aca="false">IF(C1519="","",IF(P1519="","NJ INCONNU",INDEX('CARNET DE SOUDURE'!$AQ$7:$AQ$3006,P1519)))</f>
        <v>À SOUDER</v>
      </c>
      <c r="H1519" s="82" t="str">
        <f aca="false">IF(C1519="","",IF(G1519="ACCEPTÉ","OUI","NON"))</f>
        <v>NON</v>
      </c>
      <c r="I1519" s="83"/>
      <c r="J1519" s="80"/>
      <c r="K1519" s="81"/>
      <c r="L1519" s="81"/>
      <c r="M1519" s="81"/>
      <c r="N1519" s="84" t="str">
        <f aca="false">IF(C1519="","",IF(P1519="","NJ INCONNU",IF(I1519="",IF(H1519="OUI","À ENROBER",IF(G1519="À SOUDER","NON SOUDÉ","EN ATTENTE RT")),IF(L1519="R","À REPRENDRE",IF(H1519&lt;&gt;"OUI","⚠ ENROBÉ AVANT ACCEPTATION RT","ENROBÉ")))))</f>
        <v>NON SOUDÉ</v>
      </c>
      <c r="O1519" s="80"/>
      <c r="P1519" s="82" t="n">
        <f aca="false">IF(C1519="","",IFERROR(MATCH(Q1519,'CARNET DE SOUDURE'!$AW$7:$AW$3006,0),""))</f>
        <v>1513</v>
      </c>
      <c r="Q1519" s="82" t="str">
        <f aca="false">IF(C1519="","",B1519&amp;"|"&amp;C1519)</f>
        <v>MFD-ISW → MFD-CPF|JN°1258</v>
      </c>
    </row>
    <row r="1520" customFormat="false" ht="74.6" hidden="false" customHeight="false" outlineLevel="0" collapsed="false">
      <c r="A1520" s="82" t="n">
        <f aca="false">IF(C1520="","",ROW()-6)</f>
        <v>1514</v>
      </c>
      <c r="B1520" s="80" t="s">
        <v>110</v>
      </c>
      <c r="C1520" s="113" t="s">
        <v>1823</v>
      </c>
      <c r="D1520" s="82" t="str">
        <f aca="false">IF(OR(C1520="",P1520=""),"",INDEX('CARNET DE SOUDURE'!$D$7:$D$3006,P1520)&amp;"")</f>
        <v>13</v>
      </c>
      <c r="E1520" s="114" t="str">
        <f aca="false">IF(OR(C1520="",P1520=""),"",IF(INDEX('CARNET DE SOUDURE'!$U$7:$U$3006,P1520)="","",INDEX('CARNET DE SOUDURE'!$U$7:$U$3006,P1520)))</f>
        <v/>
      </c>
      <c r="F1520" s="82" t="str">
        <f aca="false">IF(OR(C1520="",P1520=""),"",INDEX('CARNET DE SOUDURE'!$AP$7:$AP$3006,P1520))</f>
        <v/>
      </c>
      <c r="G1520" s="82" t="str">
        <f aca="false">IF(C1520="","",IF(P1520="","NJ INCONNU",INDEX('CARNET DE SOUDURE'!$AQ$7:$AQ$3006,P1520)))</f>
        <v>À SOUDER</v>
      </c>
      <c r="H1520" s="82" t="str">
        <f aca="false">IF(C1520="","",IF(G1520="ACCEPTÉ","OUI","NON"))</f>
        <v>NON</v>
      </c>
      <c r="I1520" s="83"/>
      <c r="J1520" s="80"/>
      <c r="K1520" s="81"/>
      <c r="L1520" s="81"/>
      <c r="M1520" s="81"/>
      <c r="N1520" s="84" t="str">
        <f aca="false">IF(C1520="","",IF(P1520="","NJ INCONNU",IF(I1520="",IF(H1520="OUI","À ENROBER",IF(G1520="À SOUDER","NON SOUDÉ","EN ATTENTE RT")),IF(L1520="R","À REPRENDRE",IF(H1520&lt;&gt;"OUI","⚠ ENROBÉ AVANT ACCEPTATION RT","ENROBÉ")))))</f>
        <v>NON SOUDÉ</v>
      </c>
      <c r="O1520" s="80"/>
      <c r="P1520" s="82" t="n">
        <f aca="false">IF(C1520="","",IFERROR(MATCH(Q1520,'CARNET DE SOUDURE'!$AW$7:$AW$3006,0),""))</f>
        <v>1514</v>
      </c>
      <c r="Q1520" s="82" t="str">
        <f aca="false">IF(C1520="","",B1520&amp;"|"&amp;C1520)</f>
        <v>MFD-ISW → MFD-CPF|JN°1259</v>
      </c>
    </row>
    <row r="1521" customFormat="false" ht="74.6" hidden="false" customHeight="false" outlineLevel="0" collapsed="false">
      <c r="A1521" s="82" t="n">
        <f aca="false">IF(C1521="","",ROW()-6)</f>
        <v>1515</v>
      </c>
      <c r="B1521" s="80" t="s">
        <v>110</v>
      </c>
      <c r="C1521" s="113" t="s">
        <v>1825</v>
      </c>
      <c r="D1521" s="82" t="str">
        <f aca="false">IF(OR(C1521="",P1521=""),"",INDEX('CARNET DE SOUDURE'!$D$7:$D$3006,P1521)&amp;"")</f>
        <v>13</v>
      </c>
      <c r="E1521" s="114" t="n">
        <f aca="false">IF(OR(C1521="",P1521=""),"",IF(INDEX('CARNET DE SOUDURE'!$U$7:$U$3006,P1521)="","",INDEX('CARNET DE SOUDURE'!$U$7:$U$3006,P1521)))</f>
        <v>46268</v>
      </c>
      <c r="F1521" s="82" t="str">
        <f aca="false">IF(OR(C1521="",P1521=""),"",INDEX('CARNET DE SOUDURE'!$AP$7:$AP$3006,P1521))</f>
        <v>A</v>
      </c>
      <c r="G1521" s="82" t="str">
        <f aca="false">IF(C1521="","",IF(P1521="","NJ INCONNU",INDEX('CARNET DE SOUDURE'!$AQ$7:$AQ$3006,P1521)))</f>
        <v>ACCEPTÉ</v>
      </c>
      <c r="H1521" s="82" t="str">
        <f aca="false">IF(C1521="","",IF(G1521="ACCEPTÉ","OUI","NON"))</f>
        <v>OUI</v>
      </c>
      <c r="I1521" s="83"/>
      <c r="J1521" s="80"/>
      <c r="K1521" s="81"/>
      <c r="L1521" s="81"/>
      <c r="M1521" s="81"/>
      <c r="N1521" s="84" t="str">
        <f aca="false">IF(C1521="","",IF(P1521="","NJ INCONNU",IF(I1521="",IF(H1521="OUI","À ENROBER",IF(G1521="À SOUDER","NON SOUDÉ","EN ATTENTE RT")),IF(L1521="R","À REPRENDRE",IF(H1521&lt;&gt;"OUI","⚠ ENROBÉ AVANT ACCEPTATION RT","ENROBÉ")))))</f>
        <v>À ENROBER</v>
      </c>
      <c r="O1521" s="80"/>
      <c r="P1521" s="82" t="n">
        <f aca="false">IF(C1521="","",IFERROR(MATCH(Q1521,'CARNET DE SOUDURE'!$AW$7:$AW$3006,0),""))</f>
        <v>1515</v>
      </c>
      <c r="Q1521" s="82" t="str">
        <f aca="false">IF(C1521="","",B1521&amp;"|"&amp;C1521)</f>
        <v>MFD-ISW → MFD-CPF|DJ°258</v>
      </c>
    </row>
    <row r="1522" customFormat="false" ht="74.6" hidden="false" customHeight="false" outlineLevel="0" collapsed="false">
      <c r="A1522" s="82" t="n">
        <f aca="false">IF(C1522="","",ROW()-6)</f>
        <v>1516</v>
      </c>
      <c r="B1522" s="80" t="s">
        <v>110</v>
      </c>
      <c r="C1522" s="113" t="s">
        <v>1826</v>
      </c>
      <c r="D1522" s="82" t="str">
        <f aca="false">IF(OR(C1522="",P1522=""),"",INDEX('CARNET DE SOUDURE'!$D$7:$D$3006,P1522)&amp;"")</f>
        <v>13</v>
      </c>
      <c r="E1522" s="114" t="n">
        <f aca="false">IF(OR(C1522="",P1522=""),"",IF(INDEX('CARNET DE SOUDURE'!$U$7:$U$3006,P1522)="","",INDEX('CARNET DE SOUDURE'!$U$7:$U$3006,P1522)))</f>
        <v>46275</v>
      </c>
      <c r="F1522" s="82" t="str">
        <f aca="false">IF(OR(C1522="",P1522=""),"",INDEX('CARNET DE SOUDURE'!$AP$7:$AP$3006,P1522))</f>
        <v>A</v>
      </c>
      <c r="G1522" s="82" t="str">
        <f aca="false">IF(C1522="","",IF(P1522="","NJ INCONNU",INDEX('CARNET DE SOUDURE'!$AQ$7:$AQ$3006,P1522)))</f>
        <v>ACCEPTÉ</v>
      </c>
      <c r="H1522" s="82" t="str">
        <f aca="false">IF(C1522="","",IF(G1522="ACCEPTÉ","OUI","NON"))</f>
        <v>OUI</v>
      </c>
      <c r="I1522" s="83"/>
      <c r="J1522" s="80"/>
      <c r="K1522" s="81"/>
      <c r="L1522" s="81"/>
      <c r="M1522" s="81"/>
      <c r="N1522" s="84" t="str">
        <f aca="false">IF(C1522="","",IF(P1522="","NJ INCONNU",IF(I1522="",IF(H1522="OUI","À ENROBER",IF(G1522="À SOUDER","NON SOUDÉ","EN ATTENTE RT")),IF(L1522="R","À REPRENDRE",IF(H1522&lt;&gt;"OUI","⚠ ENROBÉ AVANT ACCEPTATION RT","ENROBÉ")))))</f>
        <v>À ENROBER</v>
      </c>
      <c r="O1522" s="80"/>
      <c r="P1522" s="82" t="n">
        <f aca="false">IF(C1522="","",IFERROR(MATCH(Q1522,'CARNET DE SOUDURE'!$AW$7:$AW$3006,0),""))</f>
        <v>1516</v>
      </c>
      <c r="Q1522" s="82" t="str">
        <f aca="false">IF(C1522="","",B1522&amp;"|"&amp;C1522)</f>
        <v>MFD-ISW → MFD-CPF|JN°1260</v>
      </c>
    </row>
    <row r="1523" customFormat="false" ht="74.6" hidden="false" customHeight="false" outlineLevel="0" collapsed="false">
      <c r="A1523" s="82" t="n">
        <f aca="false">IF(C1523="","",ROW()-6)</f>
        <v>1517</v>
      </c>
      <c r="B1523" s="80" t="s">
        <v>110</v>
      </c>
      <c r="C1523" s="113" t="s">
        <v>1827</v>
      </c>
      <c r="D1523" s="82" t="str">
        <f aca="false">IF(OR(C1523="",P1523=""),"",INDEX('CARNET DE SOUDURE'!$D$7:$D$3006,P1523)&amp;"")</f>
        <v>13</v>
      </c>
      <c r="E1523" s="114" t="n">
        <f aca="false">IF(OR(C1523="",P1523=""),"",IF(INDEX('CARNET DE SOUDURE'!$U$7:$U$3006,P1523)="","",INDEX('CARNET DE SOUDURE'!$U$7:$U$3006,P1523)))</f>
        <v>46268</v>
      </c>
      <c r="F1523" s="82" t="str">
        <f aca="false">IF(OR(C1523="",P1523=""),"",INDEX('CARNET DE SOUDURE'!$AP$7:$AP$3006,P1523))</f>
        <v>A</v>
      </c>
      <c r="G1523" s="82" t="str">
        <f aca="false">IF(C1523="","",IF(P1523="","NJ INCONNU",INDEX('CARNET DE SOUDURE'!$AQ$7:$AQ$3006,P1523)))</f>
        <v>ACCEPTÉ</v>
      </c>
      <c r="H1523" s="82" t="str">
        <f aca="false">IF(C1523="","",IF(G1523="ACCEPTÉ","OUI","NON"))</f>
        <v>OUI</v>
      </c>
      <c r="I1523" s="83"/>
      <c r="J1523" s="80"/>
      <c r="K1523" s="81"/>
      <c r="L1523" s="81"/>
      <c r="M1523" s="81"/>
      <c r="N1523" s="84" t="str">
        <f aca="false">IF(C1523="","",IF(P1523="","NJ INCONNU",IF(I1523="",IF(H1523="OUI","À ENROBER",IF(G1523="À SOUDER","NON SOUDÉ","EN ATTENTE RT")),IF(L1523="R","À REPRENDRE",IF(H1523&lt;&gt;"OUI","⚠ ENROBÉ AVANT ACCEPTATION RT","ENROBÉ")))))</f>
        <v>À ENROBER</v>
      </c>
      <c r="O1523" s="80"/>
      <c r="P1523" s="82" t="n">
        <f aca="false">IF(C1523="","",IFERROR(MATCH(Q1523,'CARNET DE SOUDURE'!$AW$7:$AW$3006,0),""))</f>
        <v>1517</v>
      </c>
      <c r="Q1523" s="82" t="str">
        <f aca="false">IF(C1523="","",B1523&amp;"|"&amp;C1523)</f>
        <v>MFD-ISW → MFD-CPF|DJ°259</v>
      </c>
    </row>
    <row r="1524" customFormat="false" ht="74.6" hidden="false" customHeight="false" outlineLevel="0" collapsed="false">
      <c r="A1524" s="82" t="n">
        <f aca="false">IF(C1524="","",ROW()-6)</f>
        <v>1518</v>
      </c>
      <c r="B1524" s="80" t="s">
        <v>110</v>
      </c>
      <c r="C1524" s="113" t="s">
        <v>1828</v>
      </c>
      <c r="D1524" s="82" t="str">
        <f aca="false">IF(OR(C1524="",P1524=""),"",INDEX('CARNET DE SOUDURE'!$D$7:$D$3006,P1524)&amp;"")</f>
        <v>13</v>
      </c>
      <c r="E1524" s="114" t="n">
        <f aca="false">IF(OR(C1524="",P1524=""),"",IF(INDEX('CARNET DE SOUDURE'!$U$7:$U$3006,P1524)="","",INDEX('CARNET DE SOUDURE'!$U$7:$U$3006,P1524)))</f>
        <v>46275</v>
      </c>
      <c r="F1524" s="82" t="str">
        <f aca="false">IF(OR(C1524="",P1524=""),"",INDEX('CARNET DE SOUDURE'!$AP$7:$AP$3006,P1524))</f>
        <v>A</v>
      </c>
      <c r="G1524" s="82" t="str">
        <f aca="false">IF(C1524="","",IF(P1524="","NJ INCONNU",INDEX('CARNET DE SOUDURE'!$AQ$7:$AQ$3006,P1524)))</f>
        <v>ACCEPTÉ</v>
      </c>
      <c r="H1524" s="82" t="str">
        <f aca="false">IF(C1524="","",IF(G1524="ACCEPTÉ","OUI","NON"))</f>
        <v>OUI</v>
      </c>
      <c r="I1524" s="83"/>
      <c r="J1524" s="80"/>
      <c r="K1524" s="81"/>
      <c r="L1524" s="81"/>
      <c r="M1524" s="81"/>
      <c r="N1524" s="84" t="str">
        <f aca="false">IF(C1524="","",IF(P1524="","NJ INCONNU",IF(I1524="",IF(H1524="OUI","À ENROBER",IF(G1524="À SOUDER","NON SOUDÉ","EN ATTENTE RT")),IF(L1524="R","À REPRENDRE",IF(H1524&lt;&gt;"OUI","⚠ ENROBÉ AVANT ACCEPTATION RT","ENROBÉ")))))</f>
        <v>À ENROBER</v>
      </c>
      <c r="O1524" s="80"/>
      <c r="P1524" s="82" t="n">
        <f aca="false">IF(C1524="","",IFERROR(MATCH(Q1524,'CARNET DE SOUDURE'!$AW$7:$AW$3006,0),""))</f>
        <v>1518</v>
      </c>
      <c r="Q1524" s="82" t="str">
        <f aca="false">IF(C1524="","",B1524&amp;"|"&amp;C1524)</f>
        <v>MFD-ISW → MFD-CPF|JN°1261</v>
      </c>
    </row>
    <row r="1525" customFormat="false" ht="74.6" hidden="false" customHeight="false" outlineLevel="0" collapsed="false">
      <c r="A1525" s="82" t="n">
        <f aca="false">IF(C1525="","",ROW()-6)</f>
        <v>1519</v>
      </c>
      <c r="B1525" s="80" t="s">
        <v>110</v>
      </c>
      <c r="C1525" s="113" t="s">
        <v>1829</v>
      </c>
      <c r="D1525" s="82" t="str">
        <f aca="false">IF(OR(C1525="",P1525=""),"",INDEX('CARNET DE SOUDURE'!$D$7:$D$3006,P1525)&amp;"")</f>
        <v>13</v>
      </c>
      <c r="E1525" s="114" t="str">
        <f aca="false">IF(OR(C1525="",P1525=""),"",IF(INDEX('CARNET DE SOUDURE'!$U$7:$U$3006,P1525)="","",INDEX('CARNET DE SOUDURE'!$U$7:$U$3006,P1525)))</f>
        <v/>
      </c>
      <c r="F1525" s="82" t="str">
        <f aca="false">IF(OR(C1525="",P1525=""),"",INDEX('CARNET DE SOUDURE'!$AP$7:$AP$3006,P1525))</f>
        <v/>
      </c>
      <c r="G1525" s="82" t="str">
        <f aca="false">IF(C1525="","",IF(P1525="","NJ INCONNU",INDEX('CARNET DE SOUDURE'!$AQ$7:$AQ$3006,P1525)))</f>
        <v>À SOUDER</v>
      </c>
      <c r="H1525" s="82" t="str">
        <f aca="false">IF(C1525="","",IF(G1525="ACCEPTÉ","OUI","NON"))</f>
        <v>NON</v>
      </c>
      <c r="I1525" s="83"/>
      <c r="J1525" s="80"/>
      <c r="K1525" s="81"/>
      <c r="L1525" s="81"/>
      <c r="M1525" s="81"/>
      <c r="N1525" s="84" t="str">
        <f aca="false">IF(C1525="","",IF(P1525="","NJ INCONNU",IF(I1525="",IF(H1525="OUI","À ENROBER",IF(G1525="À SOUDER","NON SOUDÉ","EN ATTENTE RT")),IF(L1525="R","À REPRENDRE",IF(H1525&lt;&gt;"OUI","⚠ ENROBÉ AVANT ACCEPTATION RT","ENROBÉ")))))</f>
        <v>NON SOUDÉ</v>
      </c>
      <c r="O1525" s="80"/>
      <c r="P1525" s="82" t="n">
        <f aca="false">IF(C1525="","",IFERROR(MATCH(Q1525,'CARNET DE SOUDURE'!$AW$7:$AW$3006,0),""))</f>
        <v>1519</v>
      </c>
      <c r="Q1525" s="82" t="str">
        <f aca="false">IF(C1525="","",B1525&amp;"|"&amp;C1525)</f>
        <v>MFD-ISW → MFD-CPF|JN°1262</v>
      </c>
    </row>
    <row r="1526" customFormat="false" ht="74.6" hidden="false" customHeight="false" outlineLevel="0" collapsed="false">
      <c r="A1526" s="82" t="n">
        <f aca="false">IF(C1526="","",ROW()-6)</f>
        <v>1520</v>
      </c>
      <c r="B1526" s="80" t="s">
        <v>110</v>
      </c>
      <c r="C1526" s="113" t="s">
        <v>1830</v>
      </c>
      <c r="D1526" s="82" t="str">
        <f aca="false">IF(OR(C1526="",P1526=""),"",INDEX('CARNET DE SOUDURE'!$D$7:$D$3006,P1526)&amp;"")</f>
        <v>13</v>
      </c>
      <c r="E1526" s="114" t="str">
        <f aca="false">IF(OR(C1526="",P1526=""),"",IF(INDEX('CARNET DE SOUDURE'!$U$7:$U$3006,P1526)="","",INDEX('CARNET DE SOUDURE'!$U$7:$U$3006,P1526)))</f>
        <v/>
      </c>
      <c r="F1526" s="82" t="str">
        <f aca="false">IF(OR(C1526="",P1526=""),"",INDEX('CARNET DE SOUDURE'!$AP$7:$AP$3006,P1526))</f>
        <v/>
      </c>
      <c r="G1526" s="82" t="str">
        <f aca="false">IF(C1526="","",IF(P1526="","NJ INCONNU",INDEX('CARNET DE SOUDURE'!$AQ$7:$AQ$3006,P1526)))</f>
        <v>À SOUDER</v>
      </c>
      <c r="H1526" s="82" t="str">
        <f aca="false">IF(C1526="","",IF(G1526="ACCEPTÉ","OUI","NON"))</f>
        <v>NON</v>
      </c>
      <c r="I1526" s="83"/>
      <c r="J1526" s="80"/>
      <c r="K1526" s="81"/>
      <c r="L1526" s="81"/>
      <c r="M1526" s="81"/>
      <c r="N1526" s="84" t="str">
        <f aca="false">IF(C1526="","",IF(P1526="","NJ INCONNU",IF(I1526="",IF(H1526="OUI","À ENROBER",IF(G1526="À SOUDER","NON SOUDÉ","EN ATTENTE RT")),IF(L1526="R","À REPRENDRE",IF(H1526&lt;&gt;"OUI","⚠ ENROBÉ AVANT ACCEPTATION RT","ENROBÉ")))))</f>
        <v>NON SOUDÉ</v>
      </c>
      <c r="O1526" s="80"/>
      <c r="P1526" s="82" t="n">
        <f aca="false">IF(C1526="","",IFERROR(MATCH(Q1526,'CARNET DE SOUDURE'!$AW$7:$AW$3006,0),""))</f>
        <v>1520</v>
      </c>
      <c r="Q1526" s="82" t="str">
        <f aca="false">IF(C1526="","",B1526&amp;"|"&amp;C1526)</f>
        <v>MFD-ISW → MFD-CPF|JN°1263</v>
      </c>
    </row>
    <row r="1527" customFormat="false" ht="74.6" hidden="false" customHeight="false" outlineLevel="0" collapsed="false">
      <c r="A1527" s="82" t="n">
        <f aca="false">IF(C1527="","",ROW()-6)</f>
        <v>1521</v>
      </c>
      <c r="B1527" s="80" t="s">
        <v>110</v>
      </c>
      <c r="C1527" s="113" t="s">
        <v>1831</v>
      </c>
      <c r="D1527" s="82" t="str">
        <f aca="false">IF(OR(C1527="",P1527=""),"",INDEX('CARNET DE SOUDURE'!$D$7:$D$3006,P1527)&amp;"")</f>
        <v>13</v>
      </c>
      <c r="E1527" s="114" t="str">
        <f aca="false">IF(OR(C1527="",P1527=""),"",IF(INDEX('CARNET DE SOUDURE'!$U$7:$U$3006,P1527)="","",INDEX('CARNET DE SOUDURE'!$U$7:$U$3006,P1527)))</f>
        <v/>
      </c>
      <c r="F1527" s="82" t="str">
        <f aca="false">IF(OR(C1527="",P1527=""),"",INDEX('CARNET DE SOUDURE'!$AP$7:$AP$3006,P1527))</f>
        <v/>
      </c>
      <c r="G1527" s="82" t="str">
        <f aca="false">IF(C1527="","",IF(P1527="","NJ INCONNU",INDEX('CARNET DE SOUDURE'!$AQ$7:$AQ$3006,P1527)))</f>
        <v>À SOUDER</v>
      </c>
      <c r="H1527" s="82" t="str">
        <f aca="false">IF(C1527="","",IF(G1527="ACCEPTÉ","OUI","NON"))</f>
        <v>NON</v>
      </c>
      <c r="I1527" s="83"/>
      <c r="J1527" s="80"/>
      <c r="K1527" s="81"/>
      <c r="L1527" s="81"/>
      <c r="M1527" s="81"/>
      <c r="N1527" s="84" t="str">
        <f aca="false">IF(C1527="","",IF(P1527="","NJ INCONNU",IF(I1527="",IF(H1527="OUI","À ENROBER",IF(G1527="À SOUDER","NON SOUDÉ","EN ATTENTE RT")),IF(L1527="R","À REPRENDRE",IF(H1527&lt;&gt;"OUI","⚠ ENROBÉ AVANT ACCEPTATION RT","ENROBÉ")))))</f>
        <v>NON SOUDÉ</v>
      </c>
      <c r="O1527" s="80"/>
      <c r="P1527" s="82" t="n">
        <f aca="false">IF(C1527="","",IFERROR(MATCH(Q1527,'CARNET DE SOUDURE'!$AW$7:$AW$3006,0),""))</f>
        <v>1521</v>
      </c>
      <c r="Q1527" s="82" t="str">
        <f aca="false">IF(C1527="","",B1527&amp;"|"&amp;C1527)</f>
        <v>MFD-ISW → MFD-CPF|JN°1264</v>
      </c>
    </row>
    <row r="1528" customFormat="false" ht="74.6" hidden="false" customHeight="false" outlineLevel="0" collapsed="false">
      <c r="A1528" s="82" t="n">
        <f aca="false">IF(C1528="","",ROW()-6)</f>
        <v>1522</v>
      </c>
      <c r="B1528" s="80" t="s">
        <v>110</v>
      </c>
      <c r="C1528" s="113" t="s">
        <v>1832</v>
      </c>
      <c r="D1528" s="82" t="str">
        <f aca="false">IF(OR(C1528="",P1528=""),"",INDEX('CARNET DE SOUDURE'!$D$7:$D$3006,P1528)&amp;"")</f>
        <v>13</v>
      </c>
      <c r="E1528" s="114" t="str">
        <f aca="false">IF(OR(C1528="",P1528=""),"",IF(INDEX('CARNET DE SOUDURE'!$U$7:$U$3006,P1528)="","",INDEX('CARNET DE SOUDURE'!$U$7:$U$3006,P1528)))</f>
        <v/>
      </c>
      <c r="F1528" s="82" t="str">
        <f aca="false">IF(OR(C1528="",P1528=""),"",INDEX('CARNET DE SOUDURE'!$AP$7:$AP$3006,P1528))</f>
        <v/>
      </c>
      <c r="G1528" s="82" t="str">
        <f aca="false">IF(C1528="","",IF(P1528="","NJ INCONNU",INDEX('CARNET DE SOUDURE'!$AQ$7:$AQ$3006,P1528)))</f>
        <v>À SOUDER</v>
      </c>
      <c r="H1528" s="82" t="str">
        <f aca="false">IF(C1528="","",IF(G1528="ACCEPTÉ","OUI","NON"))</f>
        <v>NON</v>
      </c>
      <c r="I1528" s="83"/>
      <c r="J1528" s="80"/>
      <c r="K1528" s="81"/>
      <c r="L1528" s="81"/>
      <c r="M1528" s="81"/>
      <c r="N1528" s="84" t="str">
        <f aca="false">IF(C1528="","",IF(P1528="","NJ INCONNU",IF(I1528="",IF(H1528="OUI","À ENROBER",IF(G1528="À SOUDER","NON SOUDÉ","EN ATTENTE RT")),IF(L1528="R","À REPRENDRE",IF(H1528&lt;&gt;"OUI","⚠ ENROBÉ AVANT ACCEPTATION RT","ENROBÉ")))))</f>
        <v>NON SOUDÉ</v>
      </c>
      <c r="O1528" s="80"/>
      <c r="P1528" s="82" t="n">
        <f aca="false">IF(C1528="","",IFERROR(MATCH(Q1528,'CARNET DE SOUDURE'!$AW$7:$AW$3006,0),""))</f>
        <v>1522</v>
      </c>
      <c r="Q1528" s="82" t="str">
        <f aca="false">IF(C1528="","",B1528&amp;"|"&amp;C1528)</f>
        <v>MFD-ISW → MFD-CPF|JN°1265</v>
      </c>
    </row>
    <row r="1529" customFormat="false" ht="74.6" hidden="false" customHeight="false" outlineLevel="0" collapsed="false">
      <c r="A1529" s="82" t="n">
        <f aca="false">IF(C1529="","",ROW()-6)</f>
        <v>1523</v>
      </c>
      <c r="B1529" s="80" t="s">
        <v>110</v>
      </c>
      <c r="C1529" s="113" t="s">
        <v>1833</v>
      </c>
      <c r="D1529" s="82" t="str">
        <f aca="false">IF(OR(C1529="",P1529=""),"",INDEX('CARNET DE SOUDURE'!$D$7:$D$3006,P1529)&amp;"")</f>
        <v>13</v>
      </c>
      <c r="E1529" s="114" t="str">
        <f aca="false">IF(OR(C1529="",P1529=""),"",IF(INDEX('CARNET DE SOUDURE'!$U$7:$U$3006,P1529)="","",INDEX('CARNET DE SOUDURE'!$U$7:$U$3006,P1529)))</f>
        <v/>
      </c>
      <c r="F1529" s="82" t="str">
        <f aca="false">IF(OR(C1529="",P1529=""),"",INDEX('CARNET DE SOUDURE'!$AP$7:$AP$3006,P1529))</f>
        <v/>
      </c>
      <c r="G1529" s="82" t="str">
        <f aca="false">IF(C1529="","",IF(P1529="","NJ INCONNU",INDEX('CARNET DE SOUDURE'!$AQ$7:$AQ$3006,P1529)))</f>
        <v>À SOUDER</v>
      </c>
      <c r="H1529" s="82" t="str">
        <f aca="false">IF(C1529="","",IF(G1529="ACCEPTÉ","OUI","NON"))</f>
        <v>NON</v>
      </c>
      <c r="I1529" s="83"/>
      <c r="J1529" s="80"/>
      <c r="K1529" s="81"/>
      <c r="L1529" s="81"/>
      <c r="M1529" s="81"/>
      <c r="N1529" s="84" t="str">
        <f aca="false">IF(C1529="","",IF(P1529="","NJ INCONNU",IF(I1529="",IF(H1529="OUI","À ENROBER",IF(G1529="À SOUDER","NON SOUDÉ","EN ATTENTE RT")),IF(L1529="R","À REPRENDRE",IF(H1529&lt;&gt;"OUI","⚠ ENROBÉ AVANT ACCEPTATION RT","ENROBÉ")))))</f>
        <v>NON SOUDÉ</v>
      </c>
      <c r="O1529" s="80"/>
      <c r="P1529" s="82" t="n">
        <f aca="false">IF(C1529="","",IFERROR(MATCH(Q1529,'CARNET DE SOUDURE'!$AW$7:$AW$3006,0),""))</f>
        <v>1523</v>
      </c>
      <c r="Q1529" s="82" t="str">
        <f aca="false">IF(C1529="","",B1529&amp;"|"&amp;C1529)</f>
        <v>MFD-ISW → MFD-CPF|JN°1266</v>
      </c>
    </row>
    <row r="1530" customFormat="false" ht="74.6" hidden="false" customHeight="false" outlineLevel="0" collapsed="false">
      <c r="A1530" s="82" t="n">
        <f aca="false">IF(C1530="","",ROW()-6)</f>
        <v>1524</v>
      </c>
      <c r="B1530" s="80" t="s">
        <v>110</v>
      </c>
      <c r="C1530" s="113" t="s">
        <v>1834</v>
      </c>
      <c r="D1530" s="82" t="str">
        <f aca="false">IF(OR(C1530="",P1530=""),"",INDEX('CARNET DE SOUDURE'!$D$7:$D$3006,P1530)&amp;"")</f>
        <v>13</v>
      </c>
      <c r="E1530" s="114" t="str">
        <f aca="false">IF(OR(C1530="",P1530=""),"",IF(INDEX('CARNET DE SOUDURE'!$U$7:$U$3006,P1530)="","",INDEX('CARNET DE SOUDURE'!$U$7:$U$3006,P1530)))</f>
        <v/>
      </c>
      <c r="F1530" s="82" t="str">
        <f aca="false">IF(OR(C1530="",P1530=""),"",INDEX('CARNET DE SOUDURE'!$AP$7:$AP$3006,P1530))</f>
        <v/>
      </c>
      <c r="G1530" s="82" t="str">
        <f aca="false">IF(C1530="","",IF(P1530="","NJ INCONNU",INDEX('CARNET DE SOUDURE'!$AQ$7:$AQ$3006,P1530)))</f>
        <v>À SOUDER</v>
      </c>
      <c r="H1530" s="82" t="str">
        <f aca="false">IF(C1530="","",IF(G1530="ACCEPTÉ","OUI","NON"))</f>
        <v>NON</v>
      </c>
      <c r="I1530" s="83"/>
      <c r="J1530" s="80"/>
      <c r="K1530" s="81"/>
      <c r="L1530" s="81"/>
      <c r="M1530" s="81"/>
      <c r="N1530" s="84" t="str">
        <f aca="false">IF(C1530="","",IF(P1530="","NJ INCONNU",IF(I1530="",IF(H1530="OUI","À ENROBER",IF(G1530="À SOUDER","NON SOUDÉ","EN ATTENTE RT")),IF(L1530="R","À REPRENDRE",IF(H1530&lt;&gt;"OUI","⚠ ENROBÉ AVANT ACCEPTATION RT","ENROBÉ")))))</f>
        <v>NON SOUDÉ</v>
      </c>
      <c r="O1530" s="80"/>
      <c r="P1530" s="82" t="n">
        <f aca="false">IF(C1530="","",IFERROR(MATCH(Q1530,'CARNET DE SOUDURE'!$AW$7:$AW$3006,0),""))</f>
        <v>1524</v>
      </c>
      <c r="Q1530" s="82" t="str">
        <f aca="false">IF(C1530="","",B1530&amp;"|"&amp;C1530)</f>
        <v>MFD-ISW → MFD-CPF|JN°1267</v>
      </c>
    </row>
    <row r="1531" customFormat="false" ht="74.6" hidden="false" customHeight="false" outlineLevel="0" collapsed="false">
      <c r="A1531" s="82" t="n">
        <f aca="false">IF(C1531="","",ROW()-6)</f>
        <v>1525</v>
      </c>
      <c r="B1531" s="80" t="s">
        <v>110</v>
      </c>
      <c r="C1531" s="113" t="s">
        <v>1835</v>
      </c>
      <c r="D1531" s="82" t="str">
        <f aca="false">IF(OR(C1531="",P1531=""),"",INDEX('CARNET DE SOUDURE'!$D$7:$D$3006,P1531)&amp;"")</f>
        <v>13</v>
      </c>
      <c r="E1531" s="114" t="str">
        <f aca="false">IF(OR(C1531="",P1531=""),"",IF(INDEX('CARNET DE SOUDURE'!$U$7:$U$3006,P1531)="","",INDEX('CARNET DE SOUDURE'!$U$7:$U$3006,P1531)))</f>
        <v/>
      </c>
      <c r="F1531" s="82" t="str">
        <f aca="false">IF(OR(C1531="",P1531=""),"",INDEX('CARNET DE SOUDURE'!$AP$7:$AP$3006,P1531))</f>
        <v/>
      </c>
      <c r="G1531" s="82" t="str">
        <f aca="false">IF(C1531="","",IF(P1531="","NJ INCONNU",INDEX('CARNET DE SOUDURE'!$AQ$7:$AQ$3006,P1531)))</f>
        <v>À SOUDER</v>
      </c>
      <c r="H1531" s="82" t="str">
        <f aca="false">IF(C1531="","",IF(G1531="ACCEPTÉ","OUI","NON"))</f>
        <v>NON</v>
      </c>
      <c r="I1531" s="83"/>
      <c r="J1531" s="80"/>
      <c r="K1531" s="81"/>
      <c r="L1531" s="81"/>
      <c r="M1531" s="81"/>
      <c r="N1531" s="84" t="str">
        <f aca="false">IF(C1531="","",IF(P1531="","NJ INCONNU",IF(I1531="",IF(H1531="OUI","À ENROBER",IF(G1531="À SOUDER","NON SOUDÉ","EN ATTENTE RT")),IF(L1531="R","À REPRENDRE",IF(H1531&lt;&gt;"OUI","⚠ ENROBÉ AVANT ACCEPTATION RT","ENROBÉ")))))</f>
        <v>NON SOUDÉ</v>
      </c>
      <c r="O1531" s="80"/>
      <c r="P1531" s="82" t="n">
        <f aca="false">IF(C1531="","",IFERROR(MATCH(Q1531,'CARNET DE SOUDURE'!$AW$7:$AW$3006,0),""))</f>
        <v>1525</v>
      </c>
      <c r="Q1531" s="82" t="str">
        <f aca="false">IF(C1531="","",B1531&amp;"|"&amp;C1531)</f>
        <v>MFD-ISW → MFD-CPF|JN°1268</v>
      </c>
    </row>
    <row r="1532" customFormat="false" ht="74.6" hidden="false" customHeight="false" outlineLevel="0" collapsed="false">
      <c r="A1532" s="82" t="n">
        <f aca="false">IF(C1532="","",ROW()-6)</f>
        <v>1526</v>
      </c>
      <c r="B1532" s="80" t="s">
        <v>110</v>
      </c>
      <c r="C1532" s="113" t="s">
        <v>1836</v>
      </c>
      <c r="D1532" s="82" t="str">
        <f aca="false">IF(OR(C1532="",P1532=""),"",INDEX('CARNET DE SOUDURE'!$D$7:$D$3006,P1532)&amp;"")</f>
        <v>13</v>
      </c>
      <c r="E1532" s="114" t="str">
        <f aca="false">IF(OR(C1532="",P1532=""),"",IF(INDEX('CARNET DE SOUDURE'!$U$7:$U$3006,P1532)="","",INDEX('CARNET DE SOUDURE'!$U$7:$U$3006,P1532)))</f>
        <v/>
      </c>
      <c r="F1532" s="82" t="str">
        <f aca="false">IF(OR(C1532="",P1532=""),"",INDEX('CARNET DE SOUDURE'!$AP$7:$AP$3006,P1532))</f>
        <v/>
      </c>
      <c r="G1532" s="82" t="str">
        <f aca="false">IF(C1532="","",IF(P1532="","NJ INCONNU",INDEX('CARNET DE SOUDURE'!$AQ$7:$AQ$3006,P1532)))</f>
        <v>À SOUDER</v>
      </c>
      <c r="H1532" s="82" t="str">
        <f aca="false">IF(C1532="","",IF(G1532="ACCEPTÉ","OUI","NON"))</f>
        <v>NON</v>
      </c>
      <c r="I1532" s="83"/>
      <c r="J1532" s="80"/>
      <c r="K1532" s="81"/>
      <c r="L1532" s="81"/>
      <c r="M1532" s="81"/>
      <c r="N1532" s="84" t="str">
        <f aca="false">IF(C1532="","",IF(P1532="","NJ INCONNU",IF(I1532="",IF(H1532="OUI","À ENROBER",IF(G1532="À SOUDER","NON SOUDÉ","EN ATTENTE RT")),IF(L1532="R","À REPRENDRE",IF(H1532&lt;&gt;"OUI","⚠ ENROBÉ AVANT ACCEPTATION RT","ENROBÉ")))))</f>
        <v>NON SOUDÉ</v>
      </c>
      <c r="O1532" s="80"/>
      <c r="P1532" s="82" t="n">
        <f aca="false">IF(C1532="","",IFERROR(MATCH(Q1532,'CARNET DE SOUDURE'!$AW$7:$AW$3006,0),""))</f>
        <v>1526</v>
      </c>
      <c r="Q1532" s="82" t="str">
        <f aca="false">IF(C1532="","",B1532&amp;"|"&amp;C1532)</f>
        <v>MFD-ISW → MFD-CPF|JN°1269</v>
      </c>
    </row>
    <row r="1533" customFormat="false" ht="74.6" hidden="false" customHeight="false" outlineLevel="0" collapsed="false">
      <c r="A1533" s="82" t="n">
        <f aca="false">IF(C1533="","",ROW()-6)</f>
        <v>1527</v>
      </c>
      <c r="B1533" s="80" t="s">
        <v>110</v>
      </c>
      <c r="C1533" s="113" t="s">
        <v>1837</v>
      </c>
      <c r="D1533" s="82" t="str">
        <f aca="false">IF(OR(C1533="",P1533=""),"",INDEX('CARNET DE SOUDURE'!$D$7:$D$3006,P1533)&amp;"")</f>
        <v>13</v>
      </c>
      <c r="E1533" s="114" t="str">
        <f aca="false">IF(OR(C1533="",P1533=""),"",IF(INDEX('CARNET DE SOUDURE'!$U$7:$U$3006,P1533)="","",INDEX('CARNET DE SOUDURE'!$U$7:$U$3006,P1533)))</f>
        <v/>
      </c>
      <c r="F1533" s="82" t="str">
        <f aca="false">IF(OR(C1533="",P1533=""),"",INDEX('CARNET DE SOUDURE'!$AP$7:$AP$3006,P1533))</f>
        <v/>
      </c>
      <c r="G1533" s="82" t="str">
        <f aca="false">IF(C1533="","",IF(P1533="","NJ INCONNU",INDEX('CARNET DE SOUDURE'!$AQ$7:$AQ$3006,P1533)))</f>
        <v>À SOUDER</v>
      </c>
      <c r="H1533" s="82" t="str">
        <f aca="false">IF(C1533="","",IF(G1533="ACCEPTÉ","OUI","NON"))</f>
        <v>NON</v>
      </c>
      <c r="I1533" s="83"/>
      <c r="J1533" s="80"/>
      <c r="K1533" s="81"/>
      <c r="L1533" s="81"/>
      <c r="M1533" s="81"/>
      <c r="N1533" s="84" t="str">
        <f aca="false">IF(C1533="","",IF(P1533="","NJ INCONNU",IF(I1533="",IF(H1533="OUI","À ENROBER",IF(G1533="À SOUDER","NON SOUDÉ","EN ATTENTE RT")),IF(L1533="R","À REPRENDRE",IF(H1533&lt;&gt;"OUI","⚠ ENROBÉ AVANT ACCEPTATION RT","ENROBÉ")))))</f>
        <v>NON SOUDÉ</v>
      </c>
      <c r="O1533" s="80"/>
      <c r="P1533" s="82" t="n">
        <f aca="false">IF(C1533="","",IFERROR(MATCH(Q1533,'CARNET DE SOUDURE'!$AW$7:$AW$3006,0),""))</f>
        <v>1527</v>
      </c>
      <c r="Q1533" s="82" t="str">
        <f aca="false">IF(C1533="","",B1533&amp;"|"&amp;C1533)</f>
        <v>MFD-ISW → MFD-CPF|JN°1270</v>
      </c>
    </row>
    <row r="1534" customFormat="false" ht="74.6" hidden="false" customHeight="false" outlineLevel="0" collapsed="false">
      <c r="A1534" s="82" t="n">
        <f aca="false">IF(C1534="","",ROW()-6)</f>
        <v>1528</v>
      </c>
      <c r="B1534" s="80" t="s">
        <v>110</v>
      </c>
      <c r="C1534" s="113" t="s">
        <v>1838</v>
      </c>
      <c r="D1534" s="82" t="str">
        <f aca="false">IF(OR(C1534="",P1534=""),"",INDEX('CARNET DE SOUDURE'!$D$7:$D$3006,P1534)&amp;"")</f>
        <v>13</v>
      </c>
      <c r="E1534" s="114" t="str">
        <f aca="false">IF(OR(C1534="",P1534=""),"",IF(INDEX('CARNET DE SOUDURE'!$U$7:$U$3006,P1534)="","",INDEX('CARNET DE SOUDURE'!$U$7:$U$3006,P1534)))</f>
        <v/>
      </c>
      <c r="F1534" s="82" t="str">
        <f aca="false">IF(OR(C1534="",P1534=""),"",INDEX('CARNET DE SOUDURE'!$AP$7:$AP$3006,P1534))</f>
        <v/>
      </c>
      <c r="G1534" s="82" t="str">
        <f aca="false">IF(C1534="","",IF(P1534="","NJ INCONNU",INDEX('CARNET DE SOUDURE'!$AQ$7:$AQ$3006,P1534)))</f>
        <v>À SOUDER</v>
      </c>
      <c r="H1534" s="82" t="str">
        <f aca="false">IF(C1534="","",IF(G1534="ACCEPTÉ","OUI","NON"))</f>
        <v>NON</v>
      </c>
      <c r="I1534" s="83"/>
      <c r="J1534" s="80"/>
      <c r="K1534" s="81"/>
      <c r="L1534" s="81"/>
      <c r="M1534" s="81"/>
      <c r="N1534" s="84" t="str">
        <f aca="false">IF(C1534="","",IF(P1534="","NJ INCONNU",IF(I1534="",IF(H1534="OUI","À ENROBER",IF(G1534="À SOUDER","NON SOUDÉ","EN ATTENTE RT")),IF(L1534="R","À REPRENDRE",IF(H1534&lt;&gt;"OUI","⚠ ENROBÉ AVANT ACCEPTATION RT","ENROBÉ")))))</f>
        <v>NON SOUDÉ</v>
      </c>
      <c r="O1534" s="80"/>
      <c r="P1534" s="82" t="n">
        <f aca="false">IF(C1534="","",IFERROR(MATCH(Q1534,'CARNET DE SOUDURE'!$AW$7:$AW$3006,0),""))</f>
        <v>1528</v>
      </c>
      <c r="Q1534" s="82" t="str">
        <f aca="false">IF(C1534="","",B1534&amp;"|"&amp;C1534)</f>
        <v>MFD-ISW → MFD-CPF|JN°1271</v>
      </c>
    </row>
    <row r="1535" customFormat="false" ht="74.6" hidden="false" customHeight="false" outlineLevel="0" collapsed="false">
      <c r="A1535" s="82" t="n">
        <f aca="false">IF(C1535="","",ROW()-6)</f>
        <v>1529</v>
      </c>
      <c r="B1535" s="80" t="s">
        <v>110</v>
      </c>
      <c r="C1535" s="113" t="s">
        <v>1839</v>
      </c>
      <c r="D1535" s="82" t="str">
        <f aca="false">IF(OR(C1535="",P1535=""),"",INDEX('CARNET DE SOUDURE'!$D$7:$D$3006,P1535)&amp;"")</f>
        <v>13</v>
      </c>
      <c r="E1535" s="114" t="str">
        <f aca="false">IF(OR(C1535="",P1535=""),"",IF(INDEX('CARNET DE SOUDURE'!$U$7:$U$3006,P1535)="","",INDEX('CARNET DE SOUDURE'!$U$7:$U$3006,P1535)))</f>
        <v/>
      </c>
      <c r="F1535" s="82" t="str">
        <f aca="false">IF(OR(C1535="",P1535=""),"",INDEX('CARNET DE SOUDURE'!$AP$7:$AP$3006,P1535))</f>
        <v/>
      </c>
      <c r="G1535" s="82" t="str">
        <f aca="false">IF(C1535="","",IF(P1535="","NJ INCONNU",INDEX('CARNET DE SOUDURE'!$AQ$7:$AQ$3006,P1535)))</f>
        <v>À SOUDER</v>
      </c>
      <c r="H1535" s="82" t="str">
        <f aca="false">IF(C1535="","",IF(G1535="ACCEPTÉ","OUI","NON"))</f>
        <v>NON</v>
      </c>
      <c r="I1535" s="83"/>
      <c r="J1535" s="80"/>
      <c r="K1535" s="81"/>
      <c r="L1535" s="81"/>
      <c r="M1535" s="81"/>
      <c r="N1535" s="84" t="str">
        <f aca="false">IF(C1535="","",IF(P1535="","NJ INCONNU",IF(I1535="",IF(H1535="OUI","À ENROBER",IF(G1535="À SOUDER","NON SOUDÉ","EN ATTENTE RT")),IF(L1535="R","À REPRENDRE",IF(H1535&lt;&gt;"OUI","⚠ ENROBÉ AVANT ACCEPTATION RT","ENROBÉ")))))</f>
        <v>NON SOUDÉ</v>
      </c>
      <c r="O1535" s="80"/>
      <c r="P1535" s="82" t="n">
        <f aca="false">IF(C1535="","",IFERROR(MATCH(Q1535,'CARNET DE SOUDURE'!$AW$7:$AW$3006,0),""))</f>
        <v>1529</v>
      </c>
      <c r="Q1535" s="82" t="str">
        <f aca="false">IF(C1535="","",B1535&amp;"|"&amp;C1535)</f>
        <v>MFD-ISW → MFD-CPF|JN°1272</v>
      </c>
    </row>
    <row r="1536" customFormat="false" ht="74.6" hidden="false" customHeight="false" outlineLevel="0" collapsed="false">
      <c r="A1536" s="82" t="n">
        <f aca="false">IF(C1536="","",ROW()-6)</f>
        <v>1530</v>
      </c>
      <c r="B1536" s="80" t="s">
        <v>110</v>
      </c>
      <c r="C1536" s="113" t="s">
        <v>1840</v>
      </c>
      <c r="D1536" s="82" t="str">
        <f aca="false">IF(OR(C1536="",P1536=""),"",INDEX('CARNET DE SOUDURE'!$D$7:$D$3006,P1536)&amp;"")</f>
        <v>13</v>
      </c>
      <c r="E1536" s="114" t="str">
        <f aca="false">IF(OR(C1536="",P1536=""),"",IF(INDEX('CARNET DE SOUDURE'!$U$7:$U$3006,P1536)="","",INDEX('CARNET DE SOUDURE'!$U$7:$U$3006,P1536)))</f>
        <v/>
      </c>
      <c r="F1536" s="82" t="str">
        <f aca="false">IF(OR(C1536="",P1536=""),"",INDEX('CARNET DE SOUDURE'!$AP$7:$AP$3006,P1536))</f>
        <v/>
      </c>
      <c r="G1536" s="82" t="str">
        <f aca="false">IF(C1536="","",IF(P1536="","NJ INCONNU",INDEX('CARNET DE SOUDURE'!$AQ$7:$AQ$3006,P1536)))</f>
        <v>À SOUDER</v>
      </c>
      <c r="H1536" s="82" t="str">
        <f aca="false">IF(C1536="","",IF(G1536="ACCEPTÉ","OUI","NON"))</f>
        <v>NON</v>
      </c>
      <c r="I1536" s="83"/>
      <c r="J1536" s="80"/>
      <c r="K1536" s="81"/>
      <c r="L1536" s="81"/>
      <c r="M1536" s="81"/>
      <c r="N1536" s="84" t="str">
        <f aca="false">IF(C1536="","",IF(P1536="","NJ INCONNU",IF(I1536="",IF(H1536="OUI","À ENROBER",IF(G1536="À SOUDER","NON SOUDÉ","EN ATTENTE RT")),IF(L1536="R","À REPRENDRE",IF(H1536&lt;&gt;"OUI","⚠ ENROBÉ AVANT ACCEPTATION RT","ENROBÉ")))))</f>
        <v>NON SOUDÉ</v>
      </c>
      <c r="O1536" s="80"/>
      <c r="P1536" s="82" t="n">
        <f aca="false">IF(C1536="","",IFERROR(MATCH(Q1536,'CARNET DE SOUDURE'!$AW$7:$AW$3006,0),""))</f>
        <v>1530</v>
      </c>
      <c r="Q1536" s="82" t="str">
        <f aca="false">IF(C1536="","",B1536&amp;"|"&amp;C1536)</f>
        <v>MFD-ISW → MFD-CPF|JN°1273</v>
      </c>
    </row>
    <row r="1537" customFormat="false" ht="74.6" hidden="false" customHeight="false" outlineLevel="0" collapsed="false">
      <c r="A1537" s="82" t="n">
        <f aca="false">IF(C1537="","",ROW()-6)</f>
        <v>1531</v>
      </c>
      <c r="B1537" s="80" t="s">
        <v>110</v>
      </c>
      <c r="C1537" s="113" t="s">
        <v>1841</v>
      </c>
      <c r="D1537" s="82" t="str">
        <f aca="false">IF(OR(C1537="",P1537=""),"",INDEX('CARNET DE SOUDURE'!$D$7:$D$3006,P1537)&amp;"")</f>
        <v>13</v>
      </c>
      <c r="E1537" s="114" t="str">
        <f aca="false">IF(OR(C1537="",P1537=""),"",IF(INDEX('CARNET DE SOUDURE'!$U$7:$U$3006,P1537)="","",INDEX('CARNET DE SOUDURE'!$U$7:$U$3006,P1537)))</f>
        <v/>
      </c>
      <c r="F1537" s="82" t="str">
        <f aca="false">IF(OR(C1537="",P1537=""),"",INDEX('CARNET DE SOUDURE'!$AP$7:$AP$3006,P1537))</f>
        <v/>
      </c>
      <c r="G1537" s="82" t="str">
        <f aca="false">IF(C1537="","",IF(P1537="","NJ INCONNU",INDEX('CARNET DE SOUDURE'!$AQ$7:$AQ$3006,P1537)))</f>
        <v>À SOUDER</v>
      </c>
      <c r="H1537" s="82" t="str">
        <f aca="false">IF(C1537="","",IF(G1537="ACCEPTÉ","OUI","NON"))</f>
        <v>NON</v>
      </c>
      <c r="I1537" s="83"/>
      <c r="J1537" s="80"/>
      <c r="K1537" s="81"/>
      <c r="L1537" s="81"/>
      <c r="M1537" s="81"/>
      <c r="N1537" s="84" t="str">
        <f aca="false">IF(C1537="","",IF(P1537="","NJ INCONNU",IF(I1537="",IF(H1537="OUI","À ENROBER",IF(G1537="À SOUDER","NON SOUDÉ","EN ATTENTE RT")),IF(L1537="R","À REPRENDRE",IF(H1537&lt;&gt;"OUI","⚠ ENROBÉ AVANT ACCEPTATION RT","ENROBÉ")))))</f>
        <v>NON SOUDÉ</v>
      </c>
      <c r="O1537" s="80"/>
      <c r="P1537" s="82" t="n">
        <f aca="false">IF(C1537="","",IFERROR(MATCH(Q1537,'CARNET DE SOUDURE'!$AW$7:$AW$3006,0),""))</f>
        <v>1531</v>
      </c>
      <c r="Q1537" s="82" t="str">
        <f aca="false">IF(C1537="","",B1537&amp;"|"&amp;C1537)</f>
        <v>MFD-ISW → MFD-CPF|JN°1274</v>
      </c>
    </row>
    <row r="1538" customFormat="false" ht="74.6" hidden="false" customHeight="false" outlineLevel="0" collapsed="false">
      <c r="A1538" s="82" t="n">
        <f aca="false">IF(C1538="","",ROW()-6)</f>
        <v>1532</v>
      </c>
      <c r="B1538" s="80" t="s">
        <v>110</v>
      </c>
      <c r="C1538" s="113" t="s">
        <v>1843</v>
      </c>
      <c r="D1538" s="82" t="str">
        <f aca="false">IF(OR(C1538="",P1538=""),"",INDEX('CARNET DE SOUDURE'!$D$7:$D$3006,P1538)&amp;"")</f>
        <v>13</v>
      </c>
      <c r="E1538" s="114" t="n">
        <f aca="false">IF(OR(C1538="",P1538=""),"",IF(INDEX('CARNET DE SOUDURE'!$U$7:$U$3006,P1538)="","",INDEX('CARNET DE SOUDURE'!$U$7:$U$3006,P1538)))</f>
        <v>46268</v>
      </c>
      <c r="F1538" s="82" t="str">
        <f aca="false">IF(OR(C1538="",P1538=""),"",INDEX('CARNET DE SOUDURE'!$AP$7:$AP$3006,P1538))</f>
        <v>A</v>
      </c>
      <c r="G1538" s="82" t="str">
        <f aca="false">IF(C1538="","",IF(P1538="","NJ INCONNU",INDEX('CARNET DE SOUDURE'!$AQ$7:$AQ$3006,P1538)))</f>
        <v>ACCEPTÉ</v>
      </c>
      <c r="H1538" s="82" t="str">
        <f aca="false">IF(C1538="","",IF(G1538="ACCEPTÉ","OUI","NON"))</f>
        <v>OUI</v>
      </c>
      <c r="I1538" s="83"/>
      <c r="J1538" s="80"/>
      <c r="K1538" s="81"/>
      <c r="L1538" s="81"/>
      <c r="M1538" s="81"/>
      <c r="N1538" s="84" t="str">
        <f aca="false">IF(C1538="","",IF(P1538="","NJ INCONNU",IF(I1538="",IF(H1538="OUI","À ENROBER",IF(G1538="À SOUDER","NON SOUDÉ","EN ATTENTE RT")),IF(L1538="R","À REPRENDRE",IF(H1538&lt;&gt;"OUI","⚠ ENROBÉ AVANT ACCEPTATION RT","ENROBÉ")))))</f>
        <v>À ENROBER</v>
      </c>
      <c r="O1538" s="80"/>
      <c r="P1538" s="82" t="n">
        <f aca="false">IF(C1538="","",IFERROR(MATCH(Q1538,'CARNET DE SOUDURE'!$AW$7:$AW$3006,0),""))</f>
        <v>1532</v>
      </c>
      <c r="Q1538" s="82" t="str">
        <f aca="false">IF(C1538="","",B1538&amp;"|"&amp;C1538)</f>
        <v>MFD-ISW → MFD-CPF|DJ°252</v>
      </c>
    </row>
    <row r="1539" customFormat="false" ht="74.6" hidden="false" customHeight="false" outlineLevel="0" collapsed="false">
      <c r="A1539" s="82" t="n">
        <f aca="false">IF(C1539="","",ROW()-6)</f>
        <v>1533</v>
      </c>
      <c r="B1539" s="80" t="s">
        <v>110</v>
      </c>
      <c r="C1539" s="113" t="s">
        <v>1844</v>
      </c>
      <c r="D1539" s="82" t="str">
        <f aca="false">IF(OR(C1539="",P1539=""),"",INDEX('CARNET DE SOUDURE'!$D$7:$D$3006,P1539)&amp;"")</f>
        <v>13</v>
      </c>
      <c r="E1539" s="114" t="n">
        <f aca="false">IF(OR(C1539="",P1539=""),"",IF(INDEX('CARNET DE SOUDURE'!$U$7:$U$3006,P1539)="","",INDEX('CARNET DE SOUDURE'!$U$7:$U$3006,P1539)))</f>
        <v>46275</v>
      </c>
      <c r="F1539" s="82" t="str">
        <f aca="false">IF(OR(C1539="",P1539=""),"",INDEX('CARNET DE SOUDURE'!$AP$7:$AP$3006,P1539))</f>
        <v>A</v>
      </c>
      <c r="G1539" s="82" t="str">
        <f aca="false">IF(C1539="","",IF(P1539="","NJ INCONNU",INDEX('CARNET DE SOUDURE'!$AQ$7:$AQ$3006,P1539)))</f>
        <v>ACCEPTÉ</v>
      </c>
      <c r="H1539" s="82" t="str">
        <f aca="false">IF(C1539="","",IF(G1539="ACCEPTÉ","OUI","NON"))</f>
        <v>OUI</v>
      </c>
      <c r="I1539" s="83"/>
      <c r="J1539" s="80"/>
      <c r="K1539" s="81"/>
      <c r="L1539" s="81"/>
      <c r="M1539" s="81"/>
      <c r="N1539" s="84" t="str">
        <f aca="false">IF(C1539="","",IF(P1539="","NJ INCONNU",IF(I1539="",IF(H1539="OUI","À ENROBER",IF(G1539="À SOUDER","NON SOUDÉ","EN ATTENTE RT")),IF(L1539="R","À REPRENDRE",IF(H1539&lt;&gt;"OUI","⚠ ENROBÉ AVANT ACCEPTATION RT","ENROBÉ")))))</f>
        <v>À ENROBER</v>
      </c>
      <c r="O1539" s="80"/>
      <c r="P1539" s="82" t="n">
        <f aca="false">IF(C1539="","",IFERROR(MATCH(Q1539,'CARNET DE SOUDURE'!$AW$7:$AW$3006,0),""))</f>
        <v>1533</v>
      </c>
      <c r="Q1539" s="82" t="str">
        <f aca="false">IF(C1539="","",B1539&amp;"|"&amp;C1539)</f>
        <v>MFD-ISW → MFD-CPF|JN°1275</v>
      </c>
    </row>
    <row r="1540" customFormat="false" ht="74.6" hidden="false" customHeight="false" outlineLevel="0" collapsed="false">
      <c r="A1540" s="82" t="n">
        <f aca="false">IF(C1540="","",ROW()-6)</f>
        <v>1534</v>
      </c>
      <c r="B1540" s="80" t="s">
        <v>110</v>
      </c>
      <c r="C1540" s="113" t="s">
        <v>1845</v>
      </c>
      <c r="D1540" s="82" t="str">
        <f aca="false">IF(OR(C1540="",P1540=""),"",INDEX('CARNET DE SOUDURE'!$D$7:$D$3006,P1540)&amp;"")</f>
        <v>13</v>
      </c>
      <c r="E1540" s="114" t="n">
        <f aca="false">IF(OR(C1540="",P1540=""),"",IF(INDEX('CARNET DE SOUDURE'!$U$7:$U$3006,P1540)="","",INDEX('CARNET DE SOUDURE'!$U$7:$U$3006,P1540)))</f>
        <v>46268</v>
      </c>
      <c r="F1540" s="82" t="str">
        <f aca="false">IF(OR(C1540="",P1540=""),"",INDEX('CARNET DE SOUDURE'!$AP$7:$AP$3006,P1540))</f>
        <v>A</v>
      </c>
      <c r="G1540" s="82" t="str">
        <f aca="false">IF(C1540="","",IF(P1540="","NJ INCONNU",INDEX('CARNET DE SOUDURE'!$AQ$7:$AQ$3006,P1540)))</f>
        <v>ACCEPTÉ</v>
      </c>
      <c r="H1540" s="82" t="str">
        <f aca="false">IF(C1540="","",IF(G1540="ACCEPTÉ","OUI","NON"))</f>
        <v>OUI</v>
      </c>
      <c r="I1540" s="83"/>
      <c r="J1540" s="80"/>
      <c r="K1540" s="81"/>
      <c r="L1540" s="81"/>
      <c r="M1540" s="81"/>
      <c r="N1540" s="84" t="str">
        <f aca="false">IF(C1540="","",IF(P1540="","NJ INCONNU",IF(I1540="",IF(H1540="OUI","À ENROBER",IF(G1540="À SOUDER","NON SOUDÉ","EN ATTENTE RT")),IF(L1540="R","À REPRENDRE",IF(H1540&lt;&gt;"OUI","⚠ ENROBÉ AVANT ACCEPTATION RT","ENROBÉ")))))</f>
        <v>À ENROBER</v>
      </c>
      <c r="O1540" s="80"/>
      <c r="P1540" s="82" t="n">
        <f aca="false">IF(C1540="","",IFERROR(MATCH(Q1540,'CARNET DE SOUDURE'!$AW$7:$AW$3006,0),""))</f>
        <v>1534</v>
      </c>
      <c r="Q1540" s="82" t="str">
        <f aca="false">IF(C1540="","",B1540&amp;"|"&amp;C1540)</f>
        <v>MFD-ISW → MFD-CPF|DJ°251</v>
      </c>
    </row>
    <row r="1541" customFormat="false" ht="74.6" hidden="false" customHeight="false" outlineLevel="0" collapsed="false">
      <c r="A1541" s="82" t="n">
        <f aca="false">IF(C1541="","",ROW()-6)</f>
        <v>1535</v>
      </c>
      <c r="B1541" s="80" t="s">
        <v>110</v>
      </c>
      <c r="C1541" s="113" t="s">
        <v>1846</v>
      </c>
      <c r="D1541" s="82" t="str">
        <f aca="false">IF(OR(C1541="",P1541=""),"",INDEX('CARNET DE SOUDURE'!$D$7:$D$3006,P1541)&amp;"")</f>
        <v>13</v>
      </c>
      <c r="E1541" s="114" t="n">
        <f aca="false">IF(OR(C1541="",P1541=""),"",IF(INDEX('CARNET DE SOUDURE'!$U$7:$U$3006,P1541)="","",INDEX('CARNET DE SOUDURE'!$U$7:$U$3006,P1541)))</f>
        <v>46275</v>
      </c>
      <c r="F1541" s="82" t="str">
        <f aca="false">IF(OR(C1541="",P1541=""),"",INDEX('CARNET DE SOUDURE'!$AP$7:$AP$3006,P1541))</f>
        <v>A</v>
      </c>
      <c r="G1541" s="82" t="str">
        <f aca="false">IF(C1541="","",IF(P1541="","NJ INCONNU",INDEX('CARNET DE SOUDURE'!$AQ$7:$AQ$3006,P1541)))</f>
        <v>ACCEPTÉ</v>
      </c>
      <c r="H1541" s="82" t="str">
        <f aca="false">IF(C1541="","",IF(G1541="ACCEPTÉ","OUI","NON"))</f>
        <v>OUI</v>
      </c>
      <c r="I1541" s="83"/>
      <c r="J1541" s="80"/>
      <c r="K1541" s="81"/>
      <c r="L1541" s="81"/>
      <c r="M1541" s="81"/>
      <c r="N1541" s="84" t="str">
        <f aca="false">IF(C1541="","",IF(P1541="","NJ INCONNU",IF(I1541="",IF(H1541="OUI","À ENROBER",IF(G1541="À SOUDER","NON SOUDÉ","EN ATTENTE RT")),IF(L1541="R","À REPRENDRE",IF(H1541&lt;&gt;"OUI","⚠ ENROBÉ AVANT ACCEPTATION RT","ENROBÉ")))))</f>
        <v>À ENROBER</v>
      </c>
      <c r="O1541" s="80"/>
      <c r="P1541" s="82" t="n">
        <f aca="false">IF(C1541="","",IFERROR(MATCH(Q1541,'CARNET DE SOUDURE'!$AW$7:$AW$3006,0),""))</f>
        <v>1535</v>
      </c>
      <c r="Q1541" s="82" t="str">
        <f aca="false">IF(C1541="","",B1541&amp;"|"&amp;C1541)</f>
        <v>MFD-ISW → MFD-CPF|JN°1276</v>
      </c>
    </row>
    <row r="1542" customFormat="false" ht="74.6" hidden="false" customHeight="false" outlineLevel="0" collapsed="false">
      <c r="A1542" s="82" t="n">
        <f aca="false">IF(C1542="","",ROW()-6)</f>
        <v>1536</v>
      </c>
      <c r="B1542" s="80" t="s">
        <v>110</v>
      </c>
      <c r="C1542" s="113" t="s">
        <v>1847</v>
      </c>
      <c r="D1542" s="82" t="str">
        <f aca="false">IF(OR(C1542="",P1542=""),"",INDEX('CARNET DE SOUDURE'!$D$7:$D$3006,P1542)&amp;"")</f>
        <v>13</v>
      </c>
      <c r="E1542" s="114" t="n">
        <f aca="false">IF(OR(C1542="",P1542=""),"",IF(INDEX('CARNET DE SOUDURE'!$U$7:$U$3006,P1542)="","",INDEX('CARNET DE SOUDURE'!$U$7:$U$3006,P1542)))</f>
        <v>46268</v>
      </c>
      <c r="F1542" s="82" t="str">
        <f aca="false">IF(OR(C1542="",P1542=""),"",INDEX('CARNET DE SOUDURE'!$AP$7:$AP$3006,P1542))</f>
        <v>A</v>
      </c>
      <c r="G1542" s="82" t="str">
        <f aca="false">IF(C1542="","",IF(P1542="","NJ INCONNU",INDEX('CARNET DE SOUDURE'!$AQ$7:$AQ$3006,P1542)))</f>
        <v>ACCEPTÉ</v>
      </c>
      <c r="H1542" s="82" t="str">
        <f aca="false">IF(C1542="","",IF(G1542="ACCEPTÉ","OUI","NON"))</f>
        <v>OUI</v>
      </c>
      <c r="I1542" s="83"/>
      <c r="J1542" s="80"/>
      <c r="K1542" s="81"/>
      <c r="L1542" s="81"/>
      <c r="M1542" s="81"/>
      <c r="N1542" s="84" t="str">
        <f aca="false">IF(C1542="","",IF(P1542="","NJ INCONNU",IF(I1542="",IF(H1542="OUI","À ENROBER",IF(G1542="À SOUDER","NON SOUDÉ","EN ATTENTE RT")),IF(L1542="R","À REPRENDRE",IF(H1542&lt;&gt;"OUI","⚠ ENROBÉ AVANT ACCEPTATION RT","ENROBÉ")))))</f>
        <v>À ENROBER</v>
      </c>
      <c r="O1542" s="80"/>
      <c r="P1542" s="82" t="n">
        <f aca="false">IF(C1542="","",IFERROR(MATCH(Q1542,'CARNET DE SOUDURE'!$AW$7:$AW$3006,0),""))</f>
        <v>1536</v>
      </c>
      <c r="Q1542" s="82" t="str">
        <f aca="false">IF(C1542="","",B1542&amp;"|"&amp;C1542)</f>
        <v>MFD-ISW → MFD-CPF|DJ°266</v>
      </c>
    </row>
    <row r="1543" customFormat="false" ht="74.6" hidden="false" customHeight="false" outlineLevel="0" collapsed="false">
      <c r="A1543" s="82" t="n">
        <f aca="false">IF(C1543="","",ROW()-6)</f>
        <v>1537</v>
      </c>
      <c r="B1543" s="80" t="s">
        <v>110</v>
      </c>
      <c r="C1543" s="113" t="s">
        <v>1848</v>
      </c>
      <c r="D1543" s="82" t="str">
        <f aca="false">IF(OR(C1543="",P1543=""),"",INDEX('CARNET DE SOUDURE'!$D$7:$D$3006,P1543)&amp;"")</f>
        <v>13</v>
      </c>
      <c r="E1543" s="114" t="n">
        <f aca="false">IF(OR(C1543="",P1543=""),"",IF(INDEX('CARNET DE SOUDURE'!$U$7:$U$3006,P1543)="","",INDEX('CARNET DE SOUDURE'!$U$7:$U$3006,P1543)))</f>
        <v>46275</v>
      </c>
      <c r="F1543" s="82" t="str">
        <f aca="false">IF(OR(C1543="",P1543=""),"",INDEX('CARNET DE SOUDURE'!$AP$7:$AP$3006,P1543))</f>
        <v>A</v>
      </c>
      <c r="G1543" s="82" t="str">
        <f aca="false">IF(C1543="","",IF(P1543="","NJ INCONNU",INDEX('CARNET DE SOUDURE'!$AQ$7:$AQ$3006,P1543)))</f>
        <v>ACCEPTÉ</v>
      </c>
      <c r="H1543" s="82" t="str">
        <f aca="false">IF(C1543="","",IF(G1543="ACCEPTÉ","OUI","NON"))</f>
        <v>OUI</v>
      </c>
      <c r="I1543" s="83"/>
      <c r="J1543" s="80"/>
      <c r="K1543" s="81"/>
      <c r="L1543" s="81"/>
      <c r="M1543" s="81"/>
      <c r="N1543" s="84" t="str">
        <f aca="false">IF(C1543="","",IF(P1543="","NJ INCONNU",IF(I1543="",IF(H1543="OUI","À ENROBER",IF(G1543="À SOUDER","NON SOUDÉ","EN ATTENTE RT")),IF(L1543="R","À REPRENDRE",IF(H1543&lt;&gt;"OUI","⚠ ENROBÉ AVANT ACCEPTATION RT","ENROBÉ")))))</f>
        <v>À ENROBER</v>
      </c>
      <c r="O1543" s="80"/>
      <c r="P1543" s="82" t="n">
        <f aca="false">IF(C1543="","",IFERROR(MATCH(Q1543,'CARNET DE SOUDURE'!$AW$7:$AW$3006,0),""))</f>
        <v>1537</v>
      </c>
      <c r="Q1543" s="82" t="str">
        <f aca="false">IF(C1543="","",B1543&amp;"|"&amp;C1543)</f>
        <v>MFD-ISW → MFD-CPF|JN°1277</v>
      </c>
    </row>
    <row r="1544" customFormat="false" ht="74.6" hidden="false" customHeight="false" outlineLevel="0" collapsed="false">
      <c r="A1544" s="82" t="n">
        <f aca="false">IF(C1544="","",ROW()-6)</f>
        <v>1538</v>
      </c>
      <c r="B1544" s="80" t="s">
        <v>110</v>
      </c>
      <c r="C1544" s="113" t="s">
        <v>1849</v>
      </c>
      <c r="D1544" s="82" t="str">
        <f aca="false">IF(OR(C1544="",P1544=""),"",INDEX('CARNET DE SOUDURE'!$D$7:$D$3006,P1544)&amp;"")</f>
        <v>13</v>
      </c>
      <c r="E1544" s="114" t="n">
        <f aca="false">IF(OR(C1544="",P1544=""),"",IF(INDEX('CARNET DE SOUDURE'!$U$7:$U$3006,P1544)="","",INDEX('CARNET DE SOUDURE'!$U$7:$U$3006,P1544)))</f>
        <v>46268</v>
      </c>
      <c r="F1544" s="82" t="str">
        <f aca="false">IF(OR(C1544="",P1544=""),"",INDEX('CARNET DE SOUDURE'!$AP$7:$AP$3006,P1544))</f>
        <v>A</v>
      </c>
      <c r="G1544" s="82" t="str">
        <f aca="false">IF(C1544="","",IF(P1544="","NJ INCONNU",INDEX('CARNET DE SOUDURE'!$AQ$7:$AQ$3006,P1544)))</f>
        <v>ACCEPTÉ</v>
      </c>
      <c r="H1544" s="82" t="str">
        <f aca="false">IF(C1544="","",IF(G1544="ACCEPTÉ","OUI","NON"))</f>
        <v>OUI</v>
      </c>
      <c r="I1544" s="83"/>
      <c r="J1544" s="80"/>
      <c r="K1544" s="81"/>
      <c r="L1544" s="81"/>
      <c r="M1544" s="81"/>
      <c r="N1544" s="84" t="str">
        <f aca="false">IF(C1544="","",IF(P1544="","NJ INCONNU",IF(I1544="",IF(H1544="OUI","À ENROBER",IF(G1544="À SOUDER","NON SOUDÉ","EN ATTENTE RT")),IF(L1544="R","À REPRENDRE",IF(H1544&lt;&gt;"OUI","⚠ ENROBÉ AVANT ACCEPTATION RT","ENROBÉ")))))</f>
        <v>À ENROBER</v>
      </c>
      <c r="O1544" s="80"/>
      <c r="P1544" s="82" t="n">
        <f aca="false">IF(C1544="","",IFERROR(MATCH(Q1544,'CARNET DE SOUDURE'!$AW$7:$AW$3006,0),""))</f>
        <v>1538</v>
      </c>
      <c r="Q1544" s="82" t="str">
        <f aca="false">IF(C1544="","",B1544&amp;"|"&amp;C1544)</f>
        <v>MFD-ISW → MFD-CPF|DJ°260</v>
      </c>
    </row>
    <row r="1545" customFormat="false" ht="74.6" hidden="false" customHeight="false" outlineLevel="0" collapsed="false">
      <c r="A1545" s="82" t="n">
        <f aca="false">IF(C1545="","",ROW()-6)</f>
        <v>1539</v>
      </c>
      <c r="B1545" s="80" t="s">
        <v>110</v>
      </c>
      <c r="C1545" s="113" t="s">
        <v>1850</v>
      </c>
      <c r="D1545" s="82" t="str">
        <f aca="false">IF(OR(C1545="",P1545=""),"",INDEX('CARNET DE SOUDURE'!$D$7:$D$3006,P1545)&amp;"")</f>
        <v>13</v>
      </c>
      <c r="E1545" s="114" t="n">
        <f aca="false">IF(OR(C1545="",P1545=""),"",IF(INDEX('CARNET DE SOUDURE'!$U$7:$U$3006,P1545)="","",INDEX('CARNET DE SOUDURE'!$U$7:$U$3006,P1545)))</f>
        <v>46275</v>
      </c>
      <c r="F1545" s="82" t="str">
        <f aca="false">IF(OR(C1545="",P1545=""),"",INDEX('CARNET DE SOUDURE'!$AP$7:$AP$3006,P1545))</f>
        <v>A</v>
      </c>
      <c r="G1545" s="82" t="str">
        <f aca="false">IF(C1545="","",IF(P1545="","NJ INCONNU",INDEX('CARNET DE SOUDURE'!$AQ$7:$AQ$3006,P1545)))</f>
        <v>ACCEPTÉ</v>
      </c>
      <c r="H1545" s="82" t="str">
        <f aca="false">IF(C1545="","",IF(G1545="ACCEPTÉ","OUI","NON"))</f>
        <v>OUI</v>
      </c>
      <c r="I1545" s="83"/>
      <c r="J1545" s="80"/>
      <c r="K1545" s="81"/>
      <c r="L1545" s="81"/>
      <c r="M1545" s="81"/>
      <c r="N1545" s="84" t="str">
        <f aca="false">IF(C1545="","",IF(P1545="","NJ INCONNU",IF(I1545="",IF(H1545="OUI","À ENROBER",IF(G1545="À SOUDER","NON SOUDÉ","EN ATTENTE RT")),IF(L1545="R","À REPRENDRE",IF(H1545&lt;&gt;"OUI","⚠ ENROBÉ AVANT ACCEPTATION RT","ENROBÉ")))))</f>
        <v>À ENROBER</v>
      </c>
      <c r="O1545" s="80"/>
      <c r="P1545" s="82" t="n">
        <f aca="false">IF(C1545="","",IFERROR(MATCH(Q1545,'CARNET DE SOUDURE'!$AW$7:$AW$3006,0),""))</f>
        <v>1539</v>
      </c>
      <c r="Q1545" s="82" t="str">
        <f aca="false">IF(C1545="","",B1545&amp;"|"&amp;C1545)</f>
        <v>MFD-ISW → MFD-CPF|JN°1278</v>
      </c>
    </row>
    <row r="1546" customFormat="false" ht="74.6" hidden="false" customHeight="false" outlineLevel="0" collapsed="false">
      <c r="A1546" s="82" t="n">
        <f aca="false">IF(C1546="","",ROW()-6)</f>
        <v>1540</v>
      </c>
      <c r="B1546" s="80" t="s">
        <v>110</v>
      </c>
      <c r="C1546" s="113" t="s">
        <v>1851</v>
      </c>
      <c r="D1546" s="82" t="str">
        <f aca="false">IF(OR(C1546="",P1546=""),"",INDEX('CARNET DE SOUDURE'!$D$7:$D$3006,P1546)&amp;"")</f>
        <v>13</v>
      </c>
      <c r="E1546" s="114" t="n">
        <f aca="false">IF(OR(C1546="",P1546=""),"",IF(INDEX('CARNET DE SOUDURE'!$U$7:$U$3006,P1546)="","",INDEX('CARNET DE SOUDURE'!$U$7:$U$3006,P1546)))</f>
        <v>46268</v>
      </c>
      <c r="F1546" s="82" t="str">
        <f aca="false">IF(OR(C1546="",P1546=""),"",INDEX('CARNET DE SOUDURE'!$AP$7:$AP$3006,P1546))</f>
        <v>A</v>
      </c>
      <c r="G1546" s="82" t="str">
        <f aca="false">IF(C1546="","",IF(P1546="","NJ INCONNU",INDEX('CARNET DE SOUDURE'!$AQ$7:$AQ$3006,P1546)))</f>
        <v>ACCEPTÉ</v>
      </c>
      <c r="H1546" s="82" t="str">
        <f aca="false">IF(C1546="","",IF(G1546="ACCEPTÉ","OUI","NON"))</f>
        <v>OUI</v>
      </c>
      <c r="I1546" s="83"/>
      <c r="J1546" s="80"/>
      <c r="K1546" s="81"/>
      <c r="L1546" s="81"/>
      <c r="M1546" s="81"/>
      <c r="N1546" s="84" t="str">
        <f aca="false">IF(C1546="","",IF(P1546="","NJ INCONNU",IF(I1546="",IF(H1546="OUI","À ENROBER",IF(G1546="À SOUDER","NON SOUDÉ","EN ATTENTE RT")),IF(L1546="R","À REPRENDRE",IF(H1546&lt;&gt;"OUI","⚠ ENROBÉ AVANT ACCEPTATION RT","ENROBÉ")))))</f>
        <v>À ENROBER</v>
      </c>
      <c r="O1546" s="80"/>
      <c r="P1546" s="82" t="n">
        <f aca="false">IF(C1546="","",IFERROR(MATCH(Q1546,'CARNET DE SOUDURE'!$AW$7:$AW$3006,0),""))</f>
        <v>1540</v>
      </c>
      <c r="Q1546" s="82" t="str">
        <f aca="false">IF(C1546="","",B1546&amp;"|"&amp;C1546)</f>
        <v>MFD-ISW → MFD-CPF|DJ°253</v>
      </c>
    </row>
    <row r="1547" customFormat="false" ht="74.6" hidden="false" customHeight="false" outlineLevel="0" collapsed="false">
      <c r="A1547" s="82" t="n">
        <f aca="false">IF(C1547="","",ROW()-6)</f>
        <v>1541</v>
      </c>
      <c r="B1547" s="80" t="s">
        <v>110</v>
      </c>
      <c r="C1547" s="113" t="s">
        <v>1852</v>
      </c>
      <c r="D1547" s="82" t="str">
        <f aca="false">IF(OR(C1547="",P1547=""),"",INDEX('CARNET DE SOUDURE'!$D$7:$D$3006,P1547)&amp;"")</f>
        <v>13</v>
      </c>
      <c r="E1547" s="114" t="n">
        <f aca="false">IF(OR(C1547="",P1547=""),"",IF(INDEX('CARNET DE SOUDURE'!$U$7:$U$3006,P1547)="","",INDEX('CARNET DE SOUDURE'!$U$7:$U$3006,P1547)))</f>
        <v>46275</v>
      </c>
      <c r="F1547" s="82" t="str">
        <f aca="false">IF(OR(C1547="",P1547=""),"",INDEX('CARNET DE SOUDURE'!$AP$7:$AP$3006,P1547))</f>
        <v>R</v>
      </c>
      <c r="G1547" s="82" t="str">
        <f aca="false">IF(C1547="","",IF(P1547="","NJ INCONNU",INDEX('CARNET DE SOUDURE'!$AQ$7:$AQ$3006,P1547)))</f>
        <v>À RÉPARER</v>
      </c>
      <c r="H1547" s="82" t="str">
        <f aca="false">IF(C1547="","",IF(G1547="ACCEPTÉ","OUI","NON"))</f>
        <v>NON</v>
      </c>
      <c r="I1547" s="83"/>
      <c r="J1547" s="80"/>
      <c r="K1547" s="81"/>
      <c r="L1547" s="81"/>
      <c r="M1547" s="81"/>
      <c r="N1547" s="84" t="str">
        <f aca="false">IF(C1547="","",IF(P1547="","NJ INCONNU",IF(I1547="",IF(H1547="OUI","À ENROBER",IF(G1547="À SOUDER","NON SOUDÉ","EN ATTENTE RT")),IF(L1547="R","À REPRENDRE",IF(H1547&lt;&gt;"OUI","⚠ ENROBÉ AVANT ACCEPTATION RT","ENROBÉ")))))</f>
        <v>EN ATTENTE RT</v>
      </c>
      <c r="O1547" s="80"/>
      <c r="P1547" s="82" t="n">
        <f aca="false">IF(C1547="","",IFERROR(MATCH(Q1547,'CARNET DE SOUDURE'!$AW$7:$AW$3006,0),""))</f>
        <v>1541</v>
      </c>
      <c r="Q1547" s="82" t="str">
        <f aca="false">IF(C1547="","",B1547&amp;"|"&amp;C1547)</f>
        <v>MFD-ISW → MFD-CPF|JN°1279</v>
      </c>
    </row>
    <row r="1548" customFormat="false" ht="74.6" hidden="false" customHeight="false" outlineLevel="0" collapsed="false">
      <c r="A1548" s="82" t="n">
        <f aca="false">IF(C1548="","",ROW()-6)</f>
        <v>1542</v>
      </c>
      <c r="B1548" s="80" t="s">
        <v>110</v>
      </c>
      <c r="C1548" s="113" t="s">
        <v>1854</v>
      </c>
      <c r="D1548" s="82" t="str">
        <f aca="false">IF(OR(C1548="",P1548=""),"",INDEX('CARNET DE SOUDURE'!$D$7:$D$3006,P1548)&amp;"")</f>
        <v>13</v>
      </c>
      <c r="E1548" s="114" t="n">
        <f aca="false">IF(OR(C1548="",P1548=""),"",IF(INDEX('CARNET DE SOUDURE'!$U$7:$U$3006,P1548)="","",INDEX('CARNET DE SOUDURE'!$U$7:$U$3006,P1548)))</f>
        <v>46268</v>
      </c>
      <c r="F1548" s="82" t="str">
        <f aca="false">IF(OR(C1548="",P1548=""),"",INDEX('CARNET DE SOUDURE'!$AP$7:$AP$3006,P1548))</f>
        <v>A</v>
      </c>
      <c r="G1548" s="82" t="str">
        <f aca="false">IF(C1548="","",IF(P1548="","NJ INCONNU",INDEX('CARNET DE SOUDURE'!$AQ$7:$AQ$3006,P1548)))</f>
        <v>ACCEPTÉ</v>
      </c>
      <c r="H1548" s="82" t="str">
        <f aca="false">IF(C1548="","",IF(G1548="ACCEPTÉ","OUI","NON"))</f>
        <v>OUI</v>
      </c>
      <c r="I1548" s="83"/>
      <c r="J1548" s="80"/>
      <c r="K1548" s="81"/>
      <c r="L1548" s="81"/>
      <c r="M1548" s="81"/>
      <c r="N1548" s="84" t="str">
        <f aca="false">IF(C1548="","",IF(P1548="","NJ INCONNU",IF(I1548="",IF(H1548="OUI","À ENROBER",IF(G1548="À SOUDER","NON SOUDÉ","EN ATTENTE RT")),IF(L1548="R","À REPRENDRE",IF(H1548&lt;&gt;"OUI","⚠ ENROBÉ AVANT ACCEPTATION RT","ENROBÉ")))))</f>
        <v>À ENROBER</v>
      </c>
      <c r="O1548" s="80"/>
      <c r="P1548" s="82" t="n">
        <f aca="false">IF(C1548="","",IFERROR(MATCH(Q1548,'CARNET DE SOUDURE'!$AW$7:$AW$3006,0),""))</f>
        <v>1542</v>
      </c>
      <c r="Q1548" s="82" t="str">
        <f aca="false">IF(C1548="","",B1548&amp;"|"&amp;C1548)</f>
        <v>MFD-ISW → MFD-CPF|DJ°263</v>
      </c>
    </row>
    <row r="1549" customFormat="false" ht="74.6" hidden="false" customHeight="false" outlineLevel="0" collapsed="false">
      <c r="A1549" s="82" t="n">
        <f aca="false">IF(C1549="","",ROW()-6)</f>
        <v>1543</v>
      </c>
      <c r="B1549" s="80" t="s">
        <v>110</v>
      </c>
      <c r="C1549" s="113" t="s">
        <v>1855</v>
      </c>
      <c r="D1549" s="82" t="str">
        <f aca="false">IF(OR(C1549="",P1549=""),"",INDEX('CARNET DE SOUDURE'!$D$7:$D$3006,P1549)&amp;"")</f>
        <v>13</v>
      </c>
      <c r="E1549" s="114" t="n">
        <f aca="false">IF(OR(C1549="",P1549=""),"",IF(INDEX('CARNET DE SOUDURE'!$U$7:$U$3006,P1549)="","",INDEX('CARNET DE SOUDURE'!$U$7:$U$3006,P1549)))</f>
        <v>46275</v>
      </c>
      <c r="F1549" s="82" t="str">
        <f aca="false">IF(OR(C1549="",P1549=""),"",INDEX('CARNET DE SOUDURE'!$AP$7:$AP$3006,P1549))</f>
        <v>A</v>
      </c>
      <c r="G1549" s="82" t="str">
        <f aca="false">IF(C1549="","",IF(P1549="","NJ INCONNU",INDEX('CARNET DE SOUDURE'!$AQ$7:$AQ$3006,P1549)))</f>
        <v>ACCEPTÉ</v>
      </c>
      <c r="H1549" s="82" t="str">
        <f aca="false">IF(C1549="","",IF(G1549="ACCEPTÉ","OUI","NON"))</f>
        <v>OUI</v>
      </c>
      <c r="I1549" s="83"/>
      <c r="J1549" s="80"/>
      <c r="K1549" s="81"/>
      <c r="L1549" s="81"/>
      <c r="M1549" s="81"/>
      <c r="N1549" s="84" t="str">
        <f aca="false">IF(C1549="","",IF(P1549="","NJ INCONNU",IF(I1549="",IF(H1549="OUI","À ENROBER",IF(G1549="À SOUDER","NON SOUDÉ","EN ATTENTE RT")),IF(L1549="R","À REPRENDRE",IF(H1549&lt;&gt;"OUI","⚠ ENROBÉ AVANT ACCEPTATION RT","ENROBÉ")))))</f>
        <v>À ENROBER</v>
      </c>
      <c r="O1549" s="80"/>
      <c r="P1549" s="82" t="n">
        <f aca="false">IF(C1549="","",IFERROR(MATCH(Q1549,'CARNET DE SOUDURE'!$AW$7:$AW$3006,0),""))</f>
        <v>1543</v>
      </c>
      <c r="Q1549" s="82" t="str">
        <f aca="false">IF(C1549="","",B1549&amp;"|"&amp;C1549)</f>
        <v>MFD-ISW → MFD-CPF|JN°1280</v>
      </c>
    </row>
    <row r="1550" customFormat="false" ht="74.6" hidden="false" customHeight="false" outlineLevel="0" collapsed="false">
      <c r="A1550" s="82" t="n">
        <f aca="false">IF(C1550="","",ROW()-6)</f>
        <v>1544</v>
      </c>
      <c r="B1550" s="80" t="s">
        <v>110</v>
      </c>
      <c r="C1550" s="113" t="s">
        <v>1856</v>
      </c>
      <c r="D1550" s="82" t="str">
        <f aca="false">IF(OR(C1550="",P1550=""),"",INDEX('CARNET DE SOUDURE'!$D$7:$D$3006,P1550)&amp;"")</f>
        <v>13</v>
      </c>
      <c r="E1550" s="114" t="n">
        <f aca="false">IF(OR(C1550="",P1550=""),"",IF(INDEX('CARNET DE SOUDURE'!$U$7:$U$3006,P1550)="","",INDEX('CARNET DE SOUDURE'!$U$7:$U$3006,P1550)))</f>
        <v>46268</v>
      </c>
      <c r="F1550" s="82" t="str">
        <f aca="false">IF(OR(C1550="",P1550=""),"",INDEX('CARNET DE SOUDURE'!$AP$7:$AP$3006,P1550))</f>
        <v>A</v>
      </c>
      <c r="G1550" s="82" t="str">
        <f aca="false">IF(C1550="","",IF(P1550="","NJ INCONNU",INDEX('CARNET DE SOUDURE'!$AQ$7:$AQ$3006,P1550)))</f>
        <v>ACCEPTÉ</v>
      </c>
      <c r="H1550" s="82" t="str">
        <f aca="false">IF(C1550="","",IF(G1550="ACCEPTÉ","OUI","NON"))</f>
        <v>OUI</v>
      </c>
      <c r="I1550" s="83"/>
      <c r="J1550" s="80"/>
      <c r="K1550" s="81"/>
      <c r="L1550" s="81"/>
      <c r="M1550" s="81"/>
      <c r="N1550" s="84" t="str">
        <f aca="false">IF(C1550="","",IF(P1550="","NJ INCONNU",IF(I1550="",IF(H1550="OUI","À ENROBER",IF(G1550="À SOUDER","NON SOUDÉ","EN ATTENTE RT")),IF(L1550="R","À REPRENDRE",IF(H1550&lt;&gt;"OUI","⚠ ENROBÉ AVANT ACCEPTATION RT","ENROBÉ")))))</f>
        <v>À ENROBER</v>
      </c>
      <c r="O1550" s="80"/>
      <c r="P1550" s="82" t="n">
        <f aca="false">IF(C1550="","",IFERROR(MATCH(Q1550,'CARNET DE SOUDURE'!$AW$7:$AW$3006,0),""))</f>
        <v>1544</v>
      </c>
      <c r="Q1550" s="82" t="str">
        <f aca="false">IF(C1550="","",B1550&amp;"|"&amp;C1550)</f>
        <v>MFD-ISW → MFD-CPF|DJ°257</v>
      </c>
    </row>
    <row r="1551" customFormat="false" ht="74.6" hidden="false" customHeight="false" outlineLevel="0" collapsed="false">
      <c r="A1551" s="82" t="n">
        <f aca="false">IF(C1551="","",ROW()-6)</f>
        <v>1545</v>
      </c>
      <c r="B1551" s="80" t="s">
        <v>110</v>
      </c>
      <c r="C1551" s="113" t="s">
        <v>1857</v>
      </c>
      <c r="D1551" s="82" t="str">
        <f aca="false">IF(OR(C1551="",P1551=""),"",INDEX('CARNET DE SOUDURE'!$D$7:$D$3006,P1551)&amp;"")</f>
        <v>13</v>
      </c>
      <c r="E1551" s="114" t="n">
        <f aca="false">IF(OR(C1551="",P1551=""),"",IF(INDEX('CARNET DE SOUDURE'!$U$7:$U$3006,P1551)="","",INDEX('CARNET DE SOUDURE'!$U$7:$U$3006,P1551)))</f>
        <v>46275</v>
      </c>
      <c r="F1551" s="82" t="str">
        <f aca="false">IF(OR(C1551="",P1551=""),"",INDEX('CARNET DE SOUDURE'!$AP$7:$AP$3006,P1551))</f>
        <v>A</v>
      </c>
      <c r="G1551" s="82" t="str">
        <f aca="false">IF(C1551="","",IF(P1551="","NJ INCONNU",INDEX('CARNET DE SOUDURE'!$AQ$7:$AQ$3006,P1551)))</f>
        <v>ACCEPTÉ</v>
      </c>
      <c r="H1551" s="82" t="str">
        <f aca="false">IF(C1551="","",IF(G1551="ACCEPTÉ","OUI","NON"))</f>
        <v>OUI</v>
      </c>
      <c r="I1551" s="83"/>
      <c r="J1551" s="80"/>
      <c r="K1551" s="81"/>
      <c r="L1551" s="81"/>
      <c r="M1551" s="81"/>
      <c r="N1551" s="84" t="str">
        <f aca="false">IF(C1551="","",IF(P1551="","NJ INCONNU",IF(I1551="",IF(H1551="OUI","À ENROBER",IF(G1551="À SOUDER","NON SOUDÉ","EN ATTENTE RT")),IF(L1551="R","À REPRENDRE",IF(H1551&lt;&gt;"OUI","⚠ ENROBÉ AVANT ACCEPTATION RT","ENROBÉ")))))</f>
        <v>À ENROBER</v>
      </c>
      <c r="O1551" s="80"/>
      <c r="P1551" s="82" t="n">
        <f aca="false">IF(C1551="","",IFERROR(MATCH(Q1551,'CARNET DE SOUDURE'!$AW$7:$AW$3006,0),""))</f>
        <v>1545</v>
      </c>
      <c r="Q1551" s="82" t="str">
        <f aca="false">IF(C1551="","",B1551&amp;"|"&amp;C1551)</f>
        <v>MFD-ISW → MFD-CPF|JN°1281</v>
      </c>
    </row>
    <row r="1552" customFormat="false" ht="74.6" hidden="false" customHeight="false" outlineLevel="0" collapsed="false">
      <c r="A1552" s="82" t="n">
        <f aca="false">IF(C1552="","",ROW()-6)</f>
        <v>1546</v>
      </c>
      <c r="B1552" s="80" t="s">
        <v>110</v>
      </c>
      <c r="C1552" s="113" t="s">
        <v>1859</v>
      </c>
      <c r="D1552" s="82" t="str">
        <f aca="false">IF(OR(C1552="",P1552=""),"",INDEX('CARNET DE SOUDURE'!$D$7:$D$3006,P1552)&amp;"")</f>
        <v>13</v>
      </c>
      <c r="E1552" s="114" t="n">
        <f aca="false">IF(OR(C1552="",P1552=""),"",IF(INDEX('CARNET DE SOUDURE'!$U$7:$U$3006,P1552)="","",INDEX('CARNET DE SOUDURE'!$U$7:$U$3006,P1552)))</f>
        <v>46268</v>
      </c>
      <c r="F1552" s="82" t="str">
        <f aca="false">IF(OR(C1552="",P1552=""),"",INDEX('CARNET DE SOUDURE'!$AP$7:$AP$3006,P1552))</f>
        <v>A</v>
      </c>
      <c r="G1552" s="82" t="str">
        <f aca="false">IF(C1552="","",IF(P1552="","NJ INCONNU",INDEX('CARNET DE SOUDURE'!$AQ$7:$AQ$3006,P1552)))</f>
        <v>ACCEPTÉ</v>
      </c>
      <c r="H1552" s="82" t="str">
        <f aca="false">IF(C1552="","",IF(G1552="ACCEPTÉ","OUI","NON"))</f>
        <v>OUI</v>
      </c>
      <c r="I1552" s="83"/>
      <c r="J1552" s="80"/>
      <c r="K1552" s="81"/>
      <c r="L1552" s="81"/>
      <c r="M1552" s="81"/>
      <c r="N1552" s="84" t="str">
        <f aca="false">IF(C1552="","",IF(P1552="","NJ INCONNU",IF(I1552="",IF(H1552="OUI","À ENROBER",IF(G1552="À SOUDER","NON SOUDÉ","EN ATTENTE RT")),IF(L1552="R","À REPRENDRE",IF(H1552&lt;&gt;"OUI","⚠ ENROBÉ AVANT ACCEPTATION RT","ENROBÉ")))))</f>
        <v>À ENROBER</v>
      </c>
      <c r="O1552" s="80"/>
      <c r="P1552" s="82" t="n">
        <f aca="false">IF(C1552="","",IFERROR(MATCH(Q1552,'CARNET DE SOUDURE'!$AW$7:$AW$3006,0),""))</f>
        <v>1546</v>
      </c>
      <c r="Q1552" s="82" t="str">
        <f aca="false">IF(C1552="","",B1552&amp;"|"&amp;C1552)</f>
        <v>MFD-ISW → MFD-CPF|DJ°254</v>
      </c>
    </row>
    <row r="1553" customFormat="false" ht="74.6" hidden="false" customHeight="false" outlineLevel="0" collapsed="false">
      <c r="A1553" s="82" t="n">
        <f aca="false">IF(C1553="","",ROW()-6)</f>
        <v>1547</v>
      </c>
      <c r="B1553" s="80" t="s">
        <v>110</v>
      </c>
      <c r="C1553" s="113" t="s">
        <v>1860</v>
      </c>
      <c r="D1553" s="82" t="str">
        <f aca="false">IF(OR(C1553="",P1553=""),"",INDEX('CARNET DE SOUDURE'!$D$7:$D$3006,P1553)&amp;"")</f>
        <v>13</v>
      </c>
      <c r="E1553" s="114" t="n">
        <f aca="false">IF(OR(C1553="",P1553=""),"",IF(INDEX('CARNET DE SOUDURE'!$U$7:$U$3006,P1553)="","",INDEX('CARNET DE SOUDURE'!$U$7:$U$3006,P1553)))</f>
        <v>46292</v>
      </c>
      <c r="F1553" s="82" t="str">
        <f aca="false">IF(OR(C1553="",P1553=""),"",INDEX('CARNET DE SOUDURE'!$AP$7:$AP$3006,P1553))</f>
        <v/>
      </c>
      <c r="G1553" s="82" t="str">
        <f aca="false">IF(C1553="","",IF(P1553="","NJ INCONNU",INDEX('CARNET DE SOUDURE'!$AQ$7:$AQ$3006,P1553)))</f>
        <v>À RADIOGRAPHIER</v>
      </c>
      <c r="H1553" s="82" t="str">
        <f aca="false">IF(C1553="","",IF(G1553="ACCEPTÉ","OUI","NON"))</f>
        <v>NON</v>
      </c>
      <c r="I1553" s="83"/>
      <c r="J1553" s="80"/>
      <c r="K1553" s="81"/>
      <c r="L1553" s="81"/>
      <c r="M1553" s="81"/>
      <c r="N1553" s="84" t="str">
        <f aca="false">IF(C1553="","",IF(P1553="","NJ INCONNU",IF(I1553="",IF(H1553="OUI","À ENROBER",IF(G1553="À SOUDER","NON SOUDÉ","EN ATTENTE RT")),IF(L1553="R","À REPRENDRE",IF(H1553&lt;&gt;"OUI","⚠ ENROBÉ AVANT ACCEPTATION RT","ENROBÉ")))))</f>
        <v>EN ATTENTE RT</v>
      </c>
      <c r="O1553" s="80"/>
      <c r="P1553" s="82" t="n">
        <f aca="false">IF(C1553="","",IFERROR(MATCH(Q1553,'CARNET DE SOUDURE'!$AW$7:$AW$3006,0),""))</f>
        <v>1547</v>
      </c>
      <c r="Q1553" s="82" t="str">
        <f aca="false">IF(C1553="","",B1553&amp;"|"&amp;C1553)</f>
        <v>MFD-ISW → MFD-CPF|JN°1282R</v>
      </c>
    </row>
    <row r="1554" customFormat="false" ht="74.6" hidden="false" customHeight="false" outlineLevel="0" collapsed="false">
      <c r="A1554" s="82" t="n">
        <f aca="false">IF(C1554="","",ROW()-6)</f>
        <v>1548</v>
      </c>
      <c r="B1554" s="80" t="s">
        <v>110</v>
      </c>
      <c r="C1554" s="113" t="s">
        <v>1864</v>
      </c>
      <c r="D1554" s="82" t="str">
        <f aca="false">IF(OR(C1554="",P1554=""),"",INDEX('CARNET DE SOUDURE'!$D$7:$D$3006,P1554)&amp;"")</f>
        <v>13</v>
      </c>
      <c r="E1554" s="114" t="n">
        <f aca="false">IF(OR(C1554="",P1554=""),"",IF(INDEX('CARNET DE SOUDURE'!$U$7:$U$3006,P1554)="","",INDEX('CARNET DE SOUDURE'!$U$7:$U$3006,P1554)))</f>
        <v>46268</v>
      </c>
      <c r="F1554" s="82" t="str">
        <f aca="false">IF(OR(C1554="",P1554=""),"",INDEX('CARNET DE SOUDURE'!$AP$7:$AP$3006,P1554))</f>
        <v>A</v>
      </c>
      <c r="G1554" s="82" t="str">
        <f aca="false">IF(C1554="","",IF(P1554="","NJ INCONNU",INDEX('CARNET DE SOUDURE'!$AQ$7:$AQ$3006,P1554)))</f>
        <v>ACCEPTÉ</v>
      </c>
      <c r="H1554" s="82" t="str">
        <f aca="false">IF(C1554="","",IF(G1554="ACCEPTÉ","OUI","NON"))</f>
        <v>OUI</v>
      </c>
      <c r="I1554" s="83"/>
      <c r="J1554" s="80"/>
      <c r="K1554" s="81"/>
      <c r="L1554" s="81"/>
      <c r="M1554" s="81"/>
      <c r="N1554" s="84" t="str">
        <f aca="false">IF(C1554="","",IF(P1554="","NJ INCONNU",IF(I1554="",IF(H1554="OUI","À ENROBER",IF(G1554="À SOUDER","NON SOUDÉ","EN ATTENTE RT")),IF(L1554="R","À REPRENDRE",IF(H1554&lt;&gt;"OUI","⚠ ENROBÉ AVANT ACCEPTATION RT","ENROBÉ")))))</f>
        <v>À ENROBER</v>
      </c>
      <c r="O1554" s="80"/>
      <c r="P1554" s="82" t="n">
        <f aca="false">IF(C1554="","",IFERROR(MATCH(Q1554,'CARNET DE SOUDURE'!$AW$7:$AW$3006,0),""))</f>
        <v>1548</v>
      </c>
      <c r="Q1554" s="82" t="str">
        <f aca="false">IF(C1554="","",B1554&amp;"|"&amp;C1554)</f>
        <v>MFD-ISW → MFD-CPF|DJ°265</v>
      </c>
    </row>
    <row r="1555" customFormat="false" ht="74.6" hidden="false" customHeight="false" outlineLevel="0" collapsed="false">
      <c r="A1555" s="82" t="n">
        <f aca="false">IF(C1555="","",ROW()-6)</f>
        <v>1549</v>
      </c>
      <c r="B1555" s="80" t="s">
        <v>110</v>
      </c>
      <c r="C1555" s="113" t="s">
        <v>1865</v>
      </c>
      <c r="D1555" s="82" t="str">
        <f aca="false">IF(OR(C1555="",P1555=""),"",INDEX('CARNET DE SOUDURE'!$D$7:$D$3006,P1555)&amp;"")</f>
        <v>13</v>
      </c>
      <c r="E1555" s="114" t="n">
        <f aca="false">IF(OR(C1555="",P1555=""),"",IF(INDEX('CARNET DE SOUDURE'!$U$7:$U$3006,P1555)="","",INDEX('CARNET DE SOUDURE'!$U$7:$U$3006,P1555)))</f>
        <v>46275</v>
      </c>
      <c r="F1555" s="82" t="str">
        <f aca="false">IF(OR(C1555="",P1555=""),"",INDEX('CARNET DE SOUDURE'!$AP$7:$AP$3006,P1555))</f>
        <v>A</v>
      </c>
      <c r="G1555" s="82" t="str">
        <f aca="false">IF(C1555="","",IF(P1555="","NJ INCONNU",INDEX('CARNET DE SOUDURE'!$AQ$7:$AQ$3006,P1555)))</f>
        <v>ACCEPTÉ</v>
      </c>
      <c r="H1555" s="82" t="str">
        <f aca="false">IF(C1555="","",IF(G1555="ACCEPTÉ","OUI","NON"))</f>
        <v>OUI</v>
      </c>
      <c r="I1555" s="83"/>
      <c r="J1555" s="80"/>
      <c r="K1555" s="81"/>
      <c r="L1555" s="81"/>
      <c r="M1555" s="81"/>
      <c r="N1555" s="84" t="str">
        <f aca="false">IF(C1555="","",IF(P1555="","NJ INCONNU",IF(I1555="",IF(H1555="OUI","À ENROBER",IF(G1555="À SOUDER","NON SOUDÉ","EN ATTENTE RT")),IF(L1555="R","À REPRENDRE",IF(H1555&lt;&gt;"OUI","⚠ ENROBÉ AVANT ACCEPTATION RT","ENROBÉ")))))</f>
        <v>À ENROBER</v>
      </c>
      <c r="O1555" s="80"/>
      <c r="P1555" s="82" t="n">
        <f aca="false">IF(C1555="","",IFERROR(MATCH(Q1555,'CARNET DE SOUDURE'!$AW$7:$AW$3006,0),""))</f>
        <v>1549</v>
      </c>
      <c r="Q1555" s="82" t="str">
        <f aca="false">IF(C1555="","",B1555&amp;"|"&amp;C1555)</f>
        <v>MFD-ISW → MFD-CPF|JN°1283</v>
      </c>
    </row>
    <row r="1556" customFormat="false" ht="74.6" hidden="false" customHeight="false" outlineLevel="0" collapsed="false">
      <c r="A1556" s="82" t="n">
        <f aca="false">IF(C1556="","",ROW()-6)</f>
        <v>1550</v>
      </c>
      <c r="B1556" s="80" t="s">
        <v>110</v>
      </c>
      <c r="C1556" s="113" t="s">
        <v>1866</v>
      </c>
      <c r="D1556" s="82" t="str">
        <f aca="false">IF(OR(C1556="",P1556=""),"",INDEX('CARNET DE SOUDURE'!$D$7:$D$3006,P1556)&amp;"")</f>
        <v>13</v>
      </c>
      <c r="E1556" s="114" t="n">
        <f aca="false">IF(OR(C1556="",P1556=""),"",IF(INDEX('CARNET DE SOUDURE'!$U$7:$U$3006,P1556)="","",INDEX('CARNET DE SOUDURE'!$U$7:$U$3006,P1556)))</f>
        <v>46268</v>
      </c>
      <c r="F1556" s="82" t="str">
        <f aca="false">IF(OR(C1556="",P1556=""),"",INDEX('CARNET DE SOUDURE'!$AP$7:$AP$3006,P1556))</f>
        <v>A</v>
      </c>
      <c r="G1556" s="82" t="str">
        <f aca="false">IF(C1556="","",IF(P1556="","NJ INCONNU",INDEX('CARNET DE SOUDURE'!$AQ$7:$AQ$3006,P1556)))</f>
        <v>ACCEPTÉ</v>
      </c>
      <c r="H1556" s="82" t="str">
        <f aca="false">IF(C1556="","",IF(G1556="ACCEPTÉ","OUI","NON"))</f>
        <v>OUI</v>
      </c>
      <c r="I1556" s="83"/>
      <c r="J1556" s="80"/>
      <c r="K1556" s="81"/>
      <c r="L1556" s="81"/>
      <c r="M1556" s="81"/>
      <c r="N1556" s="84" t="str">
        <f aca="false">IF(C1556="","",IF(P1556="","NJ INCONNU",IF(I1556="",IF(H1556="OUI","À ENROBER",IF(G1556="À SOUDER","NON SOUDÉ","EN ATTENTE RT")),IF(L1556="R","À REPRENDRE",IF(H1556&lt;&gt;"OUI","⚠ ENROBÉ AVANT ACCEPTATION RT","ENROBÉ")))))</f>
        <v>À ENROBER</v>
      </c>
      <c r="O1556" s="80"/>
      <c r="P1556" s="82" t="n">
        <f aca="false">IF(C1556="","",IFERROR(MATCH(Q1556,'CARNET DE SOUDURE'!$AW$7:$AW$3006,0),""))</f>
        <v>1550</v>
      </c>
      <c r="Q1556" s="82" t="str">
        <f aca="false">IF(C1556="","",B1556&amp;"|"&amp;C1556)</f>
        <v>MFD-ISW → MFD-CPF|DJ°264</v>
      </c>
    </row>
    <row r="1557" customFormat="false" ht="74.6" hidden="false" customHeight="false" outlineLevel="0" collapsed="false">
      <c r="A1557" s="82" t="n">
        <f aca="false">IF(C1557="","",ROW()-6)</f>
        <v>1551</v>
      </c>
      <c r="B1557" s="80" t="s">
        <v>110</v>
      </c>
      <c r="C1557" s="113" t="s">
        <v>1867</v>
      </c>
      <c r="D1557" s="82" t="str">
        <f aca="false">IF(OR(C1557="",P1557=""),"",INDEX('CARNET DE SOUDURE'!$D$7:$D$3006,P1557)&amp;"")</f>
        <v>13</v>
      </c>
      <c r="E1557" s="114" t="n">
        <f aca="false">IF(OR(C1557="",P1557=""),"",IF(INDEX('CARNET DE SOUDURE'!$U$7:$U$3006,P1557)="","",INDEX('CARNET DE SOUDURE'!$U$7:$U$3006,P1557)))</f>
        <v>46292</v>
      </c>
      <c r="F1557" s="82" t="str">
        <f aca="false">IF(OR(C1557="",P1557=""),"",INDEX('CARNET DE SOUDURE'!$AP$7:$AP$3006,P1557))</f>
        <v/>
      </c>
      <c r="G1557" s="82" t="str">
        <f aca="false">IF(C1557="","",IF(P1557="","NJ INCONNU",INDEX('CARNET DE SOUDURE'!$AQ$7:$AQ$3006,P1557)))</f>
        <v>À RADIOGRAPHIER</v>
      </c>
      <c r="H1557" s="82" t="str">
        <f aca="false">IF(C1557="","",IF(G1557="ACCEPTÉ","OUI","NON"))</f>
        <v>NON</v>
      </c>
      <c r="I1557" s="83"/>
      <c r="J1557" s="80"/>
      <c r="K1557" s="81"/>
      <c r="L1557" s="81"/>
      <c r="M1557" s="81"/>
      <c r="N1557" s="84" t="str">
        <f aca="false">IF(C1557="","",IF(P1557="","NJ INCONNU",IF(I1557="",IF(H1557="OUI","À ENROBER",IF(G1557="À SOUDER","NON SOUDÉ","EN ATTENTE RT")),IF(L1557="R","À REPRENDRE",IF(H1557&lt;&gt;"OUI","⚠ ENROBÉ AVANT ACCEPTATION RT","ENROBÉ")))))</f>
        <v>EN ATTENTE RT</v>
      </c>
      <c r="O1557" s="80"/>
      <c r="P1557" s="82" t="n">
        <f aca="false">IF(C1557="","",IFERROR(MATCH(Q1557,'CARNET DE SOUDURE'!$AW$7:$AW$3006,0),""))</f>
        <v>1551</v>
      </c>
      <c r="Q1557" s="82" t="str">
        <f aca="false">IF(C1557="","",B1557&amp;"|"&amp;C1557)</f>
        <v>MFD-ISW → MFD-CPF|JN°1284R</v>
      </c>
    </row>
    <row r="1558" customFormat="false" ht="74.6" hidden="false" customHeight="false" outlineLevel="0" collapsed="false">
      <c r="A1558" s="82" t="n">
        <f aca="false">IF(C1558="","",ROW()-6)</f>
        <v>1552</v>
      </c>
      <c r="B1558" s="80" t="s">
        <v>110</v>
      </c>
      <c r="C1558" s="113" t="s">
        <v>1869</v>
      </c>
      <c r="D1558" s="82" t="str">
        <f aca="false">IF(OR(C1558="",P1558=""),"",INDEX('CARNET DE SOUDURE'!$D$7:$D$3006,P1558)&amp;"")</f>
        <v>13</v>
      </c>
      <c r="E1558" s="114" t="n">
        <f aca="false">IF(OR(C1558="",P1558=""),"",IF(INDEX('CARNET DE SOUDURE'!$U$7:$U$3006,P1558)="","",INDEX('CARNET DE SOUDURE'!$U$7:$U$3006,P1558)))</f>
        <v>46267</v>
      </c>
      <c r="F1558" s="82" t="str">
        <f aca="false">IF(OR(C1558="",P1558=""),"",INDEX('CARNET DE SOUDURE'!$AP$7:$AP$3006,P1558))</f>
        <v>A</v>
      </c>
      <c r="G1558" s="82" t="str">
        <f aca="false">IF(C1558="","",IF(P1558="","NJ INCONNU",INDEX('CARNET DE SOUDURE'!$AQ$7:$AQ$3006,P1558)))</f>
        <v>ACCEPTÉ</v>
      </c>
      <c r="H1558" s="82" t="str">
        <f aca="false">IF(C1558="","",IF(G1558="ACCEPTÉ","OUI","NON"))</f>
        <v>OUI</v>
      </c>
      <c r="I1558" s="83"/>
      <c r="J1558" s="80"/>
      <c r="K1558" s="81"/>
      <c r="L1558" s="81"/>
      <c r="M1558" s="81"/>
      <c r="N1558" s="84" t="str">
        <f aca="false">IF(C1558="","",IF(P1558="","NJ INCONNU",IF(I1558="",IF(H1558="OUI","À ENROBER",IF(G1558="À SOUDER","NON SOUDÉ","EN ATTENTE RT")),IF(L1558="R","À REPRENDRE",IF(H1558&lt;&gt;"OUI","⚠ ENROBÉ AVANT ACCEPTATION RT","ENROBÉ")))))</f>
        <v>À ENROBER</v>
      </c>
      <c r="O1558" s="80"/>
      <c r="P1558" s="82" t="n">
        <f aca="false">IF(C1558="","",IFERROR(MATCH(Q1558,'CARNET DE SOUDURE'!$AW$7:$AW$3006,0),""))</f>
        <v>1552</v>
      </c>
      <c r="Q1558" s="82" t="str">
        <f aca="false">IF(C1558="","",B1558&amp;"|"&amp;C1558)</f>
        <v>MFD-ISW → MFD-CPF|DJ°238</v>
      </c>
    </row>
    <row r="1559" customFormat="false" ht="74.6" hidden="false" customHeight="false" outlineLevel="0" collapsed="false">
      <c r="A1559" s="82" t="n">
        <f aca="false">IF(C1559="","",ROW()-6)</f>
        <v>1553</v>
      </c>
      <c r="B1559" s="80" t="s">
        <v>110</v>
      </c>
      <c r="C1559" s="113" t="s">
        <v>1870</v>
      </c>
      <c r="D1559" s="82" t="str">
        <f aca="false">IF(OR(C1559="",P1559=""),"",INDEX('CARNET DE SOUDURE'!$D$7:$D$3006,P1559)&amp;"")</f>
        <v>13</v>
      </c>
      <c r="E1559" s="114" t="n">
        <f aca="false">IF(OR(C1559="",P1559=""),"",IF(INDEX('CARNET DE SOUDURE'!$U$7:$U$3006,P1559)="","",INDEX('CARNET DE SOUDURE'!$U$7:$U$3006,P1559)))</f>
        <v>46275</v>
      </c>
      <c r="F1559" s="82" t="str">
        <f aca="false">IF(OR(C1559="",P1559=""),"",INDEX('CARNET DE SOUDURE'!$AP$7:$AP$3006,P1559))</f>
        <v>A</v>
      </c>
      <c r="G1559" s="82" t="str">
        <f aca="false">IF(C1559="","",IF(P1559="","NJ INCONNU",INDEX('CARNET DE SOUDURE'!$AQ$7:$AQ$3006,P1559)))</f>
        <v>ACCEPTÉ</v>
      </c>
      <c r="H1559" s="82" t="str">
        <f aca="false">IF(C1559="","",IF(G1559="ACCEPTÉ","OUI","NON"))</f>
        <v>OUI</v>
      </c>
      <c r="I1559" s="83"/>
      <c r="J1559" s="80"/>
      <c r="K1559" s="81"/>
      <c r="L1559" s="81"/>
      <c r="M1559" s="81"/>
      <c r="N1559" s="84" t="str">
        <f aca="false">IF(C1559="","",IF(P1559="","NJ INCONNU",IF(I1559="",IF(H1559="OUI","À ENROBER",IF(G1559="À SOUDER","NON SOUDÉ","EN ATTENTE RT")),IF(L1559="R","À REPRENDRE",IF(H1559&lt;&gt;"OUI","⚠ ENROBÉ AVANT ACCEPTATION RT","ENROBÉ")))))</f>
        <v>À ENROBER</v>
      </c>
      <c r="O1559" s="80"/>
      <c r="P1559" s="82" t="n">
        <f aca="false">IF(C1559="","",IFERROR(MATCH(Q1559,'CARNET DE SOUDURE'!$AW$7:$AW$3006,0),""))</f>
        <v>1553</v>
      </c>
      <c r="Q1559" s="82" t="str">
        <f aca="false">IF(C1559="","",B1559&amp;"|"&amp;C1559)</f>
        <v>MFD-ISW → MFD-CPF|JN°1285</v>
      </c>
    </row>
    <row r="1560" customFormat="false" ht="74.6" hidden="false" customHeight="false" outlineLevel="0" collapsed="false">
      <c r="A1560" s="82" t="n">
        <f aca="false">IF(C1560="","",ROW()-6)</f>
        <v>1554</v>
      </c>
      <c r="B1560" s="80" t="s">
        <v>110</v>
      </c>
      <c r="C1560" s="113" t="s">
        <v>1871</v>
      </c>
      <c r="D1560" s="82" t="str">
        <f aca="false">IF(OR(C1560="",P1560=""),"",INDEX('CARNET DE SOUDURE'!$D$7:$D$3006,P1560)&amp;"")</f>
        <v>13</v>
      </c>
      <c r="E1560" s="114" t="n">
        <f aca="false">IF(OR(C1560="",P1560=""),"",IF(INDEX('CARNET DE SOUDURE'!$U$7:$U$3006,P1560)="","",INDEX('CARNET DE SOUDURE'!$U$7:$U$3006,P1560)))</f>
        <v>46267</v>
      </c>
      <c r="F1560" s="82" t="str">
        <f aca="false">IF(OR(C1560="",P1560=""),"",INDEX('CARNET DE SOUDURE'!$AP$7:$AP$3006,P1560))</f>
        <v>A</v>
      </c>
      <c r="G1560" s="82" t="str">
        <f aca="false">IF(C1560="","",IF(P1560="","NJ INCONNU",INDEX('CARNET DE SOUDURE'!$AQ$7:$AQ$3006,P1560)))</f>
        <v>ACCEPTÉ</v>
      </c>
      <c r="H1560" s="82" t="str">
        <f aca="false">IF(C1560="","",IF(G1560="ACCEPTÉ","OUI","NON"))</f>
        <v>OUI</v>
      </c>
      <c r="I1560" s="83"/>
      <c r="J1560" s="80"/>
      <c r="K1560" s="81"/>
      <c r="L1560" s="81"/>
      <c r="M1560" s="81"/>
      <c r="N1560" s="84" t="str">
        <f aca="false">IF(C1560="","",IF(P1560="","NJ INCONNU",IF(I1560="",IF(H1560="OUI","À ENROBER",IF(G1560="À SOUDER","NON SOUDÉ","EN ATTENTE RT")),IF(L1560="R","À REPRENDRE",IF(H1560&lt;&gt;"OUI","⚠ ENROBÉ AVANT ACCEPTATION RT","ENROBÉ")))))</f>
        <v>À ENROBER</v>
      </c>
      <c r="O1560" s="80"/>
      <c r="P1560" s="82" t="n">
        <f aca="false">IF(C1560="","",IFERROR(MATCH(Q1560,'CARNET DE SOUDURE'!$AW$7:$AW$3006,0),""))</f>
        <v>1554</v>
      </c>
      <c r="Q1560" s="82" t="str">
        <f aca="false">IF(C1560="","",B1560&amp;"|"&amp;C1560)</f>
        <v>MFD-ISW → MFD-CPF|DJ°249</v>
      </c>
    </row>
    <row r="1561" customFormat="false" ht="74.6" hidden="false" customHeight="false" outlineLevel="0" collapsed="false">
      <c r="A1561" s="82" t="n">
        <f aca="false">IF(C1561="","",ROW()-6)</f>
        <v>1555</v>
      </c>
      <c r="B1561" s="80" t="s">
        <v>110</v>
      </c>
      <c r="C1561" s="113" t="s">
        <v>1872</v>
      </c>
      <c r="D1561" s="82" t="str">
        <f aca="false">IF(OR(C1561="",P1561=""),"",INDEX('CARNET DE SOUDURE'!$D$7:$D$3006,P1561)&amp;"")</f>
        <v>13</v>
      </c>
      <c r="E1561" s="114" t="n">
        <f aca="false">IF(OR(C1561="",P1561=""),"",IF(INDEX('CARNET DE SOUDURE'!$U$7:$U$3006,P1561)="","",INDEX('CARNET DE SOUDURE'!$U$7:$U$3006,P1561)))</f>
        <v>46275</v>
      </c>
      <c r="F1561" s="82" t="str">
        <f aca="false">IF(OR(C1561="",P1561=""),"",INDEX('CARNET DE SOUDURE'!$AP$7:$AP$3006,P1561))</f>
        <v>A</v>
      </c>
      <c r="G1561" s="82" t="str">
        <f aca="false">IF(C1561="","",IF(P1561="","NJ INCONNU",INDEX('CARNET DE SOUDURE'!$AQ$7:$AQ$3006,P1561)))</f>
        <v>ACCEPTÉ</v>
      </c>
      <c r="H1561" s="82" t="str">
        <f aca="false">IF(C1561="","",IF(G1561="ACCEPTÉ","OUI","NON"))</f>
        <v>OUI</v>
      </c>
      <c r="I1561" s="83"/>
      <c r="J1561" s="80"/>
      <c r="K1561" s="81"/>
      <c r="L1561" s="81"/>
      <c r="M1561" s="81"/>
      <c r="N1561" s="84" t="str">
        <f aca="false">IF(C1561="","",IF(P1561="","NJ INCONNU",IF(I1561="",IF(H1561="OUI","À ENROBER",IF(G1561="À SOUDER","NON SOUDÉ","EN ATTENTE RT")),IF(L1561="R","À REPRENDRE",IF(H1561&lt;&gt;"OUI","⚠ ENROBÉ AVANT ACCEPTATION RT","ENROBÉ")))))</f>
        <v>À ENROBER</v>
      </c>
      <c r="O1561" s="80"/>
      <c r="P1561" s="82" t="n">
        <f aca="false">IF(C1561="","",IFERROR(MATCH(Q1561,'CARNET DE SOUDURE'!$AW$7:$AW$3006,0),""))</f>
        <v>1555</v>
      </c>
      <c r="Q1561" s="82" t="str">
        <f aca="false">IF(C1561="","",B1561&amp;"|"&amp;C1561)</f>
        <v>MFD-ISW → MFD-CPF|JN°1286</v>
      </c>
    </row>
    <row r="1562" customFormat="false" ht="74.6" hidden="false" customHeight="false" outlineLevel="0" collapsed="false">
      <c r="A1562" s="82" t="n">
        <f aca="false">IF(C1562="","",ROW()-6)</f>
        <v>1556</v>
      </c>
      <c r="B1562" s="80" t="s">
        <v>110</v>
      </c>
      <c r="C1562" s="113" t="s">
        <v>1873</v>
      </c>
      <c r="D1562" s="82" t="str">
        <f aca="false">IF(OR(C1562="",P1562=""),"",INDEX('CARNET DE SOUDURE'!$D$7:$D$3006,P1562)&amp;"")</f>
        <v>13</v>
      </c>
      <c r="E1562" s="114" t="n">
        <f aca="false">IF(OR(C1562="",P1562=""),"",IF(INDEX('CARNET DE SOUDURE'!$U$7:$U$3006,P1562)="","",INDEX('CARNET DE SOUDURE'!$U$7:$U$3006,P1562)))</f>
        <v>46267</v>
      </c>
      <c r="F1562" s="82" t="str">
        <f aca="false">IF(OR(C1562="",P1562=""),"",INDEX('CARNET DE SOUDURE'!$AP$7:$AP$3006,P1562))</f>
        <v>A</v>
      </c>
      <c r="G1562" s="82" t="str">
        <f aca="false">IF(C1562="","",IF(P1562="","NJ INCONNU",INDEX('CARNET DE SOUDURE'!$AQ$7:$AQ$3006,P1562)))</f>
        <v>ACCEPTÉ</v>
      </c>
      <c r="H1562" s="82" t="str">
        <f aca="false">IF(C1562="","",IF(G1562="ACCEPTÉ","OUI","NON"))</f>
        <v>OUI</v>
      </c>
      <c r="I1562" s="83"/>
      <c r="J1562" s="80"/>
      <c r="K1562" s="81"/>
      <c r="L1562" s="81"/>
      <c r="M1562" s="81"/>
      <c r="N1562" s="84" t="str">
        <f aca="false">IF(C1562="","",IF(P1562="","NJ INCONNU",IF(I1562="",IF(H1562="OUI","À ENROBER",IF(G1562="À SOUDER","NON SOUDÉ","EN ATTENTE RT")),IF(L1562="R","À REPRENDRE",IF(H1562&lt;&gt;"OUI","⚠ ENROBÉ AVANT ACCEPTATION RT","ENROBÉ")))))</f>
        <v>À ENROBER</v>
      </c>
      <c r="O1562" s="80"/>
      <c r="P1562" s="82" t="n">
        <f aca="false">IF(C1562="","",IFERROR(MATCH(Q1562,'CARNET DE SOUDURE'!$AW$7:$AW$3006,0),""))</f>
        <v>1556</v>
      </c>
      <c r="Q1562" s="82" t="str">
        <f aca="false">IF(C1562="","",B1562&amp;"|"&amp;C1562)</f>
        <v>MFD-ISW → MFD-CPF|DJ°243</v>
      </c>
    </row>
    <row r="1563" customFormat="false" ht="74.6" hidden="false" customHeight="false" outlineLevel="0" collapsed="false">
      <c r="A1563" s="82" t="n">
        <f aca="false">IF(C1563="","",ROW()-6)</f>
        <v>1557</v>
      </c>
      <c r="B1563" s="80" t="s">
        <v>110</v>
      </c>
      <c r="C1563" s="113" t="s">
        <v>1874</v>
      </c>
      <c r="D1563" s="82" t="str">
        <f aca="false">IF(OR(C1563="",P1563=""),"",INDEX('CARNET DE SOUDURE'!$D$7:$D$3006,P1563)&amp;"")</f>
        <v>13</v>
      </c>
      <c r="E1563" s="114" t="n">
        <f aca="false">IF(OR(C1563="",P1563=""),"",IF(INDEX('CARNET DE SOUDURE'!$U$7:$U$3006,P1563)="","",INDEX('CARNET DE SOUDURE'!$U$7:$U$3006,P1563)))</f>
        <v>46275</v>
      </c>
      <c r="F1563" s="82" t="str">
        <f aca="false">IF(OR(C1563="",P1563=""),"",INDEX('CARNET DE SOUDURE'!$AP$7:$AP$3006,P1563))</f>
        <v>A</v>
      </c>
      <c r="G1563" s="82" t="str">
        <f aca="false">IF(C1563="","",IF(P1563="","NJ INCONNU",INDEX('CARNET DE SOUDURE'!$AQ$7:$AQ$3006,P1563)))</f>
        <v>ACCEPTÉ</v>
      </c>
      <c r="H1563" s="82" t="str">
        <f aca="false">IF(C1563="","",IF(G1563="ACCEPTÉ","OUI","NON"))</f>
        <v>OUI</v>
      </c>
      <c r="I1563" s="83"/>
      <c r="J1563" s="80"/>
      <c r="K1563" s="81"/>
      <c r="L1563" s="81"/>
      <c r="M1563" s="81"/>
      <c r="N1563" s="84" t="str">
        <f aca="false">IF(C1563="","",IF(P1563="","NJ INCONNU",IF(I1563="",IF(H1563="OUI","À ENROBER",IF(G1563="À SOUDER","NON SOUDÉ","EN ATTENTE RT")),IF(L1563="R","À REPRENDRE",IF(H1563&lt;&gt;"OUI","⚠ ENROBÉ AVANT ACCEPTATION RT","ENROBÉ")))))</f>
        <v>À ENROBER</v>
      </c>
      <c r="O1563" s="80"/>
      <c r="P1563" s="82" t="n">
        <f aca="false">IF(C1563="","",IFERROR(MATCH(Q1563,'CARNET DE SOUDURE'!$AW$7:$AW$3006,0),""))</f>
        <v>1557</v>
      </c>
      <c r="Q1563" s="82" t="str">
        <f aca="false">IF(C1563="","",B1563&amp;"|"&amp;C1563)</f>
        <v>MFD-ISW → MFD-CPF|JN°1287</v>
      </c>
    </row>
    <row r="1564" customFormat="false" ht="74.6" hidden="false" customHeight="false" outlineLevel="0" collapsed="false">
      <c r="A1564" s="82" t="n">
        <f aca="false">IF(C1564="","",ROW()-6)</f>
        <v>1558</v>
      </c>
      <c r="B1564" s="80" t="s">
        <v>110</v>
      </c>
      <c r="C1564" s="113" t="s">
        <v>1876</v>
      </c>
      <c r="D1564" s="82" t="str">
        <f aca="false">IF(OR(C1564="",P1564=""),"",INDEX('CARNET DE SOUDURE'!$D$7:$D$3006,P1564)&amp;"")</f>
        <v>13</v>
      </c>
      <c r="E1564" s="114" t="n">
        <f aca="false">IF(OR(C1564="",P1564=""),"",IF(INDEX('CARNET DE SOUDURE'!$U$7:$U$3006,P1564)="","",INDEX('CARNET DE SOUDURE'!$U$7:$U$3006,P1564)))</f>
        <v>46267</v>
      </c>
      <c r="F1564" s="82" t="str">
        <f aca="false">IF(OR(C1564="",P1564=""),"",INDEX('CARNET DE SOUDURE'!$AP$7:$AP$3006,P1564))</f>
        <v>A</v>
      </c>
      <c r="G1564" s="82" t="str">
        <f aca="false">IF(C1564="","",IF(P1564="","NJ INCONNU",INDEX('CARNET DE SOUDURE'!$AQ$7:$AQ$3006,P1564)))</f>
        <v>ACCEPTÉ</v>
      </c>
      <c r="H1564" s="82" t="str">
        <f aca="false">IF(C1564="","",IF(G1564="ACCEPTÉ","OUI","NON"))</f>
        <v>OUI</v>
      </c>
      <c r="I1564" s="83"/>
      <c r="J1564" s="80"/>
      <c r="K1564" s="81"/>
      <c r="L1564" s="81"/>
      <c r="M1564" s="81"/>
      <c r="N1564" s="84" t="str">
        <f aca="false">IF(C1564="","",IF(P1564="","NJ INCONNU",IF(I1564="",IF(H1564="OUI","À ENROBER",IF(G1564="À SOUDER","NON SOUDÉ","EN ATTENTE RT")),IF(L1564="R","À REPRENDRE",IF(H1564&lt;&gt;"OUI","⚠ ENROBÉ AVANT ACCEPTATION RT","ENROBÉ")))))</f>
        <v>À ENROBER</v>
      </c>
      <c r="O1564" s="80"/>
      <c r="P1564" s="82" t="n">
        <f aca="false">IF(C1564="","",IFERROR(MATCH(Q1564,'CARNET DE SOUDURE'!$AW$7:$AW$3006,0),""))</f>
        <v>1558</v>
      </c>
      <c r="Q1564" s="82" t="str">
        <f aca="false">IF(C1564="","",B1564&amp;"|"&amp;C1564)</f>
        <v>MFD-ISW → MFD-CPF|DJ°245</v>
      </c>
    </row>
    <row r="1565" customFormat="false" ht="74.6" hidden="false" customHeight="false" outlineLevel="0" collapsed="false">
      <c r="A1565" s="82" t="n">
        <f aca="false">IF(C1565="","",ROW()-6)</f>
        <v>1559</v>
      </c>
      <c r="B1565" s="80" t="s">
        <v>110</v>
      </c>
      <c r="C1565" s="113" t="s">
        <v>1877</v>
      </c>
      <c r="D1565" s="82" t="str">
        <f aca="false">IF(OR(C1565="",P1565=""),"",INDEX('CARNET DE SOUDURE'!$D$7:$D$3006,P1565)&amp;"")</f>
        <v>13</v>
      </c>
      <c r="E1565" s="114" t="n">
        <f aca="false">IF(OR(C1565="",P1565=""),"",IF(INDEX('CARNET DE SOUDURE'!$U$7:$U$3006,P1565)="","",INDEX('CARNET DE SOUDURE'!$U$7:$U$3006,P1565)))</f>
        <v>46291</v>
      </c>
      <c r="F1565" s="82" t="str">
        <f aca="false">IF(OR(C1565="",P1565=""),"",INDEX('CARNET DE SOUDURE'!$AP$7:$AP$3006,P1565))</f>
        <v/>
      </c>
      <c r="G1565" s="82" t="str">
        <f aca="false">IF(C1565="","",IF(P1565="","NJ INCONNU",INDEX('CARNET DE SOUDURE'!$AQ$7:$AQ$3006,P1565)))</f>
        <v>À RADIOGRAPHIER</v>
      </c>
      <c r="H1565" s="82" t="str">
        <f aca="false">IF(C1565="","",IF(G1565="ACCEPTÉ","OUI","NON"))</f>
        <v>NON</v>
      </c>
      <c r="I1565" s="83"/>
      <c r="J1565" s="80"/>
      <c r="K1565" s="81"/>
      <c r="L1565" s="81"/>
      <c r="M1565" s="81"/>
      <c r="N1565" s="84" t="str">
        <f aca="false">IF(C1565="","",IF(P1565="","NJ INCONNU",IF(I1565="",IF(H1565="OUI","À ENROBER",IF(G1565="À SOUDER","NON SOUDÉ","EN ATTENTE RT")),IF(L1565="R","À REPRENDRE",IF(H1565&lt;&gt;"OUI","⚠ ENROBÉ AVANT ACCEPTATION RT","ENROBÉ")))))</f>
        <v>EN ATTENTE RT</v>
      </c>
      <c r="O1565" s="80"/>
      <c r="P1565" s="82" t="n">
        <f aca="false">IF(C1565="","",IFERROR(MATCH(Q1565,'CARNET DE SOUDURE'!$AW$7:$AW$3006,0),""))</f>
        <v>1559</v>
      </c>
      <c r="Q1565" s="82" t="str">
        <f aca="false">IF(C1565="","",B1565&amp;"|"&amp;C1565)</f>
        <v>MFD-ISW → MFD-CPF|JN°1288R</v>
      </c>
    </row>
    <row r="1566" customFormat="false" ht="74.6" hidden="false" customHeight="false" outlineLevel="0" collapsed="false">
      <c r="A1566" s="82" t="n">
        <f aca="false">IF(C1566="","",ROW()-6)</f>
        <v>1560</v>
      </c>
      <c r="B1566" s="80" t="s">
        <v>110</v>
      </c>
      <c r="C1566" s="113" t="s">
        <v>1880</v>
      </c>
      <c r="D1566" s="82" t="str">
        <f aca="false">IF(OR(C1566="",P1566=""),"",INDEX('CARNET DE SOUDURE'!$D$7:$D$3006,P1566)&amp;"")</f>
        <v>13</v>
      </c>
      <c r="E1566" s="114" t="n">
        <f aca="false">IF(OR(C1566="",P1566=""),"",IF(INDEX('CARNET DE SOUDURE'!$U$7:$U$3006,P1566)="","",INDEX('CARNET DE SOUDURE'!$U$7:$U$3006,P1566)))</f>
        <v>46267</v>
      </c>
      <c r="F1566" s="82" t="str">
        <f aca="false">IF(OR(C1566="",P1566=""),"",INDEX('CARNET DE SOUDURE'!$AP$7:$AP$3006,P1566))</f>
        <v>A</v>
      </c>
      <c r="G1566" s="82" t="str">
        <f aca="false">IF(C1566="","",IF(P1566="","NJ INCONNU",INDEX('CARNET DE SOUDURE'!$AQ$7:$AQ$3006,P1566)))</f>
        <v>ACCEPTÉ</v>
      </c>
      <c r="H1566" s="82" t="str">
        <f aca="false">IF(C1566="","",IF(G1566="ACCEPTÉ","OUI","NON"))</f>
        <v>OUI</v>
      </c>
      <c r="I1566" s="83"/>
      <c r="J1566" s="80"/>
      <c r="K1566" s="81"/>
      <c r="L1566" s="81"/>
      <c r="M1566" s="81"/>
      <c r="N1566" s="84" t="str">
        <f aca="false">IF(C1566="","",IF(P1566="","NJ INCONNU",IF(I1566="",IF(H1566="OUI","À ENROBER",IF(G1566="À SOUDER","NON SOUDÉ","EN ATTENTE RT")),IF(L1566="R","À REPRENDRE",IF(H1566&lt;&gt;"OUI","⚠ ENROBÉ AVANT ACCEPTATION RT","ENROBÉ")))))</f>
        <v>À ENROBER</v>
      </c>
      <c r="O1566" s="80"/>
      <c r="P1566" s="82" t="n">
        <f aca="false">IF(C1566="","",IFERROR(MATCH(Q1566,'CARNET DE SOUDURE'!$AW$7:$AW$3006,0),""))</f>
        <v>1560</v>
      </c>
      <c r="Q1566" s="82" t="str">
        <f aca="false">IF(C1566="","",B1566&amp;"|"&amp;C1566)</f>
        <v>MFD-ISW → MFD-CPF|DJ°240</v>
      </c>
    </row>
    <row r="1567" customFormat="false" ht="74.6" hidden="false" customHeight="false" outlineLevel="0" collapsed="false">
      <c r="A1567" s="82" t="n">
        <f aca="false">IF(C1567="","",ROW()-6)</f>
        <v>1561</v>
      </c>
      <c r="B1567" s="80" t="s">
        <v>110</v>
      </c>
      <c r="C1567" s="113" t="s">
        <v>1881</v>
      </c>
      <c r="D1567" s="82" t="str">
        <f aca="false">IF(OR(C1567="",P1567=""),"",INDEX('CARNET DE SOUDURE'!$D$7:$D$3006,P1567)&amp;"")</f>
        <v>13</v>
      </c>
      <c r="E1567" s="114" t="n">
        <f aca="false">IF(OR(C1567="",P1567=""),"",IF(INDEX('CARNET DE SOUDURE'!$U$7:$U$3006,P1567)="","",INDEX('CARNET DE SOUDURE'!$U$7:$U$3006,P1567)))</f>
        <v>46275</v>
      </c>
      <c r="F1567" s="82" t="str">
        <f aca="false">IF(OR(C1567="",P1567=""),"",INDEX('CARNET DE SOUDURE'!$AP$7:$AP$3006,P1567))</f>
        <v>A</v>
      </c>
      <c r="G1567" s="82" t="str">
        <f aca="false">IF(C1567="","",IF(P1567="","NJ INCONNU",INDEX('CARNET DE SOUDURE'!$AQ$7:$AQ$3006,P1567)))</f>
        <v>ACCEPTÉ</v>
      </c>
      <c r="H1567" s="82" t="str">
        <f aca="false">IF(C1567="","",IF(G1567="ACCEPTÉ","OUI","NON"))</f>
        <v>OUI</v>
      </c>
      <c r="I1567" s="83"/>
      <c r="J1567" s="80"/>
      <c r="K1567" s="81"/>
      <c r="L1567" s="81"/>
      <c r="M1567" s="81"/>
      <c r="N1567" s="84" t="str">
        <f aca="false">IF(C1567="","",IF(P1567="","NJ INCONNU",IF(I1567="",IF(H1567="OUI","À ENROBER",IF(G1567="À SOUDER","NON SOUDÉ","EN ATTENTE RT")),IF(L1567="R","À REPRENDRE",IF(H1567&lt;&gt;"OUI","⚠ ENROBÉ AVANT ACCEPTATION RT","ENROBÉ")))))</f>
        <v>À ENROBER</v>
      </c>
      <c r="O1567" s="80"/>
      <c r="P1567" s="82" t="n">
        <f aca="false">IF(C1567="","",IFERROR(MATCH(Q1567,'CARNET DE SOUDURE'!$AW$7:$AW$3006,0),""))</f>
        <v>1561</v>
      </c>
      <c r="Q1567" s="82" t="str">
        <f aca="false">IF(C1567="","",B1567&amp;"|"&amp;C1567)</f>
        <v>MFD-ISW → MFD-CPF|JN°1289</v>
      </c>
    </row>
    <row r="1568" customFormat="false" ht="74.6" hidden="false" customHeight="false" outlineLevel="0" collapsed="false">
      <c r="A1568" s="82" t="n">
        <f aca="false">IF(C1568="","",ROW()-6)</f>
        <v>1562</v>
      </c>
      <c r="B1568" s="80" t="s">
        <v>110</v>
      </c>
      <c r="C1568" s="113" t="s">
        <v>1882</v>
      </c>
      <c r="D1568" s="82" t="str">
        <f aca="false">IF(OR(C1568="",P1568=""),"",INDEX('CARNET DE SOUDURE'!$D$7:$D$3006,P1568)&amp;"")</f>
        <v>13</v>
      </c>
      <c r="E1568" s="114" t="n">
        <f aca="false">IF(OR(C1568="",P1568=""),"",IF(INDEX('CARNET DE SOUDURE'!$U$7:$U$3006,P1568)="","",INDEX('CARNET DE SOUDURE'!$U$7:$U$3006,P1568)))</f>
        <v>46267</v>
      </c>
      <c r="F1568" s="82" t="str">
        <f aca="false">IF(OR(C1568="",P1568=""),"",INDEX('CARNET DE SOUDURE'!$AP$7:$AP$3006,P1568))</f>
        <v>A</v>
      </c>
      <c r="G1568" s="82" t="str">
        <f aca="false">IF(C1568="","",IF(P1568="","NJ INCONNU",INDEX('CARNET DE SOUDURE'!$AQ$7:$AQ$3006,P1568)))</f>
        <v>ACCEPTÉ</v>
      </c>
      <c r="H1568" s="82" t="str">
        <f aca="false">IF(C1568="","",IF(G1568="ACCEPTÉ","OUI","NON"))</f>
        <v>OUI</v>
      </c>
      <c r="I1568" s="83"/>
      <c r="J1568" s="80"/>
      <c r="K1568" s="81"/>
      <c r="L1568" s="81"/>
      <c r="M1568" s="81"/>
      <c r="N1568" s="84" t="str">
        <f aca="false">IF(C1568="","",IF(P1568="","NJ INCONNU",IF(I1568="",IF(H1568="OUI","À ENROBER",IF(G1568="À SOUDER","NON SOUDÉ","EN ATTENTE RT")),IF(L1568="R","À REPRENDRE",IF(H1568&lt;&gt;"OUI","⚠ ENROBÉ AVANT ACCEPTATION RT","ENROBÉ")))))</f>
        <v>À ENROBER</v>
      </c>
      <c r="O1568" s="80"/>
      <c r="P1568" s="82" t="n">
        <f aca="false">IF(C1568="","",IFERROR(MATCH(Q1568,'CARNET DE SOUDURE'!$AW$7:$AW$3006,0),""))</f>
        <v>1562</v>
      </c>
      <c r="Q1568" s="82" t="str">
        <f aca="false">IF(C1568="","",B1568&amp;"|"&amp;C1568)</f>
        <v>MFD-ISW → MFD-CPF|DJ°248</v>
      </c>
    </row>
    <row r="1569" customFormat="false" ht="74.6" hidden="false" customHeight="false" outlineLevel="0" collapsed="false">
      <c r="A1569" s="82" t="n">
        <f aca="false">IF(C1569="","",ROW()-6)</f>
        <v>1563</v>
      </c>
      <c r="B1569" s="80" t="s">
        <v>110</v>
      </c>
      <c r="C1569" s="113" t="s">
        <v>1883</v>
      </c>
      <c r="D1569" s="82" t="str">
        <f aca="false">IF(OR(C1569="",P1569=""),"",INDEX('CARNET DE SOUDURE'!$D$7:$D$3006,P1569)&amp;"")</f>
        <v>13</v>
      </c>
      <c r="E1569" s="114" t="n">
        <f aca="false">IF(OR(C1569="",P1569=""),"",IF(INDEX('CARNET DE SOUDURE'!$U$7:$U$3006,P1569)="","",INDEX('CARNET DE SOUDURE'!$U$7:$U$3006,P1569)))</f>
        <v>46291</v>
      </c>
      <c r="F1569" s="82" t="str">
        <f aca="false">IF(OR(C1569="",P1569=""),"",INDEX('CARNET DE SOUDURE'!$AP$7:$AP$3006,P1569))</f>
        <v/>
      </c>
      <c r="G1569" s="82" t="str">
        <f aca="false">IF(C1569="","",IF(P1569="","NJ INCONNU",INDEX('CARNET DE SOUDURE'!$AQ$7:$AQ$3006,P1569)))</f>
        <v>À RADIOGRAPHIER</v>
      </c>
      <c r="H1569" s="82" t="str">
        <f aca="false">IF(C1569="","",IF(G1569="ACCEPTÉ","OUI","NON"))</f>
        <v>NON</v>
      </c>
      <c r="I1569" s="83"/>
      <c r="J1569" s="80"/>
      <c r="K1569" s="81"/>
      <c r="L1569" s="81"/>
      <c r="M1569" s="81"/>
      <c r="N1569" s="84" t="str">
        <f aca="false">IF(C1569="","",IF(P1569="","NJ INCONNU",IF(I1569="",IF(H1569="OUI","À ENROBER",IF(G1569="À SOUDER","NON SOUDÉ","EN ATTENTE RT")),IF(L1569="R","À REPRENDRE",IF(H1569&lt;&gt;"OUI","⚠ ENROBÉ AVANT ACCEPTATION RT","ENROBÉ")))))</f>
        <v>EN ATTENTE RT</v>
      </c>
      <c r="O1569" s="80"/>
      <c r="P1569" s="82" t="n">
        <f aca="false">IF(C1569="","",IFERROR(MATCH(Q1569,'CARNET DE SOUDURE'!$AW$7:$AW$3006,0),""))</f>
        <v>1563</v>
      </c>
      <c r="Q1569" s="82" t="str">
        <f aca="false">IF(C1569="","",B1569&amp;"|"&amp;C1569)</f>
        <v>MFD-ISW → MFD-CPF|JN°1290R</v>
      </c>
    </row>
    <row r="1570" customFormat="false" ht="74.6" hidden="false" customHeight="false" outlineLevel="0" collapsed="false">
      <c r="A1570" s="82" t="n">
        <f aca="false">IF(C1570="","",ROW()-6)</f>
        <v>1564</v>
      </c>
      <c r="B1570" s="80" t="s">
        <v>110</v>
      </c>
      <c r="C1570" s="113" t="s">
        <v>1886</v>
      </c>
      <c r="D1570" s="82" t="str">
        <f aca="false">IF(OR(C1570="",P1570=""),"",INDEX('CARNET DE SOUDURE'!$D$7:$D$3006,P1570)&amp;"")</f>
        <v>13</v>
      </c>
      <c r="E1570" s="114" t="n">
        <f aca="false">IF(OR(C1570="",P1570=""),"",IF(INDEX('CARNET DE SOUDURE'!$U$7:$U$3006,P1570)="","",INDEX('CARNET DE SOUDURE'!$U$7:$U$3006,P1570)))</f>
        <v>46267</v>
      </c>
      <c r="F1570" s="82" t="str">
        <f aca="false">IF(OR(C1570="",P1570=""),"",INDEX('CARNET DE SOUDURE'!$AP$7:$AP$3006,P1570))</f>
        <v>A</v>
      </c>
      <c r="G1570" s="82" t="str">
        <f aca="false">IF(C1570="","",IF(P1570="","NJ INCONNU",INDEX('CARNET DE SOUDURE'!$AQ$7:$AQ$3006,P1570)))</f>
        <v>ACCEPTÉ</v>
      </c>
      <c r="H1570" s="82" t="str">
        <f aca="false">IF(C1570="","",IF(G1570="ACCEPTÉ","OUI","NON"))</f>
        <v>OUI</v>
      </c>
      <c r="I1570" s="83"/>
      <c r="J1570" s="80"/>
      <c r="K1570" s="81"/>
      <c r="L1570" s="81"/>
      <c r="M1570" s="81"/>
      <c r="N1570" s="84" t="str">
        <f aca="false">IF(C1570="","",IF(P1570="","NJ INCONNU",IF(I1570="",IF(H1570="OUI","À ENROBER",IF(G1570="À SOUDER","NON SOUDÉ","EN ATTENTE RT")),IF(L1570="R","À REPRENDRE",IF(H1570&lt;&gt;"OUI","⚠ ENROBÉ AVANT ACCEPTATION RT","ENROBÉ")))))</f>
        <v>À ENROBER</v>
      </c>
      <c r="O1570" s="80"/>
      <c r="P1570" s="82" t="n">
        <f aca="false">IF(C1570="","",IFERROR(MATCH(Q1570,'CARNET DE SOUDURE'!$AW$7:$AW$3006,0),""))</f>
        <v>1564</v>
      </c>
      <c r="Q1570" s="82" t="str">
        <f aca="false">IF(C1570="","",B1570&amp;"|"&amp;C1570)</f>
        <v>MFD-ISW → MFD-CPF|DJ°241</v>
      </c>
    </row>
    <row r="1571" customFormat="false" ht="74.6" hidden="false" customHeight="false" outlineLevel="0" collapsed="false">
      <c r="A1571" s="82" t="n">
        <f aca="false">IF(C1571="","",ROW()-6)</f>
        <v>1565</v>
      </c>
      <c r="B1571" s="80" t="s">
        <v>110</v>
      </c>
      <c r="C1571" s="113" t="s">
        <v>1887</v>
      </c>
      <c r="D1571" s="82" t="str">
        <f aca="false">IF(OR(C1571="",P1571=""),"",INDEX('CARNET DE SOUDURE'!$D$7:$D$3006,P1571)&amp;"")</f>
        <v>13</v>
      </c>
      <c r="E1571" s="114" t="n">
        <f aca="false">IF(OR(C1571="",P1571=""),"",IF(INDEX('CARNET DE SOUDURE'!$U$7:$U$3006,P1571)="","",INDEX('CARNET DE SOUDURE'!$U$7:$U$3006,P1571)))</f>
        <v>46275</v>
      </c>
      <c r="F1571" s="82" t="str">
        <f aca="false">IF(OR(C1571="",P1571=""),"",INDEX('CARNET DE SOUDURE'!$AP$7:$AP$3006,P1571))</f>
        <v>A</v>
      </c>
      <c r="G1571" s="82" t="str">
        <f aca="false">IF(C1571="","",IF(P1571="","NJ INCONNU",INDEX('CARNET DE SOUDURE'!$AQ$7:$AQ$3006,P1571)))</f>
        <v>ACCEPTÉ</v>
      </c>
      <c r="H1571" s="82" t="str">
        <f aca="false">IF(C1571="","",IF(G1571="ACCEPTÉ","OUI","NON"))</f>
        <v>OUI</v>
      </c>
      <c r="I1571" s="83"/>
      <c r="J1571" s="80"/>
      <c r="K1571" s="81"/>
      <c r="L1571" s="81"/>
      <c r="M1571" s="81"/>
      <c r="N1571" s="84" t="str">
        <f aca="false">IF(C1571="","",IF(P1571="","NJ INCONNU",IF(I1571="",IF(H1571="OUI","À ENROBER",IF(G1571="À SOUDER","NON SOUDÉ","EN ATTENTE RT")),IF(L1571="R","À REPRENDRE",IF(H1571&lt;&gt;"OUI","⚠ ENROBÉ AVANT ACCEPTATION RT","ENROBÉ")))))</f>
        <v>À ENROBER</v>
      </c>
      <c r="O1571" s="80"/>
      <c r="P1571" s="82" t="n">
        <f aca="false">IF(C1571="","",IFERROR(MATCH(Q1571,'CARNET DE SOUDURE'!$AW$7:$AW$3006,0),""))</f>
        <v>1565</v>
      </c>
      <c r="Q1571" s="82" t="str">
        <f aca="false">IF(C1571="","",B1571&amp;"|"&amp;C1571)</f>
        <v>MFD-ISW → MFD-CPF|JN°1291</v>
      </c>
    </row>
    <row r="1572" customFormat="false" ht="74.6" hidden="false" customHeight="false" outlineLevel="0" collapsed="false">
      <c r="A1572" s="82" t="n">
        <f aca="false">IF(C1572="","",ROW()-6)</f>
        <v>1566</v>
      </c>
      <c r="B1572" s="80" t="s">
        <v>110</v>
      </c>
      <c r="C1572" s="113" t="s">
        <v>1888</v>
      </c>
      <c r="D1572" s="82" t="str">
        <f aca="false">IF(OR(C1572="",P1572=""),"",INDEX('CARNET DE SOUDURE'!$D$7:$D$3006,P1572)&amp;"")</f>
        <v>13</v>
      </c>
      <c r="E1572" s="114" t="n">
        <f aca="false">IF(OR(C1572="",P1572=""),"",IF(INDEX('CARNET DE SOUDURE'!$U$7:$U$3006,P1572)="","",INDEX('CARNET DE SOUDURE'!$U$7:$U$3006,P1572)))</f>
        <v>46267</v>
      </c>
      <c r="F1572" s="82" t="str">
        <f aca="false">IF(OR(C1572="",P1572=""),"",INDEX('CARNET DE SOUDURE'!$AP$7:$AP$3006,P1572))</f>
        <v>A</v>
      </c>
      <c r="G1572" s="82" t="str">
        <f aca="false">IF(C1572="","",IF(P1572="","NJ INCONNU",INDEX('CARNET DE SOUDURE'!$AQ$7:$AQ$3006,P1572)))</f>
        <v>ACCEPTÉ</v>
      </c>
      <c r="H1572" s="82" t="str">
        <f aca="false">IF(C1572="","",IF(G1572="ACCEPTÉ","OUI","NON"))</f>
        <v>OUI</v>
      </c>
      <c r="I1572" s="83"/>
      <c r="J1572" s="80"/>
      <c r="K1572" s="81"/>
      <c r="L1572" s="81"/>
      <c r="M1572" s="81"/>
      <c r="N1572" s="84" t="str">
        <f aca="false">IF(C1572="","",IF(P1572="","NJ INCONNU",IF(I1572="",IF(H1572="OUI","À ENROBER",IF(G1572="À SOUDER","NON SOUDÉ","EN ATTENTE RT")),IF(L1572="R","À REPRENDRE",IF(H1572&lt;&gt;"OUI","⚠ ENROBÉ AVANT ACCEPTATION RT","ENROBÉ")))))</f>
        <v>À ENROBER</v>
      </c>
      <c r="O1572" s="80"/>
      <c r="P1572" s="82" t="n">
        <f aca="false">IF(C1572="","",IFERROR(MATCH(Q1572,'CARNET DE SOUDURE'!$AW$7:$AW$3006,0),""))</f>
        <v>1566</v>
      </c>
      <c r="Q1572" s="82" t="str">
        <f aca="false">IF(C1572="","",B1572&amp;"|"&amp;C1572)</f>
        <v>MFD-ISW → MFD-CPF|DJ°239</v>
      </c>
    </row>
    <row r="1573" customFormat="false" ht="74.6" hidden="false" customHeight="false" outlineLevel="0" collapsed="false">
      <c r="A1573" s="82" t="n">
        <f aca="false">IF(C1573="","",ROW()-6)</f>
        <v>1567</v>
      </c>
      <c r="B1573" s="80" t="s">
        <v>110</v>
      </c>
      <c r="C1573" s="113" t="s">
        <v>1889</v>
      </c>
      <c r="D1573" s="82" t="str">
        <f aca="false">IF(OR(C1573="",P1573=""),"",INDEX('CARNET DE SOUDURE'!$D$7:$D$3006,P1573)&amp;"")</f>
        <v>13</v>
      </c>
      <c r="E1573" s="114" t="n">
        <f aca="false">IF(OR(C1573="",P1573=""),"",IF(INDEX('CARNET DE SOUDURE'!$U$7:$U$3006,P1573)="","",INDEX('CARNET DE SOUDURE'!$U$7:$U$3006,P1573)))</f>
        <v>46275</v>
      </c>
      <c r="F1573" s="82" t="str">
        <f aca="false">IF(OR(C1573="",P1573=""),"",INDEX('CARNET DE SOUDURE'!$AP$7:$AP$3006,P1573))</f>
        <v>A</v>
      </c>
      <c r="G1573" s="82" t="str">
        <f aca="false">IF(C1573="","",IF(P1573="","NJ INCONNU",INDEX('CARNET DE SOUDURE'!$AQ$7:$AQ$3006,P1573)))</f>
        <v>ACCEPTÉ</v>
      </c>
      <c r="H1573" s="82" t="str">
        <f aca="false">IF(C1573="","",IF(G1573="ACCEPTÉ","OUI","NON"))</f>
        <v>OUI</v>
      </c>
      <c r="I1573" s="83"/>
      <c r="J1573" s="80"/>
      <c r="K1573" s="81"/>
      <c r="L1573" s="81"/>
      <c r="M1573" s="81"/>
      <c r="N1573" s="84" t="str">
        <f aca="false">IF(C1573="","",IF(P1573="","NJ INCONNU",IF(I1573="",IF(H1573="OUI","À ENROBER",IF(G1573="À SOUDER","NON SOUDÉ","EN ATTENTE RT")),IF(L1573="R","À REPRENDRE",IF(H1573&lt;&gt;"OUI","⚠ ENROBÉ AVANT ACCEPTATION RT","ENROBÉ")))))</f>
        <v>À ENROBER</v>
      </c>
      <c r="O1573" s="80"/>
      <c r="P1573" s="82" t="n">
        <f aca="false">IF(C1573="","",IFERROR(MATCH(Q1573,'CARNET DE SOUDURE'!$AW$7:$AW$3006,0),""))</f>
        <v>1567</v>
      </c>
      <c r="Q1573" s="82" t="str">
        <f aca="false">IF(C1573="","",B1573&amp;"|"&amp;C1573)</f>
        <v>MFD-ISW → MFD-CPF|JN°1292</v>
      </c>
    </row>
    <row r="1574" customFormat="false" ht="74.6" hidden="false" customHeight="false" outlineLevel="0" collapsed="false">
      <c r="A1574" s="82" t="n">
        <f aca="false">IF(C1574="","",ROW()-6)</f>
        <v>1568</v>
      </c>
      <c r="B1574" s="80" t="s">
        <v>110</v>
      </c>
      <c r="C1574" s="113" t="s">
        <v>1890</v>
      </c>
      <c r="D1574" s="82" t="str">
        <f aca="false">IF(OR(C1574="",P1574=""),"",INDEX('CARNET DE SOUDURE'!$D$7:$D$3006,P1574)&amp;"")</f>
        <v>13</v>
      </c>
      <c r="E1574" s="114" t="n">
        <f aca="false">IF(OR(C1574="",P1574=""),"",IF(INDEX('CARNET DE SOUDURE'!$U$7:$U$3006,P1574)="","",INDEX('CARNET DE SOUDURE'!$U$7:$U$3006,P1574)))</f>
        <v>46265</v>
      </c>
      <c r="F1574" s="82" t="str">
        <f aca="false">IF(OR(C1574="",P1574=""),"",INDEX('CARNET DE SOUDURE'!$AP$7:$AP$3006,P1574))</f>
        <v>A</v>
      </c>
      <c r="G1574" s="82" t="str">
        <f aca="false">IF(C1574="","",IF(P1574="","NJ INCONNU",INDEX('CARNET DE SOUDURE'!$AQ$7:$AQ$3006,P1574)))</f>
        <v>ACCEPTÉ</v>
      </c>
      <c r="H1574" s="82" t="str">
        <f aca="false">IF(C1574="","",IF(G1574="ACCEPTÉ","OUI","NON"))</f>
        <v>OUI</v>
      </c>
      <c r="I1574" s="83"/>
      <c r="J1574" s="80"/>
      <c r="K1574" s="81"/>
      <c r="L1574" s="81"/>
      <c r="M1574" s="81"/>
      <c r="N1574" s="84" t="str">
        <f aca="false">IF(C1574="","",IF(P1574="","NJ INCONNU",IF(I1574="",IF(H1574="OUI","À ENROBER",IF(G1574="À SOUDER","NON SOUDÉ","EN ATTENTE RT")),IF(L1574="R","À REPRENDRE",IF(H1574&lt;&gt;"OUI","⚠ ENROBÉ AVANT ACCEPTATION RT","ENROBÉ")))))</f>
        <v>À ENROBER</v>
      </c>
      <c r="O1574" s="80"/>
      <c r="P1574" s="82" t="n">
        <f aca="false">IF(C1574="","",IFERROR(MATCH(Q1574,'CARNET DE SOUDURE'!$AW$7:$AW$3006,0),""))</f>
        <v>1568</v>
      </c>
      <c r="Q1574" s="82" t="str">
        <f aca="false">IF(C1574="","",B1574&amp;"|"&amp;C1574)</f>
        <v>MFD-ISW → MFD-CPF|DJ°217</v>
      </c>
    </row>
    <row r="1575" customFormat="false" ht="74.6" hidden="false" customHeight="false" outlineLevel="0" collapsed="false">
      <c r="A1575" s="82" t="n">
        <f aca="false">IF(C1575="","",ROW()-6)</f>
        <v>1569</v>
      </c>
      <c r="B1575" s="80" t="s">
        <v>110</v>
      </c>
      <c r="C1575" s="113" t="s">
        <v>1892</v>
      </c>
      <c r="D1575" s="82" t="str">
        <f aca="false">IF(OR(C1575="",P1575=""),"",INDEX('CARNET DE SOUDURE'!$D$7:$D$3006,P1575)&amp;"")</f>
        <v>13</v>
      </c>
      <c r="E1575" s="114" t="n">
        <f aca="false">IF(OR(C1575="",P1575=""),"",IF(INDEX('CARNET DE SOUDURE'!$U$7:$U$3006,P1575)="","",INDEX('CARNET DE SOUDURE'!$U$7:$U$3006,P1575)))</f>
        <v>46291</v>
      </c>
      <c r="F1575" s="82" t="str">
        <f aca="false">IF(OR(C1575="",P1575=""),"",INDEX('CARNET DE SOUDURE'!$AP$7:$AP$3006,P1575))</f>
        <v/>
      </c>
      <c r="G1575" s="82" t="str">
        <f aca="false">IF(C1575="","",IF(P1575="","NJ INCONNU",INDEX('CARNET DE SOUDURE'!$AQ$7:$AQ$3006,P1575)))</f>
        <v>À RADIOGRAPHIER</v>
      </c>
      <c r="H1575" s="82" t="str">
        <f aca="false">IF(C1575="","",IF(G1575="ACCEPTÉ","OUI","NON"))</f>
        <v>NON</v>
      </c>
      <c r="I1575" s="83"/>
      <c r="J1575" s="80"/>
      <c r="K1575" s="81"/>
      <c r="L1575" s="81"/>
      <c r="M1575" s="81"/>
      <c r="N1575" s="84" t="str">
        <f aca="false">IF(C1575="","",IF(P1575="","NJ INCONNU",IF(I1575="",IF(H1575="OUI","À ENROBER",IF(G1575="À SOUDER","NON SOUDÉ","EN ATTENTE RT")),IF(L1575="R","À REPRENDRE",IF(H1575&lt;&gt;"OUI","⚠ ENROBÉ AVANT ACCEPTATION RT","ENROBÉ")))))</f>
        <v>EN ATTENTE RT</v>
      </c>
      <c r="O1575" s="80"/>
      <c r="P1575" s="82" t="n">
        <f aca="false">IF(C1575="","",IFERROR(MATCH(Q1575,'CARNET DE SOUDURE'!$AW$7:$AW$3006,0),""))</f>
        <v>1569</v>
      </c>
      <c r="Q1575" s="82" t="str">
        <f aca="false">IF(C1575="","",B1575&amp;"|"&amp;C1575)</f>
        <v>MFD-ISW → MFD-CPF|JN°1293R</v>
      </c>
    </row>
    <row r="1576" customFormat="false" ht="74.6" hidden="false" customHeight="false" outlineLevel="0" collapsed="false">
      <c r="A1576" s="82" t="n">
        <f aca="false">IF(C1576="","",ROW()-6)</f>
        <v>1570</v>
      </c>
      <c r="B1576" s="80" t="s">
        <v>110</v>
      </c>
      <c r="C1576" s="113" t="s">
        <v>1894</v>
      </c>
      <c r="D1576" s="82" t="str">
        <f aca="false">IF(OR(C1576="",P1576=""),"",INDEX('CARNET DE SOUDURE'!$D$7:$D$3006,P1576)&amp;"")</f>
        <v>13</v>
      </c>
      <c r="E1576" s="114" t="n">
        <f aca="false">IF(OR(C1576="",P1576=""),"",IF(INDEX('CARNET DE SOUDURE'!$U$7:$U$3006,P1576)="","",INDEX('CARNET DE SOUDURE'!$U$7:$U$3006,P1576)))</f>
        <v>46264</v>
      </c>
      <c r="F1576" s="82" t="str">
        <f aca="false">IF(OR(C1576="",P1576=""),"",INDEX('CARNET DE SOUDURE'!$AP$7:$AP$3006,P1576))</f>
        <v>A</v>
      </c>
      <c r="G1576" s="82" t="str">
        <f aca="false">IF(C1576="","",IF(P1576="","NJ INCONNU",INDEX('CARNET DE SOUDURE'!$AQ$7:$AQ$3006,P1576)))</f>
        <v>ACCEPTÉ</v>
      </c>
      <c r="H1576" s="82" t="str">
        <f aca="false">IF(C1576="","",IF(G1576="ACCEPTÉ","OUI","NON"))</f>
        <v>OUI</v>
      </c>
      <c r="I1576" s="83"/>
      <c r="J1576" s="80"/>
      <c r="K1576" s="81"/>
      <c r="L1576" s="81"/>
      <c r="M1576" s="81"/>
      <c r="N1576" s="84" t="str">
        <f aca="false">IF(C1576="","",IF(P1576="","NJ INCONNU",IF(I1576="",IF(H1576="OUI","À ENROBER",IF(G1576="À SOUDER","NON SOUDÉ","EN ATTENTE RT")),IF(L1576="R","À REPRENDRE",IF(H1576&lt;&gt;"OUI","⚠ ENROBÉ AVANT ACCEPTATION RT","ENROBÉ")))))</f>
        <v>À ENROBER</v>
      </c>
      <c r="O1576" s="80"/>
      <c r="P1576" s="82" t="n">
        <f aca="false">IF(C1576="","",IFERROR(MATCH(Q1576,'CARNET DE SOUDURE'!$AW$7:$AW$3006,0),""))</f>
        <v>1570</v>
      </c>
      <c r="Q1576" s="82" t="str">
        <f aca="false">IF(C1576="","",B1576&amp;"|"&amp;C1576)</f>
        <v>MFD-ISW → MFD-CPF|DJ°199</v>
      </c>
    </row>
    <row r="1577" customFormat="false" ht="74.6" hidden="false" customHeight="false" outlineLevel="0" collapsed="false">
      <c r="A1577" s="82" t="n">
        <f aca="false">IF(C1577="","",ROW()-6)</f>
        <v>1571</v>
      </c>
      <c r="B1577" s="80" t="s">
        <v>110</v>
      </c>
      <c r="C1577" s="113" t="s">
        <v>1896</v>
      </c>
      <c r="D1577" s="82" t="str">
        <f aca="false">IF(OR(C1577="",P1577=""),"",INDEX('CARNET DE SOUDURE'!$D$7:$D$3006,P1577)&amp;"")</f>
        <v>13</v>
      </c>
      <c r="E1577" s="114" t="n">
        <f aca="false">IF(OR(C1577="",P1577=""),"",IF(INDEX('CARNET DE SOUDURE'!$U$7:$U$3006,P1577)="","",INDEX('CARNET DE SOUDURE'!$U$7:$U$3006,P1577)))</f>
        <v>46292</v>
      </c>
      <c r="F1577" s="82" t="str">
        <f aca="false">IF(OR(C1577="",P1577=""),"",INDEX('CARNET DE SOUDURE'!$AP$7:$AP$3006,P1577))</f>
        <v/>
      </c>
      <c r="G1577" s="82" t="str">
        <f aca="false">IF(C1577="","",IF(P1577="","NJ INCONNU",INDEX('CARNET DE SOUDURE'!$AQ$7:$AQ$3006,P1577)))</f>
        <v>À RADIOGRAPHIER</v>
      </c>
      <c r="H1577" s="82" t="str">
        <f aca="false">IF(C1577="","",IF(G1577="ACCEPTÉ","OUI","NON"))</f>
        <v>NON</v>
      </c>
      <c r="I1577" s="83"/>
      <c r="J1577" s="80"/>
      <c r="K1577" s="81"/>
      <c r="L1577" s="81"/>
      <c r="M1577" s="81"/>
      <c r="N1577" s="84" t="str">
        <f aca="false">IF(C1577="","",IF(P1577="","NJ INCONNU",IF(I1577="",IF(H1577="OUI","À ENROBER",IF(G1577="À SOUDER","NON SOUDÉ","EN ATTENTE RT")),IF(L1577="R","À REPRENDRE",IF(H1577&lt;&gt;"OUI","⚠ ENROBÉ AVANT ACCEPTATION RT","ENROBÉ")))))</f>
        <v>EN ATTENTE RT</v>
      </c>
      <c r="O1577" s="80"/>
      <c r="P1577" s="82" t="n">
        <f aca="false">IF(C1577="","",IFERROR(MATCH(Q1577,'CARNET DE SOUDURE'!$AW$7:$AW$3006,0),""))</f>
        <v>1571</v>
      </c>
      <c r="Q1577" s="82" t="str">
        <f aca="false">IF(C1577="","",B1577&amp;"|"&amp;C1577)</f>
        <v>MFD-ISW → MFD-CPF|JN°1294R</v>
      </c>
    </row>
    <row r="1578" customFormat="false" ht="74.6" hidden="false" customHeight="false" outlineLevel="0" collapsed="false">
      <c r="A1578" s="82" t="n">
        <f aca="false">IF(C1578="","",ROW()-6)</f>
        <v>1572</v>
      </c>
      <c r="B1578" s="80" t="s">
        <v>110</v>
      </c>
      <c r="C1578" s="113" t="s">
        <v>1898</v>
      </c>
      <c r="D1578" s="82" t="str">
        <f aca="false">IF(OR(C1578="",P1578=""),"",INDEX('CARNET DE SOUDURE'!$D$7:$D$3006,P1578)&amp;"")</f>
        <v>13</v>
      </c>
      <c r="E1578" s="114" t="n">
        <f aca="false">IF(OR(C1578="",P1578=""),"",IF(INDEX('CARNET DE SOUDURE'!$U$7:$U$3006,P1578)="","",INDEX('CARNET DE SOUDURE'!$U$7:$U$3006,P1578)))</f>
        <v>46266</v>
      </c>
      <c r="F1578" s="82" t="str">
        <f aca="false">IF(OR(C1578="",P1578=""),"",INDEX('CARNET DE SOUDURE'!$AP$7:$AP$3006,P1578))</f>
        <v>A</v>
      </c>
      <c r="G1578" s="82" t="str">
        <f aca="false">IF(C1578="","",IF(P1578="","NJ INCONNU",INDEX('CARNET DE SOUDURE'!$AQ$7:$AQ$3006,P1578)))</f>
        <v>ACCEPTÉ</v>
      </c>
      <c r="H1578" s="82" t="str">
        <f aca="false">IF(C1578="","",IF(G1578="ACCEPTÉ","OUI","NON"))</f>
        <v>OUI</v>
      </c>
      <c r="I1578" s="83"/>
      <c r="J1578" s="80"/>
      <c r="K1578" s="81"/>
      <c r="L1578" s="81"/>
      <c r="M1578" s="81"/>
      <c r="N1578" s="84" t="str">
        <f aca="false">IF(C1578="","",IF(P1578="","NJ INCONNU",IF(I1578="",IF(H1578="OUI","À ENROBER",IF(G1578="À SOUDER","NON SOUDÉ","EN ATTENTE RT")),IF(L1578="R","À REPRENDRE",IF(H1578&lt;&gt;"OUI","⚠ ENROBÉ AVANT ACCEPTATION RT","ENROBÉ")))))</f>
        <v>À ENROBER</v>
      </c>
      <c r="O1578" s="80"/>
      <c r="P1578" s="82" t="n">
        <f aca="false">IF(C1578="","",IFERROR(MATCH(Q1578,'CARNET DE SOUDURE'!$AW$7:$AW$3006,0),""))</f>
        <v>1572</v>
      </c>
      <c r="Q1578" s="82" t="str">
        <f aca="false">IF(C1578="","",B1578&amp;"|"&amp;C1578)</f>
        <v>MFD-ISW → MFD-CPF|DJ°232</v>
      </c>
    </row>
    <row r="1579" customFormat="false" ht="74.6" hidden="false" customHeight="false" outlineLevel="0" collapsed="false">
      <c r="A1579" s="82" t="n">
        <f aca="false">IF(C1579="","",ROW()-6)</f>
        <v>1573</v>
      </c>
      <c r="B1579" s="80" t="s">
        <v>110</v>
      </c>
      <c r="C1579" s="113" t="s">
        <v>1899</v>
      </c>
      <c r="D1579" s="82" t="str">
        <f aca="false">IF(OR(C1579="",P1579=""),"",INDEX('CARNET DE SOUDURE'!$D$7:$D$3006,P1579)&amp;"")</f>
        <v>13</v>
      </c>
      <c r="E1579" s="114" t="n">
        <f aca="false">IF(OR(C1579="",P1579=""),"",IF(INDEX('CARNET DE SOUDURE'!$U$7:$U$3006,P1579)="","",INDEX('CARNET DE SOUDURE'!$U$7:$U$3006,P1579)))</f>
        <v>46275</v>
      </c>
      <c r="F1579" s="82" t="str">
        <f aca="false">IF(OR(C1579="",P1579=""),"",INDEX('CARNET DE SOUDURE'!$AP$7:$AP$3006,P1579))</f>
        <v>R</v>
      </c>
      <c r="G1579" s="82" t="str">
        <f aca="false">IF(C1579="","",IF(P1579="","NJ INCONNU",INDEX('CARNET DE SOUDURE'!$AQ$7:$AQ$3006,P1579)))</f>
        <v>À RÉPARER</v>
      </c>
      <c r="H1579" s="82" t="str">
        <f aca="false">IF(C1579="","",IF(G1579="ACCEPTÉ","OUI","NON"))</f>
        <v>NON</v>
      </c>
      <c r="I1579" s="83"/>
      <c r="J1579" s="80"/>
      <c r="K1579" s="81"/>
      <c r="L1579" s="81"/>
      <c r="M1579" s="81"/>
      <c r="N1579" s="84" t="str">
        <f aca="false">IF(C1579="","",IF(P1579="","NJ INCONNU",IF(I1579="",IF(H1579="OUI","À ENROBER",IF(G1579="À SOUDER","NON SOUDÉ","EN ATTENTE RT")),IF(L1579="R","À REPRENDRE",IF(H1579&lt;&gt;"OUI","⚠ ENROBÉ AVANT ACCEPTATION RT","ENROBÉ")))))</f>
        <v>EN ATTENTE RT</v>
      </c>
      <c r="O1579" s="80"/>
      <c r="P1579" s="82" t="n">
        <f aca="false">IF(C1579="","",IFERROR(MATCH(Q1579,'CARNET DE SOUDURE'!$AW$7:$AW$3006,0),""))</f>
        <v>1573</v>
      </c>
      <c r="Q1579" s="82" t="str">
        <f aca="false">IF(C1579="","",B1579&amp;"|"&amp;C1579)</f>
        <v>MFD-ISW → MFD-CPF|JN°1295</v>
      </c>
    </row>
    <row r="1580" customFormat="false" ht="74.6" hidden="false" customHeight="false" outlineLevel="0" collapsed="false">
      <c r="A1580" s="82" t="n">
        <f aca="false">IF(C1580="","",ROW()-6)</f>
        <v>1574</v>
      </c>
      <c r="B1580" s="80" t="s">
        <v>110</v>
      </c>
      <c r="C1580" s="113" t="s">
        <v>1901</v>
      </c>
      <c r="D1580" s="82" t="str">
        <f aca="false">IF(OR(C1580="",P1580=""),"",INDEX('CARNET DE SOUDURE'!$D$7:$D$3006,P1580)&amp;"")</f>
        <v>13</v>
      </c>
      <c r="E1580" s="114" t="n">
        <f aca="false">IF(OR(C1580="",P1580=""),"",IF(INDEX('CARNET DE SOUDURE'!$U$7:$U$3006,P1580)="","",INDEX('CARNET DE SOUDURE'!$U$7:$U$3006,P1580)))</f>
        <v>46266</v>
      </c>
      <c r="F1580" s="82" t="str">
        <f aca="false">IF(OR(C1580="",P1580=""),"",INDEX('CARNET DE SOUDURE'!$AP$7:$AP$3006,P1580))</f>
        <v>A</v>
      </c>
      <c r="G1580" s="82" t="str">
        <f aca="false">IF(C1580="","",IF(P1580="","NJ INCONNU",INDEX('CARNET DE SOUDURE'!$AQ$7:$AQ$3006,P1580)))</f>
        <v>ACCEPTÉ</v>
      </c>
      <c r="H1580" s="82" t="str">
        <f aca="false">IF(C1580="","",IF(G1580="ACCEPTÉ","OUI","NON"))</f>
        <v>OUI</v>
      </c>
      <c r="I1580" s="83"/>
      <c r="J1580" s="80"/>
      <c r="K1580" s="81"/>
      <c r="L1580" s="81"/>
      <c r="M1580" s="81"/>
      <c r="N1580" s="84" t="str">
        <f aca="false">IF(C1580="","",IF(P1580="","NJ INCONNU",IF(I1580="",IF(H1580="OUI","À ENROBER",IF(G1580="À SOUDER","NON SOUDÉ","EN ATTENTE RT")),IF(L1580="R","À REPRENDRE",IF(H1580&lt;&gt;"OUI","⚠ ENROBÉ AVANT ACCEPTATION RT","ENROBÉ")))))</f>
        <v>À ENROBER</v>
      </c>
      <c r="O1580" s="80"/>
      <c r="P1580" s="82" t="n">
        <f aca="false">IF(C1580="","",IFERROR(MATCH(Q1580,'CARNET DE SOUDURE'!$AW$7:$AW$3006,0),""))</f>
        <v>1574</v>
      </c>
      <c r="Q1580" s="82" t="str">
        <f aca="false">IF(C1580="","",B1580&amp;"|"&amp;C1580)</f>
        <v>MFD-ISW → MFD-CPF|DJ°233</v>
      </c>
    </row>
    <row r="1581" customFormat="false" ht="74.6" hidden="false" customHeight="false" outlineLevel="0" collapsed="false">
      <c r="A1581" s="82" t="n">
        <f aca="false">IF(C1581="","",ROW()-6)</f>
        <v>1575</v>
      </c>
      <c r="B1581" s="80" t="s">
        <v>110</v>
      </c>
      <c r="C1581" s="113" t="s">
        <v>1902</v>
      </c>
      <c r="D1581" s="82" t="str">
        <f aca="false">IF(OR(C1581="",P1581=""),"",INDEX('CARNET DE SOUDURE'!$D$7:$D$3006,P1581)&amp;"")</f>
        <v>13</v>
      </c>
      <c r="E1581" s="114" t="n">
        <f aca="false">IF(OR(C1581="",P1581=""),"",IF(INDEX('CARNET DE SOUDURE'!$U$7:$U$3006,P1581)="","",INDEX('CARNET DE SOUDURE'!$U$7:$U$3006,P1581)))</f>
        <v>46275</v>
      </c>
      <c r="F1581" s="82" t="str">
        <f aca="false">IF(OR(C1581="",P1581=""),"",INDEX('CARNET DE SOUDURE'!$AP$7:$AP$3006,P1581))</f>
        <v>A</v>
      </c>
      <c r="G1581" s="82" t="str">
        <f aca="false">IF(C1581="","",IF(P1581="","NJ INCONNU",INDEX('CARNET DE SOUDURE'!$AQ$7:$AQ$3006,P1581)))</f>
        <v>ACCEPTÉ</v>
      </c>
      <c r="H1581" s="82" t="str">
        <f aca="false">IF(C1581="","",IF(G1581="ACCEPTÉ","OUI","NON"))</f>
        <v>OUI</v>
      </c>
      <c r="I1581" s="83"/>
      <c r="J1581" s="80"/>
      <c r="K1581" s="81"/>
      <c r="L1581" s="81"/>
      <c r="M1581" s="81"/>
      <c r="N1581" s="84" t="str">
        <f aca="false">IF(C1581="","",IF(P1581="","NJ INCONNU",IF(I1581="",IF(H1581="OUI","À ENROBER",IF(G1581="À SOUDER","NON SOUDÉ","EN ATTENTE RT")),IF(L1581="R","À REPRENDRE",IF(H1581&lt;&gt;"OUI","⚠ ENROBÉ AVANT ACCEPTATION RT","ENROBÉ")))))</f>
        <v>À ENROBER</v>
      </c>
      <c r="O1581" s="80"/>
      <c r="P1581" s="82" t="n">
        <f aca="false">IF(C1581="","",IFERROR(MATCH(Q1581,'CARNET DE SOUDURE'!$AW$7:$AW$3006,0),""))</f>
        <v>1575</v>
      </c>
      <c r="Q1581" s="82" t="str">
        <f aca="false">IF(C1581="","",B1581&amp;"|"&amp;C1581)</f>
        <v>MFD-ISW → MFD-CPF|JN°1296</v>
      </c>
    </row>
    <row r="1582" customFormat="false" ht="74.6" hidden="false" customHeight="false" outlineLevel="0" collapsed="false">
      <c r="A1582" s="82" t="n">
        <f aca="false">IF(C1582="","",ROW()-6)</f>
        <v>1576</v>
      </c>
      <c r="B1582" s="80" t="s">
        <v>110</v>
      </c>
      <c r="C1582" s="113" t="s">
        <v>1904</v>
      </c>
      <c r="D1582" s="82" t="str">
        <f aca="false">IF(OR(C1582="",P1582=""),"",INDEX('CARNET DE SOUDURE'!$D$7:$D$3006,P1582)&amp;"")</f>
        <v>13</v>
      </c>
      <c r="E1582" s="114" t="n">
        <f aca="false">IF(OR(C1582="",P1582=""),"",IF(INDEX('CARNET DE SOUDURE'!$U$7:$U$3006,P1582)="","",INDEX('CARNET DE SOUDURE'!$U$7:$U$3006,P1582)))</f>
        <v>46266</v>
      </c>
      <c r="F1582" s="82" t="str">
        <f aca="false">IF(OR(C1582="",P1582=""),"",INDEX('CARNET DE SOUDURE'!$AP$7:$AP$3006,P1582))</f>
        <v>A</v>
      </c>
      <c r="G1582" s="82" t="str">
        <f aca="false">IF(C1582="","",IF(P1582="","NJ INCONNU",INDEX('CARNET DE SOUDURE'!$AQ$7:$AQ$3006,P1582)))</f>
        <v>ACCEPTÉ</v>
      </c>
      <c r="H1582" s="82" t="str">
        <f aca="false">IF(C1582="","",IF(G1582="ACCEPTÉ","OUI","NON"))</f>
        <v>OUI</v>
      </c>
      <c r="I1582" s="83"/>
      <c r="J1582" s="80"/>
      <c r="K1582" s="81"/>
      <c r="L1582" s="81"/>
      <c r="M1582" s="81"/>
      <c r="N1582" s="84" t="str">
        <f aca="false">IF(C1582="","",IF(P1582="","NJ INCONNU",IF(I1582="",IF(H1582="OUI","À ENROBER",IF(G1582="À SOUDER","NON SOUDÉ","EN ATTENTE RT")),IF(L1582="R","À REPRENDRE",IF(H1582&lt;&gt;"OUI","⚠ ENROBÉ AVANT ACCEPTATION RT","ENROBÉ")))))</f>
        <v>À ENROBER</v>
      </c>
      <c r="O1582" s="80"/>
      <c r="P1582" s="82" t="n">
        <f aca="false">IF(C1582="","",IFERROR(MATCH(Q1582,'CARNET DE SOUDURE'!$AW$7:$AW$3006,0),""))</f>
        <v>1576</v>
      </c>
      <c r="Q1582" s="82" t="str">
        <f aca="false">IF(C1582="","",B1582&amp;"|"&amp;C1582)</f>
        <v>MFD-ISW → MFD-CPF|DJ°234</v>
      </c>
    </row>
    <row r="1583" customFormat="false" ht="74.6" hidden="false" customHeight="false" outlineLevel="0" collapsed="false">
      <c r="A1583" s="82" t="n">
        <f aca="false">IF(C1583="","",ROW()-6)</f>
        <v>1577</v>
      </c>
      <c r="B1583" s="80" t="s">
        <v>110</v>
      </c>
      <c r="C1583" s="113" t="s">
        <v>1905</v>
      </c>
      <c r="D1583" s="82" t="str">
        <f aca="false">IF(OR(C1583="",P1583=""),"",INDEX('CARNET DE SOUDURE'!$D$7:$D$3006,P1583)&amp;"")</f>
        <v>13</v>
      </c>
      <c r="E1583" s="114" t="n">
        <f aca="false">IF(OR(C1583="",P1583=""),"",IF(INDEX('CARNET DE SOUDURE'!$U$7:$U$3006,P1583)="","",INDEX('CARNET DE SOUDURE'!$U$7:$U$3006,P1583)))</f>
        <v>46291</v>
      </c>
      <c r="F1583" s="82" t="str">
        <f aca="false">IF(OR(C1583="",P1583=""),"",INDEX('CARNET DE SOUDURE'!$AP$7:$AP$3006,P1583))</f>
        <v/>
      </c>
      <c r="G1583" s="82" t="str">
        <f aca="false">IF(C1583="","",IF(P1583="","NJ INCONNU",INDEX('CARNET DE SOUDURE'!$AQ$7:$AQ$3006,P1583)))</f>
        <v>À RADIOGRAPHIER</v>
      </c>
      <c r="H1583" s="82" t="str">
        <f aca="false">IF(C1583="","",IF(G1583="ACCEPTÉ","OUI","NON"))</f>
        <v>NON</v>
      </c>
      <c r="I1583" s="83"/>
      <c r="J1583" s="80"/>
      <c r="K1583" s="81"/>
      <c r="L1583" s="81"/>
      <c r="M1583" s="81"/>
      <c r="N1583" s="84" t="str">
        <f aca="false">IF(C1583="","",IF(P1583="","NJ INCONNU",IF(I1583="",IF(H1583="OUI","À ENROBER",IF(G1583="À SOUDER","NON SOUDÉ","EN ATTENTE RT")),IF(L1583="R","À REPRENDRE",IF(H1583&lt;&gt;"OUI","⚠ ENROBÉ AVANT ACCEPTATION RT","ENROBÉ")))))</f>
        <v>EN ATTENTE RT</v>
      </c>
      <c r="O1583" s="80"/>
      <c r="P1583" s="82" t="n">
        <f aca="false">IF(C1583="","",IFERROR(MATCH(Q1583,'CARNET DE SOUDURE'!$AW$7:$AW$3006,0),""))</f>
        <v>1577</v>
      </c>
      <c r="Q1583" s="82" t="str">
        <f aca="false">IF(C1583="","",B1583&amp;"|"&amp;C1583)</f>
        <v>MFD-ISW → MFD-CPF|JN°1297R</v>
      </c>
    </row>
    <row r="1584" customFormat="false" ht="74.6" hidden="false" customHeight="false" outlineLevel="0" collapsed="false">
      <c r="A1584" s="82" t="n">
        <f aca="false">IF(C1584="","",ROW()-6)</f>
        <v>1578</v>
      </c>
      <c r="B1584" s="80" t="s">
        <v>110</v>
      </c>
      <c r="C1584" s="113" t="s">
        <v>1907</v>
      </c>
      <c r="D1584" s="82" t="str">
        <f aca="false">IF(OR(C1584="",P1584=""),"",INDEX('CARNET DE SOUDURE'!$D$7:$D$3006,P1584)&amp;"")</f>
        <v>13</v>
      </c>
      <c r="E1584" s="114" t="n">
        <f aca="false">IF(OR(C1584="",P1584=""),"",IF(INDEX('CARNET DE SOUDURE'!$U$7:$U$3006,P1584)="","",INDEX('CARNET DE SOUDURE'!$U$7:$U$3006,P1584)))</f>
        <v>46266</v>
      </c>
      <c r="F1584" s="82" t="str">
        <f aca="false">IF(OR(C1584="",P1584=""),"",INDEX('CARNET DE SOUDURE'!$AP$7:$AP$3006,P1584))</f>
        <v>A</v>
      </c>
      <c r="G1584" s="82" t="str">
        <f aca="false">IF(C1584="","",IF(P1584="","NJ INCONNU",INDEX('CARNET DE SOUDURE'!$AQ$7:$AQ$3006,P1584)))</f>
        <v>ACCEPTÉ</v>
      </c>
      <c r="H1584" s="82" t="str">
        <f aca="false">IF(C1584="","",IF(G1584="ACCEPTÉ","OUI","NON"))</f>
        <v>OUI</v>
      </c>
      <c r="I1584" s="83"/>
      <c r="J1584" s="80"/>
      <c r="K1584" s="81"/>
      <c r="L1584" s="81"/>
      <c r="M1584" s="81"/>
      <c r="N1584" s="84" t="str">
        <f aca="false">IF(C1584="","",IF(P1584="","NJ INCONNU",IF(I1584="",IF(H1584="OUI","À ENROBER",IF(G1584="À SOUDER","NON SOUDÉ","EN ATTENTE RT")),IF(L1584="R","À REPRENDRE",IF(H1584&lt;&gt;"OUI","⚠ ENROBÉ AVANT ACCEPTATION RT","ENROBÉ")))))</f>
        <v>À ENROBER</v>
      </c>
      <c r="O1584" s="80"/>
      <c r="P1584" s="82" t="n">
        <f aca="false">IF(C1584="","",IFERROR(MATCH(Q1584,'CARNET DE SOUDURE'!$AW$7:$AW$3006,0),""))</f>
        <v>1578</v>
      </c>
      <c r="Q1584" s="82" t="str">
        <f aca="false">IF(C1584="","",B1584&amp;"|"&amp;C1584)</f>
        <v>MFD-ISW → MFD-CPF|DJ°230</v>
      </c>
    </row>
    <row r="1585" customFormat="false" ht="74.6" hidden="false" customHeight="false" outlineLevel="0" collapsed="false">
      <c r="A1585" s="82" t="n">
        <f aca="false">IF(C1585="","",ROW()-6)</f>
        <v>1579</v>
      </c>
      <c r="B1585" s="80" t="s">
        <v>110</v>
      </c>
      <c r="C1585" s="113" t="s">
        <v>1908</v>
      </c>
      <c r="D1585" s="82" t="str">
        <f aca="false">IF(OR(C1585="",P1585=""),"",INDEX('CARNET DE SOUDURE'!$D$7:$D$3006,P1585)&amp;"")</f>
        <v>13</v>
      </c>
      <c r="E1585" s="114" t="n">
        <f aca="false">IF(OR(C1585="",P1585=""),"",IF(INDEX('CARNET DE SOUDURE'!$U$7:$U$3006,P1585)="","",INDEX('CARNET DE SOUDURE'!$U$7:$U$3006,P1585)))</f>
        <v>46291</v>
      </c>
      <c r="F1585" s="82" t="str">
        <f aca="false">IF(OR(C1585="",P1585=""),"",INDEX('CARNET DE SOUDURE'!$AP$7:$AP$3006,P1585))</f>
        <v/>
      </c>
      <c r="G1585" s="82" t="str">
        <f aca="false">IF(C1585="","",IF(P1585="","NJ INCONNU",INDEX('CARNET DE SOUDURE'!$AQ$7:$AQ$3006,P1585)))</f>
        <v>À RADIOGRAPHIER</v>
      </c>
      <c r="H1585" s="82" t="str">
        <f aca="false">IF(C1585="","",IF(G1585="ACCEPTÉ","OUI","NON"))</f>
        <v>NON</v>
      </c>
      <c r="I1585" s="83"/>
      <c r="J1585" s="80"/>
      <c r="K1585" s="81"/>
      <c r="L1585" s="81"/>
      <c r="M1585" s="81"/>
      <c r="N1585" s="84" t="str">
        <f aca="false">IF(C1585="","",IF(P1585="","NJ INCONNU",IF(I1585="",IF(H1585="OUI","À ENROBER",IF(G1585="À SOUDER","NON SOUDÉ","EN ATTENTE RT")),IF(L1585="R","À REPRENDRE",IF(H1585&lt;&gt;"OUI","⚠ ENROBÉ AVANT ACCEPTATION RT","ENROBÉ")))))</f>
        <v>EN ATTENTE RT</v>
      </c>
      <c r="O1585" s="80"/>
      <c r="P1585" s="82" t="n">
        <f aca="false">IF(C1585="","",IFERROR(MATCH(Q1585,'CARNET DE SOUDURE'!$AW$7:$AW$3006,0),""))</f>
        <v>1579</v>
      </c>
      <c r="Q1585" s="82" t="str">
        <f aca="false">IF(C1585="","",B1585&amp;"|"&amp;C1585)</f>
        <v>MFD-ISW → MFD-CPF|JN°1298R</v>
      </c>
    </row>
    <row r="1586" customFormat="false" ht="74.6" hidden="false" customHeight="false" outlineLevel="0" collapsed="false">
      <c r="A1586" s="82" t="n">
        <f aca="false">IF(C1586="","",ROW()-6)</f>
        <v>1580</v>
      </c>
      <c r="B1586" s="80" t="s">
        <v>110</v>
      </c>
      <c r="C1586" s="113" t="s">
        <v>1910</v>
      </c>
      <c r="D1586" s="82" t="str">
        <f aca="false">IF(OR(C1586="",P1586=""),"",INDEX('CARNET DE SOUDURE'!$D$7:$D$3006,P1586)&amp;"")</f>
        <v>13</v>
      </c>
      <c r="E1586" s="114" t="n">
        <f aca="false">IF(OR(C1586="",P1586=""),"",IF(INDEX('CARNET DE SOUDURE'!$U$7:$U$3006,P1586)="","",INDEX('CARNET DE SOUDURE'!$U$7:$U$3006,P1586)))</f>
        <v>46265</v>
      </c>
      <c r="F1586" s="82" t="str">
        <f aca="false">IF(OR(C1586="",P1586=""),"",INDEX('CARNET DE SOUDURE'!$AP$7:$AP$3006,P1586))</f>
        <v>A</v>
      </c>
      <c r="G1586" s="82" t="str">
        <f aca="false">IF(C1586="","",IF(P1586="","NJ INCONNU",INDEX('CARNET DE SOUDURE'!$AQ$7:$AQ$3006,P1586)))</f>
        <v>ACCEPTÉ</v>
      </c>
      <c r="H1586" s="82" t="str">
        <f aca="false">IF(C1586="","",IF(G1586="ACCEPTÉ","OUI","NON"))</f>
        <v>OUI</v>
      </c>
      <c r="I1586" s="83"/>
      <c r="J1586" s="80"/>
      <c r="K1586" s="81"/>
      <c r="L1586" s="81"/>
      <c r="M1586" s="81"/>
      <c r="N1586" s="84" t="str">
        <f aca="false">IF(C1586="","",IF(P1586="","NJ INCONNU",IF(I1586="",IF(H1586="OUI","À ENROBER",IF(G1586="À SOUDER","NON SOUDÉ","EN ATTENTE RT")),IF(L1586="R","À REPRENDRE",IF(H1586&lt;&gt;"OUI","⚠ ENROBÉ AVANT ACCEPTATION RT","ENROBÉ")))))</f>
        <v>À ENROBER</v>
      </c>
      <c r="O1586" s="80"/>
      <c r="P1586" s="82" t="n">
        <f aca="false">IF(C1586="","",IFERROR(MATCH(Q1586,'CARNET DE SOUDURE'!$AW$7:$AW$3006,0),""))</f>
        <v>1580</v>
      </c>
      <c r="Q1586" s="82" t="str">
        <f aca="false">IF(C1586="","",B1586&amp;"|"&amp;C1586)</f>
        <v>MFD-ISW → MFD-CPF|DJ°215</v>
      </c>
    </row>
    <row r="1587" customFormat="false" ht="74.6" hidden="false" customHeight="false" outlineLevel="0" collapsed="false">
      <c r="A1587" s="82" t="n">
        <f aca="false">IF(C1587="","",ROW()-6)</f>
        <v>1581</v>
      </c>
      <c r="B1587" s="80" t="s">
        <v>110</v>
      </c>
      <c r="C1587" s="113" t="s">
        <v>1912</v>
      </c>
      <c r="D1587" s="82" t="str">
        <f aca="false">IF(OR(C1587="",P1587=""),"",INDEX('CARNET DE SOUDURE'!$D$7:$D$3006,P1587)&amp;"")</f>
        <v>13</v>
      </c>
      <c r="E1587" s="114" t="n">
        <f aca="false">IF(OR(C1587="",P1587=""),"",IF(INDEX('CARNET DE SOUDURE'!$U$7:$U$3006,P1587)="","",INDEX('CARNET DE SOUDURE'!$U$7:$U$3006,P1587)))</f>
        <v>46275</v>
      </c>
      <c r="F1587" s="82" t="str">
        <f aca="false">IF(OR(C1587="",P1587=""),"",INDEX('CARNET DE SOUDURE'!$AP$7:$AP$3006,P1587))</f>
        <v>A</v>
      </c>
      <c r="G1587" s="82" t="str">
        <f aca="false">IF(C1587="","",IF(P1587="","NJ INCONNU",INDEX('CARNET DE SOUDURE'!$AQ$7:$AQ$3006,P1587)))</f>
        <v>ACCEPTÉ</v>
      </c>
      <c r="H1587" s="82" t="str">
        <f aca="false">IF(C1587="","",IF(G1587="ACCEPTÉ","OUI","NON"))</f>
        <v>OUI</v>
      </c>
      <c r="I1587" s="83"/>
      <c r="J1587" s="80"/>
      <c r="K1587" s="81"/>
      <c r="L1587" s="81"/>
      <c r="M1587" s="81"/>
      <c r="N1587" s="84" t="str">
        <f aca="false">IF(C1587="","",IF(P1587="","NJ INCONNU",IF(I1587="",IF(H1587="OUI","À ENROBER",IF(G1587="À SOUDER","NON SOUDÉ","EN ATTENTE RT")),IF(L1587="R","À REPRENDRE",IF(H1587&lt;&gt;"OUI","⚠ ENROBÉ AVANT ACCEPTATION RT","ENROBÉ")))))</f>
        <v>À ENROBER</v>
      </c>
      <c r="O1587" s="80"/>
      <c r="P1587" s="82" t="n">
        <f aca="false">IF(C1587="","",IFERROR(MATCH(Q1587,'CARNET DE SOUDURE'!$AW$7:$AW$3006,0),""))</f>
        <v>1581</v>
      </c>
      <c r="Q1587" s="82" t="str">
        <f aca="false">IF(C1587="","",B1587&amp;"|"&amp;C1587)</f>
        <v>MFD-ISW → MFD-CPF|JN°1299</v>
      </c>
    </row>
    <row r="1588" customFormat="false" ht="74.6" hidden="false" customHeight="false" outlineLevel="0" collapsed="false">
      <c r="A1588" s="82" t="n">
        <f aca="false">IF(C1588="","",ROW()-6)</f>
        <v>1582</v>
      </c>
      <c r="B1588" s="80" t="s">
        <v>110</v>
      </c>
      <c r="C1588" s="113" t="s">
        <v>1913</v>
      </c>
      <c r="D1588" s="82" t="str">
        <f aca="false">IF(OR(C1588="",P1588=""),"",INDEX('CARNET DE SOUDURE'!$D$7:$D$3006,P1588)&amp;"")</f>
        <v>13</v>
      </c>
      <c r="E1588" s="114" t="n">
        <f aca="false">IF(OR(C1588="",P1588=""),"",IF(INDEX('CARNET DE SOUDURE'!$U$7:$U$3006,P1588)="","",INDEX('CARNET DE SOUDURE'!$U$7:$U$3006,P1588)))</f>
        <v>46266</v>
      </c>
      <c r="F1588" s="82" t="str">
        <f aca="false">IF(OR(C1588="",P1588=""),"",INDEX('CARNET DE SOUDURE'!$AP$7:$AP$3006,P1588))</f>
        <v>A</v>
      </c>
      <c r="G1588" s="82" t="str">
        <f aca="false">IF(C1588="","",IF(P1588="","NJ INCONNU",INDEX('CARNET DE SOUDURE'!$AQ$7:$AQ$3006,P1588)))</f>
        <v>ACCEPTÉ</v>
      </c>
      <c r="H1588" s="82" t="str">
        <f aca="false">IF(C1588="","",IF(G1588="ACCEPTÉ","OUI","NON"))</f>
        <v>OUI</v>
      </c>
      <c r="I1588" s="83"/>
      <c r="J1588" s="80"/>
      <c r="K1588" s="81"/>
      <c r="L1588" s="81"/>
      <c r="M1588" s="81"/>
      <c r="N1588" s="84" t="str">
        <f aca="false">IF(C1588="","",IF(P1588="","NJ INCONNU",IF(I1588="",IF(H1588="OUI","À ENROBER",IF(G1588="À SOUDER","NON SOUDÉ","EN ATTENTE RT")),IF(L1588="R","À REPRENDRE",IF(H1588&lt;&gt;"OUI","⚠ ENROBÉ AVANT ACCEPTATION RT","ENROBÉ")))))</f>
        <v>À ENROBER</v>
      </c>
      <c r="O1588" s="80"/>
      <c r="P1588" s="82" t="n">
        <f aca="false">IF(C1588="","",IFERROR(MATCH(Q1588,'CARNET DE SOUDURE'!$AW$7:$AW$3006,0),""))</f>
        <v>1582</v>
      </c>
      <c r="Q1588" s="82" t="str">
        <f aca="false">IF(C1588="","",B1588&amp;"|"&amp;C1588)</f>
        <v>MFD-ISW → MFD-CPF|DJ°229</v>
      </c>
    </row>
    <row r="1589" customFormat="false" ht="74.6" hidden="false" customHeight="false" outlineLevel="0" collapsed="false">
      <c r="A1589" s="82" t="n">
        <f aca="false">IF(C1589="","",ROW()-6)</f>
        <v>1583</v>
      </c>
      <c r="B1589" s="80" t="s">
        <v>110</v>
      </c>
      <c r="C1589" s="113" t="s">
        <v>1914</v>
      </c>
      <c r="D1589" s="82" t="str">
        <f aca="false">IF(OR(C1589="",P1589=""),"",INDEX('CARNET DE SOUDURE'!$D$7:$D$3006,P1589)&amp;"")</f>
        <v>13</v>
      </c>
      <c r="E1589" s="114" t="str">
        <f aca="false">IF(OR(C1589="",P1589=""),"",IF(INDEX('CARNET DE SOUDURE'!$U$7:$U$3006,P1589)="","",INDEX('CARNET DE SOUDURE'!$U$7:$U$3006,P1589)))</f>
        <v/>
      </c>
      <c r="F1589" s="82" t="str">
        <f aca="false">IF(OR(C1589="",P1589=""),"",INDEX('CARNET DE SOUDURE'!$AP$7:$AP$3006,P1589))</f>
        <v/>
      </c>
      <c r="G1589" s="82" t="str">
        <f aca="false">IF(C1589="","",IF(P1589="","NJ INCONNU",INDEX('CARNET DE SOUDURE'!$AQ$7:$AQ$3006,P1589)))</f>
        <v>À SOUDER</v>
      </c>
      <c r="H1589" s="82" t="str">
        <f aca="false">IF(C1589="","",IF(G1589="ACCEPTÉ","OUI","NON"))</f>
        <v>NON</v>
      </c>
      <c r="I1589" s="83"/>
      <c r="J1589" s="80"/>
      <c r="K1589" s="81"/>
      <c r="L1589" s="81"/>
      <c r="M1589" s="81"/>
      <c r="N1589" s="84" t="str">
        <f aca="false">IF(C1589="","",IF(P1589="","NJ INCONNU",IF(I1589="",IF(H1589="OUI","À ENROBER",IF(G1589="À SOUDER","NON SOUDÉ","EN ATTENTE RT")),IF(L1589="R","À REPRENDRE",IF(H1589&lt;&gt;"OUI","⚠ ENROBÉ AVANT ACCEPTATION RT","ENROBÉ")))))</f>
        <v>NON SOUDÉ</v>
      </c>
      <c r="O1589" s="80"/>
      <c r="P1589" s="82" t="n">
        <f aca="false">IF(C1589="","",IFERROR(MATCH(Q1589,'CARNET DE SOUDURE'!$AW$7:$AW$3006,0),""))</f>
        <v>1583</v>
      </c>
      <c r="Q1589" s="82" t="str">
        <f aca="false">IF(C1589="","",B1589&amp;"|"&amp;C1589)</f>
        <v>MFD-ISW → MFD-CPF|JN°1300</v>
      </c>
    </row>
    <row r="1590" customFormat="false" ht="74.6" hidden="false" customHeight="false" outlineLevel="0" collapsed="false">
      <c r="A1590" s="82" t="n">
        <f aca="false">IF(C1590="","",ROW()-6)</f>
        <v>1584</v>
      </c>
      <c r="B1590" s="80" t="s">
        <v>110</v>
      </c>
      <c r="C1590" s="113" t="s">
        <v>1915</v>
      </c>
      <c r="D1590" s="82" t="str">
        <f aca="false">IF(OR(C1590="",P1590=""),"",INDEX('CARNET DE SOUDURE'!$D$7:$D$3006,P1590)&amp;"")</f>
        <v>13</v>
      </c>
      <c r="E1590" s="114" t="str">
        <f aca="false">IF(OR(C1590="",P1590=""),"",IF(INDEX('CARNET DE SOUDURE'!$U$7:$U$3006,P1590)="","",INDEX('CARNET DE SOUDURE'!$U$7:$U$3006,P1590)))</f>
        <v/>
      </c>
      <c r="F1590" s="82" t="str">
        <f aca="false">IF(OR(C1590="",P1590=""),"",INDEX('CARNET DE SOUDURE'!$AP$7:$AP$3006,P1590))</f>
        <v/>
      </c>
      <c r="G1590" s="82" t="str">
        <f aca="false">IF(C1590="","",IF(P1590="","NJ INCONNU",INDEX('CARNET DE SOUDURE'!$AQ$7:$AQ$3006,P1590)))</f>
        <v>À SOUDER</v>
      </c>
      <c r="H1590" s="82" t="str">
        <f aca="false">IF(C1590="","",IF(G1590="ACCEPTÉ","OUI","NON"))</f>
        <v>NON</v>
      </c>
      <c r="I1590" s="83"/>
      <c r="J1590" s="80"/>
      <c r="K1590" s="81"/>
      <c r="L1590" s="81"/>
      <c r="M1590" s="81"/>
      <c r="N1590" s="84" t="str">
        <f aca="false">IF(C1590="","",IF(P1590="","NJ INCONNU",IF(I1590="",IF(H1590="OUI","À ENROBER",IF(G1590="À SOUDER","NON SOUDÉ","EN ATTENTE RT")),IF(L1590="R","À REPRENDRE",IF(H1590&lt;&gt;"OUI","⚠ ENROBÉ AVANT ACCEPTATION RT","ENROBÉ")))))</f>
        <v>NON SOUDÉ</v>
      </c>
      <c r="O1590" s="80"/>
      <c r="P1590" s="82" t="n">
        <f aca="false">IF(C1590="","",IFERROR(MATCH(Q1590,'CARNET DE SOUDURE'!$AW$7:$AW$3006,0),""))</f>
        <v>1584</v>
      </c>
      <c r="Q1590" s="82" t="str">
        <f aca="false">IF(C1590="","",B1590&amp;"|"&amp;C1590)</f>
        <v>MFD-ISW → MFD-CPF|JN°1301</v>
      </c>
    </row>
    <row r="1591" customFormat="false" ht="74.6" hidden="false" customHeight="false" outlineLevel="0" collapsed="false">
      <c r="A1591" s="82" t="n">
        <f aca="false">IF(C1591="","",ROW()-6)</f>
        <v>1585</v>
      </c>
      <c r="B1591" s="80" t="s">
        <v>110</v>
      </c>
      <c r="C1591" s="113" t="s">
        <v>1916</v>
      </c>
      <c r="D1591" s="82" t="str">
        <f aca="false">IF(OR(C1591="",P1591=""),"",INDEX('CARNET DE SOUDURE'!$D$7:$D$3006,P1591)&amp;"")</f>
        <v>13</v>
      </c>
      <c r="E1591" s="114" t="str">
        <f aca="false">IF(OR(C1591="",P1591=""),"",IF(INDEX('CARNET DE SOUDURE'!$U$7:$U$3006,P1591)="","",INDEX('CARNET DE SOUDURE'!$U$7:$U$3006,P1591)))</f>
        <v/>
      </c>
      <c r="F1591" s="82" t="str">
        <f aca="false">IF(OR(C1591="",P1591=""),"",INDEX('CARNET DE SOUDURE'!$AP$7:$AP$3006,P1591))</f>
        <v/>
      </c>
      <c r="G1591" s="82" t="str">
        <f aca="false">IF(C1591="","",IF(P1591="","NJ INCONNU",INDEX('CARNET DE SOUDURE'!$AQ$7:$AQ$3006,P1591)))</f>
        <v>À SOUDER</v>
      </c>
      <c r="H1591" s="82" t="str">
        <f aca="false">IF(C1591="","",IF(G1591="ACCEPTÉ","OUI","NON"))</f>
        <v>NON</v>
      </c>
      <c r="I1591" s="83"/>
      <c r="J1591" s="80"/>
      <c r="K1591" s="81"/>
      <c r="L1591" s="81"/>
      <c r="M1591" s="81"/>
      <c r="N1591" s="84" t="str">
        <f aca="false">IF(C1591="","",IF(P1591="","NJ INCONNU",IF(I1591="",IF(H1591="OUI","À ENROBER",IF(G1591="À SOUDER","NON SOUDÉ","EN ATTENTE RT")),IF(L1591="R","À REPRENDRE",IF(H1591&lt;&gt;"OUI","⚠ ENROBÉ AVANT ACCEPTATION RT","ENROBÉ")))))</f>
        <v>NON SOUDÉ</v>
      </c>
      <c r="O1591" s="80"/>
      <c r="P1591" s="82" t="n">
        <f aca="false">IF(C1591="","",IFERROR(MATCH(Q1591,'CARNET DE SOUDURE'!$AW$7:$AW$3006,0),""))</f>
        <v>1585</v>
      </c>
      <c r="Q1591" s="82" t="str">
        <f aca="false">IF(C1591="","",B1591&amp;"|"&amp;C1591)</f>
        <v>MFD-ISW → MFD-CPF|JN°1302</v>
      </c>
    </row>
    <row r="1592" customFormat="false" ht="74.6" hidden="false" customHeight="false" outlineLevel="0" collapsed="false">
      <c r="A1592" s="82" t="n">
        <f aca="false">IF(C1592="","",ROW()-6)</f>
        <v>1586</v>
      </c>
      <c r="B1592" s="80" t="s">
        <v>110</v>
      </c>
      <c r="C1592" s="113" t="s">
        <v>1918</v>
      </c>
      <c r="D1592" s="82" t="str">
        <f aca="false">IF(OR(C1592="",P1592=""),"",INDEX('CARNET DE SOUDURE'!$D$7:$D$3006,P1592)&amp;"")</f>
        <v>13</v>
      </c>
      <c r="E1592" s="114" t="n">
        <f aca="false">IF(OR(C1592="",P1592=""),"",IF(INDEX('CARNET DE SOUDURE'!$U$7:$U$3006,P1592)="","",INDEX('CARNET DE SOUDURE'!$U$7:$U$3006,P1592)))</f>
        <v>46265</v>
      </c>
      <c r="F1592" s="82" t="str">
        <f aca="false">IF(OR(C1592="",P1592=""),"",INDEX('CARNET DE SOUDURE'!$AP$7:$AP$3006,P1592))</f>
        <v>A</v>
      </c>
      <c r="G1592" s="82" t="str">
        <f aca="false">IF(C1592="","",IF(P1592="","NJ INCONNU",INDEX('CARNET DE SOUDURE'!$AQ$7:$AQ$3006,P1592)))</f>
        <v>ACCEPTÉ</v>
      </c>
      <c r="H1592" s="82" t="str">
        <f aca="false">IF(C1592="","",IF(G1592="ACCEPTÉ","OUI","NON"))</f>
        <v>OUI</v>
      </c>
      <c r="I1592" s="83"/>
      <c r="J1592" s="80"/>
      <c r="K1592" s="81"/>
      <c r="L1592" s="81"/>
      <c r="M1592" s="81"/>
      <c r="N1592" s="84" t="str">
        <f aca="false">IF(C1592="","",IF(P1592="","NJ INCONNU",IF(I1592="",IF(H1592="OUI","À ENROBER",IF(G1592="À SOUDER","NON SOUDÉ","EN ATTENTE RT")),IF(L1592="R","À REPRENDRE",IF(H1592&lt;&gt;"OUI","⚠ ENROBÉ AVANT ACCEPTATION RT","ENROBÉ")))))</f>
        <v>À ENROBER</v>
      </c>
      <c r="O1592" s="80"/>
      <c r="P1592" s="82" t="n">
        <f aca="false">IF(C1592="","",IFERROR(MATCH(Q1592,'CARNET DE SOUDURE'!$AW$7:$AW$3006,0),""))</f>
        <v>1586</v>
      </c>
      <c r="Q1592" s="82" t="str">
        <f aca="false">IF(C1592="","",B1592&amp;"|"&amp;C1592)</f>
        <v>MFD-ISW → MFD-CPF|DJ°213</v>
      </c>
    </row>
    <row r="1593" customFormat="false" ht="74.6" hidden="false" customHeight="false" outlineLevel="0" collapsed="false">
      <c r="A1593" s="82" t="n">
        <f aca="false">IF(C1593="","",ROW()-6)</f>
        <v>1587</v>
      </c>
      <c r="B1593" s="80" t="s">
        <v>110</v>
      </c>
      <c r="C1593" s="113" t="s">
        <v>1919</v>
      </c>
      <c r="D1593" s="82" t="str">
        <f aca="false">IF(OR(C1593="",P1593=""),"",INDEX('CARNET DE SOUDURE'!$D$7:$D$3006,P1593)&amp;"")</f>
        <v>13</v>
      </c>
      <c r="E1593" s="114" t="n">
        <f aca="false">IF(OR(C1593="",P1593=""),"",IF(INDEX('CARNET DE SOUDURE'!$U$7:$U$3006,P1593)="","",INDEX('CARNET DE SOUDURE'!$U$7:$U$3006,P1593)))</f>
        <v>46275</v>
      </c>
      <c r="F1593" s="82" t="str">
        <f aca="false">IF(OR(C1593="",P1593=""),"",INDEX('CARNET DE SOUDURE'!$AP$7:$AP$3006,P1593))</f>
        <v>A</v>
      </c>
      <c r="G1593" s="82" t="str">
        <f aca="false">IF(C1593="","",IF(P1593="","NJ INCONNU",INDEX('CARNET DE SOUDURE'!$AQ$7:$AQ$3006,P1593)))</f>
        <v>ACCEPTÉ</v>
      </c>
      <c r="H1593" s="82" t="str">
        <f aca="false">IF(C1593="","",IF(G1593="ACCEPTÉ","OUI","NON"))</f>
        <v>OUI</v>
      </c>
      <c r="I1593" s="83"/>
      <c r="J1593" s="80"/>
      <c r="K1593" s="81"/>
      <c r="L1593" s="81"/>
      <c r="M1593" s="81"/>
      <c r="N1593" s="84" t="str">
        <f aca="false">IF(C1593="","",IF(P1593="","NJ INCONNU",IF(I1593="",IF(H1593="OUI","À ENROBER",IF(G1593="À SOUDER","NON SOUDÉ","EN ATTENTE RT")),IF(L1593="R","À REPRENDRE",IF(H1593&lt;&gt;"OUI","⚠ ENROBÉ AVANT ACCEPTATION RT","ENROBÉ")))))</f>
        <v>À ENROBER</v>
      </c>
      <c r="O1593" s="80"/>
      <c r="P1593" s="82" t="n">
        <f aca="false">IF(C1593="","",IFERROR(MATCH(Q1593,'CARNET DE SOUDURE'!$AW$7:$AW$3006,0),""))</f>
        <v>1587</v>
      </c>
      <c r="Q1593" s="82" t="str">
        <f aca="false">IF(C1593="","",B1593&amp;"|"&amp;C1593)</f>
        <v>MFD-ISW → MFD-CPF|JN°1303</v>
      </c>
    </row>
    <row r="1594" customFormat="false" ht="74.6" hidden="false" customHeight="false" outlineLevel="0" collapsed="false">
      <c r="A1594" s="82" t="n">
        <f aca="false">IF(C1594="","",ROW()-6)</f>
        <v>1588</v>
      </c>
      <c r="B1594" s="80" t="s">
        <v>110</v>
      </c>
      <c r="C1594" s="113" t="s">
        <v>1921</v>
      </c>
      <c r="D1594" s="82" t="str">
        <f aca="false">IF(OR(C1594="",P1594=""),"",INDEX('CARNET DE SOUDURE'!$D$7:$D$3006,P1594)&amp;"")</f>
        <v>13</v>
      </c>
      <c r="E1594" s="114" t="n">
        <f aca="false">IF(OR(C1594="",P1594=""),"",IF(INDEX('CARNET DE SOUDURE'!$U$7:$U$3006,P1594)="","",INDEX('CARNET DE SOUDURE'!$U$7:$U$3006,P1594)))</f>
        <v>46263</v>
      </c>
      <c r="F1594" s="82" t="str">
        <f aca="false">IF(OR(C1594="",P1594=""),"",INDEX('CARNET DE SOUDURE'!$AP$7:$AP$3006,P1594))</f>
        <v>A</v>
      </c>
      <c r="G1594" s="82" t="str">
        <f aca="false">IF(C1594="","",IF(P1594="","NJ INCONNU",INDEX('CARNET DE SOUDURE'!$AQ$7:$AQ$3006,P1594)))</f>
        <v>ACCEPTÉ</v>
      </c>
      <c r="H1594" s="82" t="str">
        <f aca="false">IF(C1594="","",IF(G1594="ACCEPTÉ","OUI","NON"))</f>
        <v>OUI</v>
      </c>
      <c r="I1594" s="83"/>
      <c r="J1594" s="80"/>
      <c r="K1594" s="81"/>
      <c r="L1594" s="81"/>
      <c r="M1594" s="81"/>
      <c r="N1594" s="84" t="str">
        <f aca="false">IF(C1594="","",IF(P1594="","NJ INCONNU",IF(I1594="",IF(H1594="OUI","À ENROBER",IF(G1594="À SOUDER","NON SOUDÉ","EN ATTENTE RT")),IF(L1594="R","À REPRENDRE",IF(H1594&lt;&gt;"OUI","⚠ ENROBÉ AVANT ACCEPTATION RT","ENROBÉ")))))</f>
        <v>À ENROBER</v>
      </c>
      <c r="O1594" s="80"/>
      <c r="P1594" s="82" t="n">
        <f aca="false">IF(C1594="","",IFERROR(MATCH(Q1594,'CARNET DE SOUDURE'!$AW$7:$AW$3006,0),""))</f>
        <v>1588</v>
      </c>
      <c r="Q1594" s="82" t="str">
        <f aca="false">IF(C1594="","",B1594&amp;"|"&amp;C1594)</f>
        <v>MFD-ISW → MFD-CPF|DJ°187</v>
      </c>
    </row>
    <row r="1595" customFormat="false" ht="74.6" hidden="false" customHeight="false" outlineLevel="0" collapsed="false">
      <c r="A1595" s="82" t="n">
        <f aca="false">IF(C1595="","",ROW()-6)</f>
        <v>1589</v>
      </c>
      <c r="B1595" s="80" t="s">
        <v>110</v>
      </c>
      <c r="C1595" s="113" t="s">
        <v>1923</v>
      </c>
      <c r="D1595" s="82" t="str">
        <f aca="false">IF(OR(C1595="",P1595=""),"",INDEX('CARNET DE SOUDURE'!$D$7:$D$3006,P1595)&amp;"")</f>
        <v>13</v>
      </c>
      <c r="E1595" s="114" t="n">
        <f aca="false">IF(OR(C1595="",P1595=""),"",IF(INDEX('CARNET DE SOUDURE'!$U$7:$U$3006,P1595)="","",INDEX('CARNET DE SOUDURE'!$U$7:$U$3006,P1595)))</f>
        <v>46275</v>
      </c>
      <c r="F1595" s="82" t="str">
        <f aca="false">IF(OR(C1595="",P1595=""),"",INDEX('CARNET DE SOUDURE'!$AP$7:$AP$3006,P1595))</f>
        <v>A</v>
      </c>
      <c r="G1595" s="82" t="str">
        <f aca="false">IF(C1595="","",IF(P1595="","NJ INCONNU",INDEX('CARNET DE SOUDURE'!$AQ$7:$AQ$3006,P1595)))</f>
        <v>ACCEPTÉ</v>
      </c>
      <c r="H1595" s="82" t="str">
        <f aca="false">IF(C1595="","",IF(G1595="ACCEPTÉ","OUI","NON"))</f>
        <v>OUI</v>
      </c>
      <c r="I1595" s="83"/>
      <c r="J1595" s="80"/>
      <c r="K1595" s="81"/>
      <c r="L1595" s="81"/>
      <c r="M1595" s="81"/>
      <c r="N1595" s="84" t="str">
        <f aca="false">IF(C1595="","",IF(P1595="","NJ INCONNU",IF(I1595="",IF(H1595="OUI","À ENROBER",IF(G1595="À SOUDER","NON SOUDÉ","EN ATTENTE RT")),IF(L1595="R","À REPRENDRE",IF(H1595&lt;&gt;"OUI","⚠ ENROBÉ AVANT ACCEPTATION RT","ENROBÉ")))))</f>
        <v>À ENROBER</v>
      </c>
      <c r="O1595" s="80"/>
      <c r="P1595" s="82" t="n">
        <f aca="false">IF(C1595="","",IFERROR(MATCH(Q1595,'CARNET DE SOUDURE'!$AW$7:$AW$3006,0),""))</f>
        <v>1589</v>
      </c>
      <c r="Q1595" s="82" t="str">
        <f aca="false">IF(C1595="","",B1595&amp;"|"&amp;C1595)</f>
        <v>MFD-ISW → MFD-CPF|JN°1304</v>
      </c>
    </row>
    <row r="1596" customFormat="false" ht="74.6" hidden="false" customHeight="false" outlineLevel="0" collapsed="false">
      <c r="A1596" s="82" t="n">
        <f aca="false">IF(C1596="","",ROW()-6)</f>
        <v>1590</v>
      </c>
      <c r="B1596" s="80" t="s">
        <v>110</v>
      </c>
      <c r="C1596" s="113" t="s">
        <v>1924</v>
      </c>
      <c r="D1596" s="82" t="str">
        <f aca="false">IF(OR(C1596="",P1596=""),"",INDEX('CARNET DE SOUDURE'!$D$7:$D$3006,P1596)&amp;"")</f>
        <v>14</v>
      </c>
      <c r="E1596" s="114" t="n">
        <f aca="false">IF(OR(C1596="",P1596=""),"",IF(INDEX('CARNET DE SOUDURE'!$U$7:$U$3006,P1596)="","",INDEX('CARNET DE SOUDURE'!$U$7:$U$3006,P1596)))</f>
        <v>46265</v>
      </c>
      <c r="F1596" s="82" t="str">
        <f aca="false">IF(OR(C1596="",P1596=""),"",INDEX('CARNET DE SOUDURE'!$AP$7:$AP$3006,P1596))</f>
        <v>A</v>
      </c>
      <c r="G1596" s="82" t="str">
        <f aca="false">IF(C1596="","",IF(P1596="","NJ INCONNU",INDEX('CARNET DE SOUDURE'!$AQ$7:$AQ$3006,P1596)))</f>
        <v>ACCEPTÉ</v>
      </c>
      <c r="H1596" s="82" t="str">
        <f aca="false">IF(C1596="","",IF(G1596="ACCEPTÉ","OUI","NON"))</f>
        <v>OUI</v>
      </c>
      <c r="I1596" s="83"/>
      <c r="J1596" s="80"/>
      <c r="K1596" s="81"/>
      <c r="L1596" s="81"/>
      <c r="M1596" s="81"/>
      <c r="N1596" s="84" t="str">
        <f aca="false">IF(C1596="","",IF(P1596="","NJ INCONNU",IF(I1596="",IF(H1596="OUI","À ENROBER",IF(G1596="À SOUDER","NON SOUDÉ","EN ATTENTE RT")),IF(L1596="R","À REPRENDRE",IF(H1596&lt;&gt;"OUI","⚠ ENROBÉ AVANT ACCEPTATION RT","ENROBÉ")))))</f>
        <v>À ENROBER</v>
      </c>
      <c r="O1596" s="80"/>
      <c r="P1596" s="82" t="n">
        <f aca="false">IF(C1596="","",IFERROR(MATCH(Q1596,'CARNET DE SOUDURE'!$AW$7:$AW$3006,0),""))</f>
        <v>1590</v>
      </c>
      <c r="Q1596" s="82" t="str">
        <f aca="false">IF(C1596="","",B1596&amp;"|"&amp;C1596)</f>
        <v>MFD-ISW → MFD-CPF|DJ°221</v>
      </c>
    </row>
    <row r="1597" customFormat="false" ht="74.6" hidden="false" customHeight="false" outlineLevel="0" collapsed="false">
      <c r="A1597" s="82" t="n">
        <f aca="false">IF(C1597="","",ROW()-6)</f>
        <v>1591</v>
      </c>
      <c r="B1597" s="80" t="s">
        <v>110</v>
      </c>
      <c r="C1597" s="113" t="s">
        <v>1925</v>
      </c>
      <c r="D1597" s="82" t="str">
        <f aca="false">IF(OR(C1597="",P1597=""),"",INDEX('CARNET DE SOUDURE'!$D$7:$D$3006,P1597)&amp;"")</f>
        <v>14</v>
      </c>
      <c r="E1597" s="114" t="n">
        <f aca="false">IF(OR(C1597="",P1597=""),"",IF(INDEX('CARNET DE SOUDURE'!$U$7:$U$3006,P1597)="","",INDEX('CARNET DE SOUDURE'!$U$7:$U$3006,P1597)))</f>
        <v>46275</v>
      </c>
      <c r="F1597" s="82" t="str">
        <f aca="false">IF(OR(C1597="",P1597=""),"",INDEX('CARNET DE SOUDURE'!$AP$7:$AP$3006,P1597))</f>
        <v>A</v>
      </c>
      <c r="G1597" s="82" t="str">
        <f aca="false">IF(C1597="","",IF(P1597="","NJ INCONNU",INDEX('CARNET DE SOUDURE'!$AQ$7:$AQ$3006,P1597)))</f>
        <v>ACCEPTÉ</v>
      </c>
      <c r="H1597" s="82" t="str">
        <f aca="false">IF(C1597="","",IF(G1597="ACCEPTÉ","OUI","NON"))</f>
        <v>OUI</v>
      </c>
      <c r="I1597" s="83"/>
      <c r="J1597" s="80"/>
      <c r="K1597" s="81"/>
      <c r="L1597" s="81"/>
      <c r="M1597" s="81"/>
      <c r="N1597" s="84" t="str">
        <f aca="false">IF(C1597="","",IF(P1597="","NJ INCONNU",IF(I1597="",IF(H1597="OUI","À ENROBER",IF(G1597="À SOUDER","NON SOUDÉ","EN ATTENTE RT")),IF(L1597="R","À REPRENDRE",IF(H1597&lt;&gt;"OUI","⚠ ENROBÉ AVANT ACCEPTATION RT","ENROBÉ")))))</f>
        <v>À ENROBER</v>
      </c>
      <c r="O1597" s="80"/>
      <c r="P1597" s="82" t="n">
        <f aca="false">IF(C1597="","",IFERROR(MATCH(Q1597,'CARNET DE SOUDURE'!$AW$7:$AW$3006,0),""))</f>
        <v>1591</v>
      </c>
      <c r="Q1597" s="82" t="str">
        <f aca="false">IF(C1597="","",B1597&amp;"|"&amp;C1597)</f>
        <v>MFD-ISW → MFD-CPF|JN°1305</v>
      </c>
    </row>
    <row r="1598" customFormat="false" ht="74.6" hidden="false" customHeight="false" outlineLevel="0" collapsed="false">
      <c r="A1598" s="82" t="n">
        <f aca="false">IF(C1598="","",ROW()-6)</f>
        <v>1592</v>
      </c>
      <c r="B1598" s="80" t="s">
        <v>110</v>
      </c>
      <c r="C1598" s="113" t="s">
        <v>1926</v>
      </c>
      <c r="D1598" s="82" t="str">
        <f aca="false">IF(OR(C1598="",P1598=""),"",INDEX('CARNET DE SOUDURE'!$D$7:$D$3006,P1598)&amp;"")</f>
        <v>14</v>
      </c>
      <c r="E1598" s="114" t="n">
        <f aca="false">IF(OR(C1598="",P1598=""),"",IF(INDEX('CARNET DE SOUDURE'!$U$7:$U$3006,P1598)="","",INDEX('CARNET DE SOUDURE'!$U$7:$U$3006,P1598)))</f>
        <v>46265</v>
      </c>
      <c r="F1598" s="82" t="str">
        <f aca="false">IF(OR(C1598="",P1598=""),"",INDEX('CARNET DE SOUDURE'!$AP$7:$AP$3006,P1598))</f>
        <v>A</v>
      </c>
      <c r="G1598" s="82" t="str">
        <f aca="false">IF(C1598="","",IF(P1598="","NJ INCONNU",INDEX('CARNET DE SOUDURE'!$AQ$7:$AQ$3006,P1598)))</f>
        <v>ACCEPTÉ</v>
      </c>
      <c r="H1598" s="82" t="str">
        <f aca="false">IF(C1598="","",IF(G1598="ACCEPTÉ","OUI","NON"))</f>
        <v>OUI</v>
      </c>
      <c r="I1598" s="83"/>
      <c r="J1598" s="80"/>
      <c r="K1598" s="81"/>
      <c r="L1598" s="81"/>
      <c r="M1598" s="81"/>
      <c r="N1598" s="84" t="str">
        <f aca="false">IF(C1598="","",IF(P1598="","NJ INCONNU",IF(I1598="",IF(H1598="OUI","À ENROBER",IF(G1598="À SOUDER","NON SOUDÉ","EN ATTENTE RT")),IF(L1598="R","À REPRENDRE",IF(H1598&lt;&gt;"OUI","⚠ ENROBÉ AVANT ACCEPTATION RT","ENROBÉ")))))</f>
        <v>À ENROBER</v>
      </c>
      <c r="O1598" s="80"/>
      <c r="P1598" s="82" t="n">
        <f aca="false">IF(C1598="","",IFERROR(MATCH(Q1598,'CARNET DE SOUDURE'!$AW$7:$AW$3006,0),""))</f>
        <v>1592</v>
      </c>
      <c r="Q1598" s="82" t="str">
        <f aca="false">IF(C1598="","",B1598&amp;"|"&amp;C1598)</f>
        <v>MFD-ISW → MFD-CPF|DJ°224</v>
      </c>
    </row>
    <row r="1599" customFormat="false" ht="74.6" hidden="false" customHeight="false" outlineLevel="0" collapsed="false">
      <c r="A1599" s="82" t="n">
        <f aca="false">IF(C1599="","",ROW()-6)</f>
        <v>1593</v>
      </c>
      <c r="B1599" s="80" t="s">
        <v>110</v>
      </c>
      <c r="C1599" s="113" t="s">
        <v>1928</v>
      </c>
      <c r="D1599" s="82" t="str">
        <f aca="false">IF(OR(C1599="",P1599=""),"",INDEX('CARNET DE SOUDURE'!$D$7:$D$3006,P1599)&amp;"")</f>
        <v>14</v>
      </c>
      <c r="E1599" s="114" t="n">
        <f aca="false">IF(OR(C1599="",P1599=""),"",IF(INDEX('CARNET DE SOUDURE'!$U$7:$U$3006,P1599)="","",INDEX('CARNET DE SOUDURE'!$U$7:$U$3006,P1599)))</f>
        <v>46275</v>
      </c>
      <c r="F1599" s="82" t="str">
        <f aca="false">IF(OR(C1599="",P1599=""),"",INDEX('CARNET DE SOUDURE'!$AP$7:$AP$3006,P1599))</f>
        <v>A</v>
      </c>
      <c r="G1599" s="82" t="str">
        <f aca="false">IF(C1599="","",IF(P1599="","NJ INCONNU",INDEX('CARNET DE SOUDURE'!$AQ$7:$AQ$3006,P1599)))</f>
        <v>ACCEPTÉ</v>
      </c>
      <c r="H1599" s="82" t="str">
        <f aca="false">IF(C1599="","",IF(G1599="ACCEPTÉ","OUI","NON"))</f>
        <v>OUI</v>
      </c>
      <c r="I1599" s="83"/>
      <c r="J1599" s="80"/>
      <c r="K1599" s="81"/>
      <c r="L1599" s="81"/>
      <c r="M1599" s="81"/>
      <c r="N1599" s="84" t="str">
        <f aca="false">IF(C1599="","",IF(P1599="","NJ INCONNU",IF(I1599="",IF(H1599="OUI","À ENROBER",IF(G1599="À SOUDER","NON SOUDÉ","EN ATTENTE RT")),IF(L1599="R","À REPRENDRE",IF(H1599&lt;&gt;"OUI","⚠ ENROBÉ AVANT ACCEPTATION RT","ENROBÉ")))))</f>
        <v>À ENROBER</v>
      </c>
      <c r="O1599" s="80"/>
      <c r="P1599" s="82" t="n">
        <f aca="false">IF(C1599="","",IFERROR(MATCH(Q1599,'CARNET DE SOUDURE'!$AW$7:$AW$3006,0),""))</f>
        <v>1593</v>
      </c>
      <c r="Q1599" s="82" t="str">
        <f aca="false">IF(C1599="","",B1599&amp;"|"&amp;C1599)</f>
        <v>MFD-ISW → MFD-CPF|JN°1306</v>
      </c>
    </row>
    <row r="1600" customFormat="false" ht="74.6" hidden="false" customHeight="false" outlineLevel="0" collapsed="false">
      <c r="A1600" s="82" t="n">
        <f aca="false">IF(C1600="","",ROW()-6)</f>
        <v>1594</v>
      </c>
      <c r="B1600" s="80" t="s">
        <v>110</v>
      </c>
      <c r="C1600" s="113" t="s">
        <v>1929</v>
      </c>
      <c r="D1600" s="82" t="str">
        <f aca="false">IF(OR(C1600="",P1600=""),"",INDEX('CARNET DE SOUDURE'!$D$7:$D$3006,P1600)&amp;"")</f>
        <v>14</v>
      </c>
      <c r="E1600" s="114" t="n">
        <f aca="false">IF(OR(C1600="",P1600=""),"",IF(INDEX('CARNET DE SOUDURE'!$U$7:$U$3006,P1600)="","",INDEX('CARNET DE SOUDURE'!$U$7:$U$3006,P1600)))</f>
        <v>46262</v>
      </c>
      <c r="F1600" s="82" t="str">
        <f aca="false">IF(OR(C1600="",P1600=""),"",INDEX('CARNET DE SOUDURE'!$AP$7:$AP$3006,P1600))</f>
        <v>A</v>
      </c>
      <c r="G1600" s="82" t="str">
        <f aca="false">IF(C1600="","",IF(P1600="","NJ INCONNU",INDEX('CARNET DE SOUDURE'!$AQ$7:$AQ$3006,P1600)))</f>
        <v>ACCEPTÉ</v>
      </c>
      <c r="H1600" s="82" t="str">
        <f aca="false">IF(C1600="","",IF(G1600="ACCEPTÉ","OUI","NON"))</f>
        <v>OUI</v>
      </c>
      <c r="I1600" s="83"/>
      <c r="J1600" s="80"/>
      <c r="K1600" s="81"/>
      <c r="L1600" s="81"/>
      <c r="M1600" s="81"/>
      <c r="N1600" s="84" t="str">
        <f aca="false">IF(C1600="","",IF(P1600="","NJ INCONNU",IF(I1600="",IF(H1600="OUI","À ENROBER",IF(G1600="À SOUDER","NON SOUDÉ","EN ATTENTE RT")),IF(L1600="R","À REPRENDRE",IF(H1600&lt;&gt;"OUI","⚠ ENROBÉ AVANT ACCEPTATION RT","ENROBÉ")))))</f>
        <v>À ENROBER</v>
      </c>
      <c r="O1600" s="80"/>
      <c r="P1600" s="82" t="n">
        <f aca="false">IF(C1600="","",IFERROR(MATCH(Q1600,'CARNET DE SOUDURE'!$AW$7:$AW$3006,0),""))</f>
        <v>1594</v>
      </c>
      <c r="Q1600" s="82" t="str">
        <f aca="false">IF(C1600="","",B1600&amp;"|"&amp;C1600)</f>
        <v>MFD-ISW → MFD-CPF|DJ°181</v>
      </c>
    </row>
    <row r="1601" customFormat="false" ht="74.6" hidden="false" customHeight="false" outlineLevel="0" collapsed="false">
      <c r="A1601" s="82" t="n">
        <f aca="false">IF(C1601="","",ROW()-6)</f>
        <v>1595</v>
      </c>
      <c r="B1601" s="80" t="s">
        <v>110</v>
      </c>
      <c r="C1601" s="113" t="s">
        <v>1931</v>
      </c>
      <c r="D1601" s="82" t="str">
        <f aca="false">IF(OR(C1601="",P1601=""),"",INDEX('CARNET DE SOUDURE'!$D$7:$D$3006,P1601)&amp;"")</f>
        <v>14</v>
      </c>
      <c r="E1601" s="114" t="n">
        <f aca="false">IF(OR(C1601="",P1601=""),"",IF(INDEX('CARNET DE SOUDURE'!$U$7:$U$3006,P1601)="","",INDEX('CARNET DE SOUDURE'!$U$7:$U$3006,P1601)))</f>
        <v>46291</v>
      </c>
      <c r="F1601" s="82" t="str">
        <f aca="false">IF(OR(C1601="",P1601=""),"",INDEX('CARNET DE SOUDURE'!$AP$7:$AP$3006,P1601))</f>
        <v/>
      </c>
      <c r="G1601" s="82" t="str">
        <f aca="false">IF(C1601="","",IF(P1601="","NJ INCONNU",INDEX('CARNET DE SOUDURE'!$AQ$7:$AQ$3006,P1601)))</f>
        <v>À RADIOGRAPHIER</v>
      </c>
      <c r="H1601" s="82" t="str">
        <f aca="false">IF(C1601="","",IF(G1601="ACCEPTÉ","OUI","NON"))</f>
        <v>NON</v>
      </c>
      <c r="I1601" s="83"/>
      <c r="J1601" s="80"/>
      <c r="K1601" s="81"/>
      <c r="L1601" s="81"/>
      <c r="M1601" s="81"/>
      <c r="N1601" s="84" t="str">
        <f aca="false">IF(C1601="","",IF(P1601="","NJ INCONNU",IF(I1601="",IF(H1601="OUI","À ENROBER",IF(G1601="À SOUDER","NON SOUDÉ","EN ATTENTE RT")),IF(L1601="R","À REPRENDRE",IF(H1601&lt;&gt;"OUI","⚠ ENROBÉ AVANT ACCEPTATION RT","ENROBÉ")))))</f>
        <v>EN ATTENTE RT</v>
      </c>
      <c r="O1601" s="80"/>
      <c r="P1601" s="82" t="n">
        <f aca="false">IF(C1601="","",IFERROR(MATCH(Q1601,'CARNET DE SOUDURE'!$AW$7:$AW$3006,0),""))</f>
        <v>1595</v>
      </c>
      <c r="Q1601" s="82" t="str">
        <f aca="false">IF(C1601="","",B1601&amp;"|"&amp;C1601)</f>
        <v>MFD-ISW → MFD-CPF|JN°1307R</v>
      </c>
    </row>
    <row r="1602" customFormat="false" ht="74.6" hidden="false" customHeight="false" outlineLevel="0" collapsed="false">
      <c r="A1602" s="82" t="n">
        <f aca="false">IF(C1602="","",ROW()-6)</f>
        <v>1596</v>
      </c>
      <c r="B1602" s="80" t="s">
        <v>110</v>
      </c>
      <c r="C1602" s="113" t="s">
        <v>1933</v>
      </c>
      <c r="D1602" s="82" t="str">
        <f aca="false">IF(OR(C1602="",P1602=""),"",INDEX('CARNET DE SOUDURE'!$D$7:$D$3006,P1602)&amp;"")</f>
        <v>14</v>
      </c>
      <c r="E1602" s="114" t="n">
        <f aca="false">IF(OR(C1602="",P1602=""),"",IF(INDEX('CARNET DE SOUDURE'!$U$7:$U$3006,P1602)="","",INDEX('CARNET DE SOUDURE'!$U$7:$U$3006,P1602)))</f>
        <v>46265</v>
      </c>
      <c r="F1602" s="82" t="str">
        <f aca="false">IF(OR(C1602="",P1602=""),"",INDEX('CARNET DE SOUDURE'!$AP$7:$AP$3006,P1602))</f>
        <v>A</v>
      </c>
      <c r="G1602" s="82" t="str">
        <f aca="false">IF(C1602="","",IF(P1602="","NJ INCONNU",INDEX('CARNET DE SOUDURE'!$AQ$7:$AQ$3006,P1602)))</f>
        <v>ACCEPTÉ</v>
      </c>
      <c r="H1602" s="82" t="str">
        <f aca="false">IF(C1602="","",IF(G1602="ACCEPTÉ","OUI","NON"))</f>
        <v>OUI</v>
      </c>
      <c r="I1602" s="83"/>
      <c r="J1602" s="80"/>
      <c r="K1602" s="81"/>
      <c r="L1602" s="81"/>
      <c r="M1602" s="81"/>
      <c r="N1602" s="84" t="str">
        <f aca="false">IF(C1602="","",IF(P1602="","NJ INCONNU",IF(I1602="",IF(H1602="OUI","À ENROBER",IF(G1602="À SOUDER","NON SOUDÉ","EN ATTENTE RT")),IF(L1602="R","À REPRENDRE",IF(H1602&lt;&gt;"OUI","⚠ ENROBÉ AVANT ACCEPTATION RT","ENROBÉ")))))</f>
        <v>À ENROBER</v>
      </c>
      <c r="O1602" s="80"/>
      <c r="P1602" s="82" t="n">
        <f aca="false">IF(C1602="","",IFERROR(MATCH(Q1602,'CARNET DE SOUDURE'!$AW$7:$AW$3006,0),""))</f>
        <v>1596</v>
      </c>
      <c r="Q1602" s="82" t="str">
        <f aca="false">IF(C1602="","",B1602&amp;"|"&amp;C1602)</f>
        <v>MFD-ISW → MFD-CPF|DJ°223</v>
      </c>
    </row>
    <row r="1603" customFormat="false" ht="74.6" hidden="false" customHeight="false" outlineLevel="0" collapsed="false">
      <c r="A1603" s="82" t="n">
        <f aca="false">IF(C1603="","",ROW()-6)</f>
        <v>1597</v>
      </c>
      <c r="B1603" s="80" t="s">
        <v>110</v>
      </c>
      <c r="C1603" s="113" t="s">
        <v>1934</v>
      </c>
      <c r="D1603" s="82" t="str">
        <f aca="false">IF(OR(C1603="",P1603=""),"",INDEX('CARNET DE SOUDURE'!$D$7:$D$3006,P1603)&amp;"")</f>
        <v>14</v>
      </c>
      <c r="E1603" s="114" t="n">
        <f aca="false">IF(OR(C1603="",P1603=""),"",IF(INDEX('CARNET DE SOUDURE'!$U$7:$U$3006,P1603)="","",INDEX('CARNET DE SOUDURE'!$U$7:$U$3006,P1603)))</f>
        <v>46291</v>
      </c>
      <c r="F1603" s="82" t="str">
        <f aca="false">IF(OR(C1603="",P1603=""),"",INDEX('CARNET DE SOUDURE'!$AP$7:$AP$3006,P1603))</f>
        <v/>
      </c>
      <c r="G1603" s="82" t="str">
        <f aca="false">IF(C1603="","",IF(P1603="","NJ INCONNU",INDEX('CARNET DE SOUDURE'!$AQ$7:$AQ$3006,P1603)))</f>
        <v>À RADIOGRAPHIER</v>
      </c>
      <c r="H1603" s="82" t="str">
        <f aca="false">IF(C1603="","",IF(G1603="ACCEPTÉ","OUI","NON"))</f>
        <v>NON</v>
      </c>
      <c r="I1603" s="83"/>
      <c r="J1603" s="80"/>
      <c r="K1603" s="81"/>
      <c r="L1603" s="81"/>
      <c r="M1603" s="81"/>
      <c r="N1603" s="84" t="str">
        <f aca="false">IF(C1603="","",IF(P1603="","NJ INCONNU",IF(I1603="",IF(H1603="OUI","À ENROBER",IF(G1603="À SOUDER","NON SOUDÉ","EN ATTENTE RT")),IF(L1603="R","À REPRENDRE",IF(H1603&lt;&gt;"OUI","⚠ ENROBÉ AVANT ACCEPTATION RT","ENROBÉ")))))</f>
        <v>EN ATTENTE RT</v>
      </c>
      <c r="O1603" s="80"/>
      <c r="P1603" s="82" t="n">
        <f aca="false">IF(C1603="","",IFERROR(MATCH(Q1603,'CARNET DE SOUDURE'!$AW$7:$AW$3006,0),""))</f>
        <v>1597</v>
      </c>
      <c r="Q1603" s="82" t="str">
        <f aca="false">IF(C1603="","",B1603&amp;"|"&amp;C1603)</f>
        <v>MFD-ISW → MFD-CPF|JN°1308R</v>
      </c>
    </row>
    <row r="1604" customFormat="false" ht="74.6" hidden="false" customHeight="false" outlineLevel="0" collapsed="false">
      <c r="A1604" s="82" t="n">
        <f aca="false">IF(C1604="","",ROW()-6)</f>
        <v>1598</v>
      </c>
      <c r="B1604" s="80" t="s">
        <v>110</v>
      </c>
      <c r="C1604" s="113" t="s">
        <v>1936</v>
      </c>
      <c r="D1604" s="82" t="str">
        <f aca="false">IF(OR(C1604="",P1604=""),"",INDEX('CARNET DE SOUDURE'!$D$7:$D$3006,P1604)&amp;"")</f>
        <v>14</v>
      </c>
      <c r="E1604" s="114" t="n">
        <f aca="false">IF(OR(C1604="",P1604=""),"",IF(INDEX('CARNET DE SOUDURE'!$U$7:$U$3006,P1604)="","",INDEX('CARNET DE SOUDURE'!$U$7:$U$3006,P1604)))</f>
        <v>46262</v>
      </c>
      <c r="F1604" s="82" t="str">
        <f aca="false">IF(OR(C1604="",P1604=""),"",INDEX('CARNET DE SOUDURE'!$AP$7:$AP$3006,P1604))</f>
        <v>A</v>
      </c>
      <c r="G1604" s="82" t="str">
        <f aca="false">IF(C1604="","",IF(P1604="","NJ INCONNU",INDEX('CARNET DE SOUDURE'!$AQ$7:$AQ$3006,P1604)))</f>
        <v>ACCEPTÉ</v>
      </c>
      <c r="H1604" s="82" t="str">
        <f aca="false">IF(C1604="","",IF(G1604="ACCEPTÉ","OUI","NON"))</f>
        <v>OUI</v>
      </c>
      <c r="I1604" s="83"/>
      <c r="J1604" s="80"/>
      <c r="K1604" s="81"/>
      <c r="L1604" s="81"/>
      <c r="M1604" s="81"/>
      <c r="N1604" s="84" t="str">
        <f aca="false">IF(C1604="","",IF(P1604="","NJ INCONNU",IF(I1604="",IF(H1604="OUI","À ENROBER",IF(G1604="À SOUDER","NON SOUDÉ","EN ATTENTE RT")),IF(L1604="R","À REPRENDRE",IF(H1604&lt;&gt;"OUI","⚠ ENROBÉ AVANT ACCEPTATION RT","ENROBÉ")))))</f>
        <v>À ENROBER</v>
      </c>
      <c r="O1604" s="80"/>
      <c r="P1604" s="82" t="n">
        <f aca="false">IF(C1604="","",IFERROR(MATCH(Q1604,'CARNET DE SOUDURE'!$AW$7:$AW$3006,0),""))</f>
        <v>1598</v>
      </c>
      <c r="Q1604" s="82" t="str">
        <f aca="false">IF(C1604="","",B1604&amp;"|"&amp;C1604)</f>
        <v>MFD-ISW → MFD-CPF|DJ°179</v>
      </c>
    </row>
    <row r="1605" customFormat="false" ht="74.6" hidden="false" customHeight="false" outlineLevel="0" collapsed="false">
      <c r="A1605" s="82" t="n">
        <f aca="false">IF(C1605="","",ROW()-6)</f>
        <v>1599</v>
      </c>
      <c r="B1605" s="80" t="s">
        <v>110</v>
      </c>
      <c r="C1605" s="113" t="s">
        <v>1937</v>
      </c>
      <c r="D1605" s="82" t="str">
        <f aca="false">IF(OR(C1605="",P1605=""),"",INDEX('CARNET DE SOUDURE'!$D$7:$D$3006,P1605)&amp;"")</f>
        <v>14</v>
      </c>
      <c r="E1605" s="114" t="n">
        <f aca="false">IF(OR(C1605="",P1605=""),"",IF(INDEX('CARNET DE SOUDURE'!$U$7:$U$3006,P1605)="","",INDEX('CARNET DE SOUDURE'!$U$7:$U$3006,P1605)))</f>
        <v>46274</v>
      </c>
      <c r="F1605" s="82" t="str">
        <f aca="false">IF(OR(C1605="",P1605=""),"",INDEX('CARNET DE SOUDURE'!$AP$7:$AP$3006,P1605))</f>
        <v>A</v>
      </c>
      <c r="G1605" s="82" t="str">
        <f aca="false">IF(C1605="","",IF(P1605="","NJ INCONNU",INDEX('CARNET DE SOUDURE'!$AQ$7:$AQ$3006,P1605)))</f>
        <v>ACCEPTÉ</v>
      </c>
      <c r="H1605" s="82" t="str">
        <f aca="false">IF(C1605="","",IF(G1605="ACCEPTÉ","OUI","NON"))</f>
        <v>OUI</v>
      </c>
      <c r="I1605" s="83"/>
      <c r="J1605" s="80"/>
      <c r="K1605" s="81"/>
      <c r="L1605" s="81"/>
      <c r="M1605" s="81"/>
      <c r="N1605" s="84" t="str">
        <f aca="false">IF(C1605="","",IF(P1605="","NJ INCONNU",IF(I1605="",IF(H1605="OUI","À ENROBER",IF(G1605="À SOUDER","NON SOUDÉ","EN ATTENTE RT")),IF(L1605="R","À REPRENDRE",IF(H1605&lt;&gt;"OUI","⚠ ENROBÉ AVANT ACCEPTATION RT","ENROBÉ")))))</f>
        <v>À ENROBER</v>
      </c>
      <c r="O1605" s="80"/>
      <c r="P1605" s="82" t="n">
        <f aca="false">IF(C1605="","",IFERROR(MATCH(Q1605,'CARNET DE SOUDURE'!$AW$7:$AW$3006,0),""))</f>
        <v>1599</v>
      </c>
      <c r="Q1605" s="82" t="str">
        <f aca="false">IF(C1605="","",B1605&amp;"|"&amp;C1605)</f>
        <v>MFD-ISW → MFD-CPF|JN°1309</v>
      </c>
    </row>
    <row r="1606" customFormat="false" ht="74.6" hidden="false" customHeight="false" outlineLevel="0" collapsed="false">
      <c r="A1606" s="82" t="n">
        <f aca="false">IF(C1606="","",ROW()-6)</f>
        <v>1600</v>
      </c>
      <c r="B1606" s="80" t="s">
        <v>110</v>
      </c>
      <c r="C1606" s="113" t="s">
        <v>1940</v>
      </c>
      <c r="D1606" s="82" t="str">
        <f aca="false">IF(OR(C1606="",P1606=""),"",INDEX('CARNET DE SOUDURE'!$D$7:$D$3006,P1606)&amp;"")</f>
        <v>14</v>
      </c>
      <c r="E1606" s="114" t="n">
        <f aca="false">IF(OR(C1606="",P1606=""),"",IF(INDEX('CARNET DE SOUDURE'!$U$7:$U$3006,P1606)="","",INDEX('CARNET DE SOUDURE'!$U$7:$U$3006,P1606)))</f>
        <v>46265</v>
      </c>
      <c r="F1606" s="82" t="str">
        <f aca="false">IF(OR(C1606="",P1606=""),"",INDEX('CARNET DE SOUDURE'!$AP$7:$AP$3006,P1606))</f>
        <v>A</v>
      </c>
      <c r="G1606" s="82" t="str">
        <f aca="false">IF(C1606="","",IF(P1606="","NJ INCONNU",INDEX('CARNET DE SOUDURE'!$AQ$7:$AQ$3006,P1606)))</f>
        <v>ACCEPTÉ</v>
      </c>
      <c r="H1606" s="82" t="str">
        <f aca="false">IF(C1606="","",IF(G1606="ACCEPTÉ","OUI","NON"))</f>
        <v>OUI</v>
      </c>
      <c r="I1606" s="83"/>
      <c r="J1606" s="80"/>
      <c r="K1606" s="81"/>
      <c r="L1606" s="81"/>
      <c r="M1606" s="81"/>
      <c r="N1606" s="84" t="str">
        <f aca="false">IF(C1606="","",IF(P1606="","NJ INCONNU",IF(I1606="",IF(H1606="OUI","À ENROBER",IF(G1606="À SOUDER","NON SOUDÉ","EN ATTENTE RT")),IF(L1606="R","À REPRENDRE",IF(H1606&lt;&gt;"OUI","⚠ ENROBÉ AVANT ACCEPTATION RT","ENROBÉ")))))</f>
        <v>À ENROBER</v>
      </c>
      <c r="O1606" s="80"/>
      <c r="P1606" s="82" t="n">
        <f aca="false">IF(C1606="","",IFERROR(MATCH(Q1606,'CARNET DE SOUDURE'!$AW$7:$AW$3006,0),""))</f>
        <v>1600</v>
      </c>
      <c r="Q1606" s="82" t="str">
        <f aca="false">IF(C1606="","",B1606&amp;"|"&amp;C1606)</f>
        <v>MFD-ISW → MFD-CPF|DJ°212</v>
      </c>
    </row>
    <row r="1607" customFormat="false" ht="74.6" hidden="false" customHeight="false" outlineLevel="0" collapsed="false">
      <c r="A1607" s="82" t="n">
        <f aca="false">IF(C1607="","",ROW()-6)</f>
        <v>1601</v>
      </c>
      <c r="B1607" s="80" t="s">
        <v>110</v>
      </c>
      <c r="C1607" s="113" t="s">
        <v>1941</v>
      </c>
      <c r="D1607" s="82" t="str">
        <f aca="false">IF(OR(C1607="",P1607=""),"",INDEX('CARNET DE SOUDURE'!$D$7:$D$3006,P1607)&amp;"")</f>
        <v>14</v>
      </c>
      <c r="E1607" s="114" t="n">
        <f aca="false">IF(OR(C1607="",P1607=""),"",IF(INDEX('CARNET DE SOUDURE'!$U$7:$U$3006,P1607)="","",INDEX('CARNET DE SOUDURE'!$U$7:$U$3006,P1607)))</f>
        <v>46274</v>
      </c>
      <c r="F1607" s="82" t="str">
        <f aca="false">IF(OR(C1607="",P1607=""),"",INDEX('CARNET DE SOUDURE'!$AP$7:$AP$3006,P1607))</f>
        <v>A</v>
      </c>
      <c r="G1607" s="82" t="str">
        <f aca="false">IF(C1607="","",IF(P1607="","NJ INCONNU",INDEX('CARNET DE SOUDURE'!$AQ$7:$AQ$3006,P1607)))</f>
        <v>ACCEPTÉ</v>
      </c>
      <c r="H1607" s="82" t="str">
        <f aca="false">IF(C1607="","",IF(G1607="ACCEPTÉ","OUI","NON"))</f>
        <v>OUI</v>
      </c>
      <c r="I1607" s="83"/>
      <c r="J1607" s="80"/>
      <c r="K1607" s="81"/>
      <c r="L1607" s="81"/>
      <c r="M1607" s="81"/>
      <c r="N1607" s="84" t="str">
        <f aca="false">IF(C1607="","",IF(P1607="","NJ INCONNU",IF(I1607="",IF(H1607="OUI","À ENROBER",IF(G1607="À SOUDER","NON SOUDÉ","EN ATTENTE RT")),IF(L1607="R","À REPRENDRE",IF(H1607&lt;&gt;"OUI","⚠ ENROBÉ AVANT ACCEPTATION RT","ENROBÉ")))))</f>
        <v>À ENROBER</v>
      </c>
      <c r="O1607" s="80"/>
      <c r="P1607" s="82" t="n">
        <f aca="false">IF(C1607="","",IFERROR(MATCH(Q1607,'CARNET DE SOUDURE'!$AW$7:$AW$3006,0),""))</f>
        <v>1601</v>
      </c>
      <c r="Q1607" s="82" t="str">
        <f aca="false">IF(C1607="","",B1607&amp;"|"&amp;C1607)</f>
        <v>MFD-ISW → MFD-CPF|JN°1310</v>
      </c>
    </row>
    <row r="1608" customFormat="false" ht="74.6" hidden="false" customHeight="false" outlineLevel="0" collapsed="false">
      <c r="A1608" s="82" t="n">
        <f aca="false">IF(C1608="","",ROW()-6)</f>
        <v>1602</v>
      </c>
      <c r="B1608" s="80" t="s">
        <v>110</v>
      </c>
      <c r="C1608" s="113" t="s">
        <v>1942</v>
      </c>
      <c r="D1608" s="82" t="str">
        <f aca="false">IF(OR(C1608="",P1608=""),"",INDEX('CARNET DE SOUDURE'!$D$7:$D$3006,P1608)&amp;"")</f>
        <v>14</v>
      </c>
      <c r="E1608" s="114" t="n">
        <f aca="false">IF(OR(C1608="",P1608=""),"",IF(INDEX('CARNET DE SOUDURE'!$U$7:$U$3006,P1608)="","",INDEX('CARNET DE SOUDURE'!$U$7:$U$3006,P1608)))</f>
        <v>46265</v>
      </c>
      <c r="F1608" s="82" t="str">
        <f aca="false">IF(OR(C1608="",P1608=""),"",INDEX('CARNET DE SOUDURE'!$AP$7:$AP$3006,P1608))</f>
        <v>A</v>
      </c>
      <c r="G1608" s="82" t="str">
        <f aca="false">IF(C1608="","",IF(P1608="","NJ INCONNU",INDEX('CARNET DE SOUDURE'!$AQ$7:$AQ$3006,P1608)))</f>
        <v>ACCEPTÉ</v>
      </c>
      <c r="H1608" s="82" t="str">
        <f aca="false">IF(C1608="","",IF(G1608="ACCEPTÉ","OUI","NON"))</f>
        <v>OUI</v>
      </c>
      <c r="I1608" s="83"/>
      <c r="J1608" s="80"/>
      <c r="K1608" s="81"/>
      <c r="L1608" s="81"/>
      <c r="M1608" s="81"/>
      <c r="N1608" s="84" t="str">
        <f aca="false">IF(C1608="","",IF(P1608="","NJ INCONNU",IF(I1608="",IF(H1608="OUI","À ENROBER",IF(G1608="À SOUDER","NON SOUDÉ","EN ATTENTE RT")),IF(L1608="R","À REPRENDRE",IF(H1608&lt;&gt;"OUI","⚠ ENROBÉ AVANT ACCEPTATION RT","ENROBÉ")))))</f>
        <v>À ENROBER</v>
      </c>
      <c r="O1608" s="80"/>
      <c r="P1608" s="82" t="n">
        <f aca="false">IF(C1608="","",IFERROR(MATCH(Q1608,'CARNET DE SOUDURE'!$AW$7:$AW$3006,0),""))</f>
        <v>1602</v>
      </c>
      <c r="Q1608" s="82" t="str">
        <f aca="false">IF(C1608="","",B1608&amp;"|"&amp;C1608)</f>
        <v>MFD-ISW → MFD-CPF|DJ°218</v>
      </c>
    </row>
    <row r="1609" customFormat="false" ht="74.6" hidden="false" customHeight="false" outlineLevel="0" collapsed="false">
      <c r="A1609" s="82" t="n">
        <f aca="false">IF(C1609="","",ROW()-6)</f>
        <v>1603</v>
      </c>
      <c r="B1609" s="80" t="s">
        <v>110</v>
      </c>
      <c r="C1609" s="113" t="s">
        <v>1943</v>
      </c>
      <c r="D1609" s="82" t="str">
        <f aca="false">IF(OR(C1609="",P1609=""),"",INDEX('CARNET DE SOUDURE'!$D$7:$D$3006,P1609)&amp;"")</f>
        <v>14</v>
      </c>
      <c r="E1609" s="114" t="n">
        <f aca="false">IF(OR(C1609="",P1609=""),"",IF(INDEX('CARNET DE SOUDURE'!$U$7:$U$3006,P1609)="","",INDEX('CARNET DE SOUDURE'!$U$7:$U$3006,P1609)))</f>
        <v>46291</v>
      </c>
      <c r="F1609" s="82" t="str">
        <f aca="false">IF(OR(C1609="",P1609=""),"",INDEX('CARNET DE SOUDURE'!$AP$7:$AP$3006,P1609))</f>
        <v/>
      </c>
      <c r="G1609" s="82" t="str">
        <f aca="false">IF(C1609="","",IF(P1609="","NJ INCONNU",INDEX('CARNET DE SOUDURE'!$AQ$7:$AQ$3006,P1609)))</f>
        <v>À RADIOGRAPHIER</v>
      </c>
      <c r="H1609" s="82" t="str">
        <f aca="false">IF(C1609="","",IF(G1609="ACCEPTÉ","OUI","NON"))</f>
        <v>NON</v>
      </c>
      <c r="I1609" s="83"/>
      <c r="J1609" s="80"/>
      <c r="K1609" s="81"/>
      <c r="L1609" s="81"/>
      <c r="M1609" s="81"/>
      <c r="N1609" s="84" t="str">
        <f aca="false">IF(C1609="","",IF(P1609="","NJ INCONNU",IF(I1609="",IF(H1609="OUI","À ENROBER",IF(G1609="À SOUDER","NON SOUDÉ","EN ATTENTE RT")),IF(L1609="R","À REPRENDRE",IF(H1609&lt;&gt;"OUI","⚠ ENROBÉ AVANT ACCEPTATION RT","ENROBÉ")))))</f>
        <v>EN ATTENTE RT</v>
      </c>
      <c r="O1609" s="80"/>
      <c r="P1609" s="82" t="n">
        <f aca="false">IF(C1609="","",IFERROR(MATCH(Q1609,'CARNET DE SOUDURE'!$AW$7:$AW$3006,0),""))</f>
        <v>1603</v>
      </c>
      <c r="Q1609" s="82" t="str">
        <f aca="false">IF(C1609="","",B1609&amp;"|"&amp;C1609)</f>
        <v>MFD-ISW → MFD-CPF|JN°1311R</v>
      </c>
    </row>
    <row r="1610" customFormat="false" ht="74.6" hidden="false" customHeight="false" outlineLevel="0" collapsed="false">
      <c r="A1610" s="82" t="n">
        <f aca="false">IF(C1610="","",ROW()-6)</f>
        <v>1604</v>
      </c>
      <c r="B1610" s="80" t="s">
        <v>110</v>
      </c>
      <c r="C1610" s="113" t="s">
        <v>1945</v>
      </c>
      <c r="D1610" s="82" t="str">
        <f aca="false">IF(OR(C1610="",P1610=""),"",INDEX('CARNET DE SOUDURE'!$D$7:$D$3006,P1610)&amp;"")</f>
        <v>14</v>
      </c>
      <c r="E1610" s="114" t="n">
        <f aca="false">IF(OR(C1610="",P1610=""),"",IF(INDEX('CARNET DE SOUDURE'!$U$7:$U$3006,P1610)="","",INDEX('CARNET DE SOUDURE'!$U$7:$U$3006,P1610)))</f>
        <v>46264</v>
      </c>
      <c r="F1610" s="82" t="str">
        <f aca="false">IF(OR(C1610="",P1610=""),"",INDEX('CARNET DE SOUDURE'!$AP$7:$AP$3006,P1610))</f>
        <v>A</v>
      </c>
      <c r="G1610" s="82" t="str">
        <f aca="false">IF(C1610="","",IF(P1610="","NJ INCONNU",INDEX('CARNET DE SOUDURE'!$AQ$7:$AQ$3006,P1610)))</f>
        <v>ACCEPTÉ</v>
      </c>
      <c r="H1610" s="82" t="str">
        <f aca="false">IF(C1610="","",IF(G1610="ACCEPTÉ","OUI","NON"))</f>
        <v>OUI</v>
      </c>
      <c r="I1610" s="83"/>
      <c r="J1610" s="80"/>
      <c r="K1610" s="81"/>
      <c r="L1610" s="81"/>
      <c r="M1610" s="81"/>
      <c r="N1610" s="84" t="str">
        <f aca="false">IF(C1610="","",IF(P1610="","NJ INCONNU",IF(I1610="",IF(H1610="OUI","À ENROBER",IF(G1610="À SOUDER","NON SOUDÉ","EN ATTENTE RT")),IF(L1610="R","À REPRENDRE",IF(H1610&lt;&gt;"OUI","⚠ ENROBÉ AVANT ACCEPTATION RT","ENROBÉ")))))</f>
        <v>À ENROBER</v>
      </c>
      <c r="O1610" s="80"/>
      <c r="P1610" s="82" t="n">
        <f aca="false">IF(C1610="","",IFERROR(MATCH(Q1610,'CARNET DE SOUDURE'!$AW$7:$AW$3006,0),""))</f>
        <v>1604</v>
      </c>
      <c r="Q1610" s="82" t="str">
        <f aca="false">IF(C1610="","",B1610&amp;"|"&amp;C1610)</f>
        <v>MFD-ISW → MFD-CPF|DJ°210</v>
      </c>
    </row>
    <row r="1611" customFormat="false" ht="74.6" hidden="false" customHeight="false" outlineLevel="0" collapsed="false">
      <c r="A1611" s="82" t="n">
        <f aca="false">IF(C1611="","",ROW()-6)</f>
        <v>1605</v>
      </c>
      <c r="B1611" s="80" t="s">
        <v>110</v>
      </c>
      <c r="C1611" s="113" t="s">
        <v>1946</v>
      </c>
      <c r="D1611" s="82" t="str">
        <f aca="false">IF(OR(C1611="",P1611=""),"",INDEX('CARNET DE SOUDURE'!$D$7:$D$3006,P1611)&amp;"")</f>
        <v>14</v>
      </c>
      <c r="E1611" s="114" t="n">
        <f aca="false">IF(OR(C1611="",P1611=""),"",IF(INDEX('CARNET DE SOUDURE'!$U$7:$U$3006,P1611)="","",INDEX('CARNET DE SOUDURE'!$U$7:$U$3006,P1611)))</f>
        <v>46274</v>
      </c>
      <c r="F1611" s="82" t="str">
        <f aca="false">IF(OR(C1611="",P1611=""),"",INDEX('CARNET DE SOUDURE'!$AP$7:$AP$3006,P1611))</f>
        <v>A</v>
      </c>
      <c r="G1611" s="82" t="str">
        <f aca="false">IF(C1611="","",IF(P1611="","NJ INCONNU",INDEX('CARNET DE SOUDURE'!$AQ$7:$AQ$3006,P1611)))</f>
        <v>ACCEPTÉ</v>
      </c>
      <c r="H1611" s="82" t="str">
        <f aca="false">IF(C1611="","",IF(G1611="ACCEPTÉ","OUI","NON"))</f>
        <v>OUI</v>
      </c>
      <c r="I1611" s="83"/>
      <c r="J1611" s="80"/>
      <c r="K1611" s="81"/>
      <c r="L1611" s="81"/>
      <c r="M1611" s="81"/>
      <c r="N1611" s="84" t="str">
        <f aca="false">IF(C1611="","",IF(P1611="","NJ INCONNU",IF(I1611="",IF(H1611="OUI","À ENROBER",IF(G1611="À SOUDER","NON SOUDÉ","EN ATTENTE RT")),IF(L1611="R","À REPRENDRE",IF(H1611&lt;&gt;"OUI","⚠ ENROBÉ AVANT ACCEPTATION RT","ENROBÉ")))))</f>
        <v>À ENROBER</v>
      </c>
      <c r="O1611" s="80"/>
      <c r="P1611" s="82" t="n">
        <f aca="false">IF(C1611="","",IFERROR(MATCH(Q1611,'CARNET DE SOUDURE'!$AW$7:$AW$3006,0),""))</f>
        <v>1605</v>
      </c>
      <c r="Q1611" s="82" t="str">
        <f aca="false">IF(C1611="","",B1611&amp;"|"&amp;C1611)</f>
        <v>MFD-ISW → MFD-CPF|JN°1312</v>
      </c>
    </row>
    <row r="1612" customFormat="false" ht="74.6" hidden="false" customHeight="false" outlineLevel="0" collapsed="false">
      <c r="A1612" s="82" t="n">
        <f aca="false">IF(C1612="","",ROW()-6)</f>
        <v>1606</v>
      </c>
      <c r="B1612" s="80" t="s">
        <v>110</v>
      </c>
      <c r="C1612" s="113" t="s">
        <v>1947</v>
      </c>
      <c r="D1612" s="82" t="str">
        <f aca="false">IF(OR(C1612="",P1612=""),"",INDEX('CARNET DE SOUDURE'!$D$7:$D$3006,P1612)&amp;"")</f>
        <v>14</v>
      </c>
      <c r="E1612" s="114" t="n">
        <f aca="false">IF(OR(C1612="",P1612=""),"",IF(INDEX('CARNET DE SOUDURE'!$U$7:$U$3006,P1612)="","",INDEX('CARNET DE SOUDURE'!$U$7:$U$3006,P1612)))</f>
        <v>46265</v>
      </c>
      <c r="F1612" s="82" t="str">
        <f aca="false">IF(OR(C1612="",P1612=""),"",INDEX('CARNET DE SOUDURE'!$AP$7:$AP$3006,P1612))</f>
        <v>A</v>
      </c>
      <c r="G1612" s="82" t="str">
        <f aca="false">IF(C1612="","",IF(P1612="","NJ INCONNU",INDEX('CARNET DE SOUDURE'!$AQ$7:$AQ$3006,P1612)))</f>
        <v>ACCEPTÉ</v>
      </c>
      <c r="H1612" s="82" t="str">
        <f aca="false">IF(C1612="","",IF(G1612="ACCEPTÉ","OUI","NON"))</f>
        <v>OUI</v>
      </c>
      <c r="I1612" s="83"/>
      <c r="J1612" s="80"/>
      <c r="K1612" s="81"/>
      <c r="L1612" s="81"/>
      <c r="M1612" s="81"/>
      <c r="N1612" s="84" t="str">
        <f aca="false">IF(C1612="","",IF(P1612="","NJ INCONNU",IF(I1612="",IF(H1612="OUI","À ENROBER",IF(G1612="À SOUDER","NON SOUDÉ","EN ATTENTE RT")),IF(L1612="R","À REPRENDRE",IF(H1612&lt;&gt;"OUI","⚠ ENROBÉ AVANT ACCEPTATION RT","ENROBÉ")))))</f>
        <v>À ENROBER</v>
      </c>
      <c r="O1612" s="80"/>
      <c r="P1612" s="82" t="n">
        <f aca="false">IF(C1612="","",IFERROR(MATCH(Q1612,'CARNET DE SOUDURE'!$AW$7:$AW$3006,0),""))</f>
        <v>1606</v>
      </c>
      <c r="Q1612" s="82" t="str">
        <f aca="false">IF(C1612="","",B1612&amp;"|"&amp;C1612)</f>
        <v>MFD-ISW → MFD-CPF|DJ°222</v>
      </c>
    </row>
    <row r="1613" customFormat="false" ht="74.6" hidden="false" customHeight="false" outlineLevel="0" collapsed="false">
      <c r="A1613" s="82" t="n">
        <f aca="false">IF(C1613="","",ROW()-6)</f>
        <v>1607</v>
      </c>
      <c r="B1613" s="80" t="s">
        <v>110</v>
      </c>
      <c r="C1613" s="113" t="s">
        <v>1948</v>
      </c>
      <c r="D1613" s="82" t="str">
        <f aca="false">IF(OR(C1613="",P1613=""),"",INDEX('CARNET DE SOUDURE'!$D$7:$D$3006,P1613)&amp;"")</f>
        <v>14</v>
      </c>
      <c r="E1613" s="114" t="n">
        <f aca="false">IF(OR(C1613="",P1613=""),"",IF(INDEX('CARNET DE SOUDURE'!$U$7:$U$3006,P1613)="","",INDEX('CARNET DE SOUDURE'!$U$7:$U$3006,P1613)))</f>
        <v>46274</v>
      </c>
      <c r="F1613" s="82" t="str">
        <f aca="false">IF(OR(C1613="",P1613=""),"",INDEX('CARNET DE SOUDURE'!$AP$7:$AP$3006,P1613))</f>
        <v>A</v>
      </c>
      <c r="G1613" s="82" t="str">
        <f aca="false">IF(C1613="","",IF(P1613="","NJ INCONNU",INDEX('CARNET DE SOUDURE'!$AQ$7:$AQ$3006,P1613)))</f>
        <v>ACCEPTÉ</v>
      </c>
      <c r="H1613" s="82" t="str">
        <f aca="false">IF(C1613="","",IF(G1613="ACCEPTÉ","OUI","NON"))</f>
        <v>OUI</v>
      </c>
      <c r="I1613" s="83"/>
      <c r="J1613" s="80"/>
      <c r="K1613" s="81"/>
      <c r="L1613" s="81"/>
      <c r="M1613" s="81"/>
      <c r="N1613" s="84" t="str">
        <f aca="false">IF(C1613="","",IF(P1613="","NJ INCONNU",IF(I1613="",IF(H1613="OUI","À ENROBER",IF(G1613="À SOUDER","NON SOUDÉ","EN ATTENTE RT")),IF(L1613="R","À REPRENDRE",IF(H1613&lt;&gt;"OUI","⚠ ENROBÉ AVANT ACCEPTATION RT","ENROBÉ")))))</f>
        <v>À ENROBER</v>
      </c>
      <c r="O1613" s="80"/>
      <c r="P1613" s="82" t="n">
        <f aca="false">IF(C1613="","",IFERROR(MATCH(Q1613,'CARNET DE SOUDURE'!$AW$7:$AW$3006,0),""))</f>
        <v>1607</v>
      </c>
      <c r="Q1613" s="82" t="str">
        <f aca="false">IF(C1613="","",B1613&amp;"|"&amp;C1613)</f>
        <v>MFD-ISW → MFD-CPF|JN°1313</v>
      </c>
    </row>
    <row r="1614" customFormat="false" ht="74.6" hidden="false" customHeight="false" outlineLevel="0" collapsed="false">
      <c r="A1614" s="82" t="n">
        <f aca="false">IF(C1614="","",ROW()-6)</f>
        <v>1608</v>
      </c>
      <c r="B1614" s="80" t="s">
        <v>110</v>
      </c>
      <c r="C1614" s="113" t="s">
        <v>1949</v>
      </c>
      <c r="D1614" s="82" t="str">
        <f aca="false">IF(OR(C1614="",P1614=""),"",INDEX('CARNET DE SOUDURE'!$D$7:$D$3006,P1614)&amp;"")</f>
        <v>14</v>
      </c>
      <c r="E1614" s="114" t="n">
        <f aca="false">IF(OR(C1614="",P1614=""),"",IF(INDEX('CARNET DE SOUDURE'!$U$7:$U$3006,P1614)="","",INDEX('CARNET DE SOUDURE'!$U$7:$U$3006,P1614)))</f>
        <v>46264</v>
      </c>
      <c r="F1614" s="82" t="str">
        <f aca="false">IF(OR(C1614="",P1614=""),"",INDEX('CARNET DE SOUDURE'!$AP$7:$AP$3006,P1614))</f>
        <v>A</v>
      </c>
      <c r="G1614" s="82" t="str">
        <f aca="false">IF(C1614="","",IF(P1614="","NJ INCONNU",INDEX('CARNET DE SOUDURE'!$AQ$7:$AQ$3006,P1614)))</f>
        <v>ACCEPTÉ</v>
      </c>
      <c r="H1614" s="82" t="str">
        <f aca="false">IF(C1614="","",IF(G1614="ACCEPTÉ","OUI","NON"))</f>
        <v>OUI</v>
      </c>
      <c r="I1614" s="83"/>
      <c r="J1614" s="80"/>
      <c r="K1614" s="81"/>
      <c r="L1614" s="81"/>
      <c r="M1614" s="81"/>
      <c r="N1614" s="84" t="str">
        <f aca="false">IF(C1614="","",IF(P1614="","NJ INCONNU",IF(I1614="",IF(H1614="OUI","À ENROBER",IF(G1614="À SOUDER","NON SOUDÉ","EN ATTENTE RT")),IF(L1614="R","À REPRENDRE",IF(H1614&lt;&gt;"OUI","⚠ ENROBÉ AVANT ACCEPTATION RT","ENROBÉ")))))</f>
        <v>À ENROBER</v>
      </c>
      <c r="O1614" s="80"/>
      <c r="P1614" s="82" t="n">
        <f aca="false">IF(C1614="","",IFERROR(MATCH(Q1614,'CARNET DE SOUDURE'!$AW$7:$AW$3006,0),""))</f>
        <v>1608</v>
      </c>
      <c r="Q1614" s="82" t="str">
        <f aca="false">IF(C1614="","",B1614&amp;"|"&amp;C1614)</f>
        <v>MFD-ISW → MFD-CPF|DJ°204</v>
      </c>
    </row>
    <row r="1615" customFormat="false" ht="74.6" hidden="false" customHeight="false" outlineLevel="0" collapsed="false">
      <c r="A1615" s="82" t="n">
        <f aca="false">IF(C1615="","",ROW()-6)</f>
        <v>1609</v>
      </c>
      <c r="B1615" s="80" t="s">
        <v>110</v>
      </c>
      <c r="C1615" s="113" t="s">
        <v>1950</v>
      </c>
      <c r="D1615" s="82" t="str">
        <f aca="false">IF(OR(C1615="",P1615=""),"",INDEX('CARNET DE SOUDURE'!$D$7:$D$3006,P1615)&amp;"")</f>
        <v>14</v>
      </c>
      <c r="E1615" s="114" t="n">
        <f aca="false">IF(OR(C1615="",P1615=""),"",IF(INDEX('CARNET DE SOUDURE'!$U$7:$U$3006,P1615)="","",INDEX('CARNET DE SOUDURE'!$U$7:$U$3006,P1615)))</f>
        <v>46274</v>
      </c>
      <c r="F1615" s="82" t="str">
        <f aca="false">IF(OR(C1615="",P1615=""),"",INDEX('CARNET DE SOUDURE'!$AP$7:$AP$3006,P1615))</f>
        <v>A</v>
      </c>
      <c r="G1615" s="82" t="str">
        <f aca="false">IF(C1615="","",IF(P1615="","NJ INCONNU",INDEX('CARNET DE SOUDURE'!$AQ$7:$AQ$3006,P1615)))</f>
        <v>ACCEPTÉ</v>
      </c>
      <c r="H1615" s="82" t="str">
        <f aca="false">IF(C1615="","",IF(G1615="ACCEPTÉ","OUI","NON"))</f>
        <v>OUI</v>
      </c>
      <c r="I1615" s="83"/>
      <c r="J1615" s="80"/>
      <c r="K1615" s="81"/>
      <c r="L1615" s="81"/>
      <c r="M1615" s="81"/>
      <c r="N1615" s="84" t="str">
        <f aca="false">IF(C1615="","",IF(P1615="","NJ INCONNU",IF(I1615="",IF(H1615="OUI","À ENROBER",IF(G1615="À SOUDER","NON SOUDÉ","EN ATTENTE RT")),IF(L1615="R","À REPRENDRE",IF(H1615&lt;&gt;"OUI","⚠ ENROBÉ AVANT ACCEPTATION RT","ENROBÉ")))))</f>
        <v>À ENROBER</v>
      </c>
      <c r="O1615" s="80"/>
      <c r="P1615" s="82" t="n">
        <f aca="false">IF(C1615="","",IFERROR(MATCH(Q1615,'CARNET DE SOUDURE'!$AW$7:$AW$3006,0),""))</f>
        <v>1609</v>
      </c>
      <c r="Q1615" s="82" t="str">
        <f aca="false">IF(C1615="","",B1615&amp;"|"&amp;C1615)</f>
        <v>MFD-ISW → MFD-CPF|JN°1314</v>
      </c>
    </row>
    <row r="1616" customFormat="false" ht="74.6" hidden="false" customHeight="false" outlineLevel="0" collapsed="false">
      <c r="A1616" s="82" t="n">
        <f aca="false">IF(C1616="","",ROW()-6)</f>
        <v>1610</v>
      </c>
      <c r="B1616" s="80" t="s">
        <v>110</v>
      </c>
      <c r="C1616" s="113" t="s">
        <v>1951</v>
      </c>
      <c r="D1616" s="82" t="str">
        <f aca="false">IF(OR(C1616="",P1616=""),"",INDEX('CARNET DE SOUDURE'!$D$7:$D$3006,P1616)&amp;"")</f>
        <v>14</v>
      </c>
      <c r="E1616" s="114" t="n">
        <f aca="false">IF(OR(C1616="",P1616=""),"",IF(INDEX('CARNET DE SOUDURE'!$U$7:$U$3006,P1616)="","",INDEX('CARNET DE SOUDURE'!$U$7:$U$3006,P1616)))</f>
        <v>46261</v>
      </c>
      <c r="F1616" s="82" t="str">
        <f aca="false">IF(OR(C1616="",P1616=""),"",INDEX('CARNET DE SOUDURE'!$AP$7:$AP$3006,P1616))</f>
        <v>A</v>
      </c>
      <c r="G1616" s="82" t="str">
        <f aca="false">IF(C1616="","",IF(P1616="","NJ INCONNU",INDEX('CARNET DE SOUDURE'!$AQ$7:$AQ$3006,P1616)))</f>
        <v>ACCEPTÉ</v>
      </c>
      <c r="H1616" s="82" t="str">
        <f aca="false">IF(C1616="","",IF(G1616="ACCEPTÉ","OUI","NON"))</f>
        <v>OUI</v>
      </c>
      <c r="I1616" s="83"/>
      <c r="J1616" s="80"/>
      <c r="K1616" s="81"/>
      <c r="L1616" s="81"/>
      <c r="M1616" s="81"/>
      <c r="N1616" s="84" t="str">
        <f aca="false">IF(C1616="","",IF(P1616="","NJ INCONNU",IF(I1616="",IF(H1616="OUI","À ENROBER",IF(G1616="À SOUDER","NON SOUDÉ","EN ATTENTE RT")),IF(L1616="R","À REPRENDRE",IF(H1616&lt;&gt;"OUI","⚠ ENROBÉ AVANT ACCEPTATION RT","ENROBÉ")))))</f>
        <v>À ENROBER</v>
      </c>
      <c r="O1616" s="80"/>
      <c r="P1616" s="82" t="n">
        <f aca="false">IF(C1616="","",IFERROR(MATCH(Q1616,'CARNET DE SOUDURE'!$AW$7:$AW$3006,0),""))</f>
        <v>1610</v>
      </c>
      <c r="Q1616" s="82" t="str">
        <f aca="false">IF(C1616="","",B1616&amp;"|"&amp;C1616)</f>
        <v>MFD-ISW → MFD-CPF|DJ°164</v>
      </c>
    </row>
    <row r="1617" customFormat="false" ht="74.6" hidden="false" customHeight="false" outlineLevel="0" collapsed="false">
      <c r="A1617" s="82" t="n">
        <f aca="false">IF(C1617="","",ROW()-6)</f>
        <v>1611</v>
      </c>
      <c r="B1617" s="80" t="s">
        <v>110</v>
      </c>
      <c r="C1617" s="113" t="s">
        <v>1953</v>
      </c>
      <c r="D1617" s="82" t="str">
        <f aca="false">IF(OR(C1617="",P1617=""),"",INDEX('CARNET DE SOUDURE'!$D$7:$D$3006,P1617)&amp;"")</f>
        <v>14</v>
      </c>
      <c r="E1617" s="114" t="n">
        <f aca="false">IF(OR(C1617="",P1617=""),"",IF(INDEX('CARNET DE SOUDURE'!$U$7:$U$3006,P1617)="","",INDEX('CARNET DE SOUDURE'!$U$7:$U$3006,P1617)))</f>
        <v>46291</v>
      </c>
      <c r="F1617" s="82" t="str">
        <f aca="false">IF(OR(C1617="",P1617=""),"",INDEX('CARNET DE SOUDURE'!$AP$7:$AP$3006,P1617))</f>
        <v/>
      </c>
      <c r="G1617" s="82" t="str">
        <f aca="false">IF(C1617="","",IF(P1617="","NJ INCONNU",INDEX('CARNET DE SOUDURE'!$AQ$7:$AQ$3006,P1617)))</f>
        <v>À RADIOGRAPHIER</v>
      </c>
      <c r="H1617" s="82" t="str">
        <f aca="false">IF(C1617="","",IF(G1617="ACCEPTÉ","OUI","NON"))</f>
        <v>NON</v>
      </c>
      <c r="I1617" s="83"/>
      <c r="J1617" s="80"/>
      <c r="K1617" s="81"/>
      <c r="L1617" s="81"/>
      <c r="M1617" s="81"/>
      <c r="N1617" s="84" t="str">
        <f aca="false">IF(C1617="","",IF(P1617="","NJ INCONNU",IF(I1617="",IF(H1617="OUI","À ENROBER",IF(G1617="À SOUDER","NON SOUDÉ","EN ATTENTE RT")),IF(L1617="R","À REPRENDRE",IF(H1617&lt;&gt;"OUI","⚠ ENROBÉ AVANT ACCEPTATION RT","ENROBÉ")))))</f>
        <v>EN ATTENTE RT</v>
      </c>
      <c r="O1617" s="80"/>
      <c r="P1617" s="82" t="n">
        <f aca="false">IF(C1617="","",IFERROR(MATCH(Q1617,'CARNET DE SOUDURE'!$AW$7:$AW$3006,0),""))</f>
        <v>1611</v>
      </c>
      <c r="Q1617" s="82" t="str">
        <f aca="false">IF(C1617="","",B1617&amp;"|"&amp;C1617)</f>
        <v>MFD-ISW → MFD-CPF|JN°1315R</v>
      </c>
    </row>
    <row r="1618" customFormat="false" ht="74.6" hidden="false" customHeight="false" outlineLevel="0" collapsed="false">
      <c r="A1618" s="82" t="n">
        <f aca="false">IF(C1618="","",ROW()-6)</f>
        <v>1612</v>
      </c>
      <c r="B1618" s="80" t="s">
        <v>110</v>
      </c>
      <c r="C1618" s="113" t="s">
        <v>1955</v>
      </c>
      <c r="D1618" s="82" t="str">
        <f aca="false">IF(OR(C1618="",P1618=""),"",INDEX('CARNET DE SOUDURE'!$D$7:$D$3006,P1618)&amp;"")</f>
        <v>14</v>
      </c>
      <c r="E1618" s="114" t="n">
        <f aca="false">IF(OR(C1618="",P1618=""),"",IF(INDEX('CARNET DE SOUDURE'!$U$7:$U$3006,P1618)="","",INDEX('CARNET DE SOUDURE'!$U$7:$U$3006,P1618)))</f>
        <v>46265</v>
      </c>
      <c r="F1618" s="82" t="str">
        <f aca="false">IF(OR(C1618="",P1618=""),"",INDEX('CARNET DE SOUDURE'!$AP$7:$AP$3006,P1618))</f>
        <v>A</v>
      </c>
      <c r="G1618" s="82" t="str">
        <f aca="false">IF(C1618="","",IF(P1618="","NJ INCONNU",INDEX('CARNET DE SOUDURE'!$AQ$7:$AQ$3006,P1618)))</f>
        <v>ACCEPTÉ</v>
      </c>
      <c r="H1618" s="82" t="str">
        <f aca="false">IF(C1618="","",IF(G1618="ACCEPTÉ","OUI","NON"))</f>
        <v>OUI</v>
      </c>
      <c r="I1618" s="83"/>
      <c r="J1618" s="80"/>
      <c r="K1618" s="81"/>
      <c r="L1618" s="81"/>
      <c r="M1618" s="81"/>
      <c r="N1618" s="84" t="str">
        <f aca="false">IF(C1618="","",IF(P1618="","NJ INCONNU",IF(I1618="",IF(H1618="OUI","À ENROBER",IF(G1618="À SOUDER","NON SOUDÉ","EN ATTENTE RT")),IF(L1618="R","À REPRENDRE",IF(H1618&lt;&gt;"OUI","⚠ ENROBÉ AVANT ACCEPTATION RT","ENROBÉ")))))</f>
        <v>À ENROBER</v>
      </c>
      <c r="O1618" s="80"/>
      <c r="P1618" s="82" t="n">
        <f aca="false">IF(C1618="","",IFERROR(MATCH(Q1618,'CARNET DE SOUDURE'!$AW$7:$AW$3006,0),""))</f>
        <v>1612</v>
      </c>
      <c r="Q1618" s="82" t="str">
        <f aca="false">IF(C1618="","",B1618&amp;"|"&amp;C1618)</f>
        <v>MFD-ISW → MFD-CPF|DJ°219</v>
      </c>
    </row>
    <row r="1619" customFormat="false" ht="74.6" hidden="false" customHeight="false" outlineLevel="0" collapsed="false">
      <c r="A1619" s="82" t="n">
        <f aca="false">IF(C1619="","",ROW()-6)</f>
        <v>1613</v>
      </c>
      <c r="B1619" s="80" t="s">
        <v>110</v>
      </c>
      <c r="C1619" s="113" t="s">
        <v>1956</v>
      </c>
      <c r="D1619" s="82" t="str">
        <f aca="false">IF(OR(C1619="",P1619=""),"",INDEX('CARNET DE SOUDURE'!$D$7:$D$3006,P1619)&amp;"")</f>
        <v>14</v>
      </c>
      <c r="E1619" s="114" t="n">
        <f aca="false">IF(OR(C1619="",P1619=""),"",IF(INDEX('CARNET DE SOUDURE'!$U$7:$U$3006,P1619)="","",INDEX('CARNET DE SOUDURE'!$U$7:$U$3006,P1619)))</f>
        <v>46291</v>
      </c>
      <c r="F1619" s="82" t="str">
        <f aca="false">IF(OR(C1619="",P1619=""),"",INDEX('CARNET DE SOUDURE'!$AP$7:$AP$3006,P1619))</f>
        <v/>
      </c>
      <c r="G1619" s="82" t="str">
        <f aca="false">IF(C1619="","",IF(P1619="","NJ INCONNU",INDEX('CARNET DE SOUDURE'!$AQ$7:$AQ$3006,P1619)))</f>
        <v>À RADIOGRAPHIER</v>
      </c>
      <c r="H1619" s="82" t="str">
        <f aca="false">IF(C1619="","",IF(G1619="ACCEPTÉ","OUI","NON"))</f>
        <v>NON</v>
      </c>
      <c r="I1619" s="83"/>
      <c r="J1619" s="80"/>
      <c r="K1619" s="81"/>
      <c r="L1619" s="81"/>
      <c r="M1619" s="81"/>
      <c r="N1619" s="84" t="str">
        <f aca="false">IF(C1619="","",IF(P1619="","NJ INCONNU",IF(I1619="",IF(H1619="OUI","À ENROBER",IF(G1619="À SOUDER","NON SOUDÉ","EN ATTENTE RT")),IF(L1619="R","À REPRENDRE",IF(H1619&lt;&gt;"OUI","⚠ ENROBÉ AVANT ACCEPTATION RT","ENROBÉ")))))</f>
        <v>EN ATTENTE RT</v>
      </c>
      <c r="O1619" s="80"/>
      <c r="P1619" s="82" t="n">
        <f aca="false">IF(C1619="","",IFERROR(MATCH(Q1619,'CARNET DE SOUDURE'!$AW$7:$AW$3006,0),""))</f>
        <v>1613</v>
      </c>
      <c r="Q1619" s="82" t="str">
        <f aca="false">IF(C1619="","",B1619&amp;"|"&amp;C1619)</f>
        <v>MFD-ISW → MFD-CPF|JN°1316R</v>
      </c>
    </row>
    <row r="1620" customFormat="false" ht="74.6" hidden="false" customHeight="false" outlineLevel="0" collapsed="false">
      <c r="A1620" s="82" t="n">
        <f aca="false">IF(C1620="","",ROW()-6)</f>
        <v>1614</v>
      </c>
      <c r="B1620" s="80" t="s">
        <v>110</v>
      </c>
      <c r="C1620" s="113" t="s">
        <v>1958</v>
      </c>
      <c r="D1620" s="82" t="str">
        <f aca="false">IF(OR(C1620="",P1620=""),"",INDEX('CARNET DE SOUDURE'!$D$7:$D$3006,P1620)&amp;"")</f>
        <v>14</v>
      </c>
      <c r="E1620" s="114" t="n">
        <f aca="false">IF(OR(C1620="",P1620=""),"",IF(INDEX('CARNET DE SOUDURE'!$U$7:$U$3006,P1620)="","",INDEX('CARNET DE SOUDURE'!$U$7:$U$3006,P1620)))</f>
        <v>46265</v>
      </c>
      <c r="F1620" s="82" t="str">
        <f aca="false">IF(OR(C1620="",P1620=""),"",INDEX('CARNET DE SOUDURE'!$AP$7:$AP$3006,P1620))</f>
        <v>A</v>
      </c>
      <c r="G1620" s="82" t="str">
        <f aca="false">IF(C1620="","",IF(P1620="","NJ INCONNU",INDEX('CARNET DE SOUDURE'!$AQ$7:$AQ$3006,P1620)))</f>
        <v>ACCEPTÉ</v>
      </c>
      <c r="H1620" s="82" t="str">
        <f aca="false">IF(C1620="","",IF(G1620="ACCEPTÉ","OUI","NON"))</f>
        <v>OUI</v>
      </c>
      <c r="I1620" s="83"/>
      <c r="J1620" s="80"/>
      <c r="K1620" s="81"/>
      <c r="L1620" s="81"/>
      <c r="M1620" s="81"/>
      <c r="N1620" s="84" t="str">
        <f aca="false">IF(C1620="","",IF(P1620="","NJ INCONNU",IF(I1620="",IF(H1620="OUI","À ENROBER",IF(G1620="À SOUDER","NON SOUDÉ","EN ATTENTE RT")),IF(L1620="R","À REPRENDRE",IF(H1620&lt;&gt;"OUI","⚠ ENROBÉ AVANT ACCEPTATION RT","ENROBÉ")))))</f>
        <v>À ENROBER</v>
      </c>
      <c r="O1620" s="80"/>
      <c r="P1620" s="82" t="n">
        <f aca="false">IF(C1620="","",IFERROR(MATCH(Q1620,'CARNET DE SOUDURE'!$AW$7:$AW$3006,0),""))</f>
        <v>1614</v>
      </c>
      <c r="Q1620" s="82" t="str">
        <f aca="false">IF(C1620="","",B1620&amp;"|"&amp;C1620)</f>
        <v>MFD-ISW → MFD-CPF|DJ°226</v>
      </c>
    </row>
    <row r="1621" customFormat="false" ht="74.6" hidden="false" customHeight="false" outlineLevel="0" collapsed="false">
      <c r="A1621" s="82" t="n">
        <f aca="false">IF(C1621="","",ROW()-6)</f>
        <v>1615</v>
      </c>
      <c r="B1621" s="80" t="s">
        <v>110</v>
      </c>
      <c r="C1621" s="113" t="s">
        <v>1959</v>
      </c>
      <c r="D1621" s="82" t="str">
        <f aca="false">IF(OR(C1621="",P1621=""),"",INDEX('CARNET DE SOUDURE'!$D$7:$D$3006,P1621)&amp;"")</f>
        <v>14</v>
      </c>
      <c r="E1621" s="114" t="n">
        <f aca="false">IF(OR(C1621="",P1621=""),"",IF(INDEX('CARNET DE SOUDURE'!$U$7:$U$3006,P1621)="","",INDEX('CARNET DE SOUDURE'!$U$7:$U$3006,P1621)))</f>
        <v>46274</v>
      </c>
      <c r="F1621" s="82" t="str">
        <f aca="false">IF(OR(C1621="",P1621=""),"",INDEX('CARNET DE SOUDURE'!$AP$7:$AP$3006,P1621))</f>
        <v>R</v>
      </c>
      <c r="G1621" s="82" t="str">
        <f aca="false">IF(C1621="","",IF(P1621="","NJ INCONNU",INDEX('CARNET DE SOUDURE'!$AQ$7:$AQ$3006,P1621)))</f>
        <v>À RÉPARER</v>
      </c>
      <c r="H1621" s="82" t="str">
        <f aca="false">IF(C1621="","",IF(G1621="ACCEPTÉ","OUI","NON"))</f>
        <v>NON</v>
      </c>
      <c r="I1621" s="83"/>
      <c r="J1621" s="80"/>
      <c r="K1621" s="81"/>
      <c r="L1621" s="81"/>
      <c r="M1621" s="81"/>
      <c r="N1621" s="84" t="str">
        <f aca="false">IF(C1621="","",IF(P1621="","NJ INCONNU",IF(I1621="",IF(H1621="OUI","À ENROBER",IF(G1621="À SOUDER","NON SOUDÉ","EN ATTENTE RT")),IF(L1621="R","À REPRENDRE",IF(H1621&lt;&gt;"OUI","⚠ ENROBÉ AVANT ACCEPTATION RT","ENROBÉ")))))</f>
        <v>EN ATTENTE RT</v>
      </c>
      <c r="O1621" s="80"/>
      <c r="P1621" s="82" t="n">
        <f aca="false">IF(C1621="","",IFERROR(MATCH(Q1621,'CARNET DE SOUDURE'!$AW$7:$AW$3006,0),""))</f>
        <v>1615</v>
      </c>
      <c r="Q1621" s="82" t="str">
        <f aca="false">IF(C1621="","",B1621&amp;"|"&amp;C1621)</f>
        <v>MFD-ISW → MFD-CPF|JN°1317</v>
      </c>
    </row>
    <row r="1622" customFormat="false" ht="74.6" hidden="false" customHeight="false" outlineLevel="0" collapsed="false">
      <c r="A1622" s="82" t="n">
        <f aca="false">IF(C1622="","",ROW()-6)</f>
        <v>1616</v>
      </c>
      <c r="B1622" s="80" t="s">
        <v>110</v>
      </c>
      <c r="C1622" s="113" t="s">
        <v>1961</v>
      </c>
      <c r="D1622" s="82" t="str">
        <f aca="false">IF(OR(C1622="",P1622=""),"",INDEX('CARNET DE SOUDURE'!$D$7:$D$3006,P1622)&amp;"")</f>
        <v>14</v>
      </c>
      <c r="E1622" s="114" t="n">
        <f aca="false">IF(OR(C1622="",P1622=""),"",IF(INDEX('CARNET DE SOUDURE'!$U$7:$U$3006,P1622)="","",INDEX('CARNET DE SOUDURE'!$U$7:$U$3006,P1622)))</f>
        <v>46265</v>
      </c>
      <c r="F1622" s="82" t="str">
        <f aca="false">IF(OR(C1622="",P1622=""),"",INDEX('CARNET DE SOUDURE'!$AP$7:$AP$3006,P1622))</f>
        <v>A</v>
      </c>
      <c r="G1622" s="82" t="str">
        <f aca="false">IF(C1622="","",IF(P1622="","NJ INCONNU",INDEX('CARNET DE SOUDURE'!$AQ$7:$AQ$3006,P1622)))</f>
        <v>ACCEPTÉ</v>
      </c>
      <c r="H1622" s="82" t="str">
        <f aca="false">IF(C1622="","",IF(G1622="ACCEPTÉ","OUI","NON"))</f>
        <v>OUI</v>
      </c>
      <c r="I1622" s="83"/>
      <c r="J1622" s="80"/>
      <c r="K1622" s="81"/>
      <c r="L1622" s="81"/>
      <c r="M1622" s="81"/>
      <c r="N1622" s="84" t="str">
        <f aca="false">IF(C1622="","",IF(P1622="","NJ INCONNU",IF(I1622="",IF(H1622="OUI","À ENROBER",IF(G1622="À SOUDER","NON SOUDÉ","EN ATTENTE RT")),IF(L1622="R","À REPRENDRE",IF(H1622&lt;&gt;"OUI","⚠ ENROBÉ AVANT ACCEPTATION RT","ENROBÉ")))))</f>
        <v>À ENROBER</v>
      </c>
      <c r="O1622" s="80"/>
      <c r="P1622" s="82" t="n">
        <f aca="false">IF(C1622="","",IFERROR(MATCH(Q1622,'CARNET DE SOUDURE'!$AW$7:$AW$3006,0),""))</f>
        <v>1616</v>
      </c>
      <c r="Q1622" s="82" t="str">
        <f aca="false">IF(C1622="","",B1622&amp;"|"&amp;C1622)</f>
        <v>MFD-ISW → MFD-CPF|DJ°220</v>
      </c>
    </row>
    <row r="1623" customFormat="false" ht="74.6" hidden="false" customHeight="false" outlineLevel="0" collapsed="false">
      <c r="A1623" s="82" t="n">
        <f aca="false">IF(C1623="","",ROW()-6)</f>
        <v>1617</v>
      </c>
      <c r="B1623" s="80" t="s">
        <v>110</v>
      </c>
      <c r="C1623" s="113" t="s">
        <v>1962</v>
      </c>
      <c r="D1623" s="82" t="str">
        <f aca="false">IF(OR(C1623="",P1623=""),"",INDEX('CARNET DE SOUDURE'!$D$7:$D$3006,P1623)&amp;"")</f>
        <v>14</v>
      </c>
      <c r="E1623" s="114" t="n">
        <f aca="false">IF(OR(C1623="",P1623=""),"",IF(INDEX('CARNET DE SOUDURE'!$U$7:$U$3006,P1623)="","",INDEX('CARNET DE SOUDURE'!$U$7:$U$3006,P1623)))</f>
        <v>46274</v>
      </c>
      <c r="F1623" s="82" t="str">
        <f aca="false">IF(OR(C1623="",P1623=""),"",INDEX('CARNET DE SOUDURE'!$AP$7:$AP$3006,P1623))</f>
        <v>A</v>
      </c>
      <c r="G1623" s="82" t="str">
        <f aca="false">IF(C1623="","",IF(P1623="","NJ INCONNU",INDEX('CARNET DE SOUDURE'!$AQ$7:$AQ$3006,P1623)))</f>
        <v>ACCEPTÉ</v>
      </c>
      <c r="H1623" s="82" t="str">
        <f aca="false">IF(C1623="","",IF(G1623="ACCEPTÉ","OUI","NON"))</f>
        <v>OUI</v>
      </c>
      <c r="I1623" s="83"/>
      <c r="J1623" s="80"/>
      <c r="K1623" s="81"/>
      <c r="L1623" s="81"/>
      <c r="M1623" s="81"/>
      <c r="N1623" s="84" t="str">
        <f aca="false">IF(C1623="","",IF(P1623="","NJ INCONNU",IF(I1623="",IF(H1623="OUI","À ENROBER",IF(G1623="À SOUDER","NON SOUDÉ","EN ATTENTE RT")),IF(L1623="R","À REPRENDRE",IF(H1623&lt;&gt;"OUI","⚠ ENROBÉ AVANT ACCEPTATION RT","ENROBÉ")))))</f>
        <v>À ENROBER</v>
      </c>
      <c r="O1623" s="80"/>
      <c r="P1623" s="82" t="n">
        <f aca="false">IF(C1623="","",IFERROR(MATCH(Q1623,'CARNET DE SOUDURE'!$AW$7:$AW$3006,0),""))</f>
        <v>1617</v>
      </c>
      <c r="Q1623" s="82" t="str">
        <f aca="false">IF(C1623="","",B1623&amp;"|"&amp;C1623)</f>
        <v>MFD-ISW → MFD-CPF|JN°1318</v>
      </c>
    </row>
    <row r="1624" customFormat="false" ht="74.6" hidden="false" customHeight="false" outlineLevel="0" collapsed="false">
      <c r="A1624" s="82" t="n">
        <f aca="false">IF(C1624="","",ROW()-6)</f>
        <v>1618</v>
      </c>
      <c r="B1624" s="80" t="s">
        <v>110</v>
      </c>
      <c r="C1624" s="113" t="s">
        <v>1964</v>
      </c>
      <c r="D1624" s="82" t="str">
        <f aca="false">IF(OR(C1624="",P1624=""),"",INDEX('CARNET DE SOUDURE'!$D$7:$D$3006,P1624)&amp;"")</f>
        <v>14</v>
      </c>
      <c r="E1624" s="114" t="n">
        <f aca="false">IF(OR(C1624="",P1624=""),"",IF(INDEX('CARNET DE SOUDURE'!$U$7:$U$3006,P1624)="","",INDEX('CARNET DE SOUDURE'!$U$7:$U$3006,P1624)))</f>
        <v>46264</v>
      </c>
      <c r="F1624" s="82" t="str">
        <f aca="false">IF(OR(C1624="",P1624=""),"",INDEX('CARNET DE SOUDURE'!$AP$7:$AP$3006,P1624))</f>
        <v>A</v>
      </c>
      <c r="G1624" s="82" t="str">
        <f aca="false">IF(C1624="","",IF(P1624="","NJ INCONNU",INDEX('CARNET DE SOUDURE'!$AQ$7:$AQ$3006,P1624)))</f>
        <v>ACCEPTÉ</v>
      </c>
      <c r="H1624" s="82" t="str">
        <f aca="false">IF(C1624="","",IF(G1624="ACCEPTÉ","OUI","NON"))</f>
        <v>OUI</v>
      </c>
      <c r="I1624" s="83"/>
      <c r="J1624" s="80"/>
      <c r="K1624" s="81"/>
      <c r="L1624" s="81"/>
      <c r="M1624" s="81"/>
      <c r="N1624" s="84" t="str">
        <f aca="false">IF(C1624="","",IF(P1624="","NJ INCONNU",IF(I1624="",IF(H1624="OUI","À ENROBER",IF(G1624="À SOUDER","NON SOUDÉ","EN ATTENTE RT")),IF(L1624="R","À REPRENDRE",IF(H1624&lt;&gt;"OUI","⚠ ENROBÉ AVANT ACCEPTATION RT","ENROBÉ")))))</f>
        <v>À ENROBER</v>
      </c>
      <c r="O1624" s="80"/>
      <c r="P1624" s="82" t="n">
        <f aca="false">IF(C1624="","",IFERROR(MATCH(Q1624,'CARNET DE SOUDURE'!$AW$7:$AW$3006,0),""))</f>
        <v>1618</v>
      </c>
      <c r="Q1624" s="82" t="str">
        <f aca="false">IF(C1624="","",B1624&amp;"|"&amp;C1624)</f>
        <v>MFD-ISW → MFD-CPF|DJ°211</v>
      </c>
    </row>
    <row r="1625" customFormat="false" ht="74.6" hidden="false" customHeight="false" outlineLevel="0" collapsed="false">
      <c r="A1625" s="82" t="n">
        <f aca="false">IF(C1625="","",ROW()-6)</f>
        <v>1619</v>
      </c>
      <c r="B1625" s="80" t="s">
        <v>110</v>
      </c>
      <c r="C1625" s="113" t="s">
        <v>1966</v>
      </c>
      <c r="D1625" s="82" t="str">
        <f aca="false">IF(OR(C1625="",P1625=""),"",INDEX('CARNET DE SOUDURE'!$D$7:$D$3006,P1625)&amp;"")</f>
        <v>14</v>
      </c>
      <c r="E1625" s="114" t="n">
        <f aca="false">IF(OR(C1625="",P1625=""),"",IF(INDEX('CARNET DE SOUDURE'!$U$7:$U$3006,P1625)="","",INDEX('CARNET DE SOUDURE'!$U$7:$U$3006,P1625)))</f>
        <v>46274</v>
      </c>
      <c r="F1625" s="82" t="str">
        <f aca="false">IF(OR(C1625="",P1625=""),"",INDEX('CARNET DE SOUDURE'!$AP$7:$AP$3006,P1625))</f>
        <v>A</v>
      </c>
      <c r="G1625" s="82" t="str">
        <f aca="false">IF(C1625="","",IF(P1625="","NJ INCONNU",INDEX('CARNET DE SOUDURE'!$AQ$7:$AQ$3006,P1625)))</f>
        <v>ACCEPTÉ</v>
      </c>
      <c r="H1625" s="82" t="str">
        <f aca="false">IF(C1625="","",IF(G1625="ACCEPTÉ","OUI","NON"))</f>
        <v>OUI</v>
      </c>
      <c r="I1625" s="83"/>
      <c r="J1625" s="80"/>
      <c r="K1625" s="81"/>
      <c r="L1625" s="81"/>
      <c r="M1625" s="81"/>
      <c r="N1625" s="84" t="str">
        <f aca="false">IF(C1625="","",IF(P1625="","NJ INCONNU",IF(I1625="",IF(H1625="OUI","À ENROBER",IF(G1625="À SOUDER","NON SOUDÉ","EN ATTENTE RT")),IF(L1625="R","À REPRENDRE",IF(H1625&lt;&gt;"OUI","⚠ ENROBÉ AVANT ACCEPTATION RT","ENROBÉ")))))</f>
        <v>À ENROBER</v>
      </c>
      <c r="O1625" s="80"/>
      <c r="P1625" s="82" t="n">
        <f aca="false">IF(C1625="","",IFERROR(MATCH(Q1625,'CARNET DE SOUDURE'!$AW$7:$AW$3006,0),""))</f>
        <v>1619</v>
      </c>
      <c r="Q1625" s="82" t="str">
        <f aca="false">IF(C1625="","",B1625&amp;"|"&amp;C1625)</f>
        <v>MFD-ISW → MFD-CPF|JN°1319</v>
      </c>
    </row>
    <row r="1626" customFormat="false" ht="74.6" hidden="false" customHeight="false" outlineLevel="0" collapsed="false">
      <c r="A1626" s="82" t="n">
        <f aca="false">IF(C1626="","",ROW()-6)</f>
        <v>1620</v>
      </c>
      <c r="B1626" s="80" t="s">
        <v>110</v>
      </c>
      <c r="C1626" s="113" t="s">
        <v>1967</v>
      </c>
      <c r="D1626" s="82" t="str">
        <f aca="false">IF(OR(C1626="",P1626=""),"",INDEX('CARNET DE SOUDURE'!$D$7:$D$3006,P1626)&amp;"")</f>
        <v>14</v>
      </c>
      <c r="E1626" s="114" t="n">
        <f aca="false">IF(OR(C1626="",P1626=""),"",IF(INDEX('CARNET DE SOUDURE'!$U$7:$U$3006,P1626)="","",INDEX('CARNET DE SOUDURE'!$U$7:$U$3006,P1626)))</f>
        <v>46264</v>
      </c>
      <c r="F1626" s="82" t="str">
        <f aca="false">IF(OR(C1626="",P1626=""),"",INDEX('CARNET DE SOUDURE'!$AP$7:$AP$3006,P1626))</f>
        <v>A</v>
      </c>
      <c r="G1626" s="82" t="str">
        <f aca="false">IF(C1626="","",IF(P1626="","NJ INCONNU",INDEX('CARNET DE SOUDURE'!$AQ$7:$AQ$3006,P1626)))</f>
        <v>ACCEPTÉ</v>
      </c>
      <c r="H1626" s="82" t="str">
        <f aca="false">IF(C1626="","",IF(G1626="ACCEPTÉ","OUI","NON"))</f>
        <v>OUI</v>
      </c>
      <c r="I1626" s="83"/>
      <c r="J1626" s="80"/>
      <c r="K1626" s="81"/>
      <c r="L1626" s="81"/>
      <c r="M1626" s="81"/>
      <c r="N1626" s="84" t="str">
        <f aca="false">IF(C1626="","",IF(P1626="","NJ INCONNU",IF(I1626="",IF(H1626="OUI","À ENROBER",IF(G1626="À SOUDER","NON SOUDÉ","EN ATTENTE RT")),IF(L1626="R","À REPRENDRE",IF(H1626&lt;&gt;"OUI","⚠ ENROBÉ AVANT ACCEPTATION RT","ENROBÉ")))))</f>
        <v>À ENROBER</v>
      </c>
      <c r="O1626" s="80"/>
      <c r="P1626" s="82" t="n">
        <f aca="false">IF(C1626="","",IFERROR(MATCH(Q1626,'CARNET DE SOUDURE'!$AW$7:$AW$3006,0),""))</f>
        <v>1620</v>
      </c>
      <c r="Q1626" s="82" t="str">
        <f aca="false">IF(C1626="","",B1626&amp;"|"&amp;C1626)</f>
        <v>MFD-ISW → MFD-CPF|DJ°205</v>
      </c>
    </row>
    <row r="1627" customFormat="false" ht="74.6" hidden="false" customHeight="false" outlineLevel="0" collapsed="false">
      <c r="A1627" s="82" t="n">
        <f aca="false">IF(C1627="","",ROW()-6)</f>
        <v>1621</v>
      </c>
      <c r="B1627" s="80" t="s">
        <v>110</v>
      </c>
      <c r="C1627" s="113" t="s">
        <v>1969</v>
      </c>
      <c r="D1627" s="82" t="str">
        <f aca="false">IF(OR(C1627="",P1627=""),"",INDEX('CARNET DE SOUDURE'!$D$7:$D$3006,P1627)&amp;"")</f>
        <v>14</v>
      </c>
      <c r="E1627" s="114" t="str">
        <f aca="false">IF(OR(C1627="",P1627=""),"",IF(INDEX('CARNET DE SOUDURE'!$U$7:$U$3006,P1627)="","",INDEX('CARNET DE SOUDURE'!$U$7:$U$3006,P1627)))</f>
        <v/>
      </c>
      <c r="F1627" s="82" t="str">
        <f aca="false">IF(OR(C1627="",P1627=""),"",INDEX('CARNET DE SOUDURE'!$AP$7:$AP$3006,P1627))</f>
        <v/>
      </c>
      <c r="G1627" s="82" t="str">
        <f aca="false">IF(C1627="","",IF(P1627="","NJ INCONNU",INDEX('CARNET DE SOUDURE'!$AQ$7:$AQ$3006,P1627)))</f>
        <v>À SOUDER</v>
      </c>
      <c r="H1627" s="82" t="str">
        <f aca="false">IF(C1627="","",IF(G1627="ACCEPTÉ","OUI","NON"))</f>
        <v>NON</v>
      </c>
      <c r="I1627" s="83"/>
      <c r="J1627" s="80"/>
      <c r="K1627" s="81"/>
      <c r="L1627" s="81"/>
      <c r="M1627" s="81"/>
      <c r="N1627" s="84" t="str">
        <f aca="false">IF(C1627="","",IF(P1627="","NJ INCONNU",IF(I1627="",IF(H1627="OUI","À ENROBER",IF(G1627="À SOUDER","NON SOUDÉ","EN ATTENTE RT")),IF(L1627="R","À REPRENDRE",IF(H1627&lt;&gt;"OUI","⚠ ENROBÉ AVANT ACCEPTATION RT","ENROBÉ")))))</f>
        <v>NON SOUDÉ</v>
      </c>
      <c r="O1627" s="80"/>
      <c r="P1627" s="82" t="n">
        <f aca="false">IF(C1627="","",IFERROR(MATCH(Q1627,'CARNET DE SOUDURE'!$AW$7:$AW$3006,0),""))</f>
        <v>1621</v>
      </c>
      <c r="Q1627" s="82" t="str">
        <f aca="false">IF(C1627="","",B1627&amp;"|"&amp;C1627)</f>
        <v>MFD-ISW → MFD-CPF|JN°1320</v>
      </c>
    </row>
    <row r="1628" customFormat="false" ht="74.6" hidden="false" customHeight="false" outlineLevel="0" collapsed="false">
      <c r="A1628" s="82" t="n">
        <f aca="false">IF(C1628="","",ROW()-6)</f>
        <v>1622</v>
      </c>
      <c r="B1628" s="80" t="s">
        <v>110</v>
      </c>
      <c r="C1628" s="113" t="s">
        <v>1970</v>
      </c>
      <c r="D1628" s="82" t="str">
        <f aca="false">IF(OR(C1628="",P1628=""),"",INDEX('CARNET DE SOUDURE'!$D$7:$D$3006,P1628)&amp;"")</f>
        <v>14</v>
      </c>
      <c r="E1628" s="114" t="str">
        <f aca="false">IF(OR(C1628="",P1628=""),"",IF(INDEX('CARNET DE SOUDURE'!$U$7:$U$3006,P1628)="","",INDEX('CARNET DE SOUDURE'!$U$7:$U$3006,P1628)))</f>
        <v/>
      </c>
      <c r="F1628" s="82" t="str">
        <f aca="false">IF(OR(C1628="",P1628=""),"",INDEX('CARNET DE SOUDURE'!$AP$7:$AP$3006,P1628))</f>
        <v/>
      </c>
      <c r="G1628" s="82" t="str">
        <f aca="false">IF(C1628="","",IF(P1628="","NJ INCONNU",INDEX('CARNET DE SOUDURE'!$AQ$7:$AQ$3006,P1628)))</f>
        <v>À SOUDER</v>
      </c>
      <c r="H1628" s="82" t="str">
        <f aca="false">IF(C1628="","",IF(G1628="ACCEPTÉ","OUI","NON"))</f>
        <v>NON</v>
      </c>
      <c r="I1628" s="83"/>
      <c r="J1628" s="80"/>
      <c r="K1628" s="81"/>
      <c r="L1628" s="81"/>
      <c r="M1628" s="81"/>
      <c r="N1628" s="84" t="str">
        <f aca="false">IF(C1628="","",IF(P1628="","NJ INCONNU",IF(I1628="",IF(H1628="OUI","À ENROBER",IF(G1628="À SOUDER","NON SOUDÉ","EN ATTENTE RT")),IF(L1628="R","À REPRENDRE",IF(H1628&lt;&gt;"OUI","⚠ ENROBÉ AVANT ACCEPTATION RT","ENROBÉ")))))</f>
        <v>NON SOUDÉ</v>
      </c>
      <c r="O1628" s="80"/>
      <c r="P1628" s="82" t="n">
        <f aca="false">IF(C1628="","",IFERROR(MATCH(Q1628,'CARNET DE SOUDURE'!$AW$7:$AW$3006,0),""))</f>
        <v>1622</v>
      </c>
      <c r="Q1628" s="82" t="str">
        <f aca="false">IF(C1628="","",B1628&amp;"|"&amp;C1628)</f>
        <v>MFD-ISW → MFD-CPF|JN°1321</v>
      </c>
    </row>
    <row r="1629" customFormat="false" ht="74.6" hidden="false" customHeight="false" outlineLevel="0" collapsed="false">
      <c r="A1629" s="82" t="n">
        <f aca="false">IF(C1629="","",ROW()-6)</f>
        <v>1623</v>
      </c>
      <c r="B1629" s="80" t="s">
        <v>110</v>
      </c>
      <c r="C1629" s="113" t="s">
        <v>1972</v>
      </c>
      <c r="D1629" s="82" t="str">
        <f aca="false">IF(OR(C1629="",P1629=""),"",INDEX('CARNET DE SOUDURE'!$D$7:$D$3006,P1629)&amp;"")</f>
        <v>14</v>
      </c>
      <c r="E1629" s="114" t="n">
        <f aca="false">IF(OR(C1629="",P1629=""),"",IF(INDEX('CARNET DE SOUDURE'!$U$7:$U$3006,P1629)="","",INDEX('CARNET DE SOUDURE'!$U$7:$U$3006,P1629)))</f>
        <v>46265</v>
      </c>
      <c r="F1629" s="82" t="str">
        <f aca="false">IF(OR(C1629="",P1629=""),"",INDEX('CARNET DE SOUDURE'!$AP$7:$AP$3006,P1629))</f>
        <v>A</v>
      </c>
      <c r="G1629" s="82" t="str">
        <f aca="false">IF(C1629="","",IF(P1629="","NJ INCONNU",INDEX('CARNET DE SOUDURE'!$AQ$7:$AQ$3006,P1629)))</f>
        <v>ACCEPTÉ</v>
      </c>
      <c r="H1629" s="82" t="str">
        <f aca="false">IF(C1629="","",IF(G1629="ACCEPTÉ","OUI","NON"))</f>
        <v>OUI</v>
      </c>
      <c r="I1629" s="83"/>
      <c r="J1629" s="80"/>
      <c r="K1629" s="81"/>
      <c r="L1629" s="81"/>
      <c r="M1629" s="81"/>
      <c r="N1629" s="84" t="str">
        <f aca="false">IF(C1629="","",IF(P1629="","NJ INCONNU",IF(I1629="",IF(H1629="OUI","À ENROBER",IF(G1629="À SOUDER","NON SOUDÉ","EN ATTENTE RT")),IF(L1629="R","À REPRENDRE",IF(H1629&lt;&gt;"OUI","⚠ ENROBÉ AVANT ACCEPTATION RT","ENROBÉ")))))</f>
        <v>À ENROBER</v>
      </c>
      <c r="O1629" s="80"/>
      <c r="P1629" s="82" t="n">
        <f aca="false">IF(C1629="","",IFERROR(MATCH(Q1629,'CARNET DE SOUDURE'!$AW$7:$AW$3006,0),""))</f>
        <v>1623</v>
      </c>
      <c r="Q1629" s="82" t="str">
        <f aca="false">IF(C1629="","",B1629&amp;"|"&amp;C1629)</f>
        <v>MFD-ISW → MFD-CPF|DJ°214</v>
      </c>
    </row>
    <row r="1630" customFormat="false" ht="74.6" hidden="false" customHeight="false" outlineLevel="0" collapsed="false">
      <c r="A1630" s="82" t="n">
        <f aca="false">IF(C1630="","",ROW()-6)</f>
        <v>1624</v>
      </c>
      <c r="B1630" s="80" t="s">
        <v>110</v>
      </c>
      <c r="C1630" s="113" t="s">
        <v>1973</v>
      </c>
      <c r="D1630" s="82" t="str">
        <f aca="false">IF(OR(C1630="",P1630=""),"",INDEX('CARNET DE SOUDURE'!$D$7:$D$3006,P1630)&amp;"")</f>
        <v>14</v>
      </c>
      <c r="E1630" s="114" t="n">
        <f aca="false">IF(OR(C1630="",P1630=""),"",IF(INDEX('CARNET DE SOUDURE'!$U$7:$U$3006,P1630)="","",INDEX('CARNET DE SOUDURE'!$U$7:$U$3006,P1630)))</f>
        <v>46274</v>
      </c>
      <c r="F1630" s="82" t="str">
        <f aca="false">IF(OR(C1630="",P1630=""),"",INDEX('CARNET DE SOUDURE'!$AP$7:$AP$3006,P1630))</f>
        <v>A</v>
      </c>
      <c r="G1630" s="82" t="str">
        <f aca="false">IF(C1630="","",IF(P1630="","NJ INCONNU",INDEX('CARNET DE SOUDURE'!$AQ$7:$AQ$3006,P1630)))</f>
        <v>ACCEPTÉ</v>
      </c>
      <c r="H1630" s="82" t="str">
        <f aca="false">IF(C1630="","",IF(G1630="ACCEPTÉ","OUI","NON"))</f>
        <v>OUI</v>
      </c>
      <c r="I1630" s="83"/>
      <c r="J1630" s="80"/>
      <c r="K1630" s="81"/>
      <c r="L1630" s="81"/>
      <c r="M1630" s="81"/>
      <c r="N1630" s="84" t="str">
        <f aca="false">IF(C1630="","",IF(P1630="","NJ INCONNU",IF(I1630="",IF(H1630="OUI","À ENROBER",IF(G1630="À SOUDER","NON SOUDÉ","EN ATTENTE RT")),IF(L1630="R","À REPRENDRE",IF(H1630&lt;&gt;"OUI","⚠ ENROBÉ AVANT ACCEPTATION RT","ENROBÉ")))))</f>
        <v>À ENROBER</v>
      </c>
      <c r="O1630" s="80"/>
      <c r="P1630" s="82" t="n">
        <f aca="false">IF(C1630="","",IFERROR(MATCH(Q1630,'CARNET DE SOUDURE'!$AW$7:$AW$3006,0),""))</f>
        <v>1624</v>
      </c>
      <c r="Q1630" s="82" t="str">
        <f aca="false">IF(C1630="","",B1630&amp;"|"&amp;C1630)</f>
        <v>MFD-ISW → MFD-CPF|JN°1322</v>
      </c>
    </row>
    <row r="1631" customFormat="false" ht="74.6" hidden="false" customHeight="false" outlineLevel="0" collapsed="false">
      <c r="A1631" s="82" t="n">
        <f aca="false">IF(C1631="","",ROW()-6)</f>
        <v>1625</v>
      </c>
      <c r="B1631" s="80" t="s">
        <v>110</v>
      </c>
      <c r="C1631" s="113" t="s">
        <v>1974</v>
      </c>
      <c r="D1631" s="82" t="str">
        <f aca="false">IF(OR(C1631="",P1631=""),"",INDEX('CARNET DE SOUDURE'!$D$7:$D$3006,P1631)&amp;"")</f>
        <v>14</v>
      </c>
      <c r="E1631" s="114" t="n">
        <f aca="false">IF(OR(C1631="",P1631=""),"",IF(INDEX('CARNET DE SOUDURE'!$U$7:$U$3006,P1631)="","",INDEX('CARNET DE SOUDURE'!$U$7:$U$3006,P1631)))</f>
        <v>46265</v>
      </c>
      <c r="F1631" s="82" t="str">
        <f aca="false">IF(OR(C1631="",P1631=""),"",INDEX('CARNET DE SOUDURE'!$AP$7:$AP$3006,P1631))</f>
        <v>A</v>
      </c>
      <c r="G1631" s="82" t="str">
        <f aca="false">IF(C1631="","",IF(P1631="","NJ INCONNU",INDEX('CARNET DE SOUDURE'!$AQ$7:$AQ$3006,P1631)))</f>
        <v>ACCEPTÉ</v>
      </c>
      <c r="H1631" s="82" t="str">
        <f aca="false">IF(C1631="","",IF(G1631="ACCEPTÉ","OUI","NON"))</f>
        <v>OUI</v>
      </c>
      <c r="I1631" s="83"/>
      <c r="J1631" s="80"/>
      <c r="K1631" s="81"/>
      <c r="L1631" s="81"/>
      <c r="M1631" s="81"/>
      <c r="N1631" s="84" t="str">
        <f aca="false">IF(C1631="","",IF(P1631="","NJ INCONNU",IF(I1631="",IF(H1631="OUI","À ENROBER",IF(G1631="À SOUDER","NON SOUDÉ","EN ATTENTE RT")),IF(L1631="R","À REPRENDRE",IF(H1631&lt;&gt;"OUI","⚠ ENROBÉ AVANT ACCEPTATION RT","ENROBÉ")))))</f>
        <v>À ENROBER</v>
      </c>
      <c r="O1631" s="80"/>
      <c r="P1631" s="82" t="n">
        <f aca="false">IF(C1631="","",IFERROR(MATCH(Q1631,'CARNET DE SOUDURE'!$AW$7:$AW$3006,0),""))</f>
        <v>1625</v>
      </c>
      <c r="Q1631" s="82" t="str">
        <f aca="false">IF(C1631="","",B1631&amp;"|"&amp;C1631)</f>
        <v>MFD-ISW → MFD-CPF|DJ°225</v>
      </c>
    </row>
    <row r="1632" customFormat="false" ht="74.6" hidden="false" customHeight="false" outlineLevel="0" collapsed="false">
      <c r="A1632" s="82" t="n">
        <f aca="false">IF(C1632="","",ROW()-6)</f>
        <v>1626</v>
      </c>
      <c r="B1632" s="80" t="s">
        <v>110</v>
      </c>
      <c r="C1632" s="113" t="s">
        <v>1975</v>
      </c>
      <c r="D1632" s="82" t="str">
        <f aca="false">IF(OR(C1632="",P1632=""),"",INDEX('CARNET DE SOUDURE'!$D$7:$D$3006,P1632)&amp;"")</f>
        <v>14</v>
      </c>
      <c r="E1632" s="114" t="n">
        <f aca="false">IF(OR(C1632="",P1632=""),"",IF(INDEX('CARNET DE SOUDURE'!$U$7:$U$3006,P1632)="","",INDEX('CARNET DE SOUDURE'!$U$7:$U$3006,P1632)))</f>
        <v>46274</v>
      </c>
      <c r="F1632" s="82" t="str">
        <f aca="false">IF(OR(C1632="",P1632=""),"",INDEX('CARNET DE SOUDURE'!$AP$7:$AP$3006,P1632))</f>
        <v>A</v>
      </c>
      <c r="G1632" s="82" t="str">
        <f aca="false">IF(C1632="","",IF(P1632="","NJ INCONNU",INDEX('CARNET DE SOUDURE'!$AQ$7:$AQ$3006,P1632)))</f>
        <v>ACCEPTÉ</v>
      </c>
      <c r="H1632" s="82" t="str">
        <f aca="false">IF(C1632="","",IF(G1632="ACCEPTÉ","OUI","NON"))</f>
        <v>OUI</v>
      </c>
      <c r="I1632" s="83"/>
      <c r="J1632" s="80"/>
      <c r="K1632" s="81"/>
      <c r="L1632" s="81"/>
      <c r="M1632" s="81"/>
      <c r="N1632" s="84" t="str">
        <f aca="false">IF(C1632="","",IF(P1632="","NJ INCONNU",IF(I1632="",IF(H1632="OUI","À ENROBER",IF(G1632="À SOUDER","NON SOUDÉ","EN ATTENTE RT")),IF(L1632="R","À REPRENDRE",IF(H1632&lt;&gt;"OUI","⚠ ENROBÉ AVANT ACCEPTATION RT","ENROBÉ")))))</f>
        <v>À ENROBER</v>
      </c>
      <c r="O1632" s="80"/>
      <c r="P1632" s="82" t="n">
        <f aca="false">IF(C1632="","",IFERROR(MATCH(Q1632,'CARNET DE SOUDURE'!$AW$7:$AW$3006,0),""))</f>
        <v>1626</v>
      </c>
      <c r="Q1632" s="82" t="str">
        <f aca="false">IF(C1632="","",B1632&amp;"|"&amp;C1632)</f>
        <v>MFD-ISW → MFD-CPF|JN°1323</v>
      </c>
    </row>
    <row r="1633" customFormat="false" ht="74.6" hidden="false" customHeight="false" outlineLevel="0" collapsed="false">
      <c r="A1633" s="82" t="n">
        <f aca="false">IF(C1633="","",ROW()-6)</f>
        <v>1627</v>
      </c>
      <c r="B1633" s="80" t="s">
        <v>110</v>
      </c>
      <c r="C1633" s="113" t="s">
        <v>1976</v>
      </c>
      <c r="D1633" s="82" t="str">
        <f aca="false">IF(OR(C1633="",P1633=""),"",INDEX('CARNET DE SOUDURE'!$D$7:$D$3006,P1633)&amp;"")</f>
        <v>14</v>
      </c>
      <c r="E1633" s="114" t="n">
        <f aca="false">IF(OR(C1633="",P1633=""),"",IF(INDEX('CARNET DE SOUDURE'!$U$7:$U$3006,P1633)="","",INDEX('CARNET DE SOUDURE'!$U$7:$U$3006,P1633)))</f>
        <v>46264</v>
      </c>
      <c r="F1633" s="82" t="str">
        <f aca="false">IF(OR(C1633="",P1633=""),"",INDEX('CARNET DE SOUDURE'!$AP$7:$AP$3006,P1633))</f>
        <v>A</v>
      </c>
      <c r="G1633" s="82" t="str">
        <f aca="false">IF(C1633="","",IF(P1633="","NJ INCONNU",INDEX('CARNET DE SOUDURE'!$AQ$7:$AQ$3006,P1633)))</f>
        <v>ACCEPTÉ</v>
      </c>
      <c r="H1633" s="82" t="str">
        <f aca="false">IF(C1633="","",IF(G1633="ACCEPTÉ","OUI","NON"))</f>
        <v>OUI</v>
      </c>
      <c r="I1633" s="83"/>
      <c r="J1633" s="80"/>
      <c r="K1633" s="81"/>
      <c r="L1633" s="81"/>
      <c r="M1633" s="81"/>
      <c r="N1633" s="84" t="str">
        <f aca="false">IF(C1633="","",IF(P1633="","NJ INCONNU",IF(I1633="",IF(H1633="OUI","À ENROBER",IF(G1633="À SOUDER","NON SOUDÉ","EN ATTENTE RT")),IF(L1633="R","À REPRENDRE",IF(H1633&lt;&gt;"OUI","⚠ ENROBÉ AVANT ACCEPTATION RT","ENROBÉ")))))</f>
        <v>À ENROBER</v>
      </c>
      <c r="O1633" s="80"/>
      <c r="P1633" s="82" t="n">
        <f aca="false">IF(C1633="","",IFERROR(MATCH(Q1633,'CARNET DE SOUDURE'!$AW$7:$AW$3006,0),""))</f>
        <v>1627</v>
      </c>
      <c r="Q1633" s="82" t="str">
        <f aca="false">IF(C1633="","",B1633&amp;"|"&amp;C1633)</f>
        <v>MFD-ISW → MFD-CPF|DJ°208</v>
      </c>
    </row>
    <row r="1634" customFormat="false" ht="74.6" hidden="false" customHeight="false" outlineLevel="0" collapsed="false">
      <c r="A1634" s="82" t="n">
        <f aca="false">IF(C1634="","",ROW()-6)</f>
        <v>1628</v>
      </c>
      <c r="B1634" s="80" t="s">
        <v>110</v>
      </c>
      <c r="C1634" s="113" t="s">
        <v>1977</v>
      </c>
      <c r="D1634" s="82" t="str">
        <f aca="false">IF(OR(C1634="",P1634=""),"",INDEX('CARNET DE SOUDURE'!$D$7:$D$3006,P1634)&amp;"")</f>
        <v>14</v>
      </c>
      <c r="E1634" s="114" t="n">
        <f aca="false">IF(OR(C1634="",P1634=""),"",IF(INDEX('CARNET DE SOUDURE'!$U$7:$U$3006,P1634)="","",INDEX('CARNET DE SOUDURE'!$U$7:$U$3006,P1634)))</f>
        <v>46291</v>
      </c>
      <c r="F1634" s="82" t="str">
        <f aca="false">IF(OR(C1634="",P1634=""),"",INDEX('CARNET DE SOUDURE'!$AP$7:$AP$3006,P1634))</f>
        <v/>
      </c>
      <c r="G1634" s="82" t="str">
        <f aca="false">IF(C1634="","",IF(P1634="","NJ INCONNU",INDEX('CARNET DE SOUDURE'!$AQ$7:$AQ$3006,P1634)))</f>
        <v>À RADIOGRAPHIER</v>
      </c>
      <c r="H1634" s="82" t="str">
        <f aca="false">IF(C1634="","",IF(G1634="ACCEPTÉ","OUI","NON"))</f>
        <v>NON</v>
      </c>
      <c r="I1634" s="83"/>
      <c r="J1634" s="80"/>
      <c r="K1634" s="81"/>
      <c r="L1634" s="81"/>
      <c r="M1634" s="81"/>
      <c r="N1634" s="84" t="str">
        <f aca="false">IF(C1634="","",IF(P1634="","NJ INCONNU",IF(I1634="",IF(H1634="OUI","À ENROBER",IF(G1634="À SOUDER","NON SOUDÉ","EN ATTENTE RT")),IF(L1634="R","À REPRENDRE",IF(H1634&lt;&gt;"OUI","⚠ ENROBÉ AVANT ACCEPTATION RT","ENROBÉ")))))</f>
        <v>EN ATTENTE RT</v>
      </c>
      <c r="O1634" s="80"/>
      <c r="P1634" s="82" t="n">
        <f aca="false">IF(C1634="","",IFERROR(MATCH(Q1634,'CARNET DE SOUDURE'!$AW$7:$AW$3006,0),""))</f>
        <v>1628</v>
      </c>
      <c r="Q1634" s="82" t="str">
        <f aca="false">IF(C1634="","",B1634&amp;"|"&amp;C1634)</f>
        <v>MFD-ISW → MFD-CPF|JN°1324R</v>
      </c>
    </row>
    <row r="1635" customFormat="false" ht="74.6" hidden="false" customHeight="false" outlineLevel="0" collapsed="false">
      <c r="A1635" s="82" t="n">
        <f aca="false">IF(C1635="","",ROW()-6)</f>
        <v>1629</v>
      </c>
      <c r="B1635" s="80" t="s">
        <v>110</v>
      </c>
      <c r="C1635" s="113" t="s">
        <v>1979</v>
      </c>
      <c r="D1635" s="82" t="str">
        <f aca="false">IF(OR(C1635="",P1635=""),"",INDEX('CARNET DE SOUDURE'!$D$7:$D$3006,P1635)&amp;"")</f>
        <v>14</v>
      </c>
      <c r="E1635" s="114" t="n">
        <f aca="false">IF(OR(C1635="",P1635=""),"",IF(INDEX('CARNET DE SOUDURE'!$U$7:$U$3006,P1635)="","",INDEX('CARNET DE SOUDURE'!$U$7:$U$3006,P1635)))</f>
        <v>46264</v>
      </c>
      <c r="F1635" s="82" t="str">
        <f aca="false">IF(OR(C1635="",P1635=""),"",INDEX('CARNET DE SOUDURE'!$AP$7:$AP$3006,P1635))</f>
        <v>A</v>
      </c>
      <c r="G1635" s="82" t="str">
        <f aca="false">IF(C1635="","",IF(P1635="","NJ INCONNU",INDEX('CARNET DE SOUDURE'!$AQ$7:$AQ$3006,P1635)))</f>
        <v>ACCEPTÉ</v>
      </c>
      <c r="H1635" s="82" t="str">
        <f aca="false">IF(C1635="","",IF(G1635="ACCEPTÉ","OUI","NON"))</f>
        <v>OUI</v>
      </c>
      <c r="I1635" s="83"/>
      <c r="J1635" s="80"/>
      <c r="K1635" s="81"/>
      <c r="L1635" s="81"/>
      <c r="M1635" s="81"/>
      <c r="N1635" s="84" t="str">
        <f aca="false">IF(C1635="","",IF(P1635="","NJ INCONNU",IF(I1635="",IF(H1635="OUI","À ENROBER",IF(G1635="À SOUDER","NON SOUDÉ","EN ATTENTE RT")),IF(L1635="R","À REPRENDRE",IF(H1635&lt;&gt;"OUI","⚠ ENROBÉ AVANT ACCEPTATION RT","ENROBÉ")))))</f>
        <v>À ENROBER</v>
      </c>
      <c r="O1635" s="80"/>
      <c r="P1635" s="82" t="n">
        <f aca="false">IF(C1635="","",IFERROR(MATCH(Q1635,'CARNET DE SOUDURE'!$AW$7:$AW$3006,0),""))</f>
        <v>1629</v>
      </c>
      <c r="Q1635" s="82" t="str">
        <f aca="false">IF(C1635="","",B1635&amp;"|"&amp;C1635)</f>
        <v>MFD-ISW → MFD-CPF|DJ°201</v>
      </c>
    </row>
    <row r="1636" customFormat="false" ht="74.6" hidden="false" customHeight="false" outlineLevel="0" collapsed="false">
      <c r="A1636" s="82" t="n">
        <f aca="false">IF(C1636="","",ROW()-6)</f>
        <v>1630</v>
      </c>
      <c r="B1636" s="80" t="s">
        <v>110</v>
      </c>
      <c r="C1636" s="113" t="s">
        <v>1980</v>
      </c>
      <c r="D1636" s="82" t="str">
        <f aca="false">IF(OR(C1636="",P1636=""),"",INDEX('CARNET DE SOUDURE'!$D$7:$D$3006,P1636)&amp;"")</f>
        <v>14</v>
      </c>
      <c r="E1636" s="114" t="n">
        <f aca="false">IF(OR(C1636="",P1636=""),"",IF(INDEX('CARNET DE SOUDURE'!$U$7:$U$3006,P1636)="","",INDEX('CARNET DE SOUDURE'!$U$7:$U$3006,P1636)))</f>
        <v>46291</v>
      </c>
      <c r="F1636" s="82" t="str">
        <f aca="false">IF(OR(C1636="",P1636=""),"",INDEX('CARNET DE SOUDURE'!$AP$7:$AP$3006,P1636))</f>
        <v/>
      </c>
      <c r="G1636" s="82" t="str">
        <f aca="false">IF(C1636="","",IF(P1636="","NJ INCONNU",INDEX('CARNET DE SOUDURE'!$AQ$7:$AQ$3006,P1636)))</f>
        <v>À RADIOGRAPHIER</v>
      </c>
      <c r="H1636" s="82" t="str">
        <f aca="false">IF(C1636="","",IF(G1636="ACCEPTÉ","OUI","NON"))</f>
        <v>NON</v>
      </c>
      <c r="I1636" s="83"/>
      <c r="J1636" s="80"/>
      <c r="K1636" s="81"/>
      <c r="L1636" s="81"/>
      <c r="M1636" s="81"/>
      <c r="N1636" s="84" t="str">
        <f aca="false">IF(C1636="","",IF(P1636="","NJ INCONNU",IF(I1636="",IF(H1636="OUI","À ENROBER",IF(G1636="À SOUDER","NON SOUDÉ","EN ATTENTE RT")),IF(L1636="R","À REPRENDRE",IF(H1636&lt;&gt;"OUI","⚠ ENROBÉ AVANT ACCEPTATION RT","ENROBÉ")))))</f>
        <v>EN ATTENTE RT</v>
      </c>
      <c r="O1636" s="80"/>
      <c r="P1636" s="82" t="n">
        <f aca="false">IF(C1636="","",IFERROR(MATCH(Q1636,'CARNET DE SOUDURE'!$AW$7:$AW$3006,0),""))</f>
        <v>1630</v>
      </c>
      <c r="Q1636" s="82" t="str">
        <f aca="false">IF(C1636="","",B1636&amp;"|"&amp;C1636)</f>
        <v>MFD-ISW → MFD-CPF|JN°1325R</v>
      </c>
    </row>
    <row r="1637" customFormat="false" ht="74.6" hidden="false" customHeight="false" outlineLevel="0" collapsed="false">
      <c r="A1637" s="82" t="n">
        <f aca="false">IF(C1637="","",ROW()-6)</f>
        <v>1631</v>
      </c>
      <c r="B1637" s="80" t="s">
        <v>110</v>
      </c>
      <c r="C1637" s="113" t="s">
        <v>1982</v>
      </c>
      <c r="D1637" s="82" t="str">
        <f aca="false">IF(OR(C1637="",P1637=""),"",INDEX('CARNET DE SOUDURE'!$D$7:$D$3006,P1637)&amp;"")</f>
        <v>14</v>
      </c>
      <c r="E1637" s="114" t="n">
        <f aca="false">IF(OR(C1637="",P1637=""),"",IF(INDEX('CARNET DE SOUDURE'!$U$7:$U$3006,P1637)="","",INDEX('CARNET DE SOUDURE'!$U$7:$U$3006,P1637)))</f>
        <v>46263</v>
      </c>
      <c r="F1637" s="82" t="str">
        <f aca="false">IF(OR(C1637="",P1637=""),"",INDEX('CARNET DE SOUDURE'!$AP$7:$AP$3006,P1637))</f>
        <v>A</v>
      </c>
      <c r="G1637" s="82" t="str">
        <f aca="false">IF(C1637="","",IF(P1637="","NJ INCONNU",INDEX('CARNET DE SOUDURE'!$AQ$7:$AQ$3006,P1637)))</f>
        <v>ACCEPTÉ</v>
      </c>
      <c r="H1637" s="82" t="str">
        <f aca="false">IF(C1637="","",IF(G1637="ACCEPTÉ","OUI","NON"))</f>
        <v>OUI</v>
      </c>
      <c r="I1637" s="83"/>
      <c r="J1637" s="80"/>
      <c r="K1637" s="81"/>
      <c r="L1637" s="81"/>
      <c r="M1637" s="81"/>
      <c r="N1637" s="84" t="str">
        <f aca="false">IF(C1637="","",IF(P1637="","NJ INCONNU",IF(I1637="",IF(H1637="OUI","À ENROBER",IF(G1637="À SOUDER","NON SOUDÉ","EN ATTENTE RT")),IF(L1637="R","À REPRENDRE",IF(H1637&lt;&gt;"OUI","⚠ ENROBÉ AVANT ACCEPTATION RT","ENROBÉ")))))</f>
        <v>À ENROBER</v>
      </c>
      <c r="O1637" s="80"/>
      <c r="P1637" s="82" t="n">
        <f aca="false">IF(C1637="","",IFERROR(MATCH(Q1637,'CARNET DE SOUDURE'!$AW$7:$AW$3006,0),""))</f>
        <v>1631</v>
      </c>
      <c r="Q1637" s="82" t="str">
        <f aca="false">IF(C1637="","",B1637&amp;"|"&amp;C1637)</f>
        <v>MFD-ISW → MFD-CPF|DJ°196</v>
      </c>
    </row>
    <row r="1638" customFormat="false" ht="74.6" hidden="false" customHeight="false" outlineLevel="0" collapsed="false">
      <c r="A1638" s="82" t="n">
        <f aca="false">IF(C1638="","",ROW()-6)</f>
        <v>1632</v>
      </c>
      <c r="B1638" s="80" t="s">
        <v>110</v>
      </c>
      <c r="C1638" s="113" t="s">
        <v>1983</v>
      </c>
      <c r="D1638" s="82" t="str">
        <f aca="false">IF(OR(C1638="",P1638=""),"",INDEX('CARNET DE SOUDURE'!$D$7:$D$3006,P1638)&amp;"")</f>
        <v>14</v>
      </c>
      <c r="E1638" s="114" t="n">
        <f aca="false">IF(OR(C1638="",P1638=""),"",IF(INDEX('CARNET DE SOUDURE'!$U$7:$U$3006,P1638)="","",INDEX('CARNET DE SOUDURE'!$U$7:$U$3006,P1638)))</f>
        <v>46290</v>
      </c>
      <c r="F1638" s="82" t="str">
        <f aca="false">IF(OR(C1638="",P1638=""),"",INDEX('CARNET DE SOUDURE'!$AP$7:$AP$3006,P1638))</f>
        <v/>
      </c>
      <c r="G1638" s="82" t="str">
        <f aca="false">IF(C1638="","",IF(P1638="","NJ INCONNU",INDEX('CARNET DE SOUDURE'!$AQ$7:$AQ$3006,P1638)))</f>
        <v>À RADIOGRAPHIER</v>
      </c>
      <c r="H1638" s="82" t="str">
        <f aca="false">IF(C1638="","",IF(G1638="ACCEPTÉ","OUI","NON"))</f>
        <v>NON</v>
      </c>
      <c r="I1638" s="83"/>
      <c r="J1638" s="80"/>
      <c r="K1638" s="81"/>
      <c r="L1638" s="81"/>
      <c r="M1638" s="81"/>
      <c r="N1638" s="84" t="str">
        <f aca="false">IF(C1638="","",IF(P1638="","NJ INCONNU",IF(I1638="",IF(H1638="OUI","À ENROBER",IF(G1638="À SOUDER","NON SOUDÉ","EN ATTENTE RT")),IF(L1638="R","À REPRENDRE",IF(H1638&lt;&gt;"OUI","⚠ ENROBÉ AVANT ACCEPTATION RT","ENROBÉ")))))</f>
        <v>EN ATTENTE RT</v>
      </c>
      <c r="O1638" s="80"/>
      <c r="P1638" s="82" t="n">
        <f aca="false">IF(C1638="","",IFERROR(MATCH(Q1638,'CARNET DE SOUDURE'!$AW$7:$AW$3006,0),""))</f>
        <v>1632</v>
      </c>
      <c r="Q1638" s="82" t="str">
        <f aca="false">IF(C1638="","",B1638&amp;"|"&amp;C1638)</f>
        <v>MFD-ISW → MFD-CPF|JN°1326R</v>
      </c>
    </row>
    <row r="1639" customFormat="false" ht="74.6" hidden="false" customHeight="false" outlineLevel="0" collapsed="false">
      <c r="A1639" s="82" t="n">
        <f aca="false">IF(C1639="","",ROW()-6)</f>
        <v>1633</v>
      </c>
      <c r="B1639" s="80" t="s">
        <v>110</v>
      </c>
      <c r="C1639" s="113" t="s">
        <v>1986</v>
      </c>
      <c r="D1639" s="82" t="str">
        <f aca="false">IF(OR(C1639="",P1639=""),"",INDEX('CARNET DE SOUDURE'!$D$7:$D$3006,P1639)&amp;"")</f>
        <v>14</v>
      </c>
      <c r="E1639" s="114" t="n">
        <f aca="false">IF(OR(C1639="",P1639=""),"",IF(INDEX('CARNET DE SOUDURE'!$U$7:$U$3006,P1639)="","",INDEX('CARNET DE SOUDURE'!$U$7:$U$3006,P1639)))</f>
        <v>46261</v>
      </c>
      <c r="F1639" s="82" t="str">
        <f aca="false">IF(OR(C1639="",P1639=""),"",INDEX('CARNET DE SOUDURE'!$AP$7:$AP$3006,P1639))</f>
        <v>A</v>
      </c>
      <c r="G1639" s="82" t="str">
        <f aca="false">IF(C1639="","",IF(P1639="","NJ INCONNU",INDEX('CARNET DE SOUDURE'!$AQ$7:$AQ$3006,P1639)))</f>
        <v>ACCEPTÉ</v>
      </c>
      <c r="H1639" s="82" t="str">
        <f aca="false">IF(C1639="","",IF(G1639="ACCEPTÉ","OUI","NON"))</f>
        <v>OUI</v>
      </c>
      <c r="I1639" s="83"/>
      <c r="J1639" s="80"/>
      <c r="K1639" s="81"/>
      <c r="L1639" s="81"/>
      <c r="M1639" s="81"/>
      <c r="N1639" s="84" t="str">
        <f aca="false">IF(C1639="","",IF(P1639="","NJ INCONNU",IF(I1639="",IF(H1639="OUI","À ENROBER",IF(G1639="À SOUDER","NON SOUDÉ","EN ATTENTE RT")),IF(L1639="R","À REPRENDRE",IF(H1639&lt;&gt;"OUI","⚠ ENROBÉ AVANT ACCEPTATION RT","ENROBÉ")))))</f>
        <v>À ENROBER</v>
      </c>
      <c r="O1639" s="80"/>
      <c r="P1639" s="82" t="n">
        <f aca="false">IF(C1639="","",IFERROR(MATCH(Q1639,'CARNET DE SOUDURE'!$AW$7:$AW$3006,0),""))</f>
        <v>1633</v>
      </c>
      <c r="Q1639" s="82" t="str">
        <f aca="false">IF(C1639="","",B1639&amp;"|"&amp;C1639)</f>
        <v>MFD-ISW → MFD-CPF|DJ°174</v>
      </c>
    </row>
    <row r="1640" customFormat="false" ht="74.6" hidden="false" customHeight="false" outlineLevel="0" collapsed="false">
      <c r="A1640" s="82" t="n">
        <f aca="false">IF(C1640="","",ROW()-6)</f>
        <v>1634</v>
      </c>
      <c r="B1640" s="80" t="s">
        <v>110</v>
      </c>
      <c r="C1640" s="113" t="s">
        <v>1987</v>
      </c>
      <c r="D1640" s="82" t="str">
        <f aca="false">IF(OR(C1640="",P1640=""),"",INDEX('CARNET DE SOUDURE'!$D$7:$D$3006,P1640)&amp;"")</f>
        <v>14</v>
      </c>
      <c r="E1640" s="114" t="n">
        <f aca="false">IF(OR(C1640="",P1640=""),"",IF(INDEX('CARNET DE SOUDURE'!$U$7:$U$3006,P1640)="","",INDEX('CARNET DE SOUDURE'!$U$7:$U$3006,P1640)))</f>
        <v>46290</v>
      </c>
      <c r="F1640" s="82" t="str">
        <f aca="false">IF(OR(C1640="",P1640=""),"",INDEX('CARNET DE SOUDURE'!$AP$7:$AP$3006,P1640))</f>
        <v/>
      </c>
      <c r="G1640" s="82" t="str">
        <f aca="false">IF(C1640="","",IF(P1640="","NJ INCONNU",INDEX('CARNET DE SOUDURE'!$AQ$7:$AQ$3006,P1640)))</f>
        <v>À RADIOGRAPHIER</v>
      </c>
      <c r="H1640" s="82" t="str">
        <f aca="false">IF(C1640="","",IF(G1640="ACCEPTÉ","OUI","NON"))</f>
        <v>NON</v>
      </c>
      <c r="I1640" s="83"/>
      <c r="J1640" s="80"/>
      <c r="K1640" s="81"/>
      <c r="L1640" s="81"/>
      <c r="M1640" s="81"/>
      <c r="N1640" s="84" t="str">
        <f aca="false">IF(C1640="","",IF(P1640="","NJ INCONNU",IF(I1640="",IF(H1640="OUI","À ENROBER",IF(G1640="À SOUDER","NON SOUDÉ","EN ATTENTE RT")),IF(L1640="R","À REPRENDRE",IF(H1640&lt;&gt;"OUI","⚠ ENROBÉ AVANT ACCEPTATION RT","ENROBÉ")))))</f>
        <v>EN ATTENTE RT</v>
      </c>
      <c r="O1640" s="80"/>
      <c r="P1640" s="82" t="n">
        <f aca="false">IF(C1640="","",IFERROR(MATCH(Q1640,'CARNET DE SOUDURE'!$AW$7:$AW$3006,0),""))</f>
        <v>1634</v>
      </c>
      <c r="Q1640" s="82" t="str">
        <f aca="false">IF(C1640="","",B1640&amp;"|"&amp;C1640)</f>
        <v>MFD-ISW → MFD-CPF|JN°1327R</v>
      </c>
    </row>
    <row r="1641" customFormat="false" ht="74.6" hidden="false" customHeight="false" outlineLevel="0" collapsed="false">
      <c r="A1641" s="82" t="n">
        <f aca="false">IF(C1641="","",ROW()-6)</f>
        <v>1635</v>
      </c>
      <c r="B1641" s="80" t="s">
        <v>110</v>
      </c>
      <c r="C1641" s="113" t="s">
        <v>1989</v>
      </c>
      <c r="D1641" s="82" t="str">
        <f aca="false">IF(OR(C1641="",P1641=""),"",INDEX('CARNET DE SOUDURE'!$D$7:$D$3006,P1641)&amp;"")</f>
        <v>14</v>
      </c>
      <c r="E1641" s="114" t="n">
        <f aca="false">IF(OR(C1641="",P1641=""),"",IF(INDEX('CARNET DE SOUDURE'!$U$7:$U$3006,P1641)="","",INDEX('CARNET DE SOUDURE'!$U$7:$U$3006,P1641)))</f>
        <v>46261</v>
      </c>
      <c r="F1641" s="82" t="str">
        <f aca="false">IF(OR(C1641="",P1641=""),"",INDEX('CARNET DE SOUDURE'!$AP$7:$AP$3006,P1641))</f>
        <v>A</v>
      </c>
      <c r="G1641" s="82" t="str">
        <f aca="false">IF(C1641="","",IF(P1641="","NJ INCONNU",INDEX('CARNET DE SOUDURE'!$AQ$7:$AQ$3006,P1641)))</f>
        <v>ACCEPTÉ</v>
      </c>
      <c r="H1641" s="82" t="str">
        <f aca="false">IF(C1641="","",IF(G1641="ACCEPTÉ","OUI","NON"))</f>
        <v>OUI</v>
      </c>
      <c r="I1641" s="83"/>
      <c r="J1641" s="80"/>
      <c r="K1641" s="81"/>
      <c r="L1641" s="81"/>
      <c r="M1641" s="81"/>
      <c r="N1641" s="84" t="str">
        <f aca="false">IF(C1641="","",IF(P1641="","NJ INCONNU",IF(I1641="",IF(H1641="OUI","À ENROBER",IF(G1641="À SOUDER","NON SOUDÉ","EN ATTENTE RT")),IF(L1641="R","À REPRENDRE",IF(H1641&lt;&gt;"OUI","⚠ ENROBÉ AVANT ACCEPTATION RT","ENROBÉ")))))</f>
        <v>À ENROBER</v>
      </c>
      <c r="O1641" s="80"/>
      <c r="P1641" s="82" t="n">
        <f aca="false">IF(C1641="","",IFERROR(MATCH(Q1641,'CARNET DE SOUDURE'!$AW$7:$AW$3006,0),""))</f>
        <v>1635</v>
      </c>
      <c r="Q1641" s="82" t="str">
        <f aca="false">IF(C1641="","",B1641&amp;"|"&amp;C1641)</f>
        <v>MFD-ISW → MFD-CPF|DJ°171</v>
      </c>
    </row>
    <row r="1642" customFormat="false" ht="74.6" hidden="false" customHeight="false" outlineLevel="0" collapsed="false">
      <c r="A1642" s="82" t="n">
        <f aca="false">IF(C1642="","",ROW()-6)</f>
        <v>1636</v>
      </c>
      <c r="B1642" s="80" t="s">
        <v>110</v>
      </c>
      <c r="C1642" s="113" t="s">
        <v>1990</v>
      </c>
      <c r="D1642" s="82" t="str">
        <f aca="false">IF(OR(C1642="",P1642=""),"",INDEX('CARNET DE SOUDURE'!$D$7:$D$3006,P1642)&amp;"")</f>
        <v>14</v>
      </c>
      <c r="E1642" s="114" t="n">
        <f aca="false">IF(OR(C1642="",P1642=""),"",IF(INDEX('CARNET DE SOUDURE'!$U$7:$U$3006,P1642)="","",INDEX('CARNET DE SOUDURE'!$U$7:$U$3006,P1642)))</f>
        <v>46274</v>
      </c>
      <c r="F1642" s="82" t="str">
        <f aca="false">IF(OR(C1642="",P1642=""),"",INDEX('CARNET DE SOUDURE'!$AP$7:$AP$3006,P1642))</f>
        <v>A</v>
      </c>
      <c r="G1642" s="82" t="str">
        <f aca="false">IF(C1642="","",IF(P1642="","NJ INCONNU",INDEX('CARNET DE SOUDURE'!$AQ$7:$AQ$3006,P1642)))</f>
        <v>ACCEPTÉ</v>
      </c>
      <c r="H1642" s="82" t="str">
        <f aca="false">IF(C1642="","",IF(G1642="ACCEPTÉ","OUI","NON"))</f>
        <v>OUI</v>
      </c>
      <c r="I1642" s="83"/>
      <c r="J1642" s="80"/>
      <c r="K1642" s="81"/>
      <c r="L1642" s="81"/>
      <c r="M1642" s="81"/>
      <c r="N1642" s="84" t="str">
        <f aca="false">IF(C1642="","",IF(P1642="","NJ INCONNU",IF(I1642="",IF(H1642="OUI","À ENROBER",IF(G1642="À SOUDER","NON SOUDÉ","EN ATTENTE RT")),IF(L1642="R","À REPRENDRE",IF(H1642&lt;&gt;"OUI","⚠ ENROBÉ AVANT ACCEPTATION RT","ENROBÉ")))))</f>
        <v>À ENROBER</v>
      </c>
      <c r="O1642" s="80"/>
      <c r="P1642" s="82" t="n">
        <f aca="false">IF(C1642="","",IFERROR(MATCH(Q1642,'CARNET DE SOUDURE'!$AW$7:$AW$3006,0),""))</f>
        <v>1636</v>
      </c>
      <c r="Q1642" s="82" t="str">
        <f aca="false">IF(C1642="","",B1642&amp;"|"&amp;C1642)</f>
        <v>MFD-ISW → MFD-CPF|JN°1328</v>
      </c>
    </row>
    <row r="1643" customFormat="false" ht="74.6" hidden="false" customHeight="false" outlineLevel="0" collapsed="false">
      <c r="A1643" s="82" t="n">
        <f aca="false">IF(C1643="","",ROW()-6)</f>
        <v>1637</v>
      </c>
      <c r="B1643" s="80" t="s">
        <v>110</v>
      </c>
      <c r="C1643" s="113" t="s">
        <v>1992</v>
      </c>
      <c r="D1643" s="82" t="str">
        <f aca="false">IF(OR(C1643="",P1643=""),"",INDEX('CARNET DE SOUDURE'!$D$7:$D$3006,P1643)&amp;"")</f>
        <v>14</v>
      </c>
      <c r="E1643" s="114" t="n">
        <f aca="false">IF(OR(C1643="",P1643=""),"",IF(INDEX('CARNET DE SOUDURE'!$U$7:$U$3006,P1643)="","",INDEX('CARNET DE SOUDURE'!$U$7:$U$3006,P1643)))</f>
        <v>46262</v>
      </c>
      <c r="F1643" s="82" t="str">
        <f aca="false">IF(OR(C1643="",P1643=""),"",INDEX('CARNET DE SOUDURE'!$AP$7:$AP$3006,P1643))</f>
        <v>A</v>
      </c>
      <c r="G1643" s="82" t="str">
        <f aca="false">IF(C1643="","",IF(P1643="","NJ INCONNU",INDEX('CARNET DE SOUDURE'!$AQ$7:$AQ$3006,P1643)))</f>
        <v>ACCEPTÉ</v>
      </c>
      <c r="H1643" s="82" t="str">
        <f aca="false">IF(C1643="","",IF(G1643="ACCEPTÉ","OUI","NON"))</f>
        <v>OUI</v>
      </c>
      <c r="I1643" s="83"/>
      <c r="J1643" s="80"/>
      <c r="K1643" s="81"/>
      <c r="L1643" s="81"/>
      <c r="M1643" s="81"/>
      <c r="N1643" s="84" t="str">
        <f aca="false">IF(C1643="","",IF(P1643="","NJ INCONNU",IF(I1643="",IF(H1643="OUI","À ENROBER",IF(G1643="À SOUDER","NON SOUDÉ","EN ATTENTE RT")),IF(L1643="R","À REPRENDRE",IF(H1643&lt;&gt;"OUI","⚠ ENROBÉ AVANT ACCEPTATION RT","ENROBÉ")))))</f>
        <v>À ENROBER</v>
      </c>
      <c r="O1643" s="80"/>
      <c r="P1643" s="82" t="n">
        <f aca="false">IF(C1643="","",IFERROR(MATCH(Q1643,'CARNET DE SOUDURE'!$AW$7:$AW$3006,0),""))</f>
        <v>1637</v>
      </c>
      <c r="Q1643" s="82" t="str">
        <f aca="false">IF(C1643="","",B1643&amp;"|"&amp;C1643)</f>
        <v>MFD-ISW → MFD-CPF|DJ°177</v>
      </c>
    </row>
    <row r="1644" customFormat="false" ht="74.6" hidden="false" customHeight="false" outlineLevel="0" collapsed="false">
      <c r="A1644" s="82" t="n">
        <f aca="false">IF(C1644="","",ROW()-6)</f>
        <v>1638</v>
      </c>
      <c r="B1644" s="80" t="s">
        <v>110</v>
      </c>
      <c r="C1644" s="113" t="s">
        <v>1993</v>
      </c>
      <c r="D1644" s="82" t="str">
        <f aca="false">IF(OR(C1644="",P1644=""),"",INDEX('CARNET DE SOUDURE'!$D$7:$D$3006,P1644)&amp;"")</f>
        <v>14</v>
      </c>
      <c r="E1644" s="114" t="n">
        <f aca="false">IF(OR(C1644="",P1644=""),"",IF(INDEX('CARNET DE SOUDURE'!$U$7:$U$3006,P1644)="","",INDEX('CARNET DE SOUDURE'!$U$7:$U$3006,P1644)))</f>
        <v>46274</v>
      </c>
      <c r="F1644" s="82" t="str">
        <f aca="false">IF(OR(C1644="",P1644=""),"",INDEX('CARNET DE SOUDURE'!$AP$7:$AP$3006,P1644))</f>
        <v>A</v>
      </c>
      <c r="G1644" s="82" t="str">
        <f aca="false">IF(C1644="","",IF(P1644="","NJ INCONNU",INDEX('CARNET DE SOUDURE'!$AQ$7:$AQ$3006,P1644)))</f>
        <v>ACCEPTÉ</v>
      </c>
      <c r="H1644" s="82" t="str">
        <f aca="false">IF(C1644="","",IF(G1644="ACCEPTÉ","OUI","NON"))</f>
        <v>OUI</v>
      </c>
      <c r="I1644" s="83"/>
      <c r="J1644" s="80"/>
      <c r="K1644" s="81"/>
      <c r="L1644" s="81"/>
      <c r="M1644" s="81"/>
      <c r="N1644" s="84" t="str">
        <f aca="false">IF(C1644="","",IF(P1644="","NJ INCONNU",IF(I1644="",IF(H1644="OUI","À ENROBER",IF(G1644="À SOUDER","NON SOUDÉ","EN ATTENTE RT")),IF(L1644="R","À REPRENDRE",IF(H1644&lt;&gt;"OUI","⚠ ENROBÉ AVANT ACCEPTATION RT","ENROBÉ")))))</f>
        <v>À ENROBER</v>
      </c>
      <c r="O1644" s="80"/>
      <c r="P1644" s="82" t="n">
        <f aca="false">IF(C1644="","",IFERROR(MATCH(Q1644,'CARNET DE SOUDURE'!$AW$7:$AW$3006,0),""))</f>
        <v>1638</v>
      </c>
      <c r="Q1644" s="82" t="str">
        <f aca="false">IF(C1644="","",B1644&amp;"|"&amp;C1644)</f>
        <v>MFD-ISW → MFD-CPF|JN°1329</v>
      </c>
    </row>
    <row r="1645" customFormat="false" ht="74.6" hidden="false" customHeight="false" outlineLevel="0" collapsed="false">
      <c r="A1645" s="82" t="n">
        <f aca="false">IF(C1645="","",ROW()-6)</f>
        <v>1639</v>
      </c>
      <c r="B1645" s="80" t="s">
        <v>110</v>
      </c>
      <c r="C1645" s="113" t="s">
        <v>1994</v>
      </c>
      <c r="D1645" s="82" t="str">
        <f aca="false">IF(OR(C1645="",P1645=""),"",INDEX('CARNET DE SOUDURE'!$D$7:$D$3006,P1645)&amp;"")</f>
        <v>14</v>
      </c>
      <c r="E1645" s="114" t="n">
        <f aca="false">IF(OR(C1645="",P1645=""),"",IF(INDEX('CARNET DE SOUDURE'!$U$7:$U$3006,P1645)="","",INDEX('CARNET DE SOUDURE'!$U$7:$U$3006,P1645)))</f>
        <v>46261</v>
      </c>
      <c r="F1645" s="82" t="str">
        <f aca="false">IF(OR(C1645="",P1645=""),"",INDEX('CARNET DE SOUDURE'!$AP$7:$AP$3006,P1645))</f>
        <v>A</v>
      </c>
      <c r="G1645" s="82" t="str">
        <f aca="false">IF(C1645="","",IF(P1645="","NJ INCONNU",INDEX('CARNET DE SOUDURE'!$AQ$7:$AQ$3006,P1645)))</f>
        <v>ACCEPTÉ</v>
      </c>
      <c r="H1645" s="82" t="str">
        <f aca="false">IF(C1645="","",IF(G1645="ACCEPTÉ","OUI","NON"))</f>
        <v>OUI</v>
      </c>
      <c r="I1645" s="83"/>
      <c r="J1645" s="80"/>
      <c r="K1645" s="81"/>
      <c r="L1645" s="81"/>
      <c r="M1645" s="81"/>
      <c r="N1645" s="84" t="str">
        <f aca="false">IF(C1645="","",IF(P1645="","NJ INCONNU",IF(I1645="",IF(H1645="OUI","À ENROBER",IF(G1645="À SOUDER","NON SOUDÉ","EN ATTENTE RT")),IF(L1645="R","À REPRENDRE",IF(H1645&lt;&gt;"OUI","⚠ ENROBÉ AVANT ACCEPTATION RT","ENROBÉ")))))</f>
        <v>À ENROBER</v>
      </c>
      <c r="O1645" s="80"/>
      <c r="P1645" s="82" t="n">
        <f aca="false">IF(C1645="","",IFERROR(MATCH(Q1645,'CARNET DE SOUDURE'!$AW$7:$AW$3006,0),""))</f>
        <v>1639</v>
      </c>
      <c r="Q1645" s="82" t="str">
        <f aca="false">IF(C1645="","",B1645&amp;"|"&amp;C1645)</f>
        <v>MFD-ISW → MFD-CPF|DJ°166</v>
      </c>
    </row>
    <row r="1646" customFormat="false" ht="74.6" hidden="false" customHeight="false" outlineLevel="0" collapsed="false">
      <c r="A1646" s="82" t="n">
        <f aca="false">IF(C1646="","",ROW()-6)</f>
        <v>1640</v>
      </c>
      <c r="B1646" s="80" t="s">
        <v>110</v>
      </c>
      <c r="C1646" s="113" t="s">
        <v>1995</v>
      </c>
      <c r="D1646" s="82" t="str">
        <f aca="false">IF(OR(C1646="",P1646=""),"",INDEX('CARNET DE SOUDURE'!$D$7:$D$3006,P1646)&amp;"")</f>
        <v>14</v>
      </c>
      <c r="E1646" s="114" t="n">
        <f aca="false">IF(OR(C1646="",P1646=""),"",IF(INDEX('CARNET DE SOUDURE'!$U$7:$U$3006,P1646)="","",INDEX('CARNET DE SOUDURE'!$U$7:$U$3006,P1646)))</f>
        <v>46274</v>
      </c>
      <c r="F1646" s="82" t="str">
        <f aca="false">IF(OR(C1646="",P1646=""),"",INDEX('CARNET DE SOUDURE'!$AP$7:$AP$3006,P1646))</f>
        <v>A</v>
      </c>
      <c r="G1646" s="82" t="str">
        <f aca="false">IF(C1646="","",IF(P1646="","NJ INCONNU",INDEX('CARNET DE SOUDURE'!$AQ$7:$AQ$3006,P1646)))</f>
        <v>ACCEPTÉ</v>
      </c>
      <c r="H1646" s="82" t="str">
        <f aca="false">IF(C1646="","",IF(G1646="ACCEPTÉ","OUI","NON"))</f>
        <v>OUI</v>
      </c>
      <c r="I1646" s="83"/>
      <c r="J1646" s="80"/>
      <c r="K1646" s="81"/>
      <c r="L1646" s="81"/>
      <c r="M1646" s="81"/>
      <c r="N1646" s="84" t="str">
        <f aca="false">IF(C1646="","",IF(P1646="","NJ INCONNU",IF(I1646="",IF(H1646="OUI","À ENROBER",IF(G1646="À SOUDER","NON SOUDÉ","EN ATTENTE RT")),IF(L1646="R","À REPRENDRE",IF(H1646&lt;&gt;"OUI","⚠ ENROBÉ AVANT ACCEPTATION RT","ENROBÉ")))))</f>
        <v>À ENROBER</v>
      </c>
      <c r="O1646" s="80"/>
      <c r="P1646" s="82" t="n">
        <f aca="false">IF(C1646="","",IFERROR(MATCH(Q1646,'CARNET DE SOUDURE'!$AW$7:$AW$3006,0),""))</f>
        <v>1640</v>
      </c>
      <c r="Q1646" s="82" t="str">
        <f aca="false">IF(C1646="","",B1646&amp;"|"&amp;C1646)</f>
        <v>MFD-ISW → MFD-CPF|JN°1330</v>
      </c>
    </row>
    <row r="1647" customFormat="false" ht="74.6" hidden="false" customHeight="false" outlineLevel="0" collapsed="false">
      <c r="A1647" s="82" t="n">
        <f aca="false">IF(C1647="","",ROW()-6)</f>
        <v>1641</v>
      </c>
      <c r="B1647" s="80" t="s">
        <v>110</v>
      </c>
      <c r="C1647" s="113" t="s">
        <v>1996</v>
      </c>
      <c r="D1647" s="82" t="str">
        <f aca="false">IF(OR(C1647="",P1647=""),"",INDEX('CARNET DE SOUDURE'!$D$7:$D$3006,P1647)&amp;"")</f>
        <v>14</v>
      </c>
      <c r="E1647" s="114" t="n">
        <f aca="false">IF(OR(C1647="",P1647=""),"",IF(INDEX('CARNET DE SOUDURE'!$U$7:$U$3006,P1647)="","",INDEX('CARNET DE SOUDURE'!$U$7:$U$3006,P1647)))</f>
        <v>46264</v>
      </c>
      <c r="F1647" s="82" t="str">
        <f aca="false">IF(OR(C1647="",P1647=""),"",INDEX('CARNET DE SOUDURE'!$AP$7:$AP$3006,P1647))</f>
        <v>A</v>
      </c>
      <c r="G1647" s="82" t="str">
        <f aca="false">IF(C1647="","",IF(P1647="","NJ INCONNU",INDEX('CARNET DE SOUDURE'!$AQ$7:$AQ$3006,P1647)))</f>
        <v>ACCEPTÉ</v>
      </c>
      <c r="H1647" s="82" t="str">
        <f aca="false">IF(C1647="","",IF(G1647="ACCEPTÉ","OUI","NON"))</f>
        <v>OUI</v>
      </c>
      <c r="I1647" s="83"/>
      <c r="J1647" s="80"/>
      <c r="K1647" s="81"/>
      <c r="L1647" s="81"/>
      <c r="M1647" s="81"/>
      <c r="N1647" s="84" t="str">
        <f aca="false">IF(C1647="","",IF(P1647="","NJ INCONNU",IF(I1647="",IF(H1647="OUI","À ENROBER",IF(G1647="À SOUDER","NON SOUDÉ","EN ATTENTE RT")),IF(L1647="R","À REPRENDRE",IF(H1647&lt;&gt;"OUI","⚠ ENROBÉ AVANT ACCEPTATION RT","ENROBÉ")))))</f>
        <v>À ENROBER</v>
      </c>
      <c r="O1647" s="80"/>
      <c r="P1647" s="82" t="n">
        <f aca="false">IF(C1647="","",IFERROR(MATCH(Q1647,'CARNET DE SOUDURE'!$AW$7:$AW$3006,0),""))</f>
        <v>1641</v>
      </c>
      <c r="Q1647" s="82" t="str">
        <f aca="false">IF(C1647="","",B1647&amp;"|"&amp;C1647)</f>
        <v>MFD-ISW → MFD-CPF|DJ°207</v>
      </c>
    </row>
    <row r="1648" customFormat="false" ht="74.6" hidden="false" customHeight="false" outlineLevel="0" collapsed="false">
      <c r="A1648" s="82" t="n">
        <f aca="false">IF(C1648="","",ROW()-6)</f>
        <v>1642</v>
      </c>
      <c r="B1648" s="80" t="s">
        <v>110</v>
      </c>
      <c r="C1648" s="113" t="s">
        <v>1997</v>
      </c>
      <c r="D1648" s="82" t="str">
        <f aca="false">IF(OR(C1648="",P1648=""),"",INDEX('CARNET DE SOUDURE'!$D$7:$D$3006,P1648)&amp;"")</f>
        <v>14</v>
      </c>
      <c r="E1648" s="114" t="n">
        <f aca="false">IF(OR(C1648="",P1648=""),"",IF(INDEX('CARNET DE SOUDURE'!$U$7:$U$3006,P1648)="","",INDEX('CARNET DE SOUDURE'!$U$7:$U$3006,P1648)))</f>
        <v>46274</v>
      </c>
      <c r="F1648" s="82" t="str">
        <f aca="false">IF(OR(C1648="",P1648=""),"",INDEX('CARNET DE SOUDURE'!$AP$7:$AP$3006,P1648))</f>
        <v>A</v>
      </c>
      <c r="G1648" s="82" t="str">
        <f aca="false">IF(C1648="","",IF(P1648="","NJ INCONNU",INDEX('CARNET DE SOUDURE'!$AQ$7:$AQ$3006,P1648)))</f>
        <v>ACCEPTÉ</v>
      </c>
      <c r="H1648" s="82" t="str">
        <f aca="false">IF(C1648="","",IF(G1648="ACCEPTÉ","OUI","NON"))</f>
        <v>OUI</v>
      </c>
      <c r="I1648" s="83"/>
      <c r="J1648" s="80"/>
      <c r="K1648" s="81"/>
      <c r="L1648" s="81"/>
      <c r="M1648" s="81"/>
      <c r="N1648" s="84" t="str">
        <f aca="false">IF(C1648="","",IF(P1648="","NJ INCONNU",IF(I1648="",IF(H1648="OUI","À ENROBER",IF(G1648="À SOUDER","NON SOUDÉ","EN ATTENTE RT")),IF(L1648="R","À REPRENDRE",IF(H1648&lt;&gt;"OUI","⚠ ENROBÉ AVANT ACCEPTATION RT","ENROBÉ")))))</f>
        <v>À ENROBER</v>
      </c>
      <c r="O1648" s="80"/>
      <c r="P1648" s="82" t="n">
        <f aca="false">IF(C1648="","",IFERROR(MATCH(Q1648,'CARNET DE SOUDURE'!$AW$7:$AW$3006,0),""))</f>
        <v>1642</v>
      </c>
      <c r="Q1648" s="82" t="str">
        <f aca="false">IF(C1648="","",B1648&amp;"|"&amp;C1648)</f>
        <v>MFD-ISW → MFD-CPF|JN°1331</v>
      </c>
    </row>
    <row r="1649" customFormat="false" ht="74.6" hidden="false" customHeight="false" outlineLevel="0" collapsed="false">
      <c r="A1649" s="82" t="n">
        <f aca="false">IF(C1649="","",ROW()-6)</f>
        <v>1643</v>
      </c>
      <c r="B1649" s="80" t="s">
        <v>110</v>
      </c>
      <c r="C1649" s="113" t="s">
        <v>1998</v>
      </c>
      <c r="D1649" s="82" t="str">
        <f aca="false">IF(OR(C1649="",P1649=""),"",INDEX('CARNET DE SOUDURE'!$D$7:$D$3006,P1649)&amp;"")</f>
        <v>14</v>
      </c>
      <c r="E1649" s="114" t="n">
        <f aca="false">IF(OR(C1649="",P1649=""),"",IF(INDEX('CARNET DE SOUDURE'!$U$7:$U$3006,P1649)="","",INDEX('CARNET DE SOUDURE'!$U$7:$U$3006,P1649)))</f>
        <v>46264</v>
      </c>
      <c r="F1649" s="82" t="str">
        <f aca="false">IF(OR(C1649="",P1649=""),"",INDEX('CARNET DE SOUDURE'!$AP$7:$AP$3006,P1649))</f>
        <v>A</v>
      </c>
      <c r="G1649" s="82" t="str">
        <f aca="false">IF(C1649="","",IF(P1649="","NJ INCONNU",INDEX('CARNET DE SOUDURE'!$AQ$7:$AQ$3006,P1649)))</f>
        <v>ACCEPTÉ</v>
      </c>
      <c r="H1649" s="82" t="str">
        <f aca="false">IF(C1649="","",IF(G1649="ACCEPTÉ","OUI","NON"))</f>
        <v>OUI</v>
      </c>
      <c r="I1649" s="83"/>
      <c r="J1649" s="80"/>
      <c r="K1649" s="81"/>
      <c r="L1649" s="81"/>
      <c r="M1649" s="81"/>
      <c r="N1649" s="84" t="str">
        <f aca="false">IF(C1649="","",IF(P1649="","NJ INCONNU",IF(I1649="",IF(H1649="OUI","À ENROBER",IF(G1649="À SOUDER","NON SOUDÉ","EN ATTENTE RT")),IF(L1649="R","À REPRENDRE",IF(H1649&lt;&gt;"OUI","⚠ ENROBÉ AVANT ACCEPTATION RT","ENROBÉ")))))</f>
        <v>À ENROBER</v>
      </c>
      <c r="O1649" s="80"/>
      <c r="P1649" s="82" t="n">
        <f aca="false">IF(C1649="","",IFERROR(MATCH(Q1649,'CARNET DE SOUDURE'!$AW$7:$AW$3006,0),""))</f>
        <v>1643</v>
      </c>
      <c r="Q1649" s="82" t="str">
        <f aca="false">IF(C1649="","",B1649&amp;"|"&amp;C1649)</f>
        <v>MFD-ISW → MFD-CPF|DJ°203</v>
      </c>
    </row>
    <row r="1650" customFormat="false" ht="74.6" hidden="false" customHeight="false" outlineLevel="0" collapsed="false">
      <c r="A1650" s="82" t="n">
        <f aca="false">IF(C1650="","",ROW()-6)</f>
        <v>1644</v>
      </c>
      <c r="B1650" s="80" t="s">
        <v>110</v>
      </c>
      <c r="C1650" s="113" t="s">
        <v>1999</v>
      </c>
      <c r="D1650" s="82" t="str">
        <f aca="false">IF(OR(C1650="",P1650=""),"",INDEX('CARNET DE SOUDURE'!$D$7:$D$3006,P1650)&amp;"")</f>
        <v>14</v>
      </c>
      <c r="E1650" s="114" t="n">
        <f aca="false">IF(OR(C1650="",P1650=""),"",IF(INDEX('CARNET DE SOUDURE'!$U$7:$U$3006,P1650)="","",INDEX('CARNET DE SOUDURE'!$U$7:$U$3006,P1650)))</f>
        <v>46290</v>
      </c>
      <c r="F1650" s="82" t="str">
        <f aca="false">IF(OR(C1650="",P1650=""),"",INDEX('CARNET DE SOUDURE'!$AP$7:$AP$3006,P1650))</f>
        <v/>
      </c>
      <c r="G1650" s="82" t="str">
        <f aca="false">IF(C1650="","",IF(P1650="","NJ INCONNU",INDEX('CARNET DE SOUDURE'!$AQ$7:$AQ$3006,P1650)))</f>
        <v>À RADIOGRAPHIER</v>
      </c>
      <c r="H1650" s="82" t="str">
        <f aca="false">IF(C1650="","",IF(G1650="ACCEPTÉ","OUI","NON"))</f>
        <v>NON</v>
      </c>
      <c r="I1650" s="83"/>
      <c r="J1650" s="80"/>
      <c r="K1650" s="81"/>
      <c r="L1650" s="81"/>
      <c r="M1650" s="81"/>
      <c r="N1650" s="84" t="str">
        <f aca="false">IF(C1650="","",IF(P1650="","NJ INCONNU",IF(I1650="",IF(H1650="OUI","À ENROBER",IF(G1650="À SOUDER","NON SOUDÉ","EN ATTENTE RT")),IF(L1650="R","À REPRENDRE",IF(H1650&lt;&gt;"OUI","⚠ ENROBÉ AVANT ACCEPTATION RT","ENROBÉ")))))</f>
        <v>EN ATTENTE RT</v>
      </c>
      <c r="O1650" s="80"/>
      <c r="P1650" s="82" t="n">
        <f aca="false">IF(C1650="","",IFERROR(MATCH(Q1650,'CARNET DE SOUDURE'!$AW$7:$AW$3006,0),""))</f>
        <v>1644</v>
      </c>
      <c r="Q1650" s="82" t="str">
        <f aca="false">IF(C1650="","",B1650&amp;"|"&amp;C1650)</f>
        <v>MFD-ISW → MFD-CPF|JN°1332R</v>
      </c>
    </row>
    <row r="1651" customFormat="false" ht="74.6" hidden="false" customHeight="false" outlineLevel="0" collapsed="false">
      <c r="A1651" s="82" t="n">
        <f aca="false">IF(C1651="","",ROW()-6)</f>
        <v>1645</v>
      </c>
      <c r="B1651" s="80" t="s">
        <v>110</v>
      </c>
      <c r="C1651" s="113" t="s">
        <v>2000</v>
      </c>
      <c r="D1651" s="82" t="str">
        <f aca="false">IF(OR(C1651="",P1651=""),"",INDEX('CARNET DE SOUDURE'!$D$7:$D$3006,P1651)&amp;"")</f>
        <v>14</v>
      </c>
      <c r="E1651" s="114" t="n">
        <f aca="false">IF(OR(C1651="",P1651=""),"",IF(INDEX('CARNET DE SOUDURE'!$U$7:$U$3006,P1651)="","",INDEX('CARNET DE SOUDURE'!$U$7:$U$3006,P1651)))</f>
        <v>46264</v>
      </c>
      <c r="F1651" s="82" t="str">
        <f aca="false">IF(OR(C1651="",P1651=""),"",INDEX('CARNET DE SOUDURE'!$AP$7:$AP$3006,P1651))</f>
        <v>A</v>
      </c>
      <c r="G1651" s="82" t="str">
        <f aca="false">IF(C1651="","",IF(P1651="","NJ INCONNU",INDEX('CARNET DE SOUDURE'!$AQ$7:$AQ$3006,P1651)))</f>
        <v>ACCEPTÉ</v>
      </c>
      <c r="H1651" s="82" t="str">
        <f aca="false">IF(C1651="","",IF(G1651="ACCEPTÉ","OUI","NON"))</f>
        <v>OUI</v>
      </c>
      <c r="I1651" s="83"/>
      <c r="J1651" s="80"/>
      <c r="K1651" s="81"/>
      <c r="L1651" s="81"/>
      <c r="M1651" s="81"/>
      <c r="N1651" s="84" t="str">
        <f aca="false">IF(C1651="","",IF(P1651="","NJ INCONNU",IF(I1651="",IF(H1651="OUI","À ENROBER",IF(G1651="À SOUDER","NON SOUDÉ","EN ATTENTE RT")),IF(L1651="R","À REPRENDRE",IF(H1651&lt;&gt;"OUI","⚠ ENROBÉ AVANT ACCEPTATION RT","ENROBÉ")))))</f>
        <v>À ENROBER</v>
      </c>
      <c r="O1651" s="80"/>
      <c r="P1651" s="82" t="n">
        <f aca="false">IF(C1651="","",IFERROR(MATCH(Q1651,'CARNET DE SOUDURE'!$AW$7:$AW$3006,0),""))</f>
        <v>1645</v>
      </c>
      <c r="Q1651" s="82" t="str">
        <f aca="false">IF(C1651="","",B1651&amp;"|"&amp;C1651)</f>
        <v>MFD-ISW → MFD-CPF|DJ°206</v>
      </c>
    </row>
    <row r="1652" customFormat="false" ht="74.6" hidden="false" customHeight="false" outlineLevel="0" collapsed="false">
      <c r="A1652" s="82" t="n">
        <f aca="false">IF(C1652="","",ROW()-6)</f>
        <v>1646</v>
      </c>
      <c r="B1652" s="80" t="s">
        <v>110</v>
      </c>
      <c r="C1652" s="113" t="s">
        <v>2001</v>
      </c>
      <c r="D1652" s="82" t="str">
        <f aca="false">IF(OR(C1652="",P1652=""),"",INDEX('CARNET DE SOUDURE'!$D$7:$D$3006,P1652)&amp;"")</f>
        <v>14</v>
      </c>
      <c r="E1652" s="114" t="n">
        <f aca="false">IF(OR(C1652="",P1652=""),"",IF(INDEX('CARNET DE SOUDURE'!$U$7:$U$3006,P1652)="","",INDEX('CARNET DE SOUDURE'!$U$7:$U$3006,P1652)))</f>
        <v>46274</v>
      </c>
      <c r="F1652" s="82" t="str">
        <f aca="false">IF(OR(C1652="",P1652=""),"",INDEX('CARNET DE SOUDURE'!$AP$7:$AP$3006,P1652))</f>
        <v>R</v>
      </c>
      <c r="G1652" s="82" t="str">
        <f aca="false">IF(C1652="","",IF(P1652="","NJ INCONNU",INDEX('CARNET DE SOUDURE'!$AQ$7:$AQ$3006,P1652)))</f>
        <v>À RÉPARER</v>
      </c>
      <c r="H1652" s="82" t="str">
        <f aca="false">IF(C1652="","",IF(G1652="ACCEPTÉ","OUI","NON"))</f>
        <v>NON</v>
      </c>
      <c r="I1652" s="83"/>
      <c r="J1652" s="80"/>
      <c r="K1652" s="81"/>
      <c r="L1652" s="81"/>
      <c r="M1652" s="81"/>
      <c r="N1652" s="84" t="str">
        <f aca="false">IF(C1652="","",IF(P1652="","NJ INCONNU",IF(I1652="",IF(H1652="OUI","À ENROBER",IF(G1652="À SOUDER","NON SOUDÉ","EN ATTENTE RT")),IF(L1652="R","À REPRENDRE",IF(H1652&lt;&gt;"OUI","⚠ ENROBÉ AVANT ACCEPTATION RT","ENROBÉ")))))</f>
        <v>EN ATTENTE RT</v>
      </c>
      <c r="O1652" s="80"/>
      <c r="P1652" s="82" t="n">
        <f aca="false">IF(C1652="","",IFERROR(MATCH(Q1652,'CARNET DE SOUDURE'!$AW$7:$AW$3006,0),""))</f>
        <v>1646</v>
      </c>
      <c r="Q1652" s="82" t="str">
        <f aca="false">IF(C1652="","",B1652&amp;"|"&amp;C1652)</f>
        <v>MFD-ISW → MFD-CPF|JN°1333</v>
      </c>
    </row>
    <row r="1653" customFormat="false" ht="74.6" hidden="false" customHeight="false" outlineLevel="0" collapsed="false">
      <c r="A1653" s="82" t="n">
        <f aca="false">IF(C1653="","",ROW()-6)</f>
        <v>1647</v>
      </c>
      <c r="B1653" s="80" t="s">
        <v>110</v>
      </c>
      <c r="C1653" s="113" t="s">
        <v>2003</v>
      </c>
      <c r="D1653" s="82" t="str">
        <f aca="false">IF(OR(C1653="",P1653=""),"",INDEX('CARNET DE SOUDURE'!$D$7:$D$3006,P1653)&amp;"")</f>
        <v>14</v>
      </c>
      <c r="E1653" s="114" t="n">
        <f aca="false">IF(OR(C1653="",P1653=""),"",IF(INDEX('CARNET DE SOUDURE'!$U$7:$U$3006,P1653)="","",INDEX('CARNET DE SOUDURE'!$U$7:$U$3006,P1653)))</f>
        <v>46264</v>
      </c>
      <c r="F1653" s="82" t="str">
        <f aca="false">IF(OR(C1653="",P1653=""),"",INDEX('CARNET DE SOUDURE'!$AP$7:$AP$3006,P1653))</f>
        <v>A</v>
      </c>
      <c r="G1653" s="82" t="str">
        <f aca="false">IF(C1653="","",IF(P1653="","NJ INCONNU",INDEX('CARNET DE SOUDURE'!$AQ$7:$AQ$3006,P1653)))</f>
        <v>ACCEPTÉ</v>
      </c>
      <c r="H1653" s="82" t="str">
        <f aca="false">IF(C1653="","",IF(G1653="ACCEPTÉ","OUI","NON"))</f>
        <v>OUI</v>
      </c>
      <c r="I1653" s="83"/>
      <c r="J1653" s="80"/>
      <c r="K1653" s="81"/>
      <c r="L1653" s="81"/>
      <c r="M1653" s="81"/>
      <c r="N1653" s="84" t="str">
        <f aca="false">IF(C1653="","",IF(P1653="","NJ INCONNU",IF(I1653="",IF(H1653="OUI","À ENROBER",IF(G1653="À SOUDER","NON SOUDÉ","EN ATTENTE RT")),IF(L1653="R","À REPRENDRE",IF(H1653&lt;&gt;"OUI","⚠ ENROBÉ AVANT ACCEPTATION RT","ENROBÉ")))))</f>
        <v>À ENROBER</v>
      </c>
      <c r="O1653" s="80"/>
      <c r="P1653" s="82" t="n">
        <f aca="false">IF(C1653="","",IFERROR(MATCH(Q1653,'CARNET DE SOUDURE'!$AW$7:$AW$3006,0),""))</f>
        <v>1647</v>
      </c>
      <c r="Q1653" s="82" t="str">
        <f aca="false">IF(C1653="","",B1653&amp;"|"&amp;C1653)</f>
        <v>MFD-ISW → MFD-CPF|DJ°197</v>
      </c>
    </row>
    <row r="1654" customFormat="false" ht="74.6" hidden="false" customHeight="false" outlineLevel="0" collapsed="false">
      <c r="A1654" s="82" t="n">
        <f aca="false">IF(C1654="","",ROW()-6)</f>
        <v>1648</v>
      </c>
      <c r="B1654" s="80" t="s">
        <v>110</v>
      </c>
      <c r="C1654" s="113" t="s">
        <v>2004</v>
      </c>
      <c r="D1654" s="82" t="str">
        <f aca="false">IF(OR(C1654="",P1654=""),"",INDEX('CARNET DE SOUDURE'!$D$7:$D$3006,P1654)&amp;"")</f>
        <v>14</v>
      </c>
      <c r="E1654" s="114" t="str">
        <f aca="false">IF(OR(C1654="",P1654=""),"",IF(INDEX('CARNET DE SOUDURE'!$U$7:$U$3006,P1654)="","",INDEX('CARNET DE SOUDURE'!$U$7:$U$3006,P1654)))</f>
        <v/>
      </c>
      <c r="F1654" s="82" t="str">
        <f aca="false">IF(OR(C1654="",P1654=""),"",INDEX('CARNET DE SOUDURE'!$AP$7:$AP$3006,P1654))</f>
        <v/>
      </c>
      <c r="G1654" s="82" t="str">
        <f aca="false">IF(C1654="","",IF(P1654="","NJ INCONNU",INDEX('CARNET DE SOUDURE'!$AQ$7:$AQ$3006,P1654)))</f>
        <v>À SOUDER</v>
      </c>
      <c r="H1654" s="82" t="str">
        <f aca="false">IF(C1654="","",IF(G1654="ACCEPTÉ","OUI","NON"))</f>
        <v>NON</v>
      </c>
      <c r="I1654" s="83"/>
      <c r="J1654" s="80"/>
      <c r="K1654" s="81"/>
      <c r="L1654" s="81"/>
      <c r="M1654" s="81"/>
      <c r="N1654" s="84" t="str">
        <f aca="false">IF(C1654="","",IF(P1654="","NJ INCONNU",IF(I1654="",IF(H1654="OUI","À ENROBER",IF(G1654="À SOUDER","NON SOUDÉ","EN ATTENTE RT")),IF(L1654="R","À REPRENDRE",IF(H1654&lt;&gt;"OUI","⚠ ENROBÉ AVANT ACCEPTATION RT","ENROBÉ")))))</f>
        <v>NON SOUDÉ</v>
      </c>
      <c r="O1654" s="80"/>
      <c r="P1654" s="82" t="n">
        <f aca="false">IF(C1654="","",IFERROR(MATCH(Q1654,'CARNET DE SOUDURE'!$AW$7:$AW$3006,0),""))</f>
        <v>1648</v>
      </c>
      <c r="Q1654" s="82" t="str">
        <f aca="false">IF(C1654="","",B1654&amp;"|"&amp;C1654)</f>
        <v>MFD-ISW → MFD-CPF|JN°1334</v>
      </c>
    </row>
    <row r="1655" customFormat="false" ht="74.6" hidden="false" customHeight="false" outlineLevel="0" collapsed="false">
      <c r="A1655" s="82" t="n">
        <f aca="false">IF(C1655="","",ROW()-6)</f>
        <v>1649</v>
      </c>
      <c r="B1655" s="80" t="s">
        <v>110</v>
      </c>
      <c r="C1655" s="113" t="s">
        <v>2005</v>
      </c>
      <c r="D1655" s="82" t="str">
        <f aca="false">IF(OR(C1655="",P1655=""),"",INDEX('CARNET DE SOUDURE'!$D$7:$D$3006,P1655)&amp;"")</f>
        <v>14</v>
      </c>
      <c r="E1655" s="114" t="str">
        <f aca="false">IF(OR(C1655="",P1655=""),"",IF(INDEX('CARNET DE SOUDURE'!$U$7:$U$3006,P1655)="","",INDEX('CARNET DE SOUDURE'!$U$7:$U$3006,P1655)))</f>
        <v/>
      </c>
      <c r="F1655" s="82" t="str">
        <f aca="false">IF(OR(C1655="",P1655=""),"",INDEX('CARNET DE SOUDURE'!$AP$7:$AP$3006,P1655))</f>
        <v/>
      </c>
      <c r="G1655" s="82" t="str">
        <f aca="false">IF(C1655="","",IF(P1655="","NJ INCONNU",INDEX('CARNET DE SOUDURE'!$AQ$7:$AQ$3006,P1655)))</f>
        <v>À SOUDER</v>
      </c>
      <c r="H1655" s="82" t="str">
        <f aca="false">IF(C1655="","",IF(G1655="ACCEPTÉ","OUI","NON"))</f>
        <v>NON</v>
      </c>
      <c r="I1655" s="83"/>
      <c r="J1655" s="80"/>
      <c r="K1655" s="81"/>
      <c r="L1655" s="81"/>
      <c r="M1655" s="81"/>
      <c r="N1655" s="84" t="str">
        <f aca="false">IF(C1655="","",IF(P1655="","NJ INCONNU",IF(I1655="",IF(H1655="OUI","À ENROBER",IF(G1655="À SOUDER","NON SOUDÉ","EN ATTENTE RT")),IF(L1655="R","À REPRENDRE",IF(H1655&lt;&gt;"OUI","⚠ ENROBÉ AVANT ACCEPTATION RT","ENROBÉ")))))</f>
        <v>NON SOUDÉ</v>
      </c>
      <c r="O1655" s="80"/>
      <c r="P1655" s="82" t="n">
        <f aca="false">IF(C1655="","",IFERROR(MATCH(Q1655,'CARNET DE SOUDURE'!$AW$7:$AW$3006,0),""))</f>
        <v>1649</v>
      </c>
      <c r="Q1655" s="82" t="str">
        <f aca="false">IF(C1655="","",B1655&amp;"|"&amp;C1655)</f>
        <v>MFD-ISW → MFD-CPF|JN°1335</v>
      </c>
    </row>
    <row r="1656" customFormat="false" ht="74.6" hidden="false" customHeight="false" outlineLevel="0" collapsed="false">
      <c r="A1656" s="82" t="n">
        <f aca="false">IF(C1656="","",ROW()-6)</f>
        <v>1650</v>
      </c>
      <c r="B1656" s="80" t="s">
        <v>110</v>
      </c>
      <c r="C1656" s="113" t="s">
        <v>2006</v>
      </c>
      <c r="D1656" s="82" t="str">
        <f aca="false">IF(OR(C1656="",P1656=""),"",INDEX('CARNET DE SOUDURE'!$D$7:$D$3006,P1656)&amp;"")</f>
        <v>14</v>
      </c>
      <c r="E1656" s="114" t="str">
        <f aca="false">IF(OR(C1656="",P1656=""),"",IF(INDEX('CARNET DE SOUDURE'!$U$7:$U$3006,P1656)="","",INDEX('CARNET DE SOUDURE'!$U$7:$U$3006,P1656)))</f>
        <v/>
      </c>
      <c r="F1656" s="82" t="str">
        <f aca="false">IF(OR(C1656="",P1656=""),"",INDEX('CARNET DE SOUDURE'!$AP$7:$AP$3006,P1656))</f>
        <v/>
      </c>
      <c r="G1656" s="82" t="str">
        <f aca="false">IF(C1656="","",IF(P1656="","NJ INCONNU",INDEX('CARNET DE SOUDURE'!$AQ$7:$AQ$3006,P1656)))</f>
        <v>À SOUDER</v>
      </c>
      <c r="H1656" s="82" t="str">
        <f aca="false">IF(C1656="","",IF(G1656="ACCEPTÉ","OUI","NON"))</f>
        <v>NON</v>
      </c>
      <c r="I1656" s="83"/>
      <c r="J1656" s="80"/>
      <c r="K1656" s="81"/>
      <c r="L1656" s="81"/>
      <c r="M1656" s="81"/>
      <c r="N1656" s="84" t="str">
        <f aca="false">IF(C1656="","",IF(P1656="","NJ INCONNU",IF(I1656="",IF(H1656="OUI","À ENROBER",IF(G1656="À SOUDER","NON SOUDÉ","EN ATTENTE RT")),IF(L1656="R","À REPRENDRE",IF(H1656&lt;&gt;"OUI","⚠ ENROBÉ AVANT ACCEPTATION RT","ENROBÉ")))))</f>
        <v>NON SOUDÉ</v>
      </c>
      <c r="O1656" s="80"/>
      <c r="P1656" s="82" t="n">
        <f aca="false">IF(C1656="","",IFERROR(MATCH(Q1656,'CARNET DE SOUDURE'!$AW$7:$AW$3006,0),""))</f>
        <v>1650</v>
      </c>
      <c r="Q1656" s="82" t="str">
        <f aca="false">IF(C1656="","",B1656&amp;"|"&amp;C1656)</f>
        <v>MFD-ISW → MFD-CPF|JN°1336</v>
      </c>
    </row>
    <row r="1657" customFormat="false" ht="74.6" hidden="false" customHeight="false" outlineLevel="0" collapsed="false">
      <c r="A1657" s="82" t="n">
        <f aca="false">IF(C1657="","",ROW()-6)</f>
        <v>1651</v>
      </c>
      <c r="B1657" s="80" t="s">
        <v>110</v>
      </c>
      <c r="C1657" s="113" t="s">
        <v>2007</v>
      </c>
      <c r="D1657" s="82" t="str">
        <f aca="false">IF(OR(C1657="",P1657=""),"",INDEX('CARNET DE SOUDURE'!$D$7:$D$3006,P1657)&amp;"")</f>
        <v>14</v>
      </c>
      <c r="E1657" s="114" t="str">
        <f aca="false">IF(OR(C1657="",P1657=""),"",IF(INDEX('CARNET DE SOUDURE'!$U$7:$U$3006,P1657)="","",INDEX('CARNET DE SOUDURE'!$U$7:$U$3006,P1657)))</f>
        <v/>
      </c>
      <c r="F1657" s="82" t="str">
        <f aca="false">IF(OR(C1657="",P1657=""),"",INDEX('CARNET DE SOUDURE'!$AP$7:$AP$3006,P1657))</f>
        <v/>
      </c>
      <c r="G1657" s="82" t="str">
        <f aca="false">IF(C1657="","",IF(P1657="","NJ INCONNU",INDEX('CARNET DE SOUDURE'!$AQ$7:$AQ$3006,P1657)))</f>
        <v>À SOUDER</v>
      </c>
      <c r="H1657" s="82" t="str">
        <f aca="false">IF(C1657="","",IF(G1657="ACCEPTÉ","OUI","NON"))</f>
        <v>NON</v>
      </c>
      <c r="I1657" s="83"/>
      <c r="J1657" s="80"/>
      <c r="K1657" s="81"/>
      <c r="L1657" s="81"/>
      <c r="M1657" s="81"/>
      <c r="N1657" s="84" t="str">
        <f aca="false">IF(C1657="","",IF(P1657="","NJ INCONNU",IF(I1657="",IF(H1657="OUI","À ENROBER",IF(G1657="À SOUDER","NON SOUDÉ","EN ATTENTE RT")),IF(L1657="R","À REPRENDRE",IF(H1657&lt;&gt;"OUI","⚠ ENROBÉ AVANT ACCEPTATION RT","ENROBÉ")))))</f>
        <v>NON SOUDÉ</v>
      </c>
      <c r="O1657" s="80"/>
      <c r="P1657" s="82" t="n">
        <f aca="false">IF(C1657="","",IFERROR(MATCH(Q1657,'CARNET DE SOUDURE'!$AW$7:$AW$3006,0),""))</f>
        <v>1651</v>
      </c>
      <c r="Q1657" s="82" t="str">
        <f aca="false">IF(C1657="","",B1657&amp;"|"&amp;C1657)</f>
        <v>MFD-ISW → MFD-CPF|JN°1337</v>
      </c>
    </row>
    <row r="1658" customFormat="false" ht="74.6" hidden="false" customHeight="false" outlineLevel="0" collapsed="false">
      <c r="A1658" s="82" t="n">
        <f aca="false">IF(C1658="","",ROW()-6)</f>
        <v>1652</v>
      </c>
      <c r="B1658" s="80" t="s">
        <v>110</v>
      </c>
      <c r="C1658" s="113" t="s">
        <v>2008</v>
      </c>
      <c r="D1658" s="82" t="str">
        <f aca="false">IF(OR(C1658="",P1658=""),"",INDEX('CARNET DE SOUDURE'!$D$7:$D$3006,P1658)&amp;"")</f>
        <v>14</v>
      </c>
      <c r="E1658" s="114" t="str">
        <f aca="false">IF(OR(C1658="",P1658=""),"",IF(INDEX('CARNET DE SOUDURE'!$U$7:$U$3006,P1658)="","",INDEX('CARNET DE SOUDURE'!$U$7:$U$3006,P1658)))</f>
        <v/>
      </c>
      <c r="F1658" s="82" t="str">
        <f aca="false">IF(OR(C1658="",P1658=""),"",INDEX('CARNET DE SOUDURE'!$AP$7:$AP$3006,P1658))</f>
        <v/>
      </c>
      <c r="G1658" s="82" t="str">
        <f aca="false">IF(C1658="","",IF(P1658="","NJ INCONNU",INDEX('CARNET DE SOUDURE'!$AQ$7:$AQ$3006,P1658)))</f>
        <v>À SOUDER</v>
      </c>
      <c r="H1658" s="82" t="str">
        <f aca="false">IF(C1658="","",IF(G1658="ACCEPTÉ","OUI","NON"))</f>
        <v>NON</v>
      </c>
      <c r="I1658" s="83"/>
      <c r="J1658" s="80"/>
      <c r="K1658" s="81"/>
      <c r="L1658" s="81"/>
      <c r="M1658" s="81"/>
      <c r="N1658" s="84" t="str">
        <f aca="false">IF(C1658="","",IF(P1658="","NJ INCONNU",IF(I1658="",IF(H1658="OUI","À ENROBER",IF(G1658="À SOUDER","NON SOUDÉ","EN ATTENTE RT")),IF(L1658="R","À REPRENDRE",IF(H1658&lt;&gt;"OUI","⚠ ENROBÉ AVANT ACCEPTATION RT","ENROBÉ")))))</f>
        <v>NON SOUDÉ</v>
      </c>
      <c r="O1658" s="80"/>
      <c r="P1658" s="82" t="n">
        <f aca="false">IF(C1658="","",IFERROR(MATCH(Q1658,'CARNET DE SOUDURE'!$AW$7:$AW$3006,0),""))</f>
        <v>1652</v>
      </c>
      <c r="Q1658" s="82" t="str">
        <f aca="false">IF(C1658="","",B1658&amp;"|"&amp;C1658)</f>
        <v>MFD-ISW → MFD-CPF|JN°1338</v>
      </c>
    </row>
    <row r="1659" customFormat="false" ht="74.6" hidden="false" customHeight="false" outlineLevel="0" collapsed="false">
      <c r="A1659" s="82" t="n">
        <f aca="false">IF(C1659="","",ROW()-6)</f>
        <v>1653</v>
      </c>
      <c r="B1659" s="80" t="s">
        <v>110</v>
      </c>
      <c r="C1659" s="113" t="s">
        <v>2009</v>
      </c>
      <c r="D1659" s="82" t="str">
        <f aca="false">IF(OR(C1659="",P1659=""),"",INDEX('CARNET DE SOUDURE'!$D$7:$D$3006,P1659)&amp;"")</f>
        <v>14</v>
      </c>
      <c r="E1659" s="114" t="str">
        <f aca="false">IF(OR(C1659="",P1659=""),"",IF(INDEX('CARNET DE SOUDURE'!$U$7:$U$3006,P1659)="","",INDEX('CARNET DE SOUDURE'!$U$7:$U$3006,P1659)))</f>
        <v/>
      </c>
      <c r="F1659" s="82" t="str">
        <f aca="false">IF(OR(C1659="",P1659=""),"",INDEX('CARNET DE SOUDURE'!$AP$7:$AP$3006,P1659))</f>
        <v/>
      </c>
      <c r="G1659" s="82" t="str">
        <f aca="false">IF(C1659="","",IF(P1659="","NJ INCONNU",INDEX('CARNET DE SOUDURE'!$AQ$7:$AQ$3006,P1659)))</f>
        <v>À SOUDER</v>
      </c>
      <c r="H1659" s="82" t="str">
        <f aca="false">IF(C1659="","",IF(G1659="ACCEPTÉ","OUI","NON"))</f>
        <v>NON</v>
      </c>
      <c r="I1659" s="83"/>
      <c r="J1659" s="80"/>
      <c r="K1659" s="81"/>
      <c r="L1659" s="81"/>
      <c r="M1659" s="81"/>
      <c r="N1659" s="84" t="str">
        <f aca="false">IF(C1659="","",IF(P1659="","NJ INCONNU",IF(I1659="",IF(H1659="OUI","À ENROBER",IF(G1659="À SOUDER","NON SOUDÉ","EN ATTENTE RT")),IF(L1659="R","À REPRENDRE",IF(H1659&lt;&gt;"OUI","⚠ ENROBÉ AVANT ACCEPTATION RT","ENROBÉ")))))</f>
        <v>NON SOUDÉ</v>
      </c>
      <c r="O1659" s="80"/>
      <c r="P1659" s="82" t="n">
        <f aca="false">IF(C1659="","",IFERROR(MATCH(Q1659,'CARNET DE SOUDURE'!$AW$7:$AW$3006,0),""))</f>
        <v>1653</v>
      </c>
      <c r="Q1659" s="82" t="str">
        <f aca="false">IF(C1659="","",B1659&amp;"|"&amp;C1659)</f>
        <v>MFD-ISW → MFD-CPF|JN°1339</v>
      </c>
    </row>
    <row r="1660" customFormat="false" ht="74.6" hidden="false" customHeight="false" outlineLevel="0" collapsed="false">
      <c r="A1660" s="82" t="n">
        <f aca="false">IF(C1660="","",ROW()-6)</f>
        <v>1654</v>
      </c>
      <c r="B1660" s="80" t="s">
        <v>110</v>
      </c>
      <c r="C1660" s="113" t="s">
        <v>2010</v>
      </c>
      <c r="D1660" s="82" t="str">
        <f aca="false">IF(OR(C1660="",P1660=""),"",INDEX('CARNET DE SOUDURE'!$D$7:$D$3006,P1660)&amp;"")</f>
        <v>14</v>
      </c>
      <c r="E1660" s="114" t="str">
        <f aca="false">IF(OR(C1660="",P1660=""),"",IF(INDEX('CARNET DE SOUDURE'!$U$7:$U$3006,P1660)="","",INDEX('CARNET DE SOUDURE'!$U$7:$U$3006,P1660)))</f>
        <v/>
      </c>
      <c r="F1660" s="82" t="str">
        <f aca="false">IF(OR(C1660="",P1660=""),"",INDEX('CARNET DE SOUDURE'!$AP$7:$AP$3006,P1660))</f>
        <v/>
      </c>
      <c r="G1660" s="82" t="str">
        <f aca="false">IF(C1660="","",IF(P1660="","NJ INCONNU",INDEX('CARNET DE SOUDURE'!$AQ$7:$AQ$3006,P1660)))</f>
        <v>À SOUDER</v>
      </c>
      <c r="H1660" s="82" t="str">
        <f aca="false">IF(C1660="","",IF(G1660="ACCEPTÉ","OUI","NON"))</f>
        <v>NON</v>
      </c>
      <c r="I1660" s="83"/>
      <c r="J1660" s="80"/>
      <c r="K1660" s="81"/>
      <c r="L1660" s="81"/>
      <c r="M1660" s="81"/>
      <c r="N1660" s="84" t="str">
        <f aca="false">IF(C1660="","",IF(P1660="","NJ INCONNU",IF(I1660="",IF(H1660="OUI","À ENROBER",IF(G1660="À SOUDER","NON SOUDÉ","EN ATTENTE RT")),IF(L1660="R","À REPRENDRE",IF(H1660&lt;&gt;"OUI","⚠ ENROBÉ AVANT ACCEPTATION RT","ENROBÉ")))))</f>
        <v>NON SOUDÉ</v>
      </c>
      <c r="O1660" s="80"/>
      <c r="P1660" s="82" t="n">
        <f aca="false">IF(C1660="","",IFERROR(MATCH(Q1660,'CARNET DE SOUDURE'!$AW$7:$AW$3006,0),""))</f>
        <v>1654</v>
      </c>
      <c r="Q1660" s="82" t="str">
        <f aca="false">IF(C1660="","",B1660&amp;"|"&amp;C1660)</f>
        <v>MFD-ISW → MFD-CPF|JN°1340</v>
      </c>
    </row>
    <row r="1661" customFormat="false" ht="74.6" hidden="false" customHeight="false" outlineLevel="0" collapsed="false">
      <c r="A1661" s="82" t="n">
        <f aca="false">IF(C1661="","",ROW()-6)</f>
        <v>1655</v>
      </c>
      <c r="B1661" s="80" t="s">
        <v>110</v>
      </c>
      <c r="C1661" s="113" t="s">
        <v>2011</v>
      </c>
      <c r="D1661" s="82" t="str">
        <f aca="false">IF(OR(C1661="",P1661=""),"",INDEX('CARNET DE SOUDURE'!$D$7:$D$3006,P1661)&amp;"")</f>
        <v>14</v>
      </c>
      <c r="E1661" s="114" t="str">
        <f aca="false">IF(OR(C1661="",P1661=""),"",IF(INDEX('CARNET DE SOUDURE'!$U$7:$U$3006,P1661)="","",INDEX('CARNET DE SOUDURE'!$U$7:$U$3006,P1661)))</f>
        <v/>
      </c>
      <c r="F1661" s="82" t="str">
        <f aca="false">IF(OR(C1661="",P1661=""),"",INDEX('CARNET DE SOUDURE'!$AP$7:$AP$3006,P1661))</f>
        <v/>
      </c>
      <c r="G1661" s="82" t="str">
        <f aca="false">IF(C1661="","",IF(P1661="","NJ INCONNU",INDEX('CARNET DE SOUDURE'!$AQ$7:$AQ$3006,P1661)))</f>
        <v>À SOUDER</v>
      </c>
      <c r="H1661" s="82" t="str">
        <f aca="false">IF(C1661="","",IF(G1661="ACCEPTÉ","OUI","NON"))</f>
        <v>NON</v>
      </c>
      <c r="I1661" s="83"/>
      <c r="J1661" s="80"/>
      <c r="K1661" s="81"/>
      <c r="L1661" s="81"/>
      <c r="M1661" s="81"/>
      <c r="N1661" s="84" t="str">
        <f aca="false">IF(C1661="","",IF(P1661="","NJ INCONNU",IF(I1661="",IF(H1661="OUI","À ENROBER",IF(G1661="À SOUDER","NON SOUDÉ","EN ATTENTE RT")),IF(L1661="R","À REPRENDRE",IF(H1661&lt;&gt;"OUI","⚠ ENROBÉ AVANT ACCEPTATION RT","ENROBÉ")))))</f>
        <v>NON SOUDÉ</v>
      </c>
      <c r="O1661" s="80"/>
      <c r="P1661" s="82" t="n">
        <f aca="false">IF(C1661="","",IFERROR(MATCH(Q1661,'CARNET DE SOUDURE'!$AW$7:$AW$3006,0),""))</f>
        <v>1655</v>
      </c>
      <c r="Q1661" s="82" t="str">
        <f aca="false">IF(C1661="","",B1661&amp;"|"&amp;C1661)</f>
        <v>MFD-ISW → MFD-CPF|JN°1341</v>
      </c>
    </row>
    <row r="1662" customFormat="false" ht="74.6" hidden="false" customHeight="false" outlineLevel="0" collapsed="false">
      <c r="A1662" s="82" t="n">
        <f aca="false">IF(C1662="","",ROW()-6)</f>
        <v>1656</v>
      </c>
      <c r="B1662" s="80" t="s">
        <v>110</v>
      </c>
      <c r="C1662" s="113" t="s">
        <v>2012</v>
      </c>
      <c r="D1662" s="82" t="str">
        <f aca="false">IF(OR(C1662="",P1662=""),"",INDEX('CARNET DE SOUDURE'!$D$7:$D$3006,P1662)&amp;"")</f>
        <v>14</v>
      </c>
      <c r="E1662" s="114" t="str">
        <f aca="false">IF(OR(C1662="",P1662=""),"",IF(INDEX('CARNET DE SOUDURE'!$U$7:$U$3006,P1662)="","",INDEX('CARNET DE SOUDURE'!$U$7:$U$3006,P1662)))</f>
        <v/>
      </c>
      <c r="F1662" s="82" t="str">
        <f aca="false">IF(OR(C1662="",P1662=""),"",INDEX('CARNET DE SOUDURE'!$AP$7:$AP$3006,P1662))</f>
        <v/>
      </c>
      <c r="G1662" s="82" t="str">
        <f aca="false">IF(C1662="","",IF(P1662="","NJ INCONNU",INDEX('CARNET DE SOUDURE'!$AQ$7:$AQ$3006,P1662)))</f>
        <v>À SOUDER</v>
      </c>
      <c r="H1662" s="82" t="str">
        <f aca="false">IF(C1662="","",IF(G1662="ACCEPTÉ","OUI","NON"))</f>
        <v>NON</v>
      </c>
      <c r="I1662" s="83"/>
      <c r="J1662" s="80"/>
      <c r="K1662" s="81"/>
      <c r="L1662" s="81"/>
      <c r="M1662" s="81"/>
      <c r="N1662" s="84" t="str">
        <f aca="false">IF(C1662="","",IF(P1662="","NJ INCONNU",IF(I1662="",IF(H1662="OUI","À ENROBER",IF(G1662="À SOUDER","NON SOUDÉ","EN ATTENTE RT")),IF(L1662="R","À REPRENDRE",IF(H1662&lt;&gt;"OUI","⚠ ENROBÉ AVANT ACCEPTATION RT","ENROBÉ")))))</f>
        <v>NON SOUDÉ</v>
      </c>
      <c r="O1662" s="80"/>
      <c r="P1662" s="82" t="n">
        <f aca="false">IF(C1662="","",IFERROR(MATCH(Q1662,'CARNET DE SOUDURE'!$AW$7:$AW$3006,0),""))</f>
        <v>1656</v>
      </c>
      <c r="Q1662" s="82" t="str">
        <f aca="false">IF(C1662="","",B1662&amp;"|"&amp;C1662)</f>
        <v>MFD-ISW → MFD-CPF|JN°1342</v>
      </c>
    </row>
    <row r="1663" customFormat="false" ht="74.6" hidden="false" customHeight="false" outlineLevel="0" collapsed="false">
      <c r="A1663" s="82" t="n">
        <f aca="false">IF(C1663="","",ROW()-6)</f>
        <v>1657</v>
      </c>
      <c r="B1663" s="80" t="s">
        <v>110</v>
      </c>
      <c r="C1663" s="113" t="s">
        <v>2013</v>
      </c>
      <c r="D1663" s="82" t="str">
        <f aca="false">IF(OR(C1663="",P1663=""),"",INDEX('CARNET DE SOUDURE'!$D$7:$D$3006,P1663)&amp;"")</f>
        <v>14</v>
      </c>
      <c r="E1663" s="114" t="str">
        <f aca="false">IF(OR(C1663="",P1663=""),"",IF(INDEX('CARNET DE SOUDURE'!$U$7:$U$3006,P1663)="","",INDEX('CARNET DE SOUDURE'!$U$7:$U$3006,P1663)))</f>
        <v/>
      </c>
      <c r="F1663" s="82" t="str">
        <f aca="false">IF(OR(C1663="",P1663=""),"",INDEX('CARNET DE SOUDURE'!$AP$7:$AP$3006,P1663))</f>
        <v/>
      </c>
      <c r="G1663" s="82" t="str">
        <f aca="false">IF(C1663="","",IF(P1663="","NJ INCONNU",INDEX('CARNET DE SOUDURE'!$AQ$7:$AQ$3006,P1663)))</f>
        <v>À SOUDER</v>
      </c>
      <c r="H1663" s="82" t="str">
        <f aca="false">IF(C1663="","",IF(G1663="ACCEPTÉ","OUI","NON"))</f>
        <v>NON</v>
      </c>
      <c r="I1663" s="83"/>
      <c r="J1663" s="80"/>
      <c r="K1663" s="81"/>
      <c r="L1663" s="81"/>
      <c r="M1663" s="81"/>
      <c r="N1663" s="84" t="str">
        <f aca="false">IF(C1663="","",IF(P1663="","NJ INCONNU",IF(I1663="",IF(H1663="OUI","À ENROBER",IF(G1663="À SOUDER","NON SOUDÉ","EN ATTENTE RT")),IF(L1663="R","À REPRENDRE",IF(H1663&lt;&gt;"OUI","⚠ ENROBÉ AVANT ACCEPTATION RT","ENROBÉ")))))</f>
        <v>NON SOUDÉ</v>
      </c>
      <c r="O1663" s="80"/>
      <c r="P1663" s="82" t="n">
        <f aca="false">IF(C1663="","",IFERROR(MATCH(Q1663,'CARNET DE SOUDURE'!$AW$7:$AW$3006,0),""))</f>
        <v>1657</v>
      </c>
      <c r="Q1663" s="82" t="str">
        <f aca="false">IF(C1663="","",B1663&amp;"|"&amp;C1663)</f>
        <v>MFD-ISW → MFD-CPF|JN°1343</v>
      </c>
    </row>
    <row r="1664" customFormat="false" ht="74.6" hidden="false" customHeight="false" outlineLevel="0" collapsed="false">
      <c r="A1664" s="82" t="n">
        <f aca="false">IF(C1664="","",ROW()-6)</f>
        <v>1658</v>
      </c>
      <c r="B1664" s="80" t="s">
        <v>110</v>
      </c>
      <c r="C1664" s="113" t="s">
        <v>2014</v>
      </c>
      <c r="D1664" s="82" t="str">
        <f aca="false">IF(OR(C1664="",P1664=""),"",INDEX('CARNET DE SOUDURE'!$D$7:$D$3006,P1664)&amp;"")</f>
        <v>14</v>
      </c>
      <c r="E1664" s="114" t="str">
        <f aca="false">IF(OR(C1664="",P1664=""),"",IF(INDEX('CARNET DE SOUDURE'!$U$7:$U$3006,P1664)="","",INDEX('CARNET DE SOUDURE'!$U$7:$U$3006,P1664)))</f>
        <v/>
      </c>
      <c r="F1664" s="82" t="str">
        <f aca="false">IF(OR(C1664="",P1664=""),"",INDEX('CARNET DE SOUDURE'!$AP$7:$AP$3006,P1664))</f>
        <v/>
      </c>
      <c r="G1664" s="82" t="str">
        <f aca="false">IF(C1664="","",IF(P1664="","NJ INCONNU",INDEX('CARNET DE SOUDURE'!$AQ$7:$AQ$3006,P1664)))</f>
        <v>À SOUDER</v>
      </c>
      <c r="H1664" s="82" t="str">
        <f aca="false">IF(C1664="","",IF(G1664="ACCEPTÉ","OUI","NON"))</f>
        <v>NON</v>
      </c>
      <c r="I1664" s="83"/>
      <c r="J1664" s="80"/>
      <c r="K1664" s="81"/>
      <c r="L1664" s="81"/>
      <c r="M1664" s="81"/>
      <c r="N1664" s="84" t="str">
        <f aca="false">IF(C1664="","",IF(P1664="","NJ INCONNU",IF(I1664="",IF(H1664="OUI","À ENROBER",IF(G1664="À SOUDER","NON SOUDÉ","EN ATTENTE RT")),IF(L1664="R","À REPRENDRE",IF(H1664&lt;&gt;"OUI","⚠ ENROBÉ AVANT ACCEPTATION RT","ENROBÉ")))))</f>
        <v>NON SOUDÉ</v>
      </c>
      <c r="O1664" s="80"/>
      <c r="P1664" s="82" t="n">
        <f aca="false">IF(C1664="","",IFERROR(MATCH(Q1664,'CARNET DE SOUDURE'!$AW$7:$AW$3006,0),""))</f>
        <v>1658</v>
      </c>
      <c r="Q1664" s="82" t="str">
        <f aca="false">IF(C1664="","",B1664&amp;"|"&amp;C1664)</f>
        <v>MFD-ISW → MFD-CPF|JN°1344</v>
      </c>
    </row>
    <row r="1665" customFormat="false" ht="74.6" hidden="false" customHeight="false" outlineLevel="0" collapsed="false">
      <c r="A1665" s="82" t="n">
        <f aca="false">IF(C1665="","",ROW()-6)</f>
        <v>1659</v>
      </c>
      <c r="B1665" s="80" t="s">
        <v>110</v>
      </c>
      <c r="C1665" s="113" t="s">
        <v>2015</v>
      </c>
      <c r="D1665" s="82" t="str">
        <f aca="false">IF(OR(C1665="",P1665=""),"",INDEX('CARNET DE SOUDURE'!$D$7:$D$3006,P1665)&amp;"")</f>
        <v>14</v>
      </c>
      <c r="E1665" s="114" t="str">
        <f aca="false">IF(OR(C1665="",P1665=""),"",IF(INDEX('CARNET DE SOUDURE'!$U$7:$U$3006,P1665)="","",INDEX('CARNET DE SOUDURE'!$U$7:$U$3006,P1665)))</f>
        <v/>
      </c>
      <c r="F1665" s="82" t="str">
        <f aca="false">IF(OR(C1665="",P1665=""),"",INDEX('CARNET DE SOUDURE'!$AP$7:$AP$3006,P1665))</f>
        <v/>
      </c>
      <c r="G1665" s="82" t="str">
        <f aca="false">IF(C1665="","",IF(P1665="","NJ INCONNU",INDEX('CARNET DE SOUDURE'!$AQ$7:$AQ$3006,P1665)))</f>
        <v>À SOUDER</v>
      </c>
      <c r="H1665" s="82" t="str">
        <f aca="false">IF(C1665="","",IF(G1665="ACCEPTÉ","OUI","NON"))</f>
        <v>NON</v>
      </c>
      <c r="I1665" s="83"/>
      <c r="J1665" s="80"/>
      <c r="K1665" s="81"/>
      <c r="L1665" s="81"/>
      <c r="M1665" s="81"/>
      <c r="N1665" s="84" t="str">
        <f aca="false">IF(C1665="","",IF(P1665="","NJ INCONNU",IF(I1665="",IF(H1665="OUI","À ENROBER",IF(G1665="À SOUDER","NON SOUDÉ","EN ATTENTE RT")),IF(L1665="R","À REPRENDRE",IF(H1665&lt;&gt;"OUI","⚠ ENROBÉ AVANT ACCEPTATION RT","ENROBÉ")))))</f>
        <v>NON SOUDÉ</v>
      </c>
      <c r="O1665" s="80"/>
      <c r="P1665" s="82" t="n">
        <f aca="false">IF(C1665="","",IFERROR(MATCH(Q1665,'CARNET DE SOUDURE'!$AW$7:$AW$3006,0),""))</f>
        <v>1659</v>
      </c>
      <c r="Q1665" s="82" t="str">
        <f aca="false">IF(C1665="","",B1665&amp;"|"&amp;C1665)</f>
        <v>MFD-ISW → MFD-CPF|JN°1345</v>
      </c>
    </row>
    <row r="1666" customFormat="false" ht="74.6" hidden="false" customHeight="false" outlineLevel="0" collapsed="false">
      <c r="A1666" s="82" t="n">
        <f aca="false">IF(C1666="","",ROW()-6)</f>
        <v>1660</v>
      </c>
      <c r="B1666" s="80" t="s">
        <v>110</v>
      </c>
      <c r="C1666" s="113" t="s">
        <v>2017</v>
      </c>
      <c r="D1666" s="82" t="str">
        <f aca="false">IF(OR(C1666="",P1666=""),"",INDEX('CARNET DE SOUDURE'!$D$7:$D$3006,P1666)&amp;"")</f>
        <v>14</v>
      </c>
      <c r="E1666" s="114" t="n">
        <f aca="false">IF(OR(C1666="",P1666=""),"",IF(INDEX('CARNET DE SOUDURE'!$U$7:$U$3006,P1666)="","",INDEX('CARNET DE SOUDURE'!$U$7:$U$3006,P1666)))</f>
        <v>46264</v>
      </c>
      <c r="F1666" s="82" t="str">
        <f aca="false">IF(OR(C1666="",P1666=""),"",INDEX('CARNET DE SOUDURE'!$AP$7:$AP$3006,P1666))</f>
        <v>A</v>
      </c>
      <c r="G1666" s="82" t="str">
        <f aca="false">IF(C1666="","",IF(P1666="","NJ INCONNU",INDEX('CARNET DE SOUDURE'!$AQ$7:$AQ$3006,P1666)))</f>
        <v>ACCEPTÉ</v>
      </c>
      <c r="H1666" s="82" t="str">
        <f aca="false">IF(C1666="","",IF(G1666="ACCEPTÉ","OUI","NON"))</f>
        <v>OUI</v>
      </c>
      <c r="I1666" s="83"/>
      <c r="J1666" s="80"/>
      <c r="K1666" s="81"/>
      <c r="L1666" s="81"/>
      <c r="M1666" s="81"/>
      <c r="N1666" s="84" t="str">
        <f aca="false">IF(C1666="","",IF(P1666="","NJ INCONNU",IF(I1666="",IF(H1666="OUI","À ENROBER",IF(G1666="À SOUDER","NON SOUDÉ","EN ATTENTE RT")),IF(L1666="R","À REPRENDRE",IF(H1666&lt;&gt;"OUI","⚠ ENROBÉ AVANT ACCEPTATION RT","ENROBÉ")))))</f>
        <v>À ENROBER</v>
      </c>
      <c r="O1666" s="80"/>
      <c r="P1666" s="82" t="n">
        <f aca="false">IF(C1666="","",IFERROR(MATCH(Q1666,'CARNET DE SOUDURE'!$AW$7:$AW$3006,0),""))</f>
        <v>1660</v>
      </c>
      <c r="Q1666" s="82" t="str">
        <f aca="false">IF(C1666="","",B1666&amp;"|"&amp;C1666)</f>
        <v>MFD-ISW → MFD-CPF|DJ°200</v>
      </c>
    </row>
    <row r="1667" customFormat="false" ht="74.6" hidden="false" customHeight="false" outlineLevel="0" collapsed="false">
      <c r="A1667" s="82" t="n">
        <f aca="false">IF(C1667="","",ROW()-6)</f>
        <v>1661</v>
      </c>
      <c r="B1667" s="80" t="s">
        <v>110</v>
      </c>
      <c r="C1667" s="113" t="s">
        <v>2018</v>
      </c>
      <c r="D1667" s="82" t="str">
        <f aca="false">IF(OR(C1667="",P1667=""),"",INDEX('CARNET DE SOUDURE'!$D$7:$D$3006,P1667)&amp;"")</f>
        <v>14</v>
      </c>
      <c r="E1667" s="114" t="n">
        <f aca="false">IF(OR(C1667="",P1667=""),"",IF(INDEX('CARNET DE SOUDURE'!$U$7:$U$3006,P1667)="","",INDEX('CARNET DE SOUDURE'!$U$7:$U$3006,P1667)))</f>
        <v>46274</v>
      </c>
      <c r="F1667" s="82" t="str">
        <f aca="false">IF(OR(C1667="",P1667=""),"",INDEX('CARNET DE SOUDURE'!$AP$7:$AP$3006,P1667))</f>
        <v>A</v>
      </c>
      <c r="G1667" s="82" t="str">
        <f aca="false">IF(C1667="","",IF(P1667="","NJ INCONNU",INDEX('CARNET DE SOUDURE'!$AQ$7:$AQ$3006,P1667)))</f>
        <v>ACCEPTÉ</v>
      </c>
      <c r="H1667" s="82" t="str">
        <f aca="false">IF(C1667="","",IF(G1667="ACCEPTÉ","OUI","NON"))</f>
        <v>OUI</v>
      </c>
      <c r="I1667" s="83"/>
      <c r="J1667" s="80"/>
      <c r="K1667" s="81"/>
      <c r="L1667" s="81"/>
      <c r="M1667" s="81"/>
      <c r="N1667" s="84" t="str">
        <f aca="false">IF(C1667="","",IF(P1667="","NJ INCONNU",IF(I1667="",IF(H1667="OUI","À ENROBER",IF(G1667="À SOUDER","NON SOUDÉ","EN ATTENTE RT")),IF(L1667="R","À REPRENDRE",IF(H1667&lt;&gt;"OUI","⚠ ENROBÉ AVANT ACCEPTATION RT","ENROBÉ")))))</f>
        <v>À ENROBER</v>
      </c>
      <c r="O1667" s="80"/>
      <c r="P1667" s="82" t="n">
        <f aca="false">IF(C1667="","",IFERROR(MATCH(Q1667,'CARNET DE SOUDURE'!$AW$7:$AW$3006,0),""))</f>
        <v>1661</v>
      </c>
      <c r="Q1667" s="82" t="str">
        <f aca="false">IF(C1667="","",B1667&amp;"|"&amp;C1667)</f>
        <v>MFD-ISW → MFD-CPF|JN°1346</v>
      </c>
    </row>
    <row r="1668" customFormat="false" ht="74.6" hidden="false" customHeight="false" outlineLevel="0" collapsed="false">
      <c r="A1668" s="82" t="n">
        <f aca="false">IF(C1668="","",ROW()-6)</f>
        <v>1662</v>
      </c>
      <c r="B1668" s="80" t="s">
        <v>110</v>
      </c>
      <c r="C1668" s="113" t="s">
        <v>2019</v>
      </c>
      <c r="D1668" s="82" t="str">
        <f aca="false">IF(OR(C1668="",P1668=""),"",INDEX('CARNET DE SOUDURE'!$D$7:$D$3006,P1668)&amp;"")</f>
        <v>14</v>
      </c>
      <c r="E1668" s="114" t="n">
        <f aca="false">IF(OR(C1668="",P1668=""),"",IF(INDEX('CARNET DE SOUDURE'!$U$7:$U$3006,P1668)="","",INDEX('CARNET DE SOUDURE'!$U$7:$U$3006,P1668)))</f>
        <v>46264</v>
      </c>
      <c r="F1668" s="82" t="str">
        <f aca="false">IF(OR(C1668="",P1668=""),"",INDEX('CARNET DE SOUDURE'!$AP$7:$AP$3006,P1668))</f>
        <v>A</v>
      </c>
      <c r="G1668" s="82" t="str">
        <f aca="false">IF(C1668="","",IF(P1668="","NJ INCONNU",INDEX('CARNET DE SOUDURE'!$AQ$7:$AQ$3006,P1668)))</f>
        <v>ACCEPTÉ</v>
      </c>
      <c r="H1668" s="82" t="str">
        <f aca="false">IF(C1668="","",IF(G1668="ACCEPTÉ","OUI","NON"))</f>
        <v>OUI</v>
      </c>
      <c r="I1668" s="83"/>
      <c r="J1668" s="80"/>
      <c r="K1668" s="81"/>
      <c r="L1668" s="81"/>
      <c r="M1668" s="81"/>
      <c r="N1668" s="84" t="str">
        <f aca="false">IF(C1668="","",IF(P1668="","NJ INCONNU",IF(I1668="",IF(H1668="OUI","À ENROBER",IF(G1668="À SOUDER","NON SOUDÉ","EN ATTENTE RT")),IF(L1668="R","À REPRENDRE",IF(H1668&lt;&gt;"OUI","⚠ ENROBÉ AVANT ACCEPTATION RT","ENROBÉ")))))</f>
        <v>À ENROBER</v>
      </c>
      <c r="O1668" s="80"/>
      <c r="P1668" s="82" t="n">
        <f aca="false">IF(C1668="","",IFERROR(MATCH(Q1668,'CARNET DE SOUDURE'!$AW$7:$AW$3006,0),""))</f>
        <v>1662</v>
      </c>
      <c r="Q1668" s="82" t="str">
        <f aca="false">IF(C1668="","",B1668&amp;"|"&amp;C1668)</f>
        <v>MFD-ISW → MFD-CPF|DJ°202</v>
      </c>
    </row>
    <row r="1669" customFormat="false" ht="74.6" hidden="false" customHeight="false" outlineLevel="0" collapsed="false">
      <c r="A1669" s="82" t="n">
        <f aca="false">IF(C1669="","",ROW()-6)</f>
        <v>1663</v>
      </c>
      <c r="B1669" s="80" t="s">
        <v>110</v>
      </c>
      <c r="C1669" s="113" t="s">
        <v>2020</v>
      </c>
      <c r="D1669" s="82" t="str">
        <f aca="false">IF(OR(C1669="",P1669=""),"",INDEX('CARNET DE SOUDURE'!$D$7:$D$3006,P1669)&amp;"")</f>
        <v>14</v>
      </c>
      <c r="E1669" s="114" t="n">
        <f aca="false">IF(OR(C1669="",P1669=""),"",IF(INDEX('CARNET DE SOUDURE'!$U$7:$U$3006,P1669)="","",INDEX('CARNET DE SOUDURE'!$U$7:$U$3006,P1669)))</f>
        <v>46290</v>
      </c>
      <c r="F1669" s="82" t="str">
        <f aca="false">IF(OR(C1669="",P1669=""),"",INDEX('CARNET DE SOUDURE'!$AP$7:$AP$3006,P1669))</f>
        <v/>
      </c>
      <c r="G1669" s="82" t="str">
        <f aca="false">IF(C1669="","",IF(P1669="","NJ INCONNU",INDEX('CARNET DE SOUDURE'!$AQ$7:$AQ$3006,P1669)))</f>
        <v>À RADIOGRAPHIER</v>
      </c>
      <c r="H1669" s="82" t="str">
        <f aca="false">IF(C1669="","",IF(G1669="ACCEPTÉ","OUI","NON"))</f>
        <v>NON</v>
      </c>
      <c r="I1669" s="83"/>
      <c r="J1669" s="80"/>
      <c r="K1669" s="81"/>
      <c r="L1669" s="81"/>
      <c r="M1669" s="81"/>
      <c r="N1669" s="84" t="str">
        <f aca="false">IF(C1669="","",IF(P1669="","NJ INCONNU",IF(I1669="",IF(H1669="OUI","À ENROBER",IF(G1669="À SOUDER","NON SOUDÉ","EN ATTENTE RT")),IF(L1669="R","À REPRENDRE",IF(H1669&lt;&gt;"OUI","⚠ ENROBÉ AVANT ACCEPTATION RT","ENROBÉ")))))</f>
        <v>EN ATTENTE RT</v>
      </c>
      <c r="O1669" s="80"/>
      <c r="P1669" s="82" t="n">
        <f aca="false">IF(C1669="","",IFERROR(MATCH(Q1669,'CARNET DE SOUDURE'!$AW$7:$AW$3006,0),""))</f>
        <v>1663</v>
      </c>
      <c r="Q1669" s="82" t="str">
        <f aca="false">IF(C1669="","",B1669&amp;"|"&amp;C1669)</f>
        <v>MFD-ISW → MFD-CPF|JN°1347R</v>
      </c>
    </row>
    <row r="1670" customFormat="false" ht="74.6" hidden="false" customHeight="false" outlineLevel="0" collapsed="false">
      <c r="A1670" s="82" t="n">
        <f aca="false">IF(C1670="","",ROW()-6)</f>
        <v>1664</v>
      </c>
      <c r="B1670" s="80" t="s">
        <v>110</v>
      </c>
      <c r="C1670" s="113" t="s">
        <v>2022</v>
      </c>
      <c r="D1670" s="82" t="str">
        <f aca="false">IF(OR(C1670="",P1670=""),"",INDEX('CARNET DE SOUDURE'!$D$7:$D$3006,P1670)&amp;"")</f>
        <v>14</v>
      </c>
      <c r="E1670" s="114" t="n">
        <f aca="false">IF(OR(C1670="",P1670=""),"",IF(INDEX('CARNET DE SOUDURE'!$U$7:$U$3006,P1670)="","",INDEX('CARNET DE SOUDURE'!$U$7:$U$3006,P1670)))</f>
        <v>46263</v>
      </c>
      <c r="F1670" s="82" t="str">
        <f aca="false">IF(OR(C1670="",P1670=""),"",INDEX('CARNET DE SOUDURE'!$AP$7:$AP$3006,P1670))</f>
        <v>A</v>
      </c>
      <c r="G1670" s="82" t="str">
        <f aca="false">IF(C1670="","",IF(P1670="","NJ INCONNU",INDEX('CARNET DE SOUDURE'!$AQ$7:$AQ$3006,P1670)))</f>
        <v>ACCEPTÉ</v>
      </c>
      <c r="H1670" s="82" t="str">
        <f aca="false">IF(C1670="","",IF(G1670="ACCEPTÉ","OUI","NON"))</f>
        <v>OUI</v>
      </c>
      <c r="I1670" s="83"/>
      <c r="J1670" s="80"/>
      <c r="K1670" s="81"/>
      <c r="L1670" s="81"/>
      <c r="M1670" s="81"/>
      <c r="N1670" s="84" t="str">
        <f aca="false">IF(C1670="","",IF(P1670="","NJ INCONNU",IF(I1670="",IF(H1670="OUI","À ENROBER",IF(G1670="À SOUDER","NON SOUDÉ","EN ATTENTE RT")),IF(L1670="R","À REPRENDRE",IF(H1670&lt;&gt;"OUI","⚠ ENROBÉ AVANT ACCEPTATION RT","ENROBÉ")))))</f>
        <v>À ENROBER</v>
      </c>
      <c r="O1670" s="80"/>
      <c r="P1670" s="82" t="n">
        <f aca="false">IF(C1670="","",IFERROR(MATCH(Q1670,'CARNET DE SOUDURE'!$AW$7:$AW$3006,0),""))</f>
        <v>1664</v>
      </c>
      <c r="Q1670" s="82" t="str">
        <f aca="false">IF(C1670="","",B1670&amp;"|"&amp;C1670)</f>
        <v>MFD-ISW → MFD-CPF|DJ°194</v>
      </c>
    </row>
    <row r="1671" customFormat="false" ht="74.6" hidden="false" customHeight="false" outlineLevel="0" collapsed="false">
      <c r="A1671" s="82" t="n">
        <f aca="false">IF(C1671="","",ROW()-6)</f>
        <v>1665</v>
      </c>
      <c r="B1671" s="80" t="s">
        <v>110</v>
      </c>
      <c r="C1671" s="113" t="s">
        <v>2023</v>
      </c>
      <c r="D1671" s="82" t="str">
        <f aca="false">IF(OR(C1671="",P1671=""),"",INDEX('CARNET DE SOUDURE'!$D$7:$D$3006,P1671)&amp;"")</f>
        <v>14</v>
      </c>
      <c r="E1671" s="114" t="n">
        <f aca="false">IF(OR(C1671="",P1671=""),"",IF(INDEX('CARNET DE SOUDURE'!$U$7:$U$3006,P1671)="","",INDEX('CARNET DE SOUDURE'!$U$7:$U$3006,P1671)))</f>
        <v>46274</v>
      </c>
      <c r="F1671" s="82" t="str">
        <f aca="false">IF(OR(C1671="",P1671=""),"",INDEX('CARNET DE SOUDURE'!$AP$7:$AP$3006,P1671))</f>
        <v>A</v>
      </c>
      <c r="G1671" s="82" t="str">
        <f aca="false">IF(C1671="","",IF(P1671="","NJ INCONNU",INDEX('CARNET DE SOUDURE'!$AQ$7:$AQ$3006,P1671)))</f>
        <v>ACCEPTÉ</v>
      </c>
      <c r="H1671" s="82" t="str">
        <f aca="false">IF(C1671="","",IF(G1671="ACCEPTÉ","OUI","NON"))</f>
        <v>OUI</v>
      </c>
      <c r="I1671" s="83"/>
      <c r="J1671" s="80"/>
      <c r="K1671" s="81"/>
      <c r="L1671" s="81"/>
      <c r="M1671" s="81"/>
      <c r="N1671" s="84" t="str">
        <f aca="false">IF(C1671="","",IF(P1671="","NJ INCONNU",IF(I1671="",IF(H1671="OUI","À ENROBER",IF(G1671="À SOUDER","NON SOUDÉ","EN ATTENTE RT")),IF(L1671="R","À REPRENDRE",IF(H1671&lt;&gt;"OUI","⚠ ENROBÉ AVANT ACCEPTATION RT","ENROBÉ")))))</f>
        <v>À ENROBER</v>
      </c>
      <c r="O1671" s="80"/>
      <c r="P1671" s="82" t="n">
        <f aca="false">IF(C1671="","",IFERROR(MATCH(Q1671,'CARNET DE SOUDURE'!$AW$7:$AW$3006,0),""))</f>
        <v>1665</v>
      </c>
      <c r="Q1671" s="82" t="str">
        <f aca="false">IF(C1671="","",B1671&amp;"|"&amp;C1671)</f>
        <v>MFD-ISW → MFD-CPF|JN°1348</v>
      </c>
    </row>
    <row r="1672" customFormat="false" ht="74.6" hidden="false" customHeight="false" outlineLevel="0" collapsed="false">
      <c r="A1672" s="82" t="n">
        <f aca="false">IF(C1672="","",ROW()-6)</f>
        <v>1666</v>
      </c>
      <c r="B1672" s="80" t="s">
        <v>110</v>
      </c>
      <c r="C1672" s="113" t="s">
        <v>2025</v>
      </c>
      <c r="D1672" s="82" t="str">
        <f aca="false">IF(OR(C1672="",P1672=""),"",INDEX('CARNET DE SOUDURE'!$D$7:$D$3006,P1672)&amp;"")</f>
        <v>14</v>
      </c>
      <c r="E1672" s="114" t="n">
        <f aca="false">IF(OR(C1672="",P1672=""),"",IF(INDEX('CARNET DE SOUDURE'!$U$7:$U$3006,P1672)="","",INDEX('CARNET DE SOUDURE'!$U$7:$U$3006,P1672)))</f>
        <v>46264</v>
      </c>
      <c r="F1672" s="82" t="str">
        <f aca="false">IF(OR(C1672="",P1672=""),"",INDEX('CARNET DE SOUDURE'!$AP$7:$AP$3006,P1672))</f>
        <v>A</v>
      </c>
      <c r="G1672" s="82" t="str">
        <f aca="false">IF(C1672="","",IF(P1672="","NJ INCONNU",INDEX('CARNET DE SOUDURE'!$AQ$7:$AQ$3006,P1672)))</f>
        <v>ACCEPTÉ</v>
      </c>
      <c r="H1672" s="82" t="str">
        <f aca="false">IF(C1672="","",IF(G1672="ACCEPTÉ","OUI","NON"))</f>
        <v>OUI</v>
      </c>
      <c r="I1672" s="83"/>
      <c r="J1672" s="80"/>
      <c r="K1672" s="81"/>
      <c r="L1672" s="81"/>
      <c r="M1672" s="81"/>
      <c r="N1672" s="84" t="str">
        <f aca="false">IF(C1672="","",IF(P1672="","NJ INCONNU",IF(I1672="",IF(H1672="OUI","À ENROBER",IF(G1672="À SOUDER","NON SOUDÉ","EN ATTENTE RT")),IF(L1672="R","À REPRENDRE",IF(H1672&lt;&gt;"OUI","⚠ ENROBÉ AVANT ACCEPTATION RT","ENROBÉ")))))</f>
        <v>À ENROBER</v>
      </c>
      <c r="O1672" s="80"/>
      <c r="P1672" s="82" t="n">
        <f aca="false">IF(C1672="","",IFERROR(MATCH(Q1672,'CARNET DE SOUDURE'!$AW$7:$AW$3006,0),""))</f>
        <v>1666</v>
      </c>
      <c r="Q1672" s="82" t="str">
        <f aca="false">IF(C1672="","",B1672&amp;"|"&amp;C1672)</f>
        <v>MFD-ISW → MFD-CPF|DJ°198</v>
      </c>
    </row>
    <row r="1673" customFormat="false" ht="74.6" hidden="false" customHeight="false" outlineLevel="0" collapsed="false">
      <c r="A1673" s="82" t="n">
        <f aca="false">IF(C1673="","",ROW()-6)</f>
        <v>1667</v>
      </c>
      <c r="B1673" s="80" t="s">
        <v>110</v>
      </c>
      <c r="C1673" s="113" t="s">
        <v>2026</v>
      </c>
      <c r="D1673" s="82" t="str">
        <f aca="false">IF(OR(C1673="",P1673=""),"",INDEX('CARNET DE SOUDURE'!$D$7:$D$3006,P1673)&amp;"")</f>
        <v>14</v>
      </c>
      <c r="E1673" s="114" t="n">
        <f aca="false">IF(OR(C1673="",P1673=""),"",IF(INDEX('CARNET DE SOUDURE'!$U$7:$U$3006,P1673)="","",INDEX('CARNET DE SOUDURE'!$U$7:$U$3006,P1673)))</f>
        <v>46274</v>
      </c>
      <c r="F1673" s="82" t="str">
        <f aca="false">IF(OR(C1673="",P1673=""),"",INDEX('CARNET DE SOUDURE'!$AP$7:$AP$3006,P1673))</f>
        <v>A</v>
      </c>
      <c r="G1673" s="82" t="str">
        <f aca="false">IF(C1673="","",IF(P1673="","NJ INCONNU",INDEX('CARNET DE SOUDURE'!$AQ$7:$AQ$3006,P1673)))</f>
        <v>ACCEPTÉ</v>
      </c>
      <c r="H1673" s="82" t="str">
        <f aca="false">IF(C1673="","",IF(G1673="ACCEPTÉ","OUI","NON"))</f>
        <v>OUI</v>
      </c>
      <c r="I1673" s="83"/>
      <c r="J1673" s="80"/>
      <c r="K1673" s="81"/>
      <c r="L1673" s="81"/>
      <c r="M1673" s="81"/>
      <c r="N1673" s="84" t="str">
        <f aca="false">IF(C1673="","",IF(P1673="","NJ INCONNU",IF(I1673="",IF(H1673="OUI","À ENROBER",IF(G1673="À SOUDER","NON SOUDÉ","EN ATTENTE RT")),IF(L1673="R","À REPRENDRE",IF(H1673&lt;&gt;"OUI","⚠ ENROBÉ AVANT ACCEPTATION RT","ENROBÉ")))))</f>
        <v>À ENROBER</v>
      </c>
      <c r="O1673" s="80"/>
      <c r="P1673" s="82" t="n">
        <f aca="false">IF(C1673="","",IFERROR(MATCH(Q1673,'CARNET DE SOUDURE'!$AW$7:$AW$3006,0),""))</f>
        <v>1667</v>
      </c>
      <c r="Q1673" s="82" t="str">
        <f aca="false">IF(C1673="","",B1673&amp;"|"&amp;C1673)</f>
        <v>MFD-ISW → MFD-CPF|JN°1349</v>
      </c>
    </row>
    <row r="1674" customFormat="false" ht="74.6" hidden="false" customHeight="false" outlineLevel="0" collapsed="false">
      <c r="A1674" s="82" t="n">
        <f aca="false">IF(C1674="","",ROW()-6)</f>
        <v>1668</v>
      </c>
      <c r="B1674" s="80" t="s">
        <v>110</v>
      </c>
      <c r="C1674" s="113" t="s">
        <v>2027</v>
      </c>
      <c r="D1674" s="82" t="str">
        <f aca="false">IF(OR(C1674="",P1674=""),"",INDEX('CARNET DE SOUDURE'!$D$7:$D$3006,P1674)&amp;"")</f>
        <v>14</v>
      </c>
      <c r="E1674" s="114" t="n">
        <f aca="false">IF(OR(C1674="",P1674=""),"",IF(INDEX('CARNET DE SOUDURE'!$U$7:$U$3006,P1674)="","",INDEX('CARNET DE SOUDURE'!$U$7:$U$3006,P1674)))</f>
        <v>46263</v>
      </c>
      <c r="F1674" s="82" t="str">
        <f aca="false">IF(OR(C1674="",P1674=""),"",INDEX('CARNET DE SOUDURE'!$AP$7:$AP$3006,P1674))</f>
        <v>A</v>
      </c>
      <c r="G1674" s="82" t="str">
        <f aca="false">IF(C1674="","",IF(P1674="","NJ INCONNU",INDEX('CARNET DE SOUDURE'!$AQ$7:$AQ$3006,P1674)))</f>
        <v>ACCEPTÉ</v>
      </c>
      <c r="H1674" s="82" t="str">
        <f aca="false">IF(C1674="","",IF(G1674="ACCEPTÉ","OUI","NON"))</f>
        <v>OUI</v>
      </c>
      <c r="I1674" s="83"/>
      <c r="J1674" s="80"/>
      <c r="K1674" s="81"/>
      <c r="L1674" s="81"/>
      <c r="M1674" s="81"/>
      <c r="N1674" s="84" t="str">
        <f aca="false">IF(C1674="","",IF(P1674="","NJ INCONNU",IF(I1674="",IF(H1674="OUI","À ENROBER",IF(G1674="À SOUDER","NON SOUDÉ","EN ATTENTE RT")),IF(L1674="R","À REPRENDRE",IF(H1674&lt;&gt;"OUI","⚠ ENROBÉ AVANT ACCEPTATION RT","ENROBÉ")))))</f>
        <v>À ENROBER</v>
      </c>
      <c r="O1674" s="80"/>
      <c r="P1674" s="82" t="n">
        <f aca="false">IF(C1674="","",IFERROR(MATCH(Q1674,'CARNET DE SOUDURE'!$AW$7:$AW$3006,0),""))</f>
        <v>1668</v>
      </c>
      <c r="Q1674" s="82" t="str">
        <f aca="false">IF(C1674="","",B1674&amp;"|"&amp;C1674)</f>
        <v>MFD-ISW → MFD-CPF|DJ°193</v>
      </c>
    </row>
    <row r="1675" customFormat="false" ht="74.6" hidden="false" customHeight="false" outlineLevel="0" collapsed="false">
      <c r="A1675" s="82" t="n">
        <f aca="false">IF(C1675="","",ROW()-6)</f>
        <v>1669</v>
      </c>
      <c r="B1675" s="80" t="s">
        <v>110</v>
      </c>
      <c r="C1675" s="113" t="s">
        <v>2028</v>
      </c>
      <c r="D1675" s="82" t="str">
        <f aca="false">IF(OR(C1675="",P1675=""),"",INDEX('CARNET DE SOUDURE'!$D$7:$D$3006,P1675)&amp;"")</f>
        <v>14</v>
      </c>
      <c r="E1675" s="114" t="n">
        <f aca="false">IF(OR(C1675="",P1675=""),"",IF(INDEX('CARNET DE SOUDURE'!$U$7:$U$3006,P1675)="","",INDEX('CARNET DE SOUDURE'!$U$7:$U$3006,P1675)))</f>
        <v>46274</v>
      </c>
      <c r="F1675" s="82" t="str">
        <f aca="false">IF(OR(C1675="",P1675=""),"",INDEX('CARNET DE SOUDURE'!$AP$7:$AP$3006,P1675))</f>
        <v>A</v>
      </c>
      <c r="G1675" s="82" t="str">
        <f aca="false">IF(C1675="","",IF(P1675="","NJ INCONNU",INDEX('CARNET DE SOUDURE'!$AQ$7:$AQ$3006,P1675)))</f>
        <v>ACCEPTÉ</v>
      </c>
      <c r="H1675" s="82" t="str">
        <f aca="false">IF(C1675="","",IF(G1675="ACCEPTÉ","OUI","NON"))</f>
        <v>OUI</v>
      </c>
      <c r="I1675" s="83"/>
      <c r="J1675" s="80"/>
      <c r="K1675" s="81"/>
      <c r="L1675" s="81"/>
      <c r="M1675" s="81"/>
      <c r="N1675" s="84" t="str">
        <f aca="false">IF(C1675="","",IF(P1675="","NJ INCONNU",IF(I1675="",IF(H1675="OUI","À ENROBER",IF(G1675="À SOUDER","NON SOUDÉ","EN ATTENTE RT")),IF(L1675="R","À REPRENDRE",IF(H1675&lt;&gt;"OUI","⚠ ENROBÉ AVANT ACCEPTATION RT","ENROBÉ")))))</f>
        <v>À ENROBER</v>
      </c>
      <c r="O1675" s="80"/>
      <c r="P1675" s="82" t="n">
        <f aca="false">IF(C1675="","",IFERROR(MATCH(Q1675,'CARNET DE SOUDURE'!$AW$7:$AW$3006,0),""))</f>
        <v>1669</v>
      </c>
      <c r="Q1675" s="82" t="str">
        <f aca="false">IF(C1675="","",B1675&amp;"|"&amp;C1675)</f>
        <v>MFD-ISW → MFD-CPF|JN°1350</v>
      </c>
    </row>
    <row r="1676" customFormat="false" ht="74.6" hidden="false" customHeight="false" outlineLevel="0" collapsed="false">
      <c r="A1676" s="82" t="n">
        <f aca="false">IF(C1676="","",ROW()-6)</f>
        <v>1670</v>
      </c>
      <c r="B1676" s="80" t="s">
        <v>110</v>
      </c>
      <c r="C1676" s="113" t="s">
        <v>2029</v>
      </c>
      <c r="D1676" s="82" t="str">
        <f aca="false">IF(OR(C1676="",P1676=""),"",INDEX('CARNET DE SOUDURE'!$D$7:$D$3006,P1676)&amp;"")</f>
        <v>14</v>
      </c>
      <c r="E1676" s="114" t="n">
        <f aca="false">IF(OR(C1676="",P1676=""),"",IF(INDEX('CARNET DE SOUDURE'!$U$7:$U$3006,P1676)="","",INDEX('CARNET DE SOUDURE'!$U$7:$U$3006,P1676)))</f>
        <v>46260</v>
      </c>
      <c r="F1676" s="82" t="str">
        <f aca="false">IF(OR(C1676="",P1676=""),"",INDEX('CARNET DE SOUDURE'!$AP$7:$AP$3006,P1676))</f>
        <v>A</v>
      </c>
      <c r="G1676" s="82" t="str">
        <f aca="false">IF(C1676="","",IF(P1676="","NJ INCONNU",INDEX('CARNET DE SOUDURE'!$AQ$7:$AQ$3006,P1676)))</f>
        <v>ACCEPTÉ</v>
      </c>
      <c r="H1676" s="82" t="str">
        <f aca="false">IF(C1676="","",IF(G1676="ACCEPTÉ","OUI","NON"))</f>
        <v>OUI</v>
      </c>
      <c r="I1676" s="83"/>
      <c r="J1676" s="80"/>
      <c r="K1676" s="81"/>
      <c r="L1676" s="81"/>
      <c r="M1676" s="81"/>
      <c r="N1676" s="84" t="str">
        <f aca="false">IF(C1676="","",IF(P1676="","NJ INCONNU",IF(I1676="",IF(H1676="OUI","À ENROBER",IF(G1676="À SOUDER","NON SOUDÉ","EN ATTENTE RT")),IF(L1676="R","À REPRENDRE",IF(H1676&lt;&gt;"OUI","⚠ ENROBÉ AVANT ACCEPTATION RT","ENROBÉ")))))</f>
        <v>À ENROBER</v>
      </c>
      <c r="O1676" s="80"/>
      <c r="P1676" s="82" t="n">
        <f aca="false">IF(C1676="","",IFERROR(MATCH(Q1676,'CARNET DE SOUDURE'!$AW$7:$AW$3006,0),""))</f>
        <v>1670</v>
      </c>
      <c r="Q1676" s="82" t="str">
        <f aca="false">IF(C1676="","",B1676&amp;"|"&amp;C1676)</f>
        <v>MFD-ISW → MFD-CPF|DJ°162</v>
      </c>
    </row>
    <row r="1677" customFormat="false" ht="74.6" hidden="false" customHeight="false" outlineLevel="0" collapsed="false">
      <c r="A1677" s="82" t="n">
        <f aca="false">IF(C1677="","",ROW()-6)</f>
        <v>1671</v>
      </c>
      <c r="B1677" s="80" t="s">
        <v>110</v>
      </c>
      <c r="C1677" s="113" t="s">
        <v>2032</v>
      </c>
      <c r="D1677" s="82" t="str">
        <f aca="false">IF(OR(C1677="",P1677=""),"",INDEX('CARNET DE SOUDURE'!$D$7:$D$3006,P1677)&amp;"")</f>
        <v>14</v>
      </c>
      <c r="E1677" s="114" t="str">
        <f aca="false">IF(OR(C1677="",P1677=""),"",IF(INDEX('CARNET DE SOUDURE'!$U$7:$U$3006,P1677)="","",INDEX('CARNET DE SOUDURE'!$U$7:$U$3006,P1677)))</f>
        <v/>
      </c>
      <c r="F1677" s="82" t="str">
        <f aca="false">IF(OR(C1677="",P1677=""),"",INDEX('CARNET DE SOUDURE'!$AP$7:$AP$3006,P1677))</f>
        <v/>
      </c>
      <c r="G1677" s="82" t="str">
        <f aca="false">IF(C1677="","",IF(P1677="","NJ INCONNU",INDEX('CARNET DE SOUDURE'!$AQ$7:$AQ$3006,P1677)))</f>
        <v>À SOUDER</v>
      </c>
      <c r="H1677" s="82" t="str">
        <f aca="false">IF(C1677="","",IF(G1677="ACCEPTÉ","OUI","NON"))</f>
        <v>NON</v>
      </c>
      <c r="I1677" s="83"/>
      <c r="J1677" s="80"/>
      <c r="K1677" s="81"/>
      <c r="L1677" s="81"/>
      <c r="M1677" s="81"/>
      <c r="N1677" s="84" t="str">
        <f aca="false">IF(C1677="","",IF(P1677="","NJ INCONNU",IF(I1677="",IF(H1677="OUI","À ENROBER",IF(G1677="À SOUDER","NON SOUDÉ","EN ATTENTE RT")),IF(L1677="R","À REPRENDRE",IF(H1677&lt;&gt;"OUI","⚠ ENROBÉ AVANT ACCEPTATION RT","ENROBÉ")))))</f>
        <v>NON SOUDÉ</v>
      </c>
      <c r="O1677" s="80"/>
      <c r="P1677" s="82" t="n">
        <f aca="false">IF(C1677="","",IFERROR(MATCH(Q1677,'CARNET DE SOUDURE'!$AW$7:$AW$3006,0),""))</f>
        <v>1671</v>
      </c>
      <c r="Q1677" s="82" t="str">
        <f aca="false">IF(C1677="","",B1677&amp;"|"&amp;C1677)</f>
        <v>MFD-ISW → MFD-CPF|JN°1351</v>
      </c>
    </row>
    <row r="1678" customFormat="false" ht="74.6" hidden="false" customHeight="false" outlineLevel="0" collapsed="false">
      <c r="A1678" s="82" t="n">
        <f aca="false">IF(C1678="","",ROW()-6)</f>
        <v>1672</v>
      </c>
      <c r="B1678" s="80" t="s">
        <v>110</v>
      </c>
      <c r="C1678" s="113" t="s">
        <v>2033</v>
      </c>
      <c r="D1678" s="82" t="str">
        <f aca="false">IF(OR(C1678="",P1678=""),"",INDEX('CARNET DE SOUDURE'!$D$7:$D$3006,P1678)&amp;"")</f>
        <v>14</v>
      </c>
      <c r="E1678" s="114" t="str">
        <f aca="false">IF(OR(C1678="",P1678=""),"",IF(INDEX('CARNET DE SOUDURE'!$U$7:$U$3006,P1678)="","",INDEX('CARNET DE SOUDURE'!$U$7:$U$3006,P1678)))</f>
        <v/>
      </c>
      <c r="F1678" s="82" t="str">
        <f aca="false">IF(OR(C1678="",P1678=""),"",INDEX('CARNET DE SOUDURE'!$AP$7:$AP$3006,P1678))</f>
        <v/>
      </c>
      <c r="G1678" s="82" t="str">
        <f aca="false">IF(C1678="","",IF(P1678="","NJ INCONNU",INDEX('CARNET DE SOUDURE'!$AQ$7:$AQ$3006,P1678)))</f>
        <v>À SOUDER</v>
      </c>
      <c r="H1678" s="82" t="str">
        <f aca="false">IF(C1678="","",IF(G1678="ACCEPTÉ","OUI","NON"))</f>
        <v>NON</v>
      </c>
      <c r="I1678" s="83"/>
      <c r="J1678" s="80"/>
      <c r="K1678" s="81"/>
      <c r="L1678" s="81"/>
      <c r="M1678" s="81"/>
      <c r="N1678" s="84" t="str">
        <f aca="false">IF(C1678="","",IF(P1678="","NJ INCONNU",IF(I1678="",IF(H1678="OUI","À ENROBER",IF(G1678="À SOUDER","NON SOUDÉ","EN ATTENTE RT")),IF(L1678="R","À REPRENDRE",IF(H1678&lt;&gt;"OUI","⚠ ENROBÉ AVANT ACCEPTATION RT","ENROBÉ")))))</f>
        <v>NON SOUDÉ</v>
      </c>
      <c r="O1678" s="80"/>
      <c r="P1678" s="82" t="n">
        <f aca="false">IF(C1678="","",IFERROR(MATCH(Q1678,'CARNET DE SOUDURE'!$AW$7:$AW$3006,0),""))</f>
        <v>1672</v>
      </c>
      <c r="Q1678" s="82" t="str">
        <f aca="false">IF(C1678="","",B1678&amp;"|"&amp;C1678)</f>
        <v>MFD-ISW → MFD-CPF|JN°1352</v>
      </c>
    </row>
    <row r="1679" customFormat="false" ht="74.6" hidden="false" customHeight="false" outlineLevel="0" collapsed="false">
      <c r="A1679" s="82" t="n">
        <f aca="false">IF(C1679="","",ROW()-6)</f>
        <v>1673</v>
      </c>
      <c r="B1679" s="80" t="s">
        <v>110</v>
      </c>
      <c r="C1679" s="113" t="s">
        <v>2034</v>
      </c>
      <c r="D1679" s="82" t="str">
        <f aca="false">IF(OR(C1679="",P1679=""),"",INDEX('CARNET DE SOUDURE'!$D$7:$D$3006,P1679)&amp;"")</f>
        <v>14</v>
      </c>
      <c r="E1679" s="114" t="str">
        <f aca="false">IF(OR(C1679="",P1679=""),"",IF(INDEX('CARNET DE SOUDURE'!$U$7:$U$3006,P1679)="","",INDEX('CARNET DE SOUDURE'!$U$7:$U$3006,P1679)))</f>
        <v/>
      </c>
      <c r="F1679" s="82" t="str">
        <f aca="false">IF(OR(C1679="",P1679=""),"",INDEX('CARNET DE SOUDURE'!$AP$7:$AP$3006,P1679))</f>
        <v/>
      </c>
      <c r="G1679" s="82" t="str">
        <f aca="false">IF(C1679="","",IF(P1679="","NJ INCONNU",INDEX('CARNET DE SOUDURE'!$AQ$7:$AQ$3006,P1679)))</f>
        <v>À SOUDER</v>
      </c>
      <c r="H1679" s="82" t="str">
        <f aca="false">IF(C1679="","",IF(G1679="ACCEPTÉ","OUI","NON"))</f>
        <v>NON</v>
      </c>
      <c r="I1679" s="83"/>
      <c r="J1679" s="80"/>
      <c r="K1679" s="81"/>
      <c r="L1679" s="81"/>
      <c r="M1679" s="81"/>
      <c r="N1679" s="84" t="str">
        <f aca="false">IF(C1679="","",IF(P1679="","NJ INCONNU",IF(I1679="",IF(H1679="OUI","À ENROBER",IF(G1679="À SOUDER","NON SOUDÉ","EN ATTENTE RT")),IF(L1679="R","À REPRENDRE",IF(H1679&lt;&gt;"OUI","⚠ ENROBÉ AVANT ACCEPTATION RT","ENROBÉ")))))</f>
        <v>NON SOUDÉ</v>
      </c>
      <c r="O1679" s="80"/>
      <c r="P1679" s="82" t="n">
        <f aca="false">IF(C1679="","",IFERROR(MATCH(Q1679,'CARNET DE SOUDURE'!$AW$7:$AW$3006,0),""))</f>
        <v>1673</v>
      </c>
      <c r="Q1679" s="82" t="str">
        <f aca="false">IF(C1679="","",B1679&amp;"|"&amp;C1679)</f>
        <v>MFD-ISW → MFD-CPF|JN°1353</v>
      </c>
    </row>
    <row r="1680" customFormat="false" ht="74.6" hidden="false" customHeight="false" outlineLevel="0" collapsed="false">
      <c r="A1680" s="82" t="n">
        <f aca="false">IF(C1680="","",ROW()-6)</f>
        <v>1674</v>
      </c>
      <c r="B1680" s="80" t="s">
        <v>110</v>
      </c>
      <c r="C1680" s="113" t="s">
        <v>2035</v>
      </c>
      <c r="D1680" s="82" t="str">
        <f aca="false">IF(OR(C1680="",P1680=""),"",INDEX('CARNET DE SOUDURE'!$D$7:$D$3006,P1680)&amp;"")</f>
        <v>14</v>
      </c>
      <c r="E1680" s="114" t="str">
        <f aca="false">IF(OR(C1680="",P1680=""),"",IF(INDEX('CARNET DE SOUDURE'!$U$7:$U$3006,P1680)="","",INDEX('CARNET DE SOUDURE'!$U$7:$U$3006,P1680)))</f>
        <v/>
      </c>
      <c r="F1680" s="82" t="str">
        <f aca="false">IF(OR(C1680="",P1680=""),"",INDEX('CARNET DE SOUDURE'!$AP$7:$AP$3006,P1680))</f>
        <v/>
      </c>
      <c r="G1680" s="82" t="str">
        <f aca="false">IF(C1680="","",IF(P1680="","NJ INCONNU",INDEX('CARNET DE SOUDURE'!$AQ$7:$AQ$3006,P1680)))</f>
        <v>À SOUDER</v>
      </c>
      <c r="H1680" s="82" t="str">
        <f aca="false">IF(C1680="","",IF(G1680="ACCEPTÉ","OUI","NON"))</f>
        <v>NON</v>
      </c>
      <c r="I1680" s="83"/>
      <c r="J1680" s="80"/>
      <c r="K1680" s="81"/>
      <c r="L1680" s="81"/>
      <c r="M1680" s="81"/>
      <c r="N1680" s="84" t="str">
        <f aca="false">IF(C1680="","",IF(P1680="","NJ INCONNU",IF(I1680="",IF(H1680="OUI","À ENROBER",IF(G1680="À SOUDER","NON SOUDÉ","EN ATTENTE RT")),IF(L1680="R","À REPRENDRE",IF(H1680&lt;&gt;"OUI","⚠ ENROBÉ AVANT ACCEPTATION RT","ENROBÉ")))))</f>
        <v>NON SOUDÉ</v>
      </c>
      <c r="O1680" s="80"/>
      <c r="P1680" s="82" t="n">
        <f aca="false">IF(C1680="","",IFERROR(MATCH(Q1680,'CARNET DE SOUDURE'!$AW$7:$AW$3006,0),""))</f>
        <v>1674</v>
      </c>
      <c r="Q1680" s="82" t="str">
        <f aca="false">IF(C1680="","",B1680&amp;"|"&amp;C1680)</f>
        <v>MFD-ISW → MFD-CPF|JN°1354</v>
      </c>
    </row>
    <row r="1681" customFormat="false" ht="74.6" hidden="false" customHeight="false" outlineLevel="0" collapsed="false">
      <c r="A1681" s="82" t="n">
        <f aca="false">IF(C1681="","",ROW()-6)</f>
        <v>1675</v>
      </c>
      <c r="B1681" s="80" t="s">
        <v>110</v>
      </c>
      <c r="C1681" s="113" t="s">
        <v>2037</v>
      </c>
      <c r="D1681" s="82" t="str">
        <f aca="false">IF(OR(C1681="",P1681=""),"",INDEX('CARNET DE SOUDURE'!$D$7:$D$3006,P1681)&amp;"")</f>
        <v>15</v>
      </c>
      <c r="E1681" s="114" t="n">
        <f aca="false">IF(OR(C1681="",P1681=""),"",IF(INDEX('CARNET DE SOUDURE'!$U$7:$U$3006,P1681)="","",INDEX('CARNET DE SOUDURE'!$U$7:$U$3006,P1681)))</f>
        <v>46262</v>
      </c>
      <c r="F1681" s="82" t="str">
        <f aca="false">IF(OR(C1681="",P1681=""),"",INDEX('CARNET DE SOUDURE'!$AP$7:$AP$3006,P1681))</f>
        <v>A</v>
      </c>
      <c r="G1681" s="82" t="str">
        <f aca="false">IF(C1681="","",IF(P1681="","NJ INCONNU",INDEX('CARNET DE SOUDURE'!$AQ$7:$AQ$3006,P1681)))</f>
        <v>ACCEPTÉ</v>
      </c>
      <c r="H1681" s="82" t="str">
        <f aca="false">IF(C1681="","",IF(G1681="ACCEPTÉ","OUI","NON"))</f>
        <v>OUI</v>
      </c>
      <c r="I1681" s="83"/>
      <c r="J1681" s="80"/>
      <c r="K1681" s="81"/>
      <c r="L1681" s="81"/>
      <c r="M1681" s="81"/>
      <c r="N1681" s="84" t="str">
        <f aca="false">IF(C1681="","",IF(P1681="","NJ INCONNU",IF(I1681="",IF(H1681="OUI","À ENROBER",IF(G1681="À SOUDER","NON SOUDÉ","EN ATTENTE RT")),IF(L1681="R","À REPRENDRE",IF(H1681&lt;&gt;"OUI","⚠ ENROBÉ AVANT ACCEPTATION RT","ENROBÉ")))))</f>
        <v>À ENROBER</v>
      </c>
      <c r="O1681" s="80"/>
      <c r="P1681" s="82" t="n">
        <f aca="false">IF(C1681="","",IFERROR(MATCH(Q1681,'CARNET DE SOUDURE'!$AW$7:$AW$3006,0),""))</f>
        <v>1675</v>
      </c>
      <c r="Q1681" s="82" t="str">
        <f aca="false">IF(C1681="","",B1681&amp;"|"&amp;C1681)</f>
        <v>MFD-ISW → MFD-CPF|DJ°180</v>
      </c>
    </row>
    <row r="1682" customFormat="false" ht="74.6" hidden="false" customHeight="false" outlineLevel="0" collapsed="false">
      <c r="A1682" s="82" t="n">
        <f aca="false">IF(C1682="","",ROW()-6)</f>
        <v>1676</v>
      </c>
      <c r="B1682" s="80" t="s">
        <v>110</v>
      </c>
      <c r="C1682" s="113" t="s">
        <v>2038</v>
      </c>
      <c r="D1682" s="82" t="str">
        <f aca="false">IF(OR(C1682="",P1682=""),"",INDEX('CARNET DE SOUDURE'!$D$7:$D$3006,P1682)&amp;"")</f>
        <v>15</v>
      </c>
      <c r="E1682" s="114" t="n">
        <f aca="false">IF(OR(C1682="",P1682=""),"",IF(INDEX('CARNET DE SOUDURE'!$U$7:$U$3006,P1682)="","",INDEX('CARNET DE SOUDURE'!$U$7:$U$3006,P1682)))</f>
        <v>46273</v>
      </c>
      <c r="F1682" s="82" t="str">
        <f aca="false">IF(OR(C1682="",P1682=""),"",INDEX('CARNET DE SOUDURE'!$AP$7:$AP$3006,P1682))</f>
        <v>A</v>
      </c>
      <c r="G1682" s="82" t="str">
        <f aca="false">IF(C1682="","",IF(P1682="","NJ INCONNU",INDEX('CARNET DE SOUDURE'!$AQ$7:$AQ$3006,P1682)))</f>
        <v>ACCEPTÉ</v>
      </c>
      <c r="H1682" s="82" t="str">
        <f aca="false">IF(C1682="","",IF(G1682="ACCEPTÉ","OUI","NON"))</f>
        <v>OUI</v>
      </c>
      <c r="I1682" s="83"/>
      <c r="J1682" s="80"/>
      <c r="K1682" s="81"/>
      <c r="L1682" s="81"/>
      <c r="M1682" s="81"/>
      <c r="N1682" s="84" t="str">
        <f aca="false">IF(C1682="","",IF(P1682="","NJ INCONNU",IF(I1682="",IF(H1682="OUI","À ENROBER",IF(G1682="À SOUDER","NON SOUDÉ","EN ATTENTE RT")),IF(L1682="R","À REPRENDRE",IF(H1682&lt;&gt;"OUI","⚠ ENROBÉ AVANT ACCEPTATION RT","ENROBÉ")))))</f>
        <v>À ENROBER</v>
      </c>
      <c r="O1682" s="80"/>
      <c r="P1682" s="82" t="n">
        <f aca="false">IF(C1682="","",IFERROR(MATCH(Q1682,'CARNET DE SOUDURE'!$AW$7:$AW$3006,0),""))</f>
        <v>1676</v>
      </c>
      <c r="Q1682" s="82" t="str">
        <f aca="false">IF(C1682="","",B1682&amp;"|"&amp;C1682)</f>
        <v>MFD-ISW → MFD-CPF|JN°1355</v>
      </c>
    </row>
    <row r="1683" customFormat="false" ht="74.6" hidden="false" customHeight="false" outlineLevel="0" collapsed="false">
      <c r="A1683" s="82" t="n">
        <f aca="false">IF(C1683="","",ROW()-6)</f>
        <v>1677</v>
      </c>
      <c r="B1683" s="80" t="s">
        <v>110</v>
      </c>
      <c r="C1683" s="113" t="s">
        <v>2042</v>
      </c>
      <c r="D1683" s="82" t="str">
        <f aca="false">IF(OR(C1683="",P1683=""),"",INDEX('CARNET DE SOUDURE'!$D$7:$D$3006,P1683)&amp;"")</f>
        <v>15</v>
      </c>
      <c r="E1683" s="114" t="n">
        <f aca="false">IF(OR(C1683="",P1683=""),"",IF(INDEX('CARNET DE SOUDURE'!$U$7:$U$3006,P1683)="","",INDEX('CARNET DE SOUDURE'!$U$7:$U$3006,P1683)))</f>
        <v>46263</v>
      </c>
      <c r="F1683" s="82" t="str">
        <f aca="false">IF(OR(C1683="",P1683=""),"",INDEX('CARNET DE SOUDURE'!$AP$7:$AP$3006,P1683))</f>
        <v>A</v>
      </c>
      <c r="G1683" s="82" t="str">
        <f aca="false">IF(C1683="","",IF(P1683="","NJ INCONNU",INDEX('CARNET DE SOUDURE'!$AQ$7:$AQ$3006,P1683)))</f>
        <v>ACCEPTÉ</v>
      </c>
      <c r="H1683" s="82" t="str">
        <f aca="false">IF(C1683="","",IF(G1683="ACCEPTÉ","OUI","NON"))</f>
        <v>OUI</v>
      </c>
      <c r="I1683" s="83"/>
      <c r="J1683" s="80"/>
      <c r="K1683" s="81"/>
      <c r="L1683" s="81"/>
      <c r="M1683" s="81"/>
      <c r="N1683" s="84" t="str">
        <f aca="false">IF(C1683="","",IF(P1683="","NJ INCONNU",IF(I1683="",IF(H1683="OUI","À ENROBER",IF(G1683="À SOUDER","NON SOUDÉ","EN ATTENTE RT")),IF(L1683="R","À REPRENDRE",IF(H1683&lt;&gt;"OUI","⚠ ENROBÉ AVANT ACCEPTATION RT","ENROBÉ")))))</f>
        <v>À ENROBER</v>
      </c>
      <c r="O1683" s="80"/>
      <c r="P1683" s="82" t="n">
        <f aca="false">IF(C1683="","",IFERROR(MATCH(Q1683,'CARNET DE SOUDURE'!$AW$7:$AW$3006,0),""))</f>
        <v>1677</v>
      </c>
      <c r="Q1683" s="82" t="str">
        <f aca="false">IF(C1683="","",B1683&amp;"|"&amp;C1683)</f>
        <v>MFD-ISW → MFD-CPF|DJ°189</v>
      </c>
    </row>
    <row r="1684" customFormat="false" ht="74.6" hidden="false" customHeight="false" outlineLevel="0" collapsed="false">
      <c r="A1684" s="82" t="n">
        <f aca="false">IF(C1684="","",ROW()-6)</f>
        <v>1678</v>
      </c>
      <c r="B1684" s="80" t="s">
        <v>110</v>
      </c>
      <c r="C1684" s="113" t="s">
        <v>2044</v>
      </c>
      <c r="D1684" s="82" t="str">
        <f aca="false">IF(OR(C1684="",P1684=""),"",INDEX('CARNET DE SOUDURE'!$D$7:$D$3006,P1684)&amp;"")</f>
        <v>15</v>
      </c>
      <c r="E1684" s="114" t="n">
        <f aca="false">IF(OR(C1684="",P1684=""),"",IF(INDEX('CARNET DE SOUDURE'!$U$7:$U$3006,P1684)="","",INDEX('CARNET DE SOUDURE'!$U$7:$U$3006,P1684)))</f>
        <v>46273</v>
      </c>
      <c r="F1684" s="82" t="str">
        <f aca="false">IF(OR(C1684="",P1684=""),"",INDEX('CARNET DE SOUDURE'!$AP$7:$AP$3006,P1684))</f>
        <v>A</v>
      </c>
      <c r="G1684" s="82" t="str">
        <f aca="false">IF(C1684="","",IF(P1684="","NJ INCONNU",INDEX('CARNET DE SOUDURE'!$AQ$7:$AQ$3006,P1684)))</f>
        <v>ACCEPTÉ</v>
      </c>
      <c r="H1684" s="82" t="str">
        <f aca="false">IF(C1684="","",IF(G1684="ACCEPTÉ","OUI","NON"))</f>
        <v>OUI</v>
      </c>
      <c r="I1684" s="83"/>
      <c r="J1684" s="80"/>
      <c r="K1684" s="81"/>
      <c r="L1684" s="81"/>
      <c r="M1684" s="81"/>
      <c r="N1684" s="84" t="str">
        <f aca="false">IF(C1684="","",IF(P1684="","NJ INCONNU",IF(I1684="",IF(H1684="OUI","À ENROBER",IF(G1684="À SOUDER","NON SOUDÉ","EN ATTENTE RT")),IF(L1684="R","À REPRENDRE",IF(H1684&lt;&gt;"OUI","⚠ ENROBÉ AVANT ACCEPTATION RT","ENROBÉ")))))</f>
        <v>À ENROBER</v>
      </c>
      <c r="O1684" s="80"/>
      <c r="P1684" s="82" t="n">
        <f aca="false">IF(C1684="","",IFERROR(MATCH(Q1684,'CARNET DE SOUDURE'!$AW$7:$AW$3006,0),""))</f>
        <v>1678</v>
      </c>
      <c r="Q1684" s="82" t="str">
        <f aca="false">IF(C1684="","",B1684&amp;"|"&amp;C1684)</f>
        <v>MFD-ISW → MFD-CPF|JN°1356</v>
      </c>
    </row>
    <row r="1685" customFormat="false" ht="74.6" hidden="false" customHeight="false" outlineLevel="0" collapsed="false">
      <c r="A1685" s="82" t="n">
        <f aca="false">IF(C1685="","",ROW()-6)</f>
        <v>1679</v>
      </c>
      <c r="B1685" s="80" t="s">
        <v>110</v>
      </c>
      <c r="C1685" s="113" t="s">
        <v>2045</v>
      </c>
      <c r="D1685" s="82" t="str">
        <f aca="false">IF(OR(C1685="",P1685=""),"",INDEX('CARNET DE SOUDURE'!$D$7:$D$3006,P1685)&amp;"")</f>
        <v>15</v>
      </c>
      <c r="E1685" s="114" t="n">
        <f aca="false">IF(OR(C1685="",P1685=""),"",IF(INDEX('CARNET DE SOUDURE'!$U$7:$U$3006,P1685)="","",INDEX('CARNET DE SOUDURE'!$U$7:$U$3006,P1685)))</f>
        <v>46261</v>
      </c>
      <c r="F1685" s="82" t="str">
        <f aca="false">IF(OR(C1685="",P1685=""),"",INDEX('CARNET DE SOUDURE'!$AP$7:$AP$3006,P1685))</f>
        <v>A</v>
      </c>
      <c r="G1685" s="82" t="str">
        <f aca="false">IF(C1685="","",IF(P1685="","NJ INCONNU",INDEX('CARNET DE SOUDURE'!$AQ$7:$AQ$3006,P1685)))</f>
        <v>ACCEPTÉ</v>
      </c>
      <c r="H1685" s="82" t="str">
        <f aca="false">IF(C1685="","",IF(G1685="ACCEPTÉ","OUI","NON"))</f>
        <v>OUI</v>
      </c>
      <c r="I1685" s="83"/>
      <c r="J1685" s="80"/>
      <c r="K1685" s="81"/>
      <c r="L1685" s="81"/>
      <c r="M1685" s="81"/>
      <c r="N1685" s="84" t="str">
        <f aca="false">IF(C1685="","",IF(P1685="","NJ INCONNU",IF(I1685="",IF(H1685="OUI","À ENROBER",IF(G1685="À SOUDER","NON SOUDÉ","EN ATTENTE RT")),IF(L1685="R","À REPRENDRE",IF(H1685&lt;&gt;"OUI","⚠ ENROBÉ AVANT ACCEPTATION RT","ENROBÉ")))))</f>
        <v>À ENROBER</v>
      </c>
      <c r="O1685" s="80"/>
      <c r="P1685" s="82" t="n">
        <f aca="false">IF(C1685="","",IFERROR(MATCH(Q1685,'CARNET DE SOUDURE'!$AW$7:$AW$3006,0),""))</f>
        <v>1679</v>
      </c>
      <c r="Q1685" s="82" t="str">
        <f aca="false">IF(C1685="","",B1685&amp;"|"&amp;C1685)</f>
        <v>MFD-ISW → MFD-CPF|DJ°173</v>
      </c>
    </row>
    <row r="1686" customFormat="false" ht="74.6" hidden="false" customHeight="false" outlineLevel="0" collapsed="false">
      <c r="A1686" s="82" t="n">
        <f aca="false">IF(C1686="","",ROW()-6)</f>
        <v>1680</v>
      </c>
      <c r="B1686" s="80" t="s">
        <v>110</v>
      </c>
      <c r="C1686" s="113" t="s">
        <v>2046</v>
      </c>
      <c r="D1686" s="82" t="str">
        <f aca="false">IF(OR(C1686="",P1686=""),"",INDEX('CARNET DE SOUDURE'!$D$7:$D$3006,P1686)&amp;"")</f>
        <v>15</v>
      </c>
      <c r="E1686" s="114" t="n">
        <f aca="false">IF(OR(C1686="",P1686=""),"",IF(INDEX('CARNET DE SOUDURE'!$U$7:$U$3006,P1686)="","",INDEX('CARNET DE SOUDURE'!$U$7:$U$3006,P1686)))</f>
        <v>46273</v>
      </c>
      <c r="F1686" s="82" t="str">
        <f aca="false">IF(OR(C1686="",P1686=""),"",INDEX('CARNET DE SOUDURE'!$AP$7:$AP$3006,P1686))</f>
        <v>R</v>
      </c>
      <c r="G1686" s="82" t="str">
        <f aca="false">IF(C1686="","",IF(P1686="","NJ INCONNU",INDEX('CARNET DE SOUDURE'!$AQ$7:$AQ$3006,P1686)))</f>
        <v>À RÉPARER</v>
      </c>
      <c r="H1686" s="82" t="str">
        <f aca="false">IF(C1686="","",IF(G1686="ACCEPTÉ","OUI","NON"))</f>
        <v>NON</v>
      </c>
      <c r="I1686" s="83"/>
      <c r="J1686" s="80"/>
      <c r="K1686" s="81"/>
      <c r="L1686" s="81"/>
      <c r="M1686" s="81"/>
      <c r="N1686" s="84" t="str">
        <f aca="false">IF(C1686="","",IF(P1686="","NJ INCONNU",IF(I1686="",IF(H1686="OUI","À ENROBER",IF(G1686="À SOUDER","NON SOUDÉ","EN ATTENTE RT")),IF(L1686="R","À REPRENDRE",IF(H1686&lt;&gt;"OUI","⚠ ENROBÉ AVANT ACCEPTATION RT","ENROBÉ")))))</f>
        <v>EN ATTENTE RT</v>
      </c>
      <c r="O1686" s="80"/>
      <c r="P1686" s="82" t="n">
        <f aca="false">IF(C1686="","",IFERROR(MATCH(Q1686,'CARNET DE SOUDURE'!$AW$7:$AW$3006,0),""))</f>
        <v>1680</v>
      </c>
      <c r="Q1686" s="82" t="str">
        <f aca="false">IF(C1686="","",B1686&amp;"|"&amp;C1686)</f>
        <v>MFD-ISW → MFD-CPF|JN°1357</v>
      </c>
    </row>
    <row r="1687" customFormat="false" ht="74.6" hidden="false" customHeight="false" outlineLevel="0" collapsed="false">
      <c r="A1687" s="82" t="n">
        <f aca="false">IF(C1687="","",ROW()-6)</f>
        <v>1681</v>
      </c>
      <c r="B1687" s="80" t="s">
        <v>110</v>
      </c>
      <c r="C1687" s="113" t="s">
        <v>2048</v>
      </c>
      <c r="D1687" s="82" t="str">
        <f aca="false">IF(OR(C1687="",P1687=""),"",INDEX('CARNET DE SOUDURE'!$D$7:$D$3006,P1687)&amp;"")</f>
        <v>15</v>
      </c>
      <c r="E1687" s="114" t="n">
        <f aca="false">IF(OR(C1687="",P1687=""),"",IF(INDEX('CARNET DE SOUDURE'!$U$7:$U$3006,P1687)="","",INDEX('CARNET DE SOUDURE'!$U$7:$U$3006,P1687)))</f>
        <v>46262</v>
      </c>
      <c r="F1687" s="82" t="str">
        <f aca="false">IF(OR(C1687="",P1687=""),"",INDEX('CARNET DE SOUDURE'!$AP$7:$AP$3006,P1687))</f>
        <v>A</v>
      </c>
      <c r="G1687" s="82" t="str">
        <f aca="false">IF(C1687="","",IF(P1687="","NJ INCONNU",INDEX('CARNET DE SOUDURE'!$AQ$7:$AQ$3006,P1687)))</f>
        <v>ACCEPTÉ</v>
      </c>
      <c r="H1687" s="82" t="str">
        <f aca="false">IF(C1687="","",IF(G1687="ACCEPTÉ","OUI","NON"))</f>
        <v>OUI</v>
      </c>
      <c r="I1687" s="83"/>
      <c r="J1687" s="80"/>
      <c r="K1687" s="81"/>
      <c r="L1687" s="81"/>
      <c r="M1687" s="81"/>
      <c r="N1687" s="84" t="str">
        <f aca="false">IF(C1687="","",IF(P1687="","NJ INCONNU",IF(I1687="",IF(H1687="OUI","À ENROBER",IF(G1687="À SOUDER","NON SOUDÉ","EN ATTENTE RT")),IF(L1687="R","À REPRENDRE",IF(H1687&lt;&gt;"OUI","⚠ ENROBÉ AVANT ACCEPTATION RT","ENROBÉ")))))</f>
        <v>À ENROBER</v>
      </c>
      <c r="O1687" s="80"/>
      <c r="P1687" s="82" t="n">
        <f aca="false">IF(C1687="","",IFERROR(MATCH(Q1687,'CARNET DE SOUDURE'!$AW$7:$AW$3006,0),""))</f>
        <v>1681</v>
      </c>
      <c r="Q1687" s="82" t="str">
        <f aca="false">IF(C1687="","",B1687&amp;"|"&amp;C1687)</f>
        <v>MFD-ISW → MFD-CPF|DJ°178</v>
      </c>
    </row>
    <row r="1688" customFormat="false" ht="74.6" hidden="false" customHeight="false" outlineLevel="0" collapsed="false">
      <c r="A1688" s="82" t="n">
        <f aca="false">IF(C1688="","",ROW()-6)</f>
        <v>1682</v>
      </c>
      <c r="B1688" s="80" t="s">
        <v>110</v>
      </c>
      <c r="C1688" s="113" t="s">
        <v>2049</v>
      </c>
      <c r="D1688" s="82" t="str">
        <f aca="false">IF(OR(C1688="",P1688=""),"",INDEX('CARNET DE SOUDURE'!$D$7:$D$3006,P1688)&amp;"")</f>
        <v>15</v>
      </c>
      <c r="E1688" s="114" t="n">
        <f aca="false">IF(OR(C1688="",P1688=""),"",IF(INDEX('CARNET DE SOUDURE'!$U$7:$U$3006,P1688)="","",INDEX('CARNET DE SOUDURE'!$U$7:$U$3006,P1688)))</f>
        <v>46273</v>
      </c>
      <c r="F1688" s="82" t="str">
        <f aca="false">IF(OR(C1688="",P1688=""),"",INDEX('CARNET DE SOUDURE'!$AP$7:$AP$3006,P1688))</f>
        <v>R</v>
      </c>
      <c r="G1688" s="82" t="str">
        <f aca="false">IF(C1688="","",IF(P1688="","NJ INCONNU",INDEX('CARNET DE SOUDURE'!$AQ$7:$AQ$3006,P1688)))</f>
        <v>À RÉPARER</v>
      </c>
      <c r="H1688" s="82" t="str">
        <f aca="false">IF(C1688="","",IF(G1688="ACCEPTÉ","OUI","NON"))</f>
        <v>NON</v>
      </c>
      <c r="I1688" s="83"/>
      <c r="J1688" s="80"/>
      <c r="K1688" s="81"/>
      <c r="L1688" s="81"/>
      <c r="M1688" s="81"/>
      <c r="N1688" s="84" t="str">
        <f aca="false">IF(C1688="","",IF(P1688="","NJ INCONNU",IF(I1688="",IF(H1688="OUI","À ENROBER",IF(G1688="À SOUDER","NON SOUDÉ","EN ATTENTE RT")),IF(L1688="R","À REPRENDRE",IF(H1688&lt;&gt;"OUI","⚠ ENROBÉ AVANT ACCEPTATION RT","ENROBÉ")))))</f>
        <v>EN ATTENTE RT</v>
      </c>
      <c r="O1688" s="80"/>
      <c r="P1688" s="82" t="n">
        <f aca="false">IF(C1688="","",IFERROR(MATCH(Q1688,'CARNET DE SOUDURE'!$AW$7:$AW$3006,0),""))</f>
        <v>1682</v>
      </c>
      <c r="Q1688" s="82" t="str">
        <f aca="false">IF(C1688="","",B1688&amp;"|"&amp;C1688)</f>
        <v>MFD-ISW → MFD-CPF|JN°1358</v>
      </c>
    </row>
    <row r="1689" customFormat="false" ht="74.6" hidden="false" customHeight="false" outlineLevel="0" collapsed="false">
      <c r="A1689" s="82" t="n">
        <f aca="false">IF(C1689="","",ROW()-6)</f>
        <v>1683</v>
      </c>
      <c r="B1689" s="80" t="s">
        <v>110</v>
      </c>
      <c r="C1689" s="113" t="s">
        <v>2051</v>
      </c>
      <c r="D1689" s="82" t="str">
        <f aca="false">IF(OR(C1689="",P1689=""),"",INDEX('CARNET DE SOUDURE'!$D$7:$D$3006,P1689)&amp;"")</f>
        <v>15</v>
      </c>
      <c r="E1689" s="114" t="n">
        <f aca="false">IF(OR(C1689="",P1689=""),"",IF(INDEX('CARNET DE SOUDURE'!$U$7:$U$3006,P1689)="","",INDEX('CARNET DE SOUDURE'!$U$7:$U$3006,P1689)))</f>
        <v>46262</v>
      </c>
      <c r="F1689" s="82" t="str">
        <f aca="false">IF(OR(C1689="",P1689=""),"",INDEX('CARNET DE SOUDURE'!$AP$7:$AP$3006,P1689))</f>
        <v>A</v>
      </c>
      <c r="G1689" s="82" t="str">
        <f aca="false">IF(C1689="","",IF(P1689="","NJ INCONNU",INDEX('CARNET DE SOUDURE'!$AQ$7:$AQ$3006,P1689)))</f>
        <v>ACCEPTÉ</v>
      </c>
      <c r="H1689" s="82" t="str">
        <f aca="false">IF(C1689="","",IF(G1689="ACCEPTÉ","OUI","NON"))</f>
        <v>OUI</v>
      </c>
      <c r="I1689" s="83"/>
      <c r="J1689" s="80"/>
      <c r="K1689" s="81"/>
      <c r="L1689" s="81"/>
      <c r="M1689" s="81"/>
      <c r="N1689" s="84" t="str">
        <f aca="false">IF(C1689="","",IF(P1689="","NJ INCONNU",IF(I1689="",IF(H1689="OUI","À ENROBER",IF(G1689="À SOUDER","NON SOUDÉ","EN ATTENTE RT")),IF(L1689="R","À REPRENDRE",IF(H1689&lt;&gt;"OUI","⚠ ENROBÉ AVANT ACCEPTATION RT","ENROBÉ")))))</f>
        <v>À ENROBER</v>
      </c>
      <c r="O1689" s="80"/>
      <c r="P1689" s="82" t="n">
        <f aca="false">IF(C1689="","",IFERROR(MATCH(Q1689,'CARNET DE SOUDURE'!$AW$7:$AW$3006,0),""))</f>
        <v>1683</v>
      </c>
      <c r="Q1689" s="82" t="str">
        <f aca="false">IF(C1689="","",B1689&amp;"|"&amp;C1689)</f>
        <v>MFD-ISW → MFD-CPF|DJ°183</v>
      </c>
    </row>
    <row r="1690" customFormat="false" ht="74.6" hidden="false" customHeight="false" outlineLevel="0" collapsed="false">
      <c r="A1690" s="82" t="n">
        <f aca="false">IF(C1690="","",ROW()-6)</f>
        <v>1684</v>
      </c>
      <c r="B1690" s="80" t="s">
        <v>110</v>
      </c>
      <c r="C1690" s="113" t="s">
        <v>2052</v>
      </c>
      <c r="D1690" s="82" t="str">
        <f aca="false">IF(OR(C1690="",P1690=""),"",INDEX('CARNET DE SOUDURE'!$D$7:$D$3006,P1690)&amp;"")</f>
        <v>15</v>
      </c>
      <c r="E1690" s="114" t="n">
        <f aca="false">IF(OR(C1690="",P1690=""),"",IF(INDEX('CARNET DE SOUDURE'!$U$7:$U$3006,P1690)="","",INDEX('CARNET DE SOUDURE'!$U$7:$U$3006,P1690)))</f>
        <v>46273</v>
      </c>
      <c r="F1690" s="82" t="str">
        <f aca="false">IF(OR(C1690="",P1690=""),"",INDEX('CARNET DE SOUDURE'!$AP$7:$AP$3006,P1690))</f>
        <v>A</v>
      </c>
      <c r="G1690" s="82" t="str">
        <f aca="false">IF(C1690="","",IF(P1690="","NJ INCONNU",INDEX('CARNET DE SOUDURE'!$AQ$7:$AQ$3006,P1690)))</f>
        <v>ACCEPTÉ</v>
      </c>
      <c r="H1690" s="82" t="str">
        <f aca="false">IF(C1690="","",IF(G1690="ACCEPTÉ","OUI","NON"))</f>
        <v>OUI</v>
      </c>
      <c r="I1690" s="83"/>
      <c r="J1690" s="80"/>
      <c r="K1690" s="81"/>
      <c r="L1690" s="81"/>
      <c r="M1690" s="81"/>
      <c r="N1690" s="84" t="str">
        <f aca="false">IF(C1690="","",IF(P1690="","NJ INCONNU",IF(I1690="",IF(H1690="OUI","À ENROBER",IF(G1690="À SOUDER","NON SOUDÉ","EN ATTENTE RT")),IF(L1690="R","À REPRENDRE",IF(H1690&lt;&gt;"OUI","⚠ ENROBÉ AVANT ACCEPTATION RT","ENROBÉ")))))</f>
        <v>À ENROBER</v>
      </c>
      <c r="O1690" s="80"/>
      <c r="P1690" s="82" t="n">
        <f aca="false">IF(C1690="","",IFERROR(MATCH(Q1690,'CARNET DE SOUDURE'!$AW$7:$AW$3006,0),""))</f>
        <v>1684</v>
      </c>
      <c r="Q1690" s="82" t="str">
        <f aca="false">IF(C1690="","",B1690&amp;"|"&amp;C1690)</f>
        <v>MFD-ISW → MFD-CPF|JN°1359</v>
      </c>
    </row>
    <row r="1691" customFormat="false" ht="74.6" hidden="false" customHeight="false" outlineLevel="0" collapsed="false">
      <c r="A1691" s="82" t="n">
        <f aca="false">IF(C1691="","",ROW()-6)</f>
        <v>1685</v>
      </c>
      <c r="B1691" s="80" t="s">
        <v>110</v>
      </c>
      <c r="C1691" s="113" t="s">
        <v>2053</v>
      </c>
      <c r="D1691" s="82" t="str">
        <f aca="false">IF(OR(C1691="",P1691=""),"",INDEX('CARNET DE SOUDURE'!$D$7:$D$3006,P1691)&amp;"")</f>
        <v>15</v>
      </c>
      <c r="E1691" s="114" t="n">
        <f aca="false">IF(OR(C1691="",P1691=""),"",IF(INDEX('CARNET DE SOUDURE'!$U$7:$U$3006,P1691)="","",INDEX('CARNET DE SOUDURE'!$U$7:$U$3006,P1691)))</f>
        <v>46261</v>
      </c>
      <c r="F1691" s="82" t="str">
        <f aca="false">IF(OR(C1691="",P1691=""),"",INDEX('CARNET DE SOUDURE'!$AP$7:$AP$3006,P1691))</f>
        <v>A</v>
      </c>
      <c r="G1691" s="82" t="str">
        <f aca="false">IF(C1691="","",IF(P1691="","NJ INCONNU",INDEX('CARNET DE SOUDURE'!$AQ$7:$AQ$3006,P1691)))</f>
        <v>ACCEPTÉ</v>
      </c>
      <c r="H1691" s="82" t="str">
        <f aca="false">IF(C1691="","",IF(G1691="ACCEPTÉ","OUI","NON"))</f>
        <v>OUI</v>
      </c>
      <c r="I1691" s="83"/>
      <c r="J1691" s="80"/>
      <c r="K1691" s="81"/>
      <c r="L1691" s="81"/>
      <c r="M1691" s="81"/>
      <c r="N1691" s="84" t="str">
        <f aca="false">IF(C1691="","",IF(P1691="","NJ INCONNU",IF(I1691="",IF(H1691="OUI","À ENROBER",IF(G1691="À SOUDER","NON SOUDÉ","EN ATTENTE RT")),IF(L1691="R","À REPRENDRE",IF(H1691&lt;&gt;"OUI","⚠ ENROBÉ AVANT ACCEPTATION RT","ENROBÉ")))))</f>
        <v>À ENROBER</v>
      </c>
      <c r="O1691" s="80"/>
      <c r="P1691" s="82" t="n">
        <f aca="false">IF(C1691="","",IFERROR(MATCH(Q1691,'CARNET DE SOUDURE'!$AW$7:$AW$3006,0),""))</f>
        <v>1685</v>
      </c>
      <c r="Q1691" s="82" t="str">
        <f aca="false">IF(C1691="","",B1691&amp;"|"&amp;C1691)</f>
        <v>MFD-ISW → MFD-CPF|DJ°175</v>
      </c>
    </row>
    <row r="1692" customFormat="false" ht="74.6" hidden="false" customHeight="false" outlineLevel="0" collapsed="false">
      <c r="A1692" s="82" t="n">
        <f aca="false">IF(C1692="","",ROW()-6)</f>
        <v>1686</v>
      </c>
      <c r="B1692" s="80" t="s">
        <v>110</v>
      </c>
      <c r="C1692" s="113" t="s">
        <v>2054</v>
      </c>
      <c r="D1692" s="82" t="str">
        <f aca="false">IF(OR(C1692="",P1692=""),"",INDEX('CARNET DE SOUDURE'!$D$7:$D$3006,P1692)&amp;"")</f>
        <v>15</v>
      </c>
      <c r="E1692" s="114" t="n">
        <f aca="false">IF(OR(C1692="",P1692=""),"",IF(INDEX('CARNET DE SOUDURE'!$U$7:$U$3006,P1692)="","",INDEX('CARNET DE SOUDURE'!$U$7:$U$3006,P1692)))</f>
        <v>46273</v>
      </c>
      <c r="F1692" s="82" t="str">
        <f aca="false">IF(OR(C1692="",P1692=""),"",INDEX('CARNET DE SOUDURE'!$AP$7:$AP$3006,P1692))</f>
        <v>A</v>
      </c>
      <c r="G1692" s="82" t="str">
        <f aca="false">IF(C1692="","",IF(P1692="","NJ INCONNU",INDEX('CARNET DE SOUDURE'!$AQ$7:$AQ$3006,P1692)))</f>
        <v>ACCEPTÉ</v>
      </c>
      <c r="H1692" s="82" t="str">
        <f aca="false">IF(C1692="","",IF(G1692="ACCEPTÉ","OUI","NON"))</f>
        <v>OUI</v>
      </c>
      <c r="I1692" s="83"/>
      <c r="J1692" s="80"/>
      <c r="K1692" s="81"/>
      <c r="L1692" s="81"/>
      <c r="M1692" s="81"/>
      <c r="N1692" s="84" t="str">
        <f aca="false">IF(C1692="","",IF(P1692="","NJ INCONNU",IF(I1692="",IF(H1692="OUI","À ENROBER",IF(G1692="À SOUDER","NON SOUDÉ","EN ATTENTE RT")),IF(L1692="R","À REPRENDRE",IF(H1692&lt;&gt;"OUI","⚠ ENROBÉ AVANT ACCEPTATION RT","ENROBÉ")))))</f>
        <v>À ENROBER</v>
      </c>
      <c r="O1692" s="80"/>
      <c r="P1692" s="82" t="n">
        <f aca="false">IF(C1692="","",IFERROR(MATCH(Q1692,'CARNET DE SOUDURE'!$AW$7:$AW$3006,0),""))</f>
        <v>1686</v>
      </c>
      <c r="Q1692" s="82" t="str">
        <f aca="false">IF(C1692="","",B1692&amp;"|"&amp;C1692)</f>
        <v>MFD-ISW → MFD-CPF|JN°1360</v>
      </c>
    </row>
    <row r="1693" customFormat="false" ht="74.6" hidden="false" customHeight="false" outlineLevel="0" collapsed="false">
      <c r="A1693" s="82" t="n">
        <f aca="false">IF(C1693="","",ROW()-6)</f>
        <v>1687</v>
      </c>
      <c r="B1693" s="80" t="s">
        <v>110</v>
      </c>
      <c r="C1693" s="113" t="s">
        <v>2055</v>
      </c>
      <c r="D1693" s="82" t="str">
        <f aca="false">IF(OR(C1693="",P1693=""),"",INDEX('CARNET DE SOUDURE'!$D$7:$D$3006,P1693)&amp;"")</f>
        <v>15</v>
      </c>
      <c r="E1693" s="114" t="n">
        <f aca="false">IF(OR(C1693="",P1693=""),"",IF(INDEX('CARNET DE SOUDURE'!$U$7:$U$3006,P1693)="","",INDEX('CARNET DE SOUDURE'!$U$7:$U$3006,P1693)))</f>
        <v>46263</v>
      </c>
      <c r="F1693" s="82" t="str">
        <f aca="false">IF(OR(C1693="",P1693=""),"",INDEX('CARNET DE SOUDURE'!$AP$7:$AP$3006,P1693))</f>
        <v>A</v>
      </c>
      <c r="G1693" s="82" t="str">
        <f aca="false">IF(C1693="","",IF(P1693="","NJ INCONNU",INDEX('CARNET DE SOUDURE'!$AQ$7:$AQ$3006,P1693)))</f>
        <v>ACCEPTÉ</v>
      </c>
      <c r="H1693" s="82" t="str">
        <f aca="false">IF(C1693="","",IF(G1693="ACCEPTÉ","OUI","NON"))</f>
        <v>OUI</v>
      </c>
      <c r="I1693" s="83"/>
      <c r="J1693" s="80"/>
      <c r="K1693" s="81"/>
      <c r="L1693" s="81"/>
      <c r="M1693" s="81"/>
      <c r="N1693" s="84" t="str">
        <f aca="false">IF(C1693="","",IF(P1693="","NJ INCONNU",IF(I1693="",IF(H1693="OUI","À ENROBER",IF(G1693="À SOUDER","NON SOUDÉ","EN ATTENTE RT")),IF(L1693="R","À REPRENDRE",IF(H1693&lt;&gt;"OUI","⚠ ENROBÉ AVANT ACCEPTATION RT","ENROBÉ")))))</f>
        <v>À ENROBER</v>
      </c>
      <c r="O1693" s="80"/>
      <c r="P1693" s="82" t="n">
        <f aca="false">IF(C1693="","",IFERROR(MATCH(Q1693,'CARNET DE SOUDURE'!$AW$7:$AW$3006,0),""))</f>
        <v>1687</v>
      </c>
      <c r="Q1693" s="82" t="str">
        <f aca="false">IF(C1693="","",B1693&amp;"|"&amp;C1693)</f>
        <v>MFD-ISW → MFD-CPF|DJ°188</v>
      </c>
    </row>
    <row r="1694" customFormat="false" ht="74.6" hidden="false" customHeight="false" outlineLevel="0" collapsed="false">
      <c r="A1694" s="82" t="n">
        <f aca="false">IF(C1694="","",ROW()-6)</f>
        <v>1688</v>
      </c>
      <c r="B1694" s="80" t="s">
        <v>110</v>
      </c>
      <c r="C1694" s="113" t="s">
        <v>2056</v>
      </c>
      <c r="D1694" s="82" t="str">
        <f aca="false">IF(OR(C1694="",P1694=""),"",INDEX('CARNET DE SOUDURE'!$D$7:$D$3006,P1694)&amp;"")</f>
        <v>15</v>
      </c>
      <c r="E1694" s="114" t="n">
        <f aca="false">IF(OR(C1694="",P1694=""),"",IF(INDEX('CARNET DE SOUDURE'!$U$7:$U$3006,P1694)="","",INDEX('CARNET DE SOUDURE'!$U$7:$U$3006,P1694)))</f>
        <v>46273</v>
      </c>
      <c r="F1694" s="82" t="str">
        <f aca="false">IF(OR(C1694="",P1694=""),"",INDEX('CARNET DE SOUDURE'!$AP$7:$AP$3006,P1694))</f>
        <v>A</v>
      </c>
      <c r="G1694" s="82" t="str">
        <f aca="false">IF(C1694="","",IF(P1694="","NJ INCONNU",INDEX('CARNET DE SOUDURE'!$AQ$7:$AQ$3006,P1694)))</f>
        <v>ACCEPTÉ</v>
      </c>
      <c r="H1694" s="82" t="str">
        <f aca="false">IF(C1694="","",IF(G1694="ACCEPTÉ","OUI","NON"))</f>
        <v>OUI</v>
      </c>
      <c r="I1694" s="83"/>
      <c r="J1694" s="80"/>
      <c r="K1694" s="81"/>
      <c r="L1694" s="81"/>
      <c r="M1694" s="81"/>
      <c r="N1694" s="84" t="str">
        <f aca="false">IF(C1694="","",IF(P1694="","NJ INCONNU",IF(I1694="",IF(H1694="OUI","À ENROBER",IF(G1694="À SOUDER","NON SOUDÉ","EN ATTENTE RT")),IF(L1694="R","À REPRENDRE",IF(H1694&lt;&gt;"OUI","⚠ ENROBÉ AVANT ACCEPTATION RT","ENROBÉ")))))</f>
        <v>À ENROBER</v>
      </c>
      <c r="O1694" s="80"/>
      <c r="P1694" s="82" t="n">
        <f aca="false">IF(C1694="","",IFERROR(MATCH(Q1694,'CARNET DE SOUDURE'!$AW$7:$AW$3006,0),""))</f>
        <v>1688</v>
      </c>
      <c r="Q1694" s="82" t="str">
        <f aca="false">IF(C1694="","",B1694&amp;"|"&amp;C1694)</f>
        <v>MFD-ISW → MFD-CPF|JN°1361</v>
      </c>
    </row>
    <row r="1695" customFormat="false" ht="74.6" hidden="false" customHeight="false" outlineLevel="0" collapsed="false">
      <c r="A1695" s="82" t="n">
        <f aca="false">IF(C1695="","",ROW()-6)</f>
        <v>1689</v>
      </c>
      <c r="B1695" s="80" t="s">
        <v>110</v>
      </c>
      <c r="C1695" s="113" t="s">
        <v>2057</v>
      </c>
      <c r="D1695" s="82" t="str">
        <f aca="false">IF(OR(C1695="",P1695=""),"",INDEX('CARNET DE SOUDURE'!$D$7:$D$3006,P1695)&amp;"")</f>
        <v>15</v>
      </c>
      <c r="E1695" s="114" t="n">
        <f aca="false">IF(OR(C1695="",P1695=""),"",IF(INDEX('CARNET DE SOUDURE'!$U$7:$U$3006,P1695)="","",INDEX('CARNET DE SOUDURE'!$U$7:$U$3006,P1695)))</f>
        <v>46263</v>
      </c>
      <c r="F1695" s="82" t="str">
        <f aca="false">IF(OR(C1695="",P1695=""),"",INDEX('CARNET DE SOUDURE'!$AP$7:$AP$3006,P1695))</f>
        <v>A</v>
      </c>
      <c r="G1695" s="82" t="str">
        <f aca="false">IF(C1695="","",IF(P1695="","NJ INCONNU",INDEX('CARNET DE SOUDURE'!$AQ$7:$AQ$3006,P1695)))</f>
        <v>ACCEPTÉ</v>
      </c>
      <c r="H1695" s="82" t="str">
        <f aca="false">IF(C1695="","",IF(G1695="ACCEPTÉ","OUI","NON"))</f>
        <v>OUI</v>
      </c>
      <c r="I1695" s="83"/>
      <c r="J1695" s="80"/>
      <c r="K1695" s="81"/>
      <c r="L1695" s="81"/>
      <c r="M1695" s="81"/>
      <c r="N1695" s="84" t="str">
        <f aca="false">IF(C1695="","",IF(P1695="","NJ INCONNU",IF(I1695="",IF(H1695="OUI","À ENROBER",IF(G1695="À SOUDER","NON SOUDÉ","EN ATTENTE RT")),IF(L1695="R","À REPRENDRE",IF(H1695&lt;&gt;"OUI","⚠ ENROBÉ AVANT ACCEPTATION RT","ENROBÉ")))))</f>
        <v>À ENROBER</v>
      </c>
      <c r="O1695" s="80"/>
      <c r="P1695" s="82" t="n">
        <f aca="false">IF(C1695="","",IFERROR(MATCH(Q1695,'CARNET DE SOUDURE'!$AW$7:$AW$3006,0),""))</f>
        <v>1689</v>
      </c>
      <c r="Q1695" s="82" t="str">
        <f aca="false">IF(C1695="","",B1695&amp;"|"&amp;C1695)</f>
        <v>MFD-ISW → MFD-CPF|DJ°195</v>
      </c>
    </row>
    <row r="1696" customFormat="false" ht="74.6" hidden="false" customHeight="false" outlineLevel="0" collapsed="false">
      <c r="A1696" s="82" t="n">
        <f aca="false">IF(C1696="","",ROW()-6)</f>
        <v>1690</v>
      </c>
      <c r="B1696" s="80" t="s">
        <v>110</v>
      </c>
      <c r="C1696" s="113" t="s">
        <v>2058</v>
      </c>
      <c r="D1696" s="82" t="str">
        <f aca="false">IF(OR(C1696="",P1696=""),"",INDEX('CARNET DE SOUDURE'!$D$7:$D$3006,P1696)&amp;"")</f>
        <v>15</v>
      </c>
      <c r="E1696" s="114" t="n">
        <f aca="false">IF(OR(C1696="",P1696=""),"",IF(INDEX('CARNET DE SOUDURE'!$U$7:$U$3006,P1696)="","",INDEX('CARNET DE SOUDURE'!$U$7:$U$3006,P1696)))</f>
        <v>46273</v>
      </c>
      <c r="F1696" s="82" t="str">
        <f aca="false">IF(OR(C1696="",P1696=""),"",INDEX('CARNET DE SOUDURE'!$AP$7:$AP$3006,P1696))</f>
        <v>A</v>
      </c>
      <c r="G1696" s="82" t="str">
        <f aca="false">IF(C1696="","",IF(P1696="","NJ INCONNU",INDEX('CARNET DE SOUDURE'!$AQ$7:$AQ$3006,P1696)))</f>
        <v>ACCEPTÉ</v>
      </c>
      <c r="H1696" s="82" t="str">
        <f aca="false">IF(C1696="","",IF(G1696="ACCEPTÉ","OUI","NON"))</f>
        <v>OUI</v>
      </c>
      <c r="I1696" s="83"/>
      <c r="J1696" s="80"/>
      <c r="K1696" s="81"/>
      <c r="L1696" s="81"/>
      <c r="M1696" s="81"/>
      <c r="N1696" s="84" t="str">
        <f aca="false">IF(C1696="","",IF(P1696="","NJ INCONNU",IF(I1696="",IF(H1696="OUI","À ENROBER",IF(G1696="À SOUDER","NON SOUDÉ","EN ATTENTE RT")),IF(L1696="R","À REPRENDRE",IF(H1696&lt;&gt;"OUI","⚠ ENROBÉ AVANT ACCEPTATION RT","ENROBÉ")))))</f>
        <v>À ENROBER</v>
      </c>
      <c r="O1696" s="80"/>
      <c r="P1696" s="82" t="n">
        <f aca="false">IF(C1696="","",IFERROR(MATCH(Q1696,'CARNET DE SOUDURE'!$AW$7:$AW$3006,0),""))</f>
        <v>1690</v>
      </c>
      <c r="Q1696" s="82" t="str">
        <f aca="false">IF(C1696="","",B1696&amp;"|"&amp;C1696)</f>
        <v>MFD-ISW → MFD-CPF|JN°1362</v>
      </c>
    </row>
    <row r="1697" customFormat="false" ht="74.6" hidden="false" customHeight="false" outlineLevel="0" collapsed="false">
      <c r="A1697" s="82" t="n">
        <f aca="false">IF(C1697="","",ROW()-6)</f>
        <v>1691</v>
      </c>
      <c r="B1697" s="80" t="s">
        <v>110</v>
      </c>
      <c r="C1697" s="113" t="s">
        <v>2059</v>
      </c>
      <c r="D1697" s="82" t="str">
        <f aca="false">IF(OR(C1697="",P1697=""),"",INDEX('CARNET DE SOUDURE'!$D$7:$D$3006,P1697)&amp;"")</f>
        <v>15</v>
      </c>
      <c r="E1697" s="114" t="n">
        <f aca="false">IF(OR(C1697="",P1697=""),"",IF(INDEX('CARNET DE SOUDURE'!$U$7:$U$3006,P1697)="","",INDEX('CARNET DE SOUDURE'!$U$7:$U$3006,P1697)))</f>
        <v>46263</v>
      </c>
      <c r="F1697" s="82" t="str">
        <f aca="false">IF(OR(C1697="",P1697=""),"",INDEX('CARNET DE SOUDURE'!$AP$7:$AP$3006,P1697))</f>
        <v>A</v>
      </c>
      <c r="G1697" s="82" t="str">
        <f aca="false">IF(C1697="","",IF(P1697="","NJ INCONNU",INDEX('CARNET DE SOUDURE'!$AQ$7:$AQ$3006,P1697)))</f>
        <v>ACCEPTÉ</v>
      </c>
      <c r="H1697" s="82" t="str">
        <f aca="false">IF(C1697="","",IF(G1697="ACCEPTÉ","OUI","NON"))</f>
        <v>OUI</v>
      </c>
      <c r="I1697" s="83"/>
      <c r="J1697" s="80"/>
      <c r="K1697" s="81"/>
      <c r="L1697" s="81"/>
      <c r="M1697" s="81"/>
      <c r="N1697" s="84" t="str">
        <f aca="false">IF(C1697="","",IF(P1697="","NJ INCONNU",IF(I1697="",IF(H1697="OUI","À ENROBER",IF(G1697="À SOUDER","NON SOUDÉ","EN ATTENTE RT")),IF(L1697="R","À REPRENDRE",IF(H1697&lt;&gt;"OUI","⚠ ENROBÉ AVANT ACCEPTATION RT","ENROBÉ")))))</f>
        <v>À ENROBER</v>
      </c>
      <c r="O1697" s="80"/>
      <c r="P1697" s="82" t="n">
        <f aca="false">IF(C1697="","",IFERROR(MATCH(Q1697,'CARNET DE SOUDURE'!$AW$7:$AW$3006,0),""))</f>
        <v>1691</v>
      </c>
      <c r="Q1697" s="82" t="str">
        <f aca="false">IF(C1697="","",B1697&amp;"|"&amp;C1697)</f>
        <v>MFD-ISW → MFD-CPF|DJ°186</v>
      </c>
    </row>
    <row r="1698" customFormat="false" ht="74.6" hidden="false" customHeight="false" outlineLevel="0" collapsed="false">
      <c r="A1698" s="82" t="n">
        <f aca="false">IF(C1698="","",ROW()-6)</f>
        <v>1692</v>
      </c>
      <c r="B1698" s="80" t="s">
        <v>110</v>
      </c>
      <c r="C1698" s="113" t="s">
        <v>2060</v>
      </c>
      <c r="D1698" s="82" t="str">
        <f aca="false">IF(OR(C1698="",P1698=""),"",INDEX('CARNET DE SOUDURE'!$D$7:$D$3006,P1698)&amp;"")</f>
        <v>15</v>
      </c>
      <c r="E1698" s="114" t="n">
        <f aca="false">IF(OR(C1698="",P1698=""),"",IF(INDEX('CARNET DE SOUDURE'!$U$7:$U$3006,P1698)="","",INDEX('CARNET DE SOUDURE'!$U$7:$U$3006,P1698)))</f>
        <v>46273</v>
      </c>
      <c r="F1698" s="82" t="str">
        <f aca="false">IF(OR(C1698="",P1698=""),"",INDEX('CARNET DE SOUDURE'!$AP$7:$AP$3006,P1698))</f>
        <v>R</v>
      </c>
      <c r="G1698" s="82" t="str">
        <f aca="false">IF(C1698="","",IF(P1698="","NJ INCONNU",INDEX('CARNET DE SOUDURE'!$AQ$7:$AQ$3006,P1698)))</f>
        <v>À RÉPARER</v>
      </c>
      <c r="H1698" s="82" t="str">
        <f aca="false">IF(C1698="","",IF(G1698="ACCEPTÉ","OUI","NON"))</f>
        <v>NON</v>
      </c>
      <c r="I1698" s="83"/>
      <c r="J1698" s="80"/>
      <c r="K1698" s="81"/>
      <c r="L1698" s="81"/>
      <c r="M1698" s="81"/>
      <c r="N1698" s="84" t="str">
        <f aca="false">IF(C1698="","",IF(P1698="","NJ INCONNU",IF(I1698="",IF(H1698="OUI","À ENROBER",IF(G1698="À SOUDER","NON SOUDÉ","EN ATTENTE RT")),IF(L1698="R","À REPRENDRE",IF(H1698&lt;&gt;"OUI","⚠ ENROBÉ AVANT ACCEPTATION RT","ENROBÉ")))))</f>
        <v>EN ATTENTE RT</v>
      </c>
      <c r="O1698" s="80"/>
      <c r="P1698" s="82" t="n">
        <f aca="false">IF(C1698="","",IFERROR(MATCH(Q1698,'CARNET DE SOUDURE'!$AW$7:$AW$3006,0),""))</f>
        <v>1692</v>
      </c>
      <c r="Q1698" s="82" t="str">
        <f aca="false">IF(C1698="","",B1698&amp;"|"&amp;C1698)</f>
        <v>MFD-ISW → MFD-CPF|JN°1363</v>
      </c>
    </row>
    <row r="1699" customFormat="false" ht="74.6" hidden="false" customHeight="false" outlineLevel="0" collapsed="false">
      <c r="A1699" s="82" t="n">
        <f aca="false">IF(C1699="","",ROW()-6)</f>
        <v>1693</v>
      </c>
      <c r="B1699" s="80" t="s">
        <v>110</v>
      </c>
      <c r="C1699" s="113" t="s">
        <v>2062</v>
      </c>
      <c r="D1699" s="82" t="str">
        <f aca="false">IF(OR(C1699="",P1699=""),"",INDEX('CARNET DE SOUDURE'!$D$7:$D$3006,P1699)&amp;"")</f>
        <v>15</v>
      </c>
      <c r="E1699" s="114" t="n">
        <f aca="false">IF(OR(C1699="",P1699=""),"",IF(INDEX('CARNET DE SOUDURE'!$U$7:$U$3006,P1699)="","",INDEX('CARNET DE SOUDURE'!$U$7:$U$3006,P1699)))</f>
        <v>46263</v>
      </c>
      <c r="F1699" s="82" t="str">
        <f aca="false">IF(OR(C1699="",P1699=""),"",INDEX('CARNET DE SOUDURE'!$AP$7:$AP$3006,P1699))</f>
        <v>A</v>
      </c>
      <c r="G1699" s="82" t="str">
        <f aca="false">IF(C1699="","",IF(P1699="","NJ INCONNU",INDEX('CARNET DE SOUDURE'!$AQ$7:$AQ$3006,P1699)))</f>
        <v>ACCEPTÉ</v>
      </c>
      <c r="H1699" s="82" t="str">
        <f aca="false">IF(C1699="","",IF(G1699="ACCEPTÉ","OUI","NON"))</f>
        <v>OUI</v>
      </c>
      <c r="I1699" s="83"/>
      <c r="J1699" s="80"/>
      <c r="K1699" s="81"/>
      <c r="L1699" s="81"/>
      <c r="M1699" s="81"/>
      <c r="N1699" s="84" t="str">
        <f aca="false">IF(C1699="","",IF(P1699="","NJ INCONNU",IF(I1699="",IF(H1699="OUI","À ENROBER",IF(G1699="À SOUDER","NON SOUDÉ","EN ATTENTE RT")),IF(L1699="R","À REPRENDRE",IF(H1699&lt;&gt;"OUI","⚠ ENROBÉ AVANT ACCEPTATION RT","ENROBÉ")))))</f>
        <v>À ENROBER</v>
      </c>
      <c r="O1699" s="80"/>
      <c r="P1699" s="82" t="n">
        <f aca="false">IF(C1699="","",IFERROR(MATCH(Q1699,'CARNET DE SOUDURE'!$AW$7:$AW$3006,0),""))</f>
        <v>1693</v>
      </c>
      <c r="Q1699" s="82" t="str">
        <f aca="false">IF(C1699="","",B1699&amp;"|"&amp;C1699)</f>
        <v>MFD-ISW → MFD-CPF|DJ°185</v>
      </c>
    </row>
    <row r="1700" customFormat="false" ht="74.6" hidden="false" customHeight="false" outlineLevel="0" collapsed="false">
      <c r="A1700" s="82" t="n">
        <f aca="false">IF(C1700="","",ROW()-6)</f>
        <v>1694</v>
      </c>
      <c r="B1700" s="80" t="s">
        <v>110</v>
      </c>
      <c r="C1700" s="113" t="s">
        <v>2063</v>
      </c>
      <c r="D1700" s="82" t="str">
        <f aca="false">IF(OR(C1700="",P1700=""),"",INDEX('CARNET DE SOUDURE'!$D$7:$D$3006,P1700)&amp;"")</f>
        <v>15</v>
      </c>
      <c r="E1700" s="114" t="n">
        <f aca="false">IF(OR(C1700="",P1700=""),"",IF(INDEX('CARNET DE SOUDURE'!$U$7:$U$3006,P1700)="","",INDEX('CARNET DE SOUDURE'!$U$7:$U$3006,P1700)))</f>
        <v>46273</v>
      </c>
      <c r="F1700" s="82" t="str">
        <f aca="false">IF(OR(C1700="",P1700=""),"",INDEX('CARNET DE SOUDURE'!$AP$7:$AP$3006,P1700))</f>
        <v>R</v>
      </c>
      <c r="G1700" s="82" t="str">
        <f aca="false">IF(C1700="","",IF(P1700="","NJ INCONNU",INDEX('CARNET DE SOUDURE'!$AQ$7:$AQ$3006,P1700)))</f>
        <v>À RÉPARER</v>
      </c>
      <c r="H1700" s="82" t="str">
        <f aca="false">IF(C1700="","",IF(G1700="ACCEPTÉ","OUI","NON"))</f>
        <v>NON</v>
      </c>
      <c r="I1700" s="83"/>
      <c r="J1700" s="80"/>
      <c r="K1700" s="81"/>
      <c r="L1700" s="81"/>
      <c r="M1700" s="81"/>
      <c r="N1700" s="84" t="str">
        <f aca="false">IF(C1700="","",IF(P1700="","NJ INCONNU",IF(I1700="",IF(H1700="OUI","À ENROBER",IF(G1700="À SOUDER","NON SOUDÉ","EN ATTENTE RT")),IF(L1700="R","À REPRENDRE",IF(H1700&lt;&gt;"OUI","⚠ ENROBÉ AVANT ACCEPTATION RT","ENROBÉ")))))</f>
        <v>EN ATTENTE RT</v>
      </c>
      <c r="O1700" s="80"/>
      <c r="P1700" s="82" t="n">
        <f aca="false">IF(C1700="","",IFERROR(MATCH(Q1700,'CARNET DE SOUDURE'!$AW$7:$AW$3006,0),""))</f>
        <v>1694</v>
      </c>
      <c r="Q1700" s="82" t="str">
        <f aca="false">IF(C1700="","",B1700&amp;"|"&amp;C1700)</f>
        <v>MFD-ISW → MFD-CPF|JN°1364</v>
      </c>
    </row>
    <row r="1701" customFormat="false" ht="74.6" hidden="false" customHeight="false" outlineLevel="0" collapsed="false">
      <c r="A1701" s="82" t="n">
        <f aca="false">IF(C1701="","",ROW()-6)</f>
        <v>1695</v>
      </c>
      <c r="B1701" s="80" t="s">
        <v>110</v>
      </c>
      <c r="C1701" s="113" t="s">
        <v>2065</v>
      </c>
      <c r="D1701" s="82" t="str">
        <f aca="false">IF(OR(C1701="",P1701=""),"",INDEX('CARNET DE SOUDURE'!$D$7:$D$3006,P1701)&amp;"")</f>
        <v>15</v>
      </c>
      <c r="E1701" s="114" t="n">
        <f aca="false">IF(OR(C1701="",P1701=""),"",IF(INDEX('CARNET DE SOUDURE'!$U$7:$U$3006,P1701)="","",INDEX('CARNET DE SOUDURE'!$U$7:$U$3006,P1701)))</f>
        <v>46263</v>
      </c>
      <c r="F1701" s="82" t="str">
        <f aca="false">IF(OR(C1701="",P1701=""),"",INDEX('CARNET DE SOUDURE'!$AP$7:$AP$3006,P1701))</f>
        <v>A</v>
      </c>
      <c r="G1701" s="82" t="str">
        <f aca="false">IF(C1701="","",IF(P1701="","NJ INCONNU",INDEX('CARNET DE SOUDURE'!$AQ$7:$AQ$3006,P1701)))</f>
        <v>ACCEPTÉ</v>
      </c>
      <c r="H1701" s="82" t="str">
        <f aca="false">IF(C1701="","",IF(G1701="ACCEPTÉ","OUI","NON"))</f>
        <v>OUI</v>
      </c>
      <c r="I1701" s="83"/>
      <c r="J1701" s="80"/>
      <c r="K1701" s="81"/>
      <c r="L1701" s="81"/>
      <c r="M1701" s="81"/>
      <c r="N1701" s="84" t="str">
        <f aca="false">IF(C1701="","",IF(P1701="","NJ INCONNU",IF(I1701="",IF(H1701="OUI","À ENROBER",IF(G1701="À SOUDER","NON SOUDÉ","EN ATTENTE RT")),IF(L1701="R","À REPRENDRE",IF(H1701&lt;&gt;"OUI","⚠ ENROBÉ AVANT ACCEPTATION RT","ENROBÉ")))))</f>
        <v>À ENROBER</v>
      </c>
      <c r="O1701" s="80"/>
      <c r="P1701" s="82" t="n">
        <f aca="false">IF(C1701="","",IFERROR(MATCH(Q1701,'CARNET DE SOUDURE'!$AW$7:$AW$3006,0),""))</f>
        <v>1695</v>
      </c>
      <c r="Q1701" s="82" t="str">
        <f aca="false">IF(C1701="","",B1701&amp;"|"&amp;C1701)</f>
        <v>MFD-ISW → MFD-CPF|DJ°190</v>
      </c>
    </row>
    <row r="1702" customFormat="false" ht="74.6" hidden="false" customHeight="false" outlineLevel="0" collapsed="false">
      <c r="A1702" s="82" t="n">
        <f aca="false">IF(C1702="","",ROW()-6)</f>
        <v>1696</v>
      </c>
      <c r="B1702" s="80" t="s">
        <v>110</v>
      </c>
      <c r="C1702" s="113" t="s">
        <v>2066</v>
      </c>
      <c r="D1702" s="82" t="str">
        <f aca="false">IF(OR(C1702="",P1702=""),"",INDEX('CARNET DE SOUDURE'!$D$7:$D$3006,P1702)&amp;"")</f>
        <v>15</v>
      </c>
      <c r="E1702" s="114" t="n">
        <f aca="false">IF(OR(C1702="",P1702=""),"",IF(INDEX('CARNET DE SOUDURE'!$U$7:$U$3006,P1702)="","",INDEX('CARNET DE SOUDURE'!$U$7:$U$3006,P1702)))</f>
        <v>46273</v>
      </c>
      <c r="F1702" s="82" t="str">
        <f aca="false">IF(OR(C1702="",P1702=""),"",INDEX('CARNET DE SOUDURE'!$AP$7:$AP$3006,P1702))</f>
        <v>A</v>
      </c>
      <c r="G1702" s="82" t="str">
        <f aca="false">IF(C1702="","",IF(P1702="","NJ INCONNU",INDEX('CARNET DE SOUDURE'!$AQ$7:$AQ$3006,P1702)))</f>
        <v>ACCEPTÉ</v>
      </c>
      <c r="H1702" s="82" t="str">
        <f aca="false">IF(C1702="","",IF(G1702="ACCEPTÉ","OUI","NON"))</f>
        <v>OUI</v>
      </c>
      <c r="I1702" s="83"/>
      <c r="J1702" s="80"/>
      <c r="K1702" s="81"/>
      <c r="L1702" s="81"/>
      <c r="M1702" s="81"/>
      <c r="N1702" s="84" t="str">
        <f aca="false">IF(C1702="","",IF(P1702="","NJ INCONNU",IF(I1702="",IF(H1702="OUI","À ENROBER",IF(G1702="À SOUDER","NON SOUDÉ","EN ATTENTE RT")),IF(L1702="R","À REPRENDRE",IF(H1702&lt;&gt;"OUI","⚠ ENROBÉ AVANT ACCEPTATION RT","ENROBÉ")))))</f>
        <v>À ENROBER</v>
      </c>
      <c r="O1702" s="80"/>
      <c r="P1702" s="82" t="n">
        <f aca="false">IF(C1702="","",IFERROR(MATCH(Q1702,'CARNET DE SOUDURE'!$AW$7:$AW$3006,0),""))</f>
        <v>1696</v>
      </c>
      <c r="Q1702" s="82" t="str">
        <f aca="false">IF(C1702="","",B1702&amp;"|"&amp;C1702)</f>
        <v>MFD-ISW → MFD-CPF|JN°1365</v>
      </c>
    </row>
    <row r="1703" customFormat="false" ht="74.6" hidden="false" customHeight="false" outlineLevel="0" collapsed="false">
      <c r="A1703" s="82" t="n">
        <f aca="false">IF(C1703="","",ROW()-6)</f>
        <v>1697</v>
      </c>
      <c r="B1703" s="80" t="s">
        <v>110</v>
      </c>
      <c r="C1703" s="113" t="s">
        <v>2067</v>
      </c>
      <c r="D1703" s="82" t="str">
        <f aca="false">IF(OR(C1703="",P1703=""),"",INDEX('CARNET DE SOUDURE'!$D$7:$D$3006,P1703)&amp;"")</f>
        <v>15</v>
      </c>
      <c r="E1703" s="114" t="n">
        <f aca="false">IF(OR(C1703="",P1703=""),"",IF(INDEX('CARNET DE SOUDURE'!$U$7:$U$3006,P1703)="","",INDEX('CARNET DE SOUDURE'!$U$7:$U$3006,P1703)))</f>
        <v>46263</v>
      </c>
      <c r="F1703" s="82" t="str">
        <f aca="false">IF(OR(C1703="",P1703=""),"",INDEX('CARNET DE SOUDURE'!$AP$7:$AP$3006,P1703))</f>
        <v>A</v>
      </c>
      <c r="G1703" s="82" t="str">
        <f aca="false">IF(C1703="","",IF(P1703="","NJ INCONNU",INDEX('CARNET DE SOUDURE'!$AQ$7:$AQ$3006,P1703)))</f>
        <v>ACCEPTÉ</v>
      </c>
      <c r="H1703" s="82" t="str">
        <f aca="false">IF(C1703="","",IF(G1703="ACCEPTÉ","OUI","NON"))</f>
        <v>OUI</v>
      </c>
      <c r="I1703" s="83"/>
      <c r="J1703" s="80"/>
      <c r="K1703" s="81"/>
      <c r="L1703" s="81"/>
      <c r="M1703" s="81"/>
      <c r="N1703" s="84" t="str">
        <f aca="false">IF(C1703="","",IF(P1703="","NJ INCONNU",IF(I1703="",IF(H1703="OUI","À ENROBER",IF(G1703="À SOUDER","NON SOUDÉ","EN ATTENTE RT")),IF(L1703="R","À REPRENDRE",IF(H1703&lt;&gt;"OUI","⚠ ENROBÉ AVANT ACCEPTATION RT","ENROBÉ")))))</f>
        <v>À ENROBER</v>
      </c>
      <c r="O1703" s="80"/>
      <c r="P1703" s="82" t="n">
        <f aca="false">IF(C1703="","",IFERROR(MATCH(Q1703,'CARNET DE SOUDURE'!$AW$7:$AW$3006,0),""))</f>
        <v>1697</v>
      </c>
      <c r="Q1703" s="82" t="str">
        <f aca="false">IF(C1703="","",B1703&amp;"|"&amp;C1703)</f>
        <v>MFD-ISW → MFD-CPF|DJ°191</v>
      </c>
    </row>
    <row r="1704" customFormat="false" ht="74.6" hidden="false" customHeight="false" outlineLevel="0" collapsed="false">
      <c r="A1704" s="82" t="n">
        <f aca="false">IF(C1704="","",ROW()-6)</f>
        <v>1698</v>
      </c>
      <c r="B1704" s="80" t="s">
        <v>110</v>
      </c>
      <c r="C1704" s="113" t="s">
        <v>2068</v>
      </c>
      <c r="D1704" s="82" t="str">
        <f aca="false">IF(OR(C1704="",P1704=""),"",INDEX('CARNET DE SOUDURE'!$D$7:$D$3006,P1704)&amp;"")</f>
        <v>15</v>
      </c>
      <c r="E1704" s="114" t="n">
        <f aca="false">IF(OR(C1704="",P1704=""),"",IF(INDEX('CARNET DE SOUDURE'!$U$7:$U$3006,P1704)="","",INDEX('CARNET DE SOUDURE'!$U$7:$U$3006,P1704)))</f>
        <v>46273</v>
      </c>
      <c r="F1704" s="82" t="str">
        <f aca="false">IF(OR(C1704="",P1704=""),"",INDEX('CARNET DE SOUDURE'!$AP$7:$AP$3006,P1704))</f>
        <v>A</v>
      </c>
      <c r="G1704" s="82" t="str">
        <f aca="false">IF(C1704="","",IF(P1704="","NJ INCONNU",INDEX('CARNET DE SOUDURE'!$AQ$7:$AQ$3006,P1704)))</f>
        <v>ACCEPTÉ</v>
      </c>
      <c r="H1704" s="82" t="str">
        <f aca="false">IF(C1704="","",IF(G1704="ACCEPTÉ","OUI","NON"))</f>
        <v>OUI</v>
      </c>
      <c r="I1704" s="83"/>
      <c r="J1704" s="80"/>
      <c r="K1704" s="81"/>
      <c r="L1704" s="81"/>
      <c r="M1704" s="81"/>
      <c r="N1704" s="84" t="str">
        <f aca="false">IF(C1704="","",IF(P1704="","NJ INCONNU",IF(I1704="",IF(H1704="OUI","À ENROBER",IF(G1704="À SOUDER","NON SOUDÉ","EN ATTENTE RT")),IF(L1704="R","À REPRENDRE",IF(H1704&lt;&gt;"OUI","⚠ ENROBÉ AVANT ACCEPTATION RT","ENROBÉ")))))</f>
        <v>À ENROBER</v>
      </c>
      <c r="O1704" s="80"/>
      <c r="P1704" s="82" t="n">
        <f aca="false">IF(C1704="","",IFERROR(MATCH(Q1704,'CARNET DE SOUDURE'!$AW$7:$AW$3006,0),""))</f>
        <v>1698</v>
      </c>
      <c r="Q1704" s="82" t="str">
        <f aca="false">IF(C1704="","",B1704&amp;"|"&amp;C1704)</f>
        <v>MFD-ISW → MFD-CPF|JN°1366</v>
      </c>
    </row>
    <row r="1705" customFormat="false" ht="74.6" hidden="false" customHeight="false" outlineLevel="0" collapsed="false">
      <c r="A1705" s="82" t="n">
        <f aca="false">IF(C1705="","",ROW()-6)</f>
        <v>1699</v>
      </c>
      <c r="B1705" s="80" t="s">
        <v>110</v>
      </c>
      <c r="C1705" s="113" t="s">
        <v>2069</v>
      </c>
      <c r="D1705" s="82" t="str">
        <f aca="false">IF(OR(C1705="",P1705=""),"",INDEX('CARNET DE SOUDURE'!$D$7:$D$3006,P1705)&amp;"")</f>
        <v>15</v>
      </c>
      <c r="E1705" s="114" t="n">
        <f aca="false">IF(OR(C1705="",P1705=""),"",IF(INDEX('CARNET DE SOUDURE'!$U$7:$U$3006,P1705)="","",INDEX('CARNET DE SOUDURE'!$U$7:$U$3006,P1705)))</f>
        <v>46263</v>
      </c>
      <c r="F1705" s="82" t="str">
        <f aca="false">IF(OR(C1705="",P1705=""),"",INDEX('CARNET DE SOUDURE'!$AP$7:$AP$3006,P1705))</f>
        <v>A</v>
      </c>
      <c r="G1705" s="82" t="str">
        <f aca="false">IF(C1705="","",IF(P1705="","NJ INCONNU",INDEX('CARNET DE SOUDURE'!$AQ$7:$AQ$3006,P1705)))</f>
        <v>ACCEPTÉ</v>
      </c>
      <c r="H1705" s="82" t="str">
        <f aca="false">IF(C1705="","",IF(G1705="ACCEPTÉ","OUI","NON"))</f>
        <v>OUI</v>
      </c>
      <c r="I1705" s="83"/>
      <c r="J1705" s="80"/>
      <c r="K1705" s="81"/>
      <c r="L1705" s="81"/>
      <c r="M1705" s="81"/>
      <c r="N1705" s="84" t="str">
        <f aca="false">IF(C1705="","",IF(P1705="","NJ INCONNU",IF(I1705="",IF(H1705="OUI","À ENROBER",IF(G1705="À SOUDER","NON SOUDÉ","EN ATTENTE RT")),IF(L1705="R","À REPRENDRE",IF(H1705&lt;&gt;"OUI","⚠ ENROBÉ AVANT ACCEPTATION RT","ENROBÉ")))))</f>
        <v>À ENROBER</v>
      </c>
      <c r="O1705" s="80"/>
      <c r="P1705" s="82" t="n">
        <f aca="false">IF(C1705="","",IFERROR(MATCH(Q1705,'CARNET DE SOUDURE'!$AW$7:$AW$3006,0),""))</f>
        <v>1699</v>
      </c>
      <c r="Q1705" s="82" t="str">
        <f aca="false">IF(C1705="","",B1705&amp;"|"&amp;C1705)</f>
        <v>MFD-ISW → MFD-CPF|DJ°192</v>
      </c>
    </row>
    <row r="1706" customFormat="false" ht="74.6" hidden="false" customHeight="false" outlineLevel="0" collapsed="false">
      <c r="A1706" s="82" t="n">
        <f aca="false">IF(C1706="","",ROW()-6)</f>
        <v>1700</v>
      </c>
      <c r="B1706" s="80" t="s">
        <v>110</v>
      </c>
      <c r="C1706" s="113" t="s">
        <v>2070</v>
      </c>
      <c r="D1706" s="82" t="str">
        <f aca="false">IF(OR(C1706="",P1706=""),"",INDEX('CARNET DE SOUDURE'!$D$7:$D$3006,P1706)&amp;"")</f>
        <v>15</v>
      </c>
      <c r="E1706" s="114" t="n">
        <f aca="false">IF(OR(C1706="",P1706=""),"",IF(INDEX('CARNET DE SOUDURE'!$U$7:$U$3006,P1706)="","",INDEX('CARNET DE SOUDURE'!$U$7:$U$3006,P1706)))</f>
        <v>46273</v>
      </c>
      <c r="F1706" s="82" t="str">
        <f aca="false">IF(OR(C1706="",P1706=""),"",INDEX('CARNET DE SOUDURE'!$AP$7:$AP$3006,P1706))</f>
        <v>A</v>
      </c>
      <c r="G1706" s="82" t="str">
        <f aca="false">IF(C1706="","",IF(P1706="","NJ INCONNU",INDEX('CARNET DE SOUDURE'!$AQ$7:$AQ$3006,P1706)))</f>
        <v>ACCEPTÉ</v>
      </c>
      <c r="H1706" s="82" t="str">
        <f aca="false">IF(C1706="","",IF(G1706="ACCEPTÉ","OUI","NON"))</f>
        <v>OUI</v>
      </c>
      <c r="I1706" s="83"/>
      <c r="J1706" s="80"/>
      <c r="K1706" s="81"/>
      <c r="L1706" s="81"/>
      <c r="M1706" s="81"/>
      <c r="N1706" s="84" t="str">
        <f aca="false">IF(C1706="","",IF(P1706="","NJ INCONNU",IF(I1706="",IF(H1706="OUI","À ENROBER",IF(G1706="À SOUDER","NON SOUDÉ","EN ATTENTE RT")),IF(L1706="R","À REPRENDRE",IF(H1706&lt;&gt;"OUI","⚠ ENROBÉ AVANT ACCEPTATION RT","ENROBÉ")))))</f>
        <v>À ENROBER</v>
      </c>
      <c r="O1706" s="80"/>
      <c r="P1706" s="82" t="n">
        <f aca="false">IF(C1706="","",IFERROR(MATCH(Q1706,'CARNET DE SOUDURE'!$AW$7:$AW$3006,0),""))</f>
        <v>1700</v>
      </c>
      <c r="Q1706" s="82" t="str">
        <f aca="false">IF(C1706="","",B1706&amp;"|"&amp;C1706)</f>
        <v>MFD-ISW → MFD-CPF|JN°1367</v>
      </c>
    </row>
    <row r="1707" customFormat="false" ht="74.6" hidden="false" customHeight="false" outlineLevel="0" collapsed="false">
      <c r="A1707" s="82" t="n">
        <f aca="false">IF(C1707="","",ROW()-6)</f>
        <v>1701</v>
      </c>
      <c r="B1707" s="80" t="s">
        <v>110</v>
      </c>
      <c r="C1707" s="113" t="s">
        <v>2071</v>
      </c>
      <c r="D1707" s="82" t="str">
        <f aca="false">IF(OR(C1707="",P1707=""),"",INDEX('CARNET DE SOUDURE'!$D$7:$D$3006,P1707)&amp;"")</f>
        <v>15</v>
      </c>
      <c r="E1707" s="114" t="n">
        <f aca="false">IF(OR(C1707="",P1707=""),"",IF(INDEX('CARNET DE SOUDURE'!$U$7:$U$3006,P1707)="","",INDEX('CARNET DE SOUDURE'!$U$7:$U$3006,P1707)))</f>
        <v>46262</v>
      </c>
      <c r="F1707" s="82" t="str">
        <f aca="false">IF(OR(C1707="",P1707=""),"",INDEX('CARNET DE SOUDURE'!$AP$7:$AP$3006,P1707))</f>
        <v>A</v>
      </c>
      <c r="G1707" s="82" t="str">
        <f aca="false">IF(C1707="","",IF(P1707="","NJ INCONNU",INDEX('CARNET DE SOUDURE'!$AQ$7:$AQ$3006,P1707)))</f>
        <v>ACCEPTÉ</v>
      </c>
      <c r="H1707" s="82" t="str">
        <f aca="false">IF(C1707="","",IF(G1707="ACCEPTÉ","OUI","NON"))</f>
        <v>OUI</v>
      </c>
      <c r="I1707" s="83"/>
      <c r="J1707" s="80"/>
      <c r="K1707" s="81"/>
      <c r="L1707" s="81"/>
      <c r="M1707" s="81"/>
      <c r="N1707" s="84" t="str">
        <f aca="false">IF(C1707="","",IF(P1707="","NJ INCONNU",IF(I1707="",IF(H1707="OUI","À ENROBER",IF(G1707="À SOUDER","NON SOUDÉ","EN ATTENTE RT")),IF(L1707="R","À REPRENDRE",IF(H1707&lt;&gt;"OUI","⚠ ENROBÉ AVANT ACCEPTATION RT","ENROBÉ")))))</f>
        <v>À ENROBER</v>
      </c>
      <c r="O1707" s="80"/>
      <c r="P1707" s="82" t="n">
        <f aca="false">IF(C1707="","",IFERROR(MATCH(Q1707,'CARNET DE SOUDURE'!$AW$7:$AW$3006,0),""))</f>
        <v>1701</v>
      </c>
      <c r="Q1707" s="82" t="str">
        <f aca="false">IF(C1707="","",B1707&amp;"|"&amp;C1707)</f>
        <v>MFD-ISW → MFD-CPF|DJ°184</v>
      </c>
    </row>
    <row r="1708" customFormat="false" ht="74.6" hidden="false" customHeight="false" outlineLevel="0" collapsed="false">
      <c r="A1708" s="82" t="n">
        <f aca="false">IF(C1708="","",ROW()-6)</f>
        <v>1702</v>
      </c>
      <c r="B1708" s="80" t="s">
        <v>110</v>
      </c>
      <c r="C1708" s="113" t="s">
        <v>2072</v>
      </c>
      <c r="D1708" s="82" t="str">
        <f aca="false">IF(OR(C1708="",P1708=""),"",INDEX('CARNET DE SOUDURE'!$D$7:$D$3006,P1708)&amp;"")</f>
        <v>15</v>
      </c>
      <c r="E1708" s="114" t="n">
        <f aca="false">IF(OR(C1708="",P1708=""),"",IF(INDEX('CARNET DE SOUDURE'!$U$7:$U$3006,P1708)="","",INDEX('CARNET DE SOUDURE'!$U$7:$U$3006,P1708)))</f>
        <v>46273</v>
      </c>
      <c r="F1708" s="82" t="str">
        <f aca="false">IF(OR(C1708="",P1708=""),"",INDEX('CARNET DE SOUDURE'!$AP$7:$AP$3006,P1708))</f>
        <v>A</v>
      </c>
      <c r="G1708" s="82" t="str">
        <f aca="false">IF(C1708="","",IF(P1708="","NJ INCONNU",INDEX('CARNET DE SOUDURE'!$AQ$7:$AQ$3006,P1708)))</f>
        <v>ACCEPTÉ</v>
      </c>
      <c r="H1708" s="82" t="str">
        <f aca="false">IF(C1708="","",IF(G1708="ACCEPTÉ","OUI","NON"))</f>
        <v>OUI</v>
      </c>
      <c r="I1708" s="83"/>
      <c r="J1708" s="80"/>
      <c r="K1708" s="81"/>
      <c r="L1708" s="81"/>
      <c r="M1708" s="81"/>
      <c r="N1708" s="84" t="str">
        <f aca="false">IF(C1708="","",IF(P1708="","NJ INCONNU",IF(I1708="",IF(H1708="OUI","À ENROBER",IF(G1708="À SOUDER","NON SOUDÉ","EN ATTENTE RT")),IF(L1708="R","À REPRENDRE",IF(H1708&lt;&gt;"OUI","⚠ ENROBÉ AVANT ACCEPTATION RT","ENROBÉ")))))</f>
        <v>À ENROBER</v>
      </c>
      <c r="O1708" s="80"/>
      <c r="P1708" s="82" t="n">
        <f aca="false">IF(C1708="","",IFERROR(MATCH(Q1708,'CARNET DE SOUDURE'!$AW$7:$AW$3006,0),""))</f>
        <v>1702</v>
      </c>
      <c r="Q1708" s="82" t="str">
        <f aca="false">IF(C1708="","",B1708&amp;"|"&amp;C1708)</f>
        <v>MFD-ISW → MFD-CPF|JN°1368</v>
      </c>
    </row>
    <row r="1709" customFormat="false" ht="74.6" hidden="false" customHeight="false" outlineLevel="0" collapsed="false">
      <c r="A1709" s="82" t="n">
        <f aca="false">IF(C1709="","",ROW()-6)</f>
        <v>1703</v>
      </c>
      <c r="B1709" s="80" t="s">
        <v>110</v>
      </c>
      <c r="C1709" s="113" t="s">
        <v>2073</v>
      </c>
      <c r="D1709" s="82" t="str">
        <f aca="false">IF(OR(C1709="",P1709=""),"",INDEX('CARNET DE SOUDURE'!$D$7:$D$3006,P1709)&amp;"")</f>
        <v>15</v>
      </c>
      <c r="E1709" s="114" t="n">
        <f aca="false">IF(OR(C1709="",P1709=""),"",IF(INDEX('CARNET DE SOUDURE'!$U$7:$U$3006,P1709)="","",INDEX('CARNET DE SOUDURE'!$U$7:$U$3006,P1709)))</f>
        <v>46261</v>
      </c>
      <c r="F1709" s="82" t="str">
        <f aca="false">IF(OR(C1709="",P1709=""),"",INDEX('CARNET DE SOUDURE'!$AP$7:$AP$3006,P1709))</f>
        <v>A</v>
      </c>
      <c r="G1709" s="82" t="str">
        <f aca="false">IF(C1709="","",IF(P1709="","NJ INCONNU",INDEX('CARNET DE SOUDURE'!$AQ$7:$AQ$3006,P1709)))</f>
        <v>ACCEPTÉ</v>
      </c>
      <c r="H1709" s="82" t="str">
        <f aca="false">IF(C1709="","",IF(G1709="ACCEPTÉ","OUI","NON"))</f>
        <v>OUI</v>
      </c>
      <c r="I1709" s="83"/>
      <c r="J1709" s="80"/>
      <c r="K1709" s="81"/>
      <c r="L1709" s="81"/>
      <c r="M1709" s="81"/>
      <c r="N1709" s="84" t="str">
        <f aca="false">IF(C1709="","",IF(P1709="","NJ INCONNU",IF(I1709="",IF(H1709="OUI","À ENROBER",IF(G1709="À SOUDER","NON SOUDÉ","EN ATTENTE RT")),IF(L1709="R","À REPRENDRE",IF(H1709&lt;&gt;"OUI","⚠ ENROBÉ AVANT ACCEPTATION RT","ENROBÉ")))))</f>
        <v>À ENROBER</v>
      </c>
      <c r="O1709" s="80"/>
      <c r="P1709" s="82" t="n">
        <f aca="false">IF(C1709="","",IFERROR(MATCH(Q1709,'CARNET DE SOUDURE'!$AW$7:$AW$3006,0),""))</f>
        <v>1703</v>
      </c>
      <c r="Q1709" s="82" t="str">
        <f aca="false">IF(C1709="","",B1709&amp;"|"&amp;C1709)</f>
        <v>MFD-ISW → MFD-CPF|DJ°170</v>
      </c>
    </row>
    <row r="1710" customFormat="false" ht="74.6" hidden="false" customHeight="false" outlineLevel="0" collapsed="false">
      <c r="A1710" s="82" t="n">
        <f aca="false">IF(C1710="","",ROW()-6)</f>
        <v>1704</v>
      </c>
      <c r="B1710" s="80" t="s">
        <v>110</v>
      </c>
      <c r="C1710" s="113" t="s">
        <v>2074</v>
      </c>
      <c r="D1710" s="82" t="str">
        <f aca="false">IF(OR(C1710="",P1710=""),"",INDEX('CARNET DE SOUDURE'!$D$7:$D$3006,P1710)&amp;"")</f>
        <v>15</v>
      </c>
      <c r="E1710" s="114" t="n">
        <f aca="false">IF(OR(C1710="",P1710=""),"",IF(INDEX('CARNET DE SOUDURE'!$U$7:$U$3006,P1710)="","",INDEX('CARNET DE SOUDURE'!$U$7:$U$3006,P1710)))</f>
        <v>46273</v>
      </c>
      <c r="F1710" s="82" t="str">
        <f aca="false">IF(OR(C1710="",P1710=""),"",INDEX('CARNET DE SOUDURE'!$AP$7:$AP$3006,P1710))</f>
        <v>A</v>
      </c>
      <c r="G1710" s="82" t="str">
        <f aca="false">IF(C1710="","",IF(P1710="","NJ INCONNU",INDEX('CARNET DE SOUDURE'!$AQ$7:$AQ$3006,P1710)))</f>
        <v>ACCEPTÉ</v>
      </c>
      <c r="H1710" s="82" t="str">
        <f aca="false">IF(C1710="","",IF(G1710="ACCEPTÉ","OUI","NON"))</f>
        <v>OUI</v>
      </c>
      <c r="I1710" s="83"/>
      <c r="J1710" s="80"/>
      <c r="K1710" s="81"/>
      <c r="L1710" s="81"/>
      <c r="M1710" s="81"/>
      <c r="N1710" s="84" t="str">
        <f aca="false">IF(C1710="","",IF(P1710="","NJ INCONNU",IF(I1710="",IF(H1710="OUI","À ENROBER",IF(G1710="À SOUDER","NON SOUDÉ","EN ATTENTE RT")),IF(L1710="R","À REPRENDRE",IF(H1710&lt;&gt;"OUI","⚠ ENROBÉ AVANT ACCEPTATION RT","ENROBÉ")))))</f>
        <v>À ENROBER</v>
      </c>
      <c r="O1710" s="80"/>
      <c r="P1710" s="82" t="n">
        <f aca="false">IF(C1710="","",IFERROR(MATCH(Q1710,'CARNET DE SOUDURE'!$AW$7:$AW$3006,0),""))</f>
        <v>1704</v>
      </c>
      <c r="Q1710" s="82" t="str">
        <f aca="false">IF(C1710="","",B1710&amp;"|"&amp;C1710)</f>
        <v>MFD-ISW → MFD-CPF|JN°1369</v>
      </c>
    </row>
    <row r="1711" customFormat="false" ht="74.6" hidden="false" customHeight="false" outlineLevel="0" collapsed="false">
      <c r="A1711" s="82" t="n">
        <f aca="false">IF(C1711="","",ROW()-6)</f>
        <v>1705</v>
      </c>
      <c r="B1711" s="80" t="s">
        <v>110</v>
      </c>
      <c r="C1711" s="113" t="s">
        <v>2075</v>
      </c>
      <c r="D1711" s="82" t="str">
        <f aca="false">IF(OR(C1711="",P1711=""),"",INDEX('CARNET DE SOUDURE'!$D$7:$D$3006,P1711)&amp;"")</f>
        <v>15</v>
      </c>
      <c r="E1711" s="114" t="n">
        <f aca="false">IF(OR(C1711="",P1711=""),"",IF(INDEX('CARNET DE SOUDURE'!$U$7:$U$3006,P1711)="","",INDEX('CARNET DE SOUDURE'!$U$7:$U$3006,P1711)))</f>
        <v>46261</v>
      </c>
      <c r="F1711" s="82" t="str">
        <f aca="false">IF(OR(C1711="",P1711=""),"",INDEX('CARNET DE SOUDURE'!$AP$7:$AP$3006,P1711))</f>
        <v>A</v>
      </c>
      <c r="G1711" s="82" t="str">
        <f aca="false">IF(C1711="","",IF(P1711="","NJ INCONNU",INDEX('CARNET DE SOUDURE'!$AQ$7:$AQ$3006,P1711)))</f>
        <v>ACCEPTÉ</v>
      </c>
      <c r="H1711" s="82" t="str">
        <f aca="false">IF(C1711="","",IF(G1711="ACCEPTÉ","OUI","NON"))</f>
        <v>OUI</v>
      </c>
      <c r="I1711" s="83"/>
      <c r="J1711" s="80"/>
      <c r="K1711" s="81"/>
      <c r="L1711" s="81"/>
      <c r="M1711" s="81"/>
      <c r="N1711" s="84" t="str">
        <f aca="false">IF(C1711="","",IF(P1711="","NJ INCONNU",IF(I1711="",IF(H1711="OUI","À ENROBER",IF(G1711="À SOUDER","NON SOUDÉ","EN ATTENTE RT")),IF(L1711="R","À REPRENDRE",IF(H1711&lt;&gt;"OUI","⚠ ENROBÉ AVANT ACCEPTATION RT","ENROBÉ")))))</f>
        <v>À ENROBER</v>
      </c>
      <c r="O1711" s="80"/>
      <c r="P1711" s="82" t="n">
        <f aca="false">IF(C1711="","",IFERROR(MATCH(Q1711,'CARNET DE SOUDURE'!$AW$7:$AW$3006,0),""))</f>
        <v>1705</v>
      </c>
      <c r="Q1711" s="82" t="str">
        <f aca="false">IF(C1711="","",B1711&amp;"|"&amp;C1711)</f>
        <v>MFD-ISW → MFD-CPF|DJ°167</v>
      </c>
    </row>
    <row r="1712" customFormat="false" ht="74.6" hidden="false" customHeight="false" outlineLevel="0" collapsed="false">
      <c r="A1712" s="82" t="n">
        <f aca="false">IF(C1712="","",ROW()-6)</f>
        <v>1706</v>
      </c>
      <c r="B1712" s="80" t="s">
        <v>110</v>
      </c>
      <c r="C1712" s="113" t="s">
        <v>2076</v>
      </c>
      <c r="D1712" s="82" t="str">
        <f aca="false">IF(OR(C1712="",P1712=""),"",INDEX('CARNET DE SOUDURE'!$D$7:$D$3006,P1712)&amp;"")</f>
        <v>15</v>
      </c>
      <c r="E1712" s="114" t="n">
        <f aca="false">IF(OR(C1712="",P1712=""),"",IF(INDEX('CARNET DE SOUDURE'!$U$7:$U$3006,P1712)="","",INDEX('CARNET DE SOUDURE'!$U$7:$U$3006,P1712)))</f>
        <v>46273</v>
      </c>
      <c r="F1712" s="82" t="str">
        <f aca="false">IF(OR(C1712="",P1712=""),"",INDEX('CARNET DE SOUDURE'!$AP$7:$AP$3006,P1712))</f>
        <v>A</v>
      </c>
      <c r="G1712" s="82" t="str">
        <f aca="false">IF(C1712="","",IF(P1712="","NJ INCONNU",INDEX('CARNET DE SOUDURE'!$AQ$7:$AQ$3006,P1712)))</f>
        <v>ACCEPTÉ</v>
      </c>
      <c r="H1712" s="82" t="str">
        <f aca="false">IF(C1712="","",IF(G1712="ACCEPTÉ","OUI","NON"))</f>
        <v>OUI</v>
      </c>
      <c r="I1712" s="83"/>
      <c r="J1712" s="80"/>
      <c r="K1712" s="81"/>
      <c r="L1712" s="81"/>
      <c r="M1712" s="81"/>
      <c r="N1712" s="84" t="str">
        <f aca="false">IF(C1712="","",IF(P1712="","NJ INCONNU",IF(I1712="",IF(H1712="OUI","À ENROBER",IF(G1712="À SOUDER","NON SOUDÉ","EN ATTENTE RT")),IF(L1712="R","À REPRENDRE",IF(H1712&lt;&gt;"OUI","⚠ ENROBÉ AVANT ACCEPTATION RT","ENROBÉ")))))</f>
        <v>À ENROBER</v>
      </c>
      <c r="O1712" s="80"/>
      <c r="P1712" s="82" t="n">
        <f aca="false">IF(C1712="","",IFERROR(MATCH(Q1712,'CARNET DE SOUDURE'!$AW$7:$AW$3006,0),""))</f>
        <v>1706</v>
      </c>
      <c r="Q1712" s="82" t="str">
        <f aca="false">IF(C1712="","",B1712&amp;"|"&amp;C1712)</f>
        <v>MFD-ISW → MFD-CPF|JN°1370</v>
      </c>
    </row>
    <row r="1713" customFormat="false" ht="74.6" hidden="false" customHeight="false" outlineLevel="0" collapsed="false">
      <c r="A1713" s="82" t="n">
        <f aca="false">IF(C1713="","",ROW()-6)</f>
        <v>1707</v>
      </c>
      <c r="B1713" s="80" t="s">
        <v>110</v>
      </c>
      <c r="C1713" s="113" t="s">
        <v>2078</v>
      </c>
      <c r="D1713" s="82" t="str">
        <f aca="false">IF(OR(C1713="",P1713=""),"",INDEX('CARNET DE SOUDURE'!$D$7:$D$3006,P1713)&amp;"")</f>
        <v>15</v>
      </c>
      <c r="E1713" s="114" t="n">
        <f aca="false">IF(OR(C1713="",P1713=""),"",IF(INDEX('CARNET DE SOUDURE'!$U$7:$U$3006,P1713)="","",INDEX('CARNET DE SOUDURE'!$U$7:$U$3006,P1713)))</f>
        <v>46261</v>
      </c>
      <c r="F1713" s="82" t="str">
        <f aca="false">IF(OR(C1713="",P1713=""),"",INDEX('CARNET DE SOUDURE'!$AP$7:$AP$3006,P1713))</f>
        <v>A</v>
      </c>
      <c r="G1713" s="82" t="str">
        <f aca="false">IF(C1713="","",IF(P1713="","NJ INCONNU",INDEX('CARNET DE SOUDURE'!$AQ$7:$AQ$3006,P1713)))</f>
        <v>ACCEPTÉ</v>
      </c>
      <c r="H1713" s="82" t="str">
        <f aca="false">IF(C1713="","",IF(G1713="ACCEPTÉ","OUI","NON"))</f>
        <v>OUI</v>
      </c>
      <c r="I1713" s="83"/>
      <c r="J1713" s="80"/>
      <c r="K1713" s="81"/>
      <c r="L1713" s="81"/>
      <c r="M1713" s="81"/>
      <c r="N1713" s="84" t="str">
        <f aca="false">IF(C1713="","",IF(P1713="","NJ INCONNU",IF(I1713="",IF(H1713="OUI","À ENROBER",IF(G1713="À SOUDER","NON SOUDÉ","EN ATTENTE RT")),IF(L1713="R","À REPRENDRE",IF(H1713&lt;&gt;"OUI","⚠ ENROBÉ AVANT ACCEPTATION RT","ENROBÉ")))))</f>
        <v>À ENROBER</v>
      </c>
      <c r="O1713" s="80"/>
      <c r="P1713" s="82" t="n">
        <f aca="false">IF(C1713="","",IFERROR(MATCH(Q1713,'CARNET DE SOUDURE'!$AW$7:$AW$3006,0),""))</f>
        <v>1707</v>
      </c>
      <c r="Q1713" s="82" t="str">
        <f aca="false">IF(C1713="","",B1713&amp;"|"&amp;C1713)</f>
        <v>MFD-ISW → MFD-CPF|DJ°168</v>
      </c>
    </row>
    <row r="1714" customFormat="false" ht="74.6" hidden="false" customHeight="false" outlineLevel="0" collapsed="false">
      <c r="A1714" s="82" t="n">
        <f aca="false">IF(C1714="","",ROW()-6)</f>
        <v>1708</v>
      </c>
      <c r="B1714" s="80" t="s">
        <v>110</v>
      </c>
      <c r="C1714" s="113" t="s">
        <v>2079</v>
      </c>
      <c r="D1714" s="82" t="str">
        <f aca="false">IF(OR(C1714="",P1714=""),"",INDEX('CARNET DE SOUDURE'!$D$7:$D$3006,P1714)&amp;"")</f>
        <v>15</v>
      </c>
      <c r="E1714" s="114" t="n">
        <f aca="false">IF(OR(C1714="",P1714=""),"",IF(INDEX('CARNET DE SOUDURE'!$U$7:$U$3006,P1714)="","",INDEX('CARNET DE SOUDURE'!$U$7:$U$3006,P1714)))</f>
        <v>46273</v>
      </c>
      <c r="F1714" s="82" t="str">
        <f aca="false">IF(OR(C1714="",P1714=""),"",INDEX('CARNET DE SOUDURE'!$AP$7:$AP$3006,P1714))</f>
        <v>A</v>
      </c>
      <c r="G1714" s="82" t="str">
        <f aca="false">IF(C1714="","",IF(P1714="","NJ INCONNU",INDEX('CARNET DE SOUDURE'!$AQ$7:$AQ$3006,P1714)))</f>
        <v>ACCEPTÉ</v>
      </c>
      <c r="H1714" s="82" t="str">
        <f aca="false">IF(C1714="","",IF(G1714="ACCEPTÉ","OUI","NON"))</f>
        <v>OUI</v>
      </c>
      <c r="I1714" s="83"/>
      <c r="J1714" s="80"/>
      <c r="K1714" s="81"/>
      <c r="L1714" s="81"/>
      <c r="M1714" s="81"/>
      <c r="N1714" s="84" t="str">
        <f aca="false">IF(C1714="","",IF(P1714="","NJ INCONNU",IF(I1714="",IF(H1714="OUI","À ENROBER",IF(G1714="À SOUDER","NON SOUDÉ","EN ATTENTE RT")),IF(L1714="R","À REPRENDRE",IF(H1714&lt;&gt;"OUI","⚠ ENROBÉ AVANT ACCEPTATION RT","ENROBÉ")))))</f>
        <v>À ENROBER</v>
      </c>
      <c r="O1714" s="80"/>
      <c r="P1714" s="82" t="n">
        <f aca="false">IF(C1714="","",IFERROR(MATCH(Q1714,'CARNET DE SOUDURE'!$AW$7:$AW$3006,0),""))</f>
        <v>1708</v>
      </c>
      <c r="Q1714" s="82" t="str">
        <f aca="false">IF(C1714="","",B1714&amp;"|"&amp;C1714)</f>
        <v>MFD-ISW → MFD-CPF|JN°1371</v>
      </c>
    </row>
    <row r="1715" customFormat="false" ht="74.6" hidden="false" customHeight="false" outlineLevel="0" collapsed="false">
      <c r="A1715" s="82" t="n">
        <f aca="false">IF(C1715="","",ROW()-6)</f>
        <v>1709</v>
      </c>
      <c r="B1715" s="80" t="s">
        <v>110</v>
      </c>
      <c r="C1715" s="113" t="s">
        <v>2080</v>
      </c>
      <c r="D1715" s="82" t="str">
        <f aca="false">IF(OR(C1715="",P1715=""),"",INDEX('CARNET DE SOUDURE'!$D$7:$D$3006,P1715)&amp;"")</f>
        <v>15</v>
      </c>
      <c r="E1715" s="114" t="n">
        <f aca="false">IF(OR(C1715="",P1715=""),"",IF(INDEX('CARNET DE SOUDURE'!$U$7:$U$3006,P1715)="","",INDEX('CARNET DE SOUDURE'!$U$7:$U$3006,P1715)))</f>
        <v>46261</v>
      </c>
      <c r="F1715" s="82" t="str">
        <f aca="false">IF(OR(C1715="",P1715=""),"",INDEX('CARNET DE SOUDURE'!$AP$7:$AP$3006,P1715))</f>
        <v>A</v>
      </c>
      <c r="G1715" s="82" t="str">
        <f aca="false">IF(C1715="","",IF(P1715="","NJ INCONNU",INDEX('CARNET DE SOUDURE'!$AQ$7:$AQ$3006,P1715)))</f>
        <v>ACCEPTÉ</v>
      </c>
      <c r="H1715" s="82" t="str">
        <f aca="false">IF(C1715="","",IF(G1715="ACCEPTÉ","OUI","NON"))</f>
        <v>OUI</v>
      </c>
      <c r="I1715" s="83"/>
      <c r="J1715" s="80"/>
      <c r="K1715" s="81"/>
      <c r="L1715" s="81"/>
      <c r="M1715" s="81"/>
      <c r="N1715" s="84" t="str">
        <f aca="false">IF(C1715="","",IF(P1715="","NJ INCONNU",IF(I1715="",IF(H1715="OUI","À ENROBER",IF(G1715="À SOUDER","NON SOUDÉ","EN ATTENTE RT")),IF(L1715="R","À REPRENDRE",IF(H1715&lt;&gt;"OUI","⚠ ENROBÉ AVANT ACCEPTATION RT","ENROBÉ")))))</f>
        <v>À ENROBER</v>
      </c>
      <c r="O1715" s="80"/>
      <c r="P1715" s="82" t="n">
        <f aca="false">IF(C1715="","",IFERROR(MATCH(Q1715,'CARNET DE SOUDURE'!$AW$7:$AW$3006,0),""))</f>
        <v>1709</v>
      </c>
      <c r="Q1715" s="82" t="str">
        <f aca="false">IF(C1715="","",B1715&amp;"|"&amp;C1715)</f>
        <v>MFD-ISW → MFD-CPF|DJ°172</v>
      </c>
    </row>
    <row r="1716" customFormat="false" ht="74.6" hidden="false" customHeight="false" outlineLevel="0" collapsed="false">
      <c r="A1716" s="82" t="n">
        <f aca="false">IF(C1716="","",ROW()-6)</f>
        <v>1710</v>
      </c>
      <c r="B1716" s="80" t="s">
        <v>110</v>
      </c>
      <c r="C1716" s="113" t="s">
        <v>2081</v>
      </c>
      <c r="D1716" s="82" t="str">
        <f aca="false">IF(OR(C1716="",P1716=""),"",INDEX('CARNET DE SOUDURE'!$D$7:$D$3006,P1716)&amp;"")</f>
        <v>15</v>
      </c>
      <c r="E1716" s="114" t="n">
        <f aca="false">IF(OR(C1716="",P1716=""),"",IF(INDEX('CARNET DE SOUDURE'!$U$7:$U$3006,P1716)="","",INDEX('CARNET DE SOUDURE'!$U$7:$U$3006,P1716)))</f>
        <v>46273</v>
      </c>
      <c r="F1716" s="82" t="str">
        <f aca="false">IF(OR(C1716="",P1716=""),"",INDEX('CARNET DE SOUDURE'!$AP$7:$AP$3006,P1716))</f>
        <v>A</v>
      </c>
      <c r="G1716" s="82" t="str">
        <f aca="false">IF(C1716="","",IF(P1716="","NJ INCONNU",INDEX('CARNET DE SOUDURE'!$AQ$7:$AQ$3006,P1716)))</f>
        <v>ACCEPTÉ</v>
      </c>
      <c r="H1716" s="82" t="str">
        <f aca="false">IF(C1716="","",IF(G1716="ACCEPTÉ","OUI","NON"))</f>
        <v>OUI</v>
      </c>
      <c r="I1716" s="83"/>
      <c r="J1716" s="80"/>
      <c r="K1716" s="81"/>
      <c r="L1716" s="81"/>
      <c r="M1716" s="81"/>
      <c r="N1716" s="84" t="str">
        <f aca="false">IF(C1716="","",IF(P1716="","NJ INCONNU",IF(I1716="",IF(H1716="OUI","À ENROBER",IF(G1716="À SOUDER","NON SOUDÉ","EN ATTENTE RT")),IF(L1716="R","À REPRENDRE",IF(H1716&lt;&gt;"OUI","⚠ ENROBÉ AVANT ACCEPTATION RT","ENROBÉ")))))</f>
        <v>À ENROBER</v>
      </c>
      <c r="O1716" s="80"/>
      <c r="P1716" s="82" t="n">
        <f aca="false">IF(C1716="","",IFERROR(MATCH(Q1716,'CARNET DE SOUDURE'!$AW$7:$AW$3006,0),""))</f>
        <v>1710</v>
      </c>
      <c r="Q1716" s="82" t="str">
        <f aca="false">IF(C1716="","",B1716&amp;"|"&amp;C1716)</f>
        <v>MFD-ISW → MFD-CPF|JN°1372</v>
      </c>
    </row>
    <row r="1717" customFormat="false" ht="74.6" hidden="false" customHeight="false" outlineLevel="0" collapsed="false">
      <c r="A1717" s="82" t="n">
        <f aca="false">IF(C1717="","",ROW()-6)</f>
        <v>1711</v>
      </c>
      <c r="B1717" s="80" t="s">
        <v>110</v>
      </c>
      <c r="C1717" s="113" t="s">
        <v>2083</v>
      </c>
      <c r="D1717" s="82" t="str">
        <f aca="false">IF(OR(C1717="",P1717=""),"",INDEX('CARNET DE SOUDURE'!$D$7:$D$3006,P1717)&amp;"")</f>
        <v>15</v>
      </c>
      <c r="E1717" s="114" t="n">
        <f aca="false">IF(OR(C1717="",P1717=""),"",IF(INDEX('CARNET DE SOUDURE'!$U$7:$U$3006,P1717)="","",INDEX('CARNET DE SOUDURE'!$U$7:$U$3006,P1717)))</f>
        <v>46261</v>
      </c>
      <c r="F1717" s="82" t="str">
        <f aca="false">IF(OR(C1717="",P1717=""),"",INDEX('CARNET DE SOUDURE'!$AP$7:$AP$3006,P1717))</f>
        <v>A</v>
      </c>
      <c r="G1717" s="82" t="str">
        <f aca="false">IF(C1717="","",IF(P1717="","NJ INCONNU",INDEX('CARNET DE SOUDURE'!$AQ$7:$AQ$3006,P1717)))</f>
        <v>ACCEPTÉ</v>
      </c>
      <c r="H1717" s="82" t="str">
        <f aca="false">IF(C1717="","",IF(G1717="ACCEPTÉ","OUI","NON"))</f>
        <v>OUI</v>
      </c>
      <c r="I1717" s="83"/>
      <c r="J1717" s="80"/>
      <c r="K1717" s="81"/>
      <c r="L1717" s="81"/>
      <c r="M1717" s="81"/>
      <c r="N1717" s="84" t="str">
        <f aca="false">IF(C1717="","",IF(P1717="","NJ INCONNU",IF(I1717="",IF(H1717="OUI","À ENROBER",IF(G1717="À SOUDER","NON SOUDÉ","EN ATTENTE RT")),IF(L1717="R","À REPRENDRE",IF(H1717&lt;&gt;"OUI","⚠ ENROBÉ AVANT ACCEPTATION RT","ENROBÉ")))))</f>
        <v>À ENROBER</v>
      </c>
      <c r="O1717" s="80"/>
      <c r="P1717" s="82" t="n">
        <f aca="false">IF(C1717="","",IFERROR(MATCH(Q1717,'CARNET DE SOUDURE'!$AW$7:$AW$3006,0),""))</f>
        <v>1711</v>
      </c>
      <c r="Q1717" s="82" t="str">
        <f aca="false">IF(C1717="","",B1717&amp;"|"&amp;C1717)</f>
        <v>MFD-ISW → MFD-CPF|DJ°176</v>
      </c>
    </row>
    <row r="1718" customFormat="false" ht="74.6" hidden="false" customHeight="false" outlineLevel="0" collapsed="false">
      <c r="A1718" s="82" t="n">
        <f aca="false">IF(C1718="","",ROW()-6)</f>
        <v>1712</v>
      </c>
      <c r="B1718" s="80" t="s">
        <v>110</v>
      </c>
      <c r="C1718" s="113" t="s">
        <v>2084</v>
      </c>
      <c r="D1718" s="82" t="str">
        <f aca="false">IF(OR(C1718="",P1718=""),"",INDEX('CARNET DE SOUDURE'!$D$7:$D$3006,P1718)&amp;"")</f>
        <v>15</v>
      </c>
      <c r="E1718" s="114" t="n">
        <f aca="false">IF(OR(C1718="",P1718=""),"",IF(INDEX('CARNET DE SOUDURE'!$U$7:$U$3006,P1718)="","",INDEX('CARNET DE SOUDURE'!$U$7:$U$3006,P1718)))</f>
        <v>46273</v>
      </c>
      <c r="F1718" s="82" t="str">
        <f aca="false">IF(OR(C1718="",P1718=""),"",INDEX('CARNET DE SOUDURE'!$AP$7:$AP$3006,P1718))</f>
        <v>A</v>
      </c>
      <c r="G1718" s="82" t="str">
        <f aca="false">IF(C1718="","",IF(P1718="","NJ INCONNU",INDEX('CARNET DE SOUDURE'!$AQ$7:$AQ$3006,P1718)))</f>
        <v>ACCEPTÉ</v>
      </c>
      <c r="H1718" s="82" t="str">
        <f aca="false">IF(C1718="","",IF(G1718="ACCEPTÉ","OUI","NON"))</f>
        <v>OUI</v>
      </c>
      <c r="I1718" s="83"/>
      <c r="J1718" s="80"/>
      <c r="K1718" s="81"/>
      <c r="L1718" s="81"/>
      <c r="M1718" s="81"/>
      <c r="N1718" s="84" t="str">
        <f aca="false">IF(C1718="","",IF(P1718="","NJ INCONNU",IF(I1718="",IF(H1718="OUI","À ENROBER",IF(G1718="À SOUDER","NON SOUDÉ","EN ATTENTE RT")),IF(L1718="R","À REPRENDRE",IF(H1718&lt;&gt;"OUI","⚠ ENROBÉ AVANT ACCEPTATION RT","ENROBÉ")))))</f>
        <v>À ENROBER</v>
      </c>
      <c r="O1718" s="80"/>
      <c r="P1718" s="82" t="n">
        <f aca="false">IF(C1718="","",IFERROR(MATCH(Q1718,'CARNET DE SOUDURE'!$AW$7:$AW$3006,0),""))</f>
        <v>1712</v>
      </c>
      <c r="Q1718" s="82" t="str">
        <f aca="false">IF(C1718="","",B1718&amp;"|"&amp;C1718)</f>
        <v>MFD-ISW → MFD-CPF|JN°1373</v>
      </c>
    </row>
    <row r="1719" customFormat="false" ht="74.6" hidden="false" customHeight="false" outlineLevel="0" collapsed="false">
      <c r="A1719" s="82" t="n">
        <f aca="false">IF(C1719="","",ROW()-6)</f>
        <v>1713</v>
      </c>
      <c r="B1719" s="80" t="s">
        <v>110</v>
      </c>
      <c r="C1719" s="113" t="s">
        <v>2085</v>
      </c>
      <c r="D1719" s="82" t="str">
        <f aca="false">IF(OR(C1719="",P1719=""),"",INDEX('CARNET DE SOUDURE'!$D$7:$D$3006,P1719)&amp;"")</f>
        <v>15</v>
      </c>
      <c r="E1719" s="114" t="n">
        <f aca="false">IF(OR(C1719="",P1719=""),"",IF(INDEX('CARNET DE SOUDURE'!$U$7:$U$3006,P1719)="","",INDEX('CARNET DE SOUDURE'!$U$7:$U$3006,P1719)))</f>
        <v>46260</v>
      </c>
      <c r="F1719" s="82" t="str">
        <f aca="false">IF(OR(C1719="",P1719=""),"",INDEX('CARNET DE SOUDURE'!$AP$7:$AP$3006,P1719))</f>
        <v>A</v>
      </c>
      <c r="G1719" s="82" t="str">
        <f aca="false">IF(C1719="","",IF(P1719="","NJ INCONNU",INDEX('CARNET DE SOUDURE'!$AQ$7:$AQ$3006,P1719)))</f>
        <v>ACCEPTÉ</v>
      </c>
      <c r="H1719" s="82" t="str">
        <f aca="false">IF(C1719="","",IF(G1719="ACCEPTÉ","OUI","NON"))</f>
        <v>OUI</v>
      </c>
      <c r="I1719" s="83"/>
      <c r="J1719" s="80"/>
      <c r="K1719" s="81"/>
      <c r="L1719" s="81"/>
      <c r="M1719" s="81"/>
      <c r="N1719" s="84" t="str">
        <f aca="false">IF(C1719="","",IF(P1719="","NJ INCONNU",IF(I1719="",IF(H1719="OUI","À ENROBER",IF(G1719="À SOUDER","NON SOUDÉ","EN ATTENTE RT")),IF(L1719="R","À REPRENDRE",IF(H1719&lt;&gt;"OUI","⚠ ENROBÉ AVANT ACCEPTATION RT","ENROBÉ")))))</f>
        <v>À ENROBER</v>
      </c>
      <c r="O1719" s="80"/>
      <c r="P1719" s="82" t="n">
        <f aca="false">IF(C1719="","",IFERROR(MATCH(Q1719,'CARNET DE SOUDURE'!$AW$7:$AW$3006,0),""))</f>
        <v>1713</v>
      </c>
      <c r="Q1719" s="82" t="str">
        <f aca="false">IF(C1719="","",B1719&amp;"|"&amp;C1719)</f>
        <v>MFD-ISW → MFD-CPF|DJ°161</v>
      </c>
    </row>
    <row r="1720" customFormat="false" ht="74.6" hidden="false" customHeight="false" outlineLevel="0" collapsed="false">
      <c r="A1720" s="82" t="n">
        <f aca="false">IF(C1720="","",ROW()-6)</f>
        <v>1714</v>
      </c>
      <c r="B1720" s="80" t="s">
        <v>110</v>
      </c>
      <c r="C1720" s="113" t="s">
        <v>2086</v>
      </c>
      <c r="D1720" s="82" t="str">
        <f aca="false">IF(OR(C1720="",P1720=""),"",INDEX('CARNET DE SOUDURE'!$D$7:$D$3006,P1720)&amp;"")</f>
        <v>15</v>
      </c>
      <c r="E1720" s="114" t="n">
        <f aca="false">IF(OR(C1720="",P1720=""),"",IF(INDEX('CARNET DE SOUDURE'!$U$7:$U$3006,P1720)="","",INDEX('CARNET DE SOUDURE'!$U$7:$U$3006,P1720)))</f>
        <v>46273</v>
      </c>
      <c r="F1720" s="82" t="str">
        <f aca="false">IF(OR(C1720="",P1720=""),"",INDEX('CARNET DE SOUDURE'!$AP$7:$AP$3006,P1720))</f>
        <v>A</v>
      </c>
      <c r="G1720" s="82" t="str">
        <f aca="false">IF(C1720="","",IF(P1720="","NJ INCONNU",INDEX('CARNET DE SOUDURE'!$AQ$7:$AQ$3006,P1720)))</f>
        <v>ACCEPTÉ</v>
      </c>
      <c r="H1720" s="82" t="str">
        <f aca="false">IF(C1720="","",IF(G1720="ACCEPTÉ","OUI","NON"))</f>
        <v>OUI</v>
      </c>
      <c r="I1720" s="83"/>
      <c r="J1720" s="80"/>
      <c r="K1720" s="81"/>
      <c r="L1720" s="81"/>
      <c r="M1720" s="81"/>
      <c r="N1720" s="84" t="str">
        <f aca="false">IF(C1720="","",IF(P1720="","NJ INCONNU",IF(I1720="",IF(H1720="OUI","À ENROBER",IF(G1720="À SOUDER","NON SOUDÉ","EN ATTENTE RT")),IF(L1720="R","À REPRENDRE",IF(H1720&lt;&gt;"OUI","⚠ ENROBÉ AVANT ACCEPTATION RT","ENROBÉ")))))</f>
        <v>À ENROBER</v>
      </c>
      <c r="O1720" s="80"/>
      <c r="P1720" s="82" t="n">
        <f aca="false">IF(C1720="","",IFERROR(MATCH(Q1720,'CARNET DE SOUDURE'!$AW$7:$AW$3006,0),""))</f>
        <v>1714</v>
      </c>
      <c r="Q1720" s="82" t="str">
        <f aca="false">IF(C1720="","",B1720&amp;"|"&amp;C1720)</f>
        <v>MFD-ISW → MFD-CPF|JN°1374</v>
      </c>
    </row>
    <row r="1721" customFormat="false" ht="74.6" hidden="false" customHeight="false" outlineLevel="0" collapsed="false">
      <c r="A1721" s="82" t="n">
        <f aca="false">IF(C1721="","",ROW()-6)</f>
        <v>1715</v>
      </c>
      <c r="B1721" s="80" t="s">
        <v>110</v>
      </c>
      <c r="C1721" s="113" t="s">
        <v>2087</v>
      </c>
      <c r="D1721" s="82" t="str">
        <f aca="false">IF(OR(C1721="",P1721=""),"",INDEX('CARNET DE SOUDURE'!$D$7:$D$3006,P1721)&amp;"")</f>
        <v>15</v>
      </c>
      <c r="E1721" s="114" t="n">
        <f aca="false">IF(OR(C1721="",P1721=""),"",IF(INDEX('CARNET DE SOUDURE'!$U$7:$U$3006,P1721)="","",INDEX('CARNET DE SOUDURE'!$U$7:$U$3006,P1721)))</f>
        <v>46262</v>
      </c>
      <c r="F1721" s="82" t="str">
        <f aca="false">IF(OR(C1721="",P1721=""),"",INDEX('CARNET DE SOUDURE'!$AP$7:$AP$3006,P1721))</f>
        <v>A</v>
      </c>
      <c r="G1721" s="82" t="str">
        <f aca="false">IF(C1721="","",IF(P1721="","NJ INCONNU",INDEX('CARNET DE SOUDURE'!$AQ$7:$AQ$3006,P1721)))</f>
        <v>ACCEPTÉ</v>
      </c>
      <c r="H1721" s="82" t="str">
        <f aca="false">IF(C1721="","",IF(G1721="ACCEPTÉ","OUI","NON"))</f>
        <v>OUI</v>
      </c>
      <c r="I1721" s="83"/>
      <c r="J1721" s="80"/>
      <c r="K1721" s="81"/>
      <c r="L1721" s="81"/>
      <c r="M1721" s="81"/>
      <c r="N1721" s="84" t="str">
        <f aca="false">IF(C1721="","",IF(P1721="","NJ INCONNU",IF(I1721="",IF(H1721="OUI","À ENROBER",IF(G1721="À SOUDER","NON SOUDÉ","EN ATTENTE RT")),IF(L1721="R","À REPRENDRE",IF(H1721&lt;&gt;"OUI","⚠ ENROBÉ AVANT ACCEPTATION RT","ENROBÉ")))))</f>
        <v>À ENROBER</v>
      </c>
      <c r="O1721" s="80"/>
      <c r="P1721" s="82" t="n">
        <f aca="false">IF(C1721="","",IFERROR(MATCH(Q1721,'CARNET DE SOUDURE'!$AW$7:$AW$3006,0),""))</f>
        <v>1715</v>
      </c>
      <c r="Q1721" s="82" t="str">
        <f aca="false">IF(C1721="","",B1721&amp;"|"&amp;C1721)</f>
        <v>MFD-ISW → MFD-CPF|DJ°182</v>
      </c>
    </row>
    <row r="1722" customFormat="false" ht="74.6" hidden="false" customHeight="false" outlineLevel="0" collapsed="false">
      <c r="A1722" s="82" t="n">
        <f aca="false">IF(C1722="","",ROW()-6)</f>
        <v>1716</v>
      </c>
      <c r="B1722" s="80" t="s">
        <v>110</v>
      </c>
      <c r="C1722" s="113" t="s">
        <v>2088</v>
      </c>
      <c r="D1722" s="82" t="str">
        <f aca="false">IF(OR(C1722="",P1722=""),"",INDEX('CARNET DE SOUDURE'!$D$7:$D$3006,P1722)&amp;"")</f>
        <v>15</v>
      </c>
      <c r="E1722" s="114" t="n">
        <f aca="false">IF(OR(C1722="",P1722=""),"",IF(INDEX('CARNET DE SOUDURE'!$U$7:$U$3006,P1722)="","",INDEX('CARNET DE SOUDURE'!$U$7:$U$3006,P1722)))</f>
        <v>46273</v>
      </c>
      <c r="F1722" s="82" t="str">
        <f aca="false">IF(OR(C1722="",P1722=""),"",INDEX('CARNET DE SOUDURE'!$AP$7:$AP$3006,P1722))</f>
        <v>A</v>
      </c>
      <c r="G1722" s="82" t="str">
        <f aca="false">IF(C1722="","",IF(P1722="","NJ INCONNU",INDEX('CARNET DE SOUDURE'!$AQ$7:$AQ$3006,P1722)))</f>
        <v>ACCEPTÉ</v>
      </c>
      <c r="H1722" s="82" t="str">
        <f aca="false">IF(C1722="","",IF(G1722="ACCEPTÉ","OUI","NON"))</f>
        <v>OUI</v>
      </c>
      <c r="I1722" s="83"/>
      <c r="J1722" s="80"/>
      <c r="K1722" s="81"/>
      <c r="L1722" s="81"/>
      <c r="M1722" s="81"/>
      <c r="N1722" s="84" t="str">
        <f aca="false">IF(C1722="","",IF(P1722="","NJ INCONNU",IF(I1722="",IF(H1722="OUI","À ENROBER",IF(G1722="À SOUDER","NON SOUDÉ","EN ATTENTE RT")),IF(L1722="R","À REPRENDRE",IF(H1722&lt;&gt;"OUI","⚠ ENROBÉ AVANT ACCEPTATION RT","ENROBÉ")))))</f>
        <v>À ENROBER</v>
      </c>
      <c r="O1722" s="80"/>
      <c r="P1722" s="82" t="n">
        <f aca="false">IF(C1722="","",IFERROR(MATCH(Q1722,'CARNET DE SOUDURE'!$AW$7:$AW$3006,0),""))</f>
        <v>1716</v>
      </c>
      <c r="Q1722" s="82" t="str">
        <f aca="false">IF(C1722="","",B1722&amp;"|"&amp;C1722)</f>
        <v>MFD-ISW → MFD-CPF|JN°1375</v>
      </c>
    </row>
    <row r="1723" customFormat="false" ht="74.6" hidden="false" customHeight="false" outlineLevel="0" collapsed="false">
      <c r="A1723" s="82" t="n">
        <f aca="false">IF(C1723="","",ROW()-6)</f>
        <v>1717</v>
      </c>
      <c r="B1723" s="80" t="s">
        <v>110</v>
      </c>
      <c r="C1723" s="113" t="s">
        <v>2089</v>
      </c>
      <c r="D1723" s="82" t="str">
        <f aca="false">IF(OR(C1723="",P1723=""),"",INDEX('CARNET DE SOUDURE'!$D$7:$D$3006,P1723)&amp;"")</f>
        <v>15</v>
      </c>
      <c r="E1723" s="114" t="n">
        <f aca="false">IF(OR(C1723="",P1723=""),"",IF(INDEX('CARNET DE SOUDURE'!$U$7:$U$3006,P1723)="","",INDEX('CARNET DE SOUDURE'!$U$7:$U$3006,P1723)))</f>
        <v>46260</v>
      </c>
      <c r="F1723" s="82" t="str">
        <f aca="false">IF(OR(C1723="",P1723=""),"",INDEX('CARNET DE SOUDURE'!$AP$7:$AP$3006,P1723))</f>
        <v>A</v>
      </c>
      <c r="G1723" s="82" t="str">
        <f aca="false">IF(C1723="","",IF(P1723="","NJ INCONNU",INDEX('CARNET DE SOUDURE'!$AQ$7:$AQ$3006,P1723)))</f>
        <v>ACCEPTÉ</v>
      </c>
      <c r="H1723" s="82" t="str">
        <f aca="false">IF(C1723="","",IF(G1723="ACCEPTÉ","OUI","NON"))</f>
        <v>OUI</v>
      </c>
      <c r="I1723" s="83"/>
      <c r="J1723" s="80"/>
      <c r="K1723" s="81"/>
      <c r="L1723" s="81"/>
      <c r="M1723" s="81"/>
      <c r="N1723" s="84" t="str">
        <f aca="false">IF(C1723="","",IF(P1723="","NJ INCONNU",IF(I1723="",IF(H1723="OUI","À ENROBER",IF(G1723="À SOUDER","NON SOUDÉ","EN ATTENTE RT")),IF(L1723="R","À REPRENDRE",IF(H1723&lt;&gt;"OUI","⚠ ENROBÉ AVANT ACCEPTATION RT","ENROBÉ")))))</f>
        <v>À ENROBER</v>
      </c>
      <c r="O1723" s="80"/>
      <c r="P1723" s="82" t="n">
        <f aca="false">IF(C1723="","",IFERROR(MATCH(Q1723,'CARNET DE SOUDURE'!$AW$7:$AW$3006,0),""))</f>
        <v>1717</v>
      </c>
      <c r="Q1723" s="82" t="str">
        <f aca="false">IF(C1723="","",B1723&amp;"|"&amp;C1723)</f>
        <v>MFD-ISW → MFD-CPF|DJ°158</v>
      </c>
    </row>
    <row r="1724" customFormat="false" ht="74.6" hidden="false" customHeight="false" outlineLevel="0" collapsed="false">
      <c r="A1724" s="82" t="n">
        <f aca="false">IF(C1724="","",ROW()-6)</f>
        <v>1718</v>
      </c>
      <c r="B1724" s="80" t="s">
        <v>110</v>
      </c>
      <c r="C1724" s="113" t="s">
        <v>2091</v>
      </c>
      <c r="D1724" s="82" t="str">
        <f aca="false">IF(OR(C1724="",P1724=""),"",INDEX('CARNET DE SOUDURE'!$D$7:$D$3006,P1724)&amp;"")</f>
        <v>15</v>
      </c>
      <c r="E1724" s="114" t="n">
        <f aca="false">IF(OR(C1724="",P1724=""),"",IF(INDEX('CARNET DE SOUDURE'!$U$7:$U$3006,P1724)="","",INDEX('CARNET DE SOUDURE'!$U$7:$U$3006,P1724)))</f>
        <v>46273</v>
      </c>
      <c r="F1724" s="82" t="str">
        <f aca="false">IF(OR(C1724="",P1724=""),"",INDEX('CARNET DE SOUDURE'!$AP$7:$AP$3006,P1724))</f>
        <v>R</v>
      </c>
      <c r="G1724" s="82" t="str">
        <f aca="false">IF(C1724="","",IF(P1724="","NJ INCONNU",INDEX('CARNET DE SOUDURE'!$AQ$7:$AQ$3006,P1724)))</f>
        <v>À RÉPARER</v>
      </c>
      <c r="H1724" s="82" t="str">
        <f aca="false">IF(C1724="","",IF(G1724="ACCEPTÉ","OUI","NON"))</f>
        <v>NON</v>
      </c>
      <c r="I1724" s="83"/>
      <c r="J1724" s="80"/>
      <c r="K1724" s="81"/>
      <c r="L1724" s="81"/>
      <c r="M1724" s="81"/>
      <c r="N1724" s="84" t="str">
        <f aca="false">IF(C1724="","",IF(P1724="","NJ INCONNU",IF(I1724="",IF(H1724="OUI","À ENROBER",IF(G1724="À SOUDER","NON SOUDÉ","EN ATTENTE RT")),IF(L1724="R","À REPRENDRE",IF(H1724&lt;&gt;"OUI","⚠ ENROBÉ AVANT ACCEPTATION RT","ENROBÉ")))))</f>
        <v>EN ATTENTE RT</v>
      </c>
      <c r="O1724" s="80"/>
      <c r="P1724" s="82" t="n">
        <f aca="false">IF(C1724="","",IFERROR(MATCH(Q1724,'CARNET DE SOUDURE'!$AW$7:$AW$3006,0),""))</f>
        <v>1718</v>
      </c>
      <c r="Q1724" s="82" t="str">
        <f aca="false">IF(C1724="","",B1724&amp;"|"&amp;C1724)</f>
        <v>MFD-ISW → MFD-CPF|JN°1376</v>
      </c>
    </row>
    <row r="1725" customFormat="false" ht="74.6" hidden="false" customHeight="false" outlineLevel="0" collapsed="false">
      <c r="A1725" s="82" t="n">
        <f aca="false">IF(C1725="","",ROW()-6)</f>
        <v>1719</v>
      </c>
      <c r="B1725" s="80" t="s">
        <v>110</v>
      </c>
      <c r="C1725" s="113" t="s">
        <v>2093</v>
      </c>
      <c r="D1725" s="82" t="str">
        <f aca="false">IF(OR(C1725="",P1725=""),"",INDEX('CARNET DE SOUDURE'!$D$7:$D$3006,P1725)&amp;"")</f>
        <v>15</v>
      </c>
      <c r="E1725" s="114" t="n">
        <f aca="false">IF(OR(C1725="",P1725=""),"",IF(INDEX('CARNET DE SOUDURE'!$U$7:$U$3006,P1725)="","",INDEX('CARNET DE SOUDURE'!$U$7:$U$3006,P1725)))</f>
        <v>46259</v>
      </c>
      <c r="F1725" s="82" t="str">
        <f aca="false">IF(OR(C1725="",P1725=""),"",INDEX('CARNET DE SOUDURE'!$AP$7:$AP$3006,P1725))</f>
        <v>A</v>
      </c>
      <c r="G1725" s="82" t="str">
        <f aca="false">IF(C1725="","",IF(P1725="","NJ INCONNU",INDEX('CARNET DE SOUDURE'!$AQ$7:$AQ$3006,P1725)))</f>
        <v>ACCEPTÉ</v>
      </c>
      <c r="H1725" s="82" t="str">
        <f aca="false">IF(C1725="","",IF(G1725="ACCEPTÉ","OUI","NON"))</f>
        <v>OUI</v>
      </c>
      <c r="I1725" s="83"/>
      <c r="J1725" s="80"/>
      <c r="K1725" s="81"/>
      <c r="L1725" s="81"/>
      <c r="M1725" s="81"/>
      <c r="N1725" s="84" t="str">
        <f aca="false">IF(C1725="","",IF(P1725="","NJ INCONNU",IF(I1725="",IF(H1725="OUI","À ENROBER",IF(G1725="À SOUDER","NON SOUDÉ","EN ATTENTE RT")),IF(L1725="R","À REPRENDRE",IF(H1725&lt;&gt;"OUI","⚠ ENROBÉ AVANT ACCEPTATION RT","ENROBÉ")))))</f>
        <v>À ENROBER</v>
      </c>
      <c r="O1725" s="80"/>
      <c r="P1725" s="82" t="n">
        <f aca="false">IF(C1725="","",IFERROR(MATCH(Q1725,'CARNET DE SOUDURE'!$AW$7:$AW$3006,0),""))</f>
        <v>1719</v>
      </c>
      <c r="Q1725" s="82" t="str">
        <f aca="false">IF(C1725="","",B1725&amp;"|"&amp;C1725)</f>
        <v>MFD-ISW → MFD-CPF|DJ°141</v>
      </c>
    </row>
    <row r="1726" customFormat="false" ht="74.6" hidden="false" customHeight="false" outlineLevel="0" collapsed="false">
      <c r="A1726" s="82" t="n">
        <f aca="false">IF(C1726="","",ROW()-6)</f>
        <v>1720</v>
      </c>
      <c r="B1726" s="80" t="s">
        <v>110</v>
      </c>
      <c r="C1726" s="113" t="s">
        <v>2096</v>
      </c>
      <c r="D1726" s="82" t="str">
        <f aca="false">IF(OR(C1726="",P1726=""),"",INDEX('CARNET DE SOUDURE'!$D$7:$D$3006,P1726)&amp;"")</f>
        <v>15</v>
      </c>
      <c r="E1726" s="114" t="n">
        <f aca="false">IF(OR(C1726="",P1726=""),"",IF(INDEX('CARNET DE SOUDURE'!$U$7:$U$3006,P1726)="","",INDEX('CARNET DE SOUDURE'!$U$7:$U$3006,P1726)))</f>
        <v>46272</v>
      </c>
      <c r="F1726" s="82" t="str">
        <f aca="false">IF(OR(C1726="",P1726=""),"",INDEX('CARNET DE SOUDURE'!$AP$7:$AP$3006,P1726))</f>
        <v>A</v>
      </c>
      <c r="G1726" s="82" t="str">
        <f aca="false">IF(C1726="","",IF(P1726="","NJ INCONNU",INDEX('CARNET DE SOUDURE'!$AQ$7:$AQ$3006,P1726)))</f>
        <v>ACCEPTÉ</v>
      </c>
      <c r="H1726" s="82" t="str">
        <f aca="false">IF(C1726="","",IF(G1726="ACCEPTÉ","OUI","NON"))</f>
        <v>OUI</v>
      </c>
      <c r="I1726" s="83"/>
      <c r="J1726" s="80"/>
      <c r="K1726" s="81"/>
      <c r="L1726" s="81"/>
      <c r="M1726" s="81"/>
      <c r="N1726" s="84" t="str">
        <f aca="false">IF(C1726="","",IF(P1726="","NJ INCONNU",IF(I1726="",IF(H1726="OUI","À ENROBER",IF(G1726="À SOUDER","NON SOUDÉ","EN ATTENTE RT")),IF(L1726="R","À REPRENDRE",IF(H1726&lt;&gt;"OUI","⚠ ENROBÉ AVANT ACCEPTATION RT","ENROBÉ")))))</f>
        <v>À ENROBER</v>
      </c>
      <c r="O1726" s="80"/>
      <c r="P1726" s="82" t="n">
        <f aca="false">IF(C1726="","",IFERROR(MATCH(Q1726,'CARNET DE SOUDURE'!$AW$7:$AW$3006,0),""))</f>
        <v>1720</v>
      </c>
      <c r="Q1726" s="82" t="str">
        <f aca="false">IF(C1726="","",B1726&amp;"|"&amp;C1726)</f>
        <v>MFD-ISW → MFD-CPF|JN°1377</v>
      </c>
    </row>
    <row r="1727" customFormat="false" ht="74.6" hidden="false" customHeight="false" outlineLevel="0" collapsed="false">
      <c r="A1727" s="82" t="n">
        <f aca="false">IF(C1727="","",ROW()-6)</f>
        <v>1721</v>
      </c>
      <c r="B1727" s="80" t="s">
        <v>110</v>
      </c>
      <c r="C1727" s="113" t="s">
        <v>2099</v>
      </c>
      <c r="D1727" s="82" t="str">
        <f aca="false">IF(OR(C1727="",P1727=""),"",INDEX('CARNET DE SOUDURE'!$D$7:$D$3006,P1727)&amp;"")</f>
        <v>15</v>
      </c>
      <c r="E1727" s="114" t="n">
        <f aca="false">IF(OR(C1727="",P1727=""),"",IF(INDEX('CARNET DE SOUDURE'!$U$7:$U$3006,P1727)="","",INDEX('CARNET DE SOUDURE'!$U$7:$U$3006,P1727)))</f>
        <v>46259</v>
      </c>
      <c r="F1727" s="82" t="str">
        <f aca="false">IF(OR(C1727="",P1727=""),"",INDEX('CARNET DE SOUDURE'!$AP$7:$AP$3006,P1727))</f>
        <v>A</v>
      </c>
      <c r="G1727" s="82" t="str">
        <f aca="false">IF(C1727="","",IF(P1727="","NJ INCONNU",INDEX('CARNET DE SOUDURE'!$AQ$7:$AQ$3006,P1727)))</f>
        <v>ACCEPTÉ</v>
      </c>
      <c r="H1727" s="82" t="str">
        <f aca="false">IF(C1727="","",IF(G1727="ACCEPTÉ","OUI","NON"))</f>
        <v>OUI</v>
      </c>
      <c r="I1727" s="83"/>
      <c r="J1727" s="80"/>
      <c r="K1727" s="81"/>
      <c r="L1727" s="81"/>
      <c r="M1727" s="81"/>
      <c r="N1727" s="84" t="str">
        <f aca="false">IF(C1727="","",IF(P1727="","NJ INCONNU",IF(I1727="",IF(H1727="OUI","À ENROBER",IF(G1727="À SOUDER","NON SOUDÉ","EN ATTENTE RT")),IF(L1727="R","À REPRENDRE",IF(H1727&lt;&gt;"OUI","⚠ ENROBÉ AVANT ACCEPTATION RT","ENROBÉ")))))</f>
        <v>À ENROBER</v>
      </c>
      <c r="O1727" s="80"/>
      <c r="P1727" s="82" t="n">
        <f aca="false">IF(C1727="","",IFERROR(MATCH(Q1727,'CARNET DE SOUDURE'!$AW$7:$AW$3006,0),""))</f>
        <v>1721</v>
      </c>
      <c r="Q1727" s="82" t="str">
        <f aca="false">IF(C1727="","",B1727&amp;"|"&amp;C1727)</f>
        <v>MFD-ISW → MFD-CPF|DJ°146</v>
      </c>
    </row>
    <row r="1728" customFormat="false" ht="74.6" hidden="false" customHeight="false" outlineLevel="0" collapsed="false">
      <c r="A1728" s="82" t="n">
        <f aca="false">IF(C1728="","",ROW()-6)</f>
        <v>1722</v>
      </c>
      <c r="B1728" s="80" t="s">
        <v>110</v>
      </c>
      <c r="C1728" s="113" t="s">
        <v>2100</v>
      </c>
      <c r="D1728" s="82" t="str">
        <f aca="false">IF(OR(C1728="",P1728=""),"",INDEX('CARNET DE SOUDURE'!$D$7:$D$3006,P1728)&amp;"")</f>
        <v>15</v>
      </c>
      <c r="E1728" s="114" t="n">
        <f aca="false">IF(OR(C1728="",P1728=""),"",IF(INDEX('CARNET DE SOUDURE'!$U$7:$U$3006,P1728)="","",INDEX('CARNET DE SOUDURE'!$U$7:$U$3006,P1728)))</f>
        <v>46272</v>
      </c>
      <c r="F1728" s="82" t="str">
        <f aca="false">IF(OR(C1728="",P1728=""),"",INDEX('CARNET DE SOUDURE'!$AP$7:$AP$3006,P1728))</f>
        <v>A</v>
      </c>
      <c r="G1728" s="82" t="str">
        <f aca="false">IF(C1728="","",IF(P1728="","NJ INCONNU",INDEX('CARNET DE SOUDURE'!$AQ$7:$AQ$3006,P1728)))</f>
        <v>ACCEPTÉ</v>
      </c>
      <c r="H1728" s="82" t="str">
        <f aca="false">IF(C1728="","",IF(G1728="ACCEPTÉ","OUI","NON"))</f>
        <v>OUI</v>
      </c>
      <c r="I1728" s="83"/>
      <c r="J1728" s="80"/>
      <c r="K1728" s="81"/>
      <c r="L1728" s="81"/>
      <c r="M1728" s="81"/>
      <c r="N1728" s="84" t="str">
        <f aca="false">IF(C1728="","",IF(P1728="","NJ INCONNU",IF(I1728="",IF(H1728="OUI","À ENROBER",IF(G1728="À SOUDER","NON SOUDÉ","EN ATTENTE RT")),IF(L1728="R","À REPRENDRE",IF(H1728&lt;&gt;"OUI","⚠ ENROBÉ AVANT ACCEPTATION RT","ENROBÉ")))))</f>
        <v>À ENROBER</v>
      </c>
      <c r="O1728" s="80"/>
      <c r="P1728" s="82" t="n">
        <f aca="false">IF(C1728="","",IFERROR(MATCH(Q1728,'CARNET DE SOUDURE'!$AW$7:$AW$3006,0),""))</f>
        <v>1722</v>
      </c>
      <c r="Q1728" s="82" t="str">
        <f aca="false">IF(C1728="","",B1728&amp;"|"&amp;C1728)</f>
        <v>MFD-ISW → MFD-CPF|JN°1378</v>
      </c>
    </row>
    <row r="1729" customFormat="false" ht="74.6" hidden="false" customHeight="false" outlineLevel="0" collapsed="false">
      <c r="A1729" s="82" t="n">
        <f aca="false">IF(C1729="","",ROW()-6)</f>
        <v>1723</v>
      </c>
      <c r="B1729" s="80" t="s">
        <v>110</v>
      </c>
      <c r="C1729" s="113" t="s">
        <v>2101</v>
      </c>
      <c r="D1729" s="82" t="str">
        <f aca="false">IF(OR(C1729="",P1729=""),"",INDEX('CARNET DE SOUDURE'!$D$7:$D$3006,P1729)&amp;"")</f>
        <v>15</v>
      </c>
      <c r="E1729" s="114" t="n">
        <f aca="false">IF(OR(C1729="",P1729=""),"",IF(INDEX('CARNET DE SOUDURE'!$U$7:$U$3006,P1729)="","",INDEX('CARNET DE SOUDURE'!$U$7:$U$3006,P1729)))</f>
        <v>46259</v>
      </c>
      <c r="F1729" s="82" t="str">
        <f aca="false">IF(OR(C1729="",P1729=""),"",INDEX('CARNET DE SOUDURE'!$AP$7:$AP$3006,P1729))</f>
        <v>A</v>
      </c>
      <c r="G1729" s="82" t="str">
        <f aca="false">IF(C1729="","",IF(P1729="","NJ INCONNU",INDEX('CARNET DE SOUDURE'!$AQ$7:$AQ$3006,P1729)))</f>
        <v>ACCEPTÉ</v>
      </c>
      <c r="H1729" s="82" t="str">
        <f aca="false">IF(C1729="","",IF(G1729="ACCEPTÉ","OUI","NON"))</f>
        <v>OUI</v>
      </c>
      <c r="I1729" s="83"/>
      <c r="J1729" s="80"/>
      <c r="K1729" s="81"/>
      <c r="L1729" s="81"/>
      <c r="M1729" s="81"/>
      <c r="N1729" s="84" t="str">
        <f aca="false">IF(C1729="","",IF(P1729="","NJ INCONNU",IF(I1729="",IF(H1729="OUI","À ENROBER",IF(G1729="À SOUDER","NON SOUDÉ","EN ATTENTE RT")),IF(L1729="R","À REPRENDRE",IF(H1729&lt;&gt;"OUI","⚠ ENROBÉ AVANT ACCEPTATION RT","ENROBÉ")))))</f>
        <v>À ENROBER</v>
      </c>
      <c r="O1729" s="80"/>
      <c r="P1729" s="82" t="n">
        <f aca="false">IF(C1729="","",IFERROR(MATCH(Q1729,'CARNET DE SOUDURE'!$AW$7:$AW$3006,0),""))</f>
        <v>1723</v>
      </c>
      <c r="Q1729" s="82" t="str">
        <f aca="false">IF(C1729="","",B1729&amp;"|"&amp;C1729)</f>
        <v>MFD-ISW → MFD-CPF|DJ°135</v>
      </c>
    </row>
    <row r="1730" customFormat="false" ht="74.6" hidden="false" customHeight="false" outlineLevel="0" collapsed="false">
      <c r="A1730" s="82" t="n">
        <f aca="false">IF(C1730="","",ROW()-6)</f>
        <v>1724</v>
      </c>
      <c r="B1730" s="80" t="s">
        <v>110</v>
      </c>
      <c r="C1730" s="113" t="s">
        <v>2102</v>
      </c>
      <c r="D1730" s="82" t="str">
        <f aca="false">IF(OR(C1730="",P1730=""),"",INDEX('CARNET DE SOUDURE'!$D$7:$D$3006,P1730)&amp;"")</f>
        <v>15</v>
      </c>
      <c r="E1730" s="114" t="n">
        <f aca="false">IF(OR(C1730="",P1730=""),"",IF(INDEX('CARNET DE SOUDURE'!$U$7:$U$3006,P1730)="","",INDEX('CARNET DE SOUDURE'!$U$7:$U$3006,P1730)))</f>
        <v>46272</v>
      </c>
      <c r="F1730" s="82" t="str">
        <f aca="false">IF(OR(C1730="",P1730=""),"",INDEX('CARNET DE SOUDURE'!$AP$7:$AP$3006,P1730))</f>
        <v>NT</v>
      </c>
      <c r="G1730" s="82" t="str">
        <f aca="false">IF(C1730="","",IF(P1730="","NJ INCONNU",INDEX('CARNET DE SOUDURE'!$AQ$7:$AQ$3006,P1730)))</f>
        <v>COUPE – À RESOUDER</v>
      </c>
      <c r="H1730" s="82" t="str">
        <f aca="false">IF(C1730="","",IF(G1730="ACCEPTÉ","OUI","NON"))</f>
        <v>NON</v>
      </c>
      <c r="I1730" s="83"/>
      <c r="J1730" s="80"/>
      <c r="K1730" s="81"/>
      <c r="L1730" s="81"/>
      <c r="M1730" s="81"/>
      <c r="N1730" s="84" t="str">
        <f aca="false">IF(C1730="","",IF(P1730="","NJ INCONNU",IF(I1730="",IF(H1730="OUI","À ENROBER",IF(G1730="À SOUDER","NON SOUDÉ","EN ATTENTE RT")),IF(L1730="R","À REPRENDRE",IF(H1730&lt;&gt;"OUI","⚠ ENROBÉ AVANT ACCEPTATION RT","ENROBÉ")))))</f>
        <v>EN ATTENTE RT</v>
      </c>
      <c r="O1730" s="80"/>
      <c r="P1730" s="82" t="n">
        <f aca="false">IF(C1730="","",IFERROR(MATCH(Q1730,'CARNET DE SOUDURE'!$AW$7:$AW$3006,0),""))</f>
        <v>1724</v>
      </c>
      <c r="Q1730" s="82" t="str">
        <f aca="false">IF(C1730="","",B1730&amp;"|"&amp;C1730)</f>
        <v>MFD-ISW → MFD-CPF|JN°1379</v>
      </c>
    </row>
    <row r="1731" customFormat="false" ht="74.6" hidden="false" customHeight="false" outlineLevel="0" collapsed="false">
      <c r="A1731" s="82" t="n">
        <f aca="false">IF(C1731="","",ROW()-6)</f>
        <v>1725</v>
      </c>
      <c r="B1731" s="80" t="s">
        <v>110</v>
      </c>
      <c r="C1731" s="113" t="s">
        <v>2104</v>
      </c>
      <c r="D1731" s="82" t="str">
        <f aca="false">IF(OR(C1731="",P1731=""),"",INDEX('CARNET DE SOUDURE'!$D$7:$D$3006,P1731)&amp;"")</f>
        <v>15</v>
      </c>
      <c r="E1731" s="114" t="n">
        <f aca="false">IF(OR(C1731="",P1731=""),"",IF(INDEX('CARNET DE SOUDURE'!$U$7:$U$3006,P1731)="","",INDEX('CARNET DE SOUDURE'!$U$7:$U$3006,P1731)))</f>
        <v>46259</v>
      </c>
      <c r="F1731" s="82" t="str">
        <f aca="false">IF(OR(C1731="",P1731=""),"",INDEX('CARNET DE SOUDURE'!$AP$7:$AP$3006,P1731))</f>
        <v>A</v>
      </c>
      <c r="G1731" s="82" t="str">
        <f aca="false">IF(C1731="","",IF(P1731="","NJ INCONNU",INDEX('CARNET DE SOUDURE'!$AQ$7:$AQ$3006,P1731)))</f>
        <v>ACCEPTÉ</v>
      </c>
      <c r="H1731" s="82" t="str">
        <f aca="false">IF(C1731="","",IF(G1731="ACCEPTÉ","OUI","NON"))</f>
        <v>OUI</v>
      </c>
      <c r="I1731" s="83"/>
      <c r="J1731" s="80"/>
      <c r="K1731" s="81"/>
      <c r="L1731" s="81"/>
      <c r="M1731" s="81"/>
      <c r="N1731" s="84" t="str">
        <f aca="false">IF(C1731="","",IF(P1731="","NJ INCONNU",IF(I1731="",IF(H1731="OUI","À ENROBER",IF(G1731="À SOUDER","NON SOUDÉ","EN ATTENTE RT")),IF(L1731="R","À REPRENDRE",IF(H1731&lt;&gt;"OUI","⚠ ENROBÉ AVANT ACCEPTATION RT","ENROBÉ")))))</f>
        <v>À ENROBER</v>
      </c>
      <c r="O1731" s="80"/>
      <c r="P1731" s="82" t="n">
        <f aca="false">IF(C1731="","",IFERROR(MATCH(Q1731,'CARNET DE SOUDURE'!$AW$7:$AW$3006,0),""))</f>
        <v>1725</v>
      </c>
      <c r="Q1731" s="82" t="str">
        <f aca="false">IF(C1731="","",B1731&amp;"|"&amp;C1731)</f>
        <v>MFD-ISW → MFD-CPF|DJ°144</v>
      </c>
    </row>
    <row r="1732" customFormat="false" ht="74.6" hidden="false" customHeight="false" outlineLevel="0" collapsed="false">
      <c r="A1732" s="82" t="n">
        <f aca="false">IF(C1732="","",ROW()-6)</f>
        <v>1726</v>
      </c>
      <c r="B1732" s="80" t="s">
        <v>110</v>
      </c>
      <c r="C1732" s="113" t="s">
        <v>2105</v>
      </c>
      <c r="D1732" s="82" t="str">
        <f aca="false">IF(OR(C1732="",P1732=""),"",INDEX('CARNET DE SOUDURE'!$D$7:$D$3006,P1732)&amp;"")</f>
        <v>15</v>
      </c>
      <c r="E1732" s="114" t="n">
        <f aca="false">IF(OR(C1732="",P1732=""),"",IF(INDEX('CARNET DE SOUDURE'!$U$7:$U$3006,P1732)="","",INDEX('CARNET DE SOUDURE'!$U$7:$U$3006,P1732)))</f>
        <v>46272</v>
      </c>
      <c r="F1732" s="82" t="str">
        <f aca="false">IF(OR(C1732="",P1732=""),"",INDEX('CARNET DE SOUDURE'!$AP$7:$AP$3006,P1732))</f>
        <v>A</v>
      </c>
      <c r="G1732" s="82" t="str">
        <f aca="false">IF(C1732="","",IF(P1732="","NJ INCONNU",INDEX('CARNET DE SOUDURE'!$AQ$7:$AQ$3006,P1732)))</f>
        <v>ACCEPTÉ</v>
      </c>
      <c r="H1732" s="82" t="str">
        <f aca="false">IF(C1732="","",IF(G1732="ACCEPTÉ","OUI","NON"))</f>
        <v>OUI</v>
      </c>
      <c r="I1732" s="83"/>
      <c r="J1732" s="80"/>
      <c r="K1732" s="81"/>
      <c r="L1732" s="81"/>
      <c r="M1732" s="81"/>
      <c r="N1732" s="84" t="str">
        <f aca="false">IF(C1732="","",IF(P1732="","NJ INCONNU",IF(I1732="",IF(H1732="OUI","À ENROBER",IF(G1732="À SOUDER","NON SOUDÉ","EN ATTENTE RT")),IF(L1732="R","À REPRENDRE",IF(H1732&lt;&gt;"OUI","⚠ ENROBÉ AVANT ACCEPTATION RT","ENROBÉ")))))</f>
        <v>À ENROBER</v>
      </c>
      <c r="O1732" s="80"/>
      <c r="P1732" s="82" t="n">
        <f aca="false">IF(C1732="","",IFERROR(MATCH(Q1732,'CARNET DE SOUDURE'!$AW$7:$AW$3006,0),""))</f>
        <v>1726</v>
      </c>
      <c r="Q1732" s="82" t="str">
        <f aca="false">IF(C1732="","",B1732&amp;"|"&amp;C1732)</f>
        <v>MFD-ISW → MFD-CPF|JN°1380</v>
      </c>
    </row>
    <row r="1733" customFormat="false" ht="74.6" hidden="false" customHeight="false" outlineLevel="0" collapsed="false">
      <c r="A1733" s="82" t="n">
        <f aca="false">IF(C1733="","",ROW()-6)</f>
        <v>1727</v>
      </c>
      <c r="B1733" s="80" t="s">
        <v>110</v>
      </c>
      <c r="C1733" s="113" t="s">
        <v>2106</v>
      </c>
      <c r="D1733" s="82" t="str">
        <f aca="false">IF(OR(C1733="",P1733=""),"",INDEX('CARNET DE SOUDURE'!$D$7:$D$3006,P1733)&amp;"")</f>
        <v>15</v>
      </c>
      <c r="E1733" s="114" t="n">
        <f aca="false">IF(OR(C1733="",P1733=""),"",IF(INDEX('CARNET DE SOUDURE'!$U$7:$U$3006,P1733)="","",INDEX('CARNET DE SOUDURE'!$U$7:$U$3006,P1733)))</f>
        <v>46259</v>
      </c>
      <c r="F1733" s="82" t="str">
        <f aca="false">IF(OR(C1733="",P1733=""),"",INDEX('CARNET DE SOUDURE'!$AP$7:$AP$3006,P1733))</f>
        <v>A</v>
      </c>
      <c r="G1733" s="82" t="str">
        <f aca="false">IF(C1733="","",IF(P1733="","NJ INCONNU",INDEX('CARNET DE SOUDURE'!$AQ$7:$AQ$3006,P1733)))</f>
        <v>ACCEPTÉ</v>
      </c>
      <c r="H1733" s="82" t="str">
        <f aca="false">IF(C1733="","",IF(G1733="ACCEPTÉ","OUI","NON"))</f>
        <v>OUI</v>
      </c>
      <c r="I1733" s="83"/>
      <c r="J1733" s="80"/>
      <c r="K1733" s="81"/>
      <c r="L1733" s="81"/>
      <c r="M1733" s="81"/>
      <c r="N1733" s="84" t="str">
        <f aca="false">IF(C1733="","",IF(P1733="","NJ INCONNU",IF(I1733="",IF(H1733="OUI","À ENROBER",IF(G1733="À SOUDER","NON SOUDÉ","EN ATTENTE RT")),IF(L1733="R","À REPRENDRE",IF(H1733&lt;&gt;"OUI","⚠ ENROBÉ AVANT ACCEPTATION RT","ENROBÉ")))))</f>
        <v>À ENROBER</v>
      </c>
      <c r="O1733" s="80"/>
      <c r="P1733" s="82" t="n">
        <f aca="false">IF(C1733="","",IFERROR(MATCH(Q1733,'CARNET DE SOUDURE'!$AW$7:$AW$3006,0),""))</f>
        <v>1727</v>
      </c>
      <c r="Q1733" s="82" t="str">
        <f aca="false">IF(C1733="","",B1733&amp;"|"&amp;C1733)</f>
        <v>MFD-ISW → MFD-CPF|DJ°142</v>
      </c>
    </row>
    <row r="1734" customFormat="false" ht="74.6" hidden="false" customHeight="false" outlineLevel="0" collapsed="false">
      <c r="A1734" s="82" t="n">
        <f aca="false">IF(C1734="","",ROW()-6)</f>
        <v>1728</v>
      </c>
      <c r="B1734" s="80" t="s">
        <v>110</v>
      </c>
      <c r="C1734" s="113" t="s">
        <v>2107</v>
      </c>
      <c r="D1734" s="82" t="str">
        <f aca="false">IF(OR(C1734="",P1734=""),"",INDEX('CARNET DE SOUDURE'!$D$7:$D$3006,P1734)&amp;"")</f>
        <v>15</v>
      </c>
      <c r="E1734" s="114" t="n">
        <f aca="false">IF(OR(C1734="",P1734=""),"",IF(INDEX('CARNET DE SOUDURE'!$U$7:$U$3006,P1734)="","",INDEX('CARNET DE SOUDURE'!$U$7:$U$3006,P1734)))</f>
        <v>46272</v>
      </c>
      <c r="F1734" s="82" t="str">
        <f aca="false">IF(OR(C1734="",P1734=""),"",INDEX('CARNET DE SOUDURE'!$AP$7:$AP$3006,P1734))</f>
        <v>R</v>
      </c>
      <c r="G1734" s="82" t="str">
        <f aca="false">IF(C1734="","",IF(P1734="","NJ INCONNU",INDEX('CARNET DE SOUDURE'!$AQ$7:$AQ$3006,P1734)))</f>
        <v>À RÉPARER</v>
      </c>
      <c r="H1734" s="82" t="str">
        <f aca="false">IF(C1734="","",IF(G1734="ACCEPTÉ","OUI","NON"))</f>
        <v>NON</v>
      </c>
      <c r="I1734" s="83"/>
      <c r="J1734" s="80"/>
      <c r="K1734" s="81"/>
      <c r="L1734" s="81"/>
      <c r="M1734" s="81"/>
      <c r="N1734" s="84" t="str">
        <f aca="false">IF(C1734="","",IF(P1734="","NJ INCONNU",IF(I1734="",IF(H1734="OUI","À ENROBER",IF(G1734="À SOUDER","NON SOUDÉ","EN ATTENTE RT")),IF(L1734="R","À REPRENDRE",IF(H1734&lt;&gt;"OUI","⚠ ENROBÉ AVANT ACCEPTATION RT","ENROBÉ")))))</f>
        <v>EN ATTENTE RT</v>
      </c>
      <c r="O1734" s="80"/>
      <c r="P1734" s="82" t="n">
        <f aca="false">IF(C1734="","",IFERROR(MATCH(Q1734,'CARNET DE SOUDURE'!$AW$7:$AW$3006,0),""))</f>
        <v>1728</v>
      </c>
      <c r="Q1734" s="82" t="str">
        <f aca="false">IF(C1734="","",B1734&amp;"|"&amp;C1734)</f>
        <v>MFD-ISW → MFD-CPF|JN°1381</v>
      </c>
    </row>
    <row r="1735" customFormat="false" ht="74.6" hidden="false" customHeight="false" outlineLevel="0" collapsed="false">
      <c r="A1735" s="82" t="n">
        <f aca="false">IF(C1735="","",ROW()-6)</f>
        <v>1729</v>
      </c>
      <c r="B1735" s="80" t="s">
        <v>110</v>
      </c>
      <c r="C1735" s="113" t="s">
        <v>2109</v>
      </c>
      <c r="D1735" s="82" t="str">
        <f aca="false">IF(OR(C1735="",P1735=""),"",INDEX('CARNET DE SOUDURE'!$D$7:$D$3006,P1735)&amp;"")</f>
        <v>15</v>
      </c>
      <c r="E1735" s="114" t="n">
        <f aca="false">IF(OR(C1735="",P1735=""),"",IF(INDEX('CARNET DE SOUDURE'!$U$7:$U$3006,P1735)="","",INDEX('CARNET DE SOUDURE'!$U$7:$U$3006,P1735)))</f>
        <v>46259</v>
      </c>
      <c r="F1735" s="82" t="str">
        <f aca="false">IF(OR(C1735="",P1735=""),"",INDEX('CARNET DE SOUDURE'!$AP$7:$AP$3006,P1735))</f>
        <v>A</v>
      </c>
      <c r="G1735" s="82" t="str">
        <f aca="false">IF(C1735="","",IF(P1735="","NJ INCONNU",INDEX('CARNET DE SOUDURE'!$AQ$7:$AQ$3006,P1735)))</f>
        <v>ACCEPTÉ</v>
      </c>
      <c r="H1735" s="82" t="str">
        <f aca="false">IF(C1735="","",IF(G1735="ACCEPTÉ","OUI","NON"))</f>
        <v>OUI</v>
      </c>
      <c r="I1735" s="83"/>
      <c r="J1735" s="80"/>
      <c r="K1735" s="81"/>
      <c r="L1735" s="81"/>
      <c r="M1735" s="81"/>
      <c r="N1735" s="84" t="str">
        <f aca="false">IF(C1735="","",IF(P1735="","NJ INCONNU",IF(I1735="",IF(H1735="OUI","À ENROBER",IF(G1735="À SOUDER","NON SOUDÉ","EN ATTENTE RT")),IF(L1735="R","À REPRENDRE",IF(H1735&lt;&gt;"OUI","⚠ ENROBÉ AVANT ACCEPTATION RT","ENROBÉ")))))</f>
        <v>À ENROBER</v>
      </c>
      <c r="O1735" s="80"/>
      <c r="P1735" s="82" t="n">
        <f aca="false">IF(C1735="","",IFERROR(MATCH(Q1735,'CARNET DE SOUDURE'!$AW$7:$AW$3006,0),""))</f>
        <v>1729</v>
      </c>
      <c r="Q1735" s="82" t="str">
        <f aca="false">IF(C1735="","",B1735&amp;"|"&amp;C1735)</f>
        <v>MFD-ISW → MFD-CPF|DJ°143</v>
      </c>
    </row>
    <row r="1736" customFormat="false" ht="74.6" hidden="false" customHeight="false" outlineLevel="0" collapsed="false">
      <c r="A1736" s="82" t="n">
        <f aca="false">IF(C1736="","",ROW()-6)</f>
        <v>1730</v>
      </c>
      <c r="B1736" s="80" t="s">
        <v>110</v>
      </c>
      <c r="C1736" s="113" t="s">
        <v>2110</v>
      </c>
      <c r="D1736" s="82" t="str">
        <f aca="false">IF(OR(C1736="",P1736=""),"",INDEX('CARNET DE SOUDURE'!$D$7:$D$3006,P1736)&amp;"")</f>
        <v>15</v>
      </c>
      <c r="E1736" s="114" t="n">
        <f aca="false">IF(OR(C1736="",P1736=""),"",IF(INDEX('CARNET DE SOUDURE'!$U$7:$U$3006,P1736)="","",INDEX('CARNET DE SOUDURE'!$U$7:$U$3006,P1736)))</f>
        <v>46272</v>
      </c>
      <c r="F1736" s="82" t="str">
        <f aca="false">IF(OR(C1736="",P1736=""),"",INDEX('CARNET DE SOUDURE'!$AP$7:$AP$3006,P1736))</f>
        <v>A</v>
      </c>
      <c r="G1736" s="82" t="str">
        <f aca="false">IF(C1736="","",IF(P1736="","NJ INCONNU",INDEX('CARNET DE SOUDURE'!$AQ$7:$AQ$3006,P1736)))</f>
        <v>ACCEPTÉ</v>
      </c>
      <c r="H1736" s="82" t="str">
        <f aca="false">IF(C1736="","",IF(G1736="ACCEPTÉ","OUI","NON"))</f>
        <v>OUI</v>
      </c>
      <c r="I1736" s="83"/>
      <c r="J1736" s="80"/>
      <c r="K1736" s="81"/>
      <c r="L1736" s="81"/>
      <c r="M1736" s="81"/>
      <c r="N1736" s="84" t="str">
        <f aca="false">IF(C1736="","",IF(P1736="","NJ INCONNU",IF(I1736="",IF(H1736="OUI","À ENROBER",IF(G1736="À SOUDER","NON SOUDÉ","EN ATTENTE RT")),IF(L1736="R","À REPRENDRE",IF(H1736&lt;&gt;"OUI","⚠ ENROBÉ AVANT ACCEPTATION RT","ENROBÉ")))))</f>
        <v>À ENROBER</v>
      </c>
      <c r="O1736" s="80"/>
      <c r="P1736" s="82" t="n">
        <f aca="false">IF(C1736="","",IFERROR(MATCH(Q1736,'CARNET DE SOUDURE'!$AW$7:$AW$3006,0),""))</f>
        <v>1730</v>
      </c>
      <c r="Q1736" s="82" t="str">
        <f aca="false">IF(C1736="","",B1736&amp;"|"&amp;C1736)</f>
        <v>MFD-ISW → MFD-CPF|JN°1382</v>
      </c>
    </row>
    <row r="1737" customFormat="false" ht="74.6" hidden="false" customHeight="false" outlineLevel="0" collapsed="false">
      <c r="A1737" s="82" t="n">
        <f aca="false">IF(C1737="","",ROW()-6)</f>
        <v>1731</v>
      </c>
      <c r="B1737" s="80" t="s">
        <v>110</v>
      </c>
      <c r="C1737" s="113" t="s">
        <v>2111</v>
      </c>
      <c r="D1737" s="82" t="str">
        <f aca="false">IF(OR(C1737="",P1737=""),"",INDEX('CARNET DE SOUDURE'!$D$7:$D$3006,P1737)&amp;"")</f>
        <v>15</v>
      </c>
      <c r="E1737" s="114" t="n">
        <f aca="false">IF(OR(C1737="",P1737=""),"",IF(INDEX('CARNET DE SOUDURE'!$U$7:$U$3006,P1737)="","",INDEX('CARNET DE SOUDURE'!$U$7:$U$3006,P1737)))</f>
        <v>46254</v>
      </c>
      <c r="F1737" s="82" t="str">
        <f aca="false">IF(OR(C1737="",P1737=""),"",INDEX('CARNET DE SOUDURE'!$AP$7:$AP$3006,P1737))</f>
        <v>A</v>
      </c>
      <c r="G1737" s="82" t="str">
        <f aca="false">IF(C1737="","",IF(P1737="","NJ INCONNU",INDEX('CARNET DE SOUDURE'!$AQ$7:$AQ$3006,P1737)))</f>
        <v>ACCEPTÉ</v>
      </c>
      <c r="H1737" s="82" t="str">
        <f aca="false">IF(C1737="","",IF(G1737="ACCEPTÉ","OUI","NON"))</f>
        <v>OUI</v>
      </c>
      <c r="I1737" s="83"/>
      <c r="J1737" s="80"/>
      <c r="K1737" s="81"/>
      <c r="L1737" s="81"/>
      <c r="M1737" s="81"/>
      <c r="N1737" s="84" t="str">
        <f aca="false">IF(C1737="","",IF(P1737="","NJ INCONNU",IF(I1737="",IF(H1737="OUI","À ENROBER",IF(G1737="À SOUDER","NON SOUDÉ","EN ATTENTE RT")),IF(L1737="R","À REPRENDRE",IF(H1737&lt;&gt;"OUI","⚠ ENROBÉ AVANT ACCEPTATION RT","ENROBÉ")))))</f>
        <v>À ENROBER</v>
      </c>
      <c r="O1737" s="80"/>
      <c r="P1737" s="82" t="n">
        <f aca="false">IF(C1737="","",IFERROR(MATCH(Q1737,'CARNET DE SOUDURE'!$AW$7:$AW$3006,0),""))</f>
        <v>1731</v>
      </c>
      <c r="Q1737" s="82" t="str">
        <f aca="false">IF(C1737="","",B1737&amp;"|"&amp;C1737)</f>
        <v>MFD-ISW → MFD-CPF|DJ°067</v>
      </c>
    </row>
    <row r="1738" customFormat="false" ht="74.6" hidden="false" customHeight="false" outlineLevel="0" collapsed="false">
      <c r="A1738" s="82" t="n">
        <f aca="false">IF(C1738="","",ROW()-6)</f>
        <v>1732</v>
      </c>
      <c r="B1738" s="80" t="s">
        <v>110</v>
      </c>
      <c r="C1738" s="113" t="s">
        <v>2113</v>
      </c>
      <c r="D1738" s="82" t="str">
        <f aca="false">IF(OR(C1738="",P1738=""),"",INDEX('CARNET DE SOUDURE'!$D$7:$D$3006,P1738)&amp;"")</f>
        <v>15</v>
      </c>
      <c r="E1738" s="114" t="n">
        <f aca="false">IF(OR(C1738="",P1738=""),"",IF(INDEX('CARNET DE SOUDURE'!$U$7:$U$3006,P1738)="","",INDEX('CARNET DE SOUDURE'!$U$7:$U$3006,P1738)))</f>
        <v>46272</v>
      </c>
      <c r="F1738" s="82" t="str">
        <f aca="false">IF(OR(C1738="",P1738=""),"",INDEX('CARNET DE SOUDURE'!$AP$7:$AP$3006,P1738))</f>
        <v>A</v>
      </c>
      <c r="G1738" s="82" t="str">
        <f aca="false">IF(C1738="","",IF(P1738="","NJ INCONNU",INDEX('CARNET DE SOUDURE'!$AQ$7:$AQ$3006,P1738)))</f>
        <v>ACCEPTÉ</v>
      </c>
      <c r="H1738" s="82" t="str">
        <f aca="false">IF(C1738="","",IF(G1738="ACCEPTÉ","OUI","NON"))</f>
        <v>OUI</v>
      </c>
      <c r="I1738" s="83"/>
      <c r="J1738" s="80"/>
      <c r="K1738" s="81"/>
      <c r="L1738" s="81"/>
      <c r="M1738" s="81"/>
      <c r="N1738" s="84" t="str">
        <f aca="false">IF(C1738="","",IF(P1738="","NJ INCONNU",IF(I1738="",IF(H1738="OUI","À ENROBER",IF(G1738="À SOUDER","NON SOUDÉ","EN ATTENTE RT")),IF(L1738="R","À REPRENDRE",IF(H1738&lt;&gt;"OUI","⚠ ENROBÉ AVANT ACCEPTATION RT","ENROBÉ")))))</f>
        <v>À ENROBER</v>
      </c>
      <c r="O1738" s="80"/>
      <c r="P1738" s="82" t="n">
        <f aca="false">IF(C1738="","",IFERROR(MATCH(Q1738,'CARNET DE SOUDURE'!$AW$7:$AW$3006,0),""))</f>
        <v>1732</v>
      </c>
      <c r="Q1738" s="82" t="str">
        <f aca="false">IF(C1738="","",B1738&amp;"|"&amp;C1738)</f>
        <v>MFD-ISW → MFD-CPF|JN°1383</v>
      </c>
    </row>
    <row r="1739" customFormat="false" ht="74.6" hidden="false" customHeight="false" outlineLevel="0" collapsed="false">
      <c r="A1739" s="82" t="n">
        <f aca="false">IF(C1739="","",ROW()-6)</f>
        <v>1733</v>
      </c>
      <c r="B1739" s="80" t="s">
        <v>110</v>
      </c>
      <c r="C1739" s="113" t="s">
        <v>2114</v>
      </c>
      <c r="D1739" s="82" t="str">
        <f aca="false">IF(OR(C1739="",P1739=""),"",INDEX('CARNET DE SOUDURE'!$D$7:$D$3006,P1739)&amp;"")</f>
        <v>15</v>
      </c>
      <c r="E1739" s="114" t="n">
        <f aca="false">IF(OR(C1739="",P1739=""),"",IF(INDEX('CARNET DE SOUDURE'!$U$7:$U$3006,P1739)="","",INDEX('CARNET DE SOUDURE'!$U$7:$U$3006,P1739)))</f>
        <v>46260</v>
      </c>
      <c r="F1739" s="82" t="str">
        <f aca="false">IF(OR(C1739="",P1739=""),"",INDEX('CARNET DE SOUDURE'!$AP$7:$AP$3006,P1739))</f>
        <v>A</v>
      </c>
      <c r="G1739" s="82" t="str">
        <f aca="false">IF(C1739="","",IF(P1739="","NJ INCONNU",INDEX('CARNET DE SOUDURE'!$AQ$7:$AQ$3006,P1739)))</f>
        <v>ACCEPTÉ</v>
      </c>
      <c r="H1739" s="82" t="str">
        <f aca="false">IF(C1739="","",IF(G1739="ACCEPTÉ","OUI","NON"))</f>
        <v>OUI</v>
      </c>
      <c r="I1739" s="83"/>
      <c r="J1739" s="80"/>
      <c r="K1739" s="81"/>
      <c r="L1739" s="81"/>
      <c r="M1739" s="81"/>
      <c r="N1739" s="84" t="str">
        <f aca="false">IF(C1739="","",IF(P1739="","NJ INCONNU",IF(I1739="",IF(H1739="OUI","À ENROBER",IF(G1739="À SOUDER","NON SOUDÉ","EN ATTENTE RT")),IF(L1739="R","À REPRENDRE",IF(H1739&lt;&gt;"OUI","⚠ ENROBÉ AVANT ACCEPTATION RT","ENROBÉ")))))</f>
        <v>À ENROBER</v>
      </c>
      <c r="O1739" s="80"/>
      <c r="P1739" s="82" t="n">
        <f aca="false">IF(C1739="","",IFERROR(MATCH(Q1739,'CARNET DE SOUDURE'!$AW$7:$AW$3006,0),""))</f>
        <v>1733</v>
      </c>
      <c r="Q1739" s="82" t="str">
        <f aca="false">IF(C1739="","",B1739&amp;"|"&amp;C1739)</f>
        <v>MFD-ISW → MFD-CPF|DJ°160</v>
      </c>
    </row>
    <row r="1740" customFormat="false" ht="74.6" hidden="false" customHeight="false" outlineLevel="0" collapsed="false">
      <c r="A1740" s="82" t="n">
        <f aca="false">IF(C1740="","",ROW()-6)</f>
        <v>1734</v>
      </c>
      <c r="B1740" s="80" t="s">
        <v>110</v>
      </c>
      <c r="C1740" s="113" t="s">
        <v>2115</v>
      </c>
      <c r="D1740" s="82" t="str">
        <f aca="false">IF(OR(C1740="",P1740=""),"",INDEX('CARNET DE SOUDURE'!$D$7:$D$3006,P1740)&amp;"")</f>
        <v>15</v>
      </c>
      <c r="E1740" s="114" t="n">
        <f aca="false">IF(OR(C1740="",P1740=""),"",IF(INDEX('CARNET DE SOUDURE'!$U$7:$U$3006,P1740)="","",INDEX('CARNET DE SOUDURE'!$U$7:$U$3006,P1740)))</f>
        <v>46272</v>
      </c>
      <c r="F1740" s="82" t="str">
        <f aca="false">IF(OR(C1740="",P1740=""),"",INDEX('CARNET DE SOUDURE'!$AP$7:$AP$3006,P1740))</f>
        <v>R</v>
      </c>
      <c r="G1740" s="82" t="str">
        <f aca="false">IF(C1740="","",IF(P1740="","NJ INCONNU",INDEX('CARNET DE SOUDURE'!$AQ$7:$AQ$3006,P1740)))</f>
        <v>À RÉPARER</v>
      </c>
      <c r="H1740" s="82" t="str">
        <f aca="false">IF(C1740="","",IF(G1740="ACCEPTÉ","OUI","NON"))</f>
        <v>NON</v>
      </c>
      <c r="I1740" s="83"/>
      <c r="J1740" s="80"/>
      <c r="K1740" s="81"/>
      <c r="L1740" s="81"/>
      <c r="M1740" s="81"/>
      <c r="N1740" s="84" t="str">
        <f aca="false">IF(C1740="","",IF(P1740="","NJ INCONNU",IF(I1740="",IF(H1740="OUI","À ENROBER",IF(G1740="À SOUDER","NON SOUDÉ","EN ATTENTE RT")),IF(L1740="R","À REPRENDRE",IF(H1740&lt;&gt;"OUI","⚠ ENROBÉ AVANT ACCEPTATION RT","ENROBÉ")))))</f>
        <v>EN ATTENTE RT</v>
      </c>
      <c r="O1740" s="80"/>
      <c r="P1740" s="82" t="n">
        <f aca="false">IF(C1740="","",IFERROR(MATCH(Q1740,'CARNET DE SOUDURE'!$AW$7:$AW$3006,0),""))</f>
        <v>1734</v>
      </c>
      <c r="Q1740" s="82" t="str">
        <f aca="false">IF(C1740="","",B1740&amp;"|"&amp;C1740)</f>
        <v>MFD-ISW → MFD-CPF|JN°1384</v>
      </c>
    </row>
    <row r="1741" customFormat="false" ht="74.6" hidden="false" customHeight="false" outlineLevel="0" collapsed="false">
      <c r="A1741" s="82" t="n">
        <f aca="false">IF(C1741="","",ROW()-6)</f>
        <v>1735</v>
      </c>
      <c r="B1741" s="80" t="s">
        <v>110</v>
      </c>
      <c r="C1741" s="113" t="s">
        <v>2117</v>
      </c>
      <c r="D1741" s="82" t="str">
        <f aca="false">IF(OR(C1741="",P1741=""),"",INDEX('CARNET DE SOUDURE'!$D$7:$D$3006,P1741)&amp;"")</f>
        <v>15</v>
      </c>
      <c r="E1741" s="114" t="n">
        <f aca="false">IF(OR(C1741="",P1741=""),"",IF(INDEX('CARNET DE SOUDURE'!$U$7:$U$3006,P1741)="","",INDEX('CARNET DE SOUDURE'!$U$7:$U$3006,P1741)))</f>
        <v>46260</v>
      </c>
      <c r="F1741" s="82" t="str">
        <f aca="false">IF(OR(C1741="",P1741=""),"",INDEX('CARNET DE SOUDURE'!$AP$7:$AP$3006,P1741))</f>
        <v>A</v>
      </c>
      <c r="G1741" s="82" t="str">
        <f aca="false">IF(C1741="","",IF(P1741="","NJ INCONNU",INDEX('CARNET DE SOUDURE'!$AQ$7:$AQ$3006,P1741)))</f>
        <v>ACCEPTÉ</v>
      </c>
      <c r="H1741" s="82" t="str">
        <f aca="false">IF(C1741="","",IF(G1741="ACCEPTÉ","OUI","NON"))</f>
        <v>OUI</v>
      </c>
      <c r="I1741" s="83"/>
      <c r="J1741" s="80"/>
      <c r="K1741" s="81"/>
      <c r="L1741" s="81"/>
      <c r="M1741" s="81"/>
      <c r="N1741" s="84" t="str">
        <f aca="false">IF(C1741="","",IF(P1741="","NJ INCONNU",IF(I1741="",IF(H1741="OUI","À ENROBER",IF(G1741="À SOUDER","NON SOUDÉ","EN ATTENTE RT")),IF(L1741="R","À REPRENDRE",IF(H1741&lt;&gt;"OUI","⚠ ENROBÉ AVANT ACCEPTATION RT","ENROBÉ")))))</f>
        <v>À ENROBER</v>
      </c>
      <c r="O1741" s="80"/>
      <c r="P1741" s="82" t="n">
        <f aca="false">IF(C1741="","",IFERROR(MATCH(Q1741,'CARNET DE SOUDURE'!$AW$7:$AW$3006,0),""))</f>
        <v>1735</v>
      </c>
      <c r="Q1741" s="82" t="str">
        <f aca="false">IF(C1741="","",B1741&amp;"|"&amp;C1741)</f>
        <v>MFD-ISW → MFD-CPF|DJ°154</v>
      </c>
    </row>
    <row r="1742" customFormat="false" ht="74.6" hidden="false" customHeight="false" outlineLevel="0" collapsed="false">
      <c r="A1742" s="82" t="n">
        <f aca="false">IF(C1742="","",ROW()-6)</f>
        <v>1736</v>
      </c>
      <c r="B1742" s="80" t="s">
        <v>110</v>
      </c>
      <c r="C1742" s="113" t="s">
        <v>2118</v>
      </c>
      <c r="D1742" s="82" t="str">
        <f aca="false">IF(OR(C1742="",P1742=""),"",INDEX('CARNET DE SOUDURE'!$D$7:$D$3006,P1742)&amp;"")</f>
        <v>15</v>
      </c>
      <c r="E1742" s="114" t="str">
        <f aca="false">IF(OR(C1742="",P1742=""),"",IF(INDEX('CARNET DE SOUDURE'!$U$7:$U$3006,P1742)="","",INDEX('CARNET DE SOUDURE'!$U$7:$U$3006,P1742)))</f>
        <v/>
      </c>
      <c r="F1742" s="82" t="str">
        <f aca="false">IF(OR(C1742="",P1742=""),"",INDEX('CARNET DE SOUDURE'!$AP$7:$AP$3006,P1742))</f>
        <v/>
      </c>
      <c r="G1742" s="82" t="str">
        <f aca="false">IF(C1742="","",IF(P1742="","NJ INCONNU",INDEX('CARNET DE SOUDURE'!$AQ$7:$AQ$3006,P1742)))</f>
        <v>À SOUDER</v>
      </c>
      <c r="H1742" s="82" t="str">
        <f aca="false">IF(C1742="","",IF(G1742="ACCEPTÉ","OUI","NON"))</f>
        <v>NON</v>
      </c>
      <c r="I1742" s="83"/>
      <c r="J1742" s="80"/>
      <c r="K1742" s="81"/>
      <c r="L1742" s="81"/>
      <c r="M1742" s="81"/>
      <c r="N1742" s="84" t="str">
        <f aca="false">IF(C1742="","",IF(P1742="","NJ INCONNU",IF(I1742="",IF(H1742="OUI","À ENROBER",IF(G1742="À SOUDER","NON SOUDÉ","EN ATTENTE RT")),IF(L1742="R","À REPRENDRE",IF(H1742&lt;&gt;"OUI","⚠ ENROBÉ AVANT ACCEPTATION RT","ENROBÉ")))))</f>
        <v>NON SOUDÉ</v>
      </c>
      <c r="O1742" s="80"/>
      <c r="P1742" s="82" t="n">
        <f aca="false">IF(C1742="","",IFERROR(MATCH(Q1742,'CARNET DE SOUDURE'!$AW$7:$AW$3006,0),""))</f>
        <v>1736</v>
      </c>
      <c r="Q1742" s="82" t="str">
        <f aca="false">IF(C1742="","",B1742&amp;"|"&amp;C1742)</f>
        <v>MFD-ISW → MFD-CPF|JN°1385CT</v>
      </c>
    </row>
    <row r="1743" customFormat="false" ht="74.6" hidden="false" customHeight="false" outlineLevel="0" collapsed="false">
      <c r="A1743" s="82" t="n">
        <f aca="false">IF(C1743="","",ROW()-6)</f>
        <v>1737</v>
      </c>
      <c r="B1743" s="80" t="s">
        <v>110</v>
      </c>
      <c r="C1743" s="113" t="s">
        <v>2120</v>
      </c>
      <c r="D1743" s="82" t="str">
        <f aca="false">IF(OR(C1743="",P1743=""),"",INDEX('CARNET DE SOUDURE'!$D$7:$D$3006,P1743)&amp;"")</f>
        <v>15</v>
      </c>
      <c r="E1743" s="114" t="n">
        <f aca="false">IF(OR(C1743="",P1743=""),"",IF(INDEX('CARNET DE SOUDURE'!$U$7:$U$3006,P1743)="","",INDEX('CARNET DE SOUDURE'!$U$7:$U$3006,P1743)))</f>
        <v>46260</v>
      </c>
      <c r="F1743" s="82" t="str">
        <f aca="false">IF(OR(C1743="",P1743=""),"",INDEX('CARNET DE SOUDURE'!$AP$7:$AP$3006,P1743))</f>
        <v>A</v>
      </c>
      <c r="G1743" s="82" t="str">
        <f aca="false">IF(C1743="","",IF(P1743="","NJ INCONNU",INDEX('CARNET DE SOUDURE'!$AQ$7:$AQ$3006,P1743)))</f>
        <v>ACCEPTÉ</v>
      </c>
      <c r="H1743" s="82" t="str">
        <f aca="false">IF(C1743="","",IF(G1743="ACCEPTÉ","OUI","NON"))</f>
        <v>OUI</v>
      </c>
      <c r="I1743" s="83"/>
      <c r="J1743" s="80"/>
      <c r="K1743" s="81"/>
      <c r="L1743" s="81"/>
      <c r="M1743" s="81"/>
      <c r="N1743" s="84" t="str">
        <f aca="false">IF(C1743="","",IF(P1743="","NJ INCONNU",IF(I1743="",IF(H1743="OUI","À ENROBER",IF(G1743="À SOUDER","NON SOUDÉ","EN ATTENTE RT")),IF(L1743="R","À REPRENDRE",IF(H1743&lt;&gt;"OUI","⚠ ENROBÉ AVANT ACCEPTATION RT","ENROBÉ")))))</f>
        <v>À ENROBER</v>
      </c>
      <c r="O1743" s="80"/>
      <c r="P1743" s="82" t="n">
        <f aca="false">IF(C1743="","",IFERROR(MATCH(Q1743,'CARNET DE SOUDURE'!$AW$7:$AW$3006,0),""))</f>
        <v>1737</v>
      </c>
      <c r="Q1743" s="82" t="str">
        <f aca="false">IF(C1743="","",B1743&amp;"|"&amp;C1743)</f>
        <v>MFD-ISW → MFD-CPF|DJ°155</v>
      </c>
    </row>
    <row r="1744" customFormat="false" ht="74.6" hidden="false" customHeight="false" outlineLevel="0" collapsed="false">
      <c r="A1744" s="82" t="n">
        <f aca="false">IF(C1744="","",ROW()-6)</f>
        <v>1738</v>
      </c>
      <c r="B1744" s="80" t="s">
        <v>110</v>
      </c>
      <c r="C1744" s="113" t="s">
        <v>2121</v>
      </c>
      <c r="D1744" s="82" t="str">
        <f aca="false">IF(OR(C1744="",P1744=""),"",INDEX('CARNET DE SOUDURE'!$D$7:$D$3006,P1744)&amp;"")</f>
        <v>15</v>
      </c>
      <c r="E1744" s="114" t="n">
        <f aca="false">IF(OR(C1744="",P1744=""),"",IF(INDEX('CARNET DE SOUDURE'!$U$7:$U$3006,P1744)="","",INDEX('CARNET DE SOUDURE'!$U$7:$U$3006,P1744)))</f>
        <v>46272</v>
      </c>
      <c r="F1744" s="82" t="str">
        <f aca="false">IF(OR(C1744="",P1744=""),"",INDEX('CARNET DE SOUDURE'!$AP$7:$AP$3006,P1744))</f>
        <v>A</v>
      </c>
      <c r="G1744" s="82" t="str">
        <f aca="false">IF(C1744="","",IF(P1744="","NJ INCONNU",INDEX('CARNET DE SOUDURE'!$AQ$7:$AQ$3006,P1744)))</f>
        <v>ACCEPTÉ</v>
      </c>
      <c r="H1744" s="82" t="str">
        <f aca="false">IF(C1744="","",IF(G1744="ACCEPTÉ","OUI","NON"))</f>
        <v>OUI</v>
      </c>
      <c r="I1744" s="83"/>
      <c r="J1744" s="80"/>
      <c r="K1744" s="81"/>
      <c r="L1744" s="81"/>
      <c r="M1744" s="81"/>
      <c r="N1744" s="84" t="str">
        <f aca="false">IF(C1744="","",IF(P1744="","NJ INCONNU",IF(I1744="",IF(H1744="OUI","À ENROBER",IF(G1744="À SOUDER","NON SOUDÉ","EN ATTENTE RT")),IF(L1744="R","À REPRENDRE",IF(H1744&lt;&gt;"OUI","⚠ ENROBÉ AVANT ACCEPTATION RT","ENROBÉ")))))</f>
        <v>À ENROBER</v>
      </c>
      <c r="O1744" s="80"/>
      <c r="P1744" s="82" t="n">
        <f aca="false">IF(C1744="","",IFERROR(MATCH(Q1744,'CARNET DE SOUDURE'!$AW$7:$AW$3006,0),""))</f>
        <v>1738</v>
      </c>
      <c r="Q1744" s="82" t="str">
        <f aca="false">IF(C1744="","",B1744&amp;"|"&amp;C1744)</f>
        <v>MFD-ISW → MFD-CPF|JN°1386</v>
      </c>
    </row>
    <row r="1745" customFormat="false" ht="74.6" hidden="false" customHeight="false" outlineLevel="0" collapsed="false">
      <c r="A1745" s="82" t="n">
        <f aca="false">IF(C1745="","",ROW()-6)</f>
        <v>1739</v>
      </c>
      <c r="B1745" s="80" t="s">
        <v>110</v>
      </c>
      <c r="C1745" s="113" t="s">
        <v>2123</v>
      </c>
      <c r="D1745" s="82" t="str">
        <f aca="false">IF(OR(C1745="",P1745=""),"",INDEX('CARNET DE SOUDURE'!$D$7:$D$3006,P1745)&amp;"")</f>
        <v>15</v>
      </c>
      <c r="E1745" s="114" t="n">
        <f aca="false">IF(OR(C1745="",P1745=""),"",IF(INDEX('CARNET DE SOUDURE'!$U$7:$U$3006,P1745)="","",INDEX('CARNET DE SOUDURE'!$U$7:$U$3006,P1745)))</f>
        <v>46261</v>
      </c>
      <c r="F1745" s="82" t="str">
        <f aca="false">IF(OR(C1745="",P1745=""),"",INDEX('CARNET DE SOUDURE'!$AP$7:$AP$3006,P1745))</f>
        <v>A</v>
      </c>
      <c r="G1745" s="82" t="str">
        <f aca="false">IF(C1745="","",IF(P1745="","NJ INCONNU",INDEX('CARNET DE SOUDURE'!$AQ$7:$AQ$3006,P1745)))</f>
        <v>ACCEPTÉ</v>
      </c>
      <c r="H1745" s="82" t="str">
        <f aca="false">IF(C1745="","",IF(G1745="ACCEPTÉ","OUI","NON"))</f>
        <v>OUI</v>
      </c>
      <c r="I1745" s="83"/>
      <c r="J1745" s="80"/>
      <c r="K1745" s="81"/>
      <c r="L1745" s="81"/>
      <c r="M1745" s="81"/>
      <c r="N1745" s="84" t="str">
        <f aca="false">IF(C1745="","",IF(P1745="","NJ INCONNU",IF(I1745="",IF(H1745="OUI","À ENROBER",IF(G1745="À SOUDER","NON SOUDÉ","EN ATTENTE RT")),IF(L1745="R","À REPRENDRE",IF(H1745&lt;&gt;"OUI","⚠ ENROBÉ AVANT ACCEPTATION RT","ENROBÉ")))))</f>
        <v>À ENROBER</v>
      </c>
      <c r="O1745" s="80"/>
      <c r="P1745" s="82" t="n">
        <f aca="false">IF(C1745="","",IFERROR(MATCH(Q1745,'CARNET DE SOUDURE'!$AW$7:$AW$3006,0),""))</f>
        <v>1739</v>
      </c>
      <c r="Q1745" s="82" t="str">
        <f aca="false">IF(C1745="","",B1745&amp;"|"&amp;C1745)</f>
        <v>MFD-ISW → MFD-CPF|DJ°165</v>
      </c>
    </row>
    <row r="1746" customFormat="false" ht="74.6" hidden="false" customHeight="false" outlineLevel="0" collapsed="false">
      <c r="A1746" s="82" t="n">
        <f aca="false">IF(C1746="","",ROW()-6)</f>
        <v>1740</v>
      </c>
      <c r="B1746" s="80" t="s">
        <v>110</v>
      </c>
      <c r="C1746" s="113" t="s">
        <v>2125</v>
      </c>
      <c r="D1746" s="82" t="str">
        <f aca="false">IF(OR(C1746="",P1746=""),"",INDEX('CARNET DE SOUDURE'!$D$7:$D$3006,P1746)&amp;"")</f>
        <v>15</v>
      </c>
      <c r="E1746" s="114" t="n">
        <f aca="false">IF(OR(C1746="",P1746=""),"",IF(INDEX('CARNET DE SOUDURE'!$U$7:$U$3006,P1746)="","",INDEX('CARNET DE SOUDURE'!$U$7:$U$3006,P1746)))</f>
        <v>46272</v>
      </c>
      <c r="F1746" s="82" t="str">
        <f aca="false">IF(OR(C1746="",P1746=""),"",INDEX('CARNET DE SOUDURE'!$AP$7:$AP$3006,P1746))</f>
        <v>A</v>
      </c>
      <c r="G1746" s="82" t="str">
        <f aca="false">IF(C1746="","",IF(P1746="","NJ INCONNU",INDEX('CARNET DE SOUDURE'!$AQ$7:$AQ$3006,P1746)))</f>
        <v>ACCEPTÉ</v>
      </c>
      <c r="H1746" s="82" t="str">
        <f aca="false">IF(C1746="","",IF(G1746="ACCEPTÉ","OUI","NON"))</f>
        <v>OUI</v>
      </c>
      <c r="I1746" s="83"/>
      <c r="J1746" s="80"/>
      <c r="K1746" s="81"/>
      <c r="L1746" s="81"/>
      <c r="M1746" s="81"/>
      <c r="N1746" s="84" t="str">
        <f aca="false">IF(C1746="","",IF(P1746="","NJ INCONNU",IF(I1746="",IF(H1746="OUI","À ENROBER",IF(G1746="À SOUDER","NON SOUDÉ","EN ATTENTE RT")),IF(L1746="R","À REPRENDRE",IF(H1746&lt;&gt;"OUI","⚠ ENROBÉ AVANT ACCEPTATION RT","ENROBÉ")))))</f>
        <v>À ENROBER</v>
      </c>
      <c r="O1746" s="80"/>
      <c r="P1746" s="82" t="n">
        <f aca="false">IF(C1746="","",IFERROR(MATCH(Q1746,'CARNET DE SOUDURE'!$AW$7:$AW$3006,0),""))</f>
        <v>1740</v>
      </c>
      <c r="Q1746" s="82" t="str">
        <f aca="false">IF(C1746="","",B1746&amp;"|"&amp;C1746)</f>
        <v>MFD-ISW → MFD-CPF|JN°1387</v>
      </c>
    </row>
    <row r="1747" customFormat="false" ht="74.6" hidden="false" customHeight="false" outlineLevel="0" collapsed="false">
      <c r="A1747" s="82" t="n">
        <f aca="false">IF(C1747="","",ROW()-6)</f>
        <v>1741</v>
      </c>
      <c r="B1747" s="80" t="s">
        <v>110</v>
      </c>
      <c r="C1747" s="113" t="s">
        <v>2126</v>
      </c>
      <c r="D1747" s="82" t="str">
        <f aca="false">IF(OR(C1747="",P1747=""),"",INDEX('CARNET DE SOUDURE'!$D$7:$D$3006,P1747)&amp;"")</f>
        <v>15</v>
      </c>
      <c r="E1747" s="114" t="n">
        <f aca="false">IF(OR(C1747="",P1747=""),"",IF(INDEX('CARNET DE SOUDURE'!$U$7:$U$3006,P1747)="","",INDEX('CARNET DE SOUDURE'!$U$7:$U$3006,P1747)))</f>
        <v>46261</v>
      </c>
      <c r="F1747" s="82" t="str">
        <f aca="false">IF(OR(C1747="",P1747=""),"",INDEX('CARNET DE SOUDURE'!$AP$7:$AP$3006,P1747))</f>
        <v>A</v>
      </c>
      <c r="G1747" s="82" t="str">
        <f aca="false">IF(C1747="","",IF(P1747="","NJ INCONNU",INDEX('CARNET DE SOUDURE'!$AQ$7:$AQ$3006,P1747)))</f>
        <v>ACCEPTÉ</v>
      </c>
      <c r="H1747" s="82" t="str">
        <f aca="false">IF(C1747="","",IF(G1747="ACCEPTÉ","OUI","NON"))</f>
        <v>OUI</v>
      </c>
      <c r="I1747" s="83"/>
      <c r="J1747" s="80"/>
      <c r="K1747" s="81"/>
      <c r="L1747" s="81"/>
      <c r="M1747" s="81"/>
      <c r="N1747" s="84" t="str">
        <f aca="false">IF(C1747="","",IF(P1747="","NJ INCONNU",IF(I1747="",IF(H1747="OUI","À ENROBER",IF(G1747="À SOUDER","NON SOUDÉ","EN ATTENTE RT")),IF(L1747="R","À REPRENDRE",IF(H1747&lt;&gt;"OUI","⚠ ENROBÉ AVANT ACCEPTATION RT","ENROBÉ")))))</f>
        <v>À ENROBER</v>
      </c>
      <c r="O1747" s="80"/>
      <c r="P1747" s="82" t="n">
        <f aca="false">IF(C1747="","",IFERROR(MATCH(Q1747,'CARNET DE SOUDURE'!$AW$7:$AW$3006,0),""))</f>
        <v>1741</v>
      </c>
      <c r="Q1747" s="82" t="str">
        <f aca="false">IF(C1747="","",B1747&amp;"|"&amp;C1747)</f>
        <v>MFD-ISW → MFD-CPF|DJ°163</v>
      </c>
    </row>
    <row r="1748" customFormat="false" ht="74.6" hidden="false" customHeight="false" outlineLevel="0" collapsed="false">
      <c r="A1748" s="82" t="n">
        <f aca="false">IF(C1748="","",ROW()-6)</f>
        <v>1742</v>
      </c>
      <c r="B1748" s="80" t="s">
        <v>110</v>
      </c>
      <c r="C1748" s="113" t="s">
        <v>2127</v>
      </c>
      <c r="D1748" s="82" t="str">
        <f aca="false">IF(OR(C1748="",P1748=""),"",INDEX('CARNET DE SOUDURE'!$D$7:$D$3006,P1748)&amp;"")</f>
        <v>15</v>
      </c>
      <c r="E1748" s="114" t="n">
        <f aca="false">IF(OR(C1748="",P1748=""),"",IF(INDEX('CARNET DE SOUDURE'!$U$7:$U$3006,P1748)="","",INDEX('CARNET DE SOUDURE'!$U$7:$U$3006,P1748)))</f>
        <v>46272</v>
      </c>
      <c r="F1748" s="82" t="str">
        <f aca="false">IF(OR(C1748="",P1748=""),"",INDEX('CARNET DE SOUDURE'!$AP$7:$AP$3006,P1748))</f>
        <v>A</v>
      </c>
      <c r="G1748" s="82" t="str">
        <f aca="false">IF(C1748="","",IF(P1748="","NJ INCONNU",INDEX('CARNET DE SOUDURE'!$AQ$7:$AQ$3006,P1748)))</f>
        <v>ACCEPTÉ</v>
      </c>
      <c r="H1748" s="82" t="str">
        <f aca="false">IF(C1748="","",IF(G1748="ACCEPTÉ","OUI","NON"))</f>
        <v>OUI</v>
      </c>
      <c r="I1748" s="83"/>
      <c r="J1748" s="80"/>
      <c r="K1748" s="81"/>
      <c r="L1748" s="81"/>
      <c r="M1748" s="81"/>
      <c r="N1748" s="84" t="str">
        <f aca="false">IF(C1748="","",IF(P1748="","NJ INCONNU",IF(I1748="",IF(H1748="OUI","À ENROBER",IF(G1748="À SOUDER","NON SOUDÉ","EN ATTENTE RT")),IF(L1748="R","À REPRENDRE",IF(H1748&lt;&gt;"OUI","⚠ ENROBÉ AVANT ACCEPTATION RT","ENROBÉ")))))</f>
        <v>À ENROBER</v>
      </c>
      <c r="O1748" s="80"/>
      <c r="P1748" s="82" t="n">
        <f aca="false">IF(C1748="","",IFERROR(MATCH(Q1748,'CARNET DE SOUDURE'!$AW$7:$AW$3006,0),""))</f>
        <v>1742</v>
      </c>
      <c r="Q1748" s="82" t="str">
        <f aca="false">IF(C1748="","",B1748&amp;"|"&amp;C1748)</f>
        <v>MFD-ISW → MFD-CPF|JN°1388</v>
      </c>
    </row>
    <row r="1749" customFormat="false" ht="74.6" hidden="false" customHeight="false" outlineLevel="0" collapsed="false">
      <c r="A1749" s="82" t="n">
        <f aca="false">IF(C1749="","",ROW()-6)</f>
        <v>1743</v>
      </c>
      <c r="B1749" s="80" t="s">
        <v>110</v>
      </c>
      <c r="C1749" s="113" t="s">
        <v>2128</v>
      </c>
      <c r="D1749" s="82" t="str">
        <f aca="false">IF(OR(C1749="",P1749=""),"",INDEX('CARNET DE SOUDURE'!$D$7:$D$3006,P1749)&amp;"")</f>
        <v>16</v>
      </c>
      <c r="E1749" s="114" t="n">
        <f aca="false">IF(OR(C1749="",P1749=""),"",IF(INDEX('CARNET DE SOUDURE'!$U$7:$U$3006,P1749)="","",INDEX('CARNET DE SOUDURE'!$U$7:$U$3006,P1749)))</f>
        <v>46260</v>
      </c>
      <c r="F1749" s="82" t="str">
        <f aca="false">IF(OR(C1749="",P1749=""),"",INDEX('CARNET DE SOUDURE'!$AP$7:$AP$3006,P1749))</f>
        <v>A</v>
      </c>
      <c r="G1749" s="82" t="str">
        <f aca="false">IF(C1749="","",IF(P1749="","NJ INCONNU",INDEX('CARNET DE SOUDURE'!$AQ$7:$AQ$3006,P1749)))</f>
        <v>ACCEPTÉ</v>
      </c>
      <c r="H1749" s="82" t="str">
        <f aca="false">IF(C1749="","",IF(G1749="ACCEPTÉ","OUI","NON"))</f>
        <v>OUI</v>
      </c>
      <c r="I1749" s="83"/>
      <c r="J1749" s="80"/>
      <c r="K1749" s="81"/>
      <c r="L1749" s="81"/>
      <c r="M1749" s="81"/>
      <c r="N1749" s="84" t="str">
        <f aca="false">IF(C1749="","",IF(P1749="","NJ INCONNU",IF(I1749="",IF(H1749="OUI","À ENROBER",IF(G1749="À SOUDER","NON SOUDÉ","EN ATTENTE RT")),IF(L1749="R","À REPRENDRE",IF(H1749&lt;&gt;"OUI","⚠ ENROBÉ AVANT ACCEPTATION RT","ENROBÉ")))))</f>
        <v>À ENROBER</v>
      </c>
      <c r="O1749" s="80"/>
      <c r="P1749" s="82" t="n">
        <f aca="false">IF(C1749="","",IFERROR(MATCH(Q1749,'CARNET DE SOUDURE'!$AW$7:$AW$3006,0),""))</f>
        <v>1743</v>
      </c>
      <c r="Q1749" s="82" t="str">
        <f aca="false">IF(C1749="","",B1749&amp;"|"&amp;C1749)</f>
        <v>MFD-ISW → MFD-CPF|DJ°156</v>
      </c>
    </row>
    <row r="1750" customFormat="false" ht="74.6" hidden="false" customHeight="false" outlineLevel="0" collapsed="false">
      <c r="A1750" s="82" t="n">
        <f aca="false">IF(C1750="","",ROW()-6)</f>
        <v>1744</v>
      </c>
      <c r="B1750" s="80" t="s">
        <v>110</v>
      </c>
      <c r="C1750" s="113" t="s">
        <v>2129</v>
      </c>
      <c r="D1750" s="82" t="str">
        <f aca="false">IF(OR(C1750="",P1750=""),"",INDEX('CARNET DE SOUDURE'!$D$7:$D$3006,P1750)&amp;"")</f>
        <v>16</v>
      </c>
      <c r="E1750" s="114" t="n">
        <f aca="false">IF(OR(C1750="",P1750=""),"",IF(INDEX('CARNET DE SOUDURE'!$U$7:$U$3006,P1750)="","",INDEX('CARNET DE SOUDURE'!$U$7:$U$3006,P1750)))</f>
        <v>46272</v>
      </c>
      <c r="F1750" s="82" t="str">
        <f aca="false">IF(OR(C1750="",P1750=""),"",INDEX('CARNET DE SOUDURE'!$AP$7:$AP$3006,P1750))</f>
        <v>A</v>
      </c>
      <c r="G1750" s="82" t="str">
        <f aca="false">IF(C1750="","",IF(P1750="","NJ INCONNU",INDEX('CARNET DE SOUDURE'!$AQ$7:$AQ$3006,P1750)))</f>
        <v>ACCEPTÉ</v>
      </c>
      <c r="H1750" s="82" t="str">
        <f aca="false">IF(C1750="","",IF(G1750="ACCEPTÉ","OUI","NON"))</f>
        <v>OUI</v>
      </c>
      <c r="I1750" s="83"/>
      <c r="J1750" s="80"/>
      <c r="K1750" s="81"/>
      <c r="L1750" s="81"/>
      <c r="M1750" s="81"/>
      <c r="N1750" s="84" t="str">
        <f aca="false">IF(C1750="","",IF(P1750="","NJ INCONNU",IF(I1750="",IF(H1750="OUI","À ENROBER",IF(G1750="À SOUDER","NON SOUDÉ","EN ATTENTE RT")),IF(L1750="R","À REPRENDRE",IF(H1750&lt;&gt;"OUI","⚠ ENROBÉ AVANT ACCEPTATION RT","ENROBÉ")))))</f>
        <v>À ENROBER</v>
      </c>
      <c r="O1750" s="80"/>
      <c r="P1750" s="82" t="n">
        <f aca="false">IF(C1750="","",IFERROR(MATCH(Q1750,'CARNET DE SOUDURE'!$AW$7:$AW$3006,0),""))</f>
        <v>1744</v>
      </c>
      <c r="Q1750" s="82" t="str">
        <f aca="false">IF(C1750="","",B1750&amp;"|"&amp;C1750)</f>
        <v>MFD-ISW → MFD-CPF|JN°1389</v>
      </c>
    </row>
    <row r="1751" customFormat="false" ht="74.6" hidden="false" customHeight="false" outlineLevel="0" collapsed="false">
      <c r="A1751" s="82" t="n">
        <f aca="false">IF(C1751="","",ROW()-6)</f>
        <v>1745</v>
      </c>
      <c r="B1751" s="80" t="s">
        <v>110</v>
      </c>
      <c r="C1751" s="113" t="s">
        <v>2130</v>
      </c>
      <c r="D1751" s="82" t="str">
        <f aca="false">IF(OR(C1751="",P1751=""),"",INDEX('CARNET DE SOUDURE'!$D$7:$D$3006,P1751)&amp;"")</f>
        <v>16</v>
      </c>
      <c r="E1751" s="114" t="n">
        <f aca="false">IF(OR(C1751="",P1751=""),"",IF(INDEX('CARNET DE SOUDURE'!$U$7:$U$3006,P1751)="","",INDEX('CARNET DE SOUDURE'!$U$7:$U$3006,P1751)))</f>
        <v>46260</v>
      </c>
      <c r="F1751" s="82" t="str">
        <f aca="false">IF(OR(C1751="",P1751=""),"",INDEX('CARNET DE SOUDURE'!$AP$7:$AP$3006,P1751))</f>
        <v>A</v>
      </c>
      <c r="G1751" s="82" t="str">
        <f aca="false">IF(C1751="","",IF(P1751="","NJ INCONNU",INDEX('CARNET DE SOUDURE'!$AQ$7:$AQ$3006,P1751)))</f>
        <v>ACCEPTÉ</v>
      </c>
      <c r="H1751" s="82" t="str">
        <f aca="false">IF(C1751="","",IF(G1751="ACCEPTÉ","OUI","NON"))</f>
        <v>OUI</v>
      </c>
      <c r="I1751" s="83"/>
      <c r="J1751" s="80"/>
      <c r="K1751" s="81"/>
      <c r="L1751" s="81"/>
      <c r="M1751" s="81"/>
      <c r="N1751" s="84" t="str">
        <f aca="false">IF(C1751="","",IF(P1751="","NJ INCONNU",IF(I1751="",IF(H1751="OUI","À ENROBER",IF(G1751="À SOUDER","NON SOUDÉ","EN ATTENTE RT")),IF(L1751="R","À REPRENDRE",IF(H1751&lt;&gt;"OUI","⚠ ENROBÉ AVANT ACCEPTATION RT","ENROBÉ")))))</f>
        <v>À ENROBER</v>
      </c>
      <c r="O1751" s="80"/>
      <c r="P1751" s="82" t="n">
        <f aca="false">IF(C1751="","",IFERROR(MATCH(Q1751,'CARNET DE SOUDURE'!$AW$7:$AW$3006,0),""))</f>
        <v>1745</v>
      </c>
      <c r="Q1751" s="82" t="str">
        <f aca="false">IF(C1751="","",B1751&amp;"|"&amp;C1751)</f>
        <v>MFD-ISW → MFD-CPF|DJ°157</v>
      </c>
    </row>
    <row r="1752" customFormat="false" ht="74.6" hidden="false" customHeight="false" outlineLevel="0" collapsed="false">
      <c r="A1752" s="82" t="n">
        <f aca="false">IF(C1752="","",ROW()-6)</f>
        <v>1746</v>
      </c>
      <c r="B1752" s="80" t="s">
        <v>110</v>
      </c>
      <c r="C1752" s="113" t="s">
        <v>2131</v>
      </c>
      <c r="D1752" s="82" t="str">
        <f aca="false">IF(OR(C1752="",P1752=""),"",INDEX('CARNET DE SOUDURE'!$D$7:$D$3006,P1752)&amp;"")</f>
        <v>16</v>
      </c>
      <c r="E1752" s="114" t="n">
        <f aca="false">IF(OR(C1752="",P1752=""),"",IF(INDEX('CARNET DE SOUDURE'!$U$7:$U$3006,P1752)="","",INDEX('CARNET DE SOUDURE'!$U$7:$U$3006,P1752)))</f>
        <v>46272</v>
      </c>
      <c r="F1752" s="82" t="str">
        <f aca="false">IF(OR(C1752="",P1752=""),"",INDEX('CARNET DE SOUDURE'!$AP$7:$AP$3006,P1752))</f>
        <v>A</v>
      </c>
      <c r="G1752" s="82" t="str">
        <f aca="false">IF(C1752="","",IF(P1752="","NJ INCONNU",INDEX('CARNET DE SOUDURE'!$AQ$7:$AQ$3006,P1752)))</f>
        <v>ACCEPTÉ</v>
      </c>
      <c r="H1752" s="82" t="str">
        <f aca="false">IF(C1752="","",IF(G1752="ACCEPTÉ","OUI","NON"))</f>
        <v>OUI</v>
      </c>
      <c r="I1752" s="83"/>
      <c r="J1752" s="80"/>
      <c r="K1752" s="81"/>
      <c r="L1752" s="81"/>
      <c r="M1752" s="81"/>
      <c r="N1752" s="84" t="str">
        <f aca="false">IF(C1752="","",IF(P1752="","NJ INCONNU",IF(I1752="",IF(H1752="OUI","À ENROBER",IF(G1752="À SOUDER","NON SOUDÉ","EN ATTENTE RT")),IF(L1752="R","À REPRENDRE",IF(H1752&lt;&gt;"OUI","⚠ ENROBÉ AVANT ACCEPTATION RT","ENROBÉ")))))</f>
        <v>À ENROBER</v>
      </c>
      <c r="O1752" s="80"/>
      <c r="P1752" s="82" t="n">
        <f aca="false">IF(C1752="","",IFERROR(MATCH(Q1752,'CARNET DE SOUDURE'!$AW$7:$AW$3006,0),""))</f>
        <v>1746</v>
      </c>
      <c r="Q1752" s="82" t="str">
        <f aca="false">IF(C1752="","",B1752&amp;"|"&amp;C1752)</f>
        <v>MFD-ISW → MFD-CPF|JN°1390</v>
      </c>
    </row>
    <row r="1753" customFormat="false" ht="74.6" hidden="false" customHeight="false" outlineLevel="0" collapsed="false">
      <c r="A1753" s="82" t="n">
        <f aca="false">IF(C1753="","",ROW()-6)</f>
        <v>1747</v>
      </c>
      <c r="B1753" s="80" t="s">
        <v>110</v>
      </c>
      <c r="C1753" s="113" t="s">
        <v>2132</v>
      </c>
      <c r="D1753" s="82" t="str">
        <f aca="false">IF(OR(C1753="",P1753=""),"",INDEX('CARNET DE SOUDURE'!$D$7:$D$3006,P1753)&amp;"")</f>
        <v>16</v>
      </c>
      <c r="E1753" s="114" t="n">
        <f aca="false">IF(OR(C1753="",P1753=""),"",IF(INDEX('CARNET DE SOUDURE'!$U$7:$U$3006,P1753)="","",INDEX('CARNET DE SOUDURE'!$U$7:$U$3006,P1753)))</f>
        <v>46256</v>
      </c>
      <c r="F1753" s="82" t="str">
        <f aca="false">IF(OR(C1753="",P1753=""),"",INDEX('CARNET DE SOUDURE'!$AP$7:$AP$3006,P1753))</f>
        <v>A</v>
      </c>
      <c r="G1753" s="82" t="str">
        <f aca="false">IF(C1753="","",IF(P1753="","NJ INCONNU",INDEX('CARNET DE SOUDURE'!$AQ$7:$AQ$3006,P1753)))</f>
        <v>ACCEPTÉ</v>
      </c>
      <c r="H1753" s="82" t="str">
        <f aca="false">IF(C1753="","",IF(G1753="ACCEPTÉ","OUI","NON"))</f>
        <v>OUI</v>
      </c>
      <c r="I1753" s="83"/>
      <c r="J1753" s="80"/>
      <c r="K1753" s="81"/>
      <c r="L1753" s="81"/>
      <c r="M1753" s="81"/>
      <c r="N1753" s="84" t="str">
        <f aca="false">IF(C1753="","",IF(P1753="","NJ INCONNU",IF(I1753="",IF(H1753="OUI","À ENROBER",IF(G1753="À SOUDER","NON SOUDÉ","EN ATTENTE RT")),IF(L1753="R","À REPRENDRE",IF(H1753&lt;&gt;"OUI","⚠ ENROBÉ AVANT ACCEPTATION RT","ENROBÉ")))))</f>
        <v>À ENROBER</v>
      </c>
      <c r="O1753" s="80"/>
      <c r="P1753" s="82" t="n">
        <f aca="false">IF(C1753="","",IFERROR(MATCH(Q1753,'CARNET DE SOUDURE'!$AW$7:$AW$3006,0),""))</f>
        <v>1747</v>
      </c>
      <c r="Q1753" s="82" t="str">
        <f aca="false">IF(C1753="","",B1753&amp;"|"&amp;C1753)</f>
        <v>MFD-ISW → MFD-CPF|DJ°089</v>
      </c>
    </row>
    <row r="1754" customFormat="false" ht="74.6" hidden="false" customHeight="false" outlineLevel="0" collapsed="false">
      <c r="A1754" s="82" t="n">
        <f aca="false">IF(C1754="","",ROW()-6)</f>
        <v>1748</v>
      </c>
      <c r="B1754" s="80" t="s">
        <v>110</v>
      </c>
      <c r="C1754" s="113" t="s">
        <v>2133</v>
      </c>
      <c r="D1754" s="82" t="str">
        <f aca="false">IF(OR(C1754="",P1754=""),"",INDEX('CARNET DE SOUDURE'!$D$7:$D$3006,P1754)&amp;"")</f>
        <v>16</v>
      </c>
      <c r="E1754" s="114" t="n">
        <f aca="false">IF(OR(C1754="",P1754=""),"",IF(INDEX('CARNET DE SOUDURE'!$U$7:$U$3006,P1754)="","",INDEX('CARNET DE SOUDURE'!$U$7:$U$3006,P1754)))</f>
        <v>46272</v>
      </c>
      <c r="F1754" s="82" t="str">
        <f aca="false">IF(OR(C1754="",P1754=""),"",INDEX('CARNET DE SOUDURE'!$AP$7:$AP$3006,P1754))</f>
        <v>A</v>
      </c>
      <c r="G1754" s="82" t="str">
        <f aca="false">IF(C1754="","",IF(P1754="","NJ INCONNU",INDEX('CARNET DE SOUDURE'!$AQ$7:$AQ$3006,P1754)))</f>
        <v>ACCEPTÉ</v>
      </c>
      <c r="H1754" s="82" t="str">
        <f aca="false">IF(C1754="","",IF(G1754="ACCEPTÉ","OUI","NON"))</f>
        <v>OUI</v>
      </c>
      <c r="I1754" s="83"/>
      <c r="J1754" s="80"/>
      <c r="K1754" s="81"/>
      <c r="L1754" s="81"/>
      <c r="M1754" s="81"/>
      <c r="N1754" s="84" t="str">
        <f aca="false">IF(C1754="","",IF(P1754="","NJ INCONNU",IF(I1754="",IF(H1754="OUI","À ENROBER",IF(G1754="À SOUDER","NON SOUDÉ","EN ATTENTE RT")),IF(L1754="R","À REPRENDRE",IF(H1754&lt;&gt;"OUI","⚠ ENROBÉ AVANT ACCEPTATION RT","ENROBÉ")))))</f>
        <v>À ENROBER</v>
      </c>
      <c r="O1754" s="80"/>
      <c r="P1754" s="82" t="n">
        <f aca="false">IF(C1754="","",IFERROR(MATCH(Q1754,'CARNET DE SOUDURE'!$AW$7:$AW$3006,0),""))</f>
        <v>1748</v>
      </c>
      <c r="Q1754" s="82" t="str">
        <f aca="false">IF(C1754="","",B1754&amp;"|"&amp;C1754)</f>
        <v>MFD-ISW → MFD-CPF|JN°1391</v>
      </c>
    </row>
    <row r="1755" customFormat="false" ht="74.6" hidden="false" customHeight="false" outlineLevel="0" collapsed="false">
      <c r="A1755" s="82" t="n">
        <f aca="false">IF(C1755="","",ROW()-6)</f>
        <v>1749</v>
      </c>
      <c r="B1755" s="80" t="s">
        <v>110</v>
      </c>
      <c r="C1755" s="113" t="s">
        <v>2134</v>
      </c>
      <c r="D1755" s="82" t="str">
        <f aca="false">IF(OR(C1755="",P1755=""),"",INDEX('CARNET DE SOUDURE'!$D$7:$D$3006,P1755)&amp;"")</f>
        <v>16</v>
      </c>
      <c r="E1755" s="114" t="n">
        <f aca="false">IF(OR(C1755="",P1755=""),"",IF(INDEX('CARNET DE SOUDURE'!$U$7:$U$3006,P1755)="","",INDEX('CARNET DE SOUDURE'!$U$7:$U$3006,P1755)))</f>
        <v>46254</v>
      </c>
      <c r="F1755" s="82" t="str">
        <f aca="false">IF(OR(C1755="",P1755=""),"",INDEX('CARNET DE SOUDURE'!$AP$7:$AP$3006,P1755))</f>
        <v>A</v>
      </c>
      <c r="G1755" s="82" t="str">
        <f aca="false">IF(C1755="","",IF(P1755="","NJ INCONNU",INDEX('CARNET DE SOUDURE'!$AQ$7:$AQ$3006,P1755)))</f>
        <v>ACCEPTÉ</v>
      </c>
      <c r="H1755" s="82" t="str">
        <f aca="false">IF(C1755="","",IF(G1755="ACCEPTÉ","OUI","NON"))</f>
        <v>OUI</v>
      </c>
      <c r="I1755" s="83"/>
      <c r="J1755" s="80"/>
      <c r="K1755" s="81"/>
      <c r="L1755" s="81"/>
      <c r="M1755" s="81"/>
      <c r="N1755" s="84" t="str">
        <f aca="false">IF(C1755="","",IF(P1755="","NJ INCONNU",IF(I1755="",IF(H1755="OUI","À ENROBER",IF(G1755="À SOUDER","NON SOUDÉ","EN ATTENTE RT")),IF(L1755="R","À REPRENDRE",IF(H1755&lt;&gt;"OUI","⚠ ENROBÉ AVANT ACCEPTATION RT","ENROBÉ")))))</f>
        <v>À ENROBER</v>
      </c>
      <c r="O1755" s="80"/>
      <c r="P1755" s="82" t="n">
        <f aca="false">IF(C1755="","",IFERROR(MATCH(Q1755,'CARNET DE SOUDURE'!$AW$7:$AW$3006,0),""))</f>
        <v>1749</v>
      </c>
      <c r="Q1755" s="82" t="str">
        <f aca="false">IF(C1755="","",B1755&amp;"|"&amp;C1755)</f>
        <v>MFD-ISW → MFD-CPF|DJ°068</v>
      </c>
    </row>
    <row r="1756" customFormat="false" ht="74.6" hidden="false" customHeight="false" outlineLevel="0" collapsed="false">
      <c r="A1756" s="82" t="n">
        <f aca="false">IF(C1756="","",ROW()-6)</f>
        <v>1750</v>
      </c>
      <c r="B1756" s="80" t="s">
        <v>110</v>
      </c>
      <c r="C1756" s="113" t="s">
        <v>2135</v>
      </c>
      <c r="D1756" s="82" t="str">
        <f aca="false">IF(OR(C1756="",P1756=""),"",INDEX('CARNET DE SOUDURE'!$D$7:$D$3006,P1756)&amp;"")</f>
        <v>16</v>
      </c>
      <c r="E1756" s="114" t="n">
        <f aca="false">IF(OR(C1756="",P1756=""),"",IF(INDEX('CARNET DE SOUDURE'!$U$7:$U$3006,P1756)="","",INDEX('CARNET DE SOUDURE'!$U$7:$U$3006,P1756)))</f>
        <v>46272</v>
      </c>
      <c r="F1756" s="82" t="str">
        <f aca="false">IF(OR(C1756="",P1756=""),"",INDEX('CARNET DE SOUDURE'!$AP$7:$AP$3006,P1756))</f>
        <v>A</v>
      </c>
      <c r="G1756" s="82" t="str">
        <f aca="false">IF(C1756="","",IF(P1756="","NJ INCONNU",INDEX('CARNET DE SOUDURE'!$AQ$7:$AQ$3006,P1756)))</f>
        <v>ACCEPTÉ</v>
      </c>
      <c r="H1756" s="82" t="str">
        <f aca="false">IF(C1756="","",IF(G1756="ACCEPTÉ","OUI","NON"))</f>
        <v>OUI</v>
      </c>
      <c r="I1756" s="83"/>
      <c r="J1756" s="80"/>
      <c r="K1756" s="81"/>
      <c r="L1756" s="81"/>
      <c r="M1756" s="81"/>
      <c r="N1756" s="84" t="str">
        <f aca="false">IF(C1756="","",IF(P1756="","NJ INCONNU",IF(I1756="",IF(H1756="OUI","À ENROBER",IF(G1756="À SOUDER","NON SOUDÉ","EN ATTENTE RT")),IF(L1756="R","À REPRENDRE",IF(H1756&lt;&gt;"OUI","⚠ ENROBÉ AVANT ACCEPTATION RT","ENROBÉ")))))</f>
        <v>À ENROBER</v>
      </c>
      <c r="O1756" s="80"/>
      <c r="P1756" s="82" t="n">
        <f aca="false">IF(C1756="","",IFERROR(MATCH(Q1756,'CARNET DE SOUDURE'!$AW$7:$AW$3006,0),""))</f>
        <v>1750</v>
      </c>
      <c r="Q1756" s="82" t="str">
        <f aca="false">IF(C1756="","",B1756&amp;"|"&amp;C1756)</f>
        <v>MFD-ISW → MFD-CPF|JN°1392</v>
      </c>
    </row>
    <row r="1757" customFormat="false" ht="74.6" hidden="false" customHeight="false" outlineLevel="0" collapsed="false">
      <c r="A1757" s="82" t="n">
        <f aca="false">IF(C1757="","",ROW()-6)</f>
        <v>1751</v>
      </c>
      <c r="B1757" s="80" t="s">
        <v>110</v>
      </c>
      <c r="C1757" s="113" t="s">
        <v>2136</v>
      </c>
      <c r="D1757" s="82" t="str">
        <f aca="false">IF(OR(C1757="",P1757=""),"",INDEX('CARNET DE SOUDURE'!$D$7:$D$3006,P1757)&amp;"")</f>
        <v>16</v>
      </c>
      <c r="E1757" s="114" t="n">
        <f aca="false">IF(OR(C1757="",P1757=""),"",IF(INDEX('CARNET DE SOUDURE'!$U$7:$U$3006,P1757)="","",INDEX('CARNET DE SOUDURE'!$U$7:$U$3006,P1757)))</f>
        <v>46258</v>
      </c>
      <c r="F1757" s="82" t="str">
        <f aca="false">IF(OR(C1757="",P1757=""),"",INDEX('CARNET DE SOUDURE'!$AP$7:$AP$3006,P1757))</f>
        <v>A</v>
      </c>
      <c r="G1757" s="82" t="str">
        <f aca="false">IF(C1757="","",IF(P1757="","NJ INCONNU",INDEX('CARNET DE SOUDURE'!$AQ$7:$AQ$3006,P1757)))</f>
        <v>ACCEPTÉ</v>
      </c>
      <c r="H1757" s="82" t="str">
        <f aca="false">IF(C1757="","",IF(G1757="ACCEPTÉ","OUI","NON"))</f>
        <v>OUI</v>
      </c>
      <c r="I1757" s="83"/>
      <c r="J1757" s="80"/>
      <c r="K1757" s="81"/>
      <c r="L1757" s="81"/>
      <c r="M1757" s="81"/>
      <c r="N1757" s="84" t="str">
        <f aca="false">IF(C1757="","",IF(P1757="","NJ INCONNU",IF(I1757="",IF(H1757="OUI","À ENROBER",IF(G1757="À SOUDER","NON SOUDÉ","EN ATTENTE RT")),IF(L1757="R","À REPRENDRE",IF(H1757&lt;&gt;"OUI","⚠ ENROBÉ AVANT ACCEPTATION RT","ENROBÉ")))))</f>
        <v>À ENROBER</v>
      </c>
      <c r="O1757" s="80"/>
      <c r="P1757" s="82" t="n">
        <f aca="false">IF(C1757="","",IFERROR(MATCH(Q1757,'CARNET DE SOUDURE'!$AW$7:$AW$3006,0),""))</f>
        <v>1751</v>
      </c>
      <c r="Q1757" s="82" t="str">
        <f aca="false">IF(C1757="","",B1757&amp;"|"&amp;C1757)</f>
        <v>MFD-ISW → MFD-CPF|DJ°123</v>
      </c>
    </row>
    <row r="1758" customFormat="false" ht="74.6" hidden="false" customHeight="false" outlineLevel="0" collapsed="false">
      <c r="A1758" s="82" t="n">
        <f aca="false">IF(C1758="","",ROW()-6)</f>
        <v>1752</v>
      </c>
      <c r="B1758" s="80" t="s">
        <v>110</v>
      </c>
      <c r="C1758" s="113" t="s">
        <v>2138</v>
      </c>
      <c r="D1758" s="82" t="str">
        <f aca="false">IF(OR(C1758="",P1758=""),"",INDEX('CARNET DE SOUDURE'!$D$7:$D$3006,P1758)&amp;"")</f>
        <v>16</v>
      </c>
      <c r="E1758" s="114" t="n">
        <f aca="false">IF(OR(C1758="",P1758=""),"",IF(INDEX('CARNET DE SOUDURE'!$U$7:$U$3006,P1758)="","",INDEX('CARNET DE SOUDURE'!$U$7:$U$3006,P1758)))</f>
        <v>46272</v>
      </c>
      <c r="F1758" s="82" t="str">
        <f aca="false">IF(OR(C1758="",P1758=""),"",INDEX('CARNET DE SOUDURE'!$AP$7:$AP$3006,P1758))</f>
        <v>A</v>
      </c>
      <c r="G1758" s="82" t="str">
        <f aca="false">IF(C1758="","",IF(P1758="","NJ INCONNU",INDEX('CARNET DE SOUDURE'!$AQ$7:$AQ$3006,P1758)))</f>
        <v>ACCEPTÉ</v>
      </c>
      <c r="H1758" s="82" t="str">
        <f aca="false">IF(C1758="","",IF(G1758="ACCEPTÉ","OUI","NON"))</f>
        <v>OUI</v>
      </c>
      <c r="I1758" s="83"/>
      <c r="J1758" s="80"/>
      <c r="K1758" s="81"/>
      <c r="L1758" s="81"/>
      <c r="M1758" s="81"/>
      <c r="N1758" s="84" t="str">
        <f aca="false">IF(C1758="","",IF(P1758="","NJ INCONNU",IF(I1758="",IF(H1758="OUI","À ENROBER",IF(G1758="À SOUDER","NON SOUDÉ","EN ATTENTE RT")),IF(L1758="R","À REPRENDRE",IF(H1758&lt;&gt;"OUI","⚠ ENROBÉ AVANT ACCEPTATION RT","ENROBÉ")))))</f>
        <v>À ENROBER</v>
      </c>
      <c r="O1758" s="80"/>
      <c r="P1758" s="82" t="n">
        <f aca="false">IF(C1758="","",IFERROR(MATCH(Q1758,'CARNET DE SOUDURE'!$AW$7:$AW$3006,0),""))</f>
        <v>1752</v>
      </c>
      <c r="Q1758" s="82" t="str">
        <f aca="false">IF(C1758="","",B1758&amp;"|"&amp;C1758)</f>
        <v>MFD-ISW → MFD-CPF|JN°1393</v>
      </c>
    </row>
    <row r="1759" customFormat="false" ht="74.6" hidden="false" customHeight="false" outlineLevel="0" collapsed="false">
      <c r="A1759" s="82" t="n">
        <f aca="false">IF(C1759="","",ROW()-6)</f>
        <v>1753</v>
      </c>
      <c r="B1759" s="80" t="s">
        <v>110</v>
      </c>
      <c r="C1759" s="113" t="s">
        <v>2139</v>
      </c>
      <c r="D1759" s="82" t="str">
        <f aca="false">IF(OR(C1759="",P1759=""),"",INDEX('CARNET DE SOUDURE'!$D$7:$D$3006,P1759)&amp;"")</f>
        <v>16</v>
      </c>
      <c r="E1759" s="114" t="n">
        <f aca="false">IF(OR(C1759="",P1759=""),"",IF(INDEX('CARNET DE SOUDURE'!$U$7:$U$3006,P1759)="","",INDEX('CARNET DE SOUDURE'!$U$7:$U$3006,P1759)))</f>
        <v>46251</v>
      </c>
      <c r="F1759" s="82" t="str">
        <f aca="false">IF(OR(C1759="",P1759=""),"",INDEX('CARNET DE SOUDURE'!$AP$7:$AP$3006,P1759))</f>
        <v>A</v>
      </c>
      <c r="G1759" s="82" t="str">
        <f aca="false">IF(C1759="","",IF(P1759="","NJ INCONNU",INDEX('CARNET DE SOUDURE'!$AQ$7:$AQ$3006,P1759)))</f>
        <v>ACCEPTÉ</v>
      </c>
      <c r="H1759" s="82" t="str">
        <f aca="false">IF(C1759="","",IF(G1759="ACCEPTÉ","OUI","NON"))</f>
        <v>OUI</v>
      </c>
      <c r="I1759" s="83"/>
      <c r="J1759" s="80"/>
      <c r="K1759" s="81"/>
      <c r="L1759" s="81"/>
      <c r="M1759" s="81"/>
      <c r="N1759" s="84" t="str">
        <f aca="false">IF(C1759="","",IF(P1759="","NJ INCONNU",IF(I1759="",IF(H1759="OUI","À ENROBER",IF(G1759="À SOUDER","NON SOUDÉ","EN ATTENTE RT")),IF(L1759="R","À REPRENDRE",IF(H1759&lt;&gt;"OUI","⚠ ENROBÉ AVANT ACCEPTATION RT","ENROBÉ")))))</f>
        <v>À ENROBER</v>
      </c>
      <c r="O1759" s="80"/>
      <c r="P1759" s="82" t="n">
        <f aca="false">IF(C1759="","",IFERROR(MATCH(Q1759,'CARNET DE SOUDURE'!$AW$7:$AW$3006,0),""))</f>
        <v>1753</v>
      </c>
      <c r="Q1759" s="82" t="str">
        <f aca="false">IF(C1759="","",B1759&amp;"|"&amp;C1759)</f>
        <v>MFD-ISW → MFD-CPF|DJ°032</v>
      </c>
    </row>
    <row r="1760" customFormat="false" ht="74.6" hidden="false" customHeight="false" outlineLevel="0" collapsed="false">
      <c r="A1760" s="82" t="n">
        <f aca="false">IF(C1760="","",ROW()-6)</f>
        <v>1754</v>
      </c>
      <c r="B1760" s="80" t="s">
        <v>110</v>
      </c>
      <c r="C1760" s="113" t="s">
        <v>2142</v>
      </c>
      <c r="D1760" s="82" t="str">
        <f aca="false">IF(OR(C1760="",P1760=""),"",INDEX('CARNET DE SOUDURE'!$D$7:$D$3006,P1760)&amp;"")</f>
        <v>16</v>
      </c>
      <c r="E1760" s="114" t="n">
        <f aca="false">IF(OR(C1760="",P1760=""),"",IF(INDEX('CARNET DE SOUDURE'!$U$7:$U$3006,P1760)="","",INDEX('CARNET DE SOUDURE'!$U$7:$U$3006,P1760)))</f>
        <v>46272</v>
      </c>
      <c r="F1760" s="82" t="str">
        <f aca="false">IF(OR(C1760="",P1760=""),"",INDEX('CARNET DE SOUDURE'!$AP$7:$AP$3006,P1760))</f>
        <v>A</v>
      </c>
      <c r="G1760" s="82" t="str">
        <f aca="false">IF(C1760="","",IF(P1760="","NJ INCONNU",INDEX('CARNET DE SOUDURE'!$AQ$7:$AQ$3006,P1760)))</f>
        <v>ACCEPTÉ</v>
      </c>
      <c r="H1760" s="82" t="str">
        <f aca="false">IF(C1760="","",IF(G1760="ACCEPTÉ","OUI","NON"))</f>
        <v>OUI</v>
      </c>
      <c r="I1760" s="83"/>
      <c r="J1760" s="80"/>
      <c r="K1760" s="81"/>
      <c r="L1760" s="81"/>
      <c r="M1760" s="81"/>
      <c r="N1760" s="84" t="str">
        <f aca="false">IF(C1760="","",IF(P1760="","NJ INCONNU",IF(I1760="",IF(H1760="OUI","À ENROBER",IF(G1760="À SOUDER","NON SOUDÉ","EN ATTENTE RT")),IF(L1760="R","À REPRENDRE",IF(H1760&lt;&gt;"OUI","⚠ ENROBÉ AVANT ACCEPTATION RT","ENROBÉ")))))</f>
        <v>À ENROBER</v>
      </c>
      <c r="O1760" s="80"/>
      <c r="P1760" s="82" t="n">
        <f aca="false">IF(C1760="","",IFERROR(MATCH(Q1760,'CARNET DE SOUDURE'!$AW$7:$AW$3006,0),""))</f>
        <v>1754</v>
      </c>
      <c r="Q1760" s="82" t="str">
        <f aca="false">IF(C1760="","",B1760&amp;"|"&amp;C1760)</f>
        <v>MFD-ISW → MFD-CPF|JN°1394</v>
      </c>
    </row>
    <row r="1761" customFormat="false" ht="74.6" hidden="false" customHeight="false" outlineLevel="0" collapsed="false">
      <c r="A1761" s="82" t="n">
        <f aca="false">IF(C1761="","",ROW()-6)</f>
        <v>1755</v>
      </c>
      <c r="B1761" s="80" t="s">
        <v>110</v>
      </c>
      <c r="C1761" s="113" t="s">
        <v>2144</v>
      </c>
      <c r="D1761" s="82" t="str">
        <f aca="false">IF(OR(C1761="",P1761=""),"",INDEX('CARNET DE SOUDURE'!$D$7:$D$3006,P1761)&amp;"")</f>
        <v>16</v>
      </c>
      <c r="E1761" s="114" t="n">
        <f aca="false">IF(OR(C1761="",P1761=""),"",IF(INDEX('CARNET DE SOUDURE'!$U$7:$U$3006,P1761)="","",INDEX('CARNET DE SOUDURE'!$U$7:$U$3006,P1761)))</f>
        <v>46258</v>
      </c>
      <c r="F1761" s="82" t="str">
        <f aca="false">IF(OR(C1761="",P1761=""),"",INDEX('CARNET DE SOUDURE'!$AP$7:$AP$3006,P1761))</f>
        <v>A</v>
      </c>
      <c r="G1761" s="82" t="str">
        <f aca="false">IF(C1761="","",IF(P1761="","NJ INCONNU",INDEX('CARNET DE SOUDURE'!$AQ$7:$AQ$3006,P1761)))</f>
        <v>ACCEPTÉ</v>
      </c>
      <c r="H1761" s="82" t="str">
        <f aca="false">IF(C1761="","",IF(G1761="ACCEPTÉ","OUI","NON"))</f>
        <v>OUI</v>
      </c>
      <c r="I1761" s="83"/>
      <c r="J1761" s="80"/>
      <c r="K1761" s="81"/>
      <c r="L1761" s="81"/>
      <c r="M1761" s="81"/>
      <c r="N1761" s="84" t="str">
        <f aca="false">IF(C1761="","",IF(P1761="","NJ INCONNU",IF(I1761="",IF(H1761="OUI","À ENROBER",IF(G1761="À SOUDER","NON SOUDÉ","EN ATTENTE RT")),IF(L1761="R","À REPRENDRE",IF(H1761&lt;&gt;"OUI","⚠ ENROBÉ AVANT ACCEPTATION RT","ENROBÉ")))))</f>
        <v>À ENROBER</v>
      </c>
      <c r="O1761" s="80"/>
      <c r="P1761" s="82" t="n">
        <f aca="false">IF(C1761="","",IFERROR(MATCH(Q1761,'CARNET DE SOUDURE'!$AW$7:$AW$3006,0),""))</f>
        <v>1755</v>
      </c>
      <c r="Q1761" s="82" t="str">
        <f aca="false">IF(C1761="","",B1761&amp;"|"&amp;C1761)</f>
        <v>MFD-ISW → MFD-CPF|DJ°122</v>
      </c>
    </row>
    <row r="1762" customFormat="false" ht="74.6" hidden="false" customHeight="false" outlineLevel="0" collapsed="false">
      <c r="A1762" s="82" t="n">
        <f aca="false">IF(C1762="","",ROW()-6)</f>
        <v>1756</v>
      </c>
      <c r="B1762" s="80" t="s">
        <v>110</v>
      </c>
      <c r="C1762" s="113" t="s">
        <v>2145</v>
      </c>
      <c r="D1762" s="82" t="str">
        <f aca="false">IF(OR(C1762="",P1762=""),"",INDEX('CARNET DE SOUDURE'!$D$7:$D$3006,P1762)&amp;"")</f>
        <v>16</v>
      </c>
      <c r="E1762" s="114" t="n">
        <f aca="false">IF(OR(C1762="",P1762=""),"",IF(INDEX('CARNET DE SOUDURE'!$U$7:$U$3006,P1762)="","",INDEX('CARNET DE SOUDURE'!$U$7:$U$3006,P1762)))</f>
        <v>46272</v>
      </c>
      <c r="F1762" s="82" t="str">
        <f aca="false">IF(OR(C1762="",P1762=""),"",INDEX('CARNET DE SOUDURE'!$AP$7:$AP$3006,P1762))</f>
        <v>A</v>
      </c>
      <c r="G1762" s="82" t="str">
        <f aca="false">IF(C1762="","",IF(P1762="","NJ INCONNU",INDEX('CARNET DE SOUDURE'!$AQ$7:$AQ$3006,P1762)))</f>
        <v>ACCEPTÉ</v>
      </c>
      <c r="H1762" s="82" t="str">
        <f aca="false">IF(C1762="","",IF(G1762="ACCEPTÉ","OUI","NON"))</f>
        <v>OUI</v>
      </c>
      <c r="I1762" s="83"/>
      <c r="J1762" s="80"/>
      <c r="K1762" s="81"/>
      <c r="L1762" s="81"/>
      <c r="M1762" s="81"/>
      <c r="N1762" s="84" t="str">
        <f aca="false">IF(C1762="","",IF(P1762="","NJ INCONNU",IF(I1762="",IF(H1762="OUI","À ENROBER",IF(G1762="À SOUDER","NON SOUDÉ","EN ATTENTE RT")),IF(L1762="R","À REPRENDRE",IF(H1762&lt;&gt;"OUI","⚠ ENROBÉ AVANT ACCEPTATION RT","ENROBÉ")))))</f>
        <v>À ENROBER</v>
      </c>
      <c r="O1762" s="80"/>
      <c r="P1762" s="82" t="n">
        <f aca="false">IF(C1762="","",IFERROR(MATCH(Q1762,'CARNET DE SOUDURE'!$AW$7:$AW$3006,0),""))</f>
        <v>1756</v>
      </c>
      <c r="Q1762" s="82" t="str">
        <f aca="false">IF(C1762="","",B1762&amp;"|"&amp;C1762)</f>
        <v>MFD-ISW → MFD-CPF|JN°1395</v>
      </c>
    </row>
    <row r="1763" customFormat="false" ht="74.6" hidden="false" customHeight="false" outlineLevel="0" collapsed="false">
      <c r="A1763" s="82" t="n">
        <f aca="false">IF(C1763="","",ROW()-6)</f>
        <v>1757</v>
      </c>
      <c r="B1763" s="80" t="s">
        <v>110</v>
      </c>
      <c r="C1763" s="113" t="s">
        <v>2146</v>
      </c>
      <c r="D1763" s="82" t="str">
        <f aca="false">IF(OR(C1763="",P1763=""),"",INDEX('CARNET DE SOUDURE'!$D$7:$D$3006,P1763)&amp;"")</f>
        <v>16</v>
      </c>
      <c r="E1763" s="114" t="n">
        <f aca="false">IF(OR(C1763="",P1763=""),"",IF(INDEX('CARNET DE SOUDURE'!$U$7:$U$3006,P1763)="","",INDEX('CARNET DE SOUDURE'!$U$7:$U$3006,P1763)))</f>
        <v>46257</v>
      </c>
      <c r="F1763" s="82" t="str">
        <f aca="false">IF(OR(C1763="",P1763=""),"",INDEX('CARNET DE SOUDURE'!$AP$7:$AP$3006,P1763))</f>
        <v>A</v>
      </c>
      <c r="G1763" s="82" t="str">
        <f aca="false">IF(C1763="","",IF(P1763="","NJ INCONNU",INDEX('CARNET DE SOUDURE'!$AQ$7:$AQ$3006,P1763)))</f>
        <v>ACCEPTÉ</v>
      </c>
      <c r="H1763" s="82" t="str">
        <f aca="false">IF(C1763="","",IF(G1763="ACCEPTÉ","OUI","NON"))</f>
        <v>OUI</v>
      </c>
      <c r="I1763" s="83"/>
      <c r="J1763" s="80"/>
      <c r="K1763" s="81"/>
      <c r="L1763" s="81"/>
      <c r="M1763" s="81"/>
      <c r="N1763" s="84" t="str">
        <f aca="false">IF(C1763="","",IF(P1763="","NJ INCONNU",IF(I1763="",IF(H1763="OUI","À ENROBER",IF(G1763="À SOUDER","NON SOUDÉ","EN ATTENTE RT")),IF(L1763="R","À REPRENDRE",IF(H1763&lt;&gt;"OUI","⚠ ENROBÉ AVANT ACCEPTATION RT","ENROBÉ")))))</f>
        <v>À ENROBER</v>
      </c>
      <c r="O1763" s="80"/>
      <c r="P1763" s="82" t="n">
        <f aca="false">IF(C1763="","",IFERROR(MATCH(Q1763,'CARNET DE SOUDURE'!$AW$7:$AW$3006,0),""))</f>
        <v>1757</v>
      </c>
      <c r="Q1763" s="82" t="str">
        <f aca="false">IF(C1763="","",B1763&amp;"|"&amp;C1763)</f>
        <v>MFD-ISW → MFD-CPF|DJ°104</v>
      </c>
    </row>
    <row r="1764" customFormat="false" ht="74.6" hidden="false" customHeight="false" outlineLevel="0" collapsed="false">
      <c r="A1764" s="82" t="n">
        <f aca="false">IF(C1764="","",ROW()-6)</f>
        <v>1758</v>
      </c>
      <c r="B1764" s="80" t="s">
        <v>110</v>
      </c>
      <c r="C1764" s="113" t="s">
        <v>2147</v>
      </c>
      <c r="D1764" s="82" t="str">
        <f aca="false">IF(OR(C1764="",P1764=""),"",INDEX('CARNET DE SOUDURE'!$D$7:$D$3006,P1764)&amp;"")</f>
        <v>16</v>
      </c>
      <c r="E1764" s="114" t="n">
        <f aca="false">IF(OR(C1764="",P1764=""),"",IF(INDEX('CARNET DE SOUDURE'!$U$7:$U$3006,P1764)="","",INDEX('CARNET DE SOUDURE'!$U$7:$U$3006,P1764)))</f>
        <v>46272</v>
      </c>
      <c r="F1764" s="82" t="str">
        <f aca="false">IF(OR(C1764="",P1764=""),"",INDEX('CARNET DE SOUDURE'!$AP$7:$AP$3006,P1764))</f>
        <v>A</v>
      </c>
      <c r="G1764" s="82" t="str">
        <f aca="false">IF(C1764="","",IF(P1764="","NJ INCONNU",INDEX('CARNET DE SOUDURE'!$AQ$7:$AQ$3006,P1764)))</f>
        <v>ACCEPTÉ</v>
      </c>
      <c r="H1764" s="82" t="str">
        <f aca="false">IF(C1764="","",IF(G1764="ACCEPTÉ","OUI","NON"))</f>
        <v>OUI</v>
      </c>
      <c r="I1764" s="83"/>
      <c r="J1764" s="80"/>
      <c r="K1764" s="81"/>
      <c r="L1764" s="81"/>
      <c r="M1764" s="81"/>
      <c r="N1764" s="84" t="str">
        <f aca="false">IF(C1764="","",IF(P1764="","NJ INCONNU",IF(I1764="",IF(H1764="OUI","À ENROBER",IF(G1764="À SOUDER","NON SOUDÉ","EN ATTENTE RT")),IF(L1764="R","À REPRENDRE",IF(H1764&lt;&gt;"OUI","⚠ ENROBÉ AVANT ACCEPTATION RT","ENROBÉ")))))</f>
        <v>À ENROBER</v>
      </c>
      <c r="O1764" s="80"/>
      <c r="P1764" s="82" t="n">
        <f aca="false">IF(C1764="","",IFERROR(MATCH(Q1764,'CARNET DE SOUDURE'!$AW$7:$AW$3006,0),""))</f>
        <v>1758</v>
      </c>
      <c r="Q1764" s="82" t="str">
        <f aca="false">IF(C1764="","",B1764&amp;"|"&amp;C1764)</f>
        <v>MFD-ISW → MFD-CPF|JN°1396</v>
      </c>
    </row>
    <row r="1765" customFormat="false" ht="74.6" hidden="false" customHeight="false" outlineLevel="0" collapsed="false">
      <c r="A1765" s="82" t="n">
        <f aca="false">IF(C1765="","",ROW()-6)</f>
        <v>1759</v>
      </c>
      <c r="B1765" s="80" t="s">
        <v>110</v>
      </c>
      <c r="C1765" s="113" t="s">
        <v>2148</v>
      </c>
      <c r="D1765" s="82" t="str">
        <f aca="false">IF(OR(C1765="",P1765=""),"",INDEX('CARNET DE SOUDURE'!$D$7:$D$3006,P1765)&amp;"")</f>
        <v>16</v>
      </c>
      <c r="E1765" s="114" t="n">
        <f aca="false">IF(OR(C1765="",P1765=""),"",IF(INDEX('CARNET DE SOUDURE'!$U$7:$U$3006,P1765)="","",INDEX('CARNET DE SOUDURE'!$U$7:$U$3006,P1765)))</f>
        <v>46260</v>
      </c>
      <c r="F1765" s="82" t="str">
        <f aca="false">IF(OR(C1765="",P1765=""),"",INDEX('CARNET DE SOUDURE'!$AP$7:$AP$3006,P1765))</f>
        <v>A</v>
      </c>
      <c r="G1765" s="82" t="str">
        <f aca="false">IF(C1765="","",IF(P1765="","NJ INCONNU",INDEX('CARNET DE SOUDURE'!$AQ$7:$AQ$3006,P1765)))</f>
        <v>ACCEPTÉ</v>
      </c>
      <c r="H1765" s="82" t="str">
        <f aca="false">IF(C1765="","",IF(G1765="ACCEPTÉ","OUI","NON"))</f>
        <v>OUI</v>
      </c>
      <c r="I1765" s="83"/>
      <c r="J1765" s="80"/>
      <c r="K1765" s="81"/>
      <c r="L1765" s="81"/>
      <c r="M1765" s="81"/>
      <c r="N1765" s="84" t="str">
        <f aca="false">IF(C1765="","",IF(P1765="","NJ INCONNU",IF(I1765="",IF(H1765="OUI","À ENROBER",IF(G1765="À SOUDER","NON SOUDÉ","EN ATTENTE RT")),IF(L1765="R","À REPRENDRE",IF(H1765&lt;&gt;"OUI","⚠ ENROBÉ AVANT ACCEPTATION RT","ENROBÉ")))))</f>
        <v>À ENROBER</v>
      </c>
      <c r="O1765" s="80"/>
      <c r="P1765" s="82" t="n">
        <f aca="false">IF(C1765="","",IFERROR(MATCH(Q1765,'CARNET DE SOUDURE'!$AW$7:$AW$3006,0),""))</f>
        <v>1759</v>
      </c>
      <c r="Q1765" s="82" t="str">
        <f aca="false">IF(C1765="","",B1765&amp;"|"&amp;C1765)</f>
        <v>MFD-ISW → MFD-CPF|DJ°150</v>
      </c>
    </row>
    <row r="1766" customFormat="false" ht="74.6" hidden="false" customHeight="false" outlineLevel="0" collapsed="false">
      <c r="A1766" s="82" t="n">
        <f aca="false">IF(C1766="","",ROW()-6)</f>
        <v>1760</v>
      </c>
      <c r="B1766" s="80" t="s">
        <v>110</v>
      </c>
      <c r="C1766" s="113" t="s">
        <v>2149</v>
      </c>
      <c r="D1766" s="82" t="str">
        <f aca="false">IF(OR(C1766="",P1766=""),"",INDEX('CARNET DE SOUDURE'!$D$7:$D$3006,P1766)&amp;"")</f>
        <v>16</v>
      </c>
      <c r="E1766" s="114" t="n">
        <f aca="false">IF(OR(C1766="",P1766=""),"",IF(INDEX('CARNET DE SOUDURE'!$U$7:$U$3006,P1766)="","",INDEX('CARNET DE SOUDURE'!$U$7:$U$3006,P1766)))</f>
        <v>46271</v>
      </c>
      <c r="F1766" s="82" t="str">
        <f aca="false">IF(OR(C1766="",P1766=""),"",INDEX('CARNET DE SOUDURE'!$AP$7:$AP$3006,P1766))</f>
        <v>A</v>
      </c>
      <c r="G1766" s="82" t="str">
        <f aca="false">IF(C1766="","",IF(P1766="","NJ INCONNU",INDEX('CARNET DE SOUDURE'!$AQ$7:$AQ$3006,P1766)))</f>
        <v>ACCEPTÉ</v>
      </c>
      <c r="H1766" s="82" t="str">
        <f aca="false">IF(C1766="","",IF(G1766="ACCEPTÉ","OUI","NON"))</f>
        <v>OUI</v>
      </c>
      <c r="I1766" s="83"/>
      <c r="J1766" s="80"/>
      <c r="K1766" s="81"/>
      <c r="L1766" s="81"/>
      <c r="M1766" s="81"/>
      <c r="N1766" s="84" t="str">
        <f aca="false">IF(C1766="","",IF(P1766="","NJ INCONNU",IF(I1766="",IF(H1766="OUI","À ENROBER",IF(G1766="À SOUDER","NON SOUDÉ","EN ATTENTE RT")),IF(L1766="R","À REPRENDRE",IF(H1766&lt;&gt;"OUI","⚠ ENROBÉ AVANT ACCEPTATION RT","ENROBÉ")))))</f>
        <v>À ENROBER</v>
      </c>
      <c r="O1766" s="80"/>
      <c r="P1766" s="82" t="n">
        <f aca="false">IF(C1766="","",IFERROR(MATCH(Q1766,'CARNET DE SOUDURE'!$AW$7:$AW$3006,0),""))</f>
        <v>1760</v>
      </c>
      <c r="Q1766" s="82" t="str">
        <f aca="false">IF(C1766="","",B1766&amp;"|"&amp;C1766)</f>
        <v>MFD-ISW → MFD-CPF|JN°1397</v>
      </c>
    </row>
    <row r="1767" customFormat="false" ht="74.6" hidden="false" customHeight="false" outlineLevel="0" collapsed="false">
      <c r="A1767" s="82" t="n">
        <f aca="false">IF(C1767="","",ROW()-6)</f>
        <v>1761</v>
      </c>
      <c r="B1767" s="80" t="s">
        <v>110</v>
      </c>
      <c r="C1767" s="113" t="s">
        <v>2151</v>
      </c>
      <c r="D1767" s="82" t="str">
        <f aca="false">IF(OR(C1767="",P1767=""),"",INDEX('CARNET DE SOUDURE'!$D$7:$D$3006,P1767)&amp;"")</f>
        <v>16</v>
      </c>
      <c r="E1767" s="114" t="n">
        <f aca="false">IF(OR(C1767="",P1767=""),"",IF(INDEX('CARNET DE SOUDURE'!$U$7:$U$3006,P1767)="","",INDEX('CARNET DE SOUDURE'!$U$7:$U$3006,P1767)))</f>
        <v>46260</v>
      </c>
      <c r="F1767" s="82" t="str">
        <f aca="false">IF(OR(C1767="",P1767=""),"",INDEX('CARNET DE SOUDURE'!$AP$7:$AP$3006,P1767))</f>
        <v>A</v>
      </c>
      <c r="G1767" s="82" t="str">
        <f aca="false">IF(C1767="","",IF(P1767="","NJ INCONNU",INDEX('CARNET DE SOUDURE'!$AQ$7:$AQ$3006,P1767)))</f>
        <v>ACCEPTÉ</v>
      </c>
      <c r="H1767" s="82" t="str">
        <f aca="false">IF(C1767="","",IF(G1767="ACCEPTÉ","OUI","NON"))</f>
        <v>OUI</v>
      </c>
      <c r="I1767" s="83"/>
      <c r="J1767" s="80"/>
      <c r="K1767" s="81"/>
      <c r="L1767" s="81"/>
      <c r="M1767" s="81"/>
      <c r="N1767" s="84" t="str">
        <f aca="false">IF(C1767="","",IF(P1767="","NJ INCONNU",IF(I1767="",IF(H1767="OUI","À ENROBER",IF(G1767="À SOUDER","NON SOUDÉ","EN ATTENTE RT")),IF(L1767="R","À REPRENDRE",IF(H1767&lt;&gt;"OUI","⚠ ENROBÉ AVANT ACCEPTATION RT","ENROBÉ")))))</f>
        <v>À ENROBER</v>
      </c>
      <c r="O1767" s="80"/>
      <c r="P1767" s="82" t="n">
        <f aca="false">IF(C1767="","",IFERROR(MATCH(Q1767,'CARNET DE SOUDURE'!$AW$7:$AW$3006,0),""))</f>
        <v>1761</v>
      </c>
      <c r="Q1767" s="82" t="str">
        <f aca="false">IF(C1767="","",B1767&amp;"|"&amp;C1767)</f>
        <v>MFD-ISW → MFD-CPF|DJ°151</v>
      </c>
    </row>
    <row r="1768" customFormat="false" ht="74.6" hidden="false" customHeight="false" outlineLevel="0" collapsed="false">
      <c r="A1768" s="82" t="n">
        <f aca="false">IF(C1768="","",ROW()-6)</f>
        <v>1762</v>
      </c>
      <c r="B1768" s="80" t="s">
        <v>110</v>
      </c>
      <c r="C1768" s="113" t="s">
        <v>2152</v>
      </c>
      <c r="D1768" s="82" t="str">
        <f aca="false">IF(OR(C1768="",P1768=""),"",INDEX('CARNET DE SOUDURE'!$D$7:$D$3006,P1768)&amp;"")</f>
        <v>16</v>
      </c>
      <c r="E1768" s="114" t="n">
        <f aca="false">IF(OR(C1768="",P1768=""),"",IF(INDEX('CARNET DE SOUDURE'!$U$7:$U$3006,P1768)="","",INDEX('CARNET DE SOUDURE'!$U$7:$U$3006,P1768)))</f>
        <v>46271</v>
      </c>
      <c r="F1768" s="82" t="str">
        <f aca="false">IF(OR(C1768="",P1768=""),"",INDEX('CARNET DE SOUDURE'!$AP$7:$AP$3006,P1768))</f>
        <v>A</v>
      </c>
      <c r="G1768" s="82" t="str">
        <f aca="false">IF(C1768="","",IF(P1768="","NJ INCONNU",INDEX('CARNET DE SOUDURE'!$AQ$7:$AQ$3006,P1768)))</f>
        <v>ACCEPTÉ</v>
      </c>
      <c r="H1768" s="82" t="str">
        <f aca="false">IF(C1768="","",IF(G1768="ACCEPTÉ","OUI","NON"))</f>
        <v>OUI</v>
      </c>
      <c r="I1768" s="83"/>
      <c r="J1768" s="80"/>
      <c r="K1768" s="81"/>
      <c r="L1768" s="81"/>
      <c r="M1768" s="81"/>
      <c r="N1768" s="84" t="str">
        <f aca="false">IF(C1768="","",IF(P1768="","NJ INCONNU",IF(I1768="",IF(H1768="OUI","À ENROBER",IF(G1768="À SOUDER","NON SOUDÉ","EN ATTENTE RT")),IF(L1768="R","À REPRENDRE",IF(H1768&lt;&gt;"OUI","⚠ ENROBÉ AVANT ACCEPTATION RT","ENROBÉ")))))</f>
        <v>À ENROBER</v>
      </c>
      <c r="O1768" s="80"/>
      <c r="P1768" s="82" t="n">
        <f aca="false">IF(C1768="","",IFERROR(MATCH(Q1768,'CARNET DE SOUDURE'!$AW$7:$AW$3006,0),""))</f>
        <v>1762</v>
      </c>
      <c r="Q1768" s="82" t="str">
        <f aca="false">IF(C1768="","",B1768&amp;"|"&amp;C1768)</f>
        <v>MFD-ISW → MFD-CPF|JN°1398</v>
      </c>
    </row>
    <row r="1769" customFormat="false" ht="74.6" hidden="false" customHeight="false" outlineLevel="0" collapsed="false">
      <c r="A1769" s="82" t="n">
        <f aca="false">IF(C1769="","",ROW()-6)</f>
        <v>1763</v>
      </c>
      <c r="B1769" s="80" t="s">
        <v>110</v>
      </c>
      <c r="C1769" s="113" t="s">
        <v>2153</v>
      </c>
      <c r="D1769" s="82" t="str">
        <f aca="false">IF(OR(C1769="",P1769=""),"",INDEX('CARNET DE SOUDURE'!$D$7:$D$3006,P1769)&amp;"")</f>
        <v>16</v>
      </c>
      <c r="E1769" s="114" t="n">
        <f aca="false">IF(OR(C1769="",P1769=""),"",IF(INDEX('CARNET DE SOUDURE'!$U$7:$U$3006,P1769)="","",INDEX('CARNET DE SOUDURE'!$U$7:$U$3006,P1769)))</f>
        <v>46260</v>
      </c>
      <c r="F1769" s="82" t="str">
        <f aca="false">IF(OR(C1769="",P1769=""),"",INDEX('CARNET DE SOUDURE'!$AP$7:$AP$3006,P1769))</f>
        <v>A</v>
      </c>
      <c r="G1769" s="82" t="str">
        <f aca="false">IF(C1769="","",IF(P1769="","NJ INCONNU",INDEX('CARNET DE SOUDURE'!$AQ$7:$AQ$3006,P1769)))</f>
        <v>ACCEPTÉ</v>
      </c>
      <c r="H1769" s="82" t="str">
        <f aca="false">IF(C1769="","",IF(G1769="ACCEPTÉ","OUI","NON"))</f>
        <v>OUI</v>
      </c>
      <c r="I1769" s="83"/>
      <c r="J1769" s="80"/>
      <c r="K1769" s="81"/>
      <c r="L1769" s="81"/>
      <c r="M1769" s="81"/>
      <c r="N1769" s="84" t="str">
        <f aca="false">IF(C1769="","",IF(P1769="","NJ INCONNU",IF(I1769="",IF(H1769="OUI","À ENROBER",IF(G1769="À SOUDER","NON SOUDÉ","EN ATTENTE RT")),IF(L1769="R","À REPRENDRE",IF(H1769&lt;&gt;"OUI","⚠ ENROBÉ AVANT ACCEPTATION RT","ENROBÉ")))))</f>
        <v>À ENROBER</v>
      </c>
      <c r="O1769" s="80"/>
      <c r="P1769" s="82" t="n">
        <f aca="false">IF(C1769="","",IFERROR(MATCH(Q1769,'CARNET DE SOUDURE'!$AW$7:$AW$3006,0),""))</f>
        <v>1763</v>
      </c>
      <c r="Q1769" s="82" t="str">
        <f aca="false">IF(C1769="","",B1769&amp;"|"&amp;C1769)</f>
        <v>MFD-ISW → MFD-CPF|DJ°153</v>
      </c>
    </row>
    <row r="1770" customFormat="false" ht="74.6" hidden="false" customHeight="false" outlineLevel="0" collapsed="false">
      <c r="A1770" s="82" t="n">
        <f aca="false">IF(C1770="","",ROW()-6)</f>
        <v>1764</v>
      </c>
      <c r="B1770" s="80" t="s">
        <v>110</v>
      </c>
      <c r="C1770" s="113" t="s">
        <v>2154</v>
      </c>
      <c r="D1770" s="82" t="str">
        <f aca="false">IF(OR(C1770="",P1770=""),"",INDEX('CARNET DE SOUDURE'!$D$7:$D$3006,P1770)&amp;"")</f>
        <v>16</v>
      </c>
      <c r="E1770" s="114" t="n">
        <f aca="false">IF(OR(C1770="",P1770=""),"",IF(INDEX('CARNET DE SOUDURE'!$U$7:$U$3006,P1770)="","",INDEX('CARNET DE SOUDURE'!$U$7:$U$3006,P1770)))</f>
        <v>46271</v>
      </c>
      <c r="F1770" s="82" t="str">
        <f aca="false">IF(OR(C1770="",P1770=""),"",INDEX('CARNET DE SOUDURE'!$AP$7:$AP$3006,P1770))</f>
        <v>A</v>
      </c>
      <c r="G1770" s="82" t="str">
        <f aca="false">IF(C1770="","",IF(P1770="","NJ INCONNU",INDEX('CARNET DE SOUDURE'!$AQ$7:$AQ$3006,P1770)))</f>
        <v>ACCEPTÉ</v>
      </c>
      <c r="H1770" s="82" t="str">
        <f aca="false">IF(C1770="","",IF(G1770="ACCEPTÉ","OUI","NON"))</f>
        <v>OUI</v>
      </c>
      <c r="I1770" s="83"/>
      <c r="J1770" s="80"/>
      <c r="K1770" s="81"/>
      <c r="L1770" s="81"/>
      <c r="M1770" s="81"/>
      <c r="N1770" s="84" t="str">
        <f aca="false">IF(C1770="","",IF(P1770="","NJ INCONNU",IF(I1770="",IF(H1770="OUI","À ENROBER",IF(G1770="À SOUDER","NON SOUDÉ","EN ATTENTE RT")),IF(L1770="R","À REPRENDRE",IF(H1770&lt;&gt;"OUI","⚠ ENROBÉ AVANT ACCEPTATION RT","ENROBÉ")))))</f>
        <v>À ENROBER</v>
      </c>
      <c r="O1770" s="80"/>
      <c r="P1770" s="82" t="n">
        <f aca="false">IF(C1770="","",IFERROR(MATCH(Q1770,'CARNET DE SOUDURE'!$AW$7:$AW$3006,0),""))</f>
        <v>1764</v>
      </c>
      <c r="Q1770" s="82" t="str">
        <f aca="false">IF(C1770="","",B1770&amp;"|"&amp;C1770)</f>
        <v>MFD-ISW → MFD-CPF|JN°1399</v>
      </c>
    </row>
    <row r="1771" customFormat="false" ht="74.6" hidden="false" customHeight="false" outlineLevel="0" collapsed="false">
      <c r="A1771" s="82" t="n">
        <f aca="false">IF(C1771="","",ROW()-6)</f>
        <v>1765</v>
      </c>
      <c r="B1771" s="80" t="s">
        <v>110</v>
      </c>
      <c r="C1771" s="113" t="s">
        <v>2155</v>
      </c>
      <c r="D1771" s="82" t="str">
        <f aca="false">IF(OR(C1771="",P1771=""),"",INDEX('CARNET DE SOUDURE'!$D$7:$D$3006,P1771)&amp;"")</f>
        <v>16</v>
      </c>
      <c r="E1771" s="114" t="n">
        <f aca="false">IF(OR(C1771="",P1771=""),"",IF(INDEX('CARNET DE SOUDURE'!$U$7:$U$3006,P1771)="","",INDEX('CARNET DE SOUDURE'!$U$7:$U$3006,P1771)))</f>
        <v>46260</v>
      </c>
      <c r="F1771" s="82" t="str">
        <f aca="false">IF(OR(C1771="",P1771=""),"",INDEX('CARNET DE SOUDURE'!$AP$7:$AP$3006,P1771))</f>
        <v>A</v>
      </c>
      <c r="G1771" s="82" t="str">
        <f aca="false">IF(C1771="","",IF(P1771="","NJ INCONNU",INDEX('CARNET DE SOUDURE'!$AQ$7:$AQ$3006,P1771)))</f>
        <v>ACCEPTÉ</v>
      </c>
      <c r="H1771" s="82" t="str">
        <f aca="false">IF(C1771="","",IF(G1771="ACCEPTÉ","OUI","NON"))</f>
        <v>OUI</v>
      </c>
      <c r="I1771" s="83"/>
      <c r="J1771" s="80"/>
      <c r="K1771" s="81"/>
      <c r="L1771" s="81"/>
      <c r="M1771" s="81"/>
      <c r="N1771" s="84" t="str">
        <f aca="false">IF(C1771="","",IF(P1771="","NJ INCONNU",IF(I1771="",IF(H1771="OUI","À ENROBER",IF(G1771="À SOUDER","NON SOUDÉ","EN ATTENTE RT")),IF(L1771="R","À REPRENDRE",IF(H1771&lt;&gt;"OUI","⚠ ENROBÉ AVANT ACCEPTATION RT","ENROBÉ")))))</f>
        <v>À ENROBER</v>
      </c>
      <c r="O1771" s="80"/>
      <c r="P1771" s="82" t="n">
        <f aca="false">IF(C1771="","",IFERROR(MATCH(Q1771,'CARNET DE SOUDURE'!$AW$7:$AW$3006,0),""))</f>
        <v>1765</v>
      </c>
      <c r="Q1771" s="82" t="str">
        <f aca="false">IF(C1771="","",B1771&amp;"|"&amp;C1771)</f>
        <v>MFD-ISW → MFD-CPF|DJ°152</v>
      </c>
    </row>
    <row r="1772" customFormat="false" ht="74.6" hidden="false" customHeight="false" outlineLevel="0" collapsed="false">
      <c r="A1772" s="82" t="n">
        <f aca="false">IF(C1772="","",ROW()-6)</f>
        <v>1766</v>
      </c>
      <c r="B1772" s="80" t="s">
        <v>110</v>
      </c>
      <c r="C1772" s="113" t="s">
        <v>2156</v>
      </c>
      <c r="D1772" s="82" t="str">
        <f aca="false">IF(OR(C1772="",P1772=""),"",INDEX('CARNET DE SOUDURE'!$D$7:$D$3006,P1772)&amp;"")</f>
        <v>16</v>
      </c>
      <c r="E1772" s="114" t="n">
        <f aca="false">IF(OR(C1772="",P1772=""),"",IF(INDEX('CARNET DE SOUDURE'!$U$7:$U$3006,P1772)="","",INDEX('CARNET DE SOUDURE'!$U$7:$U$3006,P1772)))</f>
        <v>46271</v>
      </c>
      <c r="F1772" s="82" t="str">
        <f aca="false">IF(OR(C1772="",P1772=""),"",INDEX('CARNET DE SOUDURE'!$AP$7:$AP$3006,P1772))</f>
        <v>A</v>
      </c>
      <c r="G1772" s="82" t="str">
        <f aca="false">IF(C1772="","",IF(P1772="","NJ INCONNU",INDEX('CARNET DE SOUDURE'!$AQ$7:$AQ$3006,P1772)))</f>
        <v>ACCEPTÉ</v>
      </c>
      <c r="H1772" s="82" t="str">
        <f aca="false">IF(C1772="","",IF(G1772="ACCEPTÉ","OUI","NON"))</f>
        <v>OUI</v>
      </c>
      <c r="I1772" s="83"/>
      <c r="J1772" s="80"/>
      <c r="K1772" s="81"/>
      <c r="L1772" s="81"/>
      <c r="M1772" s="81"/>
      <c r="N1772" s="84" t="str">
        <f aca="false">IF(C1772="","",IF(P1772="","NJ INCONNU",IF(I1772="",IF(H1772="OUI","À ENROBER",IF(G1772="À SOUDER","NON SOUDÉ","EN ATTENTE RT")),IF(L1772="R","À REPRENDRE",IF(H1772&lt;&gt;"OUI","⚠ ENROBÉ AVANT ACCEPTATION RT","ENROBÉ")))))</f>
        <v>À ENROBER</v>
      </c>
      <c r="O1772" s="80"/>
      <c r="P1772" s="82" t="n">
        <f aca="false">IF(C1772="","",IFERROR(MATCH(Q1772,'CARNET DE SOUDURE'!$AW$7:$AW$3006,0),""))</f>
        <v>1766</v>
      </c>
      <c r="Q1772" s="82" t="str">
        <f aca="false">IF(C1772="","",B1772&amp;"|"&amp;C1772)</f>
        <v>MFD-ISW → MFD-CPF|JN°1400</v>
      </c>
    </row>
    <row r="1773" customFormat="false" ht="74.6" hidden="false" customHeight="false" outlineLevel="0" collapsed="false">
      <c r="A1773" s="82" t="n">
        <f aca="false">IF(C1773="","",ROW()-6)</f>
        <v>1767</v>
      </c>
      <c r="B1773" s="80" t="s">
        <v>110</v>
      </c>
      <c r="C1773" s="113" t="s">
        <v>2157</v>
      </c>
      <c r="D1773" s="82" t="str">
        <f aca="false">IF(OR(C1773="",P1773=""),"",INDEX('CARNET DE SOUDURE'!$D$7:$D$3006,P1773)&amp;"")</f>
        <v>16</v>
      </c>
      <c r="E1773" s="114" t="n">
        <f aca="false">IF(OR(C1773="",P1773=""),"",IF(INDEX('CARNET DE SOUDURE'!$U$7:$U$3006,P1773)="","",INDEX('CARNET DE SOUDURE'!$U$7:$U$3006,P1773)))</f>
        <v>46260</v>
      </c>
      <c r="F1773" s="82" t="str">
        <f aca="false">IF(OR(C1773="",P1773=""),"",INDEX('CARNET DE SOUDURE'!$AP$7:$AP$3006,P1773))</f>
        <v>A</v>
      </c>
      <c r="G1773" s="82" t="str">
        <f aca="false">IF(C1773="","",IF(P1773="","NJ INCONNU",INDEX('CARNET DE SOUDURE'!$AQ$7:$AQ$3006,P1773)))</f>
        <v>ACCEPTÉ</v>
      </c>
      <c r="H1773" s="82" t="str">
        <f aca="false">IF(C1773="","",IF(G1773="ACCEPTÉ","OUI","NON"))</f>
        <v>OUI</v>
      </c>
      <c r="I1773" s="83"/>
      <c r="J1773" s="80"/>
      <c r="K1773" s="81"/>
      <c r="L1773" s="81"/>
      <c r="M1773" s="81"/>
      <c r="N1773" s="84" t="str">
        <f aca="false">IF(C1773="","",IF(P1773="","NJ INCONNU",IF(I1773="",IF(H1773="OUI","À ENROBER",IF(G1773="À SOUDER","NON SOUDÉ","EN ATTENTE RT")),IF(L1773="R","À REPRENDRE",IF(H1773&lt;&gt;"OUI","⚠ ENROBÉ AVANT ACCEPTATION RT","ENROBÉ")))))</f>
        <v>À ENROBER</v>
      </c>
      <c r="O1773" s="80"/>
      <c r="P1773" s="82" t="n">
        <f aca="false">IF(C1773="","",IFERROR(MATCH(Q1773,'CARNET DE SOUDURE'!$AW$7:$AW$3006,0),""))</f>
        <v>1767</v>
      </c>
      <c r="Q1773" s="82" t="str">
        <f aca="false">IF(C1773="","",B1773&amp;"|"&amp;C1773)</f>
        <v>MFD-ISW → MFD-CPF|DJ°147</v>
      </c>
    </row>
    <row r="1774" customFormat="false" ht="74.6" hidden="false" customHeight="false" outlineLevel="0" collapsed="false">
      <c r="A1774" s="82" t="n">
        <f aca="false">IF(C1774="","",ROW()-6)</f>
        <v>1768</v>
      </c>
      <c r="B1774" s="80" t="s">
        <v>110</v>
      </c>
      <c r="C1774" s="113" t="s">
        <v>2158</v>
      </c>
      <c r="D1774" s="82" t="str">
        <f aca="false">IF(OR(C1774="",P1774=""),"",INDEX('CARNET DE SOUDURE'!$D$7:$D$3006,P1774)&amp;"")</f>
        <v>16</v>
      </c>
      <c r="E1774" s="114" t="n">
        <f aca="false">IF(OR(C1774="",P1774=""),"",IF(INDEX('CARNET DE SOUDURE'!$U$7:$U$3006,P1774)="","",INDEX('CARNET DE SOUDURE'!$U$7:$U$3006,P1774)))</f>
        <v>46271</v>
      </c>
      <c r="F1774" s="82" t="str">
        <f aca="false">IF(OR(C1774="",P1774=""),"",INDEX('CARNET DE SOUDURE'!$AP$7:$AP$3006,P1774))</f>
        <v>A</v>
      </c>
      <c r="G1774" s="82" t="str">
        <f aca="false">IF(C1774="","",IF(P1774="","NJ INCONNU",INDEX('CARNET DE SOUDURE'!$AQ$7:$AQ$3006,P1774)))</f>
        <v>ACCEPTÉ</v>
      </c>
      <c r="H1774" s="82" t="str">
        <f aca="false">IF(C1774="","",IF(G1774="ACCEPTÉ","OUI","NON"))</f>
        <v>OUI</v>
      </c>
      <c r="I1774" s="83"/>
      <c r="J1774" s="80"/>
      <c r="K1774" s="81"/>
      <c r="L1774" s="81"/>
      <c r="M1774" s="81"/>
      <c r="N1774" s="84" t="str">
        <f aca="false">IF(C1774="","",IF(P1774="","NJ INCONNU",IF(I1774="",IF(H1774="OUI","À ENROBER",IF(G1774="À SOUDER","NON SOUDÉ","EN ATTENTE RT")),IF(L1774="R","À REPRENDRE",IF(H1774&lt;&gt;"OUI","⚠ ENROBÉ AVANT ACCEPTATION RT","ENROBÉ")))))</f>
        <v>À ENROBER</v>
      </c>
      <c r="O1774" s="80"/>
      <c r="P1774" s="82" t="n">
        <f aca="false">IF(C1774="","",IFERROR(MATCH(Q1774,'CARNET DE SOUDURE'!$AW$7:$AW$3006,0),""))</f>
        <v>1768</v>
      </c>
      <c r="Q1774" s="82" t="str">
        <f aca="false">IF(C1774="","",B1774&amp;"|"&amp;C1774)</f>
        <v>MFD-ISW → MFD-CPF|JN°1401</v>
      </c>
    </row>
    <row r="1775" customFormat="false" ht="74.6" hidden="false" customHeight="false" outlineLevel="0" collapsed="false">
      <c r="A1775" s="82" t="n">
        <f aca="false">IF(C1775="","",ROW()-6)</f>
        <v>1769</v>
      </c>
      <c r="B1775" s="80" t="s">
        <v>110</v>
      </c>
      <c r="C1775" s="113" t="s">
        <v>2160</v>
      </c>
      <c r="D1775" s="82" t="str">
        <f aca="false">IF(OR(C1775="",P1775=""),"",INDEX('CARNET DE SOUDURE'!$D$7:$D$3006,P1775)&amp;"")</f>
        <v>16</v>
      </c>
      <c r="E1775" s="114" t="n">
        <f aca="false">IF(OR(C1775="",P1775=""),"",IF(INDEX('CARNET DE SOUDURE'!$U$7:$U$3006,P1775)="","",INDEX('CARNET DE SOUDURE'!$U$7:$U$3006,P1775)))</f>
        <v>46257</v>
      </c>
      <c r="F1775" s="82" t="str">
        <f aca="false">IF(OR(C1775="",P1775=""),"",INDEX('CARNET DE SOUDURE'!$AP$7:$AP$3006,P1775))</f>
        <v>A</v>
      </c>
      <c r="G1775" s="82" t="str">
        <f aca="false">IF(C1775="","",IF(P1775="","NJ INCONNU",INDEX('CARNET DE SOUDURE'!$AQ$7:$AQ$3006,P1775)))</f>
        <v>ACCEPTÉ</v>
      </c>
      <c r="H1775" s="82" t="str">
        <f aca="false">IF(C1775="","",IF(G1775="ACCEPTÉ","OUI","NON"))</f>
        <v>OUI</v>
      </c>
      <c r="I1775" s="83"/>
      <c r="J1775" s="80"/>
      <c r="K1775" s="81"/>
      <c r="L1775" s="81"/>
      <c r="M1775" s="81"/>
      <c r="N1775" s="84" t="str">
        <f aca="false">IF(C1775="","",IF(P1775="","NJ INCONNU",IF(I1775="",IF(H1775="OUI","À ENROBER",IF(G1775="À SOUDER","NON SOUDÉ","EN ATTENTE RT")),IF(L1775="R","À REPRENDRE",IF(H1775&lt;&gt;"OUI","⚠ ENROBÉ AVANT ACCEPTATION RT","ENROBÉ")))))</f>
        <v>À ENROBER</v>
      </c>
      <c r="O1775" s="80"/>
      <c r="P1775" s="82" t="n">
        <f aca="false">IF(C1775="","",IFERROR(MATCH(Q1775,'CARNET DE SOUDURE'!$AW$7:$AW$3006,0),""))</f>
        <v>1769</v>
      </c>
      <c r="Q1775" s="82" t="str">
        <f aca="false">IF(C1775="","",B1775&amp;"|"&amp;C1775)</f>
        <v>MFD-ISW → MFD-CPF|DJ°111</v>
      </c>
    </row>
    <row r="1776" customFormat="false" ht="74.6" hidden="false" customHeight="false" outlineLevel="0" collapsed="false">
      <c r="A1776" s="82" t="n">
        <f aca="false">IF(C1776="","",ROW()-6)</f>
        <v>1770</v>
      </c>
      <c r="B1776" s="80" t="s">
        <v>110</v>
      </c>
      <c r="C1776" s="113" t="s">
        <v>2161</v>
      </c>
      <c r="D1776" s="82" t="str">
        <f aca="false">IF(OR(C1776="",P1776=""),"",INDEX('CARNET DE SOUDURE'!$D$7:$D$3006,P1776)&amp;"")</f>
        <v>16</v>
      </c>
      <c r="E1776" s="114" t="n">
        <f aca="false">IF(OR(C1776="",P1776=""),"",IF(INDEX('CARNET DE SOUDURE'!$U$7:$U$3006,P1776)="","",INDEX('CARNET DE SOUDURE'!$U$7:$U$3006,P1776)))</f>
        <v>46271</v>
      </c>
      <c r="F1776" s="82" t="str">
        <f aca="false">IF(OR(C1776="",P1776=""),"",INDEX('CARNET DE SOUDURE'!$AP$7:$AP$3006,P1776))</f>
        <v>A</v>
      </c>
      <c r="G1776" s="82" t="str">
        <f aca="false">IF(C1776="","",IF(P1776="","NJ INCONNU",INDEX('CARNET DE SOUDURE'!$AQ$7:$AQ$3006,P1776)))</f>
        <v>ACCEPTÉ</v>
      </c>
      <c r="H1776" s="82" t="str">
        <f aca="false">IF(C1776="","",IF(G1776="ACCEPTÉ","OUI","NON"))</f>
        <v>OUI</v>
      </c>
      <c r="I1776" s="83"/>
      <c r="J1776" s="80"/>
      <c r="K1776" s="81"/>
      <c r="L1776" s="81"/>
      <c r="M1776" s="81"/>
      <c r="N1776" s="84" t="str">
        <f aca="false">IF(C1776="","",IF(P1776="","NJ INCONNU",IF(I1776="",IF(H1776="OUI","À ENROBER",IF(G1776="À SOUDER","NON SOUDÉ","EN ATTENTE RT")),IF(L1776="R","À REPRENDRE",IF(H1776&lt;&gt;"OUI","⚠ ENROBÉ AVANT ACCEPTATION RT","ENROBÉ")))))</f>
        <v>À ENROBER</v>
      </c>
      <c r="O1776" s="80"/>
      <c r="P1776" s="82" t="n">
        <f aca="false">IF(C1776="","",IFERROR(MATCH(Q1776,'CARNET DE SOUDURE'!$AW$7:$AW$3006,0),""))</f>
        <v>1770</v>
      </c>
      <c r="Q1776" s="82" t="str">
        <f aca="false">IF(C1776="","",B1776&amp;"|"&amp;C1776)</f>
        <v>MFD-ISW → MFD-CPF|JN°1402</v>
      </c>
    </row>
    <row r="1777" customFormat="false" ht="74.6" hidden="false" customHeight="false" outlineLevel="0" collapsed="false">
      <c r="A1777" s="82" t="n">
        <f aca="false">IF(C1777="","",ROW()-6)</f>
        <v>1771</v>
      </c>
      <c r="B1777" s="80" t="s">
        <v>110</v>
      </c>
      <c r="C1777" s="113" t="s">
        <v>2162</v>
      </c>
      <c r="D1777" s="82" t="str">
        <f aca="false">IF(OR(C1777="",P1777=""),"",INDEX('CARNET DE SOUDURE'!$D$7:$D$3006,P1777)&amp;"")</f>
        <v>16</v>
      </c>
      <c r="E1777" s="114" t="n">
        <f aca="false">IF(OR(C1777="",P1777=""),"",IF(INDEX('CARNET DE SOUDURE'!$U$7:$U$3006,P1777)="","",INDEX('CARNET DE SOUDURE'!$U$7:$U$3006,P1777)))</f>
        <v>46260</v>
      </c>
      <c r="F1777" s="82" t="str">
        <f aca="false">IF(OR(C1777="",P1777=""),"",INDEX('CARNET DE SOUDURE'!$AP$7:$AP$3006,P1777))</f>
        <v>A</v>
      </c>
      <c r="G1777" s="82" t="str">
        <f aca="false">IF(C1777="","",IF(P1777="","NJ INCONNU",INDEX('CARNET DE SOUDURE'!$AQ$7:$AQ$3006,P1777)))</f>
        <v>ACCEPTÉ</v>
      </c>
      <c r="H1777" s="82" t="str">
        <f aca="false">IF(C1777="","",IF(G1777="ACCEPTÉ","OUI","NON"))</f>
        <v>OUI</v>
      </c>
      <c r="I1777" s="83"/>
      <c r="J1777" s="80"/>
      <c r="K1777" s="81"/>
      <c r="L1777" s="81"/>
      <c r="M1777" s="81"/>
      <c r="N1777" s="84" t="str">
        <f aca="false">IF(C1777="","",IF(P1777="","NJ INCONNU",IF(I1777="",IF(H1777="OUI","À ENROBER",IF(G1777="À SOUDER","NON SOUDÉ","EN ATTENTE RT")),IF(L1777="R","À REPRENDRE",IF(H1777&lt;&gt;"OUI","⚠ ENROBÉ AVANT ACCEPTATION RT","ENROBÉ")))))</f>
        <v>À ENROBER</v>
      </c>
      <c r="O1777" s="80"/>
      <c r="P1777" s="82" t="n">
        <f aca="false">IF(C1777="","",IFERROR(MATCH(Q1777,'CARNET DE SOUDURE'!$AW$7:$AW$3006,0),""))</f>
        <v>1771</v>
      </c>
      <c r="Q1777" s="82" t="str">
        <f aca="false">IF(C1777="","",B1777&amp;"|"&amp;C1777)</f>
        <v>MFD-ISW → MFD-CPF|DJ°148</v>
      </c>
    </row>
    <row r="1778" customFormat="false" ht="74.6" hidden="false" customHeight="false" outlineLevel="0" collapsed="false">
      <c r="A1778" s="82" t="n">
        <f aca="false">IF(C1778="","",ROW()-6)</f>
        <v>1772</v>
      </c>
      <c r="B1778" s="80" t="s">
        <v>110</v>
      </c>
      <c r="C1778" s="113" t="s">
        <v>2163</v>
      </c>
      <c r="D1778" s="82" t="str">
        <f aca="false">IF(OR(C1778="",P1778=""),"",INDEX('CARNET DE SOUDURE'!$D$7:$D$3006,P1778)&amp;"")</f>
        <v>16</v>
      </c>
      <c r="E1778" s="114" t="n">
        <f aca="false">IF(OR(C1778="",P1778=""),"",IF(INDEX('CARNET DE SOUDURE'!$U$7:$U$3006,P1778)="","",INDEX('CARNET DE SOUDURE'!$U$7:$U$3006,P1778)))</f>
        <v>46271</v>
      </c>
      <c r="F1778" s="82" t="str">
        <f aca="false">IF(OR(C1778="",P1778=""),"",INDEX('CARNET DE SOUDURE'!$AP$7:$AP$3006,P1778))</f>
        <v>A</v>
      </c>
      <c r="G1778" s="82" t="str">
        <f aca="false">IF(C1778="","",IF(P1778="","NJ INCONNU",INDEX('CARNET DE SOUDURE'!$AQ$7:$AQ$3006,P1778)))</f>
        <v>ACCEPTÉ</v>
      </c>
      <c r="H1778" s="82" t="str">
        <f aca="false">IF(C1778="","",IF(G1778="ACCEPTÉ","OUI","NON"))</f>
        <v>OUI</v>
      </c>
      <c r="I1778" s="83"/>
      <c r="J1778" s="80"/>
      <c r="K1778" s="81"/>
      <c r="L1778" s="81"/>
      <c r="M1778" s="81"/>
      <c r="N1778" s="84" t="str">
        <f aca="false">IF(C1778="","",IF(P1778="","NJ INCONNU",IF(I1778="",IF(H1778="OUI","À ENROBER",IF(G1778="À SOUDER","NON SOUDÉ","EN ATTENTE RT")),IF(L1778="R","À REPRENDRE",IF(H1778&lt;&gt;"OUI","⚠ ENROBÉ AVANT ACCEPTATION RT","ENROBÉ")))))</f>
        <v>À ENROBER</v>
      </c>
      <c r="O1778" s="80"/>
      <c r="P1778" s="82" t="n">
        <f aca="false">IF(C1778="","",IFERROR(MATCH(Q1778,'CARNET DE SOUDURE'!$AW$7:$AW$3006,0),""))</f>
        <v>1772</v>
      </c>
      <c r="Q1778" s="82" t="str">
        <f aca="false">IF(C1778="","",B1778&amp;"|"&amp;C1778)</f>
        <v>MFD-ISW → MFD-CPF|JN°1403</v>
      </c>
    </row>
    <row r="1779" customFormat="false" ht="74.6" hidden="false" customHeight="false" outlineLevel="0" collapsed="false">
      <c r="A1779" s="82" t="n">
        <f aca="false">IF(C1779="","",ROW()-6)</f>
        <v>1773</v>
      </c>
      <c r="B1779" s="80" t="s">
        <v>110</v>
      </c>
      <c r="C1779" s="113" t="s">
        <v>2164</v>
      </c>
      <c r="D1779" s="82" t="str">
        <f aca="false">IF(OR(C1779="",P1779=""),"",INDEX('CARNET DE SOUDURE'!$D$7:$D$3006,P1779)&amp;"")</f>
        <v>16</v>
      </c>
      <c r="E1779" s="114" t="n">
        <f aca="false">IF(OR(C1779="",P1779=""),"",IF(INDEX('CARNET DE SOUDURE'!$U$7:$U$3006,P1779)="","",INDEX('CARNET DE SOUDURE'!$U$7:$U$3006,P1779)))</f>
        <v>46260</v>
      </c>
      <c r="F1779" s="82" t="str">
        <f aca="false">IF(OR(C1779="",P1779=""),"",INDEX('CARNET DE SOUDURE'!$AP$7:$AP$3006,P1779))</f>
        <v>A</v>
      </c>
      <c r="G1779" s="82" t="str">
        <f aca="false">IF(C1779="","",IF(P1779="","NJ INCONNU",INDEX('CARNET DE SOUDURE'!$AQ$7:$AQ$3006,P1779)))</f>
        <v>ACCEPTÉ</v>
      </c>
      <c r="H1779" s="82" t="str">
        <f aca="false">IF(C1779="","",IF(G1779="ACCEPTÉ","OUI","NON"))</f>
        <v>OUI</v>
      </c>
      <c r="I1779" s="83"/>
      <c r="J1779" s="80"/>
      <c r="K1779" s="81"/>
      <c r="L1779" s="81"/>
      <c r="M1779" s="81"/>
      <c r="N1779" s="84" t="str">
        <f aca="false">IF(C1779="","",IF(P1779="","NJ INCONNU",IF(I1779="",IF(H1779="OUI","À ENROBER",IF(G1779="À SOUDER","NON SOUDÉ","EN ATTENTE RT")),IF(L1779="R","À REPRENDRE",IF(H1779&lt;&gt;"OUI","⚠ ENROBÉ AVANT ACCEPTATION RT","ENROBÉ")))))</f>
        <v>À ENROBER</v>
      </c>
      <c r="O1779" s="80"/>
      <c r="P1779" s="82" t="n">
        <f aca="false">IF(C1779="","",IFERROR(MATCH(Q1779,'CARNET DE SOUDURE'!$AW$7:$AW$3006,0),""))</f>
        <v>1773</v>
      </c>
      <c r="Q1779" s="82" t="str">
        <f aca="false">IF(C1779="","",B1779&amp;"|"&amp;C1779)</f>
        <v>MFD-ISW → MFD-CPF|DJ°149</v>
      </c>
    </row>
    <row r="1780" customFormat="false" ht="74.6" hidden="false" customHeight="false" outlineLevel="0" collapsed="false">
      <c r="A1780" s="82" t="n">
        <f aca="false">IF(C1780="","",ROW()-6)</f>
        <v>1774</v>
      </c>
      <c r="B1780" s="80" t="s">
        <v>110</v>
      </c>
      <c r="C1780" s="113" t="s">
        <v>2165</v>
      </c>
      <c r="D1780" s="82" t="str">
        <f aca="false">IF(OR(C1780="",P1780=""),"",INDEX('CARNET DE SOUDURE'!$D$7:$D$3006,P1780)&amp;"")</f>
        <v>16</v>
      </c>
      <c r="E1780" s="114" t="n">
        <f aca="false">IF(OR(C1780="",P1780=""),"",IF(INDEX('CARNET DE SOUDURE'!$U$7:$U$3006,P1780)="","",INDEX('CARNET DE SOUDURE'!$U$7:$U$3006,P1780)))</f>
        <v>46271</v>
      </c>
      <c r="F1780" s="82" t="str">
        <f aca="false">IF(OR(C1780="",P1780=""),"",INDEX('CARNET DE SOUDURE'!$AP$7:$AP$3006,P1780))</f>
        <v>R</v>
      </c>
      <c r="G1780" s="82" t="str">
        <f aca="false">IF(C1780="","",IF(P1780="","NJ INCONNU",INDEX('CARNET DE SOUDURE'!$AQ$7:$AQ$3006,P1780)))</f>
        <v>À RÉPARER</v>
      </c>
      <c r="H1780" s="82" t="str">
        <f aca="false">IF(C1780="","",IF(G1780="ACCEPTÉ","OUI","NON"))</f>
        <v>NON</v>
      </c>
      <c r="I1780" s="83"/>
      <c r="J1780" s="80"/>
      <c r="K1780" s="81"/>
      <c r="L1780" s="81"/>
      <c r="M1780" s="81"/>
      <c r="N1780" s="84" t="str">
        <f aca="false">IF(C1780="","",IF(P1780="","NJ INCONNU",IF(I1780="",IF(H1780="OUI","À ENROBER",IF(G1780="À SOUDER","NON SOUDÉ","EN ATTENTE RT")),IF(L1780="R","À REPRENDRE",IF(H1780&lt;&gt;"OUI","⚠ ENROBÉ AVANT ACCEPTATION RT","ENROBÉ")))))</f>
        <v>EN ATTENTE RT</v>
      </c>
      <c r="O1780" s="80"/>
      <c r="P1780" s="82" t="n">
        <f aca="false">IF(C1780="","",IFERROR(MATCH(Q1780,'CARNET DE SOUDURE'!$AW$7:$AW$3006,0),""))</f>
        <v>1774</v>
      </c>
      <c r="Q1780" s="82" t="str">
        <f aca="false">IF(C1780="","",B1780&amp;"|"&amp;C1780)</f>
        <v>MFD-ISW → MFD-CPF|JN°1404</v>
      </c>
    </row>
    <row r="1781" customFormat="false" ht="74.6" hidden="false" customHeight="false" outlineLevel="0" collapsed="false">
      <c r="A1781" s="82" t="n">
        <f aca="false">IF(C1781="","",ROW()-6)</f>
        <v>1775</v>
      </c>
      <c r="B1781" s="80" t="s">
        <v>110</v>
      </c>
      <c r="C1781" s="113" t="s">
        <v>2167</v>
      </c>
      <c r="D1781" s="82" t="str">
        <f aca="false">IF(OR(C1781="",P1781=""),"",INDEX('CARNET DE SOUDURE'!$D$7:$D$3006,P1781)&amp;"")</f>
        <v>16</v>
      </c>
      <c r="E1781" s="114" t="n">
        <f aca="false">IF(OR(C1781="",P1781=""),"",IF(INDEX('CARNET DE SOUDURE'!$U$7:$U$3006,P1781)="","",INDEX('CARNET DE SOUDURE'!$U$7:$U$3006,P1781)))</f>
        <v>46259</v>
      </c>
      <c r="F1781" s="82" t="str">
        <f aca="false">IF(OR(C1781="",P1781=""),"",INDEX('CARNET DE SOUDURE'!$AP$7:$AP$3006,P1781))</f>
        <v>A</v>
      </c>
      <c r="G1781" s="82" t="str">
        <f aca="false">IF(C1781="","",IF(P1781="","NJ INCONNU",INDEX('CARNET DE SOUDURE'!$AQ$7:$AQ$3006,P1781)))</f>
        <v>ACCEPTÉ</v>
      </c>
      <c r="H1781" s="82" t="str">
        <f aca="false">IF(C1781="","",IF(G1781="ACCEPTÉ","OUI","NON"))</f>
        <v>OUI</v>
      </c>
      <c r="I1781" s="83"/>
      <c r="J1781" s="80"/>
      <c r="K1781" s="81"/>
      <c r="L1781" s="81"/>
      <c r="M1781" s="81"/>
      <c r="N1781" s="84" t="str">
        <f aca="false">IF(C1781="","",IF(P1781="","NJ INCONNU",IF(I1781="",IF(H1781="OUI","À ENROBER",IF(G1781="À SOUDER","NON SOUDÉ","EN ATTENTE RT")),IF(L1781="R","À REPRENDRE",IF(H1781&lt;&gt;"OUI","⚠ ENROBÉ AVANT ACCEPTATION RT","ENROBÉ")))))</f>
        <v>À ENROBER</v>
      </c>
      <c r="O1781" s="80"/>
      <c r="P1781" s="82" t="n">
        <f aca="false">IF(C1781="","",IFERROR(MATCH(Q1781,'CARNET DE SOUDURE'!$AW$7:$AW$3006,0),""))</f>
        <v>1775</v>
      </c>
      <c r="Q1781" s="82" t="str">
        <f aca="false">IF(C1781="","",B1781&amp;"|"&amp;C1781)</f>
        <v>MFD-ISW → MFD-CPF|DJ°134</v>
      </c>
    </row>
    <row r="1782" customFormat="false" ht="74.6" hidden="false" customHeight="false" outlineLevel="0" collapsed="false">
      <c r="A1782" s="82" t="n">
        <f aca="false">IF(C1782="","",ROW()-6)</f>
        <v>1776</v>
      </c>
      <c r="B1782" s="80" t="s">
        <v>110</v>
      </c>
      <c r="C1782" s="113" t="s">
        <v>2169</v>
      </c>
      <c r="D1782" s="82" t="str">
        <f aca="false">IF(OR(C1782="",P1782=""),"",INDEX('CARNET DE SOUDURE'!$D$7:$D$3006,P1782)&amp;"")</f>
        <v>16</v>
      </c>
      <c r="E1782" s="114" t="n">
        <f aca="false">IF(OR(C1782="",P1782=""),"",IF(INDEX('CARNET DE SOUDURE'!$U$7:$U$3006,P1782)="","",INDEX('CARNET DE SOUDURE'!$U$7:$U$3006,P1782)))</f>
        <v>46271</v>
      </c>
      <c r="F1782" s="82" t="str">
        <f aca="false">IF(OR(C1782="",P1782=""),"",INDEX('CARNET DE SOUDURE'!$AP$7:$AP$3006,P1782))</f>
        <v>R</v>
      </c>
      <c r="G1782" s="82" t="str">
        <f aca="false">IF(C1782="","",IF(P1782="","NJ INCONNU",INDEX('CARNET DE SOUDURE'!$AQ$7:$AQ$3006,P1782)))</f>
        <v>À RÉPARER</v>
      </c>
      <c r="H1782" s="82" t="str">
        <f aca="false">IF(C1782="","",IF(G1782="ACCEPTÉ","OUI","NON"))</f>
        <v>NON</v>
      </c>
      <c r="I1782" s="83"/>
      <c r="J1782" s="80"/>
      <c r="K1782" s="81"/>
      <c r="L1782" s="81"/>
      <c r="M1782" s="81"/>
      <c r="N1782" s="84" t="str">
        <f aca="false">IF(C1782="","",IF(P1782="","NJ INCONNU",IF(I1782="",IF(H1782="OUI","À ENROBER",IF(G1782="À SOUDER","NON SOUDÉ","EN ATTENTE RT")),IF(L1782="R","À REPRENDRE",IF(H1782&lt;&gt;"OUI","⚠ ENROBÉ AVANT ACCEPTATION RT","ENROBÉ")))))</f>
        <v>EN ATTENTE RT</v>
      </c>
      <c r="O1782" s="80"/>
      <c r="P1782" s="82" t="n">
        <f aca="false">IF(C1782="","",IFERROR(MATCH(Q1782,'CARNET DE SOUDURE'!$AW$7:$AW$3006,0),""))</f>
        <v>1776</v>
      </c>
      <c r="Q1782" s="82" t="str">
        <f aca="false">IF(C1782="","",B1782&amp;"|"&amp;C1782)</f>
        <v>MFD-ISW → MFD-CPF|JN°1405</v>
      </c>
    </row>
    <row r="1783" customFormat="false" ht="74.6" hidden="false" customHeight="false" outlineLevel="0" collapsed="false">
      <c r="A1783" s="82" t="n">
        <f aca="false">IF(C1783="","",ROW()-6)</f>
        <v>1777</v>
      </c>
      <c r="B1783" s="80" t="s">
        <v>110</v>
      </c>
      <c r="C1783" s="113" t="s">
        <v>2171</v>
      </c>
      <c r="D1783" s="82" t="str">
        <f aca="false">IF(OR(C1783="",P1783=""),"",INDEX('CARNET DE SOUDURE'!$D$7:$D$3006,P1783)&amp;"")</f>
        <v>16</v>
      </c>
      <c r="E1783" s="114" t="n">
        <f aca="false">IF(OR(C1783="",P1783=""),"",IF(INDEX('CARNET DE SOUDURE'!$U$7:$U$3006,P1783)="","",INDEX('CARNET DE SOUDURE'!$U$7:$U$3006,P1783)))</f>
        <v>46259</v>
      </c>
      <c r="F1783" s="82" t="str">
        <f aca="false">IF(OR(C1783="",P1783=""),"",INDEX('CARNET DE SOUDURE'!$AP$7:$AP$3006,P1783))</f>
        <v>A</v>
      </c>
      <c r="G1783" s="82" t="str">
        <f aca="false">IF(C1783="","",IF(P1783="","NJ INCONNU",INDEX('CARNET DE SOUDURE'!$AQ$7:$AQ$3006,P1783)))</f>
        <v>ACCEPTÉ</v>
      </c>
      <c r="H1783" s="82" t="str">
        <f aca="false">IF(C1783="","",IF(G1783="ACCEPTÉ","OUI","NON"))</f>
        <v>OUI</v>
      </c>
      <c r="I1783" s="83"/>
      <c r="J1783" s="80"/>
      <c r="K1783" s="81"/>
      <c r="L1783" s="81"/>
      <c r="M1783" s="81"/>
      <c r="N1783" s="84" t="str">
        <f aca="false">IF(C1783="","",IF(P1783="","NJ INCONNU",IF(I1783="",IF(H1783="OUI","À ENROBER",IF(G1783="À SOUDER","NON SOUDÉ","EN ATTENTE RT")),IF(L1783="R","À REPRENDRE",IF(H1783&lt;&gt;"OUI","⚠ ENROBÉ AVANT ACCEPTATION RT","ENROBÉ")))))</f>
        <v>À ENROBER</v>
      </c>
      <c r="O1783" s="80"/>
      <c r="P1783" s="82" t="n">
        <f aca="false">IF(C1783="","",IFERROR(MATCH(Q1783,'CARNET DE SOUDURE'!$AW$7:$AW$3006,0),""))</f>
        <v>1777</v>
      </c>
      <c r="Q1783" s="82" t="str">
        <f aca="false">IF(C1783="","",B1783&amp;"|"&amp;C1783)</f>
        <v>MFD-ISW → MFD-CPF|DJ°133</v>
      </c>
    </row>
    <row r="1784" customFormat="false" ht="74.6" hidden="false" customHeight="false" outlineLevel="0" collapsed="false">
      <c r="A1784" s="82" t="n">
        <f aca="false">IF(C1784="","",ROW()-6)</f>
        <v>1778</v>
      </c>
      <c r="B1784" s="80" t="s">
        <v>110</v>
      </c>
      <c r="C1784" s="113" t="s">
        <v>2172</v>
      </c>
      <c r="D1784" s="82" t="str">
        <f aca="false">IF(OR(C1784="",P1784=""),"",INDEX('CARNET DE SOUDURE'!$D$7:$D$3006,P1784)&amp;"")</f>
        <v>16</v>
      </c>
      <c r="E1784" s="114" t="n">
        <f aca="false">IF(OR(C1784="",P1784=""),"",IF(INDEX('CARNET DE SOUDURE'!$U$7:$U$3006,P1784)="","",INDEX('CARNET DE SOUDURE'!$U$7:$U$3006,P1784)))</f>
        <v>46271</v>
      </c>
      <c r="F1784" s="82" t="str">
        <f aca="false">IF(OR(C1784="",P1784=""),"",INDEX('CARNET DE SOUDURE'!$AP$7:$AP$3006,P1784))</f>
        <v>A</v>
      </c>
      <c r="G1784" s="82" t="str">
        <f aca="false">IF(C1784="","",IF(P1784="","NJ INCONNU",INDEX('CARNET DE SOUDURE'!$AQ$7:$AQ$3006,P1784)))</f>
        <v>ACCEPTÉ</v>
      </c>
      <c r="H1784" s="82" t="str">
        <f aca="false">IF(C1784="","",IF(G1784="ACCEPTÉ","OUI","NON"))</f>
        <v>OUI</v>
      </c>
      <c r="I1784" s="83"/>
      <c r="J1784" s="80"/>
      <c r="K1784" s="81"/>
      <c r="L1784" s="81"/>
      <c r="M1784" s="81"/>
      <c r="N1784" s="84" t="str">
        <f aca="false">IF(C1784="","",IF(P1784="","NJ INCONNU",IF(I1784="",IF(H1784="OUI","À ENROBER",IF(G1784="À SOUDER","NON SOUDÉ","EN ATTENTE RT")),IF(L1784="R","À REPRENDRE",IF(H1784&lt;&gt;"OUI","⚠ ENROBÉ AVANT ACCEPTATION RT","ENROBÉ")))))</f>
        <v>À ENROBER</v>
      </c>
      <c r="O1784" s="80"/>
      <c r="P1784" s="82" t="n">
        <f aca="false">IF(C1784="","",IFERROR(MATCH(Q1784,'CARNET DE SOUDURE'!$AW$7:$AW$3006,0),""))</f>
        <v>1778</v>
      </c>
      <c r="Q1784" s="82" t="str">
        <f aca="false">IF(C1784="","",B1784&amp;"|"&amp;C1784)</f>
        <v>MFD-ISW → MFD-CPF|JN°1406</v>
      </c>
    </row>
    <row r="1785" customFormat="false" ht="74.6" hidden="false" customHeight="false" outlineLevel="0" collapsed="false">
      <c r="A1785" s="82" t="n">
        <f aca="false">IF(C1785="","",ROW()-6)</f>
        <v>1779</v>
      </c>
      <c r="B1785" s="80" t="s">
        <v>110</v>
      </c>
      <c r="C1785" s="113" t="s">
        <v>2173</v>
      </c>
      <c r="D1785" s="82" t="str">
        <f aca="false">IF(OR(C1785="",P1785=""),"",INDEX('CARNET DE SOUDURE'!$D$7:$D$3006,P1785)&amp;"")</f>
        <v>16</v>
      </c>
      <c r="E1785" s="114" t="n">
        <f aca="false">IF(OR(C1785="",P1785=""),"",IF(INDEX('CARNET DE SOUDURE'!$U$7:$U$3006,P1785)="","",INDEX('CARNET DE SOUDURE'!$U$7:$U$3006,P1785)))</f>
        <v>46259</v>
      </c>
      <c r="F1785" s="82" t="str">
        <f aca="false">IF(OR(C1785="",P1785=""),"",INDEX('CARNET DE SOUDURE'!$AP$7:$AP$3006,P1785))</f>
        <v>A</v>
      </c>
      <c r="G1785" s="82" t="str">
        <f aca="false">IF(C1785="","",IF(P1785="","NJ INCONNU",INDEX('CARNET DE SOUDURE'!$AQ$7:$AQ$3006,P1785)))</f>
        <v>ACCEPTÉ</v>
      </c>
      <c r="H1785" s="82" t="str">
        <f aca="false">IF(C1785="","",IF(G1785="ACCEPTÉ","OUI","NON"))</f>
        <v>OUI</v>
      </c>
      <c r="I1785" s="83"/>
      <c r="J1785" s="80"/>
      <c r="K1785" s="81"/>
      <c r="L1785" s="81"/>
      <c r="M1785" s="81"/>
      <c r="N1785" s="84" t="str">
        <f aca="false">IF(C1785="","",IF(P1785="","NJ INCONNU",IF(I1785="",IF(H1785="OUI","À ENROBER",IF(G1785="À SOUDER","NON SOUDÉ","EN ATTENTE RT")),IF(L1785="R","À REPRENDRE",IF(H1785&lt;&gt;"OUI","⚠ ENROBÉ AVANT ACCEPTATION RT","ENROBÉ")))))</f>
        <v>À ENROBER</v>
      </c>
      <c r="O1785" s="80"/>
      <c r="P1785" s="82" t="n">
        <f aca="false">IF(C1785="","",IFERROR(MATCH(Q1785,'CARNET DE SOUDURE'!$AW$7:$AW$3006,0),""))</f>
        <v>1779</v>
      </c>
      <c r="Q1785" s="82" t="str">
        <f aca="false">IF(C1785="","",B1785&amp;"|"&amp;C1785)</f>
        <v>MFD-ISW → MFD-CPF|DJ°137</v>
      </c>
    </row>
    <row r="1786" customFormat="false" ht="74.6" hidden="false" customHeight="false" outlineLevel="0" collapsed="false">
      <c r="A1786" s="82" t="n">
        <f aca="false">IF(C1786="","",ROW()-6)</f>
        <v>1780</v>
      </c>
      <c r="B1786" s="80" t="s">
        <v>110</v>
      </c>
      <c r="C1786" s="113" t="s">
        <v>2174</v>
      </c>
      <c r="D1786" s="82" t="str">
        <f aca="false">IF(OR(C1786="",P1786=""),"",INDEX('CARNET DE SOUDURE'!$D$7:$D$3006,P1786)&amp;"")</f>
        <v>16</v>
      </c>
      <c r="E1786" s="114" t="n">
        <f aca="false">IF(OR(C1786="",P1786=""),"",IF(INDEX('CARNET DE SOUDURE'!$U$7:$U$3006,P1786)="","",INDEX('CARNET DE SOUDURE'!$U$7:$U$3006,P1786)))</f>
        <v>46271</v>
      </c>
      <c r="F1786" s="82" t="str">
        <f aca="false">IF(OR(C1786="",P1786=""),"",INDEX('CARNET DE SOUDURE'!$AP$7:$AP$3006,P1786))</f>
        <v>A</v>
      </c>
      <c r="G1786" s="82" t="str">
        <f aca="false">IF(C1786="","",IF(P1786="","NJ INCONNU",INDEX('CARNET DE SOUDURE'!$AQ$7:$AQ$3006,P1786)))</f>
        <v>ACCEPTÉ</v>
      </c>
      <c r="H1786" s="82" t="str">
        <f aca="false">IF(C1786="","",IF(G1786="ACCEPTÉ","OUI","NON"))</f>
        <v>OUI</v>
      </c>
      <c r="I1786" s="83"/>
      <c r="J1786" s="80"/>
      <c r="K1786" s="81"/>
      <c r="L1786" s="81"/>
      <c r="M1786" s="81"/>
      <c r="N1786" s="84" t="str">
        <f aca="false">IF(C1786="","",IF(P1786="","NJ INCONNU",IF(I1786="",IF(H1786="OUI","À ENROBER",IF(G1786="À SOUDER","NON SOUDÉ","EN ATTENTE RT")),IF(L1786="R","À REPRENDRE",IF(H1786&lt;&gt;"OUI","⚠ ENROBÉ AVANT ACCEPTATION RT","ENROBÉ")))))</f>
        <v>À ENROBER</v>
      </c>
      <c r="O1786" s="80"/>
      <c r="P1786" s="82" t="n">
        <f aca="false">IF(C1786="","",IFERROR(MATCH(Q1786,'CARNET DE SOUDURE'!$AW$7:$AW$3006,0),""))</f>
        <v>1780</v>
      </c>
      <c r="Q1786" s="82" t="str">
        <f aca="false">IF(C1786="","",B1786&amp;"|"&amp;C1786)</f>
        <v>MFD-ISW → MFD-CPF|JN°1407</v>
      </c>
    </row>
    <row r="1787" customFormat="false" ht="74.6" hidden="false" customHeight="false" outlineLevel="0" collapsed="false">
      <c r="A1787" s="82" t="n">
        <f aca="false">IF(C1787="","",ROW()-6)</f>
        <v>1781</v>
      </c>
      <c r="B1787" s="80" t="s">
        <v>110</v>
      </c>
      <c r="C1787" s="113" t="s">
        <v>2175</v>
      </c>
      <c r="D1787" s="82" t="str">
        <f aca="false">IF(OR(C1787="",P1787=""),"",INDEX('CARNET DE SOUDURE'!$D$7:$D$3006,P1787)&amp;"")</f>
        <v>16</v>
      </c>
      <c r="E1787" s="114" t="n">
        <f aca="false">IF(OR(C1787="",P1787=""),"",IF(INDEX('CARNET DE SOUDURE'!$U$7:$U$3006,P1787)="","",INDEX('CARNET DE SOUDURE'!$U$7:$U$3006,P1787)))</f>
        <v>46259</v>
      </c>
      <c r="F1787" s="82" t="str">
        <f aca="false">IF(OR(C1787="",P1787=""),"",INDEX('CARNET DE SOUDURE'!$AP$7:$AP$3006,P1787))</f>
        <v>A</v>
      </c>
      <c r="G1787" s="82" t="str">
        <f aca="false">IF(C1787="","",IF(P1787="","NJ INCONNU",INDEX('CARNET DE SOUDURE'!$AQ$7:$AQ$3006,P1787)))</f>
        <v>ACCEPTÉ</v>
      </c>
      <c r="H1787" s="82" t="str">
        <f aca="false">IF(C1787="","",IF(G1787="ACCEPTÉ","OUI","NON"))</f>
        <v>OUI</v>
      </c>
      <c r="I1787" s="83"/>
      <c r="J1787" s="80"/>
      <c r="K1787" s="81"/>
      <c r="L1787" s="81"/>
      <c r="M1787" s="81"/>
      <c r="N1787" s="84" t="str">
        <f aca="false">IF(C1787="","",IF(P1787="","NJ INCONNU",IF(I1787="",IF(H1787="OUI","À ENROBER",IF(G1787="À SOUDER","NON SOUDÉ","EN ATTENTE RT")),IF(L1787="R","À REPRENDRE",IF(H1787&lt;&gt;"OUI","⚠ ENROBÉ AVANT ACCEPTATION RT","ENROBÉ")))))</f>
        <v>À ENROBER</v>
      </c>
      <c r="O1787" s="80"/>
      <c r="P1787" s="82" t="n">
        <f aca="false">IF(C1787="","",IFERROR(MATCH(Q1787,'CARNET DE SOUDURE'!$AW$7:$AW$3006,0),""))</f>
        <v>1781</v>
      </c>
      <c r="Q1787" s="82" t="str">
        <f aca="false">IF(C1787="","",B1787&amp;"|"&amp;C1787)</f>
        <v>MFD-ISW → MFD-CPF|DJ°136</v>
      </c>
    </row>
    <row r="1788" customFormat="false" ht="74.6" hidden="false" customHeight="false" outlineLevel="0" collapsed="false">
      <c r="A1788" s="82" t="n">
        <f aca="false">IF(C1788="","",ROW()-6)</f>
        <v>1782</v>
      </c>
      <c r="B1788" s="80" t="s">
        <v>110</v>
      </c>
      <c r="C1788" s="113" t="s">
        <v>2176</v>
      </c>
      <c r="D1788" s="82" t="str">
        <f aca="false">IF(OR(C1788="",P1788=""),"",INDEX('CARNET DE SOUDURE'!$D$7:$D$3006,P1788)&amp;"")</f>
        <v>16</v>
      </c>
      <c r="E1788" s="114" t="n">
        <f aca="false">IF(OR(C1788="",P1788=""),"",IF(INDEX('CARNET DE SOUDURE'!$U$7:$U$3006,P1788)="","",INDEX('CARNET DE SOUDURE'!$U$7:$U$3006,P1788)))</f>
        <v>46271</v>
      </c>
      <c r="F1788" s="82" t="str">
        <f aca="false">IF(OR(C1788="",P1788=""),"",INDEX('CARNET DE SOUDURE'!$AP$7:$AP$3006,P1788))</f>
        <v>A</v>
      </c>
      <c r="G1788" s="82" t="str">
        <f aca="false">IF(C1788="","",IF(P1788="","NJ INCONNU",INDEX('CARNET DE SOUDURE'!$AQ$7:$AQ$3006,P1788)))</f>
        <v>ACCEPTÉ</v>
      </c>
      <c r="H1788" s="82" t="str">
        <f aca="false">IF(C1788="","",IF(G1788="ACCEPTÉ","OUI","NON"))</f>
        <v>OUI</v>
      </c>
      <c r="I1788" s="83"/>
      <c r="J1788" s="80"/>
      <c r="K1788" s="81"/>
      <c r="L1788" s="81"/>
      <c r="M1788" s="81"/>
      <c r="N1788" s="84" t="str">
        <f aca="false">IF(C1788="","",IF(P1788="","NJ INCONNU",IF(I1788="",IF(H1788="OUI","À ENROBER",IF(G1788="À SOUDER","NON SOUDÉ","EN ATTENTE RT")),IF(L1788="R","À REPRENDRE",IF(H1788&lt;&gt;"OUI","⚠ ENROBÉ AVANT ACCEPTATION RT","ENROBÉ")))))</f>
        <v>À ENROBER</v>
      </c>
      <c r="O1788" s="80"/>
      <c r="P1788" s="82" t="n">
        <f aca="false">IF(C1788="","",IFERROR(MATCH(Q1788,'CARNET DE SOUDURE'!$AW$7:$AW$3006,0),""))</f>
        <v>1782</v>
      </c>
      <c r="Q1788" s="82" t="str">
        <f aca="false">IF(C1788="","",B1788&amp;"|"&amp;C1788)</f>
        <v>MFD-ISW → MFD-CPF|JN°1408</v>
      </c>
    </row>
    <row r="1789" customFormat="false" ht="74.6" hidden="false" customHeight="false" outlineLevel="0" collapsed="false">
      <c r="A1789" s="82" t="n">
        <f aca="false">IF(C1789="","",ROW()-6)</f>
        <v>1783</v>
      </c>
      <c r="B1789" s="80" t="s">
        <v>110</v>
      </c>
      <c r="C1789" s="113" t="s">
        <v>2177</v>
      </c>
      <c r="D1789" s="82" t="str">
        <f aca="false">IF(OR(C1789="",P1789=""),"",INDEX('CARNET DE SOUDURE'!$D$7:$D$3006,P1789)&amp;"")</f>
        <v>16</v>
      </c>
      <c r="E1789" s="114" t="n">
        <f aca="false">IF(OR(C1789="",P1789=""),"",IF(INDEX('CARNET DE SOUDURE'!$U$7:$U$3006,P1789)="","",INDEX('CARNET DE SOUDURE'!$U$7:$U$3006,P1789)))</f>
        <v>46257</v>
      </c>
      <c r="F1789" s="82" t="str">
        <f aca="false">IF(OR(C1789="",P1789=""),"",INDEX('CARNET DE SOUDURE'!$AP$7:$AP$3006,P1789))</f>
        <v>A</v>
      </c>
      <c r="G1789" s="82" t="str">
        <f aca="false">IF(C1789="","",IF(P1789="","NJ INCONNU",INDEX('CARNET DE SOUDURE'!$AQ$7:$AQ$3006,P1789)))</f>
        <v>ACCEPTÉ</v>
      </c>
      <c r="H1789" s="82" t="str">
        <f aca="false">IF(C1789="","",IF(G1789="ACCEPTÉ","OUI","NON"))</f>
        <v>OUI</v>
      </c>
      <c r="I1789" s="83"/>
      <c r="J1789" s="80"/>
      <c r="K1789" s="81"/>
      <c r="L1789" s="81"/>
      <c r="M1789" s="81"/>
      <c r="N1789" s="84" t="str">
        <f aca="false">IF(C1789="","",IF(P1789="","NJ INCONNU",IF(I1789="",IF(H1789="OUI","À ENROBER",IF(G1789="À SOUDER","NON SOUDÉ","EN ATTENTE RT")),IF(L1789="R","À REPRENDRE",IF(H1789&lt;&gt;"OUI","⚠ ENROBÉ AVANT ACCEPTATION RT","ENROBÉ")))))</f>
        <v>À ENROBER</v>
      </c>
      <c r="O1789" s="80"/>
      <c r="P1789" s="82" t="n">
        <f aca="false">IF(C1789="","",IFERROR(MATCH(Q1789,'CARNET DE SOUDURE'!$AW$7:$AW$3006,0),""))</f>
        <v>1783</v>
      </c>
      <c r="Q1789" s="82" t="str">
        <f aca="false">IF(C1789="","",B1789&amp;"|"&amp;C1789)</f>
        <v>MFD-ISW → MFD-CPF|DJ°108</v>
      </c>
    </row>
    <row r="1790" customFormat="false" ht="74.6" hidden="false" customHeight="false" outlineLevel="0" collapsed="false">
      <c r="A1790" s="82" t="n">
        <f aca="false">IF(C1790="","",ROW()-6)</f>
        <v>1784</v>
      </c>
      <c r="B1790" s="80" t="s">
        <v>110</v>
      </c>
      <c r="C1790" s="113" t="s">
        <v>2178</v>
      </c>
      <c r="D1790" s="82" t="str">
        <f aca="false">IF(OR(C1790="",P1790=""),"",INDEX('CARNET DE SOUDURE'!$D$7:$D$3006,P1790)&amp;"")</f>
        <v>16</v>
      </c>
      <c r="E1790" s="114" t="n">
        <f aca="false">IF(OR(C1790="",P1790=""),"",IF(INDEX('CARNET DE SOUDURE'!$U$7:$U$3006,P1790)="","",INDEX('CARNET DE SOUDURE'!$U$7:$U$3006,P1790)))</f>
        <v>46271</v>
      </c>
      <c r="F1790" s="82" t="str">
        <f aca="false">IF(OR(C1790="",P1790=""),"",INDEX('CARNET DE SOUDURE'!$AP$7:$AP$3006,P1790))</f>
        <v>A</v>
      </c>
      <c r="G1790" s="82" t="str">
        <f aca="false">IF(C1790="","",IF(P1790="","NJ INCONNU",INDEX('CARNET DE SOUDURE'!$AQ$7:$AQ$3006,P1790)))</f>
        <v>ACCEPTÉ</v>
      </c>
      <c r="H1790" s="82" t="str">
        <f aca="false">IF(C1790="","",IF(G1790="ACCEPTÉ","OUI","NON"))</f>
        <v>OUI</v>
      </c>
      <c r="I1790" s="83"/>
      <c r="J1790" s="80"/>
      <c r="K1790" s="81"/>
      <c r="L1790" s="81"/>
      <c r="M1790" s="81"/>
      <c r="N1790" s="84" t="str">
        <f aca="false">IF(C1790="","",IF(P1790="","NJ INCONNU",IF(I1790="",IF(H1790="OUI","À ENROBER",IF(G1790="À SOUDER","NON SOUDÉ","EN ATTENTE RT")),IF(L1790="R","À REPRENDRE",IF(H1790&lt;&gt;"OUI","⚠ ENROBÉ AVANT ACCEPTATION RT","ENROBÉ")))))</f>
        <v>À ENROBER</v>
      </c>
      <c r="O1790" s="80"/>
      <c r="P1790" s="82" t="n">
        <f aca="false">IF(C1790="","",IFERROR(MATCH(Q1790,'CARNET DE SOUDURE'!$AW$7:$AW$3006,0),""))</f>
        <v>1784</v>
      </c>
      <c r="Q1790" s="82" t="str">
        <f aca="false">IF(C1790="","",B1790&amp;"|"&amp;C1790)</f>
        <v>MFD-ISW → MFD-CPF|JN°1409</v>
      </c>
    </row>
    <row r="1791" customFormat="false" ht="74.6" hidden="false" customHeight="false" outlineLevel="0" collapsed="false">
      <c r="A1791" s="82" t="n">
        <f aca="false">IF(C1791="","",ROW()-6)</f>
        <v>1785</v>
      </c>
      <c r="B1791" s="80" t="s">
        <v>110</v>
      </c>
      <c r="C1791" s="113" t="s">
        <v>2179</v>
      </c>
      <c r="D1791" s="82" t="str">
        <f aca="false">IF(OR(C1791="",P1791=""),"",INDEX('CARNET DE SOUDURE'!$D$7:$D$3006,P1791)&amp;"")</f>
        <v>16</v>
      </c>
      <c r="E1791" s="114" t="n">
        <f aca="false">IF(OR(C1791="",P1791=""),"",IF(INDEX('CARNET DE SOUDURE'!$U$7:$U$3006,P1791)="","",INDEX('CARNET DE SOUDURE'!$U$7:$U$3006,P1791)))</f>
        <v>46257</v>
      </c>
      <c r="F1791" s="82" t="str">
        <f aca="false">IF(OR(C1791="",P1791=""),"",INDEX('CARNET DE SOUDURE'!$AP$7:$AP$3006,P1791))</f>
        <v>A</v>
      </c>
      <c r="G1791" s="82" t="str">
        <f aca="false">IF(C1791="","",IF(P1791="","NJ INCONNU",INDEX('CARNET DE SOUDURE'!$AQ$7:$AQ$3006,P1791)))</f>
        <v>ACCEPTÉ</v>
      </c>
      <c r="H1791" s="82" t="str">
        <f aca="false">IF(C1791="","",IF(G1791="ACCEPTÉ","OUI","NON"))</f>
        <v>OUI</v>
      </c>
      <c r="I1791" s="83"/>
      <c r="J1791" s="80"/>
      <c r="K1791" s="81"/>
      <c r="L1791" s="81"/>
      <c r="M1791" s="81"/>
      <c r="N1791" s="84" t="str">
        <f aca="false">IF(C1791="","",IF(P1791="","NJ INCONNU",IF(I1791="",IF(H1791="OUI","À ENROBER",IF(G1791="À SOUDER","NON SOUDÉ","EN ATTENTE RT")),IF(L1791="R","À REPRENDRE",IF(H1791&lt;&gt;"OUI","⚠ ENROBÉ AVANT ACCEPTATION RT","ENROBÉ")))))</f>
        <v>À ENROBER</v>
      </c>
      <c r="O1791" s="80"/>
      <c r="P1791" s="82" t="n">
        <f aca="false">IF(C1791="","",IFERROR(MATCH(Q1791,'CARNET DE SOUDURE'!$AW$7:$AW$3006,0),""))</f>
        <v>1785</v>
      </c>
      <c r="Q1791" s="82" t="str">
        <f aca="false">IF(C1791="","",B1791&amp;"|"&amp;C1791)</f>
        <v>MFD-ISW → MFD-CPF|DJ°105</v>
      </c>
    </row>
    <row r="1792" customFormat="false" ht="74.6" hidden="false" customHeight="false" outlineLevel="0" collapsed="false">
      <c r="A1792" s="82" t="n">
        <f aca="false">IF(C1792="","",ROW()-6)</f>
        <v>1786</v>
      </c>
      <c r="B1792" s="80" t="s">
        <v>110</v>
      </c>
      <c r="C1792" s="113" t="s">
        <v>2180</v>
      </c>
      <c r="D1792" s="82" t="str">
        <f aca="false">IF(OR(C1792="",P1792=""),"",INDEX('CARNET DE SOUDURE'!$D$7:$D$3006,P1792)&amp;"")</f>
        <v>16</v>
      </c>
      <c r="E1792" s="114" t="n">
        <f aca="false">IF(OR(C1792="",P1792=""),"",IF(INDEX('CARNET DE SOUDURE'!$U$7:$U$3006,P1792)="","",INDEX('CARNET DE SOUDURE'!$U$7:$U$3006,P1792)))</f>
        <v>46271</v>
      </c>
      <c r="F1792" s="82" t="str">
        <f aca="false">IF(OR(C1792="",P1792=""),"",INDEX('CARNET DE SOUDURE'!$AP$7:$AP$3006,P1792))</f>
        <v>A</v>
      </c>
      <c r="G1792" s="82" t="str">
        <f aca="false">IF(C1792="","",IF(P1792="","NJ INCONNU",INDEX('CARNET DE SOUDURE'!$AQ$7:$AQ$3006,P1792)))</f>
        <v>ACCEPTÉ</v>
      </c>
      <c r="H1792" s="82" t="str">
        <f aca="false">IF(C1792="","",IF(G1792="ACCEPTÉ","OUI","NON"))</f>
        <v>OUI</v>
      </c>
      <c r="I1792" s="83"/>
      <c r="J1792" s="80"/>
      <c r="K1792" s="81"/>
      <c r="L1792" s="81"/>
      <c r="M1792" s="81"/>
      <c r="N1792" s="84" t="str">
        <f aca="false">IF(C1792="","",IF(P1792="","NJ INCONNU",IF(I1792="",IF(H1792="OUI","À ENROBER",IF(G1792="À SOUDER","NON SOUDÉ","EN ATTENTE RT")),IF(L1792="R","À REPRENDRE",IF(H1792&lt;&gt;"OUI","⚠ ENROBÉ AVANT ACCEPTATION RT","ENROBÉ")))))</f>
        <v>À ENROBER</v>
      </c>
      <c r="O1792" s="80"/>
      <c r="P1792" s="82" t="n">
        <f aca="false">IF(C1792="","",IFERROR(MATCH(Q1792,'CARNET DE SOUDURE'!$AW$7:$AW$3006,0),""))</f>
        <v>1786</v>
      </c>
      <c r="Q1792" s="82" t="str">
        <f aca="false">IF(C1792="","",B1792&amp;"|"&amp;C1792)</f>
        <v>MFD-ISW → MFD-CPF|JN°1410</v>
      </c>
    </row>
    <row r="1793" customFormat="false" ht="74.6" hidden="false" customHeight="false" outlineLevel="0" collapsed="false">
      <c r="A1793" s="82" t="n">
        <f aca="false">IF(C1793="","",ROW()-6)</f>
        <v>1787</v>
      </c>
      <c r="B1793" s="80" t="s">
        <v>110</v>
      </c>
      <c r="C1793" s="113" t="s">
        <v>2181</v>
      </c>
      <c r="D1793" s="82" t="str">
        <f aca="false">IF(OR(C1793="",P1793=""),"",INDEX('CARNET DE SOUDURE'!$D$7:$D$3006,P1793)&amp;"")</f>
        <v>16</v>
      </c>
      <c r="E1793" s="114" t="n">
        <f aca="false">IF(OR(C1793="",P1793=""),"",IF(INDEX('CARNET DE SOUDURE'!$U$7:$U$3006,P1793)="","",INDEX('CARNET DE SOUDURE'!$U$7:$U$3006,P1793)))</f>
        <v>46257</v>
      </c>
      <c r="F1793" s="82" t="str">
        <f aca="false">IF(OR(C1793="",P1793=""),"",INDEX('CARNET DE SOUDURE'!$AP$7:$AP$3006,P1793))</f>
        <v>A</v>
      </c>
      <c r="G1793" s="82" t="str">
        <f aca="false">IF(C1793="","",IF(P1793="","NJ INCONNU",INDEX('CARNET DE SOUDURE'!$AQ$7:$AQ$3006,P1793)))</f>
        <v>ACCEPTÉ</v>
      </c>
      <c r="H1793" s="82" t="str">
        <f aca="false">IF(C1793="","",IF(G1793="ACCEPTÉ","OUI","NON"))</f>
        <v>OUI</v>
      </c>
      <c r="I1793" s="83"/>
      <c r="J1793" s="80"/>
      <c r="K1793" s="81"/>
      <c r="L1793" s="81"/>
      <c r="M1793" s="81"/>
      <c r="N1793" s="84" t="str">
        <f aca="false">IF(C1793="","",IF(P1793="","NJ INCONNU",IF(I1793="",IF(H1793="OUI","À ENROBER",IF(G1793="À SOUDER","NON SOUDÉ","EN ATTENTE RT")),IF(L1793="R","À REPRENDRE",IF(H1793&lt;&gt;"OUI","⚠ ENROBÉ AVANT ACCEPTATION RT","ENROBÉ")))))</f>
        <v>À ENROBER</v>
      </c>
      <c r="O1793" s="80"/>
      <c r="P1793" s="82" t="n">
        <f aca="false">IF(C1793="","",IFERROR(MATCH(Q1793,'CARNET DE SOUDURE'!$AW$7:$AW$3006,0),""))</f>
        <v>1787</v>
      </c>
      <c r="Q1793" s="82" t="str">
        <f aca="false">IF(C1793="","",B1793&amp;"|"&amp;C1793)</f>
        <v>MFD-ISW → MFD-CPF|DJ°110</v>
      </c>
    </row>
    <row r="1794" customFormat="false" ht="74.6" hidden="false" customHeight="false" outlineLevel="0" collapsed="false">
      <c r="A1794" s="82" t="n">
        <f aca="false">IF(C1794="","",ROW()-6)</f>
        <v>1788</v>
      </c>
      <c r="B1794" s="80" t="s">
        <v>110</v>
      </c>
      <c r="C1794" s="113" t="s">
        <v>2182</v>
      </c>
      <c r="D1794" s="82" t="str">
        <f aca="false">IF(OR(C1794="",P1794=""),"",INDEX('CARNET DE SOUDURE'!$D$7:$D$3006,P1794)&amp;"")</f>
        <v>16</v>
      </c>
      <c r="E1794" s="114" t="n">
        <f aca="false">IF(OR(C1794="",P1794=""),"",IF(INDEX('CARNET DE SOUDURE'!$U$7:$U$3006,P1794)="","",INDEX('CARNET DE SOUDURE'!$U$7:$U$3006,P1794)))</f>
        <v>46271</v>
      </c>
      <c r="F1794" s="82" t="str">
        <f aca="false">IF(OR(C1794="",P1794=""),"",INDEX('CARNET DE SOUDURE'!$AP$7:$AP$3006,P1794))</f>
        <v>A</v>
      </c>
      <c r="G1794" s="82" t="str">
        <f aca="false">IF(C1794="","",IF(P1794="","NJ INCONNU",INDEX('CARNET DE SOUDURE'!$AQ$7:$AQ$3006,P1794)))</f>
        <v>ACCEPTÉ</v>
      </c>
      <c r="H1794" s="82" t="str">
        <f aca="false">IF(C1794="","",IF(G1794="ACCEPTÉ","OUI","NON"))</f>
        <v>OUI</v>
      </c>
      <c r="I1794" s="83"/>
      <c r="J1794" s="80"/>
      <c r="K1794" s="81"/>
      <c r="L1794" s="81"/>
      <c r="M1794" s="81"/>
      <c r="N1794" s="84" t="str">
        <f aca="false">IF(C1794="","",IF(P1794="","NJ INCONNU",IF(I1794="",IF(H1794="OUI","À ENROBER",IF(G1794="À SOUDER","NON SOUDÉ","EN ATTENTE RT")),IF(L1794="R","À REPRENDRE",IF(H1794&lt;&gt;"OUI","⚠ ENROBÉ AVANT ACCEPTATION RT","ENROBÉ")))))</f>
        <v>À ENROBER</v>
      </c>
      <c r="O1794" s="80"/>
      <c r="P1794" s="82" t="n">
        <f aca="false">IF(C1794="","",IFERROR(MATCH(Q1794,'CARNET DE SOUDURE'!$AW$7:$AW$3006,0),""))</f>
        <v>1788</v>
      </c>
      <c r="Q1794" s="82" t="str">
        <f aca="false">IF(C1794="","",B1794&amp;"|"&amp;C1794)</f>
        <v>MFD-ISW → MFD-CPF|JN°1411</v>
      </c>
    </row>
    <row r="1795" customFormat="false" ht="74.6" hidden="false" customHeight="false" outlineLevel="0" collapsed="false">
      <c r="A1795" s="82" t="n">
        <f aca="false">IF(C1795="","",ROW()-6)</f>
        <v>1789</v>
      </c>
      <c r="B1795" s="80" t="s">
        <v>110</v>
      </c>
      <c r="C1795" s="113" t="s">
        <v>2183</v>
      </c>
      <c r="D1795" s="82" t="str">
        <f aca="false">IF(OR(C1795="",P1795=""),"",INDEX('CARNET DE SOUDURE'!$D$7:$D$3006,P1795)&amp;"")</f>
        <v>16</v>
      </c>
      <c r="E1795" s="114" t="n">
        <f aca="false">IF(OR(C1795="",P1795=""),"",IF(INDEX('CARNET DE SOUDURE'!$U$7:$U$3006,P1795)="","",INDEX('CARNET DE SOUDURE'!$U$7:$U$3006,P1795)))</f>
        <v>46257</v>
      </c>
      <c r="F1795" s="82" t="str">
        <f aca="false">IF(OR(C1795="",P1795=""),"",INDEX('CARNET DE SOUDURE'!$AP$7:$AP$3006,P1795))</f>
        <v>A</v>
      </c>
      <c r="G1795" s="82" t="str">
        <f aca="false">IF(C1795="","",IF(P1795="","NJ INCONNU",INDEX('CARNET DE SOUDURE'!$AQ$7:$AQ$3006,P1795)))</f>
        <v>ACCEPTÉ</v>
      </c>
      <c r="H1795" s="82" t="str">
        <f aca="false">IF(C1795="","",IF(G1795="ACCEPTÉ","OUI","NON"))</f>
        <v>OUI</v>
      </c>
      <c r="I1795" s="83"/>
      <c r="J1795" s="80"/>
      <c r="K1795" s="81"/>
      <c r="L1795" s="81"/>
      <c r="M1795" s="81"/>
      <c r="N1795" s="84" t="str">
        <f aca="false">IF(C1795="","",IF(P1795="","NJ INCONNU",IF(I1795="",IF(H1795="OUI","À ENROBER",IF(G1795="À SOUDER","NON SOUDÉ","EN ATTENTE RT")),IF(L1795="R","À REPRENDRE",IF(H1795&lt;&gt;"OUI","⚠ ENROBÉ AVANT ACCEPTATION RT","ENROBÉ")))))</f>
        <v>À ENROBER</v>
      </c>
      <c r="O1795" s="80"/>
      <c r="P1795" s="82" t="n">
        <f aca="false">IF(C1795="","",IFERROR(MATCH(Q1795,'CARNET DE SOUDURE'!$AW$7:$AW$3006,0),""))</f>
        <v>1789</v>
      </c>
      <c r="Q1795" s="82" t="str">
        <f aca="false">IF(C1795="","",B1795&amp;"|"&amp;C1795)</f>
        <v>MFD-ISW → MFD-CPF|DJ°106</v>
      </c>
    </row>
    <row r="1796" customFormat="false" ht="74.6" hidden="false" customHeight="false" outlineLevel="0" collapsed="false">
      <c r="A1796" s="82" t="n">
        <f aca="false">IF(C1796="","",ROW()-6)</f>
        <v>1790</v>
      </c>
      <c r="B1796" s="80" t="s">
        <v>110</v>
      </c>
      <c r="C1796" s="113" t="s">
        <v>2184</v>
      </c>
      <c r="D1796" s="82" t="str">
        <f aca="false">IF(OR(C1796="",P1796=""),"",INDEX('CARNET DE SOUDURE'!$D$7:$D$3006,P1796)&amp;"")</f>
        <v>16</v>
      </c>
      <c r="E1796" s="114" t="n">
        <f aca="false">IF(OR(C1796="",P1796=""),"",IF(INDEX('CARNET DE SOUDURE'!$U$7:$U$3006,P1796)="","",INDEX('CARNET DE SOUDURE'!$U$7:$U$3006,P1796)))</f>
        <v>46271</v>
      </c>
      <c r="F1796" s="82" t="str">
        <f aca="false">IF(OR(C1796="",P1796=""),"",INDEX('CARNET DE SOUDURE'!$AP$7:$AP$3006,P1796))</f>
        <v>A</v>
      </c>
      <c r="G1796" s="82" t="str">
        <f aca="false">IF(C1796="","",IF(P1796="","NJ INCONNU",INDEX('CARNET DE SOUDURE'!$AQ$7:$AQ$3006,P1796)))</f>
        <v>ACCEPTÉ</v>
      </c>
      <c r="H1796" s="82" t="str">
        <f aca="false">IF(C1796="","",IF(G1796="ACCEPTÉ","OUI","NON"))</f>
        <v>OUI</v>
      </c>
      <c r="I1796" s="83"/>
      <c r="J1796" s="80"/>
      <c r="K1796" s="81"/>
      <c r="L1796" s="81"/>
      <c r="M1796" s="81"/>
      <c r="N1796" s="84" t="str">
        <f aca="false">IF(C1796="","",IF(P1796="","NJ INCONNU",IF(I1796="",IF(H1796="OUI","À ENROBER",IF(G1796="À SOUDER","NON SOUDÉ","EN ATTENTE RT")),IF(L1796="R","À REPRENDRE",IF(H1796&lt;&gt;"OUI","⚠ ENROBÉ AVANT ACCEPTATION RT","ENROBÉ")))))</f>
        <v>À ENROBER</v>
      </c>
      <c r="O1796" s="80"/>
      <c r="P1796" s="82" t="n">
        <f aca="false">IF(C1796="","",IFERROR(MATCH(Q1796,'CARNET DE SOUDURE'!$AW$7:$AW$3006,0),""))</f>
        <v>1790</v>
      </c>
      <c r="Q1796" s="82" t="str">
        <f aca="false">IF(C1796="","",B1796&amp;"|"&amp;C1796)</f>
        <v>MFD-ISW → MFD-CPF|JN°1412</v>
      </c>
    </row>
    <row r="1797" customFormat="false" ht="74.6" hidden="false" customHeight="false" outlineLevel="0" collapsed="false">
      <c r="A1797" s="82" t="n">
        <f aca="false">IF(C1797="","",ROW()-6)</f>
        <v>1791</v>
      </c>
      <c r="B1797" s="80" t="s">
        <v>110</v>
      </c>
      <c r="C1797" s="113" t="s">
        <v>2185</v>
      </c>
      <c r="D1797" s="82" t="str">
        <f aca="false">IF(OR(C1797="",P1797=""),"",INDEX('CARNET DE SOUDURE'!$D$7:$D$3006,P1797)&amp;"")</f>
        <v>16</v>
      </c>
      <c r="E1797" s="114" t="n">
        <f aca="false">IF(OR(C1797="",P1797=""),"",IF(INDEX('CARNET DE SOUDURE'!$U$7:$U$3006,P1797)="","",INDEX('CARNET DE SOUDURE'!$U$7:$U$3006,P1797)))</f>
        <v>46259</v>
      </c>
      <c r="F1797" s="82" t="str">
        <f aca="false">IF(OR(C1797="",P1797=""),"",INDEX('CARNET DE SOUDURE'!$AP$7:$AP$3006,P1797))</f>
        <v>A</v>
      </c>
      <c r="G1797" s="82" t="str">
        <f aca="false">IF(C1797="","",IF(P1797="","NJ INCONNU",INDEX('CARNET DE SOUDURE'!$AQ$7:$AQ$3006,P1797)))</f>
        <v>ACCEPTÉ</v>
      </c>
      <c r="H1797" s="82" t="str">
        <f aca="false">IF(C1797="","",IF(G1797="ACCEPTÉ","OUI","NON"))</f>
        <v>OUI</v>
      </c>
      <c r="I1797" s="83"/>
      <c r="J1797" s="80"/>
      <c r="K1797" s="81"/>
      <c r="L1797" s="81"/>
      <c r="M1797" s="81"/>
      <c r="N1797" s="84" t="str">
        <f aca="false">IF(C1797="","",IF(P1797="","NJ INCONNU",IF(I1797="",IF(H1797="OUI","À ENROBER",IF(G1797="À SOUDER","NON SOUDÉ","EN ATTENTE RT")),IF(L1797="R","À REPRENDRE",IF(H1797&lt;&gt;"OUI","⚠ ENROBÉ AVANT ACCEPTATION RT","ENROBÉ")))))</f>
        <v>À ENROBER</v>
      </c>
      <c r="O1797" s="80"/>
      <c r="P1797" s="82" t="n">
        <f aca="false">IF(C1797="","",IFERROR(MATCH(Q1797,'CARNET DE SOUDURE'!$AW$7:$AW$3006,0),""))</f>
        <v>1791</v>
      </c>
      <c r="Q1797" s="82" t="str">
        <f aca="false">IF(C1797="","",B1797&amp;"|"&amp;C1797)</f>
        <v>MFD-ISW → MFD-CPF|DJ°131</v>
      </c>
    </row>
    <row r="1798" customFormat="false" ht="74.6" hidden="false" customHeight="false" outlineLevel="0" collapsed="false">
      <c r="A1798" s="82" t="n">
        <f aca="false">IF(C1798="","",ROW()-6)</f>
        <v>1792</v>
      </c>
      <c r="B1798" s="80" t="s">
        <v>110</v>
      </c>
      <c r="C1798" s="113" t="s">
        <v>2186</v>
      </c>
      <c r="D1798" s="82" t="str">
        <f aca="false">IF(OR(C1798="",P1798=""),"",INDEX('CARNET DE SOUDURE'!$D$7:$D$3006,P1798)&amp;"")</f>
        <v>16</v>
      </c>
      <c r="E1798" s="114" t="n">
        <f aca="false">IF(OR(C1798="",P1798=""),"",IF(INDEX('CARNET DE SOUDURE'!$U$7:$U$3006,P1798)="","",INDEX('CARNET DE SOUDURE'!$U$7:$U$3006,P1798)))</f>
        <v>46271</v>
      </c>
      <c r="F1798" s="82" t="str">
        <f aca="false">IF(OR(C1798="",P1798=""),"",INDEX('CARNET DE SOUDURE'!$AP$7:$AP$3006,P1798))</f>
        <v>A</v>
      </c>
      <c r="G1798" s="82" t="str">
        <f aca="false">IF(C1798="","",IF(P1798="","NJ INCONNU",INDEX('CARNET DE SOUDURE'!$AQ$7:$AQ$3006,P1798)))</f>
        <v>ACCEPTÉ</v>
      </c>
      <c r="H1798" s="82" t="str">
        <f aca="false">IF(C1798="","",IF(G1798="ACCEPTÉ","OUI","NON"))</f>
        <v>OUI</v>
      </c>
      <c r="I1798" s="83"/>
      <c r="J1798" s="80"/>
      <c r="K1798" s="81"/>
      <c r="L1798" s="81"/>
      <c r="M1798" s="81"/>
      <c r="N1798" s="84" t="str">
        <f aca="false">IF(C1798="","",IF(P1798="","NJ INCONNU",IF(I1798="",IF(H1798="OUI","À ENROBER",IF(G1798="À SOUDER","NON SOUDÉ","EN ATTENTE RT")),IF(L1798="R","À REPRENDRE",IF(H1798&lt;&gt;"OUI","⚠ ENROBÉ AVANT ACCEPTATION RT","ENROBÉ")))))</f>
        <v>À ENROBER</v>
      </c>
      <c r="O1798" s="80"/>
      <c r="P1798" s="82" t="n">
        <f aca="false">IF(C1798="","",IFERROR(MATCH(Q1798,'CARNET DE SOUDURE'!$AW$7:$AW$3006,0),""))</f>
        <v>1792</v>
      </c>
      <c r="Q1798" s="82" t="str">
        <f aca="false">IF(C1798="","",B1798&amp;"|"&amp;C1798)</f>
        <v>MFD-ISW → MFD-CPF|JN°1413</v>
      </c>
    </row>
    <row r="1799" customFormat="false" ht="74.6" hidden="false" customHeight="false" outlineLevel="0" collapsed="false">
      <c r="A1799" s="82" t="n">
        <f aca="false">IF(C1799="","",ROW()-6)</f>
        <v>1793</v>
      </c>
      <c r="B1799" s="80" t="s">
        <v>110</v>
      </c>
      <c r="C1799" s="113" t="s">
        <v>2187</v>
      </c>
      <c r="D1799" s="82" t="str">
        <f aca="false">IF(OR(C1799="",P1799=""),"",INDEX('CARNET DE SOUDURE'!$D$7:$D$3006,P1799)&amp;"")</f>
        <v>16</v>
      </c>
      <c r="E1799" s="114" t="n">
        <f aca="false">IF(OR(C1799="",P1799=""),"",IF(INDEX('CARNET DE SOUDURE'!$U$7:$U$3006,P1799)="","",INDEX('CARNET DE SOUDURE'!$U$7:$U$3006,P1799)))</f>
        <v>46257</v>
      </c>
      <c r="F1799" s="82" t="str">
        <f aca="false">IF(OR(C1799="",P1799=""),"",INDEX('CARNET DE SOUDURE'!$AP$7:$AP$3006,P1799))</f>
        <v>A</v>
      </c>
      <c r="G1799" s="82" t="str">
        <f aca="false">IF(C1799="","",IF(P1799="","NJ INCONNU",INDEX('CARNET DE SOUDURE'!$AQ$7:$AQ$3006,P1799)))</f>
        <v>ACCEPTÉ</v>
      </c>
      <c r="H1799" s="82" t="str">
        <f aca="false">IF(C1799="","",IF(G1799="ACCEPTÉ","OUI","NON"))</f>
        <v>OUI</v>
      </c>
      <c r="I1799" s="83"/>
      <c r="J1799" s="80"/>
      <c r="K1799" s="81"/>
      <c r="L1799" s="81"/>
      <c r="M1799" s="81"/>
      <c r="N1799" s="84" t="str">
        <f aca="false">IF(C1799="","",IF(P1799="","NJ INCONNU",IF(I1799="",IF(H1799="OUI","À ENROBER",IF(G1799="À SOUDER","NON SOUDÉ","EN ATTENTE RT")),IF(L1799="R","À REPRENDRE",IF(H1799&lt;&gt;"OUI","⚠ ENROBÉ AVANT ACCEPTATION RT","ENROBÉ")))))</f>
        <v>À ENROBER</v>
      </c>
      <c r="O1799" s="80"/>
      <c r="P1799" s="82" t="n">
        <f aca="false">IF(C1799="","",IFERROR(MATCH(Q1799,'CARNET DE SOUDURE'!$AW$7:$AW$3006,0),""))</f>
        <v>1793</v>
      </c>
      <c r="Q1799" s="82" t="str">
        <f aca="false">IF(C1799="","",B1799&amp;"|"&amp;C1799)</f>
        <v>MFD-ISW → MFD-CPF|DJ°097</v>
      </c>
    </row>
    <row r="1800" customFormat="false" ht="74.6" hidden="false" customHeight="false" outlineLevel="0" collapsed="false">
      <c r="A1800" s="82" t="n">
        <f aca="false">IF(C1800="","",ROW()-6)</f>
        <v>1794</v>
      </c>
      <c r="B1800" s="80" t="s">
        <v>110</v>
      </c>
      <c r="C1800" s="113" t="s">
        <v>2188</v>
      </c>
      <c r="D1800" s="82" t="str">
        <f aca="false">IF(OR(C1800="",P1800=""),"",INDEX('CARNET DE SOUDURE'!$D$7:$D$3006,P1800)&amp;"")</f>
        <v>16</v>
      </c>
      <c r="E1800" s="114" t="n">
        <f aca="false">IF(OR(C1800="",P1800=""),"",IF(INDEX('CARNET DE SOUDURE'!$U$7:$U$3006,P1800)="","",INDEX('CARNET DE SOUDURE'!$U$7:$U$3006,P1800)))</f>
        <v>46268</v>
      </c>
      <c r="F1800" s="82" t="str">
        <f aca="false">IF(OR(C1800="",P1800=""),"",INDEX('CARNET DE SOUDURE'!$AP$7:$AP$3006,P1800))</f>
        <v>A</v>
      </c>
      <c r="G1800" s="82" t="str">
        <f aca="false">IF(C1800="","",IF(P1800="","NJ INCONNU",INDEX('CARNET DE SOUDURE'!$AQ$7:$AQ$3006,P1800)))</f>
        <v>ACCEPTÉ</v>
      </c>
      <c r="H1800" s="82" t="str">
        <f aca="false">IF(C1800="","",IF(G1800="ACCEPTÉ","OUI","NON"))</f>
        <v>OUI</v>
      </c>
      <c r="I1800" s="83"/>
      <c r="J1800" s="80"/>
      <c r="K1800" s="81"/>
      <c r="L1800" s="81"/>
      <c r="M1800" s="81"/>
      <c r="N1800" s="84" t="str">
        <f aca="false">IF(C1800="","",IF(P1800="","NJ INCONNU",IF(I1800="",IF(H1800="OUI","À ENROBER",IF(G1800="À SOUDER","NON SOUDÉ","EN ATTENTE RT")),IF(L1800="R","À REPRENDRE",IF(H1800&lt;&gt;"OUI","⚠ ENROBÉ AVANT ACCEPTATION RT","ENROBÉ")))))</f>
        <v>À ENROBER</v>
      </c>
      <c r="O1800" s="80"/>
      <c r="P1800" s="82" t="n">
        <f aca="false">IF(C1800="","",IFERROR(MATCH(Q1800,'CARNET DE SOUDURE'!$AW$7:$AW$3006,0),""))</f>
        <v>1794</v>
      </c>
      <c r="Q1800" s="82" t="str">
        <f aca="false">IF(C1800="","",B1800&amp;"|"&amp;C1800)</f>
        <v>MFD-ISW → MFD-CPF|JN°1414</v>
      </c>
    </row>
    <row r="1801" customFormat="false" ht="74.6" hidden="false" customHeight="false" outlineLevel="0" collapsed="false">
      <c r="A1801" s="82" t="n">
        <f aca="false">IF(C1801="","",ROW()-6)</f>
        <v>1795</v>
      </c>
      <c r="B1801" s="80" t="s">
        <v>110</v>
      </c>
      <c r="C1801" s="113" t="s">
        <v>2190</v>
      </c>
      <c r="D1801" s="82" t="str">
        <f aca="false">IF(OR(C1801="",P1801=""),"",INDEX('CARNET DE SOUDURE'!$D$7:$D$3006,P1801)&amp;"")</f>
        <v>/</v>
      </c>
      <c r="E1801" s="114" t="n">
        <f aca="false">IF(OR(C1801="",P1801=""),"",IF(INDEX('CARNET DE SOUDURE'!$U$7:$U$3006,P1801)="","",INDEX('CARNET DE SOUDURE'!$U$7:$U$3006,P1801)))</f>
        <v>46257</v>
      </c>
      <c r="F1801" s="82" t="str">
        <f aca="false">IF(OR(C1801="",P1801=""),"",INDEX('CARNET DE SOUDURE'!$AP$7:$AP$3006,P1801))</f>
        <v>A</v>
      </c>
      <c r="G1801" s="82" t="str">
        <f aca="false">IF(C1801="","",IF(P1801="","NJ INCONNU",INDEX('CARNET DE SOUDURE'!$AQ$7:$AQ$3006,P1801)))</f>
        <v>ACCEPTÉ</v>
      </c>
      <c r="H1801" s="82" t="str">
        <f aca="false">IF(C1801="","",IF(G1801="ACCEPTÉ","OUI","NON"))</f>
        <v>OUI</v>
      </c>
      <c r="I1801" s="83"/>
      <c r="J1801" s="80"/>
      <c r="K1801" s="81"/>
      <c r="L1801" s="81"/>
      <c r="M1801" s="81"/>
      <c r="N1801" s="84" t="str">
        <f aca="false">IF(C1801="","",IF(P1801="","NJ INCONNU",IF(I1801="",IF(H1801="OUI","À ENROBER",IF(G1801="À SOUDER","NON SOUDÉ","EN ATTENTE RT")),IF(L1801="R","À REPRENDRE",IF(H1801&lt;&gt;"OUI","⚠ ENROBÉ AVANT ACCEPTATION RT","ENROBÉ")))))</f>
        <v>À ENROBER</v>
      </c>
      <c r="O1801" s="80"/>
      <c r="P1801" s="82" t="n">
        <f aca="false">IF(C1801="","",IFERROR(MATCH(Q1801,'CARNET DE SOUDURE'!$AW$7:$AW$3006,0),""))</f>
        <v>1795</v>
      </c>
      <c r="Q1801" s="82" t="str">
        <f aca="false">IF(C1801="","",B1801&amp;"|"&amp;C1801)</f>
        <v>MFD-ISW → MFD-CPF|DJ°098</v>
      </c>
    </row>
    <row r="1802" customFormat="false" ht="74.6" hidden="false" customHeight="false" outlineLevel="0" collapsed="false">
      <c r="A1802" s="82" t="n">
        <f aca="false">IF(C1802="","",ROW()-6)</f>
        <v>1796</v>
      </c>
      <c r="B1802" s="80" t="s">
        <v>110</v>
      </c>
      <c r="C1802" s="113" t="s">
        <v>2191</v>
      </c>
      <c r="D1802" s="82" t="str">
        <f aca="false">IF(OR(C1802="",P1802=""),"",INDEX('CARNET DE SOUDURE'!$D$7:$D$3006,P1802)&amp;"")</f>
        <v>16</v>
      </c>
      <c r="E1802" s="114" t="n">
        <f aca="false">IF(OR(C1802="",P1802=""),"",IF(INDEX('CARNET DE SOUDURE'!$U$7:$U$3006,P1802)="","",INDEX('CARNET DE SOUDURE'!$U$7:$U$3006,P1802)))</f>
        <v>46268</v>
      </c>
      <c r="F1802" s="82" t="str">
        <f aca="false">IF(OR(C1802="",P1802=""),"",INDEX('CARNET DE SOUDURE'!$AP$7:$AP$3006,P1802))</f>
        <v>A</v>
      </c>
      <c r="G1802" s="82" t="str">
        <f aca="false">IF(C1802="","",IF(P1802="","NJ INCONNU",INDEX('CARNET DE SOUDURE'!$AQ$7:$AQ$3006,P1802)))</f>
        <v>ACCEPTÉ</v>
      </c>
      <c r="H1802" s="82" t="str">
        <f aca="false">IF(C1802="","",IF(G1802="ACCEPTÉ","OUI","NON"))</f>
        <v>OUI</v>
      </c>
      <c r="I1802" s="83"/>
      <c r="J1802" s="80"/>
      <c r="K1802" s="81"/>
      <c r="L1802" s="81"/>
      <c r="M1802" s="81"/>
      <c r="N1802" s="84" t="str">
        <f aca="false">IF(C1802="","",IF(P1802="","NJ INCONNU",IF(I1802="",IF(H1802="OUI","À ENROBER",IF(G1802="À SOUDER","NON SOUDÉ","EN ATTENTE RT")),IF(L1802="R","À REPRENDRE",IF(H1802&lt;&gt;"OUI","⚠ ENROBÉ AVANT ACCEPTATION RT","ENROBÉ")))))</f>
        <v>À ENROBER</v>
      </c>
      <c r="O1802" s="80"/>
      <c r="P1802" s="82" t="n">
        <f aca="false">IF(C1802="","",IFERROR(MATCH(Q1802,'CARNET DE SOUDURE'!$AW$7:$AW$3006,0),""))</f>
        <v>1796</v>
      </c>
      <c r="Q1802" s="82" t="str">
        <f aca="false">IF(C1802="","",B1802&amp;"|"&amp;C1802)</f>
        <v>MFD-ISW → MFD-CPF|JN°1415</v>
      </c>
    </row>
    <row r="1803" customFormat="false" ht="74.6" hidden="false" customHeight="false" outlineLevel="0" collapsed="false">
      <c r="A1803" s="82" t="n">
        <f aca="false">IF(C1803="","",ROW()-6)</f>
        <v>1797</v>
      </c>
      <c r="B1803" s="80" t="s">
        <v>110</v>
      </c>
      <c r="C1803" s="113" t="s">
        <v>2192</v>
      </c>
      <c r="D1803" s="82" t="str">
        <f aca="false">IF(OR(C1803="",P1803=""),"",INDEX('CARNET DE SOUDURE'!$D$7:$D$3006,P1803)&amp;"")</f>
        <v>/</v>
      </c>
      <c r="E1803" s="114" t="n">
        <f aca="false">IF(OR(C1803="",P1803=""),"",IF(INDEX('CARNET DE SOUDURE'!$U$7:$U$3006,P1803)="","",INDEX('CARNET DE SOUDURE'!$U$7:$U$3006,P1803)))</f>
        <v>46257</v>
      </c>
      <c r="F1803" s="82" t="str">
        <f aca="false">IF(OR(C1803="",P1803=""),"",INDEX('CARNET DE SOUDURE'!$AP$7:$AP$3006,P1803))</f>
        <v>A</v>
      </c>
      <c r="G1803" s="82" t="str">
        <f aca="false">IF(C1803="","",IF(P1803="","NJ INCONNU",INDEX('CARNET DE SOUDURE'!$AQ$7:$AQ$3006,P1803)))</f>
        <v>ACCEPTÉ</v>
      </c>
      <c r="H1803" s="82" t="str">
        <f aca="false">IF(C1803="","",IF(G1803="ACCEPTÉ","OUI","NON"))</f>
        <v>OUI</v>
      </c>
      <c r="I1803" s="83"/>
      <c r="J1803" s="80"/>
      <c r="K1803" s="81"/>
      <c r="L1803" s="81"/>
      <c r="M1803" s="81"/>
      <c r="N1803" s="84" t="str">
        <f aca="false">IF(C1803="","",IF(P1803="","NJ INCONNU",IF(I1803="",IF(H1803="OUI","À ENROBER",IF(G1803="À SOUDER","NON SOUDÉ","EN ATTENTE RT")),IF(L1803="R","À REPRENDRE",IF(H1803&lt;&gt;"OUI","⚠ ENROBÉ AVANT ACCEPTATION RT","ENROBÉ")))))</f>
        <v>À ENROBER</v>
      </c>
      <c r="O1803" s="80"/>
      <c r="P1803" s="82" t="n">
        <f aca="false">IF(C1803="","",IFERROR(MATCH(Q1803,'CARNET DE SOUDURE'!$AW$7:$AW$3006,0),""))</f>
        <v>1797</v>
      </c>
      <c r="Q1803" s="82" t="str">
        <f aca="false">IF(C1803="","",B1803&amp;"|"&amp;C1803)</f>
        <v>MFD-ISW → MFD-CPF|DJ°095</v>
      </c>
    </row>
    <row r="1804" customFormat="false" ht="74.6" hidden="false" customHeight="false" outlineLevel="0" collapsed="false">
      <c r="A1804" s="82" t="n">
        <f aca="false">IF(C1804="","",ROW()-6)</f>
        <v>1798</v>
      </c>
      <c r="B1804" s="80" t="s">
        <v>110</v>
      </c>
      <c r="C1804" s="113" t="s">
        <v>2193</v>
      </c>
      <c r="D1804" s="82" t="str">
        <f aca="false">IF(OR(C1804="",P1804=""),"",INDEX('CARNET DE SOUDURE'!$D$7:$D$3006,P1804)&amp;"")</f>
        <v>16</v>
      </c>
      <c r="E1804" s="114" t="n">
        <f aca="false">IF(OR(C1804="",P1804=""),"",IF(INDEX('CARNET DE SOUDURE'!$U$7:$U$3006,P1804)="","",INDEX('CARNET DE SOUDURE'!$U$7:$U$3006,P1804)))</f>
        <v>46268</v>
      </c>
      <c r="F1804" s="82" t="str">
        <f aca="false">IF(OR(C1804="",P1804=""),"",INDEX('CARNET DE SOUDURE'!$AP$7:$AP$3006,P1804))</f>
        <v>A</v>
      </c>
      <c r="G1804" s="82" t="str">
        <f aca="false">IF(C1804="","",IF(P1804="","NJ INCONNU",INDEX('CARNET DE SOUDURE'!$AQ$7:$AQ$3006,P1804)))</f>
        <v>ACCEPTÉ</v>
      </c>
      <c r="H1804" s="82" t="str">
        <f aca="false">IF(C1804="","",IF(G1804="ACCEPTÉ","OUI","NON"))</f>
        <v>OUI</v>
      </c>
      <c r="I1804" s="83"/>
      <c r="J1804" s="80"/>
      <c r="K1804" s="81"/>
      <c r="L1804" s="81"/>
      <c r="M1804" s="81"/>
      <c r="N1804" s="84" t="str">
        <f aca="false">IF(C1804="","",IF(P1804="","NJ INCONNU",IF(I1804="",IF(H1804="OUI","À ENROBER",IF(G1804="À SOUDER","NON SOUDÉ","EN ATTENTE RT")),IF(L1804="R","À REPRENDRE",IF(H1804&lt;&gt;"OUI","⚠ ENROBÉ AVANT ACCEPTATION RT","ENROBÉ")))))</f>
        <v>À ENROBER</v>
      </c>
      <c r="O1804" s="80"/>
      <c r="P1804" s="82" t="n">
        <f aca="false">IF(C1804="","",IFERROR(MATCH(Q1804,'CARNET DE SOUDURE'!$AW$7:$AW$3006,0),""))</f>
        <v>1798</v>
      </c>
      <c r="Q1804" s="82" t="str">
        <f aca="false">IF(C1804="","",B1804&amp;"|"&amp;C1804)</f>
        <v>MFD-ISW → MFD-CPF|JN°1416</v>
      </c>
    </row>
    <row r="1805" customFormat="false" ht="74.6" hidden="false" customHeight="false" outlineLevel="0" collapsed="false">
      <c r="A1805" s="82" t="n">
        <f aca="false">IF(C1805="","",ROW()-6)</f>
        <v>1799</v>
      </c>
      <c r="B1805" s="80" t="s">
        <v>110</v>
      </c>
      <c r="C1805" s="113" t="s">
        <v>2195</v>
      </c>
      <c r="D1805" s="82" t="str">
        <f aca="false">IF(OR(C1805="",P1805=""),"",INDEX('CARNET DE SOUDURE'!$D$7:$D$3006,P1805)&amp;"")</f>
        <v>/</v>
      </c>
      <c r="E1805" s="114" t="n">
        <f aca="false">IF(OR(C1805="",P1805=""),"",IF(INDEX('CARNET DE SOUDURE'!$U$7:$U$3006,P1805)="","",INDEX('CARNET DE SOUDURE'!$U$7:$U$3006,P1805)))</f>
        <v>46257</v>
      </c>
      <c r="F1805" s="82" t="str">
        <f aca="false">IF(OR(C1805="",P1805=""),"",INDEX('CARNET DE SOUDURE'!$AP$7:$AP$3006,P1805))</f>
        <v>A</v>
      </c>
      <c r="G1805" s="82" t="str">
        <f aca="false">IF(C1805="","",IF(P1805="","NJ INCONNU",INDEX('CARNET DE SOUDURE'!$AQ$7:$AQ$3006,P1805)))</f>
        <v>ACCEPTÉ</v>
      </c>
      <c r="H1805" s="82" t="str">
        <f aca="false">IF(C1805="","",IF(G1805="ACCEPTÉ","OUI","NON"))</f>
        <v>OUI</v>
      </c>
      <c r="I1805" s="83"/>
      <c r="J1805" s="80"/>
      <c r="K1805" s="81"/>
      <c r="L1805" s="81"/>
      <c r="M1805" s="81"/>
      <c r="N1805" s="84" t="str">
        <f aca="false">IF(C1805="","",IF(P1805="","NJ INCONNU",IF(I1805="",IF(H1805="OUI","À ENROBER",IF(G1805="À SOUDER","NON SOUDÉ","EN ATTENTE RT")),IF(L1805="R","À REPRENDRE",IF(H1805&lt;&gt;"OUI","⚠ ENROBÉ AVANT ACCEPTATION RT","ENROBÉ")))))</f>
        <v>À ENROBER</v>
      </c>
      <c r="O1805" s="80"/>
      <c r="P1805" s="82" t="n">
        <f aca="false">IF(C1805="","",IFERROR(MATCH(Q1805,'CARNET DE SOUDURE'!$AW$7:$AW$3006,0),""))</f>
        <v>1799</v>
      </c>
      <c r="Q1805" s="82" t="str">
        <f aca="false">IF(C1805="","",B1805&amp;"|"&amp;C1805)</f>
        <v>MFD-ISW → MFD-CPF|DJ°096</v>
      </c>
    </row>
    <row r="1806" customFormat="false" ht="74.6" hidden="false" customHeight="false" outlineLevel="0" collapsed="false">
      <c r="A1806" s="82" t="n">
        <f aca="false">IF(C1806="","",ROW()-6)</f>
        <v>1800</v>
      </c>
      <c r="B1806" s="80" t="s">
        <v>110</v>
      </c>
      <c r="C1806" s="113" t="s">
        <v>2196</v>
      </c>
      <c r="D1806" s="82" t="str">
        <f aca="false">IF(OR(C1806="",P1806=""),"",INDEX('CARNET DE SOUDURE'!$D$7:$D$3006,P1806)&amp;"")</f>
        <v>16</v>
      </c>
      <c r="E1806" s="114" t="str">
        <f aca="false">IF(OR(C1806="",P1806=""),"",IF(INDEX('CARNET DE SOUDURE'!$U$7:$U$3006,P1806)="","",INDEX('CARNET DE SOUDURE'!$U$7:$U$3006,P1806)))</f>
        <v/>
      </c>
      <c r="F1806" s="82" t="str">
        <f aca="false">IF(OR(C1806="",P1806=""),"",INDEX('CARNET DE SOUDURE'!$AP$7:$AP$3006,P1806))</f>
        <v/>
      </c>
      <c r="G1806" s="82" t="str">
        <f aca="false">IF(C1806="","",IF(P1806="","NJ INCONNU",INDEX('CARNET DE SOUDURE'!$AQ$7:$AQ$3006,P1806)))</f>
        <v>À SOUDER</v>
      </c>
      <c r="H1806" s="82" t="str">
        <f aca="false">IF(C1806="","",IF(G1806="ACCEPTÉ","OUI","NON"))</f>
        <v>NON</v>
      </c>
      <c r="I1806" s="83"/>
      <c r="J1806" s="80"/>
      <c r="K1806" s="81"/>
      <c r="L1806" s="81"/>
      <c r="M1806" s="81"/>
      <c r="N1806" s="84" t="str">
        <f aca="false">IF(C1806="","",IF(P1806="","NJ INCONNU",IF(I1806="",IF(H1806="OUI","À ENROBER",IF(G1806="À SOUDER","NON SOUDÉ","EN ATTENTE RT")),IF(L1806="R","À REPRENDRE",IF(H1806&lt;&gt;"OUI","⚠ ENROBÉ AVANT ACCEPTATION RT","ENROBÉ")))))</f>
        <v>NON SOUDÉ</v>
      </c>
      <c r="O1806" s="80"/>
      <c r="P1806" s="82" t="n">
        <f aca="false">IF(C1806="","",IFERROR(MATCH(Q1806,'CARNET DE SOUDURE'!$AW$7:$AW$3006,0),""))</f>
        <v>1800</v>
      </c>
      <c r="Q1806" s="82" t="str">
        <f aca="false">IF(C1806="","",B1806&amp;"|"&amp;C1806)</f>
        <v>MFD-ISW → MFD-CPF|JN°1417</v>
      </c>
    </row>
    <row r="1807" customFormat="false" ht="74.6" hidden="false" customHeight="false" outlineLevel="0" collapsed="false">
      <c r="A1807" s="82" t="n">
        <f aca="false">IF(C1807="","",ROW()-6)</f>
        <v>1801</v>
      </c>
      <c r="B1807" s="80" t="s">
        <v>110</v>
      </c>
      <c r="C1807" s="113" t="s">
        <v>2198</v>
      </c>
      <c r="D1807" s="82" t="str">
        <f aca="false">IF(OR(C1807="",P1807=""),"",INDEX('CARNET DE SOUDURE'!$D$7:$D$3006,P1807)&amp;"")</f>
        <v>/</v>
      </c>
      <c r="E1807" s="114" t="n">
        <f aca="false">IF(OR(C1807="",P1807=""),"",IF(INDEX('CARNET DE SOUDURE'!$U$7:$U$3006,P1807)="","",INDEX('CARNET DE SOUDURE'!$U$7:$U$3006,P1807)))</f>
        <v>46259</v>
      </c>
      <c r="F1807" s="82" t="str">
        <f aca="false">IF(OR(C1807="",P1807=""),"",INDEX('CARNET DE SOUDURE'!$AP$7:$AP$3006,P1807))</f>
        <v>A</v>
      </c>
      <c r="G1807" s="82" t="str">
        <f aca="false">IF(C1807="","",IF(P1807="","NJ INCONNU",INDEX('CARNET DE SOUDURE'!$AQ$7:$AQ$3006,P1807)))</f>
        <v>ACCEPTÉ</v>
      </c>
      <c r="H1807" s="82" t="str">
        <f aca="false">IF(C1807="","",IF(G1807="ACCEPTÉ","OUI","NON"))</f>
        <v>OUI</v>
      </c>
      <c r="I1807" s="83"/>
      <c r="J1807" s="80"/>
      <c r="K1807" s="81"/>
      <c r="L1807" s="81"/>
      <c r="M1807" s="81"/>
      <c r="N1807" s="84" t="str">
        <f aca="false">IF(C1807="","",IF(P1807="","NJ INCONNU",IF(I1807="",IF(H1807="OUI","À ENROBER",IF(G1807="À SOUDER","NON SOUDÉ","EN ATTENTE RT")),IF(L1807="R","À REPRENDRE",IF(H1807&lt;&gt;"OUI","⚠ ENROBÉ AVANT ACCEPTATION RT","ENROBÉ")))))</f>
        <v>À ENROBER</v>
      </c>
      <c r="O1807" s="80"/>
      <c r="P1807" s="82" t="n">
        <f aca="false">IF(C1807="","",IFERROR(MATCH(Q1807,'CARNET DE SOUDURE'!$AW$7:$AW$3006,0),""))</f>
        <v>1801</v>
      </c>
      <c r="Q1807" s="82" t="str">
        <f aca="false">IF(C1807="","",B1807&amp;"|"&amp;C1807)</f>
        <v>MFD-ISW → MFD-CPF|DJ°138</v>
      </c>
    </row>
    <row r="1808" customFormat="false" ht="74.6" hidden="false" customHeight="false" outlineLevel="0" collapsed="false">
      <c r="A1808" s="82" t="n">
        <f aca="false">IF(C1808="","",ROW()-6)</f>
        <v>1802</v>
      </c>
      <c r="B1808" s="80" t="s">
        <v>110</v>
      </c>
      <c r="C1808" s="113" t="s">
        <v>2199</v>
      </c>
      <c r="D1808" s="82" t="str">
        <f aca="false">IF(OR(C1808="",P1808=""),"",INDEX('CARNET DE SOUDURE'!$D$7:$D$3006,P1808)&amp;"")</f>
        <v>16</v>
      </c>
      <c r="E1808" s="114" t="str">
        <f aca="false">IF(OR(C1808="",P1808=""),"",IF(INDEX('CARNET DE SOUDURE'!$U$7:$U$3006,P1808)="","",INDEX('CARNET DE SOUDURE'!$U$7:$U$3006,P1808)))</f>
        <v/>
      </c>
      <c r="F1808" s="82" t="str">
        <f aca="false">IF(OR(C1808="",P1808=""),"",INDEX('CARNET DE SOUDURE'!$AP$7:$AP$3006,P1808))</f>
        <v/>
      </c>
      <c r="G1808" s="82" t="str">
        <f aca="false">IF(C1808="","",IF(P1808="","NJ INCONNU",INDEX('CARNET DE SOUDURE'!$AQ$7:$AQ$3006,P1808)))</f>
        <v>À SOUDER</v>
      </c>
      <c r="H1808" s="82" t="str">
        <f aca="false">IF(C1808="","",IF(G1808="ACCEPTÉ","OUI","NON"))</f>
        <v>NON</v>
      </c>
      <c r="I1808" s="83"/>
      <c r="J1808" s="80"/>
      <c r="K1808" s="81"/>
      <c r="L1808" s="81"/>
      <c r="M1808" s="81"/>
      <c r="N1808" s="84" t="str">
        <f aca="false">IF(C1808="","",IF(P1808="","NJ INCONNU",IF(I1808="",IF(H1808="OUI","À ENROBER",IF(G1808="À SOUDER","NON SOUDÉ","EN ATTENTE RT")),IF(L1808="R","À REPRENDRE",IF(H1808&lt;&gt;"OUI","⚠ ENROBÉ AVANT ACCEPTATION RT","ENROBÉ")))))</f>
        <v>NON SOUDÉ</v>
      </c>
      <c r="O1808" s="80"/>
      <c r="P1808" s="82" t="n">
        <f aca="false">IF(C1808="","",IFERROR(MATCH(Q1808,'CARNET DE SOUDURE'!$AW$7:$AW$3006,0),""))</f>
        <v>1802</v>
      </c>
      <c r="Q1808" s="82" t="str">
        <f aca="false">IF(C1808="","",B1808&amp;"|"&amp;C1808)</f>
        <v>MFD-ISW → MFD-CPF|JN°1418</v>
      </c>
    </row>
    <row r="1809" customFormat="false" ht="74.6" hidden="false" customHeight="false" outlineLevel="0" collapsed="false">
      <c r="A1809" s="82" t="n">
        <f aca="false">IF(C1809="","",ROW()-6)</f>
        <v>1803</v>
      </c>
      <c r="B1809" s="80" t="s">
        <v>110</v>
      </c>
      <c r="C1809" s="113" t="s">
        <v>2200</v>
      </c>
      <c r="D1809" s="82" t="str">
        <f aca="false">IF(OR(C1809="",P1809=""),"",INDEX('CARNET DE SOUDURE'!$D$7:$D$3006,P1809)&amp;"")</f>
        <v>16</v>
      </c>
      <c r="E1809" s="114" t="str">
        <f aca="false">IF(OR(C1809="",P1809=""),"",IF(INDEX('CARNET DE SOUDURE'!$U$7:$U$3006,P1809)="","",INDEX('CARNET DE SOUDURE'!$U$7:$U$3006,P1809)))</f>
        <v/>
      </c>
      <c r="F1809" s="82" t="str">
        <f aca="false">IF(OR(C1809="",P1809=""),"",INDEX('CARNET DE SOUDURE'!$AP$7:$AP$3006,P1809))</f>
        <v/>
      </c>
      <c r="G1809" s="82" t="str">
        <f aca="false">IF(C1809="","",IF(P1809="","NJ INCONNU",INDEX('CARNET DE SOUDURE'!$AQ$7:$AQ$3006,P1809)))</f>
        <v>À SOUDER</v>
      </c>
      <c r="H1809" s="82" t="str">
        <f aca="false">IF(C1809="","",IF(G1809="ACCEPTÉ","OUI","NON"))</f>
        <v>NON</v>
      </c>
      <c r="I1809" s="83"/>
      <c r="J1809" s="80"/>
      <c r="K1809" s="81"/>
      <c r="L1809" s="81"/>
      <c r="M1809" s="81"/>
      <c r="N1809" s="84" t="str">
        <f aca="false">IF(C1809="","",IF(P1809="","NJ INCONNU",IF(I1809="",IF(H1809="OUI","À ENROBER",IF(G1809="À SOUDER","NON SOUDÉ","EN ATTENTE RT")),IF(L1809="R","À REPRENDRE",IF(H1809&lt;&gt;"OUI","⚠ ENROBÉ AVANT ACCEPTATION RT","ENROBÉ")))))</f>
        <v>NON SOUDÉ</v>
      </c>
      <c r="O1809" s="80"/>
      <c r="P1809" s="82" t="n">
        <f aca="false">IF(C1809="","",IFERROR(MATCH(Q1809,'CARNET DE SOUDURE'!$AW$7:$AW$3006,0),""))</f>
        <v>1803</v>
      </c>
      <c r="Q1809" s="82" t="str">
        <f aca="false">IF(C1809="","",B1809&amp;"|"&amp;C1809)</f>
        <v>MFD-ISW → MFD-CPF|JN°1419</v>
      </c>
    </row>
    <row r="1810" customFormat="false" ht="74.6" hidden="false" customHeight="false" outlineLevel="0" collapsed="false">
      <c r="A1810" s="82" t="n">
        <f aca="false">IF(C1810="","",ROW()-6)</f>
        <v>1804</v>
      </c>
      <c r="B1810" s="80" t="s">
        <v>110</v>
      </c>
      <c r="C1810" s="113" t="s">
        <v>2201</v>
      </c>
      <c r="D1810" s="82" t="str">
        <f aca="false">IF(OR(C1810="",P1810=""),"",INDEX('CARNET DE SOUDURE'!$D$7:$D$3006,P1810)&amp;"")</f>
        <v>16</v>
      </c>
      <c r="E1810" s="114" t="str">
        <f aca="false">IF(OR(C1810="",P1810=""),"",IF(INDEX('CARNET DE SOUDURE'!$U$7:$U$3006,P1810)="","",INDEX('CARNET DE SOUDURE'!$U$7:$U$3006,P1810)))</f>
        <v/>
      </c>
      <c r="F1810" s="82" t="str">
        <f aca="false">IF(OR(C1810="",P1810=""),"",INDEX('CARNET DE SOUDURE'!$AP$7:$AP$3006,P1810))</f>
        <v/>
      </c>
      <c r="G1810" s="82" t="str">
        <f aca="false">IF(C1810="","",IF(P1810="","NJ INCONNU",INDEX('CARNET DE SOUDURE'!$AQ$7:$AQ$3006,P1810)))</f>
        <v>À SOUDER</v>
      </c>
      <c r="H1810" s="82" t="str">
        <f aca="false">IF(C1810="","",IF(G1810="ACCEPTÉ","OUI","NON"))</f>
        <v>NON</v>
      </c>
      <c r="I1810" s="83"/>
      <c r="J1810" s="80"/>
      <c r="K1810" s="81"/>
      <c r="L1810" s="81"/>
      <c r="M1810" s="81"/>
      <c r="N1810" s="84" t="str">
        <f aca="false">IF(C1810="","",IF(P1810="","NJ INCONNU",IF(I1810="",IF(H1810="OUI","À ENROBER",IF(G1810="À SOUDER","NON SOUDÉ","EN ATTENTE RT")),IF(L1810="R","À REPRENDRE",IF(H1810&lt;&gt;"OUI","⚠ ENROBÉ AVANT ACCEPTATION RT","ENROBÉ")))))</f>
        <v>NON SOUDÉ</v>
      </c>
      <c r="O1810" s="80"/>
      <c r="P1810" s="82" t="n">
        <f aca="false">IF(C1810="","",IFERROR(MATCH(Q1810,'CARNET DE SOUDURE'!$AW$7:$AW$3006,0),""))</f>
        <v>1804</v>
      </c>
      <c r="Q1810" s="82" t="str">
        <f aca="false">IF(C1810="","",B1810&amp;"|"&amp;C1810)</f>
        <v>MFD-ISW → MFD-CPF|JN°1420</v>
      </c>
    </row>
    <row r="1811" customFormat="false" ht="74.6" hidden="false" customHeight="false" outlineLevel="0" collapsed="false">
      <c r="A1811" s="82" t="n">
        <f aca="false">IF(C1811="","",ROW()-6)</f>
        <v>1805</v>
      </c>
      <c r="B1811" s="80" t="s">
        <v>110</v>
      </c>
      <c r="C1811" s="113" t="s">
        <v>2203</v>
      </c>
      <c r="D1811" s="82" t="str">
        <f aca="false">IF(OR(C1811="",P1811=""),"",INDEX('CARNET DE SOUDURE'!$D$7:$D$3006,P1811)&amp;"")</f>
        <v>16</v>
      </c>
      <c r="E1811" s="114" t="n">
        <f aca="false">IF(OR(C1811="",P1811=""),"",IF(INDEX('CARNET DE SOUDURE'!$U$7:$U$3006,P1811)="","",INDEX('CARNET DE SOUDURE'!$U$7:$U$3006,P1811)))</f>
        <v>46259</v>
      </c>
      <c r="F1811" s="82" t="str">
        <f aca="false">IF(OR(C1811="",P1811=""),"",INDEX('CARNET DE SOUDURE'!$AP$7:$AP$3006,P1811))</f>
        <v>A</v>
      </c>
      <c r="G1811" s="82" t="str">
        <f aca="false">IF(C1811="","",IF(P1811="","NJ INCONNU",INDEX('CARNET DE SOUDURE'!$AQ$7:$AQ$3006,P1811)))</f>
        <v>ACCEPTÉ</v>
      </c>
      <c r="H1811" s="82" t="str">
        <f aca="false">IF(C1811="","",IF(G1811="ACCEPTÉ","OUI","NON"))</f>
        <v>OUI</v>
      </c>
      <c r="I1811" s="83"/>
      <c r="J1811" s="80"/>
      <c r="K1811" s="81"/>
      <c r="L1811" s="81"/>
      <c r="M1811" s="81"/>
      <c r="N1811" s="84" t="str">
        <f aca="false">IF(C1811="","",IF(P1811="","NJ INCONNU",IF(I1811="",IF(H1811="OUI","À ENROBER",IF(G1811="À SOUDER","NON SOUDÉ","EN ATTENTE RT")),IF(L1811="R","À REPRENDRE",IF(H1811&lt;&gt;"OUI","⚠ ENROBÉ AVANT ACCEPTATION RT","ENROBÉ")))))</f>
        <v>À ENROBER</v>
      </c>
      <c r="O1811" s="80"/>
      <c r="P1811" s="82" t="n">
        <f aca="false">IF(C1811="","",IFERROR(MATCH(Q1811,'CARNET DE SOUDURE'!$AW$7:$AW$3006,0),""))</f>
        <v>1805</v>
      </c>
      <c r="Q1811" s="82" t="str">
        <f aca="false">IF(C1811="","",B1811&amp;"|"&amp;C1811)</f>
        <v>MFD-ISW → MFD-CPF|DJ°139</v>
      </c>
    </row>
    <row r="1812" customFormat="false" ht="74.6" hidden="false" customHeight="false" outlineLevel="0" collapsed="false">
      <c r="A1812" s="82" t="n">
        <f aca="false">IF(C1812="","",ROW()-6)</f>
        <v>1806</v>
      </c>
      <c r="B1812" s="80" t="s">
        <v>110</v>
      </c>
      <c r="C1812" s="113" t="s">
        <v>2204</v>
      </c>
      <c r="D1812" s="82" t="str">
        <f aca="false">IF(OR(C1812="",P1812=""),"",INDEX('CARNET DE SOUDURE'!$D$7:$D$3006,P1812)&amp;"")</f>
        <v>16</v>
      </c>
      <c r="E1812" s="114" t="n">
        <f aca="false">IF(OR(C1812="",P1812=""),"",IF(INDEX('CARNET DE SOUDURE'!$U$7:$U$3006,P1812)="","",INDEX('CARNET DE SOUDURE'!$U$7:$U$3006,P1812)))</f>
        <v>46289</v>
      </c>
      <c r="F1812" s="82" t="str">
        <f aca="false">IF(OR(C1812="",P1812=""),"",INDEX('CARNET DE SOUDURE'!$AP$7:$AP$3006,P1812))</f>
        <v/>
      </c>
      <c r="G1812" s="82" t="str">
        <f aca="false">IF(C1812="","",IF(P1812="","NJ INCONNU",INDEX('CARNET DE SOUDURE'!$AQ$7:$AQ$3006,P1812)))</f>
        <v>À RADIOGRAPHIER</v>
      </c>
      <c r="H1812" s="82" t="str">
        <f aca="false">IF(C1812="","",IF(G1812="ACCEPTÉ","OUI","NON"))</f>
        <v>NON</v>
      </c>
      <c r="I1812" s="83"/>
      <c r="J1812" s="80"/>
      <c r="K1812" s="81"/>
      <c r="L1812" s="81"/>
      <c r="M1812" s="81"/>
      <c r="N1812" s="84" t="str">
        <f aca="false">IF(C1812="","",IF(P1812="","NJ INCONNU",IF(I1812="",IF(H1812="OUI","À ENROBER",IF(G1812="À SOUDER","NON SOUDÉ","EN ATTENTE RT")),IF(L1812="R","À REPRENDRE",IF(H1812&lt;&gt;"OUI","⚠ ENROBÉ AVANT ACCEPTATION RT","ENROBÉ")))))</f>
        <v>EN ATTENTE RT</v>
      </c>
      <c r="O1812" s="80"/>
      <c r="P1812" s="82" t="n">
        <f aca="false">IF(C1812="","",IFERROR(MATCH(Q1812,'CARNET DE SOUDURE'!$AW$7:$AW$3006,0),""))</f>
        <v>1806</v>
      </c>
      <c r="Q1812" s="82" t="str">
        <f aca="false">IF(C1812="","",B1812&amp;"|"&amp;C1812)</f>
        <v>MFD-ISW → MFD-CPF|JN°1421R</v>
      </c>
    </row>
    <row r="1813" customFormat="false" ht="74.6" hidden="false" customHeight="false" outlineLevel="0" collapsed="false">
      <c r="A1813" s="82" t="n">
        <f aca="false">IF(C1813="","",ROW()-6)</f>
        <v>1807</v>
      </c>
      <c r="B1813" s="80" t="s">
        <v>110</v>
      </c>
      <c r="C1813" s="113" t="s">
        <v>2207</v>
      </c>
      <c r="D1813" s="82" t="str">
        <f aca="false">IF(OR(C1813="",P1813=""),"",INDEX('CARNET DE SOUDURE'!$D$7:$D$3006,P1813)&amp;"")</f>
        <v>16</v>
      </c>
      <c r="E1813" s="114" t="n">
        <f aca="false">IF(OR(C1813="",P1813=""),"",IF(INDEX('CARNET DE SOUDURE'!$U$7:$U$3006,P1813)="","",INDEX('CARNET DE SOUDURE'!$U$7:$U$3006,P1813)))</f>
        <v>46259</v>
      </c>
      <c r="F1813" s="82" t="str">
        <f aca="false">IF(OR(C1813="",P1813=""),"",INDEX('CARNET DE SOUDURE'!$AP$7:$AP$3006,P1813))</f>
        <v>A</v>
      </c>
      <c r="G1813" s="82" t="str">
        <f aca="false">IF(C1813="","",IF(P1813="","NJ INCONNU",INDEX('CARNET DE SOUDURE'!$AQ$7:$AQ$3006,P1813)))</f>
        <v>ACCEPTÉ</v>
      </c>
      <c r="H1813" s="82" t="str">
        <f aca="false">IF(C1813="","",IF(G1813="ACCEPTÉ","OUI","NON"))</f>
        <v>OUI</v>
      </c>
      <c r="I1813" s="83"/>
      <c r="J1813" s="80"/>
      <c r="K1813" s="81"/>
      <c r="L1813" s="81"/>
      <c r="M1813" s="81"/>
      <c r="N1813" s="84" t="str">
        <f aca="false">IF(C1813="","",IF(P1813="","NJ INCONNU",IF(I1813="",IF(H1813="OUI","À ENROBER",IF(G1813="À SOUDER","NON SOUDÉ","EN ATTENTE RT")),IF(L1813="R","À REPRENDRE",IF(H1813&lt;&gt;"OUI","⚠ ENROBÉ AVANT ACCEPTATION RT","ENROBÉ")))))</f>
        <v>À ENROBER</v>
      </c>
      <c r="O1813" s="80"/>
      <c r="P1813" s="82" t="n">
        <f aca="false">IF(C1813="","",IFERROR(MATCH(Q1813,'CARNET DE SOUDURE'!$AW$7:$AW$3006,0),""))</f>
        <v>1807</v>
      </c>
      <c r="Q1813" s="82" t="str">
        <f aca="false">IF(C1813="","",B1813&amp;"|"&amp;C1813)</f>
        <v>MFD-ISW → MFD-CPF|DJ°140</v>
      </c>
    </row>
    <row r="1814" customFormat="false" ht="74.6" hidden="false" customHeight="false" outlineLevel="0" collapsed="false">
      <c r="A1814" s="82" t="n">
        <f aca="false">IF(C1814="","",ROW()-6)</f>
        <v>1808</v>
      </c>
      <c r="B1814" s="80" t="s">
        <v>110</v>
      </c>
      <c r="C1814" s="113" t="s">
        <v>2208</v>
      </c>
      <c r="D1814" s="82" t="str">
        <f aca="false">IF(OR(C1814="",P1814=""),"",INDEX('CARNET DE SOUDURE'!$D$7:$D$3006,P1814)&amp;"")</f>
        <v>16</v>
      </c>
      <c r="E1814" s="114" t="n">
        <f aca="false">IF(OR(C1814="",P1814=""),"",IF(INDEX('CARNET DE SOUDURE'!$U$7:$U$3006,P1814)="","",INDEX('CARNET DE SOUDURE'!$U$7:$U$3006,P1814)))</f>
        <v>46268</v>
      </c>
      <c r="F1814" s="82" t="str">
        <f aca="false">IF(OR(C1814="",P1814=""),"",INDEX('CARNET DE SOUDURE'!$AP$7:$AP$3006,P1814))</f>
        <v>A</v>
      </c>
      <c r="G1814" s="82" t="str">
        <f aca="false">IF(C1814="","",IF(P1814="","NJ INCONNU",INDEX('CARNET DE SOUDURE'!$AQ$7:$AQ$3006,P1814)))</f>
        <v>ACCEPTÉ</v>
      </c>
      <c r="H1814" s="82" t="str">
        <f aca="false">IF(C1814="","",IF(G1814="ACCEPTÉ","OUI","NON"))</f>
        <v>OUI</v>
      </c>
      <c r="I1814" s="83"/>
      <c r="J1814" s="80"/>
      <c r="K1814" s="81"/>
      <c r="L1814" s="81"/>
      <c r="M1814" s="81"/>
      <c r="N1814" s="84" t="str">
        <f aca="false">IF(C1814="","",IF(P1814="","NJ INCONNU",IF(I1814="",IF(H1814="OUI","À ENROBER",IF(G1814="À SOUDER","NON SOUDÉ","EN ATTENTE RT")),IF(L1814="R","À REPRENDRE",IF(H1814&lt;&gt;"OUI","⚠ ENROBÉ AVANT ACCEPTATION RT","ENROBÉ")))))</f>
        <v>À ENROBER</v>
      </c>
      <c r="O1814" s="80"/>
      <c r="P1814" s="82" t="n">
        <f aca="false">IF(C1814="","",IFERROR(MATCH(Q1814,'CARNET DE SOUDURE'!$AW$7:$AW$3006,0),""))</f>
        <v>1808</v>
      </c>
      <c r="Q1814" s="82" t="str">
        <f aca="false">IF(C1814="","",B1814&amp;"|"&amp;C1814)</f>
        <v>MFD-ISW → MFD-CPF|JN°1422</v>
      </c>
    </row>
    <row r="1815" customFormat="false" ht="74.6" hidden="false" customHeight="false" outlineLevel="0" collapsed="false">
      <c r="A1815" s="82" t="n">
        <f aca="false">IF(C1815="","",ROW()-6)</f>
        <v>1809</v>
      </c>
      <c r="B1815" s="80" t="s">
        <v>110</v>
      </c>
      <c r="C1815" s="113" t="s">
        <v>2210</v>
      </c>
      <c r="D1815" s="82" t="str">
        <f aca="false">IF(OR(C1815="",P1815=""),"",INDEX('CARNET DE SOUDURE'!$D$7:$D$3006,P1815)&amp;"")</f>
        <v>16</v>
      </c>
      <c r="E1815" s="114" t="n">
        <f aca="false">IF(OR(C1815="",P1815=""),"",IF(INDEX('CARNET DE SOUDURE'!$U$7:$U$3006,P1815)="","",INDEX('CARNET DE SOUDURE'!$U$7:$U$3006,P1815)))</f>
        <v>46259</v>
      </c>
      <c r="F1815" s="82" t="str">
        <f aca="false">IF(OR(C1815="",P1815=""),"",INDEX('CARNET DE SOUDURE'!$AP$7:$AP$3006,P1815))</f>
        <v>A</v>
      </c>
      <c r="G1815" s="82" t="str">
        <f aca="false">IF(C1815="","",IF(P1815="","NJ INCONNU",INDEX('CARNET DE SOUDURE'!$AQ$7:$AQ$3006,P1815)))</f>
        <v>ACCEPTÉ</v>
      </c>
      <c r="H1815" s="82" t="str">
        <f aca="false">IF(C1815="","",IF(G1815="ACCEPTÉ","OUI","NON"))</f>
        <v>OUI</v>
      </c>
      <c r="I1815" s="83"/>
      <c r="J1815" s="80"/>
      <c r="K1815" s="81"/>
      <c r="L1815" s="81"/>
      <c r="M1815" s="81"/>
      <c r="N1815" s="84" t="str">
        <f aca="false">IF(C1815="","",IF(P1815="","NJ INCONNU",IF(I1815="",IF(H1815="OUI","À ENROBER",IF(G1815="À SOUDER","NON SOUDÉ","EN ATTENTE RT")),IF(L1815="R","À REPRENDRE",IF(H1815&lt;&gt;"OUI","⚠ ENROBÉ AVANT ACCEPTATION RT","ENROBÉ")))))</f>
        <v>À ENROBER</v>
      </c>
      <c r="O1815" s="80"/>
      <c r="P1815" s="82" t="n">
        <f aca="false">IF(C1815="","",IFERROR(MATCH(Q1815,'CARNET DE SOUDURE'!$AW$7:$AW$3006,0),""))</f>
        <v>1809</v>
      </c>
      <c r="Q1815" s="82" t="str">
        <f aca="false">IF(C1815="","",B1815&amp;"|"&amp;C1815)</f>
        <v>MFD-ISW → MFD-CPF|DJ°132</v>
      </c>
    </row>
    <row r="1816" customFormat="false" ht="74.6" hidden="false" customHeight="false" outlineLevel="0" collapsed="false">
      <c r="A1816" s="82" t="n">
        <f aca="false">IF(C1816="","",ROW()-6)</f>
        <v>1810</v>
      </c>
      <c r="B1816" s="80" t="s">
        <v>110</v>
      </c>
      <c r="C1816" s="113" t="s">
        <v>2211</v>
      </c>
      <c r="D1816" s="82" t="str">
        <f aca="false">IF(OR(C1816="",P1816=""),"",INDEX('CARNET DE SOUDURE'!$D$7:$D$3006,P1816)&amp;"")</f>
        <v>16</v>
      </c>
      <c r="E1816" s="114" t="n">
        <f aca="false">IF(OR(C1816="",P1816=""),"",IF(INDEX('CARNET DE SOUDURE'!$U$7:$U$3006,P1816)="","",INDEX('CARNET DE SOUDURE'!$U$7:$U$3006,P1816)))</f>
        <v>46268</v>
      </c>
      <c r="F1816" s="82" t="str">
        <f aca="false">IF(OR(C1816="",P1816=""),"",INDEX('CARNET DE SOUDURE'!$AP$7:$AP$3006,P1816))</f>
        <v>A</v>
      </c>
      <c r="G1816" s="82" t="str">
        <f aca="false">IF(C1816="","",IF(P1816="","NJ INCONNU",INDEX('CARNET DE SOUDURE'!$AQ$7:$AQ$3006,P1816)))</f>
        <v>ACCEPTÉ</v>
      </c>
      <c r="H1816" s="82" t="str">
        <f aca="false">IF(C1816="","",IF(G1816="ACCEPTÉ","OUI","NON"))</f>
        <v>OUI</v>
      </c>
      <c r="I1816" s="83"/>
      <c r="J1816" s="80"/>
      <c r="K1816" s="81"/>
      <c r="L1816" s="81"/>
      <c r="M1816" s="81"/>
      <c r="N1816" s="84" t="str">
        <f aca="false">IF(C1816="","",IF(P1816="","NJ INCONNU",IF(I1816="",IF(H1816="OUI","À ENROBER",IF(G1816="À SOUDER","NON SOUDÉ","EN ATTENTE RT")),IF(L1816="R","À REPRENDRE",IF(H1816&lt;&gt;"OUI","⚠ ENROBÉ AVANT ACCEPTATION RT","ENROBÉ")))))</f>
        <v>À ENROBER</v>
      </c>
      <c r="O1816" s="80"/>
      <c r="P1816" s="82" t="n">
        <f aca="false">IF(C1816="","",IFERROR(MATCH(Q1816,'CARNET DE SOUDURE'!$AW$7:$AW$3006,0),""))</f>
        <v>1810</v>
      </c>
      <c r="Q1816" s="82" t="str">
        <f aca="false">IF(C1816="","",B1816&amp;"|"&amp;C1816)</f>
        <v>MFD-ISW → MFD-CPF|JN°1423</v>
      </c>
    </row>
    <row r="1817" customFormat="false" ht="74.6" hidden="false" customHeight="false" outlineLevel="0" collapsed="false">
      <c r="A1817" s="82" t="n">
        <f aca="false">IF(C1817="","",ROW()-6)</f>
        <v>1811</v>
      </c>
      <c r="B1817" s="80" t="s">
        <v>110</v>
      </c>
      <c r="C1817" s="113" t="s">
        <v>2212</v>
      </c>
      <c r="D1817" s="82" t="str">
        <f aca="false">IF(OR(C1817="",P1817=""),"",INDEX('CARNET DE SOUDURE'!$D$7:$D$3006,P1817)&amp;"")</f>
        <v>16</v>
      </c>
      <c r="E1817" s="114" t="n">
        <f aca="false">IF(OR(C1817="",P1817=""),"",IF(INDEX('CARNET DE SOUDURE'!$U$7:$U$3006,P1817)="","",INDEX('CARNET DE SOUDURE'!$U$7:$U$3006,P1817)))</f>
        <v>46259</v>
      </c>
      <c r="F1817" s="82" t="str">
        <f aca="false">IF(OR(C1817="",P1817=""),"",INDEX('CARNET DE SOUDURE'!$AP$7:$AP$3006,P1817))</f>
        <v>A</v>
      </c>
      <c r="G1817" s="82" t="str">
        <f aca="false">IF(C1817="","",IF(P1817="","NJ INCONNU",INDEX('CARNET DE SOUDURE'!$AQ$7:$AQ$3006,P1817)))</f>
        <v>ACCEPTÉ</v>
      </c>
      <c r="H1817" s="82" t="str">
        <f aca="false">IF(C1817="","",IF(G1817="ACCEPTÉ","OUI","NON"))</f>
        <v>OUI</v>
      </c>
      <c r="I1817" s="83"/>
      <c r="J1817" s="80"/>
      <c r="K1817" s="81"/>
      <c r="L1817" s="81"/>
      <c r="M1817" s="81"/>
      <c r="N1817" s="84" t="str">
        <f aca="false">IF(C1817="","",IF(P1817="","NJ INCONNU",IF(I1817="",IF(H1817="OUI","À ENROBER",IF(G1817="À SOUDER","NON SOUDÉ","EN ATTENTE RT")),IF(L1817="R","À REPRENDRE",IF(H1817&lt;&gt;"OUI","⚠ ENROBÉ AVANT ACCEPTATION RT","ENROBÉ")))))</f>
        <v>À ENROBER</v>
      </c>
      <c r="O1817" s="80"/>
      <c r="P1817" s="82" t="n">
        <f aca="false">IF(C1817="","",IFERROR(MATCH(Q1817,'CARNET DE SOUDURE'!$AW$7:$AW$3006,0),""))</f>
        <v>1811</v>
      </c>
      <c r="Q1817" s="82" t="str">
        <f aca="false">IF(C1817="","",B1817&amp;"|"&amp;C1817)</f>
        <v>MFD-ISW → MFD-CPF|DJ°129</v>
      </c>
    </row>
    <row r="1818" customFormat="false" ht="74.6" hidden="false" customHeight="false" outlineLevel="0" collapsed="false">
      <c r="A1818" s="82" t="n">
        <f aca="false">IF(C1818="","",ROW()-6)</f>
        <v>1812</v>
      </c>
      <c r="B1818" s="80" t="s">
        <v>110</v>
      </c>
      <c r="C1818" s="113" t="s">
        <v>2213</v>
      </c>
      <c r="D1818" s="82" t="str">
        <f aca="false">IF(OR(C1818="",P1818=""),"",INDEX('CARNET DE SOUDURE'!$D$7:$D$3006,P1818)&amp;"")</f>
        <v>16</v>
      </c>
      <c r="E1818" s="114" t="n">
        <f aca="false">IF(OR(C1818="",P1818=""),"",IF(INDEX('CARNET DE SOUDURE'!$U$7:$U$3006,P1818)="","",INDEX('CARNET DE SOUDURE'!$U$7:$U$3006,P1818)))</f>
        <v>46268</v>
      </c>
      <c r="F1818" s="82" t="str">
        <f aca="false">IF(OR(C1818="",P1818=""),"",INDEX('CARNET DE SOUDURE'!$AP$7:$AP$3006,P1818))</f>
        <v>A</v>
      </c>
      <c r="G1818" s="82" t="str">
        <f aca="false">IF(C1818="","",IF(P1818="","NJ INCONNU",INDEX('CARNET DE SOUDURE'!$AQ$7:$AQ$3006,P1818)))</f>
        <v>ACCEPTÉ</v>
      </c>
      <c r="H1818" s="82" t="str">
        <f aca="false">IF(C1818="","",IF(G1818="ACCEPTÉ","OUI","NON"))</f>
        <v>OUI</v>
      </c>
      <c r="I1818" s="83"/>
      <c r="J1818" s="80"/>
      <c r="K1818" s="81"/>
      <c r="L1818" s="81"/>
      <c r="M1818" s="81"/>
      <c r="N1818" s="84" t="str">
        <f aca="false">IF(C1818="","",IF(P1818="","NJ INCONNU",IF(I1818="",IF(H1818="OUI","À ENROBER",IF(G1818="À SOUDER","NON SOUDÉ","EN ATTENTE RT")),IF(L1818="R","À REPRENDRE",IF(H1818&lt;&gt;"OUI","⚠ ENROBÉ AVANT ACCEPTATION RT","ENROBÉ")))))</f>
        <v>À ENROBER</v>
      </c>
      <c r="O1818" s="80"/>
      <c r="P1818" s="82" t="n">
        <f aca="false">IF(C1818="","",IFERROR(MATCH(Q1818,'CARNET DE SOUDURE'!$AW$7:$AW$3006,0),""))</f>
        <v>1812</v>
      </c>
      <c r="Q1818" s="82" t="str">
        <f aca="false">IF(C1818="","",B1818&amp;"|"&amp;C1818)</f>
        <v>MFD-ISW → MFD-CPF|JN°1424</v>
      </c>
    </row>
    <row r="1819" customFormat="false" ht="74.6" hidden="false" customHeight="false" outlineLevel="0" collapsed="false">
      <c r="A1819" s="82" t="n">
        <f aca="false">IF(C1819="","",ROW()-6)</f>
        <v>1813</v>
      </c>
      <c r="B1819" s="80" t="s">
        <v>110</v>
      </c>
      <c r="C1819" s="113" t="s">
        <v>2214</v>
      </c>
      <c r="D1819" s="82" t="str">
        <f aca="false">IF(OR(C1819="",P1819=""),"",INDEX('CARNET DE SOUDURE'!$D$7:$D$3006,P1819)&amp;"")</f>
        <v>16</v>
      </c>
      <c r="E1819" s="114" t="n">
        <f aca="false">IF(OR(C1819="",P1819=""),"",IF(INDEX('CARNET DE SOUDURE'!$U$7:$U$3006,P1819)="","",INDEX('CARNET DE SOUDURE'!$U$7:$U$3006,P1819)))</f>
        <v>46259</v>
      </c>
      <c r="F1819" s="82" t="str">
        <f aca="false">IF(OR(C1819="",P1819=""),"",INDEX('CARNET DE SOUDURE'!$AP$7:$AP$3006,P1819))</f>
        <v>A</v>
      </c>
      <c r="G1819" s="82" t="str">
        <f aca="false">IF(C1819="","",IF(P1819="","NJ INCONNU",INDEX('CARNET DE SOUDURE'!$AQ$7:$AQ$3006,P1819)))</f>
        <v>ACCEPTÉ</v>
      </c>
      <c r="H1819" s="82" t="str">
        <f aca="false">IF(C1819="","",IF(G1819="ACCEPTÉ","OUI","NON"))</f>
        <v>OUI</v>
      </c>
      <c r="I1819" s="83"/>
      <c r="J1819" s="80"/>
      <c r="K1819" s="81"/>
      <c r="L1819" s="81"/>
      <c r="M1819" s="81"/>
      <c r="N1819" s="84" t="str">
        <f aca="false">IF(C1819="","",IF(P1819="","NJ INCONNU",IF(I1819="",IF(H1819="OUI","À ENROBER",IF(G1819="À SOUDER","NON SOUDÉ","EN ATTENTE RT")),IF(L1819="R","À REPRENDRE",IF(H1819&lt;&gt;"OUI","⚠ ENROBÉ AVANT ACCEPTATION RT","ENROBÉ")))))</f>
        <v>À ENROBER</v>
      </c>
      <c r="O1819" s="80"/>
      <c r="P1819" s="82" t="n">
        <f aca="false">IF(C1819="","",IFERROR(MATCH(Q1819,'CARNET DE SOUDURE'!$AW$7:$AW$3006,0),""))</f>
        <v>1813</v>
      </c>
      <c r="Q1819" s="82" t="str">
        <f aca="false">IF(C1819="","",B1819&amp;"|"&amp;C1819)</f>
        <v>MFD-ISW → MFD-CPF|DJ°130</v>
      </c>
    </row>
    <row r="1820" customFormat="false" ht="74.6" hidden="false" customHeight="false" outlineLevel="0" collapsed="false">
      <c r="A1820" s="82" t="n">
        <f aca="false">IF(C1820="","",ROW()-6)</f>
        <v>1814</v>
      </c>
      <c r="B1820" s="80" t="s">
        <v>110</v>
      </c>
      <c r="C1820" s="113" t="s">
        <v>2215</v>
      </c>
      <c r="D1820" s="82" t="str">
        <f aca="false">IF(OR(C1820="",P1820=""),"",INDEX('CARNET DE SOUDURE'!$D$7:$D$3006,P1820)&amp;"")</f>
        <v>16</v>
      </c>
      <c r="E1820" s="114" t="n">
        <f aca="false">IF(OR(C1820="",P1820=""),"",IF(INDEX('CARNET DE SOUDURE'!$U$7:$U$3006,P1820)="","",INDEX('CARNET DE SOUDURE'!$U$7:$U$3006,P1820)))</f>
        <v>46268</v>
      </c>
      <c r="F1820" s="82" t="str">
        <f aca="false">IF(OR(C1820="",P1820=""),"",INDEX('CARNET DE SOUDURE'!$AP$7:$AP$3006,P1820))</f>
        <v>A</v>
      </c>
      <c r="G1820" s="82" t="str">
        <f aca="false">IF(C1820="","",IF(P1820="","NJ INCONNU",INDEX('CARNET DE SOUDURE'!$AQ$7:$AQ$3006,P1820)))</f>
        <v>ACCEPTÉ</v>
      </c>
      <c r="H1820" s="82" t="str">
        <f aca="false">IF(C1820="","",IF(G1820="ACCEPTÉ","OUI","NON"))</f>
        <v>OUI</v>
      </c>
      <c r="I1820" s="83"/>
      <c r="J1820" s="80"/>
      <c r="K1820" s="81"/>
      <c r="L1820" s="81"/>
      <c r="M1820" s="81"/>
      <c r="N1820" s="84" t="str">
        <f aca="false">IF(C1820="","",IF(P1820="","NJ INCONNU",IF(I1820="",IF(H1820="OUI","À ENROBER",IF(G1820="À SOUDER","NON SOUDÉ","EN ATTENTE RT")),IF(L1820="R","À REPRENDRE",IF(H1820&lt;&gt;"OUI","⚠ ENROBÉ AVANT ACCEPTATION RT","ENROBÉ")))))</f>
        <v>À ENROBER</v>
      </c>
      <c r="O1820" s="80"/>
      <c r="P1820" s="82" t="n">
        <f aca="false">IF(C1820="","",IFERROR(MATCH(Q1820,'CARNET DE SOUDURE'!$AW$7:$AW$3006,0),""))</f>
        <v>1814</v>
      </c>
      <c r="Q1820" s="82" t="str">
        <f aca="false">IF(C1820="","",B1820&amp;"|"&amp;C1820)</f>
        <v>MFD-ISW → MFD-CPF|JN°1425</v>
      </c>
    </row>
    <row r="1821" customFormat="false" ht="74.6" hidden="false" customHeight="false" outlineLevel="0" collapsed="false">
      <c r="A1821" s="82" t="n">
        <f aca="false">IF(C1821="","",ROW()-6)</f>
        <v>1815</v>
      </c>
      <c r="B1821" s="80" t="s">
        <v>110</v>
      </c>
      <c r="C1821" s="113" t="s">
        <v>2216</v>
      </c>
      <c r="D1821" s="82" t="str">
        <f aca="false">IF(OR(C1821="",P1821=""),"",INDEX('CARNET DE SOUDURE'!$D$7:$D$3006,P1821)&amp;"")</f>
        <v>16</v>
      </c>
      <c r="E1821" s="114" t="n">
        <f aca="false">IF(OR(C1821="",P1821=""),"",IF(INDEX('CARNET DE SOUDURE'!$U$7:$U$3006,P1821)="","",INDEX('CARNET DE SOUDURE'!$U$7:$U$3006,P1821)))</f>
        <v>46249</v>
      </c>
      <c r="F1821" s="82" t="str">
        <f aca="false">IF(OR(C1821="",P1821=""),"",INDEX('CARNET DE SOUDURE'!$AP$7:$AP$3006,P1821))</f>
        <v>A</v>
      </c>
      <c r="G1821" s="82" t="str">
        <f aca="false">IF(C1821="","",IF(P1821="","NJ INCONNU",INDEX('CARNET DE SOUDURE'!$AQ$7:$AQ$3006,P1821)))</f>
        <v>ACCEPTÉ</v>
      </c>
      <c r="H1821" s="82" t="str">
        <f aca="false">IF(C1821="","",IF(G1821="ACCEPTÉ","OUI","NON"))</f>
        <v>OUI</v>
      </c>
      <c r="I1821" s="83"/>
      <c r="J1821" s="80"/>
      <c r="K1821" s="81"/>
      <c r="L1821" s="81"/>
      <c r="M1821" s="81"/>
      <c r="N1821" s="84" t="str">
        <f aca="false">IF(C1821="","",IF(P1821="","NJ INCONNU",IF(I1821="",IF(H1821="OUI","À ENROBER",IF(G1821="À SOUDER","NON SOUDÉ","EN ATTENTE RT")),IF(L1821="R","À REPRENDRE",IF(H1821&lt;&gt;"OUI","⚠ ENROBÉ AVANT ACCEPTATION RT","ENROBÉ")))))</f>
        <v>À ENROBER</v>
      </c>
      <c r="O1821" s="80"/>
      <c r="P1821" s="82" t="n">
        <f aca="false">IF(C1821="","",IFERROR(MATCH(Q1821,'CARNET DE SOUDURE'!$AW$7:$AW$3006,0),""))</f>
        <v>1815</v>
      </c>
      <c r="Q1821" s="82" t="str">
        <f aca="false">IF(C1821="","",B1821&amp;"|"&amp;C1821)</f>
        <v>MFD-ISW → MFD-CPF|DJ°016</v>
      </c>
    </row>
    <row r="1822" customFormat="false" ht="74.6" hidden="false" customHeight="false" outlineLevel="0" collapsed="false">
      <c r="A1822" s="82" t="n">
        <f aca="false">IF(C1822="","",ROW()-6)</f>
        <v>1816</v>
      </c>
      <c r="B1822" s="80" t="s">
        <v>110</v>
      </c>
      <c r="C1822" s="113" t="s">
        <v>2219</v>
      </c>
      <c r="D1822" s="82" t="str">
        <f aca="false">IF(OR(C1822="",P1822=""),"",INDEX('CARNET DE SOUDURE'!$D$7:$D$3006,P1822)&amp;"")</f>
        <v>16</v>
      </c>
      <c r="E1822" s="114" t="n">
        <f aca="false">IF(OR(C1822="",P1822=""),"",IF(INDEX('CARNET DE SOUDURE'!$U$7:$U$3006,P1822)="","",INDEX('CARNET DE SOUDURE'!$U$7:$U$3006,P1822)))</f>
        <v>46268</v>
      </c>
      <c r="F1822" s="82" t="str">
        <f aca="false">IF(OR(C1822="",P1822=""),"",INDEX('CARNET DE SOUDURE'!$AP$7:$AP$3006,P1822))</f>
        <v>A</v>
      </c>
      <c r="G1822" s="82" t="str">
        <f aca="false">IF(C1822="","",IF(P1822="","NJ INCONNU",INDEX('CARNET DE SOUDURE'!$AQ$7:$AQ$3006,P1822)))</f>
        <v>ACCEPTÉ</v>
      </c>
      <c r="H1822" s="82" t="str">
        <f aca="false">IF(C1822="","",IF(G1822="ACCEPTÉ","OUI","NON"))</f>
        <v>OUI</v>
      </c>
      <c r="I1822" s="83"/>
      <c r="J1822" s="80"/>
      <c r="K1822" s="81"/>
      <c r="L1822" s="81"/>
      <c r="M1822" s="81"/>
      <c r="N1822" s="84" t="str">
        <f aca="false">IF(C1822="","",IF(P1822="","NJ INCONNU",IF(I1822="",IF(H1822="OUI","À ENROBER",IF(G1822="À SOUDER","NON SOUDÉ","EN ATTENTE RT")),IF(L1822="R","À REPRENDRE",IF(H1822&lt;&gt;"OUI","⚠ ENROBÉ AVANT ACCEPTATION RT","ENROBÉ")))))</f>
        <v>À ENROBER</v>
      </c>
      <c r="O1822" s="80"/>
      <c r="P1822" s="82" t="n">
        <f aca="false">IF(C1822="","",IFERROR(MATCH(Q1822,'CARNET DE SOUDURE'!$AW$7:$AW$3006,0),""))</f>
        <v>1816</v>
      </c>
      <c r="Q1822" s="82" t="str">
        <f aca="false">IF(C1822="","",B1822&amp;"|"&amp;C1822)</f>
        <v>MFD-ISW → MFD-CPF|JN°1426</v>
      </c>
    </row>
    <row r="1823" customFormat="false" ht="74.6" hidden="false" customHeight="false" outlineLevel="0" collapsed="false">
      <c r="A1823" s="82" t="n">
        <f aca="false">IF(C1823="","",ROW()-6)</f>
        <v>1817</v>
      </c>
      <c r="B1823" s="80" t="s">
        <v>110</v>
      </c>
      <c r="C1823" s="113" t="s">
        <v>2220</v>
      </c>
      <c r="D1823" s="82" t="str">
        <f aca="false">IF(OR(C1823="",P1823=""),"",INDEX('CARNET DE SOUDURE'!$D$7:$D$3006,P1823)&amp;"")</f>
        <v>16</v>
      </c>
      <c r="E1823" s="114" t="n">
        <f aca="false">IF(OR(C1823="",P1823=""),"",IF(INDEX('CARNET DE SOUDURE'!$U$7:$U$3006,P1823)="","",INDEX('CARNET DE SOUDURE'!$U$7:$U$3006,P1823)))</f>
        <v>46250</v>
      </c>
      <c r="F1823" s="82" t="str">
        <f aca="false">IF(OR(C1823="",P1823=""),"",INDEX('CARNET DE SOUDURE'!$AP$7:$AP$3006,P1823))</f>
        <v>A</v>
      </c>
      <c r="G1823" s="82" t="str">
        <f aca="false">IF(C1823="","",IF(P1823="","NJ INCONNU",INDEX('CARNET DE SOUDURE'!$AQ$7:$AQ$3006,P1823)))</f>
        <v>ACCEPTÉ</v>
      </c>
      <c r="H1823" s="82" t="str">
        <f aca="false">IF(C1823="","",IF(G1823="ACCEPTÉ","OUI","NON"))</f>
        <v>OUI</v>
      </c>
      <c r="I1823" s="83"/>
      <c r="J1823" s="80"/>
      <c r="K1823" s="81"/>
      <c r="L1823" s="81"/>
      <c r="M1823" s="81"/>
      <c r="N1823" s="84" t="str">
        <f aca="false">IF(C1823="","",IF(P1823="","NJ INCONNU",IF(I1823="",IF(H1823="OUI","À ENROBER",IF(G1823="À SOUDER","NON SOUDÉ","EN ATTENTE RT")),IF(L1823="R","À REPRENDRE",IF(H1823&lt;&gt;"OUI","⚠ ENROBÉ AVANT ACCEPTATION RT","ENROBÉ")))))</f>
        <v>À ENROBER</v>
      </c>
      <c r="O1823" s="80"/>
      <c r="P1823" s="82" t="n">
        <f aca="false">IF(C1823="","",IFERROR(MATCH(Q1823,'CARNET DE SOUDURE'!$AW$7:$AW$3006,0),""))</f>
        <v>1817</v>
      </c>
      <c r="Q1823" s="82" t="str">
        <f aca="false">IF(C1823="","",B1823&amp;"|"&amp;C1823)</f>
        <v>MFD-ISW → MFD-CPF|DJ°023</v>
      </c>
    </row>
    <row r="1824" customFormat="false" ht="74.6" hidden="false" customHeight="false" outlineLevel="0" collapsed="false">
      <c r="A1824" s="82" t="n">
        <f aca="false">IF(C1824="","",ROW()-6)</f>
        <v>1818</v>
      </c>
      <c r="B1824" s="80" t="s">
        <v>110</v>
      </c>
      <c r="C1824" s="113" t="s">
        <v>2223</v>
      </c>
      <c r="D1824" s="82" t="str">
        <f aca="false">IF(OR(C1824="",P1824=""),"",INDEX('CARNET DE SOUDURE'!$D$7:$D$3006,P1824)&amp;"")</f>
        <v>16</v>
      </c>
      <c r="E1824" s="114" t="n">
        <f aca="false">IF(OR(C1824="",P1824=""),"",IF(INDEX('CARNET DE SOUDURE'!$U$7:$U$3006,P1824)="","",INDEX('CARNET DE SOUDURE'!$U$7:$U$3006,P1824)))</f>
        <v>46268</v>
      </c>
      <c r="F1824" s="82" t="str">
        <f aca="false">IF(OR(C1824="",P1824=""),"",INDEX('CARNET DE SOUDURE'!$AP$7:$AP$3006,P1824))</f>
        <v>A</v>
      </c>
      <c r="G1824" s="82" t="str">
        <f aca="false">IF(C1824="","",IF(P1824="","NJ INCONNU",INDEX('CARNET DE SOUDURE'!$AQ$7:$AQ$3006,P1824)))</f>
        <v>ACCEPTÉ</v>
      </c>
      <c r="H1824" s="82" t="str">
        <f aca="false">IF(C1824="","",IF(G1824="ACCEPTÉ","OUI","NON"))</f>
        <v>OUI</v>
      </c>
      <c r="I1824" s="83"/>
      <c r="J1824" s="80"/>
      <c r="K1824" s="81"/>
      <c r="L1824" s="81"/>
      <c r="M1824" s="81"/>
      <c r="N1824" s="84" t="str">
        <f aca="false">IF(C1824="","",IF(P1824="","NJ INCONNU",IF(I1824="",IF(H1824="OUI","À ENROBER",IF(G1824="À SOUDER","NON SOUDÉ","EN ATTENTE RT")),IF(L1824="R","À REPRENDRE",IF(H1824&lt;&gt;"OUI","⚠ ENROBÉ AVANT ACCEPTATION RT","ENROBÉ")))))</f>
        <v>À ENROBER</v>
      </c>
      <c r="O1824" s="80"/>
      <c r="P1824" s="82" t="n">
        <f aca="false">IF(C1824="","",IFERROR(MATCH(Q1824,'CARNET DE SOUDURE'!$AW$7:$AW$3006,0),""))</f>
        <v>1818</v>
      </c>
      <c r="Q1824" s="82" t="str">
        <f aca="false">IF(C1824="","",B1824&amp;"|"&amp;C1824)</f>
        <v>MFD-ISW → MFD-CPF|JN°1427</v>
      </c>
    </row>
    <row r="1825" customFormat="false" ht="74.6" hidden="false" customHeight="false" outlineLevel="0" collapsed="false">
      <c r="A1825" s="82" t="n">
        <f aca="false">IF(C1825="","",ROW()-6)</f>
        <v>1819</v>
      </c>
      <c r="B1825" s="80" t="s">
        <v>110</v>
      </c>
      <c r="C1825" s="113" t="s">
        <v>2224</v>
      </c>
      <c r="D1825" s="82" t="str">
        <f aca="false">IF(OR(C1825="",P1825=""),"",INDEX('CARNET DE SOUDURE'!$D$7:$D$3006,P1825)&amp;"")</f>
        <v>16</v>
      </c>
      <c r="E1825" s="114" t="n">
        <f aca="false">IF(OR(C1825="",P1825=""),"",IF(INDEX('CARNET DE SOUDURE'!$U$7:$U$3006,P1825)="","",INDEX('CARNET DE SOUDURE'!$U$7:$U$3006,P1825)))</f>
        <v>46250</v>
      </c>
      <c r="F1825" s="82" t="str">
        <f aca="false">IF(OR(C1825="",P1825=""),"",INDEX('CARNET DE SOUDURE'!$AP$7:$AP$3006,P1825))</f>
        <v>A</v>
      </c>
      <c r="G1825" s="82" t="str">
        <f aca="false">IF(C1825="","",IF(P1825="","NJ INCONNU",INDEX('CARNET DE SOUDURE'!$AQ$7:$AQ$3006,P1825)))</f>
        <v>ACCEPTÉ</v>
      </c>
      <c r="H1825" s="82" t="str">
        <f aca="false">IF(C1825="","",IF(G1825="ACCEPTÉ","OUI","NON"))</f>
        <v>OUI</v>
      </c>
      <c r="I1825" s="83"/>
      <c r="J1825" s="80"/>
      <c r="K1825" s="81"/>
      <c r="L1825" s="81"/>
      <c r="M1825" s="81"/>
      <c r="N1825" s="84" t="str">
        <f aca="false">IF(C1825="","",IF(P1825="","NJ INCONNU",IF(I1825="",IF(H1825="OUI","À ENROBER",IF(G1825="À SOUDER","NON SOUDÉ","EN ATTENTE RT")),IF(L1825="R","À REPRENDRE",IF(H1825&lt;&gt;"OUI","⚠ ENROBÉ AVANT ACCEPTATION RT","ENROBÉ")))))</f>
        <v>À ENROBER</v>
      </c>
      <c r="O1825" s="80"/>
      <c r="P1825" s="82" t="n">
        <f aca="false">IF(C1825="","",IFERROR(MATCH(Q1825,'CARNET DE SOUDURE'!$AW$7:$AW$3006,0),""))</f>
        <v>1819</v>
      </c>
      <c r="Q1825" s="82" t="str">
        <f aca="false">IF(C1825="","",B1825&amp;"|"&amp;C1825)</f>
        <v>MFD-ISW → MFD-CPF|DJ°018</v>
      </c>
    </row>
    <row r="1826" customFormat="false" ht="74.6" hidden="false" customHeight="false" outlineLevel="0" collapsed="false">
      <c r="A1826" s="82" t="n">
        <f aca="false">IF(C1826="","",ROW()-6)</f>
        <v>1820</v>
      </c>
      <c r="B1826" s="80" t="s">
        <v>110</v>
      </c>
      <c r="C1826" s="113" t="s">
        <v>2225</v>
      </c>
      <c r="D1826" s="82" t="str">
        <f aca="false">IF(OR(C1826="",P1826=""),"",INDEX('CARNET DE SOUDURE'!$D$7:$D$3006,P1826)&amp;"")</f>
        <v>16</v>
      </c>
      <c r="E1826" s="114" t="n">
        <f aca="false">IF(OR(C1826="",P1826=""),"",IF(INDEX('CARNET DE SOUDURE'!$U$7:$U$3006,P1826)="","",INDEX('CARNET DE SOUDURE'!$U$7:$U$3006,P1826)))</f>
        <v>46268</v>
      </c>
      <c r="F1826" s="82" t="str">
        <f aca="false">IF(OR(C1826="",P1826=""),"",INDEX('CARNET DE SOUDURE'!$AP$7:$AP$3006,P1826))</f>
        <v>A</v>
      </c>
      <c r="G1826" s="82" t="str">
        <f aca="false">IF(C1826="","",IF(P1826="","NJ INCONNU",INDEX('CARNET DE SOUDURE'!$AQ$7:$AQ$3006,P1826)))</f>
        <v>ACCEPTÉ</v>
      </c>
      <c r="H1826" s="82" t="str">
        <f aca="false">IF(C1826="","",IF(G1826="ACCEPTÉ","OUI","NON"))</f>
        <v>OUI</v>
      </c>
      <c r="I1826" s="83"/>
      <c r="J1826" s="80"/>
      <c r="K1826" s="81"/>
      <c r="L1826" s="81"/>
      <c r="M1826" s="81"/>
      <c r="N1826" s="84" t="str">
        <f aca="false">IF(C1826="","",IF(P1826="","NJ INCONNU",IF(I1826="",IF(H1826="OUI","À ENROBER",IF(G1826="À SOUDER","NON SOUDÉ","EN ATTENTE RT")),IF(L1826="R","À REPRENDRE",IF(H1826&lt;&gt;"OUI","⚠ ENROBÉ AVANT ACCEPTATION RT","ENROBÉ")))))</f>
        <v>À ENROBER</v>
      </c>
      <c r="O1826" s="80"/>
      <c r="P1826" s="82" t="n">
        <f aca="false">IF(C1826="","",IFERROR(MATCH(Q1826,'CARNET DE SOUDURE'!$AW$7:$AW$3006,0),""))</f>
        <v>1820</v>
      </c>
      <c r="Q1826" s="82" t="str">
        <f aca="false">IF(C1826="","",B1826&amp;"|"&amp;C1826)</f>
        <v>MFD-ISW → MFD-CPF|JN°1428</v>
      </c>
    </row>
    <row r="1827" customFormat="false" ht="74.6" hidden="false" customHeight="false" outlineLevel="0" collapsed="false">
      <c r="A1827" s="82" t="n">
        <f aca="false">IF(C1827="","",ROW()-6)</f>
        <v>1821</v>
      </c>
      <c r="B1827" s="80" t="s">
        <v>110</v>
      </c>
      <c r="C1827" s="113" t="s">
        <v>2226</v>
      </c>
      <c r="D1827" s="82" t="str">
        <f aca="false">IF(OR(C1827="",P1827=""),"",INDEX('CARNET DE SOUDURE'!$D$7:$D$3006,P1827)&amp;"")</f>
        <v>16</v>
      </c>
      <c r="E1827" s="114" t="n">
        <f aca="false">IF(OR(C1827="",P1827=""),"",IF(INDEX('CARNET DE SOUDURE'!$U$7:$U$3006,P1827)="","",INDEX('CARNET DE SOUDURE'!$U$7:$U$3006,P1827)))</f>
        <v>46250</v>
      </c>
      <c r="F1827" s="82" t="str">
        <f aca="false">IF(OR(C1827="",P1827=""),"",INDEX('CARNET DE SOUDURE'!$AP$7:$AP$3006,P1827))</f>
        <v>A</v>
      </c>
      <c r="G1827" s="82" t="str">
        <f aca="false">IF(C1827="","",IF(P1827="","NJ INCONNU",INDEX('CARNET DE SOUDURE'!$AQ$7:$AQ$3006,P1827)))</f>
        <v>ACCEPTÉ</v>
      </c>
      <c r="H1827" s="82" t="str">
        <f aca="false">IF(C1827="","",IF(G1827="ACCEPTÉ","OUI","NON"))</f>
        <v>OUI</v>
      </c>
      <c r="I1827" s="83"/>
      <c r="J1827" s="80"/>
      <c r="K1827" s="81"/>
      <c r="L1827" s="81"/>
      <c r="M1827" s="81"/>
      <c r="N1827" s="84" t="str">
        <f aca="false">IF(C1827="","",IF(P1827="","NJ INCONNU",IF(I1827="",IF(H1827="OUI","À ENROBER",IF(G1827="À SOUDER","NON SOUDÉ","EN ATTENTE RT")),IF(L1827="R","À REPRENDRE",IF(H1827&lt;&gt;"OUI","⚠ ENROBÉ AVANT ACCEPTATION RT","ENROBÉ")))))</f>
        <v>À ENROBER</v>
      </c>
      <c r="O1827" s="80"/>
      <c r="P1827" s="82" t="n">
        <f aca="false">IF(C1827="","",IFERROR(MATCH(Q1827,'CARNET DE SOUDURE'!$AW$7:$AW$3006,0),""))</f>
        <v>1821</v>
      </c>
      <c r="Q1827" s="82" t="str">
        <f aca="false">IF(C1827="","",B1827&amp;"|"&amp;C1827)</f>
        <v>MFD-ISW → MFD-CPF|DJ°027</v>
      </c>
    </row>
    <row r="1828" customFormat="false" ht="74.6" hidden="false" customHeight="false" outlineLevel="0" collapsed="false">
      <c r="A1828" s="82" t="n">
        <f aca="false">IF(C1828="","",ROW()-6)</f>
        <v>1822</v>
      </c>
      <c r="B1828" s="80" t="s">
        <v>110</v>
      </c>
      <c r="C1828" s="113" t="s">
        <v>2227</v>
      </c>
      <c r="D1828" s="82" t="str">
        <f aca="false">IF(OR(C1828="",P1828=""),"",INDEX('CARNET DE SOUDURE'!$D$7:$D$3006,P1828)&amp;"")</f>
        <v>16</v>
      </c>
      <c r="E1828" s="114" t="n">
        <f aca="false">IF(OR(C1828="",P1828=""),"",IF(INDEX('CARNET DE SOUDURE'!$U$7:$U$3006,P1828)="","",INDEX('CARNET DE SOUDURE'!$U$7:$U$3006,P1828)))</f>
        <v>46268</v>
      </c>
      <c r="F1828" s="82" t="str">
        <f aca="false">IF(OR(C1828="",P1828=""),"",INDEX('CARNET DE SOUDURE'!$AP$7:$AP$3006,P1828))</f>
        <v>A</v>
      </c>
      <c r="G1828" s="82" t="str">
        <f aca="false">IF(C1828="","",IF(P1828="","NJ INCONNU",INDEX('CARNET DE SOUDURE'!$AQ$7:$AQ$3006,P1828)))</f>
        <v>ACCEPTÉ</v>
      </c>
      <c r="H1828" s="82" t="str">
        <f aca="false">IF(C1828="","",IF(G1828="ACCEPTÉ","OUI","NON"))</f>
        <v>OUI</v>
      </c>
      <c r="I1828" s="83"/>
      <c r="J1828" s="80"/>
      <c r="K1828" s="81"/>
      <c r="L1828" s="81"/>
      <c r="M1828" s="81"/>
      <c r="N1828" s="84" t="str">
        <f aca="false">IF(C1828="","",IF(P1828="","NJ INCONNU",IF(I1828="",IF(H1828="OUI","À ENROBER",IF(G1828="À SOUDER","NON SOUDÉ","EN ATTENTE RT")),IF(L1828="R","À REPRENDRE",IF(H1828&lt;&gt;"OUI","⚠ ENROBÉ AVANT ACCEPTATION RT","ENROBÉ")))))</f>
        <v>À ENROBER</v>
      </c>
      <c r="O1828" s="80"/>
      <c r="P1828" s="82" t="n">
        <f aca="false">IF(C1828="","",IFERROR(MATCH(Q1828,'CARNET DE SOUDURE'!$AW$7:$AW$3006,0),""))</f>
        <v>1822</v>
      </c>
      <c r="Q1828" s="82" t="str">
        <f aca="false">IF(C1828="","",B1828&amp;"|"&amp;C1828)</f>
        <v>MFD-ISW → MFD-CPF|JN°1429</v>
      </c>
    </row>
    <row r="1829" customFormat="false" ht="74.6" hidden="false" customHeight="false" outlineLevel="0" collapsed="false">
      <c r="A1829" s="82" t="n">
        <f aca="false">IF(C1829="","",ROW()-6)</f>
        <v>1823</v>
      </c>
      <c r="B1829" s="80" t="s">
        <v>110</v>
      </c>
      <c r="C1829" s="113" t="s">
        <v>2228</v>
      </c>
      <c r="D1829" s="82" t="str">
        <f aca="false">IF(OR(C1829="",P1829=""),"",INDEX('CARNET DE SOUDURE'!$D$7:$D$3006,P1829)&amp;"")</f>
        <v>16</v>
      </c>
      <c r="E1829" s="114" t="n">
        <f aca="false">IF(OR(C1829="",P1829=""),"",IF(INDEX('CARNET DE SOUDURE'!$U$7:$U$3006,P1829)="","",INDEX('CARNET DE SOUDURE'!$U$7:$U$3006,P1829)))</f>
        <v>46249</v>
      </c>
      <c r="F1829" s="82" t="str">
        <f aca="false">IF(OR(C1829="",P1829=""),"",INDEX('CARNET DE SOUDURE'!$AP$7:$AP$3006,P1829))</f>
        <v>A</v>
      </c>
      <c r="G1829" s="82" t="str">
        <f aca="false">IF(C1829="","",IF(P1829="","NJ INCONNU",INDEX('CARNET DE SOUDURE'!$AQ$7:$AQ$3006,P1829)))</f>
        <v>ACCEPTÉ</v>
      </c>
      <c r="H1829" s="82" t="str">
        <f aca="false">IF(C1829="","",IF(G1829="ACCEPTÉ","OUI","NON"))</f>
        <v>OUI</v>
      </c>
      <c r="I1829" s="83"/>
      <c r="J1829" s="80"/>
      <c r="K1829" s="81"/>
      <c r="L1829" s="81"/>
      <c r="M1829" s="81"/>
      <c r="N1829" s="84" t="str">
        <f aca="false">IF(C1829="","",IF(P1829="","NJ INCONNU",IF(I1829="",IF(H1829="OUI","À ENROBER",IF(G1829="À SOUDER","NON SOUDÉ","EN ATTENTE RT")),IF(L1829="R","À REPRENDRE",IF(H1829&lt;&gt;"OUI","⚠ ENROBÉ AVANT ACCEPTATION RT","ENROBÉ")))))</f>
        <v>À ENROBER</v>
      </c>
      <c r="O1829" s="80"/>
      <c r="P1829" s="82" t="n">
        <f aca="false">IF(C1829="","",IFERROR(MATCH(Q1829,'CARNET DE SOUDURE'!$AW$7:$AW$3006,0),""))</f>
        <v>1823</v>
      </c>
      <c r="Q1829" s="82" t="str">
        <f aca="false">IF(C1829="","",B1829&amp;"|"&amp;C1829)</f>
        <v>MFD-ISW → MFD-CPF|DJ°013</v>
      </c>
    </row>
    <row r="1830" customFormat="false" ht="74.6" hidden="false" customHeight="false" outlineLevel="0" collapsed="false">
      <c r="A1830" s="82" t="n">
        <f aca="false">IF(C1830="","",ROW()-6)</f>
        <v>1824</v>
      </c>
      <c r="B1830" s="80" t="s">
        <v>110</v>
      </c>
      <c r="C1830" s="113" t="s">
        <v>2229</v>
      </c>
      <c r="D1830" s="82" t="str">
        <f aca="false">IF(OR(C1830="",P1830=""),"",INDEX('CARNET DE SOUDURE'!$D$7:$D$3006,P1830)&amp;"")</f>
        <v>17</v>
      </c>
      <c r="E1830" s="114" t="n">
        <f aca="false">IF(OR(C1830="",P1830=""),"",IF(INDEX('CARNET DE SOUDURE'!$U$7:$U$3006,P1830)="","",INDEX('CARNET DE SOUDURE'!$U$7:$U$3006,P1830)))</f>
        <v>46268</v>
      </c>
      <c r="F1830" s="82" t="str">
        <f aca="false">IF(OR(C1830="",P1830=""),"",INDEX('CARNET DE SOUDURE'!$AP$7:$AP$3006,P1830))</f>
        <v>A</v>
      </c>
      <c r="G1830" s="82" t="str">
        <f aca="false">IF(C1830="","",IF(P1830="","NJ INCONNU",INDEX('CARNET DE SOUDURE'!$AQ$7:$AQ$3006,P1830)))</f>
        <v>ACCEPTÉ</v>
      </c>
      <c r="H1830" s="82" t="str">
        <f aca="false">IF(C1830="","",IF(G1830="ACCEPTÉ","OUI","NON"))</f>
        <v>OUI</v>
      </c>
      <c r="I1830" s="83"/>
      <c r="J1830" s="80"/>
      <c r="K1830" s="81"/>
      <c r="L1830" s="81"/>
      <c r="M1830" s="81"/>
      <c r="N1830" s="84" t="str">
        <f aca="false">IF(C1830="","",IF(P1830="","NJ INCONNU",IF(I1830="",IF(H1830="OUI","À ENROBER",IF(G1830="À SOUDER","NON SOUDÉ","EN ATTENTE RT")),IF(L1830="R","À REPRENDRE",IF(H1830&lt;&gt;"OUI","⚠ ENROBÉ AVANT ACCEPTATION RT","ENROBÉ")))))</f>
        <v>À ENROBER</v>
      </c>
      <c r="O1830" s="80"/>
      <c r="P1830" s="82" t="n">
        <f aca="false">IF(C1830="","",IFERROR(MATCH(Q1830,'CARNET DE SOUDURE'!$AW$7:$AW$3006,0),""))</f>
        <v>1824</v>
      </c>
      <c r="Q1830" s="82" t="str">
        <f aca="false">IF(C1830="","",B1830&amp;"|"&amp;C1830)</f>
        <v>MFD-ISW → MFD-CPF|JN°1430</v>
      </c>
    </row>
    <row r="1831" customFormat="false" ht="74.6" hidden="false" customHeight="false" outlineLevel="0" collapsed="false">
      <c r="A1831" s="82" t="n">
        <f aca="false">IF(C1831="","",ROW()-6)</f>
        <v>1825</v>
      </c>
      <c r="B1831" s="80" t="s">
        <v>110</v>
      </c>
      <c r="C1831" s="113" t="s">
        <v>2230</v>
      </c>
      <c r="D1831" s="82" t="str">
        <f aca="false">IF(OR(C1831="",P1831=""),"",INDEX('CARNET DE SOUDURE'!$D$7:$D$3006,P1831)&amp;"")</f>
        <v>17</v>
      </c>
      <c r="E1831" s="114" t="n">
        <f aca="false">IF(OR(C1831="",P1831=""),"",IF(INDEX('CARNET DE SOUDURE'!$U$7:$U$3006,P1831)="","",INDEX('CARNET DE SOUDURE'!$U$7:$U$3006,P1831)))</f>
        <v>46250</v>
      </c>
      <c r="F1831" s="82" t="str">
        <f aca="false">IF(OR(C1831="",P1831=""),"",INDEX('CARNET DE SOUDURE'!$AP$7:$AP$3006,P1831))</f>
        <v>A</v>
      </c>
      <c r="G1831" s="82" t="str">
        <f aca="false">IF(C1831="","",IF(P1831="","NJ INCONNU",INDEX('CARNET DE SOUDURE'!$AQ$7:$AQ$3006,P1831)))</f>
        <v>ACCEPTÉ</v>
      </c>
      <c r="H1831" s="82" t="str">
        <f aca="false">IF(C1831="","",IF(G1831="ACCEPTÉ","OUI","NON"))</f>
        <v>OUI</v>
      </c>
      <c r="I1831" s="83"/>
      <c r="J1831" s="80"/>
      <c r="K1831" s="81"/>
      <c r="L1831" s="81"/>
      <c r="M1831" s="81"/>
      <c r="N1831" s="84" t="str">
        <f aca="false">IF(C1831="","",IF(P1831="","NJ INCONNU",IF(I1831="",IF(H1831="OUI","À ENROBER",IF(G1831="À SOUDER","NON SOUDÉ","EN ATTENTE RT")),IF(L1831="R","À REPRENDRE",IF(H1831&lt;&gt;"OUI","⚠ ENROBÉ AVANT ACCEPTATION RT","ENROBÉ")))))</f>
        <v>À ENROBER</v>
      </c>
      <c r="O1831" s="80"/>
      <c r="P1831" s="82" t="n">
        <f aca="false">IF(C1831="","",IFERROR(MATCH(Q1831,'CARNET DE SOUDURE'!$AW$7:$AW$3006,0),""))</f>
        <v>1825</v>
      </c>
      <c r="Q1831" s="82" t="str">
        <f aca="false">IF(C1831="","",B1831&amp;"|"&amp;C1831)</f>
        <v>MFD-ISW → MFD-CPF|DJ°020</v>
      </c>
    </row>
    <row r="1832" customFormat="false" ht="74.6" hidden="false" customHeight="false" outlineLevel="0" collapsed="false">
      <c r="A1832" s="82" t="n">
        <f aca="false">IF(C1832="","",ROW()-6)</f>
        <v>1826</v>
      </c>
      <c r="B1832" s="80" t="s">
        <v>110</v>
      </c>
      <c r="C1832" s="113" t="s">
        <v>2231</v>
      </c>
      <c r="D1832" s="82" t="str">
        <f aca="false">IF(OR(C1832="",P1832=""),"",INDEX('CARNET DE SOUDURE'!$D$7:$D$3006,P1832)&amp;"")</f>
        <v>17</v>
      </c>
      <c r="E1832" s="114" t="n">
        <f aca="false">IF(OR(C1832="",P1832=""),"",IF(INDEX('CARNET DE SOUDURE'!$U$7:$U$3006,P1832)="","",INDEX('CARNET DE SOUDURE'!$U$7:$U$3006,P1832)))</f>
        <v>46268</v>
      </c>
      <c r="F1832" s="82" t="str">
        <f aca="false">IF(OR(C1832="",P1832=""),"",INDEX('CARNET DE SOUDURE'!$AP$7:$AP$3006,P1832))</f>
        <v>A</v>
      </c>
      <c r="G1832" s="82" t="str">
        <f aca="false">IF(C1832="","",IF(P1832="","NJ INCONNU",INDEX('CARNET DE SOUDURE'!$AQ$7:$AQ$3006,P1832)))</f>
        <v>ACCEPTÉ</v>
      </c>
      <c r="H1832" s="82" t="str">
        <f aca="false">IF(C1832="","",IF(G1832="ACCEPTÉ","OUI","NON"))</f>
        <v>OUI</v>
      </c>
      <c r="I1832" s="83"/>
      <c r="J1832" s="80"/>
      <c r="K1832" s="81"/>
      <c r="L1832" s="81"/>
      <c r="M1832" s="81"/>
      <c r="N1832" s="84" t="str">
        <f aca="false">IF(C1832="","",IF(P1832="","NJ INCONNU",IF(I1832="",IF(H1832="OUI","À ENROBER",IF(G1832="À SOUDER","NON SOUDÉ","EN ATTENTE RT")),IF(L1832="R","À REPRENDRE",IF(H1832&lt;&gt;"OUI","⚠ ENROBÉ AVANT ACCEPTATION RT","ENROBÉ")))))</f>
        <v>À ENROBER</v>
      </c>
      <c r="O1832" s="80"/>
      <c r="P1832" s="82" t="n">
        <f aca="false">IF(C1832="","",IFERROR(MATCH(Q1832,'CARNET DE SOUDURE'!$AW$7:$AW$3006,0),""))</f>
        <v>1826</v>
      </c>
      <c r="Q1832" s="82" t="str">
        <f aca="false">IF(C1832="","",B1832&amp;"|"&amp;C1832)</f>
        <v>MFD-ISW → MFD-CPF|JN°1431</v>
      </c>
    </row>
    <row r="1833" customFormat="false" ht="74.6" hidden="false" customHeight="false" outlineLevel="0" collapsed="false">
      <c r="A1833" s="82" t="n">
        <f aca="false">IF(C1833="","",ROW()-6)</f>
        <v>1827</v>
      </c>
      <c r="B1833" s="80" t="s">
        <v>110</v>
      </c>
      <c r="C1833" s="113" t="s">
        <v>2232</v>
      </c>
      <c r="D1833" s="82" t="str">
        <f aca="false">IF(OR(C1833="",P1833=""),"",INDEX('CARNET DE SOUDURE'!$D$7:$D$3006,P1833)&amp;"")</f>
        <v>17</v>
      </c>
      <c r="E1833" s="114" t="n">
        <f aca="false">IF(OR(C1833="",P1833=""),"",IF(INDEX('CARNET DE SOUDURE'!$U$7:$U$3006,P1833)="","",INDEX('CARNET DE SOUDURE'!$U$7:$U$3006,P1833)))</f>
        <v>46249</v>
      </c>
      <c r="F1833" s="82" t="str">
        <f aca="false">IF(OR(C1833="",P1833=""),"",INDEX('CARNET DE SOUDURE'!$AP$7:$AP$3006,P1833))</f>
        <v>A</v>
      </c>
      <c r="G1833" s="82" t="str">
        <f aca="false">IF(C1833="","",IF(P1833="","NJ INCONNU",INDEX('CARNET DE SOUDURE'!$AQ$7:$AQ$3006,P1833)))</f>
        <v>ACCEPTÉ</v>
      </c>
      <c r="H1833" s="82" t="str">
        <f aca="false">IF(C1833="","",IF(G1833="ACCEPTÉ","OUI","NON"))</f>
        <v>OUI</v>
      </c>
      <c r="I1833" s="83"/>
      <c r="J1833" s="80"/>
      <c r="K1833" s="81"/>
      <c r="L1833" s="81"/>
      <c r="M1833" s="81"/>
      <c r="N1833" s="84" t="str">
        <f aca="false">IF(C1833="","",IF(P1833="","NJ INCONNU",IF(I1833="",IF(H1833="OUI","À ENROBER",IF(G1833="À SOUDER","NON SOUDÉ","EN ATTENTE RT")),IF(L1833="R","À REPRENDRE",IF(H1833&lt;&gt;"OUI","⚠ ENROBÉ AVANT ACCEPTATION RT","ENROBÉ")))))</f>
        <v>À ENROBER</v>
      </c>
      <c r="O1833" s="80"/>
      <c r="P1833" s="82" t="n">
        <f aca="false">IF(C1833="","",IFERROR(MATCH(Q1833,'CARNET DE SOUDURE'!$AW$7:$AW$3006,0),""))</f>
        <v>1827</v>
      </c>
      <c r="Q1833" s="82" t="str">
        <f aca="false">IF(C1833="","",B1833&amp;"|"&amp;C1833)</f>
        <v>MFD-ISW → MFD-CPF|DJ°009</v>
      </c>
    </row>
    <row r="1834" customFormat="false" ht="74.6" hidden="false" customHeight="false" outlineLevel="0" collapsed="false">
      <c r="A1834" s="82" t="n">
        <f aca="false">IF(C1834="","",ROW()-6)</f>
        <v>1828</v>
      </c>
      <c r="B1834" s="80" t="s">
        <v>110</v>
      </c>
      <c r="C1834" s="113" t="s">
        <v>2233</v>
      </c>
      <c r="D1834" s="82" t="str">
        <f aca="false">IF(OR(C1834="",P1834=""),"",INDEX('CARNET DE SOUDURE'!$D$7:$D$3006,P1834)&amp;"")</f>
        <v>17</v>
      </c>
      <c r="E1834" s="114" t="n">
        <f aca="false">IF(OR(C1834="",P1834=""),"",IF(INDEX('CARNET DE SOUDURE'!$U$7:$U$3006,P1834)="","",INDEX('CARNET DE SOUDURE'!$U$7:$U$3006,P1834)))</f>
        <v>46268</v>
      </c>
      <c r="F1834" s="82" t="str">
        <f aca="false">IF(OR(C1834="",P1834=""),"",INDEX('CARNET DE SOUDURE'!$AP$7:$AP$3006,P1834))</f>
        <v>A</v>
      </c>
      <c r="G1834" s="82" t="str">
        <f aca="false">IF(C1834="","",IF(P1834="","NJ INCONNU",INDEX('CARNET DE SOUDURE'!$AQ$7:$AQ$3006,P1834)))</f>
        <v>ACCEPTÉ</v>
      </c>
      <c r="H1834" s="82" t="str">
        <f aca="false">IF(C1834="","",IF(G1834="ACCEPTÉ","OUI","NON"))</f>
        <v>OUI</v>
      </c>
      <c r="I1834" s="83"/>
      <c r="J1834" s="80"/>
      <c r="K1834" s="81"/>
      <c r="L1834" s="81"/>
      <c r="M1834" s="81"/>
      <c r="N1834" s="84" t="str">
        <f aca="false">IF(C1834="","",IF(P1834="","NJ INCONNU",IF(I1834="",IF(H1834="OUI","À ENROBER",IF(G1834="À SOUDER","NON SOUDÉ","EN ATTENTE RT")),IF(L1834="R","À REPRENDRE",IF(H1834&lt;&gt;"OUI","⚠ ENROBÉ AVANT ACCEPTATION RT","ENROBÉ")))))</f>
        <v>À ENROBER</v>
      </c>
      <c r="O1834" s="80"/>
      <c r="P1834" s="82" t="n">
        <f aca="false">IF(C1834="","",IFERROR(MATCH(Q1834,'CARNET DE SOUDURE'!$AW$7:$AW$3006,0),""))</f>
        <v>1828</v>
      </c>
      <c r="Q1834" s="82" t="str">
        <f aca="false">IF(C1834="","",B1834&amp;"|"&amp;C1834)</f>
        <v>MFD-ISW → MFD-CPF|JN°1432</v>
      </c>
    </row>
    <row r="1835" customFormat="false" ht="74.6" hidden="false" customHeight="false" outlineLevel="0" collapsed="false">
      <c r="A1835" s="82" t="n">
        <f aca="false">IF(C1835="","",ROW()-6)</f>
        <v>1829</v>
      </c>
      <c r="B1835" s="80" t="s">
        <v>110</v>
      </c>
      <c r="C1835" s="113" t="s">
        <v>2234</v>
      </c>
      <c r="D1835" s="82" t="str">
        <f aca="false">IF(OR(C1835="",P1835=""),"",INDEX('CARNET DE SOUDURE'!$D$7:$D$3006,P1835)&amp;"")</f>
        <v>17</v>
      </c>
      <c r="E1835" s="114" t="n">
        <f aca="false">IF(OR(C1835="",P1835=""),"",IF(INDEX('CARNET DE SOUDURE'!$U$7:$U$3006,P1835)="","",INDEX('CARNET DE SOUDURE'!$U$7:$U$3006,P1835)))</f>
        <v>46249</v>
      </c>
      <c r="F1835" s="82" t="str">
        <f aca="false">IF(OR(C1835="",P1835=""),"",INDEX('CARNET DE SOUDURE'!$AP$7:$AP$3006,P1835))</f>
        <v>A</v>
      </c>
      <c r="G1835" s="82" t="str">
        <f aca="false">IF(C1835="","",IF(P1835="","NJ INCONNU",INDEX('CARNET DE SOUDURE'!$AQ$7:$AQ$3006,P1835)))</f>
        <v>ACCEPTÉ</v>
      </c>
      <c r="H1835" s="82" t="str">
        <f aca="false">IF(C1835="","",IF(G1835="ACCEPTÉ","OUI","NON"))</f>
        <v>OUI</v>
      </c>
      <c r="I1835" s="83"/>
      <c r="J1835" s="80"/>
      <c r="K1835" s="81"/>
      <c r="L1835" s="81"/>
      <c r="M1835" s="81"/>
      <c r="N1835" s="84" t="str">
        <f aca="false">IF(C1835="","",IF(P1835="","NJ INCONNU",IF(I1835="",IF(H1835="OUI","À ENROBER",IF(G1835="À SOUDER","NON SOUDÉ","EN ATTENTE RT")),IF(L1835="R","À REPRENDRE",IF(H1835&lt;&gt;"OUI","⚠ ENROBÉ AVANT ACCEPTATION RT","ENROBÉ")))))</f>
        <v>À ENROBER</v>
      </c>
      <c r="O1835" s="80"/>
      <c r="P1835" s="82" t="n">
        <f aca="false">IF(C1835="","",IFERROR(MATCH(Q1835,'CARNET DE SOUDURE'!$AW$7:$AW$3006,0),""))</f>
        <v>1829</v>
      </c>
      <c r="Q1835" s="82" t="str">
        <f aca="false">IF(C1835="","",B1835&amp;"|"&amp;C1835)</f>
        <v>MFD-ISW → MFD-CPF|DJ°008</v>
      </c>
    </row>
    <row r="1836" customFormat="false" ht="74.6" hidden="false" customHeight="false" outlineLevel="0" collapsed="false">
      <c r="A1836" s="82" t="n">
        <f aca="false">IF(C1836="","",ROW()-6)</f>
        <v>1830</v>
      </c>
      <c r="B1836" s="80" t="s">
        <v>110</v>
      </c>
      <c r="C1836" s="113" t="s">
        <v>2235</v>
      </c>
      <c r="D1836" s="82" t="str">
        <f aca="false">IF(OR(C1836="",P1836=""),"",INDEX('CARNET DE SOUDURE'!$D$7:$D$3006,P1836)&amp;"")</f>
        <v>17</v>
      </c>
      <c r="E1836" s="114" t="n">
        <f aca="false">IF(OR(C1836="",P1836=""),"",IF(INDEX('CARNET DE SOUDURE'!$U$7:$U$3006,P1836)="","",INDEX('CARNET DE SOUDURE'!$U$7:$U$3006,P1836)))</f>
        <v>46268</v>
      </c>
      <c r="F1836" s="82" t="str">
        <f aca="false">IF(OR(C1836="",P1836=""),"",INDEX('CARNET DE SOUDURE'!$AP$7:$AP$3006,P1836))</f>
        <v>A</v>
      </c>
      <c r="G1836" s="82" t="str">
        <f aca="false">IF(C1836="","",IF(P1836="","NJ INCONNU",INDEX('CARNET DE SOUDURE'!$AQ$7:$AQ$3006,P1836)))</f>
        <v>ACCEPTÉ</v>
      </c>
      <c r="H1836" s="82" t="str">
        <f aca="false">IF(C1836="","",IF(G1836="ACCEPTÉ","OUI","NON"))</f>
        <v>OUI</v>
      </c>
      <c r="I1836" s="83"/>
      <c r="J1836" s="80"/>
      <c r="K1836" s="81"/>
      <c r="L1836" s="81"/>
      <c r="M1836" s="81"/>
      <c r="N1836" s="84" t="str">
        <f aca="false">IF(C1836="","",IF(P1836="","NJ INCONNU",IF(I1836="",IF(H1836="OUI","À ENROBER",IF(G1836="À SOUDER","NON SOUDÉ","EN ATTENTE RT")),IF(L1836="R","À REPRENDRE",IF(H1836&lt;&gt;"OUI","⚠ ENROBÉ AVANT ACCEPTATION RT","ENROBÉ")))))</f>
        <v>À ENROBER</v>
      </c>
      <c r="O1836" s="80"/>
      <c r="P1836" s="82" t="n">
        <f aca="false">IF(C1836="","",IFERROR(MATCH(Q1836,'CARNET DE SOUDURE'!$AW$7:$AW$3006,0),""))</f>
        <v>1830</v>
      </c>
      <c r="Q1836" s="82" t="str">
        <f aca="false">IF(C1836="","",B1836&amp;"|"&amp;C1836)</f>
        <v>MFD-ISW → MFD-CPF|JN°1433</v>
      </c>
    </row>
    <row r="1837" customFormat="false" ht="74.6" hidden="false" customHeight="false" outlineLevel="0" collapsed="false">
      <c r="A1837" s="82" t="n">
        <f aca="false">IF(C1837="","",ROW()-6)</f>
        <v>1831</v>
      </c>
      <c r="B1837" s="80" t="s">
        <v>110</v>
      </c>
      <c r="C1837" s="113" t="s">
        <v>2236</v>
      </c>
      <c r="D1837" s="82" t="str">
        <f aca="false">IF(OR(C1837="",P1837=""),"",INDEX('CARNET DE SOUDURE'!$D$7:$D$3006,P1837)&amp;"")</f>
        <v>17</v>
      </c>
      <c r="E1837" s="114" t="n">
        <f aca="false">IF(OR(C1837="",P1837=""),"",IF(INDEX('CARNET DE SOUDURE'!$U$7:$U$3006,P1837)="","",INDEX('CARNET DE SOUDURE'!$U$7:$U$3006,P1837)))</f>
        <v>46256</v>
      </c>
      <c r="F1837" s="82" t="str">
        <f aca="false">IF(OR(C1837="",P1837=""),"",INDEX('CARNET DE SOUDURE'!$AP$7:$AP$3006,P1837))</f>
        <v>A</v>
      </c>
      <c r="G1837" s="82" t="str">
        <f aca="false">IF(C1837="","",IF(P1837="","NJ INCONNU",INDEX('CARNET DE SOUDURE'!$AQ$7:$AQ$3006,P1837)))</f>
        <v>ACCEPTÉ</v>
      </c>
      <c r="H1837" s="82" t="str">
        <f aca="false">IF(C1837="","",IF(G1837="ACCEPTÉ","OUI","NON"))</f>
        <v>OUI</v>
      </c>
      <c r="I1837" s="83"/>
      <c r="J1837" s="80"/>
      <c r="K1837" s="81"/>
      <c r="L1837" s="81"/>
      <c r="M1837" s="81"/>
      <c r="N1837" s="84" t="str">
        <f aca="false">IF(C1837="","",IF(P1837="","NJ INCONNU",IF(I1837="",IF(H1837="OUI","À ENROBER",IF(G1837="À SOUDER","NON SOUDÉ","EN ATTENTE RT")),IF(L1837="R","À REPRENDRE",IF(H1837&lt;&gt;"OUI","⚠ ENROBÉ AVANT ACCEPTATION RT","ENROBÉ")))))</f>
        <v>À ENROBER</v>
      </c>
      <c r="O1837" s="80"/>
      <c r="P1837" s="82" t="n">
        <f aca="false">IF(C1837="","",IFERROR(MATCH(Q1837,'CARNET DE SOUDURE'!$AW$7:$AW$3006,0),""))</f>
        <v>1831</v>
      </c>
      <c r="Q1837" s="82" t="str">
        <f aca="false">IF(C1837="","",B1837&amp;"|"&amp;C1837)</f>
        <v>MFD-ISW → MFD-CPF|DJ°088</v>
      </c>
    </row>
    <row r="1838" customFormat="false" ht="74.6" hidden="false" customHeight="false" outlineLevel="0" collapsed="false">
      <c r="A1838" s="82" t="n">
        <f aca="false">IF(C1838="","",ROW()-6)</f>
        <v>1832</v>
      </c>
      <c r="B1838" s="80" t="s">
        <v>110</v>
      </c>
      <c r="C1838" s="113" t="s">
        <v>2237</v>
      </c>
      <c r="D1838" s="82" t="str">
        <f aca="false">IF(OR(C1838="",P1838=""),"",INDEX('CARNET DE SOUDURE'!$D$7:$D$3006,P1838)&amp;"")</f>
        <v>17</v>
      </c>
      <c r="E1838" s="114" t="n">
        <f aca="false">IF(OR(C1838="",P1838=""),"",IF(INDEX('CARNET DE SOUDURE'!$U$7:$U$3006,P1838)="","",INDEX('CARNET DE SOUDURE'!$U$7:$U$3006,P1838)))</f>
        <v>46270</v>
      </c>
      <c r="F1838" s="82" t="str">
        <f aca="false">IF(OR(C1838="",P1838=""),"",INDEX('CARNET DE SOUDURE'!$AP$7:$AP$3006,P1838))</f>
        <v>A</v>
      </c>
      <c r="G1838" s="82" t="str">
        <f aca="false">IF(C1838="","",IF(P1838="","NJ INCONNU",INDEX('CARNET DE SOUDURE'!$AQ$7:$AQ$3006,P1838)))</f>
        <v>ACCEPTÉ</v>
      </c>
      <c r="H1838" s="82" t="str">
        <f aca="false">IF(C1838="","",IF(G1838="ACCEPTÉ","OUI","NON"))</f>
        <v>OUI</v>
      </c>
      <c r="I1838" s="83"/>
      <c r="J1838" s="80"/>
      <c r="K1838" s="81"/>
      <c r="L1838" s="81"/>
      <c r="M1838" s="81"/>
      <c r="N1838" s="84" t="str">
        <f aca="false">IF(C1838="","",IF(P1838="","NJ INCONNU",IF(I1838="",IF(H1838="OUI","À ENROBER",IF(G1838="À SOUDER","NON SOUDÉ","EN ATTENTE RT")),IF(L1838="R","À REPRENDRE",IF(H1838&lt;&gt;"OUI","⚠ ENROBÉ AVANT ACCEPTATION RT","ENROBÉ")))))</f>
        <v>À ENROBER</v>
      </c>
      <c r="O1838" s="80"/>
      <c r="P1838" s="82" t="n">
        <f aca="false">IF(C1838="","",IFERROR(MATCH(Q1838,'CARNET DE SOUDURE'!$AW$7:$AW$3006,0),""))</f>
        <v>1832</v>
      </c>
      <c r="Q1838" s="82" t="str">
        <f aca="false">IF(C1838="","",B1838&amp;"|"&amp;C1838)</f>
        <v>MFD-ISW → MFD-CPF|JN°1434</v>
      </c>
    </row>
    <row r="1839" customFormat="false" ht="74.6" hidden="false" customHeight="false" outlineLevel="0" collapsed="false">
      <c r="A1839" s="82" t="n">
        <f aca="false">IF(C1839="","",ROW()-6)</f>
        <v>1833</v>
      </c>
      <c r="B1839" s="80" t="s">
        <v>110</v>
      </c>
      <c r="C1839" s="113" t="s">
        <v>2239</v>
      </c>
      <c r="D1839" s="82" t="str">
        <f aca="false">IF(OR(C1839="",P1839=""),"",INDEX('CARNET DE SOUDURE'!$D$7:$D$3006,P1839)&amp;"")</f>
        <v>17</v>
      </c>
      <c r="E1839" s="114" t="n">
        <f aca="false">IF(OR(C1839="",P1839=""),"",IF(INDEX('CARNET DE SOUDURE'!$U$7:$U$3006,P1839)="","",INDEX('CARNET DE SOUDURE'!$U$7:$U$3006,P1839)))</f>
        <v>46253</v>
      </c>
      <c r="F1839" s="82" t="str">
        <f aca="false">IF(OR(C1839="",P1839=""),"",INDEX('CARNET DE SOUDURE'!$AP$7:$AP$3006,P1839))</f>
        <v>A</v>
      </c>
      <c r="G1839" s="82" t="str">
        <f aca="false">IF(C1839="","",IF(P1839="","NJ INCONNU",INDEX('CARNET DE SOUDURE'!$AQ$7:$AQ$3006,P1839)))</f>
        <v>ACCEPTÉ</v>
      </c>
      <c r="H1839" s="82" t="str">
        <f aca="false">IF(C1839="","",IF(G1839="ACCEPTÉ","OUI","NON"))</f>
        <v>OUI</v>
      </c>
      <c r="I1839" s="83"/>
      <c r="J1839" s="80"/>
      <c r="K1839" s="81"/>
      <c r="L1839" s="81"/>
      <c r="M1839" s="81"/>
      <c r="N1839" s="84" t="str">
        <f aca="false">IF(C1839="","",IF(P1839="","NJ INCONNU",IF(I1839="",IF(H1839="OUI","À ENROBER",IF(G1839="À SOUDER","NON SOUDÉ","EN ATTENTE RT")),IF(L1839="R","À REPRENDRE",IF(H1839&lt;&gt;"OUI","⚠ ENROBÉ AVANT ACCEPTATION RT","ENROBÉ")))))</f>
        <v>À ENROBER</v>
      </c>
      <c r="O1839" s="80"/>
      <c r="P1839" s="82" t="n">
        <f aca="false">IF(C1839="","",IFERROR(MATCH(Q1839,'CARNET DE SOUDURE'!$AW$7:$AW$3006,0),""))</f>
        <v>1833</v>
      </c>
      <c r="Q1839" s="82" t="str">
        <f aca="false">IF(C1839="","",B1839&amp;"|"&amp;C1839)</f>
        <v>MFD-ISW → MFD-CPF|DJ°051</v>
      </c>
    </row>
    <row r="1840" customFormat="false" ht="74.6" hidden="false" customHeight="false" outlineLevel="0" collapsed="false">
      <c r="A1840" s="82" t="n">
        <f aca="false">IF(C1840="","",ROW()-6)</f>
        <v>1834</v>
      </c>
      <c r="B1840" s="80" t="s">
        <v>110</v>
      </c>
      <c r="C1840" s="113" t="s">
        <v>2241</v>
      </c>
      <c r="D1840" s="82" t="str">
        <f aca="false">IF(OR(C1840="",P1840=""),"",INDEX('CARNET DE SOUDURE'!$D$7:$D$3006,P1840)&amp;"")</f>
        <v>17</v>
      </c>
      <c r="E1840" s="114" t="n">
        <f aca="false">IF(OR(C1840="",P1840=""),"",IF(INDEX('CARNET DE SOUDURE'!$U$7:$U$3006,P1840)="","",INDEX('CARNET DE SOUDURE'!$U$7:$U$3006,P1840)))</f>
        <v>46270</v>
      </c>
      <c r="F1840" s="82" t="str">
        <f aca="false">IF(OR(C1840="",P1840=""),"",INDEX('CARNET DE SOUDURE'!$AP$7:$AP$3006,P1840))</f>
        <v>A</v>
      </c>
      <c r="G1840" s="82" t="str">
        <f aca="false">IF(C1840="","",IF(P1840="","NJ INCONNU",INDEX('CARNET DE SOUDURE'!$AQ$7:$AQ$3006,P1840)))</f>
        <v>ACCEPTÉ</v>
      </c>
      <c r="H1840" s="82" t="str">
        <f aca="false">IF(C1840="","",IF(G1840="ACCEPTÉ","OUI","NON"))</f>
        <v>OUI</v>
      </c>
      <c r="I1840" s="83"/>
      <c r="J1840" s="80"/>
      <c r="K1840" s="81"/>
      <c r="L1840" s="81"/>
      <c r="M1840" s="81"/>
      <c r="N1840" s="84" t="str">
        <f aca="false">IF(C1840="","",IF(P1840="","NJ INCONNU",IF(I1840="",IF(H1840="OUI","À ENROBER",IF(G1840="À SOUDER","NON SOUDÉ","EN ATTENTE RT")),IF(L1840="R","À REPRENDRE",IF(H1840&lt;&gt;"OUI","⚠ ENROBÉ AVANT ACCEPTATION RT","ENROBÉ")))))</f>
        <v>À ENROBER</v>
      </c>
      <c r="O1840" s="80"/>
      <c r="P1840" s="82" t="n">
        <f aca="false">IF(C1840="","",IFERROR(MATCH(Q1840,'CARNET DE SOUDURE'!$AW$7:$AW$3006,0),""))</f>
        <v>1834</v>
      </c>
      <c r="Q1840" s="82" t="str">
        <f aca="false">IF(C1840="","",B1840&amp;"|"&amp;C1840)</f>
        <v>MFD-ISW → MFD-CPF|JN°1435</v>
      </c>
    </row>
    <row r="1841" customFormat="false" ht="74.6" hidden="false" customHeight="false" outlineLevel="0" collapsed="false">
      <c r="A1841" s="82" t="n">
        <f aca="false">IF(C1841="","",ROW()-6)</f>
        <v>1835</v>
      </c>
      <c r="B1841" s="80" t="s">
        <v>110</v>
      </c>
      <c r="C1841" s="113" t="s">
        <v>2242</v>
      </c>
      <c r="D1841" s="82" t="str">
        <f aca="false">IF(OR(C1841="",P1841=""),"",INDEX('CARNET DE SOUDURE'!$D$7:$D$3006,P1841)&amp;"")</f>
        <v>17</v>
      </c>
      <c r="E1841" s="114" t="n">
        <f aca="false">IF(OR(C1841="",P1841=""),"",IF(INDEX('CARNET DE SOUDURE'!$U$7:$U$3006,P1841)="","",INDEX('CARNET DE SOUDURE'!$U$7:$U$3006,P1841)))</f>
        <v>46248</v>
      </c>
      <c r="F1841" s="82" t="str">
        <f aca="false">IF(OR(C1841="",P1841=""),"",INDEX('CARNET DE SOUDURE'!$AP$7:$AP$3006,P1841))</f>
        <v>A</v>
      </c>
      <c r="G1841" s="82" t="str">
        <f aca="false">IF(C1841="","",IF(P1841="","NJ INCONNU",INDEX('CARNET DE SOUDURE'!$AQ$7:$AQ$3006,P1841)))</f>
        <v>ACCEPTÉ</v>
      </c>
      <c r="H1841" s="82" t="str">
        <f aca="false">IF(C1841="","",IF(G1841="ACCEPTÉ","OUI","NON"))</f>
        <v>OUI</v>
      </c>
      <c r="I1841" s="83"/>
      <c r="J1841" s="80"/>
      <c r="K1841" s="81"/>
      <c r="L1841" s="81"/>
      <c r="M1841" s="81"/>
      <c r="N1841" s="84" t="str">
        <f aca="false">IF(C1841="","",IF(P1841="","NJ INCONNU",IF(I1841="",IF(H1841="OUI","À ENROBER",IF(G1841="À SOUDER","NON SOUDÉ","EN ATTENTE RT")),IF(L1841="R","À REPRENDRE",IF(H1841&lt;&gt;"OUI","⚠ ENROBÉ AVANT ACCEPTATION RT","ENROBÉ")))))</f>
        <v>À ENROBER</v>
      </c>
      <c r="O1841" s="80"/>
      <c r="P1841" s="82" t="n">
        <f aca="false">IF(C1841="","",IFERROR(MATCH(Q1841,'CARNET DE SOUDURE'!$AW$7:$AW$3006,0),""))</f>
        <v>1835</v>
      </c>
      <c r="Q1841" s="82" t="str">
        <f aca="false">IF(C1841="","",B1841&amp;"|"&amp;C1841)</f>
        <v>MFD-ISW → MFD-CPF|DJ°004</v>
      </c>
    </row>
    <row r="1842" customFormat="false" ht="74.6" hidden="false" customHeight="false" outlineLevel="0" collapsed="false">
      <c r="A1842" s="82" t="n">
        <f aca="false">IF(C1842="","",ROW()-6)</f>
        <v>1836</v>
      </c>
      <c r="B1842" s="80" t="s">
        <v>110</v>
      </c>
      <c r="C1842" s="113" t="s">
        <v>2245</v>
      </c>
      <c r="D1842" s="82" t="str">
        <f aca="false">IF(OR(C1842="",P1842=""),"",INDEX('CARNET DE SOUDURE'!$D$7:$D$3006,P1842)&amp;"")</f>
        <v>17</v>
      </c>
      <c r="E1842" s="114" t="n">
        <f aca="false">IF(OR(C1842="",P1842=""),"",IF(INDEX('CARNET DE SOUDURE'!$U$7:$U$3006,P1842)="","",INDEX('CARNET DE SOUDURE'!$U$7:$U$3006,P1842)))</f>
        <v>46270</v>
      </c>
      <c r="F1842" s="82" t="str">
        <f aca="false">IF(OR(C1842="",P1842=""),"",INDEX('CARNET DE SOUDURE'!$AP$7:$AP$3006,P1842))</f>
        <v>A</v>
      </c>
      <c r="G1842" s="82" t="str">
        <f aca="false">IF(C1842="","",IF(P1842="","NJ INCONNU",INDEX('CARNET DE SOUDURE'!$AQ$7:$AQ$3006,P1842)))</f>
        <v>ACCEPTÉ</v>
      </c>
      <c r="H1842" s="82" t="str">
        <f aca="false">IF(C1842="","",IF(G1842="ACCEPTÉ","OUI","NON"))</f>
        <v>OUI</v>
      </c>
      <c r="I1842" s="83"/>
      <c r="J1842" s="80"/>
      <c r="K1842" s="81"/>
      <c r="L1842" s="81"/>
      <c r="M1842" s="81"/>
      <c r="N1842" s="84" t="str">
        <f aca="false">IF(C1842="","",IF(P1842="","NJ INCONNU",IF(I1842="",IF(H1842="OUI","À ENROBER",IF(G1842="À SOUDER","NON SOUDÉ","EN ATTENTE RT")),IF(L1842="R","À REPRENDRE",IF(H1842&lt;&gt;"OUI","⚠ ENROBÉ AVANT ACCEPTATION RT","ENROBÉ")))))</f>
        <v>À ENROBER</v>
      </c>
      <c r="O1842" s="80"/>
      <c r="P1842" s="82" t="n">
        <f aca="false">IF(C1842="","",IFERROR(MATCH(Q1842,'CARNET DE SOUDURE'!$AW$7:$AW$3006,0),""))</f>
        <v>1836</v>
      </c>
      <c r="Q1842" s="82" t="str">
        <f aca="false">IF(C1842="","",B1842&amp;"|"&amp;C1842)</f>
        <v>MFD-ISW → MFD-CPF|JN°1436</v>
      </c>
    </row>
    <row r="1843" customFormat="false" ht="74.6" hidden="false" customHeight="false" outlineLevel="0" collapsed="false">
      <c r="A1843" s="82" t="n">
        <f aca="false">IF(C1843="","",ROW()-6)</f>
        <v>1837</v>
      </c>
      <c r="B1843" s="80" t="s">
        <v>110</v>
      </c>
      <c r="C1843" s="113" t="s">
        <v>2247</v>
      </c>
      <c r="D1843" s="82" t="str">
        <f aca="false">IF(OR(C1843="",P1843=""),"",INDEX('CARNET DE SOUDURE'!$D$7:$D$3006,P1843)&amp;"")</f>
        <v>17</v>
      </c>
      <c r="E1843" s="114" t="n">
        <f aca="false">IF(OR(C1843="",P1843=""),"",IF(INDEX('CARNET DE SOUDURE'!$U$7:$U$3006,P1843)="","",INDEX('CARNET DE SOUDURE'!$U$7:$U$3006,P1843)))</f>
        <v>46250</v>
      </c>
      <c r="F1843" s="82" t="str">
        <f aca="false">IF(OR(C1843="",P1843=""),"",INDEX('CARNET DE SOUDURE'!$AP$7:$AP$3006,P1843))</f>
        <v>A</v>
      </c>
      <c r="G1843" s="82" t="str">
        <f aca="false">IF(C1843="","",IF(P1843="","NJ INCONNU",INDEX('CARNET DE SOUDURE'!$AQ$7:$AQ$3006,P1843)))</f>
        <v>ACCEPTÉ</v>
      </c>
      <c r="H1843" s="82" t="str">
        <f aca="false">IF(C1843="","",IF(G1843="ACCEPTÉ","OUI","NON"))</f>
        <v>OUI</v>
      </c>
      <c r="I1843" s="83"/>
      <c r="J1843" s="80"/>
      <c r="K1843" s="81"/>
      <c r="L1843" s="81"/>
      <c r="M1843" s="81"/>
      <c r="N1843" s="84" t="str">
        <f aca="false">IF(C1843="","",IF(P1843="","NJ INCONNU",IF(I1843="",IF(H1843="OUI","À ENROBER",IF(G1843="À SOUDER","NON SOUDÉ","EN ATTENTE RT")),IF(L1843="R","À REPRENDRE",IF(H1843&lt;&gt;"OUI","⚠ ENROBÉ AVANT ACCEPTATION RT","ENROBÉ")))))</f>
        <v>À ENROBER</v>
      </c>
      <c r="O1843" s="80"/>
      <c r="P1843" s="82" t="n">
        <f aca="false">IF(C1843="","",IFERROR(MATCH(Q1843,'CARNET DE SOUDURE'!$AW$7:$AW$3006,0),""))</f>
        <v>1837</v>
      </c>
      <c r="Q1843" s="82" t="str">
        <f aca="false">IF(C1843="","",B1843&amp;"|"&amp;C1843)</f>
        <v>MFD-ISW → MFD-CPF|DJ°026</v>
      </c>
    </row>
    <row r="1844" customFormat="false" ht="74.6" hidden="false" customHeight="false" outlineLevel="0" collapsed="false">
      <c r="A1844" s="82" t="n">
        <f aca="false">IF(C1844="","",ROW()-6)</f>
        <v>1838</v>
      </c>
      <c r="B1844" s="80" t="s">
        <v>110</v>
      </c>
      <c r="C1844" s="113" t="s">
        <v>2248</v>
      </c>
      <c r="D1844" s="82" t="str">
        <f aca="false">IF(OR(C1844="",P1844=""),"",INDEX('CARNET DE SOUDURE'!$D$7:$D$3006,P1844)&amp;"")</f>
        <v>17</v>
      </c>
      <c r="E1844" s="114" t="n">
        <f aca="false">IF(OR(C1844="",P1844=""),"",IF(INDEX('CARNET DE SOUDURE'!$U$7:$U$3006,P1844)="","",INDEX('CARNET DE SOUDURE'!$U$7:$U$3006,P1844)))</f>
        <v>46289</v>
      </c>
      <c r="F1844" s="82" t="str">
        <f aca="false">IF(OR(C1844="",P1844=""),"",INDEX('CARNET DE SOUDURE'!$AP$7:$AP$3006,P1844))</f>
        <v/>
      </c>
      <c r="G1844" s="82" t="str">
        <f aca="false">IF(C1844="","",IF(P1844="","NJ INCONNU",INDEX('CARNET DE SOUDURE'!$AQ$7:$AQ$3006,P1844)))</f>
        <v>À RADIOGRAPHIER</v>
      </c>
      <c r="H1844" s="82" t="str">
        <f aca="false">IF(C1844="","",IF(G1844="ACCEPTÉ","OUI","NON"))</f>
        <v>NON</v>
      </c>
      <c r="I1844" s="83"/>
      <c r="J1844" s="80"/>
      <c r="K1844" s="81"/>
      <c r="L1844" s="81"/>
      <c r="M1844" s="81"/>
      <c r="N1844" s="84" t="str">
        <f aca="false">IF(C1844="","",IF(P1844="","NJ INCONNU",IF(I1844="",IF(H1844="OUI","À ENROBER",IF(G1844="À SOUDER","NON SOUDÉ","EN ATTENTE RT")),IF(L1844="R","À REPRENDRE",IF(H1844&lt;&gt;"OUI","⚠ ENROBÉ AVANT ACCEPTATION RT","ENROBÉ")))))</f>
        <v>EN ATTENTE RT</v>
      </c>
      <c r="O1844" s="80"/>
      <c r="P1844" s="82" t="n">
        <f aca="false">IF(C1844="","",IFERROR(MATCH(Q1844,'CARNET DE SOUDURE'!$AW$7:$AW$3006,0),""))</f>
        <v>1838</v>
      </c>
      <c r="Q1844" s="82" t="str">
        <f aca="false">IF(C1844="","",B1844&amp;"|"&amp;C1844)</f>
        <v>MFD-ISW → MFD-CPF|JN°1437R</v>
      </c>
    </row>
    <row r="1845" customFormat="false" ht="74.6" hidden="false" customHeight="false" outlineLevel="0" collapsed="false">
      <c r="A1845" s="82" t="n">
        <f aca="false">IF(C1845="","",ROW()-6)</f>
        <v>1839</v>
      </c>
      <c r="B1845" s="80" t="s">
        <v>110</v>
      </c>
      <c r="C1845" s="113" t="s">
        <v>2250</v>
      </c>
      <c r="D1845" s="82" t="str">
        <f aca="false">IF(OR(C1845="",P1845=""),"",INDEX('CARNET DE SOUDURE'!$D$7:$D$3006,P1845)&amp;"")</f>
        <v>17</v>
      </c>
      <c r="E1845" s="114" t="n">
        <f aca="false">IF(OR(C1845="",P1845=""),"",IF(INDEX('CARNET DE SOUDURE'!$U$7:$U$3006,P1845)="","",INDEX('CARNET DE SOUDURE'!$U$7:$U$3006,P1845)))</f>
        <v>46250</v>
      </c>
      <c r="F1845" s="82" t="str">
        <f aca="false">IF(OR(C1845="",P1845=""),"",INDEX('CARNET DE SOUDURE'!$AP$7:$AP$3006,P1845))</f>
        <v>A</v>
      </c>
      <c r="G1845" s="82" t="str">
        <f aca="false">IF(C1845="","",IF(P1845="","NJ INCONNU",INDEX('CARNET DE SOUDURE'!$AQ$7:$AQ$3006,P1845)))</f>
        <v>ACCEPTÉ</v>
      </c>
      <c r="H1845" s="82" t="str">
        <f aca="false">IF(C1845="","",IF(G1845="ACCEPTÉ","OUI","NON"))</f>
        <v>OUI</v>
      </c>
      <c r="I1845" s="83"/>
      <c r="J1845" s="80"/>
      <c r="K1845" s="81"/>
      <c r="L1845" s="81"/>
      <c r="M1845" s="81"/>
      <c r="N1845" s="84" t="str">
        <f aca="false">IF(C1845="","",IF(P1845="","NJ INCONNU",IF(I1845="",IF(H1845="OUI","À ENROBER",IF(G1845="À SOUDER","NON SOUDÉ","EN ATTENTE RT")),IF(L1845="R","À REPRENDRE",IF(H1845&lt;&gt;"OUI","⚠ ENROBÉ AVANT ACCEPTATION RT","ENROBÉ")))))</f>
        <v>À ENROBER</v>
      </c>
      <c r="O1845" s="80"/>
      <c r="P1845" s="82" t="n">
        <f aca="false">IF(C1845="","",IFERROR(MATCH(Q1845,'CARNET DE SOUDURE'!$AW$7:$AW$3006,0),""))</f>
        <v>1839</v>
      </c>
      <c r="Q1845" s="82" t="str">
        <f aca="false">IF(C1845="","",B1845&amp;"|"&amp;C1845)</f>
        <v>MFD-ISW → MFD-CPF|DJ°021</v>
      </c>
    </row>
    <row r="1846" customFormat="false" ht="74.6" hidden="false" customHeight="false" outlineLevel="0" collapsed="false">
      <c r="A1846" s="82" t="n">
        <f aca="false">IF(C1846="","",ROW()-6)</f>
        <v>1840</v>
      </c>
      <c r="B1846" s="80" t="s">
        <v>110</v>
      </c>
      <c r="C1846" s="113" t="s">
        <v>2251</v>
      </c>
      <c r="D1846" s="82" t="str">
        <f aca="false">IF(OR(C1846="",P1846=""),"",INDEX('CARNET DE SOUDURE'!$D$7:$D$3006,P1846)&amp;"")</f>
        <v>17</v>
      </c>
      <c r="E1846" s="114" t="str">
        <f aca="false">IF(OR(C1846="",P1846=""),"",IF(INDEX('CARNET DE SOUDURE'!$U$7:$U$3006,P1846)="","",INDEX('CARNET DE SOUDURE'!$U$7:$U$3006,P1846)))</f>
        <v/>
      </c>
      <c r="F1846" s="82" t="str">
        <f aca="false">IF(OR(C1846="",P1846=""),"",INDEX('CARNET DE SOUDURE'!$AP$7:$AP$3006,P1846))</f>
        <v/>
      </c>
      <c r="G1846" s="82" t="str">
        <f aca="false">IF(C1846="","",IF(P1846="","NJ INCONNU",INDEX('CARNET DE SOUDURE'!$AQ$7:$AQ$3006,P1846)))</f>
        <v>À SOUDER</v>
      </c>
      <c r="H1846" s="82" t="str">
        <f aca="false">IF(C1846="","",IF(G1846="ACCEPTÉ","OUI","NON"))</f>
        <v>NON</v>
      </c>
      <c r="I1846" s="83"/>
      <c r="J1846" s="80"/>
      <c r="K1846" s="81"/>
      <c r="L1846" s="81"/>
      <c r="M1846" s="81"/>
      <c r="N1846" s="84" t="str">
        <f aca="false">IF(C1846="","",IF(P1846="","NJ INCONNU",IF(I1846="",IF(H1846="OUI","À ENROBER",IF(G1846="À SOUDER","NON SOUDÉ","EN ATTENTE RT")),IF(L1846="R","À REPRENDRE",IF(H1846&lt;&gt;"OUI","⚠ ENROBÉ AVANT ACCEPTATION RT","ENROBÉ")))))</f>
        <v>NON SOUDÉ</v>
      </c>
      <c r="O1846" s="80"/>
      <c r="P1846" s="82" t="n">
        <f aca="false">IF(C1846="","",IFERROR(MATCH(Q1846,'CARNET DE SOUDURE'!$AW$7:$AW$3006,0),""))</f>
        <v>1840</v>
      </c>
      <c r="Q1846" s="82" t="str">
        <f aca="false">IF(C1846="","",B1846&amp;"|"&amp;C1846)</f>
        <v>MFD-ISW → MFD-CPF|JN°1438</v>
      </c>
    </row>
    <row r="1847" customFormat="false" ht="74.6" hidden="false" customHeight="false" outlineLevel="0" collapsed="false">
      <c r="A1847" s="82" t="n">
        <f aca="false">IF(C1847="","",ROW()-6)</f>
        <v>1841</v>
      </c>
      <c r="B1847" s="80" t="s">
        <v>110</v>
      </c>
      <c r="C1847" s="113" t="s">
        <v>2252</v>
      </c>
      <c r="D1847" s="82" t="str">
        <f aca="false">IF(OR(C1847="",P1847=""),"",INDEX('CARNET DE SOUDURE'!$D$7:$D$3006,P1847)&amp;"")</f>
        <v>17</v>
      </c>
      <c r="E1847" s="114" t="str">
        <f aca="false">IF(OR(C1847="",P1847=""),"",IF(INDEX('CARNET DE SOUDURE'!$U$7:$U$3006,P1847)="","",INDEX('CARNET DE SOUDURE'!$U$7:$U$3006,P1847)))</f>
        <v/>
      </c>
      <c r="F1847" s="82" t="str">
        <f aca="false">IF(OR(C1847="",P1847=""),"",INDEX('CARNET DE SOUDURE'!$AP$7:$AP$3006,P1847))</f>
        <v/>
      </c>
      <c r="G1847" s="82" t="str">
        <f aca="false">IF(C1847="","",IF(P1847="","NJ INCONNU",INDEX('CARNET DE SOUDURE'!$AQ$7:$AQ$3006,P1847)))</f>
        <v>À SOUDER</v>
      </c>
      <c r="H1847" s="82" t="str">
        <f aca="false">IF(C1847="","",IF(G1847="ACCEPTÉ","OUI","NON"))</f>
        <v>NON</v>
      </c>
      <c r="I1847" s="83"/>
      <c r="J1847" s="80"/>
      <c r="K1847" s="81"/>
      <c r="L1847" s="81"/>
      <c r="M1847" s="81"/>
      <c r="N1847" s="84" t="str">
        <f aca="false">IF(C1847="","",IF(P1847="","NJ INCONNU",IF(I1847="",IF(H1847="OUI","À ENROBER",IF(G1847="À SOUDER","NON SOUDÉ","EN ATTENTE RT")),IF(L1847="R","À REPRENDRE",IF(H1847&lt;&gt;"OUI","⚠ ENROBÉ AVANT ACCEPTATION RT","ENROBÉ")))))</f>
        <v>NON SOUDÉ</v>
      </c>
      <c r="O1847" s="80"/>
      <c r="P1847" s="82" t="n">
        <f aca="false">IF(C1847="","",IFERROR(MATCH(Q1847,'CARNET DE SOUDURE'!$AW$7:$AW$3006,0),""))</f>
        <v>1841</v>
      </c>
      <c r="Q1847" s="82" t="str">
        <f aca="false">IF(C1847="","",B1847&amp;"|"&amp;C1847)</f>
        <v>MFD-ISW → MFD-CPF|JN°1439</v>
      </c>
    </row>
    <row r="1848" customFormat="false" ht="74.6" hidden="false" customHeight="false" outlineLevel="0" collapsed="false">
      <c r="A1848" s="82" t="n">
        <f aca="false">IF(C1848="","",ROW()-6)</f>
        <v>1842</v>
      </c>
      <c r="B1848" s="80" t="s">
        <v>110</v>
      </c>
      <c r="C1848" s="113" t="s">
        <v>2253</v>
      </c>
      <c r="D1848" s="82" t="str">
        <f aca="false">IF(OR(C1848="",P1848=""),"",INDEX('CARNET DE SOUDURE'!$D$7:$D$3006,P1848)&amp;"")</f>
        <v>17</v>
      </c>
      <c r="E1848" s="114" t="str">
        <f aca="false">IF(OR(C1848="",P1848=""),"",IF(INDEX('CARNET DE SOUDURE'!$U$7:$U$3006,P1848)="","",INDEX('CARNET DE SOUDURE'!$U$7:$U$3006,P1848)))</f>
        <v/>
      </c>
      <c r="F1848" s="82" t="str">
        <f aca="false">IF(OR(C1848="",P1848=""),"",INDEX('CARNET DE SOUDURE'!$AP$7:$AP$3006,P1848))</f>
        <v/>
      </c>
      <c r="G1848" s="82" t="str">
        <f aca="false">IF(C1848="","",IF(P1848="","NJ INCONNU",INDEX('CARNET DE SOUDURE'!$AQ$7:$AQ$3006,P1848)))</f>
        <v>À SOUDER</v>
      </c>
      <c r="H1848" s="82" t="str">
        <f aca="false">IF(C1848="","",IF(G1848="ACCEPTÉ","OUI","NON"))</f>
        <v>NON</v>
      </c>
      <c r="I1848" s="83"/>
      <c r="J1848" s="80"/>
      <c r="K1848" s="81"/>
      <c r="L1848" s="81"/>
      <c r="M1848" s="81"/>
      <c r="N1848" s="84" t="str">
        <f aca="false">IF(C1848="","",IF(P1848="","NJ INCONNU",IF(I1848="",IF(H1848="OUI","À ENROBER",IF(G1848="À SOUDER","NON SOUDÉ","EN ATTENTE RT")),IF(L1848="R","À REPRENDRE",IF(H1848&lt;&gt;"OUI","⚠ ENROBÉ AVANT ACCEPTATION RT","ENROBÉ")))))</f>
        <v>NON SOUDÉ</v>
      </c>
      <c r="O1848" s="80"/>
      <c r="P1848" s="82" t="n">
        <f aca="false">IF(C1848="","",IFERROR(MATCH(Q1848,'CARNET DE SOUDURE'!$AW$7:$AW$3006,0),""))</f>
        <v>1842</v>
      </c>
      <c r="Q1848" s="82" t="str">
        <f aca="false">IF(C1848="","",B1848&amp;"|"&amp;C1848)</f>
        <v>MFD-ISW → MFD-CPF|JN°1440</v>
      </c>
    </row>
    <row r="1849" customFormat="false" ht="74.6" hidden="false" customHeight="false" outlineLevel="0" collapsed="false">
      <c r="A1849" s="82" t="n">
        <f aca="false">IF(C1849="","",ROW()-6)</f>
        <v>1843</v>
      </c>
      <c r="B1849" s="80" t="s">
        <v>110</v>
      </c>
      <c r="C1849" s="113" t="s">
        <v>2254</v>
      </c>
      <c r="D1849" s="82" t="str">
        <f aca="false">IF(OR(C1849="",P1849=""),"",INDEX('CARNET DE SOUDURE'!$D$7:$D$3006,P1849)&amp;"")</f>
        <v>17</v>
      </c>
      <c r="E1849" s="114" t="str">
        <f aca="false">IF(OR(C1849="",P1849=""),"",IF(INDEX('CARNET DE SOUDURE'!$U$7:$U$3006,P1849)="","",INDEX('CARNET DE SOUDURE'!$U$7:$U$3006,P1849)))</f>
        <v/>
      </c>
      <c r="F1849" s="82" t="str">
        <f aca="false">IF(OR(C1849="",P1849=""),"",INDEX('CARNET DE SOUDURE'!$AP$7:$AP$3006,P1849))</f>
        <v/>
      </c>
      <c r="G1849" s="82" t="str">
        <f aca="false">IF(C1849="","",IF(P1849="","NJ INCONNU",INDEX('CARNET DE SOUDURE'!$AQ$7:$AQ$3006,P1849)))</f>
        <v>À SOUDER</v>
      </c>
      <c r="H1849" s="82" t="str">
        <f aca="false">IF(C1849="","",IF(G1849="ACCEPTÉ","OUI","NON"))</f>
        <v>NON</v>
      </c>
      <c r="I1849" s="83"/>
      <c r="J1849" s="80"/>
      <c r="K1849" s="81"/>
      <c r="L1849" s="81"/>
      <c r="M1849" s="81"/>
      <c r="N1849" s="84" t="str">
        <f aca="false">IF(C1849="","",IF(P1849="","NJ INCONNU",IF(I1849="",IF(H1849="OUI","À ENROBER",IF(G1849="À SOUDER","NON SOUDÉ","EN ATTENTE RT")),IF(L1849="R","À REPRENDRE",IF(H1849&lt;&gt;"OUI","⚠ ENROBÉ AVANT ACCEPTATION RT","ENROBÉ")))))</f>
        <v>NON SOUDÉ</v>
      </c>
      <c r="O1849" s="80"/>
      <c r="P1849" s="82" t="n">
        <f aca="false">IF(C1849="","",IFERROR(MATCH(Q1849,'CARNET DE SOUDURE'!$AW$7:$AW$3006,0),""))</f>
        <v>1843</v>
      </c>
      <c r="Q1849" s="82" t="str">
        <f aca="false">IF(C1849="","",B1849&amp;"|"&amp;C1849)</f>
        <v>MFD-ISW → MFD-CPF|JN°1441</v>
      </c>
    </row>
    <row r="1850" customFormat="false" ht="74.6" hidden="false" customHeight="false" outlineLevel="0" collapsed="false">
      <c r="A1850" s="82" t="n">
        <f aca="false">IF(C1850="","",ROW()-6)</f>
        <v>1844</v>
      </c>
      <c r="B1850" s="80" t="s">
        <v>110</v>
      </c>
      <c r="C1850" s="113" t="s">
        <v>2255</v>
      </c>
      <c r="D1850" s="82" t="str">
        <f aca="false">IF(OR(C1850="",P1850=""),"",INDEX('CARNET DE SOUDURE'!$D$7:$D$3006,P1850)&amp;"")</f>
        <v>17</v>
      </c>
      <c r="E1850" s="114" t="str">
        <f aca="false">IF(OR(C1850="",P1850=""),"",IF(INDEX('CARNET DE SOUDURE'!$U$7:$U$3006,P1850)="","",INDEX('CARNET DE SOUDURE'!$U$7:$U$3006,P1850)))</f>
        <v/>
      </c>
      <c r="F1850" s="82" t="str">
        <f aca="false">IF(OR(C1850="",P1850=""),"",INDEX('CARNET DE SOUDURE'!$AP$7:$AP$3006,P1850))</f>
        <v/>
      </c>
      <c r="G1850" s="82" t="str">
        <f aca="false">IF(C1850="","",IF(P1850="","NJ INCONNU",INDEX('CARNET DE SOUDURE'!$AQ$7:$AQ$3006,P1850)))</f>
        <v>À SOUDER</v>
      </c>
      <c r="H1850" s="82" t="str">
        <f aca="false">IF(C1850="","",IF(G1850="ACCEPTÉ","OUI","NON"))</f>
        <v>NON</v>
      </c>
      <c r="I1850" s="83"/>
      <c r="J1850" s="80"/>
      <c r="K1850" s="81"/>
      <c r="L1850" s="81"/>
      <c r="M1850" s="81"/>
      <c r="N1850" s="84" t="str">
        <f aca="false">IF(C1850="","",IF(P1850="","NJ INCONNU",IF(I1850="",IF(H1850="OUI","À ENROBER",IF(G1850="À SOUDER","NON SOUDÉ","EN ATTENTE RT")),IF(L1850="R","À REPRENDRE",IF(H1850&lt;&gt;"OUI","⚠ ENROBÉ AVANT ACCEPTATION RT","ENROBÉ")))))</f>
        <v>NON SOUDÉ</v>
      </c>
      <c r="O1850" s="80"/>
      <c r="P1850" s="82" t="n">
        <f aca="false">IF(C1850="","",IFERROR(MATCH(Q1850,'CARNET DE SOUDURE'!$AW$7:$AW$3006,0),""))</f>
        <v>1844</v>
      </c>
      <c r="Q1850" s="82" t="str">
        <f aca="false">IF(C1850="","",B1850&amp;"|"&amp;C1850)</f>
        <v>MFD-ISW → MFD-CPF|JN°1442</v>
      </c>
    </row>
    <row r="1851" customFormat="false" ht="74.6" hidden="false" customHeight="false" outlineLevel="0" collapsed="false">
      <c r="A1851" s="82" t="n">
        <f aca="false">IF(C1851="","",ROW()-6)</f>
        <v>1845</v>
      </c>
      <c r="B1851" s="80" t="s">
        <v>110</v>
      </c>
      <c r="C1851" s="113" t="s">
        <v>2256</v>
      </c>
      <c r="D1851" s="82" t="str">
        <f aca="false">IF(OR(C1851="",P1851=""),"",INDEX('CARNET DE SOUDURE'!$D$7:$D$3006,P1851)&amp;"")</f>
        <v>17</v>
      </c>
      <c r="E1851" s="114" t="str">
        <f aca="false">IF(OR(C1851="",P1851=""),"",IF(INDEX('CARNET DE SOUDURE'!$U$7:$U$3006,P1851)="","",INDEX('CARNET DE SOUDURE'!$U$7:$U$3006,P1851)))</f>
        <v/>
      </c>
      <c r="F1851" s="82" t="str">
        <f aca="false">IF(OR(C1851="",P1851=""),"",INDEX('CARNET DE SOUDURE'!$AP$7:$AP$3006,P1851))</f>
        <v/>
      </c>
      <c r="G1851" s="82" t="str">
        <f aca="false">IF(C1851="","",IF(P1851="","NJ INCONNU",INDEX('CARNET DE SOUDURE'!$AQ$7:$AQ$3006,P1851)))</f>
        <v>À SOUDER</v>
      </c>
      <c r="H1851" s="82" t="str">
        <f aca="false">IF(C1851="","",IF(G1851="ACCEPTÉ","OUI","NON"))</f>
        <v>NON</v>
      </c>
      <c r="I1851" s="83"/>
      <c r="J1851" s="80"/>
      <c r="K1851" s="81"/>
      <c r="L1851" s="81"/>
      <c r="M1851" s="81"/>
      <c r="N1851" s="84" t="str">
        <f aca="false">IF(C1851="","",IF(P1851="","NJ INCONNU",IF(I1851="",IF(H1851="OUI","À ENROBER",IF(G1851="À SOUDER","NON SOUDÉ","EN ATTENTE RT")),IF(L1851="R","À REPRENDRE",IF(H1851&lt;&gt;"OUI","⚠ ENROBÉ AVANT ACCEPTATION RT","ENROBÉ")))))</f>
        <v>NON SOUDÉ</v>
      </c>
      <c r="O1851" s="80"/>
      <c r="P1851" s="82" t="n">
        <f aca="false">IF(C1851="","",IFERROR(MATCH(Q1851,'CARNET DE SOUDURE'!$AW$7:$AW$3006,0),""))</f>
        <v>1845</v>
      </c>
      <c r="Q1851" s="82" t="str">
        <f aca="false">IF(C1851="","",B1851&amp;"|"&amp;C1851)</f>
        <v>MFD-ISW → MFD-CPF|JN°1443</v>
      </c>
    </row>
    <row r="1852" customFormat="false" ht="74.6" hidden="false" customHeight="false" outlineLevel="0" collapsed="false">
      <c r="A1852" s="82" t="n">
        <f aca="false">IF(C1852="","",ROW()-6)</f>
        <v>1846</v>
      </c>
      <c r="B1852" s="80" t="s">
        <v>110</v>
      </c>
      <c r="C1852" s="113" t="s">
        <v>2257</v>
      </c>
      <c r="D1852" s="82" t="str">
        <f aca="false">IF(OR(C1852="",P1852=""),"",INDEX('CARNET DE SOUDURE'!$D$7:$D$3006,P1852)&amp;"")</f>
        <v>17</v>
      </c>
      <c r="E1852" s="114" t="str">
        <f aca="false">IF(OR(C1852="",P1852=""),"",IF(INDEX('CARNET DE SOUDURE'!$U$7:$U$3006,P1852)="","",INDEX('CARNET DE SOUDURE'!$U$7:$U$3006,P1852)))</f>
        <v/>
      </c>
      <c r="F1852" s="82" t="str">
        <f aca="false">IF(OR(C1852="",P1852=""),"",INDEX('CARNET DE SOUDURE'!$AP$7:$AP$3006,P1852))</f>
        <v/>
      </c>
      <c r="G1852" s="82" t="str">
        <f aca="false">IF(C1852="","",IF(P1852="","NJ INCONNU",INDEX('CARNET DE SOUDURE'!$AQ$7:$AQ$3006,P1852)))</f>
        <v>À SOUDER</v>
      </c>
      <c r="H1852" s="82" t="str">
        <f aca="false">IF(C1852="","",IF(G1852="ACCEPTÉ","OUI","NON"))</f>
        <v>NON</v>
      </c>
      <c r="I1852" s="83"/>
      <c r="J1852" s="80"/>
      <c r="K1852" s="81"/>
      <c r="L1852" s="81"/>
      <c r="M1852" s="81"/>
      <c r="N1852" s="84" t="str">
        <f aca="false">IF(C1852="","",IF(P1852="","NJ INCONNU",IF(I1852="",IF(H1852="OUI","À ENROBER",IF(G1852="À SOUDER","NON SOUDÉ","EN ATTENTE RT")),IF(L1852="R","À REPRENDRE",IF(H1852&lt;&gt;"OUI","⚠ ENROBÉ AVANT ACCEPTATION RT","ENROBÉ")))))</f>
        <v>NON SOUDÉ</v>
      </c>
      <c r="O1852" s="80"/>
      <c r="P1852" s="82" t="n">
        <f aca="false">IF(C1852="","",IFERROR(MATCH(Q1852,'CARNET DE SOUDURE'!$AW$7:$AW$3006,0),""))</f>
        <v>1846</v>
      </c>
      <c r="Q1852" s="82" t="str">
        <f aca="false">IF(C1852="","",B1852&amp;"|"&amp;C1852)</f>
        <v>MFD-ISW → MFD-CPF|JN°1444</v>
      </c>
    </row>
    <row r="1853" customFormat="false" ht="74.6" hidden="false" customHeight="false" outlineLevel="0" collapsed="false">
      <c r="A1853" s="82" t="n">
        <f aca="false">IF(C1853="","",ROW()-6)</f>
        <v>1847</v>
      </c>
      <c r="B1853" s="80" t="s">
        <v>110</v>
      </c>
      <c r="C1853" s="113" t="s">
        <v>2258</v>
      </c>
      <c r="D1853" s="82" t="str">
        <f aca="false">IF(OR(C1853="",P1853=""),"",INDEX('CARNET DE SOUDURE'!$D$7:$D$3006,P1853)&amp;"")</f>
        <v>17</v>
      </c>
      <c r="E1853" s="114" t="str">
        <f aca="false">IF(OR(C1853="",P1853=""),"",IF(INDEX('CARNET DE SOUDURE'!$U$7:$U$3006,P1853)="","",INDEX('CARNET DE SOUDURE'!$U$7:$U$3006,P1853)))</f>
        <v/>
      </c>
      <c r="F1853" s="82" t="str">
        <f aca="false">IF(OR(C1853="",P1853=""),"",INDEX('CARNET DE SOUDURE'!$AP$7:$AP$3006,P1853))</f>
        <v/>
      </c>
      <c r="G1853" s="82" t="str">
        <f aca="false">IF(C1853="","",IF(P1853="","NJ INCONNU",INDEX('CARNET DE SOUDURE'!$AQ$7:$AQ$3006,P1853)))</f>
        <v>À SOUDER</v>
      </c>
      <c r="H1853" s="82" t="str">
        <f aca="false">IF(C1853="","",IF(G1853="ACCEPTÉ","OUI","NON"))</f>
        <v>NON</v>
      </c>
      <c r="I1853" s="83"/>
      <c r="J1853" s="80"/>
      <c r="K1853" s="81"/>
      <c r="L1853" s="81"/>
      <c r="M1853" s="81"/>
      <c r="N1853" s="84" t="str">
        <f aca="false">IF(C1853="","",IF(P1853="","NJ INCONNU",IF(I1853="",IF(H1853="OUI","À ENROBER",IF(G1853="À SOUDER","NON SOUDÉ","EN ATTENTE RT")),IF(L1853="R","À REPRENDRE",IF(H1853&lt;&gt;"OUI","⚠ ENROBÉ AVANT ACCEPTATION RT","ENROBÉ")))))</f>
        <v>NON SOUDÉ</v>
      </c>
      <c r="O1853" s="80"/>
      <c r="P1853" s="82" t="n">
        <f aca="false">IF(C1853="","",IFERROR(MATCH(Q1853,'CARNET DE SOUDURE'!$AW$7:$AW$3006,0),""))</f>
        <v>1847</v>
      </c>
      <c r="Q1853" s="82" t="str">
        <f aca="false">IF(C1853="","",B1853&amp;"|"&amp;C1853)</f>
        <v>MFD-ISW → MFD-CPF|JN°1445</v>
      </c>
    </row>
    <row r="1854" customFormat="false" ht="74.6" hidden="false" customHeight="false" outlineLevel="0" collapsed="false">
      <c r="A1854" s="82" t="n">
        <f aca="false">IF(C1854="","",ROW()-6)</f>
        <v>1848</v>
      </c>
      <c r="B1854" s="80" t="s">
        <v>110</v>
      </c>
      <c r="C1854" s="113" t="s">
        <v>2259</v>
      </c>
      <c r="D1854" s="82" t="str">
        <f aca="false">IF(OR(C1854="",P1854=""),"",INDEX('CARNET DE SOUDURE'!$D$7:$D$3006,P1854)&amp;"")</f>
        <v>17</v>
      </c>
      <c r="E1854" s="114" t="str">
        <f aca="false">IF(OR(C1854="",P1854=""),"",IF(INDEX('CARNET DE SOUDURE'!$U$7:$U$3006,P1854)="","",INDEX('CARNET DE SOUDURE'!$U$7:$U$3006,P1854)))</f>
        <v/>
      </c>
      <c r="F1854" s="82" t="str">
        <f aca="false">IF(OR(C1854="",P1854=""),"",INDEX('CARNET DE SOUDURE'!$AP$7:$AP$3006,P1854))</f>
        <v/>
      </c>
      <c r="G1854" s="82" t="str">
        <f aca="false">IF(C1854="","",IF(P1854="","NJ INCONNU",INDEX('CARNET DE SOUDURE'!$AQ$7:$AQ$3006,P1854)))</f>
        <v>À SOUDER</v>
      </c>
      <c r="H1854" s="82" t="str">
        <f aca="false">IF(C1854="","",IF(G1854="ACCEPTÉ","OUI","NON"))</f>
        <v>NON</v>
      </c>
      <c r="I1854" s="83"/>
      <c r="J1854" s="80"/>
      <c r="K1854" s="81"/>
      <c r="L1854" s="81"/>
      <c r="M1854" s="81"/>
      <c r="N1854" s="84" t="str">
        <f aca="false">IF(C1854="","",IF(P1854="","NJ INCONNU",IF(I1854="",IF(H1854="OUI","À ENROBER",IF(G1854="À SOUDER","NON SOUDÉ","EN ATTENTE RT")),IF(L1854="R","À REPRENDRE",IF(H1854&lt;&gt;"OUI","⚠ ENROBÉ AVANT ACCEPTATION RT","ENROBÉ")))))</f>
        <v>NON SOUDÉ</v>
      </c>
      <c r="O1854" s="80"/>
      <c r="P1854" s="82" t="n">
        <f aca="false">IF(C1854="","",IFERROR(MATCH(Q1854,'CARNET DE SOUDURE'!$AW$7:$AW$3006,0),""))</f>
        <v>1848</v>
      </c>
      <c r="Q1854" s="82" t="str">
        <f aca="false">IF(C1854="","",B1854&amp;"|"&amp;C1854)</f>
        <v>MFD-ISW → MFD-CPF|JN°1446</v>
      </c>
    </row>
    <row r="1855" customFormat="false" ht="74.6" hidden="false" customHeight="false" outlineLevel="0" collapsed="false">
      <c r="A1855" s="82" t="n">
        <f aca="false">IF(C1855="","",ROW()-6)</f>
        <v>1849</v>
      </c>
      <c r="B1855" s="80" t="s">
        <v>110</v>
      </c>
      <c r="C1855" s="113" t="s">
        <v>2260</v>
      </c>
      <c r="D1855" s="82" t="str">
        <f aca="false">IF(OR(C1855="",P1855=""),"",INDEX('CARNET DE SOUDURE'!$D$7:$D$3006,P1855)&amp;"")</f>
        <v>17</v>
      </c>
      <c r="E1855" s="114" t="str">
        <f aca="false">IF(OR(C1855="",P1855=""),"",IF(INDEX('CARNET DE SOUDURE'!$U$7:$U$3006,P1855)="","",INDEX('CARNET DE SOUDURE'!$U$7:$U$3006,P1855)))</f>
        <v/>
      </c>
      <c r="F1855" s="82" t="str">
        <f aca="false">IF(OR(C1855="",P1855=""),"",INDEX('CARNET DE SOUDURE'!$AP$7:$AP$3006,P1855))</f>
        <v/>
      </c>
      <c r="G1855" s="82" t="str">
        <f aca="false">IF(C1855="","",IF(P1855="","NJ INCONNU",INDEX('CARNET DE SOUDURE'!$AQ$7:$AQ$3006,P1855)))</f>
        <v>À SOUDER</v>
      </c>
      <c r="H1855" s="82" t="str">
        <f aca="false">IF(C1855="","",IF(G1855="ACCEPTÉ","OUI","NON"))</f>
        <v>NON</v>
      </c>
      <c r="I1855" s="83"/>
      <c r="J1855" s="80"/>
      <c r="K1855" s="81"/>
      <c r="L1855" s="81"/>
      <c r="M1855" s="81"/>
      <c r="N1855" s="84" t="str">
        <f aca="false">IF(C1855="","",IF(P1855="","NJ INCONNU",IF(I1855="",IF(H1855="OUI","À ENROBER",IF(G1855="À SOUDER","NON SOUDÉ","EN ATTENTE RT")),IF(L1855="R","À REPRENDRE",IF(H1855&lt;&gt;"OUI","⚠ ENROBÉ AVANT ACCEPTATION RT","ENROBÉ")))))</f>
        <v>NON SOUDÉ</v>
      </c>
      <c r="O1855" s="80"/>
      <c r="P1855" s="82" t="n">
        <f aca="false">IF(C1855="","",IFERROR(MATCH(Q1855,'CARNET DE SOUDURE'!$AW$7:$AW$3006,0),""))</f>
        <v>1849</v>
      </c>
      <c r="Q1855" s="82" t="str">
        <f aca="false">IF(C1855="","",B1855&amp;"|"&amp;C1855)</f>
        <v>MFD-ISW → MFD-CPF|JN°1447</v>
      </c>
    </row>
    <row r="1856" customFormat="false" ht="74.6" hidden="false" customHeight="false" outlineLevel="0" collapsed="false">
      <c r="A1856" s="82" t="n">
        <f aca="false">IF(C1856="","",ROW()-6)</f>
        <v>1850</v>
      </c>
      <c r="B1856" s="80" t="s">
        <v>110</v>
      </c>
      <c r="C1856" s="113" t="s">
        <v>2261</v>
      </c>
      <c r="D1856" s="82" t="str">
        <f aca="false">IF(OR(C1856="",P1856=""),"",INDEX('CARNET DE SOUDURE'!$D$7:$D$3006,P1856)&amp;"")</f>
        <v>17</v>
      </c>
      <c r="E1856" s="114" t="str">
        <f aca="false">IF(OR(C1856="",P1856=""),"",IF(INDEX('CARNET DE SOUDURE'!$U$7:$U$3006,P1856)="","",INDEX('CARNET DE SOUDURE'!$U$7:$U$3006,P1856)))</f>
        <v/>
      </c>
      <c r="F1856" s="82" t="str">
        <f aca="false">IF(OR(C1856="",P1856=""),"",INDEX('CARNET DE SOUDURE'!$AP$7:$AP$3006,P1856))</f>
        <v/>
      </c>
      <c r="G1856" s="82" t="str">
        <f aca="false">IF(C1856="","",IF(P1856="","NJ INCONNU",INDEX('CARNET DE SOUDURE'!$AQ$7:$AQ$3006,P1856)))</f>
        <v>À SOUDER</v>
      </c>
      <c r="H1856" s="82" t="str">
        <f aca="false">IF(C1856="","",IF(G1856="ACCEPTÉ","OUI","NON"))</f>
        <v>NON</v>
      </c>
      <c r="I1856" s="83"/>
      <c r="J1856" s="80"/>
      <c r="K1856" s="81"/>
      <c r="L1856" s="81"/>
      <c r="M1856" s="81"/>
      <c r="N1856" s="84" t="str">
        <f aca="false">IF(C1856="","",IF(P1856="","NJ INCONNU",IF(I1856="",IF(H1856="OUI","À ENROBER",IF(G1856="À SOUDER","NON SOUDÉ","EN ATTENTE RT")),IF(L1856="R","À REPRENDRE",IF(H1856&lt;&gt;"OUI","⚠ ENROBÉ AVANT ACCEPTATION RT","ENROBÉ")))))</f>
        <v>NON SOUDÉ</v>
      </c>
      <c r="O1856" s="80"/>
      <c r="P1856" s="82" t="n">
        <f aca="false">IF(C1856="","",IFERROR(MATCH(Q1856,'CARNET DE SOUDURE'!$AW$7:$AW$3006,0),""))</f>
        <v>1850</v>
      </c>
      <c r="Q1856" s="82" t="str">
        <f aca="false">IF(C1856="","",B1856&amp;"|"&amp;C1856)</f>
        <v>MFD-ISW → MFD-CPF|JN°1448</v>
      </c>
    </row>
    <row r="1857" customFormat="false" ht="74.6" hidden="false" customHeight="false" outlineLevel="0" collapsed="false">
      <c r="A1857" s="82" t="n">
        <f aca="false">IF(C1857="","",ROW()-6)</f>
        <v>1851</v>
      </c>
      <c r="B1857" s="80" t="s">
        <v>110</v>
      </c>
      <c r="C1857" s="113" t="s">
        <v>2262</v>
      </c>
      <c r="D1857" s="82" t="str">
        <f aca="false">IF(OR(C1857="",P1857=""),"",INDEX('CARNET DE SOUDURE'!$D$7:$D$3006,P1857)&amp;"")</f>
        <v>17</v>
      </c>
      <c r="E1857" s="114" t="str">
        <f aca="false">IF(OR(C1857="",P1857=""),"",IF(INDEX('CARNET DE SOUDURE'!$U$7:$U$3006,P1857)="","",INDEX('CARNET DE SOUDURE'!$U$7:$U$3006,P1857)))</f>
        <v/>
      </c>
      <c r="F1857" s="82" t="str">
        <f aca="false">IF(OR(C1857="",P1857=""),"",INDEX('CARNET DE SOUDURE'!$AP$7:$AP$3006,P1857))</f>
        <v/>
      </c>
      <c r="G1857" s="82" t="str">
        <f aca="false">IF(C1857="","",IF(P1857="","NJ INCONNU",INDEX('CARNET DE SOUDURE'!$AQ$7:$AQ$3006,P1857)))</f>
        <v>À SOUDER</v>
      </c>
      <c r="H1857" s="82" t="str">
        <f aca="false">IF(C1857="","",IF(G1857="ACCEPTÉ","OUI","NON"))</f>
        <v>NON</v>
      </c>
      <c r="I1857" s="83"/>
      <c r="J1857" s="80"/>
      <c r="K1857" s="81"/>
      <c r="L1857" s="81"/>
      <c r="M1857" s="81"/>
      <c r="N1857" s="84" t="str">
        <f aca="false">IF(C1857="","",IF(P1857="","NJ INCONNU",IF(I1857="",IF(H1857="OUI","À ENROBER",IF(G1857="À SOUDER","NON SOUDÉ","EN ATTENTE RT")),IF(L1857="R","À REPRENDRE",IF(H1857&lt;&gt;"OUI","⚠ ENROBÉ AVANT ACCEPTATION RT","ENROBÉ")))))</f>
        <v>NON SOUDÉ</v>
      </c>
      <c r="O1857" s="80"/>
      <c r="P1857" s="82" t="n">
        <f aca="false">IF(C1857="","",IFERROR(MATCH(Q1857,'CARNET DE SOUDURE'!$AW$7:$AW$3006,0),""))</f>
        <v>1851</v>
      </c>
      <c r="Q1857" s="82" t="str">
        <f aca="false">IF(C1857="","",B1857&amp;"|"&amp;C1857)</f>
        <v>MFD-ISW → MFD-CPF|JN°1449</v>
      </c>
    </row>
    <row r="1858" customFormat="false" ht="74.6" hidden="false" customHeight="false" outlineLevel="0" collapsed="false">
      <c r="A1858" s="82" t="n">
        <f aca="false">IF(C1858="","",ROW()-6)</f>
        <v>1852</v>
      </c>
      <c r="B1858" s="80" t="s">
        <v>110</v>
      </c>
      <c r="C1858" s="113" t="s">
        <v>2264</v>
      </c>
      <c r="D1858" s="82" t="str">
        <f aca="false">IF(OR(C1858="",P1858=""),"",INDEX('CARNET DE SOUDURE'!$D$7:$D$3006,P1858)&amp;"")</f>
        <v>17</v>
      </c>
      <c r="E1858" s="114" t="n">
        <f aca="false">IF(OR(C1858="",P1858=""),"",IF(INDEX('CARNET DE SOUDURE'!$U$7:$U$3006,P1858)="","",INDEX('CARNET DE SOUDURE'!$U$7:$U$3006,P1858)))</f>
        <v>46270</v>
      </c>
      <c r="F1858" s="82" t="str">
        <f aca="false">IF(OR(C1858="",P1858=""),"",INDEX('CARNET DE SOUDURE'!$AP$7:$AP$3006,P1858))</f>
        <v/>
      </c>
      <c r="G1858" s="82" t="str">
        <f aca="false">IF(C1858="","",IF(P1858="","NJ INCONNU",INDEX('CARNET DE SOUDURE'!$AQ$7:$AQ$3006,P1858)))</f>
        <v>À RADIOGRAPHIER</v>
      </c>
      <c r="H1858" s="82" t="str">
        <f aca="false">IF(C1858="","",IF(G1858="ACCEPTÉ","OUI","NON"))</f>
        <v>NON</v>
      </c>
      <c r="I1858" s="83"/>
      <c r="J1858" s="80"/>
      <c r="K1858" s="81"/>
      <c r="L1858" s="81"/>
      <c r="M1858" s="81"/>
      <c r="N1858" s="84" t="str">
        <f aca="false">IF(C1858="","",IF(P1858="","NJ INCONNU",IF(I1858="",IF(H1858="OUI","À ENROBER",IF(G1858="À SOUDER","NON SOUDÉ","EN ATTENTE RT")),IF(L1858="R","À REPRENDRE",IF(H1858&lt;&gt;"OUI","⚠ ENROBÉ AVANT ACCEPTATION RT","ENROBÉ")))))</f>
        <v>EN ATTENTE RT</v>
      </c>
      <c r="O1858" s="80"/>
      <c r="P1858" s="82" t="n">
        <f aca="false">IF(C1858="","",IFERROR(MATCH(Q1858,'CARNET DE SOUDURE'!$AW$7:$AW$3006,0),""))</f>
        <v>1852</v>
      </c>
      <c r="Q1858" s="82" t="str">
        <f aca="false">IF(C1858="","",B1858&amp;"|"&amp;C1858)</f>
        <v>MFD-ISW → MFD-CPF|JN°1450</v>
      </c>
    </row>
    <row r="1859" customFormat="false" ht="74.6" hidden="false" customHeight="false" outlineLevel="0" collapsed="false">
      <c r="A1859" s="82" t="n">
        <f aca="false">IF(C1859="","",ROW()-6)</f>
        <v>1853</v>
      </c>
      <c r="B1859" s="80" t="s">
        <v>110</v>
      </c>
      <c r="C1859" s="113" t="s">
        <v>2265</v>
      </c>
      <c r="D1859" s="82" t="str">
        <f aca="false">IF(OR(C1859="",P1859=""),"",INDEX('CARNET DE SOUDURE'!$D$7:$D$3006,P1859)&amp;"")</f>
        <v>17</v>
      </c>
      <c r="E1859" s="114" t="n">
        <f aca="false">IF(OR(C1859="",P1859=""),"",IF(INDEX('CARNET DE SOUDURE'!$U$7:$U$3006,P1859)="","",INDEX('CARNET DE SOUDURE'!$U$7:$U$3006,P1859)))</f>
        <v>46270</v>
      </c>
      <c r="F1859" s="82" t="str">
        <f aca="false">IF(OR(C1859="",P1859=""),"",INDEX('CARNET DE SOUDURE'!$AP$7:$AP$3006,P1859))</f>
        <v/>
      </c>
      <c r="G1859" s="82" t="str">
        <f aca="false">IF(C1859="","",IF(P1859="","NJ INCONNU",INDEX('CARNET DE SOUDURE'!$AQ$7:$AQ$3006,P1859)))</f>
        <v>À RADIOGRAPHIER</v>
      </c>
      <c r="H1859" s="82" t="str">
        <f aca="false">IF(C1859="","",IF(G1859="ACCEPTÉ","OUI","NON"))</f>
        <v>NON</v>
      </c>
      <c r="I1859" s="83"/>
      <c r="J1859" s="80"/>
      <c r="K1859" s="81"/>
      <c r="L1859" s="81"/>
      <c r="M1859" s="81"/>
      <c r="N1859" s="84" t="str">
        <f aca="false">IF(C1859="","",IF(P1859="","NJ INCONNU",IF(I1859="",IF(H1859="OUI","À ENROBER",IF(G1859="À SOUDER","NON SOUDÉ","EN ATTENTE RT")),IF(L1859="R","À REPRENDRE",IF(H1859&lt;&gt;"OUI","⚠ ENROBÉ AVANT ACCEPTATION RT","ENROBÉ")))))</f>
        <v>EN ATTENTE RT</v>
      </c>
      <c r="O1859" s="80"/>
      <c r="P1859" s="82" t="n">
        <f aca="false">IF(C1859="","",IFERROR(MATCH(Q1859,'CARNET DE SOUDURE'!$AW$7:$AW$3006,0),""))</f>
        <v>1853</v>
      </c>
      <c r="Q1859" s="82" t="str">
        <f aca="false">IF(C1859="","",B1859&amp;"|"&amp;C1859)</f>
        <v>MFD-ISW → MFD-CPF|JN°1451</v>
      </c>
    </row>
    <row r="1860" customFormat="false" ht="74.6" hidden="false" customHeight="false" outlineLevel="0" collapsed="false">
      <c r="A1860" s="82" t="n">
        <f aca="false">IF(C1860="","",ROW()-6)</f>
        <v>1854</v>
      </c>
      <c r="B1860" s="80" t="s">
        <v>110</v>
      </c>
      <c r="C1860" s="113" t="s">
        <v>2266</v>
      </c>
      <c r="D1860" s="82" t="str">
        <f aca="false">IF(OR(C1860="",P1860=""),"",INDEX('CARNET DE SOUDURE'!$D$7:$D$3006,P1860)&amp;"")</f>
        <v>17</v>
      </c>
      <c r="E1860" s="114" t="n">
        <f aca="false">IF(OR(C1860="",P1860=""),"",IF(INDEX('CARNET DE SOUDURE'!$U$7:$U$3006,P1860)="","",INDEX('CARNET DE SOUDURE'!$U$7:$U$3006,P1860)))</f>
        <v>46270</v>
      </c>
      <c r="F1860" s="82" t="str">
        <f aca="false">IF(OR(C1860="",P1860=""),"",INDEX('CARNET DE SOUDURE'!$AP$7:$AP$3006,P1860))</f>
        <v/>
      </c>
      <c r="G1860" s="82" t="str">
        <f aca="false">IF(C1860="","",IF(P1860="","NJ INCONNU",INDEX('CARNET DE SOUDURE'!$AQ$7:$AQ$3006,P1860)))</f>
        <v>À RADIOGRAPHIER</v>
      </c>
      <c r="H1860" s="82" t="str">
        <f aca="false">IF(C1860="","",IF(G1860="ACCEPTÉ","OUI","NON"))</f>
        <v>NON</v>
      </c>
      <c r="I1860" s="83"/>
      <c r="J1860" s="80"/>
      <c r="K1860" s="81"/>
      <c r="L1860" s="81"/>
      <c r="M1860" s="81"/>
      <c r="N1860" s="84" t="str">
        <f aca="false">IF(C1860="","",IF(P1860="","NJ INCONNU",IF(I1860="",IF(H1860="OUI","À ENROBER",IF(G1860="À SOUDER","NON SOUDÉ","EN ATTENTE RT")),IF(L1860="R","À REPRENDRE",IF(H1860&lt;&gt;"OUI","⚠ ENROBÉ AVANT ACCEPTATION RT","ENROBÉ")))))</f>
        <v>EN ATTENTE RT</v>
      </c>
      <c r="O1860" s="80"/>
      <c r="P1860" s="82" t="n">
        <f aca="false">IF(C1860="","",IFERROR(MATCH(Q1860,'CARNET DE SOUDURE'!$AW$7:$AW$3006,0),""))</f>
        <v>1854</v>
      </c>
      <c r="Q1860" s="82" t="str">
        <f aca="false">IF(C1860="","",B1860&amp;"|"&amp;C1860)</f>
        <v>MFD-ISW → MFD-CPF|JN°1452</v>
      </c>
    </row>
    <row r="1861" customFormat="false" ht="74.6" hidden="false" customHeight="false" outlineLevel="0" collapsed="false">
      <c r="A1861" s="82" t="n">
        <f aca="false">IF(C1861="","",ROW()-6)</f>
        <v>1855</v>
      </c>
      <c r="B1861" s="80" t="s">
        <v>110</v>
      </c>
      <c r="C1861" s="113" t="s">
        <v>2267</v>
      </c>
      <c r="D1861" s="82" t="str">
        <f aca="false">IF(OR(C1861="",P1861=""),"",INDEX('CARNET DE SOUDURE'!$D$7:$D$3006,P1861)&amp;"")</f>
        <v>17</v>
      </c>
      <c r="E1861" s="114" t="n">
        <f aca="false">IF(OR(C1861="",P1861=""),"",IF(INDEX('CARNET DE SOUDURE'!$U$7:$U$3006,P1861)="","",INDEX('CARNET DE SOUDURE'!$U$7:$U$3006,P1861)))</f>
        <v>46270</v>
      </c>
      <c r="F1861" s="82" t="str">
        <f aca="false">IF(OR(C1861="",P1861=""),"",INDEX('CARNET DE SOUDURE'!$AP$7:$AP$3006,P1861))</f>
        <v>A</v>
      </c>
      <c r="G1861" s="82" t="str">
        <f aca="false">IF(C1861="","",IF(P1861="","NJ INCONNU",INDEX('CARNET DE SOUDURE'!$AQ$7:$AQ$3006,P1861)))</f>
        <v>ACCEPTÉ</v>
      </c>
      <c r="H1861" s="82" t="str">
        <f aca="false">IF(C1861="","",IF(G1861="ACCEPTÉ","OUI","NON"))</f>
        <v>OUI</v>
      </c>
      <c r="I1861" s="83"/>
      <c r="J1861" s="80"/>
      <c r="K1861" s="81"/>
      <c r="L1861" s="81"/>
      <c r="M1861" s="81"/>
      <c r="N1861" s="84" t="str">
        <f aca="false">IF(C1861="","",IF(P1861="","NJ INCONNU",IF(I1861="",IF(H1861="OUI","À ENROBER",IF(G1861="À SOUDER","NON SOUDÉ","EN ATTENTE RT")),IF(L1861="R","À REPRENDRE",IF(H1861&lt;&gt;"OUI","⚠ ENROBÉ AVANT ACCEPTATION RT","ENROBÉ")))))</f>
        <v>À ENROBER</v>
      </c>
      <c r="O1861" s="80"/>
      <c r="P1861" s="82" t="n">
        <f aca="false">IF(C1861="","",IFERROR(MATCH(Q1861,'CARNET DE SOUDURE'!$AW$7:$AW$3006,0),""))</f>
        <v>1855</v>
      </c>
      <c r="Q1861" s="82" t="str">
        <f aca="false">IF(C1861="","",B1861&amp;"|"&amp;C1861)</f>
        <v>MFD-ISW → MFD-CPF|JN°1453</v>
      </c>
    </row>
    <row r="1862" customFormat="false" ht="74.6" hidden="false" customHeight="false" outlineLevel="0" collapsed="false">
      <c r="A1862" s="82" t="n">
        <f aca="false">IF(C1862="","",ROW()-6)</f>
        <v>1856</v>
      </c>
      <c r="B1862" s="80" t="s">
        <v>110</v>
      </c>
      <c r="C1862" s="113" t="s">
        <v>2269</v>
      </c>
      <c r="D1862" s="82" t="str">
        <f aca="false">IF(OR(C1862="",P1862=""),"",INDEX('CARNET DE SOUDURE'!$D$7:$D$3006,P1862)&amp;"")</f>
        <v>17</v>
      </c>
      <c r="E1862" s="114" t="n">
        <f aca="false">IF(OR(C1862="",P1862=""),"",IF(INDEX('CARNET DE SOUDURE'!$U$7:$U$3006,P1862)="","",INDEX('CARNET DE SOUDURE'!$U$7:$U$3006,P1862)))</f>
        <v>46270</v>
      </c>
      <c r="F1862" s="82" t="str">
        <f aca="false">IF(OR(C1862="",P1862=""),"",INDEX('CARNET DE SOUDURE'!$AP$7:$AP$3006,P1862))</f>
        <v>A</v>
      </c>
      <c r="G1862" s="82" t="str">
        <f aca="false">IF(C1862="","",IF(P1862="","NJ INCONNU",INDEX('CARNET DE SOUDURE'!$AQ$7:$AQ$3006,P1862)))</f>
        <v>ACCEPTÉ</v>
      </c>
      <c r="H1862" s="82" t="str">
        <f aca="false">IF(C1862="","",IF(G1862="ACCEPTÉ","OUI","NON"))</f>
        <v>OUI</v>
      </c>
      <c r="I1862" s="83"/>
      <c r="J1862" s="80"/>
      <c r="K1862" s="81"/>
      <c r="L1862" s="81"/>
      <c r="M1862" s="81"/>
      <c r="N1862" s="84" t="str">
        <f aca="false">IF(C1862="","",IF(P1862="","NJ INCONNU",IF(I1862="",IF(H1862="OUI","À ENROBER",IF(G1862="À SOUDER","NON SOUDÉ","EN ATTENTE RT")),IF(L1862="R","À REPRENDRE",IF(H1862&lt;&gt;"OUI","⚠ ENROBÉ AVANT ACCEPTATION RT","ENROBÉ")))))</f>
        <v>À ENROBER</v>
      </c>
      <c r="O1862" s="80"/>
      <c r="P1862" s="82" t="n">
        <f aca="false">IF(C1862="","",IFERROR(MATCH(Q1862,'CARNET DE SOUDURE'!$AW$7:$AW$3006,0),""))</f>
        <v>1856</v>
      </c>
      <c r="Q1862" s="82" t="str">
        <f aca="false">IF(C1862="","",B1862&amp;"|"&amp;C1862)</f>
        <v>MFD-ISW → MFD-CPF|JN°1454</v>
      </c>
    </row>
    <row r="1863" customFormat="false" ht="74.6" hidden="false" customHeight="false" outlineLevel="0" collapsed="false">
      <c r="A1863" s="82" t="n">
        <f aca="false">IF(C1863="","",ROW()-6)</f>
        <v>1857</v>
      </c>
      <c r="B1863" s="80" t="s">
        <v>110</v>
      </c>
      <c r="C1863" s="113" t="s">
        <v>2270</v>
      </c>
      <c r="D1863" s="82" t="str">
        <f aca="false">IF(OR(C1863="",P1863=""),"",INDEX('CARNET DE SOUDURE'!$D$7:$D$3006,P1863)&amp;"")</f>
        <v>17</v>
      </c>
      <c r="E1863" s="114" t="n">
        <f aca="false">IF(OR(C1863="",P1863=""),"",IF(INDEX('CARNET DE SOUDURE'!$U$7:$U$3006,P1863)="","",INDEX('CARNET DE SOUDURE'!$U$7:$U$3006,P1863)))</f>
        <v>46270</v>
      </c>
      <c r="F1863" s="82" t="str">
        <f aca="false">IF(OR(C1863="",P1863=""),"",INDEX('CARNET DE SOUDURE'!$AP$7:$AP$3006,P1863))</f>
        <v>A</v>
      </c>
      <c r="G1863" s="82" t="str">
        <f aca="false">IF(C1863="","",IF(P1863="","NJ INCONNU",INDEX('CARNET DE SOUDURE'!$AQ$7:$AQ$3006,P1863)))</f>
        <v>ACCEPTÉ</v>
      </c>
      <c r="H1863" s="82" t="str">
        <f aca="false">IF(C1863="","",IF(G1863="ACCEPTÉ","OUI","NON"))</f>
        <v>OUI</v>
      </c>
      <c r="I1863" s="83"/>
      <c r="J1863" s="80"/>
      <c r="K1863" s="81"/>
      <c r="L1863" s="81"/>
      <c r="M1863" s="81"/>
      <c r="N1863" s="84" t="str">
        <f aca="false">IF(C1863="","",IF(P1863="","NJ INCONNU",IF(I1863="",IF(H1863="OUI","À ENROBER",IF(G1863="À SOUDER","NON SOUDÉ","EN ATTENTE RT")),IF(L1863="R","À REPRENDRE",IF(H1863&lt;&gt;"OUI","⚠ ENROBÉ AVANT ACCEPTATION RT","ENROBÉ")))))</f>
        <v>À ENROBER</v>
      </c>
      <c r="O1863" s="80"/>
      <c r="P1863" s="82" t="n">
        <f aca="false">IF(C1863="","",IFERROR(MATCH(Q1863,'CARNET DE SOUDURE'!$AW$7:$AW$3006,0),""))</f>
        <v>1857</v>
      </c>
      <c r="Q1863" s="82" t="str">
        <f aca="false">IF(C1863="","",B1863&amp;"|"&amp;C1863)</f>
        <v>MFD-ISW → MFD-CPF|JN°1455</v>
      </c>
    </row>
    <row r="1864" customFormat="false" ht="74.6" hidden="false" customHeight="false" outlineLevel="0" collapsed="false">
      <c r="A1864" s="82" t="n">
        <f aca="false">IF(C1864="","",ROW()-6)</f>
        <v>1858</v>
      </c>
      <c r="B1864" s="80" t="s">
        <v>110</v>
      </c>
      <c r="C1864" s="113" t="s">
        <v>2271</v>
      </c>
      <c r="D1864" s="82" t="str">
        <f aca="false">IF(OR(C1864="",P1864=""),"",INDEX('CARNET DE SOUDURE'!$D$7:$D$3006,P1864)&amp;"")</f>
        <v>17</v>
      </c>
      <c r="E1864" s="114" t="n">
        <f aca="false">IF(OR(C1864="",P1864=""),"",IF(INDEX('CARNET DE SOUDURE'!$U$7:$U$3006,P1864)="","",INDEX('CARNET DE SOUDURE'!$U$7:$U$3006,P1864)))</f>
        <v>46270</v>
      </c>
      <c r="F1864" s="82" t="str">
        <f aca="false">IF(OR(C1864="",P1864=""),"",INDEX('CARNET DE SOUDURE'!$AP$7:$AP$3006,P1864))</f>
        <v>A</v>
      </c>
      <c r="G1864" s="82" t="str">
        <f aca="false">IF(C1864="","",IF(P1864="","NJ INCONNU",INDEX('CARNET DE SOUDURE'!$AQ$7:$AQ$3006,P1864)))</f>
        <v>ACCEPTÉ</v>
      </c>
      <c r="H1864" s="82" t="str">
        <f aca="false">IF(C1864="","",IF(G1864="ACCEPTÉ","OUI","NON"))</f>
        <v>OUI</v>
      </c>
      <c r="I1864" s="83"/>
      <c r="J1864" s="80"/>
      <c r="K1864" s="81"/>
      <c r="L1864" s="81"/>
      <c r="M1864" s="81"/>
      <c r="N1864" s="84" t="str">
        <f aca="false">IF(C1864="","",IF(P1864="","NJ INCONNU",IF(I1864="",IF(H1864="OUI","À ENROBER",IF(G1864="À SOUDER","NON SOUDÉ","EN ATTENTE RT")),IF(L1864="R","À REPRENDRE",IF(H1864&lt;&gt;"OUI","⚠ ENROBÉ AVANT ACCEPTATION RT","ENROBÉ")))))</f>
        <v>À ENROBER</v>
      </c>
      <c r="O1864" s="80"/>
      <c r="P1864" s="82" t="n">
        <f aca="false">IF(C1864="","",IFERROR(MATCH(Q1864,'CARNET DE SOUDURE'!$AW$7:$AW$3006,0),""))</f>
        <v>1858</v>
      </c>
      <c r="Q1864" s="82" t="str">
        <f aca="false">IF(C1864="","",B1864&amp;"|"&amp;C1864)</f>
        <v>MFD-ISW → MFD-CPF|JN°1456</v>
      </c>
    </row>
    <row r="1865" customFormat="false" ht="74.6" hidden="false" customHeight="false" outlineLevel="0" collapsed="false">
      <c r="A1865" s="82" t="n">
        <f aca="false">IF(C1865="","",ROW()-6)</f>
        <v>1859</v>
      </c>
      <c r="B1865" s="80" t="s">
        <v>110</v>
      </c>
      <c r="C1865" s="113" t="s">
        <v>2272</v>
      </c>
      <c r="D1865" s="82" t="str">
        <f aca="false">IF(OR(C1865="",P1865=""),"",INDEX('CARNET DE SOUDURE'!$D$7:$D$3006,P1865)&amp;"")</f>
        <v>17</v>
      </c>
      <c r="E1865" s="114" t="n">
        <f aca="false">IF(OR(C1865="",P1865=""),"",IF(INDEX('CARNET DE SOUDURE'!$U$7:$U$3006,P1865)="","",INDEX('CARNET DE SOUDURE'!$U$7:$U$3006,P1865)))</f>
        <v>46269</v>
      </c>
      <c r="F1865" s="82" t="str">
        <f aca="false">IF(OR(C1865="",P1865=""),"",INDEX('CARNET DE SOUDURE'!$AP$7:$AP$3006,P1865))</f>
        <v>A</v>
      </c>
      <c r="G1865" s="82" t="str">
        <f aca="false">IF(C1865="","",IF(P1865="","NJ INCONNU",INDEX('CARNET DE SOUDURE'!$AQ$7:$AQ$3006,P1865)))</f>
        <v>ACCEPTÉ</v>
      </c>
      <c r="H1865" s="82" t="str">
        <f aca="false">IF(C1865="","",IF(G1865="ACCEPTÉ","OUI","NON"))</f>
        <v>OUI</v>
      </c>
      <c r="I1865" s="83"/>
      <c r="J1865" s="80"/>
      <c r="K1865" s="81"/>
      <c r="L1865" s="81"/>
      <c r="M1865" s="81"/>
      <c r="N1865" s="84" t="str">
        <f aca="false">IF(C1865="","",IF(P1865="","NJ INCONNU",IF(I1865="",IF(H1865="OUI","À ENROBER",IF(G1865="À SOUDER","NON SOUDÉ","EN ATTENTE RT")),IF(L1865="R","À REPRENDRE",IF(H1865&lt;&gt;"OUI","⚠ ENROBÉ AVANT ACCEPTATION RT","ENROBÉ")))))</f>
        <v>À ENROBER</v>
      </c>
      <c r="O1865" s="80"/>
      <c r="P1865" s="82" t="n">
        <f aca="false">IF(C1865="","",IFERROR(MATCH(Q1865,'CARNET DE SOUDURE'!$AW$7:$AW$3006,0),""))</f>
        <v>1859</v>
      </c>
      <c r="Q1865" s="82" t="str">
        <f aca="false">IF(C1865="","",B1865&amp;"|"&amp;C1865)</f>
        <v>MFD-ISW → MFD-CPF|JN°1457</v>
      </c>
    </row>
    <row r="1866" customFormat="false" ht="74.6" hidden="false" customHeight="false" outlineLevel="0" collapsed="false">
      <c r="A1866" s="82" t="n">
        <f aca="false">IF(C1866="","",ROW()-6)</f>
        <v>1860</v>
      </c>
      <c r="B1866" s="80" t="s">
        <v>110</v>
      </c>
      <c r="C1866" s="113" t="s">
        <v>2274</v>
      </c>
      <c r="D1866" s="82" t="str">
        <f aca="false">IF(OR(C1866="",P1866=""),"",INDEX('CARNET DE SOUDURE'!$D$7:$D$3006,P1866)&amp;"")</f>
        <v>17</v>
      </c>
      <c r="E1866" s="114" t="n">
        <f aca="false">IF(OR(C1866="",P1866=""),"",IF(INDEX('CARNET DE SOUDURE'!$U$7:$U$3006,P1866)="","",INDEX('CARNET DE SOUDURE'!$U$7:$U$3006,P1866)))</f>
        <v>46252</v>
      </c>
      <c r="F1866" s="82" t="str">
        <f aca="false">IF(OR(C1866="",P1866=""),"",INDEX('CARNET DE SOUDURE'!$AP$7:$AP$3006,P1866))</f>
        <v>A</v>
      </c>
      <c r="G1866" s="82" t="str">
        <f aca="false">IF(C1866="","",IF(P1866="","NJ INCONNU",INDEX('CARNET DE SOUDURE'!$AQ$7:$AQ$3006,P1866)))</f>
        <v>ACCEPTÉ</v>
      </c>
      <c r="H1866" s="82" t="str">
        <f aca="false">IF(C1866="","",IF(G1866="ACCEPTÉ","OUI","NON"))</f>
        <v>OUI</v>
      </c>
      <c r="I1866" s="83"/>
      <c r="J1866" s="80"/>
      <c r="K1866" s="81"/>
      <c r="L1866" s="81"/>
      <c r="M1866" s="81"/>
      <c r="N1866" s="84" t="str">
        <f aca="false">IF(C1866="","",IF(P1866="","NJ INCONNU",IF(I1866="",IF(H1866="OUI","À ENROBER",IF(G1866="À SOUDER","NON SOUDÉ","EN ATTENTE RT")),IF(L1866="R","À REPRENDRE",IF(H1866&lt;&gt;"OUI","⚠ ENROBÉ AVANT ACCEPTATION RT","ENROBÉ")))))</f>
        <v>À ENROBER</v>
      </c>
      <c r="O1866" s="80"/>
      <c r="P1866" s="82" t="n">
        <f aca="false">IF(C1866="","",IFERROR(MATCH(Q1866,'CARNET DE SOUDURE'!$AW$7:$AW$3006,0),""))</f>
        <v>1860</v>
      </c>
      <c r="Q1866" s="82" t="str">
        <f aca="false">IF(C1866="","",B1866&amp;"|"&amp;C1866)</f>
        <v>MFD-ISW → MFD-CPF|DJ°040</v>
      </c>
    </row>
    <row r="1867" customFormat="false" ht="74.6" hidden="false" customHeight="false" outlineLevel="0" collapsed="false">
      <c r="A1867" s="82" t="n">
        <f aca="false">IF(C1867="","",ROW()-6)</f>
        <v>1861</v>
      </c>
      <c r="B1867" s="80" t="s">
        <v>110</v>
      </c>
      <c r="C1867" s="113" t="s">
        <v>2276</v>
      </c>
      <c r="D1867" s="82" t="str">
        <f aca="false">IF(OR(C1867="",P1867=""),"",INDEX('CARNET DE SOUDURE'!$D$7:$D$3006,P1867)&amp;"")</f>
        <v>17</v>
      </c>
      <c r="E1867" s="114" t="n">
        <f aca="false">IF(OR(C1867="",P1867=""),"",IF(INDEX('CARNET DE SOUDURE'!$U$7:$U$3006,P1867)="","",INDEX('CARNET DE SOUDURE'!$U$7:$U$3006,P1867)))</f>
        <v>46269</v>
      </c>
      <c r="F1867" s="82" t="str">
        <f aca="false">IF(OR(C1867="",P1867=""),"",INDEX('CARNET DE SOUDURE'!$AP$7:$AP$3006,P1867))</f>
        <v>A</v>
      </c>
      <c r="G1867" s="82" t="str">
        <f aca="false">IF(C1867="","",IF(P1867="","NJ INCONNU",INDEX('CARNET DE SOUDURE'!$AQ$7:$AQ$3006,P1867)))</f>
        <v>ACCEPTÉ</v>
      </c>
      <c r="H1867" s="82" t="str">
        <f aca="false">IF(C1867="","",IF(G1867="ACCEPTÉ","OUI","NON"))</f>
        <v>OUI</v>
      </c>
      <c r="I1867" s="83"/>
      <c r="J1867" s="80"/>
      <c r="K1867" s="81"/>
      <c r="L1867" s="81"/>
      <c r="M1867" s="81"/>
      <c r="N1867" s="84" t="str">
        <f aca="false">IF(C1867="","",IF(P1867="","NJ INCONNU",IF(I1867="",IF(H1867="OUI","À ENROBER",IF(G1867="À SOUDER","NON SOUDÉ","EN ATTENTE RT")),IF(L1867="R","À REPRENDRE",IF(H1867&lt;&gt;"OUI","⚠ ENROBÉ AVANT ACCEPTATION RT","ENROBÉ")))))</f>
        <v>À ENROBER</v>
      </c>
      <c r="O1867" s="80"/>
      <c r="P1867" s="82" t="n">
        <f aca="false">IF(C1867="","",IFERROR(MATCH(Q1867,'CARNET DE SOUDURE'!$AW$7:$AW$3006,0),""))</f>
        <v>1861</v>
      </c>
      <c r="Q1867" s="82" t="str">
        <f aca="false">IF(C1867="","",B1867&amp;"|"&amp;C1867)</f>
        <v>MFD-ISW → MFD-CPF|JN°1458</v>
      </c>
    </row>
    <row r="1868" customFormat="false" ht="74.6" hidden="false" customHeight="false" outlineLevel="0" collapsed="false">
      <c r="A1868" s="82" t="n">
        <f aca="false">IF(C1868="","",ROW()-6)</f>
        <v>1862</v>
      </c>
      <c r="B1868" s="80" t="s">
        <v>110</v>
      </c>
      <c r="C1868" s="113" t="s">
        <v>2277</v>
      </c>
      <c r="D1868" s="82" t="str">
        <f aca="false">IF(OR(C1868="",P1868=""),"",INDEX('CARNET DE SOUDURE'!$D$7:$D$3006,P1868)&amp;"")</f>
        <v>17</v>
      </c>
      <c r="E1868" s="114" t="n">
        <f aca="false">IF(OR(C1868="",P1868=""),"",IF(INDEX('CARNET DE SOUDURE'!$U$7:$U$3006,P1868)="","",INDEX('CARNET DE SOUDURE'!$U$7:$U$3006,P1868)))</f>
        <v>46251</v>
      </c>
      <c r="F1868" s="82" t="str">
        <f aca="false">IF(OR(C1868="",P1868=""),"",INDEX('CARNET DE SOUDURE'!$AP$7:$AP$3006,P1868))</f>
        <v>A</v>
      </c>
      <c r="G1868" s="82" t="str">
        <f aca="false">IF(C1868="","",IF(P1868="","NJ INCONNU",INDEX('CARNET DE SOUDURE'!$AQ$7:$AQ$3006,P1868)))</f>
        <v>ACCEPTÉ</v>
      </c>
      <c r="H1868" s="82" t="str">
        <f aca="false">IF(C1868="","",IF(G1868="ACCEPTÉ","OUI","NON"))</f>
        <v>OUI</v>
      </c>
      <c r="I1868" s="83"/>
      <c r="J1868" s="80"/>
      <c r="K1868" s="81"/>
      <c r="L1868" s="81"/>
      <c r="M1868" s="81"/>
      <c r="N1868" s="84" t="str">
        <f aca="false">IF(C1868="","",IF(P1868="","NJ INCONNU",IF(I1868="",IF(H1868="OUI","À ENROBER",IF(G1868="À SOUDER","NON SOUDÉ","EN ATTENTE RT")),IF(L1868="R","À REPRENDRE",IF(H1868&lt;&gt;"OUI","⚠ ENROBÉ AVANT ACCEPTATION RT","ENROBÉ")))))</f>
        <v>À ENROBER</v>
      </c>
      <c r="O1868" s="80"/>
      <c r="P1868" s="82" t="n">
        <f aca="false">IF(C1868="","",IFERROR(MATCH(Q1868,'CARNET DE SOUDURE'!$AW$7:$AW$3006,0),""))</f>
        <v>1862</v>
      </c>
      <c r="Q1868" s="82" t="str">
        <f aca="false">IF(C1868="","",B1868&amp;"|"&amp;C1868)</f>
        <v>MFD-ISW → MFD-CPF|DJ°031</v>
      </c>
    </row>
    <row r="1869" customFormat="false" ht="74.6" hidden="false" customHeight="false" outlineLevel="0" collapsed="false">
      <c r="A1869" s="82" t="n">
        <f aca="false">IF(C1869="","",ROW()-6)</f>
        <v>1863</v>
      </c>
      <c r="B1869" s="80" t="s">
        <v>110</v>
      </c>
      <c r="C1869" s="113" t="s">
        <v>2279</v>
      </c>
      <c r="D1869" s="82" t="str">
        <f aca="false">IF(OR(C1869="",P1869=""),"",INDEX('CARNET DE SOUDURE'!$D$7:$D$3006,P1869)&amp;"")</f>
        <v>17</v>
      </c>
      <c r="E1869" s="114" t="n">
        <f aca="false">IF(OR(C1869="",P1869=""),"",IF(INDEX('CARNET DE SOUDURE'!$U$7:$U$3006,P1869)="","",INDEX('CARNET DE SOUDURE'!$U$7:$U$3006,P1869)))</f>
        <v>46269</v>
      </c>
      <c r="F1869" s="82" t="str">
        <f aca="false">IF(OR(C1869="",P1869=""),"",INDEX('CARNET DE SOUDURE'!$AP$7:$AP$3006,P1869))</f>
        <v>A</v>
      </c>
      <c r="G1869" s="82" t="str">
        <f aca="false">IF(C1869="","",IF(P1869="","NJ INCONNU",INDEX('CARNET DE SOUDURE'!$AQ$7:$AQ$3006,P1869)))</f>
        <v>ACCEPTÉ</v>
      </c>
      <c r="H1869" s="82" t="str">
        <f aca="false">IF(C1869="","",IF(G1869="ACCEPTÉ","OUI","NON"))</f>
        <v>OUI</v>
      </c>
      <c r="I1869" s="83"/>
      <c r="J1869" s="80"/>
      <c r="K1869" s="81"/>
      <c r="L1869" s="81"/>
      <c r="M1869" s="81"/>
      <c r="N1869" s="84" t="str">
        <f aca="false">IF(C1869="","",IF(P1869="","NJ INCONNU",IF(I1869="",IF(H1869="OUI","À ENROBER",IF(G1869="À SOUDER","NON SOUDÉ","EN ATTENTE RT")),IF(L1869="R","À REPRENDRE",IF(H1869&lt;&gt;"OUI","⚠ ENROBÉ AVANT ACCEPTATION RT","ENROBÉ")))))</f>
        <v>À ENROBER</v>
      </c>
      <c r="O1869" s="80"/>
      <c r="P1869" s="82" t="n">
        <f aca="false">IF(C1869="","",IFERROR(MATCH(Q1869,'CARNET DE SOUDURE'!$AW$7:$AW$3006,0),""))</f>
        <v>1863</v>
      </c>
      <c r="Q1869" s="82" t="str">
        <f aca="false">IF(C1869="","",B1869&amp;"|"&amp;C1869)</f>
        <v>MFD-ISW → MFD-CPF|JN°1459</v>
      </c>
    </row>
    <row r="1870" customFormat="false" ht="74.6" hidden="false" customHeight="false" outlineLevel="0" collapsed="false">
      <c r="A1870" s="82" t="n">
        <f aca="false">IF(C1870="","",ROW()-6)</f>
        <v>1864</v>
      </c>
      <c r="B1870" s="80" t="s">
        <v>110</v>
      </c>
      <c r="C1870" s="113" t="s">
        <v>2281</v>
      </c>
      <c r="D1870" s="82" t="str">
        <f aca="false">IF(OR(C1870="",P1870=""),"",INDEX('CARNET DE SOUDURE'!$D$7:$D$3006,P1870)&amp;"")</f>
        <v>17</v>
      </c>
      <c r="E1870" s="114" t="n">
        <f aca="false">IF(OR(C1870="",P1870=""),"",IF(INDEX('CARNET DE SOUDURE'!$U$7:$U$3006,P1870)="","",INDEX('CARNET DE SOUDURE'!$U$7:$U$3006,P1870)))</f>
        <v>46249</v>
      </c>
      <c r="F1870" s="82" t="str">
        <f aca="false">IF(OR(C1870="",P1870=""),"",INDEX('CARNET DE SOUDURE'!$AP$7:$AP$3006,P1870))</f>
        <v>A</v>
      </c>
      <c r="G1870" s="82" t="str">
        <f aca="false">IF(C1870="","",IF(P1870="","NJ INCONNU",INDEX('CARNET DE SOUDURE'!$AQ$7:$AQ$3006,P1870)))</f>
        <v>ACCEPTÉ</v>
      </c>
      <c r="H1870" s="82" t="str">
        <f aca="false">IF(C1870="","",IF(G1870="ACCEPTÉ","OUI","NON"))</f>
        <v>OUI</v>
      </c>
      <c r="I1870" s="83"/>
      <c r="J1870" s="80"/>
      <c r="K1870" s="81"/>
      <c r="L1870" s="81"/>
      <c r="M1870" s="81"/>
      <c r="N1870" s="84" t="str">
        <f aca="false">IF(C1870="","",IF(P1870="","NJ INCONNU",IF(I1870="",IF(H1870="OUI","À ENROBER",IF(G1870="À SOUDER","NON SOUDÉ","EN ATTENTE RT")),IF(L1870="R","À REPRENDRE",IF(H1870&lt;&gt;"OUI","⚠ ENROBÉ AVANT ACCEPTATION RT","ENROBÉ")))))</f>
        <v>À ENROBER</v>
      </c>
      <c r="O1870" s="80"/>
      <c r="P1870" s="82" t="n">
        <f aca="false">IF(C1870="","",IFERROR(MATCH(Q1870,'CARNET DE SOUDURE'!$AW$7:$AW$3006,0),""))</f>
        <v>1864</v>
      </c>
      <c r="Q1870" s="82" t="str">
        <f aca="false">IF(C1870="","",B1870&amp;"|"&amp;C1870)</f>
        <v>MFD-ISW → MFD-CPF|DJ°012</v>
      </c>
    </row>
    <row r="1871" customFormat="false" ht="74.6" hidden="false" customHeight="false" outlineLevel="0" collapsed="false">
      <c r="A1871" s="82" t="n">
        <f aca="false">IF(C1871="","",ROW()-6)</f>
        <v>1865</v>
      </c>
      <c r="B1871" s="80" t="s">
        <v>110</v>
      </c>
      <c r="C1871" s="113" t="s">
        <v>2282</v>
      </c>
      <c r="D1871" s="82" t="str">
        <f aca="false">IF(OR(C1871="",P1871=""),"",INDEX('CARNET DE SOUDURE'!$D$7:$D$3006,P1871)&amp;"")</f>
        <v>17</v>
      </c>
      <c r="E1871" s="114" t="n">
        <f aca="false">IF(OR(C1871="",P1871=""),"",IF(INDEX('CARNET DE SOUDURE'!$U$7:$U$3006,P1871)="","",INDEX('CARNET DE SOUDURE'!$U$7:$U$3006,P1871)))</f>
        <v>46269</v>
      </c>
      <c r="F1871" s="82" t="str">
        <f aca="false">IF(OR(C1871="",P1871=""),"",INDEX('CARNET DE SOUDURE'!$AP$7:$AP$3006,P1871))</f>
        <v>A</v>
      </c>
      <c r="G1871" s="82" t="str">
        <f aca="false">IF(C1871="","",IF(P1871="","NJ INCONNU",INDEX('CARNET DE SOUDURE'!$AQ$7:$AQ$3006,P1871)))</f>
        <v>ACCEPTÉ</v>
      </c>
      <c r="H1871" s="82" t="str">
        <f aca="false">IF(C1871="","",IF(G1871="ACCEPTÉ","OUI","NON"))</f>
        <v>OUI</v>
      </c>
      <c r="I1871" s="83"/>
      <c r="J1871" s="80"/>
      <c r="K1871" s="81"/>
      <c r="L1871" s="81"/>
      <c r="M1871" s="81"/>
      <c r="N1871" s="84" t="str">
        <f aca="false">IF(C1871="","",IF(P1871="","NJ INCONNU",IF(I1871="",IF(H1871="OUI","À ENROBER",IF(G1871="À SOUDER","NON SOUDÉ","EN ATTENTE RT")),IF(L1871="R","À REPRENDRE",IF(H1871&lt;&gt;"OUI","⚠ ENROBÉ AVANT ACCEPTATION RT","ENROBÉ")))))</f>
        <v>À ENROBER</v>
      </c>
      <c r="O1871" s="80"/>
      <c r="P1871" s="82" t="n">
        <f aca="false">IF(C1871="","",IFERROR(MATCH(Q1871,'CARNET DE SOUDURE'!$AW$7:$AW$3006,0),""))</f>
        <v>1865</v>
      </c>
      <c r="Q1871" s="82" t="str">
        <f aca="false">IF(C1871="","",B1871&amp;"|"&amp;C1871)</f>
        <v>MFD-ISW → MFD-CPF|JN°1460</v>
      </c>
    </row>
    <row r="1872" customFormat="false" ht="74.6" hidden="false" customHeight="false" outlineLevel="0" collapsed="false">
      <c r="A1872" s="82" t="n">
        <f aca="false">IF(C1872="","",ROW()-6)</f>
        <v>1866</v>
      </c>
      <c r="B1872" s="80" t="s">
        <v>110</v>
      </c>
      <c r="C1872" s="113" t="s">
        <v>2283</v>
      </c>
      <c r="D1872" s="82" t="str">
        <f aca="false">IF(OR(C1872="",P1872=""),"",INDEX('CARNET DE SOUDURE'!$D$7:$D$3006,P1872)&amp;"")</f>
        <v>17</v>
      </c>
      <c r="E1872" s="114" t="n">
        <f aca="false">IF(OR(C1872="",P1872=""),"",IF(INDEX('CARNET DE SOUDURE'!$U$7:$U$3006,P1872)="","",INDEX('CARNET DE SOUDURE'!$U$7:$U$3006,P1872)))</f>
        <v>46249</v>
      </c>
      <c r="F1872" s="82" t="str">
        <f aca="false">IF(OR(C1872="",P1872=""),"",INDEX('CARNET DE SOUDURE'!$AP$7:$AP$3006,P1872))</f>
        <v>A</v>
      </c>
      <c r="G1872" s="82" t="str">
        <f aca="false">IF(C1872="","",IF(P1872="","NJ INCONNU",INDEX('CARNET DE SOUDURE'!$AQ$7:$AQ$3006,P1872)))</f>
        <v>ACCEPTÉ</v>
      </c>
      <c r="H1872" s="82" t="str">
        <f aca="false">IF(C1872="","",IF(G1872="ACCEPTÉ","OUI","NON"))</f>
        <v>OUI</v>
      </c>
      <c r="I1872" s="83"/>
      <c r="J1872" s="80"/>
      <c r="K1872" s="81"/>
      <c r="L1872" s="81"/>
      <c r="M1872" s="81"/>
      <c r="N1872" s="84" t="str">
        <f aca="false">IF(C1872="","",IF(P1872="","NJ INCONNU",IF(I1872="",IF(H1872="OUI","À ENROBER",IF(G1872="À SOUDER","NON SOUDÉ","EN ATTENTE RT")),IF(L1872="R","À REPRENDRE",IF(H1872&lt;&gt;"OUI","⚠ ENROBÉ AVANT ACCEPTATION RT","ENROBÉ")))))</f>
        <v>À ENROBER</v>
      </c>
      <c r="O1872" s="80"/>
      <c r="P1872" s="82" t="n">
        <f aca="false">IF(C1872="","",IFERROR(MATCH(Q1872,'CARNET DE SOUDURE'!$AW$7:$AW$3006,0),""))</f>
        <v>1866</v>
      </c>
      <c r="Q1872" s="82" t="str">
        <f aca="false">IF(C1872="","",B1872&amp;"|"&amp;C1872)</f>
        <v>MFD-ISW → MFD-CPF|DJ°015</v>
      </c>
    </row>
    <row r="1873" customFormat="false" ht="74.6" hidden="false" customHeight="false" outlineLevel="0" collapsed="false">
      <c r="A1873" s="82" t="n">
        <f aca="false">IF(C1873="","",ROW()-6)</f>
        <v>1867</v>
      </c>
      <c r="B1873" s="80" t="s">
        <v>110</v>
      </c>
      <c r="C1873" s="113" t="s">
        <v>2284</v>
      </c>
      <c r="D1873" s="82" t="str">
        <f aca="false">IF(OR(C1873="",P1873=""),"",INDEX('CARNET DE SOUDURE'!$D$7:$D$3006,P1873)&amp;"")</f>
        <v>17</v>
      </c>
      <c r="E1873" s="114" t="n">
        <f aca="false">IF(OR(C1873="",P1873=""),"",IF(INDEX('CARNET DE SOUDURE'!$U$7:$U$3006,P1873)="","",INDEX('CARNET DE SOUDURE'!$U$7:$U$3006,P1873)))</f>
        <v>46269</v>
      </c>
      <c r="F1873" s="82" t="str">
        <f aca="false">IF(OR(C1873="",P1873=""),"",INDEX('CARNET DE SOUDURE'!$AP$7:$AP$3006,P1873))</f>
        <v>A</v>
      </c>
      <c r="G1873" s="82" t="str">
        <f aca="false">IF(C1873="","",IF(P1873="","NJ INCONNU",INDEX('CARNET DE SOUDURE'!$AQ$7:$AQ$3006,P1873)))</f>
        <v>ACCEPTÉ</v>
      </c>
      <c r="H1873" s="82" t="str">
        <f aca="false">IF(C1873="","",IF(G1873="ACCEPTÉ","OUI","NON"))</f>
        <v>OUI</v>
      </c>
      <c r="I1873" s="83"/>
      <c r="J1873" s="80"/>
      <c r="K1873" s="81"/>
      <c r="L1873" s="81"/>
      <c r="M1873" s="81"/>
      <c r="N1873" s="84" t="str">
        <f aca="false">IF(C1873="","",IF(P1873="","NJ INCONNU",IF(I1873="",IF(H1873="OUI","À ENROBER",IF(G1873="À SOUDER","NON SOUDÉ","EN ATTENTE RT")),IF(L1873="R","À REPRENDRE",IF(H1873&lt;&gt;"OUI","⚠ ENROBÉ AVANT ACCEPTATION RT","ENROBÉ")))))</f>
        <v>À ENROBER</v>
      </c>
      <c r="O1873" s="80"/>
      <c r="P1873" s="82" t="n">
        <f aca="false">IF(C1873="","",IFERROR(MATCH(Q1873,'CARNET DE SOUDURE'!$AW$7:$AW$3006,0),""))</f>
        <v>1867</v>
      </c>
      <c r="Q1873" s="82" t="str">
        <f aca="false">IF(C1873="","",B1873&amp;"|"&amp;C1873)</f>
        <v>MFD-ISW → MFD-CPF|JN°1461</v>
      </c>
    </row>
    <row r="1874" customFormat="false" ht="74.6" hidden="false" customHeight="false" outlineLevel="0" collapsed="false">
      <c r="A1874" s="82" t="n">
        <f aca="false">IF(C1874="","",ROW()-6)</f>
        <v>1868</v>
      </c>
      <c r="B1874" s="80" t="s">
        <v>110</v>
      </c>
      <c r="C1874" s="113" t="s">
        <v>2285</v>
      </c>
      <c r="D1874" s="82" t="str">
        <f aca="false">IF(OR(C1874="",P1874=""),"",INDEX('CARNET DE SOUDURE'!$D$7:$D$3006,P1874)&amp;"")</f>
        <v>17</v>
      </c>
      <c r="E1874" s="114" t="n">
        <f aca="false">IF(OR(C1874="",P1874=""),"",IF(INDEX('CARNET DE SOUDURE'!$U$7:$U$3006,P1874)="","",INDEX('CARNET DE SOUDURE'!$U$7:$U$3006,P1874)))</f>
        <v>46252</v>
      </c>
      <c r="F1874" s="82" t="str">
        <f aca="false">IF(OR(C1874="",P1874=""),"",INDEX('CARNET DE SOUDURE'!$AP$7:$AP$3006,P1874))</f>
        <v>A</v>
      </c>
      <c r="G1874" s="82" t="str">
        <f aca="false">IF(C1874="","",IF(P1874="","NJ INCONNU",INDEX('CARNET DE SOUDURE'!$AQ$7:$AQ$3006,P1874)))</f>
        <v>ACCEPTÉ</v>
      </c>
      <c r="H1874" s="82" t="str">
        <f aca="false">IF(C1874="","",IF(G1874="ACCEPTÉ","OUI","NON"))</f>
        <v>OUI</v>
      </c>
      <c r="I1874" s="83"/>
      <c r="J1874" s="80"/>
      <c r="K1874" s="81"/>
      <c r="L1874" s="81"/>
      <c r="M1874" s="81"/>
      <c r="N1874" s="84" t="str">
        <f aca="false">IF(C1874="","",IF(P1874="","NJ INCONNU",IF(I1874="",IF(H1874="OUI","À ENROBER",IF(G1874="À SOUDER","NON SOUDÉ","EN ATTENTE RT")),IF(L1874="R","À REPRENDRE",IF(H1874&lt;&gt;"OUI","⚠ ENROBÉ AVANT ACCEPTATION RT","ENROBÉ")))))</f>
        <v>À ENROBER</v>
      </c>
      <c r="O1874" s="80"/>
      <c r="P1874" s="82" t="n">
        <f aca="false">IF(C1874="","",IFERROR(MATCH(Q1874,'CARNET DE SOUDURE'!$AW$7:$AW$3006,0),""))</f>
        <v>1868</v>
      </c>
      <c r="Q1874" s="82" t="str">
        <f aca="false">IF(C1874="","",B1874&amp;"|"&amp;C1874)</f>
        <v>MFD-ISW → MFD-CPF|DJ°044</v>
      </c>
    </row>
    <row r="1875" customFormat="false" ht="74.6" hidden="false" customHeight="false" outlineLevel="0" collapsed="false">
      <c r="A1875" s="82" t="n">
        <f aca="false">IF(C1875="","",ROW()-6)</f>
        <v>1869</v>
      </c>
      <c r="B1875" s="80" t="s">
        <v>110</v>
      </c>
      <c r="C1875" s="113" t="s">
        <v>2287</v>
      </c>
      <c r="D1875" s="82" t="str">
        <f aca="false">IF(OR(C1875="",P1875=""),"",INDEX('CARNET DE SOUDURE'!$D$7:$D$3006,P1875)&amp;"")</f>
        <v>17</v>
      </c>
      <c r="E1875" s="114" t="n">
        <f aca="false">IF(OR(C1875="",P1875=""),"",IF(INDEX('CARNET DE SOUDURE'!$U$7:$U$3006,P1875)="","",INDEX('CARNET DE SOUDURE'!$U$7:$U$3006,P1875)))</f>
        <v>46289</v>
      </c>
      <c r="F1875" s="82" t="str">
        <f aca="false">IF(OR(C1875="",P1875=""),"",INDEX('CARNET DE SOUDURE'!$AP$7:$AP$3006,P1875))</f>
        <v/>
      </c>
      <c r="G1875" s="82" t="str">
        <f aca="false">IF(C1875="","",IF(P1875="","NJ INCONNU",INDEX('CARNET DE SOUDURE'!$AQ$7:$AQ$3006,P1875)))</f>
        <v>À RADIOGRAPHIER</v>
      </c>
      <c r="H1875" s="82" t="str">
        <f aca="false">IF(C1875="","",IF(G1875="ACCEPTÉ","OUI","NON"))</f>
        <v>NON</v>
      </c>
      <c r="I1875" s="83"/>
      <c r="J1875" s="80"/>
      <c r="K1875" s="81"/>
      <c r="L1875" s="81"/>
      <c r="M1875" s="81"/>
      <c r="N1875" s="84" t="str">
        <f aca="false">IF(C1875="","",IF(P1875="","NJ INCONNU",IF(I1875="",IF(H1875="OUI","À ENROBER",IF(G1875="À SOUDER","NON SOUDÉ","EN ATTENTE RT")),IF(L1875="R","À REPRENDRE",IF(H1875&lt;&gt;"OUI","⚠ ENROBÉ AVANT ACCEPTATION RT","ENROBÉ")))))</f>
        <v>EN ATTENTE RT</v>
      </c>
      <c r="O1875" s="80"/>
      <c r="P1875" s="82" t="n">
        <f aca="false">IF(C1875="","",IFERROR(MATCH(Q1875,'CARNET DE SOUDURE'!$AW$7:$AW$3006,0),""))</f>
        <v>1869</v>
      </c>
      <c r="Q1875" s="82" t="str">
        <f aca="false">IF(C1875="","",B1875&amp;"|"&amp;C1875)</f>
        <v>MFD-ISW → MFD-CPF|JN°1462R</v>
      </c>
    </row>
    <row r="1876" customFormat="false" ht="74.6" hidden="false" customHeight="false" outlineLevel="0" collapsed="false">
      <c r="A1876" s="82" t="n">
        <f aca="false">IF(C1876="","",ROW()-6)</f>
        <v>1870</v>
      </c>
      <c r="B1876" s="80" t="s">
        <v>110</v>
      </c>
      <c r="C1876" s="113" t="s">
        <v>2289</v>
      </c>
      <c r="D1876" s="82" t="str">
        <f aca="false">IF(OR(C1876="",P1876=""),"",INDEX('CARNET DE SOUDURE'!$D$7:$D$3006,P1876)&amp;"")</f>
        <v>17</v>
      </c>
      <c r="E1876" s="114" t="n">
        <f aca="false">IF(OR(C1876="",P1876=""),"",IF(INDEX('CARNET DE SOUDURE'!$U$7:$U$3006,P1876)="","",INDEX('CARNET DE SOUDURE'!$U$7:$U$3006,P1876)))</f>
        <v>46252</v>
      </c>
      <c r="F1876" s="82" t="str">
        <f aca="false">IF(OR(C1876="",P1876=""),"",INDEX('CARNET DE SOUDURE'!$AP$7:$AP$3006,P1876))</f>
        <v>A</v>
      </c>
      <c r="G1876" s="82" t="str">
        <f aca="false">IF(C1876="","",IF(P1876="","NJ INCONNU",INDEX('CARNET DE SOUDURE'!$AQ$7:$AQ$3006,P1876)))</f>
        <v>ACCEPTÉ</v>
      </c>
      <c r="H1876" s="82" t="str">
        <f aca="false">IF(C1876="","",IF(G1876="ACCEPTÉ","OUI","NON"))</f>
        <v>OUI</v>
      </c>
      <c r="I1876" s="83"/>
      <c r="J1876" s="80"/>
      <c r="K1876" s="81"/>
      <c r="L1876" s="81"/>
      <c r="M1876" s="81"/>
      <c r="N1876" s="84" t="str">
        <f aca="false">IF(C1876="","",IF(P1876="","NJ INCONNU",IF(I1876="",IF(H1876="OUI","À ENROBER",IF(G1876="À SOUDER","NON SOUDÉ","EN ATTENTE RT")),IF(L1876="R","À REPRENDRE",IF(H1876&lt;&gt;"OUI","⚠ ENROBÉ AVANT ACCEPTATION RT","ENROBÉ")))))</f>
        <v>À ENROBER</v>
      </c>
      <c r="O1876" s="80"/>
      <c r="P1876" s="82" t="n">
        <f aca="false">IF(C1876="","",IFERROR(MATCH(Q1876,'CARNET DE SOUDURE'!$AW$7:$AW$3006,0),""))</f>
        <v>1870</v>
      </c>
      <c r="Q1876" s="82" t="str">
        <f aca="false">IF(C1876="","",B1876&amp;"|"&amp;C1876)</f>
        <v>MFD-ISW → MFD-CPF|DJ°045</v>
      </c>
    </row>
    <row r="1877" customFormat="false" ht="74.6" hidden="false" customHeight="false" outlineLevel="0" collapsed="false">
      <c r="A1877" s="82" t="n">
        <f aca="false">IF(C1877="","",ROW()-6)</f>
        <v>1871</v>
      </c>
      <c r="B1877" s="80" t="s">
        <v>110</v>
      </c>
      <c r="C1877" s="113" t="s">
        <v>2290</v>
      </c>
      <c r="D1877" s="82" t="str">
        <f aca="false">IF(OR(C1877="",P1877=""),"",INDEX('CARNET DE SOUDURE'!$D$7:$D$3006,P1877)&amp;"")</f>
        <v>17</v>
      </c>
      <c r="E1877" s="114" t="n">
        <f aca="false">IF(OR(C1877="",P1877=""),"",IF(INDEX('CARNET DE SOUDURE'!$U$7:$U$3006,P1877)="","",INDEX('CARNET DE SOUDURE'!$U$7:$U$3006,P1877)))</f>
        <v>46269</v>
      </c>
      <c r="F1877" s="82" t="str">
        <f aca="false">IF(OR(C1877="",P1877=""),"",INDEX('CARNET DE SOUDURE'!$AP$7:$AP$3006,P1877))</f>
        <v>A</v>
      </c>
      <c r="G1877" s="82" t="str">
        <f aca="false">IF(C1877="","",IF(P1877="","NJ INCONNU",INDEX('CARNET DE SOUDURE'!$AQ$7:$AQ$3006,P1877)))</f>
        <v>ACCEPTÉ</v>
      </c>
      <c r="H1877" s="82" t="str">
        <f aca="false">IF(C1877="","",IF(G1877="ACCEPTÉ","OUI","NON"))</f>
        <v>OUI</v>
      </c>
      <c r="I1877" s="83"/>
      <c r="J1877" s="80"/>
      <c r="K1877" s="81"/>
      <c r="L1877" s="81"/>
      <c r="M1877" s="81"/>
      <c r="N1877" s="84" t="str">
        <f aca="false">IF(C1877="","",IF(P1877="","NJ INCONNU",IF(I1877="",IF(H1877="OUI","À ENROBER",IF(G1877="À SOUDER","NON SOUDÉ","EN ATTENTE RT")),IF(L1877="R","À REPRENDRE",IF(H1877&lt;&gt;"OUI","⚠ ENROBÉ AVANT ACCEPTATION RT","ENROBÉ")))))</f>
        <v>À ENROBER</v>
      </c>
      <c r="O1877" s="80"/>
      <c r="P1877" s="82" t="n">
        <f aca="false">IF(C1877="","",IFERROR(MATCH(Q1877,'CARNET DE SOUDURE'!$AW$7:$AW$3006,0),""))</f>
        <v>1871</v>
      </c>
      <c r="Q1877" s="82" t="str">
        <f aca="false">IF(C1877="","",B1877&amp;"|"&amp;C1877)</f>
        <v>MFD-ISW → MFD-CPF|JN°1463</v>
      </c>
    </row>
    <row r="1878" customFormat="false" ht="74.6" hidden="false" customHeight="false" outlineLevel="0" collapsed="false">
      <c r="A1878" s="82" t="n">
        <f aca="false">IF(C1878="","",ROW()-6)</f>
        <v>1872</v>
      </c>
      <c r="B1878" s="80" t="s">
        <v>110</v>
      </c>
      <c r="C1878" s="113" t="s">
        <v>2291</v>
      </c>
      <c r="D1878" s="82" t="str">
        <f aca="false">IF(OR(C1878="",P1878=""),"",INDEX('CARNET DE SOUDURE'!$D$7:$D$3006,P1878)&amp;"")</f>
        <v>17</v>
      </c>
      <c r="E1878" s="114" t="n">
        <f aca="false">IF(OR(C1878="",P1878=""),"",IF(INDEX('CARNET DE SOUDURE'!$U$7:$U$3006,P1878)="","",INDEX('CARNET DE SOUDURE'!$U$7:$U$3006,P1878)))</f>
        <v>46249</v>
      </c>
      <c r="F1878" s="82" t="str">
        <f aca="false">IF(OR(C1878="",P1878=""),"",INDEX('CARNET DE SOUDURE'!$AP$7:$AP$3006,P1878))</f>
        <v>A</v>
      </c>
      <c r="G1878" s="82" t="str">
        <f aca="false">IF(C1878="","",IF(P1878="","NJ INCONNU",INDEX('CARNET DE SOUDURE'!$AQ$7:$AQ$3006,P1878)))</f>
        <v>ACCEPTÉ</v>
      </c>
      <c r="H1878" s="82" t="str">
        <f aca="false">IF(C1878="","",IF(G1878="ACCEPTÉ","OUI","NON"))</f>
        <v>OUI</v>
      </c>
      <c r="I1878" s="83"/>
      <c r="J1878" s="80"/>
      <c r="K1878" s="81"/>
      <c r="L1878" s="81"/>
      <c r="M1878" s="81"/>
      <c r="N1878" s="84" t="str">
        <f aca="false">IF(C1878="","",IF(P1878="","NJ INCONNU",IF(I1878="",IF(H1878="OUI","À ENROBER",IF(G1878="À SOUDER","NON SOUDÉ","EN ATTENTE RT")),IF(L1878="R","À REPRENDRE",IF(H1878&lt;&gt;"OUI","⚠ ENROBÉ AVANT ACCEPTATION RT","ENROBÉ")))))</f>
        <v>À ENROBER</v>
      </c>
      <c r="O1878" s="80"/>
      <c r="P1878" s="82" t="n">
        <f aca="false">IF(C1878="","",IFERROR(MATCH(Q1878,'CARNET DE SOUDURE'!$AW$7:$AW$3006,0),""))</f>
        <v>1872</v>
      </c>
      <c r="Q1878" s="82" t="str">
        <f aca="false">IF(C1878="","",B1878&amp;"|"&amp;C1878)</f>
        <v>MFD-ISW → MFD-CPF|DJ°006</v>
      </c>
    </row>
    <row r="1879" customFormat="false" ht="74.6" hidden="false" customHeight="false" outlineLevel="0" collapsed="false">
      <c r="A1879" s="82" t="n">
        <f aca="false">IF(C1879="","",ROW()-6)</f>
        <v>1873</v>
      </c>
      <c r="B1879" s="80" t="s">
        <v>110</v>
      </c>
      <c r="C1879" s="113" t="s">
        <v>2292</v>
      </c>
      <c r="D1879" s="82" t="str">
        <f aca="false">IF(OR(C1879="",P1879=""),"",INDEX('CARNET DE SOUDURE'!$D$7:$D$3006,P1879)&amp;"")</f>
        <v>17</v>
      </c>
      <c r="E1879" s="114" t="n">
        <f aca="false">IF(OR(C1879="",P1879=""),"",IF(INDEX('CARNET DE SOUDURE'!$U$7:$U$3006,P1879)="","",INDEX('CARNET DE SOUDURE'!$U$7:$U$3006,P1879)))</f>
        <v>46269</v>
      </c>
      <c r="F1879" s="82" t="str">
        <f aca="false">IF(OR(C1879="",P1879=""),"",INDEX('CARNET DE SOUDURE'!$AP$7:$AP$3006,P1879))</f>
        <v>A</v>
      </c>
      <c r="G1879" s="82" t="str">
        <f aca="false">IF(C1879="","",IF(P1879="","NJ INCONNU",INDEX('CARNET DE SOUDURE'!$AQ$7:$AQ$3006,P1879)))</f>
        <v>ACCEPTÉ</v>
      </c>
      <c r="H1879" s="82" t="str">
        <f aca="false">IF(C1879="","",IF(G1879="ACCEPTÉ","OUI","NON"))</f>
        <v>OUI</v>
      </c>
      <c r="I1879" s="83"/>
      <c r="J1879" s="80"/>
      <c r="K1879" s="81"/>
      <c r="L1879" s="81"/>
      <c r="M1879" s="81"/>
      <c r="N1879" s="84" t="str">
        <f aca="false">IF(C1879="","",IF(P1879="","NJ INCONNU",IF(I1879="",IF(H1879="OUI","À ENROBER",IF(G1879="À SOUDER","NON SOUDÉ","EN ATTENTE RT")),IF(L1879="R","À REPRENDRE",IF(H1879&lt;&gt;"OUI","⚠ ENROBÉ AVANT ACCEPTATION RT","ENROBÉ")))))</f>
        <v>À ENROBER</v>
      </c>
      <c r="O1879" s="80"/>
      <c r="P1879" s="82" t="n">
        <f aca="false">IF(C1879="","",IFERROR(MATCH(Q1879,'CARNET DE SOUDURE'!$AW$7:$AW$3006,0),""))</f>
        <v>1873</v>
      </c>
      <c r="Q1879" s="82" t="str">
        <f aca="false">IF(C1879="","",B1879&amp;"|"&amp;C1879)</f>
        <v>MFD-ISW → MFD-CPF|JN°1464</v>
      </c>
    </row>
    <row r="1880" customFormat="false" ht="74.6" hidden="false" customHeight="false" outlineLevel="0" collapsed="false">
      <c r="A1880" s="82" t="n">
        <f aca="false">IF(C1880="","",ROW()-6)</f>
        <v>1874</v>
      </c>
      <c r="B1880" s="80" t="s">
        <v>110</v>
      </c>
      <c r="C1880" s="113" t="s">
        <v>2293</v>
      </c>
      <c r="D1880" s="82" t="str">
        <f aca="false">IF(OR(C1880="",P1880=""),"",INDEX('CARNET DE SOUDURE'!$D$7:$D$3006,P1880)&amp;"")</f>
        <v>17</v>
      </c>
      <c r="E1880" s="114" t="n">
        <f aca="false">IF(OR(C1880="",P1880=""),"",IF(INDEX('CARNET DE SOUDURE'!$U$7:$U$3006,P1880)="","",INDEX('CARNET DE SOUDURE'!$U$7:$U$3006,P1880)))</f>
        <v>46253</v>
      </c>
      <c r="F1880" s="82" t="str">
        <f aca="false">IF(OR(C1880="",P1880=""),"",INDEX('CARNET DE SOUDURE'!$AP$7:$AP$3006,P1880))</f>
        <v>A</v>
      </c>
      <c r="G1880" s="82" t="str">
        <f aca="false">IF(C1880="","",IF(P1880="","NJ INCONNU",INDEX('CARNET DE SOUDURE'!$AQ$7:$AQ$3006,P1880)))</f>
        <v>ACCEPTÉ</v>
      </c>
      <c r="H1880" s="82" t="str">
        <f aca="false">IF(C1880="","",IF(G1880="ACCEPTÉ","OUI","NON"))</f>
        <v>OUI</v>
      </c>
      <c r="I1880" s="83"/>
      <c r="J1880" s="80"/>
      <c r="K1880" s="81"/>
      <c r="L1880" s="81"/>
      <c r="M1880" s="81"/>
      <c r="N1880" s="84" t="str">
        <f aca="false">IF(C1880="","",IF(P1880="","NJ INCONNU",IF(I1880="",IF(H1880="OUI","À ENROBER",IF(G1880="À SOUDER","NON SOUDÉ","EN ATTENTE RT")),IF(L1880="R","À REPRENDRE",IF(H1880&lt;&gt;"OUI","⚠ ENROBÉ AVANT ACCEPTATION RT","ENROBÉ")))))</f>
        <v>À ENROBER</v>
      </c>
      <c r="O1880" s="80"/>
      <c r="P1880" s="82" t="n">
        <f aca="false">IF(C1880="","",IFERROR(MATCH(Q1880,'CARNET DE SOUDURE'!$AW$7:$AW$3006,0),""))</f>
        <v>1874</v>
      </c>
      <c r="Q1880" s="82" t="str">
        <f aca="false">IF(C1880="","",B1880&amp;"|"&amp;C1880)</f>
        <v>MFD-ISW → MFD-CPF|DJ°058</v>
      </c>
    </row>
    <row r="1881" customFormat="false" ht="74.6" hidden="false" customHeight="false" outlineLevel="0" collapsed="false">
      <c r="A1881" s="82" t="n">
        <f aca="false">IF(C1881="","",ROW()-6)</f>
        <v>1875</v>
      </c>
      <c r="B1881" s="80" t="s">
        <v>110</v>
      </c>
      <c r="C1881" s="113" t="s">
        <v>2294</v>
      </c>
      <c r="D1881" s="82" t="str">
        <f aca="false">IF(OR(C1881="",P1881=""),"",INDEX('CARNET DE SOUDURE'!$D$7:$D$3006,P1881)&amp;"")</f>
        <v>17</v>
      </c>
      <c r="E1881" s="114" t="n">
        <f aca="false">IF(OR(C1881="",P1881=""),"",IF(INDEX('CARNET DE SOUDURE'!$U$7:$U$3006,P1881)="","",INDEX('CARNET DE SOUDURE'!$U$7:$U$3006,P1881)))</f>
        <v>46269</v>
      </c>
      <c r="F1881" s="82" t="str">
        <f aca="false">IF(OR(C1881="",P1881=""),"",INDEX('CARNET DE SOUDURE'!$AP$7:$AP$3006,P1881))</f>
        <v>A</v>
      </c>
      <c r="G1881" s="82" t="str">
        <f aca="false">IF(C1881="","",IF(P1881="","NJ INCONNU",INDEX('CARNET DE SOUDURE'!$AQ$7:$AQ$3006,P1881)))</f>
        <v>ACCEPTÉ</v>
      </c>
      <c r="H1881" s="82" t="str">
        <f aca="false">IF(C1881="","",IF(G1881="ACCEPTÉ","OUI","NON"))</f>
        <v>OUI</v>
      </c>
      <c r="I1881" s="83"/>
      <c r="J1881" s="80"/>
      <c r="K1881" s="81"/>
      <c r="L1881" s="81"/>
      <c r="M1881" s="81"/>
      <c r="N1881" s="84" t="str">
        <f aca="false">IF(C1881="","",IF(P1881="","NJ INCONNU",IF(I1881="",IF(H1881="OUI","À ENROBER",IF(G1881="À SOUDER","NON SOUDÉ","EN ATTENTE RT")),IF(L1881="R","À REPRENDRE",IF(H1881&lt;&gt;"OUI","⚠ ENROBÉ AVANT ACCEPTATION RT","ENROBÉ")))))</f>
        <v>À ENROBER</v>
      </c>
      <c r="O1881" s="80"/>
      <c r="P1881" s="82" t="n">
        <f aca="false">IF(C1881="","",IFERROR(MATCH(Q1881,'CARNET DE SOUDURE'!$AW$7:$AW$3006,0),""))</f>
        <v>1875</v>
      </c>
      <c r="Q1881" s="82" t="str">
        <f aca="false">IF(C1881="","",B1881&amp;"|"&amp;C1881)</f>
        <v>MFD-ISW → MFD-CPF|JN°1465</v>
      </c>
    </row>
    <row r="1882" customFormat="false" ht="74.6" hidden="false" customHeight="false" outlineLevel="0" collapsed="false">
      <c r="A1882" s="82" t="n">
        <f aca="false">IF(C1882="","",ROW()-6)</f>
        <v>1876</v>
      </c>
      <c r="B1882" s="80" t="s">
        <v>110</v>
      </c>
      <c r="C1882" s="113" t="s">
        <v>2295</v>
      </c>
      <c r="D1882" s="82" t="str">
        <f aca="false">IF(OR(C1882="",P1882=""),"",INDEX('CARNET DE SOUDURE'!$D$7:$D$3006,P1882)&amp;"")</f>
        <v>17</v>
      </c>
      <c r="E1882" s="114" t="n">
        <f aca="false">IF(OR(C1882="",P1882=""),"",IF(INDEX('CARNET DE SOUDURE'!$U$7:$U$3006,P1882)="","",INDEX('CARNET DE SOUDURE'!$U$7:$U$3006,P1882)))</f>
        <v>46249</v>
      </c>
      <c r="F1882" s="82" t="str">
        <f aca="false">IF(OR(C1882="",P1882=""),"",INDEX('CARNET DE SOUDURE'!$AP$7:$AP$3006,P1882))</f>
        <v>A</v>
      </c>
      <c r="G1882" s="82" t="str">
        <f aca="false">IF(C1882="","",IF(P1882="","NJ INCONNU",INDEX('CARNET DE SOUDURE'!$AQ$7:$AQ$3006,P1882)))</f>
        <v>ACCEPTÉ</v>
      </c>
      <c r="H1882" s="82" t="str">
        <f aca="false">IF(C1882="","",IF(G1882="ACCEPTÉ","OUI","NON"))</f>
        <v>OUI</v>
      </c>
      <c r="I1882" s="83"/>
      <c r="J1882" s="80"/>
      <c r="K1882" s="81"/>
      <c r="L1882" s="81"/>
      <c r="M1882" s="81"/>
      <c r="N1882" s="84" t="str">
        <f aca="false">IF(C1882="","",IF(P1882="","NJ INCONNU",IF(I1882="",IF(H1882="OUI","À ENROBER",IF(G1882="À SOUDER","NON SOUDÉ","EN ATTENTE RT")),IF(L1882="R","À REPRENDRE",IF(H1882&lt;&gt;"OUI","⚠ ENROBÉ AVANT ACCEPTATION RT","ENROBÉ")))))</f>
        <v>À ENROBER</v>
      </c>
      <c r="O1882" s="80"/>
      <c r="P1882" s="82" t="n">
        <f aca="false">IF(C1882="","",IFERROR(MATCH(Q1882,'CARNET DE SOUDURE'!$AW$7:$AW$3006,0),""))</f>
        <v>1876</v>
      </c>
      <c r="Q1882" s="82" t="str">
        <f aca="false">IF(C1882="","",B1882&amp;"|"&amp;C1882)</f>
        <v>MFD-ISW → MFD-CPF|DJ°007</v>
      </c>
    </row>
    <row r="1883" customFormat="false" ht="74.6" hidden="false" customHeight="false" outlineLevel="0" collapsed="false">
      <c r="A1883" s="82" t="n">
        <f aca="false">IF(C1883="","",ROW()-6)</f>
        <v>1877</v>
      </c>
      <c r="B1883" s="80" t="s">
        <v>110</v>
      </c>
      <c r="C1883" s="113" t="s">
        <v>2296</v>
      </c>
      <c r="D1883" s="82" t="str">
        <f aca="false">IF(OR(C1883="",P1883=""),"",INDEX('CARNET DE SOUDURE'!$D$7:$D$3006,P1883)&amp;"")</f>
        <v>17</v>
      </c>
      <c r="E1883" s="114" t="n">
        <f aca="false">IF(OR(C1883="",P1883=""),"",IF(INDEX('CARNET DE SOUDURE'!$U$7:$U$3006,P1883)="","",INDEX('CARNET DE SOUDURE'!$U$7:$U$3006,P1883)))</f>
        <v>46269</v>
      </c>
      <c r="F1883" s="82" t="str">
        <f aca="false">IF(OR(C1883="",P1883=""),"",INDEX('CARNET DE SOUDURE'!$AP$7:$AP$3006,P1883))</f>
        <v>A</v>
      </c>
      <c r="G1883" s="82" t="str">
        <f aca="false">IF(C1883="","",IF(P1883="","NJ INCONNU",INDEX('CARNET DE SOUDURE'!$AQ$7:$AQ$3006,P1883)))</f>
        <v>ACCEPTÉ</v>
      </c>
      <c r="H1883" s="82" t="str">
        <f aca="false">IF(C1883="","",IF(G1883="ACCEPTÉ","OUI","NON"))</f>
        <v>OUI</v>
      </c>
      <c r="I1883" s="83"/>
      <c r="J1883" s="80"/>
      <c r="K1883" s="81"/>
      <c r="L1883" s="81"/>
      <c r="M1883" s="81"/>
      <c r="N1883" s="84" t="str">
        <f aca="false">IF(C1883="","",IF(P1883="","NJ INCONNU",IF(I1883="",IF(H1883="OUI","À ENROBER",IF(G1883="À SOUDER","NON SOUDÉ","EN ATTENTE RT")),IF(L1883="R","À REPRENDRE",IF(H1883&lt;&gt;"OUI","⚠ ENROBÉ AVANT ACCEPTATION RT","ENROBÉ")))))</f>
        <v>À ENROBER</v>
      </c>
      <c r="O1883" s="80"/>
      <c r="P1883" s="82" t="n">
        <f aca="false">IF(C1883="","",IFERROR(MATCH(Q1883,'CARNET DE SOUDURE'!$AW$7:$AW$3006,0),""))</f>
        <v>1877</v>
      </c>
      <c r="Q1883" s="82" t="str">
        <f aca="false">IF(C1883="","",B1883&amp;"|"&amp;C1883)</f>
        <v>MFD-ISW → MFD-CPF|JN°1466</v>
      </c>
    </row>
    <row r="1884" customFormat="false" ht="74.6" hidden="false" customHeight="false" outlineLevel="0" collapsed="false">
      <c r="A1884" s="82" t="n">
        <f aca="false">IF(C1884="","",ROW()-6)</f>
        <v>1878</v>
      </c>
      <c r="B1884" s="80" t="s">
        <v>110</v>
      </c>
      <c r="C1884" s="113" t="s">
        <v>2298</v>
      </c>
      <c r="D1884" s="82" t="str">
        <f aca="false">IF(OR(C1884="",P1884=""),"",INDEX('CARNET DE SOUDURE'!$D$7:$D$3006,P1884)&amp;"")</f>
        <v>17</v>
      </c>
      <c r="E1884" s="114" t="n">
        <f aca="false">IF(OR(C1884="",P1884=""),"",IF(INDEX('CARNET DE SOUDURE'!$U$7:$U$3006,P1884)="","",INDEX('CARNET DE SOUDURE'!$U$7:$U$3006,P1884)))</f>
        <v>46255</v>
      </c>
      <c r="F1884" s="82" t="str">
        <f aca="false">IF(OR(C1884="",P1884=""),"",INDEX('CARNET DE SOUDURE'!$AP$7:$AP$3006,P1884))</f>
        <v>A</v>
      </c>
      <c r="G1884" s="82" t="str">
        <f aca="false">IF(C1884="","",IF(P1884="","NJ INCONNU",INDEX('CARNET DE SOUDURE'!$AQ$7:$AQ$3006,P1884)))</f>
        <v>ACCEPTÉ</v>
      </c>
      <c r="H1884" s="82" t="str">
        <f aca="false">IF(C1884="","",IF(G1884="ACCEPTÉ","OUI","NON"))</f>
        <v>OUI</v>
      </c>
      <c r="I1884" s="83"/>
      <c r="J1884" s="80"/>
      <c r="K1884" s="81"/>
      <c r="L1884" s="81"/>
      <c r="M1884" s="81"/>
      <c r="N1884" s="84" t="str">
        <f aca="false">IF(C1884="","",IF(P1884="","NJ INCONNU",IF(I1884="",IF(H1884="OUI","À ENROBER",IF(G1884="À SOUDER","NON SOUDÉ","EN ATTENTE RT")),IF(L1884="R","À REPRENDRE",IF(H1884&lt;&gt;"OUI","⚠ ENROBÉ AVANT ACCEPTATION RT","ENROBÉ")))))</f>
        <v>À ENROBER</v>
      </c>
      <c r="O1884" s="80"/>
      <c r="P1884" s="82" t="n">
        <f aca="false">IF(C1884="","",IFERROR(MATCH(Q1884,'CARNET DE SOUDURE'!$AW$7:$AW$3006,0),""))</f>
        <v>1878</v>
      </c>
      <c r="Q1884" s="82" t="str">
        <f aca="false">IF(C1884="","",B1884&amp;"|"&amp;C1884)</f>
        <v>MFD-ISW → MFD-CPF|DJ°078</v>
      </c>
    </row>
    <row r="1885" customFormat="false" ht="74.6" hidden="false" customHeight="false" outlineLevel="0" collapsed="false">
      <c r="A1885" s="82" t="n">
        <f aca="false">IF(C1885="","",ROW()-6)</f>
        <v>1879</v>
      </c>
      <c r="B1885" s="80" t="s">
        <v>110</v>
      </c>
      <c r="C1885" s="113" t="s">
        <v>2301</v>
      </c>
      <c r="D1885" s="82" t="str">
        <f aca="false">IF(OR(C1885="",P1885=""),"",INDEX('CARNET DE SOUDURE'!$D$7:$D$3006,P1885)&amp;"")</f>
        <v>17</v>
      </c>
      <c r="E1885" s="114" t="n">
        <f aca="false">IF(OR(C1885="",P1885=""),"",IF(INDEX('CARNET DE SOUDURE'!$U$7:$U$3006,P1885)="","",INDEX('CARNET DE SOUDURE'!$U$7:$U$3006,P1885)))</f>
        <v>46269</v>
      </c>
      <c r="F1885" s="82" t="str">
        <f aca="false">IF(OR(C1885="",P1885=""),"",INDEX('CARNET DE SOUDURE'!$AP$7:$AP$3006,P1885))</f>
        <v>A</v>
      </c>
      <c r="G1885" s="82" t="str">
        <f aca="false">IF(C1885="","",IF(P1885="","NJ INCONNU",INDEX('CARNET DE SOUDURE'!$AQ$7:$AQ$3006,P1885)))</f>
        <v>ACCEPTÉ</v>
      </c>
      <c r="H1885" s="82" t="str">
        <f aca="false">IF(C1885="","",IF(G1885="ACCEPTÉ","OUI","NON"))</f>
        <v>OUI</v>
      </c>
      <c r="I1885" s="83"/>
      <c r="J1885" s="80"/>
      <c r="K1885" s="81"/>
      <c r="L1885" s="81"/>
      <c r="M1885" s="81"/>
      <c r="N1885" s="84" t="str">
        <f aca="false">IF(C1885="","",IF(P1885="","NJ INCONNU",IF(I1885="",IF(H1885="OUI","À ENROBER",IF(G1885="À SOUDER","NON SOUDÉ","EN ATTENTE RT")),IF(L1885="R","À REPRENDRE",IF(H1885&lt;&gt;"OUI","⚠ ENROBÉ AVANT ACCEPTATION RT","ENROBÉ")))))</f>
        <v>À ENROBER</v>
      </c>
      <c r="O1885" s="80"/>
      <c r="P1885" s="82" t="n">
        <f aca="false">IF(C1885="","",IFERROR(MATCH(Q1885,'CARNET DE SOUDURE'!$AW$7:$AW$3006,0),""))</f>
        <v>1879</v>
      </c>
      <c r="Q1885" s="82" t="str">
        <f aca="false">IF(C1885="","",B1885&amp;"|"&amp;C1885)</f>
        <v>MFD-ISW → MFD-CPF|JN°1467</v>
      </c>
    </row>
    <row r="1886" customFormat="false" ht="74.6" hidden="false" customHeight="false" outlineLevel="0" collapsed="false">
      <c r="A1886" s="82" t="n">
        <f aca="false">IF(C1886="","",ROW()-6)</f>
        <v>1880</v>
      </c>
      <c r="B1886" s="80" t="s">
        <v>110</v>
      </c>
      <c r="C1886" s="113" t="s">
        <v>2302</v>
      </c>
      <c r="D1886" s="82" t="str">
        <f aca="false">IF(OR(C1886="",P1886=""),"",INDEX('CARNET DE SOUDURE'!$D$7:$D$3006,P1886)&amp;"")</f>
        <v>17</v>
      </c>
      <c r="E1886" s="114" t="n">
        <f aca="false">IF(OR(C1886="",P1886=""),"",IF(INDEX('CARNET DE SOUDURE'!$U$7:$U$3006,P1886)="","",INDEX('CARNET DE SOUDURE'!$U$7:$U$3006,P1886)))</f>
        <v>46257</v>
      </c>
      <c r="F1886" s="82" t="str">
        <f aca="false">IF(OR(C1886="",P1886=""),"",INDEX('CARNET DE SOUDURE'!$AP$7:$AP$3006,P1886))</f>
        <v>A</v>
      </c>
      <c r="G1886" s="82" t="str">
        <f aca="false">IF(C1886="","",IF(P1886="","NJ INCONNU",INDEX('CARNET DE SOUDURE'!$AQ$7:$AQ$3006,P1886)))</f>
        <v>ACCEPTÉ</v>
      </c>
      <c r="H1886" s="82" t="str">
        <f aca="false">IF(C1886="","",IF(G1886="ACCEPTÉ","OUI","NON"))</f>
        <v>OUI</v>
      </c>
      <c r="I1886" s="83"/>
      <c r="J1886" s="80"/>
      <c r="K1886" s="81"/>
      <c r="L1886" s="81"/>
      <c r="M1886" s="81"/>
      <c r="N1886" s="84" t="str">
        <f aca="false">IF(C1886="","",IF(P1886="","NJ INCONNU",IF(I1886="",IF(H1886="OUI","À ENROBER",IF(G1886="À SOUDER","NON SOUDÉ","EN ATTENTE RT")),IF(L1886="R","À REPRENDRE",IF(H1886&lt;&gt;"OUI","⚠ ENROBÉ AVANT ACCEPTATION RT","ENROBÉ")))))</f>
        <v>À ENROBER</v>
      </c>
      <c r="O1886" s="80"/>
      <c r="P1886" s="82" t="n">
        <f aca="false">IF(C1886="","",IFERROR(MATCH(Q1886,'CARNET DE SOUDURE'!$AW$7:$AW$3006,0),""))</f>
        <v>1880</v>
      </c>
      <c r="Q1886" s="82" t="str">
        <f aca="false">IF(C1886="","",B1886&amp;"|"&amp;C1886)</f>
        <v>MFD-ISW → MFD-CPF|DJ°109</v>
      </c>
    </row>
    <row r="1887" customFormat="false" ht="74.6" hidden="false" customHeight="false" outlineLevel="0" collapsed="false">
      <c r="A1887" s="82" t="n">
        <f aca="false">IF(C1887="","",ROW()-6)</f>
        <v>1881</v>
      </c>
      <c r="B1887" s="80" t="s">
        <v>110</v>
      </c>
      <c r="C1887" s="113" t="s">
        <v>2303</v>
      </c>
      <c r="D1887" s="82" t="str">
        <f aca="false">IF(OR(C1887="",P1887=""),"",INDEX('CARNET DE SOUDURE'!$D$7:$D$3006,P1887)&amp;"")</f>
        <v>17</v>
      </c>
      <c r="E1887" s="114" t="n">
        <f aca="false">IF(OR(C1887="",P1887=""),"",IF(INDEX('CARNET DE SOUDURE'!$U$7:$U$3006,P1887)="","",INDEX('CARNET DE SOUDURE'!$U$7:$U$3006,P1887)))</f>
        <v>46269</v>
      </c>
      <c r="F1887" s="82" t="str">
        <f aca="false">IF(OR(C1887="",P1887=""),"",INDEX('CARNET DE SOUDURE'!$AP$7:$AP$3006,P1887))</f>
        <v>A</v>
      </c>
      <c r="G1887" s="82" t="str">
        <f aca="false">IF(C1887="","",IF(P1887="","NJ INCONNU",INDEX('CARNET DE SOUDURE'!$AQ$7:$AQ$3006,P1887)))</f>
        <v>ACCEPTÉ</v>
      </c>
      <c r="H1887" s="82" t="str">
        <f aca="false">IF(C1887="","",IF(G1887="ACCEPTÉ","OUI","NON"))</f>
        <v>OUI</v>
      </c>
      <c r="I1887" s="83"/>
      <c r="J1887" s="80"/>
      <c r="K1887" s="81"/>
      <c r="L1887" s="81"/>
      <c r="M1887" s="81"/>
      <c r="N1887" s="84" t="str">
        <f aca="false">IF(C1887="","",IF(P1887="","NJ INCONNU",IF(I1887="",IF(H1887="OUI","À ENROBER",IF(G1887="À SOUDER","NON SOUDÉ","EN ATTENTE RT")),IF(L1887="R","À REPRENDRE",IF(H1887&lt;&gt;"OUI","⚠ ENROBÉ AVANT ACCEPTATION RT","ENROBÉ")))))</f>
        <v>À ENROBER</v>
      </c>
      <c r="O1887" s="80"/>
      <c r="P1887" s="82" t="n">
        <f aca="false">IF(C1887="","",IFERROR(MATCH(Q1887,'CARNET DE SOUDURE'!$AW$7:$AW$3006,0),""))</f>
        <v>1881</v>
      </c>
      <c r="Q1887" s="82" t="str">
        <f aca="false">IF(C1887="","",B1887&amp;"|"&amp;C1887)</f>
        <v>MFD-ISW → MFD-CPF|JN°1468</v>
      </c>
    </row>
    <row r="1888" customFormat="false" ht="74.6" hidden="false" customHeight="false" outlineLevel="0" collapsed="false">
      <c r="A1888" s="82" t="n">
        <f aca="false">IF(C1888="","",ROW()-6)</f>
        <v>1882</v>
      </c>
      <c r="B1888" s="80" t="s">
        <v>110</v>
      </c>
      <c r="C1888" s="113" t="s">
        <v>2304</v>
      </c>
      <c r="D1888" s="82" t="str">
        <f aca="false">IF(OR(C1888="",P1888=""),"",INDEX('CARNET DE SOUDURE'!$D$7:$D$3006,P1888)&amp;"")</f>
        <v>17</v>
      </c>
      <c r="E1888" s="114" t="n">
        <f aca="false">IF(OR(C1888="",P1888=""),"",IF(INDEX('CARNET DE SOUDURE'!$U$7:$U$3006,P1888)="","",INDEX('CARNET DE SOUDURE'!$U$7:$U$3006,P1888)))</f>
        <v>46258</v>
      </c>
      <c r="F1888" s="82" t="str">
        <f aca="false">IF(OR(C1888="",P1888=""),"",INDEX('CARNET DE SOUDURE'!$AP$7:$AP$3006,P1888))</f>
        <v>A</v>
      </c>
      <c r="G1888" s="82" t="str">
        <f aca="false">IF(C1888="","",IF(P1888="","NJ INCONNU",INDEX('CARNET DE SOUDURE'!$AQ$7:$AQ$3006,P1888)))</f>
        <v>ACCEPTÉ</v>
      </c>
      <c r="H1888" s="82" t="str">
        <f aca="false">IF(C1888="","",IF(G1888="ACCEPTÉ","OUI","NON"))</f>
        <v>OUI</v>
      </c>
      <c r="I1888" s="83"/>
      <c r="J1888" s="80"/>
      <c r="K1888" s="81"/>
      <c r="L1888" s="81"/>
      <c r="M1888" s="81"/>
      <c r="N1888" s="84" t="str">
        <f aca="false">IF(C1888="","",IF(P1888="","NJ INCONNU",IF(I1888="",IF(H1888="OUI","À ENROBER",IF(G1888="À SOUDER","NON SOUDÉ","EN ATTENTE RT")),IF(L1888="R","À REPRENDRE",IF(H1888&lt;&gt;"OUI","⚠ ENROBÉ AVANT ACCEPTATION RT","ENROBÉ")))))</f>
        <v>À ENROBER</v>
      </c>
      <c r="O1888" s="80"/>
      <c r="P1888" s="82" t="n">
        <f aca="false">IF(C1888="","",IFERROR(MATCH(Q1888,'CARNET DE SOUDURE'!$AW$7:$AW$3006,0),""))</f>
        <v>1882</v>
      </c>
      <c r="Q1888" s="82" t="str">
        <f aca="false">IF(C1888="","",B1888&amp;"|"&amp;C1888)</f>
        <v>MFD-ISW → MFD-CPF|DJ°118</v>
      </c>
    </row>
    <row r="1889" customFormat="false" ht="74.6" hidden="false" customHeight="false" outlineLevel="0" collapsed="false">
      <c r="A1889" s="82" t="n">
        <f aca="false">IF(C1889="","",ROW()-6)</f>
        <v>1883</v>
      </c>
      <c r="B1889" s="80" t="s">
        <v>110</v>
      </c>
      <c r="C1889" s="113" t="s">
        <v>2306</v>
      </c>
      <c r="D1889" s="82" t="str">
        <f aca="false">IF(OR(C1889="",P1889=""),"",INDEX('CARNET DE SOUDURE'!$D$7:$D$3006,P1889)&amp;"")</f>
        <v>17</v>
      </c>
      <c r="E1889" s="114" t="n">
        <f aca="false">IF(OR(C1889="",P1889=""),"",IF(INDEX('CARNET DE SOUDURE'!$U$7:$U$3006,P1889)="","",INDEX('CARNET DE SOUDURE'!$U$7:$U$3006,P1889)))</f>
        <v>46269</v>
      </c>
      <c r="F1889" s="82" t="str">
        <f aca="false">IF(OR(C1889="",P1889=""),"",INDEX('CARNET DE SOUDURE'!$AP$7:$AP$3006,P1889))</f>
        <v>A</v>
      </c>
      <c r="G1889" s="82" t="str">
        <f aca="false">IF(C1889="","",IF(P1889="","NJ INCONNU",INDEX('CARNET DE SOUDURE'!$AQ$7:$AQ$3006,P1889)))</f>
        <v>ACCEPTÉ</v>
      </c>
      <c r="H1889" s="82" t="str">
        <f aca="false">IF(C1889="","",IF(G1889="ACCEPTÉ","OUI","NON"))</f>
        <v>OUI</v>
      </c>
      <c r="I1889" s="83"/>
      <c r="J1889" s="80"/>
      <c r="K1889" s="81"/>
      <c r="L1889" s="81"/>
      <c r="M1889" s="81"/>
      <c r="N1889" s="84" t="str">
        <f aca="false">IF(C1889="","",IF(P1889="","NJ INCONNU",IF(I1889="",IF(H1889="OUI","À ENROBER",IF(G1889="À SOUDER","NON SOUDÉ","EN ATTENTE RT")),IF(L1889="R","À REPRENDRE",IF(H1889&lt;&gt;"OUI","⚠ ENROBÉ AVANT ACCEPTATION RT","ENROBÉ")))))</f>
        <v>À ENROBER</v>
      </c>
      <c r="O1889" s="80"/>
      <c r="P1889" s="82" t="n">
        <f aca="false">IF(C1889="","",IFERROR(MATCH(Q1889,'CARNET DE SOUDURE'!$AW$7:$AW$3006,0),""))</f>
        <v>1883</v>
      </c>
      <c r="Q1889" s="82" t="str">
        <f aca="false">IF(C1889="","",B1889&amp;"|"&amp;C1889)</f>
        <v>MFD-ISW → MFD-CPF|JN°1469</v>
      </c>
    </row>
    <row r="1890" customFormat="false" ht="74.6" hidden="false" customHeight="false" outlineLevel="0" collapsed="false">
      <c r="A1890" s="82" t="n">
        <f aca="false">IF(C1890="","",ROW()-6)</f>
        <v>1884</v>
      </c>
      <c r="B1890" s="80" t="s">
        <v>110</v>
      </c>
      <c r="C1890" s="113" t="s">
        <v>2307</v>
      </c>
      <c r="D1890" s="82" t="str">
        <f aca="false">IF(OR(C1890="",P1890=""),"",INDEX('CARNET DE SOUDURE'!$D$7:$D$3006,P1890)&amp;"")</f>
        <v>17</v>
      </c>
      <c r="E1890" s="114" t="n">
        <f aca="false">IF(OR(C1890="",P1890=""),"",IF(INDEX('CARNET DE SOUDURE'!$U$7:$U$3006,P1890)="","",INDEX('CARNET DE SOUDURE'!$U$7:$U$3006,P1890)))</f>
        <v>46248</v>
      </c>
      <c r="F1890" s="82" t="str">
        <f aca="false">IF(OR(C1890="",P1890=""),"",INDEX('CARNET DE SOUDURE'!$AP$7:$AP$3006,P1890))</f>
        <v>A</v>
      </c>
      <c r="G1890" s="82" t="str">
        <f aca="false">IF(C1890="","",IF(P1890="","NJ INCONNU",INDEX('CARNET DE SOUDURE'!$AQ$7:$AQ$3006,P1890)))</f>
        <v>ACCEPTÉ</v>
      </c>
      <c r="H1890" s="82" t="str">
        <f aca="false">IF(C1890="","",IF(G1890="ACCEPTÉ","OUI","NON"))</f>
        <v>OUI</v>
      </c>
      <c r="I1890" s="83"/>
      <c r="J1890" s="80"/>
      <c r="K1890" s="81"/>
      <c r="L1890" s="81"/>
      <c r="M1890" s="81"/>
      <c r="N1890" s="84" t="str">
        <f aca="false">IF(C1890="","",IF(P1890="","NJ INCONNU",IF(I1890="",IF(H1890="OUI","À ENROBER",IF(G1890="À SOUDER","NON SOUDÉ","EN ATTENTE RT")),IF(L1890="R","À REPRENDRE",IF(H1890&lt;&gt;"OUI","⚠ ENROBÉ AVANT ACCEPTATION RT","ENROBÉ")))))</f>
        <v>À ENROBER</v>
      </c>
      <c r="O1890" s="80"/>
      <c r="P1890" s="82" t="n">
        <f aca="false">IF(C1890="","",IFERROR(MATCH(Q1890,'CARNET DE SOUDURE'!$AW$7:$AW$3006,0),""))</f>
        <v>1884</v>
      </c>
      <c r="Q1890" s="82" t="str">
        <f aca="false">IF(C1890="","",B1890&amp;"|"&amp;C1890)</f>
        <v>MFD-ISW → MFD-CPF|DJ°001</v>
      </c>
    </row>
    <row r="1891" customFormat="false" ht="74.6" hidden="false" customHeight="false" outlineLevel="0" collapsed="false">
      <c r="A1891" s="82" t="n">
        <f aca="false">IF(C1891="","",ROW()-6)</f>
        <v>1885</v>
      </c>
      <c r="B1891" s="80" t="s">
        <v>110</v>
      </c>
      <c r="C1891" s="113" t="s">
        <v>2308</v>
      </c>
      <c r="D1891" s="82" t="str">
        <f aca="false">IF(OR(C1891="",P1891=""),"",INDEX('CARNET DE SOUDURE'!$D$7:$D$3006,P1891)&amp;"")</f>
        <v>17</v>
      </c>
      <c r="E1891" s="114" t="n">
        <f aca="false">IF(OR(C1891="",P1891=""),"",IF(INDEX('CARNET DE SOUDURE'!$U$7:$U$3006,P1891)="","",INDEX('CARNET DE SOUDURE'!$U$7:$U$3006,P1891)))</f>
        <v>46269</v>
      </c>
      <c r="F1891" s="82" t="str">
        <f aca="false">IF(OR(C1891="",P1891=""),"",INDEX('CARNET DE SOUDURE'!$AP$7:$AP$3006,P1891))</f>
        <v>A</v>
      </c>
      <c r="G1891" s="82" t="str">
        <f aca="false">IF(C1891="","",IF(P1891="","NJ INCONNU",INDEX('CARNET DE SOUDURE'!$AQ$7:$AQ$3006,P1891)))</f>
        <v>ACCEPTÉ</v>
      </c>
      <c r="H1891" s="82" t="str">
        <f aca="false">IF(C1891="","",IF(G1891="ACCEPTÉ","OUI","NON"))</f>
        <v>OUI</v>
      </c>
      <c r="I1891" s="83"/>
      <c r="J1891" s="80"/>
      <c r="K1891" s="81"/>
      <c r="L1891" s="81"/>
      <c r="M1891" s="81"/>
      <c r="N1891" s="84" t="str">
        <f aca="false">IF(C1891="","",IF(P1891="","NJ INCONNU",IF(I1891="",IF(H1891="OUI","À ENROBER",IF(G1891="À SOUDER","NON SOUDÉ","EN ATTENTE RT")),IF(L1891="R","À REPRENDRE",IF(H1891&lt;&gt;"OUI","⚠ ENROBÉ AVANT ACCEPTATION RT","ENROBÉ")))))</f>
        <v>À ENROBER</v>
      </c>
      <c r="O1891" s="80"/>
      <c r="P1891" s="82" t="n">
        <f aca="false">IF(C1891="","",IFERROR(MATCH(Q1891,'CARNET DE SOUDURE'!$AW$7:$AW$3006,0),""))</f>
        <v>1885</v>
      </c>
      <c r="Q1891" s="82" t="str">
        <f aca="false">IF(C1891="","",B1891&amp;"|"&amp;C1891)</f>
        <v>MFD-ISW → MFD-CPF|JN°1470</v>
      </c>
    </row>
    <row r="1892" customFormat="false" ht="74.6" hidden="false" customHeight="false" outlineLevel="0" collapsed="false">
      <c r="A1892" s="82" t="n">
        <f aca="false">IF(C1892="","",ROW()-6)</f>
        <v>1886</v>
      </c>
      <c r="B1892" s="80" t="s">
        <v>110</v>
      </c>
      <c r="C1892" s="113" t="s">
        <v>2309</v>
      </c>
      <c r="D1892" s="82" t="str">
        <f aca="false">IF(OR(C1892="",P1892=""),"",INDEX('CARNET DE SOUDURE'!$D$7:$D$3006,P1892)&amp;"")</f>
        <v>17</v>
      </c>
      <c r="E1892" s="114" t="n">
        <f aca="false">IF(OR(C1892="",P1892=""),"",IF(INDEX('CARNET DE SOUDURE'!$U$7:$U$3006,P1892)="","",INDEX('CARNET DE SOUDURE'!$U$7:$U$3006,P1892)))</f>
        <v>46257</v>
      </c>
      <c r="F1892" s="82" t="str">
        <f aca="false">IF(OR(C1892="",P1892=""),"",INDEX('CARNET DE SOUDURE'!$AP$7:$AP$3006,P1892))</f>
        <v>A</v>
      </c>
      <c r="G1892" s="82" t="str">
        <f aca="false">IF(C1892="","",IF(P1892="","NJ INCONNU",INDEX('CARNET DE SOUDURE'!$AQ$7:$AQ$3006,P1892)))</f>
        <v>ACCEPTÉ</v>
      </c>
      <c r="H1892" s="82" t="str">
        <f aca="false">IF(C1892="","",IF(G1892="ACCEPTÉ","OUI","NON"))</f>
        <v>OUI</v>
      </c>
      <c r="I1892" s="83"/>
      <c r="J1892" s="80"/>
      <c r="K1892" s="81"/>
      <c r="L1892" s="81"/>
      <c r="M1892" s="81"/>
      <c r="N1892" s="84" t="str">
        <f aca="false">IF(C1892="","",IF(P1892="","NJ INCONNU",IF(I1892="",IF(H1892="OUI","À ENROBER",IF(G1892="À SOUDER","NON SOUDÉ","EN ATTENTE RT")),IF(L1892="R","À REPRENDRE",IF(H1892&lt;&gt;"OUI","⚠ ENROBÉ AVANT ACCEPTATION RT","ENROBÉ")))))</f>
        <v>À ENROBER</v>
      </c>
      <c r="O1892" s="80"/>
      <c r="P1892" s="82" t="n">
        <f aca="false">IF(C1892="","",IFERROR(MATCH(Q1892,'CARNET DE SOUDURE'!$AW$7:$AW$3006,0),""))</f>
        <v>1886</v>
      </c>
      <c r="Q1892" s="82" t="str">
        <f aca="false">IF(C1892="","",B1892&amp;"|"&amp;C1892)</f>
        <v>MFD-ISW → MFD-CPF|DJ°102</v>
      </c>
    </row>
    <row r="1893" customFormat="false" ht="74.6" hidden="false" customHeight="false" outlineLevel="0" collapsed="false">
      <c r="A1893" s="82" t="n">
        <f aca="false">IF(C1893="","",ROW()-6)</f>
        <v>1887</v>
      </c>
      <c r="B1893" s="80" t="s">
        <v>110</v>
      </c>
      <c r="C1893" s="113" t="s">
        <v>2310</v>
      </c>
      <c r="D1893" s="82" t="str">
        <f aca="false">IF(OR(C1893="",P1893=""),"",INDEX('CARNET DE SOUDURE'!$D$7:$D$3006,P1893)&amp;"")</f>
        <v>17</v>
      </c>
      <c r="E1893" s="114" t="n">
        <f aca="false">IF(OR(C1893="",P1893=""),"",IF(INDEX('CARNET DE SOUDURE'!$U$7:$U$3006,P1893)="","",INDEX('CARNET DE SOUDURE'!$U$7:$U$3006,P1893)))</f>
        <v>46269</v>
      </c>
      <c r="F1893" s="82" t="str">
        <f aca="false">IF(OR(C1893="",P1893=""),"",INDEX('CARNET DE SOUDURE'!$AP$7:$AP$3006,P1893))</f>
        <v>A</v>
      </c>
      <c r="G1893" s="82" t="str">
        <f aca="false">IF(C1893="","",IF(P1893="","NJ INCONNU",INDEX('CARNET DE SOUDURE'!$AQ$7:$AQ$3006,P1893)))</f>
        <v>ACCEPTÉ</v>
      </c>
      <c r="H1893" s="82" t="str">
        <f aca="false">IF(C1893="","",IF(G1893="ACCEPTÉ","OUI","NON"))</f>
        <v>OUI</v>
      </c>
      <c r="I1893" s="83"/>
      <c r="J1893" s="80"/>
      <c r="K1893" s="81"/>
      <c r="L1893" s="81"/>
      <c r="M1893" s="81"/>
      <c r="N1893" s="84" t="str">
        <f aca="false">IF(C1893="","",IF(P1893="","NJ INCONNU",IF(I1893="",IF(H1893="OUI","À ENROBER",IF(G1893="À SOUDER","NON SOUDÉ","EN ATTENTE RT")),IF(L1893="R","À REPRENDRE",IF(H1893&lt;&gt;"OUI","⚠ ENROBÉ AVANT ACCEPTATION RT","ENROBÉ")))))</f>
        <v>À ENROBER</v>
      </c>
      <c r="O1893" s="80"/>
      <c r="P1893" s="82" t="n">
        <f aca="false">IF(C1893="","",IFERROR(MATCH(Q1893,'CARNET DE SOUDURE'!$AW$7:$AW$3006,0),""))</f>
        <v>1887</v>
      </c>
      <c r="Q1893" s="82" t="str">
        <f aca="false">IF(C1893="","",B1893&amp;"|"&amp;C1893)</f>
        <v>MFD-ISW → MFD-CPF|JN°1471</v>
      </c>
    </row>
    <row r="1894" customFormat="false" ht="74.6" hidden="false" customHeight="false" outlineLevel="0" collapsed="false">
      <c r="A1894" s="82" t="n">
        <f aca="false">IF(C1894="","",ROW()-6)</f>
        <v>1888</v>
      </c>
      <c r="B1894" s="80" t="s">
        <v>110</v>
      </c>
      <c r="C1894" s="113" t="s">
        <v>2311</v>
      </c>
      <c r="D1894" s="82" t="str">
        <f aca="false">IF(OR(C1894="",P1894=""),"",INDEX('CARNET DE SOUDURE'!$D$7:$D$3006,P1894)&amp;"")</f>
        <v>17</v>
      </c>
      <c r="E1894" s="114" t="n">
        <f aca="false">IF(OR(C1894="",P1894=""),"",IF(INDEX('CARNET DE SOUDURE'!$U$7:$U$3006,P1894)="","",INDEX('CARNET DE SOUDURE'!$U$7:$U$3006,P1894)))</f>
        <v>46257</v>
      </c>
      <c r="F1894" s="82" t="str">
        <f aca="false">IF(OR(C1894="",P1894=""),"",INDEX('CARNET DE SOUDURE'!$AP$7:$AP$3006,P1894))</f>
        <v>A</v>
      </c>
      <c r="G1894" s="82" t="str">
        <f aca="false">IF(C1894="","",IF(P1894="","NJ INCONNU",INDEX('CARNET DE SOUDURE'!$AQ$7:$AQ$3006,P1894)))</f>
        <v>ACCEPTÉ</v>
      </c>
      <c r="H1894" s="82" t="str">
        <f aca="false">IF(C1894="","",IF(G1894="ACCEPTÉ","OUI","NON"))</f>
        <v>OUI</v>
      </c>
      <c r="I1894" s="83"/>
      <c r="J1894" s="80"/>
      <c r="K1894" s="81"/>
      <c r="L1894" s="81"/>
      <c r="M1894" s="81"/>
      <c r="N1894" s="84" t="str">
        <f aca="false">IF(C1894="","",IF(P1894="","NJ INCONNU",IF(I1894="",IF(H1894="OUI","À ENROBER",IF(G1894="À SOUDER","NON SOUDÉ","EN ATTENTE RT")),IF(L1894="R","À REPRENDRE",IF(H1894&lt;&gt;"OUI","⚠ ENROBÉ AVANT ACCEPTATION RT","ENROBÉ")))))</f>
        <v>À ENROBER</v>
      </c>
      <c r="O1894" s="80"/>
      <c r="P1894" s="82" t="n">
        <f aca="false">IF(C1894="","",IFERROR(MATCH(Q1894,'CARNET DE SOUDURE'!$AW$7:$AW$3006,0),""))</f>
        <v>1888</v>
      </c>
      <c r="Q1894" s="82" t="str">
        <f aca="false">IF(C1894="","",B1894&amp;"|"&amp;C1894)</f>
        <v>MFD-ISW → MFD-CPF|DJ°100</v>
      </c>
    </row>
    <row r="1895" customFormat="false" ht="74.6" hidden="false" customHeight="false" outlineLevel="0" collapsed="false">
      <c r="A1895" s="82" t="n">
        <f aca="false">IF(C1895="","",ROW()-6)</f>
        <v>1889</v>
      </c>
      <c r="B1895" s="80" t="s">
        <v>110</v>
      </c>
      <c r="C1895" s="113" t="s">
        <v>2312</v>
      </c>
      <c r="D1895" s="82" t="str">
        <f aca="false">IF(OR(C1895="",P1895=""),"",INDEX('CARNET DE SOUDURE'!$D$7:$D$3006,P1895)&amp;"")</f>
        <v>17</v>
      </c>
      <c r="E1895" s="114" t="n">
        <f aca="false">IF(OR(C1895="",P1895=""),"",IF(INDEX('CARNET DE SOUDURE'!$U$7:$U$3006,P1895)="","",INDEX('CARNET DE SOUDURE'!$U$7:$U$3006,P1895)))</f>
        <v>46269</v>
      </c>
      <c r="F1895" s="82" t="str">
        <f aca="false">IF(OR(C1895="",P1895=""),"",INDEX('CARNET DE SOUDURE'!$AP$7:$AP$3006,P1895))</f>
        <v>A</v>
      </c>
      <c r="G1895" s="82" t="str">
        <f aca="false">IF(C1895="","",IF(P1895="","NJ INCONNU",INDEX('CARNET DE SOUDURE'!$AQ$7:$AQ$3006,P1895)))</f>
        <v>ACCEPTÉ</v>
      </c>
      <c r="H1895" s="82" t="str">
        <f aca="false">IF(C1895="","",IF(G1895="ACCEPTÉ","OUI","NON"))</f>
        <v>OUI</v>
      </c>
      <c r="I1895" s="83"/>
      <c r="J1895" s="80"/>
      <c r="K1895" s="81"/>
      <c r="L1895" s="81"/>
      <c r="M1895" s="81"/>
      <c r="N1895" s="84" t="str">
        <f aca="false">IF(C1895="","",IF(P1895="","NJ INCONNU",IF(I1895="",IF(H1895="OUI","À ENROBER",IF(G1895="À SOUDER","NON SOUDÉ","EN ATTENTE RT")),IF(L1895="R","À REPRENDRE",IF(H1895&lt;&gt;"OUI","⚠ ENROBÉ AVANT ACCEPTATION RT","ENROBÉ")))))</f>
        <v>À ENROBER</v>
      </c>
      <c r="O1895" s="80"/>
      <c r="P1895" s="82" t="n">
        <f aca="false">IF(C1895="","",IFERROR(MATCH(Q1895,'CARNET DE SOUDURE'!$AW$7:$AW$3006,0),""))</f>
        <v>1889</v>
      </c>
      <c r="Q1895" s="82" t="str">
        <f aca="false">IF(C1895="","",B1895&amp;"|"&amp;C1895)</f>
        <v>MFD-ISW → MFD-CPF|JN°1472</v>
      </c>
    </row>
    <row r="1896" customFormat="false" ht="74.6" hidden="false" customHeight="false" outlineLevel="0" collapsed="false">
      <c r="A1896" s="82" t="n">
        <f aca="false">IF(C1896="","",ROW()-6)</f>
        <v>1890</v>
      </c>
      <c r="B1896" s="80" t="s">
        <v>110</v>
      </c>
      <c r="C1896" s="113" t="s">
        <v>2313</v>
      </c>
      <c r="D1896" s="82" t="str">
        <f aca="false">IF(OR(C1896="",P1896=""),"",INDEX('CARNET DE SOUDURE'!$D$7:$D$3006,P1896)&amp;"")</f>
        <v>17</v>
      </c>
      <c r="E1896" s="114" t="n">
        <f aca="false">IF(OR(C1896="",P1896=""),"",IF(INDEX('CARNET DE SOUDURE'!$U$7:$U$3006,P1896)="","",INDEX('CARNET DE SOUDURE'!$U$7:$U$3006,P1896)))</f>
        <v>46257</v>
      </c>
      <c r="F1896" s="82" t="str">
        <f aca="false">IF(OR(C1896="",P1896=""),"",INDEX('CARNET DE SOUDURE'!$AP$7:$AP$3006,P1896))</f>
        <v>A</v>
      </c>
      <c r="G1896" s="82" t="str">
        <f aca="false">IF(C1896="","",IF(P1896="","NJ INCONNU",INDEX('CARNET DE SOUDURE'!$AQ$7:$AQ$3006,P1896)))</f>
        <v>ACCEPTÉ</v>
      </c>
      <c r="H1896" s="82" t="str">
        <f aca="false">IF(C1896="","",IF(G1896="ACCEPTÉ","OUI","NON"))</f>
        <v>OUI</v>
      </c>
      <c r="I1896" s="83"/>
      <c r="J1896" s="80"/>
      <c r="K1896" s="81"/>
      <c r="L1896" s="81"/>
      <c r="M1896" s="81"/>
      <c r="N1896" s="84" t="str">
        <f aca="false">IF(C1896="","",IF(P1896="","NJ INCONNU",IF(I1896="",IF(H1896="OUI","À ENROBER",IF(G1896="À SOUDER","NON SOUDÉ","EN ATTENTE RT")),IF(L1896="R","À REPRENDRE",IF(H1896&lt;&gt;"OUI","⚠ ENROBÉ AVANT ACCEPTATION RT","ENROBÉ")))))</f>
        <v>À ENROBER</v>
      </c>
      <c r="O1896" s="80"/>
      <c r="P1896" s="82" t="n">
        <f aca="false">IF(C1896="","",IFERROR(MATCH(Q1896,'CARNET DE SOUDURE'!$AW$7:$AW$3006,0),""))</f>
        <v>1890</v>
      </c>
      <c r="Q1896" s="82" t="str">
        <f aca="false">IF(C1896="","",B1896&amp;"|"&amp;C1896)</f>
        <v>MFD-ISW → MFD-CPF|DJ°099</v>
      </c>
    </row>
    <row r="1897" customFormat="false" ht="74.6" hidden="false" customHeight="false" outlineLevel="0" collapsed="false">
      <c r="A1897" s="82" t="n">
        <f aca="false">IF(C1897="","",ROW()-6)</f>
        <v>1891</v>
      </c>
      <c r="B1897" s="80" t="s">
        <v>110</v>
      </c>
      <c r="C1897" s="113" t="s">
        <v>2314</v>
      </c>
      <c r="D1897" s="82" t="str">
        <f aca="false">IF(OR(C1897="",P1897=""),"",INDEX('CARNET DE SOUDURE'!$D$7:$D$3006,P1897)&amp;"")</f>
        <v>17</v>
      </c>
      <c r="E1897" s="114" t="n">
        <f aca="false">IF(OR(C1897="",P1897=""),"",IF(INDEX('CARNET DE SOUDURE'!$U$7:$U$3006,P1897)="","",INDEX('CARNET DE SOUDURE'!$U$7:$U$3006,P1897)))</f>
        <v>46269</v>
      </c>
      <c r="F1897" s="82" t="str">
        <f aca="false">IF(OR(C1897="",P1897=""),"",INDEX('CARNET DE SOUDURE'!$AP$7:$AP$3006,P1897))</f>
        <v>A</v>
      </c>
      <c r="G1897" s="82" t="str">
        <f aca="false">IF(C1897="","",IF(P1897="","NJ INCONNU",INDEX('CARNET DE SOUDURE'!$AQ$7:$AQ$3006,P1897)))</f>
        <v>ACCEPTÉ</v>
      </c>
      <c r="H1897" s="82" t="str">
        <f aca="false">IF(C1897="","",IF(G1897="ACCEPTÉ","OUI","NON"))</f>
        <v>OUI</v>
      </c>
      <c r="I1897" s="83"/>
      <c r="J1897" s="80"/>
      <c r="K1897" s="81"/>
      <c r="L1897" s="81"/>
      <c r="M1897" s="81"/>
      <c r="N1897" s="84" t="str">
        <f aca="false">IF(C1897="","",IF(P1897="","NJ INCONNU",IF(I1897="",IF(H1897="OUI","À ENROBER",IF(G1897="À SOUDER","NON SOUDÉ","EN ATTENTE RT")),IF(L1897="R","À REPRENDRE",IF(H1897&lt;&gt;"OUI","⚠ ENROBÉ AVANT ACCEPTATION RT","ENROBÉ")))))</f>
        <v>À ENROBER</v>
      </c>
      <c r="O1897" s="80"/>
      <c r="P1897" s="82" t="n">
        <f aca="false">IF(C1897="","",IFERROR(MATCH(Q1897,'CARNET DE SOUDURE'!$AW$7:$AW$3006,0),""))</f>
        <v>1891</v>
      </c>
      <c r="Q1897" s="82" t="str">
        <f aca="false">IF(C1897="","",B1897&amp;"|"&amp;C1897)</f>
        <v>MFD-ISW → MFD-CPF|JN°1473</v>
      </c>
    </row>
    <row r="1898" customFormat="false" ht="74.6" hidden="false" customHeight="false" outlineLevel="0" collapsed="false">
      <c r="A1898" s="82" t="n">
        <f aca="false">IF(C1898="","",ROW()-6)</f>
        <v>1892</v>
      </c>
      <c r="B1898" s="80" t="s">
        <v>110</v>
      </c>
      <c r="C1898" s="113" t="s">
        <v>2315</v>
      </c>
      <c r="D1898" s="82" t="str">
        <f aca="false">IF(OR(C1898="",P1898=""),"",INDEX('CARNET DE SOUDURE'!$D$7:$D$3006,P1898)&amp;"")</f>
        <v>17</v>
      </c>
      <c r="E1898" s="114" t="n">
        <f aca="false">IF(OR(C1898="",P1898=""),"",IF(INDEX('CARNET DE SOUDURE'!$U$7:$U$3006,P1898)="","",INDEX('CARNET DE SOUDURE'!$U$7:$U$3006,P1898)))</f>
        <v>46257</v>
      </c>
      <c r="F1898" s="82" t="str">
        <f aca="false">IF(OR(C1898="",P1898=""),"",INDEX('CARNET DE SOUDURE'!$AP$7:$AP$3006,P1898))</f>
        <v>A</v>
      </c>
      <c r="G1898" s="82" t="str">
        <f aca="false">IF(C1898="","",IF(P1898="","NJ INCONNU",INDEX('CARNET DE SOUDURE'!$AQ$7:$AQ$3006,P1898)))</f>
        <v>ACCEPTÉ</v>
      </c>
      <c r="H1898" s="82" t="str">
        <f aca="false">IF(C1898="","",IF(G1898="ACCEPTÉ","OUI","NON"))</f>
        <v>OUI</v>
      </c>
      <c r="I1898" s="83"/>
      <c r="J1898" s="80"/>
      <c r="K1898" s="81"/>
      <c r="L1898" s="81"/>
      <c r="M1898" s="81"/>
      <c r="N1898" s="84" t="str">
        <f aca="false">IF(C1898="","",IF(P1898="","NJ INCONNU",IF(I1898="",IF(H1898="OUI","À ENROBER",IF(G1898="À SOUDER","NON SOUDÉ","EN ATTENTE RT")),IF(L1898="R","À REPRENDRE",IF(H1898&lt;&gt;"OUI","⚠ ENROBÉ AVANT ACCEPTATION RT","ENROBÉ")))))</f>
        <v>À ENROBER</v>
      </c>
      <c r="O1898" s="80"/>
      <c r="P1898" s="82" t="n">
        <f aca="false">IF(C1898="","",IFERROR(MATCH(Q1898,'CARNET DE SOUDURE'!$AW$7:$AW$3006,0),""))</f>
        <v>1892</v>
      </c>
      <c r="Q1898" s="82" t="str">
        <f aca="false">IF(C1898="","",B1898&amp;"|"&amp;C1898)</f>
        <v>MFD-ISW → MFD-CPF|DJ°101</v>
      </c>
    </row>
    <row r="1899" customFormat="false" ht="74.6" hidden="false" customHeight="false" outlineLevel="0" collapsed="false">
      <c r="A1899" s="82" t="n">
        <f aca="false">IF(C1899="","",ROW()-6)</f>
        <v>1893</v>
      </c>
      <c r="B1899" s="80" t="s">
        <v>110</v>
      </c>
      <c r="C1899" s="113" t="s">
        <v>2316</v>
      </c>
      <c r="D1899" s="82" t="str">
        <f aca="false">IF(OR(C1899="",P1899=""),"",INDEX('CARNET DE SOUDURE'!$D$7:$D$3006,P1899)&amp;"")</f>
        <v>17</v>
      </c>
      <c r="E1899" s="114" t="n">
        <f aca="false">IF(OR(C1899="",P1899=""),"",IF(INDEX('CARNET DE SOUDURE'!$U$7:$U$3006,P1899)="","",INDEX('CARNET DE SOUDURE'!$U$7:$U$3006,P1899)))</f>
        <v>46269</v>
      </c>
      <c r="F1899" s="82" t="str">
        <f aca="false">IF(OR(C1899="",P1899=""),"",INDEX('CARNET DE SOUDURE'!$AP$7:$AP$3006,P1899))</f>
        <v>A</v>
      </c>
      <c r="G1899" s="82" t="str">
        <f aca="false">IF(C1899="","",IF(P1899="","NJ INCONNU",INDEX('CARNET DE SOUDURE'!$AQ$7:$AQ$3006,P1899)))</f>
        <v>ACCEPTÉ</v>
      </c>
      <c r="H1899" s="82" t="str">
        <f aca="false">IF(C1899="","",IF(G1899="ACCEPTÉ","OUI","NON"))</f>
        <v>OUI</v>
      </c>
      <c r="I1899" s="83"/>
      <c r="J1899" s="80"/>
      <c r="K1899" s="81"/>
      <c r="L1899" s="81"/>
      <c r="M1899" s="81"/>
      <c r="N1899" s="84" t="str">
        <f aca="false">IF(C1899="","",IF(P1899="","NJ INCONNU",IF(I1899="",IF(H1899="OUI","À ENROBER",IF(G1899="À SOUDER","NON SOUDÉ","EN ATTENTE RT")),IF(L1899="R","À REPRENDRE",IF(H1899&lt;&gt;"OUI","⚠ ENROBÉ AVANT ACCEPTATION RT","ENROBÉ")))))</f>
        <v>À ENROBER</v>
      </c>
      <c r="O1899" s="80"/>
      <c r="P1899" s="82" t="n">
        <f aca="false">IF(C1899="","",IFERROR(MATCH(Q1899,'CARNET DE SOUDURE'!$AW$7:$AW$3006,0),""))</f>
        <v>1893</v>
      </c>
      <c r="Q1899" s="82" t="str">
        <f aca="false">IF(C1899="","",B1899&amp;"|"&amp;C1899)</f>
        <v>MFD-ISW → MFD-CPF|JN°1474</v>
      </c>
    </row>
    <row r="1900" customFormat="false" ht="74.6" hidden="false" customHeight="false" outlineLevel="0" collapsed="false">
      <c r="A1900" s="82" t="n">
        <f aca="false">IF(C1900="","",ROW()-6)</f>
        <v>1894</v>
      </c>
      <c r="B1900" s="80" t="s">
        <v>110</v>
      </c>
      <c r="C1900" s="113" t="s">
        <v>2317</v>
      </c>
      <c r="D1900" s="82" t="str">
        <f aca="false">IF(OR(C1900="",P1900=""),"",INDEX('CARNET DE SOUDURE'!$D$7:$D$3006,P1900)&amp;"")</f>
        <v>17</v>
      </c>
      <c r="E1900" s="114" t="n">
        <f aca="false">IF(OR(C1900="",P1900=""),"",IF(INDEX('CARNET DE SOUDURE'!$U$7:$U$3006,P1900)="","",INDEX('CARNET DE SOUDURE'!$U$7:$U$3006,P1900)))</f>
        <v>46249</v>
      </c>
      <c r="F1900" s="82" t="str">
        <f aca="false">IF(OR(C1900="",P1900=""),"",INDEX('CARNET DE SOUDURE'!$AP$7:$AP$3006,P1900))</f>
        <v>A</v>
      </c>
      <c r="G1900" s="82" t="str">
        <f aca="false">IF(C1900="","",IF(P1900="","NJ INCONNU",INDEX('CARNET DE SOUDURE'!$AQ$7:$AQ$3006,P1900)))</f>
        <v>ACCEPTÉ</v>
      </c>
      <c r="H1900" s="82" t="str">
        <f aca="false">IF(C1900="","",IF(G1900="ACCEPTÉ","OUI","NON"))</f>
        <v>OUI</v>
      </c>
      <c r="I1900" s="83"/>
      <c r="J1900" s="80"/>
      <c r="K1900" s="81"/>
      <c r="L1900" s="81"/>
      <c r="M1900" s="81"/>
      <c r="N1900" s="84" t="str">
        <f aca="false">IF(C1900="","",IF(P1900="","NJ INCONNU",IF(I1900="",IF(H1900="OUI","À ENROBER",IF(G1900="À SOUDER","NON SOUDÉ","EN ATTENTE RT")),IF(L1900="R","À REPRENDRE",IF(H1900&lt;&gt;"OUI","⚠ ENROBÉ AVANT ACCEPTATION RT","ENROBÉ")))))</f>
        <v>À ENROBER</v>
      </c>
      <c r="O1900" s="80"/>
      <c r="P1900" s="82" t="n">
        <f aca="false">IF(C1900="","",IFERROR(MATCH(Q1900,'CARNET DE SOUDURE'!$AW$7:$AW$3006,0),""))</f>
        <v>1894</v>
      </c>
      <c r="Q1900" s="82" t="str">
        <f aca="false">IF(C1900="","",B1900&amp;"|"&amp;C1900)</f>
        <v>MFD-ISW → MFD-CPF|DJ°011</v>
      </c>
    </row>
    <row r="1901" customFormat="false" ht="74.6" hidden="false" customHeight="false" outlineLevel="0" collapsed="false">
      <c r="A1901" s="82" t="n">
        <f aca="false">IF(C1901="","",ROW()-6)</f>
        <v>1895</v>
      </c>
      <c r="B1901" s="80" t="s">
        <v>110</v>
      </c>
      <c r="C1901" s="113" t="s">
        <v>2318</v>
      </c>
      <c r="D1901" s="82" t="str">
        <f aca="false">IF(OR(C1901="",P1901=""),"",INDEX('CARNET DE SOUDURE'!$D$7:$D$3006,P1901)&amp;"")</f>
        <v>17</v>
      </c>
      <c r="E1901" s="114" t="n">
        <f aca="false">IF(OR(C1901="",P1901=""),"",IF(INDEX('CARNET DE SOUDURE'!$U$7:$U$3006,P1901)="","",INDEX('CARNET DE SOUDURE'!$U$7:$U$3006,P1901)))</f>
        <v>46269</v>
      </c>
      <c r="F1901" s="82" t="str">
        <f aca="false">IF(OR(C1901="",P1901=""),"",INDEX('CARNET DE SOUDURE'!$AP$7:$AP$3006,P1901))</f>
        <v>A</v>
      </c>
      <c r="G1901" s="82" t="str">
        <f aca="false">IF(C1901="","",IF(P1901="","NJ INCONNU",INDEX('CARNET DE SOUDURE'!$AQ$7:$AQ$3006,P1901)))</f>
        <v>ACCEPTÉ</v>
      </c>
      <c r="H1901" s="82" t="str">
        <f aca="false">IF(C1901="","",IF(G1901="ACCEPTÉ","OUI","NON"))</f>
        <v>OUI</v>
      </c>
      <c r="I1901" s="83"/>
      <c r="J1901" s="80"/>
      <c r="K1901" s="81"/>
      <c r="L1901" s="81"/>
      <c r="M1901" s="81"/>
      <c r="N1901" s="84" t="str">
        <f aca="false">IF(C1901="","",IF(P1901="","NJ INCONNU",IF(I1901="",IF(H1901="OUI","À ENROBER",IF(G1901="À SOUDER","NON SOUDÉ","EN ATTENTE RT")),IF(L1901="R","À REPRENDRE",IF(H1901&lt;&gt;"OUI","⚠ ENROBÉ AVANT ACCEPTATION RT","ENROBÉ")))))</f>
        <v>À ENROBER</v>
      </c>
      <c r="O1901" s="80"/>
      <c r="P1901" s="82" t="n">
        <f aca="false">IF(C1901="","",IFERROR(MATCH(Q1901,'CARNET DE SOUDURE'!$AW$7:$AW$3006,0),""))</f>
        <v>1895</v>
      </c>
      <c r="Q1901" s="82" t="str">
        <f aca="false">IF(C1901="","",B1901&amp;"|"&amp;C1901)</f>
        <v>MFD-ISW → MFD-CPF|JN°1475</v>
      </c>
    </row>
    <row r="1902" customFormat="false" ht="74.6" hidden="false" customHeight="false" outlineLevel="0" collapsed="false">
      <c r="A1902" s="82" t="n">
        <f aca="false">IF(C1902="","",ROW()-6)</f>
        <v>1896</v>
      </c>
      <c r="B1902" s="80" t="s">
        <v>110</v>
      </c>
      <c r="C1902" s="113" t="s">
        <v>2319</v>
      </c>
      <c r="D1902" s="82" t="str">
        <f aca="false">IF(OR(C1902="",P1902=""),"",INDEX('CARNET DE SOUDURE'!$D$7:$D$3006,P1902)&amp;"")</f>
        <v>17</v>
      </c>
      <c r="E1902" s="114" t="n">
        <f aca="false">IF(OR(C1902="",P1902=""),"",IF(INDEX('CARNET DE SOUDURE'!$U$7:$U$3006,P1902)="","",INDEX('CARNET DE SOUDURE'!$U$7:$U$3006,P1902)))</f>
        <v>46250</v>
      </c>
      <c r="F1902" s="82" t="str">
        <f aca="false">IF(OR(C1902="",P1902=""),"",INDEX('CARNET DE SOUDURE'!$AP$7:$AP$3006,P1902))</f>
        <v>A</v>
      </c>
      <c r="G1902" s="82" t="str">
        <f aca="false">IF(C1902="","",IF(P1902="","NJ INCONNU",INDEX('CARNET DE SOUDURE'!$AQ$7:$AQ$3006,P1902)))</f>
        <v>ACCEPTÉ</v>
      </c>
      <c r="H1902" s="82" t="str">
        <f aca="false">IF(C1902="","",IF(G1902="ACCEPTÉ","OUI","NON"))</f>
        <v>OUI</v>
      </c>
      <c r="I1902" s="83"/>
      <c r="J1902" s="80"/>
      <c r="K1902" s="81"/>
      <c r="L1902" s="81"/>
      <c r="M1902" s="81"/>
      <c r="N1902" s="84" t="str">
        <f aca="false">IF(C1902="","",IF(P1902="","NJ INCONNU",IF(I1902="",IF(H1902="OUI","À ENROBER",IF(G1902="À SOUDER","NON SOUDÉ","EN ATTENTE RT")),IF(L1902="R","À REPRENDRE",IF(H1902&lt;&gt;"OUI","⚠ ENROBÉ AVANT ACCEPTATION RT","ENROBÉ")))))</f>
        <v>À ENROBER</v>
      </c>
      <c r="O1902" s="80"/>
      <c r="P1902" s="82" t="n">
        <f aca="false">IF(C1902="","",IFERROR(MATCH(Q1902,'CARNET DE SOUDURE'!$AW$7:$AW$3006,0),""))</f>
        <v>1896</v>
      </c>
      <c r="Q1902" s="82" t="str">
        <f aca="false">IF(C1902="","",B1902&amp;"|"&amp;C1902)</f>
        <v>MFD-ISW → MFD-CPF|DJ°025</v>
      </c>
    </row>
    <row r="1903" customFormat="false" ht="74.6" hidden="false" customHeight="false" outlineLevel="0" collapsed="false">
      <c r="A1903" s="82" t="n">
        <f aca="false">IF(C1903="","",ROW()-6)</f>
        <v>1897</v>
      </c>
      <c r="B1903" s="80" t="s">
        <v>110</v>
      </c>
      <c r="C1903" s="113" t="s">
        <v>2320</v>
      </c>
      <c r="D1903" s="82" t="str">
        <f aca="false">IF(OR(C1903="",P1903=""),"",INDEX('CARNET DE SOUDURE'!$D$7:$D$3006,P1903)&amp;"")</f>
        <v>17</v>
      </c>
      <c r="E1903" s="114" t="n">
        <f aca="false">IF(OR(C1903="",P1903=""),"",IF(INDEX('CARNET DE SOUDURE'!$U$7:$U$3006,P1903)="","",INDEX('CARNET DE SOUDURE'!$U$7:$U$3006,P1903)))</f>
        <v>46289</v>
      </c>
      <c r="F1903" s="82" t="str">
        <f aca="false">IF(OR(C1903="",P1903=""),"",INDEX('CARNET DE SOUDURE'!$AP$7:$AP$3006,P1903))</f>
        <v/>
      </c>
      <c r="G1903" s="82" t="str">
        <f aca="false">IF(C1903="","",IF(P1903="","NJ INCONNU",INDEX('CARNET DE SOUDURE'!$AQ$7:$AQ$3006,P1903)))</f>
        <v>À RADIOGRAPHIER</v>
      </c>
      <c r="H1903" s="82" t="str">
        <f aca="false">IF(C1903="","",IF(G1903="ACCEPTÉ","OUI","NON"))</f>
        <v>NON</v>
      </c>
      <c r="I1903" s="83"/>
      <c r="J1903" s="80"/>
      <c r="K1903" s="81"/>
      <c r="L1903" s="81"/>
      <c r="M1903" s="81"/>
      <c r="N1903" s="84" t="str">
        <f aca="false">IF(C1903="","",IF(P1903="","NJ INCONNU",IF(I1903="",IF(H1903="OUI","À ENROBER",IF(G1903="À SOUDER","NON SOUDÉ","EN ATTENTE RT")),IF(L1903="R","À REPRENDRE",IF(H1903&lt;&gt;"OUI","⚠ ENROBÉ AVANT ACCEPTATION RT","ENROBÉ")))))</f>
        <v>EN ATTENTE RT</v>
      </c>
      <c r="O1903" s="80"/>
      <c r="P1903" s="82" t="n">
        <f aca="false">IF(C1903="","",IFERROR(MATCH(Q1903,'CARNET DE SOUDURE'!$AW$7:$AW$3006,0),""))</f>
        <v>1897</v>
      </c>
      <c r="Q1903" s="82" t="str">
        <f aca="false">IF(C1903="","",B1903&amp;"|"&amp;C1903)</f>
        <v>MFD-ISW → MFD-CPF|JN°1476R</v>
      </c>
    </row>
    <row r="1904" customFormat="false" ht="74.6" hidden="false" customHeight="false" outlineLevel="0" collapsed="false">
      <c r="A1904" s="82" t="n">
        <f aca="false">IF(C1904="","",ROW()-6)</f>
        <v>1898</v>
      </c>
      <c r="B1904" s="80" t="s">
        <v>110</v>
      </c>
      <c r="C1904" s="113" t="s">
        <v>2322</v>
      </c>
      <c r="D1904" s="82" t="str">
        <f aca="false">IF(OR(C1904="",P1904=""),"",INDEX('CARNET DE SOUDURE'!$D$7:$D$3006,P1904)&amp;"")</f>
        <v>17</v>
      </c>
      <c r="E1904" s="114" t="n">
        <f aca="false">IF(OR(C1904="",P1904=""),"",IF(INDEX('CARNET DE SOUDURE'!$U$7:$U$3006,P1904)="","",INDEX('CARNET DE SOUDURE'!$U$7:$U$3006,P1904)))</f>
        <v>46255</v>
      </c>
      <c r="F1904" s="82" t="str">
        <f aca="false">IF(OR(C1904="",P1904=""),"",INDEX('CARNET DE SOUDURE'!$AP$7:$AP$3006,P1904))</f>
        <v>A</v>
      </c>
      <c r="G1904" s="82" t="str">
        <f aca="false">IF(C1904="","",IF(P1904="","NJ INCONNU",INDEX('CARNET DE SOUDURE'!$AQ$7:$AQ$3006,P1904)))</f>
        <v>ACCEPTÉ</v>
      </c>
      <c r="H1904" s="82" t="str">
        <f aca="false">IF(C1904="","",IF(G1904="ACCEPTÉ","OUI","NON"))</f>
        <v>OUI</v>
      </c>
      <c r="I1904" s="83"/>
      <c r="J1904" s="80"/>
      <c r="K1904" s="81"/>
      <c r="L1904" s="81"/>
      <c r="M1904" s="81"/>
      <c r="N1904" s="84" t="str">
        <f aca="false">IF(C1904="","",IF(P1904="","NJ INCONNU",IF(I1904="",IF(H1904="OUI","À ENROBER",IF(G1904="À SOUDER","NON SOUDÉ","EN ATTENTE RT")),IF(L1904="R","À REPRENDRE",IF(H1904&lt;&gt;"OUI","⚠ ENROBÉ AVANT ACCEPTATION RT","ENROBÉ")))))</f>
        <v>À ENROBER</v>
      </c>
      <c r="O1904" s="80"/>
      <c r="P1904" s="82" t="n">
        <f aca="false">IF(C1904="","",IFERROR(MATCH(Q1904,'CARNET DE SOUDURE'!$AW$7:$AW$3006,0),""))</f>
        <v>1898</v>
      </c>
      <c r="Q1904" s="82" t="str">
        <f aca="false">IF(C1904="","",B1904&amp;"|"&amp;C1904)</f>
        <v>MFD-ISW → MFD-CPF|DJ°076</v>
      </c>
    </row>
    <row r="1905" customFormat="false" ht="74.6" hidden="false" customHeight="false" outlineLevel="0" collapsed="false">
      <c r="A1905" s="82" t="n">
        <f aca="false">IF(C1905="","",ROW()-6)</f>
        <v>1899</v>
      </c>
      <c r="B1905" s="80" t="s">
        <v>110</v>
      </c>
      <c r="C1905" s="113" t="s">
        <v>2323</v>
      </c>
      <c r="D1905" s="82" t="str">
        <f aca="false">IF(OR(C1905="",P1905=""),"",INDEX('CARNET DE SOUDURE'!$D$7:$D$3006,P1905)&amp;"")</f>
        <v>17</v>
      </c>
      <c r="E1905" s="114" t="n">
        <f aca="false">IF(OR(C1905="",P1905=""),"",IF(INDEX('CARNET DE SOUDURE'!$U$7:$U$3006,P1905)="","",INDEX('CARNET DE SOUDURE'!$U$7:$U$3006,P1905)))</f>
        <v>46268</v>
      </c>
      <c r="F1905" s="82" t="str">
        <f aca="false">IF(OR(C1905="",P1905=""),"",INDEX('CARNET DE SOUDURE'!$AP$7:$AP$3006,P1905))</f>
        <v>A</v>
      </c>
      <c r="G1905" s="82" t="str">
        <f aca="false">IF(C1905="","",IF(P1905="","NJ INCONNU",INDEX('CARNET DE SOUDURE'!$AQ$7:$AQ$3006,P1905)))</f>
        <v>ACCEPTÉ</v>
      </c>
      <c r="H1905" s="82" t="str">
        <f aca="false">IF(C1905="","",IF(G1905="ACCEPTÉ","OUI","NON"))</f>
        <v>OUI</v>
      </c>
      <c r="I1905" s="83"/>
      <c r="J1905" s="80"/>
      <c r="K1905" s="81"/>
      <c r="L1905" s="81"/>
      <c r="M1905" s="81"/>
      <c r="N1905" s="84" t="str">
        <f aca="false">IF(C1905="","",IF(P1905="","NJ INCONNU",IF(I1905="",IF(H1905="OUI","À ENROBER",IF(G1905="À SOUDER","NON SOUDÉ","EN ATTENTE RT")),IF(L1905="R","À REPRENDRE",IF(H1905&lt;&gt;"OUI","⚠ ENROBÉ AVANT ACCEPTATION RT","ENROBÉ")))))</f>
        <v>À ENROBER</v>
      </c>
      <c r="O1905" s="80"/>
      <c r="P1905" s="82" t="n">
        <f aca="false">IF(C1905="","",IFERROR(MATCH(Q1905,'CARNET DE SOUDURE'!$AW$7:$AW$3006,0),""))</f>
        <v>1899</v>
      </c>
      <c r="Q1905" s="82" t="str">
        <f aca="false">IF(C1905="","",B1905&amp;"|"&amp;C1905)</f>
        <v>MFD-ISW → MFD-CPF|JN°1477</v>
      </c>
    </row>
    <row r="1906" customFormat="false" ht="74.6" hidden="false" customHeight="false" outlineLevel="0" collapsed="false">
      <c r="A1906" s="82" t="n">
        <f aca="false">IF(C1906="","",ROW()-6)</f>
        <v>1900</v>
      </c>
      <c r="B1906" s="80" t="s">
        <v>110</v>
      </c>
      <c r="C1906" s="113" t="s">
        <v>2325</v>
      </c>
      <c r="D1906" s="82" t="str">
        <f aca="false">IF(OR(C1906="",P1906=""),"",INDEX('CARNET DE SOUDURE'!$D$7:$D$3006,P1906)&amp;"")</f>
        <v>17</v>
      </c>
      <c r="E1906" s="114" t="n">
        <f aca="false">IF(OR(C1906="",P1906=""),"",IF(INDEX('CARNET DE SOUDURE'!$U$7:$U$3006,P1906)="","",INDEX('CARNET DE SOUDURE'!$U$7:$U$3006,P1906)))</f>
        <v>46268</v>
      </c>
      <c r="F1906" s="82" t="str">
        <f aca="false">IF(OR(C1906="",P1906=""),"",INDEX('CARNET DE SOUDURE'!$AP$7:$AP$3006,P1906))</f>
        <v>A</v>
      </c>
      <c r="G1906" s="82" t="str">
        <f aca="false">IF(C1906="","",IF(P1906="","NJ INCONNU",INDEX('CARNET DE SOUDURE'!$AQ$7:$AQ$3006,P1906)))</f>
        <v>ACCEPTÉ</v>
      </c>
      <c r="H1906" s="82" t="str">
        <f aca="false">IF(C1906="","",IF(G1906="ACCEPTÉ","OUI","NON"))</f>
        <v>OUI</v>
      </c>
      <c r="I1906" s="83"/>
      <c r="J1906" s="80"/>
      <c r="K1906" s="81"/>
      <c r="L1906" s="81"/>
      <c r="M1906" s="81"/>
      <c r="N1906" s="84" t="str">
        <f aca="false">IF(C1906="","",IF(P1906="","NJ INCONNU",IF(I1906="",IF(H1906="OUI","À ENROBER",IF(G1906="À SOUDER","NON SOUDÉ","EN ATTENTE RT")),IF(L1906="R","À REPRENDRE",IF(H1906&lt;&gt;"OUI","⚠ ENROBÉ AVANT ACCEPTATION RT","ENROBÉ")))))</f>
        <v>À ENROBER</v>
      </c>
      <c r="O1906" s="80"/>
      <c r="P1906" s="82" t="n">
        <f aca="false">IF(C1906="","",IFERROR(MATCH(Q1906,'CARNET DE SOUDURE'!$AW$7:$AW$3006,0),""))</f>
        <v>1900</v>
      </c>
      <c r="Q1906" s="82" t="str">
        <f aca="false">IF(C1906="","",B1906&amp;"|"&amp;C1906)</f>
        <v>MFD-ISW → MFD-CPF|JN°1478</v>
      </c>
    </row>
    <row r="1907" customFormat="false" ht="74.6" hidden="false" customHeight="false" outlineLevel="0" collapsed="false">
      <c r="A1907" s="82" t="n">
        <f aca="false">IF(C1907="","",ROW()-6)</f>
        <v>1901</v>
      </c>
      <c r="B1907" s="80" t="s">
        <v>110</v>
      </c>
      <c r="C1907" s="113" t="s">
        <v>2326</v>
      </c>
      <c r="D1907" s="82" t="str">
        <f aca="false">IF(OR(C1907="",P1907=""),"",INDEX('CARNET DE SOUDURE'!$D$7:$D$3006,P1907)&amp;"")</f>
        <v>17</v>
      </c>
      <c r="E1907" s="114" t="n">
        <f aca="false">IF(OR(C1907="",P1907=""),"",IF(INDEX('CARNET DE SOUDURE'!$U$7:$U$3006,P1907)="","",INDEX('CARNET DE SOUDURE'!$U$7:$U$3006,P1907)))</f>
        <v>46289</v>
      </c>
      <c r="F1907" s="82" t="str">
        <f aca="false">IF(OR(C1907="",P1907=""),"",INDEX('CARNET DE SOUDURE'!$AP$7:$AP$3006,P1907))</f>
        <v/>
      </c>
      <c r="G1907" s="82" t="str">
        <f aca="false">IF(C1907="","",IF(P1907="","NJ INCONNU",INDEX('CARNET DE SOUDURE'!$AQ$7:$AQ$3006,P1907)))</f>
        <v>À RADIOGRAPHIER</v>
      </c>
      <c r="H1907" s="82" t="str">
        <f aca="false">IF(C1907="","",IF(G1907="ACCEPTÉ","OUI","NON"))</f>
        <v>NON</v>
      </c>
      <c r="I1907" s="83"/>
      <c r="J1907" s="80"/>
      <c r="K1907" s="81"/>
      <c r="L1907" s="81"/>
      <c r="M1907" s="81"/>
      <c r="N1907" s="84" t="str">
        <f aca="false">IF(C1907="","",IF(P1907="","NJ INCONNU",IF(I1907="",IF(H1907="OUI","À ENROBER",IF(G1907="À SOUDER","NON SOUDÉ","EN ATTENTE RT")),IF(L1907="R","À REPRENDRE",IF(H1907&lt;&gt;"OUI","⚠ ENROBÉ AVANT ACCEPTATION RT","ENROBÉ")))))</f>
        <v>EN ATTENTE RT</v>
      </c>
      <c r="O1907" s="80"/>
      <c r="P1907" s="82" t="n">
        <f aca="false">IF(C1907="","",IFERROR(MATCH(Q1907,'CARNET DE SOUDURE'!$AW$7:$AW$3006,0),""))</f>
        <v>1901</v>
      </c>
      <c r="Q1907" s="82" t="str">
        <f aca="false">IF(C1907="","",B1907&amp;"|"&amp;C1907)</f>
        <v>MFD-ISW → MFD-CPF|JN°1479R</v>
      </c>
    </row>
    <row r="1908" customFormat="false" ht="74.6" hidden="false" customHeight="false" outlineLevel="0" collapsed="false">
      <c r="A1908" s="82" t="n">
        <f aca="false">IF(C1908="","",ROW()-6)</f>
        <v>1902</v>
      </c>
      <c r="B1908" s="80" t="s">
        <v>110</v>
      </c>
      <c r="C1908" s="113" t="s">
        <v>2328</v>
      </c>
      <c r="D1908" s="82" t="str">
        <f aca="false">IF(OR(C1908="",P1908=""),"",INDEX('CARNET DE SOUDURE'!$D$7:$D$3006,P1908)&amp;"")</f>
        <v>17</v>
      </c>
      <c r="E1908" s="114" t="n">
        <f aca="false">IF(OR(C1908="",P1908=""),"",IF(INDEX('CARNET DE SOUDURE'!$U$7:$U$3006,P1908)="","",INDEX('CARNET DE SOUDURE'!$U$7:$U$3006,P1908)))</f>
        <v>46268</v>
      </c>
      <c r="F1908" s="82" t="str">
        <f aca="false">IF(OR(C1908="",P1908=""),"",INDEX('CARNET DE SOUDURE'!$AP$7:$AP$3006,P1908))</f>
        <v>A</v>
      </c>
      <c r="G1908" s="82" t="str">
        <f aca="false">IF(C1908="","",IF(P1908="","NJ INCONNU",INDEX('CARNET DE SOUDURE'!$AQ$7:$AQ$3006,P1908)))</f>
        <v>ACCEPTÉ</v>
      </c>
      <c r="H1908" s="82" t="str">
        <f aca="false">IF(C1908="","",IF(G1908="ACCEPTÉ","OUI","NON"))</f>
        <v>OUI</v>
      </c>
      <c r="I1908" s="83"/>
      <c r="J1908" s="80"/>
      <c r="K1908" s="81"/>
      <c r="L1908" s="81"/>
      <c r="M1908" s="81"/>
      <c r="N1908" s="84" t="str">
        <f aca="false">IF(C1908="","",IF(P1908="","NJ INCONNU",IF(I1908="",IF(H1908="OUI","À ENROBER",IF(G1908="À SOUDER","NON SOUDÉ","EN ATTENTE RT")),IF(L1908="R","À REPRENDRE",IF(H1908&lt;&gt;"OUI","⚠ ENROBÉ AVANT ACCEPTATION RT","ENROBÉ")))))</f>
        <v>À ENROBER</v>
      </c>
      <c r="O1908" s="80"/>
      <c r="P1908" s="82" t="n">
        <f aca="false">IF(C1908="","",IFERROR(MATCH(Q1908,'CARNET DE SOUDURE'!$AW$7:$AW$3006,0),""))</f>
        <v>1902</v>
      </c>
      <c r="Q1908" s="82" t="str">
        <f aca="false">IF(C1908="","",B1908&amp;"|"&amp;C1908)</f>
        <v>MFD-ISW → MFD-CPF|JN°1480</v>
      </c>
    </row>
    <row r="1909" customFormat="false" ht="74.6" hidden="false" customHeight="false" outlineLevel="0" collapsed="false">
      <c r="A1909" s="82" t="n">
        <f aca="false">IF(C1909="","",ROW()-6)</f>
        <v>1903</v>
      </c>
      <c r="B1909" s="80" t="s">
        <v>110</v>
      </c>
      <c r="C1909" s="113" t="s">
        <v>2329</v>
      </c>
      <c r="D1909" s="82" t="str">
        <f aca="false">IF(OR(C1909="",P1909=""),"",INDEX('CARNET DE SOUDURE'!$D$7:$D$3006,P1909)&amp;"")</f>
        <v>17</v>
      </c>
      <c r="E1909" s="114" t="n">
        <f aca="false">IF(OR(C1909="",P1909=""),"",IF(INDEX('CARNET DE SOUDURE'!$U$7:$U$3006,P1909)="","",INDEX('CARNET DE SOUDURE'!$U$7:$U$3006,P1909)))</f>
        <v>46268</v>
      </c>
      <c r="F1909" s="82" t="str">
        <f aca="false">IF(OR(C1909="",P1909=""),"",INDEX('CARNET DE SOUDURE'!$AP$7:$AP$3006,P1909))</f>
        <v>A</v>
      </c>
      <c r="G1909" s="82" t="str">
        <f aca="false">IF(C1909="","",IF(P1909="","NJ INCONNU",INDEX('CARNET DE SOUDURE'!$AQ$7:$AQ$3006,P1909)))</f>
        <v>ACCEPTÉ</v>
      </c>
      <c r="H1909" s="82" t="str">
        <f aca="false">IF(C1909="","",IF(G1909="ACCEPTÉ","OUI","NON"))</f>
        <v>OUI</v>
      </c>
      <c r="I1909" s="83"/>
      <c r="J1909" s="80"/>
      <c r="K1909" s="81"/>
      <c r="L1909" s="81"/>
      <c r="M1909" s="81"/>
      <c r="N1909" s="84" t="str">
        <f aca="false">IF(C1909="","",IF(P1909="","NJ INCONNU",IF(I1909="",IF(H1909="OUI","À ENROBER",IF(G1909="À SOUDER","NON SOUDÉ","EN ATTENTE RT")),IF(L1909="R","À REPRENDRE",IF(H1909&lt;&gt;"OUI","⚠ ENROBÉ AVANT ACCEPTATION RT","ENROBÉ")))))</f>
        <v>À ENROBER</v>
      </c>
      <c r="O1909" s="80"/>
      <c r="P1909" s="82" t="n">
        <f aca="false">IF(C1909="","",IFERROR(MATCH(Q1909,'CARNET DE SOUDURE'!$AW$7:$AW$3006,0),""))</f>
        <v>1903</v>
      </c>
      <c r="Q1909" s="82" t="str">
        <f aca="false">IF(C1909="","",B1909&amp;"|"&amp;C1909)</f>
        <v>MFD-ISW → MFD-CPF|JN°1481</v>
      </c>
    </row>
    <row r="1910" customFormat="false" ht="74.6" hidden="false" customHeight="false" outlineLevel="0" collapsed="false">
      <c r="A1910" s="82" t="n">
        <f aca="false">IF(C1910="","",ROW()-6)</f>
        <v>1904</v>
      </c>
      <c r="B1910" s="80" t="s">
        <v>110</v>
      </c>
      <c r="C1910" s="113" t="s">
        <v>2331</v>
      </c>
      <c r="D1910" s="82" t="str">
        <f aca="false">IF(OR(C1910="",P1910=""),"",INDEX('CARNET DE SOUDURE'!$D$7:$D$3006,P1910)&amp;"")</f>
        <v>17</v>
      </c>
      <c r="E1910" s="114" t="n">
        <f aca="false">IF(OR(C1910="",P1910=""),"",IF(INDEX('CARNET DE SOUDURE'!$U$7:$U$3006,P1910)="","",INDEX('CARNET DE SOUDURE'!$U$7:$U$3006,P1910)))</f>
        <v>46268</v>
      </c>
      <c r="F1910" s="82" t="str">
        <f aca="false">IF(OR(C1910="",P1910=""),"",INDEX('CARNET DE SOUDURE'!$AP$7:$AP$3006,P1910))</f>
        <v>A</v>
      </c>
      <c r="G1910" s="82" t="str">
        <f aca="false">IF(C1910="","",IF(P1910="","NJ INCONNU",INDEX('CARNET DE SOUDURE'!$AQ$7:$AQ$3006,P1910)))</f>
        <v>ACCEPTÉ</v>
      </c>
      <c r="H1910" s="82" t="str">
        <f aca="false">IF(C1910="","",IF(G1910="ACCEPTÉ","OUI","NON"))</f>
        <v>OUI</v>
      </c>
      <c r="I1910" s="83"/>
      <c r="J1910" s="80"/>
      <c r="K1910" s="81"/>
      <c r="L1910" s="81"/>
      <c r="M1910" s="81"/>
      <c r="N1910" s="84" t="str">
        <f aca="false">IF(C1910="","",IF(P1910="","NJ INCONNU",IF(I1910="",IF(H1910="OUI","À ENROBER",IF(G1910="À SOUDER","NON SOUDÉ","EN ATTENTE RT")),IF(L1910="R","À REPRENDRE",IF(H1910&lt;&gt;"OUI","⚠ ENROBÉ AVANT ACCEPTATION RT","ENROBÉ")))))</f>
        <v>À ENROBER</v>
      </c>
      <c r="O1910" s="80"/>
      <c r="P1910" s="82" t="n">
        <f aca="false">IF(C1910="","",IFERROR(MATCH(Q1910,'CARNET DE SOUDURE'!$AW$7:$AW$3006,0),""))</f>
        <v>1904</v>
      </c>
      <c r="Q1910" s="82" t="str">
        <f aca="false">IF(C1910="","",B1910&amp;"|"&amp;C1910)</f>
        <v>MFD-ISW → MFD-CPF|JN°1482</v>
      </c>
    </row>
    <row r="1911" customFormat="false" ht="74.6" hidden="false" customHeight="false" outlineLevel="0" collapsed="false">
      <c r="A1911" s="82" t="n">
        <f aca="false">IF(C1911="","",ROW()-6)</f>
        <v>1905</v>
      </c>
      <c r="B1911" s="80" t="s">
        <v>110</v>
      </c>
      <c r="C1911" s="113" t="s">
        <v>2332</v>
      </c>
      <c r="D1911" s="82" t="str">
        <f aca="false">IF(OR(C1911="",P1911=""),"",INDEX('CARNET DE SOUDURE'!$D$7:$D$3006,P1911)&amp;"")</f>
        <v>17</v>
      </c>
      <c r="E1911" s="114" t="n">
        <f aca="false">IF(OR(C1911="",P1911=""),"",IF(INDEX('CARNET DE SOUDURE'!$U$7:$U$3006,P1911)="","",INDEX('CARNET DE SOUDURE'!$U$7:$U$3006,P1911)))</f>
        <v>46268</v>
      </c>
      <c r="F1911" s="82" t="str">
        <f aca="false">IF(OR(C1911="",P1911=""),"",INDEX('CARNET DE SOUDURE'!$AP$7:$AP$3006,P1911))</f>
        <v>A</v>
      </c>
      <c r="G1911" s="82" t="str">
        <f aca="false">IF(C1911="","",IF(P1911="","NJ INCONNU",INDEX('CARNET DE SOUDURE'!$AQ$7:$AQ$3006,P1911)))</f>
        <v>ACCEPTÉ</v>
      </c>
      <c r="H1911" s="82" t="str">
        <f aca="false">IF(C1911="","",IF(G1911="ACCEPTÉ","OUI","NON"))</f>
        <v>OUI</v>
      </c>
      <c r="I1911" s="83"/>
      <c r="J1911" s="80"/>
      <c r="K1911" s="81"/>
      <c r="L1911" s="81"/>
      <c r="M1911" s="81"/>
      <c r="N1911" s="84" t="str">
        <f aca="false">IF(C1911="","",IF(P1911="","NJ INCONNU",IF(I1911="",IF(H1911="OUI","À ENROBER",IF(G1911="À SOUDER","NON SOUDÉ","EN ATTENTE RT")),IF(L1911="R","À REPRENDRE",IF(H1911&lt;&gt;"OUI","⚠ ENROBÉ AVANT ACCEPTATION RT","ENROBÉ")))))</f>
        <v>À ENROBER</v>
      </c>
      <c r="O1911" s="80"/>
      <c r="P1911" s="82" t="n">
        <f aca="false">IF(C1911="","",IFERROR(MATCH(Q1911,'CARNET DE SOUDURE'!$AW$7:$AW$3006,0),""))</f>
        <v>1905</v>
      </c>
      <c r="Q1911" s="82" t="str">
        <f aca="false">IF(C1911="","",B1911&amp;"|"&amp;C1911)</f>
        <v>MFD-ISW → MFD-CPF|JN°1483</v>
      </c>
    </row>
    <row r="1912" customFormat="false" ht="74.6" hidden="false" customHeight="false" outlineLevel="0" collapsed="false">
      <c r="A1912" s="82" t="n">
        <f aca="false">IF(C1912="","",ROW()-6)</f>
        <v>1906</v>
      </c>
      <c r="B1912" s="80" t="s">
        <v>110</v>
      </c>
      <c r="C1912" s="113" t="s">
        <v>2333</v>
      </c>
      <c r="D1912" s="82" t="str">
        <f aca="false">IF(OR(C1912="",P1912=""),"",INDEX('CARNET DE SOUDURE'!$D$7:$D$3006,P1912)&amp;"")</f>
        <v>17</v>
      </c>
      <c r="E1912" s="114" t="n">
        <f aca="false">IF(OR(C1912="",P1912=""),"",IF(INDEX('CARNET DE SOUDURE'!$U$7:$U$3006,P1912)="","",INDEX('CARNET DE SOUDURE'!$U$7:$U$3006,P1912)))</f>
        <v>46268</v>
      </c>
      <c r="F1912" s="82" t="str">
        <f aca="false">IF(OR(C1912="",P1912=""),"",INDEX('CARNET DE SOUDURE'!$AP$7:$AP$3006,P1912))</f>
        <v>A</v>
      </c>
      <c r="G1912" s="82" t="str">
        <f aca="false">IF(C1912="","",IF(P1912="","NJ INCONNU",INDEX('CARNET DE SOUDURE'!$AQ$7:$AQ$3006,P1912)))</f>
        <v>ACCEPTÉ</v>
      </c>
      <c r="H1912" s="82" t="str">
        <f aca="false">IF(C1912="","",IF(G1912="ACCEPTÉ","OUI","NON"))</f>
        <v>OUI</v>
      </c>
      <c r="I1912" s="83"/>
      <c r="J1912" s="80"/>
      <c r="K1912" s="81"/>
      <c r="L1912" s="81"/>
      <c r="M1912" s="81"/>
      <c r="N1912" s="84" t="str">
        <f aca="false">IF(C1912="","",IF(P1912="","NJ INCONNU",IF(I1912="",IF(H1912="OUI","À ENROBER",IF(G1912="À SOUDER","NON SOUDÉ","EN ATTENTE RT")),IF(L1912="R","À REPRENDRE",IF(H1912&lt;&gt;"OUI","⚠ ENROBÉ AVANT ACCEPTATION RT","ENROBÉ")))))</f>
        <v>À ENROBER</v>
      </c>
      <c r="O1912" s="80"/>
      <c r="P1912" s="82" t="n">
        <f aca="false">IF(C1912="","",IFERROR(MATCH(Q1912,'CARNET DE SOUDURE'!$AW$7:$AW$3006,0),""))</f>
        <v>1906</v>
      </c>
      <c r="Q1912" s="82" t="str">
        <f aca="false">IF(C1912="","",B1912&amp;"|"&amp;C1912)</f>
        <v>MFD-ISW → MFD-CPF|JN°1484</v>
      </c>
    </row>
    <row r="1913" customFormat="false" ht="74.6" hidden="false" customHeight="false" outlineLevel="0" collapsed="false">
      <c r="A1913" s="82" t="n">
        <f aca="false">IF(C1913="","",ROW()-6)</f>
        <v>1907</v>
      </c>
      <c r="B1913" s="80" t="s">
        <v>110</v>
      </c>
      <c r="C1913" s="113" t="s">
        <v>2334</v>
      </c>
      <c r="D1913" s="82" t="str">
        <f aca="false">IF(OR(C1913="",P1913=""),"",INDEX('CARNET DE SOUDURE'!$D$7:$D$3006,P1913)&amp;"")</f>
        <v>17</v>
      </c>
      <c r="E1913" s="114" t="n">
        <f aca="false">IF(OR(C1913="",P1913=""),"",IF(INDEX('CARNET DE SOUDURE'!$U$7:$U$3006,P1913)="","",INDEX('CARNET DE SOUDURE'!$U$7:$U$3006,P1913)))</f>
        <v>46268</v>
      </c>
      <c r="F1913" s="82" t="str">
        <f aca="false">IF(OR(C1913="",P1913=""),"",INDEX('CARNET DE SOUDURE'!$AP$7:$AP$3006,P1913))</f>
        <v>A</v>
      </c>
      <c r="G1913" s="82" t="str">
        <f aca="false">IF(C1913="","",IF(P1913="","NJ INCONNU",INDEX('CARNET DE SOUDURE'!$AQ$7:$AQ$3006,P1913)))</f>
        <v>ACCEPTÉ</v>
      </c>
      <c r="H1913" s="82" t="str">
        <f aca="false">IF(C1913="","",IF(G1913="ACCEPTÉ","OUI","NON"))</f>
        <v>OUI</v>
      </c>
      <c r="I1913" s="83"/>
      <c r="J1913" s="80"/>
      <c r="K1913" s="81"/>
      <c r="L1913" s="81"/>
      <c r="M1913" s="81"/>
      <c r="N1913" s="84" t="str">
        <f aca="false">IF(C1913="","",IF(P1913="","NJ INCONNU",IF(I1913="",IF(H1913="OUI","À ENROBER",IF(G1913="À SOUDER","NON SOUDÉ","EN ATTENTE RT")),IF(L1913="R","À REPRENDRE",IF(H1913&lt;&gt;"OUI","⚠ ENROBÉ AVANT ACCEPTATION RT","ENROBÉ")))))</f>
        <v>À ENROBER</v>
      </c>
      <c r="O1913" s="80"/>
      <c r="P1913" s="82" t="n">
        <f aca="false">IF(C1913="","",IFERROR(MATCH(Q1913,'CARNET DE SOUDURE'!$AW$7:$AW$3006,0),""))</f>
        <v>1907</v>
      </c>
      <c r="Q1913" s="82" t="str">
        <f aca="false">IF(C1913="","",B1913&amp;"|"&amp;C1913)</f>
        <v>MFD-ISW → MFD-CPF|JN°1485</v>
      </c>
    </row>
    <row r="1914" customFormat="false" ht="74.6" hidden="false" customHeight="false" outlineLevel="0" collapsed="false">
      <c r="A1914" s="82" t="n">
        <f aca="false">IF(C1914="","",ROW()-6)</f>
        <v>1908</v>
      </c>
      <c r="B1914" s="80" t="s">
        <v>110</v>
      </c>
      <c r="C1914" s="113" t="s">
        <v>2335</v>
      </c>
      <c r="D1914" s="82" t="str">
        <f aca="false">IF(OR(C1914="",P1914=""),"",INDEX('CARNET DE SOUDURE'!$D$7:$D$3006,P1914)&amp;"")</f>
        <v>17</v>
      </c>
      <c r="E1914" s="114" t="n">
        <f aca="false">IF(OR(C1914="",P1914=""),"",IF(INDEX('CARNET DE SOUDURE'!$U$7:$U$3006,P1914)="","",INDEX('CARNET DE SOUDURE'!$U$7:$U$3006,P1914)))</f>
        <v>46268</v>
      </c>
      <c r="F1914" s="82" t="str">
        <f aca="false">IF(OR(C1914="",P1914=""),"",INDEX('CARNET DE SOUDURE'!$AP$7:$AP$3006,P1914))</f>
        <v>A</v>
      </c>
      <c r="G1914" s="82" t="str">
        <f aca="false">IF(C1914="","",IF(P1914="","NJ INCONNU",INDEX('CARNET DE SOUDURE'!$AQ$7:$AQ$3006,P1914)))</f>
        <v>ACCEPTÉ</v>
      </c>
      <c r="H1914" s="82" t="str">
        <f aca="false">IF(C1914="","",IF(G1914="ACCEPTÉ","OUI","NON"))</f>
        <v>OUI</v>
      </c>
      <c r="I1914" s="83"/>
      <c r="J1914" s="80"/>
      <c r="K1914" s="81"/>
      <c r="L1914" s="81"/>
      <c r="M1914" s="81"/>
      <c r="N1914" s="84" t="str">
        <f aca="false">IF(C1914="","",IF(P1914="","NJ INCONNU",IF(I1914="",IF(H1914="OUI","À ENROBER",IF(G1914="À SOUDER","NON SOUDÉ","EN ATTENTE RT")),IF(L1914="R","À REPRENDRE",IF(H1914&lt;&gt;"OUI","⚠ ENROBÉ AVANT ACCEPTATION RT","ENROBÉ")))))</f>
        <v>À ENROBER</v>
      </c>
      <c r="O1914" s="80"/>
      <c r="P1914" s="82" t="n">
        <f aca="false">IF(C1914="","",IFERROR(MATCH(Q1914,'CARNET DE SOUDURE'!$AW$7:$AW$3006,0),""))</f>
        <v>1908</v>
      </c>
      <c r="Q1914" s="82" t="str">
        <f aca="false">IF(C1914="","",B1914&amp;"|"&amp;C1914)</f>
        <v>MFD-ISW → MFD-CPF|JN°1486</v>
      </c>
    </row>
    <row r="1915" customFormat="false" ht="74.6" hidden="false" customHeight="false" outlineLevel="0" collapsed="false">
      <c r="A1915" s="82" t="n">
        <f aca="false">IF(C1915="","",ROW()-6)</f>
        <v>1909</v>
      </c>
      <c r="B1915" s="80" t="s">
        <v>110</v>
      </c>
      <c r="C1915" s="113" t="s">
        <v>2336</v>
      </c>
      <c r="D1915" s="82" t="str">
        <f aca="false">IF(OR(C1915="",P1915=""),"",INDEX('CARNET DE SOUDURE'!$D$7:$D$3006,P1915)&amp;"")</f>
        <v>17</v>
      </c>
      <c r="E1915" s="114" t="n">
        <f aca="false">IF(OR(C1915="",P1915=""),"",IF(INDEX('CARNET DE SOUDURE'!$U$7:$U$3006,P1915)="","",INDEX('CARNET DE SOUDURE'!$U$7:$U$3006,P1915)))</f>
        <v>46268</v>
      </c>
      <c r="F1915" s="82" t="str">
        <f aca="false">IF(OR(C1915="",P1915=""),"",INDEX('CARNET DE SOUDURE'!$AP$7:$AP$3006,P1915))</f>
        <v>A</v>
      </c>
      <c r="G1915" s="82" t="str">
        <f aca="false">IF(C1915="","",IF(P1915="","NJ INCONNU",INDEX('CARNET DE SOUDURE'!$AQ$7:$AQ$3006,P1915)))</f>
        <v>ACCEPTÉ</v>
      </c>
      <c r="H1915" s="82" t="str">
        <f aca="false">IF(C1915="","",IF(G1915="ACCEPTÉ","OUI","NON"))</f>
        <v>OUI</v>
      </c>
      <c r="I1915" s="83"/>
      <c r="J1915" s="80"/>
      <c r="K1915" s="81"/>
      <c r="L1915" s="81"/>
      <c r="M1915" s="81"/>
      <c r="N1915" s="84" t="str">
        <f aca="false">IF(C1915="","",IF(P1915="","NJ INCONNU",IF(I1915="",IF(H1915="OUI","À ENROBER",IF(G1915="À SOUDER","NON SOUDÉ","EN ATTENTE RT")),IF(L1915="R","À REPRENDRE",IF(H1915&lt;&gt;"OUI","⚠ ENROBÉ AVANT ACCEPTATION RT","ENROBÉ")))))</f>
        <v>À ENROBER</v>
      </c>
      <c r="O1915" s="80"/>
      <c r="P1915" s="82" t="n">
        <f aca="false">IF(C1915="","",IFERROR(MATCH(Q1915,'CARNET DE SOUDURE'!$AW$7:$AW$3006,0),""))</f>
        <v>1909</v>
      </c>
      <c r="Q1915" s="82" t="str">
        <f aca="false">IF(C1915="","",B1915&amp;"|"&amp;C1915)</f>
        <v>MFD-ISW → MFD-CPF|JN°1487</v>
      </c>
    </row>
    <row r="1916" customFormat="false" ht="74.6" hidden="false" customHeight="false" outlineLevel="0" collapsed="false">
      <c r="A1916" s="82" t="n">
        <f aca="false">IF(C1916="","",ROW()-6)</f>
        <v>1910</v>
      </c>
      <c r="B1916" s="80" t="s">
        <v>110</v>
      </c>
      <c r="C1916" s="113" t="s">
        <v>2337</v>
      </c>
      <c r="D1916" s="82" t="str">
        <f aca="false">IF(OR(C1916="",P1916=""),"",INDEX('CARNET DE SOUDURE'!$D$7:$D$3006,P1916)&amp;"")</f>
        <v>17</v>
      </c>
      <c r="E1916" s="114" t="n">
        <f aca="false">IF(OR(C1916="",P1916=""),"",IF(INDEX('CARNET DE SOUDURE'!$U$7:$U$3006,P1916)="","",INDEX('CARNET DE SOUDURE'!$U$7:$U$3006,P1916)))</f>
        <v>46255</v>
      </c>
      <c r="F1916" s="82" t="str">
        <f aca="false">IF(OR(C1916="",P1916=""),"",INDEX('CARNET DE SOUDURE'!$AP$7:$AP$3006,P1916))</f>
        <v>A</v>
      </c>
      <c r="G1916" s="82" t="str">
        <f aca="false">IF(C1916="","",IF(P1916="","NJ INCONNU",INDEX('CARNET DE SOUDURE'!$AQ$7:$AQ$3006,P1916)))</f>
        <v>ACCEPTÉ</v>
      </c>
      <c r="H1916" s="82" t="str">
        <f aca="false">IF(C1916="","",IF(G1916="ACCEPTÉ","OUI","NON"))</f>
        <v>OUI</v>
      </c>
      <c r="I1916" s="83"/>
      <c r="J1916" s="80"/>
      <c r="K1916" s="81"/>
      <c r="L1916" s="81"/>
      <c r="M1916" s="81"/>
      <c r="N1916" s="84" t="str">
        <f aca="false">IF(C1916="","",IF(P1916="","NJ INCONNU",IF(I1916="",IF(H1916="OUI","À ENROBER",IF(G1916="À SOUDER","NON SOUDÉ","EN ATTENTE RT")),IF(L1916="R","À REPRENDRE",IF(H1916&lt;&gt;"OUI","⚠ ENROBÉ AVANT ACCEPTATION RT","ENROBÉ")))))</f>
        <v>À ENROBER</v>
      </c>
      <c r="O1916" s="80"/>
      <c r="P1916" s="82" t="n">
        <f aca="false">IF(C1916="","",IFERROR(MATCH(Q1916,'CARNET DE SOUDURE'!$AW$7:$AW$3006,0),""))</f>
        <v>1910</v>
      </c>
      <c r="Q1916" s="82" t="str">
        <f aca="false">IF(C1916="","",B1916&amp;"|"&amp;C1916)</f>
        <v>MFD-ISW → MFD-CPF|DJ°081</v>
      </c>
    </row>
    <row r="1917" customFormat="false" ht="74.6" hidden="false" customHeight="false" outlineLevel="0" collapsed="false">
      <c r="A1917" s="82" t="n">
        <f aca="false">IF(C1917="","",ROW()-6)</f>
        <v>1911</v>
      </c>
      <c r="B1917" s="80" t="s">
        <v>110</v>
      </c>
      <c r="C1917" s="113" t="s">
        <v>2338</v>
      </c>
      <c r="D1917" s="82" t="str">
        <f aca="false">IF(OR(C1917="",P1917=""),"",INDEX('CARNET DE SOUDURE'!$D$7:$D$3006,P1917)&amp;"")</f>
        <v>17</v>
      </c>
      <c r="E1917" s="114" t="n">
        <f aca="false">IF(OR(C1917="",P1917=""),"",IF(INDEX('CARNET DE SOUDURE'!$U$7:$U$3006,P1917)="","",INDEX('CARNET DE SOUDURE'!$U$7:$U$3006,P1917)))</f>
        <v>46268</v>
      </c>
      <c r="F1917" s="82" t="str">
        <f aca="false">IF(OR(C1917="",P1917=""),"",INDEX('CARNET DE SOUDURE'!$AP$7:$AP$3006,P1917))</f>
        <v>A</v>
      </c>
      <c r="G1917" s="82" t="str">
        <f aca="false">IF(C1917="","",IF(P1917="","NJ INCONNU",INDEX('CARNET DE SOUDURE'!$AQ$7:$AQ$3006,P1917)))</f>
        <v>ACCEPTÉ</v>
      </c>
      <c r="H1917" s="82" t="str">
        <f aca="false">IF(C1917="","",IF(G1917="ACCEPTÉ","OUI","NON"))</f>
        <v>OUI</v>
      </c>
      <c r="I1917" s="83"/>
      <c r="J1917" s="80"/>
      <c r="K1917" s="81"/>
      <c r="L1917" s="81"/>
      <c r="M1917" s="81"/>
      <c r="N1917" s="84" t="str">
        <f aca="false">IF(C1917="","",IF(P1917="","NJ INCONNU",IF(I1917="",IF(H1917="OUI","À ENROBER",IF(G1917="À SOUDER","NON SOUDÉ","EN ATTENTE RT")),IF(L1917="R","À REPRENDRE",IF(H1917&lt;&gt;"OUI","⚠ ENROBÉ AVANT ACCEPTATION RT","ENROBÉ")))))</f>
        <v>À ENROBER</v>
      </c>
      <c r="O1917" s="80"/>
      <c r="P1917" s="82" t="n">
        <f aca="false">IF(C1917="","",IFERROR(MATCH(Q1917,'CARNET DE SOUDURE'!$AW$7:$AW$3006,0),""))</f>
        <v>1911</v>
      </c>
      <c r="Q1917" s="82" t="str">
        <f aca="false">IF(C1917="","",B1917&amp;"|"&amp;C1917)</f>
        <v>MFD-ISW → MFD-CPF|JN°1488</v>
      </c>
    </row>
    <row r="1918" customFormat="false" ht="74.6" hidden="false" customHeight="false" outlineLevel="0" collapsed="false">
      <c r="A1918" s="82" t="n">
        <f aca="false">IF(C1918="","",ROW()-6)</f>
        <v>1912</v>
      </c>
      <c r="B1918" s="80" t="s">
        <v>110</v>
      </c>
      <c r="C1918" s="113" t="s">
        <v>2339</v>
      </c>
      <c r="D1918" s="82" t="str">
        <f aca="false">IF(OR(C1918="",P1918=""),"",INDEX('CARNET DE SOUDURE'!$D$7:$D$3006,P1918)&amp;"")</f>
        <v>17</v>
      </c>
      <c r="E1918" s="114" t="n">
        <f aca="false">IF(OR(C1918="",P1918=""),"",IF(INDEX('CARNET DE SOUDURE'!$U$7:$U$3006,P1918)="","",INDEX('CARNET DE SOUDURE'!$U$7:$U$3006,P1918)))</f>
        <v>46252</v>
      </c>
      <c r="F1918" s="82" t="str">
        <f aca="false">IF(OR(C1918="",P1918=""),"",INDEX('CARNET DE SOUDURE'!$AP$7:$AP$3006,P1918))</f>
        <v>A</v>
      </c>
      <c r="G1918" s="82" t="str">
        <f aca="false">IF(C1918="","",IF(P1918="","NJ INCONNU",INDEX('CARNET DE SOUDURE'!$AQ$7:$AQ$3006,P1918)))</f>
        <v>ACCEPTÉ</v>
      </c>
      <c r="H1918" s="82" t="str">
        <f aca="false">IF(C1918="","",IF(G1918="ACCEPTÉ","OUI","NON"))</f>
        <v>OUI</v>
      </c>
      <c r="I1918" s="83"/>
      <c r="J1918" s="80"/>
      <c r="K1918" s="81"/>
      <c r="L1918" s="81"/>
      <c r="M1918" s="81"/>
      <c r="N1918" s="84" t="str">
        <f aca="false">IF(C1918="","",IF(P1918="","NJ INCONNU",IF(I1918="",IF(H1918="OUI","À ENROBER",IF(G1918="À SOUDER","NON SOUDÉ","EN ATTENTE RT")),IF(L1918="R","À REPRENDRE",IF(H1918&lt;&gt;"OUI","⚠ ENROBÉ AVANT ACCEPTATION RT","ENROBÉ")))))</f>
        <v>À ENROBER</v>
      </c>
      <c r="O1918" s="80"/>
      <c r="P1918" s="82" t="n">
        <f aca="false">IF(C1918="","",IFERROR(MATCH(Q1918,'CARNET DE SOUDURE'!$AW$7:$AW$3006,0),""))</f>
        <v>1912</v>
      </c>
      <c r="Q1918" s="82" t="str">
        <f aca="false">IF(C1918="","",B1918&amp;"|"&amp;C1918)</f>
        <v>MFD-ISW → MFD-CPF|DJ°050</v>
      </c>
    </row>
    <row r="1919" customFormat="false" ht="74.6" hidden="false" customHeight="false" outlineLevel="0" collapsed="false">
      <c r="A1919" s="82" t="n">
        <f aca="false">IF(C1919="","",ROW()-6)</f>
        <v>1913</v>
      </c>
      <c r="B1919" s="80" t="s">
        <v>110</v>
      </c>
      <c r="C1919" s="113" t="s">
        <v>2340</v>
      </c>
      <c r="D1919" s="82" t="str">
        <f aca="false">IF(OR(C1919="",P1919=""),"",INDEX('CARNET DE SOUDURE'!$D$7:$D$3006,P1919)&amp;"")</f>
        <v>17</v>
      </c>
      <c r="E1919" s="114" t="n">
        <f aca="false">IF(OR(C1919="",P1919=""),"",IF(INDEX('CARNET DE SOUDURE'!$U$7:$U$3006,P1919)="","",INDEX('CARNET DE SOUDURE'!$U$7:$U$3006,P1919)))</f>
        <v>46268</v>
      </c>
      <c r="F1919" s="82" t="str">
        <f aca="false">IF(OR(C1919="",P1919=""),"",INDEX('CARNET DE SOUDURE'!$AP$7:$AP$3006,P1919))</f>
        <v>A</v>
      </c>
      <c r="G1919" s="82" t="str">
        <f aca="false">IF(C1919="","",IF(P1919="","NJ INCONNU",INDEX('CARNET DE SOUDURE'!$AQ$7:$AQ$3006,P1919)))</f>
        <v>ACCEPTÉ</v>
      </c>
      <c r="H1919" s="82" t="str">
        <f aca="false">IF(C1919="","",IF(G1919="ACCEPTÉ","OUI","NON"))</f>
        <v>OUI</v>
      </c>
      <c r="I1919" s="83"/>
      <c r="J1919" s="80"/>
      <c r="K1919" s="81"/>
      <c r="L1919" s="81"/>
      <c r="M1919" s="81"/>
      <c r="N1919" s="84" t="str">
        <f aca="false">IF(C1919="","",IF(P1919="","NJ INCONNU",IF(I1919="",IF(H1919="OUI","À ENROBER",IF(G1919="À SOUDER","NON SOUDÉ","EN ATTENTE RT")),IF(L1919="R","À REPRENDRE",IF(H1919&lt;&gt;"OUI","⚠ ENROBÉ AVANT ACCEPTATION RT","ENROBÉ")))))</f>
        <v>À ENROBER</v>
      </c>
      <c r="O1919" s="80"/>
      <c r="P1919" s="82" t="n">
        <f aca="false">IF(C1919="","",IFERROR(MATCH(Q1919,'CARNET DE SOUDURE'!$AW$7:$AW$3006,0),""))</f>
        <v>1913</v>
      </c>
      <c r="Q1919" s="82" t="str">
        <f aca="false">IF(C1919="","",B1919&amp;"|"&amp;C1919)</f>
        <v>MFD-ISW → MFD-CPF|JN°1489</v>
      </c>
    </row>
    <row r="1920" customFormat="false" ht="74.6" hidden="false" customHeight="false" outlineLevel="0" collapsed="false">
      <c r="A1920" s="82" t="n">
        <f aca="false">IF(C1920="","",ROW()-6)</f>
        <v>1914</v>
      </c>
      <c r="B1920" s="80" t="s">
        <v>110</v>
      </c>
      <c r="C1920" s="113" t="s">
        <v>2341</v>
      </c>
      <c r="D1920" s="82" t="str">
        <f aca="false">IF(OR(C1920="",P1920=""),"",INDEX('CARNET DE SOUDURE'!$D$7:$D$3006,P1920)&amp;"")</f>
        <v>17</v>
      </c>
      <c r="E1920" s="114" t="n">
        <f aca="false">IF(OR(C1920="",P1920=""),"",IF(INDEX('CARNET DE SOUDURE'!$U$7:$U$3006,P1920)="","",INDEX('CARNET DE SOUDURE'!$U$7:$U$3006,P1920)))</f>
        <v>46255</v>
      </c>
      <c r="F1920" s="82" t="str">
        <f aca="false">IF(OR(C1920="",P1920=""),"",INDEX('CARNET DE SOUDURE'!$AP$7:$AP$3006,P1920))</f>
        <v>A</v>
      </c>
      <c r="G1920" s="82" t="str">
        <f aca="false">IF(C1920="","",IF(P1920="","NJ INCONNU",INDEX('CARNET DE SOUDURE'!$AQ$7:$AQ$3006,P1920)))</f>
        <v>ACCEPTÉ</v>
      </c>
      <c r="H1920" s="82" t="str">
        <f aca="false">IF(C1920="","",IF(G1920="ACCEPTÉ","OUI","NON"))</f>
        <v>OUI</v>
      </c>
      <c r="I1920" s="83"/>
      <c r="J1920" s="80"/>
      <c r="K1920" s="81"/>
      <c r="L1920" s="81"/>
      <c r="M1920" s="81"/>
      <c r="N1920" s="84" t="str">
        <f aca="false">IF(C1920="","",IF(P1920="","NJ INCONNU",IF(I1920="",IF(H1920="OUI","À ENROBER",IF(G1920="À SOUDER","NON SOUDÉ","EN ATTENTE RT")),IF(L1920="R","À REPRENDRE",IF(H1920&lt;&gt;"OUI","⚠ ENROBÉ AVANT ACCEPTATION RT","ENROBÉ")))))</f>
        <v>À ENROBER</v>
      </c>
      <c r="O1920" s="80"/>
      <c r="P1920" s="82" t="n">
        <f aca="false">IF(C1920="","",IFERROR(MATCH(Q1920,'CARNET DE SOUDURE'!$AW$7:$AW$3006,0),""))</f>
        <v>1914</v>
      </c>
      <c r="Q1920" s="82" t="str">
        <f aca="false">IF(C1920="","",B1920&amp;"|"&amp;C1920)</f>
        <v>MFD-ISW → MFD-CPF|DJ°080</v>
      </c>
    </row>
    <row r="1921" customFormat="false" ht="74.6" hidden="false" customHeight="false" outlineLevel="0" collapsed="false">
      <c r="A1921" s="82" t="n">
        <f aca="false">IF(C1921="","",ROW()-6)</f>
        <v>1915</v>
      </c>
      <c r="B1921" s="80" t="s">
        <v>110</v>
      </c>
      <c r="C1921" s="113" t="s">
        <v>2342</v>
      </c>
      <c r="D1921" s="82" t="str">
        <f aca="false">IF(OR(C1921="",P1921=""),"",INDEX('CARNET DE SOUDURE'!$D$7:$D$3006,P1921)&amp;"")</f>
        <v>18</v>
      </c>
      <c r="E1921" s="114" t="n">
        <f aca="false">IF(OR(C1921="",P1921=""),"",IF(INDEX('CARNET DE SOUDURE'!$U$7:$U$3006,P1921)="","",INDEX('CARNET DE SOUDURE'!$U$7:$U$3006,P1921)))</f>
        <v>46268</v>
      </c>
      <c r="F1921" s="82" t="str">
        <f aca="false">IF(OR(C1921="",P1921=""),"",INDEX('CARNET DE SOUDURE'!$AP$7:$AP$3006,P1921))</f>
        <v>A</v>
      </c>
      <c r="G1921" s="82" t="str">
        <f aca="false">IF(C1921="","",IF(P1921="","NJ INCONNU",INDEX('CARNET DE SOUDURE'!$AQ$7:$AQ$3006,P1921)))</f>
        <v>ACCEPTÉ</v>
      </c>
      <c r="H1921" s="82" t="str">
        <f aca="false">IF(C1921="","",IF(G1921="ACCEPTÉ","OUI","NON"))</f>
        <v>OUI</v>
      </c>
      <c r="I1921" s="83"/>
      <c r="J1921" s="80"/>
      <c r="K1921" s="81"/>
      <c r="L1921" s="81"/>
      <c r="M1921" s="81"/>
      <c r="N1921" s="84" t="str">
        <f aca="false">IF(C1921="","",IF(P1921="","NJ INCONNU",IF(I1921="",IF(H1921="OUI","À ENROBER",IF(G1921="À SOUDER","NON SOUDÉ","EN ATTENTE RT")),IF(L1921="R","À REPRENDRE",IF(H1921&lt;&gt;"OUI","⚠ ENROBÉ AVANT ACCEPTATION RT","ENROBÉ")))))</f>
        <v>À ENROBER</v>
      </c>
      <c r="O1921" s="80"/>
      <c r="P1921" s="82" t="n">
        <f aca="false">IF(C1921="","",IFERROR(MATCH(Q1921,'CARNET DE SOUDURE'!$AW$7:$AW$3006,0),""))</f>
        <v>1915</v>
      </c>
      <c r="Q1921" s="82" t="str">
        <f aca="false">IF(C1921="","",B1921&amp;"|"&amp;C1921)</f>
        <v>MFD-ISW → MFD-CPF|JN°1490</v>
      </c>
    </row>
    <row r="1922" customFormat="false" ht="74.6" hidden="false" customHeight="false" outlineLevel="0" collapsed="false">
      <c r="A1922" s="82" t="n">
        <f aca="false">IF(C1922="","",ROW()-6)</f>
        <v>1916</v>
      </c>
      <c r="B1922" s="80" t="s">
        <v>110</v>
      </c>
      <c r="C1922" s="113" t="s">
        <v>2343</v>
      </c>
      <c r="D1922" s="82" t="str">
        <f aca="false">IF(OR(C1922="",P1922=""),"",INDEX('CARNET DE SOUDURE'!$D$7:$D$3006,P1922)&amp;"")</f>
        <v>18</v>
      </c>
      <c r="E1922" s="114" t="n">
        <f aca="false">IF(OR(C1922="",P1922=""),"",IF(INDEX('CARNET DE SOUDURE'!$U$7:$U$3006,P1922)="","",INDEX('CARNET DE SOUDURE'!$U$7:$U$3006,P1922)))</f>
        <v>46254</v>
      </c>
      <c r="F1922" s="82" t="str">
        <f aca="false">IF(OR(C1922="",P1922=""),"",INDEX('CARNET DE SOUDURE'!$AP$7:$AP$3006,P1922))</f>
        <v>A</v>
      </c>
      <c r="G1922" s="82" t="str">
        <f aca="false">IF(C1922="","",IF(P1922="","NJ INCONNU",INDEX('CARNET DE SOUDURE'!$AQ$7:$AQ$3006,P1922)))</f>
        <v>ACCEPTÉ</v>
      </c>
      <c r="H1922" s="82" t="str">
        <f aca="false">IF(C1922="","",IF(G1922="ACCEPTÉ","OUI","NON"))</f>
        <v>OUI</v>
      </c>
      <c r="I1922" s="83"/>
      <c r="J1922" s="80"/>
      <c r="K1922" s="81"/>
      <c r="L1922" s="81"/>
      <c r="M1922" s="81"/>
      <c r="N1922" s="84" t="str">
        <f aca="false">IF(C1922="","",IF(P1922="","NJ INCONNU",IF(I1922="",IF(H1922="OUI","À ENROBER",IF(G1922="À SOUDER","NON SOUDÉ","EN ATTENTE RT")),IF(L1922="R","À REPRENDRE",IF(H1922&lt;&gt;"OUI","⚠ ENROBÉ AVANT ACCEPTATION RT","ENROBÉ")))))</f>
        <v>À ENROBER</v>
      </c>
      <c r="O1922" s="80"/>
      <c r="P1922" s="82" t="n">
        <f aca="false">IF(C1922="","",IFERROR(MATCH(Q1922,'CARNET DE SOUDURE'!$AW$7:$AW$3006,0),""))</f>
        <v>1916</v>
      </c>
      <c r="Q1922" s="82" t="str">
        <f aca="false">IF(C1922="","",B1922&amp;"|"&amp;C1922)</f>
        <v>MFD-ISW → MFD-CPF|DJ°071</v>
      </c>
    </row>
    <row r="1923" customFormat="false" ht="74.6" hidden="false" customHeight="false" outlineLevel="0" collapsed="false">
      <c r="A1923" s="82" t="n">
        <f aca="false">IF(C1923="","",ROW()-6)</f>
        <v>1917</v>
      </c>
      <c r="B1923" s="80" t="s">
        <v>110</v>
      </c>
      <c r="C1923" s="113" t="s">
        <v>2345</v>
      </c>
      <c r="D1923" s="82" t="str">
        <f aca="false">IF(OR(C1923="",P1923=""),"",INDEX('CARNET DE SOUDURE'!$D$7:$D$3006,P1923)&amp;"")</f>
        <v>18</v>
      </c>
      <c r="E1923" s="114" t="n">
        <f aca="false">IF(OR(C1923="",P1923=""),"",IF(INDEX('CARNET DE SOUDURE'!$U$7:$U$3006,P1923)="","",INDEX('CARNET DE SOUDURE'!$U$7:$U$3006,P1923)))</f>
        <v>46287</v>
      </c>
      <c r="F1923" s="82" t="str">
        <f aca="false">IF(OR(C1923="",P1923=""),"",INDEX('CARNET DE SOUDURE'!$AP$7:$AP$3006,P1923))</f>
        <v/>
      </c>
      <c r="G1923" s="82" t="str">
        <f aca="false">IF(C1923="","",IF(P1923="","NJ INCONNU",INDEX('CARNET DE SOUDURE'!$AQ$7:$AQ$3006,P1923)))</f>
        <v>À RADIOGRAPHIER</v>
      </c>
      <c r="H1923" s="82" t="str">
        <f aca="false">IF(C1923="","",IF(G1923="ACCEPTÉ","OUI","NON"))</f>
        <v>NON</v>
      </c>
      <c r="I1923" s="83"/>
      <c r="J1923" s="80"/>
      <c r="K1923" s="81"/>
      <c r="L1923" s="81"/>
      <c r="M1923" s="81"/>
      <c r="N1923" s="84" t="str">
        <f aca="false">IF(C1923="","",IF(P1923="","NJ INCONNU",IF(I1923="",IF(H1923="OUI","À ENROBER",IF(G1923="À SOUDER","NON SOUDÉ","EN ATTENTE RT")),IF(L1923="R","À REPRENDRE",IF(H1923&lt;&gt;"OUI","⚠ ENROBÉ AVANT ACCEPTATION RT","ENROBÉ")))))</f>
        <v>EN ATTENTE RT</v>
      </c>
      <c r="O1923" s="80"/>
      <c r="P1923" s="82" t="n">
        <f aca="false">IF(C1923="","",IFERROR(MATCH(Q1923,'CARNET DE SOUDURE'!$AW$7:$AW$3006,0),""))</f>
        <v>1917</v>
      </c>
      <c r="Q1923" s="82" t="str">
        <f aca="false">IF(C1923="","",B1923&amp;"|"&amp;C1923)</f>
        <v>MFD-ISW → MFD-CPF|JN°1491R</v>
      </c>
    </row>
    <row r="1924" customFormat="false" ht="74.6" hidden="false" customHeight="false" outlineLevel="0" collapsed="false">
      <c r="A1924" s="82" t="n">
        <f aca="false">IF(C1924="","",ROW()-6)</f>
        <v>1918</v>
      </c>
      <c r="B1924" s="80" t="s">
        <v>110</v>
      </c>
      <c r="C1924" s="113" t="s">
        <v>2347</v>
      </c>
      <c r="D1924" s="82" t="str">
        <f aca="false">IF(OR(C1924="",P1924=""),"",INDEX('CARNET DE SOUDURE'!$D$7:$D$3006,P1924)&amp;"")</f>
        <v>18</v>
      </c>
      <c r="E1924" s="114" t="n">
        <f aca="false">IF(OR(C1924="",P1924=""),"",IF(INDEX('CARNET DE SOUDURE'!$U$7:$U$3006,P1924)="","",INDEX('CARNET DE SOUDURE'!$U$7:$U$3006,P1924)))</f>
        <v>46255</v>
      </c>
      <c r="F1924" s="82" t="str">
        <f aca="false">IF(OR(C1924="",P1924=""),"",INDEX('CARNET DE SOUDURE'!$AP$7:$AP$3006,P1924))</f>
        <v>A</v>
      </c>
      <c r="G1924" s="82" t="str">
        <f aca="false">IF(C1924="","",IF(P1924="","NJ INCONNU",INDEX('CARNET DE SOUDURE'!$AQ$7:$AQ$3006,P1924)))</f>
        <v>ACCEPTÉ</v>
      </c>
      <c r="H1924" s="82" t="str">
        <f aca="false">IF(C1924="","",IF(G1924="ACCEPTÉ","OUI","NON"))</f>
        <v>OUI</v>
      </c>
      <c r="I1924" s="83"/>
      <c r="J1924" s="80"/>
      <c r="K1924" s="81"/>
      <c r="L1924" s="81"/>
      <c r="M1924" s="81"/>
      <c r="N1924" s="84" t="str">
        <f aca="false">IF(C1924="","",IF(P1924="","NJ INCONNU",IF(I1924="",IF(H1924="OUI","À ENROBER",IF(G1924="À SOUDER","NON SOUDÉ","EN ATTENTE RT")),IF(L1924="R","À REPRENDRE",IF(H1924&lt;&gt;"OUI","⚠ ENROBÉ AVANT ACCEPTATION RT","ENROBÉ")))))</f>
        <v>À ENROBER</v>
      </c>
      <c r="O1924" s="80"/>
      <c r="P1924" s="82" t="n">
        <f aca="false">IF(C1924="","",IFERROR(MATCH(Q1924,'CARNET DE SOUDURE'!$AW$7:$AW$3006,0),""))</f>
        <v>1918</v>
      </c>
      <c r="Q1924" s="82" t="str">
        <f aca="false">IF(C1924="","",B1924&amp;"|"&amp;C1924)</f>
        <v>MFD-ISW → MFD-CPF|DJ°079</v>
      </c>
    </row>
    <row r="1925" customFormat="false" ht="74.6" hidden="false" customHeight="false" outlineLevel="0" collapsed="false">
      <c r="A1925" s="82" t="n">
        <f aca="false">IF(C1925="","",ROW()-6)</f>
        <v>1919</v>
      </c>
      <c r="B1925" s="80" t="s">
        <v>110</v>
      </c>
      <c r="C1925" s="113" t="s">
        <v>2348</v>
      </c>
      <c r="D1925" s="82" t="str">
        <f aca="false">IF(OR(C1925="",P1925=""),"",INDEX('CARNET DE SOUDURE'!$D$7:$D$3006,P1925)&amp;"")</f>
        <v>18</v>
      </c>
      <c r="E1925" s="114" t="n">
        <f aca="false">IF(OR(C1925="",P1925=""),"",IF(INDEX('CARNET DE SOUDURE'!$U$7:$U$3006,P1925)="","",INDEX('CARNET DE SOUDURE'!$U$7:$U$3006,P1925)))</f>
        <v>46268</v>
      </c>
      <c r="F1925" s="82" t="str">
        <f aca="false">IF(OR(C1925="",P1925=""),"",INDEX('CARNET DE SOUDURE'!$AP$7:$AP$3006,P1925))</f>
        <v>A</v>
      </c>
      <c r="G1925" s="82" t="str">
        <f aca="false">IF(C1925="","",IF(P1925="","NJ INCONNU",INDEX('CARNET DE SOUDURE'!$AQ$7:$AQ$3006,P1925)))</f>
        <v>ACCEPTÉ</v>
      </c>
      <c r="H1925" s="82" t="str">
        <f aca="false">IF(C1925="","",IF(G1925="ACCEPTÉ","OUI","NON"))</f>
        <v>OUI</v>
      </c>
      <c r="I1925" s="83"/>
      <c r="J1925" s="80"/>
      <c r="K1925" s="81"/>
      <c r="L1925" s="81"/>
      <c r="M1925" s="81"/>
      <c r="N1925" s="84" t="str">
        <f aca="false">IF(C1925="","",IF(P1925="","NJ INCONNU",IF(I1925="",IF(H1925="OUI","À ENROBER",IF(G1925="À SOUDER","NON SOUDÉ","EN ATTENTE RT")),IF(L1925="R","À REPRENDRE",IF(H1925&lt;&gt;"OUI","⚠ ENROBÉ AVANT ACCEPTATION RT","ENROBÉ")))))</f>
        <v>À ENROBER</v>
      </c>
      <c r="O1925" s="80"/>
      <c r="P1925" s="82" t="n">
        <f aca="false">IF(C1925="","",IFERROR(MATCH(Q1925,'CARNET DE SOUDURE'!$AW$7:$AW$3006,0),""))</f>
        <v>1919</v>
      </c>
      <c r="Q1925" s="82" t="str">
        <f aca="false">IF(C1925="","",B1925&amp;"|"&amp;C1925)</f>
        <v>MFD-ISW → MFD-CPF|JN°1492</v>
      </c>
    </row>
    <row r="1926" customFormat="false" ht="74.6" hidden="false" customHeight="false" outlineLevel="0" collapsed="false">
      <c r="A1926" s="82" t="n">
        <f aca="false">IF(C1926="","",ROW()-6)</f>
        <v>1920</v>
      </c>
      <c r="B1926" s="80" t="s">
        <v>110</v>
      </c>
      <c r="C1926" s="113" t="s">
        <v>2349</v>
      </c>
      <c r="D1926" s="82" t="str">
        <f aca="false">IF(OR(C1926="",P1926=""),"",INDEX('CARNET DE SOUDURE'!$D$7:$D$3006,P1926)&amp;"")</f>
        <v>18</v>
      </c>
      <c r="E1926" s="114" t="n">
        <f aca="false">IF(OR(C1926="",P1926=""),"",IF(INDEX('CARNET DE SOUDURE'!$U$7:$U$3006,P1926)="","",INDEX('CARNET DE SOUDURE'!$U$7:$U$3006,P1926)))</f>
        <v>46253</v>
      </c>
      <c r="F1926" s="82" t="str">
        <f aca="false">IF(OR(C1926="",P1926=""),"",INDEX('CARNET DE SOUDURE'!$AP$7:$AP$3006,P1926))</f>
        <v>A</v>
      </c>
      <c r="G1926" s="82" t="str">
        <f aca="false">IF(C1926="","",IF(P1926="","NJ INCONNU",INDEX('CARNET DE SOUDURE'!$AQ$7:$AQ$3006,P1926)))</f>
        <v>ACCEPTÉ</v>
      </c>
      <c r="H1926" s="82" t="str">
        <f aca="false">IF(C1926="","",IF(G1926="ACCEPTÉ","OUI","NON"))</f>
        <v>OUI</v>
      </c>
      <c r="I1926" s="83"/>
      <c r="J1926" s="80"/>
      <c r="K1926" s="81"/>
      <c r="L1926" s="81"/>
      <c r="M1926" s="81"/>
      <c r="N1926" s="84" t="str">
        <f aca="false">IF(C1926="","",IF(P1926="","NJ INCONNU",IF(I1926="",IF(H1926="OUI","À ENROBER",IF(G1926="À SOUDER","NON SOUDÉ","EN ATTENTE RT")),IF(L1926="R","À REPRENDRE",IF(H1926&lt;&gt;"OUI","⚠ ENROBÉ AVANT ACCEPTATION RT","ENROBÉ")))))</f>
        <v>À ENROBER</v>
      </c>
      <c r="O1926" s="80"/>
      <c r="P1926" s="82" t="n">
        <f aca="false">IF(C1926="","",IFERROR(MATCH(Q1926,'CARNET DE SOUDURE'!$AW$7:$AW$3006,0),""))</f>
        <v>1920</v>
      </c>
      <c r="Q1926" s="82" t="str">
        <f aca="false">IF(C1926="","",B1926&amp;"|"&amp;C1926)</f>
        <v>MFD-ISW → MFD-CPF|DJ°061</v>
      </c>
    </row>
    <row r="1927" customFormat="false" ht="74.6" hidden="false" customHeight="false" outlineLevel="0" collapsed="false">
      <c r="A1927" s="82" t="n">
        <f aca="false">IF(C1927="","",ROW()-6)</f>
        <v>1921</v>
      </c>
      <c r="B1927" s="80" t="s">
        <v>110</v>
      </c>
      <c r="C1927" s="113" t="s">
        <v>2350</v>
      </c>
      <c r="D1927" s="82" t="str">
        <f aca="false">IF(OR(C1927="",P1927=""),"",INDEX('CARNET DE SOUDURE'!$D$7:$D$3006,P1927)&amp;"")</f>
        <v>18</v>
      </c>
      <c r="E1927" s="114" t="n">
        <f aca="false">IF(OR(C1927="",P1927=""),"",IF(INDEX('CARNET DE SOUDURE'!$U$7:$U$3006,P1927)="","",INDEX('CARNET DE SOUDURE'!$U$7:$U$3006,P1927)))</f>
        <v>46268</v>
      </c>
      <c r="F1927" s="82" t="str">
        <f aca="false">IF(OR(C1927="",P1927=""),"",INDEX('CARNET DE SOUDURE'!$AP$7:$AP$3006,P1927))</f>
        <v>A</v>
      </c>
      <c r="G1927" s="82" t="str">
        <f aca="false">IF(C1927="","",IF(P1927="","NJ INCONNU",INDEX('CARNET DE SOUDURE'!$AQ$7:$AQ$3006,P1927)))</f>
        <v>ACCEPTÉ</v>
      </c>
      <c r="H1927" s="82" t="str">
        <f aca="false">IF(C1927="","",IF(G1927="ACCEPTÉ","OUI","NON"))</f>
        <v>OUI</v>
      </c>
      <c r="I1927" s="83"/>
      <c r="J1927" s="80"/>
      <c r="K1927" s="81"/>
      <c r="L1927" s="81"/>
      <c r="M1927" s="81"/>
      <c r="N1927" s="84" t="str">
        <f aca="false">IF(C1927="","",IF(P1927="","NJ INCONNU",IF(I1927="",IF(H1927="OUI","À ENROBER",IF(G1927="À SOUDER","NON SOUDÉ","EN ATTENTE RT")),IF(L1927="R","À REPRENDRE",IF(H1927&lt;&gt;"OUI","⚠ ENROBÉ AVANT ACCEPTATION RT","ENROBÉ")))))</f>
        <v>À ENROBER</v>
      </c>
      <c r="O1927" s="80"/>
      <c r="P1927" s="82" t="n">
        <f aca="false">IF(C1927="","",IFERROR(MATCH(Q1927,'CARNET DE SOUDURE'!$AW$7:$AW$3006,0),""))</f>
        <v>1921</v>
      </c>
      <c r="Q1927" s="82" t="str">
        <f aca="false">IF(C1927="","",B1927&amp;"|"&amp;C1927)</f>
        <v>MFD-ISW → MFD-CPF|JN°1493</v>
      </c>
    </row>
    <row r="1928" customFormat="false" ht="74.6" hidden="false" customHeight="false" outlineLevel="0" collapsed="false">
      <c r="A1928" s="82" t="n">
        <f aca="false">IF(C1928="","",ROW()-6)</f>
        <v>1922</v>
      </c>
      <c r="B1928" s="80" t="s">
        <v>110</v>
      </c>
      <c r="C1928" s="113" t="s">
        <v>2352</v>
      </c>
      <c r="D1928" s="82" t="str">
        <f aca="false">IF(OR(C1928="",P1928=""),"",INDEX('CARNET DE SOUDURE'!$D$7:$D$3006,P1928)&amp;"")</f>
        <v>18</v>
      </c>
      <c r="E1928" s="114" t="n">
        <f aca="false">IF(OR(C1928="",P1928=""),"",IF(INDEX('CARNET DE SOUDURE'!$U$7:$U$3006,P1928)="","",INDEX('CARNET DE SOUDURE'!$U$7:$U$3006,P1928)))</f>
        <v>46255</v>
      </c>
      <c r="F1928" s="82" t="str">
        <f aca="false">IF(OR(C1928="",P1928=""),"",INDEX('CARNET DE SOUDURE'!$AP$7:$AP$3006,P1928))</f>
        <v>A</v>
      </c>
      <c r="G1928" s="82" t="str">
        <f aca="false">IF(C1928="","",IF(P1928="","NJ INCONNU",INDEX('CARNET DE SOUDURE'!$AQ$7:$AQ$3006,P1928)))</f>
        <v>ACCEPTÉ</v>
      </c>
      <c r="H1928" s="82" t="str">
        <f aca="false">IF(C1928="","",IF(G1928="ACCEPTÉ","OUI","NON"))</f>
        <v>OUI</v>
      </c>
      <c r="I1928" s="83"/>
      <c r="J1928" s="80"/>
      <c r="K1928" s="81"/>
      <c r="L1928" s="81"/>
      <c r="M1928" s="81"/>
      <c r="N1928" s="84" t="str">
        <f aca="false">IF(C1928="","",IF(P1928="","NJ INCONNU",IF(I1928="",IF(H1928="OUI","À ENROBER",IF(G1928="À SOUDER","NON SOUDÉ","EN ATTENTE RT")),IF(L1928="R","À REPRENDRE",IF(H1928&lt;&gt;"OUI","⚠ ENROBÉ AVANT ACCEPTATION RT","ENROBÉ")))))</f>
        <v>À ENROBER</v>
      </c>
      <c r="O1928" s="80"/>
      <c r="P1928" s="82" t="n">
        <f aca="false">IF(C1928="","",IFERROR(MATCH(Q1928,'CARNET DE SOUDURE'!$AW$7:$AW$3006,0),""))</f>
        <v>1922</v>
      </c>
      <c r="Q1928" s="82" t="str">
        <f aca="false">IF(C1928="","",B1928&amp;"|"&amp;C1928)</f>
        <v>MFD-ISW → MFD-CPF|DJ°077</v>
      </c>
    </row>
    <row r="1929" customFormat="false" ht="74.6" hidden="false" customHeight="false" outlineLevel="0" collapsed="false">
      <c r="A1929" s="82" t="n">
        <f aca="false">IF(C1929="","",ROW()-6)</f>
        <v>1923</v>
      </c>
      <c r="B1929" s="80" t="s">
        <v>110</v>
      </c>
      <c r="C1929" s="113" t="s">
        <v>2353</v>
      </c>
      <c r="D1929" s="82" t="str">
        <f aca="false">IF(OR(C1929="",P1929=""),"",INDEX('CARNET DE SOUDURE'!$D$7:$D$3006,P1929)&amp;"")</f>
        <v>18</v>
      </c>
      <c r="E1929" s="114" t="n">
        <f aca="false">IF(OR(C1929="",P1929=""),"",IF(INDEX('CARNET DE SOUDURE'!$U$7:$U$3006,P1929)="","",INDEX('CARNET DE SOUDURE'!$U$7:$U$3006,P1929)))</f>
        <v>46268</v>
      </c>
      <c r="F1929" s="82" t="str">
        <f aca="false">IF(OR(C1929="",P1929=""),"",INDEX('CARNET DE SOUDURE'!$AP$7:$AP$3006,P1929))</f>
        <v>A</v>
      </c>
      <c r="G1929" s="82" t="str">
        <f aca="false">IF(C1929="","",IF(P1929="","NJ INCONNU",INDEX('CARNET DE SOUDURE'!$AQ$7:$AQ$3006,P1929)))</f>
        <v>ACCEPTÉ</v>
      </c>
      <c r="H1929" s="82" t="str">
        <f aca="false">IF(C1929="","",IF(G1929="ACCEPTÉ","OUI","NON"))</f>
        <v>OUI</v>
      </c>
      <c r="I1929" s="83"/>
      <c r="J1929" s="80"/>
      <c r="K1929" s="81"/>
      <c r="L1929" s="81"/>
      <c r="M1929" s="81"/>
      <c r="N1929" s="84" t="str">
        <f aca="false">IF(C1929="","",IF(P1929="","NJ INCONNU",IF(I1929="",IF(H1929="OUI","À ENROBER",IF(G1929="À SOUDER","NON SOUDÉ","EN ATTENTE RT")),IF(L1929="R","À REPRENDRE",IF(H1929&lt;&gt;"OUI","⚠ ENROBÉ AVANT ACCEPTATION RT","ENROBÉ")))))</f>
        <v>À ENROBER</v>
      </c>
      <c r="O1929" s="80"/>
      <c r="P1929" s="82" t="n">
        <f aca="false">IF(C1929="","",IFERROR(MATCH(Q1929,'CARNET DE SOUDURE'!$AW$7:$AW$3006,0),""))</f>
        <v>1923</v>
      </c>
      <c r="Q1929" s="82" t="str">
        <f aca="false">IF(C1929="","",B1929&amp;"|"&amp;C1929)</f>
        <v>MFD-ISW → MFD-CPF|JN°1494</v>
      </c>
    </row>
    <row r="1930" customFormat="false" ht="74.6" hidden="false" customHeight="false" outlineLevel="0" collapsed="false">
      <c r="A1930" s="82" t="n">
        <f aca="false">IF(C1930="","",ROW()-6)</f>
        <v>1924</v>
      </c>
      <c r="B1930" s="80" t="s">
        <v>110</v>
      </c>
      <c r="C1930" s="113" t="s">
        <v>2354</v>
      </c>
      <c r="D1930" s="82" t="str">
        <f aca="false">IF(OR(C1930="",P1930=""),"",INDEX('CARNET DE SOUDURE'!$D$7:$D$3006,P1930)&amp;"")</f>
        <v>18</v>
      </c>
      <c r="E1930" s="114" t="n">
        <f aca="false">IF(OR(C1930="",P1930=""),"",IF(INDEX('CARNET DE SOUDURE'!$U$7:$U$3006,P1930)="","",INDEX('CARNET DE SOUDURE'!$U$7:$U$3006,P1930)))</f>
        <v>46252</v>
      </c>
      <c r="F1930" s="82" t="str">
        <f aca="false">IF(OR(C1930="",P1930=""),"",INDEX('CARNET DE SOUDURE'!$AP$7:$AP$3006,P1930))</f>
        <v>A</v>
      </c>
      <c r="G1930" s="82" t="str">
        <f aca="false">IF(C1930="","",IF(P1930="","NJ INCONNU",INDEX('CARNET DE SOUDURE'!$AQ$7:$AQ$3006,P1930)))</f>
        <v>ACCEPTÉ</v>
      </c>
      <c r="H1930" s="82" t="str">
        <f aca="false">IF(C1930="","",IF(G1930="ACCEPTÉ","OUI","NON"))</f>
        <v>OUI</v>
      </c>
      <c r="I1930" s="83"/>
      <c r="J1930" s="80"/>
      <c r="K1930" s="81"/>
      <c r="L1930" s="81"/>
      <c r="M1930" s="81"/>
      <c r="N1930" s="84" t="str">
        <f aca="false">IF(C1930="","",IF(P1930="","NJ INCONNU",IF(I1930="",IF(H1930="OUI","À ENROBER",IF(G1930="À SOUDER","NON SOUDÉ","EN ATTENTE RT")),IF(L1930="R","À REPRENDRE",IF(H1930&lt;&gt;"OUI","⚠ ENROBÉ AVANT ACCEPTATION RT","ENROBÉ")))))</f>
        <v>À ENROBER</v>
      </c>
      <c r="O1930" s="80"/>
      <c r="P1930" s="82" t="n">
        <f aca="false">IF(C1930="","",IFERROR(MATCH(Q1930,'CARNET DE SOUDURE'!$AW$7:$AW$3006,0),""))</f>
        <v>1924</v>
      </c>
      <c r="Q1930" s="82" t="str">
        <f aca="false">IF(C1930="","",B1930&amp;"|"&amp;C1930)</f>
        <v>MFD-ISW → MFD-CPF|DJ°047</v>
      </c>
    </row>
    <row r="1931" customFormat="false" ht="74.6" hidden="false" customHeight="false" outlineLevel="0" collapsed="false">
      <c r="A1931" s="82" t="n">
        <f aca="false">IF(C1931="","",ROW()-6)</f>
        <v>1925</v>
      </c>
      <c r="B1931" s="80" t="s">
        <v>110</v>
      </c>
      <c r="C1931" s="113" t="s">
        <v>2355</v>
      </c>
      <c r="D1931" s="82" t="str">
        <f aca="false">IF(OR(C1931="",P1931=""),"",INDEX('CARNET DE SOUDURE'!$D$7:$D$3006,P1931)&amp;"")</f>
        <v>18</v>
      </c>
      <c r="E1931" s="114" t="n">
        <f aca="false">IF(OR(C1931="",P1931=""),"",IF(INDEX('CARNET DE SOUDURE'!$U$7:$U$3006,P1931)="","",INDEX('CARNET DE SOUDURE'!$U$7:$U$3006,P1931)))</f>
        <v>46268</v>
      </c>
      <c r="F1931" s="82" t="str">
        <f aca="false">IF(OR(C1931="",P1931=""),"",INDEX('CARNET DE SOUDURE'!$AP$7:$AP$3006,P1931))</f>
        <v>A</v>
      </c>
      <c r="G1931" s="82" t="str">
        <f aca="false">IF(C1931="","",IF(P1931="","NJ INCONNU",INDEX('CARNET DE SOUDURE'!$AQ$7:$AQ$3006,P1931)))</f>
        <v>ACCEPTÉ</v>
      </c>
      <c r="H1931" s="82" t="str">
        <f aca="false">IF(C1931="","",IF(G1931="ACCEPTÉ","OUI","NON"))</f>
        <v>OUI</v>
      </c>
      <c r="I1931" s="83"/>
      <c r="J1931" s="80"/>
      <c r="K1931" s="81"/>
      <c r="L1931" s="81"/>
      <c r="M1931" s="81"/>
      <c r="N1931" s="84" t="str">
        <f aca="false">IF(C1931="","",IF(P1931="","NJ INCONNU",IF(I1931="",IF(H1931="OUI","À ENROBER",IF(G1931="À SOUDER","NON SOUDÉ","EN ATTENTE RT")),IF(L1931="R","À REPRENDRE",IF(H1931&lt;&gt;"OUI","⚠ ENROBÉ AVANT ACCEPTATION RT","ENROBÉ")))))</f>
        <v>À ENROBER</v>
      </c>
      <c r="O1931" s="80"/>
      <c r="P1931" s="82" t="n">
        <f aca="false">IF(C1931="","",IFERROR(MATCH(Q1931,'CARNET DE SOUDURE'!$AW$7:$AW$3006,0),""))</f>
        <v>1925</v>
      </c>
      <c r="Q1931" s="82" t="str">
        <f aca="false">IF(C1931="","",B1931&amp;"|"&amp;C1931)</f>
        <v>MFD-ISW → MFD-CPF|JN°1495</v>
      </c>
    </row>
    <row r="1932" customFormat="false" ht="74.6" hidden="false" customHeight="false" outlineLevel="0" collapsed="false">
      <c r="A1932" s="82" t="n">
        <f aca="false">IF(C1932="","",ROW()-6)</f>
        <v>1926</v>
      </c>
      <c r="B1932" s="80" t="s">
        <v>110</v>
      </c>
      <c r="C1932" s="113" t="s">
        <v>2356</v>
      </c>
      <c r="D1932" s="82" t="str">
        <f aca="false">IF(OR(C1932="",P1932=""),"",INDEX('CARNET DE SOUDURE'!$D$7:$D$3006,P1932)&amp;"")</f>
        <v>18</v>
      </c>
      <c r="E1932" s="114" t="n">
        <f aca="false">IF(OR(C1932="",P1932=""),"",IF(INDEX('CARNET DE SOUDURE'!$U$7:$U$3006,P1932)="","",INDEX('CARNET DE SOUDURE'!$U$7:$U$3006,P1932)))</f>
        <v>46258</v>
      </c>
      <c r="F1932" s="82" t="str">
        <f aca="false">IF(OR(C1932="",P1932=""),"",INDEX('CARNET DE SOUDURE'!$AP$7:$AP$3006,P1932))</f>
        <v>A</v>
      </c>
      <c r="G1932" s="82" t="str">
        <f aca="false">IF(C1932="","",IF(P1932="","NJ INCONNU",INDEX('CARNET DE SOUDURE'!$AQ$7:$AQ$3006,P1932)))</f>
        <v>ACCEPTÉ</v>
      </c>
      <c r="H1932" s="82" t="str">
        <f aca="false">IF(C1932="","",IF(G1932="ACCEPTÉ","OUI","NON"))</f>
        <v>OUI</v>
      </c>
      <c r="I1932" s="83"/>
      <c r="J1932" s="80"/>
      <c r="K1932" s="81"/>
      <c r="L1932" s="81"/>
      <c r="M1932" s="81"/>
      <c r="N1932" s="84" t="str">
        <f aca="false">IF(C1932="","",IF(P1932="","NJ INCONNU",IF(I1932="",IF(H1932="OUI","À ENROBER",IF(G1932="À SOUDER","NON SOUDÉ","EN ATTENTE RT")),IF(L1932="R","À REPRENDRE",IF(H1932&lt;&gt;"OUI","⚠ ENROBÉ AVANT ACCEPTATION RT","ENROBÉ")))))</f>
        <v>À ENROBER</v>
      </c>
      <c r="O1932" s="80"/>
      <c r="P1932" s="82" t="n">
        <f aca="false">IF(C1932="","",IFERROR(MATCH(Q1932,'CARNET DE SOUDURE'!$AW$7:$AW$3006,0),""))</f>
        <v>1926</v>
      </c>
      <c r="Q1932" s="82" t="str">
        <f aca="false">IF(C1932="","",B1932&amp;"|"&amp;C1932)</f>
        <v>MFD-ISW → MFD-CPF|DJ°125</v>
      </c>
    </row>
    <row r="1933" customFormat="false" ht="74.6" hidden="false" customHeight="false" outlineLevel="0" collapsed="false">
      <c r="A1933" s="82" t="n">
        <f aca="false">IF(C1933="","",ROW()-6)</f>
        <v>1927</v>
      </c>
      <c r="B1933" s="80" t="s">
        <v>110</v>
      </c>
      <c r="C1933" s="113" t="s">
        <v>2357</v>
      </c>
      <c r="D1933" s="82" t="str">
        <f aca="false">IF(OR(C1933="",P1933=""),"",INDEX('CARNET DE SOUDURE'!$D$7:$D$3006,P1933)&amp;"")</f>
        <v>18</v>
      </c>
      <c r="E1933" s="114" t="n">
        <f aca="false">IF(OR(C1933="",P1933=""),"",IF(INDEX('CARNET DE SOUDURE'!$U$7:$U$3006,P1933)="","",INDEX('CARNET DE SOUDURE'!$U$7:$U$3006,P1933)))</f>
        <v>46287</v>
      </c>
      <c r="F1933" s="82" t="str">
        <f aca="false">IF(OR(C1933="",P1933=""),"",INDEX('CARNET DE SOUDURE'!$AP$7:$AP$3006,P1933))</f>
        <v/>
      </c>
      <c r="G1933" s="82" t="str">
        <f aca="false">IF(C1933="","",IF(P1933="","NJ INCONNU",INDEX('CARNET DE SOUDURE'!$AQ$7:$AQ$3006,P1933)))</f>
        <v>À RADIOGRAPHIER</v>
      </c>
      <c r="H1933" s="82" t="str">
        <f aca="false">IF(C1933="","",IF(G1933="ACCEPTÉ","OUI","NON"))</f>
        <v>NON</v>
      </c>
      <c r="I1933" s="83"/>
      <c r="J1933" s="80"/>
      <c r="K1933" s="81"/>
      <c r="L1933" s="81"/>
      <c r="M1933" s="81"/>
      <c r="N1933" s="84" t="str">
        <f aca="false">IF(C1933="","",IF(P1933="","NJ INCONNU",IF(I1933="",IF(H1933="OUI","À ENROBER",IF(G1933="À SOUDER","NON SOUDÉ","EN ATTENTE RT")),IF(L1933="R","À REPRENDRE",IF(H1933&lt;&gt;"OUI","⚠ ENROBÉ AVANT ACCEPTATION RT","ENROBÉ")))))</f>
        <v>EN ATTENTE RT</v>
      </c>
      <c r="O1933" s="80"/>
      <c r="P1933" s="82" t="n">
        <f aca="false">IF(C1933="","",IFERROR(MATCH(Q1933,'CARNET DE SOUDURE'!$AW$7:$AW$3006,0),""))</f>
        <v>1927</v>
      </c>
      <c r="Q1933" s="82" t="str">
        <f aca="false">IF(C1933="","",B1933&amp;"|"&amp;C1933)</f>
        <v>MFD-ISW → MFD-CPF|JN°1496R</v>
      </c>
    </row>
    <row r="1934" customFormat="false" ht="74.6" hidden="false" customHeight="false" outlineLevel="0" collapsed="false">
      <c r="A1934" s="82" t="n">
        <f aca="false">IF(C1934="","",ROW()-6)</f>
        <v>1928</v>
      </c>
      <c r="B1934" s="80" t="s">
        <v>110</v>
      </c>
      <c r="C1934" s="113" t="s">
        <v>2358</v>
      </c>
      <c r="D1934" s="82" t="str">
        <f aca="false">IF(OR(C1934="",P1934=""),"",INDEX('CARNET DE SOUDURE'!$D$7:$D$3006,P1934)&amp;"")</f>
        <v>18</v>
      </c>
      <c r="E1934" s="114" t="n">
        <f aca="false">IF(OR(C1934="",P1934=""),"",IF(INDEX('CARNET DE SOUDURE'!$U$7:$U$3006,P1934)="","",INDEX('CARNET DE SOUDURE'!$U$7:$U$3006,P1934)))</f>
        <v>46258</v>
      </c>
      <c r="F1934" s="82" t="str">
        <f aca="false">IF(OR(C1934="",P1934=""),"",INDEX('CARNET DE SOUDURE'!$AP$7:$AP$3006,P1934))</f>
        <v>A</v>
      </c>
      <c r="G1934" s="82" t="str">
        <f aca="false">IF(C1934="","",IF(P1934="","NJ INCONNU",INDEX('CARNET DE SOUDURE'!$AQ$7:$AQ$3006,P1934)))</f>
        <v>ACCEPTÉ</v>
      </c>
      <c r="H1934" s="82" t="str">
        <f aca="false">IF(C1934="","",IF(G1934="ACCEPTÉ","OUI","NON"))</f>
        <v>OUI</v>
      </c>
      <c r="I1934" s="83"/>
      <c r="J1934" s="80"/>
      <c r="K1934" s="81"/>
      <c r="L1934" s="81"/>
      <c r="M1934" s="81"/>
      <c r="N1934" s="84" t="str">
        <f aca="false">IF(C1934="","",IF(P1934="","NJ INCONNU",IF(I1934="",IF(H1934="OUI","À ENROBER",IF(G1934="À SOUDER","NON SOUDÉ","EN ATTENTE RT")),IF(L1934="R","À REPRENDRE",IF(H1934&lt;&gt;"OUI","⚠ ENROBÉ AVANT ACCEPTATION RT","ENROBÉ")))))</f>
        <v>À ENROBER</v>
      </c>
      <c r="O1934" s="80"/>
      <c r="P1934" s="82" t="n">
        <f aca="false">IF(C1934="","",IFERROR(MATCH(Q1934,'CARNET DE SOUDURE'!$AW$7:$AW$3006,0),""))</f>
        <v>1928</v>
      </c>
      <c r="Q1934" s="82" t="str">
        <f aca="false">IF(C1934="","",B1934&amp;"|"&amp;C1934)</f>
        <v>MFD-ISW → MFD-CPF|DJ°120</v>
      </c>
    </row>
    <row r="1935" customFormat="false" ht="74.6" hidden="false" customHeight="false" outlineLevel="0" collapsed="false">
      <c r="A1935" s="82" t="n">
        <f aca="false">IF(C1935="","",ROW()-6)</f>
        <v>1929</v>
      </c>
      <c r="B1935" s="80" t="s">
        <v>110</v>
      </c>
      <c r="C1935" s="113" t="s">
        <v>2359</v>
      </c>
      <c r="D1935" s="82" t="str">
        <f aca="false">IF(OR(C1935="",P1935=""),"",INDEX('CARNET DE SOUDURE'!$D$7:$D$3006,P1935)&amp;"")</f>
        <v>18</v>
      </c>
      <c r="E1935" s="114" t="n">
        <f aca="false">IF(OR(C1935="",P1935=""),"",IF(INDEX('CARNET DE SOUDURE'!$U$7:$U$3006,P1935)="","",INDEX('CARNET DE SOUDURE'!$U$7:$U$3006,P1935)))</f>
        <v>46287</v>
      </c>
      <c r="F1935" s="82" t="str">
        <f aca="false">IF(OR(C1935="",P1935=""),"",INDEX('CARNET DE SOUDURE'!$AP$7:$AP$3006,P1935))</f>
        <v/>
      </c>
      <c r="G1935" s="82" t="str">
        <f aca="false">IF(C1935="","",IF(P1935="","NJ INCONNU",INDEX('CARNET DE SOUDURE'!$AQ$7:$AQ$3006,P1935)))</f>
        <v>À RADIOGRAPHIER</v>
      </c>
      <c r="H1935" s="82" t="str">
        <f aca="false">IF(C1935="","",IF(G1935="ACCEPTÉ","OUI","NON"))</f>
        <v>NON</v>
      </c>
      <c r="I1935" s="83"/>
      <c r="J1935" s="80"/>
      <c r="K1935" s="81"/>
      <c r="L1935" s="81"/>
      <c r="M1935" s="81"/>
      <c r="N1935" s="84" t="str">
        <f aca="false">IF(C1935="","",IF(P1935="","NJ INCONNU",IF(I1935="",IF(H1935="OUI","À ENROBER",IF(G1935="À SOUDER","NON SOUDÉ","EN ATTENTE RT")),IF(L1935="R","À REPRENDRE",IF(H1935&lt;&gt;"OUI","⚠ ENROBÉ AVANT ACCEPTATION RT","ENROBÉ")))))</f>
        <v>EN ATTENTE RT</v>
      </c>
      <c r="O1935" s="80"/>
      <c r="P1935" s="82" t="n">
        <f aca="false">IF(C1935="","",IFERROR(MATCH(Q1935,'CARNET DE SOUDURE'!$AW$7:$AW$3006,0),""))</f>
        <v>1929</v>
      </c>
      <c r="Q1935" s="82" t="str">
        <f aca="false">IF(C1935="","",B1935&amp;"|"&amp;C1935)</f>
        <v>MFD-ISW → MFD-CPF|JN°1497R</v>
      </c>
    </row>
    <row r="1936" customFormat="false" ht="74.6" hidden="false" customHeight="false" outlineLevel="0" collapsed="false">
      <c r="A1936" s="82" t="n">
        <f aca="false">IF(C1936="","",ROW()-6)</f>
        <v>1930</v>
      </c>
      <c r="B1936" s="80" t="s">
        <v>110</v>
      </c>
      <c r="C1936" s="113" t="s">
        <v>2360</v>
      </c>
      <c r="D1936" s="82" t="str">
        <f aca="false">IF(OR(C1936="",P1936=""),"",INDEX('CARNET DE SOUDURE'!$D$7:$D$3006,P1936)&amp;"")</f>
        <v>18</v>
      </c>
      <c r="E1936" s="114" t="n">
        <f aca="false">IF(OR(C1936="",P1936=""),"",IF(INDEX('CARNET DE SOUDURE'!$U$7:$U$3006,P1936)="","",INDEX('CARNET DE SOUDURE'!$U$7:$U$3006,P1936)))</f>
        <v>46253</v>
      </c>
      <c r="F1936" s="82" t="str">
        <f aca="false">IF(OR(C1936="",P1936=""),"",INDEX('CARNET DE SOUDURE'!$AP$7:$AP$3006,P1936))</f>
        <v>R</v>
      </c>
      <c r="G1936" s="82" t="str">
        <f aca="false">IF(C1936="","",IF(P1936="","NJ INCONNU",INDEX('CARNET DE SOUDURE'!$AQ$7:$AQ$3006,P1936)))</f>
        <v>À RÉPARER</v>
      </c>
      <c r="H1936" s="82" t="str">
        <f aca="false">IF(C1936="","",IF(G1936="ACCEPTÉ","OUI","NON"))</f>
        <v>NON</v>
      </c>
      <c r="I1936" s="83"/>
      <c r="J1936" s="80"/>
      <c r="K1936" s="81"/>
      <c r="L1936" s="81"/>
      <c r="M1936" s="81"/>
      <c r="N1936" s="84" t="str">
        <f aca="false">IF(C1936="","",IF(P1936="","NJ INCONNU",IF(I1936="",IF(H1936="OUI","À ENROBER",IF(G1936="À SOUDER","NON SOUDÉ","EN ATTENTE RT")),IF(L1936="R","À REPRENDRE",IF(H1936&lt;&gt;"OUI","⚠ ENROBÉ AVANT ACCEPTATION RT","ENROBÉ")))))</f>
        <v>EN ATTENTE RT</v>
      </c>
      <c r="O1936" s="80"/>
      <c r="P1936" s="82" t="n">
        <f aca="false">IF(C1936="","",IFERROR(MATCH(Q1936,'CARNET DE SOUDURE'!$AW$7:$AW$3006,0),""))</f>
        <v>1930</v>
      </c>
      <c r="Q1936" s="82" t="str">
        <f aca="false">IF(C1936="","",B1936&amp;"|"&amp;C1936)</f>
        <v>MFD-ISW → MFD-CPF|DJ°062</v>
      </c>
    </row>
    <row r="1937" customFormat="false" ht="74.6" hidden="false" customHeight="false" outlineLevel="0" collapsed="false">
      <c r="A1937" s="82" t="n">
        <f aca="false">IF(C1937="","",ROW()-6)</f>
        <v>1931</v>
      </c>
      <c r="B1937" s="80" t="s">
        <v>110</v>
      </c>
      <c r="C1937" s="113" t="s">
        <v>2362</v>
      </c>
      <c r="D1937" s="82" t="str">
        <f aca="false">IF(OR(C1937="",P1937=""),"",INDEX('CARNET DE SOUDURE'!$D$7:$D$3006,P1937)&amp;"")</f>
        <v>18</v>
      </c>
      <c r="E1937" s="114" t="n">
        <f aca="false">IF(OR(C1937="",P1937=""),"",IF(INDEX('CARNET DE SOUDURE'!$U$7:$U$3006,P1937)="","",INDEX('CARNET DE SOUDURE'!$U$7:$U$3006,P1937)))</f>
        <v>46268</v>
      </c>
      <c r="F1937" s="82" t="str">
        <f aca="false">IF(OR(C1937="",P1937=""),"",INDEX('CARNET DE SOUDURE'!$AP$7:$AP$3006,P1937))</f>
        <v>A</v>
      </c>
      <c r="G1937" s="82" t="str">
        <f aca="false">IF(C1937="","",IF(P1937="","NJ INCONNU",INDEX('CARNET DE SOUDURE'!$AQ$7:$AQ$3006,P1937)))</f>
        <v>ACCEPTÉ</v>
      </c>
      <c r="H1937" s="82" t="str">
        <f aca="false">IF(C1937="","",IF(G1937="ACCEPTÉ","OUI","NON"))</f>
        <v>OUI</v>
      </c>
      <c r="I1937" s="83"/>
      <c r="J1937" s="80"/>
      <c r="K1937" s="81"/>
      <c r="L1937" s="81"/>
      <c r="M1937" s="81"/>
      <c r="N1937" s="84" t="str">
        <f aca="false">IF(C1937="","",IF(P1937="","NJ INCONNU",IF(I1937="",IF(H1937="OUI","À ENROBER",IF(G1937="À SOUDER","NON SOUDÉ","EN ATTENTE RT")),IF(L1937="R","À REPRENDRE",IF(H1937&lt;&gt;"OUI","⚠ ENROBÉ AVANT ACCEPTATION RT","ENROBÉ")))))</f>
        <v>À ENROBER</v>
      </c>
      <c r="O1937" s="80"/>
      <c r="P1937" s="82" t="n">
        <f aca="false">IF(C1937="","",IFERROR(MATCH(Q1937,'CARNET DE SOUDURE'!$AW$7:$AW$3006,0),""))</f>
        <v>1931</v>
      </c>
      <c r="Q1937" s="82" t="str">
        <f aca="false">IF(C1937="","",B1937&amp;"|"&amp;C1937)</f>
        <v>MFD-ISW → MFD-CPF|JN°1498</v>
      </c>
    </row>
    <row r="1938" customFormat="false" ht="74.6" hidden="false" customHeight="false" outlineLevel="0" collapsed="false">
      <c r="A1938" s="82" t="n">
        <f aca="false">IF(C1938="","",ROW()-6)</f>
        <v>1932</v>
      </c>
      <c r="B1938" s="80" t="s">
        <v>110</v>
      </c>
      <c r="C1938" s="113" t="s">
        <v>2364</v>
      </c>
      <c r="D1938" s="82" t="str">
        <f aca="false">IF(OR(C1938="",P1938=""),"",INDEX('CARNET DE SOUDURE'!$D$7:$D$3006,P1938)&amp;"")</f>
        <v>18</v>
      </c>
      <c r="E1938" s="114" t="n">
        <f aca="false">IF(OR(C1938="",P1938=""),"",IF(INDEX('CARNET DE SOUDURE'!$U$7:$U$3006,P1938)="","",INDEX('CARNET DE SOUDURE'!$U$7:$U$3006,P1938)))</f>
        <v>46258</v>
      </c>
      <c r="F1938" s="82" t="str">
        <f aca="false">IF(OR(C1938="",P1938=""),"",INDEX('CARNET DE SOUDURE'!$AP$7:$AP$3006,P1938))</f>
        <v>A</v>
      </c>
      <c r="G1938" s="82" t="str">
        <f aca="false">IF(C1938="","",IF(P1938="","NJ INCONNU",INDEX('CARNET DE SOUDURE'!$AQ$7:$AQ$3006,P1938)))</f>
        <v>ACCEPTÉ</v>
      </c>
      <c r="H1938" s="82" t="str">
        <f aca="false">IF(C1938="","",IF(G1938="ACCEPTÉ","OUI","NON"))</f>
        <v>OUI</v>
      </c>
      <c r="I1938" s="83"/>
      <c r="J1938" s="80"/>
      <c r="K1938" s="81"/>
      <c r="L1938" s="81"/>
      <c r="M1938" s="81"/>
      <c r="N1938" s="84" t="str">
        <f aca="false">IF(C1938="","",IF(P1938="","NJ INCONNU",IF(I1938="",IF(H1938="OUI","À ENROBER",IF(G1938="À SOUDER","NON SOUDÉ","EN ATTENTE RT")),IF(L1938="R","À REPRENDRE",IF(H1938&lt;&gt;"OUI","⚠ ENROBÉ AVANT ACCEPTATION RT","ENROBÉ")))))</f>
        <v>À ENROBER</v>
      </c>
      <c r="O1938" s="80"/>
      <c r="P1938" s="82" t="n">
        <f aca="false">IF(C1938="","",IFERROR(MATCH(Q1938,'CARNET DE SOUDURE'!$AW$7:$AW$3006,0),""))</f>
        <v>1932</v>
      </c>
      <c r="Q1938" s="82" t="str">
        <f aca="false">IF(C1938="","",B1938&amp;"|"&amp;C1938)</f>
        <v>MFD-ISW → MFD-CPF|DJ°119</v>
      </c>
    </row>
    <row r="1939" customFormat="false" ht="74.6" hidden="false" customHeight="false" outlineLevel="0" collapsed="false">
      <c r="A1939" s="82" t="n">
        <f aca="false">IF(C1939="","",ROW()-6)</f>
        <v>1933</v>
      </c>
      <c r="B1939" s="80" t="s">
        <v>110</v>
      </c>
      <c r="C1939" s="113" t="s">
        <v>2365</v>
      </c>
      <c r="D1939" s="82" t="str">
        <f aca="false">IF(OR(C1939="",P1939=""),"",INDEX('CARNET DE SOUDURE'!$D$7:$D$3006,P1939)&amp;"")</f>
        <v>18</v>
      </c>
      <c r="E1939" s="114" t="n">
        <f aca="false">IF(OR(C1939="",P1939=""),"",IF(INDEX('CARNET DE SOUDURE'!$U$7:$U$3006,P1939)="","",INDEX('CARNET DE SOUDURE'!$U$7:$U$3006,P1939)))</f>
        <v>46268</v>
      </c>
      <c r="F1939" s="82" t="str">
        <f aca="false">IF(OR(C1939="",P1939=""),"",INDEX('CARNET DE SOUDURE'!$AP$7:$AP$3006,P1939))</f>
        <v>A</v>
      </c>
      <c r="G1939" s="82" t="str">
        <f aca="false">IF(C1939="","",IF(P1939="","NJ INCONNU",INDEX('CARNET DE SOUDURE'!$AQ$7:$AQ$3006,P1939)))</f>
        <v>ACCEPTÉ</v>
      </c>
      <c r="H1939" s="82" t="str">
        <f aca="false">IF(C1939="","",IF(G1939="ACCEPTÉ","OUI","NON"))</f>
        <v>OUI</v>
      </c>
      <c r="I1939" s="83"/>
      <c r="J1939" s="80"/>
      <c r="K1939" s="81"/>
      <c r="L1939" s="81"/>
      <c r="M1939" s="81"/>
      <c r="N1939" s="84" t="str">
        <f aca="false">IF(C1939="","",IF(P1939="","NJ INCONNU",IF(I1939="",IF(H1939="OUI","À ENROBER",IF(G1939="À SOUDER","NON SOUDÉ","EN ATTENTE RT")),IF(L1939="R","À REPRENDRE",IF(H1939&lt;&gt;"OUI","⚠ ENROBÉ AVANT ACCEPTATION RT","ENROBÉ")))))</f>
        <v>À ENROBER</v>
      </c>
      <c r="O1939" s="80"/>
      <c r="P1939" s="82" t="n">
        <f aca="false">IF(C1939="","",IFERROR(MATCH(Q1939,'CARNET DE SOUDURE'!$AW$7:$AW$3006,0),""))</f>
        <v>1933</v>
      </c>
      <c r="Q1939" s="82" t="str">
        <f aca="false">IF(C1939="","",B1939&amp;"|"&amp;C1939)</f>
        <v>MFD-ISW → MFD-CPF|JN°1499</v>
      </c>
    </row>
    <row r="1940" customFormat="false" ht="74.6" hidden="false" customHeight="false" outlineLevel="0" collapsed="false">
      <c r="A1940" s="82" t="n">
        <f aca="false">IF(C1940="","",ROW()-6)</f>
        <v>1934</v>
      </c>
      <c r="B1940" s="80" t="s">
        <v>110</v>
      </c>
      <c r="C1940" s="113" t="s">
        <v>2366</v>
      </c>
      <c r="D1940" s="82" t="str">
        <f aca="false">IF(OR(C1940="",P1940=""),"",INDEX('CARNET DE SOUDURE'!$D$7:$D$3006,P1940)&amp;"")</f>
        <v>18</v>
      </c>
      <c r="E1940" s="114" t="n">
        <f aca="false">IF(OR(C1940="",P1940=""),"",IF(INDEX('CARNET DE SOUDURE'!$U$7:$U$3006,P1940)="","",INDEX('CARNET DE SOUDURE'!$U$7:$U$3006,P1940)))</f>
        <v>46254</v>
      </c>
      <c r="F1940" s="82" t="str">
        <f aca="false">IF(OR(C1940="",P1940=""),"",INDEX('CARNET DE SOUDURE'!$AP$7:$AP$3006,P1940))</f>
        <v>A</v>
      </c>
      <c r="G1940" s="82" t="str">
        <f aca="false">IF(C1940="","",IF(P1940="","NJ INCONNU",INDEX('CARNET DE SOUDURE'!$AQ$7:$AQ$3006,P1940)))</f>
        <v>ACCEPTÉ</v>
      </c>
      <c r="H1940" s="82" t="str">
        <f aca="false">IF(C1940="","",IF(G1940="ACCEPTÉ","OUI","NON"))</f>
        <v>OUI</v>
      </c>
      <c r="I1940" s="83"/>
      <c r="J1940" s="80"/>
      <c r="K1940" s="81"/>
      <c r="L1940" s="81"/>
      <c r="M1940" s="81"/>
      <c r="N1940" s="84" t="str">
        <f aca="false">IF(C1940="","",IF(P1940="","NJ INCONNU",IF(I1940="",IF(H1940="OUI","À ENROBER",IF(G1940="À SOUDER","NON SOUDÉ","EN ATTENTE RT")),IF(L1940="R","À REPRENDRE",IF(H1940&lt;&gt;"OUI","⚠ ENROBÉ AVANT ACCEPTATION RT","ENROBÉ")))))</f>
        <v>À ENROBER</v>
      </c>
      <c r="O1940" s="80"/>
      <c r="P1940" s="82" t="n">
        <f aca="false">IF(C1940="","",IFERROR(MATCH(Q1940,'CARNET DE SOUDURE'!$AW$7:$AW$3006,0),""))</f>
        <v>1934</v>
      </c>
      <c r="Q1940" s="82" t="str">
        <f aca="false">IF(C1940="","",B1940&amp;"|"&amp;C1940)</f>
        <v>MFD-ISW → MFD-CPF|DJ°070</v>
      </c>
    </row>
    <row r="1941" customFormat="false" ht="74.6" hidden="false" customHeight="false" outlineLevel="0" collapsed="false">
      <c r="A1941" s="82" t="n">
        <f aca="false">IF(C1941="","",ROW()-6)</f>
        <v>1935</v>
      </c>
      <c r="B1941" s="80" t="s">
        <v>110</v>
      </c>
      <c r="C1941" s="113" t="s">
        <v>2367</v>
      </c>
      <c r="D1941" s="82" t="str">
        <f aca="false">IF(OR(C1941="",P1941=""),"",INDEX('CARNET DE SOUDURE'!$D$7:$D$3006,P1941)&amp;"")</f>
        <v>18</v>
      </c>
      <c r="E1941" s="114" t="str">
        <f aca="false">IF(OR(C1941="",P1941=""),"",IF(INDEX('CARNET DE SOUDURE'!$U$7:$U$3006,P1941)="","",INDEX('CARNET DE SOUDURE'!$U$7:$U$3006,P1941)))</f>
        <v/>
      </c>
      <c r="F1941" s="82" t="str">
        <f aca="false">IF(OR(C1941="",P1941=""),"",INDEX('CARNET DE SOUDURE'!$AP$7:$AP$3006,P1941))</f>
        <v/>
      </c>
      <c r="G1941" s="82" t="str">
        <f aca="false">IF(C1941="","",IF(P1941="","NJ INCONNU",INDEX('CARNET DE SOUDURE'!$AQ$7:$AQ$3006,P1941)))</f>
        <v>À SOUDER</v>
      </c>
      <c r="H1941" s="82" t="str">
        <f aca="false">IF(C1941="","",IF(G1941="ACCEPTÉ","OUI","NON"))</f>
        <v>NON</v>
      </c>
      <c r="I1941" s="83"/>
      <c r="J1941" s="80"/>
      <c r="K1941" s="81"/>
      <c r="L1941" s="81"/>
      <c r="M1941" s="81"/>
      <c r="N1941" s="84" t="str">
        <f aca="false">IF(C1941="","",IF(P1941="","NJ INCONNU",IF(I1941="",IF(H1941="OUI","À ENROBER",IF(G1941="À SOUDER","NON SOUDÉ","EN ATTENTE RT")),IF(L1941="R","À REPRENDRE",IF(H1941&lt;&gt;"OUI","⚠ ENROBÉ AVANT ACCEPTATION RT","ENROBÉ")))))</f>
        <v>NON SOUDÉ</v>
      </c>
      <c r="O1941" s="80"/>
      <c r="P1941" s="82" t="n">
        <f aca="false">IF(C1941="","",IFERROR(MATCH(Q1941,'CARNET DE SOUDURE'!$AW$7:$AW$3006,0),""))</f>
        <v>1935</v>
      </c>
      <c r="Q1941" s="82" t="str">
        <f aca="false">IF(C1941="","",B1941&amp;"|"&amp;C1941)</f>
        <v>MFD-ISW → MFD-CPF|JN°1500</v>
      </c>
    </row>
    <row r="1942" customFormat="false" ht="74.6" hidden="false" customHeight="false" outlineLevel="0" collapsed="false">
      <c r="A1942" s="82" t="n">
        <f aca="false">IF(C1942="","",ROW()-6)</f>
        <v>1936</v>
      </c>
      <c r="B1942" s="80" t="s">
        <v>110</v>
      </c>
      <c r="C1942" s="113" t="s">
        <v>2368</v>
      </c>
      <c r="D1942" s="82" t="str">
        <f aca="false">IF(OR(C1942="",P1942=""),"",INDEX('CARNET DE SOUDURE'!$D$7:$D$3006,P1942)&amp;"")</f>
        <v>18</v>
      </c>
      <c r="E1942" s="114" t="str">
        <f aca="false">IF(OR(C1942="",P1942=""),"",IF(INDEX('CARNET DE SOUDURE'!$U$7:$U$3006,P1942)="","",INDEX('CARNET DE SOUDURE'!$U$7:$U$3006,P1942)))</f>
        <v/>
      </c>
      <c r="F1942" s="82" t="str">
        <f aca="false">IF(OR(C1942="",P1942=""),"",INDEX('CARNET DE SOUDURE'!$AP$7:$AP$3006,P1942))</f>
        <v/>
      </c>
      <c r="G1942" s="82" t="str">
        <f aca="false">IF(C1942="","",IF(P1942="","NJ INCONNU",INDEX('CARNET DE SOUDURE'!$AQ$7:$AQ$3006,P1942)))</f>
        <v>À SOUDER</v>
      </c>
      <c r="H1942" s="82" t="str">
        <f aca="false">IF(C1942="","",IF(G1942="ACCEPTÉ","OUI","NON"))</f>
        <v>NON</v>
      </c>
      <c r="I1942" s="83"/>
      <c r="J1942" s="80"/>
      <c r="K1942" s="81"/>
      <c r="L1942" s="81"/>
      <c r="M1942" s="81"/>
      <c r="N1942" s="84" t="str">
        <f aca="false">IF(C1942="","",IF(P1942="","NJ INCONNU",IF(I1942="",IF(H1942="OUI","À ENROBER",IF(G1942="À SOUDER","NON SOUDÉ","EN ATTENTE RT")),IF(L1942="R","À REPRENDRE",IF(H1942&lt;&gt;"OUI","⚠ ENROBÉ AVANT ACCEPTATION RT","ENROBÉ")))))</f>
        <v>NON SOUDÉ</v>
      </c>
      <c r="O1942" s="80"/>
      <c r="P1942" s="82" t="n">
        <f aca="false">IF(C1942="","",IFERROR(MATCH(Q1942,'CARNET DE SOUDURE'!$AW$7:$AW$3006,0),""))</f>
        <v>1936</v>
      </c>
      <c r="Q1942" s="82" t="str">
        <f aca="false">IF(C1942="","",B1942&amp;"|"&amp;C1942)</f>
        <v>MFD-ISW → MFD-CPF|JN°1501</v>
      </c>
    </row>
    <row r="1943" customFormat="false" ht="74.6" hidden="false" customHeight="false" outlineLevel="0" collapsed="false">
      <c r="A1943" s="82" t="n">
        <f aca="false">IF(C1943="","",ROW()-6)</f>
        <v>1937</v>
      </c>
      <c r="B1943" s="80" t="s">
        <v>110</v>
      </c>
      <c r="C1943" s="113" t="s">
        <v>2370</v>
      </c>
      <c r="D1943" s="82" t="str">
        <f aca="false">IF(OR(C1943="",P1943=""),"",INDEX('CARNET DE SOUDURE'!$D$7:$D$3006,P1943)&amp;"")</f>
        <v>18</v>
      </c>
      <c r="E1943" s="114" t="n">
        <f aca="false">IF(OR(C1943="",P1943=""),"",IF(INDEX('CARNET DE SOUDURE'!$U$7:$U$3006,P1943)="","",INDEX('CARNET DE SOUDURE'!$U$7:$U$3006,P1943)))</f>
        <v>46258</v>
      </c>
      <c r="F1943" s="82" t="str">
        <f aca="false">IF(OR(C1943="",P1943=""),"",INDEX('CARNET DE SOUDURE'!$AP$7:$AP$3006,P1943))</f>
        <v>A</v>
      </c>
      <c r="G1943" s="82" t="str">
        <f aca="false">IF(C1943="","",IF(P1943="","NJ INCONNU",INDEX('CARNET DE SOUDURE'!$AQ$7:$AQ$3006,P1943)))</f>
        <v>ACCEPTÉ</v>
      </c>
      <c r="H1943" s="82" t="str">
        <f aca="false">IF(C1943="","",IF(G1943="ACCEPTÉ","OUI","NON"))</f>
        <v>OUI</v>
      </c>
      <c r="I1943" s="83"/>
      <c r="J1943" s="80"/>
      <c r="K1943" s="81"/>
      <c r="L1943" s="81"/>
      <c r="M1943" s="81"/>
      <c r="N1943" s="84" t="str">
        <f aca="false">IF(C1943="","",IF(P1943="","NJ INCONNU",IF(I1943="",IF(H1943="OUI","À ENROBER",IF(G1943="À SOUDER","NON SOUDÉ","EN ATTENTE RT")),IF(L1943="R","À REPRENDRE",IF(H1943&lt;&gt;"OUI","⚠ ENROBÉ AVANT ACCEPTATION RT","ENROBÉ")))))</f>
        <v>À ENROBER</v>
      </c>
      <c r="O1943" s="80"/>
      <c r="P1943" s="82" t="n">
        <f aca="false">IF(C1943="","",IFERROR(MATCH(Q1943,'CARNET DE SOUDURE'!$AW$7:$AW$3006,0),""))</f>
        <v>1937</v>
      </c>
      <c r="Q1943" s="82" t="str">
        <f aca="false">IF(C1943="","",B1943&amp;"|"&amp;C1943)</f>
        <v>MFD-ISW → MFD-CPF|DJ°121</v>
      </c>
    </row>
    <row r="1944" customFormat="false" ht="74.6" hidden="false" customHeight="false" outlineLevel="0" collapsed="false">
      <c r="A1944" s="82" t="n">
        <f aca="false">IF(C1944="","",ROW()-6)</f>
        <v>1938</v>
      </c>
      <c r="B1944" s="80" t="s">
        <v>110</v>
      </c>
      <c r="C1944" s="113" t="s">
        <v>2371</v>
      </c>
      <c r="D1944" s="82" t="str">
        <f aca="false">IF(OR(C1944="",P1944=""),"",INDEX('CARNET DE SOUDURE'!$D$7:$D$3006,P1944)&amp;"")</f>
        <v>18</v>
      </c>
      <c r="E1944" s="114" t="n">
        <f aca="false">IF(OR(C1944="",P1944=""),"",IF(INDEX('CARNET DE SOUDURE'!$U$7:$U$3006,P1944)="","",INDEX('CARNET DE SOUDURE'!$U$7:$U$3006,P1944)))</f>
        <v>46268</v>
      </c>
      <c r="F1944" s="82" t="str">
        <f aca="false">IF(OR(C1944="",P1944=""),"",INDEX('CARNET DE SOUDURE'!$AP$7:$AP$3006,P1944))</f>
        <v>A</v>
      </c>
      <c r="G1944" s="82" t="str">
        <f aca="false">IF(C1944="","",IF(P1944="","NJ INCONNU",INDEX('CARNET DE SOUDURE'!$AQ$7:$AQ$3006,P1944)))</f>
        <v>ACCEPTÉ</v>
      </c>
      <c r="H1944" s="82" t="str">
        <f aca="false">IF(C1944="","",IF(G1944="ACCEPTÉ","OUI","NON"))</f>
        <v>OUI</v>
      </c>
      <c r="I1944" s="83"/>
      <c r="J1944" s="80"/>
      <c r="K1944" s="81"/>
      <c r="L1944" s="81"/>
      <c r="M1944" s="81"/>
      <c r="N1944" s="84" t="str">
        <f aca="false">IF(C1944="","",IF(P1944="","NJ INCONNU",IF(I1944="",IF(H1944="OUI","À ENROBER",IF(G1944="À SOUDER","NON SOUDÉ","EN ATTENTE RT")),IF(L1944="R","À REPRENDRE",IF(H1944&lt;&gt;"OUI","⚠ ENROBÉ AVANT ACCEPTATION RT","ENROBÉ")))))</f>
        <v>À ENROBER</v>
      </c>
      <c r="O1944" s="80"/>
      <c r="P1944" s="82" t="n">
        <f aca="false">IF(C1944="","",IFERROR(MATCH(Q1944,'CARNET DE SOUDURE'!$AW$7:$AW$3006,0),""))</f>
        <v>1938</v>
      </c>
      <c r="Q1944" s="82" t="str">
        <f aca="false">IF(C1944="","",B1944&amp;"|"&amp;C1944)</f>
        <v>MFD-ISW → MFD-CPF|JN°1502</v>
      </c>
    </row>
    <row r="1945" customFormat="false" ht="74.6" hidden="false" customHeight="false" outlineLevel="0" collapsed="false">
      <c r="A1945" s="82" t="n">
        <f aca="false">IF(C1945="","",ROW()-6)</f>
        <v>1939</v>
      </c>
      <c r="B1945" s="80" t="s">
        <v>110</v>
      </c>
      <c r="C1945" s="113" t="s">
        <v>2372</v>
      </c>
      <c r="D1945" s="82" t="str">
        <f aca="false">IF(OR(C1945="",P1945=""),"",INDEX('CARNET DE SOUDURE'!$D$7:$D$3006,P1945)&amp;"")</f>
        <v>18</v>
      </c>
      <c r="E1945" s="114" t="n">
        <f aca="false">IF(OR(C1945="",P1945=""),"",IF(INDEX('CARNET DE SOUDURE'!$U$7:$U$3006,P1945)="","",INDEX('CARNET DE SOUDURE'!$U$7:$U$3006,P1945)))</f>
        <v>46258</v>
      </c>
      <c r="F1945" s="82" t="str">
        <f aca="false">IF(OR(C1945="",P1945=""),"",INDEX('CARNET DE SOUDURE'!$AP$7:$AP$3006,P1945))</f>
        <v>A</v>
      </c>
      <c r="G1945" s="82" t="str">
        <f aca="false">IF(C1945="","",IF(P1945="","NJ INCONNU",INDEX('CARNET DE SOUDURE'!$AQ$7:$AQ$3006,P1945)))</f>
        <v>ACCEPTÉ</v>
      </c>
      <c r="H1945" s="82" t="str">
        <f aca="false">IF(C1945="","",IF(G1945="ACCEPTÉ","OUI","NON"))</f>
        <v>OUI</v>
      </c>
      <c r="I1945" s="83"/>
      <c r="J1945" s="80"/>
      <c r="K1945" s="81"/>
      <c r="L1945" s="81"/>
      <c r="M1945" s="81"/>
      <c r="N1945" s="84" t="str">
        <f aca="false">IF(C1945="","",IF(P1945="","NJ INCONNU",IF(I1945="",IF(H1945="OUI","À ENROBER",IF(G1945="À SOUDER","NON SOUDÉ","EN ATTENTE RT")),IF(L1945="R","À REPRENDRE",IF(H1945&lt;&gt;"OUI","⚠ ENROBÉ AVANT ACCEPTATION RT","ENROBÉ")))))</f>
        <v>À ENROBER</v>
      </c>
      <c r="O1945" s="80"/>
      <c r="P1945" s="82" t="n">
        <f aca="false">IF(C1945="","",IFERROR(MATCH(Q1945,'CARNET DE SOUDURE'!$AW$7:$AW$3006,0),""))</f>
        <v>1939</v>
      </c>
      <c r="Q1945" s="82" t="str">
        <f aca="false">IF(C1945="","",B1945&amp;"|"&amp;C1945)</f>
        <v>MFD-ISW → MFD-CPF|DJ°115</v>
      </c>
    </row>
    <row r="1946" customFormat="false" ht="74.6" hidden="false" customHeight="false" outlineLevel="0" collapsed="false">
      <c r="A1946" s="82" t="n">
        <f aca="false">IF(C1946="","",ROW()-6)</f>
        <v>1940</v>
      </c>
      <c r="B1946" s="80" t="s">
        <v>110</v>
      </c>
      <c r="C1946" s="113" t="s">
        <v>2373</v>
      </c>
      <c r="D1946" s="82" t="str">
        <f aca="false">IF(OR(C1946="",P1946=""),"",INDEX('CARNET DE SOUDURE'!$D$7:$D$3006,P1946)&amp;"")</f>
        <v>18</v>
      </c>
      <c r="E1946" s="114" t="n">
        <f aca="false">IF(OR(C1946="",P1946=""),"",IF(INDEX('CARNET DE SOUDURE'!$U$7:$U$3006,P1946)="","",INDEX('CARNET DE SOUDURE'!$U$7:$U$3006,P1946)))</f>
        <v>46268</v>
      </c>
      <c r="F1946" s="82" t="str">
        <f aca="false">IF(OR(C1946="",P1946=""),"",INDEX('CARNET DE SOUDURE'!$AP$7:$AP$3006,P1946))</f>
        <v>A</v>
      </c>
      <c r="G1946" s="82" t="str">
        <f aca="false">IF(C1946="","",IF(P1946="","NJ INCONNU",INDEX('CARNET DE SOUDURE'!$AQ$7:$AQ$3006,P1946)))</f>
        <v>ACCEPTÉ</v>
      </c>
      <c r="H1946" s="82" t="str">
        <f aca="false">IF(C1946="","",IF(G1946="ACCEPTÉ","OUI","NON"))</f>
        <v>OUI</v>
      </c>
      <c r="I1946" s="83"/>
      <c r="J1946" s="80"/>
      <c r="K1946" s="81"/>
      <c r="L1946" s="81"/>
      <c r="M1946" s="81"/>
      <c r="N1946" s="84" t="str">
        <f aca="false">IF(C1946="","",IF(P1946="","NJ INCONNU",IF(I1946="",IF(H1946="OUI","À ENROBER",IF(G1946="À SOUDER","NON SOUDÉ","EN ATTENTE RT")),IF(L1946="R","À REPRENDRE",IF(H1946&lt;&gt;"OUI","⚠ ENROBÉ AVANT ACCEPTATION RT","ENROBÉ")))))</f>
        <v>À ENROBER</v>
      </c>
      <c r="O1946" s="80"/>
      <c r="P1946" s="82" t="n">
        <f aca="false">IF(C1946="","",IFERROR(MATCH(Q1946,'CARNET DE SOUDURE'!$AW$7:$AW$3006,0),""))</f>
        <v>1940</v>
      </c>
      <c r="Q1946" s="82" t="str">
        <f aca="false">IF(C1946="","",B1946&amp;"|"&amp;C1946)</f>
        <v>MFD-ISW → MFD-CPF|JN°1503</v>
      </c>
    </row>
    <row r="1947" customFormat="false" ht="74.6" hidden="false" customHeight="false" outlineLevel="0" collapsed="false">
      <c r="A1947" s="82" t="n">
        <f aca="false">IF(C1947="","",ROW()-6)</f>
        <v>1941</v>
      </c>
      <c r="B1947" s="80" t="s">
        <v>110</v>
      </c>
      <c r="C1947" s="113" t="s">
        <v>2374</v>
      </c>
      <c r="D1947" s="82" t="str">
        <f aca="false">IF(OR(C1947="",P1947=""),"",INDEX('CARNET DE SOUDURE'!$D$7:$D$3006,P1947)&amp;"")</f>
        <v>18</v>
      </c>
      <c r="E1947" s="114" t="n">
        <f aca="false">IF(OR(C1947="",P1947=""),"",IF(INDEX('CARNET DE SOUDURE'!$U$7:$U$3006,P1947)="","",INDEX('CARNET DE SOUDURE'!$U$7:$U$3006,P1947)))</f>
        <v>46258</v>
      </c>
      <c r="F1947" s="82" t="str">
        <f aca="false">IF(OR(C1947="",P1947=""),"",INDEX('CARNET DE SOUDURE'!$AP$7:$AP$3006,P1947))</f>
        <v>A</v>
      </c>
      <c r="G1947" s="82" t="str">
        <f aca="false">IF(C1947="","",IF(P1947="","NJ INCONNU",INDEX('CARNET DE SOUDURE'!$AQ$7:$AQ$3006,P1947)))</f>
        <v>ACCEPTÉ</v>
      </c>
      <c r="H1947" s="82" t="str">
        <f aca="false">IF(C1947="","",IF(G1947="ACCEPTÉ","OUI","NON"))</f>
        <v>OUI</v>
      </c>
      <c r="I1947" s="83"/>
      <c r="J1947" s="80"/>
      <c r="K1947" s="81"/>
      <c r="L1947" s="81"/>
      <c r="M1947" s="81"/>
      <c r="N1947" s="84" t="str">
        <f aca="false">IF(C1947="","",IF(P1947="","NJ INCONNU",IF(I1947="",IF(H1947="OUI","À ENROBER",IF(G1947="À SOUDER","NON SOUDÉ","EN ATTENTE RT")),IF(L1947="R","À REPRENDRE",IF(H1947&lt;&gt;"OUI","⚠ ENROBÉ AVANT ACCEPTATION RT","ENROBÉ")))))</f>
        <v>À ENROBER</v>
      </c>
      <c r="O1947" s="80"/>
      <c r="P1947" s="82" t="n">
        <f aca="false">IF(C1947="","",IFERROR(MATCH(Q1947,'CARNET DE SOUDURE'!$AW$7:$AW$3006,0),""))</f>
        <v>1941</v>
      </c>
      <c r="Q1947" s="82" t="str">
        <f aca="false">IF(C1947="","",B1947&amp;"|"&amp;C1947)</f>
        <v>MFD-ISW → MFD-CPF|DJ°117</v>
      </c>
    </row>
    <row r="1948" customFormat="false" ht="74.6" hidden="false" customHeight="false" outlineLevel="0" collapsed="false">
      <c r="A1948" s="82" t="n">
        <f aca="false">IF(C1948="","",ROW()-6)</f>
        <v>1942</v>
      </c>
      <c r="B1948" s="80" t="s">
        <v>110</v>
      </c>
      <c r="C1948" s="113" t="s">
        <v>2375</v>
      </c>
      <c r="D1948" s="82" t="str">
        <f aca="false">IF(OR(C1948="",P1948=""),"",INDEX('CARNET DE SOUDURE'!$D$7:$D$3006,P1948)&amp;"")</f>
        <v>18</v>
      </c>
      <c r="E1948" s="114" t="n">
        <f aca="false">IF(OR(C1948="",P1948=""),"",IF(INDEX('CARNET DE SOUDURE'!$U$7:$U$3006,P1948)="","",INDEX('CARNET DE SOUDURE'!$U$7:$U$3006,P1948)))</f>
        <v>46268</v>
      </c>
      <c r="F1948" s="82" t="str">
        <f aca="false">IF(OR(C1948="",P1948=""),"",INDEX('CARNET DE SOUDURE'!$AP$7:$AP$3006,P1948))</f>
        <v>A</v>
      </c>
      <c r="G1948" s="82" t="str">
        <f aca="false">IF(C1948="","",IF(P1948="","NJ INCONNU",INDEX('CARNET DE SOUDURE'!$AQ$7:$AQ$3006,P1948)))</f>
        <v>ACCEPTÉ</v>
      </c>
      <c r="H1948" s="82" t="str">
        <f aca="false">IF(C1948="","",IF(G1948="ACCEPTÉ","OUI","NON"))</f>
        <v>OUI</v>
      </c>
      <c r="I1948" s="83"/>
      <c r="J1948" s="80"/>
      <c r="K1948" s="81"/>
      <c r="L1948" s="81"/>
      <c r="M1948" s="81"/>
      <c r="N1948" s="84" t="str">
        <f aca="false">IF(C1948="","",IF(P1948="","NJ INCONNU",IF(I1948="",IF(H1948="OUI","À ENROBER",IF(G1948="À SOUDER","NON SOUDÉ","EN ATTENTE RT")),IF(L1948="R","À REPRENDRE",IF(H1948&lt;&gt;"OUI","⚠ ENROBÉ AVANT ACCEPTATION RT","ENROBÉ")))))</f>
        <v>À ENROBER</v>
      </c>
      <c r="O1948" s="80"/>
      <c r="P1948" s="82" t="n">
        <f aca="false">IF(C1948="","",IFERROR(MATCH(Q1948,'CARNET DE SOUDURE'!$AW$7:$AW$3006,0),""))</f>
        <v>1942</v>
      </c>
      <c r="Q1948" s="82" t="str">
        <f aca="false">IF(C1948="","",B1948&amp;"|"&amp;C1948)</f>
        <v>MFD-ISW → MFD-CPF|JN°1504</v>
      </c>
    </row>
    <row r="1949" customFormat="false" ht="74.6" hidden="false" customHeight="false" outlineLevel="0" collapsed="false">
      <c r="A1949" s="82" t="n">
        <f aca="false">IF(C1949="","",ROW()-6)</f>
        <v>1943</v>
      </c>
      <c r="B1949" s="80" t="s">
        <v>110</v>
      </c>
      <c r="C1949" s="113" t="s">
        <v>2377</v>
      </c>
      <c r="D1949" s="82" t="str">
        <f aca="false">IF(OR(C1949="",P1949=""),"",INDEX('CARNET DE SOUDURE'!$D$7:$D$3006,P1949)&amp;"")</f>
        <v>18</v>
      </c>
      <c r="E1949" s="114" t="n">
        <f aca="false">IF(OR(C1949="",P1949=""),"",IF(INDEX('CARNET DE SOUDURE'!$U$7:$U$3006,P1949)="","",INDEX('CARNET DE SOUDURE'!$U$7:$U$3006,P1949)))</f>
        <v>46258</v>
      </c>
      <c r="F1949" s="82" t="str">
        <f aca="false">IF(OR(C1949="",P1949=""),"",INDEX('CARNET DE SOUDURE'!$AP$7:$AP$3006,P1949))</f>
        <v>A</v>
      </c>
      <c r="G1949" s="82" t="str">
        <f aca="false">IF(C1949="","",IF(P1949="","NJ INCONNU",INDEX('CARNET DE SOUDURE'!$AQ$7:$AQ$3006,P1949)))</f>
        <v>ACCEPTÉ</v>
      </c>
      <c r="H1949" s="82" t="str">
        <f aca="false">IF(C1949="","",IF(G1949="ACCEPTÉ","OUI","NON"))</f>
        <v>OUI</v>
      </c>
      <c r="I1949" s="83"/>
      <c r="J1949" s="80"/>
      <c r="K1949" s="81"/>
      <c r="L1949" s="81"/>
      <c r="M1949" s="81"/>
      <c r="N1949" s="84" t="str">
        <f aca="false">IF(C1949="","",IF(P1949="","NJ INCONNU",IF(I1949="",IF(H1949="OUI","À ENROBER",IF(G1949="À SOUDER","NON SOUDÉ","EN ATTENTE RT")),IF(L1949="R","À REPRENDRE",IF(H1949&lt;&gt;"OUI","⚠ ENROBÉ AVANT ACCEPTATION RT","ENROBÉ")))))</f>
        <v>À ENROBER</v>
      </c>
      <c r="O1949" s="80"/>
      <c r="P1949" s="82" t="n">
        <f aca="false">IF(C1949="","",IFERROR(MATCH(Q1949,'CARNET DE SOUDURE'!$AW$7:$AW$3006,0),""))</f>
        <v>1943</v>
      </c>
      <c r="Q1949" s="82" t="str">
        <f aca="false">IF(C1949="","",B1949&amp;"|"&amp;C1949)</f>
        <v>MFD-ISW → MFD-CPF|DJ°113</v>
      </c>
    </row>
    <row r="1950" customFormat="false" ht="74.6" hidden="false" customHeight="false" outlineLevel="0" collapsed="false">
      <c r="A1950" s="82" t="n">
        <f aca="false">IF(C1950="","",ROW()-6)</f>
        <v>1944</v>
      </c>
      <c r="B1950" s="80" t="s">
        <v>110</v>
      </c>
      <c r="C1950" s="113" t="s">
        <v>2378</v>
      </c>
      <c r="D1950" s="82" t="str">
        <f aca="false">IF(OR(C1950="",P1950=""),"",INDEX('CARNET DE SOUDURE'!$D$7:$D$3006,P1950)&amp;"")</f>
        <v>18</v>
      </c>
      <c r="E1950" s="114" t="n">
        <f aca="false">IF(OR(C1950="",P1950=""),"",IF(INDEX('CARNET DE SOUDURE'!$U$7:$U$3006,P1950)="","",INDEX('CARNET DE SOUDURE'!$U$7:$U$3006,P1950)))</f>
        <v>46268</v>
      </c>
      <c r="F1950" s="82" t="str">
        <f aca="false">IF(OR(C1950="",P1950=""),"",INDEX('CARNET DE SOUDURE'!$AP$7:$AP$3006,P1950))</f>
        <v>A</v>
      </c>
      <c r="G1950" s="82" t="str">
        <f aca="false">IF(C1950="","",IF(P1950="","NJ INCONNU",INDEX('CARNET DE SOUDURE'!$AQ$7:$AQ$3006,P1950)))</f>
        <v>ACCEPTÉ</v>
      </c>
      <c r="H1950" s="82" t="str">
        <f aca="false">IF(C1950="","",IF(G1950="ACCEPTÉ","OUI","NON"))</f>
        <v>OUI</v>
      </c>
      <c r="I1950" s="83"/>
      <c r="J1950" s="80"/>
      <c r="K1950" s="81"/>
      <c r="L1950" s="81"/>
      <c r="M1950" s="81"/>
      <c r="N1950" s="84" t="str">
        <f aca="false">IF(C1950="","",IF(P1950="","NJ INCONNU",IF(I1950="",IF(H1950="OUI","À ENROBER",IF(G1950="À SOUDER","NON SOUDÉ","EN ATTENTE RT")),IF(L1950="R","À REPRENDRE",IF(H1950&lt;&gt;"OUI","⚠ ENROBÉ AVANT ACCEPTATION RT","ENROBÉ")))))</f>
        <v>À ENROBER</v>
      </c>
      <c r="O1950" s="80"/>
      <c r="P1950" s="82" t="n">
        <f aca="false">IF(C1950="","",IFERROR(MATCH(Q1950,'CARNET DE SOUDURE'!$AW$7:$AW$3006,0),""))</f>
        <v>1944</v>
      </c>
      <c r="Q1950" s="82" t="str">
        <f aca="false">IF(C1950="","",B1950&amp;"|"&amp;C1950)</f>
        <v>MFD-ISW → MFD-CPF|JN°1505</v>
      </c>
    </row>
    <row r="1951" customFormat="false" ht="74.6" hidden="false" customHeight="false" outlineLevel="0" collapsed="false">
      <c r="A1951" s="82" t="n">
        <f aca="false">IF(C1951="","",ROW()-6)</f>
        <v>1945</v>
      </c>
      <c r="B1951" s="80" t="s">
        <v>110</v>
      </c>
      <c r="C1951" s="113" t="s">
        <v>2379</v>
      </c>
      <c r="D1951" s="82" t="str">
        <f aca="false">IF(OR(C1951="",P1951=""),"",INDEX('CARNET DE SOUDURE'!$D$7:$D$3006,P1951)&amp;"")</f>
        <v>18</v>
      </c>
      <c r="E1951" s="114" t="n">
        <f aca="false">IF(OR(C1951="",P1951=""),"",IF(INDEX('CARNET DE SOUDURE'!$U$7:$U$3006,P1951)="","",INDEX('CARNET DE SOUDURE'!$U$7:$U$3006,P1951)))</f>
        <v>46258</v>
      </c>
      <c r="F1951" s="82" t="str">
        <f aca="false">IF(OR(C1951="",P1951=""),"",INDEX('CARNET DE SOUDURE'!$AP$7:$AP$3006,P1951))</f>
        <v>A</v>
      </c>
      <c r="G1951" s="82" t="str">
        <f aca="false">IF(C1951="","",IF(P1951="","NJ INCONNU",INDEX('CARNET DE SOUDURE'!$AQ$7:$AQ$3006,P1951)))</f>
        <v>ACCEPTÉ</v>
      </c>
      <c r="H1951" s="82" t="str">
        <f aca="false">IF(C1951="","",IF(G1951="ACCEPTÉ","OUI","NON"))</f>
        <v>OUI</v>
      </c>
      <c r="I1951" s="83"/>
      <c r="J1951" s="80"/>
      <c r="K1951" s="81"/>
      <c r="L1951" s="81"/>
      <c r="M1951" s="81"/>
      <c r="N1951" s="84" t="str">
        <f aca="false">IF(C1951="","",IF(P1951="","NJ INCONNU",IF(I1951="",IF(H1951="OUI","À ENROBER",IF(G1951="À SOUDER","NON SOUDÉ","EN ATTENTE RT")),IF(L1951="R","À REPRENDRE",IF(H1951&lt;&gt;"OUI","⚠ ENROBÉ AVANT ACCEPTATION RT","ENROBÉ")))))</f>
        <v>À ENROBER</v>
      </c>
      <c r="O1951" s="80"/>
      <c r="P1951" s="82" t="n">
        <f aca="false">IF(C1951="","",IFERROR(MATCH(Q1951,'CARNET DE SOUDURE'!$AW$7:$AW$3006,0),""))</f>
        <v>1945</v>
      </c>
      <c r="Q1951" s="82" t="str">
        <f aca="false">IF(C1951="","",B1951&amp;"|"&amp;C1951)</f>
        <v>MFD-ISW → MFD-CPF|DJ°112</v>
      </c>
    </row>
    <row r="1952" customFormat="false" ht="74.6" hidden="false" customHeight="false" outlineLevel="0" collapsed="false">
      <c r="A1952" s="82" t="n">
        <f aca="false">IF(C1952="","",ROW()-6)</f>
        <v>1946</v>
      </c>
      <c r="B1952" s="80" t="s">
        <v>110</v>
      </c>
      <c r="C1952" s="113" t="s">
        <v>2380</v>
      </c>
      <c r="D1952" s="82" t="str">
        <f aca="false">IF(OR(C1952="",P1952=""),"",INDEX('CARNET DE SOUDURE'!$D$7:$D$3006,P1952)&amp;"")</f>
        <v>18</v>
      </c>
      <c r="E1952" s="114" t="n">
        <f aca="false">IF(OR(C1952="",P1952=""),"",IF(INDEX('CARNET DE SOUDURE'!$U$7:$U$3006,P1952)="","",INDEX('CARNET DE SOUDURE'!$U$7:$U$3006,P1952)))</f>
        <v>46268</v>
      </c>
      <c r="F1952" s="82" t="str">
        <f aca="false">IF(OR(C1952="",P1952=""),"",INDEX('CARNET DE SOUDURE'!$AP$7:$AP$3006,P1952))</f>
        <v>A</v>
      </c>
      <c r="G1952" s="82" t="str">
        <f aca="false">IF(C1952="","",IF(P1952="","NJ INCONNU",INDEX('CARNET DE SOUDURE'!$AQ$7:$AQ$3006,P1952)))</f>
        <v>ACCEPTÉ</v>
      </c>
      <c r="H1952" s="82" t="str">
        <f aca="false">IF(C1952="","",IF(G1952="ACCEPTÉ","OUI","NON"))</f>
        <v>OUI</v>
      </c>
      <c r="I1952" s="83"/>
      <c r="J1952" s="80"/>
      <c r="K1952" s="81"/>
      <c r="L1952" s="81"/>
      <c r="M1952" s="81"/>
      <c r="N1952" s="84" t="str">
        <f aca="false">IF(C1952="","",IF(P1952="","NJ INCONNU",IF(I1952="",IF(H1952="OUI","À ENROBER",IF(G1952="À SOUDER","NON SOUDÉ","EN ATTENTE RT")),IF(L1952="R","À REPRENDRE",IF(H1952&lt;&gt;"OUI","⚠ ENROBÉ AVANT ACCEPTATION RT","ENROBÉ")))))</f>
        <v>À ENROBER</v>
      </c>
      <c r="O1952" s="80"/>
      <c r="P1952" s="82" t="n">
        <f aca="false">IF(C1952="","",IFERROR(MATCH(Q1952,'CARNET DE SOUDURE'!$AW$7:$AW$3006,0),""))</f>
        <v>1946</v>
      </c>
      <c r="Q1952" s="82" t="str">
        <f aca="false">IF(C1952="","",B1952&amp;"|"&amp;C1952)</f>
        <v>MFD-ISW → MFD-CPF|JN°1506</v>
      </c>
    </row>
    <row r="1953" customFormat="false" ht="74.6" hidden="false" customHeight="false" outlineLevel="0" collapsed="false">
      <c r="A1953" s="82" t="n">
        <f aca="false">IF(C1953="","",ROW()-6)</f>
        <v>1947</v>
      </c>
      <c r="B1953" s="80" t="s">
        <v>110</v>
      </c>
      <c r="C1953" s="113" t="s">
        <v>2381</v>
      </c>
      <c r="D1953" s="82" t="str">
        <f aca="false">IF(OR(C1953="",P1953=""),"",INDEX('CARNET DE SOUDURE'!$D$7:$D$3006,P1953)&amp;"")</f>
        <v>18</v>
      </c>
      <c r="E1953" s="114" t="n">
        <f aca="false">IF(OR(C1953="",P1953=""),"",IF(INDEX('CARNET DE SOUDURE'!$U$7:$U$3006,P1953)="","",INDEX('CARNET DE SOUDURE'!$U$7:$U$3006,P1953)))</f>
        <v>46258</v>
      </c>
      <c r="F1953" s="82" t="str">
        <f aca="false">IF(OR(C1953="",P1953=""),"",INDEX('CARNET DE SOUDURE'!$AP$7:$AP$3006,P1953))</f>
        <v>A</v>
      </c>
      <c r="G1953" s="82" t="str">
        <f aca="false">IF(C1953="","",IF(P1953="","NJ INCONNU",INDEX('CARNET DE SOUDURE'!$AQ$7:$AQ$3006,P1953)))</f>
        <v>ACCEPTÉ</v>
      </c>
      <c r="H1953" s="82" t="str">
        <f aca="false">IF(C1953="","",IF(G1953="ACCEPTÉ","OUI","NON"))</f>
        <v>OUI</v>
      </c>
      <c r="I1953" s="83"/>
      <c r="J1953" s="80"/>
      <c r="K1953" s="81"/>
      <c r="L1953" s="81"/>
      <c r="M1953" s="81"/>
      <c r="N1953" s="84" t="str">
        <f aca="false">IF(C1953="","",IF(P1953="","NJ INCONNU",IF(I1953="",IF(H1953="OUI","À ENROBER",IF(G1953="À SOUDER","NON SOUDÉ","EN ATTENTE RT")),IF(L1953="R","À REPRENDRE",IF(H1953&lt;&gt;"OUI","⚠ ENROBÉ AVANT ACCEPTATION RT","ENROBÉ")))))</f>
        <v>À ENROBER</v>
      </c>
      <c r="O1953" s="80"/>
      <c r="P1953" s="82" t="n">
        <f aca="false">IF(C1953="","",IFERROR(MATCH(Q1953,'CARNET DE SOUDURE'!$AW$7:$AW$3006,0),""))</f>
        <v>1947</v>
      </c>
      <c r="Q1953" s="82" t="str">
        <f aca="false">IF(C1953="","",B1953&amp;"|"&amp;C1953)</f>
        <v>MFD-ISW → MFD-CPF|DJ°114</v>
      </c>
    </row>
    <row r="1954" customFormat="false" ht="74.6" hidden="false" customHeight="false" outlineLevel="0" collapsed="false">
      <c r="A1954" s="82" t="n">
        <f aca="false">IF(C1954="","",ROW()-6)</f>
        <v>1948</v>
      </c>
      <c r="B1954" s="80" t="s">
        <v>110</v>
      </c>
      <c r="C1954" s="113" t="s">
        <v>2382</v>
      </c>
      <c r="D1954" s="82" t="str">
        <f aca="false">IF(OR(C1954="",P1954=""),"",INDEX('CARNET DE SOUDURE'!$D$7:$D$3006,P1954)&amp;"")</f>
        <v>18</v>
      </c>
      <c r="E1954" s="114" t="str">
        <f aca="false">IF(OR(C1954="",P1954=""),"",IF(INDEX('CARNET DE SOUDURE'!$U$7:$U$3006,P1954)="","",INDEX('CARNET DE SOUDURE'!$U$7:$U$3006,P1954)))</f>
        <v/>
      </c>
      <c r="F1954" s="82" t="str">
        <f aca="false">IF(OR(C1954="",P1954=""),"",INDEX('CARNET DE SOUDURE'!$AP$7:$AP$3006,P1954))</f>
        <v/>
      </c>
      <c r="G1954" s="82" t="str">
        <f aca="false">IF(C1954="","",IF(P1954="","NJ INCONNU",INDEX('CARNET DE SOUDURE'!$AQ$7:$AQ$3006,P1954)))</f>
        <v>À SOUDER</v>
      </c>
      <c r="H1954" s="82" t="str">
        <f aca="false">IF(C1954="","",IF(G1954="ACCEPTÉ","OUI","NON"))</f>
        <v>NON</v>
      </c>
      <c r="I1954" s="83"/>
      <c r="J1954" s="80"/>
      <c r="K1954" s="81"/>
      <c r="L1954" s="81"/>
      <c r="M1954" s="81"/>
      <c r="N1954" s="84" t="str">
        <f aca="false">IF(C1954="","",IF(P1954="","NJ INCONNU",IF(I1954="",IF(H1954="OUI","À ENROBER",IF(G1954="À SOUDER","NON SOUDÉ","EN ATTENTE RT")),IF(L1954="R","À REPRENDRE",IF(H1954&lt;&gt;"OUI","⚠ ENROBÉ AVANT ACCEPTATION RT","ENROBÉ")))))</f>
        <v>NON SOUDÉ</v>
      </c>
      <c r="O1954" s="80"/>
      <c r="P1954" s="82" t="n">
        <f aca="false">IF(C1954="","",IFERROR(MATCH(Q1954,'CARNET DE SOUDURE'!$AW$7:$AW$3006,0),""))</f>
        <v>1948</v>
      </c>
      <c r="Q1954" s="82" t="str">
        <f aca="false">IF(C1954="","",B1954&amp;"|"&amp;C1954)</f>
        <v>MFD-ISW → MFD-CPF|JN°1507</v>
      </c>
    </row>
    <row r="1955" customFormat="false" ht="74.6" hidden="false" customHeight="false" outlineLevel="0" collapsed="false">
      <c r="A1955" s="82" t="n">
        <f aca="false">IF(C1955="","",ROW()-6)</f>
        <v>1949</v>
      </c>
      <c r="B1955" s="80" t="s">
        <v>110</v>
      </c>
      <c r="C1955" s="113" t="s">
        <v>2383</v>
      </c>
      <c r="D1955" s="82" t="str">
        <f aca="false">IF(OR(C1955="",P1955=""),"",INDEX('CARNET DE SOUDURE'!$D$7:$D$3006,P1955)&amp;"")</f>
        <v>18</v>
      </c>
      <c r="E1955" s="114" t="str">
        <f aca="false">IF(OR(C1955="",P1955=""),"",IF(INDEX('CARNET DE SOUDURE'!$U$7:$U$3006,P1955)="","",INDEX('CARNET DE SOUDURE'!$U$7:$U$3006,P1955)))</f>
        <v/>
      </c>
      <c r="F1955" s="82" t="str">
        <f aca="false">IF(OR(C1955="",P1955=""),"",INDEX('CARNET DE SOUDURE'!$AP$7:$AP$3006,P1955))</f>
        <v/>
      </c>
      <c r="G1955" s="82" t="str">
        <f aca="false">IF(C1955="","",IF(P1955="","NJ INCONNU",INDEX('CARNET DE SOUDURE'!$AQ$7:$AQ$3006,P1955)))</f>
        <v>À SOUDER</v>
      </c>
      <c r="H1955" s="82" t="str">
        <f aca="false">IF(C1955="","",IF(G1955="ACCEPTÉ","OUI","NON"))</f>
        <v>NON</v>
      </c>
      <c r="I1955" s="83"/>
      <c r="J1955" s="80"/>
      <c r="K1955" s="81"/>
      <c r="L1955" s="81"/>
      <c r="M1955" s="81"/>
      <c r="N1955" s="84" t="str">
        <f aca="false">IF(C1955="","",IF(P1955="","NJ INCONNU",IF(I1955="",IF(H1955="OUI","À ENROBER",IF(G1955="À SOUDER","NON SOUDÉ","EN ATTENTE RT")),IF(L1955="R","À REPRENDRE",IF(H1955&lt;&gt;"OUI","⚠ ENROBÉ AVANT ACCEPTATION RT","ENROBÉ")))))</f>
        <v>NON SOUDÉ</v>
      </c>
      <c r="O1955" s="80"/>
      <c r="P1955" s="82" t="n">
        <f aca="false">IF(C1955="","",IFERROR(MATCH(Q1955,'CARNET DE SOUDURE'!$AW$7:$AW$3006,0),""))</f>
        <v>1949</v>
      </c>
      <c r="Q1955" s="82" t="str">
        <f aca="false">IF(C1955="","",B1955&amp;"|"&amp;C1955)</f>
        <v>MFD-ISW → MFD-CPF|JN°1508</v>
      </c>
    </row>
    <row r="1956" customFormat="false" ht="74.6" hidden="false" customHeight="false" outlineLevel="0" collapsed="false">
      <c r="A1956" s="82" t="n">
        <f aca="false">IF(C1956="","",ROW()-6)</f>
        <v>1950</v>
      </c>
      <c r="B1956" s="80" t="s">
        <v>110</v>
      </c>
      <c r="C1956" s="113" t="s">
        <v>2384</v>
      </c>
      <c r="D1956" s="82" t="str">
        <f aca="false">IF(OR(C1956="",P1956=""),"",INDEX('CARNET DE SOUDURE'!$D$7:$D$3006,P1956)&amp;"")</f>
        <v>18</v>
      </c>
      <c r="E1956" s="114" t="str">
        <f aca="false">IF(OR(C1956="",P1956=""),"",IF(INDEX('CARNET DE SOUDURE'!$U$7:$U$3006,P1956)="","",INDEX('CARNET DE SOUDURE'!$U$7:$U$3006,P1956)))</f>
        <v/>
      </c>
      <c r="F1956" s="82" t="str">
        <f aca="false">IF(OR(C1956="",P1956=""),"",INDEX('CARNET DE SOUDURE'!$AP$7:$AP$3006,P1956))</f>
        <v/>
      </c>
      <c r="G1956" s="82" t="str">
        <f aca="false">IF(C1956="","",IF(P1956="","NJ INCONNU",INDEX('CARNET DE SOUDURE'!$AQ$7:$AQ$3006,P1956)))</f>
        <v>À SOUDER</v>
      </c>
      <c r="H1956" s="82" t="str">
        <f aca="false">IF(C1956="","",IF(G1956="ACCEPTÉ","OUI","NON"))</f>
        <v>NON</v>
      </c>
      <c r="I1956" s="83"/>
      <c r="J1956" s="80"/>
      <c r="K1956" s="81"/>
      <c r="L1956" s="81"/>
      <c r="M1956" s="81"/>
      <c r="N1956" s="84" t="str">
        <f aca="false">IF(C1956="","",IF(P1956="","NJ INCONNU",IF(I1956="",IF(H1956="OUI","À ENROBER",IF(G1956="À SOUDER","NON SOUDÉ","EN ATTENTE RT")),IF(L1956="R","À REPRENDRE",IF(H1956&lt;&gt;"OUI","⚠ ENROBÉ AVANT ACCEPTATION RT","ENROBÉ")))))</f>
        <v>NON SOUDÉ</v>
      </c>
      <c r="O1956" s="80"/>
      <c r="P1956" s="82" t="n">
        <f aca="false">IF(C1956="","",IFERROR(MATCH(Q1956,'CARNET DE SOUDURE'!$AW$7:$AW$3006,0),""))</f>
        <v>1950</v>
      </c>
      <c r="Q1956" s="82" t="str">
        <f aca="false">IF(C1956="","",B1956&amp;"|"&amp;C1956)</f>
        <v>MFD-ISW → MFD-CPF|JN°1509</v>
      </c>
    </row>
    <row r="1957" customFormat="false" ht="74.6" hidden="false" customHeight="false" outlineLevel="0" collapsed="false">
      <c r="A1957" s="82" t="n">
        <f aca="false">IF(C1957="","",ROW()-6)</f>
        <v>1951</v>
      </c>
      <c r="B1957" s="80" t="s">
        <v>110</v>
      </c>
      <c r="C1957" s="113" t="s">
        <v>2386</v>
      </c>
      <c r="D1957" s="82" t="str">
        <f aca="false">IF(OR(C1957="",P1957=""),"",INDEX('CARNET DE SOUDURE'!$D$7:$D$3006,P1957)&amp;"")</f>
        <v>18</v>
      </c>
      <c r="E1957" s="114" t="n">
        <f aca="false">IF(OR(C1957="",P1957=""),"",IF(INDEX('CARNET DE SOUDURE'!$U$7:$U$3006,P1957)="","",INDEX('CARNET DE SOUDURE'!$U$7:$U$3006,P1957)))</f>
        <v>46258</v>
      </c>
      <c r="F1957" s="82" t="str">
        <f aca="false">IF(OR(C1957="",P1957=""),"",INDEX('CARNET DE SOUDURE'!$AP$7:$AP$3006,P1957))</f>
        <v>A</v>
      </c>
      <c r="G1957" s="82" t="str">
        <f aca="false">IF(C1957="","",IF(P1957="","NJ INCONNU",INDEX('CARNET DE SOUDURE'!$AQ$7:$AQ$3006,P1957)))</f>
        <v>ACCEPTÉ</v>
      </c>
      <c r="H1957" s="82" t="str">
        <f aca="false">IF(C1957="","",IF(G1957="ACCEPTÉ","OUI","NON"))</f>
        <v>OUI</v>
      </c>
      <c r="I1957" s="83"/>
      <c r="J1957" s="80"/>
      <c r="K1957" s="81"/>
      <c r="L1957" s="81"/>
      <c r="M1957" s="81"/>
      <c r="N1957" s="84" t="str">
        <f aca="false">IF(C1957="","",IF(P1957="","NJ INCONNU",IF(I1957="",IF(H1957="OUI","À ENROBER",IF(G1957="À SOUDER","NON SOUDÉ","EN ATTENTE RT")),IF(L1957="R","À REPRENDRE",IF(H1957&lt;&gt;"OUI","⚠ ENROBÉ AVANT ACCEPTATION RT","ENROBÉ")))))</f>
        <v>À ENROBER</v>
      </c>
      <c r="O1957" s="80"/>
      <c r="P1957" s="82" t="n">
        <f aca="false">IF(C1957="","",IFERROR(MATCH(Q1957,'CARNET DE SOUDURE'!$AW$7:$AW$3006,0),""))</f>
        <v>1951</v>
      </c>
      <c r="Q1957" s="82" t="str">
        <f aca="false">IF(C1957="","",B1957&amp;"|"&amp;C1957)</f>
        <v>MFD-ISW → MFD-CPF|DJ°116</v>
      </c>
    </row>
    <row r="1958" customFormat="false" ht="74.6" hidden="false" customHeight="false" outlineLevel="0" collapsed="false">
      <c r="A1958" s="82" t="n">
        <f aca="false">IF(C1958="","",ROW()-6)</f>
        <v>1952</v>
      </c>
      <c r="B1958" s="80" t="s">
        <v>110</v>
      </c>
      <c r="C1958" s="113" t="s">
        <v>2387</v>
      </c>
      <c r="D1958" s="82" t="str">
        <f aca="false">IF(OR(C1958="",P1958=""),"",INDEX('CARNET DE SOUDURE'!$D$7:$D$3006,P1958)&amp;"")</f>
        <v>18</v>
      </c>
      <c r="E1958" s="114" t="n">
        <f aca="false">IF(OR(C1958="",P1958=""),"",IF(INDEX('CARNET DE SOUDURE'!$U$7:$U$3006,P1958)="","",INDEX('CARNET DE SOUDURE'!$U$7:$U$3006,P1958)))</f>
        <v>46268</v>
      </c>
      <c r="F1958" s="82" t="str">
        <f aca="false">IF(OR(C1958="",P1958=""),"",INDEX('CARNET DE SOUDURE'!$AP$7:$AP$3006,P1958))</f>
        <v>A</v>
      </c>
      <c r="G1958" s="82" t="str">
        <f aca="false">IF(C1958="","",IF(P1958="","NJ INCONNU",INDEX('CARNET DE SOUDURE'!$AQ$7:$AQ$3006,P1958)))</f>
        <v>ACCEPTÉ</v>
      </c>
      <c r="H1958" s="82" t="str">
        <f aca="false">IF(C1958="","",IF(G1958="ACCEPTÉ","OUI","NON"))</f>
        <v>OUI</v>
      </c>
      <c r="I1958" s="83"/>
      <c r="J1958" s="80"/>
      <c r="K1958" s="81"/>
      <c r="L1958" s="81"/>
      <c r="M1958" s="81"/>
      <c r="N1958" s="84" t="str">
        <f aca="false">IF(C1958="","",IF(P1958="","NJ INCONNU",IF(I1958="",IF(H1958="OUI","À ENROBER",IF(G1958="À SOUDER","NON SOUDÉ","EN ATTENTE RT")),IF(L1958="R","À REPRENDRE",IF(H1958&lt;&gt;"OUI","⚠ ENROBÉ AVANT ACCEPTATION RT","ENROBÉ")))))</f>
        <v>À ENROBER</v>
      </c>
      <c r="O1958" s="80"/>
      <c r="P1958" s="82" t="n">
        <f aca="false">IF(C1958="","",IFERROR(MATCH(Q1958,'CARNET DE SOUDURE'!$AW$7:$AW$3006,0),""))</f>
        <v>1952</v>
      </c>
      <c r="Q1958" s="82" t="str">
        <f aca="false">IF(C1958="","",B1958&amp;"|"&amp;C1958)</f>
        <v>MFD-ISW → MFD-CPF|JN°1510</v>
      </c>
    </row>
    <row r="1959" customFormat="false" ht="74.6" hidden="false" customHeight="false" outlineLevel="0" collapsed="false">
      <c r="A1959" s="82" t="n">
        <f aca="false">IF(C1959="","",ROW()-6)</f>
        <v>1953</v>
      </c>
      <c r="B1959" s="80" t="s">
        <v>110</v>
      </c>
      <c r="C1959" s="113" t="s">
        <v>2388</v>
      </c>
      <c r="D1959" s="82" t="str">
        <f aca="false">IF(OR(C1959="",P1959=""),"",INDEX('CARNET DE SOUDURE'!$D$7:$D$3006,P1959)&amp;"")</f>
        <v>18</v>
      </c>
      <c r="E1959" s="114" t="n">
        <f aca="false">IF(OR(C1959="",P1959=""),"",IF(INDEX('CARNET DE SOUDURE'!$U$7:$U$3006,P1959)="","",INDEX('CARNET DE SOUDURE'!$U$7:$U$3006,P1959)))</f>
        <v>46253</v>
      </c>
      <c r="F1959" s="82" t="str">
        <f aca="false">IF(OR(C1959="",P1959=""),"",INDEX('CARNET DE SOUDURE'!$AP$7:$AP$3006,P1959))</f>
        <v>A</v>
      </c>
      <c r="G1959" s="82" t="str">
        <f aca="false">IF(C1959="","",IF(P1959="","NJ INCONNU",INDEX('CARNET DE SOUDURE'!$AQ$7:$AQ$3006,P1959)))</f>
        <v>ACCEPTÉ</v>
      </c>
      <c r="H1959" s="82" t="str">
        <f aca="false">IF(C1959="","",IF(G1959="ACCEPTÉ","OUI","NON"))</f>
        <v>OUI</v>
      </c>
      <c r="I1959" s="83"/>
      <c r="J1959" s="80"/>
      <c r="K1959" s="81"/>
      <c r="L1959" s="81"/>
      <c r="M1959" s="81"/>
      <c r="N1959" s="84" t="str">
        <f aca="false">IF(C1959="","",IF(P1959="","NJ INCONNU",IF(I1959="",IF(H1959="OUI","À ENROBER",IF(G1959="À SOUDER","NON SOUDÉ","EN ATTENTE RT")),IF(L1959="R","À REPRENDRE",IF(H1959&lt;&gt;"OUI","⚠ ENROBÉ AVANT ACCEPTATION RT","ENROBÉ")))))</f>
        <v>À ENROBER</v>
      </c>
      <c r="O1959" s="80"/>
      <c r="P1959" s="82" t="n">
        <f aca="false">IF(C1959="","",IFERROR(MATCH(Q1959,'CARNET DE SOUDURE'!$AW$7:$AW$3006,0),""))</f>
        <v>1953</v>
      </c>
      <c r="Q1959" s="82" t="str">
        <f aca="false">IF(C1959="","",B1959&amp;"|"&amp;C1959)</f>
        <v>MFD-ISW → MFD-CPF|DJ°053</v>
      </c>
    </row>
    <row r="1960" customFormat="false" ht="74.6" hidden="false" customHeight="false" outlineLevel="0" collapsed="false">
      <c r="A1960" s="82" t="n">
        <f aca="false">IF(C1960="","",ROW()-6)</f>
        <v>1954</v>
      </c>
      <c r="B1960" s="80" t="s">
        <v>110</v>
      </c>
      <c r="C1960" s="113" t="s">
        <v>2390</v>
      </c>
      <c r="D1960" s="82" t="str">
        <f aca="false">IF(OR(C1960="",P1960=""),"",INDEX('CARNET DE SOUDURE'!$D$7:$D$3006,P1960)&amp;"")</f>
        <v>18</v>
      </c>
      <c r="E1960" s="114" t="n">
        <f aca="false">IF(OR(C1960="",P1960=""),"",IF(INDEX('CARNET DE SOUDURE'!$U$7:$U$3006,P1960)="","",INDEX('CARNET DE SOUDURE'!$U$7:$U$3006,P1960)))</f>
        <v>46268</v>
      </c>
      <c r="F1960" s="82" t="str">
        <f aca="false">IF(OR(C1960="",P1960=""),"",INDEX('CARNET DE SOUDURE'!$AP$7:$AP$3006,P1960))</f>
        <v>A</v>
      </c>
      <c r="G1960" s="82" t="str">
        <f aca="false">IF(C1960="","",IF(P1960="","NJ INCONNU",INDEX('CARNET DE SOUDURE'!$AQ$7:$AQ$3006,P1960)))</f>
        <v>ACCEPTÉ</v>
      </c>
      <c r="H1960" s="82" t="str">
        <f aca="false">IF(C1960="","",IF(G1960="ACCEPTÉ","OUI","NON"))</f>
        <v>OUI</v>
      </c>
      <c r="I1960" s="83"/>
      <c r="J1960" s="80"/>
      <c r="K1960" s="81"/>
      <c r="L1960" s="81"/>
      <c r="M1960" s="81"/>
      <c r="N1960" s="84" t="str">
        <f aca="false">IF(C1960="","",IF(P1960="","NJ INCONNU",IF(I1960="",IF(H1960="OUI","À ENROBER",IF(G1960="À SOUDER","NON SOUDÉ","EN ATTENTE RT")),IF(L1960="R","À REPRENDRE",IF(H1960&lt;&gt;"OUI","⚠ ENROBÉ AVANT ACCEPTATION RT","ENROBÉ")))))</f>
        <v>À ENROBER</v>
      </c>
      <c r="O1960" s="80"/>
      <c r="P1960" s="82" t="n">
        <f aca="false">IF(C1960="","",IFERROR(MATCH(Q1960,'CARNET DE SOUDURE'!$AW$7:$AW$3006,0),""))</f>
        <v>1954</v>
      </c>
      <c r="Q1960" s="82" t="str">
        <f aca="false">IF(C1960="","",B1960&amp;"|"&amp;C1960)</f>
        <v>MFD-ISW → MFD-CPF|JN°1511</v>
      </c>
    </row>
    <row r="1961" customFormat="false" ht="74.6" hidden="false" customHeight="false" outlineLevel="0" collapsed="false">
      <c r="A1961" s="82" t="n">
        <f aca="false">IF(C1961="","",ROW()-6)</f>
        <v>1955</v>
      </c>
      <c r="B1961" s="80" t="s">
        <v>110</v>
      </c>
      <c r="C1961" s="113" t="s">
        <v>2391</v>
      </c>
      <c r="D1961" s="82" t="str">
        <f aca="false">IF(OR(C1961="",P1961=""),"",INDEX('CARNET DE SOUDURE'!$D$7:$D$3006,P1961)&amp;"")</f>
        <v>18</v>
      </c>
      <c r="E1961" s="114" t="n">
        <f aca="false">IF(OR(C1961="",P1961=""),"",IF(INDEX('CARNET DE SOUDURE'!$U$7:$U$3006,P1961)="","",INDEX('CARNET DE SOUDURE'!$U$7:$U$3006,P1961)))</f>
        <v>46252</v>
      </c>
      <c r="F1961" s="82" t="str">
        <f aca="false">IF(OR(C1961="",P1961=""),"",INDEX('CARNET DE SOUDURE'!$AP$7:$AP$3006,P1961))</f>
        <v>A</v>
      </c>
      <c r="G1961" s="82" t="str">
        <f aca="false">IF(C1961="","",IF(P1961="","NJ INCONNU",INDEX('CARNET DE SOUDURE'!$AQ$7:$AQ$3006,P1961)))</f>
        <v>ACCEPTÉ</v>
      </c>
      <c r="H1961" s="82" t="str">
        <f aca="false">IF(C1961="","",IF(G1961="ACCEPTÉ","OUI","NON"))</f>
        <v>OUI</v>
      </c>
      <c r="I1961" s="83"/>
      <c r="J1961" s="80"/>
      <c r="K1961" s="81"/>
      <c r="L1961" s="81"/>
      <c r="M1961" s="81"/>
      <c r="N1961" s="84" t="str">
        <f aca="false">IF(C1961="","",IF(P1961="","NJ INCONNU",IF(I1961="",IF(H1961="OUI","À ENROBER",IF(G1961="À SOUDER","NON SOUDÉ","EN ATTENTE RT")),IF(L1961="R","À REPRENDRE",IF(H1961&lt;&gt;"OUI","⚠ ENROBÉ AVANT ACCEPTATION RT","ENROBÉ")))))</f>
        <v>À ENROBER</v>
      </c>
      <c r="O1961" s="80"/>
      <c r="P1961" s="82" t="n">
        <f aca="false">IF(C1961="","",IFERROR(MATCH(Q1961,'CARNET DE SOUDURE'!$AW$7:$AW$3006,0),""))</f>
        <v>1955</v>
      </c>
      <c r="Q1961" s="82" t="str">
        <f aca="false">IF(C1961="","",B1961&amp;"|"&amp;C1961)</f>
        <v>MFD-ISW → MFD-CPF|DJ°048</v>
      </c>
    </row>
    <row r="1962" customFormat="false" ht="74.6" hidden="false" customHeight="false" outlineLevel="0" collapsed="false">
      <c r="A1962" s="82" t="n">
        <f aca="false">IF(C1962="","",ROW()-6)</f>
        <v>1956</v>
      </c>
      <c r="B1962" s="80" t="s">
        <v>110</v>
      </c>
      <c r="C1962" s="113" t="s">
        <v>2392</v>
      </c>
      <c r="D1962" s="82" t="str">
        <f aca="false">IF(OR(C1962="",P1962=""),"",INDEX('CARNET DE SOUDURE'!$D$7:$D$3006,P1962)&amp;"")</f>
        <v>18</v>
      </c>
      <c r="E1962" s="114" t="n">
        <f aca="false">IF(OR(C1962="",P1962=""),"",IF(INDEX('CARNET DE SOUDURE'!$U$7:$U$3006,P1962)="","",INDEX('CARNET DE SOUDURE'!$U$7:$U$3006,P1962)))</f>
        <v>46268</v>
      </c>
      <c r="F1962" s="82" t="str">
        <f aca="false">IF(OR(C1962="",P1962=""),"",INDEX('CARNET DE SOUDURE'!$AP$7:$AP$3006,P1962))</f>
        <v>A</v>
      </c>
      <c r="G1962" s="82" t="str">
        <f aca="false">IF(C1962="","",IF(P1962="","NJ INCONNU",INDEX('CARNET DE SOUDURE'!$AQ$7:$AQ$3006,P1962)))</f>
        <v>ACCEPTÉ</v>
      </c>
      <c r="H1962" s="82" t="str">
        <f aca="false">IF(C1962="","",IF(G1962="ACCEPTÉ","OUI","NON"))</f>
        <v>OUI</v>
      </c>
      <c r="I1962" s="83"/>
      <c r="J1962" s="80"/>
      <c r="K1962" s="81"/>
      <c r="L1962" s="81"/>
      <c r="M1962" s="81"/>
      <c r="N1962" s="84" t="str">
        <f aca="false">IF(C1962="","",IF(P1962="","NJ INCONNU",IF(I1962="",IF(H1962="OUI","À ENROBER",IF(G1962="À SOUDER","NON SOUDÉ","EN ATTENTE RT")),IF(L1962="R","À REPRENDRE",IF(H1962&lt;&gt;"OUI","⚠ ENROBÉ AVANT ACCEPTATION RT","ENROBÉ")))))</f>
        <v>À ENROBER</v>
      </c>
      <c r="O1962" s="80"/>
      <c r="P1962" s="82" t="n">
        <f aca="false">IF(C1962="","",IFERROR(MATCH(Q1962,'CARNET DE SOUDURE'!$AW$7:$AW$3006,0),""))</f>
        <v>1956</v>
      </c>
      <c r="Q1962" s="82" t="str">
        <f aca="false">IF(C1962="","",B1962&amp;"|"&amp;C1962)</f>
        <v>MFD-ISW → MFD-CPF|JN°1512</v>
      </c>
    </row>
    <row r="1963" customFormat="false" ht="74.6" hidden="false" customHeight="false" outlineLevel="0" collapsed="false">
      <c r="A1963" s="82" t="n">
        <f aca="false">IF(C1963="","",ROW()-6)</f>
        <v>1957</v>
      </c>
      <c r="B1963" s="80" t="s">
        <v>110</v>
      </c>
      <c r="C1963" s="113" t="s">
        <v>2393</v>
      </c>
      <c r="D1963" s="82" t="str">
        <f aca="false">IF(OR(C1963="",P1963=""),"",INDEX('CARNET DE SOUDURE'!$D$7:$D$3006,P1963)&amp;"")</f>
        <v>18</v>
      </c>
      <c r="E1963" s="114" t="n">
        <f aca="false">IF(OR(C1963="",P1963=""),"",IF(INDEX('CARNET DE SOUDURE'!$U$7:$U$3006,P1963)="","",INDEX('CARNET DE SOUDURE'!$U$7:$U$3006,P1963)))</f>
        <v>46253</v>
      </c>
      <c r="F1963" s="82" t="str">
        <f aca="false">IF(OR(C1963="",P1963=""),"",INDEX('CARNET DE SOUDURE'!$AP$7:$AP$3006,P1963))</f>
        <v>A</v>
      </c>
      <c r="G1963" s="82" t="str">
        <f aca="false">IF(C1963="","",IF(P1963="","NJ INCONNU",INDEX('CARNET DE SOUDURE'!$AQ$7:$AQ$3006,P1963)))</f>
        <v>ACCEPTÉ</v>
      </c>
      <c r="H1963" s="82" t="str">
        <f aca="false">IF(C1963="","",IF(G1963="ACCEPTÉ","OUI","NON"))</f>
        <v>OUI</v>
      </c>
      <c r="I1963" s="83"/>
      <c r="J1963" s="80"/>
      <c r="K1963" s="81"/>
      <c r="L1963" s="81"/>
      <c r="M1963" s="81"/>
      <c r="N1963" s="84" t="str">
        <f aca="false">IF(C1963="","",IF(P1963="","NJ INCONNU",IF(I1963="",IF(H1963="OUI","À ENROBER",IF(G1963="À SOUDER","NON SOUDÉ","EN ATTENTE RT")),IF(L1963="R","À REPRENDRE",IF(H1963&lt;&gt;"OUI","⚠ ENROBÉ AVANT ACCEPTATION RT","ENROBÉ")))))</f>
        <v>À ENROBER</v>
      </c>
      <c r="O1963" s="80"/>
      <c r="P1963" s="82" t="n">
        <f aca="false">IF(C1963="","",IFERROR(MATCH(Q1963,'CARNET DE SOUDURE'!$AW$7:$AW$3006,0),""))</f>
        <v>1957</v>
      </c>
      <c r="Q1963" s="82" t="str">
        <f aca="false">IF(C1963="","",B1963&amp;"|"&amp;C1963)</f>
        <v>MFD-ISW → MFD-CPF|DJ°057</v>
      </c>
    </row>
    <row r="1964" customFormat="false" ht="74.6" hidden="false" customHeight="false" outlineLevel="0" collapsed="false">
      <c r="A1964" s="82" t="n">
        <f aca="false">IF(C1964="","",ROW()-6)</f>
        <v>1958</v>
      </c>
      <c r="B1964" s="80" t="s">
        <v>110</v>
      </c>
      <c r="C1964" s="113" t="s">
        <v>2394</v>
      </c>
      <c r="D1964" s="82" t="str">
        <f aca="false">IF(OR(C1964="",P1964=""),"",INDEX('CARNET DE SOUDURE'!$D$7:$D$3006,P1964)&amp;"")</f>
        <v>18</v>
      </c>
      <c r="E1964" s="114" t="str">
        <f aca="false">IF(OR(C1964="",P1964=""),"",IF(INDEX('CARNET DE SOUDURE'!$U$7:$U$3006,P1964)="","",INDEX('CARNET DE SOUDURE'!$U$7:$U$3006,P1964)))</f>
        <v/>
      </c>
      <c r="F1964" s="82" t="str">
        <f aca="false">IF(OR(C1964="",P1964=""),"",INDEX('CARNET DE SOUDURE'!$AP$7:$AP$3006,P1964))</f>
        <v/>
      </c>
      <c r="G1964" s="82" t="str">
        <f aca="false">IF(C1964="","",IF(P1964="","NJ INCONNU",INDEX('CARNET DE SOUDURE'!$AQ$7:$AQ$3006,P1964)))</f>
        <v>À SOUDER</v>
      </c>
      <c r="H1964" s="82" t="str">
        <f aca="false">IF(C1964="","",IF(G1964="ACCEPTÉ","OUI","NON"))</f>
        <v>NON</v>
      </c>
      <c r="I1964" s="83"/>
      <c r="J1964" s="80"/>
      <c r="K1964" s="81"/>
      <c r="L1964" s="81"/>
      <c r="M1964" s="81"/>
      <c r="N1964" s="84" t="str">
        <f aca="false">IF(C1964="","",IF(P1964="","NJ INCONNU",IF(I1964="",IF(H1964="OUI","À ENROBER",IF(G1964="À SOUDER","NON SOUDÉ","EN ATTENTE RT")),IF(L1964="R","À REPRENDRE",IF(H1964&lt;&gt;"OUI","⚠ ENROBÉ AVANT ACCEPTATION RT","ENROBÉ")))))</f>
        <v>NON SOUDÉ</v>
      </c>
      <c r="O1964" s="80"/>
      <c r="P1964" s="82" t="n">
        <f aca="false">IF(C1964="","",IFERROR(MATCH(Q1964,'CARNET DE SOUDURE'!$AW$7:$AW$3006,0),""))</f>
        <v>1958</v>
      </c>
      <c r="Q1964" s="82" t="str">
        <f aca="false">IF(C1964="","",B1964&amp;"|"&amp;C1964)</f>
        <v>MFD-ISW → MFD-CPF|JN°1513</v>
      </c>
    </row>
    <row r="1965" customFormat="false" ht="74.6" hidden="false" customHeight="false" outlineLevel="0" collapsed="false">
      <c r="A1965" s="82" t="n">
        <f aca="false">IF(C1965="","",ROW()-6)</f>
        <v>1959</v>
      </c>
      <c r="B1965" s="80" t="s">
        <v>110</v>
      </c>
      <c r="C1965" s="113" t="s">
        <v>2395</v>
      </c>
      <c r="D1965" s="82" t="str">
        <f aca="false">IF(OR(C1965="",P1965=""),"",INDEX('CARNET DE SOUDURE'!$D$7:$D$3006,P1965)&amp;"")</f>
        <v>18</v>
      </c>
      <c r="E1965" s="114" t="str">
        <f aca="false">IF(OR(C1965="",P1965=""),"",IF(INDEX('CARNET DE SOUDURE'!$U$7:$U$3006,P1965)="","",INDEX('CARNET DE SOUDURE'!$U$7:$U$3006,P1965)))</f>
        <v/>
      </c>
      <c r="F1965" s="82" t="str">
        <f aca="false">IF(OR(C1965="",P1965=""),"",INDEX('CARNET DE SOUDURE'!$AP$7:$AP$3006,P1965))</f>
        <v/>
      </c>
      <c r="G1965" s="82" t="str">
        <f aca="false">IF(C1965="","",IF(P1965="","NJ INCONNU",INDEX('CARNET DE SOUDURE'!$AQ$7:$AQ$3006,P1965)))</f>
        <v>À SOUDER</v>
      </c>
      <c r="H1965" s="82" t="str">
        <f aca="false">IF(C1965="","",IF(G1965="ACCEPTÉ","OUI","NON"))</f>
        <v>NON</v>
      </c>
      <c r="I1965" s="83"/>
      <c r="J1965" s="80"/>
      <c r="K1965" s="81"/>
      <c r="L1965" s="81"/>
      <c r="M1965" s="81"/>
      <c r="N1965" s="84" t="str">
        <f aca="false">IF(C1965="","",IF(P1965="","NJ INCONNU",IF(I1965="",IF(H1965="OUI","À ENROBER",IF(G1965="À SOUDER","NON SOUDÉ","EN ATTENTE RT")),IF(L1965="R","À REPRENDRE",IF(H1965&lt;&gt;"OUI","⚠ ENROBÉ AVANT ACCEPTATION RT","ENROBÉ")))))</f>
        <v>NON SOUDÉ</v>
      </c>
      <c r="O1965" s="80"/>
      <c r="P1965" s="82" t="n">
        <f aca="false">IF(C1965="","",IFERROR(MATCH(Q1965,'CARNET DE SOUDURE'!$AW$7:$AW$3006,0),""))</f>
        <v>1959</v>
      </c>
      <c r="Q1965" s="82" t="str">
        <f aca="false">IF(C1965="","",B1965&amp;"|"&amp;C1965)</f>
        <v>MFD-ISW → MFD-CPF|JN°1514</v>
      </c>
    </row>
    <row r="1966" customFormat="false" ht="74.6" hidden="false" customHeight="false" outlineLevel="0" collapsed="false">
      <c r="A1966" s="82" t="n">
        <f aca="false">IF(C1966="","",ROW()-6)</f>
        <v>1960</v>
      </c>
      <c r="B1966" s="80" t="s">
        <v>110</v>
      </c>
      <c r="C1966" s="113" t="s">
        <v>2397</v>
      </c>
      <c r="D1966" s="82" t="str">
        <f aca="false">IF(OR(C1966="",P1966=""),"",INDEX('CARNET DE SOUDURE'!$D$7:$D$3006,P1966)&amp;"")</f>
        <v>18</v>
      </c>
      <c r="E1966" s="114" t="n">
        <f aca="false">IF(OR(C1966="",P1966=""),"",IF(INDEX('CARNET DE SOUDURE'!$U$7:$U$3006,P1966)="","",INDEX('CARNET DE SOUDURE'!$U$7:$U$3006,P1966)))</f>
        <v>46252</v>
      </c>
      <c r="F1966" s="82" t="str">
        <f aca="false">IF(OR(C1966="",P1966=""),"",INDEX('CARNET DE SOUDURE'!$AP$7:$AP$3006,P1966))</f>
        <v>A</v>
      </c>
      <c r="G1966" s="82" t="str">
        <f aca="false">IF(C1966="","",IF(P1966="","NJ INCONNU",INDEX('CARNET DE SOUDURE'!$AQ$7:$AQ$3006,P1966)))</f>
        <v>ACCEPTÉ</v>
      </c>
      <c r="H1966" s="82" t="str">
        <f aca="false">IF(C1966="","",IF(G1966="ACCEPTÉ","OUI","NON"))</f>
        <v>OUI</v>
      </c>
      <c r="I1966" s="83"/>
      <c r="J1966" s="80"/>
      <c r="K1966" s="81"/>
      <c r="L1966" s="81"/>
      <c r="M1966" s="81"/>
      <c r="N1966" s="84" t="str">
        <f aca="false">IF(C1966="","",IF(P1966="","NJ INCONNU",IF(I1966="",IF(H1966="OUI","À ENROBER",IF(G1966="À SOUDER","NON SOUDÉ","EN ATTENTE RT")),IF(L1966="R","À REPRENDRE",IF(H1966&lt;&gt;"OUI","⚠ ENROBÉ AVANT ACCEPTATION RT","ENROBÉ")))))</f>
        <v>À ENROBER</v>
      </c>
      <c r="O1966" s="80"/>
      <c r="P1966" s="82" t="n">
        <f aca="false">IF(C1966="","",IFERROR(MATCH(Q1966,'CARNET DE SOUDURE'!$AW$7:$AW$3006,0),""))</f>
        <v>1960</v>
      </c>
      <c r="Q1966" s="82" t="str">
        <f aca="false">IF(C1966="","",B1966&amp;"|"&amp;C1966)</f>
        <v>MFD-ISW → MFD-CPF|DJ°046</v>
      </c>
    </row>
    <row r="1967" customFormat="false" ht="74.6" hidden="false" customHeight="false" outlineLevel="0" collapsed="false">
      <c r="A1967" s="82" t="n">
        <f aca="false">IF(C1967="","",ROW()-6)</f>
        <v>1961</v>
      </c>
      <c r="B1967" s="80" t="s">
        <v>110</v>
      </c>
      <c r="C1967" s="113" t="s">
        <v>2398</v>
      </c>
      <c r="D1967" s="82" t="str">
        <f aca="false">IF(OR(C1967="",P1967=""),"",INDEX('CARNET DE SOUDURE'!$D$7:$D$3006,P1967)&amp;"")</f>
        <v>18</v>
      </c>
      <c r="E1967" s="114" t="n">
        <f aca="false">IF(OR(C1967="",P1967=""),"",IF(INDEX('CARNET DE SOUDURE'!$U$7:$U$3006,P1967)="","",INDEX('CARNET DE SOUDURE'!$U$7:$U$3006,P1967)))</f>
        <v>46268</v>
      </c>
      <c r="F1967" s="82" t="str">
        <f aca="false">IF(OR(C1967="",P1967=""),"",INDEX('CARNET DE SOUDURE'!$AP$7:$AP$3006,P1967))</f>
        <v>A</v>
      </c>
      <c r="G1967" s="82" t="str">
        <f aca="false">IF(C1967="","",IF(P1967="","NJ INCONNU",INDEX('CARNET DE SOUDURE'!$AQ$7:$AQ$3006,P1967)))</f>
        <v>ACCEPTÉ</v>
      </c>
      <c r="H1967" s="82" t="str">
        <f aca="false">IF(C1967="","",IF(G1967="ACCEPTÉ","OUI","NON"))</f>
        <v>OUI</v>
      </c>
      <c r="I1967" s="83"/>
      <c r="J1967" s="80"/>
      <c r="K1967" s="81"/>
      <c r="L1967" s="81"/>
      <c r="M1967" s="81"/>
      <c r="N1967" s="84" t="str">
        <f aca="false">IF(C1967="","",IF(P1967="","NJ INCONNU",IF(I1967="",IF(H1967="OUI","À ENROBER",IF(G1967="À SOUDER","NON SOUDÉ","EN ATTENTE RT")),IF(L1967="R","À REPRENDRE",IF(H1967&lt;&gt;"OUI","⚠ ENROBÉ AVANT ACCEPTATION RT","ENROBÉ")))))</f>
        <v>À ENROBER</v>
      </c>
      <c r="O1967" s="80"/>
      <c r="P1967" s="82" t="n">
        <f aca="false">IF(C1967="","",IFERROR(MATCH(Q1967,'CARNET DE SOUDURE'!$AW$7:$AW$3006,0),""))</f>
        <v>1961</v>
      </c>
      <c r="Q1967" s="82" t="str">
        <f aca="false">IF(C1967="","",B1967&amp;"|"&amp;C1967)</f>
        <v>MFD-ISW → MFD-CPF|JN°1515</v>
      </c>
    </row>
    <row r="1968" customFormat="false" ht="74.6" hidden="false" customHeight="false" outlineLevel="0" collapsed="false">
      <c r="A1968" s="82" t="n">
        <f aca="false">IF(C1968="","",ROW()-6)</f>
        <v>1962</v>
      </c>
      <c r="B1968" s="80" t="s">
        <v>110</v>
      </c>
      <c r="C1968" s="113" t="s">
        <v>2399</v>
      </c>
      <c r="D1968" s="82" t="str">
        <f aca="false">IF(OR(C1968="",P1968=""),"",INDEX('CARNET DE SOUDURE'!$D$7:$D$3006,P1968)&amp;"")</f>
        <v>18</v>
      </c>
      <c r="E1968" s="114" t="n">
        <f aca="false">IF(OR(C1968="",P1968=""),"",IF(INDEX('CARNET DE SOUDURE'!$U$7:$U$3006,P1968)="","",INDEX('CARNET DE SOUDURE'!$U$7:$U$3006,P1968)))</f>
        <v>46251</v>
      </c>
      <c r="F1968" s="82" t="str">
        <f aca="false">IF(OR(C1968="",P1968=""),"",INDEX('CARNET DE SOUDURE'!$AP$7:$AP$3006,P1968))</f>
        <v>A</v>
      </c>
      <c r="G1968" s="82" t="str">
        <f aca="false">IF(C1968="","",IF(P1968="","NJ INCONNU",INDEX('CARNET DE SOUDURE'!$AQ$7:$AQ$3006,P1968)))</f>
        <v>ACCEPTÉ</v>
      </c>
      <c r="H1968" s="82" t="str">
        <f aca="false">IF(C1968="","",IF(G1968="ACCEPTÉ","OUI","NON"))</f>
        <v>OUI</v>
      </c>
      <c r="I1968" s="83"/>
      <c r="J1968" s="80"/>
      <c r="K1968" s="81"/>
      <c r="L1968" s="81"/>
      <c r="M1968" s="81"/>
      <c r="N1968" s="84" t="str">
        <f aca="false">IF(C1968="","",IF(P1968="","NJ INCONNU",IF(I1968="",IF(H1968="OUI","À ENROBER",IF(G1968="À SOUDER","NON SOUDÉ","EN ATTENTE RT")),IF(L1968="R","À REPRENDRE",IF(H1968&lt;&gt;"OUI","⚠ ENROBÉ AVANT ACCEPTATION RT","ENROBÉ")))))</f>
        <v>À ENROBER</v>
      </c>
      <c r="O1968" s="80"/>
      <c r="P1968" s="82" t="n">
        <f aca="false">IF(C1968="","",IFERROR(MATCH(Q1968,'CARNET DE SOUDURE'!$AW$7:$AW$3006,0),""))</f>
        <v>1962</v>
      </c>
      <c r="Q1968" s="82" t="str">
        <f aca="false">IF(C1968="","",B1968&amp;"|"&amp;C1968)</f>
        <v>MFD-ISW → MFD-CPF|DJ°037</v>
      </c>
    </row>
    <row r="1969" customFormat="false" ht="74.6" hidden="false" customHeight="false" outlineLevel="0" collapsed="false">
      <c r="A1969" s="82" t="n">
        <f aca="false">IF(C1969="","",ROW()-6)</f>
        <v>1963</v>
      </c>
      <c r="B1969" s="80" t="s">
        <v>110</v>
      </c>
      <c r="C1969" s="113" t="s">
        <v>2400</v>
      </c>
      <c r="D1969" s="82" t="str">
        <f aca="false">IF(OR(C1969="",P1969=""),"",INDEX('CARNET DE SOUDURE'!$D$7:$D$3006,P1969)&amp;"")</f>
        <v>18</v>
      </c>
      <c r="E1969" s="114" t="n">
        <f aca="false">IF(OR(C1969="",P1969=""),"",IF(INDEX('CARNET DE SOUDURE'!$U$7:$U$3006,P1969)="","",INDEX('CARNET DE SOUDURE'!$U$7:$U$3006,P1969)))</f>
        <v>46268</v>
      </c>
      <c r="F1969" s="82" t="str">
        <f aca="false">IF(OR(C1969="",P1969=""),"",INDEX('CARNET DE SOUDURE'!$AP$7:$AP$3006,P1969))</f>
        <v>A</v>
      </c>
      <c r="G1969" s="82" t="str">
        <f aca="false">IF(C1969="","",IF(P1969="","NJ INCONNU",INDEX('CARNET DE SOUDURE'!$AQ$7:$AQ$3006,P1969)))</f>
        <v>ACCEPTÉ</v>
      </c>
      <c r="H1969" s="82" t="str">
        <f aca="false">IF(C1969="","",IF(G1969="ACCEPTÉ","OUI","NON"))</f>
        <v>OUI</v>
      </c>
      <c r="I1969" s="83"/>
      <c r="J1969" s="80"/>
      <c r="K1969" s="81"/>
      <c r="L1969" s="81"/>
      <c r="M1969" s="81"/>
      <c r="N1969" s="84" t="str">
        <f aca="false">IF(C1969="","",IF(P1969="","NJ INCONNU",IF(I1969="",IF(H1969="OUI","À ENROBER",IF(G1969="À SOUDER","NON SOUDÉ","EN ATTENTE RT")),IF(L1969="R","À REPRENDRE",IF(H1969&lt;&gt;"OUI","⚠ ENROBÉ AVANT ACCEPTATION RT","ENROBÉ")))))</f>
        <v>À ENROBER</v>
      </c>
      <c r="O1969" s="80"/>
      <c r="P1969" s="82" t="n">
        <f aca="false">IF(C1969="","",IFERROR(MATCH(Q1969,'CARNET DE SOUDURE'!$AW$7:$AW$3006,0),""))</f>
        <v>1963</v>
      </c>
      <c r="Q1969" s="82" t="str">
        <f aca="false">IF(C1969="","",B1969&amp;"|"&amp;C1969)</f>
        <v>MFD-ISW → MFD-CPF|JN°1516</v>
      </c>
    </row>
    <row r="1970" customFormat="false" ht="74.6" hidden="false" customHeight="false" outlineLevel="0" collapsed="false">
      <c r="A1970" s="82" t="n">
        <f aca="false">IF(C1970="","",ROW()-6)</f>
        <v>1964</v>
      </c>
      <c r="B1970" s="80" t="s">
        <v>110</v>
      </c>
      <c r="C1970" s="113" t="s">
        <v>2401</v>
      </c>
      <c r="D1970" s="82" t="str">
        <f aca="false">IF(OR(C1970="",P1970=""),"",INDEX('CARNET DE SOUDURE'!$D$7:$D$3006,P1970)&amp;"")</f>
        <v>18</v>
      </c>
      <c r="E1970" s="114" t="n">
        <f aca="false">IF(OR(C1970="",P1970=""),"",IF(INDEX('CARNET DE SOUDURE'!$U$7:$U$3006,P1970)="","",INDEX('CARNET DE SOUDURE'!$U$7:$U$3006,P1970)))</f>
        <v>46253</v>
      </c>
      <c r="F1970" s="82" t="str">
        <f aca="false">IF(OR(C1970="",P1970=""),"",INDEX('CARNET DE SOUDURE'!$AP$7:$AP$3006,P1970))</f>
        <v>A</v>
      </c>
      <c r="G1970" s="82" t="str">
        <f aca="false">IF(C1970="","",IF(P1970="","NJ INCONNU",INDEX('CARNET DE SOUDURE'!$AQ$7:$AQ$3006,P1970)))</f>
        <v>ACCEPTÉ</v>
      </c>
      <c r="H1970" s="82" t="str">
        <f aca="false">IF(C1970="","",IF(G1970="ACCEPTÉ","OUI","NON"))</f>
        <v>OUI</v>
      </c>
      <c r="I1970" s="83"/>
      <c r="J1970" s="80"/>
      <c r="K1970" s="81"/>
      <c r="L1970" s="81"/>
      <c r="M1970" s="81"/>
      <c r="N1970" s="84" t="str">
        <f aca="false">IF(C1970="","",IF(P1970="","NJ INCONNU",IF(I1970="",IF(H1970="OUI","À ENROBER",IF(G1970="À SOUDER","NON SOUDÉ","EN ATTENTE RT")),IF(L1970="R","À REPRENDRE",IF(H1970&lt;&gt;"OUI","⚠ ENROBÉ AVANT ACCEPTATION RT","ENROBÉ")))))</f>
        <v>À ENROBER</v>
      </c>
      <c r="O1970" s="80"/>
      <c r="P1970" s="82" t="n">
        <f aca="false">IF(C1970="","",IFERROR(MATCH(Q1970,'CARNET DE SOUDURE'!$AW$7:$AW$3006,0),""))</f>
        <v>1964</v>
      </c>
      <c r="Q1970" s="82" t="str">
        <f aca="false">IF(C1970="","",B1970&amp;"|"&amp;C1970)</f>
        <v>MFD-ISW → MFD-CPF|DJ°059</v>
      </c>
    </row>
    <row r="1971" customFormat="false" ht="74.6" hidden="false" customHeight="false" outlineLevel="0" collapsed="false">
      <c r="A1971" s="82" t="n">
        <f aca="false">IF(C1971="","",ROW()-6)</f>
        <v>1965</v>
      </c>
      <c r="B1971" s="80" t="s">
        <v>110</v>
      </c>
      <c r="C1971" s="113" t="s">
        <v>2402</v>
      </c>
      <c r="D1971" s="82" t="str">
        <f aca="false">IF(OR(C1971="",P1971=""),"",INDEX('CARNET DE SOUDURE'!$D$7:$D$3006,P1971)&amp;"")</f>
        <v>18</v>
      </c>
      <c r="E1971" s="114" t="n">
        <f aca="false">IF(OR(C1971="",P1971=""),"",IF(INDEX('CARNET DE SOUDURE'!$U$7:$U$3006,P1971)="","",INDEX('CARNET DE SOUDURE'!$U$7:$U$3006,P1971)))</f>
        <v>46268</v>
      </c>
      <c r="F1971" s="82" t="str">
        <f aca="false">IF(OR(C1971="",P1971=""),"",INDEX('CARNET DE SOUDURE'!$AP$7:$AP$3006,P1971))</f>
        <v>A</v>
      </c>
      <c r="G1971" s="82" t="str">
        <f aca="false">IF(C1971="","",IF(P1971="","NJ INCONNU",INDEX('CARNET DE SOUDURE'!$AQ$7:$AQ$3006,P1971)))</f>
        <v>ACCEPTÉ</v>
      </c>
      <c r="H1971" s="82" t="str">
        <f aca="false">IF(C1971="","",IF(G1971="ACCEPTÉ","OUI","NON"))</f>
        <v>OUI</v>
      </c>
      <c r="I1971" s="83"/>
      <c r="J1971" s="80"/>
      <c r="K1971" s="81"/>
      <c r="L1971" s="81"/>
      <c r="M1971" s="81"/>
      <c r="N1971" s="84" t="str">
        <f aca="false">IF(C1971="","",IF(P1971="","NJ INCONNU",IF(I1971="",IF(H1971="OUI","À ENROBER",IF(G1971="À SOUDER","NON SOUDÉ","EN ATTENTE RT")),IF(L1971="R","À REPRENDRE",IF(H1971&lt;&gt;"OUI","⚠ ENROBÉ AVANT ACCEPTATION RT","ENROBÉ")))))</f>
        <v>À ENROBER</v>
      </c>
      <c r="O1971" s="80"/>
      <c r="P1971" s="82" t="n">
        <f aca="false">IF(C1971="","",IFERROR(MATCH(Q1971,'CARNET DE SOUDURE'!$AW$7:$AW$3006,0),""))</f>
        <v>1965</v>
      </c>
      <c r="Q1971" s="82" t="str">
        <f aca="false">IF(C1971="","",B1971&amp;"|"&amp;C1971)</f>
        <v>MFD-ISW → MFD-CPF|JN°1517</v>
      </c>
    </row>
    <row r="1972" customFormat="false" ht="74.6" hidden="false" customHeight="false" outlineLevel="0" collapsed="false">
      <c r="A1972" s="82" t="n">
        <f aca="false">IF(C1972="","",ROW()-6)</f>
        <v>1966</v>
      </c>
      <c r="B1972" s="80" t="s">
        <v>110</v>
      </c>
      <c r="C1972" s="113" t="s">
        <v>2404</v>
      </c>
      <c r="D1972" s="82" t="str">
        <f aca="false">IF(OR(C1972="",P1972=""),"",INDEX('CARNET DE SOUDURE'!$D$7:$D$3006,P1972)&amp;"")</f>
        <v>18</v>
      </c>
      <c r="E1972" s="114" t="n">
        <f aca="false">IF(OR(C1972="",P1972=""),"",IF(INDEX('CARNET DE SOUDURE'!$U$7:$U$3006,P1972)="","",INDEX('CARNET DE SOUDURE'!$U$7:$U$3006,P1972)))</f>
        <v>46253</v>
      </c>
      <c r="F1972" s="82" t="str">
        <f aca="false">IF(OR(C1972="",P1972=""),"",INDEX('CARNET DE SOUDURE'!$AP$7:$AP$3006,P1972))</f>
        <v>A</v>
      </c>
      <c r="G1972" s="82" t="str">
        <f aca="false">IF(C1972="","",IF(P1972="","NJ INCONNU",INDEX('CARNET DE SOUDURE'!$AQ$7:$AQ$3006,P1972)))</f>
        <v>ACCEPTÉ</v>
      </c>
      <c r="H1972" s="82" t="str">
        <f aca="false">IF(C1972="","",IF(G1972="ACCEPTÉ","OUI","NON"))</f>
        <v>OUI</v>
      </c>
      <c r="I1972" s="83"/>
      <c r="J1972" s="80"/>
      <c r="K1972" s="81"/>
      <c r="L1972" s="81"/>
      <c r="M1972" s="81"/>
      <c r="N1972" s="84" t="str">
        <f aca="false">IF(C1972="","",IF(P1972="","NJ INCONNU",IF(I1972="",IF(H1972="OUI","À ENROBER",IF(G1972="À SOUDER","NON SOUDÉ","EN ATTENTE RT")),IF(L1972="R","À REPRENDRE",IF(H1972&lt;&gt;"OUI","⚠ ENROBÉ AVANT ACCEPTATION RT","ENROBÉ")))))</f>
        <v>À ENROBER</v>
      </c>
      <c r="O1972" s="80"/>
      <c r="P1972" s="82" t="n">
        <f aca="false">IF(C1972="","",IFERROR(MATCH(Q1972,'CARNET DE SOUDURE'!$AW$7:$AW$3006,0),""))</f>
        <v>1966</v>
      </c>
      <c r="Q1972" s="82" t="str">
        <f aca="false">IF(C1972="","",B1972&amp;"|"&amp;C1972)</f>
        <v>MFD-ISW → MFD-CPF|DJ°054</v>
      </c>
    </row>
    <row r="1973" customFormat="false" ht="74.6" hidden="false" customHeight="false" outlineLevel="0" collapsed="false">
      <c r="A1973" s="82" t="n">
        <f aca="false">IF(C1973="","",ROW()-6)</f>
        <v>1967</v>
      </c>
      <c r="B1973" s="80" t="s">
        <v>110</v>
      </c>
      <c r="C1973" s="113" t="s">
        <v>2405</v>
      </c>
      <c r="D1973" s="82" t="str">
        <f aca="false">IF(OR(C1973="",P1973=""),"",INDEX('CARNET DE SOUDURE'!$D$7:$D$3006,P1973)&amp;"")</f>
        <v>18</v>
      </c>
      <c r="E1973" s="114" t="n">
        <f aca="false">IF(OR(C1973="",P1973=""),"",IF(INDEX('CARNET DE SOUDURE'!$U$7:$U$3006,P1973)="","",INDEX('CARNET DE SOUDURE'!$U$7:$U$3006,P1973)))</f>
        <v>46268</v>
      </c>
      <c r="F1973" s="82" t="str">
        <f aca="false">IF(OR(C1973="",P1973=""),"",INDEX('CARNET DE SOUDURE'!$AP$7:$AP$3006,P1973))</f>
        <v>A</v>
      </c>
      <c r="G1973" s="82" t="str">
        <f aca="false">IF(C1973="","",IF(P1973="","NJ INCONNU",INDEX('CARNET DE SOUDURE'!$AQ$7:$AQ$3006,P1973)))</f>
        <v>ACCEPTÉ</v>
      </c>
      <c r="H1973" s="82" t="str">
        <f aca="false">IF(C1973="","",IF(G1973="ACCEPTÉ","OUI","NON"))</f>
        <v>OUI</v>
      </c>
      <c r="I1973" s="83"/>
      <c r="J1973" s="80"/>
      <c r="K1973" s="81"/>
      <c r="L1973" s="81"/>
      <c r="M1973" s="81"/>
      <c r="N1973" s="84" t="str">
        <f aca="false">IF(C1973="","",IF(P1973="","NJ INCONNU",IF(I1973="",IF(H1973="OUI","À ENROBER",IF(G1973="À SOUDER","NON SOUDÉ","EN ATTENTE RT")),IF(L1973="R","À REPRENDRE",IF(H1973&lt;&gt;"OUI","⚠ ENROBÉ AVANT ACCEPTATION RT","ENROBÉ")))))</f>
        <v>À ENROBER</v>
      </c>
      <c r="O1973" s="80"/>
      <c r="P1973" s="82" t="n">
        <f aca="false">IF(C1973="","",IFERROR(MATCH(Q1973,'CARNET DE SOUDURE'!$AW$7:$AW$3006,0),""))</f>
        <v>1967</v>
      </c>
      <c r="Q1973" s="82" t="str">
        <f aca="false">IF(C1973="","",B1973&amp;"|"&amp;C1973)</f>
        <v>MFD-ISW → MFD-CPF|JN°1518</v>
      </c>
    </row>
    <row r="1974" customFormat="false" ht="74.6" hidden="false" customHeight="false" outlineLevel="0" collapsed="false">
      <c r="A1974" s="82" t="n">
        <f aca="false">IF(C1974="","",ROW()-6)</f>
        <v>1968</v>
      </c>
      <c r="B1974" s="80" t="s">
        <v>110</v>
      </c>
      <c r="C1974" s="113" t="s">
        <v>2406</v>
      </c>
      <c r="D1974" s="82" t="str">
        <f aca="false">IF(OR(C1974="",P1974=""),"",INDEX('CARNET DE SOUDURE'!$D$7:$D$3006,P1974)&amp;"")</f>
        <v>18</v>
      </c>
      <c r="E1974" s="114" t="n">
        <f aca="false">IF(OR(C1974="",P1974=""),"",IF(INDEX('CARNET DE SOUDURE'!$U$7:$U$3006,P1974)="","",INDEX('CARNET DE SOUDURE'!$U$7:$U$3006,P1974)))</f>
        <v>46253</v>
      </c>
      <c r="F1974" s="82" t="str">
        <f aca="false">IF(OR(C1974="",P1974=""),"",INDEX('CARNET DE SOUDURE'!$AP$7:$AP$3006,P1974))</f>
        <v>A</v>
      </c>
      <c r="G1974" s="82" t="str">
        <f aca="false">IF(C1974="","",IF(P1974="","NJ INCONNU",INDEX('CARNET DE SOUDURE'!$AQ$7:$AQ$3006,P1974)))</f>
        <v>ACCEPTÉ</v>
      </c>
      <c r="H1974" s="82" t="str">
        <f aca="false">IF(C1974="","",IF(G1974="ACCEPTÉ","OUI","NON"))</f>
        <v>OUI</v>
      </c>
      <c r="I1974" s="83"/>
      <c r="J1974" s="80"/>
      <c r="K1974" s="81"/>
      <c r="L1974" s="81"/>
      <c r="M1974" s="81"/>
      <c r="N1974" s="84" t="str">
        <f aca="false">IF(C1974="","",IF(P1974="","NJ INCONNU",IF(I1974="",IF(H1974="OUI","À ENROBER",IF(G1974="À SOUDER","NON SOUDÉ","EN ATTENTE RT")),IF(L1974="R","À REPRENDRE",IF(H1974&lt;&gt;"OUI","⚠ ENROBÉ AVANT ACCEPTATION RT","ENROBÉ")))))</f>
        <v>À ENROBER</v>
      </c>
      <c r="O1974" s="80"/>
      <c r="P1974" s="82" t="n">
        <f aca="false">IF(C1974="","",IFERROR(MATCH(Q1974,'CARNET DE SOUDURE'!$AW$7:$AW$3006,0),""))</f>
        <v>1968</v>
      </c>
      <c r="Q1974" s="82" t="str">
        <f aca="false">IF(C1974="","",B1974&amp;"|"&amp;C1974)</f>
        <v>MFD-ISW → MFD-CPF|DJ°056</v>
      </c>
    </row>
    <row r="1975" customFormat="false" ht="74.6" hidden="false" customHeight="false" outlineLevel="0" collapsed="false">
      <c r="A1975" s="82" t="n">
        <f aca="false">IF(C1975="","",ROW()-6)</f>
        <v>1969</v>
      </c>
      <c r="B1975" s="80" t="s">
        <v>110</v>
      </c>
      <c r="C1975" s="113" t="s">
        <v>2407</v>
      </c>
      <c r="D1975" s="82" t="str">
        <f aca="false">IF(OR(C1975="",P1975=""),"",INDEX('CARNET DE SOUDURE'!$D$7:$D$3006,P1975)&amp;"")</f>
        <v>18</v>
      </c>
      <c r="E1975" s="114" t="n">
        <f aca="false">IF(OR(C1975="",P1975=""),"",IF(INDEX('CARNET DE SOUDURE'!$U$7:$U$3006,P1975)="","",INDEX('CARNET DE SOUDURE'!$U$7:$U$3006,P1975)))</f>
        <v>46268</v>
      </c>
      <c r="F1975" s="82" t="str">
        <f aca="false">IF(OR(C1975="",P1975=""),"",INDEX('CARNET DE SOUDURE'!$AP$7:$AP$3006,P1975))</f>
        <v>A</v>
      </c>
      <c r="G1975" s="82" t="str">
        <f aca="false">IF(C1975="","",IF(P1975="","NJ INCONNU",INDEX('CARNET DE SOUDURE'!$AQ$7:$AQ$3006,P1975)))</f>
        <v>ACCEPTÉ</v>
      </c>
      <c r="H1975" s="82" t="str">
        <f aca="false">IF(C1975="","",IF(G1975="ACCEPTÉ","OUI","NON"))</f>
        <v>OUI</v>
      </c>
      <c r="I1975" s="83"/>
      <c r="J1975" s="80"/>
      <c r="K1975" s="81"/>
      <c r="L1975" s="81"/>
      <c r="M1975" s="81"/>
      <c r="N1975" s="84" t="str">
        <f aca="false">IF(C1975="","",IF(P1975="","NJ INCONNU",IF(I1975="",IF(H1975="OUI","À ENROBER",IF(G1975="À SOUDER","NON SOUDÉ","EN ATTENTE RT")),IF(L1975="R","À REPRENDRE",IF(H1975&lt;&gt;"OUI","⚠ ENROBÉ AVANT ACCEPTATION RT","ENROBÉ")))))</f>
        <v>À ENROBER</v>
      </c>
      <c r="O1975" s="80"/>
      <c r="P1975" s="82" t="n">
        <f aca="false">IF(C1975="","",IFERROR(MATCH(Q1975,'CARNET DE SOUDURE'!$AW$7:$AW$3006,0),""))</f>
        <v>1969</v>
      </c>
      <c r="Q1975" s="82" t="str">
        <f aca="false">IF(C1975="","",B1975&amp;"|"&amp;C1975)</f>
        <v>MFD-ISW → MFD-CPF|JN°1519</v>
      </c>
    </row>
    <row r="1976" customFormat="false" ht="74.6" hidden="false" customHeight="false" outlineLevel="0" collapsed="false">
      <c r="A1976" s="82" t="n">
        <f aca="false">IF(C1976="","",ROW()-6)</f>
        <v>1970</v>
      </c>
      <c r="B1976" s="80" t="s">
        <v>110</v>
      </c>
      <c r="C1976" s="113" t="s">
        <v>2408</v>
      </c>
      <c r="D1976" s="82" t="str">
        <f aca="false">IF(OR(C1976="",P1976=""),"",INDEX('CARNET DE SOUDURE'!$D$7:$D$3006,P1976)&amp;"")</f>
        <v>18</v>
      </c>
      <c r="E1976" s="114" t="n">
        <f aca="false">IF(OR(C1976="",P1976=""),"",IF(INDEX('CARNET DE SOUDURE'!$U$7:$U$3006,P1976)="","",INDEX('CARNET DE SOUDURE'!$U$7:$U$3006,P1976)))</f>
        <v>46250</v>
      </c>
      <c r="F1976" s="82" t="str">
        <f aca="false">IF(OR(C1976="",P1976=""),"",INDEX('CARNET DE SOUDURE'!$AP$7:$AP$3006,P1976))</f>
        <v>A</v>
      </c>
      <c r="G1976" s="82" t="str">
        <f aca="false">IF(C1976="","",IF(P1976="","NJ INCONNU",INDEX('CARNET DE SOUDURE'!$AQ$7:$AQ$3006,P1976)))</f>
        <v>ACCEPTÉ</v>
      </c>
      <c r="H1976" s="82" t="str">
        <f aca="false">IF(C1976="","",IF(G1976="ACCEPTÉ","OUI","NON"))</f>
        <v>OUI</v>
      </c>
      <c r="I1976" s="83"/>
      <c r="J1976" s="80"/>
      <c r="K1976" s="81"/>
      <c r="L1976" s="81"/>
      <c r="M1976" s="81"/>
      <c r="N1976" s="84" t="str">
        <f aca="false">IF(C1976="","",IF(P1976="","NJ INCONNU",IF(I1976="",IF(H1976="OUI","À ENROBER",IF(G1976="À SOUDER","NON SOUDÉ","EN ATTENTE RT")),IF(L1976="R","À REPRENDRE",IF(H1976&lt;&gt;"OUI","⚠ ENROBÉ AVANT ACCEPTATION RT","ENROBÉ")))))</f>
        <v>À ENROBER</v>
      </c>
      <c r="O1976" s="80"/>
      <c r="P1976" s="82" t="n">
        <f aca="false">IF(C1976="","",IFERROR(MATCH(Q1976,'CARNET DE SOUDURE'!$AW$7:$AW$3006,0),""))</f>
        <v>1970</v>
      </c>
      <c r="Q1976" s="82" t="str">
        <f aca="false">IF(C1976="","",B1976&amp;"|"&amp;C1976)</f>
        <v>MFD-ISW → MFD-CPF|DJ°022</v>
      </c>
    </row>
    <row r="1977" customFormat="false" ht="74.6" hidden="false" customHeight="false" outlineLevel="0" collapsed="false">
      <c r="A1977" s="82" t="n">
        <f aca="false">IF(C1977="","",ROW()-6)</f>
        <v>1971</v>
      </c>
      <c r="B1977" s="80" t="s">
        <v>110</v>
      </c>
      <c r="C1977" s="113" t="s">
        <v>2409</v>
      </c>
      <c r="D1977" s="82" t="str">
        <f aca="false">IF(OR(C1977="",P1977=""),"",INDEX('CARNET DE SOUDURE'!$D$7:$D$3006,P1977)&amp;"")</f>
        <v>18</v>
      </c>
      <c r="E1977" s="114" t="n">
        <f aca="false">IF(OR(C1977="",P1977=""),"",IF(INDEX('CARNET DE SOUDURE'!$U$7:$U$3006,P1977)="","",INDEX('CARNET DE SOUDURE'!$U$7:$U$3006,P1977)))</f>
        <v>46287</v>
      </c>
      <c r="F1977" s="82" t="str">
        <f aca="false">IF(OR(C1977="",P1977=""),"",INDEX('CARNET DE SOUDURE'!$AP$7:$AP$3006,P1977))</f>
        <v/>
      </c>
      <c r="G1977" s="82" t="str">
        <f aca="false">IF(C1977="","",IF(P1977="","NJ INCONNU",INDEX('CARNET DE SOUDURE'!$AQ$7:$AQ$3006,P1977)))</f>
        <v>À RADIOGRAPHIER</v>
      </c>
      <c r="H1977" s="82" t="str">
        <f aca="false">IF(C1977="","",IF(G1977="ACCEPTÉ","OUI","NON"))</f>
        <v>NON</v>
      </c>
      <c r="I1977" s="83"/>
      <c r="J1977" s="80"/>
      <c r="K1977" s="81"/>
      <c r="L1977" s="81"/>
      <c r="M1977" s="81"/>
      <c r="N1977" s="84" t="str">
        <f aca="false">IF(C1977="","",IF(P1977="","NJ INCONNU",IF(I1977="",IF(H1977="OUI","À ENROBER",IF(G1977="À SOUDER","NON SOUDÉ","EN ATTENTE RT")),IF(L1977="R","À REPRENDRE",IF(H1977&lt;&gt;"OUI","⚠ ENROBÉ AVANT ACCEPTATION RT","ENROBÉ")))))</f>
        <v>EN ATTENTE RT</v>
      </c>
      <c r="O1977" s="80"/>
      <c r="P1977" s="82" t="n">
        <f aca="false">IF(C1977="","",IFERROR(MATCH(Q1977,'CARNET DE SOUDURE'!$AW$7:$AW$3006,0),""))</f>
        <v>1971</v>
      </c>
      <c r="Q1977" s="82" t="str">
        <f aca="false">IF(C1977="","",B1977&amp;"|"&amp;C1977)</f>
        <v>MFD-ISW → MFD-CPF|JN°1520R</v>
      </c>
    </row>
    <row r="1978" customFormat="false" ht="74.6" hidden="false" customHeight="false" outlineLevel="0" collapsed="false">
      <c r="A1978" s="82" t="n">
        <f aca="false">IF(C1978="","",ROW()-6)</f>
        <v>1972</v>
      </c>
      <c r="B1978" s="80" t="s">
        <v>110</v>
      </c>
      <c r="C1978" s="113" t="s">
        <v>2410</v>
      </c>
      <c r="D1978" s="82" t="str">
        <f aca="false">IF(OR(C1978="",P1978=""),"",INDEX('CARNET DE SOUDURE'!$D$7:$D$3006,P1978)&amp;"")</f>
        <v>18</v>
      </c>
      <c r="E1978" s="114" t="n">
        <f aca="false">IF(OR(C1978="",P1978=""),"",IF(INDEX('CARNET DE SOUDURE'!$U$7:$U$3006,P1978)="","",INDEX('CARNET DE SOUDURE'!$U$7:$U$3006,P1978)))</f>
        <v>46252</v>
      </c>
      <c r="F1978" s="82" t="str">
        <f aca="false">IF(OR(C1978="",P1978=""),"",INDEX('CARNET DE SOUDURE'!$AP$7:$AP$3006,P1978))</f>
        <v>A</v>
      </c>
      <c r="G1978" s="82" t="str">
        <f aca="false">IF(C1978="","",IF(P1978="","NJ INCONNU",INDEX('CARNET DE SOUDURE'!$AQ$7:$AQ$3006,P1978)))</f>
        <v>ACCEPTÉ</v>
      </c>
      <c r="H1978" s="82" t="str">
        <f aca="false">IF(C1978="","",IF(G1978="ACCEPTÉ","OUI","NON"))</f>
        <v>OUI</v>
      </c>
      <c r="I1978" s="83"/>
      <c r="J1978" s="80"/>
      <c r="K1978" s="81"/>
      <c r="L1978" s="81"/>
      <c r="M1978" s="81"/>
      <c r="N1978" s="84" t="str">
        <f aca="false">IF(C1978="","",IF(P1978="","NJ INCONNU",IF(I1978="",IF(H1978="OUI","À ENROBER",IF(G1978="À SOUDER","NON SOUDÉ","EN ATTENTE RT")),IF(L1978="R","À REPRENDRE",IF(H1978&lt;&gt;"OUI","⚠ ENROBÉ AVANT ACCEPTATION RT","ENROBÉ")))))</f>
        <v>À ENROBER</v>
      </c>
      <c r="O1978" s="80"/>
      <c r="P1978" s="82" t="n">
        <f aca="false">IF(C1978="","",IFERROR(MATCH(Q1978,'CARNET DE SOUDURE'!$AW$7:$AW$3006,0),""))</f>
        <v>1972</v>
      </c>
      <c r="Q1978" s="82" t="str">
        <f aca="false">IF(C1978="","",B1978&amp;"|"&amp;C1978)</f>
        <v>MFD-ISW → MFD-CPF|DJ°049</v>
      </c>
    </row>
    <row r="1979" customFormat="false" ht="74.6" hidden="false" customHeight="false" outlineLevel="0" collapsed="false">
      <c r="A1979" s="82" t="n">
        <f aca="false">IF(C1979="","",ROW()-6)</f>
        <v>1973</v>
      </c>
      <c r="B1979" s="80" t="s">
        <v>110</v>
      </c>
      <c r="C1979" s="113" t="s">
        <v>2411</v>
      </c>
      <c r="D1979" s="82" t="str">
        <f aca="false">IF(OR(C1979="",P1979=""),"",INDEX('CARNET DE SOUDURE'!$D$7:$D$3006,P1979)&amp;"")</f>
        <v>18</v>
      </c>
      <c r="E1979" s="114" t="n">
        <f aca="false">IF(OR(C1979="",P1979=""),"",IF(INDEX('CARNET DE SOUDURE'!$U$7:$U$3006,P1979)="","",INDEX('CARNET DE SOUDURE'!$U$7:$U$3006,P1979)))</f>
        <v>46287</v>
      </c>
      <c r="F1979" s="82" t="str">
        <f aca="false">IF(OR(C1979="",P1979=""),"",INDEX('CARNET DE SOUDURE'!$AP$7:$AP$3006,P1979))</f>
        <v/>
      </c>
      <c r="G1979" s="82" t="str">
        <f aca="false">IF(C1979="","",IF(P1979="","NJ INCONNU",INDEX('CARNET DE SOUDURE'!$AQ$7:$AQ$3006,P1979)))</f>
        <v>À RADIOGRAPHIER</v>
      </c>
      <c r="H1979" s="82" t="str">
        <f aca="false">IF(C1979="","",IF(G1979="ACCEPTÉ","OUI","NON"))</f>
        <v>NON</v>
      </c>
      <c r="I1979" s="83"/>
      <c r="J1979" s="80"/>
      <c r="K1979" s="81"/>
      <c r="L1979" s="81"/>
      <c r="M1979" s="81"/>
      <c r="N1979" s="84" t="str">
        <f aca="false">IF(C1979="","",IF(P1979="","NJ INCONNU",IF(I1979="",IF(H1979="OUI","À ENROBER",IF(G1979="À SOUDER","NON SOUDÉ","EN ATTENTE RT")),IF(L1979="R","À REPRENDRE",IF(H1979&lt;&gt;"OUI","⚠ ENROBÉ AVANT ACCEPTATION RT","ENROBÉ")))))</f>
        <v>EN ATTENTE RT</v>
      </c>
      <c r="O1979" s="80"/>
      <c r="P1979" s="82" t="n">
        <f aca="false">IF(C1979="","",IFERROR(MATCH(Q1979,'CARNET DE SOUDURE'!$AW$7:$AW$3006,0),""))</f>
        <v>1973</v>
      </c>
      <c r="Q1979" s="82" t="str">
        <f aca="false">IF(C1979="","",B1979&amp;"|"&amp;C1979)</f>
        <v>MFD-ISW → MFD-CPF|JN°1521R</v>
      </c>
    </row>
    <row r="1980" customFormat="false" ht="74.6" hidden="false" customHeight="false" outlineLevel="0" collapsed="false">
      <c r="A1980" s="82" t="n">
        <f aca="false">IF(C1980="","",ROW()-6)</f>
        <v>1974</v>
      </c>
      <c r="B1980" s="80" t="s">
        <v>110</v>
      </c>
      <c r="C1980" s="113" t="s">
        <v>2412</v>
      </c>
      <c r="D1980" s="82" t="str">
        <f aca="false">IF(OR(C1980="",P1980=""),"",INDEX('CARNET DE SOUDURE'!$D$7:$D$3006,P1980)&amp;"")</f>
        <v>18</v>
      </c>
      <c r="E1980" s="114" t="n">
        <f aca="false">IF(OR(C1980="",P1980=""),"",IF(INDEX('CARNET DE SOUDURE'!$U$7:$U$3006,P1980)="","",INDEX('CARNET DE SOUDURE'!$U$7:$U$3006,P1980)))</f>
        <v>46256</v>
      </c>
      <c r="F1980" s="82" t="str">
        <f aca="false">IF(OR(C1980="",P1980=""),"",INDEX('CARNET DE SOUDURE'!$AP$7:$AP$3006,P1980))</f>
        <v>A</v>
      </c>
      <c r="G1980" s="82" t="str">
        <f aca="false">IF(C1980="","",IF(P1980="","NJ INCONNU",INDEX('CARNET DE SOUDURE'!$AQ$7:$AQ$3006,P1980)))</f>
        <v>ACCEPTÉ</v>
      </c>
      <c r="H1980" s="82" t="str">
        <f aca="false">IF(C1980="","",IF(G1980="ACCEPTÉ","OUI","NON"))</f>
        <v>OUI</v>
      </c>
      <c r="I1980" s="83"/>
      <c r="J1980" s="80"/>
      <c r="K1980" s="81"/>
      <c r="L1980" s="81"/>
      <c r="M1980" s="81"/>
      <c r="N1980" s="84" t="str">
        <f aca="false">IF(C1980="","",IF(P1980="","NJ INCONNU",IF(I1980="",IF(H1980="OUI","À ENROBER",IF(G1980="À SOUDER","NON SOUDÉ","EN ATTENTE RT")),IF(L1980="R","À REPRENDRE",IF(H1980&lt;&gt;"OUI","⚠ ENROBÉ AVANT ACCEPTATION RT","ENROBÉ")))))</f>
        <v>À ENROBER</v>
      </c>
      <c r="O1980" s="80"/>
      <c r="P1980" s="82" t="n">
        <f aca="false">IF(C1980="","",IFERROR(MATCH(Q1980,'CARNET DE SOUDURE'!$AW$7:$AW$3006,0),""))</f>
        <v>1974</v>
      </c>
      <c r="Q1980" s="82" t="str">
        <f aca="false">IF(C1980="","",B1980&amp;"|"&amp;C1980)</f>
        <v>MFD-ISW → MFD-CPF|DJ°082</v>
      </c>
    </row>
    <row r="1981" customFormat="false" ht="74.6" hidden="false" customHeight="false" outlineLevel="0" collapsed="false">
      <c r="A1981" s="82" t="n">
        <f aca="false">IF(C1981="","",ROW()-6)</f>
        <v>1975</v>
      </c>
      <c r="B1981" s="80" t="s">
        <v>110</v>
      </c>
      <c r="C1981" s="113" t="s">
        <v>2413</v>
      </c>
      <c r="D1981" s="82" t="str">
        <f aca="false">IF(OR(C1981="",P1981=""),"",INDEX('CARNET DE SOUDURE'!$D$7:$D$3006,P1981)&amp;"")</f>
        <v>18</v>
      </c>
      <c r="E1981" s="114" t="n">
        <f aca="false">IF(OR(C1981="",P1981=""),"",IF(INDEX('CARNET DE SOUDURE'!$U$7:$U$3006,P1981)="","",INDEX('CARNET DE SOUDURE'!$U$7:$U$3006,P1981)))</f>
        <v>46268</v>
      </c>
      <c r="F1981" s="82" t="str">
        <f aca="false">IF(OR(C1981="",P1981=""),"",INDEX('CARNET DE SOUDURE'!$AP$7:$AP$3006,P1981))</f>
        <v>A</v>
      </c>
      <c r="G1981" s="82" t="str">
        <f aca="false">IF(C1981="","",IF(P1981="","NJ INCONNU",INDEX('CARNET DE SOUDURE'!$AQ$7:$AQ$3006,P1981)))</f>
        <v>ACCEPTÉ</v>
      </c>
      <c r="H1981" s="82" t="str">
        <f aca="false">IF(C1981="","",IF(G1981="ACCEPTÉ","OUI","NON"))</f>
        <v>OUI</v>
      </c>
      <c r="I1981" s="83"/>
      <c r="J1981" s="80"/>
      <c r="K1981" s="81"/>
      <c r="L1981" s="81"/>
      <c r="M1981" s="81"/>
      <c r="N1981" s="84" t="str">
        <f aca="false">IF(C1981="","",IF(P1981="","NJ INCONNU",IF(I1981="",IF(H1981="OUI","À ENROBER",IF(G1981="À SOUDER","NON SOUDÉ","EN ATTENTE RT")),IF(L1981="R","À REPRENDRE",IF(H1981&lt;&gt;"OUI","⚠ ENROBÉ AVANT ACCEPTATION RT","ENROBÉ")))))</f>
        <v>À ENROBER</v>
      </c>
      <c r="O1981" s="80"/>
      <c r="P1981" s="82" t="n">
        <f aca="false">IF(C1981="","",IFERROR(MATCH(Q1981,'CARNET DE SOUDURE'!$AW$7:$AW$3006,0),""))</f>
        <v>1975</v>
      </c>
      <c r="Q1981" s="82" t="str">
        <f aca="false">IF(C1981="","",B1981&amp;"|"&amp;C1981)</f>
        <v>MFD-ISW → MFD-CPF|JN°1522</v>
      </c>
    </row>
    <row r="1982" customFormat="false" ht="74.6" hidden="false" customHeight="false" outlineLevel="0" collapsed="false">
      <c r="A1982" s="82" t="n">
        <f aca="false">IF(C1982="","",ROW()-6)</f>
        <v>1976</v>
      </c>
      <c r="B1982" s="80" t="s">
        <v>110</v>
      </c>
      <c r="C1982" s="113" t="s">
        <v>2414</v>
      </c>
      <c r="D1982" s="82" t="str">
        <f aca="false">IF(OR(C1982="",P1982=""),"",INDEX('CARNET DE SOUDURE'!$D$7:$D$3006,P1982)&amp;"")</f>
        <v>18</v>
      </c>
      <c r="E1982" s="114" t="n">
        <f aca="false">IF(OR(C1982="",P1982=""),"",IF(INDEX('CARNET DE SOUDURE'!$U$7:$U$3006,P1982)="","",INDEX('CARNET DE SOUDURE'!$U$7:$U$3006,P1982)))</f>
        <v>46256</v>
      </c>
      <c r="F1982" s="82" t="str">
        <f aca="false">IF(OR(C1982="",P1982=""),"",INDEX('CARNET DE SOUDURE'!$AP$7:$AP$3006,P1982))</f>
        <v>A</v>
      </c>
      <c r="G1982" s="82" t="str">
        <f aca="false">IF(C1982="","",IF(P1982="","NJ INCONNU",INDEX('CARNET DE SOUDURE'!$AQ$7:$AQ$3006,P1982)))</f>
        <v>ACCEPTÉ</v>
      </c>
      <c r="H1982" s="82" t="str">
        <f aca="false">IF(C1982="","",IF(G1982="ACCEPTÉ","OUI","NON"))</f>
        <v>OUI</v>
      </c>
      <c r="I1982" s="83"/>
      <c r="J1982" s="80"/>
      <c r="K1982" s="81"/>
      <c r="L1982" s="81"/>
      <c r="M1982" s="81"/>
      <c r="N1982" s="84" t="str">
        <f aca="false">IF(C1982="","",IF(P1982="","NJ INCONNU",IF(I1982="",IF(H1982="OUI","À ENROBER",IF(G1982="À SOUDER","NON SOUDÉ","EN ATTENTE RT")),IF(L1982="R","À REPRENDRE",IF(H1982&lt;&gt;"OUI","⚠ ENROBÉ AVANT ACCEPTATION RT","ENROBÉ")))))</f>
        <v>À ENROBER</v>
      </c>
      <c r="O1982" s="80"/>
      <c r="P1982" s="82" t="n">
        <f aca="false">IF(C1982="","",IFERROR(MATCH(Q1982,'CARNET DE SOUDURE'!$AW$7:$AW$3006,0),""))</f>
        <v>1976</v>
      </c>
      <c r="Q1982" s="82" t="str">
        <f aca="false">IF(C1982="","",B1982&amp;"|"&amp;C1982)</f>
        <v>MFD-ISW → MFD-CPF|DJ°083</v>
      </c>
    </row>
    <row r="1983" customFormat="false" ht="74.6" hidden="false" customHeight="false" outlineLevel="0" collapsed="false">
      <c r="A1983" s="82" t="n">
        <f aca="false">IF(C1983="","",ROW()-6)</f>
        <v>1977</v>
      </c>
      <c r="B1983" s="80" t="s">
        <v>110</v>
      </c>
      <c r="C1983" s="113" t="s">
        <v>2415</v>
      </c>
      <c r="D1983" s="82" t="str">
        <f aca="false">IF(OR(C1983="",P1983=""),"",INDEX('CARNET DE SOUDURE'!$D$7:$D$3006,P1983)&amp;"")</f>
        <v>18</v>
      </c>
      <c r="E1983" s="114" t="str">
        <f aca="false">IF(OR(C1983="",P1983=""),"",IF(INDEX('CARNET DE SOUDURE'!$U$7:$U$3006,P1983)="","",INDEX('CARNET DE SOUDURE'!$U$7:$U$3006,P1983)))</f>
        <v/>
      </c>
      <c r="F1983" s="82" t="str">
        <f aca="false">IF(OR(C1983="",P1983=""),"",INDEX('CARNET DE SOUDURE'!$AP$7:$AP$3006,P1983))</f>
        <v/>
      </c>
      <c r="G1983" s="82" t="str">
        <f aca="false">IF(C1983="","",IF(P1983="","NJ INCONNU",INDEX('CARNET DE SOUDURE'!$AQ$7:$AQ$3006,P1983)))</f>
        <v>À SOUDER</v>
      </c>
      <c r="H1983" s="82" t="str">
        <f aca="false">IF(C1983="","",IF(G1983="ACCEPTÉ","OUI","NON"))</f>
        <v>NON</v>
      </c>
      <c r="I1983" s="83"/>
      <c r="J1983" s="80"/>
      <c r="K1983" s="81"/>
      <c r="L1983" s="81"/>
      <c r="M1983" s="81"/>
      <c r="N1983" s="84" t="str">
        <f aca="false">IF(C1983="","",IF(P1983="","NJ INCONNU",IF(I1983="",IF(H1983="OUI","À ENROBER",IF(G1983="À SOUDER","NON SOUDÉ","EN ATTENTE RT")),IF(L1983="R","À REPRENDRE",IF(H1983&lt;&gt;"OUI","⚠ ENROBÉ AVANT ACCEPTATION RT","ENROBÉ")))))</f>
        <v>NON SOUDÉ</v>
      </c>
      <c r="O1983" s="80"/>
      <c r="P1983" s="82" t="n">
        <f aca="false">IF(C1983="","",IFERROR(MATCH(Q1983,'CARNET DE SOUDURE'!$AW$7:$AW$3006,0),""))</f>
        <v>1977</v>
      </c>
      <c r="Q1983" s="82" t="str">
        <f aca="false">IF(C1983="","",B1983&amp;"|"&amp;C1983)</f>
        <v>MFD-ISW → MFD-CPF|JN°1523</v>
      </c>
    </row>
    <row r="1984" customFormat="false" ht="74.6" hidden="false" customHeight="false" outlineLevel="0" collapsed="false">
      <c r="A1984" s="82" t="n">
        <f aca="false">IF(C1984="","",ROW()-6)</f>
        <v>1978</v>
      </c>
      <c r="B1984" s="80" t="s">
        <v>110</v>
      </c>
      <c r="C1984" s="113" t="s">
        <v>2416</v>
      </c>
      <c r="D1984" s="82" t="str">
        <f aca="false">IF(OR(C1984="",P1984=""),"",INDEX('CARNET DE SOUDURE'!$D$7:$D$3006,P1984)&amp;"")</f>
        <v>18</v>
      </c>
      <c r="E1984" s="114" t="str">
        <f aca="false">IF(OR(C1984="",P1984=""),"",IF(INDEX('CARNET DE SOUDURE'!$U$7:$U$3006,P1984)="","",INDEX('CARNET DE SOUDURE'!$U$7:$U$3006,P1984)))</f>
        <v/>
      </c>
      <c r="F1984" s="82" t="str">
        <f aca="false">IF(OR(C1984="",P1984=""),"",INDEX('CARNET DE SOUDURE'!$AP$7:$AP$3006,P1984))</f>
        <v/>
      </c>
      <c r="G1984" s="82" t="str">
        <f aca="false">IF(C1984="","",IF(P1984="","NJ INCONNU",INDEX('CARNET DE SOUDURE'!$AQ$7:$AQ$3006,P1984)))</f>
        <v>À SOUDER</v>
      </c>
      <c r="H1984" s="82" t="str">
        <f aca="false">IF(C1984="","",IF(G1984="ACCEPTÉ","OUI","NON"))</f>
        <v>NON</v>
      </c>
      <c r="I1984" s="83"/>
      <c r="J1984" s="80"/>
      <c r="K1984" s="81"/>
      <c r="L1984" s="81"/>
      <c r="M1984" s="81"/>
      <c r="N1984" s="84" t="str">
        <f aca="false">IF(C1984="","",IF(P1984="","NJ INCONNU",IF(I1984="",IF(H1984="OUI","À ENROBER",IF(G1984="À SOUDER","NON SOUDÉ","EN ATTENTE RT")),IF(L1984="R","À REPRENDRE",IF(H1984&lt;&gt;"OUI","⚠ ENROBÉ AVANT ACCEPTATION RT","ENROBÉ")))))</f>
        <v>NON SOUDÉ</v>
      </c>
      <c r="O1984" s="80"/>
      <c r="P1984" s="82" t="n">
        <f aca="false">IF(C1984="","",IFERROR(MATCH(Q1984,'CARNET DE SOUDURE'!$AW$7:$AW$3006,0),""))</f>
        <v>1978</v>
      </c>
      <c r="Q1984" s="82" t="str">
        <f aca="false">IF(C1984="","",B1984&amp;"|"&amp;C1984)</f>
        <v>MFD-ISW → MFD-CPF|JN°1524</v>
      </c>
    </row>
    <row r="1985" customFormat="false" ht="74.6" hidden="false" customHeight="false" outlineLevel="0" collapsed="false">
      <c r="A1985" s="82" t="n">
        <f aca="false">IF(C1985="","",ROW()-6)</f>
        <v>1979</v>
      </c>
      <c r="B1985" s="80" t="s">
        <v>110</v>
      </c>
      <c r="C1985" s="113" t="s">
        <v>2418</v>
      </c>
      <c r="D1985" s="82" t="str">
        <f aca="false">IF(OR(C1985="",P1985=""),"",INDEX('CARNET DE SOUDURE'!$D$7:$D$3006,P1985)&amp;"")</f>
        <v>18</v>
      </c>
      <c r="E1985" s="114" t="str">
        <f aca="false">IF(OR(C1985="",P1985=""),"",IF(INDEX('CARNET DE SOUDURE'!$U$7:$U$3006,P1985)="","",INDEX('CARNET DE SOUDURE'!$U$7:$U$3006,P1985)))</f>
        <v/>
      </c>
      <c r="F1985" s="82" t="str">
        <f aca="false">IF(OR(C1985="",P1985=""),"",INDEX('CARNET DE SOUDURE'!$AP$7:$AP$3006,P1985))</f>
        <v/>
      </c>
      <c r="G1985" s="82" t="str">
        <f aca="false">IF(C1985="","",IF(P1985="","NJ INCONNU",INDEX('CARNET DE SOUDURE'!$AQ$7:$AQ$3006,P1985)))</f>
        <v>À SOUDER</v>
      </c>
      <c r="H1985" s="82" t="str">
        <f aca="false">IF(C1985="","",IF(G1985="ACCEPTÉ","OUI","NON"))</f>
        <v>NON</v>
      </c>
      <c r="I1985" s="83"/>
      <c r="J1985" s="80"/>
      <c r="K1985" s="81"/>
      <c r="L1985" s="81"/>
      <c r="M1985" s="81"/>
      <c r="N1985" s="84" t="str">
        <f aca="false">IF(C1985="","",IF(P1985="","NJ INCONNU",IF(I1985="",IF(H1985="OUI","À ENROBER",IF(G1985="À SOUDER","NON SOUDÉ","EN ATTENTE RT")),IF(L1985="R","À REPRENDRE",IF(H1985&lt;&gt;"OUI","⚠ ENROBÉ AVANT ACCEPTATION RT","ENROBÉ")))))</f>
        <v>NON SOUDÉ</v>
      </c>
      <c r="O1985" s="80"/>
      <c r="P1985" s="82" t="n">
        <f aca="false">IF(C1985="","",IFERROR(MATCH(Q1985,'CARNET DE SOUDURE'!$AW$7:$AW$3006,0),""))</f>
        <v>1979</v>
      </c>
      <c r="Q1985" s="82" t="str">
        <f aca="false">IF(C1985="","",B1985&amp;"|"&amp;C1985)</f>
        <v>MFD-ISW → MFD-CPF|JN°1525</v>
      </c>
    </row>
    <row r="1986" customFormat="false" ht="74.6" hidden="false" customHeight="false" outlineLevel="0" collapsed="false">
      <c r="A1986" s="82" t="n">
        <f aca="false">IF(C1986="","",ROW()-6)</f>
        <v>1980</v>
      </c>
      <c r="B1986" s="80" t="s">
        <v>110</v>
      </c>
      <c r="C1986" s="113" t="s">
        <v>2419</v>
      </c>
      <c r="D1986" s="82" t="str">
        <f aca="false">IF(OR(C1986="",P1986=""),"",INDEX('CARNET DE SOUDURE'!$D$7:$D$3006,P1986)&amp;"")</f>
        <v>18</v>
      </c>
      <c r="E1986" s="114" t="str">
        <f aca="false">IF(OR(C1986="",P1986=""),"",IF(INDEX('CARNET DE SOUDURE'!$U$7:$U$3006,P1986)="","",INDEX('CARNET DE SOUDURE'!$U$7:$U$3006,P1986)))</f>
        <v/>
      </c>
      <c r="F1986" s="82" t="str">
        <f aca="false">IF(OR(C1986="",P1986=""),"",INDEX('CARNET DE SOUDURE'!$AP$7:$AP$3006,P1986))</f>
        <v/>
      </c>
      <c r="G1986" s="82" t="str">
        <f aca="false">IF(C1986="","",IF(P1986="","NJ INCONNU",INDEX('CARNET DE SOUDURE'!$AQ$7:$AQ$3006,P1986)))</f>
        <v>À SOUDER</v>
      </c>
      <c r="H1986" s="82" t="str">
        <f aca="false">IF(C1986="","",IF(G1986="ACCEPTÉ","OUI","NON"))</f>
        <v>NON</v>
      </c>
      <c r="I1986" s="83"/>
      <c r="J1986" s="80"/>
      <c r="K1986" s="81"/>
      <c r="L1986" s="81"/>
      <c r="M1986" s="81"/>
      <c r="N1986" s="84" t="str">
        <f aca="false">IF(C1986="","",IF(P1986="","NJ INCONNU",IF(I1986="",IF(H1986="OUI","À ENROBER",IF(G1986="À SOUDER","NON SOUDÉ","EN ATTENTE RT")),IF(L1986="R","À REPRENDRE",IF(H1986&lt;&gt;"OUI","⚠ ENROBÉ AVANT ACCEPTATION RT","ENROBÉ")))))</f>
        <v>NON SOUDÉ</v>
      </c>
      <c r="O1986" s="80"/>
      <c r="P1986" s="82" t="n">
        <f aca="false">IF(C1986="","",IFERROR(MATCH(Q1986,'CARNET DE SOUDURE'!$AW$7:$AW$3006,0),""))</f>
        <v>1980</v>
      </c>
      <c r="Q1986" s="82" t="str">
        <f aca="false">IF(C1986="","",B1986&amp;"|"&amp;C1986)</f>
        <v>MFD-ISW → MFD-CPF|JN°1526</v>
      </c>
    </row>
    <row r="1987" customFormat="false" ht="74.6" hidden="false" customHeight="false" outlineLevel="0" collapsed="false">
      <c r="A1987" s="82" t="n">
        <f aca="false">IF(C1987="","",ROW()-6)</f>
        <v>1981</v>
      </c>
      <c r="B1987" s="80" t="s">
        <v>110</v>
      </c>
      <c r="C1987" s="113" t="s">
        <v>2421</v>
      </c>
      <c r="D1987" s="82" t="str">
        <f aca="false">IF(OR(C1987="",P1987=""),"",INDEX('CARNET DE SOUDURE'!$D$7:$D$3006,P1987)&amp;"")</f>
        <v>18</v>
      </c>
      <c r="E1987" s="114" t="n">
        <f aca="false">IF(OR(C1987="",P1987=""),"",IF(INDEX('CARNET DE SOUDURE'!$U$7:$U$3006,P1987)="","",INDEX('CARNET DE SOUDURE'!$U$7:$U$3006,P1987)))</f>
        <v>46252</v>
      </c>
      <c r="F1987" s="82" t="str">
        <f aca="false">IF(OR(C1987="",P1987=""),"",INDEX('CARNET DE SOUDURE'!$AP$7:$AP$3006,P1987))</f>
        <v>A</v>
      </c>
      <c r="G1987" s="82" t="str">
        <f aca="false">IF(C1987="","",IF(P1987="","NJ INCONNU",INDEX('CARNET DE SOUDURE'!$AQ$7:$AQ$3006,P1987)))</f>
        <v>ACCEPTÉ</v>
      </c>
      <c r="H1987" s="82" t="str">
        <f aca="false">IF(C1987="","",IF(G1987="ACCEPTÉ","OUI","NON"))</f>
        <v>OUI</v>
      </c>
      <c r="I1987" s="83"/>
      <c r="J1987" s="80"/>
      <c r="K1987" s="81"/>
      <c r="L1987" s="81"/>
      <c r="M1987" s="81"/>
      <c r="N1987" s="84" t="str">
        <f aca="false">IF(C1987="","",IF(P1987="","NJ INCONNU",IF(I1987="",IF(H1987="OUI","À ENROBER",IF(G1987="À SOUDER","NON SOUDÉ","EN ATTENTE RT")),IF(L1987="R","À REPRENDRE",IF(H1987&lt;&gt;"OUI","⚠ ENROBÉ AVANT ACCEPTATION RT","ENROBÉ")))))</f>
        <v>À ENROBER</v>
      </c>
      <c r="O1987" s="80"/>
      <c r="P1987" s="82" t="n">
        <f aca="false">IF(C1987="","",IFERROR(MATCH(Q1987,'CARNET DE SOUDURE'!$AW$7:$AW$3006,0),""))</f>
        <v>1981</v>
      </c>
      <c r="Q1987" s="82" t="str">
        <f aca="false">IF(C1987="","",B1987&amp;"|"&amp;C1987)</f>
        <v>MFD-ISW → MFD-CPF|DJ°039</v>
      </c>
    </row>
    <row r="1988" customFormat="false" ht="74.6" hidden="false" customHeight="false" outlineLevel="0" collapsed="false">
      <c r="A1988" s="82" t="n">
        <f aca="false">IF(C1988="","",ROW()-6)</f>
        <v>1982</v>
      </c>
      <c r="B1988" s="80" t="s">
        <v>110</v>
      </c>
      <c r="C1988" s="113" t="s">
        <v>2422</v>
      </c>
      <c r="D1988" s="82" t="str">
        <f aca="false">IF(OR(C1988="",P1988=""),"",INDEX('CARNET DE SOUDURE'!$D$7:$D$3006,P1988)&amp;"")</f>
        <v>18</v>
      </c>
      <c r="E1988" s="114" t="n">
        <f aca="false">IF(OR(C1988="",P1988=""),"",IF(INDEX('CARNET DE SOUDURE'!$U$7:$U$3006,P1988)="","",INDEX('CARNET DE SOUDURE'!$U$7:$U$3006,P1988)))</f>
        <v>46287</v>
      </c>
      <c r="F1988" s="82" t="str">
        <f aca="false">IF(OR(C1988="",P1988=""),"",INDEX('CARNET DE SOUDURE'!$AP$7:$AP$3006,P1988))</f>
        <v/>
      </c>
      <c r="G1988" s="82" t="str">
        <f aca="false">IF(C1988="","",IF(P1988="","NJ INCONNU",INDEX('CARNET DE SOUDURE'!$AQ$7:$AQ$3006,P1988)))</f>
        <v>À RADIOGRAPHIER</v>
      </c>
      <c r="H1988" s="82" t="str">
        <f aca="false">IF(C1988="","",IF(G1988="ACCEPTÉ","OUI","NON"))</f>
        <v>NON</v>
      </c>
      <c r="I1988" s="83"/>
      <c r="J1988" s="80"/>
      <c r="K1988" s="81"/>
      <c r="L1988" s="81"/>
      <c r="M1988" s="81"/>
      <c r="N1988" s="84" t="str">
        <f aca="false">IF(C1988="","",IF(P1988="","NJ INCONNU",IF(I1988="",IF(H1988="OUI","À ENROBER",IF(G1988="À SOUDER","NON SOUDÉ","EN ATTENTE RT")),IF(L1988="R","À REPRENDRE",IF(H1988&lt;&gt;"OUI","⚠ ENROBÉ AVANT ACCEPTATION RT","ENROBÉ")))))</f>
        <v>EN ATTENTE RT</v>
      </c>
      <c r="O1988" s="80"/>
      <c r="P1988" s="82" t="n">
        <f aca="false">IF(C1988="","",IFERROR(MATCH(Q1988,'CARNET DE SOUDURE'!$AW$7:$AW$3006,0),""))</f>
        <v>1982</v>
      </c>
      <c r="Q1988" s="82" t="str">
        <f aca="false">IF(C1988="","",B1988&amp;"|"&amp;C1988)</f>
        <v>MFD-ISW → MFD-CPF|JN°1527R</v>
      </c>
    </row>
    <row r="1989" customFormat="false" ht="74.6" hidden="false" customHeight="false" outlineLevel="0" collapsed="false">
      <c r="A1989" s="82" t="n">
        <f aca="false">IF(C1989="","",ROW()-6)</f>
        <v>1983</v>
      </c>
      <c r="B1989" s="80" t="s">
        <v>110</v>
      </c>
      <c r="C1989" s="113" t="s">
        <v>2423</v>
      </c>
      <c r="D1989" s="82" t="str">
        <f aca="false">IF(OR(C1989="",P1989=""),"",INDEX('CARNET DE SOUDURE'!$D$7:$D$3006,P1989)&amp;"")</f>
        <v>18</v>
      </c>
      <c r="E1989" s="114" t="n">
        <f aca="false">IF(OR(C1989="",P1989=""),"",IF(INDEX('CARNET DE SOUDURE'!$U$7:$U$3006,P1989)="","",INDEX('CARNET DE SOUDURE'!$U$7:$U$3006,P1989)))</f>
        <v>46252</v>
      </c>
      <c r="F1989" s="82" t="str">
        <f aca="false">IF(OR(C1989="",P1989=""),"",INDEX('CARNET DE SOUDURE'!$AP$7:$AP$3006,P1989))</f>
        <v>A</v>
      </c>
      <c r="G1989" s="82" t="str">
        <f aca="false">IF(C1989="","",IF(P1989="","NJ INCONNU",INDEX('CARNET DE SOUDURE'!$AQ$7:$AQ$3006,P1989)))</f>
        <v>ACCEPTÉ</v>
      </c>
      <c r="H1989" s="82" t="str">
        <f aca="false">IF(C1989="","",IF(G1989="ACCEPTÉ","OUI","NON"))</f>
        <v>OUI</v>
      </c>
      <c r="I1989" s="83"/>
      <c r="J1989" s="80"/>
      <c r="K1989" s="81"/>
      <c r="L1989" s="81"/>
      <c r="M1989" s="81"/>
      <c r="N1989" s="84" t="str">
        <f aca="false">IF(C1989="","",IF(P1989="","NJ INCONNU",IF(I1989="",IF(H1989="OUI","À ENROBER",IF(G1989="À SOUDER","NON SOUDÉ","EN ATTENTE RT")),IF(L1989="R","À REPRENDRE",IF(H1989&lt;&gt;"OUI","⚠ ENROBÉ AVANT ACCEPTATION RT","ENROBÉ")))))</f>
        <v>À ENROBER</v>
      </c>
      <c r="O1989" s="80"/>
      <c r="P1989" s="82" t="n">
        <f aca="false">IF(C1989="","",IFERROR(MATCH(Q1989,'CARNET DE SOUDURE'!$AW$7:$AW$3006,0),""))</f>
        <v>1983</v>
      </c>
      <c r="Q1989" s="82" t="str">
        <f aca="false">IF(C1989="","",B1989&amp;"|"&amp;C1989)</f>
        <v>MFD-ISW → MFD-CPF|DJ°041</v>
      </c>
    </row>
    <row r="1990" customFormat="false" ht="74.6" hidden="false" customHeight="false" outlineLevel="0" collapsed="false">
      <c r="A1990" s="82" t="n">
        <f aca="false">IF(C1990="","",ROW()-6)</f>
        <v>1984</v>
      </c>
      <c r="B1990" s="80" t="s">
        <v>110</v>
      </c>
      <c r="C1990" s="113" t="s">
        <v>2424</v>
      </c>
      <c r="D1990" s="82" t="str">
        <f aca="false">IF(OR(C1990="",P1990=""),"",INDEX('CARNET DE SOUDURE'!$D$7:$D$3006,P1990)&amp;"")</f>
        <v>18</v>
      </c>
      <c r="E1990" s="114" t="n">
        <f aca="false">IF(OR(C1990="",P1990=""),"",IF(INDEX('CARNET DE SOUDURE'!$U$7:$U$3006,P1990)="","",INDEX('CARNET DE SOUDURE'!$U$7:$U$3006,P1990)))</f>
        <v>46268</v>
      </c>
      <c r="F1990" s="82" t="str">
        <f aca="false">IF(OR(C1990="",P1990=""),"",INDEX('CARNET DE SOUDURE'!$AP$7:$AP$3006,P1990))</f>
        <v>A</v>
      </c>
      <c r="G1990" s="82" t="str">
        <f aca="false">IF(C1990="","",IF(P1990="","NJ INCONNU",INDEX('CARNET DE SOUDURE'!$AQ$7:$AQ$3006,P1990)))</f>
        <v>ACCEPTÉ</v>
      </c>
      <c r="H1990" s="82" t="str">
        <f aca="false">IF(C1990="","",IF(G1990="ACCEPTÉ","OUI","NON"))</f>
        <v>OUI</v>
      </c>
      <c r="I1990" s="83"/>
      <c r="J1990" s="80"/>
      <c r="K1990" s="81"/>
      <c r="L1990" s="81"/>
      <c r="M1990" s="81"/>
      <c r="N1990" s="84" t="str">
        <f aca="false">IF(C1990="","",IF(P1990="","NJ INCONNU",IF(I1990="",IF(H1990="OUI","À ENROBER",IF(G1990="À SOUDER","NON SOUDÉ","EN ATTENTE RT")),IF(L1990="R","À REPRENDRE",IF(H1990&lt;&gt;"OUI","⚠ ENROBÉ AVANT ACCEPTATION RT","ENROBÉ")))))</f>
        <v>À ENROBER</v>
      </c>
      <c r="O1990" s="80"/>
      <c r="P1990" s="82" t="n">
        <f aca="false">IF(C1990="","",IFERROR(MATCH(Q1990,'CARNET DE SOUDURE'!$AW$7:$AW$3006,0),""))</f>
        <v>1984</v>
      </c>
      <c r="Q1990" s="82" t="str">
        <f aca="false">IF(C1990="","",B1990&amp;"|"&amp;C1990)</f>
        <v>MFD-ISW → MFD-CPF|JN°1528</v>
      </c>
    </row>
    <row r="1991" customFormat="false" ht="74.6" hidden="false" customHeight="false" outlineLevel="0" collapsed="false">
      <c r="A1991" s="82" t="n">
        <f aca="false">IF(C1991="","",ROW()-6)</f>
        <v>1985</v>
      </c>
      <c r="B1991" s="80" t="s">
        <v>110</v>
      </c>
      <c r="C1991" s="113" t="s">
        <v>2426</v>
      </c>
      <c r="D1991" s="82" t="str">
        <f aca="false">IF(OR(C1991="",P1991=""),"",INDEX('CARNET DE SOUDURE'!$D$7:$D$3006,P1991)&amp;"")</f>
        <v>18</v>
      </c>
      <c r="E1991" s="114" t="n">
        <f aca="false">IF(OR(C1991="",P1991=""),"",IF(INDEX('CARNET DE SOUDURE'!$U$7:$U$3006,P1991)="","",INDEX('CARNET DE SOUDURE'!$U$7:$U$3006,P1991)))</f>
        <v>46252</v>
      </c>
      <c r="F1991" s="82" t="str">
        <f aca="false">IF(OR(C1991="",P1991=""),"",INDEX('CARNET DE SOUDURE'!$AP$7:$AP$3006,P1991))</f>
        <v>A</v>
      </c>
      <c r="G1991" s="82" t="str">
        <f aca="false">IF(C1991="","",IF(P1991="","NJ INCONNU",INDEX('CARNET DE SOUDURE'!$AQ$7:$AQ$3006,P1991)))</f>
        <v>ACCEPTÉ</v>
      </c>
      <c r="H1991" s="82" t="str">
        <f aca="false">IF(C1991="","",IF(G1991="ACCEPTÉ","OUI","NON"))</f>
        <v>OUI</v>
      </c>
      <c r="I1991" s="83"/>
      <c r="J1991" s="80"/>
      <c r="K1991" s="81"/>
      <c r="L1991" s="81"/>
      <c r="M1991" s="81"/>
      <c r="N1991" s="84" t="str">
        <f aca="false">IF(C1991="","",IF(P1991="","NJ INCONNU",IF(I1991="",IF(H1991="OUI","À ENROBER",IF(G1991="À SOUDER","NON SOUDÉ","EN ATTENTE RT")),IF(L1991="R","À REPRENDRE",IF(H1991&lt;&gt;"OUI","⚠ ENROBÉ AVANT ACCEPTATION RT","ENROBÉ")))))</f>
        <v>À ENROBER</v>
      </c>
      <c r="O1991" s="80"/>
      <c r="P1991" s="82" t="n">
        <f aca="false">IF(C1991="","",IFERROR(MATCH(Q1991,'CARNET DE SOUDURE'!$AW$7:$AW$3006,0),""))</f>
        <v>1985</v>
      </c>
      <c r="Q1991" s="82" t="str">
        <f aca="false">IF(C1991="","",B1991&amp;"|"&amp;C1991)</f>
        <v>MFD-ISW → MFD-CPF|DJ°043</v>
      </c>
    </row>
    <row r="1992" customFormat="false" ht="74.6" hidden="false" customHeight="false" outlineLevel="0" collapsed="false">
      <c r="A1992" s="82" t="n">
        <f aca="false">IF(C1992="","",ROW()-6)</f>
        <v>1986</v>
      </c>
      <c r="B1992" s="80" t="s">
        <v>110</v>
      </c>
      <c r="C1992" s="113" t="s">
        <v>2427</v>
      </c>
      <c r="D1992" s="82" t="str">
        <f aca="false">IF(OR(C1992="",P1992=""),"",INDEX('CARNET DE SOUDURE'!$D$7:$D$3006,P1992)&amp;"")</f>
        <v>18</v>
      </c>
      <c r="E1992" s="114" t="n">
        <f aca="false">IF(OR(C1992="",P1992=""),"",IF(INDEX('CARNET DE SOUDURE'!$U$7:$U$3006,P1992)="","",INDEX('CARNET DE SOUDURE'!$U$7:$U$3006,P1992)))</f>
        <v>46268</v>
      </c>
      <c r="F1992" s="82" t="str">
        <f aca="false">IF(OR(C1992="",P1992=""),"",INDEX('CARNET DE SOUDURE'!$AP$7:$AP$3006,P1992))</f>
        <v>A</v>
      </c>
      <c r="G1992" s="82" t="str">
        <f aca="false">IF(C1992="","",IF(P1992="","NJ INCONNU",INDEX('CARNET DE SOUDURE'!$AQ$7:$AQ$3006,P1992)))</f>
        <v>ACCEPTÉ</v>
      </c>
      <c r="H1992" s="82" t="str">
        <f aca="false">IF(C1992="","",IF(G1992="ACCEPTÉ","OUI","NON"))</f>
        <v>OUI</v>
      </c>
      <c r="I1992" s="83"/>
      <c r="J1992" s="80"/>
      <c r="K1992" s="81"/>
      <c r="L1992" s="81"/>
      <c r="M1992" s="81"/>
      <c r="N1992" s="84" t="str">
        <f aca="false">IF(C1992="","",IF(P1992="","NJ INCONNU",IF(I1992="",IF(H1992="OUI","À ENROBER",IF(G1992="À SOUDER","NON SOUDÉ","EN ATTENTE RT")),IF(L1992="R","À REPRENDRE",IF(H1992&lt;&gt;"OUI","⚠ ENROBÉ AVANT ACCEPTATION RT","ENROBÉ")))))</f>
        <v>À ENROBER</v>
      </c>
      <c r="O1992" s="80"/>
      <c r="P1992" s="82" t="n">
        <f aca="false">IF(C1992="","",IFERROR(MATCH(Q1992,'CARNET DE SOUDURE'!$AW$7:$AW$3006,0),""))</f>
        <v>1986</v>
      </c>
      <c r="Q1992" s="82" t="str">
        <f aca="false">IF(C1992="","",B1992&amp;"|"&amp;C1992)</f>
        <v>MFD-ISW → MFD-CPF|JN°1529</v>
      </c>
    </row>
    <row r="1993" customFormat="false" ht="74.6" hidden="false" customHeight="false" outlineLevel="0" collapsed="false">
      <c r="A1993" s="82" t="n">
        <f aca="false">IF(C1993="","",ROW()-6)</f>
        <v>1987</v>
      </c>
      <c r="B1993" s="80" t="s">
        <v>110</v>
      </c>
      <c r="C1993" s="113" t="s">
        <v>2428</v>
      </c>
      <c r="D1993" s="82" t="str">
        <f aca="false">IF(OR(C1993="",P1993=""),"",INDEX('CARNET DE SOUDURE'!$D$7:$D$3006,P1993)&amp;"")</f>
        <v>18</v>
      </c>
      <c r="E1993" s="114" t="n">
        <f aca="false">IF(OR(C1993="",P1993=""),"",IF(INDEX('CARNET DE SOUDURE'!$U$7:$U$3006,P1993)="","",INDEX('CARNET DE SOUDURE'!$U$7:$U$3006,P1993)))</f>
        <v>46251</v>
      </c>
      <c r="F1993" s="82" t="str">
        <f aca="false">IF(OR(C1993="",P1993=""),"",INDEX('CARNET DE SOUDURE'!$AP$7:$AP$3006,P1993))</f>
        <v>A</v>
      </c>
      <c r="G1993" s="82" t="str">
        <f aca="false">IF(C1993="","",IF(P1993="","NJ INCONNU",INDEX('CARNET DE SOUDURE'!$AQ$7:$AQ$3006,P1993)))</f>
        <v>ACCEPTÉ</v>
      </c>
      <c r="H1993" s="82" t="str">
        <f aca="false">IF(C1993="","",IF(G1993="ACCEPTÉ","OUI","NON"))</f>
        <v>OUI</v>
      </c>
      <c r="I1993" s="83"/>
      <c r="J1993" s="80"/>
      <c r="K1993" s="81"/>
      <c r="L1993" s="81"/>
      <c r="M1993" s="81"/>
      <c r="N1993" s="84" t="str">
        <f aca="false">IF(C1993="","",IF(P1993="","NJ INCONNU",IF(I1993="",IF(H1993="OUI","À ENROBER",IF(G1993="À SOUDER","NON SOUDÉ","EN ATTENTE RT")),IF(L1993="R","À REPRENDRE",IF(H1993&lt;&gt;"OUI","⚠ ENROBÉ AVANT ACCEPTATION RT","ENROBÉ")))))</f>
        <v>À ENROBER</v>
      </c>
      <c r="O1993" s="80"/>
      <c r="P1993" s="82" t="n">
        <f aca="false">IF(C1993="","",IFERROR(MATCH(Q1993,'CARNET DE SOUDURE'!$AW$7:$AW$3006,0),""))</f>
        <v>1987</v>
      </c>
      <c r="Q1993" s="82" t="str">
        <f aca="false">IF(C1993="","",B1993&amp;"|"&amp;C1993)</f>
        <v>MFD-ISW → MFD-CPF|DJ°030</v>
      </c>
    </row>
    <row r="1994" customFormat="false" ht="74.6" hidden="false" customHeight="false" outlineLevel="0" collapsed="false">
      <c r="A1994" s="82" t="n">
        <f aca="false">IF(C1994="","",ROW()-6)</f>
        <v>1988</v>
      </c>
      <c r="B1994" s="80" t="s">
        <v>110</v>
      </c>
      <c r="C1994" s="113" t="s">
        <v>2429</v>
      </c>
      <c r="D1994" s="82" t="str">
        <f aca="false">IF(OR(C1994="",P1994=""),"",INDEX('CARNET DE SOUDURE'!$D$7:$D$3006,P1994)&amp;"")</f>
        <v>18</v>
      </c>
      <c r="E1994" s="114" t="n">
        <f aca="false">IF(OR(C1994="",P1994=""),"",IF(INDEX('CARNET DE SOUDURE'!$U$7:$U$3006,P1994)="","",INDEX('CARNET DE SOUDURE'!$U$7:$U$3006,P1994)))</f>
        <v>46268</v>
      </c>
      <c r="F1994" s="82" t="str">
        <f aca="false">IF(OR(C1994="",P1994=""),"",INDEX('CARNET DE SOUDURE'!$AP$7:$AP$3006,P1994))</f>
        <v>A</v>
      </c>
      <c r="G1994" s="82" t="str">
        <f aca="false">IF(C1994="","",IF(P1994="","NJ INCONNU",INDEX('CARNET DE SOUDURE'!$AQ$7:$AQ$3006,P1994)))</f>
        <v>ACCEPTÉ</v>
      </c>
      <c r="H1994" s="82" t="str">
        <f aca="false">IF(C1994="","",IF(G1994="ACCEPTÉ","OUI","NON"))</f>
        <v>OUI</v>
      </c>
      <c r="I1994" s="83"/>
      <c r="J1994" s="80"/>
      <c r="K1994" s="81"/>
      <c r="L1994" s="81"/>
      <c r="M1994" s="81"/>
      <c r="N1994" s="84" t="str">
        <f aca="false">IF(C1994="","",IF(P1994="","NJ INCONNU",IF(I1994="",IF(H1994="OUI","À ENROBER",IF(G1994="À SOUDER","NON SOUDÉ","EN ATTENTE RT")),IF(L1994="R","À REPRENDRE",IF(H1994&lt;&gt;"OUI","⚠ ENROBÉ AVANT ACCEPTATION RT","ENROBÉ")))))</f>
        <v>À ENROBER</v>
      </c>
      <c r="O1994" s="80"/>
      <c r="P1994" s="82" t="n">
        <f aca="false">IF(C1994="","",IFERROR(MATCH(Q1994,'CARNET DE SOUDURE'!$AW$7:$AW$3006,0),""))</f>
        <v>1988</v>
      </c>
      <c r="Q1994" s="82" t="str">
        <f aca="false">IF(C1994="","",B1994&amp;"|"&amp;C1994)</f>
        <v>MFD-ISW → MFD-CPF|JN°1530</v>
      </c>
    </row>
    <row r="1995" customFormat="false" ht="74.6" hidden="false" customHeight="false" outlineLevel="0" collapsed="false">
      <c r="A1995" s="82" t="n">
        <f aca="false">IF(C1995="","",ROW()-6)</f>
        <v>1989</v>
      </c>
      <c r="B1995" s="80" t="s">
        <v>110</v>
      </c>
      <c r="C1995" s="113" t="s">
        <v>2430</v>
      </c>
      <c r="D1995" s="82" t="str">
        <f aca="false">IF(OR(C1995="",P1995=""),"",INDEX('CARNET DE SOUDURE'!$D$7:$D$3006,P1995)&amp;"")</f>
        <v>18</v>
      </c>
      <c r="E1995" s="114" t="n">
        <f aca="false">IF(OR(C1995="",P1995=""),"",IF(INDEX('CARNET DE SOUDURE'!$U$7:$U$3006,P1995)="","",INDEX('CARNET DE SOUDURE'!$U$7:$U$3006,P1995)))</f>
        <v>46252</v>
      </c>
      <c r="F1995" s="82" t="str">
        <f aca="false">IF(OR(C1995="",P1995=""),"",INDEX('CARNET DE SOUDURE'!$AP$7:$AP$3006,P1995))</f>
        <v>A</v>
      </c>
      <c r="G1995" s="82" t="str">
        <f aca="false">IF(C1995="","",IF(P1995="","NJ INCONNU",INDEX('CARNET DE SOUDURE'!$AQ$7:$AQ$3006,P1995)))</f>
        <v>ACCEPTÉ</v>
      </c>
      <c r="H1995" s="82" t="str">
        <f aca="false">IF(C1995="","",IF(G1995="ACCEPTÉ","OUI","NON"))</f>
        <v>OUI</v>
      </c>
      <c r="I1995" s="83"/>
      <c r="J1995" s="80"/>
      <c r="K1995" s="81"/>
      <c r="L1995" s="81"/>
      <c r="M1995" s="81"/>
      <c r="N1995" s="84" t="str">
        <f aca="false">IF(C1995="","",IF(P1995="","NJ INCONNU",IF(I1995="",IF(H1995="OUI","À ENROBER",IF(G1995="À SOUDER","NON SOUDÉ","EN ATTENTE RT")),IF(L1995="R","À REPRENDRE",IF(H1995&lt;&gt;"OUI","⚠ ENROBÉ AVANT ACCEPTATION RT","ENROBÉ")))))</f>
        <v>À ENROBER</v>
      </c>
      <c r="O1995" s="80"/>
      <c r="P1995" s="82" t="n">
        <f aca="false">IF(C1995="","",IFERROR(MATCH(Q1995,'CARNET DE SOUDURE'!$AW$7:$AW$3006,0),""))</f>
        <v>1989</v>
      </c>
      <c r="Q1995" s="82" t="str">
        <f aca="false">IF(C1995="","",B1995&amp;"|"&amp;C1995)</f>
        <v>MFD-ISW → MFD-CPF|DJ°042</v>
      </c>
    </row>
    <row r="1996" customFormat="false" ht="74.6" hidden="false" customHeight="false" outlineLevel="0" collapsed="false">
      <c r="A1996" s="82" t="n">
        <f aca="false">IF(C1996="","",ROW()-6)</f>
        <v>1990</v>
      </c>
      <c r="B1996" s="80" t="s">
        <v>110</v>
      </c>
      <c r="C1996" s="113" t="s">
        <v>2431</v>
      </c>
      <c r="D1996" s="82" t="str">
        <f aca="false">IF(OR(C1996="",P1996=""),"",INDEX('CARNET DE SOUDURE'!$D$7:$D$3006,P1996)&amp;"")</f>
        <v>18</v>
      </c>
      <c r="E1996" s="114" t="n">
        <f aca="false">IF(OR(C1996="",P1996=""),"",IF(INDEX('CARNET DE SOUDURE'!$U$7:$U$3006,P1996)="","",INDEX('CARNET DE SOUDURE'!$U$7:$U$3006,P1996)))</f>
        <v>46267</v>
      </c>
      <c r="F1996" s="82" t="str">
        <f aca="false">IF(OR(C1996="",P1996=""),"",INDEX('CARNET DE SOUDURE'!$AP$7:$AP$3006,P1996))</f>
        <v>A</v>
      </c>
      <c r="G1996" s="82" t="str">
        <f aca="false">IF(C1996="","",IF(P1996="","NJ INCONNU",INDEX('CARNET DE SOUDURE'!$AQ$7:$AQ$3006,P1996)))</f>
        <v>ACCEPTÉ</v>
      </c>
      <c r="H1996" s="82" t="str">
        <f aca="false">IF(C1996="","",IF(G1996="ACCEPTÉ","OUI","NON"))</f>
        <v>OUI</v>
      </c>
      <c r="I1996" s="83"/>
      <c r="J1996" s="80"/>
      <c r="K1996" s="81"/>
      <c r="L1996" s="81"/>
      <c r="M1996" s="81"/>
      <c r="N1996" s="84" t="str">
        <f aca="false">IF(C1996="","",IF(P1996="","NJ INCONNU",IF(I1996="",IF(H1996="OUI","À ENROBER",IF(G1996="À SOUDER","NON SOUDÉ","EN ATTENTE RT")),IF(L1996="R","À REPRENDRE",IF(H1996&lt;&gt;"OUI","⚠ ENROBÉ AVANT ACCEPTATION RT","ENROBÉ")))))</f>
        <v>À ENROBER</v>
      </c>
      <c r="O1996" s="80"/>
      <c r="P1996" s="82" t="n">
        <f aca="false">IF(C1996="","",IFERROR(MATCH(Q1996,'CARNET DE SOUDURE'!$AW$7:$AW$3006,0),""))</f>
        <v>1990</v>
      </c>
      <c r="Q1996" s="82" t="str">
        <f aca="false">IF(C1996="","",B1996&amp;"|"&amp;C1996)</f>
        <v>MFD-ISW → MFD-CPF|JN°1531</v>
      </c>
    </row>
    <row r="1997" customFormat="false" ht="74.6" hidden="false" customHeight="false" outlineLevel="0" collapsed="false">
      <c r="A1997" s="82" t="n">
        <f aca="false">IF(C1997="","",ROW()-6)</f>
        <v>1991</v>
      </c>
      <c r="B1997" s="80" t="s">
        <v>110</v>
      </c>
      <c r="C1997" s="113" t="s">
        <v>2433</v>
      </c>
      <c r="D1997" s="82" t="str">
        <f aca="false">IF(OR(C1997="",P1997=""),"",INDEX('CARNET DE SOUDURE'!$D$7:$D$3006,P1997)&amp;"")</f>
        <v>18</v>
      </c>
      <c r="E1997" s="114" t="n">
        <f aca="false">IF(OR(C1997="",P1997=""),"",IF(INDEX('CARNET DE SOUDURE'!$U$7:$U$3006,P1997)="","",INDEX('CARNET DE SOUDURE'!$U$7:$U$3006,P1997)))</f>
        <v>46253</v>
      </c>
      <c r="F1997" s="82" t="str">
        <f aca="false">IF(OR(C1997="",P1997=""),"",INDEX('CARNET DE SOUDURE'!$AP$7:$AP$3006,P1997))</f>
        <v>A</v>
      </c>
      <c r="G1997" s="82" t="str">
        <f aca="false">IF(C1997="","",IF(P1997="","NJ INCONNU",INDEX('CARNET DE SOUDURE'!$AQ$7:$AQ$3006,P1997)))</f>
        <v>ACCEPTÉ</v>
      </c>
      <c r="H1997" s="82" t="str">
        <f aca="false">IF(C1997="","",IF(G1997="ACCEPTÉ","OUI","NON"))</f>
        <v>OUI</v>
      </c>
      <c r="I1997" s="83"/>
      <c r="J1997" s="80"/>
      <c r="K1997" s="81"/>
      <c r="L1997" s="81"/>
      <c r="M1997" s="81"/>
      <c r="N1997" s="84" t="str">
        <f aca="false">IF(C1997="","",IF(P1997="","NJ INCONNU",IF(I1997="",IF(H1997="OUI","À ENROBER",IF(G1997="À SOUDER","NON SOUDÉ","EN ATTENTE RT")),IF(L1997="R","À REPRENDRE",IF(H1997&lt;&gt;"OUI","⚠ ENROBÉ AVANT ACCEPTATION RT","ENROBÉ")))))</f>
        <v>À ENROBER</v>
      </c>
      <c r="O1997" s="80"/>
      <c r="P1997" s="82" t="n">
        <f aca="false">IF(C1997="","",IFERROR(MATCH(Q1997,'CARNET DE SOUDURE'!$AW$7:$AW$3006,0),""))</f>
        <v>1991</v>
      </c>
      <c r="Q1997" s="82" t="str">
        <f aca="false">IF(C1997="","",B1997&amp;"|"&amp;C1997)</f>
        <v>MFD-ISW → MFD-CPF|DJ°055</v>
      </c>
    </row>
    <row r="1998" customFormat="false" ht="74.6" hidden="false" customHeight="false" outlineLevel="0" collapsed="false">
      <c r="A1998" s="82" t="n">
        <f aca="false">IF(C1998="","",ROW()-6)</f>
        <v>1992</v>
      </c>
      <c r="B1998" s="80" t="s">
        <v>110</v>
      </c>
      <c r="C1998" s="113" t="s">
        <v>2434</v>
      </c>
      <c r="D1998" s="82" t="str">
        <f aca="false">IF(OR(C1998="",P1998=""),"",INDEX('CARNET DE SOUDURE'!$D$7:$D$3006,P1998)&amp;"")</f>
        <v>18</v>
      </c>
      <c r="E1998" s="114" t="n">
        <f aca="false">IF(OR(C1998="",P1998=""),"",IF(INDEX('CARNET DE SOUDURE'!$U$7:$U$3006,P1998)="","",INDEX('CARNET DE SOUDURE'!$U$7:$U$3006,P1998)))</f>
        <v>46287</v>
      </c>
      <c r="F1998" s="82" t="str">
        <f aca="false">IF(OR(C1998="",P1998=""),"",INDEX('CARNET DE SOUDURE'!$AP$7:$AP$3006,P1998))</f>
        <v/>
      </c>
      <c r="G1998" s="82" t="str">
        <f aca="false">IF(C1998="","",IF(P1998="","NJ INCONNU",INDEX('CARNET DE SOUDURE'!$AQ$7:$AQ$3006,P1998)))</f>
        <v>À RADIOGRAPHIER</v>
      </c>
      <c r="H1998" s="82" t="str">
        <f aca="false">IF(C1998="","",IF(G1998="ACCEPTÉ","OUI","NON"))</f>
        <v>NON</v>
      </c>
      <c r="I1998" s="83"/>
      <c r="J1998" s="80"/>
      <c r="K1998" s="81"/>
      <c r="L1998" s="81"/>
      <c r="M1998" s="81"/>
      <c r="N1998" s="84" t="str">
        <f aca="false">IF(C1998="","",IF(P1998="","NJ INCONNU",IF(I1998="",IF(H1998="OUI","À ENROBER",IF(G1998="À SOUDER","NON SOUDÉ","EN ATTENTE RT")),IF(L1998="R","À REPRENDRE",IF(H1998&lt;&gt;"OUI","⚠ ENROBÉ AVANT ACCEPTATION RT","ENROBÉ")))))</f>
        <v>EN ATTENTE RT</v>
      </c>
      <c r="O1998" s="80"/>
      <c r="P1998" s="82" t="n">
        <f aca="false">IF(C1998="","",IFERROR(MATCH(Q1998,'CARNET DE SOUDURE'!$AW$7:$AW$3006,0),""))</f>
        <v>1992</v>
      </c>
      <c r="Q1998" s="82" t="str">
        <f aca="false">IF(C1998="","",B1998&amp;"|"&amp;C1998)</f>
        <v>MFD-ISW → MFD-CPF|JN°1532R</v>
      </c>
    </row>
    <row r="1999" customFormat="false" ht="74.6" hidden="false" customHeight="false" outlineLevel="0" collapsed="false">
      <c r="A1999" s="82" t="n">
        <f aca="false">IF(C1999="","",ROW()-6)</f>
        <v>1993</v>
      </c>
      <c r="B1999" s="80" t="s">
        <v>110</v>
      </c>
      <c r="C1999" s="113" t="s">
        <v>2435</v>
      </c>
      <c r="D1999" s="82" t="str">
        <f aca="false">IF(OR(C1999="",P1999=""),"",INDEX('CARNET DE SOUDURE'!$D$7:$D$3006,P1999)&amp;"")</f>
        <v>18</v>
      </c>
      <c r="E1999" s="114" t="n">
        <f aca="false">IF(OR(C1999="",P1999=""),"",IF(INDEX('CARNET DE SOUDURE'!$U$7:$U$3006,P1999)="","",INDEX('CARNET DE SOUDURE'!$U$7:$U$3006,P1999)))</f>
        <v>46254</v>
      </c>
      <c r="F1999" s="82" t="str">
        <f aca="false">IF(OR(C1999="",P1999=""),"",INDEX('CARNET DE SOUDURE'!$AP$7:$AP$3006,P1999))</f>
        <v>A</v>
      </c>
      <c r="G1999" s="82" t="str">
        <f aca="false">IF(C1999="","",IF(P1999="","NJ INCONNU",INDEX('CARNET DE SOUDURE'!$AQ$7:$AQ$3006,P1999)))</f>
        <v>ACCEPTÉ</v>
      </c>
      <c r="H1999" s="82" t="str">
        <f aca="false">IF(C1999="","",IF(G1999="ACCEPTÉ","OUI","NON"))</f>
        <v>OUI</v>
      </c>
      <c r="I1999" s="83"/>
      <c r="J1999" s="80"/>
      <c r="K1999" s="81"/>
      <c r="L1999" s="81"/>
      <c r="M1999" s="81"/>
      <c r="N1999" s="84" t="str">
        <f aca="false">IF(C1999="","",IF(P1999="","NJ INCONNU",IF(I1999="",IF(H1999="OUI","À ENROBER",IF(G1999="À SOUDER","NON SOUDÉ","EN ATTENTE RT")),IF(L1999="R","À REPRENDRE",IF(H1999&lt;&gt;"OUI","⚠ ENROBÉ AVANT ACCEPTATION RT","ENROBÉ")))))</f>
        <v>À ENROBER</v>
      </c>
      <c r="O1999" s="80"/>
      <c r="P1999" s="82" t="n">
        <f aca="false">IF(C1999="","",IFERROR(MATCH(Q1999,'CARNET DE SOUDURE'!$AW$7:$AW$3006,0),""))</f>
        <v>1993</v>
      </c>
      <c r="Q1999" s="82" t="str">
        <f aca="false">IF(C1999="","",B1999&amp;"|"&amp;C1999)</f>
        <v>MFD-ISW → MFD-CPF|DJ°064</v>
      </c>
    </row>
    <row r="2000" customFormat="false" ht="74.6" hidden="false" customHeight="false" outlineLevel="0" collapsed="false">
      <c r="A2000" s="82" t="n">
        <f aca="false">IF(C2000="","",ROW()-6)</f>
        <v>1994</v>
      </c>
      <c r="B2000" s="80" t="s">
        <v>110</v>
      </c>
      <c r="C2000" s="113" t="s">
        <v>2436</v>
      </c>
      <c r="D2000" s="82" t="str">
        <f aca="false">IF(OR(C2000="",P2000=""),"",INDEX('CARNET DE SOUDURE'!$D$7:$D$3006,P2000)&amp;"")</f>
        <v>18</v>
      </c>
      <c r="E2000" s="114" t="n">
        <f aca="false">IF(OR(C2000="",P2000=""),"",IF(INDEX('CARNET DE SOUDURE'!$U$7:$U$3006,P2000)="","",INDEX('CARNET DE SOUDURE'!$U$7:$U$3006,P2000)))</f>
        <v>46267</v>
      </c>
      <c r="F2000" s="82" t="str">
        <f aca="false">IF(OR(C2000="",P2000=""),"",INDEX('CARNET DE SOUDURE'!$AP$7:$AP$3006,P2000))</f>
        <v>A</v>
      </c>
      <c r="G2000" s="82" t="str">
        <f aca="false">IF(C2000="","",IF(P2000="","NJ INCONNU",INDEX('CARNET DE SOUDURE'!$AQ$7:$AQ$3006,P2000)))</f>
        <v>ACCEPTÉ</v>
      </c>
      <c r="H2000" s="82" t="str">
        <f aca="false">IF(C2000="","",IF(G2000="ACCEPTÉ","OUI","NON"))</f>
        <v>OUI</v>
      </c>
      <c r="I2000" s="83"/>
      <c r="J2000" s="80"/>
      <c r="K2000" s="81"/>
      <c r="L2000" s="81"/>
      <c r="M2000" s="81"/>
      <c r="N2000" s="84" t="str">
        <f aca="false">IF(C2000="","",IF(P2000="","NJ INCONNU",IF(I2000="",IF(H2000="OUI","À ENROBER",IF(G2000="À SOUDER","NON SOUDÉ","EN ATTENTE RT")),IF(L2000="R","À REPRENDRE",IF(H2000&lt;&gt;"OUI","⚠ ENROBÉ AVANT ACCEPTATION RT","ENROBÉ")))))</f>
        <v>À ENROBER</v>
      </c>
      <c r="O2000" s="80"/>
      <c r="P2000" s="82" t="n">
        <f aca="false">IF(C2000="","",IFERROR(MATCH(Q2000,'CARNET DE SOUDURE'!$AW$7:$AW$3006,0),""))</f>
        <v>1994</v>
      </c>
      <c r="Q2000" s="82" t="str">
        <f aca="false">IF(C2000="","",B2000&amp;"|"&amp;C2000)</f>
        <v>MFD-ISW → MFD-CPF|JN°1533</v>
      </c>
    </row>
    <row r="2001" customFormat="false" ht="74.6" hidden="false" customHeight="false" outlineLevel="0" collapsed="false">
      <c r="A2001" s="82" t="n">
        <f aca="false">IF(C2001="","",ROW()-6)</f>
        <v>1995</v>
      </c>
      <c r="B2001" s="80" t="s">
        <v>110</v>
      </c>
      <c r="C2001" s="113" t="s">
        <v>2437</v>
      </c>
      <c r="D2001" s="82" t="str">
        <f aca="false">IF(OR(C2001="",P2001=""),"",INDEX('CARNET DE SOUDURE'!$D$7:$D$3006,P2001)&amp;"")</f>
        <v>18</v>
      </c>
      <c r="E2001" s="114" t="n">
        <f aca="false">IF(OR(C2001="",P2001=""),"",IF(INDEX('CARNET DE SOUDURE'!$U$7:$U$3006,P2001)="","",INDEX('CARNET DE SOUDURE'!$U$7:$U$3006,P2001)))</f>
        <v>46254</v>
      </c>
      <c r="F2001" s="82" t="str">
        <f aca="false">IF(OR(C2001="",P2001=""),"",INDEX('CARNET DE SOUDURE'!$AP$7:$AP$3006,P2001))</f>
        <v>A</v>
      </c>
      <c r="G2001" s="82" t="str">
        <f aca="false">IF(C2001="","",IF(P2001="","NJ INCONNU",INDEX('CARNET DE SOUDURE'!$AQ$7:$AQ$3006,P2001)))</f>
        <v>ACCEPTÉ</v>
      </c>
      <c r="H2001" s="82" t="str">
        <f aca="false">IF(C2001="","",IF(G2001="ACCEPTÉ","OUI","NON"))</f>
        <v>OUI</v>
      </c>
      <c r="I2001" s="83"/>
      <c r="J2001" s="80"/>
      <c r="K2001" s="81"/>
      <c r="L2001" s="81"/>
      <c r="M2001" s="81"/>
      <c r="N2001" s="84" t="str">
        <f aca="false">IF(C2001="","",IF(P2001="","NJ INCONNU",IF(I2001="",IF(H2001="OUI","À ENROBER",IF(G2001="À SOUDER","NON SOUDÉ","EN ATTENTE RT")),IF(L2001="R","À REPRENDRE",IF(H2001&lt;&gt;"OUI","⚠ ENROBÉ AVANT ACCEPTATION RT","ENROBÉ")))))</f>
        <v>À ENROBER</v>
      </c>
      <c r="O2001" s="80"/>
      <c r="P2001" s="82" t="n">
        <f aca="false">IF(C2001="","",IFERROR(MATCH(Q2001,'CARNET DE SOUDURE'!$AW$7:$AW$3006,0),""))</f>
        <v>1995</v>
      </c>
      <c r="Q2001" s="82" t="str">
        <f aca="false">IF(C2001="","",B2001&amp;"|"&amp;C2001)</f>
        <v>MFD-ISW → MFD-CPF|DJ°065</v>
      </c>
    </row>
    <row r="2002" customFormat="false" ht="74.6" hidden="false" customHeight="false" outlineLevel="0" collapsed="false">
      <c r="A2002" s="82" t="n">
        <f aca="false">IF(C2002="","",ROW()-6)</f>
        <v>1996</v>
      </c>
      <c r="B2002" s="80" t="s">
        <v>110</v>
      </c>
      <c r="C2002" s="113" t="s">
        <v>2438</v>
      </c>
      <c r="D2002" s="82" t="str">
        <f aca="false">IF(OR(C2002="",P2002=""),"",INDEX('CARNET DE SOUDURE'!$D$7:$D$3006,P2002)&amp;"")</f>
        <v>18</v>
      </c>
      <c r="E2002" s="114" t="n">
        <f aca="false">IF(OR(C2002="",P2002=""),"",IF(INDEX('CARNET DE SOUDURE'!$U$7:$U$3006,P2002)="","",INDEX('CARNET DE SOUDURE'!$U$7:$U$3006,P2002)))</f>
        <v>46267</v>
      </c>
      <c r="F2002" s="82" t="str">
        <f aca="false">IF(OR(C2002="",P2002=""),"",INDEX('CARNET DE SOUDURE'!$AP$7:$AP$3006,P2002))</f>
        <v>A</v>
      </c>
      <c r="G2002" s="82" t="str">
        <f aca="false">IF(C2002="","",IF(P2002="","NJ INCONNU",INDEX('CARNET DE SOUDURE'!$AQ$7:$AQ$3006,P2002)))</f>
        <v>ACCEPTÉ</v>
      </c>
      <c r="H2002" s="82" t="str">
        <f aca="false">IF(C2002="","",IF(G2002="ACCEPTÉ","OUI","NON"))</f>
        <v>OUI</v>
      </c>
      <c r="I2002" s="83"/>
      <c r="J2002" s="80"/>
      <c r="K2002" s="81"/>
      <c r="L2002" s="81"/>
      <c r="M2002" s="81"/>
      <c r="N2002" s="84" t="str">
        <f aca="false">IF(C2002="","",IF(P2002="","NJ INCONNU",IF(I2002="",IF(H2002="OUI","À ENROBER",IF(G2002="À SOUDER","NON SOUDÉ","EN ATTENTE RT")),IF(L2002="R","À REPRENDRE",IF(H2002&lt;&gt;"OUI","⚠ ENROBÉ AVANT ACCEPTATION RT","ENROBÉ")))))</f>
        <v>À ENROBER</v>
      </c>
      <c r="O2002" s="80"/>
      <c r="P2002" s="82" t="n">
        <f aca="false">IF(C2002="","",IFERROR(MATCH(Q2002,'CARNET DE SOUDURE'!$AW$7:$AW$3006,0),""))</f>
        <v>1996</v>
      </c>
      <c r="Q2002" s="82" t="str">
        <f aca="false">IF(C2002="","",B2002&amp;"|"&amp;C2002)</f>
        <v>MFD-ISW → MFD-CPF|JN°1534</v>
      </c>
    </row>
    <row r="2003" customFormat="false" ht="74.6" hidden="false" customHeight="false" outlineLevel="0" collapsed="false">
      <c r="A2003" s="82" t="n">
        <f aca="false">IF(C2003="","",ROW()-6)</f>
        <v>1997</v>
      </c>
      <c r="B2003" s="80" t="s">
        <v>110</v>
      </c>
      <c r="C2003" s="113" t="s">
        <v>2439</v>
      </c>
      <c r="D2003" s="82" t="str">
        <f aca="false">IF(OR(C2003="",P2003=""),"",INDEX('CARNET DE SOUDURE'!$D$7:$D$3006,P2003)&amp;"")</f>
        <v>18</v>
      </c>
      <c r="E2003" s="114" t="n">
        <f aca="false">IF(OR(C2003="",P2003=""),"",IF(INDEX('CARNET DE SOUDURE'!$U$7:$U$3006,P2003)="","",INDEX('CARNET DE SOUDURE'!$U$7:$U$3006,P2003)))</f>
        <v>46254</v>
      </c>
      <c r="F2003" s="82" t="str">
        <f aca="false">IF(OR(C2003="",P2003=""),"",INDEX('CARNET DE SOUDURE'!$AP$7:$AP$3006,P2003))</f>
        <v>A</v>
      </c>
      <c r="G2003" s="82" t="str">
        <f aca="false">IF(C2003="","",IF(P2003="","NJ INCONNU",INDEX('CARNET DE SOUDURE'!$AQ$7:$AQ$3006,P2003)))</f>
        <v>ACCEPTÉ</v>
      </c>
      <c r="H2003" s="82" t="str">
        <f aca="false">IF(C2003="","",IF(G2003="ACCEPTÉ","OUI","NON"))</f>
        <v>OUI</v>
      </c>
      <c r="I2003" s="83"/>
      <c r="J2003" s="80"/>
      <c r="K2003" s="81"/>
      <c r="L2003" s="81"/>
      <c r="M2003" s="81"/>
      <c r="N2003" s="84" t="str">
        <f aca="false">IF(C2003="","",IF(P2003="","NJ INCONNU",IF(I2003="",IF(H2003="OUI","À ENROBER",IF(G2003="À SOUDER","NON SOUDÉ","EN ATTENTE RT")),IF(L2003="R","À REPRENDRE",IF(H2003&lt;&gt;"OUI","⚠ ENROBÉ AVANT ACCEPTATION RT","ENROBÉ")))))</f>
        <v>À ENROBER</v>
      </c>
      <c r="O2003" s="80"/>
      <c r="P2003" s="82" t="n">
        <f aca="false">IF(C2003="","",IFERROR(MATCH(Q2003,'CARNET DE SOUDURE'!$AW$7:$AW$3006,0),""))</f>
        <v>1997</v>
      </c>
      <c r="Q2003" s="82" t="str">
        <f aca="false">IF(C2003="","",B2003&amp;"|"&amp;C2003)</f>
        <v>MFD-ISW → MFD-CPF|DJ°074</v>
      </c>
    </row>
    <row r="2004" customFormat="false" ht="74.6" hidden="false" customHeight="false" outlineLevel="0" collapsed="false">
      <c r="A2004" s="82" t="n">
        <f aca="false">IF(C2004="","",ROW()-6)</f>
        <v>1998</v>
      </c>
      <c r="B2004" s="80" t="s">
        <v>110</v>
      </c>
      <c r="C2004" s="113" t="s">
        <v>2440</v>
      </c>
      <c r="D2004" s="82" t="str">
        <f aca="false">IF(OR(C2004="",P2004=""),"",INDEX('CARNET DE SOUDURE'!$D$7:$D$3006,P2004)&amp;"")</f>
        <v>18</v>
      </c>
      <c r="E2004" s="114" t="n">
        <f aca="false">IF(OR(C2004="",P2004=""),"",IF(INDEX('CARNET DE SOUDURE'!$U$7:$U$3006,P2004)="","",INDEX('CARNET DE SOUDURE'!$U$7:$U$3006,P2004)))</f>
        <v>46267</v>
      </c>
      <c r="F2004" s="82" t="str">
        <f aca="false">IF(OR(C2004="",P2004=""),"",INDEX('CARNET DE SOUDURE'!$AP$7:$AP$3006,P2004))</f>
        <v>A</v>
      </c>
      <c r="G2004" s="82" t="str">
        <f aca="false">IF(C2004="","",IF(P2004="","NJ INCONNU",INDEX('CARNET DE SOUDURE'!$AQ$7:$AQ$3006,P2004)))</f>
        <v>ACCEPTÉ</v>
      </c>
      <c r="H2004" s="82" t="str">
        <f aca="false">IF(C2004="","",IF(G2004="ACCEPTÉ","OUI","NON"))</f>
        <v>OUI</v>
      </c>
      <c r="I2004" s="83"/>
      <c r="J2004" s="80"/>
      <c r="K2004" s="81"/>
      <c r="L2004" s="81"/>
      <c r="M2004" s="81"/>
      <c r="N2004" s="84" t="str">
        <f aca="false">IF(C2004="","",IF(P2004="","NJ INCONNU",IF(I2004="",IF(H2004="OUI","À ENROBER",IF(G2004="À SOUDER","NON SOUDÉ","EN ATTENTE RT")),IF(L2004="R","À REPRENDRE",IF(H2004&lt;&gt;"OUI","⚠ ENROBÉ AVANT ACCEPTATION RT","ENROBÉ")))))</f>
        <v>À ENROBER</v>
      </c>
      <c r="O2004" s="80"/>
      <c r="P2004" s="82" t="n">
        <f aca="false">IF(C2004="","",IFERROR(MATCH(Q2004,'CARNET DE SOUDURE'!$AW$7:$AW$3006,0),""))</f>
        <v>1998</v>
      </c>
      <c r="Q2004" s="82" t="str">
        <f aca="false">IF(C2004="","",B2004&amp;"|"&amp;C2004)</f>
        <v>MFD-ISW → MFD-CPF|JN°1535</v>
      </c>
    </row>
    <row r="2005" customFormat="false" ht="74.6" hidden="false" customHeight="false" outlineLevel="0" collapsed="false">
      <c r="A2005" s="82" t="n">
        <f aca="false">IF(C2005="","",ROW()-6)</f>
        <v>1999</v>
      </c>
      <c r="B2005" s="80" t="s">
        <v>110</v>
      </c>
      <c r="C2005" s="113" t="s">
        <v>2441</v>
      </c>
      <c r="D2005" s="82" t="str">
        <f aca="false">IF(OR(C2005="",P2005=""),"",INDEX('CARNET DE SOUDURE'!$D$7:$D$3006,P2005)&amp;"")</f>
        <v>18</v>
      </c>
      <c r="E2005" s="114" t="n">
        <f aca="false">IF(OR(C2005="",P2005=""),"",IF(INDEX('CARNET DE SOUDURE'!$U$7:$U$3006,P2005)="","",INDEX('CARNET DE SOUDURE'!$U$7:$U$3006,P2005)))</f>
        <v>46254</v>
      </c>
      <c r="F2005" s="82" t="str">
        <f aca="false">IF(OR(C2005="",P2005=""),"",INDEX('CARNET DE SOUDURE'!$AP$7:$AP$3006,P2005))</f>
        <v>A</v>
      </c>
      <c r="G2005" s="82" t="str">
        <f aca="false">IF(C2005="","",IF(P2005="","NJ INCONNU",INDEX('CARNET DE SOUDURE'!$AQ$7:$AQ$3006,P2005)))</f>
        <v>ACCEPTÉ</v>
      </c>
      <c r="H2005" s="82" t="str">
        <f aca="false">IF(C2005="","",IF(G2005="ACCEPTÉ","OUI","NON"))</f>
        <v>OUI</v>
      </c>
      <c r="I2005" s="83"/>
      <c r="J2005" s="80"/>
      <c r="K2005" s="81"/>
      <c r="L2005" s="81"/>
      <c r="M2005" s="81"/>
      <c r="N2005" s="84" t="str">
        <f aca="false">IF(C2005="","",IF(P2005="","NJ INCONNU",IF(I2005="",IF(H2005="OUI","À ENROBER",IF(G2005="À SOUDER","NON SOUDÉ","EN ATTENTE RT")),IF(L2005="R","À REPRENDRE",IF(H2005&lt;&gt;"OUI","⚠ ENROBÉ AVANT ACCEPTATION RT","ENROBÉ")))))</f>
        <v>À ENROBER</v>
      </c>
      <c r="O2005" s="80"/>
      <c r="P2005" s="82" t="n">
        <f aca="false">IF(C2005="","",IFERROR(MATCH(Q2005,'CARNET DE SOUDURE'!$AW$7:$AW$3006,0),""))</f>
        <v>1999</v>
      </c>
      <c r="Q2005" s="82" t="str">
        <f aca="false">IF(C2005="","",B2005&amp;"|"&amp;C2005)</f>
        <v>MFD-ISW → MFD-CPF|DJ°072</v>
      </c>
    </row>
    <row r="2006" customFormat="false" ht="74.6" hidden="false" customHeight="false" outlineLevel="0" collapsed="false">
      <c r="A2006" s="82" t="n">
        <f aca="false">IF(C2006="","",ROW()-6)</f>
        <v>2000</v>
      </c>
      <c r="B2006" s="80" t="s">
        <v>110</v>
      </c>
      <c r="C2006" s="113" t="s">
        <v>2442</v>
      </c>
      <c r="D2006" s="82" t="str">
        <f aca="false">IF(OR(C2006="",P2006=""),"",INDEX('CARNET DE SOUDURE'!$D$7:$D$3006,P2006)&amp;"")</f>
        <v>18</v>
      </c>
      <c r="E2006" s="114" t="n">
        <f aca="false">IF(OR(C2006="",P2006=""),"",IF(INDEX('CARNET DE SOUDURE'!$U$7:$U$3006,P2006)="","",INDEX('CARNET DE SOUDURE'!$U$7:$U$3006,P2006)))</f>
        <v>46267</v>
      </c>
      <c r="F2006" s="82" t="str">
        <f aca="false">IF(OR(C2006="",P2006=""),"",INDEX('CARNET DE SOUDURE'!$AP$7:$AP$3006,P2006))</f>
        <v>A</v>
      </c>
      <c r="G2006" s="82" t="str">
        <f aca="false">IF(C2006="","",IF(P2006="","NJ INCONNU",INDEX('CARNET DE SOUDURE'!$AQ$7:$AQ$3006,P2006)))</f>
        <v>ACCEPTÉ</v>
      </c>
      <c r="H2006" s="82" t="str">
        <f aca="false">IF(C2006="","",IF(G2006="ACCEPTÉ","OUI","NON"))</f>
        <v>OUI</v>
      </c>
      <c r="I2006" s="83"/>
      <c r="J2006" s="80"/>
      <c r="K2006" s="81"/>
      <c r="L2006" s="81"/>
      <c r="M2006" s="81"/>
      <c r="N2006" s="84" t="str">
        <f aca="false">IF(C2006="","",IF(P2006="","NJ INCONNU",IF(I2006="",IF(H2006="OUI","À ENROBER",IF(G2006="À SOUDER","NON SOUDÉ","EN ATTENTE RT")),IF(L2006="R","À REPRENDRE",IF(H2006&lt;&gt;"OUI","⚠ ENROBÉ AVANT ACCEPTATION RT","ENROBÉ")))))</f>
        <v>À ENROBER</v>
      </c>
      <c r="O2006" s="80"/>
      <c r="P2006" s="82" t="n">
        <f aca="false">IF(C2006="","",IFERROR(MATCH(Q2006,'CARNET DE SOUDURE'!$AW$7:$AW$3006,0),""))</f>
        <v>2000</v>
      </c>
      <c r="Q2006" s="82" t="str">
        <f aca="false">IF(C2006="","",B2006&amp;"|"&amp;C2006)</f>
        <v>MFD-ISW → MFD-CPF|JN°1536</v>
      </c>
    </row>
    <row r="2007" customFormat="false" ht="74.6" hidden="false" customHeight="false" outlineLevel="0" collapsed="false">
      <c r="A2007" s="82" t="n">
        <f aca="false">IF(C2007="","",ROW()-6)</f>
        <v>2001</v>
      </c>
      <c r="B2007" s="80" t="s">
        <v>110</v>
      </c>
      <c r="C2007" s="113" t="s">
        <v>2443</v>
      </c>
      <c r="D2007" s="82" t="str">
        <f aca="false">IF(OR(C2007="",P2007=""),"",INDEX('CARNET DE SOUDURE'!$D$7:$D$3006,P2007)&amp;"")</f>
        <v>18</v>
      </c>
      <c r="E2007" s="114" t="n">
        <f aca="false">IF(OR(C2007="",P2007=""),"",IF(INDEX('CARNET DE SOUDURE'!$U$7:$U$3006,P2007)="","",INDEX('CARNET DE SOUDURE'!$U$7:$U$3006,P2007)))</f>
        <v>46254</v>
      </c>
      <c r="F2007" s="82" t="str">
        <f aca="false">IF(OR(C2007="",P2007=""),"",INDEX('CARNET DE SOUDURE'!$AP$7:$AP$3006,P2007))</f>
        <v>A</v>
      </c>
      <c r="G2007" s="82" t="str">
        <f aca="false">IF(C2007="","",IF(P2007="","NJ INCONNU",INDEX('CARNET DE SOUDURE'!$AQ$7:$AQ$3006,P2007)))</f>
        <v>ACCEPTÉ</v>
      </c>
      <c r="H2007" s="82" t="str">
        <f aca="false">IF(C2007="","",IF(G2007="ACCEPTÉ","OUI","NON"))</f>
        <v>OUI</v>
      </c>
      <c r="I2007" s="83"/>
      <c r="J2007" s="80"/>
      <c r="K2007" s="81"/>
      <c r="L2007" s="81"/>
      <c r="M2007" s="81"/>
      <c r="N2007" s="84" t="str">
        <f aca="false">IF(C2007="","",IF(P2007="","NJ INCONNU",IF(I2007="",IF(H2007="OUI","À ENROBER",IF(G2007="À SOUDER","NON SOUDÉ","EN ATTENTE RT")),IF(L2007="R","À REPRENDRE",IF(H2007&lt;&gt;"OUI","⚠ ENROBÉ AVANT ACCEPTATION RT","ENROBÉ")))))</f>
        <v>À ENROBER</v>
      </c>
      <c r="O2007" s="80"/>
      <c r="P2007" s="82" t="n">
        <f aca="false">IF(C2007="","",IFERROR(MATCH(Q2007,'CARNET DE SOUDURE'!$AW$7:$AW$3006,0),""))</f>
        <v>2001</v>
      </c>
      <c r="Q2007" s="82" t="str">
        <f aca="false">IF(C2007="","",B2007&amp;"|"&amp;C2007)</f>
        <v>MFD-ISW → MFD-CPF|DJ°069</v>
      </c>
    </row>
    <row r="2008" customFormat="false" ht="74.6" hidden="false" customHeight="false" outlineLevel="0" collapsed="false">
      <c r="A2008" s="82" t="n">
        <f aca="false">IF(C2008="","",ROW()-6)</f>
        <v>2002</v>
      </c>
      <c r="B2008" s="80" t="s">
        <v>110</v>
      </c>
      <c r="C2008" s="113" t="s">
        <v>2444</v>
      </c>
      <c r="D2008" s="82" t="str">
        <f aca="false">IF(OR(C2008="",P2008=""),"",INDEX('CARNET DE SOUDURE'!$D$7:$D$3006,P2008)&amp;"")</f>
        <v>18</v>
      </c>
      <c r="E2008" s="114" t="n">
        <f aca="false">IF(OR(C2008="",P2008=""),"",IF(INDEX('CARNET DE SOUDURE'!$U$7:$U$3006,P2008)="","",INDEX('CARNET DE SOUDURE'!$U$7:$U$3006,P2008)))</f>
        <v>46267</v>
      </c>
      <c r="F2008" s="82" t="str">
        <f aca="false">IF(OR(C2008="",P2008=""),"",INDEX('CARNET DE SOUDURE'!$AP$7:$AP$3006,P2008))</f>
        <v>A</v>
      </c>
      <c r="G2008" s="82" t="str">
        <f aca="false">IF(C2008="","",IF(P2008="","NJ INCONNU",INDEX('CARNET DE SOUDURE'!$AQ$7:$AQ$3006,P2008)))</f>
        <v>ACCEPTÉ</v>
      </c>
      <c r="H2008" s="82" t="str">
        <f aca="false">IF(C2008="","",IF(G2008="ACCEPTÉ","OUI","NON"))</f>
        <v>OUI</v>
      </c>
      <c r="I2008" s="83"/>
      <c r="J2008" s="80"/>
      <c r="K2008" s="81"/>
      <c r="L2008" s="81"/>
      <c r="M2008" s="81"/>
      <c r="N2008" s="84" t="str">
        <f aca="false">IF(C2008="","",IF(P2008="","NJ INCONNU",IF(I2008="",IF(H2008="OUI","À ENROBER",IF(G2008="À SOUDER","NON SOUDÉ","EN ATTENTE RT")),IF(L2008="R","À REPRENDRE",IF(H2008&lt;&gt;"OUI","⚠ ENROBÉ AVANT ACCEPTATION RT","ENROBÉ")))))</f>
        <v>À ENROBER</v>
      </c>
      <c r="O2008" s="80"/>
      <c r="P2008" s="82" t="n">
        <f aca="false">IF(C2008="","",IFERROR(MATCH(Q2008,'CARNET DE SOUDURE'!$AW$7:$AW$3006,0),""))</f>
        <v>2002</v>
      </c>
      <c r="Q2008" s="82" t="str">
        <f aca="false">IF(C2008="","",B2008&amp;"|"&amp;C2008)</f>
        <v>MFD-ISW → MFD-CPF|JN°1537</v>
      </c>
    </row>
    <row r="2009" customFormat="false" ht="74.6" hidden="false" customHeight="false" outlineLevel="0" collapsed="false">
      <c r="A2009" s="82" t="n">
        <f aca="false">IF(C2009="","",ROW()-6)</f>
        <v>2003</v>
      </c>
      <c r="B2009" s="80" t="s">
        <v>110</v>
      </c>
      <c r="C2009" s="113" t="s">
        <v>2445</v>
      </c>
      <c r="D2009" s="82" t="str">
        <f aca="false">IF(OR(C2009="",P2009=""),"",INDEX('CARNET DE SOUDURE'!$D$7:$D$3006,P2009)&amp;"")</f>
        <v>18</v>
      </c>
      <c r="E2009" s="114" t="n">
        <f aca="false">IF(OR(C2009="",P2009=""),"",IF(INDEX('CARNET DE SOUDURE'!$U$7:$U$3006,P2009)="","",INDEX('CARNET DE SOUDURE'!$U$7:$U$3006,P2009)))</f>
        <v>46253</v>
      </c>
      <c r="F2009" s="82" t="str">
        <f aca="false">IF(OR(C2009="",P2009=""),"",INDEX('CARNET DE SOUDURE'!$AP$7:$AP$3006,P2009))</f>
        <v>A</v>
      </c>
      <c r="G2009" s="82" t="str">
        <f aca="false">IF(C2009="","",IF(P2009="","NJ INCONNU",INDEX('CARNET DE SOUDURE'!$AQ$7:$AQ$3006,P2009)))</f>
        <v>ACCEPTÉ</v>
      </c>
      <c r="H2009" s="82" t="str">
        <f aca="false">IF(C2009="","",IF(G2009="ACCEPTÉ","OUI","NON"))</f>
        <v>OUI</v>
      </c>
      <c r="I2009" s="83"/>
      <c r="J2009" s="80"/>
      <c r="K2009" s="81"/>
      <c r="L2009" s="81"/>
      <c r="M2009" s="81"/>
      <c r="N2009" s="84" t="str">
        <f aca="false">IF(C2009="","",IF(P2009="","NJ INCONNU",IF(I2009="",IF(H2009="OUI","À ENROBER",IF(G2009="À SOUDER","NON SOUDÉ","EN ATTENTE RT")),IF(L2009="R","À REPRENDRE",IF(H2009&lt;&gt;"OUI","⚠ ENROBÉ AVANT ACCEPTATION RT","ENROBÉ")))))</f>
        <v>À ENROBER</v>
      </c>
      <c r="O2009" s="80"/>
      <c r="P2009" s="82" t="n">
        <f aca="false">IF(C2009="","",IFERROR(MATCH(Q2009,'CARNET DE SOUDURE'!$AW$7:$AW$3006,0),""))</f>
        <v>2003</v>
      </c>
      <c r="Q2009" s="82" t="str">
        <f aca="false">IF(C2009="","",B2009&amp;"|"&amp;C2009)</f>
        <v>MFD-ISW → MFD-CPF|DJ°052</v>
      </c>
    </row>
    <row r="2010" customFormat="false" ht="74.6" hidden="false" customHeight="false" outlineLevel="0" collapsed="false">
      <c r="A2010" s="82" t="n">
        <f aca="false">IF(C2010="","",ROW()-6)</f>
        <v>2004</v>
      </c>
      <c r="B2010" s="80" t="s">
        <v>110</v>
      </c>
      <c r="C2010" s="113" t="s">
        <v>2446</v>
      </c>
      <c r="D2010" s="82" t="str">
        <f aca="false">IF(OR(C2010="",P2010=""),"",INDEX('CARNET DE SOUDURE'!$D$7:$D$3006,P2010)&amp;"")</f>
        <v>18</v>
      </c>
      <c r="E2010" s="114" t="n">
        <f aca="false">IF(OR(C2010="",P2010=""),"",IF(INDEX('CARNET DE SOUDURE'!$U$7:$U$3006,P2010)="","",INDEX('CARNET DE SOUDURE'!$U$7:$U$3006,P2010)))</f>
        <v>46267</v>
      </c>
      <c r="F2010" s="82" t="str">
        <f aca="false">IF(OR(C2010="",P2010=""),"",INDEX('CARNET DE SOUDURE'!$AP$7:$AP$3006,P2010))</f>
        <v>A</v>
      </c>
      <c r="G2010" s="82" t="str">
        <f aca="false">IF(C2010="","",IF(P2010="","NJ INCONNU",INDEX('CARNET DE SOUDURE'!$AQ$7:$AQ$3006,P2010)))</f>
        <v>ACCEPTÉ</v>
      </c>
      <c r="H2010" s="82" t="str">
        <f aca="false">IF(C2010="","",IF(G2010="ACCEPTÉ","OUI","NON"))</f>
        <v>OUI</v>
      </c>
      <c r="I2010" s="83"/>
      <c r="J2010" s="80"/>
      <c r="K2010" s="81"/>
      <c r="L2010" s="81"/>
      <c r="M2010" s="81"/>
      <c r="N2010" s="84" t="str">
        <f aca="false">IF(C2010="","",IF(P2010="","NJ INCONNU",IF(I2010="",IF(H2010="OUI","À ENROBER",IF(G2010="À SOUDER","NON SOUDÉ","EN ATTENTE RT")),IF(L2010="R","À REPRENDRE",IF(H2010&lt;&gt;"OUI","⚠ ENROBÉ AVANT ACCEPTATION RT","ENROBÉ")))))</f>
        <v>À ENROBER</v>
      </c>
      <c r="O2010" s="80"/>
      <c r="P2010" s="82" t="n">
        <f aca="false">IF(C2010="","",IFERROR(MATCH(Q2010,'CARNET DE SOUDURE'!$AW$7:$AW$3006,0),""))</f>
        <v>2004</v>
      </c>
      <c r="Q2010" s="82" t="str">
        <f aca="false">IF(C2010="","",B2010&amp;"|"&amp;C2010)</f>
        <v>MFD-ISW → MFD-CPF|JN°1538</v>
      </c>
    </row>
    <row r="2011" customFormat="false" ht="74.6" hidden="false" customHeight="false" outlineLevel="0" collapsed="false">
      <c r="A2011" s="82" t="n">
        <f aca="false">IF(C2011="","",ROW()-6)</f>
        <v>2005</v>
      </c>
      <c r="B2011" s="80" t="s">
        <v>110</v>
      </c>
      <c r="C2011" s="113" t="s">
        <v>2447</v>
      </c>
      <c r="D2011" s="82" t="str">
        <f aca="false">IF(OR(C2011="",P2011=""),"",INDEX('CARNET DE SOUDURE'!$D$7:$D$3006,P2011)&amp;"")</f>
        <v>18</v>
      </c>
      <c r="E2011" s="114" t="n">
        <f aca="false">IF(OR(C2011="",P2011=""),"",IF(INDEX('CARNET DE SOUDURE'!$U$7:$U$3006,P2011)="","",INDEX('CARNET DE SOUDURE'!$U$7:$U$3006,P2011)))</f>
        <v>46254</v>
      </c>
      <c r="F2011" s="82" t="str">
        <f aca="false">IF(OR(C2011="",P2011=""),"",INDEX('CARNET DE SOUDURE'!$AP$7:$AP$3006,P2011))</f>
        <v>A</v>
      </c>
      <c r="G2011" s="82" t="str">
        <f aca="false">IF(C2011="","",IF(P2011="","NJ INCONNU",INDEX('CARNET DE SOUDURE'!$AQ$7:$AQ$3006,P2011)))</f>
        <v>ACCEPTÉ</v>
      </c>
      <c r="H2011" s="82" t="str">
        <f aca="false">IF(C2011="","",IF(G2011="ACCEPTÉ","OUI","NON"))</f>
        <v>OUI</v>
      </c>
      <c r="I2011" s="83"/>
      <c r="J2011" s="80"/>
      <c r="K2011" s="81"/>
      <c r="L2011" s="81"/>
      <c r="M2011" s="81"/>
      <c r="N2011" s="84" t="str">
        <f aca="false">IF(C2011="","",IF(P2011="","NJ INCONNU",IF(I2011="",IF(H2011="OUI","À ENROBER",IF(G2011="À SOUDER","NON SOUDÉ","EN ATTENTE RT")),IF(L2011="R","À REPRENDRE",IF(H2011&lt;&gt;"OUI","⚠ ENROBÉ AVANT ACCEPTATION RT","ENROBÉ")))))</f>
        <v>À ENROBER</v>
      </c>
      <c r="O2011" s="80"/>
      <c r="P2011" s="82" t="n">
        <f aca="false">IF(C2011="","",IFERROR(MATCH(Q2011,'CARNET DE SOUDURE'!$AW$7:$AW$3006,0),""))</f>
        <v>2005</v>
      </c>
      <c r="Q2011" s="82" t="str">
        <f aca="false">IF(C2011="","",B2011&amp;"|"&amp;C2011)</f>
        <v>MFD-ISW → MFD-CPF|DJ°063</v>
      </c>
    </row>
    <row r="2012" customFormat="false" ht="74.6" hidden="false" customHeight="false" outlineLevel="0" collapsed="false">
      <c r="A2012" s="82" t="n">
        <f aca="false">IF(C2012="","",ROW()-6)</f>
        <v>2006</v>
      </c>
      <c r="B2012" s="80" t="s">
        <v>110</v>
      </c>
      <c r="C2012" s="113" t="s">
        <v>2448</v>
      </c>
      <c r="D2012" s="82" t="str">
        <f aca="false">IF(OR(C2012="",P2012=""),"",INDEX('CARNET DE SOUDURE'!$D$7:$D$3006,P2012)&amp;"")</f>
        <v>18</v>
      </c>
      <c r="E2012" s="114" t="n">
        <f aca="false">IF(OR(C2012="",P2012=""),"",IF(INDEX('CARNET DE SOUDURE'!$U$7:$U$3006,P2012)="","",INDEX('CARNET DE SOUDURE'!$U$7:$U$3006,P2012)))</f>
        <v>46287</v>
      </c>
      <c r="F2012" s="82" t="str">
        <f aca="false">IF(OR(C2012="",P2012=""),"",INDEX('CARNET DE SOUDURE'!$AP$7:$AP$3006,P2012))</f>
        <v/>
      </c>
      <c r="G2012" s="82" t="str">
        <f aca="false">IF(C2012="","",IF(P2012="","NJ INCONNU",INDEX('CARNET DE SOUDURE'!$AQ$7:$AQ$3006,P2012)))</f>
        <v>À RADIOGRAPHIER</v>
      </c>
      <c r="H2012" s="82" t="str">
        <f aca="false">IF(C2012="","",IF(G2012="ACCEPTÉ","OUI","NON"))</f>
        <v>NON</v>
      </c>
      <c r="I2012" s="83"/>
      <c r="J2012" s="80"/>
      <c r="K2012" s="81"/>
      <c r="L2012" s="81"/>
      <c r="M2012" s="81"/>
      <c r="N2012" s="84" t="str">
        <f aca="false">IF(C2012="","",IF(P2012="","NJ INCONNU",IF(I2012="",IF(H2012="OUI","À ENROBER",IF(G2012="À SOUDER","NON SOUDÉ","EN ATTENTE RT")),IF(L2012="R","À REPRENDRE",IF(H2012&lt;&gt;"OUI","⚠ ENROBÉ AVANT ACCEPTATION RT","ENROBÉ")))))</f>
        <v>EN ATTENTE RT</v>
      </c>
      <c r="O2012" s="80"/>
      <c r="P2012" s="82" t="n">
        <f aca="false">IF(C2012="","",IFERROR(MATCH(Q2012,'CARNET DE SOUDURE'!$AW$7:$AW$3006,0),""))</f>
        <v>2006</v>
      </c>
      <c r="Q2012" s="82" t="str">
        <f aca="false">IF(C2012="","",B2012&amp;"|"&amp;C2012)</f>
        <v>MFD-ISW → MFD-CPF|JN°1539R</v>
      </c>
    </row>
    <row r="2013" customFormat="false" ht="74.6" hidden="false" customHeight="false" outlineLevel="0" collapsed="false">
      <c r="A2013" s="82" t="n">
        <f aca="false">IF(C2013="","",ROW()-6)</f>
        <v>2007</v>
      </c>
      <c r="B2013" s="80" t="s">
        <v>110</v>
      </c>
      <c r="C2013" s="113" t="s">
        <v>2449</v>
      </c>
      <c r="D2013" s="82" t="str">
        <f aca="false">IF(OR(C2013="",P2013=""),"",INDEX('CARNET DE SOUDURE'!$D$7:$D$3006,P2013)&amp;"")</f>
        <v>18</v>
      </c>
      <c r="E2013" s="114" t="n">
        <f aca="false">IF(OR(C2013="",P2013=""),"",IF(INDEX('CARNET DE SOUDURE'!$U$7:$U$3006,P2013)="","",INDEX('CARNET DE SOUDURE'!$U$7:$U$3006,P2013)))</f>
        <v>46253</v>
      </c>
      <c r="F2013" s="82" t="str">
        <f aca="false">IF(OR(C2013="",P2013=""),"",INDEX('CARNET DE SOUDURE'!$AP$7:$AP$3006,P2013))</f>
        <v>A</v>
      </c>
      <c r="G2013" s="82" t="str">
        <f aca="false">IF(C2013="","",IF(P2013="","NJ INCONNU",INDEX('CARNET DE SOUDURE'!$AQ$7:$AQ$3006,P2013)))</f>
        <v>ACCEPTÉ</v>
      </c>
      <c r="H2013" s="82" t="str">
        <f aca="false">IF(C2013="","",IF(G2013="ACCEPTÉ","OUI","NON"))</f>
        <v>OUI</v>
      </c>
      <c r="I2013" s="83"/>
      <c r="J2013" s="80"/>
      <c r="K2013" s="81"/>
      <c r="L2013" s="81"/>
      <c r="M2013" s="81"/>
      <c r="N2013" s="84" t="str">
        <f aca="false">IF(C2013="","",IF(P2013="","NJ INCONNU",IF(I2013="",IF(H2013="OUI","À ENROBER",IF(G2013="À SOUDER","NON SOUDÉ","EN ATTENTE RT")),IF(L2013="R","À REPRENDRE",IF(H2013&lt;&gt;"OUI","⚠ ENROBÉ AVANT ACCEPTATION RT","ENROBÉ")))))</f>
        <v>À ENROBER</v>
      </c>
      <c r="O2013" s="80"/>
      <c r="P2013" s="82" t="n">
        <f aca="false">IF(C2013="","",IFERROR(MATCH(Q2013,'CARNET DE SOUDURE'!$AW$7:$AW$3006,0),""))</f>
        <v>2007</v>
      </c>
      <c r="Q2013" s="82" t="str">
        <f aca="false">IF(C2013="","",B2013&amp;"|"&amp;C2013)</f>
        <v>MFD-ISW → MFD-CPF|DJ°060</v>
      </c>
    </row>
    <row r="2014" customFormat="false" ht="74.6" hidden="false" customHeight="false" outlineLevel="0" collapsed="false">
      <c r="A2014" s="82" t="n">
        <f aca="false">IF(C2014="","",ROW()-6)</f>
        <v>2008</v>
      </c>
      <c r="B2014" s="80" t="s">
        <v>110</v>
      </c>
      <c r="C2014" s="113" t="s">
        <v>2450</v>
      </c>
      <c r="D2014" s="82" t="str">
        <f aca="false">IF(OR(C2014="",P2014=""),"",INDEX('CARNET DE SOUDURE'!$D$7:$D$3006,P2014)&amp;"")</f>
        <v>18</v>
      </c>
      <c r="E2014" s="114" t="n">
        <f aca="false">IF(OR(C2014="",P2014=""),"",IF(INDEX('CARNET DE SOUDURE'!$U$7:$U$3006,P2014)="","",INDEX('CARNET DE SOUDURE'!$U$7:$U$3006,P2014)))</f>
        <v>46267</v>
      </c>
      <c r="F2014" s="82" t="str">
        <f aca="false">IF(OR(C2014="",P2014=""),"",INDEX('CARNET DE SOUDURE'!$AP$7:$AP$3006,P2014))</f>
        <v>A</v>
      </c>
      <c r="G2014" s="82" t="str">
        <f aca="false">IF(C2014="","",IF(P2014="","NJ INCONNU",INDEX('CARNET DE SOUDURE'!$AQ$7:$AQ$3006,P2014)))</f>
        <v>ACCEPTÉ</v>
      </c>
      <c r="H2014" s="82" t="str">
        <f aca="false">IF(C2014="","",IF(G2014="ACCEPTÉ","OUI","NON"))</f>
        <v>OUI</v>
      </c>
      <c r="I2014" s="83"/>
      <c r="J2014" s="80"/>
      <c r="K2014" s="81"/>
      <c r="L2014" s="81"/>
      <c r="M2014" s="81"/>
      <c r="N2014" s="84" t="str">
        <f aca="false">IF(C2014="","",IF(P2014="","NJ INCONNU",IF(I2014="",IF(H2014="OUI","À ENROBER",IF(G2014="À SOUDER","NON SOUDÉ","EN ATTENTE RT")),IF(L2014="R","À REPRENDRE",IF(H2014&lt;&gt;"OUI","⚠ ENROBÉ AVANT ACCEPTATION RT","ENROBÉ")))))</f>
        <v>À ENROBER</v>
      </c>
      <c r="O2014" s="80"/>
      <c r="P2014" s="82" t="n">
        <f aca="false">IF(C2014="","",IFERROR(MATCH(Q2014,'CARNET DE SOUDURE'!$AW$7:$AW$3006,0),""))</f>
        <v>2008</v>
      </c>
      <c r="Q2014" s="82" t="str">
        <f aca="false">IF(C2014="","",B2014&amp;"|"&amp;C2014)</f>
        <v>MFD-ISW → MFD-CPF|JN°1540</v>
      </c>
    </row>
    <row r="2015" customFormat="false" ht="74.6" hidden="false" customHeight="false" outlineLevel="0" collapsed="false">
      <c r="A2015" s="82" t="n">
        <f aca="false">IF(C2015="","",ROW()-6)</f>
        <v>2009</v>
      </c>
      <c r="B2015" s="80" t="s">
        <v>110</v>
      </c>
      <c r="C2015" s="113" t="s">
        <v>2451</v>
      </c>
      <c r="D2015" s="82" t="str">
        <f aca="false">IF(OR(C2015="",P2015=""),"",INDEX('CARNET DE SOUDURE'!$D$7:$D$3006,P2015)&amp;"")</f>
        <v>18</v>
      </c>
      <c r="E2015" s="114" t="n">
        <f aca="false">IF(OR(C2015="",P2015=""),"",IF(INDEX('CARNET DE SOUDURE'!$U$7:$U$3006,P2015)="","",INDEX('CARNET DE SOUDURE'!$U$7:$U$3006,P2015)))</f>
        <v>46256</v>
      </c>
      <c r="F2015" s="82" t="str">
        <f aca="false">IF(OR(C2015="",P2015=""),"",INDEX('CARNET DE SOUDURE'!$AP$7:$AP$3006,P2015))</f>
        <v>A</v>
      </c>
      <c r="G2015" s="82" t="str">
        <f aca="false">IF(C2015="","",IF(P2015="","NJ INCONNU",INDEX('CARNET DE SOUDURE'!$AQ$7:$AQ$3006,P2015)))</f>
        <v>ACCEPTÉ</v>
      </c>
      <c r="H2015" s="82" t="str">
        <f aca="false">IF(C2015="","",IF(G2015="ACCEPTÉ","OUI","NON"))</f>
        <v>OUI</v>
      </c>
      <c r="I2015" s="83"/>
      <c r="J2015" s="80"/>
      <c r="K2015" s="81"/>
      <c r="L2015" s="81"/>
      <c r="M2015" s="81"/>
      <c r="N2015" s="84" t="str">
        <f aca="false">IF(C2015="","",IF(P2015="","NJ INCONNU",IF(I2015="",IF(H2015="OUI","À ENROBER",IF(G2015="À SOUDER","NON SOUDÉ","EN ATTENTE RT")),IF(L2015="R","À REPRENDRE",IF(H2015&lt;&gt;"OUI","⚠ ENROBÉ AVANT ACCEPTATION RT","ENROBÉ")))))</f>
        <v>À ENROBER</v>
      </c>
      <c r="O2015" s="80"/>
      <c r="P2015" s="82" t="n">
        <f aca="false">IF(C2015="","",IFERROR(MATCH(Q2015,'CARNET DE SOUDURE'!$AW$7:$AW$3006,0),""))</f>
        <v>2009</v>
      </c>
      <c r="Q2015" s="82" t="str">
        <f aca="false">IF(C2015="","",B2015&amp;"|"&amp;C2015)</f>
        <v>MFD-ISW → MFD-CPF|DJ°092</v>
      </c>
    </row>
    <row r="2016" customFormat="false" ht="74.6" hidden="false" customHeight="false" outlineLevel="0" collapsed="false">
      <c r="A2016" s="82" t="n">
        <f aca="false">IF(C2016="","",ROW()-6)</f>
        <v>2010</v>
      </c>
      <c r="B2016" s="80" t="s">
        <v>110</v>
      </c>
      <c r="C2016" s="113" t="s">
        <v>2452</v>
      </c>
      <c r="D2016" s="82" t="str">
        <f aca="false">IF(OR(C2016="",P2016=""),"",INDEX('CARNET DE SOUDURE'!$D$7:$D$3006,P2016)&amp;"")</f>
        <v>19</v>
      </c>
      <c r="E2016" s="114" t="n">
        <f aca="false">IF(OR(C2016="",P2016=""),"",IF(INDEX('CARNET DE SOUDURE'!$U$7:$U$3006,P2016)="","",INDEX('CARNET DE SOUDURE'!$U$7:$U$3006,P2016)))</f>
        <v>46267</v>
      </c>
      <c r="F2016" s="82" t="str">
        <f aca="false">IF(OR(C2016="",P2016=""),"",INDEX('CARNET DE SOUDURE'!$AP$7:$AP$3006,P2016))</f>
        <v>A</v>
      </c>
      <c r="G2016" s="82" t="str">
        <f aca="false">IF(C2016="","",IF(P2016="","NJ INCONNU",INDEX('CARNET DE SOUDURE'!$AQ$7:$AQ$3006,P2016)))</f>
        <v>ACCEPTÉ</v>
      </c>
      <c r="H2016" s="82" t="str">
        <f aca="false">IF(C2016="","",IF(G2016="ACCEPTÉ","OUI","NON"))</f>
        <v>OUI</v>
      </c>
      <c r="I2016" s="83"/>
      <c r="J2016" s="80"/>
      <c r="K2016" s="81"/>
      <c r="L2016" s="81"/>
      <c r="M2016" s="81"/>
      <c r="N2016" s="84" t="str">
        <f aca="false">IF(C2016="","",IF(P2016="","NJ INCONNU",IF(I2016="",IF(H2016="OUI","À ENROBER",IF(G2016="À SOUDER","NON SOUDÉ","EN ATTENTE RT")),IF(L2016="R","À REPRENDRE",IF(H2016&lt;&gt;"OUI","⚠ ENROBÉ AVANT ACCEPTATION RT","ENROBÉ")))))</f>
        <v>À ENROBER</v>
      </c>
      <c r="O2016" s="80"/>
      <c r="P2016" s="82" t="n">
        <f aca="false">IF(C2016="","",IFERROR(MATCH(Q2016,'CARNET DE SOUDURE'!$AW$7:$AW$3006,0),""))</f>
        <v>2010</v>
      </c>
      <c r="Q2016" s="82" t="str">
        <f aca="false">IF(C2016="","",B2016&amp;"|"&amp;C2016)</f>
        <v>MFD-ISW → MFD-CPF|JN°1541</v>
      </c>
    </row>
    <row r="2017" customFormat="false" ht="74.6" hidden="false" customHeight="false" outlineLevel="0" collapsed="false">
      <c r="A2017" s="82" t="n">
        <f aca="false">IF(C2017="","",ROW()-6)</f>
        <v>2011</v>
      </c>
      <c r="B2017" s="80" t="s">
        <v>110</v>
      </c>
      <c r="C2017" s="113" t="s">
        <v>2453</v>
      </c>
      <c r="D2017" s="82" t="str">
        <f aca="false">IF(OR(C2017="",P2017=""),"",INDEX('CARNET DE SOUDURE'!$D$7:$D$3006,P2017)&amp;"")</f>
        <v>19</v>
      </c>
      <c r="E2017" s="114" t="n">
        <f aca="false">IF(OR(C2017="",P2017=""),"",IF(INDEX('CARNET DE SOUDURE'!$U$7:$U$3006,P2017)="","",INDEX('CARNET DE SOUDURE'!$U$7:$U$3006,P2017)))</f>
        <v>46250</v>
      </c>
      <c r="F2017" s="82" t="str">
        <f aca="false">IF(OR(C2017="",P2017=""),"",INDEX('CARNET DE SOUDURE'!$AP$7:$AP$3006,P2017))</f>
        <v>A</v>
      </c>
      <c r="G2017" s="82" t="str">
        <f aca="false">IF(C2017="","",IF(P2017="","NJ INCONNU",INDEX('CARNET DE SOUDURE'!$AQ$7:$AQ$3006,P2017)))</f>
        <v>ACCEPTÉ</v>
      </c>
      <c r="H2017" s="82" t="str">
        <f aca="false">IF(C2017="","",IF(G2017="ACCEPTÉ","OUI","NON"))</f>
        <v>OUI</v>
      </c>
      <c r="I2017" s="83"/>
      <c r="J2017" s="80"/>
      <c r="K2017" s="81"/>
      <c r="L2017" s="81"/>
      <c r="M2017" s="81"/>
      <c r="N2017" s="84" t="str">
        <f aca="false">IF(C2017="","",IF(P2017="","NJ INCONNU",IF(I2017="",IF(H2017="OUI","À ENROBER",IF(G2017="À SOUDER","NON SOUDÉ","EN ATTENTE RT")),IF(L2017="R","À REPRENDRE",IF(H2017&lt;&gt;"OUI","⚠ ENROBÉ AVANT ACCEPTATION RT","ENROBÉ")))))</f>
        <v>À ENROBER</v>
      </c>
      <c r="O2017" s="80"/>
      <c r="P2017" s="82" t="n">
        <f aca="false">IF(C2017="","",IFERROR(MATCH(Q2017,'CARNET DE SOUDURE'!$AW$7:$AW$3006,0),""))</f>
        <v>2011</v>
      </c>
      <c r="Q2017" s="82" t="str">
        <f aca="false">IF(C2017="","",B2017&amp;"|"&amp;C2017)</f>
        <v>MFD-ISW → MFD-CPF|DJ°024</v>
      </c>
    </row>
    <row r="2018" customFormat="false" ht="74.6" hidden="false" customHeight="false" outlineLevel="0" collapsed="false">
      <c r="A2018" s="82" t="n">
        <f aca="false">IF(C2018="","",ROW()-6)</f>
        <v>2012</v>
      </c>
      <c r="B2018" s="80" t="s">
        <v>110</v>
      </c>
      <c r="C2018" s="113" t="s">
        <v>2454</v>
      </c>
      <c r="D2018" s="82" t="str">
        <f aca="false">IF(OR(C2018="",P2018=""),"",INDEX('CARNET DE SOUDURE'!$D$7:$D$3006,P2018)&amp;"")</f>
        <v>19</v>
      </c>
      <c r="E2018" s="114" t="n">
        <f aca="false">IF(OR(C2018="",P2018=""),"",IF(INDEX('CARNET DE SOUDURE'!$U$7:$U$3006,P2018)="","",INDEX('CARNET DE SOUDURE'!$U$7:$U$3006,P2018)))</f>
        <v>46267</v>
      </c>
      <c r="F2018" s="82" t="str">
        <f aca="false">IF(OR(C2018="",P2018=""),"",INDEX('CARNET DE SOUDURE'!$AP$7:$AP$3006,P2018))</f>
        <v>A</v>
      </c>
      <c r="G2018" s="82" t="str">
        <f aca="false">IF(C2018="","",IF(P2018="","NJ INCONNU",INDEX('CARNET DE SOUDURE'!$AQ$7:$AQ$3006,P2018)))</f>
        <v>ACCEPTÉ</v>
      </c>
      <c r="H2018" s="82" t="str">
        <f aca="false">IF(C2018="","",IF(G2018="ACCEPTÉ","OUI","NON"))</f>
        <v>OUI</v>
      </c>
      <c r="I2018" s="83"/>
      <c r="J2018" s="80"/>
      <c r="K2018" s="81"/>
      <c r="L2018" s="81"/>
      <c r="M2018" s="81"/>
      <c r="N2018" s="84" t="str">
        <f aca="false">IF(C2018="","",IF(P2018="","NJ INCONNU",IF(I2018="",IF(H2018="OUI","À ENROBER",IF(G2018="À SOUDER","NON SOUDÉ","EN ATTENTE RT")),IF(L2018="R","À REPRENDRE",IF(H2018&lt;&gt;"OUI","⚠ ENROBÉ AVANT ACCEPTATION RT","ENROBÉ")))))</f>
        <v>À ENROBER</v>
      </c>
      <c r="O2018" s="80"/>
      <c r="P2018" s="82" t="n">
        <f aca="false">IF(C2018="","",IFERROR(MATCH(Q2018,'CARNET DE SOUDURE'!$AW$7:$AW$3006,0),""))</f>
        <v>2012</v>
      </c>
      <c r="Q2018" s="82" t="str">
        <f aca="false">IF(C2018="","",B2018&amp;"|"&amp;C2018)</f>
        <v>MFD-ISW → MFD-CPF|JN°1542</v>
      </c>
    </row>
    <row r="2019" customFormat="false" ht="74.6" hidden="false" customHeight="false" outlineLevel="0" collapsed="false">
      <c r="A2019" s="82" t="n">
        <f aca="false">IF(C2019="","",ROW()-6)</f>
        <v>2013</v>
      </c>
      <c r="B2019" s="80" t="s">
        <v>110</v>
      </c>
      <c r="C2019" s="113" t="s">
        <v>2456</v>
      </c>
      <c r="D2019" s="82" t="str">
        <f aca="false">IF(OR(C2019="",P2019=""),"",INDEX('CARNET DE SOUDURE'!$D$7:$D$3006,P2019)&amp;"")</f>
        <v>19</v>
      </c>
      <c r="E2019" s="114" t="n">
        <f aca="false">IF(OR(C2019="",P2019=""),"",IF(INDEX('CARNET DE SOUDURE'!$U$7:$U$3006,P2019)="","",INDEX('CARNET DE SOUDURE'!$U$7:$U$3006,P2019)))</f>
        <v>46251</v>
      </c>
      <c r="F2019" s="82" t="str">
        <f aca="false">IF(OR(C2019="",P2019=""),"",INDEX('CARNET DE SOUDURE'!$AP$7:$AP$3006,P2019))</f>
        <v>A</v>
      </c>
      <c r="G2019" s="82" t="str">
        <f aca="false">IF(C2019="","",IF(P2019="","NJ INCONNU",INDEX('CARNET DE SOUDURE'!$AQ$7:$AQ$3006,P2019)))</f>
        <v>ACCEPTÉ</v>
      </c>
      <c r="H2019" s="82" t="str">
        <f aca="false">IF(C2019="","",IF(G2019="ACCEPTÉ","OUI","NON"))</f>
        <v>OUI</v>
      </c>
      <c r="I2019" s="83"/>
      <c r="J2019" s="80"/>
      <c r="K2019" s="81"/>
      <c r="L2019" s="81"/>
      <c r="M2019" s="81"/>
      <c r="N2019" s="84" t="str">
        <f aca="false">IF(C2019="","",IF(P2019="","NJ INCONNU",IF(I2019="",IF(H2019="OUI","À ENROBER",IF(G2019="À SOUDER","NON SOUDÉ","EN ATTENTE RT")),IF(L2019="R","À REPRENDRE",IF(H2019&lt;&gt;"OUI","⚠ ENROBÉ AVANT ACCEPTATION RT","ENROBÉ")))))</f>
        <v>À ENROBER</v>
      </c>
      <c r="O2019" s="80"/>
      <c r="P2019" s="82" t="n">
        <f aca="false">IF(C2019="","",IFERROR(MATCH(Q2019,'CARNET DE SOUDURE'!$AW$7:$AW$3006,0),""))</f>
        <v>2013</v>
      </c>
      <c r="Q2019" s="82" t="str">
        <f aca="false">IF(C2019="","",B2019&amp;"|"&amp;C2019)</f>
        <v>MFD-ISW → MFD-CPF|DJ°034</v>
      </c>
    </row>
    <row r="2020" customFormat="false" ht="74.6" hidden="false" customHeight="false" outlineLevel="0" collapsed="false">
      <c r="A2020" s="82" t="n">
        <f aca="false">IF(C2020="","",ROW()-6)</f>
        <v>2014</v>
      </c>
      <c r="B2020" s="80" t="s">
        <v>110</v>
      </c>
      <c r="C2020" s="113" t="s">
        <v>2457</v>
      </c>
      <c r="D2020" s="82" t="str">
        <f aca="false">IF(OR(C2020="",P2020=""),"",INDEX('CARNET DE SOUDURE'!$D$7:$D$3006,P2020)&amp;"")</f>
        <v>19</v>
      </c>
      <c r="E2020" s="114" t="n">
        <f aca="false">IF(OR(C2020="",P2020=""),"",IF(INDEX('CARNET DE SOUDURE'!$U$7:$U$3006,P2020)="","",INDEX('CARNET DE SOUDURE'!$U$7:$U$3006,P2020)))</f>
        <v>46267</v>
      </c>
      <c r="F2020" s="82" t="str">
        <f aca="false">IF(OR(C2020="",P2020=""),"",INDEX('CARNET DE SOUDURE'!$AP$7:$AP$3006,P2020))</f>
        <v>A</v>
      </c>
      <c r="G2020" s="82" t="str">
        <f aca="false">IF(C2020="","",IF(P2020="","NJ INCONNU",INDEX('CARNET DE SOUDURE'!$AQ$7:$AQ$3006,P2020)))</f>
        <v>ACCEPTÉ</v>
      </c>
      <c r="H2020" s="82" t="str">
        <f aca="false">IF(C2020="","",IF(G2020="ACCEPTÉ","OUI","NON"))</f>
        <v>OUI</v>
      </c>
      <c r="I2020" s="83"/>
      <c r="J2020" s="80"/>
      <c r="K2020" s="81"/>
      <c r="L2020" s="81"/>
      <c r="M2020" s="81"/>
      <c r="N2020" s="84" t="str">
        <f aca="false">IF(C2020="","",IF(P2020="","NJ INCONNU",IF(I2020="",IF(H2020="OUI","À ENROBER",IF(G2020="À SOUDER","NON SOUDÉ","EN ATTENTE RT")),IF(L2020="R","À REPRENDRE",IF(H2020&lt;&gt;"OUI","⚠ ENROBÉ AVANT ACCEPTATION RT","ENROBÉ")))))</f>
        <v>À ENROBER</v>
      </c>
      <c r="O2020" s="80"/>
      <c r="P2020" s="82" t="n">
        <f aca="false">IF(C2020="","",IFERROR(MATCH(Q2020,'CARNET DE SOUDURE'!$AW$7:$AW$3006,0),""))</f>
        <v>2014</v>
      </c>
      <c r="Q2020" s="82" t="str">
        <f aca="false">IF(C2020="","",B2020&amp;"|"&amp;C2020)</f>
        <v>MFD-ISW → MFD-CPF|JN°1543</v>
      </c>
    </row>
    <row r="2021" customFormat="false" ht="74.6" hidden="false" customHeight="false" outlineLevel="0" collapsed="false">
      <c r="A2021" s="82" t="n">
        <f aca="false">IF(C2021="","",ROW()-6)</f>
        <v>2015</v>
      </c>
      <c r="B2021" s="80" t="s">
        <v>110</v>
      </c>
      <c r="C2021" s="113" t="s">
        <v>2458</v>
      </c>
      <c r="D2021" s="82" t="str">
        <f aca="false">IF(OR(C2021="",P2021=""),"",INDEX('CARNET DE SOUDURE'!$D$7:$D$3006,P2021)&amp;"")</f>
        <v>19</v>
      </c>
      <c r="E2021" s="114" t="n">
        <f aca="false">IF(OR(C2021="",P2021=""),"",IF(INDEX('CARNET DE SOUDURE'!$U$7:$U$3006,P2021)="","",INDEX('CARNET DE SOUDURE'!$U$7:$U$3006,P2021)))</f>
        <v>46250</v>
      </c>
      <c r="F2021" s="82" t="str">
        <f aca="false">IF(OR(C2021="",P2021=""),"",INDEX('CARNET DE SOUDURE'!$AP$7:$AP$3006,P2021))</f>
        <v>A</v>
      </c>
      <c r="G2021" s="82" t="str">
        <f aca="false">IF(C2021="","",IF(P2021="","NJ INCONNU",INDEX('CARNET DE SOUDURE'!$AQ$7:$AQ$3006,P2021)))</f>
        <v>ACCEPTÉ</v>
      </c>
      <c r="H2021" s="82" t="str">
        <f aca="false">IF(C2021="","",IF(G2021="ACCEPTÉ","OUI","NON"))</f>
        <v>OUI</v>
      </c>
      <c r="I2021" s="83"/>
      <c r="J2021" s="80"/>
      <c r="K2021" s="81"/>
      <c r="L2021" s="81"/>
      <c r="M2021" s="81"/>
      <c r="N2021" s="84" t="str">
        <f aca="false">IF(C2021="","",IF(P2021="","NJ INCONNU",IF(I2021="",IF(H2021="OUI","À ENROBER",IF(G2021="À SOUDER","NON SOUDÉ","EN ATTENTE RT")),IF(L2021="R","À REPRENDRE",IF(H2021&lt;&gt;"OUI","⚠ ENROBÉ AVANT ACCEPTATION RT","ENROBÉ")))))</f>
        <v>À ENROBER</v>
      </c>
      <c r="O2021" s="80"/>
      <c r="P2021" s="82" t="n">
        <f aca="false">IF(C2021="","",IFERROR(MATCH(Q2021,'CARNET DE SOUDURE'!$AW$7:$AW$3006,0),""))</f>
        <v>2015</v>
      </c>
      <c r="Q2021" s="82" t="str">
        <f aca="false">IF(C2021="","",B2021&amp;"|"&amp;C2021)</f>
        <v>MFD-ISW → MFD-CPF|DJ°028</v>
      </c>
    </row>
    <row r="2022" customFormat="false" ht="74.6" hidden="false" customHeight="false" outlineLevel="0" collapsed="false">
      <c r="A2022" s="82" t="n">
        <f aca="false">IF(C2022="","",ROW()-6)</f>
        <v>2016</v>
      </c>
      <c r="B2022" s="80" t="s">
        <v>110</v>
      </c>
      <c r="C2022" s="113" t="s">
        <v>2459</v>
      </c>
      <c r="D2022" s="82" t="str">
        <f aca="false">IF(OR(C2022="",P2022=""),"",INDEX('CARNET DE SOUDURE'!$D$7:$D$3006,P2022)&amp;"")</f>
        <v>19</v>
      </c>
      <c r="E2022" s="114" t="n">
        <f aca="false">IF(OR(C2022="",P2022=""),"",IF(INDEX('CARNET DE SOUDURE'!$U$7:$U$3006,P2022)="","",INDEX('CARNET DE SOUDURE'!$U$7:$U$3006,P2022)))</f>
        <v>46267</v>
      </c>
      <c r="F2022" s="82" t="str">
        <f aca="false">IF(OR(C2022="",P2022=""),"",INDEX('CARNET DE SOUDURE'!$AP$7:$AP$3006,P2022))</f>
        <v>A</v>
      </c>
      <c r="G2022" s="82" t="str">
        <f aca="false">IF(C2022="","",IF(P2022="","NJ INCONNU",INDEX('CARNET DE SOUDURE'!$AQ$7:$AQ$3006,P2022)))</f>
        <v>ACCEPTÉ</v>
      </c>
      <c r="H2022" s="82" t="str">
        <f aca="false">IF(C2022="","",IF(G2022="ACCEPTÉ","OUI","NON"))</f>
        <v>OUI</v>
      </c>
      <c r="I2022" s="83"/>
      <c r="J2022" s="80"/>
      <c r="K2022" s="81"/>
      <c r="L2022" s="81"/>
      <c r="M2022" s="81"/>
      <c r="N2022" s="84" t="str">
        <f aca="false">IF(C2022="","",IF(P2022="","NJ INCONNU",IF(I2022="",IF(H2022="OUI","À ENROBER",IF(G2022="À SOUDER","NON SOUDÉ","EN ATTENTE RT")),IF(L2022="R","À REPRENDRE",IF(H2022&lt;&gt;"OUI","⚠ ENROBÉ AVANT ACCEPTATION RT","ENROBÉ")))))</f>
        <v>À ENROBER</v>
      </c>
      <c r="O2022" s="80"/>
      <c r="P2022" s="82" t="n">
        <f aca="false">IF(C2022="","",IFERROR(MATCH(Q2022,'CARNET DE SOUDURE'!$AW$7:$AW$3006,0),""))</f>
        <v>2016</v>
      </c>
      <c r="Q2022" s="82" t="str">
        <f aca="false">IF(C2022="","",B2022&amp;"|"&amp;C2022)</f>
        <v>MFD-ISW → MFD-CPF|JN°1544</v>
      </c>
    </row>
    <row r="2023" customFormat="false" ht="74.6" hidden="false" customHeight="false" outlineLevel="0" collapsed="false">
      <c r="A2023" s="82" t="n">
        <f aca="false">IF(C2023="","",ROW()-6)</f>
        <v>2017</v>
      </c>
      <c r="B2023" s="80" t="s">
        <v>110</v>
      </c>
      <c r="C2023" s="113" t="s">
        <v>2460</v>
      </c>
      <c r="D2023" s="82" t="str">
        <f aca="false">IF(OR(C2023="",P2023=""),"",INDEX('CARNET DE SOUDURE'!$D$7:$D$3006,P2023)&amp;"")</f>
        <v>19</v>
      </c>
      <c r="E2023" s="114" t="n">
        <f aca="false">IF(OR(C2023="",P2023=""),"",IF(INDEX('CARNET DE SOUDURE'!$U$7:$U$3006,P2023)="","",INDEX('CARNET DE SOUDURE'!$U$7:$U$3006,P2023)))</f>
        <v>46251</v>
      </c>
      <c r="F2023" s="82" t="str">
        <f aca="false">IF(OR(C2023="",P2023=""),"",INDEX('CARNET DE SOUDURE'!$AP$7:$AP$3006,P2023))</f>
        <v>A</v>
      </c>
      <c r="G2023" s="82" t="str">
        <f aca="false">IF(C2023="","",IF(P2023="","NJ INCONNU",INDEX('CARNET DE SOUDURE'!$AQ$7:$AQ$3006,P2023)))</f>
        <v>ACCEPTÉ</v>
      </c>
      <c r="H2023" s="82" t="str">
        <f aca="false">IF(C2023="","",IF(G2023="ACCEPTÉ","OUI","NON"))</f>
        <v>OUI</v>
      </c>
      <c r="I2023" s="83"/>
      <c r="J2023" s="80"/>
      <c r="K2023" s="81"/>
      <c r="L2023" s="81"/>
      <c r="M2023" s="81"/>
      <c r="N2023" s="84" t="str">
        <f aca="false">IF(C2023="","",IF(P2023="","NJ INCONNU",IF(I2023="",IF(H2023="OUI","À ENROBER",IF(G2023="À SOUDER","NON SOUDÉ","EN ATTENTE RT")),IF(L2023="R","À REPRENDRE",IF(H2023&lt;&gt;"OUI","⚠ ENROBÉ AVANT ACCEPTATION RT","ENROBÉ")))))</f>
        <v>À ENROBER</v>
      </c>
      <c r="O2023" s="80"/>
      <c r="P2023" s="82" t="n">
        <f aca="false">IF(C2023="","",IFERROR(MATCH(Q2023,'CARNET DE SOUDURE'!$AW$7:$AW$3006,0),""))</f>
        <v>2017</v>
      </c>
      <c r="Q2023" s="82" t="str">
        <f aca="false">IF(C2023="","",B2023&amp;"|"&amp;C2023)</f>
        <v>MFD-ISW → MFD-CPF|DJ°036</v>
      </c>
    </row>
    <row r="2024" customFormat="false" ht="74.6" hidden="false" customHeight="false" outlineLevel="0" collapsed="false">
      <c r="A2024" s="82" t="n">
        <f aca="false">IF(C2024="","",ROW()-6)</f>
        <v>2018</v>
      </c>
      <c r="B2024" s="80" t="s">
        <v>110</v>
      </c>
      <c r="C2024" s="113" t="s">
        <v>2461</v>
      </c>
      <c r="D2024" s="82" t="str">
        <f aca="false">IF(OR(C2024="",P2024=""),"",INDEX('CARNET DE SOUDURE'!$D$7:$D$3006,P2024)&amp;"")</f>
        <v>19</v>
      </c>
      <c r="E2024" s="114" t="n">
        <f aca="false">IF(OR(C2024="",P2024=""),"",IF(INDEX('CARNET DE SOUDURE'!$U$7:$U$3006,P2024)="","",INDEX('CARNET DE SOUDURE'!$U$7:$U$3006,P2024)))</f>
        <v>46267</v>
      </c>
      <c r="F2024" s="82" t="str">
        <f aca="false">IF(OR(C2024="",P2024=""),"",INDEX('CARNET DE SOUDURE'!$AP$7:$AP$3006,P2024))</f>
        <v>A</v>
      </c>
      <c r="G2024" s="82" t="str">
        <f aca="false">IF(C2024="","",IF(P2024="","NJ INCONNU",INDEX('CARNET DE SOUDURE'!$AQ$7:$AQ$3006,P2024)))</f>
        <v>ACCEPTÉ</v>
      </c>
      <c r="H2024" s="82" t="str">
        <f aca="false">IF(C2024="","",IF(G2024="ACCEPTÉ","OUI","NON"))</f>
        <v>OUI</v>
      </c>
      <c r="I2024" s="83"/>
      <c r="J2024" s="80"/>
      <c r="K2024" s="81"/>
      <c r="L2024" s="81"/>
      <c r="M2024" s="81"/>
      <c r="N2024" s="84" t="str">
        <f aca="false">IF(C2024="","",IF(P2024="","NJ INCONNU",IF(I2024="",IF(H2024="OUI","À ENROBER",IF(G2024="À SOUDER","NON SOUDÉ","EN ATTENTE RT")),IF(L2024="R","À REPRENDRE",IF(H2024&lt;&gt;"OUI","⚠ ENROBÉ AVANT ACCEPTATION RT","ENROBÉ")))))</f>
        <v>À ENROBER</v>
      </c>
      <c r="O2024" s="80"/>
      <c r="P2024" s="82" t="n">
        <f aca="false">IF(C2024="","",IFERROR(MATCH(Q2024,'CARNET DE SOUDURE'!$AW$7:$AW$3006,0),""))</f>
        <v>2018</v>
      </c>
      <c r="Q2024" s="82" t="str">
        <f aca="false">IF(C2024="","",B2024&amp;"|"&amp;C2024)</f>
        <v>MFD-ISW → MFD-CPF|JN°1545</v>
      </c>
    </row>
    <row r="2025" customFormat="false" ht="74.6" hidden="false" customHeight="false" outlineLevel="0" collapsed="false">
      <c r="A2025" s="82" t="n">
        <f aca="false">IF(C2025="","",ROW()-6)</f>
        <v>2019</v>
      </c>
      <c r="B2025" s="80" t="s">
        <v>110</v>
      </c>
      <c r="C2025" s="113" t="s">
        <v>2462</v>
      </c>
      <c r="D2025" s="82" t="str">
        <f aca="false">IF(OR(C2025="",P2025=""),"",INDEX('CARNET DE SOUDURE'!$D$7:$D$3006,P2025)&amp;"")</f>
        <v>19</v>
      </c>
      <c r="E2025" s="114" t="n">
        <f aca="false">IF(OR(C2025="",P2025=""),"",IF(INDEX('CARNET DE SOUDURE'!$U$7:$U$3006,P2025)="","",INDEX('CARNET DE SOUDURE'!$U$7:$U$3006,P2025)))</f>
        <v>46251</v>
      </c>
      <c r="F2025" s="82" t="str">
        <f aca="false">IF(OR(C2025="",P2025=""),"",INDEX('CARNET DE SOUDURE'!$AP$7:$AP$3006,P2025))</f>
        <v>A</v>
      </c>
      <c r="G2025" s="82" t="str">
        <f aca="false">IF(C2025="","",IF(P2025="","NJ INCONNU",INDEX('CARNET DE SOUDURE'!$AQ$7:$AQ$3006,P2025)))</f>
        <v>ACCEPTÉ</v>
      </c>
      <c r="H2025" s="82" t="str">
        <f aca="false">IF(C2025="","",IF(G2025="ACCEPTÉ","OUI","NON"))</f>
        <v>OUI</v>
      </c>
      <c r="I2025" s="83"/>
      <c r="J2025" s="80"/>
      <c r="K2025" s="81"/>
      <c r="L2025" s="81"/>
      <c r="M2025" s="81"/>
      <c r="N2025" s="84" t="str">
        <f aca="false">IF(C2025="","",IF(P2025="","NJ INCONNU",IF(I2025="",IF(H2025="OUI","À ENROBER",IF(G2025="À SOUDER","NON SOUDÉ","EN ATTENTE RT")),IF(L2025="R","À REPRENDRE",IF(H2025&lt;&gt;"OUI","⚠ ENROBÉ AVANT ACCEPTATION RT","ENROBÉ")))))</f>
        <v>À ENROBER</v>
      </c>
      <c r="O2025" s="80"/>
      <c r="P2025" s="82" t="n">
        <f aca="false">IF(C2025="","",IFERROR(MATCH(Q2025,'CARNET DE SOUDURE'!$AW$7:$AW$3006,0),""))</f>
        <v>2019</v>
      </c>
      <c r="Q2025" s="82" t="str">
        <f aca="false">IF(C2025="","",B2025&amp;"|"&amp;C2025)</f>
        <v>MFD-ISW → MFD-CPF|DJ°038</v>
      </c>
    </row>
    <row r="2026" customFormat="false" ht="74.6" hidden="false" customHeight="false" outlineLevel="0" collapsed="false">
      <c r="A2026" s="82" t="n">
        <f aca="false">IF(C2026="","",ROW()-6)</f>
        <v>2020</v>
      </c>
      <c r="B2026" s="80" t="s">
        <v>110</v>
      </c>
      <c r="C2026" s="113" t="s">
        <v>2463</v>
      </c>
      <c r="D2026" s="82" t="str">
        <f aca="false">IF(OR(C2026="",P2026=""),"",INDEX('CARNET DE SOUDURE'!$D$7:$D$3006,P2026)&amp;"")</f>
        <v>19</v>
      </c>
      <c r="E2026" s="114" t="n">
        <f aca="false">IF(OR(C2026="",P2026=""),"",IF(INDEX('CARNET DE SOUDURE'!$U$7:$U$3006,P2026)="","",INDEX('CARNET DE SOUDURE'!$U$7:$U$3006,P2026)))</f>
        <v>46287</v>
      </c>
      <c r="F2026" s="82" t="str">
        <f aca="false">IF(OR(C2026="",P2026=""),"",INDEX('CARNET DE SOUDURE'!$AP$7:$AP$3006,P2026))</f>
        <v/>
      </c>
      <c r="G2026" s="82" t="str">
        <f aca="false">IF(C2026="","",IF(P2026="","NJ INCONNU",INDEX('CARNET DE SOUDURE'!$AQ$7:$AQ$3006,P2026)))</f>
        <v>À RADIOGRAPHIER</v>
      </c>
      <c r="H2026" s="82" t="str">
        <f aca="false">IF(C2026="","",IF(G2026="ACCEPTÉ","OUI","NON"))</f>
        <v>NON</v>
      </c>
      <c r="I2026" s="83"/>
      <c r="J2026" s="80"/>
      <c r="K2026" s="81"/>
      <c r="L2026" s="81"/>
      <c r="M2026" s="81"/>
      <c r="N2026" s="84" t="str">
        <f aca="false">IF(C2026="","",IF(P2026="","NJ INCONNU",IF(I2026="",IF(H2026="OUI","À ENROBER",IF(G2026="À SOUDER","NON SOUDÉ","EN ATTENTE RT")),IF(L2026="R","À REPRENDRE",IF(H2026&lt;&gt;"OUI","⚠ ENROBÉ AVANT ACCEPTATION RT","ENROBÉ")))))</f>
        <v>EN ATTENTE RT</v>
      </c>
      <c r="O2026" s="80"/>
      <c r="P2026" s="82" t="n">
        <f aca="false">IF(C2026="","",IFERROR(MATCH(Q2026,'CARNET DE SOUDURE'!$AW$7:$AW$3006,0),""))</f>
        <v>2020</v>
      </c>
      <c r="Q2026" s="82" t="str">
        <f aca="false">IF(C2026="","",B2026&amp;"|"&amp;C2026)</f>
        <v>MFD-ISW → MFD-CPF|JN°1546R</v>
      </c>
    </row>
    <row r="2027" customFormat="false" ht="74.6" hidden="false" customHeight="false" outlineLevel="0" collapsed="false">
      <c r="A2027" s="82" t="n">
        <f aca="false">IF(C2027="","",ROW()-6)</f>
        <v>2021</v>
      </c>
      <c r="B2027" s="80" t="s">
        <v>110</v>
      </c>
      <c r="C2027" s="113" t="s">
        <v>2464</v>
      </c>
      <c r="D2027" s="82" t="str">
        <f aca="false">IF(OR(C2027="",P2027=""),"",INDEX('CARNET DE SOUDURE'!$D$7:$D$3006,P2027)&amp;"")</f>
        <v>19</v>
      </c>
      <c r="E2027" s="114" t="n">
        <f aca="false">IF(OR(C2027="",P2027=""),"",IF(INDEX('CARNET DE SOUDURE'!$U$7:$U$3006,P2027)="","",INDEX('CARNET DE SOUDURE'!$U$7:$U$3006,P2027)))</f>
        <v>46251</v>
      </c>
      <c r="F2027" s="82" t="str">
        <f aca="false">IF(OR(C2027="",P2027=""),"",INDEX('CARNET DE SOUDURE'!$AP$7:$AP$3006,P2027))</f>
        <v>A</v>
      </c>
      <c r="G2027" s="82" t="str">
        <f aca="false">IF(C2027="","",IF(P2027="","NJ INCONNU",INDEX('CARNET DE SOUDURE'!$AQ$7:$AQ$3006,P2027)))</f>
        <v>ACCEPTÉ</v>
      </c>
      <c r="H2027" s="82" t="str">
        <f aca="false">IF(C2027="","",IF(G2027="ACCEPTÉ","OUI","NON"))</f>
        <v>OUI</v>
      </c>
      <c r="I2027" s="83"/>
      <c r="J2027" s="80"/>
      <c r="K2027" s="81"/>
      <c r="L2027" s="81"/>
      <c r="M2027" s="81"/>
      <c r="N2027" s="84" t="str">
        <f aca="false">IF(C2027="","",IF(P2027="","NJ INCONNU",IF(I2027="",IF(H2027="OUI","À ENROBER",IF(G2027="À SOUDER","NON SOUDÉ","EN ATTENTE RT")),IF(L2027="R","À REPRENDRE",IF(H2027&lt;&gt;"OUI","⚠ ENROBÉ AVANT ACCEPTATION RT","ENROBÉ")))))</f>
        <v>À ENROBER</v>
      </c>
      <c r="O2027" s="80"/>
      <c r="P2027" s="82" t="n">
        <f aca="false">IF(C2027="","",IFERROR(MATCH(Q2027,'CARNET DE SOUDURE'!$AW$7:$AW$3006,0),""))</f>
        <v>2021</v>
      </c>
      <c r="Q2027" s="82" t="str">
        <f aca="false">IF(C2027="","",B2027&amp;"|"&amp;C2027)</f>
        <v>MFD-ISW → MFD-CPF|DJ°033</v>
      </c>
    </row>
    <row r="2028" customFormat="false" ht="74.6" hidden="false" customHeight="false" outlineLevel="0" collapsed="false">
      <c r="A2028" s="82" t="n">
        <f aca="false">IF(C2028="","",ROW()-6)</f>
        <v>2022</v>
      </c>
      <c r="B2028" s="80" t="s">
        <v>110</v>
      </c>
      <c r="C2028" s="113" t="s">
        <v>2465</v>
      </c>
      <c r="D2028" s="82" t="str">
        <f aca="false">IF(OR(C2028="",P2028=""),"",INDEX('CARNET DE SOUDURE'!$D$7:$D$3006,P2028)&amp;"")</f>
        <v>19</v>
      </c>
      <c r="E2028" s="114" t="n">
        <f aca="false">IF(OR(C2028="",P2028=""),"",IF(INDEX('CARNET DE SOUDURE'!$U$7:$U$3006,P2028)="","",INDEX('CARNET DE SOUDURE'!$U$7:$U$3006,P2028)))</f>
        <v>46267</v>
      </c>
      <c r="F2028" s="82" t="str">
        <f aca="false">IF(OR(C2028="",P2028=""),"",INDEX('CARNET DE SOUDURE'!$AP$7:$AP$3006,P2028))</f>
        <v>A</v>
      </c>
      <c r="G2028" s="82" t="str">
        <f aca="false">IF(C2028="","",IF(P2028="","NJ INCONNU",INDEX('CARNET DE SOUDURE'!$AQ$7:$AQ$3006,P2028)))</f>
        <v>ACCEPTÉ</v>
      </c>
      <c r="H2028" s="82" t="str">
        <f aca="false">IF(C2028="","",IF(G2028="ACCEPTÉ","OUI","NON"))</f>
        <v>OUI</v>
      </c>
      <c r="I2028" s="83"/>
      <c r="J2028" s="80"/>
      <c r="K2028" s="81"/>
      <c r="L2028" s="81"/>
      <c r="M2028" s="81"/>
      <c r="N2028" s="84" t="str">
        <f aca="false">IF(C2028="","",IF(P2028="","NJ INCONNU",IF(I2028="",IF(H2028="OUI","À ENROBER",IF(G2028="À SOUDER","NON SOUDÉ","EN ATTENTE RT")),IF(L2028="R","À REPRENDRE",IF(H2028&lt;&gt;"OUI","⚠ ENROBÉ AVANT ACCEPTATION RT","ENROBÉ")))))</f>
        <v>À ENROBER</v>
      </c>
      <c r="O2028" s="80"/>
      <c r="P2028" s="82" t="n">
        <f aca="false">IF(C2028="","",IFERROR(MATCH(Q2028,'CARNET DE SOUDURE'!$AW$7:$AW$3006,0),""))</f>
        <v>2022</v>
      </c>
      <c r="Q2028" s="82" t="str">
        <f aca="false">IF(C2028="","",B2028&amp;"|"&amp;C2028)</f>
        <v>MFD-ISW → MFD-CPF|JN°1547</v>
      </c>
    </row>
    <row r="2029" customFormat="false" ht="74.6" hidden="false" customHeight="false" outlineLevel="0" collapsed="false">
      <c r="A2029" s="82" t="n">
        <f aca="false">IF(C2029="","",ROW()-6)</f>
        <v>2023</v>
      </c>
      <c r="B2029" s="80" t="s">
        <v>110</v>
      </c>
      <c r="C2029" s="113" t="s">
        <v>2466</v>
      </c>
      <c r="D2029" s="82" t="str">
        <f aca="false">IF(OR(C2029="",P2029=""),"",INDEX('CARNET DE SOUDURE'!$D$7:$D$3006,P2029)&amp;"")</f>
        <v>19</v>
      </c>
      <c r="E2029" s="114" t="n">
        <f aca="false">IF(OR(C2029="",P2029=""),"",IF(INDEX('CARNET DE SOUDURE'!$U$7:$U$3006,P2029)="","",INDEX('CARNET DE SOUDURE'!$U$7:$U$3006,P2029)))</f>
        <v>46251</v>
      </c>
      <c r="F2029" s="82" t="str">
        <f aca="false">IF(OR(C2029="",P2029=""),"",INDEX('CARNET DE SOUDURE'!$AP$7:$AP$3006,P2029))</f>
        <v>A</v>
      </c>
      <c r="G2029" s="82" t="str">
        <f aca="false">IF(C2029="","",IF(P2029="","NJ INCONNU",INDEX('CARNET DE SOUDURE'!$AQ$7:$AQ$3006,P2029)))</f>
        <v>ACCEPTÉ</v>
      </c>
      <c r="H2029" s="82" t="str">
        <f aca="false">IF(C2029="","",IF(G2029="ACCEPTÉ","OUI","NON"))</f>
        <v>OUI</v>
      </c>
      <c r="I2029" s="83"/>
      <c r="J2029" s="80"/>
      <c r="K2029" s="81"/>
      <c r="L2029" s="81"/>
      <c r="M2029" s="81"/>
      <c r="N2029" s="84" t="str">
        <f aca="false">IF(C2029="","",IF(P2029="","NJ INCONNU",IF(I2029="",IF(H2029="OUI","À ENROBER",IF(G2029="À SOUDER","NON SOUDÉ","EN ATTENTE RT")),IF(L2029="R","À REPRENDRE",IF(H2029&lt;&gt;"OUI","⚠ ENROBÉ AVANT ACCEPTATION RT","ENROBÉ")))))</f>
        <v>À ENROBER</v>
      </c>
      <c r="O2029" s="80"/>
      <c r="P2029" s="82" t="n">
        <f aca="false">IF(C2029="","",IFERROR(MATCH(Q2029,'CARNET DE SOUDURE'!$AW$7:$AW$3006,0),""))</f>
        <v>2023</v>
      </c>
      <c r="Q2029" s="82" t="str">
        <f aca="false">IF(C2029="","",B2029&amp;"|"&amp;C2029)</f>
        <v>MFD-ISW → MFD-CPF|DJ°035</v>
      </c>
    </row>
    <row r="2030" customFormat="false" ht="74.6" hidden="false" customHeight="false" outlineLevel="0" collapsed="false">
      <c r="A2030" s="82" t="n">
        <f aca="false">IF(C2030="","",ROW()-6)</f>
        <v>2024</v>
      </c>
      <c r="B2030" s="80" t="s">
        <v>110</v>
      </c>
      <c r="C2030" s="113" t="s">
        <v>2467</v>
      </c>
      <c r="D2030" s="82" t="str">
        <f aca="false">IF(OR(C2030="",P2030=""),"",INDEX('CARNET DE SOUDURE'!$D$7:$D$3006,P2030)&amp;"")</f>
        <v>19</v>
      </c>
      <c r="E2030" s="114" t="n">
        <f aca="false">IF(OR(C2030="",P2030=""),"",IF(INDEX('CARNET DE SOUDURE'!$U$7:$U$3006,P2030)="","",INDEX('CARNET DE SOUDURE'!$U$7:$U$3006,P2030)))</f>
        <v>46267</v>
      </c>
      <c r="F2030" s="82" t="str">
        <f aca="false">IF(OR(C2030="",P2030=""),"",INDEX('CARNET DE SOUDURE'!$AP$7:$AP$3006,P2030))</f>
        <v>A</v>
      </c>
      <c r="G2030" s="82" t="str">
        <f aca="false">IF(C2030="","",IF(P2030="","NJ INCONNU",INDEX('CARNET DE SOUDURE'!$AQ$7:$AQ$3006,P2030)))</f>
        <v>ACCEPTÉ</v>
      </c>
      <c r="H2030" s="82" t="str">
        <f aca="false">IF(C2030="","",IF(G2030="ACCEPTÉ","OUI","NON"))</f>
        <v>OUI</v>
      </c>
      <c r="I2030" s="83"/>
      <c r="J2030" s="80"/>
      <c r="K2030" s="81"/>
      <c r="L2030" s="81"/>
      <c r="M2030" s="81"/>
      <c r="N2030" s="84" t="str">
        <f aca="false">IF(C2030="","",IF(P2030="","NJ INCONNU",IF(I2030="",IF(H2030="OUI","À ENROBER",IF(G2030="À SOUDER","NON SOUDÉ","EN ATTENTE RT")),IF(L2030="R","À REPRENDRE",IF(H2030&lt;&gt;"OUI","⚠ ENROBÉ AVANT ACCEPTATION RT","ENROBÉ")))))</f>
        <v>À ENROBER</v>
      </c>
      <c r="O2030" s="80"/>
      <c r="P2030" s="82" t="n">
        <f aca="false">IF(C2030="","",IFERROR(MATCH(Q2030,'CARNET DE SOUDURE'!$AW$7:$AW$3006,0),""))</f>
        <v>2024</v>
      </c>
      <c r="Q2030" s="82" t="str">
        <f aca="false">IF(C2030="","",B2030&amp;"|"&amp;C2030)</f>
        <v>MFD-ISW → MFD-CPF|JN°1548</v>
      </c>
    </row>
    <row r="2031" customFormat="false" ht="74.6" hidden="false" customHeight="false" outlineLevel="0" collapsed="false">
      <c r="A2031" s="82" t="n">
        <f aca="false">IF(C2031="","",ROW()-6)</f>
        <v>2025</v>
      </c>
      <c r="B2031" s="80" t="s">
        <v>110</v>
      </c>
      <c r="C2031" s="113" t="s">
        <v>2469</v>
      </c>
      <c r="D2031" s="82" t="str">
        <f aca="false">IF(OR(C2031="",P2031=""),"",INDEX('CARNET DE SOUDURE'!$D$7:$D$3006,P2031)&amp;"")</f>
        <v>19</v>
      </c>
      <c r="E2031" s="114" t="n">
        <f aca="false">IF(OR(C2031="",P2031=""),"",IF(INDEX('CARNET DE SOUDURE'!$U$7:$U$3006,P2031)="","",INDEX('CARNET DE SOUDURE'!$U$7:$U$3006,P2031)))</f>
        <v>46255</v>
      </c>
      <c r="F2031" s="82" t="str">
        <f aca="false">IF(OR(C2031="",P2031=""),"",INDEX('CARNET DE SOUDURE'!$AP$7:$AP$3006,P2031))</f>
        <v>A</v>
      </c>
      <c r="G2031" s="82" t="str">
        <f aca="false">IF(C2031="","",IF(P2031="","NJ INCONNU",INDEX('CARNET DE SOUDURE'!$AQ$7:$AQ$3006,P2031)))</f>
        <v>ACCEPTÉ</v>
      </c>
      <c r="H2031" s="82" t="str">
        <f aca="false">IF(C2031="","",IF(G2031="ACCEPTÉ","OUI","NON"))</f>
        <v>OUI</v>
      </c>
      <c r="I2031" s="83"/>
      <c r="J2031" s="80"/>
      <c r="K2031" s="81"/>
      <c r="L2031" s="81"/>
      <c r="M2031" s="81"/>
      <c r="N2031" s="84" t="str">
        <f aca="false">IF(C2031="","",IF(P2031="","NJ INCONNU",IF(I2031="",IF(H2031="OUI","À ENROBER",IF(G2031="À SOUDER","NON SOUDÉ","EN ATTENTE RT")),IF(L2031="R","À REPRENDRE",IF(H2031&lt;&gt;"OUI","⚠ ENROBÉ AVANT ACCEPTATION RT","ENROBÉ")))))</f>
        <v>À ENROBER</v>
      </c>
      <c r="O2031" s="80"/>
      <c r="P2031" s="82" t="n">
        <f aca="false">IF(C2031="","",IFERROR(MATCH(Q2031,'CARNET DE SOUDURE'!$AW$7:$AW$3006,0),""))</f>
        <v>2025</v>
      </c>
      <c r="Q2031" s="82" t="str">
        <f aca="false">IF(C2031="","",B2031&amp;"|"&amp;C2031)</f>
        <v>MFD-ISW → MFD-CPF|DJ°075</v>
      </c>
    </row>
    <row r="2032" customFormat="false" ht="74.6" hidden="false" customHeight="false" outlineLevel="0" collapsed="false">
      <c r="A2032" s="82" t="n">
        <f aca="false">IF(C2032="","",ROW()-6)</f>
        <v>2026</v>
      </c>
      <c r="B2032" s="80" t="s">
        <v>110</v>
      </c>
      <c r="C2032" s="113" t="s">
        <v>2470</v>
      </c>
      <c r="D2032" s="82" t="str">
        <f aca="false">IF(OR(C2032="",P2032=""),"",INDEX('CARNET DE SOUDURE'!$D$7:$D$3006,P2032)&amp;"")</f>
        <v>19</v>
      </c>
      <c r="E2032" s="114" t="n">
        <f aca="false">IF(OR(C2032="",P2032=""),"",IF(INDEX('CARNET DE SOUDURE'!$U$7:$U$3006,P2032)="","",INDEX('CARNET DE SOUDURE'!$U$7:$U$3006,P2032)))</f>
        <v>46267</v>
      </c>
      <c r="F2032" s="82" t="str">
        <f aca="false">IF(OR(C2032="",P2032=""),"",INDEX('CARNET DE SOUDURE'!$AP$7:$AP$3006,P2032))</f>
        <v>A</v>
      </c>
      <c r="G2032" s="82" t="str">
        <f aca="false">IF(C2032="","",IF(P2032="","NJ INCONNU",INDEX('CARNET DE SOUDURE'!$AQ$7:$AQ$3006,P2032)))</f>
        <v>ACCEPTÉ</v>
      </c>
      <c r="H2032" s="82" t="str">
        <f aca="false">IF(C2032="","",IF(G2032="ACCEPTÉ","OUI","NON"))</f>
        <v>OUI</v>
      </c>
      <c r="I2032" s="83"/>
      <c r="J2032" s="80"/>
      <c r="K2032" s="81"/>
      <c r="L2032" s="81"/>
      <c r="M2032" s="81"/>
      <c r="N2032" s="84" t="str">
        <f aca="false">IF(C2032="","",IF(P2032="","NJ INCONNU",IF(I2032="",IF(H2032="OUI","À ENROBER",IF(G2032="À SOUDER","NON SOUDÉ","EN ATTENTE RT")),IF(L2032="R","À REPRENDRE",IF(H2032&lt;&gt;"OUI","⚠ ENROBÉ AVANT ACCEPTATION RT","ENROBÉ")))))</f>
        <v>À ENROBER</v>
      </c>
      <c r="O2032" s="80"/>
      <c r="P2032" s="82" t="n">
        <f aca="false">IF(C2032="","",IFERROR(MATCH(Q2032,'CARNET DE SOUDURE'!$AW$7:$AW$3006,0),""))</f>
        <v>2026</v>
      </c>
      <c r="Q2032" s="82" t="str">
        <f aca="false">IF(C2032="","",B2032&amp;"|"&amp;C2032)</f>
        <v>MFD-ISW → MFD-CPF|JN°1549</v>
      </c>
    </row>
    <row r="2033" customFormat="false" ht="74.6" hidden="false" customHeight="false" outlineLevel="0" collapsed="false">
      <c r="A2033" s="82" t="n">
        <f aca="false">IF(C2033="","",ROW()-6)</f>
        <v>2027</v>
      </c>
      <c r="B2033" s="80" t="s">
        <v>110</v>
      </c>
      <c r="C2033" s="113" t="s">
        <v>2471</v>
      </c>
      <c r="D2033" s="82" t="str">
        <f aca="false">IF(OR(C2033="",P2033=""),"",INDEX('CARNET DE SOUDURE'!$D$7:$D$3006,P2033)&amp;"")</f>
        <v>19</v>
      </c>
      <c r="E2033" s="114" t="n">
        <f aca="false">IF(OR(C2033="",P2033=""),"",IF(INDEX('CARNET DE SOUDURE'!$U$7:$U$3006,P2033)="","",INDEX('CARNET DE SOUDURE'!$U$7:$U$3006,P2033)))</f>
        <v>46254</v>
      </c>
      <c r="F2033" s="82" t="str">
        <f aca="false">IF(OR(C2033="",P2033=""),"",INDEX('CARNET DE SOUDURE'!$AP$7:$AP$3006,P2033))</f>
        <v>A</v>
      </c>
      <c r="G2033" s="82" t="str">
        <f aca="false">IF(C2033="","",IF(P2033="","NJ INCONNU",INDEX('CARNET DE SOUDURE'!$AQ$7:$AQ$3006,P2033)))</f>
        <v>ACCEPTÉ</v>
      </c>
      <c r="H2033" s="82" t="str">
        <f aca="false">IF(C2033="","",IF(G2033="ACCEPTÉ","OUI","NON"))</f>
        <v>OUI</v>
      </c>
      <c r="I2033" s="83"/>
      <c r="J2033" s="80"/>
      <c r="K2033" s="81"/>
      <c r="L2033" s="81"/>
      <c r="M2033" s="81"/>
      <c r="N2033" s="84" t="str">
        <f aca="false">IF(C2033="","",IF(P2033="","NJ INCONNU",IF(I2033="",IF(H2033="OUI","À ENROBER",IF(G2033="À SOUDER","NON SOUDÉ","EN ATTENTE RT")),IF(L2033="R","À REPRENDRE",IF(H2033&lt;&gt;"OUI","⚠ ENROBÉ AVANT ACCEPTATION RT","ENROBÉ")))))</f>
        <v>À ENROBER</v>
      </c>
      <c r="O2033" s="80"/>
      <c r="P2033" s="82" t="n">
        <f aca="false">IF(C2033="","",IFERROR(MATCH(Q2033,'CARNET DE SOUDURE'!$AW$7:$AW$3006,0),""))</f>
        <v>2027</v>
      </c>
      <c r="Q2033" s="82" t="str">
        <f aca="false">IF(C2033="","",B2033&amp;"|"&amp;C2033)</f>
        <v>MFD-ISW → MFD-CPF|DJ°066</v>
      </c>
    </row>
    <row r="2034" customFormat="false" ht="74.6" hidden="false" customHeight="false" outlineLevel="0" collapsed="false">
      <c r="A2034" s="82" t="n">
        <f aca="false">IF(C2034="","",ROW()-6)</f>
        <v>2028</v>
      </c>
      <c r="B2034" s="80" t="s">
        <v>110</v>
      </c>
      <c r="C2034" s="113" t="s">
        <v>2472</v>
      </c>
      <c r="D2034" s="82" t="str">
        <f aca="false">IF(OR(C2034="",P2034=""),"",INDEX('CARNET DE SOUDURE'!$D$7:$D$3006,P2034)&amp;"")</f>
        <v>19</v>
      </c>
      <c r="E2034" s="114" t="n">
        <f aca="false">IF(OR(C2034="",P2034=""),"",IF(INDEX('CARNET DE SOUDURE'!$U$7:$U$3006,P2034)="","",INDEX('CARNET DE SOUDURE'!$U$7:$U$3006,P2034)))</f>
        <v>46287</v>
      </c>
      <c r="F2034" s="82" t="str">
        <f aca="false">IF(OR(C2034="",P2034=""),"",INDEX('CARNET DE SOUDURE'!$AP$7:$AP$3006,P2034))</f>
        <v/>
      </c>
      <c r="G2034" s="82" t="str">
        <f aca="false">IF(C2034="","",IF(P2034="","NJ INCONNU",INDEX('CARNET DE SOUDURE'!$AQ$7:$AQ$3006,P2034)))</f>
        <v>À RADIOGRAPHIER</v>
      </c>
      <c r="H2034" s="82" t="str">
        <f aca="false">IF(C2034="","",IF(G2034="ACCEPTÉ","OUI","NON"))</f>
        <v>NON</v>
      </c>
      <c r="I2034" s="83"/>
      <c r="J2034" s="80"/>
      <c r="K2034" s="81"/>
      <c r="L2034" s="81"/>
      <c r="M2034" s="81"/>
      <c r="N2034" s="84" t="str">
        <f aca="false">IF(C2034="","",IF(P2034="","NJ INCONNU",IF(I2034="",IF(H2034="OUI","À ENROBER",IF(G2034="À SOUDER","NON SOUDÉ","EN ATTENTE RT")),IF(L2034="R","À REPRENDRE",IF(H2034&lt;&gt;"OUI","⚠ ENROBÉ AVANT ACCEPTATION RT","ENROBÉ")))))</f>
        <v>EN ATTENTE RT</v>
      </c>
      <c r="O2034" s="80"/>
      <c r="P2034" s="82" t="n">
        <f aca="false">IF(C2034="","",IFERROR(MATCH(Q2034,'CARNET DE SOUDURE'!$AW$7:$AW$3006,0),""))</f>
        <v>2028</v>
      </c>
      <c r="Q2034" s="82" t="str">
        <f aca="false">IF(C2034="","",B2034&amp;"|"&amp;C2034)</f>
        <v>MFD-ISW → MFD-CPF|JN°1550R</v>
      </c>
    </row>
    <row r="2035" customFormat="false" ht="74.6" hidden="false" customHeight="false" outlineLevel="0" collapsed="false">
      <c r="A2035" s="82" t="n">
        <f aca="false">IF(C2035="","",ROW()-6)</f>
        <v>2029</v>
      </c>
      <c r="B2035" s="80" t="s">
        <v>110</v>
      </c>
      <c r="C2035" s="113" t="s">
        <v>2473</v>
      </c>
      <c r="D2035" s="82" t="str">
        <f aca="false">IF(OR(C2035="",P2035=""),"",INDEX('CARNET DE SOUDURE'!$D$7:$D$3006,P2035)&amp;"")</f>
        <v>19</v>
      </c>
      <c r="E2035" s="114" t="n">
        <f aca="false">IF(OR(C2035="",P2035=""),"",IF(INDEX('CARNET DE SOUDURE'!$U$7:$U$3006,P2035)="","",INDEX('CARNET DE SOUDURE'!$U$7:$U$3006,P2035)))</f>
        <v>46267</v>
      </c>
      <c r="F2035" s="82" t="str">
        <f aca="false">IF(OR(C2035="",P2035=""),"",INDEX('CARNET DE SOUDURE'!$AP$7:$AP$3006,P2035))</f>
        <v>A</v>
      </c>
      <c r="G2035" s="82" t="str">
        <f aca="false">IF(C2035="","",IF(P2035="","NJ INCONNU",INDEX('CARNET DE SOUDURE'!$AQ$7:$AQ$3006,P2035)))</f>
        <v>ACCEPTÉ</v>
      </c>
      <c r="H2035" s="82" t="str">
        <f aca="false">IF(C2035="","",IF(G2035="ACCEPTÉ","OUI","NON"))</f>
        <v>OUI</v>
      </c>
      <c r="I2035" s="83"/>
      <c r="J2035" s="80"/>
      <c r="K2035" s="81"/>
      <c r="L2035" s="81"/>
      <c r="M2035" s="81"/>
      <c r="N2035" s="84" t="str">
        <f aca="false">IF(C2035="","",IF(P2035="","NJ INCONNU",IF(I2035="",IF(H2035="OUI","À ENROBER",IF(G2035="À SOUDER","NON SOUDÉ","EN ATTENTE RT")),IF(L2035="R","À REPRENDRE",IF(H2035&lt;&gt;"OUI","⚠ ENROBÉ AVANT ACCEPTATION RT","ENROBÉ")))))</f>
        <v>À ENROBER</v>
      </c>
      <c r="O2035" s="80"/>
      <c r="P2035" s="82" t="n">
        <f aca="false">IF(C2035="","",IFERROR(MATCH(Q2035,'CARNET DE SOUDURE'!$AW$7:$AW$3006,0),""))</f>
        <v>2029</v>
      </c>
      <c r="Q2035" s="82" t="str">
        <f aca="false">IF(C2035="","",B2035&amp;"|"&amp;C2035)</f>
        <v>MFD-ISW → MFD-CPF|JN°1551</v>
      </c>
    </row>
    <row r="2036" customFormat="false" ht="74.6" hidden="false" customHeight="false" outlineLevel="0" collapsed="false">
      <c r="A2036" s="82" t="n">
        <f aca="false">IF(C2036="","",ROW()-6)</f>
        <v>2030</v>
      </c>
      <c r="B2036" s="80" t="s">
        <v>110</v>
      </c>
      <c r="C2036" s="113" t="s">
        <v>2474</v>
      </c>
      <c r="D2036" s="82" t="str">
        <f aca="false">IF(OR(C2036="",P2036=""),"",INDEX('CARNET DE SOUDURE'!$D$7:$D$3006,P2036)&amp;"")</f>
        <v>19</v>
      </c>
      <c r="E2036" s="114" t="n">
        <f aca="false">IF(OR(C2036="",P2036=""),"",IF(INDEX('CARNET DE SOUDURE'!$U$7:$U$3006,P2036)="","",INDEX('CARNET DE SOUDURE'!$U$7:$U$3006,P2036)))</f>
        <v>46267</v>
      </c>
      <c r="F2036" s="82" t="str">
        <f aca="false">IF(OR(C2036="",P2036=""),"",INDEX('CARNET DE SOUDURE'!$AP$7:$AP$3006,P2036))</f>
        <v>A</v>
      </c>
      <c r="G2036" s="82" t="str">
        <f aca="false">IF(C2036="","",IF(P2036="","NJ INCONNU",INDEX('CARNET DE SOUDURE'!$AQ$7:$AQ$3006,P2036)))</f>
        <v>ACCEPTÉ</v>
      </c>
      <c r="H2036" s="82" t="str">
        <f aca="false">IF(C2036="","",IF(G2036="ACCEPTÉ","OUI","NON"))</f>
        <v>OUI</v>
      </c>
      <c r="I2036" s="83"/>
      <c r="J2036" s="80"/>
      <c r="K2036" s="81"/>
      <c r="L2036" s="81"/>
      <c r="M2036" s="81"/>
      <c r="N2036" s="84" t="str">
        <f aca="false">IF(C2036="","",IF(P2036="","NJ INCONNU",IF(I2036="",IF(H2036="OUI","À ENROBER",IF(G2036="À SOUDER","NON SOUDÉ","EN ATTENTE RT")),IF(L2036="R","À REPRENDRE",IF(H2036&lt;&gt;"OUI","⚠ ENROBÉ AVANT ACCEPTATION RT","ENROBÉ")))))</f>
        <v>À ENROBER</v>
      </c>
      <c r="O2036" s="80"/>
      <c r="P2036" s="82" t="n">
        <f aca="false">IF(C2036="","",IFERROR(MATCH(Q2036,'CARNET DE SOUDURE'!$AW$7:$AW$3006,0),""))</f>
        <v>2030</v>
      </c>
      <c r="Q2036" s="82" t="str">
        <f aca="false">IF(C2036="","",B2036&amp;"|"&amp;C2036)</f>
        <v>MFD-ISW → MFD-CPF|JN°1552</v>
      </c>
    </row>
    <row r="2037" customFormat="false" ht="74.6" hidden="false" customHeight="false" outlineLevel="0" collapsed="false">
      <c r="A2037" s="82" t="n">
        <f aca="false">IF(C2037="","",ROW()-6)</f>
        <v>2031</v>
      </c>
      <c r="B2037" s="80" t="s">
        <v>110</v>
      </c>
      <c r="C2037" s="113" t="s">
        <v>2475</v>
      </c>
      <c r="D2037" s="82" t="str">
        <f aca="false">IF(OR(C2037="",P2037=""),"",INDEX('CARNET DE SOUDURE'!$D$7:$D$3006,P2037)&amp;"")</f>
        <v>19</v>
      </c>
      <c r="E2037" s="114" t="n">
        <f aca="false">IF(OR(C2037="",P2037=""),"",IF(INDEX('CARNET DE SOUDURE'!$U$7:$U$3006,P2037)="","",INDEX('CARNET DE SOUDURE'!$U$7:$U$3006,P2037)))</f>
        <v>46266</v>
      </c>
      <c r="F2037" s="82" t="str">
        <f aca="false">IF(OR(C2037="",P2037=""),"",INDEX('CARNET DE SOUDURE'!$AP$7:$AP$3006,P2037))</f>
        <v>A</v>
      </c>
      <c r="G2037" s="82" t="str">
        <f aca="false">IF(C2037="","",IF(P2037="","NJ INCONNU",INDEX('CARNET DE SOUDURE'!$AQ$7:$AQ$3006,P2037)))</f>
        <v>ACCEPTÉ</v>
      </c>
      <c r="H2037" s="82" t="str">
        <f aca="false">IF(C2037="","",IF(G2037="ACCEPTÉ","OUI","NON"))</f>
        <v>OUI</v>
      </c>
      <c r="I2037" s="83"/>
      <c r="J2037" s="80"/>
      <c r="K2037" s="81"/>
      <c r="L2037" s="81"/>
      <c r="M2037" s="81"/>
      <c r="N2037" s="84" t="str">
        <f aca="false">IF(C2037="","",IF(P2037="","NJ INCONNU",IF(I2037="",IF(H2037="OUI","À ENROBER",IF(G2037="À SOUDER","NON SOUDÉ","EN ATTENTE RT")),IF(L2037="R","À REPRENDRE",IF(H2037&lt;&gt;"OUI","⚠ ENROBÉ AVANT ACCEPTATION RT","ENROBÉ")))))</f>
        <v>À ENROBER</v>
      </c>
      <c r="O2037" s="80"/>
      <c r="P2037" s="82" t="n">
        <f aca="false">IF(C2037="","",IFERROR(MATCH(Q2037,'CARNET DE SOUDURE'!$AW$7:$AW$3006,0),""))</f>
        <v>2031</v>
      </c>
      <c r="Q2037" s="82" t="str">
        <f aca="false">IF(C2037="","",B2037&amp;"|"&amp;C2037)</f>
        <v>MFD-ISW → MFD-CPF|JN°1553</v>
      </c>
    </row>
    <row r="2038" customFormat="false" ht="74.6" hidden="false" customHeight="false" outlineLevel="0" collapsed="false">
      <c r="A2038" s="82" t="n">
        <f aca="false">IF(C2038="","",ROW()-6)</f>
        <v>2032</v>
      </c>
      <c r="B2038" s="80" t="s">
        <v>110</v>
      </c>
      <c r="C2038" s="113" t="s">
        <v>2478</v>
      </c>
      <c r="D2038" s="82" t="str">
        <f aca="false">IF(OR(C2038="",P2038=""),"",INDEX('CARNET DE SOUDURE'!$D$7:$D$3006,P2038)&amp;"")</f>
        <v>19</v>
      </c>
      <c r="E2038" s="114" t="n">
        <f aca="false">IF(OR(C2038="",P2038=""),"",IF(INDEX('CARNET DE SOUDURE'!$U$7:$U$3006,P2038)="","",INDEX('CARNET DE SOUDURE'!$U$7:$U$3006,P2038)))</f>
        <v>46266</v>
      </c>
      <c r="F2038" s="82" t="str">
        <f aca="false">IF(OR(C2038="",P2038=""),"",INDEX('CARNET DE SOUDURE'!$AP$7:$AP$3006,P2038))</f>
        <v>A</v>
      </c>
      <c r="G2038" s="82" t="str">
        <f aca="false">IF(C2038="","",IF(P2038="","NJ INCONNU",INDEX('CARNET DE SOUDURE'!$AQ$7:$AQ$3006,P2038)))</f>
        <v>ACCEPTÉ</v>
      </c>
      <c r="H2038" s="82" t="str">
        <f aca="false">IF(C2038="","",IF(G2038="ACCEPTÉ","OUI","NON"))</f>
        <v>OUI</v>
      </c>
      <c r="I2038" s="83"/>
      <c r="J2038" s="80"/>
      <c r="K2038" s="81"/>
      <c r="L2038" s="81"/>
      <c r="M2038" s="81"/>
      <c r="N2038" s="84" t="str">
        <f aca="false">IF(C2038="","",IF(P2038="","NJ INCONNU",IF(I2038="",IF(H2038="OUI","À ENROBER",IF(G2038="À SOUDER","NON SOUDÉ","EN ATTENTE RT")),IF(L2038="R","À REPRENDRE",IF(H2038&lt;&gt;"OUI","⚠ ENROBÉ AVANT ACCEPTATION RT","ENROBÉ")))))</f>
        <v>À ENROBER</v>
      </c>
      <c r="O2038" s="80"/>
      <c r="P2038" s="82" t="n">
        <f aca="false">IF(C2038="","",IFERROR(MATCH(Q2038,'CARNET DE SOUDURE'!$AW$7:$AW$3006,0),""))</f>
        <v>2032</v>
      </c>
      <c r="Q2038" s="82" t="str">
        <f aca="false">IF(C2038="","",B2038&amp;"|"&amp;C2038)</f>
        <v>MFD-ISW → MFD-CPF|JN°1554</v>
      </c>
    </row>
    <row r="2039" customFormat="false" ht="74.6" hidden="false" customHeight="false" outlineLevel="0" collapsed="false">
      <c r="A2039" s="82" t="n">
        <f aca="false">IF(C2039="","",ROW()-6)</f>
        <v>2033</v>
      </c>
      <c r="B2039" s="80" t="s">
        <v>110</v>
      </c>
      <c r="C2039" s="113" t="s">
        <v>2479</v>
      </c>
      <c r="D2039" s="82" t="str">
        <f aca="false">IF(OR(C2039="",P2039=""),"",INDEX('CARNET DE SOUDURE'!$D$7:$D$3006,P2039)&amp;"")</f>
        <v>19</v>
      </c>
      <c r="E2039" s="114" t="n">
        <f aca="false">IF(OR(C2039="",P2039=""),"",IF(INDEX('CARNET DE SOUDURE'!$U$7:$U$3006,P2039)="","",INDEX('CARNET DE SOUDURE'!$U$7:$U$3006,P2039)))</f>
        <v>46266</v>
      </c>
      <c r="F2039" s="82" t="str">
        <f aca="false">IF(OR(C2039="",P2039=""),"",INDEX('CARNET DE SOUDURE'!$AP$7:$AP$3006,P2039))</f>
        <v>A</v>
      </c>
      <c r="G2039" s="82" t="str">
        <f aca="false">IF(C2039="","",IF(P2039="","NJ INCONNU",INDEX('CARNET DE SOUDURE'!$AQ$7:$AQ$3006,P2039)))</f>
        <v>ACCEPTÉ</v>
      </c>
      <c r="H2039" s="82" t="str">
        <f aca="false">IF(C2039="","",IF(G2039="ACCEPTÉ","OUI","NON"))</f>
        <v>OUI</v>
      </c>
      <c r="I2039" s="83"/>
      <c r="J2039" s="80"/>
      <c r="K2039" s="81"/>
      <c r="L2039" s="81"/>
      <c r="M2039" s="81"/>
      <c r="N2039" s="84" t="str">
        <f aca="false">IF(C2039="","",IF(P2039="","NJ INCONNU",IF(I2039="",IF(H2039="OUI","À ENROBER",IF(G2039="À SOUDER","NON SOUDÉ","EN ATTENTE RT")),IF(L2039="R","À REPRENDRE",IF(H2039&lt;&gt;"OUI","⚠ ENROBÉ AVANT ACCEPTATION RT","ENROBÉ")))))</f>
        <v>À ENROBER</v>
      </c>
      <c r="O2039" s="80"/>
      <c r="P2039" s="82" t="n">
        <f aca="false">IF(C2039="","",IFERROR(MATCH(Q2039,'CARNET DE SOUDURE'!$AW$7:$AW$3006,0),""))</f>
        <v>2033</v>
      </c>
      <c r="Q2039" s="82" t="str">
        <f aca="false">IF(C2039="","",B2039&amp;"|"&amp;C2039)</f>
        <v>MFD-ISW → MFD-CPF|JN°1555</v>
      </c>
    </row>
    <row r="2040" customFormat="false" ht="74.6" hidden="false" customHeight="false" outlineLevel="0" collapsed="false">
      <c r="A2040" s="82" t="n">
        <f aca="false">IF(C2040="","",ROW()-6)</f>
        <v>2034</v>
      </c>
      <c r="B2040" s="80" t="s">
        <v>110</v>
      </c>
      <c r="C2040" s="113" t="s">
        <v>2480</v>
      </c>
      <c r="D2040" s="82" t="str">
        <f aca="false">IF(OR(C2040="",P2040=""),"",INDEX('CARNET DE SOUDURE'!$D$7:$D$3006,P2040)&amp;"")</f>
        <v>19</v>
      </c>
      <c r="E2040" s="114" t="n">
        <f aca="false">IF(OR(C2040="",P2040=""),"",IF(INDEX('CARNET DE SOUDURE'!$U$7:$U$3006,P2040)="","",INDEX('CARNET DE SOUDURE'!$U$7:$U$3006,P2040)))</f>
        <v>46266</v>
      </c>
      <c r="F2040" s="82" t="str">
        <f aca="false">IF(OR(C2040="",P2040=""),"",INDEX('CARNET DE SOUDURE'!$AP$7:$AP$3006,P2040))</f>
        <v>A</v>
      </c>
      <c r="G2040" s="82" t="str">
        <f aca="false">IF(C2040="","",IF(P2040="","NJ INCONNU",INDEX('CARNET DE SOUDURE'!$AQ$7:$AQ$3006,P2040)))</f>
        <v>ACCEPTÉ</v>
      </c>
      <c r="H2040" s="82" t="str">
        <f aca="false">IF(C2040="","",IF(G2040="ACCEPTÉ","OUI","NON"))</f>
        <v>OUI</v>
      </c>
      <c r="I2040" s="83"/>
      <c r="J2040" s="80"/>
      <c r="K2040" s="81"/>
      <c r="L2040" s="81"/>
      <c r="M2040" s="81"/>
      <c r="N2040" s="84" t="str">
        <f aca="false">IF(C2040="","",IF(P2040="","NJ INCONNU",IF(I2040="",IF(H2040="OUI","À ENROBER",IF(G2040="À SOUDER","NON SOUDÉ","EN ATTENTE RT")),IF(L2040="R","À REPRENDRE",IF(H2040&lt;&gt;"OUI","⚠ ENROBÉ AVANT ACCEPTATION RT","ENROBÉ")))))</f>
        <v>À ENROBER</v>
      </c>
      <c r="O2040" s="80"/>
      <c r="P2040" s="82" t="n">
        <f aca="false">IF(C2040="","",IFERROR(MATCH(Q2040,'CARNET DE SOUDURE'!$AW$7:$AW$3006,0),""))</f>
        <v>2034</v>
      </c>
      <c r="Q2040" s="82" t="str">
        <f aca="false">IF(C2040="","",B2040&amp;"|"&amp;C2040)</f>
        <v>MFD-ISW → MFD-CPF|JN°1556</v>
      </c>
    </row>
    <row r="2041" customFormat="false" ht="74.6" hidden="false" customHeight="false" outlineLevel="0" collapsed="false">
      <c r="A2041" s="82" t="n">
        <f aca="false">IF(C2041="","",ROW()-6)</f>
        <v>2035</v>
      </c>
      <c r="B2041" s="80" t="s">
        <v>110</v>
      </c>
      <c r="C2041" s="113" t="s">
        <v>2481</v>
      </c>
      <c r="D2041" s="82" t="str">
        <f aca="false">IF(OR(C2041="",P2041=""),"",INDEX('CARNET DE SOUDURE'!$D$7:$D$3006,P2041)&amp;"")</f>
        <v>19</v>
      </c>
      <c r="E2041" s="114" t="n">
        <f aca="false">IF(OR(C2041="",P2041=""),"",IF(INDEX('CARNET DE SOUDURE'!$U$7:$U$3006,P2041)="","",INDEX('CARNET DE SOUDURE'!$U$7:$U$3006,P2041)))</f>
        <v>46266</v>
      </c>
      <c r="F2041" s="82" t="str">
        <f aca="false">IF(OR(C2041="",P2041=""),"",INDEX('CARNET DE SOUDURE'!$AP$7:$AP$3006,P2041))</f>
        <v>A</v>
      </c>
      <c r="G2041" s="82" t="str">
        <f aca="false">IF(C2041="","",IF(P2041="","NJ INCONNU",INDEX('CARNET DE SOUDURE'!$AQ$7:$AQ$3006,P2041)))</f>
        <v>ACCEPTÉ</v>
      </c>
      <c r="H2041" s="82" t="str">
        <f aca="false">IF(C2041="","",IF(G2041="ACCEPTÉ","OUI","NON"))</f>
        <v>OUI</v>
      </c>
      <c r="I2041" s="83"/>
      <c r="J2041" s="80"/>
      <c r="K2041" s="81"/>
      <c r="L2041" s="81"/>
      <c r="M2041" s="81"/>
      <c r="N2041" s="84" t="str">
        <f aca="false">IF(C2041="","",IF(P2041="","NJ INCONNU",IF(I2041="",IF(H2041="OUI","À ENROBER",IF(G2041="À SOUDER","NON SOUDÉ","EN ATTENTE RT")),IF(L2041="R","À REPRENDRE",IF(H2041&lt;&gt;"OUI","⚠ ENROBÉ AVANT ACCEPTATION RT","ENROBÉ")))))</f>
        <v>À ENROBER</v>
      </c>
      <c r="O2041" s="80"/>
      <c r="P2041" s="82" t="n">
        <f aca="false">IF(C2041="","",IFERROR(MATCH(Q2041,'CARNET DE SOUDURE'!$AW$7:$AW$3006,0),""))</f>
        <v>2035</v>
      </c>
      <c r="Q2041" s="82" t="str">
        <f aca="false">IF(C2041="","",B2041&amp;"|"&amp;C2041)</f>
        <v>MFD-ISW → MFD-CPF|JN°1557</v>
      </c>
    </row>
    <row r="2042" customFormat="false" ht="74.6" hidden="false" customHeight="false" outlineLevel="0" collapsed="false">
      <c r="A2042" s="82" t="n">
        <f aca="false">IF(C2042="","",ROW()-6)</f>
        <v>2036</v>
      </c>
      <c r="B2042" s="80" t="s">
        <v>110</v>
      </c>
      <c r="C2042" s="113" t="s">
        <v>2483</v>
      </c>
      <c r="D2042" s="82" t="str">
        <f aca="false">IF(OR(C2042="",P2042=""),"",INDEX('CARNET DE SOUDURE'!$D$7:$D$3006,P2042)&amp;"")</f>
        <v>19</v>
      </c>
      <c r="E2042" s="114" t="n">
        <f aca="false">IF(OR(C2042="",P2042=""),"",IF(INDEX('CARNET DE SOUDURE'!$U$7:$U$3006,P2042)="","",INDEX('CARNET DE SOUDURE'!$U$7:$U$3006,P2042)))</f>
        <v>46266</v>
      </c>
      <c r="F2042" s="82" t="str">
        <f aca="false">IF(OR(C2042="",P2042=""),"",INDEX('CARNET DE SOUDURE'!$AP$7:$AP$3006,P2042))</f>
        <v>A</v>
      </c>
      <c r="G2042" s="82" t="str">
        <f aca="false">IF(C2042="","",IF(P2042="","NJ INCONNU",INDEX('CARNET DE SOUDURE'!$AQ$7:$AQ$3006,P2042)))</f>
        <v>ACCEPTÉ</v>
      </c>
      <c r="H2042" s="82" t="str">
        <f aca="false">IF(C2042="","",IF(G2042="ACCEPTÉ","OUI","NON"))</f>
        <v>OUI</v>
      </c>
      <c r="I2042" s="83"/>
      <c r="J2042" s="80"/>
      <c r="K2042" s="81"/>
      <c r="L2042" s="81"/>
      <c r="M2042" s="81"/>
      <c r="N2042" s="84" t="str">
        <f aca="false">IF(C2042="","",IF(P2042="","NJ INCONNU",IF(I2042="",IF(H2042="OUI","À ENROBER",IF(G2042="À SOUDER","NON SOUDÉ","EN ATTENTE RT")),IF(L2042="R","À REPRENDRE",IF(H2042&lt;&gt;"OUI","⚠ ENROBÉ AVANT ACCEPTATION RT","ENROBÉ")))))</f>
        <v>À ENROBER</v>
      </c>
      <c r="O2042" s="80"/>
      <c r="P2042" s="82" t="n">
        <f aca="false">IF(C2042="","",IFERROR(MATCH(Q2042,'CARNET DE SOUDURE'!$AW$7:$AW$3006,0),""))</f>
        <v>2036</v>
      </c>
      <c r="Q2042" s="82" t="str">
        <f aca="false">IF(C2042="","",B2042&amp;"|"&amp;C2042)</f>
        <v>MFD-ISW → MFD-CPF|JN°1558</v>
      </c>
    </row>
    <row r="2043" customFormat="false" ht="74.6" hidden="false" customHeight="false" outlineLevel="0" collapsed="false">
      <c r="A2043" s="82" t="n">
        <f aca="false">IF(C2043="","",ROW()-6)</f>
        <v>2037</v>
      </c>
      <c r="B2043" s="80" t="s">
        <v>110</v>
      </c>
      <c r="C2043" s="113" t="s">
        <v>2484</v>
      </c>
      <c r="D2043" s="82" t="str">
        <f aca="false">IF(OR(C2043="",P2043=""),"",INDEX('CARNET DE SOUDURE'!$D$7:$D$3006,P2043)&amp;"")</f>
        <v>19</v>
      </c>
      <c r="E2043" s="114" t="n">
        <f aca="false">IF(OR(C2043="",P2043=""),"",IF(INDEX('CARNET DE SOUDURE'!$U$7:$U$3006,P2043)="","",INDEX('CARNET DE SOUDURE'!$U$7:$U$3006,P2043)))</f>
        <v>46266</v>
      </c>
      <c r="F2043" s="82" t="str">
        <f aca="false">IF(OR(C2043="",P2043=""),"",INDEX('CARNET DE SOUDURE'!$AP$7:$AP$3006,P2043))</f>
        <v>A</v>
      </c>
      <c r="G2043" s="82" t="str">
        <f aca="false">IF(C2043="","",IF(P2043="","NJ INCONNU",INDEX('CARNET DE SOUDURE'!$AQ$7:$AQ$3006,P2043)))</f>
        <v>ACCEPTÉ</v>
      </c>
      <c r="H2043" s="82" t="str">
        <f aca="false">IF(C2043="","",IF(G2043="ACCEPTÉ","OUI","NON"))</f>
        <v>OUI</v>
      </c>
      <c r="I2043" s="83"/>
      <c r="J2043" s="80"/>
      <c r="K2043" s="81"/>
      <c r="L2043" s="81"/>
      <c r="M2043" s="81"/>
      <c r="N2043" s="84" t="str">
        <f aca="false">IF(C2043="","",IF(P2043="","NJ INCONNU",IF(I2043="",IF(H2043="OUI","À ENROBER",IF(G2043="À SOUDER","NON SOUDÉ","EN ATTENTE RT")),IF(L2043="R","À REPRENDRE",IF(H2043&lt;&gt;"OUI","⚠ ENROBÉ AVANT ACCEPTATION RT","ENROBÉ")))))</f>
        <v>À ENROBER</v>
      </c>
      <c r="O2043" s="80"/>
      <c r="P2043" s="82" t="n">
        <f aca="false">IF(C2043="","",IFERROR(MATCH(Q2043,'CARNET DE SOUDURE'!$AW$7:$AW$3006,0),""))</f>
        <v>2037</v>
      </c>
      <c r="Q2043" s="82" t="str">
        <f aca="false">IF(C2043="","",B2043&amp;"|"&amp;C2043)</f>
        <v>MFD-ISW → MFD-CPF|JN°1559</v>
      </c>
    </row>
    <row r="2044" customFormat="false" ht="74.6" hidden="false" customHeight="false" outlineLevel="0" collapsed="false">
      <c r="A2044" s="82" t="n">
        <f aca="false">IF(C2044="","",ROW()-6)</f>
        <v>2038</v>
      </c>
      <c r="B2044" s="80" t="s">
        <v>110</v>
      </c>
      <c r="C2044" s="113" t="s">
        <v>2485</v>
      </c>
      <c r="D2044" s="82" t="str">
        <f aca="false">IF(OR(C2044="",P2044=""),"",INDEX('CARNET DE SOUDURE'!$D$7:$D$3006,P2044)&amp;"")</f>
        <v>19</v>
      </c>
      <c r="E2044" s="114" t="n">
        <f aca="false">IF(OR(C2044="",P2044=""),"",IF(INDEX('CARNET DE SOUDURE'!$U$7:$U$3006,P2044)="","",INDEX('CARNET DE SOUDURE'!$U$7:$U$3006,P2044)))</f>
        <v>46266</v>
      </c>
      <c r="F2044" s="82" t="str">
        <f aca="false">IF(OR(C2044="",P2044=""),"",INDEX('CARNET DE SOUDURE'!$AP$7:$AP$3006,P2044))</f>
        <v>A</v>
      </c>
      <c r="G2044" s="82" t="str">
        <f aca="false">IF(C2044="","",IF(P2044="","NJ INCONNU",INDEX('CARNET DE SOUDURE'!$AQ$7:$AQ$3006,P2044)))</f>
        <v>ACCEPTÉ</v>
      </c>
      <c r="H2044" s="82" t="str">
        <f aca="false">IF(C2044="","",IF(G2044="ACCEPTÉ","OUI","NON"))</f>
        <v>OUI</v>
      </c>
      <c r="I2044" s="83"/>
      <c r="J2044" s="80"/>
      <c r="K2044" s="81"/>
      <c r="L2044" s="81"/>
      <c r="M2044" s="81"/>
      <c r="N2044" s="84" t="str">
        <f aca="false">IF(C2044="","",IF(P2044="","NJ INCONNU",IF(I2044="",IF(H2044="OUI","À ENROBER",IF(G2044="À SOUDER","NON SOUDÉ","EN ATTENTE RT")),IF(L2044="R","À REPRENDRE",IF(H2044&lt;&gt;"OUI","⚠ ENROBÉ AVANT ACCEPTATION RT","ENROBÉ")))))</f>
        <v>À ENROBER</v>
      </c>
      <c r="O2044" s="80"/>
      <c r="P2044" s="82" t="n">
        <f aca="false">IF(C2044="","",IFERROR(MATCH(Q2044,'CARNET DE SOUDURE'!$AW$7:$AW$3006,0),""))</f>
        <v>2038</v>
      </c>
      <c r="Q2044" s="82" t="str">
        <f aca="false">IF(C2044="","",B2044&amp;"|"&amp;C2044)</f>
        <v>MFD-ISW → MFD-CPF|JN°1560</v>
      </c>
    </row>
    <row r="2045" customFormat="false" ht="74.6" hidden="false" customHeight="false" outlineLevel="0" collapsed="false">
      <c r="A2045" s="82" t="n">
        <f aca="false">IF(C2045="","",ROW()-6)</f>
        <v>2039</v>
      </c>
      <c r="B2045" s="80" t="s">
        <v>110</v>
      </c>
      <c r="C2045" s="113" t="s">
        <v>2486</v>
      </c>
      <c r="D2045" s="82" t="str">
        <f aca="false">IF(OR(C2045="",P2045=""),"",INDEX('CARNET DE SOUDURE'!$D$7:$D$3006,P2045)&amp;"")</f>
        <v>19</v>
      </c>
      <c r="E2045" s="114" t="n">
        <f aca="false">IF(OR(C2045="",P2045=""),"",IF(INDEX('CARNET DE SOUDURE'!$U$7:$U$3006,P2045)="","",INDEX('CARNET DE SOUDURE'!$U$7:$U$3006,P2045)))</f>
        <v>46266</v>
      </c>
      <c r="F2045" s="82" t="str">
        <f aca="false">IF(OR(C2045="",P2045=""),"",INDEX('CARNET DE SOUDURE'!$AP$7:$AP$3006,P2045))</f>
        <v>A</v>
      </c>
      <c r="G2045" s="82" t="str">
        <f aca="false">IF(C2045="","",IF(P2045="","NJ INCONNU",INDEX('CARNET DE SOUDURE'!$AQ$7:$AQ$3006,P2045)))</f>
        <v>ACCEPTÉ</v>
      </c>
      <c r="H2045" s="82" t="str">
        <f aca="false">IF(C2045="","",IF(G2045="ACCEPTÉ","OUI","NON"))</f>
        <v>OUI</v>
      </c>
      <c r="I2045" s="83"/>
      <c r="J2045" s="80"/>
      <c r="K2045" s="81"/>
      <c r="L2045" s="81"/>
      <c r="M2045" s="81"/>
      <c r="N2045" s="84" t="str">
        <f aca="false">IF(C2045="","",IF(P2045="","NJ INCONNU",IF(I2045="",IF(H2045="OUI","À ENROBER",IF(G2045="À SOUDER","NON SOUDÉ","EN ATTENTE RT")),IF(L2045="R","À REPRENDRE",IF(H2045&lt;&gt;"OUI","⚠ ENROBÉ AVANT ACCEPTATION RT","ENROBÉ")))))</f>
        <v>À ENROBER</v>
      </c>
      <c r="O2045" s="80"/>
      <c r="P2045" s="82" t="n">
        <f aca="false">IF(C2045="","",IFERROR(MATCH(Q2045,'CARNET DE SOUDURE'!$AW$7:$AW$3006,0),""))</f>
        <v>2039</v>
      </c>
      <c r="Q2045" s="82" t="str">
        <f aca="false">IF(C2045="","",B2045&amp;"|"&amp;C2045)</f>
        <v>MFD-ISW → MFD-CPF|JN°1561</v>
      </c>
    </row>
    <row r="2046" customFormat="false" ht="74.6" hidden="false" customHeight="false" outlineLevel="0" collapsed="false">
      <c r="A2046" s="82" t="n">
        <f aca="false">IF(C2046="","",ROW()-6)</f>
        <v>2040</v>
      </c>
      <c r="B2046" s="80" t="s">
        <v>110</v>
      </c>
      <c r="C2046" s="113" t="s">
        <v>2487</v>
      </c>
      <c r="D2046" s="82" t="str">
        <f aca="false">IF(OR(C2046="",P2046=""),"",INDEX('CARNET DE SOUDURE'!$D$7:$D$3006,P2046)&amp;"")</f>
        <v>19</v>
      </c>
      <c r="E2046" s="114" t="n">
        <f aca="false">IF(OR(C2046="",P2046=""),"",IF(INDEX('CARNET DE SOUDURE'!$U$7:$U$3006,P2046)="","",INDEX('CARNET DE SOUDURE'!$U$7:$U$3006,P2046)))</f>
        <v>46266</v>
      </c>
      <c r="F2046" s="82" t="str">
        <f aca="false">IF(OR(C2046="",P2046=""),"",INDEX('CARNET DE SOUDURE'!$AP$7:$AP$3006,P2046))</f>
        <v>A</v>
      </c>
      <c r="G2046" s="82" t="str">
        <f aca="false">IF(C2046="","",IF(P2046="","NJ INCONNU",INDEX('CARNET DE SOUDURE'!$AQ$7:$AQ$3006,P2046)))</f>
        <v>ACCEPTÉ</v>
      </c>
      <c r="H2046" s="82" t="str">
        <f aca="false">IF(C2046="","",IF(G2046="ACCEPTÉ","OUI","NON"))</f>
        <v>OUI</v>
      </c>
      <c r="I2046" s="83"/>
      <c r="J2046" s="80"/>
      <c r="K2046" s="81"/>
      <c r="L2046" s="81"/>
      <c r="M2046" s="81"/>
      <c r="N2046" s="84" t="str">
        <f aca="false">IF(C2046="","",IF(P2046="","NJ INCONNU",IF(I2046="",IF(H2046="OUI","À ENROBER",IF(G2046="À SOUDER","NON SOUDÉ","EN ATTENTE RT")),IF(L2046="R","À REPRENDRE",IF(H2046&lt;&gt;"OUI","⚠ ENROBÉ AVANT ACCEPTATION RT","ENROBÉ")))))</f>
        <v>À ENROBER</v>
      </c>
      <c r="O2046" s="80"/>
      <c r="P2046" s="82" t="n">
        <f aca="false">IF(C2046="","",IFERROR(MATCH(Q2046,'CARNET DE SOUDURE'!$AW$7:$AW$3006,0),""))</f>
        <v>2040</v>
      </c>
      <c r="Q2046" s="82" t="str">
        <f aca="false">IF(C2046="","",B2046&amp;"|"&amp;C2046)</f>
        <v>MFD-ISW → MFD-CPF|JN°1562</v>
      </c>
    </row>
    <row r="2047" customFormat="false" ht="74.6" hidden="false" customHeight="false" outlineLevel="0" collapsed="false">
      <c r="A2047" s="82" t="n">
        <f aca="false">IF(C2047="","",ROW()-6)</f>
        <v>2041</v>
      </c>
      <c r="B2047" s="80" t="s">
        <v>110</v>
      </c>
      <c r="C2047" s="113" t="s">
        <v>2488</v>
      </c>
      <c r="D2047" s="82" t="str">
        <f aca="false">IF(OR(C2047="",P2047=""),"",INDEX('CARNET DE SOUDURE'!$D$7:$D$3006,P2047)&amp;"")</f>
        <v>19</v>
      </c>
      <c r="E2047" s="114" t="str">
        <f aca="false">IF(OR(C2047="",P2047=""),"",IF(INDEX('CARNET DE SOUDURE'!$U$7:$U$3006,P2047)="","",INDEX('CARNET DE SOUDURE'!$U$7:$U$3006,P2047)))</f>
        <v/>
      </c>
      <c r="F2047" s="82" t="str">
        <f aca="false">IF(OR(C2047="",P2047=""),"",INDEX('CARNET DE SOUDURE'!$AP$7:$AP$3006,P2047))</f>
        <v/>
      </c>
      <c r="G2047" s="82" t="str">
        <f aca="false">IF(C2047="","",IF(P2047="","NJ INCONNU",INDEX('CARNET DE SOUDURE'!$AQ$7:$AQ$3006,P2047)))</f>
        <v>À SOUDER</v>
      </c>
      <c r="H2047" s="82" t="str">
        <f aca="false">IF(C2047="","",IF(G2047="ACCEPTÉ","OUI","NON"))</f>
        <v>NON</v>
      </c>
      <c r="I2047" s="83"/>
      <c r="J2047" s="80"/>
      <c r="K2047" s="81"/>
      <c r="L2047" s="81"/>
      <c r="M2047" s="81"/>
      <c r="N2047" s="84" t="str">
        <f aca="false">IF(C2047="","",IF(P2047="","NJ INCONNU",IF(I2047="",IF(H2047="OUI","À ENROBER",IF(G2047="À SOUDER","NON SOUDÉ","EN ATTENTE RT")),IF(L2047="R","À REPRENDRE",IF(H2047&lt;&gt;"OUI","⚠ ENROBÉ AVANT ACCEPTATION RT","ENROBÉ")))))</f>
        <v>NON SOUDÉ</v>
      </c>
      <c r="O2047" s="80"/>
      <c r="P2047" s="82" t="n">
        <f aca="false">IF(C2047="","",IFERROR(MATCH(Q2047,'CARNET DE SOUDURE'!$AW$7:$AW$3006,0),""))</f>
        <v>2041</v>
      </c>
      <c r="Q2047" s="82" t="str">
        <f aca="false">IF(C2047="","",B2047&amp;"|"&amp;C2047)</f>
        <v>MFD-ISW → MFD-CPF|JN°1563</v>
      </c>
    </row>
    <row r="2048" customFormat="false" ht="74.6" hidden="false" customHeight="false" outlineLevel="0" collapsed="false">
      <c r="A2048" s="82" t="n">
        <f aca="false">IF(C2048="","",ROW()-6)</f>
        <v>2042</v>
      </c>
      <c r="B2048" s="80" t="s">
        <v>110</v>
      </c>
      <c r="C2048" s="113" t="s">
        <v>2489</v>
      </c>
      <c r="D2048" s="82" t="str">
        <f aca="false">IF(OR(C2048="",P2048=""),"",INDEX('CARNET DE SOUDURE'!$D$7:$D$3006,P2048)&amp;"")</f>
        <v>19</v>
      </c>
      <c r="E2048" s="114" t="str">
        <f aca="false">IF(OR(C2048="",P2048=""),"",IF(INDEX('CARNET DE SOUDURE'!$U$7:$U$3006,P2048)="","",INDEX('CARNET DE SOUDURE'!$U$7:$U$3006,P2048)))</f>
        <v/>
      </c>
      <c r="F2048" s="82" t="str">
        <f aca="false">IF(OR(C2048="",P2048=""),"",INDEX('CARNET DE SOUDURE'!$AP$7:$AP$3006,P2048))</f>
        <v/>
      </c>
      <c r="G2048" s="82" t="str">
        <f aca="false">IF(C2048="","",IF(P2048="","NJ INCONNU",INDEX('CARNET DE SOUDURE'!$AQ$7:$AQ$3006,P2048)))</f>
        <v>À SOUDER</v>
      </c>
      <c r="H2048" s="82" t="str">
        <f aca="false">IF(C2048="","",IF(G2048="ACCEPTÉ","OUI","NON"))</f>
        <v>NON</v>
      </c>
      <c r="I2048" s="83"/>
      <c r="J2048" s="80"/>
      <c r="K2048" s="81"/>
      <c r="L2048" s="81"/>
      <c r="M2048" s="81"/>
      <c r="N2048" s="84" t="str">
        <f aca="false">IF(C2048="","",IF(P2048="","NJ INCONNU",IF(I2048="",IF(H2048="OUI","À ENROBER",IF(G2048="À SOUDER","NON SOUDÉ","EN ATTENTE RT")),IF(L2048="R","À REPRENDRE",IF(H2048&lt;&gt;"OUI","⚠ ENROBÉ AVANT ACCEPTATION RT","ENROBÉ")))))</f>
        <v>NON SOUDÉ</v>
      </c>
      <c r="O2048" s="80"/>
      <c r="P2048" s="82" t="n">
        <f aca="false">IF(C2048="","",IFERROR(MATCH(Q2048,'CARNET DE SOUDURE'!$AW$7:$AW$3006,0),""))</f>
        <v>2042</v>
      </c>
      <c r="Q2048" s="82" t="str">
        <f aca="false">IF(C2048="","",B2048&amp;"|"&amp;C2048)</f>
        <v>MFD-ISW → MFD-CPF|JN°1564</v>
      </c>
    </row>
    <row r="2049" customFormat="false" ht="74.6" hidden="false" customHeight="false" outlineLevel="0" collapsed="false">
      <c r="A2049" s="82" t="n">
        <f aca="false">IF(C2049="","",ROW()-6)</f>
        <v>2043</v>
      </c>
      <c r="B2049" s="80" t="s">
        <v>110</v>
      </c>
      <c r="C2049" s="113" t="s">
        <v>2490</v>
      </c>
      <c r="D2049" s="82" t="str">
        <f aca="false">IF(OR(C2049="",P2049=""),"",INDEX('CARNET DE SOUDURE'!$D$7:$D$3006,P2049)&amp;"")</f>
        <v>19</v>
      </c>
      <c r="E2049" s="114" t="str">
        <f aca="false">IF(OR(C2049="",P2049=""),"",IF(INDEX('CARNET DE SOUDURE'!$U$7:$U$3006,P2049)="","",INDEX('CARNET DE SOUDURE'!$U$7:$U$3006,P2049)))</f>
        <v/>
      </c>
      <c r="F2049" s="82" t="str">
        <f aca="false">IF(OR(C2049="",P2049=""),"",INDEX('CARNET DE SOUDURE'!$AP$7:$AP$3006,P2049))</f>
        <v/>
      </c>
      <c r="G2049" s="82" t="str">
        <f aca="false">IF(C2049="","",IF(P2049="","NJ INCONNU",INDEX('CARNET DE SOUDURE'!$AQ$7:$AQ$3006,P2049)))</f>
        <v>À SOUDER</v>
      </c>
      <c r="H2049" s="82" t="str">
        <f aca="false">IF(C2049="","",IF(G2049="ACCEPTÉ","OUI","NON"))</f>
        <v>NON</v>
      </c>
      <c r="I2049" s="83"/>
      <c r="J2049" s="80"/>
      <c r="K2049" s="81"/>
      <c r="L2049" s="81"/>
      <c r="M2049" s="81"/>
      <c r="N2049" s="84" t="str">
        <f aca="false">IF(C2049="","",IF(P2049="","NJ INCONNU",IF(I2049="",IF(H2049="OUI","À ENROBER",IF(G2049="À SOUDER","NON SOUDÉ","EN ATTENTE RT")),IF(L2049="R","À REPRENDRE",IF(H2049&lt;&gt;"OUI","⚠ ENROBÉ AVANT ACCEPTATION RT","ENROBÉ")))))</f>
        <v>NON SOUDÉ</v>
      </c>
      <c r="O2049" s="80"/>
      <c r="P2049" s="82" t="n">
        <f aca="false">IF(C2049="","",IFERROR(MATCH(Q2049,'CARNET DE SOUDURE'!$AW$7:$AW$3006,0),""))</f>
        <v>2043</v>
      </c>
      <c r="Q2049" s="82" t="str">
        <f aca="false">IF(C2049="","",B2049&amp;"|"&amp;C2049)</f>
        <v>MFD-ISW → MFD-CPF|JN°1565</v>
      </c>
    </row>
    <row r="2050" customFormat="false" ht="74.6" hidden="false" customHeight="false" outlineLevel="0" collapsed="false">
      <c r="A2050" s="82" t="n">
        <f aca="false">IF(C2050="","",ROW()-6)</f>
        <v>2044</v>
      </c>
      <c r="B2050" s="80" t="s">
        <v>110</v>
      </c>
      <c r="C2050" s="113" t="s">
        <v>2491</v>
      </c>
      <c r="D2050" s="82" t="str">
        <f aca="false">IF(OR(C2050="",P2050=""),"",INDEX('CARNET DE SOUDURE'!$D$7:$D$3006,P2050)&amp;"")</f>
        <v>19</v>
      </c>
      <c r="E2050" s="114" t="str">
        <f aca="false">IF(OR(C2050="",P2050=""),"",IF(INDEX('CARNET DE SOUDURE'!$U$7:$U$3006,P2050)="","",INDEX('CARNET DE SOUDURE'!$U$7:$U$3006,P2050)))</f>
        <v/>
      </c>
      <c r="F2050" s="82" t="str">
        <f aca="false">IF(OR(C2050="",P2050=""),"",INDEX('CARNET DE SOUDURE'!$AP$7:$AP$3006,P2050))</f>
        <v/>
      </c>
      <c r="G2050" s="82" t="str">
        <f aca="false">IF(C2050="","",IF(P2050="","NJ INCONNU",INDEX('CARNET DE SOUDURE'!$AQ$7:$AQ$3006,P2050)))</f>
        <v>À SOUDER</v>
      </c>
      <c r="H2050" s="82" t="str">
        <f aca="false">IF(C2050="","",IF(G2050="ACCEPTÉ","OUI","NON"))</f>
        <v>NON</v>
      </c>
      <c r="I2050" s="83"/>
      <c r="J2050" s="80"/>
      <c r="K2050" s="81"/>
      <c r="L2050" s="81"/>
      <c r="M2050" s="81"/>
      <c r="N2050" s="84" t="str">
        <f aca="false">IF(C2050="","",IF(P2050="","NJ INCONNU",IF(I2050="",IF(H2050="OUI","À ENROBER",IF(G2050="À SOUDER","NON SOUDÉ","EN ATTENTE RT")),IF(L2050="R","À REPRENDRE",IF(H2050&lt;&gt;"OUI","⚠ ENROBÉ AVANT ACCEPTATION RT","ENROBÉ")))))</f>
        <v>NON SOUDÉ</v>
      </c>
      <c r="O2050" s="80"/>
      <c r="P2050" s="82" t="n">
        <f aca="false">IF(C2050="","",IFERROR(MATCH(Q2050,'CARNET DE SOUDURE'!$AW$7:$AW$3006,0),""))</f>
        <v>2044</v>
      </c>
      <c r="Q2050" s="82" t="str">
        <f aca="false">IF(C2050="","",B2050&amp;"|"&amp;C2050)</f>
        <v>MFD-ISW → MFD-CPF|JN°1566</v>
      </c>
    </row>
    <row r="2051" customFormat="false" ht="74.6" hidden="false" customHeight="false" outlineLevel="0" collapsed="false">
      <c r="A2051" s="82" t="n">
        <f aca="false">IF(C2051="","",ROW()-6)</f>
        <v>2045</v>
      </c>
      <c r="B2051" s="80" t="s">
        <v>110</v>
      </c>
      <c r="C2051" s="113" t="s">
        <v>2492</v>
      </c>
      <c r="D2051" s="82" t="str">
        <f aca="false">IF(OR(C2051="",P2051=""),"",INDEX('CARNET DE SOUDURE'!$D$7:$D$3006,P2051)&amp;"")</f>
        <v>19</v>
      </c>
      <c r="E2051" s="114" t="str">
        <f aca="false">IF(OR(C2051="",P2051=""),"",IF(INDEX('CARNET DE SOUDURE'!$U$7:$U$3006,P2051)="","",INDEX('CARNET DE SOUDURE'!$U$7:$U$3006,P2051)))</f>
        <v/>
      </c>
      <c r="F2051" s="82" t="str">
        <f aca="false">IF(OR(C2051="",P2051=""),"",INDEX('CARNET DE SOUDURE'!$AP$7:$AP$3006,P2051))</f>
        <v/>
      </c>
      <c r="G2051" s="82" t="str">
        <f aca="false">IF(C2051="","",IF(P2051="","NJ INCONNU",INDEX('CARNET DE SOUDURE'!$AQ$7:$AQ$3006,P2051)))</f>
        <v>À SOUDER</v>
      </c>
      <c r="H2051" s="82" t="str">
        <f aca="false">IF(C2051="","",IF(G2051="ACCEPTÉ","OUI","NON"))</f>
        <v>NON</v>
      </c>
      <c r="I2051" s="83"/>
      <c r="J2051" s="80"/>
      <c r="K2051" s="81"/>
      <c r="L2051" s="81"/>
      <c r="M2051" s="81"/>
      <c r="N2051" s="84" t="str">
        <f aca="false">IF(C2051="","",IF(P2051="","NJ INCONNU",IF(I2051="",IF(H2051="OUI","À ENROBER",IF(G2051="À SOUDER","NON SOUDÉ","EN ATTENTE RT")),IF(L2051="R","À REPRENDRE",IF(H2051&lt;&gt;"OUI","⚠ ENROBÉ AVANT ACCEPTATION RT","ENROBÉ")))))</f>
        <v>NON SOUDÉ</v>
      </c>
      <c r="O2051" s="80"/>
      <c r="P2051" s="82" t="n">
        <f aca="false">IF(C2051="","",IFERROR(MATCH(Q2051,'CARNET DE SOUDURE'!$AW$7:$AW$3006,0),""))</f>
        <v>2045</v>
      </c>
      <c r="Q2051" s="82" t="str">
        <f aca="false">IF(C2051="","",B2051&amp;"|"&amp;C2051)</f>
        <v>MFD-ISW → MFD-CPF|JN°1567</v>
      </c>
    </row>
    <row r="2052" customFormat="false" ht="74.6" hidden="false" customHeight="false" outlineLevel="0" collapsed="false">
      <c r="A2052" s="82" t="n">
        <f aca="false">IF(C2052="","",ROW()-6)</f>
        <v>2046</v>
      </c>
      <c r="B2052" s="80" t="s">
        <v>110</v>
      </c>
      <c r="C2052" s="113" t="s">
        <v>2493</v>
      </c>
      <c r="D2052" s="82" t="str">
        <f aca="false">IF(OR(C2052="",P2052=""),"",INDEX('CARNET DE SOUDURE'!$D$7:$D$3006,P2052)&amp;"")</f>
        <v>19</v>
      </c>
      <c r="E2052" s="114" t="str">
        <f aca="false">IF(OR(C2052="",P2052=""),"",IF(INDEX('CARNET DE SOUDURE'!$U$7:$U$3006,P2052)="","",INDEX('CARNET DE SOUDURE'!$U$7:$U$3006,P2052)))</f>
        <v/>
      </c>
      <c r="F2052" s="82" t="str">
        <f aca="false">IF(OR(C2052="",P2052=""),"",INDEX('CARNET DE SOUDURE'!$AP$7:$AP$3006,P2052))</f>
        <v/>
      </c>
      <c r="G2052" s="82" t="str">
        <f aca="false">IF(C2052="","",IF(P2052="","NJ INCONNU",INDEX('CARNET DE SOUDURE'!$AQ$7:$AQ$3006,P2052)))</f>
        <v>À SOUDER</v>
      </c>
      <c r="H2052" s="82" t="str">
        <f aca="false">IF(C2052="","",IF(G2052="ACCEPTÉ","OUI","NON"))</f>
        <v>NON</v>
      </c>
      <c r="I2052" s="83"/>
      <c r="J2052" s="80"/>
      <c r="K2052" s="81"/>
      <c r="L2052" s="81"/>
      <c r="M2052" s="81"/>
      <c r="N2052" s="84" t="str">
        <f aca="false">IF(C2052="","",IF(P2052="","NJ INCONNU",IF(I2052="",IF(H2052="OUI","À ENROBER",IF(G2052="À SOUDER","NON SOUDÉ","EN ATTENTE RT")),IF(L2052="R","À REPRENDRE",IF(H2052&lt;&gt;"OUI","⚠ ENROBÉ AVANT ACCEPTATION RT","ENROBÉ")))))</f>
        <v>NON SOUDÉ</v>
      </c>
      <c r="O2052" s="80"/>
      <c r="P2052" s="82" t="n">
        <f aca="false">IF(C2052="","",IFERROR(MATCH(Q2052,'CARNET DE SOUDURE'!$AW$7:$AW$3006,0),""))</f>
        <v>2046</v>
      </c>
      <c r="Q2052" s="82" t="str">
        <f aca="false">IF(C2052="","",B2052&amp;"|"&amp;C2052)</f>
        <v>MFD-ISW → MFD-CPF|JN°1568</v>
      </c>
    </row>
    <row r="2053" customFormat="false" ht="74.6" hidden="false" customHeight="false" outlineLevel="0" collapsed="false">
      <c r="A2053" s="82" t="n">
        <f aca="false">IF(C2053="","",ROW()-6)</f>
        <v>2047</v>
      </c>
      <c r="B2053" s="80" t="s">
        <v>110</v>
      </c>
      <c r="C2053" s="113" t="s">
        <v>2494</v>
      </c>
      <c r="D2053" s="82" t="str">
        <f aca="false">IF(OR(C2053="",P2053=""),"",INDEX('CARNET DE SOUDURE'!$D$7:$D$3006,P2053)&amp;"")</f>
        <v>19</v>
      </c>
      <c r="E2053" s="114" t="str">
        <f aca="false">IF(OR(C2053="",P2053=""),"",IF(INDEX('CARNET DE SOUDURE'!$U$7:$U$3006,P2053)="","",INDEX('CARNET DE SOUDURE'!$U$7:$U$3006,P2053)))</f>
        <v/>
      </c>
      <c r="F2053" s="82" t="str">
        <f aca="false">IF(OR(C2053="",P2053=""),"",INDEX('CARNET DE SOUDURE'!$AP$7:$AP$3006,P2053))</f>
        <v/>
      </c>
      <c r="G2053" s="82" t="str">
        <f aca="false">IF(C2053="","",IF(P2053="","NJ INCONNU",INDEX('CARNET DE SOUDURE'!$AQ$7:$AQ$3006,P2053)))</f>
        <v>À SOUDER</v>
      </c>
      <c r="H2053" s="82" t="str">
        <f aca="false">IF(C2053="","",IF(G2053="ACCEPTÉ","OUI","NON"))</f>
        <v>NON</v>
      </c>
      <c r="I2053" s="83"/>
      <c r="J2053" s="80"/>
      <c r="K2053" s="81"/>
      <c r="L2053" s="81"/>
      <c r="M2053" s="81"/>
      <c r="N2053" s="84" t="str">
        <f aca="false">IF(C2053="","",IF(P2053="","NJ INCONNU",IF(I2053="",IF(H2053="OUI","À ENROBER",IF(G2053="À SOUDER","NON SOUDÉ","EN ATTENTE RT")),IF(L2053="R","À REPRENDRE",IF(H2053&lt;&gt;"OUI","⚠ ENROBÉ AVANT ACCEPTATION RT","ENROBÉ")))))</f>
        <v>NON SOUDÉ</v>
      </c>
      <c r="O2053" s="80"/>
      <c r="P2053" s="82" t="n">
        <f aca="false">IF(C2053="","",IFERROR(MATCH(Q2053,'CARNET DE SOUDURE'!$AW$7:$AW$3006,0),""))</f>
        <v>2047</v>
      </c>
      <c r="Q2053" s="82" t="str">
        <f aca="false">IF(C2053="","",B2053&amp;"|"&amp;C2053)</f>
        <v>MFD-ISW → MFD-CPF|JN°1569</v>
      </c>
    </row>
    <row r="2054" customFormat="false" ht="74.6" hidden="false" customHeight="false" outlineLevel="0" collapsed="false">
      <c r="A2054" s="82" t="n">
        <f aca="false">IF(C2054="","",ROW()-6)</f>
        <v>2048</v>
      </c>
      <c r="B2054" s="80" t="s">
        <v>110</v>
      </c>
      <c r="C2054" s="113" t="s">
        <v>2495</v>
      </c>
      <c r="D2054" s="82" t="str">
        <f aca="false">IF(OR(C2054="",P2054=""),"",INDEX('CARNET DE SOUDURE'!$D$7:$D$3006,P2054)&amp;"")</f>
        <v>19</v>
      </c>
      <c r="E2054" s="114" t="str">
        <f aca="false">IF(OR(C2054="",P2054=""),"",IF(INDEX('CARNET DE SOUDURE'!$U$7:$U$3006,P2054)="","",INDEX('CARNET DE SOUDURE'!$U$7:$U$3006,P2054)))</f>
        <v/>
      </c>
      <c r="F2054" s="82" t="str">
        <f aca="false">IF(OR(C2054="",P2054=""),"",INDEX('CARNET DE SOUDURE'!$AP$7:$AP$3006,P2054))</f>
        <v/>
      </c>
      <c r="G2054" s="82" t="str">
        <f aca="false">IF(C2054="","",IF(P2054="","NJ INCONNU",INDEX('CARNET DE SOUDURE'!$AQ$7:$AQ$3006,P2054)))</f>
        <v>À SOUDER</v>
      </c>
      <c r="H2054" s="82" t="str">
        <f aca="false">IF(C2054="","",IF(G2054="ACCEPTÉ","OUI","NON"))</f>
        <v>NON</v>
      </c>
      <c r="I2054" s="83"/>
      <c r="J2054" s="80"/>
      <c r="K2054" s="81"/>
      <c r="L2054" s="81"/>
      <c r="M2054" s="81"/>
      <c r="N2054" s="84" t="str">
        <f aca="false">IF(C2054="","",IF(P2054="","NJ INCONNU",IF(I2054="",IF(H2054="OUI","À ENROBER",IF(G2054="À SOUDER","NON SOUDÉ","EN ATTENTE RT")),IF(L2054="R","À REPRENDRE",IF(H2054&lt;&gt;"OUI","⚠ ENROBÉ AVANT ACCEPTATION RT","ENROBÉ")))))</f>
        <v>NON SOUDÉ</v>
      </c>
      <c r="O2054" s="80"/>
      <c r="P2054" s="82" t="n">
        <f aca="false">IF(C2054="","",IFERROR(MATCH(Q2054,'CARNET DE SOUDURE'!$AW$7:$AW$3006,0),""))</f>
        <v>2048</v>
      </c>
      <c r="Q2054" s="82" t="str">
        <f aca="false">IF(C2054="","",B2054&amp;"|"&amp;C2054)</f>
        <v>MFD-ISW → MFD-CPF|JN°1570</v>
      </c>
    </row>
    <row r="2055" customFormat="false" ht="74.6" hidden="false" customHeight="false" outlineLevel="0" collapsed="false">
      <c r="A2055" s="82" t="n">
        <f aca="false">IF(C2055="","",ROW()-6)</f>
        <v>2049</v>
      </c>
      <c r="B2055" s="80" t="s">
        <v>110</v>
      </c>
      <c r="C2055" s="113" t="s">
        <v>2496</v>
      </c>
      <c r="D2055" s="82" t="str">
        <f aca="false">IF(OR(C2055="",P2055=""),"",INDEX('CARNET DE SOUDURE'!$D$7:$D$3006,P2055)&amp;"")</f>
        <v>19</v>
      </c>
      <c r="E2055" s="114" t="str">
        <f aca="false">IF(OR(C2055="",P2055=""),"",IF(INDEX('CARNET DE SOUDURE'!$U$7:$U$3006,P2055)="","",INDEX('CARNET DE SOUDURE'!$U$7:$U$3006,P2055)))</f>
        <v/>
      </c>
      <c r="F2055" s="82" t="str">
        <f aca="false">IF(OR(C2055="",P2055=""),"",INDEX('CARNET DE SOUDURE'!$AP$7:$AP$3006,P2055))</f>
        <v/>
      </c>
      <c r="G2055" s="82" t="str">
        <f aca="false">IF(C2055="","",IF(P2055="","NJ INCONNU",INDEX('CARNET DE SOUDURE'!$AQ$7:$AQ$3006,P2055)))</f>
        <v>À SOUDER</v>
      </c>
      <c r="H2055" s="82" t="str">
        <f aca="false">IF(C2055="","",IF(G2055="ACCEPTÉ","OUI","NON"))</f>
        <v>NON</v>
      </c>
      <c r="I2055" s="83"/>
      <c r="J2055" s="80"/>
      <c r="K2055" s="81"/>
      <c r="L2055" s="81"/>
      <c r="M2055" s="81"/>
      <c r="N2055" s="84" t="str">
        <f aca="false">IF(C2055="","",IF(P2055="","NJ INCONNU",IF(I2055="",IF(H2055="OUI","À ENROBER",IF(G2055="À SOUDER","NON SOUDÉ","EN ATTENTE RT")),IF(L2055="R","À REPRENDRE",IF(H2055&lt;&gt;"OUI","⚠ ENROBÉ AVANT ACCEPTATION RT","ENROBÉ")))))</f>
        <v>NON SOUDÉ</v>
      </c>
      <c r="O2055" s="80"/>
      <c r="P2055" s="82" t="n">
        <f aca="false">IF(C2055="","",IFERROR(MATCH(Q2055,'CARNET DE SOUDURE'!$AW$7:$AW$3006,0),""))</f>
        <v>2049</v>
      </c>
      <c r="Q2055" s="82" t="str">
        <f aca="false">IF(C2055="","",B2055&amp;"|"&amp;C2055)</f>
        <v>MFD-ISW → MFD-CPF|JN°1571</v>
      </c>
    </row>
    <row r="2056" customFormat="false" ht="74.6" hidden="false" customHeight="false" outlineLevel="0" collapsed="false">
      <c r="A2056" s="82" t="n">
        <f aca="false">IF(C2056="","",ROW()-6)</f>
        <v>2050</v>
      </c>
      <c r="B2056" s="80" t="s">
        <v>110</v>
      </c>
      <c r="C2056" s="113" t="s">
        <v>2497</v>
      </c>
      <c r="D2056" s="82" t="str">
        <f aca="false">IF(OR(C2056="",P2056=""),"",INDEX('CARNET DE SOUDURE'!$D$7:$D$3006,P2056)&amp;"")</f>
        <v>19</v>
      </c>
      <c r="E2056" s="114" t="str">
        <f aca="false">IF(OR(C2056="",P2056=""),"",IF(INDEX('CARNET DE SOUDURE'!$U$7:$U$3006,P2056)="","",INDEX('CARNET DE SOUDURE'!$U$7:$U$3006,P2056)))</f>
        <v/>
      </c>
      <c r="F2056" s="82" t="str">
        <f aca="false">IF(OR(C2056="",P2056=""),"",INDEX('CARNET DE SOUDURE'!$AP$7:$AP$3006,P2056))</f>
        <v/>
      </c>
      <c r="G2056" s="82" t="str">
        <f aca="false">IF(C2056="","",IF(P2056="","NJ INCONNU",INDEX('CARNET DE SOUDURE'!$AQ$7:$AQ$3006,P2056)))</f>
        <v>À SOUDER</v>
      </c>
      <c r="H2056" s="82" t="str">
        <f aca="false">IF(C2056="","",IF(G2056="ACCEPTÉ","OUI","NON"))</f>
        <v>NON</v>
      </c>
      <c r="I2056" s="83"/>
      <c r="J2056" s="80"/>
      <c r="K2056" s="81"/>
      <c r="L2056" s="81"/>
      <c r="M2056" s="81"/>
      <c r="N2056" s="84" t="str">
        <f aca="false">IF(C2056="","",IF(P2056="","NJ INCONNU",IF(I2056="",IF(H2056="OUI","À ENROBER",IF(G2056="À SOUDER","NON SOUDÉ","EN ATTENTE RT")),IF(L2056="R","À REPRENDRE",IF(H2056&lt;&gt;"OUI","⚠ ENROBÉ AVANT ACCEPTATION RT","ENROBÉ")))))</f>
        <v>NON SOUDÉ</v>
      </c>
      <c r="O2056" s="80"/>
      <c r="P2056" s="82" t="n">
        <f aca="false">IF(C2056="","",IFERROR(MATCH(Q2056,'CARNET DE SOUDURE'!$AW$7:$AW$3006,0),""))</f>
        <v>2050</v>
      </c>
      <c r="Q2056" s="82" t="str">
        <f aca="false">IF(C2056="","",B2056&amp;"|"&amp;C2056)</f>
        <v>MFD-ISW → MFD-CPF|JN°1572</v>
      </c>
    </row>
    <row r="2057" customFormat="false" ht="74.6" hidden="false" customHeight="false" outlineLevel="0" collapsed="false">
      <c r="A2057" s="82" t="n">
        <f aca="false">IF(C2057="","",ROW()-6)</f>
        <v>2051</v>
      </c>
      <c r="B2057" s="80" t="s">
        <v>110</v>
      </c>
      <c r="C2057" s="113" t="s">
        <v>2498</v>
      </c>
      <c r="D2057" s="82" t="str">
        <f aca="false">IF(OR(C2057="",P2057=""),"",INDEX('CARNET DE SOUDURE'!$D$7:$D$3006,P2057)&amp;"")</f>
        <v>19</v>
      </c>
      <c r="E2057" s="114" t="str">
        <f aca="false">IF(OR(C2057="",P2057=""),"",IF(INDEX('CARNET DE SOUDURE'!$U$7:$U$3006,P2057)="","",INDEX('CARNET DE SOUDURE'!$U$7:$U$3006,P2057)))</f>
        <v/>
      </c>
      <c r="F2057" s="82" t="str">
        <f aca="false">IF(OR(C2057="",P2057=""),"",INDEX('CARNET DE SOUDURE'!$AP$7:$AP$3006,P2057))</f>
        <v/>
      </c>
      <c r="G2057" s="82" t="str">
        <f aca="false">IF(C2057="","",IF(P2057="","NJ INCONNU",INDEX('CARNET DE SOUDURE'!$AQ$7:$AQ$3006,P2057)))</f>
        <v>À SOUDER</v>
      </c>
      <c r="H2057" s="82" t="str">
        <f aca="false">IF(C2057="","",IF(G2057="ACCEPTÉ","OUI","NON"))</f>
        <v>NON</v>
      </c>
      <c r="I2057" s="83"/>
      <c r="J2057" s="80"/>
      <c r="K2057" s="81"/>
      <c r="L2057" s="81"/>
      <c r="M2057" s="81"/>
      <c r="N2057" s="84" t="str">
        <f aca="false">IF(C2057="","",IF(P2057="","NJ INCONNU",IF(I2057="",IF(H2057="OUI","À ENROBER",IF(G2057="À SOUDER","NON SOUDÉ","EN ATTENTE RT")),IF(L2057="R","À REPRENDRE",IF(H2057&lt;&gt;"OUI","⚠ ENROBÉ AVANT ACCEPTATION RT","ENROBÉ")))))</f>
        <v>NON SOUDÉ</v>
      </c>
      <c r="O2057" s="80"/>
      <c r="P2057" s="82" t="n">
        <f aca="false">IF(C2057="","",IFERROR(MATCH(Q2057,'CARNET DE SOUDURE'!$AW$7:$AW$3006,0),""))</f>
        <v>2051</v>
      </c>
      <c r="Q2057" s="82" t="str">
        <f aca="false">IF(C2057="","",B2057&amp;"|"&amp;C2057)</f>
        <v>MFD-ISW → MFD-CPF|JN°1573</v>
      </c>
    </row>
    <row r="2058" customFormat="false" ht="74.6" hidden="false" customHeight="false" outlineLevel="0" collapsed="false">
      <c r="A2058" s="82" t="n">
        <f aca="false">IF(C2058="","",ROW()-6)</f>
        <v>2052</v>
      </c>
      <c r="B2058" s="80" t="s">
        <v>110</v>
      </c>
      <c r="C2058" s="113" t="s">
        <v>2499</v>
      </c>
      <c r="D2058" s="82" t="str">
        <f aca="false">IF(OR(C2058="",P2058=""),"",INDEX('CARNET DE SOUDURE'!$D$7:$D$3006,P2058)&amp;"")</f>
        <v>19</v>
      </c>
      <c r="E2058" s="114" t="str">
        <f aca="false">IF(OR(C2058="",P2058=""),"",IF(INDEX('CARNET DE SOUDURE'!$U$7:$U$3006,P2058)="","",INDEX('CARNET DE SOUDURE'!$U$7:$U$3006,P2058)))</f>
        <v/>
      </c>
      <c r="F2058" s="82" t="str">
        <f aca="false">IF(OR(C2058="",P2058=""),"",INDEX('CARNET DE SOUDURE'!$AP$7:$AP$3006,P2058))</f>
        <v/>
      </c>
      <c r="G2058" s="82" t="str">
        <f aca="false">IF(C2058="","",IF(P2058="","NJ INCONNU",INDEX('CARNET DE SOUDURE'!$AQ$7:$AQ$3006,P2058)))</f>
        <v>À SOUDER</v>
      </c>
      <c r="H2058" s="82" t="str">
        <f aca="false">IF(C2058="","",IF(G2058="ACCEPTÉ","OUI","NON"))</f>
        <v>NON</v>
      </c>
      <c r="I2058" s="83"/>
      <c r="J2058" s="80"/>
      <c r="K2058" s="81"/>
      <c r="L2058" s="81"/>
      <c r="M2058" s="81"/>
      <c r="N2058" s="84" t="str">
        <f aca="false">IF(C2058="","",IF(P2058="","NJ INCONNU",IF(I2058="",IF(H2058="OUI","À ENROBER",IF(G2058="À SOUDER","NON SOUDÉ","EN ATTENTE RT")),IF(L2058="R","À REPRENDRE",IF(H2058&lt;&gt;"OUI","⚠ ENROBÉ AVANT ACCEPTATION RT","ENROBÉ")))))</f>
        <v>NON SOUDÉ</v>
      </c>
      <c r="O2058" s="80"/>
      <c r="P2058" s="82" t="n">
        <f aca="false">IF(C2058="","",IFERROR(MATCH(Q2058,'CARNET DE SOUDURE'!$AW$7:$AW$3006,0),""))</f>
        <v>2052</v>
      </c>
      <c r="Q2058" s="82" t="str">
        <f aca="false">IF(C2058="","",B2058&amp;"|"&amp;C2058)</f>
        <v>MFD-ISW → MFD-CPF|JN°1574</v>
      </c>
    </row>
    <row r="2059" customFormat="false" ht="74.6" hidden="false" customHeight="false" outlineLevel="0" collapsed="false">
      <c r="A2059" s="82" t="n">
        <f aca="false">IF(C2059="","",ROW()-6)</f>
        <v>2053</v>
      </c>
      <c r="B2059" s="80" t="s">
        <v>110</v>
      </c>
      <c r="C2059" s="113" t="s">
        <v>2500</v>
      </c>
      <c r="D2059" s="82" t="str">
        <f aca="false">IF(OR(C2059="",P2059=""),"",INDEX('CARNET DE SOUDURE'!$D$7:$D$3006,P2059)&amp;"")</f>
        <v>19</v>
      </c>
      <c r="E2059" s="114" t="str">
        <f aca="false">IF(OR(C2059="",P2059=""),"",IF(INDEX('CARNET DE SOUDURE'!$U$7:$U$3006,P2059)="","",INDEX('CARNET DE SOUDURE'!$U$7:$U$3006,P2059)))</f>
        <v/>
      </c>
      <c r="F2059" s="82" t="str">
        <f aca="false">IF(OR(C2059="",P2059=""),"",INDEX('CARNET DE SOUDURE'!$AP$7:$AP$3006,P2059))</f>
        <v/>
      </c>
      <c r="G2059" s="82" t="str">
        <f aca="false">IF(C2059="","",IF(P2059="","NJ INCONNU",INDEX('CARNET DE SOUDURE'!$AQ$7:$AQ$3006,P2059)))</f>
        <v>À SOUDER</v>
      </c>
      <c r="H2059" s="82" t="str">
        <f aca="false">IF(C2059="","",IF(G2059="ACCEPTÉ","OUI","NON"))</f>
        <v>NON</v>
      </c>
      <c r="I2059" s="83"/>
      <c r="J2059" s="80"/>
      <c r="K2059" s="81"/>
      <c r="L2059" s="81"/>
      <c r="M2059" s="81"/>
      <c r="N2059" s="84" t="str">
        <f aca="false">IF(C2059="","",IF(P2059="","NJ INCONNU",IF(I2059="",IF(H2059="OUI","À ENROBER",IF(G2059="À SOUDER","NON SOUDÉ","EN ATTENTE RT")),IF(L2059="R","À REPRENDRE",IF(H2059&lt;&gt;"OUI","⚠ ENROBÉ AVANT ACCEPTATION RT","ENROBÉ")))))</f>
        <v>NON SOUDÉ</v>
      </c>
      <c r="O2059" s="80"/>
      <c r="P2059" s="82" t="n">
        <f aca="false">IF(C2059="","",IFERROR(MATCH(Q2059,'CARNET DE SOUDURE'!$AW$7:$AW$3006,0),""))</f>
        <v>2053</v>
      </c>
      <c r="Q2059" s="82" t="str">
        <f aca="false">IF(C2059="","",B2059&amp;"|"&amp;C2059)</f>
        <v>MFD-ISW → MFD-CPF|JN°1575</v>
      </c>
    </row>
    <row r="2060" customFormat="false" ht="74.6" hidden="false" customHeight="false" outlineLevel="0" collapsed="false">
      <c r="A2060" s="82" t="n">
        <f aca="false">IF(C2060="","",ROW()-6)</f>
        <v>2054</v>
      </c>
      <c r="B2060" s="80" t="s">
        <v>110</v>
      </c>
      <c r="C2060" s="113" t="s">
        <v>2501</v>
      </c>
      <c r="D2060" s="82" t="str">
        <f aca="false">IF(OR(C2060="",P2060=""),"",INDEX('CARNET DE SOUDURE'!$D$7:$D$3006,P2060)&amp;"")</f>
        <v>19</v>
      </c>
      <c r="E2060" s="114" t="str">
        <f aca="false">IF(OR(C2060="",P2060=""),"",IF(INDEX('CARNET DE SOUDURE'!$U$7:$U$3006,P2060)="","",INDEX('CARNET DE SOUDURE'!$U$7:$U$3006,P2060)))</f>
        <v/>
      </c>
      <c r="F2060" s="82" t="str">
        <f aca="false">IF(OR(C2060="",P2060=""),"",INDEX('CARNET DE SOUDURE'!$AP$7:$AP$3006,P2060))</f>
        <v/>
      </c>
      <c r="G2060" s="82" t="str">
        <f aca="false">IF(C2060="","",IF(P2060="","NJ INCONNU",INDEX('CARNET DE SOUDURE'!$AQ$7:$AQ$3006,P2060)))</f>
        <v>À SOUDER</v>
      </c>
      <c r="H2060" s="82" t="str">
        <f aca="false">IF(C2060="","",IF(G2060="ACCEPTÉ","OUI","NON"))</f>
        <v>NON</v>
      </c>
      <c r="I2060" s="83"/>
      <c r="J2060" s="80"/>
      <c r="K2060" s="81"/>
      <c r="L2060" s="81"/>
      <c r="M2060" s="81"/>
      <c r="N2060" s="84" t="str">
        <f aca="false">IF(C2060="","",IF(P2060="","NJ INCONNU",IF(I2060="",IF(H2060="OUI","À ENROBER",IF(G2060="À SOUDER","NON SOUDÉ","EN ATTENTE RT")),IF(L2060="R","À REPRENDRE",IF(H2060&lt;&gt;"OUI","⚠ ENROBÉ AVANT ACCEPTATION RT","ENROBÉ")))))</f>
        <v>NON SOUDÉ</v>
      </c>
      <c r="O2060" s="80"/>
      <c r="P2060" s="82" t="n">
        <f aca="false">IF(C2060="","",IFERROR(MATCH(Q2060,'CARNET DE SOUDURE'!$AW$7:$AW$3006,0),""))</f>
        <v>2054</v>
      </c>
      <c r="Q2060" s="82" t="str">
        <f aca="false">IF(C2060="","",B2060&amp;"|"&amp;C2060)</f>
        <v>MFD-ISW → MFD-CPF|JN°1576</v>
      </c>
    </row>
    <row r="2061" customFormat="false" ht="74.6" hidden="false" customHeight="false" outlineLevel="0" collapsed="false">
      <c r="A2061" s="82" t="n">
        <f aca="false">IF(C2061="","",ROW()-6)</f>
        <v>2055</v>
      </c>
      <c r="B2061" s="80" t="s">
        <v>110</v>
      </c>
      <c r="C2061" s="113" t="s">
        <v>2502</v>
      </c>
      <c r="D2061" s="82" t="str">
        <f aca="false">IF(OR(C2061="",P2061=""),"",INDEX('CARNET DE SOUDURE'!$D$7:$D$3006,P2061)&amp;"")</f>
        <v>19</v>
      </c>
      <c r="E2061" s="114" t="str">
        <f aca="false">IF(OR(C2061="",P2061=""),"",IF(INDEX('CARNET DE SOUDURE'!$U$7:$U$3006,P2061)="","",INDEX('CARNET DE SOUDURE'!$U$7:$U$3006,P2061)))</f>
        <v/>
      </c>
      <c r="F2061" s="82" t="str">
        <f aca="false">IF(OR(C2061="",P2061=""),"",INDEX('CARNET DE SOUDURE'!$AP$7:$AP$3006,P2061))</f>
        <v/>
      </c>
      <c r="G2061" s="82" t="str">
        <f aca="false">IF(C2061="","",IF(P2061="","NJ INCONNU",INDEX('CARNET DE SOUDURE'!$AQ$7:$AQ$3006,P2061)))</f>
        <v>À SOUDER</v>
      </c>
      <c r="H2061" s="82" t="str">
        <f aca="false">IF(C2061="","",IF(G2061="ACCEPTÉ","OUI","NON"))</f>
        <v>NON</v>
      </c>
      <c r="I2061" s="83"/>
      <c r="J2061" s="80"/>
      <c r="K2061" s="81"/>
      <c r="L2061" s="81"/>
      <c r="M2061" s="81"/>
      <c r="N2061" s="84" t="str">
        <f aca="false">IF(C2061="","",IF(P2061="","NJ INCONNU",IF(I2061="",IF(H2061="OUI","À ENROBER",IF(G2061="À SOUDER","NON SOUDÉ","EN ATTENTE RT")),IF(L2061="R","À REPRENDRE",IF(H2061&lt;&gt;"OUI","⚠ ENROBÉ AVANT ACCEPTATION RT","ENROBÉ")))))</f>
        <v>NON SOUDÉ</v>
      </c>
      <c r="O2061" s="80"/>
      <c r="P2061" s="82" t="n">
        <f aca="false">IF(C2061="","",IFERROR(MATCH(Q2061,'CARNET DE SOUDURE'!$AW$7:$AW$3006,0),""))</f>
        <v>2055</v>
      </c>
      <c r="Q2061" s="82" t="str">
        <f aca="false">IF(C2061="","",B2061&amp;"|"&amp;C2061)</f>
        <v>MFD-ISW → MFD-CPF|JN°1577</v>
      </c>
    </row>
    <row r="2062" customFormat="false" ht="74.6" hidden="false" customHeight="false" outlineLevel="0" collapsed="false">
      <c r="A2062" s="82" t="n">
        <f aca="false">IF(C2062="","",ROW()-6)</f>
        <v>2056</v>
      </c>
      <c r="B2062" s="80" t="s">
        <v>110</v>
      </c>
      <c r="C2062" s="113" t="s">
        <v>2503</v>
      </c>
      <c r="D2062" s="82" t="str">
        <f aca="false">IF(OR(C2062="",P2062=""),"",INDEX('CARNET DE SOUDURE'!$D$7:$D$3006,P2062)&amp;"")</f>
        <v>19</v>
      </c>
      <c r="E2062" s="114" t="str">
        <f aca="false">IF(OR(C2062="",P2062=""),"",IF(INDEX('CARNET DE SOUDURE'!$U$7:$U$3006,P2062)="","",INDEX('CARNET DE SOUDURE'!$U$7:$U$3006,P2062)))</f>
        <v/>
      </c>
      <c r="F2062" s="82" t="str">
        <f aca="false">IF(OR(C2062="",P2062=""),"",INDEX('CARNET DE SOUDURE'!$AP$7:$AP$3006,P2062))</f>
        <v/>
      </c>
      <c r="G2062" s="82" t="str">
        <f aca="false">IF(C2062="","",IF(P2062="","NJ INCONNU",INDEX('CARNET DE SOUDURE'!$AQ$7:$AQ$3006,P2062)))</f>
        <v>À SOUDER</v>
      </c>
      <c r="H2062" s="82" t="str">
        <f aca="false">IF(C2062="","",IF(G2062="ACCEPTÉ","OUI","NON"))</f>
        <v>NON</v>
      </c>
      <c r="I2062" s="83"/>
      <c r="J2062" s="80"/>
      <c r="K2062" s="81"/>
      <c r="L2062" s="81"/>
      <c r="M2062" s="81"/>
      <c r="N2062" s="84" t="str">
        <f aca="false">IF(C2062="","",IF(P2062="","NJ INCONNU",IF(I2062="",IF(H2062="OUI","À ENROBER",IF(G2062="À SOUDER","NON SOUDÉ","EN ATTENTE RT")),IF(L2062="R","À REPRENDRE",IF(H2062&lt;&gt;"OUI","⚠ ENROBÉ AVANT ACCEPTATION RT","ENROBÉ")))))</f>
        <v>NON SOUDÉ</v>
      </c>
      <c r="O2062" s="80"/>
      <c r="P2062" s="82" t="n">
        <f aca="false">IF(C2062="","",IFERROR(MATCH(Q2062,'CARNET DE SOUDURE'!$AW$7:$AW$3006,0),""))</f>
        <v>2056</v>
      </c>
      <c r="Q2062" s="82" t="str">
        <f aca="false">IF(C2062="","",B2062&amp;"|"&amp;C2062)</f>
        <v>MFD-ISW → MFD-CPF|JN°1578</v>
      </c>
    </row>
    <row r="2063" customFormat="false" ht="74.6" hidden="false" customHeight="false" outlineLevel="0" collapsed="false">
      <c r="A2063" s="82" t="n">
        <f aca="false">IF(C2063="","",ROW()-6)</f>
        <v>2057</v>
      </c>
      <c r="B2063" s="80" t="s">
        <v>110</v>
      </c>
      <c r="C2063" s="113" t="s">
        <v>2504</v>
      </c>
      <c r="D2063" s="82" t="str">
        <f aca="false">IF(OR(C2063="",P2063=""),"",INDEX('CARNET DE SOUDURE'!$D$7:$D$3006,P2063)&amp;"")</f>
        <v>19</v>
      </c>
      <c r="E2063" s="114" t="str">
        <f aca="false">IF(OR(C2063="",P2063=""),"",IF(INDEX('CARNET DE SOUDURE'!$U$7:$U$3006,P2063)="","",INDEX('CARNET DE SOUDURE'!$U$7:$U$3006,P2063)))</f>
        <v/>
      </c>
      <c r="F2063" s="82" t="str">
        <f aca="false">IF(OR(C2063="",P2063=""),"",INDEX('CARNET DE SOUDURE'!$AP$7:$AP$3006,P2063))</f>
        <v/>
      </c>
      <c r="G2063" s="82" t="str">
        <f aca="false">IF(C2063="","",IF(P2063="","NJ INCONNU",INDEX('CARNET DE SOUDURE'!$AQ$7:$AQ$3006,P2063)))</f>
        <v>À SOUDER</v>
      </c>
      <c r="H2063" s="82" t="str">
        <f aca="false">IF(C2063="","",IF(G2063="ACCEPTÉ","OUI","NON"))</f>
        <v>NON</v>
      </c>
      <c r="I2063" s="83"/>
      <c r="J2063" s="80"/>
      <c r="K2063" s="81"/>
      <c r="L2063" s="81"/>
      <c r="M2063" s="81"/>
      <c r="N2063" s="84" t="str">
        <f aca="false">IF(C2063="","",IF(P2063="","NJ INCONNU",IF(I2063="",IF(H2063="OUI","À ENROBER",IF(G2063="À SOUDER","NON SOUDÉ","EN ATTENTE RT")),IF(L2063="R","À REPRENDRE",IF(H2063&lt;&gt;"OUI","⚠ ENROBÉ AVANT ACCEPTATION RT","ENROBÉ")))))</f>
        <v>NON SOUDÉ</v>
      </c>
      <c r="O2063" s="80"/>
      <c r="P2063" s="82" t="n">
        <f aca="false">IF(C2063="","",IFERROR(MATCH(Q2063,'CARNET DE SOUDURE'!$AW$7:$AW$3006,0),""))</f>
        <v>2057</v>
      </c>
      <c r="Q2063" s="82" t="str">
        <f aca="false">IF(C2063="","",B2063&amp;"|"&amp;C2063)</f>
        <v>MFD-ISW → MFD-CPF|JN°1579</v>
      </c>
    </row>
    <row r="2064" customFormat="false" ht="74.6" hidden="false" customHeight="false" outlineLevel="0" collapsed="false">
      <c r="A2064" s="82" t="n">
        <f aca="false">IF(C2064="","",ROW()-6)</f>
        <v>2058</v>
      </c>
      <c r="B2064" s="80" t="s">
        <v>110</v>
      </c>
      <c r="C2064" s="113" t="s">
        <v>2505</v>
      </c>
      <c r="D2064" s="82" t="str">
        <f aca="false">IF(OR(C2064="",P2064=""),"",INDEX('CARNET DE SOUDURE'!$D$7:$D$3006,P2064)&amp;"")</f>
        <v>19</v>
      </c>
      <c r="E2064" s="114" t="str">
        <f aca="false">IF(OR(C2064="",P2064=""),"",IF(INDEX('CARNET DE SOUDURE'!$U$7:$U$3006,P2064)="","",INDEX('CARNET DE SOUDURE'!$U$7:$U$3006,P2064)))</f>
        <v/>
      </c>
      <c r="F2064" s="82" t="str">
        <f aca="false">IF(OR(C2064="",P2064=""),"",INDEX('CARNET DE SOUDURE'!$AP$7:$AP$3006,P2064))</f>
        <v/>
      </c>
      <c r="G2064" s="82" t="str">
        <f aca="false">IF(C2064="","",IF(P2064="","NJ INCONNU",INDEX('CARNET DE SOUDURE'!$AQ$7:$AQ$3006,P2064)))</f>
        <v>À SOUDER</v>
      </c>
      <c r="H2064" s="82" t="str">
        <f aca="false">IF(C2064="","",IF(G2064="ACCEPTÉ","OUI","NON"))</f>
        <v>NON</v>
      </c>
      <c r="I2064" s="83"/>
      <c r="J2064" s="80"/>
      <c r="K2064" s="81"/>
      <c r="L2064" s="81"/>
      <c r="M2064" s="81"/>
      <c r="N2064" s="84" t="str">
        <f aca="false">IF(C2064="","",IF(P2064="","NJ INCONNU",IF(I2064="",IF(H2064="OUI","À ENROBER",IF(G2064="À SOUDER","NON SOUDÉ","EN ATTENTE RT")),IF(L2064="R","À REPRENDRE",IF(H2064&lt;&gt;"OUI","⚠ ENROBÉ AVANT ACCEPTATION RT","ENROBÉ")))))</f>
        <v>NON SOUDÉ</v>
      </c>
      <c r="O2064" s="80"/>
      <c r="P2064" s="82" t="n">
        <f aca="false">IF(C2064="","",IFERROR(MATCH(Q2064,'CARNET DE SOUDURE'!$AW$7:$AW$3006,0),""))</f>
        <v>2058</v>
      </c>
      <c r="Q2064" s="82" t="str">
        <f aca="false">IF(C2064="","",B2064&amp;"|"&amp;C2064)</f>
        <v>MFD-ISW → MFD-CPF|JN°1580</v>
      </c>
    </row>
    <row r="2065" customFormat="false" ht="74.6" hidden="false" customHeight="false" outlineLevel="0" collapsed="false">
      <c r="A2065" s="82" t="n">
        <f aca="false">IF(C2065="","",ROW()-6)</f>
        <v>2059</v>
      </c>
      <c r="B2065" s="80" t="s">
        <v>110</v>
      </c>
      <c r="C2065" s="113" t="s">
        <v>2506</v>
      </c>
      <c r="D2065" s="82" t="str">
        <f aca="false">IF(OR(C2065="",P2065=""),"",INDEX('CARNET DE SOUDURE'!$D$7:$D$3006,P2065)&amp;"")</f>
        <v>19</v>
      </c>
      <c r="E2065" s="114" t="str">
        <f aca="false">IF(OR(C2065="",P2065=""),"",IF(INDEX('CARNET DE SOUDURE'!$U$7:$U$3006,P2065)="","",INDEX('CARNET DE SOUDURE'!$U$7:$U$3006,P2065)))</f>
        <v/>
      </c>
      <c r="F2065" s="82" t="str">
        <f aca="false">IF(OR(C2065="",P2065=""),"",INDEX('CARNET DE SOUDURE'!$AP$7:$AP$3006,P2065))</f>
        <v/>
      </c>
      <c r="G2065" s="82" t="str">
        <f aca="false">IF(C2065="","",IF(P2065="","NJ INCONNU",INDEX('CARNET DE SOUDURE'!$AQ$7:$AQ$3006,P2065)))</f>
        <v>À SOUDER</v>
      </c>
      <c r="H2065" s="82" t="str">
        <f aca="false">IF(C2065="","",IF(G2065="ACCEPTÉ","OUI","NON"))</f>
        <v>NON</v>
      </c>
      <c r="I2065" s="83"/>
      <c r="J2065" s="80"/>
      <c r="K2065" s="81"/>
      <c r="L2065" s="81"/>
      <c r="M2065" s="81"/>
      <c r="N2065" s="84" t="str">
        <f aca="false">IF(C2065="","",IF(P2065="","NJ INCONNU",IF(I2065="",IF(H2065="OUI","À ENROBER",IF(G2065="À SOUDER","NON SOUDÉ","EN ATTENTE RT")),IF(L2065="R","À REPRENDRE",IF(H2065&lt;&gt;"OUI","⚠ ENROBÉ AVANT ACCEPTATION RT","ENROBÉ")))))</f>
        <v>NON SOUDÉ</v>
      </c>
      <c r="O2065" s="80"/>
      <c r="P2065" s="82" t="n">
        <f aca="false">IF(C2065="","",IFERROR(MATCH(Q2065,'CARNET DE SOUDURE'!$AW$7:$AW$3006,0),""))</f>
        <v>2059</v>
      </c>
      <c r="Q2065" s="82" t="str">
        <f aca="false">IF(C2065="","",B2065&amp;"|"&amp;C2065)</f>
        <v>MFD-ISW → MFD-CPF|JN°1581</v>
      </c>
    </row>
    <row r="2066" customFormat="false" ht="74.6" hidden="false" customHeight="false" outlineLevel="0" collapsed="false">
      <c r="A2066" s="82" t="n">
        <f aca="false">IF(C2066="","",ROW()-6)</f>
        <v>2060</v>
      </c>
      <c r="B2066" s="80" t="s">
        <v>110</v>
      </c>
      <c r="C2066" s="113" t="s">
        <v>2507</v>
      </c>
      <c r="D2066" s="82" t="str">
        <f aca="false">IF(OR(C2066="",P2066=""),"",INDEX('CARNET DE SOUDURE'!$D$7:$D$3006,P2066)&amp;"")</f>
        <v>19</v>
      </c>
      <c r="E2066" s="114" t="str">
        <f aca="false">IF(OR(C2066="",P2066=""),"",IF(INDEX('CARNET DE SOUDURE'!$U$7:$U$3006,P2066)="","",INDEX('CARNET DE SOUDURE'!$U$7:$U$3006,P2066)))</f>
        <v/>
      </c>
      <c r="F2066" s="82" t="str">
        <f aca="false">IF(OR(C2066="",P2066=""),"",INDEX('CARNET DE SOUDURE'!$AP$7:$AP$3006,P2066))</f>
        <v/>
      </c>
      <c r="G2066" s="82" t="str">
        <f aca="false">IF(C2066="","",IF(P2066="","NJ INCONNU",INDEX('CARNET DE SOUDURE'!$AQ$7:$AQ$3006,P2066)))</f>
        <v>À SOUDER</v>
      </c>
      <c r="H2066" s="82" t="str">
        <f aca="false">IF(C2066="","",IF(G2066="ACCEPTÉ","OUI","NON"))</f>
        <v>NON</v>
      </c>
      <c r="I2066" s="83"/>
      <c r="J2066" s="80"/>
      <c r="K2066" s="81"/>
      <c r="L2066" s="81"/>
      <c r="M2066" s="81"/>
      <c r="N2066" s="84" t="str">
        <f aca="false">IF(C2066="","",IF(P2066="","NJ INCONNU",IF(I2066="",IF(H2066="OUI","À ENROBER",IF(G2066="À SOUDER","NON SOUDÉ","EN ATTENTE RT")),IF(L2066="R","À REPRENDRE",IF(H2066&lt;&gt;"OUI","⚠ ENROBÉ AVANT ACCEPTATION RT","ENROBÉ")))))</f>
        <v>NON SOUDÉ</v>
      </c>
      <c r="O2066" s="80"/>
      <c r="P2066" s="82" t="n">
        <f aca="false">IF(C2066="","",IFERROR(MATCH(Q2066,'CARNET DE SOUDURE'!$AW$7:$AW$3006,0),""))</f>
        <v>2060</v>
      </c>
      <c r="Q2066" s="82" t="str">
        <f aca="false">IF(C2066="","",B2066&amp;"|"&amp;C2066)</f>
        <v>MFD-ISW → MFD-CPF|JN°1582</v>
      </c>
    </row>
    <row r="2067" customFormat="false" ht="74.6" hidden="false" customHeight="false" outlineLevel="0" collapsed="false">
      <c r="A2067" s="82" t="n">
        <f aca="false">IF(C2067="","",ROW()-6)</f>
        <v>2061</v>
      </c>
      <c r="B2067" s="80" t="s">
        <v>110</v>
      </c>
      <c r="C2067" s="113" t="s">
        <v>2508</v>
      </c>
      <c r="D2067" s="82" t="str">
        <f aca="false">IF(OR(C2067="",P2067=""),"",INDEX('CARNET DE SOUDURE'!$D$7:$D$3006,P2067)&amp;"")</f>
        <v>19</v>
      </c>
      <c r="E2067" s="114" t="str">
        <f aca="false">IF(OR(C2067="",P2067=""),"",IF(INDEX('CARNET DE SOUDURE'!$U$7:$U$3006,P2067)="","",INDEX('CARNET DE SOUDURE'!$U$7:$U$3006,P2067)))</f>
        <v/>
      </c>
      <c r="F2067" s="82" t="str">
        <f aca="false">IF(OR(C2067="",P2067=""),"",INDEX('CARNET DE SOUDURE'!$AP$7:$AP$3006,P2067))</f>
        <v/>
      </c>
      <c r="G2067" s="82" t="str">
        <f aca="false">IF(C2067="","",IF(P2067="","NJ INCONNU",INDEX('CARNET DE SOUDURE'!$AQ$7:$AQ$3006,P2067)))</f>
        <v>À SOUDER</v>
      </c>
      <c r="H2067" s="82" t="str">
        <f aca="false">IF(C2067="","",IF(G2067="ACCEPTÉ","OUI","NON"))</f>
        <v>NON</v>
      </c>
      <c r="I2067" s="83"/>
      <c r="J2067" s="80"/>
      <c r="K2067" s="81"/>
      <c r="L2067" s="81"/>
      <c r="M2067" s="81"/>
      <c r="N2067" s="84" t="str">
        <f aca="false">IF(C2067="","",IF(P2067="","NJ INCONNU",IF(I2067="",IF(H2067="OUI","À ENROBER",IF(G2067="À SOUDER","NON SOUDÉ","EN ATTENTE RT")),IF(L2067="R","À REPRENDRE",IF(H2067&lt;&gt;"OUI","⚠ ENROBÉ AVANT ACCEPTATION RT","ENROBÉ")))))</f>
        <v>NON SOUDÉ</v>
      </c>
      <c r="O2067" s="80"/>
      <c r="P2067" s="82" t="n">
        <f aca="false">IF(C2067="","",IFERROR(MATCH(Q2067,'CARNET DE SOUDURE'!$AW$7:$AW$3006,0),""))</f>
        <v>2061</v>
      </c>
      <c r="Q2067" s="82" t="str">
        <f aca="false">IF(C2067="","",B2067&amp;"|"&amp;C2067)</f>
        <v>MFD-ISW → MFD-CPF|JN°1583</v>
      </c>
    </row>
    <row r="2068" customFormat="false" ht="74.6" hidden="false" customHeight="false" outlineLevel="0" collapsed="false">
      <c r="A2068" s="82" t="n">
        <f aca="false">IF(C2068="","",ROW()-6)</f>
        <v>2062</v>
      </c>
      <c r="B2068" s="80" t="s">
        <v>110</v>
      </c>
      <c r="C2068" s="113" t="s">
        <v>2509</v>
      </c>
      <c r="D2068" s="82" t="str">
        <f aca="false">IF(OR(C2068="",P2068=""),"",INDEX('CARNET DE SOUDURE'!$D$7:$D$3006,P2068)&amp;"")</f>
        <v>19</v>
      </c>
      <c r="E2068" s="114" t="str">
        <f aca="false">IF(OR(C2068="",P2068=""),"",IF(INDEX('CARNET DE SOUDURE'!$U$7:$U$3006,P2068)="","",INDEX('CARNET DE SOUDURE'!$U$7:$U$3006,P2068)))</f>
        <v/>
      </c>
      <c r="F2068" s="82" t="str">
        <f aca="false">IF(OR(C2068="",P2068=""),"",INDEX('CARNET DE SOUDURE'!$AP$7:$AP$3006,P2068))</f>
        <v/>
      </c>
      <c r="G2068" s="82" t="str">
        <f aca="false">IF(C2068="","",IF(P2068="","NJ INCONNU",INDEX('CARNET DE SOUDURE'!$AQ$7:$AQ$3006,P2068)))</f>
        <v>À SOUDER</v>
      </c>
      <c r="H2068" s="82" t="str">
        <f aca="false">IF(C2068="","",IF(G2068="ACCEPTÉ","OUI","NON"))</f>
        <v>NON</v>
      </c>
      <c r="I2068" s="83"/>
      <c r="J2068" s="80"/>
      <c r="K2068" s="81"/>
      <c r="L2068" s="81"/>
      <c r="M2068" s="81"/>
      <c r="N2068" s="84" t="str">
        <f aca="false">IF(C2068="","",IF(P2068="","NJ INCONNU",IF(I2068="",IF(H2068="OUI","À ENROBER",IF(G2068="À SOUDER","NON SOUDÉ","EN ATTENTE RT")),IF(L2068="R","À REPRENDRE",IF(H2068&lt;&gt;"OUI","⚠ ENROBÉ AVANT ACCEPTATION RT","ENROBÉ")))))</f>
        <v>NON SOUDÉ</v>
      </c>
      <c r="O2068" s="80"/>
      <c r="P2068" s="82" t="n">
        <f aca="false">IF(C2068="","",IFERROR(MATCH(Q2068,'CARNET DE SOUDURE'!$AW$7:$AW$3006,0),""))</f>
        <v>2062</v>
      </c>
      <c r="Q2068" s="82" t="str">
        <f aca="false">IF(C2068="","",B2068&amp;"|"&amp;C2068)</f>
        <v>MFD-ISW → MFD-CPF|JN°1584</v>
      </c>
    </row>
    <row r="2069" customFormat="false" ht="74.6" hidden="false" customHeight="false" outlineLevel="0" collapsed="false">
      <c r="A2069" s="82" t="n">
        <f aca="false">IF(C2069="","",ROW()-6)</f>
        <v>2063</v>
      </c>
      <c r="B2069" s="80" t="s">
        <v>110</v>
      </c>
      <c r="C2069" s="113" t="s">
        <v>2511</v>
      </c>
      <c r="D2069" s="82" t="str">
        <f aca="false">IF(OR(C2069="",P2069=""),"",INDEX('CARNET DE SOUDURE'!$D$7:$D$3006,P2069)&amp;"")</f>
        <v>19</v>
      </c>
      <c r="E2069" s="114" t="n">
        <f aca="false">IF(OR(C2069="",P2069=""),"",IF(INDEX('CARNET DE SOUDURE'!$U$7:$U$3006,P2069)="","",INDEX('CARNET DE SOUDURE'!$U$7:$U$3006,P2069)))</f>
        <v>46266</v>
      </c>
      <c r="F2069" s="82" t="str">
        <f aca="false">IF(OR(C2069="",P2069=""),"",INDEX('CARNET DE SOUDURE'!$AP$7:$AP$3006,P2069))</f>
        <v>A</v>
      </c>
      <c r="G2069" s="82" t="str">
        <f aca="false">IF(C2069="","",IF(P2069="","NJ INCONNU",INDEX('CARNET DE SOUDURE'!$AQ$7:$AQ$3006,P2069)))</f>
        <v>ACCEPTÉ</v>
      </c>
      <c r="H2069" s="82" t="str">
        <f aca="false">IF(C2069="","",IF(G2069="ACCEPTÉ","OUI","NON"))</f>
        <v>OUI</v>
      </c>
      <c r="I2069" s="83"/>
      <c r="J2069" s="80"/>
      <c r="K2069" s="81"/>
      <c r="L2069" s="81"/>
      <c r="M2069" s="81"/>
      <c r="N2069" s="84" t="str">
        <f aca="false">IF(C2069="","",IF(P2069="","NJ INCONNU",IF(I2069="",IF(H2069="OUI","À ENROBER",IF(G2069="À SOUDER","NON SOUDÉ","EN ATTENTE RT")),IF(L2069="R","À REPRENDRE",IF(H2069&lt;&gt;"OUI","⚠ ENROBÉ AVANT ACCEPTATION RT","ENROBÉ")))))</f>
        <v>À ENROBER</v>
      </c>
      <c r="O2069" s="80"/>
      <c r="P2069" s="82" t="n">
        <f aca="false">IF(C2069="","",IFERROR(MATCH(Q2069,'CARNET DE SOUDURE'!$AW$7:$AW$3006,0),""))</f>
        <v>2063</v>
      </c>
      <c r="Q2069" s="82" t="str">
        <f aca="false">IF(C2069="","",B2069&amp;"|"&amp;C2069)</f>
        <v>MFD-ISW → MFD-CPF|JN°1585</v>
      </c>
    </row>
    <row r="2070" customFormat="false" ht="74.6" hidden="false" customHeight="false" outlineLevel="0" collapsed="false">
      <c r="A2070" s="82" t="n">
        <f aca="false">IF(C2070="","",ROW()-6)</f>
        <v>2064</v>
      </c>
      <c r="B2070" s="80" t="s">
        <v>110</v>
      </c>
      <c r="C2070" s="113" t="s">
        <v>2513</v>
      </c>
      <c r="D2070" s="82" t="str">
        <f aca="false">IF(OR(C2070="",P2070=""),"",INDEX('CARNET DE SOUDURE'!$D$7:$D$3006,P2070)&amp;"")</f>
        <v>19</v>
      </c>
      <c r="E2070" s="114" t="n">
        <f aca="false">IF(OR(C2070="",P2070=""),"",IF(INDEX('CARNET DE SOUDURE'!$U$7:$U$3006,P2070)="","",INDEX('CARNET DE SOUDURE'!$U$7:$U$3006,P2070)))</f>
        <v>46286</v>
      </c>
      <c r="F2070" s="82" t="str">
        <f aca="false">IF(OR(C2070="",P2070=""),"",INDEX('CARNET DE SOUDURE'!$AP$7:$AP$3006,P2070))</f>
        <v/>
      </c>
      <c r="G2070" s="82" t="str">
        <f aca="false">IF(C2070="","",IF(P2070="","NJ INCONNU",INDEX('CARNET DE SOUDURE'!$AQ$7:$AQ$3006,P2070)))</f>
        <v>À RADIOGRAPHIER</v>
      </c>
      <c r="H2070" s="82" t="str">
        <f aca="false">IF(C2070="","",IF(G2070="ACCEPTÉ","OUI","NON"))</f>
        <v>NON</v>
      </c>
      <c r="I2070" s="83"/>
      <c r="J2070" s="80"/>
      <c r="K2070" s="81"/>
      <c r="L2070" s="81"/>
      <c r="M2070" s="81"/>
      <c r="N2070" s="84" t="str">
        <f aca="false">IF(C2070="","",IF(P2070="","NJ INCONNU",IF(I2070="",IF(H2070="OUI","À ENROBER",IF(G2070="À SOUDER","NON SOUDÉ","EN ATTENTE RT")),IF(L2070="R","À REPRENDRE",IF(H2070&lt;&gt;"OUI","⚠ ENROBÉ AVANT ACCEPTATION RT","ENROBÉ")))))</f>
        <v>EN ATTENTE RT</v>
      </c>
      <c r="O2070" s="80"/>
      <c r="P2070" s="82" t="n">
        <f aca="false">IF(C2070="","",IFERROR(MATCH(Q2070,'CARNET DE SOUDURE'!$AW$7:$AW$3006,0),""))</f>
        <v>2064</v>
      </c>
      <c r="Q2070" s="82" t="str">
        <f aca="false">IF(C2070="","",B2070&amp;"|"&amp;C2070)</f>
        <v>MFD-ISW → MFD-CPF|JN°1586R</v>
      </c>
    </row>
    <row r="2071" customFormat="false" ht="74.6" hidden="false" customHeight="false" outlineLevel="0" collapsed="false">
      <c r="A2071" s="82" t="n">
        <f aca="false">IF(C2071="","",ROW()-6)</f>
        <v>2065</v>
      </c>
      <c r="B2071" s="80" t="s">
        <v>110</v>
      </c>
      <c r="C2071" s="113" t="s">
        <v>2514</v>
      </c>
      <c r="D2071" s="82" t="str">
        <f aca="false">IF(OR(C2071="",P2071=""),"",INDEX('CARNET DE SOUDURE'!$D$7:$D$3006,P2071)&amp;"")</f>
        <v>19</v>
      </c>
      <c r="E2071" s="114" t="n">
        <f aca="false">IF(OR(C2071="",P2071=""),"",IF(INDEX('CARNET DE SOUDURE'!$U$7:$U$3006,P2071)="","",INDEX('CARNET DE SOUDURE'!$U$7:$U$3006,P2071)))</f>
        <v>46266</v>
      </c>
      <c r="F2071" s="82" t="str">
        <f aca="false">IF(OR(C2071="",P2071=""),"",INDEX('CARNET DE SOUDURE'!$AP$7:$AP$3006,P2071))</f>
        <v>A</v>
      </c>
      <c r="G2071" s="82" t="str">
        <f aca="false">IF(C2071="","",IF(P2071="","NJ INCONNU",INDEX('CARNET DE SOUDURE'!$AQ$7:$AQ$3006,P2071)))</f>
        <v>ACCEPTÉ</v>
      </c>
      <c r="H2071" s="82" t="str">
        <f aca="false">IF(C2071="","",IF(G2071="ACCEPTÉ","OUI","NON"))</f>
        <v>OUI</v>
      </c>
      <c r="I2071" s="83"/>
      <c r="J2071" s="80"/>
      <c r="K2071" s="81"/>
      <c r="L2071" s="81"/>
      <c r="M2071" s="81"/>
      <c r="N2071" s="84" t="str">
        <f aca="false">IF(C2071="","",IF(P2071="","NJ INCONNU",IF(I2071="",IF(H2071="OUI","À ENROBER",IF(G2071="À SOUDER","NON SOUDÉ","EN ATTENTE RT")),IF(L2071="R","À REPRENDRE",IF(H2071&lt;&gt;"OUI","⚠ ENROBÉ AVANT ACCEPTATION RT","ENROBÉ")))))</f>
        <v>À ENROBER</v>
      </c>
      <c r="O2071" s="80"/>
      <c r="P2071" s="82" t="n">
        <f aca="false">IF(C2071="","",IFERROR(MATCH(Q2071,'CARNET DE SOUDURE'!$AW$7:$AW$3006,0),""))</f>
        <v>2065</v>
      </c>
      <c r="Q2071" s="82" t="str">
        <f aca="false">IF(C2071="","",B2071&amp;"|"&amp;C2071)</f>
        <v>MFD-ISW → MFD-CPF|JN°1587</v>
      </c>
    </row>
    <row r="2072" customFormat="false" ht="74.6" hidden="false" customHeight="false" outlineLevel="0" collapsed="false">
      <c r="A2072" s="82" t="n">
        <f aca="false">IF(C2072="","",ROW()-6)</f>
        <v>2066</v>
      </c>
      <c r="B2072" s="80" t="s">
        <v>110</v>
      </c>
      <c r="C2072" s="113" t="s">
        <v>2515</v>
      </c>
      <c r="D2072" s="82" t="str">
        <f aca="false">IF(OR(C2072="",P2072=""),"",INDEX('CARNET DE SOUDURE'!$D$7:$D$3006,P2072)&amp;"")</f>
        <v>19</v>
      </c>
      <c r="E2072" s="114" t="n">
        <f aca="false">IF(OR(C2072="",P2072=""),"",IF(INDEX('CARNET DE SOUDURE'!$U$7:$U$3006,P2072)="","",INDEX('CARNET DE SOUDURE'!$U$7:$U$3006,P2072)))</f>
        <v>46266</v>
      </c>
      <c r="F2072" s="82" t="str">
        <f aca="false">IF(OR(C2072="",P2072=""),"",INDEX('CARNET DE SOUDURE'!$AP$7:$AP$3006,P2072))</f>
        <v>A</v>
      </c>
      <c r="G2072" s="82" t="str">
        <f aca="false">IF(C2072="","",IF(P2072="","NJ INCONNU",INDEX('CARNET DE SOUDURE'!$AQ$7:$AQ$3006,P2072)))</f>
        <v>ACCEPTÉ</v>
      </c>
      <c r="H2072" s="82" t="str">
        <f aca="false">IF(C2072="","",IF(G2072="ACCEPTÉ","OUI","NON"))</f>
        <v>OUI</v>
      </c>
      <c r="I2072" s="83"/>
      <c r="J2072" s="80"/>
      <c r="K2072" s="81"/>
      <c r="L2072" s="81"/>
      <c r="M2072" s="81"/>
      <c r="N2072" s="84" t="str">
        <f aca="false">IF(C2072="","",IF(P2072="","NJ INCONNU",IF(I2072="",IF(H2072="OUI","À ENROBER",IF(G2072="À SOUDER","NON SOUDÉ","EN ATTENTE RT")),IF(L2072="R","À REPRENDRE",IF(H2072&lt;&gt;"OUI","⚠ ENROBÉ AVANT ACCEPTATION RT","ENROBÉ")))))</f>
        <v>À ENROBER</v>
      </c>
      <c r="O2072" s="80"/>
      <c r="P2072" s="82" t="n">
        <f aca="false">IF(C2072="","",IFERROR(MATCH(Q2072,'CARNET DE SOUDURE'!$AW$7:$AW$3006,0),""))</f>
        <v>2066</v>
      </c>
      <c r="Q2072" s="82" t="str">
        <f aca="false">IF(C2072="","",B2072&amp;"|"&amp;C2072)</f>
        <v>MFD-ISW → MFD-CPF|JN°1588</v>
      </c>
    </row>
    <row r="2073" customFormat="false" ht="74.6" hidden="false" customHeight="false" outlineLevel="0" collapsed="false">
      <c r="A2073" s="82" t="n">
        <f aca="false">IF(C2073="","",ROW()-6)</f>
        <v>2067</v>
      </c>
      <c r="B2073" s="80" t="s">
        <v>110</v>
      </c>
      <c r="C2073" s="113" t="s">
        <v>2516</v>
      </c>
      <c r="D2073" s="82" t="str">
        <f aca="false">IF(OR(C2073="",P2073=""),"",INDEX('CARNET DE SOUDURE'!$D$7:$D$3006,P2073)&amp;"")</f>
        <v>19</v>
      </c>
      <c r="E2073" s="114" t="n">
        <f aca="false">IF(OR(C2073="",P2073=""),"",IF(INDEX('CARNET DE SOUDURE'!$U$7:$U$3006,P2073)="","",INDEX('CARNET DE SOUDURE'!$U$7:$U$3006,P2073)))</f>
        <v>46266</v>
      </c>
      <c r="F2073" s="82" t="str">
        <f aca="false">IF(OR(C2073="",P2073=""),"",INDEX('CARNET DE SOUDURE'!$AP$7:$AP$3006,P2073))</f>
        <v>NX</v>
      </c>
      <c r="G2073" s="82" t="str">
        <f aca="false">IF(C2073="","",IF(P2073="","NJ INCONNU",INDEX('CARNET DE SOUDURE'!$AQ$7:$AQ$3006,P2073)))</f>
        <v>NX – RT À REFAIRE</v>
      </c>
      <c r="H2073" s="82" t="str">
        <f aca="false">IF(C2073="","",IF(G2073="ACCEPTÉ","OUI","NON"))</f>
        <v>NON</v>
      </c>
      <c r="I2073" s="83"/>
      <c r="J2073" s="80"/>
      <c r="K2073" s="81"/>
      <c r="L2073" s="81"/>
      <c r="M2073" s="81"/>
      <c r="N2073" s="84" t="str">
        <f aca="false">IF(C2073="","",IF(P2073="","NJ INCONNU",IF(I2073="",IF(H2073="OUI","À ENROBER",IF(G2073="À SOUDER","NON SOUDÉ","EN ATTENTE RT")),IF(L2073="R","À REPRENDRE",IF(H2073&lt;&gt;"OUI","⚠ ENROBÉ AVANT ACCEPTATION RT","ENROBÉ")))))</f>
        <v>EN ATTENTE RT</v>
      </c>
      <c r="O2073" s="80"/>
      <c r="P2073" s="82" t="n">
        <f aca="false">IF(C2073="","",IFERROR(MATCH(Q2073,'CARNET DE SOUDURE'!$AW$7:$AW$3006,0),""))</f>
        <v>2067</v>
      </c>
      <c r="Q2073" s="82" t="str">
        <f aca="false">IF(C2073="","",B2073&amp;"|"&amp;C2073)</f>
        <v>MFD-ISW → MFD-CPF|JN°1589</v>
      </c>
    </row>
    <row r="2074" customFormat="false" ht="74.6" hidden="false" customHeight="false" outlineLevel="0" collapsed="false">
      <c r="A2074" s="82" t="n">
        <f aca="false">IF(C2074="","",ROW()-6)</f>
        <v>2068</v>
      </c>
      <c r="B2074" s="80" t="s">
        <v>110</v>
      </c>
      <c r="C2074" s="113" t="s">
        <v>2519</v>
      </c>
      <c r="D2074" s="82" t="str">
        <f aca="false">IF(OR(C2074="",P2074=""),"",INDEX('CARNET DE SOUDURE'!$D$7:$D$3006,P2074)&amp;"")</f>
        <v>19</v>
      </c>
      <c r="E2074" s="114" t="n">
        <f aca="false">IF(OR(C2074="",P2074=""),"",IF(INDEX('CARNET DE SOUDURE'!$U$7:$U$3006,P2074)="","",INDEX('CARNET DE SOUDURE'!$U$7:$U$3006,P2074)))</f>
        <v>46266</v>
      </c>
      <c r="F2074" s="82" t="str">
        <f aca="false">IF(OR(C2074="",P2074=""),"",INDEX('CARNET DE SOUDURE'!$AP$7:$AP$3006,P2074))</f>
        <v>NX</v>
      </c>
      <c r="G2074" s="82" t="str">
        <f aca="false">IF(C2074="","",IF(P2074="","NJ INCONNU",INDEX('CARNET DE SOUDURE'!$AQ$7:$AQ$3006,P2074)))</f>
        <v>NX – RT À REFAIRE</v>
      </c>
      <c r="H2074" s="82" t="str">
        <f aca="false">IF(C2074="","",IF(G2074="ACCEPTÉ","OUI","NON"))</f>
        <v>NON</v>
      </c>
      <c r="I2074" s="83"/>
      <c r="J2074" s="80"/>
      <c r="K2074" s="81"/>
      <c r="L2074" s="81"/>
      <c r="M2074" s="81"/>
      <c r="N2074" s="84" t="str">
        <f aca="false">IF(C2074="","",IF(P2074="","NJ INCONNU",IF(I2074="",IF(H2074="OUI","À ENROBER",IF(G2074="À SOUDER","NON SOUDÉ","EN ATTENTE RT")),IF(L2074="R","À REPRENDRE",IF(H2074&lt;&gt;"OUI","⚠ ENROBÉ AVANT ACCEPTATION RT","ENROBÉ")))))</f>
        <v>EN ATTENTE RT</v>
      </c>
      <c r="O2074" s="80"/>
      <c r="P2074" s="82" t="n">
        <f aca="false">IF(C2074="","",IFERROR(MATCH(Q2074,'CARNET DE SOUDURE'!$AW$7:$AW$3006,0),""))</f>
        <v>2068</v>
      </c>
      <c r="Q2074" s="82" t="str">
        <f aca="false">IF(C2074="","",B2074&amp;"|"&amp;C2074)</f>
        <v>MFD-ISW → MFD-CPF|JN°1590</v>
      </c>
    </row>
    <row r="2075" customFormat="false" ht="74.6" hidden="false" customHeight="false" outlineLevel="0" collapsed="false">
      <c r="A2075" s="82" t="n">
        <f aca="false">IF(C2075="","",ROW()-6)</f>
        <v>2069</v>
      </c>
      <c r="B2075" s="80" t="s">
        <v>110</v>
      </c>
      <c r="C2075" s="113" t="s">
        <v>2521</v>
      </c>
      <c r="D2075" s="82" t="str">
        <f aca="false">IF(OR(C2075="",P2075=""),"",INDEX('CARNET DE SOUDURE'!$D$7:$D$3006,P2075)&amp;"")</f>
        <v>19</v>
      </c>
      <c r="E2075" s="114" t="n">
        <f aca="false">IF(OR(C2075="",P2075=""),"",IF(INDEX('CARNET DE SOUDURE'!$U$7:$U$3006,P2075)="","",INDEX('CARNET DE SOUDURE'!$U$7:$U$3006,P2075)))</f>
        <v>46266</v>
      </c>
      <c r="F2075" s="82" t="str">
        <f aca="false">IF(OR(C2075="",P2075=""),"",INDEX('CARNET DE SOUDURE'!$AP$7:$AP$3006,P2075))</f>
        <v>A</v>
      </c>
      <c r="G2075" s="82" t="str">
        <f aca="false">IF(C2075="","",IF(P2075="","NJ INCONNU",INDEX('CARNET DE SOUDURE'!$AQ$7:$AQ$3006,P2075)))</f>
        <v>ACCEPTÉ</v>
      </c>
      <c r="H2075" s="82" t="str">
        <f aca="false">IF(C2075="","",IF(G2075="ACCEPTÉ","OUI","NON"))</f>
        <v>OUI</v>
      </c>
      <c r="I2075" s="83"/>
      <c r="J2075" s="80"/>
      <c r="K2075" s="81"/>
      <c r="L2075" s="81"/>
      <c r="M2075" s="81"/>
      <c r="N2075" s="84" t="str">
        <f aca="false">IF(C2075="","",IF(P2075="","NJ INCONNU",IF(I2075="",IF(H2075="OUI","À ENROBER",IF(G2075="À SOUDER","NON SOUDÉ","EN ATTENTE RT")),IF(L2075="R","À REPRENDRE",IF(H2075&lt;&gt;"OUI","⚠ ENROBÉ AVANT ACCEPTATION RT","ENROBÉ")))))</f>
        <v>À ENROBER</v>
      </c>
      <c r="O2075" s="80"/>
      <c r="P2075" s="82" t="n">
        <f aca="false">IF(C2075="","",IFERROR(MATCH(Q2075,'CARNET DE SOUDURE'!$AW$7:$AW$3006,0),""))</f>
        <v>2069</v>
      </c>
      <c r="Q2075" s="82" t="str">
        <f aca="false">IF(C2075="","",B2075&amp;"|"&amp;C2075)</f>
        <v>MFD-ISW → MFD-CPF|JN°1591</v>
      </c>
    </row>
    <row r="2076" customFormat="false" ht="74.6" hidden="false" customHeight="false" outlineLevel="0" collapsed="false">
      <c r="A2076" s="82" t="n">
        <f aca="false">IF(C2076="","",ROW()-6)</f>
        <v>2070</v>
      </c>
      <c r="B2076" s="80" t="s">
        <v>110</v>
      </c>
      <c r="C2076" s="113" t="s">
        <v>2522</v>
      </c>
      <c r="D2076" s="82" t="str">
        <f aca="false">IF(OR(C2076="",P2076=""),"",INDEX('CARNET DE SOUDURE'!$D$7:$D$3006,P2076)&amp;"")</f>
        <v>19</v>
      </c>
      <c r="E2076" s="114" t="n">
        <f aca="false">IF(OR(C2076="",P2076=""),"",IF(INDEX('CARNET DE SOUDURE'!$U$7:$U$3006,P2076)="","",INDEX('CARNET DE SOUDURE'!$U$7:$U$3006,P2076)))</f>
        <v>46266</v>
      </c>
      <c r="F2076" s="82" t="str">
        <f aca="false">IF(OR(C2076="",P2076=""),"",INDEX('CARNET DE SOUDURE'!$AP$7:$AP$3006,P2076))</f>
        <v>A</v>
      </c>
      <c r="G2076" s="82" t="str">
        <f aca="false">IF(C2076="","",IF(P2076="","NJ INCONNU",INDEX('CARNET DE SOUDURE'!$AQ$7:$AQ$3006,P2076)))</f>
        <v>ACCEPTÉ</v>
      </c>
      <c r="H2076" s="82" t="str">
        <f aca="false">IF(C2076="","",IF(G2076="ACCEPTÉ","OUI","NON"))</f>
        <v>OUI</v>
      </c>
      <c r="I2076" s="83"/>
      <c r="J2076" s="80"/>
      <c r="K2076" s="81"/>
      <c r="L2076" s="81"/>
      <c r="M2076" s="81"/>
      <c r="N2076" s="84" t="str">
        <f aca="false">IF(C2076="","",IF(P2076="","NJ INCONNU",IF(I2076="",IF(H2076="OUI","À ENROBER",IF(G2076="À SOUDER","NON SOUDÉ","EN ATTENTE RT")),IF(L2076="R","À REPRENDRE",IF(H2076&lt;&gt;"OUI","⚠ ENROBÉ AVANT ACCEPTATION RT","ENROBÉ")))))</f>
        <v>À ENROBER</v>
      </c>
      <c r="O2076" s="80"/>
      <c r="P2076" s="82" t="n">
        <f aca="false">IF(C2076="","",IFERROR(MATCH(Q2076,'CARNET DE SOUDURE'!$AW$7:$AW$3006,0),""))</f>
        <v>2070</v>
      </c>
      <c r="Q2076" s="82" t="str">
        <f aca="false">IF(C2076="","",B2076&amp;"|"&amp;C2076)</f>
        <v>MFD-ISW → MFD-CPF|JN°1592</v>
      </c>
    </row>
    <row r="2077" customFormat="false" ht="74.6" hidden="false" customHeight="false" outlineLevel="0" collapsed="false">
      <c r="A2077" s="82" t="n">
        <f aca="false">IF(C2077="","",ROW()-6)</f>
        <v>2071</v>
      </c>
      <c r="B2077" s="80" t="s">
        <v>110</v>
      </c>
      <c r="C2077" s="113" t="s">
        <v>2524</v>
      </c>
      <c r="D2077" s="82" t="str">
        <f aca="false">IF(OR(C2077="",P2077=""),"",INDEX('CARNET DE SOUDURE'!$D$7:$D$3006,P2077)&amp;"")</f>
        <v>19</v>
      </c>
      <c r="E2077" s="114" t="n">
        <f aca="false">IF(OR(C2077="",P2077=""),"",IF(INDEX('CARNET DE SOUDURE'!$U$7:$U$3006,P2077)="","",INDEX('CARNET DE SOUDURE'!$U$7:$U$3006,P2077)))</f>
        <v>46266</v>
      </c>
      <c r="F2077" s="82" t="str">
        <f aca="false">IF(OR(C2077="",P2077=""),"",INDEX('CARNET DE SOUDURE'!$AP$7:$AP$3006,P2077))</f>
        <v>A</v>
      </c>
      <c r="G2077" s="82" t="str">
        <f aca="false">IF(C2077="","",IF(P2077="","NJ INCONNU",INDEX('CARNET DE SOUDURE'!$AQ$7:$AQ$3006,P2077)))</f>
        <v>ACCEPTÉ</v>
      </c>
      <c r="H2077" s="82" t="str">
        <f aca="false">IF(C2077="","",IF(G2077="ACCEPTÉ","OUI","NON"))</f>
        <v>OUI</v>
      </c>
      <c r="I2077" s="83"/>
      <c r="J2077" s="80"/>
      <c r="K2077" s="81"/>
      <c r="L2077" s="81"/>
      <c r="M2077" s="81"/>
      <c r="N2077" s="84" t="str">
        <f aca="false">IF(C2077="","",IF(P2077="","NJ INCONNU",IF(I2077="",IF(H2077="OUI","À ENROBER",IF(G2077="À SOUDER","NON SOUDÉ","EN ATTENTE RT")),IF(L2077="R","À REPRENDRE",IF(H2077&lt;&gt;"OUI","⚠ ENROBÉ AVANT ACCEPTATION RT","ENROBÉ")))))</f>
        <v>À ENROBER</v>
      </c>
      <c r="O2077" s="80"/>
      <c r="P2077" s="82" t="n">
        <f aca="false">IF(C2077="","",IFERROR(MATCH(Q2077,'CARNET DE SOUDURE'!$AW$7:$AW$3006,0),""))</f>
        <v>2071</v>
      </c>
      <c r="Q2077" s="82" t="str">
        <f aca="false">IF(C2077="","",B2077&amp;"|"&amp;C2077)</f>
        <v>MFD-ISW → MFD-CPF|JN°1593</v>
      </c>
    </row>
    <row r="2078" customFormat="false" ht="74.6" hidden="false" customHeight="false" outlineLevel="0" collapsed="false">
      <c r="A2078" s="82" t="n">
        <f aca="false">IF(C2078="","",ROW()-6)</f>
        <v>2072</v>
      </c>
      <c r="B2078" s="80" t="s">
        <v>110</v>
      </c>
      <c r="C2078" s="113" t="s">
        <v>2525</v>
      </c>
      <c r="D2078" s="82" t="str">
        <f aca="false">IF(OR(C2078="",P2078=""),"",INDEX('CARNET DE SOUDURE'!$D$7:$D$3006,P2078)&amp;"")</f>
        <v>19</v>
      </c>
      <c r="E2078" s="114" t="n">
        <f aca="false">IF(OR(C2078="",P2078=""),"",IF(INDEX('CARNET DE SOUDURE'!$U$7:$U$3006,P2078)="","",INDEX('CARNET DE SOUDURE'!$U$7:$U$3006,P2078)))</f>
        <v>46266</v>
      </c>
      <c r="F2078" s="82" t="str">
        <f aca="false">IF(OR(C2078="",P2078=""),"",INDEX('CARNET DE SOUDURE'!$AP$7:$AP$3006,P2078))</f>
        <v>NX</v>
      </c>
      <c r="G2078" s="82" t="str">
        <f aca="false">IF(C2078="","",IF(P2078="","NJ INCONNU",INDEX('CARNET DE SOUDURE'!$AQ$7:$AQ$3006,P2078)))</f>
        <v>NX – RT À REFAIRE</v>
      </c>
      <c r="H2078" s="82" t="str">
        <f aca="false">IF(C2078="","",IF(G2078="ACCEPTÉ","OUI","NON"))</f>
        <v>NON</v>
      </c>
      <c r="I2078" s="83"/>
      <c r="J2078" s="80"/>
      <c r="K2078" s="81"/>
      <c r="L2078" s="81"/>
      <c r="M2078" s="81"/>
      <c r="N2078" s="84" t="str">
        <f aca="false">IF(C2078="","",IF(P2078="","NJ INCONNU",IF(I2078="",IF(H2078="OUI","À ENROBER",IF(G2078="À SOUDER","NON SOUDÉ","EN ATTENTE RT")),IF(L2078="R","À REPRENDRE",IF(H2078&lt;&gt;"OUI","⚠ ENROBÉ AVANT ACCEPTATION RT","ENROBÉ")))))</f>
        <v>EN ATTENTE RT</v>
      </c>
      <c r="O2078" s="80"/>
      <c r="P2078" s="82" t="n">
        <f aca="false">IF(C2078="","",IFERROR(MATCH(Q2078,'CARNET DE SOUDURE'!$AW$7:$AW$3006,0),""))</f>
        <v>2072</v>
      </c>
      <c r="Q2078" s="82" t="str">
        <f aca="false">IF(C2078="","",B2078&amp;"|"&amp;C2078)</f>
        <v>MFD-ISW → MFD-CPF|JN°1594</v>
      </c>
    </row>
    <row r="2079" customFormat="false" ht="74.6" hidden="false" customHeight="false" outlineLevel="0" collapsed="false">
      <c r="A2079" s="82" t="n">
        <f aca="false">IF(C2079="","",ROW()-6)</f>
        <v>2073</v>
      </c>
      <c r="B2079" s="80" t="s">
        <v>110</v>
      </c>
      <c r="C2079" s="113" t="s">
        <v>2526</v>
      </c>
      <c r="D2079" s="82" t="str">
        <f aca="false">IF(OR(C2079="",P2079=""),"",INDEX('CARNET DE SOUDURE'!$D$7:$D$3006,P2079)&amp;"")</f>
        <v>19</v>
      </c>
      <c r="E2079" s="114" t="n">
        <f aca="false">IF(OR(C2079="",P2079=""),"",IF(INDEX('CARNET DE SOUDURE'!$U$7:$U$3006,P2079)="","",INDEX('CARNET DE SOUDURE'!$U$7:$U$3006,P2079)))</f>
        <v>46266</v>
      </c>
      <c r="F2079" s="82" t="str">
        <f aca="false">IF(OR(C2079="",P2079=""),"",INDEX('CARNET DE SOUDURE'!$AP$7:$AP$3006,P2079))</f>
        <v>NX</v>
      </c>
      <c r="G2079" s="82" t="str">
        <f aca="false">IF(C2079="","",IF(P2079="","NJ INCONNU",INDEX('CARNET DE SOUDURE'!$AQ$7:$AQ$3006,P2079)))</f>
        <v>NX – RT À REFAIRE</v>
      </c>
      <c r="H2079" s="82" t="str">
        <f aca="false">IF(C2079="","",IF(G2079="ACCEPTÉ","OUI","NON"))</f>
        <v>NON</v>
      </c>
      <c r="I2079" s="83"/>
      <c r="J2079" s="80"/>
      <c r="K2079" s="81"/>
      <c r="L2079" s="81"/>
      <c r="M2079" s="81"/>
      <c r="N2079" s="84" t="str">
        <f aca="false">IF(C2079="","",IF(P2079="","NJ INCONNU",IF(I2079="",IF(H2079="OUI","À ENROBER",IF(G2079="À SOUDER","NON SOUDÉ","EN ATTENTE RT")),IF(L2079="R","À REPRENDRE",IF(H2079&lt;&gt;"OUI","⚠ ENROBÉ AVANT ACCEPTATION RT","ENROBÉ")))))</f>
        <v>EN ATTENTE RT</v>
      </c>
      <c r="O2079" s="80"/>
      <c r="P2079" s="82" t="n">
        <f aca="false">IF(C2079="","",IFERROR(MATCH(Q2079,'CARNET DE SOUDURE'!$AW$7:$AW$3006,0),""))</f>
        <v>2073</v>
      </c>
      <c r="Q2079" s="82" t="str">
        <f aca="false">IF(C2079="","",B2079&amp;"|"&amp;C2079)</f>
        <v>MFD-ISW → MFD-CPF|JN°1595</v>
      </c>
    </row>
    <row r="2080" customFormat="false" ht="74.6" hidden="false" customHeight="false" outlineLevel="0" collapsed="false">
      <c r="A2080" s="82" t="n">
        <f aca="false">IF(C2080="","",ROW()-6)</f>
        <v>2074</v>
      </c>
      <c r="B2080" s="80" t="s">
        <v>110</v>
      </c>
      <c r="C2080" s="113" t="s">
        <v>2527</v>
      </c>
      <c r="D2080" s="82" t="str">
        <f aca="false">IF(OR(C2080="",P2080=""),"",INDEX('CARNET DE SOUDURE'!$D$7:$D$3006,P2080)&amp;"")</f>
        <v>19</v>
      </c>
      <c r="E2080" s="114" t="n">
        <f aca="false">IF(OR(C2080="",P2080=""),"",IF(INDEX('CARNET DE SOUDURE'!$U$7:$U$3006,P2080)="","",INDEX('CARNET DE SOUDURE'!$U$7:$U$3006,P2080)))</f>
        <v>46266</v>
      </c>
      <c r="F2080" s="82" t="str">
        <f aca="false">IF(OR(C2080="",P2080=""),"",INDEX('CARNET DE SOUDURE'!$AP$7:$AP$3006,P2080))</f>
        <v>NX</v>
      </c>
      <c r="G2080" s="82" t="str">
        <f aca="false">IF(C2080="","",IF(P2080="","NJ INCONNU",INDEX('CARNET DE SOUDURE'!$AQ$7:$AQ$3006,P2080)))</f>
        <v>NX – RT À REFAIRE</v>
      </c>
      <c r="H2080" s="82" t="str">
        <f aca="false">IF(C2080="","",IF(G2080="ACCEPTÉ","OUI","NON"))</f>
        <v>NON</v>
      </c>
      <c r="I2080" s="83"/>
      <c r="J2080" s="80"/>
      <c r="K2080" s="81"/>
      <c r="L2080" s="81"/>
      <c r="M2080" s="81"/>
      <c r="N2080" s="84" t="str">
        <f aca="false">IF(C2080="","",IF(P2080="","NJ INCONNU",IF(I2080="",IF(H2080="OUI","À ENROBER",IF(G2080="À SOUDER","NON SOUDÉ","EN ATTENTE RT")),IF(L2080="R","À REPRENDRE",IF(H2080&lt;&gt;"OUI","⚠ ENROBÉ AVANT ACCEPTATION RT","ENROBÉ")))))</f>
        <v>EN ATTENTE RT</v>
      </c>
      <c r="O2080" s="80"/>
      <c r="P2080" s="82" t="n">
        <f aca="false">IF(C2080="","",IFERROR(MATCH(Q2080,'CARNET DE SOUDURE'!$AW$7:$AW$3006,0),""))</f>
        <v>2074</v>
      </c>
      <c r="Q2080" s="82" t="str">
        <f aca="false">IF(C2080="","",B2080&amp;"|"&amp;C2080)</f>
        <v>MFD-ISW → MFD-CPF|JN°1596</v>
      </c>
    </row>
    <row r="2081" customFormat="false" ht="74.6" hidden="false" customHeight="false" outlineLevel="0" collapsed="false">
      <c r="A2081" s="82" t="n">
        <f aca="false">IF(C2081="","",ROW()-6)</f>
        <v>2075</v>
      </c>
      <c r="B2081" s="80" t="s">
        <v>110</v>
      </c>
      <c r="C2081" s="113" t="s">
        <v>2528</v>
      </c>
      <c r="D2081" s="82" t="str">
        <f aca="false">IF(OR(C2081="",P2081=""),"",INDEX('CARNET DE SOUDURE'!$D$7:$D$3006,P2081)&amp;"")</f>
        <v>19</v>
      </c>
      <c r="E2081" s="114" t="n">
        <f aca="false">IF(OR(C2081="",P2081=""),"",IF(INDEX('CARNET DE SOUDURE'!$U$7:$U$3006,P2081)="","",INDEX('CARNET DE SOUDURE'!$U$7:$U$3006,P2081)))</f>
        <v>46266</v>
      </c>
      <c r="F2081" s="82" t="str">
        <f aca="false">IF(OR(C2081="",P2081=""),"",INDEX('CARNET DE SOUDURE'!$AP$7:$AP$3006,P2081))</f>
        <v>A</v>
      </c>
      <c r="G2081" s="82" t="str">
        <f aca="false">IF(C2081="","",IF(P2081="","NJ INCONNU",INDEX('CARNET DE SOUDURE'!$AQ$7:$AQ$3006,P2081)))</f>
        <v>ACCEPTÉ</v>
      </c>
      <c r="H2081" s="82" t="str">
        <f aca="false">IF(C2081="","",IF(G2081="ACCEPTÉ","OUI","NON"))</f>
        <v>OUI</v>
      </c>
      <c r="I2081" s="83"/>
      <c r="J2081" s="80"/>
      <c r="K2081" s="81"/>
      <c r="L2081" s="81"/>
      <c r="M2081" s="81"/>
      <c r="N2081" s="84" t="str">
        <f aca="false">IF(C2081="","",IF(P2081="","NJ INCONNU",IF(I2081="",IF(H2081="OUI","À ENROBER",IF(G2081="À SOUDER","NON SOUDÉ","EN ATTENTE RT")),IF(L2081="R","À REPRENDRE",IF(H2081&lt;&gt;"OUI","⚠ ENROBÉ AVANT ACCEPTATION RT","ENROBÉ")))))</f>
        <v>À ENROBER</v>
      </c>
      <c r="O2081" s="80"/>
      <c r="P2081" s="82" t="n">
        <f aca="false">IF(C2081="","",IFERROR(MATCH(Q2081,'CARNET DE SOUDURE'!$AW$7:$AW$3006,0),""))</f>
        <v>2075</v>
      </c>
      <c r="Q2081" s="82" t="str">
        <f aca="false">IF(C2081="","",B2081&amp;"|"&amp;C2081)</f>
        <v>MFD-ISW → MFD-CPF|JN°1597</v>
      </c>
    </row>
    <row r="2082" customFormat="false" ht="74.6" hidden="false" customHeight="false" outlineLevel="0" collapsed="false">
      <c r="A2082" s="82" t="n">
        <f aca="false">IF(C2082="","",ROW()-6)</f>
        <v>2076</v>
      </c>
      <c r="B2082" s="80" t="s">
        <v>110</v>
      </c>
      <c r="C2082" s="113" t="s">
        <v>2529</v>
      </c>
      <c r="D2082" s="82" t="str">
        <f aca="false">IF(OR(C2082="",P2082=""),"",INDEX('CARNET DE SOUDURE'!$D$7:$D$3006,P2082)&amp;"")</f>
        <v>19</v>
      </c>
      <c r="E2082" s="114" t="n">
        <f aca="false">IF(OR(C2082="",P2082=""),"",IF(INDEX('CARNET DE SOUDURE'!$U$7:$U$3006,P2082)="","",INDEX('CARNET DE SOUDURE'!$U$7:$U$3006,P2082)))</f>
        <v>46266</v>
      </c>
      <c r="F2082" s="82" t="str">
        <f aca="false">IF(OR(C2082="",P2082=""),"",INDEX('CARNET DE SOUDURE'!$AP$7:$AP$3006,P2082))</f>
        <v>A</v>
      </c>
      <c r="G2082" s="82" t="str">
        <f aca="false">IF(C2082="","",IF(P2082="","NJ INCONNU",INDEX('CARNET DE SOUDURE'!$AQ$7:$AQ$3006,P2082)))</f>
        <v>ACCEPTÉ</v>
      </c>
      <c r="H2082" s="82" t="str">
        <f aca="false">IF(C2082="","",IF(G2082="ACCEPTÉ","OUI","NON"))</f>
        <v>OUI</v>
      </c>
      <c r="I2082" s="83"/>
      <c r="J2082" s="80"/>
      <c r="K2082" s="81"/>
      <c r="L2082" s="81"/>
      <c r="M2082" s="81"/>
      <c r="N2082" s="84" t="str">
        <f aca="false">IF(C2082="","",IF(P2082="","NJ INCONNU",IF(I2082="",IF(H2082="OUI","À ENROBER",IF(G2082="À SOUDER","NON SOUDÉ","EN ATTENTE RT")),IF(L2082="R","À REPRENDRE",IF(H2082&lt;&gt;"OUI","⚠ ENROBÉ AVANT ACCEPTATION RT","ENROBÉ")))))</f>
        <v>À ENROBER</v>
      </c>
      <c r="O2082" s="80"/>
      <c r="P2082" s="82" t="n">
        <f aca="false">IF(C2082="","",IFERROR(MATCH(Q2082,'CARNET DE SOUDURE'!$AW$7:$AW$3006,0),""))</f>
        <v>2076</v>
      </c>
      <c r="Q2082" s="82" t="str">
        <f aca="false">IF(C2082="","",B2082&amp;"|"&amp;C2082)</f>
        <v>MFD-ISW → MFD-CPF|JN°1598</v>
      </c>
    </row>
    <row r="2083" customFormat="false" ht="74.6" hidden="false" customHeight="false" outlineLevel="0" collapsed="false">
      <c r="A2083" s="82" t="n">
        <f aca="false">IF(C2083="","",ROW()-6)</f>
        <v>2077</v>
      </c>
      <c r="B2083" s="80" t="s">
        <v>110</v>
      </c>
      <c r="C2083" s="113" t="s">
        <v>2530</v>
      </c>
      <c r="D2083" s="82" t="str">
        <f aca="false">IF(OR(C2083="",P2083=""),"",INDEX('CARNET DE SOUDURE'!$D$7:$D$3006,P2083)&amp;"")</f>
        <v>19</v>
      </c>
      <c r="E2083" s="114" t="n">
        <f aca="false">IF(OR(C2083="",P2083=""),"",IF(INDEX('CARNET DE SOUDURE'!$U$7:$U$3006,P2083)="","",INDEX('CARNET DE SOUDURE'!$U$7:$U$3006,P2083)))</f>
        <v>46266</v>
      </c>
      <c r="F2083" s="82" t="str">
        <f aca="false">IF(OR(C2083="",P2083=""),"",INDEX('CARNET DE SOUDURE'!$AP$7:$AP$3006,P2083))</f>
        <v>A</v>
      </c>
      <c r="G2083" s="82" t="str">
        <f aca="false">IF(C2083="","",IF(P2083="","NJ INCONNU",INDEX('CARNET DE SOUDURE'!$AQ$7:$AQ$3006,P2083)))</f>
        <v>ACCEPTÉ</v>
      </c>
      <c r="H2083" s="82" t="str">
        <f aca="false">IF(C2083="","",IF(G2083="ACCEPTÉ","OUI","NON"))</f>
        <v>OUI</v>
      </c>
      <c r="I2083" s="83"/>
      <c r="J2083" s="80"/>
      <c r="K2083" s="81"/>
      <c r="L2083" s="81"/>
      <c r="M2083" s="81"/>
      <c r="N2083" s="84" t="str">
        <f aca="false">IF(C2083="","",IF(P2083="","NJ INCONNU",IF(I2083="",IF(H2083="OUI","À ENROBER",IF(G2083="À SOUDER","NON SOUDÉ","EN ATTENTE RT")),IF(L2083="R","À REPRENDRE",IF(H2083&lt;&gt;"OUI","⚠ ENROBÉ AVANT ACCEPTATION RT","ENROBÉ")))))</f>
        <v>À ENROBER</v>
      </c>
      <c r="O2083" s="80"/>
      <c r="P2083" s="82" t="n">
        <f aca="false">IF(C2083="","",IFERROR(MATCH(Q2083,'CARNET DE SOUDURE'!$AW$7:$AW$3006,0),""))</f>
        <v>2077</v>
      </c>
      <c r="Q2083" s="82" t="str">
        <f aca="false">IF(C2083="","",B2083&amp;"|"&amp;C2083)</f>
        <v>MFD-ISW → MFD-CPF|JN°1599</v>
      </c>
    </row>
    <row r="2084" customFormat="false" ht="74.6" hidden="false" customHeight="false" outlineLevel="0" collapsed="false">
      <c r="A2084" s="82" t="n">
        <f aca="false">IF(C2084="","",ROW()-6)</f>
        <v>2078</v>
      </c>
      <c r="B2084" s="80" t="s">
        <v>110</v>
      </c>
      <c r="C2084" s="113" t="s">
        <v>2531</v>
      </c>
      <c r="D2084" s="82" t="str">
        <f aca="false">IF(OR(C2084="",P2084=""),"",INDEX('CARNET DE SOUDURE'!$D$7:$D$3006,P2084)&amp;"")</f>
        <v>20</v>
      </c>
      <c r="E2084" s="114" t="n">
        <f aca="false">IF(OR(C2084="",P2084=""),"",IF(INDEX('CARNET DE SOUDURE'!$U$7:$U$3006,P2084)="","",INDEX('CARNET DE SOUDURE'!$U$7:$U$3006,P2084)))</f>
        <v>46265</v>
      </c>
      <c r="F2084" s="82" t="str">
        <f aca="false">IF(OR(C2084="",P2084=""),"",INDEX('CARNET DE SOUDURE'!$AP$7:$AP$3006,P2084))</f>
        <v>A</v>
      </c>
      <c r="G2084" s="82" t="str">
        <f aca="false">IF(C2084="","",IF(P2084="","NJ INCONNU",INDEX('CARNET DE SOUDURE'!$AQ$7:$AQ$3006,P2084)))</f>
        <v>ACCEPTÉ</v>
      </c>
      <c r="H2084" s="82" t="str">
        <f aca="false">IF(C2084="","",IF(G2084="ACCEPTÉ","OUI","NON"))</f>
        <v>OUI</v>
      </c>
      <c r="I2084" s="83"/>
      <c r="J2084" s="80"/>
      <c r="K2084" s="81"/>
      <c r="L2084" s="81"/>
      <c r="M2084" s="81"/>
      <c r="N2084" s="84" t="str">
        <f aca="false">IF(C2084="","",IF(P2084="","NJ INCONNU",IF(I2084="",IF(H2084="OUI","À ENROBER",IF(G2084="À SOUDER","NON SOUDÉ","EN ATTENTE RT")),IF(L2084="R","À REPRENDRE",IF(H2084&lt;&gt;"OUI","⚠ ENROBÉ AVANT ACCEPTATION RT","ENROBÉ")))))</f>
        <v>À ENROBER</v>
      </c>
      <c r="O2084" s="80"/>
      <c r="P2084" s="82" t="n">
        <f aca="false">IF(C2084="","",IFERROR(MATCH(Q2084,'CARNET DE SOUDURE'!$AW$7:$AW$3006,0),""))</f>
        <v>2078</v>
      </c>
      <c r="Q2084" s="82" t="str">
        <f aca="false">IF(C2084="","",B2084&amp;"|"&amp;C2084)</f>
        <v>MFD-ISW → MFD-CPF|JN°1600</v>
      </c>
    </row>
    <row r="2085" customFormat="false" ht="74.6" hidden="false" customHeight="false" outlineLevel="0" collapsed="false">
      <c r="A2085" s="82" t="n">
        <f aca="false">IF(C2085="","",ROW()-6)</f>
        <v>2079</v>
      </c>
      <c r="B2085" s="80" t="s">
        <v>110</v>
      </c>
      <c r="C2085" s="113" t="s">
        <v>2534</v>
      </c>
      <c r="D2085" s="82" t="str">
        <f aca="false">IF(OR(C2085="",P2085=""),"",INDEX('CARNET DE SOUDURE'!$D$7:$D$3006,P2085)&amp;"")</f>
        <v>20</v>
      </c>
      <c r="E2085" s="114" t="n">
        <f aca="false">IF(OR(C2085="",P2085=""),"",IF(INDEX('CARNET DE SOUDURE'!$U$7:$U$3006,P2085)="","",INDEX('CARNET DE SOUDURE'!$U$7:$U$3006,P2085)))</f>
        <v>46265</v>
      </c>
      <c r="F2085" s="82" t="str">
        <f aca="false">IF(OR(C2085="",P2085=""),"",INDEX('CARNET DE SOUDURE'!$AP$7:$AP$3006,P2085))</f>
        <v>A</v>
      </c>
      <c r="G2085" s="82" t="str">
        <f aca="false">IF(C2085="","",IF(P2085="","NJ INCONNU",INDEX('CARNET DE SOUDURE'!$AQ$7:$AQ$3006,P2085)))</f>
        <v>ACCEPTÉ</v>
      </c>
      <c r="H2085" s="82" t="str">
        <f aca="false">IF(C2085="","",IF(G2085="ACCEPTÉ","OUI","NON"))</f>
        <v>OUI</v>
      </c>
      <c r="I2085" s="83"/>
      <c r="J2085" s="80"/>
      <c r="K2085" s="81"/>
      <c r="L2085" s="81"/>
      <c r="M2085" s="81"/>
      <c r="N2085" s="84" t="str">
        <f aca="false">IF(C2085="","",IF(P2085="","NJ INCONNU",IF(I2085="",IF(H2085="OUI","À ENROBER",IF(G2085="À SOUDER","NON SOUDÉ","EN ATTENTE RT")),IF(L2085="R","À REPRENDRE",IF(H2085&lt;&gt;"OUI","⚠ ENROBÉ AVANT ACCEPTATION RT","ENROBÉ")))))</f>
        <v>À ENROBER</v>
      </c>
      <c r="O2085" s="80"/>
      <c r="P2085" s="82" t="n">
        <f aca="false">IF(C2085="","",IFERROR(MATCH(Q2085,'CARNET DE SOUDURE'!$AW$7:$AW$3006,0),""))</f>
        <v>2079</v>
      </c>
      <c r="Q2085" s="82" t="str">
        <f aca="false">IF(C2085="","",B2085&amp;"|"&amp;C2085)</f>
        <v>MFD-ISW → MFD-CPF|JN°1601</v>
      </c>
    </row>
    <row r="2086" customFormat="false" ht="74.6" hidden="false" customHeight="false" outlineLevel="0" collapsed="false">
      <c r="A2086" s="82" t="n">
        <f aca="false">IF(C2086="","",ROW()-6)</f>
        <v>2080</v>
      </c>
      <c r="B2086" s="80" t="s">
        <v>110</v>
      </c>
      <c r="C2086" s="113" t="s">
        <v>2535</v>
      </c>
      <c r="D2086" s="82" t="str">
        <f aca="false">IF(OR(C2086="",P2086=""),"",INDEX('CARNET DE SOUDURE'!$D$7:$D$3006,P2086)&amp;"")</f>
        <v>20</v>
      </c>
      <c r="E2086" s="114" t="n">
        <f aca="false">IF(OR(C2086="",P2086=""),"",IF(INDEX('CARNET DE SOUDURE'!$U$7:$U$3006,P2086)="","",INDEX('CARNET DE SOUDURE'!$U$7:$U$3006,P2086)))</f>
        <v>46265</v>
      </c>
      <c r="F2086" s="82" t="str">
        <f aca="false">IF(OR(C2086="",P2086=""),"",INDEX('CARNET DE SOUDURE'!$AP$7:$AP$3006,P2086))</f>
        <v>A</v>
      </c>
      <c r="G2086" s="82" t="str">
        <f aca="false">IF(C2086="","",IF(P2086="","NJ INCONNU",INDEX('CARNET DE SOUDURE'!$AQ$7:$AQ$3006,P2086)))</f>
        <v>ACCEPTÉ</v>
      </c>
      <c r="H2086" s="82" t="str">
        <f aca="false">IF(C2086="","",IF(G2086="ACCEPTÉ","OUI","NON"))</f>
        <v>OUI</v>
      </c>
      <c r="I2086" s="83"/>
      <c r="J2086" s="80"/>
      <c r="K2086" s="81"/>
      <c r="L2086" s="81"/>
      <c r="M2086" s="81"/>
      <c r="N2086" s="84" t="str">
        <f aca="false">IF(C2086="","",IF(P2086="","NJ INCONNU",IF(I2086="",IF(H2086="OUI","À ENROBER",IF(G2086="À SOUDER","NON SOUDÉ","EN ATTENTE RT")),IF(L2086="R","À REPRENDRE",IF(H2086&lt;&gt;"OUI","⚠ ENROBÉ AVANT ACCEPTATION RT","ENROBÉ")))))</f>
        <v>À ENROBER</v>
      </c>
      <c r="O2086" s="80"/>
      <c r="P2086" s="82" t="n">
        <f aca="false">IF(C2086="","",IFERROR(MATCH(Q2086,'CARNET DE SOUDURE'!$AW$7:$AW$3006,0),""))</f>
        <v>2080</v>
      </c>
      <c r="Q2086" s="82" t="str">
        <f aca="false">IF(C2086="","",B2086&amp;"|"&amp;C2086)</f>
        <v>MFD-ISW → MFD-CPF|JN°1602</v>
      </c>
    </row>
    <row r="2087" customFormat="false" ht="74.6" hidden="false" customHeight="false" outlineLevel="0" collapsed="false">
      <c r="A2087" s="82" t="n">
        <f aca="false">IF(C2087="","",ROW()-6)</f>
        <v>2081</v>
      </c>
      <c r="B2087" s="80" t="s">
        <v>110</v>
      </c>
      <c r="C2087" s="113" t="s">
        <v>2536</v>
      </c>
      <c r="D2087" s="82" t="str">
        <f aca="false">IF(OR(C2087="",P2087=""),"",INDEX('CARNET DE SOUDURE'!$D$7:$D$3006,P2087)&amp;"")</f>
        <v>20</v>
      </c>
      <c r="E2087" s="114" t="n">
        <f aca="false">IF(OR(C2087="",P2087=""),"",IF(INDEX('CARNET DE SOUDURE'!$U$7:$U$3006,P2087)="","",INDEX('CARNET DE SOUDURE'!$U$7:$U$3006,P2087)))</f>
        <v>46286</v>
      </c>
      <c r="F2087" s="82" t="str">
        <f aca="false">IF(OR(C2087="",P2087=""),"",INDEX('CARNET DE SOUDURE'!$AP$7:$AP$3006,P2087))</f>
        <v>A</v>
      </c>
      <c r="G2087" s="82" t="str">
        <f aca="false">IF(C2087="","",IF(P2087="","NJ INCONNU",INDEX('CARNET DE SOUDURE'!$AQ$7:$AQ$3006,P2087)))</f>
        <v>ACCEPTÉ</v>
      </c>
      <c r="H2087" s="82" t="str">
        <f aca="false">IF(C2087="","",IF(G2087="ACCEPTÉ","OUI","NON"))</f>
        <v>OUI</v>
      </c>
      <c r="I2087" s="83"/>
      <c r="J2087" s="80"/>
      <c r="K2087" s="81"/>
      <c r="L2087" s="81"/>
      <c r="M2087" s="81"/>
      <c r="N2087" s="84" t="str">
        <f aca="false">IF(C2087="","",IF(P2087="","NJ INCONNU",IF(I2087="",IF(H2087="OUI","À ENROBER",IF(G2087="À SOUDER","NON SOUDÉ","EN ATTENTE RT")),IF(L2087="R","À REPRENDRE",IF(H2087&lt;&gt;"OUI","⚠ ENROBÉ AVANT ACCEPTATION RT","ENROBÉ")))))</f>
        <v>À ENROBER</v>
      </c>
      <c r="O2087" s="80"/>
      <c r="P2087" s="82" t="n">
        <f aca="false">IF(C2087="","",IFERROR(MATCH(Q2087,'CARNET DE SOUDURE'!$AW$7:$AW$3006,0),""))</f>
        <v>2081</v>
      </c>
      <c r="Q2087" s="82" t="str">
        <f aca="false">IF(C2087="","",B2087&amp;"|"&amp;C2087)</f>
        <v>MFD-ISW → MFD-CPF|JN°1603R</v>
      </c>
    </row>
    <row r="2088" customFormat="false" ht="74.6" hidden="false" customHeight="false" outlineLevel="0" collapsed="false">
      <c r="A2088" s="82" t="n">
        <f aca="false">IF(C2088="","",ROW()-6)</f>
        <v>2082</v>
      </c>
      <c r="B2088" s="80" t="s">
        <v>110</v>
      </c>
      <c r="C2088" s="113" t="s">
        <v>2538</v>
      </c>
      <c r="D2088" s="82" t="str">
        <f aca="false">IF(OR(C2088="",P2088=""),"",INDEX('CARNET DE SOUDURE'!$D$7:$D$3006,P2088)&amp;"")</f>
        <v>20</v>
      </c>
      <c r="E2088" s="114" t="n">
        <f aca="false">IF(OR(C2088="",P2088=""),"",IF(INDEX('CARNET DE SOUDURE'!$U$7:$U$3006,P2088)="","",INDEX('CARNET DE SOUDURE'!$U$7:$U$3006,P2088)))</f>
        <v>46286</v>
      </c>
      <c r="F2088" s="82" t="str">
        <f aca="false">IF(OR(C2088="",P2088=""),"",INDEX('CARNET DE SOUDURE'!$AP$7:$AP$3006,P2088))</f>
        <v>A</v>
      </c>
      <c r="G2088" s="82" t="str">
        <f aca="false">IF(C2088="","",IF(P2088="","NJ INCONNU",INDEX('CARNET DE SOUDURE'!$AQ$7:$AQ$3006,P2088)))</f>
        <v>ACCEPTÉ</v>
      </c>
      <c r="H2088" s="82" t="str">
        <f aca="false">IF(C2088="","",IF(G2088="ACCEPTÉ","OUI","NON"))</f>
        <v>OUI</v>
      </c>
      <c r="I2088" s="83"/>
      <c r="J2088" s="80"/>
      <c r="K2088" s="81"/>
      <c r="L2088" s="81"/>
      <c r="M2088" s="81"/>
      <c r="N2088" s="84" t="str">
        <f aca="false">IF(C2088="","",IF(P2088="","NJ INCONNU",IF(I2088="",IF(H2088="OUI","À ENROBER",IF(G2088="À SOUDER","NON SOUDÉ","EN ATTENTE RT")),IF(L2088="R","À REPRENDRE",IF(H2088&lt;&gt;"OUI","⚠ ENROBÉ AVANT ACCEPTATION RT","ENROBÉ")))))</f>
        <v>À ENROBER</v>
      </c>
      <c r="O2088" s="80"/>
      <c r="P2088" s="82" t="n">
        <f aca="false">IF(C2088="","",IFERROR(MATCH(Q2088,'CARNET DE SOUDURE'!$AW$7:$AW$3006,0),""))</f>
        <v>2082</v>
      </c>
      <c r="Q2088" s="82" t="str">
        <f aca="false">IF(C2088="","",B2088&amp;"|"&amp;C2088)</f>
        <v>MFD-ISW → MFD-CPF|JN°1604R</v>
      </c>
    </row>
    <row r="2089" customFormat="false" ht="74.6" hidden="false" customHeight="false" outlineLevel="0" collapsed="false">
      <c r="A2089" s="82" t="n">
        <f aca="false">IF(C2089="","",ROW()-6)</f>
        <v>2083</v>
      </c>
      <c r="B2089" s="80" t="s">
        <v>110</v>
      </c>
      <c r="C2089" s="113" t="s">
        <v>2539</v>
      </c>
      <c r="D2089" s="82" t="str">
        <f aca="false">IF(OR(C2089="",P2089=""),"",INDEX('CARNET DE SOUDURE'!$D$7:$D$3006,P2089)&amp;"")</f>
        <v>20</v>
      </c>
      <c r="E2089" s="114" t="n">
        <f aca="false">IF(OR(C2089="",P2089=""),"",IF(INDEX('CARNET DE SOUDURE'!$U$7:$U$3006,P2089)="","",INDEX('CARNET DE SOUDURE'!$U$7:$U$3006,P2089)))</f>
        <v>46265</v>
      </c>
      <c r="F2089" s="82" t="str">
        <f aca="false">IF(OR(C2089="",P2089=""),"",INDEX('CARNET DE SOUDURE'!$AP$7:$AP$3006,P2089))</f>
        <v>A</v>
      </c>
      <c r="G2089" s="82" t="str">
        <f aca="false">IF(C2089="","",IF(P2089="","NJ INCONNU",INDEX('CARNET DE SOUDURE'!$AQ$7:$AQ$3006,P2089)))</f>
        <v>ACCEPTÉ</v>
      </c>
      <c r="H2089" s="82" t="str">
        <f aca="false">IF(C2089="","",IF(G2089="ACCEPTÉ","OUI","NON"))</f>
        <v>OUI</v>
      </c>
      <c r="I2089" s="83"/>
      <c r="J2089" s="80"/>
      <c r="K2089" s="81"/>
      <c r="L2089" s="81"/>
      <c r="M2089" s="81"/>
      <c r="N2089" s="84" t="str">
        <f aca="false">IF(C2089="","",IF(P2089="","NJ INCONNU",IF(I2089="",IF(H2089="OUI","À ENROBER",IF(G2089="À SOUDER","NON SOUDÉ","EN ATTENTE RT")),IF(L2089="R","À REPRENDRE",IF(H2089&lt;&gt;"OUI","⚠ ENROBÉ AVANT ACCEPTATION RT","ENROBÉ")))))</f>
        <v>À ENROBER</v>
      </c>
      <c r="O2089" s="80"/>
      <c r="P2089" s="82" t="n">
        <f aca="false">IF(C2089="","",IFERROR(MATCH(Q2089,'CARNET DE SOUDURE'!$AW$7:$AW$3006,0),""))</f>
        <v>2083</v>
      </c>
      <c r="Q2089" s="82" t="str">
        <f aca="false">IF(C2089="","",B2089&amp;"|"&amp;C2089)</f>
        <v>MFD-ISW → MFD-CPF|JN°1605</v>
      </c>
    </row>
    <row r="2090" customFormat="false" ht="74.6" hidden="false" customHeight="false" outlineLevel="0" collapsed="false">
      <c r="A2090" s="82" t="n">
        <f aca="false">IF(C2090="","",ROW()-6)</f>
        <v>2084</v>
      </c>
      <c r="B2090" s="80" t="s">
        <v>110</v>
      </c>
      <c r="C2090" s="113" t="s">
        <v>2541</v>
      </c>
      <c r="D2090" s="82" t="str">
        <f aca="false">IF(OR(C2090="",P2090=""),"",INDEX('CARNET DE SOUDURE'!$D$7:$D$3006,P2090)&amp;"")</f>
        <v>20</v>
      </c>
      <c r="E2090" s="114" t="n">
        <f aca="false">IF(OR(C2090="",P2090=""),"",IF(INDEX('CARNET DE SOUDURE'!$U$7:$U$3006,P2090)="","",INDEX('CARNET DE SOUDURE'!$U$7:$U$3006,P2090)))</f>
        <v>46265</v>
      </c>
      <c r="F2090" s="82" t="str">
        <f aca="false">IF(OR(C2090="",P2090=""),"",INDEX('CARNET DE SOUDURE'!$AP$7:$AP$3006,P2090))</f>
        <v>A</v>
      </c>
      <c r="G2090" s="82" t="str">
        <f aca="false">IF(C2090="","",IF(P2090="","NJ INCONNU",INDEX('CARNET DE SOUDURE'!$AQ$7:$AQ$3006,P2090)))</f>
        <v>ACCEPTÉ</v>
      </c>
      <c r="H2090" s="82" t="str">
        <f aca="false">IF(C2090="","",IF(G2090="ACCEPTÉ","OUI","NON"))</f>
        <v>OUI</v>
      </c>
      <c r="I2090" s="83"/>
      <c r="J2090" s="80"/>
      <c r="K2090" s="81"/>
      <c r="L2090" s="81"/>
      <c r="M2090" s="81"/>
      <c r="N2090" s="84" t="str">
        <f aca="false">IF(C2090="","",IF(P2090="","NJ INCONNU",IF(I2090="",IF(H2090="OUI","À ENROBER",IF(G2090="À SOUDER","NON SOUDÉ","EN ATTENTE RT")),IF(L2090="R","À REPRENDRE",IF(H2090&lt;&gt;"OUI","⚠ ENROBÉ AVANT ACCEPTATION RT","ENROBÉ")))))</f>
        <v>À ENROBER</v>
      </c>
      <c r="O2090" s="80"/>
      <c r="P2090" s="82" t="n">
        <f aca="false">IF(C2090="","",IFERROR(MATCH(Q2090,'CARNET DE SOUDURE'!$AW$7:$AW$3006,0),""))</f>
        <v>2084</v>
      </c>
      <c r="Q2090" s="82" t="str">
        <f aca="false">IF(C2090="","",B2090&amp;"|"&amp;C2090)</f>
        <v>MFD-ISW → MFD-CPF|JN°1606</v>
      </c>
    </row>
    <row r="2091" customFormat="false" ht="74.6" hidden="false" customHeight="false" outlineLevel="0" collapsed="false">
      <c r="A2091" s="82" t="n">
        <f aca="false">IF(C2091="","",ROW()-6)</f>
        <v>2085</v>
      </c>
      <c r="B2091" s="80" t="s">
        <v>110</v>
      </c>
      <c r="C2091" s="113" t="s">
        <v>2542</v>
      </c>
      <c r="D2091" s="82" t="str">
        <f aca="false">IF(OR(C2091="",P2091=""),"",INDEX('CARNET DE SOUDURE'!$D$7:$D$3006,P2091)&amp;"")</f>
        <v>20</v>
      </c>
      <c r="E2091" s="114" t="n">
        <f aca="false">IF(OR(C2091="",P2091=""),"",IF(INDEX('CARNET DE SOUDURE'!$U$7:$U$3006,P2091)="","",INDEX('CARNET DE SOUDURE'!$U$7:$U$3006,P2091)))</f>
        <v>46265</v>
      </c>
      <c r="F2091" s="82" t="str">
        <f aca="false">IF(OR(C2091="",P2091=""),"",INDEX('CARNET DE SOUDURE'!$AP$7:$AP$3006,P2091))</f>
        <v>A</v>
      </c>
      <c r="G2091" s="82" t="str">
        <f aca="false">IF(C2091="","",IF(P2091="","NJ INCONNU",INDEX('CARNET DE SOUDURE'!$AQ$7:$AQ$3006,P2091)))</f>
        <v>ACCEPTÉ</v>
      </c>
      <c r="H2091" s="82" t="str">
        <f aca="false">IF(C2091="","",IF(G2091="ACCEPTÉ","OUI","NON"))</f>
        <v>OUI</v>
      </c>
      <c r="I2091" s="83"/>
      <c r="J2091" s="80"/>
      <c r="K2091" s="81"/>
      <c r="L2091" s="81"/>
      <c r="M2091" s="81"/>
      <c r="N2091" s="84" t="str">
        <f aca="false">IF(C2091="","",IF(P2091="","NJ INCONNU",IF(I2091="",IF(H2091="OUI","À ENROBER",IF(G2091="À SOUDER","NON SOUDÉ","EN ATTENTE RT")),IF(L2091="R","À REPRENDRE",IF(H2091&lt;&gt;"OUI","⚠ ENROBÉ AVANT ACCEPTATION RT","ENROBÉ")))))</f>
        <v>À ENROBER</v>
      </c>
      <c r="O2091" s="80"/>
      <c r="P2091" s="82" t="n">
        <f aca="false">IF(C2091="","",IFERROR(MATCH(Q2091,'CARNET DE SOUDURE'!$AW$7:$AW$3006,0),""))</f>
        <v>2085</v>
      </c>
      <c r="Q2091" s="82" t="str">
        <f aca="false">IF(C2091="","",B2091&amp;"|"&amp;C2091)</f>
        <v>MFD-ISW → MFD-CPF|JN°1607</v>
      </c>
    </row>
    <row r="2092" customFormat="false" ht="74.6" hidden="false" customHeight="false" outlineLevel="0" collapsed="false">
      <c r="A2092" s="82" t="n">
        <f aca="false">IF(C2092="","",ROW()-6)</f>
        <v>2086</v>
      </c>
      <c r="B2092" s="80" t="s">
        <v>110</v>
      </c>
      <c r="C2092" s="113" t="s">
        <v>2543</v>
      </c>
      <c r="D2092" s="82" t="str">
        <f aca="false">IF(OR(C2092="",P2092=""),"",INDEX('CARNET DE SOUDURE'!$D$7:$D$3006,P2092)&amp;"")</f>
        <v>20</v>
      </c>
      <c r="E2092" s="114" t="n">
        <f aca="false">IF(OR(C2092="",P2092=""),"",IF(INDEX('CARNET DE SOUDURE'!$U$7:$U$3006,P2092)="","",INDEX('CARNET DE SOUDURE'!$U$7:$U$3006,P2092)))</f>
        <v>46265</v>
      </c>
      <c r="F2092" s="82" t="str">
        <f aca="false">IF(OR(C2092="",P2092=""),"",INDEX('CARNET DE SOUDURE'!$AP$7:$AP$3006,P2092))</f>
        <v>A</v>
      </c>
      <c r="G2092" s="82" t="str">
        <f aca="false">IF(C2092="","",IF(P2092="","NJ INCONNU",INDEX('CARNET DE SOUDURE'!$AQ$7:$AQ$3006,P2092)))</f>
        <v>ACCEPTÉ</v>
      </c>
      <c r="H2092" s="82" t="str">
        <f aca="false">IF(C2092="","",IF(G2092="ACCEPTÉ","OUI","NON"))</f>
        <v>OUI</v>
      </c>
      <c r="I2092" s="83"/>
      <c r="J2092" s="80"/>
      <c r="K2092" s="81"/>
      <c r="L2092" s="81"/>
      <c r="M2092" s="81"/>
      <c r="N2092" s="84" t="str">
        <f aca="false">IF(C2092="","",IF(P2092="","NJ INCONNU",IF(I2092="",IF(H2092="OUI","À ENROBER",IF(G2092="À SOUDER","NON SOUDÉ","EN ATTENTE RT")),IF(L2092="R","À REPRENDRE",IF(H2092&lt;&gt;"OUI","⚠ ENROBÉ AVANT ACCEPTATION RT","ENROBÉ")))))</f>
        <v>À ENROBER</v>
      </c>
      <c r="O2092" s="80"/>
      <c r="P2092" s="82" t="n">
        <f aca="false">IF(C2092="","",IFERROR(MATCH(Q2092,'CARNET DE SOUDURE'!$AW$7:$AW$3006,0),""))</f>
        <v>2086</v>
      </c>
      <c r="Q2092" s="82" t="str">
        <f aca="false">IF(C2092="","",B2092&amp;"|"&amp;C2092)</f>
        <v>MFD-ISW → MFD-CPF|JN°1608</v>
      </c>
    </row>
    <row r="2093" customFormat="false" ht="74.6" hidden="false" customHeight="false" outlineLevel="0" collapsed="false">
      <c r="A2093" s="82" t="n">
        <f aca="false">IF(C2093="","",ROW()-6)</f>
        <v>2087</v>
      </c>
      <c r="B2093" s="80" t="s">
        <v>110</v>
      </c>
      <c r="C2093" s="113" t="s">
        <v>2544</v>
      </c>
      <c r="D2093" s="82" t="str">
        <f aca="false">IF(OR(C2093="",P2093=""),"",INDEX('CARNET DE SOUDURE'!$D$7:$D$3006,P2093)&amp;"")</f>
        <v>20</v>
      </c>
      <c r="E2093" s="114" t="n">
        <f aca="false">IF(OR(C2093="",P2093=""),"",IF(INDEX('CARNET DE SOUDURE'!$U$7:$U$3006,P2093)="","",INDEX('CARNET DE SOUDURE'!$U$7:$U$3006,P2093)))</f>
        <v>46265</v>
      </c>
      <c r="F2093" s="82" t="str">
        <f aca="false">IF(OR(C2093="",P2093=""),"",INDEX('CARNET DE SOUDURE'!$AP$7:$AP$3006,P2093))</f>
        <v>A</v>
      </c>
      <c r="G2093" s="82" t="str">
        <f aca="false">IF(C2093="","",IF(P2093="","NJ INCONNU",INDEX('CARNET DE SOUDURE'!$AQ$7:$AQ$3006,P2093)))</f>
        <v>ACCEPTÉ</v>
      </c>
      <c r="H2093" s="82" t="str">
        <f aca="false">IF(C2093="","",IF(G2093="ACCEPTÉ","OUI","NON"))</f>
        <v>OUI</v>
      </c>
      <c r="I2093" s="83"/>
      <c r="J2093" s="80"/>
      <c r="K2093" s="81"/>
      <c r="L2093" s="81"/>
      <c r="M2093" s="81"/>
      <c r="N2093" s="84" t="str">
        <f aca="false">IF(C2093="","",IF(P2093="","NJ INCONNU",IF(I2093="",IF(H2093="OUI","À ENROBER",IF(G2093="À SOUDER","NON SOUDÉ","EN ATTENTE RT")),IF(L2093="R","À REPRENDRE",IF(H2093&lt;&gt;"OUI","⚠ ENROBÉ AVANT ACCEPTATION RT","ENROBÉ")))))</f>
        <v>À ENROBER</v>
      </c>
      <c r="O2093" s="80"/>
      <c r="P2093" s="82" t="n">
        <f aca="false">IF(C2093="","",IFERROR(MATCH(Q2093,'CARNET DE SOUDURE'!$AW$7:$AW$3006,0),""))</f>
        <v>2087</v>
      </c>
      <c r="Q2093" s="82" t="str">
        <f aca="false">IF(C2093="","",B2093&amp;"|"&amp;C2093)</f>
        <v>MFD-ISW → MFD-CPF|JN°1609</v>
      </c>
    </row>
    <row r="2094" customFormat="false" ht="74.6" hidden="false" customHeight="false" outlineLevel="0" collapsed="false">
      <c r="A2094" s="82" t="n">
        <f aca="false">IF(C2094="","",ROW()-6)</f>
        <v>2088</v>
      </c>
      <c r="B2094" s="80" t="s">
        <v>110</v>
      </c>
      <c r="C2094" s="113" t="s">
        <v>2545</v>
      </c>
      <c r="D2094" s="82" t="str">
        <f aca="false">IF(OR(C2094="",P2094=""),"",INDEX('CARNET DE SOUDURE'!$D$7:$D$3006,P2094)&amp;"")</f>
        <v>20</v>
      </c>
      <c r="E2094" s="114" t="n">
        <f aca="false">IF(OR(C2094="",P2094=""),"",IF(INDEX('CARNET DE SOUDURE'!$U$7:$U$3006,P2094)="","",INDEX('CARNET DE SOUDURE'!$U$7:$U$3006,P2094)))</f>
        <v>46265</v>
      </c>
      <c r="F2094" s="82" t="str">
        <f aca="false">IF(OR(C2094="",P2094=""),"",INDEX('CARNET DE SOUDURE'!$AP$7:$AP$3006,P2094))</f>
        <v>A</v>
      </c>
      <c r="G2094" s="82" t="str">
        <f aca="false">IF(C2094="","",IF(P2094="","NJ INCONNU",INDEX('CARNET DE SOUDURE'!$AQ$7:$AQ$3006,P2094)))</f>
        <v>ACCEPTÉ</v>
      </c>
      <c r="H2094" s="82" t="str">
        <f aca="false">IF(C2094="","",IF(G2094="ACCEPTÉ","OUI","NON"))</f>
        <v>OUI</v>
      </c>
      <c r="I2094" s="83"/>
      <c r="J2094" s="80"/>
      <c r="K2094" s="81"/>
      <c r="L2094" s="81"/>
      <c r="M2094" s="81"/>
      <c r="N2094" s="84" t="str">
        <f aca="false">IF(C2094="","",IF(P2094="","NJ INCONNU",IF(I2094="",IF(H2094="OUI","À ENROBER",IF(G2094="À SOUDER","NON SOUDÉ","EN ATTENTE RT")),IF(L2094="R","À REPRENDRE",IF(H2094&lt;&gt;"OUI","⚠ ENROBÉ AVANT ACCEPTATION RT","ENROBÉ")))))</f>
        <v>À ENROBER</v>
      </c>
      <c r="O2094" s="80"/>
      <c r="P2094" s="82" t="n">
        <f aca="false">IF(C2094="","",IFERROR(MATCH(Q2094,'CARNET DE SOUDURE'!$AW$7:$AW$3006,0),""))</f>
        <v>2088</v>
      </c>
      <c r="Q2094" s="82" t="str">
        <f aca="false">IF(C2094="","",B2094&amp;"|"&amp;C2094)</f>
        <v>MFD-ISW → MFD-CPF|JN°1610</v>
      </c>
    </row>
    <row r="2095" customFormat="false" ht="74.6" hidden="false" customHeight="false" outlineLevel="0" collapsed="false">
      <c r="A2095" s="82" t="n">
        <f aca="false">IF(C2095="","",ROW()-6)</f>
        <v>2089</v>
      </c>
      <c r="B2095" s="80" t="s">
        <v>110</v>
      </c>
      <c r="C2095" s="113" t="s">
        <v>2546</v>
      </c>
      <c r="D2095" s="82" t="str">
        <f aca="false">IF(OR(C2095="",P2095=""),"",INDEX('CARNET DE SOUDURE'!$D$7:$D$3006,P2095)&amp;"")</f>
        <v>20</v>
      </c>
      <c r="E2095" s="114" t="n">
        <f aca="false">IF(OR(C2095="",P2095=""),"",IF(INDEX('CARNET DE SOUDURE'!$U$7:$U$3006,P2095)="","",INDEX('CARNET DE SOUDURE'!$U$7:$U$3006,P2095)))</f>
        <v>46265</v>
      </c>
      <c r="F2095" s="82" t="str">
        <f aca="false">IF(OR(C2095="",P2095=""),"",INDEX('CARNET DE SOUDURE'!$AP$7:$AP$3006,P2095))</f>
        <v>A</v>
      </c>
      <c r="G2095" s="82" t="str">
        <f aca="false">IF(C2095="","",IF(P2095="","NJ INCONNU",INDEX('CARNET DE SOUDURE'!$AQ$7:$AQ$3006,P2095)))</f>
        <v>ACCEPTÉ</v>
      </c>
      <c r="H2095" s="82" t="str">
        <f aca="false">IF(C2095="","",IF(G2095="ACCEPTÉ","OUI","NON"))</f>
        <v>OUI</v>
      </c>
      <c r="I2095" s="83"/>
      <c r="J2095" s="80"/>
      <c r="K2095" s="81"/>
      <c r="L2095" s="81"/>
      <c r="M2095" s="81"/>
      <c r="N2095" s="84" t="str">
        <f aca="false">IF(C2095="","",IF(P2095="","NJ INCONNU",IF(I2095="",IF(H2095="OUI","À ENROBER",IF(G2095="À SOUDER","NON SOUDÉ","EN ATTENTE RT")),IF(L2095="R","À REPRENDRE",IF(H2095&lt;&gt;"OUI","⚠ ENROBÉ AVANT ACCEPTATION RT","ENROBÉ")))))</f>
        <v>À ENROBER</v>
      </c>
      <c r="O2095" s="80"/>
      <c r="P2095" s="82" t="n">
        <f aca="false">IF(C2095="","",IFERROR(MATCH(Q2095,'CARNET DE SOUDURE'!$AW$7:$AW$3006,0),""))</f>
        <v>2089</v>
      </c>
      <c r="Q2095" s="82" t="str">
        <f aca="false">IF(C2095="","",B2095&amp;"|"&amp;C2095)</f>
        <v>MFD-ISW → MFD-CPF|JN°1611</v>
      </c>
    </row>
    <row r="2096" customFormat="false" ht="74.6" hidden="false" customHeight="false" outlineLevel="0" collapsed="false">
      <c r="A2096" s="82" t="n">
        <f aca="false">IF(C2096="","",ROW()-6)</f>
        <v>2090</v>
      </c>
      <c r="B2096" s="80" t="s">
        <v>110</v>
      </c>
      <c r="C2096" s="113" t="s">
        <v>2547</v>
      </c>
      <c r="D2096" s="82" t="str">
        <f aca="false">IF(OR(C2096="",P2096=""),"",INDEX('CARNET DE SOUDURE'!$D$7:$D$3006,P2096)&amp;"")</f>
        <v>20</v>
      </c>
      <c r="E2096" s="114" t="n">
        <f aca="false">IF(OR(C2096="",P2096=""),"",IF(INDEX('CARNET DE SOUDURE'!$U$7:$U$3006,P2096)="","",INDEX('CARNET DE SOUDURE'!$U$7:$U$3006,P2096)))</f>
        <v>46265</v>
      </c>
      <c r="F2096" s="82" t="str">
        <f aca="false">IF(OR(C2096="",P2096=""),"",INDEX('CARNET DE SOUDURE'!$AP$7:$AP$3006,P2096))</f>
        <v>A</v>
      </c>
      <c r="G2096" s="82" t="str">
        <f aca="false">IF(C2096="","",IF(P2096="","NJ INCONNU",INDEX('CARNET DE SOUDURE'!$AQ$7:$AQ$3006,P2096)))</f>
        <v>ACCEPTÉ</v>
      </c>
      <c r="H2096" s="82" t="str">
        <f aca="false">IF(C2096="","",IF(G2096="ACCEPTÉ","OUI","NON"))</f>
        <v>OUI</v>
      </c>
      <c r="I2096" s="83"/>
      <c r="J2096" s="80"/>
      <c r="K2096" s="81"/>
      <c r="L2096" s="81"/>
      <c r="M2096" s="81"/>
      <c r="N2096" s="84" t="str">
        <f aca="false">IF(C2096="","",IF(P2096="","NJ INCONNU",IF(I2096="",IF(H2096="OUI","À ENROBER",IF(G2096="À SOUDER","NON SOUDÉ","EN ATTENTE RT")),IF(L2096="R","À REPRENDRE",IF(H2096&lt;&gt;"OUI","⚠ ENROBÉ AVANT ACCEPTATION RT","ENROBÉ")))))</f>
        <v>À ENROBER</v>
      </c>
      <c r="O2096" s="80"/>
      <c r="P2096" s="82" t="n">
        <f aca="false">IF(C2096="","",IFERROR(MATCH(Q2096,'CARNET DE SOUDURE'!$AW$7:$AW$3006,0),""))</f>
        <v>2090</v>
      </c>
      <c r="Q2096" s="82" t="str">
        <f aca="false">IF(C2096="","",B2096&amp;"|"&amp;C2096)</f>
        <v>MFD-ISW → MFD-CPF|JN°1612</v>
      </c>
    </row>
    <row r="2097" customFormat="false" ht="74.6" hidden="false" customHeight="false" outlineLevel="0" collapsed="false">
      <c r="A2097" s="82" t="n">
        <f aca="false">IF(C2097="","",ROW()-6)</f>
        <v>2091</v>
      </c>
      <c r="B2097" s="80" t="s">
        <v>110</v>
      </c>
      <c r="C2097" s="113" t="s">
        <v>2548</v>
      </c>
      <c r="D2097" s="82" t="str">
        <f aca="false">IF(OR(C2097="",P2097=""),"",INDEX('CARNET DE SOUDURE'!$D$7:$D$3006,P2097)&amp;"")</f>
        <v>20</v>
      </c>
      <c r="E2097" s="114" t="n">
        <f aca="false">IF(OR(C2097="",P2097=""),"",IF(INDEX('CARNET DE SOUDURE'!$U$7:$U$3006,P2097)="","",INDEX('CARNET DE SOUDURE'!$U$7:$U$3006,P2097)))</f>
        <v>46265</v>
      </c>
      <c r="F2097" s="82" t="str">
        <f aca="false">IF(OR(C2097="",P2097=""),"",INDEX('CARNET DE SOUDURE'!$AP$7:$AP$3006,P2097))</f>
        <v>A</v>
      </c>
      <c r="G2097" s="82" t="str">
        <f aca="false">IF(C2097="","",IF(P2097="","NJ INCONNU",INDEX('CARNET DE SOUDURE'!$AQ$7:$AQ$3006,P2097)))</f>
        <v>ACCEPTÉ</v>
      </c>
      <c r="H2097" s="82" t="str">
        <f aca="false">IF(C2097="","",IF(G2097="ACCEPTÉ","OUI","NON"))</f>
        <v>OUI</v>
      </c>
      <c r="I2097" s="83"/>
      <c r="J2097" s="80"/>
      <c r="K2097" s="81"/>
      <c r="L2097" s="81"/>
      <c r="M2097" s="81"/>
      <c r="N2097" s="84" t="str">
        <f aca="false">IF(C2097="","",IF(P2097="","NJ INCONNU",IF(I2097="",IF(H2097="OUI","À ENROBER",IF(G2097="À SOUDER","NON SOUDÉ","EN ATTENTE RT")),IF(L2097="R","À REPRENDRE",IF(H2097&lt;&gt;"OUI","⚠ ENROBÉ AVANT ACCEPTATION RT","ENROBÉ")))))</f>
        <v>À ENROBER</v>
      </c>
      <c r="O2097" s="80"/>
      <c r="P2097" s="82" t="n">
        <f aca="false">IF(C2097="","",IFERROR(MATCH(Q2097,'CARNET DE SOUDURE'!$AW$7:$AW$3006,0),""))</f>
        <v>2091</v>
      </c>
      <c r="Q2097" s="82" t="str">
        <f aca="false">IF(C2097="","",B2097&amp;"|"&amp;C2097)</f>
        <v>MFD-ISW → MFD-CPF|JN°1613</v>
      </c>
    </row>
    <row r="2098" customFormat="false" ht="74.6" hidden="false" customHeight="false" outlineLevel="0" collapsed="false">
      <c r="A2098" s="82" t="n">
        <f aca="false">IF(C2098="","",ROW()-6)</f>
        <v>2092</v>
      </c>
      <c r="B2098" s="80" t="s">
        <v>110</v>
      </c>
      <c r="C2098" s="113" t="s">
        <v>2549</v>
      </c>
      <c r="D2098" s="82" t="str">
        <f aca="false">IF(OR(C2098="",P2098=""),"",INDEX('CARNET DE SOUDURE'!$D$7:$D$3006,P2098)&amp;"")</f>
        <v>20</v>
      </c>
      <c r="E2098" s="114" t="n">
        <f aca="false">IF(OR(C2098="",P2098=""),"",IF(INDEX('CARNET DE SOUDURE'!$U$7:$U$3006,P2098)="","",INDEX('CARNET DE SOUDURE'!$U$7:$U$3006,P2098)))</f>
        <v>46265</v>
      </c>
      <c r="F2098" s="82" t="str">
        <f aca="false">IF(OR(C2098="",P2098=""),"",INDEX('CARNET DE SOUDURE'!$AP$7:$AP$3006,P2098))</f>
        <v>A</v>
      </c>
      <c r="G2098" s="82" t="str">
        <f aca="false">IF(C2098="","",IF(P2098="","NJ INCONNU",INDEX('CARNET DE SOUDURE'!$AQ$7:$AQ$3006,P2098)))</f>
        <v>ACCEPTÉ</v>
      </c>
      <c r="H2098" s="82" t="str">
        <f aca="false">IF(C2098="","",IF(G2098="ACCEPTÉ","OUI","NON"))</f>
        <v>OUI</v>
      </c>
      <c r="I2098" s="83"/>
      <c r="J2098" s="80"/>
      <c r="K2098" s="81"/>
      <c r="L2098" s="81"/>
      <c r="M2098" s="81"/>
      <c r="N2098" s="84" t="str">
        <f aca="false">IF(C2098="","",IF(P2098="","NJ INCONNU",IF(I2098="",IF(H2098="OUI","À ENROBER",IF(G2098="À SOUDER","NON SOUDÉ","EN ATTENTE RT")),IF(L2098="R","À REPRENDRE",IF(H2098&lt;&gt;"OUI","⚠ ENROBÉ AVANT ACCEPTATION RT","ENROBÉ")))))</f>
        <v>À ENROBER</v>
      </c>
      <c r="O2098" s="80"/>
      <c r="P2098" s="82" t="n">
        <f aca="false">IF(C2098="","",IFERROR(MATCH(Q2098,'CARNET DE SOUDURE'!$AW$7:$AW$3006,0),""))</f>
        <v>2092</v>
      </c>
      <c r="Q2098" s="82" t="str">
        <f aca="false">IF(C2098="","",B2098&amp;"|"&amp;C2098)</f>
        <v>MFD-ISW → MFD-CPF|JN°1614</v>
      </c>
    </row>
    <row r="2099" customFormat="false" ht="74.6" hidden="false" customHeight="false" outlineLevel="0" collapsed="false">
      <c r="A2099" s="82" t="n">
        <f aca="false">IF(C2099="","",ROW()-6)</f>
        <v>2093</v>
      </c>
      <c r="B2099" s="80" t="s">
        <v>110</v>
      </c>
      <c r="C2099" s="113" t="s">
        <v>2550</v>
      </c>
      <c r="D2099" s="82" t="str">
        <f aca="false">IF(OR(C2099="",P2099=""),"",INDEX('CARNET DE SOUDURE'!$D$7:$D$3006,P2099)&amp;"")</f>
        <v>20</v>
      </c>
      <c r="E2099" s="114" t="n">
        <f aca="false">IF(OR(C2099="",P2099=""),"",IF(INDEX('CARNET DE SOUDURE'!$U$7:$U$3006,P2099)="","",INDEX('CARNET DE SOUDURE'!$U$7:$U$3006,P2099)))</f>
        <v>46265</v>
      </c>
      <c r="F2099" s="82" t="str">
        <f aca="false">IF(OR(C2099="",P2099=""),"",INDEX('CARNET DE SOUDURE'!$AP$7:$AP$3006,P2099))</f>
        <v>A</v>
      </c>
      <c r="G2099" s="82" t="str">
        <f aca="false">IF(C2099="","",IF(P2099="","NJ INCONNU",INDEX('CARNET DE SOUDURE'!$AQ$7:$AQ$3006,P2099)))</f>
        <v>ACCEPTÉ</v>
      </c>
      <c r="H2099" s="82" t="str">
        <f aca="false">IF(C2099="","",IF(G2099="ACCEPTÉ","OUI","NON"))</f>
        <v>OUI</v>
      </c>
      <c r="I2099" s="83"/>
      <c r="J2099" s="80"/>
      <c r="K2099" s="81"/>
      <c r="L2099" s="81"/>
      <c r="M2099" s="81"/>
      <c r="N2099" s="84" t="str">
        <f aca="false">IF(C2099="","",IF(P2099="","NJ INCONNU",IF(I2099="",IF(H2099="OUI","À ENROBER",IF(G2099="À SOUDER","NON SOUDÉ","EN ATTENTE RT")),IF(L2099="R","À REPRENDRE",IF(H2099&lt;&gt;"OUI","⚠ ENROBÉ AVANT ACCEPTATION RT","ENROBÉ")))))</f>
        <v>À ENROBER</v>
      </c>
      <c r="O2099" s="80"/>
      <c r="P2099" s="82" t="n">
        <f aca="false">IF(C2099="","",IFERROR(MATCH(Q2099,'CARNET DE SOUDURE'!$AW$7:$AW$3006,0),""))</f>
        <v>2093</v>
      </c>
      <c r="Q2099" s="82" t="str">
        <f aca="false">IF(C2099="","",B2099&amp;"|"&amp;C2099)</f>
        <v>MFD-ISW → MFD-CPF|JN°1615</v>
      </c>
    </row>
    <row r="2100" customFormat="false" ht="74.6" hidden="false" customHeight="false" outlineLevel="0" collapsed="false">
      <c r="A2100" s="82" t="n">
        <f aca="false">IF(C2100="","",ROW()-6)</f>
        <v>2094</v>
      </c>
      <c r="B2100" s="80" t="s">
        <v>110</v>
      </c>
      <c r="C2100" s="113" t="s">
        <v>2551</v>
      </c>
      <c r="D2100" s="82" t="str">
        <f aca="false">IF(OR(C2100="",P2100=""),"",INDEX('CARNET DE SOUDURE'!$D$7:$D$3006,P2100)&amp;"")</f>
        <v>20</v>
      </c>
      <c r="E2100" s="114" t="n">
        <f aca="false">IF(OR(C2100="",P2100=""),"",IF(INDEX('CARNET DE SOUDURE'!$U$7:$U$3006,P2100)="","",INDEX('CARNET DE SOUDURE'!$U$7:$U$3006,P2100)))</f>
        <v>46265</v>
      </c>
      <c r="F2100" s="82" t="str">
        <f aca="false">IF(OR(C2100="",P2100=""),"",INDEX('CARNET DE SOUDURE'!$AP$7:$AP$3006,P2100))</f>
        <v>A</v>
      </c>
      <c r="G2100" s="82" t="str">
        <f aca="false">IF(C2100="","",IF(P2100="","NJ INCONNU",INDEX('CARNET DE SOUDURE'!$AQ$7:$AQ$3006,P2100)))</f>
        <v>ACCEPTÉ</v>
      </c>
      <c r="H2100" s="82" t="str">
        <f aca="false">IF(C2100="","",IF(G2100="ACCEPTÉ","OUI","NON"))</f>
        <v>OUI</v>
      </c>
      <c r="I2100" s="83"/>
      <c r="J2100" s="80"/>
      <c r="K2100" s="81"/>
      <c r="L2100" s="81"/>
      <c r="M2100" s="81"/>
      <c r="N2100" s="84" t="str">
        <f aca="false">IF(C2100="","",IF(P2100="","NJ INCONNU",IF(I2100="",IF(H2100="OUI","À ENROBER",IF(G2100="À SOUDER","NON SOUDÉ","EN ATTENTE RT")),IF(L2100="R","À REPRENDRE",IF(H2100&lt;&gt;"OUI","⚠ ENROBÉ AVANT ACCEPTATION RT","ENROBÉ")))))</f>
        <v>À ENROBER</v>
      </c>
      <c r="O2100" s="80"/>
      <c r="P2100" s="82" t="n">
        <f aca="false">IF(C2100="","",IFERROR(MATCH(Q2100,'CARNET DE SOUDURE'!$AW$7:$AW$3006,0),""))</f>
        <v>2094</v>
      </c>
      <c r="Q2100" s="82" t="str">
        <f aca="false">IF(C2100="","",B2100&amp;"|"&amp;C2100)</f>
        <v>MFD-ISW → MFD-CPF|JN°1616</v>
      </c>
    </row>
    <row r="2101" customFormat="false" ht="74.6" hidden="false" customHeight="false" outlineLevel="0" collapsed="false">
      <c r="A2101" s="82" t="n">
        <f aca="false">IF(C2101="","",ROW()-6)</f>
        <v>2095</v>
      </c>
      <c r="B2101" s="80" t="s">
        <v>110</v>
      </c>
      <c r="C2101" s="113" t="s">
        <v>2552</v>
      </c>
      <c r="D2101" s="82" t="str">
        <f aca="false">IF(OR(C2101="",P2101=""),"",INDEX('CARNET DE SOUDURE'!$D$7:$D$3006,P2101)&amp;"")</f>
        <v>20</v>
      </c>
      <c r="E2101" s="114" t="n">
        <f aca="false">IF(OR(C2101="",P2101=""),"",IF(INDEX('CARNET DE SOUDURE'!$U$7:$U$3006,P2101)="","",INDEX('CARNET DE SOUDURE'!$U$7:$U$3006,P2101)))</f>
        <v>46265</v>
      </c>
      <c r="F2101" s="82" t="str">
        <f aca="false">IF(OR(C2101="",P2101=""),"",INDEX('CARNET DE SOUDURE'!$AP$7:$AP$3006,P2101))</f>
        <v>A</v>
      </c>
      <c r="G2101" s="82" t="str">
        <f aca="false">IF(C2101="","",IF(P2101="","NJ INCONNU",INDEX('CARNET DE SOUDURE'!$AQ$7:$AQ$3006,P2101)))</f>
        <v>ACCEPTÉ</v>
      </c>
      <c r="H2101" s="82" t="str">
        <f aca="false">IF(C2101="","",IF(G2101="ACCEPTÉ","OUI","NON"))</f>
        <v>OUI</v>
      </c>
      <c r="I2101" s="83"/>
      <c r="J2101" s="80"/>
      <c r="K2101" s="81"/>
      <c r="L2101" s="81"/>
      <c r="M2101" s="81"/>
      <c r="N2101" s="84" t="str">
        <f aca="false">IF(C2101="","",IF(P2101="","NJ INCONNU",IF(I2101="",IF(H2101="OUI","À ENROBER",IF(G2101="À SOUDER","NON SOUDÉ","EN ATTENTE RT")),IF(L2101="R","À REPRENDRE",IF(H2101&lt;&gt;"OUI","⚠ ENROBÉ AVANT ACCEPTATION RT","ENROBÉ")))))</f>
        <v>À ENROBER</v>
      </c>
      <c r="O2101" s="80"/>
      <c r="P2101" s="82" t="n">
        <f aca="false">IF(C2101="","",IFERROR(MATCH(Q2101,'CARNET DE SOUDURE'!$AW$7:$AW$3006,0),""))</f>
        <v>2095</v>
      </c>
      <c r="Q2101" s="82" t="str">
        <f aca="false">IF(C2101="","",B2101&amp;"|"&amp;C2101)</f>
        <v>MFD-ISW → MFD-CPF|JN°1617</v>
      </c>
    </row>
    <row r="2102" customFormat="false" ht="74.6" hidden="false" customHeight="false" outlineLevel="0" collapsed="false">
      <c r="A2102" s="82" t="n">
        <f aca="false">IF(C2102="","",ROW()-6)</f>
        <v>2096</v>
      </c>
      <c r="B2102" s="80" t="s">
        <v>110</v>
      </c>
      <c r="C2102" s="113" t="s">
        <v>2554</v>
      </c>
      <c r="D2102" s="82" t="str">
        <f aca="false">IF(OR(C2102="",P2102=""),"",INDEX('CARNET DE SOUDURE'!$D$7:$D$3006,P2102)&amp;"")</f>
        <v>20</v>
      </c>
      <c r="E2102" s="114" t="n">
        <f aca="false">IF(OR(C2102="",P2102=""),"",IF(INDEX('CARNET DE SOUDURE'!$U$7:$U$3006,P2102)="","",INDEX('CARNET DE SOUDURE'!$U$7:$U$3006,P2102)))</f>
        <v>46265</v>
      </c>
      <c r="F2102" s="82" t="str">
        <f aca="false">IF(OR(C2102="",P2102=""),"",INDEX('CARNET DE SOUDURE'!$AP$7:$AP$3006,P2102))</f>
        <v>A</v>
      </c>
      <c r="G2102" s="82" t="str">
        <f aca="false">IF(C2102="","",IF(P2102="","NJ INCONNU",INDEX('CARNET DE SOUDURE'!$AQ$7:$AQ$3006,P2102)))</f>
        <v>ACCEPTÉ</v>
      </c>
      <c r="H2102" s="82" t="str">
        <f aca="false">IF(C2102="","",IF(G2102="ACCEPTÉ","OUI","NON"))</f>
        <v>OUI</v>
      </c>
      <c r="I2102" s="83"/>
      <c r="J2102" s="80"/>
      <c r="K2102" s="81"/>
      <c r="L2102" s="81"/>
      <c r="M2102" s="81"/>
      <c r="N2102" s="84" t="str">
        <f aca="false">IF(C2102="","",IF(P2102="","NJ INCONNU",IF(I2102="",IF(H2102="OUI","À ENROBER",IF(G2102="À SOUDER","NON SOUDÉ","EN ATTENTE RT")),IF(L2102="R","À REPRENDRE",IF(H2102&lt;&gt;"OUI","⚠ ENROBÉ AVANT ACCEPTATION RT","ENROBÉ")))))</f>
        <v>À ENROBER</v>
      </c>
      <c r="O2102" s="80"/>
      <c r="P2102" s="82" t="n">
        <f aca="false">IF(C2102="","",IFERROR(MATCH(Q2102,'CARNET DE SOUDURE'!$AW$7:$AW$3006,0),""))</f>
        <v>2096</v>
      </c>
      <c r="Q2102" s="82" t="str">
        <f aca="false">IF(C2102="","",B2102&amp;"|"&amp;C2102)</f>
        <v>MFD-ISW → MFD-CPF|JN°1618</v>
      </c>
    </row>
    <row r="2103" customFormat="false" ht="74.6" hidden="false" customHeight="false" outlineLevel="0" collapsed="false">
      <c r="A2103" s="82" t="n">
        <f aca="false">IF(C2103="","",ROW()-6)</f>
        <v>2097</v>
      </c>
      <c r="B2103" s="80" t="s">
        <v>110</v>
      </c>
      <c r="C2103" s="113" t="s">
        <v>2555</v>
      </c>
      <c r="D2103" s="82" t="str">
        <f aca="false">IF(OR(C2103="",P2103=""),"",INDEX('CARNET DE SOUDURE'!$D$7:$D$3006,P2103)&amp;"")</f>
        <v>20</v>
      </c>
      <c r="E2103" s="114" t="n">
        <f aca="false">IF(OR(C2103="",P2103=""),"",IF(INDEX('CARNET DE SOUDURE'!$U$7:$U$3006,P2103)="","",INDEX('CARNET DE SOUDURE'!$U$7:$U$3006,P2103)))</f>
        <v>46265</v>
      </c>
      <c r="F2103" s="82" t="str">
        <f aca="false">IF(OR(C2103="",P2103=""),"",INDEX('CARNET DE SOUDURE'!$AP$7:$AP$3006,P2103))</f>
        <v>A</v>
      </c>
      <c r="G2103" s="82" t="str">
        <f aca="false">IF(C2103="","",IF(P2103="","NJ INCONNU",INDEX('CARNET DE SOUDURE'!$AQ$7:$AQ$3006,P2103)))</f>
        <v>ACCEPTÉ</v>
      </c>
      <c r="H2103" s="82" t="str">
        <f aca="false">IF(C2103="","",IF(G2103="ACCEPTÉ","OUI","NON"))</f>
        <v>OUI</v>
      </c>
      <c r="I2103" s="83"/>
      <c r="J2103" s="80"/>
      <c r="K2103" s="81"/>
      <c r="L2103" s="81"/>
      <c r="M2103" s="81"/>
      <c r="N2103" s="84" t="str">
        <f aca="false">IF(C2103="","",IF(P2103="","NJ INCONNU",IF(I2103="",IF(H2103="OUI","À ENROBER",IF(G2103="À SOUDER","NON SOUDÉ","EN ATTENTE RT")),IF(L2103="R","À REPRENDRE",IF(H2103&lt;&gt;"OUI","⚠ ENROBÉ AVANT ACCEPTATION RT","ENROBÉ")))))</f>
        <v>À ENROBER</v>
      </c>
      <c r="O2103" s="80"/>
      <c r="P2103" s="82" t="n">
        <f aca="false">IF(C2103="","",IFERROR(MATCH(Q2103,'CARNET DE SOUDURE'!$AW$7:$AW$3006,0),""))</f>
        <v>2097</v>
      </c>
      <c r="Q2103" s="82" t="str">
        <f aca="false">IF(C2103="","",B2103&amp;"|"&amp;C2103)</f>
        <v>MFD-ISW → MFD-CPF|JN°1619</v>
      </c>
    </row>
    <row r="2104" customFormat="false" ht="74.6" hidden="false" customHeight="false" outlineLevel="0" collapsed="false">
      <c r="A2104" s="82" t="n">
        <f aca="false">IF(C2104="","",ROW()-6)</f>
        <v>2098</v>
      </c>
      <c r="B2104" s="80" t="s">
        <v>110</v>
      </c>
      <c r="C2104" s="113" t="s">
        <v>2556</v>
      </c>
      <c r="D2104" s="82" t="str">
        <f aca="false">IF(OR(C2104="",P2104=""),"",INDEX('CARNET DE SOUDURE'!$D$7:$D$3006,P2104)&amp;"")</f>
        <v>20</v>
      </c>
      <c r="E2104" s="114" t="n">
        <f aca="false">IF(OR(C2104="",P2104=""),"",IF(INDEX('CARNET DE SOUDURE'!$U$7:$U$3006,P2104)="","",INDEX('CARNET DE SOUDURE'!$U$7:$U$3006,P2104)))</f>
        <v>46265</v>
      </c>
      <c r="F2104" s="82" t="str">
        <f aca="false">IF(OR(C2104="",P2104=""),"",INDEX('CARNET DE SOUDURE'!$AP$7:$AP$3006,P2104))</f>
        <v>A</v>
      </c>
      <c r="G2104" s="82" t="str">
        <f aca="false">IF(C2104="","",IF(P2104="","NJ INCONNU",INDEX('CARNET DE SOUDURE'!$AQ$7:$AQ$3006,P2104)))</f>
        <v>ACCEPTÉ</v>
      </c>
      <c r="H2104" s="82" t="str">
        <f aca="false">IF(C2104="","",IF(G2104="ACCEPTÉ","OUI","NON"))</f>
        <v>OUI</v>
      </c>
      <c r="I2104" s="83"/>
      <c r="J2104" s="80"/>
      <c r="K2104" s="81"/>
      <c r="L2104" s="81"/>
      <c r="M2104" s="81"/>
      <c r="N2104" s="84" t="str">
        <f aca="false">IF(C2104="","",IF(P2104="","NJ INCONNU",IF(I2104="",IF(H2104="OUI","À ENROBER",IF(G2104="À SOUDER","NON SOUDÉ","EN ATTENTE RT")),IF(L2104="R","À REPRENDRE",IF(H2104&lt;&gt;"OUI","⚠ ENROBÉ AVANT ACCEPTATION RT","ENROBÉ")))))</f>
        <v>À ENROBER</v>
      </c>
      <c r="O2104" s="80"/>
      <c r="P2104" s="82" t="n">
        <f aca="false">IF(C2104="","",IFERROR(MATCH(Q2104,'CARNET DE SOUDURE'!$AW$7:$AW$3006,0),""))</f>
        <v>2098</v>
      </c>
      <c r="Q2104" s="82" t="str">
        <f aca="false">IF(C2104="","",B2104&amp;"|"&amp;C2104)</f>
        <v>MFD-ISW → MFD-CPF|JN°1620</v>
      </c>
    </row>
    <row r="2105" customFormat="false" ht="74.6" hidden="false" customHeight="false" outlineLevel="0" collapsed="false">
      <c r="A2105" s="82" t="n">
        <f aca="false">IF(C2105="","",ROW()-6)</f>
        <v>2099</v>
      </c>
      <c r="B2105" s="80" t="s">
        <v>110</v>
      </c>
      <c r="C2105" s="113" t="s">
        <v>2558</v>
      </c>
      <c r="D2105" s="82" t="str">
        <f aca="false">IF(OR(C2105="",P2105=""),"",INDEX('CARNET DE SOUDURE'!$D$7:$D$3006,P2105)&amp;"")</f>
        <v>20</v>
      </c>
      <c r="E2105" s="114" t="n">
        <f aca="false">IF(OR(C2105="",P2105=""),"",IF(INDEX('CARNET DE SOUDURE'!$U$7:$U$3006,P2105)="","",INDEX('CARNET DE SOUDURE'!$U$7:$U$3006,P2105)))</f>
        <v>46265</v>
      </c>
      <c r="F2105" s="82" t="str">
        <f aca="false">IF(OR(C2105="",P2105=""),"",INDEX('CARNET DE SOUDURE'!$AP$7:$AP$3006,P2105))</f>
        <v>A</v>
      </c>
      <c r="G2105" s="82" t="str">
        <f aca="false">IF(C2105="","",IF(P2105="","NJ INCONNU",INDEX('CARNET DE SOUDURE'!$AQ$7:$AQ$3006,P2105)))</f>
        <v>ACCEPTÉ</v>
      </c>
      <c r="H2105" s="82" t="str">
        <f aca="false">IF(C2105="","",IF(G2105="ACCEPTÉ","OUI","NON"))</f>
        <v>OUI</v>
      </c>
      <c r="I2105" s="83"/>
      <c r="J2105" s="80"/>
      <c r="K2105" s="81"/>
      <c r="L2105" s="81"/>
      <c r="M2105" s="81"/>
      <c r="N2105" s="84" t="str">
        <f aca="false">IF(C2105="","",IF(P2105="","NJ INCONNU",IF(I2105="",IF(H2105="OUI","À ENROBER",IF(G2105="À SOUDER","NON SOUDÉ","EN ATTENTE RT")),IF(L2105="R","À REPRENDRE",IF(H2105&lt;&gt;"OUI","⚠ ENROBÉ AVANT ACCEPTATION RT","ENROBÉ")))))</f>
        <v>À ENROBER</v>
      </c>
      <c r="O2105" s="80"/>
      <c r="P2105" s="82" t="n">
        <f aca="false">IF(C2105="","",IFERROR(MATCH(Q2105,'CARNET DE SOUDURE'!$AW$7:$AW$3006,0),""))</f>
        <v>2099</v>
      </c>
      <c r="Q2105" s="82" t="str">
        <f aca="false">IF(C2105="","",B2105&amp;"|"&amp;C2105)</f>
        <v>MFD-ISW → MFD-CPF|JN°1621</v>
      </c>
    </row>
    <row r="2106" customFormat="false" ht="74.6" hidden="false" customHeight="false" outlineLevel="0" collapsed="false">
      <c r="A2106" s="82" t="n">
        <f aca="false">IF(C2106="","",ROW()-6)</f>
        <v>2100</v>
      </c>
      <c r="B2106" s="80" t="s">
        <v>110</v>
      </c>
      <c r="C2106" s="113" t="s">
        <v>2559</v>
      </c>
      <c r="D2106" s="82" t="str">
        <f aca="false">IF(OR(C2106="",P2106=""),"",INDEX('CARNET DE SOUDURE'!$D$7:$D$3006,P2106)&amp;"")</f>
        <v>20</v>
      </c>
      <c r="E2106" s="114" t="n">
        <f aca="false">IF(OR(C2106="",P2106=""),"",IF(INDEX('CARNET DE SOUDURE'!$U$7:$U$3006,P2106)="","",INDEX('CARNET DE SOUDURE'!$U$7:$U$3006,P2106)))</f>
        <v>46265</v>
      </c>
      <c r="F2106" s="82" t="str">
        <f aca="false">IF(OR(C2106="",P2106=""),"",INDEX('CARNET DE SOUDURE'!$AP$7:$AP$3006,P2106))</f>
        <v>A</v>
      </c>
      <c r="G2106" s="82" t="str">
        <f aca="false">IF(C2106="","",IF(P2106="","NJ INCONNU",INDEX('CARNET DE SOUDURE'!$AQ$7:$AQ$3006,P2106)))</f>
        <v>ACCEPTÉ</v>
      </c>
      <c r="H2106" s="82" t="str">
        <f aca="false">IF(C2106="","",IF(G2106="ACCEPTÉ","OUI","NON"))</f>
        <v>OUI</v>
      </c>
      <c r="I2106" s="83"/>
      <c r="J2106" s="80"/>
      <c r="K2106" s="81"/>
      <c r="L2106" s="81"/>
      <c r="M2106" s="81"/>
      <c r="N2106" s="84" t="str">
        <f aca="false">IF(C2106="","",IF(P2106="","NJ INCONNU",IF(I2106="",IF(H2106="OUI","À ENROBER",IF(G2106="À SOUDER","NON SOUDÉ","EN ATTENTE RT")),IF(L2106="R","À REPRENDRE",IF(H2106&lt;&gt;"OUI","⚠ ENROBÉ AVANT ACCEPTATION RT","ENROBÉ")))))</f>
        <v>À ENROBER</v>
      </c>
      <c r="O2106" s="80"/>
      <c r="P2106" s="82" t="n">
        <f aca="false">IF(C2106="","",IFERROR(MATCH(Q2106,'CARNET DE SOUDURE'!$AW$7:$AW$3006,0),""))</f>
        <v>2100</v>
      </c>
      <c r="Q2106" s="82" t="str">
        <f aca="false">IF(C2106="","",B2106&amp;"|"&amp;C2106)</f>
        <v>MFD-ISW → MFD-CPF|JN°1622</v>
      </c>
    </row>
    <row r="2107" customFormat="false" ht="74.6" hidden="false" customHeight="false" outlineLevel="0" collapsed="false">
      <c r="A2107" s="82" t="n">
        <f aca="false">IF(C2107="","",ROW()-6)</f>
        <v>2101</v>
      </c>
      <c r="B2107" s="80" t="s">
        <v>110</v>
      </c>
      <c r="C2107" s="113" t="s">
        <v>2560</v>
      </c>
      <c r="D2107" s="82" t="str">
        <f aca="false">IF(OR(C2107="",P2107=""),"",INDEX('CARNET DE SOUDURE'!$D$7:$D$3006,P2107)&amp;"")</f>
        <v>20</v>
      </c>
      <c r="E2107" s="114" t="n">
        <f aca="false">IF(OR(C2107="",P2107=""),"",IF(INDEX('CARNET DE SOUDURE'!$U$7:$U$3006,P2107)="","",INDEX('CARNET DE SOUDURE'!$U$7:$U$3006,P2107)))</f>
        <v>46265</v>
      </c>
      <c r="F2107" s="82" t="str">
        <f aca="false">IF(OR(C2107="",P2107=""),"",INDEX('CARNET DE SOUDURE'!$AP$7:$AP$3006,P2107))</f>
        <v>A</v>
      </c>
      <c r="G2107" s="82" t="str">
        <f aca="false">IF(C2107="","",IF(P2107="","NJ INCONNU",INDEX('CARNET DE SOUDURE'!$AQ$7:$AQ$3006,P2107)))</f>
        <v>ACCEPTÉ</v>
      </c>
      <c r="H2107" s="82" t="str">
        <f aca="false">IF(C2107="","",IF(G2107="ACCEPTÉ","OUI","NON"))</f>
        <v>OUI</v>
      </c>
      <c r="I2107" s="83"/>
      <c r="J2107" s="80"/>
      <c r="K2107" s="81"/>
      <c r="L2107" s="81"/>
      <c r="M2107" s="81"/>
      <c r="N2107" s="84" t="str">
        <f aca="false">IF(C2107="","",IF(P2107="","NJ INCONNU",IF(I2107="",IF(H2107="OUI","À ENROBER",IF(G2107="À SOUDER","NON SOUDÉ","EN ATTENTE RT")),IF(L2107="R","À REPRENDRE",IF(H2107&lt;&gt;"OUI","⚠ ENROBÉ AVANT ACCEPTATION RT","ENROBÉ")))))</f>
        <v>À ENROBER</v>
      </c>
      <c r="O2107" s="80"/>
      <c r="P2107" s="82" t="n">
        <f aca="false">IF(C2107="","",IFERROR(MATCH(Q2107,'CARNET DE SOUDURE'!$AW$7:$AW$3006,0),""))</f>
        <v>2101</v>
      </c>
      <c r="Q2107" s="82" t="str">
        <f aca="false">IF(C2107="","",B2107&amp;"|"&amp;C2107)</f>
        <v>MFD-ISW → MFD-CPF|JN°1623</v>
      </c>
    </row>
    <row r="2108" customFormat="false" ht="74.6" hidden="false" customHeight="false" outlineLevel="0" collapsed="false">
      <c r="A2108" s="82" t="n">
        <f aca="false">IF(C2108="","",ROW()-6)</f>
        <v>2102</v>
      </c>
      <c r="B2108" s="80" t="s">
        <v>110</v>
      </c>
      <c r="C2108" s="113" t="s">
        <v>2561</v>
      </c>
      <c r="D2108" s="82" t="str">
        <f aca="false">IF(OR(C2108="",P2108=""),"",INDEX('CARNET DE SOUDURE'!$D$7:$D$3006,P2108)&amp;"")</f>
        <v>20</v>
      </c>
      <c r="E2108" s="114" t="n">
        <f aca="false">IF(OR(C2108="",P2108=""),"",IF(INDEX('CARNET DE SOUDURE'!$U$7:$U$3006,P2108)="","",INDEX('CARNET DE SOUDURE'!$U$7:$U$3006,P2108)))</f>
        <v>46265</v>
      </c>
      <c r="F2108" s="82" t="str">
        <f aca="false">IF(OR(C2108="",P2108=""),"",INDEX('CARNET DE SOUDURE'!$AP$7:$AP$3006,P2108))</f>
        <v>A</v>
      </c>
      <c r="G2108" s="82" t="str">
        <f aca="false">IF(C2108="","",IF(P2108="","NJ INCONNU",INDEX('CARNET DE SOUDURE'!$AQ$7:$AQ$3006,P2108)))</f>
        <v>ACCEPTÉ</v>
      </c>
      <c r="H2108" s="82" t="str">
        <f aca="false">IF(C2108="","",IF(G2108="ACCEPTÉ","OUI","NON"))</f>
        <v>OUI</v>
      </c>
      <c r="I2108" s="83"/>
      <c r="J2108" s="80"/>
      <c r="K2108" s="81"/>
      <c r="L2108" s="81"/>
      <c r="M2108" s="81"/>
      <c r="N2108" s="84" t="str">
        <f aca="false">IF(C2108="","",IF(P2108="","NJ INCONNU",IF(I2108="",IF(H2108="OUI","À ENROBER",IF(G2108="À SOUDER","NON SOUDÉ","EN ATTENTE RT")),IF(L2108="R","À REPRENDRE",IF(H2108&lt;&gt;"OUI","⚠ ENROBÉ AVANT ACCEPTATION RT","ENROBÉ")))))</f>
        <v>À ENROBER</v>
      </c>
      <c r="O2108" s="80"/>
      <c r="P2108" s="82" t="n">
        <f aca="false">IF(C2108="","",IFERROR(MATCH(Q2108,'CARNET DE SOUDURE'!$AW$7:$AW$3006,0),""))</f>
        <v>2102</v>
      </c>
      <c r="Q2108" s="82" t="str">
        <f aca="false">IF(C2108="","",B2108&amp;"|"&amp;C2108)</f>
        <v>MFD-ISW → MFD-CPF|JN°1624</v>
      </c>
    </row>
    <row r="2109" customFormat="false" ht="74.6" hidden="false" customHeight="false" outlineLevel="0" collapsed="false">
      <c r="A2109" s="82" t="n">
        <f aca="false">IF(C2109="","",ROW()-6)</f>
        <v>2103</v>
      </c>
      <c r="B2109" s="80" t="s">
        <v>110</v>
      </c>
      <c r="C2109" s="113" t="s">
        <v>2562</v>
      </c>
      <c r="D2109" s="82" t="str">
        <f aca="false">IF(OR(C2109="",P2109=""),"",INDEX('CARNET DE SOUDURE'!$D$7:$D$3006,P2109)&amp;"")</f>
        <v>20</v>
      </c>
      <c r="E2109" s="114" t="n">
        <f aca="false">IF(OR(C2109="",P2109=""),"",IF(INDEX('CARNET DE SOUDURE'!$U$7:$U$3006,P2109)="","",INDEX('CARNET DE SOUDURE'!$U$7:$U$3006,P2109)))</f>
        <v>46265</v>
      </c>
      <c r="F2109" s="82" t="str">
        <f aca="false">IF(OR(C2109="",P2109=""),"",INDEX('CARNET DE SOUDURE'!$AP$7:$AP$3006,P2109))</f>
        <v>A</v>
      </c>
      <c r="G2109" s="82" t="str">
        <f aca="false">IF(C2109="","",IF(P2109="","NJ INCONNU",INDEX('CARNET DE SOUDURE'!$AQ$7:$AQ$3006,P2109)))</f>
        <v>ACCEPTÉ</v>
      </c>
      <c r="H2109" s="82" t="str">
        <f aca="false">IF(C2109="","",IF(G2109="ACCEPTÉ","OUI","NON"))</f>
        <v>OUI</v>
      </c>
      <c r="I2109" s="83"/>
      <c r="J2109" s="80"/>
      <c r="K2109" s="81"/>
      <c r="L2109" s="81"/>
      <c r="M2109" s="81"/>
      <c r="N2109" s="84" t="str">
        <f aca="false">IF(C2109="","",IF(P2109="","NJ INCONNU",IF(I2109="",IF(H2109="OUI","À ENROBER",IF(G2109="À SOUDER","NON SOUDÉ","EN ATTENTE RT")),IF(L2109="R","À REPRENDRE",IF(H2109&lt;&gt;"OUI","⚠ ENROBÉ AVANT ACCEPTATION RT","ENROBÉ")))))</f>
        <v>À ENROBER</v>
      </c>
      <c r="O2109" s="80"/>
      <c r="P2109" s="82" t="n">
        <f aca="false">IF(C2109="","",IFERROR(MATCH(Q2109,'CARNET DE SOUDURE'!$AW$7:$AW$3006,0),""))</f>
        <v>2103</v>
      </c>
      <c r="Q2109" s="82" t="str">
        <f aca="false">IF(C2109="","",B2109&amp;"|"&amp;C2109)</f>
        <v>MFD-ISW → MFD-CPF|JN°1625</v>
      </c>
    </row>
    <row r="2110" customFormat="false" ht="74.6" hidden="false" customHeight="false" outlineLevel="0" collapsed="false">
      <c r="A2110" s="82" t="n">
        <f aca="false">IF(C2110="","",ROW()-6)</f>
        <v>2104</v>
      </c>
      <c r="B2110" s="80" t="s">
        <v>110</v>
      </c>
      <c r="C2110" s="113" t="s">
        <v>2563</v>
      </c>
      <c r="D2110" s="82" t="str">
        <f aca="false">IF(OR(C2110="",P2110=""),"",INDEX('CARNET DE SOUDURE'!$D$7:$D$3006,P2110)&amp;"")</f>
        <v>20</v>
      </c>
      <c r="E2110" s="114" t="n">
        <f aca="false">IF(OR(C2110="",P2110=""),"",IF(INDEX('CARNET DE SOUDURE'!$U$7:$U$3006,P2110)="","",INDEX('CARNET DE SOUDURE'!$U$7:$U$3006,P2110)))</f>
        <v>46265</v>
      </c>
      <c r="F2110" s="82" t="str">
        <f aca="false">IF(OR(C2110="",P2110=""),"",INDEX('CARNET DE SOUDURE'!$AP$7:$AP$3006,P2110))</f>
        <v>A</v>
      </c>
      <c r="G2110" s="82" t="str">
        <f aca="false">IF(C2110="","",IF(P2110="","NJ INCONNU",INDEX('CARNET DE SOUDURE'!$AQ$7:$AQ$3006,P2110)))</f>
        <v>ACCEPTÉ</v>
      </c>
      <c r="H2110" s="82" t="str">
        <f aca="false">IF(C2110="","",IF(G2110="ACCEPTÉ","OUI","NON"))</f>
        <v>OUI</v>
      </c>
      <c r="I2110" s="83"/>
      <c r="J2110" s="80"/>
      <c r="K2110" s="81"/>
      <c r="L2110" s="81"/>
      <c r="M2110" s="81"/>
      <c r="N2110" s="84" t="str">
        <f aca="false">IF(C2110="","",IF(P2110="","NJ INCONNU",IF(I2110="",IF(H2110="OUI","À ENROBER",IF(G2110="À SOUDER","NON SOUDÉ","EN ATTENTE RT")),IF(L2110="R","À REPRENDRE",IF(H2110&lt;&gt;"OUI","⚠ ENROBÉ AVANT ACCEPTATION RT","ENROBÉ")))))</f>
        <v>À ENROBER</v>
      </c>
      <c r="O2110" s="80"/>
      <c r="P2110" s="82" t="n">
        <f aca="false">IF(C2110="","",IFERROR(MATCH(Q2110,'CARNET DE SOUDURE'!$AW$7:$AW$3006,0),""))</f>
        <v>2104</v>
      </c>
      <c r="Q2110" s="82" t="str">
        <f aca="false">IF(C2110="","",B2110&amp;"|"&amp;C2110)</f>
        <v>MFD-ISW → MFD-CPF|JN°1626</v>
      </c>
    </row>
    <row r="2111" customFormat="false" ht="74.6" hidden="false" customHeight="false" outlineLevel="0" collapsed="false">
      <c r="A2111" s="82" t="n">
        <f aca="false">IF(C2111="","",ROW()-6)</f>
        <v>2105</v>
      </c>
      <c r="B2111" s="80" t="s">
        <v>110</v>
      </c>
      <c r="C2111" s="113" t="s">
        <v>2564</v>
      </c>
      <c r="D2111" s="82" t="str">
        <f aca="false">IF(OR(C2111="",P2111=""),"",INDEX('CARNET DE SOUDURE'!$D$7:$D$3006,P2111)&amp;"")</f>
        <v>20</v>
      </c>
      <c r="E2111" s="114" t="n">
        <f aca="false">IF(OR(C2111="",P2111=""),"",IF(INDEX('CARNET DE SOUDURE'!$U$7:$U$3006,P2111)="","",INDEX('CARNET DE SOUDURE'!$U$7:$U$3006,P2111)))</f>
        <v>46265</v>
      </c>
      <c r="F2111" s="82" t="str">
        <f aca="false">IF(OR(C2111="",P2111=""),"",INDEX('CARNET DE SOUDURE'!$AP$7:$AP$3006,P2111))</f>
        <v>A</v>
      </c>
      <c r="G2111" s="82" t="str">
        <f aca="false">IF(C2111="","",IF(P2111="","NJ INCONNU",INDEX('CARNET DE SOUDURE'!$AQ$7:$AQ$3006,P2111)))</f>
        <v>ACCEPTÉ</v>
      </c>
      <c r="H2111" s="82" t="str">
        <f aca="false">IF(C2111="","",IF(G2111="ACCEPTÉ","OUI","NON"))</f>
        <v>OUI</v>
      </c>
      <c r="I2111" s="83"/>
      <c r="J2111" s="80"/>
      <c r="K2111" s="81"/>
      <c r="L2111" s="81"/>
      <c r="M2111" s="81"/>
      <c r="N2111" s="84" t="str">
        <f aca="false">IF(C2111="","",IF(P2111="","NJ INCONNU",IF(I2111="",IF(H2111="OUI","À ENROBER",IF(G2111="À SOUDER","NON SOUDÉ","EN ATTENTE RT")),IF(L2111="R","À REPRENDRE",IF(H2111&lt;&gt;"OUI","⚠ ENROBÉ AVANT ACCEPTATION RT","ENROBÉ")))))</f>
        <v>À ENROBER</v>
      </c>
      <c r="O2111" s="80"/>
      <c r="P2111" s="82" t="n">
        <f aca="false">IF(C2111="","",IFERROR(MATCH(Q2111,'CARNET DE SOUDURE'!$AW$7:$AW$3006,0),""))</f>
        <v>2105</v>
      </c>
      <c r="Q2111" s="82" t="str">
        <f aca="false">IF(C2111="","",B2111&amp;"|"&amp;C2111)</f>
        <v>MFD-ISW → MFD-CPF|JN°1627</v>
      </c>
    </row>
    <row r="2112" customFormat="false" ht="74.6" hidden="false" customHeight="false" outlineLevel="0" collapsed="false">
      <c r="A2112" s="82" t="n">
        <f aca="false">IF(C2112="","",ROW()-6)</f>
        <v>2106</v>
      </c>
      <c r="B2112" s="80" t="s">
        <v>110</v>
      </c>
      <c r="C2112" s="113" t="s">
        <v>2565</v>
      </c>
      <c r="D2112" s="82" t="str">
        <f aca="false">IF(OR(C2112="",P2112=""),"",INDEX('CARNET DE SOUDURE'!$D$7:$D$3006,P2112)&amp;"")</f>
        <v>20</v>
      </c>
      <c r="E2112" s="114" t="n">
        <f aca="false">IF(OR(C2112="",P2112=""),"",IF(INDEX('CARNET DE SOUDURE'!$U$7:$U$3006,P2112)="","",INDEX('CARNET DE SOUDURE'!$U$7:$U$3006,P2112)))</f>
        <v>46265</v>
      </c>
      <c r="F2112" s="82" t="str">
        <f aca="false">IF(OR(C2112="",P2112=""),"",INDEX('CARNET DE SOUDURE'!$AP$7:$AP$3006,P2112))</f>
        <v>A</v>
      </c>
      <c r="G2112" s="82" t="str">
        <f aca="false">IF(C2112="","",IF(P2112="","NJ INCONNU",INDEX('CARNET DE SOUDURE'!$AQ$7:$AQ$3006,P2112)))</f>
        <v>ACCEPTÉ</v>
      </c>
      <c r="H2112" s="82" t="str">
        <f aca="false">IF(C2112="","",IF(G2112="ACCEPTÉ","OUI","NON"))</f>
        <v>OUI</v>
      </c>
      <c r="I2112" s="83"/>
      <c r="J2112" s="80"/>
      <c r="K2112" s="81"/>
      <c r="L2112" s="81"/>
      <c r="M2112" s="81"/>
      <c r="N2112" s="84" t="str">
        <f aca="false">IF(C2112="","",IF(P2112="","NJ INCONNU",IF(I2112="",IF(H2112="OUI","À ENROBER",IF(G2112="À SOUDER","NON SOUDÉ","EN ATTENTE RT")),IF(L2112="R","À REPRENDRE",IF(H2112&lt;&gt;"OUI","⚠ ENROBÉ AVANT ACCEPTATION RT","ENROBÉ")))))</f>
        <v>À ENROBER</v>
      </c>
      <c r="O2112" s="80"/>
      <c r="P2112" s="82" t="n">
        <f aca="false">IF(C2112="","",IFERROR(MATCH(Q2112,'CARNET DE SOUDURE'!$AW$7:$AW$3006,0),""))</f>
        <v>2106</v>
      </c>
      <c r="Q2112" s="82" t="str">
        <f aca="false">IF(C2112="","",B2112&amp;"|"&amp;C2112)</f>
        <v>MFD-ISW → MFD-CPF|JN°1628</v>
      </c>
    </row>
    <row r="2113" customFormat="false" ht="74.6" hidden="false" customHeight="false" outlineLevel="0" collapsed="false">
      <c r="A2113" s="82" t="n">
        <f aca="false">IF(C2113="","",ROW()-6)</f>
        <v>2107</v>
      </c>
      <c r="B2113" s="80" t="s">
        <v>110</v>
      </c>
      <c r="C2113" s="113" t="s">
        <v>2566</v>
      </c>
      <c r="D2113" s="82" t="str">
        <f aca="false">IF(OR(C2113="",P2113=""),"",INDEX('CARNET DE SOUDURE'!$D$7:$D$3006,P2113)&amp;"")</f>
        <v>20</v>
      </c>
      <c r="E2113" s="114" t="n">
        <f aca="false">IF(OR(C2113="",P2113=""),"",IF(INDEX('CARNET DE SOUDURE'!$U$7:$U$3006,P2113)="","",INDEX('CARNET DE SOUDURE'!$U$7:$U$3006,P2113)))</f>
        <v>46265</v>
      </c>
      <c r="F2113" s="82" t="str">
        <f aca="false">IF(OR(C2113="",P2113=""),"",INDEX('CARNET DE SOUDURE'!$AP$7:$AP$3006,P2113))</f>
        <v>A</v>
      </c>
      <c r="G2113" s="82" t="str">
        <f aca="false">IF(C2113="","",IF(P2113="","NJ INCONNU",INDEX('CARNET DE SOUDURE'!$AQ$7:$AQ$3006,P2113)))</f>
        <v>ACCEPTÉ</v>
      </c>
      <c r="H2113" s="82" t="str">
        <f aca="false">IF(C2113="","",IF(G2113="ACCEPTÉ","OUI","NON"))</f>
        <v>OUI</v>
      </c>
      <c r="I2113" s="83"/>
      <c r="J2113" s="80"/>
      <c r="K2113" s="81"/>
      <c r="L2113" s="81"/>
      <c r="M2113" s="81"/>
      <c r="N2113" s="84" t="str">
        <f aca="false">IF(C2113="","",IF(P2113="","NJ INCONNU",IF(I2113="",IF(H2113="OUI","À ENROBER",IF(G2113="À SOUDER","NON SOUDÉ","EN ATTENTE RT")),IF(L2113="R","À REPRENDRE",IF(H2113&lt;&gt;"OUI","⚠ ENROBÉ AVANT ACCEPTATION RT","ENROBÉ")))))</f>
        <v>À ENROBER</v>
      </c>
      <c r="O2113" s="80"/>
      <c r="P2113" s="82" t="n">
        <f aca="false">IF(C2113="","",IFERROR(MATCH(Q2113,'CARNET DE SOUDURE'!$AW$7:$AW$3006,0),""))</f>
        <v>2107</v>
      </c>
      <c r="Q2113" s="82" t="str">
        <f aca="false">IF(C2113="","",B2113&amp;"|"&amp;C2113)</f>
        <v>MFD-ISW → MFD-CPF|JN°1629</v>
      </c>
    </row>
    <row r="2114" customFormat="false" ht="74.6" hidden="false" customHeight="false" outlineLevel="0" collapsed="false">
      <c r="A2114" s="82" t="n">
        <f aca="false">IF(C2114="","",ROW()-6)</f>
        <v>2108</v>
      </c>
      <c r="B2114" s="80" t="s">
        <v>110</v>
      </c>
      <c r="C2114" s="113" t="s">
        <v>2567</v>
      </c>
      <c r="D2114" s="82" t="str">
        <f aca="false">IF(OR(C2114="",P2114=""),"",INDEX('CARNET DE SOUDURE'!$D$7:$D$3006,P2114)&amp;"")</f>
        <v>20</v>
      </c>
      <c r="E2114" s="114" t="n">
        <f aca="false">IF(OR(C2114="",P2114=""),"",IF(INDEX('CARNET DE SOUDURE'!$U$7:$U$3006,P2114)="","",INDEX('CARNET DE SOUDURE'!$U$7:$U$3006,P2114)))</f>
        <v>46264</v>
      </c>
      <c r="F2114" s="82" t="str">
        <f aca="false">IF(OR(C2114="",P2114=""),"",INDEX('CARNET DE SOUDURE'!$AP$7:$AP$3006,P2114))</f>
        <v>NX</v>
      </c>
      <c r="G2114" s="82" t="str">
        <f aca="false">IF(C2114="","",IF(P2114="","NJ INCONNU",INDEX('CARNET DE SOUDURE'!$AQ$7:$AQ$3006,P2114)))</f>
        <v>NX – RT À REFAIRE</v>
      </c>
      <c r="H2114" s="82" t="str">
        <f aca="false">IF(C2114="","",IF(G2114="ACCEPTÉ","OUI","NON"))</f>
        <v>NON</v>
      </c>
      <c r="I2114" s="83"/>
      <c r="J2114" s="80"/>
      <c r="K2114" s="81"/>
      <c r="L2114" s="81"/>
      <c r="M2114" s="81"/>
      <c r="N2114" s="84" t="str">
        <f aca="false">IF(C2114="","",IF(P2114="","NJ INCONNU",IF(I2114="",IF(H2114="OUI","À ENROBER",IF(G2114="À SOUDER","NON SOUDÉ","EN ATTENTE RT")),IF(L2114="R","À REPRENDRE",IF(H2114&lt;&gt;"OUI","⚠ ENROBÉ AVANT ACCEPTATION RT","ENROBÉ")))))</f>
        <v>EN ATTENTE RT</v>
      </c>
      <c r="O2114" s="80"/>
      <c r="P2114" s="82" t="n">
        <f aca="false">IF(C2114="","",IFERROR(MATCH(Q2114,'CARNET DE SOUDURE'!$AW$7:$AW$3006,0),""))</f>
        <v>2108</v>
      </c>
      <c r="Q2114" s="82" t="str">
        <f aca="false">IF(C2114="","",B2114&amp;"|"&amp;C2114)</f>
        <v>MFD-ISW → MFD-CPF|JN°1630</v>
      </c>
    </row>
    <row r="2115" customFormat="false" ht="74.6" hidden="false" customHeight="false" outlineLevel="0" collapsed="false">
      <c r="A2115" s="82" t="n">
        <f aca="false">IF(C2115="","",ROW()-6)</f>
        <v>2109</v>
      </c>
      <c r="B2115" s="80" t="s">
        <v>110</v>
      </c>
      <c r="C2115" s="113" t="s">
        <v>2569</v>
      </c>
      <c r="D2115" s="82" t="str">
        <f aca="false">IF(OR(C2115="",P2115=""),"",INDEX('CARNET DE SOUDURE'!$D$7:$D$3006,P2115)&amp;"")</f>
        <v>20</v>
      </c>
      <c r="E2115" s="114" t="n">
        <f aca="false">IF(OR(C2115="",P2115=""),"",IF(INDEX('CARNET DE SOUDURE'!$U$7:$U$3006,P2115)="","",INDEX('CARNET DE SOUDURE'!$U$7:$U$3006,P2115)))</f>
        <v>46264</v>
      </c>
      <c r="F2115" s="82" t="str">
        <f aca="false">IF(OR(C2115="",P2115=""),"",INDEX('CARNET DE SOUDURE'!$AP$7:$AP$3006,P2115))</f>
        <v>A</v>
      </c>
      <c r="G2115" s="82" t="str">
        <f aca="false">IF(C2115="","",IF(P2115="","NJ INCONNU",INDEX('CARNET DE SOUDURE'!$AQ$7:$AQ$3006,P2115)))</f>
        <v>ACCEPTÉ</v>
      </c>
      <c r="H2115" s="82" t="str">
        <f aca="false">IF(C2115="","",IF(G2115="ACCEPTÉ","OUI","NON"))</f>
        <v>OUI</v>
      </c>
      <c r="I2115" s="83"/>
      <c r="J2115" s="80"/>
      <c r="K2115" s="81"/>
      <c r="L2115" s="81"/>
      <c r="M2115" s="81"/>
      <c r="N2115" s="84" t="str">
        <f aca="false">IF(C2115="","",IF(P2115="","NJ INCONNU",IF(I2115="",IF(H2115="OUI","À ENROBER",IF(G2115="À SOUDER","NON SOUDÉ","EN ATTENTE RT")),IF(L2115="R","À REPRENDRE",IF(H2115&lt;&gt;"OUI","⚠ ENROBÉ AVANT ACCEPTATION RT","ENROBÉ")))))</f>
        <v>À ENROBER</v>
      </c>
      <c r="O2115" s="80"/>
      <c r="P2115" s="82" t="n">
        <f aca="false">IF(C2115="","",IFERROR(MATCH(Q2115,'CARNET DE SOUDURE'!$AW$7:$AW$3006,0),""))</f>
        <v>2109</v>
      </c>
      <c r="Q2115" s="82" t="str">
        <f aca="false">IF(C2115="","",B2115&amp;"|"&amp;C2115)</f>
        <v>MFD-ISW → MFD-CPF|JN°1631</v>
      </c>
    </row>
    <row r="2116" customFormat="false" ht="74.6" hidden="false" customHeight="false" outlineLevel="0" collapsed="false">
      <c r="A2116" s="82" t="n">
        <f aca="false">IF(C2116="","",ROW()-6)</f>
        <v>2110</v>
      </c>
      <c r="B2116" s="80" t="s">
        <v>110</v>
      </c>
      <c r="C2116" s="113" t="s">
        <v>2571</v>
      </c>
      <c r="D2116" s="82" t="str">
        <f aca="false">IF(OR(C2116="",P2116=""),"",INDEX('CARNET DE SOUDURE'!$D$7:$D$3006,P2116)&amp;"")</f>
        <v>20</v>
      </c>
      <c r="E2116" s="114" t="n">
        <f aca="false">IF(OR(C2116="",P2116=""),"",IF(INDEX('CARNET DE SOUDURE'!$U$7:$U$3006,P2116)="","",INDEX('CARNET DE SOUDURE'!$U$7:$U$3006,P2116)))</f>
        <v>46264</v>
      </c>
      <c r="F2116" s="82" t="str">
        <f aca="false">IF(OR(C2116="",P2116=""),"",INDEX('CARNET DE SOUDURE'!$AP$7:$AP$3006,P2116))</f>
        <v>A</v>
      </c>
      <c r="G2116" s="82" t="str">
        <f aca="false">IF(C2116="","",IF(P2116="","NJ INCONNU",INDEX('CARNET DE SOUDURE'!$AQ$7:$AQ$3006,P2116)))</f>
        <v>ACCEPTÉ</v>
      </c>
      <c r="H2116" s="82" t="str">
        <f aca="false">IF(C2116="","",IF(G2116="ACCEPTÉ","OUI","NON"))</f>
        <v>OUI</v>
      </c>
      <c r="I2116" s="83"/>
      <c r="J2116" s="80"/>
      <c r="K2116" s="81"/>
      <c r="L2116" s="81"/>
      <c r="M2116" s="81"/>
      <c r="N2116" s="84" t="str">
        <f aca="false">IF(C2116="","",IF(P2116="","NJ INCONNU",IF(I2116="",IF(H2116="OUI","À ENROBER",IF(G2116="À SOUDER","NON SOUDÉ","EN ATTENTE RT")),IF(L2116="R","À REPRENDRE",IF(H2116&lt;&gt;"OUI","⚠ ENROBÉ AVANT ACCEPTATION RT","ENROBÉ")))))</f>
        <v>À ENROBER</v>
      </c>
      <c r="O2116" s="80"/>
      <c r="P2116" s="82" t="n">
        <f aca="false">IF(C2116="","",IFERROR(MATCH(Q2116,'CARNET DE SOUDURE'!$AW$7:$AW$3006,0),""))</f>
        <v>2110</v>
      </c>
      <c r="Q2116" s="82" t="str">
        <f aca="false">IF(C2116="","",B2116&amp;"|"&amp;C2116)</f>
        <v>MFD-ISW → MFD-CPF|JN°1632</v>
      </c>
    </row>
    <row r="2117" customFormat="false" ht="74.6" hidden="false" customHeight="false" outlineLevel="0" collapsed="false">
      <c r="A2117" s="82" t="n">
        <f aca="false">IF(C2117="","",ROW()-6)</f>
        <v>2111</v>
      </c>
      <c r="B2117" s="80" t="s">
        <v>110</v>
      </c>
      <c r="C2117" s="113" t="s">
        <v>2572</v>
      </c>
      <c r="D2117" s="82" t="str">
        <f aca="false">IF(OR(C2117="",P2117=""),"",INDEX('CARNET DE SOUDURE'!$D$7:$D$3006,P2117)&amp;"")</f>
        <v>20</v>
      </c>
      <c r="E2117" s="114" t="n">
        <f aca="false">IF(OR(C2117="",P2117=""),"",IF(INDEX('CARNET DE SOUDURE'!$U$7:$U$3006,P2117)="","",INDEX('CARNET DE SOUDURE'!$U$7:$U$3006,P2117)))</f>
        <v>46264</v>
      </c>
      <c r="F2117" s="82" t="str">
        <f aca="false">IF(OR(C2117="",P2117=""),"",INDEX('CARNET DE SOUDURE'!$AP$7:$AP$3006,P2117))</f>
        <v>A</v>
      </c>
      <c r="G2117" s="82" t="str">
        <f aca="false">IF(C2117="","",IF(P2117="","NJ INCONNU",INDEX('CARNET DE SOUDURE'!$AQ$7:$AQ$3006,P2117)))</f>
        <v>ACCEPTÉ</v>
      </c>
      <c r="H2117" s="82" t="str">
        <f aca="false">IF(C2117="","",IF(G2117="ACCEPTÉ","OUI","NON"))</f>
        <v>OUI</v>
      </c>
      <c r="I2117" s="83"/>
      <c r="J2117" s="80"/>
      <c r="K2117" s="81"/>
      <c r="L2117" s="81"/>
      <c r="M2117" s="81"/>
      <c r="N2117" s="84" t="str">
        <f aca="false">IF(C2117="","",IF(P2117="","NJ INCONNU",IF(I2117="",IF(H2117="OUI","À ENROBER",IF(G2117="À SOUDER","NON SOUDÉ","EN ATTENTE RT")),IF(L2117="R","À REPRENDRE",IF(H2117&lt;&gt;"OUI","⚠ ENROBÉ AVANT ACCEPTATION RT","ENROBÉ")))))</f>
        <v>À ENROBER</v>
      </c>
      <c r="O2117" s="80"/>
      <c r="P2117" s="82" t="n">
        <f aca="false">IF(C2117="","",IFERROR(MATCH(Q2117,'CARNET DE SOUDURE'!$AW$7:$AW$3006,0),""))</f>
        <v>2111</v>
      </c>
      <c r="Q2117" s="82" t="str">
        <f aca="false">IF(C2117="","",B2117&amp;"|"&amp;C2117)</f>
        <v>MFD-ISW → MFD-CPF|JN°1633</v>
      </c>
    </row>
    <row r="2118" customFormat="false" ht="74.6" hidden="false" customHeight="false" outlineLevel="0" collapsed="false">
      <c r="A2118" s="82" t="n">
        <f aca="false">IF(C2118="","",ROW()-6)</f>
        <v>2112</v>
      </c>
      <c r="B2118" s="80" t="s">
        <v>110</v>
      </c>
      <c r="C2118" s="113" t="s">
        <v>2573</v>
      </c>
      <c r="D2118" s="82" t="str">
        <f aca="false">IF(OR(C2118="",P2118=""),"",INDEX('CARNET DE SOUDURE'!$D$7:$D$3006,P2118)&amp;"")</f>
        <v>20</v>
      </c>
      <c r="E2118" s="114" t="n">
        <f aca="false">IF(OR(C2118="",P2118=""),"",IF(INDEX('CARNET DE SOUDURE'!$U$7:$U$3006,P2118)="","",INDEX('CARNET DE SOUDURE'!$U$7:$U$3006,P2118)))</f>
        <v>46264</v>
      </c>
      <c r="F2118" s="82" t="str">
        <f aca="false">IF(OR(C2118="",P2118=""),"",INDEX('CARNET DE SOUDURE'!$AP$7:$AP$3006,P2118))</f>
        <v>A</v>
      </c>
      <c r="G2118" s="82" t="str">
        <f aca="false">IF(C2118="","",IF(P2118="","NJ INCONNU",INDEX('CARNET DE SOUDURE'!$AQ$7:$AQ$3006,P2118)))</f>
        <v>ACCEPTÉ</v>
      </c>
      <c r="H2118" s="82" t="str">
        <f aca="false">IF(C2118="","",IF(G2118="ACCEPTÉ","OUI","NON"))</f>
        <v>OUI</v>
      </c>
      <c r="I2118" s="83"/>
      <c r="J2118" s="80"/>
      <c r="K2118" s="81"/>
      <c r="L2118" s="81"/>
      <c r="M2118" s="81"/>
      <c r="N2118" s="84" t="str">
        <f aca="false">IF(C2118="","",IF(P2118="","NJ INCONNU",IF(I2118="",IF(H2118="OUI","À ENROBER",IF(G2118="À SOUDER","NON SOUDÉ","EN ATTENTE RT")),IF(L2118="R","À REPRENDRE",IF(H2118&lt;&gt;"OUI","⚠ ENROBÉ AVANT ACCEPTATION RT","ENROBÉ")))))</f>
        <v>À ENROBER</v>
      </c>
      <c r="O2118" s="80"/>
      <c r="P2118" s="82" t="n">
        <f aca="false">IF(C2118="","",IFERROR(MATCH(Q2118,'CARNET DE SOUDURE'!$AW$7:$AW$3006,0),""))</f>
        <v>2112</v>
      </c>
      <c r="Q2118" s="82" t="str">
        <f aca="false">IF(C2118="","",B2118&amp;"|"&amp;C2118)</f>
        <v>MFD-ISW → MFD-CPF|JN°1634</v>
      </c>
    </row>
    <row r="2119" customFormat="false" ht="74.6" hidden="false" customHeight="false" outlineLevel="0" collapsed="false">
      <c r="A2119" s="82" t="n">
        <f aca="false">IF(C2119="","",ROW()-6)</f>
        <v>2113</v>
      </c>
      <c r="B2119" s="80" t="s">
        <v>110</v>
      </c>
      <c r="C2119" s="113" t="s">
        <v>2574</v>
      </c>
      <c r="D2119" s="82" t="str">
        <f aca="false">IF(OR(C2119="",P2119=""),"",INDEX('CARNET DE SOUDURE'!$D$7:$D$3006,P2119)&amp;"")</f>
        <v>20</v>
      </c>
      <c r="E2119" s="114" t="n">
        <f aca="false">IF(OR(C2119="",P2119=""),"",IF(INDEX('CARNET DE SOUDURE'!$U$7:$U$3006,P2119)="","",INDEX('CARNET DE SOUDURE'!$U$7:$U$3006,P2119)))</f>
        <v>46264</v>
      </c>
      <c r="F2119" s="82" t="str">
        <f aca="false">IF(OR(C2119="",P2119=""),"",INDEX('CARNET DE SOUDURE'!$AP$7:$AP$3006,P2119))</f>
        <v>A</v>
      </c>
      <c r="G2119" s="82" t="str">
        <f aca="false">IF(C2119="","",IF(P2119="","NJ INCONNU",INDEX('CARNET DE SOUDURE'!$AQ$7:$AQ$3006,P2119)))</f>
        <v>ACCEPTÉ</v>
      </c>
      <c r="H2119" s="82" t="str">
        <f aca="false">IF(C2119="","",IF(G2119="ACCEPTÉ","OUI","NON"))</f>
        <v>OUI</v>
      </c>
      <c r="I2119" s="83"/>
      <c r="J2119" s="80"/>
      <c r="K2119" s="81"/>
      <c r="L2119" s="81"/>
      <c r="M2119" s="81"/>
      <c r="N2119" s="84" t="str">
        <f aca="false">IF(C2119="","",IF(P2119="","NJ INCONNU",IF(I2119="",IF(H2119="OUI","À ENROBER",IF(G2119="À SOUDER","NON SOUDÉ","EN ATTENTE RT")),IF(L2119="R","À REPRENDRE",IF(H2119&lt;&gt;"OUI","⚠ ENROBÉ AVANT ACCEPTATION RT","ENROBÉ")))))</f>
        <v>À ENROBER</v>
      </c>
      <c r="O2119" s="80"/>
      <c r="P2119" s="82" t="n">
        <f aca="false">IF(C2119="","",IFERROR(MATCH(Q2119,'CARNET DE SOUDURE'!$AW$7:$AW$3006,0),""))</f>
        <v>2113</v>
      </c>
      <c r="Q2119" s="82" t="str">
        <f aca="false">IF(C2119="","",B2119&amp;"|"&amp;C2119)</f>
        <v>MFD-ISW → MFD-CPF|JN°1635</v>
      </c>
    </row>
    <row r="2120" customFormat="false" ht="74.6" hidden="false" customHeight="false" outlineLevel="0" collapsed="false">
      <c r="A2120" s="82" t="n">
        <f aca="false">IF(C2120="","",ROW()-6)</f>
        <v>2114</v>
      </c>
      <c r="B2120" s="80" t="s">
        <v>110</v>
      </c>
      <c r="C2120" s="113" t="s">
        <v>2575</v>
      </c>
      <c r="D2120" s="82" t="str">
        <f aca="false">IF(OR(C2120="",P2120=""),"",INDEX('CARNET DE SOUDURE'!$D$7:$D$3006,P2120)&amp;"")</f>
        <v>20</v>
      </c>
      <c r="E2120" s="114" t="n">
        <f aca="false">IF(OR(C2120="",P2120=""),"",IF(INDEX('CARNET DE SOUDURE'!$U$7:$U$3006,P2120)="","",INDEX('CARNET DE SOUDURE'!$U$7:$U$3006,P2120)))</f>
        <v>46285</v>
      </c>
      <c r="F2120" s="82" t="str">
        <f aca="false">IF(OR(C2120="",P2120=""),"",INDEX('CARNET DE SOUDURE'!$AP$7:$AP$3006,P2120))</f>
        <v>A</v>
      </c>
      <c r="G2120" s="82" t="str">
        <f aca="false">IF(C2120="","",IF(P2120="","NJ INCONNU",INDEX('CARNET DE SOUDURE'!$AQ$7:$AQ$3006,P2120)))</f>
        <v>ACCEPTÉ</v>
      </c>
      <c r="H2120" s="82" t="str">
        <f aca="false">IF(C2120="","",IF(G2120="ACCEPTÉ","OUI","NON"))</f>
        <v>OUI</v>
      </c>
      <c r="I2120" s="83"/>
      <c r="J2120" s="80"/>
      <c r="K2120" s="81"/>
      <c r="L2120" s="81"/>
      <c r="M2120" s="81"/>
      <c r="N2120" s="84" t="str">
        <f aca="false">IF(C2120="","",IF(P2120="","NJ INCONNU",IF(I2120="",IF(H2120="OUI","À ENROBER",IF(G2120="À SOUDER","NON SOUDÉ","EN ATTENTE RT")),IF(L2120="R","À REPRENDRE",IF(H2120&lt;&gt;"OUI","⚠ ENROBÉ AVANT ACCEPTATION RT","ENROBÉ")))))</f>
        <v>À ENROBER</v>
      </c>
      <c r="O2120" s="80"/>
      <c r="P2120" s="82" t="n">
        <f aca="false">IF(C2120="","",IFERROR(MATCH(Q2120,'CARNET DE SOUDURE'!$AW$7:$AW$3006,0),""))</f>
        <v>2114</v>
      </c>
      <c r="Q2120" s="82" t="str">
        <f aca="false">IF(C2120="","",B2120&amp;"|"&amp;C2120)</f>
        <v>MFD-ISW → MFD-CPF|JN°1636R</v>
      </c>
    </row>
    <row r="2121" customFormat="false" ht="74.6" hidden="false" customHeight="false" outlineLevel="0" collapsed="false">
      <c r="A2121" s="82" t="n">
        <f aca="false">IF(C2121="","",ROW()-6)</f>
        <v>2115</v>
      </c>
      <c r="B2121" s="80" t="s">
        <v>110</v>
      </c>
      <c r="C2121" s="113" t="s">
        <v>2576</v>
      </c>
      <c r="D2121" s="82" t="str">
        <f aca="false">IF(OR(C2121="",P2121=""),"",INDEX('CARNET DE SOUDURE'!$D$7:$D$3006,P2121)&amp;"")</f>
        <v>20</v>
      </c>
      <c r="E2121" s="114" t="n">
        <f aca="false">IF(OR(C2121="",P2121=""),"",IF(INDEX('CARNET DE SOUDURE'!$U$7:$U$3006,P2121)="","",INDEX('CARNET DE SOUDURE'!$U$7:$U$3006,P2121)))</f>
        <v>46285</v>
      </c>
      <c r="F2121" s="82" t="str">
        <f aca="false">IF(OR(C2121="",P2121=""),"",INDEX('CARNET DE SOUDURE'!$AP$7:$AP$3006,P2121))</f>
        <v>A</v>
      </c>
      <c r="G2121" s="82" t="str">
        <f aca="false">IF(C2121="","",IF(P2121="","NJ INCONNU",INDEX('CARNET DE SOUDURE'!$AQ$7:$AQ$3006,P2121)))</f>
        <v>ACCEPTÉ</v>
      </c>
      <c r="H2121" s="82" t="str">
        <f aca="false">IF(C2121="","",IF(G2121="ACCEPTÉ","OUI","NON"))</f>
        <v>OUI</v>
      </c>
      <c r="I2121" s="83"/>
      <c r="J2121" s="80"/>
      <c r="K2121" s="81"/>
      <c r="L2121" s="81"/>
      <c r="M2121" s="81"/>
      <c r="N2121" s="84" t="str">
        <f aca="false">IF(C2121="","",IF(P2121="","NJ INCONNU",IF(I2121="",IF(H2121="OUI","À ENROBER",IF(G2121="À SOUDER","NON SOUDÉ","EN ATTENTE RT")),IF(L2121="R","À REPRENDRE",IF(H2121&lt;&gt;"OUI","⚠ ENROBÉ AVANT ACCEPTATION RT","ENROBÉ")))))</f>
        <v>À ENROBER</v>
      </c>
      <c r="O2121" s="80"/>
      <c r="P2121" s="82" t="n">
        <f aca="false">IF(C2121="","",IFERROR(MATCH(Q2121,'CARNET DE SOUDURE'!$AW$7:$AW$3006,0),""))</f>
        <v>2115</v>
      </c>
      <c r="Q2121" s="82" t="str">
        <f aca="false">IF(C2121="","",B2121&amp;"|"&amp;C2121)</f>
        <v>MFD-ISW → MFD-CPF|JN°1637R</v>
      </c>
    </row>
    <row r="2122" customFormat="false" ht="74.6" hidden="false" customHeight="false" outlineLevel="0" collapsed="false">
      <c r="A2122" s="82" t="n">
        <f aca="false">IF(C2122="","",ROW()-6)</f>
        <v>2116</v>
      </c>
      <c r="B2122" s="80" t="s">
        <v>110</v>
      </c>
      <c r="C2122" s="113" t="s">
        <v>2577</v>
      </c>
      <c r="D2122" s="82" t="str">
        <f aca="false">IF(OR(C2122="",P2122=""),"",INDEX('CARNET DE SOUDURE'!$D$7:$D$3006,P2122)&amp;"")</f>
        <v>20</v>
      </c>
      <c r="E2122" s="114" t="n">
        <f aca="false">IF(OR(C2122="",P2122=""),"",IF(INDEX('CARNET DE SOUDURE'!$U$7:$U$3006,P2122)="","",INDEX('CARNET DE SOUDURE'!$U$7:$U$3006,P2122)))</f>
        <v>46264</v>
      </c>
      <c r="F2122" s="82" t="str">
        <f aca="false">IF(OR(C2122="",P2122=""),"",INDEX('CARNET DE SOUDURE'!$AP$7:$AP$3006,P2122))</f>
        <v>A</v>
      </c>
      <c r="G2122" s="82" t="str">
        <f aca="false">IF(C2122="","",IF(P2122="","NJ INCONNU",INDEX('CARNET DE SOUDURE'!$AQ$7:$AQ$3006,P2122)))</f>
        <v>ACCEPTÉ</v>
      </c>
      <c r="H2122" s="82" t="str">
        <f aca="false">IF(C2122="","",IF(G2122="ACCEPTÉ","OUI","NON"))</f>
        <v>OUI</v>
      </c>
      <c r="I2122" s="83"/>
      <c r="J2122" s="80"/>
      <c r="K2122" s="81"/>
      <c r="L2122" s="81"/>
      <c r="M2122" s="81"/>
      <c r="N2122" s="84" t="str">
        <f aca="false">IF(C2122="","",IF(P2122="","NJ INCONNU",IF(I2122="",IF(H2122="OUI","À ENROBER",IF(G2122="À SOUDER","NON SOUDÉ","EN ATTENTE RT")),IF(L2122="R","À REPRENDRE",IF(H2122&lt;&gt;"OUI","⚠ ENROBÉ AVANT ACCEPTATION RT","ENROBÉ")))))</f>
        <v>À ENROBER</v>
      </c>
      <c r="O2122" s="80"/>
      <c r="P2122" s="82" t="n">
        <f aca="false">IF(C2122="","",IFERROR(MATCH(Q2122,'CARNET DE SOUDURE'!$AW$7:$AW$3006,0),""))</f>
        <v>2116</v>
      </c>
      <c r="Q2122" s="82" t="str">
        <f aca="false">IF(C2122="","",B2122&amp;"|"&amp;C2122)</f>
        <v>MFD-ISW → MFD-CPF|JN°1638</v>
      </c>
    </row>
    <row r="2123" customFormat="false" ht="74.6" hidden="false" customHeight="false" outlineLevel="0" collapsed="false">
      <c r="A2123" s="82" t="n">
        <f aca="false">IF(C2123="","",ROW()-6)</f>
        <v>2117</v>
      </c>
      <c r="B2123" s="80" t="s">
        <v>110</v>
      </c>
      <c r="C2123" s="113" t="s">
        <v>2579</v>
      </c>
      <c r="D2123" s="82" t="str">
        <f aca="false">IF(OR(C2123="",P2123=""),"",INDEX('CARNET DE SOUDURE'!$D$7:$D$3006,P2123)&amp;"")</f>
        <v>20</v>
      </c>
      <c r="E2123" s="114" t="n">
        <f aca="false">IF(OR(C2123="",P2123=""),"",IF(INDEX('CARNET DE SOUDURE'!$U$7:$U$3006,P2123)="","",INDEX('CARNET DE SOUDURE'!$U$7:$U$3006,P2123)))</f>
        <v>46264</v>
      </c>
      <c r="F2123" s="82" t="str">
        <f aca="false">IF(OR(C2123="",P2123=""),"",INDEX('CARNET DE SOUDURE'!$AP$7:$AP$3006,P2123))</f>
        <v>A</v>
      </c>
      <c r="G2123" s="82" t="str">
        <f aca="false">IF(C2123="","",IF(P2123="","NJ INCONNU",INDEX('CARNET DE SOUDURE'!$AQ$7:$AQ$3006,P2123)))</f>
        <v>ACCEPTÉ</v>
      </c>
      <c r="H2123" s="82" t="str">
        <f aca="false">IF(C2123="","",IF(G2123="ACCEPTÉ","OUI","NON"))</f>
        <v>OUI</v>
      </c>
      <c r="I2123" s="83"/>
      <c r="J2123" s="80"/>
      <c r="K2123" s="81"/>
      <c r="L2123" s="81"/>
      <c r="M2123" s="81"/>
      <c r="N2123" s="84" t="str">
        <f aca="false">IF(C2123="","",IF(P2123="","NJ INCONNU",IF(I2123="",IF(H2123="OUI","À ENROBER",IF(G2123="À SOUDER","NON SOUDÉ","EN ATTENTE RT")),IF(L2123="R","À REPRENDRE",IF(H2123&lt;&gt;"OUI","⚠ ENROBÉ AVANT ACCEPTATION RT","ENROBÉ")))))</f>
        <v>À ENROBER</v>
      </c>
      <c r="O2123" s="80"/>
      <c r="P2123" s="82" t="n">
        <f aca="false">IF(C2123="","",IFERROR(MATCH(Q2123,'CARNET DE SOUDURE'!$AW$7:$AW$3006,0),""))</f>
        <v>2117</v>
      </c>
      <c r="Q2123" s="82" t="str">
        <f aca="false">IF(C2123="","",B2123&amp;"|"&amp;C2123)</f>
        <v>MFD-ISW → MFD-CPF|JN°1639</v>
      </c>
    </row>
    <row r="2124" customFormat="false" ht="74.6" hidden="false" customHeight="false" outlineLevel="0" collapsed="false">
      <c r="A2124" s="82" t="n">
        <f aca="false">IF(C2124="","",ROW()-6)</f>
        <v>2118</v>
      </c>
      <c r="B2124" s="80" t="s">
        <v>110</v>
      </c>
      <c r="C2124" s="113" t="s">
        <v>2580</v>
      </c>
      <c r="D2124" s="82" t="str">
        <f aca="false">IF(OR(C2124="",P2124=""),"",INDEX('CARNET DE SOUDURE'!$D$7:$D$3006,P2124)&amp;"")</f>
        <v>20</v>
      </c>
      <c r="E2124" s="114" t="n">
        <f aca="false">IF(OR(C2124="",P2124=""),"",IF(INDEX('CARNET DE SOUDURE'!$U$7:$U$3006,P2124)="","",INDEX('CARNET DE SOUDURE'!$U$7:$U$3006,P2124)))</f>
        <v>46264</v>
      </c>
      <c r="F2124" s="82" t="str">
        <f aca="false">IF(OR(C2124="",P2124=""),"",INDEX('CARNET DE SOUDURE'!$AP$7:$AP$3006,P2124))</f>
        <v>A</v>
      </c>
      <c r="G2124" s="82" t="str">
        <f aca="false">IF(C2124="","",IF(P2124="","NJ INCONNU",INDEX('CARNET DE SOUDURE'!$AQ$7:$AQ$3006,P2124)))</f>
        <v>ACCEPTÉ</v>
      </c>
      <c r="H2124" s="82" t="str">
        <f aca="false">IF(C2124="","",IF(G2124="ACCEPTÉ","OUI","NON"))</f>
        <v>OUI</v>
      </c>
      <c r="I2124" s="83"/>
      <c r="J2124" s="80"/>
      <c r="K2124" s="81"/>
      <c r="L2124" s="81"/>
      <c r="M2124" s="81"/>
      <c r="N2124" s="84" t="str">
        <f aca="false">IF(C2124="","",IF(P2124="","NJ INCONNU",IF(I2124="",IF(H2124="OUI","À ENROBER",IF(G2124="À SOUDER","NON SOUDÉ","EN ATTENTE RT")),IF(L2124="R","À REPRENDRE",IF(H2124&lt;&gt;"OUI","⚠ ENROBÉ AVANT ACCEPTATION RT","ENROBÉ")))))</f>
        <v>À ENROBER</v>
      </c>
      <c r="O2124" s="80"/>
      <c r="P2124" s="82" t="n">
        <f aca="false">IF(C2124="","",IFERROR(MATCH(Q2124,'CARNET DE SOUDURE'!$AW$7:$AW$3006,0),""))</f>
        <v>2118</v>
      </c>
      <c r="Q2124" s="82" t="str">
        <f aca="false">IF(C2124="","",B2124&amp;"|"&amp;C2124)</f>
        <v>MFD-ISW → MFD-CPF|JN°1640</v>
      </c>
    </row>
    <row r="2125" customFormat="false" ht="74.6" hidden="false" customHeight="false" outlineLevel="0" collapsed="false">
      <c r="A2125" s="82" t="n">
        <f aca="false">IF(C2125="","",ROW()-6)</f>
        <v>2119</v>
      </c>
      <c r="B2125" s="80" t="s">
        <v>110</v>
      </c>
      <c r="C2125" s="113" t="s">
        <v>2581</v>
      </c>
      <c r="D2125" s="82" t="str">
        <f aca="false">IF(OR(C2125="",P2125=""),"",INDEX('CARNET DE SOUDURE'!$D$7:$D$3006,P2125)&amp;"")</f>
        <v>20</v>
      </c>
      <c r="E2125" s="114" t="n">
        <f aca="false">IF(OR(C2125="",P2125=""),"",IF(INDEX('CARNET DE SOUDURE'!$U$7:$U$3006,P2125)="","",INDEX('CARNET DE SOUDURE'!$U$7:$U$3006,P2125)))</f>
        <v>46264</v>
      </c>
      <c r="F2125" s="82" t="str">
        <f aca="false">IF(OR(C2125="",P2125=""),"",INDEX('CARNET DE SOUDURE'!$AP$7:$AP$3006,P2125))</f>
        <v>A</v>
      </c>
      <c r="G2125" s="82" t="str">
        <f aca="false">IF(C2125="","",IF(P2125="","NJ INCONNU",INDEX('CARNET DE SOUDURE'!$AQ$7:$AQ$3006,P2125)))</f>
        <v>ACCEPTÉ</v>
      </c>
      <c r="H2125" s="82" t="str">
        <f aca="false">IF(C2125="","",IF(G2125="ACCEPTÉ","OUI","NON"))</f>
        <v>OUI</v>
      </c>
      <c r="I2125" s="83"/>
      <c r="J2125" s="80"/>
      <c r="K2125" s="81"/>
      <c r="L2125" s="81"/>
      <c r="M2125" s="81"/>
      <c r="N2125" s="84" t="str">
        <f aca="false">IF(C2125="","",IF(P2125="","NJ INCONNU",IF(I2125="",IF(H2125="OUI","À ENROBER",IF(G2125="À SOUDER","NON SOUDÉ","EN ATTENTE RT")),IF(L2125="R","À REPRENDRE",IF(H2125&lt;&gt;"OUI","⚠ ENROBÉ AVANT ACCEPTATION RT","ENROBÉ")))))</f>
        <v>À ENROBER</v>
      </c>
      <c r="O2125" s="80"/>
      <c r="P2125" s="82" t="n">
        <f aca="false">IF(C2125="","",IFERROR(MATCH(Q2125,'CARNET DE SOUDURE'!$AW$7:$AW$3006,0),""))</f>
        <v>2119</v>
      </c>
      <c r="Q2125" s="82" t="str">
        <f aca="false">IF(C2125="","",B2125&amp;"|"&amp;C2125)</f>
        <v>MFD-ISW → MFD-CPF|JN°1641</v>
      </c>
    </row>
    <row r="2126" customFormat="false" ht="74.6" hidden="false" customHeight="false" outlineLevel="0" collapsed="false">
      <c r="A2126" s="82" t="n">
        <f aca="false">IF(C2126="","",ROW()-6)</f>
        <v>2120</v>
      </c>
      <c r="B2126" s="80" t="s">
        <v>110</v>
      </c>
      <c r="C2126" s="113" t="s">
        <v>2582</v>
      </c>
      <c r="D2126" s="82" t="str">
        <f aca="false">IF(OR(C2126="",P2126=""),"",INDEX('CARNET DE SOUDURE'!$D$7:$D$3006,P2126)&amp;"")</f>
        <v>20</v>
      </c>
      <c r="E2126" s="114" t="n">
        <f aca="false">IF(OR(C2126="",P2126=""),"",IF(INDEX('CARNET DE SOUDURE'!$U$7:$U$3006,P2126)="","",INDEX('CARNET DE SOUDURE'!$U$7:$U$3006,P2126)))</f>
        <v>46264</v>
      </c>
      <c r="F2126" s="82" t="str">
        <f aca="false">IF(OR(C2126="",P2126=""),"",INDEX('CARNET DE SOUDURE'!$AP$7:$AP$3006,P2126))</f>
        <v>A</v>
      </c>
      <c r="G2126" s="82" t="str">
        <f aca="false">IF(C2126="","",IF(P2126="","NJ INCONNU",INDEX('CARNET DE SOUDURE'!$AQ$7:$AQ$3006,P2126)))</f>
        <v>ACCEPTÉ</v>
      </c>
      <c r="H2126" s="82" t="str">
        <f aca="false">IF(C2126="","",IF(G2126="ACCEPTÉ","OUI","NON"))</f>
        <v>OUI</v>
      </c>
      <c r="I2126" s="83"/>
      <c r="J2126" s="80"/>
      <c r="K2126" s="81"/>
      <c r="L2126" s="81"/>
      <c r="M2126" s="81"/>
      <c r="N2126" s="84" t="str">
        <f aca="false">IF(C2126="","",IF(P2126="","NJ INCONNU",IF(I2126="",IF(H2126="OUI","À ENROBER",IF(G2126="À SOUDER","NON SOUDÉ","EN ATTENTE RT")),IF(L2126="R","À REPRENDRE",IF(H2126&lt;&gt;"OUI","⚠ ENROBÉ AVANT ACCEPTATION RT","ENROBÉ")))))</f>
        <v>À ENROBER</v>
      </c>
      <c r="O2126" s="80"/>
      <c r="P2126" s="82" t="n">
        <f aca="false">IF(C2126="","",IFERROR(MATCH(Q2126,'CARNET DE SOUDURE'!$AW$7:$AW$3006,0),""))</f>
        <v>2120</v>
      </c>
      <c r="Q2126" s="82" t="str">
        <f aca="false">IF(C2126="","",B2126&amp;"|"&amp;C2126)</f>
        <v>MFD-ISW → MFD-CPF|JN°1642</v>
      </c>
    </row>
    <row r="2127" customFormat="false" ht="74.6" hidden="false" customHeight="false" outlineLevel="0" collapsed="false">
      <c r="A2127" s="82" t="n">
        <f aca="false">IF(C2127="","",ROW()-6)</f>
        <v>2121</v>
      </c>
      <c r="B2127" s="80" t="s">
        <v>110</v>
      </c>
      <c r="C2127" s="113" t="s">
        <v>2583</v>
      </c>
      <c r="D2127" s="82" t="str">
        <f aca="false">IF(OR(C2127="",P2127=""),"",INDEX('CARNET DE SOUDURE'!$D$7:$D$3006,P2127)&amp;"")</f>
        <v>20</v>
      </c>
      <c r="E2127" s="114" t="n">
        <f aca="false">IF(OR(C2127="",P2127=""),"",IF(INDEX('CARNET DE SOUDURE'!$U$7:$U$3006,P2127)="","",INDEX('CARNET DE SOUDURE'!$U$7:$U$3006,P2127)))</f>
        <v>46264</v>
      </c>
      <c r="F2127" s="82" t="str">
        <f aca="false">IF(OR(C2127="",P2127=""),"",INDEX('CARNET DE SOUDURE'!$AP$7:$AP$3006,P2127))</f>
        <v>A</v>
      </c>
      <c r="G2127" s="82" t="str">
        <f aca="false">IF(C2127="","",IF(P2127="","NJ INCONNU",INDEX('CARNET DE SOUDURE'!$AQ$7:$AQ$3006,P2127)))</f>
        <v>ACCEPTÉ</v>
      </c>
      <c r="H2127" s="82" t="str">
        <f aca="false">IF(C2127="","",IF(G2127="ACCEPTÉ","OUI","NON"))</f>
        <v>OUI</v>
      </c>
      <c r="I2127" s="83"/>
      <c r="J2127" s="80"/>
      <c r="K2127" s="81"/>
      <c r="L2127" s="81"/>
      <c r="M2127" s="81"/>
      <c r="N2127" s="84" t="str">
        <f aca="false">IF(C2127="","",IF(P2127="","NJ INCONNU",IF(I2127="",IF(H2127="OUI","À ENROBER",IF(G2127="À SOUDER","NON SOUDÉ","EN ATTENTE RT")),IF(L2127="R","À REPRENDRE",IF(H2127&lt;&gt;"OUI","⚠ ENROBÉ AVANT ACCEPTATION RT","ENROBÉ")))))</f>
        <v>À ENROBER</v>
      </c>
      <c r="O2127" s="80"/>
      <c r="P2127" s="82" t="n">
        <f aca="false">IF(C2127="","",IFERROR(MATCH(Q2127,'CARNET DE SOUDURE'!$AW$7:$AW$3006,0),""))</f>
        <v>2121</v>
      </c>
      <c r="Q2127" s="82" t="str">
        <f aca="false">IF(C2127="","",B2127&amp;"|"&amp;C2127)</f>
        <v>MFD-ISW → MFD-CPF|JN°1643</v>
      </c>
    </row>
    <row r="2128" customFormat="false" ht="74.6" hidden="false" customHeight="false" outlineLevel="0" collapsed="false">
      <c r="A2128" s="82" t="n">
        <f aca="false">IF(C2128="","",ROW()-6)</f>
        <v>2122</v>
      </c>
      <c r="B2128" s="80" t="s">
        <v>110</v>
      </c>
      <c r="C2128" s="113" t="s">
        <v>2584</v>
      </c>
      <c r="D2128" s="82" t="str">
        <f aca="false">IF(OR(C2128="",P2128=""),"",INDEX('CARNET DE SOUDURE'!$D$7:$D$3006,P2128)&amp;"")</f>
        <v>20</v>
      </c>
      <c r="E2128" s="114" t="n">
        <f aca="false">IF(OR(C2128="",P2128=""),"",IF(INDEX('CARNET DE SOUDURE'!$U$7:$U$3006,P2128)="","",INDEX('CARNET DE SOUDURE'!$U$7:$U$3006,P2128)))</f>
        <v>46264</v>
      </c>
      <c r="F2128" s="82" t="str">
        <f aca="false">IF(OR(C2128="",P2128=""),"",INDEX('CARNET DE SOUDURE'!$AP$7:$AP$3006,P2128))</f>
        <v>A</v>
      </c>
      <c r="G2128" s="82" t="str">
        <f aca="false">IF(C2128="","",IF(P2128="","NJ INCONNU",INDEX('CARNET DE SOUDURE'!$AQ$7:$AQ$3006,P2128)))</f>
        <v>ACCEPTÉ</v>
      </c>
      <c r="H2128" s="82" t="str">
        <f aca="false">IF(C2128="","",IF(G2128="ACCEPTÉ","OUI","NON"))</f>
        <v>OUI</v>
      </c>
      <c r="I2128" s="83"/>
      <c r="J2128" s="80"/>
      <c r="K2128" s="81"/>
      <c r="L2128" s="81"/>
      <c r="M2128" s="81"/>
      <c r="N2128" s="84" t="str">
        <f aca="false">IF(C2128="","",IF(P2128="","NJ INCONNU",IF(I2128="",IF(H2128="OUI","À ENROBER",IF(G2128="À SOUDER","NON SOUDÉ","EN ATTENTE RT")),IF(L2128="R","À REPRENDRE",IF(H2128&lt;&gt;"OUI","⚠ ENROBÉ AVANT ACCEPTATION RT","ENROBÉ")))))</f>
        <v>À ENROBER</v>
      </c>
      <c r="O2128" s="80"/>
      <c r="P2128" s="82" t="n">
        <f aca="false">IF(C2128="","",IFERROR(MATCH(Q2128,'CARNET DE SOUDURE'!$AW$7:$AW$3006,0),""))</f>
        <v>2122</v>
      </c>
      <c r="Q2128" s="82" t="str">
        <f aca="false">IF(C2128="","",B2128&amp;"|"&amp;C2128)</f>
        <v>MFD-ISW → MFD-CPF|JN°1644</v>
      </c>
    </row>
    <row r="2129" customFormat="false" ht="74.6" hidden="false" customHeight="false" outlineLevel="0" collapsed="false">
      <c r="A2129" s="82" t="n">
        <f aca="false">IF(C2129="","",ROW()-6)</f>
        <v>2123</v>
      </c>
      <c r="B2129" s="80" t="s">
        <v>110</v>
      </c>
      <c r="C2129" s="113" t="s">
        <v>2585</v>
      </c>
      <c r="D2129" s="82" t="str">
        <f aca="false">IF(OR(C2129="",P2129=""),"",INDEX('CARNET DE SOUDURE'!$D$7:$D$3006,P2129)&amp;"")</f>
        <v>20</v>
      </c>
      <c r="E2129" s="114" t="n">
        <f aca="false">IF(OR(C2129="",P2129=""),"",IF(INDEX('CARNET DE SOUDURE'!$U$7:$U$3006,P2129)="","",INDEX('CARNET DE SOUDURE'!$U$7:$U$3006,P2129)))</f>
        <v>46264</v>
      </c>
      <c r="F2129" s="82" t="str">
        <f aca="false">IF(OR(C2129="",P2129=""),"",INDEX('CARNET DE SOUDURE'!$AP$7:$AP$3006,P2129))</f>
        <v>A</v>
      </c>
      <c r="G2129" s="82" t="str">
        <f aca="false">IF(C2129="","",IF(P2129="","NJ INCONNU",INDEX('CARNET DE SOUDURE'!$AQ$7:$AQ$3006,P2129)))</f>
        <v>ACCEPTÉ</v>
      </c>
      <c r="H2129" s="82" t="str">
        <f aca="false">IF(C2129="","",IF(G2129="ACCEPTÉ","OUI","NON"))</f>
        <v>OUI</v>
      </c>
      <c r="I2129" s="83"/>
      <c r="J2129" s="80"/>
      <c r="K2129" s="81"/>
      <c r="L2129" s="81"/>
      <c r="M2129" s="81"/>
      <c r="N2129" s="84" t="str">
        <f aca="false">IF(C2129="","",IF(P2129="","NJ INCONNU",IF(I2129="",IF(H2129="OUI","À ENROBER",IF(G2129="À SOUDER","NON SOUDÉ","EN ATTENTE RT")),IF(L2129="R","À REPRENDRE",IF(H2129&lt;&gt;"OUI","⚠ ENROBÉ AVANT ACCEPTATION RT","ENROBÉ")))))</f>
        <v>À ENROBER</v>
      </c>
      <c r="O2129" s="80"/>
      <c r="P2129" s="82" t="n">
        <f aca="false">IF(C2129="","",IFERROR(MATCH(Q2129,'CARNET DE SOUDURE'!$AW$7:$AW$3006,0),""))</f>
        <v>2123</v>
      </c>
      <c r="Q2129" s="82" t="str">
        <f aca="false">IF(C2129="","",B2129&amp;"|"&amp;C2129)</f>
        <v>MFD-ISW → MFD-CPF|JN°1645</v>
      </c>
    </row>
    <row r="2130" customFormat="false" ht="74.6" hidden="false" customHeight="false" outlineLevel="0" collapsed="false">
      <c r="A2130" s="82" t="n">
        <f aca="false">IF(C2130="","",ROW()-6)</f>
        <v>2124</v>
      </c>
      <c r="B2130" s="80" t="s">
        <v>110</v>
      </c>
      <c r="C2130" s="113" t="s">
        <v>2586</v>
      </c>
      <c r="D2130" s="82" t="str">
        <f aca="false">IF(OR(C2130="",P2130=""),"",INDEX('CARNET DE SOUDURE'!$D$7:$D$3006,P2130)&amp;"")</f>
        <v>20</v>
      </c>
      <c r="E2130" s="114" t="n">
        <f aca="false">IF(OR(C2130="",P2130=""),"",IF(INDEX('CARNET DE SOUDURE'!$U$7:$U$3006,P2130)="","",INDEX('CARNET DE SOUDURE'!$U$7:$U$3006,P2130)))</f>
        <v>46264</v>
      </c>
      <c r="F2130" s="82" t="str">
        <f aca="false">IF(OR(C2130="",P2130=""),"",INDEX('CARNET DE SOUDURE'!$AP$7:$AP$3006,P2130))</f>
        <v>A</v>
      </c>
      <c r="G2130" s="82" t="str">
        <f aca="false">IF(C2130="","",IF(P2130="","NJ INCONNU",INDEX('CARNET DE SOUDURE'!$AQ$7:$AQ$3006,P2130)))</f>
        <v>ACCEPTÉ</v>
      </c>
      <c r="H2130" s="82" t="str">
        <f aca="false">IF(C2130="","",IF(G2130="ACCEPTÉ","OUI","NON"))</f>
        <v>OUI</v>
      </c>
      <c r="I2130" s="83"/>
      <c r="J2130" s="80"/>
      <c r="K2130" s="81"/>
      <c r="L2130" s="81"/>
      <c r="M2130" s="81"/>
      <c r="N2130" s="84" t="str">
        <f aca="false">IF(C2130="","",IF(P2130="","NJ INCONNU",IF(I2130="",IF(H2130="OUI","À ENROBER",IF(G2130="À SOUDER","NON SOUDÉ","EN ATTENTE RT")),IF(L2130="R","À REPRENDRE",IF(H2130&lt;&gt;"OUI","⚠ ENROBÉ AVANT ACCEPTATION RT","ENROBÉ")))))</f>
        <v>À ENROBER</v>
      </c>
      <c r="O2130" s="80"/>
      <c r="P2130" s="82" t="n">
        <f aca="false">IF(C2130="","",IFERROR(MATCH(Q2130,'CARNET DE SOUDURE'!$AW$7:$AW$3006,0),""))</f>
        <v>2124</v>
      </c>
      <c r="Q2130" s="82" t="str">
        <f aca="false">IF(C2130="","",B2130&amp;"|"&amp;C2130)</f>
        <v>MFD-ISW → MFD-CPF|JN°1646</v>
      </c>
    </row>
    <row r="2131" customFormat="false" ht="74.6" hidden="false" customHeight="false" outlineLevel="0" collapsed="false">
      <c r="A2131" s="82" t="n">
        <f aca="false">IF(C2131="","",ROW()-6)</f>
        <v>2125</v>
      </c>
      <c r="B2131" s="80" t="s">
        <v>110</v>
      </c>
      <c r="C2131" s="113" t="s">
        <v>2587</v>
      </c>
      <c r="D2131" s="82" t="str">
        <f aca="false">IF(OR(C2131="",P2131=""),"",INDEX('CARNET DE SOUDURE'!$D$7:$D$3006,P2131)&amp;"")</f>
        <v>20</v>
      </c>
      <c r="E2131" s="114" t="n">
        <f aca="false">IF(OR(C2131="",P2131=""),"",IF(INDEX('CARNET DE SOUDURE'!$U$7:$U$3006,P2131)="","",INDEX('CARNET DE SOUDURE'!$U$7:$U$3006,P2131)))</f>
        <v>46264</v>
      </c>
      <c r="F2131" s="82" t="str">
        <f aca="false">IF(OR(C2131="",P2131=""),"",INDEX('CARNET DE SOUDURE'!$AP$7:$AP$3006,P2131))</f>
        <v>A</v>
      </c>
      <c r="G2131" s="82" t="str">
        <f aca="false">IF(C2131="","",IF(P2131="","NJ INCONNU",INDEX('CARNET DE SOUDURE'!$AQ$7:$AQ$3006,P2131)))</f>
        <v>ACCEPTÉ</v>
      </c>
      <c r="H2131" s="82" t="str">
        <f aca="false">IF(C2131="","",IF(G2131="ACCEPTÉ","OUI","NON"))</f>
        <v>OUI</v>
      </c>
      <c r="I2131" s="83"/>
      <c r="J2131" s="80"/>
      <c r="K2131" s="81"/>
      <c r="L2131" s="81"/>
      <c r="M2131" s="81"/>
      <c r="N2131" s="84" t="str">
        <f aca="false">IF(C2131="","",IF(P2131="","NJ INCONNU",IF(I2131="",IF(H2131="OUI","À ENROBER",IF(G2131="À SOUDER","NON SOUDÉ","EN ATTENTE RT")),IF(L2131="R","À REPRENDRE",IF(H2131&lt;&gt;"OUI","⚠ ENROBÉ AVANT ACCEPTATION RT","ENROBÉ")))))</f>
        <v>À ENROBER</v>
      </c>
      <c r="O2131" s="80"/>
      <c r="P2131" s="82" t="n">
        <f aca="false">IF(C2131="","",IFERROR(MATCH(Q2131,'CARNET DE SOUDURE'!$AW$7:$AW$3006,0),""))</f>
        <v>2125</v>
      </c>
      <c r="Q2131" s="82" t="str">
        <f aca="false">IF(C2131="","",B2131&amp;"|"&amp;C2131)</f>
        <v>MFD-ISW → MFD-CPF|JN°1647</v>
      </c>
    </row>
    <row r="2132" customFormat="false" ht="74.6" hidden="false" customHeight="false" outlineLevel="0" collapsed="false">
      <c r="A2132" s="82" t="n">
        <f aca="false">IF(C2132="","",ROW()-6)</f>
        <v>2126</v>
      </c>
      <c r="B2132" s="80" t="s">
        <v>110</v>
      </c>
      <c r="C2132" s="113" t="s">
        <v>2588</v>
      </c>
      <c r="D2132" s="82" t="str">
        <f aca="false">IF(OR(C2132="",P2132=""),"",INDEX('CARNET DE SOUDURE'!$D$7:$D$3006,P2132)&amp;"")</f>
        <v>20</v>
      </c>
      <c r="E2132" s="114" t="n">
        <f aca="false">IF(OR(C2132="",P2132=""),"",IF(INDEX('CARNET DE SOUDURE'!$U$7:$U$3006,P2132)="","",INDEX('CARNET DE SOUDURE'!$U$7:$U$3006,P2132)))</f>
        <v>46264</v>
      </c>
      <c r="F2132" s="82" t="str">
        <f aca="false">IF(OR(C2132="",P2132=""),"",INDEX('CARNET DE SOUDURE'!$AP$7:$AP$3006,P2132))</f>
        <v>A</v>
      </c>
      <c r="G2132" s="82" t="str">
        <f aca="false">IF(C2132="","",IF(P2132="","NJ INCONNU",INDEX('CARNET DE SOUDURE'!$AQ$7:$AQ$3006,P2132)))</f>
        <v>ACCEPTÉ</v>
      </c>
      <c r="H2132" s="82" t="str">
        <f aca="false">IF(C2132="","",IF(G2132="ACCEPTÉ","OUI","NON"))</f>
        <v>OUI</v>
      </c>
      <c r="I2132" s="83"/>
      <c r="J2132" s="80"/>
      <c r="K2132" s="81"/>
      <c r="L2132" s="81"/>
      <c r="M2132" s="81"/>
      <c r="N2132" s="84" t="str">
        <f aca="false">IF(C2132="","",IF(P2132="","NJ INCONNU",IF(I2132="",IF(H2132="OUI","À ENROBER",IF(G2132="À SOUDER","NON SOUDÉ","EN ATTENTE RT")),IF(L2132="R","À REPRENDRE",IF(H2132&lt;&gt;"OUI","⚠ ENROBÉ AVANT ACCEPTATION RT","ENROBÉ")))))</f>
        <v>À ENROBER</v>
      </c>
      <c r="O2132" s="80"/>
      <c r="P2132" s="82" t="n">
        <f aca="false">IF(C2132="","",IFERROR(MATCH(Q2132,'CARNET DE SOUDURE'!$AW$7:$AW$3006,0),""))</f>
        <v>2126</v>
      </c>
      <c r="Q2132" s="82" t="str">
        <f aca="false">IF(C2132="","",B2132&amp;"|"&amp;C2132)</f>
        <v>MFD-ISW → MFD-CPF|JN°1648</v>
      </c>
    </row>
    <row r="2133" customFormat="false" ht="74.6" hidden="false" customHeight="false" outlineLevel="0" collapsed="false">
      <c r="A2133" s="82" t="n">
        <f aca="false">IF(C2133="","",ROW()-6)</f>
        <v>2127</v>
      </c>
      <c r="B2133" s="80" t="s">
        <v>110</v>
      </c>
      <c r="C2133" s="113" t="s">
        <v>2590</v>
      </c>
      <c r="D2133" s="82" t="str">
        <f aca="false">IF(OR(C2133="",P2133=""),"",INDEX('CARNET DE SOUDURE'!$D$7:$D$3006,P2133)&amp;"")</f>
        <v>20</v>
      </c>
      <c r="E2133" s="114" t="n">
        <f aca="false">IF(OR(C2133="",P2133=""),"",IF(INDEX('CARNET DE SOUDURE'!$U$7:$U$3006,P2133)="","",INDEX('CARNET DE SOUDURE'!$U$7:$U$3006,P2133)))</f>
        <v>46264</v>
      </c>
      <c r="F2133" s="82" t="str">
        <f aca="false">IF(OR(C2133="",P2133=""),"",INDEX('CARNET DE SOUDURE'!$AP$7:$AP$3006,P2133))</f>
        <v>A</v>
      </c>
      <c r="G2133" s="82" t="str">
        <f aca="false">IF(C2133="","",IF(P2133="","NJ INCONNU",INDEX('CARNET DE SOUDURE'!$AQ$7:$AQ$3006,P2133)))</f>
        <v>ACCEPTÉ</v>
      </c>
      <c r="H2133" s="82" t="str">
        <f aca="false">IF(C2133="","",IF(G2133="ACCEPTÉ","OUI","NON"))</f>
        <v>OUI</v>
      </c>
      <c r="I2133" s="83"/>
      <c r="J2133" s="80"/>
      <c r="K2133" s="81"/>
      <c r="L2133" s="81"/>
      <c r="M2133" s="81"/>
      <c r="N2133" s="84" t="str">
        <f aca="false">IF(C2133="","",IF(P2133="","NJ INCONNU",IF(I2133="",IF(H2133="OUI","À ENROBER",IF(G2133="À SOUDER","NON SOUDÉ","EN ATTENTE RT")),IF(L2133="R","À REPRENDRE",IF(H2133&lt;&gt;"OUI","⚠ ENROBÉ AVANT ACCEPTATION RT","ENROBÉ")))))</f>
        <v>À ENROBER</v>
      </c>
      <c r="O2133" s="80"/>
      <c r="P2133" s="82" t="n">
        <f aca="false">IF(C2133="","",IFERROR(MATCH(Q2133,'CARNET DE SOUDURE'!$AW$7:$AW$3006,0),""))</f>
        <v>2127</v>
      </c>
      <c r="Q2133" s="82" t="str">
        <f aca="false">IF(C2133="","",B2133&amp;"|"&amp;C2133)</f>
        <v>MFD-ISW → MFD-CPF|JN°1649</v>
      </c>
    </row>
    <row r="2134" customFormat="false" ht="74.6" hidden="false" customHeight="false" outlineLevel="0" collapsed="false">
      <c r="A2134" s="82" t="n">
        <f aca="false">IF(C2134="","",ROW()-6)</f>
        <v>2128</v>
      </c>
      <c r="B2134" s="80" t="s">
        <v>110</v>
      </c>
      <c r="C2134" s="113" t="s">
        <v>2591</v>
      </c>
      <c r="D2134" s="82" t="str">
        <f aca="false">IF(OR(C2134="",P2134=""),"",INDEX('CARNET DE SOUDURE'!$D$7:$D$3006,P2134)&amp;"")</f>
        <v>20</v>
      </c>
      <c r="E2134" s="114" t="n">
        <f aca="false">IF(OR(C2134="",P2134=""),"",IF(INDEX('CARNET DE SOUDURE'!$U$7:$U$3006,P2134)="","",INDEX('CARNET DE SOUDURE'!$U$7:$U$3006,P2134)))</f>
        <v>46264</v>
      </c>
      <c r="F2134" s="82" t="str">
        <f aca="false">IF(OR(C2134="",P2134=""),"",INDEX('CARNET DE SOUDURE'!$AP$7:$AP$3006,P2134))</f>
        <v>A</v>
      </c>
      <c r="G2134" s="82" t="str">
        <f aca="false">IF(C2134="","",IF(P2134="","NJ INCONNU",INDEX('CARNET DE SOUDURE'!$AQ$7:$AQ$3006,P2134)))</f>
        <v>ACCEPTÉ</v>
      </c>
      <c r="H2134" s="82" t="str">
        <f aca="false">IF(C2134="","",IF(G2134="ACCEPTÉ","OUI","NON"))</f>
        <v>OUI</v>
      </c>
      <c r="I2134" s="83"/>
      <c r="J2134" s="80"/>
      <c r="K2134" s="81"/>
      <c r="L2134" s="81"/>
      <c r="M2134" s="81"/>
      <c r="N2134" s="84" t="str">
        <f aca="false">IF(C2134="","",IF(P2134="","NJ INCONNU",IF(I2134="",IF(H2134="OUI","À ENROBER",IF(G2134="À SOUDER","NON SOUDÉ","EN ATTENTE RT")),IF(L2134="R","À REPRENDRE",IF(H2134&lt;&gt;"OUI","⚠ ENROBÉ AVANT ACCEPTATION RT","ENROBÉ")))))</f>
        <v>À ENROBER</v>
      </c>
      <c r="O2134" s="80"/>
      <c r="P2134" s="82" t="n">
        <f aca="false">IF(C2134="","",IFERROR(MATCH(Q2134,'CARNET DE SOUDURE'!$AW$7:$AW$3006,0),""))</f>
        <v>2128</v>
      </c>
      <c r="Q2134" s="82" t="str">
        <f aca="false">IF(C2134="","",B2134&amp;"|"&amp;C2134)</f>
        <v>MFD-ISW → MFD-CPF|JN°1650</v>
      </c>
    </row>
    <row r="2135" customFormat="false" ht="74.6" hidden="false" customHeight="false" outlineLevel="0" collapsed="false">
      <c r="A2135" s="82" t="n">
        <f aca="false">IF(C2135="","",ROW()-6)</f>
        <v>2129</v>
      </c>
      <c r="B2135" s="80" t="s">
        <v>110</v>
      </c>
      <c r="C2135" s="113" t="s">
        <v>2592</v>
      </c>
      <c r="D2135" s="82" t="str">
        <f aca="false">IF(OR(C2135="",P2135=""),"",INDEX('CARNET DE SOUDURE'!$D$7:$D$3006,P2135)&amp;"")</f>
        <v>20</v>
      </c>
      <c r="E2135" s="114" t="n">
        <f aca="false">IF(OR(C2135="",P2135=""),"",IF(INDEX('CARNET DE SOUDURE'!$U$7:$U$3006,P2135)="","",INDEX('CARNET DE SOUDURE'!$U$7:$U$3006,P2135)))</f>
        <v>46264</v>
      </c>
      <c r="F2135" s="82" t="str">
        <f aca="false">IF(OR(C2135="",P2135=""),"",INDEX('CARNET DE SOUDURE'!$AP$7:$AP$3006,P2135))</f>
        <v>A</v>
      </c>
      <c r="G2135" s="82" t="str">
        <f aca="false">IF(C2135="","",IF(P2135="","NJ INCONNU",INDEX('CARNET DE SOUDURE'!$AQ$7:$AQ$3006,P2135)))</f>
        <v>ACCEPTÉ</v>
      </c>
      <c r="H2135" s="82" t="str">
        <f aca="false">IF(C2135="","",IF(G2135="ACCEPTÉ","OUI","NON"))</f>
        <v>OUI</v>
      </c>
      <c r="I2135" s="83"/>
      <c r="J2135" s="80"/>
      <c r="K2135" s="81"/>
      <c r="L2135" s="81"/>
      <c r="M2135" s="81"/>
      <c r="N2135" s="84" t="str">
        <f aca="false">IF(C2135="","",IF(P2135="","NJ INCONNU",IF(I2135="",IF(H2135="OUI","À ENROBER",IF(G2135="À SOUDER","NON SOUDÉ","EN ATTENTE RT")),IF(L2135="R","À REPRENDRE",IF(H2135&lt;&gt;"OUI","⚠ ENROBÉ AVANT ACCEPTATION RT","ENROBÉ")))))</f>
        <v>À ENROBER</v>
      </c>
      <c r="O2135" s="80"/>
      <c r="P2135" s="82" t="n">
        <f aca="false">IF(C2135="","",IFERROR(MATCH(Q2135,'CARNET DE SOUDURE'!$AW$7:$AW$3006,0),""))</f>
        <v>2129</v>
      </c>
      <c r="Q2135" s="82" t="str">
        <f aca="false">IF(C2135="","",B2135&amp;"|"&amp;C2135)</f>
        <v>MFD-ISW → MFD-CPF|JN°1651</v>
      </c>
    </row>
    <row r="2136" customFormat="false" ht="74.6" hidden="false" customHeight="false" outlineLevel="0" collapsed="false">
      <c r="A2136" s="82" t="n">
        <f aca="false">IF(C2136="","",ROW()-6)</f>
        <v>2130</v>
      </c>
      <c r="B2136" s="80" t="s">
        <v>110</v>
      </c>
      <c r="C2136" s="113" t="s">
        <v>2594</v>
      </c>
      <c r="D2136" s="82" t="str">
        <f aca="false">IF(OR(C2136="",P2136=""),"",INDEX('CARNET DE SOUDURE'!$D$7:$D$3006,P2136)&amp;"")</f>
        <v>20</v>
      </c>
      <c r="E2136" s="114" t="n">
        <f aca="false">IF(OR(C2136="",P2136=""),"",IF(INDEX('CARNET DE SOUDURE'!$U$7:$U$3006,P2136)="","",INDEX('CARNET DE SOUDURE'!$U$7:$U$3006,P2136)))</f>
        <v>46264</v>
      </c>
      <c r="F2136" s="82" t="str">
        <f aca="false">IF(OR(C2136="",P2136=""),"",INDEX('CARNET DE SOUDURE'!$AP$7:$AP$3006,P2136))</f>
        <v>A</v>
      </c>
      <c r="G2136" s="82" t="str">
        <f aca="false">IF(C2136="","",IF(P2136="","NJ INCONNU",INDEX('CARNET DE SOUDURE'!$AQ$7:$AQ$3006,P2136)))</f>
        <v>ACCEPTÉ</v>
      </c>
      <c r="H2136" s="82" t="str">
        <f aca="false">IF(C2136="","",IF(G2136="ACCEPTÉ","OUI","NON"))</f>
        <v>OUI</v>
      </c>
      <c r="I2136" s="83"/>
      <c r="J2136" s="80"/>
      <c r="K2136" s="81"/>
      <c r="L2136" s="81"/>
      <c r="M2136" s="81"/>
      <c r="N2136" s="84" t="str">
        <f aca="false">IF(C2136="","",IF(P2136="","NJ INCONNU",IF(I2136="",IF(H2136="OUI","À ENROBER",IF(G2136="À SOUDER","NON SOUDÉ","EN ATTENTE RT")),IF(L2136="R","À REPRENDRE",IF(H2136&lt;&gt;"OUI","⚠ ENROBÉ AVANT ACCEPTATION RT","ENROBÉ")))))</f>
        <v>À ENROBER</v>
      </c>
      <c r="O2136" s="80"/>
      <c r="P2136" s="82" t="n">
        <f aca="false">IF(C2136="","",IFERROR(MATCH(Q2136,'CARNET DE SOUDURE'!$AW$7:$AW$3006,0),""))</f>
        <v>2130</v>
      </c>
      <c r="Q2136" s="82" t="str">
        <f aca="false">IF(C2136="","",B2136&amp;"|"&amp;C2136)</f>
        <v>MFD-ISW → MFD-CPF|JN°1652</v>
      </c>
    </row>
    <row r="2137" customFormat="false" ht="74.6" hidden="false" customHeight="false" outlineLevel="0" collapsed="false">
      <c r="A2137" s="82" t="n">
        <f aca="false">IF(C2137="","",ROW()-6)</f>
        <v>2131</v>
      </c>
      <c r="B2137" s="80" t="s">
        <v>110</v>
      </c>
      <c r="C2137" s="113" t="s">
        <v>2595</v>
      </c>
      <c r="D2137" s="82" t="str">
        <f aca="false">IF(OR(C2137="",P2137=""),"",INDEX('CARNET DE SOUDURE'!$D$7:$D$3006,P2137)&amp;"")</f>
        <v>20</v>
      </c>
      <c r="E2137" s="114" t="n">
        <f aca="false">IF(OR(C2137="",P2137=""),"",IF(INDEX('CARNET DE SOUDURE'!$U$7:$U$3006,P2137)="","",INDEX('CARNET DE SOUDURE'!$U$7:$U$3006,P2137)))</f>
        <v>46264</v>
      </c>
      <c r="F2137" s="82" t="str">
        <f aca="false">IF(OR(C2137="",P2137=""),"",INDEX('CARNET DE SOUDURE'!$AP$7:$AP$3006,P2137))</f>
        <v>A</v>
      </c>
      <c r="G2137" s="82" t="str">
        <f aca="false">IF(C2137="","",IF(P2137="","NJ INCONNU",INDEX('CARNET DE SOUDURE'!$AQ$7:$AQ$3006,P2137)))</f>
        <v>ACCEPTÉ</v>
      </c>
      <c r="H2137" s="82" t="str">
        <f aca="false">IF(C2137="","",IF(G2137="ACCEPTÉ","OUI","NON"))</f>
        <v>OUI</v>
      </c>
      <c r="I2137" s="83"/>
      <c r="J2137" s="80"/>
      <c r="K2137" s="81"/>
      <c r="L2137" s="81"/>
      <c r="M2137" s="81"/>
      <c r="N2137" s="84" t="str">
        <f aca="false">IF(C2137="","",IF(P2137="","NJ INCONNU",IF(I2137="",IF(H2137="OUI","À ENROBER",IF(G2137="À SOUDER","NON SOUDÉ","EN ATTENTE RT")),IF(L2137="R","À REPRENDRE",IF(H2137&lt;&gt;"OUI","⚠ ENROBÉ AVANT ACCEPTATION RT","ENROBÉ")))))</f>
        <v>À ENROBER</v>
      </c>
      <c r="O2137" s="80"/>
      <c r="P2137" s="82" t="n">
        <f aca="false">IF(C2137="","",IFERROR(MATCH(Q2137,'CARNET DE SOUDURE'!$AW$7:$AW$3006,0),""))</f>
        <v>2131</v>
      </c>
      <c r="Q2137" s="82" t="str">
        <f aca="false">IF(C2137="","",B2137&amp;"|"&amp;C2137)</f>
        <v>MFD-ISW → MFD-CPF|JN°1653</v>
      </c>
    </row>
    <row r="2138" customFormat="false" ht="74.6" hidden="false" customHeight="false" outlineLevel="0" collapsed="false">
      <c r="A2138" s="82" t="n">
        <f aca="false">IF(C2138="","",ROW()-6)</f>
        <v>2132</v>
      </c>
      <c r="B2138" s="80" t="s">
        <v>110</v>
      </c>
      <c r="C2138" s="113" t="s">
        <v>2596</v>
      </c>
      <c r="D2138" s="82" t="str">
        <f aca="false">IF(OR(C2138="",P2138=""),"",INDEX('CARNET DE SOUDURE'!$D$7:$D$3006,P2138)&amp;"")</f>
        <v>20</v>
      </c>
      <c r="E2138" s="114" t="n">
        <f aca="false">IF(OR(C2138="",P2138=""),"",IF(INDEX('CARNET DE SOUDURE'!$U$7:$U$3006,P2138)="","",INDEX('CARNET DE SOUDURE'!$U$7:$U$3006,P2138)))</f>
        <v>46264</v>
      </c>
      <c r="F2138" s="82" t="str">
        <f aca="false">IF(OR(C2138="",P2138=""),"",INDEX('CARNET DE SOUDURE'!$AP$7:$AP$3006,P2138))</f>
        <v>A</v>
      </c>
      <c r="G2138" s="82" t="str">
        <f aca="false">IF(C2138="","",IF(P2138="","NJ INCONNU",INDEX('CARNET DE SOUDURE'!$AQ$7:$AQ$3006,P2138)))</f>
        <v>ACCEPTÉ</v>
      </c>
      <c r="H2138" s="82" t="str">
        <f aca="false">IF(C2138="","",IF(G2138="ACCEPTÉ","OUI","NON"))</f>
        <v>OUI</v>
      </c>
      <c r="I2138" s="83"/>
      <c r="J2138" s="80"/>
      <c r="K2138" s="81"/>
      <c r="L2138" s="81"/>
      <c r="M2138" s="81"/>
      <c r="N2138" s="84" t="str">
        <f aca="false">IF(C2138="","",IF(P2138="","NJ INCONNU",IF(I2138="",IF(H2138="OUI","À ENROBER",IF(G2138="À SOUDER","NON SOUDÉ","EN ATTENTE RT")),IF(L2138="R","À REPRENDRE",IF(H2138&lt;&gt;"OUI","⚠ ENROBÉ AVANT ACCEPTATION RT","ENROBÉ")))))</f>
        <v>À ENROBER</v>
      </c>
      <c r="O2138" s="80"/>
      <c r="P2138" s="82" t="n">
        <f aca="false">IF(C2138="","",IFERROR(MATCH(Q2138,'CARNET DE SOUDURE'!$AW$7:$AW$3006,0),""))</f>
        <v>2132</v>
      </c>
      <c r="Q2138" s="82" t="str">
        <f aca="false">IF(C2138="","",B2138&amp;"|"&amp;C2138)</f>
        <v>MFD-ISW → MFD-CPF|JN°1654</v>
      </c>
    </row>
    <row r="2139" customFormat="false" ht="74.6" hidden="false" customHeight="false" outlineLevel="0" collapsed="false">
      <c r="A2139" s="82" t="n">
        <f aca="false">IF(C2139="","",ROW()-6)</f>
        <v>2133</v>
      </c>
      <c r="B2139" s="80" t="s">
        <v>110</v>
      </c>
      <c r="C2139" s="113" t="s">
        <v>2597</v>
      </c>
      <c r="D2139" s="82" t="str">
        <f aca="false">IF(OR(C2139="",P2139=""),"",INDEX('CARNET DE SOUDURE'!$D$7:$D$3006,P2139)&amp;"")</f>
        <v>20</v>
      </c>
      <c r="E2139" s="114" t="n">
        <f aca="false">IF(OR(C2139="",P2139=""),"",IF(INDEX('CARNET DE SOUDURE'!$U$7:$U$3006,P2139)="","",INDEX('CARNET DE SOUDURE'!$U$7:$U$3006,P2139)))</f>
        <v>46264</v>
      </c>
      <c r="F2139" s="82" t="str">
        <f aca="false">IF(OR(C2139="",P2139=""),"",INDEX('CARNET DE SOUDURE'!$AP$7:$AP$3006,P2139))</f>
        <v>A</v>
      </c>
      <c r="G2139" s="82" t="str">
        <f aca="false">IF(C2139="","",IF(P2139="","NJ INCONNU",INDEX('CARNET DE SOUDURE'!$AQ$7:$AQ$3006,P2139)))</f>
        <v>ACCEPTÉ</v>
      </c>
      <c r="H2139" s="82" t="str">
        <f aca="false">IF(C2139="","",IF(G2139="ACCEPTÉ","OUI","NON"))</f>
        <v>OUI</v>
      </c>
      <c r="I2139" s="83"/>
      <c r="J2139" s="80"/>
      <c r="K2139" s="81"/>
      <c r="L2139" s="81"/>
      <c r="M2139" s="81"/>
      <c r="N2139" s="84" t="str">
        <f aca="false">IF(C2139="","",IF(P2139="","NJ INCONNU",IF(I2139="",IF(H2139="OUI","À ENROBER",IF(G2139="À SOUDER","NON SOUDÉ","EN ATTENTE RT")),IF(L2139="R","À REPRENDRE",IF(H2139&lt;&gt;"OUI","⚠ ENROBÉ AVANT ACCEPTATION RT","ENROBÉ")))))</f>
        <v>À ENROBER</v>
      </c>
      <c r="O2139" s="80"/>
      <c r="P2139" s="82" t="n">
        <f aca="false">IF(C2139="","",IFERROR(MATCH(Q2139,'CARNET DE SOUDURE'!$AW$7:$AW$3006,0),""))</f>
        <v>2133</v>
      </c>
      <c r="Q2139" s="82" t="str">
        <f aca="false">IF(C2139="","",B2139&amp;"|"&amp;C2139)</f>
        <v>MFD-ISW → MFD-CPF|JN°1655</v>
      </c>
    </row>
    <row r="2140" customFormat="false" ht="74.6" hidden="false" customHeight="false" outlineLevel="0" collapsed="false">
      <c r="A2140" s="82" t="n">
        <f aca="false">IF(C2140="","",ROW()-6)</f>
        <v>2134</v>
      </c>
      <c r="B2140" s="80" t="s">
        <v>110</v>
      </c>
      <c r="C2140" s="113" t="s">
        <v>2598</v>
      </c>
      <c r="D2140" s="82" t="str">
        <f aca="false">IF(OR(C2140="",P2140=""),"",INDEX('CARNET DE SOUDURE'!$D$7:$D$3006,P2140)&amp;"")</f>
        <v>20</v>
      </c>
      <c r="E2140" s="114" t="n">
        <f aca="false">IF(OR(C2140="",P2140=""),"",IF(INDEX('CARNET DE SOUDURE'!$U$7:$U$3006,P2140)="","",INDEX('CARNET DE SOUDURE'!$U$7:$U$3006,P2140)))</f>
        <v>46264</v>
      </c>
      <c r="F2140" s="82" t="str">
        <f aca="false">IF(OR(C2140="",P2140=""),"",INDEX('CARNET DE SOUDURE'!$AP$7:$AP$3006,P2140))</f>
        <v>NX</v>
      </c>
      <c r="G2140" s="82" t="str">
        <f aca="false">IF(C2140="","",IF(P2140="","NJ INCONNU",INDEX('CARNET DE SOUDURE'!$AQ$7:$AQ$3006,P2140)))</f>
        <v>NX – RT À REFAIRE</v>
      </c>
      <c r="H2140" s="82" t="str">
        <f aca="false">IF(C2140="","",IF(G2140="ACCEPTÉ","OUI","NON"))</f>
        <v>NON</v>
      </c>
      <c r="I2140" s="83"/>
      <c r="J2140" s="80"/>
      <c r="K2140" s="81"/>
      <c r="L2140" s="81"/>
      <c r="M2140" s="81"/>
      <c r="N2140" s="84" t="str">
        <f aca="false">IF(C2140="","",IF(P2140="","NJ INCONNU",IF(I2140="",IF(H2140="OUI","À ENROBER",IF(G2140="À SOUDER","NON SOUDÉ","EN ATTENTE RT")),IF(L2140="R","À REPRENDRE",IF(H2140&lt;&gt;"OUI","⚠ ENROBÉ AVANT ACCEPTATION RT","ENROBÉ")))))</f>
        <v>EN ATTENTE RT</v>
      </c>
      <c r="O2140" s="80"/>
      <c r="P2140" s="82" t="n">
        <f aca="false">IF(C2140="","",IFERROR(MATCH(Q2140,'CARNET DE SOUDURE'!$AW$7:$AW$3006,0),""))</f>
        <v>2134</v>
      </c>
      <c r="Q2140" s="82" t="str">
        <f aca="false">IF(C2140="","",B2140&amp;"|"&amp;C2140)</f>
        <v>MFD-ISW → MFD-CPF|JN°1656</v>
      </c>
    </row>
    <row r="2141" customFormat="false" ht="74.6" hidden="false" customHeight="false" outlineLevel="0" collapsed="false">
      <c r="A2141" s="82" t="n">
        <f aca="false">IF(C2141="","",ROW()-6)</f>
        <v>2135</v>
      </c>
      <c r="B2141" s="80" t="s">
        <v>110</v>
      </c>
      <c r="C2141" s="113" t="s">
        <v>2600</v>
      </c>
      <c r="D2141" s="82" t="str">
        <f aca="false">IF(OR(C2141="",P2141=""),"",INDEX('CARNET DE SOUDURE'!$D$7:$D$3006,P2141)&amp;"")</f>
        <v>20</v>
      </c>
      <c r="E2141" s="114" t="n">
        <f aca="false">IF(OR(C2141="",P2141=""),"",IF(INDEX('CARNET DE SOUDURE'!$U$7:$U$3006,P2141)="","",INDEX('CARNET DE SOUDURE'!$U$7:$U$3006,P2141)))</f>
        <v>46264</v>
      </c>
      <c r="F2141" s="82" t="str">
        <f aca="false">IF(OR(C2141="",P2141=""),"",INDEX('CARNET DE SOUDURE'!$AP$7:$AP$3006,P2141))</f>
        <v>A</v>
      </c>
      <c r="G2141" s="82" t="str">
        <f aca="false">IF(C2141="","",IF(P2141="","NJ INCONNU",INDEX('CARNET DE SOUDURE'!$AQ$7:$AQ$3006,P2141)))</f>
        <v>ACCEPTÉ</v>
      </c>
      <c r="H2141" s="82" t="str">
        <f aca="false">IF(C2141="","",IF(G2141="ACCEPTÉ","OUI","NON"))</f>
        <v>OUI</v>
      </c>
      <c r="I2141" s="83"/>
      <c r="J2141" s="80"/>
      <c r="K2141" s="81"/>
      <c r="L2141" s="81"/>
      <c r="M2141" s="81"/>
      <c r="N2141" s="84" t="str">
        <f aca="false">IF(C2141="","",IF(P2141="","NJ INCONNU",IF(I2141="",IF(H2141="OUI","À ENROBER",IF(G2141="À SOUDER","NON SOUDÉ","EN ATTENTE RT")),IF(L2141="R","À REPRENDRE",IF(H2141&lt;&gt;"OUI","⚠ ENROBÉ AVANT ACCEPTATION RT","ENROBÉ")))))</f>
        <v>À ENROBER</v>
      </c>
      <c r="O2141" s="80"/>
      <c r="P2141" s="82" t="n">
        <f aca="false">IF(C2141="","",IFERROR(MATCH(Q2141,'CARNET DE SOUDURE'!$AW$7:$AW$3006,0),""))</f>
        <v>2135</v>
      </c>
      <c r="Q2141" s="82" t="str">
        <f aca="false">IF(C2141="","",B2141&amp;"|"&amp;C2141)</f>
        <v>MFD-ISW → MFD-CPF|JN°1657</v>
      </c>
    </row>
    <row r="2142" customFormat="false" ht="74.6" hidden="false" customHeight="false" outlineLevel="0" collapsed="false">
      <c r="A2142" s="82" t="n">
        <f aca="false">IF(C2142="","",ROW()-6)</f>
        <v>2136</v>
      </c>
      <c r="B2142" s="80" t="s">
        <v>110</v>
      </c>
      <c r="C2142" s="113" t="s">
        <v>2601</v>
      </c>
      <c r="D2142" s="82" t="str">
        <f aca="false">IF(OR(C2142="",P2142=""),"",INDEX('CARNET DE SOUDURE'!$D$7:$D$3006,P2142)&amp;"")</f>
        <v>20</v>
      </c>
      <c r="E2142" s="114" t="n">
        <f aca="false">IF(OR(C2142="",P2142=""),"",IF(INDEX('CARNET DE SOUDURE'!$U$7:$U$3006,P2142)="","",INDEX('CARNET DE SOUDURE'!$U$7:$U$3006,P2142)))</f>
        <v>46264</v>
      </c>
      <c r="F2142" s="82" t="str">
        <f aca="false">IF(OR(C2142="",P2142=""),"",INDEX('CARNET DE SOUDURE'!$AP$7:$AP$3006,P2142))</f>
        <v>A</v>
      </c>
      <c r="G2142" s="82" t="str">
        <f aca="false">IF(C2142="","",IF(P2142="","NJ INCONNU",INDEX('CARNET DE SOUDURE'!$AQ$7:$AQ$3006,P2142)))</f>
        <v>ACCEPTÉ</v>
      </c>
      <c r="H2142" s="82" t="str">
        <f aca="false">IF(C2142="","",IF(G2142="ACCEPTÉ","OUI","NON"))</f>
        <v>OUI</v>
      </c>
      <c r="I2142" s="83"/>
      <c r="J2142" s="80"/>
      <c r="K2142" s="81"/>
      <c r="L2142" s="81"/>
      <c r="M2142" s="81"/>
      <c r="N2142" s="84" t="str">
        <f aca="false">IF(C2142="","",IF(P2142="","NJ INCONNU",IF(I2142="",IF(H2142="OUI","À ENROBER",IF(G2142="À SOUDER","NON SOUDÉ","EN ATTENTE RT")),IF(L2142="R","À REPRENDRE",IF(H2142&lt;&gt;"OUI","⚠ ENROBÉ AVANT ACCEPTATION RT","ENROBÉ")))))</f>
        <v>À ENROBER</v>
      </c>
      <c r="O2142" s="80"/>
      <c r="P2142" s="82" t="n">
        <f aca="false">IF(C2142="","",IFERROR(MATCH(Q2142,'CARNET DE SOUDURE'!$AW$7:$AW$3006,0),""))</f>
        <v>2136</v>
      </c>
      <c r="Q2142" s="82" t="str">
        <f aca="false">IF(C2142="","",B2142&amp;"|"&amp;C2142)</f>
        <v>MFD-ISW → MFD-CPF|JN°1658</v>
      </c>
    </row>
    <row r="2143" customFormat="false" ht="74.6" hidden="false" customHeight="false" outlineLevel="0" collapsed="false">
      <c r="A2143" s="82" t="n">
        <f aca="false">IF(C2143="","",ROW()-6)</f>
        <v>2137</v>
      </c>
      <c r="B2143" s="80" t="s">
        <v>110</v>
      </c>
      <c r="C2143" s="113" t="s">
        <v>2602</v>
      </c>
      <c r="D2143" s="82" t="str">
        <f aca="false">IF(OR(C2143="",P2143=""),"",INDEX('CARNET DE SOUDURE'!$D$7:$D$3006,P2143)&amp;"")</f>
        <v>20</v>
      </c>
      <c r="E2143" s="114" t="n">
        <f aca="false">IF(OR(C2143="",P2143=""),"",IF(INDEX('CARNET DE SOUDURE'!$U$7:$U$3006,P2143)="","",INDEX('CARNET DE SOUDURE'!$U$7:$U$3006,P2143)))</f>
        <v>46264</v>
      </c>
      <c r="F2143" s="82" t="str">
        <f aca="false">IF(OR(C2143="",P2143=""),"",INDEX('CARNET DE SOUDURE'!$AP$7:$AP$3006,P2143))</f>
        <v>A</v>
      </c>
      <c r="G2143" s="82" t="str">
        <f aca="false">IF(C2143="","",IF(P2143="","NJ INCONNU",INDEX('CARNET DE SOUDURE'!$AQ$7:$AQ$3006,P2143)))</f>
        <v>ACCEPTÉ</v>
      </c>
      <c r="H2143" s="82" t="str">
        <f aca="false">IF(C2143="","",IF(G2143="ACCEPTÉ","OUI","NON"))</f>
        <v>OUI</v>
      </c>
      <c r="I2143" s="83"/>
      <c r="J2143" s="80"/>
      <c r="K2143" s="81"/>
      <c r="L2143" s="81"/>
      <c r="M2143" s="81"/>
      <c r="N2143" s="84" t="str">
        <f aca="false">IF(C2143="","",IF(P2143="","NJ INCONNU",IF(I2143="",IF(H2143="OUI","À ENROBER",IF(G2143="À SOUDER","NON SOUDÉ","EN ATTENTE RT")),IF(L2143="R","À REPRENDRE",IF(H2143&lt;&gt;"OUI","⚠ ENROBÉ AVANT ACCEPTATION RT","ENROBÉ")))))</f>
        <v>À ENROBER</v>
      </c>
      <c r="O2143" s="80"/>
      <c r="P2143" s="82" t="n">
        <f aca="false">IF(C2143="","",IFERROR(MATCH(Q2143,'CARNET DE SOUDURE'!$AW$7:$AW$3006,0),""))</f>
        <v>2137</v>
      </c>
      <c r="Q2143" s="82" t="str">
        <f aca="false">IF(C2143="","",B2143&amp;"|"&amp;C2143)</f>
        <v>MFD-ISW → MFD-CPF|JN°1659</v>
      </c>
    </row>
    <row r="2144" customFormat="false" ht="74.6" hidden="false" customHeight="false" outlineLevel="0" collapsed="false">
      <c r="A2144" s="82" t="n">
        <f aca="false">IF(C2144="","",ROW()-6)</f>
        <v>2138</v>
      </c>
      <c r="B2144" s="80" t="s">
        <v>110</v>
      </c>
      <c r="C2144" s="113" t="s">
        <v>2603</v>
      </c>
      <c r="D2144" s="82" t="str">
        <f aca="false">IF(OR(C2144="",P2144=""),"",INDEX('CARNET DE SOUDURE'!$D$7:$D$3006,P2144)&amp;"")</f>
        <v>20</v>
      </c>
      <c r="E2144" s="114" t="n">
        <f aca="false">IF(OR(C2144="",P2144=""),"",IF(INDEX('CARNET DE SOUDURE'!$U$7:$U$3006,P2144)="","",INDEX('CARNET DE SOUDURE'!$U$7:$U$3006,P2144)))</f>
        <v>46264</v>
      </c>
      <c r="F2144" s="82" t="str">
        <f aca="false">IF(OR(C2144="",P2144=""),"",INDEX('CARNET DE SOUDURE'!$AP$7:$AP$3006,P2144))</f>
        <v>A</v>
      </c>
      <c r="G2144" s="82" t="str">
        <f aca="false">IF(C2144="","",IF(P2144="","NJ INCONNU",INDEX('CARNET DE SOUDURE'!$AQ$7:$AQ$3006,P2144)))</f>
        <v>ACCEPTÉ</v>
      </c>
      <c r="H2144" s="82" t="str">
        <f aca="false">IF(C2144="","",IF(G2144="ACCEPTÉ","OUI","NON"))</f>
        <v>OUI</v>
      </c>
      <c r="I2144" s="83"/>
      <c r="J2144" s="80"/>
      <c r="K2144" s="81"/>
      <c r="L2144" s="81"/>
      <c r="M2144" s="81"/>
      <c r="N2144" s="84" t="str">
        <f aca="false">IF(C2144="","",IF(P2144="","NJ INCONNU",IF(I2144="",IF(H2144="OUI","À ENROBER",IF(G2144="À SOUDER","NON SOUDÉ","EN ATTENTE RT")),IF(L2144="R","À REPRENDRE",IF(H2144&lt;&gt;"OUI","⚠ ENROBÉ AVANT ACCEPTATION RT","ENROBÉ")))))</f>
        <v>À ENROBER</v>
      </c>
      <c r="O2144" s="80"/>
      <c r="P2144" s="82" t="n">
        <f aca="false">IF(C2144="","",IFERROR(MATCH(Q2144,'CARNET DE SOUDURE'!$AW$7:$AW$3006,0),""))</f>
        <v>2138</v>
      </c>
      <c r="Q2144" s="82" t="str">
        <f aca="false">IF(C2144="","",B2144&amp;"|"&amp;C2144)</f>
        <v>MFD-ISW → MFD-CPF|JN°1660</v>
      </c>
    </row>
    <row r="2145" customFormat="false" ht="74.6" hidden="false" customHeight="false" outlineLevel="0" collapsed="false">
      <c r="A2145" s="82" t="n">
        <f aca="false">IF(C2145="","",ROW()-6)</f>
        <v>2139</v>
      </c>
      <c r="B2145" s="80" t="s">
        <v>110</v>
      </c>
      <c r="C2145" s="113" t="s">
        <v>2604</v>
      </c>
      <c r="D2145" s="82" t="str">
        <f aca="false">IF(OR(C2145="",P2145=""),"",INDEX('CARNET DE SOUDURE'!$D$7:$D$3006,P2145)&amp;"")</f>
        <v>20</v>
      </c>
      <c r="E2145" s="114" t="n">
        <f aca="false">IF(OR(C2145="",P2145=""),"",IF(INDEX('CARNET DE SOUDURE'!$U$7:$U$3006,P2145)="","",INDEX('CARNET DE SOUDURE'!$U$7:$U$3006,P2145)))</f>
        <v>46264</v>
      </c>
      <c r="F2145" s="82" t="str">
        <f aca="false">IF(OR(C2145="",P2145=""),"",INDEX('CARNET DE SOUDURE'!$AP$7:$AP$3006,P2145))</f>
        <v>A</v>
      </c>
      <c r="G2145" s="82" t="str">
        <f aca="false">IF(C2145="","",IF(P2145="","NJ INCONNU",INDEX('CARNET DE SOUDURE'!$AQ$7:$AQ$3006,P2145)))</f>
        <v>ACCEPTÉ</v>
      </c>
      <c r="H2145" s="82" t="str">
        <f aca="false">IF(C2145="","",IF(G2145="ACCEPTÉ","OUI","NON"))</f>
        <v>OUI</v>
      </c>
      <c r="I2145" s="83"/>
      <c r="J2145" s="80"/>
      <c r="K2145" s="81"/>
      <c r="L2145" s="81"/>
      <c r="M2145" s="81"/>
      <c r="N2145" s="84" t="str">
        <f aca="false">IF(C2145="","",IF(P2145="","NJ INCONNU",IF(I2145="",IF(H2145="OUI","À ENROBER",IF(G2145="À SOUDER","NON SOUDÉ","EN ATTENTE RT")),IF(L2145="R","À REPRENDRE",IF(H2145&lt;&gt;"OUI","⚠ ENROBÉ AVANT ACCEPTATION RT","ENROBÉ")))))</f>
        <v>À ENROBER</v>
      </c>
      <c r="O2145" s="80"/>
      <c r="P2145" s="82" t="n">
        <f aca="false">IF(C2145="","",IFERROR(MATCH(Q2145,'CARNET DE SOUDURE'!$AW$7:$AW$3006,0),""))</f>
        <v>2139</v>
      </c>
      <c r="Q2145" s="82" t="str">
        <f aca="false">IF(C2145="","",B2145&amp;"|"&amp;C2145)</f>
        <v>MFD-ISW → MFD-CPF|JN°1661</v>
      </c>
    </row>
    <row r="2146" customFormat="false" ht="74.6" hidden="false" customHeight="false" outlineLevel="0" collapsed="false">
      <c r="A2146" s="82" t="n">
        <f aca="false">IF(C2146="","",ROW()-6)</f>
        <v>2140</v>
      </c>
      <c r="B2146" s="80" t="s">
        <v>110</v>
      </c>
      <c r="C2146" s="113" t="s">
        <v>2605</v>
      </c>
      <c r="D2146" s="82" t="str">
        <f aca="false">IF(OR(C2146="",P2146=""),"",INDEX('CARNET DE SOUDURE'!$D$7:$D$3006,P2146)&amp;"")</f>
        <v>20</v>
      </c>
      <c r="E2146" s="114" t="n">
        <f aca="false">IF(OR(C2146="",P2146=""),"",IF(INDEX('CARNET DE SOUDURE'!$U$7:$U$3006,P2146)="","",INDEX('CARNET DE SOUDURE'!$U$7:$U$3006,P2146)))</f>
        <v>46264</v>
      </c>
      <c r="F2146" s="82" t="str">
        <f aca="false">IF(OR(C2146="",P2146=""),"",INDEX('CARNET DE SOUDURE'!$AP$7:$AP$3006,P2146))</f>
        <v>A</v>
      </c>
      <c r="G2146" s="82" t="str">
        <f aca="false">IF(C2146="","",IF(P2146="","NJ INCONNU",INDEX('CARNET DE SOUDURE'!$AQ$7:$AQ$3006,P2146)))</f>
        <v>ACCEPTÉ</v>
      </c>
      <c r="H2146" s="82" t="str">
        <f aca="false">IF(C2146="","",IF(G2146="ACCEPTÉ","OUI","NON"))</f>
        <v>OUI</v>
      </c>
      <c r="I2146" s="83"/>
      <c r="J2146" s="80"/>
      <c r="K2146" s="81"/>
      <c r="L2146" s="81"/>
      <c r="M2146" s="81"/>
      <c r="N2146" s="84" t="str">
        <f aca="false">IF(C2146="","",IF(P2146="","NJ INCONNU",IF(I2146="",IF(H2146="OUI","À ENROBER",IF(G2146="À SOUDER","NON SOUDÉ","EN ATTENTE RT")),IF(L2146="R","À REPRENDRE",IF(H2146&lt;&gt;"OUI","⚠ ENROBÉ AVANT ACCEPTATION RT","ENROBÉ")))))</f>
        <v>À ENROBER</v>
      </c>
      <c r="O2146" s="80"/>
      <c r="P2146" s="82" t="n">
        <f aca="false">IF(C2146="","",IFERROR(MATCH(Q2146,'CARNET DE SOUDURE'!$AW$7:$AW$3006,0),""))</f>
        <v>2140</v>
      </c>
      <c r="Q2146" s="82" t="str">
        <f aca="false">IF(C2146="","",B2146&amp;"|"&amp;C2146)</f>
        <v>MFD-ISW → MFD-CPF|JN°1662</v>
      </c>
    </row>
    <row r="2147" customFormat="false" ht="74.6" hidden="false" customHeight="false" outlineLevel="0" collapsed="false">
      <c r="A2147" s="82" t="n">
        <f aca="false">IF(C2147="","",ROW()-6)</f>
        <v>2141</v>
      </c>
      <c r="B2147" s="80" t="s">
        <v>110</v>
      </c>
      <c r="C2147" s="113" t="s">
        <v>2606</v>
      </c>
      <c r="D2147" s="82" t="str">
        <f aca="false">IF(OR(C2147="",P2147=""),"",INDEX('CARNET DE SOUDURE'!$D$7:$D$3006,P2147)&amp;"")</f>
        <v>20</v>
      </c>
      <c r="E2147" s="114" t="n">
        <f aca="false">IF(OR(C2147="",P2147=""),"",IF(INDEX('CARNET DE SOUDURE'!$U$7:$U$3006,P2147)="","",INDEX('CARNET DE SOUDURE'!$U$7:$U$3006,P2147)))</f>
        <v>46264</v>
      </c>
      <c r="F2147" s="82" t="str">
        <f aca="false">IF(OR(C2147="",P2147=""),"",INDEX('CARNET DE SOUDURE'!$AP$7:$AP$3006,P2147))</f>
        <v>A</v>
      </c>
      <c r="G2147" s="82" t="str">
        <f aca="false">IF(C2147="","",IF(P2147="","NJ INCONNU",INDEX('CARNET DE SOUDURE'!$AQ$7:$AQ$3006,P2147)))</f>
        <v>ACCEPTÉ</v>
      </c>
      <c r="H2147" s="82" t="str">
        <f aca="false">IF(C2147="","",IF(G2147="ACCEPTÉ","OUI","NON"))</f>
        <v>OUI</v>
      </c>
      <c r="I2147" s="83"/>
      <c r="J2147" s="80"/>
      <c r="K2147" s="81"/>
      <c r="L2147" s="81"/>
      <c r="M2147" s="81"/>
      <c r="N2147" s="84" t="str">
        <f aca="false">IF(C2147="","",IF(P2147="","NJ INCONNU",IF(I2147="",IF(H2147="OUI","À ENROBER",IF(G2147="À SOUDER","NON SOUDÉ","EN ATTENTE RT")),IF(L2147="R","À REPRENDRE",IF(H2147&lt;&gt;"OUI","⚠ ENROBÉ AVANT ACCEPTATION RT","ENROBÉ")))))</f>
        <v>À ENROBER</v>
      </c>
      <c r="O2147" s="80"/>
      <c r="P2147" s="82" t="n">
        <f aca="false">IF(C2147="","",IFERROR(MATCH(Q2147,'CARNET DE SOUDURE'!$AW$7:$AW$3006,0),""))</f>
        <v>2141</v>
      </c>
      <c r="Q2147" s="82" t="str">
        <f aca="false">IF(C2147="","",B2147&amp;"|"&amp;C2147)</f>
        <v>MFD-ISW → MFD-CPF|JN°1663</v>
      </c>
    </row>
    <row r="2148" customFormat="false" ht="74.6" hidden="false" customHeight="false" outlineLevel="0" collapsed="false">
      <c r="A2148" s="82" t="n">
        <f aca="false">IF(C2148="","",ROW()-6)</f>
        <v>2142</v>
      </c>
      <c r="B2148" s="80" t="s">
        <v>110</v>
      </c>
      <c r="C2148" s="113" t="s">
        <v>2607</v>
      </c>
      <c r="D2148" s="82" t="str">
        <f aca="false">IF(OR(C2148="",P2148=""),"",INDEX('CARNET DE SOUDURE'!$D$7:$D$3006,P2148)&amp;"")</f>
        <v>20</v>
      </c>
      <c r="E2148" s="114" t="n">
        <f aca="false">IF(OR(C2148="",P2148=""),"",IF(INDEX('CARNET DE SOUDURE'!$U$7:$U$3006,P2148)="","",INDEX('CARNET DE SOUDURE'!$U$7:$U$3006,P2148)))</f>
        <v>46264</v>
      </c>
      <c r="F2148" s="82" t="str">
        <f aca="false">IF(OR(C2148="",P2148=""),"",INDEX('CARNET DE SOUDURE'!$AP$7:$AP$3006,P2148))</f>
        <v>A</v>
      </c>
      <c r="G2148" s="82" t="str">
        <f aca="false">IF(C2148="","",IF(P2148="","NJ INCONNU",INDEX('CARNET DE SOUDURE'!$AQ$7:$AQ$3006,P2148)))</f>
        <v>ACCEPTÉ</v>
      </c>
      <c r="H2148" s="82" t="str">
        <f aca="false">IF(C2148="","",IF(G2148="ACCEPTÉ","OUI","NON"))</f>
        <v>OUI</v>
      </c>
      <c r="I2148" s="83"/>
      <c r="J2148" s="80"/>
      <c r="K2148" s="81"/>
      <c r="L2148" s="81"/>
      <c r="M2148" s="81"/>
      <c r="N2148" s="84" t="str">
        <f aca="false">IF(C2148="","",IF(P2148="","NJ INCONNU",IF(I2148="",IF(H2148="OUI","À ENROBER",IF(G2148="À SOUDER","NON SOUDÉ","EN ATTENTE RT")),IF(L2148="R","À REPRENDRE",IF(H2148&lt;&gt;"OUI","⚠ ENROBÉ AVANT ACCEPTATION RT","ENROBÉ")))))</f>
        <v>À ENROBER</v>
      </c>
      <c r="O2148" s="80"/>
      <c r="P2148" s="82" t="n">
        <f aca="false">IF(C2148="","",IFERROR(MATCH(Q2148,'CARNET DE SOUDURE'!$AW$7:$AW$3006,0),""))</f>
        <v>2142</v>
      </c>
      <c r="Q2148" s="82" t="str">
        <f aca="false">IF(C2148="","",B2148&amp;"|"&amp;C2148)</f>
        <v>MFD-ISW → MFD-CPF|JN°1664</v>
      </c>
    </row>
    <row r="2149" customFormat="false" ht="74.6" hidden="false" customHeight="false" outlineLevel="0" collapsed="false">
      <c r="A2149" s="82" t="n">
        <f aca="false">IF(C2149="","",ROW()-6)</f>
        <v>2143</v>
      </c>
      <c r="B2149" s="80" t="s">
        <v>110</v>
      </c>
      <c r="C2149" s="113" t="s">
        <v>2608</v>
      </c>
      <c r="D2149" s="82" t="str">
        <f aca="false">IF(OR(C2149="",P2149=""),"",INDEX('CARNET DE SOUDURE'!$D$7:$D$3006,P2149)&amp;"")</f>
        <v>20</v>
      </c>
      <c r="E2149" s="114" t="n">
        <f aca="false">IF(OR(C2149="",P2149=""),"",IF(INDEX('CARNET DE SOUDURE'!$U$7:$U$3006,P2149)="","",INDEX('CARNET DE SOUDURE'!$U$7:$U$3006,P2149)))</f>
        <v>46263</v>
      </c>
      <c r="F2149" s="82" t="str">
        <f aca="false">IF(OR(C2149="",P2149=""),"",INDEX('CARNET DE SOUDURE'!$AP$7:$AP$3006,P2149))</f>
        <v>A</v>
      </c>
      <c r="G2149" s="82" t="str">
        <f aca="false">IF(C2149="","",IF(P2149="","NJ INCONNU",INDEX('CARNET DE SOUDURE'!$AQ$7:$AQ$3006,P2149)))</f>
        <v>ACCEPTÉ</v>
      </c>
      <c r="H2149" s="82" t="str">
        <f aca="false">IF(C2149="","",IF(G2149="ACCEPTÉ","OUI","NON"))</f>
        <v>OUI</v>
      </c>
      <c r="I2149" s="83"/>
      <c r="J2149" s="80"/>
      <c r="K2149" s="81"/>
      <c r="L2149" s="81"/>
      <c r="M2149" s="81"/>
      <c r="N2149" s="84" t="str">
        <f aca="false">IF(C2149="","",IF(P2149="","NJ INCONNU",IF(I2149="",IF(H2149="OUI","À ENROBER",IF(G2149="À SOUDER","NON SOUDÉ","EN ATTENTE RT")),IF(L2149="R","À REPRENDRE",IF(H2149&lt;&gt;"OUI","⚠ ENROBÉ AVANT ACCEPTATION RT","ENROBÉ")))))</f>
        <v>À ENROBER</v>
      </c>
      <c r="O2149" s="80"/>
      <c r="P2149" s="82" t="n">
        <f aca="false">IF(C2149="","",IFERROR(MATCH(Q2149,'CARNET DE SOUDURE'!$AW$7:$AW$3006,0),""))</f>
        <v>2143</v>
      </c>
      <c r="Q2149" s="82" t="str">
        <f aca="false">IF(C2149="","",B2149&amp;"|"&amp;C2149)</f>
        <v>MFD-ISW → MFD-CPF|JN°1665</v>
      </c>
    </row>
    <row r="2150" customFormat="false" ht="74.6" hidden="false" customHeight="false" outlineLevel="0" collapsed="false">
      <c r="A2150" s="82" t="n">
        <f aca="false">IF(C2150="","",ROW()-6)</f>
        <v>2144</v>
      </c>
      <c r="B2150" s="80" t="s">
        <v>110</v>
      </c>
      <c r="C2150" s="113" t="s">
        <v>2610</v>
      </c>
      <c r="D2150" s="82" t="str">
        <f aca="false">IF(OR(C2150="",P2150=""),"",INDEX('CARNET DE SOUDURE'!$D$7:$D$3006,P2150)&amp;"")</f>
        <v>20</v>
      </c>
      <c r="E2150" s="114" t="n">
        <f aca="false">IF(OR(C2150="",P2150=""),"",IF(INDEX('CARNET DE SOUDURE'!$U$7:$U$3006,P2150)="","",INDEX('CARNET DE SOUDURE'!$U$7:$U$3006,P2150)))</f>
        <v>46263</v>
      </c>
      <c r="F2150" s="82" t="str">
        <f aca="false">IF(OR(C2150="",P2150=""),"",INDEX('CARNET DE SOUDURE'!$AP$7:$AP$3006,P2150))</f>
        <v>A</v>
      </c>
      <c r="G2150" s="82" t="str">
        <f aca="false">IF(C2150="","",IF(P2150="","NJ INCONNU",INDEX('CARNET DE SOUDURE'!$AQ$7:$AQ$3006,P2150)))</f>
        <v>ACCEPTÉ</v>
      </c>
      <c r="H2150" s="82" t="str">
        <f aca="false">IF(C2150="","",IF(G2150="ACCEPTÉ","OUI","NON"))</f>
        <v>OUI</v>
      </c>
      <c r="I2150" s="83"/>
      <c r="J2150" s="80"/>
      <c r="K2150" s="81"/>
      <c r="L2150" s="81"/>
      <c r="M2150" s="81"/>
      <c r="N2150" s="84" t="str">
        <f aca="false">IF(C2150="","",IF(P2150="","NJ INCONNU",IF(I2150="",IF(H2150="OUI","À ENROBER",IF(G2150="À SOUDER","NON SOUDÉ","EN ATTENTE RT")),IF(L2150="R","À REPRENDRE",IF(H2150&lt;&gt;"OUI","⚠ ENROBÉ AVANT ACCEPTATION RT","ENROBÉ")))))</f>
        <v>À ENROBER</v>
      </c>
      <c r="O2150" s="80"/>
      <c r="P2150" s="82" t="n">
        <f aca="false">IF(C2150="","",IFERROR(MATCH(Q2150,'CARNET DE SOUDURE'!$AW$7:$AW$3006,0),""))</f>
        <v>2144</v>
      </c>
      <c r="Q2150" s="82" t="str">
        <f aca="false">IF(C2150="","",B2150&amp;"|"&amp;C2150)</f>
        <v>MFD-ISW → MFD-CPF|JN°1666</v>
      </c>
    </row>
    <row r="2151" customFormat="false" ht="74.6" hidden="false" customHeight="false" outlineLevel="0" collapsed="false">
      <c r="A2151" s="82" t="n">
        <f aca="false">IF(C2151="","",ROW()-6)</f>
        <v>2145</v>
      </c>
      <c r="B2151" s="80" t="s">
        <v>110</v>
      </c>
      <c r="C2151" s="113" t="s">
        <v>2611</v>
      </c>
      <c r="D2151" s="82" t="str">
        <f aca="false">IF(OR(C2151="",P2151=""),"",INDEX('CARNET DE SOUDURE'!$D$7:$D$3006,P2151)&amp;"")</f>
        <v>20</v>
      </c>
      <c r="E2151" s="114" t="n">
        <f aca="false">IF(OR(C2151="",P2151=""),"",IF(INDEX('CARNET DE SOUDURE'!$U$7:$U$3006,P2151)="","",INDEX('CARNET DE SOUDURE'!$U$7:$U$3006,P2151)))</f>
        <v>46263</v>
      </c>
      <c r="F2151" s="82" t="str">
        <f aca="false">IF(OR(C2151="",P2151=""),"",INDEX('CARNET DE SOUDURE'!$AP$7:$AP$3006,P2151))</f>
        <v>A</v>
      </c>
      <c r="G2151" s="82" t="str">
        <f aca="false">IF(C2151="","",IF(P2151="","NJ INCONNU",INDEX('CARNET DE SOUDURE'!$AQ$7:$AQ$3006,P2151)))</f>
        <v>ACCEPTÉ</v>
      </c>
      <c r="H2151" s="82" t="str">
        <f aca="false">IF(C2151="","",IF(G2151="ACCEPTÉ","OUI","NON"))</f>
        <v>OUI</v>
      </c>
      <c r="I2151" s="83"/>
      <c r="J2151" s="80"/>
      <c r="K2151" s="81"/>
      <c r="L2151" s="81"/>
      <c r="M2151" s="81"/>
      <c r="N2151" s="84" t="str">
        <f aca="false">IF(C2151="","",IF(P2151="","NJ INCONNU",IF(I2151="",IF(H2151="OUI","À ENROBER",IF(G2151="À SOUDER","NON SOUDÉ","EN ATTENTE RT")),IF(L2151="R","À REPRENDRE",IF(H2151&lt;&gt;"OUI","⚠ ENROBÉ AVANT ACCEPTATION RT","ENROBÉ")))))</f>
        <v>À ENROBER</v>
      </c>
      <c r="O2151" s="80"/>
      <c r="P2151" s="82" t="n">
        <f aca="false">IF(C2151="","",IFERROR(MATCH(Q2151,'CARNET DE SOUDURE'!$AW$7:$AW$3006,0),""))</f>
        <v>2145</v>
      </c>
      <c r="Q2151" s="82" t="str">
        <f aca="false">IF(C2151="","",B2151&amp;"|"&amp;C2151)</f>
        <v>MFD-ISW → MFD-CPF|JN°1667</v>
      </c>
    </row>
    <row r="2152" customFormat="false" ht="74.6" hidden="false" customHeight="false" outlineLevel="0" collapsed="false">
      <c r="A2152" s="82" t="n">
        <f aca="false">IF(C2152="","",ROW()-6)</f>
        <v>2146</v>
      </c>
      <c r="B2152" s="80" t="s">
        <v>110</v>
      </c>
      <c r="C2152" s="113" t="s">
        <v>2613</v>
      </c>
      <c r="D2152" s="82" t="str">
        <f aca="false">IF(OR(C2152="",P2152=""),"",INDEX('CARNET DE SOUDURE'!$D$7:$D$3006,P2152)&amp;"")</f>
        <v>20</v>
      </c>
      <c r="E2152" s="114" t="n">
        <f aca="false">IF(OR(C2152="",P2152=""),"",IF(INDEX('CARNET DE SOUDURE'!$U$7:$U$3006,P2152)="","",INDEX('CARNET DE SOUDURE'!$U$7:$U$3006,P2152)))</f>
        <v>46263</v>
      </c>
      <c r="F2152" s="82" t="str">
        <f aca="false">IF(OR(C2152="",P2152=""),"",INDEX('CARNET DE SOUDURE'!$AP$7:$AP$3006,P2152))</f>
        <v>A</v>
      </c>
      <c r="G2152" s="82" t="str">
        <f aca="false">IF(C2152="","",IF(P2152="","NJ INCONNU",INDEX('CARNET DE SOUDURE'!$AQ$7:$AQ$3006,P2152)))</f>
        <v>ACCEPTÉ</v>
      </c>
      <c r="H2152" s="82" t="str">
        <f aca="false">IF(C2152="","",IF(G2152="ACCEPTÉ","OUI","NON"))</f>
        <v>OUI</v>
      </c>
      <c r="I2152" s="83"/>
      <c r="J2152" s="80"/>
      <c r="K2152" s="81"/>
      <c r="L2152" s="81"/>
      <c r="M2152" s="81"/>
      <c r="N2152" s="84" t="str">
        <f aca="false">IF(C2152="","",IF(P2152="","NJ INCONNU",IF(I2152="",IF(H2152="OUI","À ENROBER",IF(G2152="À SOUDER","NON SOUDÉ","EN ATTENTE RT")),IF(L2152="R","À REPRENDRE",IF(H2152&lt;&gt;"OUI","⚠ ENROBÉ AVANT ACCEPTATION RT","ENROBÉ")))))</f>
        <v>À ENROBER</v>
      </c>
      <c r="O2152" s="80"/>
      <c r="P2152" s="82" t="n">
        <f aca="false">IF(C2152="","",IFERROR(MATCH(Q2152,'CARNET DE SOUDURE'!$AW$7:$AW$3006,0),""))</f>
        <v>2146</v>
      </c>
      <c r="Q2152" s="82" t="str">
        <f aca="false">IF(C2152="","",B2152&amp;"|"&amp;C2152)</f>
        <v>MFD-ISW → MFD-CPF|JN°1668</v>
      </c>
    </row>
    <row r="2153" customFormat="false" ht="74.6" hidden="false" customHeight="false" outlineLevel="0" collapsed="false">
      <c r="A2153" s="82" t="n">
        <f aca="false">IF(C2153="","",ROW()-6)</f>
        <v>2147</v>
      </c>
      <c r="B2153" s="80" t="s">
        <v>110</v>
      </c>
      <c r="C2153" s="113" t="s">
        <v>2614</v>
      </c>
      <c r="D2153" s="82" t="str">
        <f aca="false">IF(OR(C2153="",P2153=""),"",INDEX('CARNET DE SOUDURE'!$D$7:$D$3006,P2153)&amp;"")</f>
        <v>20</v>
      </c>
      <c r="E2153" s="114" t="n">
        <f aca="false">IF(OR(C2153="",P2153=""),"",IF(INDEX('CARNET DE SOUDURE'!$U$7:$U$3006,P2153)="","",INDEX('CARNET DE SOUDURE'!$U$7:$U$3006,P2153)))</f>
        <v>46263</v>
      </c>
      <c r="F2153" s="82" t="str">
        <f aca="false">IF(OR(C2153="",P2153=""),"",INDEX('CARNET DE SOUDURE'!$AP$7:$AP$3006,P2153))</f>
        <v>A</v>
      </c>
      <c r="G2153" s="82" t="str">
        <f aca="false">IF(C2153="","",IF(P2153="","NJ INCONNU",INDEX('CARNET DE SOUDURE'!$AQ$7:$AQ$3006,P2153)))</f>
        <v>ACCEPTÉ</v>
      </c>
      <c r="H2153" s="82" t="str">
        <f aca="false">IF(C2153="","",IF(G2153="ACCEPTÉ","OUI","NON"))</f>
        <v>OUI</v>
      </c>
      <c r="I2153" s="83"/>
      <c r="J2153" s="80"/>
      <c r="K2153" s="81"/>
      <c r="L2153" s="81"/>
      <c r="M2153" s="81"/>
      <c r="N2153" s="84" t="str">
        <f aca="false">IF(C2153="","",IF(P2153="","NJ INCONNU",IF(I2153="",IF(H2153="OUI","À ENROBER",IF(G2153="À SOUDER","NON SOUDÉ","EN ATTENTE RT")),IF(L2153="R","À REPRENDRE",IF(H2153&lt;&gt;"OUI","⚠ ENROBÉ AVANT ACCEPTATION RT","ENROBÉ")))))</f>
        <v>À ENROBER</v>
      </c>
      <c r="O2153" s="80"/>
      <c r="P2153" s="82" t="n">
        <f aca="false">IF(C2153="","",IFERROR(MATCH(Q2153,'CARNET DE SOUDURE'!$AW$7:$AW$3006,0),""))</f>
        <v>2147</v>
      </c>
      <c r="Q2153" s="82" t="str">
        <f aca="false">IF(C2153="","",B2153&amp;"|"&amp;C2153)</f>
        <v>MFD-ISW → MFD-CPF|JN°1669</v>
      </c>
    </row>
    <row r="2154" customFormat="false" ht="74.6" hidden="false" customHeight="false" outlineLevel="0" collapsed="false">
      <c r="A2154" s="82" t="n">
        <f aca="false">IF(C2154="","",ROW()-6)</f>
        <v>2148</v>
      </c>
      <c r="B2154" s="80" t="s">
        <v>110</v>
      </c>
      <c r="C2154" s="113" t="s">
        <v>2615</v>
      </c>
      <c r="D2154" s="82" t="str">
        <f aca="false">IF(OR(C2154="",P2154=""),"",INDEX('CARNET DE SOUDURE'!$D$7:$D$3006,P2154)&amp;"")</f>
        <v>20</v>
      </c>
      <c r="E2154" s="114" t="n">
        <f aca="false">IF(OR(C2154="",P2154=""),"",IF(INDEX('CARNET DE SOUDURE'!$U$7:$U$3006,P2154)="","",INDEX('CARNET DE SOUDURE'!$U$7:$U$3006,P2154)))</f>
        <v>46263</v>
      </c>
      <c r="F2154" s="82" t="str">
        <f aca="false">IF(OR(C2154="",P2154=""),"",INDEX('CARNET DE SOUDURE'!$AP$7:$AP$3006,P2154))</f>
        <v>A</v>
      </c>
      <c r="G2154" s="82" t="str">
        <f aca="false">IF(C2154="","",IF(P2154="","NJ INCONNU",INDEX('CARNET DE SOUDURE'!$AQ$7:$AQ$3006,P2154)))</f>
        <v>ACCEPTÉ</v>
      </c>
      <c r="H2154" s="82" t="str">
        <f aca="false">IF(C2154="","",IF(G2154="ACCEPTÉ","OUI","NON"))</f>
        <v>OUI</v>
      </c>
      <c r="I2154" s="83"/>
      <c r="J2154" s="80"/>
      <c r="K2154" s="81"/>
      <c r="L2154" s="81"/>
      <c r="M2154" s="81"/>
      <c r="N2154" s="84" t="str">
        <f aca="false">IF(C2154="","",IF(P2154="","NJ INCONNU",IF(I2154="",IF(H2154="OUI","À ENROBER",IF(G2154="À SOUDER","NON SOUDÉ","EN ATTENTE RT")),IF(L2154="R","À REPRENDRE",IF(H2154&lt;&gt;"OUI","⚠ ENROBÉ AVANT ACCEPTATION RT","ENROBÉ")))))</f>
        <v>À ENROBER</v>
      </c>
      <c r="O2154" s="80"/>
      <c r="P2154" s="82" t="n">
        <f aca="false">IF(C2154="","",IFERROR(MATCH(Q2154,'CARNET DE SOUDURE'!$AW$7:$AW$3006,0),""))</f>
        <v>2148</v>
      </c>
      <c r="Q2154" s="82" t="str">
        <f aca="false">IF(C2154="","",B2154&amp;"|"&amp;C2154)</f>
        <v>MFD-ISW → MFD-CPF|JN°1670</v>
      </c>
    </row>
    <row r="2155" customFormat="false" ht="74.6" hidden="false" customHeight="false" outlineLevel="0" collapsed="false">
      <c r="A2155" s="82" t="n">
        <f aca="false">IF(C2155="","",ROW()-6)</f>
        <v>2149</v>
      </c>
      <c r="B2155" s="80" t="s">
        <v>110</v>
      </c>
      <c r="C2155" s="113" t="s">
        <v>2616</v>
      </c>
      <c r="D2155" s="82" t="str">
        <f aca="false">IF(OR(C2155="",P2155=""),"",INDEX('CARNET DE SOUDURE'!$D$7:$D$3006,P2155)&amp;"")</f>
        <v>20</v>
      </c>
      <c r="E2155" s="114" t="n">
        <f aca="false">IF(OR(C2155="",P2155=""),"",IF(INDEX('CARNET DE SOUDURE'!$U$7:$U$3006,P2155)="","",INDEX('CARNET DE SOUDURE'!$U$7:$U$3006,P2155)))</f>
        <v>46263</v>
      </c>
      <c r="F2155" s="82" t="str">
        <f aca="false">IF(OR(C2155="",P2155=""),"",INDEX('CARNET DE SOUDURE'!$AP$7:$AP$3006,P2155))</f>
        <v>A</v>
      </c>
      <c r="G2155" s="82" t="str">
        <f aca="false">IF(C2155="","",IF(P2155="","NJ INCONNU",INDEX('CARNET DE SOUDURE'!$AQ$7:$AQ$3006,P2155)))</f>
        <v>ACCEPTÉ</v>
      </c>
      <c r="H2155" s="82" t="str">
        <f aca="false">IF(C2155="","",IF(G2155="ACCEPTÉ","OUI","NON"))</f>
        <v>OUI</v>
      </c>
      <c r="I2155" s="83"/>
      <c r="J2155" s="80"/>
      <c r="K2155" s="81"/>
      <c r="L2155" s="81"/>
      <c r="M2155" s="81"/>
      <c r="N2155" s="84" t="str">
        <f aca="false">IF(C2155="","",IF(P2155="","NJ INCONNU",IF(I2155="",IF(H2155="OUI","À ENROBER",IF(G2155="À SOUDER","NON SOUDÉ","EN ATTENTE RT")),IF(L2155="R","À REPRENDRE",IF(H2155&lt;&gt;"OUI","⚠ ENROBÉ AVANT ACCEPTATION RT","ENROBÉ")))))</f>
        <v>À ENROBER</v>
      </c>
      <c r="O2155" s="80"/>
      <c r="P2155" s="82" t="n">
        <f aca="false">IF(C2155="","",IFERROR(MATCH(Q2155,'CARNET DE SOUDURE'!$AW$7:$AW$3006,0),""))</f>
        <v>2149</v>
      </c>
      <c r="Q2155" s="82" t="str">
        <f aca="false">IF(C2155="","",B2155&amp;"|"&amp;C2155)</f>
        <v>MFD-ISW → MFD-CPF|JN°1671</v>
      </c>
    </row>
    <row r="2156" customFormat="false" ht="74.6" hidden="false" customHeight="false" outlineLevel="0" collapsed="false">
      <c r="A2156" s="82" t="n">
        <f aca="false">IF(C2156="","",ROW()-6)</f>
        <v>2150</v>
      </c>
      <c r="B2156" s="80" t="s">
        <v>110</v>
      </c>
      <c r="C2156" s="113" t="s">
        <v>2617</v>
      </c>
      <c r="D2156" s="82" t="str">
        <f aca="false">IF(OR(C2156="",P2156=""),"",INDEX('CARNET DE SOUDURE'!$D$7:$D$3006,P2156)&amp;"")</f>
        <v>20</v>
      </c>
      <c r="E2156" s="114" t="n">
        <f aca="false">IF(OR(C2156="",P2156=""),"",IF(INDEX('CARNET DE SOUDURE'!$U$7:$U$3006,P2156)="","",INDEX('CARNET DE SOUDURE'!$U$7:$U$3006,P2156)))</f>
        <v>46263</v>
      </c>
      <c r="F2156" s="82" t="str">
        <f aca="false">IF(OR(C2156="",P2156=""),"",INDEX('CARNET DE SOUDURE'!$AP$7:$AP$3006,P2156))</f>
        <v>A</v>
      </c>
      <c r="G2156" s="82" t="str">
        <f aca="false">IF(C2156="","",IF(P2156="","NJ INCONNU",INDEX('CARNET DE SOUDURE'!$AQ$7:$AQ$3006,P2156)))</f>
        <v>ACCEPTÉ</v>
      </c>
      <c r="H2156" s="82" t="str">
        <f aca="false">IF(C2156="","",IF(G2156="ACCEPTÉ","OUI","NON"))</f>
        <v>OUI</v>
      </c>
      <c r="I2156" s="83"/>
      <c r="J2156" s="80"/>
      <c r="K2156" s="81"/>
      <c r="L2156" s="81"/>
      <c r="M2156" s="81"/>
      <c r="N2156" s="84" t="str">
        <f aca="false">IF(C2156="","",IF(P2156="","NJ INCONNU",IF(I2156="",IF(H2156="OUI","À ENROBER",IF(G2156="À SOUDER","NON SOUDÉ","EN ATTENTE RT")),IF(L2156="R","À REPRENDRE",IF(H2156&lt;&gt;"OUI","⚠ ENROBÉ AVANT ACCEPTATION RT","ENROBÉ")))))</f>
        <v>À ENROBER</v>
      </c>
      <c r="O2156" s="80"/>
      <c r="P2156" s="82" t="n">
        <f aca="false">IF(C2156="","",IFERROR(MATCH(Q2156,'CARNET DE SOUDURE'!$AW$7:$AW$3006,0),""))</f>
        <v>2150</v>
      </c>
      <c r="Q2156" s="82" t="str">
        <f aca="false">IF(C2156="","",B2156&amp;"|"&amp;C2156)</f>
        <v>MFD-ISW → MFD-CPF|JN°1672</v>
      </c>
    </row>
    <row r="2157" customFormat="false" ht="74.6" hidden="false" customHeight="false" outlineLevel="0" collapsed="false">
      <c r="A2157" s="82" t="n">
        <f aca="false">IF(C2157="","",ROW()-6)</f>
        <v>2151</v>
      </c>
      <c r="B2157" s="80" t="s">
        <v>110</v>
      </c>
      <c r="C2157" s="113" t="s">
        <v>2618</v>
      </c>
      <c r="D2157" s="82" t="str">
        <f aca="false">IF(OR(C2157="",P2157=""),"",INDEX('CARNET DE SOUDURE'!$D$7:$D$3006,P2157)&amp;"")</f>
        <v>20</v>
      </c>
      <c r="E2157" s="114" t="n">
        <f aca="false">IF(OR(C2157="",P2157=""),"",IF(INDEX('CARNET DE SOUDURE'!$U$7:$U$3006,P2157)="","",INDEX('CARNET DE SOUDURE'!$U$7:$U$3006,P2157)))</f>
        <v>46263</v>
      </c>
      <c r="F2157" s="82" t="str">
        <f aca="false">IF(OR(C2157="",P2157=""),"",INDEX('CARNET DE SOUDURE'!$AP$7:$AP$3006,P2157))</f>
        <v>A</v>
      </c>
      <c r="G2157" s="82" t="str">
        <f aca="false">IF(C2157="","",IF(P2157="","NJ INCONNU",INDEX('CARNET DE SOUDURE'!$AQ$7:$AQ$3006,P2157)))</f>
        <v>ACCEPTÉ</v>
      </c>
      <c r="H2157" s="82" t="str">
        <f aca="false">IF(C2157="","",IF(G2157="ACCEPTÉ","OUI","NON"))</f>
        <v>OUI</v>
      </c>
      <c r="I2157" s="83"/>
      <c r="J2157" s="80"/>
      <c r="K2157" s="81"/>
      <c r="L2157" s="81"/>
      <c r="M2157" s="81"/>
      <c r="N2157" s="84" t="str">
        <f aca="false">IF(C2157="","",IF(P2157="","NJ INCONNU",IF(I2157="",IF(H2157="OUI","À ENROBER",IF(G2157="À SOUDER","NON SOUDÉ","EN ATTENTE RT")),IF(L2157="R","À REPRENDRE",IF(H2157&lt;&gt;"OUI","⚠ ENROBÉ AVANT ACCEPTATION RT","ENROBÉ")))))</f>
        <v>À ENROBER</v>
      </c>
      <c r="O2157" s="80"/>
      <c r="P2157" s="82" t="n">
        <f aca="false">IF(C2157="","",IFERROR(MATCH(Q2157,'CARNET DE SOUDURE'!$AW$7:$AW$3006,0),""))</f>
        <v>2151</v>
      </c>
      <c r="Q2157" s="82" t="str">
        <f aca="false">IF(C2157="","",B2157&amp;"|"&amp;C2157)</f>
        <v>MFD-ISW → MFD-CPF|JN°1673</v>
      </c>
    </row>
    <row r="2158" customFormat="false" ht="74.6" hidden="false" customHeight="false" outlineLevel="0" collapsed="false">
      <c r="A2158" s="82" t="n">
        <f aca="false">IF(C2158="","",ROW()-6)</f>
        <v>2152</v>
      </c>
      <c r="B2158" s="80" t="s">
        <v>110</v>
      </c>
      <c r="C2158" s="113" t="s">
        <v>2619</v>
      </c>
      <c r="D2158" s="82" t="str">
        <f aca="false">IF(OR(C2158="",P2158=""),"",INDEX('CARNET DE SOUDURE'!$D$7:$D$3006,P2158)&amp;"")</f>
        <v>20</v>
      </c>
      <c r="E2158" s="114" t="n">
        <f aca="false">IF(OR(C2158="",P2158=""),"",IF(INDEX('CARNET DE SOUDURE'!$U$7:$U$3006,P2158)="","",INDEX('CARNET DE SOUDURE'!$U$7:$U$3006,P2158)))</f>
        <v>46263</v>
      </c>
      <c r="F2158" s="82" t="str">
        <f aca="false">IF(OR(C2158="",P2158=""),"",INDEX('CARNET DE SOUDURE'!$AP$7:$AP$3006,P2158))</f>
        <v>A</v>
      </c>
      <c r="G2158" s="82" t="str">
        <f aca="false">IF(C2158="","",IF(P2158="","NJ INCONNU",INDEX('CARNET DE SOUDURE'!$AQ$7:$AQ$3006,P2158)))</f>
        <v>ACCEPTÉ</v>
      </c>
      <c r="H2158" s="82" t="str">
        <f aca="false">IF(C2158="","",IF(G2158="ACCEPTÉ","OUI","NON"))</f>
        <v>OUI</v>
      </c>
      <c r="I2158" s="83"/>
      <c r="J2158" s="80"/>
      <c r="K2158" s="81"/>
      <c r="L2158" s="81"/>
      <c r="M2158" s="81"/>
      <c r="N2158" s="84" t="str">
        <f aca="false">IF(C2158="","",IF(P2158="","NJ INCONNU",IF(I2158="",IF(H2158="OUI","À ENROBER",IF(G2158="À SOUDER","NON SOUDÉ","EN ATTENTE RT")),IF(L2158="R","À REPRENDRE",IF(H2158&lt;&gt;"OUI","⚠ ENROBÉ AVANT ACCEPTATION RT","ENROBÉ")))))</f>
        <v>À ENROBER</v>
      </c>
      <c r="O2158" s="80"/>
      <c r="P2158" s="82" t="n">
        <f aca="false">IF(C2158="","",IFERROR(MATCH(Q2158,'CARNET DE SOUDURE'!$AW$7:$AW$3006,0),""))</f>
        <v>2152</v>
      </c>
      <c r="Q2158" s="82" t="str">
        <f aca="false">IF(C2158="","",B2158&amp;"|"&amp;C2158)</f>
        <v>MFD-ISW → MFD-CPF|JN°1674</v>
      </c>
    </row>
    <row r="2159" customFormat="false" ht="74.6" hidden="false" customHeight="false" outlineLevel="0" collapsed="false">
      <c r="A2159" s="82" t="n">
        <f aca="false">IF(C2159="","",ROW()-6)</f>
        <v>2153</v>
      </c>
      <c r="B2159" s="80" t="s">
        <v>110</v>
      </c>
      <c r="C2159" s="113" t="s">
        <v>2620</v>
      </c>
      <c r="D2159" s="82" t="str">
        <f aca="false">IF(OR(C2159="",P2159=""),"",INDEX('CARNET DE SOUDURE'!$D$7:$D$3006,P2159)&amp;"")</f>
        <v>20</v>
      </c>
      <c r="E2159" s="114" t="n">
        <f aca="false">IF(OR(C2159="",P2159=""),"",IF(INDEX('CARNET DE SOUDURE'!$U$7:$U$3006,P2159)="","",INDEX('CARNET DE SOUDURE'!$U$7:$U$3006,P2159)))</f>
        <v>46263</v>
      </c>
      <c r="F2159" s="82" t="str">
        <f aca="false">IF(OR(C2159="",P2159=""),"",INDEX('CARNET DE SOUDURE'!$AP$7:$AP$3006,P2159))</f>
        <v>A</v>
      </c>
      <c r="G2159" s="82" t="str">
        <f aca="false">IF(C2159="","",IF(P2159="","NJ INCONNU",INDEX('CARNET DE SOUDURE'!$AQ$7:$AQ$3006,P2159)))</f>
        <v>ACCEPTÉ</v>
      </c>
      <c r="H2159" s="82" t="str">
        <f aca="false">IF(C2159="","",IF(G2159="ACCEPTÉ","OUI","NON"))</f>
        <v>OUI</v>
      </c>
      <c r="I2159" s="83"/>
      <c r="J2159" s="80"/>
      <c r="K2159" s="81"/>
      <c r="L2159" s="81"/>
      <c r="M2159" s="81"/>
      <c r="N2159" s="84" t="str">
        <f aca="false">IF(C2159="","",IF(P2159="","NJ INCONNU",IF(I2159="",IF(H2159="OUI","À ENROBER",IF(G2159="À SOUDER","NON SOUDÉ","EN ATTENTE RT")),IF(L2159="R","À REPRENDRE",IF(H2159&lt;&gt;"OUI","⚠ ENROBÉ AVANT ACCEPTATION RT","ENROBÉ")))))</f>
        <v>À ENROBER</v>
      </c>
      <c r="O2159" s="80"/>
      <c r="P2159" s="82" t="n">
        <f aca="false">IF(C2159="","",IFERROR(MATCH(Q2159,'CARNET DE SOUDURE'!$AW$7:$AW$3006,0),""))</f>
        <v>2153</v>
      </c>
      <c r="Q2159" s="82" t="str">
        <f aca="false">IF(C2159="","",B2159&amp;"|"&amp;C2159)</f>
        <v>MFD-ISW → MFD-CPF|JN°1675</v>
      </c>
    </row>
    <row r="2160" customFormat="false" ht="74.6" hidden="false" customHeight="false" outlineLevel="0" collapsed="false">
      <c r="A2160" s="82" t="n">
        <f aca="false">IF(C2160="","",ROW()-6)</f>
        <v>2154</v>
      </c>
      <c r="B2160" s="80" t="s">
        <v>110</v>
      </c>
      <c r="C2160" s="113" t="s">
        <v>2621</v>
      </c>
      <c r="D2160" s="82" t="str">
        <f aca="false">IF(OR(C2160="",P2160=""),"",INDEX('CARNET DE SOUDURE'!$D$7:$D$3006,P2160)&amp;"")</f>
        <v>20</v>
      </c>
      <c r="E2160" s="114" t="n">
        <f aca="false">IF(OR(C2160="",P2160=""),"",IF(INDEX('CARNET DE SOUDURE'!$U$7:$U$3006,P2160)="","",INDEX('CARNET DE SOUDURE'!$U$7:$U$3006,P2160)))</f>
        <v>46285</v>
      </c>
      <c r="F2160" s="82" t="str">
        <f aca="false">IF(OR(C2160="",P2160=""),"",INDEX('CARNET DE SOUDURE'!$AP$7:$AP$3006,P2160))</f>
        <v>A</v>
      </c>
      <c r="G2160" s="82" t="str">
        <f aca="false">IF(C2160="","",IF(P2160="","NJ INCONNU",INDEX('CARNET DE SOUDURE'!$AQ$7:$AQ$3006,P2160)))</f>
        <v>ACCEPTÉ</v>
      </c>
      <c r="H2160" s="82" t="str">
        <f aca="false">IF(C2160="","",IF(G2160="ACCEPTÉ","OUI","NON"))</f>
        <v>OUI</v>
      </c>
      <c r="I2160" s="83"/>
      <c r="J2160" s="80"/>
      <c r="K2160" s="81"/>
      <c r="L2160" s="81"/>
      <c r="M2160" s="81"/>
      <c r="N2160" s="84" t="str">
        <f aca="false">IF(C2160="","",IF(P2160="","NJ INCONNU",IF(I2160="",IF(H2160="OUI","À ENROBER",IF(G2160="À SOUDER","NON SOUDÉ","EN ATTENTE RT")),IF(L2160="R","À REPRENDRE",IF(H2160&lt;&gt;"OUI","⚠ ENROBÉ AVANT ACCEPTATION RT","ENROBÉ")))))</f>
        <v>À ENROBER</v>
      </c>
      <c r="O2160" s="80"/>
      <c r="P2160" s="82" t="n">
        <f aca="false">IF(C2160="","",IFERROR(MATCH(Q2160,'CARNET DE SOUDURE'!$AW$7:$AW$3006,0),""))</f>
        <v>2154</v>
      </c>
      <c r="Q2160" s="82" t="str">
        <f aca="false">IF(C2160="","",B2160&amp;"|"&amp;C2160)</f>
        <v>MFD-ISW → MFD-CPF|JN°1676R</v>
      </c>
    </row>
    <row r="2161" customFormat="false" ht="74.6" hidden="false" customHeight="false" outlineLevel="0" collapsed="false">
      <c r="A2161" s="82" t="n">
        <f aca="false">IF(C2161="","",ROW()-6)</f>
        <v>2155</v>
      </c>
      <c r="B2161" s="80" t="s">
        <v>110</v>
      </c>
      <c r="C2161" s="113" t="s">
        <v>2622</v>
      </c>
      <c r="D2161" s="82" t="str">
        <f aca="false">IF(OR(C2161="",P2161=""),"",INDEX('CARNET DE SOUDURE'!$D$7:$D$3006,P2161)&amp;"")</f>
        <v>20</v>
      </c>
      <c r="E2161" s="114" t="n">
        <f aca="false">IF(OR(C2161="",P2161=""),"",IF(INDEX('CARNET DE SOUDURE'!$U$7:$U$3006,P2161)="","",INDEX('CARNET DE SOUDURE'!$U$7:$U$3006,P2161)))</f>
        <v>46263</v>
      </c>
      <c r="F2161" s="82" t="str">
        <f aca="false">IF(OR(C2161="",P2161=""),"",INDEX('CARNET DE SOUDURE'!$AP$7:$AP$3006,P2161))</f>
        <v>A</v>
      </c>
      <c r="G2161" s="82" t="str">
        <f aca="false">IF(C2161="","",IF(P2161="","NJ INCONNU",INDEX('CARNET DE SOUDURE'!$AQ$7:$AQ$3006,P2161)))</f>
        <v>ACCEPTÉ</v>
      </c>
      <c r="H2161" s="82" t="str">
        <f aca="false">IF(C2161="","",IF(G2161="ACCEPTÉ","OUI","NON"))</f>
        <v>OUI</v>
      </c>
      <c r="I2161" s="83"/>
      <c r="J2161" s="80"/>
      <c r="K2161" s="81"/>
      <c r="L2161" s="81"/>
      <c r="M2161" s="81"/>
      <c r="N2161" s="84" t="str">
        <f aca="false">IF(C2161="","",IF(P2161="","NJ INCONNU",IF(I2161="",IF(H2161="OUI","À ENROBER",IF(G2161="À SOUDER","NON SOUDÉ","EN ATTENTE RT")),IF(L2161="R","À REPRENDRE",IF(H2161&lt;&gt;"OUI","⚠ ENROBÉ AVANT ACCEPTATION RT","ENROBÉ")))))</f>
        <v>À ENROBER</v>
      </c>
      <c r="O2161" s="80"/>
      <c r="P2161" s="82" t="n">
        <f aca="false">IF(C2161="","",IFERROR(MATCH(Q2161,'CARNET DE SOUDURE'!$AW$7:$AW$3006,0),""))</f>
        <v>2155</v>
      </c>
      <c r="Q2161" s="82" t="str">
        <f aca="false">IF(C2161="","",B2161&amp;"|"&amp;C2161)</f>
        <v>MFD-ISW → MFD-CPF|JN°1677</v>
      </c>
    </row>
    <row r="2162" customFormat="false" ht="74.6" hidden="false" customHeight="false" outlineLevel="0" collapsed="false">
      <c r="A2162" s="82" t="n">
        <f aca="false">IF(C2162="","",ROW()-6)</f>
        <v>2156</v>
      </c>
      <c r="B2162" s="80" t="s">
        <v>110</v>
      </c>
      <c r="C2162" s="113" t="s">
        <v>2623</v>
      </c>
      <c r="D2162" s="82" t="str">
        <f aca="false">IF(OR(C2162="",P2162=""),"",INDEX('CARNET DE SOUDURE'!$D$7:$D$3006,P2162)&amp;"")</f>
        <v>20</v>
      </c>
      <c r="E2162" s="114" t="n">
        <f aca="false">IF(OR(C2162="",P2162=""),"",IF(INDEX('CARNET DE SOUDURE'!$U$7:$U$3006,P2162)="","",INDEX('CARNET DE SOUDURE'!$U$7:$U$3006,P2162)))</f>
        <v>46263</v>
      </c>
      <c r="F2162" s="82" t="str">
        <f aca="false">IF(OR(C2162="",P2162=""),"",INDEX('CARNET DE SOUDURE'!$AP$7:$AP$3006,P2162))</f>
        <v>A</v>
      </c>
      <c r="G2162" s="82" t="str">
        <f aca="false">IF(C2162="","",IF(P2162="","NJ INCONNU",INDEX('CARNET DE SOUDURE'!$AQ$7:$AQ$3006,P2162)))</f>
        <v>ACCEPTÉ</v>
      </c>
      <c r="H2162" s="82" t="str">
        <f aca="false">IF(C2162="","",IF(G2162="ACCEPTÉ","OUI","NON"))</f>
        <v>OUI</v>
      </c>
      <c r="I2162" s="83"/>
      <c r="J2162" s="80"/>
      <c r="K2162" s="81"/>
      <c r="L2162" s="81"/>
      <c r="M2162" s="81"/>
      <c r="N2162" s="84" t="str">
        <f aca="false">IF(C2162="","",IF(P2162="","NJ INCONNU",IF(I2162="",IF(H2162="OUI","À ENROBER",IF(G2162="À SOUDER","NON SOUDÉ","EN ATTENTE RT")),IF(L2162="R","À REPRENDRE",IF(H2162&lt;&gt;"OUI","⚠ ENROBÉ AVANT ACCEPTATION RT","ENROBÉ")))))</f>
        <v>À ENROBER</v>
      </c>
      <c r="O2162" s="80"/>
      <c r="P2162" s="82" t="n">
        <f aca="false">IF(C2162="","",IFERROR(MATCH(Q2162,'CARNET DE SOUDURE'!$AW$7:$AW$3006,0),""))</f>
        <v>2156</v>
      </c>
      <c r="Q2162" s="82" t="str">
        <f aca="false">IF(C2162="","",B2162&amp;"|"&amp;C2162)</f>
        <v>MFD-ISW → MFD-CPF|JN°1678</v>
      </c>
    </row>
    <row r="2163" customFormat="false" ht="74.6" hidden="false" customHeight="false" outlineLevel="0" collapsed="false">
      <c r="A2163" s="82" t="n">
        <f aca="false">IF(C2163="","",ROW()-6)</f>
        <v>2157</v>
      </c>
      <c r="B2163" s="80" t="s">
        <v>110</v>
      </c>
      <c r="C2163" s="113" t="s">
        <v>2624</v>
      </c>
      <c r="D2163" s="82" t="str">
        <f aca="false">IF(OR(C2163="",P2163=""),"",INDEX('CARNET DE SOUDURE'!$D$7:$D$3006,P2163)&amp;"")</f>
        <v>20</v>
      </c>
      <c r="E2163" s="114" t="n">
        <f aca="false">IF(OR(C2163="",P2163=""),"",IF(INDEX('CARNET DE SOUDURE'!$U$7:$U$3006,P2163)="","",INDEX('CARNET DE SOUDURE'!$U$7:$U$3006,P2163)))</f>
        <v>46263</v>
      </c>
      <c r="F2163" s="82" t="str">
        <f aca="false">IF(OR(C2163="",P2163=""),"",INDEX('CARNET DE SOUDURE'!$AP$7:$AP$3006,P2163))</f>
        <v>A</v>
      </c>
      <c r="G2163" s="82" t="str">
        <f aca="false">IF(C2163="","",IF(P2163="","NJ INCONNU",INDEX('CARNET DE SOUDURE'!$AQ$7:$AQ$3006,P2163)))</f>
        <v>ACCEPTÉ</v>
      </c>
      <c r="H2163" s="82" t="str">
        <f aca="false">IF(C2163="","",IF(G2163="ACCEPTÉ","OUI","NON"))</f>
        <v>OUI</v>
      </c>
      <c r="I2163" s="83"/>
      <c r="J2163" s="80"/>
      <c r="K2163" s="81"/>
      <c r="L2163" s="81"/>
      <c r="M2163" s="81"/>
      <c r="N2163" s="84" t="str">
        <f aca="false">IF(C2163="","",IF(P2163="","NJ INCONNU",IF(I2163="",IF(H2163="OUI","À ENROBER",IF(G2163="À SOUDER","NON SOUDÉ","EN ATTENTE RT")),IF(L2163="R","À REPRENDRE",IF(H2163&lt;&gt;"OUI","⚠ ENROBÉ AVANT ACCEPTATION RT","ENROBÉ")))))</f>
        <v>À ENROBER</v>
      </c>
      <c r="O2163" s="80"/>
      <c r="P2163" s="82" t="n">
        <f aca="false">IF(C2163="","",IFERROR(MATCH(Q2163,'CARNET DE SOUDURE'!$AW$7:$AW$3006,0),""))</f>
        <v>2157</v>
      </c>
      <c r="Q2163" s="82" t="str">
        <f aca="false">IF(C2163="","",B2163&amp;"|"&amp;C2163)</f>
        <v>MFD-ISW → MFD-CPF|JN°1679</v>
      </c>
    </row>
    <row r="2164" customFormat="false" ht="74.6" hidden="false" customHeight="false" outlineLevel="0" collapsed="false">
      <c r="A2164" s="82" t="n">
        <f aca="false">IF(C2164="","",ROW()-6)</f>
        <v>2158</v>
      </c>
      <c r="B2164" s="80" t="s">
        <v>110</v>
      </c>
      <c r="C2164" s="113" t="s">
        <v>2626</v>
      </c>
      <c r="D2164" s="82" t="str">
        <f aca="false">IF(OR(C2164="",P2164=""),"",INDEX('CARNET DE SOUDURE'!$D$7:$D$3006,P2164)&amp;"")</f>
        <v>20</v>
      </c>
      <c r="E2164" s="114" t="n">
        <f aca="false">IF(OR(C2164="",P2164=""),"",IF(INDEX('CARNET DE SOUDURE'!$U$7:$U$3006,P2164)="","",INDEX('CARNET DE SOUDURE'!$U$7:$U$3006,P2164)))</f>
        <v>46263</v>
      </c>
      <c r="F2164" s="82" t="str">
        <f aca="false">IF(OR(C2164="",P2164=""),"",INDEX('CARNET DE SOUDURE'!$AP$7:$AP$3006,P2164))</f>
        <v>A</v>
      </c>
      <c r="G2164" s="82" t="str">
        <f aca="false">IF(C2164="","",IF(P2164="","NJ INCONNU",INDEX('CARNET DE SOUDURE'!$AQ$7:$AQ$3006,P2164)))</f>
        <v>ACCEPTÉ</v>
      </c>
      <c r="H2164" s="82" t="str">
        <f aca="false">IF(C2164="","",IF(G2164="ACCEPTÉ","OUI","NON"))</f>
        <v>OUI</v>
      </c>
      <c r="I2164" s="83"/>
      <c r="J2164" s="80"/>
      <c r="K2164" s="81"/>
      <c r="L2164" s="81"/>
      <c r="M2164" s="81"/>
      <c r="N2164" s="84" t="str">
        <f aca="false">IF(C2164="","",IF(P2164="","NJ INCONNU",IF(I2164="",IF(H2164="OUI","À ENROBER",IF(G2164="À SOUDER","NON SOUDÉ","EN ATTENTE RT")),IF(L2164="R","À REPRENDRE",IF(H2164&lt;&gt;"OUI","⚠ ENROBÉ AVANT ACCEPTATION RT","ENROBÉ")))))</f>
        <v>À ENROBER</v>
      </c>
      <c r="O2164" s="80"/>
      <c r="P2164" s="82" t="n">
        <f aca="false">IF(C2164="","",IFERROR(MATCH(Q2164,'CARNET DE SOUDURE'!$AW$7:$AW$3006,0),""))</f>
        <v>2158</v>
      </c>
      <c r="Q2164" s="82" t="str">
        <f aca="false">IF(C2164="","",B2164&amp;"|"&amp;C2164)</f>
        <v>MFD-ISW → MFD-CPF|JN°1680</v>
      </c>
    </row>
    <row r="2165" customFormat="false" ht="74.6" hidden="false" customHeight="false" outlineLevel="0" collapsed="false">
      <c r="A2165" s="82" t="n">
        <f aca="false">IF(C2165="","",ROW()-6)</f>
        <v>2159</v>
      </c>
      <c r="B2165" s="80" t="s">
        <v>110</v>
      </c>
      <c r="C2165" s="113" t="s">
        <v>2627</v>
      </c>
      <c r="D2165" s="82" t="str">
        <f aca="false">IF(OR(C2165="",P2165=""),"",INDEX('CARNET DE SOUDURE'!$D$7:$D$3006,P2165)&amp;"")</f>
        <v>20</v>
      </c>
      <c r="E2165" s="114" t="n">
        <f aca="false">IF(OR(C2165="",P2165=""),"",IF(INDEX('CARNET DE SOUDURE'!$U$7:$U$3006,P2165)="","",INDEX('CARNET DE SOUDURE'!$U$7:$U$3006,P2165)))</f>
        <v>46263</v>
      </c>
      <c r="F2165" s="82" t="str">
        <f aca="false">IF(OR(C2165="",P2165=""),"",INDEX('CARNET DE SOUDURE'!$AP$7:$AP$3006,P2165))</f>
        <v>A</v>
      </c>
      <c r="G2165" s="82" t="str">
        <f aca="false">IF(C2165="","",IF(P2165="","NJ INCONNU",INDEX('CARNET DE SOUDURE'!$AQ$7:$AQ$3006,P2165)))</f>
        <v>ACCEPTÉ</v>
      </c>
      <c r="H2165" s="82" t="str">
        <f aca="false">IF(C2165="","",IF(G2165="ACCEPTÉ","OUI","NON"))</f>
        <v>OUI</v>
      </c>
      <c r="I2165" s="83"/>
      <c r="J2165" s="80"/>
      <c r="K2165" s="81"/>
      <c r="L2165" s="81"/>
      <c r="M2165" s="81"/>
      <c r="N2165" s="84" t="str">
        <f aca="false">IF(C2165="","",IF(P2165="","NJ INCONNU",IF(I2165="",IF(H2165="OUI","À ENROBER",IF(G2165="À SOUDER","NON SOUDÉ","EN ATTENTE RT")),IF(L2165="R","À REPRENDRE",IF(H2165&lt;&gt;"OUI","⚠ ENROBÉ AVANT ACCEPTATION RT","ENROBÉ")))))</f>
        <v>À ENROBER</v>
      </c>
      <c r="O2165" s="80"/>
      <c r="P2165" s="82" t="n">
        <f aca="false">IF(C2165="","",IFERROR(MATCH(Q2165,'CARNET DE SOUDURE'!$AW$7:$AW$3006,0),""))</f>
        <v>2159</v>
      </c>
      <c r="Q2165" s="82" t="str">
        <f aca="false">IF(C2165="","",B2165&amp;"|"&amp;C2165)</f>
        <v>MFD-ISW → MFD-CPF|JN°1681</v>
      </c>
    </row>
    <row r="2166" customFormat="false" ht="74.6" hidden="false" customHeight="false" outlineLevel="0" collapsed="false">
      <c r="A2166" s="82" t="n">
        <f aca="false">IF(C2166="","",ROW()-6)</f>
        <v>2160</v>
      </c>
      <c r="B2166" s="80" t="s">
        <v>110</v>
      </c>
      <c r="C2166" s="113" t="s">
        <v>2628</v>
      </c>
      <c r="D2166" s="82" t="str">
        <f aca="false">IF(OR(C2166="",P2166=""),"",INDEX('CARNET DE SOUDURE'!$D$7:$D$3006,P2166)&amp;"")</f>
        <v>20</v>
      </c>
      <c r="E2166" s="114" t="n">
        <f aca="false">IF(OR(C2166="",P2166=""),"",IF(INDEX('CARNET DE SOUDURE'!$U$7:$U$3006,P2166)="","",INDEX('CARNET DE SOUDURE'!$U$7:$U$3006,P2166)))</f>
        <v>46263</v>
      </c>
      <c r="F2166" s="82" t="str">
        <f aca="false">IF(OR(C2166="",P2166=""),"",INDEX('CARNET DE SOUDURE'!$AP$7:$AP$3006,P2166))</f>
        <v>A</v>
      </c>
      <c r="G2166" s="82" t="str">
        <f aca="false">IF(C2166="","",IF(P2166="","NJ INCONNU",INDEX('CARNET DE SOUDURE'!$AQ$7:$AQ$3006,P2166)))</f>
        <v>ACCEPTÉ</v>
      </c>
      <c r="H2166" s="82" t="str">
        <f aca="false">IF(C2166="","",IF(G2166="ACCEPTÉ","OUI","NON"))</f>
        <v>OUI</v>
      </c>
      <c r="I2166" s="83"/>
      <c r="J2166" s="80"/>
      <c r="K2166" s="81"/>
      <c r="L2166" s="81"/>
      <c r="M2166" s="81"/>
      <c r="N2166" s="84" t="str">
        <f aca="false">IF(C2166="","",IF(P2166="","NJ INCONNU",IF(I2166="",IF(H2166="OUI","À ENROBER",IF(G2166="À SOUDER","NON SOUDÉ","EN ATTENTE RT")),IF(L2166="R","À REPRENDRE",IF(H2166&lt;&gt;"OUI","⚠ ENROBÉ AVANT ACCEPTATION RT","ENROBÉ")))))</f>
        <v>À ENROBER</v>
      </c>
      <c r="O2166" s="80"/>
      <c r="P2166" s="82" t="n">
        <f aca="false">IF(C2166="","",IFERROR(MATCH(Q2166,'CARNET DE SOUDURE'!$AW$7:$AW$3006,0),""))</f>
        <v>2160</v>
      </c>
      <c r="Q2166" s="82" t="str">
        <f aca="false">IF(C2166="","",B2166&amp;"|"&amp;C2166)</f>
        <v>MFD-ISW → MFD-CPF|JN°1682</v>
      </c>
    </row>
    <row r="2167" customFormat="false" ht="74.6" hidden="false" customHeight="false" outlineLevel="0" collapsed="false">
      <c r="A2167" s="82" t="n">
        <f aca="false">IF(C2167="","",ROW()-6)</f>
        <v>2161</v>
      </c>
      <c r="B2167" s="80" t="s">
        <v>110</v>
      </c>
      <c r="C2167" s="113" t="s">
        <v>2630</v>
      </c>
      <c r="D2167" s="82" t="str">
        <f aca="false">IF(OR(C2167="",P2167=""),"",INDEX('CARNET DE SOUDURE'!$D$7:$D$3006,P2167)&amp;"")</f>
        <v>20</v>
      </c>
      <c r="E2167" s="114" t="n">
        <f aca="false">IF(OR(C2167="",P2167=""),"",IF(INDEX('CARNET DE SOUDURE'!$U$7:$U$3006,P2167)="","",INDEX('CARNET DE SOUDURE'!$U$7:$U$3006,P2167)))</f>
        <v>46285</v>
      </c>
      <c r="F2167" s="82" t="str">
        <f aca="false">IF(OR(C2167="",P2167=""),"",INDEX('CARNET DE SOUDURE'!$AP$7:$AP$3006,P2167))</f>
        <v>A</v>
      </c>
      <c r="G2167" s="82" t="str">
        <f aca="false">IF(C2167="","",IF(P2167="","NJ INCONNU",INDEX('CARNET DE SOUDURE'!$AQ$7:$AQ$3006,P2167)))</f>
        <v>ACCEPTÉ</v>
      </c>
      <c r="H2167" s="82" t="str">
        <f aca="false">IF(C2167="","",IF(G2167="ACCEPTÉ","OUI","NON"))</f>
        <v>OUI</v>
      </c>
      <c r="I2167" s="83"/>
      <c r="J2167" s="80"/>
      <c r="K2167" s="81"/>
      <c r="L2167" s="81"/>
      <c r="M2167" s="81"/>
      <c r="N2167" s="84" t="str">
        <f aca="false">IF(C2167="","",IF(P2167="","NJ INCONNU",IF(I2167="",IF(H2167="OUI","À ENROBER",IF(G2167="À SOUDER","NON SOUDÉ","EN ATTENTE RT")),IF(L2167="R","À REPRENDRE",IF(H2167&lt;&gt;"OUI","⚠ ENROBÉ AVANT ACCEPTATION RT","ENROBÉ")))))</f>
        <v>À ENROBER</v>
      </c>
      <c r="O2167" s="80"/>
      <c r="P2167" s="82" t="n">
        <f aca="false">IF(C2167="","",IFERROR(MATCH(Q2167,'CARNET DE SOUDURE'!$AW$7:$AW$3006,0),""))</f>
        <v>2161</v>
      </c>
      <c r="Q2167" s="82" t="str">
        <f aca="false">IF(C2167="","",B2167&amp;"|"&amp;C2167)</f>
        <v>MFD-ISW → MFD-CPF|JN°1683R</v>
      </c>
    </row>
    <row r="2168" customFormat="false" ht="74.6" hidden="false" customHeight="false" outlineLevel="0" collapsed="false">
      <c r="A2168" s="82" t="n">
        <f aca="false">IF(C2168="","",ROW()-6)</f>
        <v>2162</v>
      </c>
      <c r="B2168" s="80" t="s">
        <v>110</v>
      </c>
      <c r="C2168" s="113" t="s">
        <v>2631</v>
      </c>
      <c r="D2168" s="82" t="str">
        <f aca="false">IF(OR(C2168="",P2168=""),"",INDEX('CARNET DE SOUDURE'!$D$7:$D$3006,P2168)&amp;"")</f>
        <v>20</v>
      </c>
      <c r="E2168" s="114" t="n">
        <f aca="false">IF(OR(C2168="",P2168=""),"",IF(INDEX('CARNET DE SOUDURE'!$U$7:$U$3006,P2168)="","",INDEX('CARNET DE SOUDURE'!$U$7:$U$3006,P2168)))</f>
        <v>46263</v>
      </c>
      <c r="F2168" s="82" t="str">
        <f aca="false">IF(OR(C2168="",P2168=""),"",INDEX('CARNET DE SOUDURE'!$AP$7:$AP$3006,P2168))</f>
        <v>A</v>
      </c>
      <c r="G2168" s="82" t="str">
        <f aca="false">IF(C2168="","",IF(P2168="","NJ INCONNU",INDEX('CARNET DE SOUDURE'!$AQ$7:$AQ$3006,P2168)))</f>
        <v>ACCEPTÉ</v>
      </c>
      <c r="H2168" s="82" t="str">
        <f aca="false">IF(C2168="","",IF(G2168="ACCEPTÉ","OUI","NON"))</f>
        <v>OUI</v>
      </c>
      <c r="I2168" s="83"/>
      <c r="J2168" s="80"/>
      <c r="K2168" s="81"/>
      <c r="L2168" s="81"/>
      <c r="M2168" s="81"/>
      <c r="N2168" s="84" t="str">
        <f aca="false">IF(C2168="","",IF(P2168="","NJ INCONNU",IF(I2168="",IF(H2168="OUI","À ENROBER",IF(G2168="À SOUDER","NON SOUDÉ","EN ATTENTE RT")),IF(L2168="R","À REPRENDRE",IF(H2168&lt;&gt;"OUI","⚠ ENROBÉ AVANT ACCEPTATION RT","ENROBÉ")))))</f>
        <v>À ENROBER</v>
      </c>
      <c r="O2168" s="80"/>
      <c r="P2168" s="82" t="n">
        <f aca="false">IF(C2168="","",IFERROR(MATCH(Q2168,'CARNET DE SOUDURE'!$AW$7:$AW$3006,0),""))</f>
        <v>2162</v>
      </c>
      <c r="Q2168" s="82" t="str">
        <f aca="false">IF(C2168="","",B2168&amp;"|"&amp;C2168)</f>
        <v>MFD-ISW → MFD-CPF|JN°1684</v>
      </c>
    </row>
    <row r="2169" customFormat="false" ht="74.6" hidden="false" customHeight="false" outlineLevel="0" collapsed="false">
      <c r="A2169" s="82" t="n">
        <f aca="false">IF(C2169="","",ROW()-6)</f>
        <v>2163</v>
      </c>
      <c r="B2169" s="80" t="s">
        <v>110</v>
      </c>
      <c r="C2169" s="113" t="s">
        <v>2632</v>
      </c>
      <c r="D2169" s="82" t="str">
        <f aca="false">IF(OR(C2169="",P2169=""),"",INDEX('CARNET DE SOUDURE'!$D$7:$D$3006,P2169)&amp;"")</f>
        <v>20</v>
      </c>
      <c r="E2169" s="114" t="n">
        <f aca="false">IF(OR(C2169="",P2169=""),"",IF(INDEX('CARNET DE SOUDURE'!$U$7:$U$3006,P2169)="","",INDEX('CARNET DE SOUDURE'!$U$7:$U$3006,P2169)))</f>
        <v>46263</v>
      </c>
      <c r="F2169" s="82" t="str">
        <f aca="false">IF(OR(C2169="",P2169=""),"",INDEX('CARNET DE SOUDURE'!$AP$7:$AP$3006,P2169))</f>
        <v>A</v>
      </c>
      <c r="G2169" s="82" t="str">
        <f aca="false">IF(C2169="","",IF(P2169="","NJ INCONNU",INDEX('CARNET DE SOUDURE'!$AQ$7:$AQ$3006,P2169)))</f>
        <v>ACCEPTÉ</v>
      </c>
      <c r="H2169" s="82" t="str">
        <f aca="false">IF(C2169="","",IF(G2169="ACCEPTÉ","OUI","NON"))</f>
        <v>OUI</v>
      </c>
      <c r="I2169" s="83"/>
      <c r="J2169" s="80"/>
      <c r="K2169" s="81"/>
      <c r="L2169" s="81"/>
      <c r="M2169" s="81"/>
      <c r="N2169" s="84" t="str">
        <f aca="false">IF(C2169="","",IF(P2169="","NJ INCONNU",IF(I2169="",IF(H2169="OUI","À ENROBER",IF(G2169="À SOUDER","NON SOUDÉ","EN ATTENTE RT")),IF(L2169="R","À REPRENDRE",IF(H2169&lt;&gt;"OUI","⚠ ENROBÉ AVANT ACCEPTATION RT","ENROBÉ")))))</f>
        <v>À ENROBER</v>
      </c>
      <c r="O2169" s="80"/>
      <c r="P2169" s="82" t="n">
        <f aca="false">IF(C2169="","",IFERROR(MATCH(Q2169,'CARNET DE SOUDURE'!$AW$7:$AW$3006,0),""))</f>
        <v>2163</v>
      </c>
      <c r="Q2169" s="82" t="str">
        <f aca="false">IF(C2169="","",B2169&amp;"|"&amp;C2169)</f>
        <v>MFD-ISW → MFD-CPF|JN°1685</v>
      </c>
    </row>
    <row r="2170" customFormat="false" ht="74.6" hidden="false" customHeight="false" outlineLevel="0" collapsed="false">
      <c r="A2170" s="82" t="n">
        <f aca="false">IF(C2170="","",ROW()-6)</f>
        <v>2164</v>
      </c>
      <c r="B2170" s="80" t="s">
        <v>110</v>
      </c>
      <c r="C2170" s="113" t="s">
        <v>2633</v>
      </c>
      <c r="D2170" s="82" t="str">
        <f aca="false">IF(OR(C2170="",P2170=""),"",INDEX('CARNET DE SOUDURE'!$D$7:$D$3006,P2170)&amp;"")</f>
        <v>20</v>
      </c>
      <c r="E2170" s="114" t="n">
        <f aca="false">IF(OR(C2170="",P2170=""),"",IF(INDEX('CARNET DE SOUDURE'!$U$7:$U$3006,P2170)="","",INDEX('CARNET DE SOUDURE'!$U$7:$U$3006,P2170)))</f>
        <v>46263</v>
      </c>
      <c r="F2170" s="82" t="str">
        <f aca="false">IF(OR(C2170="",P2170=""),"",INDEX('CARNET DE SOUDURE'!$AP$7:$AP$3006,P2170))</f>
        <v>A</v>
      </c>
      <c r="G2170" s="82" t="str">
        <f aca="false">IF(C2170="","",IF(P2170="","NJ INCONNU",INDEX('CARNET DE SOUDURE'!$AQ$7:$AQ$3006,P2170)))</f>
        <v>ACCEPTÉ</v>
      </c>
      <c r="H2170" s="82" t="str">
        <f aca="false">IF(C2170="","",IF(G2170="ACCEPTÉ","OUI","NON"))</f>
        <v>OUI</v>
      </c>
      <c r="I2170" s="83"/>
      <c r="J2170" s="80"/>
      <c r="K2170" s="81"/>
      <c r="L2170" s="81"/>
      <c r="M2170" s="81"/>
      <c r="N2170" s="84" t="str">
        <f aca="false">IF(C2170="","",IF(P2170="","NJ INCONNU",IF(I2170="",IF(H2170="OUI","À ENROBER",IF(G2170="À SOUDER","NON SOUDÉ","EN ATTENTE RT")),IF(L2170="R","À REPRENDRE",IF(H2170&lt;&gt;"OUI","⚠ ENROBÉ AVANT ACCEPTATION RT","ENROBÉ")))))</f>
        <v>À ENROBER</v>
      </c>
      <c r="O2170" s="80"/>
      <c r="P2170" s="82" t="n">
        <f aca="false">IF(C2170="","",IFERROR(MATCH(Q2170,'CARNET DE SOUDURE'!$AW$7:$AW$3006,0),""))</f>
        <v>2164</v>
      </c>
      <c r="Q2170" s="82" t="str">
        <f aca="false">IF(C2170="","",B2170&amp;"|"&amp;C2170)</f>
        <v>MFD-ISW → MFD-CPF|JN°1686</v>
      </c>
    </row>
    <row r="2171" customFormat="false" ht="74.6" hidden="false" customHeight="false" outlineLevel="0" collapsed="false">
      <c r="A2171" s="82" t="n">
        <f aca="false">IF(C2171="","",ROW()-6)</f>
        <v>2165</v>
      </c>
      <c r="B2171" s="80" t="s">
        <v>110</v>
      </c>
      <c r="C2171" s="113" t="s">
        <v>2634</v>
      </c>
      <c r="D2171" s="82" t="str">
        <f aca="false">IF(OR(C2171="",P2171=""),"",INDEX('CARNET DE SOUDURE'!$D$7:$D$3006,P2171)&amp;"")</f>
        <v>21</v>
      </c>
      <c r="E2171" s="114" t="n">
        <f aca="false">IF(OR(C2171="",P2171=""),"",IF(INDEX('CARNET DE SOUDURE'!$U$7:$U$3006,P2171)="","",INDEX('CARNET DE SOUDURE'!$U$7:$U$3006,P2171)))</f>
        <v>46263</v>
      </c>
      <c r="F2171" s="82" t="str">
        <f aca="false">IF(OR(C2171="",P2171=""),"",INDEX('CARNET DE SOUDURE'!$AP$7:$AP$3006,P2171))</f>
        <v>A</v>
      </c>
      <c r="G2171" s="82" t="str">
        <f aca="false">IF(C2171="","",IF(P2171="","NJ INCONNU",INDEX('CARNET DE SOUDURE'!$AQ$7:$AQ$3006,P2171)))</f>
        <v>ACCEPTÉ</v>
      </c>
      <c r="H2171" s="82" t="str">
        <f aca="false">IF(C2171="","",IF(G2171="ACCEPTÉ","OUI","NON"))</f>
        <v>OUI</v>
      </c>
      <c r="I2171" s="83"/>
      <c r="J2171" s="80"/>
      <c r="K2171" s="81"/>
      <c r="L2171" s="81"/>
      <c r="M2171" s="81"/>
      <c r="N2171" s="84" t="str">
        <f aca="false">IF(C2171="","",IF(P2171="","NJ INCONNU",IF(I2171="",IF(H2171="OUI","À ENROBER",IF(G2171="À SOUDER","NON SOUDÉ","EN ATTENTE RT")),IF(L2171="R","À REPRENDRE",IF(H2171&lt;&gt;"OUI","⚠ ENROBÉ AVANT ACCEPTATION RT","ENROBÉ")))))</f>
        <v>À ENROBER</v>
      </c>
      <c r="O2171" s="80"/>
      <c r="P2171" s="82" t="n">
        <f aca="false">IF(C2171="","",IFERROR(MATCH(Q2171,'CARNET DE SOUDURE'!$AW$7:$AW$3006,0),""))</f>
        <v>2165</v>
      </c>
      <c r="Q2171" s="82" t="str">
        <f aca="false">IF(C2171="","",B2171&amp;"|"&amp;C2171)</f>
        <v>MFD-ISW → MFD-CPF|JN°1687</v>
      </c>
    </row>
    <row r="2172" customFormat="false" ht="74.6" hidden="false" customHeight="false" outlineLevel="0" collapsed="false">
      <c r="A2172" s="82" t="n">
        <f aca="false">IF(C2172="","",ROW()-6)</f>
        <v>2166</v>
      </c>
      <c r="B2172" s="80" t="s">
        <v>110</v>
      </c>
      <c r="C2172" s="113" t="s">
        <v>2635</v>
      </c>
      <c r="D2172" s="82" t="str">
        <f aca="false">IF(OR(C2172="",P2172=""),"",INDEX('CARNET DE SOUDURE'!$D$7:$D$3006,P2172)&amp;"")</f>
        <v>21</v>
      </c>
      <c r="E2172" s="114" t="str">
        <f aca="false">IF(OR(C2172="",P2172=""),"",IF(INDEX('CARNET DE SOUDURE'!$U$7:$U$3006,P2172)="","",INDEX('CARNET DE SOUDURE'!$U$7:$U$3006,P2172)))</f>
        <v/>
      </c>
      <c r="F2172" s="82" t="str">
        <f aca="false">IF(OR(C2172="",P2172=""),"",INDEX('CARNET DE SOUDURE'!$AP$7:$AP$3006,P2172))</f>
        <v/>
      </c>
      <c r="G2172" s="82" t="str">
        <f aca="false">IF(C2172="","",IF(P2172="","NJ INCONNU",INDEX('CARNET DE SOUDURE'!$AQ$7:$AQ$3006,P2172)))</f>
        <v>À SOUDER</v>
      </c>
      <c r="H2172" s="82" t="str">
        <f aca="false">IF(C2172="","",IF(G2172="ACCEPTÉ","OUI","NON"))</f>
        <v>NON</v>
      </c>
      <c r="I2172" s="83"/>
      <c r="J2172" s="80"/>
      <c r="K2172" s="81"/>
      <c r="L2172" s="81"/>
      <c r="M2172" s="81"/>
      <c r="N2172" s="84" t="str">
        <f aca="false">IF(C2172="","",IF(P2172="","NJ INCONNU",IF(I2172="",IF(H2172="OUI","À ENROBER",IF(G2172="À SOUDER","NON SOUDÉ","EN ATTENTE RT")),IF(L2172="R","À REPRENDRE",IF(H2172&lt;&gt;"OUI","⚠ ENROBÉ AVANT ACCEPTATION RT","ENROBÉ")))))</f>
        <v>NON SOUDÉ</v>
      </c>
      <c r="O2172" s="80"/>
      <c r="P2172" s="82" t="n">
        <f aca="false">IF(C2172="","",IFERROR(MATCH(Q2172,'CARNET DE SOUDURE'!$AW$7:$AW$3006,0),""))</f>
        <v>2166</v>
      </c>
      <c r="Q2172" s="82" t="str">
        <f aca="false">IF(C2172="","",B2172&amp;"|"&amp;C2172)</f>
        <v>MFD-ISW → MFD-CPF|JN°1688</v>
      </c>
    </row>
    <row r="2173" customFormat="false" ht="74.6" hidden="false" customHeight="false" outlineLevel="0" collapsed="false">
      <c r="A2173" s="82" t="n">
        <f aca="false">IF(C2173="","",ROW()-6)</f>
        <v>2167</v>
      </c>
      <c r="B2173" s="80" t="s">
        <v>110</v>
      </c>
      <c r="C2173" s="113" t="s">
        <v>2636</v>
      </c>
      <c r="D2173" s="82" t="str">
        <f aca="false">IF(OR(C2173="",P2173=""),"",INDEX('CARNET DE SOUDURE'!$D$7:$D$3006,P2173)&amp;"")</f>
        <v>21</v>
      </c>
      <c r="E2173" s="114" t="str">
        <f aca="false">IF(OR(C2173="",P2173=""),"",IF(INDEX('CARNET DE SOUDURE'!$U$7:$U$3006,P2173)="","",INDEX('CARNET DE SOUDURE'!$U$7:$U$3006,P2173)))</f>
        <v/>
      </c>
      <c r="F2173" s="82" t="str">
        <f aca="false">IF(OR(C2173="",P2173=""),"",INDEX('CARNET DE SOUDURE'!$AP$7:$AP$3006,P2173))</f>
        <v/>
      </c>
      <c r="G2173" s="82" t="str">
        <f aca="false">IF(C2173="","",IF(P2173="","NJ INCONNU",INDEX('CARNET DE SOUDURE'!$AQ$7:$AQ$3006,P2173)))</f>
        <v>À SOUDER</v>
      </c>
      <c r="H2173" s="82" t="str">
        <f aca="false">IF(C2173="","",IF(G2173="ACCEPTÉ","OUI","NON"))</f>
        <v>NON</v>
      </c>
      <c r="I2173" s="83"/>
      <c r="J2173" s="80"/>
      <c r="K2173" s="81"/>
      <c r="L2173" s="81"/>
      <c r="M2173" s="81"/>
      <c r="N2173" s="84" t="str">
        <f aca="false">IF(C2173="","",IF(P2173="","NJ INCONNU",IF(I2173="",IF(H2173="OUI","À ENROBER",IF(G2173="À SOUDER","NON SOUDÉ","EN ATTENTE RT")),IF(L2173="R","À REPRENDRE",IF(H2173&lt;&gt;"OUI","⚠ ENROBÉ AVANT ACCEPTATION RT","ENROBÉ")))))</f>
        <v>NON SOUDÉ</v>
      </c>
      <c r="O2173" s="80"/>
      <c r="P2173" s="82" t="n">
        <f aca="false">IF(C2173="","",IFERROR(MATCH(Q2173,'CARNET DE SOUDURE'!$AW$7:$AW$3006,0),""))</f>
        <v>2167</v>
      </c>
      <c r="Q2173" s="82" t="str">
        <f aca="false">IF(C2173="","",B2173&amp;"|"&amp;C2173)</f>
        <v>MFD-ISW → MFD-CPF|JN°1689</v>
      </c>
    </row>
    <row r="2174" customFormat="false" ht="74.6" hidden="false" customHeight="false" outlineLevel="0" collapsed="false">
      <c r="A2174" s="82" t="n">
        <f aca="false">IF(C2174="","",ROW()-6)</f>
        <v>2168</v>
      </c>
      <c r="B2174" s="80" t="s">
        <v>110</v>
      </c>
      <c r="C2174" s="113" t="s">
        <v>2637</v>
      </c>
      <c r="D2174" s="82" t="str">
        <f aca="false">IF(OR(C2174="",P2174=""),"",INDEX('CARNET DE SOUDURE'!$D$7:$D$3006,P2174)&amp;"")</f>
        <v>21</v>
      </c>
      <c r="E2174" s="114" t="str">
        <f aca="false">IF(OR(C2174="",P2174=""),"",IF(INDEX('CARNET DE SOUDURE'!$U$7:$U$3006,P2174)="","",INDEX('CARNET DE SOUDURE'!$U$7:$U$3006,P2174)))</f>
        <v/>
      </c>
      <c r="F2174" s="82" t="str">
        <f aca="false">IF(OR(C2174="",P2174=""),"",INDEX('CARNET DE SOUDURE'!$AP$7:$AP$3006,P2174))</f>
        <v/>
      </c>
      <c r="G2174" s="82" t="str">
        <f aca="false">IF(C2174="","",IF(P2174="","NJ INCONNU",INDEX('CARNET DE SOUDURE'!$AQ$7:$AQ$3006,P2174)))</f>
        <v>À SOUDER</v>
      </c>
      <c r="H2174" s="82" t="str">
        <f aca="false">IF(C2174="","",IF(G2174="ACCEPTÉ","OUI","NON"))</f>
        <v>NON</v>
      </c>
      <c r="I2174" s="83"/>
      <c r="J2174" s="80"/>
      <c r="K2174" s="81"/>
      <c r="L2174" s="81"/>
      <c r="M2174" s="81"/>
      <c r="N2174" s="84" t="str">
        <f aca="false">IF(C2174="","",IF(P2174="","NJ INCONNU",IF(I2174="",IF(H2174="OUI","À ENROBER",IF(G2174="À SOUDER","NON SOUDÉ","EN ATTENTE RT")),IF(L2174="R","À REPRENDRE",IF(H2174&lt;&gt;"OUI","⚠ ENROBÉ AVANT ACCEPTATION RT","ENROBÉ")))))</f>
        <v>NON SOUDÉ</v>
      </c>
      <c r="O2174" s="80"/>
      <c r="P2174" s="82" t="n">
        <f aca="false">IF(C2174="","",IFERROR(MATCH(Q2174,'CARNET DE SOUDURE'!$AW$7:$AW$3006,0),""))</f>
        <v>2168</v>
      </c>
      <c r="Q2174" s="82" t="str">
        <f aca="false">IF(C2174="","",B2174&amp;"|"&amp;C2174)</f>
        <v>MFD-ISW → MFD-CPF|JN°1690</v>
      </c>
    </row>
    <row r="2175" customFormat="false" ht="74.6" hidden="false" customHeight="false" outlineLevel="0" collapsed="false">
      <c r="A2175" s="82" t="n">
        <f aca="false">IF(C2175="","",ROW()-6)</f>
        <v>2169</v>
      </c>
      <c r="B2175" s="80" t="s">
        <v>110</v>
      </c>
      <c r="C2175" s="113" t="s">
        <v>2638</v>
      </c>
      <c r="D2175" s="82" t="str">
        <f aca="false">IF(OR(C2175="",P2175=""),"",INDEX('CARNET DE SOUDURE'!$D$7:$D$3006,P2175)&amp;"")</f>
        <v>21</v>
      </c>
      <c r="E2175" s="114" t="str">
        <f aca="false">IF(OR(C2175="",P2175=""),"",IF(INDEX('CARNET DE SOUDURE'!$U$7:$U$3006,P2175)="","",INDEX('CARNET DE SOUDURE'!$U$7:$U$3006,P2175)))</f>
        <v/>
      </c>
      <c r="F2175" s="82" t="str">
        <f aca="false">IF(OR(C2175="",P2175=""),"",INDEX('CARNET DE SOUDURE'!$AP$7:$AP$3006,P2175))</f>
        <v/>
      </c>
      <c r="G2175" s="82" t="str">
        <f aca="false">IF(C2175="","",IF(P2175="","NJ INCONNU",INDEX('CARNET DE SOUDURE'!$AQ$7:$AQ$3006,P2175)))</f>
        <v>À SOUDER</v>
      </c>
      <c r="H2175" s="82" t="str">
        <f aca="false">IF(C2175="","",IF(G2175="ACCEPTÉ","OUI","NON"))</f>
        <v>NON</v>
      </c>
      <c r="I2175" s="83"/>
      <c r="J2175" s="80"/>
      <c r="K2175" s="81"/>
      <c r="L2175" s="81"/>
      <c r="M2175" s="81"/>
      <c r="N2175" s="84" t="str">
        <f aca="false">IF(C2175="","",IF(P2175="","NJ INCONNU",IF(I2175="",IF(H2175="OUI","À ENROBER",IF(G2175="À SOUDER","NON SOUDÉ","EN ATTENTE RT")),IF(L2175="R","À REPRENDRE",IF(H2175&lt;&gt;"OUI","⚠ ENROBÉ AVANT ACCEPTATION RT","ENROBÉ")))))</f>
        <v>NON SOUDÉ</v>
      </c>
      <c r="O2175" s="80"/>
      <c r="P2175" s="82" t="n">
        <f aca="false">IF(C2175="","",IFERROR(MATCH(Q2175,'CARNET DE SOUDURE'!$AW$7:$AW$3006,0),""))</f>
        <v>2169</v>
      </c>
      <c r="Q2175" s="82" t="str">
        <f aca="false">IF(C2175="","",B2175&amp;"|"&amp;C2175)</f>
        <v>MFD-ISW → MFD-CPF|JN°1691</v>
      </c>
    </row>
    <row r="2176" customFormat="false" ht="74.6" hidden="false" customHeight="false" outlineLevel="0" collapsed="false">
      <c r="A2176" s="82" t="n">
        <f aca="false">IF(C2176="","",ROW()-6)</f>
        <v>2170</v>
      </c>
      <c r="B2176" s="80" t="s">
        <v>110</v>
      </c>
      <c r="C2176" s="113" t="s">
        <v>2639</v>
      </c>
      <c r="D2176" s="82" t="str">
        <f aca="false">IF(OR(C2176="",P2176=""),"",INDEX('CARNET DE SOUDURE'!$D$7:$D$3006,P2176)&amp;"")</f>
        <v>21</v>
      </c>
      <c r="E2176" s="114" t="str">
        <f aca="false">IF(OR(C2176="",P2176=""),"",IF(INDEX('CARNET DE SOUDURE'!$U$7:$U$3006,P2176)="","",INDEX('CARNET DE SOUDURE'!$U$7:$U$3006,P2176)))</f>
        <v/>
      </c>
      <c r="F2176" s="82" t="str">
        <f aca="false">IF(OR(C2176="",P2176=""),"",INDEX('CARNET DE SOUDURE'!$AP$7:$AP$3006,P2176))</f>
        <v/>
      </c>
      <c r="G2176" s="82" t="str">
        <f aca="false">IF(C2176="","",IF(P2176="","NJ INCONNU",INDEX('CARNET DE SOUDURE'!$AQ$7:$AQ$3006,P2176)))</f>
        <v>À SOUDER</v>
      </c>
      <c r="H2176" s="82" t="str">
        <f aca="false">IF(C2176="","",IF(G2176="ACCEPTÉ","OUI","NON"))</f>
        <v>NON</v>
      </c>
      <c r="I2176" s="83"/>
      <c r="J2176" s="80"/>
      <c r="K2176" s="81"/>
      <c r="L2176" s="81"/>
      <c r="M2176" s="81"/>
      <c r="N2176" s="84" t="str">
        <f aca="false">IF(C2176="","",IF(P2176="","NJ INCONNU",IF(I2176="",IF(H2176="OUI","À ENROBER",IF(G2176="À SOUDER","NON SOUDÉ","EN ATTENTE RT")),IF(L2176="R","À REPRENDRE",IF(H2176&lt;&gt;"OUI","⚠ ENROBÉ AVANT ACCEPTATION RT","ENROBÉ")))))</f>
        <v>NON SOUDÉ</v>
      </c>
      <c r="O2176" s="80"/>
      <c r="P2176" s="82" t="n">
        <f aca="false">IF(C2176="","",IFERROR(MATCH(Q2176,'CARNET DE SOUDURE'!$AW$7:$AW$3006,0),""))</f>
        <v>2170</v>
      </c>
      <c r="Q2176" s="82" t="str">
        <f aca="false">IF(C2176="","",B2176&amp;"|"&amp;C2176)</f>
        <v>MFD-ISW → MFD-CPF|JN°1692</v>
      </c>
    </row>
    <row r="2177" customFormat="false" ht="74.6" hidden="false" customHeight="false" outlineLevel="0" collapsed="false">
      <c r="A2177" s="82" t="n">
        <f aca="false">IF(C2177="","",ROW()-6)</f>
        <v>2171</v>
      </c>
      <c r="B2177" s="80" t="s">
        <v>110</v>
      </c>
      <c r="C2177" s="113" t="s">
        <v>2640</v>
      </c>
      <c r="D2177" s="82" t="str">
        <f aca="false">IF(OR(C2177="",P2177=""),"",INDEX('CARNET DE SOUDURE'!$D$7:$D$3006,P2177)&amp;"")</f>
        <v>21</v>
      </c>
      <c r="E2177" s="114" t="str">
        <f aca="false">IF(OR(C2177="",P2177=""),"",IF(INDEX('CARNET DE SOUDURE'!$U$7:$U$3006,P2177)="","",INDEX('CARNET DE SOUDURE'!$U$7:$U$3006,P2177)))</f>
        <v/>
      </c>
      <c r="F2177" s="82" t="str">
        <f aca="false">IF(OR(C2177="",P2177=""),"",INDEX('CARNET DE SOUDURE'!$AP$7:$AP$3006,P2177))</f>
        <v/>
      </c>
      <c r="G2177" s="82" t="str">
        <f aca="false">IF(C2177="","",IF(P2177="","NJ INCONNU",INDEX('CARNET DE SOUDURE'!$AQ$7:$AQ$3006,P2177)))</f>
        <v>À SOUDER</v>
      </c>
      <c r="H2177" s="82" t="str">
        <f aca="false">IF(C2177="","",IF(G2177="ACCEPTÉ","OUI","NON"))</f>
        <v>NON</v>
      </c>
      <c r="I2177" s="83"/>
      <c r="J2177" s="80"/>
      <c r="K2177" s="81"/>
      <c r="L2177" s="81"/>
      <c r="M2177" s="81"/>
      <c r="N2177" s="84" t="str">
        <f aca="false">IF(C2177="","",IF(P2177="","NJ INCONNU",IF(I2177="",IF(H2177="OUI","À ENROBER",IF(G2177="À SOUDER","NON SOUDÉ","EN ATTENTE RT")),IF(L2177="R","À REPRENDRE",IF(H2177&lt;&gt;"OUI","⚠ ENROBÉ AVANT ACCEPTATION RT","ENROBÉ")))))</f>
        <v>NON SOUDÉ</v>
      </c>
      <c r="O2177" s="80"/>
      <c r="P2177" s="82" t="n">
        <f aca="false">IF(C2177="","",IFERROR(MATCH(Q2177,'CARNET DE SOUDURE'!$AW$7:$AW$3006,0),""))</f>
        <v>2171</v>
      </c>
      <c r="Q2177" s="82" t="str">
        <f aca="false">IF(C2177="","",B2177&amp;"|"&amp;C2177)</f>
        <v>MFD-ISW → MFD-CPF|JN°1693</v>
      </c>
    </row>
    <row r="2178" customFormat="false" ht="74.6" hidden="false" customHeight="false" outlineLevel="0" collapsed="false">
      <c r="A2178" s="82" t="n">
        <f aca="false">IF(C2178="","",ROW()-6)</f>
        <v>2172</v>
      </c>
      <c r="B2178" s="80" t="s">
        <v>110</v>
      </c>
      <c r="C2178" s="113" t="s">
        <v>2641</v>
      </c>
      <c r="D2178" s="82" t="str">
        <f aca="false">IF(OR(C2178="",P2178=""),"",INDEX('CARNET DE SOUDURE'!$D$7:$D$3006,P2178)&amp;"")</f>
        <v>21</v>
      </c>
      <c r="E2178" s="114" t="str">
        <f aca="false">IF(OR(C2178="",P2178=""),"",IF(INDEX('CARNET DE SOUDURE'!$U$7:$U$3006,P2178)="","",INDEX('CARNET DE SOUDURE'!$U$7:$U$3006,P2178)))</f>
        <v/>
      </c>
      <c r="F2178" s="82" t="str">
        <f aca="false">IF(OR(C2178="",P2178=""),"",INDEX('CARNET DE SOUDURE'!$AP$7:$AP$3006,P2178))</f>
        <v/>
      </c>
      <c r="G2178" s="82" t="str">
        <f aca="false">IF(C2178="","",IF(P2178="","NJ INCONNU",INDEX('CARNET DE SOUDURE'!$AQ$7:$AQ$3006,P2178)))</f>
        <v>À SOUDER</v>
      </c>
      <c r="H2178" s="82" t="str">
        <f aca="false">IF(C2178="","",IF(G2178="ACCEPTÉ","OUI","NON"))</f>
        <v>NON</v>
      </c>
      <c r="I2178" s="83"/>
      <c r="J2178" s="80"/>
      <c r="K2178" s="81"/>
      <c r="L2178" s="81"/>
      <c r="M2178" s="81"/>
      <c r="N2178" s="84" t="str">
        <f aca="false">IF(C2178="","",IF(P2178="","NJ INCONNU",IF(I2178="",IF(H2178="OUI","À ENROBER",IF(G2178="À SOUDER","NON SOUDÉ","EN ATTENTE RT")),IF(L2178="R","À REPRENDRE",IF(H2178&lt;&gt;"OUI","⚠ ENROBÉ AVANT ACCEPTATION RT","ENROBÉ")))))</f>
        <v>NON SOUDÉ</v>
      </c>
      <c r="O2178" s="80"/>
      <c r="P2178" s="82" t="n">
        <f aca="false">IF(C2178="","",IFERROR(MATCH(Q2178,'CARNET DE SOUDURE'!$AW$7:$AW$3006,0),""))</f>
        <v>2172</v>
      </c>
      <c r="Q2178" s="82" t="str">
        <f aca="false">IF(C2178="","",B2178&amp;"|"&amp;C2178)</f>
        <v>MFD-ISW → MFD-CPF|JN°1694</v>
      </c>
    </row>
    <row r="2179" customFormat="false" ht="74.6" hidden="false" customHeight="false" outlineLevel="0" collapsed="false">
      <c r="A2179" s="82" t="n">
        <f aca="false">IF(C2179="","",ROW()-6)</f>
        <v>2173</v>
      </c>
      <c r="B2179" s="80" t="s">
        <v>110</v>
      </c>
      <c r="C2179" s="113" t="s">
        <v>2642</v>
      </c>
      <c r="D2179" s="82" t="str">
        <f aca="false">IF(OR(C2179="",P2179=""),"",INDEX('CARNET DE SOUDURE'!$D$7:$D$3006,P2179)&amp;"")</f>
        <v>21</v>
      </c>
      <c r="E2179" s="114" t="str">
        <f aca="false">IF(OR(C2179="",P2179=""),"",IF(INDEX('CARNET DE SOUDURE'!$U$7:$U$3006,P2179)="","",INDEX('CARNET DE SOUDURE'!$U$7:$U$3006,P2179)))</f>
        <v/>
      </c>
      <c r="F2179" s="82" t="str">
        <f aca="false">IF(OR(C2179="",P2179=""),"",INDEX('CARNET DE SOUDURE'!$AP$7:$AP$3006,P2179))</f>
        <v/>
      </c>
      <c r="G2179" s="82" t="str">
        <f aca="false">IF(C2179="","",IF(P2179="","NJ INCONNU",INDEX('CARNET DE SOUDURE'!$AQ$7:$AQ$3006,P2179)))</f>
        <v>À SOUDER</v>
      </c>
      <c r="H2179" s="82" t="str">
        <f aca="false">IF(C2179="","",IF(G2179="ACCEPTÉ","OUI","NON"))</f>
        <v>NON</v>
      </c>
      <c r="I2179" s="83"/>
      <c r="J2179" s="80"/>
      <c r="K2179" s="81"/>
      <c r="L2179" s="81"/>
      <c r="M2179" s="81"/>
      <c r="N2179" s="84" t="str">
        <f aca="false">IF(C2179="","",IF(P2179="","NJ INCONNU",IF(I2179="",IF(H2179="OUI","À ENROBER",IF(G2179="À SOUDER","NON SOUDÉ","EN ATTENTE RT")),IF(L2179="R","À REPRENDRE",IF(H2179&lt;&gt;"OUI","⚠ ENROBÉ AVANT ACCEPTATION RT","ENROBÉ")))))</f>
        <v>NON SOUDÉ</v>
      </c>
      <c r="O2179" s="80"/>
      <c r="P2179" s="82" t="n">
        <f aca="false">IF(C2179="","",IFERROR(MATCH(Q2179,'CARNET DE SOUDURE'!$AW$7:$AW$3006,0),""))</f>
        <v>2173</v>
      </c>
      <c r="Q2179" s="82" t="str">
        <f aca="false">IF(C2179="","",B2179&amp;"|"&amp;C2179)</f>
        <v>MFD-ISW → MFD-CPF|JN°1695</v>
      </c>
    </row>
    <row r="2180" customFormat="false" ht="74.6" hidden="false" customHeight="false" outlineLevel="0" collapsed="false">
      <c r="A2180" s="82" t="n">
        <f aca="false">IF(C2180="","",ROW()-6)</f>
        <v>2174</v>
      </c>
      <c r="B2180" s="80" t="s">
        <v>110</v>
      </c>
      <c r="C2180" s="113" t="s">
        <v>2643</v>
      </c>
      <c r="D2180" s="82" t="str">
        <f aca="false">IF(OR(C2180="",P2180=""),"",INDEX('CARNET DE SOUDURE'!$D$7:$D$3006,P2180)&amp;"")</f>
        <v>21</v>
      </c>
      <c r="E2180" s="114" t="str">
        <f aca="false">IF(OR(C2180="",P2180=""),"",IF(INDEX('CARNET DE SOUDURE'!$U$7:$U$3006,P2180)="","",INDEX('CARNET DE SOUDURE'!$U$7:$U$3006,P2180)))</f>
        <v/>
      </c>
      <c r="F2180" s="82" t="str">
        <f aca="false">IF(OR(C2180="",P2180=""),"",INDEX('CARNET DE SOUDURE'!$AP$7:$AP$3006,P2180))</f>
        <v/>
      </c>
      <c r="G2180" s="82" t="str">
        <f aca="false">IF(C2180="","",IF(P2180="","NJ INCONNU",INDEX('CARNET DE SOUDURE'!$AQ$7:$AQ$3006,P2180)))</f>
        <v>À SOUDER</v>
      </c>
      <c r="H2180" s="82" t="str">
        <f aca="false">IF(C2180="","",IF(G2180="ACCEPTÉ","OUI","NON"))</f>
        <v>NON</v>
      </c>
      <c r="I2180" s="83"/>
      <c r="J2180" s="80"/>
      <c r="K2180" s="81"/>
      <c r="L2180" s="81"/>
      <c r="M2180" s="81"/>
      <c r="N2180" s="84" t="str">
        <f aca="false">IF(C2180="","",IF(P2180="","NJ INCONNU",IF(I2180="",IF(H2180="OUI","À ENROBER",IF(G2180="À SOUDER","NON SOUDÉ","EN ATTENTE RT")),IF(L2180="R","À REPRENDRE",IF(H2180&lt;&gt;"OUI","⚠ ENROBÉ AVANT ACCEPTATION RT","ENROBÉ")))))</f>
        <v>NON SOUDÉ</v>
      </c>
      <c r="O2180" s="80"/>
      <c r="P2180" s="82" t="n">
        <f aca="false">IF(C2180="","",IFERROR(MATCH(Q2180,'CARNET DE SOUDURE'!$AW$7:$AW$3006,0),""))</f>
        <v>2174</v>
      </c>
      <c r="Q2180" s="82" t="str">
        <f aca="false">IF(C2180="","",B2180&amp;"|"&amp;C2180)</f>
        <v>MFD-ISW → MFD-CPF|JN°1696</v>
      </c>
    </row>
    <row r="2181" customFormat="false" ht="74.6" hidden="false" customHeight="false" outlineLevel="0" collapsed="false">
      <c r="A2181" s="82" t="n">
        <f aca="false">IF(C2181="","",ROW()-6)</f>
        <v>2175</v>
      </c>
      <c r="B2181" s="80" t="s">
        <v>110</v>
      </c>
      <c r="C2181" s="113" t="s">
        <v>2644</v>
      </c>
      <c r="D2181" s="82" t="str">
        <f aca="false">IF(OR(C2181="",P2181=""),"",INDEX('CARNET DE SOUDURE'!$D$7:$D$3006,P2181)&amp;"")</f>
        <v>21</v>
      </c>
      <c r="E2181" s="114" t="str">
        <f aca="false">IF(OR(C2181="",P2181=""),"",IF(INDEX('CARNET DE SOUDURE'!$U$7:$U$3006,P2181)="","",INDEX('CARNET DE SOUDURE'!$U$7:$U$3006,P2181)))</f>
        <v/>
      </c>
      <c r="F2181" s="82" t="str">
        <f aca="false">IF(OR(C2181="",P2181=""),"",INDEX('CARNET DE SOUDURE'!$AP$7:$AP$3006,P2181))</f>
        <v/>
      </c>
      <c r="G2181" s="82" t="str">
        <f aca="false">IF(C2181="","",IF(P2181="","NJ INCONNU",INDEX('CARNET DE SOUDURE'!$AQ$7:$AQ$3006,P2181)))</f>
        <v>À SOUDER</v>
      </c>
      <c r="H2181" s="82" t="str">
        <f aca="false">IF(C2181="","",IF(G2181="ACCEPTÉ","OUI","NON"))</f>
        <v>NON</v>
      </c>
      <c r="I2181" s="83"/>
      <c r="J2181" s="80"/>
      <c r="K2181" s="81"/>
      <c r="L2181" s="81"/>
      <c r="M2181" s="81"/>
      <c r="N2181" s="84" t="str">
        <f aca="false">IF(C2181="","",IF(P2181="","NJ INCONNU",IF(I2181="",IF(H2181="OUI","À ENROBER",IF(G2181="À SOUDER","NON SOUDÉ","EN ATTENTE RT")),IF(L2181="R","À REPRENDRE",IF(H2181&lt;&gt;"OUI","⚠ ENROBÉ AVANT ACCEPTATION RT","ENROBÉ")))))</f>
        <v>NON SOUDÉ</v>
      </c>
      <c r="O2181" s="80"/>
      <c r="P2181" s="82" t="n">
        <f aca="false">IF(C2181="","",IFERROR(MATCH(Q2181,'CARNET DE SOUDURE'!$AW$7:$AW$3006,0),""))</f>
        <v>2175</v>
      </c>
      <c r="Q2181" s="82" t="str">
        <f aca="false">IF(C2181="","",B2181&amp;"|"&amp;C2181)</f>
        <v>MFD-ISW → MFD-CPF|JN°1697</v>
      </c>
    </row>
    <row r="2182" customFormat="false" ht="74.6" hidden="false" customHeight="false" outlineLevel="0" collapsed="false">
      <c r="A2182" s="82" t="n">
        <f aca="false">IF(C2182="","",ROW()-6)</f>
        <v>2176</v>
      </c>
      <c r="B2182" s="80" t="s">
        <v>110</v>
      </c>
      <c r="C2182" s="113" t="s">
        <v>2645</v>
      </c>
      <c r="D2182" s="82" t="str">
        <f aca="false">IF(OR(C2182="",P2182=""),"",INDEX('CARNET DE SOUDURE'!$D$7:$D$3006,P2182)&amp;"")</f>
        <v>21</v>
      </c>
      <c r="E2182" s="114" t="str">
        <f aca="false">IF(OR(C2182="",P2182=""),"",IF(INDEX('CARNET DE SOUDURE'!$U$7:$U$3006,P2182)="","",INDEX('CARNET DE SOUDURE'!$U$7:$U$3006,P2182)))</f>
        <v/>
      </c>
      <c r="F2182" s="82" t="str">
        <f aca="false">IF(OR(C2182="",P2182=""),"",INDEX('CARNET DE SOUDURE'!$AP$7:$AP$3006,P2182))</f>
        <v/>
      </c>
      <c r="G2182" s="82" t="str">
        <f aca="false">IF(C2182="","",IF(P2182="","NJ INCONNU",INDEX('CARNET DE SOUDURE'!$AQ$7:$AQ$3006,P2182)))</f>
        <v>À SOUDER</v>
      </c>
      <c r="H2182" s="82" t="str">
        <f aca="false">IF(C2182="","",IF(G2182="ACCEPTÉ","OUI","NON"))</f>
        <v>NON</v>
      </c>
      <c r="I2182" s="83"/>
      <c r="J2182" s="80"/>
      <c r="K2182" s="81"/>
      <c r="L2182" s="81"/>
      <c r="M2182" s="81"/>
      <c r="N2182" s="84" t="str">
        <f aca="false">IF(C2182="","",IF(P2182="","NJ INCONNU",IF(I2182="",IF(H2182="OUI","À ENROBER",IF(G2182="À SOUDER","NON SOUDÉ","EN ATTENTE RT")),IF(L2182="R","À REPRENDRE",IF(H2182&lt;&gt;"OUI","⚠ ENROBÉ AVANT ACCEPTATION RT","ENROBÉ")))))</f>
        <v>NON SOUDÉ</v>
      </c>
      <c r="O2182" s="80"/>
      <c r="P2182" s="82" t="n">
        <f aca="false">IF(C2182="","",IFERROR(MATCH(Q2182,'CARNET DE SOUDURE'!$AW$7:$AW$3006,0),""))</f>
        <v>2176</v>
      </c>
      <c r="Q2182" s="82" t="str">
        <f aca="false">IF(C2182="","",B2182&amp;"|"&amp;C2182)</f>
        <v>MFD-ISW → MFD-CPF|JN°1698</v>
      </c>
    </row>
    <row r="2183" customFormat="false" ht="74.6" hidden="false" customHeight="false" outlineLevel="0" collapsed="false">
      <c r="A2183" s="82" t="n">
        <f aca="false">IF(C2183="","",ROW()-6)</f>
        <v>2177</v>
      </c>
      <c r="B2183" s="80" t="s">
        <v>110</v>
      </c>
      <c r="C2183" s="113" t="s">
        <v>2646</v>
      </c>
      <c r="D2183" s="82" t="str">
        <f aca="false">IF(OR(C2183="",P2183=""),"",INDEX('CARNET DE SOUDURE'!$D$7:$D$3006,P2183)&amp;"")</f>
        <v>21</v>
      </c>
      <c r="E2183" s="114" t="str">
        <f aca="false">IF(OR(C2183="",P2183=""),"",IF(INDEX('CARNET DE SOUDURE'!$U$7:$U$3006,P2183)="","",INDEX('CARNET DE SOUDURE'!$U$7:$U$3006,P2183)))</f>
        <v/>
      </c>
      <c r="F2183" s="82" t="str">
        <f aca="false">IF(OR(C2183="",P2183=""),"",INDEX('CARNET DE SOUDURE'!$AP$7:$AP$3006,P2183))</f>
        <v/>
      </c>
      <c r="G2183" s="82" t="str">
        <f aca="false">IF(C2183="","",IF(P2183="","NJ INCONNU",INDEX('CARNET DE SOUDURE'!$AQ$7:$AQ$3006,P2183)))</f>
        <v>À SOUDER</v>
      </c>
      <c r="H2183" s="82" t="str">
        <f aca="false">IF(C2183="","",IF(G2183="ACCEPTÉ","OUI","NON"))</f>
        <v>NON</v>
      </c>
      <c r="I2183" s="83"/>
      <c r="J2183" s="80"/>
      <c r="K2183" s="81"/>
      <c r="L2183" s="81"/>
      <c r="M2183" s="81"/>
      <c r="N2183" s="84" t="str">
        <f aca="false">IF(C2183="","",IF(P2183="","NJ INCONNU",IF(I2183="",IF(H2183="OUI","À ENROBER",IF(G2183="À SOUDER","NON SOUDÉ","EN ATTENTE RT")),IF(L2183="R","À REPRENDRE",IF(H2183&lt;&gt;"OUI","⚠ ENROBÉ AVANT ACCEPTATION RT","ENROBÉ")))))</f>
        <v>NON SOUDÉ</v>
      </c>
      <c r="O2183" s="80"/>
      <c r="P2183" s="82" t="n">
        <f aca="false">IF(C2183="","",IFERROR(MATCH(Q2183,'CARNET DE SOUDURE'!$AW$7:$AW$3006,0),""))</f>
        <v>2177</v>
      </c>
      <c r="Q2183" s="82" t="str">
        <f aca="false">IF(C2183="","",B2183&amp;"|"&amp;C2183)</f>
        <v>MFD-ISW → MFD-CPF|JN°1699</v>
      </c>
    </row>
    <row r="2184" customFormat="false" ht="74.6" hidden="false" customHeight="false" outlineLevel="0" collapsed="false">
      <c r="A2184" s="82" t="n">
        <f aca="false">IF(C2184="","",ROW()-6)</f>
        <v>2178</v>
      </c>
      <c r="B2184" s="80" t="s">
        <v>110</v>
      </c>
      <c r="C2184" s="113" t="s">
        <v>2647</v>
      </c>
      <c r="D2184" s="82" t="str">
        <f aca="false">IF(OR(C2184="",P2184=""),"",INDEX('CARNET DE SOUDURE'!$D$7:$D$3006,P2184)&amp;"")</f>
        <v>21</v>
      </c>
      <c r="E2184" s="114" t="str">
        <f aca="false">IF(OR(C2184="",P2184=""),"",IF(INDEX('CARNET DE SOUDURE'!$U$7:$U$3006,P2184)="","",INDEX('CARNET DE SOUDURE'!$U$7:$U$3006,P2184)))</f>
        <v/>
      </c>
      <c r="F2184" s="82" t="str">
        <f aca="false">IF(OR(C2184="",P2184=""),"",INDEX('CARNET DE SOUDURE'!$AP$7:$AP$3006,P2184))</f>
        <v/>
      </c>
      <c r="G2184" s="82" t="str">
        <f aca="false">IF(C2184="","",IF(P2184="","NJ INCONNU",INDEX('CARNET DE SOUDURE'!$AQ$7:$AQ$3006,P2184)))</f>
        <v>À SOUDER</v>
      </c>
      <c r="H2184" s="82" t="str">
        <f aca="false">IF(C2184="","",IF(G2184="ACCEPTÉ","OUI","NON"))</f>
        <v>NON</v>
      </c>
      <c r="I2184" s="83"/>
      <c r="J2184" s="80"/>
      <c r="K2184" s="81"/>
      <c r="L2184" s="81"/>
      <c r="M2184" s="81"/>
      <c r="N2184" s="84" t="str">
        <f aca="false">IF(C2184="","",IF(P2184="","NJ INCONNU",IF(I2184="",IF(H2184="OUI","À ENROBER",IF(G2184="À SOUDER","NON SOUDÉ","EN ATTENTE RT")),IF(L2184="R","À REPRENDRE",IF(H2184&lt;&gt;"OUI","⚠ ENROBÉ AVANT ACCEPTATION RT","ENROBÉ")))))</f>
        <v>NON SOUDÉ</v>
      </c>
      <c r="O2184" s="80"/>
      <c r="P2184" s="82" t="n">
        <f aca="false">IF(C2184="","",IFERROR(MATCH(Q2184,'CARNET DE SOUDURE'!$AW$7:$AW$3006,0),""))</f>
        <v>2178</v>
      </c>
      <c r="Q2184" s="82" t="str">
        <f aca="false">IF(C2184="","",B2184&amp;"|"&amp;C2184)</f>
        <v>MFD-ISW → MFD-CPF|JN°1700</v>
      </c>
    </row>
    <row r="2185" customFormat="false" ht="74.6" hidden="false" customHeight="false" outlineLevel="0" collapsed="false">
      <c r="A2185" s="82" t="n">
        <f aca="false">IF(C2185="","",ROW()-6)</f>
        <v>2179</v>
      </c>
      <c r="B2185" s="80" t="s">
        <v>110</v>
      </c>
      <c r="C2185" s="113" t="s">
        <v>2648</v>
      </c>
      <c r="D2185" s="82" t="str">
        <f aca="false">IF(OR(C2185="",P2185=""),"",INDEX('CARNET DE SOUDURE'!$D$7:$D$3006,P2185)&amp;"")</f>
        <v>21</v>
      </c>
      <c r="E2185" s="114" t="str">
        <f aca="false">IF(OR(C2185="",P2185=""),"",IF(INDEX('CARNET DE SOUDURE'!$U$7:$U$3006,P2185)="","",INDEX('CARNET DE SOUDURE'!$U$7:$U$3006,P2185)))</f>
        <v/>
      </c>
      <c r="F2185" s="82" t="str">
        <f aca="false">IF(OR(C2185="",P2185=""),"",INDEX('CARNET DE SOUDURE'!$AP$7:$AP$3006,P2185))</f>
        <v/>
      </c>
      <c r="G2185" s="82" t="str">
        <f aca="false">IF(C2185="","",IF(P2185="","NJ INCONNU",INDEX('CARNET DE SOUDURE'!$AQ$7:$AQ$3006,P2185)))</f>
        <v>À SOUDER</v>
      </c>
      <c r="H2185" s="82" t="str">
        <f aca="false">IF(C2185="","",IF(G2185="ACCEPTÉ","OUI","NON"))</f>
        <v>NON</v>
      </c>
      <c r="I2185" s="83"/>
      <c r="J2185" s="80"/>
      <c r="K2185" s="81"/>
      <c r="L2185" s="81"/>
      <c r="M2185" s="81"/>
      <c r="N2185" s="84" t="str">
        <f aca="false">IF(C2185="","",IF(P2185="","NJ INCONNU",IF(I2185="",IF(H2185="OUI","À ENROBER",IF(G2185="À SOUDER","NON SOUDÉ","EN ATTENTE RT")),IF(L2185="R","À REPRENDRE",IF(H2185&lt;&gt;"OUI","⚠ ENROBÉ AVANT ACCEPTATION RT","ENROBÉ")))))</f>
        <v>NON SOUDÉ</v>
      </c>
      <c r="O2185" s="80"/>
      <c r="P2185" s="82" t="n">
        <f aca="false">IF(C2185="","",IFERROR(MATCH(Q2185,'CARNET DE SOUDURE'!$AW$7:$AW$3006,0),""))</f>
        <v>2179</v>
      </c>
      <c r="Q2185" s="82" t="str">
        <f aca="false">IF(C2185="","",B2185&amp;"|"&amp;C2185)</f>
        <v>MFD-ISW → MFD-CPF|JN°1701</v>
      </c>
    </row>
    <row r="2186" customFormat="false" ht="74.6" hidden="false" customHeight="false" outlineLevel="0" collapsed="false">
      <c r="A2186" s="82" t="n">
        <f aca="false">IF(C2186="","",ROW()-6)</f>
        <v>2180</v>
      </c>
      <c r="B2186" s="80" t="s">
        <v>110</v>
      </c>
      <c r="C2186" s="113" t="s">
        <v>2649</v>
      </c>
      <c r="D2186" s="82" t="str">
        <f aca="false">IF(OR(C2186="",P2186=""),"",INDEX('CARNET DE SOUDURE'!$D$7:$D$3006,P2186)&amp;"")</f>
        <v>21</v>
      </c>
      <c r="E2186" s="114" t="str">
        <f aca="false">IF(OR(C2186="",P2186=""),"",IF(INDEX('CARNET DE SOUDURE'!$U$7:$U$3006,P2186)="","",INDEX('CARNET DE SOUDURE'!$U$7:$U$3006,P2186)))</f>
        <v/>
      </c>
      <c r="F2186" s="82" t="str">
        <f aca="false">IF(OR(C2186="",P2186=""),"",INDEX('CARNET DE SOUDURE'!$AP$7:$AP$3006,P2186))</f>
        <v/>
      </c>
      <c r="G2186" s="82" t="str">
        <f aca="false">IF(C2186="","",IF(P2186="","NJ INCONNU",INDEX('CARNET DE SOUDURE'!$AQ$7:$AQ$3006,P2186)))</f>
        <v>À SOUDER</v>
      </c>
      <c r="H2186" s="82" t="str">
        <f aca="false">IF(C2186="","",IF(G2186="ACCEPTÉ","OUI","NON"))</f>
        <v>NON</v>
      </c>
      <c r="I2186" s="83"/>
      <c r="J2186" s="80"/>
      <c r="K2186" s="81"/>
      <c r="L2186" s="81"/>
      <c r="M2186" s="81"/>
      <c r="N2186" s="84" t="str">
        <f aca="false">IF(C2186="","",IF(P2186="","NJ INCONNU",IF(I2186="",IF(H2186="OUI","À ENROBER",IF(G2186="À SOUDER","NON SOUDÉ","EN ATTENTE RT")),IF(L2186="R","À REPRENDRE",IF(H2186&lt;&gt;"OUI","⚠ ENROBÉ AVANT ACCEPTATION RT","ENROBÉ")))))</f>
        <v>NON SOUDÉ</v>
      </c>
      <c r="O2186" s="80"/>
      <c r="P2186" s="82" t="n">
        <f aca="false">IF(C2186="","",IFERROR(MATCH(Q2186,'CARNET DE SOUDURE'!$AW$7:$AW$3006,0),""))</f>
        <v>2180</v>
      </c>
      <c r="Q2186" s="82" t="str">
        <f aca="false">IF(C2186="","",B2186&amp;"|"&amp;C2186)</f>
        <v>MFD-ISW → MFD-CPF|JN°1702</v>
      </c>
    </row>
    <row r="2187" customFormat="false" ht="74.6" hidden="false" customHeight="false" outlineLevel="0" collapsed="false">
      <c r="A2187" s="82" t="n">
        <f aca="false">IF(C2187="","",ROW()-6)</f>
        <v>2181</v>
      </c>
      <c r="B2187" s="80" t="s">
        <v>110</v>
      </c>
      <c r="C2187" s="113" t="s">
        <v>2650</v>
      </c>
      <c r="D2187" s="82" t="str">
        <f aca="false">IF(OR(C2187="",P2187=""),"",INDEX('CARNET DE SOUDURE'!$D$7:$D$3006,P2187)&amp;"")</f>
        <v>21</v>
      </c>
      <c r="E2187" s="114" t="str">
        <f aca="false">IF(OR(C2187="",P2187=""),"",IF(INDEX('CARNET DE SOUDURE'!$U$7:$U$3006,P2187)="","",INDEX('CARNET DE SOUDURE'!$U$7:$U$3006,P2187)))</f>
        <v/>
      </c>
      <c r="F2187" s="82" t="str">
        <f aca="false">IF(OR(C2187="",P2187=""),"",INDEX('CARNET DE SOUDURE'!$AP$7:$AP$3006,P2187))</f>
        <v/>
      </c>
      <c r="G2187" s="82" t="str">
        <f aca="false">IF(C2187="","",IF(P2187="","NJ INCONNU",INDEX('CARNET DE SOUDURE'!$AQ$7:$AQ$3006,P2187)))</f>
        <v>À SOUDER</v>
      </c>
      <c r="H2187" s="82" t="str">
        <f aca="false">IF(C2187="","",IF(G2187="ACCEPTÉ","OUI","NON"))</f>
        <v>NON</v>
      </c>
      <c r="I2187" s="83"/>
      <c r="J2187" s="80"/>
      <c r="K2187" s="81"/>
      <c r="L2187" s="81"/>
      <c r="M2187" s="81"/>
      <c r="N2187" s="84" t="str">
        <f aca="false">IF(C2187="","",IF(P2187="","NJ INCONNU",IF(I2187="",IF(H2187="OUI","À ENROBER",IF(G2187="À SOUDER","NON SOUDÉ","EN ATTENTE RT")),IF(L2187="R","À REPRENDRE",IF(H2187&lt;&gt;"OUI","⚠ ENROBÉ AVANT ACCEPTATION RT","ENROBÉ")))))</f>
        <v>NON SOUDÉ</v>
      </c>
      <c r="O2187" s="80"/>
      <c r="P2187" s="82" t="n">
        <f aca="false">IF(C2187="","",IFERROR(MATCH(Q2187,'CARNET DE SOUDURE'!$AW$7:$AW$3006,0),""))</f>
        <v>2181</v>
      </c>
      <c r="Q2187" s="82" t="str">
        <f aca="false">IF(C2187="","",B2187&amp;"|"&amp;C2187)</f>
        <v>MFD-ISW → MFD-CPF|JN°1703</v>
      </c>
    </row>
    <row r="2188" customFormat="false" ht="74.6" hidden="false" customHeight="false" outlineLevel="0" collapsed="false">
      <c r="A2188" s="82" t="n">
        <f aca="false">IF(C2188="","",ROW()-6)</f>
        <v>2182</v>
      </c>
      <c r="B2188" s="80" t="s">
        <v>110</v>
      </c>
      <c r="C2188" s="113" t="s">
        <v>2651</v>
      </c>
      <c r="D2188" s="82" t="str">
        <f aca="false">IF(OR(C2188="",P2188=""),"",INDEX('CARNET DE SOUDURE'!$D$7:$D$3006,P2188)&amp;"")</f>
        <v>21</v>
      </c>
      <c r="E2188" s="114" t="str">
        <f aca="false">IF(OR(C2188="",P2188=""),"",IF(INDEX('CARNET DE SOUDURE'!$U$7:$U$3006,P2188)="","",INDEX('CARNET DE SOUDURE'!$U$7:$U$3006,P2188)))</f>
        <v/>
      </c>
      <c r="F2188" s="82" t="str">
        <f aca="false">IF(OR(C2188="",P2188=""),"",INDEX('CARNET DE SOUDURE'!$AP$7:$AP$3006,P2188))</f>
        <v/>
      </c>
      <c r="G2188" s="82" t="str">
        <f aca="false">IF(C2188="","",IF(P2188="","NJ INCONNU",INDEX('CARNET DE SOUDURE'!$AQ$7:$AQ$3006,P2188)))</f>
        <v>À SOUDER</v>
      </c>
      <c r="H2188" s="82" t="str">
        <f aca="false">IF(C2188="","",IF(G2188="ACCEPTÉ","OUI","NON"))</f>
        <v>NON</v>
      </c>
      <c r="I2188" s="83"/>
      <c r="J2188" s="80"/>
      <c r="K2188" s="81"/>
      <c r="L2188" s="81"/>
      <c r="M2188" s="81"/>
      <c r="N2188" s="84" t="str">
        <f aca="false">IF(C2188="","",IF(P2188="","NJ INCONNU",IF(I2188="",IF(H2188="OUI","À ENROBER",IF(G2188="À SOUDER","NON SOUDÉ","EN ATTENTE RT")),IF(L2188="R","À REPRENDRE",IF(H2188&lt;&gt;"OUI","⚠ ENROBÉ AVANT ACCEPTATION RT","ENROBÉ")))))</f>
        <v>NON SOUDÉ</v>
      </c>
      <c r="O2188" s="80"/>
      <c r="P2188" s="82" t="n">
        <f aca="false">IF(C2188="","",IFERROR(MATCH(Q2188,'CARNET DE SOUDURE'!$AW$7:$AW$3006,0),""))</f>
        <v>2182</v>
      </c>
      <c r="Q2188" s="82" t="str">
        <f aca="false">IF(C2188="","",B2188&amp;"|"&amp;C2188)</f>
        <v>MFD-ISW → MFD-CPF|JN°1704</v>
      </c>
    </row>
    <row r="2189" customFormat="false" ht="74.6" hidden="false" customHeight="false" outlineLevel="0" collapsed="false">
      <c r="A2189" s="82" t="n">
        <f aca="false">IF(C2189="","",ROW()-6)</f>
        <v>2183</v>
      </c>
      <c r="B2189" s="80" t="s">
        <v>110</v>
      </c>
      <c r="C2189" s="113" t="s">
        <v>2652</v>
      </c>
      <c r="D2189" s="82" t="str">
        <f aca="false">IF(OR(C2189="",P2189=""),"",INDEX('CARNET DE SOUDURE'!$D$7:$D$3006,P2189)&amp;"")</f>
        <v>21</v>
      </c>
      <c r="E2189" s="114" t="str">
        <f aca="false">IF(OR(C2189="",P2189=""),"",IF(INDEX('CARNET DE SOUDURE'!$U$7:$U$3006,P2189)="","",INDEX('CARNET DE SOUDURE'!$U$7:$U$3006,P2189)))</f>
        <v/>
      </c>
      <c r="F2189" s="82" t="str">
        <f aca="false">IF(OR(C2189="",P2189=""),"",INDEX('CARNET DE SOUDURE'!$AP$7:$AP$3006,P2189))</f>
        <v/>
      </c>
      <c r="G2189" s="82" t="str">
        <f aca="false">IF(C2189="","",IF(P2189="","NJ INCONNU",INDEX('CARNET DE SOUDURE'!$AQ$7:$AQ$3006,P2189)))</f>
        <v>À SOUDER</v>
      </c>
      <c r="H2189" s="82" t="str">
        <f aca="false">IF(C2189="","",IF(G2189="ACCEPTÉ","OUI","NON"))</f>
        <v>NON</v>
      </c>
      <c r="I2189" s="83"/>
      <c r="J2189" s="80"/>
      <c r="K2189" s="81"/>
      <c r="L2189" s="81"/>
      <c r="M2189" s="81"/>
      <c r="N2189" s="84" t="str">
        <f aca="false">IF(C2189="","",IF(P2189="","NJ INCONNU",IF(I2189="",IF(H2189="OUI","À ENROBER",IF(G2189="À SOUDER","NON SOUDÉ","EN ATTENTE RT")),IF(L2189="R","À REPRENDRE",IF(H2189&lt;&gt;"OUI","⚠ ENROBÉ AVANT ACCEPTATION RT","ENROBÉ")))))</f>
        <v>NON SOUDÉ</v>
      </c>
      <c r="O2189" s="80"/>
      <c r="P2189" s="82" t="n">
        <f aca="false">IF(C2189="","",IFERROR(MATCH(Q2189,'CARNET DE SOUDURE'!$AW$7:$AW$3006,0),""))</f>
        <v>2183</v>
      </c>
      <c r="Q2189" s="82" t="str">
        <f aca="false">IF(C2189="","",B2189&amp;"|"&amp;C2189)</f>
        <v>MFD-ISW → MFD-CPF|JN°1705</v>
      </c>
    </row>
    <row r="2190" customFormat="false" ht="74.6" hidden="false" customHeight="false" outlineLevel="0" collapsed="false">
      <c r="A2190" s="82" t="n">
        <f aca="false">IF(C2190="","",ROW()-6)</f>
        <v>2184</v>
      </c>
      <c r="B2190" s="80" t="s">
        <v>110</v>
      </c>
      <c r="C2190" s="113" t="s">
        <v>2653</v>
      </c>
      <c r="D2190" s="82" t="str">
        <f aca="false">IF(OR(C2190="",P2190=""),"",INDEX('CARNET DE SOUDURE'!$D$7:$D$3006,P2190)&amp;"")</f>
        <v>21</v>
      </c>
      <c r="E2190" s="114" t="str">
        <f aca="false">IF(OR(C2190="",P2190=""),"",IF(INDEX('CARNET DE SOUDURE'!$U$7:$U$3006,P2190)="","",INDEX('CARNET DE SOUDURE'!$U$7:$U$3006,P2190)))</f>
        <v/>
      </c>
      <c r="F2190" s="82" t="str">
        <f aca="false">IF(OR(C2190="",P2190=""),"",INDEX('CARNET DE SOUDURE'!$AP$7:$AP$3006,P2190))</f>
        <v/>
      </c>
      <c r="G2190" s="82" t="str">
        <f aca="false">IF(C2190="","",IF(P2190="","NJ INCONNU",INDEX('CARNET DE SOUDURE'!$AQ$7:$AQ$3006,P2190)))</f>
        <v>À SOUDER</v>
      </c>
      <c r="H2190" s="82" t="str">
        <f aca="false">IF(C2190="","",IF(G2190="ACCEPTÉ","OUI","NON"))</f>
        <v>NON</v>
      </c>
      <c r="I2190" s="83"/>
      <c r="J2190" s="80"/>
      <c r="K2190" s="81"/>
      <c r="L2190" s="81"/>
      <c r="M2190" s="81"/>
      <c r="N2190" s="84" t="str">
        <f aca="false">IF(C2190="","",IF(P2190="","NJ INCONNU",IF(I2190="",IF(H2190="OUI","À ENROBER",IF(G2190="À SOUDER","NON SOUDÉ","EN ATTENTE RT")),IF(L2190="R","À REPRENDRE",IF(H2190&lt;&gt;"OUI","⚠ ENROBÉ AVANT ACCEPTATION RT","ENROBÉ")))))</f>
        <v>NON SOUDÉ</v>
      </c>
      <c r="O2190" s="80"/>
      <c r="P2190" s="82" t="n">
        <f aca="false">IF(C2190="","",IFERROR(MATCH(Q2190,'CARNET DE SOUDURE'!$AW$7:$AW$3006,0),""))</f>
        <v>2184</v>
      </c>
      <c r="Q2190" s="82" t="str">
        <f aca="false">IF(C2190="","",B2190&amp;"|"&amp;C2190)</f>
        <v>MFD-ISW → MFD-CPF|JN°1706</v>
      </c>
    </row>
    <row r="2191" customFormat="false" ht="74.6" hidden="false" customHeight="false" outlineLevel="0" collapsed="false">
      <c r="A2191" s="82" t="n">
        <f aca="false">IF(C2191="","",ROW()-6)</f>
        <v>2185</v>
      </c>
      <c r="B2191" s="80" t="s">
        <v>110</v>
      </c>
      <c r="C2191" s="113" t="s">
        <v>2654</v>
      </c>
      <c r="D2191" s="82" t="str">
        <f aca="false">IF(OR(C2191="",P2191=""),"",INDEX('CARNET DE SOUDURE'!$D$7:$D$3006,P2191)&amp;"")</f>
        <v>21</v>
      </c>
      <c r="E2191" s="114" t="str">
        <f aca="false">IF(OR(C2191="",P2191=""),"",IF(INDEX('CARNET DE SOUDURE'!$U$7:$U$3006,P2191)="","",INDEX('CARNET DE SOUDURE'!$U$7:$U$3006,P2191)))</f>
        <v/>
      </c>
      <c r="F2191" s="82" t="str">
        <f aca="false">IF(OR(C2191="",P2191=""),"",INDEX('CARNET DE SOUDURE'!$AP$7:$AP$3006,P2191))</f>
        <v/>
      </c>
      <c r="G2191" s="82" t="str">
        <f aca="false">IF(C2191="","",IF(P2191="","NJ INCONNU",INDEX('CARNET DE SOUDURE'!$AQ$7:$AQ$3006,P2191)))</f>
        <v>À SOUDER</v>
      </c>
      <c r="H2191" s="82" t="str">
        <f aca="false">IF(C2191="","",IF(G2191="ACCEPTÉ","OUI","NON"))</f>
        <v>NON</v>
      </c>
      <c r="I2191" s="83"/>
      <c r="J2191" s="80"/>
      <c r="K2191" s="81"/>
      <c r="L2191" s="81"/>
      <c r="M2191" s="81"/>
      <c r="N2191" s="84" t="str">
        <f aca="false">IF(C2191="","",IF(P2191="","NJ INCONNU",IF(I2191="",IF(H2191="OUI","À ENROBER",IF(G2191="À SOUDER","NON SOUDÉ","EN ATTENTE RT")),IF(L2191="R","À REPRENDRE",IF(H2191&lt;&gt;"OUI","⚠ ENROBÉ AVANT ACCEPTATION RT","ENROBÉ")))))</f>
        <v>NON SOUDÉ</v>
      </c>
      <c r="O2191" s="80"/>
      <c r="P2191" s="82" t="n">
        <f aca="false">IF(C2191="","",IFERROR(MATCH(Q2191,'CARNET DE SOUDURE'!$AW$7:$AW$3006,0),""))</f>
        <v>2185</v>
      </c>
      <c r="Q2191" s="82" t="str">
        <f aca="false">IF(C2191="","",B2191&amp;"|"&amp;C2191)</f>
        <v>MFD-ISW → MFD-CPF|JN°1707</v>
      </c>
    </row>
    <row r="2192" customFormat="false" ht="74.6" hidden="false" customHeight="false" outlineLevel="0" collapsed="false">
      <c r="A2192" s="82" t="n">
        <f aca="false">IF(C2192="","",ROW()-6)</f>
        <v>2186</v>
      </c>
      <c r="B2192" s="80" t="s">
        <v>110</v>
      </c>
      <c r="C2192" s="113" t="s">
        <v>2655</v>
      </c>
      <c r="D2192" s="82" t="str">
        <f aca="false">IF(OR(C2192="",P2192=""),"",INDEX('CARNET DE SOUDURE'!$D$7:$D$3006,P2192)&amp;"")</f>
        <v>21</v>
      </c>
      <c r="E2192" s="114" t="str">
        <f aca="false">IF(OR(C2192="",P2192=""),"",IF(INDEX('CARNET DE SOUDURE'!$U$7:$U$3006,P2192)="","",INDEX('CARNET DE SOUDURE'!$U$7:$U$3006,P2192)))</f>
        <v/>
      </c>
      <c r="F2192" s="82" t="str">
        <f aca="false">IF(OR(C2192="",P2192=""),"",INDEX('CARNET DE SOUDURE'!$AP$7:$AP$3006,P2192))</f>
        <v/>
      </c>
      <c r="G2192" s="82" t="str">
        <f aca="false">IF(C2192="","",IF(P2192="","NJ INCONNU",INDEX('CARNET DE SOUDURE'!$AQ$7:$AQ$3006,P2192)))</f>
        <v>À SOUDER</v>
      </c>
      <c r="H2192" s="82" t="str">
        <f aca="false">IF(C2192="","",IF(G2192="ACCEPTÉ","OUI","NON"))</f>
        <v>NON</v>
      </c>
      <c r="I2192" s="83"/>
      <c r="J2192" s="80"/>
      <c r="K2192" s="81"/>
      <c r="L2192" s="81"/>
      <c r="M2192" s="81"/>
      <c r="N2192" s="84" t="str">
        <f aca="false">IF(C2192="","",IF(P2192="","NJ INCONNU",IF(I2192="",IF(H2192="OUI","À ENROBER",IF(G2192="À SOUDER","NON SOUDÉ","EN ATTENTE RT")),IF(L2192="R","À REPRENDRE",IF(H2192&lt;&gt;"OUI","⚠ ENROBÉ AVANT ACCEPTATION RT","ENROBÉ")))))</f>
        <v>NON SOUDÉ</v>
      </c>
      <c r="O2192" s="80"/>
      <c r="P2192" s="82" t="n">
        <f aca="false">IF(C2192="","",IFERROR(MATCH(Q2192,'CARNET DE SOUDURE'!$AW$7:$AW$3006,0),""))</f>
        <v>2186</v>
      </c>
      <c r="Q2192" s="82" t="str">
        <f aca="false">IF(C2192="","",B2192&amp;"|"&amp;C2192)</f>
        <v>MFD-ISW → MFD-CPF|JN°1708</v>
      </c>
    </row>
    <row r="2193" customFormat="false" ht="74.6" hidden="false" customHeight="false" outlineLevel="0" collapsed="false">
      <c r="A2193" s="82" t="n">
        <f aca="false">IF(C2193="","",ROW()-6)</f>
        <v>2187</v>
      </c>
      <c r="B2193" s="80" t="s">
        <v>110</v>
      </c>
      <c r="C2193" s="113" t="s">
        <v>2656</v>
      </c>
      <c r="D2193" s="82" t="str">
        <f aca="false">IF(OR(C2193="",P2193=""),"",INDEX('CARNET DE SOUDURE'!$D$7:$D$3006,P2193)&amp;"")</f>
        <v>21</v>
      </c>
      <c r="E2193" s="114" t="str">
        <f aca="false">IF(OR(C2193="",P2193=""),"",IF(INDEX('CARNET DE SOUDURE'!$U$7:$U$3006,P2193)="","",INDEX('CARNET DE SOUDURE'!$U$7:$U$3006,P2193)))</f>
        <v/>
      </c>
      <c r="F2193" s="82" t="str">
        <f aca="false">IF(OR(C2193="",P2193=""),"",INDEX('CARNET DE SOUDURE'!$AP$7:$AP$3006,P2193))</f>
        <v/>
      </c>
      <c r="G2193" s="82" t="str">
        <f aca="false">IF(C2193="","",IF(P2193="","NJ INCONNU",INDEX('CARNET DE SOUDURE'!$AQ$7:$AQ$3006,P2193)))</f>
        <v>À SOUDER</v>
      </c>
      <c r="H2193" s="82" t="str">
        <f aca="false">IF(C2193="","",IF(G2193="ACCEPTÉ","OUI","NON"))</f>
        <v>NON</v>
      </c>
      <c r="I2193" s="83"/>
      <c r="J2193" s="80"/>
      <c r="K2193" s="81"/>
      <c r="L2193" s="81"/>
      <c r="M2193" s="81"/>
      <c r="N2193" s="84" t="str">
        <f aca="false">IF(C2193="","",IF(P2193="","NJ INCONNU",IF(I2193="",IF(H2193="OUI","À ENROBER",IF(G2193="À SOUDER","NON SOUDÉ","EN ATTENTE RT")),IF(L2193="R","À REPRENDRE",IF(H2193&lt;&gt;"OUI","⚠ ENROBÉ AVANT ACCEPTATION RT","ENROBÉ")))))</f>
        <v>NON SOUDÉ</v>
      </c>
      <c r="O2193" s="80"/>
      <c r="P2193" s="82" t="n">
        <f aca="false">IF(C2193="","",IFERROR(MATCH(Q2193,'CARNET DE SOUDURE'!$AW$7:$AW$3006,0),""))</f>
        <v>2187</v>
      </c>
      <c r="Q2193" s="82" t="str">
        <f aca="false">IF(C2193="","",B2193&amp;"|"&amp;C2193)</f>
        <v>MFD-ISW → MFD-CPF|JN°1709</v>
      </c>
    </row>
    <row r="2194" customFormat="false" ht="74.6" hidden="false" customHeight="false" outlineLevel="0" collapsed="false">
      <c r="A2194" s="82" t="n">
        <f aca="false">IF(C2194="","",ROW()-6)</f>
        <v>2188</v>
      </c>
      <c r="B2194" s="80" t="s">
        <v>110</v>
      </c>
      <c r="C2194" s="113" t="s">
        <v>2657</v>
      </c>
      <c r="D2194" s="82" t="str">
        <f aca="false">IF(OR(C2194="",P2194=""),"",INDEX('CARNET DE SOUDURE'!$D$7:$D$3006,P2194)&amp;"")</f>
        <v>21</v>
      </c>
      <c r="E2194" s="114" t="str">
        <f aca="false">IF(OR(C2194="",P2194=""),"",IF(INDEX('CARNET DE SOUDURE'!$U$7:$U$3006,P2194)="","",INDEX('CARNET DE SOUDURE'!$U$7:$U$3006,P2194)))</f>
        <v/>
      </c>
      <c r="F2194" s="82" t="str">
        <f aca="false">IF(OR(C2194="",P2194=""),"",INDEX('CARNET DE SOUDURE'!$AP$7:$AP$3006,P2194))</f>
        <v/>
      </c>
      <c r="G2194" s="82" t="str">
        <f aca="false">IF(C2194="","",IF(P2194="","NJ INCONNU",INDEX('CARNET DE SOUDURE'!$AQ$7:$AQ$3006,P2194)))</f>
        <v>À SOUDER</v>
      </c>
      <c r="H2194" s="82" t="str">
        <f aca="false">IF(C2194="","",IF(G2194="ACCEPTÉ","OUI","NON"))</f>
        <v>NON</v>
      </c>
      <c r="I2194" s="83"/>
      <c r="J2194" s="80"/>
      <c r="K2194" s="81"/>
      <c r="L2194" s="81"/>
      <c r="M2194" s="81"/>
      <c r="N2194" s="84" t="str">
        <f aca="false">IF(C2194="","",IF(P2194="","NJ INCONNU",IF(I2194="",IF(H2194="OUI","À ENROBER",IF(G2194="À SOUDER","NON SOUDÉ","EN ATTENTE RT")),IF(L2194="R","À REPRENDRE",IF(H2194&lt;&gt;"OUI","⚠ ENROBÉ AVANT ACCEPTATION RT","ENROBÉ")))))</f>
        <v>NON SOUDÉ</v>
      </c>
      <c r="O2194" s="80"/>
      <c r="P2194" s="82" t="n">
        <f aca="false">IF(C2194="","",IFERROR(MATCH(Q2194,'CARNET DE SOUDURE'!$AW$7:$AW$3006,0),""))</f>
        <v>2188</v>
      </c>
      <c r="Q2194" s="82" t="str">
        <f aca="false">IF(C2194="","",B2194&amp;"|"&amp;C2194)</f>
        <v>MFD-ISW → MFD-CPF|JN°1710</v>
      </c>
    </row>
    <row r="2195" customFormat="false" ht="74.6" hidden="false" customHeight="false" outlineLevel="0" collapsed="false">
      <c r="A2195" s="82" t="n">
        <f aca="false">IF(C2195="","",ROW()-6)</f>
        <v>2189</v>
      </c>
      <c r="B2195" s="80" t="s">
        <v>110</v>
      </c>
      <c r="C2195" s="113" t="s">
        <v>2658</v>
      </c>
      <c r="D2195" s="82" t="str">
        <f aca="false">IF(OR(C2195="",P2195=""),"",INDEX('CARNET DE SOUDURE'!$D$7:$D$3006,P2195)&amp;"")</f>
        <v>21</v>
      </c>
      <c r="E2195" s="114" t="str">
        <f aca="false">IF(OR(C2195="",P2195=""),"",IF(INDEX('CARNET DE SOUDURE'!$U$7:$U$3006,P2195)="","",INDEX('CARNET DE SOUDURE'!$U$7:$U$3006,P2195)))</f>
        <v/>
      </c>
      <c r="F2195" s="82" t="str">
        <f aca="false">IF(OR(C2195="",P2195=""),"",INDEX('CARNET DE SOUDURE'!$AP$7:$AP$3006,P2195))</f>
        <v/>
      </c>
      <c r="G2195" s="82" t="str">
        <f aca="false">IF(C2195="","",IF(P2195="","NJ INCONNU",INDEX('CARNET DE SOUDURE'!$AQ$7:$AQ$3006,P2195)))</f>
        <v>À SOUDER</v>
      </c>
      <c r="H2195" s="82" t="str">
        <f aca="false">IF(C2195="","",IF(G2195="ACCEPTÉ","OUI","NON"))</f>
        <v>NON</v>
      </c>
      <c r="I2195" s="83"/>
      <c r="J2195" s="80"/>
      <c r="K2195" s="81"/>
      <c r="L2195" s="81"/>
      <c r="M2195" s="81"/>
      <c r="N2195" s="84" t="str">
        <f aca="false">IF(C2195="","",IF(P2195="","NJ INCONNU",IF(I2195="",IF(H2195="OUI","À ENROBER",IF(G2195="À SOUDER","NON SOUDÉ","EN ATTENTE RT")),IF(L2195="R","À REPRENDRE",IF(H2195&lt;&gt;"OUI","⚠ ENROBÉ AVANT ACCEPTATION RT","ENROBÉ")))))</f>
        <v>NON SOUDÉ</v>
      </c>
      <c r="O2195" s="80"/>
      <c r="P2195" s="82" t="n">
        <f aca="false">IF(C2195="","",IFERROR(MATCH(Q2195,'CARNET DE SOUDURE'!$AW$7:$AW$3006,0),""))</f>
        <v>2189</v>
      </c>
      <c r="Q2195" s="82" t="str">
        <f aca="false">IF(C2195="","",B2195&amp;"|"&amp;C2195)</f>
        <v>MFD-ISW → MFD-CPF|JN°1711</v>
      </c>
    </row>
    <row r="2196" customFormat="false" ht="74.6" hidden="false" customHeight="false" outlineLevel="0" collapsed="false">
      <c r="A2196" s="82" t="n">
        <f aca="false">IF(C2196="","",ROW()-6)</f>
        <v>2190</v>
      </c>
      <c r="B2196" s="80" t="s">
        <v>110</v>
      </c>
      <c r="C2196" s="113" t="s">
        <v>2659</v>
      </c>
      <c r="D2196" s="82" t="str">
        <f aca="false">IF(OR(C2196="",P2196=""),"",INDEX('CARNET DE SOUDURE'!$D$7:$D$3006,P2196)&amp;"")</f>
        <v>21</v>
      </c>
      <c r="E2196" s="114" t="str">
        <f aca="false">IF(OR(C2196="",P2196=""),"",IF(INDEX('CARNET DE SOUDURE'!$U$7:$U$3006,P2196)="","",INDEX('CARNET DE SOUDURE'!$U$7:$U$3006,P2196)))</f>
        <v/>
      </c>
      <c r="F2196" s="82" t="str">
        <f aca="false">IF(OR(C2196="",P2196=""),"",INDEX('CARNET DE SOUDURE'!$AP$7:$AP$3006,P2196))</f>
        <v/>
      </c>
      <c r="G2196" s="82" t="str">
        <f aca="false">IF(C2196="","",IF(P2196="","NJ INCONNU",INDEX('CARNET DE SOUDURE'!$AQ$7:$AQ$3006,P2196)))</f>
        <v>À SOUDER</v>
      </c>
      <c r="H2196" s="82" t="str">
        <f aca="false">IF(C2196="","",IF(G2196="ACCEPTÉ","OUI","NON"))</f>
        <v>NON</v>
      </c>
      <c r="I2196" s="83"/>
      <c r="J2196" s="80"/>
      <c r="K2196" s="81"/>
      <c r="L2196" s="81"/>
      <c r="M2196" s="81"/>
      <c r="N2196" s="84" t="str">
        <f aca="false">IF(C2196="","",IF(P2196="","NJ INCONNU",IF(I2196="",IF(H2196="OUI","À ENROBER",IF(G2196="À SOUDER","NON SOUDÉ","EN ATTENTE RT")),IF(L2196="R","À REPRENDRE",IF(H2196&lt;&gt;"OUI","⚠ ENROBÉ AVANT ACCEPTATION RT","ENROBÉ")))))</f>
        <v>NON SOUDÉ</v>
      </c>
      <c r="O2196" s="80"/>
      <c r="P2196" s="82" t="n">
        <f aca="false">IF(C2196="","",IFERROR(MATCH(Q2196,'CARNET DE SOUDURE'!$AW$7:$AW$3006,0),""))</f>
        <v>2190</v>
      </c>
      <c r="Q2196" s="82" t="str">
        <f aca="false">IF(C2196="","",B2196&amp;"|"&amp;C2196)</f>
        <v>MFD-ISW → MFD-CPF|JN°1712</v>
      </c>
    </row>
    <row r="2197" customFormat="false" ht="74.6" hidden="false" customHeight="false" outlineLevel="0" collapsed="false">
      <c r="A2197" s="82" t="n">
        <f aca="false">IF(C2197="","",ROW()-6)</f>
        <v>2191</v>
      </c>
      <c r="B2197" s="80" t="s">
        <v>110</v>
      </c>
      <c r="C2197" s="113" t="s">
        <v>2660</v>
      </c>
      <c r="D2197" s="82" t="str">
        <f aca="false">IF(OR(C2197="",P2197=""),"",INDEX('CARNET DE SOUDURE'!$D$7:$D$3006,P2197)&amp;"")</f>
        <v>21</v>
      </c>
      <c r="E2197" s="114" t="str">
        <f aca="false">IF(OR(C2197="",P2197=""),"",IF(INDEX('CARNET DE SOUDURE'!$U$7:$U$3006,P2197)="","",INDEX('CARNET DE SOUDURE'!$U$7:$U$3006,P2197)))</f>
        <v/>
      </c>
      <c r="F2197" s="82" t="str">
        <f aca="false">IF(OR(C2197="",P2197=""),"",INDEX('CARNET DE SOUDURE'!$AP$7:$AP$3006,P2197))</f>
        <v/>
      </c>
      <c r="G2197" s="82" t="str">
        <f aca="false">IF(C2197="","",IF(P2197="","NJ INCONNU",INDEX('CARNET DE SOUDURE'!$AQ$7:$AQ$3006,P2197)))</f>
        <v>À SOUDER</v>
      </c>
      <c r="H2197" s="82" t="str">
        <f aca="false">IF(C2197="","",IF(G2197="ACCEPTÉ","OUI","NON"))</f>
        <v>NON</v>
      </c>
      <c r="I2197" s="83"/>
      <c r="J2197" s="80"/>
      <c r="K2197" s="81"/>
      <c r="L2197" s="81"/>
      <c r="M2197" s="81"/>
      <c r="N2197" s="84" t="str">
        <f aca="false">IF(C2197="","",IF(P2197="","NJ INCONNU",IF(I2197="",IF(H2197="OUI","À ENROBER",IF(G2197="À SOUDER","NON SOUDÉ","EN ATTENTE RT")),IF(L2197="R","À REPRENDRE",IF(H2197&lt;&gt;"OUI","⚠ ENROBÉ AVANT ACCEPTATION RT","ENROBÉ")))))</f>
        <v>NON SOUDÉ</v>
      </c>
      <c r="O2197" s="80"/>
      <c r="P2197" s="82" t="n">
        <f aca="false">IF(C2197="","",IFERROR(MATCH(Q2197,'CARNET DE SOUDURE'!$AW$7:$AW$3006,0),""))</f>
        <v>2191</v>
      </c>
      <c r="Q2197" s="82" t="str">
        <f aca="false">IF(C2197="","",B2197&amp;"|"&amp;C2197)</f>
        <v>MFD-ISW → MFD-CPF|JN°1713</v>
      </c>
    </row>
    <row r="2198" customFormat="false" ht="74.6" hidden="false" customHeight="false" outlineLevel="0" collapsed="false">
      <c r="A2198" s="82" t="n">
        <f aca="false">IF(C2198="","",ROW()-6)</f>
        <v>2192</v>
      </c>
      <c r="B2198" s="80" t="s">
        <v>110</v>
      </c>
      <c r="C2198" s="113" t="s">
        <v>2661</v>
      </c>
      <c r="D2198" s="82" t="str">
        <f aca="false">IF(OR(C2198="",P2198=""),"",INDEX('CARNET DE SOUDURE'!$D$7:$D$3006,P2198)&amp;"")</f>
        <v>21</v>
      </c>
      <c r="E2198" s="114" t="str">
        <f aca="false">IF(OR(C2198="",P2198=""),"",IF(INDEX('CARNET DE SOUDURE'!$U$7:$U$3006,P2198)="","",INDEX('CARNET DE SOUDURE'!$U$7:$U$3006,P2198)))</f>
        <v/>
      </c>
      <c r="F2198" s="82" t="str">
        <f aca="false">IF(OR(C2198="",P2198=""),"",INDEX('CARNET DE SOUDURE'!$AP$7:$AP$3006,P2198))</f>
        <v/>
      </c>
      <c r="G2198" s="82" t="str">
        <f aca="false">IF(C2198="","",IF(P2198="","NJ INCONNU",INDEX('CARNET DE SOUDURE'!$AQ$7:$AQ$3006,P2198)))</f>
        <v>À SOUDER</v>
      </c>
      <c r="H2198" s="82" t="str">
        <f aca="false">IF(C2198="","",IF(G2198="ACCEPTÉ","OUI","NON"))</f>
        <v>NON</v>
      </c>
      <c r="I2198" s="83"/>
      <c r="J2198" s="80"/>
      <c r="K2198" s="81"/>
      <c r="L2198" s="81"/>
      <c r="M2198" s="81"/>
      <c r="N2198" s="84" t="str">
        <f aca="false">IF(C2198="","",IF(P2198="","NJ INCONNU",IF(I2198="",IF(H2198="OUI","À ENROBER",IF(G2198="À SOUDER","NON SOUDÉ","EN ATTENTE RT")),IF(L2198="R","À REPRENDRE",IF(H2198&lt;&gt;"OUI","⚠ ENROBÉ AVANT ACCEPTATION RT","ENROBÉ")))))</f>
        <v>NON SOUDÉ</v>
      </c>
      <c r="O2198" s="80"/>
      <c r="P2198" s="82" t="n">
        <f aca="false">IF(C2198="","",IFERROR(MATCH(Q2198,'CARNET DE SOUDURE'!$AW$7:$AW$3006,0),""))</f>
        <v>2192</v>
      </c>
      <c r="Q2198" s="82" t="str">
        <f aca="false">IF(C2198="","",B2198&amp;"|"&amp;C2198)</f>
        <v>MFD-ISW → MFD-CPF|JN°1714</v>
      </c>
    </row>
    <row r="2199" customFormat="false" ht="74.6" hidden="false" customHeight="false" outlineLevel="0" collapsed="false">
      <c r="A2199" s="82" t="n">
        <f aca="false">IF(C2199="","",ROW()-6)</f>
        <v>2193</v>
      </c>
      <c r="B2199" s="80" t="s">
        <v>110</v>
      </c>
      <c r="C2199" s="113" t="s">
        <v>2662</v>
      </c>
      <c r="D2199" s="82" t="str">
        <f aca="false">IF(OR(C2199="",P2199=""),"",INDEX('CARNET DE SOUDURE'!$D$7:$D$3006,P2199)&amp;"")</f>
        <v>21</v>
      </c>
      <c r="E2199" s="114" t="str">
        <f aca="false">IF(OR(C2199="",P2199=""),"",IF(INDEX('CARNET DE SOUDURE'!$U$7:$U$3006,P2199)="","",INDEX('CARNET DE SOUDURE'!$U$7:$U$3006,P2199)))</f>
        <v/>
      </c>
      <c r="F2199" s="82" t="str">
        <f aca="false">IF(OR(C2199="",P2199=""),"",INDEX('CARNET DE SOUDURE'!$AP$7:$AP$3006,P2199))</f>
        <v/>
      </c>
      <c r="G2199" s="82" t="str">
        <f aca="false">IF(C2199="","",IF(P2199="","NJ INCONNU",INDEX('CARNET DE SOUDURE'!$AQ$7:$AQ$3006,P2199)))</f>
        <v>À SOUDER</v>
      </c>
      <c r="H2199" s="82" t="str">
        <f aca="false">IF(C2199="","",IF(G2199="ACCEPTÉ","OUI","NON"))</f>
        <v>NON</v>
      </c>
      <c r="I2199" s="83"/>
      <c r="J2199" s="80"/>
      <c r="K2199" s="81"/>
      <c r="L2199" s="81"/>
      <c r="M2199" s="81"/>
      <c r="N2199" s="84" t="str">
        <f aca="false">IF(C2199="","",IF(P2199="","NJ INCONNU",IF(I2199="",IF(H2199="OUI","À ENROBER",IF(G2199="À SOUDER","NON SOUDÉ","EN ATTENTE RT")),IF(L2199="R","À REPRENDRE",IF(H2199&lt;&gt;"OUI","⚠ ENROBÉ AVANT ACCEPTATION RT","ENROBÉ")))))</f>
        <v>NON SOUDÉ</v>
      </c>
      <c r="O2199" s="80"/>
      <c r="P2199" s="82" t="n">
        <f aca="false">IF(C2199="","",IFERROR(MATCH(Q2199,'CARNET DE SOUDURE'!$AW$7:$AW$3006,0),""))</f>
        <v>2193</v>
      </c>
      <c r="Q2199" s="82" t="str">
        <f aca="false">IF(C2199="","",B2199&amp;"|"&amp;C2199)</f>
        <v>MFD-ISW → MFD-CPF|JN°1715</v>
      </c>
    </row>
    <row r="2200" customFormat="false" ht="74.6" hidden="false" customHeight="false" outlineLevel="0" collapsed="false">
      <c r="A2200" s="82" t="n">
        <f aca="false">IF(C2200="","",ROW()-6)</f>
        <v>2194</v>
      </c>
      <c r="B2200" s="80" t="s">
        <v>110</v>
      </c>
      <c r="C2200" s="113" t="s">
        <v>2663</v>
      </c>
      <c r="D2200" s="82" t="str">
        <f aca="false">IF(OR(C2200="",P2200=""),"",INDEX('CARNET DE SOUDURE'!$D$7:$D$3006,P2200)&amp;"")</f>
        <v>21</v>
      </c>
      <c r="E2200" s="114" t="str">
        <f aca="false">IF(OR(C2200="",P2200=""),"",IF(INDEX('CARNET DE SOUDURE'!$U$7:$U$3006,P2200)="","",INDEX('CARNET DE SOUDURE'!$U$7:$U$3006,P2200)))</f>
        <v/>
      </c>
      <c r="F2200" s="82" t="str">
        <f aca="false">IF(OR(C2200="",P2200=""),"",INDEX('CARNET DE SOUDURE'!$AP$7:$AP$3006,P2200))</f>
        <v/>
      </c>
      <c r="G2200" s="82" t="str">
        <f aca="false">IF(C2200="","",IF(P2200="","NJ INCONNU",INDEX('CARNET DE SOUDURE'!$AQ$7:$AQ$3006,P2200)))</f>
        <v>À SOUDER</v>
      </c>
      <c r="H2200" s="82" t="str">
        <f aca="false">IF(C2200="","",IF(G2200="ACCEPTÉ","OUI","NON"))</f>
        <v>NON</v>
      </c>
      <c r="I2200" s="83"/>
      <c r="J2200" s="80"/>
      <c r="K2200" s="81"/>
      <c r="L2200" s="81"/>
      <c r="M2200" s="81"/>
      <c r="N2200" s="84" t="str">
        <f aca="false">IF(C2200="","",IF(P2200="","NJ INCONNU",IF(I2200="",IF(H2200="OUI","À ENROBER",IF(G2200="À SOUDER","NON SOUDÉ","EN ATTENTE RT")),IF(L2200="R","À REPRENDRE",IF(H2200&lt;&gt;"OUI","⚠ ENROBÉ AVANT ACCEPTATION RT","ENROBÉ")))))</f>
        <v>NON SOUDÉ</v>
      </c>
      <c r="O2200" s="80"/>
      <c r="P2200" s="82" t="n">
        <f aca="false">IF(C2200="","",IFERROR(MATCH(Q2200,'CARNET DE SOUDURE'!$AW$7:$AW$3006,0),""))</f>
        <v>2194</v>
      </c>
      <c r="Q2200" s="82" t="str">
        <f aca="false">IF(C2200="","",B2200&amp;"|"&amp;C2200)</f>
        <v>MFD-ISW → MFD-CPF|JN°1716</v>
      </c>
    </row>
    <row r="2201" customFormat="false" ht="74.6" hidden="false" customHeight="false" outlineLevel="0" collapsed="false">
      <c r="A2201" s="82" t="n">
        <f aca="false">IF(C2201="","",ROW()-6)</f>
        <v>2195</v>
      </c>
      <c r="B2201" s="80" t="s">
        <v>110</v>
      </c>
      <c r="C2201" s="113" t="s">
        <v>2664</v>
      </c>
      <c r="D2201" s="82" t="str">
        <f aca="false">IF(OR(C2201="",P2201=""),"",INDEX('CARNET DE SOUDURE'!$D$7:$D$3006,P2201)&amp;"")</f>
        <v>21</v>
      </c>
      <c r="E2201" s="114" t="str">
        <f aca="false">IF(OR(C2201="",P2201=""),"",IF(INDEX('CARNET DE SOUDURE'!$U$7:$U$3006,P2201)="","",INDEX('CARNET DE SOUDURE'!$U$7:$U$3006,P2201)))</f>
        <v/>
      </c>
      <c r="F2201" s="82" t="str">
        <f aca="false">IF(OR(C2201="",P2201=""),"",INDEX('CARNET DE SOUDURE'!$AP$7:$AP$3006,P2201))</f>
        <v/>
      </c>
      <c r="G2201" s="82" t="str">
        <f aca="false">IF(C2201="","",IF(P2201="","NJ INCONNU",INDEX('CARNET DE SOUDURE'!$AQ$7:$AQ$3006,P2201)))</f>
        <v>À SOUDER</v>
      </c>
      <c r="H2201" s="82" t="str">
        <f aca="false">IF(C2201="","",IF(G2201="ACCEPTÉ","OUI","NON"))</f>
        <v>NON</v>
      </c>
      <c r="I2201" s="83"/>
      <c r="J2201" s="80"/>
      <c r="K2201" s="81"/>
      <c r="L2201" s="81"/>
      <c r="M2201" s="81"/>
      <c r="N2201" s="84" t="str">
        <f aca="false">IF(C2201="","",IF(P2201="","NJ INCONNU",IF(I2201="",IF(H2201="OUI","À ENROBER",IF(G2201="À SOUDER","NON SOUDÉ","EN ATTENTE RT")),IF(L2201="R","À REPRENDRE",IF(H2201&lt;&gt;"OUI","⚠ ENROBÉ AVANT ACCEPTATION RT","ENROBÉ")))))</f>
        <v>NON SOUDÉ</v>
      </c>
      <c r="O2201" s="80"/>
      <c r="P2201" s="82" t="n">
        <f aca="false">IF(C2201="","",IFERROR(MATCH(Q2201,'CARNET DE SOUDURE'!$AW$7:$AW$3006,0),""))</f>
        <v>2195</v>
      </c>
      <c r="Q2201" s="82" t="str">
        <f aca="false">IF(C2201="","",B2201&amp;"|"&amp;C2201)</f>
        <v>MFD-ISW → MFD-CPF|JN°1717</v>
      </c>
    </row>
    <row r="2202" customFormat="false" ht="74.6" hidden="false" customHeight="false" outlineLevel="0" collapsed="false">
      <c r="A2202" s="82" t="n">
        <f aca="false">IF(C2202="","",ROW()-6)</f>
        <v>2196</v>
      </c>
      <c r="B2202" s="80" t="s">
        <v>110</v>
      </c>
      <c r="C2202" s="113" t="s">
        <v>2665</v>
      </c>
      <c r="D2202" s="82" t="str">
        <f aca="false">IF(OR(C2202="",P2202=""),"",INDEX('CARNET DE SOUDURE'!$D$7:$D$3006,P2202)&amp;"")</f>
        <v>21</v>
      </c>
      <c r="E2202" s="114" t="str">
        <f aca="false">IF(OR(C2202="",P2202=""),"",IF(INDEX('CARNET DE SOUDURE'!$U$7:$U$3006,P2202)="","",INDEX('CARNET DE SOUDURE'!$U$7:$U$3006,P2202)))</f>
        <v/>
      </c>
      <c r="F2202" s="82" t="str">
        <f aca="false">IF(OR(C2202="",P2202=""),"",INDEX('CARNET DE SOUDURE'!$AP$7:$AP$3006,P2202))</f>
        <v/>
      </c>
      <c r="G2202" s="82" t="str">
        <f aca="false">IF(C2202="","",IF(P2202="","NJ INCONNU",INDEX('CARNET DE SOUDURE'!$AQ$7:$AQ$3006,P2202)))</f>
        <v>À SOUDER</v>
      </c>
      <c r="H2202" s="82" t="str">
        <f aca="false">IF(C2202="","",IF(G2202="ACCEPTÉ","OUI","NON"))</f>
        <v>NON</v>
      </c>
      <c r="I2202" s="83"/>
      <c r="J2202" s="80"/>
      <c r="K2202" s="81"/>
      <c r="L2202" s="81"/>
      <c r="M2202" s="81"/>
      <c r="N2202" s="84" t="str">
        <f aca="false">IF(C2202="","",IF(P2202="","NJ INCONNU",IF(I2202="",IF(H2202="OUI","À ENROBER",IF(G2202="À SOUDER","NON SOUDÉ","EN ATTENTE RT")),IF(L2202="R","À REPRENDRE",IF(H2202&lt;&gt;"OUI","⚠ ENROBÉ AVANT ACCEPTATION RT","ENROBÉ")))))</f>
        <v>NON SOUDÉ</v>
      </c>
      <c r="O2202" s="80"/>
      <c r="P2202" s="82" t="n">
        <f aca="false">IF(C2202="","",IFERROR(MATCH(Q2202,'CARNET DE SOUDURE'!$AW$7:$AW$3006,0),""))</f>
        <v>2196</v>
      </c>
      <c r="Q2202" s="82" t="str">
        <f aca="false">IF(C2202="","",B2202&amp;"|"&amp;C2202)</f>
        <v>MFD-ISW → MFD-CPF|JN°1718</v>
      </c>
    </row>
    <row r="2203" customFormat="false" ht="74.6" hidden="false" customHeight="false" outlineLevel="0" collapsed="false">
      <c r="A2203" s="82" t="n">
        <f aca="false">IF(C2203="","",ROW()-6)</f>
        <v>2197</v>
      </c>
      <c r="B2203" s="80" t="s">
        <v>110</v>
      </c>
      <c r="C2203" s="113" t="s">
        <v>2666</v>
      </c>
      <c r="D2203" s="82" t="str">
        <f aca="false">IF(OR(C2203="",P2203=""),"",INDEX('CARNET DE SOUDURE'!$D$7:$D$3006,P2203)&amp;"")</f>
        <v>21</v>
      </c>
      <c r="E2203" s="114" t="str">
        <f aca="false">IF(OR(C2203="",P2203=""),"",IF(INDEX('CARNET DE SOUDURE'!$U$7:$U$3006,P2203)="","",INDEX('CARNET DE SOUDURE'!$U$7:$U$3006,P2203)))</f>
        <v/>
      </c>
      <c r="F2203" s="82" t="str">
        <f aca="false">IF(OR(C2203="",P2203=""),"",INDEX('CARNET DE SOUDURE'!$AP$7:$AP$3006,P2203))</f>
        <v/>
      </c>
      <c r="G2203" s="82" t="str">
        <f aca="false">IF(C2203="","",IF(P2203="","NJ INCONNU",INDEX('CARNET DE SOUDURE'!$AQ$7:$AQ$3006,P2203)))</f>
        <v>À SOUDER</v>
      </c>
      <c r="H2203" s="82" t="str">
        <f aca="false">IF(C2203="","",IF(G2203="ACCEPTÉ","OUI","NON"))</f>
        <v>NON</v>
      </c>
      <c r="I2203" s="83"/>
      <c r="J2203" s="80"/>
      <c r="K2203" s="81"/>
      <c r="L2203" s="81"/>
      <c r="M2203" s="81"/>
      <c r="N2203" s="84" t="str">
        <f aca="false">IF(C2203="","",IF(P2203="","NJ INCONNU",IF(I2203="",IF(H2203="OUI","À ENROBER",IF(G2203="À SOUDER","NON SOUDÉ","EN ATTENTE RT")),IF(L2203="R","À REPRENDRE",IF(H2203&lt;&gt;"OUI","⚠ ENROBÉ AVANT ACCEPTATION RT","ENROBÉ")))))</f>
        <v>NON SOUDÉ</v>
      </c>
      <c r="O2203" s="80"/>
      <c r="P2203" s="82" t="n">
        <f aca="false">IF(C2203="","",IFERROR(MATCH(Q2203,'CARNET DE SOUDURE'!$AW$7:$AW$3006,0),""))</f>
        <v>2197</v>
      </c>
      <c r="Q2203" s="82" t="str">
        <f aca="false">IF(C2203="","",B2203&amp;"|"&amp;C2203)</f>
        <v>MFD-ISW → MFD-CPF|JN°1719</v>
      </c>
    </row>
    <row r="2204" customFormat="false" ht="74.6" hidden="false" customHeight="false" outlineLevel="0" collapsed="false">
      <c r="A2204" s="82" t="n">
        <f aca="false">IF(C2204="","",ROW()-6)</f>
        <v>2198</v>
      </c>
      <c r="B2204" s="80" t="s">
        <v>110</v>
      </c>
      <c r="C2204" s="113" t="s">
        <v>2668</v>
      </c>
      <c r="D2204" s="82" t="str">
        <f aca="false">IF(OR(C2204="",P2204=""),"",INDEX('CARNET DE SOUDURE'!$D$7:$D$3006,P2204)&amp;"")</f>
        <v>21</v>
      </c>
      <c r="E2204" s="114" t="n">
        <f aca="false">IF(OR(C2204="",P2204=""),"",IF(INDEX('CARNET DE SOUDURE'!$U$7:$U$3006,P2204)="","",INDEX('CARNET DE SOUDURE'!$U$7:$U$3006,P2204)))</f>
        <v>46263</v>
      </c>
      <c r="F2204" s="82" t="str">
        <f aca="false">IF(OR(C2204="",P2204=""),"",INDEX('CARNET DE SOUDURE'!$AP$7:$AP$3006,P2204))</f>
        <v>A</v>
      </c>
      <c r="G2204" s="82" t="str">
        <f aca="false">IF(C2204="","",IF(P2204="","NJ INCONNU",INDEX('CARNET DE SOUDURE'!$AQ$7:$AQ$3006,P2204)))</f>
        <v>ACCEPTÉ</v>
      </c>
      <c r="H2204" s="82" t="str">
        <f aca="false">IF(C2204="","",IF(G2204="ACCEPTÉ","OUI","NON"))</f>
        <v>OUI</v>
      </c>
      <c r="I2204" s="83"/>
      <c r="J2204" s="80"/>
      <c r="K2204" s="81"/>
      <c r="L2204" s="81"/>
      <c r="M2204" s="81"/>
      <c r="N2204" s="84" t="str">
        <f aca="false">IF(C2204="","",IF(P2204="","NJ INCONNU",IF(I2204="",IF(H2204="OUI","À ENROBER",IF(G2204="À SOUDER","NON SOUDÉ","EN ATTENTE RT")),IF(L2204="R","À REPRENDRE",IF(H2204&lt;&gt;"OUI","⚠ ENROBÉ AVANT ACCEPTATION RT","ENROBÉ")))))</f>
        <v>À ENROBER</v>
      </c>
      <c r="O2204" s="80"/>
      <c r="P2204" s="82" t="n">
        <f aca="false">IF(C2204="","",IFERROR(MATCH(Q2204,'CARNET DE SOUDURE'!$AW$7:$AW$3006,0),""))</f>
        <v>2198</v>
      </c>
      <c r="Q2204" s="82" t="str">
        <f aca="false">IF(C2204="","",B2204&amp;"|"&amp;C2204)</f>
        <v>MFD-ISW → MFD-CPF|JN°1720</v>
      </c>
    </row>
    <row r="2205" customFormat="false" ht="74.6" hidden="false" customHeight="false" outlineLevel="0" collapsed="false">
      <c r="A2205" s="82" t="n">
        <f aca="false">IF(C2205="","",ROW()-6)</f>
        <v>2199</v>
      </c>
      <c r="B2205" s="80" t="s">
        <v>110</v>
      </c>
      <c r="C2205" s="113" t="s">
        <v>2670</v>
      </c>
      <c r="D2205" s="82" t="str">
        <f aca="false">IF(OR(C2205="",P2205=""),"",INDEX('CARNET DE SOUDURE'!$D$7:$D$3006,P2205)&amp;"")</f>
        <v>21</v>
      </c>
      <c r="E2205" s="114" t="n">
        <f aca="false">IF(OR(C2205="",P2205=""),"",IF(INDEX('CARNET DE SOUDURE'!$U$7:$U$3006,P2205)="","",INDEX('CARNET DE SOUDURE'!$U$7:$U$3006,P2205)))</f>
        <v>46263</v>
      </c>
      <c r="F2205" s="82" t="str">
        <f aca="false">IF(OR(C2205="",P2205=""),"",INDEX('CARNET DE SOUDURE'!$AP$7:$AP$3006,P2205))</f>
        <v>A</v>
      </c>
      <c r="G2205" s="82" t="str">
        <f aca="false">IF(C2205="","",IF(P2205="","NJ INCONNU",INDEX('CARNET DE SOUDURE'!$AQ$7:$AQ$3006,P2205)))</f>
        <v>ACCEPTÉ</v>
      </c>
      <c r="H2205" s="82" t="str">
        <f aca="false">IF(C2205="","",IF(G2205="ACCEPTÉ","OUI","NON"))</f>
        <v>OUI</v>
      </c>
      <c r="I2205" s="83"/>
      <c r="J2205" s="80"/>
      <c r="K2205" s="81"/>
      <c r="L2205" s="81"/>
      <c r="M2205" s="81"/>
      <c r="N2205" s="84" t="str">
        <f aca="false">IF(C2205="","",IF(P2205="","NJ INCONNU",IF(I2205="",IF(H2205="OUI","À ENROBER",IF(G2205="À SOUDER","NON SOUDÉ","EN ATTENTE RT")),IF(L2205="R","À REPRENDRE",IF(H2205&lt;&gt;"OUI","⚠ ENROBÉ AVANT ACCEPTATION RT","ENROBÉ")))))</f>
        <v>À ENROBER</v>
      </c>
      <c r="O2205" s="80"/>
      <c r="P2205" s="82" t="n">
        <f aca="false">IF(C2205="","",IFERROR(MATCH(Q2205,'CARNET DE SOUDURE'!$AW$7:$AW$3006,0),""))</f>
        <v>2199</v>
      </c>
      <c r="Q2205" s="82" t="str">
        <f aca="false">IF(C2205="","",B2205&amp;"|"&amp;C2205)</f>
        <v>MFD-ISW → MFD-CPF|JN°1721</v>
      </c>
    </row>
    <row r="2206" customFormat="false" ht="74.6" hidden="false" customHeight="false" outlineLevel="0" collapsed="false">
      <c r="A2206" s="82" t="n">
        <f aca="false">IF(C2206="","",ROW()-6)</f>
        <v>2200</v>
      </c>
      <c r="B2206" s="80" t="s">
        <v>110</v>
      </c>
      <c r="C2206" s="113" t="s">
        <v>2671</v>
      </c>
      <c r="D2206" s="82" t="str">
        <f aca="false">IF(OR(C2206="",P2206=""),"",INDEX('CARNET DE SOUDURE'!$D$7:$D$3006,P2206)&amp;"")</f>
        <v>21</v>
      </c>
      <c r="E2206" s="114" t="n">
        <f aca="false">IF(OR(C2206="",P2206=""),"",IF(INDEX('CARNET DE SOUDURE'!$U$7:$U$3006,P2206)="","",INDEX('CARNET DE SOUDURE'!$U$7:$U$3006,P2206)))</f>
        <v>46263</v>
      </c>
      <c r="F2206" s="82" t="str">
        <f aca="false">IF(OR(C2206="",P2206=""),"",INDEX('CARNET DE SOUDURE'!$AP$7:$AP$3006,P2206))</f>
        <v>A</v>
      </c>
      <c r="G2206" s="82" t="str">
        <f aca="false">IF(C2206="","",IF(P2206="","NJ INCONNU",INDEX('CARNET DE SOUDURE'!$AQ$7:$AQ$3006,P2206)))</f>
        <v>ACCEPTÉ</v>
      </c>
      <c r="H2206" s="82" t="str">
        <f aca="false">IF(C2206="","",IF(G2206="ACCEPTÉ","OUI","NON"))</f>
        <v>OUI</v>
      </c>
      <c r="I2206" s="83"/>
      <c r="J2206" s="80"/>
      <c r="K2206" s="81"/>
      <c r="L2206" s="81"/>
      <c r="M2206" s="81"/>
      <c r="N2206" s="84" t="str">
        <f aca="false">IF(C2206="","",IF(P2206="","NJ INCONNU",IF(I2206="",IF(H2206="OUI","À ENROBER",IF(G2206="À SOUDER","NON SOUDÉ","EN ATTENTE RT")),IF(L2206="R","À REPRENDRE",IF(H2206&lt;&gt;"OUI","⚠ ENROBÉ AVANT ACCEPTATION RT","ENROBÉ")))))</f>
        <v>À ENROBER</v>
      </c>
      <c r="O2206" s="80"/>
      <c r="P2206" s="82" t="n">
        <f aca="false">IF(C2206="","",IFERROR(MATCH(Q2206,'CARNET DE SOUDURE'!$AW$7:$AW$3006,0),""))</f>
        <v>2200</v>
      </c>
      <c r="Q2206" s="82" t="str">
        <f aca="false">IF(C2206="","",B2206&amp;"|"&amp;C2206)</f>
        <v>MFD-ISW → MFD-CPF|JN°1722</v>
      </c>
    </row>
    <row r="2207" customFormat="false" ht="74.6" hidden="false" customHeight="false" outlineLevel="0" collapsed="false">
      <c r="A2207" s="82" t="n">
        <f aca="false">IF(C2207="","",ROW()-6)</f>
        <v>2201</v>
      </c>
      <c r="B2207" s="80" t="s">
        <v>110</v>
      </c>
      <c r="C2207" s="113" t="s">
        <v>2672</v>
      </c>
      <c r="D2207" s="82" t="str">
        <f aca="false">IF(OR(C2207="",P2207=""),"",INDEX('CARNET DE SOUDURE'!$D$7:$D$3006,P2207)&amp;"")</f>
        <v>21</v>
      </c>
      <c r="E2207" s="114" t="n">
        <f aca="false">IF(OR(C2207="",P2207=""),"",IF(INDEX('CARNET DE SOUDURE'!$U$7:$U$3006,P2207)="","",INDEX('CARNET DE SOUDURE'!$U$7:$U$3006,P2207)))</f>
        <v>46263</v>
      </c>
      <c r="F2207" s="82" t="str">
        <f aca="false">IF(OR(C2207="",P2207=""),"",INDEX('CARNET DE SOUDURE'!$AP$7:$AP$3006,P2207))</f>
        <v>A</v>
      </c>
      <c r="G2207" s="82" t="str">
        <f aca="false">IF(C2207="","",IF(P2207="","NJ INCONNU",INDEX('CARNET DE SOUDURE'!$AQ$7:$AQ$3006,P2207)))</f>
        <v>ACCEPTÉ</v>
      </c>
      <c r="H2207" s="82" t="str">
        <f aca="false">IF(C2207="","",IF(G2207="ACCEPTÉ","OUI","NON"))</f>
        <v>OUI</v>
      </c>
      <c r="I2207" s="83"/>
      <c r="J2207" s="80"/>
      <c r="K2207" s="81"/>
      <c r="L2207" s="81"/>
      <c r="M2207" s="81"/>
      <c r="N2207" s="84" t="str">
        <f aca="false">IF(C2207="","",IF(P2207="","NJ INCONNU",IF(I2207="",IF(H2207="OUI","À ENROBER",IF(G2207="À SOUDER","NON SOUDÉ","EN ATTENTE RT")),IF(L2207="R","À REPRENDRE",IF(H2207&lt;&gt;"OUI","⚠ ENROBÉ AVANT ACCEPTATION RT","ENROBÉ")))))</f>
        <v>À ENROBER</v>
      </c>
      <c r="O2207" s="80"/>
      <c r="P2207" s="82" t="n">
        <f aca="false">IF(C2207="","",IFERROR(MATCH(Q2207,'CARNET DE SOUDURE'!$AW$7:$AW$3006,0),""))</f>
        <v>2201</v>
      </c>
      <c r="Q2207" s="82" t="str">
        <f aca="false">IF(C2207="","",B2207&amp;"|"&amp;C2207)</f>
        <v>MFD-ISW → MFD-CPF|JN°1723</v>
      </c>
    </row>
    <row r="2208" customFormat="false" ht="74.6" hidden="false" customHeight="false" outlineLevel="0" collapsed="false">
      <c r="A2208" s="82" t="n">
        <f aca="false">IF(C2208="","",ROW()-6)</f>
        <v>2202</v>
      </c>
      <c r="B2208" s="80" t="s">
        <v>110</v>
      </c>
      <c r="C2208" s="113" t="s">
        <v>2673</v>
      </c>
      <c r="D2208" s="82" t="str">
        <f aca="false">IF(OR(C2208="",P2208=""),"",INDEX('CARNET DE SOUDURE'!$D$7:$D$3006,P2208)&amp;"")</f>
        <v>21</v>
      </c>
      <c r="E2208" s="114" t="str">
        <f aca="false">IF(OR(C2208="",P2208=""),"",IF(INDEX('CARNET DE SOUDURE'!$U$7:$U$3006,P2208)="","",INDEX('CARNET DE SOUDURE'!$U$7:$U$3006,P2208)))</f>
        <v/>
      </c>
      <c r="F2208" s="82" t="str">
        <f aca="false">IF(OR(C2208="",P2208=""),"",INDEX('CARNET DE SOUDURE'!$AP$7:$AP$3006,P2208))</f>
        <v/>
      </c>
      <c r="G2208" s="82" t="str">
        <f aca="false">IF(C2208="","",IF(P2208="","NJ INCONNU",INDEX('CARNET DE SOUDURE'!$AQ$7:$AQ$3006,P2208)))</f>
        <v>À SOUDER</v>
      </c>
      <c r="H2208" s="82" t="str">
        <f aca="false">IF(C2208="","",IF(G2208="ACCEPTÉ","OUI","NON"))</f>
        <v>NON</v>
      </c>
      <c r="I2208" s="83"/>
      <c r="J2208" s="80"/>
      <c r="K2208" s="81"/>
      <c r="L2208" s="81"/>
      <c r="M2208" s="81"/>
      <c r="N2208" s="84" t="str">
        <f aca="false">IF(C2208="","",IF(P2208="","NJ INCONNU",IF(I2208="",IF(H2208="OUI","À ENROBER",IF(G2208="À SOUDER","NON SOUDÉ","EN ATTENTE RT")),IF(L2208="R","À REPRENDRE",IF(H2208&lt;&gt;"OUI","⚠ ENROBÉ AVANT ACCEPTATION RT","ENROBÉ")))))</f>
        <v>NON SOUDÉ</v>
      </c>
      <c r="O2208" s="80"/>
      <c r="P2208" s="82" t="n">
        <f aca="false">IF(C2208="","",IFERROR(MATCH(Q2208,'CARNET DE SOUDURE'!$AW$7:$AW$3006,0),""))</f>
        <v>2202</v>
      </c>
      <c r="Q2208" s="82" t="str">
        <f aca="false">IF(C2208="","",B2208&amp;"|"&amp;C2208)</f>
        <v>MFD-ISW → MFD-CPF|JN°1724</v>
      </c>
    </row>
    <row r="2209" customFormat="false" ht="74.6" hidden="false" customHeight="false" outlineLevel="0" collapsed="false">
      <c r="A2209" s="82" t="n">
        <f aca="false">IF(C2209="","",ROW()-6)</f>
        <v>2203</v>
      </c>
      <c r="B2209" s="80" t="s">
        <v>110</v>
      </c>
      <c r="C2209" s="113" t="s">
        <v>2674</v>
      </c>
      <c r="D2209" s="82" t="str">
        <f aca="false">IF(OR(C2209="",P2209=""),"",INDEX('CARNET DE SOUDURE'!$D$7:$D$3006,P2209)&amp;"")</f>
        <v>21</v>
      </c>
      <c r="E2209" s="114" t="str">
        <f aca="false">IF(OR(C2209="",P2209=""),"",IF(INDEX('CARNET DE SOUDURE'!$U$7:$U$3006,P2209)="","",INDEX('CARNET DE SOUDURE'!$U$7:$U$3006,P2209)))</f>
        <v/>
      </c>
      <c r="F2209" s="82" t="str">
        <f aca="false">IF(OR(C2209="",P2209=""),"",INDEX('CARNET DE SOUDURE'!$AP$7:$AP$3006,P2209))</f>
        <v/>
      </c>
      <c r="G2209" s="82" t="str">
        <f aca="false">IF(C2209="","",IF(P2209="","NJ INCONNU",INDEX('CARNET DE SOUDURE'!$AQ$7:$AQ$3006,P2209)))</f>
        <v>À SOUDER</v>
      </c>
      <c r="H2209" s="82" t="str">
        <f aca="false">IF(C2209="","",IF(G2209="ACCEPTÉ","OUI","NON"))</f>
        <v>NON</v>
      </c>
      <c r="I2209" s="83"/>
      <c r="J2209" s="80"/>
      <c r="K2209" s="81"/>
      <c r="L2209" s="81"/>
      <c r="M2209" s="81"/>
      <c r="N2209" s="84" t="str">
        <f aca="false">IF(C2209="","",IF(P2209="","NJ INCONNU",IF(I2209="",IF(H2209="OUI","À ENROBER",IF(G2209="À SOUDER","NON SOUDÉ","EN ATTENTE RT")),IF(L2209="R","À REPRENDRE",IF(H2209&lt;&gt;"OUI","⚠ ENROBÉ AVANT ACCEPTATION RT","ENROBÉ")))))</f>
        <v>NON SOUDÉ</v>
      </c>
      <c r="O2209" s="80"/>
      <c r="P2209" s="82" t="n">
        <f aca="false">IF(C2209="","",IFERROR(MATCH(Q2209,'CARNET DE SOUDURE'!$AW$7:$AW$3006,0),""))</f>
        <v>2203</v>
      </c>
      <c r="Q2209" s="82" t="str">
        <f aca="false">IF(C2209="","",B2209&amp;"|"&amp;C2209)</f>
        <v>MFD-ISW → MFD-CPF|JN°1725</v>
      </c>
    </row>
    <row r="2210" customFormat="false" ht="74.6" hidden="false" customHeight="false" outlineLevel="0" collapsed="false">
      <c r="A2210" s="82" t="n">
        <f aca="false">IF(C2210="","",ROW()-6)</f>
        <v>2204</v>
      </c>
      <c r="B2210" s="80" t="s">
        <v>110</v>
      </c>
      <c r="C2210" s="113" t="s">
        <v>2675</v>
      </c>
      <c r="D2210" s="82" t="str">
        <f aca="false">IF(OR(C2210="",P2210=""),"",INDEX('CARNET DE SOUDURE'!$D$7:$D$3006,P2210)&amp;"")</f>
        <v>21</v>
      </c>
      <c r="E2210" s="114" t="str">
        <f aca="false">IF(OR(C2210="",P2210=""),"",IF(INDEX('CARNET DE SOUDURE'!$U$7:$U$3006,P2210)="","",INDEX('CARNET DE SOUDURE'!$U$7:$U$3006,P2210)))</f>
        <v/>
      </c>
      <c r="F2210" s="82" t="str">
        <f aca="false">IF(OR(C2210="",P2210=""),"",INDEX('CARNET DE SOUDURE'!$AP$7:$AP$3006,P2210))</f>
        <v/>
      </c>
      <c r="G2210" s="82" t="str">
        <f aca="false">IF(C2210="","",IF(P2210="","NJ INCONNU",INDEX('CARNET DE SOUDURE'!$AQ$7:$AQ$3006,P2210)))</f>
        <v>À SOUDER</v>
      </c>
      <c r="H2210" s="82" t="str">
        <f aca="false">IF(C2210="","",IF(G2210="ACCEPTÉ","OUI","NON"))</f>
        <v>NON</v>
      </c>
      <c r="I2210" s="83"/>
      <c r="J2210" s="80"/>
      <c r="K2210" s="81"/>
      <c r="L2210" s="81"/>
      <c r="M2210" s="81"/>
      <c r="N2210" s="84" t="str">
        <f aca="false">IF(C2210="","",IF(P2210="","NJ INCONNU",IF(I2210="",IF(H2210="OUI","À ENROBER",IF(G2210="À SOUDER","NON SOUDÉ","EN ATTENTE RT")),IF(L2210="R","À REPRENDRE",IF(H2210&lt;&gt;"OUI","⚠ ENROBÉ AVANT ACCEPTATION RT","ENROBÉ")))))</f>
        <v>NON SOUDÉ</v>
      </c>
      <c r="O2210" s="80"/>
      <c r="P2210" s="82" t="n">
        <f aca="false">IF(C2210="","",IFERROR(MATCH(Q2210,'CARNET DE SOUDURE'!$AW$7:$AW$3006,0),""))</f>
        <v>2204</v>
      </c>
      <c r="Q2210" s="82" t="str">
        <f aca="false">IF(C2210="","",B2210&amp;"|"&amp;C2210)</f>
        <v>MFD-ISW → MFD-CPF|JN°1726</v>
      </c>
    </row>
    <row r="2211" customFormat="false" ht="74.6" hidden="false" customHeight="false" outlineLevel="0" collapsed="false">
      <c r="A2211" s="82" t="n">
        <f aca="false">IF(C2211="","",ROW()-6)</f>
        <v>2205</v>
      </c>
      <c r="B2211" s="80" t="s">
        <v>110</v>
      </c>
      <c r="C2211" s="113" t="s">
        <v>2677</v>
      </c>
      <c r="D2211" s="82" t="str">
        <f aca="false">IF(OR(C2211="",P2211=""),"",INDEX('CARNET DE SOUDURE'!$D$7:$D$3006,P2211)&amp;"")</f>
        <v>21</v>
      </c>
      <c r="E2211" s="114" t="n">
        <f aca="false">IF(OR(C2211="",P2211=""),"",IF(INDEX('CARNET DE SOUDURE'!$U$7:$U$3006,P2211)="","",INDEX('CARNET DE SOUDURE'!$U$7:$U$3006,P2211)))</f>
        <v>46263</v>
      </c>
      <c r="F2211" s="82" t="str">
        <f aca="false">IF(OR(C2211="",P2211=""),"",INDEX('CARNET DE SOUDURE'!$AP$7:$AP$3006,P2211))</f>
        <v>A</v>
      </c>
      <c r="G2211" s="82" t="str">
        <f aca="false">IF(C2211="","",IF(P2211="","NJ INCONNU",INDEX('CARNET DE SOUDURE'!$AQ$7:$AQ$3006,P2211)))</f>
        <v>ACCEPTÉ</v>
      </c>
      <c r="H2211" s="82" t="str">
        <f aca="false">IF(C2211="","",IF(G2211="ACCEPTÉ","OUI","NON"))</f>
        <v>OUI</v>
      </c>
      <c r="I2211" s="83"/>
      <c r="J2211" s="80"/>
      <c r="K2211" s="81"/>
      <c r="L2211" s="81"/>
      <c r="M2211" s="81"/>
      <c r="N2211" s="84" t="str">
        <f aca="false">IF(C2211="","",IF(P2211="","NJ INCONNU",IF(I2211="",IF(H2211="OUI","À ENROBER",IF(G2211="À SOUDER","NON SOUDÉ","EN ATTENTE RT")),IF(L2211="R","À REPRENDRE",IF(H2211&lt;&gt;"OUI","⚠ ENROBÉ AVANT ACCEPTATION RT","ENROBÉ")))))</f>
        <v>À ENROBER</v>
      </c>
      <c r="O2211" s="80"/>
      <c r="P2211" s="82" t="n">
        <f aca="false">IF(C2211="","",IFERROR(MATCH(Q2211,'CARNET DE SOUDURE'!$AW$7:$AW$3006,0),""))</f>
        <v>2205</v>
      </c>
      <c r="Q2211" s="82" t="str">
        <f aca="false">IF(C2211="","",B2211&amp;"|"&amp;C2211)</f>
        <v>MFD-ISW → MFD-CPF|JN°1727</v>
      </c>
    </row>
    <row r="2212" customFormat="false" ht="74.6" hidden="false" customHeight="false" outlineLevel="0" collapsed="false">
      <c r="A2212" s="82" t="n">
        <f aca="false">IF(C2212="","",ROW()-6)</f>
        <v>2206</v>
      </c>
      <c r="B2212" s="80" t="s">
        <v>110</v>
      </c>
      <c r="C2212" s="113" t="s">
        <v>2678</v>
      </c>
      <c r="D2212" s="82" t="str">
        <f aca="false">IF(OR(C2212="",P2212=""),"",INDEX('CARNET DE SOUDURE'!$D$7:$D$3006,P2212)&amp;"")</f>
        <v>21</v>
      </c>
      <c r="E2212" s="114" t="n">
        <f aca="false">IF(OR(C2212="",P2212=""),"",IF(INDEX('CARNET DE SOUDURE'!$U$7:$U$3006,P2212)="","",INDEX('CARNET DE SOUDURE'!$U$7:$U$3006,P2212)))</f>
        <v>46263</v>
      </c>
      <c r="F2212" s="82" t="str">
        <f aca="false">IF(OR(C2212="",P2212=""),"",INDEX('CARNET DE SOUDURE'!$AP$7:$AP$3006,P2212))</f>
        <v>A</v>
      </c>
      <c r="G2212" s="82" t="str">
        <f aca="false">IF(C2212="","",IF(P2212="","NJ INCONNU",INDEX('CARNET DE SOUDURE'!$AQ$7:$AQ$3006,P2212)))</f>
        <v>ACCEPTÉ</v>
      </c>
      <c r="H2212" s="82" t="str">
        <f aca="false">IF(C2212="","",IF(G2212="ACCEPTÉ","OUI","NON"))</f>
        <v>OUI</v>
      </c>
      <c r="I2212" s="83"/>
      <c r="J2212" s="80"/>
      <c r="K2212" s="81"/>
      <c r="L2212" s="81"/>
      <c r="M2212" s="81"/>
      <c r="N2212" s="84" t="str">
        <f aca="false">IF(C2212="","",IF(P2212="","NJ INCONNU",IF(I2212="",IF(H2212="OUI","À ENROBER",IF(G2212="À SOUDER","NON SOUDÉ","EN ATTENTE RT")),IF(L2212="R","À REPRENDRE",IF(H2212&lt;&gt;"OUI","⚠ ENROBÉ AVANT ACCEPTATION RT","ENROBÉ")))))</f>
        <v>À ENROBER</v>
      </c>
      <c r="O2212" s="80"/>
      <c r="P2212" s="82" t="n">
        <f aca="false">IF(C2212="","",IFERROR(MATCH(Q2212,'CARNET DE SOUDURE'!$AW$7:$AW$3006,0),""))</f>
        <v>2206</v>
      </c>
      <c r="Q2212" s="82" t="str">
        <f aca="false">IF(C2212="","",B2212&amp;"|"&amp;C2212)</f>
        <v>MFD-ISW → MFD-CPF|JN°1728</v>
      </c>
    </row>
    <row r="2213" customFormat="false" ht="74.6" hidden="false" customHeight="false" outlineLevel="0" collapsed="false">
      <c r="A2213" s="82" t="n">
        <f aca="false">IF(C2213="","",ROW()-6)</f>
        <v>2207</v>
      </c>
      <c r="B2213" s="80" t="s">
        <v>110</v>
      </c>
      <c r="C2213" s="113" t="s">
        <v>2679</v>
      </c>
      <c r="D2213" s="82" t="str">
        <f aca="false">IF(OR(C2213="",P2213=""),"",INDEX('CARNET DE SOUDURE'!$D$7:$D$3006,P2213)&amp;"")</f>
        <v>21</v>
      </c>
      <c r="E2213" s="114" t="n">
        <f aca="false">IF(OR(C2213="",P2213=""),"",IF(INDEX('CARNET DE SOUDURE'!$U$7:$U$3006,P2213)="","",INDEX('CARNET DE SOUDURE'!$U$7:$U$3006,P2213)))</f>
        <v>46263</v>
      </c>
      <c r="F2213" s="82" t="str">
        <f aca="false">IF(OR(C2213="",P2213=""),"",INDEX('CARNET DE SOUDURE'!$AP$7:$AP$3006,P2213))</f>
        <v>A</v>
      </c>
      <c r="G2213" s="82" t="str">
        <f aca="false">IF(C2213="","",IF(P2213="","NJ INCONNU",INDEX('CARNET DE SOUDURE'!$AQ$7:$AQ$3006,P2213)))</f>
        <v>ACCEPTÉ</v>
      </c>
      <c r="H2213" s="82" t="str">
        <f aca="false">IF(C2213="","",IF(G2213="ACCEPTÉ","OUI","NON"))</f>
        <v>OUI</v>
      </c>
      <c r="I2213" s="83"/>
      <c r="J2213" s="80"/>
      <c r="K2213" s="81"/>
      <c r="L2213" s="81"/>
      <c r="M2213" s="81"/>
      <c r="N2213" s="84" t="str">
        <f aca="false">IF(C2213="","",IF(P2213="","NJ INCONNU",IF(I2213="",IF(H2213="OUI","À ENROBER",IF(G2213="À SOUDER","NON SOUDÉ","EN ATTENTE RT")),IF(L2213="R","À REPRENDRE",IF(H2213&lt;&gt;"OUI","⚠ ENROBÉ AVANT ACCEPTATION RT","ENROBÉ")))))</f>
        <v>À ENROBER</v>
      </c>
      <c r="O2213" s="80"/>
      <c r="P2213" s="82" t="n">
        <f aca="false">IF(C2213="","",IFERROR(MATCH(Q2213,'CARNET DE SOUDURE'!$AW$7:$AW$3006,0),""))</f>
        <v>2207</v>
      </c>
      <c r="Q2213" s="82" t="str">
        <f aca="false">IF(C2213="","",B2213&amp;"|"&amp;C2213)</f>
        <v>MFD-ISW → MFD-CPF|JN°1729</v>
      </c>
    </row>
    <row r="2214" customFormat="false" ht="74.6" hidden="false" customHeight="false" outlineLevel="0" collapsed="false">
      <c r="A2214" s="82" t="n">
        <f aca="false">IF(C2214="","",ROW()-6)</f>
        <v>2208</v>
      </c>
      <c r="B2214" s="80" t="s">
        <v>110</v>
      </c>
      <c r="C2214" s="113" t="s">
        <v>2680</v>
      </c>
      <c r="D2214" s="82" t="str">
        <f aca="false">IF(OR(C2214="",P2214=""),"",INDEX('CARNET DE SOUDURE'!$D$7:$D$3006,P2214)&amp;"")</f>
        <v>21</v>
      </c>
      <c r="E2214" s="114" t="n">
        <f aca="false">IF(OR(C2214="",P2214=""),"",IF(INDEX('CARNET DE SOUDURE'!$U$7:$U$3006,P2214)="","",INDEX('CARNET DE SOUDURE'!$U$7:$U$3006,P2214)))</f>
        <v>46262</v>
      </c>
      <c r="F2214" s="82" t="str">
        <f aca="false">IF(OR(C2214="",P2214=""),"",INDEX('CARNET DE SOUDURE'!$AP$7:$AP$3006,P2214))</f>
        <v>A</v>
      </c>
      <c r="G2214" s="82" t="str">
        <f aca="false">IF(C2214="","",IF(P2214="","NJ INCONNU",INDEX('CARNET DE SOUDURE'!$AQ$7:$AQ$3006,P2214)))</f>
        <v>ACCEPTÉ</v>
      </c>
      <c r="H2214" s="82" t="str">
        <f aca="false">IF(C2214="","",IF(G2214="ACCEPTÉ","OUI","NON"))</f>
        <v>OUI</v>
      </c>
      <c r="I2214" s="83"/>
      <c r="J2214" s="80"/>
      <c r="K2214" s="81"/>
      <c r="L2214" s="81"/>
      <c r="M2214" s="81"/>
      <c r="N2214" s="84" t="str">
        <f aca="false">IF(C2214="","",IF(P2214="","NJ INCONNU",IF(I2214="",IF(H2214="OUI","À ENROBER",IF(G2214="À SOUDER","NON SOUDÉ","EN ATTENTE RT")),IF(L2214="R","À REPRENDRE",IF(H2214&lt;&gt;"OUI","⚠ ENROBÉ AVANT ACCEPTATION RT","ENROBÉ")))))</f>
        <v>À ENROBER</v>
      </c>
      <c r="O2214" s="80"/>
      <c r="P2214" s="82" t="n">
        <f aca="false">IF(C2214="","",IFERROR(MATCH(Q2214,'CARNET DE SOUDURE'!$AW$7:$AW$3006,0),""))</f>
        <v>2208</v>
      </c>
      <c r="Q2214" s="82" t="str">
        <f aca="false">IF(C2214="","",B2214&amp;"|"&amp;C2214)</f>
        <v>MFD-ISW → MFD-CPF|JN°1730</v>
      </c>
    </row>
    <row r="2215" customFormat="false" ht="74.6" hidden="false" customHeight="false" outlineLevel="0" collapsed="false">
      <c r="A2215" s="82" t="n">
        <f aca="false">IF(C2215="","",ROW()-6)</f>
        <v>2209</v>
      </c>
      <c r="B2215" s="80" t="s">
        <v>110</v>
      </c>
      <c r="C2215" s="113" t="s">
        <v>2683</v>
      </c>
      <c r="D2215" s="82" t="str">
        <f aca="false">IF(OR(C2215="",P2215=""),"",INDEX('CARNET DE SOUDURE'!$D$7:$D$3006,P2215)&amp;"")</f>
        <v>21</v>
      </c>
      <c r="E2215" s="114" t="n">
        <f aca="false">IF(OR(C2215="",P2215=""),"",IF(INDEX('CARNET DE SOUDURE'!$U$7:$U$3006,P2215)="","",INDEX('CARNET DE SOUDURE'!$U$7:$U$3006,P2215)))</f>
        <v>46262</v>
      </c>
      <c r="F2215" s="82" t="str">
        <f aca="false">IF(OR(C2215="",P2215=""),"",INDEX('CARNET DE SOUDURE'!$AP$7:$AP$3006,P2215))</f>
        <v>A</v>
      </c>
      <c r="G2215" s="82" t="str">
        <f aca="false">IF(C2215="","",IF(P2215="","NJ INCONNU",INDEX('CARNET DE SOUDURE'!$AQ$7:$AQ$3006,P2215)))</f>
        <v>ACCEPTÉ</v>
      </c>
      <c r="H2215" s="82" t="str">
        <f aca="false">IF(C2215="","",IF(G2215="ACCEPTÉ","OUI","NON"))</f>
        <v>OUI</v>
      </c>
      <c r="I2215" s="83"/>
      <c r="J2215" s="80"/>
      <c r="K2215" s="81"/>
      <c r="L2215" s="81"/>
      <c r="M2215" s="81"/>
      <c r="N2215" s="84" t="str">
        <f aca="false">IF(C2215="","",IF(P2215="","NJ INCONNU",IF(I2215="",IF(H2215="OUI","À ENROBER",IF(G2215="À SOUDER","NON SOUDÉ","EN ATTENTE RT")),IF(L2215="R","À REPRENDRE",IF(H2215&lt;&gt;"OUI","⚠ ENROBÉ AVANT ACCEPTATION RT","ENROBÉ")))))</f>
        <v>À ENROBER</v>
      </c>
      <c r="O2215" s="80"/>
      <c r="P2215" s="82" t="n">
        <f aca="false">IF(C2215="","",IFERROR(MATCH(Q2215,'CARNET DE SOUDURE'!$AW$7:$AW$3006,0),""))</f>
        <v>2209</v>
      </c>
      <c r="Q2215" s="82" t="str">
        <f aca="false">IF(C2215="","",B2215&amp;"|"&amp;C2215)</f>
        <v>MFD-ISW → MFD-CPF|JN°1731</v>
      </c>
    </row>
    <row r="2216" customFormat="false" ht="74.6" hidden="false" customHeight="false" outlineLevel="0" collapsed="false">
      <c r="A2216" s="82" t="n">
        <f aca="false">IF(C2216="","",ROW()-6)</f>
        <v>2210</v>
      </c>
      <c r="B2216" s="80" t="s">
        <v>110</v>
      </c>
      <c r="C2216" s="113" t="s">
        <v>2684</v>
      </c>
      <c r="D2216" s="82" t="str">
        <f aca="false">IF(OR(C2216="",P2216=""),"",INDEX('CARNET DE SOUDURE'!$D$7:$D$3006,P2216)&amp;"")</f>
        <v>21</v>
      </c>
      <c r="E2216" s="114" t="str">
        <f aca="false">IF(OR(C2216="",P2216=""),"",IF(INDEX('CARNET DE SOUDURE'!$U$7:$U$3006,P2216)="","",INDEX('CARNET DE SOUDURE'!$U$7:$U$3006,P2216)))</f>
        <v/>
      </c>
      <c r="F2216" s="82" t="str">
        <f aca="false">IF(OR(C2216="",P2216=""),"",INDEX('CARNET DE SOUDURE'!$AP$7:$AP$3006,P2216))</f>
        <v/>
      </c>
      <c r="G2216" s="82" t="str">
        <f aca="false">IF(C2216="","",IF(P2216="","NJ INCONNU",INDEX('CARNET DE SOUDURE'!$AQ$7:$AQ$3006,P2216)))</f>
        <v>À SOUDER</v>
      </c>
      <c r="H2216" s="82" t="str">
        <f aca="false">IF(C2216="","",IF(G2216="ACCEPTÉ","OUI","NON"))</f>
        <v>NON</v>
      </c>
      <c r="I2216" s="83"/>
      <c r="J2216" s="80"/>
      <c r="K2216" s="81"/>
      <c r="L2216" s="81"/>
      <c r="M2216" s="81"/>
      <c r="N2216" s="84" t="str">
        <f aca="false">IF(C2216="","",IF(P2216="","NJ INCONNU",IF(I2216="",IF(H2216="OUI","À ENROBER",IF(G2216="À SOUDER","NON SOUDÉ","EN ATTENTE RT")),IF(L2216="R","À REPRENDRE",IF(H2216&lt;&gt;"OUI","⚠ ENROBÉ AVANT ACCEPTATION RT","ENROBÉ")))))</f>
        <v>NON SOUDÉ</v>
      </c>
      <c r="O2216" s="80"/>
      <c r="P2216" s="82" t="n">
        <f aca="false">IF(C2216="","",IFERROR(MATCH(Q2216,'CARNET DE SOUDURE'!$AW$7:$AW$3006,0),""))</f>
        <v>2210</v>
      </c>
      <c r="Q2216" s="82" t="str">
        <f aca="false">IF(C2216="","",B2216&amp;"|"&amp;C2216)</f>
        <v>MFD-ISW → MFD-CPF|JN°1732</v>
      </c>
    </row>
    <row r="2217" customFormat="false" ht="74.6" hidden="false" customHeight="false" outlineLevel="0" collapsed="false">
      <c r="A2217" s="82" t="n">
        <f aca="false">IF(C2217="","",ROW()-6)</f>
        <v>2211</v>
      </c>
      <c r="B2217" s="80" t="s">
        <v>110</v>
      </c>
      <c r="C2217" s="113" t="s">
        <v>2685</v>
      </c>
      <c r="D2217" s="82" t="str">
        <f aca="false">IF(OR(C2217="",P2217=""),"",INDEX('CARNET DE SOUDURE'!$D$7:$D$3006,P2217)&amp;"")</f>
        <v>21</v>
      </c>
      <c r="E2217" s="114" t="str">
        <f aca="false">IF(OR(C2217="",P2217=""),"",IF(INDEX('CARNET DE SOUDURE'!$U$7:$U$3006,P2217)="","",INDEX('CARNET DE SOUDURE'!$U$7:$U$3006,P2217)))</f>
        <v/>
      </c>
      <c r="F2217" s="82" t="str">
        <f aca="false">IF(OR(C2217="",P2217=""),"",INDEX('CARNET DE SOUDURE'!$AP$7:$AP$3006,P2217))</f>
        <v/>
      </c>
      <c r="G2217" s="82" t="str">
        <f aca="false">IF(C2217="","",IF(P2217="","NJ INCONNU",INDEX('CARNET DE SOUDURE'!$AQ$7:$AQ$3006,P2217)))</f>
        <v>À SOUDER</v>
      </c>
      <c r="H2217" s="82" t="str">
        <f aca="false">IF(C2217="","",IF(G2217="ACCEPTÉ","OUI","NON"))</f>
        <v>NON</v>
      </c>
      <c r="I2217" s="83"/>
      <c r="J2217" s="80"/>
      <c r="K2217" s="81"/>
      <c r="L2217" s="81"/>
      <c r="M2217" s="81"/>
      <c r="N2217" s="84" t="str">
        <f aca="false">IF(C2217="","",IF(P2217="","NJ INCONNU",IF(I2217="",IF(H2217="OUI","À ENROBER",IF(G2217="À SOUDER","NON SOUDÉ","EN ATTENTE RT")),IF(L2217="R","À REPRENDRE",IF(H2217&lt;&gt;"OUI","⚠ ENROBÉ AVANT ACCEPTATION RT","ENROBÉ")))))</f>
        <v>NON SOUDÉ</v>
      </c>
      <c r="O2217" s="80"/>
      <c r="P2217" s="82" t="n">
        <f aca="false">IF(C2217="","",IFERROR(MATCH(Q2217,'CARNET DE SOUDURE'!$AW$7:$AW$3006,0),""))</f>
        <v>2211</v>
      </c>
      <c r="Q2217" s="82" t="str">
        <f aca="false">IF(C2217="","",B2217&amp;"|"&amp;C2217)</f>
        <v>MFD-ISW → MFD-CPF|JN°1733</v>
      </c>
    </row>
    <row r="2218" customFormat="false" ht="74.6" hidden="false" customHeight="false" outlineLevel="0" collapsed="false">
      <c r="A2218" s="82" t="n">
        <f aca="false">IF(C2218="","",ROW()-6)</f>
        <v>2212</v>
      </c>
      <c r="B2218" s="80" t="s">
        <v>110</v>
      </c>
      <c r="C2218" s="113" t="s">
        <v>2686</v>
      </c>
      <c r="D2218" s="82" t="str">
        <f aca="false">IF(OR(C2218="",P2218=""),"",INDEX('CARNET DE SOUDURE'!$D$7:$D$3006,P2218)&amp;"")</f>
        <v>21</v>
      </c>
      <c r="E2218" s="114" t="str">
        <f aca="false">IF(OR(C2218="",P2218=""),"",IF(INDEX('CARNET DE SOUDURE'!$U$7:$U$3006,P2218)="","",INDEX('CARNET DE SOUDURE'!$U$7:$U$3006,P2218)))</f>
        <v/>
      </c>
      <c r="F2218" s="82" t="str">
        <f aca="false">IF(OR(C2218="",P2218=""),"",INDEX('CARNET DE SOUDURE'!$AP$7:$AP$3006,P2218))</f>
        <v/>
      </c>
      <c r="G2218" s="82" t="str">
        <f aca="false">IF(C2218="","",IF(P2218="","NJ INCONNU",INDEX('CARNET DE SOUDURE'!$AQ$7:$AQ$3006,P2218)))</f>
        <v>À SOUDER</v>
      </c>
      <c r="H2218" s="82" t="str">
        <f aca="false">IF(C2218="","",IF(G2218="ACCEPTÉ","OUI","NON"))</f>
        <v>NON</v>
      </c>
      <c r="I2218" s="83"/>
      <c r="J2218" s="80"/>
      <c r="K2218" s="81"/>
      <c r="L2218" s="81"/>
      <c r="M2218" s="81"/>
      <c r="N2218" s="84" t="str">
        <f aca="false">IF(C2218="","",IF(P2218="","NJ INCONNU",IF(I2218="",IF(H2218="OUI","À ENROBER",IF(G2218="À SOUDER","NON SOUDÉ","EN ATTENTE RT")),IF(L2218="R","À REPRENDRE",IF(H2218&lt;&gt;"OUI","⚠ ENROBÉ AVANT ACCEPTATION RT","ENROBÉ")))))</f>
        <v>NON SOUDÉ</v>
      </c>
      <c r="O2218" s="80"/>
      <c r="P2218" s="82" t="n">
        <f aca="false">IF(C2218="","",IFERROR(MATCH(Q2218,'CARNET DE SOUDURE'!$AW$7:$AW$3006,0),""))</f>
        <v>2212</v>
      </c>
      <c r="Q2218" s="82" t="str">
        <f aca="false">IF(C2218="","",B2218&amp;"|"&amp;C2218)</f>
        <v>MFD-ISW → MFD-CPF|JN°1734</v>
      </c>
    </row>
    <row r="2219" customFormat="false" ht="74.6" hidden="false" customHeight="false" outlineLevel="0" collapsed="false">
      <c r="A2219" s="82" t="n">
        <f aca="false">IF(C2219="","",ROW()-6)</f>
        <v>2213</v>
      </c>
      <c r="B2219" s="80" t="s">
        <v>110</v>
      </c>
      <c r="C2219" s="113" t="s">
        <v>2688</v>
      </c>
      <c r="D2219" s="82" t="str">
        <f aca="false">IF(OR(C2219="",P2219=""),"",INDEX('CARNET DE SOUDURE'!$D$7:$D$3006,P2219)&amp;"")</f>
        <v>21</v>
      </c>
      <c r="E2219" s="114" t="n">
        <f aca="false">IF(OR(C2219="",P2219=""),"",IF(INDEX('CARNET DE SOUDURE'!$U$7:$U$3006,P2219)="","",INDEX('CARNET DE SOUDURE'!$U$7:$U$3006,P2219)))</f>
        <v>46262</v>
      </c>
      <c r="F2219" s="82" t="str">
        <f aca="false">IF(OR(C2219="",P2219=""),"",INDEX('CARNET DE SOUDURE'!$AP$7:$AP$3006,P2219))</f>
        <v>A</v>
      </c>
      <c r="G2219" s="82" t="str">
        <f aca="false">IF(C2219="","",IF(P2219="","NJ INCONNU",INDEX('CARNET DE SOUDURE'!$AQ$7:$AQ$3006,P2219)))</f>
        <v>ACCEPTÉ</v>
      </c>
      <c r="H2219" s="82" t="str">
        <f aca="false">IF(C2219="","",IF(G2219="ACCEPTÉ","OUI","NON"))</f>
        <v>OUI</v>
      </c>
      <c r="I2219" s="83"/>
      <c r="J2219" s="80"/>
      <c r="K2219" s="81"/>
      <c r="L2219" s="81"/>
      <c r="M2219" s="81"/>
      <c r="N2219" s="84" t="str">
        <f aca="false">IF(C2219="","",IF(P2219="","NJ INCONNU",IF(I2219="",IF(H2219="OUI","À ENROBER",IF(G2219="À SOUDER","NON SOUDÉ","EN ATTENTE RT")),IF(L2219="R","À REPRENDRE",IF(H2219&lt;&gt;"OUI","⚠ ENROBÉ AVANT ACCEPTATION RT","ENROBÉ")))))</f>
        <v>À ENROBER</v>
      </c>
      <c r="O2219" s="80"/>
      <c r="P2219" s="82" t="n">
        <f aca="false">IF(C2219="","",IFERROR(MATCH(Q2219,'CARNET DE SOUDURE'!$AW$7:$AW$3006,0),""))</f>
        <v>2213</v>
      </c>
      <c r="Q2219" s="82" t="str">
        <f aca="false">IF(C2219="","",B2219&amp;"|"&amp;C2219)</f>
        <v>MFD-ISW → MFD-CPF|JN°1735</v>
      </c>
    </row>
    <row r="2220" customFormat="false" ht="74.6" hidden="false" customHeight="false" outlineLevel="0" collapsed="false">
      <c r="A2220" s="82" t="n">
        <f aca="false">IF(C2220="","",ROW()-6)</f>
        <v>2214</v>
      </c>
      <c r="B2220" s="80" t="s">
        <v>110</v>
      </c>
      <c r="C2220" s="113" t="s">
        <v>2689</v>
      </c>
      <c r="D2220" s="82" t="str">
        <f aca="false">IF(OR(C2220="",P2220=""),"",INDEX('CARNET DE SOUDURE'!$D$7:$D$3006,P2220)&amp;"")</f>
        <v>21</v>
      </c>
      <c r="E2220" s="114" t="n">
        <f aca="false">IF(OR(C2220="",P2220=""),"",IF(INDEX('CARNET DE SOUDURE'!$U$7:$U$3006,P2220)="","",INDEX('CARNET DE SOUDURE'!$U$7:$U$3006,P2220)))</f>
        <v>46262</v>
      </c>
      <c r="F2220" s="82" t="str">
        <f aca="false">IF(OR(C2220="",P2220=""),"",INDEX('CARNET DE SOUDURE'!$AP$7:$AP$3006,P2220))</f>
        <v>A</v>
      </c>
      <c r="G2220" s="82" t="str">
        <f aca="false">IF(C2220="","",IF(P2220="","NJ INCONNU",INDEX('CARNET DE SOUDURE'!$AQ$7:$AQ$3006,P2220)))</f>
        <v>ACCEPTÉ</v>
      </c>
      <c r="H2220" s="82" t="str">
        <f aca="false">IF(C2220="","",IF(G2220="ACCEPTÉ","OUI","NON"))</f>
        <v>OUI</v>
      </c>
      <c r="I2220" s="83"/>
      <c r="J2220" s="80"/>
      <c r="K2220" s="81"/>
      <c r="L2220" s="81"/>
      <c r="M2220" s="81"/>
      <c r="N2220" s="84" t="str">
        <f aca="false">IF(C2220="","",IF(P2220="","NJ INCONNU",IF(I2220="",IF(H2220="OUI","À ENROBER",IF(G2220="À SOUDER","NON SOUDÉ","EN ATTENTE RT")),IF(L2220="R","À REPRENDRE",IF(H2220&lt;&gt;"OUI","⚠ ENROBÉ AVANT ACCEPTATION RT","ENROBÉ")))))</f>
        <v>À ENROBER</v>
      </c>
      <c r="O2220" s="80"/>
      <c r="P2220" s="82" t="n">
        <f aca="false">IF(C2220="","",IFERROR(MATCH(Q2220,'CARNET DE SOUDURE'!$AW$7:$AW$3006,0),""))</f>
        <v>2214</v>
      </c>
      <c r="Q2220" s="82" t="str">
        <f aca="false">IF(C2220="","",B2220&amp;"|"&amp;C2220)</f>
        <v>MFD-ISW → MFD-CPF|JN°1736</v>
      </c>
    </row>
    <row r="2221" customFormat="false" ht="74.6" hidden="false" customHeight="false" outlineLevel="0" collapsed="false">
      <c r="A2221" s="82" t="n">
        <f aca="false">IF(C2221="","",ROW()-6)</f>
        <v>2215</v>
      </c>
      <c r="B2221" s="80" t="s">
        <v>110</v>
      </c>
      <c r="C2221" s="113" t="s">
        <v>2690</v>
      </c>
      <c r="D2221" s="82" t="str">
        <f aca="false">IF(OR(C2221="",P2221=""),"",INDEX('CARNET DE SOUDURE'!$D$7:$D$3006,P2221)&amp;"")</f>
        <v>21</v>
      </c>
      <c r="E2221" s="114" t="n">
        <f aca="false">IF(OR(C2221="",P2221=""),"",IF(INDEX('CARNET DE SOUDURE'!$U$7:$U$3006,P2221)="","",INDEX('CARNET DE SOUDURE'!$U$7:$U$3006,P2221)))</f>
        <v>46262</v>
      </c>
      <c r="F2221" s="82" t="str">
        <f aca="false">IF(OR(C2221="",P2221=""),"",INDEX('CARNET DE SOUDURE'!$AP$7:$AP$3006,P2221))</f>
        <v>A</v>
      </c>
      <c r="G2221" s="82" t="str">
        <f aca="false">IF(C2221="","",IF(P2221="","NJ INCONNU",INDEX('CARNET DE SOUDURE'!$AQ$7:$AQ$3006,P2221)))</f>
        <v>ACCEPTÉ</v>
      </c>
      <c r="H2221" s="82" t="str">
        <f aca="false">IF(C2221="","",IF(G2221="ACCEPTÉ","OUI","NON"))</f>
        <v>OUI</v>
      </c>
      <c r="I2221" s="83"/>
      <c r="J2221" s="80"/>
      <c r="K2221" s="81"/>
      <c r="L2221" s="81"/>
      <c r="M2221" s="81"/>
      <c r="N2221" s="84" t="str">
        <f aca="false">IF(C2221="","",IF(P2221="","NJ INCONNU",IF(I2221="",IF(H2221="OUI","À ENROBER",IF(G2221="À SOUDER","NON SOUDÉ","EN ATTENTE RT")),IF(L2221="R","À REPRENDRE",IF(H2221&lt;&gt;"OUI","⚠ ENROBÉ AVANT ACCEPTATION RT","ENROBÉ")))))</f>
        <v>À ENROBER</v>
      </c>
      <c r="O2221" s="80"/>
      <c r="P2221" s="82" t="n">
        <f aca="false">IF(C2221="","",IFERROR(MATCH(Q2221,'CARNET DE SOUDURE'!$AW$7:$AW$3006,0),""))</f>
        <v>2215</v>
      </c>
      <c r="Q2221" s="82" t="str">
        <f aca="false">IF(C2221="","",B2221&amp;"|"&amp;C2221)</f>
        <v>MFD-ISW → MFD-CPF|JN°1737</v>
      </c>
    </row>
    <row r="2222" customFormat="false" ht="74.6" hidden="false" customHeight="false" outlineLevel="0" collapsed="false">
      <c r="A2222" s="82" t="n">
        <f aca="false">IF(C2222="","",ROW()-6)</f>
        <v>2216</v>
      </c>
      <c r="B2222" s="80" t="s">
        <v>110</v>
      </c>
      <c r="C2222" s="113" t="s">
        <v>2691</v>
      </c>
      <c r="D2222" s="82" t="str">
        <f aca="false">IF(OR(C2222="",P2222=""),"",INDEX('CARNET DE SOUDURE'!$D$7:$D$3006,P2222)&amp;"")</f>
        <v>21</v>
      </c>
      <c r="E2222" s="114" t="n">
        <f aca="false">IF(OR(C2222="",P2222=""),"",IF(INDEX('CARNET DE SOUDURE'!$U$7:$U$3006,P2222)="","",INDEX('CARNET DE SOUDURE'!$U$7:$U$3006,P2222)))</f>
        <v>46262</v>
      </c>
      <c r="F2222" s="82" t="str">
        <f aca="false">IF(OR(C2222="",P2222=""),"",INDEX('CARNET DE SOUDURE'!$AP$7:$AP$3006,P2222))</f>
        <v>A</v>
      </c>
      <c r="G2222" s="82" t="str">
        <f aca="false">IF(C2222="","",IF(P2222="","NJ INCONNU",INDEX('CARNET DE SOUDURE'!$AQ$7:$AQ$3006,P2222)))</f>
        <v>ACCEPTÉ</v>
      </c>
      <c r="H2222" s="82" t="str">
        <f aca="false">IF(C2222="","",IF(G2222="ACCEPTÉ","OUI","NON"))</f>
        <v>OUI</v>
      </c>
      <c r="I2222" s="83"/>
      <c r="J2222" s="80"/>
      <c r="K2222" s="81"/>
      <c r="L2222" s="81"/>
      <c r="M2222" s="81"/>
      <c r="N2222" s="84" t="str">
        <f aca="false">IF(C2222="","",IF(P2222="","NJ INCONNU",IF(I2222="",IF(H2222="OUI","À ENROBER",IF(G2222="À SOUDER","NON SOUDÉ","EN ATTENTE RT")),IF(L2222="R","À REPRENDRE",IF(H2222&lt;&gt;"OUI","⚠ ENROBÉ AVANT ACCEPTATION RT","ENROBÉ")))))</f>
        <v>À ENROBER</v>
      </c>
      <c r="O2222" s="80"/>
      <c r="P2222" s="82" t="n">
        <f aca="false">IF(C2222="","",IFERROR(MATCH(Q2222,'CARNET DE SOUDURE'!$AW$7:$AW$3006,0),""))</f>
        <v>2216</v>
      </c>
      <c r="Q2222" s="82" t="str">
        <f aca="false">IF(C2222="","",B2222&amp;"|"&amp;C2222)</f>
        <v>MFD-ISW → MFD-CPF|JN°1738</v>
      </c>
    </row>
    <row r="2223" customFormat="false" ht="74.6" hidden="false" customHeight="false" outlineLevel="0" collapsed="false">
      <c r="A2223" s="82" t="n">
        <f aca="false">IF(C2223="","",ROW()-6)</f>
        <v>2217</v>
      </c>
      <c r="B2223" s="80" t="s">
        <v>110</v>
      </c>
      <c r="C2223" s="113" t="s">
        <v>2692</v>
      </c>
      <c r="D2223" s="82" t="str">
        <f aca="false">IF(OR(C2223="",P2223=""),"",INDEX('CARNET DE SOUDURE'!$D$7:$D$3006,P2223)&amp;"")</f>
        <v>21</v>
      </c>
      <c r="E2223" s="114" t="n">
        <f aca="false">IF(OR(C2223="",P2223=""),"",IF(INDEX('CARNET DE SOUDURE'!$U$7:$U$3006,P2223)="","",INDEX('CARNET DE SOUDURE'!$U$7:$U$3006,P2223)))</f>
        <v>46262</v>
      </c>
      <c r="F2223" s="82" t="str">
        <f aca="false">IF(OR(C2223="",P2223=""),"",INDEX('CARNET DE SOUDURE'!$AP$7:$AP$3006,P2223))</f>
        <v>A</v>
      </c>
      <c r="G2223" s="82" t="str">
        <f aca="false">IF(C2223="","",IF(P2223="","NJ INCONNU",INDEX('CARNET DE SOUDURE'!$AQ$7:$AQ$3006,P2223)))</f>
        <v>ACCEPTÉ</v>
      </c>
      <c r="H2223" s="82" t="str">
        <f aca="false">IF(C2223="","",IF(G2223="ACCEPTÉ","OUI","NON"))</f>
        <v>OUI</v>
      </c>
      <c r="I2223" s="83"/>
      <c r="J2223" s="80"/>
      <c r="K2223" s="81"/>
      <c r="L2223" s="81"/>
      <c r="M2223" s="81"/>
      <c r="N2223" s="84" t="str">
        <f aca="false">IF(C2223="","",IF(P2223="","NJ INCONNU",IF(I2223="",IF(H2223="OUI","À ENROBER",IF(G2223="À SOUDER","NON SOUDÉ","EN ATTENTE RT")),IF(L2223="R","À REPRENDRE",IF(H2223&lt;&gt;"OUI","⚠ ENROBÉ AVANT ACCEPTATION RT","ENROBÉ")))))</f>
        <v>À ENROBER</v>
      </c>
      <c r="O2223" s="80"/>
      <c r="P2223" s="82" t="n">
        <f aca="false">IF(C2223="","",IFERROR(MATCH(Q2223,'CARNET DE SOUDURE'!$AW$7:$AW$3006,0),""))</f>
        <v>2217</v>
      </c>
      <c r="Q2223" s="82" t="str">
        <f aca="false">IF(C2223="","",B2223&amp;"|"&amp;C2223)</f>
        <v>MFD-ISW → MFD-CPF|JN°1739</v>
      </c>
    </row>
    <row r="2224" customFormat="false" ht="74.6" hidden="false" customHeight="false" outlineLevel="0" collapsed="false">
      <c r="A2224" s="82" t="n">
        <f aca="false">IF(C2224="","",ROW()-6)</f>
        <v>2218</v>
      </c>
      <c r="B2224" s="80" t="s">
        <v>110</v>
      </c>
      <c r="C2224" s="113" t="s">
        <v>2694</v>
      </c>
      <c r="D2224" s="82" t="str">
        <f aca="false">IF(OR(C2224="",P2224=""),"",INDEX('CARNET DE SOUDURE'!$D$7:$D$3006,P2224)&amp;"")</f>
        <v>21</v>
      </c>
      <c r="E2224" s="114" t="n">
        <f aca="false">IF(OR(C2224="",P2224=""),"",IF(INDEX('CARNET DE SOUDURE'!$U$7:$U$3006,P2224)="","",INDEX('CARNET DE SOUDURE'!$U$7:$U$3006,P2224)))</f>
        <v>46262</v>
      </c>
      <c r="F2224" s="82" t="str">
        <f aca="false">IF(OR(C2224="",P2224=""),"",INDEX('CARNET DE SOUDURE'!$AP$7:$AP$3006,P2224))</f>
        <v>A</v>
      </c>
      <c r="G2224" s="82" t="str">
        <f aca="false">IF(C2224="","",IF(P2224="","NJ INCONNU",INDEX('CARNET DE SOUDURE'!$AQ$7:$AQ$3006,P2224)))</f>
        <v>ACCEPTÉ</v>
      </c>
      <c r="H2224" s="82" t="str">
        <f aca="false">IF(C2224="","",IF(G2224="ACCEPTÉ","OUI","NON"))</f>
        <v>OUI</v>
      </c>
      <c r="I2224" s="83"/>
      <c r="J2224" s="80"/>
      <c r="K2224" s="81"/>
      <c r="L2224" s="81"/>
      <c r="M2224" s="81"/>
      <c r="N2224" s="84" t="str">
        <f aca="false">IF(C2224="","",IF(P2224="","NJ INCONNU",IF(I2224="",IF(H2224="OUI","À ENROBER",IF(G2224="À SOUDER","NON SOUDÉ","EN ATTENTE RT")),IF(L2224="R","À REPRENDRE",IF(H2224&lt;&gt;"OUI","⚠ ENROBÉ AVANT ACCEPTATION RT","ENROBÉ")))))</f>
        <v>À ENROBER</v>
      </c>
      <c r="O2224" s="80"/>
      <c r="P2224" s="82" t="n">
        <f aca="false">IF(C2224="","",IFERROR(MATCH(Q2224,'CARNET DE SOUDURE'!$AW$7:$AW$3006,0),""))</f>
        <v>2218</v>
      </c>
      <c r="Q2224" s="82" t="str">
        <f aca="false">IF(C2224="","",B2224&amp;"|"&amp;C2224)</f>
        <v>MFD-ISW → MFD-CPF|JN°1740</v>
      </c>
    </row>
    <row r="2225" customFormat="false" ht="74.6" hidden="false" customHeight="false" outlineLevel="0" collapsed="false">
      <c r="A2225" s="82" t="n">
        <f aca="false">IF(C2225="","",ROW()-6)</f>
        <v>2219</v>
      </c>
      <c r="B2225" s="80" t="s">
        <v>110</v>
      </c>
      <c r="C2225" s="113" t="s">
        <v>2695</v>
      </c>
      <c r="D2225" s="82" t="str">
        <f aca="false">IF(OR(C2225="",P2225=""),"",INDEX('CARNET DE SOUDURE'!$D$7:$D$3006,P2225)&amp;"")</f>
        <v>21</v>
      </c>
      <c r="E2225" s="114" t="n">
        <f aca="false">IF(OR(C2225="",P2225=""),"",IF(INDEX('CARNET DE SOUDURE'!$U$7:$U$3006,P2225)="","",INDEX('CARNET DE SOUDURE'!$U$7:$U$3006,P2225)))</f>
        <v>46262</v>
      </c>
      <c r="F2225" s="82" t="str">
        <f aca="false">IF(OR(C2225="",P2225=""),"",INDEX('CARNET DE SOUDURE'!$AP$7:$AP$3006,P2225))</f>
        <v>A</v>
      </c>
      <c r="G2225" s="82" t="str">
        <f aca="false">IF(C2225="","",IF(P2225="","NJ INCONNU",INDEX('CARNET DE SOUDURE'!$AQ$7:$AQ$3006,P2225)))</f>
        <v>ACCEPTÉ</v>
      </c>
      <c r="H2225" s="82" t="str">
        <f aca="false">IF(C2225="","",IF(G2225="ACCEPTÉ","OUI","NON"))</f>
        <v>OUI</v>
      </c>
      <c r="I2225" s="83"/>
      <c r="J2225" s="80"/>
      <c r="K2225" s="81"/>
      <c r="L2225" s="81"/>
      <c r="M2225" s="81"/>
      <c r="N2225" s="84" t="str">
        <f aca="false">IF(C2225="","",IF(P2225="","NJ INCONNU",IF(I2225="",IF(H2225="OUI","À ENROBER",IF(G2225="À SOUDER","NON SOUDÉ","EN ATTENTE RT")),IF(L2225="R","À REPRENDRE",IF(H2225&lt;&gt;"OUI","⚠ ENROBÉ AVANT ACCEPTATION RT","ENROBÉ")))))</f>
        <v>À ENROBER</v>
      </c>
      <c r="O2225" s="80"/>
      <c r="P2225" s="82" t="n">
        <f aca="false">IF(C2225="","",IFERROR(MATCH(Q2225,'CARNET DE SOUDURE'!$AW$7:$AW$3006,0),""))</f>
        <v>2219</v>
      </c>
      <c r="Q2225" s="82" t="str">
        <f aca="false">IF(C2225="","",B2225&amp;"|"&amp;C2225)</f>
        <v>MFD-ISW → MFD-CPF|JN°1741</v>
      </c>
    </row>
    <row r="2226" customFormat="false" ht="74.6" hidden="false" customHeight="false" outlineLevel="0" collapsed="false">
      <c r="A2226" s="82" t="n">
        <f aca="false">IF(C2226="","",ROW()-6)</f>
        <v>2220</v>
      </c>
      <c r="B2226" s="80" t="s">
        <v>110</v>
      </c>
      <c r="C2226" s="113" t="s">
        <v>2696</v>
      </c>
      <c r="D2226" s="82" t="str">
        <f aca="false">IF(OR(C2226="",P2226=""),"",INDEX('CARNET DE SOUDURE'!$D$7:$D$3006,P2226)&amp;"")</f>
        <v>21</v>
      </c>
      <c r="E2226" s="114" t="n">
        <f aca="false">IF(OR(C2226="",P2226=""),"",IF(INDEX('CARNET DE SOUDURE'!$U$7:$U$3006,P2226)="","",INDEX('CARNET DE SOUDURE'!$U$7:$U$3006,P2226)))</f>
        <v>46262</v>
      </c>
      <c r="F2226" s="82" t="str">
        <f aca="false">IF(OR(C2226="",P2226=""),"",INDEX('CARNET DE SOUDURE'!$AP$7:$AP$3006,P2226))</f>
        <v>A</v>
      </c>
      <c r="G2226" s="82" t="str">
        <f aca="false">IF(C2226="","",IF(P2226="","NJ INCONNU",INDEX('CARNET DE SOUDURE'!$AQ$7:$AQ$3006,P2226)))</f>
        <v>ACCEPTÉ</v>
      </c>
      <c r="H2226" s="82" t="str">
        <f aca="false">IF(C2226="","",IF(G2226="ACCEPTÉ","OUI","NON"))</f>
        <v>OUI</v>
      </c>
      <c r="I2226" s="83"/>
      <c r="J2226" s="80"/>
      <c r="K2226" s="81"/>
      <c r="L2226" s="81"/>
      <c r="M2226" s="81"/>
      <c r="N2226" s="84" t="str">
        <f aca="false">IF(C2226="","",IF(P2226="","NJ INCONNU",IF(I2226="",IF(H2226="OUI","À ENROBER",IF(G2226="À SOUDER","NON SOUDÉ","EN ATTENTE RT")),IF(L2226="R","À REPRENDRE",IF(H2226&lt;&gt;"OUI","⚠ ENROBÉ AVANT ACCEPTATION RT","ENROBÉ")))))</f>
        <v>À ENROBER</v>
      </c>
      <c r="O2226" s="80"/>
      <c r="P2226" s="82" t="n">
        <f aca="false">IF(C2226="","",IFERROR(MATCH(Q2226,'CARNET DE SOUDURE'!$AW$7:$AW$3006,0),""))</f>
        <v>2220</v>
      </c>
      <c r="Q2226" s="82" t="str">
        <f aca="false">IF(C2226="","",B2226&amp;"|"&amp;C2226)</f>
        <v>MFD-ISW → MFD-CPF|JN°1742</v>
      </c>
    </row>
    <row r="2227" customFormat="false" ht="74.6" hidden="false" customHeight="false" outlineLevel="0" collapsed="false">
      <c r="A2227" s="82" t="n">
        <f aca="false">IF(C2227="","",ROW()-6)</f>
        <v>2221</v>
      </c>
      <c r="B2227" s="80" t="s">
        <v>110</v>
      </c>
      <c r="C2227" s="113" t="s">
        <v>2697</v>
      </c>
      <c r="D2227" s="82" t="str">
        <f aca="false">IF(OR(C2227="",P2227=""),"",INDEX('CARNET DE SOUDURE'!$D$7:$D$3006,P2227)&amp;"")</f>
        <v>21</v>
      </c>
      <c r="E2227" s="114" t="n">
        <f aca="false">IF(OR(C2227="",P2227=""),"",IF(INDEX('CARNET DE SOUDURE'!$U$7:$U$3006,P2227)="","",INDEX('CARNET DE SOUDURE'!$U$7:$U$3006,P2227)))</f>
        <v>46262</v>
      </c>
      <c r="F2227" s="82" t="str">
        <f aca="false">IF(OR(C2227="",P2227=""),"",INDEX('CARNET DE SOUDURE'!$AP$7:$AP$3006,P2227))</f>
        <v>A</v>
      </c>
      <c r="G2227" s="82" t="str">
        <f aca="false">IF(C2227="","",IF(P2227="","NJ INCONNU",INDEX('CARNET DE SOUDURE'!$AQ$7:$AQ$3006,P2227)))</f>
        <v>ACCEPTÉ</v>
      </c>
      <c r="H2227" s="82" t="str">
        <f aca="false">IF(C2227="","",IF(G2227="ACCEPTÉ","OUI","NON"))</f>
        <v>OUI</v>
      </c>
      <c r="I2227" s="83"/>
      <c r="J2227" s="80"/>
      <c r="K2227" s="81"/>
      <c r="L2227" s="81"/>
      <c r="M2227" s="81"/>
      <c r="N2227" s="84" t="str">
        <f aca="false">IF(C2227="","",IF(P2227="","NJ INCONNU",IF(I2227="",IF(H2227="OUI","À ENROBER",IF(G2227="À SOUDER","NON SOUDÉ","EN ATTENTE RT")),IF(L2227="R","À REPRENDRE",IF(H2227&lt;&gt;"OUI","⚠ ENROBÉ AVANT ACCEPTATION RT","ENROBÉ")))))</f>
        <v>À ENROBER</v>
      </c>
      <c r="O2227" s="80"/>
      <c r="P2227" s="82" t="n">
        <f aca="false">IF(C2227="","",IFERROR(MATCH(Q2227,'CARNET DE SOUDURE'!$AW$7:$AW$3006,0),""))</f>
        <v>2221</v>
      </c>
      <c r="Q2227" s="82" t="str">
        <f aca="false">IF(C2227="","",B2227&amp;"|"&amp;C2227)</f>
        <v>MFD-ISW → MFD-CPF|JN°1743</v>
      </c>
    </row>
    <row r="2228" customFormat="false" ht="74.6" hidden="false" customHeight="false" outlineLevel="0" collapsed="false">
      <c r="A2228" s="82" t="n">
        <f aca="false">IF(C2228="","",ROW()-6)</f>
        <v>2222</v>
      </c>
      <c r="B2228" s="80" t="s">
        <v>110</v>
      </c>
      <c r="C2228" s="113" t="s">
        <v>2698</v>
      </c>
      <c r="D2228" s="82" t="str">
        <f aca="false">IF(OR(C2228="",P2228=""),"",INDEX('CARNET DE SOUDURE'!$D$7:$D$3006,P2228)&amp;"")</f>
        <v>21</v>
      </c>
      <c r="E2228" s="114" t="n">
        <f aca="false">IF(OR(C2228="",P2228=""),"",IF(INDEX('CARNET DE SOUDURE'!$U$7:$U$3006,P2228)="","",INDEX('CARNET DE SOUDURE'!$U$7:$U$3006,P2228)))</f>
        <v>46273</v>
      </c>
      <c r="F2228" s="82" t="str">
        <f aca="false">IF(OR(C2228="",P2228=""),"",INDEX('CARNET DE SOUDURE'!$AP$7:$AP$3006,P2228))</f>
        <v>A</v>
      </c>
      <c r="G2228" s="82" t="str">
        <f aca="false">IF(C2228="","",IF(P2228="","NJ INCONNU",INDEX('CARNET DE SOUDURE'!$AQ$7:$AQ$3006,P2228)))</f>
        <v>ACCEPTÉ</v>
      </c>
      <c r="H2228" s="82" t="str">
        <f aca="false">IF(C2228="","",IF(G2228="ACCEPTÉ","OUI","NON"))</f>
        <v>OUI</v>
      </c>
      <c r="I2228" s="83"/>
      <c r="J2228" s="80"/>
      <c r="K2228" s="81"/>
      <c r="L2228" s="81"/>
      <c r="M2228" s="81"/>
      <c r="N2228" s="84" t="str">
        <f aca="false">IF(C2228="","",IF(P2228="","NJ INCONNU",IF(I2228="",IF(H2228="OUI","À ENROBER",IF(G2228="À SOUDER","NON SOUDÉ","EN ATTENTE RT")),IF(L2228="R","À REPRENDRE",IF(H2228&lt;&gt;"OUI","⚠ ENROBÉ AVANT ACCEPTATION RT","ENROBÉ")))))</f>
        <v>À ENROBER</v>
      </c>
      <c r="O2228" s="80"/>
      <c r="P2228" s="82" t="n">
        <f aca="false">IF(C2228="","",IFERROR(MATCH(Q2228,'CARNET DE SOUDURE'!$AW$7:$AW$3006,0),""))</f>
        <v>2222</v>
      </c>
      <c r="Q2228" s="82" t="str">
        <f aca="false">IF(C2228="","",B2228&amp;"|"&amp;C2228)</f>
        <v>MFD-ISW → MFD-CPF|JN°1744R</v>
      </c>
    </row>
    <row r="2229" customFormat="false" ht="74.6" hidden="false" customHeight="false" outlineLevel="0" collapsed="false">
      <c r="A2229" s="82" t="n">
        <f aca="false">IF(C2229="","",ROW()-6)</f>
        <v>2223</v>
      </c>
      <c r="B2229" s="80" t="s">
        <v>110</v>
      </c>
      <c r="C2229" s="113" t="s">
        <v>2701</v>
      </c>
      <c r="D2229" s="82" t="str">
        <f aca="false">IF(OR(C2229="",P2229=""),"",INDEX('CARNET DE SOUDURE'!$D$7:$D$3006,P2229)&amp;"")</f>
        <v>21</v>
      </c>
      <c r="E2229" s="114" t="n">
        <f aca="false">IF(OR(C2229="",P2229=""),"",IF(INDEX('CARNET DE SOUDURE'!$U$7:$U$3006,P2229)="","",INDEX('CARNET DE SOUDURE'!$U$7:$U$3006,P2229)))</f>
        <v>46262</v>
      </c>
      <c r="F2229" s="82" t="str">
        <f aca="false">IF(OR(C2229="",P2229=""),"",INDEX('CARNET DE SOUDURE'!$AP$7:$AP$3006,P2229))</f>
        <v>A</v>
      </c>
      <c r="G2229" s="82" t="str">
        <f aca="false">IF(C2229="","",IF(P2229="","NJ INCONNU",INDEX('CARNET DE SOUDURE'!$AQ$7:$AQ$3006,P2229)))</f>
        <v>ACCEPTÉ</v>
      </c>
      <c r="H2229" s="82" t="str">
        <f aca="false">IF(C2229="","",IF(G2229="ACCEPTÉ","OUI","NON"))</f>
        <v>OUI</v>
      </c>
      <c r="I2229" s="83"/>
      <c r="J2229" s="80"/>
      <c r="K2229" s="81"/>
      <c r="L2229" s="81"/>
      <c r="M2229" s="81"/>
      <c r="N2229" s="84" t="str">
        <f aca="false">IF(C2229="","",IF(P2229="","NJ INCONNU",IF(I2229="",IF(H2229="OUI","À ENROBER",IF(G2229="À SOUDER","NON SOUDÉ","EN ATTENTE RT")),IF(L2229="R","À REPRENDRE",IF(H2229&lt;&gt;"OUI","⚠ ENROBÉ AVANT ACCEPTATION RT","ENROBÉ")))))</f>
        <v>À ENROBER</v>
      </c>
      <c r="O2229" s="80"/>
      <c r="P2229" s="82" t="n">
        <f aca="false">IF(C2229="","",IFERROR(MATCH(Q2229,'CARNET DE SOUDURE'!$AW$7:$AW$3006,0),""))</f>
        <v>2223</v>
      </c>
      <c r="Q2229" s="82" t="str">
        <f aca="false">IF(C2229="","",B2229&amp;"|"&amp;C2229)</f>
        <v>MFD-ISW → MFD-CPF|JN°1745</v>
      </c>
    </row>
    <row r="2230" customFormat="false" ht="74.6" hidden="false" customHeight="false" outlineLevel="0" collapsed="false">
      <c r="A2230" s="82" t="n">
        <f aca="false">IF(C2230="","",ROW()-6)</f>
        <v>2224</v>
      </c>
      <c r="B2230" s="80" t="s">
        <v>110</v>
      </c>
      <c r="C2230" s="113" t="s">
        <v>2702</v>
      </c>
      <c r="D2230" s="82" t="str">
        <f aca="false">IF(OR(C2230="",P2230=""),"",INDEX('CARNET DE SOUDURE'!$D$7:$D$3006,P2230)&amp;"")</f>
        <v>21</v>
      </c>
      <c r="E2230" s="114" t="n">
        <f aca="false">IF(OR(C2230="",P2230=""),"",IF(INDEX('CARNET DE SOUDURE'!$U$7:$U$3006,P2230)="","",INDEX('CARNET DE SOUDURE'!$U$7:$U$3006,P2230)))</f>
        <v>46262</v>
      </c>
      <c r="F2230" s="82" t="str">
        <f aca="false">IF(OR(C2230="",P2230=""),"",INDEX('CARNET DE SOUDURE'!$AP$7:$AP$3006,P2230))</f>
        <v>A</v>
      </c>
      <c r="G2230" s="82" t="str">
        <f aca="false">IF(C2230="","",IF(P2230="","NJ INCONNU",INDEX('CARNET DE SOUDURE'!$AQ$7:$AQ$3006,P2230)))</f>
        <v>ACCEPTÉ</v>
      </c>
      <c r="H2230" s="82" t="str">
        <f aca="false">IF(C2230="","",IF(G2230="ACCEPTÉ","OUI","NON"))</f>
        <v>OUI</v>
      </c>
      <c r="I2230" s="83"/>
      <c r="J2230" s="80"/>
      <c r="K2230" s="81"/>
      <c r="L2230" s="81"/>
      <c r="M2230" s="81"/>
      <c r="N2230" s="84" t="str">
        <f aca="false">IF(C2230="","",IF(P2230="","NJ INCONNU",IF(I2230="",IF(H2230="OUI","À ENROBER",IF(G2230="À SOUDER","NON SOUDÉ","EN ATTENTE RT")),IF(L2230="R","À REPRENDRE",IF(H2230&lt;&gt;"OUI","⚠ ENROBÉ AVANT ACCEPTATION RT","ENROBÉ")))))</f>
        <v>À ENROBER</v>
      </c>
      <c r="O2230" s="80"/>
      <c r="P2230" s="82" t="n">
        <f aca="false">IF(C2230="","",IFERROR(MATCH(Q2230,'CARNET DE SOUDURE'!$AW$7:$AW$3006,0),""))</f>
        <v>2224</v>
      </c>
      <c r="Q2230" s="82" t="str">
        <f aca="false">IF(C2230="","",B2230&amp;"|"&amp;C2230)</f>
        <v>MFD-ISW → MFD-CPF|JN°1746</v>
      </c>
    </row>
    <row r="2231" customFormat="false" ht="74.6" hidden="false" customHeight="false" outlineLevel="0" collapsed="false">
      <c r="A2231" s="82" t="n">
        <f aca="false">IF(C2231="","",ROW()-6)</f>
        <v>2225</v>
      </c>
      <c r="B2231" s="80" t="s">
        <v>110</v>
      </c>
      <c r="C2231" s="113" t="s">
        <v>2703</v>
      </c>
      <c r="D2231" s="82" t="str">
        <f aca="false">IF(OR(C2231="",P2231=""),"",INDEX('CARNET DE SOUDURE'!$D$7:$D$3006,P2231)&amp;"")</f>
        <v>21</v>
      </c>
      <c r="E2231" s="114" t="n">
        <f aca="false">IF(OR(C2231="",P2231=""),"",IF(INDEX('CARNET DE SOUDURE'!$U$7:$U$3006,P2231)="","",INDEX('CARNET DE SOUDURE'!$U$7:$U$3006,P2231)))</f>
        <v>46262</v>
      </c>
      <c r="F2231" s="82" t="str">
        <f aca="false">IF(OR(C2231="",P2231=""),"",INDEX('CARNET DE SOUDURE'!$AP$7:$AP$3006,P2231))</f>
        <v>A</v>
      </c>
      <c r="G2231" s="82" t="str">
        <f aca="false">IF(C2231="","",IF(P2231="","NJ INCONNU",INDEX('CARNET DE SOUDURE'!$AQ$7:$AQ$3006,P2231)))</f>
        <v>ACCEPTÉ</v>
      </c>
      <c r="H2231" s="82" t="str">
        <f aca="false">IF(C2231="","",IF(G2231="ACCEPTÉ","OUI","NON"))</f>
        <v>OUI</v>
      </c>
      <c r="I2231" s="83"/>
      <c r="J2231" s="80"/>
      <c r="K2231" s="81"/>
      <c r="L2231" s="81"/>
      <c r="M2231" s="81"/>
      <c r="N2231" s="84" t="str">
        <f aca="false">IF(C2231="","",IF(P2231="","NJ INCONNU",IF(I2231="",IF(H2231="OUI","À ENROBER",IF(G2231="À SOUDER","NON SOUDÉ","EN ATTENTE RT")),IF(L2231="R","À REPRENDRE",IF(H2231&lt;&gt;"OUI","⚠ ENROBÉ AVANT ACCEPTATION RT","ENROBÉ")))))</f>
        <v>À ENROBER</v>
      </c>
      <c r="O2231" s="80"/>
      <c r="P2231" s="82" t="n">
        <f aca="false">IF(C2231="","",IFERROR(MATCH(Q2231,'CARNET DE SOUDURE'!$AW$7:$AW$3006,0),""))</f>
        <v>2225</v>
      </c>
      <c r="Q2231" s="82" t="str">
        <f aca="false">IF(C2231="","",B2231&amp;"|"&amp;C2231)</f>
        <v>MFD-ISW → MFD-CPF|JN°1747</v>
      </c>
    </row>
    <row r="2232" customFormat="false" ht="74.6" hidden="false" customHeight="false" outlineLevel="0" collapsed="false">
      <c r="A2232" s="82" t="n">
        <f aca="false">IF(C2232="","",ROW()-6)</f>
        <v>2226</v>
      </c>
      <c r="B2232" s="80" t="s">
        <v>110</v>
      </c>
      <c r="C2232" s="113" t="s">
        <v>2704</v>
      </c>
      <c r="D2232" s="82" t="str">
        <f aca="false">IF(OR(C2232="",P2232=""),"",INDEX('CARNET DE SOUDURE'!$D$7:$D$3006,P2232)&amp;"")</f>
        <v>21</v>
      </c>
      <c r="E2232" s="114" t="n">
        <f aca="false">IF(OR(C2232="",P2232=""),"",IF(INDEX('CARNET DE SOUDURE'!$U$7:$U$3006,P2232)="","",INDEX('CARNET DE SOUDURE'!$U$7:$U$3006,P2232)))</f>
        <v>46261</v>
      </c>
      <c r="F2232" s="82" t="str">
        <f aca="false">IF(OR(C2232="",P2232=""),"",INDEX('CARNET DE SOUDURE'!$AP$7:$AP$3006,P2232))</f>
        <v>A</v>
      </c>
      <c r="G2232" s="82" t="str">
        <f aca="false">IF(C2232="","",IF(P2232="","NJ INCONNU",INDEX('CARNET DE SOUDURE'!$AQ$7:$AQ$3006,P2232)))</f>
        <v>ACCEPTÉ</v>
      </c>
      <c r="H2232" s="82" t="str">
        <f aca="false">IF(C2232="","",IF(G2232="ACCEPTÉ","OUI","NON"))</f>
        <v>OUI</v>
      </c>
      <c r="I2232" s="83"/>
      <c r="J2232" s="80"/>
      <c r="K2232" s="81"/>
      <c r="L2232" s="81"/>
      <c r="M2232" s="81"/>
      <c r="N2232" s="84" t="str">
        <f aca="false">IF(C2232="","",IF(P2232="","NJ INCONNU",IF(I2232="",IF(H2232="OUI","À ENROBER",IF(G2232="À SOUDER","NON SOUDÉ","EN ATTENTE RT")),IF(L2232="R","À REPRENDRE",IF(H2232&lt;&gt;"OUI","⚠ ENROBÉ AVANT ACCEPTATION RT","ENROBÉ")))))</f>
        <v>À ENROBER</v>
      </c>
      <c r="O2232" s="80"/>
      <c r="P2232" s="82" t="n">
        <f aca="false">IF(C2232="","",IFERROR(MATCH(Q2232,'CARNET DE SOUDURE'!$AW$7:$AW$3006,0),""))</f>
        <v>2226</v>
      </c>
      <c r="Q2232" s="82" t="str">
        <f aca="false">IF(C2232="","",B2232&amp;"|"&amp;C2232)</f>
        <v>MFD-ISW → MFD-CPF|JN°1748</v>
      </c>
    </row>
    <row r="2233" customFormat="false" ht="74.6" hidden="false" customHeight="false" outlineLevel="0" collapsed="false">
      <c r="A2233" s="82" t="n">
        <f aca="false">IF(C2233="","",ROW()-6)</f>
        <v>2227</v>
      </c>
      <c r="B2233" s="80" t="s">
        <v>110</v>
      </c>
      <c r="C2233" s="113" t="s">
        <v>2707</v>
      </c>
      <c r="D2233" s="82" t="str">
        <f aca="false">IF(OR(C2233="",P2233=""),"",INDEX('CARNET DE SOUDURE'!$D$7:$D$3006,P2233)&amp;"")</f>
        <v>21</v>
      </c>
      <c r="E2233" s="114" t="n">
        <f aca="false">IF(OR(C2233="",P2233=""),"",IF(INDEX('CARNET DE SOUDURE'!$U$7:$U$3006,P2233)="","",INDEX('CARNET DE SOUDURE'!$U$7:$U$3006,P2233)))</f>
        <v>46261</v>
      </c>
      <c r="F2233" s="82" t="str">
        <f aca="false">IF(OR(C2233="",P2233=""),"",INDEX('CARNET DE SOUDURE'!$AP$7:$AP$3006,P2233))</f>
        <v>A</v>
      </c>
      <c r="G2233" s="82" t="str">
        <f aca="false">IF(C2233="","",IF(P2233="","NJ INCONNU",INDEX('CARNET DE SOUDURE'!$AQ$7:$AQ$3006,P2233)))</f>
        <v>ACCEPTÉ</v>
      </c>
      <c r="H2233" s="82" t="str">
        <f aca="false">IF(C2233="","",IF(G2233="ACCEPTÉ","OUI","NON"))</f>
        <v>OUI</v>
      </c>
      <c r="I2233" s="83"/>
      <c r="J2233" s="80"/>
      <c r="K2233" s="81"/>
      <c r="L2233" s="81"/>
      <c r="M2233" s="81"/>
      <c r="N2233" s="84" t="str">
        <f aca="false">IF(C2233="","",IF(P2233="","NJ INCONNU",IF(I2233="",IF(H2233="OUI","À ENROBER",IF(G2233="À SOUDER","NON SOUDÉ","EN ATTENTE RT")),IF(L2233="R","À REPRENDRE",IF(H2233&lt;&gt;"OUI","⚠ ENROBÉ AVANT ACCEPTATION RT","ENROBÉ")))))</f>
        <v>À ENROBER</v>
      </c>
      <c r="O2233" s="80"/>
      <c r="P2233" s="82" t="n">
        <f aca="false">IF(C2233="","",IFERROR(MATCH(Q2233,'CARNET DE SOUDURE'!$AW$7:$AW$3006,0),""))</f>
        <v>2227</v>
      </c>
      <c r="Q2233" s="82" t="str">
        <f aca="false">IF(C2233="","",B2233&amp;"|"&amp;C2233)</f>
        <v>MFD-ISW → MFD-CPF|JN°1749</v>
      </c>
    </row>
    <row r="2234" customFormat="false" ht="74.6" hidden="false" customHeight="false" outlineLevel="0" collapsed="false">
      <c r="A2234" s="82" t="n">
        <f aca="false">IF(C2234="","",ROW()-6)</f>
        <v>2228</v>
      </c>
      <c r="B2234" s="80" t="s">
        <v>110</v>
      </c>
      <c r="C2234" s="113" t="s">
        <v>2709</v>
      </c>
      <c r="D2234" s="82" t="str">
        <f aca="false">IF(OR(C2234="",P2234=""),"",INDEX('CARNET DE SOUDURE'!$D$7:$D$3006,P2234)&amp;"")</f>
        <v>21</v>
      </c>
      <c r="E2234" s="114" t="n">
        <f aca="false">IF(OR(C2234="",P2234=""),"",IF(INDEX('CARNET DE SOUDURE'!$U$7:$U$3006,P2234)="","",INDEX('CARNET DE SOUDURE'!$U$7:$U$3006,P2234)))</f>
        <v>46261</v>
      </c>
      <c r="F2234" s="82" t="str">
        <f aca="false">IF(OR(C2234="",P2234=""),"",INDEX('CARNET DE SOUDURE'!$AP$7:$AP$3006,P2234))</f>
        <v>A</v>
      </c>
      <c r="G2234" s="82" t="str">
        <f aca="false">IF(C2234="","",IF(P2234="","NJ INCONNU",INDEX('CARNET DE SOUDURE'!$AQ$7:$AQ$3006,P2234)))</f>
        <v>ACCEPTÉ</v>
      </c>
      <c r="H2234" s="82" t="str">
        <f aca="false">IF(C2234="","",IF(G2234="ACCEPTÉ","OUI","NON"))</f>
        <v>OUI</v>
      </c>
      <c r="I2234" s="83"/>
      <c r="J2234" s="80"/>
      <c r="K2234" s="81"/>
      <c r="L2234" s="81"/>
      <c r="M2234" s="81"/>
      <c r="N2234" s="84" t="str">
        <f aca="false">IF(C2234="","",IF(P2234="","NJ INCONNU",IF(I2234="",IF(H2234="OUI","À ENROBER",IF(G2234="À SOUDER","NON SOUDÉ","EN ATTENTE RT")),IF(L2234="R","À REPRENDRE",IF(H2234&lt;&gt;"OUI","⚠ ENROBÉ AVANT ACCEPTATION RT","ENROBÉ")))))</f>
        <v>À ENROBER</v>
      </c>
      <c r="O2234" s="80"/>
      <c r="P2234" s="82" t="n">
        <f aca="false">IF(C2234="","",IFERROR(MATCH(Q2234,'CARNET DE SOUDURE'!$AW$7:$AW$3006,0),""))</f>
        <v>2228</v>
      </c>
      <c r="Q2234" s="82" t="str">
        <f aca="false">IF(C2234="","",B2234&amp;"|"&amp;C2234)</f>
        <v>MFD-ISW → MFD-CPF|JN°1750</v>
      </c>
    </row>
    <row r="2235" customFormat="false" ht="74.6" hidden="false" customHeight="false" outlineLevel="0" collapsed="false">
      <c r="A2235" s="82" t="n">
        <f aca="false">IF(C2235="","",ROW()-6)</f>
        <v>2229</v>
      </c>
      <c r="B2235" s="80" t="s">
        <v>110</v>
      </c>
      <c r="C2235" s="113" t="s">
        <v>2710</v>
      </c>
      <c r="D2235" s="82" t="str">
        <f aca="false">IF(OR(C2235="",P2235=""),"",INDEX('CARNET DE SOUDURE'!$D$7:$D$3006,P2235)&amp;"")</f>
        <v>21</v>
      </c>
      <c r="E2235" s="114" t="str">
        <f aca="false">IF(OR(C2235="",P2235=""),"",IF(INDEX('CARNET DE SOUDURE'!$U$7:$U$3006,P2235)="","",INDEX('CARNET DE SOUDURE'!$U$7:$U$3006,P2235)))</f>
        <v/>
      </c>
      <c r="F2235" s="82" t="str">
        <f aca="false">IF(OR(C2235="",P2235=""),"",INDEX('CARNET DE SOUDURE'!$AP$7:$AP$3006,P2235))</f>
        <v/>
      </c>
      <c r="G2235" s="82" t="str">
        <f aca="false">IF(C2235="","",IF(P2235="","NJ INCONNU",INDEX('CARNET DE SOUDURE'!$AQ$7:$AQ$3006,P2235)))</f>
        <v>À SOUDER</v>
      </c>
      <c r="H2235" s="82" t="str">
        <f aca="false">IF(C2235="","",IF(G2235="ACCEPTÉ","OUI","NON"))</f>
        <v>NON</v>
      </c>
      <c r="I2235" s="83"/>
      <c r="J2235" s="80"/>
      <c r="K2235" s="81"/>
      <c r="L2235" s="81"/>
      <c r="M2235" s="81"/>
      <c r="N2235" s="84" t="str">
        <f aca="false">IF(C2235="","",IF(P2235="","NJ INCONNU",IF(I2235="",IF(H2235="OUI","À ENROBER",IF(G2235="À SOUDER","NON SOUDÉ","EN ATTENTE RT")),IF(L2235="R","À REPRENDRE",IF(H2235&lt;&gt;"OUI","⚠ ENROBÉ AVANT ACCEPTATION RT","ENROBÉ")))))</f>
        <v>NON SOUDÉ</v>
      </c>
      <c r="O2235" s="80"/>
      <c r="P2235" s="82" t="n">
        <f aca="false">IF(C2235="","",IFERROR(MATCH(Q2235,'CARNET DE SOUDURE'!$AW$7:$AW$3006,0),""))</f>
        <v>2229</v>
      </c>
      <c r="Q2235" s="82" t="str">
        <f aca="false">IF(C2235="","",B2235&amp;"|"&amp;C2235)</f>
        <v>MFD-ISW → MFD-CPF|JN°1751</v>
      </c>
    </row>
    <row r="2236" customFormat="false" ht="74.6" hidden="false" customHeight="false" outlineLevel="0" collapsed="false">
      <c r="A2236" s="82" t="n">
        <f aca="false">IF(C2236="","",ROW()-6)</f>
        <v>2230</v>
      </c>
      <c r="B2236" s="80" t="s">
        <v>110</v>
      </c>
      <c r="C2236" s="113" t="s">
        <v>2711</v>
      </c>
      <c r="D2236" s="82" t="str">
        <f aca="false">IF(OR(C2236="",P2236=""),"",INDEX('CARNET DE SOUDURE'!$D$7:$D$3006,P2236)&amp;"")</f>
        <v>21</v>
      </c>
      <c r="E2236" s="114" t="str">
        <f aca="false">IF(OR(C2236="",P2236=""),"",IF(INDEX('CARNET DE SOUDURE'!$U$7:$U$3006,P2236)="","",INDEX('CARNET DE SOUDURE'!$U$7:$U$3006,P2236)))</f>
        <v/>
      </c>
      <c r="F2236" s="82" t="str">
        <f aca="false">IF(OR(C2236="",P2236=""),"",INDEX('CARNET DE SOUDURE'!$AP$7:$AP$3006,P2236))</f>
        <v/>
      </c>
      <c r="G2236" s="82" t="str">
        <f aca="false">IF(C2236="","",IF(P2236="","NJ INCONNU",INDEX('CARNET DE SOUDURE'!$AQ$7:$AQ$3006,P2236)))</f>
        <v>À SOUDER</v>
      </c>
      <c r="H2236" s="82" t="str">
        <f aca="false">IF(C2236="","",IF(G2236="ACCEPTÉ","OUI","NON"))</f>
        <v>NON</v>
      </c>
      <c r="I2236" s="83"/>
      <c r="J2236" s="80"/>
      <c r="K2236" s="81"/>
      <c r="L2236" s="81"/>
      <c r="M2236" s="81"/>
      <c r="N2236" s="84" t="str">
        <f aca="false">IF(C2236="","",IF(P2236="","NJ INCONNU",IF(I2236="",IF(H2236="OUI","À ENROBER",IF(G2236="À SOUDER","NON SOUDÉ","EN ATTENTE RT")),IF(L2236="R","À REPRENDRE",IF(H2236&lt;&gt;"OUI","⚠ ENROBÉ AVANT ACCEPTATION RT","ENROBÉ")))))</f>
        <v>NON SOUDÉ</v>
      </c>
      <c r="O2236" s="80"/>
      <c r="P2236" s="82" t="n">
        <f aca="false">IF(C2236="","",IFERROR(MATCH(Q2236,'CARNET DE SOUDURE'!$AW$7:$AW$3006,0),""))</f>
        <v>2230</v>
      </c>
      <c r="Q2236" s="82" t="str">
        <f aca="false">IF(C2236="","",B2236&amp;"|"&amp;C2236)</f>
        <v>MFD-ISW → MFD-CPF|JN°1752</v>
      </c>
    </row>
    <row r="2237" customFormat="false" ht="74.6" hidden="false" customHeight="false" outlineLevel="0" collapsed="false">
      <c r="A2237" s="82" t="n">
        <f aca="false">IF(C2237="","",ROW()-6)</f>
        <v>2231</v>
      </c>
      <c r="B2237" s="80" t="s">
        <v>110</v>
      </c>
      <c r="C2237" s="113" t="s">
        <v>2712</v>
      </c>
      <c r="D2237" s="82" t="str">
        <f aca="false">IF(OR(C2237="",P2237=""),"",INDEX('CARNET DE SOUDURE'!$D$7:$D$3006,P2237)&amp;"")</f>
        <v>21</v>
      </c>
      <c r="E2237" s="114" t="str">
        <f aca="false">IF(OR(C2237="",P2237=""),"",IF(INDEX('CARNET DE SOUDURE'!$U$7:$U$3006,P2237)="","",INDEX('CARNET DE SOUDURE'!$U$7:$U$3006,P2237)))</f>
        <v/>
      </c>
      <c r="F2237" s="82" t="str">
        <f aca="false">IF(OR(C2237="",P2237=""),"",INDEX('CARNET DE SOUDURE'!$AP$7:$AP$3006,P2237))</f>
        <v/>
      </c>
      <c r="G2237" s="82" t="str">
        <f aca="false">IF(C2237="","",IF(P2237="","NJ INCONNU",INDEX('CARNET DE SOUDURE'!$AQ$7:$AQ$3006,P2237)))</f>
        <v>À SOUDER</v>
      </c>
      <c r="H2237" s="82" t="str">
        <f aca="false">IF(C2237="","",IF(G2237="ACCEPTÉ","OUI","NON"))</f>
        <v>NON</v>
      </c>
      <c r="I2237" s="83"/>
      <c r="J2237" s="80"/>
      <c r="K2237" s="81"/>
      <c r="L2237" s="81"/>
      <c r="M2237" s="81"/>
      <c r="N2237" s="84" t="str">
        <f aca="false">IF(C2237="","",IF(P2237="","NJ INCONNU",IF(I2237="",IF(H2237="OUI","À ENROBER",IF(G2237="À SOUDER","NON SOUDÉ","EN ATTENTE RT")),IF(L2237="R","À REPRENDRE",IF(H2237&lt;&gt;"OUI","⚠ ENROBÉ AVANT ACCEPTATION RT","ENROBÉ")))))</f>
        <v>NON SOUDÉ</v>
      </c>
      <c r="O2237" s="80"/>
      <c r="P2237" s="82" t="n">
        <f aca="false">IF(C2237="","",IFERROR(MATCH(Q2237,'CARNET DE SOUDURE'!$AW$7:$AW$3006,0),""))</f>
        <v>2231</v>
      </c>
      <c r="Q2237" s="82" t="str">
        <f aca="false">IF(C2237="","",B2237&amp;"|"&amp;C2237)</f>
        <v>MFD-ISW → MFD-CPF|JN°1753</v>
      </c>
    </row>
    <row r="2238" customFormat="false" ht="74.6" hidden="false" customHeight="false" outlineLevel="0" collapsed="false">
      <c r="A2238" s="82" t="n">
        <f aca="false">IF(C2238="","",ROW()-6)</f>
        <v>2232</v>
      </c>
      <c r="B2238" s="80" t="s">
        <v>110</v>
      </c>
      <c r="C2238" s="113" t="s">
        <v>2713</v>
      </c>
      <c r="D2238" s="82" t="str">
        <f aca="false">IF(OR(C2238="",P2238=""),"",INDEX('CARNET DE SOUDURE'!$D$7:$D$3006,P2238)&amp;"")</f>
        <v>21</v>
      </c>
      <c r="E2238" s="114" t="str">
        <f aca="false">IF(OR(C2238="",P2238=""),"",IF(INDEX('CARNET DE SOUDURE'!$U$7:$U$3006,P2238)="","",INDEX('CARNET DE SOUDURE'!$U$7:$U$3006,P2238)))</f>
        <v/>
      </c>
      <c r="F2238" s="82" t="str">
        <f aca="false">IF(OR(C2238="",P2238=""),"",INDEX('CARNET DE SOUDURE'!$AP$7:$AP$3006,P2238))</f>
        <v/>
      </c>
      <c r="G2238" s="82" t="str">
        <f aca="false">IF(C2238="","",IF(P2238="","NJ INCONNU",INDEX('CARNET DE SOUDURE'!$AQ$7:$AQ$3006,P2238)))</f>
        <v>À SOUDER</v>
      </c>
      <c r="H2238" s="82" t="str">
        <f aca="false">IF(C2238="","",IF(G2238="ACCEPTÉ","OUI","NON"))</f>
        <v>NON</v>
      </c>
      <c r="I2238" s="83"/>
      <c r="J2238" s="80"/>
      <c r="K2238" s="81"/>
      <c r="L2238" s="81"/>
      <c r="M2238" s="81"/>
      <c r="N2238" s="84" t="str">
        <f aca="false">IF(C2238="","",IF(P2238="","NJ INCONNU",IF(I2238="",IF(H2238="OUI","À ENROBER",IF(G2238="À SOUDER","NON SOUDÉ","EN ATTENTE RT")),IF(L2238="R","À REPRENDRE",IF(H2238&lt;&gt;"OUI","⚠ ENROBÉ AVANT ACCEPTATION RT","ENROBÉ")))))</f>
        <v>NON SOUDÉ</v>
      </c>
      <c r="O2238" s="80"/>
      <c r="P2238" s="82" t="n">
        <f aca="false">IF(C2238="","",IFERROR(MATCH(Q2238,'CARNET DE SOUDURE'!$AW$7:$AW$3006,0),""))</f>
        <v>2232</v>
      </c>
      <c r="Q2238" s="82" t="str">
        <f aca="false">IF(C2238="","",B2238&amp;"|"&amp;C2238)</f>
        <v>MFD-ISW → MFD-CPF|JN°1754</v>
      </c>
    </row>
    <row r="2239" customFormat="false" ht="74.6" hidden="false" customHeight="false" outlineLevel="0" collapsed="false">
      <c r="A2239" s="82" t="n">
        <f aca="false">IF(C2239="","",ROW()-6)</f>
        <v>2233</v>
      </c>
      <c r="B2239" s="80" t="s">
        <v>110</v>
      </c>
      <c r="C2239" s="113" t="s">
        <v>2715</v>
      </c>
      <c r="D2239" s="82" t="str">
        <f aca="false">IF(OR(C2239="",P2239=""),"",INDEX('CARNET DE SOUDURE'!$D$7:$D$3006,P2239)&amp;"")</f>
        <v>21</v>
      </c>
      <c r="E2239" s="114" t="n">
        <f aca="false">IF(OR(C2239="",P2239=""),"",IF(INDEX('CARNET DE SOUDURE'!$U$7:$U$3006,P2239)="","",INDEX('CARNET DE SOUDURE'!$U$7:$U$3006,P2239)))</f>
        <v>46261</v>
      </c>
      <c r="F2239" s="82" t="str">
        <f aca="false">IF(OR(C2239="",P2239=""),"",INDEX('CARNET DE SOUDURE'!$AP$7:$AP$3006,P2239))</f>
        <v>A</v>
      </c>
      <c r="G2239" s="82" t="str">
        <f aca="false">IF(C2239="","",IF(P2239="","NJ INCONNU",INDEX('CARNET DE SOUDURE'!$AQ$7:$AQ$3006,P2239)))</f>
        <v>ACCEPTÉ</v>
      </c>
      <c r="H2239" s="82" t="str">
        <f aca="false">IF(C2239="","",IF(G2239="ACCEPTÉ","OUI","NON"))</f>
        <v>OUI</v>
      </c>
      <c r="I2239" s="83"/>
      <c r="J2239" s="80"/>
      <c r="K2239" s="81"/>
      <c r="L2239" s="81"/>
      <c r="M2239" s="81"/>
      <c r="N2239" s="84" t="str">
        <f aca="false">IF(C2239="","",IF(P2239="","NJ INCONNU",IF(I2239="",IF(H2239="OUI","À ENROBER",IF(G2239="À SOUDER","NON SOUDÉ","EN ATTENTE RT")),IF(L2239="R","À REPRENDRE",IF(H2239&lt;&gt;"OUI","⚠ ENROBÉ AVANT ACCEPTATION RT","ENROBÉ")))))</f>
        <v>À ENROBER</v>
      </c>
      <c r="O2239" s="80"/>
      <c r="P2239" s="82" t="n">
        <f aca="false">IF(C2239="","",IFERROR(MATCH(Q2239,'CARNET DE SOUDURE'!$AW$7:$AW$3006,0),""))</f>
        <v>2233</v>
      </c>
      <c r="Q2239" s="82" t="str">
        <f aca="false">IF(C2239="","",B2239&amp;"|"&amp;C2239)</f>
        <v>MFD-ISW → MFD-CPF|JN°1755</v>
      </c>
    </row>
    <row r="2240" customFormat="false" ht="74.6" hidden="false" customHeight="false" outlineLevel="0" collapsed="false">
      <c r="A2240" s="82" t="n">
        <f aca="false">IF(C2240="","",ROW()-6)</f>
        <v>2234</v>
      </c>
      <c r="B2240" s="80" t="s">
        <v>110</v>
      </c>
      <c r="C2240" s="113" t="s">
        <v>2717</v>
      </c>
      <c r="D2240" s="82" t="str">
        <f aca="false">IF(OR(C2240="",P2240=""),"",INDEX('CARNET DE SOUDURE'!$D$7:$D$3006,P2240)&amp;"")</f>
        <v>21</v>
      </c>
      <c r="E2240" s="114" t="n">
        <f aca="false">IF(OR(C2240="",P2240=""),"",IF(INDEX('CARNET DE SOUDURE'!$U$7:$U$3006,P2240)="","",INDEX('CARNET DE SOUDURE'!$U$7:$U$3006,P2240)))</f>
        <v>46261</v>
      </c>
      <c r="F2240" s="82" t="str">
        <f aca="false">IF(OR(C2240="",P2240=""),"",INDEX('CARNET DE SOUDURE'!$AP$7:$AP$3006,P2240))</f>
        <v>A</v>
      </c>
      <c r="G2240" s="82" t="str">
        <f aca="false">IF(C2240="","",IF(P2240="","NJ INCONNU",INDEX('CARNET DE SOUDURE'!$AQ$7:$AQ$3006,P2240)))</f>
        <v>ACCEPTÉ</v>
      </c>
      <c r="H2240" s="82" t="str">
        <f aca="false">IF(C2240="","",IF(G2240="ACCEPTÉ","OUI","NON"))</f>
        <v>OUI</v>
      </c>
      <c r="I2240" s="83"/>
      <c r="J2240" s="80"/>
      <c r="K2240" s="81"/>
      <c r="L2240" s="81"/>
      <c r="M2240" s="81"/>
      <c r="N2240" s="84" t="str">
        <f aca="false">IF(C2240="","",IF(P2240="","NJ INCONNU",IF(I2240="",IF(H2240="OUI","À ENROBER",IF(G2240="À SOUDER","NON SOUDÉ","EN ATTENTE RT")),IF(L2240="R","À REPRENDRE",IF(H2240&lt;&gt;"OUI","⚠ ENROBÉ AVANT ACCEPTATION RT","ENROBÉ")))))</f>
        <v>À ENROBER</v>
      </c>
      <c r="O2240" s="80"/>
      <c r="P2240" s="82" t="n">
        <f aca="false">IF(C2240="","",IFERROR(MATCH(Q2240,'CARNET DE SOUDURE'!$AW$7:$AW$3006,0),""))</f>
        <v>2234</v>
      </c>
      <c r="Q2240" s="82" t="str">
        <f aca="false">IF(C2240="","",B2240&amp;"|"&amp;C2240)</f>
        <v>MFD-ISW → MFD-CPF|JN°1756</v>
      </c>
    </row>
    <row r="2241" customFormat="false" ht="74.6" hidden="false" customHeight="false" outlineLevel="0" collapsed="false">
      <c r="A2241" s="82" t="n">
        <f aca="false">IF(C2241="","",ROW()-6)</f>
        <v>2235</v>
      </c>
      <c r="B2241" s="80" t="s">
        <v>110</v>
      </c>
      <c r="C2241" s="113" t="s">
        <v>2718</v>
      </c>
      <c r="D2241" s="82" t="str">
        <f aca="false">IF(OR(C2241="",P2241=""),"",INDEX('CARNET DE SOUDURE'!$D$7:$D$3006,P2241)&amp;"")</f>
        <v>21</v>
      </c>
      <c r="E2241" s="114" t="n">
        <f aca="false">IF(OR(C2241="",P2241=""),"",IF(INDEX('CARNET DE SOUDURE'!$U$7:$U$3006,P2241)="","",INDEX('CARNET DE SOUDURE'!$U$7:$U$3006,P2241)))</f>
        <v>46261</v>
      </c>
      <c r="F2241" s="82" t="str">
        <f aca="false">IF(OR(C2241="",P2241=""),"",INDEX('CARNET DE SOUDURE'!$AP$7:$AP$3006,P2241))</f>
        <v>A</v>
      </c>
      <c r="G2241" s="82" t="str">
        <f aca="false">IF(C2241="","",IF(P2241="","NJ INCONNU",INDEX('CARNET DE SOUDURE'!$AQ$7:$AQ$3006,P2241)))</f>
        <v>ACCEPTÉ</v>
      </c>
      <c r="H2241" s="82" t="str">
        <f aca="false">IF(C2241="","",IF(G2241="ACCEPTÉ","OUI","NON"))</f>
        <v>OUI</v>
      </c>
      <c r="I2241" s="83"/>
      <c r="J2241" s="80"/>
      <c r="K2241" s="81"/>
      <c r="L2241" s="81"/>
      <c r="M2241" s="81"/>
      <c r="N2241" s="84" t="str">
        <f aca="false">IF(C2241="","",IF(P2241="","NJ INCONNU",IF(I2241="",IF(H2241="OUI","À ENROBER",IF(G2241="À SOUDER","NON SOUDÉ","EN ATTENTE RT")),IF(L2241="R","À REPRENDRE",IF(H2241&lt;&gt;"OUI","⚠ ENROBÉ AVANT ACCEPTATION RT","ENROBÉ")))))</f>
        <v>À ENROBER</v>
      </c>
      <c r="O2241" s="80"/>
      <c r="P2241" s="82" t="n">
        <f aca="false">IF(C2241="","",IFERROR(MATCH(Q2241,'CARNET DE SOUDURE'!$AW$7:$AW$3006,0),""))</f>
        <v>2235</v>
      </c>
      <c r="Q2241" s="82" t="str">
        <f aca="false">IF(C2241="","",B2241&amp;"|"&amp;C2241)</f>
        <v>MFD-ISW → MFD-CPF|JN°1757</v>
      </c>
    </row>
    <row r="2242" customFormat="false" ht="74.6" hidden="false" customHeight="false" outlineLevel="0" collapsed="false">
      <c r="A2242" s="82" t="n">
        <f aca="false">IF(C2242="","",ROW()-6)</f>
        <v>2236</v>
      </c>
      <c r="B2242" s="80" t="s">
        <v>110</v>
      </c>
      <c r="C2242" s="113" t="s">
        <v>2719</v>
      </c>
      <c r="D2242" s="82" t="str">
        <f aca="false">IF(OR(C2242="",P2242=""),"",INDEX('CARNET DE SOUDURE'!$D$7:$D$3006,P2242)&amp;"")</f>
        <v>21</v>
      </c>
      <c r="E2242" s="114" t="n">
        <f aca="false">IF(OR(C2242="",P2242=""),"",IF(INDEX('CARNET DE SOUDURE'!$U$7:$U$3006,P2242)="","",INDEX('CARNET DE SOUDURE'!$U$7:$U$3006,P2242)))</f>
        <v>46261</v>
      </c>
      <c r="F2242" s="82" t="str">
        <f aca="false">IF(OR(C2242="",P2242=""),"",INDEX('CARNET DE SOUDURE'!$AP$7:$AP$3006,P2242))</f>
        <v>A</v>
      </c>
      <c r="G2242" s="82" t="str">
        <f aca="false">IF(C2242="","",IF(P2242="","NJ INCONNU",INDEX('CARNET DE SOUDURE'!$AQ$7:$AQ$3006,P2242)))</f>
        <v>ACCEPTÉ</v>
      </c>
      <c r="H2242" s="82" t="str">
        <f aca="false">IF(C2242="","",IF(G2242="ACCEPTÉ","OUI","NON"))</f>
        <v>OUI</v>
      </c>
      <c r="I2242" s="83"/>
      <c r="J2242" s="80"/>
      <c r="K2242" s="81"/>
      <c r="L2242" s="81"/>
      <c r="M2242" s="81"/>
      <c r="N2242" s="84" t="str">
        <f aca="false">IF(C2242="","",IF(P2242="","NJ INCONNU",IF(I2242="",IF(H2242="OUI","À ENROBER",IF(G2242="À SOUDER","NON SOUDÉ","EN ATTENTE RT")),IF(L2242="R","À REPRENDRE",IF(H2242&lt;&gt;"OUI","⚠ ENROBÉ AVANT ACCEPTATION RT","ENROBÉ")))))</f>
        <v>À ENROBER</v>
      </c>
      <c r="O2242" s="80"/>
      <c r="P2242" s="82" t="n">
        <f aca="false">IF(C2242="","",IFERROR(MATCH(Q2242,'CARNET DE SOUDURE'!$AW$7:$AW$3006,0),""))</f>
        <v>2236</v>
      </c>
      <c r="Q2242" s="82" t="str">
        <f aca="false">IF(C2242="","",B2242&amp;"|"&amp;C2242)</f>
        <v>MFD-ISW → MFD-CPF|JN°1758</v>
      </c>
    </row>
    <row r="2243" customFormat="false" ht="74.6" hidden="false" customHeight="false" outlineLevel="0" collapsed="false">
      <c r="A2243" s="82" t="n">
        <f aca="false">IF(C2243="","",ROW()-6)</f>
        <v>2237</v>
      </c>
      <c r="B2243" s="80" t="s">
        <v>110</v>
      </c>
      <c r="C2243" s="113" t="s">
        <v>2721</v>
      </c>
      <c r="D2243" s="82" t="str">
        <f aca="false">IF(OR(C2243="",P2243=""),"",INDEX('CARNET DE SOUDURE'!$D$7:$D$3006,P2243)&amp;"")</f>
        <v>21</v>
      </c>
      <c r="E2243" s="114" t="n">
        <f aca="false">IF(OR(C2243="",P2243=""),"",IF(INDEX('CARNET DE SOUDURE'!$U$7:$U$3006,P2243)="","",INDEX('CARNET DE SOUDURE'!$U$7:$U$3006,P2243)))</f>
        <v>46261</v>
      </c>
      <c r="F2243" s="82" t="str">
        <f aca="false">IF(OR(C2243="",P2243=""),"",INDEX('CARNET DE SOUDURE'!$AP$7:$AP$3006,P2243))</f>
        <v>A</v>
      </c>
      <c r="G2243" s="82" t="str">
        <f aca="false">IF(C2243="","",IF(P2243="","NJ INCONNU",INDEX('CARNET DE SOUDURE'!$AQ$7:$AQ$3006,P2243)))</f>
        <v>ACCEPTÉ</v>
      </c>
      <c r="H2243" s="82" t="str">
        <f aca="false">IF(C2243="","",IF(G2243="ACCEPTÉ","OUI","NON"))</f>
        <v>OUI</v>
      </c>
      <c r="I2243" s="83"/>
      <c r="J2243" s="80"/>
      <c r="K2243" s="81"/>
      <c r="L2243" s="81"/>
      <c r="M2243" s="81"/>
      <c r="N2243" s="84" t="str">
        <f aca="false">IF(C2243="","",IF(P2243="","NJ INCONNU",IF(I2243="",IF(H2243="OUI","À ENROBER",IF(G2243="À SOUDER","NON SOUDÉ","EN ATTENTE RT")),IF(L2243="R","À REPRENDRE",IF(H2243&lt;&gt;"OUI","⚠ ENROBÉ AVANT ACCEPTATION RT","ENROBÉ")))))</f>
        <v>À ENROBER</v>
      </c>
      <c r="O2243" s="80"/>
      <c r="P2243" s="82" t="n">
        <f aca="false">IF(C2243="","",IFERROR(MATCH(Q2243,'CARNET DE SOUDURE'!$AW$7:$AW$3006,0),""))</f>
        <v>2237</v>
      </c>
      <c r="Q2243" s="82" t="str">
        <f aca="false">IF(C2243="","",B2243&amp;"|"&amp;C2243)</f>
        <v>MFD-ISW → MFD-CPF|JN°1759</v>
      </c>
    </row>
    <row r="2244" customFormat="false" ht="74.6" hidden="false" customHeight="false" outlineLevel="0" collapsed="false">
      <c r="A2244" s="82" t="n">
        <f aca="false">IF(C2244="","",ROW()-6)</f>
        <v>2238</v>
      </c>
      <c r="B2244" s="80" t="s">
        <v>110</v>
      </c>
      <c r="C2244" s="113" t="s">
        <v>2722</v>
      </c>
      <c r="D2244" s="82" t="str">
        <f aca="false">IF(OR(C2244="",P2244=""),"",INDEX('CARNET DE SOUDURE'!$D$7:$D$3006,P2244)&amp;"")</f>
        <v>21</v>
      </c>
      <c r="E2244" s="114" t="n">
        <f aca="false">IF(OR(C2244="",P2244=""),"",IF(INDEX('CARNET DE SOUDURE'!$U$7:$U$3006,P2244)="","",INDEX('CARNET DE SOUDURE'!$U$7:$U$3006,P2244)))</f>
        <v>46261</v>
      </c>
      <c r="F2244" s="82" t="str">
        <f aca="false">IF(OR(C2244="",P2244=""),"",INDEX('CARNET DE SOUDURE'!$AP$7:$AP$3006,P2244))</f>
        <v>A</v>
      </c>
      <c r="G2244" s="82" t="str">
        <f aca="false">IF(C2244="","",IF(P2244="","NJ INCONNU",INDEX('CARNET DE SOUDURE'!$AQ$7:$AQ$3006,P2244)))</f>
        <v>ACCEPTÉ</v>
      </c>
      <c r="H2244" s="82" t="str">
        <f aca="false">IF(C2244="","",IF(G2244="ACCEPTÉ","OUI","NON"))</f>
        <v>OUI</v>
      </c>
      <c r="I2244" s="83"/>
      <c r="J2244" s="80"/>
      <c r="K2244" s="81"/>
      <c r="L2244" s="81"/>
      <c r="M2244" s="81"/>
      <c r="N2244" s="84" t="str">
        <f aca="false">IF(C2244="","",IF(P2244="","NJ INCONNU",IF(I2244="",IF(H2244="OUI","À ENROBER",IF(G2244="À SOUDER","NON SOUDÉ","EN ATTENTE RT")),IF(L2244="R","À REPRENDRE",IF(H2244&lt;&gt;"OUI","⚠ ENROBÉ AVANT ACCEPTATION RT","ENROBÉ")))))</f>
        <v>À ENROBER</v>
      </c>
      <c r="O2244" s="80"/>
      <c r="P2244" s="82" t="n">
        <f aca="false">IF(C2244="","",IFERROR(MATCH(Q2244,'CARNET DE SOUDURE'!$AW$7:$AW$3006,0),""))</f>
        <v>2238</v>
      </c>
      <c r="Q2244" s="82" t="str">
        <f aca="false">IF(C2244="","",B2244&amp;"|"&amp;C2244)</f>
        <v>MFD-ISW → MFD-CPF|JN°1760</v>
      </c>
    </row>
    <row r="2245" customFormat="false" ht="74.6" hidden="false" customHeight="false" outlineLevel="0" collapsed="false">
      <c r="A2245" s="82" t="n">
        <f aca="false">IF(C2245="","",ROW()-6)</f>
        <v>2239</v>
      </c>
      <c r="B2245" s="80" t="s">
        <v>110</v>
      </c>
      <c r="C2245" s="113" t="s">
        <v>2723</v>
      </c>
      <c r="D2245" s="82" t="str">
        <f aca="false">IF(OR(C2245="",P2245=""),"",INDEX('CARNET DE SOUDURE'!$D$7:$D$3006,P2245)&amp;"")</f>
        <v>21</v>
      </c>
      <c r="E2245" s="114" t="n">
        <f aca="false">IF(OR(C2245="",P2245=""),"",IF(INDEX('CARNET DE SOUDURE'!$U$7:$U$3006,P2245)="","",INDEX('CARNET DE SOUDURE'!$U$7:$U$3006,P2245)))</f>
        <v>46261</v>
      </c>
      <c r="F2245" s="82" t="str">
        <f aca="false">IF(OR(C2245="",P2245=""),"",INDEX('CARNET DE SOUDURE'!$AP$7:$AP$3006,P2245))</f>
        <v>A</v>
      </c>
      <c r="G2245" s="82" t="str">
        <f aca="false">IF(C2245="","",IF(P2245="","NJ INCONNU",INDEX('CARNET DE SOUDURE'!$AQ$7:$AQ$3006,P2245)))</f>
        <v>ACCEPTÉ</v>
      </c>
      <c r="H2245" s="82" t="str">
        <f aca="false">IF(C2245="","",IF(G2245="ACCEPTÉ","OUI","NON"))</f>
        <v>OUI</v>
      </c>
      <c r="I2245" s="83"/>
      <c r="J2245" s="80"/>
      <c r="K2245" s="81"/>
      <c r="L2245" s="81"/>
      <c r="M2245" s="81"/>
      <c r="N2245" s="84" t="str">
        <f aca="false">IF(C2245="","",IF(P2245="","NJ INCONNU",IF(I2245="",IF(H2245="OUI","À ENROBER",IF(G2245="À SOUDER","NON SOUDÉ","EN ATTENTE RT")),IF(L2245="R","À REPRENDRE",IF(H2245&lt;&gt;"OUI","⚠ ENROBÉ AVANT ACCEPTATION RT","ENROBÉ")))))</f>
        <v>À ENROBER</v>
      </c>
      <c r="O2245" s="80"/>
      <c r="P2245" s="82" t="n">
        <f aca="false">IF(C2245="","",IFERROR(MATCH(Q2245,'CARNET DE SOUDURE'!$AW$7:$AW$3006,0),""))</f>
        <v>2239</v>
      </c>
      <c r="Q2245" s="82" t="str">
        <f aca="false">IF(C2245="","",B2245&amp;"|"&amp;C2245)</f>
        <v>MFD-ISW → MFD-CPF|JN°1761</v>
      </c>
    </row>
    <row r="2246" customFormat="false" ht="74.6" hidden="false" customHeight="false" outlineLevel="0" collapsed="false">
      <c r="A2246" s="82" t="n">
        <f aca="false">IF(C2246="","",ROW()-6)</f>
        <v>2240</v>
      </c>
      <c r="B2246" s="80" t="s">
        <v>110</v>
      </c>
      <c r="C2246" s="113" t="s">
        <v>2724</v>
      </c>
      <c r="D2246" s="82" t="str">
        <f aca="false">IF(OR(C2246="",P2246=""),"",INDEX('CARNET DE SOUDURE'!$D$7:$D$3006,P2246)&amp;"")</f>
        <v>21</v>
      </c>
      <c r="E2246" s="114" t="n">
        <f aca="false">IF(OR(C2246="",P2246=""),"",IF(INDEX('CARNET DE SOUDURE'!$U$7:$U$3006,P2246)="","",INDEX('CARNET DE SOUDURE'!$U$7:$U$3006,P2246)))</f>
        <v>46261</v>
      </c>
      <c r="F2246" s="82" t="str">
        <f aca="false">IF(OR(C2246="",P2246=""),"",INDEX('CARNET DE SOUDURE'!$AP$7:$AP$3006,P2246))</f>
        <v>A</v>
      </c>
      <c r="G2246" s="82" t="str">
        <f aca="false">IF(C2246="","",IF(P2246="","NJ INCONNU",INDEX('CARNET DE SOUDURE'!$AQ$7:$AQ$3006,P2246)))</f>
        <v>ACCEPTÉ</v>
      </c>
      <c r="H2246" s="82" t="str">
        <f aca="false">IF(C2246="","",IF(G2246="ACCEPTÉ","OUI","NON"))</f>
        <v>OUI</v>
      </c>
      <c r="I2246" s="83"/>
      <c r="J2246" s="80"/>
      <c r="K2246" s="81"/>
      <c r="L2246" s="81"/>
      <c r="M2246" s="81"/>
      <c r="N2246" s="84" t="str">
        <f aca="false">IF(C2246="","",IF(P2246="","NJ INCONNU",IF(I2246="",IF(H2246="OUI","À ENROBER",IF(G2246="À SOUDER","NON SOUDÉ","EN ATTENTE RT")),IF(L2246="R","À REPRENDRE",IF(H2246&lt;&gt;"OUI","⚠ ENROBÉ AVANT ACCEPTATION RT","ENROBÉ")))))</f>
        <v>À ENROBER</v>
      </c>
      <c r="O2246" s="80"/>
      <c r="P2246" s="82" t="n">
        <f aca="false">IF(C2246="","",IFERROR(MATCH(Q2246,'CARNET DE SOUDURE'!$AW$7:$AW$3006,0),""))</f>
        <v>2240</v>
      </c>
      <c r="Q2246" s="82" t="str">
        <f aca="false">IF(C2246="","",B2246&amp;"|"&amp;C2246)</f>
        <v>MFD-ISW → MFD-CPF|JN°1762</v>
      </c>
    </row>
    <row r="2247" customFormat="false" ht="74.6" hidden="false" customHeight="false" outlineLevel="0" collapsed="false">
      <c r="A2247" s="82" t="n">
        <f aca="false">IF(C2247="","",ROW()-6)</f>
        <v>2241</v>
      </c>
      <c r="B2247" s="80" t="s">
        <v>110</v>
      </c>
      <c r="C2247" s="113" t="s">
        <v>2725</v>
      </c>
      <c r="D2247" s="82" t="str">
        <f aca="false">IF(OR(C2247="",P2247=""),"",INDEX('CARNET DE SOUDURE'!$D$7:$D$3006,P2247)&amp;"")</f>
        <v>21</v>
      </c>
      <c r="E2247" s="114" t="n">
        <f aca="false">IF(OR(C2247="",P2247=""),"",IF(INDEX('CARNET DE SOUDURE'!$U$7:$U$3006,P2247)="","",INDEX('CARNET DE SOUDURE'!$U$7:$U$3006,P2247)))</f>
        <v>46261</v>
      </c>
      <c r="F2247" s="82" t="str">
        <f aca="false">IF(OR(C2247="",P2247=""),"",INDEX('CARNET DE SOUDURE'!$AP$7:$AP$3006,P2247))</f>
        <v>A</v>
      </c>
      <c r="G2247" s="82" t="str">
        <f aca="false">IF(C2247="","",IF(P2247="","NJ INCONNU",INDEX('CARNET DE SOUDURE'!$AQ$7:$AQ$3006,P2247)))</f>
        <v>ACCEPTÉ</v>
      </c>
      <c r="H2247" s="82" t="str">
        <f aca="false">IF(C2247="","",IF(G2247="ACCEPTÉ","OUI","NON"))</f>
        <v>OUI</v>
      </c>
      <c r="I2247" s="83"/>
      <c r="J2247" s="80"/>
      <c r="K2247" s="81"/>
      <c r="L2247" s="81"/>
      <c r="M2247" s="81"/>
      <c r="N2247" s="84" t="str">
        <f aca="false">IF(C2247="","",IF(P2247="","NJ INCONNU",IF(I2247="",IF(H2247="OUI","À ENROBER",IF(G2247="À SOUDER","NON SOUDÉ","EN ATTENTE RT")),IF(L2247="R","À REPRENDRE",IF(H2247&lt;&gt;"OUI","⚠ ENROBÉ AVANT ACCEPTATION RT","ENROBÉ")))))</f>
        <v>À ENROBER</v>
      </c>
      <c r="O2247" s="80"/>
      <c r="P2247" s="82" t="n">
        <f aca="false">IF(C2247="","",IFERROR(MATCH(Q2247,'CARNET DE SOUDURE'!$AW$7:$AW$3006,0),""))</f>
        <v>2241</v>
      </c>
      <c r="Q2247" s="82" t="str">
        <f aca="false">IF(C2247="","",B2247&amp;"|"&amp;C2247)</f>
        <v>MFD-ISW → MFD-CPF|JN°1763</v>
      </c>
    </row>
    <row r="2248" customFormat="false" ht="74.6" hidden="false" customHeight="false" outlineLevel="0" collapsed="false">
      <c r="A2248" s="82" t="n">
        <f aca="false">IF(C2248="","",ROW()-6)</f>
        <v>2242</v>
      </c>
      <c r="B2248" s="80" t="s">
        <v>110</v>
      </c>
      <c r="C2248" s="113" t="s">
        <v>2726</v>
      </c>
      <c r="D2248" s="82" t="str">
        <f aca="false">IF(OR(C2248="",P2248=""),"",INDEX('CARNET DE SOUDURE'!$D$7:$D$3006,P2248)&amp;"")</f>
        <v>21</v>
      </c>
      <c r="E2248" s="114" t="n">
        <f aca="false">IF(OR(C2248="",P2248=""),"",IF(INDEX('CARNET DE SOUDURE'!$U$7:$U$3006,P2248)="","",INDEX('CARNET DE SOUDURE'!$U$7:$U$3006,P2248)))</f>
        <v>46261</v>
      </c>
      <c r="F2248" s="82" t="str">
        <f aca="false">IF(OR(C2248="",P2248=""),"",INDEX('CARNET DE SOUDURE'!$AP$7:$AP$3006,P2248))</f>
        <v>A</v>
      </c>
      <c r="G2248" s="82" t="str">
        <f aca="false">IF(C2248="","",IF(P2248="","NJ INCONNU",INDEX('CARNET DE SOUDURE'!$AQ$7:$AQ$3006,P2248)))</f>
        <v>ACCEPTÉ</v>
      </c>
      <c r="H2248" s="82" t="str">
        <f aca="false">IF(C2248="","",IF(G2248="ACCEPTÉ","OUI","NON"))</f>
        <v>OUI</v>
      </c>
      <c r="I2248" s="83"/>
      <c r="J2248" s="80"/>
      <c r="K2248" s="81"/>
      <c r="L2248" s="81"/>
      <c r="M2248" s="81"/>
      <c r="N2248" s="84" t="str">
        <f aca="false">IF(C2248="","",IF(P2248="","NJ INCONNU",IF(I2248="",IF(H2248="OUI","À ENROBER",IF(G2248="À SOUDER","NON SOUDÉ","EN ATTENTE RT")),IF(L2248="R","À REPRENDRE",IF(H2248&lt;&gt;"OUI","⚠ ENROBÉ AVANT ACCEPTATION RT","ENROBÉ")))))</f>
        <v>À ENROBER</v>
      </c>
      <c r="O2248" s="80"/>
      <c r="P2248" s="82" t="n">
        <f aca="false">IF(C2248="","",IFERROR(MATCH(Q2248,'CARNET DE SOUDURE'!$AW$7:$AW$3006,0),""))</f>
        <v>2242</v>
      </c>
      <c r="Q2248" s="82" t="str">
        <f aca="false">IF(C2248="","",B2248&amp;"|"&amp;C2248)</f>
        <v>MFD-ISW → MFD-CPF|JN°1764</v>
      </c>
    </row>
    <row r="2249" customFormat="false" ht="74.6" hidden="false" customHeight="false" outlineLevel="0" collapsed="false">
      <c r="A2249" s="82" t="n">
        <f aca="false">IF(C2249="","",ROW()-6)</f>
        <v>2243</v>
      </c>
      <c r="B2249" s="80" t="s">
        <v>110</v>
      </c>
      <c r="C2249" s="113" t="s">
        <v>2727</v>
      </c>
      <c r="D2249" s="82" t="str">
        <f aca="false">IF(OR(C2249="",P2249=""),"",INDEX('CARNET DE SOUDURE'!$D$7:$D$3006,P2249)&amp;"")</f>
        <v>21</v>
      </c>
      <c r="E2249" s="114" t="n">
        <f aca="false">IF(OR(C2249="",P2249=""),"",IF(INDEX('CARNET DE SOUDURE'!$U$7:$U$3006,P2249)="","",INDEX('CARNET DE SOUDURE'!$U$7:$U$3006,P2249)))</f>
        <v>46261</v>
      </c>
      <c r="F2249" s="82" t="str">
        <f aca="false">IF(OR(C2249="",P2249=""),"",INDEX('CARNET DE SOUDURE'!$AP$7:$AP$3006,P2249))</f>
        <v>A</v>
      </c>
      <c r="G2249" s="82" t="str">
        <f aca="false">IF(C2249="","",IF(P2249="","NJ INCONNU",INDEX('CARNET DE SOUDURE'!$AQ$7:$AQ$3006,P2249)))</f>
        <v>ACCEPTÉ</v>
      </c>
      <c r="H2249" s="82" t="str">
        <f aca="false">IF(C2249="","",IF(G2249="ACCEPTÉ","OUI","NON"))</f>
        <v>OUI</v>
      </c>
      <c r="I2249" s="83"/>
      <c r="J2249" s="80"/>
      <c r="K2249" s="81"/>
      <c r="L2249" s="81"/>
      <c r="M2249" s="81"/>
      <c r="N2249" s="84" t="str">
        <f aca="false">IF(C2249="","",IF(P2249="","NJ INCONNU",IF(I2249="",IF(H2249="OUI","À ENROBER",IF(G2249="À SOUDER","NON SOUDÉ","EN ATTENTE RT")),IF(L2249="R","À REPRENDRE",IF(H2249&lt;&gt;"OUI","⚠ ENROBÉ AVANT ACCEPTATION RT","ENROBÉ")))))</f>
        <v>À ENROBER</v>
      </c>
      <c r="O2249" s="80"/>
      <c r="P2249" s="82" t="n">
        <f aca="false">IF(C2249="","",IFERROR(MATCH(Q2249,'CARNET DE SOUDURE'!$AW$7:$AW$3006,0),""))</f>
        <v>2243</v>
      </c>
      <c r="Q2249" s="82" t="str">
        <f aca="false">IF(C2249="","",B2249&amp;"|"&amp;C2249)</f>
        <v>MFD-ISW → MFD-CPF|JN°1765</v>
      </c>
    </row>
    <row r="2250" customFormat="false" ht="74.6" hidden="false" customHeight="false" outlineLevel="0" collapsed="false">
      <c r="A2250" s="82" t="n">
        <f aca="false">IF(C2250="","",ROW()-6)</f>
        <v>2244</v>
      </c>
      <c r="B2250" s="80" t="s">
        <v>110</v>
      </c>
      <c r="C2250" s="113" t="s">
        <v>2728</v>
      </c>
      <c r="D2250" s="82" t="str">
        <f aca="false">IF(OR(C2250="",P2250=""),"",INDEX('CARNET DE SOUDURE'!$D$7:$D$3006,P2250)&amp;"")</f>
        <v>21</v>
      </c>
      <c r="E2250" s="114" t="n">
        <f aca="false">IF(OR(C2250="",P2250=""),"",IF(INDEX('CARNET DE SOUDURE'!$U$7:$U$3006,P2250)="","",INDEX('CARNET DE SOUDURE'!$U$7:$U$3006,P2250)))</f>
        <v>46261</v>
      </c>
      <c r="F2250" s="82" t="str">
        <f aca="false">IF(OR(C2250="",P2250=""),"",INDEX('CARNET DE SOUDURE'!$AP$7:$AP$3006,P2250))</f>
        <v>A</v>
      </c>
      <c r="G2250" s="82" t="str">
        <f aca="false">IF(C2250="","",IF(P2250="","NJ INCONNU",INDEX('CARNET DE SOUDURE'!$AQ$7:$AQ$3006,P2250)))</f>
        <v>ACCEPTÉ</v>
      </c>
      <c r="H2250" s="82" t="str">
        <f aca="false">IF(C2250="","",IF(G2250="ACCEPTÉ","OUI","NON"))</f>
        <v>OUI</v>
      </c>
      <c r="I2250" s="83"/>
      <c r="J2250" s="80"/>
      <c r="K2250" s="81"/>
      <c r="L2250" s="81"/>
      <c r="M2250" s="81"/>
      <c r="N2250" s="84" t="str">
        <f aca="false">IF(C2250="","",IF(P2250="","NJ INCONNU",IF(I2250="",IF(H2250="OUI","À ENROBER",IF(G2250="À SOUDER","NON SOUDÉ","EN ATTENTE RT")),IF(L2250="R","À REPRENDRE",IF(H2250&lt;&gt;"OUI","⚠ ENROBÉ AVANT ACCEPTATION RT","ENROBÉ")))))</f>
        <v>À ENROBER</v>
      </c>
      <c r="O2250" s="80"/>
      <c r="P2250" s="82" t="n">
        <f aca="false">IF(C2250="","",IFERROR(MATCH(Q2250,'CARNET DE SOUDURE'!$AW$7:$AW$3006,0),""))</f>
        <v>2244</v>
      </c>
      <c r="Q2250" s="82" t="str">
        <f aca="false">IF(C2250="","",B2250&amp;"|"&amp;C2250)</f>
        <v>MFD-ISW → MFD-CPF|JN°1766</v>
      </c>
    </row>
    <row r="2251" customFormat="false" ht="74.6" hidden="false" customHeight="false" outlineLevel="0" collapsed="false">
      <c r="A2251" s="82" t="n">
        <f aca="false">IF(C2251="","",ROW()-6)</f>
        <v>2245</v>
      </c>
      <c r="B2251" s="80" t="s">
        <v>110</v>
      </c>
      <c r="C2251" s="113" t="s">
        <v>2729</v>
      </c>
      <c r="D2251" s="82" t="str">
        <f aca="false">IF(OR(C2251="",P2251=""),"",INDEX('CARNET DE SOUDURE'!$D$7:$D$3006,P2251)&amp;"")</f>
        <v>21</v>
      </c>
      <c r="E2251" s="114" t="n">
        <f aca="false">IF(OR(C2251="",P2251=""),"",IF(INDEX('CARNET DE SOUDURE'!$U$7:$U$3006,P2251)="","",INDEX('CARNET DE SOUDURE'!$U$7:$U$3006,P2251)))</f>
        <v>46261</v>
      </c>
      <c r="F2251" s="82" t="str">
        <f aca="false">IF(OR(C2251="",P2251=""),"",INDEX('CARNET DE SOUDURE'!$AP$7:$AP$3006,P2251))</f>
        <v>A</v>
      </c>
      <c r="G2251" s="82" t="str">
        <f aca="false">IF(C2251="","",IF(P2251="","NJ INCONNU",INDEX('CARNET DE SOUDURE'!$AQ$7:$AQ$3006,P2251)))</f>
        <v>ACCEPTÉ</v>
      </c>
      <c r="H2251" s="82" t="str">
        <f aca="false">IF(C2251="","",IF(G2251="ACCEPTÉ","OUI","NON"))</f>
        <v>OUI</v>
      </c>
      <c r="I2251" s="83"/>
      <c r="J2251" s="80"/>
      <c r="K2251" s="81"/>
      <c r="L2251" s="81"/>
      <c r="M2251" s="81"/>
      <c r="N2251" s="84" t="str">
        <f aca="false">IF(C2251="","",IF(P2251="","NJ INCONNU",IF(I2251="",IF(H2251="OUI","À ENROBER",IF(G2251="À SOUDER","NON SOUDÉ","EN ATTENTE RT")),IF(L2251="R","À REPRENDRE",IF(H2251&lt;&gt;"OUI","⚠ ENROBÉ AVANT ACCEPTATION RT","ENROBÉ")))))</f>
        <v>À ENROBER</v>
      </c>
      <c r="O2251" s="80"/>
      <c r="P2251" s="82" t="n">
        <f aca="false">IF(C2251="","",IFERROR(MATCH(Q2251,'CARNET DE SOUDURE'!$AW$7:$AW$3006,0),""))</f>
        <v>2245</v>
      </c>
      <c r="Q2251" s="82" t="str">
        <f aca="false">IF(C2251="","",B2251&amp;"|"&amp;C2251)</f>
        <v>MFD-ISW → MFD-CPF|JN°1767</v>
      </c>
    </row>
    <row r="2252" customFormat="false" ht="74.6" hidden="false" customHeight="false" outlineLevel="0" collapsed="false">
      <c r="A2252" s="82" t="n">
        <f aca="false">IF(C2252="","",ROW()-6)</f>
        <v>2246</v>
      </c>
      <c r="B2252" s="80" t="s">
        <v>110</v>
      </c>
      <c r="C2252" s="113" t="s">
        <v>2730</v>
      </c>
      <c r="D2252" s="82" t="str">
        <f aca="false">IF(OR(C2252="",P2252=""),"",INDEX('CARNET DE SOUDURE'!$D$7:$D$3006,P2252)&amp;"")</f>
        <v>21</v>
      </c>
      <c r="E2252" s="114" t="n">
        <f aca="false">IF(OR(C2252="",P2252=""),"",IF(INDEX('CARNET DE SOUDURE'!$U$7:$U$3006,P2252)="","",INDEX('CARNET DE SOUDURE'!$U$7:$U$3006,P2252)))</f>
        <v>46261</v>
      </c>
      <c r="F2252" s="82" t="str">
        <f aca="false">IF(OR(C2252="",P2252=""),"",INDEX('CARNET DE SOUDURE'!$AP$7:$AP$3006,P2252))</f>
        <v>A</v>
      </c>
      <c r="G2252" s="82" t="str">
        <f aca="false">IF(C2252="","",IF(P2252="","NJ INCONNU",INDEX('CARNET DE SOUDURE'!$AQ$7:$AQ$3006,P2252)))</f>
        <v>ACCEPTÉ</v>
      </c>
      <c r="H2252" s="82" t="str">
        <f aca="false">IF(C2252="","",IF(G2252="ACCEPTÉ","OUI","NON"))</f>
        <v>OUI</v>
      </c>
      <c r="I2252" s="83"/>
      <c r="J2252" s="80"/>
      <c r="K2252" s="81"/>
      <c r="L2252" s="81"/>
      <c r="M2252" s="81"/>
      <c r="N2252" s="84" t="str">
        <f aca="false">IF(C2252="","",IF(P2252="","NJ INCONNU",IF(I2252="",IF(H2252="OUI","À ENROBER",IF(G2252="À SOUDER","NON SOUDÉ","EN ATTENTE RT")),IF(L2252="R","À REPRENDRE",IF(H2252&lt;&gt;"OUI","⚠ ENROBÉ AVANT ACCEPTATION RT","ENROBÉ")))))</f>
        <v>À ENROBER</v>
      </c>
      <c r="O2252" s="80"/>
      <c r="P2252" s="82" t="n">
        <f aca="false">IF(C2252="","",IFERROR(MATCH(Q2252,'CARNET DE SOUDURE'!$AW$7:$AW$3006,0),""))</f>
        <v>2246</v>
      </c>
      <c r="Q2252" s="82" t="str">
        <f aca="false">IF(C2252="","",B2252&amp;"|"&amp;C2252)</f>
        <v>MFD-ISW → MFD-CPF|JN°1768</v>
      </c>
    </row>
    <row r="2253" customFormat="false" ht="74.6" hidden="false" customHeight="false" outlineLevel="0" collapsed="false">
      <c r="A2253" s="82" t="n">
        <f aca="false">IF(C2253="","",ROW()-6)</f>
        <v>2247</v>
      </c>
      <c r="B2253" s="80" t="s">
        <v>110</v>
      </c>
      <c r="C2253" s="113" t="s">
        <v>2732</v>
      </c>
      <c r="D2253" s="82" t="str">
        <f aca="false">IF(OR(C2253="",P2253=""),"",INDEX('CARNET DE SOUDURE'!$D$7:$D$3006,P2253)&amp;"")</f>
        <v>21</v>
      </c>
      <c r="E2253" s="114" t="n">
        <f aca="false">IF(OR(C2253="",P2253=""),"",IF(INDEX('CARNET DE SOUDURE'!$U$7:$U$3006,P2253)="","",INDEX('CARNET DE SOUDURE'!$U$7:$U$3006,P2253)))</f>
        <v>46261</v>
      </c>
      <c r="F2253" s="82" t="str">
        <f aca="false">IF(OR(C2253="",P2253=""),"",INDEX('CARNET DE SOUDURE'!$AP$7:$AP$3006,P2253))</f>
        <v>A</v>
      </c>
      <c r="G2253" s="82" t="str">
        <f aca="false">IF(C2253="","",IF(P2253="","NJ INCONNU",INDEX('CARNET DE SOUDURE'!$AQ$7:$AQ$3006,P2253)))</f>
        <v>ACCEPTÉ</v>
      </c>
      <c r="H2253" s="82" t="str">
        <f aca="false">IF(C2253="","",IF(G2253="ACCEPTÉ","OUI","NON"))</f>
        <v>OUI</v>
      </c>
      <c r="I2253" s="83"/>
      <c r="J2253" s="80"/>
      <c r="K2253" s="81"/>
      <c r="L2253" s="81"/>
      <c r="M2253" s="81"/>
      <c r="N2253" s="84" t="str">
        <f aca="false">IF(C2253="","",IF(P2253="","NJ INCONNU",IF(I2253="",IF(H2253="OUI","À ENROBER",IF(G2253="À SOUDER","NON SOUDÉ","EN ATTENTE RT")),IF(L2253="R","À REPRENDRE",IF(H2253&lt;&gt;"OUI","⚠ ENROBÉ AVANT ACCEPTATION RT","ENROBÉ")))))</f>
        <v>À ENROBER</v>
      </c>
      <c r="O2253" s="80"/>
      <c r="P2253" s="82" t="n">
        <f aca="false">IF(C2253="","",IFERROR(MATCH(Q2253,'CARNET DE SOUDURE'!$AW$7:$AW$3006,0),""))</f>
        <v>2247</v>
      </c>
      <c r="Q2253" s="82" t="str">
        <f aca="false">IF(C2253="","",B2253&amp;"|"&amp;C2253)</f>
        <v>MFD-ISW → MFD-CPF|JN°1769</v>
      </c>
    </row>
    <row r="2254" customFormat="false" ht="74.6" hidden="false" customHeight="false" outlineLevel="0" collapsed="false">
      <c r="A2254" s="82" t="n">
        <f aca="false">IF(C2254="","",ROW()-6)</f>
        <v>2248</v>
      </c>
      <c r="B2254" s="80" t="s">
        <v>110</v>
      </c>
      <c r="C2254" s="113" t="s">
        <v>2734</v>
      </c>
      <c r="D2254" s="82" t="str">
        <f aca="false">IF(OR(C2254="",P2254=""),"",INDEX('CARNET DE SOUDURE'!$D$7:$D$3006,P2254)&amp;"")</f>
        <v>21</v>
      </c>
      <c r="E2254" s="114" t="n">
        <f aca="false">IF(OR(C2254="",P2254=""),"",IF(INDEX('CARNET DE SOUDURE'!$U$7:$U$3006,P2254)="","",INDEX('CARNET DE SOUDURE'!$U$7:$U$3006,P2254)))</f>
        <v>46261</v>
      </c>
      <c r="F2254" s="82" t="str">
        <f aca="false">IF(OR(C2254="",P2254=""),"",INDEX('CARNET DE SOUDURE'!$AP$7:$AP$3006,P2254))</f>
        <v>A</v>
      </c>
      <c r="G2254" s="82" t="str">
        <f aca="false">IF(C2254="","",IF(P2254="","NJ INCONNU",INDEX('CARNET DE SOUDURE'!$AQ$7:$AQ$3006,P2254)))</f>
        <v>ACCEPTÉ</v>
      </c>
      <c r="H2254" s="82" t="str">
        <f aca="false">IF(C2254="","",IF(G2254="ACCEPTÉ","OUI","NON"))</f>
        <v>OUI</v>
      </c>
      <c r="I2254" s="83"/>
      <c r="J2254" s="80"/>
      <c r="K2254" s="81"/>
      <c r="L2254" s="81"/>
      <c r="M2254" s="81"/>
      <c r="N2254" s="84" t="str">
        <f aca="false">IF(C2254="","",IF(P2254="","NJ INCONNU",IF(I2254="",IF(H2254="OUI","À ENROBER",IF(G2254="À SOUDER","NON SOUDÉ","EN ATTENTE RT")),IF(L2254="R","À REPRENDRE",IF(H2254&lt;&gt;"OUI","⚠ ENROBÉ AVANT ACCEPTATION RT","ENROBÉ")))))</f>
        <v>À ENROBER</v>
      </c>
      <c r="O2254" s="80"/>
      <c r="P2254" s="82" t="n">
        <f aca="false">IF(C2254="","",IFERROR(MATCH(Q2254,'CARNET DE SOUDURE'!$AW$7:$AW$3006,0),""))</f>
        <v>2248</v>
      </c>
      <c r="Q2254" s="82" t="str">
        <f aca="false">IF(C2254="","",B2254&amp;"|"&amp;C2254)</f>
        <v>MFD-ISW → MFD-CPF|JN°1770</v>
      </c>
    </row>
    <row r="2255" customFormat="false" ht="74.6" hidden="false" customHeight="false" outlineLevel="0" collapsed="false">
      <c r="A2255" s="82" t="n">
        <f aca="false">IF(C2255="","",ROW()-6)</f>
        <v>2249</v>
      </c>
      <c r="B2255" s="80" t="s">
        <v>110</v>
      </c>
      <c r="C2255" s="113" t="s">
        <v>2735</v>
      </c>
      <c r="D2255" s="82" t="str">
        <f aca="false">IF(OR(C2255="",P2255=""),"",INDEX('CARNET DE SOUDURE'!$D$7:$D$3006,P2255)&amp;"")</f>
        <v>21</v>
      </c>
      <c r="E2255" s="114" t="n">
        <f aca="false">IF(OR(C2255="",P2255=""),"",IF(INDEX('CARNET DE SOUDURE'!$U$7:$U$3006,P2255)="","",INDEX('CARNET DE SOUDURE'!$U$7:$U$3006,P2255)))</f>
        <v>46261</v>
      </c>
      <c r="F2255" s="82" t="str">
        <f aca="false">IF(OR(C2255="",P2255=""),"",INDEX('CARNET DE SOUDURE'!$AP$7:$AP$3006,P2255))</f>
        <v>A</v>
      </c>
      <c r="G2255" s="82" t="str">
        <f aca="false">IF(C2255="","",IF(P2255="","NJ INCONNU",INDEX('CARNET DE SOUDURE'!$AQ$7:$AQ$3006,P2255)))</f>
        <v>ACCEPTÉ</v>
      </c>
      <c r="H2255" s="82" t="str">
        <f aca="false">IF(C2255="","",IF(G2255="ACCEPTÉ","OUI","NON"))</f>
        <v>OUI</v>
      </c>
      <c r="I2255" s="83"/>
      <c r="J2255" s="80"/>
      <c r="K2255" s="81"/>
      <c r="L2255" s="81"/>
      <c r="M2255" s="81"/>
      <c r="N2255" s="84" t="str">
        <f aca="false">IF(C2255="","",IF(P2255="","NJ INCONNU",IF(I2255="",IF(H2255="OUI","À ENROBER",IF(G2255="À SOUDER","NON SOUDÉ","EN ATTENTE RT")),IF(L2255="R","À REPRENDRE",IF(H2255&lt;&gt;"OUI","⚠ ENROBÉ AVANT ACCEPTATION RT","ENROBÉ")))))</f>
        <v>À ENROBER</v>
      </c>
      <c r="O2255" s="80"/>
      <c r="P2255" s="82" t="n">
        <f aca="false">IF(C2255="","",IFERROR(MATCH(Q2255,'CARNET DE SOUDURE'!$AW$7:$AW$3006,0),""))</f>
        <v>2249</v>
      </c>
      <c r="Q2255" s="82" t="str">
        <f aca="false">IF(C2255="","",B2255&amp;"|"&amp;C2255)</f>
        <v>MFD-ISW → MFD-CPF|JN°1771</v>
      </c>
    </row>
    <row r="2256" customFormat="false" ht="74.6" hidden="false" customHeight="false" outlineLevel="0" collapsed="false">
      <c r="A2256" s="82" t="n">
        <f aca="false">IF(C2256="","",ROW()-6)</f>
        <v>2250</v>
      </c>
      <c r="B2256" s="80" t="s">
        <v>110</v>
      </c>
      <c r="C2256" s="113" t="s">
        <v>2736</v>
      </c>
      <c r="D2256" s="82" t="str">
        <f aca="false">IF(OR(C2256="",P2256=""),"",INDEX('CARNET DE SOUDURE'!$D$7:$D$3006,P2256)&amp;"")</f>
        <v>21</v>
      </c>
      <c r="E2256" s="114" t="n">
        <f aca="false">IF(OR(C2256="",P2256=""),"",IF(INDEX('CARNET DE SOUDURE'!$U$7:$U$3006,P2256)="","",INDEX('CARNET DE SOUDURE'!$U$7:$U$3006,P2256)))</f>
        <v>46261</v>
      </c>
      <c r="F2256" s="82" t="str">
        <f aca="false">IF(OR(C2256="",P2256=""),"",INDEX('CARNET DE SOUDURE'!$AP$7:$AP$3006,P2256))</f>
        <v>A</v>
      </c>
      <c r="G2256" s="82" t="str">
        <f aca="false">IF(C2256="","",IF(P2256="","NJ INCONNU",INDEX('CARNET DE SOUDURE'!$AQ$7:$AQ$3006,P2256)))</f>
        <v>ACCEPTÉ</v>
      </c>
      <c r="H2256" s="82" t="str">
        <f aca="false">IF(C2256="","",IF(G2256="ACCEPTÉ","OUI","NON"))</f>
        <v>OUI</v>
      </c>
      <c r="I2256" s="83"/>
      <c r="J2256" s="80"/>
      <c r="K2256" s="81"/>
      <c r="L2256" s="81"/>
      <c r="M2256" s="81"/>
      <c r="N2256" s="84" t="str">
        <f aca="false">IF(C2256="","",IF(P2256="","NJ INCONNU",IF(I2256="",IF(H2256="OUI","À ENROBER",IF(G2256="À SOUDER","NON SOUDÉ","EN ATTENTE RT")),IF(L2256="R","À REPRENDRE",IF(H2256&lt;&gt;"OUI","⚠ ENROBÉ AVANT ACCEPTATION RT","ENROBÉ")))))</f>
        <v>À ENROBER</v>
      </c>
      <c r="O2256" s="80"/>
      <c r="P2256" s="82" t="n">
        <f aca="false">IF(C2256="","",IFERROR(MATCH(Q2256,'CARNET DE SOUDURE'!$AW$7:$AW$3006,0),""))</f>
        <v>2250</v>
      </c>
      <c r="Q2256" s="82" t="str">
        <f aca="false">IF(C2256="","",B2256&amp;"|"&amp;C2256)</f>
        <v>MFD-ISW → MFD-CPF|JN°1772</v>
      </c>
    </row>
    <row r="2257" customFormat="false" ht="74.6" hidden="false" customHeight="false" outlineLevel="0" collapsed="false">
      <c r="A2257" s="82" t="n">
        <f aca="false">IF(C2257="","",ROW()-6)</f>
        <v>2251</v>
      </c>
      <c r="B2257" s="80" t="s">
        <v>110</v>
      </c>
      <c r="C2257" s="113" t="s">
        <v>2737</v>
      </c>
      <c r="D2257" s="82" t="str">
        <f aca="false">IF(OR(C2257="",P2257=""),"",INDEX('CARNET DE SOUDURE'!$D$7:$D$3006,P2257)&amp;"")</f>
        <v>21</v>
      </c>
      <c r="E2257" s="114" t="n">
        <f aca="false">IF(OR(C2257="",P2257=""),"",IF(INDEX('CARNET DE SOUDURE'!$U$7:$U$3006,P2257)="","",INDEX('CARNET DE SOUDURE'!$U$7:$U$3006,P2257)))</f>
        <v>46261</v>
      </c>
      <c r="F2257" s="82" t="str">
        <f aca="false">IF(OR(C2257="",P2257=""),"",INDEX('CARNET DE SOUDURE'!$AP$7:$AP$3006,P2257))</f>
        <v>A</v>
      </c>
      <c r="G2257" s="82" t="str">
        <f aca="false">IF(C2257="","",IF(P2257="","NJ INCONNU",INDEX('CARNET DE SOUDURE'!$AQ$7:$AQ$3006,P2257)))</f>
        <v>ACCEPTÉ</v>
      </c>
      <c r="H2257" s="82" t="str">
        <f aca="false">IF(C2257="","",IF(G2257="ACCEPTÉ","OUI","NON"))</f>
        <v>OUI</v>
      </c>
      <c r="I2257" s="83"/>
      <c r="J2257" s="80"/>
      <c r="K2257" s="81"/>
      <c r="L2257" s="81"/>
      <c r="M2257" s="81"/>
      <c r="N2257" s="84" t="str">
        <f aca="false">IF(C2257="","",IF(P2257="","NJ INCONNU",IF(I2257="",IF(H2257="OUI","À ENROBER",IF(G2257="À SOUDER","NON SOUDÉ","EN ATTENTE RT")),IF(L2257="R","À REPRENDRE",IF(H2257&lt;&gt;"OUI","⚠ ENROBÉ AVANT ACCEPTATION RT","ENROBÉ")))))</f>
        <v>À ENROBER</v>
      </c>
      <c r="O2257" s="80"/>
      <c r="P2257" s="82" t="n">
        <f aca="false">IF(C2257="","",IFERROR(MATCH(Q2257,'CARNET DE SOUDURE'!$AW$7:$AW$3006,0),""))</f>
        <v>2251</v>
      </c>
      <c r="Q2257" s="82" t="str">
        <f aca="false">IF(C2257="","",B2257&amp;"|"&amp;C2257)</f>
        <v>MFD-ISW → MFD-CPF|JN°1773</v>
      </c>
    </row>
    <row r="2258" customFormat="false" ht="74.6" hidden="false" customHeight="false" outlineLevel="0" collapsed="false">
      <c r="A2258" s="82" t="n">
        <f aca="false">IF(C2258="","",ROW()-6)</f>
        <v>2252</v>
      </c>
      <c r="B2258" s="80" t="s">
        <v>110</v>
      </c>
      <c r="C2258" s="113" t="s">
        <v>2738</v>
      </c>
      <c r="D2258" s="82" t="str">
        <f aca="false">IF(OR(C2258="",P2258=""),"",INDEX('CARNET DE SOUDURE'!$D$7:$D$3006,P2258)&amp;"")</f>
        <v>22</v>
      </c>
      <c r="E2258" s="114" t="n">
        <f aca="false">IF(OR(C2258="",P2258=""),"",IF(INDEX('CARNET DE SOUDURE'!$U$7:$U$3006,P2258)="","",INDEX('CARNET DE SOUDURE'!$U$7:$U$3006,P2258)))</f>
        <v>46261</v>
      </c>
      <c r="F2258" s="82" t="str">
        <f aca="false">IF(OR(C2258="",P2258=""),"",INDEX('CARNET DE SOUDURE'!$AP$7:$AP$3006,P2258))</f>
        <v>A</v>
      </c>
      <c r="G2258" s="82" t="str">
        <f aca="false">IF(C2258="","",IF(P2258="","NJ INCONNU",INDEX('CARNET DE SOUDURE'!$AQ$7:$AQ$3006,P2258)))</f>
        <v>ACCEPTÉ</v>
      </c>
      <c r="H2258" s="82" t="str">
        <f aca="false">IF(C2258="","",IF(G2258="ACCEPTÉ","OUI","NON"))</f>
        <v>OUI</v>
      </c>
      <c r="I2258" s="83"/>
      <c r="J2258" s="80"/>
      <c r="K2258" s="81"/>
      <c r="L2258" s="81"/>
      <c r="M2258" s="81"/>
      <c r="N2258" s="84" t="str">
        <f aca="false">IF(C2258="","",IF(P2258="","NJ INCONNU",IF(I2258="",IF(H2258="OUI","À ENROBER",IF(G2258="À SOUDER","NON SOUDÉ","EN ATTENTE RT")),IF(L2258="R","À REPRENDRE",IF(H2258&lt;&gt;"OUI","⚠ ENROBÉ AVANT ACCEPTATION RT","ENROBÉ")))))</f>
        <v>À ENROBER</v>
      </c>
      <c r="O2258" s="80"/>
      <c r="P2258" s="82" t="n">
        <f aca="false">IF(C2258="","",IFERROR(MATCH(Q2258,'CARNET DE SOUDURE'!$AW$7:$AW$3006,0),""))</f>
        <v>2252</v>
      </c>
      <c r="Q2258" s="82" t="str">
        <f aca="false">IF(C2258="","",B2258&amp;"|"&amp;C2258)</f>
        <v>MFD-ISW → MFD-CPF|JN°1774</v>
      </c>
    </row>
    <row r="2259" customFormat="false" ht="74.6" hidden="false" customHeight="false" outlineLevel="0" collapsed="false">
      <c r="A2259" s="82" t="n">
        <f aca="false">IF(C2259="","",ROW()-6)</f>
        <v>2253</v>
      </c>
      <c r="B2259" s="80" t="s">
        <v>110</v>
      </c>
      <c r="C2259" s="113" t="s">
        <v>2739</v>
      </c>
      <c r="D2259" s="82" t="str">
        <f aca="false">IF(OR(C2259="",P2259=""),"",INDEX('CARNET DE SOUDURE'!$D$7:$D$3006,P2259)&amp;"")</f>
        <v>22</v>
      </c>
      <c r="E2259" s="114" t="n">
        <f aca="false">IF(OR(C2259="",P2259=""),"",IF(INDEX('CARNET DE SOUDURE'!$U$7:$U$3006,P2259)="","",INDEX('CARNET DE SOUDURE'!$U$7:$U$3006,P2259)))</f>
        <v>46261</v>
      </c>
      <c r="F2259" s="82" t="str">
        <f aca="false">IF(OR(C2259="",P2259=""),"",INDEX('CARNET DE SOUDURE'!$AP$7:$AP$3006,P2259))</f>
        <v>A</v>
      </c>
      <c r="G2259" s="82" t="str">
        <f aca="false">IF(C2259="","",IF(P2259="","NJ INCONNU",INDEX('CARNET DE SOUDURE'!$AQ$7:$AQ$3006,P2259)))</f>
        <v>ACCEPTÉ</v>
      </c>
      <c r="H2259" s="82" t="str">
        <f aca="false">IF(C2259="","",IF(G2259="ACCEPTÉ","OUI","NON"))</f>
        <v>OUI</v>
      </c>
      <c r="I2259" s="83"/>
      <c r="J2259" s="80"/>
      <c r="K2259" s="81"/>
      <c r="L2259" s="81"/>
      <c r="M2259" s="81"/>
      <c r="N2259" s="84" t="str">
        <f aca="false">IF(C2259="","",IF(P2259="","NJ INCONNU",IF(I2259="",IF(H2259="OUI","À ENROBER",IF(G2259="À SOUDER","NON SOUDÉ","EN ATTENTE RT")),IF(L2259="R","À REPRENDRE",IF(H2259&lt;&gt;"OUI","⚠ ENROBÉ AVANT ACCEPTATION RT","ENROBÉ")))))</f>
        <v>À ENROBER</v>
      </c>
      <c r="O2259" s="80"/>
      <c r="P2259" s="82" t="n">
        <f aca="false">IF(C2259="","",IFERROR(MATCH(Q2259,'CARNET DE SOUDURE'!$AW$7:$AW$3006,0),""))</f>
        <v>2253</v>
      </c>
      <c r="Q2259" s="82" t="str">
        <f aca="false">IF(C2259="","",B2259&amp;"|"&amp;C2259)</f>
        <v>MFD-ISW → MFD-CPF|JN°1775</v>
      </c>
    </row>
    <row r="2260" customFormat="false" ht="74.6" hidden="false" customHeight="false" outlineLevel="0" collapsed="false">
      <c r="A2260" s="82" t="n">
        <f aca="false">IF(C2260="","",ROW()-6)</f>
        <v>2254</v>
      </c>
      <c r="B2260" s="80" t="s">
        <v>110</v>
      </c>
      <c r="C2260" s="113" t="s">
        <v>2740</v>
      </c>
      <c r="D2260" s="82" t="str">
        <f aca="false">IF(OR(C2260="",P2260=""),"",INDEX('CARNET DE SOUDURE'!$D$7:$D$3006,P2260)&amp;"")</f>
        <v>22</v>
      </c>
      <c r="E2260" s="114" t="n">
        <f aca="false">IF(OR(C2260="",P2260=""),"",IF(INDEX('CARNET DE SOUDURE'!$U$7:$U$3006,P2260)="","",INDEX('CARNET DE SOUDURE'!$U$7:$U$3006,P2260)))</f>
        <v>46261</v>
      </c>
      <c r="F2260" s="82" t="str">
        <f aca="false">IF(OR(C2260="",P2260=""),"",INDEX('CARNET DE SOUDURE'!$AP$7:$AP$3006,P2260))</f>
        <v>A</v>
      </c>
      <c r="G2260" s="82" t="str">
        <f aca="false">IF(C2260="","",IF(P2260="","NJ INCONNU",INDEX('CARNET DE SOUDURE'!$AQ$7:$AQ$3006,P2260)))</f>
        <v>ACCEPTÉ</v>
      </c>
      <c r="H2260" s="82" t="str">
        <f aca="false">IF(C2260="","",IF(G2260="ACCEPTÉ","OUI","NON"))</f>
        <v>OUI</v>
      </c>
      <c r="I2260" s="83"/>
      <c r="J2260" s="80"/>
      <c r="K2260" s="81"/>
      <c r="L2260" s="81"/>
      <c r="M2260" s="81"/>
      <c r="N2260" s="84" t="str">
        <f aca="false">IF(C2260="","",IF(P2260="","NJ INCONNU",IF(I2260="",IF(H2260="OUI","À ENROBER",IF(G2260="À SOUDER","NON SOUDÉ","EN ATTENTE RT")),IF(L2260="R","À REPRENDRE",IF(H2260&lt;&gt;"OUI","⚠ ENROBÉ AVANT ACCEPTATION RT","ENROBÉ")))))</f>
        <v>À ENROBER</v>
      </c>
      <c r="O2260" s="80"/>
      <c r="P2260" s="82" t="n">
        <f aca="false">IF(C2260="","",IFERROR(MATCH(Q2260,'CARNET DE SOUDURE'!$AW$7:$AW$3006,0),""))</f>
        <v>2254</v>
      </c>
      <c r="Q2260" s="82" t="str">
        <f aca="false">IF(C2260="","",B2260&amp;"|"&amp;C2260)</f>
        <v>MFD-ISW → MFD-CPF|JN°1776</v>
      </c>
    </row>
    <row r="2261" customFormat="false" ht="74.6" hidden="false" customHeight="false" outlineLevel="0" collapsed="false">
      <c r="A2261" s="82" t="n">
        <f aca="false">IF(C2261="","",ROW()-6)</f>
        <v>2255</v>
      </c>
      <c r="B2261" s="80" t="s">
        <v>110</v>
      </c>
      <c r="C2261" s="113" t="s">
        <v>2741</v>
      </c>
      <c r="D2261" s="82" t="str">
        <f aca="false">IF(OR(C2261="",P2261=""),"",INDEX('CARNET DE SOUDURE'!$D$7:$D$3006,P2261)&amp;"")</f>
        <v>22</v>
      </c>
      <c r="E2261" s="114" t="n">
        <f aca="false">IF(OR(C2261="",P2261=""),"",IF(INDEX('CARNET DE SOUDURE'!$U$7:$U$3006,P2261)="","",INDEX('CARNET DE SOUDURE'!$U$7:$U$3006,P2261)))</f>
        <v>46260</v>
      </c>
      <c r="F2261" s="82" t="str">
        <f aca="false">IF(OR(C2261="",P2261=""),"",INDEX('CARNET DE SOUDURE'!$AP$7:$AP$3006,P2261))</f>
        <v>A</v>
      </c>
      <c r="G2261" s="82" t="str">
        <f aca="false">IF(C2261="","",IF(P2261="","NJ INCONNU",INDEX('CARNET DE SOUDURE'!$AQ$7:$AQ$3006,P2261)))</f>
        <v>ACCEPTÉ</v>
      </c>
      <c r="H2261" s="82" t="str">
        <f aca="false">IF(C2261="","",IF(G2261="ACCEPTÉ","OUI","NON"))</f>
        <v>OUI</v>
      </c>
      <c r="I2261" s="83"/>
      <c r="J2261" s="80"/>
      <c r="K2261" s="81"/>
      <c r="L2261" s="81"/>
      <c r="M2261" s="81"/>
      <c r="N2261" s="84" t="str">
        <f aca="false">IF(C2261="","",IF(P2261="","NJ INCONNU",IF(I2261="",IF(H2261="OUI","À ENROBER",IF(G2261="À SOUDER","NON SOUDÉ","EN ATTENTE RT")),IF(L2261="R","À REPRENDRE",IF(H2261&lt;&gt;"OUI","⚠ ENROBÉ AVANT ACCEPTATION RT","ENROBÉ")))))</f>
        <v>À ENROBER</v>
      </c>
      <c r="O2261" s="80"/>
      <c r="P2261" s="82" t="n">
        <f aca="false">IF(C2261="","",IFERROR(MATCH(Q2261,'CARNET DE SOUDURE'!$AW$7:$AW$3006,0),""))</f>
        <v>2255</v>
      </c>
      <c r="Q2261" s="82" t="str">
        <f aca="false">IF(C2261="","",B2261&amp;"|"&amp;C2261)</f>
        <v>MFD-ISW → MFD-CPF|JN°1777</v>
      </c>
    </row>
    <row r="2262" customFormat="false" ht="74.6" hidden="false" customHeight="false" outlineLevel="0" collapsed="false">
      <c r="A2262" s="82" t="n">
        <f aca="false">IF(C2262="","",ROW()-6)</f>
        <v>2256</v>
      </c>
      <c r="B2262" s="80" t="s">
        <v>110</v>
      </c>
      <c r="C2262" s="113" t="s">
        <v>2744</v>
      </c>
      <c r="D2262" s="82" t="str">
        <f aca="false">IF(OR(C2262="",P2262=""),"",INDEX('CARNET DE SOUDURE'!$D$7:$D$3006,P2262)&amp;"")</f>
        <v>22</v>
      </c>
      <c r="E2262" s="114" t="n">
        <f aca="false">IF(OR(C2262="",P2262=""),"",IF(INDEX('CARNET DE SOUDURE'!$U$7:$U$3006,P2262)="","",INDEX('CARNET DE SOUDURE'!$U$7:$U$3006,P2262)))</f>
        <v>46260</v>
      </c>
      <c r="F2262" s="82" t="str">
        <f aca="false">IF(OR(C2262="",P2262=""),"",INDEX('CARNET DE SOUDURE'!$AP$7:$AP$3006,P2262))</f>
        <v>A</v>
      </c>
      <c r="G2262" s="82" t="str">
        <f aca="false">IF(C2262="","",IF(P2262="","NJ INCONNU",INDEX('CARNET DE SOUDURE'!$AQ$7:$AQ$3006,P2262)))</f>
        <v>ACCEPTÉ</v>
      </c>
      <c r="H2262" s="82" t="str">
        <f aca="false">IF(C2262="","",IF(G2262="ACCEPTÉ","OUI","NON"))</f>
        <v>OUI</v>
      </c>
      <c r="I2262" s="83"/>
      <c r="J2262" s="80"/>
      <c r="K2262" s="81"/>
      <c r="L2262" s="81"/>
      <c r="M2262" s="81"/>
      <c r="N2262" s="84" t="str">
        <f aca="false">IF(C2262="","",IF(P2262="","NJ INCONNU",IF(I2262="",IF(H2262="OUI","À ENROBER",IF(G2262="À SOUDER","NON SOUDÉ","EN ATTENTE RT")),IF(L2262="R","À REPRENDRE",IF(H2262&lt;&gt;"OUI","⚠ ENROBÉ AVANT ACCEPTATION RT","ENROBÉ")))))</f>
        <v>À ENROBER</v>
      </c>
      <c r="O2262" s="80"/>
      <c r="P2262" s="82" t="n">
        <f aca="false">IF(C2262="","",IFERROR(MATCH(Q2262,'CARNET DE SOUDURE'!$AW$7:$AW$3006,0),""))</f>
        <v>2256</v>
      </c>
      <c r="Q2262" s="82" t="str">
        <f aca="false">IF(C2262="","",B2262&amp;"|"&amp;C2262)</f>
        <v>MFD-ISW → MFD-CPF|JN°1778</v>
      </c>
    </row>
    <row r="2263" customFormat="false" ht="74.6" hidden="false" customHeight="false" outlineLevel="0" collapsed="false">
      <c r="A2263" s="82" t="n">
        <f aca="false">IF(C2263="","",ROW()-6)</f>
        <v>2257</v>
      </c>
      <c r="B2263" s="80" t="s">
        <v>110</v>
      </c>
      <c r="C2263" s="113" t="s">
        <v>2746</v>
      </c>
      <c r="D2263" s="82" t="str">
        <f aca="false">IF(OR(C2263="",P2263=""),"",INDEX('CARNET DE SOUDURE'!$D$7:$D$3006,P2263)&amp;"")</f>
        <v>22</v>
      </c>
      <c r="E2263" s="114" t="n">
        <f aca="false">IF(OR(C2263="",P2263=""),"",IF(INDEX('CARNET DE SOUDURE'!$U$7:$U$3006,P2263)="","",INDEX('CARNET DE SOUDURE'!$U$7:$U$3006,P2263)))</f>
        <v>46260</v>
      </c>
      <c r="F2263" s="82" t="str">
        <f aca="false">IF(OR(C2263="",P2263=""),"",INDEX('CARNET DE SOUDURE'!$AP$7:$AP$3006,P2263))</f>
        <v>A</v>
      </c>
      <c r="G2263" s="82" t="str">
        <f aca="false">IF(C2263="","",IF(P2263="","NJ INCONNU",INDEX('CARNET DE SOUDURE'!$AQ$7:$AQ$3006,P2263)))</f>
        <v>ACCEPTÉ</v>
      </c>
      <c r="H2263" s="82" t="str">
        <f aca="false">IF(C2263="","",IF(G2263="ACCEPTÉ","OUI","NON"))</f>
        <v>OUI</v>
      </c>
      <c r="I2263" s="83"/>
      <c r="J2263" s="80"/>
      <c r="K2263" s="81"/>
      <c r="L2263" s="81"/>
      <c r="M2263" s="81"/>
      <c r="N2263" s="84" t="str">
        <f aca="false">IF(C2263="","",IF(P2263="","NJ INCONNU",IF(I2263="",IF(H2263="OUI","À ENROBER",IF(G2263="À SOUDER","NON SOUDÉ","EN ATTENTE RT")),IF(L2263="R","À REPRENDRE",IF(H2263&lt;&gt;"OUI","⚠ ENROBÉ AVANT ACCEPTATION RT","ENROBÉ")))))</f>
        <v>À ENROBER</v>
      </c>
      <c r="O2263" s="80"/>
      <c r="P2263" s="82" t="n">
        <f aca="false">IF(C2263="","",IFERROR(MATCH(Q2263,'CARNET DE SOUDURE'!$AW$7:$AW$3006,0),""))</f>
        <v>2257</v>
      </c>
      <c r="Q2263" s="82" t="str">
        <f aca="false">IF(C2263="","",B2263&amp;"|"&amp;C2263)</f>
        <v>MFD-ISW → MFD-CPF|JN°1779</v>
      </c>
    </row>
    <row r="2264" customFormat="false" ht="74.6" hidden="false" customHeight="false" outlineLevel="0" collapsed="false">
      <c r="A2264" s="82" t="n">
        <f aca="false">IF(C2264="","",ROW()-6)</f>
        <v>2258</v>
      </c>
      <c r="B2264" s="80" t="s">
        <v>110</v>
      </c>
      <c r="C2264" s="113" t="s">
        <v>2747</v>
      </c>
      <c r="D2264" s="82" t="str">
        <f aca="false">IF(OR(C2264="",P2264=""),"",INDEX('CARNET DE SOUDURE'!$D$7:$D$3006,P2264)&amp;"")</f>
        <v>22</v>
      </c>
      <c r="E2264" s="114" t="n">
        <f aca="false">IF(OR(C2264="",P2264=""),"",IF(INDEX('CARNET DE SOUDURE'!$U$7:$U$3006,P2264)="","",INDEX('CARNET DE SOUDURE'!$U$7:$U$3006,P2264)))</f>
        <v>46260</v>
      </c>
      <c r="F2264" s="82" t="str">
        <f aca="false">IF(OR(C2264="",P2264=""),"",INDEX('CARNET DE SOUDURE'!$AP$7:$AP$3006,P2264))</f>
        <v>A</v>
      </c>
      <c r="G2264" s="82" t="str">
        <f aca="false">IF(C2264="","",IF(P2264="","NJ INCONNU",INDEX('CARNET DE SOUDURE'!$AQ$7:$AQ$3006,P2264)))</f>
        <v>ACCEPTÉ</v>
      </c>
      <c r="H2264" s="82" t="str">
        <f aca="false">IF(C2264="","",IF(G2264="ACCEPTÉ","OUI","NON"))</f>
        <v>OUI</v>
      </c>
      <c r="I2264" s="83"/>
      <c r="J2264" s="80"/>
      <c r="K2264" s="81"/>
      <c r="L2264" s="81"/>
      <c r="M2264" s="81"/>
      <c r="N2264" s="84" t="str">
        <f aca="false">IF(C2264="","",IF(P2264="","NJ INCONNU",IF(I2264="",IF(H2264="OUI","À ENROBER",IF(G2264="À SOUDER","NON SOUDÉ","EN ATTENTE RT")),IF(L2264="R","À REPRENDRE",IF(H2264&lt;&gt;"OUI","⚠ ENROBÉ AVANT ACCEPTATION RT","ENROBÉ")))))</f>
        <v>À ENROBER</v>
      </c>
      <c r="O2264" s="80"/>
      <c r="P2264" s="82" t="n">
        <f aca="false">IF(C2264="","",IFERROR(MATCH(Q2264,'CARNET DE SOUDURE'!$AW$7:$AW$3006,0),""))</f>
        <v>2258</v>
      </c>
      <c r="Q2264" s="82" t="str">
        <f aca="false">IF(C2264="","",B2264&amp;"|"&amp;C2264)</f>
        <v>MFD-ISW → MFD-CPF|JN°1780</v>
      </c>
    </row>
    <row r="2265" customFormat="false" ht="74.6" hidden="false" customHeight="false" outlineLevel="0" collapsed="false">
      <c r="A2265" s="82" t="n">
        <f aca="false">IF(C2265="","",ROW()-6)</f>
        <v>2259</v>
      </c>
      <c r="B2265" s="80" t="s">
        <v>110</v>
      </c>
      <c r="C2265" s="113" t="s">
        <v>2750</v>
      </c>
      <c r="D2265" s="82" t="str">
        <f aca="false">IF(OR(C2265="",P2265=""),"",INDEX('CARNET DE SOUDURE'!$D$7:$D$3006,P2265)&amp;"")</f>
        <v>22</v>
      </c>
      <c r="E2265" s="114" t="str">
        <f aca="false">IF(OR(C2265="",P2265=""),"",IF(INDEX('CARNET DE SOUDURE'!$U$7:$U$3006,P2265)="","",INDEX('CARNET DE SOUDURE'!$U$7:$U$3006,P2265)))</f>
        <v/>
      </c>
      <c r="F2265" s="82" t="str">
        <f aca="false">IF(OR(C2265="",P2265=""),"",INDEX('CARNET DE SOUDURE'!$AP$7:$AP$3006,P2265))</f>
        <v/>
      </c>
      <c r="G2265" s="82" t="str">
        <f aca="false">IF(C2265="","",IF(P2265="","NJ INCONNU",INDEX('CARNET DE SOUDURE'!$AQ$7:$AQ$3006,P2265)))</f>
        <v>À SOUDER</v>
      </c>
      <c r="H2265" s="82" t="str">
        <f aca="false">IF(C2265="","",IF(G2265="ACCEPTÉ","OUI","NON"))</f>
        <v>NON</v>
      </c>
      <c r="I2265" s="83"/>
      <c r="J2265" s="80"/>
      <c r="K2265" s="81"/>
      <c r="L2265" s="81"/>
      <c r="M2265" s="81"/>
      <c r="N2265" s="84" t="str">
        <f aca="false">IF(C2265="","",IF(P2265="","NJ INCONNU",IF(I2265="",IF(H2265="OUI","À ENROBER",IF(G2265="À SOUDER","NON SOUDÉ","EN ATTENTE RT")),IF(L2265="R","À REPRENDRE",IF(H2265&lt;&gt;"OUI","⚠ ENROBÉ AVANT ACCEPTATION RT","ENROBÉ")))))</f>
        <v>NON SOUDÉ</v>
      </c>
      <c r="O2265" s="80"/>
      <c r="P2265" s="82" t="n">
        <f aca="false">IF(C2265="","",IFERROR(MATCH(Q2265,'CARNET DE SOUDURE'!$AW$7:$AW$3006,0),""))</f>
        <v>2259</v>
      </c>
      <c r="Q2265" s="82" t="str">
        <f aca="false">IF(C2265="","",B2265&amp;"|"&amp;C2265)</f>
        <v>MFD-ISW → MFD-CPF|JN°1781</v>
      </c>
    </row>
    <row r="2266" customFormat="false" ht="74.6" hidden="false" customHeight="false" outlineLevel="0" collapsed="false">
      <c r="A2266" s="82" t="n">
        <f aca="false">IF(C2266="","",ROW()-6)</f>
        <v>2260</v>
      </c>
      <c r="B2266" s="80" t="s">
        <v>110</v>
      </c>
      <c r="C2266" s="113" t="s">
        <v>2751</v>
      </c>
      <c r="D2266" s="82" t="str">
        <f aca="false">IF(OR(C2266="",P2266=""),"",INDEX('CARNET DE SOUDURE'!$D$7:$D$3006,P2266)&amp;"")</f>
        <v>22</v>
      </c>
      <c r="E2266" s="114" t="str">
        <f aca="false">IF(OR(C2266="",P2266=""),"",IF(INDEX('CARNET DE SOUDURE'!$U$7:$U$3006,P2266)="","",INDEX('CARNET DE SOUDURE'!$U$7:$U$3006,P2266)))</f>
        <v/>
      </c>
      <c r="F2266" s="82" t="str">
        <f aca="false">IF(OR(C2266="",P2266=""),"",INDEX('CARNET DE SOUDURE'!$AP$7:$AP$3006,P2266))</f>
        <v/>
      </c>
      <c r="G2266" s="82" t="str">
        <f aca="false">IF(C2266="","",IF(P2266="","NJ INCONNU",INDEX('CARNET DE SOUDURE'!$AQ$7:$AQ$3006,P2266)))</f>
        <v>À SOUDER</v>
      </c>
      <c r="H2266" s="82" t="str">
        <f aca="false">IF(C2266="","",IF(G2266="ACCEPTÉ","OUI","NON"))</f>
        <v>NON</v>
      </c>
      <c r="I2266" s="83"/>
      <c r="J2266" s="80"/>
      <c r="K2266" s="81"/>
      <c r="L2266" s="81"/>
      <c r="M2266" s="81"/>
      <c r="N2266" s="84" t="str">
        <f aca="false">IF(C2266="","",IF(P2266="","NJ INCONNU",IF(I2266="",IF(H2266="OUI","À ENROBER",IF(G2266="À SOUDER","NON SOUDÉ","EN ATTENTE RT")),IF(L2266="R","À REPRENDRE",IF(H2266&lt;&gt;"OUI","⚠ ENROBÉ AVANT ACCEPTATION RT","ENROBÉ")))))</f>
        <v>NON SOUDÉ</v>
      </c>
      <c r="O2266" s="80"/>
      <c r="P2266" s="82" t="n">
        <f aca="false">IF(C2266="","",IFERROR(MATCH(Q2266,'CARNET DE SOUDURE'!$AW$7:$AW$3006,0),""))</f>
        <v>2260</v>
      </c>
      <c r="Q2266" s="82" t="str">
        <f aca="false">IF(C2266="","",B2266&amp;"|"&amp;C2266)</f>
        <v>MFD-ISW → MFD-CPF|JN°1782</v>
      </c>
    </row>
    <row r="2267" customFormat="false" ht="74.6" hidden="false" customHeight="false" outlineLevel="0" collapsed="false">
      <c r="A2267" s="82" t="n">
        <f aca="false">IF(C2267="","",ROW()-6)</f>
        <v>2261</v>
      </c>
      <c r="B2267" s="80" t="s">
        <v>110</v>
      </c>
      <c r="C2267" s="113" t="s">
        <v>2752</v>
      </c>
      <c r="D2267" s="82" t="str">
        <f aca="false">IF(OR(C2267="",P2267=""),"",INDEX('CARNET DE SOUDURE'!$D$7:$D$3006,P2267)&amp;"")</f>
        <v>22</v>
      </c>
      <c r="E2267" s="114" t="str">
        <f aca="false">IF(OR(C2267="",P2267=""),"",IF(INDEX('CARNET DE SOUDURE'!$U$7:$U$3006,P2267)="","",INDEX('CARNET DE SOUDURE'!$U$7:$U$3006,P2267)))</f>
        <v/>
      </c>
      <c r="F2267" s="82" t="str">
        <f aca="false">IF(OR(C2267="",P2267=""),"",INDEX('CARNET DE SOUDURE'!$AP$7:$AP$3006,P2267))</f>
        <v/>
      </c>
      <c r="G2267" s="82" t="str">
        <f aca="false">IF(C2267="","",IF(P2267="","NJ INCONNU",INDEX('CARNET DE SOUDURE'!$AQ$7:$AQ$3006,P2267)))</f>
        <v>À SOUDER</v>
      </c>
      <c r="H2267" s="82" t="str">
        <f aca="false">IF(C2267="","",IF(G2267="ACCEPTÉ","OUI","NON"))</f>
        <v>NON</v>
      </c>
      <c r="I2267" s="83"/>
      <c r="J2267" s="80"/>
      <c r="K2267" s="81"/>
      <c r="L2267" s="81"/>
      <c r="M2267" s="81"/>
      <c r="N2267" s="84" t="str">
        <f aca="false">IF(C2267="","",IF(P2267="","NJ INCONNU",IF(I2267="",IF(H2267="OUI","À ENROBER",IF(G2267="À SOUDER","NON SOUDÉ","EN ATTENTE RT")),IF(L2267="R","À REPRENDRE",IF(H2267&lt;&gt;"OUI","⚠ ENROBÉ AVANT ACCEPTATION RT","ENROBÉ")))))</f>
        <v>NON SOUDÉ</v>
      </c>
      <c r="O2267" s="80"/>
      <c r="P2267" s="82" t="n">
        <f aca="false">IF(C2267="","",IFERROR(MATCH(Q2267,'CARNET DE SOUDURE'!$AW$7:$AW$3006,0),""))</f>
        <v>2261</v>
      </c>
      <c r="Q2267" s="82" t="str">
        <f aca="false">IF(C2267="","",B2267&amp;"|"&amp;C2267)</f>
        <v>MFD-ISW → MFD-CPF|JN°1783</v>
      </c>
    </row>
    <row r="2268" customFormat="false" ht="74.6" hidden="false" customHeight="false" outlineLevel="0" collapsed="false">
      <c r="A2268" s="82" t="n">
        <f aca="false">IF(C2268="","",ROW()-6)</f>
        <v>2262</v>
      </c>
      <c r="B2268" s="80" t="s">
        <v>110</v>
      </c>
      <c r="C2268" s="113" t="s">
        <v>2754</v>
      </c>
      <c r="D2268" s="82" t="str">
        <f aca="false">IF(OR(C2268="",P2268=""),"",INDEX('CARNET DE SOUDURE'!$D$7:$D$3006,P2268)&amp;"")</f>
        <v>22</v>
      </c>
      <c r="E2268" s="114" t="n">
        <f aca="false">IF(OR(C2268="",P2268=""),"",IF(INDEX('CARNET DE SOUDURE'!$U$7:$U$3006,P2268)="","",INDEX('CARNET DE SOUDURE'!$U$7:$U$3006,P2268)))</f>
        <v>46260</v>
      </c>
      <c r="F2268" s="82" t="str">
        <f aca="false">IF(OR(C2268="",P2268=""),"",INDEX('CARNET DE SOUDURE'!$AP$7:$AP$3006,P2268))</f>
        <v>A</v>
      </c>
      <c r="G2268" s="82" t="str">
        <f aca="false">IF(C2268="","",IF(P2268="","NJ INCONNU",INDEX('CARNET DE SOUDURE'!$AQ$7:$AQ$3006,P2268)))</f>
        <v>ACCEPTÉ</v>
      </c>
      <c r="H2268" s="82" t="str">
        <f aca="false">IF(C2268="","",IF(G2268="ACCEPTÉ","OUI","NON"))</f>
        <v>OUI</v>
      </c>
      <c r="I2268" s="83"/>
      <c r="J2268" s="80"/>
      <c r="K2268" s="81"/>
      <c r="L2268" s="81"/>
      <c r="M2268" s="81"/>
      <c r="N2268" s="84" t="str">
        <f aca="false">IF(C2268="","",IF(P2268="","NJ INCONNU",IF(I2268="",IF(H2268="OUI","À ENROBER",IF(G2268="À SOUDER","NON SOUDÉ","EN ATTENTE RT")),IF(L2268="R","À REPRENDRE",IF(H2268&lt;&gt;"OUI","⚠ ENROBÉ AVANT ACCEPTATION RT","ENROBÉ")))))</f>
        <v>À ENROBER</v>
      </c>
      <c r="O2268" s="80"/>
      <c r="P2268" s="82" t="n">
        <f aca="false">IF(C2268="","",IFERROR(MATCH(Q2268,'CARNET DE SOUDURE'!$AW$7:$AW$3006,0),""))</f>
        <v>2262</v>
      </c>
      <c r="Q2268" s="82" t="str">
        <f aca="false">IF(C2268="","",B2268&amp;"|"&amp;C2268)</f>
        <v>MFD-ISW → MFD-CPF|JN°1784</v>
      </c>
    </row>
    <row r="2269" customFormat="false" ht="74.6" hidden="false" customHeight="false" outlineLevel="0" collapsed="false">
      <c r="A2269" s="82" t="n">
        <f aca="false">IF(C2269="","",ROW()-6)</f>
        <v>2263</v>
      </c>
      <c r="B2269" s="80" t="s">
        <v>110</v>
      </c>
      <c r="C2269" s="113" t="s">
        <v>2755</v>
      </c>
      <c r="D2269" s="82" t="str">
        <f aca="false">IF(OR(C2269="",P2269=""),"",INDEX('CARNET DE SOUDURE'!$D$7:$D$3006,P2269)&amp;"")</f>
        <v>22</v>
      </c>
      <c r="E2269" s="114" t="n">
        <f aca="false">IF(OR(C2269="",P2269=""),"",IF(INDEX('CARNET DE SOUDURE'!$U$7:$U$3006,P2269)="","",INDEX('CARNET DE SOUDURE'!$U$7:$U$3006,P2269)))</f>
        <v>46260</v>
      </c>
      <c r="F2269" s="82" t="str">
        <f aca="false">IF(OR(C2269="",P2269=""),"",INDEX('CARNET DE SOUDURE'!$AP$7:$AP$3006,P2269))</f>
        <v>A</v>
      </c>
      <c r="G2269" s="82" t="str">
        <f aca="false">IF(C2269="","",IF(P2269="","NJ INCONNU",INDEX('CARNET DE SOUDURE'!$AQ$7:$AQ$3006,P2269)))</f>
        <v>ACCEPTÉ</v>
      </c>
      <c r="H2269" s="82" t="str">
        <f aca="false">IF(C2269="","",IF(G2269="ACCEPTÉ","OUI","NON"))</f>
        <v>OUI</v>
      </c>
      <c r="I2269" s="83"/>
      <c r="J2269" s="80"/>
      <c r="K2269" s="81"/>
      <c r="L2269" s="81"/>
      <c r="M2269" s="81"/>
      <c r="N2269" s="84" t="str">
        <f aca="false">IF(C2269="","",IF(P2269="","NJ INCONNU",IF(I2269="",IF(H2269="OUI","À ENROBER",IF(G2269="À SOUDER","NON SOUDÉ","EN ATTENTE RT")),IF(L2269="R","À REPRENDRE",IF(H2269&lt;&gt;"OUI","⚠ ENROBÉ AVANT ACCEPTATION RT","ENROBÉ")))))</f>
        <v>À ENROBER</v>
      </c>
      <c r="O2269" s="80"/>
      <c r="P2269" s="82" t="n">
        <f aca="false">IF(C2269="","",IFERROR(MATCH(Q2269,'CARNET DE SOUDURE'!$AW$7:$AW$3006,0),""))</f>
        <v>2263</v>
      </c>
      <c r="Q2269" s="82" t="str">
        <f aca="false">IF(C2269="","",B2269&amp;"|"&amp;C2269)</f>
        <v>MFD-ISW → MFD-CPF|JN°1785</v>
      </c>
    </row>
    <row r="2270" customFormat="false" ht="74.6" hidden="false" customHeight="false" outlineLevel="0" collapsed="false">
      <c r="A2270" s="82" t="n">
        <f aca="false">IF(C2270="","",ROW()-6)</f>
        <v>2264</v>
      </c>
      <c r="B2270" s="80" t="s">
        <v>110</v>
      </c>
      <c r="C2270" s="113" t="s">
        <v>2756</v>
      </c>
      <c r="D2270" s="82" t="str">
        <f aca="false">IF(OR(C2270="",P2270=""),"",INDEX('CARNET DE SOUDURE'!$D$7:$D$3006,P2270)&amp;"")</f>
        <v>22</v>
      </c>
      <c r="E2270" s="114" t="n">
        <f aca="false">IF(OR(C2270="",P2270=""),"",IF(INDEX('CARNET DE SOUDURE'!$U$7:$U$3006,P2270)="","",INDEX('CARNET DE SOUDURE'!$U$7:$U$3006,P2270)))</f>
        <v>46260</v>
      </c>
      <c r="F2270" s="82" t="str">
        <f aca="false">IF(OR(C2270="",P2270=""),"",INDEX('CARNET DE SOUDURE'!$AP$7:$AP$3006,P2270))</f>
        <v>A</v>
      </c>
      <c r="G2270" s="82" t="str">
        <f aca="false">IF(C2270="","",IF(P2270="","NJ INCONNU",INDEX('CARNET DE SOUDURE'!$AQ$7:$AQ$3006,P2270)))</f>
        <v>ACCEPTÉ</v>
      </c>
      <c r="H2270" s="82" t="str">
        <f aca="false">IF(C2270="","",IF(G2270="ACCEPTÉ","OUI","NON"))</f>
        <v>OUI</v>
      </c>
      <c r="I2270" s="83"/>
      <c r="J2270" s="80"/>
      <c r="K2270" s="81"/>
      <c r="L2270" s="81"/>
      <c r="M2270" s="81"/>
      <c r="N2270" s="84" t="str">
        <f aca="false">IF(C2270="","",IF(P2270="","NJ INCONNU",IF(I2270="",IF(H2270="OUI","À ENROBER",IF(G2270="À SOUDER","NON SOUDÉ","EN ATTENTE RT")),IF(L2270="R","À REPRENDRE",IF(H2270&lt;&gt;"OUI","⚠ ENROBÉ AVANT ACCEPTATION RT","ENROBÉ")))))</f>
        <v>À ENROBER</v>
      </c>
      <c r="O2270" s="80"/>
      <c r="P2270" s="82" t="n">
        <f aca="false">IF(C2270="","",IFERROR(MATCH(Q2270,'CARNET DE SOUDURE'!$AW$7:$AW$3006,0),""))</f>
        <v>2264</v>
      </c>
      <c r="Q2270" s="82" t="str">
        <f aca="false">IF(C2270="","",B2270&amp;"|"&amp;C2270)</f>
        <v>MFD-ISW → MFD-CPF|JN°1786</v>
      </c>
    </row>
    <row r="2271" customFormat="false" ht="74.6" hidden="false" customHeight="false" outlineLevel="0" collapsed="false">
      <c r="A2271" s="82" t="n">
        <f aca="false">IF(C2271="","",ROW()-6)</f>
        <v>2265</v>
      </c>
      <c r="B2271" s="80" t="s">
        <v>110</v>
      </c>
      <c r="C2271" s="113" t="s">
        <v>2757</v>
      </c>
      <c r="D2271" s="82" t="str">
        <f aca="false">IF(OR(C2271="",P2271=""),"",INDEX('CARNET DE SOUDURE'!$D$7:$D$3006,P2271)&amp;"")</f>
        <v>22</v>
      </c>
      <c r="E2271" s="114" t="n">
        <f aca="false">IF(OR(C2271="",P2271=""),"",IF(INDEX('CARNET DE SOUDURE'!$U$7:$U$3006,P2271)="","",INDEX('CARNET DE SOUDURE'!$U$7:$U$3006,P2271)))</f>
        <v>46260</v>
      </c>
      <c r="F2271" s="82" t="str">
        <f aca="false">IF(OR(C2271="",P2271=""),"",INDEX('CARNET DE SOUDURE'!$AP$7:$AP$3006,P2271))</f>
        <v>A</v>
      </c>
      <c r="G2271" s="82" t="str">
        <f aca="false">IF(C2271="","",IF(P2271="","NJ INCONNU",INDEX('CARNET DE SOUDURE'!$AQ$7:$AQ$3006,P2271)))</f>
        <v>ACCEPTÉ</v>
      </c>
      <c r="H2271" s="82" t="str">
        <f aca="false">IF(C2271="","",IF(G2271="ACCEPTÉ","OUI","NON"))</f>
        <v>OUI</v>
      </c>
      <c r="I2271" s="83"/>
      <c r="J2271" s="80"/>
      <c r="K2271" s="81"/>
      <c r="L2271" s="81"/>
      <c r="M2271" s="81"/>
      <c r="N2271" s="84" t="str">
        <f aca="false">IF(C2271="","",IF(P2271="","NJ INCONNU",IF(I2271="",IF(H2271="OUI","À ENROBER",IF(G2271="À SOUDER","NON SOUDÉ","EN ATTENTE RT")),IF(L2271="R","À REPRENDRE",IF(H2271&lt;&gt;"OUI","⚠ ENROBÉ AVANT ACCEPTATION RT","ENROBÉ")))))</f>
        <v>À ENROBER</v>
      </c>
      <c r="O2271" s="80"/>
      <c r="P2271" s="82" t="n">
        <f aca="false">IF(C2271="","",IFERROR(MATCH(Q2271,'CARNET DE SOUDURE'!$AW$7:$AW$3006,0),""))</f>
        <v>2265</v>
      </c>
      <c r="Q2271" s="82" t="str">
        <f aca="false">IF(C2271="","",B2271&amp;"|"&amp;C2271)</f>
        <v>MFD-ISW → MFD-CPF|JN°1787</v>
      </c>
    </row>
    <row r="2272" customFormat="false" ht="74.6" hidden="false" customHeight="false" outlineLevel="0" collapsed="false">
      <c r="A2272" s="82" t="n">
        <f aca="false">IF(C2272="","",ROW()-6)</f>
        <v>2266</v>
      </c>
      <c r="B2272" s="80" t="s">
        <v>110</v>
      </c>
      <c r="C2272" s="113" t="s">
        <v>2758</v>
      </c>
      <c r="D2272" s="82" t="str">
        <f aca="false">IF(OR(C2272="",P2272=""),"",INDEX('CARNET DE SOUDURE'!$D$7:$D$3006,P2272)&amp;"")</f>
        <v>22</v>
      </c>
      <c r="E2272" s="114" t="n">
        <f aca="false">IF(OR(C2272="",P2272=""),"",IF(INDEX('CARNET DE SOUDURE'!$U$7:$U$3006,P2272)="","",INDEX('CARNET DE SOUDURE'!$U$7:$U$3006,P2272)))</f>
        <v>46260</v>
      </c>
      <c r="F2272" s="82" t="str">
        <f aca="false">IF(OR(C2272="",P2272=""),"",INDEX('CARNET DE SOUDURE'!$AP$7:$AP$3006,P2272))</f>
        <v>A</v>
      </c>
      <c r="G2272" s="82" t="str">
        <f aca="false">IF(C2272="","",IF(P2272="","NJ INCONNU",INDEX('CARNET DE SOUDURE'!$AQ$7:$AQ$3006,P2272)))</f>
        <v>ACCEPTÉ</v>
      </c>
      <c r="H2272" s="82" t="str">
        <f aca="false">IF(C2272="","",IF(G2272="ACCEPTÉ","OUI","NON"))</f>
        <v>OUI</v>
      </c>
      <c r="I2272" s="83"/>
      <c r="J2272" s="80"/>
      <c r="K2272" s="81"/>
      <c r="L2272" s="81"/>
      <c r="M2272" s="81"/>
      <c r="N2272" s="84" t="str">
        <f aca="false">IF(C2272="","",IF(P2272="","NJ INCONNU",IF(I2272="",IF(H2272="OUI","À ENROBER",IF(G2272="À SOUDER","NON SOUDÉ","EN ATTENTE RT")),IF(L2272="R","À REPRENDRE",IF(H2272&lt;&gt;"OUI","⚠ ENROBÉ AVANT ACCEPTATION RT","ENROBÉ")))))</f>
        <v>À ENROBER</v>
      </c>
      <c r="O2272" s="80"/>
      <c r="P2272" s="82" t="n">
        <f aca="false">IF(C2272="","",IFERROR(MATCH(Q2272,'CARNET DE SOUDURE'!$AW$7:$AW$3006,0),""))</f>
        <v>2266</v>
      </c>
      <c r="Q2272" s="82" t="str">
        <f aca="false">IF(C2272="","",B2272&amp;"|"&amp;C2272)</f>
        <v>MFD-ISW → MFD-CPF|JN°1788</v>
      </c>
    </row>
    <row r="2273" customFormat="false" ht="74.6" hidden="false" customHeight="false" outlineLevel="0" collapsed="false">
      <c r="A2273" s="82" t="n">
        <f aca="false">IF(C2273="","",ROW()-6)</f>
        <v>2267</v>
      </c>
      <c r="B2273" s="80" t="s">
        <v>110</v>
      </c>
      <c r="C2273" s="113" t="s">
        <v>2759</v>
      </c>
      <c r="D2273" s="82" t="str">
        <f aca="false">IF(OR(C2273="",P2273=""),"",INDEX('CARNET DE SOUDURE'!$D$7:$D$3006,P2273)&amp;"")</f>
        <v>22</v>
      </c>
      <c r="E2273" s="114" t="n">
        <f aca="false">IF(OR(C2273="",P2273=""),"",IF(INDEX('CARNET DE SOUDURE'!$U$7:$U$3006,P2273)="","",INDEX('CARNET DE SOUDURE'!$U$7:$U$3006,P2273)))</f>
        <v>46260</v>
      </c>
      <c r="F2273" s="82" t="str">
        <f aca="false">IF(OR(C2273="",P2273=""),"",INDEX('CARNET DE SOUDURE'!$AP$7:$AP$3006,P2273))</f>
        <v>A</v>
      </c>
      <c r="G2273" s="82" t="str">
        <f aca="false">IF(C2273="","",IF(P2273="","NJ INCONNU",INDEX('CARNET DE SOUDURE'!$AQ$7:$AQ$3006,P2273)))</f>
        <v>ACCEPTÉ</v>
      </c>
      <c r="H2273" s="82" t="str">
        <f aca="false">IF(C2273="","",IF(G2273="ACCEPTÉ","OUI","NON"))</f>
        <v>OUI</v>
      </c>
      <c r="I2273" s="83"/>
      <c r="J2273" s="80"/>
      <c r="K2273" s="81"/>
      <c r="L2273" s="81"/>
      <c r="M2273" s="81"/>
      <c r="N2273" s="84" t="str">
        <f aca="false">IF(C2273="","",IF(P2273="","NJ INCONNU",IF(I2273="",IF(H2273="OUI","À ENROBER",IF(G2273="À SOUDER","NON SOUDÉ","EN ATTENTE RT")),IF(L2273="R","À REPRENDRE",IF(H2273&lt;&gt;"OUI","⚠ ENROBÉ AVANT ACCEPTATION RT","ENROBÉ")))))</f>
        <v>À ENROBER</v>
      </c>
      <c r="O2273" s="80"/>
      <c r="P2273" s="82" t="n">
        <f aca="false">IF(C2273="","",IFERROR(MATCH(Q2273,'CARNET DE SOUDURE'!$AW$7:$AW$3006,0),""))</f>
        <v>2267</v>
      </c>
      <c r="Q2273" s="82" t="str">
        <f aca="false">IF(C2273="","",B2273&amp;"|"&amp;C2273)</f>
        <v>MFD-ISW → MFD-CPF|JN°1789</v>
      </c>
    </row>
    <row r="2274" customFormat="false" ht="74.6" hidden="false" customHeight="false" outlineLevel="0" collapsed="false">
      <c r="A2274" s="82" t="n">
        <f aca="false">IF(C2274="","",ROW()-6)</f>
        <v>2268</v>
      </c>
      <c r="B2274" s="80" t="s">
        <v>110</v>
      </c>
      <c r="C2274" s="113" t="s">
        <v>2760</v>
      </c>
      <c r="D2274" s="82" t="str">
        <f aca="false">IF(OR(C2274="",P2274=""),"",INDEX('CARNET DE SOUDURE'!$D$7:$D$3006,P2274)&amp;"")</f>
        <v>22</v>
      </c>
      <c r="E2274" s="114" t="n">
        <f aca="false">IF(OR(C2274="",P2274=""),"",IF(INDEX('CARNET DE SOUDURE'!$U$7:$U$3006,P2274)="","",INDEX('CARNET DE SOUDURE'!$U$7:$U$3006,P2274)))</f>
        <v>46260</v>
      </c>
      <c r="F2274" s="82" t="str">
        <f aca="false">IF(OR(C2274="",P2274=""),"",INDEX('CARNET DE SOUDURE'!$AP$7:$AP$3006,P2274))</f>
        <v>A</v>
      </c>
      <c r="G2274" s="82" t="str">
        <f aca="false">IF(C2274="","",IF(P2274="","NJ INCONNU",INDEX('CARNET DE SOUDURE'!$AQ$7:$AQ$3006,P2274)))</f>
        <v>ACCEPTÉ</v>
      </c>
      <c r="H2274" s="82" t="str">
        <f aca="false">IF(C2274="","",IF(G2274="ACCEPTÉ","OUI","NON"))</f>
        <v>OUI</v>
      </c>
      <c r="I2274" s="83"/>
      <c r="J2274" s="80"/>
      <c r="K2274" s="81"/>
      <c r="L2274" s="81"/>
      <c r="M2274" s="81"/>
      <c r="N2274" s="84" t="str">
        <f aca="false">IF(C2274="","",IF(P2274="","NJ INCONNU",IF(I2274="",IF(H2274="OUI","À ENROBER",IF(G2274="À SOUDER","NON SOUDÉ","EN ATTENTE RT")),IF(L2274="R","À REPRENDRE",IF(H2274&lt;&gt;"OUI","⚠ ENROBÉ AVANT ACCEPTATION RT","ENROBÉ")))))</f>
        <v>À ENROBER</v>
      </c>
      <c r="O2274" s="80"/>
      <c r="P2274" s="82" t="n">
        <f aca="false">IF(C2274="","",IFERROR(MATCH(Q2274,'CARNET DE SOUDURE'!$AW$7:$AW$3006,0),""))</f>
        <v>2268</v>
      </c>
      <c r="Q2274" s="82" t="str">
        <f aca="false">IF(C2274="","",B2274&amp;"|"&amp;C2274)</f>
        <v>MFD-ISW → MFD-CPF|JN°1790</v>
      </c>
    </row>
    <row r="2275" customFormat="false" ht="74.6" hidden="false" customHeight="false" outlineLevel="0" collapsed="false">
      <c r="A2275" s="82" t="n">
        <f aca="false">IF(C2275="","",ROW()-6)</f>
        <v>2269</v>
      </c>
      <c r="B2275" s="80" t="s">
        <v>110</v>
      </c>
      <c r="C2275" s="113" t="s">
        <v>2761</v>
      </c>
      <c r="D2275" s="82" t="str">
        <f aca="false">IF(OR(C2275="",P2275=""),"",INDEX('CARNET DE SOUDURE'!$D$7:$D$3006,P2275)&amp;"")</f>
        <v>22</v>
      </c>
      <c r="E2275" s="114" t="n">
        <f aca="false">IF(OR(C2275="",P2275=""),"",IF(INDEX('CARNET DE SOUDURE'!$U$7:$U$3006,P2275)="","",INDEX('CARNET DE SOUDURE'!$U$7:$U$3006,P2275)))</f>
        <v>46260</v>
      </c>
      <c r="F2275" s="82" t="str">
        <f aca="false">IF(OR(C2275="",P2275=""),"",INDEX('CARNET DE SOUDURE'!$AP$7:$AP$3006,P2275))</f>
        <v>A</v>
      </c>
      <c r="G2275" s="82" t="str">
        <f aca="false">IF(C2275="","",IF(P2275="","NJ INCONNU",INDEX('CARNET DE SOUDURE'!$AQ$7:$AQ$3006,P2275)))</f>
        <v>ACCEPTÉ</v>
      </c>
      <c r="H2275" s="82" t="str">
        <f aca="false">IF(C2275="","",IF(G2275="ACCEPTÉ","OUI","NON"))</f>
        <v>OUI</v>
      </c>
      <c r="I2275" s="83"/>
      <c r="J2275" s="80"/>
      <c r="K2275" s="81"/>
      <c r="L2275" s="81"/>
      <c r="M2275" s="81"/>
      <c r="N2275" s="84" t="str">
        <f aca="false">IF(C2275="","",IF(P2275="","NJ INCONNU",IF(I2275="",IF(H2275="OUI","À ENROBER",IF(G2275="À SOUDER","NON SOUDÉ","EN ATTENTE RT")),IF(L2275="R","À REPRENDRE",IF(H2275&lt;&gt;"OUI","⚠ ENROBÉ AVANT ACCEPTATION RT","ENROBÉ")))))</f>
        <v>À ENROBER</v>
      </c>
      <c r="O2275" s="80"/>
      <c r="P2275" s="82" t="n">
        <f aca="false">IF(C2275="","",IFERROR(MATCH(Q2275,'CARNET DE SOUDURE'!$AW$7:$AW$3006,0),""))</f>
        <v>2269</v>
      </c>
      <c r="Q2275" s="82" t="str">
        <f aca="false">IF(C2275="","",B2275&amp;"|"&amp;C2275)</f>
        <v>MFD-ISW → MFD-CPF|JN°1791</v>
      </c>
    </row>
    <row r="2276" customFormat="false" ht="74.6" hidden="false" customHeight="false" outlineLevel="0" collapsed="false">
      <c r="A2276" s="82" t="n">
        <f aca="false">IF(C2276="","",ROW()-6)</f>
        <v>2270</v>
      </c>
      <c r="B2276" s="80" t="s">
        <v>110</v>
      </c>
      <c r="C2276" s="113" t="s">
        <v>2762</v>
      </c>
      <c r="D2276" s="82" t="str">
        <f aca="false">IF(OR(C2276="",P2276=""),"",INDEX('CARNET DE SOUDURE'!$D$7:$D$3006,P2276)&amp;"")</f>
        <v>22</v>
      </c>
      <c r="E2276" s="114" t="str">
        <f aca="false">IF(OR(C2276="",P2276=""),"",IF(INDEX('CARNET DE SOUDURE'!$U$7:$U$3006,P2276)="","",INDEX('CARNET DE SOUDURE'!$U$7:$U$3006,P2276)))</f>
        <v/>
      </c>
      <c r="F2276" s="82" t="str">
        <f aca="false">IF(OR(C2276="",P2276=""),"",INDEX('CARNET DE SOUDURE'!$AP$7:$AP$3006,P2276))</f>
        <v/>
      </c>
      <c r="G2276" s="82" t="str">
        <f aca="false">IF(C2276="","",IF(P2276="","NJ INCONNU",INDEX('CARNET DE SOUDURE'!$AQ$7:$AQ$3006,P2276)))</f>
        <v>À SOUDER</v>
      </c>
      <c r="H2276" s="82" t="str">
        <f aca="false">IF(C2276="","",IF(G2276="ACCEPTÉ","OUI","NON"))</f>
        <v>NON</v>
      </c>
      <c r="I2276" s="83"/>
      <c r="J2276" s="80"/>
      <c r="K2276" s="81"/>
      <c r="L2276" s="81"/>
      <c r="M2276" s="81"/>
      <c r="N2276" s="84" t="str">
        <f aca="false">IF(C2276="","",IF(P2276="","NJ INCONNU",IF(I2276="",IF(H2276="OUI","À ENROBER",IF(G2276="À SOUDER","NON SOUDÉ","EN ATTENTE RT")),IF(L2276="R","À REPRENDRE",IF(H2276&lt;&gt;"OUI","⚠ ENROBÉ AVANT ACCEPTATION RT","ENROBÉ")))))</f>
        <v>NON SOUDÉ</v>
      </c>
      <c r="O2276" s="80"/>
      <c r="P2276" s="82" t="n">
        <f aca="false">IF(C2276="","",IFERROR(MATCH(Q2276,'CARNET DE SOUDURE'!$AW$7:$AW$3006,0),""))</f>
        <v>2270</v>
      </c>
      <c r="Q2276" s="82" t="str">
        <f aca="false">IF(C2276="","",B2276&amp;"|"&amp;C2276)</f>
        <v>MFD-ISW → MFD-CPF|JN°1792</v>
      </c>
    </row>
    <row r="2277" customFormat="false" ht="74.6" hidden="false" customHeight="false" outlineLevel="0" collapsed="false">
      <c r="A2277" s="82" t="n">
        <f aca="false">IF(C2277="","",ROW()-6)</f>
        <v>2271</v>
      </c>
      <c r="B2277" s="80" t="s">
        <v>110</v>
      </c>
      <c r="C2277" s="113" t="s">
        <v>2763</v>
      </c>
      <c r="D2277" s="82" t="str">
        <f aca="false">IF(OR(C2277="",P2277=""),"",INDEX('CARNET DE SOUDURE'!$D$7:$D$3006,P2277)&amp;"")</f>
        <v>22</v>
      </c>
      <c r="E2277" s="114" t="str">
        <f aca="false">IF(OR(C2277="",P2277=""),"",IF(INDEX('CARNET DE SOUDURE'!$U$7:$U$3006,P2277)="","",INDEX('CARNET DE SOUDURE'!$U$7:$U$3006,P2277)))</f>
        <v/>
      </c>
      <c r="F2277" s="82" t="str">
        <f aca="false">IF(OR(C2277="",P2277=""),"",INDEX('CARNET DE SOUDURE'!$AP$7:$AP$3006,P2277))</f>
        <v/>
      </c>
      <c r="G2277" s="82" t="str">
        <f aca="false">IF(C2277="","",IF(P2277="","NJ INCONNU",INDEX('CARNET DE SOUDURE'!$AQ$7:$AQ$3006,P2277)))</f>
        <v>À SOUDER</v>
      </c>
      <c r="H2277" s="82" t="str">
        <f aca="false">IF(C2277="","",IF(G2277="ACCEPTÉ","OUI","NON"))</f>
        <v>NON</v>
      </c>
      <c r="I2277" s="83"/>
      <c r="J2277" s="80"/>
      <c r="K2277" s="81"/>
      <c r="L2277" s="81"/>
      <c r="M2277" s="81"/>
      <c r="N2277" s="84" t="str">
        <f aca="false">IF(C2277="","",IF(P2277="","NJ INCONNU",IF(I2277="",IF(H2277="OUI","À ENROBER",IF(G2277="À SOUDER","NON SOUDÉ","EN ATTENTE RT")),IF(L2277="R","À REPRENDRE",IF(H2277&lt;&gt;"OUI","⚠ ENROBÉ AVANT ACCEPTATION RT","ENROBÉ")))))</f>
        <v>NON SOUDÉ</v>
      </c>
      <c r="O2277" s="80"/>
      <c r="P2277" s="82" t="n">
        <f aca="false">IF(C2277="","",IFERROR(MATCH(Q2277,'CARNET DE SOUDURE'!$AW$7:$AW$3006,0),""))</f>
        <v>2271</v>
      </c>
      <c r="Q2277" s="82" t="str">
        <f aca="false">IF(C2277="","",B2277&amp;"|"&amp;C2277)</f>
        <v>MFD-ISW → MFD-CPF|JN°1793</v>
      </c>
    </row>
    <row r="2278" customFormat="false" ht="74.6" hidden="false" customHeight="false" outlineLevel="0" collapsed="false">
      <c r="A2278" s="82" t="n">
        <f aca="false">IF(C2278="","",ROW()-6)</f>
        <v>2272</v>
      </c>
      <c r="B2278" s="80" t="s">
        <v>110</v>
      </c>
      <c r="C2278" s="113" t="s">
        <v>2764</v>
      </c>
      <c r="D2278" s="82" t="str">
        <f aca="false">IF(OR(C2278="",P2278=""),"",INDEX('CARNET DE SOUDURE'!$D$7:$D$3006,P2278)&amp;"")</f>
        <v>22</v>
      </c>
      <c r="E2278" s="114" t="str">
        <f aca="false">IF(OR(C2278="",P2278=""),"",IF(INDEX('CARNET DE SOUDURE'!$U$7:$U$3006,P2278)="","",INDEX('CARNET DE SOUDURE'!$U$7:$U$3006,P2278)))</f>
        <v/>
      </c>
      <c r="F2278" s="82" t="str">
        <f aca="false">IF(OR(C2278="",P2278=""),"",INDEX('CARNET DE SOUDURE'!$AP$7:$AP$3006,P2278))</f>
        <v/>
      </c>
      <c r="G2278" s="82" t="str">
        <f aca="false">IF(C2278="","",IF(P2278="","NJ INCONNU",INDEX('CARNET DE SOUDURE'!$AQ$7:$AQ$3006,P2278)))</f>
        <v>À SOUDER</v>
      </c>
      <c r="H2278" s="82" t="str">
        <f aca="false">IF(C2278="","",IF(G2278="ACCEPTÉ","OUI","NON"))</f>
        <v>NON</v>
      </c>
      <c r="I2278" s="83"/>
      <c r="J2278" s="80"/>
      <c r="K2278" s="81"/>
      <c r="L2278" s="81"/>
      <c r="M2278" s="81"/>
      <c r="N2278" s="84" t="str">
        <f aca="false">IF(C2278="","",IF(P2278="","NJ INCONNU",IF(I2278="",IF(H2278="OUI","À ENROBER",IF(G2278="À SOUDER","NON SOUDÉ","EN ATTENTE RT")),IF(L2278="R","À REPRENDRE",IF(H2278&lt;&gt;"OUI","⚠ ENROBÉ AVANT ACCEPTATION RT","ENROBÉ")))))</f>
        <v>NON SOUDÉ</v>
      </c>
      <c r="O2278" s="80"/>
      <c r="P2278" s="82" t="n">
        <f aca="false">IF(C2278="","",IFERROR(MATCH(Q2278,'CARNET DE SOUDURE'!$AW$7:$AW$3006,0),""))</f>
        <v>2272</v>
      </c>
      <c r="Q2278" s="82" t="str">
        <f aca="false">IF(C2278="","",B2278&amp;"|"&amp;C2278)</f>
        <v>MFD-ISW → MFD-CPF|JN°1794</v>
      </c>
    </row>
    <row r="2279" customFormat="false" ht="74.6" hidden="false" customHeight="false" outlineLevel="0" collapsed="false">
      <c r="A2279" s="82" t="n">
        <f aca="false">IF(C2279="","",ROW()-6)</f>
        <v>2273</v>
      </c>
      <c r="B2279" s="80" t="s">
        <v>110</v>
      </c>
      <c r="C2279" s="113" t="s">
        <v>2766</v>
      </c>
      <c r="D2279" s="82" t="str">
        <f aca="false">IF(OR(C2279="",P2279=""),"",INDEX('CARNET DE SOUDURE'!$D$7:$D$3006,P2279)&amp;"")</f>
        <v>22</v>
      </c>
      <c r="E2279" s="114" t="n">
        <f aca="false">IF(OR(C2279="",P2279=""),"",IF(INDEX('CARNET DE SOUDURE'!$U$7:$U$3006,P2279)="","",INDEX('CARNET DE SOUDURE'!$U$7:$U$3006,P2279)))</f>
        <v>46260</v>
      </c>
      <c r="F2279" s="82" t="str">
        <f aca="false">IF(OR(C2279="",P2279=""),"",INDEX('CARNET DE SOUDURE'!$AP$7:$AP$3006,P2279))</f>
        <v>A</v>
      </c>
      <c r="G2279" s="82" t="str">
        <f aca="false">IF(C2279="","",IF(P2279="","NJ INCONNU",INDEX('CARNET DE SOUDURE'!$AQ$7:$AQ$3006,P2279)))</f>
        <v>ACCEPTÉ</v>
      </c>
      <c r="H2279" s="82" t="str">
        <f aca="false">IF(C2279="","",IF(G2279="ACCEPTÉ","OUI","NON"))</f>
        <v>OUI</v>
      </c>
      <c r="I2279" s="83"/>
      <c r="J2279" s="80"/>
      <c r="K2279" s="81"/>
      <c r="L2279" s="81"/>
      <c r="M2279" s="81"/>
      <c r="N2279" s="84" t="str">
        <f aca="false">IF(C2279="","",IF(P2279="","NJ INCONNU",IF(I2279="",IF(H2279="OUI","À ENROBER",IF(G2279="À SOUDER","NON SOUDÉ","EN ATTENTE RT")),IF(L2279="R","À REPRENDRE",IF(H2279&lt;&gt;"OUI","⚠ ENROBÉ AVANT ACCEPTATION RT","ENROBÉ")))))</f>
        <v>À ENROBER</v>
      </c>
      <c r="O2279" s="80"/>
      <c r="P2279" s="82" t="n">
        <f aca="false">IF(C2279="","",IFERROR(MATCH(Q2279,'CARNET DE SOUDURE'!$AW$7:$AW$3006,0),""))</f>
        <v>2273</v>
      </c>
      <c r="Q2279" s="82" t="str">
        <f aca="false">IF(C2279="","",B2279&amp;"|"&amp;C2279)</f>
        <v>MFD-ISW → MFD-CPF|JN°1795</v>
      </c>
    </row>
    <row r="2280" customFormat="false" ht="74.6" hidden="false" customHeight="false" outlineLevel="0" collapsed="false">
      <c r="A2280" s="82" t="n">
        <f aca="false">IF(C2280="","",ROW()-6)</f>
        <v>2274</v>
      </c>
      <c r="B2280" s="80" t="s">
        <v>110</v>
      </c>
      <c r="C2280" s="113" t="s">
        <v>2767</v>
      </c>
      <c r="D2280" s="82" t="str">
        <f aca="false">IF(OR(C2280="",P2280=""),"",INDEX('CARNET DE SOUDURE'!$D$7:$D$3006,P2280)&amp;"")</f>
        <v>22</v>
      </c>
      <c r="E2280" s="114" t="n">
        <f aca="false">IF(OR(C2280="",P2280=""),"",IF(INDEX('CARNET DE SOUDURE'!$U$7:$U$3006,P2280)="","",INDEX('CARNET DE SOUDURE'!$U$7:$U$3006,P2280)))</f>
        <v>46260</v>
      </c>
      <c r="F2280" s="82" t="str">
        <f aca="false">IF(OR(C2280="",P2280=""),"",INDEX('CARNET DE SOUDURE'!$AP$7:$AP$3006,P2280))</f>
        <v>A</v>
      </c>
      <c r="G2280" s="82" t="str">
        <f aca="false">IF(C2280="","",IF(P2280="","NJ INCONNU",INDEX('CARNET DE SOUDURE'!$AQ$7:$AQ$3006,P2280)))</f>
        <v>ACCEPTÉ</v>
      </c>
      <c r="H2280" s="82" t="str">
        <f aca="false">IF(C2280="","",IF(G2280="ACCEPTÉ","OUI","NON"))</f>
        <v>OUI</v>
      </c>
      <c r="I2280" s="83"/>
      <c r="J2280" s="80"/>
      <c r="K2280" s="81"/>
      <c r="L2280" s="81"/>
      <c r="M2280" s="81"/>
      <c r="N2280" s="84" t="str">
        <f aca="false">IF(C2280="","",IF(P2280="","NJ INCONNU",IF(I2280="",IF(H2280="OUI","À ENROBER",IF(G2280="À SOUDER","NON SOUDÉ","EN ATTENTE RT")),IF(L2280="R","À REPRENDRE",IF(H2280&lt;&gt;"OUI","⚠ ENROBÉ AVANT ACCEPTATION RT","ENROBÉ")))))</f>
        <v>À ENROBER</v>
      </c>
      <c r="O2280" s="80"/>
      <c r="P2280" s="82" t="n">
        <f aca="false">IF(C2280="","",IFERROR(MATCH(Q2280,'CARNET DE SOUDURE'!$AW$7:$AW$3006,0),""))</f>
        <v>2274</v>
      </c>
      <c r="Q2280" s="82" t="str">
        <f aca="false">IF(C2280="","",B2280&amp;"|"&amp;C2280)</f>
        <v>MFD-ISW → MFD-CPF|JN°1796</v>
      </c>
    </row>
    <row r="2281" customFormat="false" ht="74.6" hidden="false" customHeight="false" outlineLevel="0" collapsed="false">
      <c r="A2281" s="82" t="n">
        <f aca="false">IF(C2281="","",ROW()-6)</f>
        <v>2275</v>
      </c>
      <c r="B2281" s="80" t="s">
        <v>110</v>
      </c>
      <c r="C2281" s="113" t="s">
        <v>2768</v>
      </c>
      <c r="D2281" s="82" t="str">
        <f aca="false">IF(OR(C2281="",P2281=""),"",INDEX('CARNET DE SOUDURE'!$D$7:$D$3006,P2281)&amp;"")</f>
        <v>22</v>
      </c>
      <c r="E2281" s="114" t="str">
        <f aca="false">IF(OR(C2281="",P2281=""),"",IF(INDEX('CARNET DE SOUDURE'!$U$7:$U$3006,P2281)="","",INDEX('CARNET DE SOUDURE'!$U$7:$U$3006,P2281)))</f>
        <v/>
      </c>
      <c r="F2281" s="82" t="str">
        <f aca="false">IF(OR(C2281="",P2281=""),"",INDEX('CARNET DE SOUDURE'!$AP$7:$AP$3006,P2281))</f>
        <v/>
      </c>
      <c r="G2281" s="82" t="str">
        <f aca="false">IF(C2281="","",IF(P2281="","NJ INCONNU",INDEX('CARNET DE SOUDURE'!$AQ$7:$AQ$3006,P2281)))</f>
        <v>À SOUDER</v>
      </c>
      <c r="H2281" s="82" t="str">
        <f aca="false">IF(C2281="","",IF(G2281="ACCEPTÉ","OUI","NON"))</f>
        <v>NON</v>
      </c>
      <c r="I2281" s="83"/>
      <c r="J2281" s="80"/>
      <c r="K2281" s="81"/>
      <c r="L2281" s="81"/>
      <c r="M2281" s="81"/>
      <c r="N2281" s="84" t="str">
        <f aca="false">IF(C2281="","",IF(P2281="","NJ INCONNU",IF(I2281="",IF(H2281="OUI","À ENROBER",IF(G2281="À SOUDER","NON SOUDÉ","EN ATTENTE RT")),IF(L2281="R","À REPRENDRE",IF(H2281&lt;&gt;"OUI","⚠ ENROBÉ AVANT ACCEPTATION RT","ENROBÉ")))))</f>
        <v>NON SOUDÉ</v>
      </c>
      <c r="O2281" s="80"/>
      <c r="P2281" s="82" t="n">
        <f aca="false">IF(C2281="","",IFERROR(MATCH(Q2281,'CARNET DE SOUDURE'!$AW$7:$AW$3006,0),""))</f>
        <v>2275</v>
      </c>
      <c r="Q2281" s="82" t="str">
        <f aca="false">IF(C2281="","",B2281&amp;"|"&amp;C2281)</f>
        <v>MFD-ISW → MFD-CPF|JN°1797</v>
      </c>
    </row>
    <row r="2282" customFormat="false" ht="74.6" hidden="false" customHeight="false" outlineLevel="0" collapsed="false">
      <c r="A2282" s="82" t="n">
        <f aca="false">IF(C2282="","",ROW()-6)</f>
        <v>2276</v>
      </c>
      <c r="B2282" s="80" t="s">
        <v>110</v>
      </c>
      <c r="C2282" s="113" t="s">
        <v>2769</v>
      </c>
      <c r="D2282" s="82" t="str">
        <f aca="false">IF(OR(C2282="",P2282=""),"",INDEX('CARNET DE SOUDURE'!$D$7:$D$3006,P2282)&amp;"")</f>
        <v>22</v>
      </c>
      <c r="E2282" s="114" t="str">
        <f aca="false">IF(OR(C2282="",P2282=""),"",IF(INDEX('CARNET DE SOUDURE'!$U$7:$U$3006,P2282)="","",INDEX('CARNET DE SOUDURE'!$U$7:$U$3006,P2282)))</f>
        <v/>
      </c>
      <c r="F2282" s="82" t="str">
        <f aca="false">IF(OR(C2282="",P2282=""),"",INDEX('CARNET DE SOUDURE'!$AP$7:$AP$3006,P2282))</f>
        <v/>
      </c>
      <c r="G2282" s="82" t="str">
        <f aca="false">IF(C2282="","",IF(P2282="","NJ INCONNU",INDEX('CARNET DE SOUDURE'!$AQ$7:$AQ$3006,P2282)))</f>
        <v>À SOUDER</v>
      </c>
      <c r="H2282" s="82" t="str">
        <f aca="false">IF(C2282="","",IF(G2282="ACCEPTÉ","OUI","NON"))</f>
        <v>NON</v>
      </c>
      <c r="I2282" s="83"/>
      <c r="J2282" s="80"/>
      <c r="K2282" s="81"/>
      <c r="L2282" s="81"/>
      <c r="M2282" s="81"/>
      <c r="N2282" s="84" t="str">
        <f aca="false">IF(C2282="","",IF(P2282="","NJ INCONNU",IF(I2282="",IF(H2282="OUI","À ENROBER",IF(G2282="À SOUDER","NON SOUDÉ","EN ATTENTE RT")),IF(L2282="R","À REPRENDRE",IF(H2282&lt;&gt;"OUI","⚠ ENROBÉ AVANT ACCEPTATION RT","ENROBÉ")))))</f>
        <v>NON SOUDÉ</v>
      </c>
      <c r="O2282" s="80"/>
      <c r="P2282" s="82" t="n">
        <f aca="false">IF(C2282="","",IFERROR(MATCH(Q2282,'CARNET DE SOUDURE'!$AW$7:$AW$3006,0),""))</f>
        <v>2276</v>
      </c>
      <c r="Q2282" s="82" t="str">
        <f aca="false">IF(C2282="","",B2282&amp;"|"&amp;C2282)</f>
        <v>MFD-ISW → MFD-CPF|JN°1798</v>
      </c>
    </row>
    <row r="2283" customFormat="false" ht="74.6" hidden="false" customHeight="false" outlineLevel="0" collapsed="false">
      <c r="A2283" s="82" t="n">
        <f aca="false">IF(C2283="","",ROW()-6)</f>
        <v>2277</v>
      </c>
      <c r="B2283" s="80" t="s">
        <v>110</v>
      </c>
      <c r="C2283" s="113" t="s">
        <v>2770</v>
      </c>
      <c r="D2283" s="82" t="str">
        <f aca="false">IF(OR(C2283="",P2283=""),"",INDEX('CARNET DE SOUDURE'!$D$7:$D$3006,P2283)&amp;"")</f>
        <v>22</v>
      </c>
      <c r="E2283" s="114" t="str">
        <f aca="false">IF(OR(C2283="",P2283=""),"",IF(INDEX('CARNET DE SOUDURE'!$U$7:$U$3006,P2283)="","",INDEX('CARNET DE SOUDURE'!$U$7:$U$3006,P2283)))</f>
        <v/>
      </c>
      <c r="F2283" s="82" t="str">
        <f aca="false">IF(OR(C2283="",P2283=""),"",INDEX('CARNET DE SOUDURE'!$AP$7:$AP$3006,P2283))</f>
        <v/>
      </c>
      <c r="G2283" s="82" t="str">
        <f aca="false">IF(C2283="","",IF(P2283="","NJ INCONNU",INDEX('CARNET DE SOUDURE'!$AQ$7:$AQ$3006,P2283)))</f>
        <v>À SOUDER</v>
      </c>
      <c r="H2283" s="82" t="str">
        <f aca="false">IF(C2283="","",IF(G2283="ACCEPTÉ","OUI","NON"))</f>
        <v>NON</v>
      </c>
      <c r="I2283" s="83"/>
      <c r="J2283" s="80"/>
      <c r="K2283" s="81"/>
      <c r="L2283" s="81"/>
      <c r="M2283" s="81"/>
      <c r="N2283" s="84" t="str">
        <f aca="false">IF(C2283="","",IF(P2283="","NJ INCONNU",IF(I2283="",IF(H2283="OUI","À ENROBER",IF(G2283="À SOUDER","NON SOUDÉ","EN ATTENTE RT")),IF(L2283="R","À REPRENDRE",IF(H2283&lt;&gt;"OUI","⚠ ENROBÉ AVANT ACCEPTATION RT","ENROBÉ")))))</f>
        <v>NON SOUDÉ</v>
      </c>
      <c r="O2283" s="80"/>
      <c r="P2283" s="82" t="n">
        <f aca="false">IF(C2283="","",IFERROR(MATCH(Q2283,'CARNET DE SOUDURE'!$AW$7:$AW$3006,0),""))</f>
        <v>2277</v>
      </c>
      <c r="Q2283" s="82" t="str">
        <f aca="false">IF(C2283="","",B2283&amp;"|"&amp;C2283)</f>
        <v>MFD-ISW → MFD-CPF|JN°1799</v>
      </c>
    </row>
    <row r="2284" customFormat="false" ht="74.6" hidden="false" customHeight="false" outlineLevel="0" collapsed="false">
      <c r="A2284" s="82" t="n">
        <f aca="false">IF(C2284="","",ROW()-6)</f>
        <v>2278</v>
      </c>
      <c r="B2284" s="80" t="s">
        <v>110</v>
      </c>
      <c r="C2284" s="113" t="s">
        <v>2771</v>
      </c>
      <c r="D2284" s="82" t="str">
        <f aca="false">IF(OR(C2284="",P2284=""),"",INDEX('CARNET DE SOUDURE'!$D$7:$D$3006,P2284)&amp;"")</f>
        <v>22</v>
      </c>
      <c r="E2284" s="114" t="str">
        <f aca="false">IF(OR(C2284="",P2284=""),"",IF(INDEX('CARNET DE SOUDURE'!$U$7:$U$3006,P2284)="","",INDEX('CARNET DE SOUDURE'!$U$7:$U$3006,P2284)))</f>
        <v/>
      </c>
      <c r="F2284" s="82" t="str">
        <f aca="false">IF(OR(C2284="",P2284=""),"",INDEX('CARNET DE SOUDURE'!$AP$7:$AP$3006,P2284))</f>
        <v/>
      </c>
      <c r="G2284" s="82" t="str">
        <f aca="false">IF(C2284="","",IF(P2284="","NJ INCONNU",INDEX('CARNET DE SOUDURE'!$AQ$7:$AQ$3006,P2284)))</f>
        <v>À SOUDER</v>
      </c>
      <c r="H2284" s="82" t="str">
        <f aca="false">IF(C2284="","",IF(G2284="ACCEPTÉ","OUI","NON"))</f>
        <v>NON</v>
      </c>
      <c r="I2284" s="83"/>
      <c r="J2284" s="80"/>
      <c r="K2284" s="81"/>
      <c r="L2284" s="81"/>
      <c r="M2284" s="81"/>
      <c r="N2284" s="84" t="str">
        <f aca="false">IF(C2284="","",IF(P2284="","NJ INCONNU",IF(I2284="",IF(H2284="OUI","À ENROBER",IF(G2284="À SOUDER","NON SOUDÉ","EN ATTENTE RT")),IF(L2284="R","À REPRENDRE",IF(H2284&lt;&gt;"OUI","⚠ ENROBÉ AVANT ACCEPTATION RT","ENROBÉ")))))</f>
        <v>NON SOUDÉ</v>
      </c>
      <c r="O2284" s="80"/>
      <c r="P2284" s="82" t="n">
        <f aca="false">IF(C2284="","",IFERROR(MATCH(Q2284,'CARNET DE SOUDURE'!$AW$7:$AW$3006,0),""))</f>
        <v>2278</v>
      </c>
      <c r="Q2284" s="82" t="str">
        <f aca="false">IF(C2284="","",B2284&amp;"|"&amp;C2284)</f>
        <v>MFD-ISW → MFD-CPF|JN°1800</v>
      </c>
    </row>
    <row r="2285" customFormat="false" ht="74.6" hidden="false" customHeight="false" outlineLevel="0" collapsed="false">
      <c r="A2285" s="82" t="n">
        <f aca="false">IF(C2285="","",ROW()-6)</f>
        <v>2279</v>
      </c>
      <c r="B2285" s="80" t="s">
        <v>110</v>
      </c>
      <c r="C2285" s="113" t="s">
        <v>2772</v>
      </c>
      <c r="D2285" s="82" t="str">
        <f aca="false">IF(OR(C2285="",P2285=""),"",INDEX('CARNET DE SOUDURE'!$D$7:$D$3006,P2285)&amp;"")</f>
        <v>22</v>
      </c>
      <c r="E2285" s="114" t="str">
        <f aca="false">IF(OR(C2285="",P2285=""),"",IF(INDEX('CARNET DE SOUDURE'!$U$7:$U$3006,P2285)="","",INDEX('CARNET DE SOUDURE'!$U$7:$U$3006,P2285)))</f>
        <v/>
      </c>
      <c r="F2285" s="82" t="str">
        <f aca="false">IF(OR(C2285="",P2285=""),"",INDEX('CARNET DE SOUDURE'!$AP$7:$AP$3006,P2285))</f>
        <v/>
      </c>
      <c r="G2285" s="82" t="str">
        <f aca="false">IF(C2285="","",IF(P2285="","NJ INCONNU",INDEX('CARNET DE SOUDURE'!$AQ$7:$AQ$3006,P2285)))</f>
        <v>À SOUDER</v>
      </c>
      <c r="H2285" s="82" t="str">
        <f aca="false">IF(C2285="","",IF(G2285="ACCEPTÉ","OUI","NON"))</f>
        <v>NON</v>
      </c>
      <c r="I2285" s="83"/>
      <c r="J2285" s="80"/>
      <c r="K2285" s="81"/>
      <c r="L2285" s="81"/>
      <c r="M2285" s="81"/>
      <c r="N2285" s="84" t="str">
        <f aca="false">IF(C2285="","",IF(P2285="","NJ INCONNU",IF(I2285="",IF(H2285="OUI","À ENROBER",IF(G2285="À SOUDER","NON SOUDÉ","EN ATTENTE RT")),IF(L2285="R","À REPRENDRE",IF(H2285&lt;&gt;"OUI","⚠ ENROBÉ AVANT ACCEPTATION RT","ENROBÉ")))))</f>
        <v>NON SOUDÉ</v>
      </c>
      <c r="O2285" s="80"/>
      <c r="P2285" s="82" t="n">
        <f aca="false">IF(C2285="","",IFERROR(MATCH(Q2285,'CARNET DE SOUDURE'!$AW$7:$AW$3006,0),""))</f>
        <v>2279</v>
      </c>
      <c r="Q2285" s="82" t="str">
        <f aca="false">IF(C2285="","",B2285&amp;"|"&amp;C2285)</f>
        <v>MFD-ISW → MFD-CPF|JN°1801</v>
      </c>
    </row>
    <row r="2286" customFormat="false" ht="74.6" hidden="false" customHeight="false" outlineLevel="0" collapsed="false">
      <c r="A2286" s="82" t="n">
        <f aca="false">IF(C2286="","",ROW()-6)</f>
        <v>2280</v>
      </c>
      <c r="B2286" s="80" t="s">
        <v>110</v>
      </c>
      <c r="C2286" s="113" t="s">
        <v>2773</v>
      </c>
      <c r="D2286" s="82" t="str">
        <f aca="false">IF(OR(C2286="",P2286=""),"",INDEX('CARNET DE SOUDURE'!$D$7:$D$3006,P2286)&amp;"")</f>
        <v>22</v>
      </c>
      <c r="E2286" s="114" t="str">
        <f aca="false">IF(OR(C2286="",P2286=""),"",IF(INDEX('CARNET DE SOUDURE'!$U$7:$U$3006,P2286)="","",INDEX('CARNET DE SOUDURE'!$U$7:$U$3006,P2286)))</f>
        <v/>
      </c>
      <c r="F2286" s="82" t="str">
        <f aca="false">IF(OR(C2286="",P2286=""),"",INDEX('CARNET DE SOUDURE'!$AP$7:$AP$3006,P2286))</f>
        <v/>
      </c>
      <c r="G2286" s="82" t="str">
        <f aca="false">IF(C2286="","",IF(P2286="","NJ INCONNU",INDEX('CARNET DE SOUDURE'!$AQ$7:$AQ$3006,P2286)))</f>
        <v>À SOUDER</v>
      </c>
      <c r="H2286" s="82" t="str">
        <f aca="false">IF(C2286="","",IF(G2286="ACCEPTÉ","OUI","NON"))</f>
        <v>NON</v>
      </c>
      <c r="I2286" s="83"/>
      <c r="J2286" s="80"/>
      <c r="K2286" s="81"/>
      <c r="L2286" s="81"/>
      <c r="M2286" s="81"/>
      <c r="N2286" s="84" t="str">
        <f aca="false">IF(C2286="","",IF(P2286="","NJ INCONNU",IF(I2286="",IF(H2286="OUI","À ENROBER",IF(G2286="À SOUDER","NON SOUDÉ","EN ATTENTE RT")),IF(L2286="R","À REPRENDRE",IF(H2286&lt;&gt;"OUI","⚠ ENROBÉ AVANT ACCEPTATION RT","ENROBÉ")))))</f>
        <v>NON SOUDÉ</v>
      </c>
      <c r="O2286" s="80"/>
      <c r="P2286" s="82" t="n">
        <f aca="false">IF(C2286="","",IFERROR(MATCH(Q2286,'CARNET DE SOUDURE'!$AW$7:$AW$3006,0),""))</f>
        <v>2280</v>
      </c>
      <c r="Q2286" s="82" t="str">
        <f aca="false">IF(C2286="","",B2286&amp;"|"&amp;C2286)</f>
        <v>MFD-ISW → MFD-CPF|JN°1802</v>
      </c>
    </row>
    <row r="2287" customFormat="false" ht="74.6" hidden="false" customHeight="false" outlineLevel="0" collapsed="false">
      <c r="A2287" s="82" t="n">
        <f aca="false">IF(C2287="","",ROW()-6)</f>
        <v>2281</v>
      </c>
      <c r="B2287" s="80" t="s">
        <v>110</v>
      </c>
      <c r="C2287" s="113" t="s">
        <v>2774</v>
      </c>
      <c r="D2287" s="82" t="str">
        <f aca="false">IF(OR(C2287="",P2287=""),"",INDEX('CARNET DE SOUDURE'!$D$7:$D$3006,P2287)&amp;"")</f>
        <v>22</v>
      </c>
      <c r="E2287" s="114" t="str">
        <f aca="false">IF(OR(C2287="",P2287=""),"",IF(INDEX('CARNET DE SOUDURE'!$U$7:$U$3006,P2287)="","",INDEX('CARNET DE SOUDURE'!$U$7:$U$3006,P2287)))</f>
        <v/>
      </c>
      <c r="F2287" s="82" t="str">
        <f aca="false">IF(OR(C2287="",P2287=""),"",INDEX('CARNET DE SOUDURE'!$AP$7:$AP$3006,P2287))</f>
        <v/>
      </c>
      <c r="G2287" s="82" t="str">
        <f aca="false">IF(C2287="","",IF(P2287="","NJ INCONNU",INDEX('CARNET DE SOUDURE'!$AQ$7:$AQ$3006,P2287)))</f>
        <v>À SOUDER</v>
      </c>
      <c r="H2287" s="82" t="str">
        <f aca="false">IF(C2287="","",IF(G2287="ACCEPTÉ","OUI","NON"))</f>
        <v>NON</v>
      </c>
      <c r="I2287" s="83"/>
      <c r="J2287" s="80"/>
      <c r="K2287" s="81"/>
      <c r="L2287" s="81"/>
      <c r="M2287" s="81"/>
      <c r="N2287" s="84" t="str">
        <f aca="false">IF(C2287="","",IF(P2287="","NJ INCONNU",IF(I2287="",IF(H2287="OUI","À ENROBER",IF(G2287="À SOUDER","NON SOUDÉ","EN ATTENTE RT")),IF(L2287="R","À REPRENDRE",IF(H2287&lt;&gt;"OUI","⚠ ENROBÉ AVANT ACCEPTATION RT","ENROBÉ")))))</f>
        <v>NON SOUDÉ</v>
      </c>
      <c r="O2287" s="80"/>
      <c r="P2287" s="82" t="n">
        <f aca="false">IF(C2287="","",IFERROR(MATCH(Q2287,'CARNET DE SOUDURE'!$AW$7:$AW$3006,0),""))</f>
        <v>2281</v>
      </c>
      <c r="Q2287" s="82" t="str">
        <f aca="false">IF(C2287="","",B2287&amp;"|"&amp;C2287)</f>
        <v>MFD-ISW → MFD-CPF|JN°1803</v>
      </c>
    </row>
    <row r="2288" customFormat="false" ht="74.6" hidden="false" customHeight="false" outlineLevel="0" collapsed="false">
      <c r="A2288" s="82" t="n">
        <f aca="false">IF(C2288="","",ROW()-6)</f>
        <v>2282</v>
      </c>
      <c r="B2288" s="80" t="s">
        <v>110</v>
      </c>
      <c r="C2288" s="113" t="s">
        <v>2775</v>
      </c>
      <c r="D2288" s="82" t="str">
        <f aca="false">IF(OR(C2288="",P2288=""),"",INDEX('CARNET DE SOUDURE'!$D$7:$D$3006,P2288)&amp;"")</f>
        <v>22</v>
      </c>
      <c r="E2288" s="114" t="str">
        <f aca="false">IF(OR(C2288="",P2288=""),"",IF(INDEX('CARNET DE SOUDURE'!$U$7:$U$3006,P2288)="","",INDEX('CARNET DE SOUDURE'!$U$7:$U$3006,P2288)))</f>
        <v/>
      </c>
      <c r="F2288" s="82" t="str">
        <f aca="false">IF(OR(C2288="",P2288=""),"",INDEX('CARNET DE SOUDURE'!$AP$7:$AP$3006,P2288))</f>
        <v/>
      </c>
      <c r="G2288" s="82" t="str">
        <f aca="false">IF(C2288="","",IF(P2288="","NJ INCONNU",INDEX('CARNET DE SOUDURE'!$AQ$7:$AQ$3006,P2288)))</f>
        <v>À SOUDER</v>
      </c>
      <c r="H2288" s="82" t="str">
        <f aca="false">IF(C2288="","",IF(G2288="ACCEPTÉ","OUI","NON"))</f>
        <v>NON</v>
      </c>
      <c r="I2288" s="83"/>
      <c r="J2288" s="80"/>
      <c r="K2288" s="81"/>
      <c r="L2288" s="81"/>
      <c r="M2288" s="81"/>
      <c r="N2288" s="84" t="str">
        <f aca="false">IF(C2288="","",IF(P2288="","NJ INCONNU",IF(I2288="",IF(H2288="OUI","À ENROBER",IF(G2288="À SOUDER","NON SOUDÉ","EN ATTENTE RT")),IF(L2288="R","À REPRENDRE",IF(H2288&lt;&gt;"OUI","⚠ ENROBÉ AVANT ACCEPTATION RT","ENROBÉ")))))</f>
        <v>NON SOUDÉ</v>
      </c>
      <c r="O2288" s="80"/>
      <c r="P2288" s="82" t="n">
        <f aca="false">IF(C2288="","",IFERROR(MATCH(Q2288,'CARNET DE SOUDURE'!$AW$7:$AW$3006,0),""))</f>
        <v>2282</v>
      </c>
      <c r="Q2288" s="82" t="str">
        <f aca="false">IF(C2288="","",B2288&amp;"|"&amp;C2288)</f>
        <v>MFD-ISW → MFD-CPF|JN°1804</v>
      </c>
    </row>
    <row r="2289" customFormat="false" ht="74.6" hidden="false" customHeight="false" outlineLevel="0" collapsed="false">
      <c r="A2289" s="82" t="n">
        <f aca="false">IF(C2289="","",ROW()-6)</f>
        <v>2283</v>
      </c>
      <c r="B2289" s="80" t="s">
        <v>110</v>
      </c>
      <c r="C2289" s="113" t="s">
        <v>2776</v>
      </c>
      <c r="D2289" s="82" t="str">
        <f aca="false">IF(OR(C2289="",P2289=""),"",INDEX('CARNET DE SOUDURE'!$D$7:$D$3006,P2289)&amp;"")</f>
        <v>22</v>
      </c>
      <c r="E2289" s="114" t="str">
        <f aca="false">IF(OR(C2289="",P2289=""),"",IF(INDEX('CARNET DE SOUDURE'!$U$7:$U$3006,P2289)="","",INDEX('CARNET DE SOUDURE'!$U$7:$U$3006,P2289)))</f>
        <v/>
      </c>
      <c r="F2289" s="82" t="str">
        <f aca="false">IF(OR(C2289="",P2289=""),"",INDEX('CARNET DE SOUDURE'!$AP$7:$AP$3006,P2289))</f>
        <v/>
      </c>
      <c r="G2289" s="82" t="str">
        <f aca="false">IF(C2289="","",IF(P2289="","NJ INCONNU",INDEX('CARNET DE SOUDURE'!$AQ$7:$AQ$3006,P2289)))</f>
        <v>À SOUDER</v>
      </c>
      <c r="H2289" s="82" t="str">
        <f aca="false">IF(C2289="","",IF(G2289="ACCEPTÉ","OUI","NON"))</f>
        <v>NON</v>
      </c>
      <c r="I2289" s="83"/>
      <c r="J2289" s="80"/>
      <c r="K2289" s="81"/>
      <c r="L2289" s="81"/>
      <c r="M2289" s="81"/>
      <c r="N2289" s="84" t="str">
        <f aca="false">IF(C2289="","",IF(P2289="","NJ INCONNU",IF(I2289="",IF(H2289="OUI","À ENROBER",IF(G2289="À SOUDER","NON SOUDÉ","EN ATTENTE RT")),IF(L2289="R","À REPRENDRE",IF(H2289&lt;&gt;"OUI","⚠ ENROBÉ AVANT ACCEPTATION RT","ENROBÉ")))))</f>
        <v>NON SOUDÉ</v>
      </c>
      <c r="O2289" s="80"/>
      <c r="P2289" s="82" t="n">
        <f aca="false">IF(C2289="","",IFERROR(MATCH(Q2289,'CARNET DE SOUDURE'!$AW$7:$AW$3006,0),""))</f>
        <v>2283</v>
      </c>
      <c r="Q2289" s="82" t="str">
        <f aca="false">IF(C2289="","",B2289&amp;"|"&amp;C2289)</f>
        <v>MFD-ISW → MFD-CPF|JN°1805</v>
      </c>
    </row>
    <row r="2290" customFormat="false" ht="74.6" hidden="false" customHeight="false" outlineLevel="0" collapsed="false">
      <c r="A2290" s="82" t="n">
        <f aca="false">IF(C2290="","",ROW()-6)</f>
        <v>2284</v>
      </c>
      <c r="B2290" s="80" t="s">
        <v>110</v>
      </c>
      <c r="C2290" s="113" t="s">
        <v>2777</v>
      </c>
      <c r="D2290" s="82" t="str">
        <f aca="false">IF(OR(C2290="",P2290=""),"",INDEX('CARNET DE SOUDURE'!$D$7:$D$3006,P2290)&amp;"")</f>
        <v>22</v>
      </c>
      <c r="E2290" s="114" t="str">
        <f aca="false">IF(OR(C2290="",P2290=""),"",IF(INDEX('CARNET DE SOUDURE'!$U$7:$U$3006,P2290)="","",INDEX('CARNET DE SOUDURE'!$U$7:$U$3006,P2290)))</f>
        <v/>
      </c>
      <c r="F2290" s="82" t="str">
        <f aca="false">IF(OR(C2290="",P2290=""),"",INDEX('CARNET DE SOUDURE'!$AP$7:$AP$3006,P2290))</f>
        <v/>
      </c>
      <c r="G2290" s="82" t="str">
        <f aca="false">IF(C2290="","",IF(P2290="","NJ INCONNU",INDEX('CARNET DE SOUDURE'!$AQ$7:$AQ$3006,P2290)))</f>
        <v>À SOUDER</v>
      </c>
      <c r="H2290" s="82" t="str">
        <f aca="false">IF(C2290="","",IF(G2290="ACCEPTÉ","OUI","NON"))</f>
        <v>NON</v>
      </c>
      <c r="I2290" s="83"/>
      <c r="J2290" s="80"/>
      <c r="K2290" s="81"/>
      <c r="L2290" s="81"/>
      <c r="M2290" s="81"/>
      <c r="N2290" s="84" t="str">
        <f aca="false">IF(C2290="","",IF(P2290="","NJ INCONNU",IF(I2290="",IF(H2290="OUI","À ENROBER",IF(G2290="À SOUDER","NON SOUDÉ","EN ATTENTE RT")),IF(L2290="R","À REPRENDRE",IF(H2290&lt;&gt;"OUI","⚠ ENROBÉ AVANT ACCEPTATION RT","ENROBÉ")))))</f>
        <v>NON SOUDÉ</v>
      </c>
      <c r="O2290" s="80"/>
      <c r="P2290" s="82" t="n">
        <f aca="false">IF(C2290="","",IFERROR(MATCH(Q2290,'CARNET DE SOUDURE'!$AW$7:$AW$3006,0),""))</f>
        <v>2284</v>
      </c>
      <c r="Q2290" s="82" t="str">
        <f aca="false">IF(C2290="","",B2290&amp;"|"&amp;C2290)</f>
        <v>MFD-ISW → MFD-CPF|JN°1806</v>
      </c>
    </row>
    <row r="2291" customFormat="false" ht="74.6" hidden="false" customHeight="false" outlineLevel="0" collapsed="false">
      <c r="A2291" s="82" t="n">
        <f aca="false">IF(C2291="","",ROW()-6)</f>
        <v>2285</v>
      </c>
      <c r="B2291" s="80" t="s">
        <v>110</v>
      </c>
      <c r="C2291" s="113" t="s">
        <v>2778</v>
      </c>
      <c r="D2291" s="82" t="str">
        <f aca="false">IF(OR(C2291="",P2291=""),"",INDEX('CARNET DE SOUDURE'!$D$7:$D$3006,P2291)&amp;"")</f>
        <v>22</v>
      </c>
      <c r="E2291" s="114" t="str">
        <f aca="false">IF(OR(C2291="",P2291=""),"",IF(INDEX('CARNET DE SOUDURE'!$U$7:$U$3006,P2291)="","",INDEX('CARNET DE SOUDURE'!$U$7:$U$3006,P2291)))</f>
        <v/>
      </c>
      <c r="F2291" s="82" t="str">
        <f aca="false">IF(OR(C2291="",P2291=""),"",INDEX('CARNET DE SOUDURE'!$AP$7:$AP$3006,P2291))</f>
        <v/>
      </c>
      <c r="G2291" s="82" t="str">
        <f aca="false">IF(C2291="","",IF(P2291="","NJ INCONNU",INDEX('CARNET DE SOUDURE'!$AQ$7:$AQ$3006,P2291)))</f>
        <v>À SOUDER</v>
      </c>
      <c r="H2291" s="82" t="str">
        <f aca="false">IF(C2291="","",IF(G2291="ACCEPTÉ","OUI","NON"))</f>
        <v>NON</v>
      </c>
      <c r="I2291" s="83"/>
      <c r="J2291" s="80"/>
      <c r="K2291" s="81"/>
      <c r="L2291" s="81"/>
      <c r="M2291" s="81"/>
      <c r="N2291" s="84" t="str">
        <f aca="false">IF(C2291="","",IF(P2291="","NJ INCONNU",IF(I2291="",IF(H2291="OUI","À ENROBER",IF(G2291="À SOUDER","NON SOUDÉ","EN ATTENTE RT")),IF(L2291="R","À REPRENDRE",IF(H2291&lt;&gt;"OUI","⚠ ENROBÉ AVANT ACCEPTATION RT","ENROBÉ")))))</f>
        <v>NON SOUDÉ</v>
      </c>
      <c r="O2291" s="80"/>
      <c r="P2291" s="82" t="n">
        <f aca="false">IF(C2291="","",IFERROR(MATCH(Q2291,'CARNET DE SOUDURE'!$AW$7:$AW$3006,0),""))</f>
        <v>2285</v>
      </c>
      <c r="Q2291" s="82" t="str">
        <f aca="false">IF(C2291="","",B2291&amp;"|"&amp;C2291)</f>
        <v>MFD-ISW → MFD-CPF|JN°1807</v>
      </c>
    </row>
    <row r="2292" customFormat="false" ht="74.6" hidden="false" customHeight="false" outlineLevel="0" collapsed="false">
      <c r="A2292" s="82" t="n">
        <f aca="false">IF(C2292="","",ROW()-6)</f>
        <v>2286</v>
      </c>
      <c r="B2292" s="80" t="s">
        <v>110</v>
      </c>
      <c r="C2292" s="113" t="s">
        <v>2779</v>
      </c>
      <c r="D2292" s="82" t="str">
        <f aca="false">IF(OR(C2292="",P2292=""),"",INDEX('CARNET DE SOUDURE'!$D$7:$D$3006,P2292)&amp;"")</f>
        <v>22</v>
      </c>
      <c r="E2292" s="114" t="str">
        <f aca="false">IF(OR(C2292="",P2292=""),"",IF(INDEX('CARNET DE SOUDURE'!$U$7:$U$3006,P2292)="","",INDEX('CARNET DE SOUDURE'!$U$7:$U$3006,P2292)))</f>
        <v/>
      </c>
      <c r="F2292" s="82" t="str">
        <f aca="false">IF(OR(C2292="",P2292=""),"",INDEX('CARNET DE SOUDURE'!$AP$7:$AP$3006,P2292))</f>
        <v/>
      </c>
      <c r="G2292" s="82" t="str">
        <f aca="false">IF(C2292="","",IF(P2292="","NJ INCONNU",INDEX('CARNET DE SOUDURE'!$AQ$7:$AQ$3006,P2292)))</f>
        <v>À SOUDER</v>
      </c>
      <c r="H2292" s="82" t="str">
        <f aca="false">IF(C2292="","",IF(G2292="ACCEPTÉ","OUI","NON"))</f>
        <v>NON</v>
      </c>
      <c r="I2292" s="83"/>
      <c r="J2292" s="80"/>
      <c r="K2292" s="81"/>
      <c r="L2292" s="81"/>
      <c r="M2292" s="81"/>
      <c r="N2292" s="84" t="str">
        <f aca="false">IF(C2292="","",IF(P2292="","NJ INCONNU",IF(I2292="",IF(H2292="OUI","À ENROBER",IF(G2292="À SOUDER","NON SOUDÉ","EN ATTENTE RT")),IF(L2292="R","À REPRENDRE",IF(H2292&lt;&gt;"OUI","⚠ ENROBÉ AVANT ACCEPTATION RT","ENROBÉ")))))</f>
        <v>NON SOUDÉ</v>
      </c>
      <c r="O2292" s="80"/>
      <c r="P2292" s="82" t="n">
        <f aca="false">IF(C2292="","",IFERROR(MATCH(Q2292,'CARNET DE SOUDURE'!$AW$7:$AW$3006,0),""))</f>
        <v>2286</v>
      </c>
      <c r="Q2292" s="82" t="str">
        <f aca="false">IF(C2292="","",B2292&amp;"|"&amp;C2292)</f>
        <v>MFD-ISW → MFD-CPF|JN°1808</v>
      </c>
    </row>
    <row r="2293" customFormat="false" ht="74.6" hidden="false" customHeight="false" outlineLevel="0" collapsed="false">
      <c r="A2293" s="82" t="n">
        <f aca="false">IF(C2293="","",ROW()-6)</f>
        <v>2287</v>
      </c>
      <c r="B2293" s="80" t="s">
        <v>110</v>
      </c>
      <c r="C2293" s="113" t="s">
        <v>2780</v>
      </c>
      <c r="D2293" s="82" t="str">
        <f aca="false">IF(OR(C2293="",P2293=""),"",INDEX('CARNET DE SOUDURE'!$D$7:$D$3006,P2293)&amp;"")</f>
        <v>22</v>
      </c>
      <c r="E2293" s="114" t="str">
        <f aca="false">IF(OR(C2293="",P2293=""),"",IF(INDEX('CARNET DE SOUDURE'!$U$7:$U$3006,P2293)="","",INDEX('CARNET DE SOUDURE'!$U$7:$U$3006,P2293)))</f>
        <v/>
      </c>
      <c r="F2293" s="82" t="str">
        <f aca="false">IF(OR(C2293="",P2293=""),"",INDEX('CARNET DE SOUDURE'!$AP$7:$AP$3006,P2293))</f>
        <v/>
      </c>
      <c r="G2293" s="82" t="str">
        <f aca="false">IF(C2293="","",IF(P2293="","NJ INCONNU",INDEX('CARNET DE SOUDURE'!$AQ$7:$AQ$3006,P2293)))</f>
        <v>À SOUDER</v>
      </c>
      <c r="H2293" s="82" t="str">
        <f aca="false">IF(C2293="","",IF(G2293="ACCEPTÉ","OUI","NON"))</f>
        <v>NON</v>
      </c>
      <c r="I2293" s="83"/>
      <c r="J2293" s="80"/>
      <c r="K2293" s="81"/>
      <c r="L2293" s="81"/>
      <c r="M2293" s="81"/>
      <c r="N2293" s="84" t="str">
        <f aca="false">IF(C2293="","",IF(P2293="","NJ INCONNU",IF(I2293="",IF(H2293="OUI","À ENROBER",IF(G2293="À SOUDER","NON SOUDÉ","EN ATTENTE RT")),IF(L2293="R","À REPRENDRE",IF(H2293&lt;&gt;"OUI","⚠ ENROBÉ AVANT ACCEPTATION RT","ENROBÉ")))))</f>
        <v>NON SOUDÉ</v>
      </c>
      <c r="O2293" s="80"/>
      <c r="P2293" s="82" t="n">
        <f aca="false">IF(C2293="","",IFERROR(MATCH(Q2293,'CARNET DE SOUDURE'!$AW$7:$AW$3006,0),""))</f>
        <v>2287</v>
      </c>
      <c r="Q2293" s="82" t="str">
        <f aca="false">IF(C2293="","",B2293&amp;"|"&amp;C2293)</f>
        <v>MFD-ISW → MFD-CPF|JN°1809</v>
      </c>
    </row>
    <row r="2294" customFormat="false" ht="74.6" hidden="false" customHeight="false" outlineLevel="0" collapsed="false">
      <c r="A2294" s="82" t="n">
        <f aca="false">IF(C2294="","",ROW()-6)</f>
        <v>2288</v>
      </c>
      <c r="B2294" s="80" t="s">
        <v>110</v>
      </c>
      <c r="C2294" s="113" t="s">
        <v>2782</v>
      </c>
      <c r="D2294" s="82" t="str">
        <f aca="false">IF(OR(C2294="",P2294=""),"",INDEX('CARNET DE SOUDURE'!$D$7:$D$3006,P2294)&amp;"")</f>
        <v>22</v>
      </c>
      <c r="E2294" s="114" t="n">
        <f aca="false">IF(OR(C2294="",P2294=""),"",IF(INDEX('CARNET DE SOUDURE'!$U$7:$U$3006,P2294)="","",INDEX('CARNET DE SOUDURE'!$U$7:$U$3006,P2294)))</f>
        <v>46260</v>
      </c>
      <c r="F2294" s="82" t="str">
        <f aca="false">IF(OR(C2294="",P2294=""),"",INDEX('CARNET DE SOUDURE'!$AP$7:$AP$3006,P2294))</f>
        <v>A</v>
      </c>
      <c r="G2294" s="82" t="str">
        <f aca="false">IF(C2294="","",IF(P2294="","NJ INCONNU",INDEX('CARNET DE SOUDURE'!$AQ$7:$AQ$3006,P2294)))</f>
        <v>ACCEPTÉ</v>
      </c>
      <c r="H2294" s="82" t="str">
        <f aca="false">IF(C2294="","",IF(G2294="ACCEPTÉ","OUI","NON"))</f>
        <v>OUI</v>
      </c>
      <c r="I2294" s="83"/>
      <c r="J2294" s="80"/>
      <c r="K2294" s="81"/>
      <c r="L2294" s="81"/>
      <c r="M2294" s="81"/>
      <c r="N2294" s="84" t="str">
        <f aca="false">IF(C2294="","",IF(P2294="","NJ INCONNU",IF(I2294="",IF(H2294="OUI","À ENROBER",IF(G2294="À SOUDER","NON SOUDÉ","EN ATTENTE RT")),IF(L2294="R","À REPRENDRE",IF(H2294&lt;&gt;"OUI","⚠ ENROBÉ AVANT ACCEPTATION RT","ENROBÉ")))))</f>
        <v>À ENROBER</v>
      </c>
      <c r="O2294" s="80"/>
      <c r="P2294" s="82" t="n">
        <f aca="false">IF(C2294="","",IFERROR(MATCH(Q2294,'CARNET DE SOUDURE'!$AW$7:$AW$3006,0),""))</f>
        <v>2288</v>
      </c>
      <c r="Q2294" s="82" t="str">
        <f aca="false">IF(C2294="","",B2294&amp;"|"&amp;C2294)</f>
        <v>MFD-ISW → MFD-CPF|JN°1810</v>
      </c>
    </row>
    <row r="2295" customFormat="false" ht="74.6" hidden="false" customHeight="false" outlineLevel="0" collapsed="false">
      <c r="A2295" s="82" t="n">
        <f aca="false">IF(C2295="","",ROW()-6)</f>
        <v>2289</v>
      </c>
      <c r="B2295" s="80" t="s">
        <v>110</v>
      </c>
      <c r="C2295" s="113" t="s">
        <v>2783</v>
      </c>
      <c r="D2295" s="82" t="str">
        <f aca="false">IF(OR(C2295="",P2295=""),"",INDEX('CARNET DE SOUDURE'!$D$7:$D$3006,P2295)&amp;"")</f>
        <v>22</v>
      </c>
      <c r="E2295" s="114" t="n">
        <f aca="false">IF(OR(C2295="",P2295=""),"",IF(INDEX('CARNET DE SOUDURE'!$U$7:$U$3006,P2295)="","",INDEX('CARNET DE SOUDURE'!$U$7:$U$3006,P2295)))</f>
        <v>46260</v>
      </c>
      <c r="F2295" s="82" t="str">
        <f aca="false">IF(OR(C2295="",P2295=""),"",INDEX('CARNET DE SOUDURE'!$AP$7:$AP$3006,P2295))</f>
        <v>A</v>
      </c>
      <c r="G2295" s="82" t="str">
        <f aca="false">IF(C2295="","",IF(P2295="","NJ INCONNU",INDEX('CARNET DE SOUDURE'!$AQ$7:$AQ$3006,P2295)))</f>
        <v>ACCEPTÉ</v>
      </c>
      <c r="H2295" s="82" t="str">
        <f aca="false">IF(C2295="","",IF(G2295="ACCEPTÉ","OUI","NON"))</f>
        <v>OUI</v>
      </c>
      <c r="I2295" s="83"/>
      <c r="J2295" s="80"/>
      <c r="K2295" s="81"/>
      <c r="L2295" s="81"/>
      <c r="M2295" s="81"/>
      <c r="N2295" s="84" t="str">
        <f aca="false">IF(C2295="","",IF(P2295="","NJ INCONNU",IF(I2295="",IF(H2295="OUI","À ENROBER",IF(G2295="À SOUDER","NON SOUDÉ","EN ATTENTE RT")),IF(L2295="R","À REPRENDRE",IF(H2295&lt;&gt;"OUI","⚠ ENROBÉ AVANT ACCEPTATION RT","ENROBÉ")))))</f>
        <v>À ENROBER</v>
      </c>
      <c r="O2295" s="80"/>
      <c r="P2295" s="82" t="n">
        <f aca="false">IF(C2295="","",IFERROR(MATCH(Q2295,'CARNET DE SOUDURE'!$AW$7:$AW$3006,0),""))</f>
        <v>2289</v>
      </c>
      <c r="Q2295" s="82" t="str">
        <f aca="false">IF(C2295="","",B2295&amp;"|"&amp;C2295)</f>
        <v>MFD-ISW → MFD-CPF|JN°1811</v>
      </c>
    </row>
    <row r="2296" customFormat="false" ht="74.6" hidden="false" customHeight="false" outlineLevel="0" collapsed="false">
      <c r="A2296" s="82" t="n">
        <f aca="false">IF(C2296="","",ROW()-6)</f>
        <v>2290</v>
      </c>
      <c r="B2296" s="80" t="s">
        <v>110</v>
      </c>
      <c r="C2296" s="113" t="s">
        <v>2784</v>
      </c>
      <c r="D2296" s="82" t="str">
        <f aca="false">IF(OR(C2296="",P2296=""),"",INDEX('CARNET DE SOUDURE'!$D$7:$D$3006,P2296)&amp;"")</f>
        <v>22</v>
      </c>
      <c r="E2296" s="114" t="n">
        <f aca="false">IF(OR(C2296="",P2296=""),"",IF(INDEX('CARNET DE SOUDURE'!$U$7:$U$3006,P2296)="","",INDEX('CARNET DE SOUDURE'!$U$7:$U$3006,P2296)))</f>
        <v>46260</v>
      </c>
      <c r="F2296" s="82" t="str">
        <f aca="false">IF(OR(C2296="",P2296=""),"",INDEX('CARNET DE SOUDURE'!$AP$7:$AP$3006,P2296))</f>
        <v>A</v>
      </c>
      <c r="G2296" s="82" t="str">
        <f aca="false">IF(C2296="","",IF(P2296="","NJ INCONNU",INDEX('CARNET DE SOUDURE'!$AQ$7:$AQ$3006,P2296)))</f>
        <v>ACCEPTÉ</v>
      </c>
      <c r="H2296" s="82" t="str">
        <f aca="false">IF(C2296="","",IF(G2296="ACCEPTÉ","OUI","NON"))</f>
        <v>OUI</v>
      </c>
      <c r="I2296" s="83"/>
      <c r="J2296" s="80"/>
      <c r="K2296" s="81"/>
      <c r="L2296" s="81"/>
      <c r="M2296" s="81"/>
      <c r="N2296" s="84" t="str">
        <f aca="false">IF(C2296="","",IF(P2296="","NJ INCONNU",IF(I2296="",IF(H2296="OUI","À ENROBER",IF(G2296="À SOUDER","NON SOUDÉ","EN ATTENTE RT")),IF(L2296="R","À REPRENDRE",IF(H2296&lt;&gt;"OUI","⚠ ENROBÉ AVANT ACCEPTATION RT","ENROBÉ")))))</f>
        <v>À ENROBER</v>
      </c>
      <c r="O2296" s="80"/>
      <c r="P2296" s="82" t="n">
        <f aca="false">IF(C2296="","",IFERROR(MATCH(Q2296,'CARNET DE SOUDURE'!$AW$7:$AW$3006,0),""))</f>
        <v>2290</v>
      </c>
      <c r="Q2296" s="82" t="str">
        <f aca="false">IF(C2296="","",B2296&amp;"|"&amp;C2296)</f>
        <v>MFD-ISW → MFD-CPF|JN°1812</v>
      </c>
    </row>
    <row r="2297" customFormat="false" ht="74.6" hidden="false" customHeight="false" outlineLevel="0" collapsed="false">
      <c r="A2297" s="82" t="n">
        <f aca="false">IF(C2297="","",ROW()-6)</f>
        <v>2291</v>
      </c>
      <c r="B2297" s="80" t="s">
        <v>110</v>
      </c>
      <c r="C2297" s="113" t="s">
        <v>2785</v>
      </c>
      <c r="D2297" s="82" t="str">
        <f aca="false">IF(OR(C2297="",P2297=""),"",INDEX('CARNET DE SOUDURE'!$D$7:$D$3006,P2297)&amp;"")</f>
        <v>22</v>
      </c>
      <c r="E2297" s="114" t="n">
        <f aca="false">IF(OR(C2297="",P2297=""),"",IF(INDEX('CARNET DE SOUDURE'!$U$7:$U$3006,P2297)="","",INDEX('CARNET DE SOUDURE'!$U$7:$U$3006,P2297)))</f>
        <v>46260</v>
      </c>
      <c r="F2297" s="82" t="str">
        <f aca="false">IF(OR(C2297="",P2297=""),"",INDEX('CARNET DE SOUDURE'!$AP$7:$AP$3006,P2297))</f>
        <v>A</v>
      </c>
      <c r="G2297" s="82" t="str">
        <f aca="false">IF(C2297="","",IF(P2297="","NJ INCONNU",INDEX('CARNET DE SOUDURE'!$AQ$7:$AQ$3006,P2297)))</f>
        <v>ACCEPTÉ</v>
      </c>
      <c r="H2297" s="82" t="str">
        <f aca="false">IF(C2297="","",IF(G2297="ACCEPTÉ","OUI","NON"))</f>
        <v>OUI</v>
      </c>
      <c r="I2297" s="83"/>
      <c r="J2297" s="80"/>
      <c r="K2297" s="81"/>
      <c r="L2297" s="81"/>
      <c r="M2297" s="81"/>
      <c r="N2297" s="84" t="str">
        <f aca="false">IF(C2297="","",IF(P2297="","NJ INCONNU",IF(I2297="",IF(H2297="OUI","À ENROBER",IF(G2297="À SOUDER","NON SOUDÉ","EN ATTENTE RT")),IF(L2297="R","À REPRENDRE",IF(H2297&lt;&gt;"OUI","⚠ ENROBÉ AVANT ACCEPTATION RT","ENROBÉ")))))</f>
        <v>À ENROBER</v>
      </c>
      <c r="O2297" s="80"/>
      <c r="P2297" s="82" t="n">
        <f aca="false">IF(C2297="","",IFERROR(MATCH(Q2297,'CARNET DE SOUDURE'!$AW$7:$AW$3006,0),""))</f>
        <v>2291</v>
      </c>
      <c r="Q2297" s="82" t="str">
        <f aca="false">IF(C2297="","",B2297&amp;"|"&amp;C2297)</f>
        <v>MFD-ISW → MFD-CPF|JN°1813</v>
      </c>
    </row>
    <row r="2298" customFormat="false" ht="74.6" hidden="false" customHeight="false" outlineLevel="0" collapsed="false">
      <c r="A2298" s="82" t="n">
        <f aca="false">IF(C2298="","",ROW()-6)</f>
        <v>2292</v>
      </c>
      <c r="B2298" s="80" t="s">
        <v>110</v>
      </c>
      <c r="C2298" s="113" t="s">
        <v>2787</v>
      </c>
      <c r="D2298" s="82" t="str">
        <f aca="false">IF(OR(C2298="",P2298=""),"",INDEX('CARNET DE SOUDURE'!$D$7:$D$3006,P2298)&amp;"")</f>
        <v>22</v>
      </c>
      <c r="E2298" s="114" t="n">
        <f aca="false">IF(OR(C2298="",P2298=""),"",IF(INDEX('CARNET DE SOUDURE'!$U$7:$U$3006,P2298)="","",INDEX('CARNET DE SOUDURE'!$U$7:$U$3006,P2298)))</f>
        <v>46260</v>
      </c>
      <c r="F2298" s="82" t="str">
        <f aca="false">IF(OR(C2298="",P2298=""),"",INDEX('CARNET DE SOUDURE'!$AP$7:$AP$3006,P2298))</f>
        <v>A</v>
      </c>
      <c r="G2298" s="82" t="str">
        <f aca="false">IF(C2298="","",IF(P2298="","NJ INCONNU",INDEX('CARNET DE SOUDURE'!$AQ$7:$AQ$3006,P2298)))</f>
        <v>ACCEPTÉ</v>
      </c>
      <c r="H2298" s="82" t="str">
        <f aca="false">IF(C2298="","",IF(G2298="ACCEPTÉ","OUI","NON"))</f>
        <v>OUI</v>
      </c>
      <c r="I2298" s="83"/>
      <c r="J2298" s="80"/>
      <c r="K2298" s="81"/>
      <c r="L2298" s="81"/>
      <c r="M2298" s="81"/>
      <c r="N2298" s="84" t="str">
        <f aca="false">IF(C2298="","",IF(P2298="","NJ INCONNU",IF(I2298="",IF(H2298="OUI","À ENROBER",IF(G2298="À SOUDER","NON SOUDÉ","EN ATTENTE RT")),IF(L2298="R","À REPRENDRE",IF(H2298&lt;&gt;"OUI","⚠ ENROBÉ AVANT ACCEPTATION RT","ENROBÉ")))))</f>
        <v>À ENROBER</v>
      </c>
      <c r="O2298" s="80"/>
      <c r="P2298" s="82" t="n">
        <f aca="false">IF(C2298="","",IFERROR(MATCH(Q2298,'CARNET DE SOUDURE'!$AW$7:$AW$3006,0),""))</f>
        <v>2292</v>
      </c>
      <c r="Q2298" s="82" t="str">
        <f aca="false">IF(C2298="","",B2298&amp;"|"&amp;C2298)</f>
        <v>MFD-ISW → MFD-CPF|JN°1814</v>
      </c>
    </row>
    <row r="2299" customFormat="false" ht="74.6" hidden="false" customHeight="false" outlineLevel="0" collapsed="false">
      <c r="A2299" s="82" t="n">
        <f aca="false">IF(C2299="","",ROW()-6)</f>
        <v>2293</v>
      </c>
      <c r="B2299" s="80" t="s">
        <v>110</v>
      </c>
      <c r="C2299" s="113" t="s">
        <v>2788</v>
      </c>
      <c r="D2299" s="82" t="str">
        <f aca="false">IF(OR(C2299="",P2299=""),"",INDEX('CARNET DE SOUDURE'!$D$7:$D$3006,P2299)&amp;"")</f>
        <v>22</v>
      </c>
      <c r="E2299" s="114" t="n">
        <f aca="false">IF(OR(C2299="",P2299=""),"",IF(INDEX('CARNET DE SOUDURE'!$U$7:$U$3006,P2299)="","",INDEX('CARNET DE SOUDURE'!$U$7:$U$3006,P2299)))</f>
        <v>46260</v>
      </c>
      <c r="F2299" s="82" t="str">
        <f aca="false">IF(OR(C2299="",P2299=""),"",INDEX('CARNET DE SOUDURE'!$AP$7:$AP$3006,P2299))</f>
        <v>A</v>
      </c>
      <c r="G2299" s="82" t="str">
        <f aca="false">IF(C2299="","",IF(P2299="","NJ INCONNU",INDEX('CARNET DE SOUDURE'!$AQ$7:$AQ$3006,P2299)))</f>
        <v>ACCEPTÉ</v>
      </c>
      <c r="H2299" s="82" t="str">
        <f aca="false">IF(C2299="","",IF(G2299="ACCEPTÉ","OUI","NON"))</f>
        <v>OUI</v>
      </c>
      <c r="I2299" s="83"/>
      <c r="J2299" s="80"/>
      <c r="K2299" s="81"/>
      <c r="L2299" s="81"/>
      <c r="M2299" s="81"/>
      <c r="N2299" s="84" t="str">
        <f aca="false">IF(C2299="","",IF(P2299="","NJ INCONNU",IF(I2299="",IF(H2299="OUI","À ENROBER",IF(G2299="À SOUDER","NON SOUDÉ","EN ATTENTE RT")),IF(L2299="R","À REPRENDRE",IF(H2299&lt;&gt;"OUI","⚠ ENROBÉ AVANT ACCEPTATION RT","ENROBÉ")))))</f>
        <v>À ENROBER</v>
      </c>
      <c r="O2299" s="80"/>
      <c r="P2299" s="82" t="n">
        <f aca="false">IF(C2299="","",IFERROR(MATCH(Q2299,'CARNET DE SOUDURE'!$AW$7:$AW$3006,0),""))</f>
        <v>2293</v>
      </c>
      <c r="Q2299" s="82" t="str">
        <f aca="false">IF(C2299="","",B2299&amp;"|"&amp;C2299)</f>
        <v>MFD-ISW → MFD-CPF|JN°1815</v>
      </c>
    </row>
    <row r="2300" customFormat="false" ht="74.6" hidden="false" customHeight="false" outlineLevel="0" collapsed="false">
      <c r="A2300" s="82" t="n">
        <f aca="false">IF(C2300="","",ROW()-6)</f>
        <v>2294</v>
      </c>
      <c r="B2300" s="80" t="s">
        <v>110</v>
      </c>
      <c r="C2300" s="113" t="s">
        <v>2789</v>
      </c>
      <c r="D2300" s="82" t="str">
        <f aca="false">IF(OR(C2300="",P2300=""),"",INDEX('CARNET DE SOUDURE'!$D$7:$D$3006,P2300)&amp;"")</f>
        <v>22</v>
      </c>
      <c r="E2300" s="114" t="n">
        <f aca="false">IF(OR(C2300="",P2300=""),"",IF(INDEX('CARNET DE SOUDURE'!$U$7:$U$3006,P2300)="","",INDEX('CARNET DE SOUDURE'!$U$7:$U$3006,P2300)))</f>
        <v>46260</v>
      </c>
      <c r="F2300" s="82" t="str">
        <f aca="false">IF(OR(C2300="",P2300=""),"",INDEX('CARNET DE SOUDURE'!$AP$7:$AP$3006,P2300))</f>
        <v>A</v>
      </c>
      <c r="G2300" s="82" t="str">
        <f aca="false">IF(C2300="","",IF(P2300="","NJ INCONNU",INDEX('CARNET DE SOUDURE'!$AQ$7:$AQ$3006,P2300)))</f>
        <v>ACCEPTÉ</v>
      </c>
      <c r="H2300" s="82" t="str">
        <f aca="false">IF(C2300="","",IF(G2300="ACCEPTÉ","OUI","NON"))</f>
        <v>OUI</v>
      </c>
      <c r="I2300" s="83"/>
      <c r="J2300" s="80"/>
      <c r="K2300" s="81"/>
      <c r="L2300" s="81"/>
      <c r="M2300" s="81"/>
      <c r="N2300" s="84" t="str">
        <f aca="false">IF(C2300="","",IF(P2300="","NJ INCONNU",IF(I2300="",IF(H2300="OUI","À ENROBER",IF(G2300="À SOUDER","NON SOUDÉ","EN ATTENTE RT")),IF(L2300="R","À REPRENDRE",IF(H2300&lt;&gt;"OUI","⚠ ENROBÉ AVANT ACCEPTATION RT","ENROBÉ")))))</f>
        <v>À ENROBER</v>
      </c>
      <c r="O2300" s="80"/>
      <c r="P2300" s="82" t="n">
        <f aca="false">IF(C2300="","",IFERROR(MATCH(Q2300,'CARNET DE SOUDURE'!$AW$7:$AW$3006,0),""))</f>
        <v>2294</v>
      </c>
      <c r="Q2300" s="82" t="str">
        <f aca="false">IF(C2300="","",B2300&amp;"|"&amp;C2300)</f>
        <v>MFD-ISW → MFD-CPF|JN°1816</v>
      </c>
    </row>
    <row r="2301" customFormat="false" ht="74.6" hidden="false" customHeight="false" outlineLevel="0" collapsed="false">
      <c r="A2301" s="82" t="n">
        <f aca="false">IF(C2301="","",ROW()-6)</f>
        <v>2295</v>
      </c>
      <c r="B2301" s="80" t="s">
        <v>110</v>
      </c>
      <c r="C2301" s="113" t="s">
        <v>2790</v>
      </c>
      <c r="D2301" s="82" t="str">
        <f aca="false">IF(OR(C2301="",P2301=""),"",INDEX('CARNET DE SOUDURE'!$D$7:$D$3006,P2301)&amp;"")</f>
        <v>23</v>
      </c>
      <c r="E2301" s="114" t="n">
        <f aca="false">IF(OR(C2301="",P2301=""),"",IF(INDEX('CARNET DE SOUDURE'!$U$7:$U$3006,P2301)="","",INDEX('CARNET DE SOUDURE'!$U$7:$U$3006,P2301)))</f>
        <v>46259</v>
      </c>
      <c r="F2301" s="82" t="str">
        <f aca="false">IF(OR(C2301="",P2301=""),"",INDEX('CARNET DE SOUDURE'!$AP$7:$AP$3006,P2301))</f>
        <v>A</v>
      </c>
      <c r="G2301" s="82" t="str">
        <f aca="false">IF(C2301="","",IF(P2301="","NJ INCONNU",INDEX('CARNET DE SOUDURE'!$AQ$7:$AQ$3006,P2301)))</f>
        <v>ACCEPTÉ</v>
      </c>
      <c r="H2301" s="82" t="str">
        <f aca="false">IF(C2301="","",IF(G2301="ACCEPTÉ","OUI","NON"))</f>
        <v>OUI</v>
      </c>
      <c r="I2301" s="83"/>
      <c r="J2301" s="80"/>
      <c r="K2301" s="81"/>
      <c r="L2301" s="81"/>
      <c r="M2301" s="81"/>
      <c r="N2301" s="84" t="str">
        <f aca="false">IF(C2301="","",IF(P2301="","NJ INCONNU",IF(I2301="",IF(H2301="OUI","À ENROBER",IF(G2301="À SOUDER","NON SOUDÉ","EN ATTENTE RT")),IF(L2301="R","À REPRENDRE",IF(H2301&lt;&gt;"OUI","⚠ ENROBÉ AVANT ACCEPTATION RT","ENROBÉ")))))</f>
        <v>À ENROBER</v>
      </c>
      <c r="O2301" s="80"/>
      <c r="P2301" s="82" t="n">
        <f aca="false">IF(C2301="","",IFERROR(MATCH(Q2301,'CARNET DE SOUDURE'!$AW$7:$AW$3006,0),""))</f>
        <v>2295</v>
      </c>
      <c r="Q2301" s="82" t="str">
        <f aca="false">IF(C2301="","",B2301&amp;"|"&amp;C2301)</f>
        <v>MFD-ISW → MFD-CPF|JN°1817</v>
      </c>
    </row>
    <row r="2302" customFormat="false" ht="74.6" hidden="false" customHeight="false" outlineLevel="0" collapsed="false">
      <c r="A2302" s="82" t="n">
        <f aca="false">IF(C2302="","",ROW()-6)</f>
        <v>2296</v>
      </c>
      <c r="B2302" s="80" t="s">
        <v>110</v>
      </c>
      <c r="C2302" s="113" t="s">
        <v>2793</v>
      </c>
      <c r="D2302" s="82" t="str">
        <f aca="false">IF(OR(C2302="",P2302=""),"",INDEX('CARNET DE SOUDURE'!$D$7:$D$3006,P2302)&amp;"")</f>
        <v>23</v>
      </c>
      <c r="E2302" s="114" t="n">
        <f aca="false">IF(OR(C2302="",P2302=""),"",IF(INDEX('CARNET DE SOUDURE'!$U$7:$U$3006,P2302)="","",INDEX('CARNET DE SOUDURE'!$U$7:$U$3006,P2302)))</f>
        <v>46259</v>
      </c>
      <c r="F2302" s="82" t="str">
        <f aca="false">IF(OR(C2302="",P2302=""),"",INDEX('CARNET DE SOUDURE'!$AP$7:$AP$3006,P2302))</f>
        <v>A</v>
      </c>
      <c r="G2302" s="82" t="str">
        <f aca="false">IF(C2302="","",IF(P2302="","NJ INCONNU",INDEX('CARNET DE SOUDURE'!$AQ$7:$AQ$3006,P2302)))</f>
        <v>ACCEPTÉ</v>
      </c>
      <c r="H2302" s="82" t="str">
        <f aca="false">IF(C2302="","",IF(G2302="ACCEPTÉ","OUI","NON"))</f>
        <v>OUI</v>
      </c>
      <c r="I2302" s="83"/>
      <c r="J2302" s="80"/>
      <c r="K2302" s="81"/>
      <c r="L2302" s="81"/>
      <c r="M2302" s="81"/>
      <c r="N2302" s="84" t="str">
        <f aca="false">IF(C2302="","",IF(P2302="","NJ INCONNU",IF(I2302="",IF(H2302="OUI","À ENROBER",IF(G2302="À SOUDER","NON SOUDÉ","EN ATTENTE RT")),IF(L2302="R","À REPRENDRE",IF(H2302&lt;&gt;"OUI","⚠ ENROBÉ AVANT ACCEPTATION RT","ENROBÉ")))))</f>
        <v>À ENROBER</v>
      </c>
      <c r="O2302" s="80"/>
      <c r="P2302" s="82" t="n">
        <f aca="false">IF(C2302="","",IFERROR(MATCH(Q2302,'CARNET DE SOUDURE'!$AW$7:$AW$3006,0),""))</f>
        <v>2296</v>
      </c>
      <c r="Q2302" s="82" t="str">
        <f aca="false">IF(C2302="","",B2302&amp;"|"&amp;C2302)</f>
        <v>MFD-ISW → MFD-CPF|JN°1818</v>
      </c>
    </row>
    <row r="2303" customFormat="false" ht="74.6" hidden="false" customHeight="false" outlineLevel="0" collapsed="false">
      <c r="A2303" s="82" t="n">
        <f aca="false">IF(C2303="","",ROW()-6)</f>
        <v>2297</v>
      </c>
      <c r="B2303" s="80" t="s">
        <v>110</v>
      </c>
      <c r="C2303" s="113" t="s">
        <v>2794</v>
      </c>
      <c r="D2303" s="82" t="str">
        <f aca="false">IF(OR(C2303="",P2303=""),"",INDEX('CARNET DE SOUDURE'!$D$7:$D$3006,P2303)&amp;"")</f>
        <v>23</v>
      </c>
      <c r="E2303" s="114" t="n">
        <f aca="false">IF(OR(C2303="",P2303=""),"",IF(INDEX('CARNET DE SOUDURE'!$U$7:$U$3006,P2303)="","",INDEX('CARNET DE SOUDURE'!$U$7:$U$3006,P2303)))</f>
        <v>46259</v>
      </c>
      <c r="F2303" s="82" t="str">
        <f aca="false">IF(OR(C2303="",P2303=""),"",INDEX('CARNET DE SOUDURE'!$AP$7:$AP$3006,P2303))</f>
        <v>A</v>
      </c>
      <c r="G2303" s="82" t="str">
        <f aca="false">IF(C2303="","",IF(P2303="","NJ INCONNU",INDEX('CARNET DE SOUDURE'!$AQ$7:$AQ$3006,P2303)))</f>
        <v>ACCEPTÉ</v>
      </c>
      <c r="H2303" s="82" t="str">
        <f aca="false">IF(C2303="","",IF(G2303="ACCEPTÉ","OUI","NON"))</f>
        <v>OUI</v>
      </c>
      <c r="I2303" s="83"/>
      <c r="J2303" s="80"/>
      <c r="K2303" s="81"/>
      <c r="L2303" s="81"/>
      <c r="M2303" s="81"/>
      <c r="N2303" s="84" t="str">
        <f aca="false">IF(C2303="","",IF(P2303="","NJ INCONNU",IF(I2303="",IF(H2303="OUI","À ENROBER",IF(G2303="À SOUDER","NON SOUDÉ","EN ATTENTE RT")),IF(L2303="R","À REPRENDRE",IF(H2303&lt;&gt;"OUI","⚠ ENROBÉ AVANT ACCEPTATION RT","ENROBÉ")))))</f>
        <v>À ENROBER</v>
      </c>
      <c r="O2303" s="80"/>
      <c r="P2303" s="82" t="n">
        <f aca="false">IF(C2303="","",IFERROR(MATCH(Q2303,'CARNET DE SOUDURE'!$AW$7:$AW$3006,0),""))</f>
        <v>2297</v>
      </c>
      <c r="Q2303" s="82" t="str">
        <f aca="false">IF(C2303="","",B2303&amp;"|"&amp;C2303)</f>
        <v>MFD-ISW → MFD-CPF|JN°1819</v>
      </c>
    </row>
    <row r="2304" customFormat="false" ht="74.6" hidden="false" customHeight="false" outlineLevel="0" collapsed="false">
      <c r="A2304" s="82" t="n">
        <f aca="false">IF(C2304="","",ROW()-6)</f>
        <v>2298</v>
      </c>
      <c r="B2304" s="80" t="s">
        <v>110</v>
      </c>
      <c r="C2304" s="113" t="s">
        <v>2796</v>
      </c>
      <c r="D2304" s="82" t="str">
        <f aca="false">IF(OR(C2304="",P2304=""),"",INDEX('CARNET DE SOUDURE'!$D$7:$D$3006,P2304)&amp;"")</f>
        <v>23</v>
      </c>
      <c r="E2304" s="114" t="n">
        <f aca="false">IF(OR(C2304="",P2304=""),"",IF(INDEX('CARNET DE SOUDURE'!$U$7:$U$3006,P2304)="","",INDEX('CARNET DE SOUDURE'!$U$7:$U$3006,P2304)))</f>
        <v>46259</v>
      </c>
      <c r="F2304" s="82" t="str">
        <f aca="false">IF(OR(C2304="",P2304=""),"",INDEX('CARNET DE SOUDURE'!$AP$7:$AP$3006,P2304))</f>
        <v>A</v>
      </c>
      <c r="G2304" s="82" t="str">
        <f aca="false">IF(C2304="","",IF(P2304="","NJ INCONNU",INDEX('CARNET DE SOUDURE'!$AQ$7:$AQ$3006,P2304)))</f>
        <v>ACCEPTÉ</v>
      </c>
      <c r="H2304" s="82" t="str">
        <f aca="false">IF(C2304="","",IF(G2304="ACCEPTÉ","OUI","NON"))</f>
        <v>OUI</v>
      </c>
      <c r="I2304" s="83"/>
      <c r="J2304" s="80"/>
      <c r="K2304" s="81"/>
      <c r="L2304" s="81"/>
      <c r="M2304" s="81"/>
      <c r="N2304" s="84" t="str">
        <f aca="false">IF(C2304="","",IF(P2304="","NJ INCONNU",IF(I2304="",IF(H2304="OUI","À ENROBER",IF(G2304="À SOUDER","NON SOUDÉ","EN ATTENTE RT")),IF(L2304="R","À REPRENDRE",IF(H2304&lt;&gt;"OUI","⚠ ENROBÉ AVANT ACCEPTATION RT","ENROBÉ")))))</f>
        <v>À ENROBER</v>
      </c>
      <c r="O2304" s="80"/>
      <c r="P2304" s="82" t="n">
        <f aca="false">IF(C2304="","",IFERROR(MATCH(Q2304,'CARNET DE SOUDURE'!$AW$7:$AW$3006,0),""))</f>
        <v>2298</v>
      </c>
      <c r="Q2304" s="82" t="str">
        <f aca="false">IF(C2304="","",B2304&amp;"|"&amp;C2304)</f>
        <v>MFD-ISW → MFD-CPF|JN°1820</v>
      </c>
    </row>
    <row r="2305" customFormat="false" ht="74.6" hidden="false" customHeight="false" outlineLevel="0" collapsed="false">
      <c r="A2305" s="82" t="n">
        <f aca="false">IF(C2305="","",ROW()-6)</f>
        <v>2299</v>
      </c>
      <c r="B2305" s="80" t="s">
        <v>110</v>
      </c>
      <c r="C2305" s="113" t="s">
        <v>2797</v>
      </c>
      <c r="D2305" s="82" t="str">
        <f aca="false">IF(OR(C2305="",P2305=""),"",INDEX('CARNET DE SOUDURE'!$D$7:$D$3006,P2305)&amp;"")</f>
        <v>23</v>
      </c>
      <c r="E2305" s="114" t="n">
        <f aca="false">IF(OR(C2305="",P2305=""),"",IF(INDEX('CARNET DE SOUDURE'!$U$7:$U$3006,P2305)="","",INDEX('CARNET DE SOUDURE'!$U$7:$U$3006,P2305)))</f>
        <v>46259</v>
      </c>
      <c r="F2305" s="82" t="str">
        <f aca="false">IF(OR(C2305="",P2305=""),"",INDEX('CARNET DE SOUDURE'!$AP$7:$AP$3006,P2305))</f>
        <v>A</v>
      </c>
      <c r="G2305" s="82" t="str">
        <f aca="false">IF(C2305="","",IF(P2305="","NJ INCONNU",INDEX('CARNET DE SOUDURE'!$AQ$7:$AQ$3006,P2305)))</f>
        <v>ACCEPTÉ</v>
      </c>
      <c r="H2305" s="82" t="str">
        <f aca="false">IF(C2305="","",IF(G2305="ACCEPTÉ","OUI","NON"))</f>
        <v>OUI</v>
      </c>
      <c r="I2305" s="83"/>
      <c r="J2305" s="80"/>
      <c r="K2305" s="81"/>
      <c r="L2305" s="81"/>
      <c r="M2305" s="81"/>
      <c r="N2305" s="84" t="str">
        <f aca="false">IF(C2305="","",IF(P2305="","NJ INCONNU",IF(I2305="",IF(H2305="OUI","À ENROBER",IF(G2305="À SOUDER","NON SOUDÉ","EN ATTENTE RT")),IF(L2305="R","À REPRENDRE",IF(H2305&lt;&gt;"OUI","⚠ ENROBÉ AVANT ACCEPTATION RT","ENROBÉ")))))</f>
        <v>À ENROBER</v>
      </c>
      <c r="O2305" s="80"/>
      <c r="P2305" s="82" t="n">
        <f aca="false">IF(C2305="","",IFERROR(MATCH(Q2305,'CARNET DE SOUDURE'!$AW$7:$AW$3006,0),""))</f>
        <v>2299</v>
      </c>
      <c r="Q2305" s="82" t="str">
        <f aca="false">IF(C2305="","",B2305&amp;"|"&amp;C2305)</f>
        <v>MFD-ISW → MFD-CPF|JN°1821</v>
      </c>
    </row>
    <row r="2306" customFormat="false" ht="74.6" hidden="false" customHeight="false" outlineLevel="0" collapsed="false">
      <c r="A2306" s="82" t="n">
        <f aca="false">IF(C2306="","",ROW()-6)</f>
        <v>2300</v>
      </c>
      <c r="B2306" s="80" t="s">
        <v>110</v>
      </c>
      <c r="C2306" s="113" t="s">
        <v>2798</v>
      </c>
      <c r="D2306" s="82" t="str">
        <f aca="false">IF(OR(C2306="",P2306=""),"",INDEX('CARNET DE SOUDURE'!$D$7:$D$3006,P2306)&amp;"")</f>
        <v>23</v>
      </c>
      <c r="E2306" s="114" t="n">
        <f aca="false">IF(OR(C2306="",P2306=""),"",IF(INDEX('CARNET DE SOUDURE'!$U$7:$U$3006,P2306)="","",INDEX('CARNET DE SOUDURE'!$U$7:$U$3006,P2306)))</f>
        <v>46259</v>
      </c>
      <c r="F2306" s="82" t="str">
        <f aca="false">IF(OR(C2306="",P2306=""),"",INDEX('CARNET DE SOUDURE'!$AP$7:$AP$3006,P2306))</f>
        <v>A</v>
      </c>
      <c r="G2306" s="82" t="str">
        <f aca="false">IF(C2306="","",IF(P2306="","NJ INCONNU",INDEX('CARNET DE SOUDURE'!$AQ$7:$AQ$3006,P2306)))</f>
        <v>ACCEPTÉ</v>
      </c>
      <c r="H2306" s="82" t="str">
        <f aca="false">IF(C2306="","",IF(G2306="ACCEPTÉ","OUI","NON"))</f>
        <v>OUI</v>
      </c>
      <c r="I2306" s="83"/>
      <c r="J2306" s="80"/>
      <c r="K2306" s="81"/>
      <c r="L2306" s="81"/>
      <c r="M2306" s="81"/>
      <c r="N2306" s="84" t="str">
        <f aca="false">IF(C2306="","",IF(P2306="","NJ INCONNU",IF(I2306="",IF(H2306="OUI","À ENROBER",IF(G2306="À SOUDER","NON SOUDÉ","EN ATTENTE RT")),IF(L2306="R","À REPRENDRE",IF(H2306&lt;&gt;"OUI","⚠ ENROBÉ AVANT ACCEPTATION RT","ENROBÉ")))))</f>
        <v>À ENROBER</v>
      </c>
      <c r="O2306" s="80"/>
      <c r="P2306" s="82" t="n">
        <f aca="false">IF(C2306="","",IFERROR(MATCH(Q2306,'CARNET DE SOUDURE'!$AW$7:$AW$3006,0),""))</f>
        <v>2300</v>
      </c>
      <c r="Q2306" s="82" t="str">
        <f aca="false">IF(C2306="","",B2306&amp;"|"&amp;C2306)</f>
        <v>MFD-ISW → MFD-CPF|JN°1822</v>
      </c>
    </row>
    <row r="2307" customFormat="false" ht="74.6" hidden="false" customHeight="false" outlineLevel="0" collapsed="false">
      <c r="A2307" s="82" t="n">
        <f aca="false">IF(C2307="","",ROW()-6)</f>
        <v>2301</v>
      </c>
      <c r="B2307" s="80" t="s">
        <v>110</v>
      </c>
      <c r="C2307" s="113" t="s">
        <v>2799</v>
      </c>
      <c r="D2307" s="82" t="str">
        <f aca="false">IF(OR(C2307="",P2307=""),"",INDEX('CARNET DE SOUDURE'!$D$7:$D$3006,P2307)&amp;"")</f>
        <v>23</v>
      </c>
      <c r="E2307" s="114" t="n">
        <f aca="false">IF(OR(C2307="",P2307=""),"",IF(INDEX('CARNET DE SOUDURE'!$U$7:$U$3006,P2307)="","",INDEX('CARNET DE SOUDURE'!$U$7:$U$3006,P2307)))</f>
        <v>46259</v>
      </c>
      <c r="F2307" s="82" t="str">
        <f aca="false">IF(OR(C2307="",P2307=""),"",INDEX('CARNET DE SOUDURE'!$AP$7:$AP$3006,P2307))</f>
        <v>A</v>
      </c>
      <c r="G2307" s="82" t="str">
        <f aca="false">IF(C2307="","",IF(P2307="","NJ INCONNU",INDEX('CARNET DE SOUDURE'!$AQ$7:$AQ$3006,P2307)))</f>
        <v>ACCEPTÉ</v>
      </c>
      <c r="H2307" s="82" t="str">
        <f aca="false">IF(C2307="","",IF(G2307="ACCEPTÉ","OUI","NON"))</f>
        <v>OUI</v>
      </c>
      <c r="I2307" s="83"/>
      <c r="J2307" s="80"/>
      <c r="K2307" s="81"/>
      <c r="L2307" s="81"/>
      <c r="M2307" s="81"/>
      <c r="N2307" s="84" t="str">
        <f aca="false">IF(C2307="","",IF(P2307="","NJ INCONNU",IF(I2307="",IF(H2307="OUI","À ENROBER",IF(G2307="À SOUDER","NON SOUDÉ","EN ATTENTE RT")),IF(L2307="R","À REPRENDRE",IF(H2307&lt;&gt;"OUI","⚠ ENROBÉ AVANT ACCEPTATION RT","ENROBÉ")))))</f>
        <v>À ENROBER</v>
      </c>
      <c r="O2307" s="80"/>
      <c r="P2307" s="82" t="n">
        <f aca="false">IF(C2307="","",IFERROR(MATCH(Q2307,'CARNET DE SOUDURE'!$AW$7:$AW$3006,0),""))</f>
        <v>2301</v>
      </c>
      <c r="Q2307" s="82" t="str">
        <f aca="false">IF(C2307="","",B2307&amp;"|"&amp;C2307)</f>
        <v>MFD-ISW → MFD-CPF|JN°1823</v>
      </c>
    </row>
    <row r="2308" customFormat="false" ht="74.6" hidden="false" customHeight="false" outlineLevel="0" collapsed="false">
      <c r="A2308" s="82" t="n">
        <f aca="false">IF(C2308="","",ROW()-6)</f>
        <v>2302</v>
      </c>
      <c r="B2308" s="80" t="s">
        <v>110</v>
      </c>
      <c r="C2308" s="113" t="s">
        <v>2800</v>
      </c>
      <c r="D2308" s="82" t="str">
        <f aca="false">IF(OR(C2308="",P2308=""),"",INDEX('CARNET DE SOUDURE'!$D$7:$D$3006,P2308)&amp;"")</f>
        <v>23</v>
      </c>
      <c r="E2308" s="114" t="n">
        <f aca="false">IF(OR(C2308="",P2308=""),"",IF(INDEX('CARNET DE SOUDURE'!$U$7:$U$3006,P2308)="","",INDEX('CARNET DE SOUDURE'!$U$7:$U$3006,P2308)))</f>
        <v>46259</v>
      </c>
      <c r="F2308" s="82" t="str">
        <f aca="false">IF(OR(C2308="",P2308=""),"",INDEX('CARNET DE SOUDURE'!$AP$7:$AP$3006,P2308))</f>
        <v>A</v>
      </c>
      <c r="G2308" s="82" t="str">
        <f aca="false">IF(C2308="","",IF(P2308="","NJ INCONNU",INDEX('CARNET DE SOUDURE'!$AQ$7:$AQ$3006,P2308)))</f>
        <v>ACCEPTÉ</v>
      </c>
      <c r="H2308" s="82" t="str">
        <f aca="false">IF(C2308="","",IF(G2308="ACCEPTÉ","OUI","NON"))</f>
        <v>OUI</v>
      </c>
      <c r="I2308" s="83"/>
      <c r="J2308" s="80"/>
      <c r="K2308" s="81"/>
      <c r="L2308" s="81"/>
      <c r="M2308" s="81"/>
      <c r="N2308" s="84" t="str">
        <f aca="false">IF(C2308="","",IF(P2308="","NJ INCONNU",IF(I2308="",IF(H2308="OUI","À ENROBER",IF(G2308="À SOUDER","NON SOUDÉ","EN ATTENTE RT")),IF(L2308="R","À REPRENDRE",IF(H2308&lt;&gt;"OUI","⚠ ENROBÉ AVANT ACCEPTATION RT","ENROBÉ")))))</f>
        <v>À ENROBER</v>
      </c>
      <c r="O2308" s="80"/>
      <c r="P2308" s="82" t="n">
        <f aca="false">IF(C2308="","",IFERROR(MATCH(Q2308,'CARNET DE SOUDURE'!$AW$7:$AW$3006,0),""))</f>
        <v>2302</v>
      </c>
      <c r="Q2308" s="82" t="str">
        <f aca="false">IF(C2308="","",B2308&amp;"|"&amp;C2308)</f>
        <v>MFD-ISW → MFD-CPF|JN°1824</v>
      </c>
    </row>
    <row r="2309" customFormat="false" ht="74.6" hidden="false" customHeight="false" outlineLevel="0" collapsed="false">
      <c r="A2309" s="82" t="n">
        <f aca="false">IF(C2309="","",ROW()-6)</f>
        <v>2303</v>
      </c>
      <c r="B2309" s="80" t="s">
        <v>110</v>
      </c>
      <c r="C2309" s="113" t="s">
        <v>2801</v>
      </c>
      <c r="D2309" s="82" t="str">
        <f aca="false">IF(OR(C2309="",P2309=""),"",INDEX('CARNET DE SOUDURE'!$D$7:$D$3006,P2309)&amp;"")</f>
        <v>23</v>
      </c>
      <c r="E2309" s="114" t="n">
        <f aca="false">IF(OR(C2309="",P2309=""),"",IF(INDEX('CARNET DE SOUDURE'!$U$7:$U$3006,P2309)="","",INDEX('CARNET DE SOUDURE'!$U$7:$U$3006,P2309)))</f>
        <v>46259</v>
      </c>
      <c r="F2309" s="82" t="str">
        <f aca="false">IF(OR(C2309="",P2309=""),"",INDEX('CARNET DE SOUDURE'!$AP$7:$AP$3006,P2309))</f>
        <v>A</v>
      </c>
      <c r="G2309" s="82" t="str">
        <f aca="false">IF(C2309="","",IF(P2309="","NJ INCONNU",INDEX('CARNET DE SOUDURE'!$AQ$7:$AQ$3006,P2309)))</f>
        <v>ACCEPTÉ</v>
      </c>
      <c r="H2309" s="82" t="str">
        <f aca="false">IF(C2309="","",IF(G2309="ACCEPTÉ","OUI","NON"))</f>
        <v>OUI</v>
      </c>
      <c r="I2309" s="83"/>
      <c r="J2309" s="80"/>
      <c r="K2309" s="81"/>
      <c r="L2309" s="81"/>
      <c r="M2309" s="81"/>
      <c r="N2309" s="84" t="str">
        <f aca="false">IF(C2309="","",IF(P2309="","NJ INCONNU",IF(I2309="",IF(H2309="OUI","À ENROBER",IF(G2309="À SOUDER","NON SOUDÉ","EN ATTENTE RT")),IF(L2309="R","À REPRENDRE",IF(H2309&lt;&gt;"OUI","⚠ ENROBÉ AVANT ACCEPTATION RT","ENROBÉ")))))</f>
        <v>À ENROBER</v>
      </c>
      <c r="O2309" s="80"/>
      <c r="P2309" s="82" t="n">
        <f aca="false">IF(C2309="","",IFERROR(MATCH(Q2309,'CARNET DE SOUDURE'!$AW$7:$AW$3006,0),""))</f>
        <v>2303</v>
      </c>
      <c r="Q2309" s="82" t="str">
        <f aca="false">IF(C2309="","",B2309&amp;"|"&amp;C2309)</f>
        <v>MFD-ISW → MFD-CPF|JN°1825</v>
      </c>
    </row>
    <row r="2310" customFormat="false" ht="74.6" hidden="false" customHeight="false" outlineLevel="0" collapsed="false">
      <c r="A2310" s="82" t="n">
        <f aca="false">IF(C2310="","",ROW()-6)</f>
        <v>2304</v>
      </c>
      <c r="B2310" s="80" t="s">
        <v>110</v>
      </c>
      <c r="C2310" s="113" t="s">
        <v>2802</v>
      </c>
      <c r="D2310" s="82" t="str">
        <f aca="false">IF(OR(C2310="",P2310=""),"",INDEX('CARNET DE SOUDURE'!$D$7:$D$3006,P2310)&amp;"")</f>
        <v>23</v>
      </c>
      <c r="E2310" s="114" t="n">
        <f aca="false">IF(OR(C2310="",P2310=""),"",IF(INDEX('CARNET DE SOUDURE'!$U$7:$U$3006,P2310)="","",INDEX('CARNET DE SOUDURE'!$U$7:$U$3006,P2310)))</f>
        <v>46259</v>
      </c>
      <c r="F2310" s="82" t="str">
        <f aca="false">IF(OR(C2310="",P2310=""),"",INDEX('CARNET DE SOUDURE'!$AP$7:$AP$3006,P2310))</f>
        <v>A</v>
      </c>
      <c r="G2310" s="82" t="str">
        <f aca="false">IF(C2310="","",IF(P2310="","NJ INCONNU",INDEX('CARNET DE SOUDURE'!$AQ$7:$AQ$3006,P2310)))</f>
        <v>ACCEPTÉ</v>
      </c>
      <c r="H2310" s="82" t="str">
        <f aca="false">IF(C2310="","",IF(G2310="ACCEPTÉ","OUI","NON"))</f>
        <v>OUI</v>
      </c>
      <c r="I2310" s="83"/>
      <c r="J2310" s="80"/>
      <c r="K2310" s="81"/>
      <c r="L2310" s="81"/>
      <c r="M2310" s="81"/>
      <c r="N2310" s="84" t="str">
        <f aca="false">IF(C2310="","",IF(P2310="","NJ INCONNU",IF(I2310="",IF(H2310="OUI","À ENROBER",IF(G2310="À SOUDER","NON SOUDÉ","EN ATTENTE RT")),IF(L2310="R","À REPRENDRE",IF(H2310&lt;&gt;"OUI","⚠ ENROBÉ AVANT ACCEPTATION RT","ENROBÉ")))))</f>
        <v>À ENROBER</v>
      </c>
      <c r="O2310" s="80"/>
      <c r="P2310" s="82" t="n">
        <f aca="false">IF(C2310="","",IFERROR(MATCH(Q2310,'CARNET DE SOUDURE'!$AW$7:$AW$3006,0),""))</f>
        <v>2304</v>
      </c>
      <c r="Q2310" s="82" t="str">
        <f aca="false">IF(C2310="","",B2310&amp;"|"&amp;C2310)</f>
        <v>MFD-ISW → MFD-CPF|JN°1826</v>
      </c>
    </row>
    <row r="2311" customFormat="false" ht="74.6" hidden="false" customHeight="false" outlineLevel="0" collapsed="false">
      <c r="A2311" s="82" t="n">
        <f aca="false">IF(C2311="","",ROW()-6)</f>
        <v>2305</v>
      </c>
      <c r="B2311" s="80" t="s">
        <v>110</v>
      </c>
      <c r="C2311" s="113" t="s">
        <v>2803</v>
      </c>
      <c r="D2311" s="82" t="str">
        <f aca="false">IF(OR(C2311="",P2311=""),"",INDEX('CARNET DE SOUDURE'!$D$7:$D$3006,P2311)&amp;"")</f>
        <v>23</v>
      </c>
      <c r="E2311" s="114" t="n">
        <f aca="false">IF(OR(C2311="",P2311=""),"",IF(INDEX('CARNET DE SOUDURE'!$U$7:$U$3006,P2311)="","",INDEX('CARNET DE SOUDURE'!$U$7:$U$3006,P2311)))</f>
        <v>46259</v>
      </c>
      <c r="F2311" s="82" t="str">
        <f aca="false">IF(OR(C2311="",P2311=""),"",INDEX('CARNET DE SOUDURE'!$AP$7:$AP$3006,P2311))</f>
        <v>A</v>
      </c>
      <c r="G2311" s="82" t="str">
        <f aca="false">IF(C2311="","",IF(P2311="","NJ INCONNU",INDEX('CARNET DE SOUDURE'!$AQ$7:$AQ$3006,P2311)))</f>
        <v>ACCEPTÉ</v>
      </c>
      <c r="H2311" s="82" t="str">
        <f aca="false">IF(C2311="","",IF(G2311="ACCEPTÉ","OUI","NON"))</f>
        <v>OUI</v>
      </c>
      <c r="I2311" s="83"/>
      <c r="J2311" s="80"/>
      <c r="K2311" s="81"/>
      <c r="L2311" s="81"/>
      <c r="M2311" s="81"/>
      <c r="N2311" s="84" t="str">
        <f aca="false">IF(C2311="","",IF(P2311="","NJ INCONNU",IF(I2311="",IF(H2311="OUI","À ENROBER",IF(G2311="À SOUDER","NON SOUDÉ","EN ATTENTE RT")),IF(L2311="R","À REPRENDRE",IF(H2311&lt;&gt;"OUI","⚠ ENROBÉ AVANT ACCEPTATION RT","ENROBÉ")))))</f>
        <v>À ENROBER</v>
      </c>
      <c r="O2311" s="80"/>
      <c r="P2311" s="82" t="n">
        <f aca="false">IF(C2311="","",IFERROR(MATCH(Q2311,'CARNET DE SOUDURE'!$AW$7:$AW$3006,0),""))</f>
        <v>2305</v>
      </c>
      <c r="Q2311" s="82" t="str">
        <f aca="false">IF(C2311="","",B2311&amp;"|"&amp;C2311)</f>
        <v>MFD-ISW → MFD-CPF|JN°1827</v>
      </c>
    </row>
    <row r="2312" customFormat="false" ht="74.6" hidden="false" customHeight="false" outlineLevel="0" collapsed="false">
      <c r="A2312" s="82" t="n">
        <f aca="false">IF(C2312="","",ROW()-6)</f>
        <v>2306</v>
      </c>
      <c r="B2312" s="80" t="s">
        <v>110</v>
      </c>
      <c r="C2312" s="113" t="s">
        <v>2805</v>
      </c>
      <c r="D2312" s="82" t="str">
        <f aca="false">IF(OR(C2312="",P2312=""),"",INDEX('CARNET DE SOUDURE'!$D$7:$D$3006,P2312)&amp;"")</f>
        <v>23</v>
      </c>
      <c r="E2312" s="114" t="n">
        <f aca="false">IF(OR(C2312="",P2312=""),"",IF(INDEX('CARNET DE SOUDURE'!$U$7:$U$3006,P2312)="","",INDEX('CARNET DE SOUDURE'!$U$7:$U$3006,P2312)))</f>
        <v>46259</v>
      </c>
      <c r="F2312" s="82" t="str">
        <f aca="false">IF(OR(C2312="",P2312=""),"",INDEX('CARNET DE SOUDURE'!$AP$7:$AP$3006,P2312))</f>
        <v>A</v>
      </c>
      <c r="G2312" s="82" t="str">
        <f aca="false">IF(C2312="","",IF(P2312="","NJ INCONNU",INDEX('CARNET DE SOUDURE'!$AQ$7:$AQ$3006,P2312)))</f>
        <v>ACCEPTÉ</v>
      </c>
      <c r="H2312" s="82" t="str">
        <f aca="false">IF(C2312="","",IF(G2312="ACCEPTÉ","OUI","NON"))</f>
        <v>OUI</v>
      </c>
      <c r="I2312" s="83"/>
      <c r="J2312" s="80"/>
      <c r="K2312" s="81"/>
      <c r="L2312" s="81"/>
      <c r="M2312" s="81"/>
      <c r="N2312" s="84" t="str">
        <f aca="false">IF(C2312="","",IF(P2312="","NJ INCONNU",IF(I2312="",IF(H2312="OUI","À ENROBER",IF(G2312="À SOUDER","NON SOUDÉ","EN ATTENTE RT")),IF(L2312="R","À REPRENDRE",IF(H2312&lt;&gt;"OUI","⚠ ENROBÉ AVANT ACCEPTATION RT","ENROBÉ")))))</f>
        <v>À ENROBER</v>
      </c>
      <c r="O2312" s="80"/>
      <c r="P2312" s="82" t="n">
        <f aca="false">IF(C2312="","",IFERROR(MATCH(Q2312,'CARNET DE SOUDURE'!$AW$7:$AW$3006,0),""))</f>
        <v>2306</v>
      </c>
      <c r="Q2312" s="82" t="str">
        <f aca="false">IF(C2312="","",B2312&amp;"|"&amp;C2312)</f>
        <v>MFD-ISW → MFD-CPF|JN°1828</v>
      </c>
    </row>
    <row r="2313" customFormat="false" ht="74.6" hidden="false" customHeight="false" outlineLevel="0" collapsed="false">
      <c r="A2313" s="82" t="n">
        <f aca="false">IF(C2313="","",ROW()-6)</f>
        <v>2307</v>
      </c>
      <c r="B2313" s="80" t="s">
        <v>110</v>
      </c>
      <c r="C2313" s="113" t="s">
        <v>2806</v>
      </c>
      <c r="D2313" s="82" t="str">
        <f aca="false">IF(OR(C2313="",P2313=""),"",INDEX('CARNET DE SOUDURE'!$D$7:$D$3006,P2313)&amp;"")</f>
        <v>23</v>
      </c>
      <c r="E2313" s="114" t="n">
        <f aca="false">IF(OR(C2313="",P2313=""),"",IF(INDEX('CARNET DE SOUDURE'!$U$7:$U$3006,P2313)="","",INDEX('CARNET DE SOUDURE'!$U$7:$U$3006,P2313)))</f>
        <v>46259</v>
      </c>
      <c r="F2313" s="82" t="str">
        <f aca="false">IF(OR(C2313="",P2313=""),"",INDEX('CARNET DE SOUDURE'!$AP$7:$AP$3006,P2313))</f>
        <v>A</v>
      </c>
      <c r="G2313" s="82" t="str">
        <f aca="false">IF(C2313="","",IF(P2313="","NJ INCONNU",INDEX('CARNET DE SOUDURE'!$AQ$7:$AQ$3006,P2313)))</f>
        <v>ACCEPTÉ</v>
      </c>
      <c r="H2313" s="82" t="str">
        <f aca="false">IF(C2313="","",IF(G2313="ACCEPTÉ","OUI","NON"))</f>
        <v>OUI</v>
      </c>
      <c r="I2313" s="83"/>
      <c r="J2313" s="80"/>
      <c r="K2313" s="81"/>
      <c r="L2313" s="81"/>
      <c r="M2313" s="81"/>
      <c r="N2313" s="84" t="str">
        <f aca="false">IF(C2313="","",IF(P2313="","NJ INCONNU",IF(I2313="",IF(H2313="OUI","À ENROBER",IF(G2313="À SOUDER","NON SOUDÉ","EN ATTENTE RT")),IF(L2313="R","À REPRENDRE",IF(H2313&lt;&gt;"OUI","⚠ ENROBÉ AVANT ACCEPTATION RT","ENROBÉ")))))</f>
        <v>À ENROBER</v>
      </c>
      <c r="O2313" s="80"/>
      <c r="P2313" s="82" t="n">
        <f aca="false">IF(C2313="","",IFERROR(MATCH(Q2313,'CARNET DE SOUDURE'!$AW$7:$AW$3006,0),""))</f>
        <v>2307</v>
      </c>
      <c r="Q2313" s="82" t="str">
        <f aca="false">IF(C2313="","",B2313&amp;"|"&amp;C2313)</f>
        <v>MFD-ISW → MFD-CPF|JN°1829</v>
      </c>
    </row>
    <row r="2314" customFormat="false" ht="74.6" hidden="false" customHeight="false" outlineLevel="0" collapsed="false">
      <c r="A2314" s="82" t="n">
        <f aca="false">IF(C2314="","",ROW()-6)</f>
        <v>2308</v>
      </c>
      <c r="B2314" s="80" t="s">
        <v>110</v>
      </c>
      <c r="C2314" s="113" t="s">
        <v>2808</v>
      </c>
      <c r="D2314" s="82" t="str">
        <f aca="false">IF(OR(C2314="",P2314=""),"",INDEX('CARNET DE SOUDURE'!$D$7:$D$3006,P2314)&amp;"")</f>
        <v>23</v>
      </c>
      <c r="E2314" s="114" t="n">
        <f aca="false">IF(OR(C2314="",P2314=""),"",IF(INDEX('CARNET DE SOUDURE'!$U$7:$U$3006,P2314)="","",INDEX('CARNET DE SOUDURE'!$U$7:$U$3006,P2314)))</f>
        <v>46259</v>
      </c>
      <c r="F2314" s="82" t="str">
        <f aca="false">IF(OR(C2314="",P2314=""),"",INDEX('CARNET DE SOUDURE'!$AP$7:$AP$3006,P2314))</f>
        <v>A</v>
      </c>
      <c r="G2314" s="82" t="str">
        <f aca="false">IF(C2314="","",IF(P2314="","NJ INCONNU",INDEX('CARNET DE SOUDURE'!$AQ$7:$AQ$3006,P2314)))</f>
        <v>ACCEPTÉ</v>
      </c>
      <c r="H2314" s="82" t="str">
        <f aca="false">IF(C2314="","",IF(G2314="ACCEPTÉ","OUI","NON"))</f>
        <v>OUI</v>
      </c>
      <c r="I2314" s="83"/>
      <c r="J2314" s="80"/>
      <c r="K2314" s="81"/>
      <c r="L2314" s="81"/>
      <c r="M2314" s="81"/>
      <c r="N2314" s="84" t="str">
        <f aca="false">IF(C2314="","",IF(P2314="","NJ INCONNU",IF(I2314="",IF(H2314="OUI","À ENROBER",IF(G2314="À SOUDER","NON SOUDÉ","EN ATTENTE RT")),IF(L2314="R","À REPRENDRE",IF(H2314&lt;&gt;"OUI","⚠ ENROBÉ AVANT ACCEPTATION RT","ENROBÉ")))))</f>
        <v>À ENROBER</v>
      </c>
      <c r="O2314" s="80"/>
      <c r="P2314" s="82" t="n">
        <f aca="false">IF(C2314="","",IFERROR(MATCH(Q2314,'CARNET DE SOUDURE'!$AW$7:$AW$3006,0),""))</f>
        <v>2308</v>
      </c>
      <c r="Q2314" s="82" t="str">
        <f aca="false">IF(C2314="","",B2314&amp;"|"&amp;C2314)</f>
        <v>MFD-ISW → MFD-CPF|JN°1830</v>
      </c>
    </row>
    <row r="2315" customFormat="false" ht="74.6" hidden="false" customHeight="false" outlineLevel="0" collapsed="false">
      <c r="A2315" s="82" t="n">
        <f aca="false">IF(C2315="","",ROW()-6)</f>
        <v>2309</v>
      </c>
      <c r="B2315" s="80" t="s">
        <v>110</v>
      </c>
      <c r="C2315" s="113" t="s">
        <v>2809</v>
      </c>
      <c r="D2315" s="82" t="str">
        <f aca="false">IF(OR(C2315="",P2315=""),"",INDEX('CARNET DE SOUDURE'!$D$7:$D$3006,P2315)&amp;"")</f>
        <v>23</v>
      </c>
      <c r="E2315" s="114" t="n">
        <f aca="false">IF(OR(C2315="",P2315=""),"",IF(INDEX('CARNET DE SOUDURE'!$U$7:$U$3006,P2315)="","",INDEX('CARNET DE SOUDURE'!$U$7:$U$3006,P2315)))</f>
        <v>46259</v>
      </c>
      <c r="F2315" s="82" t="str">
        <f aca="false">IF(OR(C2315="",P2315=""),"",INDEX('CARNET DE SOUDURE'!$AP$7:$AP$3006,P2315))</f>
        <v>A</v>
      </c>
      <c r="G2315" s="82" t="str">
        <f aca="false">IF(C2315="","",IF(P2315="","NJ INCONNU",INDEX('CARNET DE SOUDURE'!$AQ$7:$AQ$3006,P2315)))</f>
        <v>ACCEPTÉ</v>
      </c>
      <c r="H2315" s="82" t="str">
        <f aca="false">IF(C2315="","",IF(G2315="ACCEPTÉ","OUI","NON"))</f>
        <v>OUI</v>
      </c>
      <c r="I2315" s="83"/>
      <c r="J2315" s="80"/>
      <c r="K2315" s="81"/>
      <c r="L2315" s="81"/>
      <c r="M2315" s="81"/>
      <c r="N2315" s="84" t="str">
        <f aca="false">IF(C2315="","",IF(P2315="","NJ INCONNU",IF(I2315="",IF(H2315="OUI","À ENROBER",IF(G2315="À SOUDER","NON SOUDÉ","EN ATTENTE RT")),IF(L2315="R","À REPRENDRE",IF(H2315&lt;&gt;"OUI","⚠ ENROBÉ AVANT ACCEPTATION RT","ENROBÉ")))))</f>
        <v>À ENROBER</v>
      </c>
      <c r="O2315" s="80"/>
      <c r="P2315" s="82" t="n">
        <f aca="false">IF(C2315="","",IFERROR(MATCH(Q2315,'CARNET DE SOUDURE'!$AW$7:$AW$3006,0),""))</f>
        <v>2309</v>
      </c>
      <c r="Q2315" s="82" t="str">
        <f aca="false">IF(C2315="","",B2315&amp;"|"&amp;C2315)</f>
        <v>MFD-ISW → MFD-CPF|JN°1831</v>
      </c>
    </row>
    <row r="2316" customFormat="false" ht="74.6" hidden="false" customHeight="false" outlineLevel="0" collapsed="false">
      <c r="A2316" s="82" t="n">
        <f aca="false">IF(C2316="","",ROW()-6)</f>
        <v>2310</v>
      </c>
      <c r="B2316" s="80" t="s">
        <v>110</v>
      </c>
      <c r="C2316" s="113" t="s">
        <v>2810</v>
      </c>
      <c r="D2316" s="82" t="str">
        <f aca="false">IF(OR(C2316="",P2316=""),"",INDEX('CARNET DE SOUDURE'!$D$7:$D$3006,P2316)&amp;"")</f>
        <v>23</v>
      </c>
      <c r="E2316" s="114" t="n">
        <f aca="false">IF(OR(C2316="",P2316=""),"",IF(INDEX('CARNET DE SOUDURE'!$U$7:$U$3006,P2316)="","",INDEX('CARNET DE SOUDURE'!$U$7:$U$3006,P2316)))</f>
        <v>46259</v>
      </c>
      <c r="F2316" s="82" t="str">
        <f aca="false">IF(OR(C2316="",P2316=""),"",INDEX('CARNET DE SOUDURE'!$AP$7:$AP$3006,P2316))</f>
        <v>A</v>
      </c>
      <c r="G2316" s="82" t="str">
        <f aca="false">IF(C2316="","",IF(P2316="","NJ INCONNU",INDEX('CARNET DE SOUDURE'!$AQ$7:$AQ$3006,P2316)))</f>
        <v>ACCEPTÉ</v>
      </c>
      <c r="H2316" s="82" t="str">
        <f aca="false">IF(C2316="","",IF(G2316="ACCEPTÉ","OUI","NON"))</f>
        <v>OUI</v>
      </c>
      <c r="I2316" s="83"/>
      <c r="J2316" s="80"/>
      <c r="K2316" s="81"/>
      <c r="L2316" s="81"/>
      <c r="M2316" s="81"/>
      <c r="N2316" s="84" t="str">
        <f aca="false">IF(C2316="","",IF(P2316="","NJ INCONNU",IF(I2316="",IF(H2316="OUI","À ENROBER",IF(G2316="À SOUDER","NON SOUDÉ","EN ATTENTE RT")),IF(L2316="R","À REPRENDRE",IF(H2316&lt;&gt;"OUI","⚠ ENROBÉ AVANT ACCEPTATION RT","ENROBÉ")))))</f>
        <v>À ENROBER</v>
      </c>
      <c r="O2316" s="80"/>
      <c r="P2316" s="82" t="n">
        <f aca="false">IF(C2316="","",IFERROR(MATCH(Q2316,'CARNET DE SOUDURE'!$AW$7:$AW$3006,0),""))</f>
        <v>2310</v>
      </c>
      <c r="Q2316" s="82" t="str">
        <f aca="false">IF(C2316="","",B2316&amp;"|"&amp;C2316)</f>
        <v>MFD-ISW → MFD-CPF|JN°1832</v>
      </c>
    </row>
    <row r="2317" customFormat="false" ht="74.6" hidden="false" customHeight="false" outlineLevel="0" collapsed="false">
      <c r="A2317" s="82" t="n">
        <f aca="false">IF(C2317="","",ROW()-6)</f>
        <v>2311</v>
      </c>
      <c r="B2317" s="80" t="s">
        <v>110</v>
      </c>
      <c r="C2317" s="113" t="s">
        <v>2811</v>
      </c>
      <c r="D2317" s="82" t="str">
        <f aca="false">IF(OR(C2317="",P2317=""),"",INDEX('CARNET DE SOUDURE'!$D$7:$D$3006,P2317)&amp;"")</f>
        <v>23</v>
      </c>
      <c r="E2317" s="114" t="n">
        <f aca="false">IF(OR(C2317="",P2317=""),"",IF(INDEX('CARNET DE SOUDURE'!$U$7:$U$3006,P2317)="","",INDEX('CARNET DE SOUDURE'!$U$7:$U$3006,P2317)))</f>
        <v>46259</v>
      </c>
      <c r="F2317" s="82" t="str">
        <f aca="false">IF(OR(C2317="",P2317=""),"",INDEX('CARNET DE SOUDURE'!$AP$7:$AP$3006,P2317))</f>
        <v>A</v>
      </c>
      <c r="G2317" s="82" t="str">
        <f aca="false">IF(C2317="","",IF(P2317="","NJ INCONNU",INDEX('CARNET DE SOUDURE'!$AQ$7:$AQ$3006,P2317)))</f>
        <v>ACCEPTÉ</v>
      </c>
      <c r="H2317" s="82" t="str">
        <f aca="false">IF(C2317="","",IF(G2317="ACCEPTÉ","OUI","NON"))</f>
        <v>OUI</v>
      </c>
      <c r="I2317" s="83"/>
      <c r="J2317" s="80"/>
      <c r="K2317" s="81"/>
      <c r="L2317" s="81"/>
      <c r="M2317" s="81"/>
      <c r="N2317" s="84" t="str">
        <f aca="false">IF(C2317="","",IF(P2317="","NJ INCONNU",IF(I2317="",IF(H2317="OUI","À ENROBER",IF(G2317="À SOUDER","NON SOUDÉ","EN ATTENTE RT")),IF(L2317="R","À REPRENDRE",IF(H2317&lt;&gt;"OUI","⚠ ENROBÉ AVANT ACCEPTATION RT","ENROBÉ")))))</f>
        <v>À ENROBER</v>
      </c>
      <c r="O2317" s="80"/>
      <c r="P2317" s="82" t="n">
        <f aca="false">IF(C2317="","",IFERROR(MATCH(Q2317,'CARNET DE SOUDURE'!$AW$7:$AW$3006,0),""))</f>
        <v>2311</v>
      </c>
      <c r="Q2317" s="82" t="str">
        <f aca="false">IF(C2317="","",B2317&amp;"|"&amp;C2317)</f>
        <v>MFD-ISW → MFD-CPF|JN°1833</v>
      </c>
    </row>
    <row r="2318" customFormat="false" ht="74.6" hidden="false" customHeight="false" outlineLevel="0" collapsed="false">
      <c r="A2318" s="82" t="n">
        <f aca="false">IF(C2318="","",ROW()-6)</f>
        <v>2312</v>
      </c>
      <c r="B2318" s="80" t="s">
        <v>110</v>
      </c>
      <c r="C2318" s="113" t="s">
        <v>2812</v>
      </c>
      <c r="D2318" s="82" t="str">
        <f aca="false">IF(OR(C2318="",P2318=""),"",INDEX('CARNET DE SOUDURE'!$D$7:$D$3006,P2318)&amp;"")</f>
        <v>23</v>
      </c>
      <c r="E2318" s="114" t="n">
        <f aca="false">IF(OR(C2318="",P2318=""),"",IF(INDEX('CARNET DE SOUDURE'!$U$7:$U$3006,P2318)="","",INDEX('CARNET DE SOUDURE'!$U$7:$U$3006,P2318)))</f>
        <v>46259</v>
      </c>
      <c r="F2318" s="82" t="str">
        <f aca="false">IF(OR(C2318="",P2318=""),"",INDEX('CARNET DE SOUDURE'!$AP$7:$AP$3006,P2318))</f>
        <v>A</v>
      </c>
      <c r="G2318" s="82" t="str">
        <f aca="false">IF(C2318="","",IF(P2318="","NJ INCONNU",INDEX('CARNET DE SOUDURE'!$AQ$7:$AQ$3006,P2318)))</f>
        <v>ACCEPTÉ</v>
      </c>
      <c r="H2318" s="82" t="str">
        <f aca="false">IF(C2318="","",IF(G2318="ACCEPTÉ","OUI","NON"))</f>
        <v>OUI</v>
      </c>
      <c r="I2318" s="83"/>
      <c r="J2318" s="80"/>
      <c r="K2318" s="81"/>
      <c r="L2318" s="81"/>
      <c r="M2318" s="81"/>
      <c r="N2318" s="84" t="str">
        <f aca="false">IF(C2318="","",IF(P2318="","NJ INCONNU",IF(I2318="",IF(H2318="OUI","À ENROBER",IF(G2318="À SOUDER","NON SOUDÉ","EN ATTENTE RT")),IF(L2318="R","À REPRENDRE",IF(H2318&lt;&gt;"OUI","⚠ ENROBÉ AVANT ACCEPTATION RT","ENROBÉ")))))</f>
        <v>À ENROBER</v>
      </c>
      <c r="O2318" s="80"/>
      <c r="P2318" s="82" t="n">
        <f aca="false">IF(C2318="","",IFERROR(MATCH(Q2318,'CARNET DE SOUDURE'!$AW$7:$AW$3006,0),""))</f>
        <v>2312</v>
      </c>
      <c r="Q2318" s="82" t="str">
        <f aca="false">IF(C2318="","",B2318&amp;"|"&amp;C2318)</f>
        <v>MFD-ISW → MFD-CPF|JN°1834</v>
      </c>
    </row>
    <row r="2319" customFormat="false" ht="74.6" hidden="false" customHeight="false" outlineLevel="0" collapsed="false">
      <c r="A2319" s="82" t="n">
        <f aca="false">IF(C2319="","",ROW()-6)</f>
        <v>2313</v>
      </c>
      <c r="B2319" s="80" t="s">
        <v>110</v>
      </c>
      <c r="C2319" s="113" t="s">
        <v>2814</v>
      </c>
      <c r="D2319" s="82" t="str">
        <f aca="false">IF(OR(C2319="",P2319=""),"",INDEX('CARNET DE SOUDURE'!$D$7:$D$3006,P2319)&amp;"")</f>
        <v>23</v>
      </c>
      <c r="E2319" s="114" t="n">
        <f aca="false">IF(OR(C2319="",P2319=""),"",IF(INDEX('CARNET DE SOUDURE'!$U$7:$U$3006,P2319)="","",INDEX('CARNET DE SOUDURE'!$U$7:$U$3006,P2319)))</f>
        <v>46259</v>
      </c>
      <c r="F2319" s="82" t="str">
        <f aca="false">IF(OR(C2319="",P2319=""),"",INDEX('CARNET DE SOUDURE'!$AP$7:$AP$3006,P2319))</f>
        <v>A</v>
      </c>
      <c r="G2319" s="82" t="str">
        <f aca="false">IF(C2319="","",IF(P2319="","NJ INCONNU",INDEX('CARNET DE SOUDURE'!$AQ$7:$AQ$3006,P2319)))</f>
        <v>ACCEPTÉ</v>
      </c>
      <c r="H2319" s="82" t="str">
        <f aca="false">IF(C2319="","",IF(G2319="ACCEPTÉ","OUI","NON"))</f>
        <v>OUI</v>
      </c>
      <c r="I2319" s="83"/>
      <c r="J2319" s="80"/>
      <c r="K2319" s="81"/>
      <c r="L2319" s="81"/>
      <c r="M2319" s="81"/>
      <c r="N2319" s="84" t="str">
        <f aca="false">IF(C2319="","",IF(P2319="","NJ INCONNU",IF(I2319="",IF(H2319="OUI","À ENROBER",IF(G2319="À SOUDER","NON SOUDÉ","EN ATTENTE RT")),IF(L2319="R","À REPRENDRE",IF(H2319&lt;&gt;"OUI","⚠ ENROBÉ AVANT ACCEPTATION RT","ENROBÉ")))))</f>
        <v>À ENROBER</v>
      </c>
      <c r="O2319" s="80"/>
      <c r="P2319" s="82" t="n">
        <f aca="false">IF(C2319="","",IFERROR(MATCH(Q2319,'CARNET DE SOUDURE'!$AW$7:$AW$3006,0),""))</f>
        <v>2313</v>
      </c>
      <c r="Q2319" s="82" t="str">
        <f aca="false">IF(C2319="","",B2319&amp;"|"&amp;C2319)</f>
        <v>MFD-ISW → MFD-CPF|JN°1835</v>
      </c>
    </row>
    <row r="2320" customFormat="false" ht="74.6" hidden="false" customHeight="false" outlineLevel="0" collapsed="false">
      <c r="A2320" s="82" t="n">
        <f aca="false">IF(C2320="","",ROW()-6)</f>
        <v>2314</v>
      </c>
      <c r="B2320" s="80" t="s">
        <v>110</v>
      </c>
      <c r="C2320" s="113" t="s">
        <v>2816</v>
      </c>
      <c r="D2320" s="82" t="str">
        <f aca="false">IF(OR(C2320="",P2320=""),"",INDEX('CARNET DE SOUDURE'!$D$7:$D$3006,P2320)&amp;"")</f>
        <v>23</v>
      </c>
      <c r="E2320" s="114" t="n">
        <f aca="false">IF(OR(C2320="",P2320=""),"",IF(INDEX('CARNET DE SOUDURE'!$U$7:$U$3006,P2320)="","",INDEX('CARNET DE SOUDURE'!$U$7:$U$3006,P2320)))</f>
        <v>46259</v>
      </c>
      <c r="F2320" s="82" t="str">
        <f aca="false">IF(OR(C2320="",P2320=""),"",INDEX('CARNET DE SOUDURE'!$AP$7:$AP$3006,P2320))</f>
        <v>A</v>
      </c>
      <c r="G2320" s="82" t="str">
        <f aca="false">IF(C2320="","",IF(P2320="","NJ INCONNU",INDEX('CARNET DE SOUDURE'!$AQ$7:$AQ$3006,P2320)))</f>
        <v>ACCEPTÉ</v>
      </c>
      <c r="H2320" s="82" t="str">
        <f aca="false">IF(C2320="","",IF(G2320="ACCEPTÉ","OUI","NON"))</f>
        <v>OUI</v>
      </c>
      <c r="I2320" s="83"/>
      <c r="J2320" s="80"/>
      <c r="K2320" s="81"/>
      <c r="L2320" s="81"/>
      <c r="M2320" s="81"/>
      <c r="N2320" s="84" t="str">
        <f aca="false">IF(C2320="","",IF(P2320="","NJ INCONNU",IF(I2320="",IF(H2320="OUI","À ENROBER",IF(G2320="À SOUDER","NON SOUDÉ","EN ATTENTE RT")),IF(L2320="R","À REPRENDRE",IF(H2320&lt;&gt;"OUI","⚠ ENROBÉ AVANT ACCEPTATION RT","ENROBÉ")))))</f>
        <v>À ENROBER</v>
      </c>
      <c r="O2320" s="80"/>
      <c r="P2320" s="82" t="n">
        <f aca="false">IF(C2320="","",IFERROR(MATCH(Q2320,'CARNET DE SOUDURE'!$AW$7:$AW$3006,0),""))</f>
        <v>2314</v>
      </c>
      <c r="Q2320" s="82" t="str">
        <f aca="false">IF(C2320="","",B2320&amp;"|"&amp;C2320)</f>
        <v>MFD-ISW → MFD-CPF|JN°1836</v>
      </c>
    </row>
    <row r="2321" customFormat="false" ht="74.6" hidden="false" customHeight="false" outlineLevel="0" collapsed="false">
      <c r="A2321" s="82" t="n">
        <f aca="false">IF(C2321="","",ROW()-6)</f>
        <v>2315</v>
      </c>
      <c r="B2321" s="80" t="s">
        <v>110</v>
      </c>
      <c r="C2321" s="113" t="s">
        <v>2817</v>
      </c>
      <c r="D2321" s="82" t="str">
        <f aca="false">IF(OR(C2321="",P2321=""),"",INDEX('CARNET DE SOUDURE'!$D$7:$D$3006,P2321)&amp;"")</f>
        <v>23</v>
      </c>
      <c r="E2321" s="114" t="n">
        <f aca="false">IF(OR(C2321="",P2321=""),"",IF(INDEX('CARNET DE SOUDURE'!$U$7:$U$3006,P2321)="","",INDEX('CARNET DE SOUDURE'!$U$7:$U$3006,P2321)))</f>
        <v>46258</v>
      </c>
      <c r="F2321" s="82" t="str">
        <f aca="false">IF(OR(C2321="",P2321=""),"",INDEX('CARNET DE SOUDURE'!$AP$7:$AP$3006,P2321))</f>
        <v>A</v>
      </c>
      <c r="G2321" s="82" t="str">
        <f aca="false">IF(C2321="","",IF(P2321="","NJ INCONNU",INDEX('CARNET DE SOUDURE'!$AQ$7:$AQ$3006,P2321)))</f>
        <v>ACCEPTÉ</v>
      </c>
      <c r="H2321" s="82" t="str">
        <f aca="false">IF(C2321="","",IF(G2321="ACCEPTÉ","OUI","NON"))</f>
        <v>OUI</v>
      </c>
      <c r="I2321" s="83"/>
      <c r="J2321" s="80"/>
      <c r="K2321" s="81"/>
      <c r="L2321" s="81"/>
      <c r="M2321" s="81"/>
      <c r="N2321" s="84" t="str">
        <f aca="false">IF(C2321="","",IF(P2321="","NJ INCONNU",IF(I2321="",IF(H2321="OUI","À ENROBER",IF(G2321="À SOUDER","NON SOUDÉ","EN ATTENTE RT")),IF(L2321="R","À REPRENDRE",IF(H2321&lt;&gt;"OUI","⚠ ENROBÉ AVANT ACCEPTATION RT","ENROBÉ")))))</f>
        <v>À ENROBER</v>
      </c>
      <c r="O2321" s="80"/>
      <c r="P2321" s="82" t="n">
        <f aca="false">IF(C2321="","",IFERROR(MATCH(Q2321,'CARNET DE SOUDURE'!$AW$7:$AW$3006,0),""))</f>
        <v>2315</v>
      </c>
      <c r="Q2321" s="82" t="str">
        <f aca="false">IF(C2321="","",B2321&amp;"|"&amp;C2321)</f>
        <v>MFD-ISW → MFD-CPF|JN°1837</v>
      </c>
    </row>
    <row r="2322" customFormat="false" ht="74.6" hidden="false" customHeight="false" outlineLevel="0" collapsed="false">
      <c r="A2322" s="82" t="n">
        <f aca="false">IF(C2322="","",ROW()-6)</f>
        <v>2316</v>
      </c>
      <c r="B2322" s="80" t="s">
        <v>110</v>
      </c>
      <c r="C2322" s="113" t="s">
        <v>2819</v>
      </c>
      <c r="D2322" s="82" t="str">
        <f aca="false">IF(OR(C2322="",P2322=""),"",INDEX('CARNET DE SOUDURE'!$D$7:$D$3006,P2322)&amp;"")</f>
        <v>23</v>
      </c>
      <c r="E2322" s="114" t="n">
        <f aca="false">IF(OR(C2322="",P2322=""),"",IF(INDEX('CARNET DE SOUDURE'!$U$7:$U$3006,P2322)="","",INDEX('CARNET DE SOUDURE'!$U$7:$U$3006,P2322)))</f>
        <v>46258</v>
      </c>
      <c r="F2322" s="82" t="str">
        <f aca="false">IF(OR(C2322="",P2322=""),"",INDEX('CARNET DE SOUDURE'!$AP$7:$AP$3006,P2322))</f>
        <v>A</v>
      </c>
      <c r="G2322" s="82" t="str">
        <f aca="false">IF(C2322="","",IF(P2322="","NJ INCONNU",INDEX('CARNET DE SOUDURE'!$AQ$7:$AQ$3006,P2322)))</f>
        <v>ACCEPTÉ</v>
      </c>
      <c r="H2322" s="82" t="str">
        <f aca="false">IF(C2322="","",IF(G2322="ACCEPTÉ","OUI","NON"))</f>
        <v>OUI</v>
      </c>
      <c r="I2322" s="83"/>
      <c r="J2322" s="80"/>
      <c r="K2322" s="81"/>
      <c r="L2322" s="81"/>
      <c r="M2322" s="81"/>
      <c r="N2322" s="84" t="str">
        <f aca="false">IF(C2322="","",IF(P2322="","NJ INCONNU",IF(I2322="",IF(H2322="OUI","À ENROBER",IF(G2322="À SOUDER","NON SOUDÉ","EN ATTENTE RT")),IF(L2322="R","À REPRENDRE",IF(H2322&lt;&gt;"OUI","⚠ ENROBÉ AVANT ACCEPTATION RT","ENROBÉ")))))</f>
        <v>À ENROBER</v>
      </c>
      <c r="O2322" s="80"/>
      <c r="P2322" s="82" t="n">
        <f aca="false">IF(C2322="","",IFERROR(MATCH(Q2322,'CARNET DE SOUDURE'!$AW$7:$AW$3006,0),""))</f>
        <v>2316</v>
      </c>
      <c r="Q2322" s="82" t="str">
        <f aca="false">IF(C2322="","",B2322&amp;"|"&amp;C2322)</f>
        <v>MFD-ISW → MFD-CPF|JN°1838</v>
      </c>
    </row>
    <row r="2323" customFormat="false" ht="74.6" hidden="false" customHeight="false" outlineLevel="0" collapsed="false">
      <c r="A2323" s="82" t="n">
        <f aca="false">IF(C2323="","",ROW()-6)</f>
        <v>2317</v>
      </c>
      <c r="B2323" s="80" t="s">
        <v>110</v>
      </c>
      <c r="C2323" s="113" t="s">
        <v>2820</v>
      </c>
      <c r="D2323" s="82" t="str">
        <f aca="false">IF(OR(C2323="",P2323=""),"",INDEX('CARNET DE SOUDURE'!$D$7:$D$3006,P2323)&amp;"")</f>
        <v>23</v>
      </c>
      <c r="E2323" s="114" t="n">
        <f aca="false">IF(OR(C2323="",P2323=""),"",IF(INDEX('CARNET DE SOUDURE'!$U$7:$U$3006,P2323)="","",INDEX('CARNET DE SOUDURE'!$U$7:$U$3006,P2323)))</f>
        <v>46258</v>
      </c>
      <c r="F2323" s="82" t="str">
        <f aca="false">IF(OR(C2323="",P2323=""),"",INDEX('CARNET DE SOUDURE'!$AP$7:$AP$3006,P2323))</f>
        <v>A</v>
      </c>
      <c r="G2323" s="82" t="str">
        <f aca="false">IF(C2323="","",IF(P2323="","NJ INCONNU",INDEX('CARNET DE SOUDURE'!$AQ$7:$AQ$3006,P2323)))</f>
        <v>ACCEPTÉ</v>
      </c>
      <c r="H2323" s="82" t="str">
        <f aca="false">IF(C2323="","",IF(G2323="ACCEPTÉ","OUI","NON"))</f>
        <v>OUI</v>
      </c>
      <c r="I2323" s="83"/>
      <c r="J2323" s="80"/>
      <c r="K2323" s="81"/>
      <c r="L2323" s="81"/>
      <c r="M2323" s="81"/>
      <c r="N2323" s="84" t="str">
        <f aca="false">IF(C2323="","",IF(P2323="","NJ INCONNU",IF(I2323="",IF(H2323="OUI","À ENROBER",IF(G2323="À SOUDER","NON SOUDÉ","EN ATTENTE RT")),IF(L2323="R","À REPRENDRE",IF(H2323&lt;&gt;"OUI","⚠ ENROBÉ AVANT ACCEPTATION RT","ENROBÉ")))))</f>
        <v>À ENROBER</v>
      </c>
      <c r="O2323" s="80"/>
      <c r="P2323" s="82" t="n">
        <f aca="false">IF(C2323="","",IFERROR(MATCH(Q2323,'CARNET DE SOUDURE'!$AW$7:$AW$3006,0),""))</f>
        <v>2317</v>
      </c>
      <c r="Q2323" s="82" t="str">
        <f aca="false">IF(C2323="","",B2323&amp;"|"&amp;C2323)</f>
        <v>MFD-ISW → MFD-CPF|JN°1839</v>
      </c>
    </row>
    <row r="2324" customFormat="false" ht="74.6" hidden="false" customHeight="false" outlineLevel="0" collapsed="false">
      <c r="A2324" s="82" t="n">
        <f aca="false">IF(C2324="","",ROW()-6)</f>
        <v>2318</v>
      </c>
      <c r="B2324" s="80" t="s">
        <v>110</v>
      </c>
      <c r="C2324" s="113" t="s">
        <v>2821</v>
      </c>
      <c r="D2324" s="82" t="str">
        <f aca="false">IF(OR(C2324="",P2324=""),"",INDEX('CARNET DE SOUDURE'!$D$7:$D$3006,P2324)&amp;"")</f>
        <v>23</v>
      </c>
      <c r="E2324" s="114" t="n">
        <f aca="false">IF(OR(C2324="",P2324=""),"",IF(INDEX('CARNET DE SOUDURE'!$U$7:$U$3006,P2324)="","",INDEX('CARNET DE SOUDURE'!$U$7:$U$3006,P2324)))</f>
        <v>46258</v>
      </c>
      <c r="F2324" s="82" t="str">
        <f aca="false">IF(OR(C2324="",P2324=""),"",INDEX('CARNET DE SOUDURE'!$AP$7:$AP$3006,P2324))</f>
        <v>A</v>
      </c>
      <c r="G2324" s="82" t="str">
        <f aca="false">IF(C2324="","",IF(P2324="","NJ INCONNU",INDEX('CARNET DE SOUDURE'!$AQ$7:$AQ$3006,P2324)))</f>
        <v>ACCEPTÉ</v>
      </c>
      <c r="H2324" s="82" t="str">
        <f aca="false">IF(C2324="","",IF(G2324="ACCEPTÉ","OUI","NON"))</f>
        <v>OUI</v>
      </c>
      <c r="I2324" s="83"/>
      <c r="J2324" s="80"/>
      <c r="K2324" s="81"/>
      <c r="L2324" s="81"/>
      <c r="M2324" s="81"/>
      <c r="N2324" s="84" t="str">
        <f aca="false">IF(C2324="","",IF(P2324="","NJ INCONNU",IF(I2324="",IF(H2324="OUI","À ENROBER",IF(G2324="À SOUDER","NON SOUDÉ","EN ATTENTE RT")),IF(L2324="R","À REPRENDRE",IF(H2324&lt;&gt;"OUI","⚠ ENROBÉ AVANT ACCEPTATION RT","ENROBÉ")))))</f>
        <v>À ENROBER</v>
      </c>
      <c r="O2324" s="80"/>
      <c r="P2324" s="82" t="n">
        <f aca="false">IF(C2324="","",IFERROR(MATCH(Q2324,'CARNET DE SOUDURE'!$AW$7:$AW$3006,0),""))</f>
        <v>2318</v>
      </c>
      <c r="Q2324" s="82" t="str">
        <f aca="false">IF(C2324="","",B2324&amp;"|"&amp;C2324)</f>
        <v>MFD-ISW → MFD-CPF|JN°1840</v>
      </c>
    </row>
    <row r="2325" customFormat="false" ht="74.6" hidden="false" customHeight="false" outlineLevel="0" collapsed="false">
      <c r="A2325" s="82" t="n">
        <f aca="false">IF(C2325="","",ROW()-6)</f>
        <v>2319</v>
      </c>
      <c r="B2325" s="80" t="s">
        <v>110</v>
      </c>
      <c r="C2325" s="113" t="s">
        <v>2822</v>
      </c>
      <c r="D2325" s="82" t="str">
        <f aca="false">IF(OR(C2325="",P2325=""),"",INDEX('CARNET DE SOUDURE'!$D$7:$D$3006,P2325)&amp;"")</f>
        <v>23</v>
      </c>
      <c r="E2325" s="114" t="n">
        <f aca="false">IF(OR(C2325="",P2325=""),"",IF(INDEX('CARNET DE SOUDURE'!$U$7:$U$3006,P2325)="","",INDEX('CARNET DE SOUDURE'!$U$7:$U$3006,P2325)))</f>
        <v>46258</v>
      </c>
      <c r="F2325" s="82" t="str">
        <f aca="false">IF(OR(C2325="",P2325=""),"",INDEX('CARNET DE SOUDURE'!$AP$7:$AP$3006,P2325))</f>
        <v>A</v>
      </c>
      <c r="G2325" s="82" t="str">
        <f aca="false">IF(C2325="","",IF(P2325="","NJ INCONNU",INDEX('CARNET DE SOUDURE'!$AQ$7:$AQ$3006,P2325)))</f>
        <v>ACCEPTÉ</v>
      </c>
      <c r="H2325" s="82" t="str">
        <f aca="false">IF(C2325="","",IF(G2325="ACCEPTÉ","OUI","NON"))</f>
        <v>OUI</v>
      </c>
      <c r="I2325" s="83"/>
      <c r="J2325" s="80"/>
      <c r="K2325" s="81"/>
      <c r="L2325" s="81"/>
      <c r="M2325" s="81"/>
      <c r="N2325" s="84" t="str">
        <f aca="false">IF(C2325="","",IF(P2325="","NJ INCONNU",IF(I2325="",IF(H2325="OUI","À ENROBER",IF(G2325="À SOUDER","NON SOUDÉ","EN ATTENTE RT")),IF(L2325="R","À REPRENDRE",IF(H2325&lt;&gt;"OUI","⚠ ENROBÉ AVANT ACCEPTATION RT","ENROBÉ")))))</f>
        <v>À ENROBER</v>
      </c>
      <c r="O2325" s="80"/>
      <c r="P2325" s="82" t="n">
        <f aca="false">IF(C2325="","",IFERROR(MATCH(Q2325,'CARNET DE SOUDURE'!$AW$7:$AW$3006,0),""))</f>
        <v>2319</v>
      </c>
      <c r="Q2325" s="82" t="str">
        <f aca="false">IF(C2325="","",B2325&amp;"|"&amp;C2325)</f>
        <v>MFD-ISW → MFD-CPF|JN°1841</v>
      </c>
    </row>
    <row r="2326" customFormat="false" ht="74.6" hidden="false" customHeight="false" outlineLevel="0" collapsed="false">
      <c r="A2326" s="82" t="n">
        <f aca="false">IF(C2326="","",ROW()-6)</f>
        <v>2320</v>
      </c>
      <c r="B2326" s="80" t="s">
        <v>110</v>
      </c>
      <c r="C2326" s="113" t="s">
        <v>2823</v>
      </c>
      <c r="D2326" s="82" t="str">
        <f aca="false">IF(OR(C2326="",P2326=""),"",INDEX('CARNET DE SOUDURE'!$D$7:$D$3006,P2326)&amp;"")</f>
        <v>23</v>
      </c>
      <c r="E2326" s="114" t="n">
        <f aca="false">IF(OR(C2326="",P2326=""),"",IF(INDEX('CARNET DE SOUDURE'!$U$7:$U$3006,P2326)="","",INDEX('CARNET DE SOUDURE'!$U$7:$U$3006,P2326)))</f>
        <v>46273</v>
      </c>
      <c r="F2326" s="82" t="str">
        <f aca="false">IF(OR(C2326="",P2326=""),"",INDEX('CARNET DE SOUDURE'!$AP$7:$AP$3006,P2326))</f>
        <v>A</v>
      </c>
      <c r="G2326" s="82" t="str">
        <f aca="false">IF(C2326="","",IF(P2326="","NJ INCONNU",INDEX('CARNET DE SOUDURE'!$AQ$7:$AQ$3006,P2326)))</f>
        <v>ACCEPTÉ</v>
      </c>
      <c r="H2326" s="82" t="str">
        <f aca="false">IF(C2326="","",IF(G2326="ACCEPTÉ","OUI","NON"))</f>
        <v>OUI</v>
      </c>
      <c r="I2326" s="83"/>
      <c r="J2326" s="80"/>
      <c r="K2326" s="81"/>
      <c r="L2326" s="81"/>
      <c r="M2326" s="81"/>
      <c r="N2326" s="84" t="str">
        <f aca="false">IF(C2326="","",IF(P2326="","NJ INCONNU",IF(I2326="",IF(H2326="OUI","À ENROBER",IF(G2326="À SOUDER","NON SOUDÉ","EN ATTENTE RT")),IF(L2326="R","À REPRENDRE",IF(H2326&lt;&gt;"OUI","⚠ ENROBÉ AVANT ACCEPTATION RT","ENROBÉ")))))</f>
        <v>À ENROBER</v>
      </c>
      <c r="O2326" s="80"/>
      <c r="P2326" s="82" t="n">
        <f aca="false">IF(C2326="","",IFERROR(MATCH(Q2326,'CARNET DE SOUDURE'!$AW$7:$AW$3006,0),""))</f>
        <v>2320</v>
      </c>
      <c r="Q2326" s="82" t="str">
        <f aca="false">IF(C2326="","",B2326&amp;"|"&amp;C2326)</f>
        <v>MFD-ISW → MFD-CPF|JN°1842R</v>
      </c>
    </row>
    <row r="2327" customFormat="false" ht="74.6" hidden="false" customHeight="false" outlineLevel="0" collapsed="false">
      <c r="A2327" s="82" t="n">
        <f aca="false">IF(C2327="","",ROW()-6)</f>
        <v>2321</v>
      </c>
      <c r="B2327" s="80" t="s">
        <v>110</v>
      </c>
      <c r="C2327" s="113" t="s">
        <v>2824</v>
      </c>
      <c r="D2327" s="82" t="str">
        <f aca="false">IF(OR(C2327="",P2327=""),"",INDEX('CARNET DE SOUDURE'!$D$7:$D$3006,P2327)&amp;"")</f>
        <v>23</v>
      </c>
      <c r="E2327" s="114" t="n">
        <f aca="false">IF(OR(C2327="",P2327=""),"",IF(INDEX('CARNET DE SOUDURE'!$U$7:$U$3006,P2327)="","",INDEX('CARNET DE SOUDURE'!$U$7:$U$3006,P2327)))</f>
        <v>46258</v>
      </c>
      <c r="F2327" s="82" t="str">
        <f aca="false">IF(OR(C2327="",P2327=""),"",INDEX('CARNET DE SOUDURE'!$AP$7:$AP$3006,P2327))</f>
        <v>A</v>
      </c>
      <c r="G2327" s="82" t="str">
        <f aca="false">IF(C2327="","",IF(P2327="","NJ INCONNU",INDEX('CARNET DE SOUDURE'!$AQ$7:$AQ$3006,P2327)))</f>
        <v>ACCEPTÉ</v>
      </c>
      <c r="H2327" s="82" t="str">
        <f aca="false">IF(C2327="","",IF(G2327="ACCEPTÉ","OUI","NON"))</f>
        <v>OUI</v>
      </c>
      <c r="I2327" s="83"/>
      <c r="J2327" s="80"/>
      <c r="K2327" s="81"/>
      <c r="L2327" s="81"/>
      <c r="M2327" s="81"/>
      <c r="N2327" s="84" t="str">
        <f aca="false">IF(C2327="","",IF(P2327="","NJ INCONNU",IF(I2327="",IF(H2327="OUI","À ENROBER",IF(G2327="À SOUDER","NON SOUDÉ","EN ATTENTE RT")),IF(L2327="R","À REPRENDRE",IF(H2327&lt;&gt;"OUI","⚠ ENROBÉ AVANT ACCEPTATION RT","ENROBÉ")))))</f>
        <v>À ENROBER</v>
      </c>
      <c r="O2327" s="80"/>
      <c r="P2327" s="82" t="n">
        <f aca="false">IF(C2327="","",IFERROR(MATCH(Q2327,'CARNET DE SOUDURE'!$AW$7:$AW$3006,0),""))</f>
        <v>2321</v>
      </c>
      <c r="Q2327" s="82" t="str">
        <f aca="false">IF(C2327="","",B2327&amp;"|"&amp;C2327)</f>
        <v>MFD-ISW → MFD-CPF|JN°1843</v>
      </c>
    </row>
    <row r="2328" customFormat="false" ht="74.6" hidden="false" customHeight="false" outlineLevel="0" collapsed="false">
      <c r="A2328" s="82" t="n">
        <f aca="false">IF(C2328="","",ROW()-6)</f>
        <v>2322</v>
      </c>
      <c r="B2328" s="80" t="s">
        <v>110</v>
      </c>
      <c r="C2328" s="113" t="s">
        <v>2825</v>
      </c>
      <c r="D2328" s="82" t="str">
        <f aca="false">IF(OR(C2328="",P2328=""),"",INDEX('CARNET DE SOUDURE'!$D$7:$D$3006,P2328)&amp;"")</f>
        <v>23</v>
      </c>
      <c r="E2328" s="114" t="n">
        <f aca="false">IF(OR(C2328="",P2328=""),"",IF(INDEX('CARNET DE SOUDURE'!$U$7:$U$3006,P2328)="","",INDEX('CARNET DE SOUDURE'!$U$7:$U$3006,P2328)))</f>
        <v>46273</v>
      </c>
      <c r="F2328" s="82" t="str">
        <f aca="false">IF(OR(C2328="",P2328=""),"",INDEX('CARNET DE SOUDURE'!$AP$7:$AP$3006,P2328))</f>
        <v>A</v>
      </c>
      <c r="G2328" s="82" t="str">
        <f aca="false">IF(C2328="","",IF(P2328="","NJ INCONNU",INDEX('CARNET DE SOUDURE'!$AQ$7:$AQ$3006,P2328)))</f>
        <v>ACCEPTÉ</v>
      </c>
      <c r="H2328" s="82" t="str">
        <f aca="false">IF(C2328="","",IF(G2328="ACCEPTÉ","OUI","NON"))</f>
        <v>OUI</v>
      </c>
      <c r="I2328" s="83"/>
      <c r="J2328" s="80"/>
      <c r="K2328" s="81"/>
      <c r="L2328" s="81"/>
      <c r="M2328" s="81"/>
      <c r="N2328" s="84" t="str">
        <f aca="false">IF(C2328="","",IF(P2328="","NJ INCONNU",IF(I2328="",IF(H2328="OUI","À ENROBER",IF(G2328="À SOUDER","NON SOUDÉ","EN ATTENTE RT")),IF(L2328="R","À REPRENDRE",IF(H2328&lt;&gt;"OUI","⚠ ENROBÉ AVANT ACCEPTATION RT","ENROBÉ")))))</f>
        <v>À ENROBER</v>
      </c>
      <c r="O2328" s="80"/>
      <c r="P2328" s="82" t="n">
        <f aca="false">IF(C2328="","",IFERROR(MATCH(Q2328,'CARNET DE SOUDURE'!$AW$7:$AW$3006,0),""))</f>
        <v>2322</v>
      </c>
      <c r="Q2328" s="82" t="str">
        <f aca="false">IF(C2328="","",B2328&amp;"|"&amp;C2328)</f>
        <v>MFD-ISW → MFD-CPF|JN°1844R</v>
      </c>
    </row>
    <row r="2329" customFormat="false" ht="74.6" hidden="false" customHeight="false" outlineLevel="0" collapsed="false">
      <c r="A2329" s="82" t="n">
        <f aca="false">IF(C2329="","",ROW()-6)</f>
        <v>2323</v>
      </c>
      <c r="B2329" s="80" t="s">
        <v>110</v>
      </c>
      <c r="C2329" s="113" t="s">
        <v>2826</v>
      </c>
      <c r="D2329" s="82" t="str">
        <f aca="false">IF(OR(C2329="",P2329=""),"",INDEX('CARNET DE SOUDURE'!$D$7:$D$3006,P2329)&amp;"")</f>
        <v>23</v>
      </c>
      <c r="E2329" s="114" t="str">
        <f aca="false">IF(OR(C2329="",P2329=""),"",IF(INDEX('CARNET DE SOUDURE'!$U$7:$U$3006,P2329)="","",INDEX('CARNET DE SOUDURE'!$U$7:$U$3006,P2329)))</f>
        <v/>
      </c>
      <c r="F2329" s="82" t="str">
        <f aca="false">IF(OR(C2329="",P2329=""),"",INDEX('CARNET DE SOUDURE'!$AP$7:$AP$3006,P2329))</f>
        <v/>
      </c>
      <c r="G2329" s="82" t="str">
        <f aca="false">IF(C2329="","",IF(P2329="","NJ INCONNU",INDEX('CARNET DE SOUDURE'!$AQ$7:$AQ$3006,P2329)))</f>
        <v>À SOUDER</v>
      </c>
      <c r="H2329" s="82" t="str">
        <f aca="false">IF(C2329="","",IF(G2329="ACCEPTÉ","OUI","NON"))</f>
        <v>NON</v>
      </c>
      <c r="I2329" s="83"/>
      <c r="J2329" s="80"/>
      <c r="K2329" s="81"/>
      <c r="L2329" s="81"/>
      <c r="M2329" s="81"/>
      <c r="N2329" s="84" t="str">
        <f aca="false">IF(C2329="","",IF(P2329="","NJ INCONNU",IF(I2329="",IF(H2329="OUI","À ENROBER",IF(G2329="À SOUDER","NON SOUDÉ","EN ATTENTE RT")),IF(L2329="R","À REPRENDRE",IF(H2329&lt;&gt;"OUI","⚠ ENROBÉ AVANT ACCEPTATION RT","ENROBÉ")))))</f>
        <v>NON SOUDÉ</v>
      </c>
      <c r="O2329" s="80"/>
      <c r="P2329" s="82" t="n">
        <f aca="false">IF(C2329="","",IFERROR(MATCH(Q2329,'CARNET DE SOUDURE'!$AW$7:$AW$3006,0),""))</f>
        <v>2323</v>
      </c>
      <c r="Q2329" s="82" t="str">
        <f aca="false">IF(C2329="","",B2329&amp;"|"&amp;C2329)</f>
        <v>MFD-ISW → MFD-CPF|JN°1845</v>
      </c>
    </row>
    <row r="2330" customFormat="false" ht="74.6" hidden="false" customHeight="false" outlineLevel="0" collapsed="false">
      <c r="A2330" s="82" t="n">
        <f aca="false">IF(C2330="","",ROW()-6)</f>
        <v>2324</v>
      </c>
      <c r="B2330" s="80" t="s">
        <v>110</v>
      </c>
      <c r="C2330" s="113" t="s">
        <v>2827</v>
      </c>
      <c r="D2330" s="82" t="str">
        <f aca="false">IF(OR(C2330="",P2330=""),"",INDEX('CARNET DE SOUDURE'!$D$7:$D$3006,P2330)&amp;"")</f>
        <v>23</v>
      </c>
      <c r="E2330" s="114" t="str">
        <f aca="false">IF(OR(C2330="",P2330=""),"",IF(INDEX('CARNET DE SOUDURE'!$U$7:$U$3006,P2330)="","",INDEX('CARNET DE SOUDURE'!$U$7:$U$3006,P2330)))</f>
        <v/>
      </c>
      <c r="F2330" s="82" t="str">
        <f aca="false">IF(OR(C2330="",P2330=""),"",INDEX('CARNET DE SOUDURE'!$AP$7:$AP$3006,P2330))</f>
        <v/>
      </c>
      <c r="G2330" s="82" t="str">
        <f aca="false">IF(C2330="","",IF(P2330="","NJ INCONNU",INDEX('CARNET DE SOUDURE'!$AQ$7:$AQ$3006,P2330)))</f>
        <v>À SOUDER</v>
      </c>
      <c r="H2330" s="82" t="str">
        <f aca="false">IF(C2330="","",IF(G2330="ACCEPTÉ","OUI","NON"))</f>
        <v>NON</v>
      </c>
      <c r="I2330" s="83"/>
      <c r="J2330" s="80"/>
      <c r="K2330" s="81"/>
      <c r="L2330" s="81"/>
      <c r="M2330" s="81"/>
      <c r="N2330" s="84" t="str">
        <f aca="false">IF(C2330="","",IF(P2330="","NJ INCONNU",IF(I2330="",IF(H2330="OUI","À ENROBER",IF(G2330="À SOUDER","NON SOUDÉ","EN ATTENTE RT")),IF(L2330="R","À REPRENDRE",IF(H2330&lt;&gt;"OUI","⚠ ENROBÉ AVANT ACCEPTATION RT","ENROBÉ")))))</f>
        <v>NON SOUDÉ</v>
      </c>
      <c r="O2330" s="80"/>
      <c r="P2330" s="82" t="n">
        <f aca="false">IF(C2330="","",IFERROR(MATCH(Q2330,'CARNET DE SOUDURE'!$AW$7:$AW$3006,0),""))</f>
        <v>2324</v>
      </c>
      <c r="Q2330" s="82" t="str">
        <f aca="false">IF(C2330="","",B2330&amp;"|"&amp;C2330)</f>
        <v>MFD-ISW → MFD-CPF|JN°1846</v>
      </c>
    </row>
    <row r="2331" customFormat="false" ht="74.6" hidden="false" customHeight="false" outlineLevel="0" collapsed="false">
      <c r="A2331" s="82" t="n">
        <f aca="false">IF(C2331="","",ROW()-6)</f>
        <v>2325</v>
      </c>
      <c r="B2331" s="80" t="s">
        <v>110</v>
      </c>
      <c r="C2331" s="113" t="s">
        <v>2828</v>
      </c>
      <c r="D2331" s="82" t="str">
        <f aca="false">IF(OR(C2331="",P2331=""),"",INDEX('CARNET DE SOUDURE'!$D$7:$D$3006,P2331)&amp;"")</f>
        <v>23</v>
      </c>
      <c r="E2331" s="114" t="str">
        <f aca="false">IF(OR(C2331="",P2331=""),"",IF(INDEX('CARNET DE SOUDURE'!$U$7:$U$3006,P2331)="","",INDEX('CARNET DE SOUDURE'!$U$7:$U$3006,P2331)))</f>
        <v/>
      </c>
      <c r="F2331" s="82" t="str">
        <f aca="false">IF(OR(C2331="",P2331=""),"",INDEX('CARNET DE SOUDURE'!$AP$7:$AP$3006,P2331))</f>
        <v/>
      </c>
      <c r="G2331" s="82" t="str">
        <f aca="false">IF(C2331="","",IF(P2331="","NJ INCONNU",INDEX('CARNET DE SOUDURE'!$AQ$7:$AQ$3006,P2331)))</f>
        <v>À SOUDER</v>
      </c>
      <c r="H2331" s="82" t="str">
        <f aca="false">IF(C2331="","",IF(G2331="ACCEPTÉ","OUI","NON"))</f>
        <v>NON</v>
      </c>
      <c r="I2331" s="83"/>
      <c r="J2331" s="80"/>
      <c r="K2331" s="81"/>
      <c r="L2331" s="81"/>
      <c r="M2331" s="81"/>
      <c r="N2331" s="84" t="str">
        <f aca="false">IF(C2331="","",IF(P2331="","NJ INCONNU",IF(I2331="",IF(H2331="OUI","À ENROBER",IF(G2331="À SOUDER","NON SOUDÉ","EN ATTENTE RT")),IF(L2331="R","À REPRENDRE",IF(H2331&lt;&gt;"OUI","⚠ ENROBÉ AVANT ACCEPTATION RT","ENROBÉ")))))</f>
        <v>NON SOUDÉ</v>
      </c>
      <c r="O2331" s="80"/>
      <c r="P2331" s="82" t="n">
        <f aca="false">IF(C2331="","",IFERROR(MATCH(Q2331,'CARNET DE SOUDURE'!$AW$7:$AW$3006,0),""))</f>
        <v>2325</v>
      </c>
      <c r="Q2331" s="82" t="str">
        <f aca="false">IF(C2331="","",B2331&amp;"|"&amp;C2331)</f>
        <v>MFD-ISW → MFD-CPF|JN°1847</v>
      </c>
    </row>
    <row r="2332" customFormat="false" ht="74.6" hidden="false" customHeight="false" outlineLevel="0" collapsed="false">
      <c r="A2332" s="82" t="n">
        <f aca="false">IF(C2332="","",ROW()-6)</f>
        <v>2326</v>
      </c>
      <c r="B2332" s="80" t="s">
        <v>110</v>
      </c>
      <c r="C2332" s="113" t="s">
        <v>2829</v>
      </c>
      <c r="D2332" s="82" t="str">
        <f aca="false">IF(OR(C2332="",P2332=""),"",INDEX('CARNET DE SOUDURE'!$D$7:$D$3006,P2332)&amp;"")</f>
        <v>23</v>
      </c>
      <c r="E2332" s="114" t="str">
        <f aca="false">IF(OR(C2332="",P2332=""),"",IF(INDEX('CARNET DE SOUDURE'!$U$7:$U$3006,P2332)="","",INDEX('CARNET DE SOUDURE'!$U$7:$U$3006,P2332)))</f>
        <v/>
      </c>
      <c r="F2332" s="82" t="str">
        <f aca="false">IF(OR(C2332="",P2332=""),"",INDEX('CARNET DE SOUDURE'!$AP$7:$AP$3006,P2332))</f>
        <v/>
      </c>
      <c r="G2332" s="82" t="str">
        <f aca="false">IF(C2332="","",IF(P2332="","NJ INCONNU",INDEX('CARNET DE SOUDURE'!$AQ$7:$AQ$3006,P2332)))</f>
        <v>À SOUDER</v>
      </c>
      <c r="H2332" s="82" t="str">
        <f aca="false">IF(C2332="","",IF(G2332="ACCEPTÉ","OUI","NON"))</f>
        <v>NON</v>
      </c>
      <c r="I2332" s="83"/>
      <c r="J2332" s="80"/>
      <c r="K2332" s="81"/>
      <c r="L2332" s="81"/>
      <c r="M2332" s="81"/>
      <c r="N2332" s="84" t="str">
        <f aca="false">IF(C2332="","",IF(P2332="","NJ INCONNU",IF(I2332="",IF(H2332="OUI","À ENROBER",IF(G2332="À SOUDER","NON SOUDÉ","EN ATTENTE RT")),IF(L2332="R","À REPRENDRE",IF(H2332&lt;&gt;"OUI","⚠ ENROBÉ AVANT ACCEPTATION RT","ENROBÉ")))))</f>
        <v>NON SOUDÉ</v>
      </c>
      <c r="O2332" s="80"/>
      <c r="P2332" s="82" t="n">
        <f aca="false">IF(C2332="","",IFERROR(MATCH(Q2332,'CARNET DE SOUDURE'!$AW$7:$AW$3006,0),""))</f>
        <v>2326</v>
      </c>
      <c r="Q2332" s="82" t="str">
        <f aca="false">IF(C2332="","",B2332&amp;"|"&amp;C2332)</f>
        <v>MFD-ISW → MFD-CPF|JN°1848</v>
      </c>
    </row>
    <row r="2333" customFormat="false" ht="74.6" hidden="false" customHeight="false" outlineLevel="0" collapsed="false">
      <c r="A2333" s="82" t="n">
        <f aca="false">IF(C2333="","",ROW()-6)</f>
        <v>2327</v>
      </c>
      <c r="B2333" s="80" t="s">
        <v>110</v>
      </c>
      <c r="C2333" s="113" t="s">
        <v>2830</v>
      </c>
      <c r="D2333" s="82" t="str">
        <f aca="false">IF(OR(C2333="",P2333=""),"",INDEX('CARNET DE SOUDURE'!$D$7:$D$3006,P2333)&amp;"")</f>
        <v>23</v>
      </c>
      <c r="E2333" s="114" t="str">
        <f aca="false">IF(OR(C2333="",P2333=""),"",IF(INDEX('CARNET DE SOUDURE'!$U$7:$U$3006,P2333)="","",INDEX('CARNET DE SOUDURE'!$U$7:$U$3006,P2333)))</f>
        <v/>
      </c>
      <c r="F2333" s="82" t="str">
        <f aca="false">IF(OR(C2333="",P2333=""),"",INDEX('CARNET DE SOUDURE'!$AP$7:$AP$3006,P2333))</f>
        <v/>
      </c>
      <c r="G2333" s="82" t="str">
        <f aca="false">IF(C2333="","",IF(P2333="","NJ INCONNU",INDEX('CARNET DE SOUDURE'!$AQ$7:$AQ$3006,P2333)))</f>
        <v>À SOUDER</v>
      </c>
      <c r="H2333" s="82" t="str">
        <f aca="false">IF(C2333="","",IF(G2333="ACCEPTÉ","OUI","NON"))</f>
        <v>NON</v>
      </c>
      <c r="I2333" s="83"/>
      <c r="J2333" s="80"/>
      <c r="K2333" s="81"/>
      <c r="L2333" s="81"/>
      <c r="M2333" s="81"/>
      <c r="N2333" s="84" t="str">
        <f aca="false">IF(C2333="","",IF(P2333="","NJ INCONNU",IF(I2333="",IF(H2333="OUI","À ENROBER",IF(G2333="À SOUDER","NON SOUDÉ","EN ATTENTE RT")),IF(L2333="R","À REPRENDRE",IF(H2333&lt;&gt;"OUI","⚠ ENROBÉ AVANT ACCEPTATION RT","ENROBÉ")))))</f>
        <v>NON SOUDÉ</v>
      </c>
      <c r="O2333" s="80"/>
      <c r="P2333" s="82" t="n">
        <f aca="false">IF(C2333="","",IFERROR(MATCH(Q2333,'CARNET DE SOUDURE'!$AW$7:$AW$3006,0),""))</f>
        <v>2327</v>
      </c>
      <c r="Q2333" s="82" t="str">
        <f aca="false">IF(C2333="","",B2333&amp;"|"&amp;C2333)</f>
        <v>MFD-ISW → MFD-CPF|JN°1849</v>
      </c>
    </row>
    <row r="2334" customFormat="false" ht="74.6" hidden="false" customHeight="false" outlineLevel="0" collapsed="false">
      <c r="A2334" s="82" t="n">
        <f aca="false">IF(C2334="","",ROW()-6)</f>
        <v>2328</v>
      </c>
      <c r="B2334" s="80" t="s">
        <v>110</v>
      </c>
      <c r="C2334" s="113" t="s">
        <v>2831</v>
      </c>
      <c r="D2334" s="82" t="str">
        <f aca="false">IF(OR(C2334="",P2334=""),"",INDEX('CARNET DE SOUDURE'!$D$7:$D$3006,P2334)&amp;"")</f>
        <v>23</v>
      </c>
      <c r="E2334" s="114" t="str">
        <f aca="false">IF(OR(C2334="",P2334=""),"",IF(INDEX('CARNET DE SOUDURE'!$U$7:$U$3006,P2334)="","",INDEX('CARNET DE SOUDURE'!$U$7:$U$3006,P2334)))</f>
        <v/>
      </c>
      <c r="F2334" s="82" t="str">
        <f aca="false">IF(OR(C2334="",P2334=""),"",INDEX('CARNET DE SOUDURE'!$AP$7:$AP$3006,P2334))</f>
        <v/>
      </c>
      <c r="G2334" s="82" t="str">
        <f aca="false">IF(C2334="","",IF(P2334="","NJ INCONNU",INDEX('CARNET DE SOUDURE'!$AQ$7:$AQ$3006,P2334)))</f>
        <v>À SOUDER</v>
      </c>
      <c r="H2334" s="82" t="str">
        <f aca="false">IF(C2334="","",IF(G2334="ACCEPTÉ","OUI","NON"))</f>
        <v>NON</v>
      </c>
      <c r="I2334" s="83"/>
      <c r="J2334" s="80"/>
      <c r="K2334" s="81"/>
      <c r="L2334" s="81"/>
      <c r="M2334" s="81"/>
      <c r="N2334" s="84" t="str">
        <f aca="false">IF(C2334="","",IF(P2334="","NJ INCONNU",IF(I2334="",IF(H2334="OUI","À ENROBER",IF(G2334="À SOUDER","NON SOUDÉ","EN ATTENTE RT")),IF(L2334="R","À REPRENDRE",IF(H2334&lt;&gt;"OUI","⚠ ENROBÉ AVANT ACCEPTATION RT","ENROBÉ")))))</f>
        <v>NON SOUDÉ</v>
      </c>
      <c r="O2334" s="80"/>
      <c r="P2334" s="82" t="n">
        <f aca="false">IF(C2334="","",IFERROR(MATCH(Q2334,'CARNET DE SOUDURE'!$AW$7:$AW$3006,0),""))</f>
        <v>2328</v>
      </c>
      <c r="Q2334" s="82" t="str">
        <f aca="false">IF(C2334="","",B2334&amp;"|"&amp;C2334)</f>
        <v>MFD-ISW → MFD-CPF|JN°1850</v>
      </c>
    </row>
    <row r="2335" customFormat="false" ht="74.6" hidden="false" customHeight="false" outlineLevel="0" collapsed="false">
      <c r="A2335" s="82" t="n">
        <f aca="false">IF(C2335="","",ROW()-6)</f>
        <v>2329</v>
      </c>
      <c r="B2335" s="80" t="s">
        <v>110</v>
      </c>
      <c r="C2335" s="113" t="s">
        <v>2832</v>
      </c>
      <c r="D2335" s="82" t="str">
        <f aca="false">IF(OR(C2335="",P2335=""),"",INDEX('CARNET DE SOUDURE'!$D$7:$D$3006,P2335)&amp;"")</f>
        <v>23</v>
      </c>
      <c r="E2335" s="114" t="str">
        <f aca="false">IF(OR(C2335="",P2335=""),"",IF(INDEX('CARNET DE SOUDURE'!$U$7:$U$3006,P2335)="","",INDEX('CARNET DE SOUDURE'!$U$7:$U$3006,P2335)))</f>
        <v/>
      </c>
      <c r="F2335" s="82" t="str">
        <f aca="false">IF(OR(C2335="",P2335=""),"",INDEX('CARNET DE SOUDURE'!$AP$7:$AP$3006,P2335))</f>
        <v/>
      </c>
      <c r="G2335" s="82" t="str">
        <f aca="false">IF(C2335="","",IF(P2335="","NJ INCONNU",INDEX('CARNET DE SOUDURE'!$AQ$7:$AQ$3006,P2335)))</f>
        <v>À SOUDER</v>
      </c>
      <c r="H2335" s="82" t="str">
        <f aca="false">IF(C2335="","",IF(G2335="ACCEPTÉ","OUI","NON"))</f>
        <v>NON</v>
      </c>
      <c r="I2335" s="83"/>
      <c r="J2335" s="80"/>
      <c r="K2335" s="81"/>
      <c r="L2335" s="81"/>
      <c r="M2335" s="81"/>
      <c r="N2335" s="84" t="str">
        <f aca="false">IF(C2335="","",IF(P2335="","NJ INCONNU",IF(I2335="",IF(H2335="OUI","À ENROBER",IF(G2335="À SOUDER","NON SOUDÉ","EN ATTENTE RT")),IF(L2335="R","À REPRENDRE",IF(H2335&lt;&gt;"OUI","⚠ ENROBÉ AVANT ACCEPTATION RT","ENROBÉ")))))</f>
        <v>NON SOUDÉ</v>
      </c>
      <c r="O2335" s="80"/>
      <c r="P2335" s="82" t="n">
        <f aca="false">IF(C2335="","",IFERROR(MATCH(Q2335,'CARNET DE SOUDURE'!$AW$7:$AW$3006,0),""))</f>
        <v>2329</v>
      </c>
      <c r="Q2335" s="82" t="str">
        <f aca="false">IF(C2335="","",B2335&amp;"|"&amp;C2335)</f>
        <v>MFD-ISW → MFD-CPF|JN°1851</v>
      </c>
    </row>
    <row r="2336" customFormat="false" ht="74.6" hidden="false" customHeight="false" outlineLevel="0" collapsed="false">
      <c r="A2336" s="82" t="n">
        <f aca="false">IF(C2336="","",ROW()-6)</f>
        <v>2330</v>
      </c>
      <c r="B2336" s="80" t="s">
        <v>110</v>
      </c>
      <c r="C2336" s="113" t="s">
        <v>2833</v>
      </c>
      <c r="D2336" s="82" t="str">
        <f aca="false">IF(OR(C2336="",P2336=""),"",INDEX('CARNET DE SOUDURE'!$D$7:$D$3006,P2336)&amp;"")</f>
        <v>23</v>
      </c>
      <c r="E2336" s="114" t="str">
        <f aca="false">IF(OR(C2336="",P2336=""),"",IF(INDEX('CARNET DE SOUDURE'!$U$7:$U$3006,P2336)="","",INDEX('CARNET DE SOUDURE'!$U$7:$U$3006,P2336)))</f>
        <v/>
      </c>
      <c r="F2336" s="82" t="str">
        <f aca="false">IF(OR(C2336="",P2336=""),"",INDEX('CARNET DE SOUDURE'!$AP$7:$AP$3006,P2336))</f>
        <v/>
      </c>
      <c r="G2336" s="82" t="str">
        <f aca="false">IF(C2336="","",IF(P2336="","NJ INCONNU",INDEX('CARNET DE SOUDURE'!$AQ$7:$AQ$3006,P2336)))</f>
        <v>À SOUDER</v>
      </c>
      <c r="H2336" s="82" t="str">
        <f aca="false">IF(C2336="","",IF(G2336="ACCEPTÉ","OUI","NON"))</f>
        <v>NON</v>
      </c>
      <c r="I2336" s="83"/>
      <c r="J2336" s="80"/>
      <c r="K2336" s="81"/>
      <c r="L2336" s="81"/>
      <c r="M2336" s="81"/>
      <c r="N2336" s="84" t="str">
        <f aca="false">IF(C2336="","",IF(P2336="","NJ INCONNU",IF(I2336="",IF(H2336="OUI","À ENROBER",IF(G2336="À SOUDER","NON SOUDÉ","EN ATTENTE RT")),IF(L2336="R","À REPRENDRE",IF(H2336&lt;&gt;"OUI","⚠ ENROBÉ AVANT ACCEPTATION RT","ENROBÉ")))))</f>
        <v>NON SOUDÉ</v>
      </c>
      <c r="O2336" s="80"/>
      <c r="P2336" s="82" t="n">
        <f aca="false">IF(C2336="","",IFERROR(MATCH(Q2336,'CARNET DE SOUDURE'!$AW$7:$AW$3006,0),""))</f>
        <v>2330</v>
      </c>
      <c r="Q2336" s="82" t="str">
        <f aca="false">IF(C2336="","",B2336&amp;"|"&amp;C2336)</f>
        <v>MFD-ISW → MFD-CPF|JN°1852</v>
      </c>
    </row>
    <row r="2337" customFormat="false" ht="74.6" hidden="false" customHeight="false" outlineLevel="0" collapsed="false">
      <c r="A2337" s="82" t="n">
        <f aca="false">IF(C2337="","",ROW()-6)</f>
        <v>2331</v>
      </c>
      <c r="B2337" s="80" t="s">
        <v>110</v>
      </c>
      <c r="C2337" s="113" t="s">
        <v>2834</v>
      </c>
      <c r="D2337" s="82" t="str">
        <f aca="false">IF(OR(C2337="",P2337=""),"",INDEX('CARNET DE SOUDURE'!$D$7:$D$3006,P2337)&amp;"")</f>
        <v>23</v>
      </c>
      <c r="E2337" s="114" t="str">
        <f aca="false">IF(OR(C2337="",P2337=""),"",IF(INDEX('CARNET DE SOUDURE'!$U$7:$U$3006,P2337)="","",INDEX('CARNET DE SOUDURE'!$U$7:$U$3006,P2337)))</f>
        <v/>
      </c>
      <c r="F2337" s="82" t="str">
        <f aca="false">IF(OR(C2337="",P2337=""),"",INDEX('CARNET DE SOUDURE'!$AP$7:$AP$3006,P2337))</f>
        <v/>
      </c>
      <c r="G2337" s="82" t="str">
        <f aca="false">IF(C2337="","",IF(P2337="","NJ INCONNU",INDEX('CARNET DE SOUDURE'!$AQ$7:$AQ$3006,P2337)))</f>
        <v>À SOUDER</v>
      </c>
      <c r="H2337" s="82" t="str">
        <f aca="false">IF(C2337="","",IF(G2337="ACCEPTÉ","OUI","NON"))</f>
        <v>NON</v>
      </c>
      <c r="I2337" s="83"/>
      <c r="J2337" s="80"/>
      <c r="K2337" s="81"/>
      <c r="L2337" s="81"/>
      <c r="M2337" s="81"/>
      <c r="N2337" s="84" t="str">
        <f aca="false">IF(C2337="","",IF(P2337="","NJ INCONNU",IF(I2337="",IF(H2337="OUI","À ENROBER",IF(G2337="À SOUDER","NON SOUDÉ","EN ATTENTE RT")),IF(L2337="R","À REPRENDRE",IF(H2337&lt;&gt;"OUI","⚠ ENROBÉ AVANT ACCEPTATION RT","ENROBÉ")))))</f>
        <v>NON SOUDÉ</v>
      </c>
      <c r="O2337" s="80"/>
      <c r="P2337" s="82" t="n">
        <f aca="false">IF(C2337="","",IFERROR(MATCH(Q2337,'CARNET DE SOUDURE'!$AW$7:$AW$3006,0),""))</f>
        <v>2331</v>
      </c>
      <c r="Q2337" s="82" t="str">
        <f aca="false">IF(C2337="","",B2337&amp;"|"&amp;C2337)</f>
        <v>MFD-ISW → MFD-CPF|JN°1853</v>
      </c>
    </row>
    <row r="2338" customFormat="false" ht="74.6" hidden="false" customHeight="false" outlineLevel="0" collapsed="false">
      <c r="A2338" s="82" t="n">
        <f aca="false">IF(C2338="","",ROW()-6)</f>
        <v>2332</v>
      </c>
      <c r="B2338" s="80" t="s">
        <v>110</v>
      </c>
      <c r="C2338" s="113" t="s">
        <v>2835</v>
      </c>
      <c r="D2338" s="82" t="str">
        <f aca="false">IF(OR(C2338="",P2338=""),"",INDEX('CARNET DE SOUDURE'!$D$7:$D$3006,P2338)&amp;"")</f>
        <v>23</v>
      </c>
      <c r="E2338" s="114" t="str">
        <f aca="false">IF(OR(C2338="",P2338=""),"",IF(INDEX('CARNET DE SOUDURE'!$U$7:$U$3006,P2338)="","",INDEX('CARNET DE SOUDURE'!$U$7:$U$3006,P2338)))</f>
        <v/>
      </c>
      <c r="F2338" s="82" t="str">
        <f aca="false">IF(OR(C2338="",P2338=""),"",INDEX('CARNET DE SOUDURE'!$AP$7:$AP$3006,P2338))</f>
        <v/>
      </c>
      <c r="G2338" s="82" t="str">
        <f aca="false">IF(C2338="","",IF(P2338="","NJ INCONNU",INDEX('CARNET DE SOUDURE'!$AQ$7:$AQ$3006,P2338)))</f>
        <v>À SOUDER</v>
      </c>
      <c r="H2338" s="82" t="str">
        <f aca="false">IF(C2338="","",IF(G2338="ACCEPTÉ","OUI","NON"))</f>
        <v>NON</v>
      </c>
      <c r="I2338" s="83"/>
      <c r="J2338" s="80"/>
      <c r="K2338" s="81"/>
      <c r="L2338" s="81"/>
      <c r="M2338" s="81"/>
      <c r="N2338" s="84" t="str">
        <f aca="false">IF(C2338="","",IF(P2338="","NJ INCONNU",IF(I2338="",IF(H2338="OUI","À ENROBER",IF(G2338="À SOUDER","NON SOUDÉ","EN ATTENTE RT")),IF(L2338="R","À REPRENDRE",IF(H2338&lt;&gt;"OUI","⚠ ENROBÉ AVANT ACCEPTATION RT","ENROBÉ")))))</f>
        <v>NON SOUDÉ</v>
      </c>
      <c r="O2338" s="80"/>
      <c r="P2338" s="82" t="n">
        <f aca="false">IF(C2338="","",IFERROR(MATCH(Q2338,'CARNET DE SOUDURE'!$AW$7:$AW$3006,0),""))</f>
        <v>2332</v>
      </c>
      <c r="Q2338" s="82" t="str">
        <f aca="false">IF(C2338="","",B2338&amp;"|"&amp;C2338)</f>
        <v>MFD-ISW → MFD-CPF|JN°1854</v>
      </c>
    </row>
    <row r="2339" customFormat="false" ht="74.6" hidden="false" customHeight="false" outlineLevel="0" collapsed="false">
      <c r="A2339" s="82" t="n">
        <f aca="false">IF(C2339="","",ROW()-6)</f>
        <v>2333</v>
      </c>
      <c r="B2339" s="80" t="s">
        <v>110</v>
      </c>
      <c r="C2339" s="113" t="s">
        <v>2836</v>
      </c>
      <c r="D2339" s="82" t="str">
        <f aca="false">IF(OR(C2339="",P2339=""),"",INDEX('CARNET DE SOUDURE'!$D$7:$D$3006,P2339)&amp;"")</f>
        <v>23</v>
      </c>
      <c r="E2339" s="114" t="str">
        <f aca="false">IF(OR(C2339="",P2339=""),"",IF(INDEX('CARNET DE SOUDURE'!$U$7:$U$3006,P2339)="","",INDEX('CARNET DE SOUDURE'!$U$7:$U$3006,P2339)))</f>
        <v/>
      </c>
      <c r="F2339" s="82" t="str">
        <f aca="false">IF(OR(C2339="",P2339=""),"",INDEX('CARNET DE SOUDURE'!$AP$7:$AP$3006,P2339))</f>
        <v/>
      </c>
      <c r="G2339" s="82" t="str">
        <f aca="false">IF(C2339="","",IF(P2339="","NJ INCONNU",INDEX('CARNET DE SOUDURE'!$AQ$7:$AQ$3006,P2339)))</f>
        <v>À SOUDER</v>
      </c>
      <c r="H2339" s="82" t="str">
        <f aca="false">IF(C2339="","",IF(G2339="ACCEPTÉ","OUI","NON"))</f>
        <v>NON</v>
      </c>
      <c r="I2339" s="83"/>
      <c r="J2339" s="80"/>
      <c r="K2339" s="81"/>
      <c r="L2339" s="81"/>
      <c r="M2339" s="81"/>
      <c r="N2339" s="84" t="str">
        <f aca="false">IF(C2339="","",IF(P2339="","NJ INCONNU",IF(I2339="",IF(H2339="OUI","À ENROBER",IF(G2339="À SOUDER","NON SOUDÉ","EN ATTENTE RT")),IF(L2339="R","À REPRENDRE",IF(H2339&lt;&gt;"OUI","⚠ ENROBÉ AVANT ACCEPTATION RT","ENROBÉ")))))</f>
        <v>NON SOUDÉ</v>
      </c>
      <c r="O2339" s="80"/>
      <c r="P2339" s="82" t="n">
        <f aca="false">IF(C2339="","",IFERROR(MATCH(Q2339,'CARNET DE SOUDURE'!$AW$7:$AW$3006,0),""))</f>
        <v>2333</v>
      </c>
      <c r="Q2339" s="82" t="str">
        <f aca="false">IF(C2339="","",B2339&amp;"|"&amp;C2339)</f>
        <v>MFD-ISW → MFD-CPF|JN°1855</v>
      </c>
    </row>
    <row r="2340" customFormat="false" ht="74.6" hidden="false" customHeight="false" outlineLevel="0" collapsed="false">
      <c r="A2340" s="82" t="n">
        <f aca="false">IF(C2340="","",ROW()-6)</f>
        <v>2334</v>
      </c>
      <c r="B2340" s="80" t="s">
        <v>110</v>
      </c>
      <c r="C2340" s="113" t="s">
        <v>2837</v>
      </c>
      <c r="D2340" s="82" t="str">
        <f aca="false">IF(OR(C2340="",P2340=""),"",INDEX('CARNET DE SOUDURE'!$D$7:$D$3006,P2340)&amp;"")</f>
        <v>23</v>
      </c>
      <c r="E2340" s="114" t="str">
        <f aca="false">IF(OR(C2340="",P2340=""),"",IF(INDEX('CARNET DE SOUDURE'!$U$7:$U$3006,P2340)="","",INDEX('CARNET DE SOUDURE'!$U$7:$U$3006,P2340)))</f>
        <v/>
      </c>
      <c r="F2340" s="82" t="str">
        <f aca="false">IF(OR(C2340="",P2340=""),"",INDEX('CARNET DE SOUDURE'!$AP$7:$AP$3006,P2340))</f>
        <v/>
      </c>
      <c r="G2340" s="82" t="str">
        <f aca="false">IF(C2340="","",IF(P2340="","NJ INCONNU",INDEX('CARNET DE SOUDURE'!$AQ$7:$AQ$3006,P2340)))</f>
        <v>À SOUDER</v>
      </c>
      <c r="H2340" s="82" t="str">
        <f aca="false">IF(C2340="","",IF(G2340="ACCEPTÉ","OUI","NON"))</f>
        <v>NON</v>
      </c>
      <c r="I2340" s="83"/>
      <c r="J2340" s="80"/>
      <c r="K2340" s="81"/>
      <c r="L2340" s="81"/>
      <c r="M2340" s="81"/>
      <c r="N2340" s="84" t="str">
        <f aca="false">IF(C2340="","",IF(P2340="","NJ INCONNU",IF(I2340="",IF(H2340="OUI","À ENROBER",IF(G2340="À SOUDER","NON SOUDÉ","EN ATTENTE RT")),IF(L2340="R","À REPRENDRE",IF(H2340&lt;&gt;"OUI","⚠ ENROBÉ AVANT ACCEPTATION RT","ENROBÉ")))))</f>
        <v>NON SOUDÉ</v>
      </c>
      <c r="O2340" s="80"/>
      <c r="P2340" s="82" t="n">
        <f aca="false">IF(C2340="","",IFERROR(MATCH(Q2340,'CARNET DE SOUDURE'!$AW$7:$AW$3006,0),""))</f>
        <v>2334</v>
      </c>
      <c r="Q2340" s="82" t="str">
        <f aca="false">IF(C2340="","",B2340&amp;"|"&amp;C2340)</f>
        <v>MFD-ISW → MFD-CPF|JN°1856</v>
      </c>
    </row>
    <row r="2341" customFormat="false" ht="74.6" hidden="false" customHeight="false" outlineLevel="0" collapsed="false">
      <c r="A2341" s="82" t="n">
        <f aca="false">IF(C2341="","",ROW()-6)</f>
        <v>2335</v>
      </c>
      <c r="B2341" s="80" t="s">
        <v>110</v>
      </c>
      <c r="C2341" s="113" t="s">
        <v>2838</v>
      </c>
      <c r="D2341" s="82" t="str">
        <f aca="false">IF(OR(C2341="",P2341=""),"",INDEX('CARNET DE SOUDURE'!$D$7:$D$3006,P2341)&amp;"")</f>
        <v>23</v>
      </c>
      <c r="E2341" s="114" t="str">
        <f aca="false">IF(OR(C2341="",P2341=""),"",IF(INDEX('CARNET DE SOUDURE'!$U$7:$U$3006,P2341)="","",INDEX('CARNET DE SOUDURE'!$U$7:$U$3006,P2341)))</f>
        <v/>
      </c>
      <c r="F2341" s="82" t="str">
        <f aca="false">IF(OR(C2341="",P2341=""),"",INDEX('CARNET DE SOUDURE'!$AP$7:$AP$3006,P2341))</f>
        <v/>
      </c>
      <c r="G2341" s="82" t="str">
        <f aca="false">IF(C2341="","",IF(P2341="","NJ INCONNU",INDEX('CARNET DE SOUDURE'!$AQ$7:$AQ$3006,P2341)))</f>
        <v>À SOUDER</v>
      </c>
      <c r="H2341" s="82" t="str">
        <f aca="false">IF(C2341="","",IF(G2341="ACCEPTÉ","OUI","NON"))</f>
        <v>NON</v>
      </c>
      <c r="I2341" s="83"/>
      <c r="J2341" s="80"/>
      <c r="K2341" s="81"/>
      <c r="L2341" s="81"/>
      <c r="M2341" s="81"/>
      <c r="N2341" s="84" t="str">
        <f aca="false">IF(C2341="","",IF(P2341="","NJ INCONNU",IF(I2341="",IF(H2341="OUI","À ENROBER",IF(G2341="À SOUDER","NON SOUDÉ","EN ATTENTE RT")),IF(L2341="R","À REPRENDRE",IF(H2341&lt;&gt;"OUI","⚠ ENROBÉ AVANT ACCEPTATION RT","ENROBÉ")))))</f>
        <v>NON SOUDÉ</v>
      </c>
      <c r="O2341" s="80"/>
      <c r="P2341" s="82" t="n">
        <f aca="false">IF(C2341="","",IFERROR(MATCH(Q2341,'CARNET DE SOUDURE'!$AW$7:$AW$3006,0),""))</f>
        <v>2335</v>
      </c>
      <c r="Q2341" s="82" t="str">
        <f aca="false">IF(C2341="","",B2341&amp;"|"&amp;C2341)</f>
        <v>MFD-ISW → MFD-CPF|JN°1857</v>
      </c>
    </row>
    <row r="2342" customFormat="false" ht="74.6" hidden="false" customHeight="false" outlineLevel="0" collapsed="false">
      <c r="A2342" s="82" t="n">
        <f aca="false">IF(C2342="","",ROW()-6)</f>
        <v>2336</v>
      </c>
      <c r="B2342" s="80" t="s">
        <v>110</v>
      </c>
      <c r="C2342" s="113" t="s">
        <v>2839</v>
      </c>
      <c r="D2342" s="82" t="str">
        <f aca="false">IF(OR(C2342="",P2342=""),"",INDEX('CARNET DE SOUDURE'!$D$7:$D$3006,P2342)&amp;"")</f>
        <v>23</v>
      </c>
      <c r="E2342" s="114" t="str">
        <f aca="false">IF(OR(C2342="",P2342=""),"",IF(INDEX('CARNET DE SOUDURE'!$U$7:$U$3006,P2342)="","",INDEX('CARNET DE SOUDURE'!$U$7:$U$3006,P2342)))</f>
        <v/>
      </c>
      <c r="F2342" s="82" t="str">
        <f aca="false">IF(OR(C2342="",P2342=""),"",INDEX('CARNET DE SOUDURE'!$AP$7:$AP$3006,P2342))</f>
        <v/>
      </c>
      <c r="G2342" s="82" t="str">
        <f aca="false">IF(C2342="","",IF(P2342="","NJ INCONNU",INDEX('CARNET DE SOUDURE'!$AQ$7:$AQ$3006,P2342)))</f>
        <v>À SOUDER</v>
      </c>
      <c r="H2342" s="82" t="str">
        <f aca="false">IF(C2342="","",IF(G2342="ACCEPTÉ","OUI","NON"))</f>
        <v>NON</v>
      </c>
      <c r="I2342" s="83"/>
      <c r="J2342" s="80"/>
      <c r="K2342" s="81"/>
      <c r="L2342" s="81"/>
      <c r="M2342" s="81"/>
      <c r="N2342" s="84" t="str">
        <f aca="false">IF(C2342="","",IF(P2342="","NJ INCONNU",IF(I2342="",IF(H2342="OUI","À ENROBER",IF(G2342="À SOUDER","NON SOUDÉ","EN ATTENTE RT")),IF(L2342="R","À REPRENDRE",IF(H2342&lt;&gt;"OUI","⚠ ENROBÉ AVANT ACCEPTATION RT","ENROBÉ")))))</f>
        <v>NON SOUDÉ</v>
      </c>
      <c r="O2342" s="80"/>
      <c r="P2342" s="82" t="n">
        <f aca="false">IF(C2342="","",IFERROR(MATCH(Q2342,'CARNET DE SOUDURE'!$AW$7:$AW$3006,0),""))</f>
        <v>2336</v>
      </c>
      <c r="Q2342" s="82" t="str">
        <f aca="false">IF(C2342="","",B2342&amp;"|"&amp;C2342)</f>
        <v>MFD-ISW → MFD-CPF|JN°1858</v>
      </c>
    </row>
    <row r="2343" customFormat="false" ht="74.6" hidden="false" customHeight="false" outlineLevel="0" collapsed="false">
      <c r="A2343" s="82" t="n">
        <f aca="false">IF(C2343="","",ROW()-6)</f>
        <v>2337</v>
      </c>
      <c r="B2343" s="80" t="s">
        <v>110</v>
      </c>
      <c r="C2343" s="113" t="s">
        <v>2840</v>
      </c>
      <c r="D2343" s="82" t="str">
        <f aca="false">IF(OR(C2343="",P2343=""),"",INDEX('CARNET DE SOUDURE'!$D$7:$D$3006,P2343)&amp;"")</f>
        <v>23</v>
      </c>
      <c r="E2343" s="114" t="str">
        <f aca="false">IF(OR(C2343="",P2343=""),"",IF(INDEX('CARNET DE SOUDURE'!$U$7:$U$3006,P2343)="","",INDEX('CARNET DE SOUDURE'!$U$7:$U$3006,P2343)))</f>
        <v/>
      </c>
      <c r="F2343" s="82" t="str">
        <f aca="false">IF(OR(C2343="",P2343=""),"",INDEX('CARNET DE SOUDURE'!$AP$7:$AP$3006,P2343))</f>
        <v/>
      </c>
      <c r="G2343" s="82" t="str">
        <f aca="false">IF(C2343="","",IF(P2343="","NJ INCONNU",INDEX('CARNET DE SOUDURE'!$AQ$7:$AQ$3006,P2343)))</f>
        <v>À SOUDER</v>
      </c>
      <c r="H2343" s="82" t="str">
        <f aca="false">IF(C2343="","",IF(G2343="ACCEPTÉ","OUI","NON"))</f>
        <v>NON</v>
      </c>
      <c r="I2343" s="83"/>
      <c r="J2343" s="80"/>
      <c r="K2343" s="81"/>
      <c r="L2343" s="81"/>
      <c r="M2343" s="81"/>
      <c r="N2343" s="84" t="str">
        <f aca="false">IF(C2343="","",IF(P2343="","NJ INCONNU",IF(I2343="",IF(H2343="OUI","À ENROBER",IF(G2343="À SOUDER","NON SOUDÉ","EN ATTENTE RT")),IF(L2343="R","À REPRENDRE",IF(H2343&lt;&gt;"OUI","⚠ ENROBÉ AVANT ACCEPTATION RT","ENROBÉ")))))</f>
        <v>NON SOUDÉ</v>
      </c>
      <c r="O2343" s="80"/>
      <c r="P2343" s="82" t="n">
        <f aca="false">IF(C2343="","",IFERROR(MATCH(Q2343,'CARNET DE SOUDURE'!$AW$7:$AW$3006,0),""))</f>
        <v>2337</v>
      </c>
      <c r="Q2343" s="82" t="str">
        <f aca="false">IF(C2343="","",B2343&amp;"|"&amp;C2343)</f>
        <v>MFD-ISW → MFD-CPF|JN°1859</v>
      </c>
    </row>
    <row r="2344" customFormat="false" ht="74.6" hidden="false" customHeight="false" outlineLevel="0" collapsed="false">
      <c r="A2344" s="82" t="n">
        <f aca="false">IF(C2344="","",ROW()-6)</f>
        <v>2338</v>
      </c>
      <c r="B2344" s="80" t="s">
        <v>110</v>
      </c>
      <c r="C2344" s="113" t="s">
        <v>2841</v>
      </c>
      <c r="D2344" s="82" t="str">
        <f aca="false">IF(OR(C2344="",P2344=""),"",INDEX('CARNET DE SOUDURE'!$D$7:$D$3006,P2344)&amp;"")</f>
        <v>23</v>
      </c>
      <c r="E2344" s="114" t="str">
        <f aca="false">IF(OR(C2344="",P2344=""),"",IF(INDEX('CARNET DE SOUDURE'!$U$7:$U$3006,P2344)="","",INDEX('CARNET DE SOUDURE'!$U$7:$U$3006,P2344)))</f>
        <v/>
      </c>
      <c r="F2344" s="82" t="str">
        <f aca="false">IF(OR(C2344="",P2344=""),"",INDEX('CARNET DE SOUDURE'!$AP$7:$AP$3006,P2344))</f>
        <v/>
      </c>
      <c r="G2344" s="82" t="str">
        <f aca="false">IF(C2344="","",IF(P2344="","NJ INCONNU",INDEX('CARNET DE SOUDURE'!$AQ$7:$AQ$3006,P2344)))</f>
        <v>À SOUDER</v>
      </c>
      <c r="H2344" s="82" t="str">
        <f aca="false">IF(C2344="","",IF(G2344="ACCEPTÉ","OUI","NON"))</f>
        <v>NON</v>
      </c>
      <c r="I2344" s="83"/>
      <c r="J2344" s="80"/>
      <c r="K2344" s="81"/>
      <c r="L2344" s="81"/>
      <c r="M2344" s="81"/>
      <c r="N2344" s="84" t="str">
        <f aca="false">IF(C2344="","",IF(P2344="","NJ INCONNU",IF(I2344="",IF(H2344="OUI","À ENROBER",IF(G2344="À SOUDER","NON SOUDÉ","EN ATTENTE RT")),IF(L2344="R","À REPRENDRE",IF(H2344&lt;&gt;"OUI","⚠ ENROBÉ AVANT ACCEPTATION RT","ENROBÉ")))))</f>
        <v>NON SOUDÉ</v>
      </c>
      <c r="O2344" s="80"/>
      <c r="P2344" s="82" t="n">
        <f aca="false">IF(C2344="","",IFERROR(MATCH(Q2344,'CARNET DE SOUDURE'!$AW$7:$AW$3006,0),""))</f>
        <v>2338</v>
      </c>
      <c r="Q2344" s="82" t="str">
        <f aca="false">IF(C2344="","",B2344&amp;"|"&amp;C2344)</f>
        <v>MFD-ISW → MFD-CPF|JN°1860</v>
      </c>
    </row>
    <row r="2345" customFormat="false" ht="74.6" hidden="false" customHeight="false" outlineLevel="0" collapsed="false">
      <c r="A2345" s="82" t="n">
        <f aca="false">IF(C2345="","",ROW()-6)</f>
        <v>2339</v>
      </c>
      <c r="B2345" s="80" t="s">
        <v>110</v>
      </c>
      <c r="C2345" s="113" t="s">
        <v>2842</v>
      </c>
      <c r="D2345" s="82" t="str">
        <f aca="false">IF(OR(C2345="",P2345=""),"",INDEX('CARNET DE SOUDURE'!$D$7:$D$3006,P2345)&amp;"")</f>
        <v>23</v>
      </c>
      <c r="E2345" s="114" t="str">
        <f aca="false">IF(OR(C2345="",P2345=""),"",IF(INDEX('CARNET DE SOUDURE'!$U$7:$U$3006,P2345)="","",INDEX('CARNET DE SOUDURE'!$U$7:$U$3006,P2345)))</f>
        <v/>
      </c>
      <c r="F2345" s="82" t="str">
        <f aca="false">IF(OR(C2345="",P2345=""),"",INDEX('CARNET DE SOUDURE'!$AP$7:$AP$3006,P2345))</f>
        <v/>
      </c>
      <c r="G2345" s="82" t="str">
        <f aca="false">IF(C2345="","",IF(P2345="","NJ INCONNU",INDEX('CARNET DE SOUDURE'!$AQ$7:$AQ$3006,P2345)))</f>
        <v>À SOUDER</v>
      </c>
      <c r="H2345" s="82" t="str">
        <f aca="false">IF(C2345="","",IF(G2345="ACCEPTÉ","OUI","NON"))</f>
        <v>NON</v>
      </c>
      <c r="I2345" s="83"/>
      <c r="J2345" s="80"/>
      <c r="K2345" s="81"/>
      <c r="L2345" s="81"/>
      <c r="M2345" s="81"/>
      <c r="N2345" s="84" t="str">
        <f aca="false">IF(C2345="","",IF(P2345="","NJ INCONNU",IF(I2345="",IF(H2345="OUI","À ENROBER",IF(G2345="À SOUDER","NON SOUDÉ","EN ATTENTE RT")),IF(L2345="R","À REPRENDRE",IF(H2345&lt;&gt;"OUI","⚠ ENROBÉ AVANT ACCEPTATION RT","ENROBÉ")))))</f>
        <v>NON SOUDÉ</v>
      </c>
      <c r="O2345" s="80"/>
      <c r="P2345" s="82" t="n">
        <f aca="false">IF(C2345="","",IFERROR(MATCH(Q2345,'CARNET DE SOUDURE'!$AW$7:$AW$3006,0),""))</f>
        <v>2339</v>
      </c>
      <c r="Q2345" s="82" t="str">
        <f aca="false">IF(C2345="","",B2345&amp;"|"&amp;C2345)</f>
        <v>MFD-ISW → MFD-CPF|JN°1861</v>
      </c>
    </row>
    <row r="2346" customFormat="false" ht="74.6" hidden="false" customHeight="false" outlineLevel="0" collapsed="false">
      <c r="A2346" s="82" t="n">
        <f aca="false">IF(C2346="","",ROW()-6)</f>
        <v>2340</v>
      </c>
      <c r="B2346" s="80" t="s">
        <v>110</v>
      </c>
      <c r="C2346" s="113" t="s">
        <v>2843</v>
      </c>
      <c r="D2346" s="82" t="str">
        <f aca="false">IF(OR(C2346="",P2346=""),"",INDEX('CARNET DE SOUDURE'!$D$7:$D$3006,P2346)&amp;"")</f>
        <v>23</v>
      </c>
      <c r="E2346" s="114" t="str">
        <f aca="false">IF(OR(C2346="",P2346=""),"",IF(INDEX('CARNET DE SOUDURE'!$U$7:$U$3006,P2346)="","",INDEX('CARNET DE SOUDURE'!$U$7:$U$3006,P2346)))</f>
        <v/>
      </c>
      <c r="F2346" s="82" t="str">
        <f aca="false">IF(OR(C2346="",P2346=""),"",INDEX('CARNET DE SOUDURE'!$AP$7:$AP$3006,P2346))</f>
        <v/>
      </c>
      <c r="G2346" s="82" t="str">
        <f aca="false">IF(C2346="","",IF(P2346="","NJ INCONNU",INDEX('CARNET DE SOUDURE'!$AQ$7:$AQ$3006,P2346)))</f>
        <v>À SOUDER</v>
      </c>
      <c r="H2346" s="82" t="str">
        <f aca="false">IF(C2346="","",IF(G2346="ACCEPTÉ","OUI","NON"))</f>
        <v>NON</v>
      </c>
      <c r="I2346" s="83"/>
      <c r="J2346" s="80"/>
      <c r="K2346" s="81"/>
      <c r="L2346" s="81"/>
      <c r="M2346" s="81"/>
      <c r="N2346" s="84" t="str">
        <f aca="false">IF(C2346="","",IF(P2346="","NJ INCONNU",IF(I2346="",IF(H2346="OUI","À ENROBER",IF(G2346="À SOUDER","NON SOUDÉ","EN ATTENTE RT")),IF(L2346="R","À REPRENDRE",IF(H2346&lt;&gt;"OUI","⚠ ENROBÉ AVANT ACCEPTATION RT","ENROBÉ")))))</f>
        <v>NON SOUDÉ</v>
      </c>
      <c r="O2346" s="80"/>
      <c r="P2346" s="82" t="n">
        <f aca="false">IF(C2346="","",IFERROR(MATCH(Q2346,'CARNET DE SOUDURE'!$AW$7:$AW$3006,0),""))</f>
        <v>2340</v>
      </c>
      <c r="Q2346" s="82" t="str">
        <f aca="false">IF(C2346="","",B2346&amp;"|"&amp;C2346)</f>
        <v>MFD-ISW → MFD-CPF|JN°1862</v>
      </c>
    </row>
    <row r="2347" customFormat="false" ht="74.6" hidden="false" customHeight="false" outlineLevel="0" collapsed="false">
      <c r="A2347" s="82" t="n">
        <f aca="false">IF(C2347="","",ROW()-6)</f>
        <v>2341</v>
      </c>
      <c r="B2347" s="80" t="s">
        <v>110</v>
      </c>
      <c r="C2347" s="113" t="s">
        <v>2845</v>
      </c>
      <c r="D2347" s="82" t="str">
        <f aca="false">IF(OR(C2347="",P2347=""),"",INDEX('CARNET DE SOUDURE'!$D$7:$D$3006,P2347)&amp;"")</f>
        <v>23</v>
      </c>
      <c r="E2347" s="114" t="n">
        <f aca="false">IF(OR(C2347="",P2347=""),"",IF(INDEX('CARNET DE SOUDURE'!$U$7:$U$3006,P2347)="","",INDEX('CARNET DE SOUDURE'!$U$7:$U$3006,P2347)))</f>
        <v>46258</v>
      </c>
      <c r="F2347" s="82" t="str">
        <f aca="false">IF(OR(C2347="",P2347=""),"",INDEX('CARNET DE SOUDURE'!$AP$7:$AP$3006,P2347))</f>
        <v>A</v>
      </c>
      <c r="G2347" s="82" t="str">
        <f aca="false">IF(C2347="","",IF(P2347="","NJ INCONNU",INDEX('CARNET DE SOUDURE'!$AQ$7:$AQ$3006,P2347)))</f>
        <v>ACCEPTÉ</v>
      </c>
      <c r="H2347" s="82" t="str">
        <f aca="false">IF(C2347="","",IF(G2347="ACCEPTÉ","OUI","NON"))</f>
        <v>OUI</v>
      </c>
      <c r="I2347" s="83"/>
      <c r="J2347" s="80"/>
      <c r="K2347" s="81"/>
      <c r="L2347" s="81"/>
      <c r="M2347" s="81"/>
      <c r="N2347" s="84" t="str">
        <f aca="false">IF(C2347="","",IF(P2347="","NJ INCONNU",IF(I2347="",IF(H2347="OUI","À ENROBER",IF(G2347="À SOUDER","NON SOUDÉ","EN ATTENTE RT")),IF(L2347="R","À REPRENDRE",IF(H2347&lt;&gt;"OUI","⚠ ENROBÉ AVANT ACCEPTATION RT","ENROBÉ")))))</f>
        <v>À ENROBER</v>
      </c>
      <c r="O2347" s="80"/>
      <c r="P2347" s="82" t="n">
        <f aca="false">IF(C2347="","",IFERROR(MATCH(Q2347,'CARNET DE SOUDURE'!$AW$7:$AW$3006,0),""))</f>
        <v>2341</v>
      </c>
      <c r="Q2347" s="82" t="str">
        <f aca="false">IF(C2347="","",B2347&amp;"|"&amp;C2347)</f>
        <v>MFD-ISW → MFD-CPF|JN°1863</v>
      </c>
    </row>
    <row r="2348" customFormat="false" ht="74.6" hidden="false" customHeight="false" outlineLevel="0" collapsed="false">
      <c r="A2348" s="82" t="n">
        <f aca="false">IF(C2348="","",ROW()-6)</f>
        <v>2342</v>
      </c>
      <c r="B2348" s="80" t="s">
        <v>110</v>
      </c>
      <c r="C2348" s="113" t="s">
        <v>2847</v>
      </c>
      <c r="D2348" s="82" t="str">
        <f aca="false">IF(OR(C2348="",P2348=""),"",INDEX('CARNET DE SOUDURE'!$D$7:$D$3006,P2348)&amp;"")</f>
        <v>23</v>
      </c>
      <c r="E2348" s="114" t="n">
        <f aca="false">IF(OR(C2348="",P2348=""),"",IF(INDEX('CARNET DE SOUDURE'!$U$7:$U$3006,P2348)="","",INDEX('CARNET DE SOUDURE'!$U$7:$U$3006,P2348)))</f>
        <v>46258</v>
      </c>
      <c r="F2348" s="82" t="str">
        <f aca="false">IF(OR(C2348="",P2348=""),"",INDEX('CARNET DE SOUDURE'!$AP$7:$AP$3006,P2348))</f>
        <v>A</v>
      </c>
      <c r="G2348" s="82" t="str">
        <f aca="false">IF(C2348="","",IF(P2348="","NJ INCONNU",INDEX('CARNET DE SOUDURE'!$AQ$7:$AQ$3006,P2348)))</f>
        <v>ACCEPTÉ</v>
      </c>
      <c r="H2348" s="82" t="str">
        <f aca="false">IF(C2348="","",IF(G2348="ACCEPTÉ","OUI","NON"))</f>
        <v>OUI</v>
      </c>
      <c r="I2348" s="83"/>
      <c r="J2348" s="80"/>
      <c r="K2348" s="81"/>
      <c r="L2348" s="81"/>
      <c r="M2348" s="81"/>
      <c r="N2348" s="84" t="str">
        <f aca="false">IF(C2348="","",IF(P2348="","NJ INCONNU",IF(I2348="",IF(H2348="OUI","À ENROBER",IF(G2348="À SOUDER","NON SOUDÉ","EN ATTENTE RT")),IF(L2348="R","À REPRENDRE",IF(H2348&lt;&gt;"OUI","⚠ ENROBÉ AVANT ACCEPTATION RT","ENROBÉ")))))</f>
        <v>À ENROBER</v>
      </c>
      <c r="O2348" s="80"/>
      <c r="P2348" s="82" t="n">
        <f aca="false">IF(C2348="","",IFERROR(MATCH(Q2348,'CARNET DE SOUDURE'!$AW$7:$AW$3006,0),""))</f>
        <v>2342</v>
      </c>
      <c r="Q2348" s="82" t="str">
        <f aca="false">IF(C2348="","",B2348&amp;"|"&amp;C2348)</f>
        <v>MFD-ISW → MFD-CPF|JN°1864</v>
      </c>
    </row>
    <row r="2349" customFormat="false" ht="74.6" hidden="false" customHeight="false" outlineLevel="0" collapsed="false">
      <c r="A2349" s="82" t="n">
        <f aca="false">IF(C2349="","",ROW()-6)</f>
        <v>2343</v>
      </c>
      <c r="B2349" s="80" t="s">
        <v>110</v>
      </c>
      <c r="C2349" s="113" t="s">
        <v>2848</v>
      </c>
      <c r="D2349" s="82" t="str">
        <f aca="false">IF(OR(C2349="",P2349=""),"",INDEX('CARNET DE SOUDURE'!$D$7:$D$3006,P2349)&amp;"")</f>
        <v>23</v>
      </c>
      <c r="E2349" s="114" t="n">
        <f aca="false">IF(OR(C2349="",P2349=""),"",IF(INDEX('CARNET DE SOUDURE'!$U$7:$U$3006,P2349)="","",INDEX('CARNET DE SOUDURE'!$U$7:$U$3006,P2349)))</f>
        <v>46258</v>
      </c>
      <c r="F2349" s="82" t="str">
        <f aca="false">IF(OR(C2349="",P2349=""),"",INDEX('CARNET DE SOUDURE'!$AP$7:$AP$3006,P2349))</f>
        <v>A</v>
      </c>
      <c r="G2349" s="82" t="str">
        <f aca="false">IF(C2349="","",IF(P2349="","NJ INCONNU",INDEX('CARNET DE SOUDURE'!$AQ$7:$AQ$3006,P2349)))</f>
        <v>ACCEPTÉ</v>
      </c>
      <c r="H2349" s="82" t="str">
        <f aca="false">IF(C2349="","",IF(G2349="ACCEPTÉ","OUI","NON"))</f>
        <v>OUI</v>
      </c>
      <c r="I2349" s="83"/>
      <c r="J2349" s="80"/>
      <c r="K2349" s="81"/>
      <c r="L2349" s="81"/>
      <c r="M2349" s="81"/>
      <c r="N2349" s="84" t="str">
        <f aca="false">IF(C2349="","",IF(P2349="","NJ INCONNU",IF(I2349="",IF(H2349="OUI","À ENROBER",IF(G2349="À SOUDER","NON SOUDÉ","EN ATTENTE RT")),IF(L2349="R","À REPRENDRE",IF(H2349&lt;&gt;"OUI","⚠ ENROBÉ AVANT ACCEPTATION RT","ENROBÉ")))))</f>
        <v>À ENROBER</v>
      </c>
      <c r="O2349" s="80"/>
      <c r="P2349" s="82" t="n">
        <f aca="false">IF(C2349="","",IFERROR(MATCH(Q2349,'CARNET DE SOUDURE'!$AW$7:$AW$3006,0),""))</f>
        <v>2343</v>
      </c>
      <c r="Q2349" s="82" t="str">
        <f aca="false">IF(C2349="","",B2349&amp;"|"&amp;C2349)</f>
        <v>MFD-ISW → MFD-CPF|JN°1865</v>
      </c>
    </row>
    <row r="2350" customFormat="false" ht="74.6" hidden="false" customHeight="false" outlineLevel="0" collapsed="false">
      <c r="A2350" s="82" t="n">
        <f aca="false">IF(C2350="","",ROW()-6)</f>
        <v>2344</v>
      </c>
      <c r="B2350" s="80" t="s">
        <v>110</v>
      </c>
      <c r="C2350" s="113" t="s">
        <v>2849</v>
      </c>
      <c r="D2350" s="82" t="str">
        <f aca="false">IF(OR(C2350="",P2350=""),"",INDEX('CARNET DE SOUDURE'!$D$7:$D$3006,P2350)&amp;"")</f>
        <v>23</v>
      </c>
      <c r="E2350" s="114" t="n">
        <f aca="false">IF(OR(C2350="",P2350=""),"",IF(INDEX('CARNET DE SOUDURE'!$U$7:$U$3006,P2350)="","",INDEX('CARNET DE SOUDURE'!$U$7:$U$3006,P2350)))</f>
        <v>46258</v>
      </c>
      <c r="F2350" s="82" t="str">
        <f aca="false">IF(OR(C2350="",P2350=""),"",INDEX('CARNET DE SOUDURE'!$AP$7:$AP$3006,P2350))</f>
        <v>A</v>
      </c>
      <c r="G2350" s="82" t="str">
        <f aca="false">IF(C2350="","",IF(P2350="","NJ INCONNU",INDEX('CARNET DE SOUDURE'!$AQ$7:$AQ$3006,P2350)))</f>
        <v>ACCEPTÉ</v>
      </c>
      <c r="H2350" s="82" t="str">
        <f aca="false">IF(C2350="","",IF(G2350="ACCEPTÉ","OUI","NON"))</f>
        <v>OUI</v>
      </c>
      <c r="I2350" s="83"/>
      <c r="J2350" s="80"/>
      <c r="K2350" s="81"/>
      <c r="L2350" s="81"/>
      <c r="M2350" s="81"/>
      <c r="N2350" s="84" t="str">
        <f aca="false">IF(C2350="","",IF(P2350="","NJ INCONNU",IF(I2350="",IF(H2350="OUI","À ENROBER",IF(G2350="À SOUDER","NON SOUDÉ","EN ATTENTE RT")),IF(L2350="R","À REPRENDRE",IF(H2350&lt;&gt;"OUI","⚠ ENROBÉ AVANT ACCEPTATION RT","ENROBÉ")))))</f>
        <v>À ENROBER</v>
      </c>
      <c r="O2350" s="80"/>
      <c r="P2350" s="82" t="n">
        <f aca="false">IF(C2350="","",IFERROR(MATCH(Q2350,'CARNET DE SOUDURE'!$AW$7:$AW$3006,0),""))</f>
        <v>2344</v>
      </c>
      <c r="Q2350" s="82" t="str">
        <f aca="false">IF(C2350="","",B2350&amp;"|"&amp;C2350)</f>
        <v>MFD-ISW → MFD-CPF|JN°1866</v>
      </c>
    </row>
    <row r="2351" customFormat="false" ht="74.6" hidden="false" customHeight="false" outlineLevel="0" collapsed="false">
      <c r="A2351" s="82" t="n">
        <f aca="false">IF(C2351="","",ROW()-6)</f>
        <v>2345</v>
      </c>
      <c r="B2351" s="80" t="s">
        <v>110</v>
      </c>
      <c r="C2351" s="113" t="s">
        <v>2850</v>
      </c>
      <c r="D2351" s="82" t="str">
        <f aca="false">IF(OR(C2351="",P2351=""),"",INDEX('CARNET DE SOUDURE'!$D$7:$D$3006,P2351)&amp;"")</f>
        <v>23</v>
      </c>
      <c r="E2351" s="114" t="n">
        <f aca="false">IF(OR(C2351="",P2351=""),"",IF(INDEX('CARNET DE SOUDURE'!$U$7:$U$3006,P2351)="","",INDEX('CARNET DE SOUDURE'!$U$7:$U$3006,P2351)))</f>
        <v>46258</v>
      </c>
      <c r="F2351" s="82" t="str">
        <f aca="false">IF(OR(C2351="",P2351=""),"",INDEX('CARNET DE SOUDURE'!$AP$7:$AP$3006,P2351))</f>
        <v>A</v>
      </c>
      <c r="G2351" s="82" t="str">
        <f aca="false">IF(C2351="","",IF(P2351="","NJ INCONNU",INDEX('CARNET DE SOUDURE'!$AQ$7:$AQ$3006,P2351)))</f>
        <v>ACCEPTÉ</v>
      </c>
      <c r="H2351" s="82" t="str">
        <f aca="false">IF(C2351="","",IF(G2351="ACCEPTÉ","OUI","NON"))</f>
        <v>OUI</v>
      </c>
      <c r="I2351" s="83"/>
      <c r="J2351" s="80"/>
      <c r="K2351" s="81"/>
      <c r="L2351" s="81"/>
      <c r="M2351" s="81"/>
      <c r="N2351" s="84" t="str">
        <f aca="false">IF(C2351="","",IF(P2351="","NJ INCONNU",IF(I2351="",IF(H2351="OUI","À ENROBER",IF(G2351="À SOUDER","NON SOUDÉ","EN ATTENTE RT")),IF(L2351="R","À REPRENDRE",IF(H2351&lt;&gt;"OUI","⚠ ENROBÉ AVANT ACCEPTATION RT","ENROBÉ")))))</f>
        <v>À ENROBER</v>
      </c>
      <c r="O2351" s="80"/>
      <c r="P2351" s="82" t="n">
        <f aca="false">IF(C2351="","",IFERROR(MATCH(Q2351,'CARNET DE SOUDURE'!$AW$7:$AW$3006,0),""))</f>
        <v>2345</v>
      </c>
      <c r="Q2351" s="82" t="str">
        <f aca="false">IF(C2351="","",B2351&amp;"|"&amp;C2351)</f>
        <v>MFD-ISW → MFD-CPF|JN°1867</v>
      </c>
    </row>
    <row r="2352" customFormat="false" ht="74.6" hidden="false" customHeight="false" outlineLevel="0" collapsed="false">
      <c r="A2352" s="82" t="n">
        <f aca="false">IF(C2352="","",ROW()-6)</f>
        <v>2346</v>
      </c>
      <c r="B2352" s="80" t="s">
        <v>110</v>
      </c>
      <c r="C2352" s="113" t="s">
        <v>2851</v>
      </c>
      <c r="D2352" s="82" t="str">
        <f aca="false">IF(OR(C2352="",P2352=""),"",INDEX('CARNET DE SOUDURE'!$D$7:$D$3006,P2352)&amp;"")</f>
        <v>23</v>
      </c>
      <c r="E2352" s="114" t="n">
        <f aca="false">IF(OR(C2352="",P2352=""),"",IF(INDEX('CARNET DE SOUDURE'!$U$7:$U$3006,P2352)="","",INDEX('CARNET DE SOUDURE'!$U$7:$U$3006,P2352)))</f>
        <v>46258</v>
      </c>
      <c r="F2352" s="82" t="str">
        <f aca="false">IF(OR(C2352="",P2352=""),"",INDEX('CARNET DE SOUDURE'!$AP$7:$AP$3006,P2352))</f>
        <v>A</v>
      </c>
      <c r="G2352" s="82" t="str">
        <f aca="false">IF(C2352="","",IF(P2352="","NJ INCONNU",INDEX('CARNET DE SOUDURE'!$AQ$7:$AQ$3006,P2352)))</f>
        <v>ACCEPTÉ</v>
      </c>
      <c r="H2352" s="82" t="str">
        <f aca="false">IF(C2352="","",IF(G2352="ACCEPTÉ","OUI","NON"))</f>
        <v>OUI</v>
      </c>
      <c r="I2352" s="83"/>
      <c r="J2352" s="80"/>
      <c r="K2352" s="81"/>
      <c r="L2352" s="81"/>
      <c r="M2352" s="81"/>
      <c r="N2352" s="84" t="str">
        <f aca="false">IF(C2352="","",IF(P2352="","NJ INCONNU",IF(I2352="",IF(H2352="OUI","À ENROBER",IF(G2352="À SOUDER","NON SOUDÉ","EN ATTENTE RT")),IF(L2352="R","À REPRENDRE",IF(H2352&lt;&gt;"OUI","⚠ ENROBÉ AVANT ACCEPTATION RT","ENROBÉ")))))</f>
        <v>À ENROBER</v>
      </c>
      <c r="O2352" s="80"/>
      <c r="P2352" s="82" t="n">
        <f aca="false">IF(C2352="","",IFERROR(MATCH(Q2352,'CARNET DE SOUDURE'!$AW$7:$AW$3006,0),""))</f>
        <v>2346</v>
      </c>
      <c r="Q2352" s="82" t="str">
        <f aca="false">IF(C2352="","",B2352&amp;"|"&amp;C2352)</f>
        <v>MFD-ISW → MFD-CPF|JN°1868</v>
      </c>
    </row>
    <row r="2353" customFormat="false" ht="74.6" hidden="false" customHeight="false" outlineLevel="0" collapsed="false">
      <c r="A2353" s="82" t="n">
        <f aca="false">IF(C2353="","",ROW()-6)</f>
        <v>2347</v>
      </c>
      <c r="B2353" s="80" t="s">
        <v>110</v>
      </c>
      <c r="C2353" s="113" t="s">
        <v>2852</v>
      </c>
      <c r="D2353" s="82" t="str">
        <f aca="false">IF(OR(C2353="",P2353=""),"",INDEX('CARNET DE SOUDURE'!$D$7:$D$3006,P2353)&amp;"")</f>
        <v>23</v>
      </c>
      <c r="E2353" s="114" t="n">
        <f aca="false">IF(OR(C2353="",P2353=""),"",IF(INDEX('CARNET DE SOUDURE'!$U$7:$U$3006,P2353)="","",INDEX('CARNET DE SOUDURE'!$U$7:$U$3006,P2353)))</f>
        <v>46258</v>
      </c>
      <c r="F2353" s="82" t="str">
        <f aca="false">IF(OR(C2353="",P2353=""),"",INDEX('CARNET DE SOUDURE'!$AP$7:$AP$3006,P2353))</f>
        <v>A</v>
      </c>
      <c r="G2353" s="82" t="str">
        <f aca="false">IF(C2353="","",IF(P2353="","NJ INCONNU",INDEX('CARNET DE SOUDURE'!$AQ$7:$AQ$3006,P2353)))</f>
        <v>ACCEPTÉ</v>
      </c>
      <c r="H2353" s="82" t="str">
        <f aca="false">IF(C2353="","",IF(G2353="ACCEPTÉ","OUI","NON"))</f>
        <v>OUI</v>
      </c>
      <c r="I2353" s="83"/>
      <c r="J2353" s="80"/>
      <c r="K2353" s="81"/>
      <c r="L2353" s="81"/>
      <c r="M2353" s="81"/>
      <c r="N2353" s="84" t="str">
        <f aca="false">IF(C2353="","",IF(P2353="","NJ INCONNU",IF(I2353="",IF(H2353="OUI","À ENROBER",IF(G2353="À SOUDER","NON SOUDÉ","EN ATTENTE RT")),IF(L2353="R","À REPRENDRE",IF(H2353&lt;&gt;"OUI","⚠ ENROBÉ AVANT ACCEPTATION RT","ENROBÉ")))))</f>
        <v>À ENROBER</v>
      </c>
      <c r="O2353" s="80"/>
      <c r="P2353" s="82" t="n">
        <f aca="false">IF(C2353="","",IFERROR(MATCH(Q2353,'CARNET DE SOUDURE'!$AW$7:$AW$3006,0),""))</f>
        <v>2347</v>
      </c>
      <c r="Q2353" s="82" t="str">
        <f aca="false">IF(C2353="","",B2353&amp;"|"&amp;C2353)</f>
        <v>MFD-ISW → MFD-CPF|JN°1869</v>
      </c>
    </row>
    <row r="2354" customFormat="false" ht="74.6" hidden="false" customHeight="false" outlineLevel="0" collapsed="false">
      <c r="A2354" s="82" t="n">
        <f aca="false">IF(C2354="","",ROW()-6)</f>
        <v>2348</v>
      </c>
      <c r="B2354" s="80" t="s">
        <v>110</v>
      </c>
      <c r="C2354" s="113" t="s">
        <v>2853</v>
      </c>
      <c r="D2354" s="82" t="str">
        <f aca="false">IF(OR(C2354="",P2354=""),"",INDEX('CARNET DE SOUDURE'!$D$7:$D$3006,P2354)&amp;"")</f>
        <v>23</v>
      </c>
      <c r="E2354" s="114" t="n">
        <f aca="false">IF(OR(C2354="",P2354=""),"",IF(INDEX('CARNET DE SOUDURE'!$U$7:$U$3006,P2354)="","",INDEX('CARNET DE SOUDURE'!$U$7:$U$3006,P2354)))</f>
        <v>46258</v>
      </c>
      <c r="F2354" s="82" t="str">
        <f aca="false">IF(OR(C2354="",P2354=""),"",INDEX('CARNET DE SOUDURE'!$AP$7:$AP$3006,P2354))</f>
        <v>A</v>
      </c>
      <c r="G2354" s="82" t="str">
        <f aca="false">IF(C2354="","",IF(P2354="","NJ INCONNU",INDEX('CARNET DE SOUDURE'!$AQ$7:$AQ$3006,P2354)))</f>
        <v>ACCEPTÉ</v>
      </c>
      <c r="H2354" s="82" t="str">
        <f aca="false">IF(C2354="","",IF(G2354="ACCEPTÉ","OUI","NON"))</f>
        <v>OUI</v>
      </c>
      <c r="I2354" s="83"/>
      <c r="J2354" s="80"/>
      <c r="K2354" s="81"/>
      <c r="L2354" s="81"/>
      <c r="M2354" s="81"/>
      <c r="N2354" s="84" t="str">
        <f aca="false">IF(C2354="","",IF(P2354="","NJ INCONNU",IF(I2354="",IF(H2354="OUI","À ENROBER",IF(G2354="À SOUDER","NON SOUDÉ","EN ATTENTE RT")),IF(L2354="R","À REPRENDRE",IF(H2354&lt;&gt;"OUI","⚠ ENROBÉ AVANT ACCEPTATION RT","ENROBÉ")))))</f>
        <v>À ENROBER</v>
      </c>
      <c r="O2354" s="80"/>
      <c r="P2354" s="82" t="n">
        <f aca="false">IF(C2354="","",IFERROR(MATCH(Q2354,'CARNET DE SOUDURE'!$AW$7:$AW$3006,0),""))</f>
        <v>2348</v>
      </c>
      <c r="Q2354" s="82" t="str">
        <f aca="false">IF(C2354="","",B2354&amp;"|"&amp;C2354)</f>
        <v>MFD-ISW → MFD-CPF|JN°1870</v>
      </c>
    </row>
    <row r="2355" customFormat="false" ht="74.6" hidden="false" customHeight="false" outlineLevel="0" collapsed="false">
      <c r="A2355" s="82" t="n">
        <f aca="false">IF(C2355="","",ROW()-6)</f>
        <v>2349</v>
      </c>
      <c r="B2355" s="80" t="s">
        <v>110</v>
      </c>
      <c r="C2355" s="113" t="s">
        <v>2854</v>
      </c>
      <c r="D2355" s="82" t="str">
        <f aca="false">IF(OR(C2355="",P2355=""),"",INDEX('CARNET DE SOUDURE'!$D$7:$D$3006,P2355)&amp;"")</f>
        <v>23</v>
      </c>
      <c r="E2355" s="114" t="n">
        <f aca="false">IF(OR(C2355="",P2355=""),"",IF(INDEX('CARNET DE SOUDURE'!$U$7:$U$3006,P2355)="","",INDEX('CARNET DE SOUDURE'!$U$7:$U$3006,P2355)))</f>
        <v>46257</v>
      </c>
      <c r="F2355" s="82" t="str">
        <f aca="false">IF(OR(C2355="",P2355=""),"",INDEX('CARNET DE SOUDURE'!$AP$7:$AP$3006,P2355))</f>
        <v>A</v>
      </c>
      <c r="G2355" s="82" t="str">
        <f aca="false">IF(C2355="","",IF(P2355="","NJ INCONNU",INDEX('CARNET DE SOUDURE'!$AQ$7:$AQ$3006,P2355)))</f>
        <v>ACCEPTÉ</v>
      </c>
      <c r="H2355" s="82" t="str">
        <f aca="false">IF(C2355="","",IF(G2355="ACCEPTÉ","OUI","NON"))</f>
        <v>OUI</v>
      </c>
      <c r="I2355" s="83"/>
      <c r="J2355" s="80"/>
      <c r="K2355" s="81"/>
      <c r="L2355" s="81"/>
      <c r="M2355" s="81"/>
      <c r="N2355" s="84" t="str">
        <f aca="false">IF(C2355="","",IF(P2355="","NJ INCONNU",IF(I2355="",IF(H2355="OUI","À ENROBER",IF(G2355="À SOUDER","NON SOUDÉ","EN ATTENTE RT")),IF(L2355="R","À REPRENDRE",IF(H2355&lt;&gt;"OUI","⚠ ENROBÉ AVANT ACCEPTATION RT","ENROBÉ")))))</f>
        <v>À ENROBER</v>
      </c>
      <c r="O2355" s="80"/>
      <c r="P2355" s="82" t="n">
        <f aca="false">IF(C2355="","",IFERROR(MATCH(Q2355,'CARNET DE SOUDURE'!$AW$7:$AW$3006,0),""))</f>
        <v>2349</v>
      </c>
      <c r="Q2355" s="82" t="str">
        <f aca="false">IF(C2355="","",B2355&amp;"|"&amp;C2355)</f>
        <v>MFD-ISW → MFD-CPF|JN°1871</v>
      </c>
    </row>
    <row r="2356" customFormat="false" ht="74.6" hidden="false" customHeight="false" outlineLevel="0" collapsed="false">
      <c r="A2356" s="82" t="n">
        <f aca="false">IF(C2356="","",ROW()-6)</f>
        <v>2350</v>
      </c>
      <c r="B2356" s="80" t="s">
        <v>110</v>
      </c>
      <c r="C2356" s="113" t="s">
        <v>2857</v>
      </c>
      <c r="D2356" s="82" t="str">
        <f aca="false">IF(OR(C2356="",P2356=""),"",INDEX('CARNET DE SOUDURE'!$D$7:$D$3006,P2356)&amp;"")</f>
        <v>23</v>
      </c>
      <c r="E2356" s="114" t="n">
        <f aca="false">IF(OR(C2356="",P2356=""),"",IF(INDEX('CARNET DE SOUDURE'!$U$7:$U$3006,P2356)="","",INDEX('CARNET DE SOUDURE'!$U$7:$U$3006,P2356)))</f>
        <v>46257</v>
      </c>
      <c r="F2356" s="82" t="str">
        <f aca="false">IF(OR(C2356="",P2356=""),"",INDEX('CARNET DE SOUDURE'!$AP$7:$AP$3006,P2356))</f>
        <v>A</v>
      </c>
      <c r="G2356" s="82" t="str">
        <f aca="false">IF(C2356="","",IF(P2356="","NJ INCONNU",INDEX('CARNET DE SOUDURE'!$AQ$7:$AQ$3006,P2356)))</f>
        <v>ACCEPTÉ</v>
      </c>
      <c r="H2356" s="82" t="str">
        <f aca="false">IF(C2356="","",IF(G2356="ACCEPTÉ","OUI","NON"))</f>
        <v>OUI</v>
      </c>
      <c r="I2356" s="83"/>
      <c r="J2356" s="80"/>
      <c r="K2356" s="81"/>
      <c r="L2356" s="81"/>
      <c r="M2356" s="81"/>
      <c r="N2356" s="84" t="str">
        <f aca="false">IF(C2356="","",IF(P2356="","NJ INCONNU",IF(I2356="",IF(H2356="OUI","À ENROBER",IF(G2356="À SOUDER","NON SOUDÉ","EN ATTENTE RT")),IF(L2356="R","À REPRENDRE",IF(H2356&lt;&gt;"OUI","⚠ ENROBÉ AVANT ACCEPTATION RT","ENROBÉ")))))</f>
        <v>À ENROBER</v>
      </c>
      <c r="O2356" s="80"/>
      <c r="P2356" s="82" t="n">
        <f aca="false">IF(C2356="","",IFERROR(MATCH(Q2356,'CARNET DE SOUDURE'!$AW$7:$AW$3006,0),""))</f>
        <v>2350</v>
      </c>
      <c r="Q2356" s="82" t="str">
        <f aca="false">IF(C2356="","",B2356&amp;"|"&amp;C2356)</f>
        <v>MFD-ISW → MFD-CPF|JN°1872</v>
      </c>
    </row>
    <row r="2357" customFormat="false" ht="74.6" hidden="false" customHeight="false" outlineLevel="0" collapsed="false">
      <c r="A2357" s="82" t="n">
        <f aca="false">IF(C2357="","",ROW()-6)</f>
        <v>2351</v>
      </c>
      <c r="B2357" s="80" t="s">
        <v>110</v>
      </c>
      <c r="C2357" s="113" t="s">
        <v>2859</v>
      </c>
      <c r="D2357" s="82" t="str">
        <f aca="false">IF(OR(C2357="",P2357=""),"",INDEX('CARNET DE SOUDURE'!$D$7:$D$3006,P2357)&amp;"")</f>
        <v>23</v>
      </c>
      <c r="E2357" s="114" t="n">
        <f aca="false">IF(OR(C2357="",P2357=""),"",IF(INDEX('CARNET DE SOUDURE'!$U$7:$U$3006,P2357)="","",INDEX('CARNET DE SOUDURE'!$U$7:$U$3006,P2357)))</f>
        <v>46273</v>
      </c>
      <c r="F2357" s="82" t="str">
        <f aca="false">IF(OR(C2357="",P2357=""),"",INDEX('CARNET DE SOUDURE'!$AP$7:$AP$3006,P2357))</f>
        <v>A</v>
      </c>
      <c r="G2357" s="82" t="str">
        <f aca="false">IF(C2357="","",IF(P2357="","NJ INCONNU",INDEX('CARNET DE SOUDURE'!$AQ$7:$AQ$3006,P2357)))</f>
        <v>ACCEPTÉ</v>
      </c>
      <c r="H2357" s="82" t="str">
        <f aca="false">IF(C2357="","",IF(G2357="ACCEPTÉ","OUI","NON"))</f>
        <v>OUI</v>
      </c>
      <c r="I2357" s="83"/>
      <c r="J2357" s="80"/>
      <c r="K2357" s="81"/>
      <c r="L2357" s="81"/>
      <c r="M2357" s="81"/>
      <c r="N2357" s="84" t="str">
        <f aca="false">IF(C2357="","",IF(P2357="","NJ INCONNU",IF(I2357="",IF(H2357="OUI","À ENROBER",IF(G2357="À SOUDER","NON SOUDÉ","EN ATTENTE RT")),IF(L2357="R","À REPRENDRE",IF(H2357&lt;&gt;"OUI","⚠ ENROBÉ AVANT ACCEPTATION RT","ENROBÉ")))))</f>
        <v>À ENROBER</v>
      </c>
      <c r="O2357" s="80"/>
      <c r="P2357" s="82" t="n">
        <f aca="false">IF(C2357="","",IFERROR(MATCH(Q2357,'CARNET DE SOUDURE'!$AW$7:$AW$3006,0),""))</f>
        <v>2351</v>
      </c>
      <c r="Q2357" s="82" t="str">
        <f aca="false">IF(C2357="","",B2357&amp;"|"&amp;C2357)</f>
        <v>MFD-ISW → MFD-CPF|JN°1873R</v>
      </c>
    </row>
    <row r="2358" customFormat="false" ht="74.6" hidden="false" customHeight="false" outlineLevel="0" collapsed="false">
      <c r="A2358" s="82" t="n">
        <f aca="false">IF(C2358="","",ROW()-6)</f>
        <v>2352</v>
      </c>
      <c r="B2358" s="80" t="s">
        <v>110</v>
      </c>
      <c r="C2358" s="113" t="s">
        <v>2860</v>
      </c>
      <c r="D2358" s="82" t="str">
        <f aca="false">IF(OR(C2358="",P2358=""),"",INDEX('CARNET DE SOUDURE'!$D$7:$D$3006,P2358)&amp;"")</f>
        <v>23</v>
      </c>
      <c r="E2358" s="114" t="n">
        <f aca="false">IF(OR(C2358="",P2358=""),"",IF(INDEX('CARNET DE SOUDURE'!$U$7:$U$3006,P2358)="","",INDEX('CARNET DE SOUDURE'!$U$7:$U$3006,P2358)))</f>
        <v>46257</v>
      </c>
      <c r="F2358" s="82" t="str">
        <f aca="false">IF(OR(C2358="",P2358=""),"",INDEX('CARNET DE SOUDURE'!$AP$7:$AP$3006,P2358))</f>
        <v>A</v>
      </c>
      <c r="G2358" s="82" t="str">
        <f aca="false">IF(C2358="","",IF(P2358="","NJ INCONNU",INDEX('CARNET DE SOUDURE'!$AQ$7:$AQ$3006,P2358)))</f>
        <v>ACCEPTÉ</v>
      </c>
      <c r="H2358" s="82" t="str">
        <f aca="false">IF(C2358="","",IF(G2358="ACCEPTÉ","OUI","NON"))</f>
        <v>OUI</v>
      </c>
      <c r="I2358" s="83"/>
      <c r="J2358" s="80"/>
      <c r="K2358" s="81"/>
      <c r="L2358" s="81"/>
      <c r="M2358" s="81"/>
      <c r="N2358" s="84" t="str">
        <f aca="false">IF(C2358="","",IF(P2358="","NJ INCONNU",IF(I2358="",IF(H2358="OUI","À ENROBER",IF(G2358="À SOUDER","NON SOUDÉ","EN ATTENTE RT")),IF(L2358="R","À REPRENDRE",IF(H2358&lt;&gt;"OUI","⚠ ENROBÉ AVANT ACCEPTATION RT","ENROBÉ")))))</f>
        <v>À ENROBER</v>
      </c>
      <c r="O2358" s="80"/>
      <c r="P2358" s="82" t="n">
        <f aca="false">IF(C2358="","",IFERROR(MATCH(Q2358,'CARNET DE SOUDURE'!$AW$7:$AW$3006,0),""))</f>
        <v>2352</v>
      </c>
      <c r="Q2358" s="82" t="str">
        <f aca="false">IF(C2358="","",B2358&amp;"|"&amp;C2358)</f>
        <v>MFD-ISW → MFD-CPF|JN°1874</v>
      </c>
    </row>
    <row r="2359" customFormat="false" ht="74.6" hidden="false" customHeight="false" outlineLevel="0" collapsed="false">
      <c r="A2359" s="82" t="n">
        <f aca="false">IF(C2359="","",ROW()-6)</f>
        <v>2353</v>
      </c>
      <c r="B2359" s="80" t="s">
        <v>110</v>
      </c>
      <c r="C2359" s="113" t="s">
        <v>2861</v>
      </c>
      <c r="D2359" s="82" t="str">
        <f aca="false">IF(OR(C2359="",P2359=""),"",INDEX('CARNET DE SOUDURE'!$D$7:$D$3006,P2359)&amp;"")</f>
        <v>23</v>
      </c>
      <c r="E2359" s="114" t="n">
        <f aca="false">IF(OR(C2359="",P2359=""),"",IF(INDEX('CARNET DE SOUDURE'!$U$7:$U$3006,P2359)="","",INDEX('CARNET DE SOUDURE'!$U$7:$U$3006,P2359)))</f>
        <v>46257</v>
      </c>
      <c r="F2359" s="82" t="str">
        <f aca="false">IF(OR(C2359="",P2359=""),"",INDEX('CARNET DE SOUDURE'!$AP$7:$AP$3006,P2359))</f>
        <v>A</v>
      </c>
      <c r="G2359" s="82" t="str">
        <f aca="false">IF(C2359="","",IF(P2359="","NJ INCONNU",INDEX('CARNET DE SOUDURE'!$AQ$7:$AQ$3006,P2359)))</f>
        <v>ACCEPTÉ</v>
      </c>
      <c r="H2359" s="82" t="str">
        <f aca="false">IF(C2359="","",IF(G2359="ACCEPTÉ","OUI","NON"))</f>
        <v>OUI</v>
      </c>
      <c r="I2359" s="83"/>
      <c r="J2359" s="80"/>
      <c r="K2359" s="81"/>
      <c r="L2359" s="81"/>
      <c r="M2359" s="81"/>
      <c r="N2359" s="84" t="str">
        <f aca="false">IF(C2359="","",IF(P2359="","NJ INCONNU",IF(I2359="",IF(H2359="OUI","À ENROBER",IF(G2359="À SOUDER","NON SOUDÉ","EN ATTENTE RT")),IF(L2359="R","À REPRENDRE",IF(H2359&lt;&gt;"OUI","⚠ ENROBÉ AVANT ACCEPTATION RT","ENROBÉ")))))</f>
        <v>À ENROBER</v>
      </c>
      <c r="O2359" s="80"/>
      <c r="P2359" s="82" t="n">
        <f aca="false">IF(C2359="","",IFERROR(MATCH(Q2359,'CARNET DE SOUDURE'!$AW$7:$AW$3006,0),""))</f>
        <v>2353</v>
      </c>
      <c r="Q2359" s="82" t="str">
        <f aca="false">IF(C2359="","",B2359&amp;"|"&amp;C2359)</f>
        <v>MFD-ISW → MFD-CPF|JN°1875</v>
      </c>
    </row>
    <row r="2360" customFormat="false" ht="74.6" hidden="false" customHeight="false" outlineLevel="0" collapsed="false">
      <c r="A2360" s="82" t="n">
        <f aca="false">IF(C2360="","",ROW()-6)</f>
        <v>2354</v>
      </c>
      <c r="B2360" s="80" t="s">
        <v>110</v>
      </c>
      <c r="C2360" s="113" t="s">
        <v>2862</v>
      </c>
      <c r="D2360" s="82" t="str">
        <f aca="false">IF(OR(C2360="",P2360=""),"",INDEX('CARNET DE SOUDURE'!$D$7:$D$3006,P2360)&amp;"")</f>
        <v>23</v>
      </c>
      <c r="E2360" s="114" t="n">
        <f aca="false">IF(OR(C2360="",P2360=""),"",IF(INDEX('CARNET DE SOUDURE'!$U$7:$U$3006,P2360)="","",INDEX('CARNET DE SOUDURE'!$U$7:$U$3006,P2360)))</f>
        <v>46257</v>
      </c>
      <c r="F2360" s="82" t="str">
        <f aca="false">IF(OR(C2360="",P2360=""),"",INDEX('CARNET DE SOUDURE'!$AP$7:$AP$3006,P2360))</f>
        <v>A</v>
      </c>
      <c r="G2360" s="82" t="str">
        <f aca="false">IF(C2360="","",IF(P2360="","NJ INCONNU",INDEX('CARNET DE SOUDURE'!$AQ$7:$AQ$3006,P2360)))</f>
        <v>ACCEPTÉ</v>
      </c>
      <c r="H2360" s="82" t="str">
        <f aca="false">IF(C2360="","",IF(G2360="ACCEPTÉ","OUI","NON"))</f>
        <v>OUI</v>
      </c>
      <c r="I2360" s="83"/>
      <c r="J2360" s="80"/>
      <c r="K2360" s="81"/>
      <c r="L2360" s="81"/>
      <c r="M2360" s="81"/>
      <c r="N2360" s="84" t="str">
        <f aca="false">IF(C2360="","",IF(P2360="","NJ INCONNU",IF(I2360="",IF(H2360="OUI","À ENROBER",IF(G2360="À SOUDER","NON SOUDÉ","EN ATTENTE RT")),IF(L2360="R","À REPRENDRE",IF(H2360&lt;&gt;"OUI","⚠ ENROBÉ AVANT ACCEPTATION RT","ENROBÉ")))))</f>
        <v>À ENROBER</v>
      </c>
      <c r="O2360" s="80"/>
      <c r="P2360" s="82" t="n">
        <f aca="false">IF(C2360="","",IFERROR(MATCH(Q2360,'CARNET DE SOUDURE'!$AW$7:$AW$3006,0),""))</f>
        <v>2354</v>
      </c>
      <c r="Q2360" s="82" t="str">
        <f aca="false">IF(C2360="","",B2360&amp;"|"&amp;C2360)</f>
        <v>MFD-ISW → MFD-CPF|JN°1876</v>
      </c>
    </row>
    <row r="2361" customFormat="false" ht="74.6" hidden="false" customHeight="false" outlineLevel="0" collapsed="false">
      <c r="A2361" s="82" t="n">
        <f aca="false">IF(C2361="","",ROW()-6)</f>
        <v>2355</v>
      </c>
      <c r="B2361" s="80" t="s">
        <v>110</v>
      </c>
      <c r="C2361" s="113" t="s">
        <v>2863</v>
      </c>
      <c r="D2361" s="82" t="str">
        <f aca="false">IF(OR(C2361="",P2361=""),"",INDEX('CARNET DE SOUDURE'!$D$7:$D$3006,P2361)&amp;"")</f>
        <v>23</v>
      </c>
      <c r="E2361" s="114" t="n">
        <f aca="false">IF(OR(C2361="",P2361=""),"",IF(INDEX('CARNET DE SOUDURE'!$U$7:$U$3006,P2361)="","",INDEX('CARNET DE SOUDURE'!$U$7:$U$3006,P2361)))</f>
        <v>46257</v>
      </c>
      <c r="F2361" s="82" t="str">
        <f aca="false">IF(OR(C2361="",P2361=""),"",INDEX('CARNET DE SOUDURE'!$AP$7:$AP$3006,P2361))</f>
        <v>R</v>
      </c>
      <c r="G2361" s="82" t="str">
        <f aca="false">IF(C2361="","",IF(P2361="","NJ INCONNU",INDEX('CARNET DE SOUDURE'!$AQ$7:$AQ$3006,P2361)))</f>
        <v>À RÉPARER</v>
      </c>
      <c r="H2361" s="82" t="str">
        <f aca="false">IF(C2361="","",IF(G2361="ACCEPTÉ","OUI","NON"))</f>
        <v>NON</v>
      </c>
      <c r="I2361" s="83"/>
      <c r="J2361" s="80"/>
      <c r="K2361" s="81"/>
      <c r="L2361" s="81"/>
      <c r="M2361" s="81"/>
      <c r="N2361" s="84" t="str">
        <f aca="false">IF(C2361="","",IF(P2361="","NJ INCONNU",IF(I2361="",IF(H2361="OUI","À ENROBER",IF(G2361="À SOUDER","NON SOUDÉ","EN ATTENTE RT")),IF(L2361="R","À REPRENDRE",IF(H2361&lt;&gt;"OUI","⚠ ENROBÉ AVANT ACCEPTATION RT","ENROBÉ")))))</f>
        <v>EN ATTENTE RT</v>
      </c>
      <c r="O2361" s="80"/>
      <c r="P2361" s="82" t="n">
        <f aca="false">IF(C2361="","",IFERROR(MATCH(Q2361,'CARNET DE SOUDURE'!$AW$7:$AW$3006,0),""))</f>
        <v>2355</v>
      </c>
      <c r="Q2361" s="82" t="str">
        <f aca="false">IF(C2361="","",B2361&amp;"|"&amp;C2361)</f>
        <v>MFD-ISW → MFD-CPF|JN°1877</v>
      </c>
    </row>
    <row r="2362" customFormat="false" ht="74.6" hidden="false" customHeight="false" outlineLevel="0" collapsed="false">
      <c r="A2362" s="82" t="n">
        <f aca="false">IF(C2362="","",ROW()-6)</f>
        <v>2356</v>
      </c>
      <c r="B2362" s="80" t="s">
        <v>110</v>
      </c>
      <c r="C2362" s="113" t="s">
        <v>2865</v>
      </c>
      <c r="D2362" s="82" t="str">
        <f aca="false">IF(OR(C2362="",P2362=""),"",INDEX('CARNET DE SOUDURE'!$D$7:$D$3006,P2362)&amp;"")</f>
        <v>23</v>
      </c>
      <c r="E2362" s="114" t="n">
        <f aca="false">IF(OR(C2362="",P2362=""),"",IF(INDEX('CARNET DE SOUDURE'!$U$7:$U$3006,P2362)="","",INDEX('CARNET DE SOUDURE'!$U$7:$U$3006,P2362)))</f>
        <v>46257</v>
      </c>
      <c r="F2362" s="82" t="str">
        <f aca="false">IF(OR(C2362="",P2362=""),"",INDEX('CARNET DE SOUDURE'!$AP$7:$AP$3006,P2362))</f>
        <v>A</v>
      </c>
      <c r="G2362" s="82" t="str">
        <f aca="false">IF(C2362="","",IF(P2362="","NJ INCONNU",INDEX('CARNET DE SOUDURE'!$AQ$7:$AQ$3006,P2362)))</f>
        <v>ACCEPTÉ</v>
      </c>
      <c r="H2362" s="82" t="str">
        <f aca="false">IF(C2362="","",IF(G2362="ACCEPTÉ","OUI","NON"))</f>
        <v>OUI</v>
      </c>
      <c r="I2362" s="83"/>
      <c r="J2362" s="80"/>
      <c r="K2362" s="81"/>
      <c r="L2362" s="81"/>
      <c r="M2362" s="81"/>
      <c r="N2362" s="84" t="str">
        <f aca="false">IF(C2362="","",IF(P2362="","NJ INCONNU",IF(I2362="",IF(H2362="OUI","À ENROBER",IF(G2362="À SOUDER","NON SOUDÉ","EN ATTENTE RT")),IF(L2362="R","À REPRENDRE",IF(H2362&lt;&gt;"OUI","⚠ ENROBÉ AVANT ACCEPTATION RT","ENROBÉ")))))</f>
        <v>À ENROBER</v>
      </c>
      <c r="O2362" s="80"/>
      <c r="P2362" s="82" t="n">
        <f aca="false">IF(C2362="","",IFERROR(MATCH(Q2362,'CARNET DE SOUDURE'!$AW$7:$AW$3006,0),""))</f>
        <v>2356</v>
      </c>
      <c r="Q2362" s="82" t="str">
        <f aca="false">IF(C2362="","",B2362&amp;"|"&amp;C2362)</f>
        <v>MFD-ISW → MFD-CPF|JN°1878</v>
      </c>
    </row>
    <row r="2363" customFormat="false" ht="74.6" hidden="false" customHeight="false" outlineLevel="0" collapsed="false">
      <c r="A2363" s="82" t="n">
        <f aca="false">IF(C2363="","",ROW()-6)</f>
        <v>2357</v>
      </c>
      <c r="B2363" s="80" t="s">
        <v>110</v>
      </c>
      <c r="C2363" s="113" t="s">
        <v>2866</v>
      </c>
      <c r="D2363" s="82" t="str">
        <f aca="false">IF(OR(C2363="",P2363=""),"",INDEX('CARNET DE SOUDURE'!$D$7:$D$3006,P2363)&amp;"")</f>
        <v>23</v>
      </c>
      <c r="E2363" s="114" t="str">
        <f aca="false">IF(OR(C2363="",P2363=""),"",IF(INDEX('CARNET DE SOUDURE'!$U$7:$U$3006,P2363)="","",INDEX('CARNET DE SOUDURE'!$U$7:$U$3006,P2363)))</f>
        <v/>
      </c>
      <c r="F2363" s="82" t="str">
        <f aca="false">IF(OR(C2363="",P2363=""),"",INDEX('CARNET DE SOUDURE'!$AP$7:$AP$3006,P2363))</f>
        <v/>
      </c>
      <c r="G2363" s="82" t="str">
        <f aca="false">IF(C2363="","",IF(P2363="","NJ INCONNU",INDEX('CARNET DE SOUDURE'!$AQ$7:$AQ$3006,P2363)))</f>
        <v>À SOUDER</v>
      </c>
      <c r="H2363" s="82" t="str">
        <f aca="false">IF(C2363="","",IF(G2363="ACCEPTÉ","OUI","NON"))</f>
        <v>NON</v>
      </c>
      <c r="I2363" s="83"/>
      <c r="J2363" s="80"/>
      <c r="K2363" s="81"/>
      <c r="L2363" s="81"/>
      <c r="M2363" s="81"/>
      <c r="N2363" s="84" t="str">
        <f aca="false">IF(C2363="","",IF(P2363="","NJ INCONNU",IF(I2363="",IF(H2363="OUI","À ENROBER",IF(G2363="À SOUDER","NON SOUDÉ","EN ATTENTE RT")),IF(L2363="R","À REPRENDRE",IF(H2363&lt;&gt;"OUI","⚠ ENROBÉ AVANT ACCEPTATION RT","ENROBÉ")))))</f>
        <v>NON SOUDÉ</v>
      </c>
      <c r="O2363" s="80"/>
      <c r="P2363" s="82" t="n">
        <f aca="false">IF(C2363="","",IFERROR(MATCH(Q2363,'CARNET DE SOUDURE'!$AW$7:$AW$3006,0),""))</f>
        <v>2357</v>
      </c>
      <c r="Q2363" s="82" t="str">
        <f aca="false">IF(C2363="","",B2363&amp;"|"&amp;C2363)</f>
        <v>MFD-ISW → MFD-CPF|JN°1879</v>
      </c>
    </row>
    <row r="2364" customFormat="false" ht="74.6" hidden="false" customHeight="false" outlineLevel="0" collapsed="false">
      <c r="A2364" s="82" t="n">
        <f aca="false">IF(C2364="","",ROW()-6)</f>
        <v>2358</v>
      </c>
      <c r="B2364" s="80" t="s">
        <v>110</v>
      </c>
      <c r="C2364" s="113" t="s">
        <v>2867</v>
      </c>
      <c r="D2364" s="82" t="str">
        <f aca="false">IF(OR(C2364="",P2364=""),"",INDEX('CARNET DE SOUDURE'!$D$7:$D$3006,P2364)&amp;"")</f>
        <v>23</v>
      </c>
      <c r="E2364" s="114" t="str">
        <f aca="false">IF(OR(C2364="",P2364=""),"",IF(INDEX('CARNET DE SOUDURE'!$U$7:$U$3006,P2364)="","",INDEX('CARNET DE SOUDURE'!$U$7:$U$3006,P2364)))</f>
        <v/>
      </c>
      <c r="F2364" s="82" t="str">
        <f aca="false">IF(OR(C2364="",P2364=""),"",INDEX('CARNET DE SOUDURE'!$AP$7:$AP$3006,P2364))</f>
        <v/>
      </c>
      <c r="G2364" s="82" t="str">
        <f aca="false">IF(C2364="","",IF(P2364="","NJ INCONNU",INDEX('CARNET DE SOUDURE'!$AQ$7:$AQ$3006,P2364)))</f>
        <v>À SOUDER</v>
      </c>
      <c r="H2364" s="82" t="str">
        <f aca="false">IF(C2364="","",IF(G2364="ACCEPTÉ","OUI","NON"))</f>
        <v>NON</v>
      </c>
      <c r="I2364" s="83"/>
      <c r="J2364" s="80"/>
      <c r="K2364" s="81"/>
      <c r="L2364" s="81"/>
      <c r="M2364" s="81"/>
      <c r="N2364" s="84" t="str">
        <f aca="false">IF(C2364="","",IF(P2364="","NJ INCONNU",IF(I2364="",IF(H2364="OUI","À ENROBER",IF(G2364="À SOUDER","NON SOUDÉ","EN ATTENTE RT")),IF(L2364="R","À REPRENDRE",IF(H2364&lt;&gt;"OUI","⚠ ENROBÉ AVANT ACCEPTATION RT","ENROBÉ")))))</f>
        <v>NON SOUDÉ</v>
      </c>
      <c r="O2364" s="80"/>
      <c r="P2364" s="82" t="n">
        <f aca="false">IF(C2364="","",IFERROR(MATCH(Q2364,'CARNET DE SOUDURE'!$AW$7:$AW$3006,0),""))</f>
        <v>2358</v>
      </c>
      <c r="Q2364" s="82" t="str">
        <f aca="false">IF(C2364="","",B2364&amp;"|"&amp;C2364)</f>
        <v>MFD-ISW → MFD-CPF|JN°1880</v>
      </c>
    </row>
    <row r="2365" customFormat="false" ht="74.6" hidden="false" customHeight="false" outlineLevel="0" collapsed="false">
      <c r="A2365" s="82" t="n">
        <f aca="false">IF(C2365="","",ROW()-6)</f>
        <v>2359</v>
      </c>
      <c r="B2365" s="80" t="s">
        <v>110</v>
      </c>
      <c r="C2365" s="113" t="s">
        <v>2868</v>
      </c>
      <c r="D2365" s="82" t="str">
        <f aca="false">IF(OR(C2365="",P2365=""),"",INDEX('CARNET DE SOUDURE'!$D$7:$D$3006,P2365)&amp;"")</f>
        <v>23</v>
      </c>
      <c r="E2365" s="114" t="str">
        <f aca="false">IF(OR(C2365="",P2365=""),"",IF(INDEX('CARNET DE SOUDURE'!$U$7:$U$3006,P2365)="","",INDEX('CARNET DE SOUDURE'!$U$7:$U$3006,P2365)))</f>
        <v/>
      </c>
      <c r="F2365" s="82" t="str">
        <f aca="false">IF(OR(C2365="",P2365=""),"",INDEX('CARNET DE SOUDURE'!$AP$7:$AP$3006,P2365))</f>
        <v/>
      </c>
      <c r="G2365" s="82" t="str">
        <f aca="false">IF(C2365="","",IF(P2365="","NJ INCONNU",INDEX('CARNET DE SOUDURE'!$AQ$7:$AQ$3006,P2365)))</f>
        <v>À SOUDER</v>
      </c>
      <c r="H2365" s="82" t="str">
        <f aca="false">IF(C2365="","",IF(G2365="ACCEPTÉ","OUI","NON"))</f>
        <v>NON</v>
      </c>
      <c r="I2365" s="83"/>
      <c r="J2365" s="80"/>
      <c r="K2365" s="81"/>
      <c r="L2365" s="81"/>
      <c r="M2365" s="81"/>
      <c r="N2365" s="84" t="str">
        <f aca="false">IF(C2365="","",IF(P2365="","NJ INCONNU",IF(I2365="",IF(H2365="OUI","À ENROBER",IF(G2365="À SOUDER","NON SOUDÉ","EN ATTENTE RT")),IF(L2365="R","À REPRENDRE",IF(H2365&lt;&gt;"OUI","⚠ ENROBÉ AVANT ACCEPTATION RT","ENROBÉ")))))</f>
        <v>NON SOUDÉ</v>
      </c>
      <c r="O2365" s="80"/>
      <c r="P2365" s="82" t="n">
        <f aca="false">IF(C2365="","",IFERROR(MATCH(Q2365,'CARNET DE SOUDURE'!$AW$7:$AW$3006,0),""))</f>
        <v>2359</v>
      </c>
      <c r="Q2365" s="82" t="str">
        <f aca="false">IF(C2365="","",B2365&amp;"|"&amp;C2365)</f>
        <v>MFD-ISW → MFD-CPF|JN°1881</v>
      </c>
    </row>
    <row r="2366" customFormat="false" ht="74.6" hidden="false" customHeight="false" outlineLevel="0" collapsed="false">
      <c r="A2366" s="82" t="n">
        <f aca="false">IF(C2366="","",ROW()-6)</f>
        <v>2360</v>
      </c>
      <c r="B2366" s="80" t="s">
        <v>110</v>
      </c>
      <c r="C2366" s="113" t="s">
        <v>2869</v>
      </c>
      <c r="D2366" s="82" t="str">
        <f aca="false">IF(OR(C2366="",P2366=""),"",INDEX('CARNET DE SOUDURE'!$D$7:$D$3006,P2366)&amp;"")</f>
        <v>23</v>
      </c>
      <c r="E2366" s="114" t="str">
        <f aca="false">IF(OR(C2366="",P2366=""),"",IF(INDEX('CARNET DE SOUDURE'!$U$7:$U$3006,P2366)="","",INDEX('CARNET DE SOUDURE'!$U$7:$U$3006,P2366)))</f>
        <v/>
      </c>
      <c r="F2366" s="82" t="str">
        <f aca="false">IF(OR(C2366="",P2366=""),"",INDEX('CARNET DE SOUDURE'!$AP$7:$AP$3006,P2366))</f>
        <v/>
      </c>
      <c r="G2366" s="82" t="str">
        <f aca="false">IF(C2366="","",IF(P2366="","NJ INCONNU",INDEX('CARNET DE SOUDURE'!$AQ$7:$AQ$3006,P2366)))</f>
        <v>À SOUDER</v>
      </c>
      <c r="H2366" s="82" t="str">
        <f aca="false">IF(C2366="","",IF(G2366="ACCEPTÉ","OUI","NON"))</f>
        <v>NON</v>
      </c>
      <c r="I2366" s="83"/>
      <c r="J2366" s="80"/>
      <c r="K2366" s="81"/>
      <c r="L2366" s="81"/>
      <c r="M2366" s="81"/>
      <c r="N2366" s="84" t="str">
        <f aca="false">IF(C2366="","",IF(P2366="","NJ INCONNU",IF(I2366="",IF(H2366="OUI","À ENROBER",IF(G2366="À SOUDER","NON SOUDÉ","EN ATTENTE RT")),IF(L2366="R","À REPRENDRE",IF(H2366&lt;&gt;"OUI","⚠ ENROBÉ AVANT ACCEPTATION RT","ENROBÉ")))))</f>
        <v>NON SOUDÉ</v>
      </c>
      <c r="O2366" s="80"/>
      <c r="P2366" s="82" t="n">
        <f aca="false">IF(C2366="","",IFERROR(MATCH(Q2366,'CARNET DE SOUDURE'!$AW$7:$AW$3006,0),""))</f>
        <v>2360</v>
      </c>
      <c r="Q2366" s="82" t="str">
        <f aca="false">IF(C2366="","",B2366&amp;"|"&amp;C2366)</f>
        <v>MFD-ISW → MFD-CPF|JN°1882</v>
      </c>
    </row>
    <row r="2367" customFormat="false" ht="74.6" hidden="false" customHeight="false" outlineLevel="0" collapsed="false">
      <c r="A2367" s="82" t="n">
        <f aca="false">IF(C2367="","",ROW()-6)</f>
        <v>2361</v>
      </c>
      <c r="B2367" s="80" t="s">
        <v>110</v>
      </c>
      <c r="C2367" s="113" t="s">
        <v>2870</v>
      </c>
      <c r="D2367" s="82" t="str">
        <f aca="false">IF(OR(C2367="",P2367=""),"",INDEX('CARNET DE SOUDURE'!$D$7:$D$3006,P2367)&amp;"")</f>
        <v>23</v>
      </c>
      <c r="E2367" s="114" t="str">
        <f aca="false">IF(OR(C2367="",P2367=""),"",IF(INDEX('CARNET DE SOUDURE'!$U$7:$U$3006,P2367)="","",INDEX('CARNET DE SOUDURE'!$U$7:$U$3006,P2367)))</f>
        <v/>
      </c>
      <c r="F2367" s="82" t="str">
        <f aca="false">IF(OR(C2367="",P2367=""),"",INDEX('CARNET DE SOUDURE'!$AP$7:$AP$3006,P2367))</f>
        <v/>
      </c>
      <c r="G2367" s="82" t="str">
        <f aca="false">IF(C2367="","",IF(P2367="","NJ INCONNU",INDEX('CARNET DE SOUDURE'!$AQ$7:$AQ$3006,P2367)))</f>
        <v>À SOUDER</v>
      </c>
      <c r="H2367" s="82" t="str">
        <f aca="false">IF(C2367="","",IF(G2367="ACCEPTÉ","OUI","NON"))</f>
        <v>NON</v>
      </c>
      <c r="I2367" s="83"/>
      <c r="J2367" s="80"/>
      <c r="K2367" s="81"/>
      <c r="L2367" s="81"/>
      <c r="M2367" s="81"/>
      <c r="N2367" s="84" t="str">
        <f aca="false">IF(C2367="","",IF(P2367="","NJ INCONNU",IF(I2367="",IF(H2367="OUI","À ENROBER",IF(G2367="À SOUDER","NON SOUDÉ","EN ATTENTE RT")),IF(L2367="R","À REPRENDRE",IF(H2367&lt;&gt;"OUI","⚠ ENROBÉ AVANT ACCEPTATION RT","ENROBÉ")))))</f>
        <v>NON SOUDÉ</v>
      </c>
      <c r="O2367" s="80"/>
      <c r="P2367" s="82" t="n">
        <f aca="false">IF(C2367="","",IFERROR(MATCH(Q2367,'CARNET DE SOUDURE'!$AW$7:$AW$3006,0),""))</f>
        <v>2361</v>
      </c>
      <c r="Q2367" s="82" t="str">
        <f aca="false">IF(C2367="","",B2367&amp;"|"&amp;C2367)</f>
        <v>MFD-ISW → MFD-CPF|JN°1883</v>
      </c>
    </row>
    <row r="2368" customFormat="false" ht="74.6" hidden="false" customHeight="false" outlineLevel="0" collapsed="false">
      <c r="A2368" s="82" t="n">
        <f aca="false">IF(C2368="","",ROW()-6)</f>
        <v>2362</v>
      </c>
      <c r="B2368" s="80" t="s">
        <v>110</v>
      </c>
      <c r="C2368" s="113" t="s">
        <v>2871</v>
      </c>
      <c r="D2368" s="82" t="str">
        <f aca="false">IF(OR(C2368="",P2368=""),"",INDEX('CARNET DE SOUDURE'!$D$7:$D$3006,P2368)&amp;"")</f>
        <v>23</v>
      </c>
      <c r="E2368" s="114" t="str">
        <f aca="false">IF(OR(C2368="",P2368=""),"",IF(INDEX('CARNET DE SOUDURE'!$U$7:$U$3006,P2368)="","",INDEX('CARNET DE SOUDURE'!$U$7:$U$3006,P2368)))</f>
        <v/>
      </c>
      <c r="F2368" s="82" t="str">
        <f aca="false">IF(OR(C2368="",P2368=""),"",INDEX('CARNET DE SOUDURE'!$AP$7:$AP$3006,P2368))</f>
        <v/>
      </c>
      <c r="G2368" s="82" t="str">
        <f aca="false">IF(C2368="","",IF(P2368="","NJ INCONNU",INDEX('CARNET DE SOUDURE'!$AQ$7:$AQ$3006,P2368)))</f>
        <v>À SOUDER</v>
      </c>
      <c r="H2368" s="82" t="str">
        <f aca="false">IF(C2368="","",IF(G2368="ACCEPTÉ","OUI","NON"))</f>
        <v>NON</v>
      </c>
      <c r="I2368" s="83"/>
      <c r="J2368" s="80"/>
      <c r="K2368" s="81"/>
      <c r="L2368" s="81"/>
      <c r="M2368" s="81"/>
      <c r="N2368" s="84" t="str">
        <f aca="false">IF(C2368="","",IF(P2368="","NJ INCONNU",IF(I2368="",IF(H2368="OUI","À ENROBER",IF(G2368="À SOUDER","NON SOUDÉ","EN ATTENTE RT")),IF(L2368="R","À REPRENDRE",IF(H2368&lt;&gt;"OUI","⚠ ENROBÉ AVANT ACCEPTATION RT","ENROBÉ")))))</f>
        <v>NON SOUDÉ</v>
      </c>
      <c r="O2368" s="80"/>
      <c r="P2368" s="82" t="n">
        <f aca="false">IF(C2368="","",IFERROR(MATCH(Q2368,'CARNET DE SOUDURE'!$AW$7:$AW$3006,0),""))</f>
        <v>2362</v>
      </c>
      <c r="Q2368" s="82" t="str">
        <f aca="false">IF(C2368="","",B2368&amp;"|"&amp;C2368)</f>
        <v>MFD-ISW → MFD-CPF|JN°1884</v>
      </c>
    </row>
    <row r="2369" customFormat="false" ht="74.6" hidden="false" customHeight="false" outlineLevel="0" collapsed="false">
      <c r="A2369" s="82" t="n">
        <f aca="false">IF(C2369="","",ROW()-6)</f>
        <v>2363</v>
      </c>
      <c r="B2369" s="80" t="s">
        <v>110</v>
      </c>
      <c r="C2369" s="113" t="s">
        <v>2872</v>
      </c>
      <c r="D2369" s="82" t="str">
        <f aca="false">IF(OR(C2369="",P2369=""),"",INDEX('CARNET DE SOUDURE'!$D$7:$D$3006,P2369)&amp;"")</f>
        <v>23</v>
      </c>
      <c r="E2369" s="114" t="str">
        <f aca="false">IF(OR(C2369="",P2369=""),"",IF(INDEX('CARNET DE SOUDURE'!$U$7:$U$3006,P2369)="","",INDEX('CARNET DE SOUDURE'!$U$7:$U$3006,P2369)))</f>
        <v/>
      </c>
      <c r="F2369" s="82" t="str">
        <f aca="false">IF(OR(C2369="",P2369=""),"",INDEX('CARNET DE SOUDURE'!$AP$7:$AP$3006,P2369))</f>
        <v/>
      </c>
      <c r="G2369" s="82" t="str">
        <f aca="false">IF(C2369="","",IF(P2369="","NJ INCONNU",INDEX('CARNET DE SOUDURE'!$AQ$7:$AQ$3006,P2369)))</f>
        <v>À SOUDER</v>
      </c>
      <c r="H2369" s="82" t="str">
        <f aca="false">IF(C2369="","",IF(G2369="ACCEPTÉ","OUI","NON"))</f>
        <v>NON</v>
      </c>
      <c r="I2369" s="83"/>
      <c r="J2369" s="80"/>
      <c r="K2369" s="81"/>
      <c r="L2369" s="81"/>
      <c r="M2369" s="81"/>
      <c r="N2369" s="84" t="str">
        <f aca="false">IF(C2369="","",IF(P2369="","NJ INCONNU",IF(I2369="",IF(H2369="OUI","À ENROBER",IF(G2369="À SOUDER","NON SOUDÉ","EN ATTENTE RT")),IF(L2369="R","À REPRENDRE",IF(H2369&lt;&gt;"OUI","⚠ ENROBÉ AVANT ACCEPTATION RT","ENROBÉ")))))</f>
        <v>NON SOUDÉ</v>
      </c>
      <c r="O2369" s="80"/>
      <c r="P2369" s="82" t="n">
        <f aca="false">IF(C2369="","",IFERROR(MATCH(Q2369,'CARNET DE SOUDURE'!$AW$7:$AW$3006,0),""))</f>
        <v>2363</v>
      </c>
      <c r="Q2369" s="82" t="str">
        <f aca="false">IF(C2369="","",B2369&amp;"|"&amp;C2369)</f>
        <v>MFD-ISW → MFD-CPF|JN°1885</v>
      </c>
    </row>
    <row r="2370" customFormat="false" ht="74.6" hidden="false" customHeight="false" outlineLevel="0" collapsed="false">
      <c r="A2370" s="82" t="n">
        <f aca="false">IF(C2370="","",ROW()-6)</f>
        <v>2364</v>
      </c>
      <c r="B2370" s="80" t="s">
        <v>110</v>
      </c>
      <c r="C2370" s="113" t="s">
        <v>2873</v>
      </c>
      <c r="D2370" s="82" t="str">
        <f aca="false">IF(OR(C2370="",P2370=""),"",INDEX('CARNET DE SOUDURE'!$D$7:$D$3006,P2370)&amp;"")</f>
        <v>23</v>
      </c>
      <c r="E2370" s="114" t="str">
        <f aca="false">IF(OR(C2370="",P2370=""),"",IF(INDEX('CARNET DE SOUDURE'!$U$7:$U$3006,P2370)="","",INDEX('CARNET DE SOUDURE'!$U$7:$U$3006,P2370)))</f>
        <v/>
      </c>
      <c r="F2370" s="82" t="str">
        <f aca="false">IF(OR(C2370="",P2370=""),"",INDEX('CARNET DE SOUDURE'!$AP$7:$AP$3006,P2370))</f>
        <v/>
      </c>
      <c r="G2370" s="82" t="str">
        <f aca="false">IF(C2370="","",IF(P2370="","NJ INCONNU",INDEX('CARNET DE SOUDURE'!$AQ$7:$AQ$3006,P2370)))</f>
        <v>À SOUDER</v>
      </c>
      <c r="H2370" s="82" t="str">
        <f aca="false">IF(C2370="","",IF(G2370="ACCEPTÉ","OUI","NON"))</f>
        <v>NON</v>
      </c>
      <c r="I2370" s="83"/>
      <c r="J2370" s="80"/>
      <c r="K2370" s="81"/>
      <c r="L2370" s="81"/>
      <c r="M2370" s="81"/>
      <c r="N2370" s="84" t="str">
        <f aca="false">IF(C2370="","",IF(P2370="","NJ INCONNU",IF(I2370="",IF(H2370="OUI","À ENROBER",IF(G2370="À SOUDER","NON SOUDÉ","EN ATTENTE RT")),IF(L2370="R","À REPRENDRE",IF(H2370&lt;&gt;"OUI","⚠ ENROBÉ AVANT ACCEPTATION RT","ENROBÉ")))))</f>
        <v>NON SOUDÉ</v>
      </c>
      <c r="O2370" s="80"/>
      <c r="P2370" s="82" t="n">
        <f aca="false">IF(C2370="","",IFERROR(MATCH(Q2370,'CARNET DE SOUDURE'!$AW$7:$AW$3006,0),""))</f>
        <v>2364</v>
      </c>
      <c r="Q2370" s="82" t="str">
        <f aca="false">IF(C2370="","",B2370&amp;"|"&amp;C2370)</f>
        <v>MFD-ISW → MFD-CPF|JN°1886</v>
      </c>
    </row>
    <row r="2371" customFormat="false" ht="74.6" hidden="false" customHeight="false" outlineLevel="0" collapsed="false">
      <c r="A2371" s="82" t="n">
        <f aca="false">IF(C2371="","",ROW()-6)</f>
        <v>2365</v>
      </c>
      <c r="B2371" s="80" t="s">
        <v>110</v>
      </c>
      <c r="C2371" s="113" t="s">
        <v>2874</v>
      </c>
      <c r="D2371" s="82" t="str">
        <f aca="false">IF(OR(C2371="",P2371=""),"",INDEX('CARNET DE SOUDURE'!$D$7:$D$3006,P2371)&amp;"")</f>
        <v>23</v>
      </c>
      <c r="E2371" s="114" t="str">
        <f aca="false">IF(OR(C2371="",P2371=""),"",IF(INDEX('CARNET DE SOUDURE'!$U$7:$U$3006,P2371)="","",INDEX('CARNET DE SOUDURE'!$U$7:$U$3006,P2371)))</f>
        <v/>
      </c>
      <c r="F2371" s="82" t="str">
        <f aca="false">IF(OR(C2371="",P2371=""),"",INDEX('CARNET DE SOUDURE'!$AP$7:$AP$3006,P2371))</f>
        <v/>
      </c>
      <c r="G2371" s="82" t="str">
        <f aca="false">IF(C2371="","",IF(P2371="","NJ INCONNU",INDEX('CARNET DE SOUDURE'!$AQ$7:$AQ$3006,P2371)))</f>
        <v>À SOUDER</v>
      </c>
      <c r="H2371" s="82" t="str">
        <f aca="false">IF(C2371="","",IF(G2371="ACCEPTÉ","OUI","NON"))</f>
        <v>NON</v>
      </c>
      <c r="I2371" s="83"/>
      <c r="J2371" s="80"/>
      <c r="K2371" s="81"/>
      <c r="L2371" s="81"/>
      <c r="M2371" s="81"/>
      <c r="N2371" s="84" t="str">
        <f aca="false">IF(C2371="","",IF(P2371="","NJ INCONNU",IF(I2371="",IF(H2371="OUI","À ENROBER",IF(G2371="À SOUDER","NON SOUDÉ","EN ATTENTE RT")),IF(L2371="R","À REPRENDRE",IF(H2371&lt;&gt;"OUI","⚠ ENROBÉ AVANT ACCEPTATION RT","ENROBÉ")))))</f>
        <v>NON SOUDÉ</v>
      </c>
      <c r="O2371" s="80"/>
      <c r="P2371" s="82" t="n">
        <f aca="false">IF(C2371="","",IFERROR(MATCH(Q2371,'CARNET DE SOUDURE'!$AW$7:$AW$3006,0),""))</f>
        <v>2365</v>
      </c>
      <c r="Q2371" s="82" t="str">
        <f aca="false">IF(C2371="","",B2371&amp;"|"&amp;C2371)</f>
        <v>MFD-ISW → MFD-CPF|JN°1887</v>
      </c>
    </row>
    <row r="2372" customFormat="false" ht="74.6" hidden="false" customHeight="false" outlineLevel="0" collapsed="false">
      <c r="A2372" s="82" t="n">
        <f aca="false">IF(C2372="","",ROW()-6)</f>
        <v>2366</v>
      </c>
      <c r="B2372" s="80" t="s">
        <v>110</v>
      </c>
      <c r="C2372" s="113" t="s">
        <v>2875</v>
      </c>
      <c r="D2372" s="82" t="str">
        <f aca="false">IF(OR(C2372="",P2372=""),"",INDEX('CARNET DE SOUDURE'!$D$7:$D$3006,P2372)&amp;"")</f>
        <v>23</v>
      </c>
      <c r="E2372" s="114" t="str">
        <f aca="false">IF(OR(C2372="",P2372=""),"",IF(INDEX('CARNET DE SOUDURE'!$U$7:$U$3006,P2372)="","",INDEX('CARNET DE SOUDURE'!$U$7:$U$3006,P2372)))</f>
        <v/>
      </c>
      <c r="F2372" s="82" t="str">
        <f aca="false">IF(OR(C2372="",P2372=""),"",INDEX('CARNET DE SOUDURE'!$AP$7:$AP$3006,P2372))</f>
        <v/>
      </c>
      <c r="G2372" s="82" t="str">
        <f aca="false">IF(C2372="","",IF(P2372="","NJ INCONNU",INDEX('CARNET DE SOUDURE'!$AQ$7:$AQ$3006,P2372)))</f>
        <v>À SOUDER</v>
      </c>
      <c r="H2372" s="82" t="str">
        <f aca="false">IF(C2372="","",IF(G2372="ACCEPTÉ","OUI","NON"))</f>
        <v>NON</v>
      </c>
      <c r="I2372" s="83"/>
      <c r="J2372" s="80"/>
      <c r="K2372" s="81"/>
      <c r="L2372" s="81"/>
      <c r="M2372" s="81"/>
      <c r="N2372" s="84" t="str">
        <f aca="false">IF(C2372="","",IF(P2372="","NJ INCONNU",IF(I2372="",IF(H2372="OUI","À ENROBER",IF(G2372="À SOUDER","NON SOUDÉ","EN ATTENTE RT")),IF(L2372="R","À REPRENDRE",IF(H2372&lt;&gt;"OUI","⚠ ENROBÉ AVANT ACCEPTATION RT","ENROBÉ")))))</f>
        <v>NON SOUDÉ</v>
      </c>
      <c r="O2372" s="80"/>
      <c r="P2372" s="82" t="n">
        <f aca="false">IF(C2372="","",IFERROR(MATCH(Q2372,'CARNET DE SOUDURE'!$AW$7:$AW$3006,0),""))</f>
        <v>2366</v>
      </c>
      <c r="Q2372" s="82" t="str">
        <f aca="false">IF(C2372="","",B2372&amp;"|"&amp;C2372)</f>
        <v>MFD-ISW → MFD-CPF|JN°1888</v>
      </c>
    </row>
    <row r="2373" customFormat="false" ht="74.6" hidden="false" customHeight="false" outlineLevel="0" collapsed="false">
      <c r="A2373" s="82" t="n">
        <f aca="false">IF(C2373="","",ROW()-6)</f>
        <v>2367</v>
      </c>
      <c r="B2373" s="80" t="s">
        <v>110</v>
      </c>
      <c r="C2373" s="113" t="s">
        <v>2876</v>
      </c>
      <c r="D2373" s="82" t="str">
        <f aca="false">IF(OR(C2373="",P2373=""),"",INDEX('CARNET DE SOUDURE'!$D$7:$D$3006,P2373)&amp;"")</f>
        <v>23</v>
      </c>
      <c r="E2373" s="114" t="str">
        <f aca="false">IF(OR(C2373="",P2373=""),"",IF(INDEX('CARNET DE SOUDURE'!$U$7:$U$3006,P2373)="","",INDEX('CARNET DE SOUDURE'!$U$7:$U$3006,P2373)))</f>
        <v/>
      </c>
      <c r="F2373" s="82" t="str">
        <f aca="false">IF(OR(C2373="",P2373=""),"",INDEX('CARNET DE SOUDURE'!$AP$7:$AP$3006,P2373))</f>
        <v/>
      </c>
      <c r="G2373" s="82" t="str">
        <f aca="false">IF(C2373="","",IF(P2373="","NJ INCONNU",INDEX('CARNET DE SOUDURE'!$AQ$7:$AQ$3006,P2373)))</f>
        <v>À SOUDER</v>
      </c>
      <c r="H2373" s="82" t="str">
        <f aca="false">IF(C2373="","",IF(G2373="ACCEPTÉ","OUI","NON"))</f>
        <v>NON</v>
      </c>
      <c r="I2373" s="83"/>
      <c r="J2373" s="80"/>
      <c r="K2373" s="81"/>
      <c r="L2373" s="81"/>
      <c r="M2373" s="81"/>
      <c r="N2373" s="84" t="str">
        <f aca="false">IF(C2373="","",IF(P2373="","NJ INCONNU",IF(I2373="",IF(H2373="OUI","À ENROBER",IF(G2373="À SOUDER","NON SOUDÉ","EN ATTENTE RT")),IF(L2373="R","À REPRENDRE",IF(H2373&lt;&gt;"OUI","⚠ ENROBÉ AVANT ACCEPTATION RT","ENROBÉ")))))</f>
        <v>NON SOUDÉ</v>
      </c>
      <c r="O2373" s="80"/>
      <c r="P2373" s="82" t="n">
        <f aca="false">IF(C2373="","",IFERROR(MATCH(Q2373,'CARNET DE SOUDURE'!$AW$7:$AW$3006,0),""))</f>
        <v>2367</v>
      </c>
      <c r="Q2373" s="82" t="str">
        <f aca="false">IF(C2373="","",B2373&amp;"|"&amp;C2373)</f>
        <v>MFD-ISW → MFD-CPF|JN°1889</v>
      </c>
    </row>
    <row r="2374" customFormat="false" ht="74.6" hidden="false" customHeight="false" outlineLevel="0" collapsed="false">
      <c r="A2374" s="82" t="n">
        <f aca="false">IF(C2374="","",ROW()-6)</f>
        <v>2368</v>
      </c>
      <c r="B2374" s="80" t="s">
        <v>110</v>
      </c>
      <c r="C2374" s="113" t="s">
        <v>2877</v>
      </c>
      <c r="D2374" s="82" t="str">
        <f aca="false">IF(OR(C2374="",P2374=""),"",INDEX('CARNET DE SOUDURE'!$D$7:$D$3006,P2374)&amp;"")</f>
        <v>23</v>
      </c>
      <c r="E2374" s="114" t="str">
        <f aca="false">IF(OR(C2374="",P2374=""),"",IF(INDEX('CARNET DE SOUDURE'!$U$7:$U$3006,P2374)="","",INDEX('CARNET DE SOUDURE'!$U$7:$U$3006,P2374)))</f>
        <v/>
      </c>
      <c r="F2374" s="82" t="str">
        <f aca="false">IF(OR(C2374="",P2374=""),"",INDEX('CARNET DE SOUDURE'!$AP$7:$AP$3006,P2374))</f>
        <v/>
      </c>
      <c r="G2374" s="82" t="str">
        <f aca="false">IF(C2374="","",IF(P2374="","NJ INCONNU",INDEX('CARNET DE SOUDURE'!$AQ$7:$AQ$3006,P2374)))</f>
        <v>À SOUDER</v>
      </c>
      <c r="H2374" s="82" t="str">
        <f aca="false">IF(C2374="","",IF(G2374="ACCEPTÉ","OUI","NON"))</f>
        <v>NON</v>
      </c>
      <c r="I2374" s="83"/>
      <c r="J2374" s="80"/>
      <c r="K2374" s="81"/>
      <c r="L2374" s="81"/>
      <c r="M2374" s="81"/>
      <c r="N2374" s="84" t="str">
        <f aca="false">IF(C2374="","",IF(P2374="","NJ INCONNU",IF(I2374="",IF(H2374="OUI","À ENROBER",IF(G2374="À SOUDER","NON SOUDÉ","EN ATTENTE RT")),IF(L2374="R","À REPRENDRE",IF(H2374&lt;&gt;"OUI","⚠ ENROBÉ AVANT ACCEPTATION RT","ENROBÉ")))))</f>
        <v>NON SOUDÉ</v>
      </c>
      <c r="O2374" s="80"/>
      <c r="P2374" s="82" t="n">
        <f aca="false">IF(C2374="","",IFERROR(MATCH(Q2374,'CARNET DE SOUDURE'!$AW$7:$AW$3006,0),""))</f>
        <v>2368</v>
      </c>
      <c r="Q2374" s="82" t="str">
        <f aca="false">IF(C2374="","",B2374&amp;"|"&amp;C2374)</f>
        <v>MFD-ISW → MFD-CPF|JN°1890</v>
      </c>
    </row>
    <row r="2375" customFormat="false" ht="74.6" hidden="false" customHeight="false" outlineLevel="0" collapsed="false">
      <c r="A2375" s="82" t="n">
        <f aca="false">IF(C2375="","",ROW()-6)</f>
        <v>2369</v>
      </c>
      <c r="B2375" s="80" t="s">
        <v>110</v>
      </c>
      <c r="C2375" s="113" t="s">
        <v>2878</v>
      </c>
      <c r="D2375" s="82" t="str">
        <f aca="false">IF(OR(C2375="",P2375=""),"",INDEX('CARNET DE SOUDURE'!$D$7:$D$3006,P2375)&amp;"")</f>
        <v>23</v>
      </c>
      <c r="E2375" s="114" t="str">
        <f aca="false">IF(OR(C2375="",P2375=""),"",IF(INDEX('CARNET DE SOUDURE'!$U$7:$U$3006,P2375)="","",INDEX('CARNET DE SOUDURE'!$U$7:$U$3006,P2375)))</f>
        <v/>
      </c>
      <c r="F2375" s="82" t="str">
        <f aca="false">IF(OR(C2375="",P2375=""),"",INDEX('CARNET DE SOUDURE'!$AP$7:$AP$3006,P2375))</f>
        <v/>
      </c>
      <c r="G2375" s="82" t="str">
        <f aca="false">IF(C2375="","",IF(P2375="","NJ INCONNU",INDEX('CARNET DE SOUDURE'!$AQ$7:$AQ$3006,P2375)))</f>
        <v>À SOUDER</v>
      </c>
      <c r="H2375" s="82" t="str">
        <f aca="false">IF(C2375="","",IF(G2375="ACCEPTÉ","OUI","NON"))</f>
        <v>NON</v>
      </c>
      <c r="I2375" s="83"/>
      <c r="J2375" s="80"/>
      <c r="K2375" s="81"/>
      <c r="L2375" s="81"/>
      <c r="M2375" s="81"/>
      <c r="N2375" s="84" t="str">
        <f aca="false">IF(C2375="","",IF(P2375="","NJ INCONNU",IF(I2375="",IF(H2375="OUI","À ENROBER",IF(G2375="À SOUDER","NON SOUDÉ","EN ATTENTE RT")),IF(L2375="R","À REPRENDRE",IF(H2375&lt;&gt;"OUI","⚠ ENROBÉ AVANT ACCEPTATION RT","ENROBÉ")))))</f>
        <v>NON SOUDÉ</v>
      </c>
      <c r="O2375" s="80"/>
      <c r="P2375" s="82" t="n">
        <f aca="false">IF(C2375="","",IFERROR(MATCH(Q2375,'CARNET DE SOUDURE'!$AW$7:$AW$3006,0),""))</f>
        <v>2369</v>
      </c>
      <c r="Q2375" s="82" t="str">
        <f aca="false">IF(C2375="","",B2375&amp;"|"&amp;C2375)</f>
        <v>MFD-ISW → MFD-CPF|JN°1891</v>
      </c>
    </row>
    <row r="2376" customFormat="false" ht="74.6" hidden="false" customHeight="false" outlineLevel="0" collapsed="false">
      <c r="A2376" s="82" t="n">
        <f aca="false">IF(C2376="","",ROW()-6)</f>
        <v>2370</v>
      </c>
      <c r="B2376" s="80" t="s">
        <v>110</v>
      </c>
      <c r="C2376" s="113" t="s">
        <v>2879</v>
      </c>
      <c r="D2376" s="82" t="str">
        <f aca="false">IF(OR(C2376="",P2376=""),"",INDEX('CARNET DE SOUDURE'!$D$7:$D$3006,P2376)&amp;"")</f>
        <v>23</v>
      </c>
      <c r="E2376" s="114" t="str">
        <f aca="false">IF(OR(C2376="",P2376=""),"",IF(INDEX('CARNET DE SOUDURE'!$U$7:$U$3006,P2376)="","",INDEX('CARNET DE SOUDURE'!$U$7:$U$3006,P2376)))</f>
        <v/>
      </c>
      <c r="F2376" s="82" t="str">
        <f aca="false">IF(OR(C2376="",P2376=""),"",INDEX('CARNET DE SOUDURE'!$AP$7:$AP$3006,P2376))</f>
        <v/>
      </c>
      <c r="G2376" s="82" t="str">
        <f aca="false">IF(C2376="","",IF(P2376="","NJ INCONNU",INDEX('CARNET DE SOUDURE'!$AQ$7:$AQ$3006,P2376)))</f>
        <v>À SOUDER</v>
      </c>
      <c r="H2376" s="82" t="str">
        <f aca="false">IF(C2376="","",IF(G2376="ACCEPTÉ","OUI","NON"))</f>
        <v>NON</v>
      </c>
      <c r="I2376" s="83"/>
      <c r="J2376" s="80"/>
      <c r="K2376" s="81"/>
      <c r="L2376" s="81"/>
      <c r="M2376" s="81"/>
      <c r="N2376" s="84" t="str">
        <f aca="false">IF(C2376="","",IF(P2376="","NJ INCONNU",IF(I2376="",IF(H2376="OUI","À ENROBER",IF(G2376="À SOUDER","NON SOUDÉ","EN ATTENTE RT")),IF(L2376="R","À REPRENDRE",IF(H2376&lt;&gt;"OUI","⚠ ENROBÉ AVANT ACCEPTATION RT","ENROBÉ")))))</f>
        <v>NON SOUDÉ</v>
      </c>
      <c r="O2376" s="80"/>
      <c r="P2376" s="82" t="n">
        <f aca="false">IF(C2376="","",IFERROR(MATCH(Q2376,'CARNET DE SOUDURE'!$AW$7:$AW$3006,0),""))</f>
        <v>2370</v>
      </c>
      <c r="Q2376" s="82" t="str">
        <f aca="false">IF(C2376="","",B2376&amp;"|"&amp;C2376)</f>
        <v>MFD-ISW → MFD-CPF|JN°1892</v>
      </c>
    </row>
    <row r="2377" customFormat="false" ht="74.6" hidden="false" customHeight="false" outlineLevel="0" collapsed="false">
      <c r="A2377" s="82" t="n">
        <f aca="false">IF(C2377="","",ROW()-6)</f>
        <v>2371</v>
      </c>
      <c r="B2377" s="80" t="s">
        <v>110</v>
      </c>
      <c r="C2377" s="113" t="s">
        <v>2880</v>
      </c>
      <c r="D2377" s="82" t="str">
        <f aca="false">IF(OR(C2377="",P2377=""),"",INDEX('CARNET DE SOUDURE'!$D$7:$D$3006,P2377)&amp;"")</f>
        <v>23</v>
      </c>
      <c r="E2377" s="114" t="str">
        <f aca="false">IF(OR(C2377="",P2377=""),"",IF(INDEX('CARNET DE SOUDURE'!$U$7:$U$3006,P2377)="","",INDEX('CARNET DE SOUDURE'!$U$7:$U$3006,P2377)))</f>
        <v/>
      </c>
      <c r="F2377" s="82" t="str">
        <f aca="false">IF(OR(C2377="",P2377=""),"",INDEX('CARNET DE SOUDURE'!$AP$7:$AP$3006,P2377))</f>
        <v/>
      </c>
      <c r="G2377" s="82" t="str">
        <f aca="false">IF(C2377="","",IF(P2377="","NJ INCONNU",INDEX('CARNET DE SOUDURE'!$AQ$7:$AQ$3006,P2377)))</f>
        <v>À SOUDER</v>
      </c>
      <c r="H2377" s="82" t="str">
        <f aca="false">IF(C2377="","",IF(G2377="ACCEPTÉ","OUI","NON"))</f>
        <v>NON</v>
      </c>
      <c r="I2377" s="83"/>
      <c r="J2377" s="80"/>
      <c r="K2377" s="81"/>
      <c r="L2377" s="81"/>
      <c r="M2377" s="81"/>
      <c r="N2377" s="84" t="str">
        <f aca="false">IF(C2377="","",IF(P2377="","NJ INCONNU",IF(I2377="",IF(H2377="OUI","À ENROBER",IF(G2377="À SOUDER","NON SOUDÉ","EN ATTENTE RT")),IF(L2377="R","À REPRENDRE",IF(H2377&lt;&gt;"OUI","⚠ ENROBÉ AVANT ACCEPTATION RT","ENROBÉ")))))</f>
        <v>NON SOUDÉ</v>
      </c>
      <c r="O2377" s="80"/>
      <c r="P2377" s="82" t="n">
        <f aca="false">IF(C2377="","",IFERROR(MATCH(Q2377,'CARNET DE SOUDURE'!$AW$7:$AW$3006,0),""))</f>
        <v>2371</v>
      </c>
      <c r="Q2377" s="82" t="str">
        <f aca="false">IF(C2377="","",B2377&amp;"|"&amp;C2377)</f>
        <v>MFD-ISW → MFD-CPF|JN°1893</v>
      </c>
    </row>
    <row r="2378" customFormat="false" ht="74.6" hidden="false" customHeight="false" outlineLevel="0" collapsed="false">
      <c r="A2378" s="82" t="n">
        <f aca="false">IF(C2378="","",ROW()-6)</f>
        <v>2372</v>
      </c>
      <c r="B2378" s="80" t="s">
        <v>110</v>
      </c>
      <c r="C2378" s="113" t="s">
        <v>2882</v>
      </c>
      <c r="D2378" s="82" t="str">
        <f aca="false">IF(OR(C2378="",P2378=""),"",INDEX('CARNET DE SOUDURE'!$D$7:$D$3006,P2378)&amp;"")</f>
        <v>23</v>
      </c>
      <c r="E2378" s="114" t="n">
        <f aca="false">IF(OR(C2378="",P2378=""),"",IF(INDEX('CARNET DE SOUDURE'!$U$7:$U$3006,P2378)="","",INDEX('CARNET DE SOUDURE'!$U$7:$U$3006,P2378)))</f>
        <v>46257</v>
      </c>
      <c r="F2378" s="82" t="str">
        <f aca="false">IF(OR(C2378="",P2378=""),"",INDEX('CARNET DE SOUDURE'!$AP$7:$AP$3006,P2378))</f>
        <v>NX</v>
      </c>
      <c r="G2378" s="82" t="str">
        <f aca="false">IF(C2378="","",IF(P2378="","NJ INCONNU",INDEX('CARNET DE SOUDURE'!$AQ$7:$AQ$3006,P2378)))</f>
        <v>NX – RT À REFAIRE</v>
      </c>
      <c r="H2378" s="82" t="str">
        <f aca="false">IF(C2378="","",IF(G2378="ACCEPTÉ","OUI","NON"))</f>
        <v>NON</v>
      </c>
      <c r="I2378" s="83"/>
      <c r="J2378" s="80"/>
      <c r="K2378" s="81"/>
      <c r="L2378" s="81"/>
      <c r="M2378" s="81"/>
      <c r="N2378" s="84" t="str">
        <f aca="false">IF(C2378="","",IF(P2378="","NJ INCONNU",IF(I2378="",IF(H2378="OUI","À ENROBER",IF(G2378="À SOUDER","NON SOUDÉ","EN ATTENTE RT")),IF(L2378="R","À REPRENDRE",IF(H2378&lt;&gt;"OUI","⚠ ENROBÉ AVANT ACCEPTATION RT","ENROBÉ")))))</f>
        <v>EN ATTENTE RT</v>
      </c>
      <c r="O2378" s="80"/>
      <c r="P2378" s="82" t="n">
        <f aca="false">IF(C2378="","",IFERROR(MATCH(Q2378,'CARNET DE SOUDURE'!$AW$7:$AW$3006,0),""))</f>
        <v>2372</v>
      </c>
      <c r="Q2378" s="82" t="str">
        <f aca="false">IF(C2378="","",B2378&amp;"|"&amp;C2378)</f>
        <v>MFD-ISW → MFD-CPF|JN°1894</v>
      </c>
    </row>
    <row r="2379" customFormat="false" ht="74.6" hidden="false" customHeight="false" outlineLevel="0" collapsed="false">
      <c r="A2379" s="82" t="n">
        <f aca="false">IF(C2379="","",ROW()-6)</f>
        <v>2373</v>
      </c>
      <c r="B2379" s="80" t="s">
        <v>110</v>
      </c>
      <c r="C2379" s="113" t="s">
        <v>2884</v>
      </c>
      <c r="D2379" s="82" t="str">
        <f aca="false">IF(OR(C2379="",P2379=""),"",INDEX('CARNET DE SOUDURE'!$D$7:$D$3006,P2379)&amp;"")</f>
        <v>23</v>
      </c>
      <c r="E2379" s="114" t="n">
        <f aca="false">IF(OR(C2379="",P2379=""),"",IF(INDEX('CARNET DE SOUDURE'!$U$7:$U$3006,P2379)="","",INDEX('CARNET DE SOUDURE'!$U$7:$U$3006,P2379)))</f>
        <v>46257</v>
      </c>
      <c r="F2379" s="82" t="str">
        <f aca="false">IF(OR(C2379="",P2379=""),"",INDEX('CARNET DE SOUDURE'!$AP$7:$AP$3006,P2379))</f>
        <v>R</v>
      </c>
      <c r="G2379" s="82" t="str">
        <f aca="false">IF(C2379="","",IF(P2379="","NJ INCONNU",INDEX('CARNET DE SOUDURE'!$AQ$7:$AQ$3006,P2379)))</f>
        <v>À RÉPARER</v>
      </c>
      <c r="H2379" s="82" t="str">
        <f aca="false">IF(C2379="","",IF(G2379="ACCEPTÉ","OUI","NON"))</f>
        <v>NON</v>
      </c>
      <c r="I2379" s="83"/>
      <c r="J2379" s="80"/>
      <c r="K2379" s="81"/>
      <c r="L2379" s="81"/>
      <c r="M2379" s="81"/>
      <c r="N2379" s="84" t="str">
        <f aca="false">IF(C2379="","",IF(P2379="","NJ INCONNU",IF(I2379="",IF(H2379="OUI","À ENROBER",IF(G2379="À SOUDER","NON SOUDÉ","EN ATTENTE RT")),IF(L2379="R","À REPRENDRE",IF(H2379&lt;&gt;"OUI","⚠ ENROBÉ AVANT ACCEPTATION RT","ENROBÉ")))))</f>
        <v>EN ATTENTE RT</v>
      </c>
      <c r="O2379" s="80"/>
      <c r="P2379" s="82" t="n">
        <f aca="false">IF(C2379="","",IFERROR(MATCH(Q2379,'CARNET DE SOUDURE'!$AW$7:$AW$3006,0),""))</f>
        <v>2373</v>
      </c>
      <c r="Q2379" s="82" t="str">
        <f aca="false">IF(C2379="","",B2379&amp;"|"&amp;C2379)</f>
        <v>MFD-ISW → MFD-CPF|JN°1895</v>
      </c>
    </row>
    <row r="2380" customFormat="false" ht="74.6" hidden="false" customHeight="false" outlineLevel="0" collapsed="false">
      <c r="A2380" s="82" t="n">
        <f aca="false">IF(C2380="","",ROW()-6)</f>
        <v>2374</v>
      </c>
      <c r="B2380" s="80" t="s">
        <v>110</v>
      </c>
      <c r="C2380" s="113" t="s">
        <v>2886</v>
      </c>
      <c r="D2380" s="82" t="str">
        <f aca="false">IF(OR(C2380="",P2380=""),"",INDEX('CARNET DE SOUDURE'!$D$7:$D$3006,P2380)&amp;"")</f>
        <v>23</v>
      </c>
      <c r="E2380" s="114" t="n">
        <f aca="false">IF(OR(C2380="",P2380=""),"",IF(INDEX('CARNET DE SOUDURE'!$U$7:$U$3006,P2380)="","",INDEX('CARNET DE SOUDURE'!$U$7:$U$3006,P2380)))</f>
        <v>46257</v>
      </c>
      <c r="F2380" s="82" t="str">
        <f aca="false">IF(OR(C2380="",P2380=""),"",INDEX('CARNET DE SOUDURE'!$AP$7:$AP$3006,P2380))</f>
        <v>R</v>
      </c>
      <c r="G2380" s="82" t="str">
        <f aca="false">IF(C2380="","",IF(P2380="","NJ INCONNU",INDEX('CARNET DE SOUDURE'!$AQ$7:$AQ$3006,P2380)))</f>
        <v>À RÉPARER</v>
      </c>
      <c r="H2380" s="82" t="str">
        <f aca="false">IF(C2380="","",IF(G2380="ACCEPTÉ","OUI","NON"))</f>
        <v>NON</v>
      </c>
      <c r="I2380" s="83"/>
      <c r="J2380" s="80"/>
      <c r="K2380" s="81"/>
      <c r="L2380" s="81"/>
      <c r="M2380" s="81"/>
      <c r="N2380" s="84" t="str">
        <f aca="false">IF(C2380="","",IF(P2380="","NJ INCONNU",IF(I2380="",IF(H2380="OUI","À ENROBER",IF(G2380="À SOUDER","NON SOUDÉ","EN ATTENTE RT")),IF(L2380="R","À REPRENDRE",IF(H2380&lt;&gt;"OUI","⚠ ENROBÉ AVANT ACCEPTATION RT","ENROBÉ")))))</f>
        <v>EN ATTENTE RT</v>
      </c>
      <c r="O2380" s="80"/>
      <c r="P2380" s="82" t="n">
        <f aca="false">IF(C2380="","",IFERROR(MATCH(Q2380,'CARNET DE SOUDURE'!$AW$7:$AW$3006,0),""))</f>
        <v>2374</v>
      </c>
      <c r="Q2380" s="82" t="str">
        <f aca="false">IF(C2380="","",B2380&amp;"|"&amp;C2380)</f>
        <v>MFD-ISW → MFD-CPF|JN°1896</v>
      </c>
    </row>
    <row r="2381" customFormat="false" ht="74.6" hidden="false" customHeight="false" outlineLevel="0" collapsed="false">
      <c r="A2381" s="82" t="n">
        <f aca="false">IF(C2381="","",ROW()-6)</f>
        <v>2375</v>
      </c>
      <c r="B2381" s="80" t="s">
        <v>110</v>
      </c>
      <c r="C2381" s="113" t="s">
        <v>2888</v>
      </c>
      <c r="D2381" s="82" t="str">
        <f aca="false">IF(OR(C2381="",P2381=""),"",INDEX('CARNET DE SOUDURE'!$D$7:$D$3006,P2381)&amp;"")</f>
        <v>23</v>
      </c>
      <c r="E2381" s="114" t="n">
        <f aca="false">IF(OR(C2381="",P2381=""),"",IF(INDEX('CARNET DE SOUDURE'!$U$7:$U$3006,P2381)="","",INDEX('CARNET DE SOUDURE'!$U$7:$U$3006,P2381)))</f>
        <v>46257</v>
      </c>
      <c r="F2381" s="82" t="str">
        <f aca="false">IF(OR(C2381="",P2381=""),"",INDEX('CARNET DE SOUDURE'!$AP$7:$AP$3006,P2381))</f>
        <v>A</v>
      </c>
      <c r="G2381" s="82" t="str">
        <f aca="false">IF(C2381="","",IF(P2381="","NJ INCONNU",INDEX('CARNET DE SOUDURE'!$AQ$7:$AQ$3006,P2381)))</f>
        <v>ACCEPTÉ</v>
      </c>
      <c r="H2381" s="82" t="str">
        <f aca="false">IF(C2381="","",IF(G2381="ACCEPTÉ","OUI","NON"))</f>
        <v>OUI</v>
      </c>
      <c r="I2381" s="83"/>
      <c r="J2381" s="80"/>
      <c r="K2381" s="81"/>
      <c r="L2381" s="81"/>
      <c r="M2381" s="81"/>
      <c r="N2381" s="84" t="str">
        <f aca="false">IF(C2381="","",IF(P2381="","NJ INCONNU",IF(I2381="",IF(H2381="OUI","À ENROBER",IF(G2381="À SOUDER","NON SOUDÉ","EN ATTENTE RT")),IF(L2381="R","À REPRENDRE",IF(H2381&lt;&gt;"OUI","⚠ ENROBÉ AVANT ACCEPTATION RT","ENROBÉ")))))</f>
        <v>À ENROBER</v>
      </c>
      <c r="O2381" s="80"/>
      <c r="P2381" s="82" t="n">
        <f aca="false">IF(C2381="","",IFERROR(MATCH(Q2381,'CARNET DE SOUDURE'!$AW$7:$AW$3006,0),""))</f>
        <v>2375</v>
      </c>
      <c r="Q2381" s="82" t="str">
        <f aca="false">IF(C2381="","",B2381&amp;"|"&amp;C2381)</f>
        <v>MFD-ISW → MFD-CPF|JN°1897</v>
      </c>
    </row>
    <row r="2382" customFormat="false" ht="74.6" hidden="false" customHeight="false" outlineLevel="0" collapsed="false">
      <c r="A2382" s="82" t="n">
        <f aca="false">IF(C2382="","",ROW()-6)</f>
        <v>2376</v>
      </c>
      <c r="B2382" s="80" t="s">
        <v>110</v>
      </c>
      <c r="C2382" s="113" t="s">
        <v>2889</v>
      </c>
      <c r="D2382" s="82" t="str">
        <f aca="false">IF(OR(C2382="",P2382=""),"",INDEX('CARNET DE SOUDURE'!$D$7:$D$3006,P2382)&amp;"")</f>
        <v>23</v>
      </c>
      <c r="E2382" s="114" t="n">
        <f aca="false">IF(OR(C2382="",P2382=""),"",IF(INDEX('CARNET DE SOUDURE'!$U$7:$U$3006,P2382)="","",INDEX('CARNET DE SOUDURE'!$U$7:$U$3006,P2382)))</f>
        <v>46257</v>
      </c>
      <c r="F2382" s="82" t="str">
        <f aca="false">IF(OR(C2382="",P2382=""),"",INDEX('CARNET DE SOUDURE'!$AP$7:$AP$3006,P2382))</f>
        <v>A</v>
      </c>
      <c r="G2382" s="82" t="str">
        <f aca="false">IF(C2382="","",IF(P2382="","NJ INCONNU",INDEX('CARNET DE SOUDURE'!$AQ$7:$AQ$3006,P2382)))</f>
        <v>ACCEPTÉ</v>
      </c>
      <c r="H2382" s="82" t="str">
        <f aca="false">IF(C2382="","",IF(G2382="ACCEPTÉ","OUI","NON"))</f>
        <v>OUI</v>
      </c>
      <c r="I2382" s="83"/>
      <c r="J2382" s="80"/>
      <c r="K2382" s="81"/>
      <c r="L2382" s="81"/>
      <c r="M2382" s="81"/>
      <c r="N2382" s="84" t="str">
        <f aca="false">IF(C2382="","",IF(P2382="","NJ INCONNU",IF(I2382="",IF(H2382="OUI","À ENROBER",IF(G2382="À SOUDER","NON SOUDÉ","EN ATTENTE RT")),IF(L2382="R","À REPRENDRE",IF(H2382&lt;&gt;"OUI","⚠ ENROBÉ AVANT ACCEPTATION RT","ENROBÉ")))))</f>
        <v>À ENROBER</v>
      </c>
      <c r="O2382" s="80"/>
      <c r="P2382" s="82" t="n">
        <f aca="false">IF(C2382="","",IFERROR(MATCH(Q2382,'CARNET DE SOUDURE'!$AW$7:$AW$3006,0),""))</f>
        <v>2376</v>
      </c>
      <c r="Q2382" s="82" t="str">
        <f aca="false">IF(C2382="","",B2382&amp;"|"&amp;C2382)</f>
        <v>MFD-ISW → MFD-CPF|JN°1898</v>
      </c>
    </row>
    <row r="2383" customFormat="false" ht="74.6" hidden="false" customHeight="false" outlineLevel="0" collapsed="false">
      <c r="A2383" s="82" t="n">
        <f aca="false">IF(C2383="","",ROW()-6)</f>
        <v>2377</v>
      </c>
      <c r="B2383" s="80" t="s">
        <v>110</v>
      </c>
      <c r="C2383" s="113" t="s">
        <v>2891</v>
      </c>
      <c r="D2383" s="82" t="str">
        <f aca="false">IF(OR(C2383="",P2383=""),"",INDEX('CARNET DE SOUDURE'!$D$7:$D$3006,P2383)&amp;"")</f>
        <v>23</v>
      </c>
      <c r="E2383" s="114" t="n">
        <f aca="false">IF(OR(C2383="",P2383=""),"",IF(INDEX('CARNET DE SOUDURE'!$U$7:$U$3006,P2383)="","",INDEX('CARNET DE SOUDURE'!$U$7:$U$3006,P2383)))</f>
        <v>46257</v>
      </c>
      <c r="F2383" s="82" t="str">
        <f aca="false">IF(OR(C2383="",P2383=""),"",INDEX('CARNET DE SOUDURE'!$AP$7:$AP$3006,P2383))</f>
        <v>A</v>
      </c>
      <c r="G2383" s="82" t="str">
        <f aca="false">IF(C2383="","",IF(P2383="","NJ INCONNU",INDEX('CARNET DE SOUDURE'!$AQ$7:$AQ$3006,P2383)))</f>
        <v>ACCEPTÉ</v>
      </c>
      <c r="H2383" s="82" t="str">
        <f aca="false">IF(C2383="","",IF(G2383="ACCEPTÉ","OUI","NON"))</f>
        <v>OUI</v>
      </c>
      <c r="I2383" s="83"/>
      <c r="J2383" s="80"/>
      <c r="K2383" s="81"/>
      <c r="L2383" s="81"/>
      <c r="M2383" s="81"/>
      <c r="N2383" s="84" t="str">
        <f aca="false">IF(C2383="","",IF(P2383="","NJ INCONNU",IF(I2383="",IF(H2383="OUI","À ENROBER",IF(G2383="À SOUDER","NON SOUDÉ","EN ATTENTE RT")),IF(L2383="R","À REPRENDRE",IF(H2383&lt;&gt;"OUI","⚠ ENROBÉ AVANT ACCEPTATION RT","ENROBÉ")))))</f>
        <v>À ENROBER</v>
      </c>
      <c r="O2383" s="80"/>
      <c r="P2383" s="82" t="n">
        <f aca="false">IF(C2383="","",IFERROR(MATCH(Q2383,'CARNET DE SOUDURE'!$AW$7:$AW$3006,0),""))</f>
        <v>2377</v>
      </c>
      <c r="Q2383" s="82" t="str">
        <f aca="false">IF(C2383="","",B2383&amp;"|"&amp;C2383)</f>
        <v>MFD-ISW → MFD-CPF|JN°1899</v>
      </c>
    </row>
    <row r="2384" customFormat="false" ht="74.6" hidden="false" customHeight="false" outlineLevel="0" collapsed="false">
      <c r="A2384" s="82" t="n">
        <f aca="false">IF(C2384="","",ROW()-6)</f>
        <v>2378</v>
      </c>
      <c r="B2384" s="80" t="s">
        <v>110</v>
      </c>
      <c r="C2384" s="113" t="s">
        <v>2892</v>
      </c>
      <c r="D2384" s="82" t="str">
        <f aca="false">IF(OR(C2384="",P2384=""),"",INDEX('CARNET DE SOUDURE'!$D$7:$D$3006,P2384)&amp;"")</f>
        <v>23</v>
      </c>
      <c r="E2384" s="114" t="n">
        <f aca="false">IF(OR(C2384="",P2384=""),"",IF(INDEX('CARNET DE SOUDURE'!$U$7:$U$3006,P2384)="","",INDEX('CARNET DE SOUDURE'!$U$7:$U$3006,P2384)))</f>
        <v>46257</v>
      </c>
      <c r="F2384" s="82" t="str">
        <f aca="false">IF(OR(C2384="",P2384=""),"",INDEX('CARNET DE SOUDURE'!$AP$7:$AP$3006,P2384))</f>
        <v>A</v>
      </c>
      <c r="G2384" s="82" t="str">
        <f aca="false">IF(C2384="","",IF(P2384="","NJ INCONNU",INDEX('CARNET DE SOUDURE'!$AQ$7:$AQ$3006,P2384)))</f>
        <v>ACCEPTÉ</v>
      </c>
      <c r="H2384" s="82" t="str">
        <f aca="false">IF(C2384="","",IF(G2384="ACCEPTÉ","OUI","NON"))</f>
        <v>OUI</v>
      </c>
      <c r="I2384" s="83"/>
      <c r="J2384" s="80"/>
      <c r="K2384" s="81"/>
      <c r="L2384" s="81"/>
      <c r="M2384" s="81"/>
      <c r="N2384" s="84" t="str">
        <f aca="false">IF(C2384="","",IF(P2384="","NJ INCONNU",IF(I2384="",IF(H2384="OUI","À ENROBER",IF(G2384="À SOUDER","NON SOUDÉ","EN ATTENTE RT")),IF(L2384="R","À REPRENDRE",IF(H2384&lt;&gt;"OUI","⚠ ENROBÉ AVANT ACCEPTATION RT","ENROBÉ")))))</f>
        <v>À ENROBER</v>
      </c>
      <c r="O2384" s="80"/>
      <c r="P2384" s="82" t="n">
        <f aca="false">IF(C2384="","",IFERROR(MATCH(Q2384,'CARNET DE SOUDURE'!$AW$7:$AW$3006,0),""))</f>
        <v>2378</v>
      </c>
      <c r="Q2384" s="82" t="str">
        <f aca="false">IF(C2384="","",B2384&amp;"|"&amp;C2384)</f>
        <v>MFD-ISW → MFD-CPF|JN°1900</v>
      </c>
    </row>
    <row r="2385" customFormat="false" ht="74.6" hidden="false" customHeight="false" outlineLevel="0" collapsed="false">
      <c r="A2385" s="82" t="n">
        <f aca="false">IF(C2385="","",ROW()-6)</f>
        <v>2379</v>
      </c>
      <c r="B2385" s="80" t="s">
        <v>110</v>
      </c>
      <c r="C2385" s="113" t="s">
        <v>2893</v>
      </c>
      <c r="D2385" s="82" t="str">
        <f aca="false">IF(OR(C2385="",P2385=""),"",INDEX('CARNET DE SOUDURE'!$D$7:$D$3006,P2385)&amp;"")</f>
        <v>23</v>
      </c>
      <c r="E2385" s="114" t="n">
        <f aca="false">IF(OR(C2385="",P2385=""),"",IF(INDEX('CARNET DE SOUDURE'!$U$7:$U$3006,P2385)="","",INDEX('CARNET DE SOUDURE'!$U$7:$U$3006,P2385)))</f>
        <v>46257</v>
      </c>
      <c r="F2385" s="82" t="str">
        <f aca="false">IF(OR(C2385="",P2385=""),"",INDEX('CARNET DE SOUDURE'!$AP$7:$AP$3006,P2385))</f>
        <v>A</v>
      </c>
      <c r="G2385" s="82" t="str">
        <f aca="false">IF(C2385="","",IF(P2385="","NJ INCONNU",INDEX('CARNET DE SOUDURE'!$AQ$7:$AQ$3006,P2385)))</f>
        <v>ACCEPTÉ</v>
      </c>
      <c r="H2385" s="82" t="str">
        <f aca="false">IF(C2385="","",IF(G2385="ACCEPTÉ","OUI","NON"))</f>
        <v>OUI</v>
      </c>
      <c r="I2385" s="83"/>
      <c r="J2385" s="80"/>
      <c r="K2385" s="81"/>
      <c r="L2385" s="81"/>
      <c r="M2385" s="81"/>
      <c r="N2385" s="84" t="str">
        <f aca="false">IF(C2385="","",IF(P2385="","NJ INCONNU",IF(I2385="",IF(H2385="OUI","À ENROBER",IF(G2385="À SOUDER","NON SOUDÉ","EN ATTENTE RT")),IF(L2385="R","À REPRENDRE",IF(H2385&lt;&gt;"OUI","⚠ ENROBÉ AVANT ACCEPTATION RT","ENROBÉ")))))</f>
        <v>À ENROBER</v>
      </c>
      <c r="O2385" s="80"/>
      <c r="P2385" s="82" t="n">
        <f aca="false">IF(C2385="","",IFERROR(MATCH(Q2385,'CARNET DE SOUDURE'!$AW$7:$AW$3006,0),""))</f>
        <v>2379</v>
      </c>
      <c r="Q2385" s="82" t="str">
        <f aca="false">IF(C2385="","",B2385&amp;"|"&amp;C2385)</f>
        <v>MFD-ISW → MFD-CPF|JN°1901</v>
      </c>
    </row>
    <row r="2386" customFormat="false" ht="74.6" hidden="false" customHeight="false" outlineLevel="0" collapsed="false">
      <c r="A2386" s="82" t="n">
        <f aca="false">IF(C2386="","",ROW()-6)</f>
        <v>2380</v>
      </c>
      <c r="B2386" s="80" t="s">
        <v>110</v>
      </c>
      <c r="C2386" s="113" t="s">
        <v>2894</v>
      </c>
      <c r="D2386" s="82" t="str">
        <f aca="false">IF(OR(C2386="",P2386=""),"",INDEX('CARNET DE SOUDURE'!$D$7:$D$3006,P2386)&amp;"")</f>
        <v>23</v>
      </c>
      <c r="E2386" s="114" t="n">
        <f aca="false">IF(OR(C2386="",P2386=""),"",IF(INDEX('CARNET DE SOUDURE'!$U$7:$U$3006,P2386)="","",INDEX('CARNET DE SOUDURE'!$U$7:$U$3006,P2386)))</f>
        <v>46257</v>
      </c>
      <c r="F2386" s="82" t="str">
        <f aca="false">IF(OR(C2386="",P2386=""),"",INDEX('CARNET DE SOUDURE'!$AP$7:$AP$3006,P2386))</f>
        <v>A</v>
      </c>
      <c r="G2386" s="82" t="str">
        <f aca="false">IF(C2386="","",IF(P2386="","NJ INCONNU",INDEX('CARNET DE SOUDURE'!$AQ$7:$AQ$3006,P2386)))</f>
        <v>ACCEPTÉ</v>
      </c>
      <c r="H2386" s="82" t="str">
        <f aca="false">IF(C2386="","",IF(G2386="ACCEPTÉ","OUI","NON"))</f>
        <v>OUI</v>
      </c>
      <c r="I2386" s="83"/>
      <c r="J2386" s="80"/>
      <c r="K2386" s="81"/>
      <c r="L2386" s="81"/>
      <c r="M2386" s="81"/>
      <c r="N2386" s="84" t="str">
        <f aca="false">IF(C2386="","",IF(P2386="","NJ INCONNU",IF(I2386="",IF(H2386="OUI","À ENROBER",IF(G2386="À SOUDER","NON SOUDÉ","EN ATTENTE RT")),IF(L2386="R","À REPRENDRE",IF(H2386&lt;&gt;"OUI","⚠ ENROBÉ AVANT ACCEPTATION RT","ENROBÉ")))))</f>
        <v>À ENROBER</v>
      </c>
      <c r="O2386" s="80"/>
      <c r="P2386" s="82" t="n">
        <f aca="false">IF(C2386="","",IFERROR(MATCH(Q2386,'CARNET DE SOUDURE'!$AW$7:$AW$3006,0),""))</f>
        <v>2380</v>
      </c>
      <c r="Q2386" s="82" t="str">
        <f aca="false">IF(C2386="","",B2386&amp;"|"&amp;C2386)</f>
        <v>MFD-ISW → MFD-CPF|JN°1902</v>
      </c>
    </row>
    <row r="2387" customFormat="false" ht="74.6" hidden="false" customHeight="false" outlineLevel="0" collapsed="false">
      <c r="A2387" s="82" t="n">
        <f aca="false">IF(C2387="","",ROW()-6)</f>
        <v>2381</v>
      </c>
      <c r="B2387" s="80" t="s">
        <v>110</v>
      </c>
      <c r="C2387" s="113" t="s">
        <v>2895</v>
      </c>
      <c r="D2387" s="82" t="str">
        <f aca="false">IF(OR(C2387="",P2387=""),"",INDEX('CARNET DE SOUDURE'!$D$7:$D$3006,P2387)&amp;"")</f>
        <v>23</v>
      </c>
      <c r="E2387" s="114" t="n">
        <f aca="false">IF(OR(C2387="",P2387=""),"",IF(INDEX('CARNET DE SOUDURE'!$U$7:$U$3006,P2387)="","",INDEX('CARNET DE SOUDURE'!$U$7:$U$3006,P2387)))</f>
        <v>46257</v>
      </c>
      <c r="F2387" s="82" t="str">
        <f aca="false">IF(OR(C2387="",P2387=""),"",INDEX('CARNET DE SOUDURE'!$AP$7:$AP$3006,P2387))</f>
        <v>A</v>
      </c>
      <c r="G2387" s="82" t="str">
        <f aca="false">IF(C2387="","",IF(P2387="","NJ INCONNU",INDEX('CARNET DE SOUDURE'!$AQ$7:$AQ$3006,P2387)))</f>
        <v>ACCEPTÉ</v>
      </c>
      <c r="H2387" s="82" t="str">
        <f aca="false">IF(C2387="","",IF(G2387="ACCEPTÉ","OUI","NON"))</f>
        <v>OUI</v>
      </c>
      <c r="I2387" s="83"/>
      <c r="J2387" s="80"/>
      <c r="K2387" s="81"/>
      <c r="L2387" s="81"/>
      <c r="M2387" s="81"/>
      <c r="N2387" s="84" t="str">
        <f aca="false">IF(C2387="","",IF(P2387="","NJ INCONNU",IF(I2387="",IF(H2387="OUI","À ENROBER",IF(G2387="À SOUDER","NON SOUDÉ","EN ATTENTE RT")),IF(L2387="R","À REPRENDRE",IF(H2387&lt;&gt;"OUI","⚠ ENROBÉ AVANT ACCEPTATION RT","ENROBÉ")))))</f>
        <v>À ENROBER</v>
      </c>
      <c r="O2387" s="80"/>
      <c r="P2387" s="82" t="n">
        <f aca="false">IF(C2387="","",IFERROR(MATCH(Q2387,'CARNET DE SOUDURE'!$AW$7:$AW$3006,0),""))</f>
        <v>2381</v>
      </c>
      <c r="Q2387" s="82" t="str">
        <f aca="false">IF(C2387="","",B2387&amp;"|"&amp;C2387)</f>
        <v>MFD-ISW → MFD-CPF|JN°1903</v>
      </c>
    </row>
    <row r="2388" customFormat="false" ht="74.6" hidden="false" customHeight="false" outlineLevel="0" collapsed="false">
      <c r="A2388" s="82" t="n">
        <f aca="false">IF(C2388="","",ROW()-6)</f>
        <v>2382</v>
      </c>
      <c r="B2388" s="80" t="s">
        <v>110</v>
      </c>
      <c r="C2388" s="113" t="s">
        <v>2897</v>
      </c>
      <c r="D2388" s="82" t="str">
        <f aca="false">IF(OR(C2388="",P2388=""),"",INDEX('CARNET DE SOUDURE'!$D$7:$D$3006,P2388)&amp;"")</f>
        <v>23</v>
      </c>
      <c r="E2388" s="114" t="n">
        <f aca="false">IF(OR(C2388="",P2388=""),"",IF(INDEX('CARNET DE SOUDURE'!$U$7:$U$3006,P2388)="","",INDEX('CARNET DE SOUDURE'!$U$7:$U$3006,P2388)))</f>
        <v>46257</v>
      </c>
      <c r="F2388" s="82" t="str">
        <f aca="false">IF(OR(C2388="",P2388=""),"",INDEX('CARNET DE SOUDURE'!$AP$7:$AP$3006,P2388))</f>
        <v>A</v>
      </c>
      <c r="G2388" s="82" t="str">
        <f aca="false">IF(C2388="","",IF(P2388="","NJ INCONNU",INDEX('CARNET DE SOUDURE'!$AQ$7:$AQ$3006,P2388)))</f>
        <v>ACCEPTÉ</v>
      </c>
      <c r="H2388" s="82" t="str">
        <f aca="false">IF(C2388="","",IF(G2388="ACCEPTÉ","OUI","NON"))</f>
        <v>OUI</v>
      </c>
      <c r="I2388" s="83"/>
      <c r="J2388" s="80"/>
      <c r="K2388" s="81"/>
      <c r="L2388" s="81"/>
      <c r="M2388" s="81"/>
      <c r="N2388" s="84" t="str">
        <f aca="false">IF(C2388="","",IF(P2388="","NJ INCONNU",IF(I2388="",IF(H2388="OUI","À ENROBER",IF(G2388="À SOUDER","NON SOUDÉ","EN ATTENTE RT")),IF(L2388="R","À REPRENDRE",IF(H2388&lt;&gt;"OUI","⚠ ENROBÉ AVANT ACCEPTATION RT","ENROBÉ")))))</f>
        <v>À ENROBER</v>
      </c>
      <c r="O2388" s="80"/>
      <c r="P2388" s="82" t="n">
        <f aca="false">IF(C2388="","",IFERROR(MATCH(Q2388,'CARNET DE SOUDURE'!$AW$7:$AW$3006,0),""))</f>
        <v>2382</v>
      </c>
      <c r="Q2388" s="82" t="str">
        <f aca="false">IF(C2388="","",B2388&amp;"|"&amp;C2388)</f>
        <v>MFD-ISW → MFD-CPF|JN°1904</v>
      </c>
    </row>
    <row r="2389" customFormat="false" ht="74.6" hidden="false" customHeight="false" outlineLevel="0" collapsed="false">
      <c r="A2389" s="82" t="n">
        <f aca="false">IF(C2389="","",ROW()-6)</f>
        <v>2383</v>
      </c>
      <c r="B2389" s="80" t="s">
        <v>110</v>
      </c>
      <c r="C2389" s="113" t="s">
        <v>2898</v>
      </c>
      <c r="D2389" s="82" t="str">
        <f aca="false">IF(OR(C2389="",P2389=""),"",INDEX('CARNET DE SOUDURE'!$D$7:$D$3006,P2389)&amp;"")</f>
        <v>23</v>
      </c>
      <c r="E2389" s="114" t="n">
        <f aca="false">IF(OR(C2389="",P2389=""),"",IF(INDEX('CARNET DE SOUDURE'!$U$7:$U$3006,P2389)="","",INDEX('CARNET DE SOUDURE'!$U$7:$U$3006,P2389)))</f>
        <v>46257</v>
      </c>
      <c r="F2389" s="82" t="str">
        <f aca="false">IF(OR(C2389="",P2389=""),"",INDEX('CARNET DE SOUDURE'!$AP$7:$AP$3006,P2389))</f>
        <v>A</v>
      </c>
      <c r="G2389" s="82" t="str">
        <f aca="false">IF(C2389="","",IF(P2389="","NJ INCONNU",INDEX('CARNET DE SOUDURE'!$AQ$7:$AQ$3006,P2389)))</f>
        <v>ACCEPTÉ</v>
      </c>
      <c r="H2389" s="82" t="str">
        <f aca="false">IF(C2389="","",IF(G2389="ACCEPTÉ","OUI","NON"))</f>
        <v>OUI</v>
      </c>
      <c r="I2389" s="83"/>
      <c r="J2389" s="80"/>
      <c r="K2389" s="81"/>
      <c r="L2389" s="81"/>
      <c r="M2389" s="81"/>
      <c r="N2389" s="84" t="str">
        <f aca="false">IF(C2389="","",IF(P2389="","NJ INCONNU",IF(I2389="",IF(H2389="OUI","À ENROBER",IF(G2389="À SOUDER","NON SOUDÉ","EN ATTENTE RT")),IF(L2389="R","À REPRENDRE",IF(H2389&lt;&gt;"OUI","⚠ ENROBÉ AVANT ACCEPTATION RT","ENROBÉ")))))</f>
        <v>À ENROBER</v>
      </c>
      <c r="O2389" s="80"/>
      <c r="P2389" s="82" t="n">
        <f aca="false">IF(C2389="","",IFERROR(MATCH(Q2389,'CARNET DE SOUDURE'!$AW$7:$AW$3006,0),""))</f>
        <v>2383</v>
      </c>
      <c r="Q2389" s="82" t="str">
        <f aca="false">IF(C2389="","",B2389&amp;"|"&amp;C2389)</f>
        <v>MFD-ISW → MFD-CPF|JN°1905</v>
      </c>
    </row>
    <row r="2390" customFormat="false" ht="74.6" hidden="false" customHeight="false" outlineLevel="0" collapsed="false">
      <c r="A2390" s="82" t="n">
        <f aca="false">IF(C2390="","",ROW()-6)</f>
        <v>2384</v>
      </c>
      <c r="B2390" s="80" t="s">
        <v>110</v>
      </c>
      <c r="C2390" s="113" t="s">
        <v>2899</v>
      </c>
      <c r="D2390" s="82" t="str">
        <f aca="false">IF(OR(C2390="",P2390=""),"",INDEX('CARNET DE SOUDURE'!$D$7:$D$3006,P2390)&amp;"")</f>
        <v>23</v>
      </c>
      <c r="E2390" s="114" t="n">
        <f aca="false">IF(OR(C2390="",P2390=""),"",IF(INDEX('CARNET DE SOUDURE'!$U$7:$U$3006,P2390)="","",INDEX('CARNET DE SOUDURE'!$U$7:$U$3006,P2390)))</f>
        <v>46256</v>
      </c>
      <c r="F2390" s="82" t="str">
        <f aca="false">IF(OR(C2390="",P2390=""),"",INDEX('CARNET DE SOUDURE'!$AP$7:$AP$3006,P2390))</f>
        <v>A</v>
      </c>
      <c r="G2390" s="82" t="str">
        <f aca="false">IF(C2390="","",IF(P2390="","NJ INCONNU",INDEX('CARNET DE SOUDURE'!$AQ$7:$AQ$3006,P2390)))</f>
        <v>ACCEPTÉ</v>
      </c>
      <c r="H2390" s="82" t="str">
        <f aca="false">IF(C2390="","",IF(G2390="ACCEPTÉ","OUI","NON"))</f>
        <v>OUI</v>
      </c>
      <c r="I2390" s="83"/>
      <c r="J2390" s="80"/>
      <c r="K2390" s="81"/>
      <c r="L2390" s="81"/>
      <c r="M2390" s="81"/>
      <c r="N2390" s="84" t="str">
        <f aca="false">IF(C2390="","",IF(P2390="","NJ INCONNU",IF(I2390="",IF(H2390="OUI","À ENROBER",IF(G2390="À SOUDER","NON SOUDÉ","EN ATTENTE RT")),IF(L2390="R","À REPRENDRE",IF(H2390&lt;&gt;"OUI","⚠ ENROBÉ AVANT ACCEPTATION RT","ENROBÉ")))))</f>
        <v>À ENROBER</v>
      </c>
      <c r="O2390" s="80"/>
      <c r="P2390" s="82" t="n">
        <f aca="false">IF(C2390="","",IFERROR(MATCH(Q2390,'CARNET DE SOUDURE'!$AW$7:$AW$3006,0),""))</f>
        <v>2384</v>
      </c>
      <c r="Q2390" s="82" t="str">
        <f aca="false">IF(C2390="","",B2390&amp;"|"&amp;C2390)</f>
        <v>MFD-ISW → MFD-CPF|JN°1906</v>
      </c>
    </row>
    <row r="2391" customFormat="false" ht="74.6" hidden="false" customHeight="false" outlineLevel="0" collapsed="false">
      <c r="A2391" s="82" t="n">
        <f aca="false">IF(C2391="","",ROW()-6)</f>
        <v>2385</v>
      </c>
      <c r="B2391" s="80" t="s">
        <v>110</v>
      </c>
      <c r="C2391" s="113" t="s">
        <v>2902</v>
      </c>
      <c r="D2391" s="82" t="str">
        <f aca="false">IF(OR(C2391="",P2391=""),"",INDEX('CARNET DE SOUDURE'!$D$7:$D$3006,P2391)&amp;"")</f>
        <v>23</v>
      </c>
      <c r="E2391" s="114" t="n">
        <f aca="false">IF(OR(C2391="",P2391=""),"",IF(INDEX('CARNET DE SOUDURE'!$U$7:$U$3006,P2391)="","",INDEX('CARNET DE SOUDURE'!$U$7:$U$3006,P2391)))</f>
        <v>46256</v>
      </c>
      <c r="F2391" s="82" t="str">
        <f aca="false">IF(OR(C2391="",P2391=""),"",INDEX('CARNET DE SOUDURE'!$AP$7:$AP$3006,P2391))</f>
        <v>A</v>
      </c>
      <c r="G2391" s="82" t="str">
        <f aca="false">IF(C2391="","",IF(P2391="","NJ INCONNU",INDEX('CARNET DE SOUDURE'!$AQ$7:$AQ$3006,P2391)))</f>
        <v>ACCEPTÉ</v>
      </c>
      <c r="H2391" s="82" t="str">
        <f aca="false">IF(C2391="","",IF(G2391="ACCEPTÉ","OUI","NON"))</f>
        <v>OUI</v>
      </c>
      <c r="I2391" s="83"/>
      <c r="J2391" s="80"/>
      <c r="K2391" s="81"/>
      <c r="L2391" s="81"/>
      <c r="M2391" s="81"/>
      <c r="N2391" s="84" t="str">
        <f aca="false">IF(C2391="","",IF(P2391="","NJ INCONNU",IF(I2391="",IF(H2391="OUI","À ENROBER",IF(G2391="À SOUDER","NON SOUDÉ","EN ATTENTE RT")),IF(L2391="R","À REPRENDRE",IF(H2391&lt;&gt;"OUI","⚠ ENROBÉ AVANT ACCEPTATION RT","ENROBÉ")))))</f>
        <v>À ENROBER</v>
      </c>
      <c r="O2391" s="80"/>
      <c r="P2391" s="82" t="n">
        <f aca="false">IF(C2391="","",IFERROR(MATCH(Q2391,'CARNET DE SOUDURE'!$AW$7:$AW$3006,0),""))</f>
        <v>2385</v>
      </c>
      <c r="Q2391" s="82" t="str">
        <f aca="false">IF(C2391="","",B2391&amp;"|"&amp;C2391)</f>
        <v>MFD-ISW → MFD-CPF|JN°1907</v>
      </c>
    </row>
    <row r="2392" customFormat="false" ht="74.6" hidden="false" customHeight="false" outlineLevel="0" collapsed="false">
      <c r="A2392" s="82" t="n">
        <f aca="false">IF(C2392="","",ROW()-6)</f>
        <v>2386</v>
      </c>
      <c r="B2392" s="80" t="s">
        <v>110</v>
      </c>
      <c r="C2392" s="113" t="s">
        <v>2903</v>
      </c>
      <c r="D2392" s="82" t="str">
        <f aca="false">IF(OR(C2392="",P2392=""),"",INDEX('CARNET DE SOUDURE'!$D$7:$D$3006,P2392)&amp;"")</f>
        <v>23</v>
      </c>
      <c r="E2392" s="114" t="n">
        <f aca="false">IF(OR(C2392="",P2392=""),"",IF(INDEX('CARNET DE SOUDURE'!$U$7:$U$3006,P2392)="","",INDEX('CARNET DE SOUDURE'!$U$7:$U$3006,P2392)))</f>
        <v>46256</v>
      </c>
      <c r="F2392" s="82" t="str">
        <f aca="false">IF(OR(C2392="",P2392=""),"",INDEX('CARNET DE SOUDURE'!$AP$7:$AP$3006,P2392))</f>
        <v>A</v>
      </c>
      <c r="G2392" s="82" t="str">
        <f aca="false">IF(C2392="","",IF(P2392="","NJ INCONNU",INDEX('CARNET DE SOUDURE'!$AQ$7:$AQ$3006,P2392)))</f>
        <v>ACCEPTÉ</v>
      </c>
      <c r="H2392" s="82" t="str">
        <f aca="false">IF(C2392="","",IF(G2392="ACCEPTÉ","OUI","NON"))</f>
        <v>OUI</v>
      </c>
      <c r="I2392" s="83"/>
      <c r="J2392" s="80"/>
      <c r="K2392" s="81"/>
      <c r="L2392" s="81"/>
      <c r="M2392" s="81"/>
      <c r="N2392" s="84" t="str">
        <f aca="false">IF(C2392="","",IF(P2392="","NJ INCONNU",IF(I2392="",IF(H2392="OUI","À ENROBER",IF(G2392="À SOUDER","NON SOUDÉ","EN ATTENTE RT")),IF(L2392="R","À REPRENDRE",IF(H2392&lt;&gt;"OUI","⚠ ENROBÉ AVANT ACCEPTATION RT","ENROBÉ")))))</f>
        <v>À ENROBER</v>
      </c>
      <c r="O2392" s="80"/>
      <c r="P2392" s="82" t="n">
        <f aca="false">IF(C2392="","",IFERROR(MATCH(Q2392,'CARNET DE SOUDURE'!$AW$7:$AW$3006,0),""))</f>
        <v>2386</v>
      </c>
      <c r="Q2392" s="82" t="str">
        <f aca="false">IF(C2392="","",B2392&amp;"|"&amp;C2392)</f>
        <v>MFD-ISW → MFD-CPF|JN°1908</v>
      </c>
    </row>
    <row r="2393" customFormat="false" ht="74.6" hidden="false" customHeight="false" outlineLevel="0" collapsed="false">
      <c r="A2393" s="82" t="n">
        <f aca="false">IF(C2393="","",ROW()-6)</f>
        <v>2387</v>
      </c>
      <c r="B2393" s="80" t="s">
        <v>110</v>
      </c>
      <c r="C2393" s="113" t="s">
        <v>2905</v>
      </c>
      <c r="D2393" s="82" t="str">
        <f aca="false">IF(OR(C2393="",P2393=""),"",INDEX('CARNET DE SOUDURE'!$D$7:$D$3006,P2393)&amp;"")</f>
        <v>23</v>
      </c>
      <c r="E2393" s="114" t="n">
        <f aca="false">IF(OR(C2393="",P2393=""),"",IF(INDEX('CARNET DE SOUDURE'!$U$7:$U$3006,P2393)="","",INDEX('CARNET DE SOUDURE'!$U$7:$U$3006,P2393)))</f>
        <v>46256</v>
      </c>
      <c r="F2393" s="82" t="str">
        <f aca="false">IF(OR(C2393="",P2393=""),"",INDEX('CARNET DE SOUDURE'!$AP$7:$AP$3006,P2393))</f>
        <v>A</v>
      </c>
      <c r="G2393" s="82" t="str">
        <f aca="false">IF(C2393="","",IF(P2393="","NJ INCONNU",INDEX('CARNET DE SOUDURE'!$AQ$7:$AQ$3006,P2393)))</f>
        <v>ACCEPTÉ</v>
      </c>
      <c r="H2393" s="82" t="str">
        <f aca="false">IF(C2393="","",IF(G2393="ACCEPTÉ","OUI","NON"))</f>
        <v>OUI</v>
      </c>
      <c r="I2393" s="83"/>
      <c r="J2393" s="80"/>
      <c r="K2393" s="81"/>
      <c r="L2393" s="81"/>
      <c r="M2393" s="81"/>
      <c r="N2393" s="84" t="str">
        <f aca="false">IF(C2393="","",IF(P2393="","NJ INCONNU",IF(I2393="",IF(H2393="OUI","À ENROBER",IF(G2393="À SOUDER","NON SOUDÉ","EN ATTENTE RT")),IF(L2393="R","À REPRENDRE",IF(H2393&lt;&gt;"OUI","⚠ ENROBÉ AVANT ACCEPTATION RT","ENROBÉ")))))</f>
        <v>À ENROBER</v>
      </c>
      <c r="O2393" s="80"/>
      <c r="P2393" s="82" t="n">
        <f aca="false">IF(C2393="","",IFERROR(MATCH(Q2393,'CARNET DE SOUDURE'!$AW$7:$AW$3006,0),""))</f>
        <v>2387</v>
      </c>
      <c r="Q2393" s="82" t="str">
        <f aca="false">IF(C2393="","",B2393&amp;"|"&amp;C2393)</f>
        <v>MFD-ISW → MFD-CPF|JN°1909</v>
      </c>
    </row>
    <row r="2394" customFormat="false" ht="74.6" hidden="false" customHeight="false" outlineLevel="0" collapsed="false">
      <c r="A2394" s="82" t="n">
        <f aca="false">IF(C2394="","",ROW()-6)</f>
        <v>2388</v>
      </c>
      <c r="B2394" s="80" t="s">
        <v>110</v>
      </c>
      <c r="C2394" s="113" t="s">
        <v>2906</v>
      </c>
      <c r="D2394" s="82" t="str">
        <f aca="false">IF(OR(C2394="",P2394=""),"",INDEX('CARNET DE SOUDURE'!$D$7:$D$3006,P2394)&amp;"")</f>
        <v>23</v>
      </c>
      <c r="E2394" s="114" t="n">
        <f aca="false">IF(OR(C2394="",P2394=""),"",IF(INDEX('CARNET DE SOUDURE'!$U$7:$U$3006,P2394)="","",INDEX('CARNET DE SOUDURE'!$U$7:$U$3006,P2394)))</f>
        <v>46256</v>
      </c>
      <c r="F2394" s="82" t="str">
        <f aca="false">IF(OR(C2394="",P2394=""),"",INDEX('CARNET DE SOUDURE'!$AP$7:$AP$3006,P2394))</f>
        <v>A</v>
      </c>
      <c r="G2394" s="82" t="str">
        <f aca="false">IF(C2394="","",IF(P2394="","NJ INCONNU",INDEX('CARNET DE SOUDURE'!$AQ$7:$AQ$3006,P2394)))</f>
        <v>ACCEPTÉ</v>
      </c>
      <c r="H2394" s="82" t="str">
        <f aca="false">IF(C2394="","",IF(G2394="ACCEPTÉ","OUI","NON"))</f>
        <v>OUI</v>
      </c>
      <c r="I2394" s="83"/>
      <c r="J2394" s="80"/>
      <c r="K2394" s="81"/>
      <c r="L2394" s="81"/>
      <c r="M2394" s="81"/>
      <c r="N2394" s="84" t="str">
        <f aca="false">IF(C2394="","",IF(P2394="","NJ INCONNU",IF(I2394="",IF(H2394="OUI","À ENROBER",IF(G2394="À SOUDER","NON SOUDÉ","EN ATTENTE RT")),IF(L2394="R","À REPRENDRE",IF(H2394&lt;&gt;"OUI","⚠ ENROBÉ AVANT ACCEPTATION RT","ENROBÉ")))))</f>
        <v>À ENROBER</v>
      </c>
      <c r="O2394" s="80"/>
      <c r="P2394" s="82" t="n">
        <f aca="false">IF(C2394="","",IFERROR(MATCH(Q2394,'CARNET DE SOUDURE'!$AW$7:$AW$3006,0),""))</f>
        <v>2388</v>
      </c>
      <c r="Q2394" s="82" t="str">
        <f aca="false">IF(C2394="","",B2394&amp;"|"&amp;C2394)</f>
        <v>MFD-ISW → MFD-CPF|JN°1910</v>
      </c>
    </row>
    <row r="2395" customFormat="false" ht="74.6" hidden="false" customHeight="false" outlineLevel="0" collapsed="false">
      <c r="A2395" s="82" t="n">
        <f aca="false">IF(C2395="","",ROW()-6)</f>
        <v>2389</v>
      </c>
      <c r="B2395" s="80" t="s">
        <v>110</v>
      </c>
      <c r="C2395" s="113" t="s">
        <v>2907</v>
      </c>
      <c r="D2395" s="82" t="str">
        <f aca="false">IF(OR(C2395="",P2395=""),"",INDEX('CARNET DE SOUDURE'!$D$7:$D$3006,P2395)&amp;"")</f>
        <v>23</v>
      </c>
      <c r="E2395" s="114" t="n">
        <f aca="false">IF(OR(C2395="",P2395=""),"",IF(INDEX('CARNET DE SOUDURE'!$U$7:$U$3006,P2395)="","",INDEX('CARNET DE SOUDURE'!$U$7:$U$3006,P2395)))</f>
        <v>46256</v>
      </c>
      <c r="F2395" s="82" t="str">
        <f aca="false">IF(OR(C2395="",P2395=""),"",INDEX('CARNET DE SOUDURE'!$AP$7:$AP$3006,P2395))</f>
        <v>A</v>
      </c>
      <c r="G2395" s="82" t="str">
        <f aca="false">IF(C2395="","",IF(P2395="","NJ INCONNU",INDEX('CARNET DE SOUDURE'!$AQ$7:$AQ$3006,P2395)))</f>
        <v>ACCEPTÉ</v>
      </c>
      <c r="H2395" s="82" t="str">
        <f aca="false">IF(C2395="","",IF(G2395="ACCEPTÉ","OUI","NON"))</f>
        <v>OUI</v>
      </c>
      <c r="I2395" s="83"/>
      <c r="J2395" s="80"/>
      <c r="K2395" s="81"/>
      <c r="L2395" s="81"/>
      <c r="M2395" s="81"/>
      <c r="N2395" s="84" t="str">
        <f aca="false">IF(C2395="","",IF(P2395="","NJ INCONNU",IF(I2395="",IF(H2395="OUI","À ENROBER",IF(G2395="À SOUDER","NON SOUDÉ","EN ATTENTE RT")),IF(L2395="R","À REPRENDRE",IF(H2395&lt;&gt;"OUI","⚠ ENROBÉ AVANT ACCEPTATION RT","ENROBÉ")))))</f>
        <v>À ENROBER</v>
      </c>
      <c r="O2395" s="80"/>
      <c r="P2395" s="82" t="n">
        <f aca="false">IF(C2395="","",IFERROR(MATCH(Q2395,'CARNET DE SOUDURE'!$AW$7:$AW$3006,0),""))</f>
        <v>2389</v>
      </c>
      <c r="Q2395" s="82" t="str">
        <f aca="false">IF(C2395="","",B2395&amp;"|"&amp;C2395)</f>
        <v>MFD-ISW → MFD-CPF|JN°1911</v>
      </c>
    </row>
    <row r="2396" customFormat="false" ht="74.6" hidden="false" customHeight="false" outlineLevel="0" collapsed="false">
      <c r="A2396" s="82" t="n">
        <f aca="false">IF(C2396="","",ROW()-6)</f>
        <v>2390</v>
      </c>
      <c r="B2396" s="80" t="s">
        <v>110</v>
      </c>
      <c r="C2396" s="113" t="s">
        <v>2908</v>
      </c>
      <c r="D2396" s="82" t="str">
        <f aca="false">IF(OR(C2396="",P2396=""),"",INDEX('CARNET DE SOUDURE'!$D$7:$D$3006,P2396)&amp;"")</f>
        <v>23</v>
      </c>
      <c r="E2396" s="114" t="n">
        <f aca="false">IF(OR(C2396="",P2396=""),"",IF(INDEX('CARNET DE SOUDURE'!$U$7:$U$3006,P2396)="","",INDEX('CARNET DE SOUDURE'!$U$7:$U$3006,P2396)))</f>
        <v>46256</v>
      </c>
      <c r="F2396" s="82" t="str">
        <f aca="false">IF(OR(C2396="",P2396=""),"",INDEX('CARNET DE SOUDURE'!$AP$7:$AP$3006,P2396))</f>
        <v>A</v>
      </c>
      <c r="G2396" s="82" t="str">
        <f aca="false">IF(C2396="","",IF(P2396="","NJ INCONNU",INDEX('CARNET DE SOUDURE'!$AQ$7:$AQ$3006,P2396)))</f>
        <v>ACCEPTÉ</v>
      </c>
      <c r="H2396" s="82" t="str">
        <f aca="false">IF(C2396="","",IF(G2396="ACCEPTÉ","OUI","NON"))</f>
        <v>OUI</v>
      </c>
      <c r="I2396" s="83"/>
      <c r="J2396" s="80"/>
      <c r="K2396" s="81"/>
      <c r="L2396" s="81"/>
      <c r="M2396" s="81"/>
      <c r="N2396" s="84" t="str">
        <f aca="false">IF(C2396="","",IF(P2396="","NJ INCONNU",IF(I2396="",IF(H2396="OUI","À ENROBER",IF(G2396="À SOUDER","NON SOUDÉ","EN ATTENTE RT")),IF(L2396="R","À REPRENDRE",IF(H2396&lt;&gt;"OUI","⚠ ENROBÉ AVANT ACCEPTATION RT","ENROBÉ")))))</f>
        <v>À ENROBER</v>
      </c>
      <c r="O2396" s="80"/>
      <c r="P2396" s="82" t="n">
        <f aca="false">IF(C2396="","",IFERROR(MATCH(Q2396,'CARNET DE SOUDURE'!$AW$7:$AW$3006,0),""))</f>
        <v>2390</v>
      </c>
      <c r="Q2396" s="82" t="str">
        <f aca="false">IF(C2396="","",B2396&amp;"|"&amp;C2396)</f>
        <v>MFD-ISW → MFD-CPF|JN°1912</v>
      </c>
    </row>
    <row r="2397" customFormat="false" ht="74.6" hidden="false" customHeight="false" outlineLevel="0" collapsed="false">
      <c r="A2397" s="82" t="n">
        <f aca="false">IF(C2397="","",ROW()-6)</f>
        <v>2391</v>
      </c>
      <c r="B2397" s="80" t="s">
        <v>110</v>
      </c>
      <c r="C2397" s="113" t="s">
        <v>2909</v>
      </c>
      <c r="D2397" s="82" t="str">
        <f aca="false">IF(OR(C2397="",P2397=""),"",INDEX('CARNET DE SOUDURE'!$D$7:$D$3006,P2397)&amp;"")</f>
        <v>23</v>
      </c>
      <c r="E2397" s="114" t="n">
        <f aca="false">IF(OR(C2397="",P2397=""),"",IF(INDEX('CARNET DE SOUDURE'!$U$7:$U$3006,P2397)="","",INDEX('CARNET DE SOUDURE'!$U$7:$U$3006,P2397)))</f>
        <v>46256</v>
      </c>
      <c r="F2397" s="82" t="str">
        <f aca="false">IF(OR(C2397="",P2397=""),"",INDEX('CARNET DE SOUDURE'!$AP$7:$AP$3006,P2397))</f>
        <v>A</v>
      </c>
      <c r="G2397" s="82" t="str">
        <f aca="false">IF(C2397="","",IF(P2397="","NJ INCONNU",INDEX('CARNET DE SOUDURE'!$AQ$7:$AQ$3006,P2397)))</f>
        <v>ACCEPTÉ</v>
      </c>
      <c r="H2397" s="82" t="str">
        <f aca="false">IF(C2397="","",IF(G2397="ACCEPTÉ","OUI","NON"))</f>
        <v>OUI</v>
      </c>
      <c r="I2397" s="83"/>
      <c r="J2397" s="80"/>
      <c r="K2397" s="81"/>
      <c r="L2397" s="81"/>
      <c r="M2397" s="81"/>
      <c r="N2397" s="84" t="str">
        <f aca="false">IF(C2397="","",IF(P2397="","NJ INCONNU",IF(I2397="",IF(H2397="OUI","À ENROBER",IF(G2397="À SOUDER","NON SOUDÉ","EN ATTENTE RT")),IF(L2397="R","À REPRENDRE",IF(H2397&lt;&gt;"OUI","⚠ ENROBÉ AVANT ACCEPTATION RT","ENROBÉ")))))</f>
        <v>À ENROBER</v>
      </c>
      <c r="O2397" s="80"/>
      <c r="P2397" s="82" t="n">
        <f aca="false">IF(C2397="","",IFERROR(MATCH(Q2397,'CARNET DE SOUDURE'!$AW$7:$AW$3006,0),""))</f>
        <v>2391</v>
      </c>
      <c r="Q2397" s="82" t="str">
        <f aca="false">IF(C2397="","",B2397&amp;"|"&amp;C2397)</f>
        <v>MFD-ISW → MFD-CPF|JN°1913</v>
      </c>
    </row>
    <row r="2398" customFormat="false" ht="74.6" hidden="false" customHeight="false" outlineLevel="0" collapsed="false">
      <c r="A2398" s="82" t="n">
        <f aca="false">IF(C2398="","",ROW()-6)</f>
        <v>2392</v>
      </c>
      <c r="B2398" s="80" t="s">
        <v>110</v>
      </c>
      <c r="C2398" s="113" t="s">
        <v>2910</v>
      </c>
      <c r="D2398" s="82" t="str">
        <f aca="false">IF(OR(C2398="",P2398=""),"",INDEX('CARNET DE SOUDURE'!$D$7:$D$3006,P2398)&amp;"")</f>
        <v>23</v>
      </c>
      <c r="E2398" s="114" t="n">
        <f aca="false">IF(OR(C2398="",P2398=""),"",IF(INDEX('CARNET DE SOUDURE'!$U$7:$U$3006,P2398)="","",INDEX('CARNET DE SOUDURE'!$U$7:$U$3006,P2398)))</f>
        <v>46256</v>
      </c>
      <c r="F2398" s="82" t="str">
        <f aca="false">IF(OR(C2398="",P2398=""),"",INDEX('CARNET DE SOUDURE'!$AP$7:$AP$3006,P2398))</f>
        <v>A</v>
      </c>
      <c r="G2398" s="82" t="str">
        <f aca="false">IF(C2398="","",IF(P2398="","NJ INCONNU",INDEX('CARNET DE SOUDURE'!$AQ$7:$AQ$3006,P2398)))</f>
        <v>ACCEPTÉ</v>
      </c>
      <c r="H2398" s="82" t="str">
        <f aca="false">IF(C2398="","",IF(G2398="ACCEPTÉ","OUI","NON"))</f>
        <v>OUI</v>
      </c>
      <c r="I2398" s="83"/>
      <c r="J2398" s="80"/>
      <c r="K2398" s="81"/>
      <c r="L2398" s="81"/>
      <c r="M2398" s="81"/>
      <c r="N2398" s="84" t="str">
        <f aca="false">IF(C2398="","",IF(P2398="","NJ INCONNU",IF(I2398="",IF(H2398="OUI","À ENROBER",IF(G2398="À SOUDER","NON SOUDÉ","EN ATTENTE RT")),IF(L2398="R","À REPRENDRE",IF(H2398&lt;&gt;"OUI","⚠ ENROBÉ AVANT ACCEPTATION RT","ENROBÉ")))))</f>
        <v>À ENROBER</v>
      </c>
      <c r="O2398" s="80"/>
      <c r="P2398" s="82" t="n">
        <f aca="false">IF(C2398="","",IFERROR(MATCH(Q2398,'CARNET DE SOUDURE'!$AW$7:$AW$3006,0),""))</f>
        <v>2392</v>
      </c>
      <c r="Q2398" s="82" t="str">
        <f aca="false">IF(C2398="","",B2398&amp;"|"&amp;C2398)</f>
        <v>MFD-ISW → MFD-CPF|JN°1914</v>
      </c>
    </row>
    <row r="2399" customFormat="false" ht="74.6" hidden="false" customHeight="false" outlineLevel="0" collapsed="false">
      <c r="A2399" s="82" t="n">
        <f aca="false">IF(C2399="","",ROW()-6)</f>
        <v>2393</v>
      </c>
      <c r="B2399" s="80" t="s">
        <v>110</v>
      </c>
      <c r="C2399" s="113" t="s">
        <v>2911</v>
      </c>
      <c r="D2399" s="82" t="str">
        <f aca="false">IF(OR(C2399="",P2399=""),"",INDEX('CARNET DE SOUDURE'!$D$7:$D$3006,P2399)&amp;"")</f>
        <v>23</v>
      </c>
      <c r="E2399" s="114" t="n">
        <f aca="false">IF(OR(C2399="",P2399=""),"",IF(INDEX('CARNET DE SOUDURE'!$U$7:$U$3006,P2399)="","",INDEX('CARNET DE SOUDURE'!$U$7:$U$3006,P2399)))</f>
        <v>46256</v>
      </c>
      <c r="F2399" s="82" t="str">
        <f aca="false">IF(OR(C2399="",P2399=""),"",INDEX('CARNET DE SOUDURE'!$AP$7:$AP$3006,P2399))</f>
        <v>A</v>
      </c>
      <c r="G2399" s="82" t="str">
        <f aca="false">IF(C2399="","",IF(P2399="","NJ INCONNU",INDEX('CARNET DE SOUDURE'!$AQ$7:$AQ$3006,P2399)))</f>
        <v>ACCEPTÉ</v>
      </c>
      <c r="H2399" s="82" t="str">
        <f aca="false">IF(C2399="","",IF(G2399="ACCEPTÉ","OUI","NON"))</f>
        <v>OUI</v>
      </c>
      <c r="I2399" s="83"/>
      <c r="J2399" s="80"/>
      <c r="K2399" s="81"/>
      <c r="L2399" s="81"/>
      <c r="M2399" s="81"/>
      <c r="N2399" s="84" t="str">
        <f aca="false">IF(C2399="","",IF(P2399="","NJ INCONNU",IF(I2399="",IF(H2399="OUI","À ENROBER",IF(G2399="À SOUDER","NON SOUDÉ","EN ATTENTE RT")),IF(L2399="R","À REPRENDRE",IF(H2399&lt;&gt;"OUI","⚠ ENROBÉ AVANT ACCEPTATION RT","ENROBÉ")))))</f>
        <v>À ENROBER</v>
      </c>
      <c r="O2399" s="80"/>
      <c r="P2399" s="82" t="n">
        <f aca="false">IF(C2399="","",IFERROR(MATCH(Q2399,'CARNET DE SOUDURE'!$AW$7:$AW$3006,0),""))</f>
        <v>2393</v>
      </c>
      <c r="Q2399" s="82" t="str">
        <f aca="false">IF(C2399="","",B2399&amp;"|"&amp;C2399)</f>
        <v>MFD-ISW → MFD-CPF|JN°1915</v>
      </c>
    </row>
    <row r="2400" customFormat="false" ht="74.6" hidden="false" customHeight="false" outlineLevel="0" collapsed="false">
      <c r="A2400" s="82" t="n">
        <f aca="false">IF(C2400="","",ROW()-6)</f>
        <v>2394</v>
      </c>
      <c r="B2400" s="80" t="s">
        <v>110</v>
      </c>
      <c r="C2400" s="113" t="s">
        <v>2912</v>
      </c>
      <c r="D2400" s="82" t="str">
        <f aca="false">IF(OR(C2400="",P2400=""),"",INDEX('CARNET DE SOUDURE'!$D$7:$D$3006,P2400)&amp;"")</f>
        <v>23</v>
      </c>
      <c r="E2400" s="114" t="n">
        <f aca="false">IF(OR(C2400="",P2400=""),"",IF(INDEX('CARNET DE SOUDURE'!$U$7:$U$3006,P2400)="","",INDEX('CARNET DE SOUDURE'!$U$7:$U$3006,P2400)))</f>
        <v>46256</v>
      </c>
      <c r="F2400" s="82" t="str">
        <f aca="false">IF(OR(C2400="",P2400=""),"",INDEX('CARNET DE SOUDURE'!$AP$7:$AP$3006,P2400))</f>
        <v>A</v>
      </c>
      <c r="G2400" s="82" t="str">
        <f aca="false">IF(C2400="","",IF(P2400="","NJ INCONNU",INDEX('CARNET DE SOUDURE'!$AQ$7:$AQ$3006,P2400)))</f>
        <v>ACCEPTÉ</v>
      </c>
      <c r="H2400" s="82" t="str">
        <f aca="false">IF(C2400="","",IF(G2400="ACCEPTÉ","OUI","NON"))</f>
        <v>OUI</v>
      </c>
      <c r="I2400" s="83"/>
      <c r="J2400" s="80"/>
      <c r="K2400" s="81"/>
      <c r="L2400" s="81"/>
      <c r="M2400" s="81"/>
      <c r="N2400" s="84" t="str">
        <f aca="false">IF(C2400="","",IF(P2400="","NJ INCONNU",IF(I2400="",IF(H2400="OUI","À ENROBER",IF(G2400="À SOUDER","NON SOUDÉ","EN ATTENTE RT")),IF(L2400="R","À REPRENDRE",IF(H2400&lt;&gt;"OUI","⚠ ENROBÉ AVANT ACCEPTATION RT","ENROBÉ")))))</f>
        <v>À ENROBER</v>
      </c>
      <c r="O2400" s="80"/>
      <c r="P2400" s="82" t="n">
        <f aca="false">IF(C2400="","",IFERROR(MATCH(Q2400,'CARNET DE SOUDURE'!$AW$7:$AW$3006,0),""))</f>
        <v>2394</v>
      </c>
      <c r="Q2400" s="82" t="str">
        <f aca="false">IF(C2400="","",B2400&amp;"|"&amp;C2400)</f>
        <v>MFD-ISW → MFD-CPF|JN°1916</v>
      </c>
    </row>
    <row r="2401" customFormat="false" ht="74.6" hidden="false" customHeight="false" outlineLevel="0" collapsed="false">
      <c r="A2401" s="82" t="n">
        <f aca="false">IF(C2401="","",ROW()-6)</f>
        <v>2395</v>
      </c>
      <c r="B2401" s="80" t="s">
        <v>110</v>
      </c>
      <c r="C2401" s="113" t="s">
        <v>2913</v>
      </c>
      <c r="D2401" s="82" t="str">
        <f aca="false">IF(OR(C2401="",P2401=""),"",INDEX('CARNET DE SOUDURE'!$D$7:$D$3006,P2401)&amp;"")</f>
        <v>23</v>
      </c>
      <c r="E2401" s="114" t="n">
        <f aca="false">IF(OR(C2401="",P2401=""),"",IF(INDEX('CARNET DE SOUDURE'!$U$7:$U$3006,P2401)="","",INDEX('CARNET DE SOUDURE'!$U$7:$U$3006,P2401)))</f>
        <v>46256</v>
      </c>
      <c r="F2401" s="82" t="str">
        <f aca="false">IF(OR(C2401="",P2401=""),"",INDEX('CARNET DE SOUDURE'!$AP$7:$AP$3006,P2401))</f>
        <v>A</v>
      </c>
      <c r="G2401" s="82" t="str">
        <f aca="false">IF(C2401="","",IF(P2401="","NJ INCONNU",INDEX('CARNET DE SOUDURE'!$AQ$7:$AQ$3006,P2401)))</f>
        <v>ACCEPTÉ</v>
      </c>
      <c r="H2401" s="82" t="str">
        <f aca="false">IF(C2401="","",IF(G2401="ACCEPTÉ","OUI","NON"))</f>
        <v>OUI</v>
      </c>
      <c r="I2401" s="83"/>
      <c r="J2401" s="80"/>
      <c r="K2401" s="81"/>
      <c r="L2401" s="81"/>
      <c r="M2401" s="81"/>
      <c r="N2401" s="84" t="str">
        <f aca="false">IF(C2401="","",IF(P2401="","NJ INCONNU",IF(I2401="",IF(H2401="OUI","À ENROBER",IF(G2401="À SOUDER","NON SOUDÉ","EN ATTENTE RT")),IF(L2401="R","À REPRENDRE",IF(H2401&lt;&gt;"OUI","⚠ ENROBÉ AVANT ACCEPTATION RT","ENROBÉ")))))</f>
        <v>À ENROBER</v>
      </c>
      <c r="O2401" s="80"/>
      <c r="P2401" s="82" t="n">
        <f aca="false">IF(C2401="","",IFERROR(MATCH(Q2401,'CARNET DE SOUDURE'!$AW$7:$AW$3006,0),""))</f>
        <v>2395</v>
      </c>
      <c r="Q2401" s="82" t="str">
        <f aca="false">IF(C2401="","",B2401&amp;"|"&amp;C2401)</f>
        <v>MFD-ISW → MFD-CPF|JN°1917</v>
      </c>
    </row>
    <row r="2402" customFormat="false" ht="74.6" hidden="false" customHeight="false" outlineLevel="0" collapsed="false">
      <c r="A2402" s="82" t="n">
        <f aca="false">IF(C2402="","",ROW()-6)</f>
        <v>2396</v>
      </c>
      <c r="B2402" s="80" t="s">
        <v>110</v>
      </c>
      <c r="C2402" s="113" t="s">
        <v>2914</v>
      </c>
      <c r="D2402" s="82" t="str">
        <f aca="false">IF(OR(C2402="",P2402=""),"",INDEX('CARNET DE SOUDURE'!$D$7:$D$3006,P2402)&amp;"")</f>
        <v>23</v>
      </c>
      <c r="E2402" s="114" t="n">
        <f aca="false">IF(OR(C2402="",P2402=""),"",IF(INDEX('CARNET DE SOUDURE'!$U$7:$U$3006,P2402)="","",INDEX('CARNET DE SOUDURE'!$U$7:$U$3006,P2402)))</f>
        <v>46256</v>
      </c>
      <c r="F2402" s="82" t="str">
        <f aca="false">IF(OR(C2402="",P2402=""),"",INDEX('CARNET DE SOUDURE'!$AP$7:$AP$3006,P2402))</f>
        <v>A</v>
      </c>
      <c r="G2402" s="82" t="str">
        <f aca="false">IF(C2402="","",IF(P2402="","NJ INCONNU",INDEX('CARNET DE SOUDURE'!$AQ$7:$AQ$3006,P2402)))</f>
        <v>ACCEPTÉ</v>
      </c>
      <c r="H2402" s="82" t="str">
        <f aca="false">IF(C2402="","",IF(G2402="ACCEPTÉ","OUI","NON"))</f>
        <v>OUI</v>
      </c>
      <c r="I2402" s="83"/>
      <c r="J2402" s="80"/>
      <c r="K2402" s="81"/>
      <c r="L2402" s="81"/>
      <c r="M2402" s="81"/>
      <c r="N2402" s="84" t="str">
        <f aca="false">IF(C2402="","",IF(P2402="","NJ INCONNU",IF(I2402="",IF(H2402="OUI","À ENROBER",IF(G2402="À SOUDER","NON SOUDÉ","EN ATTENTE RT")),IF(L2402="R","À REPRENDRE",IF(H2402&lt;&gt;"OUI","⚠ ENROBÉ AVANT ACCEPTATION RT","ENROBÉ")))))</f>
        <v>À ENROBER</v>
      </c>
      <c r="O2402" s="80"/>
      <c r="P2402" s="82" t="n">
        <f aca="false">IF(C2402="","",IFERROR(MATCH(Q2402,'CARNET DE SOUDURE'!$AW$7:$AW$3006,0),""))</f>
        <v>2396</v>
      </c>
      <c r="Q2402" s="82" t="str">
        <f aca="false">IF(C2402="","",B2402&amp;"|"&amp;C2402)</f>
        <v>MFD-ISW → MFD-CPF|JN°1918</v>
      </c>
    </row>
    <row r="2403" customFormat="false" ht="74.6" hidden="false" customHeight="false" outlineLevel="0" collapsed="false">
      <c r="A2403" s="82" t="n">
        <f aca="false">IF(C2403="","",ROW()-6)</f>
        <v>2397</v>
      </c>
      <c r="B2403" s="80" t="s">
        <v>110</v>
      </c>
      <c r="C2403" s="113" t="s">
        <v>2915</v>
      </c>
      <c r="D2403" s="82" t="str">
        <f aca="false">IF(OR(C2403="",P2403=""),"",INDEX('CARNET DE SOUDURE'!$D$7:$D$3006,P2403)&amp;"")</f>
        <v>23</v>
      </c>
      <c r="E2403" s="114" t="n">
        <f aca="false">IF(OR(C2403="",P2403=""),"",IF(INDEX('CARNET DE SOUDURE'!$U$7:$U$3006,P2403)="","",INDEX('CARNET DE SOUDURE'!$U$7:$U$3006,P2403)))</f>
        <v>46256</v>
      </c>
      <c r="F2403" s="82" t="str">
        <f aca="false">IF(OR(C2403="",P2403=""),"",INDEX('CARNET DE SOUDURE'!$AP$7:$AP$3006,P2403))</f>
        <v>A</v>
      </c>
      <c r="G2403" s="82" t="str">
        <f aca="false">IF(C2403="","",IF(P2403="","NJ INCONNU",INDEX('CARNET DE SOUDURE'!$AQ$7:$AQ$3006,P2403)))</f>
        <v>ACCEPTÉ</v>
      </c>
      <c r="H2403" s="82" t="str">
        <f aca="false">IF(C2403="","",IF(G2403="ACCEPTÉ","OUI","NON"))</f>
        <v>OUI</v>
      </c>
      <c r="I2403" s="83"/>
      <c r="J2403" s="80"/>
      <c r="K2403" s="81"/>
      <c r="L2403" s="81"/>
      <c r="M2403" s="81"/>
      <c r="N2403" s="84" t="str">
        <f aca="false">IF(C2403="","",IF(P2403="","NJ INCONNU",IF(I2403="",IF(H2403="OUI","À ENROBER",IF(G2403="À SOUDER","NON SOUDÉ","EN ATTENTE RT")),IF(L2403="R","À REPRENDRE",IF(H2403&lt;&gt;"OUI","⚠ ENROBÉ AVANT ACCEPTATION RT","ENROBÉ")))))</f>
        <v>À ENROBER</v>
      </c>
      <c r="O2403" s="80"/>
      <c r="P2403" s="82" t="n">
        <f aca="false">IF(C2403="","",IFERROR(MATCH(Q2403,'CARNET DE SOUDURE'!$AW$7:$AW$3006,0),""))</f>
        <v>2397</v>
      </c>
      <c r="Q2403" s="82" t="str">
        <f aca="false">IF(C2403="","",B2403&amp;"|"&amp;C2403)</f>
        <v>MFD-ISW → MFD-CPF|JN°1919</v>
      </c>
    </row>
    <row r="2404" customFormat="false" ht="74.6" hidden="false" customHeight="false" outlineLevel="0" collapsed="false">
      <c r="A2404" s="82" t="n">
        <f aca="false">IF(C2404="","",ROW()-6)</f>
        <v>2398</v>
      </c>
      <c r="B2404" s="80" t="s">
        <v>110</v>
      </c>
      <c r="C2404" s="113" t="s">
        <v>2916</v>
      </c>
      <c r="D2404" s="82" t="str">
        <f aca="false">IF(OR(C2404="",P2404=""),"",INDEX('CARNET DE SOUDURE'!$D$7:$D$3006,P2404)&amp;"")</f>
        <v>23</v>
      </c>
      <c r="E2404" s="114" t="n">
        <f aca="false">IF(OR(C2404="",P2404=""),"",IF(INDEX('CARNET DE SOUDURE'!$U$7:$U$3006,P2404)="","",INDEX('CARNET DE SOUDURE'!$U$7:$U$3006,P2404)))</f>
        <v>46255</v>
      </c>
      <c r="F2404" s="82" t="str">
        <f aca="false">IF(OR(C2404="",P2404=""),"",INDEX('CARNET DE SOUDURE'!$AP$7:$AP$3006,P2404))</f>
        <v>A</v>
      </c>
      <c r="G2404" s="82" t="str">
        <f aca="false">IF(C2404="","",IF(P2404="","NJ INCONNU",INDEX('CARNET DE SOUDURE'!$AQ$7:$AQ$3006,P2404)))</f>
        <v>ACCEPTÉ</v>
      </c>
      <c r="H2404" s="82" t="str">
        <f aca="false">IF(C2404="","",IF(G2404="ACCEPTÉ","OUI","NON"))</f>
        <v>OUI</v>
      </c>
      <c r="I2404" s="83"/>
      <c r="J2404" s="80"/>
      <c r="K2404" s="81"/>
      <c r="L2404" s="81"/>
      <c r="M2404" s="81"/>
      <c r="N2404" s="84" t="str">
        <f aca="false">IF(C2404="","",IF(P2404="","NJ INCONNU",IF(I2404="",IF(H2404="OUI","À ENROBER",IF(G2404="À SOUDER","NON SOUDÉ","EN ATTENTE RT")),IF(L2404="R","À REPRENDRE",IF(H2404&lt;&gt;"OUI","⚠ ENROBÉ AVANT ACCEPTATION RT","ENROBÉ")))))</f>
        <v>À ENROBER</v>
      </c>
      <c r="O2404" s="80"/>
      <c r="P2404" s="82" t="n">
        <f aca="false">IF(C2404="","",IFERROR(MATCH(Q2404,'CARNET DE SOUDURE'!$AW$7:$AW$3006,0),""))</f>
        <v>2398</v>
      </c>
      <c r="Q2404" s="82" t="str">
        <f aca="false">IF(C2404="","",B2404&amp;"|"&amp;C2404)</f>
        <v>MFD-ISW → MFD-CPF|JN°1920</v>
      </c>
    </row>
    <row r="2405" customFormat="false" ht="74.6" hidden="false" customHeight="false" outlineLevel="0" collapsed="false">
      <c r="A2405" s="82" t="n">
        <f aca="false">IF(C2405="","",ROW()-6)</f>
        <v>2399</v>
      </c>
      <c r="B2405" s="80" t="s">
        <v>110</v>
      </c>
      <c r="C2405" s="113" t="s">
        <v>2919</v>
      </c>
      <c r="D2405" s="82" t="str">
        <f aca="false">IF(OR(C2405="",P2405=""),"",INDEX('CARNET DE SOUDURE'!$D$7:$D$3006,P2405)&amp;"")</f>
        <v>23</v>
      </c>
      <c r="E2405" s="114" t="n">
        <f aca="false">IF(OR(C2405="",P2405=""),"",IF(INDEX('CARNET DE SOUDURE'!$U$7:$U$3006,P2405)="","",INDEX('CARNET DE SOUDURE'!$U$7:$U$3006,P2405)))</f>
        <v>46255</v>
      </c>
      <c r="F2405" s="82" t="str">
        <f aca="false">IF(OR(C2405="",P2405=""),"",INDEX('CARNET DE SOUDURE'!$AP$7:$AP$3006,P2405))</f>
        <v>A</v>
      </c>
      <c r="G2405" s="82" t="str">
        <f aca="false">IF(C2405="","",IF(P2405="","NJ INCONNU",INDEX('CARNET DE SOUDURE'!$AQ$7:$AQ$3006,P2405)))</f>
        <v>ACCEPTÉ</v>
      </c>
      <c r="H2405" s="82" t="str">
        <f aca="false">IF(C2405="","",IF(G2405="ACCEPTÉ","OUI","NON"))</f>
        <v>OUI</v>
      </c>
      <c r="I2405" s="83"/>
      <c r="J2405" s="80"/>
      <c r="K2405" s="81"/>
      <c r="L2405" s="81"/>
      <c r="M2405" s="81"/>
      <c r="N2405" s="84" t="str">
        <f aca="false">IF(C2405="","",IF(P2405="","NJ INCONNU",IF(I2405="",IF(H2405="OUI","À ENROBER",IF(G2405="À SOUDER","NON SOUDÉ","EN ATTENTE RT")),IF(L2405="R","À REPRENDRE",IF(H2405&lt;&gt;"OUI","⚠ ENROBÉ AVANT ACCEPTATION RT","ENROBÉ")))))</f>
        <v>À ENROBER</v>
      </c>
      <c r="O2405" s="80"/>
      <c r="P2405" s="82" t="n">
        <f aca="false">IF(C2405="","",IFERROR(MATCH(Q2405,'CARNET DE SOUDURE'!$AW$7:$AW$3006,0),""))</f>
        <v>2399</v>
      </c>
      <c r="Q2405" s="82" t="str">
        <f aca="false">IF(C2405="","",B2405&amp;"|"&amp;C2405)</f>
        <v>MFD-ISW → MFD-CPF|JN°1921</v>
      </c>
    </row>
    <row r="2406" customFormat="false" ht="74.6" hidden="false" customHeight="false" outlineLevel="0" collapsed="false">
      <c r="A2406" s="82" t="n">
        <f aca="false">IF(C2406="","",ROW()-6)</f>
        <v>2400</v>
      </c>
      <c r="B2406" s="80" t="s">
        <v>110</v>
      </c>
      <c r="C2406" s="113" t="s">
        <v>2920</v>
      </c>
      <c r="D2406" s="82" t="str">
        <f aca="false">IF(OR(C2406="",P2406=""),"",INDEX('CARNET DE SOUDURE'!$D$7:$D$3006,P2406)&amp;"")</f>
        <v>23</v>
      </c>
      <c r="E2406" s="114" t="n">
        <f aca="false">IF(OR(C2406="",P2406=""),"",IF(INDEX('CARNET DE SOUDURE'!$U$7:$U$3006,P2406)="","",INDEX('CARNET DE SOUDURE'!$U$7:$U$3006,P2406)))</f>
        <v>46255</v>
      </c>
      <c r="F2406" s="82" t="str">
        <f aca="false">IF(OR(C2406="",P2406=""),"",INDEX('CARNET DE SOUDURE'!$AP$7:$AP$3006,P2406))</f>
        <v>A</v>
      </c>
      <c r="G2406" s="82" t="str">
        <f aca="false">IF(C2406="","",IF(P2406="","NJ INCONNU",INDEX('CARNET DE SOUDURE'!$AQ$7:$AQ$3006,P2406)))</f>
        <v>ACCEPTÉ</v>
      </c>
      <c r="H2406" s="82" t="str">
        <f aca="false">IF(C2406="","",IF(G2406="ACCEPTÉ","OUI","NON"))</f>
        <v>OUI</v>
      </c>
      <c r="I2406" s="83"/>
      <c r="J2406" s="80"/>
      <c r="K2406" s="81"/>
      <c r="L2406" s="81"/>
      <c r="M2406" s="81"/>
      <c r="N2406" s="84" t="str">
        <f aca="false">IF(C2406="","",IF(P2406="","NJ INCONNU",IF(I2406="",IF(H2406="OUI","À ENROBER",IF(G2406="À SOUDER","NON SOUDÉ","EN ATTENTE RT")),IF(L2406="R","À REPRENDRE",IF(H2406&lt;&gt;"OUI","⚠ ENROBÉ AVANT ACCEPTATION RT","ENROBÉ")))))</f>
        <v>À ENROBER</v>
      </c>
      <c r="O2406" s="80"/>
      <c r="P2406" s="82" t="n">
        <f aca="false">IF(C2406="","",IFERROR(MATCH(Q2406,'CARNET DE SOUDURE'!$AW$7:$AW$3006,0),""))</f>
        <v>2400</v>
      </c>
      <c r="Q2406" s="82" t="str">
        <f aca="false">IF(C2406="","",B2406&amp;"|"&amp;C2406)</f>
        <v>MFD-ISW → MFD-CPF|JN°1922</v>
      </c>
    </row>
    <row r="2407" customFormat="false" ht="74.6" hidden="false" customHeight="false" outlineLevel="0" collapsed="false">
      <c r="A2407" s="82" t="n">
        <f aca="false">IF(C2407="","",ROW()-6)</f>
        <v>2401</v>
      </c>
      <c r="B2407" s="80" t="s">
        <v>110</v>
      </c>
      <c r="C2407" s="113" t="s">
        <v>2923</v>
      </c>
      <c r="D2407" s="82" t="str">
        <f aca="false">IF(OR(C2407="",P2407=""),"",INDEX('CARNET DE SOUDURE'!$D$7:$D$3006,P2407)&amp;"")</f>
        <v>23</v>
      </c>
      <c r="E2407" s="114" t="n">
        <f aca="false">IF(OR(C2407="",P2407=""),"",IF(INDEX('CARNET DE SOUDURE'!$U$7:$U$3006,P2407)="","",INDEX('CARNET DE SOUDURE'!$U$7:$U$3006,P2407)))</f>
        <v>46255</v>
      </c>
      <c r="F2407" s="82" t="str">
        <f aca="false">IF(OR(C2407="",P2407=""),"",INDEX('CARNET DE SOUDURE'!$AP$7:$AP$3006,P2407))</f>
        <v>A</v>
      </c>
      <c r="G2407" s="82" t="str">
        <f aca="false">IF(C2407="","",IF(P2407="","NJ INCONNU",INDEX('CARNET DE SOUDURE'!$AQ$7:$AQ$3006,P2407)))</f>
        <v>ACCEPTÉ</v>
      </c>
      <c r="H2407" s="82" t="str">
        <f aca="false">IF(C2407="","",IF(G2407="ACCEPTÉ","OUI","NON"))</f>
        <v>OUI</v>
      </c>
      <c r="I2407" s="83"/>
      <c r="J2407" s="80"/>
      <c r="K2407" s="81"/>
      <c r="L2407" s="81"/>
      <c r="M2407" s="81"/>
      <c r="N2407" s="84" t="str">
        <f aca="false">IF(C2407="","",IF(P2407="","NJ INCONNU",IF(I2407="",IF(H2407="OUI","À ENROBER",IF(G2407="À SOUDER","NON SOUDÉ","EN ATTENTE RT")),IF(L2407="R","À REPRENDRE",IF(H2407&lt;&gt;"OUI","⚠ ENROBÉ AVANT ACCEPTATION RT","ENROBÉ")))))</f>
        <v>À ENROBER</v>
      </c>
      <c r="O2407" s="80"/>
      <c r="P2407" s="82" t="n">
        <f aca="false">IF(C2407="","",IFERROR(MATCH(Q2407,'CARNET DE SOUDURE'!$AW$7:$AW$3006,0),""))</f>
        <v>2401</v>
      </c>
      <c r="Q2407" s="82" t="str">
        <f aca="false">IF(C2407="","",B2407&amp;"|"&amp;C2407)</f>
        <v>MFD-ISW → MFD-CPF|JN°1923</v>
      </c>
    </row>
    <row r="2408" customFormat="false" ht="74.6" hidden="false" customHeight="false" outlineLevel="0" collapsed="false">
      <c r="A2408" s="82" t="n">
        <f aca="false">IF(C2408="","",ROW()-6)</f>
        <v>2402</v>
      </c>
      <c r="B2408" s="80" t="s">
        <v>110</v>
      </c>
      <c r="C2408" s="113" t="s">
        <v>2924</v>
      </c>
      <c r="D2408" s="82" t="str">
        <f aca="false">IF(OR(C2408="",P2408=""),"",INDEX('CARNET DE SOUDURE'!$D$7:$D$3006,P2408)&amp;"")</f>
        <v>23</v>
      </c>
      <c r="E2408" s="114" t="n">
        <f aca="false">IF(OR(C2408="",P2408=""),"",IF(INDEX('CARNET DE SOUDURE'!$U$7:$U$3006,P2408)="","",INDEX('CARNET DE SOUDURE'!$U$7:$U$3006,P2408)))</f>
        <v>46255</v>
      </c>
      <c r="F2408" s="82" t="str">
        <f aca="false">IF(OR(C2408="",P2408=""),"",INDEX('CARNET DE SOUDURE'!$AP$7:$AP$3006,P2408))</f>
        <v>A</v>
      </c>
      <c r="G2408" s="82" t="str">
        <f aca="false">IF(C2408="","",IF(P2408="","NJ INCONNU",INDEX('CARNET DE SOUDURE'!$AQ$7:$AQ$3006,P2408)))</f>
        <v>ACCEPTÉ</v>
      </c>
      <c r="H2408" s="82" t="str">
        <f aca="false">IF(C2408="","",IF(G2408="ACCEPTÉ","OUI","NON"))</f>
        <v>OUI</v>
      </c>
      <c r="I2408" s="83"/>
      <c r="J2408" s="80"/>
      <c r="K2408" s="81"/>
      <c r="L2408" s="81"/>
      <c r="M2408" s="81"/>
      <c r="N2408" s="84" t="str">
        <f aca="false">IF(C2408="","",IF(P2408="","NJ INCONNU",IF(I2408="",IF(H2408="OUI","À ENROBER",IF(G2408="À SOUDER","NON SOUDÉ","EN ATTENTE RT")),IF(L2408="R","À REPRENDRE",IF(H2408&lt;&gt;"OUI","⚠ ENROBÉ AVANT ACCEPTATION RT","ENROBÉ")))))</f>
        <v>À ENROBER</v>
      </c>
      <c r="O2408" s="80"/>
      <c r="P2408" s="82" t="n">
        <f aca="false">IF(C2408="","",IFERROR(MATCH(Q2408,'CARNET DE SOUDURE'!$AW$7:$AW$3006,0),""))</f>
        <v>2402</v>
      </c>
      <c r="Q2408" s="82" t="str">
        <f aca="false">IF(C2408="","",B2408&amp;"|"&amp;C2408)</f>
        <v>MFD-ISW → MFD-CPF|JN°1924</v>
      </c>
    </row>
    <row r="2409" customFormat="false" ht="74.6" hidden="false" customHeight="false" outlineLevel="0" collapsed="false">
      <c r="A2409" s="82" t="n">
        <f aca="false">IF(C2409="","",ROW()-6)</f>
        <v>2403</v>
      </c>
      <c r="B2409" s="80" t="s">
        <v>110</v>
      </c>
      <c r="C2409" s="113" t="s">
        <v>2925</v>
      </c>
      <c r="D2409" s="82" t="str">
        <f aca="false">IF(OR(C2409="",P2409=""),"",INDEX('CARNET DE SOUDURE'!$D$7:$D$3006,P2409)&amp;"")</f>
        <v>23</v>
      </c>
      <c r="E2409" s="114" t="n">
        <f aca="false">IF(OR(C2409="",P2409=""),"",IF(INDEX('CARNET DE SOUDURE'!$U$7:$U$3006,P2409)="","",INDEX('CARNET DE SOUDURE'!$U$7:$U$3006,P2409)))</f>
        <v>46255</v>
      </c>
      <c r="F2409" s="82" t="str">
        <f aca="false">IF(OR(C2409="",P2409=""),"",INDEX('CARNET DE SOUDURE'!$AP$7:$AP$3006,P2409))</f>
        <v>A</v>
      </c>
      <c r="G2409" s="82" t="str">
        <f aca="false">IF(C2409="","",IF(P2409="","NJ INCONNU",INDEX('CARNET DE SOUDURE'!$AQ$7:$AQ$3006,P2409)))</f>
        <v>ACCEPTÉ</v>
      </c>
      <c r="H2409" s="82" t="str">
        <f aca="false">IF(C2409="","",IF(G2409="ACCEPTÉ","OUI","NON"))</f>
        <v>OUI</v>
      </c>
      <c r="I2409" s="83"/>
      <c r="J2409" s="80"/>
      <c r="K2409" s="81"/>
      <c r="L2409" s="81"/>
      <c r="M2409" s="81"/>
      <c r="N2409" s="84" t="str">
        <f aca="false">IF(C2409="","",IF(P2409="","NJ INCONNU",IF(I2409="",IF(H2409="OUI","À ENROBER",IF(G2409="À SOUDER","NON SOUDÉ","EN ATTENTE RT")),IF(L2409="R","À REPRENDRE",IF(H2409&lt;&gt;"OUI","⚠ ENROBÉ AVANT ACCEPTATION RT","ENROBÉ")))))</f>
        <v>À ENROBER</v>
      </c>
      <c r="O2409" s="80"/>
      <c r="P2409" s="82" t="n">
        <f aca="false">IF(C2409="","",IFERROR(MATCH(Q2409,'CARNET DE SOUDURE'!$AW$7:$AW$3006,0),""))</f>
        <v>2403</v>
      </c>
      <c r="Q2409" s="82" t="str">
        <f aca="false">IF(C2409="","",B2409&amp;"|"&amp;C2409)</f>
        <v>MFD-ISW → MFD-CPF|JN°1925</v>
      </c>
    </row>
    <row r="2410" customFormat="false" ht="74.6" hidden="false" customHeight="false" outlineLevel="0" collapsed="false">
      <c r="A2410" s="82" t="n">
        <f aca="false">IF(C2410="","",ROW()-6)</f>
        <v>2404</v>
      </c>
      <c r="B2410" s="80" t="s">
        <v>110</v>
      </c>
      <c r="C2410" s="113" t="s">
        <v>2926</v>
      </c>
      <c r="D2410" s="82" t="str">
        <f aca="false">IF(OR(C2410="",P2410=""),"",INDEX('CARNET DE SOUDURE'!$D$7:$D$3006,P2410)&amp;"")</f>
        <v>23</v>
      </c>
      <c r="E2410" s="114" t="n">
        <f aca="false">IF(OR(C2410="",P2410=""),"",IF(INDEX('CARNET DE SOUDURE'!$U$7:$U$3006,P2410)="","",INDEX('CARNET DE SOUDURE'!$U$7:$U$3006,P2410)))</f>
        <v>46255</v>
      </c>
      <c r="F2410" s="82" t="str">
        <f aca="false">IF(OR(C2410="",P2410=""),"",INDEX('CARNET DE SOUDURE'!$AP$7:$AP$3006,P2410))</f>
        <v>A</v>
      </c>
      <c r="G2410" s="82" t="str">
        <f aca="false">IF(C2410="","",IF(P2410="","NJ INCONNU",INDEX('CARNET DE SOUDURE'!$AQ$7:$AQ$3006,P2410)))</f>
        <v>ACCEPTÉ</v>
      </c>
      <c r="H2410" s="82" t="str">
        <f aca="false">IF(C2410="","",IF(G2410="ACCEPTÉ","OUI","NON"))</f>
        <v>OUI</v>
      </c>
      <c r="I2410" s="83"/>
      <c r="J2410" s="80"/>
      <c r="K2410" s="81"/>
      <c r="L2410" s="81"/>
      <c r="M2410" s="81"/>
      <c r="N2410" s="84" t="str">
        <f aca="false">IF(C2410="","",IF(P2410="","NJ INCONNU",IF(I2410="",IF(H2410="OUI","À ENROBER",IF(G2410="À SOUDER","NON SOUDÉ","EN ATTENTE RT")),IF(L2410="R","À REPRENDRE",IF(H2410&lt;&gt;"OUI","⚠ ENROBÉ AVANT ACCEPTATION RT","ENROBÉ")))))</f>
        <v>À ENROBER</v>
      </c>
      <c r="O2410" s="80"/>
      <c r="P2410" s="82" t="n">
        <f aca="false">IF(C2410="","",IFERROR(MATCH(Q2410,'CARNET DE SOUDURE'!$AW$7:$AW$3006,0),""))</f>
        <v>2404</v>
      </c>
      <c r="Q2410" s="82" t="str">
        <f aca="false">IF(C2410="","",B2410&amp;"|"&amp;C2410)</f>
        <v>MFD-ISW → MFD-CPF|JN°1926</v>
      </c>
    </row>
    <row r="2411" customFormat="false" ht="74.6" hidden="false" customHeight="false" outlineLevel="0" collapsed="false">
      <c r="A2411" s="82" t="n">
        <f aca="false">IF(C2411="","",ROW()-6)</f>
        <v>2405</v>
      </c>
      <c r="B2411" s="80" t="s">
        <v>110</v>
      </c>
      <c r="C2411" s="113" t="s">
        <v>2927</v>
      </c>
      <c r="D2411" s="82" t="str">
        <f aca="false">IF(OR(C2411="",P2411=""),"",INDEX('CARNET DE SOUDURE'!$D$7:$D$3006,P2411)&amp;"")</f>
        <v>23</v>
      </c>
      <c r="E2411" s="114" t="n">
        <f aca="false">IF(OR(C2411="",P2411=""),"",IF(INDEX('CARNET DE SOUDURE'!$U$7:$U$3006,P2411)="","",INDEX('CARNET DE SOUDURE'!$U$7:$U$3006,P2411)))</f>
        <v>46255</v>
      </c>
      <c r="F2411" s="82" t="str">
        <f aca="false">IF(OR(C2411="",P2411=""),"",INDEX('CARNET DE SOUDURE'!$AP$7:$AP$3006,P2411))</f>
        <v>A</v>
      </c>
      <c r="G2411" s="82" t="str">
        <f aca="false">IF(C2411="","",IF(P2411="","NJ INCONNU",INDEX('CARNET DE SOUDURE'!$AQ$7:$AQ$3006,P2411)))</f>
        <v>ACCEPTÉ</v>
      </c>
      <c r="H2411" s="82" t="str">
        <f aca="false">IF(C2411="","",IF(G2411="ACCEPTÉ","OUI","NON"))</f>
        <v>OUI</v>
      </c>
      <c r="I2411" s="83"/>
      <c r="J2411" s="80"/>
      <c r="K2411" s="81"/>
      <c r="L2411" s="81"/>
      <c r="M2411" s="81"/>
      <c r="N2411" s="84" t="str">
        <f aca="false">IF(C2411="","",IF(P2411="","NJ INCONNU",IF(I2411="",IF(H2411="OUI","À ENROBER",IF(G2411="À SOUDER","NON SOUDÉ","EN ATTENTE RT")),IF(L2411="R","À REPRENDRE",IF(H2411&lt;&gt;"OUI","⚠ ENROBÉ AVANT ACCEPTATION RT","ENROBÉ")))))</f>
        <v>À ENROBER</v>
      </c>
      <c r="O2411" s="80"/>
      <c r="P2411" s="82" t="n">
        <f aca="false">IF(C2411="","",IFERROR(MATCH(Q2411,'CARNET DE SOUDURE'!$AW$7:$AW$3006,0),""))</f>
        <v>2405</v>
      </c>
      <c r="Q2411" s="82" t="str">
        <f aca="false">IF(C2411="","",B2411&amp;"|"&amp;C2411)</f>
        <v>MFD-ISW → MFD-CPF|JN°1927</v>
      </c>
    </row>
    <row r="2412" customFormat="false" ht="74.6" hidden="false" customHeight="false" outlineLevel="0" collapsed="false">
      <c r="A2412" s="82" t="n">
        <f aca="false">IF(C2412="","",ROW()-6)</f>
        <v>2406</v>
      </c>
      <c r="B2412" s="80" t="s">
        <v>110</v>
      </c>
      <c r="C2412" s="113" t="s">
        <v>2928</v>
      </c>
      <c r="D2412" s="82" t="str">
        <f aca="false">IF(OR(C2412="",P2412=""),"",INDEX('CARNET DE SOUDURE'!$D$7:$D$3006,P2412)&amp;"")</f>
        <v>24</v>
      </c>
      <c r="E2412" s="114" t="n">
        <f aca="false">IF(OR(C2412="",P2412=""),"",IF(INDEX('CARNET DE SOUDURE'!$U$7:$U$3006,P2412)="","",INDEX('CARNET DE SOUDURE'!$U$7:$U$3006,P2412)))</f>
        <v>46253</v>
      </c>
      <c r="F2412" s="82" t="str">
        <f aca="false">IF(OR(C2412="",P2412=""),"",INDEX('CARNET DE SOUDURE'!$AP$7:$AP$3006,P2412))</f>
        <v>A</v>
      </c>
      <c r="G2412" s="82" t="str">
        <f aca="false">IF(C2412="","",IF(P2412="","NJ INCONNU",INDEX('CARNET DE SOUDURE'!$AQ$7:$AQ$3006,P2412)))</f>
        <v>ACCEPTÉ</v>
      </c>
      <c r="H2412" s="82" t="str">
        <f aca="false">IF(C2412="","",IF(G2412="ACCEPTÉ","OUI","NON"))</f>
        <v>OUI</v>
      </c>
      <c r="I2412" s="83"/>
      <c r="J2412" s="80"/>
      <c r="K2412" s="81"/>
      <c r="L2412" s="81"/>
      <c r="M2412" s="81"/>
      <c r="N2412" s="84" t="str">
        <f aca="false">IF(C2412="","",IF(P2412="","NJ INCONNU",IF(I2412="",IF(H2412="OUI","À ENROBER",IF(G2412="À SOUDER","NON SOUDÉ","EN ATTENTE RT")),IF(L2412="R","À REPRENDRE",IF(H2412&lt;&gt;"OUI","⚠ ENROBÉ AVANT ACCEPTATION RT","ENROBÉ")))))</f>
        <v>À ENROBER</v>
      </c>
      <c r="O2412" s="80"/>
      <c r="P2412" s="82" t="n">
        <f aca="false">IF(C2412="","",IFERROR(MATCH(Q2412,'CARNET DE SOUDURE'!$AW$7:$AW$3006,0),""))</f>
        <v>2406</v>
      </c>
      <c r="Q2412" s="82" t="str">
        <f aca="false">IF(C2412="","",B2412&amp;"|"&amp;C2412)</f>
        <v>MFD-ISW → MFD-CPF|JN°1928</v>
      </c>
    </row>
    <row r="2413" customFormat="false" ht="74.6" hidden="false" customHeight="false" outlineLevel="0" collapsed="false">
      <c r="A2413" s="82" t="n">
        <f aca="false">IF(C2413="","",ROW()-6)</f>
        <v>2407</v>
      </c>
      <c r="B2413" s="80" t="s">
        <v>110</v>
      </c>
      <c r="C2413" s="113" t="s">
        <v>2930</v>
      </c>
      <c r="D2413" s="82" t="str">
        <f aca="false">IF(OR(C2413="",P2413=""),"",INDEX('CARNET DE SOUDURE'!$D$7:$D$3006,P2413)&amp;"")</f>
        <v>24</v>
      </c>
      <c r="E2413" s="114" t="n">
        <f aca="false">IF(OR(C2413="",P2413=""),"",IF(INDEX('CARNET DE SOUDURE'!$U$7:$U$3006,P2413)="","",INDEX('CARNET DE SOUDURE'!$U$7:$U$3006,P2413)))</f>
        <v>46253</v>
      </c>
      <c r="F2413" s="82" t="str">
        <f aca="false">IF(OR(C2413="",P2413=""),"",INDEX('CARNET DE SOUDURE'!$AP$7:$AP$3006,P2413))</f>
        <v>A</v>
      </c>
      <c r="G2413" s="82" t="str">
        <f aca="false">IF(C2413="","",IF(P2413="","NJ INCONNU",INDEX('CARNET DE SOUDURE'!$AQ$7:$AQ$3006,P2413)))</f>
        <v>ACCEPTÉ</v>
      </c>
      <c r="H2413" s="82" t="str">
        <f aca="false">IF(C2413="","",IF(G2413="ACCEPTÉ","OUI","NON"))</f>
        <v>OUI</v>
      </c>
      <c r="I2413" s="83"/>
      <c r="J2413" s="80"/>
      <c r="K2413" s="81"/>
      <c r="L2413" s="81"/>
      <c r="M2413" s="81"/>
      <c r="N2413" s="84" t="str">
        <f aca="false">IF(C2413="","",IF(P2413="","NJ INCONNU",IF(I2413="",IF(H2413="OUI","À ENROBER",IF(G2413="À SOUDER","NON SOUDÉ","EN ATTENTE RT")),IF(L2413="R","À REPRENDRE",IF(H2413&lt;&gt;"OUI","⚠ ENROBÉ AVANT ACCEPTATION RT","ENROBÉ")))))</f>
        <v>À ENROBER</v>
      </c>
      <c r="O2413" s="80"/>
      <c r="P2413" s="82" t="n">
        <f aca="false">IF(C2413="","",IFERROR(MATCH(Q2413,'CARNET DE SOUDURE'!$AW$7:$AW$3006,0),""))</f>
        <v>2407</v>
      </c>
      <c r="Q2413" s="82" t="str">
        <f aca="false">IF(C2413="","",B2413&amp;"|"&amp;C2413)</f>
        <v>MFD-ISW → MFD-CPF|JN°1929</v>
      </c>
    </row>
    <row r="2414" customFormat="false" ht="74.6" hidden="false" customHeight="false" outlineLevel="0" collapsed="false">
      <c r="A2414" s="82" t="n">
        <f aca="false">IF(C2414="","",ROW()-6)</f>
        <v>2408</v>
      </c>
      <c r="B2414" s="80" t="s">
        <v>110</v>
      </c>
      <c r="C2414" s="113" t="s">
        <v>2931</v>
      </c>
      <c r="D2414" s="82" t="str">
        <f aca="false">IF(OR(C2414="",P2414=""),"",INDEX('CARNET DE SOUDURE'!$D$7:$D$3006,P2414)&amp;"")</f>
        <v>24</v>
      </c>
      <c r="E2414" s="114" t="n">
        <f aca="false">IF(OR(C2414="",P2414=""),"",IF(INDEX('CARNET DE SOUDURE'!$U$7:$U$3006,P2414)="","",INDEX('CARNET DE SOUDURE'!$U$7:$U$3006,P2414)))</f>
        <v>46253</v>
      </c>
      <c r="F2414" s="82" t="str">
        <f aca="false">IF(OR(C2414="",P2414=""),"",INDEX('CARNET DE SOUDURE'!$AP$7:$AP$3006,P2414))</f>
        <v>A</v>
      </c>
      <c r="G2414" s="82" t="str">
        <f aca="false">IF(C2414="","",IF(P2414="","NJ INCONNU",INDEX('CARNET DE SOUDURE'!$AQ$7:$AQ$3006,P2414)))</f>
        <v>ACCEPTÉ</v>
      </c>
      <c r="H2414" s="82" t="str">
        <f aca="false">IF(C2414="","",IF(G2414="ACCEPTÉ","OUI","NON"))</f>
        <v>OUI</v>
      </c>
      <c r="I2414" s="83"/>
      <c r="J2414" s="80"/>
      <c r="K2414" s="81"/>
      <c r="L2414" s="81"/>
      <c r="M2414" s="81"/>
      <c r="N2414" s="84" t="str">
        <f aca="false">IF(C2414="","",IF(P2414="","NJ INCONNU",IF(I2414="",IF(H2414="OUI","À ENROBER",IF(G2414="À SOUDER","NON SOUDÉ","EN ATTENTE RT")),IF(L2414="R","À REPRENDRE",IF(H2414&lt;&gt;"OUI","⚠ ENROBÉ AVANT ACCEPTATION RT","ENROBÉ")))))</f>
        <v>À ENROBER</v>
      </c>
      <c r="O2414" s="80"/>
      <c r="P2414" s="82" t="n">
        <f aca="false">IF(C2414="","",IFERROR(MATCH(Q2414,'CARNET DE SOUDURE'!$AW$7:$AW$3006,0),""))</f>
        <v>2408</v>
      </c>
      <c r="Q2414" s="82" t="str">
        <f aca="false">IF(C2414="","",B2414&amp;"|"&amp;C2414)</f>
        <v>MFD-ISW → MFD-CPF|JN°1930</v>
      </c>
    </row>
    <row r="2415" customFormat="false" ht="74.6" hidden="false" customHeight="false" outlineLevel="0" collapsed="false">
      <c r="A2415" s="82" t="n">
        <f aca="false">IF(C2415="","",ROW()-6)</f>
        <v>2409</v>
      </c>
      <c r="B2415" s="80" t="s">
        <v>110</v>
      </c>
      <c r="C2415" s="113" t="s">
        <v>2932</v>
      </c>
      <c r="D2415" s="82" t="str">
        <f aca="false">IF(OR(C2415="",P2415=""),"",INDEX('CARNET DE SOUDURE'!$D$7:$D$3006,P2415)&amp;"")</f>
        <v>24</v>
      </c>
      <c r="E2415" s="114" t="n">
        <f aca="false">IF(OR(C2415="",P2415=""),"",IF(INDEX('CARNET DE SOUDURE'!$U$7:$U$3006,P2415)="","",INDEX('CARNET DE SOUDURE'!$U$7:$U$3006,P2415)))</f>
        <v>46289</v>
      </c>
      <c r="F2415" s="82" t="str">
        <f aca="false">IF(OR(C2415="",P2415=""),"",INDEX('CARNET DE SOUDURE'!$AP$7:$AP$3006,P2415))</f>
        <v/>
      </c>
      <c r="G2415" s="82" t="str">
        <f aca="false">IF(C2415="","",IF(P2415="","NJ INCONNU",INDEX('CARNET DE SOUDURE'!$AQ$7:$AQ$3006,P2415)))</f>
        <v>À RADIOGRAPHIER</v>
      </c>
      <c r="H2415" s="82" t="str">
        <f aca="false">IF(C2415="","",IF(G2415="ACCEPTÉ","OUI","NON"))</f>
        <v>NON</v>
      </c>
      <c r="I2415" s="83"/>
      <c r="J2415" s="80"/>
      <c r="K2415" s="81"/>
      <c r="L2415" s="81"/>
      <c r="M2415" s="81"/>
      <c r="N2415" s="84" t="str">
        <f aca="false">IF(C2415="","",IF(P2415="","NJ INCONNU",IF(I2415="",IF(H2415="OUI","À ENROBER",IF(G2415="À SOUDER","NON SOUDÉ","EN ATTENTE RT")),IF(L2415="R","À REPRENDRE",IF(H2415&lt;&gt;"OUI","⚠ ENROBÉ AVANT ACCEPTATION RT","ENROBÉ")))))</f>
        <v>EN ATTENTE RT</v>
      </c>
      <c r="O2415" s="80"/>
      <c r="P2415" s="82" t="n">
        <f aca="false">IF(C2415="","",IFERROR(MATCH(Q2415,'CARNET DE SOUDURE'!$AW$7:$AW$3006,0),""))</f>
        <v>2409</v>
      </c>
      <c r="Q2415" s="82" t="str">
        <f aca="false">IF(C2415="","",B2415&amp;"|"&amp;C2415)</f>
        <v>MFD-ISW → MFD-CPF|JN°1931C</v>
      </c>
    </row>
    <row r="2416" customFormat="false" ht="74.6" hidden="false" customHeight="false" outlineLevel="0" collapsed="false">
      <c r="A2416" s="82" t="n">
        <f aca="false">IF(C2416="","",ROW()-6)</f>
        <v>2410</v>
      </c>
      <c r="B2416" s="80" t="s">
        <v>110</v>
      </c>
      <c r="C2416" s="113" t="s">
        <v>2934</v>
      </c>
      <c r="D2416" s="82" t="str">
        <f aca="false">IF(OR(C2416="",P2416=""),"",INDEX('CARNET DE SOUDURE'!$D$7:$D$3006,P2416)&amp;"")</f>
        <v>24</v>
      </c>
      <c r="E2416" s="114" t="n">
        <f aca="false">IF(OR(C2416="",P2416=""),"",IF(INDEX('CARNET DE SOUDURE'!$U$7:$U$3006,P2416)="","",INDEX('CARNET DE SOUDURE'!$U$7:$U$3006,P2416)))</f>
        <v>46273</v>
      </c>
      <c r="F2416" s="82" t="str">
        <f aca="false">IF(OR(C2416="",P2416=""),"",INDEX('CARNET DE SOUDURE'!$AP$7:$AP$3006,P2416))</f>
        <v>A</v>
      </c>
      <c r="G2416" s="82" t="str">
        <f aca="false">IF(C2416="","",IF(P2416="","NJ INCONNU",INDEX('CARNET DE SOUDURE'!$AQ$7:$AQ$3006,P2416)))</f>
        <v>ACCEPTÉ</v>
      </c>
      <c r="H2416" s="82" t="str">
        <f aca="false">IF(C2416="","",IF(G2416="ACCEPTÉ","OUI","NON"))</f>
        <v>OUI</v>
      </c>
      <c r="I2416" s="83"/>
      <c r="J2416" s="80"/>
      <c r="K2416" s="81"/>
      <c r="L2416" s="81"/>
      <c r="M2416" s="81"/>
      <c r="N2416" s="84" t="str">
        <f aca="false">IF(C2416="","",IF(P2416="","NJ INCONNU",IF(I2416="",IF(H2416="OUI","À ENROBER",IF(G2416="À SOUDER","NON SOUDÉ","EN ATTENTE RT")),IF(L2416="R","À REPRENDRE",IF(H2416&lt;&gt;"OUI","⚠ ENROBÉ AVANT ACCEPTATION RT","ENROBÉ")))))</f>
        <v>À ENROBER</v>
      </c>
      <c r="O2416" s="80"/>
      <c r="P2416" s="82" t="n">
        <f aca="false">IF(C2416="","",IFERROR(MATCH(Q2416,'CARNET DE SOUDURE'!$AW$7:$AW$3006,0),""))</f>
        <v>2410</v>
      </c>
      <c r="Q2416" s="82" t="str">
        <f aca="false">IF(C2416="","",B2416&amp;"|"&amp;C2416)</f>
        <v>MFD-ISW → MFD-CPF|JN°1932R</v>
      </c>
    </row>
    <row r="2417" customFormat="false" ht="74.6" hidden="false" customHeight="false" outlineLevel="0" collapsed="false">
      <c r="A2417" s="82" t="n">
        <f aca="false">IF(C2417="","",ROW()-6)</f>
        <v>2411</v>
      </c>
      <c r="B2417" s="80" t="s">
        <v>110</v>
      </c>
      <c r="C2417" s="113" t="s">
        <v>2935</v>
      </c>
      <c r="D2417" s="82" t="str">
        <f aca="false">IF(OR(C2417="",P2417=""),"",INDEX('CARNET DE SOUDURE'!$D$7:$D$3006,P2417)&amp;"")</f>
        <v>24</v>
      </c>
      <c r="E2417" s="114" t="n">
        <f aca="false">IF(OR(C2417="",P2417=""),"",IF(INDEX('CARNET DE SOUDURE'!$U$7:$U$3006,P2417)="","",INDEX('CARNET DE SOUDURE'!$U$7:$U$3006,P2417)))</f>
        <v>46273</v>
      </c>
      <c r="F2417" s="82" t="str">
        <f aca="false">IF(OR(C2417="",P2417=""),"",INDEX('CARNET DE SOUDURE'!$AP$7:$AP$3006,P2417))</f>
        <v>A</v>
      </c>
      <c r="G2417" s="82" t="str">
        <f aca="false">IF(C2417="","",IF(P2417="","NJ INCONNU",INDEX('CARNET DE SOUDURE'!$AQ$7:$AQ$3006,P2417)))</f>
        <v>ACCEPTÉ</v>
      </c>
      <c r="H2417" s="82" t="str">
        <f aca="false">IF(C2417="","",IF(G2417="ACCEPTÉ","OUI","NON"))</f>
        <v>OUI</v>
      </c>
      <c r="I2417" s="83"/>
      <c r="J2417" s="80"/>
      <c r="K2417" s="81"/>
      <c r="L2417" s="81"/>
      <c r="M2417" s="81"/>
      <c r="N2417" s="84" t="str">
        <f aca="false">IF(C2417="","",IF(P2417="","NJ INCONNU",IF(I2417="",IF(H2417="OUI","À ENROBER",IF(G2417="À SOUDER","NON SOUDÉ","EN ATTENTE RT")),IF(L2417="R","À REPRENDRE",IF(H2417&lt;&gt;"OUI","⚠ ENROBÉ AVANT ACCEPTATION RT","ENROBÉ")))))</f>
        <v>À ENROBER</v>
      </c>
      <c r="O2417" s="80"/>
      <c r="P2417" s="82" t="n">
        <f aca="false">IF(C2417="","",IFERROR(MATCH(Q2417,'CARNET DE SOUDURE'!$AW$7:$AW$3006,0),""))</f>
        <v>2411</v>
      </c>
      <c r="Q2417" s="82" t="str">
        <f aca="false">IF(C2417="","",B2417&amp;"|"&amp;C2417)</f>
        <v>MFD-ISW → MFD-CPF|JN°1933R</v>
      </c>
    </row>
    <row r="2418" customFormat="false" ht="74.6" hidden="false" customHeight="false" outlineLevel="0" collapsed="false">
      <c r="A2418" s="82" t="n">
        <f aca="false">IF(C2418="","",ROW()-6)</f>
        <v>2412</v>
      </c>
      <c r="B2418" s="80" t="s">
        <v>110</v>
      </c>
      <c r="C2418" s="113" t="s">
        <v>2936</v>
      </c>
      <c r="D2418" s="82" t="str">
        <f aca="false">IF(OR(C2418="",P2418=""),"",INDEX('CARNET DE SOUDURE'!$D$7:$D$3006,P2418)&amp;"")</f>
        <v>24</v>
      </c>
      <c r="E2418" s="114" t="n">
        <f aca="false">IF(OR(C2418="",P2418=""),"",IF(INDEX('CARNET DE SOUDURE'!$U$7:$U$3006,P2418)="","",INDEX('CARNET DE SOUDURE'!$U$7:$U$3006,P2418)))</f>
        <v>46253</v>
      </c>
      <c r="F2418" s="82" t="str">
        <f aca="false">IF(OR(C2418="",P2418=""),"",INDEX('CARNET DE SOUDURE'!$AP$7:$AP$3006,P2418))</f>
        <v>A</v>
      </c>
      <c r="G2418" s="82" t="str">
        <f aca="false">IF(C2418="","",IF(P2418="","NJ INCONNU",INDEX('CARNET DE SOUDURE'!$AQ$7:$AQ$3006,P2418)))</f>
        <v>ACCEPTÉ</v>
      </c>
      <c r="H2418" s="82" t="str">
        <f aca="false">IF(C2418="","",IF(G2418="ACCEPTÉ","OUI","NON"))</f>
        <v>OUI</v>
      </c>
      <c r="I2418" s="83"/>
      <c r="J2418" s="80"/>
      <c r="K2418" s="81"/>
      <c r="L2418" s="81"/>
      <c r="M2418" s="81"/>
      <c r="N2418" s="84" t="str">
        <f aca="false">IF(C2418="","",IF(P2418="","NJ INCONNU",IF(I2418="",IF(H2418="OUI","À ENROBER",IF(G2418="À SOUDER","NON SOUDÉ","EN ATTENTE RT")),IF(L2418="R","À REPRENDRE",IF(H2418&lt;&gt;"OUI","⚠ ENROBÉ AVANT ACCEPTATION RT","ENROBÉ")))))</f>
        <v>À ENROBER</v>
      </c>
      <c r="O2418" s="80"/>
      <c r="P2418" s="82" t="n">
        <f aca="false">IF(C2418="","",IFERROR(MATCH(Q2418,'CARNET DE SOUDURE'!$AW$7:$AW$3006,0),""))</f>
        <v>2412</v>
      </c>
      <c r="Q2418" s="82" t="str">
        <f aca="false">IF(C2418="","",B2418&amp;"|"&amp;C2418)</f>
        <v>MFD-ISW → MFD-CPF|JN°1934</v>
      </c>
    </row>
    <row r="2419" customFormat="false" ht="74.6" hidden="false" customHeight="false" outlineLevel="0" collapsed="false">
      <c r="A2419" s="82" t="n">
        <f aca="false">IF(C2419="","",ROW()-6)</f>
        <v>2413</v>
      </c>
      <c r="B2419" s="80" t="s">
        <v>110</v>
      </c>
      <c r="C2419" s="113" t="s">
        <v>2938</v>
      </c>
      <c r="D2419" s="82" t="str">
        <f aca="false">IF(OR(C2419="",P2419=""),"",INDEX('CARNET DE SOUDURE'!$D$7:$D$3006,P2419)&amp;"")</f>
        <v>24</v>
      </c>
      <c r="E2419" s="114" t="str">
        <f aca="false">IF(OR(C2419="",P2419=""),"",IF(INDEX('CARNET DE SOUDURE'!$U$7:$U$3006,P2419)="","",INDEX('CARNET DE SOUDURE'!$U$7:$U$3006,P2419)))</f>
        <v/>
      </c>
      <c r="F2419" s="82" t="str">
        <f aca="false">IF(OR(C2419="",P2419=""),"",INDEX('CARNET DE SOUDURE'!$AP$7:$AP$3006,P2419))</f>
        <v/>
      </c>
      <c r="G2419" s="82" t="str">
        <f aca="false">IF(C2419="","",IF(P2419="","NJ INCONNU",INDEX('CARNET DE SOUDURE'!$AQ$7:$AQ$3006,P2419)))</f>
        <v>À SOUDER</v>
      </c>
      <c r="H2419" s="82" t="str">
        <f aca="false">IF(C2419="","",IF(G2419="ACCEPTÉ","OUI","NON"))</f>
        <v>NON</v>
      </c>
      <c r="I2419" s="83"/>
      <c r="J2419" s="80"/>
      <c r="K2419" s="81"/>
      <c r="L2419" s="81"/>
      <c r="M2419" s="81"/>
      <c r="N2419" s="84" t="str">
        <f aca="false">IF(C2419="","",IF(P2419="","NJ INCONNU",IF(I2419="",IF(H2419="OUI","À ENROBER",IF(G2419="À SOUDER","NON SOUDÉ","EN ATTENTE RT")),IF(L2419="R","À REPRENDRE",IF(H2419&lt;&gt;"OUI","⚠ ENROBÉ AVANT ACCEPTATION RT","ENROBÉ")))))</f>
        <v>NON SOUDÉ</v>
      </c>
      <c r="O2419" s="80"/>
      <c r="P2419" s="82" t="n">
        <f aca="false">IF(C2419="","",IFERROR(MATCH(Q2419,'CARNET DE SOUDURE'!$AW$7:$AW$3006,0),""))</f>
        <v>2413</v>
      </c>
      <c r="Q2419" s="82" t="str">
        <f aca="false">IF(C2419="","",B2419&amp;"|"&amp;C2419)</f>
        <v>MFD-ISW → MFD-CPF|JN°1935</v>
      </c>
    </row>
    <row r="2420" customFormat="false" ht="74.6" hidden="false" customHeight="false" outlineLevel="0" collapsed="false">
      <c r="A2420" s="82" t="n">
        <f aca="false">IF(C2420="","",ROW()-6)</f>
        <v>2414</v>
      </c>
      <c r="B2420" s="80" t="s">
        <v>110</v>
      </c>
      <c r="C2420" s="113" t="s">
        <v>2939</v>
      </c>
      <c r="D2420" s="82" t="str">
        <f aca="false">IF(OR(C2420="",P2420=""),"",INDEX('CARNET DE SOUDURE'!$D$7:$D$3006,P2420)&amp;"")</f>
        <v>24</v>
      </c>
      <c r="E2420" s="114" t="str">
        <f aca="false">IF(OR(C2420="",P2420=""),"",IF(INDEX('CARNET DE SOUDURE'!$U$7:$U$3006,P2420)="","",INDEX('CARNET DE SOUDURE'!$U$7:$U$3006,P2420)))</f>
        <v/>
      </c>
      <c r="F2420" s="82" t="str">
        <f aca="false">IF(OR(C2420="",P2420=""),"",INDEX('CARNET DE SOUDURE'!$AP$7:$AP$3006,P2420))</f>
        <v/>
      </c>
      <c r="G2420" s="82" t="str">
        <f aca="false">IF(C2420="","",IF(P2420="","NJ INCONNU",INDEX('CARNET DE SOUDURE'!$AQ$7:$AQ$3006,P2420)))</f>
        <v>À SOUDER</v>
      </c>
      <c r="H2420" s="82" t="str">
        <f aca="false">IF(C2420="","",IF(G2420="ACCEPTÉ","OUI","NON"))</f>
        <v>NON</v>
      </c>
      <c r="I2420" s="83"/>
      <c r="J2420" s="80"/>
      <c r="K2420" s="81"/>
      <c r="L2420" s="81"/>
      <c r="M2420" s="81"/>
      <c r="N2420" s="84" t="str">
        <f aca="false">IF(C2420="","",IF(P2420="","NJ INCONNU",IF(I2420="",IF(H2420="OUI","À ENROBER",IF(G2420="À SOUDER","NON SOUDÉ","EN ATTENTE RT")),IF(L2420="R","À REPRENDRE",IF(H2420&lt;&gt;"OUI","⚠ ENROBÉ AVANT ACCEPTATION RT","ENROBÉ")))))</f>
        <v>NON SOUDÉ</v>
      </c>
      <c r="O2420" s="80"/>
      <c r="P2420" s="82" t="n">
        <f aca="false">IF(C2420="","",IFERROR(MATCH(Q2420,'CARNET DE SOUDURE'!$AW$7:$AW$3006,0),""))</f>
        <v>2414</v>
      </c>
      <c r="Q2420" s="82" t="str">
        <f aca="false">IF(C2420="","",B2420&amp;"|"&amp;C2420)</f>
        <v>MFD-ISW → MFD-CPF|JN°1936</v>
      </c>
    </row>
    <row r="2421" customFormat="false" ht="74.6" hidden="false" customHeight="false" outlineLevel="0" collapsed="false">
      <c r="A2421" s="82" t="n">
        <f aca="false">IF(C2421="","",ROW()-6)</f>
        <v>2415</v>
      </c>
      <c r="B2421" s="80" t="s">
        <v>110</v>
      </c>
      <c r="C2421" s="113" t="s">
        <v>2940</v>
      </c>
      <c r="D2421" s="82" t="str">
        <f aca="false">IF(OR(C2421="",P2421=""),"",INDEX('CARNET DE SOUDURE'!$D$7:$D$3006,P2421)&amp;"")</f>
        <v>24</v>
      </c>
      <c r="E2421" s="114" t="str">
        <f aca="false">IF(OR(C2421="",P2421=""),"",IF(INDEX('CARNET DE SOUDURE'!$U$7:$U$3006,P2421)="","",INDEX('CARNET DE SOUDURE'!$U$7:$U$3006,P2421)))</f>
        <v/>
      </c>
      <c r="F2421" s="82" t="str">
        <f aca="false">IF(OR(C2421="",P2421=""),"",INDEX('CARNET DE SOUDURE'!$AP$7:$AP$3006,P2421))</f>
        <v/>
      </c>
      <c r="G2421" s="82" t="str">
        <f aca="false">IF(C2421="","",IF(P2421="","NJ INCONNU",INDEX('CARNET DE SOUDURE'!$AQ$7:$AQ$3006,P2421)))</f>
        <v>À SOUDER</v>
      </c>
      <c r="H2421" s="82" t="str">
        <f aca="false">IF(C2421="","",IF(G2421="ACCEPTÉ","OUI","NON"))</f>
        <v>NON</v>
      </c>
      <c r="I2421" s="83"/>
      <c r="J2421" s="80"/>
      <c r="K2421" s="81"/>
      <c r="L2421" s="81"/>
      <c r="M2421" s="81"/>
      <c r="N2421" s="84" t="str">
        <f aca="false">IF(C2421="","",IF(P2421="","NJ INCONNU",IF(I2421="",IF(H2421="OUI","À ENROBER",IF(G2421="À SOUDER","NON SOUDÉ","EN ATTENTE RT")),IF(L2421="R","À REPRENDRE",IF(H2421&lt;&gt;"OUI","⚠ ENROBÉ AVANT ACCEPTATION RT","ENROBÉ")))))</f>
        <v>NON SOUDÉ</v>
      </c>
      <c r="O2421" s="80"/>
      <c r="P2421" s="82" t="n">
        <f aca="false">IF(C2421="","",IFERROR(MATCH(Q2421,'CARNET DE SOUDURE'!$AW$7:$AW$3006,0),""))</f>
        <v>2415</v>
      </c>
      <c r="Q2421" s="82" t="str">
        <f aca="false">IF(C2421="","",B2421&amp;"|"&amp;C2421)</f>
        <v>MFD-ISW → MFD-CPF|JN°1937</v>
      </c>
    </row>
    <row r="2422" customFormat="false" ht="74.6" hidden="false" customHeight="false" outlineLevel="0" collapsed="false">
      <c r="A2422" s="82" t="n">
        <f aca="false">IF(C2422="","",ROW()-6)</f>
        <v>2416</v>
      </c>
      <c r="B2422" s="80" t="s">
        <v>110</v>
      </c>
      <c r="C2422" s="113" t="s">
        <v>2941</v>
      </c>
      <c r="D2422" s="82" t="str">
        <f aca="false">IF(OR(C2422="",P2422=""),"",INDEX('CARNET DE SOUDURE'!$D$7:$D$3006,P2422)&amp;"")</f>
        <v>24</v>
      </c>
      <c r="E2422" s="114" t="str">
        <f aca="false">IF(OR(C2422="",P2422=""),"",IF(INDEX('CARNET DE SOUDURE'!$U$7:$U$3006,P2422)="","",INDEX('CARNET DE SOUDURE'!$U$7:$U$3006,P2422)))</f>
        <v/>
      </c>
      <c r="F2422" s="82" t="str">
        <f aca="false">IF(OR(C2422="",P2422=""),"",INDEX('CARNET DE SOUDURE'!$AP$7:$AP$3006,P2422))</f>
        <v/>
      </c>
      <c r="G2422" s="82" t="str">
        <f aca="false">IF(C2422="","",IF(P2422="","NJ INCONNU",INDEX('CARNET DE SOUDURE'!$AQ$7:$AQ$3006,P2422)))</f>
        <v>À SOUDER</v>
      </c>
      <c r="H2422" s="82" t="str">
        <f aca="false">IF(C2422="","",IF(G2422="ACCEPTÉ","OUI","NON"))</f>
        <v>NON</v>
      </c>
      <c r="I2422" s="83"/>
      <c r="J2422" s="80"/>
      <c r="K2422" s="81"/>
      <c r="L2422" s="81"/>
      <c r="M2422" s="81"/>
      <c r="N2422" s="84" t="str">
        <f aca="false">IF(C2422="","",IF(P2422="","NJ INCONNU",IF(I2422="",IF(H2422="OUI","À ENROBER",IF(G2422="À SOUDER","NON SOUDÉ","EN ATTENTE RT")),IF(L2422="R","À REPRENDRE",IF(H2422&lt;&gt;"OUI","⚠ ENROBÉ AVANT ACCEPTATION RT","ENROBÉ")))))</f>
        <v>NON SOUDÉ</v>
      </c>
      <c r="O2422" s="80"/>
      <c r="P2422" s="82" t="n">
        <f aca="false">IF(C2422="","",IFERROR(MATCH(Q2422,'CARNET DE SOUDURE'!$AW$7:$AW$3006,0),""))</f>
        <v>2416</v>
      </c>
      <c r="Q2422" s="82" t="str">
        <f aca="false">IF(C2422="","",B2422&amp;"|"&amp;C2422)</f>
        <v>MFD-ISW → MFD-CPF|JN°1938</v>
      </c>
    </row>
    <row r="2423" customFormat="false" ht="74.6" hidden="false" customHeight="false" outlineLevel="0" collapsed="false">
      <c r="A2423" s="82" t="n">
        <f aca="false">IF(C2423="","",ROW()-6)</f>
        <v>2417</v>
      </c>
      <c r="B2423" s="80" t="s">
        <v>110</v>
      </c>
      <c r="C2423" s="113" t="s">
        <v>2943</v>
      </c>
      <c r="D2423" s="82" t="str">
        <f aca="false">IF(OR(C2423="",P2423=""),"",INDEX('CARNET DE SOUDURE'!$D$7:$D$3006,P2423)&amp;"")</f>
        <v>24</v>
      </c>
      <c r="E2423" s="114" t="n">
        <f aca="false">IF(OR(C2423="",P2423=""),"",IF(INDEX('CARNET DE SOUDURE'!$U$7:$U$3006,P2423)="","",INDEX('CARNET DE SOUDURE'!$U$7:$U$3006,P2423)))</f>
        <v>46253</v>
      </c>
      <c r="F2423" s="82" t="str">
        <f aca="false">IF(OR(C2423="",P2423=""),"",INDEX('CARNET DE SOUDURE'!$AP$7:$AP$3006,P2423))</f>
        <v>A</v>
      </c>
      <c r="G2423" s="82" t="str">
        <f aca="false">IF(C2423="","",IF(P2423="","NJ INCONNU",INDEX('CARNET DE SOUDURE'!$AQ$7:$AQ$3006,P2423)))</f>
        <v>ACCEPTÉ</v>
      </c>
      <c r="H2423" s="82" t="str">
        <f aca="false">IF(C2423="","",IF(G2423="ACCEPTÉ","OUI","NON"))</f>
        <v>OUI</v>
      </c>
      <c r="I2423" s="83"/>
      <c r="J2423" s="80"/>
      <c r="K2423" s="81"/>
      <c r="L2423" s="81"/>
      <c r="M2423" s="81"/>
      <c r="N2423" s="84" t="str">
        <f aca="false">IF(C2423="","",IF(P2423="","NJ INCONNU",IF(I2423="",IF(H2423="OUI","À ENROBER",IF(G2423="À SOUDER","NON SOUDÉ","EN ATTENTE RT")),IF(L2423="R","À REPRENDRE",IF(H2423&lt;&gt;"OUI","⚠ ENROBÉ AVANT ACCEPTATION RT","ENROBÉ")))))</f>
        <v>À ENROBER</v>
      </c>
      <c r="O2423" s="80"/>
      <c r="P2423" s="82" t="n">
        <f aca="false">IF(C2423="","",IFERROR(MATCH(Q2423,'CARNET DE SOUDURE'!$AW$7:$AW$3006,0),""))</f>
        <v>2417</v>
      </c>
      <c r="Q2423" s="82" t="str">
        <f aca="false">IF(C2423="","",B2423&amp;"|"&amp;C2423)</f>
        <v>MFD-ISW → MFD-CPF|JN°1939</v>
      </c>
    </row>
    <row r="2424" customFormat="false" ht="74.6" hidden="false" customHeight="false" outlineLevel="0" collapsed="false">
      <c r="A2424" s="82" t="n">
        <f aca="false">IF(C2424="","",ROW()-6)</f>
        <v>2418</v>
      </c>
      <c r="B2424" s="80" t="s">
        <v>110</v>
      </c>
      <c r="C2424" s="113" t="s">
        <v>2944</v>
      </c>
      <c r="D2424" s="82" t="str">
        <f aca="false">IF(OR(C2424="",P2424=""),"",INDEX('CARNET DE SOUDURE'!$D$7:$D$3006,P2424)&amp;"")</f>
        <v>24</v>
      </c>
      <c r="E2424" s="114" t="n">
        <f aca="false">IF(OR(C2424="",P2424=""),"",IF(INDEX('CARNET DE SOUDURE'!$U$7:$U$3006,P2424)="","",INDEX('CARNET DE SOUDURE'!$U$7:$U$3006,P2424)))</f>
        <v>46253</v>
      </c>
      <c r="F2424" s="82" t="str">
        <f aca="false">IF(OR(C2424="",P2424=""),"",INDEX('CARNET DE SOUDURE'!$AP$7:$AP$3006,P2424))</f>
        <v>A</v>
      </c>
      <c r="G2424" s="82" t="str">
        <f aca="false">IF(C2424="","",IF(P2424="","NJ INCONNU",INDEX('CARNET DE SOUDURE'!$AQ$7:$AQ$3006,P2424)))</f>
        <v>ACCEPTÉ</v>
      </c>
      <c r="H2424" s="82" t="str">
        <f aca="false">IF(C2424="","",IF(G2424="ACCEPTÉ","OUI","NON"))</f>
        <v>OUI</v>
      </c>
      <c r="I2424" s="83"/>
      <c r="J2424" s="80"/>
      <c r="K2424" s="81"/>
      <c r="L2424" s="81"/>
      <c r="M2424" s="81"/>
      <c r="N2424" s="84" t="str">
        <f aca="false">IF(C2424="","",IF(P2424="","NJ INCONNU",IF(I2424="",IF(H2424="OUI","À ENROBER",IF(G2424="À SOUDER","NON SOUDÉ","EN ATTENTE RT")),IF(L2424="R","À REPRENDRE",IF(H2424&lt;&gt;"OUI","⚠ ENROBÉ AVANT ACCEPTATION RT","ENROBÉ")))))</f>
        <v>À ENROBER</v>
      </c>
      <c r="O2424" s="80"/>
      <c r="P2424" s="82" t="n">
        <f aca="false">IF(C2424="","",IFERROR(MATCH(Q2424,'CARNET DE SOUDURE'!$AW$7:$AW$3006,0),""))</f>
        <v>2418</v>
      </c>
      <c r="Q2424" s="82" t="str">
        <f aca="false">IF(C2424="","",B2424&amp;"|"&amp;C2424)</f>
        <v>MFD-ISW → MFD-CPF|JN°1940</v>
      </c>
    </row>
    <row r="2425" customFormat="false" ht="74.6" hidden="false" customHeight="false" outlineLevel="0" collapsed="false">
      <c r="A2425" s="82" t="n">
        <f aca="false">IF(C2425="","",ROW()-6)</f>
        <v>2419</v>
      </c>
      <c r="B2425" s="80" t="s">
        <v>110</v>
      </c>
      <c r="C2425" s="113" t="s">
        <v>2945</v>
      </c>
      <c r="D2425" s="82" t="str">
        <f aca="false">IF(OR(C2425="",P2425=""),"",INDEX('CARNET DE SOUDURE'!$D$7:$D$3006,P2425)&amp;"")</f>
        <v>24</v>
      </c>
      <c r="E2425" s="114" t="n">
        <f aca="false">IF(OR(C2425="",P2425=""),"",IF(INDEX('CARNET DE SOUDURE'!$U$7:$U$3006,P2425)="","",INDEX('CARNET DE SOUDURE'!$U$7:$U$3006,P2425)))</f>
        <v>46253</v>
      </c>
      <c r="F2425" s="82" t="str">
        <f aca="false">IF(OR(C2425="",P2425=""),"",INDEX('CARNET DE SOUDURE'!$AP$7:$AP$3006,P2425))</f>
        <v>A</v>
      </c>
      <c r="G2425" s="82" t="str">
        <f aca="false">IF(C2425="","",IF(P2425="","NJ INCONNU",INDEX('CARNET DE SOUDURE'!$AQ$7:$AQ$3006,P2425)))</f>
        <v>ACCEPTÉ</v>
      </c>
      <c r="H2425" s="82" t="str">
        <f aca="false">IF(C2425="","",IF(G2425="ACCEPTÉ","OUI","NON"))</f>
        <v>OUI</v>
      </c>
      <c r="I2425" s="83"/>
      <c r="J2425" s="80"/>
      <c r="K2425" s="81"/>
      <c r="L2425" s="81"/>
      <c r="M2425" s="81"/>
      <c r="N2425" s="84" t="str">
        <f aca="false">IF(C2425="","",IF(P2425="","NJ INCONNU",IF(I2425="",IF(H2425="OUI","À ENROBER",IF(G2425="À SOUDER","NON SOUDÉ","EN ATTENTE RT")),IF(L2425="R","À REPRENDRE",IF(H2425&lt;&gt;"OUI","⚠ ENROBÉ AVANT ACCEPTATION RT","ENROBÉ")))))</f>
        <v>À ENROBER</v>
      </c>
      <c r="O2425" s="80"/>
      <c r="P2425" s="82" t="n">
        <f aca="false">IF(C2425="","",IFERROR(MATCH(Q2425,'CARNET DE SOUDURE'!$AW$7:$AW$3006,0),""))</f>
        <v>2419</v>
      </c>
      <c r="Q2425" s="82" t="str">
        <f aca="false">IF(C2425="","",B2425&amp;"|"&amp;C2425)</f>
        <v>MFD-ISW → MFD-CPF|JN°1941</v>
      </c>
    </row>
    <row r="2426" customFormat="false" ht="74.6" hidden="false" customHeight="false" outlineLevel="0" collapsed="false">
      <c r="A2426" s="82" t="n">
        <f aca="false">IF(C2426="","",ROW()-6)</f>
        <v>2420</v>
      </c>
      <c r="B2426" s="80" t="s">
        <v>110</v>
      </c>
      <c r="C2426" s="113" t="s">
        <v>2946</v>
      </c>
      <c r="D2426" s="82" t="str">
        <f aca="false">IF(OR(C2426="",P2426=""),"",INDEX('CARNET DE SOUDURE'!$D$7:$D$3006,P2426)&amp;"")</f>
        <v>24</v>
      </c>
      <c r="E2426" s="114" t="n">
        <f aca="false">IF(OR(C2426="",P2426=""),"",IF(INDEX('CARNET DE SOUDURE'!$U$7:$U$3006,P2426)="","",INDEX('CARNET DE SOUDURE'!$U$7:$U$3006,P2426)))</f>
        <v>46253</v>
      </c>
      <c r="F2426" s="82" t="str">
        <f aca="false">IF(OR(C2426="",P2426=""),"",INDEX('CARNET DE SOUDURE'!$AP$7:$AP$3006,P2426))</f>
        <v>A</v>
      </c>
      <c r="G2426" s="82" t="str">
        <f aca="false">IF(C2426="","",IF(P2426="","NJ INCONNU",INDEX('CARNET DE SOUDURE'!$AQ$7:$AQ$3006,P2426)))</f>
        <v>ACCEPTÉ</v>
      </c>
      <c r="H2426" s="82" t="str">
        <f aca="false">IF(C2426="","",IF(G2426="ACCEPTÉ","OUI","NON"))</f>
        <v>OUI</v>
      </c>
      <c r="I2426" s="83"/>
      <c r="J2426" s="80"/>
      <c r="K2426" s="81"/>
      <c r="L2426" s="81"/>
      <c r="M2426" s="81"/>
      <c r="N2426" s="84" t="str">
        <f aca="false">IF(C2426="","",IF(P2426="","NJ INCONNU",IF(I2426="",IF(H2426="OUI","À ENROBER",IF(G2426="À SOUDER","NON SOUDÉ","EN ATTENTE RT")),IF(L2426="R","À REPRENDRE",IF(H2426&lt;&gt;"OUI","⚠ ENROBÉ AVANT ACCEPTATION RT","ENROBÉ")))))</f>
        <v>À ENROBER</v>
      </c>
      <c r="O2426" s="80"/>
      <c r="P2426" s="82" t="n">
        <f aca="false">IF(C2426="","",IFERROR(MATCH(Q2426,'CARNET DE SOUDURE'!$AW$7:$AW$3006,0),""))</f>
        <v>2420</v>
      </c>
      <c r="Q2426" s="82" t="str">
        <f aca="false">IF(C2426="","",B2426&amp;"|"&amp;C2426)</f>
        <v>MFD-ISW → MFD-CPF|JN°1942</v>
      </c>
    </row>
    <row r="2427" customFormat="false" ht="74.6" hidden="false" customHeight="false" outlineLevel="0" collapsed="false">
      <c r="A2427" s="82" t="n">
        <f aca="false">IF(C2427="","",ROW()-6)</f>
        <v>2421</v>
      </c>
      <c r="B2427" s="80" t="s">
        <v>110</v>
      </c>
      <c r="C2427" s="113" t="s">
        <v>2947</v>
      </c>
      <c r="D2427" s="82" t="str">
        <f aca="false">IF(OR(C2427="",P2427=""),"",INDEX('CARNET DE SOUDURE'!$D$7:$D$3006,P2427)&amp;"")</f>
        <v>24</v>
      </c>
      <c r="E2427" s="114" t="n">
        <f aca="false">IF(OR(C2427="",P2427=""),"",IF(INDEX('CARNET DE SOUDURE'!$U$7:$U$3006,P2427)="","",INDEX('CARNET DE SOUDURE'!$U$7:$U$3006,P2427)))</f>
        <v>46253</v>
      </c>
      <c r="F2427" s="82" t="str">
        <f aca="false">IF(OR(C2427="",P2427=""),"",INDEX('CARNET DE SOUDURE'!$AP$7:$AP$3006,P2427))</f>
        <v>A</v>
      </c>
      <c r="G2427" s="82" t="str">
        <f aca="false">IF(C2427="","",IF(P2427="","NJ INCONNU",INDEX('CARNET DE SOUDURE'!$AQ$7:$AQ$3006,P2427)))</f>
        <v>ACCEPTÉ</v>
      </c>
      <c r="H2427" s="82" t="str">
        <f aca="false">IF(C2427="","",IF(G2427="ACCEPTÉ","OUI","NON"))</f>
        <v>OUI</v>
      </c>
      <c r="I2427" s="83"/>
      <c r="J2427" s="80"/>
      <c r="K2427" s="81"/>
      <c r="L2427" s="81"/>
      <c r="M2427" s="81"/>
      <c r="N2427" s="84" t="str">
        <f aca="false">IF(C2427="","",IF(P2427="","NJ INCONNU",IF(I2427="",IF(H2427="OUI","À ENROBER",IF(G2427="À SOUDER","NON SOUDÉ","EN ATTENTE RT")),IF(L2427="R","À REPRENDRE",IF(H2427&lt;&gt;"OUI","⚠ ENROBÉ AVANT ACCEPTATION RT","ENROBÉ")))))</f>
        <v>À ENROBER</v>
      </c>
      <c r="O2427" s="80"/>
      <c r="P2427" s="82" t="n">
        <f aca="false">IF(C2427="","",IFERROR(MATCH(Q2427,'CARNET DE SOUDURE'!$AW$7:$AW$3006,0),""))</f>
        <v>2421</v>
      </c>
      <c r="Q2427" s="82" t="str">
        <f aca="false">IF(C2427="","",B2427&amp;"|"&amp;C2427)</f>
        <v>MFD-ISW → MFD-CPF|JN°1943</v>
      </c>
    </row>
    <row r="2428" customFormat="false" ht="74.6" hidden="false" customHeight="false" outlineLevel="0" collapsed="false">
      <c r="A2428" s="82" t="n">
        <f aca="false">IF(C2428="","",ROW()-6)</f>
        <v>2422</v>
      </c>
      <c r="B2428" s="80" t="s">
        <v>110</v>
      </c>
      <c r="C2428" s="113" t="s">
        <v>2948</v>
      </c>
      <c r="D2428" s="82" t="str">
        <f aca="false">IF(OR(C2428="",P2428=""),"",INDEX('CARNET DE SOUDURE'!$D$7:$D$3006,P2428)&amp;"")</f>
        <v>24</v>
      </c>
      <c r="E2428" s="114" t="n">
        <f aca="false">IF(OR(C2428="",P2428=""),"",IF(INDEX('CARNET DE SOUDURE'!$U$7:$U$3006,P2428)="","",INDEX('CARNET DE SOUDURE'!$U$7:$U$3006,P2428)))</f>
        <v>46253</v>
      </c>
      <c r="F2428" s="82" t="str">
        <f aca="false">IF(OR(C2428="",P2428=""),"",INDEX('CARNET DE SOUDURE'!$AP$7:$AP$3006,P2428))</f>
        <v>A</v>
      </c>
      <c r="G2428" s="82" t="str">
        <f aca="false">IF(C2428="","",IF(P2428="","NJ INCONNU",INDEX('CARNET DE SOUDURE'!$AQ$7:$AQ$3006,P2428)))</f>
        <v>ACCEPTÉ</v>
      </c>
      <c r="H2428" s="82" t="str">
        <f aca="false">IF(C2428="","",IF(G2428="ACCEPTÉ","OUI","NON"))</f>
        <v>OUI</v>
      </c>
      <c r="I2428" s="83"/>
      <c r="J2428" s="80"/>
      <c r="K2428" s="81"/>
      <c r="L2428" s="81"/>
      <c r="M2428" s="81"/>
      <c r="N2428" s="84" t="str">
        <f aca="false">IF(C2428="","",IF(P2428="","NJ INCONNU",IF(I2428="",IF(H2428="OUI","À ENROBER",IF(G2428="À SOUDER","NON SOUDÉ","EN ATTENTE RT")),IF(L2428="R","À REPRENDRE",IF(H2428&lt;&gt;"OUI","⚠ ENROBÉ AVANT ACCEPTATION RT","ENROBÉ")))))</f>
        <v>À ENROBER</v>
      </c>
      <c r="O2428" s="80"/>
      <c r="P2428" s="82" t="n">
        <f aca="false">IF(C2428="","",IFERROR(MATCH(Q2428,'CARNET DE SOUDURE'!$AW$7:$AW$3006,0),""))</f>
        <v>2422</v>
      </c>
      <c r="Q2428" s="82" t="str">
        <f aca="false">IF(C2428="","",B2428&amp;"|"&amp;C2428)</f>
        <v>MFD-ISW → MFD-CPF|JN°1944</v>
      </c>
    </row>
    <row r="2429" customFormat="false" ht="74.6" hidden="false" customHeight="false" outlineLevel="0" collapsed="false">
      <c r="A2429" s="82" t="n">
        <f aca="false">IF(C2429="","",ROW()-6)</f>
        <v>2423</v>
      </c>
      <c r="B2429" s="80" t="s">
        <v>110</v>
      </c>
      <c r="C2429" s="113" t="s">
        <v>2950</v>
      </c>
      <c r="D2429" s="82" t="str">
        <f aca="false">IF(OR(C2429="",P2429=""),"",INDEX('CARNET DE SOUDURE'!$D$7:$D$3006,P2429)&amp;"")</f>
        <v>24</v>
      </c>
      <c r="E2429" s="114" t="n">
        <f aca="false">IF(OR(C2429="",P2429=""),"",IF(INDEX('CARNET DE SOUDURE'!$U$7:$U$3006,P2429)="","",INDEX('CARNET DE SOUDURE'!$U$7:$U$3006,P2429)))</f>
        <v>46253</v>
      </c>
      <c r="F2429" s="82" t="str">
        <f aca="false">IF(OR(C2429="",P2429=""),"",INDEX('CARNET DE SOUDURE'!$AP$7:$AP$3006,P2429))</f>
        <v>A</v>
      </c>
      <c r="G2429" s="82" t="str">
        <f aca="false">IF(C2429="","",IF(P2429="","NJ INCONNU",INDEX('CARNET DE SOUDURE'!$AQ$7:$AQ$3006,P2429)))</f>
        <v>ACCEPTÉ</v>
      </c>
      <c r="H2429" s="82" t="str">
        <f aca="false">IF(C2429="","",IF(G2429="ACCEPTÉ","OUI","NON"))</f>
        <v>OUI</v>
      </c>
      <c r="I2429" s="83"/>
      <c r="J2429" s="80"/>
      <c r="K2429" s="81"/>
      <c r="L2429" s="81"/>
      <c r="M2429" s="81"/>
      <c r="N2429" s="84" t="str">
        <f aca="false">IF(C2429="","",IF(P2429="","NJ INCONNU",IF(I2429="",IF(H2429="OUI","À ENROBER",IF(G2429="À SOUDER","NON SOUDÉ","EN ATTENTE RT")),IF(L2429="R","À REPRENDRE",IF(H2429&lt;&gt;"OUI","⚠ ENROBÉ AVANT ACCEPTATION RT","ENROBÉ")))))</f>
        <v>À ENROBER</v>
      </c>
      <c r="O2429" s="80"/>
      <c r="P2429" s="82" t="n">
        <f aca="false">IF(C2429="","",IFERROR(MATCH(Q2429,'CARNET DE SOUDURE'!$AW$7:$AW$3006,0),""))</f>
        <v>2423</v>
      </c>
      <c r="Q2429" s="82" t="str">
        <f aca="false">IF(C2429="","",B2429&amp;"|"&amp;C2429)</f>
        <v>MFD-ISW → MFD-CPF|JN°1945</v>
      </c>
    </row>
    <row r="2430" customFormat="false" ht="74.6" hidden="false" customHeight="false" outlineLevel="0" collapsed="false">
      <c r="A2430" s="82" t="n">
        <f aca="false">IF(C2430="","",ROW()-6)</f>
        <v>2424</v>
      </c>
      <c r="B2430" s="80" t="s">
        <v>110</v>
      </c>
      <c r="C2430" s="113" t="s">
        <v>2951</v>
      </c>
      <c r="D2430" s="82" t="str">
        <f aca="false">IF(OR(C2430="",P2430=""),"",INDEX('CARNET DE SOUDURE'!$D$7:$D$3006,P2430)&amp;"")</f>
        <v>24</v>
      </c>
      <c r="E2430" s="114" t="n">
        <f aca="false">IF(OR(C2430="",P2430=""),"",IF(INDEX('CARNET DE SOUDURE'!$U$7:$U$3006,P2430)="","",INDEX('CARNET DE SOUDURE'!$U$7:$U$3006,P2430)))</f>
        <v>46253</v>
      </c>
      <c r="F2430" s="82" t="str">
        <f aca="false">IF(OR(C2430="",P2430=""),"",INDEX('CARNET DE SOUDURE'!$AP$7:$AP$3006,P2430))</f>
        <v>A</v>
      </c>
      <c r="G2430" s="82" t="str">
        <f aca="false">IF(C2430="","",IF(P2430="","NJ INCONNU",INDEX('CARNET DE SOUDURE'!$AQ$7:$AQ$3006,P2430)))</f>
        <v>ACCEPTÉ</v>
      </c>
      <c r="H2430" s="82" t="str">
        <f aca="false">IF(C2430="","",IF(G2430="ACCEPTÉ","OUI","NON"))</f>
        <v>OUI</v>
      </c>
      <c r="I2430" s="83"/>
      <c r="J2430" s="80"/>
      <c r="K2430" s="81"/>
      <c r="L2430" s="81"/>
      <c r="M2430" s="81"/>
      <c r="N2430" s="84" t="str">
        <f aca="false">IF(C2430="","",IF(P2430="","NJ INCONNU",IF(I2430="",IF(H2430="OUI","À ENROBER",IF(G2430="À SOUDER","NON SOUDÉ","EN ATTENTE RT")),IF(L2430="R","À REPRENDRE",IF(H2430&lt;&gt;"OUI","⚠ ENROBÉ AVANT ACCEPTATION RT","ENROBÉ")))))</f>
        <v>À ENROBER</v>
      </c>
      <c r="O2430" s="80"/>
      <c r="P2430" s="82" t="n">
        <f aca="false">IF(C2430="","",IFERROR(MATCH(Q2430,'CARNET DE SOUDURE'!$AW$7:$AW$3006,0),""))</f>
        <v>2424</v>
      </c>
      <c r="Q2430" s="82" t="str">
        <f aca="false">IF(C2430="","",B2430&amp;"|"&amp;C2430)</f>
        <v>MFD-ISW → MFD-CPF|JN°1946</v>
      </c>
    </row>
    <row r="2431" customFormat="false" ht="74.6" hidden="false" customHeight="false" outlineLevel="0" collapsed="false">
      <c r="A2431" s="82" t="n">
        <f aca="false">IF(C2431="","",ROW()-6)</f>
        <v>2425</v>
      </c>
      <c r="B2431" s="80" t="s">
        <v>110</v>
      </c>
      <c r="C2431" s="113" t="s">
        <v>2952</v>
      </c>
      <c r="D2431" s="82" t="str">
        <f aca="false">IF(OR(C2431="",P2431=""),"",INDEX('CARNET DE SOUDURE'!$D$7:$D$3006,P2431)&amp;"")</f>
        <v>24</v>
      </c>
      <c r="E2431" s="114" t="str">
        <f aca="false">IF(OR(C2431="",P2431=""),"",IF(INDEX('CARNET DE SOUDURE'!$U$7:$U$3006,P2431)="","",INDEX('CARNET DE SOUDURE'!$U$7:$U$3006,P2431)))</f>
        <v/>
      </c>
      <c r="F2431" s="82" t="str">
        <f aca="false">IF(OR(C2431="",P2431=""),"",INDEX('CARNET DE SOUDURE'!$AP$7:$AP$3006,P2431))</f>
        <v/>
      </c>
      <c r="G2431" s="82" t="str">
        <f aca="false">IF(C2431="","",IF(P2431="","NJ INCONNU",INDEX('CARNET DE SOUDURE'!$AQ$7:$AQ$3006,P2431)))</f>
        <v>À SOUDER</v>
      </c>
      <c r="H2431" s="82" t="str">
        <f aca="false">IF(C2431="","",IF(G2431="ACCEPTÉ","OUI","NON"))</f>
        <v>NON</v>
      </c>
      <c r="I2431" s="83"/>
      <c r="J2431" s="80"/>
      <c r="K2431" s="81"/>
      <c r="L2431" s="81"/>
      <c r="M2431" s="81"/>
      <c r="N2431" s="84" t="str">
        <f aca="false">IF(C2431="","",IF(P2431="","NJ INCONNU",IF(I2431="",IF(H2431="OUI","À ENROBER",IF(G2431="À SOUDER","NON SOUDÉ","EN ATTENTE RT")),IF(L2431="R","À REPRENDRE",IF(H2431&lt;&gt;"OUI","⚠ ENROBÉ AVANT ACCEPTATION RT","ENROBÉ")))))</f>
        <v>NON SOUDÉ</v>
      </c>
      <c r="O2431" s="80"/>
      <c r="P2431" s="82" t="n">
        <f aca="false">IF(C2431="","",IFERROR(MATCH(Q2431,'CARNET DE SOUDURE'!$AW$7:$AW$3006,0),""))</f>
        <v>2425</v>
      </c>
      <c r="Q2431" s="82" t="str">
        <f aca="false">IF(C2431="","",B2431&amp;"|"&amp;C2431)</f>
        <v>MFD-ISW → MFD-CPF|JN°1947</v>
      </c>
    </row>
    <row r="2432" customFormat="false" ht="74.6" hidden="false" customHeight="false" outlineLevel="0" collapsed="false">
      <c r="A2432" s="82" t="n">
        <f aca="false">IF(C2432="","",ROW()-6)</f>
        <v>2426</v>
      </c>
      <c r="B2432" s="80" t="s">
        <v>110</v>
      </c>
      <c r="C2432" s="113" t="s">
        <v>2953</v>
      </c>
      <c r="D2432" s="82" t="str">
        <f aca="false">IF(OR(C2432="",P2432=""),"",INDEX('CARNET DE SOUDURE'!$D$7:$D$3006,P2432)&amp;"")</f>
        <v>24</v>
      </c>
      <c r="E2432" s="114" t="str">
        <f aca="false">IF(OR(C2432="",P2432=""),"",IF(INDEX('CARNET DE SOUDURE'!$U$7:$U$3006,P2432)="","",INDEX('CARNET DE SOUDURE'!$U$7:$U$3006,P2432)))</f>
        <v/>
      </c>
      <c r="F2432" s="82" t="str">
        <f aca="false">IF(OR(C2432="",P2432=""),"",INDEX('CARNET DE SOUDURE'!$AP$7:$AP$3006,P2432))</f>
        <v/>
      </c>
      <c r="G2432" s="82" t="str">
        <f aca="false">IF(C2432="","",IF(P2432="","NJ INCONNU",INDEX('CARNET DE SOUDURE'!$AQ$7:$AQ$3006,P2432)))</f>
        <v>À SOUDER</v>
      </c>
      <c r="H2432" s="82" t="str">
        <f aca="false">IF(C2432="","",IF(G2432="ACCEPTÉ","OUI","NON"))</f>
        <v>NON</v>
      </c>
      <c r="I2432" s="83"/>
      <c r="J2432" s="80"/>
      <c r="K2432" s="81"/>
      <c r="L2432" s="81"/>
      <c r="M2432" s="81"/>
      <c r="N2432" s="84" t="str">
        <f aca="false">IF(C2432="","",IF(P2432="","NJ INCONNU",IF(I2432="",IF(H2432="OUI","À ENROBER",IF(G2432="À SOUDER","NON SOUDÉ","EN ATTENTE RT")),IF(L2432="R","À REPRENDRE",IF(H2432&lt;&gt;"OUI","⚠ ENROBÉ AVANT ACCEPTATION RT","ENROBÉ")))))</f>
        <v>NON SOUDÉ</v>
      </c>
      <c r="O2432" s="80"/>
      <c r="P2432" s="82" t="n">
        <f aca="false">IF(C2432="","",IFERROR(MATCH(Q2432,'CARNET DE SOUDURE'!$AW$7:$AW$3006,0),""))</f>
        <v>2426</v>
      </c>
      <c r="Q2432" s="82" t="str">
        <f aca="false">IF(C2432="","",B2432&amp;"|"&amp;C2432)</f>
        <v>MFD-ISW → MFD-CPF|JN°1948</v>
      </c>
    </row>
    <row r="2433" customFormat="false" ht="74.6" hidden="false" customHeight="false" outlineLevel="0" collapsed="false">
      <c r="A2433" s="82" t="n">
        <f aca="false">IF(C2433="","",ROW()-6)</f>
        <v>2427</v>
      </c>
      <c r="B2433" s="80" t="s">
        <v>110</v>
      </c>
      <c r="C2433" s="113" t="s">
        <v>2954</v>
      </c>
      <c r="D2433" s="82" t="str">
        <f aca="false">IF(OR(C2433="",P2433=""),"",INDEX('CARNET DE SOUDURE'!$D$7:$D$3006,P2433)&amp;"")</f>
        <v>24</v>
      </c>
      <c r="E2433" s="114" t="str">
        <f aca="false">IF(OR(C2433="",P2433=""),"",IF(INDEX('CARNET DE SOUDURE'!$U$7:$U$3006,P2433)="","",INDEX('CARNET DE SOUDURE'!$U$7:$U$3006,P2433)))</f>
        <v/>
      </c>
      <c r="F2433" s="82" t="str">
        <f aca="false">IF(OR(C2433="",P2433=""),"",INDEX('CARNET DE SOUDURE'!$AP$7:$AP$3006,P2433))</f>
        <v/>
      </c>
      <c r="G2433" s="82" t="str">
        <f aca="false">IF(C2433="","",IF(P2433="","NJ INCONNU",INDEX('CARNET DE SOUDURE'!$AQ$7:$AQ$3006,P2433)))</f>
        <v>À SOUDER</v>
      </c>
      <c r="H2433" s="82" t="str">
        <f aca="false">IF(C2433="","",IF(G2433="ACCEPTÉ","OUI","NON"))</f>
        <v>NON</v>
      </c>
      <c r="I2433" s="83"/>
      <c r="J2433" s="80"/>
      <c r="K2433" s="81"/>
      <c r="L2433" s="81"/>
      <c r="M2433" s="81"/>
      <c r="N2433" s="84" t="str">
        <f aca="false">IF(C2433="","",IF(P2433="","NJ INCONNU",IF(I2433="",IF(H2433="OUI","À ENROBER",IF(G2433="À SOUDER","NON SOUDÉ","EN ATTENTE RT")),IF(L2433="R","À REPRENDRE",IF(H2433&lt;&gt;"OUI","⚠ ENROBÉ AVANT ACCEPTATION RT","ENROBÉ")))))</f>
        <v>NON SOUDÉ</v>
      </c>
      <c r="O2433" s="80"/>
      <c r="P2433" s="82" t="n">
        <f aca="false">IF(C2433="","",IFERROR(MATCH(Q2433,'CARNET DE SOUDURE'!$AW$7:$AW$3006,0),""))</f>
        <v>2427</v>
      </c>
      <c r="Q2433" s="82" t="str">
        <f aca="false">IF(C2433="","",B2433&amp;"|"&amp;C2433)</f>
        <v>MFD-ISW → MFD-CPF|JN°1949</v>
      </c>
    </row>
    <row r="2434" customFormat="false" ht="74.6" hidden="false" customHeight="false" outlineLevel="0" collapsed="false">
      <c r="A2434" s="82" t="n">
        <f aca="false">IF(C2434="","",ROW()-6)</f>
        <v>2428</v>
      </c>
      <c r="B2434" s="80" t="s">
        <v>110</v>
      </c>
      <c r="C2434" s="113" t="s">
        <v>2955</v>
      </c>
      <c r="D2434" s="82" t="str">
        <f aca="false">IF(OR(C2434="",P2434=""),"",INDEX('CARNET DE SOUDURE'!$D$7:$D$3006,P2434)&amp;"")</f>
        <v>24</v>
      </c>
      <c r="E2434" s="114" t="str">
        <f aca="false">IF(OR(C2434="",P2434=""),"",IF(INDEX('CARNET DE SOUDURE'!$U$7:$U$3006,P2434)="","",INDEX('CARNET DE SOUDURE'!$U$7:$U$3006,P2434)))</f>
        <v/>
      </c>
      <c r="F2434" s="82" t="str">
        <f aca="false">IF(OR(C2434="",P2434=""),"",INDEX('CARNET DE SOUDURE'!$AP$7:$AP$3006,P2434))</f>
        <v/>
      </c>
      <c r="G2434" s="82" t="str">
        <f aca="false">IF(C2434="","",IF(P2434="","NJ INCONNU",INDEX('CARNET DE SOUDURE'!$AQ$7:$AQ$3006,P2434)))</f>
        <v>À SOUDER</v>
      </c>
      <c r="H2434" s="82" t="str">
        <f aca="false">IF(C2434="","",IF(G2434="ACCEPTÉ","OUI","NON"))</f>
        <v>NON</v>
      </c>
      <c r="I2434" s="83"/>
      <c r="J2434" s="80"/>
      <c r="K2434" s="81"/>
      <c r="L2434" s="81"/>
      <c r="M2434" s="81"/>
      <c r="N2434" s="84" t="str">
        <f aca="false">IF(C2434="","",IF(P2434="","NJ INCONNU",IF(I2434="",IF(H2434="OUI","À ENROBER",IF(G2434="À SOUDER","NON SOUDÉ","EN ATTENTE RT")),IF(L2434="R","À REPRENDRE",IF(H2434&lt;&gt;"OUI","⚠ ENROBÉ AVANT ACCEPTATION RT","ENROBÉ")))))</f>
        <v>NON SOUDÉ</v>
      </c>
      <c r="O2434" s="80"/>
      <c r="P2434" s="82" t="n">
        <f aca="false">IF(C2434="","",IFERROR(MATCH(Q2434,'CARNET DE SOUDURE'!$AW$7:$AW$3006,0),""))</f>
        <v>2428</v>
      </c>
      <c r="Q2434" s="82" t="str">
        <f aca="false">IF(C2434="","",B2434&amp;"|"&amp;C2434)</f>
        <v>MFD-ISW → MFD-CPF|JN°1950</v>
      </c>
    </row>
    <row r="2435" customFormat="false" ht="74.6" hidden="false" customHeight="false" outlineLevel="0" collapsed="false">
      <c r="A2435" s="82" t="n">
        <f aca="false">IF(C2435="","",ROW()-6)</f>
        <v>2429</v>
      </c>
      <c r="B2435" s="80" t="s">
        <v>110</v>
      </c>
      <c r="C2435" s="113" t="s">
        <v>2957</v>
      </c>
      <c r="D2435" s="82" t="str">
        <f aca="false">IF(OR(C2435="",P2435=""),"",INDEX('CARNET DE SOUDURE'!$D$7:$D$3006,P2435)&amp;"")</f>
        <v>24</v>
      </c>
      <c r="E2435" s="114" t="n">
        <f aca="false">IF(OR(C2435="",P2435=""),"",IF(INDEX('CARNET DE SOUDURE'!$U$7:$U$3006,P2435)="","",INDEX('CARNET DE SOUDURE'!$U$7:$U$3006,P2435)))</f>
        <v>46253</v>
      </c>
      <c r="F2435" s="82" t="str">
        <f aca="false">IF(OR(C2435="",P2435=""),"",INDEX('CARNET DE SOUDURE'!$AP$7:$AP$3006,P2435))</f>
        <v>A</v>
      </c>
      <c r="G2435" s="82" t="str">
        <f aca="false">IF(C2435="","",IF(P2435="","NJ INCONNU",INDEX('CARNET DE SOUDURE'!$AQ$7:$AQ$3006,P2435)))</f>
        <v>ACCEPTÉ</v>
      </c>
      <c r="H2435" s="82" t="str">
        <f aca="false">IF(C2435="","",IF(G2435="ACCEPTÉ","OUI","NON"))</f>
        <v>OUI</v>
      </c>
      <c r="I2435" s="83"/>
      <c r="J2435" s="80"/>
      <c r="K2435" s="81"/>
      <c r="L2435" s="81"/>
      <c r="M2435" s="81"/>
      <c r="N2435" s="84" t="str">
        <f aca="false">IF(C2435="","",IF(P2435="","NJ INCONNU",IF(I2435="",IF(H2435="OUI","À ENROBER",IF(G2435="À SOUDER","NON SOUDÉ","EN ATTENTE RT")),IF(L2435="R","À REPRENDRE",IF(H2435&lt;&gt;"OUI","⚠ ENROBÉ AVANT ACCEPTATION RT","ENROBÉ")))))</f>
        <v>À ENROBER</v>
      </c>
      <c r="O2435" s="80"/>
      <c r="P2435" s="82" t="n">
        <f aca="false">IF(C2435="","",IFERROR(MATCH(Q2435,'CARNET DE SOUDURE'!$AW$7:$AW$3006,0),""))</f>
        <v>2429</v>
      </c>
      <c r="Q2435" s="82" t="str">
        <f aca="false">IF(C2435="","",B2435&amp;"|"&amp;C2435)</f>
        <v>MFD-ISW → MFD-CPF|JN°1951</v>
      </c>
    </row>
    <row r="2436" customFormat="false" ht="74.6" hidden="false" customHeight="false" outlineLevel="0" collapsed="false">
      <c r="A2436" s="82" t="n">
        <f aca="false">IF(C2436="","",ROW()-6)</f>
        <v>2430</v>
      </c>
      <c r="B2436" s="80" t="s">
        <v>110</v>
      </c>
      <c r="C2436" s="113" t="s">
        <v>2958</v>
      </c>
      <c r="D2436" s="82" t="str">
        <f aca="false">IF(OR(C2436="",P2436=""),"",INDEX('CARNET DE SOUDURE'!$D$7:$D$3006,P2436)&amp;"")</f>
        <v>24</v>
      </c>
      <c r="E2436" s="114" t="n">
        <f aca="false">IF(OR(C2436="",P2436=""),"",IF(INDEX('CARNET DE SOUDURE'!$U$7:$U$3006,P2436)="","",INDEX('CARNET DE SOUDURE'!$U$7:$U$3006,P2436)))</f>
        <v>46253</v>
      </c>
      <c r="F2436" s="82" t="str">
        <f aca="false">IF(OR(C2436="",P2436=""),"",INDEX('CARNET DE SOUDURE'!$AP$7:$AP$3006,P2436))</f>
        <v>A</v>
      </c>
      <c r="G2436" s="82" t="str">
        <f aca="false">IF(C2436="","",IF(P2436="","NJ INCONNU",INDEX('CARNET DE SOUDURE'!$AQ$7:$AQ$3006,P2436)))</f>
        <v>ACCEPTÉ</v>
      </c>
      <c r="H2436" s="82" t="str">
        <f aca="false">IF(C2436="","",IF(G2436="ACCEPTÉ","OUI","NON"))</f>
        <v>OUI</v>
      </c>
      <c r="I2436" s="83"/>
      <c r="J2436" s="80"/>
      <c r="K2436" s="81"/>
      <c r="L2436" s="81"/>
      <c r="M2436" s="81"/>
      <c r="N2436" s="84" t="str">
        <f aca="false">IF(C2436="","",IF(P2436="","NJ INCONNU",IF(I2436="",IF(H2436="OUI","À ENROBER",IF(G2436="À SOUDER","NON SOUDÉ","EN ATTENTE RT")),IF(L2436="R","À REPRENDRE",IF(H2436&lt;&gt;"OUI","⚠ ENROBÉ AVANT ACCEPTATION RT","ENROBÉ")))))</f>
        <v>À ENROBER</v>
      </c>
      <c r="O2436" s="80"/>
      <c r="P2436" s="82" t="n">
        <f aca="false">IF(C2436="","",IFERROR(MATCH(Q2436,'CARNET DE SOUDURE'!$AW$7:$AW$3006,0),""))</f>
        <v>2430</v>
      </c>
      <c r="Q2436" s="82" t="str">
        <f aca="false">IF(C2436="","",B2436&amp;"|"&amp;C2436)</f>
        <v>MFD-ISW → MFD-CPF|JN°1952</v>
      </c>
    </row>
    <row r="2437" customFormat="false" ht="74.6" hidden="false" customHeight="false" outlineLevel="0" collapsed="false">
      <c r="A2437" s="82" t="n">
        <f aca="false">IF(C2437="","",ROW()-6)</f>
        <v>2431</v>
      </c>
      <c r="B2437" s="80" t="s">
        <v>110</v>
      </c>
      <c r="C2437" s="113" t="s">
        <v>2959</v>
      </c>
      <c r="D2437" s="82" t="str">
        <f aca="false">IF(OR(C2437="",P2437=""),"",INDEX('CARNET DE SOUDURE'!$D$7:$D$3006,P2437)&amp;"")</f>
        <v>24</v>
      </c>
      <c r="E2437" s="114" t="n">
        <f aca="false">IF(OR(C2437="",P2437=""),"",IF(INDEX('CARNET DE SOUDURE'!$U$7:$U$3006,P2437)="","",INDEX('CARNET DE SOUDURE'!$U$7:$U$3006,P2437)))</f>
        <v>46253</v>
      </c>
      <c r="F2437" s="82" t="str">
        <f aca="false">IF(OR(C2437="",P2437=""),"",INDEX('CARNET DE SOUDURE'!$AP$7:$AP$3006,P2437))</f>
        <v>A</v>
      </c>
      <c r="G2437" s="82" t="str">
        <f aca="false">IF(C2437="","",IF(P2437="","NJ INCONNU",INDEX('CARNET DE SOUDURE'!$AQ$7:$AQ$3006,P2437)))</f>
        <v>ACCEPTÉ</v>
      </c>
      <c r="H2437" s="82" t="str">
        <f aca="false">IF(C2437="","",IF(G2437="ACCEPTÉ","OUI","NON"))</f>
        <v>OUI</v>
      </c>
      <c r="I2437" s="83"/>
      <c r="J2437" s="80"/>
      <c r="K2437" s="81"/>
      <c r="L2437" s="81"/>
      <c r="M2437" s="81"/>
      <c r="N2437" s="84" t="str">
        <f aca="false">IF(C2437="","",IF(P2437="","NJ INCONNU",IF(I2437="",IF(H2437="OUI","À ENROBER",IF(G2437="À SOUDER","NON SOUDÉ","EN ATTENTE RT")),IF(L2437="R","À REPRENDRE",IF(H2437&lt;&gt;"OUI","⚠ ENROBÉ AVANT ACCEPTATION RT","ENROBÉ")))))</f>
        <v>À ENROBER</v>
      </c>
      <c r="O2437" s="80"/>
      <c r="P2437" s="82" t="n">
        <f aca="false">IF(C2437="","",IFERROR(MATCH(Q2437,'CARNET DE SOUDURE'!$AW$7:$AW$3006,0),""))</f>
        <v>2431</v>
      </c>
      <c r="Q2437" s="82" t="str">
        <f aca="false">IF(C2437="","",B2437&amp;"|"&amp;C2437)</f>
        <v>MFD-ISW → MFD-CPF|JN°1953</v>
      </c>
    </row>
    <row r="2438" customFormat="false" ht="74.6" hidden="false" customHeight="false" outlineLevel="0" collapsed="false">
      <c r="A2438" s="82" t="n">
        <f aca="false">IF(C2438="","",ROW()-6)</f>
        <v>2432</v>
      </c>
      <c r="B2438" s="80" t="s">
        <v>110</v>
      </c>
      <c r="C2438" s="113" t="s">
        <v>2960</v>
      </c>
      <c r="D2438" s="82" t="str">
        <f aca="false">IF(OR(C2438="",P2438=""),"",INDEX('CARNET DE SOUDURE'!$D$7:$D$3006,P2438)&amp;"")</f>
        <v>24</v>
      </c>
      <c r="E2438" s="114" t="n">
        <f aca="false">IF(OR(C2438="",P2438=""),"",IF(INDEX('CARNET DE SOUDURE'!$U$7:$U$3006,P2438)="","",INDEX('CARNET DE SOUDURE'!$U$7:$U$3006,P2438)))</f>
        <v>46273</v>
      </c>
      <c r="F2438" s="82" t="str">
        <f aca="false">IF(OR(C2438="",P2438=""),"",INDEX('CARNET DE SOUDURE'!$AP$7:$AP$3006,P2438))</f>
        <v>A</v>
      </c>
      <c r="G2438" s="82" t="str">
        <f aca="false">IF(C2438="","",IF(P2438="","NJ INCONNU",INDEX('CARNET DE SOUDURE'!$AQ$7:$AQ$3006,P2438)))</f>
        <v>ACCEPTÉ</v>
      </c>
      <c r="H2438" s="82" t="str">
        <f aca="false">IF(C2438="","",IF(G2438="ACCEPTÉ","OUI","NON"))</f>
        <v>OUI</v>
      </c>
      <c r="I2438" s="83"/>
      <c r="J2438" s="80"/>
      <c r="K2438" s="81"/>
      <c r="L2438" s="81"/>
      <c r="M2438" s="81"/>
      <c r="N2438" s="84" t="str">
        <f aca="false">IF(C2438="","",IF(P2438="","NJ INCONNU",IF(I2438="",IF(H2438="OUI","À ENROBER",IF(G2438="À SOUDER","NON SOUDÉ","EN ATTENTE RT")),IF(L2438="R","À REPRENDRE",IF(H2438&lt;&gt;"OUI","⚠ ENROBÉ AVANT ACCEPTATION RT","ENROBÉ")))))</f>
        <v>À ENROBER</v>
      </c>
      <c r="O2438" s="80"/>
      <c r="P2438" s="82" t="n">
        <f aca="false">IF(C2438="","",IFERROR(MATCH(Q2438,'CARNET DE SOUDURE'!$AW$7:$AW$3006,0),""))</f>
        <v>2432</v>
      </c>
      <c r="Q2438" s="82" t="str">
        <f aca="false">IF(C2438="","",B2438&amp;"|"&amp;C2438)</f>
        <v>MFD-ISW → MFD-CPF|JN°1954R</v>
      </c>
    </row>
    <row r="2439" customFormat="false" ht="74.6" hidden="false" customHeight="false" outlineLevel="0" collapsed="false">
      <c r="A2439" s="82" t="n">
        <f aca="false">IF(C2439="","",ROW()-6)</f>
        <v>2433</v>
      </c>
      <c r="B2439" s="80" t="s">
        <v>110</v>
      </c>
      <c r="C2439" s="113" t="s">
        <v>2961</v>
      </c>
      <c r="D2439" s="82" t="str">
        <f aca="false">IF(OR(C2439="",P2439=""),"",INDEX('CARNET DE SOUDURE'!$D$7:$D$3006,P2439)&amp;"")</f>
        <v>24</v>
      </c>
      <c r="E2439" s="114" t="n">
        <f aca="false">IF(OR(C2439="",P2439=""),"",IF(INDEX('CARNET DE SOUDURE'!$U$7:$U$3006,P2439)="","",INDEX('CARNET DE SOUDURE'!$U$7:$U$3006,P2439)))</f>
        <v>46253</v>
      </c>
      <c r="F2439" s="82" t="str">
        <f aca="false">IF(OR(C2439="",P2439=""),"",INDEX('CARNET DE SOUDURE'!$AP$7:$AP$3006,P2439))</f>
        <v>A</v>
      </c>
      <c r="G2439" s="82" t="str">
        <f aca="false">IF(C2439="","",IF(P2439="","NJ INCONNU",INDEX('CARNET DE SOUDURE'!$AQ$7:$AQ$3006,P2439)))</f>
        <v>ACCEPTÉ</v>
      </c>
      <c r="H2439" s="82" t="str">
        <f aca="false">IF(C2439="","",IF(G2439="ACCEPTÉ","OUI","NON"))</f>
        <v>OUI</v>
      </c>
      <c r="I2439" s="83"/>
      <c r="J2439" s="80"/>
      <c r="K2439" s="81"/>
      <c r="L2439" s="81"/>
      <c r="M2439" s="81"/>
      <c r="N2439" s="84" t="str">
        <f aca="false">IF(C2439="","",IF(P2439="","NJ INCONNU",IF(I2439="",IF(H2439="OUI","À ENROBER",IF(G2439="À SOUDER","NON SOUDÉ","EN ATTENTE RT")),IF(L2439="R","À REPRENDRE",IF(H2439&lt;&gt;"OUI","⚠ ENROBÉ AVANT ACCEPTATION RT","ENROBÉ")))))</f>
        <v>À ENROBER</v>
      </c>
      <c r="O2439" s="80"/>
      <c r="P2439" s="82" t="n">
        <f aca="false">IF(C2439="","",IFERROR(MATCH(Q2439,'CARNET DE SOUDURE'!$AW$7:$AW$3006,0),""))</f>
        <v>2433</v>
      </c>
      <c r="Q2439" s="82" t="str">
        <f aca="false">IF(C2439="","",B2439&amp;"|"&amp;C2439)</f>
        <v>MFD-ISW → MFD-CPF|JN°1955</v>
      </c>
    </row>
    <row r="2440" customFormat="false" ht="74.6" hidden="false" customHeight="false" outlineLevel="0" collapsed="false">
      <c r="A2440" s="82" t="n">
        <f aca="false">IF(C2440="","",ROW()-6)</f>
        <v>2434</v>
      </c>
      <c r="B2440" s="80" t="s">
        <v>110</v>
      </c>
      <c r="C2440" s="113" t="s">
        <v>2963</v>
      </c>
      <c r="D2440" s="82" t="str">
        <f aca="false">IF(OR(C2440="",P2440=""),"",INDEX('CARNET DE SOUDURE'!$D$7:$D$3006,P2440)&amp;"")</f>
        <v>24</v>
      </c>
      <c r="E2440" s="114" t="n">
        <f aca="false">IF(OR(C2440="",P2440=""),"",IF(INDEX('CARNET DE SOUDURE'!$U$7:$U$3006,P2440)="","",INDEX('CARNET DE SOUDURE'!$U$7:$U$3006,P2440)))</f>
        <v>46253</v>
      </c>
      <c r="F2440" s="82" t="str">
        <f aca="false">IF(OR(C2440="",P2440=""),"",INDEX('CARNET DE SOUDURE'!$AP$7:$AP$3006,P2440))</f>
        <v>A</v>
      </c>
      <c r="G2440" s="82" t="str">
        <f aca="false">IF(C2440="","",IF(P2440="","NJ INCONNU",INDEX('CARNET DE SOUDURE'!$AQ$7:$AQ$3006,P2440)))</f>
        <v>ACCEPTÉ</v>
      </c>
      <c r="H2440" s="82" t="str">
        <f aca="false">IF(C2440="","",IF(G2440="ACCEPTÉ","OUI","NON"))</f>
        <v>OUI</v>
      </c>
      <c r="I2440" s="83"/>
      <c r="J2440" s="80"/>
      <c r="K2440" s="81"/>
      <c r="L2440" s="81"/>
      <c r="M2440" s="81"/>
      <c r="N2440" s="84" t="str">
        <f aca="false">IF(C2440="","",IF(P2440="","NJ INCONNU",IF(I2440="",IF(H2440="OUI","À ENROBER",IF(G2440="À SOUDER","NON SOUDÉ","EN ATTENTE RT")),IF(L2440="R","À REPRENDRE",IF(H2440&lt;&gt;"OUI","⚠ ENROBÉ AVANT ACCEPTATION RT","ENROBÉ")))))</f>
        <v>À ENROBER</v>
      </c>
      <c r="O2440" s="80"/>
      <c r="P2440" s="82" t="n">
        <f aca="false">IF(C2440="","",IFERROR(MATCH(Q2440,'CARNET DE SOUDURE'!$AW$7:$AW$3006,0),""))</f>
        <v>2434</v>
      </c>
      <c r="Q2440" s="82" t="str">
        <f aca="false">IF(C2440="","",B2440&amp;"|"&amp;C2440)</f>
        <v>MFD-ISW → MFD-CPF|JN°1956</v>
      </c>
    </row>
    <row r="2441" customFormat="false" ht="74.6" hidden="false" customHeight="false" outlineLevel="0" collapsed="false">
      <c r="A2441" s="82" t="n">
        <f aca="false">IF(C2441="","",ROW()-6)</f>
        <v>2435</v>
      </c>
      <c r="B2441" s="80" t="s">
        <v>110</v>
      </c>
      <c r="C2441" s="113" t="s">
        <v>2964</v>
      </c>
      <c r="D2441" s="82" t="str">
        <f aca="false">IF(OR(C2441="",P2441=""),"",INDEX('CARNET DE SOUDURE'!$D$7:$D$3006,P2441)&amp;"")</f>
        <v>24</v>
      </c>
      <c r="E2441" s="114" t="n">
        <f aca="false">IF(OR(C2441="",P2441=""),"",IF(INDEX('CARNET DE SOUDURE'!$U$7:$U$3006,P2441)="","",INDEX('CARNET DE SOUDURE'!$U$7:$U$3006,P2441)))</f>
        <v>46253</v>
      </c>
      <c r="F2441" s="82" t="str">
        <f aca="false">IF(OR(C2441="",P2441=""),"",INDEX('CARNET DE SOUDURE'!$AP$7:$AP$3006,P2441))</f>
        <v>A</v>
      </c>
      <c r="G2441" s="82" t="str">
        <f aca="false">IF(C2441="","",IF(P2441="","NJ INCONNU",INDEX('CARNET DE SOUDURE'!$AQ$7:$AQ$3006,P2441)))</f>
        <v>ACCEPTÉ</v>
      </c>
      <c r="H2441" s="82" t="str">
        <f aca="false">IF(C2441="","",IF(G2441="ACCEPTÉ","OUI","NON"))</f>
        <v>OUI</v>
      </c>
      <c r="I2441" s="83"/>
      <c r="J2441" s="80"/>
      <c r="K2441" s="81"/>
      <c r="L2441" s="81"/>
      <c r="M2441" s="81"/>
      <c r="N2441" s="84" t="str">
        <f aca="false">IF(C2441="","",IF(P2441="","NJ INCONNU",IF(I2441="",IF(H2441="OUI","À ENROBER",IF(G2441="À SOUDER","NON SOUDÉ","EN ATTENTE RT")),IF(L2441="R","À REPRENDRE",IF(H2441&lt;&gt;"OUI","⚠ ENROBÉ AVANT ACCEPTATION RT","ENROBÉ")))))</f>
        <v>À ENROBER</v>
      </c>
      <c r="O2441" s="80"/>
      <c r="P2441" s="82" t="n">
        <f aca="false">IF(C2441="","",IFERROR(MATCH(Q2441,'CARNET DE SOUDURE'!$AW$7:$AW$3006,0),""))</f>
        <v>2435</v>
      </c>
      <c r="Q2441" s="82" t="str">
        <f aca="false">IF(C2441="","",B2441&amp;"|"&amp;C2441)</f>
        <v>MFD-ISW → MFD-CPF|JN°1957</v>
      </c>
    </row>
    <row r="2442" customFormat="false" ht="74.6" hidden="false" customHeight="false" outlineLevel="0" collapsed="false">
      <c r="A2442" s="82" t="n">
        <f aca="false">IF(C2442="","",ROW()-6)</f>
        <v>2436</v>
      </c>
      <c r="B2442" s="80" t="s">
        <v>110</v>
      </c>
      <c r="C2442" s="113" t="s">
        <v>2965</v>
      </c>
      <c r="D2442" s="82" t="str">
        <f aca="false">IF(OR(C2442="",P2442=""),"",INDEX('CARNET DE SOUDURE'!$D$7:$D$3006,P2442)&amp;"")</f>
        <v>24</v>
      </c>
      <c r="E2442" s="114" t="n">
        <f aca="false">IF(OR(C2442="",P2442=""),"",IF(INDEX('CARNET DE SOUDURE'!$U$7:$U$3006,P2442)="","",INDEX('CARNET DE SOUDURE'!$U$7:$U$3006,P2442)))</f>
        <v>46253</v>
      </c>
      <c r="F2442" s="82" t="str">
        <f aca="false">IF(OR(C2442="",P2442=""),"",INDEX('CARNET DE SOUDURE'!$AP$7:$AP$3006,P2442))</f>
        <v>A</v>
      </c>
      <c r="G2442" s="82" t="str">
        <f aca="false">IF(C2442="","",IF(P2442="","NJ INCONNU",INDEX('CARNET DE SOUDURE'!$AQ$7:$AQ$3006,P2442)))</f>
        <v>ACCEPTÉ</v>
      </c>
      <c r="H2442" s="82" t="str">
        <f aca="false">IF(C2442="","",IF(G2442="ACCEPTÉ","OUI","NON"))</f>
        <v>OUI</v>
      </c>
      <c r="I2442" s="83"/>
      <c r="J2442" s="80"/>
      <c r="K2442" s="81"/>
      <c r="L2442" s="81"/>
      <c r="M2442" s="81"/>
      <c r="N2442" s="84" t="str">
        <f aca="false">IF(C2442="","",IF(P2442="","NJ INCONNU",IF(I2442="",IF(H2442="OUI","À ENROBER",IF(G2442="À SOUDER","NON SOUDÉ","EN ATTENTE RT")),IF(L2442="R","À REPRENDRE",IF(H2442&lt;&gt;"OUI","⚠ ENROBÉ AVANT ACCEPTATION RT","ENROBÉ")))))</f>
        <v>À ENROBER</v>
      </c>
      <c r="O2442" s="80"/>
      <c r="P2442" s="82" t="n">
        <f aca="false">IF(C2442="","",IFERROR(MATCH(Q2442,'CARNET DE SOUDURE'!$AW$7:$AW$3006,0),""))</f>
        <v>2436</v>
      </c>
      <c r="Q2442" s="82" t="str">
        <f aca="false">IF(C2442="","",B2442&amp;"|"&amp;C2442)</f>
        <v>MFD-ISW → MFD-CPF|JN°1958</v>
      </c>
    </row>
    <row r="2443" customFormat="false" ht="74.6" hidden="false" customHeight="false" outlineLevel="0" collapsed="false">
      <c r="A2443" s="82" t="n">
        <f aca="false">IF(C2443="","",ROW()-6)</f>
        <v>2437</v>
      </c>
      <c r="B2443" s="80" t="s">
        <v>110</v>
      </c>
      <c r="C2443" s="113" t="s">
        <v>2966</v>
      </c>
      <c r="D2443" s="82" t="str">
        <f aca="false">IF(OR(C2443="",P2443=""),"",INDEX('CARNET DE SOUDURE'!$D$7:$D$3006,P2443)&amp;"")</f>
        <v>24</v>
      </c>
      <c r="E2443" s="114" t="str">
        <f aca="false">IF(OR(C2443="",P2443=""),"",IF(INDEX('CARNET DE SOUDURE'!$U$7:$U$3006,P2443)="","",INDEX('CARNET DE SOUDURE'!$U$7:$U$3006,P2443)))</f>
        <v/>
      </c>
      <c r="F2443" s="82" t="str">
        <f aca="false">IF(OR(C2443="",P2443=""),"",INDEX('CARNET DE SOUDURE'!$AP$7:$AP$3006,P2443))</f>
        <v/>
      </c>
      <c r="G2443" s="82" t="str">
        <f aca="false">IF(C2443="","",IF(P2443="","NJ INCONNU",INDEX('CARNET DE SOUDURE'!$AQ$7:$AQ$3006,P2443)))</f>
        <v>À SOUDER</v>
      </c>
      <c r="H2443" s="82" t="str">
        <f aca="false">IF(C2443="","",IF(G2443="ACCEPTÉ","OUI","NON"))</f>
        <v>NON</v>
      </c>
      <c r="I2443" s="83"/>
      <c r="J2443" s="80"/>
      <c r="K2443" s="81"/>
      <c r="L2443" s="81"/>
      <c r="M2443" s="81"/>
      <c r="N2443" s="84" t="str">
        <f aca="false">IF(C2443="","",IF(P2443="","NJ INCONNU",IF(I2443="",IF(H2443="OUI","À ENROBER",IF(G2443="À SOUDER","NON SOUDÉ","EN ATTENTE RT")),IF(L2443="R","À REPRENDRE",IF(H2443&lt;&gt;"OUI","⚠ ENROBÉ AVANT ACCEPTATION RT","ENROBÉ")))))</f>
        <v>NON SOUDÉ</v>
      </c>
      <c r="O2443" s="80"/>
      <c r="P2443" s="82" t="n">
        <f aca="false">IF(C2443="","",IFERROR(MATCH(Q2443,'CARNET DE SOUDURE'!$AW$7:$AW$3006,0),""))</f>
        <v>2437</v>
      </c>
      <c r="Q2443" s="82" t="str">
        <f aca="false">IF(C2443="","",B2443&amp;"|"&amp;C2443)</f>
        <v>MFD-ISW → MFD-CPF|JN°1959</v>
      </c>
    </row>
    <row r="2444" customFormat="false" ht="74.6" hidden="false" customHeight="false" outlineLevel="0" collapsed="false">
      <c r="A2444" s="82" t="n">
        <f aca="false">IF(C2444="","",ROW()-6)</f>
        <v>2438</v>
      </c>
      <c r="B2444" s="80" t="s">
        <v>110</v>
      </c>
      <c r="C2444" s="113" t="s">
        <v>2967</v>
      </c>
      <c r="D2444" s="82" t="str">
        <f aca="false">IF(OR(C2444="",P2444=""),"",INDEX('CARNET DE SOUDURE'!$D$7:$D$3006,P2444)&amp;"")</f>
        <v>24</v>
      </c>
      <c r="E2444" s="114" t="str">
        <f aca="false">IF(OR(C2444="",P2444=""),"",IF(INDEX('CARNET DE SOUDURE'!$U$7:$U$3006,P2444)="","",INDEX('CARNET DE SOUDURE'!$U$7:$U$3006,P2444)))</f>
        <v/>
      </c>
      <c r="F2444" s="82" t="str">
        <f aca="false">IF(OR(C2444="",P2444=""),"",INDEX('CARNET DE SOUDURE'!$AP$7:$AP$3006,P2444))</f>
        <v/>
      </c>
      <c r="G2444" s="82" t="str">
        <f aca="false">IF(C2444="","",IF(P2444="","NJ INCONNU",INDEX('CARNET DE SOUDURE'!$AQ$7:$AQ$3006,P2444)))</f>
        <v>À SOUDER</v>
      </c>
      <c r="H2444" s="82" t="str">
        <f aca="false">IF(C2444="","",IF(G2444="ACCEPTÉ","OUI","NON"))</f>
        <v>NON</v>
      </c>
      <c r="I2444" s="83"/>
      <c r="J2444" s="80"/>
      <c r="K2444" s="81"/>
      <c r="L2444" s="81"/>
      <c r="M2444" s="81"/>
      <c r="N2444" s="84" t="str">
        <f aca="false">IF(C2444="","",IF(P2444="","NJ INCONNU",IF(I2444="",IF(H2444="OUI","À ENROBER",IF(G2444="À SOUDER","NON SOUDÉ","EN ATTENTE RT")),IF(L2444="R","À REPRENDRE",IF(H2444&lt;&gt;"OUI","⚠ ENROBÉ AVANT ACCEPTATION RT","ENROBÉ")))))</f>
        <v>NON SOUDÉ</v>
      </c>
      <c r="O2444" s="80"/>
      <c r="P2444" s="82" t="n">
        <f aca="false">IF(C2444="","",IFERROR(MATCH(Q2444,'CARNET DE SOUDURE'!$AW$7:$AW$3006,0),""))</f>
        <v>2438</v>
      </c>
      <c r="Q2444" s="82" t="str">
        <f aca="false">IF(C2444="","",B2444&amp;"|"&amp;C2444)</f>
        <v>MFD-ISW → MFD-CPF|JN°1960</v>
      </c>
    </row>
    <row r="2445" customFormat="false" ht="74.6" hidden="false" customHeight="false" outlineLevel="0" collapsed="false">
      <c r="A2445" s="82" t="n">
        <f aca="false">IF(C2445="","",ROW()-6)</f>
        <v>2439</v>
      </c>
      <c r="B2445" s="80" t="s">
        <v>110</v>
      </c>
      <c r="C2445" s="113" t="s">
        <v>2968</v>
      </c>
      <c r="D2445" s="82" t="str">
        <f aca="false">IF(OR(C2445="",P2445=""),"",INDEX('CARNET DE SOUDURE'!$D$7:$D$3006,P2445)&amp;"")</f>
        <v>24</v>
      </c>
      <c r="E2445" s="114" t="str">
        <f aca="false">IF(OR(C2445="",P2445=""),"",IF(INDEX('CARNET DE SOUDURE'!$U$7:$U$3006,P2445)="","",INDEX('CARNET DE SOUDURE'!$U$7:$U$3006,P2445)))</f>
        <v/>
      </c>
      <c r="F2445" s="82" t="str">
        <f aca="false">IF(OR(C2445="",P2445=""),"",INDEX('CARNET DE SOUDURE'!$AP$7:$AP$3006,P2445))</f>
        <v/>
      </c>
      <c r="G2445" s="82" t="str">
        <f aca="false">IF(C2445="","",IF(P2445="","NJ INCONNU",INDEX('CARNET DE SOUDURE'!$AQ$7:$AQ$3006,P2445)))</f>
        <v>À SOUDER</v>
      </c>
      <c r="H2445" s="82" t="str">
        <f aca="false">IF(C2445="","",IF(G2445="ACCEPTÉ","OUI","NON"))</f>
        <v>NON</v>
      </c>
      <c r="I2445" s="83"/>
      <c r="J2445" s="80"/>
      <c r="K2445" s="81"/>
      <c r="L2445" s="81"/>
      <c r="M2445" s="81"/>
      <c r="N2445" s="84" t="str">
        <f aca="false">IF(C2445="","",IF(P2445="","NJ INCONNU",IF(I2445="",IF(H2445="OUI","À ENROBER",IF(G2445="À SOUDER","NON SOUDÉ","EN ATTENTE RT")),IF(L2445="R","À REPRENDRE",IF(H2445&lt;&gt;"OUI","⚠ ENROBÉ AVANT ACCEPTATION RT","ENROBÉ")))))</f>
        <v>NON SOUDÉ</v>
      </c>
      <c r="O2445" s="80"/>
      <c r="P2445" s="82" t="n">
        <f aca="false">IF(C2445="","",IFERROR(MATCH(Q2445,'CARNET DE SOUDURE'!$AW$7:$AW$3006,0),""))</f>
        <v>2439</v>
      </c>
      <c r="Q2445" s="82" t="str">
        <f aca="false">IF(C2445="","",B2445&amp;"|"&amp;C2445)</f>
        <v>MFD-ISW → MFD-CPF|JN°1961</v>
      </c>
    </row>
    <row r="2446" customFormat="false" ht="74.6" hidden="false" customHeight="false" outlineLevel="0" collapsed="false">
      <c r="A2446" s="82" t="n">
        <f aca="false">IF(C2446="","",ROW()-6)</f>
        <v>2440</v>
      </c>
      <c r="B2446" s="80" t="s">
        <v>110</v>
      </c>
      <c r="C2446" s="113" t="s">
        <v>2969</v>
      </c>
      <c r="D2446" s="82" t="str">
        <f aca="false">IF(OR(C2446="",P2446=""),"",INDEX('CARNET DE SOUDURE'!$D$7:$D$3006,P2446)&amp;"")</f>
        <v>24</v>
      </c>
      <c r="E2446" s="114" t="str">
        <f aca="false">IF(OR(C2446="",P2446=""),"",IF(INDEX('CARNET DE SOUDURE'!$U$7:$U$3006,P2446)="","",INDEX('CARNET DE SOUDURE'!$U$7:$U$3006,P2446)))</f>
        <v/>
      </c>
      <c r="F2446" s="82" t="str">
        <f aca="false">IF(OR(C2446="",P2446=""),"",INDEX('CARNET DE SOUDURE'!$AP$7:$AP$3006,P2446))</f>
        <v/>
      </c>
      <c r="G2446" s="82" t="str">
        <f aca="false">IF(C2446="","",IF(P2446="","NJ INCONNU",INDEX('CARNET DE SOUDURE'!$AQ$7:$AQ$3006,P2446)))</f>
        <v>À SOUDER</v>
      </c>
      <c r="H2446" s="82" t="str">
        <f aca="false">IF(C2446="","",IF(G2446="ACCEPTÉ","OUI","NON"))</f>
        <v>NON</v>
      </c>
      <c r="I2446" s="83"/>
      <c r="J2446" s="80"/>
      <c r="K2446" s="81"/>
      <c r="L2446" s="81"/>
      <c r="M2446" s="81"/>
      <c r="N2446" s="84" t="str">
        <f aca="false">IF(C2446="","",IF(P2446="","NJ INCONNU",IF(I2446="",IF(H2446="OUI","À ENROBER",IF(G2446="À SOUDER","NON SOUDÉ","EN ATTENTE RT")),IF(L2446="R","À REPRENDRE",IF(H2446&lt;&gt;"OUI","⚠ ENROBÉ AVANT ACCEPTATION RT","ENROBÉ")))))</f>
        <v>NON SOUDÉ</v>
      </c>
      <c r="O2446" s="80"/>
      <c r="P2446" s="82" t="n">
        <f aca="false">IF(C2446="","",IFERROR(MATCH(Q2446,'CARNET DE SOUDURE'!$AW$7:$AW$3006,0),""))</f>
        <v>2440</v>
      </c>
      <c r="Q2446" s="82" t="str">
        <f aca="false">IF(C2446="","",B2446&amp;"|"&amp;C2446)</f>
        <v>MFD-ISW → MFD-CPF|JN°1962</v>
      </c>
    </row>
    <row r="2447" customFormat="false" ht="74.6" hidden="false" customHeight="false" outlineLevel="0" collapsed="false">
      <c r="A2447" s="82" t="n">
        <f aca="false">IF(C2447="","",ROW()-6)</f>
        <v>2441</v>
      </c>
      <c r="B2447" s="80" t="s">
        <v>110</v>
      </c>
      <c r="C2447" s="113" t="s">
        <v>2971</v>
      </c>
      <c r="D2447" s="82" t="str">
        <f aca="false">IF(OR(C2447="",P2447=""),"",INDEX('CARNET DE SOUDURE'!$D$7:$D$3006,P2447)&amp;"")</f>
        <v>24</v>
      </c>
      <c r="E2447" s="114" t="n">
        <f aca="false">IF(OR(C2447="",P2447=""),"",IF(INDEX('CARNET DE SOUDURE'!$U$7:$U$3006,P2447)="","",INDEX('CARNET DE SOUDURE'!$U$7:$U$3006,P2447)))</f>
        <v>46253</v>
      </c>
      <c r="F2447" s="82" t="str">
        <f aca="false">IF(OR(C2447="",P2447=""),"",INDEX('CARNET DE SOUDURE'!$AP$7:$AP$3006,P2447))</f>
        <v>A</v>
      </c>
      <c r="G2447" s="82" t="str">
        <f aca="false">IF(C2447="","",IF(P2447="","NJ INCONNU",INDEX('CARNET DE SOUDURE'!$AQ$7:$AQ$3006,P2447)))</f>
        <v>ACCEPTÉ</v>
      </c>
      <c r="H2447" s="82" t="str">
        <f aca="false">IF(C2447="","",IF(G2447="ACCEPTÉ","OUI","NON"))</f>
        <v>OUI</v>
      </c>
      <c r="I2447" s="83"/>
      <c r="J2447" s="80"/>
      <c r="K2447" s="81"/>
      <c r="L2447" s="81"/>
      <c r="M2447" s="81"/>
      <c r="N2447" s="84" t="str">
        <f aca="false">IF(C2447="","",IF(P2447="","NJ INCONNU",IF(I2447="",IF(H2447="OUI","À ENROBER",IF(G2447="À SOUDER","NON SOUDÉ","EN ATTENTE RT")),IF(L2447="R","À REPRENDRE",IF(H2447&lt;&gt;"OUI","⚠ ENROBÉ AVANT ACCEPTATION RT","ENROBÉ")))))</f>
        <v>À ENROBER</v>
      </c>
      <c r="O2447" s="80"/>
      <c r="P2447" s="82" t="n">
        <f aca="false">IF(C2447="","",IFERROR(MATCH(Q2447,'CARNET DE SOUDURE'!$AW$7:$AW$3006,0),""))</f>
        <v>2441</v>
      </c>
      <c r="Q2447" s="82" t="str">
        <f aca="false">IF(C2447="","",B2447&amp;"|"&amp;C2447)</f>
        <v>MFD-ISW → MFD-CPF|JN°1963</v>
      </c>
    </row>
    <row r="2448" customFormat="false" ht="74.6" hidden="false" customHeight="false" outlineLevel="0" collapsed="false">
      <c r="A2448" s="82" t="n">
        <f aca="false">IF(C2448="","",ROW()-6)</f>
        <v>2442</v>
      </c>
      <c r="B2448" s="80" t="s">
        <v>110</v>
      </c>
      <c r="C2448" s="113" t="s">
        <v>2972</v>
      </c>
      <c r="D2448" s="82" t="str">
        <f aca="false">IF(OR(C2448="",P2448=""),"",INDEX('CARNET DE SOUDURE'!$D$7:$D$3006,P2448)&amp;"")</f>
        <v>24</v>
      </c>
      <c r="E2448" s="114" t="n">
        <f aca="false">IF(OR(C2448="",P2448=""),"",IF(INDEX('CARNET DE SOUDURE'!$U$7:$U$3006,P2448)="","",INDEX('CARNET DE SOUDURE'!$U$7:$U$3006,P2448)))</f>
        <v>46252</v>
      </c>
      <c r="F2448" s="82" t="str">
        <f aca="false">IF(OR(C2448="",P2448=""),"",INDEX('CARNET DE SOUDURE'!$AP$7:$AP$3006,P2448))</f>
        <v>A</v>
      </c>
      <c r="G2448" s="82" t="str">
        <f aca="false">IF(C2448="","",IF(P2448="","NJ INCONNU",INDEX('CARNET DE SOUDURE'!$AQ$7:$AQ$3006,P2448)))</f>
        <v>ACCEPTÉ</v>
      </c>
      <c r="H2448" s="82" t="str">
        <f aca="false">IF(C2448="","",IF(G2448="ACCEPTÉ","OUI","NON"))</f>
        <v>OUI</v>
      </c>
      <c r="I2448" s="83"/>
      <c r="J2448" s="80"/>
      <c r="K2448" s="81"/>
      <c r="L2448" s="81"/>
      <c r="M2448" s="81"/>
      <c r="N2448" s="84" t="str">
        <f aca="false">IF(C2448="","",IF(P2448="","NJ INCONNU",IF(I2448="",IF(H2448="OUI","À ENROBER",IF(G2448="À SOUDER","NON SOUDÉ","EN ATTENTE RT")),IF(L2448="R","À REPRENDRE",IF(H2448&lt;&gt;"OUI","⚠ ENROBÉ AVANT ACCEPTATION RT","ENROBÉ")))))</f>
        <v>À ENROBER</v>
      </c>
      <c r="O2448" s="80"/>
      <c r="P2448" s="82" t="n">
        <f aca="false">IF(C2448="","",IFERROR(MATCH(Q2448,'CARNET DE SOUDURE'!$AW$7:$AW$3006,0),""))</f>
        <v>2442</v>
      </c>
      <c r="Q2448" s="82" t="str">
        <f aca="false">IF(C2448="","",B2448&amp;"|"&amp;C2448)</f>
        <v>MFD-ISW → MFD-CPF|JN°1964</v>
      </c>
    </row>
    <row r="2449" customFormat="false" ht="74.6" hidden="false" customHeight="false" outlineLevel="0" collapsed="false">
      <c r="A2449" s="82" t="n">
        <f aca="false">IF(C2449="","",ROW()-6)</f>
        <v>2443</v>
      </c>
      <c r="B2449" s="80" t="s">
        <v>110</v>
      </c>
      <c r="C2449" s="113" t="s">
        <v>2974</v>
      </c>
      <c r="D2449" s="82" t="str">
        <f aca="false">IF(OR(C2449="",P2449=""),"",INDEX('CARNET DE SOUDURE'!$D$7:$D$3006,P2449)&amp;"")</f>
        <v>24</v>
      </c>
      <c r="E2449" s="114" t="n">
        <f aca="false">IF(OR(C2449="",P2449=""),"",IF(INDEX('CARNET DE SOUDURE'!$U$7:$U$3006,P2449)="","",INDEX('CARNET DE SOUDURE'!$U$7:$U$3006,P2449)))</f>
        <v>46252</v>
      </c>
      <c r="F2449" s="82" t="str">
        <f aca="false">IF(OR(C2449="",P2449=""),"",INDEX('CARNET DE SOUDURE'!$AP$7:$AP$3006,P2449))</f>
        <v>A</v>
      </c>
      <c r="G2449" s="82" t="str">
        <f aca="false">IF(C2449="","",IF(P2449="","NJ INCONNU",INDEX('CARNET DE SOUDURE'!$AQ$7:$AQ$3006,P2449)))</f>
        <v>ACCEPTÉ</v>
      </c>
      <c r="H2449" s="82" t="str">
        <f aca="false">IF(C2449="","",IF(G2449="ACCEPTÉ","OUI","NON"))</f>
        <v>OUI</v>
      </c>
      <c r="I2449" s="83"/>
      <c r="J2449" s="80"/>
      <c r="K2449" s="81"/>
      <c r="L2449" s="81"/>
      <c r="M2449" s="81"/>
      <c r="N2449" s="84" t="str">
        <f aca="false">IF(C2449="","",IF(P2449="","NJ INCONNU",IF(I2449="",IF(H2449="OUI","À ENROBER",IF(G2449="À SOUDER","NON SOUDÉ","EN ATTENTE RT")),IF(L2449="R","À REPRENDRE",IF(H2449&lt;&gt;"OUI","⚠ ENROBÉ AVANT ACCEPTATION RT","ENROBÉ")))))</f>
        <v>À ENROBER</v>
      </c>
      <c r="O2449" s="80"/>
      <c r="P2449" s="82" t="n">
        <f aca="false">IF(C2449="","",IFERROR(MATCH(Q2449,'CARNET DE SOUDURE'!$AW$7:$AW$3006,0),""))</f>
        <v>2443</v>
      </c>
      <c r="Q2449" s="82" t="str">
        <f aca="false">IF(C2449="","",B2449&amp;"|"&amp;C2449)</f>
        <v>MFD-ISW → MFD-CPF|JN°1965</v>
      </c>
    </row>
    <row r="2450" customFormat="false" ht="74.6" hidden="false" customHeight="false" outlineLevel="0" collapsed="false">
      <c r="A2450" s="82" t="n">
        <f aca="false">IF(C2450="","",ROW()-6)</f>
        <v>2444</v>
      </c>
      <c r="B2450" s="80" t="s">
        <v>110</v>
      </c>
      <c r="C2450" s="113" t="s">
        <v>2975</v>
      </c>
      <c r="D2450" s="82" t="str">
        <f aca="false">IF(OR(C2450="",P2450=""),"",INDEX('CARNET DE SOUDURE'!$D$7:$D$3006,P2450)&amp;"")</f>
        <v>24</v>
      </c>
      <c r="E2450" s="114" t="n">
        <f aca="false">IF(OR(C2450="",P2450=""),"",IF(INDEX('CARNET DE SOUDURE'!$U$7:$U$3006,P2450)="","",INDEX('CARNET DE SOUDURE'!$U$7:$U$3006,P2450)))</f>
        <v>46252</v>
      </c>
      <c r="F2450" s="82" t="str">
        <f aca="false">IF(OR(C2450="",P2450=""),"",INDEX('CARNET DE SOUDURE'!$AP$7:$AP$3006,P2450))</f>
        <v>A</v>
      </c>
      <c r="G2450" s="82" t="str">
        <f aca="false">IF(C2450="","",IF(P2450="","NJ INCONNU",INDEX('CARNET DE SOUDURE'!$AQ$7:$AQ$3006,P2450)))</f>
        <v>ACCEPTÉ</v>
      </c>
      <c r="H2450" s="82" t="str">
        <f aca="false">IF(C2450="","",IF(G2450="ACCEPTÉ","OUI","NON"))</f>
        <v>OUI</v>
      </c>
      <c r="I2450" s="83"/>
      <c r="J2450" s="80"/>
      <c r="K2450" s="81"/>
      <c r="L2450" s="81"/>
      <c r="M2450" s="81"/>
      <c r="N2450" s="84" t="str">
        <f aca="false">IF(C2450="","",IF(P2450="","NJ INCONNU",IF(I2450="",IF(H2450="OUI","À ENROBER",IF(G2450="À SOUDER","NON SOUDÉ","EN ATTENTE RT")),IF(L2450="R","À REPRENDRE",IF(H2450&lt;&gt;"OUI","⚠ ENROBÉ AVANT ACCEPTATION RT","ENROBÉ")))))</f>
        <v>À ENROBER</v>
      </c>
      <c r="O2450" s="80"/>
      <c r="P2450" s="82" t="n">
        <f aca="false">IF(C2450="","",IFERROR(MATCH(Q2450,'CARNET DE SOUDURE'!$AW$7:$AW$3006,0),""))</f>
        <v>2444</v>
      </c>
      <c r="Q2450" s="82" t="str">
        <f aca="false">IF(C2450="","",B2450&amp;"|"&amp;C2450)</f>
        <v>MFD-ISW → MFD-CPF|JN°1966</v>
      </c>
    </row>
    <row r="2451" customFormat="false" ht="74.6" hidden="false" customHeight="false" outlineLevel="0" collapsed="false">
      <c r="A2451" s="82" t="n">
        <f aca="false">IF(C2451="","",ROW()-6)</f>
        <v>2445</v>
      </c>
      <c r="B2451" s="80" t="s">
        <v>110</v>
      </c>
      <c r="C2451" s="113" t="s">
        <v>2976</v>
      </c>
      <c r="D2451" s="82" t="str">
        <f aca="false">IF(OR(C2451="",P2451=""),"",INDEX('CARNET DE SOUDURE'!$D$7:$D$3006,P2451)&amp;"")</f>
        <v>24</v>
      </c>
      <c r="E2451" s="114" t="n">
        <f aca="false">IF(OR(C2451="",P2451=""),"",IF(INDEX('CARNET DE SOUDURE'!$U$7:$U$3006,P2451)="","",INDEX('CARNET DE SOUDURE'!$U$7:$U$3006,P2451)))</f>
        <v>46252</v>
      </c>
      <c r="F2451" s="82" t="str">
        <f aca="false">IF(OR(C2451="",P2451=""),"",INDEX('CARNET DE SOUDURE'!$AP$7:$AP$3006,P2451))</f>
        <v>A</v>
      </c>
      <c r="G2451" s="82" t="str">
        <f aca="false">IF(C2451="","",IF(P2451="","NJ INCONNU",INDEX('CARNET DE SOUDURE'!$AQ$7:$AQ$3006,P2451)))</f>
        <v>ACCEPTÉ</v>
      </c>
      <c r="H2451" s="82" t="str">
        <f aca="false">IF(C2451="","",IF(G2451="ACCEPTÉ","OUI","NON"))</f>
        <v>OUI</v>
      </c>
      <c r="I2451" s="83"/>
      <c r="J2451" s="80"/>
      <c r="K2451" s="81"/>
      <c r="L2451" s="81"/>
      <c r="M2451" s="81"/>
      <c r="N2451" s="84" t="str">
        <f aca="false">IF(C2451="","",IF(P2451="","NJ INCONNU",IF(I2451="",IF(H2451="OUI","À ENROBER",IF(G2451="À SOUDER","NON SOUDÉ","EN ATTENTE RT")),IF(L2451="R","À REPRENDRE",IF(H2451&lt;&gt;"OUI","⚠ ENROBÉ AVANT ACCEPTATION RT","ENROBÉ")))))</f>
        <v>À ENROBER</v>
      </c>
      <c r="O2451" s="80"/>
      <c r="P2451" s="82" t="n">
        <f aca="false">IF(C2451="","",IFERROR(MATCH(Q2451,'CARNET DE SOUDURE'!$AW$7:$AW$3006,0),""))</f>
        <v>2445</v>
      </c>
      <c r="Q2451" s="82" t="str">
        <f aca="false">IF(C2451="","",B2451&amp;"|"&amp;C2451)</f>
        <v>MFD-ISW → MFD-CPF|JN°1967</v>
      </c>
    </row>
    <row r="2452" customFormat="false" ht="74.6" hidden="false" customHeight="false" outlineLevel="0" collapsed="false">
      <c r="A2452" s="82" t="n">
        <f aca="false">IF(C2452="","",ROW()-6)</f>
        <v>2446</v>
      </c>
      <c r="B2452" s="80" t="s">
        <v>110</v>
      </c>
      <c r="C2452" s="113" t="s">
        <v>2977</v>
      </c>
      <c r="D2452" s="82" t="str">
        <f aca="false">IF(OR(C2452="",P2452=""),"",INDEX('CARNET DE SOUDURE'!$D$7:$D$3006,P2452)&amp;"")</f>
        <v>24</v>
      </c>
      <c r="E2452" s="114" t="n">
        <f aca="false">IF(OR(C2452="",P2452=""),"",IF(INDEX('CARNET DE SOUDURE'!$U$7:$U$3006,P2452)="","",INDEX('CARNET DE SOUDURE'!$U$7:$U$3006,P2452)))</f>
        <v>46252</v>
      </c>
      <c r="F2452" s="82" t="str">
        <f aca="false">IF(OR(C2452="",P2452=""),"",INDEX('CARNET DE SOUDURE'!$AP$7:$AP$3006,P2452))</f>
        <v>A</v>
      </c>
      <c r="G2452" s="82" t="str">
        <f aca="false">IF(C2452="","",IF(P2452="","NJ INCONNU",INDEX('CARNET DE SOUDURE'!$AQ$7:$AQ$3006,P2452)))</f>
        <v>ACCEPTÉ</v>
      </c>
      <c r="H2452" s="82" t="str">
        <f aca="false">IF(C2452="","",IF(G2452="ACCEPTÉ","OUI","NON"))</f>
        <v>OUI</v>
      </c>
      <c r="I2452" s="83"/>
      <c r="J2452" s="80"/>
      <c r="K2452" s="81"/>
      <c r="L2452" s="81"/>
      <c r="M2452" s="81"/>
      <c r="N2452" s="84" t="str">
        <f aca="false">IF(C2452="","",IF(P2452="","NJ INCONNU",IF(I2452="",IF(H2452="OUI","À ENROBER",IF(G2452="À SOUDER","NON SOUDÉ","EN ATTENTE RT")),IF(L2452="R","À REPRENDRE",IF(H2452&lt;&gt;"OUI","⚠ ENROBÉ AVANT ACCEPTATION RT","ENROBÉ")))))</f>
        <v>À ENROBER</v>
      </c>
      <c r="O2452" s="80"/>
      <c r="P2452" s="82" t="n">
        <f aca="false">IF(C2452="","",IFERROR(MATCH(Q2452,'CARNET DE SOUDURE'!$AW$7:$AW$3006,0),""))</f>
        <v>2446</v>
      </c>
      <c r="Q2452" s="82" t="str">
        <f aca="false">IF(C2452="","",B2452&amp;"|"&amp;C2452)</f>
        <v>MFD-ISW → MFD-CPF|JN°1968</v>
      </c>
    </row>
    <row r="2453" customFormat="false" ht="74.6" hidden="false" customHeight="false" outlineLevel="0" collapsed="false">
      <c r="A2453" s="82" t="n">
        <f aca="false">IF(C2453="","",ROW()-6)</f>
        <v>2447</v>
      </c>
      <c r="B2453" s="80" t="s">
        <v>110</v>
      </c>
      <c r="C2453" s="113" t="s">
        <v>2978</v>
      </c>
      <c r="D2453" s="82" t="str">
        <f aca="false">IF(OR(C2453="",P2453=""),"",INDEX('CARNET DE SOUDURE'!$D$7:$D$3006,P2453)&amp;"")</f>
        <v>24</v>
      </c>
      <c r="E2453" s="114" t="n">
        <f aca="false">IF(OR(C2453="",P2453=""),"",IF(INDEX('CARNET DE SOUDURE'!$U$7:$U$3006,P2453)="","",INDEX('CARNET DE SOUDURE'!$U$7:$U$3006,P2453)))</f>
        <v>46252</v>
      </c>
      <c r="F2453" s="82" t="str">
        <f aca="false">IF(OR(C2453="",P2453=""),"",INDEX('CARNET DE SOUDURE'!$AP$7:$AP$3006,P2453))</f>
        <v>A</v>
      </c>
      <c r="G2453" s="82" t="str">
        <f aca="false">IF(C2453="","",IF(P2453="","NJ INCONNU",INDEX('CARNET DE SOUDURE'!$AQ$7:$AQ$3006,P2453)))</f>
        <v>ACCEPTÉ</v>
      </c>
      <c r="H2453" s="82" t="str">
        <f aca="false">IF(C2453="","",IF(G2453="ACCEPTÉ","OUI","NON"))</f>
        <v>OUI</v>
      </c>
      <c r="I2453" s="83"/>
      <c r="J2453" s="80"/>
      <c r="K2453" s="81"/>
      <c r="L2453" s="81"/>
      <c r="M2453" s="81"/>
      <c r="N2453" s="84" t="str">
        <f aca="false">IF(C2453="","",IF(P2453="","NJ INCONNU",IF(I2453="",IF(H2453="OUI","À ENROBER",IF(G2453="À SOUDER","NON SOUDÉ","EN ATTENTE RT")),IF(L2453="R","À REPRENDRE",IF(H2453&lt;&gt;"OUI","⚠ ENROBÉ AVANT ACCEPTATION RT","ENROBÉ")))))</f>
        <v>À ENROBER</v>
      </c>
      <c r="O2453" s="80"/>
      <c r="P2453" s="82" t="n">
        <f aca="false">IF(C2453="","",IFERROR(MATCH(Q2453,'CARNET DE SOUDURE'!$AW$7:$AW$3006,0),""))</f>
        <v>2447</v>
      </c>
      <c r="Q2453" s="82" t="str">
        <f aca="false">IF(C2453="","",B2453&amp;"|"&amp;C2453)</f>
        <v>MFD-ISW → MFD-CPF|JN°1969</v>
      </c>
    </row>
    <row r="2454" customFormat="false" ht="74.6" hidden="false" customHeight="false" outlineLevel="0" collapsed="false">
      <c r="A2454" s="82" t="n">
        <f aca="false">IF(C2454="","",ROW()-6)</f>
        <v>2448</v>
      </c>
      <c r="B2454" s="80" t="s">
        <v>110</v>
      </c>
      <c r="C2454" s="113" t="s">
        <v>2979</v>
      </c>
      <c r="D2454" s="82" t="str">
        <f aca="false">IF(OR(C2454="",P2454=""),"",INDEX('CARNET DE SOUDURE'!$D$7:$D$3006,P2454)&amp;"")</f>
        <v>24</v>
      </c>
      <c r="E2454" s="114" t="n">
        <f aca="false">IF(OR(C2454="",P2454=""),"",IF(INDEX('CARNET DE SOUDURE'!$U$7:$U$3006,P2454)="","",INDEX('CARNET DE SOUDURE'!$U$7:$U$3006,P2454)))</f>
        <v>46252</v>
      </c>
      <c r="F2454" s="82" t="str">
        <f aca="false">IF(OR(C2454="",P2454=""),"",INDEX('CARNET DE SOUDURE'!$AP$7:$AP$3006,P2454))</f>
        <v>A</v>
      </c>
      <c r="G2454" s="82" t="str">
        <f aca="false">IF(C2454="","",IF(P2454="","NJ INCONNU",INDEX('CARNET DE SOUDURE'!$AQ$7:$AQ$3006,P2454)))</f>
        <v>ACCEPTÉ</v>
      </c>
      <c r="H2454" s="82" t="str">
        <f aca="false">IF(C2454="","",IF(G2454="ACCEPTÉ","OUI","NON"))</f>
        <v>OUI</v>
      </c>
      <c r="I2454" s="83"/>
      <c r="J2454" s="80"/>
      <c r="K2454" s="81"/>
      <c r="L2454" s="81"/>
      <c r="M2454" s="81"/>
      <c r="N2454" s="84" t="str">
        <f aca="false">IF(C2454="","",IF(P2454="","NJ INCONNU",IF(I2454="",IF(H2454="OUI","À ENROBER",IF(G2454="À SOUDER","NON SOUDÉ","EN ATTENTE RT")),IF(L2454="R","À REPRENDRE",IF(H2454&lt;&gt;"OUI","⚠ ENROBÉ AVANT ACCEPTATION RT","ENROBÉ")))))</f>
        <v>À ENROBER</v>
      </c>
      <c r="O2454" s="80"/>
      <c r="P2454" s="82" t="n">
        <f aca="false">IF(C2454="","",IFERROR(MATCH(Q2454,'CARNET DE SOUDURE'!$AW$7:$AW$3006,0),""))</f>
        <v>2448</v>
      </c>
      <c r="Q2454" s="82" t="str">
        <f aca="false">IF(C2454="","",B2454&amp;"|"&amp;C2454)</f>
        <v>MFD-ISW → MFD-CPF|JN°1970</v>
      </c>
    </row>
    <row r="2455" customFormat="false" ht="74.6" hidden="false" customHeight="false" outlineLevel="0" collapsed="false">
      <c r="A2455" s="82" t="n">
        <f aca="false">IF(C2455="","",ROW()-6)</f>
        <v>2449</v>
      </c>
      <c r="B2455" s="80" t="s">
        <v>110</v>
      </c>
      <c r="C2455" s="113" t="s">
        <v>2980</v>
      </c>
      <c r="D2455" s="82" t="str">
        <f aca="false">IF(OR(C2455="",P2455=""),"",INDEX('CARNET DE SOUDURE'!$D$7:$D$3006,P2455)&amp;"")</f>
        <v>24</v>
      </c>
      <c r="E2455" s="114" t="n">
        <f aca="false">IF(OR(C2455="",P2455=""),"",IF(INDEX('CARNET DE SOUDURE'!$U$7:$U$3006,P2455)="","",INDEX('CARNET DE SOUDURE'!$U$7:$U$3006,P2455)))</f>
        <v>46252</v>
      </c>
      <c r="F2455" s="82" t="str">
        <f aca="false">IF(OR(C2455="",P2455=""),"",INDEX('CARNET DE SOUDURE'!$AP$7:$AP$3006,P2455))</f>
        <v>A</v>
      </c>
      <c r="G2455" s="82" t="str">
        <f aca="false">IF(C2455="","",IF(P2455="","NJ INCONNU",INDEX('CARNET DE SOUDURE'!$AQ$7:$AQ$3006,P2455)))</f>
        <v>ACCEPTÉ</v>
      </c>
      <c r="H2455" s="82" t="str">
        <f aca="false">IF(C2455="","",IF(G2455="ACCEPTÉ","OUI","NON"))</f>
        <v>OUI</v>
      </c>
      <c r="I2455" s="83"/>
      <c r="J2455" s="80"/>
      <c r="K2455" s="81"/>
      <c r="L2455" s="81"/>
      <c r="M2455" s="81"/>
      <c r="N2455" s="84" t="str">
        <f aca="false">IF(C2455="","",IF(P2455="","NJ INCONNU",IF(I2455="",IF(H2455="OUI","À ENROBER",IF(G2455="À SOUDER","NON SOUDÉ","EN ATTENTE RT")),IF(L2455="R","À REPRENDRE",IF(H2455&lt;&gt;"OUI","⚠ ENROBÉ AVANT ACCEPTATION RT","ENROBÉ")))))</f>
        <v>À ENROBER</v>
      </c>
      <c r="O2455" s="80"/>
      <c r="P2455" s="82" t="n">
        <f aca="false">IF(C2455="","",IFERROR(MATCH(Q2455,'CARNET DE SOUDURE'!$AW$7:$AW$3006,0),""))</f>
        <v>2449</v>
      </c>
      <c r="Q2455" s="82" t="str">
        <f aca="false">IF(C2455="","",B2455&amp;"|"&amp;C2455)</f>
        <v>MFD-ISW → MFD-CPF|JN°1971</v>
      </c>
    </row>
    <row r="2456" customFormat="false" ht="74.6" hidden="false" customHeight="false" outlineLevel="0" collapsed="false">
      <c r="A2456" s="82" t="n">
        <f aca="false">IF(C2456="","",ROW()-6)</f>
        <v>2450</v>
      </c>
      <c r="B2456" s="80" t="s">
        <v>110</v>
      </c>
      <c r="C2456" s="113" t="s">
        <v>2981</v>
      </c>
      <c r="D2456" s="82" t="str">
        <f aca="false">IF(OR(C2456="",P2456=""),"",INDEX('CARNET DE SOUDURE'!$D$7:$D$3006,P2456)&amp;"")</f>
        <v>24</v>
      </c>
      <c r="E2456" s="114" t="n">
        <f aca="false">IF(OR(C2456="",P2456=""),"",IF(INDEX('CARNET DE SOUDURE'!$U$7:$U$3006,P2456)="","",INDEX('CARNET DE SOUDURE'!$U$7:$U$3006,P2456)))</f>
        <v>46252</v>
      </c>
      <c r="F2456" s="82" t="str">
        <f aca="false">IF(OR(C2456="",P2456=""),"",INDEX('CARNET DE SOUDURE'!$AP$7:$AP$3006,P2456))</f>
        <v>A</v>
      </c>
      <c r="G2456" s="82" t="str">
        <f aca="false">IF(C2456="","",IF(P2456="","NJ INCONNU",INDEX('CARNET DE SOUDURE'!$AQ$7:$AQ$3006,P2456)))</f>
        <v>ACCEPTÉ</v>
      </c>
      <c r="H2456" s="82" t="str">
        <f aca="false">IF(C2456="","",IF(G2456="ACCEPTÉ","OUI","NON"))</f>
        <v>OUI</v>
      </c>
      <c r="I2456" s="83"/>
      <c r="J2456" s="80"/>
      <c r="K2456" s="81"/>
      <c r="L2456" s="81"/>
      <c r="M2456" s="81"/>
      <c r="N2456" s="84" t="str">
        <f aca="false">IF(C2456="","",IF(P2456="","NJ INCONNU",IF(I2456="",IF(H2456="OUI","À ENROBER",IF(G2456="À SOUDER","NON SOUDÉ","EN ATTENTE RT")),IF(L2456="R","À REPRENDRE",IF(H2456&lt;&gt;"OUI","⚠ ENROBÉ AVANT ACCEPTATION RT","ENROBÉ")))))</f>
        <v>À ENROBER</v>
      </c>
      <c r="O2456" s="80"/>
      <c r="P2456" s="82" t="n">
        <f aca="false">IF(C2456="","",IFERROR(MATCH(Q2456,'CARNET DE SOUDURE'!$AW$7:$AW$3006,0),""))</f>
        <v>2450</v>
      </c>
      <c r="Q2456" s="82" t="str">
        <f aca="false">IF(C2456="","",B2456&amp;"|"&amp;C2456)</f>
        <v>MFD-ISW → MFD-CPF|JN°1972</v>
      </c>
    </row>
    <row r="2457" customFormat="false" ht="74.6" hidden="false" customHeight="false" outlineLevel="0" collapsed="false">
      <c r="A2457" s="82" t="n">
        <f aca="false">IF(C2457="","",ROW()-6)</f>
        <v>2451</v>
      </c>
      <c r="B2457" s="80" t="s">
        <v>110</v>
      </c>
      <c r="C2457" s="113" t="s">
        <v>2982</v>
      </c>
      <c r="D2457" s="82" t="str">
        <f aca="false">IF(OR(C2457="",P2457=""),"",INDEX('CARNET DE SOUDURE'!$D$7:$D$3006,P2457)&amp;"")</f>
        <v>24</v>
      </c>
      <c r="E2457" s="114" t="n">
        <f aca="false">IF(OR(C2457="",P2457=""),"",IF(INDEX('CARNET DE SOUDURE'!$U$7:$U$3006,P2457)="","",INDEX('CARNET DE SOUDURE'!$U$7:$U$3006,P2457)))</f>
        <v>46252</v>
      </c>
      <c r="F2457" s="82" t="str">
        <f aca="false">IF(OR(C2457="",P2457=""),"",INDEX('CARNET DE SOUDURE'!$AP$7:$AP$3006,P2457))</f>
        <v>A</v>
      </c>
      <c r="G2457" s="82" t="str">
        <f aca="false">IF(C2457="","",IF(P2457="","NJ INCONNU",INDEX('CARNET DE SOUDURE'!$AQ$7:$AQ$3006,P2457)))</f>
        <v>ACCEPTÉ</v>
      </c>
      <c r="H2457" s="82" t="str">
        <f aca="false">IF(C2457="","",IF(G2457="ACCEPTÉ","OUI","NON"))</f>
        <v>OUI</v>
      </c>
      <c r="I2457" s="83"/>
      <c r="J2457" s="80"/>
      <c r="K2457" s="81"/>
      <c r="L2457" s="81"/>
      <c r="M2457" s="81"/>
      <c r="N2457" s="84" t="str">
        <f aca="false">IF(C2457="","",IF(P2457="","NJ INCONNU",IF(I2457="",IF(H2457="OUI","À ENROBER",IF(G2457="À SOUDER","NON SOUDÉ","EN ATTENTE RT")),IF(L2457="R","À REPRENDRE",IF(H2457&lt;&gt;"OUI","⚠ ENROBÉ AVANT ACCEPTATION RT","ENROBÉ")))))</f>
        <v>À ENROBER</v>
      </c>
      <c r="O2457" s="80"/>
      <c r="P2457" s="82" t="n">
        <f aca="false">IF(C2457="","",IFERROR(MATCH(Q2457,'CARNET DE SOUDURE'!$AW$7:$AW$3006,0),""))</f>
        <v>2451</v>
      </c>
      <c r="Q2457" s="82" t="str">
        <f aca="false">IF(C2457="","",B2457&amp;"|"&amp;C2457)</f>
        <v>MFD-ISW → MFD-CPF|JN°1973</v>
      </c>
    </row>
    <row r="2458" customFormat="false" ht="74.6" hidden="false" customHeight="false" outlineLevel="0" collapsed="false">
      <c r="A2458" s="82" t="n">
        <f aca="false">IF(C2458="","",ROW()-6)</f>
        <v>2452</v>
      </c>
      <c r="B2458" s="80" t="s">
        <v>110</v>
      </c>
      <c r="C2458" s="113" t="s">
        <v>2983</v>
      </c>
      <c r="D2458" s="82" t="str">
        <f aca="false">IF(OR(C2458="",P2458=""),"",INDEX('CARNET DE SOUDURE'!$D$7:$D$3006,P2458)&amp;"")</f>
        <v>24</v>
      </c>
      <c r="E2458" s="114" t="n">
        <f aca="false">IF(OR(C2458="",P2458=""),"",IF(INDEX('CARNET DE SOUDURE'!$U$7:$U$3006,P2458)="","",INDEX('CARNET DE SOUDURE'!$U$7:$U$3006,P2458)))</f>
        <v>46252</v>
      </c>
      <c r="F2458" s="82" t="str">
        <f aca="false">IF(OR(C2458="",P2458=""),"",INDEX('CARNET DE SOUDURE'!$AP$7:$AP$3006,P2458))</f>
        <v>A</v>
      </c>
      <c r="G2458" s="82" t="str">
        <f aca="false">IF(C2458="","",IF(P2458="","NJ INCONNU",INDEX('CARNET DE SOUDURE'!$AQ$7:$AQ$3006,P2458)))</f>
        <v>ACCEPTÉ</v>
      </c>
      <c r="H2458" s="82" t="str">
        <f aca="false">IF(C2458="","",IF(G2458="ACCEPTÉ","OUI","NON"))</f>
        <v>OUI</v>
      </c>
      <c r="I2458" s="83"/>
      <c r="J2458" s="80"/>
      <c r="K2458" s="81"/>
      <c r="L2458" s="81"/>
      <c r="M2458" s="81"/>
      <c r="N2458" s="84" t="str">
        <f aca="false">IF(C2458="","",IF(P2458="","NJ INCONNU",IF(I2458="",IF(H2458="OUI","À ENROBER",IF(G2458="À SOUDER","NON SOUDÉ","EN ATTENTE RT")),IF(L2458="R","À REPRENDRE",IF(H2458&lt;&gt;"OUI","⚠ ENROBÉ AVANT ACCEPTATION RT","ENROBÉ")))))</f>
        <v>À ENROBER</v>
      </c>
      <c r="O2458" s="80"/>
      <c r="P2458" s="82" t="n">
        <f aca="false">IF(C2458="","",IFERROR(MATCH(Q2458,'CARNET DE SOUDURE'!$AW$7:$AW$3006,0),""))</f>
        <v>2452</v>
      </c>
      <c r="Q2458" s="82" t="str">
        <f aca="false">IF(C2458="","",B2458&amp;"|"&amp;C2458)</f>
        <v>MFD-ISW → MFD-CPF|JN°1974</v>
      </c>
    </row>
    <row r="2459" customFormat="false" ht="74.6" hidden="false" customHeight="false" outlineLevel="0" collapsed="false">
      <c r="A2459" s="82" t="n">
        <f aca="false">IF(C2459="","",ROW()-6)</f>
        <v>2453</v>
      </c>
      <c r="B2459" s="80" t="s">
        <v>110</v>
      </c>
      <c r="C2459" s="113" t="s">
        <v>2985</v>
      </c>
      <c r="D2459" s="82" t="str">
        <f aca="false">IF(OR(C2459="",P2459=""),"",INDEX('CARNET DE SOUDURE'!$D$7:$D$3006,P2459)&amp;"")</f>
        <v>24</v>
      </c>
      <c r="E2459" s="114" t="n">
        <f aca="false">IF(OR(C2459="",P2459=""),"",IF(INDEX('CARNET DE SOUDURE'!$U$7:$U$3006,P2459)="","",INDEX('CARNET DE SOUDURE'!$U$7:$U$3006,P2459)))</f>
        <v>46252</v>
      </c>
      <c r="F2459" s="82" t="str">
        <f aca="false">IF(OR(C2459="",P2459=""),"",INDEX('CARNET DE SOUDURE'!$AP$7:$AP$3006,P2459))</f>
        <v>A</v>
      </c>
      <c r="G2459" s="82" t="str">
        <f aca="false">IF(C2459="","",IF(P2459="","NJ INCONNU",INDEX('CARNET DE SOUDURE'!$AQ$7:$AQ$3006,P2459)))</f>
        <v>ACCEPTÉ</v>
      </c>
      <c r="H2459" s="82" t="str">
        <f aca="false">IF(C2459="","",IF(G2459="ACCEPTÉ","OUI","NON"))</f>
        <v>OUI</v>
      </c>
      <c r="I2459" s="83"/>
      <c r="J2459" s="80"/>
      <c r="K2459" s="81"/>
      <c r="L2459" s="81"/>
      <c r="M2459" s="81"/>
      <c r="N2459" s="84" t="str">
        <f aca="false">IF(C2459="","",IF(P2459="","NJ INCONNU",IF(I2459="",IF(H2459="OUI","À ENROBER",IF(G2459="À SOUDER","NON SOUDÉ","EN ATTENTE RT")),IF(L2459="R","À REPRENDRE",IF(H2459&lt;&gt;"OUI","⚠ ENROBÉ AVANT ACCEPTATION RT","ENROBÉ")))))</f>
        <v>À ENROBER</v>
      </c>
      <c r="O2459" s="80"/>
      <c r="P2459" s="82" t="n">
        <f aca="false">IF(C2459="","",IFERROR(MATCH(Q2459,'CARNET DE SOUDURE'!$AW$7:$AW$3006,0),""))</f>
        <v>2453</v>
      </c>
      <c r="Q2459" s="82" t="str">
        <f aca="false">IF(C2459="","",B2459&amp;"|"&amp;C2459)</f>
        <v>MFD-ISW → MFD-CPF|JN°1975</v>
      </c>
    </row>
    <row r="2460" customFormat="false" ht="74.6" hidden="false" customHeight="false" outlineLevel="0" collapsed="false">
      <c r="A2460" s="82" t="n">
        <f aca="false">IF(C2460="","",ROW()-6)</f>
        <v>2454</v>
      </c>
      <c r="B2460" s="80" t="s">
        <v>110</v>
      </c>
      <c r="C2460" s="113" t="s">
        <v>2986</v>
      </c>
      <c r="D2460" s="82" t="str">
        <f aca="false">IF(OR(C2460="",P2460=""),"",INDEX('CARNET DE SOUDURE'!$D$7:$D$3006,P2460)&amp;"")</f>
        <v>24</v>
      </c>
      <c r="E2460" s="114" t="n">
        <f aca="false">IF(OR(C2460="",P2460=""),"",IF(INDEX('CARNET DE SOUDURE'!$U$7:$U$3006,P2460)="","",INDEX('CARNET DE SOUDURE'!$U$7:$U$3006,P2460)))</f>
        <v>46252</v>
      </c>
      <c r="F2460" s="82" t="str">
        <f aca="false">IF(OR(C2460="",P2460=""),"",INDEX('CARNET DE SOUDURE'!$AP$7:$AP$3006,P2460))</f>
        <v>A</v>
      </c>
      <c r="G2460" s="82" t="str">
        <f aca="false">IF(C2460="","",IF(P2460="","NJ INCONNU",INDEX('CARNET DE SOUDURE'!$AQ$7:$AQ$3006,P2460)))</f>
        <v>ACCEPTÉ</v>
      </c>
      <c r="H2460" s="82" t="str">
        <f aca="false">IF(C2460="","",IF(G2460="ACCEPTÉ","OUI","NON"))</f>
        <v>OUI</v>
      </c>
      <c r="I2460" s="83"/>
      <c r="J2460" s="80"/>
      <c r="K2460" s="81"/>
      <c r="L2460" s="81"/>
      <c r="M2460" s="81"/>
      <c r="N2460" s="84" t="str">
        <f aca="false">IF(C2460="","",IF(P2460="","NJ INCONNU",IF(I2460="",IF(H2460="OUI","À ENROBER",IF(G2460="À SOUDER","NON SOUDÉ","EN ATTENTE RT")),IF(L2460="R","À REPRENDRE",IF(H2460&lt;&gt;"OUI","⚠ ENROBÉ AVANT ACCEPTATION RT","ENROBÉ")))))</f>
        <v>À ENROBER</v>
      </c>
      <c r="O2460" s="80"/>
      <c r="P2460" s="82" t="n">
        <f aca="false">IF(C2460="","",IFERROR(MATCH(Q2460,'CARNET DE SOUDURE'!$AW$7:$AW$3006,0),""))</f>
        <v>2454</v>
      </c>
      <c r="Q2460" s="82" t="str">
        <f aca="false">IF(C2460="","",B2460&amp;"|"&amp;C2460)</f>
        <v>MFD-ISW → MFD-CPF|JN°1976</v>
      </c>
    </row>
    <row r="2461" customFormat="false" ht="74.6" hidden="false" customHeight="false" outlineLevel="0" collapsed="false">
      <c r="A2461" s="82" t="n">
        <f aca="false">IF(C2461="","",ROW()-6)</f>
        <v>2455</v>
      </c>
      <c r="B2461" s="80" t="s">
        <v>110</v>
      </c>
      <c r="C2461" s="113" t="s">
        <v>2987</v>
      </c>
      <c r="D2461" s="82" t="str">
        <f aca="false">IF(OR(C2461="",P2461=""),"",INDEX('CARNET DE SOUDURE'!$D$7:$D$3006,P2461)&amp;"")</f>
        <v>24</v>
      </c>
      <c r="E2461" s="114" t="n">
        <f aca="false">IF(OR(C2461="",P2461=""),"",IF(INDEX('CARNET DE SOUDURE'!$U$7:$U$3006,P2461)="","",INDEX('CARNET DE SOUDURE'!$U$7:$U$3006,P2461)))</f>
        <v>46273</v>
      </c>
      <c r="F2461" s="82" t="str">
        <f aca="false">IF(OR(C2461="",P2461=""),"",INDEX('CARNET DE SOUDURE'!$AP$7:$AP$3006,P2461))</f>
        <v>A</v>
      </c>
      <c r="G2461" s="82" t="str">
        <f aca="false">IF(C2461="","",IF(P2461="","NJ INCONNU",INDEX('CARNET DE SOUDURE'!$AQ$7:$AQ$3006,P2461)))</f>
        <v>ACCEPTÉ</v>
      </c>
      <c r="H2461" s="82" t="str">
        <f aca="false">IF(C2461="","",IF(G2461="ACCEPTÉ","OUI","NON"))</f>
        <v>OUI</v>
      </c>
      <c r="I2461" s="83"/>
      <c r="J2461" s="80"/>
      <c r="K2461" s="81"/>
      <c r="L2461" s="81"/>
      <c r="M2461" s="81"/>
      <c r="N2461" s="84" t="str">
        <f aca="false">IF(C2461="","",IF(P2461="","NJ INCONNU",IF(I2461="",IF(H2461="OUI","À ENROBER",IF(G2461="À SOUDER","NON SOUDÉ","EN ATTENTE RT")),IF(L2461="R","À REPRENDRE",IF(H2461&lt;&gt;"OUI","⚠ ENROBÉ AVANT ACCEPTATION RT","ENROBÉ")))))</f>
        <v>À ENROBER</v>
      </c>
      <c r="O2461" s="80"/>
      <c r="P2461" s="82" t="n">
        <f aca="false">IF(C2461="","",IFERROR(MATCH(Q2461,'CARNET DE SOUDURE'!$AW$7:$AW$3006,0),""))</f>
        <v>2455</v>
      </c>
      <c r="Q2461" s="82" t="str">
        <f aca="false">IF(C2461="","",B2461&amp;"|"&amp;C2461)</f>
        <v>MFD-ISW → MFD-CPF|JN°1977R</v>
      </c>
    </row>
    <row r="2462" customFormat="false" ht="74.6" hidden="false" customHeight="false" outlineLevel="0" collapsed="false">
      <c r="A2462" s="82" t="n">
        <f aca="false">IF(C2462="","",ROW()-6)</f>
        <v>2456</v>
      </c>
      <c r="B2462" s="80" t="s">
        <v>110</v>
      </c>
      <c r="C2462" s="113" t="s">
        <v>2988</v>
      </c>
      <c r="D2462" s="82" t="str">
        <f aca="false">IF(OR(C2462="",P2462=""),"",INDEX('CARNET DE SOUDURE'!$D$7:$D$3006,P2462)&amp;"")</f>
        <v>24</v>
      </c>
      <c r="E2462" s="114" t="n">
        <f aca="false">IF(OR(C2462="",P2462=""),"",IF(INDEX('CARNET DE SOUDURE'!$U$7:$U$3006,P2462)="","",INDEX('CARNET DE SOUDURE'!$U$7:$U$3006,P2462)))</f>
        <v>46251</v>
      </c>
      <c r="F2462" s="82" t="str">
        <f aca="false">IF(OR(C2462="",P2462=""),"",INDEX('CARNET DE SOUDURE'!$AP$7:$AP$3006,P2462))</f>
        <v>A</v>
      </c>
      <c r="G2462" s="82" t="str">
        <f aca="false">IF(C2462="","",IF(P2462="","NJ INCONNU",INDEX('CARNET DE SOUDURE'!$AQ$7:$AQ$3006,P2462)))</f>
        <v>ACCEPTÉ</v>
      </c>
      <c r="H2462" s="82" t="str">
        <f aca="false">IF(C2462="","",IF(G2462="ACCEPTÉ","OUI","NON"))</f>
        <v>OUI</v>
      </c>
      <c r="I2462" s="83"/>
      <c r="J2462" s="80"/>
      <c r="K2462" s="81"/>
      <c r="L2462" s="81"/>
      <c r="M2462" s="81"/>
      <c r="N2462" s="84" t="str">
        <f aca="false">IF(C2462="","",IF(P2462="","NJ INCONNU",IF(I2462="",IF(H2462="OUI","À ENROBER",IF(G2462="À SOUDER","NON SOUDÉ","EN ATTENTE RT")),IF(L2462="R","À REPRENDRE",IF(H2462&lt;&gt;"OUI","⚠ ENROBÉ AVANT ACCEPTATION RT","ENROBÉ")))))</f>
        <v>À ENROBER</v>
      </c>
      <c r="O2462" s="80"/>
      <c r="P2462" s="82" t="n">
        <f aca="false">IF(C2462="","",IFERROR(MATCH(Q2462,'CARNET DE SOUDURE'!$AW$7:$AW$3006,0),""))</f>
        <v>2456</v>
      </c>
      <c r="Q2462" s="82" t="str">
        <f aca="false">IF(C2462="","",B2462&amp;"|"&amp;C2462)</f>
        <v>MFD-ISW → MFD-CPF|JN°1978</v>
      </c>
    </row>
    <row r="2463" customFormat="false" ht="74.6" hidden="false" customHeight="false" outlineLevel="0" collapsed="false">
      <c r="A2463" s="82" t="n">
        <f aca="false">IF(C2463="","",ROW()-6)</f>
        <v>2457</v>
      </c>
      <c r="B2463" s="80" t="s">
        <v>110</v>
      </c>
      <c r="C2463" s="113" t="s">
        <v>2990</v>
      </c>
      <c r="D2463" s="82" t="str">
        <f aca="false">IF(OR(C2463="",P2463=""),"",INDEX('CARNET DE SOUDURE'!$D$7:$D$3006,P2463)&amp;"")</f>
        <v>24</v>
      </c>
      <c r="E2463" s="114" t="n">
        <f aca="false">IF(OR(C2463="",P2463=""),"",IF(INDEX('CARNET DE SOUDURE'!$U$7:$U$3006,P2463)="","",INDEX('CARNET DE SOUDURE'!$U$7:$U$3006,P2463)))</f>
        <v>46251</v>
      </c>
      <c r="F2463" s="82" t="str">
        <f aca="false">IF(OR(C2463="",P2463=""),"",INDEX('CARNET DE SOUDURE'!$AP$7:$AP$3006,P2463))</f>
        <v>A</v>
      </c>
      <c r="G2463" s="82" t="str">
        <f aca="false">IF(C2463="","",IF(P2463="","NJ INCONNU",INDEX('CARNET DE SOUDURE'!$AQ$7:$AQ$3006,P2463)))</f>
        <v>ACCEPTÉ</v>
      </c>
      <c r="H2463" s="82" t="str">
        <f aca="false">IF(C2463="","",IF(G2463="ACCEPTÉ","OUI","NON"))</f>
        <v>OUI</v>
      </c>
      <c r="I2463" s="83"/>
      <c r="J2463" s="80"/>
      <c r="K2463" s="81"/>
      <c r="L2463" s="81"/>
      <c r="M2463" s="81"/>
      <c r="N2463" s="84" t="str">
        <f aca="false">IF(C2463="","",IF(P2463="","NJ INCONNU",IF(I2463="",IF(H2463="OUI","À ENROBER",IF(G2463="À SOUDER","NON SOUDÉ","EN ATTENTE RT")),IF(L2463="R","À REPRENDRE",IF(H2463&lt;&gt;"OUI","⚠ ENROBÉ AVANT ACCEPTATION RT","ENROBÉ")))))</f>
        <v>À ENROBER</v>
      </c>
      <c r="O2463" s="80"/>
      <c r="P2463" s="82" t="n">
        <f aca="false">IF(C2463="","",IFERROR(MATCH(Q2463,'CARNET DE SOUDURE'!$AW$7:$AW$3006,0),""))</f>
        <v>2457</v>
      </c>
      <c r="Q2463" s="82" t="str">
        <f aca="false">IF(C2463="","",B2463&amp;"|"&amp;C2463)</f>
        <v>MFD-ISW → MFD-CPF|JN°1979</v>
      </c>
    </row>
    <row r="2464" customFormat="false" ht="74.6" hidden="false" customHeight="false" outlineLevel="0" collapsed="false">
      <c r="A2464" s="82" t="n">
        <f aca="false">IF(C2464="","",ROW()-6)</f>
        <v>2458</v>
      </c>
      <c r="B2464" s="80" t="s">
        <v>110</v>
      </c>
      <c r="C2464" s="113" t="s">
        <v>2991</v>
      </c>
      <c r="D2464" s="82" t="str">
        <f aca="false">IF(OR(C2464="",P2464=""),"",INDEX('CARNET DE SOUDURE'!$D$7:$D$3006,P2464)&amp;"")</f>
        <v>24</v>
      </c>
      <c r="E2464" s="114" t="n">
        <f aca="false">IF(OR(C2464="",P2464=""),"",IF(INDEX('CARNET DE SOUDURE'!$U$7:$U$3006,P2464)="","",INDEX('CARNET DE SOUDURE'!$U$7:$U$3006,P2464)))</f>
        <v>46251</v>
      </c>
      <c r="F2464" s="82" t="str">
        <f aca="false">IF(OR(C2464="",P2464=""),"",INDEX('CARNET DE SOUDURE'!$AP$7:$AP$3006,P2464))</f>
        <v>A</v>
      </c>
      <c r="G2464" s="82" t="str">
        <f aca="false">IF(C2464="","",IF(P2464="","NJ INCONNU",INDEX('CARNET DE SOUDURE'!$AQ$7:$AQ$3006,P2464)))</f>
        <v>ACCEPTÉ</v>
      </c>
      <c r="H2464" s="82" t="str">
        <f aca="false">IF(C2464="","",IF(G2464="ACCEPTÉ","OUI","NON"))</f>
        <v>OUI</v>
      </c>
      <c r="I2464" s="83"/>
      <c r="J2464" s="80"/>
      <c r="K2464" s="81"/>
      <c r="L2464" s="81"/>
      <c r="M2464" s="81"/>
      <c r="N2464" s="84" t="str">
        <f aca="false">IF(C2464="","",IF(P2464="","NJ INCONNU",IF(I2464="",IF(H2464="OUI","À ENROBER",IF(G2464="À SOUDER","NON SOUDÉ","EN ATTENTE RT")),IF(L2464="R","À REPRENDRE",IF(H2464&lt;&gt;"OUI","⚠ ENROBÉ AVANT ACCEPTATION RT","ENROBÉ")))))</f>
        <v>À ENROBER</v>
      </c>
      <c r="O2464" s="80"/>
      <c r="P2464" s="82" t="n">
        <f aca="false">IF(C2464="","",IFERROR(MATCH(Q2464,'CARNET DE SOUDURE'!$AW$7:$AW$3006,0),""))</f>
        <v>2458</v>
      </c>
      <c r="Q2464" s="82" t="str">
        <f aca="false">IF(C2464="","",B2464&amp;"|"&amp;C2464)</f>
        <v>MFD-ISW → MFD-CPF|JN°1980</v>
      </c>
    </row>
    <row r="2465" customFormat="false" ht="74.6" hidden="false" customHeight="false" outlineLevel="0" collapsed="false">
      <c r="A2465" s="82" t="n">
        <f aca="false">IF(C2465="","",ROW()-6)</f>
        <v>2459</v>
      </c>
      <c r="B2465" s="80" t="s">
        <v>110</v>
      </c>
      <c r="C2465" s="113" t="s">
        <v>2992</v>
      </c>
      <c r="D2465" s="82" t="str">
        <f aca="false">IF(OR(C2465="",P2465=""),"",INDEX('CARNET DE SOUDURE'!$D$7:$D$3006,P2465)&amp;"")</f>
        <v>24</v>
      </c>
      <c r="E2465" s="114" t="n">
        <f aca="false">IF(OR(C2465="",P2465=""),"",IF(INDEX('CARNET DE SOUDURE'!$U$7:$U$3006,P2465)="","",INDEX('CARNET DE SOUDURE'!$U$7:$U$3006,P2465)))</f>
        <v>46251</v>
      </c>
      <c r="F2465" s="82" t="str">
        <f aca="false">IF(OR(C2465="",P2465=""),"",INDEX('CARNET DE SOUDURE'!$AP$7:$AP$3006,P2465))</f>
        <v>A</v>
      </c>
      <c r="G2465" s="82" t="str">
        <f aca="false">IF(C2465="","",IF(P2465="","NJ INCONNU",INDEX('CARNET DE SOUDURE'!$AQ$7:$AQ$3006,P2465)))</f>
        <v>ACCEPTÉ</v>
      </c>
      <c r="H2465" s="82" t="str">
        <f aca="false">IF(C2465="","",IF(G2465="ACCEPTÉ","OUI","NON"))</f>
        <v>OUI</v>
      </c>
      <c r="I2465" s="83"/>
      <c r="J2465" s="80"/>
      <c r="K2465" s="81"/>
      <c r="L2465" s="81"/>
      <c r="M2465" s="81"/>
      <c r="N2465" s="84" t="str">
        <f aca="false">IF(C2465="","",IF(P2465="","NJ INCONNU",IF(I2465="",IF(H2465="OUI","À ENROBER",IF(G2465="À SOUDER","NON SOUDÉ","EN ATTENTE RT")),IF(L2465="R","À REPRENDRE",IF(H2465&lt;&gt;"OUI","⚠ ENROBÉ AVANT ACCEPTATION RT","ENROBÉ")))))</f>
        <v>À ENROBER</v>
      </c>
      <c r="O2465" s="80"/>
      <c r="P2465" s="82" t="n">
        <f aca="false">IF(C2465="","",IFERROR(MATCH(Q2465,'CARNET DE SOUDURE'!$AW$7:$AW$3006,0),""))</f>
        <v>2459</v>
      </c>
      <c r="Q2465" s="82" t="str">
        <f aca="false">IF(C2465="","",B2465&amp;"|"&amp;C2465)</f>
        <v>MFD-ISW → MFD-CPF|JN°1981</v>
      </c>
    </row>
    <row r="2466" customFormat="false" ht="74.6" hidden="false" customHeight="false" outlineLevel="0" collapsed="false">
      <c r="A2466" s="82" t="n">
        <f aca="false">IF(C2466="","",ROW()-6)</f>
        <v>2460</v>
      </c>
      <c r="B2466" s="80" t="s">
        <v>110</v>
      </c>
      <c r="C2466" s="113" t="s">
        <v>2993</v>
      </c>
      <c r="D2466" s="82" t="str">
        <f aca="false">IF(OR(C2466="",P2466=""),"",INDEX('CARNET DE SOUDURE'!$D$7:$D$3006,P2466)&amp;"")</f>
        <v>24</v>
      </c>
      <c r="E2466" s="114" t="n">
        <f aca="false">IF(OR(C2466="",P2466=""),"",IF(INDEX('CARNET DE SOUDURE'!$U$7:$U$3006,P2466)="","",INDEX('CARNET DE SOUDURE'!$U$7:$U$3006,P2466)))</f>
        <v>46251</v>
      </c>
      <c r="F2466" s="82" t="str">
        <f aca="false">IF(OR(C2466="",P2466=""),"",INDEX('CARNET DE SOUDURE'!$AP$7:$AP$3006,P2466))</f>
        <v>A</v>
      </c>
      <c r="G2466" s="82" t="str">
        <f aca="false">IF(C2466="","",IF(P2466="","NJ INCONNU",INDEX('CARNET DE SOUDURE'!$AQ$7:$AQ$3006,P2466)))</f>
        <v>ACCEPTÉ</v>
      </c>
      <c r="H2466" s="82" t="str">
        <f aca="false">IF(C2466="","",IF(G2466="ACCEPTÉ","OUI","NON"))</f>
        <v>OUI</v>
      </c>
      <c r="I2466" s="83"/>
      <c r="J2466" s="80"/>
      <c r="K2466" s="81"/>
      <c r="L2466" s="81"/>
      <c r="M2466" s="81"/>
      <c r="N2466" s="84" t="str">
        <f aca="false">IF(C2466="","",IF(P2466="","NJ INCONNU",IF(I2466="",IF(H2466="OUI","À ENROBER",IF(G2466="À SOUDER","NON SOUDÉ","EN ATTENTE RT")),IF(L2466="R","À REPRENDRE",IF(H2466&lt;&gt;"OUI","⚠ ENROBÉ AVANT ACCEPTATION RT","ENROBÉ")))))</f>
        <v>À ENROBER</v>
      </c>
      <c r="O2466" s="80"/>
      <c r="P2466" s="82" t="n">
        <f aca="false">IF(C2466="","",IFERROR(MATCH(Q2466,'CARNET DE SOUDURE'!$AW$7:$AW$3006,0),""))</f>
        <v>2460</v>
      </c>
      <c r="Q2466" s="82" t="str">
        <f aca="false">IF(C2466="","",B2466&amp;"|"&amp;C2466)</f>
        <v>MFD-ISW → MFD-CPF|JN°1982</v>
      </c>
    </row>
    <row r="2467" customFormat="false" ht="74.6" hidden="false" customHeight="false" outlineLevel="0" collapsed="false">
      <c r="A2467" s="82" t="n">
        <f aca="false">IF(C2467="","",ROW()-6)</f>
        <v>2461</v>
      </c>
      <c r="B2467" s="80" t="s">
        <v>110</v>
      </c>
      <c r="C2467" s="113" t="s">
        <v>2994</v>
      </c>
      <c r="D2467" s="82" t="str">
        <f aca="false">IF(OR(C2467="",P2467=""),"",INDEX('CARNET DE SOUDURE'!$D$7:$D$3006,P2467)&amp;"")</f>
        <v>24</v>
      </c>
      <c r="E2467" s="114" t="n">
        <f aca="false">IF(OR(C2467="",P2467=""),"",IF(INDEX('CARNET DE SOUDURE'!$U$7:$U$3006,P2467)="","",INDEX('CARNET DE SOUDURE'!$U$7:$U$3006,P2467)))</f>
        <v>46251</v>
      </c>
      <c r="F2467" s="82" t="str">
        <f aca="false">IF(OR(C2467="",P2467=""),"",INDEX('CARNET DE SOUDURE'!$AP$7:$AP$3006,P2467))</f>
        <v>A</v>
      </c>
      <c r="G2467" s="82" t="str">
        <f aca="false">IF(C2467="","",IF(P2467="","NJ INCONNU",INDEX('CARNET DE SOUDURE'!$AQ$7:$AQ$3006,P2467)))</f>
        <v>ACCEPTÉ</v>
      </c>
      <c r="H2467" s="82" t="str">
        <f aca="false">IF(C2467="","",IF(G2467="ACCEPTÉ","OUI","NON"))</f>
        <v>OUI</v>
      </c>
      <c r="I2467" s="83"/>
      <c r="J2467" s="80"/>
      <c r="K2467" s="81"/>
      <c r="L2467" s="81"/>
      <c r="M2467" s="81"/>
      <c r="N2467" s="84" t="str">
        <f aca="false">IF(C2467="","",IF(P2467="","NJ INCONNU",IF(I2467="",IF(H2467="OUI","À ENROBER",IF(G2467="À SOUDER","NON SOUDÉ","EN ATTENTE RT")),IF(L2467="R","À REPRENDRE",IF(H2467&lt;&gt;"OUI","⚠ ENROBÉ AVANT ACCEPTATION RT","ENROBÉ")))))</f>
        <v>À ENROBER</v>
      </c>
      <c r="O2467" s="80"/>
      <c r="P2467" s="82" t="n">
        <f aca="false">IF(C2467="","",IFERROR(MATCH(Q2467,'CARNET DE SOUDURE'!$AW$7:$AW$3006,0),""))</f>
        <v>2461</v>
      </c>
      <c r="Q2467" s="82" t="str">
        <f aca="false">IF(C2467="","",B2467&amp;"|"&amp;C2467)</f>
        <v>MFD-ISW → MFD-CPF|JN°1983</v>
      </c>
    </row>
    <row r="2468" customFormat="false" ht="74.6" hidden="false" customHeight="false" outlineLevel="0" collapsed="false">
      <c r="A2468" s="82" t="n">
        <f aca="false">IF(C2468="","",ROW()-6)</f>
        <v>2462</v>
      </c>
      <c r="B2468" s="80" t="s">
        <v>110</v>
      </c>
      <c r="C2468" s="113" t="s">
        <v>2995</v>
      </c>
      <c r="D2468" s="82" t="str">
        <f aca="false">IF(OR(C2468="",P2468=""),"",INDEX('CARNET DE SOUDURE'!$D$7:$D$3006,P2468)&amp;"")</f>
        <v>24</v>
      </c>
      <c r="E2468" s="114" t="n">
        <f aca="false">IF(OR(C2468="",P2468=""),"",IF(INDEX('CARNET DE SOUDURE'!$U$7:$U$3006,P2468)="","",INDEX('CARNET DE SOUDURE'!$U$7:$U$3006,P2468)))</f>
        <v>46251</v>
      </c>
      <c r="F2468" s="82" t="str">
        <f aca="false">IF(OR(C2468="",P2468=""),"",INDEX('CARNET DE SOUDURE'!$AP$7:$AP$3006,P2468))</f>
        <v>A</v>
      </c>
      <c r="G2468" s="82" t="str">
        <f aca="false">IF(C2468="","",IF(P2468="","NJ INCONNU",INDEX('CARNET DE SOUDURE'!$AQ$7:$AQ$3006,P2468)))</f>
        <v>ACCEPTÉ</v>
      </c>
      <c r="H2468" s="82" t="str">
        <f aca="false">IF(C2468="","",IF(G2468="ACCEPTÉ","OUI","NON"))</f>
        <v>OUI</v>
      </c>
      <c r="I2468" s="83"/>
      <c r="J2468" s="80"/>
      <c r="K2468" s="81"/>
      <c r="L2468" s="81"/>
      <c r="M2468" s="81"/>
      <c r="N2468" s="84" t="str">
        <f aca="false">IF(C2468="","",IF(P2468="","NJ INCONNU",IF(I2468="",IF(H2468="OUI","À ENROBER",IF(G2468="À SOUDER","NON SOUDÉ","EN ATTENTE RT")),IF(L2468="R","À REPRENDRE",IF(H2468&lt;&gt;"OUI","⚠ ENROBÉ AVANT ACCEPTATION RT","ENROBÉ")))))</f>
        <v>À ENROBER</v>
      </c>
      <c r="O2468" s="80"/>
      <c r="P2468" s="82" t="n">
        <f aca="false">IF(C2468="","",IFERROR(MATCH(Q2468,'CARNET DE SOUDURE'!$AW$7:$AW$3006,0),""))</f>
        <v>2462</v>
      </c>
      <c r="Q2468" s="82" t="str">
        <f aca="false">IF(C2468="","",B2468&amp;"|"&amp;C2468)</f>
        <v>MFD-ISW → MFD-CPF|JN°1984</v>
      </c>
    </row>
    <row r="2469" customFormat="false" ht="74.6" hidden="false" customHeight="false" outlineLevel="0" collapsed="false">
      <c r="A2469" s="82" t="n">
        <f aca="false">IF(C2469="","",ROW()-6)</f>
        <v>2463</v>
      </c>
      <c r="B2469" s="80" t="s">
        <v>110</v>
      </c>
      <c r="C2469" s="113" t="s">
        <v>2997</v>
      </c>
      <c r="D2469" s="82" t="str">
        <f aca="false">IF(OR(C2469="",P2469=""),"",INDEX('CARNET DE SOUDURE'!$D$7:$D$3006,P2469)&amp;"")</f>
        <v>24</v>
      </c>
      <c r="E2469" s="114" t="n">
        <f aca="false">IF(OR(C2469="",P2469=""),"",IF(INDEX('CARNET DE SOUDURE'!$U$7:$U$3006,P2469)="","",INDEX('CARNET DE SOUDURE'!$U$7:$U$3006,P2469)))</f>
        <v>46251</v>
      </c>
      <c r="F2469" s="82" t="str">
        <f aca="false">IF(OR(C2469="",P2469=""),"",INDEX('CARNET DE SOUDURE'!$AP$7:$AP$3006,P2469))</f>
        <v>A</v>
      </c>
      <c r="G2469" s="82" t="str">
        <f aca="false">IF(C2469="","",IF(P2469="","NJ INCONNU",INDEX('CARNET DE SOUDURE'!$AQ$7:$AQ$3006,P2469)))</f>
        <v>ACCEPTÉ</v>
      </c>
      <c r="H2469" s="82" t="str">
        <f aca="false">IF(C2469="","",IF(G2469="ACCEPTÉ","OUI","NON"))</f>
        <v>OUI</v>
      </c>
      <c r="I2469" s="83"/>
      <c r="J2469" s="80"/>
      <c r="K2469" s="81"/>
      <c r="L2469" s="81"/>
      <c r="M2469" s="81"/>
      <c r="N2469" s="84" t="str">
        <f aca="false">IF(C2469="","",IF(P2469="","NJ INCONNU",IF(I2469="",IF(H2469="OUI","À ENROBER",IF(G2469="À SOUDER","NON SOUDÉ","EN ATTENTE RT")),IF(L2469="R","À REPRENDRE",IF(H2469&lt;&gt;"OUI","⚠ ENROBÉ AVANT ACCEPTATION RT","ENROBÉ")))))</f>
        <v>À ENROBER</v>
      </c>
      <c r="O2469" s="80"/>
      <c r="P2469" s="82" t="n">
        <f aca="false">IF(C2469="","",IFERROR(MATCH(Q2469,'CARNET DE SOUDURE'!$AW$7:$AW$3006,0),""))</f>
        <v>2463</v>
      </c>
      <c r="Q2469" s="82" t="str">
        <f aca="false">IF(C2469="","",B2469&amp;"|"&amp;C2469)</f>
        <v>MFD-ISW → MFD-CPF|JN°1985</v>
      </c>
    </row>
    <row r="2470" customFormat="false" ht="74.6" hidden="false" customHeight="false" outlineLevel="0" collapsed="false">
      <c r="A2470" s="82" t="n">
        <f aca="false">IF(C2470="","",ROW()-6)</f>
        <v>2464</v>
      </c>
      <c r="B2470" s="80" t="s">
        <v>110</v>
      </c>
      <c r="C2470" s="113" t="s">
        <v>2998</v>
      </c>
      <c r="D2470" s="82" t="str">
        <f aca="false">IF(OR(C2470="",P2470=""),"",INDEX('CARNET DE SOUDURE'!$D$7:$D$3006,P2470)&amp;"")</f>
        <v>24</v>
      </c>
      <c r="E2470" s="114" t="n">
        <f aca="false">IF(OR(C2470="",P2470=""),"",IF(INDEX('CARNET DE SOUDURE'!$U$7:$U$3006,P2470)="","",INDEX('CARNET DE SOUDURE'!$U$7:$U$3006,P2470)))</f>
        <v>46251</v>
      </c>
      <c r="F2470" s="82" t="str">
        <f aca="false">IF(OR(C2470="",P2470=""),"",INDEX('CARNET DE SOUDURE'!$AP$7:$AP$3006,P2470))</f>
        <v>A</v>
      </c>
      <c r="G2470" s="82" t="str">
        <f aca="false">IF(C2470="","",IF(P2470="","NJ INCONNU",INDEX('CARNET DE SOUDURE'!$AQ$7:$AQ$3006,P2470)))</f>
        <v>ACCEPTÉ</v>
      </c>
      <c r="H2470" s="82" t="str">
        <f aca="false">IF(C2470="","",IF(G2470="ACCEPTÉ","OUI","NON"))</f>
        <v>OUI</v>
      </c>
      <c r="I2470" s="83"/>
      <c r="J2470" s="80"/>
      <c r="K2470" s="81"/>
      <c r="L2470" s="81"/>
      <c r="M2470" s="81"/>
      <c r="N2470" s="84" t="str">
        <f aca="false">IF(C2470="","",IF(P2470="","NJ INCONNU",IF(I2470="",IF(H2470="OUI","À ENROBER",IF(G2470="À SOUDER","NON SOUDÉ","EN ATTENTE RT")),IF(L2470="R","À REPRENDRE",IF(H2470&lt;&gt;"OUI","⚠ ENROBÉ AVANT ACCEPTATION RT","ENROBÉ")))))</f>
        <v>À ENROBER</v>
      </c>
      <c r="O2470" s="80"/>
      <c r="P2470" s="82" t="n">
        <f aca="false">IF(C2470="","",IFERROR(MATCH(Q2470,'CARNET DE SOUDURE'!$AW$7:$AW$3006,0),""))</f>
        <v>2464</v>
      </c>
      <c r="Q2470" s="82" t="str">
        <f aca="false">IF(C2470="","",B2470&amp;"|"&amp;C2470)</f>
        <v>MFD-ISW → MFD-CPF|JN°1986</v>
      </c>
    </row>
    <row r="2471" customFormat="false" ht="74.6" hidden="false" customHeight="false" outlineLevel="0" collapsed="false">
      <c r="A2471" s="82" t="n">
        <f aca="false">IF(C2471="","",ROW()-6)</f>
        <v>2465</v>
      </c>
      <c r="B2471" s="80" t="s">
        <v>110</v>
      </c>
      <c r="C2471" s="113" t="s">
        <v>2999</v>
      </c>
      <c r="D2471" s="82" t="str">
        <f aca="false">IF(OR(C2471="",P2471=""),"",INDEX('CARNET DE SOUDURE'!$D$7:$D$3006,P2471)&amp;"")</f>
        <v>24</v>
      </c>
      <c r="E2471" s="114" t="n">
        <f aca="false">IF(OR(C2471="",P2471=""),"",IF(INDEX('CARNET DE SOUDURE'!$U$7:$U$3006,P2471)="","",INDEX('CARNET DE SOUDURE'!$U$7:$U$3006,P2471)))</f>
        <v>46251</v>
      </c>
      <c r="F2471" s="82" t="str">
        <f aca="false">IF(OR(C2471="",P2471=""),"",INDEX('CARNET DE SOUDURE'!$AP$7:$AP$3006,P2471))</f>
        <v>A</v>
      </c>
      <c r="G2471" s="82" t="str">
        <f aca="false">IF(C2471="","",IF(P2471="","NJ INCONNU",INDEX('CARNET DE SOUDURE'!$AQ$7:$AQ$3006,P2471)))</f>
        <v>ACCEPTÉ</v>
      </c>
      <c r="H2471" s="82" t="str">
        <f aca="false">IF(C2471="","",IF(G2471="ACCEPTÉ","OUI","NON"))</f>
        <v>OUI</v>
      </c>
      <c r="I2471" s="83"/>
      <c r="J2471" s="80"/>
      <c r="K2471" s="81"/>
      <c r="L2471" s="81"/>
      <c r="M2471" s="81"/>
      <c r="N2471" s="84" t="str">
        <f aca="false">IF(C2471="","",IF(P2471="","NJ INCONNU",IF(I2471="",IF(H2471="OUI","À ENROBER",IF(G2471="À SOUDER","NON SOUDÉ","EN ATTENTE RT")),IF(L2471="R","À REPRENDRE",IF(H2471&lt;&gt;"OUI","⚠ ENROBÉ AVANT ACCEPTATION RT","ENROBÉ")))))</f>
        <v>À ENROBER</v>
      </c>
      <c r="O2471" s="80"/>
      <c r="P2471" s="82" t="n">
        <f aca="false">IF(C2471="","",IFERROR(MATCH(Q2471,'CARNET DE SOUDURE'!$AW$7:$AW$3006,0),""))</f>
        <v>2465</v>
      </c>
      <c r="Q2471" s="82" t="str">
        <f aca="false">IF(C2471="","",B2471&amp;"|"&amp;C2471)</f>
        <v>MFD-ISW → MFD-CPF|JN°1987</v>
      </c>
    </row>
    <row r="2472" customFormat="false" ht="74.6" hidden="false" customHeight="false" outlineLevel="0" collapsed="false">
      <c r="A2472" s="82" t="n">
        <f aca="false">IF(C2472="","",ROW()-6)</f>
        <v>2466</v>
      </c>
      <c r="B2472" s="80" t="s">
        <v>110</v>
      </c>
      <c r="C2472" s="113" t="s">
        <v>3000</v>
      </c>
      <c r="D2472" s="82" t="str">
        <f aca="false">IF(OR(C2472="",P2472=""),"",INDEX('CARNET DE SOUDURE'!$D$7:$D$3006,P2472)&amp;"")</f>
        <v>24</v>
      </c>
      <c r="E2472" s="114" t="n">
        <f aca="false">IF(OR(C2472="",P2472=""),"",IF(INDEX('CARNET DE SOUDURE'!$U$7:$U$3006,P2472)="","",INDEX('CARNET DE SOUDURE'!$U$7:$U$3006,P2472)))</f>
        <v>46251</v>
      </c>
      <c r="F2472" s="82" t="str">
        <f aca="false">IF(OR(C2472="",P2472=""),"",INDEX('CARNET DE SOUDURE'!$AP$7:$AP$3006,P2472))</f>
        <v>A</v>
      </c>
      <c r="G2472" s="82" t="str">
        <f aca="false">IF(C2472="","",IF(P2472="","NJ INCONNU",INDEX('CARNET DE SOUDURE'!$AQ$7:$AQ$3006,P2472)))</f>
        <v>ACCEPTÉ</v>
      </c>
      <c r="H2472" s="82" t="str">
        <f aca="false">IF(C2472="","",IF(G2472="ACCEPTÉ","OUI","NON"))</f>
        <v>OUI</v>
      </c>
      <c r="I2472" s="83"/>
      <c r="J2472" s="80"/>
      <c r="K2472" s="81"/>
      <c r="L2472" s="81"/>
      <c r="M2472" s="81"/>
      <c r="N2472" s="84" t="str">
        <f aca="false">IF(C2472="","",IF(P2472="","NJ INCONNU",IF(I2472="",IF(H2472="OUI","À ENROBER",IF(G2472="À SOUDER","NON SOUDÉ","EN ATTENTE RT")),IF(L2472="R","À REPRENDRE",IF(H2472&lt;&gt;"OUI","⚠ ENROBÉ AVANT ACCEPTATION RT","ENROBÉ")))))</f>
        <v>À ENROBER</v>
      </c>
      <c r="O2472" s="80"/>
      <c r="P2472" s="82" t="n">
        <f aca="false">IF(C2472="","",IFERROR(MATCH(Q2472,'CARNET DE SOUDURE'!$AW$7:$AW$3006,0),""))</f>
        <v>2466</v>
      </c>
      <c r="Q2472" s="82" t="str">
        <f aca="false">IF(C2472="","",B2472&amp;"|"&amp;C2472)</f>
        <v>MFD-ISW → MFD-CPF|JN°1988</v>
      </c>
    </row>
    <row r="2473" customFormat="false" ht="74.6" hidden="false" customHeight="false" outlineLevel="0" collapsed="false">
      <c r="A2473" s="82" t="n">
        <f aca="false">IF(C2473="","",ROW()-6)</f>
        <v>2467</v>
      </c>
      <c r="B2473" s="80" t="s">
        <v>110</v>
      </c>
      <c r="C2473" s="113" t="s">
        <v>3001</v>
      </c>
      <c r="D2473" s="82" t="str">
        <f aca="false">IF(OR(C2473="",P2473=""),"",INDEX('CARNET DE SOUDURE'!$D$7:$D$3006,P2473)&amp;"")</f>
        <v>24</v>
      </c>
      <c r="E2473" s="114" t="n">
        <f aca="false">IF(OR(C2473="",P2473=""),"",IF(INDEX('CARNET DE SOUDURE'!$U$7:$U$3006,P2473)="","",INDEX('CARNET DE SOUDURE'!$U$7:$U$3006,P2473)))</f>
        <v>46273</v>
      </c>
      <c r="F2473" s="82" t="str">
        <f aca="false">IF(OR(C2473="",P2473=""),"",INDEX('CARNET DE SOUDURE'!$AP$7:$AP$3006,P2473))</f>
        <v>A</v>
      </c>
      <c r="G2473" s="82" t="str">
        <f aca="false">IF(C2473="","",IF(P2473="","NJ INCONNU",INDEX('CARNET DE SOUDURE'!$AQ$7:$AQ$3006,P2473)))</f>
        <v>ACCEPTÉ</v>
      </c>
      <c r="H2473" s="82" t="str">
        <f aca="false">IF(C2473="","",IF(G2473="ACCEPTÉ","OUI","NON"))</f>
        <v>OUI</v>
      </c>
      <c r="I2473" s="83"/>
      <c r="J2473" s="80"/>
      <c r="K2473" s="81"/>
      <c r="L2473" s="81"/>
      <c r="M2473" s="81"/>
      <c r="N2473" s="84" t="str">
        <f aca="false">IF(C2473="","",IF(P2473="","NJ INCONNU",IF(I2473="",IF(H2473="OUI","À ENROBER",IF(G2473="À SOUDER","NON SOUDÉ","EN ATTENTE RT")),IF(L2473="R","À REPRENDRE",IF(H2473&lt;&gt;"OUI","⚠ ENROBÉ AVANT ACCEPTATION RT","ENROBÉ")))))</f>
        <v>À ENROBER</v>
      </c>
      <c r="O2473" s="80"/>
      <c r="P2473" s="82" t="n">
        <f aca="false">IF(C2473="","",IFERROR(MATCH(Q2473,'CARNET DE SOUDURE'!$AW$7:$AW$3006,0),""))</f>
        <v>2467</v>
      </c>
      <c r="Q2473" s="82" t="str">
        <f aca="false">IF(C2473="","",B2473&amp;"|"&amp;C2473)</f>
        <v>MFD-ISW → MFD-CPF|JN°1989R</v>
      </c>
    </row>
    <row r="2474" customFormat="false" ht="74.6" hidden="false" customHeight="false" outlineLevel="0" collapsed="false">
      <c r="A2474" s="82" t="n">
        <f aca="false">IF(C2474="","",ROW()-6)</f>
        <v>2468</v>
      </c>
      <c r="B2474" s="80" t="s">
        <v>110</v>
      </c>
      <c r="C2474" s="113" t="s">
        <v>3002</v>
      </c>
      <c r="D2474" s="82" t="str">
        <f aca="false">IF(OR(C2474="",P2474=""),"",INDEX('CARNET DE SOUDURE'!$D$7:$D$3006,P2474)&amp;"")</f>
        <v>24</v>
      </c>
      <c r="E2474" s="114" t="n">
        <f aca="false">IF(OR(C2474="",P2474=""),"",IF(INDEX('CARNET DE SOUDURE'!$U$7:$U$3006,P2474)="","",INDEX('CARNET DE SOUDURE'!$U$7:$U$3006,P2474)))</f>
        <v>46251</v>
      </c>
      <c r="F2474" s="82" t="str">
        <f aca="false">IF(OR(C2474="",P2474=""),"",INDEX('CARNET DE SOUDURE'!$AP$7:$AP$3006,P2474))</f>
        <v>A</v>
      </c>
      <c r="G2474" s="82" t="str">
        <f aca="false">IF(C2474="","",IF(P2474="","NJ INCONNU",INDEX('CARNET DE SOUDURE'!$AQ$7:$AQ$3006,P2474)))</f>
        <v>ACCEPTÉ</v>
      </c>
      <c r="H2474" s="82" t="str">
        <f aca="false">IF(C2474="","",IF(G2474="ACCEPTÉ","OUI","NON"))</f>
        <v>OUI</v>
      </c>
      <c r="I2474" s="83"/>
      <c r="J2474" s="80"/>
      <c r="K2474" s="81"/>
      <c r="L2474" s="81"/>
      <c r="M2474" s="81"/>
      <c r="N2474" s="84" t="str">
        <f aca="false">IF(C2474="","",IF(P2474="","NJ INCONNU",IF(I2474="",IF(H2474="OUI","À ENROBER",IF(G2474="À SOUDER","NON SOUDÉ","EN ATTENTE RT")),IF(L2474="R","À REPRENDRE",IF(H2474&lt;&gt;"OUI","⚠ ENROBÉ AVANT ACCEPTATION RT","ENROBÉ")))))</f>
        <v>À ENROBER</v>
      </c>
      <c r="O2474" s="80"/>
      <c r="P2474" s="82" t="n">
        <f aca="false">IF(C2474="","",IFERROR(MATCH(Q2474,'CARNET DE SOUDURE'!$AW$7:$AW$3006,0),""))</f>
        <v>2468</v>
      </c>
      <c r="Q2474" s="82" t="str">
        <f aca="false">IF(C2474="","",B2474&amp;"|"&amp;C2474)</f>
        <v>MFD-ISW → MFD-CPF|JN°1990</v>
      </c>
    </row>
    <row r="2475" customFormat="false" ht="74.6" hidden="false" customHeight="false" outlineLevel="0" collapsed="false">
      <c r="A2475" s="82" t="n">
        <f aca="false">IF(C2475="","",ROW()-6)</f>
        <v>2469</v>
      </c>
      <c r="B2475" s="80" t="s">
        <v>110</v>
      </c>
      <c r="C2475" s="113" t="s">
        <v>3005</v>
      </c>
      <c r="D2475" s="82" t="str">
        <f aca="false">IF(OR(C2475="",P2475=""),"",INDEX('CARNET DE SOUDURE'!$D$7:$D$3006,P2475)&amp;"")</f>
        <v>24</v>
      </c>
      <c r="E2475" s="114" t="n">
        <f aca="false">IF(OR(C2475="",P2475=""),"",IF(INDEX('CARNET DE SOUDURE'!$U$7:$U$3006,P2475)="","",INDEX('CARNET DE SOUDURE'!$U$7:$U$3006,P2475)))</f>
        <v>46251</v>
      </c>
      <c r="F2475" s="82" t="str">
        <f aca="false">IF(OR(C2475="",P2475=""),"",INDEX('CARNET DE SOUDURE'!$AP$7:$AP$3006,P2475))</f>
        <v>A</v>
      </c>
      <c r="G2475" s="82" t="str">
        <f aca="false">IF(C2475="","",IF(P2475="","NJ INCONNU",INDEX('CARNET DE SOUDURE'!$AQ$7:$AQ$3006,P2475)))</f>
        <v>ACCEPTÉ</v>
      </c>
      <c r="H2475" s="82" t="str">
        <f aca="false">IF(C2475="","",IF(G2475="ACCEPTÉ","OUI","NON"))</f>
        <v>OUI</v>
      </c>
      <c r="I2475" s="83"/>
      <c r="J2475" s="80"/>
      <c r="K2475" s="81"/>
      <c r="L2475" s="81"/>
      <c r="M2475" s="81"/>
      <c r="N2475" s="84" t="str">
        <f aca="false">IF(C2475="","",IF(P2475="","NJ INCONNU",IF(I2475="",IF(H2475="OUI","À ENROBER",IF(G2475="À SOUDER","NON SOUDÉ","EN ATTENTE RT")),IF(L2475="R","À REPRENDRE",IF(H2475&lt;&gt;"OUI","⚠ ENROBÉ AVANT ACCEPTATION RT","ENROBÉ")))))</f>
        <v>À ENROBER</v>
      </c>
      <c r="O2475" s="80"/>
      <c r="P2475" s="82" t="n">
        <f aca="false">IF(C2475="","",IFERROR(MATCH(Q2475,'CARNET DE SOUDURE'!$AW$7:$AW$3006,0),""))</f>
        <v>2469</v>
      </c>
      <c r="Q2475" s="82" t="str">
        <f aca="false">IF(C2475="","",B2475&amp;"|"&amp;C2475)</f>
        <v>MFD-ISW → MFD-CPF|JN°1991</v>
      </c>
    </row>
    <row r="2476" customFormat="false" ht="74.6" hidden="false" customHeight="false" outlineLevel="0" collapsed="false">
      <c r="A2476" s="82" t="n">
        <f aca="false">IF(C2476="","",ROW()-6)</f>
        <v>2470</v>
      </c>
      <c r="B2476" s="80" t="s">
        <v>110</v>
      </c>
      <c r="C2476" s="113" t="s">
        <v>3006</v>
      </c>
      <c r="D2476" s="82" t="str">
        <f aca="false">IF(OR(C2476="",P2476=""),"",INDEX('CARNET DE SOUDURE'!$D$7:$D$3006,P2476)&amp;"")</f>
        <v>24</v>
      </c>
      <c r="E2476" s="114" t="n">
        <f aca="false">IF(OR(C2476="",P2476=""),"",IF(INDEX('CARNET DE SOUDURE'!$U$7:$U$3006,P2476)="","",INDEX('CARNET DE SOUDURE'!$U$7:$U$3006,P2476)))</f>
        <v>46251</v>
      </c>
      <c r="F2476" s="82" t="str">
        <f aca="false">IF(OR(C2476="",P2476=""),"",INDEX('CARNET DE SOUDURE'!$AP$7:$AP$3006,P2476))</f>
        <v>A</v>
      </c>
      <c r="G2476" s="82" t="str">
        <f aca="false">IF(C2476="","",IF(P2476="","NJ INCONNU",INDEX('CARNET DE SOUDURE'!$AQ$7:$AQ$3006,P2476)))</f>
        <v>ACCEPTÉ</v>
      </c>
      <c r="H2476" s="82" t="str">
        <f aca="false">IF(C2476="","",IF(G2476="ACCEPTÉ","OUI","NON"))</f>
        <v>OUI</v>
      </c>
      <c r="I2476" s="83"/>
      <c r="J2476" s="80"/>
      <c r="K2476" s="81"/>
      <c r="L2476" s="81"/>
      <c r="M2476" s="81"/>
      <c r="N2476" s="84" t="str">
        <f aca="false">IF(C2476="","",IF(P2476="","NJ INCONNU",IF(I2476="",IF(H2476="OUI","À ENROBER",IF(G2476="À SOUDER","NON SOUDÉ","EN ATTENTE RT")),IF(L2476="R","À REPRENDRE",IF(H2476&lt;&gt;"OUI","⚠ ENROBÉ AVANT ACCEPTATION RT","ENROBÉ")))))</f>
        <v>À ENROBER</v>
      </c>
      <c r="O2476" s="80"/>
      <c r="P2476" s="82" t="n">
        <f aca="false">IF(C2476="","",IFERROR(MATCH(Q2476,'CARNET DE SOUDURE'!$AW$7:$AW$3006,0),""))</f>
        <v>2470</v>
      </c>
      <c r="Q2476" s="82" t="str">
        <f aca="false">IF(C2476="","",B2476&amp;"|"&amp;C2476)</f>
        <v>MFD-ISW → MFD-CPF|JN°1992</v>
      </c>
    </row>
    <row r="2477" customFormat="false" ht="74.6" hidden="false" customHeight="false" outlineLevel="0" collapsed="false">
      <c r="A2477" s="82" t="n">
        <f aca="false">IF(C2477="","",ROW()-6)</f>
        <v>2471</v>
      </c>
      <c r="B2477" s="80" t="s">
        <v>110</v>
      </c>
      <c r="C2477" s="113" t="s">
        <v>3007</v>
      </c>
      <c r="D2477" s="82" t="str">
        <f aca="false">IF(OR(C2477="",P2477=""),"",INDEX('CARNET DE SOUDURE'!$D$7:$D$3006,P2477)&amp;"")</f>
        <v>24</v>
      </c>
      <c r="E2477" s="114" t="n">
        <f aca="false">IF(OR(C2477="",P2477=""),"",IF(INDEX('CARNET DE SOUDURE'!$U$7:$U$3006,P2477)="","",INDEX('CARNET DE SOUDURE'!$U$7:$U$3006,P2477)))</f>
        <v>46251</v>
      </c>
      <c r="F2477" s="82" t="str">
        <f aca="false">IF(OR(C2477="",P2477=""),"",INDEX('CARNET DE SOUDURE'!$AP$7:$AP$3006,P2477))</f>
        <v>A</v>
      </c>
      <c r="G2477" s="82" t="str">
        <f aca="false">IF(C2477="","",IF(P2477="","NJ INCONNU",INDEX('CARNET DE SOUDURE'!$AQ$7:$AQ$3006,P2477)))</f>
        <v>ACCEPTÉ</v>
      </c>
      <c r="H2477" s="82" t="str">
        <f aca="false">IF(C2477="","",IF(G2477="ACCEPTÉ","OUI","NON"))</f>
        <v>OUI</v>
      </c>
      <c r="I2477" s="83"/>
      <c r="J2477" s="80"/>
      <c r="K2477" s="81"/>
      <c r="L2477" s="81"/>
      <c r="M2477" s="81"/>
      <c r="N2477" s="84" t="str">
        <f aca="false">IF(C2477="","",IF(P2477="","NJ INCONNU",IF(I2477="",IF(H2477="OUI","À ENROBER",IF(G2477="À SOUDER","NON SOUDÉ","EN ATTENTE RT")),IF(L2477="R","À REPRENDRE",IF(H2477&lt;&gt;"OUI","⚠ ENROBÉ AVANT ACCEPTATION RT","ENROBÉ")))))</f>
        <v>À ENROBER</v>
      </c>
      <c r="O2477" s="80"/>
      <c r="P2477" s="82" t="n">
        <f aca="false">IF(C2477="","",IFERROR(MATCH(Q2477,'CARNET DE SOUDURE'!$AW$7:$AW$3006,0),""))</f>
        <v>2471</v>
      </c>
      <c r="Q2477" s="82" t="str">
        <f aca="false">IF(C2477="","",B2477&amp;"|"&amp;C2477)</f>
        <v>MFD-ISW → MFD-CPF|JN°1993</v>
      </c>
    </row>
    <row r="2478" customFormat="false" ht="74.6" hidden="false" customHeight="false" outlineLevel="0" collapsed="false">
      <c r="A2478" s="82" t="n">
        <f aca="false">IF(C2478="","",ROW()-6)</f>
        <v>2472</v>
      </c>
      <c r="B2478" s="80" t="s">
        <v>110</v>
      </c>
      <c r="C2478" s="113" t="s">
        <v>3008</v>
      </c>
      <c r="D2478" s="82" t="str">
        <f aca="false">IF(OR(C2478="",P2478=""),"",INDEX('CARNET DE SOUDURE'!$D$7:$D$3006,P2478)&amp;"")</f>
        <v>24</v>
      </c>
      <c r="E2478" s="114" t="n">
        <f aca="false">IF(OR(C2478="",P2478=""),"",IF(INDEX('CARNET DE SOUDURE'!$U$7:$U$3006,P2478)="","",INDEX('CARNET DE SOUDURE'!$U$7:$U$3006,P2478)))</f>
        <v>46251</v>
      </c>
      <c r="F2478" s="82" t="str">
        <f aca="false">IF(OR(C2478="",P2478=""),"",INDEX('CARNET DE SOUDURE'!$AP$7:$AP$3006,P2478))</f>
        <v>A</v>
      </c>
      <c r="G2478" s="82" t="str">
        <f aca="false">IF(C2478="","",IF(P2478="","NJ INCONNU",INDEX('CARNET DE SOUDURE'!$AQ$7:$AQ$3006,P2478)))</f>
        <v>ACCEPTÉ</v>
      </c>
      <c r="H2478" s="82" t="str">
        <f aca="false">IF(C2478="","",IF(G2478="ACCEPTÉ","OUI","NON"))</f>
        <v>OUI</v>
      </c>
      <c r="I2478" s="83"/>
      <c r="J2478" s="80"/>
      <c r="K2478" s="81"/>
      <c r="L2478" s="81"/>
      <c r="M2478" s="81"/>
      <c r="N2478" s="84" t="str">
        <f aca="false">IF(C2478="","",IF(P2478="","NJ INCONNU",IF(I2478="",IF(H2478="OUI","À ENROBER",IF(G2478="À SOUDER","NON SOUDÉ","EN ATTENTE RT")),IF(L2478="R","À REPRENDRE",IF(H2478&lt;&gt;"OUI","⚠ ENROBÉ AVANT ACCEPTATION RT","ENROBÉ")))))</f>
        <v>À ENROBER</v>
      </c>
      <c r="O2478" s="80"/>
      <c r="P2478" s="82" t="n">
        <f aca="false">IF(C2478="","",IFERROR(MATCH(Q2478,'CARNET DE SOUDURE'!$AW$7:$AW$3006,0),""))</f>
        <v>2472</v>
      </c>
      <c r="Q2478" s="82" t="str">
        <f aca="false">IF(C2478="","",B2478&amp;"|"&amp;C2478)</f>
        <v>MFD-ISW → MFD-CPF|JN°1994</v>
      </c>
    </row>
    <row r="2479" customFormat="false" ht="74.6" hidden="false" customHeight="false" outlineLevel="0" collapsed="false">
      <c r="A2479" s="82" t="n">
        <f aca="false">IF(C2479="","",ROW()-6)</f>
        <v>2473</v>
      </c>
      <c r="B2479" s="80" t="s">
        <v>110</v>
      </c>
      <c r="C2479" s="113" t="s">
        <v>3009</v>
      </c>
      <c r="D2479" s="82" t="str">
        <f aca="false">IF(OR(C2479="",P2479=""),"",INDEX('CARNET DE SOUDURE'!$D$7:$D$3006,P2479)&amp;"")</f>
        <v>24</v>
      </c>
      <c r="E2479" s="114" t="n">
        <f aca="false">IF(OR(C2479="",P2479=""),"",IF(INDEX('CARNET DE SOUDURE'!$U$7:$U$3006,P2479)="","",INDEX('CARNET DE SOUDURE'!$U$7:$U$3006,P2479)))</f>
        <v>46251</v>
      </c>
      <c r="F2479" s="82" t="str">
        <f aca="false">IF(OR(C2479="",P2479=""),"",INDEX('CARNET DE SOUDURE'!$AP$7:$AP$3006,P2479))</f>
        <v>A</v>
      </c>
      <c r="G2479" s="82" t="str">
        <f aca="false">IF(C2479="","",IF(P2479="","NJ INCONNU",INDEX('CARNET DE SOUDURE'!$AQ$7:$AQ$3006,P2479)))</f>
        <v>ACCEPTÉ</v>
      </c>
      <c r="H2479" s="82" t="str">
        <f aca="false">IF(C2479="","",IF(G2479="ACCEPTÉ","OUI","NON"))</f>
        <v>OUI</v>
      </c>
      <c r="I2479" s="83"/>
      <c r="J2479" s="80"/>
      <c r="K2479" s="81"/>
      <c r="L2479" s="81"/>
      <c r="M2479" s="81"/>
      <c r="N2479" s="84" t="str">
        <f aca="false">IF(C2479="","",IF(P2479="","NJ INCONNU",IF(I2479="",IF(H2479="OUI","À ENROBER",IF(G2479="À SOUDER","NON SOUDÉ","EN ATTENTE RT")),IF(L2479="R","À REPRENDRE",IF(H2479&lt;&gt;"OUI","⚠ ENROBÉ AVANT ACCEPTATION RT","ENROBÉ")))))</f>
        <v>À ENROBER</v>
      </c>
      <c r="O2479" s="80"/>
      <c r="P2479" s="82" t="n">
        <f aca="false">IF(C2479="","",IFERROR(MATCH(Q2479,'CARNET DE SOUDURE'!$AW$7:$AW$3006,0),""))</f>
        <v>2473</v>
      </c>
      <c r="Q2479" s="82" t="str">
        <f aca="false">IF(C2479="","",B2479&amp;"|"&amp;C2479)</f>
        <v>MFD-ISW → MFD-CPF|JN°1995</v>
      </c>
    </row>
    <row r="2480" customFormat="false" ht="74.6" hidden="false" customHeight="false" outlineLevel="0" collapsed="false">
      <c r="A2480" s="82" t="n">
        <f aca="false">IF(C2480="","",ROW()-6)</f>
        <v>2474</v>
      </c>
      <c r="B2480" s="80" t="s">
        <v>110</v>
      </c>
      <c r="C2480" s="113" t="s">
        <v>3010</v>
      </c>
      <c r="D2480" s="82" t="str">
        <f aca="false">IF(OR(C2480="",P2480=""),"",INDEX('CARNET DE SOUDURE'!$D$7:$D$3006,P2480)&amp;"")</f>
        <v>24</v>
      </c>
      <c r="E2480" s="114" t="n">
        <f aca="false">IF(OR(C2480="",P2480=""),"",IF(INDEX('CARNET DE SOUDURE'!$U$7:$U$3006,P2480)="","",INDEX('CARNET DE SOUDURE'!$U$7:$U$3006,P2480)))</f>
        <v>46251</v>
      </c>
      <c r="F2480" s="82" t="str">
        <f aca="false">IF(OR(C2480="",P2480=""),"",INDEX('CARNET DE SOUDURE'!$AP$7:$AP$3006,P2480))</f>
        <v>A</v>
      </c>
      <c r="G2480" s="82" t="str">
        <f aca="false">IF(C2480="","",IF(P2480="","NJ INCONNU",INDEX('CARNET DE SOUDURE'!$AQ$7:$AQ$3006,P2480)))</f>
        <v>ACCEPTÉ</v>
      </c>
      <c r="H2480" s="82" t="str">
        <f aca="false">IF(C2480="","",IF(G2480="ACCEPTÉ","OUI","NON"))</f>
        <v>OUI</v>
      </c>
      <c r="I2480" s="83"/>
      <c r="J2480" s="80"/>
      <c r="K2480" s="81"/>
      <c r="L2480" s="81"/>
      <c r="M2480" s="81"/>
      <c r="N2480" s="84" t="str">
        <f aca="false">IF(C2480="","",IF(P2480="","NJ INCONNU",IF(I2480="",IF(H2480="OUI","À ENROBER",IF(G2480="À SOUDER","NON SOUDÉ","EN ATTENTE RT")),IF(L2480="R","À REPRENDRE",IF(H2480&lt;&gt;"OUI","⚠ ENROBÉ AVANT ACCEPTATION RT","ENROBÉ")))))</f>
        <v>À ENROBER</v>
      </c>
      <c r="O2480" s="80"/>
      <c r="P2480" s="82" t="n">
        <f aca="false">IF(C2480="","",IFERROR(MATCH(Q2480,'CARNET DE SOUDURE'!$AW$7:$AW$3006,0),""))</f>
        <v>2474</v>
      </c>
      <c r="Q2480" s="82" t="str">
        <f aca="false">IF(C2480="","",B2480&amp;"|"&amp;C2480)</f>
        <v>MFD-ISW → MFD-CPF|JN°1996</v>
      </c>
    </row>
    <row r="2481" customFormat="false" ht="74.6" hidden="false" customHeight="false" outlineLevel="0" collapsed="false">
      <c r="A2481" s="82" t="n">
        <f aca="false">IF(C2481="","",ROW()-6)</f>
        <v>2475</v>
      </c>
      <c r="B2481" s="80" t="s">
        <v>110</v>
      </c>
      <c r="C2481" s="113" t="s">
        <v>3011</v>
      </c>
      <c r="D2481" s="82" t="str">
        <f aca="false">IF(OR(C2481="",P2481=""),"",INDEX('CARNET DE SOUDURE'!$D$7:$D$3006,P2481)&amp;"")</f>
        <v>24</v>
      </c>
      <c r="E2481" s="114" t="n">
        <f aca="false">IF(OR(C2481="",P2481=""),"",IF(INDEX('CARNET DE SOUDURE'!$U$7:$U$3006,P2481)="","",INDEX('CARNET DE SOUDURE'!$U$7:$U$3006,P2481)))</f>
        <v>46251</v>
      </c>
      <c r="F2481" s="82" t="str">
        <f aca="false">IF(OR(C2481="",P2481=""),"",INDEX('CARNET DE SOUDURE'!$AP$7:$AP$3006,P2481))</f>
        <v>A</v>
      </c>
      <c r="G2481" s="82" t="str">
        <f aca="false">IF(C2481="","",IF(P2481="","NJ INCONNU",INDEX('CARNET DE SOUDURE'!$AQ$7:$AQ$3006,P2481)))</f>
        <v>ACCEPTÉ</v>
      </c>
      <c r="H2481" s="82" t="str">
        <f aca="false">IF(C2481="","",IF(G2481="ACCEPTÉ","OUI","NON"))</f>
        <v>OUI</v>
      </c>
      <c r="I2481" s="83"/>
      <c r="J2481" s="80"/>
      <c r="K2481" s="81"/>
      <c r="L2481" s="81"/>
      <c r="M2481" s="81"/>
      <c r="N2481" s="84" t="str">
        <f aca="false">IF(C2481="","",IF(P2481="","NJ INCONNU",IF(I2481="",IF(H2481="OUI","À ENROBER",IF(G2481="À SOUDER","NON SOUDÉ","EN ATTENTE RT")),IF(L2481="R","À REPRENDRE",IF(H2481&lt;&gt;"OUI","⚠ ENROBÉ AVANT ACCEPTATION RT","ENROBÉ")))))</f>
        <v>À ENROBER</v>
      </c>
      <c r="O2481" s="80"/>
      <c r="P2481" s="82" t="n">
        <f aca="false">IF(C2481="","",IFERROR(MATCH(Q2481,'CARNET DE SOUDURE'!$AW$7:$AW$3006,0),""))</f>
        <v>2475</v>
      </c>
      <c r="Q2481" s="82" t="str">
        <f aca="false">IF(C2481="","",B2481&amp;"|"&amp;C2481)</f>
        <v>MFD-ISW → MFD-CPF|JN°1997</v>
      </c>
    </row>
    <row r="2482" customFormat="false" ht="74.6" hidden="false" customHeight="false" outlineLevel="0" collapsed="false">
      <c r="A2482" s="82" t="n">
        <f aca="false">IF(C2482="","",ROW()-6)</f>
        <v>2476</v>
      </c>
      <c r="B2482" s="80" t="s">
        <v>110</v>
      </c>
      <c r="C2482" s="113" t="s">
        <v>3012</v>
      </c>
      <c r="D2482" s="82" t="str">
        <f aca="false">IF(OR(C2482="",P2482=""),"",INDEX('CARNET DE SOUDURE'!$D$7:$D$3006,P2482)&amp;"")</f>
        <v>24</v>
      </c>
      <c r="E2482" s="114" t="n">
        <f aca="false">IF(OR(C2482="",P2482=""),"",IF(INDEX('CARNET DE SOUDURE'!$U$7:$U$3006,P2482)="","",INDEX('CARNET DE SOUDURE'!$U$7:$U$3006,P2482)))</f>
        <v>46251</v>
      </c>
      <c r="F2482" s="82" t="str">
        <f aca="false">IF(OR(C2482="",P2482=""),"",INDEX('CARNET DE SOUDURE'!$AP$7:$AP$3006,P2482))</f>
        <v>A</v>
      </c>
      <c r="G2482" s="82" t="str">
        <f aca="false">IF(C2482="","",IF(P2482="","NJ INCONNU",INDEX('CARNET DE SOUDURE'!$AQ$7:$AQ$3006,P2482)))</f>
        <v>ACCEPTÉ</v>
      </c>
      <c r="H2482" s="82" t="str">
        <f aca="false">IF(C2482="","",IF(G2482="ACCEPTÉ","OUI","NON"))</f>
        <v>OUI</v>
      </c>
      <c r="I2482" s="83"/>
      <c r="J2482" s="80"/>
      <c r="K2482" s="81"/>
      <c r="L2482" s="81"/>
      <c r="M2482" s="81"/>
      <c r="N2482" s="84" t="str">
        <f aca="false">IF(C2482="","",IF(P2482="","NJ INCONNU",IF(I2482="",IF(H2482="OUI","À ENROBER",IF(G2482="À SOUDER","NON SOUDÉ","EN ATTENTE RT")),IF(L2482="R","À REPRENDRE",IF(H2482&lt;&gt;"OUI","⚠ ENROBÉ AVANT ACCEPTATION RT","ENROBÉ")))))</f>
        <v>À ENROBER</v>
      </c>
      <c r="O2482" s="80"/>
      <c r="P2482" s="82" t="n">
        <f aca="false">IF(C2482="","",IFERROR(MATCH(Q2482,'CARNET DE SOUDURE'!$AW$7:$AW$3006,0),""))</f>
        <v>2476</v>
      </c>
      <c r="Q2482" s="82" t="str">
        <f aca="false">IF(C2482="","",B2482&amp;"|"&amp;C2482)</f>
        <v>MFD-ISW → MFD-CPF|JN°1998</v>
      </c>
    </row>
    <row r="2483" customFormat="false" ht="74.6" hidden="false" customHeight="false" outlineLevel="0" collapsed="false">
      <c r="A2483" s="82" t="n">
        <f aca="false">IF(C2483="","",ROW()-6)</f>
        <v>2477</v>
      </c>
      <c r="B2483" s="80" t="s">
        <v>110</v>
      </c>
      <c r="C2483" s="113" t="s">
        <v>3013</v>
      </c>
      <c r="D2483" s="82" t="str">
        <f aca="false">IF(OR(C2483="",P2483=""),"",INDEX('CARNET DE SOUDURE'!$D$7:$D$3006,P2483)&amp;"")</f>
        <v>24</v>
      </c>
      <c r="E2483" s="114" t="n">
        <f aca="false">IF(OR(C2483="",P2483=""),"",IF(INDEX('CARNET DE SOUDURE'!$U$7:$U$3006,P2483)="","",INDEX('CARNET DE SOUDURE'!$U$7:$U$3006,P2483)))</f>
        <v>46251</v>
      </c>
      <c r="F2483" s="82" t="str">
        <f aca="false">IF(OR(C2483="",P2483=""),"",INDEX('CARNET DE SOUDURE'!$AP$7:$AP$3006,P2483))</f>
        <v>A</v>
      </c>
      <c r="G2483" s="82" t="str">
        <f aca="false">IF(C2483="","",IF(P2483="","NJ INCONNU",INDEX('CARNET DE SOUDURE'!$AQ$7:$AQ$3006,P2483)))</f>
        <v>ACCEPTÉ</v>
      </c>
      <c r="H2483" s="82" t="str">
        <f aca="false">IF(C2483="","",IF(G2483="ACCEPTÉ","OUI","NON"))</f>
        <v>OUI</v>
      </c>
      <c r="I2483" s="83"/>
      <c r="J2483" s="80"/>
      <c r="K2483" s="81"/>
      <c r="L2483" s="81"/>
      <c r="M2483" s="81"/>
      <c r="N2483" s="84" t="str">
        <f aca="false">IF(C2483="","",IF(P2483="","NJ INCONNU",IF(I2483="",IF(H2483="OUI","À ENROBER",IF(G2483="À SOUDER","NON SOUDÉ","EN ATTENTE RT")),IF(L2483="R","À REPRENDRE",IF(H2483&lt;&gt;"OUI","⚠ ENROBÉ AVANT ACCEPTATION RT","ENROBÉ")))))</f>
        <v>À ENROBER</v>
      </c>
      <c r="O2483" s="80"/>
      <c r="P2483" s="82" t="n">
        <f aca="false">IF(C2483="","",IFERROR(MATCH(Q2483,'CARNET DE SOUDURE'!$AW$7:$AW$3006,0),""))</f>
        <v>2477</v>
      </c>
      <c r="Q2483" s="82" t="str">
        <f aca="false">IF(C2483="","",B2483&amp;"|"&amp;C2483)</f>
        <v>MFD-ISW → MFD-CPF|JN°1999</v>
      </c>
    </row>
    <row r="2484" customFormat="false" ht="74.6" hidden="false" customHeight="false" outlineLevel="0" collapsed="false">
      <c r="A2484" s="82" t="n">
        <f aca="false">IF(C2484="","",ROW()-6)</f>
        <v>2478</v>
      </c>
      <c r="B2484" s="80" t="s">
        <v>110</v>
      </c>
      <c r="C2484" s="113" t="s">
        <v>3014</v>
      </c>
      <c r="D2484" s="82" t="str">
        <f aca="false">IF(OR(C2484="",P2484=""),"",INDEX('CARNET DE SOUDURE'!$D$7:$D$3006,P2484)&amp;"")</f>
        <v>24</v>
      </c>
      <c r="E2484" s="114" t="n">
        <f aca="false">IF(OR(C2484="",P2484=""),"",IF(INDEX('CARNET DE SOUDURE'!$U$7:$U$3006,P2484)="","",INDEX('CARNET DE SOUDURE'!$U$7:$U$3006,P2484)))</f>
        <v>46251</v>
      </c>
      <c r="F2484" s="82" t="str">
        <f aca="false">IF(OR(C2484="",P2484=""),"",INDEX('CARNET DE SOUDURE'!$AP$7:$AP$3006,P2484))</f>
        <v>A</v>
      </c>
      <c r="G2484" s="82" t="str">
        <f aca="false">IF(C2484="","",IF(P2484="","NJ INCONNU",INDEX('CARNET DE SOUDURE'!$AQ$7:$AQ$3006,P2484)))</f>
        <v>ACCEPTÉ</v>
      </c>
      <c r="H2484" s="82" t="str">
        <f aca="false">IF(C2484="","",IF(G2484="ACCEPTÉ","OUI","NON"))</f>
        <v>OUI</v>
      </c>
      <c r="I2484" s="83"/>
      <c r="J2484" s="80"/>
      <c r="K2484" s="81"/>
      <c r="L2484" s="81"/>
      <c r="M2484" s="81"/>
      <c r="N2484" s="84" t="str">
        <f aca="false">IF(C2484="","",IF(P2484="","NJ INCONNU",IF(I2484="",IF(H2484="OUI","À ENROBER",IF(G2484="À SOUDER","NON SOUDÉ","EN ATTENTE RT")),IF(L2484="R","À REPRENDRE",IF(H2484&lt;&gt;"OUI","⚠ ENROBÉ AVANT ACCEPTATION RT","ENROBÉ")))))</f>
        <v>À ENROBER</v>
      </c>
      <c r="O2484" s="80"/>
      <c r="P2484" s="82" t="n">
        <f aca="false">IF(C2484="","",IFERROR(MATCH(Q2484,'CARNET DE SOUDURE'!$AW$7:$AW$3006,0),""))</f>
        <v>2478</v>
      </c>
      <c r="Q2484" s="82" t="str">
        <f aca="false">IF(C2484="","",B2484&amp;"|"&amp;C2484)</f>
        <v>MFD-ISW → MFD-CPF|JN°2000</v>
      </c>
    </row>
    <row r="2485" customFormat="false" ht="15" hidden="false" customHeight="false" outlineLevel="0" collapsed="false">
      <c r="A2485" s="82" t="str">
        <f aca="false">IF(C2485="","",ROW()-6)</f>
        <v/>
      </c>
      <c r="B2485" s="80"/>
      <c r="C2485" s="113"/>
      <c r="D2485" s="82" t="str">
        <f aca="false">IF(OR(C2485="",P2485=""),"",INDEX('CARNET DE SOUDURE'!$D$7:$D$3006,P2485)&amp;"")</f>
        <v/>
      </c>
      <c r="E2485" s="114" t="str">
        <f aca="false">IF(OR(C2485="",P2485=""),"",IF(INDEX('CARNET DE SOUDURE'!$U$7:$U$3006,P2485)="","",INDEX('CARNET DE SOUDURE'!$U$7:$U$3006,P2485)))</f>
        <v/>
      </c>
      <c r="F2485" s="82" t="str">
        <f aca="false">IF(OR(C2485="",P2485=""),"",INDEX('CARNET DE SOUDURE'!$AP$7:$AP$3006,P2485))</f>
        <v/>
      </c>
      <c r="G2485" s="82" t="str">
        <f aca="false">IF(C2485="","",IF(P2485="","NJ INCONNU",INDEX('CARNET DE SOUDURE'!$AQ$7:$AQ$3006,P2485)))</f>
        <v/>
      </c>
      <c r="H2485" s="82" t="str">
        <f aca="false">IF(C2485="","",IF(G2485="ACCEPTÉ","OUI","NON"))</f>
        <v/>
      </c>
      <c r="I2485" s="83"/>
      <c r="J2485" s="80"/>
      <c r="K2485" s="81"/>
      <c r="L2485" s="81"/>
      <c r="M2485" s="81"/>
      <c r="N2485" s="84" t="str">
        <f aca="false">IF(C2485="","",IF(P2485="","NJ INCONNU",IF(I2485="",IF(H2485="OUI","À ENROBER",IF(G2485="À SOUDER","NON SOUDÉ","EN ATTENTE RT")),IF(L2485="R","À REPRENDRE",IF(H2485&lt;&gt;"OUI","⚠ ENROBÉ AVANT ACCEPTATION RT","ENROBÉ")))))</f>
        <v/>
      </c>
      <c r="O2485" s="80"/>
      <c r="P2485" s="82" t="str">
        <f aca="false">IF(C2485="","",IFERROR(MATCH(Q2485,'CARNET DE SOUDURE'!$AW$7:$AW$3006,0),""))</f>
        <v/>
      </c>
      <c r="Q2485" s="82" t="str">
        <f aca="false">IF(C2485="","",B2485&amp;"|"&amp;C2485)</f>
        <v/>
      </c>
    </row>
    <row r="2486" customFormat="false" ht="15" hidden="false" customHeight="false" outlineLevel="0" collapsed="false">
      <c r="A2486" s="82" t="str">
        <f aca="false">IF(C2486="","",ROW()-6)</f>
        <v/>
      </c>
      <c r="B2486" s="80"/>
      <c r="C2486" s="113"/>
      <c r="D2486" s="82" t="str">
        <f aca="false">IF(OR(C2486="",P2486=""),"",INDEX('CARNET DE SOUDURE'!$D$7:$D$3006,P2486)&amp;"")</f>
        <v/>
      </c>
      <c r="E2486" s="114" t="str">
        <f aca="false">IF(OR(C2486="",P2486=""),"",IF(INDEX('CARNET DE SOUDURE'!$U$7:$U$3006,P2486)="","",INDEX('CARNET DE SOUDURE'!$U$7:$U$3006,P2486)))</f>
        <v/>
      </c>
      <c r="F2486" s="82" t="str">
        <f aca="false">IF(OR(C2486="",P2486=""),"",INDEX('CARNET DE SOUDURE'!$AP$7:$AP$3006,P2486))</f>
        <v/>
      </c>
      <c r="G2486" s="82" t="str">
        <f aca="false">IF(C2486="","",IF(P2486="","NJ INCONNU",INDEX('CARNET DE SOUDURE'!$AQ$7:$AQ$3006,P2486)))</f>
        <v/>
      </c>
      <c r="H2486" s="82" t="str">
        <f aca="false">IF(C2486="","",IF(G2486="ACCEPTÉ","OUI","NON"))</f>
        <v/>
      </c>
      <c r="I2486" s="83"/>
      <c r="J2486" s="80"/>
      <c r="K2486" s="81"/>
      <c r="L2486" s="81"/>
      <c r="M2486" s="81"/>
      <c r="N2486" s="84" t="str">
        <f aca="false">IF(C2486="","",IF(P2486="","NJ INCONNU",IF(I2486="",IF(H2486="OUI","À ENROBER",IF(G2486="À SOUDER","NON SOUDÉ","EN ATTENTE RT")),IF(L2486="R","À REPRENDRE",IF(H2486&lt;&gt;"OUI","⚠ ENROBÉ AVANT ACCEPTATION RT","ENROBÉ")))))</f>
        <v/>
      </c>
      <c r="O2486" s="80"/>
      <c r="P2486" s="82" t="str">
        <f aca="false">IF(C2486="","",IFERROR(MATCH(Q2486,'CARNET DE SOUDURE'!$AW$7:$AW$3006,0),""))</f>
        <v/>
      </c>
      <c r="Q2486" s="82" t="str">
        <f aca="false">IF(C2486="","",B2486&amp;"|"&amp;C2486)</f>
        <v/>
      </c>
    </row>
    <row r="2487" customFormat="false" ht="15" hidden="false" customHeight="false" outlineLevel="0" collapsed="false">
      <c r="A2487" s="82" t="str">
        <f aca="false">IF(C2487="","",ROW()-6)</f>
        <v/>
      </c>
      <c r="B2487" s="80"/>
      <c r="C2487" s="113"/>
      <c r="D2487" s="82" t="str">
        <f aca="false">IF(OR(C2487="",P2487=""),"",INDEX('CARNET DE SOUDURE'!$D$7:$D$3006,P2487)&amp;"")</f>
        <v/>
      </c>
      <c r="E2487" s="114" t="str">
        <f aca="false">IF(OR(C2487="",P2487=""),"",IF(INDEX('CARNET DE SOUDURE'!$U$7:$U$3006,P2487)="","",INDEX('CARNET DE SOUDURE'!$U$7:$U$3006,P2487)))</f>
        <v/>
      </c>
      <c r="F2487" s="82" t="str">
        <f aca="false">IF(OR(C2487="",P2487=""),"",INDEX('CARNET DE SOUDURE'!$AP$7:$AP$3006,P2487))</f>
        <v/>
      </c>
      <c r="G2487" s="82" t="str">
        <f aca="false">IF(C2487="","",IF(P2487="","NJ INCONNU",INDEX('CARNET DE SOUDURE'!$AQ$7:$AQ$3006,P2487)))</f>
        <v/>
      </c>
      <c r="H2487" s="82" t="str">
        <f aca="false">IF(C2487="","",IF(G2487="ACCEPTÉ","OUI","NON"))</f>
        <v/>
      </c>
      <c r="I2487" s="83"/>
      <c r="J2487" s="80"/>
      <c r="K2487" s="81"/>
      <c r="L2487" s="81"/>
      <c r="M2487" s="81"/>
      <c r="N2487" s="84" t="str">
        <f aca="false">IF(C2487="","",IF(P2487="","NJ INCONNU",IF(I2487="",IF(H2487="OUI","À ENROBER",IF(G2487="À SOUDER","NON SOUDÉ","EN ATTENTE RT")),IF(L2487="R","À REPRENDRE",IF(H2487&lt;&gt;"OUI","⚠ ENROBÉ AVANT ACCEPTATION RT","ENROBÉ")))))</f>
        <v/>
      </c>
      <c r="O2487" s="80"/>
      <c r="P2487" s="82" t="str">
        <f aca="false">IF(C2487="","",IFERROR(MATCH(Q2487,'CARNET DE SOUDURE'!$AW$7:$AW$3006,0),""))</f>
        <v/>
      </c>
      <c r="Q2487" s="82" t="str">
        <f aca="false">IF(C2487="","",B2487&amp;"|"&amp;C2487)</f>
        <v/>
      </c>
    </row>
    <row r="2488" customFormat="false" ht="15" hidden="false" customHeight="false" outlineLevel="0" collapsed="false">
      <c r="A2488" s="82" t="str">
        <f aca="false">IF(C2488="","",ROW()-6)</f>
        <v/>
      </c>
      <c r="B2488" s="80"/>
      <c r="C2488" s="113"/>
      <c r="D2488" s="82" t="str">
        <f aca="false">IF(OR(C2488="",P2488=""),"",INDEX('CARNET DE SOUDURE'!$D$7:$D$3006,P2488)&amp;"")</f>
        <v/>
      </c>
      <c r="E2488" s="114" t="str">
        <f aca="false">IF(OR(C2488="",P2488=""),"",IF(INDEX('CARNET DE SOUDURE'!$U$7:$U$3006,P2488)="","",INDEX('CARNET DE SOUDURE'!$U$7:$U$3006,P2488)))</f>
        <v/>
      </c>
      <c r="F2488" s="82" t="str">
        <f aca="false">IF(OR(C2488="",P2488=""),"",INDEX('CARNET DE SOUDURE'!$AP$7:$AP$3006,P2488))</f>
        <v/>
      </c>
      <c r="G2488" s="82" t="str">
        <f aca="false">IF(C2488="","",IF(P2488="","NJ INCONNU",INDEX('CARNET DE SOUDURE'!$AQ$7:$AQ$3006,P2488)))</f>
        <v/>
      </c>
      <c r="H2488" s="82" t="str">
        <f aca="false">IF(C2488="","",IF(G2488="ACCEPTÉ","OUI","NON"))</f>
        <v/>
      </c>
      <c r="I2488" s="83"/>
      <c r="J2488" s="80"/>
      <c r="K2488" s="81"/>
      <c r="L2488" s="81"/>
      <c r="M2488" s="81"/>
      <c r="N2488" s="84" t="str">
        <f aca="false">IF(C2488="","",IF(P2488="","NJ INCONNU",IF(I2488="",IF(H2488="OUI","À ENROBER",IF(G2488="À SOUDER","NON SOUDÉ","EN ATTENTE RT")),IF(L2488="R","À REPRENDRE",IF(H2488&lt;&gt;"OUI","⚠ ENROBÉ AVANT ACCEPTATION RT","ENROBÉ")))))</f>
        <v/>
      </c>
      <c r="O2488" s="80"/>
      <c r="P2488" s="82" t="str">
        <f aca="false">IF(C2488="","",IFERROR(MATCH(Q2488,'CARNET DE SOUDURE'!$AW$7:$AW$3006,0),""))</f>
        <v/>
      </c>
      <c r="Q2488" s="82" t="str">
        <f aca="false">IF(C2488="","",B2488&amp;"|"&amp;C2488)</f>
        <v/>
      </c>
    </row>
    <row r="2489" customFormat="false" ht="15" hidden="false" customHeight="false" outlineLevel="0" collapsed="false">
      <c r="A2489" s="82" t="str">
        <f aca="false">IF(C2489="","",ROW()-6)</f>
        <v/>
      </c>
      <c r="B2489" s="80"/>
      <c r="C2489" s="113"/>
      <c r="D2489" s="82" t="str">
        <f aca="false">IF(OR(C2489="",P2489=""),"",INDEX('CARNET DE SOUDURE'!$D$7:$D$3006,P2489)&amp;"")</f>
        <v/>
      </c>
      <c r="E2489" s="114" t="str">
        <f aca="false">IF(OR(C2489="",P2489=""),"",IF(INDEX('CARNET DE SOUDURE'!$U$7:$U$3006,P2489)="","",INDEX('CARNET DE SOUDURE'!$U$7:$U$3006,P2489)))</f>
        <v/>
      </c>
      <c r="F2489" s="82" t="str">
        <f aca="false">IF(OR(C2489="",P2489=""),"",INDEX('CARNET DE SOUDURE'!$AP$7:$AP$3006,P2489))</f>
        <v/>
      </c>
      <c r="G2489" s="82" t="str">
        <f aca="false">IF(C2489="","",IF(P2489="","NJ INCONNU",INDEX('CARNET DE SOUDURE'!$AQ$7:$AQ$3006,P2489)))</f>
        <v/>
      </c>
      <c r="H2489" s="82" t="str">
        <f aca="false">IF(C2489="","",IF(G2489="ACCEPTÉ","OUI","NON"))</f>
        <v/>
      </c>
      <c r="I2489" s="83"/>
      <c r="J2489" s="80"/>
      <c r="K2489" s="81"/>
      <c r="L2489" s="81"/>
      <c r="M2489" s="81"/>
      <c r="N2489" s="84" t="str">
        <f aca="false">IF(C2489="","",IF(P2489="","NJ INCONNU",IF(I2489="",IF(H2489="OUI","À ENROBER",IF(G2489="À SOUDER","NON SOUDÉ","EN ATTENTE RT")),IF(L2489="R","À REPRENDRE",IF(H2489&lt;&gt;"OUI","⚠ ENROBÉ AVANT ACCEPTATION RT","ENROBÉ")))))</f>
        <v/>
      </c>
      <c r="O2489" s="80"/>
      <c r="P2489" s="82" t="str">
        <f aca="false">IF(C2489="","",IFERROR(MATCH(Q2489,'CARNET DE SOUDURE'!$AW$7:$AW$3006,0),""))</f>
        <v/>
      </c>
      <c r="Q2489" s="82" t="str">
        <f aca="false">IF(C2489="","",B2489&amp;"|"&amp;C2489)</f>
        <v/>
      </c>
    </row>
    <row r="2490" customFormat="false" ht="15" hidden="false" customHeight="false" outlineLevel="0" collapsed="false">
      <c r="A2490" s="82" t="str">
        <f aca="false">IF(C2490="","",ROW()-6)</f>
        <v/>
      </c>
      <c r="B2490" s="80"/>
      <c r="C2490" s="113"/>
      <c r="D2490" s="82" t="str">
        <f aca="false">IF(OR(C2490="",P2490=""),"",INDEX('CARNET DE SOUDURE'!$D$7:$D$3006,P2490)&amp;"")</f>
        <v/>
      </c>
      <c r="E2490" s="114" t="str">
        <f aca="false">IF(OR(C2490="",P2490=""),"",IF(INDEX('CARNET DE SOUDURE'!$U$7:$U$3006,P2490)="","",INDEX('CARNET DE SOUDURE'!$U$7:$U$3006,P2490)))</f>
        <v/>
      </c>
      <c r="F2490" s="82" t="str">
        <f aca="false">IF(OR(C2490="",P2490=""),"",INDEX('CARNET DE SOUDURE'!$AP$7:$AP$3006,P2490))</f>
        <v/>
      </c>
      <c r="G2490" s="82" t="str">
        <f aca="false">IF(C2490="","",IF(P2490="","NJ INCONNU",INDEX('CARNET DE SOUDURE'!$AQ$7:$AQ$3006,P2490)))</f>
        <v/>
      </c>
      <c r="H2490" s="82" t="str">
        <f aca="false">IF(C2490="","",IF(G2490="ACCEPTÉ","OUI","NON"))</f>
        <v/>
      </c>
      <c r="I2490" s="83"/>
      <c r="J2490" s="80"/>
      <c r="K2490" s="81"/>
      <c r="L2490" s="81"/>
      <c r="M2490" s="81"/>
      <c r="N2490" s="84" t="str">
        <f aca="false">IF(C2490="","",IF(P2490="","NJ INCONNU",IF(I2490="",IF(H2490="OUI","À ENROBER",IF(G2490="À SOUDER","NON SOUDÉ","EN ATTENTE RT")),IF(L2490="R","À REPRENDRE",IF(H2490&lt;&gt;"OUI","⚠ ENROBÉ AVANT ACCEPTATION RT","ENROBÉ")))))</f>
        <v/>
      </c>
      <c r="O2490" s="80"/>
      <c r="P2490" s="82" t="str">
        <f aca="false">IF(C2490="","",IFERROR(MATCH(Q2490,'CARNET DE SOUDURE'!$AW$7:$AW$3006,0),""))</f>
        <v/>
      </c>
      <c r="Q2490" s="82" t="str">
        <f aca="false">IF(C2490="","",B2490&amp;"|"&amp;C2490)</f>
        <v/>
      </c>
    </row>
    <row r="2491" customFormat="false" ht="15" hidden="false" customHeight="false" outlineLevel="0" collapsed="false">
      <c r="A2491" s="82" t="str">
        <f aca="false">IF(C2491="","",ROW()-6)</f>
        <v/>
      </c>
      <c r="B2491" s="80"/>
      <c r="C2491" s="113"/>
      <c r="D2491" s="82" t="str">
        <f aca="false">IF(OR(C2491="",P2491=""),"",INDEX('CARNET DE SOUDURE'!$D$7:$D$3006,P2491)&amp;"")</f>
        <v/>
      </c>
      <c r="E2491" s="114" t="str">
        <f aca="false">IF(OR(C2491="",P2491=""),"",IF(INDEX('CARNET DE SOUDURE'!$U$7:$U$3006,P2491)="","",INDEX('CARNET DE SOUDURE'!$U$7:$U$3006,P2491)))</f>
        <v/>
      </c>
      <c r="F2491" s="82" t="str">
        <f aca="false">IF(OR(C2491="",P2491=""),"",INDEX('CARNET DE SOUDURE'!$AP$7:$AP$3006,P2491))</f>
        <v/>
      </c>
      <c r="G2491" s="82" t="str">
        <f aca="false">IF(C2491="","",IF(P2491="","NJ INCONNU",INDEX('CARNET DE SOUDURE'!$AQ$7:$AQ$3006,P2491)))</f>
        <v/>
      </c>
      <c r="H2491" s="82" t="str">
        <f aca="false">IF(C2491="","",IF(G2491="ACCEPTÉ","OUI","NON"))</f>
        <v/>
      </c>
      <c r="I2491" s="83"/>
      <c r="J2491" s="80"/>
      <c r="K2491" s="81"/>
      <c r="L2491" s="81"/>
      <c r="M2491" s="81"/>
      <c r="N2491" s="84" t="str">
        <f aca="false">IF(C2491="","",IF(P2491="","NJ INCONNU",IF(I2491="",IF(H2491="OUI","À ENROBER",IF(G2491="À SOUDER","NON SOUDÉ","EN ATTENTE RT")),IF(L2491="R","À REPRENDRE",IF(H2491&lt;&gt;"OUI","⚠ ENROBÉ AVANT ACCEPTATION RT","ENROBÉ")))))</f>
        <v/>
      </c>
      <c r="O2491" s="80"/>
      <c r="P2491" s="82" t="str">
        <f aca="false">IF(C2491="","",IFERROR(MATCH(Q2491,'CARNET DE SOUDURE'!$AW$7:$AW$3006,0),""))</f>
        <v/>
      </c>
      <c r="Q2491" s="82" t="str">
        <f aca="false">IF(C2491="","",B2491&amp;"|"&amp;C2491)</f>
        <v/>
      </c>
    </row>
    <row r="2492" customFormat="false" ht="15" hidden="false" customHeight="false" outlineLevel="0" collapsed="false">
      <c r="A2492" s="82" t="str">
        <f aca="false">IF(C2492="","",ROW()-6)</f>
        <v/>
      </c>
      <c r="B2492" s="80"/>
      <c r="C2492" s="113"/>
      <c r="D2492" s="82" t="str">
        <f aca="false">IF(OR(C2492="",P2492=""),"",INDEX('CARNET DE SOUDURE'!$D$7:$D$3006,P2492)&amp;"")</f>
        <v/>
      </c>
      <c r="E2492" s="114" t="str">
        <f aca="false">IF(OR(C2492="",P2492=""),"",IF(INDEX('CARNET DE SOUDURE'!$U$7:$U$3006,P2492)="","",INDEX('CARNET DE SOUDURE'!$U$7:$U$3006,P2492)))</f>
        <v/>
      </c>
      <c r="F2492" s="82" t="str">
        <f aca="false">IF(OR(C2492="",P2492=""),"",INDEX('CARNET DE SOUDURE'!$AP$7:$AP$3006,P2492))</f>
        <v/>
      </c>
      <c r="G2492" s="82" t="str">
        <f aca="false">IF(C2492="","",IF(P2492="","NJ INCONNU",INDEX('CARNET DE SOUDURE'!$AQ$7:$AQ$3006,P2492)))</f>
        <v/>
      </c>
      <c r="H2492" s="82" t="str">
        <f aca="false">IF(C2492="","",IF(G2492="ACCEPTÉ","OUI","NON"))</f>
        <v/>
      </c>
      <c r="I2492" s="83"/>
      <c r="J2492" s="80"/>
      <c r="K2492" s="81"/>
      <c r="L2492" s="81"/>
      <c r="M2492" s="81"/>
      <c r="N2492" s="84" t="str">
        <f aca="false">IF(C2492="","",IF(P2492="","NJ INCONNU",IF(I2492="",IF(H2492="OUI","À ENROBER",IF(G2492="À SOUDER","NON SOUDÉ","EN ATTENTE RT")),IF(L2492="R","À REPRENDRE",IF(H2492&lt;&gt;"OUI","⚠ ENROBÉ AVANT ACCEPTATION RT","ENROBÉ")))))</f>
        <v/>
      </c>
      <c r="O2492" s="80"/>
      <c r="P2492" s="82" t="str">
        <f aca="false">IF(C2492="","",IFERROR(MATCH(Q2492,'CARNET DE SOUDURE'!$AW$7:$AW$3006,0),""))</f>
        <v/>
      </c>
      <c r="Q2492" s="82" t="str">
        <f aca="false">IF(C2492="","",B2492&amp;"|"&amp;C2492)</f>
        <v/>
      </c>
    </row>
    <row r="2493" customFormat="false" ht="15" hidden="false" customHeight="false" outlineLevel="0" collapsed="false">
      <c r="A2493" s="82" t="str">
        <f aca="false">IF(C2493="","",ROW()-6)</f>
        <v/>
      </c>
      <c r="B2493" s="80"/>
      <c r="C2493" s="113"/>
      <c r="D2493" s="82" t="str">
        <f aca="false">IF(OR(C2493="",P2493=""),"",INDEX('CARNET DE SOUDURE'!$D$7:$D$3006,P2493)&amp;"")</f>
        <v/>
      </c>
      <c r="E2493" s="114" t="str">
        <f aca="false">IF(OR(C2493="",P2493=""),"",IF(INDEX('CARNET DE SOUDURE'!$U$7:$U$3006,P2493)="","",INDEX('CARNET DE SOUDURE'!$U$7:$U$3006,P2493)))</f>
        <v/>
      </c>
      <c r="F2493" s="82" t="str">
        <f aca="false">IF(OR(C2493="",P2493=""),"",INDEX('CARNET DE SOUDURE'!$AP$7:$AP$3006,P2493))</f>
        <v/>
      </c>
      <c r="G2493" s="82" t="str">
        <f aca="false">IF(C2493="","",IF(P2493="","NJ INCONNU",INDEX('CARNET DE SOUDURE'!$AQ$7:$AQ$3006,P2493)))</f>
        <v/>
      </c>
      <c r="H2493" s="82" t="str">
        <f aca="false">IF(C2493="","",IF(G2493="ACCEPTÉ","OUI","NON"))</f>
        <v/>
      </c>
      <c r="I2493" s="83"/>
      <c r="J2493" s="80"/>
      <c r="K2493" s="81"/>
      <c r="L2493" s="81"/>
      <c r="M2493" s="81"/>
      <c r="N2493" s="84" t="str">
        <f aca="false">IF(C2493="","",IF(P2493="","NJ INCONNU",IF(I2493="",IF(H2493="OUI","À ENROBER",IF(G2493="À SOUDER","NON SOUDÉ","EN ATTENTE RT")),IF(L2493="R","À REPRENDRE",IF(H2493&lt;&gt;"OUI","⚠ ENROBÉ AVANT ACCEPTATION RT","ENROBÉ")))))</f>
        <v/>
      </c>
      <c r="O2493" s="80"/>
      <c r="P2493" s="82" t="str">
        <f aca="false">IF(C2493="","",IFERROR(MATCH(Q2493,'CARNET DE SOUDURE'!$AW$7:$AW$3006,0),""))</f>
        <v/>
      </c>
      <c r="Q2493" s="82" t="str">
        <f aca="false">IF(C2493="","",B2493&amp;"|"&amp;C2493)</f>
        <v/>
      </c>
    </row>
    <row r="2494" customFormat="false" ht="15" hidden="false" customHeight="false" outlineLevel="0" collapsed="false">
      <c r="A2494" s="82" t="str">
        <f aca="false">IF(C2494="","",ROW()-6)</f>
        <v/>
      </c>
      <c r="B2494" s="80"/>
      <c r="C2494" s="113"/>
      <c r="D2494" s="82" t="str">
        <f aca="false">IF(OR(C2494="",P2494=""),"",INDEX('CARNET DE SOUDURE'!$D$7:$D$3006,P2494)&amp;"")</f>
        <v/>
      </c>
      <c r="E2494" s="114" t="str">
        <f aca="false">IF(OR(C2494="",P2494=""),"",IF(INDEX('CARNET DE SOUDURE'!$U$7:$U$3006,P2494)="","",INDEX('CARNET DE SOUDURE'!$U$7:$U$3006,P2494)))</f>
        <v/>
      </c>
      <c r="F2494" s="82" t="str">
        <f aca="false">IF(OR(C2494="",P2494=""),"",INDEX('CARNET DE SOUDURE'!$AP$7:$AP$3006,P2494))</f>
        <v/>
      </c>
      <c r="G2494" s="82" t="str">
        <f aca="false">IF(C2494="","",IF(P2494="","NJ INCONNU",INDEX('CARNET DE SOUDURE'!$AQ$7:$AQ$3006,P2494)))</f>
        <v/>
      </c>
      <c r="H2494" s="82" t="str">
        <f aca="false">IF(C2494="","",IF(G2494="ACCEPTÉ","OUI","NON"))</f>
        <v/>
      </c>
      <c r="I2494" s="83"/>
      <c r="J2494" s="80"/>
      <c r="K2494" s="81"/>
      <c r="L2494" s="81"/>
      <c r="M2494" s="81"/>
      <c r="N2494" s="84" t="str">
        <f aca="false">IF(C2494="","",IF(P2494="","NJ INCONNU",IF(I2494="",IF(H2494="OUI","À ENROBER",IF(G2494="À SOUDER","NON SOUDÉ","EN ATTENTE RT")),IF(L2494="R","À REPRENDRE",IF(H2494&lt;&gt;"OUI","⚠ ENROBÉ AVANT ACCEPTATION RT","ENROBÉ")))))</f>
        <v/>
      </c>
      <c r="O2494" s="80"/>
      <c r="P2494" s="82" t="str">
        <f aca="false">IF(C2494="","",IFERROR(MATCH(Q2494,'CARNET DE SOUDURE'!$AW$7:$AW$3006,0),""))</f>
        <v/>
      </c>
      <c r="Q2494" s="82" t="str">
        <f aca="false">IF(C2494="","",B2494&amp;"|"&amp;C2494)</f>
        <v/>
      </c>
    </row>
    <row r="2495" customFormat="false" ht="15" hidden="false" customHeight="false" outlineLevel="0" collapsed="false">
      <c r="A2495" s="82" t="str">
        <f aca="false">IF(C2495="","",ROW()-6)</f>
        <v/>
      </c>
      <c r="B2495" s="80"/>
      <c r="C2495" s="113"/>
      <c r="D2495" s="82" t="str">
        <f aca="false">IF(OR(C2495="",P2495=""),"",INDEX('CARNET DE SOUDURE'!$D$7:$D$3006,P2495)&amp;"")</f>
        <v/>
      </c>
      <c r="E2495" s="114" t="str">
        <f aca="false">IF(OR(C2495="",P2495=""),"",IF(INDEX('CARNET DE SOUDURE'!$U$7:$U$3006,P2495)="","",INDEX('CARNET DE SOUDURE'!$U$7:$U$3006,P2495)))</f>
        <v/>
      </c>
      <c r="F2495" s="82" t="str">
        <f aca="false">IF(OR(C2495="",P2495=""),"",INDEX('CARNET DE SOUDURE'!$AP$7:$AP$3006,P2495))</f>
        <v/>
      </c>
      <c r="G2495" s="82" t="str">
        <f aca="false">IF(C2495="","",IF(P2495="","NJ INCONNU",INDEX('CARNET DE SOUDURE'!$AQ$7:$AQ$3006,P2495)))</f>
        <v/>
      </c>
      <c r="H2495" s="82" t="str">
        <f aca="false">IF(C2495="","",IF(G2495="ACCEPTÉ","OUI","NON"))</f>
        <v/>
      </c>
      <c r="I2495" s="83"/>
      <c r="J2495" s="80"/>
      <c r="K2495" s="81"/>
      <c r="L2495" s="81"/>
      <c r="M2495" s="81"/>
      <c r="N2495" s="84" t="str">
        <f aca="false">IF(C2495="","",IF(P2495="","NJ INCONNU",IF(I2495="",IF(H2495="OUI","À ENROBER",IF(G2495="À SOUDER","NON SOUDÉ","EN ATTENTE RT")),IF(L2495="R","À REPRENDRE",IF(H2495&lt;&gt;"OUI","⚠ ENROBÉ AVANT ACCEPTATION RT","ENROBÉ")))))</f>
        <v/>
      </c>
      <c r="O2495" s="80"/>
      <c r="P2495" s="82" t="str">
        <f aca="false">IF(C2495="","",IFERROR(MATCH(Q2495,'CARNET DE SOUDURE'!$AW$7:$AW$3006,0),""))</f>
        <v/>
      </c>
      <c r="Q2495" s="82" t="str">
        <f aca="false">IF(C2495="","",B2495&amp;"|"&amp;C2495)</f>
        <v/>
      </c>
    </row>
    <row r="2496" customFormat="false" ht="15" hidden="false" customHeight="false" outlineLevel="0" collapsed="false">
      <c r="A2496" s="82" t="str">
        <f aca="false">IF(C2496="","",ROW()-6)</f>
        <v/>
      </c>
      <c r="B2496" s="80"/>
      <c r="C2496" s="113"/>
      <c r="D2496" s="82" t="str">
        <f aca="false">IF(OR(C2496="",P2496=""),"",INDEX('CARNET DE SOUDURE'!$D$7:$D$3006,P2496)&amp;"")</f>
        <v/>
      </c>
      <c r="E2496" s="114" t="str">
        <f aca="false">IF(OR(C2496="",P2496=""),"",IF(INDEX('CARNET DE SOUDURE'!$U$7:$U$3006,P2496)="","",INDEX('CARNET DE SOUDURE'!$U$7:$U$3006,P2496)))</f>
        <v/>
      </c>
      <c r="F2496" s="82" t="str">
        <f aca="false">IF(OR(C2496="",P2496=""),"",INDEX('CARNET DE SOUDURE'!$AP$7:$AP$3006,P2496))</f>
        <v/>
      </c>
      <c r="G2496" s="82" t="str">
        <f aca="false">IF(C2496="","",IF(P2496="","NJ INCONNU",INDEX('CARNET DE SOUDURE'!$AQ$7:$AQ$3006,P2496)))</f>
        <v/>
      </c>
      <c r="H2496" s="82" t="str">
        <f aca="false">IF(C2496="","",IF(G2496="ACCEPTÉ","OUI","NON"))</f>
        <v/>
      </c>
      <c r="I2496" s="83"/>
      <c r="J2496" s="80"/>
      <c r="K2496" s="81"/>
      <c r="L2496" s="81"/>
      <c r="M2496" s="81"/>
      <c r="N2496" s="84" t="str">
        <f aca="false">IF(C2496="","",IF(P2496="","NJ INCONNU",IF(I2496="",IF(H2496="OUI","À ENROBER",IF(G2496="À SOUDER","NON SOUDÉ","EN ATTENTE RT")),IF(L2496="R","À REPRENDRE",IF(H2496&lt;&gt;"OUI","⚠ ENROBÉ AVANT ACCEPTATION RT","ENROBÉ")))))</f>
        <v/>
      </c>
      <c r="O2496" s="80"/>
      <c r="P2496" s="82" t="str">
        <f aca="false">IF(C2496="","",IFERROR(MATCH(Q2496,'CARNET DE SOUDURE'!$AW$7:$AW$3006,0),""))</f>
        <v/>
      </c>
      <c r="Q2496" s="82" t="str">
        <f aca="false">IF(C2496="","",B2496&amp;"|"&amp;C2496)</f>
        <v/>
      </c>
    </row>
    <row r="2497" customFormat="false" ht="15" hidden="false" customHeight="false" outlineLevel="0" collapsed="false">
      <c r="A2497" s="82" t="str">
        <f aca="false">IF(C2497="","",ROW()-6)</f>
        <v/>
      </c>
      <c r="B2497" s="80"/>
      <c r="C2497" s="113"/>
      <c r="D2497" s="82" t="str">
        <f aca="false">IF(OR(C2497="",P2497=""),"",INDEX('CARNET DE SOUDURE'!$D$7:$D$3006,P2497)&amp;"")</f>
        <v/>
      </c>
      <c r="E2497" s="114" t="str">
        <f aca="false">IF(OR(C2497="",P2497=""),"",IF(INDEX('CARNET DE SOUDURE'!$U$7:$U$3006,P2497)="","",INDEX('CARNET DE SOUDURE'!$U$7:$U$3006,P2497)))</f>
        <v/>
      </c>
      <c r="F2497" s="82" t="str">
        <f aca="false">IF(OR(C2497="",P2497=""),"",INDEX('CARNET DE SOUDURE'!$AP$7:$AP$3006,P2497))</f>
        <v/>
      </c>
      <c r="G2497" s="82" t="str">
        <f aca="false">IF(C2497="","",IF(P2497="","NJ INCONNU",INDEX('CARNET DE SOUDURE'!$AQ$7:$AQ$3006,P2497)))</f>
        <v/>
      </c>
      <c r="H2497" s="82" t="str">
        <f aca="false">IF(C2497="","",IF(G2497="ACCEPTÉ","OUI","NON"))</f>
        <v/>
      </c>
      <c r="I2497" s="83"/>
      <c r="J2497" s="80"/>
      <c r="K2497" s="81"/>
      <c r="L2497" s="81"/>
      <c r="M2497" s="81"/>
      <c r="N2497" s="84" t="str">
        <f aca="false">IF(C2497="","",IF(P2497="","NJ INCONNU",IF(I2497="",IF(H2497="OUI","À ENROBER",IF(G2497="À SOUDER","NON SOUDÉ","EN ATTENTE RT")),IF(L2497="R","À REPRENDRE",IF(H2497&lt;&gt;"OUI","⚠ ENROBÉ AVANT ACCEPTATION RT","ENROBÉ")))))</f>
        <v/>
      </c>
      <c r="O2497" s="80"/>
      <c r="P2497" s="82" t="str">
        <f aca="false">IF(C2497="","",IFERROR(MATCH(Q2497,'CARNET DE SOUDURE'!$AW$7:$AW$3006,0),""))</f>
        <v/>
      </c>
      <c r="Q2497" s="82" t="str">
        <f aca="false">IF(C2497="","",B2497&amp;"|"&amp;C2497)</f>
        <v/>
      </c>
    </row>
    <row r="2498" customFormat="false" ht="15" hidden="false" customHeight="false" outlineLevel="0" collapsed="false">
      <c r="A2498" s="82" t="str">
        <f aca="false">IF(C2498="","",ROW()-6)</f>
        <v/>
      </c>
      <c r="B2498" s="80"/>
      <c r="C2498" s="113"/>
      <c r="D2498" s="82" t="str">
        <f aca="false">IF(OR(C2498="",P2498=""),"",INDEX('CARNET DE SOUDURE'!$D$7:$D$3006,P2498)&amp;"")</f>
        <v/>
      </c>
      <c r="E2498" s="114" t="str">
        <f aca="false">IF(OR(C2498="",P2498=""),"",IF(INDEX('CARNET DE SOUDURE'!$U$7:$U$3006,P2498)="","",INDEX('CARNET DE SOUDURE'!$U$7:$U$3006,P2498)))</f>
        <v/>
      </c>
      <c r="F2498" s="82" t="str">
        <f aca="false">IF(OR(C2498="",P2498=""),"",INDEX('CARNET DE SOUDURE'!$AP$7:$AP$3006,P2498))</f>
        <v/>
      </c>
      <c r="G2498" s="82" t="str">
        <f aca="false">IF(C2498="","",IF(P2498="","NJ INCONNU",INDEX('CARNET DE SOUDURE'!$AQ$7:$AQ$3006,P2498)))</f>
        <v/>
      </c>
      <c r="H2498" s="82" t="str">
        <f aca="false">IF(C2498="","",IF(G2498="ACCEPTÉ","OUI","NON"))</f>
        <v/>
      </c>
      <c r="I2498" s="83"/>
      <c r="J2498" s="80"/>
      <c r="K2498" s="81"/>
      <c r="L2498" s="81"/>
      <c r="M2498" s="81"/>
      <c r="N2498" s="84" t="str">
        <f aca="false">IF(C2498="","",IF(P2498="","NJ INCONNU",IF(I2498="",IF(H2498="OUI","À ENROBER",IF(G2498="À SOUDER","NON SOUDÉ","EN ATTENTE RT")),IF(L2498="R","À REPRENDRE",IF(H2498&lt;&gt;"OUI","⚠ ENROBÉ AVANT ACCEPTATION RT","ENROBÉ")))))</f>
        <v/>
      </c>
      <c r="O2498" s="80"/>
      <c r="P2498" s="82" t="str">
        <f aca="false">IF(C2498="","",IFERROR(MATCH(Q2498,'CARNET DE SOUDURE'!$AW$7:$AW$3006,0),""))</f>
        <v/>
      </c>
      <c r="Q2498" s="82" t="str">
        <f aca="false">IF(C2498="","",B2498&amp;"|"&amp;C2498)</f>
        <v/>
      </c>
    </row>
    <row r="2499" customFormat="false" ht="15" hidden="false" customHeight="false" outlineLevel="0" collapsed="false">
      <c r="A2499" s="82" t="str">
        <f aca="false">IF(C2499="","",ROW()-6)</f>
        <v/>
      </c>
      <c r="B2499" s="80"/>
      <c r="C2499" s="113"/>
      <c r="D2499" s="82" t="str">
        <f aca="false">IF(OR(C2499="",P2499=""),"",INDEX('CARNET DE SOUDURE'!$D$7:$D$3006,P2499)&amp;"")</f>
        <v/>
      </c>
      <c r="E2499" s="114" t="str">
        <f aca="false">IF(OR(C2499="",P2499=""),"",IF(INDEX('CARNET DE SOUDURE'!$U$7:$U$3006,P2499)="","",INDEX('CARNET DE SOUDURE'!$U$7:$U$3006,P2499)))</f>
        <v/>
      </c>
      <c r="F2499" s="82" t="str">
        <f aca="false">IF(OR(C2499="",P2499=""),"",INDEX('CARNET DE SOUDURE'!$AP$7:$AP$3006,P2499))</f>
        <v/>
      </c>
      <c r="G2499" s="82" t="str">
        <f aca="false">IF(C2499="","",IF(P2499="","NJ INCONNU",INDEX('CARNET DE SOUDURE'!$AQ$7:$AQ$3006,P2499)))</f>
        <v/>
      </c>
      <c r="H2499" s="82" t="str">
        <f aca="false">IF(C2499="","",IF(G2499="ACCEPTÉ","OUI","NON"))</f>
        <v/>
      </c>
      <c r="I2499" s="83"/>
      <c r="J2499" s="80"/>
      <c r="K2499" s="81"/>
      <c r="L2499" s="81"/>
      <c r="M2499" s="81"/>
      <c r="N2499" s="84" t="str">
        <f aca="false">IF(C2499="","",IF(P2499="","NJ INCONNU",IF(I2499="",IF(H2499="OUI","À ENROBER",IF(G2499="À SOUDER","NON SOUDÉ","EN ATTENTE RT")),IF(L2499="R","À REPRENDRE",IF(H2499&lt;&gt;"OUI","⚠ ENROBÉ AVANT ACCEPTATION RT","ENROBÉ")))))</f>
        <v/>
      </c>
      <c r="O2499" s="80"/>
      <c r="P2499" s="82" t="str">
        <f aca="false">IF(C2499="","",IFERROR(MATCH(Q2499,'CARNET DE SOUDURE'!$AW$7:$AW$3006,0),""))</f>
        <v/>
      </c>
      <c r="Q2499" s="82" t="str">
        <f aca="false">IF(C2499="","",B2499&amp;"|"&amp;C2499)</f>
        <v/>
      </c>
    </row>
    <row r="2500" customFormat="false" ht="15" hidden="false" customHeight="false" outlineLevel="0" collapsed="false">
      <c r="A2500" s="82" t="str">
        <f aca="false">IF(C2500="","",ROW()-6)</f>
        <v/>
      </c>
      <c r="B2500" s="80"/>
      <c r="C2500" s="113"/>
      <c r="D2500" s="82" t="str">
        <f aca="false">IF(OR(C2500="",P2500=""),"",INDEX('CARNET DE SOUDURE'!$D$7:$D$3006,P2500)&amp;"")</f>
        <v/>
      </c>
      <c r="E2500" s="114" t="str">
        <f aca="false">IF(OR(C2500="",P2500=""),"",IF(INDEX('CARNET DE SOUDURE'!$U$7:$U$3006,P2500)="","",INDEX('CARNET DE SOUDURE'!$U$7:$U$3006,P2500)))</f>
        <v/>
      </c>
      <c r="F2500" s="82" t="str">
        <f aca="false">IF(OR(C2500="",P2500=""),"",INDEX('CARNET DE SOUDURE'!$AP$7:$AP$3006,P2500))</f>
        <v/>
      </c>
      <c r="G2500" s="82" t="str">
        <f aca="false">IF(C2500="","",IF(P2500="","NJ INCONNU",INDEX('CARNET DE SOUDURE'!$AQ$7:$AQ$3006,P2500)))</f>
        <v/>
      </c>
      <c r="H2500" s="82" t="str">
        <f aca="false">IF(C2500="","",IF(G2500="ACCEPTÉ","OUI","NON"))</f>
        <v/>
      </c>
      <c r="I2500" s="83"/>
      <c r="J2500" s="80"/>
      <c r="K2500" s="81"/>
      <c r="L2500" s="81"/>
      <c r="M2500" s="81"/>
      <c r="N2500" s="84" t="str">
        <f aca="false">IF(C2500="","",IF(P2500="","NJ INCONNU",IF(I2500="",IF(H2500="OUI","À ENROBER",IF(G2500="À SOUDER","NON SOUDÉ","EN ATTENTE RT")),IF(L2500="R","À REPRENDRE",IF(H2500&lt;&gt;"OUI","⚠ ENROBÉ AVANT ACCEPTATION RT","ENROBÉ")))))</f>
        <v/>
      </c>
      <c r="O2500" s="80"/>
      <c r="P2500" s="82" t="str">
        <f aca="false">IF(C2500="","",IFERROR(MATCH(Q2500,'CARNET DE SOUDURE'!$AW$7:$AW$3006,0),""))</f>
        <v/>
      </c>
      <c r="Q2500" s="82" t="str">
        <f aca="false">IF(C2500="","",B2500&amp;"|"&amp;C2500)</f>
        <v/>
      </c>
    </row>
    <row r="2501" customFormat="false" ht="15" hidden="false" customHeight="false" outlineLevel="0" collapsed="false">
      <c r="A2501" s="82" t="str">
        <f aca="false">IF(C2501="","",ROW()-6)</f>
        <v/>
      </c>
      <c r="B2501" s="80"/>
      <c r="C2501" s="113"/>
      <c r="D2501" s="82" t="str">
        <f aca="false">IF(OR(C2501="",P2501=""),"",INDEX('CARNET DE SOUDURE'!$D$7:$D$3006,P2501)&amp;"")</f>
        <v/>
      </c>
      <c r="E2501" s="114" t="str">
        <f aca="false">IF(OR(C2501="",P2501=""),"",IF(INDEX('CARNET DE SOUDURE'!$U$7:$U$3006,P2501)="","",INDEX('CARNET DE SOUDURE'!$U$7:$U$3006,P2501)))</f>
        <v/>
      </c>
      <c r="F2501" s="82" t="str">
        <f aca="false">IF(OR(C2501="",P2501=""),"",INDEX('CARNET DE SOUDURE'!$AP$7:$AP$3006,P2501))</f>
        <v/>
      </c>
      <c r="G2501" s="82" t="str">
        <f aca="false">IF(C2501="","",IF(P2501="","NJ INCONNU",INDEX('CARNET DE SOUDURE'!$AQ$7:$AQ$3006,P2501)))</f>
        <v/>
      </c>
      <c r="H2501" s="82" t="str">
        <f aca="false">IF(C2501="","",IF(G2501="ACCEPTÉ","OUI","NON"))</f>
        <v/>
      </c>
      <c r="I2501" s="83"/>
      <c r="J2501" s="80"/>
      <c r="K2501" s="81"/>
      <c r="L2501" s="81"/>
      <c r="M2501" s="81"/>
      <c r="N2501" s="84" t="str">
        <f aca="false">IF(C2501="","",IF(P2501="","NJ INCONNU",IF(I2501="",IF(H2501="OUI","À ENROBER",IF(G2501="À SOUDER","NON SOUDÉ","EN ATTENTE RT")),IF(L2501="R","À REPRENDRE",IF(H2501&lt;&gt;"OUI","⚠ ENROBÉ AVANT ACCEPTATION RT","ENROBÉ")))))</f>
        <v/>
      </c>
      <c r="O2501" s="80"/>
      <c r="P2501" s="82" t="str">
        <f aca="false">IF(C2501="","",IFERROR(MATCH(Q2501,'CARNET DE SOUDURE'!$AW$7:$AW$3006,0),""))</f>
        <v/>
      </c>
      <c r="Q2501" s="82" t="str">
        <f aca="false">IF(C2501="","",B2501&amp;"|"&amp;C2501)</f>
        <v/>
      </c>
    </row>
    <row r="2502" customFormat="false" ht="15" hidden="false" customHeight="false" outlineLevel="0" collapsed="false">
      <c r="A2502" s="82" t="str">
        <f aca="false">IF(C2502="","",ROW()-6)</f>
        <v/>
      </c>
      <c r="B2502" s="80"/>
      <c r="C2502" s="113"/>
      <c r="D2502" s="82" t="str">
        <f aca="false">IF(OR(C2502="",P2502=""),"",INDEX('CARNET DE SOUDURE'!$D$7:$D$3006,P2502)&amp;"")</f>
        <v/>
      </c>
      <c r="E2502" s="114" t="str">
        <f aca="false">IF(OR(C2502="",P2502=""),"",IF(INDEX('CARNET DE SOUDURE'!$U$7:$U$3006,P2502)="","",INDEX('CARNET DE SOUDURE'!$U$7:$U$3006,P2502)))</f>
        <v/>
      </c>
      <c r="F2502" s="82" t="str">
        <f aca="false">IF(OR(C2502="",P2502=""),"",INDEX('CARNET DE SOUDURE'!$AP$7:$AP$3006,P2502))</f>
        <v/>
      </c>
      <c r="G2502" s="82" t="str">
        <f aca="false">IF(C2502="","",IF(P2502="","NJ INCONNU",INDEX('CARNET DE SOUDURE'!$AQ$7:$AQ$3006,P2502)))</f>
        <v/>
      </c>
      <c r="H2502" s="82" t="str">
        <f aca="false">IF(C2502="","",IF(G2502="ACCEPTÉ","OUI","NON"))</f>
        <v/>
      </c>
      <c r="I2502" s="83"/>
      <c r="J2502" s="80"/>
      <c r="K2502" s="81"/>
      <c r="L2502" s="81"/>
      <c r="M2502" s="81"/>
      <c r="N2502" s="84" t="str">
        <f aca="false">IF(C2502="","",IF(P2502="","NJ INCONNU",IF(I2502="",IF(H2502="OUI","À ENROBER",IF(G2502="À SOUDER","NON SOUDÉ","EN ATTENTE RT")),IF(L2502="R","À REPRENDRE",IF(H2502&lt;&gt;"OUI","⚠ ENROBÉ AVANT ACCEPTATION RT","ENROBÉ")))))</f>
        <v/>
      </c>
      <c r="O2502" s="80"/>
      <c r="P2502" s="82" t="str">
        <f aca="false">IF(C2502="","",IFERROR(MATCH(Q2502,'CARNET DE SOUDURE'!$AW$7:$AW$3006,0),""))</f>
        <v/>
      </c>
      <c r="Q2502" s="82" t="str">
        <f aca="false">IF(C2502="","",B2502&amp;"|"&amp;C2502)</f>
        <v/>
      </c>
    </row>
    <row r="2503" customFormat="false" ht="15" hidden="false" customHeight="false" outlineLevel="0" collapsed="false">
      <c r="A2503" s="82" t="str">
        <f aca="false">IF(C2503="","",ROW()-6)</f>
        <v/>
      </c>
      <c r="B2503" s="80"/>
      <c r="C2503" s="113"/>
      <c r="D2503" s="82" t="str">
        <f aca="false">IF(OR(C2503="",P2503=""),"",INDEX('CARNET DE SOUDURE'!$D$7:$D$3006,P2503)&amp;"")</f>
        <v/>
      </c>
      <c r="E2503" s="114" t="str">
        <f aca="false">IF(OR(C2503="",P2503=""),"",IF(INDEX('CARNET DE SOUDURE'!$U$7:$U$3006,P2503)="","",INDEX('CARNET DE SOUDURE'!$U$7:$U$3006,P2503)))</f>
        <v/>
      </c>
      <c r="F2503" s="82" t="str">
        <f aca="false">IF(OR(C2503="",P2503=""),"",INDEX('CARNET DE SOUDURE'!$AP$7:$AP$3006,P2503))</f>
        <v/>
      </c>
      <c r="G2503" s="82" t="str">
        <f aca="false">IF(C2503="","",IF(P2503="","NJ INCONNU",INDEX('CARNET DE SOUDURE'!$AQ$7:$AQ$3006,P2503)))</f>
        <v/>
      </c>
      <c r="H2503" s="82" t="str">
        <f aca="false">IF(C2503="","",IF(G2503="ACCEPTÉ","OUI","NON"))</f>
        <v/>
      </c>
      <c r="I2503" s="83"/>
      <c r="J2503" s="80"/>
      <c r="K2503" s="81"/>
      <c r="L2503" s="81"/>
      <c r="M2503" s="81"/>
      <c r="N2503" s="84" t="str">
        <f aca="false">IF(C2503="","",IF(P2503="","NJ INCONNU",IF(I2503="",IF(H2503="OUI","À ENROBER",IF(G2503="À SOUDER","NON SOUDÉ","EN ATTENTE RT")),IF(L2503="R","À REPRENDRE",IF(H2503&lt;&gt;"OUI","⚠ ENROBÉ AVANT ACCEPTATION RT","ENROBÉ")))))</f>
        <v/>
      </c>
      <c r="O2503" s="80"/>
      <c r="P2503" s="82" t="str">
        <f aca="false">IF(C2503="","",IFERROR(MATCH(Q2503,'CARNET DE SOUDURE'!$AW$7:$AW$3006,0),""))</f>
        <v/>
      </c>
      <c r="Q2503" s="82" t="str">
        <f aca="false">IF(C2503="","",B2503&amp;"|"&amp;C2503)</f>
        <v/>
      </c>
    </row>
    <row r="2504" customFormat="false" ht="15" hidden="false" customHeight="false" outlineLevel="0" collapsed="false">
      <c r="A2504" s="82" t="str">
        <f aca="false">IF(C2504="","",ROW()-6)</f>
        <v/>
      </c>
      <c r="B2504" s="80"/>
      <c r="C2504" s="113"/>
      <c r="D2504" s="82" t="str">
        <f aca="false">IF(OR(C2504="",P2504=""),"",INDEX('CARNET DE SOUDURE'!$D$7:$D$3006,P2504)&amp;"")</f>
        <v/>
      </c>
      <c r="E2504" s="114" t="str">
        <f aca="false">IF(OR(C2504="",P2504=""),"",IF(INDEX('CARNET DE SOUDURE'!$U$7:$U$3006,P2504)="","",INDEX('CARNET DE SOUDURE'!$U$7:$U$3006,P2504)))</f>
        <v/>
      </c>
      <c r="F2504" s="82" t="str">
        <f aca="false">IF(OR(C2504="",P2504=""),"",INDEX('CARNET DE SOUDURE'!$AP$7:$AP$3006,P2504))</f>
        <v/>
      </c>
      <c r="G2504" s="82" t="str">
        <f aca="false">IF(C2504="","",IF(P2504="","NJ INCONNU",INDEX('CARNET DE SOUDURE'!$AQ$7:$AQ$3006,P2504)))</f>
        <v/>
      </c>
      <c r="H2504" s="82" t="str">
        <f aca="false">IF(C2504="","",IF(G2504="ACCEPTÉ","OUI","NON"))</f>
        <v/>
      </c>
      <c r="I2504" s="83"/>
      <c r="J2504" s="80"/>
      <c r="K2504" s="81"/>
      <c r="L2504" s="81"/>
      <c r="M2504" s="81"/>
      <c r="N2504" s="84" t="str">
        <f aca="false">IF(C2504="","",IF(P2504="","NJ INCONNU",IF(I2504="",IF(H2504="OUI","À ENROBER",IF(G2504="À SOUDER","NON SOUDÉ","EN ATTENTE RT")),IF(L2504="R","À REPRENDRE",IF(H2504&lt;&gt;"OUI","⚠ ENROBÉ AVANT ACCEPTATION RT","ENROBÉ")))))</f>
        <v/>
      </c>
      <c r="O2504" s="80"/>
      <c r="P2504" s="82" t="str">
        <f aca="false">IF(C2504="","",IFERROR(MATCH(Q2504,'CARNET DE SOUDURE'!$AW$7:$AW$3006,0),""))</f>
        <v/>
      </c>
      <c r="Q2504" s="82" t="str">
        <f aca="false">IF(C2504="","",B2504&amp;"|"&amp;C2504)</f>
        <v/>
      </c>
    </row>
    <row r="2505" customFormat="false" ht="15" hidden="false" customHeight="false" outlineLevel="0" collapsed="false">
      <c r="A2505" s="82" t="str">
        <f aca="false">IF(C2505="","",ROW()-6)</f>
        <v/>
      </c>
      <c r="B2505" s="80"/>
      <c r="C2505" s="113"/>
      <c r="D2505" s="82" t="str">
        <f aca="false">IF(OR(C2505="",P2505=""),"",INDEX('CARNET DE SOUDURE'!$D$7:$D$3006,P2505)&amp;"")</f>
        <v/>
      </c>
      <c r="E2505" s="114" t="str">
        <f aca="false">IF(OR(C2505="",P2505=""),"",IF(INDEX('CARNET DE SOUDURE'!$U$7:$U$3006,P2505)="","",INDEX('CARNET DE SOUDURE'!$U$7:$U$3006,P2505)))</f>
        <v/>
      </c>
      <c r="F2505" s="82" t="str">
        <f aca="false">IF(OR(C2505="",P2505=""),"",INDEX('CARNET DE SOUDURE'!$AP$7:$AP$3006,P2505))</f>
        <v/>
      </c>
      <c r="G2505" s="82" t="str">
        <f aca="false">IF(C2505="","",IF(P2505="","NJ INCONNU",INDEX('CARNET DE SOUDURE'!$AQ$7:$AQ$3006,P2505)))</f>
        <v/>
      </c>
      <c r="H2505" s="82" t="str">
        <f aca="false">IF(C2505="","",IF(G2505="ACCEPTÉ","OUI","NON"))</f>
        <v/>
      </c>
      <c r="I2505" s="83"/>
      <c r="J2505" s="80"/>
      <c r="K2505" s="81"/>
      <c r="L2505" s="81"/>
      <c r="M2505" s="81"/>
      <c r="N2505" s="84" t="str">
        <f aca="false">IF(C2505="","",IF(P2505="","NJ INCONNU",IF(I2505="",IF(H2505="OUI","À ENROBER",IF(G2505="À SOUDER","NON SOUDÉ","EN ATTENTE RT")),IF(L2505="R","À REPRENDRE",IF(H2505&lt;&gt;"OUI","⚠ ENROBÉ AVANT ACCEPTATION RT","ENROBÉ")))))</f>
        <v/>
      </c>
      <c r="O2505" s="80"/>
      <c r="P2505" s="82" t="str">
        <f aca="false">IF(C2505="","",IFERROR(MATCH(Q2505,'CARNET DE SOUDURE'!$AW$7:$AW$3006,0),""))</f>
        <v/>
      </c>
      <c r="Q2505" s="82" t="str">
        <f aca="false">IF(C2505="","",B2505&amp;"|"&amp;C2505)</f>
        <v/>
      </c>
    </row>
    <row r="2506" customFormat="false" ht="15" hidden="false" customHeight="false" outlineLevel="0" collapsed="false">
      <c r="A2506" s="82" t="str">
        <f aca="false">IF(C2506="","",ROW()-6)</f>
        <v/>
      </c>
      <c r="B2506" s="80"/>
      <c r="C2506" s="113"/>
      <c r="D2506" s="82" t="str">
        <f aca="false">IF(OR(C2506="",P2506=""),"",INDEX('CARNET DE SOUDURE'!$D$7:$D$3006,P2506)&amp;"")</f>
        <v/>
      </c>
      <c r="E2506" s="114" t="str">
        <f aca="false">IF(OR(C2506="",P2506=""),"",IF(INDEX('CARNET DE SOUDURE'!$U$7:$U$3006,P2506)="","",INDEX('CARNET DE SOUDURE'!$U$7:$U$3006,P2506)))</f>
        <v/>
      </c>
      <c r="F2506" s="82" t="str">
        <f aca="false">IF(OR(C2506="",P2506=""),"",INDEX('CARNET DE SOUDURE'!$AP$7:$AP$3006,P2506))</f>
        <v/>
      </c>
      <c r="G2506" s="82" t="str">
        <f aca="false">IF(C2506="","",IF(P2506="","NJ INCONNU",INDEX('CARNET DE SOUDURE'!$AQ$7:$AQ$3006,P2506)))</f>
        <v/>
      </c>
      <c r="H2506" s="82" t="str">
        <f aca="false">IF(C2506="","",IF(G2506="ACCEPTÉ","OUI","NON"))</f>
        <v/>
      </c>
      <c r="I2506" s="83"/>
      <c r="J2506" s="80"/>
      <c r="K2506" s="81"/>
      <c r="L2506" s="81"/>
      <c r="M2506" s="81"/>
      <c r="N2506" s="84" t="str">
        <f aca="false">IF(C2506="","",IF(P2506="","NJ INCONNU",IF(I2506="",IF(H2506="OUI","À ENROBER",IF(G2506="À SOUDER","NON SOUDÉ","EN ATTENTE RT")),IF(L2506="R","À REPRENDRE",IF(H2506&lt;&gt;"OUI","⚠ ENROBÉ AVANT ACCEPTATION RT","ENROBÉ")))))</f>
        <v/>
      </c>
      <c r="O2506" s="80"/>
      <c r="P2506" s="82" t="str">
        <f aca="false">IF(C2506="","",IFERROR(MATCH(Q2506,'CARNET DE SOUDURE'!$AW$7:$AW$3006,0),""))</f>
        <v/>
      </c>
      <c r="Q2506" s="82" t="str">
        <f aca="false">IF(C2506="","",B2506&amp;"|"&amp;C2506)</f>
        <v/>
      </c>
    </row>
    <row r="2507" customFormat="false" ht="15" hidden="false" customHeight="false" outlineLevel="0" collapsed="false">
      <c r="A2507" s="82" t="str">
        <f aca="false">IF(C2507="","",ROW()-6)</f>
        <v/>
      </c>
      <c r="B2507" s="80"/>
      <c r="C2507" s="113"/>
      <c r="D2507" s="82" t="str">
        <f aca="false">IF(OR(C2507="",P2507=""),"",INDEX('CARNET DE SOUDURE'!$D$7:$D$3006,P2507)&amp;"")</f>
        <v/>
      </c>
      <c r="E2507" s="114" t="str">
        <f aca="false">IF(OR(C2507="",P2507=""),"",IF(INDEX('CARNET DE SOUDURE'!$U$7:$U$3006,P2507)="","",INDEX('CARNET DE SOUDURE'!$U$7:$U$3006,P2507)))</f>
        <v/>
      </c>
      <c r="F2507" s="82" t="str">
        <f aca="false">IF(OR(C2507="",P2507=""),"",INDEX('CARNET DE SOUDURE'!$AP$7:$AP$3006,P2507))</f>
        <v/>
      </c>
      <c r="G2507" s="82" t="str">
        <f aca="false">IF(C2507="","",IF(P2507="","NJ INCONNU",INDEX('CARNET DE SOUDURE'!$AQ$7:$AQ$3006,P2507)))</f>
        <v/>
      </c>
      <c r="H2507" s="82" t="str">
        <f aca="false">IF(C2507="","",IF(G2507="ACCEPTÉ","OUI","NON"))</f>
        <v/>
      </c>
      <c r="I2507" s="83"/>
      <c r="J2507" s="80"/>
      <c r="K2507" s="81"/>
      <c r="L2507" s="81"/>
      <c r="M2507" s="81"/>
      <c r="N2507" s="84" t="str">
        <f aca="false">IF(C2507="","",IF(P2507="","NJ INCONNU",IF(I2507="",IF(H2507="OUI","À ENROBER",IF(G2507="À SOUDER","NON SOUDÉ","EN ATTENTE RT")),IF(L2507="R","À REPRENDRE",IF(H2507&lt;&gt;"OUI","⚠ ENROBÉ AVANT ACCEPTATION RT","ENROBÉ")))))</f>
        <v/>
      </c>
      <c r="O2507" s="80"/>
      <c r="P2507" s="82" t="str">
        <f aca="false">IF(C2507="","",IFERROR(MATCH(Q2507,'CARNET DE SOUDURE'!$AW$7:$AW$3006,0),""))</f>
        <v/>
      </c>
      <c r="Q2507" s="82" t="str">
        <f aca="false">IF(C2507="","",B2507&amp;"|"&amp;C2507)</f>
        <v/>
      </c>
    </row>
    <row r="2508" customFormat="false" ht="15" hidden="false" customHeight="false" outlineLevel="0" collapsed="false">
      <c r="A2508" s="82" t="str">
        <f aca="false">IF(C2508="","",ROW()-6)</f>
        <v/>
      </c>
      <c r="B2508" s="80"/>
      <c r="C2508" s="113"/>
      <c r="D2508" s="82" t="str">
        <f aca="false">IF(OR(C2508="",P2508=""),"",INDEX('CARNET DE SOUDURE'!$D$7:$D$3006,P2508)&amp;"")</f>
        <v/>
      </c>
      <c r="E2508" s="114" t="str">
        <f aca="false">IF(OR(C2508="",P2508=""),"",IF(INDEX('CARNET DE SOUDURE'!$U$7:$U$3006,P2508)="","",INDEX('CARNET DE SOUDURE'!$U$7:$U$3006,P2508)))</f>
        <v/>
      </c>
      <c r="F2508" s="82" t="str">
        <f aca="false">IF(OR(C2508="",P2508=""),"",INDEX('CARNET DE SOUDURE'!$AP$7:$AP$3006,P2508))</f>
        <v/>
      </c>
      <c r="G2508" s="82" t="str">
        <f aca="false">IF(C2508="","",IF(P2508="","NJ INCONNU",INDEX('CARNET DE SOUDURE'!$AQ$7:$AQ$3006,P2508)))</f>
        <v/>
      </c>
      <c r="H2508" s="82" t="str">
        <f aca="false">IF(C2508="","",IF(G2508="ACCEPTÉ","OUI","NON"))</f>
        <v/>
      </c>
      <c r="I2508" s="83"/>
      <c r="J2508" s="80"/>
      <c r="K2508" s="81"/>
      <c r="L2508" s="81"/>
      <c r="M2508" s="81"/>
      <c r="N2508" s="84" t="str">
        <f aca="false">IF(C2508="","",IF(P2508="","NJ INCONNU",IF(I2508="",IF(H2508="OUI","À ENROBER",IF(G2508="À SOUDER","NON SOUDÉ","EN ATTENTE RT")),IF(L2508="R","À REPRENDRE",IF(H2508&lt;&gt;"OUI","⚠ ENROBÉ AVANT ACCEPTATION RT","ENROBÉ")))))</f>
        <v/>
      </c>
      <c r="O2508" s="80"/>
      <c r="P2508" s="82" t="str">
        <f aca="false">IF(C2508="","",IFERROR(MATCH(Q2508,'CARNET DE SOUDURE'!$AW$7:$AW$3006,0),""))</f>
        <v/>
      </c>
      <c r="Q2508" s="82" t="str">
        <f aca="false">IF(C2508="","",B2508&amp;"|"&amp;C2508)</f>
        <v/>
      </c>
    </row>
    <row r="2509" customFormat="false" ht="15" hidden="false" customHeight="false" outlineLevel="0" collapsed="false">
      <c r="A2509" s="82" t="str">
        <f aca="false">IF(C2509="","",ROW()-6)</f>
        <v/>
      </c>
      <c r="B2509" s="80"/>
      <c r="C2509" s="113"/>
      <c r="D2509" s="82" t="str">
        <f aca="false">IF(OR(C2509="",P2509=""),"",INDEX('CARNET DE SOUDURE'!$D$7:$D$3006,P2509)&amp;"")</f>
        <v/>
      </c>
      <c r="E2509" s="114" t="str">
        <f aca="false">IF(OR(C2509="",P2509=""),"",IF(INDEX('CARNET DE SOUDURE'!$U$7:$U$3006,P2509)="","",INDEX('CARNET DE SOUDURE'!$U$7:$U$3006,P2509)))</f>
        <v/>
      </c>
      <c r="F2509" s="82" t="str">
        <f aca="false">IF(OR(C2509="",P2509=""),"",INDEX('CARNET DE SOUDURE'!$AP$7:$AP$3006,P2509))</f>
        <v/>
      </c>
      <c r="G2509" s="82" t="str">
        <f aca="false">IF(C2509="","",IF(P2509="","NJ INCONNU",INDEX('CARNET DE SOUDURE'!$AQ$7:$AQ$3006,P2509)))</f>
        <v/>
      </c>
      <c r="H2509" s="82" t="str">
        <f aca="false">IF(C2509="","",IF(G2509="ACCEPTÉ","OUI","NON"))</f>
        <v/>
      </c>
      <c r="I2509" s="83"/>
      <c r="J2509" s="80"/>
      <c r="K2509" s="81"/>
      <c r="L2509" s="81"/>
      <c r="M2509" s="81"/>
      <c r="N2509" s="84" t="str">
        <f aca="false">IF(C2509="","",IF(P2509="","NJ INCONNU",IF(I2509="",IF(H2509="OUI","À ENROBER",IF(G2509="À SOUDER","NON SOUDÉ","EN ATTENTE RT")),IF(L2509="R","À REPRENDRE",IF(H2509&lt;&gt;"OUI","⚠ ENROBÉ AVANT ACCEPTATION RT","ENROBÉ")))))</f>
        <v/>
      </c>
      <c r="O2509" s="80"/>
      <c r="P2509" s="82" t="str">
        <f aca="false">IF(C2509="","",IFERROR(MATCH(Q2509,'CARNET DE SOUDURE'!$AW$7:$AW$3006,0),""))</f>
        <v/>
      </c>
      <c r="Q2509" s="82" t="str">
        <f aca="false">IF(C2509="","",B2509&amp;"|"&amp;C2509)</f>
        <v/>
      </c>
    </row>
    <row r="2510" customFormat="false" ht="15" hidden="false" customHeight="false" outlineLevel="0" collapsed="false">
      <c r="A2510" s="82" t="str">
        <f aca="false">IF(C2510="","",ROW()-6)</f>
        <v/>
      </c>
      <c r="B2510" s="80"/>
      <c r="C2510" s="113"/>
      <c r="D2510" s="82" t="str">
        <f aca="false">IF(OR(C2510="",P2510=""),"",INDEX('CARNET DE SOUDURE'!$D$7:$D$3006,P2510)&amp;"")</f>
        <v/>
      </c>
      <c r="E2510" s="114" t="str">
        <f aca="false">IF(OR(C2510="",P2510=""),"",IF(INDEX('CARNET DE SOUDURE'!$U$7:$U$3006,P2510)="","",INDEX('CARNET DE SOUDURE'!$U$7:$U$3006,P2510)))</f>
        <v/>
      </c>
      <c r="F2510" s="82" t="str">
        <f aca="false">IF(OR(C2510="",P2510=""),"",INDEX('CARNET DE SOUDURE'!$AP$7:$AP$3006,P2510))</f>
        <v/>
      </c>
      <c r="G2510" s="82" t="str">
        <f aca="false">IF(C2510="","",IF(P2510="","NJ INCONNU",INDEX('CARNET DE SOUDURE'!$AQ$7:$AQ$3006,P2510)))</f>
        <v/>
      </c>
      <c r="H2510" s="82" t="str">
        <f aca="false">IF(C2510="","",IF(G2510="ACCEPTÉ","OUI","NON"))</f>
        <v/>
      </c>
      <c r="I2510" s="83"/>
      <c r="J2510" s="80"/>
      <c r="K2510" s="81"/>
      <c r="L2510" s="81"/>
      <c r="M2510" s="81"/>
      <c r="N2510" s="84" t="str">
        <f aca="false">IF(C2510="","",IF(P2510="","NJ INCONNU",IF(I2510="",IF(H2510="OUI","À ENROBER",IF(G2510="À SOUDER","NON SOUDÉ","EN ATTENTE RT")),IF(L2510="R","À REPRENDRE",IF(H2510&lt;&gt;"OUI","⚠ ENROBÉ AVANT ACCEPTATION RT","ENROBÉ")))))</f>
        <v/>
      </c>
      <c r="O2510" s="80"/>
      <c r="P2510" s="82" t="str">
        <f aca="false">IF(C2510="","",IFERROR(MATCH(Q2510,'CARNET DE SOUDURE'!$AW$7:$AW$3006,0),""))</f>
        <v/>
      </c>
      <c r="Q2510" s="82" t="str">
        <f aca="false">IF(C2510="","",B2510&amp;"|"&amp;C2510)</f>
        <v/>
      </c>
    </row>
    <row r="2511" customFormat="false" ht="15" hidden="false" customHeight="false" outlineLevel="0" collapsed="false">
      <c r="A2511" s="82" t="str">
        <f aca="false">IF(C2511="","",ROW()-6)</f>
        <v/>
      </c>
      <c r="B2511" s="80"/>
      <c r="C2511" s="113"/>
      <c r="D2511" s="82" t="str">
        <f aca="false">IF(OR(C2511="",P2511=""),"",INDEX('CARNET DE SOUDURE'!$D$7:$D$3006,P2511)&amp;"")</f>
        <v/>
      </c>
      <c r="E2511" s="114" t="str">
        <f aca="false">IF(OR(C2511="",P2511=""),"",IF(INDEX('CARNET DE SOUDURE'!$U$7:$U$3006,P2511)="","",INDEX('CARNET DE SOUDURE'!$U$7:$U$3006,P2511)))</f>
        <v/>
      </c>
      <c r="F2511" s="82" t="str">
        <f aca="false">IF(OR(C2511="",P2511=""),"",INDEX('CARNET DE SOUDURE'!$AP$7:$AP$3006,P2511))</f>
        <v/>
      </c>
      <c r="G2511" s="82" t="str">
        <f aca="false">IF(C2511="","",IF(P2511="","NJ INCONNU",INDEX('CARNET DE SOUDURE'!$AQ$7:$AQ$3006,P2511)))</f>
        <v/>
      </c>
      <c r="H2511" s="82" t="str">
        <f aca="false">IF(C2511="","",IF(G2511="ACCEPTÉ","OUI","NON"))</f>
        <v/>
      </c>
      <c r="I2511" s="83"/>
      <c r="J2511" s="80"/>
      <c r="K2511" s="81"/>
      <c r="L2511" s="81"/>
      <c r="M2511" s="81"/>
      <c r="N2511" s="84" t="str">
        <f aca="false">IF(C2511="","",IF(P2511="","NJ INCONNU",IF(I2511="",IF(H2511="OUI","À ENROBER",IF(G2511="À SOUDER","NON SOUDÉ","EN ATTENTE RT")),IF(L2511="R","À REPRENDRE",IF(H2511&lt;&gt;"OUI","⚠ ENROBÉ AVANT ACCEPTATION RT","ENROBÉ")))))</f>
        <v/>
      </c>
      <c r="O2511" s="80"/>
      <c r="P2511" s="82" t="str">
        <f aca="false">IF(C2511="","",IFERROR(MATCH(Q2511,'CARNET DE SOUDURE'!$AW$7:$AW$3006,0),""))</f>
        <v/>
      </c>
      <c r="Q2511" s="82" t="str">
        <f aca="false">IF(C2511="","",B2511&amp;"|"&amp;C2511)</f>
        <v/>
      </c>
    </row>
    <row r="2512" customFormat="false" ht="15" hidden="false" customHeight="false" outlineLevel="0" collapsed="false">
      <c r="A2512" s="82" t="str">
        <f aca="false">IF(C2512="","",ROW()-6)</f>
        <v/>
      </c>
      <c r="B2512" s="80"/>
      <c r="C2512" s="113"/>
      <c r="D2512" s="82" t="str">
        <f aca="false">IF(OR(C2512="",P2512=""),"",INDEX('CARNET DE SOUDURE'!$D$7:$D$3006,P2512)&amp;"")</f>
        <v/>
      </c>
      <c r="E2512" s="114" t="str">
        <f aca="false">IF(OR(C2512="",P2512=""),"",IF(INDEX('CARNET DE SOUDURE'!$U$7:$U$3006,P2512)="","",INDEX('CARNET DE SOUDURE'!$U$7:$U$3006,P2512)))</f>
        <v/>
      </c>
      <c r="F2512" s="82" t="str">
        <f aca="false">IF(OR(C2512="",P2512=""),"",INDEX('CARNET DE SOUDURE'!$AP$7:$AP$3006,P2512))</f>
        <v/>
      </c>
      <c r="G2512" s="82" t="str">
        <f aca="false">IF(C2512="","",IF(P2512="","NJ INCONNU",INDEX('CARNET DE SOUDURE'!$AQ$7:$AQ$3006,P2512)))</f>
        <v/>
      </c>
      <c r="H2512" s="82" t="str">
        <f aca="false">IF(C2512="","",IF(G2512="ACCEPTÉ","OUI","NON"))</f>
        <v/>
      </c>
      <c r="I2512" s="83"/>
      <c r="J2512" s="80"/>
      <c r="K2512" s="81"/>
      <c r="L2512" s="81"/>
      <c r="M2512" s="81"/>
      <c r="N2512" s="84" t="str">
        <f aca="false">IF(C2512="","",IF(P2512="","NJ INCONNU",IF(I2512="",IF(H2512="OUI","À ENROBER",IF(G2512="À SOUDER","NON SOUDÉ","EN ATTENTE RT")),IF(L2512="R","À REPRENDRE",IF(H2512&lt;&gt;"OUI","⚠ ENROBÉ AVANT ACCEPTATION RT","ENROBÉ")))))</f>
        <v/>
      </c>
      <c r="O2512" s="80"/>
      <c r="P2512" s="82" t="str">
        <f aca="false">IF(C2512="","",IFERROR(MATCH(Q2512,'CARNET DE SOUDURE'!$AW$7:$AW$3006,0),""))</f>
        <v/>
      </c>
      <c r="Q2512" s="82" t="str">
        <f aca="false">IF(C2512="","",B2512&amp;"|"&amp;C2512)</f>
        <v/>
      </c>
    </row>
    <row r="2513" customFormat="false" ht="15" hidden="false" customHeight="false" outlineLevel="0" collapsed="false">
      <c r="A2513" s="82" t="str">
        <f aca="false">IF(C2513="","",ROW()-6)</f>
        <v/>
      </c>
      <c r="B2513" s="80"/>
      <c r="C2513" s="113"/>
      <c r="D2513" s="82" t="str">
        <f aca="false">IF(OR(C2513="",P2513=""),"",INDEX('CARNET DE SOUDURE'!$D$7:$D$3006,P2513)&amp;"")</f>
        <v/>
      </c>
      <c r="E2513" s="114" t="str">
        <f aca="false">IF(OR(C2513="",P2513=""),"",IF(INDEX('CARNET DE SOUDURE'!$U$7:$U$3006,P2513)="","",INDEX('CARNET DE SOUDURE'!$U$7:$U$3006,P2513)))</f>
        <v/>
      </c>
      <c r="F2513" s="82" t="str">
        <f aca="false">IF(OR(C2513="",P2513=""),"",INDEX('CARNET DE SOUDURE'!$AP$7:$AP$3006,P2513))</f>
        <v/>
      </c>
      <c r="G2513" s="82" t="str">
        <f aca="false">IF(C2513="","",IF(P2513="","NJ INCONNU",INDEX('CARNET DE SOUDURE'!$AQ$7:$AQ$3006,P2513)))</f>
        <v/>
      </c>
      <c r="H2513" s="82" t="str">
        <f aca="false">IF(C2513="","",IF(G2513="ACCEPTÉ","OUI","NON"))</f>
        <v/>
      </c>
      <c r="I2513" s="83"/>
      <c r="J2513" s="80"/>
      <c r="K2513" s="81"/>
      <c r="L2513" s="81"/>
      <c r="M2513" s="81"/>
      <c r="N2513" s="84" t="str">
        <f aca="false">IF(C2513="","",IF(P2513="","NJ INCONNU",IF(I2513="",IF(H2513="OUI","À ENROBER",IF(G2513="À SOUDER","NON SOUDÉ","EN ATTENTE RT")),IF(L2513="R","À REPRENDRE",IF(H2513&lt;&gt;"OUI","⚠ ENROBÉ AVANT ACCEPTATION RT","ENROBÉ")))))</f>
        <v/>
      </c>
      <c r="O2513" s="80"/>
      <c r="P2513" s="82" t="str">
        <f aca="false">IF(C2513="","",IFERROR(MATCH(Q2513,'CARNET DE SOUDURE'!$AW$7:$AW$3006,0),""))</f>
        <v/>
      </c>
      <c r="Q2513" s="82" t="str">
        <f aca="false">IF(C2513="","",B2513&amp;"|"&amp;C2513)</f>
        <v/>
      </c>
    </row>
    <row r="2514" customFormat="false" ht="15" hidden="false" customHeight="false" outlineLevel="0" collapsed="false">
      <c r="A2514" s="82" t="str">
        <f aca="false">IF(C2514="","",ROW()-6)</f>
        <v/>
      </c>
      <c r="B2514" s="80"/>
      <c r="C2514" s="113"/>
      <c r="D2514" s="82" t="str">
        <f aca="false">IF(OR(C2514="",P2514=""),"",INDEX('CARNET DE SOUDURE'!$D$7:$D$3006,P2514)&amp;"")</f>
        <v/>
      </c>
      <c r="E2514" s="114" t="str">
        <f aca="false">IF(OR(C2514="",P2514=""),"",IF(INDEX('CARNET DE SOUDURE'!$U$7:$U$3006,P2514)="","",INDEX('CARNET DE SOUDURE'!$U$7:$U$3006,P2514)))</f>
        <v/>
      </c>
      <c r="F2514" s="82" t="str">
        <f aca="false">IF(OR(C2514="",P2514=""),"",INDEX('CARNET DE SOUDURE'!$AP$7:$AP$3006,P2514))</f>
        <v/>
      </c>
      <c r="G2514" s="82" t="str">
        <f aca="false">IF(C2514="","",IF(P2514="","NJ INCONNU",INDEX('CARNET DE SOUDURE'!$AQ$7:$AQ$3006,P2514)))</f>
        <v/>
      </c>
      <c r="H2514" s="82" t="str">
        <f aca="false">IF(C2514="","",IF(G2514="ACCEPTÉ","OUI","NON"))</f>
        <v/>
      </c>
      <c r="I2514" s="83"/>
      <c r="J2514" s="80"/>
      <c r="K2514" s="81"/>
      <c r="L2514" s="81"/>
      <c r="M2514" s="81"/>
      <c r="N2514" s="84" t="str">
        <f aca="false">IF(C2514="","",IF(P2514="","NJ INCONNU",IF(I2514="",IF(H2514="OUI","À ENROBER",IF(G2514="À SOUDER","NON SOUDÉ","EN ATTENTE RT")),IF(L2514="R","À REPRENDRE",IF(H2514&lt;&gt;"OUI","⚠ ENROBÉ AVANT ACCEPTATION RT","ENROBÉ")))))</f>
        <v/>
      </c>
      <c r="O2514" s="80"/>
      <c r="P2514" s="82" t="str">
        <f aca="false">IF(C2514="","",IFERROR(MATCH(Q2514,'CARNET DE SOUDURE'!$AW$7:$AW$3006,0),""))</f>
        <v/>
      </c>
      <c r="Q2514" s="82" t="str">
        <f aca="false">IF(C2514="","",B2514&amp;"|"&amp;C2514)</f>
        <v/>
      </c>
    </row>
    <row r="2515" customFormat="false" ht="15" hidden="false" customHeight="false" outlineLevel="0" collapsed="false">
      <c r="A2515" s="82" t="str">
        <f aca="false">IF(C2515="","",ROW()-6)</f>
        <v/>
      </c>
      <c r="B2515" s="80"/>
      <c r="C2515" s="113"/>
      <c r="D2515" s="82" t="str">
        <f aca="false">IF(OR(C2515="",P2515=""),"",INDEX('CARNET DE SOUDURE'!$D$7:$D$3006,P2515)&amp;"")</f>
        <v/>
      </c>
      <c r="E2515" s="114" t="str">
        <f aca="false">IF(OR(C2515="",P2515=""),"",IF(INDEX('CARNET DE SOUDURE'!$U$7:$U$3006,P2515)="","",INDEX('CARNET DE SOUDURE'!$U$7:$U$3006,P2515)))</f>
        <v/>
      </c>
      <c r="F2515" s="82" t="str">
        <f aca="false">IF(OR(C2515="",P2515=""),"",INDEX('CARNET DE SOUDURE'!$AP$7:$AP$3006,P2515))</f>
        <v/>
      </c>
      <c r="G2515" s="82" t="str">
        <f aca="false">IF(C2515="","",IF(P2515="","NJ INCONNU",INDEX('CARNET DE SOUDURE'!$AQ$7:$AQ$3006,P2515)))</f>
        <v/>
      </c>
      <c r="H2515" s="82" t="str">
        <f aca="false">IF(C2515="","",IF(G2515="ACCEPTÉ","OUI","NON"))</f>
        <v/>
      </c>
      <c r="I2515" s="83"/>
      <c r="J2515" s="80"/>
      <c r="K2515" s="81"/>
      <c r="L2515" s="81"/>
      <c r="M2515" s="81"/>
      <c r="N2515" s="84" t="str">
        <f aca="false">IF(C2515="","",IF(P2515="","NJ INCONNU",IF(I2515="",IF(H2515="OUI","À ENROBER",IF(G2515="À SOUDER","NON SOUDÉ","EN ATTENTE RT")),IF(L2515="R","À REPRENDRE",IF(H2515&lt;&gt;"OUI","⚠ ENROBÉ AVANT ACCEPTATION RT","ENROBÉ")))))</f>
        <v/>
      </c>
      <c r="O2515" s="80"/>
      <c r="P2515" s="82" t="str">
        <f aca="false">IF(C2515="","",IFERROR(MATCH(Q2515,'CARNET DE SOUDURE'!$AW$7:$AW$3006,0),""))</f>
        <v/>
      </c>
      <c r="Q2515" s="82" t="str">
        <f aca="false">IF(C2515="","",B2515&amp;"|"&amp;C2515)</f>
        <v/>
      </c>
    </row>
    <row r="2516" customFormat="false" ht="15" hidden="false" customHeight="false" outlineLevel="0" collapsed="false">
      <c r="A2516" s="82" t="str">
        <f aca="false">IF(C2516="","",ROW()-6)</f>
        <v/>
      </c>
      <c r="B2516" s="80"/>
      <c r="C2516" s="113"/>
      <c r="D2516" s="82" t="str">
        <f aca="false">IF(OR(C2516="",P2516=""),"",INDEX('CARNET DE SOUDURE'!$D$7:$D$3006,P2516)&amp;"")</f>
        <v/>
      </c>
      <c r="E2516" s="114" t="str">
        <f aca="false">IF(OR(C2516="",P2516=""),"",IF(INDEX('CARNET DE SOUDURE'!$U$7:$U$3006,P2516)="","",INDEX('CARNET DE SOUDURE'!$U$7:$U$3006,P2516)))</f>
        <v/>
      </c>
      <c r="F2516" s="82" t="str">
        <f aca="false">IF(OR(C2516="",P2516=""),"",INDEX('CARNET DE SOUDURE'!$AP$7:$AP$3006,P2516))</f>
        <v/>
      </c>
      <c r="G2516" s="82" t="str">
        <f aca="false">IF(C2516="","",IF(P2516="","NJ INCONNU",INDEX('CARNET DE SOUDURE'!$AQ$7:$AQ$3006,P2516)))</f>
        <v/>
      </c>
      <c r="H2516" s="82" t="str">
        <f aca="false">IF(C2516="","",IF(G2516="ACCEPTÉ","OUI","NON"))</f>
        <v/>
      </c>
      <c r="I2516" s="83"/>
      <c r="J2516" s="80"/>
      <c r="K2516" s="81"/>
      <c r="L2516" s="81"/>
      <c r="M2516" s="81"/>
      <c r="N2516" s="84" t="str">
        <f aca="false">IF(C2516="","",IF(P2516="","NJ INCONNU",IF(I2516="",IF(H2516="OUI","À ENROBER",IF(G2516="À SOUDER","NON SOUDÉ","EN ATTENTE RT")),IF(L2516="R","À REPRENDRE",IF(H2516&lt;&gt;"OUI","⚠ ENROBÉ AVANT ACCEPTATION RT","ENROBÉ")))))</f>
        <v/>
      </c>
      <c r="O2516" s="80"/>
      <c r="P2516" s="82" t="str">
        <f aca="false">IF(C2516="","",IFERROR(MATCH(Q2516,'CARNET DE SOUDURE'!$AW$7:$AW$3006,0),""))</f>
        <v/>
      </c>
      <c r="Q2516" s="82" t="str">
        <f aca="false">IF(C2516="","",B2516&amp;"|"&amp;C2516)</f>
        <v/>
      </c>
    </row>
    <row r="2517" customFormat="false" ht="15" hidden="false" customHeight="false" outlineLevel="0" collapsed="false">
      <c r="A2517" s="82" t="str">
        <f aca="false">IF(C2517="","",ROW()-6)</f>
        <v/>
      </c>
      <c r="B2517" s="80"/>
      <c r="C2517" s="113"/>
      <c r="D2517" s="82" t="str">
        <f aca="false">IF(OR(C2517="",P2517=""),"",INDEX('CARNET DE SOUDURE'!$D$7:$D$3006,P2517)&amp;"")</f>
        <v/>
      </c>
      <c r="E2517" s="114" t="str">
        <f aca="false">IF(OR(C2517="",P2517=""),"",IF(INDEX('CARNET DE SOUDURE'!$U$7:$U$3006,P2517)="","",INDEX('CARNET DE SOUDURE'!$U$7:$U$3006,P2517)))</f>
        <v/>
      </c>
      <c r="F2517" s="82" t="str">
        <f aca="false">IF(OR(C2517="",P2517=""),"",INDEX('CARNET DE SOUDURE'!$AP$7:$AP$3006,P2517))</f>
        <v/>
      </c>
      <c r="G2517" s="82" t="str">
        <f aca="false">IF(C2517="","",IF(P2517="","NJ INCONNU",INDEX('CARNET DE SOUDURE'!$AQ$7:$AQ$3006,P2517)))</f>
        <v/>
      </c>
      <c r="H2517" s="82" t="str">
        <f aca="false">IF(C2517="","",IF(G2517="ACCEPTÉ","OUI","NON"))</f>
        <v/>
      </c>
      <c r="I2517" s="83"/>
      <c r="J2517" s="80"/>
      <c r="K2517" s="81"/>
      <c r="L2517" s="81"/>
      <c r="M2517" s="81"/>
      <c r="N2517" s="84" t="str">
        <f aca="false">IF(C2517="","",IF(P2517="","NJ INCONNU",IF(I2517="",IF(H2517="OUI","À ENROBER",IF(G2517="À SOUDER","NON SOUDÉ","EN ATTENTE RT")),IF(L2517="R","À REPRENDRE",IF(H2517&lt;&gt;"OUI","⚠ ENROBÉ AVANT ACCEPTATION RT","ENROBÉ")))))</f>
        <v/>
      </c>
      <c r="O2517" s="80"/>
      <c r="P2517" s="82" t="str">
        <f aca="false">IF(C2517="","",IFERROR(MATCH(Q2517,'CARNET DE SOUDURE'!$AW$7:$AW$3006,0),""))</f>
        <v/>
      </c>
      <c r="Q2517" s="82" t="str">
        <f aca="false">IF(C2517="","",B2517&amp;"|"&amp;C2517)</f>
        <v/>
      </c>
    </row>
    <row r="2518" customFormat="false" ht="15" hidden="false" customHeight="false" outlineLevel="0" collapsed="false">
      <c r="A2518" s="82" t="str">
        <f aca="false">IF(C2518="","",ROW()-6)</f>
        <v/>
      </c>
      <c r="B2518" s="80"/>
      <c r="C2518" s="113"/>
      <c r="D2518" s="82" t="str">
        <f aca="false">IF(OR(C2518="",P2518=""),"",INDEX('CARNET DE SOUDURE'!$D$7:$D$3006,P2518)&amp;"")</f>
        <v/>
      </c>
      <c r="E2518" s="114" t="str">
        <f aca="false">IF(OR(C2518="",P2518=""),"",IF(INDEX('CARNET DE SOUDURE'!$U$7:$U$3006,P2518)="","",INDEX('CARNET DE SOUDURE'!$U$7:$U$3006,P2518)))</f>
        <v/>
      </c>
      <c r="F2518" s="82" t="str">
        <f aca="false">IF(OR(C2518="",P2518=""),"",INDEX('CARNET DE SOUDURE'!$AP$7:$AP$3006,P2518))</f>
        <v/>
      </c>
      <c r="G2518" s="82" t="str">
        <f aca="false">IF(C2518="","",IF(P2518="","NJ INCONNU",INDEX('CARNET DE SOUDURE'!$AQ$7:$AQ$3006,P2518)))</f>
        <v/>
      </c>
      <c r="H2518" s="82" t="str">
        <f aca="false">IF(C2518="","",IF(G2518="ACCEPTÉ","OUI","NON"))</f>
        <v/>
      </c>
      <c r="I2518" s="83"/>
      <c r="J2518" s="80"/>
      <c r="K2518" s="81"/>
      <c r="L2518" s="81"/>
      <c r="M2518" s="81"/>
      <c r="N2518" s="84" t="str">
        <f aca="false">IF(C2518="","",IF(P2518="","NJ INCONNU",IF(I2518="",IF(H2518="OUI","À ENROBER",IF(G2518="À SOUDER","NON SOUDÉ","EN ATTENTE RT")),IF(L2518="R","À REPRENDRE",IF(H2518&lt;&gt;"OUI","⚠ ENROBÉ AVANT ACCEPTATION RT","ENROBÉ")))))</f>
        <v/>
      </c>
      <c r="O2518" s="80"/>
      <c r="P2518" s="82" t="str">
        <f aca="false">IF(C2518="","",IFERROR(MATCH(Q2518,'CARNET DE SOUDURE'!$AW$7:$AW$3006,0),""))</f>
        <v/>
      </c>
      <c r="Q2518" s="82" t="str">
        <f aca="false">IF(C2518="","",B2518&amp;"|"&amp;C2518)</f>
        <v/>
      </c>
    </row>
    <row r="2519" customFormat="false" ht="15" hidden="false" customHeight="false" outlineLevel="0" collapsed="false">
      <c r="A2519" s="82" t="str">
        <f aca="false">IF(C2519="","",ROW()-6)</f>
        <v/>
      </c>
      <c r="B2519" s="80"/>
      <c r="C2519" s="113"/>
      <c r="D2519" s="82" t="str">
        <f aca="false">IF(OR(C2519="",P2519=""),"",INDEX('CARNET DE SOUDURE'!$D$7:$D$3006,P2519)&amp;"")</f>
        <v/>
      </c>
      <c r="E2519" s="114" t="str">
        <f aca="false">IF(OR(C2519="",P2519=""),"",IF(INDEX('CARNET DE SOUDURE'!$U$7:$U$3006,P2519)="","",INDEX('CARNET DE SOUDURE'!$U$7:$U$3006,P2519)))</f>
        <v/>
      </c>
      <c r="F2519" s="82" t="str">
        <f aca="false">IF(OR(C2519="",P2519=""),"",INDEX('CARNET DE SOUDURE'!$AP$7:$AP$3006,P2519))</f>
        <v/>
      </c>
      <c r="G2519" s="82" t="str">
        <f aca="false">IF(C2519="","",IF(P2519="","NJ INCONNU",INDEX('CARNET DE SOUDURE'!$AQ$7:$AQ$3006,P2519)))</f>
        <v/>
      </c>
      <c r="H2519" s="82" t="str">
        <f aca="false">IF(C2519="","",IF(G2519="ACCEPTÉ","OUI","NON"))</f>
        <v/>
      </c>
      <c r="I2519" s="83"/>
      <c r="J2519" s="80"/>
      <c r="K2519" s="81"/>
      <c r="L2519" s="81"/>
      <c r="M2519" s="81"/>
      <c r="N2519" s="84" t="str">
        <f aca="false">IF(C2519="","",IF(P2519="","NJ INCONNU",IF(I2519="",IF(H2519="OUI","À ENROBER",IF(G2519="À SOUDER","NON SOUDÉ","EN ATTENTE RT")),IF(L2519="R","À REPRENDRE",IF(H2519&lt;&gt;"OUI","⚠ ENROBÉ AVANT ACCEPTATION RT","ENROBÉ")))))</f>
        <v/>
      </c>
      <c r="O2519" s="80"/>
      <c r="P2519" s="82" t="str">
        <f aca="false">IF(C2519="","",IFERROR(MATCH(Q2519,'CARNET DE SOUDURE'!$AW$7:$AW$3006,0),""))</f>
        <v/>
      </c>
      <c r="Q2519" s="82" t="str">
        <f aca="false">IF(C2519="","",B2519&amp;"|"&amp;C2519)</f>
        <v/>
      </c>
    </row>
    <row r="2520" customFormat="false" ht="15" hidden="false" customHeight="false" outlineLevel="0" collapsed="false">
      <c r="A2520" s="82" t="str">
        <f aca="false">IF(C2520="","",ROW()-6)</f>
        <v/>
      </c>
      <c r="B2520" s="80"/>
      <c r="C2520" s="113"/>
      <c r="D2520" s="82" t="str">
        <f aca="false">IF(OR(C2520="",P2520=""),"",INDEX('CARNET DE SOUDURE'!$D$7:$D$3006,P2520)&amp;"")</f>
        <v/>
      </c>
      <c r="E2520" s="114" t="str">
        <f aca="false">IF(OR(C2520="",P2520=""),"",IF(INDEX('CARNET DE SOUDURE'!$U$7:$U$3006,P2520)="","",INDEX('CARNET DE SOUDURE'!$U$7:$U$3006,P2520)))</f>
        <v/>
      </c>
      <c r="F2520" s="82" t="str">
        <f aca="false">IF(OR(C2520="",P2520=""),"",INDEX('CARNET DE SOUDURE'!$AP$7:$AP$3006,P2520))</f>
        <v/>
      </c>
      <c r="G2520" s="82" t="str">
        <f aca="false">IF(C2520="","",IF(P2520="","NJ INCONNU",INDEX('CARNET DE SOUDURE'!$AQ$7:$AQ$3006,P2520)))</f>
        <v/>
      </c>
      <c r="H2520" s="82" t="str">
        <f aca="false">IF(C2520="","",IF(G2520="ACCEPTÉ","OUI","NON"))</f>
        <v/>
      </c>
      <c r="I2520" s="83"/>
      <c r="J2520" s="80"/>
      <c r="K2520" s="81"/>
      <c r="L2520" s="81"/>
      <c r="M2520" s="81"/>
      <c r="N2520" s="84" t="str">
        <f aca="false">IF(C2520="","",IF(P2520="","NJ INCONNU",IF(I2520="",IF(H2520="OUI","À ENROBER",IF(G2520="À SOUDER","NON SOUDÉ","EN ATTENTE RT")),IF(L2520="R","À REPRENDRE",IF(H2520&lt;&gt;"OUI","⚠ ENROBÉ AVANT ACCEPTATION RT","ENROBÉ")))))</f>
        <v/>
      </c>
      <c r="O2520" s="80"/>
      <c r="P2520" s="82" t="str">
        <f aca="false">IF(C2520="","",IFERROR(MATCH(Q2520,'CARNET DE SOUDURE'!$AW$7:$AW$3006,0),""))</f>
        <v/>
      </c>
      <c r="Q2520" s="82" t="str">
        <f aca="false">IF(C2520="","",B2520&amp;"|"&amp;C2520)</f>
        <v/>
      </c>
    </row>
    <row r="2521" customFormat="false" ht="15" hidden="false" customHeight="false" outlineLevel="0" collapsed="false">
      <c r="A2521" s="82" t="str">
        <f aca="false">IF(C2521="","",ROW()-6)</f>
        <v/>
      </c>
      <c r="B2521" s="80"/>
      <c r="C2521" s="113"/>
      <c r="D2521" s="82" t="str">
        <f aca="false">IF(OR(C2521="",P2521=""),"",INDEX('CARNET DE SOUDURE'!$D$7:$D$3006,P2521)&amp;"")</f>
        <v/>
      </c>
      <c r="E2521" s="114" t="str">
        <f aca="false">IF(OR(C2521="",P2521=""),"",IF(INDEX('CARNET DE SOUDURE'!$U$7:$U$3006,P2521)="","",INDEX('CARNET DE SOUDURE'!$U$7:$U$3006,P2521)))</f>
        <v/>
      </c>
      <c r="F2521" s="82" t="str">
        <f aca="false">IF(OR(C2521="",P2521=""),"",INDEX('CARNET DE SOUDURE'!$AP$7:$AP$3006,P2521))</f>
        <v/>
      </c>
      <c r="G2521" s="82" t="str">
        <f aca="false">IF(C2521="","",IF(P2521="","NJ INCONNU",INDEX('CARNET DE SOUDURE'!$AQ$7:$AQ$3006,P2521)))</f>
        <v/>
      </c>
      <c r="H2521" s="82" t="str">
        <f aca="false">IF(C2521="","",IF(G2521="ACCEPTÉ","OUI","NON"))</f>
        <v/>
      </c>
      <c r="I2521" s="83"/>
      <c r="J2521" s="80"/>
      <c r="K2521" s="81"/>
      <c r="L2521" s="81"/>
      <c r="M2521" s="81"/>
      <c r="N2521" s="84" t="str">
        <f aca="false">IF(C2521="","",IF(P2521="","NJ INCONNU",IF(I2521="",IF(H2521="OUI","À ENROBER",IF(G2521="À SOUDER","NON SOUDÉ","EN ATTENTE RT")),IF(L2521="R","À REPRENDRE",IF(H2521&lt;&gt;"OUI","⚠ ENROBÉ AVANT ACCEPTATION RT","ENROBÉ")))))</f>
        <v/>
      </c>
      <c r="O2521" s="80"/>
      <c r="P2521" s="82" t="str">
        <f aca="false">IF(C2521="","",IFERROR(MATCH(Q2521,'CARNET DE SOUDURE'!$AW$7:$AW$3006,0),""))</f>
        <v/>
      </c>
      <c r="Q2521" s="82" t="str">
        <f aca="false">IF(C2521="","",B2521&amp;"|"&amp;C2521)</f>
        <v/>
      </c>
    </row>
    <row r="2522" customFormat="false" ht="15" hidden="false" customHeight="false" outlineLevel="0" collapsed="false">
      <c r="A2522" s="82" t="str">
        <f aca="false">IF(C2522="","",ROW()-6)</f>
        <v/>
      </c>
      <c r="B2522" s="80"/>
      <c r="C2522" s="113"/>
      <c r="D2522" s="82" t="str">
        <f aca="false">IF(OR(C2522="",P2522=""),"",INDEX('CARNET DE SOUDURE'!$D$7:$D$3006,P2522)&amp;"")</f>
        <v/>
      </c>
      <c r="E2522" s="114" t="str">
        <f aca="false">IF(OR(C2522="",P2522=""),"",IF(INDEX('CARNET DE SOUDURE'!$U$7:$U$3006,P2522)="","",INDEX('CARNET DE SOUDURE'!$U$7:$U$3006,P2522)))</f>
        <v/>
      </c>
      <c r="F2522" s="82" t="str">
        <f aca="false">IF(OR(C2522="",P2522=""),"",INDEX('CARNET DE SOUDURE'!$AP$7:$AP$3006,P2522))</f>
        <v/>
      </c>
      <c r="G2522" s="82" t="str">
        <f aca="false">IF(C2522="","",IF(P2522="","NJ INCONNU",INDEX('CARNET DE SOUDURE'!$AQ$7:$AQ$3006,P2522)))</f>
        <v/>
      </c>
      <c r="H2522" s="82" t="str">
        <f aca="false">IF(C2522="","",IF(G2522="ACCEPTÉ","OUI","NON"))</f>
        <v/>
      </c>
      <c r="I2522" s="83"/>
      <c r="J2522" s="80"/>
      <c r="K2522" s="81"/>
      <c r="L2522" s="81"/>
      <c r="M2522" s="81"/>
      <c r="N2522" s="84" t="str">
        <f aca="false">IF(C2522="","",IF(P2522="","NJ INCONNU",IF(I2522="",IF(H2522="OUI","À ENROBER",IF(G2522="À SOUDER","NON SOUDÉ","EN ATTENTE RT")),IF(L2522="R","À REPRENDRE",IF(H2522&lt;&gt;"OUI","⚠ ENROBÉ AVANT ACCEPTATION RT","ENROBÉ")))))</f>
        <v/>
      </c>
      <c r="O2522" s="80"/>
      <c r="P2522" s="82" t="str">
        <f aca="false">IF(C2522="","",IFERROR(MATCH(Q2522,'CARNET DE SOUDURE'!$AW$7:$AW$3006,0),""))</f>
        <v/>
      </c>
      <c r="Q2522" s="82" t="str">
        <f aca="false">IF(C2522="","",B2522&amp;"|"&amp;C2522)</f>
        <v/>
      </c>
    </row>
    <row r="2523" customFormat="false" ht="15" hidden="false" customHeight="false" outlineLevel="0" collapsed="false">
      <c r="A2523" s="82" t="str">
        <f aca="false">IF(C2523="","",ROW()-6)</f>
        <v/>
      </c>
      <c r="B2523" s="80"/>
      <c r="C2523" s="113"/>
      <c r="D2523" s="82" t="str">
        <f aca="false">IF(OR(C2523="",P2523=""),"",INDEX('CARNET DE SOUDURE'!$D$7:$D$3006,P2523)&amp;"")</f>
        <v/>
      </c>
      <c r="E2523" s="114" t="str">
        <f aca="false">IF(OR(C2523="",P2523=""),"",IF(INDEX('CARNET DE SOUDURE'!$U$7:$U$3006,P2523)="","",INDEX('CARNET DE SOUDURE'!$U$7:$U$3006,P2523)))</f>
        <v/>
      </c>
      <c r="F2523" s="82" t="str">
        <f aca="false">IF(OR(C2523="",P2523=""),"",INDEX('CARNET DE SOUDURE'!$AP$7:$AP$3006,P2523))</f>
        <v/>
      </c>
      <c r="G2523" s="82" t="str">
        <f aca="false">IF(C2523="","",IF(P2523="","NJ INCONNU",INDEX('CARNET DE SOUDURE'!$AQ$7:$AQ$3006,P2523)))</f>
        <v/>
      </c>
      <c r="H2523" s="82" t="str">
        <f aca="false">IF(C2523="","",IF(G2523="ACCEPTÉ","OUI","NON"))</f>
        <v/>
      </c>
      <c r="I2523" s="83"/>
      <c r="J2523" s="80"/>
      <c r="K2523" s="81"/>
      <c r="L2523" s="81"/>
      <c r="M2523" s="81"/>
      <c r="N2523" s="84" t="str">
        <f aca="false">IF(C2523="","",IF(P2523="","NJ INCONNU",IF(I2523="",IF(H2523="OUI","À ENROBER",IF(G2523="À SOUDER","NON SOUDÉ","EN ATTENTE RT")),IF(L2523="R","À REPRENDRE",IF(H2523&lt;&gt;"OUI","⚠ ENROBÉ AVANT ACCEPTATION RT","ENROBÉ")))))</f>
        <v/>
      </c>
      <c r="O2523" s="80"/>
      <c r="P2523" s="82" t="str">
        <f aca="false">IF(C2523="","",IFERROR(MATCH(Q2523,'CARNET DE SOUDURE'!$AW$7:$AW$3006,0),""))</f>
        <v/>
      </c>
      <c r="Q2523" s="82" t="str">
        <f aca="false">IF(C2523="","",B2523&amp;"|"&amp;C2523)</f>
        <v/>
      </c>
    </row>
    <row r="2524" customFormat="false" ht="15" hidden="false" customHeight="false" outlineLevel="0" collapsed="false">
      <c r="A2524" s="82" t="str">
        <f aca="false">IF(C2524="","",ROW()-6)</f>
        <v/>
      </c>
      <c r="B2524" s="80"/>
      <c r="C2524" s="113"/>
      <c r="D2524" s="82" t="str">
        <f aca="false">IF(OR(C2524="",P2524=""),"",INDEX('CARNET DE SOUDURE'!$D$7:$D$3006,P2524)&amp;"")</f>
        <v/>
      </c>
      <c r="E2524" s="114" t="str">
        <f aca="false">IF(OR(C2524="",P2524=""),"",IF(INDEX('CARNET DE SOUDURE'!$U$7:$U$3006,P2524)="","",INDEX('CARNET DE SOUDURE'!$U$7:$U$3006,P2524)))</f>
        <v/>
      </c>
      <c r="F2524" s="82" t="str">
        <f aca="false">IF(OR(C2524="",P2524=""),"",INDEX('CARNET DE SOUDURE'!$AP$7:$AP$3006,P2524))</f>
        <v/>
      </c>
      <c r="G2524" s="82" t="str">
        <f aca="false">IF(C2524="","",IF(P2524="","NJ INCONNU",INDEX('CARNET DE SOUDURE'!$AQ$7:$AQ$3006,P2524)))</f>
        <v/>
      </c>
      <c r="H2524" s="82" t="str">
        <f aca="false">IF(C2524="","",IF(G2524="ACCEPTÉ","OUI","NON"))</f>
        <v/>
      </c>
      <c r="I2524" s="83"/>
      <c r="J2524" s="80"/>
      <c r="K2524" s="81"/>
      <c r="L2524" s="81"/>
      <c r="M2524" s="81"/>
      <c r="N2524" s="84" t="str">
        <f aca="false">IF(C2524="","",IF(P2524="","NJ INCONNU",IF(I2524="",IF(H2524="OUI","À ENROBER",IF(G2524="À SOUDER","NON SOUDÉ","EN ATTENTE RT")),IF(L2524="R","À REPRENDRE",IF(H2524&lt;&gt;"OUI","⚠ ENROBÉ AVANT ACCEPTATION RT","ENROBÉ")))))</f>
        <v/>
      </c>
      <c r="O2524" s="80"/>
      <c r="P2524" s="82" t="str">
        <f aca="false">IF(C2524="","",IFERROR(MATCH(Q2524,'CARNET DE SOUDURE'!$AW$7:$AW$3006,0),""))</f>
        <v/>
      </c>
      <c r="Q2524" s="82" t="str">
        <f aca="false">IF(C2524="","",B2524&amp;"|"&amp;C2524)</f>
        <v/>
      </c>
    </row>
    <row r="2525" customFormat="false" ht="15" hidden="false" customHeight="false" outlineLevel="0" collapsed="false">
      <c r="A2525" s="82" t="str">
        <f aca="false">IF(C2525="","",ROW()-6)</f>
        <v/>
      </c>
      <c r="B2525" s="80"/>
      <c r="C2525" s="113"/>
      <c r="D2525" s="82" t="str">
        <f aca="false">IF(OR(C2525="",P2525=""),"",INDEX('CARNET DE SOUDURE'!$D$7:$D$3006,P2525)&amp;"")</f>
        <v/>
      </c>
      <c r="E2525" s="114" t="str">
        <f aca="false">IF(OR(C2525="",P2525=""),"",IF(INDEX('CARNET DE SOUDURE'!$U$7:$U$3006,P2525)="","",INDEX('CARNET DE SOUDURE'!$U$7:$U$3006,P2525)))</f>
        <v/>
      </c>
      <c r="F2525" s="82" t="str">
        <f aca="false">IF(OR(C2525="",P2525=""),"",INDEX('CARNET DE SOUDURE'!$AP$7:$AP$3006,P2525))</f>
        <v/>
      </c>
      <c r="G2525" s="82" t="str">
        <f aca="false">IF(C2525="","",IF(P2525="","NJ INCONNU",INDEX('CARNET DE SOUDURE'!$AQ$7:$AQ$3006,P2525)))</f>
        <v/>
      </c>
      <c r="H2525" s="82" t="str">
        <f aca="false">IF(C2525="","",IF(G2525="ACCEPTÉ","OUI","NON"))</f>
        <v/>
      </c>
      <c r="I2525" s="83"/>
      <c r="J2525" s="80"/>
      <c r="K2525" s="81"/>
      <c r="L2525" s="81"/>
      <c r="M2525" s="81"/>
      <c r="N2525" s="84" t="str">
        <f aca="false">IF(C2525="","",IF(P2525="","NJ INCONNU",IF(I2525="",IF(H2525="OUI","À ENROBER",IF(G2525="À SOUDER","NON SOUDÉ","EN ATTENTE RT")),IF(L2525="R","À REPRENDRE",IF(H2525&lt;&gt;"OUI","⚠ ENROBÉ AVANT ACCEPTATION RT","ENROBÉ")))))</f>
        <v/>
      </c>
      <c r="O2525" s="80"/>
      <c r="P2525" s="82" t="str">
        <f aca="false">IF(C2525="","",IFERROR(MATCH(Q2525,'CARNET DE SOUDURE'!$AW$7:$AW$3006,0),""))</f>
        <v/>
      </c>
      <c r="Q2525" s="82" t="str">
        <f aca="false">IF(C2525="","",B2525&amp;"|"&amp;C2525)</f>
        <v/>
      </c>
    </row>
    <row r="2526" customFormat="false" ht="15" hidden="false" customHeight="false" outlineLevel="0" collapsed="false">
      <c r="A2526" s="82" t="str">
        <f aca="false">IF(C2526="","",ROW()-6)</f>
        <v/>
      </c>
      <c r="B2526" s="80"/>
      <c r="C2526" s="113"/>
      <c r="D2526" s="82" t="str">
        <f aca="false">IF(OR(C2526="",P2526=""),"",INDEX('CARNET DE SOUDURE'!$D$7:$D$3006,P2526)&amp;"")</f>
        <v/>
      </c>
      <c r="E2526" s="114" t="str">
        <f aca="false">IF(OR(C2526="",P2526=""),"",IF(INDEX('CARNET DE SOUDURE'!$U$7:$U$3006,P2526)="","",INDEX('CARNET DE SOUDURE'!$U$7:$U$3006,P2526)))</f>
        <v/>
      </c>
      <c r="F2526" s="82" t="str">
        <f aca="false">IF(OR(C2526="",P2526=""),"",INDEX('CARNET DE SOUDURE'!$AP$7:$AP$3006,P2526))</f>
        <v/>
      </c>
      <c r="G2526" s="82" t="str">
        <f aca="false">IF(C2526="","",IF(P2526="","NJ INCONNU",INDEX('CARNET DE SOUDURE'!$AQ$7:$AQ$3006,P2526)))</f>
        <v/>
      </c>
      <c r="H2526" s="82" t="str">
        <f aca="false">IF(C2526="","",IF(G2526="ACCEPTÉ","OUI","NON"))</f>
        <v/>
      </c>
      <c r="I2526" s="83"/>
      <c r="J2526" s="80"/>
      <c r="K2526" s="81"/>
      <c r="L2526" s="81"/>
      <c r="M2526" s="81"/>
      <c r="N2526" s="84" t="str">
        <f aca="false">IF(C2526="","",IF(P2526="","NJ INCONNU",IF(I2526="",IF(H2526="OUI","À ENROBER",IF(G2526="À SOUDER","NON SOUDÉ","EN ATTENTE RT")),IF(L2526="R","À REPRENDRE",IF(H2526&lt;&gt;"OUI","⚠ ENROBÉ AVANT ACCEPTATION RT","ENROBÉ")))))</f>
        <v/>
      </c>
      <c r="O2526" s="80"/>
      <c r="P2526" s="82" t="str">
        <f aca="false">IF(C2526="","",IFERROR(MATCH(Q2526,'CARNET DE SOUDURE'!$AW$7:$AW$3006,0),""))</f>
        <v/>
      </c>
      <c r="Q2526" s="82" t="str">
        <f aca="false">IF(C2526="","",B2526&amp;"|"&amp;C2526)</f>
        <v/>
      </c>
    </row>
    <row r="2527" customFormat="false" ht="15" hidden="false" customHeight="false" outlineLevel="0" collapsed="false">
      <c r="A2527" s="82" t="str">
        <f aca="false">IF(C2527="","",ROW()-6)</f>
        <v/>
      </c>
      <c r="B2527" s="80"/>
      <c r="C2527" s="113"/>
      <c r="D2527" s="82" t="str">
        <f aca="false">IF(OR(C2527="",P2527=""),"",INDEX('CARNET DE SOUDURE'!$D$7:$D$3006,P2527)&amp;"")</f>
        <v/>
      </c>
      <c r="E2527" s="114" t="str">
        <f aca="false">IF(OR(C2527="",P2527=""),"",IF(INDEX('CARNET DE SOUDURE'!$U$7:$U$3006,P2527)="","",INDEX('CARNET DE SOUDURE'!$U$7:$U$3006,P2527)))</f>
        <v/>
      </c>
      <c r="F2527" s="82" t="str">
        <f aca="false">IF(OR(C2527="",P2527=""),"",INDEX('CARNET DE SOUDURE'!$AP$7:$AP$3006,P2527))</f>
        <v/>
      </c>
      <c r="G2527" s="82" t="str">
        <f aca="false">IF(C2527="","",IF(P2527="","NJ INCONNU",INDEX('CARNET DE SOUDURE'!$AQ$7:$AQ$3006,P2527)))</f>
        <v/>
      </c>
      <c r="H2527" s="82" t="str">
        <f aca="false">IF(C2527="","",IF(G2527="ACCEPTÉ","OUI","NON"))</f>
        <v/>
      </c>
      <c r="I2527" s="83"/>
      <c r="J2527" s="80"/>
      <c r="K2527" s="81"/>
      <c r="L2527" s="81"/>
      <c r="M2527" s="81"/>
      <c r="N2527" s="84" t="str">
        <f aca="false">IF(C2527="","",IF(P2527="","NJ INCONNU",IF(I2527="",IF(H2527="OUI","À ENROBER",IF(G2527="À SOUDER","NON SOUDÉ","EN ATTENTE RT")),IF(L2527="R","À REPRENDRE",IF(H2527&lt;&gt;"OUI","⚠ ENROBÉ AVANT ACCEPTATION RT","ENROBÉ")))))</f>
        <v/>
      </c>
      <c r="O2527" s="80"/>
      <c r="P2527" s="82" t="str">
        <f aca="false">IF(C2527="","",IFERROR(MATCH(Q2527,'CARNET DE SOUDURE'!$AW$7:$AW$3006,0),""))</f>
        <v/>
      </c>
      <c r="Q2527" s="82" t="str">
        <f aca="false">IF(C2527="","",B2527&amp;"|"&amp;C2527)</f>
        <v/>
      </c>
    </row>
    <row r="2528" customFormat="false" ht="15" hidden="false" customHeight="false" outlineLevel="0" collapsed="false">
      <c r="A2528" s="82" t="str">
        <f aca="false">IF(C2528="","",ROW()-6)</f>
        <v/>
      </c>
      <c r="B2528" s="80"/>
      <c r="C2528" s="113"/>
      <c r="D2528" s="82" t="str">
        <f aca="false">IF(OR(C2528="",P2528=""),"",INDEX('CARNET DE SOUDURE'!$D$7:$D$3006,P2528)&amp;"")</f>
        <v/>
      </c>
      <c r="E2528" s="114" t="str">
        <f aca="false">IF(OR(C2528="",P2528=""),"",IF(INDEX('CARNET DE SOUDURE'!$U$7:$U$3006,P2528)="","",INDEX('CARNET DE SOUDURE'!$U$7:$U$3006,P2528)))</f>
        <v/>
      </c>
      <c r="F2528" s="82" t="str">
        <f aca="false">IF(OR(C2528="",P2528=""),"",INDEX('CARNET DE SOUDURE'!$AP$7:$AP$3006,P2528))</f>
        <v/>
      </c>
      <c r="G2528" s="82" t="str">
        <f aca="false">IF(C2528="","",IF(P2528="","NJ INCONNU",INDEX('CARNET DE SOUDURE'!$AQ$7:$AQ$3006,P2528)))</f>
        <v/>
      </c>
      <c r="H2528" s="82" t="str">
        <f aca="false">IF(C2528="","",IF(G2528="ACCEPTÉ","OUI","NON"))</f>
        <v/>
      </c>
      <c r="I2528" s="83"/>
      <c r="J2528" s="80"/>
      <c r="K2528" s="81"/>
      <c r="L2528" s="81"/>
      <c r="M2528" s="81"/>
      <c r="N2528" s="84" t="str">
        <f aca="false">IF(C2528="","",IF(P2528="","NJ INCONNU",IF(I2528="",IF(H2528="OUI","À ENROBER",IF(G2528="À SOUDER","NON SOUDÉ","EN ATTENTE RT")),IF(L2528="R","À REPRENDRE",IF(H2528&lt;&gt;"OUI","⚠ ENROBÉ AVANT ACCEPTATION RT","ENROBÉ")))))</f>
        <v/>
      </c>
      <c r="O2528" s="80"/>
      <c r="P2528" s="82" t="str">
        <f aca="false">IF(C2528="","",IFERROR(MATCH(Q2528,'CARNET DE SOUDURE'!$AW$7:$AW$3006,0),""))</f>
        <v/>
      </c>
      <c r="Q2528" s="82" t="str">
        <f aca="false">IF(C2528="","",B2528&amp;"|"&amp;C2528)</f>
        <v/>
      </c>
    </row>
    <row r="2529" customFormat="false" ht="15" hidden="false" customHeight="false" outlineLevel="0" collapsed="false">
      <c r="A2529" s="82" t="str">
        <f aca="false">IF(C2529="","",ROW()-6)</f>
        <v/>
      </c>
      <c r="B2529" s="80"/>
      <c r="C2529" s="113"/>
      <c r="D2529" s="82" t="str">
        <f aca="false">IF(OR(C2529="",P2529=""),"",INDEX('CARNET DE SOUDURE'!$D$7:$D$3006,P2529)&amp;"")</f>
        <v/>
      </c>
      <c r="E2529" s="114" t="str">
        <f aca="false">IF(OR(C2529="",P2529=""),"",IF(INDEX('CARNET DE SOUDURE'!$U$7:$U$3006,P2529)="","",INDEX('CARNET DE SOUDURE'!$U$7:$U$3006,P2529)))</f>
        <v/>
      </c>
      <c r="F2529" s="82" t="str">
        <f aca="false">IF(OR(C2529="",P2529=""),"",INDEX('CARNET DE SOUDURE'!$AP$7:$AP$3006,P2529))</f>
        <v/>
      </c>
      <c r="G2529" s="82" t="str">
        <f aca="false">IF(C2529="","",IF(P2529="","NJ INCONNU",INDEX('CARNET DE SOUDURE'!$AQ$7:$AQ$3006,P2529)))</f>
        <v/>
      </c>
      <c r="H2529" s="82" t="str">
        <f aca="false">IF(C2529="","",IF(G2529="ACCEPTÉ","OUI","NON"))</f>
        <v/>
      </c>
      <c r="I2529" s="83"/>
      <c r="J2529" s="80"/>
      <c r="K2529" s="81"/>
      <c r="L2529" s="81"/>
      <c r="M2529" s="81"/>
      <c r="N2529" s="84" t="str">
        <f aca="false">IF(C2529="","",IF(P2529="","NJ INCONNU",IF(I2529="",IF(H2529="OUI","À ENROBER",IF(G2529="À SOUDER","NON SOUDÉ","EN ATTENTE RT")),IF(L2529="R","À REPRENDRE",IF(H2529&lt;&gt;"OUI","⚠ ENROBÉ AVANT ACCEPTATION RT","ENROBÉ")))))</f>
        <v/>
      </c>
      <c r="O2529" s="80"/>
      <c r="P2529" s="82" t="str">
        <f aca="false">IF(C2529="","",IFERROR(MATCH(Q2529,'CARNET DE SOUDURE'!$AW$7:$AW$3006,0),""))</f>
        <v/>
      </c>
      <c r="Q2529" s="82" t="str">
        <f aca="false">IF(C2529="","",B2529&amp;"|"&amp;C2529)</f>
        <v/>
      </c>
    </row>
    <row r="2530" customFormat="false" ht="15" hidden="false" customHeight="false" outlineLevel="0" collapsed="false">
      <c r="A2530" s="82" t="str">
        <f aca="false">IF(C2530="","",ROW()-6)</f>
        <v/>
      </c>
      <c r="B2530" s="80"/>
      <c r="C2530" s="113"/>
      <c r="D2530" s="82" t="str">
        <f aca="false">IF(OR(C2530="",P2530=""),"",INDEX('CARNET DE SOUDURE'!$D$7:$D$3006,P2530)&amp;"")</f>
        <v/>
      </c>
      <c r="E2530" s="114" t="str">
        <f aca="false">IF(OR(C2530="",P2530=""),"",IF(INDEX('CARNET DE SOUDURE'!$U$7:$U$3006,P2530)="","",INDEX('CARNET DE SOUDURE'!$U$7:$U$3006,P2530)))</f>
        <v/>
      </c>
      <c r="F2530" s="82" t="str">
        <f aca="false">IF(OR(C2530="",P2530=""),"",INDEX('CARNET DE SOUDURE'!$AP$7:$AP$3006,P2530))</f>
        <v/>
      </c>
      <c r="G2530" s="82" t="str">
        <f aca="false">IF(C2530="","",IF(P2530="","NJ INCONNU",INDEX('CARNET DE SOUDURE'!$AQ$7:$AQ$3006,P2530)))</f>
        <v/>
      </c>
      <c r="H2530" s="82" t="str">
        <f aca="false">IF(C2530="","",IF(G2530="ACCEPTÉ","OUI","NON"))</f>
        <v/>
      </c>
      <c r="I2530" s="83"/>
      <c r="J2530" s="80"/>
      <c r="K2530" s="81"/>
      <c r="L2530" s="81"/>
      <c r="M2530" s="81"/>
      <c r="N2530" s="84" t="str">
        <f aca="false">IF(C2530="","",IF(P2530="","NJ INCONNU",IF(I2530="",IF(H2530="OUI","À ENROBER",IF(G2530="À SOUDER","NON SOUDÉ","EN ATTENTE RT")),IF(L2530="R","À REPRENDRE",IF(H2530&lt;&gt;"OUI","⚠ ENROBÉ AVANT ACCEPTATION RT","ENROBÉ")))))</f>
        <v/>
      </c>
      <c r="O2530" s="80"/>
      <c r="P2530" s="82" t="str">
        <f aca="false">IF(C2530="","",IFERROR(MATCH(Q2530,'CARNET DE SOUDURE'!$AW$7:$AW$3006,0),""))</f>
        <v/>
      </c>
      <c r="Q2530" s="82" t="str">
        <f aca="false">IF(C2530="","",B2530&amp;"|"&amp;C2530)</f>
        <v/>
      </c>
    </row>
    <row r="2531" customFormat="false" ht="15" hidden="false" customHeight="false" outlineLevel="0" collapsed="false">
      <c r="A2531" s="82" t="str">
        <f aca="false">IF(C2531="","",ROW()-6)</f>
        <v/>
      </c>
      <c r="B2531" s="80"/>
      <c r="C2531" s="113"/>
      <c r="D2531" s="82" t="str">
        <f aca="false">IF(OR(C2531="",P2531=""),"",INDEX('CARNET DE SOUDURE'!$D$7:$D$3006,P2531)&amp;"")</f>
        <v/>
      </c>
      <c r="E2531" s="114" t="str">
        <f aca="false">IF(OR(C2531="",P2531=""),"",IF(INDEX('CARNET DE SOUDURE'!$U$7:$U$3006,P2531)="","",INDEX('CARNET DE SOUDURE'!$U$7:$U$3006,P2531)))</f>
        <v/>
      </c>
      <c r="F2531" s="82" t="str">
        <f aca="false">IF(OR(C2531="",P2531=""),"",INDEX('CARNET DE SOUDURE'!$AP$7:$AP$3006,P2531))</f>
        <v/>
      </c>
      <c r="G2531" s="82" t="str">
        <f aca="false">IF(C2531="","",IF(P2531="","NJ INCONNU",INDEX('CARNET DE SOUDURE'!$AQ$7:$AQ$3006,P2531)))</f>
        <v/>
      </c>
      <c r="H2531" s="82" t="str">
        <f aca="false">IF(C2531="","",IF(G2531="ACCEPTÉ","OUI","NON"))</f>
        <v/>
      </c>
      <c r="I2531" s="83"/>
      <c r="J2531" s="80"/>
      <c r="K2531" s="81"/>
      <c r="L2531" s="81"/>
      <c r="M2531" s="81"/>
      <c r="N2531" s="84" t="str">
        <f aca="false">IF(C2531="","",IF(P2531="","NJ INCONNU",IF(I2531="",IF(H2531="OUI","À ENROBER",IF(G2531="À SOUDER","NON SOUDÉ","EN ATTENTE RT")),IF(L2531="R","À REPRENDRE",IF(H2531&lt;&gt;"OUI","⚠ ENROBÉ AVANT ACCEPTATION RT","ENROBÉ")))))</f>
        <v/>
      </c>
      <c r="O2531" s="80"/>
      <c r="P2531" s="82" t="str">
        <f aca="false">IF(C2531="","",IFERROR(MATCH(Q2531,'CARNET DE SOUDURE'!$AW$7:$AW$3006,0),""))</f>
        <v/>
      </c>
      <c r="Q2531" s="82" t="str">
        <f aca="false">IF(C2531="","",B2531&amp;"|"&amp;C2531)</f>
        <v/>
      </c>
    </row>
    <row r="2532" customFormat="false" ht="15" hidden="false" customHeight="false" outlineLevel="0" collapsed="false">
      <c r="A2532" s="82" t="str">
        <f aca="false">IF(C2532="","",ROW()-6)</f>
        <v/>
      </c>
      <c r="B2532" s="80"/>
      <c r="C2532" s="113"/>
      <c r="D2532" s="82" t="str">
        <f aca="false">IF(OR(C2532="",P2532=""),"",INDEX('CARNET DE SOUDURE'!$D$7:$D$3006,P2532)&amp;"")</f>
        <v/>
      </c>
      <c r="E2532" s="114" t="str">
        <f aca="false">IF(OR(C2532="",P2532=""),"",IF(INDEX('CARNET DE SOUDURE'!$U$7:$U$3006,P2532)="","",INDEX('CARNET DE SOUDURE'!$U$7:$U$3006,P2532)))</f>
        <v/>
      </c>
      <c r="F2532" s="82" t="str">
        <f aca="false">IF(OR(C2532="",P2532=""),"",INDEX('CARNET DE SOUDURE'!$AP$7:$AP$3006,P2532))</f>
        <v/>
      </c>
      <c r="G2532" s="82" t="str">
        <f aca="false">IF(C2532="","",IF(P2532="","NJ INCONNU",INDEX('CARNET DE SOUDURE'!$AQ$7:$AQ$3006,P2532)))</f>
        <v/>
      </c>
      <c r="H2532" s="82" t="str">
        <f aca="false">IF(C2532="","",IF(G2532="ACCEPTÉ","OUI","NON"))</f>
        <v/>
      </c>
      <c r="I2532" s="83"/>
      <c r="J2532" s="80"/>
      <c r="K2532" s="81"/>
      <c r="L2532" s="81"/>
      <c r="M2532" s="81"/>
      <c r="N2532" s="84" t="str">
        <f aca="false">IF(C2532="","",IF(P2532="","NJ INCONNU",IF(I2532="",IF(H2532="OUI","À ENROBER",IF(G2532="À SOUDER","NON SOUDÉ","EN ATTENTE RT")),IF(L2532="R","À REPRENDRE",IF(H2532&lt;&gt;"OUI","⚠ ENROBÉ AVANT ACCEPTATION RT","ENROBÉ")))))</f>
        <v/>
      </c>
      <c r="O2532" s="80"/>
      <c r="P2532" s="82" t="str">
        <f aca="false">IF(C2532="","",IFERROR(MATCH(Q2532,'CARNET DE SOUDURE'!$AW$7:$AW$3006,0),""))</f>
        <v/>
      </c>
      <c r="Q2532" s="82" t="str">
        <f aca="false">IF(C2532="","",B2532&amp;"|"&amp;C2532)</f>
        <v/>
      </c>
    </row>
    <row r="2533" customFormat="false" ht="15" hidden="false" customHeight="false" outlineLevel="0" collapsed="false">
      <c r="A2533" s="82" t="str">
        <f aca="false">IF(C2533="","",ROW()-6)</f>
        <v/>
      </c>
      <c r="B2533" s="80"/>
      <c r="C2533" s="113"/>
      <c r="D2533" s="82" t="str">
        <f aca="false">IF(OR(C2533="",P2533=""),"",INDEX('CARNET DE SOUDURE'!$D$7:$D$3006,P2533)&amp;"")</f>
        <v/>
      </c>
      <c r="E2533" s="114" t="str">
        <f aca="false">IF(OR(C2533="",P2533=""),"",IF(INDEX('CARNET DE SOUDURE'!$U$7:$U$3006,P2533)="","",INDEX('CARNET DE SOUDURE'!$U$7:$U$3006,P2533)))</f>
        <v/>
      </c>
      <c r="F2533" s="82" t="str">
        <f aca="false">IF(OR(C2533="",P2533=""),"",INDEX('CARNET DE SOUDURE'!$AP$7:$AP$3006,P2533))</f>
        <v/>
      </c>
      <c r="G2533" s="82" t="str">
        <f aca="false">IF(C2533="","",IF(P2533="","NJ INCONNU",INDEX('CARNET DE SOUDURE'!$AQ$7:$AQ$3006,P2533)))</f>
        <v/>
      </c>
      <c r="H2533" s="82" t="str">
        <f aca="false">IF(C2533="","",IF(G2533="ACCEPTÉ","OUI","NON"))</f>
        <v/>
      </c>
      <c r="I2533" s="83"/>
      <c r="J2533" s="80"/>
      <c r="K2533" s="81"/>
      <c r="L2533" s="81"/>
      <c r="M2533" s="81"/>
      <c r="N2533" s="84" t="str">
        <f aca="false">IF(C2533="","",IF(P2533="","NJ INCONNU",IF(I2533="",IF(H2533="OUI","À ENROBER",IF(G2533="À SOUDER","NON SOUDÉ","EN ATTENTE RT")),IF(L2533="R","À REPRENDRE",IF(H2533&lt;&gt;"OUI","⚠ ENROBÉ AVANT ACCEPTATION RT","ENROBÉ")))))</f>
        <v/>
      </c>
      <c r="O2533" s="80"/>
      <c r="P2533" s="82" t="str">
        <f aca="false">IF(C2533="","",IFERROR(MATCH(Q2533,'CARNET DE SOUDURE'!$AW$7:$AW$3006,0),""))</f>
        <v/>
      </c>
      <c r="Q2533" s="82" t="str">
        <f aca="false">IF(C2533="","",B2533&amp;"|"&amp;C2533)</f>
        <v/>
      </c>
    </row>
    <row r="2534" customFormat="false" ht="15" hidden="false" customHeight="false" outlineLevel="0" collapsed="false">
      <c r="A2534" s="82" t="str">
        <f aca="false">IF(C2534="","",ROW()-6)</f>
        <v/>
      </c>
      <c r="B2534" s="80"/>
      <c r="C2534" s="113"/>
      <c r="D2534" s="82" t="str">
        <f aca="false">IF(OR(C2534="",P2534=""),"",INDEX('CARNET DE SOUDURE'!$D$7:$D$3006,P2534)&amp;"")</f>
        <v/>
      </c>
      <c r="E2534" s="114" t="str">
        <f aca="false">IF(OR(C2534="",P2534=""),"",IF(INDEX('CARNET DE SOUDURE'!$U$7:$U$3006,P2534)="","",INDEX('CARNET DE SOUDURE'!$U$7:$U$3006,P2534)))</f>
        <v/>
      </c>
      <c r="F2534" s="82" t="str">
        <f aca="false">IF(OR(C2534="",P2534=""),"",INDEX('CARNET DE SOUDURE'!$AP$7:$AP$3006,P2534))</f>
        <v/>
      </c>
      <c r="G2534" s="82" t="str">
        <f aca="false">IF(C2534="","",IF(P2534="","NJ INCONNU",INDEX('CARNET DE SOUDURE'!$AQ$7:$AQ$3006,P2534)))</f>
        <v/>
      </c>
      <c r="H2534" s="82" t="str">
        <f aca="false">IF(C2534="","",IF(G2534="ACCEPTÉ","OUI","NON"))</f>
        <v/>
      </c>
      <c r="I2534" s="83"/>
      <c r="J2534" s="80"/>
      <c r="K2534" s="81"/>
      <c r="L2534" s="81"/>
      <c r="M2534" s="81"/>
      <c r="N2534" s="84" t="str">
        <f aca="false">IF(C2534="","",IF(P2534="","NJ INCONNU",IF(I2534="",IF(H2534="OUI","À ENROBER",IF(G2534="À SOUDER","NON SOUDÉ","EN ATTENTE RT")),IF(L2534="R","À REPRENDRE",IF(H2534&lt;&gt;"OUI","⚠ ENROBÉ AVANT ACCEPTATION RT","ENROBÉ")))))</f>
        <v/>
      </c>
      <c r="O2534" s="80"/>
      <c r="P2534" s="82" t="str">
        <f aca="false">IF(C2534="","",IFERROR(MATCH(Q2534,'CARNET DE SOUDURE'!$AW$7:$AW$3006,0),""))</f>
        <v/>
      </c>
      <c r="Q2534" s="82" t="str">
        <f aca="false">IF(C2534="","",B2534&amp;"|"&amp;C2534)</f>
        <v/>
      </c>
    </row>
    <row r="2535" customFormat="false" ht="15" hidden="false" customHeight="false" outlineLevel="0" collapsed="false">
      <c r="A2535" s="82" t="str">
        <f aca="false">IF(C2535="","",ROW()-6)</f>
        <v/>
      </c>
      <c r="B2535" s="80"/>
      <c r="C2535" s="113"/>
      <c r="D2535" s="82" t="str">
        <f aca="false">IF(OR(C2535="",P2535=""),"",INDEX('CARNET DE SOUDURE'!$D$7:$D$3006,P2535)&amp;"")</f>
        <v/>
      </c>
      <c r="E2535" s="114" t="str">
        <f aca="false">IF(OR(C2535="",P2535=""),"",IF(INDEX('CARNET DE SOUDURE'!$U$7:$U$3006,P2535)="","",INDEX('CARNET DE SOUDURE'!$U$7:$U$3006,P2535)))</f>
        <v/>
      </c>
      <c r="F2535" s="82" t="str">
        <f aca="false">IF(OR(C2535="",P2535=""),"",INDEX('CARNET DE SOUDURE'!$AP$7:$AP$3006,P2535))</f>
        <v/>
      </c>
      <c r="G2535" s="82" t="str">
        <f aca="false">IF(C2535="","",IF(P2535="","NJ INCONNU",INDEX('CARNET DE SOUDURE'!$AQ$7:$AQ$3006,P2535)))</f>
        <v/>
      </c>
      <c r="H2535" s="82" t="str">
        <f aca="false">IF(C2535="","",IF(G2535="ACCEPTÉ","OUI","NON"))</f>
        <v/>
      </c>
      <c r="I2535" s="83"/>
      <c r="J2535" s="80"/>
      <c r="K2535" s="81"/>
      <c r="L2535" s="81"/>
      <c r="M2535" s="81"/>
      <c r="N2535" s="84" t="str">
        <f aca="false">IF(C2535="","",IF(P2535="","NJ INCONNU",IF(I2535="",IF(H2535="OUI","À ENROBER",IF(G2535="À SOUDER","NON SOUDÉ","EN ATTENTE RT")),IF(L2535="R","À REPRENDRE",IF(H2535&lt;&gt;"OUI","⚠ ENROBÉ AVANT ACCEPTATION RT","ENROBÉ")))))</f>
        <v/>
      </c>
      <c r="O2535" s="80"/>
      <c r="P2535" s="82" t="str">
        <f aca="false">IF(C2535="","",IFERROR(MATCH(Q2535,'CARNET DE SOUDURE'!$AW$7:$AW$3006,0),""))</f>
        <v/>
      </c>
      <c r="Q2535" s="82" t="str">
        <f aca="false">IF(C2535="","",B2535&amp;"|"&amp;C2535)</f>
        <v/>
      </c>
    </row>
    <row r="2536" customFormat="false" ht="15" hidden="false" customHeight="false" outlineLevel="0" collapsed="false">
      <c r="A2536" s="82" t="str">
        <f aca="false">IF(C2536="","",ROW()-6)</f>
        <v/>
      </c>
      <c r="B2536" s="80"/>
      <c r="C2536" s="113"/>
      <c r="D2536" s="82" t="str">
        <f aca="false">IF(OR(C2536="",P2536=""),"",INDEX('CARNET DE SOUDURE'!$D$7:$D$3006,P2536)&amp;"")</f>
        <v/>
      </c>
      <c r="E2536" s="114" t="str">
        <f aca="false">IF(OR(C2536="",P2536=""),"",IF(INDEX('CARNET DE SOUDURE'!$U$7:$U$3006,P2536)="","",INDEX('CARNET DE SOUDURE'!$U$7:$U$3006,P2536)))</f>
        <v/>
      </c>
      <c r="F2536" s="82" t="str">
        <f aca="false">IF(OR(C2536="",P2536=""),"",INDEX('CARNET DE SOUDURE'!$AP$7:$AP$3006,P2536))</f>
        <v/>
      </c>
      <c r="G2536" s="82" t="str">
        <f aca="false">IF(C2536="","",IF(P2536="","NJ INCONNU",INDEX('CARNET DE SOUDURE'!$AQ$7:$AQ$3006,P2536)))</f>
        <v/>
      </c>
      <c r="H2536" s="82" t="str">
        <f aca="false">IF(C2536="","",IF(G2536="ACCEPTÉ","OUI","NON"))</f>
        <v/>
      </c>
      <c r="I2536" s="83"/>
      <c r="J2536" s="80"/>
      <c r="K2536" s="81"/>
      <c r="L2536" s="81"/>
      <c r="M2536" s="81"/>
      <c r="N2536" s="84" t="str">
        <f aca="false">IF(C2536="","",IF(P2536="","NJ INCONNU",IF(I2536="",IF(H2536="OUI","À ENROBER",IF(G2536="À SOUDER","NON SOUDÉ","EN ATTENTE RT")),IF(L2536="R","À REPRENDRE",IF(H2536&lt;&gt;"OUI","⚠ ENROBÉ AVANT ACCEPTATION RT","ENROBÉ")))))</f>
        <v/>
      </c>
      <c r="O2536" s="80"/>
      <c r="P2536" s="82" t="str">
        <f aca="false">IF(C2536="","",IFERROR(MATCH(Q2536,'CARNET DE SOUDURE'!$AW$7:$AW$3006,0),""))</f>
        <v/>
      </c>
      <c r="Q2536" s="82" t="str">
        <f aca="false">IF(C2536="","",B2536&amp;"|"&amp;C2536)</f>
        <v/>
      </c>
    </row>
    <row r="2537" customFormat="false" ht="15" hidden="false" customHeight="false" outlineLevel="0" collapsed="false">
      <c r="A2537" s="82" t="str">
        <f aca="false">IF(C2537="","",ROW()-6)</f>
        <v/>
      </c>
      <c r="B2537" s="80"/>
      <c r="C2537" s="113"/>
      <c r="D2537" s="82" t="str">
        <f aca="false">IF(OR(C2537="",P2537=""),"",INDEX('CARNET DE SOUDURE'!$D$7:$D$3006,P2537)&amp;"")</f>
        <v/>
      </c>
      <c r="E2537" s="114" t="str">
        <f aca="false">IF(OR(C2537="",P2537=""),"",IF(INDEX('CARNET DE SOUDURE'!$U$7:$U$3006,P2537)="","",INDEX('CARNET DE SOUDURE'!$U$7:$U$3006,P2537)))</f>
        <v/>
      </c>
      <c r="F2537" s="82" t="str">
        <f aca="false">IF(OR(C2537="",P2537=""),"",INDEX('CARNET DE SOUDURE'!$AP$7:$AP$3006,P2537))</f>
        <v/>
      </c>
      <c r="G2537" s="82" t="str">
        <f aca="false">IF(C2537="","",IF(P2537="","NJ INCONNU",INDEX('CARNET DE SOUDURE'!$AQ$7:$AQ$3006,P2537)))</f>
        <v/>
      </c>
      <c r="H2537" s="82" t="str">
        <f aca="false">IF(C2537="","",IF(G2537="ACCEPTÉ","OUI","NON"))</f>
        <v/>
      </c>
      <c r="I2537" s="83"/>
      <c r="J2537" s="80"/>
      <c r="K2537" s="81"/>
      <c r="L2537" s="81"/>
      <c r="M2537" s="81"/>
      <c r="N2537" s="84" t="str">
        <f aca="false">IF(C2537="","",IF(P2537="","NJ INCONNU",IF(I2537="",IF(H2537="OUI","À ENROBER",IF(G2537="À SOUDER","NON SOUDÉ","EN ATTENTE RT")),IF(L2537="R","À REPRENDRE",IF(H2537&lt;&gt;"OUI","⚠ ENROBÉ AVANT ACCEPTATION RT","ENROBÉ")))))</f>
        <v/>
      </c>
      <c r="O2537" s="80"/>
      <c r="P2537" s="82" t="str">
        <f aca="false">IF(C2537="","",IFERROR(MATCH(Q2537,'CARNET DE SOUDURE'!$AW$7:$AW$3006,0),""))</f>
        <v/>
      </c>
      <c r="Q2537" s="82" t="str">
        <f aca="false">IF(C2537="","",B2537&amp;"|"&amp;C2537)</f>
        <v/>
      </c>
    </row>
    <row r="2538" customFormat="false" ht="15" hidden="false" customHeight="false" outlineLevel="0" collapsed="false">
      <c r="A2538" s="82" t="str">
        <f aca="false">IF(C2538="","",ROW()-6)</f>
        <v/>
      </c>
      <c r="B2538" s="80"/>
      <c r="C2538" s="113"/>
      <c r="D2538" s="82" t="str">
        <f aca="false">IF(OR(C2538="",P2538=""),"",INDEX('CARNET DE SOUDURE'!$D$7:$D$3006,P2538)&amp;"")</f>
        <v/>
      </c>
      <c r="E2538" s="114" t="str">
        <f aca="false">IF(OR(C2538="",P2538=""),"",IF(INDEX('CARNET DE SOUDURE'!$U$7:$U$3006,P2538)="","",INDEX('CARNET DE SOUDURE'!$U$7:$U$3006,P2538)))</f>
        <v/>
      </c>
      <c r="F2538" s="82" t="str">
        <f aca="false">IF(OR(C2538="",P2538=""),"",INDEX('CARNET DE SOUDURE'!$AP$7:$AP$3006,P2538))</f>
        <v/>
      </c>
      <c r="G2538" s="82" t="str">
        <f aca="false">IF(C2538="","",IF(P2538="","NJ INCONNU",INDEX('CARNET DE SOUDURE'!$AQ$7:$AQ$3006,P2538)))</f>
        <v/>
      </c>
      <c r="H2538" s="82" t="str">
        <f aca="false">IF(C2538="","",IF(G2538="ACCEPTÉ","OUI","NON"))</f>
        <v/>
      </c>
      <c r="I2538" s="83"/>
      <c r="J2538" s="80"/>
      <c r="K2538" s="81"/>
      <c r="L2538" s="81"/>
      <c r="M2538" s="81"/>
      <c r="N2538" s="84" t="str">
        <f aca="false">IF(C2538="","",IF(P2538="","NJ INCONNU",IF(I2538="",IF(H2538="OUI","À ENROBER",IF(G2538="À SOUDER","NON SOUDÉ","EN ATTENTE RT")),IF(L2538="R","À REPRENDRE",IF(H2538&lt;&gt;"OUI","⚠ ENROBÉ AVANT ACCEPTATION RT","ENROBÉ")))))</f>
        <v/>
      </c>
      <c r="O2538" s="80"/>
      <c r="P2538" s="82" t="str">
        <f aca="false">IF(C2538="","",IFERROR(MATCH(Q2538,'CARNET DE SOUDURE'!$AW$7:$AW$3006,0),""))</f>
        <v/>
      </c>
      <c r="Q2538" s="82" t="str">
        <f aca="false">IF(C2538="","",B2538&amp;"|"&amp;C2538)</f>
        <v/>
      </c>
    </row>
    <row r="2539" customFormat="false" ht="15" hidden="false" customHeight="false" outlineLevel="0" collapsed="false">
      <c r="A2539" s="82" t="str">
        <f aca="false">IF(C2539="","",ROW()-6)</f>
        <v/>
      </c>
      <c r="B2539" s="80"/>
      <c r="C2539" s="113"/>
      <c r="D2539" s="82" t="str">
        <f aca="false">IF(OR(C2539="",P2539=""),"",INDEX('CARNET DE SOUDURE'!$D$7:$D$3006,P2539)&amp;"")</f>
        <v/>
      </c>
      <c r="E2539" s="114" t="str">
        <f aca="false">IF(OR(C2539="",P2539=""),"",IF(INDEX('CARNET DE SOUDURE'!$U$7:$U$3006,P2539)="","",INDEX('CARNET DE SOUDURE'!$U$7:$U$3006,P2539)))</f>
        <v/>
      </c>
      <c r="F2539" s="82" t="str">
        <f aca="false">IF(OR(C2539="",P2539=""),"",INDEX('CARNET DE SOUDURE'!$AP$7:$AP$3006,P2539))</f>
        <v/>
      </c>
      <c r="G2539" s="82" t="str">
        <f aca="false">IF(C2539="","",IF(P2539="","NJ INCONNU",INDEX('CARNET DE SOUDURE'!$AQ$7:$AQ$3006,P2539)))</f>
        <v/>
      </c>
      <c r="H2539" s="82" t="str">
        <f aca="false">IF(C2539="","",IF(G2539="ACCEPTÉ","OUI","NON"))</f>
        <v/>
      </c>
      <c r="I2539" s="83"/>
      <c r="J2539" s="80"/>
      <c r="K2539" s="81"/>
      <c r="L2539" s="81"/>
      <c r="M2539" s="81"/>
      <c r="N2539" s="84" t="str">
        <f aca="false">IF(C2539="","",IF(P2539="","NJ INCONNU",IF(I2539="",IF(H2539="OUI","À ENROBER",IF(G2539="À SOUDER","NON SOUDÉ","EN ATTENTE RT")),IF(L2539="R","À REPRENDRE",IF(H2539&lt;&gt;"OUI","⚠ ENROBÉ AVANT ACCEPTATION RT","ENROBÉ")))))</f>
        <v/>
      </c>
      <c r="O2539" s="80"/>
      <c r="P2539" s="82" t="str">
        <f aca="false">IF(C2539="","",IFERROR(MATCH(Q2539,'CARNET DE SOUDURE'!$AW$7:$AW$3006,0),""))</f>
        <v/>
      </c>
      <c r="Q2539" s="82" t="str">
        <f aca="false">IF(C2539="","",B2539&amp;"|"&amp;C2539)</f>
        <v/>
      </c>
    </row>
    <row r="2540" customFormat="false" ht="15" hidden="false" customHeight="false" outlineLevel="0" collapsed="false">
      <c r="A2540" s="82" t="str">
        <f aca="false">IF(C2540="","",ROW()-6)</f>
        <v/>
      </c>
      <c r="B2540" s="80"/>
      <c r="C2540" s="113"/>
      <c r="D2540" s="82" t="str">
        <f aca="false">IF(OR(C2540="",P2540=""),"",INDEX('CARNET DE SOUDURE'!$D$7:$D$3006,P2540)&amp;"")</f>
        <v/>
      </c>
      <c r="E2540" s="114" t="str">
        <f aca="false">IF(OR(C2540="",P2540=""),"",IF(INDEX('CARNET DE SOUDURE'!$U$7:$U$3006,P2540)="","",INDEX('CARNET DE SOUDURE'!$U$7:$U$3006,P2540)))</f>
        <v/>
      </c>
      <c r="F2540" s="82" t="str">
        <f aca="false">IF(OR(C2540="",P2540=""),"",INDEX('CARNET DE SOUDURE'!$AP$7:$AP$3006,P2540))</f>
        <v/>
      </c>
      <c r="G2540" s="82" t="str">
        <f aca="false">IF(C2540="","",IF(P2540="","NJ INCONNU",INDEX('CARNET DE SOUDURE'!$AQ$7:$AQ$3006,P2540)))</f>
        <v/>
      </c>
      <c r="H2540" s="82" t="str">
        <f aca="false">IF(C2540="","",IF(G2540="ACCEPTÉ","OUI","NON"))</f>
        <v/>
      </c>
      <c r="I2540" s="83"/>
      <c r="J2540" s="80"/>
      <c r="K2540" s="81"/>
      <c r="L2540" s="81"/>
      <c r="M2540" s="81"/>
      <c r="N2540" s="84" t="str">
        <f aca="false">IF(C2540="","",IF(P2540="","NJ INCONNU",IF(I2540="",IF(H2540="OUI","À ENROBER",IF(G2540="À SOUDER","NON SOUDÉ","EN ATTENTE RT")),IF(L2540="R","À REPRENDRE",IF(H2540&lt;&gt;"OUI","⚠ ENROBÉ AVANT ACCEPTATION RT","ENROBÉ")))))</f>
        <v/>
      </c>
      <c r="O2540" s="80"/>
      <c r="P2540" s="82" t="str">
        <f aca="false">IF(C2540="","",IFERROR(MATCH(Q2540,'CARNET DE SOUDURE'!$AW$7:$AW$3006,0),""))</f>
        <v/>
      </c>
      <c r="Q2540" s="82" t="str">
        <f aca="false">IF(C2540="","",B2540&amp;"|"&amp;C2540)</f>
        <v/>
      </c>
    </row>
    <row r="2541" customFormat="false" ht="15" hidden="false" customHeight="false" outlineLevel="0" collapsed="false">
      <c r="A2541" s="82" t="str">
        <f aca="false">IF(C2541="","",ROW()-6)</f>
        <v/>
      </c>
      <c r="B2541" s="80"/>
      <c r="C2541" s="113"/>
      <c r="D2541" s="82" t="str">
        <f aca="false">IF(OR(C2541="",P2541=""),"",INDEX('CARNET DE SOUDURE'!$D$7:$D$3006,P2541)&amp;"")</f>
        <v/>
      </c>
      <c r="E2541" s="114" t="str">
        <f aca="false">IF(OR(C2541="",P2541=""),"",IF(INDEX('CARNET DE SOUDURE'!$U$7:$U$3006,P2541)="","",INDEX('CARNET DE SOUDURE'!$U$7:$U$3006,P2541)))</f>
        <v/>
      </c>
      <c r="F2541" s="82" t="str">
        <f aca="false">IF(OR(C2541="",P2541=""),"",INDEX('CARNET DE SOUDURE'!$AP$7:$AP$3006,P2541))</f>
        <v/>
      </c>
      <c r="G2541" s="82" t="str">
        <f aca="false">IF(C2541="","",IF(P2541="","NJ INCONNU",INDEX('CARNET DE SOUDURE'!$AQ$7:$AQ$3006,P2541)))</f>
        <v/>
      </c>
      <c r="H2541" s="82" t="str">
        <f aca="false">IF(C2541="","",IF(G2541="ACCEPTÉ","OUI","NON"))</f>
        <v/>
      </c>
      <c r="I2541" s="83"/>
      <c r="J2541" s="80"/>
      <c r="K2541" s="81"/>
      <c r="L2541" s="81"/>
      <c r="M2541" s="81"/>
      <c r="N2541" s="84" t="str">
        <f aca="false">IF(C2541="","",IF(P2541="","NJ INCONNU",IF(I2541="",IF(H2541="OUI","À ENROBER",IF(G2541="À SOUDER","NON SOUDÉ","EN ATTENTE RT")),IF(L2541="R","À REPRENDRE",IF(H2541&lt;&gt;"OUI","⚠ ENROBÉ AVANT ACCEPTATION RT","ENROBÉ")))))</f>
        <v/>
      </c>
      <c r="O2541" s="80"/>
      <c r="P2541" s="82" t="str">
        <f aca="false">IF(C2541="","",IFERROR(MATCH(Q2541,'CARNET DE SOUDURE'!$AW$7:$AW$3006,0),""))</f>
        <v/>
      </c>
      <c r="Q2541" s="82" t="str">
        <f aca="false">IF(C2541="","",B2541&amp;"|"&amp;C2541)</f>
        <v/>
      </c>
    </row>
    <row r="2542" customFormat="false" ht="15" hidden="false" customHeight="false" outlineLevel="0" collapsed="false">
      <c r="A2542" s="82" t="str">
        <f aca="false">IF(C2542="","",ROW()-6)</f>
        <v/>
      </c>
      <c r="B2542" s="80"/>
      <c r="C2542" s="113"/>
      <c r="D2542" s="82" t="str">
        <f aca="false">IF(OR(C2542="",P2542=""),"",INDEX('CARNET DE SOUDURE'!$D$7:$D$3006,P2542)&amp;"")</f>
        <v/>
      </c>
      <c r="E2542" s="114" t="str">
        <f aca="false">IF(OR(C2542="",P2542=""),"",IF(INDEX('CARNET DE SOUDURE'!$U$7:$U$3006,P2542)="","",INDEX('CARNET DE SOUDURE'!$U$7:$U$3006,P2542)))</f>
        <v/>
      </c>
      <c r="F2542" s="82" t="str">
        <f aca="false">IF(OR(C2542="",P2542=""),"",INDEX('CARNET DE SOUDURE'!$AP$7:$AP$3006,P2542))</f>
        <v/>
      </c>
      <c r="G2542" s="82" t="str">
        <f aca="false">IF(C2542="","",IF(P2542="","NJ INCONNU",INDEX('CARNET DE SOUDURE'!$AQ$7:$AQ$3006,P2542)))</f>
        <v/>
      </c>
      <c r="H2542" s="82" t="str">
        <f aca="false">IF(C2542="","",IF(G2542="ACCEPTÉ","OUI","NON"))</f>
        <v/>
      </c>
      <c r="I2542" s="83"/>
      <c r="J2542" s="80"/>
      <c r="K2542" s="81"/>
      <c r="L2542" s="81"/>
      <c r="M2542" s="81"/>
      <c r="N2542" s="84" t="str">
        <f aca="false">IF(C2542="","",IF(P2542="","NJ INCONNU",IF(I2542="",IF(H2542="OUI","À ENROBER",IF(G2542="À SOUDER","NON SOUDÉ","EN ATTENTE RT")),IF(L2542="R","À REPRENDRE",IF(H2542&lt;&gt;"OUI","⚠ ENROBÉ AVANT ACCEPTATION RT","ENROBÉ")))))</f>
        <v/>
      </c>
      <c r="O2542" s="80"/>
      <c r="P2542" s="82" t="str">
        <f aca="false">IF(C2542="","",IFERROR(MATCH(Q2542,'CARNET DE SOUDURE'!$AW$7:$AW$3006,0),""))</f>
        <v/>
      </c>
      <c r="Q2542" s="82" t="str">
        <f aca="false">IF(C2542="","",B2542&amp;"|"&amp;C2542)</f>
        <v/>
      </c>
    </row>
    <row r="2543" customFormat="false" ht="15" hidden="false" customHeight="false" outlineLevel="0" collapsed="false">
      <c r="A2543" s="82" t="str">
        <f aca="false">IF(C2543="","",ROW()-6)</f>
        <v/>
      </c>
      <c r="B2543" s="80"/>
      <c r="C2543" s="113"/>
      <c r="D2543" s="82" t="str">
        <f aca="false">IF(OR(C2543="",P2543=""),"",INDEX('CARNET DE SOUDURE'!$D$7:$D$3006,P2543)&amp;"")</f>
        <v/>
      </c>
      <c r="E2543" s="114" t="str">
        <f aca="false">IF(OR(C2543="",P2543=""),"",IF(INDEX('CARNET DE SOUDURE'!$U$7:$U$3006,P2543)="","",INDEX('CARNET DE SOUDURE'!$U$7:$U$3006,P2543)))</f>
        <v/>
      </c>
      <c r="F2543" s="82" t="str">
        <f aca="false">IF(OR(C2543="",P2543=""),"",INDEX('CARNET DE SOUDURE'!$AP$7:$AP$3006,P2543))</f>
        <v/>
      </c>
      <c r="G2543" s="82" t="str">
        <f aca="false">IF(C2543="","",IF(P2543="","NJ INCONNU",INDEX('CARNET DE SOUDURE'!$AQ$7:$AQ$3006,P2543)))</f>
        <v/>
      </c>
      <c r="H2543" s="82" t="str">
        <f aca="false">IF(C2543="","",IF(G2543="ACCEPTÉ","OUI","NON"))</f>
        <v/>
      </c>
      <c r="I2543" s="83"/>
      <c r="J2543" s="80"/>
      <c r="K2543" s="81"/>
      <c r="L2543" s="81"/>
      <c r="M2543" s="81"/>
      <c r="N2543" s="84" t="str">
        <f aca="false">IF(C2543="","",IF(P2543="","NJ INCONNU",IF(I2543="",IF(H2543="OUI","À ENROBER",IF(G2543="À SOUDER","NON SOUDÉ","EN ATTENTE RT")),IF(L2543="R","À REPRENDRE",IF(H2543&lt;&gt;"OUI","⚠ ENROBÉ AVANT ACCEPTATION RT","ENROBÉ")))))</f>
        <v/>
      </c>
      <c r="O2543" s="80"/>
      <c r="P2543" s="82" t="str">
        <f aca="false">IF(C2543="","",IFERROR(MATCH(Q2543,'CARNET DE SOUDURE'!$AW$7:$AW$3006,0),""))</f>
        <v/>
      </c>
      <c r="Q2543" s="82" t="str">
        <f aca="false">IF(C2543="","",B2543&amp;"|"&amp;C2543)</f>
        <v/>
      </c>
    </row>
    <row r="2544" customFormat="false" ht="15" hidden="false" customHeight="false" outlineLevel="0" collapsed="false">
      <c r="A2544" s="82" t="str">
        <f aca="false">IF(C2544="","",ROW()-6)</f>
        <v/>
      </c>
      <c r="B2544" s="80"/>
      <c r="C2544" s="113"/>
      <c r="D2544" s="82" t="str">
        <f aca="false">IF(OR(C2544="",P2544=""),"",INDEX('CARNET DE SOUDURE'!$D$7:$D$3006,P2544)&amp;"")</f>
        <v/>
      </c>
      <c r="E2544" s="114" t="str">
        <f aca="false">IF(OR(C2544="",P2544=""),"",IF(INDEX('CARNET DE SOUDURE'!$U$7:$U$3006,P2544)="","",INDEX('CARNET DE SOUDURE'!$U$7:$U$3006,P2544)))</f>
        <v/>
      </c>
      <c r="F2544" s="82" t="str">
        <f aca="false">IF(OR(C2544="",P2544=""),"",INDEX('CARNET DE SOUDURE'!$AP$7:$AP$3006,P2544))</f>
        <v/>
      </c>
      <c r="G2544" s="82" t="str">
        <f aca="false">IF(C2544="","",IF(P2544="","NJ INCONNU",INDEX('CARNET DE SOUDURE'!$AQ$7:$AQ$3006,P2544)))</f>
        <v/>
      </c>
      <c r="H2544" s="82" t="str">
        <f aca="false">IF(C2544="","",IF(G2544="ACCEPTÉ","OUI","NON"))</f>
        <v/>
      </c>
      <c r="I2544" s="83"/>
      <c r="J2544" s="80"/>
      <c r="K2544" s="81"/>
      <c r="L2544" s="81"/>
      <c r="M2544" s="81"/>
      <c r="N2544" s="84" t="str">
        <f aca="false">IF(C2544="","",IF(P2544="","NJ INCONNU",IF(I2544="",IF(H2544="OUI","À ENROBER",IF(G2544="À SOUDER","NON SOUDÉ","EN ATTENTE RT")),IF(L2544="R","À REPRENDRE",IF(H2544&lt;&gt;"OUI","⚠ ENROBÉ AVANT ACCEPTATION RT","ENROBÉ")))))</f>
        <v/>
      </c>
      <c r="O2544" s="80"/>
      <c r="P2544" s="82" t="str">
        <f aca="false">IF(C2544="","",IFERROR(MATCH(Q2544,'CARNET DE SOUDURE'!$AW$7:$AW$3006,0),""))</f>
        <v/>
      </c>
      <c r="Q2544" s="82" t="str">
        <f aca="false">IF(C2544="","",B2544&amp;"|"&amp;C2544)</f>
        <v/>
      </c>
    </row>
    <row r="2545" customFormat="false" ht="15" hidden="false" customHeight="false" outlineLevel="0" collapsed="false">
      <c r="A2545" s="82" t="str">
        <f aca="false">IF(C2545="","",ROW()-6)</f>
        <v/>
      </c>
      <c r="B2545" s="80"/>
      <c r="C2545" s="113"/>
      <c r="D2545" s="82" t="str">
        <f aca="false">IF(OR(C2545="",P2545=""),"",INDEX('CARNET DE SOUDURE'!$D$7:$D$3006,P2545)&amp;"")</f>
        <v/>
      </c>
      <c r="E2545" s="114" t="str">
        <f aca="false">IF(OR(C2545="",P2545=""),"",IF(INDEX('CARNET DE SOUDURE'!$U$7:$U$3006,P2545)="","",INDEX('CARNET DE SOUDURE'!$U$7:$U$3006,P2545)))</f>
        <v/>
      </c>
      <c r="F2545" s="82" t="str">
        <f aca="false">IF(OR(C2545="",P2545=""),"",INDEX('CARNET DE SOUDURE'!$AP$7:$AP$3006,P2545))</f>
        <v/>
      </c>
      <c r="G2545" s="82" t="str">
        <f aca="false">IF(C2545="","",IF(P2545="","NJ INCONNU",INDEX('CARNET DE SOUDURE'!$AQ$7:$AQ$3006,P2545)))</f>
        <v/>
      </c>
      <c r="H2545" s="82" t="str">
        <f aca="false">IF(C2545="","",IF(G2545="ACCEPTÉ","OUI","NON"))</f>
        <v/>
      </c>
      <c r="I2545" s="83"/>
      <c r="J2545" s="80"/>
      <c r="K2545" s="81"/>
      <c r="L2545" s="81"/>
      <c r="M2545" s="81"/>
      <c r="N2545" s="84" t="str">
        <f aca="false">IF(C2545="","",IF(P2545="","NJ INCONNU",IF(I2545="",IF(H2545="OUI","À ENROBER",IF(G2545="À SOUDER","NON SOUDÉ","EN ATTENTE RT")),IF(L2545="R","À REPRENDRE",IF(H2545&lt;&gt;"OUI","⚠ ENROBÉ AVANT ACCEPTATION RT","ENROBÉ")))))</f>
        <v/>
      </c>
      <c r="O2545" s="80"/>
      <c r="P2545" s="82" t="str">
        <f aca="false">IF(C2545="","",IFERROR(MATCH(Q2545,'CARNET DE SOUDURE'!$AW$7:$AW$3006,0),""))</f>
        <v/>
      </c>
      <c r="Q2545" s="82" t="str">
        <f aca="false">IF(C2545="","",B2545&amp;"|"&amp;C2545)</f>
        <v/>
      </c>
    </row>
    <row r="2546" customFormat="false" ht="15" hidden="false" customHeight="false" outlineLevel="0" collapsed="false">
      <c r="A2546" s="82" t="str">
        <f aca="false">IF(C2546="","",ROW()-6)</f>
        <v/>
      </c>
      <c r="B2546" s="80"/>
      <c r="C2546" s="113"/>
      <c r="D2546" s="82" t="str">
        <f aca="false">IF(OR(C2546="",P2546=""),"",INDEX('CARNET DE SOUDURE'!$D$7:$D$3006,P2546)&amp;"")</f>
        <v/>
      </c>
      <c r="E2546" s="114" t="str">
        <f aca="false">IF(OR(C2546="",P2546=""),"",IF(INDEX('CARNET DE SOUDURE'!$U$7:$U$3006,P2546)="","",INDEX('CARNET DE SOUDURE'!$U$7:$U$3006,P2546)))</f>
        <v/>
      </c>
      <c r="F2546" s="82" t="str">
        <f aca="false">IF(OR(C2546="",P2546=""),"",INDEX('CARNET DE SOUDURE'!$AP$7:$AP$3006,P2546))</f>
        <v/>
      </c>
      <c r="G2546" s="82" t="str">
        <f aca="false">IF(C2546="","",IF(P2546="","NJ INCONNU",INDEX('CARNET DE SOUDURE'!$AQ$7:$AQ$3006,P2546)))</f>
        <v/>
      </c>
      <c r="H2546" s="82" t="str">
        <f aca="false">IF(C2546="","",IF(G2546="ACCEPTÉ","OUI","NON"))</f>
        <v/>
      </c>
      <c r="I2546" s="83"/>
      <c r="J2546" s="80"/>
      <c r="K2546" s="81"/>
      <c r="L2546" s="81"/>
      <c r="M2546" s="81"/>
      <c r="N2546" s="84" t="str">
        <f aca="false">IF(C2546="","",IF(P2546="","NJ INCONNU",IF(I2546="",IF(H2546="OUI","À ENROBER",IF(G2546="À SOUDER","NON SOUDÉ","EN ATTENTE RT")),IF(L2546="R","À REPRENDRE",IF(H2546&lt;&gt;"OUI","⚠ ENROBÉ AVANT ACCEPTATION RT","ENROBÉ")))))</f>
        <v/>
      </c>
      <c r="O2546" s="80"/>
      <c r="P2546" s="82" t="str">
        <f aca="false">IF(C2546="","",IFERROR(MATCH(Q2546,'CARNET DE SOUDURE'!$AW$7:$AW$3006,0),""))</f>
        <v/>
      </c>
      <c r="Q2546" s="82" t="str">
        <f aca="false">IF(C2546="","",B2546&amp;"|"&amp;C2546)</f>
        <v/>
      </c>
    </row>
    <row r="2547" customFormat="false" ht="15" hidden="false" customHeight="false" outlineLevel="0" collapsed="false">
      <c r="A2547" s="82" t="str">
        <f aca="false">IF(C2547="","",ROW()-6)</f>
        <v/>
      </c>
      <c r="B2547" s="80"/>
      <c r="C2547" s="113"/>
      <c r="D2547" s="82" t="str">
        <f aca="false">IF(OR(C2547="",P2547=""),"",INDEX('CARNET DE SOUDURE'!$D$7:$D$3006,P2547)&amp;"")</f>
        <v/>
      </c>
      <c r="E2547" s="114" t="str">
        <f aca="false">IF(OR(C2547="",P2547=""),"",IF(INDEX('CARNET DE SOUDURE'!$U$7:$U$3006,P2547)="","",INDEX('CARNET DE SOUDURE'!$U$7:$U$3006,P2547)))</f>
        <v/>
      </c>
      <c r="F2547" s="82" t="str">
        <f aca="false">IF(OR(C2547="",P2547=""),"",INDEX('CARNET DE SOUDURE'!$AP$7:$AP$3006,P2547))</f>
        <v/>
      </c>
      <c r="G2547" s="82" t="str">
        <f aca="false">IF(C2547="","",IF(P2547="","NJ INCONNU",INDEX('CARNET DE SOUDURE'!$AQ$7:$AQ$3006,P2547)))</f>
        <v/>
      </c>
      <c r="H2547" s="82" t="str">
        <f aca="false">IF(C2547="","",IF(G2547="ACCEPTÉ","OUI","NON"))</f>
        <v/>
      </c>
      <c r="I2547" s="83"/>
      <c r="J2547" s="80"/>
      <c r="K2547" s="81"/>
      <c r="L2547" s="81"/>
      <c r="M2547" s="81"/>
      <c r="N2547" s="84" t="str">
        <f aca="false">IF(C2547="","",IF(P2547="","NJ INCONNU",IF(I2547="",IF(H2547="OUI","À ENROBER",IF(G2547="À SOUDER","NON SOUDÉ","EN ATTENTE RT")),IF(L2547="R","À REPRENDRE",IF(H2547&lt;&gt;"OUI","⚠ ENROBÉ AVANT ACCEPTATION RT","ENROBÉ")))))</f>
        <v/>
      </c>
      <c r="O2547" s="80"/>
      <c r="P2547" s="82" t="str">
        <f aca="false">IF(C2547="","",IFERROR(MATCH(Q2547,'CARNET DE SOUDURE'!$AW$7:$AW$3006,0),""))</f>
        <v/>
      </c>
      <c r="Q2547" s="82" t="str">
        <f aca="false">IF(C2547="","",B2547&amp;"|"&amp;C2547)</f>
        <v/>
      </c>
    </row>
    <row r="2548" customFormat="false" ht="15" hidden="false" customHeight="false" outlineLevel="0" collapsed="false">
      <c r="A2548" s="82" t="str">
        <f aca="false">IF(C2548="","",ROW()-6)</f>
        <v/>
      </c>
      <c r="B2548" s="80"/>
      <c r="C2548" s="113"/>
      <c r="D2548" s="82" t="str">
        <f aca="false">IF(OR(C2548="",P2548=""),"",INDEX('CARNET DE SOUDURE'!$D$7:$D$3006,P2548)&amp;"")</f>
        <v/>
      </c>
      <c r="E2548" s="114" t="str">
        <f aca="false">IF(OR(C2548="",P2548=""),"",IF(INDEX('CARNET DE SOUDURE'!$U$7:$U$3006,P2548)="","",INDEX('CARNET DE SOUDURE'!$U$7:$U$3006,P2548)))</f>
        <v/>
      </c>
      <c r="F2548" s="82" t="str">
        <f aca="false">IF(OR(C2548="",P2548=""),"",INDEX('CARNET DE SOUDURE'!$AP$7:$AP$3006,P2548))</f>
        <v/>
      </c>
      <c r="G2548" s="82" t="str">
        <f aca="false">IF(C2548="","",IF(P2548="","NJ INCONNU",INDEX('CARNET DE SOUDURE'!$AQ$7:$AQ$3006,P2548)))</f>
        <v/>
      </c>
      <c r="H2548" s="82" t="str">
        <f aca="false">IF(C2548="","",IF(G2548="ACCEPTÉ","OUI","NON"))</f>
        <v/>
      </c>
      <c r="I2548" s="83"/>
      <c r="J2548" s="80"/>
      <c r="K2548" s="81"/>
      <c r="L2548" s="81"/>
      <c r="M2548" s="81"/>
      <c r="N2548" s="84" t="str">
        <f aca="false">IF(C2548="","",IF(P2548="","NJ INCONNU",IF(I2548="",IF(H2548="OUI","À ENROBER",IF(G2548="À SOUDER","NON SOUDÉ","EN ATTENTE RT")),IF(L2548="R","À REPRENDRE",IF(H2548&lt;&gt;"OUI","⚠ ENROBÉ AVANT ACCEPTATION RT","ENROBÉ")))))</f>
        <v/>
      </c>
      <c r="O2548" s="80"/>
      <c r="P2548" s="82" t="str">
        <f aca="false">IF(C2548="","",IFERROR(MATCH(Q2548,'CARNET DE SOUDURE'!$AW$7:$AW$3006,0),""))</f>
        <v/>
      </c>
      <c r="Q2548" s="82" t="str">
        <f aca="false">IF(C2548="","",B2548&amp;"|"&amp;C2548)</f>
        <v/>
      </c>
    </row>
    <row r="2549" customFormat="false" ht="15" hidden="false" customHeight="false" outlineLevel="0" collapsed="false">
      <c r="A2549" s="82" t="str">
        <f aca="false">IF(C2549="","",ROW()-6)</f>
        <v/>
      </c>
      <c r="B2549" s="80"/>
      <c r="C2549" s="113"/>
      <c r="D2549" s="82" t="str">
        <f aca="false">IF(OR(C2549="",P2549=""),"",INDEX('CARNET DE SOUDURE'!$D$7:$D$3006,P2549)&amp;"")</f>
        <v/>
      </c>
      <c r="E2549" s="114" t="str">
        <f aca="false">IF(OR(C2549="",P2549=""),"",IF(INDEX('CARNET DE SOUDURE'!$U$7:$U$3006,P2549)="","",INDEX('CARNET DE SOUDURE'!$U$7:$U$3006,P2549)))</f>
        <v/>
      </c>
      <c r="F2549" s="82" t="str">
        <f aca="false">IF(OR(C2549="",P2549=""),"",INDEX('CARNET DE SOUDURE'!$AP$7:$AP$3006,P2549))</f>
        <v/>
      </c>
      <c r="G2549" s="82" t="str">
        <f aca="false">IF(C2549="","",IF(P2549="","NJ INCONNU",INDEX('CARNET DE SOUDURE'!$AQ$7:$AQ$3006,P2549)))</f>
        <v/>
      </c>
      <c r="H2549" s="82" t="str">
        <f aca="false">IF(C2549="","",IF(G2549="ACCEPTÉ","OUI","NON"))</f>
        <v/>
      </c>
      <c r="I2549" s="83"/>
      <c r="J2549" s="80"/>
      <c r="K2549" s="81"/>
      <c r="L2549" s="81"/>
      <c r="M2549" s="81"/>
      <c r="N2549" s="84" t="str">
        <f aca="false">IF(C2549="","",IF(P2549="","NJ INCONNU",IF(I2549="",IF(H2549="OUI","À ENROBER",IF(G2549="À SOUDER","NON SOUDÉ","EN ATTENTE RT")),IF(L2549="R","À REPRENDRE",IF(H2549&lt;&gt;"OUI","⚠ ENROBÉ AVANT ACCEPTATION RT","ENROBÉ")))))</f>
        <v/>
      </c>
      <c r="O2549" s="80"/>
      <c r="P2549" s="82" t="str">
        <f aca="false">IF(C2549="","",IFERROR(MATCH(Q2549,'CARNET DE SOUDURE'!$AW$7:$AW$3006,0),""))</f>
        <v/>
      </c>
      <c r="Q2549" s="82" t="str">
        <f aca="false">IF(C2549="","",B2549&amp;"|"&amp;C2549)</f>
        <v/>
      </c>
    </row>
    <row r="2550" customFormat="false" ht="15" hidden="false" customHeight="false" outlineLevel="0" collapsed="false">
      <c r="A2550" s="82" t="str">
        <f aca="false">IF(C2550="","",ROW()-6)</f>
        <v/>
      </c>
      <c r="B2550" s="80"/>
      <c r="C2550" s="113"/>
      <c r="D2550" s="82" t="str">
        <f aca="false">IF(OR(C2550="",P2550=""),"",INDEX('CARNET DE SOUDURE'!$D$7:$D$3006,P2550)&amp;"")</f>
        <v/>
      </c>
      <c r="E2550" s="114" t="str">
        <f aca="false">IF(OR(C2550="",P2550=""),"",IF(INDEX('CARNET DE SOUDURE'!$U$7:$U$3006,P2550)="","",INDEX('CARNET DE SOUDURE'!$U$7:$U$3006,P2550)))</f>
        <v/>
      </c>
      <c r="F2550" s="82" t="str">
        <f aca="false">IF(OR(C2550="",P2550=""),"",INDEX('CARNET DE SOUDURE'!$AP$7:$AP$3006,P2550))</f>
        <v/>
      </c>
      <c r="G2550" s="82" t="str">
        <f aca="false">IF(C2550="","",IF(P2550="","NJ INCONNU",INDEX('CARNET DE SOUDURE'!$AQ$7:$AQ$3006,P2550)))</f>
        <v/>
      </c>
      <c r="H2550" s="82" t="str">
        <f aca="false">IF(C2550="","",IF(G2550="ACCEPTÉ","OUI","NON"))</f>
        <v/>
      </c>
      <c r="I2550" s="83"/>
      <c r="J2550" s="80"/>
      <c r="K2550" s="81"/>
      <c r="L2550" s="81"/>
      <c r="M2550" s="81"/>
      <c r="N2550" s="84" t="str">
        <f aca="false">IF(C2550="","",IF(P2550="","NJ INCONNU",IF(I2550="",IF(H2550="OUI","À ENROBER",IF(G2550="À SOUDER","NON SOUDÉ","EN ATTENTE RT")),IF(L2550="R","À REPRENDRE",IF(H2550&lt;&gt;"OUI","⚠ ENROBÉ AVANT ACCEPTATION RT","ENROBÉ")))))</f>
        <v/>
      </c>
      <c r="O2550" s="80"/>
      <c r="P2550" s="82" t="str">
        <f aca="false">IF(C2550="","",IFERROR(MATCH(Q2550,'CARNET DE SOUDURE'!$AW$7:$AW$3006,0),""))</f>
        <v/>
      </c>
      <c r="Q2550" s="82" t="str">
        <f aca="false">IF(C2550="","",B2550&amp;"|"&amp;C2550)</f>
        <v/>
      </c>
    </row>
    <row r="2551" customFormat="false" ht="15" hidden="false" customHeight="false" outlineLevel="0" collapsed="false">
      <c r="A2551" s="82" t="str">
        <f aca="false">IF(C2551="","",ROW()-6)</f>
        <v/>
      </c>
      <c r="B2551" s="80"/>
      <c r="C2551" s="113"/>
      <c r="D2551" s="82" t="str">
        <f aca="false">IF(OR(C2551="",P2551=""),"",INDEX('CARNET DE SOUDURE'!$D$7:$D$3006,P2551)&amp;"")</f>
        <v/>
      </c>
      <c r="E2551" s="114" t="str">
        <f aca="false">IF(OR(C2551="",P2551=""),"",IF(INDEX('CARNET DE SOUDURE'!$U$7:$U$3006,P2551)="","",INDEX('CARNET DE SOUDURE'!$U$7:$U$3006,P2551)))</f>
        <v/>
      </c>
      <c r="F2551" s="82" t="str">
        <f aca="false">IF(OR(C2551="",P2551=""),"",INDEX('CARNET DE SOUDURE'!$AP$7:$AP$3006,P2551))</f>
        <v/>
      </c>
      <c r="G2551" s="82" t="str">
        <f aca="false">IF(C2551="","",IF(P2551="","NJ INCONNU",INDEX('CARNET DE SOUDURE'!$AQ$7:$AQ$3006,P2551)))</f>
        <v/>
      </c>
      <c r="H2551" s="82" t="str">
        <f aca="false">IF(C2551="","",IF(G2551="ACCEPTÉ","OUI","NON"))</f>
        <v/>
      </c>
      <c r="I2551" s="83"/>
      <c r="J2551" s="80"/>
      <c r="K2551" s="81"/>
      <c r="L2551" s="81"/>
      <c r="M2551" s="81"/>
      <c r="N2551" s="84" t="str">
        <f aca="false">IF(C2551="","",IF(P2551="","NJ INCONNU",IF(I2551="",IF(H2551="OUI","À ENROBER",IF(G2551="À SOUDER","NON SOUDÉ","EN ATTENTE RT")),IF(L2551="R","À REPRENDRE",IF(H2551&lt;&gt;"OUI","⚠ ENROBÉ AVANT ACCEPTATION RT","ENROBÉ")))))</f>
        <v/>
      </c>
      <c r="O2551" s="80"/>
      <c r="P2551" s="82" t="str">
        <f aca="false">IF(C2551="","",IFERROR(MATCH(Q2551,'CARNET DE SOUDURE'!$AW$7:$AW$3006,0),""))</f>
        <v/>
      </c>
      <c r="Q2551" s="82" t="str">
        <f aca="false">IF(C2551="","",B2551&amp;"|"&amp;C2551)</f>
        <v/>
      </c>
    </row>
    <row r="2552" customFormat="false" ht="15" hidden="false" customHeight="false" outlineLevel="0" collapsed="false">
      <c r="A2552" s="82" t="str">
        <f aca="false">IF(C2552="","",ROW()-6)</f>
        <v/>
      </c>
      <c r="B2552" s="80"/>
      <c r="C2552" s="113"/>
      <c r="D2552" s="82" t="str">
        <f aca="false">IF(OR(C2552="",P2552=""),"",INDEX('CARNET DE SOUDURE'!$D$7:$D$3006,P2552)&amp;"")</f>
        <v/>
      </c>
      <c r="E2552" s="114" t="str">
        <f aca="false">IF(OR(C2552="",P2552=""),"",IF(INDEX('CARNET DE SOUDURE'!$U$7:$U$3006,P2552)="","",INDEX('CARNET DE SOUDURE'!$U$7:$U$3006,P2552)))</f>
        <v/>
      </c>
      <c r="F2552" s="82" t="str">
        <f aca="false">IF(OR(C2552="",P2552=""),"",INDEX('CARNET DE SOUDURE'!$AP$7:$AP$3006,P2552))</f>
        <v/>
      </c>
      <c r="G2552" s="82" t="str">
        <f aca="false">IF(C2552="","",IF(P2552="","NJ INCONNU",INDEX('CARNET DE SOUDURE'!$AQ$7:$AQ$3006,P2552)))</f>
        <v/>
      </c>
      <c r="H2552" s="82" t="str">
        <f aca="false">IF(C2552="","",IF(G2552="ACCEPTÉ","OUI","NON"))</f>
        <v/>
      </c>
      <c r="I2552" s="83"/>
      <c r="J2552" s="80"/>
      <c r="K2552" s="81"/>
      <c r="L2552" s="81"/>
      <c r="M2552" s="81"/>
      <c r="N2552" s="84" t="str">
        <f aca="false">IF(C2552="","",IF(P2552="","NJ INCONNU",IF(I2552="",IF(H2552="OUI","À ENROBER",IF(G2552="À SOUDER","NON SOUDÉ","EN ATTENTE RT")),IF(L2552="R","À REPRENDRE",IF(H2552&lt;&gt;"OUI","⚠ ENROBÉ AVANT ACCEPTATION RT","ENROBÉ")))))</f>
        <v/>
      </c>
      <c r="O2552" s="80"/>
      <c r="P2552" s="82" t="str">
        <f aca="false">IF(C2552="","",IFERROR(MATCH(Q2552,'CARNET DE SOUDURE'!$AW$7:$AW$3006,0),""))</f>
        <v/>
      </c>
      <c r="Q2552" s="82" t="str">
        <f aca="false">IF(C2552="","",B2552&amp;"|"&amp;C2552)</f>
        <v/>
      </c>
    </row>
    <row r="2553" customFormat="false" ht="15" hidden="false" customHeight="false" outlineLevel="0" collapsed="false">
      <c r="A2553" s="82" t="str">
        <f aca="false">IF(C2553="","",ROW()-6)</f>
        <v/>
      </c>
      <c r="B2553" s="80"/>
      <c r="C2553" s="113"/>
      <c r="D2553" s="82" t="str">
        <f aca="false">IF(OR(C2553="",P2553=""),"",INDEX('CARNET DE SOUDURE'!$D$7:$D$3006,P2553)&amp;"")</f>
        <v/>
      </c>
      <c r="E2553" s="114" t="str">
        <f aca="false">IF(OR(C2553="",P2553=""),"",IF(INDEX('CARNET DE SOUDURE'!$U$7:$U$3006,P2553)="","",INDEX('CARNET DE SOUDURE'!$U$7:$U$3006,P2553)))</f>
        <v/>
      </c>
      <c r="F2553" s="82" t="str">
        <f aca="false">IF(OR(C2553="",P2553=""),"",INDEX('CARNET DE SOUDURE'!$AP$7:$AP$3006,P2553))</f>
        <v/>
      </c>
      <c r="G2553" s="82" t="str">
        <f aca="false">IF(C2553="","",IF(P2553="","NJ INCONNU",INDEX('CARNET DE SOUDURE'!$AQ$7:$AQ$3006,P2553)))</f>
        <v/>
      </c>
      <c r="H2553" s="82" t="str">
        <f aca="false">IF(C2553="","",IF(G2553="ACCEPTÉ","OUI","NON"))</f>
        <v/>
      </c>
      <c r="I2553" s="83"/>
      <c r="J2553" s="80"/>
      <c r="K2553" s="81"/>
      <c r="L2553" s="81"/>
      <c r="M2553" s="81"/>
      <c r="N2553" s="84" t="str">
        <f aca="false">IF(C2553="","",IF(P2553="","NJ INCONNU",IF(I2553="",IF(H2553="OUI","À ENROBER",IF(G2553="À SOUDER","NON SOUDÉ","EN ATTENTE RT")),IF(L2553="R","À REPRENDRE",IF(H2553&lt;&gt;"OUI","⚠ ENROBÉ AVANT ACCEPTATION RT","ENROBÉ")))))</f>
        <v/>
      </c>
      <c r="O2553" s="80"/>
      <c r="P2553" s="82" t="str">
        <f aca="false">IF(C2553="","",IFERROR(MATCH(Q2553,'CARNET DE SOUDURE'!$AW$7:$AW$3006,0),""))</f>
        <v/>
      </c>
      <c r="Q2553" s="82" t="str">
        <f aca="false">IF(C2553="","",B2553&amp;"|"&amp;C2553)</f>
        <v/>
      </c>
    </row>
    <row r="2554" customFormat="false" ht="15" hidden="false" customHeight="false" outlineLevel="0" collapsed="false">
      <c r="A2554" s="82" t="str">
        <f aca="false">IF(C2554="","",ROW()-6)</f>
        <v/>
      </c>
      <c r="B2554" s="80"/>
      <c r="C2554" s="113"/>
      <c r="D2554" s="82" t="str">
        <f aca="false">IF(OR(C2554="",P2554=""),"",INDEX('CARNET DE SOUDURE'!$D$7:$D$3006,P2554)&amp;"")</f>
        <v/>
      </c>
      <c r="E2554" s="114" t="str">
        <f aca="false">IF(OR(C2554="",P2554=""),"",IF(INDEX('CARNET DE SOUDURE'!$U$7:$U$3006,P2554)="","",INDEX('CARNET DE SOUDURE'!$U$7:$U$3006,P2554)))</f>
        <v/>
      </c>
      <c r="F2554" s="82" t="str">
        <f aca="false">IF(OR(C2554="",P2554=""),"",INDEX('CARNET DE SOUDURE'!$AP$7:$AP$3006,P2554))</f>
        <v/>
      </c>
      <c r="G2554" s="82" t="str">
        <f aca="false">IF(C2554="","",IF(P2554="","NJ INCONNU",INDEX('CARNET DE SOUDURE'!$AQ$7:$AQ$3006,P2554)))</f>
        <v/>
      </c>
      <c r="H2554" s="82" t="str">
        <f aca="false">IF(C2554="","",IF(G2554="ACCEPTÉ","OUI","NON"))</f>
        <v/>
      </c>
      <c r="I2554" s="83"/>
      <c r="J2554" s="80"/>
      <c r="K2554" s="81"/>
      <c r="L2554" s="81"/>
      <c r="M2554" s="81"/>
      <c r="N2554" s="84" t="str">
        <f aca="false">IF(C2554="","",IF(P2554="","NJ INCONNU",IF(I2554="",IF(H2554="OUI","À ENROBER",IF(G2554="À SOUDER","NON SOUDÉ","EN ATTENTE RT")),IF(L2554="R","À REPRENDRE",IF(H2554&lt;&gt;"OUI","⚠ ENROBÉ AVANT ACCEPTATION RT","ENROBÉ")))))</f>
        <v/>
      </c>
      <c r="O2554" s="80"/>
      <c r="P2554" s="82" t="str">
        <f aca="false">IF(C2554="","",IFERROR(MATCH(Q2554,'CARNET DE SOUDURE'!$AW$7:$AW$3006,0),""))</f>
        <v/>
      </c>
      <c r="Q2554" s="82" t="str">
        <f aca="false">IF(C2554="","",B2554&amp;"|"&amp;C2554)</f>
        <v/>
      </c>
    </row>
    <row r="2555" customFormat="false" ht="15" hidden="false" customHeight="false" outlineLevel="0" collapsed="false">
      <c r="A2555" s="82" t="str">
        <f aca="false">IF(C2555="","",ROW()-6)</f>
        <v/>
      </c>
      <c r="B2555" s="80"/>
      <c r="C2555" s="113"/>
      <c r="D2555" s="82" t="str">
        <f aca="false">IF(OR(C2555="",P2555=""),"",INDEX('CARNET DE SOUDURE'!$D$7:$D$3006,P2555)&amp;"")</f>
        <v/>
      </c>
      <c r="E2555" s="114" t="str">
        <f aca="false">IF(OR(C2555="",P2555=""),"",IF(INDEX('CARNET DE SOUDURE'!$U$7:$U$3006,P2555)="","",INDEX('CARNET DE SOUDURE'!$U$7:$U$3006,P2555)))</f>
        <v/>
      </c>
      <c r="F2555" s="82" t="str">
        <f aca="false">IF(OR(C2555="",P2555=""),"",INDEX('CARNET DE SOUDURE'!$AP$7:$AP$3006,P2555))</f>
        <v/>
      </c>
      <c r="G2555" s="82" t="str">
        <f aca="false">IF(C2555="","",IF(P2555="","NJ INCONNU",INDEX('CARNET DE SOUDURE'!$AQ$7:$AQ$3006,P2555)))</f>
        <v/>
      </c>
      <c r="H2555" s="82" t="str">
        <f aca="false">IF(C2555="","",IF(G2555="ACCEPTÉ","OUI","NON"))</f>
        <v/>
      </c>
      <c r="I2555" s="83"/>
      <c r="J2555" s="80"/>
      <c r="K2555" s="81"/>
      <c r="L2555" s="81"/>
      <c r="M2555" s="81"/>
      <c r="N2555" s="84" t="str">
        <f aca="false">IF(C2555="","",IF(P2555="","NJ INCONNU",IF(I2555="",IF(H2555="OUI","À ENROBER",IF(G2555="À SOUDER","NON SOUDÉ","EN ATTENTE RT")),IF(L2555="R","À REPRENDRE",IF(H2555&lt;&gt;"OUI","⚠ ENROBÉ AVANT ACCEPTATION RT","ENROBÉ")))))</f>
        <v/>
      </c>
      <c r="O2555" s="80"/>
      <c r="P2555" s="82" t="str">
        <f aca="false">IF(C2555="","",IFERROR(MATCH(Q2555,'CARNET DE SOUDURE'!$AW$7:$AW$3006,0),""))</f>
        <v/>
      </c>
      <c r="Q2555" s="82" t="str">
        <f aca="false">IF(C2555="","",B2555&amp;"|"&amp;C2555)</f>
        <v/>
      </c>
    </row>
    <row r="2556" customFormat="false" ht="15" hidden="false" customHeight="false" outlineLevel="0" collapsed="false">
      <c r="A2556" s="82" t="str">
        <f aca="false">IF(C2556="","",ROW()-6)</f>
        <v/>
      </c>
      <c r="B2556" s="80"/>
      <c r="C2556" s="113"/>
      <c r="D2556" s="82" t="str">
        <f aca="false">IF(OR(C2556="",P2556=""),"",INDEX('CARNET DE SOUDURE'!$D$7:$D$3006,P2556)&amp;"")</f>
        <v/>
      </c>
      <c r="E2556" s="114" t="str">
        <f aca="false">IF(OR(C2556="",P2556=""),"",IF(INDEX('CARNET DE SOUDURE'!$U$7:$U$3006,P2556)="","",INDEX('CARNET DE SOUDURE'!$U$7:$U$3006,P2556)))</f>
        <v/>
      </c>
      <c r="F2556" s="82" t="str">
        <f aca="false">IF(OR(C2556="",P2556=""),"",INDEX('CARNET DE SOUDURE'!$AP$7:$AP$3006,P2556))</f>
        <v/>
      </c>
      <c r="G2556" s="82" t="str">
        <f aca="false">IF(C2556="","",IF(P2556="","NJ INCONNU",INDEX('CARNET DE SOUDURE'!$AQ$7:$AQ$3006,P2556)))</f>
        <v/>
      </c>
      <c r="H2556" s="82" t="str">
        <f aca="false">IF(C2556="","",IF(G2556="ACCEPTÉ","OUI","NON"))</f>
        <v/>
      </c>
      <c r="I2556" s="83"/>
      <c r="J2556" s="80"/>
      <c r="K2556" s="81"/>
      <c r="L2556" s="81"/>
      <c r="M2556" s="81"/>
      <c r="N2556" s="84" t="str">
        <f aca="false">IF(C2556="","",IF(P2556="","NJ INCONNU",IF(I2556="",IF(H2556="OUI","À ENROBER",IF(G2556="À SOUDER","NON SOUDÉ","EN ATTENTE RT")),IF(L2556="R","À REPRENDRE",IF(H2556&lt;&gt;"OUI","⚠ ENROBÉ AVANT ACCEPTATION RT","ENROBÉ")))))</f>
        <v/>
      </c>
      <c r="O2556" s="80"/>
      <c r="P2556" s="82" t="str">
        <f aca="false">IF(C2556="","",IFERROR(MATCH(Q2556,'CARNET DE SOUDURE'!$AW$7:$AW$3006,0),""))</f>
        <v/>
      </c>
      <c r="Q2556" s="82" t="str">
        <f aca="false">IF(C2556="","",B2556&amp;"|"&amp;C2556)</f>
        <v/>
      </c>
    </row>
    <row r="2557" customFormat="false" ht="15" hidden="false" customHeight="false" outlineLevel="0" collapsed="false">
      <c r="A2557" s="82" t="str">
        <f aca="false">IF(C2557="","",ROW()-6)</f>
        <v/>
      </c>
      <c r="B2557" s="80"/>
      <c r="C2557" s="113"/>
      <c r="D2557" s="82" t="str">
        <f aca="false">IF(OR(C2557="",P2557=""),"",INDEX('CARNET DE SOUDURE'!$D$7:$D$3006,P2557)&amp;"")</f>
        <v/>
      </c>
      <c r="E2557" s="114" t="str">
        <f aca="false">IF(OR(C2557="",P2557=""),"",IF(INDEX('CARNET DE SOUDURE'!$U$7:$U$3006,P2557)="","",INDEX('CARNET DE SOUDURE'!$U$7:$U$3006,P2557)))</f>
        <v/>
      </c>
      <c r="F2557" s="82" t="str">
        <f aca="false">IF(OR(C2557="",P2557=""),"",INDEX('CARNET DE SOUDURE'!$AP$7:$AP$3006,P2557))</f>
        <v/>
      </c>
      <c r="G2557" s="82" t="str">
        <f aca="false">IF(C2557="","",IF(P2557="","NJ INCONNU",INDEX('CARNET DE SOUDURE'!$AQ$7:$AQ$3006,P2557)))</f>
        <v/>
      </c>
      <c r="H2557" s="82" t="str">
        <f aca="false">IF(C2557="","",IF(G2557="ACCEPTÉ","OUI","NON"))</f>
        <v/>
      </c>
      <c r="I2557" s="83"/>
      <c r="J2557" s="80"/>
      <c r="K2557" s="81"/>
      <c r="L2557" s="81"/>
      <c r="M2557" s="81"/>
      <c r="N2557" s="84" t="str">
        <f aca="false">IF(C2557="","",IF(P2557="","NJ INCONNU",IF(I2557="",IF(H2557="OUI","À ENROBER",IF(G2557="À SOUDER","NON SOUDÉ","EN ATTENTE RT")),IF(L2557="R","À REPRENDRE",IF(H2557&lt;&gt;"OUI","⚠ ENROBÉ AVANT ACCEPTATION RT","ENROBÉ")))))</f>
        <v/>
      </c>
      <c r="O2557" s="80"/>
      <c r="P2557" s="82" t="str">
        <f aca="false">IF(C2557="","",IFERROR(MATCH(Q2557,'CARNET DE SOUDURE'!$AW$7:$AW$3006,0),""))</f>
        <v/>
      </c>
      <c r="Q2557" s="82" t="str">
        <f aca="false">IF(C2557="","",B2557&amp;"|"&amp;C2557)</f>
        <v/>
      </c>
    </row>
    <row r="2558" customFormat="false" ht="15" hidden="false" customHeight="false" outlineLevel="0" collapsed="false">
      <c r="A2558" s="82" t="str">
        <f aca="false">IF(C2558="","",ROW()-6)</f>
        <v/>
      </c>
      <c r="B2558" s="80"/>
      <c r="C2558" s="113"/>
      <c r="D2558" s="82" t="str">
        <f aca="false">IF(OR(C2558="",P2558=""),"",INDEX('CARNET DE SOUDURE'!$D$7:$D$3006,P2558)&amp;"")</f>
        <v/>
      </c>
      <c r="E2558" s="114" t="str">
        <f aca="false">IF(OR(C2558="",P2558=""),"",IF(INDEX('CARNET DE SOUDURE'!$U$7:$U$3006,P2558)="","",INDEX('CARNET DE SOUDURE'!$U$7:$U$3006,P2558)))</f>
        <v/>
      </c>
      <c r="F2558" s="82" t="str">
        <f aca="false">IF(OR(C2558="",P2558=""),"",INDEX('CARNET DE SOUDURE'!$AP$7:$AP$3006,P2558))</f>
        <v/>
      </c>
      <c r="G2558" s="82" t="str">
        <f aca="false">IF(C2558="","",IF(P2558="","NJ INCONNU",INDEX('CARNET DE SOUDURE'!$AQ$7:$AQ$3006,P2558)))</f>
        <v/>
      </c>
      <c r="H2558" s="82" t="str">
        <f aca="false">IF(C2558="","",IF(G2558="ACCEPTÉ","OUI","NON"))</f>
        <v/>
      </c>
      <c r="I2558" s="83"/>
      <c r="J2558" s="80"/>
      <c r="K2558" s="81"/>
      <c r="L2558" s="81"/>
      <c r="M2558" s="81"/>
      <c r="N2558" s="84" t="str">
        <f aca="false">IF(C2558="","",IF(P2558="","NJ INCONNU",IF(I2558="",IF(H2558="OUI","À ENROBER",IF(G2558="À SOUDER","NON SOUDÉ","EN ATTENTE RT")),IF(L2558="R","À REPRENDRE",IF(H2558&lt;&gt;"OUI","⚠ ENROBÉ AVANT ACCEPTATION RT","ENROBÉ")))))</f>
        <v/>
      </c>
      <c r="O2558" s="80"/>
      <c r="P2558" s="82" t="str">
        <f aca="false">IF(C2558="","",IFERROR(MATCH(Q2558,'CARNET DE SOUDURE'!$AW$7:$AW$3006,0),""))</f>
        <v/>
      </c>
      <c r="Q2558" s="82" t="str">
        <f aca="false">IF(C2558="","",B2558&amp;"|"&amp;C2558)</f>
        <v/>
      </c>
    </row>
    <row r="2559" customFormat="false" ht="15" hidden="false" customHeight="false" outlineLevel="0" collapsed="false">
      <c r="A2559" s="82" t="str">
        <f aca="false">IF(C2559="","",ROW()-6)</f>
        <v/>
      </c>
      <c r="B2559" s="80"/>
      <c r="C2559" s="113"/>
      <c r="D2559" s="82" t="str">
        <f aca="false">IF(OR(C2559="",P2559=""),"",INDEX('CARNET DE SOUDURE'!$D$7:$D$3006,P2559)&amp;"")</f>
        <v/>
      </c>
      <c r="E2559" s="114" t="str">
        <f aca="false">IF(OR(C2559="",P2559=""),"",IF(INDEX('CARNET DE SOUDURE'!$U$7:$U$3006,P2559)="","",INDEX('CARNET DE SOUDURE'!$U$7:$U$3006,P2559)))</f>
        <v/>
      </c>
      <c r="F2559" s="82" t="str">
        <f aca="false">IF(OR(C2559="",P2559=""),"",INDEX('CARNET DE SOUDURE'!$AP$7:$AP$3006,P2559))</f>
        <v/>
      </c>
      <c r="G2559" s="82" t="str">
        <f aca="false">IF(C2559="","",IF(P2559="","NJ INCONNU",INDEX('CARNET DE SOUDURE'!$AQ$7:$AQ$3006,P2559)))</f>
        <v/>
      </c>
      <c r="H2559" s="82" t="str">
        <f aca="false">IF(C2559="","",IF(G2559="ACCEPTÉ","OUI","NON"))</f>
        <v/>
      </c>
      <c r="I2559" s="83"/>
      <c r="J2559" s="80"/>
      <c r="K2559" s="81"/>
      <c r="L2559" s="81"/>
      <c r="M2559" s="81"/>
      <c r="N2559" s="84" t="str">
        <f aca="false">IF(C2559="","",IF(P2559="","NJ INCONNU",IF(I2559="",IF(H2559="OUI","À ENROBER",IF(G2559="À SOUDER","NON SOUDÉ","EN ATTENTE RT")),IF(L2559="R","À REPRENDRE",IF(H2559&lt;&gt;"OUI","⚠ ENROBÉ AVANT ACCEPTATION RT","ENROBÉ")))))</f>
        <v/>
      </c>
      <c r="O2559" s="80"/>
      <c r="P2559" s="82" t="str">
        <f aca="false">IF(C2559="","",IFERROR(MATCH(Q2559,'CARNET DE SOUDURE'!$AW$7:$AW$3006,0),""))</f>
        <v/>
      </c>
      <c r="Q2559" s="82" t="str">
        <f aca="false">IF(C2559="","",B2559&amp;"|"&amp;C2559)</f>
        <v/>
      </c>
    </row>
    <row r="2560" customFormat="false" ht="15" hidden="false" customHeight="false" outlineLevel="0" collapsed="false">
      <c r="A2560" s="82" t="str">
        <f aca="false">IF(C2560="","",ROW()-6)</f>
        <v/>
      </c>
      <c r="B2560" s="80"/>
      <c r="C2560" s="113"/>
      <c r="D2560" s="82" t="str">
        <f aca="false">IF(OR(C2560="",P2560=""),"",INDEX('CARNET DE SOUDURE'!$D$7:$D$3006,P2560)&amp;"")</f>
        <v/>
      </c>
      <c r="E2560" s="114" t="str">
        <f aca="false">IF(OR(C2560="",P2560=""),"",IF(INDEX('CARNET DE SOUDURE'!$U$7:$U$3006,P2560)="","",INDEX('CARNET DE SOUDURE'!$U$7:$U$3006,P2560)))</f>
        <v/>
      </c>
      <c r="F2560" s="82" t="str">
        <f aca="false">IF(OR(C2560="",P2560=""),"",INDEX('CARNET DE SOUDURE'!$AP$7:$AP$3006,P2560))</f>
        <v/>
      </c>
      <c r="G2560" s="82" t="str">
        <f aca="false">IF(C2560="","",IF(P2560="","NJ INCONNU",INDEX('CARNET DE SOUDURE'!$AQ$7:$AQ$3006,P2560)))</f>
        <v/>
      </c>
      <c r="H2560" s="82" t="str">
        <f aca="false">IF(C2560="","",IF(G2560="ACCEPTÉ","OUI","NON"))</f>
        <v/>
      </c>
      <c r="I2560" s="83"/>
      <c r="J2560" s="80"/>
      <c r="K2560" s="81"/>
      <c r="L2560" s="81"/>
      <c r="M2560" s="81"/>
      <c r="N2560" s="84" t="str">
        <f aca="false">IF(C2560="","",IF(P2560="","NJ INCONNU",IF(I2560="",IF(H2560="OUI","À ENROBER",IF(G2560="À SOUDER","NON SOUDÉ","EN ATTENTE RT")),IF(L2560="R","À REPRENDRE",IF(H2560&lt;&gt;"OUI","⚠ ENROBÉ AVANT ACCEPTATION RT","ENROBÉ")))))</f>
        <v/>
      </c>
      <c r="O2560" s="80"/>
      <c r="P2560" s="82" t="str">
        <f aca="false">IF(C2560="","",IFERROR(MATCH(Q2560,'CARNET DE SOUDURE'!$AW$7:$AW$3006,0),""))</f>
        <v/>
      </c>
      <c r="Q2560" s="82" t="str">
        <f aca="false">IF(C2560="","",B2560&amp;"|"&amp;C2560)</f>
        <v/>
      </c>
    </row>
    <row r="2561" customFormat="false" ht="15" hidden="false" customHeight="false" outlineLevel="0" collapsed="false">
      <c r="A2561" s="82" t="str">
        <f aca="false">IF(C2561="","",ROW()-6)</f>
        <v/>
      </c>
      <c r="B2561" s="80"/>
      <c r="C2561" s="113"/>
      <c r="D2561" s="82" t="str">
        <f aca="false">IF(OR(C2561="",P2561=""),"",INDEX('CARNET DE SOUDURE'!$D$7:$D$3006,P2561)&amp;"")</f>
        <v/>
      </c>
      <c r="E2561" s="114" t="str">
        <f aca="false">IF(OR(C2561="",P2561=""),"",IF(INDEX('CARNET DE SOUDURE'!$U$7:$U$3006,P2561)="","",INDEX('CARNET DE SOUDURE'!$U$7:$U$3006,P2561)))</f>
        <v/>
      </c>
      <c r="F2561" s="82" t="str">
        <f aca="false">IF(OR(C2561="",P2561=""),"",INDEX('CARNET DE SOUDURE'!$AP$7:$AP$3006,P2561))</f>
        <v/>
      </c>
      <c r="G2561" s="82" t="str">
        <f aca="false">IF(C2561="","",IF(P2561="","NJ INCONNU",INDEX('CARNET DE SOUDURE'!$AQ$7:$AQ$3006,P2561)))</f>
        <v/>
      </c>
      <c r="H2561" s="82" t="str">
        <f aca="false">IF(C2561="","",IF(G2561="ACCEPTÉ","OUI","NON"))</f>
        <v/>
      </c>
      <c r="I2561" s="83"/>
      <c r="J2561" s="80"/>
      <c r="K2561" s="81"/>
      <c r="L2561" s="81"/>
      <c r="M2561" s="81"/>
      <c r="N2561" s="84" t="str">
        <f aca="false">IF(C2561="","",IF(P2561="","NJ INCONNU",IF(I2561="",IF(H2561="OUI","À ENROBER",IF(G2561="À SOUDER","NON SOUDÉ","EN ATTENTE RT")),IF(L2561="R","À REPRENDRE",IF(H2561&lt;&gt;"OUI","⚠ ENROBÉ AVANT ACCEPTATION RT","ENROBÉ")))))</f>
        <v/>
      </c>
      <c r="O2561" s="80"/>
      <c r="P2561" s="82" t="str">
        <f aca="false">IF(C2561="","",IFERROR(MATCH(Q2561,'CARNET DE SOUDURE'!$AW$7:$AW$3006,0),""))</f>
        <v/>
      </c>
      <c r="Q2561" s="82" t="str">
        <f aca="false">IF(C2561="","",B2561&amp;"|"&amp;C2561)</f>
        <v/>
      </c>
    </row>
    <row r="2562" customFormat="false" ht="15" hidden="false" customHeight="false" outlineLevel="0" collapsed="false">
      <c r="A2562" s="82" t="str">
        <f aca="false">IF(C2562="","",ROW()-6)</f>
        <v/>
      </c>
      <c r="B2562" s="80"/>
      <c r="C2562" s="113"/>
      <c r="D2562" s="82" t="str">
        <f aca="false">IF(OR(C2562="",P2562=""),"",INDEX('CARNET DE SOUDURE'!$D$7:$D$3006,P2562)&amp;"")</f>
        <v/>
      </c>
      <c r="E2562" s="114" t="str">
        <f aca="false">IF(OR(C2562="",P2562=""),"",IF(INDEX('CARNET DE SOUDURE'!$U$7:$U$3006,P2562)="","",INDEX('CARNET DE SOUDURE'!$U$7:$U$3006,P2562)))</f>
        <v/>
      </c>
      <c r="F2562" s="82" t="str">
        <f aca="false">IF(OR(C2562="",P2562=""),"",INDEX('CARNET DE SOUDURE'!$AP$7:$AP$3006,P2562))</f>
        <v/>
      </c>
      <c r="G2562" s="82" t="str">
        <f aca="false">IF(C2562="","",IF(P2562="","NJ INCONNU",INDEX('CARNET DE SOUDURE'!$AQ$7:$AQ$3006,P2562)))</f>
        <v/>
      </c>
      <c r="H2562" s="82" t="str">
        <f aca="false">IF(C2562="","",IF(G2562="ACCEPTÉ","OUI","NON"))</f>
        <v/>
      </c>
      <c r="I2562" s="83"/>
      <c r="J2562" s="80"/>
      <c r="K2562" s="81"/>
      <c r="L2562" s="81"/>
      <c r="M2562" s="81"/>
      <c r="N2562" s="84" t="str">
        <f aca="false">IF(C2562="","",IF(P2562="","NJ INCONNU",IF(I2562="",IF(H2562="OUI","À ENROBER",IF(G2562="À SOUDER","NON SOUDÉ","EN ATTENTE RT")),IF(L2562="R","À REPRENDRE",IF(H2562&lt;&gt;"OUI","⚠ ENROBÉ AVANT ACCEPTATION RT","ENROBÉ")))))</f>
        <v/>
      </c>
      <c r="O2562" s="80"/>
      <c r="P2562" s="82" t="str">
        <f aca="false">IF(C2562="","",IFERROR(MATCH(Q2562,'CARNET DE SOUDURE'!$AW$7:$AW$3006,0),""))</f>
        <v/>
      </c>
      <c r="Q2562" s="82" t="str">
        <f aca="false">IF(C2562="","",B2562&amp;"|"&amp;C2562)</f>
        <v/>
      </c>
    </row>
    <row r="2563" customFormat="false" ht="15" hidden="false" customHeight="false" outlineLevel="0" collapsed="false">
      <c r="A2563" s="82" t="str">
        <f aca="false">IF(C2563="","",ROW()-6)</f>
        <v/>
      </c>
      <c r="B2563" s="80"/>
      <c r="C2563" s="113"/>
      <c r="D2563" s="82" t="str">
        <f aca="false">IF(OR(C2563="",P2563=""),"",INDEX('CARNET DE SOUDURE'!$D$7:$D$3006,P2563)&amp;"")</f>
        <v/>
      </c>
      <c r="E2563" s="114" t="str">
        <f aca="false">IF(OR(C2563="",P2563=""),"",IF(INDEX('CARNET DE SOUDURE'!$U$7:$U$3006,P2563)="","",INDEX('CARNET DE SOUDURE'!$U$7:$U$3006,P2563)))</f>
        <v/>
      </c>
      <c r="F2563" s="82" t="str">
        <f aca="false">IF(OR(C2563="",P2563=""),"",INDEX('CARNET DE SOUDURE'!$AP$7:$AP$3006,P2563))</f>
        <v/>
      </c>
      <c r="G2563" s="82" t="str">
        <f aca="false">IF(C2563="","",IF(P2563="","NJ INCONNU",INDEX('CARNET DE SOUDURE'!$AQ$7:$AQ$3006,P2563)))</f>
        <v/>
      </c>
      <c r="H2563" s="82" t="str">
        <f aca="false">IF(C2563="","",IF(G2563="ACCEPTÉ","OUI","NON"))</f>
        <v/>
      </c>
      <c r="I2563" s="83"/>
      <c r="J2563" s="80"/>
      <c r="K2563" s="81"/>
      <c r="L2563" s="81"/>
      <c r="M2563" s="81"/>
      <c r="N2563" s="84" t="str">
        <f aca="false">IF(C2563="","",IF(P2563="","NJ INCONNU",IF(I2563="",IF(H2563="OUI","À ENROBER",IF(G2563="À SOUDER","NON SOUDÉ","EN ATTENTE RT")),IF(L2563="R","À REPRENDRE",IF(H2563&lt;&gt;"OUI","⚠ ENROBÉ AVANT ACCEPTATION RT","ENROBÉ")))))</f>
        <v/>
      </c>
      <c r="O2563" s="80"/>
      <c r="P2563" s="82" t="str">
        <f aca="false">IF(C2563="","",IFERROR(MATCH(Q2563,'CARNET DE SOUDURE'!$AW$7:$AW$3006,0),""))</f>
        <v/>
      </c>
      <c r="Q2563" s="82" t="str">
        <f aca="false">IF(C2563="","",B2563&amp;"|"&amp;C2563)</f>
        <v/>
      </c>
    </row>
    <row r="2564" customFormat="false" ht="15" hidden="false" customHeight="false" outlineLevel="0" collapsed="false">
      <c r="A2564" s="82" t="str">
        <f aca="false">IF(C2564="","",ROW()-6)</f>
        <v/>
      </c>
      <c r="B2564" s="80"/>
      <c r="C2564" s="113"/>
      <c r="D2564" s="82" t="str">
        <f aca="false">IF(OR(C2564="",P2564=""),"",INDEX('CARNET DE SOUDURE'!$D$7:$D$3006,P2564)&amp;"")</f>
        <v/>
      </c>
      <c r="E2564" s="114" t="str">
        <f aca="false">IF(OR(C2564="",P2564=""),"",IF(INDEX('CARNET DE SOUDURE'!$U$7:$U$3006,P2564)="","",INDEX('CARNET DE SOUDURE'!$U$7:$U$3006,P2564)))</f>
        <v/>
      </c>
      <c r="F2564" s="82" t="str">
        <f aca="false">IF(OR(C2564="",P2564=""),"",INDEX('CARNET DE SOUDURE'!$AP$7:$AP$3006,P2564))</f>
        <v/>
      </c>
      <c r="G2564" s="82" t="str">
        <f aca="false">IF(C2564="","",IF(P2564="","NJ INCONNU",INDEX('CARNET DE SOUDURE'!$AQ$7:$AQ$3006,P2564)))</f>
        <v/>
      </c>
      <c r="H2564" s="82" t="str">
        <f aca="false">IF(C2564="","",IF(G2564="ACCEPTÉ","OUI","NON"))</f>
        <v/>
      </c>
      <c r="I2564" s="83"/>
      <c r="J2564" s="80"/>
      <c r="K2564" s="81"/>
      <c r="L2564" s="81"/>
      <c r="M2564" s="81"/>
      <c r="N2564" s="84" t="str">
        <f aca="false">IF(C2564="","",IF(P2564="","NJ INCONNU",IF(I2564="",IF(H2564="OUI","À ENROBER",IF(G2564="À SOUDER","NON SOUDÉ","EN ATTENTE RT")),IF(L2564="R","À REPRENDRE",IF(H2564&lt;&gt;"OUI","⚠ ENROBÉ AVANT ACCEPTATION RT","ENROBÉ")))))</f>
        <v/>
      </c>
      <c r="O2564" s="80"/>
      <c r="P2564" s="82" t="str">
        <f aca="false">IF(C2564="","",IFERROR(MATCH(Q2564,'CARNET DE SOUDURE'!$AW$7:$AW$3006,0),""))</f>
        <v/>
      </c>
      <c r="Q2564" s="82" t="str">
        <f aca="false">IF(C2564="","",B2564&amp;"|"&amp;C2564)</f>
        <v/>
      </c>
    </row>
    <row r="2565" customFormat="false" ht="15" hidden="false" customHeight="false" outlineLevel="0" collapsed="false">
      <c r="A2565" s="82" t="str">
        <f aca="false">IF(C2565="","",ROW()-6)</f>
        <v/>
      </c>
      <c r="B2565" s="80"/>
      <c r="C2565" s="113"/>
      <c r="D2565" s="82" t="str">
        <f aca="false">IF(OR(C2565="",P2565=""),"",INDEX('CARNET DE SOUDURE'!$D$7:$D$3006,P2565)&amp;"")</f>
        <v/>
      </c>
      <c r="E2565" s="114" t="str">
        <f aca="false">IF(OR(C2565="",P2565=""),"",IF(INDEX('CARNET DE SOUDURE'!$U$7:$U$3006,P2565)="","",INDEX('CARNET DE SOUDURE'!$U$7:$U$3006,P2565)))</f>
        <v/>
      </c>
      <c r="F2565" s="82" t="str">
        <f aca="false">IF(OR(C2565="",P2565=""),"",INDEX('CARNET DE SOUDURE'!$AP$7:$AP$3006,P2565))</f>
        <v/>
      </c>
      <c r="G2565" s="82" t="str">
        <f aca="false">IF(C2565="","",IF(P2565="","NJ INCONNU",INDEX('CARNET DE SOUDURE'!$AQ$7:$AQ$3006,P2565)))</f>
        <v/>
      </c>
      <c r="H2565" s="82" t="str">
        <f aca="false">IF(C2565="","",IF(G2565="ACCEPTÉ","OUI","NON"))</f>
        <v/>
      </c>
      <c r="I2565" s="83"/>
      <c r="J2565" s="80"/>
      <c r="K2565" s="81"/>
      <c r="L2565" s="81"/>
      <c r="M2565" s="81"/>
      <c r="N2565" s="84" t="str">
        <f aca="false">IF(C2565="","",IF(P2565="","NJ INCONNU",IF(I2565="",IF(H2565="OUI","À ENROBER",IF(G2565="À SOUDER","NON SOUDÉ","EN ATTENTE RT")),IF(L2565="R","À REPRENDRE",IF(H2565&lt;&gt;"OUI","⚠ ENROBÉ AVANT ACCEPTATION RT","ENROBÉ")))))</f>
        <v/>
      </c>
      <c r="O2565" s="80"/>
      <c r="P2565" s="82" t="str">
        <f aca="false">IF(C2565="","",IFERROR(MATCH(Q2565,'CARNET DE SOUDURE'!$AW$7:$AW$3006,0),""))</f>
        <v/>
      </c>
      <c r="Q2565" s="82" t="str">
        <f aca="false">IF(C2565="","",B2565&amp;"|"&amp;C2565)</f>
        <v/>
      </c>
    </row>
    <row r="2566" customFormat="false" ht="15" hidden="false" customHeight="false" outlineLevel="0" collapsed="false">
      <c r="A2566" s="82" t="str">
        <f aca="false">IF(C2566="","",ROW()-6)</f>
        <v/>
      </c>
      <c r="B2566" s="80"/>
      <c r="C2566" s="113"/>
      <c r="D2566" s="82" t="str">
        <f aca="false">IF(OR(C2566="",P2566=""),"",INDEX('CARNET DE SOUDURE'!$D$7:$D$3006,P2566)&amp;"")</f>
        <v/>
      </c>
      <c r="E2566" s="114" t="str">
        <f aca="false">IF(OR(C2566="",P2566=""),"",IF(INDEX('CARNET DE SOUDURE'!$U$7:$U$3006,P2566)="","",INDEX('CARNET DE SOUDURE'!$U$7:$U$3006,P2566)))</f>
        <v/>
      </c>
      <c r="F2566" s="82" t="str">
        <f aca="false">IF(OR(C2566="",P2566=""),"",INDEX('CARNET DE SOUDURE'!$AP$7:$AP$3006,P2566))</f>
        <v/>
      </c>
      <c r="G2566" s="82" t="str">
        <f aca="false">IF(C2566="","",IF(P2566="","NJ INCONNU",INDEX('CARNET DE SOUDURE'!$AQ$7:$AQ$3006,P2566)))</f>
        <v/>
      </c>
      <c r="H2566" s="82" t="str">
        <f aca="false">IF(C2566="","",IF(G2566="ACCEPTÉ","OUI","NON"))</f>
        <v/>
      </c>
      <c r="I2566" s="83"/>
      <c r="J2566" s="80"/>
      <c r="K2566" s="81"/>
      <c r="L2566" s="81"/>
      <c r="M2566" s="81"/>
      <c r="N2566" s="84" t="str">
        <f aca="false">IF(C2566="","",IF(P2566="","NJ INCONNU",IF(I2566="",IF(H2566="OUI","À ENROBER",IF(G2566="À SOUDER","NON SOUDÉ","EN ATTENTE RT")),IF(L2566="R","À REPRENDRE",IF(H2566&lt;&gt;"OUI","⚠ ENROBÉ AVANT ACCEPTATION RT","ENROBÉ")))))</f>
        <v/>
      </c>
      <c r="O2566" s="80"/>
      <c r="P2566" s="82" t="str">
        <f aca="false">IF(C2566="","",IFERROR(MATCH(Q2566,'CARNET DE SOUDURE'!$AW$7:$AW$3006,0),""))</f>
        <v/>
      </c>
      <c r="Q2566" s="82" t="str">
        <f aca="false">IF(C2566="","",B2566&amp;"|"&amp;C2566)</f>
        <v/>
      </c>
    </row>
    <row r="2567" customFormat="false" ht="15" hidden="false" customHeight="false" outlineLevel="0" collapsed="false">
      <c r="A2567" s="82" t="str">
        <f aca="false">IF(C2567="","",ROW()-6)</f>
        <v/>
      </c>
      <c r="B2567" s="80"/>
      <c r="C2567" s="113"/>
      <c r="D2567" s="82" t="str">
        <f aca="false">IF(OR(C2567="",P2567=""),"",INDEX('CARNET DE SOUDURE'!$D$7:$D$3006,P2567)&amp;"")</f>
        <v/>
      </c>
      <c r="E2567" s="114" t="str">
        <f aca="false">IF(OR(C2567="",P2567=""),"",IF(INDEX('CARNET DE SOUDURE'!$U$7:$U$3006,P2567)="","",INDEX('CARNET DE SOUDURE'!$U$7:$U$3006,P2567)))</f>
        <v/>
      </c>
      <c r="F2567" s="82" t="str">
        <f aca="false">IF(OR(C2567="",P2567=""),"",INDEX('CARNET DE SOUDURE'!$AP$7:$AP$3006,P2567))</f>
        <v/>
      </c>
      <c r="G2567" s="82" t="str">
        <f aca="false">IF(C2567="","",IF(P2567="","NJ INCONNU",INDEX('CARNET DE SOUDURE'!$AQ$7:$AQ$3006,P2567)))</f>
        <v/>
      </c>
      <c r="H2567" s="82" t="str">
        <f aca="false">IF(C2567="","",IF(G2567="ACCEPTÉ","OUI","NON"))</f>
        <v/>
      </c>
      <c r="I2567" s="83"/>
      <c r="J2567" s="80"/>
      <c r="K2567" s="81"/>
      <c r="L2567" s="81"/>
      <c r="M2567" s="81"/>
      <c r="N2567" s="84" t="str">
        <f aca="false">IF(C2567="","",IF(P2567="","NJ INCONNU",IF(I2567="",IF(H2567="OUI","À ENROBER",IF(G2567="À SOUDER","NON SOUDÉ","EN ATTENTE RT")),IF(L2567="R","À REPRENDRE",IF(H2567&lt;&gt;"OUI","⚠ ENROBÉ AVANT ACCEPTATION RT","ENROBÉ")))))</f>
        <v/>
      </c>
      <c r="O2567" s="80"/>
      <c r="P2567" s="82" t="str">
        <f aca="false">IF(C2567="","",IFERROR(MATCH(Q2567,'CARNET DE SOUDURE'!$AW$7:$AW$3006,0),""))</f>
        <v/>
      </c>
      <c r="Q2567" s="82" t="str">
        <f aca="false">IF(C2567="","",B2567&amp;"|"&amp;C2567)</f>
        <v/>
      </c>
    </row>
    <row r="2568" customFormat="false" ht="15" hidden="false" customHeight="false" outlineLevel="0" collapsed="false">
      <c r="A2568" s="82" t="str">
        <f aca="false">IF(C2568="","",ROW()-6)</f>
        <v/>
      </c>
      <c r="B2568" s="80"/>
      <c r="C2568" s="113"/>
      <c r="D2568" s="82" t="str">
        <f aca="false">IF(OR(C2568="",P2568=""),"",INDEX('CARNET DE SOUDURE'!$D$7:$D$3006,P2568)&amp;"")</f>
        <v/>
      </c>
      <c r="E2568" s="114" t="str">
        <f aca="false">IF(OR(C2568="",P2568=""),"",IF(INDEX('CARNET DE SOUDURE'!$U$7:$U$3006,P2568)="","",INDEX('CARNET DE SOUDURE'!$U$7:$U$3006,P2568)))</f>
        <v/>
      </c>
      <c r="F2568" s="82" t="str">
        <f aca="false">IF(OR(C2568="",P2568=""),"",INDEX('CARNET DE SOUDURE'!$AP$7:$AP$3006,P2568))</f>
        <v/>
      </c>
      <c r="G2568" s="82" t="str">
        <f aca="false">IF(C2568="","",IF(P2568="","NJ INCONNU",INDEX('CARNET DE SOUDURE'!$AQ$7:$AQ$3006,P2568)))</f>
        <v/>
      </c>
      <c r="H2568" s="82" t="str">
        <f aca="false">IF(C2568="","",IF(G2568="ACCEPTÉ","OUI","NON"))</f>
        <v/>
      </c>
      <c r="I2568" s="83"/>
      <c r="J2568" s="80"/>
      <c r="K2568" s="81"/>
      <c r="L2568" s="81"/>
      <c r="M2568" s="81"/>
      <c r="N2568" s="84" t="str">
        <f aca="false">IF(C2568="","",IF(P2568="","NJ INCONNU",IF(I2568="",IF(H2568="OUI","À ENROBER",IF(G2568="À SOUDER","NON SOUDÉ","EN ATTENTE RT")),IF(L2568="R","À REPRENDRE",IF(H2568&lt;&gt;"OUI","⚠ ENROBÉ AVANT ACCEPTATION RT","ENROBÉ")))))</f>
        <v/>
      </c>
      <c r="O2568" s="80"/>
      <c r="P2568" s="82" t="str">
        <f aca="false">IF(C2568="","",IFERROR(MATCH(Q2568,'CARNET DE SOUDURE'!$AW$7:$AW$3006,0),""))</f>
        <v/>
      </c>
      <c r="Q2568" s="82" t="str">
        <f aca="false">IF(C2568="","",B2568&amp;"|"&amp;C2568)</f>
        <v/>
      </c>
    </row>
    <row r="2569" customFormat="false" ht="15" hidden="false" customHeight="false" outlineLevel="0" collapsed="false">
      <c r="A2569" s="82" t="str">
        <f aca="false">IF(C2569="","",ROW()-6)</f>
        <v/>
      </c>
      <c r="B2569" s="80"/>
      <c r="C2569" s="113"/>
      <c r="D2569" s="82" t="str">
        <f aca="false">IF(OR(C2569="",P2569=""),"",INDEX('CARNET DE SOUDURE'!$D$7:$D$3006,P2569)&amp;"")</f>
        <v/>
      </c>
      <c r="E2569" s="114" t="str">
        <f aca="false">IF(OR(C2569="",P2569=""),"",IF(INDEX('CARNET DE SOUDURE'!$U$7:$U$3006,P2569)="","",INDEX('CARNET DE SOUDURE'!$U$7:$U$3006,P2569)))</f>
        <v/>
      </c>
      <c r="F2569" s="82" t="str">
        <f aca="false">IF(OR(C2569="",P2569=""),"",INDEX('CARNET DE SOUDURE'!$AP$7:$AP$3006,P2569))</f>
        <v/>
      </c>
      <c r="G2569" s="82" t="str">
        <f aca="false">IF(C2569="","",IF(P2569="","NJ INCONNU",INDEX('CARNET DE SOUDURE'!$AQ$7:$AQ$3006,P2569)))</f>
        <v/>
      </c>
      <c r="H2569" s="82" t="str">
        <f aca="false">IF(C2569="","",IF(G2569="ACCEPTÉ","OUI","NON"))</f>
        <v/>
      </c>
      <c r="I2569" s="83"/>
      <c r="J2569" s="80"/>
      <c r="K2569" s="81"/>
      <c r="L2569" s="81"/>
      <c r="M2569" s="81"/>
      <c r="N2569" s="84" t="str">
        <f aca="false">IF(C2569="","",IF(P2569="","NJ INCONNU",IF(I2569="",IF(H2569="OUI","À ENROBER",IF(G2569="À SOUDER","NON SOUDÉ","EN ATTENTE RT")),IF(L2569="R","À REPRENDRE",IF(H2569&lt;&gt;"OUI","⚠ ENROBÉ AVANT ACCEPTATION RT","ENROBÉ")))))</f>
        <v/>
      </c>
      <c r="O2569" s="80"/>
      <c r="P2569" s="82" t="str">
        <f aca="false">IF(C2569="","",IFERROR(MATCH(Q2569,'CARNET DE SOUDURE'!$AW$7:$AW$3006,0),""))</f>
        <v/>
      </c>
      <c r="Q2569" s="82" t="str">
        <f aca="false">IF(C2569="","",B2569&amp;"|"&amp;C2569)</f>
        <v/>
      </c>
    </row>
    <row r="2570" customFormat="false" ht="15" hidden="false" customHeight="false" outlineLevel="0" collapsed="false">
      <c r="A2570" s="82" t="str">
        <f aca="false">IF(C2570="","",ROW()-6)</f>
        <v/>
      </c>
      <c r="B2570" s="80"/>
      <c r="C2570" s="113"/>
      <c r="D2570" s="82" t="str">
        <f aca="false">IF(OR(C2570="",P2570=""),"",INDEX('CARNET DE SOUDURE'!$D$7:$D$3006,P2570)&amp;"")</f>
        <v/>
      </c>
      <c r="E2570" s="114" t="str">
        <f aca="false">IF(OR(C2570="",P2570=""),"",IF(INDEX('CARNET DE SOUDURE'!$U$7:$U$3006,P2570)="","",INDEX('CARNET DE SOUDURE'!$U$7:$U$3006,P2570)))</f>
        <v/>
      </c>
      <c r="F2570" s="82" t="str">
        <f aca="false">IF(OR(C2570="",P2570=""),"",INDEX('CARNET DE SOUDURE'!$AP$7:$AP$3006,P2570))</f>
        <v/>
      </c>
      <c r="G2570" s="82" t="str">
        <f aca="false">IF(C2570="","",IF(P2570="","NJ INCONNU",INDEX('CARNET DE SOUDURE'!$AQ$7:$AQ$3006,P2570)))</f>
        <v/>
      </c>
      <c r="H2570" s="82" t="str">
        <f aca="false">IF(C2570="","",IF(G2570="ACCEPTÉ","OUI","NON"))</f>
        <v/>
      </c>
      <c r="I2570" s="83"/>
      <c r="J2570" s="80"/>
      <c r="K2570" s="81"/>
      <c r="L2570" s="81"/>
      <c r="M2570" s="81"/>
      <c r="N2570" s="84" t="str">
        <f aca="false">IF(C2570="","",IF(P2570="","NJ INCONNU",IF(I2570="",IF(H2570="OUI","À ENROBER",IF(G2570="À SOUDER","NON SOUDÉ","EN ATTENTE RT")),IF(L2570="R","À REPRENDRE",IF(H2570&lt;&gt;"OUI","⚠ ENROBÉ AVANT ACCEPTATION RT","ENROBÉ")))))</f>
        <v/>
      </c>
      <c r="O2570" s="80"/>
      <c r="P2570" s="82" t="str">
        <f aca="false">IF(C2570="","",IFERROR(MATCH(Q2570,'CARNET DE SOUDURE'!$AW$7:$AW$3006,0),""))</f>
        <v/>
      </c>
      <c r="Q2570" s="82" t="str">
        <f aca="false">IF(C2570="","",B2570&amp;"|"&amp;C2570)</f>
        <v/>
      </c>
    </row>
    <row r="2571" customFormat="false" ht="15" hidden="false" customHeight="false" outlineLevel="0" collapsed="false">
      <c r="A2571" s="82" t="str">
        <f aca="false">IF(C2571="","",ROW()-6)</f>
        <v/>
      </c>
      <c r="B2571" s="80"/>
      <c r="C2571" s="113"/>
      <c r="D2571" s="82" t="str">
        <f aca="false">IF(OR(C2571="",P2571=""),"",INDEX('CARNET DE SOUDURE'!$D$7:$D$3006,P2571)&amp;"")</f>
        <v/>
      </c>
      <c r="E2571" s="114" t="str">
        <f aca="false">IF(OR(C2571="",P2571=""),"",IF(INDEX('CARNET DE SOUDURE'!$U$7:$U$3006,P2571)="","",INDEX('CARNET DE SOUDURE'!$U$7:$U$3006,P2571)))</f>
        <v/>
      </c>
      <c r="F2571" s="82" t="str">
        <f aca="false">IF(OR(C2571="",P2571=""),"",INDEX('CARNET DE SOUDURE'!$AP$7:$AP$3006,P2571))</f>
        <v/>
      </c>
      <c r="G2571" s="82" t="str">
        <f aca="false">IF(C2571="","",IF(P2571="","NJ INCONNU",INDEX('CARNET DE SOUDURE'!$AQ$7:$AQ$3006,P2571)))</f>
        <v/>
      </c>
      <c r="H2571" s="82" t="str">
        <f aca="false">IF(C2571="","",IF(G2571="ACCEPTÉ","OUI","NON"))</f>
        <v/>
      </c>
      <c r="I2571" s="83"/>
      <c r="J2571" s="80"/>
      <c r="K2571" s="81"/>
      <c r="L2571" s="81"/>
      <c r="M2571" s="81"/>
      <c r="N2571" s="84" t="str">
        <f aca="false">IF(C2571="","",IF(P2571="","NJ INCONNU",IF(I2571="",IF(H2571="OUI","À ENROBER",IF(G2571="À SOUDER","NON SOUDÉ","EN ATTENTE RT")),IF(L2571="R","À REPRENDRE",IF(H2571&lt;&gt;"OUI","⚠ ENROBÉ AVANT ACCEPTATION RT","ENROBÉ")))))</f>
        <v/>
      </c>
      <c r="O2571" s="80"/>
      <c r="P2571" s="82" t="str">
        <f aca="false">IF(C2571="","",IFERROR(MATCH(Q2571,'CARNET DE SOUDURE'!$AW$7:$AW$3006,0),""))</f>
        <v/>
      </c>
      <c r="Q2571" s="82" t="str">
        <f aca="false">IF(C2571="","",B2571&amp;"|"&amp;C2571)</f>
        <v/>
      </c>
    </row>
    <row r="2572" customFormat="false" ht="15" hidden="false" customHeight="false" outlineLevel="0" collapsed="false">
      <c r="A2572" s="82" t="str">
        <f aca="false">IF(C2572="","",ROW()-6)</f>
        <v/>
      </c>
      <c r="B2572" s="80"/>
      <c r="C2572" s="113"/>
      <c r="D2572" s="82" t="str">
        <f aca="false">IF(OR(C2572="",P2572=""),"",INDEX('CARNET DE SOUDURE'!$D$7:$D$3006,P2572)&amp;"")</f>
        <v/>
      </c>
      <c r="E2572" s="114" t="str">
        <f aca="false">IF(OR(C2572="",P2572=""),"",IF(INDEX('CARNET DE SOUDURE'!$U$7:$U$3006,P2572)="","",INDEX('CARNET DE SOUDURE'!$U$7:$U$3006,P2572)))</f>
        <v/>
      </c>
      <c r="F2572" s="82" t="str">
        <f aca="false">IF(OR(C2572="",P2572=""),"",INDEX('CARNET DE SOUDURE'!$AP$7:$AP$3006,P2572))</f>
        <v/>
      </c>
      <c r="G2572" s="82" t="str">
        <f aca="false">IF(C2572="","",IF(P2572="","NJ INCONNU",INDEX('CARNET DE SOUDURE'!$AQ$7:$AQ$3006,P2572)))</f>
        <v/>
      </c>
      <c r="H2572" s="82" t="str">
        <f aca="false">IF(C2572="","",IF(G2572="ACCEPTÉ","OUI","NON"))</f>
        <v/>
      </c>
      <c r="I2572" s="83"/>
      <c r="J2572" s="80"/>
      <c r="K2572" s="81"/>
      <c r="L2572" s="81"/>
      <c r="M2572" s="81"/>
      <c r="N2572" s="84" t="str">
        <f aca="false">IF(C2572="","",IF(P2572="","NJ INCONNU",IF(I2572="",IF(H2572="OUI","À ENROBER",IF(G2572="À SOUDER","NON SOUDÉ","EN ATTENTE RT")),IF(L2572="R","À REPRENDRE",IF(H2572&lt;&gt;"OUI","⚠ ENROBÉ AVANT ACCEPTATION RT","ENROBÉ")))))</f>
        <v/>
      </c>
      <c r="O2572" s="80"/>
      <c r="P2572" s="82" t="str">
        <f aca="false">IF(C2572="","",IFERROR(MATCH(Q2572,'CARNET DE SOUDURE'!$AW$7:$AW$3006,0),""))</f>
        <v/>
      </c>
      <c r="Q2572" s="82" t="str">
        <f aca="false">IF(C2572="","",B2572&amp;"|"&amp;C2572)</f>
        <v/>
      </c>
    </row>
    <row r="2573" customFormat="false" ht="15" hidden="false" customHeight="false" outlineLevel="0" collapsed="false">
      <c r="A2573" s="82" t="str">
        <f aca="false">IF(C2573="","",ROW()-6)</f>
        <v/>
      </c>
      <c r="B2573" s="80"/>
      <c r="C2573" s="113"/>
      <c r="D2573" s="82" t="str">
        <f aca="false">IF(OR(C2573="",P2573=""),"",INDEX('CARNET DE SOUDURE'!$D$7:$D$3006,P2573)&amp;"")</f>
        <v/>
      </c>
      <c r="E2573" s="114" t="str">
        <f aca="false">IF(OR(C2573="",P2573=""),"",IF(INDEX('CARNET DE SOUDURE'!$U$7:$U$3006,P2573)="","",INDEX('CARNET DE SOUDURE'!$U$7:$U$3006,P2573)))</f>
        <v/>
      </c>
      <c r="F2573" s="82" t="str">
        <f aca="false">IF(OR(C2573="",P2573=""),"",INDEX('CARNET DE SOUDURE'!$AP$7:$AP$3006,P2573))</f>
        <v/>
      </c>
      <c r="G2573" s="82" t="str">
        <f aca="false">IF(C2573="","",IF(P2573="","NJ INCONNU",INDEX('CARNET DE SOUDURE'!$AQ$7:$AQ$3006,P2573)))</f>
        <v/>
      </c>
      <c r="H2573" s="82" t="str">
        <f aca="false">IF(C2573="","",IF(G2573="ACCEPTÉ","OUI","NON"))</f>
        <v/>
      </c>
      <c r="I2573" s="83"/>
      <c r="J2573" s="80"/>
      <c r="K2573" s="81"/>
      <c r="L2573" s="81"/>
      <c r="M2573" s="81"/>
      <c r="N2573" s="84" t="str">
        <f aca="false">IF(C2573="","",IF(P2573="","NJ INCONNU",IF(I2573="",IF(H2573="OUI","À ENROBER",IF(G2573="À SOUDER","NON SOUDÉ","EN ATTENTE RT")),IF(L2573="R","À REPRENDRE",IF(H2573&lt;&gt;"OUI","⚠ ENROBÉ AVANT ACCEPTATION RT","ENROBÉ")))))</f>
        <v/>
      </c>
      <c r="O2573" s="80"/>
      <c r="P2573" s="82" t="str">
        <f aca="false">IF(C2573="","",IFERROR(MATCH(Q2573,'CARNET DE SOUDURE'!$AW$7:$AW$3006,0),""))</f>
        <v/>
      </c>
      <c r="Q2573" s="82" t="str">
        <f aca="false">IF(C2573="","",B2573&amp;"|"&amp;C2573)</f>
        <v/>
      </c>
    </row>
    <row r="2574" customFormat="false" ht="15" hidden="false" customHeight="false" outlineLevel="0" collapsed="false">
      <c r="A2574" s="82" t="str">
        <f aca="false">IF(C2574="","",ROW()-6)</f>
        <v/>
      </c>
      <c r="B2574" s="80"/>
      <c r="C2574" s="113"/>
      <c r="D2574" s="82" t="str">
        <f aca="false">IF(OR(C2574="",P2574=""),"",INDEX('CARNET DE SOUDURE'!$D$7:$D$3006,P2574)&amp;"")</f>
        <v/>
      </c>
      <c r="E2574" s="114" t="str">
        <f aca="false">IF(OR(C2574="",P2574=""),"",IF(INDEX('CARNET DE SOUDURE'!$U$7:$U$3006,P2574)="","",INDEX('CARNET DE SOUDURE'!$U$7:$U$3006,P2574)))</f>
        <v/>
      </c>
      <c r="F2574" s="82" t="str">
        <f aca="false">IF(OR(C2574="",P2574=""),"",INDEX('CARNET DE SOUDURE'!$AP$7:$AP$3006,P2574))</f>
        <v/>
      </c>
      <c r="G2574" s="82" t="str">
        <f aca="false">IF(C2574="","",IF(P2574="","NJ INCONNU",INDEX('CARNET DE SOUDURE'!$AQ$7:$AQ$3006,P2574)))</f>
        <v/>
      </c>
      <c r="H2574" s="82" t="str">
        <f aca="false">IF(C2574="","",IF(G2574="ACCEPTÉ","OUI","NON"))</f>
        <v/>
      </c>
      <c r="I2574" s="83"/>
      <c r="J2574" s="80"/>
      <c r="K2574" s="81"/>
      <c r="L2574" s="81"/>
      <c r="M2574" s="81"/>
      <c r="N2574" s="84" t="str">
        <f aca="false">IF(C2574="","",IF(P2574="","NJ INCONNU",IF(I2574="",IF(H2574="OUI","À ENROBER",IF(G2574="À SOUDER","NON SOUDÉ","EN ATTENTE RT")),IF(L2574="R","À REPRENDRE",IF(H2574&lt;&gt;"OUI","⚠ ENROBÉ AVANT ACCEPTATION RT","ENROBÉ")))))</f>
        <v/>
      </c>
      <c r="O2574" s="80"/>
      <c r="P2574" s="82" t="str">
        <f aca="false">IF(C2574="","",IFERROR(MATCH(Q2574,'CARNET DE SOUDURE'!$AW$7:$AW$3006,0),""))</f>
        <v/>
      </c>
      <c r="Q2574" s="82" t="str">
        <f aca="false">IF(C2574="","",B2574&amp;"|"&amp;C2574)</f>
        <v/>
      </c>
    </row>
    <row r="2575" customFormat="false" ht="15" hidden="false" customHeight="false" outlineLevel="0" collapsed="false">
      <c r="A2575" s="82" t="str">
        <f aca="false">IF(C2575="","",ROW()-6)</f>
        <v/>
      </c>
      <c r="B2575" s="80"/>
      <c r="C2575" s="113"/>
      <c r="D2575" s="82" t="str">
        <f aca="false">IF(OR(C2575="",P2575=""),"",INDEX('CARNET DE SOUDURE'!$D$7:$D$3006,P2575)&amp;"")</f>
        <v/>
      </c>
      <c r="E2575" s="114" t="str">
        <f aca="false">IF(OR(C2575="",P2575=""),"",IF(INDEX('CARNET DE SOUDURE'!$U$7:$U$3006,P2575)="","",INDEX('CARNET DE SOUDURE'!$U$7:$U$3006,P2575)))</f>
        <v/>
      </c>
      <c r="F2575" s="82" t="str">
        <f aca="false">IF(OR(C2575="",P2575=""),"",INDEX('CARNET DE SOUDURE'!$AP$7:$AP$3006,P2575))</f>
        <v/>
      </c>
      <c r="G2575" s="82" t="str">
        <f aca="false">IF(C2575="","",IF(P2575="","NJ INCONNU",INDEX('CARNET DE SOUDURE'!$AQ$7:$AQ$3006,P2575)))</f>
        <v/>
      </c>
      <c r="H2575" s="82" t="str">
        <f aca="false">IF(C2575="","",IF(G2575="ACCEPTÉ","OUI","NON"))</f>
        <v/>
      </c>
      <c r="I2575" s="83"/>
      <c r="J2575" s="80"/>
      <c r="K2575" s="81"/>
      <c r="L2575" s="81"/>
      <c r="M2575" s="81"/>
      <c r="N2575" s="84" t="str">
        <f aca="false">IF(C2575="","",IF(P2575="","NJ INCONNU",IF(I2575="",IF(H2575="OUI","À ENROBER",IF(G2575="À SOUDER","NON SOUDÉ","EN ATTENTE RT")),IF(L2575="R","À REPRENDRE",IF(H2575&lt;&gt;"OUI","⚠ ENROBÉ AVANT ACCEPTATION RT","ENROBÉ")))))</f>
        <v/>
      </c>
      <c r="O2575" s="80"/>
      <c r="P2575" s="82" t="str">
        <f aca="false">IF(C2575="","",IFERROR(MATCH(Q2575,'CARNET DE SOUDURE'!$AW$7:$AW$3006,0),""))</f>
        <v/>
      </c>
      <c r="Q2575" s="82" t="str">
        <f aca="false">IF(C2575="","",B2575&amp;"|"&amp;C2575)</f>
        <v/>
      </c>
    </row>
    <row r="2576" customFormat="false" ht="15" hidden="false" customHeight="false" outlineLevel="0" collapsed="false">
      <c r="A2576" s="82" t="str">
        <f aca="false">IF(C2576="","",ROW()-6)</f>
        <v/>
      </c>
      <c r="B2576" s="80"/>
      <c r="C2576" s="113"/>
      <c r="D2576" s="82" t="str">
        <f aca="false">IF(OR(C2576="",P2576=""),"",INDEX('CARNET DE SOUDURE'!$D$7:$D$3006,P2576)&amp;"")</f>
        <v/>
      </c>
      <c r="E2576" s="114" t="str">
        <f aca="false">IF(OR(C2576="",P2576=""),"",IF(INDEX('CARNET DE SOUDURE'!$U$7:$U$3006,P2576)="","",INDEX('CARNET DE SOUDURE'!$U$7:$U$3006,P2576)))</f>
        <v/>
      </c>
      <c r="F2576" s="82" t="str">
        <f aca="false">IF(OR(C2576="",P2576=""),"",INDEX('CARNET DE SOUDURE'!$AP$7:$AP$3006,P2576))</f>
        <v/>
      </c>
      <c r="G2576" s="82" t="str">
        <f aca="false">IF(C2576="","",IF(P2576="","NJ INCONNU",INDEX('CARNET DE SOUDURE'!$AQ$7:$AQ$3006,P2576)))</f>
        <v/>
      </c>
      <c r="H2576" s="82" t="str">
        <f aca="false">IF(C2576="","",IF(G2576="ACCEPTÉ","OUI","NON"))</f>
        <v/>
      </c>
      <c r="I2576" s="83"/>
      <c r="J2576" s="80"/>
      <c r="K2576" s="81"/>
      <c r="L2576" s="81"/>
      <c r="M2576" s="81"/>
      <c r="N2576" s="84" t="str">
        <f aca="false">IF(C2576="","",IF(P2576="","NJ INCONNU",IF(I2576="",IF(H2576="OUI","À ENROBER",IF(G2576="À SOUDER","NON SOUDÉ","EN ATTENTE RT")),IF(L2576="R","À REPRENDRE",IF(H2576&lt;&gt;"OUI","⚠ ENROBÉ AVANT ACCEPTATION RT","ENROBÉ")))))</f>
        <v/>
      </c>
      <c r="O2576" s="80"/>
      <c r="P2576" s="82" t="str">
        <f aca="false">IF(C2576="","",IFERROR(MATCH(Q2576,'CARNET DE SOUDURE'!$AW$7:$AW$3006,0),""))</f>
        <v/>
      </c>
      <c r="Q2576" s="82" t="str">
        <f aca="false">IF(C2576="","",B2576&amp;"|"&amp;C2576)</f>
        <v/>
      </c>
    </row>
    <row r="2577" customFormat="false" ht="15" hidden="false" customHeight="false" outlineLevel="0" collapsed="false">
      <c r="A2577" s="82" t="str">
        <f aca="false">IF(C2577="","",ROW()-6)</f>
        <v/>
      </c>
      <c r="B2577" s="80"/>
      <c r="C2577" s="113"/>
      <c r="D2577" s="82" t="str">
        <f aca="false">IF(OR(C2577="",P2577=""),"",INDEX('CARNET DE SOUDURE'!$D$7:$D$3006,P2577)&amp;"")</f>
        <v/>
      </c>
      <c r="E2577" s="114" t="str">
        <f aca="false">IF(OR(C2577="",P2577=""),"",IF(INDEX('CARNET DE SOUDURE'!$U$7:$U$3006,P2577)="","",INDEX('CARNET DE SOUDURE'!$U$7:$U$3006,P2577)))</f>
        <v/>
      </c>
      <c r="F2577" s="82" t="str">
        <f aca="false">IF(OR(C2577="",P2577=""),"",INDEX('CARNET DE SOUDURE'!$AP$7:$AP$3006,P2577))</f>
        <v/>
      </c>
      <c r="G2577" s="82" t="str">
        <f aca="false">IF(C2577="","",IF(P2577="","NJ INCONNU",INDEX('CARNET DE SOUDURE'!$AQ$7:$AQ$3006,P2577)))</f>
        <v/>
      </c>
      <c r="H2577" s="82" t="str">
        <f aca="false">IF(C2577="","",IF(G2577="ACCEPTÉ","OUI","NON"))</f>
        <v/>
      </c>
      <c r="I2577" s="83"/>
      <c r="J2577" s="80"/>
      <c r="K2577" s="81"/>
      <c r="L2577" s="81"/>
      <c r="M2577" s="81"/>
      <c r="N2577" s="84" t="str">
        <f aca="false">IF(C2577="","",IF(P2577="","NJ INCONNU",IF(I2577="",IF(H2577="OUI","À ENROBER",IF(G2577="À SOUDER","NON SOUDÉ","EN ATTENTE RT")),IF(L2577="R","À REPRENDRE",IF(H2577&lt;&gt;"OUI","⚠ ENROBÉ AVANT ACCEPTATION RT","ENROBÉ")))))</f>
        <v/>
      </c>
      <c r="O2577" s="80"/>
      <c r="P2577" s="82" t="str">
        <f aca="false">IF(C2577="","",IFERROR(MATCH(Q2577,'CARNET DE SOUDURE'!$AW$7:$AW$3006,0),""))</f>
        <v/>
      </c>
      <c r="Q2577" s="82" t="str">
        <f aca="false">IF(C2577="","",B2577&amp;"|"&amp;C2577)</f>
        <v/>
      </c>
    </row>
    <row r="2578" customFormat="false" ht="15" hidden="false" customHeight="false" outlineLevel="0" collapsed="false">
      <c r="A2578" s="82" t="str">
        <f aca="false">IF(C2578="","",ROW()-6)</f>
        <v/>
      </c>
      <c r="B2578" s="80"/>
      <c r="C2578" s="113"/>
      <c r="D2578" s="82" t="str">
        <f aca="false">IF(OR(C2578="",P2578=""),"",INDEX('CARNET DE SOUDURE'!$D$7:$D$3006,P2578)&amp;"")</f>
        <v/>
      </c>
      <c r="E2578" s="114" t="str">
        <f aca="false">IF(OR(C2578="",P2578=""),"",IF(INDEX('CARNET DE SOUDURE'!$U$7:$U$3006,P2578)="","",INDEX('CARNET DE SOUDURE'!$U$7:$U$3006,P2578)))</f>
        <v/>
      </c>
      <c r="F2578" s="82" t="str">
        <f aca="false">IF(OR(C2578="",P2578=""),"",INDEX('CARNET DE SOUDURE'!$AP$7:$AP$3006,P2578))</f>
        <v/>
      </c>
      <c r="G2578" s="82" t="str">
        <f aca="false">IF(C2578="","",IF(P2578="","NJ INCONNU",INDEX('CARNET DE SOUDURE'!$AQ$7:$AQ$3006,P2578)))</f>
        <v/>
      </c>
      <c r="H2578" s="82" t="str">
        <f aca="false">IF(C2578="","",IF(G2578="ACCEPTÉ","OUI","NON"))</f>
        <v/>
      </c>
      <c r="I2578" s="83"/>
      <c r="J2578" s="80"/>
      <c r="K2578" s="81"/>
      <c r="L2578" s="81"/>
      <c r="M2578" s="81"/>
      <c r="N2578" s="84" t="str">
        <f aca="false">IF(C2578="","",IF(P2578="","NJ INCONNU",IF(I2578="",IF(H2578="OUI","À ENROBER",IF(G2578="À SOUDER","NON SOUDÉ","EN ATTENTE RT")),IF(L2578="R","À REPRENDRE",IF(H2578&lt;&gt;"OUI","⚠ ENROBÉ AVANT ACCEPTATION RT","ENROBÉ")))))</f>
        <v/>
      </c>
      <c r="O2578" s="80"/>
      <c r="P2578" s="82" t="str">
        <f aca="false">IF(C2578="","",IFERROR(MATCH(Q2578,'CARNET DE SOUDURE'!$AW$7:$AW$3006,0),""))</f>
        <v/>
      </c>
      <c r="Q2578" s="82" t="str">
        <f aca="false">IF(C2578="","",B2578&amp;"|"&amp;C2578)</f>
        <v/>
      </c>
    </row>
    <row r="2579" customFormat="false" ht="15" hidden="false" customHeight="false" outlineLevel="0" collapsed="false">
      <c r="A2579" s="82" t="str">
        <f aca="false">IF(C2579="","",ROW()-6)</f>
        <v/>
      </c>
      <c r="B2579" s="80"/>
      <c r="C2579" s="113"/>
      <c r="D2579" s="82" t="str">
        <f aca="false">IF(OR(C2579="",P2579=""),"",INDEX('CARNET DE SOUDURE'!$D$7:$D$3006,P2579)&amp;"")</f>
        <v/>
      </c>
      <c r="E2579" s="114" t="str">
        <f aca="false">IF(OR(C2579="",P2579=""),"",IF(INDEX('CARNET DE SOUDURE'!$U$7:$U$3006,P2579)="","",INDEX('CARNET DE SOUDURE'!$U$7:$U$3006,P2579)))</f>
        <v/>
      </c>
      <c r="F2579" s="82" t="str">
        <f aca="false">IF(OR(C2579="",P2579=""),"",INDEX('CARNET DE SOUDURE'!$AP$7:$AP$3006,P2579))</f>
        <v/>
      </c>
      <c r="G2579" s="82" t="str">
        <f aca="false">IF(C2579="","",IF(P2579="","NJ INCONNU",INDEX('CARNET DE SOUDURE'!$AQ$7:$AQ$3006,P2579)))</f>
        <v/>
      </c>
      <c r="H2579" s="82" t="str">
        <f aca="false">IF(C2579="","",IF(G2579="ACCEPTÉ","OUI","NON"))</f>
        <v/>
      </c>
      <c r="I2579" s="83"/>
      <c r="J2579" s="80"/>
      <c r="K2579" s="81"/>
      <c r="L2579" s="81"/>
      <c r="M2579" s="81"/>
      <c r="N2579" s="84" t="str">
        <f aca="false">IF(C2579="","",IF(P2579="","NJ INCONNU",IF(I2579="",IF(H2579="OUI","À ENROBER",IF(G2579="À SOUDER","NON SOUDÉ","EN ATTENTE RT")),IF(L2579="R","À REPRENDRE",IF(H2579&lt;&gt;"OUI","⚠ ENROBÉ AVANT ACCEPTATION RT","ENROBÉ")))))</f>
        <v/>
      </c>
      <c r="O2579" s="80"/>
      <c r="P2579" s="82" t="str">
        <f aca="false">IF(C2579="","",IFERROR(MATCH(Q2579,'CARNET DE SOUDURE'!$AW$7:$AW$3006,0),""))</f>
        <v/>
      </c>
      <c r="Q2579" s="82" t="str">
        <f aca="false">IF(C2579="","",B2579&amp;"|"&amp;C2579)</f>
        <v/>
      </c>
    </row>
    <row r="2580" customFormat="false" ht="15" hidden="false" customHeight="false" outlineLevel="0" collapsed="false">
      <c r="A2580" s="82" t="str">
        <f aca="false">IF(C2580="","",ROW()-6)</f>
        <v/>
      </c>
      <c r="B2580" s="80"/>
      <c r="C2580" s="113"/>
      <c r="D2580" s="82" t="str">
        <f aca="false">IF(OR(C2580="",P2580=""),"",INDEX('CARNET DE SOUDURE'!$D$7:$D$3006,P2580)&amp;"")</f>
        <v/>
      </c>
      <c r="E2580" s="114" t="str">
        <f aca="false">IF(OR(C2580="",P2580=""),"",IF(INDEX('CARNET DE SOUDURE'!$U$7:$U$3006,P2580)="","",INDEX('CARNET DE SOUDURE'!$U$7:$U$3006,P2580)))</f>
        <v/>
      </c>
      <c r="F2580" s="82" t="str">
        <f aca="false">IF(OR(C2580="",P2580=""),"",INDEX('CARNET DE SOUDURE'!$AP$7:$AP$3006,P2580))</f>
        <v/>
      </c>
      <c r="G2580" s="82" t="str">
        <f aca="false">IF(C2580="","",IF(P2580="","NJ INCONNU",INDEX('CARNET DE SOUDURE'!$AQ$7:$AQ$3006,P2580)))</f>
        <v/>
      </c>
      <c r="H2580" s="82" t="str">
        <f aca="false">IF(C2580="","",IF(G2580="ACCEPTÉ","OUI","NON"))</f>
        <v/>
      </c>
      <c r="I2580" s="83"/>
      <c r="J2580" s="80"/>
      <c r="K2580" s="81"/>
      <c r="L2580" s="81"/>
      <c r="M2580" s="81"/>
      <c r="N2580" s="84" t="str">
        <f aca="false">IF(C2580="","",IF(P2580="","NJ INCONNU",IF(I2580="",IF(H2580="OUI","À ENROBER",IF(G2580="À SOUDER","NON SOUDÉ","EN ATTENTE RT")),IF(L2580="R","À REPRENDRE",IF(H2580&lt;&gt;"OUI","⚠ ENROBÉ AVANT ACCEPTATION RT","ENROBÉ")))))</f>
        <v/>
      </c>
      <c r="O2580" s="80"/>
      <c r="P2580" s="82" t="str">
        <f aca="false">IF(C2580="","",IFERROR(MATCH(Q2580,'CARNET DE SOUDURE'!$AW$7:$AW$3006,0),""))</f>
        <v/>
      </c>
      <c r="Q2580" s="82" t="str">
        <f aca="false">IF(C2580="","",B2580&amp;"|"&amp;C2580)</f>
        <v/>
      </c>
    </row>
    <row r="2581" customFormat="false" ht="15" hidden="false" customHeight="false" outlineLevel="0" collapsed="false">
      <c r="A2581" s="82" t="str">
        <f aca="false">IF(C2581="","",ROW()-6)</f>
        <v/>
      </c>
      <c r="B2581" s="80"/>
      <c r="C2581" s="113"/>
      <c r="D2581" s="82" t="str">
        <f aca="false">IF(OR(C2581="",P2581=""),"",INDEX('CARNET DE SOUDURE'!$D$7:$D$3006,P2581)&amp;"")</f>
        <v/>
      </c>
      <c r="E2581" s="114" t="str">
        <f aca="false">IF(OR(C2581="",P2581=""),"",IF(INDEX('CARNET DE SOUDURE'!$U$7:$U$3006,P2581)="","",INDEX('CARNET DE SOUDURE'!$U$7:$U$3006,P2581)))</f>
        <v/>
      </c>
      <c r="F2581" s="82" t="str">
        <f aca="false">IF(OR(C2581="",P2581=""),"",INDEX('CARNET DE SOUDURE'!$AP$7:$AP$3006,P2581))</f>
        <v/>
      </c>
      <c r="G2581" s="82" t="str">
        <f aca="false">IF(C2581="","",IF(P2581="","NJ INCONNU",INDEX('CARNET DE SOUDURE'!$AQ$7:$AQ$3006,P2581)))</f>
        <v/>
      </c>
      <c r="H2581" s="82" t="str">
        <f aca="false">IF(C2581="","",IF(G2581="ACCEPTÉ","OUI","NON"))</f>
        <v/>
      </c>
      <c r="I2581" s="83"/>
      <c r="J2581" s="80"/>
      <c r="K2581" s="81"/>
      <c r="L2581" s="81"/>
      <c r="M2581" s="81"/>
      <c r="N2581" s="84" t="str">
        <f aca="false">IF(C2581="","",IF(P2581="","NJ INCONNU",IF(I2581="",IF(H2581="OUI","À ENROBER",IF(G2581="À SOUDER","NON SOUDÉ","EN ATTENTE RT")),IF(L2581="R","À REPRENDRE",IF(H2581&lt;&gt;"OUI","⚠ ENROBÉ AVANT ACCEPTATION RT","ENROBÉ")))))</f>
        <v/>
      </c>
      <c r="O2581" s="80"/>
      <c r="P2581" s="82" t="str">
        <f aca="false">IF(C2581="","",IFERROR(MATCH(Q2581,'CARNET DE SOUDURE'!$AW$7:$AW$3006,0),""))</f>
        <v/>
      </c>
      <c r="Q2581" s="82" t="str">
        <f aca="false">IF(C2581="","",B2581&amp;"|"&amp;C2581)</f>
        <v/>
      </c>
    </row>
    <row r="2582" customFormat="false" ht="15" hidden="false" customHeight="false" outlineLevel="0" collapsed="false">
      <c r="A2582" s="82" t="str">
        <f aca="false">IF(C2582="","",ROW()-6)</f>
        <v/>
      </c>
      <c r="B2582" s="80"/>
      <c r="C2582" s="113"/>
      <c r="D2582" s="82" t="str">
        <f aca="false">IF(OR(C2582="",P2582=""),"",INDEX('CARNET DE SOUDURE'!$D$7:$D$3006,P2582)&amp;"")</f>
        <v/>
      </c>
      <c r="E2582" s="114" t="str">
        <f aca="false">IF(OR(C2582="",P2582=""),"",IF(INDEX('CARNET DE SOUDURE'!$U$7:$U$3006,P2582)="","",INDEX('CARNET DE SOUDURE'!$U$7:$U$3006,P2582)))</f>
        <v/>
      </c>
      <c r="F2582" s="82" t="str">
        <f aca="false">IF(OR(C2582="",P2582=""),"",INDEX('CARNET DE SOUDURE'!$AP$7:$AP$3006,P2582))</f>
        <v/>
      </c>
      <c r="G2582" s="82" t="str">
        <f aca="false">IF(C2582="","",IF(P2582="","NJ INCONNU",INDEX('CARNET DE SOUDURE'!$AQ$7:$AQ$3006,P2582)))</f>
        <v/>
      </c>
      <c r="H2582" s="82" t="str">
        <f aca="false">IF(C2582="","",IF(G2582="ACCEPTÉ","OUI","NON"))</f>
        <v/>
      </c>
      <c r="I2582" s="83"/>
      <c r="J2582" s="80"/>
      <c r="K2582" s="81"/>
      <c r="L2582" s="81"/>
      <c r="M2582" s="81"/>
      <c r="N2582" s="84" t="str">
        <f aca="false">IF(C2582="","",IF(P2582="","NJ INCONNU",IF(I2582="",IF(H2582="OUI","À ENROBER",IF(G2582="À SOUDER","NON SOUDÉ","EN ATTENTE RT")),IF(L2582="R","À REPRENDRE",IF(H2582&lt;&gt;"OUI","⚠ ENROBÉ AVANT ACCEPTATION RT","ENROBÉ")))))</f>
        <v/>
      </c>
      <c r="O2582" s="80"/>
      <c r="P2582" s="82" t="str">
        <f aca="false">IF(C2582="","",IFERROR(MATCH(Q2582,'CARNET DE SOUDURE'!$AW$7:$AW$3006,0),""))</f>
        <v/>
      </c>
      <c r="Q2582" s="82" t="str">
        <f aca="false">IF(C2582="","",B2582&amp;"|"&amp;C2582)</f>
        <v/>
      </c>
    </row>
    <row r="2583" customFormat="false" ht="15" hidden="false" customHeight="false" outlineLevel="0" collapsed="false">
      <c r="A2583" s="82" t="str">
        <f aca="false">IF(C2583="","",ROW()-6)</f>
        <v/>
      </c>
      <c r="B2583" s="80"/>
      <c r="C2583" s="113"/>
      <c r="D2583" s="82" t="str">
        <f aca="false">IF(OR(C2583="",P2583=""),"",INDEX('CARNET DE SOUDURE'!$D$7:$D$3006,P2583)&amp;"")</f>
        <v/>
      </c>
      <c r="E2583" s="114" t="str">
        <f aca="false">IF(OR(C2583="",P2583=""),"",IF(INDEX('CARNET DE SOUDURE'!$U$7:$U$3006,P2583)="","",INDEX('CARNET DE SOUDURE'!$U$7:$U$3006,P2583)))</f>
        <v/>
      </c>
      <c r="F2583" s="82" t="str">
        <f aca="false">IF(OR(C2583="",P2583=""),"",INDEX('CARNET DE SOUDURE'!$AP$7:$AP$3006,P2583))</f>
        <v/>
      </c>
      <c r="G2583" s="82" t="str">
        <f aca="false">IF(C2583="","",IF(P2583="","NJ INCONNU",INDEX('CARNET DE SOUDURE'!$AQ$7:$AQ$3006,P2583)))</f>
        <v/>
      </c>
      <c r="H2583" s="82" t="str">
        <f aca="false">IF(C2583="","",IF(G2583="ACCEPTÉ","OUI","NON"))</f>
        <v/>
      </c>
      <c r="I2583" s="83"/>
      <c r="J2583" s="80"/>
      <c r="K2583" s="81"/>
      <c r="L2583" s="81"/>
      <c r="M2583" s="81"/>
      <c r="N2583" s="84" t="str">
        <f aca="false">IF(C2583="","",IF(P2583="","NJ INCONNU",IF(I2583="",IF(H2583="OUI","À ENROBER",IF(G2583="À SOUDER","NON SOUDÉ","EN ATTENTE RT")),IF(L2583="R","À REPRENDRE",IF(H2583&lt;&gt;"OUI","⚠ ENROBÉ AVANT ACCEPTATION RT","ENROBÉ")))))</f>
        <v/>
      </c>
      <c r="O2583" s="80"/>
      <c r="P2583" s="82" t="str">
        <f aca="false">IF(C2583="","",IFERROR(MATCH(Q2583,'CARNET DE SOUDURE'!$AW$7:$AW$3006,0),""))</f>
        <v/>
      </c>
      <c r="Q2583" s="82" t="str">
        <f aca="false">IF(C2583="","",B2583&amp;"|"&amp;C2583)</f>
        <v/>
      </c>
    </row>
    <row r="2584" customFormat="false" ht="15" hidden="false" customHeight="false" outlineLevel="0" collapsed="false">
      <c r="A2584" s="82" t="str">
        <f aca="false">IF(C2584="","",ROW()-6)</f>
        <v/>
      </c>
      <c r="B2584" s="80"/>
      <c r="C2584" s="113"/>
      <c r="D2584" s="82" t="str">
        <f aca="false">IF(OR(C2584="",P2584=""),"",INDEX('CARNET DE SOUDURE'!$D$7:$D$3006,P2584)&amp;"")</f>
        <v/>
      </c>
      <c r="E2584" s="114" t="str">
        <f aca="false">IF(OR(C2584="",P2584=""),"",IF(INDEX('CARNET DE SOUDURE'!$U$7:$U$3006,P2584)="","",INDEX('CARNET DE SOUDURE'!$U$7:$U$3006,P2584)))</f>
        <v/>
      </c>
      <c r="F2584" s="82" t="str">
        <f aca="false">IF(OR(C2584="",P2584=""),"",INDEX('CARNET DE SOUDURE'!$AP$7:$AP$3006,P2584))</f>
        <v/>
      </c>
      <c r="G2584" s="82" t="str">
        <f aca="false">IF(C2584="","",IF(P2584="","NJ INCONNU",INDEX('CARNET DE SOUDURE'!$AQ$7:$AQ$3006,P2584)))</f>
        <v/>
      </c>
      <c r="H2584" s="82" t="str">
        <f aca="false">IF(C2584="","",IF(G2584="ACCEPTÉ","OUI","NON"))</f>
        <v/>
      </c>
      <c r="I2584" s="83"/>
      <c r="J2584" s="80"/>
      <c r="K2584" s="81"/>
      <c r="L2584" s="81"/>
      <c r="M2584" s="81"/>
      <c r="N2584" s="84" t="str">
        <f aca="false">IF(C2584="","",IF(P2584="","NJ INCONNU",IF(I2584="",IF(H2584="OUI","À ENROBER",IF(G2584="À SOUDER","NON SOUDÉ","EN ATTENTE RT")),IF(L2584="R","À REPRENDRE",IF(H2584&lt;&gt;"OUI","⚠ ENROBÉ AVANT ACCEPTATION RT","ENROBÉ")))))</f>
        <v/>
      </c>
      <c r="O2584" s="80"/>
      <c r="P2584" s="82" t="str">
        <f aca="false">IF(C2584="","",IFERROR(MATCH(Q2584,'CARNET DE SOUDURE'!$AW$7:$AW$3006,0),""))</f>
        <v/>
      </c>
      <c r="Q2584" s="82" t="str">
        <f aca="false">IF(C2584="","",B2584&amp;"|"&amp;C2584)</f>
        <v/>
      </c>
    </row>
    <row r="2585" customFormat="false" ht="15" hidden="false" customHeight="false" outlineLevel="0" collapsed="false">
      <c r="A2585" s="82" t="str">
        <f aca="false">IF(C2585="","",ROW()-6)</f>
        <v/>
      </c>
      <c r="B2585" s="80"/>
      <c r="C2585" s="113"/>
      <c r="D2585" s="82" t="str">
        <f aca="false">IF(OR(C2585="",P2585=""),"",INDEX('CARNET DE SOUDURE'!$D$7:$D$3006,P2585)&amp;"")</f>
        <v/>
      </c>
      <c r="E2585" s="114" t="str">
        <f aca="false">IF(OR(C2585="",P2585=""),"",IF(INDEX('CARNET DE SOUDURE'!$U$7:$U$3006,P2585)="","",INDEX('CARNET DE SOUDURE'!$U$7:$U$3006,P2585)))</f>
        <v/>
      </c>
      <c r="F2585" s="82" t="str">
        <f aca="false">IF(OR(C2585="",P2585=""),"",INDEX('CARNET DE SOUDURE'!$AP$7:$AP$3006,P2585))</f>
        <v/>
      </c>
      <c r="G2585" s="82" t="str">
        <f aca="false">IF(C2585="","",IF(P2585="","NJ INCONNU",INDEX('CARNET DE SOUDURE'!$AQ$7:$AQ$3006,P2585)))</f>
        <v/>
      </c>
      <c r="H2585" s="82" t="str">
        <f aca="false">IF(C2585="","",IF(G2585="ACCEPTÉ","OUI","NON"))</f>
        <v/>
      </c>
      <c r="I2585" s="83"/>
      <c r="J2585" s="80"/>
      <c r="K2585" s="81"/>
      <c r="L2585" s="81"/>
      <c r="M2585" s="81"/>
      <c r="N2585" s="84" t="str">
        <f aca="false">IF(C2585="","",IF(P2585="","NJ INCONNU",IF(I2585="",IF(H2585="OUI","À ENROBER",IF(G2585="À SOUDER","NON SOUDÉ","EN ATTENTE RT")),IF(L2585="R","À REPRENDRE",IF(H2585&lt;&gt;"OUI","⚠ ENROBÉ AVANT ACCEPTATION RT","ENROBÉ")))))</f>
        <v/>
      </c>
      <c r="O2585" s="80"/>
      <c r="P2585" s="82" t="str">
        <f aca="false">IF(C2585="","",IFERROR(MATCH(Q2585,'CARNET DE SOUDURE'!$AW$7:$AW$3006,0),""))</f>
        <v/>
      </c>
      <c r="Q2585" s="82" t="str">
        <f aca="false">IF(C2585="","",B2585&amp;"|"&amp;C2585)</f>
        <v/>
      </c>
    </row>
    <row r="2586" customFormat="false" ht="15" hidden="false" customHeight="false" outlineLevel="0" collapsed="false">
      <c r="A2586" s="82" t="str">
        <f aca="false">IF(C2586="","",ROW()-6)</f>
        <v/>
      </c>
      <c r="B2586" s="80"/>
      <c r="C2586" s="113"/>
      <c r="D2586" s="82" t="str">
        <f aca="false">IF(OR(C2586="",P2586=""),"",INDEX('CARNET DE SOUDURE'!$D$7:$D$3006,P2586)&amp;"")</f>
        <v/>
      </c>
      <c r="E2586" s="114" t="str">
        <f aca="false">IF(OR(C2586="",P2586=""),"",IF(INDEX('CARNET DE SOUDURE'!$U$7:$U$3006,P2586)="","",INDEX('CARNET DE SOUDURE'!$U$7:$U$3006,P2586)))</f>
        <v/>
      </c>
      <c r="F2586" s="82" t="str">
        <f aca="false">IF(OR(C2586="",P2586=""),"",INDEX('CARNET DE SOUDURE'!$AP$7:$AP$3006,P2586))</f>
        <v/>
      </c>
      <c r="G2586" s="82" t="str">
        <f aca="false">IF(C2586="","",IF(P2586="","NJ INCONNU",INDEX('CARNET DE SOUDURE'!$AQ$7:$AQ$3006,P2586)))</f>
        <v/>
      </c>
      <c r="H2586" s="82" t="str">
        <f aca="false">IF(C2586="","",IF(G2586="ACCEPTÉ","OUI","NON"))</f>
        <v/>
      </c>
      <c r="I2586" s="83"/>
      <c r="J2586" s="80"/>
      <c r="K2586" s="81"/>
      <c r="L2586" s="81"/>
      <c r="M2586" s="81"/>
      <c r="N2586" s="84" t="str">
        <f aca="false">IF(C2586="","",IF(P2586="","NJ INCONNU",IF(I2586="",IF(H2586="OUI","À ENROBER",IF(G2586="À SOUDER","NON SOUDÉ","EN ATTENTE RT")),IF(L2586="R","À REPRENDRE",IF(H2586&lt;&gt;"OUI","⚠ ENROBÉ AVANT ACCEPTATION RT","ENROBÉ")))))</f>
        <v/>
      </c>
      <c r="O2586" s="80"/>
      <c r="P2586" s="82" t="str">
        <f aca="false">IF(C2586="","",IFERROR(MATCH(Q2586,'CARNET DE SOUDURE'!$AW$7:$AW$3006,0),""))</f>
        <v/>
      </c>
      <c r="Q2586" s="82" t="str">
        <f aca="false">IF(C2586="","",B2586&amp;"|"&amp;C2586)</f>
        <v/>
      </c>
    </row>
    <row r="2587" customFormat="false" ht="15" hidden="false" customHeight="false" outlineLevel="0" collapsed="false">
      <c r="A2587" s="82" t="str">
        <f aca="false">IF(C2587="","",ROW()-6)</f>
        <v/>
      </c>
      <c r="B2587" s="80"/>
      <c r="C2587" s="113"/>
      <c r="D2587" s="82" t="str">
        <f aca="false">IF(OR(C2587="",P2587=""),"",INDEX('CARNET DE SOUDURE'!$D$7:$D$3006,P2587)&amp;"")</f>
        <v/>
      </c>
      <c r="E2587" s="114" t="str">
        <f aca="false">IF(OR(C2587="",P2587=""),"",IF(INDEX('CARNET DE SOUDURE'!$U$7:$U$3006,P2587)="","",INDEX('CARNET DE SOUDURE'!$U$7:$U$3006,P2587)))</f>
        <v/>
      </c>
      <c r="F2587" s="82" t="str">
        <f aca="false">IF(OR(C2587="",P2587=""),"",INDEX('CARNET DE SOUDURE'!$AP$7:$AP$3006,P2587))</f>
        <v/>
      </c>
      <c r="G2587" s="82" t="str">
        <f aca="false">IF(C2587="","",IF(P2587="","NJ INCONNU",INDEX('CARNET DE SOUDURE'!$AQ$7:$AQ$3006,P2587)))</f>
        <v/>
      </c>
      <c r="H2587" s="82" t="str">
        <f aca="false">IF(C2587="","",IF(G2587="ACCEPTÉ","OUI","NON"))</f>
        <v/>
      </c>
      <c r="I2587" s="83"/>
      <c r="J2587" s="80"/>
      <c r="K2587" s="81"/>
      <c r="L2587" s="81"/>
      <c r="M2587" s="81"/>
      <c r="N2587" s="84" t="str">
        <f aca="false">IF(C2587="","",IF(P2587="","NJ INCONNU",IF(I2587="",IF(H2587="OUI","À ENROBER",IF(G2587="À SOUDER","NON SOUDÉ","EN ATTENTE RT")),IF(L2587="R","À REPRENDRE",IF(H2587&lt;&gt;"OUI","⚠ ENROBÉ AVANT ACCEPTATION RT","ENROBÉ")))))</f>
        <v/>
      </c>
      <c r="O2587" s="80"/>
      <c r="P2587" s="82" t="str">
        <f aca="false">IF(C2587="","",IFERROR(MATCH(Q2587,'CARNET DE SOUDURE'!$AW$7:$AW$3006,0),""))</f>
        <v/>
      </c>
      <c r="Q2587" s="82" t="str">
        <f aca="false">IF(C2587="","",B2587&amp;"|"&amp;C2587)</f>
        <v/>
      </c>
    </row>
    <row r="2588" customFormat="false" ht="15" hidden="false" customHeight="false" outlineLevel="0" collapsed="false">
      <c r="A2588" s="82" t="str">
        <f aca="false">IF(C2588="","",ROW()-6)</f>
        <v/>
      </c>
      <c r="B2588" s="80"/>
      <c r="C2588" s="113"/>
      <c r="D2588" s="82" t="str">
        <f aca="false">IF(OR(C2588="",P2588=""),"",INDEX('CARNET DE SOUDURE'!$D$7:$D$3006,P2588)&amp;"")</f>
        <v/>
      </c>
      <c r="E2588" s="114" t="str">
        <f aca="false">IF(OR(C2588="",P2588=""),"",IF(INDEX('CARNET DE SOUDURE'!$U$7:$U$3006,P2588)="","",INDEX('CARNET DE SOUDURE'!$U$7:$U$3006,P2588)))</f>
        <v/>
      </c>
      <c r="F2588" s="82" t="str">
        <f aca="false">IF(OR(C2588="",P2588=""),"",INDEX('CARNET DE SOUDURE'!$AP$7:$AP$3006,P2588))</f>
        <v/>
      </c>
      <c r="G2588" s="82" t="str">
        <f aca="false">IF(C2588="","",IF(P2588="","NJ INCONNU",INDEX('CARNET DE SOUDURE'!$AQ$7:$AQ$3006,P2588)))</f>
        <v/>
      </c>
      <c r="H2588" s="82" t="str">
        <f aca="false">IF(C2588="","",IF(G2588="ACCEPTÉ","OUI","NON"))</f>
        <v/>
      </c>
      <c r="I2588" s="83"/>
      <c r="J2588" s="80"/>
      <c r="K2588" s="81"/>
      <c r="L2588" s="81"/>
      <c r="M2588" s="81"/>
      <c r="N2588" s="84" t="str">
        <f aca="false">IF(C2588="","",IF(P2588="","NJ INCONNU",IF(I2588="",IF(H2588="OUI","À ENROBER",IF(G2588="À SOUDER","NON SOUDÉ","EN ATTENTE RT")),IF(L2588="R","À REPRENDRE",IF(H2588&lt;&gt;"OUI","⚠ ENROBÉ AVANT ACCEPTATION RT","ENROBÉ")))))</f>
        <v/>
      </c>
      <c r="O2588" s="80"/>
      <c r="P2588" s="82" t="str">
        <f aca="false">IF(C2588="","",IFERROR(MATCH(Q2588,'CARNET DE SOUDURE'!$AW$7:$AW$3006,0),""))</f>
        <v/>
      </c>
      <c r="Q2588" s="82" t="str">
        <f aca="false">IF(C2588="","",B2588&amp;"|"&amp;C2588)</f>
        <v/>
      </c>
    </row>
    <row r="2589" customFormat="false" ht="15" hidden="false" customHeight="false" outlineLevel="0" collapsed="false">
      <c r="A2589" s="82" t="str">
        <f aca="false">IF(C2589="","",ROW()-6)</f>
        <v/>
      </c>
      <c r="B2589" s="80"/>
      <c r="C2589" s="113"/>
      <c r="D2589" s="82" t="str">
        <f aca="false">IF(OR(C2589="",P2589=""),"",INDEX('CARNET DE SOUDURE'!$D$7:$D$3006,P2589)&amp;"")</f>
        <v/>
      </c>
      <c r="E2589" s="114" t="str">
        <f aca="false">IF(OR(C2589="",P2589=""),"",IF(INDEX('CARNET DE SOUDURE'!$U$7:$U$3006,P2589)="","",INDEX('CARNET DE SOUDURE'!$U$7:$U$3006,P2589)))</f>
        <v/>
      </c>
      <c r="F2589" s="82" t="str">
        <f aca="false">IF(OR(C2589="",P2589=""),"",INDEX('CARNET DE SOUDURE'!$AP$7:$AP$3006,P2589))</f>
        <v/>
      </c>
      <c r="G2589" s="82" t="str">
        <f aca="false">IF(C2589="","",IF(P2589="","NJ INCONNU",INDEX('CARNET DE SOUDURE'!$AQ$7:$AQ$3006,P2589)))</f>
        <v/>
      </c>
      <c r="H2589" s="82" t="str">
        <f aca="false">IF(C2589="","",IF(G2589="ACCEPTÉ","OUI","NON"))</f>
        <v/>
      </c>
      <c r="I2589" s="83"/>
      <c r="J2589" s="80"/>
      <c r="K2589" s="81"/>
      <c r="L2589" s="81"/>
      <c r="M2589" s="81"/>
      <c r="N2589" s="84" t="str">
        <f aca="false">IF(C2589="","",IF(P2589="","NJ INCONNU",IF(I2589="",IF(H2589="OUI","À ENROBER",IF(G2589="À SOUDER","NON SOUDÉ","EN ATTENTE RT")),IF(L2589="R","À REPRENDRE",IF(H2589&lt;&gt;"OUI","⚠ ENROBÉ AVANT ACCEPTATION RT","ENROBÉ")))))</f>
        <v/>
      </c>
      <c r="O2589" s="80"/>
      <c r="P2589" s="82" t="str">
        <f aca="false">IF(C2589="","",IFERROR(MATCH(Q2589,'CARNET DE SOUDURE'!$AW$7:$AW$3006,0),""))</f>
        <v/>
      </c>
      <c r="Q2589" s="82" t="str">
        <f aca="false">IF(C2589="","",B2589&amp;"|"&amp;C2589)</f>
        <v/>
      </c>
    </row>
    <row r="2590" customFormat="false" ht="15" hidden="false" customHeight="false" outlineLevel="0" collapsed="false">
      <c r="A2590" s="82" t="str">
        <f aca="false">IF(C2590="","",ROW()-6)</f>
        <v/>
      </c>
      <c r="B2590" s="80"/>
      <c r="C2590" s="113"/>
      <c r="D2590" s="82" t="str">
        <f aca="false">IF(OR(C2590="",P2590=""),"",INDEX('CARNET DE SOUDURE'!$D$7:$D$3006,P2590)&amp;"")</f>
        <v/>
      </c>
      <c r="E2590" s="114" t="str">
        <f aca="false">IF(OR(C2590="",P2590=""),"",IF(INDEX('CARNET DE SOUDURE'!$U$7:$U$3006,P2590)="","",INDEX('CARNET DE SOUDURE'!$U$7:$U$3006,P2590)))</f>
        <v/>
      </c>
      <c r="F2590" s="82" t="str">
        <f aca="false">IF(OR(C2590="",P2590=""),"",INDEX('CARNET DE SOUDURE'!$AP$7:$AP$3006,P2590))</f>
        <v/>
      </c>
      <c r="G2590" s="82" t="str">
        <f aca="false">IF(C2590="","",IF(P2590="","NJ INCONNU",INDEX('CARNET DE SOUDURE'!$AQ$7:$AQ$3006,P2590)))</f>
        <v/>
      </c>
      <c r="H2590" s="82" t="str">
        <f aca="false">IF(C2590="","",IF(G2590="ACCEPTÉ","OUI","NON"))</f>
        <v/>
      </c>
      <c r="I2590" s="83"/>
      <c r="J2590" s="80"/>
      <c r="K2590" s="81"/>
      <c r="L2590" s="81"/>
      <c r="M2590" s="81"/>
      <c r="N2590" s="84" t="str">
        <f aca="false">IF(C2590="","",IF(P2590="","NJ INCONNU",IF(I2590="",IF(H2590="OUI","À ENROBER",IF(G2590="À SOUDER","NON SOUDÉ","EN ATTENTE RT")),IF(L2590="R","À REPRENDRE",IF(H2590&lt;&gt;"OUI","⚠ ENROBÉ AVANT ACCEPTATION RT","ENROBÉ")))))</f>
        <v/>
      </c>
      <c r="O2590" s="80"/>
      <c r="P2590" s="82" t="str">
        <f aca="false">IF(C2590="","",IFERROR(MATCH(Q2590,'CARNET DE SOUDURE'!$AW$7:$AW$3006,0),""))</f>
        <v/>
      </c>
      <c r="Q2590" s="82" t="str">
        <f aca="false">IF(C2590="","",B2590&amp;"|"&amp;C2590)</f>
        <v/>
      </c>
    </row>
    <row r="2591" customFormat="false" ht="15" hidden="false" customHeight="false" outlineLevel="0" collapsed="false">
      <c r="A2591" s="82" t="str">
        <f aca="false">IF(C2591="","",ROW()-6)</f>
        <v/>
      </c>
      <c r="B2591" s="80"/>
      <c r="C2591" s="113"/>
      <c r="D2591" s="82" t="str">
        <f aca="false">IF(OR(C2591="",P2591=""),"",INDEX('CARNET DE SOUDURE'!$D$7:$D$3006,P2591)&amp;"")</f>
        <v/>
      </c>
      <c r="E2591" s="114" t="str">
        <f aca="false">IF(OR(C2591="",P2591=""),"",IF(INDEX('CARNET DE SOUDURE'!$U$7:$U$3006,P2591)="","",INDEX('CARNET DE SOUDURE'!$U$7:$U$3006,P2591)))</f>
        <v/>
      </c>
      <c r="F2591" s="82" t="str">
        <f aca="false">IF(OR(C2591="",P2591=""),"",INDEX('CARNET DE SOUDURE'!$AP$7:$AP$3006,P2591))</f>
        <v/>
      </c>
      <c r="G2591" s="82" t="str">
        <f aca="false">IF(C2591="","",IF(P2591="","NJ INCONNU",INDEX('CARNET DE SOUDURE'!$AQ$7:$AQ$3006,P2591)))</f>
        <v/>
      </c>
      <c r="H2591" s="82" t="str">
        <f aca="false">IF(C2591="","",IF(G2591="ACCEPTÉ","OUI","NON"))</f>
        <v/>
      </c>
      <c r="I2591" s="83"/>
      <c r="J2591" s="80"/>
      <c r="K2591" s="81"/>
      <c r="L2591" s="81"/>
      <c r="M2591" s="81"/>
      <c r="N2591" s="84" t="str">
        <f aca="false">IF(C2591="","",IF(P2591="","NJ INCONNU",IF(I2591="",IF(H2591="OUI","À ENROBER",IF(G2591="À SOUDER","NON SOUDÉ","EN ATTENTE RT")),IF(L2591="R","À REPRENDRE",IF(H2591&lt;&gt;"OUI","⚠ ENROBÉ AVANT ACCEPTATION RT","ENROBÉ")))))</f>
        <v/>
      </c>
      <c r="O2591" s="80"/>
      <c r="P2591" s="82" t="str">
        <f aca="false">IF(C2591="","",IFERROR(MATCH(Q2591,'CARNET DE SOUDURE'!$AW$7:$AW$3006,0),""))</f>
        <v/>
      </c>
      <c r="Q2591" s="82" t="str">
        <f aca="false">IF(C2591="","",B2591&amp;"|"&amp;C2591)</f>
        <v/>
      </c>
    </row>
    <row r="2592" customFormat="false" ht="15" hidden="false" customHeight="false" outlineLevel="0" collapsed="false">
      <c r="A2592" s="82" t="str">
        <f aca="false">IF(C2592="","",ROW()-6)</f>
        <v/>
      </c>
      <c r="B2592" s="80"/>
      <c r="C2592" s="113"/>
      <c r="D2592" s="82" t="str">
        <f aca="false">IF(OR(C2592="",P2592=""),"",INDEX('CARNET DE SOUDURE'!$D$7:$D$3006,P2592)&amp;"")</f>
        <v/>
      </c>
      <c r="E2592" s="114" t="str">
        <f aca="false">IF(OR(C2592="",P2592=""),"",IF(INDEX('CARNET DE SOUDURE'!$U$7:$U$3006,P2592)="","",INDEX('CARNET DE SOUDURE'!$U$7:$U$3006,P2592)))</f>
        <v/>
      </c>
      <c r="F2592" s="82" t="str">
        <f aca="false">IF(OR(C2592="",P2592=""),"",INDEX('CARNET DE SOUDURE'!$AP$7:$AP$3006,P2592))</f>
        <v/>
      </c>
      <c r="G2592" s="82" t="str">
        <f aca="false">IF(C2592="","",IF(P2592="","NJ INCONNU",INDEX('CARNET DE SOUDURE'!$AQ$7:$AQ$3006,P2592)))</f>
        <v/>
      </c>
      <c r="H2592" s="82" t="str">
        <f aca="false">IF(C2592="","",IF(G2592="ACCEPTÉ","OUI","NON"))</f>
        <v/>
      </c>
      <c r="I2592" s="83"/>
      <c r="J2592" s="80"/>
      <c r="K2592" s="81"/>
      <c r="L2592" s="81"/>
      <c r="M2592" s="81"/>
      <c r="N2592" s="84" t="str">
        <f aca="false">IF(C2592="","",IF(P2592="","NJ INCONNU",IF(I2592="",IF(H2592="OUI","À ENROBER",IF(G2592="À SOUDER","NON SOUDÉ","EN ATTENTE RT")),IF(L2592="R","À REPRENDRE",IF(H2592&lt;&gt;"OUI","⚠ ENROBÉ AVANT ACCEPTATION RT","ENROBÉ")))))</f>
        <v/>
      </c>
      <c r="O2592" s="80"/>
      <c r="P2592" s="82" t="str">
        <f aca="false">IF(C2592="","",IFERROR(MATCH(Q2592,'CARNET DE SOUDURE'!$AW$7:$AW$3006,0),""))</f>
        <v/>
      </c>
      <c r="Q2592" s="82" t="str">
        <f aca="false">IF(C2592="","",B2592&amp;"|"&amp;C2592)</f>
        <v/>
      </c>
    </row>
    <row r="2593" customFormat="false" ht="15" hidden="false" customHeight="false" outlineLevel="0" collapsed="false">
      <c r="A2593" s="82" t="str">
        <f aca="false">IF(C2593="","",ROW()-6)</f>
        <v/>
      </c>
      <c r="B2593" s="80"/>
      <c r="C2593" s="113"/>
      <c r="D2593" s="82" t="str">
        <f aca="false">IF(OR(C2593="",P2593=""),"",INDEX('CARNET DE SOUDURE'!$D$7:$D$3006,P2593)&amp;"")</f>
        <v/>
      </c>
      <c r="E2593" s="114" t="str">
        <f aca="false">IF(OR(C2593="",P2593=""),"",IF(INDEX('CARNET DE SOUDURE'!$U$7:$U$3006,P2593)="","",INDEX('CARNET DE SOUDURE'!$U$7:$U$3006,P2593)))</f>
        <v/>
      </c>
      <c r="F2593" s="82" t="str">
        <f aca="false">IF(OR(C2593="",P2593=""),"",INDEX('CARNET DE SOUDURE'!$AP$7:$AP$3006,P2593))</f>
        <v/>
      </c>
      <c r="G2593" s="82" t="str">
        <f aca="false">IF(C2593="","",IF(P2593="","NJ INCONNU",INDEX('CARNET DE SOUDURE'!$AQ$7:$AQ$3006,P2593)))</f>
        <v/>
      </c>
      <c r="H2593" s="82" t="str">
        <f aca="false">IF(C2593="","",IF(G2593="ACCEPTÉ","OUI","NON"))</f>
        <v/>
      </c>
      <c r="I2593" s="83"/>
      <c r="J2593" s="80"/>
      <c r="K2593" s="81"/>
      <c r="L2593" s="81"/>
      <c r="M2593" s="81"/>
      <c r="N2593" s="84" t="str">
        <f aca="false">IF(C2593="","",IF(P2593="","NJ INCONNU",IF(I2593="",IF(H2593="OUI","À ENROBER",IF(G2593="À SOUDER","NON SOUDÉ","EN ATTENTE RT")),IF(L2593="R","À REPRENDRE",IF(H2593&lt;&gt;"OUI","⚠ ENROBÉ AVANT ACCEPTATION RT","ENROBÉ")))))</f>
        <v/>
      </c>
      <c r="O2593" s="80"/>
      <c r="P2593" s="82" t="str">
        <f aca="false">IF(C2593="","",IFERROR(MATCH(Q2593,'CARNET DE SOUDURE'!$AW$7:$AW$3006,0),""))</f>
        <v/>
      </c>
      <c r="Q2593" s="82" t="str">
        <f aca="false">IF(C2593="","",B2593&amp;"|"&amp;C2593)</f>
        <v/>
      </c>
    </row>
    <row r="2594" customFormat="false" ht="15" hidden="false" customHeight="false" outlineLevel="0" collapsed="false">
      <c r="A2594" s="82" t="str">
        <f aca="false">IF(C2594="","",ROW()-6)</f>
        <v/>
      </c>
      <c r="B2594" s="80"/>
      <c r="C2594" s="113"/>
      <c r="D2594" s="82" t="str">
        <f aca="false">IF(OR(C2594="",P2594=""),"",INDEX('CARNET DE SOUDURE'!$D$7:$D$3006,P2594)&amp;"")</f>
        <v/>
      </c>
      <c r="E2594" s="114" t="str">
        <f aca="false">IF(OR(C2594="",P2594=""),"",IF(INDEX('CARNET DE SOUDURE'!$U$7:$U$3006,P2594)="","",INDEX('CARNET DE SOUDURE'!$U$7:$U$3006,P2594)))</f>
        <v/>
      </c>
      <c r="F2594" s="82" t="str">
        <f aca="false">IF(OR(C2594="",P2594=""),"",INDEX('CARNET DE SOUDURE'!$AP$7:$AP$3006,P2594))</f>
        <v/>
      </c>
      <c r="G2594" s="82" t="str">
        <f aca="false">IF(C2594="","",IF(P2594="","NJ INCONNU",INDEX('CARNET DE SOUDURE'!$AQ$7:$AQ$3006,P2594)))</f>
        <v/>
      </c>
      <c r="H2594" s="82" t="str">
        <f aca="false">IF(C2594="","",IF(G2594="ACCEPTÉ","OUI","NON"))</f>
        <v/>
      </c>
      <c r="I2594" s="83"/>
      <c r="J2594" s="80"/>
      <c r="K2594" s="81"/>
      <c r="L2594" s="81"/>
      <c r="M2594" s="81"/>
      <c r="N2594" s="84" t="str">
        <f aca="false">IF(C2594="","",IF(P2594="","NJ INCONNU",IF(I2594="",IF(H2594="OUI","À ENROBER",IF(G2594="À SOUDER","NON SOUDÉ","EN ATTENTE RT")),IF(L2594="R","À REPRENDRE",IF(H2594&lt;&gt;"OUI","⚠ ENROBÉ AVANT ACCEPTATION RT","ENROBÉ")))))</f>
        <v/>
      </c>
      <c r="O2594" s="80"/>
      <c r="P2594" s="82" t="str">
        <f aca="false">IF(C2594="","",IFERROR(MATCH(Q2594,'CARNET DE SOUDURE'!$AW$7:$AW$3006,0),""))</f>
        <v/>
      </c>
      <c r="Q2594" s="82" t="str">
        <f aca="false">IF(C2594="","",B2594&amp;"|"&amp;C2594)</f>
        <v/>
      </c>
    </row>
    <row r="2595" customFormat="false" ht="15" hidden="false" customHeight="false" outlineLevel="0" collapsed="false">
      <c r="A2595" s="82" t="str">
        <f aca="false">IF(C2595="","",ROW()-6)</f>
        <v/>
      </c>
      <c r="B2595" s="80"/>
      <c r="C2595" s="113"/>
      <c r="D2595" s="82" t="str">
        <f aca="false">IF(OR(C2595="",P2595=""),"",INDEX('CARNET DE SOUDURE'!$D$7:$D$3006,P2595)&amp;"")</f>
        <v/>
      </c>
      <c r="E2595" s="114" t="str">
        <f aca="false">IF(OR(C2595="",P2595=""),"",IF(INDEX('CARNET DE SOUDURE'!$U$7:$U$3006,P2595)="","",INDEX('CARNET DE SOUDURE'!$U$7:$U$3006,P2595)))</f>
        <v/>
      </c>
      <c r="F2595" s="82" t="str">
        <f aca="false">IF(OR(C2595="",P2595=""),"",INDEX('CARNET DE SOUDURE'!$AP$7:$AP$3006,P2595))</f>
        <v/>
      </c>
      <c r="G2595" s="82" t="str">
        <f aca="false">IF(C2595="","",IF(P2595="","NJ INCONNU",INDEX('CARNET DE SOUDURE'!$AQ$7:$AQ$3006,P2595)))</f>
        <v/>
      </c>
      <c r="H2595" s="82" t="str">
        <f aca="false">IF(C2595="","",IF(G2595="ACCEPTÉ","OUI","NON"))</f>
        <v/>
      </c>
      <c r="I2595" s="83"/>
      <c r="J2595" s="80"/>
      <c r="K2595" s="81"/>
      <c r="L2595" s="81"/>
      <c r="M2595" s="81"/>
      <c r="N2595" s="84" t="str">
        <f aca="false">IF(C2595="","",IF(P2595="","NJ INCONNU",IF(I2595="",IF(H2595="OUI","À ENROBER",IF(G2595="À SOUDER","NON SOUDÉ","EN ATTENTE RT")),IF(L2595="R","À REPRENDRE",IF(H2595&lt;&gt;"OUI","⚠ ENROBÉ AVANT ACCEPTATION RT","ENROBÉ")))))</f>
        <v/>
      </c>
      <c r="O2595" s="80"/>
      <c r="P2595" s="82" t="str">
        <f aca="false">IF(C2595="","",IFERROR(MATCH(Q2595,'CARNET DE SOUDURE'!$AW$7:$AW$3006,0),""))</f>
        <v/>
      </c>
      <c r="Q2595" s="82" t="str">
        <f aca="false">IF(C2595="","",B2595&amp;"|"&amp;C2595)</f>
        <v/>
      </c>
    </row>
    <row r="2596" customFormat="false" ht="15" hidden="false" customHeight="false" outlineLevel="0" collapsed="false">
      <c r="A2596" s="82" t="str">
        <f aca="false">IF(C2596="","",ROW()-6)</f>
        <v/>
      </c>
      <c r="B2596" s="80"/>
      <c r="C2596" s="113"/>
      <c r="D2596" s="82" t="str">
        <f aca="false">IF(OR(C2596="",P2596=""),"",INDEX('CARNET DE SOUDURE'!$D$7:$D$3006,P2596)&amp;"")</f>
        <v/>
      </c>
      <c r="E2596" s="114" t="str">
        <f aca="false">IF(OR(C2596="",P2596=""),"",IF(INDEX('CARNET DE SOUDURE'!$U$7:$U$3006,P2596)="","",INDEX('CARNET DE SOUDURE'!$U$7:$U$3006,P2596)))</f>
        <v/>
      </c>
      <c r="F2596" s="82" t="str">
        <f aca="false">IF(OR(C2596="",P2596=""),"",INDEX('CARNET DE SOUDURE'!$AP$7:$AP$3006,P2596))</f>
        <v/>
      </c>
      <c r="G2596" s="82" t="str">
        <f aca="false">IF(C2596="","",IF(P2596="","NJ INCONNU",INDEX('CARNET DE SOUDURE'!$AQ$7:$AQ$3006,P2596)))</f>
        <v/>
      </c>
      <c r="H2596" s="82" t="str">
        <f aca="false">IF(C2596="","",IF(G2596="ACCEPTÉ","OUI","NON"))</f>
        <v/>
      </c>
      <c r="I2596" s="83"/>
      <c r="J2596" s="80"/>
      <c r="K2596" s="81"/>
      <c r="L2596" s="81"/>
      <c r="M2596" s="81"/>
      <c r="N2596" s="84" t="str">
        <f aca="false">IF(C2596="","",IF(P2596="","NJ INCONNU",IF(I2596="",IF(H2596="OUI","À ENROBER",IF(G2596="À SOUDER","NON SOUDÉ","EN ATTENTE RT")),IF(L2596="R","À REPRENDRE",IF(H2596&lt;&gt;"OUI","⚠ ENROBÉ AVANT ACCEPTATION RT","ENROBÉ")))))</f>
        <v/>
      </c>
      <c r="O2596" s="80"/>
      <c r="P2596" s="82" t="str">
        <f aca="false">IF(C2596="","",IFERROR(MATCH(Q2596,'CARNET DE SOUDURE'!$AW$7:$AW$3006,0),""))</f>
        <v/>
      </c>
      <c r="Q2596" s="82" t="str">
        <f aca="false">IF(C2596="","",B2596&amp;"|"&amp;C2596)</f>
        <v/>
      </c>
    </row>
    <row r="2597" customFormat="false" ht="15" hidden="false" customHeight="false" outlineLevel="0" collapsed="false">
      <c r="A2597" s="82" t="str">
        <f aca="false">IF(C2597="","",ROW()-6)</f>
        <v/>
      </c>
      <c r="B2597" s="80"/>
      <c r="C2597" s="113"/>
      <c r="D2597" s="82" t="str">
        <f aca="false">IF(OR(C2597="",P2597=""),"",INDEX('CARNET DE SOUDURE'!$D$7:$D$3006,P2597)&amp;"")</f>
        <v/>
      </c>
      <c r="E2597" s="114" t="str">
        <f aca="false">IF(OR(C2597="",P2597=""),"",IF(INDEX('CARNET DE SOUDURE'!$U$7:$U$3006,P2597)="","",INDEX('CARNET DE SOUDURE'!$U$7:$U$3006,P2597)))</f>
        <v/>
      </c>
      <c r="F2597" s="82" t="str">
        <f aca="false">IF(OR(C2597="",P2597=""),"",INDEX('CARNET DE SOUDURE'!$AP$7:$AP$3006,P2597))</f>
        <v/>
      </c>
      <c r="G2597" s="82" t="str">
        <f aca="false">IF(C2597="","",IF(P2597="","NJ INCONNU",INDEX('CARNET DE SOUDURE'!$AQ$7:$AQ$3006,P2597)))</f>
        <v/>
      </c>
      <c r="H2597" s="82" t="str">
        <f aca="false">IF(C2597="","",IF(G2597="ACCEPTÉ","OUI","NON"))</f>
        <v/>
      </c>
      <c r="I2597" s="83"/>
      <c r="J2597" s="80"/>
      <c r="K2597" s="81"/>
      <c r="L2597" s="81"/>
      <c r="M2597" s="81"/>
      <c r="N2597" s="84" t="str">
        <f aca="false">IF(C2597="","",IF(P2597="","NJ INCONNU",IF(I2597="",IF(H2597="OUI","À ENROBER",IF(G2597="À SOUDER","NON SOUDÉ","EN ATTENTE RT")),IF(L2597="R","À REPRENDRE",IF(H2597&lt;&gt;"OUI","⚠ ENROBÉ AVANT ACCEPTATION RT","ENROBÉ")))))</f>
        <v/>
      </c>
      <c r="O2597" s="80"/>
      <c r="P2597" s="82" t="str">
        <f aca="false">IF(C2597="","",IFERROR(MATCH(Q2597,'CARNET DE SOUDURE'!$AW$7:$AW$3006,0),""))</f>
        <v/>
      </c>
      <c r="Q2597" s="82" t="str">
        <f aca="false">IF(C2597="","",B2597&amp;"|"&amp;C2597)</f>
        <v/>
      </c>
    </row>
    <row r="2598" customFormat="false" ht="15" hidden="false" customHeight="false" outlineLevel="0" collapsed="false">
      <c r="A2598" s="82" t="str">
        <f aca="false">IF(C2598="","",ROW()-6)</f>
        <v/>
      </c>
      <c r="B2598" s="80"/>
      <c r="C2598" s="113"/>
      <c r="D2598" s="82" t="str">
        <f aca="false">IF(OR(C2598="",P2598=""),"",INDEX('CARNET DE SOUDURE'!$D$7:$D$3006,P2598)&amp;"")</f>
        <v/>
      </c>
      <c r="E2598" s="114" t="str">
        <f aca="false">IF(OR(C2598="",P2598=""),"",IF(INDEX('CARNET DE SOUDURE'!$U$7:$U$3006,P2598)="","",INDEX('CARNET DE SOUDURE'!$U$7:$U$3006,P2598)))</f>
        <v/>
      </c>
      <c r="F2598" s="82" t="str">
        <f aca="false">IF(OR(C2598="",P2598=""),"",INDEX('CARNET DE SOUDURE'!$AP$7:$AP$3006,P2598))</f>
        <v/>
      </c>
      <c r="G2598" s="82" t="str">
        <f aca="false">IF(C2598="","",IF(P2598="","NJ INCONNU",INDEX('CARNET DE SOUDURE'!$AQ$7:$AQ$3006,P2598)))</f>
        <v/>
      </c>
      <c r="H2598" s="82" t="str">
        <f aca="false">IF(C2598="","",IF(G2598="ACCEPTÉ","OUI","NON"))</f>
        <v/>
      </c>
      <c r="I2598" s="83"/>
      <c r="J2598" s="80"/>
      <c r="K2598" s="81"/>
      <c r="L2598" s="81"/>
      <c r="M2598" s="81"/>
      <c r="N2598" s="84" t="str">
        <f aca="false">IF(C2598="","",IF(P2598="","NJ INCONNU",IF(I2598="",IF(H2598="OUI","À ENROBER",IF(G2598="À SOUDER","NON SOUDÉ","EN ATTENTE RT")),IF(L2598="R","À REPRENDRE",IF(H2598&lt;&gt;"OUI","⚠ ENROBÉ AVANT ACCEPTATION RT","ENROBÉ")))))</f>
        <v/>
      </c>
      <c r="O2598" s="80"/>
      <c r="P2598" s="82" t="str">
        <f aca="false">IF(C2598="","",IFERROR(MATCH(Q2598,'CARNET DE SOUDURE'!$AW$7:$AW$3006,0),""))</f>
        <v/>
      </c>
      <c r="Q2598" s="82" t="str">
        <f aca="false">IF(C2598="","",B2598&amp;"|"&amp;C2598)</f>
        <v/>
      </c>
    </row>
    <row r="2599" customFormat="false" ht="15" hidden="false" customHeight="false" outlineLevel="0" collapsed="false">
      <c r="A2599" s="82" t="str">
        <f aca="false">IF(C2599="","",ROW()-6)</f>
        <v/>
      </c>
      <c r="B2599" s="80"/>
      <c r="C2599" s="113"/>
      <c r="D2599" s="82" t="str">
        <f aca="false">IF(OR(C2599="",P2599=""),"",INDEX('CARNET DE SOUDURE'!$D$7:$D$3006,P2599)&amp;"")</f>
        <v/>
      </c>
      <c r="E2599" s="114" t="str">
        <f aca="false">IF(OR(C2599="",P2599=""),"",IF(INDEX('CARNET DE SOUDURE'!$U$7:$U$3006,P2599)="","",INDEX('CARNET DE SOUDURE'!$U$7:$U$3006,P2599)))</f>
        <v/>
      </c>
      <c r="F2599" s="82" t="str">
        <f aca="false">IF(OR(C2599="",P2599=""),"",INDEX('CARNET DE SOUDURE'!$AP$7:$AP$3006,P2599))</f>
        <v/>
      </c>
      <c r="G2599" s="82" t="str">
        <f aca="false">IF(C2599="","",IF(P2599="","NJ INCONNU",INDEX('CARNET DE SOUDURE'!$AQ$7:$AQ$3006,P2599)))</f>
        <v/>
      </c>
      <c r="H2599" s="82" t="str">
        <f aca="false">IF(C2599="","",IF(G2599="ACCEPTÉ","OUI","NON"))</f>
        <v/>
      </c>
      <c r="I2599" s="83"/>
      <c r="J2599" s="80"/>
      <c r="K2599" s="81"/>
      <c r="L2599" s="81"/>
      <c r="M2599" s="81"/>
      <c r="N2599" s="84" t="str">
        <f aca="false">IF(C2599="","",IF(P2599="","NJ INCONNU",IF(I2599="",IF(H2599="OUI","À ENROBER",IF(G2599="À SOUDER","NON SOUDÉ","EN ATTENTE RT")),IF(L2599="R","À REPRENDRE",IF(H2599&lt;&gt;"OUI","⚠ ENROBÉ AVANT ACCEPTATION RT","ENROBÉ")))))</f>
        <v/>
      </c>
      <c r="O2599" s="80"/>
      <c r="P2599" s="82" t="str">
        <f aca="false">IF(C2599="","",IFERROR(MATCH(Q2599,'CARNET DE SOUDURE'!$AW$7:$AW$3006,0),""))</f>
        <v/>
      </c>
      <c r="Q2599" s="82" t="str">
        <f aca="false">IF(C2599="","",B2599&amp;"|"&amp;C2599)</f>
        <v/>
      </c>
    </row>
    <row r="2600" customFormat="false" ht="15" hidden="false" customHeight="false" outlineLevel="0" collapsed="false">
      <c r="A2600" s="82" t="str">
        <f aca="false">IF(C2600="","",ROW()-6)</f>
        <v/>
      </c>
      <c r="B2600" s="80"/>
      <c r="C2600" s="113"/>
      <c r="D2600" s="82" t="str">
        <f aca="false">IF(OR(C2600="",P2600=""),"",INDEX('CARNET DE SOUDURE'!$D$7:$D$3006,P2600)&amp;"")</f>
        <v/>
      </c>
      <c r="E2600" s="114" t="str">
        <f aca="false">IF(OR(C2600="",P2600=""),"",IF(INDEX('CARNET DE SOUDURE'!$U$7:$U$3006,P2600)="","",INDEX('CARNET DE SOUDURE'!$U$7:$U$3006,P2600)))</f>
        <v/>
      </c>
      <c r="F2600" s="82" t="str">
        <f aca="false">IF(OR(C2600="",P2600=""),"",INDEX('CARNET DE SOUDURE'!$AP$7:$AP$3006,P2600))</f>
        <v/>
      </c>
      <c r="G2600" s="82" t="str">
        <f aca="false">IF(C2600="","",IF(P2600="","NJ INCONNU",INDEX('CARNET DE SOUDURE'!$AQ$7:$AQ$3006,P2600)))</f>
        <v/>
      </c>
      <c r="H2600" s="82" t="str">
        <f aca="false">IF(C2600="","",IF(G2600="ACCEPTÉ","OUI","NON"))</f>
        <v/>
      </c>
      <c r="I2600" s="83"/>
      <c r="J2600" s="80"/>
      <c r="K2600" s="81"/>
      <c r="L2600" s="81"/>
      <c r="M2600" s="81"/>
      <c r="N2600" s="84" t="str">
        <f aca="false">IF(C2600="","",IF(P2600="","NJ INCONNU",IF(I2600="",IF(H2600="OUI","À ENROBER",IF(G2600="À SOUDER","NON SOUDÉ","EN ATTENTE RT")),IF(L2600="R","À REPRENDRE",IF(H2600&lt;&gt;"OUI","⚠ ENROBÉ AVANT ACCEPTATION RT","ENROBÉ")))))</f>
        <v/>
      </c>
      <c r="O2600" s="80"/>
      <c r="P2600" s="82" t="str">
        <f aca="false">IF(C2600="","",IFERROR(MATCH(Q2600,'CARNET DE SOUDURE'!$AW$7:$AW$3006,0),""))</f>
        <v/>
      </c>
      <c r="Q2600" s="82" t="str">
        <f aca="false">IF(C2600="","",B2600&amp;"|"&amp;C2600)</f>
        <v/>
      </c>
    </row>
    <row r="2601" customFormat="false" ht="15" hidden="false" customHeight="false" outlineLevel="0" collapsed="false">
      <c r="A2601" s="82" t="str">
        <f aca="false">IF(C2601="","",ROW()-6)</f>
        <v/>
      </c>
      <c r="B2601" s="80"/>
      <c r="C2601" s="113"/>
      <c r="D2601" s="82" t="str">
        <f aca="false">IF(OR(C2601="",P2601=""),"",INDEX('CARNET DE SOUDURE'!$D$7:$D$3006,P2601)&amp;"")</f>
        <v/>
      </c>
      <c r="E2601" s="114" t="str">
        <f aca="false">IF(OR(C2601="",P2601=""),"",IF(INDEX('CARNET DE SOUDURE'!$U$7:$U$3006,P2601)="","",INDEX('CARNET DE SOUDURE'!$U$7:$U$3006,P2601)))</f>
        <v/>
      </c>
      <c r="F2601" s="82" t="str">
        <f aca="false">IF(OR(C2601="",P2601=""),"",INDEX('CARNET DE SOUDURE'!$AP$7:$AP$3006,P2601))</f>
        <v/>
      </c>
      <c r="G2601" s="82" t="str">
        <f aca="false">IF(C2601="","",IF(P2601="","NJ INCONNU",INDEX('CARNET DE SOUDURE'!$AQ$7:$AQ$3006,P2601)))</f>
        <v/>
      </c>
      <c r="H2601" s="82" t="str">
        <f aca="false">IF(C2601="","",IF(G2601="ACCEPTÉ","OUI","NON"))</f>
        <v/>
      </c>
      <c r="I2601" s="83"/>
      <c r="J2601" s="80"/>
      <c r="K2601" s="81"/>
      <c r="L2601" s="81"/>
      <c r="M2601" s="81"/>
      <c r="N2601" s="84" t="str">
        <f aca="false">IF(C2601="","",IF(P2601="","NJ INCONNU",IF(I2601="",IF(H2601="OUI","À ENROBER",IF(G2601="À SOUDER","NON SOUDÉ","EN ATTENTE RT")),IF(L2601="R","À REPRENDRE",IF(H2601&lt;&gt;"OUI","⚠ ENROBÉ AVANT ACCEPTATION RT","ENROBÉ")))))</f>
        <v/>
      </c>
      <c r="O2601" s="80"/>
      <c r="P2601" s="82" t="str">
        <f aca="false">IF(C2601="","",IFERROR(MATCH(Q2601,'CARNET DE SOUDURE'!$AW$7:$AW$3006,0),""))</f>
        <v/>
      </c>
      <c r="Q2601" s="82" t="str">
        <f aca="false">IF(C2601="","",B2601&amp;"|"&amp;C2601)</f>
        <v/>
      </c>
    </row>
    <row r="2602" customFormat="false" ht="15" hidden="false" customHeight="false" outlineLevel="0" collapsed="false">
      <c r="A2602" s="82" t="str">
        <f aca="false">IF(C2602="","",ROW()-6)</f>
        <v/>
      </c>
      <c r="B2602" s="80"/>
      <c r="C2602" s="113"/>
      <c r="D2602" s="82" t="str">
        <f aca="false">IF(OR(C2602="",P2602=""),"",INDEX('CARNET DE SOUDURE'!$D$7:$D$3006,P2602)&amp;"")</f>
        <v/>
      </c>
      <c r="E2602" s="114" t="str">
        <f aca="false">IF(OR(C2602="",P2602=""),"",IF(INDEX('CARNET DE SOUDURE'!$U$7:$U$3006,P2602)="","",INDEX('CARNET DE SOUDURE'!$U$7:$U$3006,P2602)))</f>
        <v/>
      </c>
      <c r="F2602" s="82" t="str">
        <f aca="false">IF(OR(C2602="",P2602=""),"",INDEX('CARNET DE SOUDURE'!$AP$7:$AP$3006,P2602))</f>
        <v/>
      </c>
      <c r="G2602" s="82" t="str">
        <f aca="false">IF(C2602="","",IF(P2602="","NJ INCONNU",INDEX('CARNET DE SOUDURE'!$AQ$7:$AQ$3006,P2602)))</f>
        <v/>
      </c>
      <c r="H2602" s="82" t="str">
        <f aca="false">IF(C2602="","",IF(G2602="ACCEPTÉ","OUI","NON"))</f>
        <v/>
      </c>
      <c r="I2602" s="83"/>
      <c r="J2602" s="80"/>
      <c r="K2602" s="81"/>
      <c r="L2602" s="81"/>
      <c r="M2602" s="81"/>
      <c r="N2602" s="84" t="str">
        <f aca="false">IF(C2602="","",IF(P2602="","NJ INCONNU",IF(I2602="",IF(H2602="OUI","À ENROBER",IF(G2602="À SOUDER","NON SOUDÉ","EN ATTENTE RT")),IF(L2602="R","À REPRENDRE",IF(H2602&lt;&gt;"OUI","⚠ ENROBÉ AVANT ACCEPTATION RT","ENROBÉ")))))</f>
        <v/>
      </c>
      <c r="O2602" s="80"/>
      <c r="P2602" s="82" t="str">
        <f aca="false">IF(C2602="","",IFERROR(MATCH(Q2602,'CARNET DE SOUDURE'!$AW$7:$AW$3006,0),""))</f>
        <v/>
      </c>
      <c r="Q2602" s="82" t="str">
        <f aca="false">IF(C2602="","",B2602&amp;"|"&amp;C2602)</f>
        <v/>
      </c>
    </row>
    <row r="2603" customFormat="false" ht="15" hidden="false" customHeight="false" outlineLevel="0" collapsed="false">
      <c r="A2603" s="82" t="str">
        <f aca="false">IF(C2603="","",ROW()-6)</f>
        <v/>
      </c>
      <c r="B2603" s="80"/>
      <c r="C2603" s="113"/>
      <c r="D2603" s="82" t="str">
        <f aca="false">IF(OR(C2603="",P2603=""),"",INDEX('CARNET DE SOUDURE'!$D$7:$D$3006,P2603)&amp;"")</f>
        <v/>
      </c>
      <c r="E2603" s="114" t="str">
        <f aca="false">IF(OR(C2603="",P2603=""),"",IF(INDEX('CARNET DE SOUDURE'!$U$7:$U$3006,P2603)="","",INDEX('CARNET DE SOUDURE'!$U$7:$U$3006,P2603)))</f>
        <v/>
      </c>
      <c r="F2603" s="82" t="str">
        <f aca="false">IF(OR(C2603="",P2603=""),"",INDEX('CARNET DE SOUDURE'!$AP$7:$AP$3006,P2603))</f>
        <v/>
      </c>
      <c r="G2603" s="82" t="str">
        <f aca="false">IF(C2603="","",IF(P2603="","NJ INCONNU",INDEX('CARNET DE SOUDURE'!$AQ$7:$AQ$3006,P2603)))</f>
        <v/>
      </c>
      <c r="H2603" s="82" t="str">
        <f aca="false">IF(C2603="","",IF(G2603="ACCEPTÉ","OUI","NON"))</f>
        <v/>
      </c>
      <c r="I2603" s="83"/>
      <c r="J2603" s="80"/>
      <c r="K2603" s="81"/>
      <c r="L2603" s="81"/>
      <c r="M2603" s="81"/>
      <c r="N2603" s="84" t="str">
        <f aca="false">IF(C2603="","",IF(P2603="","NJ INCONNU",IF(I2603="",IF(H2603="OUI","À ENROBER",IF(G2603="À SOUDER","NON SOUDÉ","EN ATTENTE RT")),IF(L2603="R","À REPRENDRE",IF(H2603&lt;&gt;"OUI","⚠ ENROBÉ AVANT ACCEPTATION RT","ENROBÉ")))))</f>
        <v/>
      </c>
      <c r="O2603" s="80"/>
      <c r="P2603" s="82" t="str">
        <f aca="false">IF(C2603="","",IFERROR(MATCH(Q2603,'CARNET DE SOUDURE'!$AW$7:$AW$3006,0),""))</f>
        <v/>
      </c>
      <c r="Q2603" s="82" t="str">
        <f aca="false">IF(C2603="","",B2603&amp;"|"&amp;C2603)</f>
        <v/>
      </c>
    </row>
    <row r="2604" customFormat="false" ht="15" hidden="false" customHeight="false" outlineLevel="0" collapsed="false">
      <c r="A2604" s="82" t="str">
        <f aca="false">IF(C2604="","",ROW()-6)</f>
        <v/>
      </c>
      <c r="B2604" s="80"/>
      <c r="C2604" s="113"/>
      <c r="D2604" s="82" t="str">
        <f aca="false">IF(OR(C2604="",P2604=""),"",INDEX('CARNET DE SOUDURE'!$D$7:$D$3006,P2604)&amp;"")</f>
        <v/>
      </c>
      <c r="E2604" s="114" t="str">
        <f aca="false">IF(OR(C2604="",P2604=""),"",IF(INDEX('CARNET DE SOUDURE'!$U$7:$U$3006,P2604)="","",INDEX('CARNET DE SOUDURE'!$U$7:$U$3006,P2604)))</f>
        <v/>
      </c>
      <c r="F2604" s="82" t="str">
        <f aca="false">IF(OR(C2604="",P2604=""),"",INDEX('CARNET DE SOUDURE'!$AP$7:$AP$3006,P2604))</f>
        <v/>
      </c>
      <c r="G2604" s="82" t="str">
        <f aca="false">IF(C2604="","",IF(P2604="","NJ INCONNU",INDEX('CARNET DE SOUDURE'!$AQ$7:$AQ$3006,P2604)))</f>
        <v/>
      </c>
      <c r="H2604" s="82" t="str">
        <f aca="false">IF(C2604="","",IF(G2604="ACCEPTÉ","OUI","NON"))</f>
        <v/>
      </c>
      <c r="I2604" s="83"/>
      <c r="J2604" s="80"/>
      <c r="K2604" s="81"/>
      <c r="L2604" s="81"/>
      <c r="M2604" s="81"/>
      <c r="N2604" s="84" t="str">
        <f aca="false">IF(C2604="","",IF(P2604="","NJ INCONNU",IF(I2604="",IF(H2604="OUI","À ENROBER",IF(G2604="À SOUDER","NON SOUDÉ","EN ATTENTE RT")),IF(L2604="R","À REPRENDRE",IF(H2604&lt;&gt;"OUI","⚠ ENROBÉ AVANT ACCEPTATION RT","ENROBÉ")))))</f>
        <v/>
      </c>
      <c r="O2604" s="80"/>
      <c r="P2604" s="82" t="str">
        <f aca="false">IF(C2604="","",IFERROR(MATCH(Q2604,'CARNET DE SOUDURE'!$AW$7:$AW$3006,0),""))</f>
        <v/>
      </c>
      <c r="Q2604" s="82" t="str">
        <f aca="false">IF(C2604="","",B2604&amp;"|"&amp;C2604)</f>
        <v/>
      </c>
    </row>
    <row r="2605" customFormat="false" ht="15" hidden="false" customHeight="false" outlineLevel="0" collapsed="false">
      <c r="A2605" s="82" t="str">
        <f aca="false">IF(C2605="","",ROW()-6)</f>
        <v/>
      </c>
      <c r="B2605" s="80"/>
      <c r="C2605" s="113"/>
      <c r="D2605" s="82" t="str">
        <f aca="false">IF(OR(C2605="",P2605=""),"",INDEX('CARNET DE SOUDURE'!$D$7:$D$3006,P2605)&amp;"")</f>
        <v/>
      </c>
      <c r="E2605" s="114" t="str">
        <f aca="false">IF(OR(C2605="",P2605=""),"",IF(INDEX('CARNET DE SOUDURE'!$U$7:$U$3006,P2605)="","",INDEX('CARNET DE SOUDURE'!$U$7:$U$3006,P2605)))</f>
        <v/>
      </c>
      <c r="F2605" s="82" t="str">
        <f aca="false">IF(OR(C2605="",P2605=""),"",INDEX('CARNET DE SOUDURE'!$AP$7:$AP$3006,P2605))</f>
        <v/>
      </c>
      <c r="G2605" s="82" t="str">
        <f aca="false">IF(C2605="","",IF(P2605="","NJ INCONNU",INDEX('CARNET DE SOUDURE'!$AQ$7:$AQ$3006,P2605)))</f>
        <v/>
      </c>
      <c r="H2605" s="82" t="str">
        <f aca="false">IF(C2605="","",IF(G2605="ACCEPTÉ","OUI","NON"))</f>
        <v/>
      </c>
      <c r="I2605" s="83"/>
      <c r="J2605" s="80"/>
      <c r="K2605" s="81"/>
      <c r="L2605" s="81"/>
      <c r="M2605" s="81"/>
      <c r="N2605" s="84" t="str">
        <f aca="false">IF(C2605="","",IF(P2605="","NJ INCONNU",IF(I2605="",IF(H2605="OUI","À ENROBER",IF(G2605="À SOUDER","NON SOUDÉ","EN ATTENTE RT")),IF(L2605="R","À REPRENDRE",IF(H2605&lt;&gt;"OUI","⚠ ENROBÉ AVANT ACCEPTATION RT","ENROBÉ")))))</f>
        <v/>
      </c>
      <c r="O2605" s="80"/>
      <c r="P2605" s="82" t="str">
        <f aca="false">IF(C2605="","",IFERROR(MATCH(Q2605,'CARNET DE SOUDURE'!$AW$7:$AW$3006,0),""))</f>
        <v/>
      </c>
      <c r="Q2605" s="82" t="str">
        <f aca="false">IF(C2605="","",B2605&amp;"|"&amp;C2605)</f>
        <v/>
      </c>
    </row>
    <row r="2606" customFormat="false" ht="15" hidden="false" customHeight="false" outlineLevel="0" collapsed="false">
      <c r="A2606" s="82" t="str">
        <f aca="false">IF(C2606="","",ROW()-6)</f>
        <v/>
      </c>
      <c r="B2606" s="80"/>
      <c r="C2606" s="113"/>
      <c r="D2606" s="82" t="str">
        <f aca="false">IF(OR(C2606="",P2606=""),"",INDEX('CARNET DE SOUDURE'!$D$7:$D$3006,P2606)&amp;"")</f>
        <v/>
      </c>
      <c r="E2606" s="114" t="str">
        <f aca="false">IF(OR(C2606="",P2606=""),"",IF(INDEX('CARNET DE SOUDURE'!$U$7:$U$3006,P2606)="","",INDEX('CARNET DE SOUDURE'!$U$7:$U$3006,P2606)))</f>
        <v/>
      </c>
      <c r="F2606" s="82" t="str">
        <f aca="false">IF(OR(C2606="",P2606=""),"",INDEX('CARNET DE SOUDURE'!$AP$7:$AP$3006,P2606))</f>
        <v/>
      </c>
      <c r="G2606" s="82" t="str">
        <f aca="false">IF(C2606="","",IF(P2606="","NJ INCONNU",INDEX('CARNET DE SOUDURE'!$AQ$7:$AQ$3006,P2606)))</f>
        <v/>
      </c>
      <c r="H2606" s="82" t="str">
        <f aca="false">IF(C2606="","",IF(G2606="ACCEPTÉ","OUI","NON"))</f>
        <v/>
      </c>
      <c r="I2606" s="83"/>
      <c r="J2606" s="80"/>
      <c r="K2606" s="81"/>
      <c r="L2606" s="81"/>
      <c r="M2606" s="81"/>
      <c r="N2606" s="84" t="str">
        <f aca="false">IF(C2606="","",IF(P2606="","NJ INCONNU",IF(I2606="",IF(H2606="OUI","À ENROBER",IF(G2606="À SOUDER","NON SOUDÉ","EN ATTENTE RT")),IF(L2606="R","À REPRENDRE",IF(H2606&lt;&gt;"OUI","⚠ ENROBÉ AVANT ACCEPTATION RT","ENROBÉ")))))</f>
        <v/>
      </c>
      <c r="O2606" s="80"/>
      <c r="P2606" s="82" t="str">
        <f aca="false">IF(C2606="","",IFERROR(MATCH(Q2606,'CARNET DE SOUDURE'!$AW$7:$AW$3006,0),""))</f>
        <v/>
      </c>
      <c r="Q2606" s="82" t="str">
        <f aca="false">IF(C2606="","",B2606&amp;"|"&amp;C2606)</f>
        <v/>
      </c>
    </row>
    <row r="2607" customFormat="false" ht="15" hidden="false" customHeight="false" outlineLevel="0" collapsed="false">
      <c r="A2607" s="82" t="str">
        <f aca="false">IF(C2607="","",ROW()-6)</f>
        <v/>
      </c>
      <c r="B2607" s="80"/>
      <c r="C2607" s="113"/>
      <c r="D2607" s="82" t="str">
        <f aca="false">IF(OR(C2607="",P2607=""),"",INDEX('CARNET DE SOUDURE'!$D$7:$D$3006,P2607)&amp;"")</f>
        <v/>
      </c>
      <c r="E2607" s="114" t="str">
        <f aca="false">IF(OR(C2607="",P2607=""),"",IF(INDEX('CARNET DE SOUDURE'!$U$7:$U$3006,P2607)="","",INDEX('CARNET DE SOUDURE'!$U$7:$U$3006,P2607)))</f>
        <v/>
      </c>
      <c r="F2607" s="82" t="str">
        <f aca="false">IF(OR(C2607="",P2607=""),"",INDEX('CARNET DE SOUDURE'!$AP$7:$AP$3006,P2607))</f>
        <v/>
      </c>
      <c r="G2607" s="82" t="str">
        <f aca="false">IF(C2607="","",IF(P2607="","NJ INCONNU",INDEX('CARNET DE SOUDURE'!$AQ$7:$AQ$3006,P2607)))</f>
        <v/>
      </c>
      <c r="H2607" s="82" t="str">
        <f aca="false">IF(C2607="","",IF(G2607="ACCEPTÉ","OUI","NON"))</f>
        <v/>
      </c>
      <c r="I2607" s="83"/>
      <c r="J2607" s="80"/>
      <c r="K2607" s="81"/>
      <c r="L2607" s="81"/>
      <c r="M2607" s="81"/>
      <c r="N2607" s="84" t="str">
        <f aca="false">IF(C2607="","",IF(P2607="","NJ INCONNU",IF(I2607="",IF(H2607="OUI","À ENROBER",IF(G2607="À SOUDER","NON SOUDÉ","EN ATTENTE RT")),IF(L2607="R","À REPRENDRE",IF(H2607&lt;&gt;"OUI","⚠ ENROBÉ AVANT ACCEPTATION RT","ENROBÉ")))))</f>
        <v/>
      </c>
      <c r="O2607" s="80"/>
      <c r="P2607" s="82" t="str">
        <f aca="false">IF(C2607="","",IFERROR(MATCH(Q2607,'CARNET DE SOUDURE'!$AW$7:$AW$3006,0),""))</f>
        <v/>
      </c>
      <c r="Q2607" s="82" t="str">
        <f aca="false">IF(C2607="","",B2607&amp;"|"&amp;C2607)</f>
        <v/>
      </c>
    </row>
    <row r="2608" customFormat="false" ht="15" hidden="false" customHeight="false" outlineLevel="0" collapsed="false">
      <c r="A2608" s="82" t="str">
        <f aca="false">IF(C2608="","",ROW()-6)</f>
        <v/>
      </c>
      <c r="B2608" s="80"/>
      <c r="C2608" s="113"/>
      <c r="D2608" s="82" t="str">
        <f aca="false">IF(OR(C2608="",P2608=""),"",INDEX('CARNET DE SOUDURE'!$D$7:$D$3006,P2608)&amp;"")</f>
        <v/>
      </c>
      <c r="E2608" s="114" t="str">
        <f aca="false">IF(OR(C2608="",P2608=""),"",IF(INDEX('CARNET DE SOUDURE'!$U$7:$U$3006,P2608)="","",INDEX('CARNET DE SOUDURE'!$U$7:$U$3006,P2608)))</f>
        <v/>
      </c>
      <c r="F2608" s="82" t="str">
        <f aca="false">IF(OR(C2608="",P2608=""),"",INDEX('CARNET DE SOUDURE'!$AP$7:$AP$3006,P2608))</f>
        <v/>
      </c>
      <c r="G2608" s="82" t="str">
        <f aca="false">IF(C2608="","",IF(P2608="","NJ INCONNU",INDEX('CARNET DE SOUDURE'!$AQ$7:$AQ$3006,P2608)))</f>
        <v/>
      </c>
      <c r="H2608" s="82" t="str">
        <f aca="false">IF(C2608="","",IF(G2608="ACCEPTÉ","OUI","NON"))</f>
        <v/>
      </c>
      <c r="I2608" s="83"/>
      <c r="J2608" s="80"/>
      <c r="K2608" s="81"/>
      <c r="L2608" s="81"/>
      <c r="M2608" s="81"/>
      <c r="N2608" s="84" t="str">
        <f aca="false">IF(C2608="","",IF(P2608="","NJ INCONNU",IF(I2608="",IF(H2608="OUI","À ENROBER",IF(G2608="À SOUDER","NON SOUDÉ","EN ATTENTE RT")),IF(L2608="R","À REPRENDRE",IF(H2608&lt;&gt;"OUI","⚠ ENROBÉ AVANT ACCEPTATION RT","ENROBÉ")))))</f>
        <v/>
      </c>
      <c r="O2608" s="80"/>
      <c r="P2608" s="82" t="str">
        <f aca="false">IF(C2608="","",IFERROR(MATCH(Q2608,'CARNET DE SOUDURE'!$AW$7:$AW$3006,0),""))</f>
        <v/>
      </c>
      <c r="Q2608" s="82" t="str">
        <f aca="false">IF(C2608="","",B2608&amp;"|"&amp;C2608)</f>
        <v/>
      </c>
    </row>
    <row r="2609" customFormat="false" ht="15" hidden="false" customHeight="false" outlineLevel="0" collapsed="false">
      <c r="A2609" s="82" t="str">
        <f aca="false">IF(C2609="","",ROW()-6)</f>
        <v/>
      </c>
      <c r="B2609" s="80"/>
      <c r="C2609" s="113"/>
      <c r="D2609" s="82" t="str">
        <f aca="false">IF(OR(C2609="",P2609=""),"",INDEX('CARNET DE SOUDURE'!$D$7:$D$3006,P2609)&amp;"")</f>
        <v/>
      </c>
      <c r="E2609" s="114" t="str">
        <f aca="false">IF(OR(C2609="",P2609=""),"",IF(INDEX('CARNET DE SOUDURE'!$U$7:$U$3006,P2609)="","",INDEX('CARNET DE SOUDURE'!$U$7:$U$3006,P2609)))</f>
        <v/>
      </c>
      <c r="F2609" s="82" t="str">
        <f aca="false">IF(OR(C2609="",P2609=""),"",INDEX('CARNET DE SOUDURE'!$AP$7:$AP$3006,P2609))</f>
        <v/>
      </c>
      <c r="G2609" s="82" t="str">
        <f aca="false">IF(C2609="","",IF(P2609="","NJ INCONNU",INDEX('CARNET DE SOUDURE'!$AQ$7:$AQ$3006,P2609)))</f>
        <v/>
      </c>
      <c r="H2609" s="82" t="str">
        <f aca="false">IF(C2609="","",IF(G2609="ACCEPTÉ","OUI","NON"))</f>
        <v/>
      </c>
      <c r="I2609" s="83"/>
      <c r="J2609" s="80"/>
      <c r="K2609" s="81"/>
      <c r="L2609" s="81"/>
      <c r="M2609" s="81"/>
      <c r="N2609" s="84" t="str">
        <f aca="false">IF(C2609="","",IF(P2609="","NJ INCONNU",IF(I2609="",IF(H2609="OUI","À ENROBER",IF(G2609="À SOUDER","NON SOUDÉ","EN ATTENTE RT")),IF(L2609="R","À REPRENDRE",IF(H2609&lt;&gt;"OUI","⚠ ENROBÉ AVANT ACCEPTATION RT","ENROBÉ")))))</f>
        <v/>
      </c>
      <c r="O2609" s="80"/>
      <c r="P2609" s="82" t="str">
        <f aca="false">IF(C2609="","",IFERROR(MATCH(Q2609,'CARNET DE SOUDURE'!$AW$7:$AW$3006,0),""))</f>
        <v/>
      </c>
      <c r="Q2609" s="82" t="str">
        <f aca="false">IF(C2609="","",B2609&amp;"|"&amp;C2609)</f>
        <v/>
      </c>
    </row>
    <row r="2610" customFormat="false" ht="15" hidden="false" customHeight="false" outlineLevel="0" collapsed="false">
      <c r="A2610" s="82" t="str">
        <f aca="false">IF(C2610="","",ROW()-6)</f>
        <v/>
      </c>
      <c r="B2610" s="80"/>
      <c r="C2610" s="113"/>
      <c r="D2610" s="82" t="str">
        <f aca="false">IF(OR(C2610="",P2610=""),"",INDEX('CARNET DE SOUDURE'!$D$7:$D$3006,P2610)&amp;"")</f>
        <v/>
      </c>
      <c r="E2610" s="114" t="str">
        <f aca="false">IF(OR(C2610="",P2610=""),"",IF(INDEX('CARNET DE SOUDURE'!$U$7:$U$3006,P2610)="","",INDEX('CARNET DE SOUDURE'!$U$7:$U$3006,P2610)))</f>
        <v/>
      </c>
      <c r="F2610" s="82" t="str">
        <f aca="false">IF(OR(C2610="",P2610=""),"",INDEX('CARNET DE SOUDURE'!$AP$7:$AP$3006,P2610))</f>
        <v/>
      </c>
      <c r="G2610" s="82" t="str">
        <f aca="false">IF(C2610="","",IF(P2610="","NJ INCONNU",INDEX('CARNET DE SOUDURE'!$AQ$7:$AQ$3006,P2610)))</f>
        <v/>
      </c>
      <c r="H2610" s="82" t="str">
        <f aca="false">IF(C2610="","",IF(G2610="ACCEPTÉ","OUI","NON"))</f>
        <v/>
      </c>
      <c r="I2610" s="83"/>
      <c r="J2610" s="80"/>
      <c r="K2610" s="81"/>
      <c r="L2610" s="81"/>
      <c r="M2610" s="81"/>
      <c r="N2610" s="84" t="str">
        <f aca="false">IF(C2610="","",IF(P2610="","NJ INCONNU",IF(I2610="",IF(H2610="OUI","À ENROBER",IF(G2610="À SOUDER","NON SOUDÉ","EN ATTENTE RT")),IF(L2610="R","À REPRENDRE",IF(H2610&lt;&gt;"OUI","⚠ ENROBÉ AVANT ACCEPTATION RT","ENROBÉ")))))</f>
        <v/>
      </c>
      <c r="O2610" s="80"/>
      <c r="P2610" s="82" t="str">
        <f aca="false">IF(C2610="","",IFERROR(MATCH(Q2610,'CARNET DE SOUDURE'!$AW$7:$AW$3006,0),""))</f>
        <v/>
      </c>
      <c r="Q2610" s="82" t="str">
        <f aca="false">IF(C2610="","",B2610&amp;"|"&amp;C2610)</f>
        <v/>
      </c>
    </row>
    <row r="2611" customFormat="false" ht="15" hidden="false" customHeight="false" outlineLevel="0" collapsed="false">
      <c r="A2611" s="82" t="str">
        <f aca="false">IF(C2611="","",ROW()-6)</f>
        <v/>
      </c>
      <c r="B2611" s="80"/>
      <c r="C2611" s="113"/>
      <c r="D2611" s="82" t="str">
        <f aca="false">IF(OR(C2611="",P2611=""),"",INDEX('CARNET DE SOUDURE'!$D$7:$D$3006,P2611)&amp;"")</f>
        <v/>
      </c>
      <c r="E2611" s="114" t="str">
        <f aca="false">IF(OR(C2611="",P2611=""),"",IF(INDEX('CARNET DE SOUDURE'!$U$7:$U$3006,P2611)="","",INDEX('CARNET DE SOUDURE'!$U$7:$U$3006,P2611)))</f>
        <v/>
      </c>
      <c r="F2611" s="82" t="str">
        <f aca="false">IF(OR(C2611="",P2611=""),"",INDEX('CARNET DE SOUDURE'!$AP$7:$AP$3006,P2611))</f>
        <v/>
      </c>
      <c r="G2611" s="82" t="str">
        <f aca="false">IF(C2611="","",IF(P2611="","NJ INCONNU",INDEX('CARNET DE SOUDURE'!$AQ$7:$AQ$3006,P2611)))</f>
        <v/>
      </c>
      <c r="H2611" s="82" t="str">
        <f aca="false">IF(C2611="","",IF(G2611="ACCEPTÉ","OUI","NON"))</f>
        <v/>
      </c>
      <c r="I2611" s="83"/>
      <c r="J2611" s="80"/>
      <c r="K2611" s="81"/>
      <c r="L2611" s="81"/>
      <c r="M2611" s="81"/>
      <c r="N2611" s="84" t="str">
        <f aca="false">IF(C2611="","",IF(P2611="","NJ INCONNU",IF(I2611="",IF(H2611="OUI","À ENROBER",IF(G2611="À SOUDER","NON SOUDÉ","EN ATTENTE RT")),IF(L2611="R","À REPRENDRE",IF(H2611&lt;&gt;"OUI","⚠ ENROBÉ AVANT ACCEPTATION RT","ENROBÉ")))))</f>
        <v/>
      </c>
      <c r="O2611" s="80"/>
      <c r="P2611" s="82" t="str">
        <f aca="false">IF(C2611="","",IFERROR(MATCH(Q2611,'CARNET DE SOUDURE'!$AW$7:$AW$3006,0),""))</f>
        <v/>
      </c>
      <c r="Q2611" s="82" t="str">
        <f aca="false">IF(C2611="","",B2611&amp;"|"&amp;C2611)</f>
        <v/>
      </c>
    </row>
    <row r="2612" customFormat="false" ht="15" hidden="false" customHeight="false" outlineLevel="0" collapsed="false">
      <c r="A2612" s="82" t="str">
        <f aca="false">IF(C2612="","",ROW()-6)</f>
        <v/>
      </c>
      <c r="B2612" s="80"/>
      <c r="C2612" s="113"/>
      <c r="D2612" s="82" t="str">
        <f aca="false">IF(OR(C2612="",P2612=""),"",INDEX('CARNET DE SOUDURE'!$D$7:$D$3006,P2612)&amp;"")</f>
        <v/>
      </c>
      <c r="E2612" s="114" t="str">
        <f aca="false">IF(OR(C2612="",P2612=""),"",IF(INDEX('CARNET DE SOUDURE'!$U$7:$U$3006,P2612)="","",INDEX('CARNET DE SOUDURE'!$U$7:$U$3006,P2612)))</f>
        <v/>
      </c>
      <c r="F2612" s="82" t="str">
        <f aca="false">IF(OR(C2612="",P2612=""),"",INDEX('CARNET DE SOUDURE'!$AP$7:$AP$3006,P2612))</f>
        <v/>
      </c>
      <c r="G2612" s="82" t="str">
        <f aca="false">IF(C2612="","",IF(P2612="","NJ INCONNU",INDEX('CARNET DE SOUDURE'!$AQ$7:$AQ$3006,P2612)))</f>
        <v/>
      </c>
      <c r="H2612" s="82" t="str">
        <f aca="false">IF(C2612="","",IF(G2612="ACCEPTÉ","OUI","NON"))</f>
        <v/>
      </c>
      <c r="I2612" s="83"/>
      <c r="J2612" s="80"/>
      <c r="K2612" s="81"/>
      <c r="L2612" s="81"/>
      <c r="M2612" s="81"/>
      <c r="N2612" s="84" t="str">
        <f aca="false">IF(C2612="","",IF(P2612="","NJ INCONNU",IF(I2612="",IF(H2612="OUI","À ENROBER",IF(G2612="À SOUDER","NON SOUDÉ","EN ATTENTE RT")),IF(L2612="R","À REPRENDRE",IF(H2612&lt;&gt;"OUI","⚠ ENROBÉ AVANT ACCEPTATION RT","ENROBÉ")))))</f>
        <v/>
      </c>
      <c r="O2612" s="80"/>
      <c r="P2612" s="82" t="str">
        <f aca="false">IF(C2612="","",IFERROR(MATCH(Q2612,'CARNET DE SOUDURE'!$AW$7:$AW$3006,0),""))</f>
        <v/>
      </c>
      <c r="Q2612" s="82" t="str">
        <f aca="false">IF(C2612="","",B2612&amp;"|"&amp;C2612)</f>
        <v/>
      </c>
    </row>
    <row r="2613" customFormat="false" ht="15" hidden="false" customHeight="false" outlineLevel="0" collapsed="false">
      <c r="A2613" s="82" t="str">
        <f aca="false">IF(C2613="","",ROW()-6)</f>
        <v/>
      </c>
      <c r="B2613" s="80"/>
      <c r="C2613" s="113"/>
      <c r="D2613" s="82" t="str">
        <f aca="false">IF(OR(C2613="",P2613=""),"",INDEX('CARNET DE SOUDURE'!$D$7:$D$3006,P2613)&amp;"")</f>
        <v/>
      </c>
      <c r="E2613" s="114" t="str">
        <f aca="false">IF(OR(C2613="",P2613=""),"",IF(INDEX('CARNET DE SOUDURE'!$U$7:$U$3006,P2613)="","",INDEX('CARNET DE SOUDURE'!$U$7:$U$3006,P2613)))</f>
        <v/>
      </c>
      <c r="F2613" s="82" t="str">
        <f aca="false">IF(OR(C2613="",P2613=""),"",INDEX('CARNET DE SOUDURE'!$AP$7:$AP$3006,P2613))</f>
        <v/>
      </c>
      <c r="G2613" s="82" t="str">
        <f aca="false">IF(C2613="","",IF(P2613="","NJ INCONNU",INDEX('CARNET DE SOUDURE'!$AQ$7:$AQ$3006,P2613)))</f>
        <v/>
      </c>
      <c r="H2613" s="82" t="str">
        <f aca="false">IF(C2613="","",IF(G2613="ACCEPTÉ","OUI","NON"))</f>
        <v/>
      </c>
      <c r="I2613" s="83"/>
      <c r="J2613" s="80"/>
      <c r="K2613" s="81"/>
      <c r="L2613" s="81"/>
      <c r="M2613" s="81"/>
      <c r="N2613" s="84" t="str">
        <f aca="false">IF(C2613="","",IF(P2613="","NJ INCONNU",IF(I2613="",IF(H2613="OUI","À ENROBER",IF(G2613="À SOUDER","NON SOUDÉ","EN ATTENTE RT")),IF(L2613="R","À REPRENDRE",IF(H2613&lt;&gt;"OUI","⚠ ENROBÉ AVANT ACCEPTATION RT","ENROBÉ")))))</f>
        <v/>
      </c>
      <c r="O2613" s="80"/>
      <c r="P2613" s="82" t="str">
        <f aca="false">IF(C2613="","",IFERROR(MATCH(Q2613,'CARNET DE SOUDURE'!$AW$7:$AW$3006,0),""))</f>
        <v/>
      </c>
      <c r="Q2613" s="82" t="str">
        <f aca="false">IF(C2613="","",B2613&amp;"|"&amp;C2613)</f>
        <v/>
      </c>
    </row>
    <row r="2614" customFormat="false" ht="15" hidden="false" customHeight="false" outlineLevel="0" collapsed="false">
      <c r="A2614" s="82" t="str">
        <f aca="false">IF(C2614="","",ROW()-6)</f>
        <v/>
      </c>
      <c r="B2614" s="80"/>
      <c r="C2614" s="113"/>
      <c r="D2614" s="82" t="str">
        <f aca="false">IF(OR(C2614="",P2614=""),"",INDEX('CARNET DE SOUDURE'!$D$7:$D$3006,P2614)&amp;"")</f>
        <v/>
      </c>
      <c r="E2614" s="114" t="str">
        <f aca="false">IF(OR(C2614="",P2614=""),"",IF(INDEX('CARNET DE SOUDURE'!$U$7:$U$3006,P2614)="","",INDEX('CARNET DE SOUDURE'!$U$7:$U$3006,P2614)))</f>
        <v/>
      </c>
      <c r="F2614" s="82" t="str">
        <f aca="false">IF(OR(C2614="",P2614=""),"",INDEX('CARNET DE SOUDURE'!$AP$7:$AP$3006,P2614))</f>
        <v/>
      </c>
      <c r="G2614" s="82" t="str">
        <f aca="false">IF(C2614="","",IF(P2614="","NJ INCONNU",INDEX('CARNET DE SOUDURE'!$AQ$7:$AQ$3006,P2614)))</f>
        <v/>
      </c>
      <c r="H2614" s="82" t="str">
        <f aca="false">IF(C2614="","",IF(G2614="ACCEPTÉ","OUI","NON"))</f>
        <v/>
      </c>
      <c r="I2614" s="83"/>
      <c r="J2614" s="80"/>
      <c r="K2614" s="81"/>
      <c r="L2614" s="81"/>
      <c r="M2614" s="81"/>
      <c r="N2614" s="84" t="str">
        <f aca="false">IF(C2614="","",IF(P2614="","NJ INCONNU",IF(I2614="",IF(H2614="OUI","À ENROBER",IF(G2614="À SOUDER","NON SOUDÉ","EN ATTENTE RT")),IF(L2614="R","À REPRENDRE",IF(H2614&lt;&gt;"OUI","⚠ ENROBÉ AVANT ACCEPTATION RT","ENROBÉ")))))</f>
        <v/>
      </c>
      <c r="O2614" s="80"/>
      <c r="P2614" s="82" t="str">
        <f aca="false">IF(C2614="","",IFERROR(MATCH(Q2614,'CARNET DE SOUDURE'!$AW$7:$AW$3006,0),""))</f>
        <v/>
      </c>
      <c r="Q2614" s="82" t="str">
        <f aca="false">IF(C2614="","",B2614&amp;"|"&amp;C2614)</f>
        <v/>
      </c>
    </row>
    <row r="2615" customFormat="false" ht="15" hidden="false" customHeight="false" outlineLevel="0" collapsed="false">
      <c r="A2615" s="82" t="str">
        <f aca="false">IF(C2615="","",ROW()-6)</f>
        <v/>
      </c>
      <c r="B2615" s="80"/>
      <c r="C2615" s="113"/>
      <c r="D2615" s="82" t="str">
        <f aca="false">IF(OR(C2615="",P2615=""),"",INDEX('CARNET DE SOUDURE'!$D$7:$D$3006,P2615)&amp;"")</f>
        <v/>
      </c>
      <c r="E2615" s="114" t="str">
        <f aca="false">IF(OR(C2615="",P2615=""),"",IF(INDEX('CARNET DE SOUDURE'!$U$7:$U$3006,P2615)="","",INDEX('CARNET DE SOUDURE'!$U$7:$U$3006,P2615)))</f>
        <v/>
      </c>
      <c r="F2615" s="82" t="str">
        <f aca="false">IF(OR(C2615="",P2615=""),"",INDEX('CARNET DE SOUDURE'!$AP$7:$AP$3006,P2615))</f>
        <v/>
      </c>
      <c r="G2615" s="82" t="str">
        <f aca="false">IF(C2615="","",IF(P2615="","NJ INCONNU",INDEX('CARNET DE SOUDURE'!$AQ$7:$AQ$3006,P2615)))</f>
        <v/>
      </c>
      <c r="H2615" s="82" t="str">
        <f aca="false">IF(C2615="","",IF(G2615="ACCEPTÉ","OUI","NON"))</f>
        <v/>
      </c>
      <c r="I2615" s="83"/>
      <c r="J2615" s="80"/>
      <c r="K2615" s="81"/>
      <c r="L2615" s="81"/>
      <c r="M2615" s="81"/>
      <c r="N2615" s="84" t="str">
        <f aca="false">IF(C2615="","",IF(P2615="","NJ INCONNU",IF(I2615="",IF(H2615="OUI","À ENROBER",IF(G2615="À SOUDER","NON SOUDÉ","EN ATTENTE RT")),IF(L2615="R","À REPRENDRE",IF(H2615&lt;&gt;"OUI","⚠ ENROBÉ AVANT ACCEPTATION RT","ENROBÉ")))))</f>
        <v/>
      </c>
      <c r="O2615" s="80"/>
      <c r="P2615" s="82" t="str">
        <f aca="false">IF(C2615="","",IFERROR(MATCH(Q2615,'CARNET DE SOUDURE'!$AW$7:$AW$3006,0),""))</f>
        <v/>
      </c>
      <c r="Q2615" s="82" t="str">
        <f aca="false">IF(C2615="","",B2615&amp;"|"&amp;C2615)</f>
        <v/>
      </c>
    </row>
    <row r="2616" customFormat="false" ht="15" hidden="false" customHeight="false" outlineLevel="0" collapsed="false">
      <c r="A2616" s="82" t="str">
        <f aca="false">IF(C2616="","",ROW()-6)</f>
        <v/>
      </c>
      <c r="B2616" s="80"/>
      <c r="C2616" s="113"/>
      <c r="D2616" s="82" t="str">
        <f aca="false">IF(OR(C2616="",P2616=""),"",INDEX('CARNET DE SOUDURE'!$D$7:$D$3006,P2616)&amp;"")</f>
        <v/>
      </c>
      <c r="E2616" s="114" t="str">
        <f aca="false">IF(OR(C2616="",P2616=""),"",IF(INDEX('CARNET DE SOUDURE'!$U$7:$U$3006,P2616)="","",INDEX('CARNET DE SOUDURE'!$U$7:$U$3006,P2616)))</f>
        <v/>
      </c>
      <c r="F2616" s="82" t="str">
        <f aca="false">IF(OR(C2616="",P2616=""),"",INDEX('CARNET DE SOUDURE'!$AP$7:$AP$3006,P2616))</f>
        <v/>
      </c>
      <c r="G2616" s="82" t="str">
        <f aca="false">IF(C2616="","",IF(P2616="","NJ INCONNU",INDEX('CARNET DE SOUDURE'!$AQ$7:$AQ$3006,P2616)))</f>
        <v/>
      </c>
      <c r="H2616" s="82" t="str">
        <f aca="false">IF(C2616="","",IF(G2616="ACCEPTÉ","OUI","NON"))</f>
        <v/>
      </c>
      <c r="I2616" s="83"/>
      <c r="J2616" s="80"/>
      <c r="K2616" s="81"/>
      <c r="L2616" s="81"/>
      <c r="M2616" s="81"/>
      <c r="N2616" s="84" t="str">
        <f aca="false">IF(C2616="","",IF(P2616="","NJ INCONNU",IF(I2616="",IF(H2616="OUI","À ENROBER",IF(G2616="À SOUDER","NON SOUDÉ","EN ATTENTE RT")),IF(L2616="R","À REPRENDRE",IF(H2616&lt;&gt;"OUI","⚠ ENROBÉ AVANT ACCEPTATION RT","ENROBÉ")))))</f>
        <v/>
      </c>
      <c r="O2616" s="80"/>
      <c r="P2616" s="82" t="str">
        <f aca="false">IF(C2616="","",IFERROR(MATCH(Q2616,'CARNET DE SOUDURE'!$AW$7:$AW$3006,0),""))</f>
        <v/>
      </c>
      <c r="Q2616" s="82" t="str">
        <f aca="false">IF(C2616="","",B2616&amp;"|"&amp;C2616)</f>
        <v/>
      </c>
    </row>
    <row r="2617" customFormat="false" ht="15" hidden="false" customHeight="false" outlineLevel="0" collapsed="false">
      <c r="A2617" s="82" t="str">
        <f aca="false">IF(C2617="","",ROW()-6)</f>
        <v/>
      </c>
      <c r="B2617" s="80"/>
      <c r="C2617" s="113"/>
      <c r="D2617" s="82" t="str">
        <f aca="false">IF(OR(C2617="",P2617=""),"",INDEX('CARNET DE SOUDURE'!$D$7:$D$3006,P2617)&amp;"")</f>
        <v/>
      </c>
      <c r="E2617" s="114" t="str">
        <f aca="false">IF(OR(C2617="",P2617=""),"",IF(INDEX('CARNET DE SOUDURE'!$U$7:$U$3006,P2617)="","",INDEX('CARNET DE SOUDURE'!$U$7:$U$3006,P2617)))</f>
        <v/>
      </c>
      <c r="F2617" s="82" t="str">
        <f aca="false">IF(OR(C2617="",P2617=""),"",INDEX('CARNET DE SOUDURE'!$AP$7:$AP$3006,P2617))</f>
        <v/>
      </c>
      <c r="G2617" s="82" t="str">
        <f aca="false">IF(C2617="","",IF(P2617="","NJ INCONNU",INDEX('CARNET DE SOUDURE'!$AQ$7:$AQ$3006,P2617)))</f>
        <v/>
      </c>
      <c r="H2617" s="82" t="str">
        <f aca="false">IF(C2617="","",IF(G2617="ACCEPTÉ","OUI","NON"))</f>
        <v/>
      </c>
      <c r="I2617" s="83"/>
      <c r="J2617" s="80"/>
      <c r="K2617" s="81"/>
      <c r="L2617" s="81"/>
      <c r="M2617" s="81"/>
      <c r="N2617" s="84" t="str">
        <f aca="false">IF(C2617="","",IF(P2617="","NJ INCONNU",IF(I2617="",IF(H2617="OUI","À ENROBER",IF(G2617="À SOUDER","NON SOUDÉ","EN ATTENTE RT")),IF(L2617="R","À REPRENDRE",IF(H2617&lt;&gt;"OUI","⚠ ENROBÉ AVANT ACCEPTATION RT","ENROBÉ")))))</f>
        <v/>
      </c>
      <c r="O2617" s="80"/>
      <c r="P2617" s="82" t="str">
        <f aca="false">IF(C2617="","",IFERROR(MATCH(Q2617,'CARNET DE SOUDURE'!$AW$7:$AW$3006,0),""))</f>
        <v/>
      </c>
      <c r="Q2617" s="82" t="str">
        <f aca="false">IF(C2617="","",B2617&amp;"|"&amp;C2617)</f>
        <v/>
      </c>
    </row>
    <row r="2618" customFormat="false" ht="15" hidden="false" customHeight="false" outlineLevel="0" collapsed="false">
      <c r="A2618" s="82" t="str">
        <f aca="false">IF(C2618="","",ROW()-6)</f>
        <v/>
      </c>
      <c r="B2618" s="80"/>
      <c r="C2618" s="113"/>
      <c r="D2618" s="82" t="str">
        <f aca="false">IF(OR(C2618="",P2618=""),"",INDEX('CARNET DE SOUDURE'!$D$7:$D$3006,P2618)&amp;"")</f>
        <v/>
      </c>
      <c r="E2618" s="114" t="str">
        <f aca="false">IF(OR(C2618="",P2618=""),"",IF(INDEX('CARNET DE SOUDURE'!$U$7:$U$3006,P2618)="","",INDEX('CARNET DE SOUDURE'!$U$7:$U$3006,P2618)))</f>
        <v/>
      </c>
      <c r="F2618" s="82" t="str">
        <f aca="false">IF(OR(C2618="",P2618=""),"",INDEX('CARNET DE SOUDURE'!$AP$7:$AP$3006,P2618))</f>
        <v/>
      </c>
      <c r="G2618" s="82" t="str">
        <f aca="false">IF(C2618="","",IF(P2618="","NJ INCONNU",INDEX('CARNET DE SOUDURE'!$AQ$7:$AQ$3006,P2618)))</f>
        <v/>
      </c>
      <c r="H2618" s="82" t="str">
        <f aca="false">IF(C2618="","",IF(G2618="ACCEPTÉ","OUI","NON"))</f>
        <v/>
      </c>
      <c r="I2618" s="83"/>
      <c r="J2618" s="80"/>
      <c r="K2618" s="81"/>
      <c r="L2618" s="81"/>
      <c r="M2618" s="81"/>
      <c r="N2618" s="84" t="str">
        <f aca="false">IF(C2618="","",IF(P2618="","NJ INCONNU",IF(I2618="",IF(H2618="OUI","À ENROBER",IF(G2618="À SOUDER","NON SOUDÉ","EN ATTENTE RT")),IF(L2618="R","À REPRENDRE",IF(H2618&lt;&gt;"OUI","⚠ ENROBÉ AVANT ACCEPTATION RT","ENROBÉ")))))</f>
        <v/>
      </c>
      <c r="O2618" s="80"/>
      <c r="P2618" s="82" t="str">
        <f aca="false">IF(C2618="","",IFERROR(MATCH(Q2618,'CARNET DE SOUDURE'!$AW$7:$AW$3006,0),""))</f>
        <v/>
      </c>
      <c r="Q2618" s="82" t="str">
        <f aca="false">IF(C2618="","",B2618&amp;"|"&amp;C2618)</f>
        <v/>
      </c>
    </row>
    <row r="2619" customFormat="false" ht="15" hidden="false" customHeight="false" outlineLevel="0" collapsed="false">
      <c r="A2619" s="82" t="str">
        <f aca="false">IF(C2619="","",ROW()-6)</f>
        <v/>
      </c>
      <c r="B2619" s="80"/>
      <c r="C2619" s="113"/>
      <c r="D2619" s="82" t="str">
        <f aca="false">IF(OR(C2619="",P2619=""),"",INDEX('CARNET DE SOUDURE'!$D$7:$D$3006,P2619)&amp;"")</f>
        <v/>
      </c>
      <c r="E2619" s="114" t="str">
        <f aca="false">IF(OR(C2619="",P2619=""),"",IF(INDEX('CARNET DE SOUDURE'!$U$7:$U$3006,P2619)="","",INDEX('CARNET DE SOUDURE'!$U$7:$U$3006,P2619)))</f>
        <v/>
      </c>
      <c r="F2619" s="82" t="str">
        <f aca="false">IF(OR(C2619="",P2619=""),"",INDEX('CARNET DE SOUDURE'!$AP$7:$AP$3006,P2619))</f>
        <v/>
      </c>
      <c r="G2619" s="82" t="str">
        <f aca="false">IF(C2619="","",IF(P2619="","NJ INCONNU",INDEX('CARNET DE SOUDURE'!$AQ$7:$AQ$3006,P2619)))</f>
        <v/>
      </c>
      <c r="H2619" s="82" t="str">
        <f aca="false">IF(C2619="","",IF(G2619="ACCEPTÉ","OUI","NON"))</f>
        <v/>
      </c>
      <c r="I2619" s="83"/>
      <c r="J2619" s="80"/>
      <c r="K2619" s="81"/>
      <c r="L2619" s="81"/>
      <c r="M2619" s="81"/>
      <c r="N2619" s="84" t="str">
        <f aca="false">IF(C2619="","",IF(P2619="","NJ INCONNU",IF(I2619="",IF(H2619="OUI","À ENROBER",IF(G2619="À SOUDER","NON SOUDÉ","EN ATTENTE RT")),IF(L2619="R","À REPRENDRE",IF(H2619&lt;&gt;"OUI","⚠ ENROBÉ AVANT ACCEPTATION RT","ENROBÉ")))))</f>
        <v/>
      </c>
      <c r="O2619" s="80"/>
      <c r="P2619" s="82" t="str">
        <f aca="false">IF(C2619="","",IFERROR(MATCH(Q2619,'CARNET DE SOUDURE'!$AW$7:$AW$3006,0),""))</f>
        <v/>
      </c>
      <c r="Q2619" s="82" t="str">
        <f aca="false">IF(C2619="","",B2619&amp;"|"&amp;C2619)</f>
        <v/>
      </c>
    </row>
    <row r="2620" customFormat="false" ht="15" hidden="false" customHeight="false" outlineLevel="0" collapsed="false">
      <c r="A2620" s="82" t="str">
        <f aca="false">IF(C2620="","",ROW()-6)</f>
        <v/>
      </c>
      <c r="B2620" s="80"/>
      <c r="C2620" s="113"/>
      <c r="D2620" s="82" t="str">
        <f aca="false">IF(OR(C2620="",P2620=""),"",INDEX('CARNET DE SOUDURE'!$D$7:$D$3006,P2620)&amp;"")</f>
        <v/>
      </c>
      <c r="E2620" s="114" t="str">
        <f aca="false">IF(OR(C2620="",P2620=""),"",IF(INDEX('CARNET DE SOUDURE'!$U$7:$U$3006,P2620)="","",INDEX('CARNET DE SOUDURE'!$U$7:$U$3006,P2620)))</f>
        <v/>
      </c>
      <c r="F2620" s="82" t="str">
        <f aca="false">IF(OR(C2620="",P2620=""),"",INDEX('CARNET DE SOUDURE'!$AP$7:$AP$3006,P2620))</f>
        <v/>
      </c>
      <c r="G2620" s="82" t="str">
        <f aca="false">IF(C2620="","",IF(P2620="","NJ INCONNU",INDEX('CARNET DE SOUDURE'!$AQ$7:$AQ$3006,P2620)))</f>
        <v/>
      </c>
      <c r="H2620" s="82" t="str">
        <f aca="false">IF(C2620="","",IF(G2620="ACCEPTÉ","OUI","NON"))</f>
        <v/>
      </c>
      <c r="I2620" s="83"/>
      <c r="J2620" s="80"/>
      <c r="K2620" s="81"/>
      <c r="L2620" s="81"/>
      <c r="M2620" s="81"/>
      <c r="N2620" s="84" t="str">
        <f aca="false">IF(C2620="","",IF(P2620="","NJ INCONNU",IF(I2620="",IF(H2620="OUI","À ENROBER",IF(G2620="À SOUDER","NON SOUDÉ","EN ATTENTE RT")),IF(L2620="R","À REPRENDRE",IF(H2620&lt;&gt;"OUI","⚠ ENROBÉ AVANT ACCEPTATION RT","ENROBÉ")))))</f>
        <v/>
      </c>
      <c r="O2620" s="80"/>
      <c r="P2620" s="82" t="str">
        <f aca="false">IF(C2620="","",IFERROR(MATCH(Q2620,'CARNET DE SOUDURE'!$AW$7:$AW$3006,0),""))</f>
        <v/>
      </c>
      <c r="Q2620" s="82" t="str">
        <f aca="false">IF(C2620="","",B2620&amp;"|"&amp;C2620)</f>
        <v/>
      </c>
    </row>
    <row r="2621" customFormat="false" ht="15" hidden="false" customHeight="false" outlineLevel="0" collapsed="false">
      <c r="A2621" s="82" t="str">
        <f aca="false">IF(C2621="","",ROW()-6)</f>
        <v/>
      </c>
      <c r="B2621" s="80"/>
      <c r="C2621" s="113"/>
      <c r="D2621" s="82" t="str">
        <f aca="false">IF(OR(C2621="",P2621=""),"",INDEX('CARNET DE SOUDURE'!$D$7:$D$3006,P2621)&amp;"")</f>
        <v/>
      </c>
      <c r="E2621" s="114" t="str">
        <f aca="false">IF(OR(C2621="",P2621=""),"",IF(INDEX('CARNET DE SOUDURE'!$U$7:$U$3006,P2621)="","",INDEX('CARNET DE SOUDURE'!$U$7:$U$3006,P2621)))</f>
        <v/>
      </c>
      <c r="F2621" s="82" t="str">
        <f aca="false">IF(OR(C2621="",P2621=""),"",INDEX('CARNET DE SOUDURE'!$AP$7:$AP$3006,P2621))</f>
        <v/>
      </c>
      <c r="G2621" s="82" t="str">
        <f aca="false">IF(C2621="","",IF(P2621="","NJ INCONNU",INDEX('CARNET DE SOUDURE'!$AQ$7:$AQ$3006,P2621)))</f>
        <v/>
      </c>
      <c r="H2621" s="82" t="str">
        <f aca="false">IF(C2621="","",IF(G2621="ACCEPTÉ","OUI","NON"))</f>
        <v/>
      </c>
      <c r="I2621" s="83"/>
      <c r="J2621" s="80"/>
      <c r="K2621" s="81"/>
      <c r="L2621" s="81"/>
      <c r="M2621" s="81"/>
      <c r="N2621" s="84" t="str">
        <f aca="false">IF(C2621="","",IF(P2621="","NJ INCONNU",IF(I2621="",IF(H2621="OUI","À ENROBER",IF(G2621="À SOUDER","NON SOUDÉ","EN ATTENTE RT")),IF(L2621="R","À REPRENDRE",IF(H2621&lt;&gt;"OUI","⚠ ENROBÉ AVANT ACCEPTATION RT","ENROBÉ")))))</f>
        <v/>
      </c>
      <c r="O2621" s="80"/>
      <c r="P2621" s="82" t="str">
        <f aca="false">IF(C2621="","",IFERROR(MATCH(Q2621,'CARNET DE SOUDURE'!$AW$7:$AW$3006,0),""))</f>
        <v/>
      </c>
      <c r="Q2621" s="82" t="str">
        <f aca="false">IF(C2621="","",B2621&amp;"|"&amp;C2621)</f>
        <v/>
      </c>
    </row>
    <row r="2622" customFormat="false" ht="15" hidden="false" customHeight="false" outlineLevel="0" collapsed="false">
      <c r="A2622" s="82" t="str">
        <f aca="false">IF(C2622="","",ROW()-6)</f>
        <v/>
      </c>
      <c r="B2622" s="80"/>
      <c r="C2622" s="113"/>
      <c r="D2622" s="82" t="str">
        <f aca="false">IF(OR(C2622="",P2622=""),"",INDEX('CARNET DE SOUDURE'!$D$7:$D$3006,P2622)&amp;"")</f>
        <v/>
      </c>
      <c r="E2622" s="114" t="str">
        <f aca="false">IF(OR(C2622="",P2622=""),"",IF(INDEX('CARNET DE SOUDURE'!$U$7:$U$3006,P2622)="","",INDEX('CARNET DE SOUDURE'!$U$7:$U$3006,P2622)))</f>
        <v/>
      </c>
      <c r="F2622" s="82" t="str">
        <f aca="false">IF(OR(C2622="",P2622=""),"",INDEX('CARNET DE SOUDURE'!$AP$7:$AP$3006,P2622))</f>
        <v/>
      </c>
      <c r="G2622" s="82" t="str">
        <f aca="false">IF(C2622="","",IF(P2622="","NJ INCONNU",INDEX('CARNET DE SOUDURE'!$AQ$7:$AQ$3006,P2622)))</f>
        <v/>
      </c>
      <c r="H2622" s="82" t="str">
        <f aca="false">IF(C2622="","",IF(G2622="ACCEPTÉ","OUI","NON"))</f>
        <v/>
      </c>
      <c r="I2622" s="83"/>
      <c r="J2622" s="80"/>
      <c r="K2622" s="81"/>
      <c r="L2622" s="81"/>
      <c r="M2622" s="81"/>
      <c r="N2622" s="84" t="str">
        <f aca="false">IF(C2622="","",IF(P2622="","NJ INCONNU",IF(I2622="",IF(H2622="OUI","À ENROBER",IF(G2622="À SOUDER","NON SOUDÉ","EN ATTENTE RT")),IF(L2622="R","À REPRENDRE",IF(H2622&lt;&gt;"OUI","⚠ ENROBÉ AVANT ACCEPTATION RT","ENROBÉ")))))</f>
        <v/>
      </c>
      <c r="O2622" s="80"/>
      <c r="P2622" s="82" t="str">
        <f aca="false">IF(C2622="","",IFERROR(MATCH(Q2622,'CARNET DE SOUDURE'!$AW$7:$AW$3006,0),""))</f>
        <v/>
      </c>
      <c r="Q2622" s="82" t="str">
        <f aca="false">IF(C2622="","",B2622&amp;"|"&amp;C2622)</f>
        <v/>
      </c>
    </row>
    <row r="2623" customFormat="false" ht="15" hidden="false" customHeight="false" outlineLevel="0" collapsed="false">
      <c r="A2623" s="82" t="str">
        <f aca="false">IF(C2623="","",ROW()-6)</f>
        <v/>
      </c>
      <c r="B2623" s="80"/>
      <c r="C2623" s="113"/>
      <c r="D2623" s="82" t="str">
        <f aca="false">IF(OR(C2623="",P2623=""),"",INDEX('CARNET DE SOUDURE'!$D$7:$D$3006,P2623)&amp;"")</f>
        <v/>
      </c>
      <c r="E2623" s="114" t="str">
        <f aca="false">IF(OR(C2623="",P2623=""),"",IF(INDEX('CARNET DE SOUDURE'!$U$7:$U$3006,P2623)="","",INDEX('CARNET DE SOUDURE'!$U$7:$U$3006,P2623)))</f>
        <v/>
      </c>
      <c r="F2623" s="82" t="str">
        <f aca="false">IF(OR(C2623="",P2623=""),"",INDEX('CARNET DE SOUDURE'!$AP$7:$AP$3006,P2623))</f>
        <v/>
      </c>
      <c r="G2623" s="82" t="str">
        <f aca="false">IF(C2623="","",IF(P2623="","NJ INCONNU",INDEX('CARNET DE SOUDURE'!$AQ$7:$AQ$3006,P2623)))</f>
        <v/>
      </c>
      <c r="H2623" s="82" t="str">
        <f aca="false">IF(C2623="","",IF(G2623="ACCEPTÉ","OUI","NON"))</f>
        <v/>
      </c>
      <c r="I2623" s="83"/>
      <c r="J2623" s="80"/>
      <c r="K2623" s="81"/>
      <c r="L2623" s="81"/>
      <c r="M2623" s="81"/>
      <c r="N2623" s="84" t="str">
        <f aca="false">IF(C2623="","",IF(P2623="","NJ INCONNU",IF(I2623="",IF(H2623="OUI","À ENROBER",IF(G2623="À SOUDER","NON SOUDÉ","EN ATTENTE RT")),IF(L2623="R","À REPRENDRE",IF(H2623&lt;&gt;"OUI","⚠ ENROBÉ AVANT ACCEPTATION RT","ENROBÉ")))))</f>
        <v/>
      </c>
      <c r="O2623" s="80"/>
      <c r="P2623" s="82" t="str">
        <f aca="false">IF(C2623="","",IFERROR(MATCH(Q2623,'CARNET DE SOUDURE'!$AW$7:$AW$3006,0),""))</f>
        <v/>
      </c>
      <c r="Q2623" s="82" t="str">
        <f aca="false">IF(C2623="","",B2623&amp;"|"&amp;C2623)</f>
        <v/>
      </c>
    </row>
    <row r="2624" customFormat="false" ht="15" hidden="false" customHeight="false" outlineLevel="0" collapsed="false">
      <c r="A2624" s="82" t="str">
        <f aca="false">IF(C2624="","",ROW()-6)</f>
        <v/>
      </c>
      <c r="B2624" s="80"/>
      <c r="C2624" s="113"/>
      <c r="D2624" s="82" t="str">
        <f aca="false">IF(OR(C2624="",P2624=""),"",INDEX('CARNET DE SOUDURE'!$D$7:$D$3006,P2624)&amp;"")</f>
        <v/>
      </c>
      <c r="E2624" s="114" t="str">
        <f aca="false">IF(OR(C2624="",P2624=""),"",IF(INDEX('CARNET DE SOUDURE'!$U$7:$U$3006,P2624)="","",INDEX('CARNET DE SOUDURE'!$U$7:$U$3006,P2624)))</f>
        <v/>
      </c>
      <c r="F2624" s="82" t="str">
        <f aca="false">IF(OR(C2624="",P2624=""),"",INDEX('CARNET DE SOUDURE'!$AP$7:$AP$3006,P2624))</f>
        <v/>
      </c>
      <c r="G2624" s="82" t="str">
        <f aca="false">IF(C2624="","",IF(P2624="","NJ INCONNU",INDEX('CARNET DE SOUDURE'!$AQ$7:$AQ$3006,P2624)))</f>
        <v/>
      </c>
      <c r="H2624" s="82" t="str">
        <f aca="false">IF(C2624="","",IF(G2624="ACCEPTÉ","OUI","NON"))</f>
        <v/>
      </c>
      <c r="I2624" s="83"/>
      <c r="J2624" s="80"/>
      <c r="K2624" s="81"/>
      <c r="L2624" s="81"/>
      <c r="M2624" s="81"/>
      <c r="N2624" s="84" t="str">
        <f aca="false">IF(C2624="","",IF(P2624="","NJ INCONNU",IF(I2624="",IF(H2624="OUI","À ENROBER",IF(G2624="À SOUDER","NON SOUDÉ","EN ATTENTE RT")),IF(L2624="R","À REPRENDRE",IF(H2624&lt;&gt;"OUI","⚠ ENROBÉ AVANT ACCEPTATION RT","ENROBÉ")))))</f>
        <v/>
      </c>
      <c r="O2624" s="80"/>
      <c r="P2624" s="82" t="str">
        <f aca="false">IF(C2624="","",IFERROR(MATCH(Q2624,'CARNET DE SOUDURE'!$AW$7:$AW$3006,0),""))</f>
        <v/>
      </c>
      <c r="Q2624" s="82" t="str">
        <f aca="false">IF(C2624="","",B2624&amp;"|"&amp;C2624)</f>
        <v/>
      </c>
    </row>
    <row r="2625" customFormat="false" ht="15" hidden="false" customHeight="false" outlineLevel="0" collapsed="false">
      <c r="A2625" s="82" t="str">
        <f aca="false">IF(C2625="","",ROW()-6)</f>
        <v/>
      </c>
      <c r="B2625" s="80"/>
      <c r="C2625" s="113"/>
      <c r="D2625" s="82" t="str">
        <f aca="false">IF(OR(C2625="",P2625=""),"",INDEX('CARNET DE SOUDURE'!$D$7:$D$3006,P2625)&amp;"")</f>
        <v/>
      </c>
      <c r="E2625" s="114" t="str">
        <f aca="false">IF(OR(C2625="",P2625=""),"",IF(INDEX('CARNET DE SOUDURE'!$U$7:$U$3006,P2625)="","",INDEX('CARNET DE SOUDURE'!$U$7:$U$3006,P2625)))</f>
        <v/>
      </c>
      <c r="F2625" s="82" t="str">
        <f aca="false">IF(OR(C2625="",P2625=""),"",INDEX('CARNET DE SOUDURE'!$AP$7:$AP$3006,P2625))</f>
        <v/>
      </c>
      <c r="G2625" s="82" t="str">
        <f aca="false">IF(C2625="","",IF(P2625="","NJ INCONNU",INDEX('CARNET DE SOUDURE'!$AQ$7:$AQ$3006,P2625)))</f>
        <v/>
      </c>
      <c r="H2625" s="82" t="str">
        <f aca="false">IF(C2625="","",IF(G2625="ACCEPTÉ","OUI","NON"))</f>
        <v/>
      </c>
      <c r="I2625" s="83"/>
      <c r="J2625" s="80"/>
      <c r="K2625" s="81"/>
      <c r="L2625" s="81"/>
      <c r="M2625" s="81"/>
      <c r="N2625" s="84" t="str">
        <f aca="false">IF(C2625="","",IF(P2625="","NJ INCONNU",IF(I2625="",IF(H2625="OUI","À ENROBER",IF(G2625="À SOUDER","NON SOUDÉ","EN ATTENTE RT")),IF(L2625="R","À REPRENDRE",IF(H2625&lt;&gt;"OUI","⚠ ENROBÉ AVANT ACCEPTATION RT","ENROBÉ")))))</f>
        <v/>
      </c>
      <c r="O2625" s="80"/>
      <c r="P2625" s="82" t="str">
        <f aca="false">IF(C2625="","",IFERROR(MATCH(Q2625,'CARNET DE SOUDURE'!$AW$7:$AW$3006,0),""))</f>
        <v/>
      </c>
      <c r="Q2625" s="82" t="str">
        <f aca="false">IF(C2625="","",B2625&amp;"|"&amp;C2625)</f>
        <v/>
      </c>
    </row>
    <row r="2626" customFormat="false" ht="15" hidden="false" customHeight="false" outlineLevel="0" collapsed="false">
      <c r="A2626" s="82" t="str">
        <f aca="false">IF(C2626="","",ROW()-6)</f>
        <v/>
      </c>
      <c r="B2626" s="80"/>
      <c r="C2626" s="113"/>
      <c r="D2626" s="82" t="str">
        <f aca="false">IF(OR(C2626="",P2626=""),"",INDEX('CARNET DE SOUDURE'!$D$7:$D$3006,P2626)&amp;"")</f>
        <v/>
      </c>
      <c r="E2626" s="114" t="str">
        <f aca="false">IF(OR(C2626="",P2626=""),"",IF(INDEX('CARNET DE SOUDURE'!$U$7:$U$3006,P2626)="","",INDEX('CARNET DE SOUDURE'!$U$7:$U$3006,P2626)))</f>
        <v/>
      </c>
      <c r="F2626" s="82" t="str">
        <f aca="false">IF(OR(C2626="",P2626=""),"",INDEX('CARNET DE SOUDURE'!$AP$7:$AP$3006,P2626))</f>
        <v/>
      </c>
      <c r="G2626" s="82" t="str">
        <f aca="false">IF(C2626="","",IF(P2626="","NJ INCONNU",INDEX('CARNET DE SOUDURE'!$AQ$7:$AQ$3006,P2626)))</f>
        <v/>
      </c>
      <c r="H2626" s="82" t="str">
        <f aca="false">IF(C2626="","",IF(G2626="ACCEPTÉ","OUI","NON"))</f>
        <v/>
      </c>
      <c r="I2626" s="83"/>
      <c r="J2626" s="80"/>
      <c r="K2626" s="81"/>
      <c r="L2626" s="81"/>
      <c r="M2626" s="81"/>
      <c r="N2626" s="84" t="str">
        <f aca="false">IF(C2626="","",IF(P2626="","NJ INCONNU",IF(I2626="",IF(H2626="OUI","À ENROBER",IF(G2626="À SOUDER","NON SOUDÉ","EN ATTENTE RT")),IF(L2626="R","À REPRENDRE",IF(H2626&lt;&gt;"OUI","⚠ ENROBÉ AVANT ACCEPTATION RT","ENROBÉ")))))</f>
        <v/>
      </c>
      <c r="O2626" s="80"/>
      <c r="P2626" s="82" t="str">
        <f aca="false">IF(C2626="","",IFERROR(MATCH(Q2626,'CARNET DE SOUDURE'!$AW$7:$AW$3006,0),""))</f>
        <v/>
      </c>
      <c r="Q2626" s="82" t="str">
        <f aca="false">IF(C2626="","",B2626&amp;"|"&amp;C2626)</f>
        <v/>
      </c>
    </row>
    <row r="2627" customFormat="false" ht="15" hidden="false" customHeight="false" outlineLevel="0" collapsed="false">
      <c r="A2627" s="82" t="str">
        <f aca="false">IF(C2627="","",ROW()-6)</f>
        <v/>
      </c>
      <c r="B2627" s="80"/>
      <c r="C2627" s="113"/>
      <c r="D2627" s="82" t="str">
        <f aca="false">IF(OR(C2627="",P2627=""),"",INDEX('CARNET DE SOUDURE'!$D$7:$D$3006,P2627)&amp;"")</f>
        <v/>
      </c>
      <c r="E2627" s="114" t="str">
        <f aca="false">IF(OR(C2627="",P2627=""),"",IF(INDEX('CARNET DE SOUDURE'!$U$7:$U$3006,P2627)="","",INDEX('CARNET DE SOUDURE'!$U$7:$U$3006,P2627)))</f>
        <v/>
      </c>
      <c r="F2627" s="82" t="str">
        <f aca="false">IF(OR(C2627="",P2627=""),"",INDEX('CARNET DE SOUDURE'!$AP$7:$AP$3006,P2627))</f>
        <v/>
      </c>
      <c r="G2627" s="82" t="str">
        <f aca="false">IF(C2627="","",IF(P2627="","NJ INCONNU",INDEX('CARNET DE SOUDURE'!$AQ$7:$AQ$3006,P2627)))</f>
        <v/>
      </c>
      <c r="H2627" s="82" t="str">
        <f aca="false">IF(C2627="","",IF(G2627="ACCEPTÉ","OUI","NON"))</f>
        <v/>
      </c>
      <c r="I2627" s="83"/>
      <c r="J2627" s="80"/>
      <c r="K2627" s="81"/>
      <c r="L2627" s="81"/>
      <c r="M2627" s="81"/>
      <c r="N2627" s="84" t="str">
        <f aca="false">IF(C2627="","",IF(P2627="","NJ INCONNU",IF(I2627="",IF(H2627="OUI","À ENROBER",IF(G2627="À SOUDER","NON SOUDÉ","EN ATTENTE RT")),IF(L2627="R","À REPRENDRE",IF(H2627&lt;&gt;"OUI","⚠ ENROBÉ AVANT ACCEPTATION RT","ENROBÉ")))))</f>
        <v/>
      </c>
      <c r="O2627" s="80"/>
      <c r="P2627" s="82" t="str">
        <f aca="false">IF(C2627="","",IFERROR(MATCH(Q2627,'CARNET DE SOUDURE'!$AW$7:$AW$3006,0),""))</f>
        <v/>
      </c>
      <c r="Q2627" s="82" t="str">
        <f aca="false">IF(C2627="","",B2627&amp;"|"&amp;C2627)</f>
        <v/>
      </c>
    </row>
    <row r="2628" customFormat="false" ht="15" hidden="false" customHeight="false" outlineLevel="0" collapsed="false">
      <c r="A2628" s="82" t="str">
        <f aca="false">IF(C2628="","",ROW()-6)</f>
        <v/>
      </c>
      <c r="B2628" s="80"/>
      <c r="C2628" s="113"/>
      <c r="D2628" s="82" t="str">
        <f aca="false">IF(OR(C2628="",P2628=""),"",INDEX('CARNET DE SOUDURE'!$D$7:$D$3006,P2628)&amp;"")</f>
        <v/>
      </c>
      <c r="E2628" s="114" t="str">
        <f aca="false">IF(OR(C2628="",P2628=""),"",IF(INDEX('CARNET DE SOUDURE'!$U$7:$U$3006,P2628)="","",INDEX('CARNET DE SOUDURE'!$U$7:$U$3006,P2628)))</f>
        <v/>
      </c>
      <c r="F2628" s="82" t="str">
        <f aca="false">IF(OR(C2628="",P2628=""),"",INDEX('CARNET DE SOUDURE'!$AP$7:$AP$3006,P2628))</f>
        <v/>
      </c>
      <c r="G2628" s="82" t="str">
        <f aca="false">IF(C2628="","",IF(P2628="","NJ INCONNU",INDEX('CARNET DE SOUDURE'!$AQ$7:$AQ$3006,P2628)))</f>
        <v/>
      </c>
      <c r="H2628" s="82" t="str">
        <f aca="false">IF(C2628="","",IF(G2628="ACCEPTÉ","OUI","NON"))</f>
        <v/>
      </c>
      <c r="I2628" s="83"/>
      <c r="J2628" s="80"/>
      <c r="K2628" s="81"/>
      <c r="L2628" s="81"/>
      <c r="M2628" s="81"/>
      <c r="N2628" s="84" t="str">
        <f aca="false">IF(C2628="","",IF(P2628="","NJ INCONNU",IF(I2628="",IF(H2628="OUI","À ENROBER",IF(G2628="À SOUDER","NON SOUDÉ","EN ATTENTE RT")),IF(L2628="R","À REPRENDRE",IF(H2628&lt;&gt;"OUI","⚠ ENROBÉ AVANT ACCEPTATION RT","ENROBÉ")))))</f>
        <v/>
      </c>
      <c r="O2628" s="80"/>
      <c r="P2628" s="82" t="str">
        <f aca="false">IF(C2628="","",IFERROR(MATCH(Q2628,'CARNET DE SOUDURE'!$AW$7:$AW$3006,0),""))</f>
        <v/>
      </c>
      <c r="Q2628" s="82" t="str">
        <f aca="false">IF(C2628="","",B2628&amp;"|"&amp;C2628)</f>
        <v/>
      </c>
    </row>
    <row r="2629" customFormat="false" ht="15" hidden="false" customHeight="false" outlineLevel="0" collapsed="false">
      <c r="A2629" s="82" t="str">
        <f aca="false">IF(C2629="","",ROW()-6)</f>
        <v/>
      </c>
      <c r="B2629" s="80"/>
      <c r="C2629" s="113"/>
      <c r="D2629" s="82" t="str">
        <f aca="false">IF(OR(C2629="",P2629=""),"",INDEX('CARNET DE SOUDURE'!$D$7:$D$3006,P2629)&amp;"")</f>
        <v/>
      </c>
      <c r="E2629" s="114" t="str">
        <f aca="false">IF(OR(C2629="",P2629=""),"",IF(INDEX('CARNET DE SOUDURE'!$U$7:$U$3006,P2629)="","",INDEX('CARNET DE SOUDURE'!$U$7:$U$3006,P2629)))</f>
        <v/>
      </c>
      <c r="F2629" s="82" t="str">
        <f aca="false">IF(OR(C2629="",P2629=""),"",INDEX('CARNET DE SOUDURE'!$AP$7:$AP$3006,P2629))</f>
        <v/>
      </c>
      <c r="G2629" s="82" t="str">
        <f aca="false">IF(C2629="","",IF(P2629="","NJ INCONNU",INDEX('CARNET DE SOUDURE'!$AQ$7:$AQ$3006,P2629)))</f>
        <v/>
      </c>
      <c r="H2629" s="82" t="str">
        <f aca="false">IF(C2629="","",IF(G2629="ACCEPTÉ","OUI","NON"))</f>
        <v/>
      </c>
      <c r="I2629" s="83"/>
      <c r="J2629" s="80"/>
      <c r="K2629" s="81"/>
      <c r="L2629" s="81"/>
      <c r="M2629" s="81"/>
      <c r="N2629" s="84" t="str">
        <f aca="false">IF(C2629="","",IF(P2629="","NJ INCONNU",IF(I2629="",IF(H2629="OUI","À ENROBER",IF(G2629="À SOUDER","NON SOUDÉ","EN ATTENTE RT")),IF(L2629="R","À REPRENDRE",IF(H2629&lt;&gt;"OUI","⚠ ENROBÉ AVANT ACCEPTATION RT","ENROBÉ")))))</f>
        <v/>
      </c>
      <c r="O2629" s="80"/>
      <c r="P2629" s="82" t="str">
        <f aca="false">IF(C2629="","",IFERROR(MATCH(Q2629,'CARNET DE SOUDURE'!$AW$7:$AW$3006,0),""))</f>
        <v/>
      </c>
      <c r="Q2629" s="82" t="str">
        <f aca="false">IF(C2629="","",B2629&amp;"|"&amp;C2629)</f>
        <v/>
      </c>
    </row>
    <row r="2630" customFormat="false" ht="15" hidden="false" customHeight="false" outlineLevel="0" collapsed="false">
      <c r="A2630" s="82" t="str">
        <f aca="false">IF(C2630="","",ROW()-6)</f>
        <v/>
      </c>
      <c r="B2630" s="80"/>
      <c r="C2630" s="113"/>
      <c r="D2630" s="82" t="str">
        <f aca="false">IF(OR(C2630="",P2630=""),"",INDEX('CARNET DE SOUDURE'!$D$7:$D$3006,P2630)&amp;"")</f>
        <v/>
      </c>
      <c r="E2630" s="114" t="str">
        <f aca="false">IF(OR(C2630="",P2630=""),"",IF(INDEX('CARNET DE SOUDURE'!$U$7:$U$3006,P2630)="","",INDEX('CARNET DE SOUDURE'!$U$7:$U$3006,P2630)))</f>
        <v/>
      </c>
      <c r="F2630" s="82" t="str">
        <f aca="false">IF(OR(C2630="",P2630=""),"",INDEX('CARNET DE SOUDURE'!$AP$7:$AP$3006,P2630))</f>
        <v/>
      </c>
      <c r="G2630" s="82" t="str">
        <f aca="false">IF(C2630="","",IF(P2630="","NJ INCONNU",INDEX('CARNET DE SOUDURE'!$AQ$7:$AQ$3006,P2630)))</f>
        <v/>
      </c>
      <c r="H2630" s="82" t="str">
        <f aca="false">IF(C2630="","",IF(G2630="ACCEPTÉ","OUI","NON"))</f>
        <v/>
      </c>
      <c r="I2630" s="83"/>
      <c r="J2630" s="80"/>
      <c r="K2630" s="81"/>
      <c r="L2630" s="81"/>
      <c r="M2630" s="81"/>
      <c r="N2630" s="84" t="str">
        <f aca="false">IF(C2630="","",IF(P2630="","NJ INCONNU",IF(I2630="",IF(H2630="OUI","À ENROBER",IF(G2630="À SOUDER","NON SOUDÉ","EN ATTENTE RT")),IF(L2630="R","À REPRENDRE",IF(H2630&lt;&gt;"OUI","⚠ ENROBÉ AVANT ACCEPTATION RT","ENROBÉ")))))</f>
        <v/>
      </c>
      <c r="O2630" s="80"/>
      <c r="P2630" s="82" t="str">
        <f aca="false">IF(C2630="","",IFERROR(MATCH(Q2630,'CARNET DE SOUDURE'!$AW$7:$AW$3006,0),""))</f>
        <v/>
      </c>
      <c r="Q2630" s="82" t="str">
        <f aca="false">IF(C2630="","",B2630&amp;"|"&amp;C2630)</f>
        <v/>
      </c>
    </row>
    <row r="2631" customFormat="false" ht="15" hidden="false" customHeight="false" outlineLevel="0" collapsed="false">
      <c r="A2631" s="82" t="str">
        <f aca="false">IF(C2631="","",ROW()-6)</f>
        <v/>
      </c>
      <c r="B2631" s="80"/>
      <c r="C2631" s="113"/>
      <c r="D2631" s="82" t="str">
        <f aca="false">IF(OR(C2631="",P2631=""),"",INDEX('CARNET DE SOUDURE'!$D$7:$D$3006,P2631)&amp;"")</f>
        <v/>
      </c>
      <c r="E2631" s="114" t="str">
        <f aca="false">IF(OR(C2631="",P2631=""),"",IF(INDEX('CARNET DE SOUDURE'!$U$7:$U$3006,P2631)="","",INDEX('CARNET DE SOUDURE'!$U$7:$U$3006,P2631)))</f>
        <v/>
      </c>
      <c r="F2631" s="82" t="str">
        <f aca="false">IF(OR(C2631="",P2631=""),"",INDEX('CARNET DE SOUDURE'!$AP$7:$AP$3006,P2631))</f>
        <v/>
      </c>
      <c r="G2631" s="82" t="str">
        <f aca="false">IF(C2631="","",IF(P2631="","NJ INCONNU",INDEX('CARNET DE SOUDURE'!$AQ$7:$AQ$3006,P2631)))</f>
        <v/>
      </c>
      <c r="H2631" s="82" t="str">
        <f aca="false">IF(C2631="","",IF(G2631="ACCEPTÉ","OUI","NON"))</f>
        <v/>
      </c>
      <c r="I2631" s="83"/>
      <c r="J2631" s="80"/>
      <c r="K2631" s="81"/>
      <c r="L2631" s="81"/>
      <c r="M2631" s="81"/>
      <c r="N2631" s="84" t="str">
        <f aca="false">IF(C2631="","",IF(P2631="","NJ INCONNU",IF(I2631="",IF(H2631="OUI","À ENROBER",IF(G2631="À SOUDER","NON SOUDÉ","EN ATTENTE RT")),IF(L2631="R","À REPRENDRE",IF(H2631&lt;&gt;"OUI","⚠ ENROBÉ AVANT ACCEPTATION RT","ENROBÉ")))))</f>
        <v/>
      </c>
      <c r="O2631" s="80"/>
      <c r="P2631" s="82" t="str">
        <f aca="false">IF(C2631="","",IFERROR(MATCH(Q2631,'CARNET DE SOUDURE'!$AW$7:$AW$3006,0),""))</f>
        <v/>
      </c>
      <c r="Q2631" s="82" t="str">
        <f aca="false">IF(C2631="","",B2631&amp;"|"&amp;C2631)</f>
        <v/>
      </c>
    </row>
    <row r="2632" customFormat="false" ht="15" hidden="false" customHeight="false" outlineLevel="0" collapsed="false">
      <c r="A2632" s="82" t="str">
        <f aca="false">IF(C2632="","",ROW()-6)</f>
        <v/>
      </c>
      <c r="B2632" s="80"/>
      <c r="C2632" s="113"/>
      <c r="D2632" s="82" t="str">
        <f aca="false">IF(OR(C2632="",P2632=""),"",INDEX('CARNET DE SOUDURE'!$D$7:$D$3006,P2632)&amp;"")</f>
        <v/>
      </c>
      <c r="E2632" s="114" t="str">
        <f aca="false">IF(OR(C2632="",P2632=""),"",IF(INDEX('CARNET DE SOUDURE'!$U$7:$U$3006,P2632)="","",INDEX('CARNET DE SOUDURE'!$U$7:$U$3006,P2632)))</f>
        <v/>
      </c>
      <c r="F2632" s="82" t="str">
        <f aca="false">IF(OR(C2632="",P2632=""),"",INDEX('CARNET DE SOUDURE'!$AP$7:$AP$3006,P2632))</f>
        <v/>
      </c>
      <c r="G2632" s="82" t="str">
        <f aca="false">IF(C2632="","",IF(P2632="","NJ INCONNU",INDEX('CARNET DE SOUDURE'!$AQ$7:$AQ$3006,P2632)))</f>
        <v/>
      </c>
      <c r="H2632" s="82" t="str">
        <f aca="false">IF(C2632="","",IF(G2632="ACCEPTÉ","OUI","NON"))</f>
        <v/>
      </c>
      <c r="I2632" s="83"/>
      <c r="J2632" s="80"/>
      <c r="K2632" s="81"/>
      <c r="L2632" s="81"/>
      <c r="M2632" s="81"/>
      <c r="N2632" s="84" t="str">
        <f aca="false">IF(C2632="","",IF(P2632="","NJ INCONNU",IF(I2632="",IF(H2632="OUI","À ENROBER",IF(G2632="À SOUDER","NON SOUDÉ","EN ATTENTE RT")),IF(L2632="R","À REPRENDRE",IF(H2632&lt;&gt;"OUI","⚠ ENROBÉ AVANT ACCEPTATION RT","ENROBÉ")))))</f>
        <v/>
      </c>
      <c r="O2632" s="80"/>
      <c r="P2632" s="82" t="str">
        <f aca="false">IF(C2632="","",IFERROR(MATCH(Q2632,'CARNET DE SOUDURE'!$AW$7:$AW$3006,0),""))</f>
        <v/>
      </c>
      <c r="Q2632" s="82" t="str">
        <f aca="false">IF(C2632="","",B2632&amp;"|"&amp;C2632)</f>
        <v/>
      </c>
    </row>
    <row r="2633" customFormat="false" ht="15" hidden="false" customHeight="false" outlineLevel="0" collapsed="false">
      <c r="A2633" s="82" t="str">
        <f aca="false">IF(C2633="","",ROW()-6)</f>
        <v/>
      </c>
      <c r="B2633" s="80"/>
      <c r="C2633" s="113"/>
      <c r="D2633" s="82" t="str">
        <f aca="false">IF(OR(C2633="",P2633=""),"",INDEX('CARNET DE SOUDURE'!$D$7:$D$3006,P2633)&amp;"")</f>
        <v/>
      </c>
      <c r="E2633" s="114" t="str">
        <f aca="false">IF(OR(C2633="",P2633=""),"",IF(INDEX('CARNET DE SOUDURE'!$U$7:$U$3006,P2633)="","",INDEX('CARNET DE SOUDURE'!$U$7:$U$3006,P2633)))</f>
        <v/>
      </c>
      <c r="F2633" s="82" t="str">
        <f aca="false">IF(OR(C2633="",P2633=""),"",INDEX('CARNET DE SOUDURE'!$AP$7:$AP$3006,P2633))</f>
        <v/>
      </c>
      <c r="G2633" s="82" t="str">
        <f aca="false">IF(C2633="","",IF(P2633="","NJ INCONNU",INDEX('CARNET DE SOUDURE'!$AQ$7:$AQ$3006,P2633)))</f>
        <v/>
      </c>
      <c r="H2633" s="82" t="str">
        <f aca="false">IF(C2633="","",IF(G2633="ACCEPTÉ","OUI","NON"))</f>
        <v/>
      </c>
      <c r="I2633" s="83"/>
      <c r="J2633" s="80"/>
      <c r="K2633" s="81"/>
      <c r="L2633" s="81"/>
      <c r="M2633" s="81"/>
      <c r="N2633" s="84" t="str">
        <f aca="false">IF(C2633="","",IF(P2633="","NJ INCONNU",IF(I2633="",IF(H2633="OUI","À ENROBER",IF(G2633="À SOUDER","NON SOUDÉ","EN ATTENTE RT")),IF(L2633="R","À REPRENDRE",IF(H2633&lt;&gt;"OUI","⚠ ENROBÉ AVANT ACCEPTATION RT","ENROBÉ")))))</f>
        <v/>
      </c>
      <c r="O2633" s="80"/>
      <c r="P2633" s="82" t="str">
        <f aca="false">IF(C2633="","",IFERROR(MATCH(Q2633,'CARNET DE SOUDURE'!$AW$7:$AW$3006,0),""))</f>
        <v/>
      </c>
      <c r="Q2633" s="82" t="str">
        <f aca="false">IF(C2633="","",B2633&amp;"|"&amp;C2633)</f>
        <v/>
      </c>
    </row>
    <row r="2634" customFormat="false" ht="15" hidden="false" customHeight="false" outlineLevel="0" collapsed="false">
      <c r="A2634" s="82" t="str">
        <f aca="false">IF(C2634="","",ROW()-6)</f>
        <v/>
      </c>
      <c r="B2634" s="80"/>
      <c r="C2634" s="113"/>
      <c r="D2634" s="82" t="str">
        <f aca="false">IF(OR(C2634="",P2634=""),"",INDEX('CARNET DE SOUDURE'!$D$7:$D$3006,P2634)&amp;"")</f>
        <v/>
      </c>
      <c r="E2634" s="114" t="str">
        <f aca="false">IF(OR(C2634="",P2634=""),"",IF(INDEX('CARNET DE SOUDURE'!$U$7:$U$3006,P2634)="","",INDEX('CARNET DE SOUDURE'!$U$7:$U$3006,P2634)))</f>
        <v/>
      </c>
      <c r="F2634" s="82" t="str">
        <f aca="false">IF(OR(C2634="",P2634=""),"",INDEX('CARNET DE SOUDURE'!$AP$7:$AP$3006,P2634))</f>
        <v/>
      </c>
      <c r="G2634" s="82" t="str">
        <f aca="false">IF(C2634="","",IF(P2634="","NJ INCONNU",INDEX('CARNET DE SOUDURE'!$AQ$7:$AQ$3006,P2634)))</f>
        <v/>
      </c>
      <c r="H2634" s="82" t="str">
        <f aca="false">IF(C2634="","",IF(G2634="ACCEPTÉ","OUI","NON"))</f>
        <v/>
      </c>
      <c r="I2634" s="83"/>
      <c r="J2634" s="80"/>
      <c r="K2634" s="81"/>
      <c r="L2634" s="81"/>
      <c r="M2634" s="81"/>
      <c r="N2634" s="84" t="str">
        <f aca="false">IF(C2634="","",IF(P2634="","NJ INCONNU",IF(I2634="",IF(H2634="OUI","À ENROBER",IF(G2634="À SOUDER","NON SOUDÉ","EN ATTENTE RT")),IF(L2634="R","À REPRENDRE",IF(H2634&lt;&gt;"OUI","⚠ ENROBÉ AVANT ACCEPTATION RT","ENROBÉ")))))</f>
        <v/>
      </c>
      <c r="O2634" s="80"/>
      <c r="P2634" s="82" t="str">
        <f aca="false">IF(C2634="","",IFERROR(MATCH(Q2634,'CARNET DE SOUDURE'!$AW$7:$AW$3006,0),""))</f>
        <v/>
      </c>
      <c r="Q2634" s="82" t="str">
        <f aca="false">IF(C2634="","",B2634&amp;"|"&amp;C2634)</f>
        <v/>
      </c>
    </row>
    <row r="2635" customFormat="false" ht="15" hidden="false" customHeight="false" outlineLevel="0" collapsed="false">
      <c r="A2635" s="82" t="str">
        <f aca="false">IF(C2635="","",ROW()-6)</f>
        <v/>
      </c>
      <c r="B2635" s="80"/>
      <c r="C2635" s="113"/>
      <c r="D2635" s="82" t="str">
        <f aca="false">IF(OR(C2635="",P2635=""),"",INDEX('CARNET DE SOUDURE'!$D$7:$D$3006,P2635)&amp;"")</f>
        <v/>
      </c>
      <c r="E2635" s="114" t="str">
        <f aca="false">IF(OR(C2635="",P2635=""),"",IF(INDEX('CARNET DE SOUDURE'!$U$7:$U$3006,P2635)="","",INDEX('CARNET DE SOUDURE'!$U$7:$U$3006,P2635)))</f>
        <v/>
      </c>
      <c r="F2635" s="82" t="str">
        <f aca="false">IF(OR(C2635="",P2635=""),"",INDEX('CARNET DE SOUDURE'!$AP$7:$AP$3006,P2635))</f>
        <v/>
      </c>
      <c r="G2635" s="82" t="str">
        <f aca="false">IF(C2635="","",IF(P2635="","NJ INCONNU",INDEX('CARNET DE SOUDURE'!$AQ$7:$AQ$3006,P2635)))</f>
        <v/>
      </c>
      <c r="H2635" s="82" t="str">
        <f aca="false">IF(C2635="","",IF(G2635="ACCEPTÉ","OUI","NON"))</f>
        <v/>
      </c>
      <c r="I2635" s="83"/>
      <c r="J2635" s="80"/>
      <c r="K2635" s="81"/>
      <c r="L2635" s="81"/>
      <c r="M2635" s="81"/>
      <c r="N2635" s="84" t="str">
        <f aca="false">IF(C2635="","",IF(P2635="","NJ INCONNU",IF(I2635="",IF(H2635="OUI","À ENROBER",IF(G2635="À SOUDER","NON SOUDÉ","EN ATTENTE RT")),IF(L2635="R","À REPRENDRE",IF(H2635&lt;&gt;"OUI","⚠ ENROBÉ AVANT ACCEPTATION RT","ENROBÉ")))))</f>
        <v/>
      </c>
      <c r="O2635" s="80"/>
      <c r="P2635" s="82" t="str">
        <f aca="false">IF(C2635="","",IFERROR(MATCH(Q2635,'CARNET DE SOUDURE'!$AW$7:$AW$3006,0),""))</f>
        <v/>
      </c>
      <c r="Q2635" s="82" t="str">
        <f aca="false">IF(C2635="","",B2635&amp;"|"&amp;C2635)</f>
        <v/>
      </c>
    </row>
    <row r="2636" customFormat="false" ht="15" hidden="false" customHeight="false" outlineLevel="0" collapsed="false">
      <c r="A2636" s="82" t="str">
        <f aca="false">IF(C2636="","",ROW()-6)</f>
        <v/>
      </c>
      <c r="B2636" s="80"/>
      <c r="C2636" s="113"/>
      <c r="D2636" s="82" t="str">
        <f aca="false">IF(OR(C2636="",P2636=""),"",INDEX('CARNET DE SOUDURE'!$D$7:$D$3006,P2636)&amp;"")</f>
        <v/>
      </c>
      <c r="E2636" s="114" t="str">
        <f aca="false">IF(OR(C2636="",P2636=""),"",IF(INDEX('CARNET DE SOUDURE'!$U$7:$U$3006,P2636)="","",INDEX('CARNET DE SOUDURE'!$U$7:$U$3006,P2636)))</f>
        <v/>
      </c>
      <c r="F2636" s="82" t="str">
        <f aca="false">IF(OR(C2636="",P2636=""),"",INDEX('CARNET DE SOUDURE'!$AP$7:$AP$3006,P2636))</f>
        <v/>
      </c>
      <c r="G2636" s="82" t="str">
        <f aca="false">IF(C2636="","",IF(P2636="","NJ INCONNU",INDEX('CARNET DE SOUDURE'!$AQ$7:$AQ$3006,P2636)))</f>
        <v/>
      </c>
      <c r="H2636" s="82" t="str">
        <f aca="false">IF(C2636="","",IF(G2636="ACCEPTÉ","OUI","NON"))</f>
        <v/>
      </c>
      <c r="I2636" s="83"/>
      <c r="J2636" s="80"/>
      <c r="K2636" s="81"/>
      <c r="L2636" s="81"/>
      <c r="M2636" s="81"/>
      <c r="N2636" s="84" t="str">
        <f aca="false">IF(C2636="","",IF(P2636="","NJ INCONNU",IF(I2636="",IF(H2636="OUI","À ENROBER",IF(G2636="À SOUDER","NON SOUDÉ","EN ATTENTE RT")),IF(L2636="R","À REPRENDRE",IF(H2636&lt;&gt;"OUI","⚠ ENROBÉ AVANT ACCEPTATION RT","ENROBÉ")))))</f>
        <v/>
      </c>
      <c r="O2636" s="80"/>
      <c r="P2636" s="82" t="str">
        <f aca="false">IF(C2636="","",IFERROR(MATCH(Q2636,'CARNET DE SOUDURE'!$AW$7:$AW$3006,0),""))</f>
        <v/>
      </c>
      <c r="Q2636" s="82" t="str">
        <f aca="false">IF(C2636="","",B2636&amp;"|"&amp;C2636)</f>
        <v/>
      </c>
    </row>
    <row r="2637" customFormat="false" ht="15" hidden="false" customHeight="false" outlineLevel="0" collapsed="false">
      <c r="A2637" s="82" t="str">
        <f aca="false">IF(C2637="","",ROW()-6)</f>
        <v/>
      </c>
      <c r="B2637" s="80"/>
      <c r="C2637" s="113"/>
      <c r="D2637" s="82" t="str">
        <f aca="false">IF(OR(C2637="",P2637=""),"",INDEX('CARNET DE SOUDURE'!$D$7:$D$3006,P2637)&amp;"")</f>
        <v/>
      </c>
      <c r="E2637" s="114" t="str">
        <f aca="false">IF(OR(C2637="",P2637=""),"",IF(INDEX('CARNET DE SOUDURE'!$U$7:$U$3006,P2637)="","",INDEX('CARNET DE SOUDURE'!$U$7:$U$3006,P2637)))</f>
        <v/>
      </c>
      <c r="F2637" s="82" t="str">
        <f aca="false">IF(OR(C2637="",P2637=""),"",INDEX('CARNET DE SOUDURE'!$AP$7:$AP$3006,P2637))</f>
        <v/>
      </c>
      <c r="G2637" s="82" t="str">
        <f aca="false">IF(C2637="","",IF(P2637="","NJ INCONNU",INDEX('CARNET DE SOUDURE'!$AQ$7:$AQ$3006,P2637)))</f>
        <v/>
      </c>
      <c r="H2637" s="82" t="str">
        <f aca="false">IF(C2637="","",IF(G2637="ACCEPTÉ","OUI","NON"))</f>
        <v/>
      </c>
      <c r="I2637" s="83"/>
      <c r="J2637" s="80"/>
      <c r="K2637" s="81"/>
      <c r="L2637" s="81"/>
      <c r="M2637" s="81"/>
      <c r="N2637" s="84" t="str">
        <f aca="false">IF(C2637="","",IF(P2637="","NJ INCONNU",IF(I2637="",IF(H2637="OUI","À ENROBER",IF(G2637="À SOUDER","NON SOUDÉ","EN ATTENTE RT")),IF(L2637="R","À REPRENDRE",IF(H2637&lt;&gt;"OUI","⚠ ENROBÉ AVANT ACCEPTATION RT","ENROBÉ")))))</f>
        <v/>
      </c>
      <c r="O2637" s="80"/>
      <c r="P2637" s="82" t="str">
        <f aca="false">IF(C2637="","",IFERROR(MATCH(Q2637,'CARNET DE SOUDURE'!$AW$7:$AW$3006,0),""))</f>
        <v/>
      </c>
      <c r="Q2637" s="82" t="str">
        <f aca="false">IF(C2637="","",B2637&amp;"|"&amp;C2637)</f>
        <v/>
      </c>
    </row>
    <row r="2638" customFormat="false" ht="15" hidden="false" customHeight="false" outlineLevel="0" collapsed="false">
      <c r="A2638" s="82" t="str">
        <f aca="false">IF(C2638="","",ROW()-6)</f>
        <v/>
      </c>
      <c r="B2638" s="80"/>
      <c r="C2638" s="113"/>
      <c r="D2638" s="82" t="str">
        <f aca="false">IF(OR(C2638="",P2638=""),"",INDEX('CARNET DE SOUDURE'!$D$7:$D$3006,P2638)&amp;"")</f>
        <v/>
      </c>
      <c r="E2638" s="114" t="str">
        <f aca="false">IF(OR(C2638="",P2638=""),"",IF(INDEX('CARNET DE SOUDURE'!$U$7:$U$3006,P2638)="","",INDEX('CARNET DE SOUDURE'!$U$7:$U$3006,P2638)))</f>
        <v/>
      </c>
      <c r="F2638" s="82" t="str">
        <f aca="false">IF(OR(C2638="",P2638=""),"",INDEX('CARNET DE SOUDURE'!$AP$7:$AP$3006,P2638))</f>
        <v/>
      </c>
      <c r="G2638" s="82" t="str">
        <f aca="false">IF(C2638="","",IF(P2638="","NJ INCONNU",INDEX('CARNET DE SOUDURE'!$AQ$7:$AQ$3006,P2638)))</f>
        <v/>
      </c>
      <c r="H2638" s="82" t="str">
        <f aca="false">IF(C2638="","",IF(G2638="ACCEPTÉ","OUI","NON"))</f>
        <v/>
      </c>
      <c r="I2638" s="83"/>
      <c r="J2638" s="80"/>
      <c r="K2638" s="81"/>
      <c r="L2638" s="81"/>
      <c r="M2638" s="81"/>
      <c r="N2638" s="84" t="str">
        <f aca="false">IF(C2638="","",IF(P2638="","NJ INCONNU",IF(I2638="",IF(H2638="OUI","À ENROBER",IF(G2638="À SOUDER","NON SOUDÉ","EN ATTENTE RT")),IF(L2638="R","À REPRENDRE",IF(H2638&lt;&gt;"OUI","⚠ ENROBÉ AVANT ACCEPTATION RT","ENROBÉ")))))</f>
        <v/>
      </c>
      <c r="O2638" s="80"/>
      <c r="P2638" s="82" t="str">
        <f aca="false">IF(C2638="","",IFERROR(MATCH(Q2638,'CARNET DE SOUDURE'!$AW$7:$AW$3006,0),""))</f>
        <v/>
      </c>
      <c r="Q2638" s="82" t="str">
        <f aca="false">IF(C2638="","",B2638&amp;"|"&amp;C2638)</f>
        <v/>
      </c>
    </row>
    <row r="2639" customFormat="false" ht="15" hidden="false" customHeight="false" outlineLevel="0" collapsed="false">
      <c r="A2639" s="82" t="str">
        <f aca="false">IF(C2639="","",ROW()-6)</f>
        <v/>
      </c>
      <c r="B2639" s="80"/>
      <c r="C2639" s="113"/>
      <c r="D2639" s="82" t="str">
        <f aca="false">IF(OR(C2639="",P2639=""),"",INDEX('CARNET DE SOUDURE'!$D$7:$D$3006,P2639)&amp;"")</f>
        <v/>
      </c>
      <c r="E2639" s="114" t="str">
        <f aca="false">IF(OR(C2639="",P2639=""),"",IF(INDEX('CARNET DE SOUDURE'!$U$7:$U$3006,P2639)="","",INDEX('CARNET DE SOUDURE'!$U$7:$U$3006,P2639)))</f>
        <v/>
      </c>
      <c r="F2639" s="82" t="str">
        <f aca="false">IF(OR(C2639="",P2639=""),"",INDEX('CARNET DE SOUDURE'!$AP$7:$AP$3006,P2639))</f>
        <v/>
      </c>
      <c r="G2639" s="82" t="str">
        <f aca="false">IF(C2639="","",IF(P2639="","NJ INCONNU",INDEX('CARNET DE SOUDURE'!$AQ$7:$AQ$3006,P2639)))</f>
        <v/>
      </c>
      <c r="H2639" s="82" t="str">
        <f aca="false">IF(C2639="","",IF(G2639="ACCEPTÉ","OUI","NON"))</f>
        <v/>
      </c>
      <c r="I2639" s="83"/>
      <c r="J2639" s="80"/>
      <c r="K2639" s="81"/>
      <c r="L2639" s="81"/>
      <c r="M2639" s="81"/>
      <c r="N2639" s="84" t="str">
        <f aca="false">IF(C2639="","",IF(P2639="","NJ INCONNU",IF(I2639="",IF(H2639="OUI","À ENROBER",IF(G2639="À SOUDER","NON SOUDÉ","EN ATTENTE RT")),IF(L2639="R","À REPRENDRE",IF(H2639&lt;&gt;"OUI","⚠ ENROBÉ AVANT ACCEPTATION RT","ENROBÉ")))))</f>
        <v/>
      </c>
      <c r="O2639" s="80"/>
      <c r="P2639" s="82" t="str">
        <f aca="false">IF(C2639="","",IFERROR(MATCH(Q2639,'CARNET DE SOUDURE'!$AW$7:$AW$3006,0),""))</f>
        <v/>
      </c>
      <c r="Q2639" s="82" t="str">
        <f aca="false">IF(C2639="","",B2639&amp;"|"&amp;C2639)</f>
        <v/>
      </c>
    </row>
    <row r="2640" customFormat="false" ht="15" hidden="false" customHeight="false" outlineLevel="0" collapsed="false">
      <c r="A2640" s="82" t="str">
        <f aca="false">IF(C2640="","",ROW()-6)</f>
        <v/>
      </c>
      <c r="B2640" s="80"/>
      <c r="C2640" s="113"/>
      <c r="D2640" s="82" t="str">
        <f aca="false">IF(OR(C2640="",P2640=""),"",INDEX('CARNET DE SOUDURE'!$D$7:$D$3006,P2640)&amp;"")</f>
        <v/>
      </c>
      <c r="E2640" s="114" t="str">
        <f aca="false">IF(OR(C2640="",P2640=""),"",IF(INDEX('CARNET DE SOUDURE'!$U$7:$U$3006,P2640)="","",INDEX('CARNET DE SOUDURE'!$U$7:$U$3006,P2640)))</f>
        <v/>
      </c>
      <c r="F2640" s="82" t="str">
        <f aca="false">IF(OR(C2640="",P2640=""),"",INDEX('CARNET DE SOUDURE'!$AP$7:$AP$3006,P2640))</f>
        <v/>
      </c>
      <c r="G2640" s="82" t="str">
        <f aca="false">IF(C2640="","",IF(P2640="","NJ INCONNU",INDEX('CARNET DE SOUDURE'!$AQ$7:$AQ$3006,P2640)))</f>
        <v/>
      </c>
      <c r="H2640" s="82" t="str">
        <f aca="false">IF(C2640="","",IF(G2640="ACCEPTÉ","OUI","NON"))</f>
        <v/>
      </c>
      <c r="I2640" s="83"/>
      <c r="J2640" s="80"/>
      <c r="K2640" s="81"/>
      <c r="L2640" s="81"/>
      <c r="M2640" s="81"/>
      <c r="N2640" s="84" t="str">
        <f aca="false">IF(C2640="","",IF(P2640="","NJ INCONNU",IF(I2640="",IF(H2640="OUI","À ENROBER",IF(G2640="À SOUDER","NON SOUDÉ","EN ATTENTE RT")),IF(L2640="R","À REPRENDRE",IF(H2640&lt;&gt;"OUI","⚠ ENROBÉ AVANT ACCEPTATION RT","ENROBÉ")))))</f>
        <v/>
      </c>
      <c r="O2640" s="80"/>
      <c r="P2640" s="82" t="str">
        <f aca="false">IF(C2640="","",IFERROR(MATCH(Q2640,'CARNET DE SOUDURE'!$AW$7:$AW$3006,0),""))</f>
        <v/>
      </c>
      <c r="Q2640" s="82" t="str">
        <f aca="false">IF(C2640="","",B2640&amp;"|"&amp;C2640)</f>
        <v/>
      </c>
    </row>
    <row r="2641" customFormat="false" ht="15" hidden="false" customHeight="false" outlineLevel="0" collapsed="false">
      <c r="A2641" s="82" t="str">
        <f aca="false">IF(C2641="","",ROW()-6)</f>
        <v/>
      </c>
      <c r="B2641" s="80"/>
      <c r="C2641" s="113"/>
      <c r="D2641" s="82" t="str">
        <f aca="false">IF(OR(C2641="",P2641=""),"",INDEX('CARNET DE SOUDURE'!$D$7:$D$3006,P2641)&amp;"")</f>
        <v/>
      </c>
      <c r="E2641" s="114" t="str">
        <f aca="false">IF(OR(C2641="",P2641=""),"",IF(INDEX('CARNET DE SOUDURE'!$U$7:$U$3006,P2641)="","",INDEX('CARNET DE SOUDURE'!$U$7:$U$3006,P2641)))</f>
        <v/>
      </c>
      <c r="F2641" s="82" t="str">
        <f aca="false">IF(OR(C2641="",P2641=""),"",INDEX('CARNET DE SOUDURE'!$AP$7:$AP$3006,P2641))</f>
        <v/>
      </c>
      <c r="G2641" s="82" t="str">
        <f aca="false">IF(C2641="","",IF(P2641="","NJ INCONNU",INDEX('CARNET DE SOUDURE'!$AQ$7:$AQ$3006,P2641)))</f>
        <v/>
      </c>
      <c r="H2641" s="82" t="str">
        <f aca="false">IF(C2641="","",IF(G2641="ACCEPTÉ","OUI","NON"))</f>
        <v/>
      </c>
      <c r="I2641" s="83"/>
      <c r="J2641" s="80"/>
      <c r="K2641" s="81"/>
      <c r="L2641" s="81"/>
      <c r="M2641" s="81"/>
      <c r="N2641" s="84" t="str">
        <f aca="false">IF(C2641="","",IF(P2641="","NJ INCONNU",IF(I2641="",IF(H2641="OUI","À ENROBER",IF(G2641="À SOUDER","NON SOUDÉ","EN ATTENTE RT")),IF(L2641="R","À REPRENDRE",IF(H2641&lt;&gt;"OUI","⚠ ENROBÉ AVANT ACCEPTATION RT","ENROBÉ")))))</f>
        <v/>
      </c>
      <c r="O2641" s="80"/>
      <c r="P2641" s="82" t="str">
        <f aca="false">IF(C2641="","",IFERROR(MATCH(Q2641,'CARNET DE SOUDURE'!$AW$7:$AW$3006,0),""))</f>
        <v/>
      </c>
      <c r="Q2641" s="82" t="str">
        <f aca="false">IF(C2641="","",B2641&amp;"|"&amp;C2641)</f>
        <v/>
      </c>
    </row>
    <row r="2642" customFormat="false" ht="15" hidden="false" customHeight="false" outlineLevel="0" collapsed="false">
      <c r="A2642" s="82" t="str">
        <f aca="false">IF(C2642="","",ROW()-6)</f>
        <v/>
      </c>
      <c r="B2642" s="80"/>
      <c r="C2642" s="113"/>
      <c r="D2642" s="82" t="str">
        <f aca="false">IF(OR(C2642="",P2642=""),"",INDEX('CARNET DE SOUDURE'!$D$7:$D$3006,P2642)&amp;"")</f>
        <v/>
      </c>
      <c r="E2642" s="114" t="str">
        <f aca="false">IF(OR(C2642="",P2642=""),"",IF(INDEX('CARNET DE SOUDURE'!$U$7:$U$3006,P2642)="","",INDEX('CARNET DE SOUDURE'!$U$7:$U$3006,P2642)))</f>
        <v/>
      </c>
      <c r="F2642" s="82" t="str">
        <f aca="false">IF(OR(C2642="",P2642=""),"",INDEX('CARNET DE SOUDURE'!$AP$7:$AP$3006,P2642))</f>
        <v/>
      </c>
      <c r="G2642" s="82" t="str">
        <f aca="false">IF(C2642="","",IF(P2642="","NJ INCONNU",INDEX('CARNET DE SOUDURE'!$AQ$7:$AQ$3006,P2642)))</f>
        <v/>
      </c>
      <c r="H2642" s="82" t="str">
        <f aca="false">IF(C2642="","",IF(G2642="ACCEPTÉ","OUI","NON"))</f>
        <v/>
      </c>
      <c r="I2642" s="83"/>
      <c r="J2642" s="80"/>
      <c r="K2642" s="81"/>
      <c r="L2642" s="81"/>
      <c r="M2642" s="81"/>
      <c r="N2642" s="84" t="str">
        <f aca="false">IF(C2642="","",IF(P2642="","NJ INCONNU",IF(I2642="",IF(H2642="OUI","À ENROBER",IF(G2642="À SOUDER","NON SOUDÉ","EN ATTENTE RT")),IF(L2642="R","À REPRENDRE",IF(H2642&lt;&gt;"OUI","⚠ ENROBÉ AVANT ACCEPTATION RT","ENROBÉ")))))</f>
        <v/>
      </c>
      <c r="O2642" s="80"/>
      <c r="P2642" s="82" t="str">
        <f aca="false">IF(C2642="","",IFERROR(MATCH(Q2642,'CARNET DE SOUDURE'!$AW$7:$AW$3006,0),""))</f>
        <v/>
      </c>
      <c r="Q2642" s="82" t="str">
        <f aca="false">IF(C2642="","",B2642&amp;"|"&amp;C2642)</f>
        <v/>
      </c>
    </row>
    <row r="2643" customFormat="false" ht="15" hidden="false" customHeight="false" outlineLevel="0" collapsed="false">
      <c r="A2643" s="82" t="str">
        <f aca="false">IF(C2643="","",ROW()-6)</f>
        <v/>
      </c>
      <c r="B2643" s="80"/>
      <c r="C2643" s="113"/>
      <c r="D2643" s="82" t="str">
        <f aca="false">IF(OR(C2643="",P2643=""),"",INDEX('CARNET DE SOUDURE'!$D$7:$D$3006,P2643)&amp;"")</f>
        <v/>
      </c>
      <c r="E2643" s="114" t="str">
        <f aca="false">IF(OR(C2643="",P2643=""),"",IF(INDEX('CARNET DE SOUDURE'!$U$7:$U$3006,P2643)="","",INDEX('CARNET DE SOUDURE'!$U$7:$U$3006,P2643)))</f>
        <v/>
      </c>
      <c r="F2643" s="82" t="str">
        <f aca="false">IF(OR(C2643="",P2643=""),"",INDEX('CARNET DE SOUDURE'!$AP$7:$AP$3006,P2643))</f>
        <v/>
      </c>
      <c r="G2643" s="82" t="str">
        <f aca="false">IF(C2643="","",IF(P2643="","NJ INCONNU",INDEX('CARNET DE SOUDURE'!$AQ$7:$AQ$3006,P2643)))</f>
        <v/>
      </c>
      <c r="H2643" s="82" t="str">
        <f aca="false">IF(C2643="","",IF(G2643="ACCEPTÉ","OUI","NON"))</f>
        <v/>
      </c>
      <c r="I2643" s="83"/>
      <c r="J2643" s="80"/>
      <c r="K2643" s="81"/>
      <c r="L2643" s="81"/>
      <c r="M2643" s="81"/>
      <c r="N2643" s="84" t="str">
        <f aca="false">IF(C2643="","",IF(P2643="","NJ INCONNU",IF(I2643="",IF(H2643="OUI","À ENROBER",IF(G2643="À SOUDER","NON SOUDÉ","EN ATTENTE RT")),IF(L2643="R","À REPRENDRE",IF(H2643&lt;&gt;"OUI","⚠ ENROBÉ AVANT ACCEPTATION RT","ENROBÉ")))))</f>
        <v/>
      </c>
      <c r="O2643" s="80"/>
      <c r="P2643" s="82" t="str">
        <f aca="false">IF(C2643="","",IFERROR(MATCH(Q2643,'CARNET DE SOUDURE'!$AW$7:$AW$3006,0),""))</f>
        <v/>
      </c>
      <c r="Q2643" s="82" t="str">
        <f aca="false">IF(C2643="","",B2643&amp;"|"&amp;C2643)</f>
        <v/>
      </c>
    </row>
    <row r="2644" customFormat="false" ht="15" hidden="false" customHeight="false" outlineLevel="0" collapsed="false">
      <c r="A2644" s="82" t="str">
        <f aca="false">IF(C2644="","",ROW()-6)</f>
        <v/>
      </c>
      <c r="B2644" s="80"/>
      <c r="C2644" s="113"/>
      <c r="D2644" s="82" t="str">
        <f aca="false">IF(OR(C2644="",P2644=""),"",INDEX('CARNET DE SOUDURE'!$D$7:$D$3006,P2644)&amp;"")</f>
        <v/>
      </c>
      <c r="E2644" s="114" t="str">
        <f aca="false">IF(OR(C2644="",P2644=""),"",IF(INDEX('CARNET DE SOUDURE'!$U$7:$U$3006,P2644)="","",INDEX('CARNET DE SOUDURE'!$U$7:$U$3006,P2644)))</f>
        <v/>
      </c>
      <c r="F2644" s="82" t="str">
        <f aca="false">IF(OR(C2644="",P2644=""),"",INDEX('CARNET DE SOUDURE'!$AP$7:$AP$3006,P2644))</f>
        <v/>
      </c>
      <c r="G2644" s="82" t="str">
        <f aca="false">IF(C2644="","",IF(P2644="","NJ INCONNU",INDEX('CARNET DE SOUDURE'!$AQ$7:$AQ$3006,P2644)))</f>
        <v/>
      </c>
      <c r="H2644" s="82" t="str">
        <f aca="false">IF(C2644="","",IF(G2644="ACCEPTÉ","OUI","NON"))</f>
        <v/>
      </c>
      <c r="I2644" s="83"/>
      <c r="J2644" s="80"/>
      <c r="K2644" s="81"/>
      <c r="L2644" s="81"/>
      <c r="M2644" s="81"/>
      <c r="N2644" s="84" t="str">
        <f aca="false">IF(C2644="","",IF(P2644="","NJ INCONNU",IF(I2644="",IF(H2644="OUI","À ENROBER",IF(G2644="À SOUDER","NON SOUDÉ","EN ATTENTE RT")),IF(L2644="R","À REPRENDRE",IF(H2644&lt;&gt;"OUI","⚠ ENROBÉ AVANT ACCEPTATION RT","ENROBÉ")))))</f>
        <v/>
      </c>
      <c r="O2644" s="80"/>
      <c r="P2644" s="82" t="str">
        <f aca="false">IF(C2644="","",IFERROR(MATCH(Q2644,'CARNET DE SOUDURE'!$AW$7:$AW$3006,0),""))</f>
        <v/>
      </c>
      <c r="Q2644" s="82" t="str">
        <f aca="false">IF(C2644="","",B2644&amp;"|"&amp;C2644)</f>
        <v/>
      </c>
    </row>
    <row r="2645" customFormat="false" ht="15" hidden="false" customHeight="false" outlineLevel="0" collapsed="false">
      <c r="A2645" s="82" t="str">
        <f aca="false">IF(C2645="","",ROW()-6)</f>
        <v/>
      </c>
      <c r="B2645" s="80"/>
      <c r="C2645" s="113"/>
      <c r="D2645" s="82" t="str">
        <f aca="false">IF(OR(C2645="",P2645=""),"",INDEX('CARNET DE SOUDURE'!$D$7:$D$3006,P2645)&amp;"")</f>
        <v/>
      </c>
      <c r="E2645" s="114" t="str">
        <f aca="false">IF(OR(C2645="",P2645=""),"",IF(INDEX('CARNET DE SOUDURE'!$U$7:$U$3006,P2645)="","",INDEX('CARNET DE SOUDURE'!$U$7:$U$3006,P2645)))</f>
        <v/>
      </c>
      <c r="F2645" s="82" t="str">
        <f aca="false">IF(OR(C2645="",P2645=""),"",INDEX('CARNET DE SOUDURE'!$AP$7:$AP$3006,P2645))</f>
        <v/>
      </c>
      <c r="G2645" s="82" t="str">
        <f aca="false">IF(C2645="","",IF(P2645="","NJ INCONNU",INDEX('CARNET DE SOUDURE'!$AQ$7:$AQ$3006,P2645)))</f>
        <v/>
      </c>
      <c r="H2645" s="82" t="str">
        <f aca="false">IF(C2645="","",IF(G2645="ACCEPTÉ","OUI","NON"))</f>
        <v/>
      </c>
      <c r="I2645" s="83"/>
      <c r="J2645" s="80"/>
      <c r="K2645" s="81"/>
      <c r="L2645" s="81"/>
      <c r="M2645" s="81"/>
      <c r="N2645" s="84" t="str">
        <f aca="false">IF(C2645="","",IF(P2645="","NJ INCONNU",IF(I2645="",IF(H2645="OUI","À ENROBER",IF(G2645="À SOUDER","NON SOUDÉ","EN ATTENTE RT")),IF(L2645="R","À REPRENDRE",IF(H2645&lt;&gt;"OUI","⚠ ENROBÉ AVANT ACCEPTATION RT","ENROBÉ")))))</f>
        <v/>
      </c>
      <c r="O2645" s="80"/>
      <c r="P2645" s="82" t="str">
        <f aca="false">IF(C2645="","",IFERROR(MATCH(Q2645,'CARNET DE SOUDURE'!$AW$7:$AW$3006,0),""))</f>
        <v/>
      </c>
      <c r="Q2645" s="82" t="str">
        <f aca="false">IF(C2645="","",B2645&amp;"|"&amp;C2645)</f>
        <v/>
      </c>
    </row>
    <row r="2646" customFormat="false" ht="15" hidden="false" customHeight="false" outlineLevel="0" collapsed="false">
      <c r="A2646" s="82" t="str">
        <f aca="false">IF(C2646="","",ROW()-6)</f>
        <v/>
      </c>
      <c r="B2646" s="80"/>
      <c r="C2646" s="113"/>
      <c r="D2646" s="82" t="str">
        <f aca="false">IF(OR(C2646="",P2646=""),"",INDEX('CARNET DE SOUDURE'!$D$7:$D$3006,P2646)&amp;"")</f>
        <v/>
      </c>
      <c r="E2646" s="114" t="str">
        <f aca="false">IF(OR(C2646="",P2646=""),"",IF(INDEX('CARNET DE SOUDURE'!$U$7:$U$3006,P2646)="","",INDEX('CARNET DE SOUDURE'!$U$7:$U$3006,P2646)))</f>
        <v/>
      </c>
      <c r="F2646" s="82" t="str">
        <f aca="false">IF(OR(C2646="",P2646=""),"",INDEX('CARNET DE SOUDURE'!$AP$7:$AP$3006,P2646))</f>
        <v/>
      </c>
      <c r="G2646" s="82" t="str">
        <f aca="false">IF(C2646="","",IF(P2646="","NJ INCONNU",INDEX('CARNET DE SOUDURE'!$AQ$7:$AQ$3006,P2646)))</f>
        <v/>
      </c>
      <c r="H2646" s="82" t="str">
        <f aca="false">IF(C2646="","",IF(G2646="ACCEPTÉ","OUI","NON"))</f>
        <v/>
      </c>
      <c r="I2646" s="83"/>
      <c r="J2646" s="80"/>
      <c r="K2646" s="81"/>
      <c r="L2646" s="81"/>
      <c r="M2646" s="81"/>
      <c r="N2646" s="84" t="str">
        <f aca="false">IF(C2646="","",IF(P2646="","NJ INCONNU",IF(I2646="",IF(H2646="OUI","À ENROBER",IF(G2646="À SOUDER","NON SOUDÉ","EN ATTENTE RT")),IF(L2646="R","À REPRENDRE",IF(H2646&lt;&gt;"OUI","⚠ ENROBÉ AVANT ACCEPTATION RT","ENROBÉ")))))</f>
        <v/>
      </c>
      <c r="O2646" s="80"/>
      <c r="P2646" s="82" t="str">
        <f aca="false">IF(C2646="","",IFERROR(MATCH(Q2646,'CARNET DE SOUDURE'!$AW$7:$AW$3006,0),""))</f>
        <v/>
      </c>
      <c r="Q2646" s="82" t="str">
        <f aca="false">IF(C2646="","",B2646&amp;"|"&amp;C2646)</f>
        <v/>
      </c>
    </row>
    <row r="2647" customFormat="false" ht="15" hidden="false" customHeight="false" outlineLevel="0" collapsed="false">
      <c r="A2647" s="82" t="str">
        <f aca="false">IF(C2647="","",ROW()-6)</f>
        <v/>
      </c>
      <c r="B2647" s="80"/>
      <c r="C2647" s="113"/>
      <c r="D2647" s="82" t="str">
        <f aca="false">IF(OR(C2647="",P2647=""),"",INDEX('CARNET DE SOUDURE'!$D$7:$D$3006,P2647)&amp;"")</f>
        <v/>
      </c>
      <c r="E2647" s="114" t="str">
        <f aca="false">IF(OR(C2647="",P2647=""),"",IF(INDEX('CARNET DE SOUDURE'!$U$7:$U$3006,P2647)="","",INDEX('CARNET DE SOUDURE'!$U$7:$U$3006,P2647)))</f>
        <v/>
      </c>
      <c r="F2647" s="82" t="str">
        <f aca="false">IF(OR(C2647="",P2647=""),"",INDEX('CARNET DE SOUDURE'!$AP$7:$AP$3006,P2647))</f>
        <v/>
      </c>
      <c r="G2647" s="82" t="str">
        <f aca="false">IF(C2647="","",IF(P2647="","NJ INCONNU",INDEX('CARNET DE SOUDURE'!$AQ$7:$AQ$3006,P2647)))</f>
        <v/>
      </c>
      <c r="H2647" s="82" t="str">
        <f aca="false">IF(C2647="","",IF(G2647="ACCEPTÉ","OUI","NON"))</f>
        <v/>
      </c>
      <c r="I2647" s="83"/>
      <c r="J2647" s="80"/>
      <c r="K2647" s="81"/>
      <c r="L2647" s="81"/>
      <c r="M2647" s="81"/>
      <c r="N2647" s="84" t="str">
        <f aca="false">IF(C2647="","",IF(P2647="","NJ INCONNU",IF(I2647="",IF(H2647="OUI","À ENROBER",IF(G2647="À SOUDER","NON SOUDÉ","EN ATTENTE RT")),IF(L2647="R","À REPRENDRE",IF(H2647&lt;&gt;"OUI","⚠ ENROBÉ AVANT ACCEPTATION RT","ENROBÉ")))))</f>
        <v/>
      </c>
      <c r="O2647" s="80"/>
      <c r="P2647" s="82" t="str">
        <f aca="false">IF(C2647="","",IFERROR(MATCH(Q2647,'CARNET DE SOUDURE'!$AW$7:$AW$3006,0),""))</f>
        <v/>
      </c>
      <c r="Q2647" s="82" t="str">
        <f aca="false">IF(C2647="","",B2647&amp;"|"&amp;C2647)</f>
        <v/>
      </c>
    </row>
    <row r="2648" customFormat="false" ht="15" hidden="false" customHeight="false" outlineLevel="0" collapsed="false">
      <c r="A2648" s="82" t="str">
        <f aca="false">IF(C2648="","",ROW()-6)</f>
        <v/>
      </c>
      <c r="B2648" s="80"/>
      <c r="C2648" s="113"/>
      <c r="D2648" s="82" t="str">
        <f aca="false">IF(OR(C2648="",P2648=""),"",INDEX('CARNET DE SOUDURE'!$D$7:$D$3006,P2648)&amp;"")</f>
        <v/>
      </c>
      <c r="E2648" s="114" t="str">
        <f aca="false">IF(OR(C2648="",P2648=""),"",IF(INDEX('CARNET DE SOUDURE'!$U$7:$U$3006,P2648)="","",INDEX('CARNET DE SOUDURE'!$U$7:$U$3006,P2648)))</f>
        <v/>
      </c>
      <c r="F2648" s="82" t="str">
        <f aca="false">IF(OR(C2648="",P2648=""),"",INDEX('CARNET DE SOUDURE'!$AP$7:$AP$3006,P2648))</f>
        <v/>
      </c>
      <c r="G2648" s="82" t="str">
        <f aca="false">IF(C2648="","",IF(P2648="","NJ INCONNU",INDEX('CARNET DE SOUDURE'!$AQ$7:$AQ$3006,P2648)))</f>
        <v/>
      </c>
      <c r="H2648" s="82" t="str">
        <f aca="false">IF(C2648="","",IF(G2648="ACCEPTÉ","OUI","NON"))</f>
        <v/>
      </c>
      <c r="I2648" s="83"/>
      <c r="J2648" s="80"/>
      <c r="K2648" s="81"/>
      <c r="L2648" s="81"/>
      <c r="M2648" s="81"/>
      <c r="N2648" s="84" t="str">
        <f aca="false">IF(C2648="","",IF(P2648="","NJ INCONNU",IF(I2648="",IF(H2648="OUI","À ENROBER",IF(G2648="À SOUDER","NON SOUDÉ","EN ATTENTE RT")),IF(L2648="R","À REPRENDRE",IF(H2648&lt;&gt;"OUI","⚠ ENROBÉ AVANT ACCEPTATION RT","ENROBÉ")))))</f>
        <v/>
      </c>
      <c r="O2648" s="80"/>
      <c r="P2648" s="82" t="str">
        <f aca="false">IF(C2648="","",IFERROR(MATCH(Q2648,'CARNET DE SOUDURE'!$AW$7:$AW$3006,0),""))</f>
        <v/>
      </c>
      <c r="Q2648" s="82" t="str">
        <f aca="false">IF(C2648="","",B2648&amp;"|"&amp;C2648)</f>
        <v/>
      </c>
    </row>
    <row r="2649" customFormat="false" ht="15" hidden="false" customHeight="false" outlineLevel="0" collapsed="false">
      <c r="A2649" s="82" t="str">
        <f aca="false">IF(C2649="","",ROW()-6)</f>
        <v/>
      </c>
      <c r="B2649" s="80"/>
      <c r="C2649" s="113"/>
      <c r="D2649" s="82" t="str">
        <f aca="false">IF(OR(C2649="",P2649=""),"",INDEX('CARNET DE SOUDURE'!$D$7:$D$3006,P2649)&amp;"")</f>
        <v/>
      </c>
      <c r="E2649" s="114" t="str">
        <f aca="false">IF(OR(C2649="",P2649=""),"",IF(INDEX('CARNET DE SOUDURE'!$U$7:$U$3006,P2649)="","",INDEX('CARNET DE SOUDURE'!$U$7:$U$3006,P2649)))</f>
        <v/>
      </c>
      <c r="F2649" s="82" t="str">
        <f aca="false">IF(OR(C2649="",P2649=""),"",INDEX('CARNET DE SOUDURE'!$AP$7:$AP$3006,P2649))</f>
        <v/>
      </c>
      <c r="G2649" s="82" t="str">
        <f aca="false">IF(C2649="","",IF(P2649="","NJ INCONNU",INDEX('CARNET DE SOUDURE'!$AQ$7:$AQ$3006,P2649)))</f>
        <v/>
      </c>
      <c r="H2649" s="82" t="str">
        <f aca="false">IF(C2649="","",IF(G2649="ACCEPTÉ","OUI","NON"))</f>
        <v/>
      </c>
      <c r="I2649" s="83"/>
      <c r="J2649" s="80"/>
      <c r="K2649" s="81"/>
      <c r="L2649" s="81"/>
      <c r="M2649" s="81"/>
      <c r="N2649" s="84" t="str">
        <f aca="false">IF(C2649="","",IF(P2649="","NJ INCONNU",IF(I2649="",IF(H2649="OUI","À ENROBER",IF(G2649="À SOUDER","NON SOUDÉ","EN ATTENTE RT")),IF(L2649="R","À REPRENDRE",IF(H2649&lt;&gt;"OUI","⚠ ENROBÉ AVANT ACCEPTATION RT","ENROBÉ")))))</f>
        <v/>
      </c>
      <c r="O2649" s="80"/>
      <c r="P2649" s="82" t="str">
        <f aca="false">IF(C2649="","",IFERROR(MATCH(Q2649,'CARNET DE SOUDURE'!$AW$7:$AW$3006,0),""))</f>
        <v/>
      </c>
      <c r="Q2649" s="82" t="str">
        <f aca="false">IF(C2649="","",B2649&amp;"|"&amp;C2649)</f>
        <v/>
      </c>
    </row>
    <row r="2650" customFormat="false" ht="15" hidden="false" customHeight="false" outlineLevel="0" collapsed="false">
      <c r="A2650" s="82" t="str">
        <f aca="false">IF(C2650="","",ROW()-6)</f>
        <v/>
      </c>
      <c r="B2650" s="80"/>
      <c r="C2650" s="113"/>
      <c r="D2650" s="82" t="str">
        <f aca="false">IF(OR(C2650="",P2650=""),"",INDEX('CARNET DE SOUDURE'!$D$7:$D$3006,P2650)&amp;"")</f>
        <v/>
      </c>
      <c r="E2650" s="114" t="str">
        <f aca="false">IF(OR(C2650="",P2650=""),"",IF(INDEX('CARNET DE SOUDURE'!$U$7:$U$3006,P2650)="","",INDEX('CARNET DE SOUDURE'!$U$7:$U$3006,P2650)))</f>
        <v/>
      </c>
      <c r="F2650" s="82" t="str">
        <f aca="false">IF(OR(C2650="",P2650=""),"",INDEX('CARNET DE SOUDURE'!$AP$7:$AP$3006,P2650))</f>
        <v/>
      </c>
      <c r="G2650" s="82" t="str">
        <f aca="false">IF(C2650="","",IF(P2650="","NJ INCONNU",INDEX('CARNET DE SOUDURE'!$AQ$7:$AQ$3006,P2650)))</f>
        <v/>
      </c>
      <c r="H2650" s="82" t="str">
        <f aca="false">IF(C2650="","",IF(G2650="ACCEPTÉ","OUI","NON"))</f>
        <v/>
      </c>
      <c r="I2650" s="83"/>
      <c r="J2650" s="80"/>
      <c r="K2650" s="81"/>
      <c r="L2650" s="81"/>
      <c r="M2650" s="81"/>
      <c r="N2650" s="84" t="str">
        <f aca="false">IF(C2650="","",IF(P2650="","NJ INCONNU",IF(I2650="",IF(H2650="OUI","À ENROBER",IF(G2650="À SOUDER","NON SOUDÉ","EN ATTENTE RT")),IF(L2650="R","À REPRENDRE",IF(H2650&lt;&gt;"OUI","⚠ ENROBÉ AVANT ACCEPTATION RT","ENROBÉ")))))</f>
        <v/>
      </c>
      <c r="O2650" s="80"/>
      <c r="P2650" s="82" t="str">
        <f aca="false">IF(C2650="","",IFERROR(MATCH(Q2650,'CARNET DE SOUDURE'!$AW$7:$AW$3006,0),""))</f>
        <v/>
      </c>
      <c r="Q2650" s="82" t="str">
        <f aca="false">IF(C2650="","",B2650&amp;"|"&amp;C2650)</f>
        <v/>
      </c>
    </row>
    <row r="2651" customFormat="false" ht="15" hidden="false" customHeight="false" outlineLevel="0" collapsed="false">
      <c r="A2651" s="82" t="str">
        <f aca="false">IF(C2651="","",ROW()-6)</f>
        <v/>
      </c>
      <c r="B2651" s="80"/>
      <c r="C2651" s="113"/>
      <c r="D2651" s="82" t="str">
        <f aca="false">IF(OR(C2651="",P2651=""),"",INDEX('CARNET DE SOUDURE'!$D$7:$D$3006,P2651)&amp;"")</f>
        <v/>
      </c>
      <c r="E2651" s="114" t="str">
        <f aca="false">IF(OR(C2651="",P2651=""),"",IF(INDEX('CARNET DE SOUDURE'!$U$7:$U$3006,P2651)="","",INDEX('CARNET DE SOUDURE'!$U$7:$U$3006,P2651)))</f>
        <v/>
      </c>
      <c r="F2651" s="82" t="str">
        <f aca="false">IF(OR(C2651="",P2651=""),"",INDEX('CARNET DE SOUDURE'!$AP$7:$AP$3006,P2651))</f>
        <v/>
      </c>
      <c r="G2651" s="82" t="str">
        <f aca="false">IF(C2651="","",IF(P2651="","NJ INCONNU",INDEX('CARNET DE SOUDURE'!$AQ$7:$AQ$3006,P2651)))</f>
        <v/>
      </c>
      <c r="H2651" s="82" t="str">
        <f aca="false">IF(C2651="","",IF(G2651="ACCEPTÉ","OUI","NON"))</f>
        <v/>
      </c>
      <c r="I2651" s="83"/>
      <c r="J2651" s="80"/>
      <c r="K2651" s="81"/>
      <c r="L2651" s="81"/>
      <c r="M2651" s="81"/>
      <c r="N2651" s="84" t="str">
        <f aca="false">IF(C2651="","",IF(P2651="","NJ INCONNU",IF(I2651="",IF(H2651="OUI","À ENROBER",IF(G2651="À SOUDER","NON SOUDÉ","EN ATTENTE RT")),IF(L2651="R","À REPRENDRE",IF(H2651&lt;&gt;"OUI","⚠ ENROBÉ AVANT ACCEPTATION RT","ENROBÉ")))))</f>
        <v/>
      </c>
      <c r="O2651" s="80"/>
      <c r="P2651" s="82" t="str">
        <f aca="false">IF(C2651="","",IFERROR(MATCH(Q2651,'CARNET DE SOUDURE'!$AW$7:$AW$3006,0),""))</f>
        <v/>
      </c>
      <c r="Q2651" s="82" t="str">
        <f aca="false">IF(C2651="","",B2651&amp;"|"&amp;C2651)</f>
        <v/>
      </c>
    </row>
    <row r="2652" customFormat="false" ht="15" hidden="false" customHeight="false" outlineLevel="0" collapsed="false">
      <c r="A2652" s="82" t="str">
        <f aca="false">IF(C2652="","",ROW()-6)</f>
        <v/>
      </c>
      <c r="B2652" s="80"/>
      <c r="C2652" s="113"/>
      <c r="D2652" s="82" t="str">
        <f aca="false">IF(OR(C2652="",P2652=""),"",INDEX('CARNET DE SOUDURE'!$D$7:$D$3006,P2652)&amp;"")</f>
        <v/>
      </c>
      <c r="E2652" s="114" t="str">
        <f aca="false">IF(OR(C2652="",P2652=""),"",IF(INDEX('CARNET DE SOUDURE'!$U$7:$U$3006,P2652)="","",INDEX('CARNET DE SOUDURE'!$U$7:$U$3006,P2652)))</f>
        <v/>
      </c>
      <c r="F2652" s="82" t="str">
        <f aca="false">IF(OR(C2652="",P2652=""),"",INDEX('CARNET DE SOUDURE'!$AP$7:$AP$3006,P2652))</f>
        <v/>
      </c>
      <c r="G2652" s="82" t="str">
        <f aca="false">IF(C2652="","",IF(P2652="","NJ INCONNU",INDEX('CARNET DE SOUDURE'!$AQ$7:$AQ$3006,P2652)))</f>
        <v/>
      </c>
      <c r="H2652" s="82" t="str">
        <f aca="false">IF(C2652="","",IF(G2652="ACCEPTÉ","OUI","NON"))</f>
        <v/>
      </c>
      <c r="I2652" s="83"/>
      <c r="J2652" s="80"/>
      <c r="K2652" s="81"/>
      <c r="L2652" s="81"/>
      <c r="M2652" s="81"/>
      <c r="N2652" s="84" t="str">
        <f aca="false">IF(C2652="","",IF(P2652="","NJ INCONNU",IF(I2652="",IF(H2652="OUI","À ENROBER",IF(G2652="À SOUDER","NON SOUDÉ","EN ATTENTE RT")),IF(L2652="R","À REPRENDRE",IF(H2652&lt;&gt;"OUI","⚠ ENROBÉ AVANT ACCEPTATION RT","ENROBÉ")))))</f>
        <v/>
      </c>
      <c r="O2652" s="80"/>
      <c r="P2652" s="82" t="str">
        <f aca="false">IF(C2652="","",IFERROR(MATCH(Q2652,'CARNET DE SOUDURE'!$AW$7:$AW$3006,0),""))</f>
        <v/>
      </c>
      <c r="Q2652" s="82" t="str">
        <f aca="false">IF(C2652="","",B2652&amp;"|"&amp;C2652)</f>
        <v/>
      </c>
    </row>
    <row r="2653" customFormat="false" ht="15" hidden="false" customHeight="false" outlineLevel="0" collapsed="false">
      <c r="A2653" s="82" t="str">
        <f aca="false">IF(C2653="","",ROW()-6)</f>
        <v/>
      </c>
      <c r="B2653" s="80"/>
      <c r="C2653" s="113"/>
      <c r="D2653" s="82" t="str">
        <f aca="false">IF(OR(C2653="",P2653=""),"",INDEX('CARNET DE SOUDURE'!$D$7:$D$3006,P2653)&amp;"")</f>
        <v/>
      </c>
      <c r="E2653" s="114" t="str">
        <f aca="false">IF(OR(C2653="",P2653=""),"",IF(INDEX('CARNET DE SOUDURE'!$U$7:$U$3006,P2653)="","",INDEX('CARNET DE SOUDURE'!$U$7:$U$3006,P2653)))</f>
        <v/>
      </c>
      <c r="F2653" s="82" t="str">
        <f aca="false">IF(OR(C2653="",P2653=""),"",INDEX('CARNET DE SOUDURE'!$AP$7:$AP$3006,P2653))</f>
        <v/>
      </c>
      <c r="G2653" s="82" t="str">
        <f aca="false">IF(C2653="","",IF(P2653="","NJ INCONNU",INDEX('CARNET DE SOUDURE'!$AQ$7:$AQ$3006,P2653)))</f>
        <v/>
      </c>
      <c r="H2653" s="82" t="str">
        <f aca="false">IF(C2653="","",IF(G2653="ACCEPTÉ","OUI","NON"))</f>
        <v/>
      </c>
      <c r="I2653" s="83"/>
      <c r="J2653" s="80"/>
      <c r="K2653" s="81"/>
      <c r="L2653" s="81"/>
      <c r="M2653" s="81"/>
      <c r="N2653" s="84" t="str">
        <f aca="false">IF(C2653="","",IF(P2653="","NJ INCONNU",IF(I2653="",IF(H2653="OUI","À ENROBER",IF(G2653="À SOUDER","NON SOUDÉ","EN ATTENTE RT")),IF(L2653="R","À REPRENDRE",IF(H2653&lt;&gt;"OUI","⚠ ENROBÉ AVANT ACCEPTATION RT","ENROBÉ")))))</f>
        <v/>
      </c>
      <c r="O2653" s="80"/>
      <c r="P2653" s="82" t="str">
        <f aca="false">IF(C2653="","",IFERROR(MATCH(Q2653,'CARNET DE SOUDURE'!$AW$7:$AW$3006,0),""))</f>
        <v/>
      </c>
      <c r="Q2653" s="82" t="str">
        <f aca="false">IF(C2653="","",B2653&amp;"|"&amp;C2653)</f>
        <v/>
      </c>
    </row>
    <row r="2654" customFormat="false" ht="15" hidden="false" customHeight="false" outlineLevel="0" collapsed="false">
      <c r="A2654" s="82" t="str">
        <f aca="false">IF(C2654="","",ROW()-6)</f>
        <v/>
      </c>
      <c r="B2654" s="80"/>
      <c r="C2654" s="113"/>
      <c r="D2654" s="82" t="str">
        <f aca="false">IF(OR(C2654="",P2654=""),"",INDEX('CARNET DE SOUDURE'!$D$7:$D$3006,P2654)&amp;"")</f>
        <v/>
      </c>
      <c r="E2654" s="114" t="str">
        <f aca="false">IF(OR(C2654="",P2654=""),"",IF(INDEX('CARNET DE SOUDURE'!$U$7:$U$3006,P2654)="","",INDEX('CARNET DE SOUDURE'!$U$7:$U$3006,P2654)))</f>
        <v/>
      </c>
      <c r="F2654" s="82" t="str">
        <f aca="false">IF(OR(C2654="",P2654=""),"",INDEX('CARNET DE SOUDURE'!$AP$7:$AP$3006,P2654))</f>
        <v/>
      </c>
      <c r="G2654" s="82" t="str">
        <f aca="false">IF(C2654="","",IF(P2654="","NJ INCONNU",INDEX('CARNET DE SOUDURE'!$AQ$7:$AQ$3006,P2654)))</f>
        <v/>
      </c>
      <c r="H2654" s="82" t="str">
        <f aca="false">IF(C2654="","",IF(G2654="ACCEPTÉ","OUI","NON"))</f>
        <v/>
      </c>
      <c r="I2654" s="83"/>
      <c r="J2654" s="80"/>
      <c r="K2654" s="81"/>
      <c r="L2654" s="81"/>
      <c r="M2654" s="81"/>
      <c r="N2654" s="84" t="str">
        <f aca="false">IF(C2654="","",IF(P2654="","NJ INCONNU",IF(I2654="",IF(H2654="OUI","À ENROBER",IF(G2654="À SOUDER","NON SOUDÉ","EN ATTENTE RT")),IF(L2654="R","À REPRENDRE",IF(H2654&lt;&gt;"OUI","⚠ ENROBÉ AVANT ACCEPTATION RT","ENROBÉ")))))</f>
        <v/>
      </c>
      <c r="O2654" s="80"/>
      <c r="P2654" s="82" t="str">
        <f aca="false">IF(C2654="","",IFERROR(MATCH(Q2654,'CARNET DE SOUDURE'!$AW$7:$AW$3006,0),""))</f>
        <v/>
      </c>
      <c r="Q2654" s="82" t="str">
        <f aca="false">IF(C2654="","",B2654&amp;"|"&amp;C2654)</f>
        <v/>
      </c>
    </row>
    <row r="2655" customFormat="false" ht="15" hidden="false" customHeight="false" outlineLevel="0" collapsed="false">
      <c r="A2655" s="82" t="str">
        <f aca="false">IF(C2655="","",ROW()-6)</f>
        <v/>
      </c>
      <c r="B2655" s="80"/>
      <c r="C2655" s="113"/>
      <c r="D2655" s="82" t="str">
        <f aca="false">IF(OR(C2655="",P2655=""),"",INDEX('CARNET DE SOUDURE'!$D$7:$D$3006,P2655)&amp;"")</f>
        <v/>
      </c>
      <c r="E2655" s="114" t="str">
        <f aca="false">IF(OR(C2655="",P2655=""),"",IF(INDEX('CARNET DE SOUDURE'!$U$7:$U$3006,P2655)="","",INDEX('CARNET DE SOUDURE'!$U$7:$U$3006,P2655)))</f>
        <v/>
      </c>
      <c r="F2655" s="82" t="str">
        <f aca="false">IF(OR(C2655="",P2655=""),"",INDEX('CARNET DE SOUDURE'!$AP$7:$AP$3006,P2655))</f>
        <v/>
      </c>
      <c r="G2655" s="82" t="str">
        <f aca="false">IF(C2655="","",IF(P2655="","NJ INCONNU",INDEX('CARNET DE SOUDURE'!$AQ$7:$AQ$3006,P2655)))</f>
        <v/>
      </c>
      <c r="H2655" s="82" t="str">
        <f aca="false">IF(C2655="","",IF(G2655="ACCEPTÉ","OUI","NON"))</f>
        <v/>
      </c>
      <c r="I2655" s="83"/>
      <c r="J2655" s="80"/>
      <c r="K2655" s="81"/>
      <c r="L2655" s="81"/>
      <c r="M2655" s="81"/>
      <c r="N2655" s="84" t="str">
        <f aca="false">IF(C2655="","",IF(P2655="","NJ INCONNU",IF(I2655="",IF(H2655="OUI","À ENROBER",IF(G2655="À SOUDER","NON SOUDÉ","EN ATTENTE RT")),IF(L2655="R","À REPRENDRE",IF(H2655&lt;&gt;"OUI","⚠ ENROBÉ AVANT ACCEPTATION RT","ENROBÉ")))))</f>
        <v/>
      </c>
      <c r="O2655" s="80"/>
      <c r="P2655" s="82" t="str">
        <f aca="false">IF(C2655="","",IFERROR(MATCH(Q2655,'CARNET DE SOUDURE'!$AW$7:$AW$3006,0),""))</f>
        <v/>
      </c>
      <c r="Q2655" s="82" t="str">
        <f aca="false">IF(C2655="","",B2655&amp;"|"&amp;C2655)</f>
        <v/>
      </c>
    </row>
    <row r="2656" customFormat="false" ht="15" hidden="false" customHeight="false" outlineLevel="0" collapsed="false">
      <c r="A2656" s="82" t="str">
        <f aca="false">IF(C2656="","",ROW()-6)</f>
        <v/>
      </c>
      <c r="B2656" s="80"/>
      <c r="C2656" s="113"/>
      <c r="D2656" s="82" t="str">
        <f aca="false">IF(OR(C2656="",P2656=""),"",INDEX('CARNET DE SOUDURE'!$D$7:$D$3006,P2656)&amp;"")</f>
        <v/>
      </c>
      <c r="E2656" s="114" t="str">
        <f aca="false">IF(OR(C2656="",P2656=""),"",IF(INDEX('CARNET DE SOUDURE'!$U$7:$U$3006,P2656)="","",INDEX('CARNET DE SOUDURE'!$U$7:$U$3006,P2656)))</f>
        <v/>
      </c>
      <c r="F2656" s="82" t="str">
        <f aca="false">IF(OR(C2656="",P2656=""),"",INDEX('CARNET DE SOUDURE'!$AP$7:$AP$3006,P2656))</f>
        <v/>
      </c>
      <c r="G2656" s="82" t="str">
        <f aca="false">IF(C2656="","",IF(P2656="","NJ INCONNU",INDEX('CARNET DE SOUDURE'!$AQ$7:$AQ$3006,P2656)))</f>
        <v/>
      </c>
      <c r="H2656" s="82" t="str">
        <f aca="false">IF(C2656="","",IF(G2656="ACCEPTÉ","OUI","NON"))</f>
        <v/>
      </c>
      <c r="I2656" s="83"/>
      <c r="J2656" s="80"/>
      <c r="K2656" s="81"/>
      <c r="L2656" s="81"/>
      <c r="M2656" s="81"/>
      <c r="N2656" s="84" t="str">
        <f aca="false">IF(C2656="","",IF(P2656="","NJ INCONNU",IF(I2656="",IF(H2656="OUI","À ENROBER",IF(G2656="À SOUDER","NON SOUDÉ","EN ATTENTE RT")),IF(L2656="R","À REPRENDRE",IF(H2656&lt;&gt;"OUI","⚠ ENROBÉ AVANT ACCEPTATION RT","ENROBÉ")))))</f>
        <v/>
      </c>
      <c r="O2656" s="80"/>
      <c r="P2656" s="82" t="str">
        <f aca="false">IF(C2656="","",IFERROR(MATCH(Q2656,'CARNET DE SOUDURE'!$AW$7:$AW$3006,0),""))</f>
        <v/>
      </c>
      <c r="Q2656" s="82" t="str">
        <f aca="false">IF(C2656="","",B2656&amp;"|"&amp;C2656)</f>
        <v/>
      </c>
    </row>
    <row r="2657" customFormat="false" ht="15" hidden="false" customHeight="false" outlineLevel="0" collapsed="false">
      <c r="A2657" s="82" t="str">
        <f aca="false">IF(C2657="","",ROW()-6)</f>
        <v/>
      </c>
      <c r="B2657" s="80"/>
      <c r="C2657" s="113"/>
      <c r="D2657" s="82" t="str">
        <f aca="false">IF(OR(C2657="",P2657=""),"",INDEX('CARNET DE SOUDURE'!$D$7:$D$3006,P2657)&amp;"")</f>
        <v/>
      </c>
      <c r="E2657" s="114" t="str">
        <f aca="false">IF(OR(C2657="",P2657=""),"",IF(INDEX('CARNET DE SOUDURE'!$U$7:$U$3006,P2657)="","",INDEX('CARNET DE SOUDURE'!$U$7:$U$3006,P2657)))</f>
        <v/>
      </c>
      <c r="F2657" s="82" t="str">
        <f aca="false">IF(OR(C2657="",P2657=""),"",INDEX('CARNET DE SOUDURE'!$AP$7:$AP$3006,P2657))</f>
        <v/>
      </c>
      <c r="G2657" s="82" t="str">
        <f aca="false">IF(C2657="","",IF(P2657="","NJ INCONNU",INDEX('CARNET DE SOUDURE'!$AQ$7:$AQ$3006,P2657)))</f>
        <v/>
      </c>
      <c r="H2657" s="82" t="str">
        <f aca="false">IF(C2657="","",IF(G2657="ACCEPTÉ","OUI","NON"))</f>
        <v/>
      </c>
      <c r="I2657" s="83"/>
      <c r="J2657" s="80"/>
      <c r="K2657" s="81"/>
      <c r="L2657" s="81"/>
      <c r="M2657" s="81"/>
      <c r="N2657" s="84" t="str">
        <f aca="false">IF(C2657="","",IF(P2657="","NJ INCONNU",IF(I2657="",IF(H2657="OUI","À ENROBER",IF(G2657="À SOUDER","NON SOUDÉ","EN ATTENTE RT")),IF(L2657="R","À REPRENDRE",IF(H2657&lt;&gt;"OUI","⚠ ENROBÉ AVANT ACCEPTATION RT","ENROBÉ")))))</f>
        <v/>
      </c>
      <c r="O2657" s="80"/>
      <c r="P2657" s="82" t="str">
        <f aca="false">IF(C2657="","",IFERROR(MATCH(Q2657,'CARNET DE SOUDURE'!$AW$7:$AW$3006,0),""))</f>
        <v/>
      </c>
      <c r="Q2657" s="82" t="str">
        <f aca="false">IF(C2657="","",B2657&amp;"|"&amp;C2657)</f>
        <v/>
      </c>
    </row>
    <row r="2658" customFormat="false" ht="15" hidden="false" customHeight="false" outlineLevel="0" collapsed="false">
      <c r="A2658" s="82" t="str">
        <f aca="false">IF(C2658="","",ROW()-6)</f>
        <v/>
      </c>
      <c r="B2658" s="80"/>
      <c r="C2658" s="113"/>
      <c r="D2658" s="82" t="str">
        <f aca="false">IF(OR(C2658="",P2658=""),"",INDEX('CARNET DE SOUDURE'!$D$7:$D$3006,P2658)&amp;"")</f>
        <v/>
      </c>
      <c r="E2658" s="114" t="str">
        <f aca="false">IF(OR(C2658="",P2658=""),"",IF(INDEX('CARNET DE SOUDURE'!$U$7:$U$3006,P2658)="","",INDEX('CARNET DE SOUDURE'!$U$7:$U$3006,P2658)))</f>
        <v/>
      </c>
      <c r="F2658" s="82" t="str">
        <f aca="false">IF(OR(C2658="",P2658=""),"",INDEX('CARNET DE SOUDURE'!$AP$7:$AP$3006,P2658))</f>
        <v/>
      </c>
      <c r="G2658" s="82" t="str">
        <f aca="false">IF(C2658="","",IF(P2658="","NJ INCONNU",INDEX('CARNET DE SOUDURE'!$AQ$7:$AQ$3006,P2658)))</f>
        <v/>
      </c>
      <c r="H2658" s="82" t="str">
        <f aca="false">IF(C2658="","",IF(G2658="ACCEPTÉ","OUI","NON"))</f>
        <v/>
      </c>
      <c r="I2658" s="83"/>
      <c r="J2658" s="80"/>
      <c r="K2658" s="81"/>
      <c r="L2658" s="81"/>
      <c r="M2658" s="81"/>
      <c r="N2658" s="84" t="str">
        <f aca="false">IF(C2658="","",IF(P2658="","NJ INCONNU",IF(I2658="",IF(H2658="OUI","À ENROBER",IF(G2658="À SOUDER","NON SOUDÉ","EN ATTENTE RT")),IF(L2658="R","À REPRENDRE",IF(H2658&lt;&gt;"OUI","⚠ ENROBÉ AVANT ACCEPTATION RT","ENROBÉ")))))</f>
        <v/>
      </c>
      <c r="O2658" s="80"/>
      <c r="P2658" s="82" t="str">
        <f aca="false">IF(C2658="","",IFERROR(MATCH(Q2658,'CARNET DE SOUDURE'!$AW$7:$AW$3006,0),""))</f>
        <v/>
      </c>
      <c r="Q2658" s="82" t="str">
        <f aca="false">IF(C2658="","",B2658&amp;"|"&amp;C2658)</f>
        <v/>
      </c>
    </row>
    <row r="2659" customFormat="false" ht="15" hidden="false" customHeight="false" outlineLevel="0" collapsed="false">
      <c r="A2659" s="82" t="str">
        <f aca="false">IF(C2659="","",ROW()-6)</f>
        <v/>
      </c>
      <c r="B2659" s="80"/>
      <c r="C2659" s="113"/>
      <c r="D2659" s="82" t="str">
        <f aca="false">IF(OR(C2659="",P2659=""),"",INDEX('CARNET DE SOUDURE'!$D$7:$D$3006,P2659)&amp;"")</f>
        <v/>
      </c>
      <c r="E2659" s="114" t="str">
        <f aca="false">IF(OR(C2659="",P2659=""),"",IF(INDEX('CARNET DE SOUDURE'!$U$7:$U$3006,P2659)="","",INDEX('CARNET DE SOUDURE'!$U$7:$U$3006,P2659)))</f>
        <v/>
      </c>
      <c r="F2659" s="82" t="str">
        <f aca="false">IF(OR(C2659="",P2659=""),"",INDEX('CARNET DE SOUDURE'!$AP$7:$AP$3006,P2659))</f>
        <v/>
      </c>
      <c r="G2659" s="82" t="str">
        <f aca="false">IF(C2659="","",IF(P2659="","NJ INCONNU",INDEX('CARNET DE SOUDURE'!$AQ$7:$AQ$3006,P2659)))</f>
        <v/>
      </c>
      <c r="H2659" s="82" t="str">
        <f aca="false">IF(C2659="","",IF(G2659="ACCEPTÉ","OUI","NON"))</f>
        <v/>
      </c>
      <c r="I2659" s="83"/>
      <c r="J2659" s="80"/>
      <c r="K2659" s="81"/>
      <c r="L2659" s="81"/>
      <c r="M2659" s="81"/>
      <c r="N2659" s="84" t="str">
        <f aca="false">IF(C2659="","",IF(P2659="","NJ INCONNU",IF(I2659="",IF(H2659="OUI","À ENROBER",IF(G2659="À SOUDER","NON SOUDÉ","EN ATTENTE RT")),IF(L2659="R","À REPRENDRE",IF(H2659&lt;&gt;"OUI","⚠ ENROBÉ AVANT ACCEPTATION RT","ENROBÉ")))))</f>
        <v/>
      </c>
      <c r="O2659" s="80"/>
      <c r="P2659" s="82" t="str">
        <f aca="false">IF(C2659="","",IFERROR(MATCH(Q2659,'CARNET DE SOUDURE'!$AW$7:$AW$3006,0),""))</f>
        <v/>
      </c>
      <c r="Q2659" s="82" t="str">
        <f aca="false">IF(C2659="","",B2659&amp;"|"&amp;C2659)</f>
        <v/>
      </c>
    </row>
    <row r="2660" customFormat="false" ht="15" hidden="false" customHeight="false" outlineLevel="0" collapsed="false">
      <c r="A2660" s="82" t="str">
        <f aca="false">IF(C2660="","",ROW()-6)</f>
        <v/>
      </c>
      <c r="B2660" s="80"/>
      <c r="C2660" s="113"/>
      <c r="D2660" s="82" t="str">
        <f aca="false">IF(OR(C2660="",P2660=""),"",INDEX('CARNET DE SOUDURE'!$D$7:$D$3006,P2660)&amp;"")</f>
        <v/>
      </c>
      <c r="E2660" s="114" t="str">
        <f aca="false">IF(OR(C2660="",P2660=""),"",IF(INDEX('CARNET DE SOUDURE'!$U$7:$U$3006,P2660)="","",INDEX('CARNET DE SOUDURE'!$U$7:$U$3006,P2660)))</f>
        <v/>
      </c>
      <c r="F2660" s="82" t="str">
        <f aca="false">IF(OR(C2660="",P2660=""),"",INDEX('CARNET DE SOUDURE'!$AP$7:$AP$3006,P2660))</f>
        <v/>
      </c>
      <c r="G2660" s="82" t="str">
        <f aca="false">IF(C2660="","",IF(P2660="","NJ INCONNU",INDEX('CARNET DE SOUDURE'!$AQ$7:$AQ$3006,P2660)))</f>
        <v/>
      </c>
      <c r="H2660" s="82" t="str">
        <f aca="false">IF(C2660="","",IF(G2660="ACCEPTÉ","OUI","NON"))</f>
        <v/>
      </c>
      <c r="I2660" s="83"/>
      <c r="J2660" s="80"/>
      <c r="K2660" s="81"/>
      <c r="L2660" s="81"/>
      <c r="M2660" s="81"/>
      <c r="N2660" s="84" t="str">
        <f aca="false">IF(C2660="","",IF(P2660="","NJ INCONNU",IF(I2660="",IF(H2660="OUI","À ENROBER",IF(G2660="À SOUDER","NON SOUDÉ","EN ATTENTE RT")),IF(L2660="R","À REPRENDRE",IF(H2660&lt;&gt;"OUI","⚠ ENROBÉ AVANT ACCEPTATION RT","ENROBÉ")))))</f>
        <v/>
      </c>
      <c r="O2660" s="80"/>
      <c r="P2660" s="82" t="str">
        <f aca="false">IF(C2660="","",IFERROR(MATCH(Q2660,'CARNET DE SOUDURE'!$AW$7:$AW$3006,0),""))</f>
        <v/>
      </c>
      <c r="Q2660" s="82" t="str">
        <f aca="false">IF(C2660="","",B2660&amp;"|"&amp;C2660)</f>
        <v/>
      </c>
    </row>
    <row r="2661" customFormat="false" ht="15" hidden="false" customHeight="false" outlineLevel="0" collapsed="false">
      <c r="A2661" s="82" t="str">
        <f aca="false">IF(C2661="","",ROW()-6)</f>
        <v/>
      </c>
      <c r="B2661" s="80"/>
      <c r="C2661" s="113"/>
      <c r="D2661" s="82" t="str">
        <f aca="false">IF(OR(C2661="",P2661=""),"",INDEX('CARNET DE SOUDURE'!$D$7:$D$3006,P2661)&amp;"")</f>
        <v/>
      </c>
      <c r="E2661" s="114" t="str">
        <f aca="false">IF(OR(C2661="",P2661=""),"",IF(INDEX('CARNET DE SOUDURE'!$U$7:$U$3006,P2661)="","",INDEX('CARNET DE SOUDURE'!$U$7:$U$3006,P2661)))</f>
        <v/>
      </c>
      <c r="F2661" s="82" t="str">
        <f aca="false">IF(OR(C2661="",P2661=""),"",INDEX('CARNET DE SOUDURE'!$AP$7:$AP$3006,P2661))</f>
        <v/>
      </c>
      <c r="G2661" s="82" t="str">
        <f aca="false">IF(C2661="","",IF(P2661="","NJ INCONNU",INDEX('CARNET DE SOUDURE'!$AQ$7:$AQ$3006,P2661)))</f>
        <v/>
      </c>
      <c r="H2661" s="82" t="str">
        <f aca="false">IF(C2661="","",IF(G2661="ACCEPTÉ","OUI","NON"))</f>
        <v/>
      </c>
      <c r="I2661" s="83"/>
      <c r="J2661" s="80"/>
      <c r="K2661" s="81"/>
      <c r="L2661" s="81"/>
      <c r="M2661" s="81"/>
      <c r="N2661" s="84" t="str">
        <f aca="false">IF(C2661="","",IF(P2661="","NJ INCONNU",IF(I2661="",IF(H2661="OUI","À ENROBER",IF(G2661="À SOUDER","NON SOUDÉ","EN ATTENTE RT")),IF(L2661="R","À REPRENDRE",IF(H2661&lt;&gt;"OUI","⚠ ENROBÉ AVANT ACCEPTATION RT","ENROBÉ")))))</f>
        <v/>
      </c>
      <c r="O2661" s="80"/>
      <c r="P2661" s="82" t="str">
        <f aca="false">IF(C2661="","",IFERROR(MATCH(Q2661,'CARNET DE SOUDURE'!$AW$7:$AW$3006,0),""))</f>
        <v/>
      </c>
      <c r="Q2661" s="82" t="str">
        <f aca="false">IF(C2661="","",B2661&amp;"|"&amp;C2661)</f>
        <v/>
      </c>
    </row>
    <row r="2662" customFormat="false" ht="15" hidden="false" customHeight="false" outlineLevel="0" collapsed="false">
      <c r="A2662" s="82" t="str">
        <f aca="false">IF(C2662="","",ROW()-6)</f>
        <v/>
      </c>
      <c r="B2662" s="80"/>
      <c r="C2662" s="113"/>
      <c r="D2662" s="82" t="str">
        <f aca="false">IF(OR(C2662="",P2662=""),"",INDEX('CARNET DE SOUDURE'!$D$7:$D$3006,P2662)&amp;"")</f>
        <v/>
      </c>
      <c r="E2662" s="114" t="str">
        <f aca="false">IF(OR(C2662="",P2662=""),"",IF(INDEX('CARNET DE SOUDURE'!$U$7:$U$3006,P2662)="","",INDEX('CARNET DE SOUDURE'!$U$7:$U$3006,P2662)))</f>
        <v/>
      </c>
      <c r="F2662" s="82" t="str">
        <f aca="false">IF(OR(C2662="",P2662=""),"",INDEX('CARNET DE SOUDURE'!$AP$7:$AP$3006,P2662))</f>
        <v/>
      </c>
      <c r="G2662" s="82" t="str">
        <f aca="false">IF(C2662="","",IF(P2662="","NJ INCONNU",INDEX('CARNET DE SOUDURE'!$AQ$7:$AQ$3006,P2662)))</f>
        <v/>
      </c>
      <c r="H2662" s="82" t="str">
        <f aca="false">IF(C2662="","",IF(G2662="ACCEPTÉ","OUI","NON"))</f>
        <v/>
      </c>
      <c r="I2662" s="83"/>
      <c r="J2662" s="80"/>
      <c r="K2662" s="81"/>
      <c r="L2662" s="81"/>
      <c r="M2662" s="81"/>
      <c r="N2662" s="84" t="str">
        <f aca="false">IF(C2662="","",IF(P2662="","NJ INCONNU",IF(I2662="",IF(H2662="OUI","À ENROBER",IF(G2662="À SOUDER","NON SOUDÉ","EN ATTENTE RT")),IF(L2662="R","À REPRENDRE",IF(H2662&lt;&gt;"OUI","⚠ ENROBÉ AVANT ACCEPTATION RT","ENROBÉ")))))</f>
        <v/>
      </c>
      <c r="O2662" s="80"/>
      <c r="P2662" s="82" t="str">
        <f aca="false">IF(C2662="","",IFERROR(MATCH(Q2662,'CARNET DE SOUDURE'!$AW$7:$AW$3006,0),""))</f>
        <v/>
      </c>
      <c r="Q2662" s="82" t="str">
        <f aca="false">IF(C2662="","",B2662&amp;"|"&amp;C2662)</f>
        <v/>
      </c>
    </row>
    <row r="2663" customFormat="false" ht="15" hidden="false" customHeight="false" outlineLevel="0" collapsed="false">
      <c r="A2663" s="82" t="str">
        <f aca="false">IF(C2663="","",ROW()-6)</f>
        <v/>
      </c>
      <c r="B2663" s="80"/>
      <c r="C2663" s="113"/>
      <c r="D2663" s="82" t="str">
        <f aca="false">IF(OR(C2663="",P2663=""),"",INDEX('CARNET DE SOUDURE'!$D$7:$D$3006,P2663)&amp;"")</f>
        <v/>
      </c>
      <c r="E2663" s="114" t="str">
        <f aca="false">IF(OR(C2663="",P2663=""),"",IF(INDEX('CARNET DE SOUDURE'!$U$7:$U$3006,P2663)="","",INDEX('CARNET DE SOUDURE'!$U$7:$U$3006,P2663)))</f>
        <v/>
      </c>
      <c r="F2663" s="82" t="str">
        <f aca="false">IF(OR(C2663="",P2663=""),"",INDEX('CARNET DE SOUDURE'!$AP$7:$AP$3006,P2663))</f>
        <v/>
      </c>
      <c r="G2663" s="82" t="str">
        <f aca="false">IF(C2663="","",IF(P2663="","NJ INCONNU",INDEX('CARNET DE SOUDURE'!$AQ$7:$AQ$3006,P2663)))</f>
        <v/>
      </c>
      <c r="H2663" s="82" t="str">
        <f aca="false">IF(C2663="","",IF(G2663="ACCEPTÉ","OUI","NON"))</f>
        <v/>
      </c>
      <c r="I2663" s="83"/>
      <c r="J2663" s="80"/>
      <c r="K2663" s="81"/>
      <c r="L2663" s="81"/>
      <c r="M2663" s="81"/>
      <c r="N2663" s="84" t="str">
        <f aca="false">IF(C2663="","",IF(P2663="","NJ INCONNU",IF(I2663="",IF(H2663="OUI","À ENROBER",IF(G2663="À SOUDER","NON SOUDÉ","EN ATTENTE RT")),IF(L2663="R","À REPRENDRE",IF(H2663&lt;&gt;"OUI","⚠ ENROBÉ AVANT ACCEPTATION RT","ENROBÉ")))))</f>
        <v/>
      </c>
      <c r="O2663" s="80"/>
      <c r="P2663" s="82" t="str">
        <f aca="false">IF(C2663="","",IFERROR(MATCH(Q2663,'CARNET DE SOUDURE'!$AW$7:$AW$3006,0),""))</f>
        <v/>
      </c>
      <c r="Q2663" s="82" t="str">
        <f aca="false">IF(C2663="","",B2663&amp;"|"&amp;C2663)</f>
        <v/>
      </c>
    </row>
    <row r="2664" customFormat="false" ht="15" hidden="false" customHeight="false" outlineLevel="0" collapsed="false">
      <c r="A2664" s="82" t="str">
        <f aca="false">IF(C2664="","",ROW()-6)</f>
        <v/>
      </c>
      <c r="B2664" s="80"/>
      <c r="C2664" s="113"/>
      <c r="D2664" s="82" t="str">
        <f aca="false">IF(OR(C2664="",P2664=""),"",INDEX('CARNET DE SOUDURE'!$D$7:$D$3006,P2664)&amp;"")</f>
        <v/>
      </c>
      <c r="E2664" s="114" t="str">
        <f aca="false">IF(OR(C2664="",P2664=""),"",IF(INDEX('CARNET DE SOUDURE'!$U$7:$U$3006,P2664)="","",INDEX('CARNET DE SOUDURE'!$U$7:$U$3006,P2664)))</f>
        <v/>
      </c>
      <c r="F2664" s="82" t="str">
        <f aca="false">IF(OR(C2664="",P2664=""),"",INDEX('CARNET DE SOUDURE'!$AP$7:$AP$3006,P2664))</f>
        <v/>
      </c>
      <c r="G2664" s="82" t="str">
        <f aca="false">IF(C2664="","",IF(P2664="","NJ INCONNU",INDEX('CARNET DE SOUDURE'!$AQ$7:$AQ$3006,P2664)))</f>
        <v/>
      </c>
      <c r="H2664" s="82" t="str">
        <f aca="false">IF(C2664="","",IF(G2664="ACCEPTÉ","OUI","NON"))</f>
        <v/>
      </c>
      <c r="I2664" s="83"/>
      <c r="J2664" s="80"/>
      <c r="K2664" s="81"/>
      <c r="L2664" s="81"/>
      <c r="M2664" s="81"/>
      <c r="N2664" s="84" t="str">
        <f aca="false">IF(C2664="","",IF(P2664="","NJ INCONNU",IF(I2664="",IF(H2664="OUI","À ENROBER",IF(G2664="À SOUDER","NON SOUDÉ","EN ATTENTE RT")),IF(L2664="R","À REPRENDRE",IF(H2664&lt;&gt;"OUI","⚠ ENROBÉ AVANT ACCEPTATION RT","ENROBÉ")))))</f>
        <v/>
      </c>
      <c r="O2664" s="80"/>
      <c r="P2664" s="82" t="str">
        <f aca="false">IF(C2664="","",IFERROR(MATCH(Q2664,'CARNET DE SOUDURE'!$AW$7:$AW$3006,0),""))</f>
        <v/>
      </c>
      <c r="Q2664" s="82" t="str">
        <f aca="false">IF(C2664="","",B2664&amp;"|"&amp;C2664)</f>
        <v/>
      </c>
    </row>
    <row r="2665" customFormat="false" ht="15" hidden="false" customHeight="false" outlineLevel="0" collapsed="false">
      <c r="A2665" s="82" t="str">
        <f aca="false">IF(C2665="","",ROW()-6)</f>
        <v/>
      </c>
      <c r="B2665" s="80"/>
      <c r="C2665" s="113"/>
      <c r="D2665" s="82" t="str">
        <f aca="false">IF(OR(C2665="",P2665=""),"",INDEX('CARNET DE SOUDURE'!$D$7:$D$3006,P2665)&amp;"")</f>
        <v/>
      </c>
      <c r="E2665" s="114" t="str">
        <f aca="false">IF(OR(C2665="",P2665=""),"",IF(INDEX('CARNET DE SOUDURE'!$U$7:$U$3006,P2665)="","",INDEX('CARNET DE SOUDURE'!$U$7:$U$3006,P2665)))</f>
        <v/>
      </c>
      <c r="F2665" s="82" t="str">
        <f aca="false">IF(OR(C2665="",P2665=""),"",INDEX('CARNET DE SOUDURE'!$AP$7:$AP$3006,P2665))</f>
        <v/>
      </c>
      <c r="G2665" s="82" t="str">
        <f aca="false">IF(C2665="","",IF(P2665="","NJ INCONNU",INDEX('CARNET DE SOUDURE'!$AQ$7:$AQ$3006,P2665)))</f>
        <v/>
      </c>
      <c r="H2665" s="82" t="str">
        <f aca="false">IF(C2665="","",IF(G2665="ACCEPTÉ","OUI","NON"))</f>
        <v/>
      </c>
      <c r="I2665" s="83"/>
      <c r="J2665" s="80"/>
      <c r="K2665" s="81"/>
      <c r="L2665" s="81"/>
      <c r="M2665" s="81"/>
      <c r="N2665" s="84" t="str">
        <f aca="false">IF(C2665="","",IF(P2665="","NJ INCONNU",IF(I2665="",IF(H2665="OUI","À ENROBER",IF(G2665="À SOUDER","NON SOUDÉ","EN ATTENTE RT")),IF(L2665="R","À REPRENDRE",IF(H2665&lt;&gt;"OUI","⚠ ENROBÉ AVANT ACCEPTATION RT","ENROBÉ")))))</f>
        <v/>
      </c>
      <c r="O2665" s="80"/>
      <c r="P2665" s="82" t="str">
        <f aca="false">IF(C2665="","",IFERROR(MATCH(Q2665,'CARNET DE SOUDURE'!$AW$7:$AW$3006,0),""))</f>
        <v/>
      </c>
      <c r="Q2665" s="82" t="str">
        <f aca="false">IF(C2665="","",B2665&amp;"|"&amp;C2665)</f>
        <v/>
      </c>
    </row>
    <row r="2666" customFormat="false" ht="15" hidden="false" customHeight="false" outlineLevel="0" collapsed="false">
      <c r="A2666" s="82" t="str">
        <f aca="false">IF(C2666="","",ROW()-6)</f>
        <v/>
      </c>
      <c r="B2666" s="80"/>
      <c r="C2666" s="113"/>
      <c r="D2666" s="82" t="str">
        <f aca="false">IF(OR(C2666="",P2666=""),"",INDEX('CARNET DE SOUDURE'!$D$7:$D$3006,P2666)&amp;"")</f>
        <v/>
      </c>
      <c r="E2666" s="114" t="str">
        <f aca="false">IF(OR(C2666="",P2666=""),"",IF(INDEX('CARNET DE SOUDURE'!$U$7:$U$3006,P2666)="","",INDEX('CARNET DE SOUDURE'!$U$7:$U$3006,P2666)))</f>
        <v/>
      </c>
      <c r="F2666" s="82" t="str">
        <f aca="false">IF(OR(C2666="",P2666=""),"",INDEX('CARNET DE SOUDURE'!$AP$7:$AP$3006,P2666))</f>
        <v/>
      </c>
      <c r="G2666" s="82" t="str">
        <f aca="false">IF(C2666="","",IF(P2666="","NJ INCONNU",INDEX('CARNET DE SOUDURE'!$AQ$7:$AQ$3006,P2666)))</f>
        <v/>
      </c>
      <c r="H2666" s="82" t="str">
        <f aca="false">IF(C2666="","",IF(G2666="ACCEPTÉ","OUI","NON"))</f>
        <v/>
      </c>
      <c r="I2666" s="83"/>
      <c r="J2666" s="80"/>
      <c r="K2666" s="81"/>
      <c r="L2666" s="81"/>
      <c r="M2666" s="81"/>
      <c r="N2666" s="84" t="str">
        <f aca="false">IF(C2666="","",IF(P2666="","NJ INCONNU",IF(I2666="",IF(H2666="OUI","À ENROBER",IF(G2666="À SOUDER","NON SOUDÉ","EN ATTENTE RT")),IF(L2666="R","À REPRENDRE",IF(H2666&lt;&gt;"OUI","⚠ ENROBÉ AVANT ACCEPTATION RT","ENROBÉ")))))</f>
        <v/>
      </c>
      <c r="O2666" s="80"/>
      <c r="P2666" s="82" t="str">
        <f aca="false">IF(C2666="","",IFERROR(MATCH(Q2666,'CARNET DE SOUDURE'!$AW$7:$AW$3006,0),""))</f>
        <v/>
      </c>
      <c r="Q2666" s="82" t="str">
        <f aca="false">IF(C2666="","",B2666&amp;"|"&amp;C2666)</f>
        <v/>
      </c>
    </row>
    <row r="2667" customFormat="false" ht="15" hidden="false" customHeight="false" outlineLevel="0" collapsed="false">
      <c r="A2667" s="82" t="str">
        <f aca="false">IF(C2667="","",ROW()-6)</f>
        <v/>
      </c>
      <c r="B2667" s="80"/>
      <c r="C2667" s="113"/>
      <c r="D2667" s="82" t="str">
        <f aca="false">IF(OR(C2667="",P2667=""),"",INDEX('CARNET DE SOUDURE'!$D$7:$D$3006,P2667)&amp;"")</f>
        <v/>
      </c>
      <c r="E2667" s="114" t="str">
        <f aca="false">IF(OR(C2667="",P2667=""),"",IF(INDEX('CARNET DE SOUDURE'!$U$7:$U$3006,P2667)="","",INDEX('CARNET DE SOUDURE'!$U$7:$U$3006,P2667)))</f>
        <v/>
      </c>
      <c r="F2667" s="82" t="str">
        <f aca="false">IF(OR(C2667="",P2667=""),"",INDEX('CARNET DE SOUDURE'!$AP$7:$AP$3006,P2667))</f>
        <v/>
      </c>
      <c r="G2667" s="82" t="str">
        <f aca="false">IF(C2667="","",IF(P2667="","NJ INCONNU",INDEX('CARNET DE SOUDURE'!$AQ$7:$AQ$3006,P2667)))</f>
        <v/>
      </c>
      <c r="H2667" s="82" t="str">
        <f aca="false">IF(C2667="","",IF(G2667="ACCEPTÉ","OUI","NON"))</f>
        <v/>
      </c>
      <c r="I2667" s="83"/>
      <c r="J2667" s="80"/>
      <c r="K2667" s="81"/>
      <c r="L2667" s="81"/>
      <c r="M2667" s="81"/>
      <c r="N2667" s="84" t="str">
        <f aca="false">IF(C2667="","",IF(P2667="","NJ INCONNU",IF(I2667="",IF(H2667="OUI","À ENROBER",IF(G2667="À SOUDER","NON SOUDÉ","EN ATTENTE RT")),IF(L2667="R","À REPRENDRE",IF(H2667&lt;&gt;"OUI","⚠ ENROBÉ AVANT ACCEPTATION RT","ENROBÉ")))))</f>
        <v/>
      </c>
      <c r="O2667" s="80"/>
      <c r="P2667" s="82" t="str">
        <f aca="false">IF(C2667="","",IFERROR(MATCH(Q2667,'CARNET DE SOUDURE'!$AW$7:$AW$3006,0),""))</f>
        <v/>
      </c>
      <c r="Q2667" s="82" t="str">
        <f aca="false">IF(C2667="","",B2667&amp;"|"&amp;C2667)</f>
        <v/>
      </c>
    </row>
    <row r="2668" customFormat="false" ht="15" hidden="false" customHeight="false" outlineLevel="0" collapsed="false">
      <c r="A2668" s="82" t="str">
        <f aca="false">IF(C2668="","",ROW()-6)</f>
        <v/>
      </c>
      <c r="B2668" s="80"/>
      <c r="C2668" s="113"/>
      <c r="D2668" s="82" t="str">
        <f aca="false">IF(OR(C2668="",P2668=""),"",INDEX('CARNET DE SOUDURE'!$D$7:$D$3006,P2668)&amp;"")</f>
        <v/>
      </c>
      <c r="E2668" s="114" t="str">
        <f aca="false">IF(OR(C2668="",P2668=""),"",IF(INDEX('CARNET DE SOUDURE'!$U$7:$U$3006,P2668)="","",INDEX('CARNET DE SOUDURE'!$U$7:$U$3006,P2668)))</f>
        <v/>
      </c>
      <c r="F2668" s="82" t="str">
        <f aca="false">IF(OR(C2668="",P2668=""),"",INDEX('CARNET DE SOUDURE'!$AP$7:$AP$3006,P2668))</f>
        <v/>
      </c>
      <c r="G2668" s="82" t="str">
        <f aca="false">IF(C2668="","",IF(P2668="","NJ INCONNU",INDEX('CARNET DE SOUDURE'!$AQ$7:$AQ$3006,P2668)))</f>
        <v/>
      </c>
      <c r="H2668" s="82" t="str">
        <f aca="false">IF(C2668="","",IF(G2668="ACCEPTÉ","OUI","NON"))</f>
        <v/>
      </c>
      <c r="I2668" s="83"/>
      <c r="J2668" s="80"/>
      <c r="K2668" s="81"/>
      <c r="L2668" s="81"/>
      <c r="M2668" s="81"/>
      <c r="N2668" s="84" t="str">
        <f aca="false">IF(C2668="","",IF(P2668="","NJ INCONNU",IF(I2668="",IF(H2668="OUI","À ENROBER",IF(G2668="À SOUDER","NON SOUDÉ","EN ATTENTE RT")),IF(L2668="R","À REPRENDRE",IF(H2668&lt;&gt;"OUI","⚠ ENROBÉ AVANT ACCEPTATION RT","ENROBÉ")))))</f>
        <v/>
      </c>
      <c r="O2668" s="80"/>
      <c r="P2668" s="82" t="str">
        <f aca="false">IF(C2668="","",IFERROR(MATCH(Q2668,'CARNET DE SOUDURE'!$AW$7:$AW$3006,0),""))</f>
        <v/>
      </c>
      <c r="Q2668" s="82" t="str">
        <f aca="false">IF(C2668="","",B2668&amp;"|"&amp;C2668)</f>
        <v/>
      </c>
    </row>
    <row r="2669" customFormat="false" ht="15" hidden="false" customHeight="false" outlineLevel="0" collapsed="false">
      <c r="A2669" s="82" t="str">
        <f aca="false">IF(C2669="","",ROW()-6)</f>
        <v/>
      </c>
      <c r="B2669" s="80"/>
      <c r="C2669" s="113"/>
      <c r="D2669" s="82" t="str">
        <f aca="false">IF(OR(C2669="",P2669=""),"",INDEX('CARNET DE SOUDURE'!$D$7:$D$3006,P2669)&amp;"")</f>
        <v/>
      </c>
      <c r="E2669" s="114" t="str">
        <f aca="false">IF(OR(C2669="",P2669=""),"",IF(INDEX('CARNET DE SOUDURE'!$U$7:$U$3006,P2669)="","",INDEX('CARNET DE SOUDURE'!$U$7:$U$3006,P2669)))</f>
        <v/>
      </c>
      <c r="F2669" s="82" t="str">
        <f aca="false">IF(OR(C2669="",P2669=""),"",INDEX('CARNET DE SOUDURE'!$AP$7:$AP$3006,P2669))</f>
        <v/>
      </c>
      <c r="G2669" s="82" t="str">
        <f aca="false">IF(C2669="","",IF(P2669="","NJ INCONNU",INDEX('CARNET DE SOUDURE'!$AQ$7:$AQ$3006,P2669)))</f>
        <v/>
      </c>
      <c r="H2669" s="82" t="str">
        <f aca="false">IF(C2669="","",IF(G2669="ACCEPTÉ","OUI","NON"))</f>
        <v/>
      </c>
      <c r="I2669" s="83"/>
      <c r="J2669" s="80"/>
      <c r="K2669" s="81"/>
      <c r="L2669" s="81"/>
      <c r="M2669" s="81"/>
      <c r="N2669" s="84" t="str">
        <f aca="false">IF(C2669="","",IF(P2669="","NJ INCONNU",IF(I2669="",IF(H2669="OUI","À ENROBER",IF(G2669="À SOUDER","NON SOUDÉ","EN ATTENTE RT")),IF(L2669="R","À REPRENDRE",IF(H2669&lt;&gt;"OUI","⚠ ENROBÉ AVANT ACCEPTATION RT","ENROBÉ")))))</f>
        <v/>
      </c>
      <c r="O2669" s="80"/>
      <c r="P2669" s="82" t="str">
        <f aca="false">IF(C2669="","",IFERROR(MATCH(Q2669,'CARNET DE SOUDURE'!$AW$7:$AW$3006,0),""))</f>
        <v/>
      </c>
      <c r="Q2669" s="82" t="str">
        <f aca="false">IF(C2669="","",B2669&amp;"|"&amp;C2669)</f>
        <v/>
      </c>
    </row>
    <row r="2670" customFormat="false" ht="15" hidden="false" customHeight="false" outlineLevel="0" collapsed="false">
      <c r="A2670" s="82" t="str">
        <f aca="false">IF(C2670="","",ROW()-6)</f>
        <v/>
      </c>
      <c r="B2670" s="80"/>
      <c r="C2670" s="113"/>
      <c r="D2670" s="82" t="str">
        <f aca="false">IF(OR(C2670="",P2670=""),"",INDEX('CARNET DE SOUDURE'!$D$7:$D$3006,P2670)&amp;"")</f>
        <v/>
      </c>
      <c r="E2670" s="114" t="str">
        <f aca="false">IF(OR(C2670="",P2670=""),"",IF(INDEX('CARNET DE SOUDURE'!$U$7:$U$3006,P2670)="","",INDEX('CARNET DE SOUDURE'!$U$7:$U$3006,P2670)))</f>
        <v/>
      </c>
      <c r="F2670" s="82" t="str">
        <f aca="false">IF(OR(C2670="",P2670=""),"",INDEX('CARNET DE SOUDURE'!$AP$7:$AP$3006,P2670))</f>
        <v/>
      </c>
      <c r="G2670" s="82" t="str">
        <f aca="false">IF(C2670="","",IF(P2670="","NJ INCONNU",INDEX('CARNET DE SOUDURE'!$AQ$7:$AQ$3006,P2670)))</f>
        <v/>
      </c>
      <c r="H2670" s="82" t="str">
        <f aca="false">IF(C2670="","",IF(G2670="ACCEPTÉ","OUI","NON"))</f>
        <v/>
      </c>
      <c r="I2670" s="83"/>
      <c r="J2670" s="80"/>
      <c r="K2670" s="81"/>
      <c r="L2670" s="81"/>
      <c r="M2670" s="81"/>
      <c r="N2670" s="84" t="str">
        <f aca="false">IF(C2670="","",IF(P2670="","NJ INCONNU",IF(I2670="",IF(H2670="OUI","À ENROBER",IF(G2670="À SOUDER","NON SOUDÉ","EN ATTENTE RT")),IF(L2670="R","À REPRENDRE",IF(H2670&lt;&gt;"OUI","⚠ ENROBÉ AVANT ACCEPTATION RT","ENROBÉ")))))</f>
        <v/>
      </c>
      <c r="O2670" s="80"/>
      <c r="P2670" s="82" t="str">
        <f aca="false">IF(C2670="","",IFERROR(MATCH(Q2670,'CARNET DE SOUDURE'!$AW$7:$AW$3006,0),""))</f>
        <v/>
      </c>
      <c r="Q2670" s="82" t="str">
        <f aca="false">IF(C2670="","",B2670&amp;"|"&amp;C2670)</f>
        <v/>
      </c>
    </row>
    <row r="2671" customFormat="false" ht="15" hidden="false" customHeight="false" outlineLevel="0" collapsed="false">
      <c r="A2671" s="82" t="str">
        <f aca="false">IF(C2671="","",ROW()-6)</f>
        <v/>
      </c>
      <c r="B2671" s="80"/>
      <c r="C2671" s="113"/>
      <c r="D2671" s="82" t="str">
        <f aca="false">IF(OR(C2671="",P2671=""),"",INDEX('CARNET DE SOUDURE'!$D$7:$D$3006,P2671)&amp;"")</f>
        <v/>
      </c>
      <c r="E2671" s="114" t="str">
        <f aca="false">IF(OR(C2671="",P2671=""),"",IF(INDEX('CARNET DE SOUDURE'!$U$7:$U$3006,P2671)="","",INDEX('CARNET DE SOUDURE'!$U$7:$U$3006,P2671)))</f>
        <v/>
      </c>
      <c r="F2671" s="82" t="str">
        <f aca="false">IF(OR(C2671="",P2671=""),"",INDEX('CARNET DE SOUDURE'!$AP$7:$AP$3006,P2671))</f>
        <v/>
      </c>
      <c r="G2671" s="82" t="str">
        <f aca="false">IF(C2671="","",IF(P2671="","NJ INCONNU",INDEX('CARNET DE SOUDURE'!$AQ$7:$AQ$3006,P2671)))</f>
        <v/>
      </c>
      <c r="H2671" s="82" t="str">
        <f aca="false">IF(C2671="","",IF(G2671="ACCEPTÉ","OUI","NON"))</f>
        <v/>
      </c>
      <c r="I2671" s="83"/>
      <c r="J2671" s="80"/>
      <c r="K2671" s="81"/>
      <c r="L2671" s="81"/>
      <c r="M2671" s="81"/>
      <c r="N2671" s="84" t="str">
        <f aca="false">IF(C2671="","",IF(P2671="","NJ INCONNU",IF(I2671="",IF(H2671="OUI","À ENROBER",IF(G2671="À SOUDER","NON SOUDÉ","EN ATTENTE RT")),IF(L2671="R","À REPRENDRE",IF(H2671&lt;&gt;"OUI","⚠ ENROBÉ AVANT ACCEPTATION RT","ENROBÉ")))))</f>
        <v/>
      </c>
      <c r="O2671" s="80"/>
      <c r="P2671" s="82" t="str">
        <f aca="false">IF(C2671="","",IFERROR(MATCH(Q2671,'CARNET DE SOUDURE'!$AW$7:$AW$3006,0),""))</f>
        <v/>
      </c>
      <c r="Q2671" s="82" t="str">
        <f aca="false">IF(C2671="","",B2671&amp;"|"&amp;C2671)</f>
        <v/>
      </c>
    </row>
    <row r="2672" customFormat="false" ht="15" hidden="false" customHeight="false" outlineLevel="0" collapsed="false">
      <c r="A2672" s="82" t="str">
        <f aca="false">IF(C2672="","",ROW()-6)</f>
        <v/>
      </c>
      <c r="B2672" s="80"/>
      <c r="C2672" s="113"/>
      <c r="D2672" s="82" t="str">
        <f aca="false">IF(OR(C2672="",P2672=""),"",INDEX('CARNET DE SOUDURE'!$D$7:$D$3006,P2672)&amp;"")</f>
        <v/>
      </c>
      <c r="E2672" s="114" t="str">
        <f aca="false">IF(OR(C2672="",P2672=""),"",IF(INDEX('CARNET DE SOUDURE'!$U$7:$U$3006,P2672)="","",INDEX('CARNET DE SOUDURE'!$U$7:$U$3006,P2672)))</f>
        <v/>
      </c>
      <c r="F2672" s="82" t="str">
        <f aca="false">IF(OR(C2672="",P2672=""),"",INDEX('CARNET DE SOUDURE'!$AP$7:$AP$3006,P2672))</f>
        <v/>
      </c>
      <c r="G2672" s="82" t="str">
        <f aca="false">IF(C2672="","",IF(P2672="","NJ INCONNU",INDEX('CARNET DE SOUDURE'!$AQ$7:$AQ$3006,P2672)))</f>
        <v/>
      </c>
      <c r="H2672" s="82" t="str">
        <f aca="false">IF(C2672="","",IF(G2672="ACCEPTÉ","OUI","NON"))</f>
        <v/>
      </c>
      <c r="I2672" s="83"/>
      <c r="J2672" s="80"/>
      <c r="K2672" s="81"/>
      <c r="L2672" s="81"/>
      <c r="M2672" s="81"/>
      <c r="N2672" s="84" t="str">
        <f aca="false">IF(C2672="","",IF(P2672="","NJ INCONNU",IF(I2672="",IF(H2672="OUI","À ENROBER",IF(G2672="À SOUDER","NON SOUDÉ","EN ATTENTE RT")),IF(L2672="R","À REPRENDRE",IF(H2672&lt;&gt;"OUI","⚠ ENROBÉ AVANT ACCEPTATION RT","ENROBÉ")))))</f>
        <v/>
      </c>
      <c r="O2672" s="80"/>
      <c r="P2672" s="82" t="str">
        <f aca="false">IF(C2672="","",IFERROR(MATCH(Q2672,'CARNET DE SOUDURE'!$AW$7:$AW$3006,0),""))</f>
        <v/>
      </c>
      <c r="Q2672" s="82" t="str">
        <f aca="false">IF(C2672="","",B2672&amp;"|"&amp;C2672)</f>
        <v/>
      </c>
    </row>
    <row r="2673" customFormat="false" ht="15" hidden="false" customHeight="false" outlineLevel="0" collapsed="false">
      <c r="A2673" s="82" t="str">
        <f aca="false">IF(C2673="","",ROW()-6)</f>
        <v/>
      </c>
      <c r="B2673" s="80"/>
      <c r="C2673" s="113"/>
      <c r="D2673" s="82" t="str">
        <f aca="false">IF(OR(C2673="",P2673=""),"",INDEX('CARNET DE SOUDURE'!$D$7:$D$3006,P2673)&amp;"")</f>
        <v/>
      </c>
      <c r="E2673" s="114" t="str">
        <f aca="false">IF(OR(C2673="",P2673=""),"",IF(INDEX('CARNET DE SOUDURE'!$U$7:$U$3006,P2673)="","",INDEX('CARNET DE SOUDURE'!$U$7:$U$3006,P2673)))</f>
        <v/>
      </c>
      <c r="F2673" s="82" t="str">
        <f aca="false">IF(OR(C2673="",P2673=""),"",INDEX('CARNET DE SOUDURE'!$AP$7:$AP$3006,P2673))</f>
        <v/>
      </c>
      <c r="G2673" s="82" t="str">
        <f aca="false">IF(C2673="","",IF(P2673="","NJ INCONNU",INDEX('CARNET DE SOUDURE'!$AQ$7:$AQ$3006,P2673)))</f>
        <v/>
      </c>
      <c r="H2673" s="82" t="str">
        <f aca="false">IF(C2673="","",IF(G2673="ACCEPTÉ","OUI","NON"))</f>
        <v/>
      </c>
      <c r="I2673" s="83"/>
      <c r="J2673" s="80"/>
      <c r="K2673" s="81"/>
      <c r="L2673" s="81"/>
      <c r="M2673" s="81"/>
      <c r="N2673" s="84" t="str">
        <f aca="false">IF(C2673="","",IF(P2673="","NJ INCONNU",IF(I2673="",IF(H2673="OUI","À ENROBER",IF(G2673="À SOUDER","NON SOUDÉ","EN ATTENTE RT")),IF(L2673="R","À REPRENDRE",IF(H2673&lt;&gt;"OUI","⚠ ENROBÉ AVANT ACCEPTATION RT","ENROBÉ")))))</f>
        <v/>
      </c>
      <c r="O2673" s="80"/>
      <c r="P2673" s="82" t="str">
        <f aca="false">IF(C2673="","",IFERROR(MATCH(Q2673,'CARNET DE SOUDURE'!$AW$7:$AW$3006,0),""))</f>
        <v/>
      </c>
      <c r="Q2673" s="82" t="str">
        <f aca="false">IF(C2673="","",B2673&amp;"|"&amp;C2673)</f>
        <v/>
      </c>
    </row>
    <row r="2674" customFormat="false" ht="15" hidden="false" customHeight="false" outlineLevel="0" collapsed="false">
      <c r="A2674" s="82" t="str">
        <f aca="false">IF(C2674="","",ROW()-6)</f>
        <v/>
      </c>
      <c r="B2674" s="80"/>
      <c r="C2674" s="113"/>
      <c r="D2674" s="82" t="str">
        <f aca="false">IF(OR(C2674="",P2674=""),"",INDEX('CARNET DE SOUDURE'!$D$7:$D$3006,P2674)&amp;"")</f>
        <v/>
      </c>
      <c r="E2674" s="114" t="str">
        <f aca="false">IF(OR(C2674="",P2674=""),"",IF(INDEX('CARNET DE SOUDURE'!$U$7:$U$3006,P2674)="","",INDEX('CARNET DE SOUDURE'!$U$7:$U$3006,P2674)))</f>
        <v/>
      </c>
      <c r="F2674" s="82" t="str">
        <f aca="false">IF(OR(C2674="",P2674=""),"",INDEX('CARNET DE SOUDURE'!$AP$7:$AP$3006,P2674))</f>
        <v/>
      </c>
      <c r="G2674" s="82" t="str">
        <f aca="false">IF(C2674="","",IF(P2674="","NJ INCONNU",INDEX('CARNET DE SOUDURE'!$AQ$7:$AQ$3006,P2674)))</f>
        <v/>
      </c>
      <c r="H2674" s="82" t="str">
        <f aca="false">IF(C2674="","",IF(G2674="ACCEPTÉ","OUI","NON"))</f>
        <v/>
      </c>
      <c r="I2674" s="83"/>
      <c r="J2674" s="80"/>
      <c r="K2674" s="81"/>
      <c r="L2674" s="81"/>
      <c r="M2674" s="81"/>
      <c r="N2674" s="84" t="str">
        <f aca="false">IF(C2674="","",IF(P2674="","NJ INCONNU",IF(I2674="",IF(H2674="OUI","À ENROBER",IF(G2674="À SOUDER","NON SOUDÉ","EN ATTENTE RT")),IF(L2674="R","À REPRENDRE",IF(H2674&lt;&gt;"OUI","⚠ ENROBÉ AVANT ACCEPTATION RT","ENROBÉ")))))</f>
        <v/>
      </c>
      <c r="O2674" s="80"/>
      <c r="P2674" s="82" t="str">
        <f aca="false">IF(C2674="","",IFERROR(MATCH(Q2674,'CARNET DE SOUDURE'!$AW$7:$AW$3006,0),""))</f>
        <v/>
      </c>
      <c r="Q2674" s="82" t="str">
        <f aca="false">IF(C2674="","",B2674&amp;"|"&amp;C2674)</f>
        <v/>
      </c>
    </row>
    <row r="2675" customFormat="false" ht="15" hidden="false" customHeight="false" outlineLevel="0" collapsed="false">
      <c r="A2675" s="82" t="str">
        <f aca="false">IF(C2675="","",ROW()-6)</f>
        <v/>
      </c>
      <c r="B2675" s="80"/>
      <c r="C2675" s="113"/>
      <c r="D2675" s="82" t="str">
        <f aca="false">IF(OR(C2675="",P2675=""),"",INDEX('CARNET DE SOUDURE'!$D$7:$D$3006,P2675)&amp;"")</f>
        <v/>
      </c>
      <c r="E2675" s="114" t="str">
        <f aca="false">IF(OR(C2675="",P2675=""),"",IF(INDEX('CARNET DE SOUDURE'!$U$7:$U$3006,P2675)="","",INDEX('CARNET DE SOUDURE'!$U$7:$U$3006,P2675)))</f>
        <v/>
      </c>
      <c r="F2675" s="82" t="str">
        <f aca="false">IF(OR(C2675="",P2675=""),"",INDEX('CARNET DE SOUDURE'!$AP$7:$AP$3006,P2675))</f>
        <v/>
      </c>
      <c r="G2675" s="82" t="str">
        <f aca="false">IF(C2675="","",IF(P2675="","NJ INCONNU",INDEX('CARNET DE SOUDURE'!$AQ$7:$AQ$3006,P2675)))</f>
        <v/>
      </c>
      <c r="H2675" s="82" t="str">
        <f aca="false">IF(C2675="","",IF(G2675="ACCEPTÉ","OUI","NON"))</f>
        <v/>
      </c>
      <c r="I2675" s="83"/>
      <c r="J2675" s="80"/>
      <c r="K2675" s="81"/>
      <c r="L2675" s="81"/>
      <c r="M2675" s="81"/>
      <c r="N2675" s="84" t="str">
        <f aca="false">IF(C2675="","",IF(P2675="","NJ INCONNU",IF(I2675="",IF(H2675="OUI","À ENROBER",IF(G2675="À SOUDER","NON SOUDÉ","EN ATTENTE RT")),IF(L2675="R","À REPRENDRE",IF(H2675&lt;&gt;"OUI","⚠ ENROBÉ AVANT ACCEPTATION RT","ENROBÉ")))))</f>
        <v/>
      </c>
      <c r="O2675" s="80"/>
      <c r="P2675" s="82" t="str">
        <f aca="false">IF(C2675="","",IFERROR(MATCH(Q2675,'CARNET DE SOUDURE'!$AW$7:$AW$3006,0),""))</f>
        <v/>
      </c>
      <c r="Q2675" s="82" t="str">
        <f aca="false">IF(C2675="","",B2675&amp;"|"&amp;C2675)</f>
        <v/>
      </c>
    </row>
    <row r="2676" customFormat="false" ht="15" hidden="false" customHeight="false" outlineLevel="0" collapsed="false">
      <c r="A2676" s="82" t="str">
        <f aca="false">IF(C2676="","",ROW()-6)</f>
        <v/>
      </c>
      <c r="B2676" s="80"/>
      <c r="C2676" s="113"/>
      <c r="D2676" s="82" t="str">
        <f aca="false">IF(OR(C2676="",P2676=""),"",INDEX('CARNET DE SOUDURE'!$D$7:$D$3006,P2676)&amp;"")</f>
        <v/>
      </c>
      <c r="E2676" s="114" t="str">
        <f aca="false">IF(OR(C2676="",P2676=""),"",IF(INDEX('CARNET DE SOUDURE'!$U$7:$U$3006,P2676)="","",INDEX('CARNET DE SOUDURE'!$U$7:$U$3006,P2676)))</f>
        <v/>
      </c>
      <c r="F2676" s="82" t="str">
        <f aca="false">IF(OR(C2676="",P2676=""),"",INDEX('CARNET DE SOUDURE'!$AP$7:$AP$3006,P2676))</f>
        <v/>
      </c>
      <c r="G2676" s="82" t="str">
        <f aca="false">IF(C2676="","",IF(P2676="","NJ INCONNU",INDEX('CARNET DE SOUDURE'!$AQ$7:$AQ$3006,P2676)))</f>
        <v/>
      </c>
      <c r="H2676" s="82" t="str">
        <f aca="false">IF(C2676="","",IF(G2676="ACCEPTÉ","OUI","NON"))</f>
        <v/>
      </c>
      <c r="I2676" s="83"/>
      <c r="J2676" s="80"/>
      <c r="K2676" s="81"/>
      <c r="L2676" s="81"/>
      <c r="M2676" s="81"/>
      <c r="N2676" s="84" t="str">
        <f aca="false">IF(C2676="","",IF(P2676="","NJ INCONNU",IF(I2676="",IF(H2676="OUI","À ENROBER",IF(G2676="À SOUDER","NON SOUDÉ","EN ATTENTE RT")),IF(L2676="R","À REPRENDRE",IF(H2676&lt;&gt;"OUI","⚠ ENROBÉ AVANT ACCEPTATION RT","ENROBÉ")))))</f>
        <v/>
      </c>
      <c r="O2676" s="80"/>
      <c r="P2676" s="82" t="str">
        <f aca="false">IF(C2676="","",IFERROR(MATCH(Q2676,'CARNET DE SOUDURE'!$AW$7:$AW$3006,0),""))</f>
        <v/>
      </c>
      <c r="Q2676" s="82" t="str">
        <f aca="false">IF(C2676="","",B2676&amp;"|"&amp;C2676)</f>
        <v/>
      </c>
    </row>
    <row r="2677" customFormat="false" ht="15" hidden="false" customHeight="false" outlineLevel="0" collapsed="false">
      <c r="A2677" s="82" t="str">
        <f aca="false">IF(C2677="","",ROW()-6)</f>
        <v/>
      </c>
      <c r="B2677" s="80"/>
      <c r="C2677" s="113"/>
      <c r="D2677" s="82" t="str">
        <f aca="false">IF(OR(C2677="",P2677=""),"",INDEX('CARNET DE SOUDURE'!$D$7:$D$3006,P2677)&amp;"")</f>
        <v/>
      </c>
      <c r="E2677" s="114" t="str">
        <f aca="false">IF(OR(C2677="",P2677=""),"",IF(INDEX('CARNET DE SOUDURE'!$U$7:$U$3006,P2677)="","",INDEX('CARNET DE SOUDURE'!$U$7:$U$3006,P2677)))</f>
        <v/>
      </c>
      <c r="F2677" s="82" t="str">
        <f aca="false">IF(OR(C2677="",P2677=""),"",INDEX('CARNET DE SOUDURE'!$AP$7:$AP$3006,P2677))</f>
        <v/>
      </c>
      <c r="G2677" s="82" t="str">
        <f aca="false">IF(C2677="","",IF(P2677="","NJ INCONNU",INDEX('CARNET DE SOUDURE'!$AQ$7:$AQ$3006,P2677)))</f>
        <v/>
      </c>
      <c r="H2677" s="82" t="str">
        <f aca="false">IF(C2677="","",IF(G2677="ACCEPTÉ","OUI","NON"))</f>
        <v/>
      </c>
      <c r="I2677" s="83"/>
      <c r="J2677" s="80"/>
      <c r="K2677" s="81"/>
      <c r="L2677" s="81"/>
      <c r="M2677" s="81"/>
      <c r="N2677" s="84" t="str">
        <f aca="false">IF(C2677="","",IF(P2677="","NJ INCONNU",IF(I2677="",IF(H2677="OUI","À ENROBER",IF(G2677="À SOUDER","NON SOUDÉ","EN ATTENTE RT")),IF(L2677="R","À REPRENDRE",IF(H2677&lt;&gt;"OUI","⚠ ENROBÉ AVANT ACCEPTATION RT","ENROBÉ")))))</f>
        <v/>
      </c>
      <c r="O2677" s="80"/>
      <c r="P2677" s="82" t="str">
        <f aca="false">IF(C2677="","",IFERROR(MATCH(Q2677,'CARNET DE SOUDURE'!$AW$7:$AW$3006,0),""))</f>
        <v/>
      </c>
      <c r="Q2677" s="82" t="str">
        <f aca="false">IF(C2677="","",B2677&amp;"|"&amp;C2677)</f>
        <v/>
      </c>
    </row>
    <row r="2678" customFormat="false" ht="15" hidden="false" customHeight="false" outlineLevel="0" collapsed="false">
      <c r="A2678" s="82" t="str">
        <f aca="false">IF(C2678="","",ROW()-6)</f>
        <v/>
      </c>
      <c r="B2678" s="80"/>
      <c r="C2678" s="113"/>
      <c r="D2678" s="82" t="str">
        <f aca="false">IF(OR(C2678="",P2678=""),"",INDEX('CARNET DE SOUDURE'!$D$7:$D$3006,P2678)&amp;"")</f>
        <v/>
      </c>
      <c r="E2678" s="114" t="str">
        <f aca="false">IF(OR(C2678="",P2678=""),"",IF(INDEX('CARNET DE SOUDURE'!$U$7:$U$3006,P2678)="","",INDEX('CARNET DE SOUDURE'!$U$7:$U$3006,P2678)))</f>
        <v/>
      </c>
      <c r="F2678" s="82" t="str">
        <f aca="false">IF(OR(C2678="",P2678=""),"",INDEX('CARNET DE SOUDURE'!$AP$7:$AP$3006,P2678))</f>
        <v/>
      </c>
      <c r="G2678" s="82" t="str">
        <f aca="false">IF(C2678="","",IF(P2678="","NJ INCONNU",INDEX('CARNET DE SOUDURE'!$AQ$7:$AQ$3006,P2678)))</f>
        <v/>
      </c>
      <c r="H2678" s="82" t="str">
        <f aca="false">IF(C2678="","",IF(G2678="ACCEPTÉ","OUI","NON"))</f>
        <v/>
      </c>
      <c r="I2678" s="83"/>
      <c r="J2678" s="80"/>
      <c r="K2678" s="81"/>
      <c r="L2678" s="81"/>
      <c r="M2678" s="81"/>
      <c r="N2678" s="84" t="str">
        <f aca="false">IF(C2678="","",IF(P2678="","NJ INCONNU",IF(I2678="",IF(H2678="OUI","À ENROBER",IF(G2678="À SOUDER","NON SOUDÉ","EN ATTENTE RT")),IF(L2678="R","À REPRENDRE",IF(H2678&lt;&gt;"OUI","⚠ ENROBÉ AVANT ACCEPTATION RT","ENROBÉ")))))</f>
        <v/>
      </c>
      <c r="O2678" s="80"/>
      <c r="P2678" s="82" t="str">
        <f aca="false">IF(C2678="","",IFERROR(MATCH(Q2678,'CARNET DE SOUDURE'!$AW$7:$AW$3006,0),""))</f>
        <v/>
      </c>
      <c r="Q2678" s="82" t="str">
        <f aca="false">IF(C2678="","",B2678&amp;"|"&amp;C2678)</f>
        <v/>
      </c>
    </row>
    <row r="2679" customFormat="false" ht="15" hidden="false" customHeight="false" outlineLevel="0" collapsed="false">
      <c r="A2679" s="82" t="str">
        <f aca="false">IF(C2679="","",ROW()-6)</f>
        <v/>
      </c>
      <c r="B2679" s="80"/>
      <c r="C2679" s="113"/>
      <c r="D2679" s="82" t="str">
        <f aca="false">IF(OR(C2679="",P2679=""),"",INDEX('CARNET DE SOUDURE'!$D$7:$D$3006,P2679)&amp;"")</f>
        <v/>
      </c>
      <c r="E2679" s="114" t="str">
        <f aca="false">IF(OR(C2679="",P2679=""),"",IF(INDEX('CARNET DE SOUDURE'!$U$7:$U$3006,P2679)="","",INDEX('CARNET DE SOUDURE'!$U$7:$U$3006,P2679)))</f>
        <v/>
      </c>
      <c r="F2679" s="82" t="str">
        <f aca="false">IF(OR(C2679="",P2679=""),"",INDEX('CARNET DE SOUDURE'!$AP$7:$AP$3006,P2679))</f>
        <v/>
      </c>
      <c r="G2679" s="82" t="str">
        <f aca="false">IF(C2679="","",IF(P2679="","NJ INCONNU",INDEX('CARNET DE SOUDURE'!$AQ$7:$AQ$3006,P2679)))</f>
        <v/>
      </c>
      <c r="H2679" s="82" t="str">
        <f aca="false">IF(C2679="","",IF(G2679="ACCEPTÉ","OUI","NON"))</f>
        <v/>
      </c>
      <c r="I2679" s="83"/>
      <c r="J2679" s="80"/>
      <c r="K2679" s="81"/>
      <c r="L2679" s="81"/>
      <c r="M2679" s="81"/>
      <c r="N2679" s="84" t="str">
        <f aca="false">IF(C2679="","",IF(P2679="","NJ INCONNU",IF(I2679="",IF(H2679="OUI","À ENROBER",IF(G2679="À SOUDER","NON SOUDÉ","EN ATTENTE RT")),IF(L2679="R","À REPRENDRE",IF(H2679&lt;&gt;"OUI","⚠ ENROBÉ AVANT ACCEPTATION RT","ENROBÉ")))))</f>
        <v/>
      </c>
      <c r="O2679" s="80"/>
      <c r="P2679" s="82" t="str">
        <f aca="false">IF(C2679="","",IFERROR(MATCH(Q2679,'CARNET DE SOUDURE'!$AW$7:$AW$3006,0),""))</f>
        <v/>
      </c>
      <c r="Q2679" s="82" t="str">
        <f aca="false">IF(C2679="","",B2679&amp;"|"&amp;C2679)</f>
        <v/>
      </c>
    </row>
    <row r="2680" customFormat="false" ht="15" hidden="false" customHeight="false" outlineLevel="0" collapsed="false">
      <c r="A2680" s="82" t="str">
        <f aca="false">IF(C2680="","",ROW()-6)</f>
        <v/>
      </c>
      <c r="B2680" s="80"/>
      <c r="C2680" s="113"/>
      <c r="D2680" s="82" t="str">
        <f aca="false">IF(OR(C2680="",P2680=""),"",INDEX('CARNET DE SOUDURE'!$D$7:$D$3006,P2680)&amp;"")</f>
        <v/>
      </c>
      <c r="E2680" s="114" t="str">
        <f aca="false">IF(OR(C2680="",P2680=""),"",IF(INDEX('CARNET DE SOUDURE'!$U$7:$U$3006,P2680)="","",INDEX('CARNET DE SOUDURE'!$U$7:$U$3006,P2680)))</f>
        <v/>
      </c>
      <c r="F2680" s="82" t="str">
        <f aca="false">IF(OR(C2680="",P2680=""),"",INDEX('CARNET DE SOUDURE'!$AP$7:$AP$3006,P2680))</f>
        <v/>
      </c>
      <c r="G2680" s="82" t="str">
        <f aca="false">IF(C2680="","",IF(P2680="","NJ INCONNU",INDEX('CARNET DE SOUDURE'!$AQ$7:$AQ$3006,P2680)))</f>
        <v/>
      </c>
      <c r="H2680" s="82" t="str">
        <f aca="false">IF(C2680="","",IF(G2680="ACCEPTÉ","OUI","NON"))</f>
        <v/>
      </c>
      <c r="I2680" s="83"/>
      <c r="J2680" s="80"/>
      <c r="K2680" s="81"/>
      <c r="L2680" s="81"/>
      <c r="M2680" s="81"/>
      <c r="N2680" s="84" t="str">
        <f aca="false">IF(C2680="","",IF(P2680="","NJ INCONNU",IF(I2680="",IF(H2680="OUI","À ENROBER",IF(G2680="À SOUDER","NON SOUDÉ","EN ATTENTE RT")),IF(L2680="R","À REPRENDRE",IF(H2680&lt;&gt;"OUI","⚠ ENROBÉ AVANT ACCEPTATION RT","ENROBÉ")))))</f>
        <v/>
      </c>
      <c r="O2680" s="80"/>
      <c r="P2680" s="82" t="str">
        <f aca="false">IF(C2680="","",IFERROR(MATCH(Q2680,'CARNET DE SOUDURE'!$AW$7:$AW$3006,0),""))</f>
        <v/>
      </c>
      <c r="Q2680" s="82" t="str">
        <f aca="false">IF(C2680="","",B2680&amp;"|"&amp;C2680)</f>
        <v/>
      </c>
    </row>
    <row r="2681" customFormat="false" ht="15" hidden="false" customHeight="false" outlineLevel="0" collapsed="false">
      <c r="A2681" s="82" t="str">
        <f aca="false">IF(C2681="","",ROW()-6)</f>
        <v/>
      </c>
      <c r="B2681" s="80"/>
      <c r="C2681" s="113"/>
      <c r="D2681" s="82" t="str">
        <f aca="false">IF(OR(C2681="",P2681=""),"",INDEX('CARNET DE SOUDURE'!$D$7:$D$3006,P2681)&amp;"")</f>
        <v/>
      </c>
      <c r="E2681" s="114" t="str">
        <f aca="false">IF(OR(C2681="",P2681=""),"",IF(INDEX('CARNET DE SOUDURE'!$U$7:$U$3006,P2681)="","",INDEX('CARNET DE SOUDURE'!$U$7:$U$3006,P2681)))</f>
        <v/>
      </c>
      <c r="F2681" s="82" t="str">
        <f aca="false">IF(OR(C2681="",P2681=""),"",INDEX('CARNET DE SOUDURE'!$AP$7:$AP$3006,P2681))</f>
        <v/>
      </c>
      <c r="G2681" s="82" t="str">
        <f aca="false">IF(C2681="","",IF(P2681="","NJ INCONNU",INDEX('CARNET DE SOUDURE'!$AQ$7:$AQ$3006,P2681)))</f>
        <v/>
      </c>
      <c r="H2681" s="82" t="str">
        <f aca="false">IF(C2681="","",IF(G2681="ACCEPTÉ","OUI","NON"))</f>
        <v/>
      </c>
      <c r="I2681" s="83"/>
      <c r="J2681" s="80"/>
      <c r="K2681" s="81"/>
      <c r="L2681" s="81"/>
      <c r="M2681" s="81"/>
      <c r="N2681" s="84" t="str">
        <f aca="false">IF(C2681="","",IF(P2681="","NJ INCONNU",IF(I2681="",IF(H2681="OUI","À ENROBER",IF(G2681="À SOUDER","NON SOUDÉ","EN ATTENTE RT")),IF(L2681="R","À REPRENDRE",IF(H2681&lt;&gt;"OUI","⚠ ENROBÉ AVANT ACCEPTATION RT","ENROBÉ")))))</f>
        <v/>
      </c>
      <c r="O2681" s="80"/>
      <c r="P2681" s="82" t="str">
        <f aca="false">IF(C2681="","",IFERROR(MATCH(Q2681,'CARNET DE SOUDURE'!$AW$7:$AW$3006,0),""))</f>
        <v/>
      </c>
      <c r="Q2681" s="82" t="str">
        <f aca="false">IF(C2681="","",B2681&amp;"|"&amp;C2681)</f>
        <v/>
      </c>
    </row>
    <row r="2682" customFormat="false" ht="15" hidden="false" customHeight="false" outlineLevel="0" collapsed="false">
      <c r="A2682" s="82" t="str">
        <f aca="false">IF(C2682="","",ROW()-6)</f>
        <v/>
      </c>
      <c r="B2682" s="80"/>
      <c r="C2682" s="113"/>
      <c r="D2682" s="82" t="str">
        <f aca="false">IF(OR(C2682="",P2682=""),"",INDEX('CARNET DE SOUDURE'!$D$7:$D$3006,P2682)&amp;"")</f>
        <v/>
      </c>
      <c r="E2682" s="114" t="str">
        <f aca="false">IF(OR(C2682="",P2682=""),"",IF(INDEX('CARNET DE SOUDURE'!$U$7:$U$3006,P2682)="","",INDEX('CARNET DE SOUDURE'!$U$7:$U$3006,P2682)))</f>
        <v/>
      </c>
      <c r="F2682" s="82" t="str">
        <f aca="false">IF(OR(C2682="",P2682=""),"",INDEX('CARNET DE SOUDURE'!$AP$7:$AP$3006,P2682))</f>
        <v/>
      </c>
      <c r="G2682" s="82" t="str">
        <f aca="false">IF(C2682="","",IF(P2682="","NJ INCONNU",INDEX('CARNET DE SOUDURE'!$AQ$7:$AQ$3006,P2682)))</f>
        <v/>
      </c>
      <c r="H2682" s="82" t="str">
        <f aca="false">IF(C2682="","",IF(G2682="ACCEPTÉ","OUI","NON"))</f>
        <v/>
      </c>
      <c r="I2682" s="83"/>
      <c r="J2682" s="80"/>
      <c r="K2682" s="81"/>
      <c r="L2682" s="81"/>
      <c r="M2682" s="81"/>
      <c r="N2682" s="84" t="str">
        <f aca="false">IF(C2682="","",IF(P2682="","NJ INCONNU",IF(I2682="",IF(H2682="OUI","À ENROBER",IF(G2682="À SOUDER","NON SOUDÉ","EN ATTENTE RT")),IF(L2682="R","À REPRENDRE",IF(H2682&lt;&gt;"OUI","⚠ ENROBÉ AVANT ACCEPTATION RT","ENROBÉ")))))</f>
        <v/>
      </c>
      <c r="O2682" s="80"/>
      <c r="P2682" s="82" t="str">
        <f aca="false">IF(C2682="","",IFERROR(MATCH(Q2682,'CARNET DE SOUDURE'!$AW$7:$AW$3006,0),""))</f>
        <v/>
      </c>
      <c r="Q2682" s="82" t="str">
        <f aca="false">IF(C2682="","",B2682&amp;"|"&amp;C2682)</f>
        <v/>
      </c>
    </row>
    <row r="2683" customFormat="false" ht="15" hidden="false" customHeight="false" outlineLevel="0" collapsed="false">
      <c r="A2683" s="82" t="str">
        <f aca="false">IF(C2683="","",ROW()-6)</f>
        <v/>
      </c>
      <c r="B2683" s="80"/>
      <c r="C2683" s="113"/>
      <c r="D2683" s="82" t="str">
        <f aca="false">IF(OR(C2683="",P2683=""),"",INDEX('CARNET DE SOUDURE'!$D$7:$D$3006,P2683)&amp;"")</f>
        <v/>
      </c>
      <c r="E2683" s="114" t="str">
        <f aca="false">IF(OR(C2683="",P2683=""),"",IF(INDEX('CARNET DE SOUDURE'!$U$7:$U$3006,P2683)="","",INDEX('CARNET DE SOUDURE'!$U$7:$U$3006,P2683)))</f>
        <v/>
      </c>
      <c r="F2683" s="82" t="str">
        <f aca="false">IF(OR(C2683="",P2683=""),"",INDEX('CARNET DE SOUDURE'!$AP$7:$AP$3006,P2683))</f>
        <v/>
      </c>
      <c r="G2683" s="82" t="str">
        <f aca="false">IF(C2683="","",IF(P2683="","NJ INCONNU",INDEX('CARNET DE SOUDURE'!$AQ$7:$AQ$3006,P2683)))</f>
        <v/>
      </c>
      <c r="H2683" s="82" t="str">
        <f aca="false">IF(C2683="","",IF(G2683="ACCEPTÉ","OUI","NON"))</f>
        <v/>
      </c>
      <c r="I2683" s="83"/>
      <c r="J2683" s="80"/>
      <c r="K2683" s="81"/>
      <c r="L2683" s="81"/>
      <c r="M2683" s="81"/>
      <c r="N2683" s="84" t="str">
        <f aca="false">IF(C2683="","",IF(P2683="","NJ INCONNU",IF(I2683="",IF(H2683="OUI","À ENROBER",IF(G2683="À SOUDER","NON SOUDÉ","EN ATTENTE RT")),IF(L2683="R","À REPRENDRE",IF(H2683&lt;&gt;"OUI","⚠ ENROBÉ AVANT ACCEPTATION RT","ENROBÉ")))))</f>
        <v/>
      </c>
      <c r="O2683" s="80"/>
      <c r="P2683" s="82" t="str">
        <f aca="false">IF(C2683="","",IFERROR(MATCH(Q2683,'CARNET DE SOUDURE'!$AW$7:$AW$3006,0),""))</f>
        <v/>
      </c>
      <c r="Q2683" s="82" t="str">
        <f aca="false">IF(C2683="","",B2683&amp;"|"&amp;C2683)</f>
        <v/>
      </c>
    </row>
    <row r="2684" customFormat="false" ht="15" hidden="false" customHeight="false" outlineLevel="0" collapsed="false">
      <c r="A2684" s="82" t="str">
        <f aca="false">IF(C2684="","",ROW()-6)</f>
        <v/>
      </c>
      <c r="B2684" s="80"/>
      <c r="C2684" s="113"/>
      <c r="D2684" s="82" t="str">
        <f aca="false">IF(OR(C2684="",P2684=""),"",INDEX('CARNET DE SOUDURE'!$D$7:$D$3006,P2684)&amp;"")</f>
        <v/>
      </c>
      <c r="E2684" s="114" t="str">
        <f aca="false">IF(OR(C2684="",P2684=""),"",IF(INDEX('CARNET DE SOUDURE'!$U$7:$U$3006,P2684)="","",INDEX('CARNET DE SOUDURE'!$U$7:$U$3006,P2684)))</f>
        <v/>
      </c>
      <c r="F2684" s="82" t="str">
        <f aca="false">IF(OR(C2684="",P2684=""),"",INDEX('CARNET DE SOUDURE'!$AP$7:$AP$3006,P2684))</f>
        <v/>
      </c>
      <c r="G2684" s="82" t="str">
        <f aca="false">IF(C2684="","",IF(P2684="","NJ INCONNU",INDEX('CARNET DE SOUDURE'!$AQ$7:$AQ$3006,P2684)))</f>
        <v/>
      </c>
      <c r="H2684" s="82" t="str">
        <f aca="false">IF(C2684="","",IF(G2684="ACCEPTÉ","OUI","NON"))</f>
        <v/>
      </c>
      <c r="I2684" s="83"/>
      <c r="J2684" s="80"/>
      <c r="K2684" s="81"/>
      <c r="L2684" s="81"/>
      <c r="M2684" s="81"/>
      <c r="N2684" s="84" t="str">
        <f aca="false">IF(C2684="","",IF(P2684="","NJ INCONNU",IF(I2684="",IF(H2684="OUI","À ENROBER",IF(G2684="À SOUDER","NON SOUDÉ","EN ATTENTE RT")),IF(L2684="R","À REPRENDRE",IF(H2684&lt;&gt;"OUI","⚠ ENROBÉ AVANT ACCEPTATION RT","ENROBÉ")))))</f>
        <v/>
      </c>
      <c r="O2684" s="80"/>
      <c r="P2684" s="82" t="str">
        <f aca="false">IF(C2684="","",IFERROR(MATCH(Q2684,'CARNET DE SOUDURE'!$AW$7:$AW$3006,0),""))</f>
        <v/>
      </c>
      <c r="Q2684" s="82" t="str">
        <f aca="false">IF(C2684="","",B2684&amp;"|"&amp;C2684)</f>
        <v/>
      </c>
    </row>
    <row r="2685" customFormat="false" ht="15" hidden="false" customHeight="false" outlineLevel="0" collapsed="false">
      <c r="A2685" s="82" t="str">
        <f aca="false">IF(C2685="","",ROW()-6)</f>
        <v/>
      </c>
      <c r="B2685" s="80"/>
      <c r="C2685" s="113"/>
      <c r="D2685" s="82" t="str">
        <f aca="false">IF(OR(C2685="",P2685=""),"",INDEX('CARNET DE SOUDURE'!$D$7:$D$3006,P2685)&amp;"")</f>
        <v/>
      </c>
      <c r="E2685" s="114" t="str">
        <f aca="false">IF(OR(C2685="",P2685=""),"",IF(INDEX('CARNET DE SOUDURE'!$U$7:$U$3006,P2685)="","",INDEX('CARNET DE SOUDURE'!$U$7:$U$3006,P2685)))</f>
        <v/>
      </c>
      <c r="F2685" s="82" t="str">
        <f aca="false">IF(OR(C2685="",P2685=""),"",INDEX('CARNET DE SOUDURE'!$AP$7:$AP$3006,P2685))</f>
        <v/>
      </c>
      <c r="G2685" s="82" t="str">
        <f aca="false">IF(C2685="","",IF(P2685="","NJ INCONNU",INDEX('CARNET DE SOUDURE'!$AQ$7:$AQ$3006,P2685)))</f>
        <v/>
      </c>
      <c r="H2685" s="82" t="str">
        <f aca="false">IF(C2685="","",IF(G2685="ACCEPTÉ","OUI","NON"))</f>
        <v/>
      </c>
      <c r="I2685" s="83"/>
      <c r="J2685" s="80"/>
      <c r="K2685" s="81"/>
      <c r="L2685" s="81"/>
      <c r="M2685" s="81"/>
      <c r="N2685" s="84" t="str">
        <f aca="false">IF(C2685="","",IF(P2685="","NJ INCONNU",IF(I2685="",IF(H2685="OUI","À ENROBER",IF(G2685="À SOUDER","NON SOUDÉ","EN ATTENTE RT")),IF(L2685="R","À REPRENDRE",IF(H2685&lt;&gt;"OUI","⚠ ENROBÉ AVANT ACCEPTATION RT","ENROBÉ")))))</f>
        <v/>
      </c>
      <c r="O2685" s="80"/>
      <c r="P2685" s="82" t="str">
        <f aca="false">IF(C2685="","",IFERROR(MATCH(Q2685,'CARNET DE SOUDURE'!$AW$7:$AW$3006,0),""))</f>
        <v/>
      </c>
      <c r="Q2685" s="82" t="str">
        <f aca="false">IF(C2685="","",B2685&amp;"|"&amp;C2685)</f>
        <v/>
      </c>
    </row>
    <row r="2686" customFormat="false" ht="15" hidden="false" customHeight="false" outlineLevel="0" collapsed="false">
      <c r="A2686" s="82" t="str">
        <f aca="false">IF(C2686="","",ROW()-6)</f>
        <v/>
      </c>
      <c r="B2686" s="80"/>
      <c r="C2686" s="113"/>
      <c r="D2686" s="82" t="str">
        <f aca="false">IF(OR(C2686="",P2686=""),"",INDEX('CARNET DE SOUDURE'!$D$7:$D$3006,P2686)&amp;"")</f>
        <v/>
      </c>
      <c r="E2686" s="114" t="str">
        <f aca="false">IF(OR(C2686="",P2686=""),"",IF(INDEX('CARNET DE SOUDURE'!$U$7:$U$3006,P2686)="","",INDEX('CARNET DE SOUDURE'!$U$7:$U$3006,P2686)))</f>
        <v/>
      </c>
      <c r="F2686" s="82" t="str">
        <f aca="false">IF(OR(C2686="",P2686=""),"",INDEX('CARNET DE SOUDURE'!$AP$7:$AP$3006,P2686))</f>
        <v/>
      </c>
      <c r="G2686" s="82" t="str">
        <f aca="false">IF(C2686="","",IF(P2686="","NJ INCONNU",INDEX('CARNET DE SOUDURE'!$AQ$7:$AQ$3006,P2686)))</f>
        <v/>
      </c>
      <c r="H2686" s="82" t="str">
        <f aca="false">IF(C2686="","",IF(G2686="ACCEPTÉ","OUI","NON"))</f>
        <v/>
      </c>
      <c r="I2686" s="83"/>
      <c r="J2686" s="80"/>
      <c r="K2686" s="81"/>
      <c r="L2686" s="81"/>
      <c r="M2686" s="81"/>
      <c r="N2686" s="84" t="str">
        <f aca="false">IF(C2686="","",IF(P2686="","NJ INCONNU",IF(I2686="",IF(H2686="OUI","À ENROBER",IF(G2686="À SOUDER","NON SOUDÉ","EN ATTENTE RT")),IF(L2686="R","À REPRENDRE",IF(H2686&lt;&gt;"OUI","⚠ ENROBÉ AVANT ACCEPTATION RT","ENROBÉ")))))</f>
        <v/>
      </c>
      <c r="O2686" s="80"/>
      <c r="P2686" s="82" t="str">
        <f aca="false">IF(C2686="","",IFERROR(MATCH(Q2686,'CARNET DE SOUDURE'!$AW$7:$AW$3006,0),""))</f>
        <v/>
      </c>
      <c r="Q2686" s="82" t="str">
        <f aca="false">IF(C2686="","",B2686&amp;"|"&amp;C2686)</f>
        <v/>
      </c>
    </row>
    <row r="2687" customFormat="false" ht="15" hidden="false" customHeight="false" outlineLevel="0" collapsed="false">
      <c r="A2687" s="82" t="str">
        <f aca="false">IF(C2687="","",ROW()-6)</f>
        <v/>
      </c>
      <c r="B2687" s="80"/>
      <c r="C2687" s="113"/>
      <c r="D2687" s="82" t="str">
        <f aca="false">IF(OR(C2687="",P2687=""),"",INDEX('CARNET DE SOUDURE'!$D$7:$D$3006,P2687)&amp;"")</f>
        <v/>
      </c>
      <c r="E2687" s="114" t="str">
        <f aca="false">IF(OR(C2687="",P2687=""),"",IF(INDEX('CARNET DE SOUDURE'!$U$7:$U$3006,P2687)="","",INDEX('CARNET DE SOUDURE'!$U$7:$U$3006,P2687)))</f>
        <v/>
      </c>
      <c r="F2687" s="82" t="str">
        <f aca="false">IF(OR(C2687="",P2687=""),"",INDEX('CARNET DE SOUDURE'!$AP$7:$AP$3006,P2687))</f>
        <v/>
      </c>
      <c r="G2687" s="82" t="str">
        <f aca="false">IF(C2687="","",IF(P2687="","NJ INCONNU",INDEX('CARNET DE SOUDURE'!$AQ$7:$AQ$3006,P2687)))</f>
        <v/>
      </c>
      <c r="H2687" s="82" t="str">
        <f aca="false">IF(C2687="","",IF(G2687="ACCEPTÉ","OUI","NON"))</f>
        <v/>
      </c>
      <c r="I2687" s="83"/>
      <c r="J2687" s="80"/>
      <c r="K2687" s="81"/>
      <c r="L2687" s="81"/>
      <c r="M2687" s="81"/>
      <c r="N2687" s="84" t="str">
        <f aca="false">IF(C2687="","",IF(P2687="","NJ INCONNU",IF(I2687="",IF(H2687="OUI","À ENROBER",IF(G2687="À SOUDER","NON SOUDÉ","EN ATTENTE RT")),IF(L2687="R","À REPRENDRE",IF(H2687&lt;&gt;"OUI","⚠ ENROBÉ AVANT ACCEPTATION RT","ENROBÉ")))))</f>
        <v/>
      </c>
      <c r="O2687" s="80"/>
      <c r="P2687" s="82" t="str">
        <f aca="false">IF(C2687="","",IFERROR(MATCH(Q2687,'CARNET DE SOUDURE'!$AW$7:$AW$3006,0),""))</f>
        <v/>
      </c>
      <c r="Q2687" s="82" t="str">
        <f aca="false">IF(C2687="","",B2687&amp;"|"&amp;C2687)</f>
        <v/>
      </c>
    </row>
    <row r="2688" customFormat="false" ht="15" hidden="false" customHeight="false" outlineLevel="0" collapsed="false">
      <c r="A2688" s="82" t="str">
        <f aca="false">IF(C2688="","",ROW()-6)</f>
        <v/>
      </c>
      <c r="B2688" s="80"/>
      <c r="C2688" s="113"/>
      <c r="D2688" s="82" t="str">
        <f aca="false">IF(OR(C2688="",P2688=""),"",INDEX('CARNET DE SOUDURE'!$D$7:$D$3006,P2688)&amp;"")</f>
        <v/>
      </c>
      <c r="E2688" s="114" t="str">
        <f aca="false">IF(OR(C2688="",P2688=""),"",IF(INDEX('CARNET DE SOUDURE'!$U$7:$U$3006,P2688)="","",INDEX('CARNET DE SOUDURE'!$U$7:$U$3006,P2688)))</f>
        <v/>
      </c>
      <c r="F2688" s="82" t="str">
        <f aca="false">IF(OR(C2688="",P2688=""),"",INDEX('CARNET DE SOUDURE'!$AP$7:$AP$3006,P2688))</f>
        <v/>
      </c>
      <c r="G2688" s="82" t="str">
        <f aca="false">IF(C2688="","",IF(P2688="","NJ INCONNU",INDEX('CARNET DE SOUDURE'!$AQ$7:$AQ$3006,P2688)))</f>
        <v/>
      </c>
      <c r="H2688" s="82" t="str">
        <f aca="false">IF(C2688="","",IF(G2688="ACCEPTÉ","OUI","NON"))</f>
        <v/>
      </c>
      <c r="I2688" s="83"/>
      <c r="J2688" s="80"/>
      <c r="K2688" s="81"/>
      <c r="L2688" s="81"/>
      <c r="M2688" s="81"/>
      <c r="N2688" s="84" t="str">
        <f aca="false">IF(C2688="","",IF(P2688="","NJ INCONNU",IF(I2688="",IF(H2688="OUI","À ENROBER",IF(G2688="À SOUDER","NON SOUDÉ","EN ATTENTE RT")),IF(L2688="R","À REPRENDRE",IF(H2688&lt;&gt;"OUI","⚠ ENROBÉ AVANT ACCEPTATION RT","ENROBÉ")))))</f>
        <v/>
      </c>
      <c r="O2688" s="80"/>
      <c r="P2688" s="82" t="str">
        <f aca="false">IF(C2688="","",IFERROR(MATCH(Q2688,'CARNET DE SOUDURE'!$AW$7:$AW$3006,0),""))</f>
        <v/>
      </c>
      <c r="Q2688" s="82" t="str">
        <f aca="false">IF(C2688="","",B2688&amp;"|"&amp;C2688)</f>
        <v/>
      </c>
    </row>
    <row r="2689" customFormat="false" ht="15" hidden="false" customHeight="false" outlineLevel="0" collapsed="false">
      <c r="A2689" s="82" t="str">
        <f aca="false">IF(C2689="","",ROW()-6)</f>
        <v/>
      </c>
      <c r="B2689" s="80"/>
      <c r="C2689" s="113"/>
      <c r="D2689" s="82" t="str">
        <f aca="false">IF(OR(C2689="",P2689=""),"",INDEX('CARNET DE SOUDURE'!$D$7:$D$3006,P2689)&amp;"")</f>
        <v/>
      </c>
      <c r="E2689" s="114" t="str">
        <f aca="false">IF(OR(C2689="",P2689=""),"",IF(INDEX('CARNET DE SOUDURE'!$U$7:$U$3006,P2689)="","",INDEX('CARNET DE SOUDURE'!$U$7:$U$3006,P2689)))</f>
        <v/>
      </c>
      <c r="F2689" s="82" t="str">
        <f aca="false">IF(OR(C2689="",P2689=""),"",INDEX('CARNET DE SOUDURE'!$AP$7:$AP$3006,P2689))</f>
        <v/>
      </c>
      <c r="G2689" s="82" t="str">
        <f aca="false">IF(C2689="","",IF(P2689="","NJ INCONNU",INDEX('CARNET DE SOUDURE'!$AQ$7:$AQ$3006,P2689)))</f>
        <v/>
      </c>
      <c r="H2689" s="82" t="str">
        <f aca="false">IF(C2689="","",IF(G2689="ACCEPTÉ","OUI","NON"))</f>
        <v/>
      </c>
      <c r="I2689" s="83"/>
      <c r="J2689" s="80"/>
      <c r="K2689" s="81"/>
      <c r="L2689" s="81"/>
      <c r="M2689" s="81"/>
      <c r="N2689" s="84" t="str">
        <f aca="false">IF(C2689="","",IF(P2689="","NJ INCONNU",IF(I2689="",IF(H2689="OUI","À ENROBER",IF(G2689="À SOUDER","NON SOUDÉ","EN ATTENTE RT")),IF(L2689="R","À REPRENDRE",IF(H2689&lt;&gt;"OUI","⚠ ENROBÉ AVANT ACCEPTATION RT","ENROBÉ")))))</f>
        <v/>
      </c>
      <c r="O2689" s="80"/>
      <c r="P2689" s="82" t="str">
        <f aca="false">IF(C2689="","",IFERROR(MATCH(Q2689,'CARNET DE SOUDURE'!$AW$7:$AW$3006,0),""))</f>
        <v/>
      </c>
      <c r="Q2689" s="82" t="str">
        <f aca="false">IF(C2689="","",B2689&amp;"|"&amp;C2689)</f>
        <v/>
      </c>
    </row>
    <row r="2690" customFormat="false" ht="15" hidden="false" customHeight="false" outlineLevel="0" collapsed="false">
      <c r="A2690" s="82" t="str">
        <f aca="false">IF(C2690="","",ROW()-6)</f>
        <v/>
      </c>
      <c r="B2690" s="80"/>
      <c r="C2690" s="113"/>
      <c r="D2690" s="82" t="str">
        <f aca="false">IF(OR(C2690="",P2690=""),"",INDEX('CARNET DE SOUDURE'!$D$7:$D$3006,P2690)&amp;"")</f>
        <v/>
      </c>
      <c r="E2690" s="114" t="str">
        <f aca="false">IF(OR(C2690="",P2690=""),"",IF(INDEX('CARNET DE SOUDURE'!$U$7:$U$3006,P2690)="","",INDEX('CARNET DE SOUDURE'!$U$7:$U$3006,P2690)))</f>
        <v/>
      </c>
      <c r="F2690" s="82" t="str">
        <f aca="false">IF(OR(C2690="",P2690=""),"",INDEX('CARNET DE SOUDURE'!$AP$7:$AP$3006,P2690))</f>
        <v/>
      </c>
      <c r="G2690" s="82" t="str">
        <f aca="false">IF(C2690="","",IF(P2690="","NJ INCONNU",INDEX('CARNET DE SOUDURE'!$AQ$7:$AQ$3006,P2690)))</f>
        <v/>
      </c>
      <c r="H2690" s="82" t="str">
        <f aca="false">IF(C2690="","",IF(G2690="ACCEPTÉ","OUI","NON"))</f>
        <v/>
      </c>
      <c r="I2690" s="83"/>
      <c r="J2690" s="80"/>
      <c r="K2690" s="81"/>
      <c r="L2690" s="81"/>
      <c r="M2690" s="81"/>
      <c r="N2690" s="84" t="str">
        <f aca="false">IF(C2690="","",IF(P2690="","NJ INCONNU",IF(I2690="",IF(H2690="OUI","À ENROBER",IF(G2690="À SOUDER","NON SOUDÉ","EN ATTENTE RT")),IF(L2690="R","À REPRENDRE",IF(H2690&lt;&gt;"OUI","⚠ ENROBÉ AVANT ACCEPTATION RT","ENROBÉ")))))</f>
        <v/>
      </c>
      <c r="O2690" s="80"/>
      <c r="P2690" s="82" t="str">
        <f aca="false">IF(C2690="","",IFERROR(MATCH(Q2690,'CARNET DE SOUDURE'!$AW$7:$AW$3006,0),""))</f>
        <v/>
      </c>
      <c r="Q2690" s="82" t="str">
        <f aca="false">IF(C2690="","",B2690&amp;"|"&amp;C2690)</f>
        <v/>
      </c>
    </row>
    <row r="2691" customFormat="false" ht="15" hidden="false" customHeight="false" outlineLevel="0" collapsed="false">
      <c r="A2691" s="82" t="str">
        <f aca="false">IF(C2691="","",ROW()-6)</f>
        <v/>
      </c>
      <c r="B2691" s="80"/>
      <c r="C2691" s="113"/>
      <c r="D2691" s="82" t="str">
        <f aca="false">IF(OR(C2691="",P2691=""),"",INDEX('CARNET DE SOUDURE'!$D$7:$D$3006,P2691)&amp;"")</f>
        <v/>
      </c>
      <c r="E2691" s="114" t="str">
        <f aca="false">IF(OR(C2691="",P2691=""),"",IF(INDEX('CARNET DE SOUDURE'!$U$7:$U$3006,P2691)="","",INDEX('CARNET DE SOUDURE'!$U$7:$U$3006,P2691)))</f>
        <v/>
      </c>
      <c r="F2691" s="82" t="str">
        <f aca="false">IF(OR(C2691="",P2691=""),"",INDEX('CARNET DE SOUDURE'!$AP$7:$AP$3006,P2691))</f>
        <v/>
      </c>
      <c r="G2691" s="82" t="str">
        <f aca="false">IF(C2691="","",IF(P2691="","NJ INCONNU",INDEX('CARNET DE SOUDURE'!$AQ$7:$AQ$3006,P2691)))</f>
        <v/>
      </c>
      <c r="H2691" s="82" t="str">
        <f aca="false">IF(C2691="","",IF(G2691="ACCEPTÉ","OUI","NON"))</f>
        <v/>
      </c>
      <c r="I2691" s="83"/>
      <c r="J2691" s="80"/>
      <c r="K2691" s="81"/>
      <c r="L2691" s="81"/>
      <c r="M2691" s="81"/>
      <c r="N2691" s="84" t="str">
        <f aca="false">IF(C2691="","",IF(P2691="","NJ INCONNU",IF(I2691="",IF(H2691="OUI","À ENROBER",IF(G2691="À SOUDER","NON SOUDÉ","EN ATTENTE RT")),IF(L2691="R","À REPRENDRE",IF(H2691&lt;&gt;"OUI","⚠ ENROBÉ AVANT ACCEPTATION RT","ENROBÉ")))))</f>
        <v/>
      </c>
      <c r="O2691" s="80"/>
      <c r="P2691" s="82" t="str">
        <f aca="false">IF(C2691="","",IFERROR(MATCH(Q2691,'CARNET DE SOUDURE'!$AW$7:$AW$3006,0),""))</f>
        <v/>
      </c>
      <c r="Q2691" s="82" t="str">
        <f aca="false">IF(C2691="","",B2691&amp;"|"&amp;C2691)</f>
        <v/>
      </c>
    </row>
    <row r="2692" customFormat="false" ht="15" hidden="false" customHeight="false" outlineLevel="0" collapsed="false">
      <c r="A2692" s="82" t="str">
        <f aca="false">IF(C2692="","",ROW()-6)</f>
        <v/>
      </c>
      <c r="B2692" s="80"/>
      <c r="C2692" s="113"/>
      <c r="D2692" s="82" t="str">
        <f aca="false">IF(OR(C2692="",P2692=""),"",INDEX('CARNET DE SOUDURE'!$D$7:$D$3006,P2692)&amp;"")</f>
        <v/>
      </c>
      <c r="E2692" s="114" t="str">
        <f aca="false">IF(OR(C2692="",P2692=""),"",IF(INDEX('CARNET DE SOUDURE'!$U$7:$U$3006,P2692)="","",INDEX('CARNET DE SOUDURE'!$U$7:$U$3006,P2692)))</f>
        <v/>
      </c>
      <c r="F2692" s="82" t="str">
        <f aca="false">IF(OR(C2692="",P2692=""),"",INDEX('CARNET DE SOUDURE'!$AP$7:$AP$3006,P2692))</f>
        <v/>
      </c>
      <c r="G2692" s="82" t="str">
        <f aca="false">IF(C2692="","",IF(P2692="","NJ INCONNU",INDEX('CARNET DE SOUDURE'!$AQ$7:$AQ$3006,P2692)))</f>
        <v/>
      </c>
      <c r="H2692" s="82" t="str">
        <f aca="false">IF(C2692="","",IF(G2692="ACCEPTÉ","OUI","NON"))</f>
        <v/>
      </c>
      <c r="I2692" s="83"/>
      <c r="J2692" s="80"/>
      <c r="K2692" s="81"/>
      <c r="L2692" s="81"/>
      <c r="M2692" s="81"/>
      <c r="N2692" s="84" t="str">
        <f aca="false">IF(C2692="","",IF(P2692="","NJ INCONNU",IF(I2692="",IF(H2692="OUI","À ENROBER",IF(G2692="À SOUDER","NON SOUDÉ","EN ATTENTE RT")),IF(L2692="R","À REPRENDRE",IF(H2692&lt;&gt;"OUI","⚠ ENROBÉ AVANT ACCEPTATION RT","ENROBÉ")))))</f>
        <v/>
      </c>
      <c r="O2692" s="80"/>
      <c r="P2692" s="82" t="str">
        <f aca="false">IF(C2692="","",IFERROR(MATCH(Q2692,'CARNET DE SOUDURE'!$AW$7:$AW$3006,0),""))</f>
        <v/>
      </c>
      <c r="Q2692" s="82" t="str">
        <f aca="false">IF(C2692="","",B2692&amp;"|"&amp;C2692)</f>
        <v/>
      </c>
    </row>
    <row r="2693" customFormat="false" ht="15" hidden="false" customHeight="false" outlineLevel="0" collapsed="false">
      <c r="A2693" s="82" t="str">
        <f aca="false">IF(C2693="","",ROW()-6)</f>
        <v/>
      </c>
      <c r="B2693" s="80"/>
      <c r="C2693" s="113"/>
      <c r="D2693" s="82" t="str">
        <f aca="false">IF(OR(C2693="",P2693=""),"",INDEX('CARNET DE SOUDURE'!$D$7:$D$3006,P2693)&amp;"")</f>
        <v/>
      </c>
      <c r="E2693" s="114" t="str">
        <f aca="false">IF(OR(C2693="",P2693=""),"",IF(INDEX('CARNET DE SOUDURE'!$U$7:$U$3006,P2693)="","",INDEX('CARNET DE SOUDURE'!$U$7:$U$3006,P2693)))</f>
        <v/>
      </c>
      <c r="F2693" s="82" t="str">
        <f aca="false">IF(OR(C2693="",P2693=""),"",INDEX('CARNET DE SOUDURE'!$AP$7:$AP$3006,P2693))</f>
        <v/>
      </c>
      <c r="G2693" s="82" t="str">
        <f aca="false">IF(C2693="","",IF(P2693="","NJ INCONNU",INDEX('CARNET DE SOUDURE'!$AQ$7:$AQ$3006,P2693)))</f>
        <v/>
      </c>
      <c r="H2693" s="82" t="str">
        <f aca="false">IF(C2693="","",IF(G2693="ACCEPTÉ","OUI","NON"))</f>
        <v/>
      </c>
      <c r="I2693" s="83"/>
      <c r="J2693" s="80"/>
      <c r="K2693" s="81"/>
      <c r="L2693" s="81"/>
      <c r="M2693" s="81"/>
      <c r="N2693" s="84" t="str">
        <f aca="false">IF(C2693="","",IF(P2693="","NJ INCONNU",IF(I2693="",IF(H2693="OUI","À ENROBER",IF(G2693="À SOUDER","NON SOUDÉ","EN ATTENTE RT")),IF(L2693="R","À REPRENDRE",IF(H2693&lt;&gt;"OUI","⚠ ENROBÉ AVANT ACCEPTATION RT","ENROBÉ")))))</f>
        <v/>
      </c>
      <c r="O2693" s="80"/>
      <c r="P2693" s="82" t="str">
        <f aca="false">IF(C2693="","",IFERROR(MATCH(Q2693,'CARNET DE SOUDURE'!$AW$7:$AW$3006,0),""))</f>
        <v/>
      </c>
      <c r="Q2693" s="82" t="str">
        <f aca="false">IF(C2693="","",B2693&amp;"|"&amp;C2693)</f>
        <v/>
      </c>
    </row>
    <row r="2694" customFormat="false" ht="15" hidden="false" customHeight="false" outlineLevel="0" collapsed="false">
      <c r="A2694" s="82" t="str">
        <f aca="false">IF(C2694="","",ROW()-6)</f>
        <v/>
      </c>
      <c r="B2694" s="80"/>
      <c r="C2694" s="113"/>
      <c r="D2694" s="82" t="str">
        <f aca="false">IF(OR(C2694="",P2694=""),"",INDEX('CARNET DE SOUDURE'!$D$7:$D$3006,P2694)&amp;"")</f>
        <v/>
      </c>
      <c r="E2694" s="114" t="str">
        <f aca="false">IF(OR(C2694="",P2694=""),"",IF(INDEX('CARNET DE SOUDURE'!$U$7:$U$3006,P2694)="","",INDEX('CARNET DE SOUDURE'!$U$7:$U$3006,P2694)))</f>
        <v/>
      </c>
      <c r="F2694" s="82" t="str">
        <f aca="false">IF(OR(C2694="",P2694=""),"",INDEX('CARNET DE SOUDURE'!$AP$7:$AP$3006,P2694))</f>
        <v/>
      </c>
      <c r="G2694" s="82" t="str">
        <f aca="false">IF(C2694="","",IF(P2694="","NJ INCONNU",INDEX('CARNET DE SOUDURE'!$AQ$7:$AQ$3006,P2694)))</f>
        <v/>
      </c>
      <c r="H2694" s="82" t="str">
        <f aca="false">IF(C2694="","",IF(G2694="ACCEPTÉ","OUI","NON"))</f>
        <v/>
      </c>
      <c r="I2694" s="83"/>
      <c r="J2694" s="80"/>
      <c r="K2694" s="81"/>
      <c r="L2694" s="81"/>
      <c r="M2694" s="81"/>
      <c r="N2694" s="84" t="str">
        <f aca="false">IF(C2694="","",IF(P2694="","NJ INCONNU",IF(I2694="",IF(H2694="OUI","À ENROBER",IF(G2694="À SOUDER","NON SOUDÉ","EN ATTENTE RT")),IF(L2694="R","À REPRENDRE",IF(H2694&lt;&gt;"OUI","⚠ ENROBÉ AVANT ACCEPTATION RT","ENROBÉ")))))</f>
        <v/>
      </c>
      <c r="O2694" s="80"/>
      <c r="P2694" s="82" t="str">
        <f aca="false">IF(C2694="","",IFERROR(MATCH(Q2694,'CARNET DE SOUDURE'!$AW$7:$AW$3006,0),""))</f>
        <v/>
      </c>
      <c r="Q2694" s="82" t="str">
        <f aca="false">IF(C2694="","",B2694&amp;"|"&amp;C2694)</f>
        <v/>
      </c>
    </row>
    <row r="2695" customFormat="false" ht="15" hidden="false" customHeight="false" outlineLevel="0" collapsed="false">
      <c r="A2695" s="82" t="str">
        <f aca="false">IF(C2695="","",ROW()-6)</f>
        <v/>
      </c>
      <c r="B2695" s="80"/>
      <c r="C2695" s="113"/>
      <c r="D2695" s="82" t="str">
        <f aca="false">IF(OR(C2695="",P2695=""),"",INDEX('CARNET DE SOUDURE'!$D$7:$D$3006,P2695)&amp;"")</f>
        <v/>
      </c>
      <c r="E2695" s="114" t="str">
        <f aca="false">IF(OR(C2695="",P2695=""),"",IF(INDEX('CARNET DE SOUDURE'!$U$7:$U$3006,P2695)="","",INDEX('CARNET DE SOUDURE'!$U$7:$U$3006,P2695)))</f>
        <v/>
      </c>
      <c r="F2695" s="82" t="str">
        <f aca="false">IF(OR(C2695="",P2695=""),"",INDEX('CARNET DE SOUDURE'!$AP$7:$AP$3006,P2695))</f>
        <v/>
      </c>
      <c r="G2695" s="82" t="str">
        <f aca="false">IF(C2695="","",IF(P2695="","NJ INCONNU",INDEX('CARNET DE SOUDURE'!$AQ$7:$AQ$3006,P2695)))</f>
        <v/>
      </c>
      <c r="H2695" s="82" t="str">
        <f aca="false">IF(C2695="","",IF(G2695="ACCEPTÉ","OUI","NON"))</f>
        <v/>
      </c>
      <c r="I2695" s="83"/>
      <c r="J2695" s="80"/>
      <c r="K2695" s="81"/>
      <c r="L2695" s="81"/>
      <c r="M2695" s="81"/>
      <c r="N2695" s="84" t="str">
        <f aca="false">IF(C2695="","",IF(P2695="","NJ INCONNU",IF(I2695="",IF(H2695="OUI","À ENROBER",IF(G2695="À SOUDER","NON SOUDÉ","EN ATTENTE RT")),IF(L2695="R","À REPRENDRE",IF(H2695&lt;&gt;"OUI","⚠ ENROBÉ AVANT ACCEPTATION RT","ENROBÉ")))))</f>
        <v/>
      </c>
      <c r="O2695" s="80"/>
      <c r="P2695" s="82" t="str">
        <f aca="false">IF(C2695="","",IFERROR(MATCH(Q2695,'CARNET DE SOUDURE'!$AW$7:$AW$3006,0),""))</f>
        <v/>
      </c>
      <c r="Q2695" s="82" t="str">
        <f aca="false">IF(C2695="","",B2695&amp;"|"&amp;C2695)</f>
        <v/>
      </c>
    </row>
    <row r="2696" customFormat="false" ht="15" hidden="false" customHeight="false" outlineLevel="0" collapsed="false">
      <c r="A2696" s="82" t="str">
        <f aca="false">IF(C2696="","",ROW()-6)</f>
        <v/>
      </c>
      <c r="B2696" s="80"/>
      <c r="C2696" s="113"/>
      <c r="D2696" s="82" t="str">
        <f aca="false">IF(OR(C2696="",P2696=""),"",INDEX('CARNET DE SOUDURE'!$D$7:$D$3006,P2696)&amp;"")</f>
        <v/>
      </c>
      <c r="E2696" s="114" t="str">
        <f aca="false">IF(OR(C2696="",P2696=""),"",IF(INDEX('CARNET DE SOUDURE'!$U$7:$U$3006,P2696)="","",INDEX('CARNET DE SOUDURE'!$U$7:$U$3006,P2696)))</f>
        <v/>
      </c>
      <c r="F2696" s="82" t="str">
        <f aca="false">IF(OR(C2696="",P2696=""),"",INDEX('CARNET DE SOUDURE'!$AP$7:$AP$3006,P2696))</f>
        <v/>
      </c>
      <c r="G2696" s="82" t="str">
        <f aca="false">IF(C2696="","",IF(P2696="","NJ INCONNU",INDEX('CARNET DE SOUDURE'!$AQ$7:$AQ$3006,P2696)))</f>
        <v/>
      </c>
      <c r="H2696" s="82" t="str">
        <f aca="false">IF(C2696="","",IF(G2696="ACCEPTÉ","OUI","NON"))</f>
        <v/>
      </c>
      <c r="I2696" s="83"/>
      <c r="J2696" s="80"/>
      <c r="K2696" s="81"/>
      <c r="L2696" s="81"/>
      <c r="M2696" s="81"/>
      <c r="N2696" s="84" t="str">
        <f aca="false">IF(C2696="","",IF(P2696="","NJ INCONNU",IF(I2696="",IF(H2696="OUI","À ENROBER",IF(G2696="À SOUDER","NON SOUDÉ","EN ATTENTE RT")),IF(L2696="R","À REPRENDRE",IF(H2696&lt;&gt;"OUI","⚠ ENROBÉ AVANT ACCEPTATION RT","ENROBÉ")))))</f>
        <v/>
      </c>
      <c r="O2696" s="80"/>
      <c r="P2696" s="82" t="str">
        <f aca="false">IF(C2696="","",IFERROR(MATCH(Q2696,'CARNET DE SOUDURE'!$AW$7:$AW$3006,0),""))</f>
        <v/>
      </c>
      <c r="Q2696" s="82" t="str">
        <f aca="false">IF(C2696="","",B2696&amp;"|"&amp;C2696)</f>
        <v/>
      </c>
    </row>
    <row r="2697" customFormat="false" ht="15" hidden="false" customHeight="false" outlineLevel="0" collapsed="false">
      <c r="A2697" s="82" t="str">
        <f aca="false">IF(C2697="","",ROW()-6)</f>
        <v/>
      </c>
      <c r="B2697" s="80"/>
      <c r="C2697" s="113"/>
      <c r="D2697" s="82" t="str">
        <f aca="false">IF(OR(C2697="",P2697=""),"",INDEX('CARNET DE SOUDURE'!$D$7:$D$3006,P2697)&amp;"")</f>
        <v/>
      </c>
      <c r="E2697" s="114" t="str">
        <f aca="false">IF(OR(C2697="",P2697=""),"",IF(INDEX('CARNET DE SOUDURE'!$U$7:$U$3006,P2697)="","",INDEX('CARNET DE SOUDURE'!$U$7:$U$3006,P2697)))</f>
        <v/>
      </c>
      <c r="F2697" s="82" t="str">
        <f aca="false">IF(OR(C2697="",P2697=""),"",INDEX('CARNET DE SOUDURE'!$AP$7:$AP$3006,P2697))</f>
        <v/>
      </c>
      <c r="G2697" s="82" t="str">
        <f aca="false">IF(C2697="","",IF(P2697="","NJ INCONNU",INDEX('CARNET DE SOUDURE'!$AQ$7:$AQ$3006,P2697)))</f>
        <v/>
      </c>
      <c r="H2697" s="82" t="str">
        <f aca="false">IF(C2697="","",IF(G2697="ACCEPTÉ","OUI","NON"))</f>
        <v/>
      </c>
      <c r="I2697" s="83"/>
      <c r="J2697" s="80"/>
      <c r="K2697" s="81"/>
      <c r="L2697" s="81"/>
      <c r="M2697" s="81"/>
      <c r="N2697" s="84" t="str">
        <f aca="false">IF(C2697="","",IF(P2697="","NJ INCONNU",IF(I2697="",IF(H2697="OUI","À ENROBER",IF(G2697="À SOUDER","NON SOUDÉ","EN ATTENTE RT")),IF(L2697="R","À REPRENDRE",IF(H2697&lt;&gt;"OUI","⚠ ENROBÉ AVANT ACCEPTATION RT","ENROBÉ")))))</f>
        <v/>
      </c>
      <c r="O2697" s="80"/>
      <c r="P2697" s="82" t="str">
        <f aca="false">IF(C2697="","",IFERROR(MATCH(Q2697,'CARNET DE SOUDURE'!$AW$7:$AW$3006,0),""))</f>
        <v/>
      </c>
      <c r="Q2697" s="82" t="str">
        <f aca="false">IF(C2697="","",B2697&amp;"|"&amp;C2697)</f>
        <v/>
      </c>
    </row>
    <row r="2698" customFormat="false" ht="15" hidden="false" customHeight="false" outlineLevel="0" collapsed="false">
      <c r="A2698" s="82" t="str">
        <f aca="false">IF(C2698="","",ROW()-6)</f>
        <v/>
      </c>
      <c r="B2698" s="80"/>
      <c r="C2698" s="113"/>
      <c r="D2698" s="82" t="str">
        <f aca="false">IF(OR(C2698="",P2698=""),"",INDEX('CARNET DE SOUDURE'!$D$7:$D$3006,P2698)&amp;"")</f>
        <v/>
      </c>
      <c r="E2698" s="114" t="str">
        <f aca="false">IF(OR(C2698="",P2698=""),"",IF(INDEX('CARNET DE SOUDURE'!$U$7:$U$3006,P2698)="","",INDEX('CARNET DE SOUDURE'!$U$7:$U$3006,P2698)))</f>
        <v/>
      </c>
      <c r="F2698" s="82" t="str">
        <f aca="false">IF(OR(C2698="",P2698=""),"",INDEX('CARNET DE SOUDURE'!$AP$7:$AP$3006,P2698))</f>
        <v/>
      </c>
      <c r="G2698" s="82" t="str">
        <f aca="false">IF(C2698="","",IF(P2698="","NJ INCONNU",INDEX('CARNET DE SOUDURE'!$AQ$7:$AQ$3006,P2698)))</f>
        <v/>
      </c>
      <c r="H2698" s="82" t="str">
        <f aca="false">IF(C2698="","",IF(G2698="ACCEPTÉ","OUI","NON"))</f>
        <v/>
      </c>
      <c r="I2698" s="83"/>
      <c r="J2698" s="80"/>
      <c r="K2698" s="81"/>
      <c r="L2698" s="81"/>
      <c r="M2698" s="81"/>
      <c r="N2698" s="84" t="str">
        <f aca="false">IF(C2698="","",IF(P2698="","NJ INCONNU",IF(I2698="",IF(H2698="OUI","À ENROBER",IF(G2698="À SOUDER","NON SOUDÉ","EN ATTENTE RT")),IF(L2698="R","À REPRENDRE",IF(H2698&lt;&gt;"OUI","⚠ ENROBÉ AVANT ACCEPTATION RT","ENROBÉ")))))</f>
        <v/>
      </c>
      <c r="O2698" s="80"/>
      <c r="P2698" s="82" t="str">
        <f aca="false">IF(C2698="","",IFERROR(MATCH(Q2698,'CARNET DE SOUDURE'!$AW$7:$AW$3006,0),""))</f>
        <v/>
      </c>
      <c r="Q2698" s="82" t="str">
        <f aca="false">IF(C2698="","",B2698&amp;"|"&amp;C2698)</f>
        <v/>
      </c>
    </row>
    <row r="2699" customFormat="false" ht="15" hidden="false" customHeight="false" outlineLevel="0" collapsed="false">
      <c r="A2699" s="82" t="str">
        <f aca="false">IF(C2699="","",ROW()-6)</f>
        <v/>
      </c>
      <c r="B2699" s="80"/>
      <c r="C2699" s="113"/>
      <c r="D2699" s="82" t="str">
        <f aca="false">IF(OR(C2699="",P2699=""),"",INDEX('CARNET DE SOUDURE'!$D$7:$D$3006,P2699)&amp;"")</f>
        <v/>
      </c>
      <c r="E2699" s="114" t="str">
        <f aca="false">IF(OR(C2699="",P2699=""),"",IF(INDEX('CARNET DE SOUDURE'!$U$7:$U$3006,P2699)="","",INDEX('CARNET DE SOUDURE'!$U$7:$U$3006,P2699)))</f>
        <v/>
      </c>
      <c r="F2699" s="82" t="str">
        <f aca="false">IF(OR(C2699="",P2699=""),"",INDEX('CARNET DE SOUDURE'!$AP$7:$AP$3006,P2699))</f>
        <v/>
      </c>
      <c r="G2699" s="82" t="str">
        <f aca="false">IF(C2699="","",IF(P2699="","NJ INCONNU",INDEX('CARNET DE SOUDURE'!$AQ$7:$AQ$3006,P2699)))</f>
        <v/>
      </c>
      <c r="H2699" s="82" t="str">
        <f aca="false">IF(C2699="","",IF(G2699="ACCEPTÉ","OUI","NON"))</f>
        <v/>
      </c>
      <c r="I2699" s="83"/>
      <c r="J2699" s="80"/>
      <c r="K2699" s="81"/>
      <c r="L2699" s="81"/>
      <c r="M2699" s="81"/>
      <c r="N2699" s="84" t="str">
        <f aca="false">IF(C2699="","",IF(P2699="","NJ INCONNU",IF(I2699="",IF(H2699="OUI","À ENROBER",IF(G2699="À SOUDER","NON SOUDÉ","EN ATTENTE RT")),IF(L2699="R","À REPRENDRE",IF(H2699&lt;&gt;"OUI","⚠ ENROBÉ AVANT ACCEPTATION RT","ENROBÉ")))))</f>
        <v/>
      </c>
      <c r="O2699" s="80"/>
      <c r="P2699" s="82" t="str">
        <f aca="false">IF(C2699="","",IFERROR(MATCH(Q2699,'CARNET DE SOUDURE'!$AW$7:$AW$3006,0),""))</f>
        <v/>
      </c>
      <c r="Q2699" s="82" t="str">
        <f aca="false">IF(C2699="","",B2699&amp;"|"&amp;C2699)</f>
        <v/>
      </c>
    </row>
    <row r="2700" customFormat="false" ht="15" hidden="false" customHeight="false" outlineLevel="0" collapsed="false">
      <c r="A2700" s="82" t="str">
        <f aca="false">IF(C2700="","",ROW()-6)</f>
        <v/>
      </c>
      <c r="B2700" s="80"/>
      <c r="C2700" s="113"/>
      <c r="D2700" s="82" t="str">
        <f aca="false">IF(OR(C2700="",P2700=""),"",INDEX('CARNET DE SOUDURE'!$D$7:$D$3006,P2700)&amp;"")</f>
        <v/>
      </c>
      <c r="E2700" s="114" t="str">
        <f aca="false">IF(OR(C2700="",P2700=""),"",IF(INDEX('CARNET DE SOUDURE'!$U$7:$U$3006,P2700)="","",INDEX('CARNET DE SOUDURE'!$U$7:$U$3006,P2700)))</f>
        <v/>
      </c>
      <c r="F2700" s="82" t="str">
        <f aca="false">IF(OR(C2700="",P2700=""),"",INDEX('CARNET DE SOUDURE'!$AP$7:$AP$3006,P2700))</f>
        <v/>
      </c>
      <c r="G2700" s="82" t="str">
        <f aca="false">IF(C2700="","",IF(P2700="","NJ INCONNU",INDEX('CARNET DE SOUDURE'!$AQ$7:$AQ$3006,P2700)))</f>
        <v/>
      </c>
      <c r="H2700" s="82" t="str">
        <f aca="false">IF(C2700="","",IF(G2700="ACCEPTÉ","OUI","NON"))</f>
        <v/>
      </c>
      <c r="I2700" s="83"/>
      <c r="J2700" s="80"/>
      <c r="K2700" s="81"/>
      <c r="L2700" s="81"/>
      <c r="M2700" s="81"/>
      <c r="N2700" s="84" t="str">
        <f aca="false">IF(C2700="","",IF(P2700="","NJ INCONNU",IF(I2700="",IF(H2700="OUI","À ENROBER",IF(G2700="À SOUDER","NON SOUDÉ","EN ATTENTE RT")),IF(L2700="R","À REPRENDRE",IF(H2700&lt;&gt;"OUI","⚠ ENROBÉ AVANT ACCEPTATION RT","ENROBÉ")))))</f>
        <v/>
      </c>
      <c r="O2700" s="80"/>
      <c r="P2700" s="82" t="str">
        <f aca="false">IF(C2700="","",IFERROR(MATCH(Q2700,'CARNET DE SOUDURE'!$AW$7:$AW$3006,0),""))</f>
        <v/>
      </c>
      <c r="Q2700" s="82" t="str">
        <f aca="false">IF(C2700="","",B2700&amp;"|"&amp;C2700)</f>
        <v/>
      </c>
    </row>
    <row r="2701" customFormat="false" ht="15" hidden="false" customHeight="false" outlineLevel="0" collapsed="false">
      <c r="A2701" s="82" t="str">
        <f aca="false">IF(C2701="","",ROW()-6)</f>
        <v/>
      </c>
      <c r="B2701" s="80"/>
      <c r="C2701" s="113"/>
      <c r="D2701" s="82" t="str">
        <f aca="false">IF(OR(C2701="",P2701=""),"",INDEX('CARNET DE SOUDURE'!$D$7:$D$3006,P2701)&amp;"")</f>
        <v/>
      </c>
      <c r="E2701" s="114" t="str">
        <f aca="false">IF(OR(C2701="",P2701=""),"",IF(INDEX('CARNET DE SOUDURE'!$U$7:$U$3006,P2701)="","",INDEX('CARNET DE SOUDURE'!$U$7:$U$3006,P2701)))</f>
        <v/>
      </c>
      <c r="F2701" s="82" t="str">
        <f aca="false">IF(OR(C2701="",P2701=""),"",INDEX('CARNET DE SOUDURE'!$AP$7:$AP$3006,P2701))</f>
        <v/>
      </c>
      <c r="G2701" s="82" t="str">
        <f aca="false">IF(C2701="","",IF(P2701="","NJ INCONNU",INDEX('CARNET DE SOUDURE'!$AQ$7:$AQ$3006,P2701)))</f>
        <v/>
      </c>
      <c r="H2701" s="82" t="str">
        <f aca="false">IF(C2701="","",IF(G2701="ACCEPTÉ","OUI","NON"))</f>
        <v/>
      </c>
      <c r="I2701" s="83"/>
      <c r="J2701" s="80"/>
      <c r="K2701" s="81"/>
      <c r="L2701" s="81"/>
      <c r="M2701" s="81"/>
      <c r="N2701" s="84" t="str">
        <f aca="false">IF(C2701="","",IF(P2701="","NJ INCONNU",IF(I2701="",IF(H2701="OUI","À ENROBER",IF(G2701="À SOUDER","NON SOUDÉ","EN ATTENTE RT")),IF(L2701="R","À REPRENDRE",IF(H2701&lt;&gt;"OUI","⚠ ENROBÉ AVANT ACCEPTATION RT","ENROBÉ")))))</f>
        <v/>
      </c>
      <c r="O2701" s="80"/>
      <c r="P2701" s="82" t="str">
        <f aca="false">IF(C2701="","",IFERROR(MATCH(Q2701,'CARNET DE SOUDURE'!$AW$7:$AW$3006,0),""))</f>
        <v/>
      </c>
      <c r="Q2701" s="82" t="str">
        <f aca="false">IF(C2701="","",B2701&amp;"|"&amp;C2701)</f>
        <v/>
      </c>
    </row>
    <row r="2702" customFormat="false" ht="15" hidden="false" customHeight="false" outlineLevel="0" collapsed="false">
      <c r="A2702" s="82" t="str">
        <f aca="false">IF(C2702="","",ROW()-6)</f>
        <v/>
      </c>
      <c r="B2702" s="80"/>
      <c r="C2702" s="113"/>
      <c r="D2702" s="82" t="str">
        <f aca="false">IF(OR(C2702="",P2702=""),"",INDEX('CARNET DE SOUDURE'!$D$7:$D$3006,P2702)&amp;"")</f>
        <v/>
      </c>
      <c r="E2702" s="114" t="str">
        <f aca="false">IF(OR(C2702="",P2702=""),"",IF(INDEX('CARNET DE SOUDURE'!$U$7:$U$3006,P2702)="","",INDEX('CARNET DE SOUDURE'!$U$7:$U$3006,P2702)))</f>
        <v/>
      </c>
      <c r="F2702" s="82" t="str">
        <f aca="false">IF(OR(C2702="",P2702=""),"",INDEX('CARNET DE SOUDURE'!$AP$7:$AP$3006,P2702))</f>
        <v/>
      </c>
      <c r="G2702" s="82" t="str">
        <f aca="false">IF(C2702="","",IF(P2702="","NJ INCONNU",INDEX('CARNET DE SOUDURE'!$AQ$7:$AQ$3006,P2702)))</f>
        <v/>
      </c>
      <c r="H2702" s="82" t="str">
        <f aca="false">IF(C2702="","",IF(G2702="ACCEPTÉ","OUI","NON"))</f>
        <v/>
      </c>
      <c r="I2702" s="83"/>
      <c r="J2702" s="80"/>
      <c r="K2702" s="81"/>
      <c r="L2702" s="81"/>
      <c r="M2702" s="81"/>
      <c r="N2702" s="84" t="str">
        <f aca="false">IF(C2702="","",IF(P2702="","NJ INCONNU",IF(I2702="",IF(H2702="OUI","À ENROBER",IF(G2702="À SOUDER","NON SOUDÉ","EN ATTENTE RT")),IF(L2702="R","À REPRENDRE",IF(H2702&lt;&gt;"OUI","⚠ ENROBÉ AVANT ACCEPTATION RT","ENROBÉ")))))</f>
        <v/>
      </c>
      <c r="O2702" s="80"/>
      <c r="P2702" s="82" t="str">
        <f aca="false">IF(C2702="","",IFERROR(MATCH(Q2702,'CARNET DE SOUDURE'!$AW$7:$AW$3006,0),""))</f>
        <v/>
      </c>
      <c r="Q2702" s="82" t="str">
        <f aca="false">IF(C2702="","",B2702&amp;"|"&amp;C2702)</f>
        <v/>
      </c>
    </row>
    <row r="2703" customFormat="false" ht="15" hidden="false" customHeight="false" outlineLevel="0" collapsed="false">
      <c r="A2703" s="82" t="str">
        <f aca="false">IF(C2703="","",ROW()-6)</f>
        <v/>
      </c>
      <c r="B2703" s="80"/>
      <c r="C2703" s="113"/>
      <c r="D2703" s="82" t="str">
        <f aca="false">IF(OR(C2703="",P2703=""),"",INDEX('CARNET DE SOUDURE'!$D$7:$D$3006,P2703)&amp;"")</f>
        <v/>
      </c>
      <c r="E2703" s="114" t="str">
        <f aca="false">IF(OR(C2703="",P2703=""),"",IF(INDEX('CARNET DE SOUDURE'!$U$7:$U$3006,P2703)="","",INDEX('CARNET DE SOUDURE'!$U$7:$U$3006,P2703)))</f>
        <v/>
      </c>
      <c r="F2703" s="82" t="str">
        <f aca="false">IF(OR(C2703="",P2703=""),"",INDEX('CARNET DE SOUDURE'!$AP$7:$AP$3006,P2703))</f>
        <v/>
      </c>
      <c r="G2703" s="82" t="str">
        <f aca="false">IF(C2703="","",IF(P2703="","NJ INCONNU",INDEX('CARNET DE SOUDURE'!$AQ$7:$AQ$3006,P2703)))</f>
        <v/>
      </c>
      <c r="H2703" s="82" t="str">
        <f aca="false">IF(C2703="","",IF(G2703="ACCEPTÉ","OUI","NON"))</f>
        <v/>
      </c>
      <c r="I2703" s="83"/>
      <c r="J2703" s="80"/>
      <c r="K2703" s="81"/>
      <c r="L2703" s="81"/>
      <c r="M2703" s="81"/>
      <c r="N2703" s="84" t="str">
        <f aca="false">IF(C2703="","",IF(P2703="","NJ INCONNU",IF(I2703="",IF(H2703="OUI","À ENROBER",IF(G2703="À SOUDER","NON SOUDÉ","EN ATTENTE RT")),IF(L2703="R","À REPRENDRE",IF(H2703&lt;&gt;"OUI","⚠ ENROBÉ AVANT ACCEPTATION RT","ENROBÉ")))))</f>
        <v/>
      </c>
      <c r="O2703" s="80"/>
      <c r="P2703" s="82" t="str">
        <f aca="false">IF(C2703="","",IFERROR(MATCH(Q2703,'CARNET DE SOUDURE'!$AW$7:$AW$3006,0),""))</f>
        <v/>
      </c>
      <c r="Q2703" s="82" t="str">
        <f aca="false">IF(C2703="","",B2703&amp;"|"&amp;C2703)</f>
        <v/>
      </c>
    </row>
    <row r="2704" customFormat="false" ht="15" hidden="false" customHeight="false" outlineLevel="0" collapsed="false">
      <c r="A2704" s="82" t="str">
        <f aca="false">IF(C2704="","",ROW()-6)</f>
        <v/>
      </c>
      <c r="B2704" s="80"/>
      <c r="C2704" s="113"/>
      <c r="D2704" s="82" t="str">
        <f aca="false">IF(OR(C2704="",P2704=""),"",INDEX('CARNET DE SOUDURE'!$D$7:$D$3006,P2704)&amp;"")</f>
        <v/>
      </c>
      <c r="E2704" s="114" t="str">
        <f aca="false">IF(OR(C2704="",P2704=""),"",IF(INDEX('CARNET DE SOUDURE'!$U$7:$U$3006,P2704)="","",INDEX('CARNET DE SOUDURE'!$U$7:$U$3006,P2704)))</f>
        <v/>
      </c>
      <c r="F2704" s="82" t="str">
        <f aca="false">IF(OR(C2704="",P2704=""),"",INDEX('CARNET DE SOUDURE'!$AP$7:$AP$3006,P2704))</f>
        <v/>
      </c>
      <c r="G2704" s="82" t="str">
        <f aca="false">IF(C2704="","",IF(P2704="","NJ INCONNU",INDEX('CARNET DE SOUDURE'!$AQ$7:$AQ$3006,P2704)))</f>
        <v/>
      </c>
      <c r="H2704" s="82" t="str">
        <f aca="false">IF(C2704="","",IF(G2704="ACCEPTÉ","OUI","NON"))</f>
        <v/>
      </c>
      <c r="I2704" s="83"/>
      <c r="J2704" s="80"/>
      <c r="K2704" s="81"/>
      <c r="L2704" s="81"/>
      <c r="M2704" s="81"/>
      <c r="N2704" s="84" t="str">
        <f aca="false">IF(C2704="","",IF(P2704="","NJ INCONNU",IF(I2704="",IF(H2704="OUI","À ENROBER",IF(G2704="À SOUDER","NON SOUDÉ","EN ATTENTE RT")),IF(L2704="R","À REPRENDRE",IF(H2704&lt;&gt;"OUI","⚠ ENROBÉ AVANT ACCEPTATION RT","ENROBÉ")))))</f>
        <v/>
      </c>
      <c r="O2704" s="80"/>
      <c r="P2704" s="82" t="str">
        <f aca="false">IF(C2704="","",IFERROR(MATCH(Q2704,'CARNET DE SOUDURE'!$AW$7:$AW$3006,0),""))</f>
        <v/>
      </c>
      <c r="Q2704" s="82" t="str">
        <f aca="false">IF(C2704="","",B2704&amp;"|"&amp;C2704)</f>
        <v/>
      </c>
    </row>
    <row r="2705" customFormat="false" ht="15" hidden="false" customHeight="false" outlineLevel="0" collapsed="false">
      <c r="A2705" s="82" t="str">
        <f aca="false">IF(C2705="","",ROW()-6)</f>
        <v/>
      </c>
      <c r="B2705" s="80"/>
      <c r="C2705" s="113"/>
      <c r="D2705" s="82" t="str">
        <f aca="false">IF(OR(C2705="",P2705=""),"",INDEX('CARNET DE SOUDURE'!$D$7:$D$3006,P2705)&amp;"")</f>
        <v/>
      </c>
      <c r="E2705" s="114" t="str">
        <f aca="false">IF(OR(C2705="",P2705=""),"",IF(INDEX('CARNET DE SOUDURE'!$U$7:$U$3006,P2705)="","",INDEX('CARNET DE SOUDURE'!$U$7:$U$3006,P2705)))</f>
        <v/>
      </c>
      <c r="F2705" s="82" t="str">
        <f aca="false">IF(OR(C2705="",P2705=""),"",INDEX('CARNET DE SOUDURE'!$AP$7:$AP$3006,P2705))</f>
        <v/>
      </c>
      <c r="G2705" s="82" t="str">
        <f aca="false">IF(C2705="","",IF(P2705="","NJ INCONNU",INDEX('CARNET DE SOUDURE'!$AQ$7:$AQ$3006,P2705)))</f>
        <v/>
      </c>
      <c r="H2705" s="82" t="str">
        <f aca="false">IF(C2705="","",IF(G2705="ACCEPTÉ","OUI","NON"))</f>
        <v/>
      </c>
      <c r="I2705" s="83"/>
      <c r="J2705" s="80"/>
      <c r="K2705" s="81"/>
      <c r="L2705" s="81"/>
      <c r="M2705" s="81"/>
      <c r="N2705" s="84" t="str">
        <f aca="false">IF(C2705="","",IF(P2705="","NJ INCONNU",IF(I2705="",IF(H2705="OUI","À ENROBER",IF(G2705="À SOUDER","NON SOUDÉ","EN ATTENTE RT")),IF(L2705="R","À REPRENDRE",IF(H2705&lt;&gt;"OUI","⚠ ENROBÉ AVANT ACCEPTATION RT","ENROBÉ")))))</f>
        <v/>
      </c>
      <c r="O2705" s="80"/>
      <c r="P2705" s="82" t="str">
        <f aca="false">IF(C2705="","",IFERROR(MATCH(Q2705,'CARNET DE SOUDURE'!$AW$7:$AW$3006,0),""))</f>
        <v/>
      </c>
      <c r="Q2705" s="82" t="str">
        <f aca="false">IF(C2705="","",B2705&amp;"|"&amp;C2705)</f>
        <v/>
      </c>
    </row>
    <row r="2706" customFormat="false" ht="15" hidden="false" customHeight="false" outlineLevel="0" collapsed="false">
      <c r="A2706" s="82" t="str">
        <f aca="false">IF(C2706="","",ROW()-6)</f>
        <v/>
      </c>
      <c r="B2706" s="80"/>
      <c r="C2706" s="113"/>
      <c r="D2706" s="82" t="str">
        <f aca="false">IF(OR(C2706="",P2706=""),"",INDEX('CARNET DE SOUDURE'!$D$7:$D$3006,P2706)&amp;"")</f>
        <v/>
      </c>
      <c r="E2706" s="114" t="str">
        <f aca="false">IF(OR(C2706="",P2706=""),"",IF(INDEX('CARNET DE SOUDURE'!$U$7:$U$3006,P2706)="","",INDEX('CARNET DE SOUDURE'!$U$7:$U$3006,P2706)))</f>
        <v/>
      </c>
      <c r="F2706" s="82" t="str">
        <f aca="false">IF(OR(C2706="",P2706=""),"",INDEX('CARNET DE SOUDURE'!$AP$7:$AP$3006,P2706))</f>
        <v/>
      </c>
      <c r="G2706" s="82" t="str">
        <f aca="false">IF(C2706="","",IF(P2706="","NJ INCONNU",INDEX('CARNET DE SOUDURE'!$AQ$7:$AQ$3006,P2706)))</f>
        <v/>
      </c>
      <c r="H2706" s="82" t="str">
        <f aca="false">IF(C2706="","",IF(G2706="ACCEPTÉ","OUI","NON"))</f>
        <v/>
      </c>
      <c r="I2706" s="83"/>
      <c r="J2706" s="80"/>
      <c r="K2706" s="81"/>
      <c r="L2706" s="81"/>
      <c r="M2706" s="81"/>
      <c r="N2706" s="84" t="str">
        <f aca="false">IF(C2706="","",IF(P2706="","NJ INCONNU",IF(I2706="",IF(H2706="OUI","À ENROBER",IF(G2706="À SOUDER","NON SOUDÉ","EN ATTENTE RT")),IF(L2706="R","À REPRENDRE",IF(H2706&lt;&gt;"OUI","⚠ ENROBÉ AVANT ACCEPTATION RT","ENROBÉ")))))</f>
        <v/>
      </c>
      <c r="O2706" s="80"/>
      <c r="P2706" s="82" t="str">
        <f aca="false">IF(C2706="","",IFERROR(MATCH(Q2706,'CARNET DE SOUDURE'!$AW$7:$AW$3006,0),""))</f>
        <v/>
      </c>
      <c r="Q2706" s="82" t="str">
        <f aca="false">IF(C2706="","",B2706&amp;"|"&amp;C2706)</f>
        <v/>
      </c>
    </row>
    <row r="2707" customFormat="false" ht="15" hidden="false" customHeight="false" outlineLevel="0" collapsed="false">
      <c r="A2707" s="82" t="str">
        <f aca="false">IF(C2707="","",ROW()-6)</f>
        <v/>
      </c>
      <c r="B2707" s="80"/>
      <c r="C2707" s="113"/>
      <c r="D2707" s="82" t="str">
        <f aca="false">IF(OR(C2707="",P2707=""),"",INDEX('CARNET DE SOUDURE'!$D$7:$D$3006,P2707)&amp;"")</f>
        <v/>
      </c>
      <c r="E2707" s="114" t="str">
        <f aca="false">IF(OR(C2707="",P2707=""),"",IF(INDEX('CARNET DE SOUDURE'!$U$7:$U$3006,P2707)="","",INDEX('CARNET DE SOUDURE'!$U$7:$U$3006,P2707)))</f>
        <v/>
      </c>
      <c r="F2707" s="82" t="str">
        <f aca="false">IF(OR(C2707="",P2707=""),"",INDEX('CARNET DE SOUDURE'!$AP$7:$AP$3006,P2707))</f>
        <v/>
      </c>
      <c r="G2707" s="82" t="str">
        <f aca="false">IF(C2707="","",IF(P2707="","NJ INCONNU",INDEX('CARNET DE SOUDURE'!$AQ$7:$AQ$3006,P2707)))</f>
        <v/>
      </c>
      <c r="H2707" s="82" t="str">
        <f aca="false">IF(C2707="","",IF(G2707="ACCEPTÉ","OUI","NON"))</f>
        <v/>
      </c>
      <c r="I2707" s="83"/>
      <c r="J2707" s="80"/>
      <c r="K2707" s="81"/>
      <c r="L2707" s="81"/>
      <c r="M2707" s="81"/>
      <c r="N2707" s="84" t="str">
        <f aca="false">IF(C2707="","",IF(P2707="","NJ INCONNU",IF(I2707="",IF(H2707="OUI","À ENROBER",IF(G2707="À SOUDER","NON SOUDÉ","EN ATTENTE RT")),IF(L2707="R","À REPRENDRE",IF(H2707&lt;&gt;"OUI","⚠ ENROBÉ AVANT ACCEPTATION RT","ENROBÉ")))))</f>
        <v/>
      </c>
      <c r="O2707" s="80"/>
      <c r="P2707" s="82" t="str">
        <f aca="false">IF(C2707="","",IFERROR(MATCH(Q2707,'CARNET DE SOUDURE'!$AW$7:$AW$3006,0),""))</f>
        <v/>
      </c>
      <c r="Q2707" s="82" t="str">
        <f aca="false">IF(C2707="","",B2707&amp;"|"&amp;C2707)</f>
        <v/>
      </c>
    </row>
    <row r="2708" customFormat="false" ht="15" hidden="false" customHeight="false" outlineLevel="0" collapsed="false">
      <c r="A2708" s="82" t="str">
        <f aca="false">IF(C2708="","",ROW()-6)</f>
        <v/>
      </c>
      <c r="B2708" s="80"/>
      <c r="C2708" s="113"/>
      <c r="D2708" s="82" t="str">
        <f aca="false">IF(OR(C2708="",P2708=""),"",INDEX('CARNET DE SOUDURE'!$D$7:$D$3006,P2708)&amp;"")</f>
        <v/>
      </c>
      <c r="E2708" s="114" t="str">
        <f aca="false">IF(OR(C2708="",P2708=""),"",IF(INDEX('CARNET DE SOUDURE'!$U$7:$U$3006,P2708)="","",INDEX('CARNET DE SOUDURE'!$U$7:$U$3006,P2708)))</f>
        <v/>
      </c>
      <c r="F2708" s="82" t="str">
        <f aca="false">IF(OR(C2708="",P2708=""),"",INDEX('CARNET DE SOUDURE'!$AP$7:$AP$3006,P2708))</f>
        <v/>
      </c>
      <c r="G2708" s="82" t="str">
        <f aca="false">IF(C2708="","",IF(P2708="","NJ INCONNU",INDEX('CARNET DE SOUDURE'!$AQ$7:$AQ$3006,P2708)))</f>
        <v/>
      </c>
      <c r="H2708" s="82" t="str">
        <f aca="false">IF(C2708="","",IF(G2708="ACCEPTÉ","OUI","NON"))</f>
        <v/>
      </c>
      <c r="I2708" s="83"/>
      <c r="J2708" s="80"/>
      <c r="K2708" s="81"/>
      <c r="L2708" s="81"/>
      <c r="M2708" s="81"/>
      <c r="N2708" s="84" t="str">
        <f aca="false">IF(C2708="","",IF(P2708="","NJ INCONNU",IF(I2708="",IF(H2708="OUI","À ENROBER",IF(G2708="À SOUDER","NON SOUDÉ","EN ATTENTE RT")),IF(L2708="R","À REPRENDRE",IF(H2708&lt;&gt;"OUI","⚠ ENROBÉ AVANT ACCEPTATION RT","ENROBÉ")))))</f>
        <v/>
      </c>
      <c r="O2708" s="80"/>
      <c r="P2708" s="82" t="str">
        <f aca="false">IF(C2708="","",IFERROR(MATCH(Q2708,'CARNET DE SOUDURE'!$AW$7:$AW$3006,0),""))</f>
        <v/>
      </c>
      <c r="Q2708" s="82" t="str">
        <f aca="false">IF(C2708="","",B2708&amp;"|"&amp;C2708)</f>
        <v/>
      </c>
    </row>
    <row r="2709" customFormat="false" ht="15" hidden="false" customHeight="false" outlineLevel="0" collapsed="false">
      <c r="A2709" s="82" t="str">
        <f aca="false">IF(C2709="","",ROW()-6)</f>
        <v/>
      </c>
      <c r="B2709" s="80"/>
      <c r="C2709" s="113"/>
      <c r="D2709" s="82" t="str">
        <f aca="false">IF(OR(C2709="",P2709=""),"",INDEX('CARNET DE SOUDURE'!$D$7:$D$3006,P2709)&amp;"")</f>
        <v/>
      </c>
      <c r="E2709" s="114" t="str">
        <f aca="false">IF(OR(C2709="",P2709=""),"",IF(INDEX('CARNET DE SOUDURE'!$U$7:$U$3006,P2709)="","",INDEX('CARNET DE SOUDURE'!$U$7:$U$3006,P2709)))</f>
        <v/>
      </c>
      <c r="F2709" s="82" t="str">
        <f aca="false">IF(OR(C2709="",P2709=""),"",INDEX('CARNET DE SOUDURE'!$AP$7:$AP$3006,P2709))</f>
        <v/>
      </c>
      <c r="G2709" s="82" t="str">
        <f aca="false">IF(C2709="","",IF(P2709="","NJ INCONNU",INDEX('CARNET DE SOUDURE'!$AQ$7:$AQ$3006,P2709)))</f>
        <v/>
      </c>
      <c r="H2709" s="82" t="str">
        <f aca="false">IF(C2709="","",IF(G2709="ACCEPTÉ","OUI","NON"))</f>
        <v/>
      </c>
      <c r="I2709" s="83"/>
      <c r="J2709" s="80"/>
      <c r="K2709" s="81"/>
      <c r="L2709" s="81"/>
      <c r="M2709" s="81"/>
      <c r="N2709" s="84" t="str">
        <f aca="false">IF(C2709="","",IF(P2709="","NJ INCONNU",IF(I2709="",IF(H2709="OUI","À ENROBER",IF(G2709="À SOUDER","NON SOUDÉ","EN ATTENTE RT")),IF(L2709="R","À REPRENDRE",IF(H2709&lt;&gt;"OUI","⚠ ENROBÉ AVANT ACCEPTATION RT","ENROBÉ")))))</f>
        <v/>
      </c>
      <c r="O2709" s="80"/>
      <c r="P2709" s="82" t="str">
        <f aca="false">IF(C2709="","",IFERROR(MATCH(Q2709,'CARNET DE SOUDURE'!$AW$7:$AW$3006,0),""))</f>
        <v/>
      </c>
      <c r="Q2709" s="82" t="str">
        <f aca="false">IF(C2709="","",B2709&amp;"|"&amp;C2709)</f>
        <v/>
      </c>
    </row>
    <row r="2710" customFormat="false" ht="15" hidden="false" customHeight="false" outlineLevel="0" collapsed="false">
      <c r="A2710" s="82" t="str">
        <f aca="false">IF(C2710="","",ROW()-6)</f>
        <v/>
      </c>
      <c r="B2710" s="80"/>
      <c r="C2710" s="113"/>
      <c r="D2710" s="82" t="str">
        <f aca="false">IF(OR(C2710="",P2710=""),"",INDEX('CARNET DE SOUDURE'!$D$7:$D$3006,P2710)&amp;"")</f>
        <v/>
      </c>
      <c r="E2710" s="114" t="str">
        <f aca="false">IF(OR(C2710="",P2710=""),"",IF(INDEX('CARNET DE SOUDURE'!$U$7:$U$3006,P2710)="","",INDEX('CARNET DE SOUDURE'!$U$7:$U$3006,P2710)))</f>
        <v/>
      </c>
      <c r="F2710" s="82" t="str">
        <f aca="false">IF(OR(C2710="",P2710=""),"",INDEX('CARNET DE SOUDURE'!$AP$7:$AP$3006,P2710))</f>
        <v/>
      </c>
      <c r="G2710" s="82" t="str">
        <f aca="false">IF(C2710="","",IF(P2710="","NJ INCONNU",INDEX('CARNET DE SOUDURE'!$AQ$7:$AQ$3006,P2710)))</f>
        <v/>
      </c>
      <c r="H2710" s="82" t="str">
        <f aca="false">IF(C2710="","",IF(G2710="ACCEPTÉ","OUI","NON"))</f>
        <v/>
      </c>
      <c r="I2710" s="83"/>
      <c r="J2710" s="80"/>
      <c r="K2710" s="81"/>
      <c r="L2710" s="81"/>
      <c r="M2710" s="81"/>
      <c r="N2710" s="84" t="str">
        <f aca="false">IF(C2710="","",IF(P2710="","NJ INCONNU",IF(I2710="",IF(H2710="OUI","À ENROBER",IF(G2710="À SOUDER","NON SOUDÉ","EN ATTENTE RT")),IF(L2710="R","À REPRENDRE",IF(H2710&lt;&gt;"OUI","⚠ ENROBÉ AVANT ACCEPTATION RT","ENROBÉ")))))</f>
        <v/>
      </c>
      <c r="O2710" s="80"/>
      <c r="P2710" s="82" t="str">
        <f aca="false">IF(C2710="","",IFERROR(MATCH(Q2710,'CARNET DE SOUDURE'!$AW$7:$AW$3006,0),""))</f>
        <v/>
      </c>
      <c r="Q2710" s="82" t="str">
        <f aca="false">IF(C2710="","",B2710&amp;"|"&amp;C2710)</f>
        <v/>
      </c>
    </row>
    <row r="2711" customFormat="false" ht="15" hidden="false" customHeight="false" outlineLevel="0" collapsed="false">
      <c r="A2711" s="82" t="str">
        <f aca="false">IF(C2711="","",ROW()-6)</f>
        <v/>
      </c>
      <c r="B2711" s="80"/>
      <c r="C2711" s="113"/>
      <c r="D2711" s="82" t="str">
        <f aca="false">IF(OR(C2711="",P2711=""),"",INDEX('CARNET DE SOUDURE'!$D$7:$D$3006,P2711)&amp;"")</f>
        <v/>
      </c>
      <c r="E2711" s="114" t="str">
        <f aca="false">IF(OR(C2711="",P2711=""),"",IF(INDEX('CARNET DE SOUDURE'!$U$7:$U$3006,P2711)="","",INDEX('CARNET DE SOUDURE'!$U$7:$U$3006,P2711)))</f>
        <v/>
      </c>
      <c r="F2711" s="82" t="str">
        <f aca="false">IF(OR(C2711="",P2711=""),"",INDEX('CARNET DE SOUDURE'!$AP$7:$AP$3006,P2711))</f>
        <v/>
      </c>
      <c r="G2711" s="82" t="str">
        <f aca="false">IF(C2711="","",IF(P2711="","NJ INCONNU",INDEX('CARNET DE SOUDURE'!$AQ$7:$AQ$3006,P2711)))</f>
        <v/>
      </c>
      <c r="H2711" s="82" t="str">
        <f aca="false">IF(C2711="","",IF(G2711="ACCEPTÉ","OUI","NON"))</f>
        <v/>
      </c>
      <c r="I2711" s="83"/>
      <c r="J2711" s="80"/>
      <c r="K2711" s="81"/>
      <c r="L2711" s="81"/>
      <c r="M2711" s="81"/>
      <c r="N2711" s="84" t="str">
        <f aca="false">IF(C2711="","",IF(P2711="","NJ INCONNU",IF(I2711="",IF(H2711="OUI","À ENROBER",IF(G2711="À SOUDER","NON SOUDÉ","EN ATTENTE RT")),IF(L2711="R","À REPRENDRE",IF(H2711&lt;&gt;"OUI","⚠ ENROBÉ AVANT ACCEPTATION RT","ENROBÉ")))))</f>
        <v/>
      </c>
      <c r="O2711" s="80"/>
      <c r="P2711" s="82" t="str">
        <f aca="false">IF(C2711="","",IFERROR(MATCH(Q2711,'CARNET DE SOUDURE'!$AW$7:$AW$3006,0),""))</f>
        <v/>
      </c>
      <c r="Q2711" s="82" t="str">
        <f aca="false">IF(C2711="","",B2711&amp;"|"&amp;C2711)</f>
        <v/>
      </c>
    </row>
    <row r="2712" customFormat="false" ht="15" hidden="false" customHeight="false" outlineLevel="0" collapsed="false">
      <c r="A2712" s="82" t="str">
        <f aca="false">IF(C2712="","",ROW()-6)</f>
        <v/>
      </c>
      <c r="B2712" s="80"/>
      <c r="C2712" s="113"/>
      <c r="D2712" s="82" t="str">
        <f aca="false">IF(OR(C2712="",P2712=""),"",INDEX('CARNET DE SOUDURE'!$D$7:$D$3006,P2712)&amp;"")</f>
        <v/>
      </c>
      <c r="E2712" s="114" t="str">
        <f aca="false">IF(OR(C2712="",P2712=""),"",IF(INDEX('CARNET DE SOUDURE'!$U$7:$U$3006,P2712)="","",INDEX('CARNET DE SOUDURE'!$U$7:$U$3006,P2712)))</f>
        <v/>
      </c>
      <c r="F2712" s="82" t="str">
        <f aca="false">IF(OR(C2712="",P2712=""),"",INDEX('CARNET DE SOUDURE'!$AP$7:$AP$3006,P2712))</f>
        <v/>
      </c>
      <c r="G2712" s="82" t="str">
        <f aca="false">IF(C2712="","",IF(P2712="","NJ INCONNU",INDEX('CARNET DE SOUDURE'!$AQ$7:$AQ$3006,P2712)))</f>
        <v/>
      </c>
      <c r="H2712" s="82" t="str">
        <f aca="false">IF(C2712="","",IF(G2712="ACCEPTÉ","OUI","NON"))</f>
        <v/>
      </c>
      <c r="I2712" s="83"/>
      <c r="J2712" s="80"/>
      <c r="K2712" s="81"/>
      <c r="L2712" s="81"/>
      <c r="M2712" s="81"/>
      <c r="N2712" s="84" t="str">
        <f aca="false">IF(C2712="","",IF(P2712="","NJ INCONNU",IF(I2712="",IF(H2712="OUI","À ENROBER",IF(G2712="À SOUDER","NON SOUDÉ","EN ATTENTE RT")),IF(L2712="R","À REPRENDRE",IF(H2712&lt;&gt;"OUI","⚠ ENROBÉ AVANT ACCEPTATION RT","ENROBÉ")))))</f>
        <v/>
      </c>
      <c r="O2712" s="80"/>
      <c r="P2712" s="82" t="str">
        <f aca="false">IF(C2712="","",IFERROR(MATCH(Q2712,'CARNET DE SOUDURE'!$AW$7:$AW$3006,0),""))</f>
        <v/>
      </c>
      <c r="Q2712" s="82" t="str">
        <f aca="false">IF(C2712="","",B2712&amp;"|"&amp;C2712)</f>
        <v/>
      </c>
    </row>
    <row r="2713" customFormat="false" ht="15" hidden="false" customHeight="false" outlineLevel="0" collapsed="false">
      <c r="A2713" s="82" t="str">
        <f aca="false">IF(C2713="","",ROW()-6)</f>
        <v/>
      </c>
      <c r="B2713" s="80"/>
      <c r="C2713" s="113"/>
      <c r="D2713" s="82" t="str">
        <f aca="false">IF(OR(C2713="",P2713=""),"",INDEX('CARNET DE SOUDURE'!$D$7:$D$3006,P2713)&amp;"")</f>
        <v/>
      </c>
      <c r="E2713" s="114" t="str">
        <f aca="false">IF(OR(C2713="",P2713=""),"",IF(INDEX('CARNET DE SOUDURE'!$U$7:$U$3006,P2713)="","",INDEX('CARNET DE SOUDURE'!$U$7:$U$3006,P2713)))</f>
        <v/>
      </c>
      <c r="F2713" s="82" t="str">
        <f aca="false">IF(OR(C2713="",P2713=""),"",INDEX('CARNET DE SOUDURE'!$AP$7:$AP$3006,P2713))</f>
        <v/>
      </c>
      <c r="G2713" s="82" t="str">
        <f aca="false">IF(C2713="","",IF(P2713="","NJ INCONNU",INDEX('CARNET DE SOUDURE'!$AQ$7:$AQ$3006,P2713)))</f>
        <v/>
      </c>
      <c r="H2713" s="82" t="str">
        <f aca="false">IF(C2713="","",IF(G2713="ACCEPTÉ","OUI","NON"))</f>
        <v/>
      </c>
      <c r="I2713" s="83"/>
      <c r="J2713" s="80"/>
      <c r="K2713" s="81"/>
      <c r="L2713" s="81"/>
      <c r="M2713" s="81"/>
      <c r="N2713" s="84" t="str">
        <f aca="false">IF(C2713="","",IF(P2713="","NJ INCONNU",IF(I2713="",IF(H2713="OUI","À ENROBER",IF(G2713="À SOUDER","NON SOUDÉ","EN ATTENTE RT")),IF(L2713="R","À REPRENDRE",IF(H2713&lt;&gt;"OUI","⚠ ENROBÉ AVANT ACCEPTATION RT","ENROBÉ")))))</f>
        <v/>
      </c>
      <c r="O2713" s="80"/>
      <c r="P2713" s="82" t="str">
        <f aca="false">IF(C2713="","",IFERROR(MATCH(Q2713,'CARNET DE SOUDURE'!$AW$7:$AW$3006,0),""))</f>
        <v/>
      </c>
      <c r="Q2713" s="82" t="str">
        <f aca="false">IF(C2713="","",B2713&amp;"|"&amp;C2713)</f>
        <v/>
      </c>
    </row>
    <row r="2714" customFormat="false" ht="15" hidden="false" customHeight="false" outlineLevel="0" collapsed="false">
      <c r="A2714" s="82" t="str">
        <f aca="false">IF(C2714="","",ROW()-6)</f>
        <v/>
      </c>
      <c r="B2714" s="80"/>
      <c r="C2714" s="113"/>
      <c r="D2714" s="82" t="str">
        <f aca="false">IF(OR(C2714="",P2714=""),"",INDEX('CARNET DE SOUDURE'!$D$7:$D$3006,P2714)&amp;"")</f>
        <v/>
      </c>
      <c r="E2714" s="114" t="str">
        <f aca="false">IF(OR(C2714="",P2714=""),"",IF(INDEX('CARNET DE SOUDURE'!$U$7:$U$3006,P2714)="","",INDEX('CARNET DE SOUDURE'!$U$7:$U$3006,P2714)))</f>
        <v/>
      </c>
      <c r="F2714" s="82" t="str">
        <f aca="false">IF(OR(C2714="",P2714=""),"",INDEX('CARNET DE SOUDURE'!$AP$7:$AP$3006,P2714))</f>
        <v/>
      </c>
      <c r="G2714" s="82" t="str">
        <f aca="false">IF(C2714="","",IF(P2714="","NJ INCONNU",INDEX('CARNET DE SOUDURE'!$AQ$7:$AQ$3006,P2714)))</f>
        <v/>
      </c>
      <c r="H2714" s="82" t="str">
        <f aca="false">IF(C2714="","",IF(G2714="ACCEPTÉ","OUI","NON"))</f>
        <v/>
      </c>
      <c r="I2714" s="83"/>
      <c r="J2714" s="80"/>
      <c r="K2714" s="81"/>
      <c r="L2714" s="81"/>
      <c r="M2714" s="81"/>
      <c r="N2714" s="84" t="str">
        <f aca="false">IF(C2714="","",IF(P2714="","NJ INCONNU",IF(I2714="",IF(H2714="OUI","À ENROBER",IF(G2714="À SOUDER","NON SOUDÉ","EN ATTENTE RT")),IF(L2714="R","À REPRENDRE",IF(H2714&lt;&gt;"OUI","⚠ ENROBÉ AVANT ACCEPTATION RT","ENROBÉ")))))</f>
        <v/>
      </c>
      <c r="O2714" s="80"/>
      <c r="P2714" s="82" t="str">
        <f aca="false">IF(C2714="","",IFERROR(MATCH(Q2714,'CARNET DE SOUDURE'!$AW$7:$AW$3006,0),""))</f>
        <v/>
      </c>
      <c r="Q2714" s="82" t="str">
        <f aca="false">IF(C2714="","",B2714&amp;"|"&amp;C2714)</f>
        <v/>
      </c>
    </row>
    <row r="2715" customFormat="false" ht="15" hidden="false" customHeight="false" outlineLevel="0" collapsed="false">
      <c r="A2715" s="82" t="str">
        <f aca="false">IF(C2715="","",ROW()-6)</f>
        <v/>
      </c>
      <c r="B2715" s="80"/>
      <c r="C2715" s="113"/>
      <c r="D2715" s="82" t="str">
        <f aca="false">IF(OR(C2715="",P2715=""),"",INDEX('CARNET DE SOUDURE'!$D$7:$D$3006,P2715)&amp;"")</f>
        <v/>
      </c>
      <c r="E2715" s="114" t="str">
        <f aca="false">IF(OR(C2715="",P2715=""),"",IF(INDEX('CARNET DE SOUDURE'!$U$7:$U$3006,P2715)="","",INDEX('CARNET DE SOUDURE'!$U$7:$U$3006,P2715)))</f>
        <v/>
      </c>
      <c r="F2715" s="82" t="str">
        <f aca="false">IF(OR(C2715="",P2715=""),"",INDEX('CARNET DE SOUDURE'!$AP$7:$AP$3006,P2715))</f>
        <v/>
      </c>
      <c r="G2715" s="82" t="str">
        <f aca="false">IF(C2715="","",IF(P2715="","NJ INCONNU",INDEX('CARNET DE SOUDURE'!$AQ$7:$AQ$3006,P2715)))</f>
        <v/>
      </c>
      <c r="H2715" s="82" t="str">
        <f aca="false">IF(C2715="","",IF(G2715="ACCEPTÉ","OUI","NON"))</f>
        <v/>
      </c>
      <c r="I2715" s="83"/>
      <c r="J2715" s="80"/>
      <c r="K2715" s="81"/>
      <c r="L2715" s="81"/>
      <c r="M2715" s="81"/>
      <c r="N2715" s="84" t="str">
        <f aca="false">IF(C2715="","",IF(P2715="","NJ INCONNU",IF(I2715="",IF(H2715="OUI","À ENROBER",IF(G2715="À SOUDER","NON SOUDÉ","EN ATTENTE RT")),IF(L2715="R","À REPRENDRE",IF(H2715&lt;&gt;"OUI","⚠ ENROBÉ AVANT ACCEPTATION RT","ENROBÉ")))))</f>
        <v/>
      </c>
      <c r="O2715" s="80"/>
      <c r="P2715" s="82" t="str">
        <f aca="false">IF(C2715="","",IFERROR(MATCH(Q2715,'CARNET DE SOUDURE'!$AW$7:$AW$3006,0),""))</f>
        <v/>
      </c>
      <c r="Q2715" s="82" t="str">
        <f aca="false">IF(C2715="","",B2715&amp;"|"&amp;C2715)</f>
        <v/>
      </c>
    </row>
    <row r="2716" customFormat="false" ht="15" hidden="false" customHeight="false" outlineLevel="0" collapsed="false">
      <c r="A2716" s="82" t="str">
        <f aca="false">IF(C2716="","",ROW()-6)</f>
        <v/>
      </c>
      <c r="B2716" s="80"/>
      <c r="C2716" s="113"/>
      <c r="D2716" s="82" t="str">
        <f aca="false">IF(OR(C2716="",P2716=""),"",INDEX('CARNET DE SOUDURE'!$D$7:$D$3006,P2716)&amp;"")</f>
        <v/>
      </c>
      <c r="E2716" s="114" t="str">
        <f aca="false">IF(OR(C2716="",P2716=""),"",IF(INDEX('CARNET DE SOUDURE'!$U$7:$U$3006,P2716)="","",INDEX('CARNET DE SOUDURE'!$U$7:$U$3006,P2716)))</f>
        <v/>
      </c>
      <c r="F2716" s="82" t="str">
        <f aca="false">IF(OR(C2716="",P2716=""),"",INDEX('CARNET DE SOUDURE'!$AP$7:$AP$3006,P2716))</f>
        <v/>
      </c>
      <c r="G2716" s="82" t="str">
        <f aca="false">IF(C2716="","",IF(P2716="","NJ INCONNU",INDEX('CARNET DE SOUDURE'!$AQ$7:$AQ$3006,P2716)))</f>
        <v/>
      </c>
      <c r="H2716" s="82" t="str">
        <f aca="false">IF(C2716="","",IF(G2716="ACCEPTÉ","OUI","NON"))</f>
        <v/>
      </c>
      <c r="I2716" s="83"/>
      <c r="J2716" s="80"/>
      <c r="K2716" s="81"/>
      <c r="L2716" s="81"/>
      <c r="M2716" s="81"/>
      <c r="N2716" s="84" t="str">
        <f aca="false">IF(C2716="","",IF(P2716="","NJ INCONNU",IF(I2716="",IF(H2716="OUI","À ENROBER",IF(G2716="À SOUDER","NON SOUDÉ","EN ATTENTE RT")),IF(L2716="R","À REPRENDRE",IF(H2716&lt;&gt;"OUI","⚠ ENROBÉ AVANT ACCEPTATION RT","ENROBÉ")))))</f>
        <v/>
      </c>
      <c r="O2716" s="80"/>
      <c r="P2716" s="82" t="str">
        <f aca="false">IF(C2716="","",IFERROR(MATCH(Q2716,'CARNET DE SOUDURE'!$AW$7:$AW$3006,0),""))</f>
        <v/>
      </c>
      <c r="Q2716" s="82" t="str">
        <f aca="false">IF(C2716="","",B2716&amp;"|"&amp;C2716)</f>
        <v/>
      </c>
    </row>
    <row r="2717" customFormat="false" ht="15" hidden="false" customHeight="false" outlineLevel="0" collapsed="false">
      <c r="A2717" s="82" t="str">
        <f aca="false">IF(C2717="","",ROW()-6)</f>
        <v/>
      </c>
      <c r="B2717" s="80"/>
      <c r="C2717" s="113"/>
      <c r="D2717" s="82" t="str">
        <f aca="false">IF(OR(C2717="",P2717=""),"",INDEX('CARNET DE SOUDURE'!$D$7:$D$3006,P2717)&amp;"")</f>
        <v/>
      </c>
      <c r="E2717" s="114" t="str">
        <f aca="false">IF(OR(C2717="",P2717=""),"",IF(INDEX('CARNET DE SOUDURE'!$U$7:$U$3006,P2717)="","",INDEX('CARNET DE SOUDURE'!$U$7:$U$3006,P2717)))</f>
        <v/>
      </c>
      <c r="F2717" s="82" t="str">
        <f aca="false">IF(OR(C2717="",P2717=""),"",INDEX('CARNET DE SOUDURE'!$AP$7:$AP$3006,P2717))</f>
        <v/>
      </c>
      <c r="G2717" s="82" t="str">
        <f aca="false">IF(C2717="","",IF(P2717="","NJ INCONNU",INDEX('CARNET DE SOUDURE'!$AQ$7:$AQ$3006,P2717)))</f>
        <v/>
      </c>
      <c r="H2717" s="82" t="str">
        <f aca="false">IF(C2717="","",IF(G2717="ACCEPTÉ","OUI","NON"))</f>
        <v/>
      </c>
      <c r="I2717" s="83"/>
      <c r="J2717" s="80"/>
      <c r="K2717" s="81"/>
      <c r="L2717" s="81"/>
      <c r="M2717" s="81"/>
      <c r="N2717" s="84" t="str">
        <f aca="false">IF(C2717="","",IF(P2717="","NJ INCONNU",IF(I2717="",IF(H2717="OUI","À ENROBER",IF(G2717="À SOUDER","NON SOUDÉ","EN ATTENTE RT")),IF(L2717="R","À REPRENDRE",IF(H2717&lt;&gt;"OUI","⚠ ENROBÉ AVANT ACCEPTATION RT","ENROBÉ")))))</f>
        <v/>
      </c>
      <c r="O2717" s="80"/>
      <c r="P2717" s="82" t="str">
        <f aca="false">IF(C2717="","",IFERROR(MATCH(Q2717,'CARNET DE SOUDURE'!$AW$7:$AW$3006,0),""))</f>
        <v/>
      </c>
      <c r="Q2717" s="82" t="str">
        <f aca="false">IF(C2717="","",B2717&amp;"|"&amp;C2717)</f>
        <v/>
      </c>
    </row>
    <row r="2718" customFormat="false" ht="15" hidden="false" customHeight="false" outlineLevel="0" collapsed="false">
      <c r="A2718" s="82" t="str">
        <f aca="false">IF(C2718="","",ROW()-6)</f>
        <v/>
      </c>
      <c r="B2718" s="80"/>
      <c r="C2718" s="113"/>
      <c r="D2718" s="82" t="str">
        <f aca="false">IF(OR(C2718="",P2718=""),"",INDEX('CARNET DE SOUDURE'!$D$7:$D$3006,P2718)&amp;"")</f>
        <v/>
      </c>
      <c r="E2718" s="114" t="str">
        <f aca="false">IF(OR(C2718="",P2718=""),"",IF(INDEX('CARNET DE SOUDURE'!$U$7:$U$3006,P2718)="","",INDEX('CARNET DE SOUDURE'!$U$7:$U$3006,P2718)))</f>
        <v/>
      </c>
      <c r="F2718" s="82" t="str">
        <f aca="false">IF(OR(C2718="",P2718=""),"",INDEX('CARNET DE SOUDURE'!$AP$7:$AP$3006,P2718))</f>
        <v/>
      </c>
      <c r="G2718" s="82" t="str">
        <f aca="false">IF(C2718="","",IF(P2718="","NJ INCONNU",INDEX('CARNET DE SOUDURE'!$AQ$7:$AQ$3006,P2718)))</f>
        <v/>
      </c>
      <c r="H2718" s="82" t="str">
        <f aca="false">IF(C2718="","",IF(G2718="ACCEPTÉ","OUI","NON"))</f>
        <v/>
      </c>
      <c r="I2718" s="83"/>
      <c r="J2718" s="80"/>
      <c r="K2718" s="81"/>
      <c r="L2718" s="81"/>
      <c r="M2718" s="81"/>
      <c r="N2718" s="84" t="str">
        <f aca="false">IF(C2718="","",IF(P2718="","NJ INCONNU",IF(I2718="",IF(H2718="OUI","À ENROBER",IF(G2718="À SOUDER","NON SOUDÉ","EN ATTENTE RT")),IF(L2718="R","À REPRENDRE",IF(H2718&lt;&gt;"OUI","⚠ ENROBÉ AVANT ACCEPTATION RT","ENROBÉ")))))</f>
        <v/>
      </c>
      <c r="O2718" s="80"/>
      <c r="P2718" s="82" t="str">
        <f aca="false">IF(C2718="","",IFERROR(MATCH(Q2718,'CARNET DE SOUDURE'!$AW$7:$AW$3006,0),""))</f>
        <v/>
      </c>
      <c r="Q2718" s="82" t="str">
        <f aca="false">IF(C2718="","",B2718&amp;"|"&amp;C2718)</f>
        <v/>
      </c>
    </row>
    <row r="2719" customFormat="false" ht="15" hidden="false" customHeight="false" outlineLevel="0" collapsed="false">
      <c r="A2719" s="82" t="str">
        <f aca="false">IF(C2719="","",ROW()-6)</f>
        <v/>
      </c>
      <c r="B2719" s="80"/>
      <c r="C2719" s="113"/>
      <c r="D2719" s="82" t="str">
        <f aca="false">IF(OR(C2719="",P2719=""),"",INDEX('CARNET DE SOUDURE'!$D$7:$D$3006,P2719)&amp;"")</f>
        <v/>
      </c>
      <c r="E2719" s="114" t="str">
        <f aca="false">IF(OR(C2719="",P2719=""),"",IF(INDEX('CARNET DE SOUDURE'!$U$7:$U$3006,P2719)="","",INDEX('CARNET DE SOUDURE'!$U$7:$U$3006,P2719)))</f>
        <v/>
      </c>
      <c r="F2719" s="82" t="str">
        <f aca="false">IF(OR(C2719="",P2719=""),"",INDEX('CARNET DE SOUDURE'!$AP$7:$AP$3006,P2719))</f>
        <v/>
      </c>
      <c r="G2719" s="82" t="str">
        <f aca="false">IF(C2719="","",IF(P2719="","NJ INCONNU",INDEX('CARNET DE SOUDURE'!$AQ$7:$AQ$3006,P2719)))</f>
        <v/>
      </c>
      <c r="H2719" s="82" t="str">
        <f aca="false">IF(C2719="","",IF(G2719="ACCEPTÉ","OUI","NON"))</f>
        <v/>
      </c>
      <c r="I2719" s="83"/>
      <c r="J2719" s="80"/>
      <c r="K2719" s="81"/>
      <c r="L2719" s="81"/>
      <c r="M2719" s="81"/>
      <c r="N2719" s="84" t="str">
        <f aca="false">IF(C2719="","",IF(P2719="","NJ INCONNU",IF(I2719="",IF(H2719="OUI","À ENROBER",IF(G2719="À SOUDER","NON SOUDÉ","EN ATTENTE RT")),IF(L2719="R","À REPRENDRE",IF(H2719&lt;&gt;"OUI","⚠ ENROBÉ AVANT ACCEPTATION RT","ENROBÉ")))))</f>
        <v/>
      </c>
      <c r="O2719" s="80"/>
      <c r="P2719" s="82" t="str">
        <f aca="false">IF(C2719="","",IFERROR(MATCH(Q2719,'CARNET DE SOUDURE'!$AW$7:$AW$3006,0),""))</f>
        <v/>
      </c>
      <c r="Q2719" s="82" t="str">
        <f aca="false">IF(C2719="","",B2719&amp;"|"&amp;C2719)</f>
        <v/>
      </c>
    </row>
    <row r="2720" customFormat="false" ht="15" hidden="false" customHeight="false" outlineLevel="0" collapsed="false">
      <c r="A2720" s="82" t="str">
        <f aca="false">IF(C2720="","",ROW()-6)</f>
        <v/>
      </c>
      <c r="B2720" s="80"/>
      <c r="C2720" s="113"/>
      <c r="D2720" s="82" t="str">
        <f aca="false">IF(OR(C2720="",P2720=""),"",INDEX('CARNET DE SOUDURE'!$D$7:$D$3006,P2720)&amp;"")</f>
        <v/>
      </c>
      <c r="E2720" s="114" t="str">
        <f aca="false">IF(OR(C2720="",P2720=""),"",IF(INDEX('CARNET DE SOUDURE'!$U$7:$U$3006,P2720)="","",INDEX('CARNET DE SOUDURE'!$U$7:$U$3006,P2720)))</f>
        <v/>
      </c>
      <c r="F2720" s="82" t="str">
        <f aca="false">IF(OR(C2720="",P2720=""),"",INDEX('CARNET DE SOUDURE'!$AP$7:$AP$3006,P2720))</f>
        <v/>
      </c>
      <c r="G2720" s="82" t="str">
        <f aca="false">IF(C2720="","",IF(P2720="","NJ INCONNU",INDEX('CARNET DE SOUDURE'!$AQ$7:$AQ$3006,P2720)))</f>
        <v/>
      </c>
      <c r="H2720" s="82" t="str">
        <f aca="false">IF(C2720="","",IF(G2720="ACCEPTÉ","OUI","NON"))</f>
        <v/>
      </c>
      <c r="I2720" s="83"/>
      <c r="J2720" s="80"/>
      <c r="K2720" s="81"/>
      <c r="L2720" s="81"/>
      <c r="M2720" s="81"/>
      <c r="N2720" s="84" t="str">
        <f aca="false">IF(C2720="","",IF(P2720="","NJ INCONNU",IF(I2720="",IF(H2720="OUI","À ENROBER",IF(G2720="À SOUDER","NON SOUDÉ","EN ATTENTE RT")),IF(L2720="R","À REPRENDRE",IF(H2720&lt;&gt;"OUI","⚠ ENROBÉ AVANT ACCEPTATION RT","ENROBÉ")))))</f>
        <v/>
      </c>
      <c r="O2720" s="80"/>
      <c r="P2720" s="82" t="str">
        <f aca="false">IF(C2720="","",IFERROR(MATCH(Q2720,'CARNET DE SOUDURE'!$AW$7:$AW$3006,0),""))</f>
        <v/>
      </c>
      <c r="Q2720" s="82" t="str">
        <f aca="false">IF(C2720="","",B2720&amp;"|"&amp;C2720)</f>
        <v/>
      </c>
    </row>
    <row r="2721" customFormat="false" ht="15" hidden="false" customHeight="false" outlineLevel="0" collapsed="false">
      <c r="A2721" s="82" t="str">
        <f aca="false">IF(C2721="","",ROW()-6)</f>
        <v/>
      </c>
      <c r="B2721" s="80"/>
      <c r="C2721" s="113"/>
      <c r="D2721" s="82" t="str">
        <f aca="false">IF(OR(C2721="",P2721=""),"",INDEX('CARNET DE SOUDURE'!$D$7:$D$3006,P2721)&amp;"")</f>
        <v/>
      </c>
      <c r="E2721" s="114" t="str">
        <f aca="false">IF(OR(C2721="",P2721=""),"",IF(INDEX('CARNET DE SOUDURE'!$U$7:$U$3006,P2721)="","",INDEX('CARNET DE SOUDURE'!$U$7:$U$3006,P2721)))</f>
        <v/>
      </c>
      <c r="F2721" s="82" t="str">
        <f aca="false">IF(OR(C2721="",P2721=""),"",INDEX('CARNET DE SOUDURE'!$AP$7:$AP$3006,P2721))</f>
        <v/>
      </c>
      <c r="G2721" s="82" t="str">
        <f aca="false">IF(C2721="","",IF(P2721="","NJ INCONNU",INDEX('CARNET DE SOUDURE'!$AQ$7:$AQ$3006,P2721)))</f>
        <v/>
      </c>
      <c r="H2721" s="82" t="str">
        <f aca="false">IF(C2721="","",IF(G2721="ACCEPTÉ","OUI","NON"))</f>
        <v/>
      </c>
      <c r="I2721" s="83"/>
      <c r="J2721" s="80"/>
      <c r="K2721" s="81"/>
      <c r="L2721" s="81"/>
      <c r="M2721" s="81"/>
      <c r="N2721" s="84" t="str">
        <f aca="false">IF(C2721="","",IF(P2721="","NJ INCONNU",IF(I2721="",IF(H2721="OUI","À ENROBER",IF(G2721="À SOUDER","NON SOUDÉ","EN ATTENTE RT")),IF(L2721="R","À REPRENDRE",IF(H2721&lt;&gt;"OUI","⚠ ENROBÉ AVANT ACCEPTATION RT","ENROBÉ")))))</f>
        <v/>
      </c>
      <c r="O2721" s="80"/>
      <c r="P2721" s="82" t="str">
        <f aca="false">IF(C2721="","",IFERROR(MATCH(Q2721,'CARNET DE SOUDURE'!$AW$7:$AW$3006,0),""))</f>
        <v/>
      </c>
      <c r="Q2721" s="82" t="str">
        <f aca="false">IF(C2721="","",B2721&amp;"|"&amp;C2721)</f>
        <v/>
      </c>
    </row>
    <row r="2722" customFormat="false" ht="15" hidden="false" customHeight="false" outlineLevel="0" collapsed="false">
      <c r="A2722" s="82" t="str">
        <f aca="false">IF(C2722="","",ROW()-6)</f>
        <v/>
      </c>
      <c r="B2722" s="80"/>
      <c r="C2722" s="113"/>
      <c r="D2722" s="82" t="str">
        <f aca="false">IF(OR(C2722="",P2722=""),"",INDEX('CARNET DE SOUDURE'!$D$7:$D$3006,P2722)&amp;"")</f>
        <v/>
      </c>
      <c r="E2722" s="114" t="str">
        <f aca="false">IF(OR(C2722="",P2722=""),"",IF(INDEX('CARNET DE SOUDURE'!$U$7:$U$3006,P2722)="","",INDEX('CARNET DE SOUDURE'!$U$7:$U$3006,P2722)))</f>
        <v/>
      </c>
      <c r="F2722" s="82" t="str">
        <f aca="false">IF(OR(C2722="",P2722=""),"",INDEX('CARNET DE SOUDURE'!$AP$7:$AP$3006,P2722))</f>
        <v/>
      </c>
      <c r="G2722" s="82" t="str">
        <f aca="false">IF(C2722="","",IF(P2722="","NJ INCONNU",INDEX('CARNET DE SOUDURE'!$AQ$7:$AQ$3006,P2722)))</f>
        <v/>
      </c>
      <c r="H2722" s="82" t="str">
        <f aca="false">IF(C2722="","",IF(G2722="ACCEPTÉ","OUI","NON"))</f>
        <v/>
      </c>
      <c r="I2722" s="83"/>
      <c r="J2722" s="80"/>
      <c r="K2722" s="81"/>
      <c r="L2722" s="81"/>
      <c r="M2722" s="81"/>
      <c r="N2722" s="84" t="str">
        <f aca="false">IF(C2722="","",IF(P2722="","NJ INCONNU",IF(I2722="",IF(H2722="OUI","À ENROBER",IF(G2722="À SOUDER","NON SOUDÉ","EN ATTENTE RT")),IF(L2722="R","À REPRENDRE",IF(H2722&lt;&gt;"OUI","⚠ ENROBÉ AVANT ACCEPTATION RT","ENROBÉ")))))</f>
        <v/>
      </c>
      <c r="O2722" s="80"/>
      <c r="P2722" s="82" t="str">
        <f aca="false">IF(C2722="","",IFERROR(MATCH(Q2722,'CARNET DE SOUDURE'!$AW$7:$AW$3006,0),""))</f>
        <v/>
      </c>
      <c r="Q2722" s="82" t="str">
        <f aca="false">IF(C2722="","",B2722&amp;"|"&amp;C2722)</f>
        <v/>
      </c>
    </row>
    <row r="2723" customFormat="false" ht="15" hidden="false" customHeight="false" outlineLevel="0" collapsed="false">
      <c r="A2723" s="82" t="str">
        <f aca="false">IF(C2723="","",ROW()-6)</f>
        <v/>
      </c>
      <c r="B2723" s="80"/>
      <c r="C2723" s="113"/>
      <c r="D2723" s="82" t="str">
        <f aca="false">IF(OR(C2723="",P2723=""),"",INDEX('CARNET DE SOUDURE'!$D$7:$D$3006,P2723)&amp;"")</f>
        <v/>
      </c>
      <c r="E2723" s="114" t="str">
        <f aca="false">IF(OR(C2723="",P2723=""),"",IF(INDEX('CARNET DE SOUDURE'!$U$7:$U$3006,P2723)="","",INDEX('CARNET DE SOUDURE'!$U$7:$U$3006,P2723)))</f>
        <v/>
      </c>
      <c r="F2723" s="82" t="str">
        <f aca="false">IF(OR(C2723="",P2723=""),"",INDEX('CARNET DE SOUDURE'!$AP$7:$AP$3006,P2723))</f>
        <v/>
      </c>
      <c r="G2723" s="82" t="str">
        <f aca="false">IF(C2723="","",IF(P2723="","NJ INCONNU",INDEX('CARNET DE SOUDURE'!$AQ$7:$AQ$3006,P2723)))</f>
        <v/>
      </c>
      <c r="H2723" s="82" t="str">
        <f aca="false">IF(C2723="","",IF(G2723="ACCEPTÉ","OUI","NON"))</f>
        <v/>
      </c>
      <c r="I2723" s="83"/>
      <c r="J2723" s="80"/>
      <c r="K2723" s="81"/>
      <c r="L2723" s="81"/>
      <c r="M2723" s="81"/>
      <c r="N2723" s="84" t="str">
        <f aca="false">IF(C2723="","",IF(P2723="","NJ INCONNU",IF(I2723="",IF(H2723="OUI","À ENROBER",IF(G2723="À SOUDER","NON SOUDÉ","EN ATTENTE RT")),IF(L2723="R","À REPRENDRE",IF(H2723&lt;&gt;"OUI","⚠ ENROBÉ AVANT ACCEPTATION RT","ENROBÉ")))))</f>
        <v/>
      </c>
      <c r="O2723" s="80"/>
      <c r="P2723" s="82" t="str">
        <f aca="false">IF(C2723="","",IFERROR(MATCH(Q2723,'CARNET DE SOUDURE'!$AW$7:$AW$3006,0),""))</f>
        <v/>
      </c>
      <c r="Q2723" s="82" t="str">
        <f aca="false">IF(C2723="","",B2723&amp;"|"&amp;C2723)</f>
        <v/>
      </c>
    </row>
    <row r="2724" customFormat="false" ht="15" hidden="false" customHeight="false" outlineLevel="0" collapsed="false">
      <c r="A2724" s="82" t="str">
        <f aca="false">IF(C2724="","",ROW()-6)</f>
        <v/>
      </c>
      <c r="B2724" s="80"/>
      <c r="C2724" s="113"/>
      <c r="D2724" s="82" t="str">
        <f aca="false">IF(OR(C2724="",P2724=""),"",INDEX('CARNET DE SOUDURE'!$D$7:$D$3006,P2724)&amp;"")</f>
        <v/>
      </c>
      <c r="E2724" s="114" t="str">
        <f aca="false">IF(OR(C2724="",P2724=""),"",IF(INDEX('CARNET DE SOUDURE'!$U$7:$U$3006,P2724)="","",INDEX('CARNET DE SOUDURE'!$U$7:$U$3006,P2724)))</f>
        <v/>
      </c>
      <c r="F2724" s="82" t="str">
        <f aca="false">IF(OR(C2724="",P2724=""),"",INDEX('CARNET DE SOUDURE'!$AP$7:$AP$3006,P2724))</f>
        <v/>
      </c>
      <c r="G2724" s="82" t="str">
        <f aca="false">IF(C2724="","",IF(P2724="","NJ INCONNU",INDEX('CARNET DE SOUDURE'!$AQ$7:$AQ$3006,P2724)))</f>
        <v/>
      </c>
      <c r="H2724" s="82" t="str">
        <f aca="false">IF(C2724="","",IF(G2724="ACCEPTÉ","OUI","NON"))</f>
        <v/>
      </c>
      <c r="I2724" s="83"/>
      <c r="J2724" s="80"/>
      <c r="K2724" s="81"/>
      <c r="L2724" s="81"/>
      <c r="M2724" s="81"/>
      <c r="N2724" s="84" t="str">
        <f aca="false">IF(C2724="","",IF(P2724="","NJ INCONNU",IF(I2724="",IF(H2724="OUI","À ENROBER",IF(G2724="À SOUDER","NON SOUDÉ","EN ATTENTE RT")),IF(L2724="R","À REPRENDRE",IF(H2724&lt;&gt;"OUI","⚠ ENROBÉ AVANT ACCEPTATION RT","ENROBÉ")))))</f>
        <v/>
      </c>
      <c r="O2724" s="80"/>
      <c r="P2724" s="82" t="str">
        <f aca="false">IF(C2724="","",IFERROR(MATCH(Q2724,'CARNET DE SOUDURE'!$AW$7:$AW$3006,0),""))</f>
        <v/>
      </c>
      <c r="Q2724" s="82" t="str">
        <f aca="false">IF(C2724="","",B2724&amp;"|"&amp;C2724)</f>
        <v/>
      </c>
    </row>
    <row r="2725" customFormat="false" ht="15" hidden="false" customHeight="false" outlineLevel="0" collapsed="false">
      <c r="A2725" s="82" t="str">
        <f aca="false">IF(C2725="","",ROW()-6)</f>
        <v/>
      </c>
      <c r="B2725" s="80"/>
      <c r="C2725" s="113"/>
      <c r="D2725" s="82" t="str">
        <f aca="false">IF(OR(C2725="",P2725=""),"",INDEX('CARNET DE SOUDURE'!$D$7:$D$3006,P2725)&amp;"")</f>
        <v/>
      </c>
      <c r="E2725" s="114" t="str">
        <f aca="false">IF(OR(C2725="",P2725=""),"",IF(INDEX('CARNET DE SOUDURE'!$U$7:$U$3006,P2725)="","",INDEX('CARNET DE SOUDURE'!$U$7:$U$3006,P2725)))</f>
        <v/>
      </c>
      <c r="F2725" s="82" t="str">
        <f aca="false">IF(OR(C2725="",P2725=""),"",INDEX('CARNET DE SOUDURE'!$AP$7:$AP$3006,P2725))</f>
        <v/>
      </c>
      <c r="G2725" s="82" t="str">
        <f aca="false">IF(C2725="","",IF(P2725="","NJ INCONNU",INDEX('CARNET DE SOUDURE'!$AQ$7:$AQ$3006,P2725)))</f>
        <v/>
      </c>
      <c r="H2725" s="82" t="str">
        <f aca="false">IF(C2725="","",IF(G2725="ACCEPTÉ","OUI","NON"))</f>
        <v/>
      </c>
      <c r="I2725" s="83"/>
      <c r="J2725" s="80"/>
      <c r="K2725" s="81"/>
      <c r="L2725" s="81"/>
      <c r="M2725" s="81"/>
      <c r="N2725" s="84" t="str">
        <f aca="false">IF(C2725="","",IF(P2725="","NJ INCONNU",IF(I2725="",IF(H2725="OUI","À ENROBER",IF(G2725="À SOUDER","NON SOUDÉ","EN ATTENTE RT")),IF(L2725="R","À REPRENDRE",IF(H2725&lt;&gt;"OUI","⚠ ENROBÉ AVANT ACCEPTATION RT","ENROBÉ")))))</f>
        <v/>
      </c>
      <c r="O2725" s="80"/>
      <c r="P2725" s="82" t="str">
        <f aca="false">IF(C2725="","",IFERROR(MATCH(Q2725,'CARNET DE SOUDURE'!$AW$7:$AW$3006,0),""))</f>
        <v/>
      </c>
      <c r="Q2725" s="82" t="str">
        <f aca="false">IF(C2725="","",B2725&amp;"|"&amp;C2725)</f>
        <v/>
      </c>
    </row>
    <row r="2726" customFormat="false" ht="15" hidden="false" customHeight="false" outlineLevel="0" collapsed="false">
      <c r="A2726" s="82" t="str">
        <f aca="false">IF(C2726="","",ROW()-6)</f>
        <v/>
      </c>
      <c r="B2726" s="80"/>
      <c r="C2726" s="113"/>
      <c r="D2726" s="82" t="str">
        <f aca="false">IF(OR(C2726="",P2726=""),"",INDEX('CARNET DE SOUDURE'!$D$7:$D$3006,P2726)&amp;"")</f>
        <v/>
      </c>
      <c r="E2726" s="114" t="str">
        <f aca="false">IF(OR(C2726="",P2726=""),"",IF(INDEX('CARNET DE SOUDURE'!$U$7:$U$3006,P2726)="","",INDEX('CARNET DE SOUDURE'!$U$7:$U$3006,P2726)))</f>
        <v/>
      </c>
      <c r="F2726" s="82" t="str">
        <f aca="false">IF(OR(C2726="",P2726=""),"",INDEX('CARNET DE SOUDURE'!$AP$7:$AP$3006,P2726))</f>
        <v/>
      </c>
      <c r="G2726" s="82" t="str">
        <f aca="false">IF(C2726="","",IF(P2726="","NJ INCONNU",INDEX('CARNET DE SOUDURE'!$AQ$7:$AQ$3006,P2726)))</f>
        <v/>
      </c>
      <c r="H2726" s="82" t="str">
        <f aca="false">IF(C2726="","",IF(G2726="ACCEPTÉ","OUI","NON"))</f>
        <v/>
      </c>
      <c r="I2726" s="83"/>
      <c r="J2726" s="80"/>
      <c r="K2726" s="81"/>
      <c r="L2726" s="81"/>
      <c r="M2726" s="81"/>
      <c r="N2726" s="84" t="str">
        <f aca="false">IF(C2726="","",IF(P2726="","NJ INCONNU",IF(I2726="",IF(H2726="OUI","À ENROBER",IF(G2726="À SOUDER","NON SOUDÉ","EN ATTENTE RT")),IF(L2726="R","À REPRENDRE",IF(H2726&lt;&gt;"OUI","⚠ ENROBÉ AVANT ACCEPTATION RT","ENROBÉ")))))</f>
        <v/>
      </c>
      <c r="O2726" s="80"/>
      <c r="P2726" s="82" t="str">
        <f aca="false">IF(C2726="","",IFERROR(MATCH(Q2726,'CARNET DE SOUDURE'!$AW$7:$AW$3006,0),""))</f>
        <v/>
      </c>
      <c r="Q2726" s="82" t="str">
        <f aca="false">IF(C2726="","",B2726&amp;"|"&amp;C2726)</f>
        <v/>
      </c>
    </row>
    <row r="2727" customFormat="false" ht="15" hidden="false" customHeight="false" outlineLevel="0" collapsed="false">
      <c r="A2727" s="82" t="str">
        <f aca="false">IF(C2727="","",ROW()-6)</f>
        <v/>
      </c>
      <c r="B2727" s="80"/>
      <c r="C2727" s="113"/>
      <c r="D2727" s="82" t="str">
        <f aca="false">IF(OR(C2727="",P2727=""),"",INDEX('CARNET DE SOUDURE'!$D$7:$D$3006,P2727)&amp;"")</f>
        <v/>
      </c>
      <c r="E2727" s="114" t="str">
        <f aca="false">IF(OR(C2727="",P2727=""),"",IF(INDEX('CARNET DE SOUDURE'!$U$7:$U$3006,P2727)="","",INDEX('CARNET DE SOUDURE'!$U$7:$U$3006,P2727)))</f>
        <v/>
      </c>
      <c r="F2727" s="82" t="str">
        <f aca="false">IF(OR(C2727="",P2727=""),"",INDEX('CARNET DE SOUDURE'!$AP$7:$AP$3006,P2727))</f>
        <v/>
      </c>
      <c r="G2727" s="82" t="str">
        <f aca="false">IF(C2727="","",IF(P2727="","NJ INCONNU",INDEX('CARNET DE SOUDURE'!$AQ$7:$AQ$3006,P2727)))</f>
        <v/>
      </c>
      <c r="H2727" s="82" t="str">
        <f aca="false">IF(C2727="","",IF(G2727="ACCEPTÉ","OUI","NON"))</f>
        <v/>
      </c>
      <c r="I2727" s="83"/>
      <c r="J2727" s="80"/>
      <c r="K2727" s="81"/>
      <c r="L2727" s="81"/>
      <c r="M2727" s="81"/>
      <c r="N2727" s="84" t="str">
        <f aca="false">IF(C2727="","",IF(P2727="","NJ INCONNU",IF(I2727="",IF(H2727="OUI","À ENROBER",IF(G2727="À SOUDER","NON SOUDÉ","EN ATTENTE RT")),IF(L2727="R","À REPRENDRE",IF(H2727&lt;&gt;"OUI","⚠ ENROBÉ AVANT ACCEPTATION RT","ENROBÉ")))))</f>
        <v/>
      </c>
      <c r="O2727" s="80"/>
      <c r="P2727" s="82" t="str">
        <f aca="false">IF(C2727="","",IFERROR(MATCH(Q2727,'CARNET DE SOUDURE'!$AW$7:$AW$3006,0),""))</f>
        <v/>
      </c>
      <c r="Q2727" s="82" t="str">
        <f aca="false">IF(C2727="","",B2727&amp;"|"&amp;C2727)</f>
        <v/>
      </c>
    </row>
    <row r="2728" customFormat="false" ht="15" hidden="false" customHeight="false" outlineLevel="0" collapsed="false">
      <c r="A2728" s="82" t="str">
        <f aca="false">IF(C2728="","",ROW()-6)</f>
        <v/>
      </c>
      <c r="B2728" s="80"/>
      <c r="C2728" s="113"/>
      <c r="D2728" s="82" t="str">
        <f aca="false">IF(OR(C2728="",P2728=""),"",INDEX('CARNET DE SOUDURE'!$D$7:$D$3006,P2728)&amp;"")</f>
        <v/>
      </c>
      <c r="E2728" s="114" t="str">
        <f aca="false">IF(OR(C2728="",P2728=""),"",IF(INDEX('CARNET DE SOUDURE'!$U$7:$U$3006,P2728)="","",INDEX('CARNET DE SOUDURE'!$U$7:$U$3006,P2728)))</f>
        <v/>
      </c>
      <c r="F2728" s="82" t="str">
        <f aca="false">IF(OR(C2728="",P2728=""),"",INDEX('CARNET DE SOUDURE'!$AP$7:$AP$3006,P2728))</f>
        <v/>
      </c>
      <c r="G2728" s="82" t="str">
        <f aca="false">IF(C2728="","",IF(P2728="","NJ INCONNU",INDEX('CARNET DE SOUDURE'!$AQ$7:$AQ$3006,P2728)))</f>
        <v/>
      </c>
      <c r="H2728" s="82" t="str">
        <f aca="false">IF(C2728="","",IF(G2728="ACCEPTÉ","OUI","NON"))</f>
        <v/>
      </c>
      <c r="I2728" s="83"/>
      <c r="J2728" s="80"/>
      <c r="K2728" s="81"/>
      <c r="L2728" s="81"/>
      <c r="M2728" s="81"/>
      <c r="N2728" s="84" t="str">
        <f aca="false">IF(C2728="","",IF(P2728="","NJ INCONNU",IF(I2728="",IF(H2728="OUI","À ENROBER",IF(G2728="À SOUDER","NON SOUDÉ","EN ATTENTE RT")),IF(L2728="R","À REPRENDRE",IF(H2728&lt;&gt;"OUI","⚠ ENROBÉ AVANT ACCEPTATION RT","ENROBÉ")))))</f>
        <v/>
      </c>
      <c r="O2728" s="80"/>
      <c r="P2728" s="82" t="str">
        <f aca="false">IF(C2728="","",IFERROR(MATCH(Q2728,'CARNET DE SOUDURE'!$AW$7:$AW$3006,0),""))</f>
        <v/>
      </c>
      <c r="Q2728" s="82" t="str">
        <f aca="false">IF(C2728="","",B2728&amp;"|"&amp;C2728)</f>
        <v/>
      </c>
    </row>
    <row r="2729" customFormat="false" ht="15" hidden="false" customHeight="false" outlineLevel="0" collapsed="false">
      <c r="A2729" s="82" t="str">
        <f aca="false">IF(C2729="","",ROW()-6)</f>
        <v/>
      </c>
      <c r="B2729" s="80"/>
      <c r="C2729" s="113"/>
      <c r="D2729" s="82" t="str">
        <f aca="false">IF(OR(C2729="",P2729=""),"",INDEX('CARNET DE SOUDURE'!$D$7:$D$3006,P2729)&amp;"")</f>
        <v/>
      </c>
      <c r="E2729" s="114" t="str">
        <f aca="false">IF(OR(C2729="",P2729=""),"",IF(INDEX('CARNET DE SOUDURE'!$U$7:$U$3006,P2729)="","",INDEX('CARNET DE SOUDURE'!$U$7:$U$3006,P2729)))</f>
        <v/>
      </c>
      <c r="F2729" s="82" t="str">
        <f aca="false">IF(OR(C2729="",P2729=""),"",INDEX('CARNET DE SOUDURE'!$AP$7:$AP$3006,P2729))</f>
        <v/>
      </c>
      <c r="G2729" s="82" t="str">
        <f aca="false">IF(C2729="","",IF(P2729="","NJ INCONNU",INDEX('CARNET DE SOUDURE'!$AQ$7:$AQ$3006,P2729)))</f>
        <v/>
      </c>
      <c r="H2729" s="82" t="str">
        <f aca="false">IF(C2729="","",IF(G2729="ACCEPTÉ","OUI","NON"))</f>
        <v/>
      </c>
      <c r="I2729" s="83"/>
      <c r="J2729" s="80"/>
      <c r="K2729" s="81"/>
      <c r="L2729" s="81"/>
      <c r="M2729" s="81"/>
      <c r="N2729" s="84" t="str">
        <f aca="false">IF(C2729="","",IF(P2729="","NJ INCONNU",IF(I2729="",IF(H2729="OUI","À ENROBER",IF(G2729="À SOUDER","NON SOUDÉ","EN ATTENTE RT")),IF(L2729="R","À REPRENDRE",IF(H2729&lt;&gt;"OUI","⚠ ENROBÉ AVANT ACCEPTATION RT","ENROBÉ")))))</f>
        <v/>
      </c>
      <c r="O2729" s="80"/>
      <c r="P2729" s="82" t="str">
        <f aca="false">IF(C2729="","",IFERROR(MATCH(Q2729,'CARNET DE SOUDURE'!$AW$7:$AW$3006,0),""))</f>
        <v/>
      </c>
      <c r="Q2729" s="82" t="str">
        <f aca="false">IF(C2729="","",B2729&amp;"|"&amp;C2729)</f>
        <v/>
      </c>
    </row>
    <row r="2730" customFormat="false" ht="15" hidden="false" customHeight="false" outlineLevel="0" collapsed="false">
      <c r="A2730" s="82" t="str">
        <f aca="false">IF(C2730="","",ROW()-6)</f>
        <v/>
      </c>
      <c r="B2730" s="80"/>
      <c r="C2730" s="113"/>
      <c r="D2730" s="82" t="str">
        <f aca="false">IF(OR(C2730="",P2730=""),"",INDEX('CARNET DE SOUDURE'!$D$7:$D$3006,P2730)&amp;"")</f>
        <v/>
      </c>
      <c r="E2730" s="114" t="str">
        <f aca="false">IF(OR(C2730="",P2730=""),"",IF(INDEX('CARNET DE SOUDURE'!$U$7:$U$3006,P2730)="","",INDEX('CARNET DE SOUDURE'!$U$7:$U$3006,P2730)))</f>
        <v/>
      </c>
      <c r="F2730" s="82" t="str">
        <f aca="false">IF(OR(C2730="",P2730=""),"",INDEX('CARNET DE SOUDURE'!$AP$7:$AP$3006,P2730))</f>
        <v/>
      </c>
      <c r="G2730" s="82" t="str">
        <f aca="false">IF(C2730="","",IF(P2730="","NJ INCONNU",INDEX('CARNET DE SOUDURE'!$AQ$7:$AQ$3006,P2730)))</f>
        <v/>
      </c>
      <c r="H2730" s="82" t="str">
        <f aca="false">IF(C2730="","",IF(G2730="ACCEPTÉ","OUI","NON"))</f>
        <v/>
      </c>
      <c r="I2730" s="83"/>
      <c r="J2730" s="80"/>
      <c r="K2730" s="81"/>
      <c r="L2730" s="81"/>
      <c r="M2730" s="81"/>
      <c r="N2730" s="84" t="str">
        <f aca="false">IF(C2730="","",IF(P2730="","NJ INCONNU",IF(I2730="",IF(H2730="OUI","À ENROBER",IF(G2730="À SOUDER","NON SOUDÉ","EN ATTENTE RT")),IF(L2730="R","À REPRENDRE",IF(H2730&lt;&gt;"OUI","⚠ ENROBÉ AVANT ACCEPTATION RT","ENROBÉ")))))</f>
        <v/>
      </c>
      <c r="O2730" s="80"/>
      <c r="P2730" s="82" t="str">
        <f aca="false">IF(C2730="","",IFERROR(MATCH(Q2730,'CARNET DE SOUDURE'!$AW$7:$AW$3006,0),""))</f>
        <v/>
      </c>
      <c r="Q2730" s="82" t="str">
        <f aca="false">IF(C2730="","",B2730&amp;"|"&amp;C2730)</f>
        <v/>
      </c>
    </row>
    <row r="2731" customFormat="false" ht="15" hidden="false" customHeight="false" outlineLevel="0" collapsed="false">
      <c r="A2731" s="82" t="str">
        <f aca="false">IF(C2731="","",ROW()-6)</f>
        <v/>
      </c>
      <c r="B2731" s="80"/>
      <c r="C2731" s="113"/>
      <c r="D2731" s="82" t="str">
        <f aca="false">IF(OR(C2731="",P2731=""),"",INDEX('CARNET DE SOUDURE'!$D$7:$D$3006,P2731)&amp;"")</f>
        <v/>
      </c>
      <c r="E2731" s="114" t="str">
        <f aca="false">IF(OR(C2731="",P2731=""),"",IF(INDEX('CARNET DE SOUDURE'!$U$7:$U$3006,P2731)="","",INDEX('CARNET DE SOUDURE'!$U$7:$U$3006,P2731)))</f>
        <v/>
      </c>
      <c r="F2731" s="82" t="str">
        <f aca="false">IF(OR(C2731="",P2731=""),"",INDEX('CARNET DE SOUDURE'!$AP$7:$AP$3006,P2731))</f>
        <v/>
      </c>
      <c r="G2731" s="82" t="str">
        <f aca="false">IF(C2731="","",IF(P2731="","NJ INCONNU",INDEX('CARNET DE SOUDURE'!$AQ$7:$AQ$3006,P2731)))</f>
        <v/>
      </c>
      <c r="H2731" s="82" t="str">
        <f aca="false">IF(C2731="","",IF(G2731="ACCEPTÉ","OUI","NON"))</f>
        <v/>
      </c>
      <c r="I2731" s="83"/>
      <c r="J2731" s="80"/>
      <c r="K2731" s="81"/>
      <c r="L2731" s="81"/>
      <c r="M2731" s="81"/>
      <c r="N2731" s="84" t="str">
        <f aca="false">IF(C2731="","",IF(P2731="","NJ INCONNU",IF(I2731="",IF(H2731="OUI","À ENROBER",IF(G2731="À SOUDER","NON SOUDÉ","EN ATTENTE RT")),IF(L2731="R","À REPRENDRE",IF(H2731&lt;&gt;"OUI","⚠ ENROBÉ AVANT ACCEPTATION RT","ENROBÉ")))))</f>
        <v/>
      </c>
      <c r="O2731" s="80"/>
      <c r="P2731" s="82" t="str">
        <f aca="false">IF(C2731="","",IFERROR(MATCH(Q2731,'CARNET DE SOUDURE'!$AW$7:$AW$3006,0),""))</f>
        <v/>
      </c>
      <c r="Q2731" s="82" t="str">
        <f aca="false">IF(C2731="","",B2731&amp;"|"&amp;C2731)</f>
        <v/>
      </c>
    </row>
    <row r="2732" customFormat="false" ht="15" hidden="false" customHeight="false" outlineLevel="0" collapsed="false">
      <c r="A2732" s="82" t="str">
        <f aca="false">IF(C2732="","",ROW()-6)</f>
        <v/>
      </c>
      <c r="B2732" s="80"/>
      <c r="C2732" s="113"/>
      <c r="D2732" s="82" t="str">
        <f aca="false">IF(OR(C2732="",P2732=""),"",INDEX('CARNET DE SOUDURE'!$D$7:$D$3006,P2732)&amp;"")</f>
        <v/>
      </c>
      <c r="E2732" s="114" t="str">
        <f aca="false">IF(OR(C2732="",P2732=""),"",IF(INDEX('CARNET DE SOUDURE'!$U$7:$U$3006,P2732)="","",INDEX('CARNET DE SOUDURE'!$U$7:$U$3006,P2732)))</f>
        <v/>
      </c>
      <c r="F2732" s="82" t="str">
        <f aca="false">IF(OR(C2732="",P2732=""),"",INDEX('CARNET DE SOUDURE'!$AP$7:$AP$3006,P2732))</f>
        <v/>
      </c>
      <c r="G2732" s="82" t="str">
        <f aca="false">IF(C2732="","",IF(P2732="","NJ INCONNU",INDEX('CARNET DE SOUDURE'!$AQ$7:$AQ$3006,P2732)))</f>
        <v/>
      </c>
      <c r="H2732" s="82" t="str">
        <f aca="false">IF(C2732="","",IF(G2732="ACCEPTÉ","OUI","NON"))</f>
        <v/>
      </c>
      <c r="I2732" s="83"/>
      <c r="J2732" s="80"/>
      <c r="K2732" s="81"/>
      <c r="L2732" s="81"/>
      <c r="M2732" s="81"/>
      <c r="N2732" s="84" t="str">
        <f aca="false">IF(C2732="","",IF(P2732="","NJ INCONNU",IF(I2732="",IF(H2732="OUI","À ENROBER",IF(G2732="À SOUDER","NON SOUDÉ","EN ATTENTE RT")),IF(L2732="R","À REPRENDRE",IF(H2732&lt;&gt;"OUI","⚠ ENROBÉ AVANT ACCEPTATION RT","ENROBÉ")))))</f>
        <v/>
      </c>
      <c r="O2732" s="80"/>
      <c r="P2732" s="82" t="str">
        <f aca="false">IF(C2732="","",IFERROR(MATCH(Q2732,'CARNET DE SOUDURE'!$AW$7:$AW$3006,0),""))</f>
        <v/>
      </c>
      <c r="Q2732" s="82" t="str">
        <f aca="false">IF(C2732="","",B2732&amp;"|"&amp;C2732)</f>
        <v/>
      </c>
    </row>
    <row r="2733" customFormat="false" ht="15" hidden="false" customHeight="false" outlineLevel="0" collapsed="false">
      <c r="A2733" s="82" t="str">
        <f aca="false">IF(C2733="","",ROW()-6)</f>
        <v/>
      </c>
      <c r="B2733" s="80"/>
      <c r="C2733" s="113"/>
      <c r="D2733" s="82" t="str">
        <f aca="false">IF(OR(C2733="",P2733=""),"",INDEX('CARNET DE SOUDURE'!$D$7:$D$3006,P2733)&amp;"")</f>
        <v/>
      </c>
      <c r="E2733" s="114" t="str">
        <f aca="false">IF(OR(C2733="",P2733=""),"",IF(INDEX('CARNET DE SOUDURE'!$U$7:$U$3006,P2733)="","",INDEX('CARNET DE SOUDURE'!$U$7:$U$3006,P2733)))</f>
        <v/>
      </c>
      <c r="F2733" s="82" t="str">
        <f aca="false">IF(OR(C2733="",P2733=""),"",INDEX('CARNET DE SOUDURE'!$AP$7:$AP$3006,P2733))</f>
        <v/>
      </c>
      <c r="G2733" s="82" t="str">
        <f aca="false">IF(C2733="","",IF(P2733="","NJ INCONNU",INDEX('CARNET DE SOUDURE'!$AQ$7:$AQ$3006,P2733)))</f>
        <v/>
      </c>
      <c r="H2733" s="82" t="str">
        <f aca="false">IF(C2733="","",IF(G2733="ACCEPTÉ","OUI","NON"))</f>
        <v/>
      </c>
      <c r="I2733" s="83"/>
      <c r="J2733" s="80"/>
      <c r="K2733" s="81"/>
      <c r="L2733" s="81"/>
      <c r="M2733" s="81"/>
      <c r="N2733" s="84" t="str">
        <f aca="false">IF(C2733="","",IF(P2733="","NJ INCONNU",IF(I2733="",IF(H2733="OUI","À ENROBER",IF(G2733="À SOUDER","NON SOUDÉ","EN ATTENTE RT")),IF(L2733="R","À REPRENDRE",IF(H2733&lt;&gt;"OUI","⚠ ENROBÉ AVANT ACCEPTATION RT","ENROBÉ")))))</f>
        <v/>
      </c>
      <c r="O2733" s="80"/>
      <c r="P2733" s="82" t="str">
        <f aca="false">IF(C2733="","",IFERROR(MATCH(Q2733,'CARNET DE SOUDURE'!$AW$7:$AW$3006,0),""))</f>
        <v/>
      </c>
      <c r="Q2733" s="82" t="str">
        <f aca="false">IF(C2733="","",B2733&amp;"|"&amp;C2733)</f>
        <v/>
      </c>
    </row>
    <row r="2734" customFormat="false" ht="15" hidden="false" customHeight="false" outlineLevel="0" collapsed="false">
      <c r="A2734" s="82" t="str">
        <f aca="false">IF(C2734="","",ROW()-6)</f>
        <v/>
      </c>
      <c r="B2734" s="80"/>
      <c r="C2734" s="113"/>
      <c r="D2734" s="82" t="str">
        <f aca="false">IF(OR(C2734="",P2734=""),"",INDEX('CARNET DE SOUDURE'!$D$7:$D$3006,P2734)&amp;"")</f>
        <v/>
      </c>
      <c r="E2734" s="114" t="str">
        <f aca="false">IF(OR(C2734="",P2734=""),"",IF(INDEX('CARNET DE SOUDURE'!$U$7:$U$3006,P2734)="","",INDEX('CARNET DE SOUDURE'!$U$7:$U$3006,P2734)))</f>
        <v/>
      </c>
      <c r="F2734" s="82" t="str">
        <f aca="false">IF(OR(C2734="",P2734=""),"",INDEX('CARNET DE SOUDURE'!$AP$7:$AP$3006,P2734))</f>
        <v/>
      </c>
      <c r="G2734" s="82" t="str">
        <f aca="false">IF(C2734="","",IF(P2734="","NJ INCONNU",INDEX('CARNET DE SOUDURE'!$AQ$7:$AQ$3006,P2734)))</f>
        <v/>
      </c>
      <c r="H2734" s="82" t="str">
        <f aca="false">IF(C2734="","",IF(G2734="ACCEPTÉ","OUI","NON"))</f>
        <v/>
      </c>
      <c r="I2734" s="83"/>
      <c r="J2734" s="80"/>
      <c r="K2734" s="81"/>
      <c r="L2734" s="81"/>
      <c r="M2734" s="81"/>
      <c r="N2734" s="84" t="str">
        <f aca="false">IF(C2734="","",IF(P2734="","NJ INCONNU",IF(I2734="",IF(H2734="OUI","À ENROBER",IF(G2734="À SOUDER","NON SOUDÉ","EN ATTENTE RT")),IF(L2734="R","À REPRENDRE",IF(H2734&lt;&gt;"OUI","⚠ ENROBÉ AVANT ACCEPTATION RT","ENROBÉ")))))</f>
        <v/>
      </c>
      <c r="O2734" s="80"/>
      <c r="P2734" s="82" t="str">
        <f aca="false">IF(C2734="","",IFERROR(MATCH(Q2734,'CARNET DE SOUDURE'!$AW$7:$AW$3006,0),""))</f>
        <v/>
      </c>
      <c r="Q2734" s="82" t="str">
        <f aca="false">IF(C2734="","",B2734&amp;"|"&amp;C2734)</f>
        <v/>
      </c>
    </row>
    <row r="2735" customFormat="false" ht="15" hidden="false" customHeight="false" outlineLevel="0" collapsed="false">
      <c r="A2735" s="82" t="str">
        <f aca="false">IF(C2735="","",ROW()-6)</f>
        <v/>
      </c>
      <c r="B2735" s="80"/>
      <c r="C2735" s="113"/>
      <c r="D2735" s="82" t="str">
        <f aca="false">IF(OR(C2735="",P2735=""),"",INDEX('CARNET DE SOUDURE'!$D$7:$D$3006,P2735)&amp;"")</f>
        <v/>
      </c>
      <c r="E2735" s="114" t="str">
        <f aca="false">IF(OR(C2735="",P2735=""),"",IF(INDEX('CARNET DE SOUDURE'!$U$7:$U$3006,P2735)="","",INDEX('CARNET DE SOUDURE'!$U$7:$U$3006,P2735)))</f>
        <v/>
      </c>
      <c r="F2735" s="82" t="str">
        <f aca="false">IF(OR(C2735="",P2735=""),"",INDEX('CARNET DE SOUDURE'!$AP$7:$AP$3006,P2735))</f>
        <v/>
      </c>
      <c r="G2735" s="82" t="str">
        <f aca="false">IF(C2735="","",IF(P2735="","NJ INCONNU",INDEX('CARNET DE SOUDURE'!$AQ$7:$AQ$3006,P2735)))</f>
        <v/>
      </c>
      <c r="H2735" s="82" t="str">
        <f aca="false">IF(C2735="","",IF(G2735="ACCEPTÉ","OUI","NON"))</f>
        <v/>
      </c>
      <c r="I2735" s="83"/>
      <c r="J2735" s="80"/>
      <c r="K2735" s="81"/>
      <c r="L2735" s="81"/>
      <c r="M2735" s="81"/>
      <c r="N2735" s="84" t="str">
        <f aca="false">IF(C2735="","",IF(P2735="","NJ INCONNU",IF(I2735="",IF(H2735="OUI","À ENROBER",IF(G2735="À SOUDER","NON SOUDÉ","EN ATTENTE RT")),IF(L2735="R","À REPRENDRE",IF(H2735&lt;&gt;"OUI","⚠ ENROBÉ AVANT ACCEPTATION RT","ENROBÉ")))))</f>
        <v/>
      </c>
      <c r="O2735" s="80"/>
      <c r="P2735" s="82" t="str">
        <f aca="false">IF(C2735="","",IFERROR(MATCH(Q2735,'CARNET DE SOUDURE'!$AW$7:$AW$3006,0),""))</f>
        <v/>
      </c>
      <c r="Q2735" s="82" t="str">
        <f aca="false">IF(C2735="","",B2735&amp;"|"&amp;C2735)</f>
        <v/>
      </c>
    </row>
    <row r="2736" customFormat="false" ht="15" hidden="false" customHeight="false" outlineLevel="0" collapsed="false">
      <c r="A2736" s="82" t="str">
        <f aca="false">IF(C2736="","",ROW()-6)</f>
        <v/>
      </c>
      <c r="B2736" s="80"/>
      <c r="C2736" s="113"/>
      <c r="D2736" s="82" t="str">
        <f aca="false">IF(OR(C2736="",P2736=""),"",INDEX('CARNET DE SOUDURE'!$D$7:$D$3006,P2736)&amp;"")</f>
        <v/>
      </c>
      <c r="E2736" s="114" t="str">
        <f aca="false">IF(OR(C2736="",P2736=""),"",IF(INDEX('CARNET DE SOUDURE'!$U$7:$U$3006,P2736)="","",INDEX('CARNET DE SOUDURE'!$U$7:$U$3006,P2736)))</f>
        <v/>
      </c>
      <c r="F2736" s="82" t="str">
        <f aca="false">IF(OR(C2736="",P2736=""),"",INDEX('CARNET DE SOUDURE'!$AP$7:$AP$3006,P2736))</f>
        <v/>
      </c>
      <c r="G2736" s="82" t="str">
        <f aca="false">IF(C2736="","",IF(P2736="","NJ INCONNU",INDEX('CARNET DE SOUDURE'!$AQ$7:$AQ$3006,P2736)))</f>
        <v/>
      </c>
      <c r="H2736" s="82" t="str">
        <f aca="false">IF(C2736="","",IF(G2736="ACCEPTÉ","OUI","NON"))</f>
        <v/>
      </c>
      <c r="I2736" s="83"/>
      <c r="J2736" s="80"/>
      <c r="K2736" s="81"/>
      <c r="L2736" s="81"/>
      <c r="M2736" s="81"/>
      <c r="N2736" s="84" t="str">
        <f aca="false">IF(C2736="","",IF(P2736="","NJ INCONNU",IF(I2736="",IF(H2736="OUI","À ENROBER",IF(G2736="À SOUDER","NON SOUDÉ","EN ATTENTE RT")),IF(L2736="R","À REPRENDRE",IF(H2736&lt;&gt;"OUI","⚠ ENROBÉ AVANT ACCEPTATION RT","ENROBÉ")))))</f>
        <v/>
      </c>
      <c r="O2736" s="80"/>
      <c r="P2736" s="82" t="str">
        <f aca="false">IF(C2736="","",IFERROR(MATCH(Q2736,'CARNET DE SOUDURE'!$AW$7:$AW$3006,0),""))</f>
        <v/>
      </c>
      <c r="Q2736" s="82" t="str">
        <f aca="false">IF(C2736="","",B2736&amp;"|"&amp;C2736)</f>
        <v/>
      </c>
    </row>
    <row r="2737" customFormat="false" ht="15" hidden="false" customHeight="false" outlineLevel="0" collapsed="false">
      <c r="A2737" s="82" t="str">
        <f aca="false">IF(C2737="","",ROW()-6)</f>
        <v/>
      </c>
      <c r="B2737" s="80"/>
      <c r="C2737" s="113"/>
      <c r="D2737" s="82" t="str">
        <f aca="false">IF(OR(C2737="",P2737=""),"",INDEX('CARNET DE SOUDURE'!$D$7:$D$3006,P2737)&amp;"")</f>
        <v/>
      </c>
      <c r="E2737" s="114" t="str">
        <f aca="false">IF(OR(C2737="",P2737=""),"",IF(INDEX('CARNET DE SOUDURE'!$U$7:$U$3006,P2737)="","",INDEX('CARNET DE SOUDURE'!$U$7:$U$3006,P2737)))</f>
        <v/>
      </c>
      <c r="F2737" s="82" t="str">
        <f aca="false">IF(OR(C2737="",P2737=""),"",INDEX('CARNET DE SOUDURE'!$AP$7:$AP$3006,P2737))</f>
        <v/>
      </c>
      <c r="G2737" s="82" t="str">
        <f aca="false">IF(C2737="","",IF(P2737="","NJ INCONNU",INDEX('CARNET DE SOUDURE'!$AQ$7:$AQ$3006,P2737)))</f>
        <v/>
      </c>
      <c r="H2737" s="82" t="str">
        <f aca="false">IF(C2737="","",IF(G2737="ACCEPTÉ","OUI","NON"))</f>
        <v/>
      </c>
      <c r="I2737" s="83"/>
      <c r="J2737" s="80"/>
      <c r="K2737" s="81"/>
      <c r="L2737" s="81"/>
      <c r="M2737" s="81"/>
      <c r="N2737" s="84" t="str">
        <f aca="false">IF(C2737="","",IF(P2737="","NJ INCONNU",IF(I2737="",IF(H2737="OUI","À ENROBER",IF(G2737="À SOUDER","NON SOUDÉ","EN ATTENTE RT")),IF(L2737="R","À REPRENDRE",IF(H2737&lt;&gt;"OUI","⚠ ENROBÉ AVANT ACCEPTATION RT","ENROBÉ")))))</f>
        <v/>
      </c>
      <c r="O2737" s="80"/>
      <c r="P2737" s="82" t="str">
        <f aca="false">IF(C2737="","",IFERROR(MATCH(Q2737,'CARNET DE SOUDURE'!$AW$7:$AW$3006,0),""))</f>
        <v/>
      </c>
      <c r="Q2737" s="82" t="str">
        <f aca="false">IF(C2737="","",B2737&amp;"|"&amp;C2737)</f>
        <v/>
      </c>
    </row>
    <row r="2738" customFormat="false" ht="15" hidden="false" customHeight="false" outlineLevel="0" collapsed="false">
      <c r="A2738" s="82" t="str">
        <f aca="false">IF(C2738="","",ROW()-6)</f>
        <v/>
      </c>
      <c r="B2738" s="80"/>
      <c r="C2738" s="113"/>
      <c r="D2738" s="82" t="str">
        <f aca="false">IF(OR(C2738="",P2738=""),"",INDEX('CARNET DE SOUDURE'!$D$7:$D$3006,P2738)&amp;"")</f>
        <v/>
      </c>
      <c r="E2738" s="114" t="str">
        <f aca="false">IF(OR(C2738="",P2738=""),"",IF(INDEX('CARNET DE SOUDURE'!$U$7:$U$3006,P2738)="","",INDEX('CARNET DE SOUDURE'!$U$7:$U$3006,P2738)))</f>
        <v/>
      </c>
      <c r="F2738" s="82" t="str">
        <f aca="false">IF(OR(C2738="",P2738=""),"",INDEX('CARNET DE SOUDURE'!$AP$7:$AP$3006,P2738))</f>
        <v/>
      </c>
      <c r="G2738" s="82" t="str">
        <f aca="false">IF(C2738="","",IF(P2738="","NJ INCONNU",INDEX('CARNET DE SOUDURE'!$AQ$7:$AQ$3006,P2738)))</f>
        <v/>
      </c>
      <c r="H2738" s="82" t="str">
        <f aca="false">IF(C2738="","",IF(G2738="ACCEPTÉ","OUI","NON"))</f>
        <v/>
      </c>
      <c r="I2738" s="83"/>
      <c r="J2738" s="80"/>
      <c r="K2738" s="81"/>
      <c r="L2738" s="81"/>
      <c r="M2738" s="81"/>
      <c r="N2738" s="84" t="str">
        <f aca="false">IF(C2738="","",IF(P2738="","NJ INCONNU",IF(I2738="",IF(H2738="OUI","À ENROBER",IF(G2738="À SOUDER","NON SOUDÉ","EN ATTENTE RT")),IF(L2738="R","À REPRENDRE",IF(H2738&lt;&gt;"OUI","⚠ ENROBÉ AVANT ACCEPTATION RT","ENROBÉ")))))</f>
        <v/>
      </c>
      <c r="O2738" s="80"/>
      <c r="P2738" s="82" t="str">
        <f aca="false">IF(C2738="","",IFERROR(MATCH(Q2738,'CARNET DE SOUDURE'!$AW$7:$AW$3006,0),""))</f>
        <v/>
      </c>
      <c r="Q2738" s="82" t="str">
        <f aca="false">IF(C2738="","",B2738&amp;"|"&amp;C2738)</f>
        <v/>
      </c>
    </row>
    <row r="2739" customFormat="false" ht="15" hidden="false" customHeight="false" outlineLevel="0" collapsed="false">
      <c r="A2739" s="82" t="str">
        <f aca="false">IF(C2739="","",ROW()-6)</f>
        <v/>
      </c>
      <c r="B2739" s="80"/>
      <c r="C2739" s="113"/>
      <c r="D2739" s="82" t="str">
        <f aca="false">IF(OR(C2739="",P2739=""),"",INDEX('CARNET DE SOUDURE'!$D$7:$D$3006,P2739)&amp;"")</f>
        <v/>
      </c>
      <c r="E2739" s="114" t="str">
        <f aca="false">IF(OR(C2739="",P2739=""),"",IF(INDEX('CARNET DE SOUDURE'!$U$7:$U$3006,P2739)="","",INDEX('CARNET DE SOUDURE'!$U$7:$U$3006,P2739)))</f>
        <v/>
      </c>
      <c r="F2739" s="82" t="str">
        <f aca="false">IF(OR(C2739="",P2739=""),"",INDEX('CARNET DE SOUDURE'!$AP$7:$AP$3006,P2739))</f>
        <v/>
      </c>
      <c r="G2739" s="82" t="str">
        <f aca="false">IF(C2739="","",IF(P2739="","NJ INCONNU",INDEX('CARNET DE SOUDURE'!$AQ$7:$AQ$3006,P2739)))</f>
        <v/>
      </c>
      <c r="H2739" s="82" t="str">
        <f aca="false">IF(C2739="","",IF(G2739="ACCEPTÉ","OUI","NON"))</f>
        <v/>
      </c>
      <c r="I2739" s="83"/>
      <c r="J2739" s="80"/>
      <c r="K2739" s="81"/>
      <c r="L2739" s="81"/>
      <c r="M2739" s="81"/>
      <c r="N2739" s="84" t="str">
        <f aca="false">IF(C2739="","",IF(P2739="","NJ INCONNU",IF(I2739="",IF(H2739="OUI","À ENROBER",IF(G2739="À SOUDER","NON SOUDÉ","EN ATTENTE RT")),IF(L2739="R","À REPRENDRE",IF(H2739&lt;&gt;"OUI","⚠ ENROBÉ AVANT ACCEPTATION RT","ENROBÉ")))))</f>
        <v/>
      </c>
      <c r="O2739" s="80"/>
      <c r="P2739" s="82" t="str">
        <f aca="false">IF(C2739="","",IFERROR(MATCH(Q2739,'CARNET DE SOUDURE'!$AW$7:$AW$3006,0),""))</f>
        <v/>
      </c>
      <c r="Q2739" s="82" t="str">
        <f aca="false">IF(C2739="","",B2739&amp;"|"&amp;C2739)</f>
        <v/>
      </c>
    </row>
    <row r="2740" customFormat="false" ht="15" hidden="false" customHeight="false" outlineLevel="0" collapsed="false">
      <c r="A2740" s="82" t="str">
        <f aca="false">IF(C2740="","",ROW()-6)</f>
        <v/>
      </c>
      <c r="B2740" s="80"/>
      <c r="C2740" s="113"/>
      <c r="D2740" s="82" t="str">
        <f aca="false">IF(OR(C2740="",P2740=""),"",INDEX('CARNET DE SOUDURE'!$D$7:$D$3006,P2740)&amp;"")</f>
        <v/>
      </c>
      <c r="E2740" s="114" t="str">
        <f aca="false">IF(OR(C2740="",P2740=""),"",IF(INDEX('CARNET DE SOUDURE'!$U$7:$U$3006,P2740)="","",INDEX('CARNET DE SOUDURE'!$U$7:$U$3006,P2740)))</f>
        <v/>
      </c>
      <c r="F2740" s="82" t="str">
        <f aca="false">IF(OR(C2740="",P2740=""),"",INDEX('CARNET DE SOUDURE'!$AP$7:$AP$3006,P2740))</f>
        <v/>
      </c>
      <c r="G2740" s="82" t="str">
        <f aca="false">IF(C2740="","",IF(P2740="","NJ INCONNU",INDEX('CARNET DE SOUDURE'!$AQ$7:$AQ$3006,P2740)))</f>
        <v/>
      </c>
      <c r="H2740" s="82" t="str">
        <f aca="false">IF(C2740="","",IF(G2740="ACCEPTÉ","OUI","NON"))</f>
        <v/>
      </c>
      <c r="I2740" s="83"/>
      <c r="J2740" s="80"/>
      <c r="K2740" s="81"/>
      <c r="L2740" s="81"/>
      <c r="M2740" s="81"/>
      <c r="N2740" s="84" t="str">
        <f aca="false">IF(C2740="","",IF(P2740="","NJ INCONNU",IF(I2740="",IF(H2740="OUI","À ENROBER",IF(G2740="À SOUDER","NON SOUDÉ","EN ATTENTE RT")),IF(L2740="R","À REPRENDRE",IF(H2740&lt;&gt;"OUI","⚠ ENROBÉ AVANT ACCEPTATION RT","ENROBÉ")))))</f>
        <v/>
      </c>
      <c r="O2740" s="80"/>
      <c r="P2740" s="82" t="str">
        <f aca="false">IF(C2740="","",IFERROR(MATCH(Q2740,'CARNET DE SOUDURE'!$AW$7:$AW$3006,0),""))</f>
        <v/>
      </c>
      <c r="Q2740" s="82" t="str">
        <f aca="false">IF(C2740="","",B2740&amp;"|"&amp;C2740)</f>
        <v/>
      </c>
    </row>
    <row r="2741" customFormat="false" ht="15" hidden="false" customHeight="false" outlineLevel="0" collapsed="false">
      <c r="A2741" s="82" t="str">
        <f aca="false">IF(C2741="","",ROW()-6)</f>
        <v/>
      </c>
      <c r="B2741" s="80"/>
      <c r="C2741" s="113"/>
      <c r="D2741" s="82" t="str">
        <f aca="false">IF(OR(C2741="",P2741=""),"",INDEX('CARNET DE SOUDURE'!$D$7:$D$3006,P2741)&amp;"")</f>
        <v/>
      </c>
      <c r="E2741" s="114" t="str">
        <f aca="false">IF(OR(C2741="",P2741=""),"",IF(INDEX('CARNET DE SOUDURE'!$U$7:$U$3006,P2741)="","",INDEX('CARNET DE SOUDURE'!$U$7:$U$3006,P2741)))</f>
        <v/>
      </c>
      <c r="F2741" s="82" t="str">
        <f aca="false">IF(OR(C2741="",P2741=""),"",INDEX('CARNET DE SOUDURE'!$AP$7:$AP$3006,P2741))</f>
        <v/>
      </c>
      <c r="G2741" s="82" t="str">
        <f aca="false">IF(C2741="","",IF(P2741="","NJ INCONNU",INDEX('CARNET DE SOUDURE'!$AQ$7:$AQ$3006,P2741)))</f>
        <v/>
      </c>
      <c r="H2741" s="82" t="str">
        <f aca="false">IF(C2741="","",IF(G2741="ACCEPTÉ","OUI","NON"))</f>
        <v/>
      </c>
      <c r="I2741" s="83"/>
      <c r="J2741" s="80"/>
      <c r="K2741" s="81"/>
      <c r="L2741" s="81"/>
      <c r="M2741" s="81"/>
      <c r="N2741" s="84" t="str">
        <f aca="false">IF(C2741="","",IF(P2741="","NJ INCONNU",IF(I2741="",IF(H2741="OUI","À ENROBER",IF(G2741="À SOUDER","NON SOUDÉ","EN ATTENTE RT")),IF(L2741="R","À REPRENDRE",IF(H2741&lt;&gt;"OUI","⚠ ENROBÉ AVANT ACCEPTATION RT","ENROBÉ")))))</f>
        <v/>
      </c>
      <c r="O2741" s="80"/>
      <c r="P2741" s="82" t="str">
        <f aca="false">IF(C2741="","",IFERROR(MATCH(Q2741,'CARNET DE SOUDURE'!$AW$7:$AW$3006,0),""))</f>
        <v/>
      </c>
      <c r="Q2741" s="82" t="str">
        <f aca="false">IF(C2741="","",B2741&amp;"|"&amp;C2741)</f>
        <v/>
      </c>
    </row>
    <row r="2742" customFormat="false" ht="15" hidden="false" customHeight="false" outlineLevel="0" collapsed="false">
      <c r="A2742" s="82" t="str">
        <f aca="false">IF(C2742="","",ROW()-6)</f>
        <v/>
      </c>
      <c r="B2742" s="80"/>
      <c r="C2742" s="113"/>
      <c r="D2742" s="82" t="str">
        <f aca="false">IF(OR(C2742="",P2742=""),"",INDEX('CARNET DE SOUDURE'!$D$7:$D$3006,P2742)&amp;"")</f>
        <v/>
      </c>
      <c r="E2742" s="114" t="str">
        <f aca="false">IF(OR(C2742="",P2742=""),"",IF(INDEX('CARNET DE SOUDURE'!$U$7:$U$3006,P2742)="","",INDEX('CARNET DE SOUDURE'!$U$7:$U$3006,P2742)))</f>
        <v/>
      </c>
      <c r="F2742" s="82" t="str">
        <f aca="false">IF(OR(C2742="",P2742=""),"",INDEX('CARNET DE SOUDURE'!$AP$7:$AP$3006,P2742))</f>
        <v/>
      </c>
      <c r="G2742" s="82" t="str">
        <f aca="false">IF(C2742="","",IF(P2742="","NJ INCONNU",INDEX('CARNET DE SOUDURE'!$AQ$7:$AQ$3006,P2742)))</f>
        <v/>
      </c>
      <c r="H2742" s="82" t="str">
        <f aca="false">IF(C2742="","",IF(G2742="ACCEPTÉ","OUI","NON"))</f>
        <v/>
      </c>
      <c r="I2742" s="83"/>
      <c r="J2742" s="80"/>
      <c r="K2742" s="81"/>
      <c r="L2742" s="81"/>
      <c r="M2742" s="81"/>
      <c r="N2742" s="84" t="str">
        <f aca="false">IF(C2742="","",IF(P2742="","NJ INCONNU",IF(I2742="",IF(H2742="OUI","À ENROBER",IF(G2742="À SOUDER","NON SOUDÉ","EN ATTENTE RT")),IF(L2742="R","À REPRENDRE",IF(H2742&lt;&gt;"OUI","⚠ ENROBÉ AVANT ACCEPTATION RT","ENROBÉ")))))</f>
        <v/>
      </c>
      <c r="O2742" s="80"/>
      <c r="P2742" s="82" t="str">
        <f aca="false">IF(C2742="","",IFERROR(MATCH(Q2742,'CARNET DE SOUDURE'!$AW$7:$AW$3006,0),""))</f>
        <v/>
      </c>
      <c r="Q2742" s="82" t="str">
        <f aca="false">IF(C2742="","",B2742&amp;"|"&amp;C2742)</f>
        <v/>
      </c>
    </row>
    <row r="2743" customFormat="false" ht="15" hidden="false" customHeight="false" outlineLevel="0" collapsed="false">
      <c r="A2743" s="82" t="str">
        <f aca="false">IF(C2743="","",ROW()-6)</f>
        <v/>
      </c>
      <c r="B2743" s="80"/>
      <c r="C2743" s="113"/>
      <c r="D2743" s="82" t="str">
        <f aca="false">IF(OR(C2743="",P2743=""),"",INDEX('CARNET DE SOUDURE'!$D$7:$D$3006,P2743)&amp;"")</f>
        <v/>
      </c>
      <c r="E2743" s="114" t="str">
        <f aca="false">IF(OR(C2743="",P2743=""),"",IF(INDEX('CARNET DE SOUDURE'!$U$7:$U$3006,P2743)="","",INDEX('CARNET DE SOUDURE'!$U$7:$U$3006,P2743)))</f>
        <v/>
      </c>
      <c r="F2743" s="82" t="str">
        <f aca="false">IF(OR(C2743="",P2743=""),"",INDEX('CARNET DE SOUDURE'!$AP$7:$AP$3006,P2743))</f>
        <v/>
      </c>
      <c r="G2743" s="82" t="str">
        <f aca="false">IF(C2743="","",IF(P2743="","NJ INCONNU",INDEX('CARNET DE SOUDURE'!$AQ$7:$AQ$3006,P2743)))</f>
        <v/>
      </c>
      <c r="H2743" s="82" t="str">
        <f aca="false">IF(C2743="","",IF(G2743="ACCEPTÉ","OUI","NON"))</f>
        <v/>
      </c>
      <c r="I2743" s="83"/>
      <c r="J2743" s="80"/>
      <c r="K2743" s="81"/>
      <c r="L2743" s="81"/>
      <c r="M2743" s="81"/>
      <c r="N2743" s="84" t="str">
        <f aca="false">IF(C2743="","",IF(P2743="","NJ INCONNU",IF(I2743="",IF(H2743="OUI","À ENROBER",IF(G2743="À SOUDER","NON SOUDÉ","EN ATTENTE RT")),IF(L2743="R","À REPRENDRE",IF(H2743&lt;&gt;"OUI","⚠ ENROBÉ AVANT ACCEPTATION RT","ENROBÉ")))))</f>
        <v/>
      </c>
      <c r="O2743" s="80"/>
      <c r="P2743" s="82" t="str">
        <f aca="false">IF(C2743="","",IFERROR(MATCH(Q2743,'CARNET DE SOUDURE'!$AW$7:$AW$3006,0),""))</f>
        <v/>
      </c>
      <c r="Q2743" s="82" t="str">
        <f aca="false">IF(C2743="","",B2743&amp;"|"&amp;C2743)</f>
        <v/>
      </c>
    </row>
    <row r="2744" customFormat="false" ht="15" hidden="false" customHeight="false" outlineLevel="0" collapsed="false">
      <c r="A2744" s="82" t="str">
        <f aca="false">IF(C2744="","",ROW()-6)</f>
        <v/>
      </c>
      <c r="B2744" s="80"/>
      <c r="C2744" s="113"/>
      <c r="D2744" s="82" t="str">
        <f aca="false">IF(OR(C2744="",P2744=""),"",INDEX('CARNET DE SOUDURE'!$D$7:$D$3006,P2744)&amp;"")</f>
        <v/>
      </c>
      <c r="E2744" s="114" t="str">
        <f aca="false">IF(OR(C2744="",P2744=""),"",IF(INDEX('CARNET DE SOUDURE'!$U$7:$U$3006,P2744)="","",INDEX('CARNET DE SOUDURE'!$U$7:$U$3006,P2744)))</f>
        <v/>
      </c>
      <c r="F2744" s="82" t="str">
        <f aca="false">IF(OR(C2744="",P2744=""),"",INDEX('CARNET DE SOUDURE'!$AP$7:$AP$3006,P2744))</f>
        <v/>
      </c>
      <c r="G2744" s="82" t="str">
        <f aca="false">IF(C2744="","",IF(P2744="","NJ INCONNU",INDEX('CARNET DE SOUDURE'!$AQ$7:$AQ$3006,P2744)))</f>
        <v/>
      </c>
      <c r="H2744" s="82" t="str">
        <f aca="false">IF(C2744="","",IF(G2744="ACCEPTÉ","OUI","NON"))</f>
        <v/>
      </c>
      <c r="I2744" s="83"/>
      <c r="J2744" s="80"/>
      <c r="K2744" s="81"/>
      <c r="L2744" s="81"/>
      <c r="M2744" s="81"/>
      <c r="N2744" s="84" t="str">
        <f aca="false">IF(C2744="","",IF(P2744="","NJ INCONNU",IF(I2744="",IF(H2744="OUI","À ENROBER",IF(G2744="À SOUDER","NON SOUDÉ","EN ATTENTE RT")),IF(L2744="R","À REPRENDRE",IF(H2744&lt;&gt;"OUI","⚠ ENROBÉ AVANT ACCEPTATION RT","ENROBÉ")))))</f>
        <v/>
      </c>
      <c r="O2744" s="80"/>
      <c r="P2744" s="82" t="str">
        <f aca="false">IF(C2744="","",IFERROR(MATCH(Q2744,'CARNET DE SOUDURE'!$AW$7:$AW$3006,0),""))</f>
        <v/>
      </c>
      <c r="Q2744" s="82" t="str">
        <f aca="false">IF(C2744="","",B2744&amp;"|"&amp;C2744)</f>
        <v/>
      </c>
    </row>
    <row r="2745" customFormat="false" ht="15" hidden="false" customHeight="false" outlineLevel="0" collapsed="false">
      <c r="A2745" s="82" t="str">
        <f aca="false">IF(C2745="","",ROW()-6)</f>
        <v/>
      </c>
      <c r="B2745" s="80"/>
      <c r="C2745" s="113"/>
      <c r="D2745" s="82" t="str">
        <f aca="false">IF(OR(C2745="",P2745=""),"",INDEX('CARNET DE SOUDURE'!$D$7:$D$3006,P2745)&amp;"")</f>
        <v/>
      </c>
      <c r="E2745" s="114" t="str">
        <f aca="false">IF(OR(C2745="",P2745=""),"",IF(INDEX('CARNET DE SOUDURE'!$U$7:$U$3006,P2745)="","",INDEX('CARNET DE SOUDURE'!$U$7:$U$3006,P2745)))</f>
        <v/>
      </c>
      <c r="F2745" s="82" t="str">
        <f aca="false">IF(OR(C2745="",P2745=""),"",INDEX('CARNET DE SOUDURE'!$AP$7:$AP$3006,P2745))</f>
        <v/>
      </c>
      <c r="G2745" s="82" t="str">
        <f aca="false">IF(C2745="","",IF(P2745="","NJ INCONNU",INDEX('CARNET DE SOUDURE'!$AQ$7:$AQ$3006,P2745)))</f>
        <v/>
      </c>
      <c r="H2745" s="82" t="str">
        <f aca="false">IF(C2745="","",IF(G2745="ACCEPTÉ","OUI","NON"))</f>
        <v/>
      </c>
      <c r="I2745" s="83"/>
      <c r="J2745" s="80"/>
      <c r="K2745" s="81"/>
      <c r="L2745" s="81"/>
      <c r="M2745" s="81"/>
      <c r="N2745" s="84" t="str">
        <f aca="false">IF(C2745="","",IF(P2745="","NJ INCONNU",IF(I2745="",IF(H2745="OUI","À ENROBER",IF(G2745="À SOUDER","NON SOUDÉ","EN ATTENTE RT")),IF(L2745="R","À REPRENDRE",IF(H2745&lt;&gt;"OUI","⚠ ENROBÉ AVANT ACCEPTATION RT","ENROBÉ")))))</f>
        <v/>
      </c>
      <c r="O2745" s="80"/>
      <c r="P2745" s="82" t="str">
        <f aca="false">IF(C2745="","",IFERROR(MATCH(Q2745,'CARNET DE SOUDURE'!$AW$7:$AW$3006,0),""))</f>
        <v/>
      </c>
      <c r="Q2745" s="82" t="str">
        <f aca="false">IF(C2745="","",B2745&amp;"|"&amp;C2745)</f>
        <v/>
      </c>
    </row>
    <row r="2746" customFormat="false" ht="15" hidden="false" customHeight="false" outlineLevel="0" collapsed="false">
      <c r="A2746" s="82" t="str">
        <f aca="false">IF(C2746="","",ROW()-6)</f>
        <v/>
      </c>
      <c r="B2746" s="80"/>
      <c r="C2746" s="113"/>
      <c r="D2746" s="82" t="str">
        <f aca="false">IF(OR(C2746="",P2746=""),"",INDEX('CARNET DE SOUDURE'!$D$7:$D$3006,P2746)&amp;"")</f>
        <v/>
      </c>
      <c r="E2746" s="114" t="str">
        <f aca="false">IF(OR(C2746="",P2746=""),"",IF(INDEX('CARNET DE SOUDURE'!$U$7:$U$3006,P2746)="","",INDEX('CARNET DE SOUDURE'!$U$7:$U$3006,P2746)))</f>
        <v/>
      </c>
      <c r="F2746" s="82" t="str">
        <f aca="false">IF(OR(C2746="",P2746=""),"",INDEX('CARNET DE SOUDURE'!$AP$7:$AP$3006,P2746))</f>
        <v/>
      </c>
      <c r="G2746" s="82" t="str">
        <f aca="false">IF(C2746="","",IF(P2746="","NJ INCONNU",INDEX('CARNET DE SOUDURE'!$AQ$7:$AQ$3006,P2746)))</f>
        <v/>
      </c>
      <c r="H2746" s="82" t="str">
        <f aca="false">IF(C2746="","",IF(G2746="ACCEPTÉ","OUI","NON"))</f>
        <v/>
      </c>
      <c r="I2746" s="83"/>
      <c r="J2746" s="80"/>
      <c r="K2746" s="81"/>
      <c r="L2746" s="81"/>
      <c r="M2746" s="81"/>
      <c r="N2746" s="84" t="str">
        <f aca="false">IF(C2746="","",IF(P2746="","NJ INCONNU",IF(I2746="",IF(H2746="OUI","À ENROBER",IF(G2746="À SOUDER","NON SOUDÉ","EN ATTENTE RT")),IF(L2746="R","À REPRENDRE",IF(H2746&lt;&gt;"OUI","⚠ ENROBÉ AVANT ACCEPTATION RT","ENROBÉ")))))</f>
        <v/>
      </c>
      <c r="O2746" s="80"/>
      <c r="P2746" s="82" t="str">
        <f aca="false">IF(C2746="","",IFERROR(MATCH(Q2746,'CARNET DE SOUDURE'!$AW$7:$AW$3006,0),""))</f>
        <v/>
      </c>
      <c r="Q2746" s="82" t="str">
        <f aca="false">IF(C2746="","",B2746&amp;"|"&amp;C2746)</f>
        <v/>
      </c>
    </row>
    <row r="2747" customFormat="false" ht="15" hidden="false" customHeight="false" outlineLevel="0" collapsed="false">
      <c r="A2747" s="82" t="str">
        <f aca="false">IF(C2747="","",ROW()-6)</f>
        <v/>
      </c>
      <c r="B2747" s="80"/>
      <c r="C2747" s="113"/>
      <c r="D2747" s="82" t="str">
        <f aca="false">IF(OR(C2747="",P2747=""),"",INDEX('CARNET DE SOUDURE'!$D$7:$D$3006,P2747)&amp;"")</f>
        <v/>
      </c>
      <c r="E2747" s="114" t="str">
        <f aca="false">IF(OR(C2747="",P2747=""),"",IF(INDEX('CARNET DE SOUDURE'!$U$7:$U$3006,P2747)="","",INDEX('CARNET DE SOUDURE'!$U$7:$U$3006,P2747)))</f>
        <v/>
      </c>
      <c r="F2747" s="82" t="str">
        <f aca="false">IF(OR(C2747="",P2747=""),"",INDEX('CARNET DE SOUDURE'!$AP$7:$AP$3006,P2747))</f>
        <v/>
      </c>
      <c r="G2747" s="82" t="str">
        <f aca="false">IF(C2747="","",IF(P2747="","NJ INCONNU",INDEX('CARNET DE SOUDURE'!$AQ$7:$AQ$3006,P2747)))</f>
        <v/>
      </c>
      <c r="H2747" s="82" t="str">
        <f aca="false">IF(C2747="","",IF(G2747="ACCEPTÉ","OUI","NON"))</f>
        <v/>
      </c>
      <c r="I2747" s="83"/>
      <c r="J2747" s="80"/>
      <c r="K2747" s="81"/>
      <c r="L2747" s="81"/>
      <c r="M2747" s="81"/>
      <c r="N2747" s="84" t="str">
        <f aca="false">IF(C2747="","",IF(P2747="","NJ INCONNU",IF(I2747="",IF(H2747="OUI","À ENROBER",IF(G2747="À SOUDER","NON SOUDÉ","EN ATTENTE RT")),IF(L2747="R","À REPRENDRE",IF(H2747&lt;&gt;"OUI","⚠ ENROBÉ AVANT ACCEPTATION RT","ENROBÉ")))))</f>
        <v/>
      </c>
      <c r="O2747" s="80"/>
      <c r="P2747" s="82" t="str">
        <f aca="false">IF(C2747="","",IFERROR(MATCH(Q2747,'CARNET DE SOUDURE'!$AW$7:$AW$3006,0),""))</f>
        <v/>
      </c>
      <c r="Q2747" s="82" t="str">
        <f aca="false">IF(C2747="","",B2747&amp;"|"&amp;C2747)</f>
        <v/>
      </c>
    </row>
    <row r="2748" customFormat="false" ht="15" hidden="false" customHeight="false" outlineLevel="0" collapsed="false">
      <c r="A2748" s="82" t="str">
        <f aca="false">IF(C2748="","",ROW()-6)</f>
        <v/>
      </c>
      <c r="B2748" s="80"/>
      <c r="C2748" s="113"/>
      <c r="D2748" s="82" t="str">
        <f aca="false">IF(OR(C2748="",P2748=""),"",INDEX('CARNET DE SOUDURE'!$D$7:$D$3006,P2748)&amp;"")</f>
        <v/>
      </c>
      <c r="E2748" s="114" t="str">
        <f aca="false">IF(OR(C2748="",P2748=""),"",IF(INDEX('CARNET DE SOUDURE'!$U$7:$U$3006,P2748)="","",INDEX('CARNET DE SOUDURE'!$U$7:$U$3006,P2748)))</f>
        <v/>
      </c>
      <c r="F2748" s="82" t="str">
        <f aca="false">IF(OR(C2748="",P2748=""),"",INDEX('CARNET DE SOUDURE'!$AP$7:$AP$3006,P2748))</f>
        <v/>
      </c>
      <c r="G2748" s="82" t="str">
        <f aca="false">IF(C2748="","",IF(P2748="","NJ INCONNU",INDEX('CARNET DE SOUDURE'!$AQ$7:$AQ$3006,P2748)))</f>
        <v/>
      </c>
      <c r="H2748" s="82" t="str">
        <f aca="false">IF(C2748="","",IF(G2748="ACCEPTÉ","OUI","NON"))</f>
        <v/>
      </c>
      <c r="I2748" s="83"/>
      <c r="J2748" s="80"/>
      <c r="K2748" s="81"/>
      <c r="L2748" s="81"/>
      <c r="M2748" s="81"/>
      <c r="N2748" s="84" t="str">
        <f aca="false">IF(C2748="","",IF(P2748="","NJ INCONNU",IF(I2748="",IF(H2748="OUI","À ENROBER",IF(G2748="À SOUDER","NON SOUDÉ","EN ATTENTE RT")),IF(L2748="R","À REPRENDRE",IF(H2748&lt;&gt;"OUI","⚠ ENROBÉ AVANT ACCEPTATION RT","ENROBÉ")))))</f>
        <v/>
      </c>
      <c r="O2748" s="80"/>
      <c r="P2748" s="82" t="str">
        <f aca="false">IF(C2748="","",IFERROR(MATCH(Q2748,'CARNET DE SOUDURE'!$AW$7:$AW$3006,0),""))</f>
        <v/>
      </c>
      <c r="Q2748" s="82" t="str">
        <f aca="false">IF(C2748="","",B2748&amp;"|"&amp;C2748)</f>
        <v/>
      </c>
    </row>
    <row r="2749" customFormat="false" ht="15" hidden="false" customHeight="false" outlineLevel="0" collapsed="false">
      <c r="A2749" s="82" t="str">
        <f aca="false">IF(C2749="","",ROW()-6)</f>
        <v/>
      </c>
      <c r="B2749" s="80"/>
      <c r="C2749" s="113"/>
      <c r="D2749" s="82" t="str">
        <f aca="false">IF(OR(C2749="",P2749=""),"",INDEX('CARNET DE SOUDURE'!$D$7:$D$3006,P2749)&amp;"")</f>
        <v/>
      </c>
      <c r="E2749" s="114" t="str">
        <f aca="false">IF(OR(C2749="",P2749=""),"",IF(INDEX('CARNET DE SOUDURE'!$U$7:$U$3006,P2749)="","",INDEX('CARNET DE SOUDURE'!$U$7:$U$3006,P2749)))</f>
        <v/>
      </c>
      <c r="F2749" s="82" t="str">
        <f aca="false">IF(OR(C2749="",P2749=""),"",INDEX('CARNET DE SOUDURE'!$AP$7:$AP$3006,P2749))</f>
        <v/>
      </c>
      <c r="G2749" s="82" t="str">
        <f aca="false">IF(C2749="","",IF(P2749="","NJ INCONNU",INDEX('CARNET DE SOUDURE'!$AQ$7:$AQ$3006,P2749)))</f>
        <v/>
      </c>
      <c r="H2749" s="82" t="str">
        <f aca="false">IF(C2749="","",IF(G2749="ACCEPTÉ","OUI","NON"))</f>
        <v/>
      </c>
      <c r="I2749" s="83"/>
      <c r="J2749" s="80"/>
      <c r="K2749" s="81"/>
      <c r="L2749" s="81"/>
      <c r="M2749" s="81"/>
      <c r="N2749" s="84" t="str">
        <f aca="false">IF(C2749="","",IF(P2749="","NJ INCONNU",IF(I2749="",IF(H2749="OUI","À ENROBER",IF(G2749="À SOUDER","NON SOUDÉ","EN ATTENTE RT")),IF(L2749="R","À REPRENDRE",IF(H2749&lt;&gt;"OUI","⚠ ENROBÉ AVANT ACCEPTATION RT","ENROBÉ")))))</f>
        <v/>
      </c>
      <c r="O2749" s="80"/>
      <c r="P2749" s="82" t="str">
        <f aca="false">IF(C2749="","",IFERROR(MATCH(Q2749,'CARNET DE SOUDURE'!$AW$7:$AW$3006,0),""))</f>
        <v/>
      </c>
      <c r="Q2749" s="82" t="str">
        <f aca="false">IF(C2749="","",B2749&amp;"|"&amp;C2749)</f>
        <v/>
      </c>
    </row>
    <row r="2750" customFormat="false" ht="15" hidden="false" customHeight="false" outlineLevel="0" collapsed="false">
      <c r="A2750" s="82" t="str">
        <f aca="false">IF(C2750="","",ROW()-6)</f>
        <v/>
      </c>
      <c r="B2750" s="80"/>
      <c r="C2750" s="113"/>
      <c r="D2750" s="82" t="str">
        <f aca="false">IF(OR(C2750="",P2750=""),"",INDEX('CARNET DE SOUDURE'!$D$7:$D$3006,P2750)&amp;"")</f>
        <v/>
      </c>
      <c r="E2750" s="114" t="str">
        <f aca="false">IF(OR(C2750="",P2750=""),"",IF(INDEX('CARNET DE SOUDURE'!$U$7:$U$3006,P2750)="","",INDEX('CARNET DE SOUDURE'!$U$7:$U$3006,P2750)))</f>
        <v/>
      </c>
      <c r="F2750" s="82" t="str">
        <f aca="false">IF(OR(C2750="",P2750=""),"",INDEX('CARNET DE SOUDURE'!$AP$7:$AP$3006,P2750))</f>
        <v/>
      </c>
      <c r="G2750" s="82" t="str">
        <f aca="false">IF(C2750="","",IF(P2750="","NJ INCONNU",INDEX('CARNET DE SOUDURE'!$AQ$7:$AQ$3006,P2750)))</f>
        <v/>
      </c>
      <c r="H2750" s="82" t="str">
        <f aca="false">IF(C2750="","",IF(G2750="ACCEPTÉ","OUI","NON"))</f>
        <v/>
      </c>
      <c r="I2750" s="83"/>
      <c r="J2750" s="80"/>
      <c r="K2750" s="81"/>
      <c r="L2750" s="81"/>
      <c r="M2750" s="81"/>
      <c r="N2750" s="84" t="str">
        <f aca="false">IF(C2750="","",IF(P2750="","NJ INCONNU",IF(I2750="",IF(H2750="OUI","À ENROBER",IF(G2750="À SOUDER","NON SOUDÉ","EN ATTENTE RT")),IF(L2750="R","À REPRENDRE",IF(H2750&lt;&gt;"OUI","⚠ ENROBÉ AVANT ACCEPTATION RT","ENROBÉ")))))</f>
        <v/>
      </c>
      <c r="O2750" s="80"/>
      <c r="P2750" s="82" t="str">
        <f aca="false">IF(C2750="","",IFERROR(MATCH(Q2750,'CARNET DE SOUDURE'!$AW$7:$AW$3006,0),""))</f>
        <v/>
      </c>
      <c r="Q2750" s="82" t="str">
        <f aca="false">IF(C2750="","",B2750&amp;"|"&amp;C2750)</f>
        <v/>
      </c>
    </row>
    <row r="2751" customFormat="false" ht="15" hidden="false" customHeight="false" outlineLevel="0" collapsed="false">
      <c r="A2751" s="82" t="str">
        <f aca="false">IF(C2751="","",ROW()-6)</f>
        <v/>
      </c>
      <c r="B2751" s="80"/>
      <c r="C2751" s="113"/>
      <c r="D2751" s="82" t="str">
        <f aca="false">IF(OR(C2751="",P2751=""),"",INDEX('CARNET DE SOUDURE'!$D$7:$D$3006,P2751)&amp;"")</f>
        <v/>
      </c>
      <c r="E2751" s="114" t="str">
        <f aca="false">IF(OR(C2751="",P2751=""),"",IF(INDEX('CARNET DE SOUDURE'!$U$7:$U$3006,P2751)="","",INDEX('CARNET DE SOUDURE'!$U$7:$U$3006,P2751)))</f>
        <v/>
      </c>
      <c r="F2751" s="82" t="str">
        <f aca="false">IF(OR(C2751="",P2751=""),"",INDEX('CARNET DE SOUDURE'!$AP$7:$AP$3006,P2751))</f>
        <v/>
      </c>
      <c r="G2751" s="82" t="str">
        <f aca="false">IF(C2751="","",IF(P2751="","NJ INCONNU",INDEX('CARNET DE SOUDURE'!$AQ$7:$AQ$3006,P2751)))</f>
        <v/>
      </c>
      <c r="H2751" s="82" t="str">
        <f aca="false">IF(C2751="","",IF(G2751="ACCEPTÉ","OUI","NON"))</f>
        <v/>
      </c>
      <c r="I2751" s="83"/>
      <c r="J2751" s="80"/>
      <c r="K2751" s="81"/>
      <c r="L2751" s="81"/>
      <c r="M2751" s="81"/>
      <c r="N2751" s="84" t="str">
        <f aca="false">IF(C2751="","",IF(P2751="","NJ INCONNU",IF(I2751="",IF(H2751="OUI","À ENROBER",IF(G2751="À SOUDER","NON SOUDÉ","EN ATTENTE RT")),IF(L2751="R","À REPRENDRE",IF(H2751&lt;&gt;"OUI","⚠ ENROBÉ AVANT ACCEPTATION RT","ENROBÉ")))))</f>
        <v/>
      </c>
      <c r="O2751" s="80"/>
      <c r="P2751" s="82" t="str">
        <f aca="false">IF(C2751="","",IFERROR(MATCH(Q2751,'CARNET DE SOUDURE'!$AW$7:$AW$3006,0),""))</f>
        <v/>
      </c>
      <c r="Q2751" s="82" t="str">
        <f aca="false">IF(C2751="","",B2751&amp;"|"&amp;C2751)</f>
        <v/>
      </c>
    </row>
    <row r="2752" customFormat="false" ht="15" hidden="false" customHeight="false" outlineLevel="0" collapsed="false">
      <c r="A2752" s="82" t="str">
        <f aca="false">IF(C2752="","",ROW()-6)</f>
        <v/>
      </c>
      <c r="B2752" s="80"/>
      <c r="C2752" s="113"/>
      <c r="D2752" s="82" t="str">
        <f aca="false">IF(OR(C2752="",P2752=""),"",INDEX('CARNET DE SOUDURE'!$D$7:$D$3006,P2752)&amp;"")</f>
        <v/>
      </c>
      <c r="E2752" s="114" t="str">
        <f aca="false">IF(OR(C2752="",P2752=""),"",IF(INDEX('CARNET DE SOUDURE'!$U$7:$U$3006,P2752)="","",INDEX('CARNET DE SOUDURE'!$U$7:$U$3006,P2752)))</f>
        <v/>
      </c>
      <c r="F2752" s="82" t="str">
        <f aca="false">IF(OR(C2752="",P2752=""),"",INDEX('CARNET DE SOUDURE'!$AP$7:$AP$3006,P2752))</f>
        <v/>
      </c>
      <c r="G2752" s="82" t="str">
        <f aca="false">IF(C2752="","",IF(P2752="","NJ INCONNU",INDEX('CARNET DE SOUDURE'!$AQ$7:$AQ$3006,P2752)))</f>
        <v/>
      </c>
      <c r="H2752" s="82" t="str">
        <f aca="false">IF(C2752="","",IF(G2752="ACCEPTÉ","OUI","NON"))</f>
        <v/>
      </c>
      <c r="I2752" s="83"/>
      <c r="J2752" s="80"/>
      <c r="K2752" s="81"/>
      <c r="L2752" s="81"/>
      <c r="M2752" s="81"/>
      <c r="N2752" s="84" t="str">
        <f aca="false">IF(C2752="","",IF(P2752="","NJ INCONNU",IF(I2752="",IF(H2752="OUI","À ENROBER",IF(G2752="À SOUDER","NON SOUDÉ","EN ATTENTE RT")),IF(L2752="R","À REPRENDRE",IF(H2752&lt;&gt;"OUI","⚠ ENROBÉ AVANT ACCEPTATION RT","ENROBÉ")))))</f>
        <v/>
      </c>
      <c r="O2752" s="80"/>
      <c r="P2752" s="82" t="str">
        <f aca="false">IF(C2752="","",IFERROR(MATCH(Q2752,'CARNET DE SOUDURE'!$AW$7:$AW$3006,0),""))</f>
        <v/>
      </c>
      <c r="Q2752" s="82" t="str">
        <f aca="false">IF(C2752="","",B2752&amp;"|"&amp;C2752)</f>
        <v/>
      </c>
    </row>
    <row r="2753" customFormat="false" ht="15" hidden="false" customHeight="false" outlineLevel="0" collapsed="false">
      <c r="A2753" s="82" t="str">
        <f aca="false">IF(C2753="","",ROW()-6)</f>
        <v/>
      </c>
      <c r="B2753" s="80"/>
      <c r="C2753" s="113"/>
      <c r="D2753" s="82" t="str">
        <f aca="false">IF(OR(C2753="",P2753=""),"",INDEX('CARNET DE SOUDURE'!$D$7:$D$3006,P2753)&amp;"")</f>
        <v/>
      </c>
      <c r="E2753" s="114" t="str">
        <f aca="false">IF(OR(C2753="",P2753=""),"",IF(INDEX('CARNET DE SOUDURE'!$U$7:$U$3006,P2753)="","",INDEX('CARNET DE SOUDURE'!$U$7:$U$3006,P2753)))</f>
        <v/>
      </c>
      <c r="F2753" s="82" t="str">
        <f aca="false">IF(OR(C2753="",P2753=""),"",INDEX('CARNET DE SOUDURE'!$AP$7:$AP$3006,P2753))</f>
        <v/>
      </c>
      <c r="G2753" s="82" t="str">
        <f aca="false">IF(C2753="","",IF(P2753="","NJ INCONNU",INDEX('CARNET DE SOUDURE'!$AQ$7:$AQ$3006,P2753)))</f>
        <v/>
      </c>
      <c r="H2753" s="82" t="str">
        <f aca="false">IF(C2753="","",IF(G2753="ACCEPTÉ","OUI","NON"))</f>
        <v/>
      </c>
      <c r="I2753" s="83"/>
      <c r="J2753" s="80"/>
      <c r="K2753" s="81"/>
      <c r="L2753" s="81"/>
      <c r="M2753" s="81"/>
      <c r="N2753" s="84" t="str">
        <f aca="false">IF(C2753="","",IF(P2753="","NJ INCONNU",IF(I2753="",IF(H2753="OUI","À ENROBER",IF(G2753="À SOUDER","NON SOUDÉ","EN ATTENTE RT")),IF(L2753="R","À REPRENDRE",IF(H2753&lt;&gt;"OUI","⚠ ENROBÉ AVANT ACCEPTATION RT","ENROBÉ")))))</f>
        <v/>
      </c>
      <c r="O2753" s="80"/>
      <c r="P2753" s="82" t="str">
        <f aca="false">IF(C2753="","",IFERROR(MATCH(Q2753,'CARNET DE SOUDURE'!$AW$7:$AW$3006,0),""))</f>
        <v/>
      </c>
      <c r="Q2753" s="82" t="str">
        <f aca="false">IF(C2753="","",B2753&amp;"|"&amp;C2753)</f>
        <v/>
      </c>
    </row>
    <row r="2754" customFormat="false" ht="15" hidden="false" customHeight="false" outlineLevel="0" collapsed="false">
      <c r="A2754" s="82" t="str">
        <f aca="false">IF(C2754="","",ROW()-6)</f>
        <v/>
      </c>
      <c r="B2754" s="80"/>
      <c r="C2754" s="113"/>
      <c r="D2754" s="82" t="str">
        <f aca="false">IF(OR(C2754="",P2754=""),"",INDEX('CARNET DE SOUDURE'!$D$7:$D$3006,P2754)&amp;"")</f>
        <v/>
      </c>
      <c r="E2754" s="114" t="str">
        <f aca="false">IF(OR(C2754="",P2754=""),"",IF(INDEX('CARNET DE SOUDURE'!$U$7:$U$3006,P2754)="","",INDEX('CARNET DE SOUDURE'!$U$7:$U$3006,P2754)))</f>
        <v/>
      </c>
      <c r="F2754" s="82" t="str">
        <f aca="false">IF(OR(C2754="",P2754=""),"",INDEX('CARNET DE SOUDURE'!$AP$7:$AP$3006,P2754))</f>
        <v/>
      </c>
      <c r="G2754" s="82" t="str">
        <f aca="false">IF(C2754="","",IF(P2754="","NJ INCONNU",INDEX('CARNET DE SOUDURE'!$AQ$7:$AQ$3006,P2754)))</f>
        <v/>
      </c>
      <c r="H2754" s="82" t="str">
        <f aca="false">IF(C2754="","",IF(G2754="ACCEPTÉ","OUI","NON"))</f>
        <v/>
      </c>
      <c r="I2754" s="83"/>
      <c r="J2754" s="80"/>
      <c r="K2754" s="81"/>
      <c r="L2754" s="81"/>
      <c r="M2754" s="81"/>
      <c r="N2754" s="84" t="str">
        <f aca="false">IF(C2754="","",IF(P2754="","NJ INCONNU",IF(I2754="",IF(H2754="OUI","À ENROBER",IF(G2754="À SOUDER","NON SOUDÉ","EN ATTENTE RT")),IF(L2754="R","À REPRENDRE",IF(H2754&lt;&gt;"OUI","⚠ ENROBÉ AVANT ACCEPTATION RT","ENROBÉ")))))</f>
        <v/>
      </c>
      <c r="O2754" s="80"/>
      <c r="P2754" s="82" t="str">
        <f aca="false">IF(C2754="","",IFERROR(MATCH(Q2754,'CARNET DE SOUDURE'!$AW$7:$AW$3006,0),""))</f>
        <v/>
      </c>
      <c r="Q2754" s="82" t="str">
        <f aca="false">IF(C2754="","",B2754&amp;"|"&amp;C2754)</f>
        <v/>
      </c>
    </row>
    <row r="2755" customFormat="false" ht="15" hidden="false" customHeight="false" outlineLevel="0" collapsed="false">
      <c r="A2755" s="82" t="str">
        <f aca="false">IF(C2755="","",ROW()-6)</f>
        <v/>
      </c>
      <c r="B2755" s="80"/>
      <c r="C2755" s="113"/>
      <c r="D2755" s="82" t="str">
        <f aca="false">IF(OR(C2755="",P2755=""),"",INDEX('CARNET DE SOUDURE'!$D$7:$D$3006,P2755)&amp;"")</f>
        <v/>
      </c>
      <c r="E2755" s="114" t="str">
        <f aca="false">IF(OR(C2755="",P2755=""),"",IF(INDEX('CARNET DE SOUDURE'!$U$7:$U$3006,P2755)="","",INDEX('CARNET DE SOUDURE'!$U$7:$U$3006,P2755)))</f>
        <v/>
      </c>
      <c r="F2755" s="82" t="str">
        <f aca="false">IF(OR(C2755="",P2755=""),"",INDEX('CARNET DE SOUDURE'!$AP$7:$AP$3006,P2755))</f>
        <v/>
      </c>
      <c r="G2755" s="82" t="str">
        <f aca="false">IF(C2755="","",IF(P2755="","NJ INCONNU",INDEX('CARNET DE SOUDURE'!$AQ$7:$AQ$3006,P2755)))</f>
        <v/>
      </c>
      <c r="H2755" s="82" t="str">
        <f aca="false">IF(C2755="","",IF(G2755="ACCEPTÉ","OUI","NON"))</f>
        <v/>
      </c>
      <c r="I2755" s="83"/>
      <c r="J2755" s="80"/>
      <c r="K2755" s="81"/>
      <c r="L2755" s="81"/>
      <c r="M2755" s="81"/>
      <c r="N2755" s="84" t="str">
        <f aca="false">IF(C2755="","",IF(P2755="","NJ INCONNU",IF(I2755="",IF(H2755="OUI","À ENROBER",IF(G2755="À SOUDER","NON SOUDÉ","EN ATTENTE RT")),IF(L2755="R","À REPRENDRE",IF(H2755&lt;&gt;"OUI","⚠ ENROBÉ AVANT ACCEPTATION RT","ENROBÉ")))))</f>
        <v/>
      </c>
      <c r="O2755" s="80"/>
      <c r="P2755" s="82" t="str">
        <f aca="false">IF(C2755="","",IFERROR(MATCH(Q2755,'CARNET DE SOUDURE'!$AW$7:$AW$3006,0),""))</f>
        <v/>
      </c>
      <c r="Q2755" s="82" t="str">
        <f aca="false">IF(C2755="","",B2755&amp;"|"&amp;C2755)</f>
        <v/>
      </c>
    </row>
    <row r="2756" customFormat="false" ht="15" hidden="false" customHeight="false" outlineLevel="0" collapsed="false">
      <c r="A2756" s="82" t="str">
        <f aca="false">IF(C2756="","",ROW()-6)</f>
        <v/>
      </c>
      <c r="B2756" s="80"/>
      <c r="C2756" s="113"/>
      <c r="D2756" s="82" t="str">
        <f aca="false">IF(OR(C2756="",P2756=""),"",INDEX('CARNET DE SOUDURE'!$D$7:$D$3006,P2756)&amp;"")</f>
        <v/>
      </c>
      <c r="E2756" s="114" t="str">
        <f aca="false">IF(OR(C2756="",P2756=""),"",IF(INDEX('CARNET DE SOUDURE'!$U$7:$U$3006,P2756)="","",INDEX('CARNET DE SOUDURE'!$U$7:$U$3006,P2756)))</f>
        <v/>
      </c>
      <c r="F2756" s="82" t="str">
        <f aca="false">IF(OR(C2756="",P2756=""),"",INDEX('CARNET DE SOUDURE'!$AP$7:$AP$3006,P2756))</f>
        <v/>
      </c>
      <c r="G2756" s="82" t="str">
        <f aca="false">IF(C2756="","",IF(P2756="","NJ INCONNU",INDEX('CARNET DE SOUDURE'!$AQ$7:$AQ$3006,P2756)))</f>
        <v/>
      </c>
      <c r="H2756" s="82" t="str">
        <f aca="false">IF(C2756="","",IF(G2756="ACCEPTÉ","OUI","NON"))</f>
        <v/>
      </c>
      <c r="I2756" s="83"/>
      <c r="J2756" s="80"/>
      <c r="K2756" s="81"/>
      <c r="L2756" s="81"/>
      <c r="M2756" s="81"/>
      <c r="N2756" s="84" t="str">
        <f aca="false">IF(C2756="","",IF(P2756="","NJ INCONNU",IF(I2756="",IF(H2756="OUI","À ENROBER",IF(G2756="À SOUDER","NON SOUDÉ","EN ATTENTE RT")),IF(L2756="R","À REPRENDRE",IF(H2756&lt;&gt;"OUI","⚠ ENROBÉ AVANT ACCEPTATION RT","ENROBÉ")))))</f>
        <v/>
      </c>
      <c r="O2756" s="80"/>
      <c r="P2756" s="82" t="str">
        <f aca="false">IF(C2756="","",IFERROR(MATCH(Q2756,'CARNET DE SOUDURE'!$AW$7:$AW$3006,0),""))</f>
        <v/>
      </c>
      <c r="Q2756" s="82" t="str">
        <f aca="false">IF(C2756="","",B2756&amp;"|"&amp;C2756)</f>
        <v/>
      </c>
    </row>
    <row r="2757" customFormat="false" ht="15" hidden="false" customHeight="false" outlineLevel="0" collapsed="false">
      <c r="A2757" s="82" t="str">
        <f aca="false">IF(C2757="","",ROW()-6)</f>
        <v/>
      </c>
      <c r="B2757" s="80"/>
      <c r="C2757" s="113"/>
      <c r="D2757" s="82" t="str">
        <f aca="false">IF(OR(C2757="",P2757=""),"",INDEX('CARNET DE SOUDURE'!$D$7:$D$3006,P2757)&amp;"")</f>
        <v/>
      </c>
      <c r="E2757" s="114" t="str">
        <f aca="false">IF(OR(C2757="",P2757=""),"",IF(INDEX('CARNET DE SOUDURE'!$U$7:$U$3006,P2757)="","",INDEX('CARNET DE SOUDURE'!$U$7:$U$3006,P2757)))</f>
        <v/>
      </c>
      <c r="F2757" s="82" t="str">
        <f aca="false">IF(OR(C2757="",P2757=""),"",INDEX('CARNET DE SOUDURE'!$AP$7:$AP$3006,P2757))</f>
        <v/>
      </c>
      <c r="G2757" s="82" t="str">
        <f aca="false">IF(C2757="","",IF(P2757="","NJ INCONNU",INDEX('CARNET DE SOUDURE'!$AQ$7:$AQ$3006,P2757)))</f>
        <v/>
      </c>
      <c r="H2757" s="82" t="str">
        <f aca="false">IF(C2757="","",IF(G2757="ACCEPTÉ","OUI","NON"))</f>
        <v/>
      </c>
      <c r="I2757" s="83"/>
      <c r="J2757" s="80"/>
      <c r="K2757" s="81"/>
      <c r="L2757" s="81"/>
      <c r="M2757" s="81"/>
      <c r="N2757" s="84" t="str">
        <f aca="false">IF(C2757="","",IF(P2757="","NJ INCONNU",IF(I2757="",IF(H2757="OUI","À ENROBER",IF(G2757="À SOUDER","NON SOUDÉ","EN ATTENTE RT")),IF(L2757="R","À REPRENDRE",IF(H2757&lt;&gt;"OUI","⚠ ENROBÉ AVANT ACCEPTATION RT","ENROBÉ")))))</f>
        <v/>
      </c>
      <c r="O2757" s="80"/>
      <c r="P2757" s="82" t="str">
        <f aca="false">IF(C2757="","",IFERROR(MATCH(Q2757,'CARNET DE SOUDURE'!$AW$7:$AW$3006,0),""))</f>
        <v/>
      </c>
      <c r="Q2757" s="82" t="str">
        <f aca="false">IF(C2757="","",B2757&amp;"|"&amp;C2757)</f>
        <v/>
      </c>
    </row>
    <row r="2758" customFormat="false" ht="15" hidden="false" customHeight="false" outlineLevel="0" collapsed="false">
      <c r="A2758" s="82" t="str">
        <f aca="false">IF(C2758="","",ROW()-6)</f>
        <v/>
      </c>
      <c r="B2758" s="80"/>
      <c r="C2758" s="113"/>
      <c r="D2758" s="82" t="str">
        <f aca="false">IF(OR(C2758="",P2758=""),"",INDEX('CARNET DE SOUDURE'!$D$7:$D$3006,P2758)&amp;"")</f>
        <v/>
      </c>
      <c r="E2758" s="114" t="str">
        <f aca="false">IF(OR(C2758="",P2758=""),"",IF(INDEX('CARNET DE SOUDURE'!$U$7:$U$3006,P2758)="","",INDEX('CARNET DE SOUDURE'!$U$7:$U$3006,P2758)))</f>
        <v/>
      </c>
      <c r="F2758" s="82" t="str">
        <f aca="false">IF(OR(C2758="",P2758=""),"",INDEX('CARNET DE SOUDURE'!$AP$7:$AP$3006,P2758))</f>
        <v/>
      </c>
      <c r="G2758" s="82" t="str">
        <f aca="false">IF(C2758="","",IF(P2758="","NJ INCONNU",INDEX('CARNET DE SOUDURE'!$AQ$7:$AQ$3006,P2758)))</f>
        <v/>
      </c>
      <c r="H2758" s="82" t="str">
        <f aca="false">IF(C2758="","",IF(G2758="ACCEPTÉ","OUI","NON"))</f>
        <v/>
      </c>
      <c r="I2758" s="83"/>
      <c r="J2758" s="80"/>
      <c r="K2758" s="81"/>
      <c r="L2758" s="81"/>
      <c r="M2758" s="81"/>
      <c r="N2758" s="84" t="str">
        <f aca="false">IF(C2758="","",IF(P2758="","NJ INCONNU",IF(I2758="",IF(H2758="OUI","À ENROBER",IF(G2758="À SOUDER","NON SOUDÉ","EN ATTENTE RT")),IF(L2758="R","À REPRENDRE",IF(H2758&lt;&gt;"OUI","⚠ ENROBÉ AVANT ACCEPTATION RT","ENROBÉ")))))</f>
        <v/>
      </c>
      <c r="O2758" s="80"/>
      <c r="P2758" s="82" t="str">
        <f aca="false">IF(C2758="","",IFERROR(MATCH(Q2758,'CARNET DE SOUDURE'!$AW$7:$AW$3006,0),""))</f>
        <v/>
      </c>
      <c r="Q2758" s="82" t="str">
        <f aca="false">IF(C2758="","",B2758&amp;"|"&amp;C2758)</f>
        <v/>
      </c>
    </row>
    <row r="2759" customFormat="false" ht="15" hidden="false" customHeight="false" outlineLevel="0" collapsed="false">
      <c r="A2759" s="82" t="str">
        <f aca="false">IF(C2759="","",ROW()-6)</f>
        <v/>
      </c>
      <c r="B2759" s="80"/>
      <c r="C2759" s="113"/>
      <c r="D2759" s="82" t="str">
        <f aca="false">IF(OR(C2759="",P2759=""),"",INDEX('CARNET DE SOUDURE'!$D$7:$D$3006,P2759)&amp;"")</f>
        <v/>
      </c>
      <c r="E2759" s="114" t="str">
        <f aca="false">IF(OR(C2759="",P2759=""),"",IF(INDEX('CARNET DE SOUDURE'!$U$7:$U$3006,P2759)="","",INDEX('CARNET DE SOUDURE'!$U$7:$U$3006,P2759)))</f>
        <v/>
      </c>
      <c r="F2759" s="82" t="str">
        <f aca="false">IF(OR(C2759="",P2759=""),"",INDEX('CARNET DE SOUDURE'!$AP$7:$AP$3006,P2759))</f>
        <v/>
      </c>
      <c r="G2759" s="82" t="str">
        <f aca="false">IF(C2759="","",IF(P2759="","NJ INCONNU",INDEX('CARNET DE SOUDURE'!$AQ$7:$AQ$3006,P2759)))</f>
        <v/>
      </c>
      <c r="H2759" s="82" t="str">
        <f aca="false">IF(C2759="","",IF(G2759="ACCEPTÉ","OUI","NON"))</f>
        <v/>
      </c>
      <c r="I2759" s="83"/>
      <c r="J2759" s="80"/>
      <c r="K2759" s="81"/>
      <c r="L2759" s="81"/>
      <c r="M2759" s="81"/>
      <c r="N2759" s="84" t="str">
        <f aca="false">IF(C2759="","",IF(P2759="","NJ INCONNU",IF(I2759="",IF(H2759="OUI","À ENROBER",IF(G2759="À SOUDER","NON SOUDÉ","EN ATTENTE RT")),IF(L2759="R","À REPRENDRE",IF(H2759&lt;&gt;"OUI","⚠ ENROBÉ AVANT ACCEPTATION RT","ENROBÉ")))))</f>
        <v/>
      </c>
      <c r="O2759" s="80"/>
      <c r="P2759" s="82" t="str">
        <f aca="false">IF(C2759="","",IFERROR(MATCH(Q2759,'CARNET DE SOUDURE'!$AW$7:$AW$3006,0),""))</f>
        <v/>
      </c>
      <c r="Q2759" s="82" t="str">
        <f aca="false">IF(C2759="","",B2759&amp;"|"&amp;C2759)</f>
        <v/>
      </c>
    </row>
    <row r="2760" customFormat="false" ht="15" hidden="false" customHeight="false" outlineLevel="0" collapsed="false">
      <c r="A2760" s="82" t="str">
        <f aca="false">IF(C2760="","",ROW()-6)</f>
        <v/>
      </c>
      <c r="B2760" s="80"/>
      <c r="C2760" s="113"/>
      <c r="D2760" s="82" t="str">
        <f aca="false">IF(OR(C2760="",P2760=""),"",INDEX('CARNET DE SOUDURE'!$D$7:$D$3006,P2760)&amp;"")</f>
        <v/>
      </c>
      <c r="E2760" s="114" t="str">
        <f aca="false">IF(OR(C2760="",P2760=""),"",IF(INDEX('CARNET DE SOUDURE'!$U$7:$U$3006,P2760)="","",INDEX('CARNET DE SOUDURE'!$U$7:$U$3006,P2760)))</f>
        <v/>
      </c>
      <c r="F2760" s="82" t="str">
        <f aca="false">IF(OR(C2760="",P2760=""),"",INDEX('CARNET DE SOUDURE'!$AP$7:$AP$3006,P2760))</f>
        <v/>
      </c>
      <c r="G2760" s="82" t="str">
        <f aca="false">IF(C2760="","",IF(P2760="","NJ INCONNU",INDEX('CARNET DE SOUDURE'!$AQ$7:$AQ$3006,P2760)))</f>
        <v/>
      </c>
      <c r="H2760" s="82" t="str">
        <f aca="false">IF(C2760="","",IF(G2760="ACCEPTÉ","OUI","NON"))</f>
        <v/>
      </c>
      <c r="I2760" s="83"/>
      <c r="J2760" s="80"/>
      <c r="K2760" s="81"/>
      <c r="L2760" s="81"/>
      <c r="M2760" s="81"/>
      <c r="N2760" s="84" t="str">
        <f aca="false">IF(C2760="","",IF(P2760="","NJ INCONNU",IF(I2760="",IF(H2760="OUI","À ENROBER",IF(G2760="À SOUDER","NON SOUDÉ","EN ATTENTE RT")),IF(L2760="R","À REPRENDRE",IF(H2760&lt;&gt;"OUI","⚠ ENROBÉ AVANT ACCEPTATION RT","ENROBÉ")))))</f>
        <v/>
      </c>
      <c r="O2760" s="80"/>
      <c r="P2760" s="82" t="str">
        <f aca="false">IF(C2760="","",IFERROR(MATCH(Q2760,'CARNET DE SOUDURE'!$AW$7:$AW$3006,0),""))</f>
        <v/>
      </c>
      <c r="Q2760" s="82" t="str">
        <f aca="false">IF(C2760="","",B2760&amp;"|"&amp;C2760)</f>
        <v/>
      </c>
    </row>
    <row r="2761" customFormat="false" ht="15" hidden="false" customHeight="false" outlineLevel="0" collapsed="false">
      <c r="A2761" s="82" t="str">
        <f aca="false">IF(C2761="","",ROW()-6)</f>
        <v/>
      </c>
      <c r="B2761" s="80"/>
      <c r="C2761" s="113"/>
      <c r="D2761" s="82" t="str">
        <f aca="false">IF(OR(C2761="",P2761=""),"",INDEX('CARNET DE SOUDURE'!$D$7:$D$3006,P2761)&amp;"")</f>
        <v/>
      </c>
      <c r="E2761" s="114" t="str">
        <f aca="false">IF(OR(C2761="",P2761=""),"",IF(INDEX('CARNET DE SOUDURE'!$U$7:$U$3006,P2761)="","",INDEX('CARNET DE SOUDURE'!$U$7:$U$3006,P2761)))</f>
        <v/>
      </c>
      <c r="F2761" s="82" t="str">
        <f aca="false">IF(OR(C2761="",P2761=""),"",INDEX('CARNET DE SOUDURE'!$AP$7:$AP$3006,P2761))</f>
        <v/>
      </c>
      <c r="G2761" s="82" t="str">
        <f aca="false">IF(C2761="","",IF(P2761="","NJ INCONNU",INDEX('CARNET DE SOUDURE'!$AQ$7:$AQ$3006,P2761)))</f>
        <v/>
      </c>
      <c r="H2761" s="82" t="str">
        <f aca="false">IF(C2761="","",IF(G2761="ACCEPTÉ","OUI","NON"))</f>
        <v/>
      </c>
      <c r="I2761" s="83"/>
      <c r="J2761" s="80"/>
      <c r="K2761" s="81"/>
      <c r="L2761" s="81"/>
      <c r="M2761" s="81"/>
      <c r="N2761" s="84" t="str">
        <f aca="false">IF(C2761="","",IF(P2761="","NJ INCONNU",IF(I2761="",IF(H2761="OUI","À ENROBER",IF(G2761="À SOUDER","NON SOUDÉ","EN ATTENTE RT")),IF(L2761="R","À REPRENDRE",IF(H2761&lt;&gt;"OUI","⚠ ENROBÉ AVANT ACCEPTATION RT","ENROBÉ")))))</f>
        <v/>
      </c>
      <c r="O2761" s="80"/>
      <c r="P2761" s="82" t="str">
        <f aca="false">IF(C2761="","",IFERROR(MATCH(Q2761,'CARNET DE SOUDURE'!$AW$7:$AW$3006,0),""))</f>
        <v/>
      </c>
      <c r="Q2761" s="82" t="str">
        <f aca="false">IF(C2761="","",B2761&amp;"|"&amp;C2761)</f>
        <v/>
      </c>
    </row>
    <row r="2762" customFormat="false" ht="15" hidden="false" customHeight="false" outlineLevel="0" collapsed="false">
      <c r="A2762" s="82" t="str">
        <f aca="false">IF(C2762="","",ROW()-6)</f>
        <v/>
      </c>
      <c r="B2762" s="80"/>
      <c r="C2762" s="113"/>
      <c r="D2762" s="82" t="str">
        <f aca="false">IF(OR(C2762="",P2762=""),"",INDEX('CARNET DE SOUDURE'!$D$7:$D$3006,P2762)&amp;"")</f>
        <v/>
      </c>
      <c r="E2762" s="114" t="str">
        <f aca="false">IF(OR(C2762="",P2762=""),"",IF(INDEX('CARNET DE SOUDURE'!$U$7:$U$3006,P2762)="","",INDEX('CARNET DE SOUDURE'!$U$7:$U$3006,P2762)))</f>
        <v/>
      </c>
      <c r="F2762" s="82" t="str">
        <f aca="false">IF(OR(C2762="",P2762=""),"",INDEX('CARNET DE SOUDURE'!$AP$7:$AP$3006,P2762))</f>
        <v/>
      </c>
      <c r="G2762" s="82" t="str">
        <f aca="false">IF(C2762="","",IF(P2762="","NJ INCONNU",INDEX('CARNET DE SOUDURE'!$AQ$7:$AQ$3006,P2762)))</f>
        <v/>
      </c>
      <c r="H2762" s="82" t="str">
        <f aca="false">IF(C2762="","",IF(G2762="ACCEPTÉ","OUI","NON"))</f>
        <v/>
      </c>
      <c r="I2762" s="83"/>
      <c r="J2762" s="80"/>
      <c r="K2762" s="81"/>
      <c r="L2762" s="81"/>
      <c r="M2762" s="81"/>
      <c r="N2762" s="84" t="str">
        <f aca="false">IF(C2762="","",IF(P2762="","NJ INCONNU",IF(I2762="",IF(H2762="OUI","À ENROBER",IF(G2762="À SOUDER","NON SOUDÉ","EN ATTENTE RT")),IF(L2762="R","À REPRENDRE",IF(H2762&lt;&gt;"OUI","⚠ ENROBÉ AVANT ACCEPTATION RT","ENROBÉ")))))</f>
        <v/>
      </c>
      <c r="O2762" s="80"/>
      <c r="P2762" s="82" t="str">
        <f aca="false">IF(C2762="","",IFERROR(MATCH(Q2762,'CARNET DE SOUDURE'!$AW$7:$AW$3006,0),""))</f>
        <v/>
      </c>
      <c r="Q2762" s="82" t="str">
        <f aca="false">IF(C2762="","",B2762&amp;"|"&amp;C2762)</f>
        <v/>
      </c>
    </row>
    <row r="2763" customFormat="false" ht="15" hidden="false" customHeight="false" outlineLevel="0" collapsed="false">
      <c r="A2763" s="82" t="str">
        <f aca="false">IF(C2763="","",ROW()-6)</f>
        <v/>
      </c>
      <c r="B2763" s="80"/>
      <c r="C2763" s="113"/>
      <c r="D2763" s="82" t="str">
        <f aca="false">IF(OR(C2763="",P2763=""),"",INDEX('CARNET DE SOUDURE'!$D$7:$D$3006,P2763)&amp;"")</f>
        <v/>
      </c>
      <c r="E2763" s="114" t="str">
        <f aca="false">IF(OR(C2763="",P2763=""),"",IF(INDEX('CARNET DE SOUDURE'!$U$7:$U$3006,P2763)="","",INDEX('CARNET DE SOUDURE'!$U$7:$U$3006,P2763)))</f>
        <v/>
      </c>
      <c r="F2763" s="82" t="str">
        <f aca="false">IF(OR(C2763="",P2763=""),"",INDEX('CARNET DE SOUDURE'!$AP$7:$AP$3006,P2763))</f>
        <v/>
      </c>
      <c r="G2763" s="82" t="str">
        <f aca="false">IF(C2763="","",IF(P2763="","NJ INCONNU",INDEX('CARNET DE SOUDURE'!$AQ$7:$AQ$3006,P2763)))</f>
        <v/>
      </c>
      <c r="H2763" s="82" t="str">
        <f aca="false">IF(C2763="","",IF(G2763="ACCEPTÉ","OUI","NON"))</f>
        <v/>
      </c>
      <c r="I2763" s="83"/>
      <c r="J2763" s="80"/>
      <c r="K2763" s="81"/>
      <c r="L2763" s="81"/>
      <c r="M2763" s="81"/>
      <c r="N2763" s="84" t="str">
        <f aca="false">IF(C2763="","",IF(P2763="","NJ INCONNU",IF(I2763="",IF(H2763="OUI","À ENROBER",IF(G2763="À SOUDER","NON SOUDÉ","EN ATTENTE RT")),IF(L2763="R","À REPRENDRE",IF(H2763&lt;&gt;"OUI","⚠ ENROBÉ AVANT ACCEPTATION RT","ENROBÉ")))))</f>
        <v/>
      </c>
      <c r="O2763" s="80"/>
      <c r="P2763" s="82" t="str">
        <f aca="false">IF(C2763="","",IFERROR(MATCH(Q2763,'CARNET DE SOUDURE'!$AW$7:$AW$3006,0),""))</f>
        <v/>
      </c>
      <c r="Q2763" s="82" t="str">
        <f aca="false">IF(C2763="","",B2763&amp;"|"&amp;C2763)</f>
        <v/>
      </c>
    </row>
    <row r="2764" customFormat="false" ht="15" hidden="false" customHeight="false" outlineLevel="0" collapsed="false">
      <c r="A2764" s="82" t="str">
        <f aca="false">IF(C2764="","",ROW()-6)</f>
        <v/>
      </c>
      <c r="B2764" s="80"/>
      <c r="C2764" s="113"/>
      <c r="D2764" s="82" t="str">
        <f aca="false">IF(OR(C2764="",P2764=""),"",INDEX('CARNET DE SOUDURE'!$D$7:$D$3006,P2764)&amp;"")</f>
        <v/>
      </c>
      <c r="E2764" s="114" t="str">
        <f aca="false">IF(OR(C2764="",P2764=""),"",IF(INDEX('CARNET DE SOUDURE'!$U$7:$U$3006,P2764)="","",INDEX('CARNET DE SOUDURE'!$U$7:$U$3006,P2764)))</f>
        <v/>
      </c>
      <c r="F2764" s="82" t="str">
        <f aca="false">IF(OR(C2764="",P2764=""),"",INDEX('CARNET DE SOUDURE'!$AP$7:$AP$3006,P2764))</f>
        <v/>
      </c>
      <c r="G2764" s="82" t="str">
        <f aca="false">IF(C2764="","",IF(P2764="","NJ INCONNU",INDEX('CARNET DE SOUDURE'!$AQ$7:$AQ$3006,P2764)))</f>
        <v/>
      </c>
      <c r="H2764" s="82" t="str">
        <f aca="false">IF(C2764="","",IF(G2764="ACCEPTÉ","OUI","NON"))</f>
        <v/>
      </c>
      <c r="I2764" s="83"/>
      <c r="J2764" s="80"/>
      <c r="K2764" s="81"/>
      <c r="L2764" s="81"/>
      <c r="M2764" s="81"/>
      <c r="N2764" s="84" t="str">
        <f aca="false">IF(C2764="","",IF(P2764="","NJ INCONNU",IF(I2764="",IF(H2764="OUI","À ENROBER",IF(G2764="À SOUDER","NON SOUDÉ","EN ATTENTE RT")),IF(L2764="R","À REPRENDRE",IF(H2764&lt;&gt;"OUI","⚠ ENROBÉ AVANT ACCEPTATION RT","ENROBÉ")))))</f>
        <v/>
      </c>
      <c r="O2764" s="80"/>
      <c r="P2764" s="82" t="str">
        <f aca="false">IF(C2764="","",IFERROR(MATCH(Q2764,'CARNET DE SOUDURE'!$AW$7:$AW$3006,0),""))</f>
        <v/>
      </c>
      <c r="Q2764" s="82" t="str">
        <f aca="false">IF(C2764="","",B2764&amp;"|"&amp;C2764)</f>
        <v/>
      </c>
    </row>
    <row r="2765" customFormat="false" ht="15" hidden="false" customHeight="false" outlineLevel="0" collapsed="false">
      <c r="A2765" s="82" t="str">
        <f aca="false">IF(C2765="","",ROW()-6)</f>
        <v/>
      </c>
      <c r="B2765" s="80"/>
      <c r="C2765" s="113"/>
      <c r="D2765" s="82" t="str">
        <f aca="false">IF(OR(C2765="",P2765=""),"",INDEX('CARNET DE SOUDURE'!$D$7:$D$3006,P2765)&amp;"")</f>
        <v/>
      </c>
      <c r="E2765" s="114" t="str">
        <f aca="false">IF(OR(C2765="",P2765=""),"",IF(INDEX('CARNET DE SOUDURE'!$U$7:$U$3006,P2765)="","",INDEX('CARNET DE SOUDURE'!$U$7:$U$3006,P2765)))</f>
        <v/>
      </c>
      <c r="F2765" s="82" t="str">
        <f aca="false">IF(OR(C2765="",P2765=""),"",INDEX('CARNET DE SOUDURE'!$AP$7:$AP$3006,P2765))</f>
        <v/>
      </c>
      <c r="G2765" s="82" t="str">
        <f aca="false">IF(C2765="","",IF(P2765="","NJ INCONNU",INDEX('CARNET DE SOUDURE'!$AQ$7:$AQ$3006,P2765)))</f>
        <v/>
      </c>
      <c r="H2765" s="82" t="str">
        <f aca="false">IF(C2765="","",IF(G2765="ACCEPTÉ","OUI","NON"))</f>
        <v/>
      </c>
      <c r="I2765" s="83"/>
      <c r="J2765" s="80"/>
      <c r="K2765" s="81"/>
      <c r="L2765" s="81"/>
      <c r="M2765" s="81"/>
      <c r="N2765" s="84" t="str">
        <f aca="false">IF(C2765="","",IF(P2765="","NJ INCONNU",IF(I2765="",IF(H2765="OUI","À ENROBER",IF(G2765="À SOUDER","NON SOUDÉ","EN ATTENTE RT")),IF(L2765="R","À REPRENDRE",IF(H2765&lt;&gt;"OUI","⚠ ENROBÉ AVANT ACCEPTATION RT","ENROBÉ")))))</f>
        <v/>
      </c>
      <c r="O2765" s="80"/>
      <c r="P2765" s="82" t="str">
        <f aca="false">IF(C2765="","",IFERROR(MATCH(Q2765,'CARNET DE SOUDURE'!$AW$7:$AW$3006,0),""))</f>
        <v/>
      </c>
      <c r="Q2765" s="82" t="str">
        <f aca="false">IF(C2765="","",B2765&amp;"|"&amp;C2765)</f>
        <v/>
      </c>
    </row>
    <row r="2766" customFormat="false" ht="15" hidden="false" customHeight="false" outlineLevel="0" collapsed="false">
      <c r="A2766" s="82" t="str">
        <f aca="false">IF(C2766="","",ROW()-6)</f>
        <v/>
      </c>
      <c r="B2766" s="80"/>
      <c r="C2766" s="113"/>
      <c r="D2766" s="82" t="str">
        <f aca="false">IF(OR(C2766="",P2766=""),"",INDEX('CARNET DE SOUDURE'!$D$7:$D$3006,P2766)&amp;"")</f>
        <v/>
      </c>
      <c r="E2766" s="114" t="str">
        <f aca="false">IF(OR(C2766="",P2766=""),"",IF(INDEX('CARNET DE SOUDURE'!$U$7:$U$3006,P2766)="","",INDEX('CARNET DE SOUDURE'!$U$7:$U$3006,P2766)))</f>
        <v/>
      </c>
      <c r="F2766" s="82" t="str">
        <f aca="false">IF(OR(C2766="",P2766=""),"",INDEX('CARNET DE SOUDURE'!$AP$7:$AP$3006,P2766))</f>
        <v/>
      </c>
      <c r="G2766" s="82" t="str">
        <f aca="false">IF(C2766="","",IF(P2766="","NJ INCONNU",INDEX('CARNET DE SOUDURE'!$AQ$7:$AQ$3006,P2766)))</f>
        <v/>
      </c>
      <c r="H2766" s="82" t="str">
        <f aca="false">IF(C2766="","",IF(G2766="ACCEPTÉ","OUI","NON"))</f>
        <v/>
      </c>
      <c r="I2766" s="83"/>
      <c r="J2766" s="80"/>
      <c r="K2766" s="81"/>
      <c r="L2766" s="81"/>
      <c r="M2766" s="81"/>
      <c r="N2766" s="84" t="str">
        <f aca="false">IF(C2766="","",IF(P2766="","NJ INCONNU",IF(I2766="",IF(H2766="OUI","À ENROBER",IF(G2766="À SOUDER","NON SOUDÉ","EN ATTENTE RT")),IF(L2766="R","À REPRENDRE",IF(H2766&lt;&gt;"OUI","⚠ ENROBÉ AVANT ACCEPTATION RT","ENROBÉ")))))</f>
        <v/>
      </c>
      <c r="O2766" s="80"/>
      <c r="P2766" s="82" t="str">
        <f aca="false">IF(C2766="","",IFERROR(MATCH(Q2766,'CARNET DE SOUDURE'!$AW$7:$AW$3006,0),""))</f>
        <v/>
      </c>
      <c r="Q2766" s="82" t="str">
        <f aca="false">IF(C2766="","",B2766&amp;"|"&amp;C2766)</f>
        <v/>
      </c>
    </row>
    <row r="2767" customFormat="false" ht="15" hidden="false" customHeight="false" outlineLevel="0" collapsed="false">
      <c r="A2767" s="82" t="str">
        <f aca="false">IF(C2767="","",ROW()-6)</f>
        <v/>
      </c>
      <c r="B2767" s="80"/>
      <c r="C2767" s="113"/>
      <c r="D2767" s="82" t="str">
        <f aca="false">IF(OR(C2767="",P2767=""),"",INDEX('CARNET DE SOUDURE'!$D$7:$D$3006,P2767)&amp;"")</f>
        <v/>
      </c>
      <c r="E2767" s="114" t="str">
        <f aca="false">IF(OR(C2767="",P2767=""),"",IF(INDEX('CARNET DE SOUDURE'!$U$7:$U$3006,P2767)="","",INDEX('CARNET DE SOUDURE'!$U$7:$U$3006,P2767)))</f>
        <v/>
      </c>
      <c r="F2767" s="82" t="str">
        <f aca="false">IF(OR(C2767="",P2767=""),"",INDEX('CARNET DE SOUDURE'!$AP$7:$AP$3006,P2767))</f>
        <v/>
      </c>
      <c r="G2767" s="82" t="str">
        <f aca="false">IF(C2767="","",IF(P2767="","NJ INCONNU",INDEX('CARNET DE SOUDURE'!$AQ$7:$AQ$3006,P2767)))</f>
        <v/>
      </c>
      <c r="H2767" s="82" t="str">
        <f aca="false">IF(C2767="","",IF(G2767="ACCEPTÉ","OUI","NON"))</f>
        <v/>
      </c>
      <c r="I2767" s="83"/>
      <c r="J2767" s="80"/>
      <c r="K2767" s="81"/>
      <c r="L2767" s="81"/>
      <c r="M2767" s="81"/>
      <c r="N2767" s="84" t="str">
        <f aca="false">IF(C2767="","",IF(P2767="","NJ INCONNU",IF(I2767="",IF(H2767="OUI","À ENROBER",IF(G2767="À SOUDER","NON SOUDÉ","EN ATTENTE RT")),IF(L2767="R","À REPRENDRE",IF(H2767&lt;&gt;"OUI","⚠ ENROBÉ AVANT ACCEPTATION RT","ENROBÉ")))))</f>
        <v/>
      </c>
      <c r="O2767" s="80"/>
      <c r="P2767" s="82" t="str">
        <f aca="false">IF(C2767="","",IFERROR(MATCH(Q2767,'CARNET DE SOUDURE'!$AW$7:$AW$3006,0),""))</f>
        <v/>
      </c>
      <c r="Q2767" s="82" t="str">
        <f aca="false">IF(C2767="","",B2767&amp;"|"&amp;C2767)</f>
        <v/>
      </c>
    </row>
    <row r="2768" customFormat="false" ht="15" hidden="false" customHeight="false" outlineLevel="0" collapsed="false">
      <c r="A2768" s="82" t="str">
        <f aca="false">IF(C2768="","",ROW()-6)</f>
        <v/>
      </c>
      <c r="B2768" s="80"/>
      <c r="C2768" s="113"/>
      <c r="D2768" s="82" t="str">
        <f aca="false">IF(OR(C2768="",P2768=""),"",INDEX('CARNET DE SOUDURE'!$D$7:$D$3006,P2768)&amp;"")</f>
        <v/>
      </c>
      <c r="E2768" s="114" t="str">
        <f aca="false">IF(OR(C2768="",P2768=""),"",IF(INDEX('CARNET DE SOUDURE'!$U$7:$U$3006,P2768)="","",INDEX('CARNET DE SOUDURE'!$U$7:$U$3006,P2768)))</f>
        <v/>
      </c>
      <c r="F2768" s="82" t="str">
        <f aca="false">IF(OR(C2768="",P2768=""),"",INDEX('CARNET DE SOUDURE'!$AP$7:$AP$3006,P2768))</f>
        <v/>
      </c>
      <c r="G2768" s="82" t="str">
        <f aca="false">IF(C2768="","",IF(P2768="","NJ INCONNU",INDEX('CARNET DE SOUDURE'!$AQ$7:$AQ$3006,P2768)))</f>
        <v/>
      </c>
      <c r="H2768" s="82" t="str">
        <f aca="false">IF(C2768="","",IF(G2768="ACCEPTÉ","OUI","NON"))</f>
        <v/>
      </c>
      <c r="I2768" s="83"/>
      <c r="J2768" s="80"/>
      <c r="K2768" s="81"/>
      <c r="L2768" s="81"/>
      <c r="M2768" s="81"/>
      <c r="N2768" s="84" t="str">
        <f aca="false">IF(C2768="","",IF(P2768="","NJ INCONNU",IF(I2768="",IF(H2768="OUI","À ENROBER",IF(G2768="À SOUDER","NON SOUDÉ","EN ATTENTE RT")),IF(L2768="R","À REPRENDRE",IF(H2768&lt;&gt;"OUI","⚠ ENROBÉ AVANT ACCEPTATION RT","ENROBÉ")))))</f>
        <v/>
      </c>
      <c r="O2768" s="80"/>
      <c r="P2768" s="82" t="str">
        <f aca="false">IF(C2768="","",IFERROR(MATCH(Q2768,'CARNET DE SOUDURE'!$AW$7:$AW$3006,0),""))</f>
        <v/>
      </c>
      <c r="Q2768" s="82" t="str">
        <f aca="false">IF(C2768="","",B2768&amp;"|"&amp;C2768)</f>
        <v/>
      </c>
    </row>
    <row r="2769" customFormat="false" ht="15" hidden="false" customHeight="false" outlineLevel="0" collapsed="false">
      <c r="A2769" s="82" t="str">
        <f aca="false">IF(C2769="","",ROW()-6)</f>
        <v/>
      </c>
      <c r="B2769" s="80"/>
      <c r="C2769" s="113"/>
      <c r="D2769" s="82" t="str">
        <f aca="false">IF(OR(C2769="",P2769=""),"",INDEX('CARNET DE SOUDURE'!$D$7:$D$3006,P2769)&amp;"")</f>
        <v/>
      </c>
      <c r="E2769" s="114" t="str">
        <f aca="false">IF(OR(C2769="",P2769=""),"",IF(INDEX('CARNET DE SOUDURE'!$U$7:$U$3006,P2769)="","",INDEX('CARNET DE SOUDURE'!$U$7:$U$3006,P2769)))</f>
        <v/>
      </c>
      <c r="F2769" s="82" t="str">
        <f aca="false">IF(OR(C2769="",P2769=""),"",INDEX('CARNET DE SOUDURE'!$AP$7:$AP$3006,P2769))</f>
        <v/>
      </c>
      <c r="G2769" s="82" t="str">
        <f aca="false">IF(C2769="","",IF(P2769="","NJ INCONNU",INDEX('CARNET DE SOUDURE'!$AQ$7:$AQ$3006,P2769)))</f>
        <v/>
      </c>
      <c r="H2769" s="82" t="str">
        <f aca="false">IF(C2769="","",IF(G2769="ACCEPTÉ","OUI","NON"))</f>
        <v/>
      </c>
      <c r="I2769" s="83"/>
      <c r="J2769" s="80"/>
      <c r="K2769" s="81"/>
      <c r="L2769" s="81"/>
      <c r="M2769" s="81"/>
      <c r="N2769" s="84" t="str">
        <f aca="false">IF(C2769="","",IF(P2769="","NJ INCONNU",IF(I2769="",IF(H2769="OUI","À ENROBER",IF(G2769="À SOUDER","NON SOUDÉ","EN ATTENTE RT")),IF(L2769="R","À REPRENDRE",IF(H2769&lt;&gt;"OUI","⚠ ENROBÉ AVANT ACCEPTATION RT","ENROBÉ")))))</f>
        <v/>
      </c>
      <c r="O2769" s="80"/>
      <c r="P2769" s="82" t="str">
        <f aca="false">IF(C2769="","",IFERROR(MATCH(Q2769,'CARNET DE SOUDURE'!$AW$7:$AW$3006,0),""))</f>
        <v/>
      </c>
      <c r="Q2769" s="82" t="str">
        <f aca="false">IF(C2769="","",B2769&amp;"|"&amp;C2769)</f>
        <v/>
      </c>
    </row>
    <row r="2770" customFormat="false" ht="15" hidden="false" customHeight="false" outlineLevel="0" collapsed="false">
      <c r="A2770" s="82" t="str">
        <f aca="false">IF(C2770="","",ROW()-6)</f>
        <v/>
      </c>
      <c r="B2770" s="80"/>
      <c r="C2770" s="113"/>
      <c r="D2770" s="82" t="str">
        <f aca="false">IF(OR(C2770="",P2770=""),"",INDEX('CARNET DE SOUDURE'!$D$7:$D$3006,P2770)&amp;"")</f>
        <v/>
      </c>
      <c r="E2770" s="114" t="str">
        <f aca="false">IF(OR(C2770="",P2770=""),"",IF(INDEX('CARNET DE SOUDURE'!$U$7:$U$3006,P2770)="","",INDEX('CARNET DE SOUDURE'!$U$7:$U$3006,P2770)))</f>
        <v/>
      </c>
      <c r="F2770" s="82" t="str">
        <f aca="false">IF(OR(C2770="",P2770=""),"",INDEX('CARNET DE SOUDURE'!$AP$7:$AP$3006,P2770))</f>
        <v/>
      </c>
      <c r="G2770" s="82" t="str">
        <f aca="false">IF(C2770="","",IF(P2770="","NJ INCONNU",INDEX('CARNET DE SOUDURE'!$AQ$7:$AQ$3006,P2770)))</f>
        <v/>
      </c>
      <c r="H2770" s="82" t="str">
        <f aca="false">IF(C2770="","",IF(G2770="ACCEPTÉ","OUI","NON"))</f>
        <v/>
      </c>
      <c r="I2770" s="83"/>
      <c r="J2770" s="80"/>
      <c r="K2770" s="81"/>
      <c r="L2770" s="81"/>
      <c r="M2770" s="81"/>
      <c r="N2770" s="84" t="str">
        <f aca="false">IF(C2770="","",IF(P2770="","NJ INCONNU",IF(I2770="",IF(H2770="OUI","À ENROBER",IF(G2770="À SOUDER","NON SOUDÉ","EN ATTENTE RT")),IF(L2770="R","À REPRENDRE",IF(H2770&lt;&gt;"OUI","⚠ ENROBÉ AVANT ACCEPTATION RT","ENROBÉ")))))</f>
        <v/>
      </c>
      <c r="O2770" s="80"/>
      <c r="P2770" s="82" t="str">
        <f aca="false">IF(C2770="","",IFERROR(MATCH(Q2770,'CARNET DE SOUDURE'!$AW$7:$AW$3006,0),""))</f>
        <v/>
      </c>
      <c r="Q2770" s="82" t="str">
        <f aca="false">IF(C2770="","",B2770&amp;"|"&amp;C2770)</f>
        <v/>
      </c>
    </row>
    <row r="2771" customFormat="false" ht="15" hidden="false" customHeight="false" outlineLevel="0" collapsed="false">
      <c r="A2771" s="82" t="str">
        <f aca="false">IF(C2771="","",ROW()-6)</f>
        <v/>
      </c>
      <c r="B2771" s="80"/>
      <c r="C2771" s="113"/>
      <c r="D2771" s="82" t="str">
        <f aca="false">IF(OR(C2771="",P2771=""),"",INDEX('CARNET DE SOUDURE'!$D$7:$D$3006,P2771)&amp;"")</f>
        <v/>
      </c>
      <c r="E2771" s="114" t="str">
        <f aca="false">IF(OR(C2771="",P2771=""),"",IF(INDEX('CARNET DE SOUDURE'!$U$7:$U$3006,P2771)="","",INDEX('CARNET DE SOUDURE'!$U$7:$U$3006,P2771)))</f>
        <v/>
      </c>
      <c r="F2771" s="82" t="str">
        <f aca="false">IF(OR(C2771="",P2771=""),"",INDEX('CARNET DE SOUDURE'!$AP$7:$AP$3006,P2771))</f>
        <v/>
      </c>
      <c r="G2771" s="82" t="str">
        <f aca="false">IF(C2771="","",IF(P2771="","NJ INCONNU",INDEX('CARNET DE SOUDURE'!$AQ$7:$AQ$3006,P2771)))</f>
        <v/>
      </c>
      <c r="H2771" s="82" t="str">
        <f aca="false">IF(C2771="","",IF(G2771="ACCEPTÉ","OUI","NON"))</f>
        <v/>
      </c>
      <c r="I2771" s="83"/>
      <c r="J2771" s="80"/>
      <c r="K2771" s="81"/>
      <c r="L2771" s="81"/>
      <c r="M2771" s="81"/>
      <c r="N2771" s="84" t="str">
        <f aca="false">IF(C2771="","",IF(P2771="","NJ INCONNU",IF(I2771="",IF(H2771="OUI","À ENROBER",IF(G2771="À SOUDER","NON SOUDÉ","EN ATTENTE RT")),IF(L2771="R","À REPRENDRE",IF(H2771&lt;&gt;"OUI","⚠ ENROBÉ AVANT ACCEPTATION RT","ENROBÉ")))))</f>
        <v/>
      </c>
      <c r="O2771" s="80"/>
      <c r="P2771" s="82" t="str">
        <f aca="false">IF(C2771="","",IFERROR(MATCH(Q2771,'CARNET DE SOUDURE'!$AW$7:$AW$3006,0),""))</f>
        <v/>
      </c>
      <c r="Q2771" s="82" t="str">
        <f aca="false">IF(C2771="","",B2771&amp;"|"&amp;C2771)</f>
        <v/>
      </c>
    </row>
    <row r="2772" customFormat="false" ht="15" hidden="false" customHeight="false" outlineLevel="0" collapsed="false">
      <c r="A2772" s="82" t="str">
        <f aca="false">IF(C2772="","",ROW()-6)</f>
        <v/>
      </c>
      <c r="B2772" s="80"/>
      <c r="C2772" s="113"/>
      <c r="D2772" s="82" t="str">
        <f aca="false">IF(OR(C2772="",P2772=""),"",INDEX('CARNET DE SOUDURE'!$D$7:$D$3006,P2772)&amp;"")</f>
        <v/>
      </c>
      <c r="E2772" s="114" t="str">
        <f aca="false">IF(OR(C2772="",P2772=""),"",IF(INDEX('CARNET DE SOUDURE'!$U$7:$U$3006,P2772)="","",INDEX('CARNET DE SOUDURE'!$U$7:$U$3006,P2772)))</f>
        <v/>
      </c>
      <c r="F2772" s="82" t="str">
        <f aca="false">IF(OR(C2772="",P2772=""),"",INDEX('CARNET DE SOUDURE'!$AP$7:$AP$3006,P2772))</f>
        <v/>
      </c>
      <c r="G2772" s="82" t="str">
        <f aca="false">IF(C2772="","",IF(P2772="","NJ INCONNU",INDEX('CARNET DE SOUDURE'!$AQ$7:$AQ$3006,P2772)))</f>
        <v/>
      </c>
      <c r="H2772" s="82" t="str">
        <f aca="false">IF(C2772="","",IF(G2772="ACCEPTÉ","OUI","NON"))</f>
        <v/>
      </c>
      <c r="I2772" s="83"/>
      <c r="J2772" s="80"/>
      <c r="K2772" s="81"/>
      <c r="L2772" s="81"/>
      <c r="M2772" s="81"/>
      <c r="N2772" s="84" t="str">
        <f aca="false">IF(C2772="","",IF(P2772="","NJ INCONNU",IF(I2772="",IF(H2772="OUI","À ENROBER",IF(G2772="À SOUDER","NON SOUDÉ","EN ATTENTE RT")),IF(L2772="R","À REPRENDRE",IF(H2772&lt;&gt;"OUI","⚠ ENROBÉ AVANT ACCEPTATION RT","ENROBÉ")))))</f>
        <v/>
      </c>
      <c r="O2772" s="80"/>
      <c r="P2772" s="82" t="str">
        <f aca="false">IF(C2772="","",IFERROR(MATCH(Q2772,'CARNET DE SOUDURE'!$AW$7:$AW$3006,0),""))</f>
        <v/>
      </c>
      <c r="Q2772" s="82" t="str">
        <f aca="false">IF(C2772="","",B2772&amp;"|"&amp;C2772)</f>
        <v/>
      </c>
    </row>
    <row r="2773" customFormat="false" ht="15" hidden="false" customHeight="false" outlineLevel="0" collapsed="false">
      <c r="A2773" s="82" t="str">
        <f aca="false">IF(C2773="","",ROW()-6)</f>
        <v/>
      </c>
      <c r="B2773" s="80"/>
      <c r="C2773" s="113"/>
      <c r="D2773" s="82" t="str">
        <f aca="false">IF(OR(C2773="",P2773=""),"",INDEX('CARNET DE SOUDURE'!$D$7:$D$3006,P2773)&amp;"")</f>
        <v/>
      </c>
      <c r="E2773" s="114" t="str">
        <f aca="false">IF(OR(C2773="",P2773=""),"",IF(INDEX('CARNET DE SOUDURE'!$U$7:$U$3006,P2773)="","",INDEX('CARNET DE SOUDURE'!$U$7:$U$3006,P2773)))</f>
        <v/>
      </c>
      <c r="F2773" s="82" t="str">
        <f aca="false">IF(OR(C2773="",P2773=""),"",INDEX('CARNET DE SOUDURE'!$AP$7:$AP$3006,P2773))</f>
        <v/>
      </c>
      <c r="G2773" s="82" t="str">
        <f aca="false">IF(C2773="","",IF(P2773="","NJ INCONNU",INDEX('CARNET DE SOUDURE'!$AQ$7:$AQ$3006,P2773)))</f>
        <v/>
      </c>
      <c r="H2773" s="82" t="str">
        <f aca="false">IF(C2773="","",IF(G2773="ACCEPTÉ","OUI","NON"))</f>
        <v/>
      </c>
      <c r="I2773" s="83"/>
      <c r="J2773" s="80"/>
      <c r="K2773" s="81"/>
      <c r="L2773" s="81"/>
      <c r="M2773" s="81"/>
      <c r="N2773" s="84" t="str">
        <f aca="false">IF(C2773="","",IF(P2773="","NJ INCONNU",IF(I2773="",IF(H2773="OUI","À ENROBER",IF(G2773="À SOUDER","NON SOUDÉ","EN ATTENTE RT")),IF(L2773="R","À REPRENDRE",IF(H2773&lt;&gt;"OUI","⚠ ENROBÉ AVANT ACCEPTATION RT","ENROBÉ")))))</f>
        <v/>
      </c>
      <c r="O2773" s="80"/>
      <c r="P2773" s="82" t="str">
        <f aca="false">IF(C2773="","",IFERROR(MATCH(Q2773,'CARNET DE SOUDURE'!$AW$7:$AW$3006,0),""))</f>
        <v/>
      </c>
      <c r="Q2773" s="82" t="str">
        <f aca="false">IF(C2773="","",B2773&amp;"|"&amp;C2773)</f>
        <v/>
      </c>
    </row>
    <row r="2774" customFormat="false" ht="15" hidden="false" customHeight="false" outlineLevel="0" collapsed="false">
      <c r="A2774" s="82" t="str">
        <f aca="false">IF(C2774="","",ROW()-6)</f>
        <v/>
      </c>
      <c r="B2774" s="80"/>
      <c r="C2774" s="113"/>
      <c r="D2774" s="82" t="str">
        <f aca="false">IF(OR(C2774="",P2774=""),"",INDEX('CARNET DE SOUDURE'!$D$7:$D$3006,P2774)&amp;"")</f>
        <v/>
      </c>
      <c r="E2774" s="114" t="str">
        <f aca="false">IF(OR(C2774="",P2774=""),"",IF(INDEX('CARNET DE SOUDURE'!$U$7:$U$3006,P2774)="","",INDEX('CARNET DE SOUDURE'!$U$7:$U$3006,P2774)))</f>
        <v/>
      </c>
      <c r="F2774" s="82" t="str">
        <f aca="false">IF(OR(C2774="",P2774=""),"",INDEX('CARNET DE SOUDURE'!$AP$7:$AP$3006,P2774))</f>
        <v/>
      </c>
      <c r="G2774" s="82" t="str">
        <f aca="false">IF(C2774="","",IF(P2774="","NJ INCONNU",INDEX('CARNET DE SOUDURE'!$AQ$7:$AQ$3006,P2774)))</f>
        <v/>
      </c>
      <c r="H2774" s="82" t="str">
        <f aca="false">IF(C2774="","",IF(G2774="ACCEPTÉ","OUI","NON"))</f>
        <v/>
      </c>
      <c r="I2774" s="83"/>
      <c r="J2774" s="80"/>
      <c r="K2774" s="81"/>
      <c r="L2774" s="81"/>
      <c r="M2774" s="81"/>
      <c r="N2774" s="84" t="str">
        <f aca="false">IF(C2774="","",IF(P2774="","NJ INCONNU",IF(I2774="",IF(H2774="OUI","À ENROBER",IF(G2774="À SOUDER","NON SOUDÉ","EN ATTENTE RT")),IF(L2774="R","À REPRENDRE",IF(H2774&lt;&gt;"OUI","⚠ ENROBÉ AVANT ACCEPTATION RT","ENROBÉ")))))</f>
        <v/>
      </c>
      <c r="O2774" s="80"/>
      <c r="P2774" s="82" t="str">
        <f aca="false">IF(C2774="","",IFERROR(MATCH(Q2774,'CARNET DE SOUDURE'!$AW$7:$AW$3006,0),""))</f>
        <v/>
      </c>
      <c r="Q2774" s="82" t="str">
        <f aca="false">IF(C2774="","",B2774&amp;"|"&amp;C2774)</f>
        <v/>
      </c>
    </row>
    <row r="2775" customFormat="false" ht="15" hidden="false" customHeight="false" outlineLevel="0" collapsed="false">
      <c r="A2775" s="82" t="str">
        <f aca="false">IF(C2775="","",ROW()-6)</f>
        <v/>
      </c>
      <c r="B2775" s="80"/>
      <c r="C2775" s="113"/>
      <c r="D2775" s="82" t="str">
        <f aca="false">IF(OR(C2775="",P2775=""),"",INDEX('CARNET DE SOUDURE'!$D$7:$D$3006,P2775)&amp;"")</f>
        <v/>
      </c>
      <c r="E2775" s="114" t="str">
        <f aca="false">IF(OR(C2775="",P2775=""),"",IF(INDEX('CARNET DE SOUDURE'!$U$7:$U$3006,P2775)="","",INDEX('CARNET DE SOUDURE'!$U$7:$U$3006,P2775)))</f>
        <v/>
      </c>
      <c r="F2775" s="82" t="str">
        <f aca="false">IF(OR(C2775="",P2775=""),"",INDEX('CARNET DE SOUDURE'!$AP$7:$AP$3006,P2775))</f>
        <v/>
      </c>
      <c r="G2775" s="82" t="str">
        <f aca="false">IF(C2775="","",IF(P2775="","NJ INCONNU",INDEX('CARNET DE SOUDURE'!$AQ$7:$AQ$3006,P2775)))</f>
        <v/>
      </c>
      <c r="H2775" s="82" t="str">
        <f aca="false">IF(C2775="","",IF(G2775="ACCEPTÉ","OUI","NON"))</f>
        <v/>
      </c>
      <c r="I2775" s="83"/>
      <c r="J2775" s="80"/>
      <c r="K2775" s="81"/>
      <c r="L2775" s="81"/>
      <c r="M2775" s="81"/>
      <c r="N2775" s="84" t="str">
        <f aca="false">IF(C2775="","",IF(P2775="","NJ INCONNU",IF(I2775="",IF(H2775="OUI","À ENROBER",IF(G2775="À SOUDER","NON SOUDÉ","EN ATTENTE RT")),IF(L2775="R","À REPRENDRE",IF(H2775&lt;&gt;"OUI","⚠ ENROBÉ AVANT ACCEPTATION RT","ENROBÉ")))))</f>
        <v/>
      </c>
      <c r="O2775" s="80"/>
      <c r="P2775" s="82" t="str">
        <f aca="false">IF(C2775="","",IFERROR(MATCH(Q2775,'CARNET DE SOUDURE'!$AW$7:$AW$3006,0),""))</f>
        <v/>
      </c>
      <c r="Q2775" s="82" t="str">
        <f aca="false">IF(C2775="","",B2775&amp;"|"&amp;C2775)</f>
        <v/>
      </c>
    </row>
    <row r="2776" customFormat="false" ht="15" hidden="false" customHeight="false" outlineLevel="0" collapsed="false">
      <c r="A2776" s="82" t="str">
        <f aca="false">IF(C2776="","",ROW()-6)</f>
        <v/>
      </c>
      <c r="B2776" s="80"/>
      <c r="C2776" s="113"/>
      <c r="D2776" s="82" t="str">
        <f aca="false">IF(OR(C2776="",P2776=""),"",INDEX('CARNET DE SOUDURE'!$D$7:$D$3006,P2776)&amp;"")</f>
        <v/>
      </c>
      <c r="E2776" s="114" t="str">
        <f aca="false">IF(OR(C2776="",P2776=""),"",IF(INDEX('CARNET DE SOUDURE'!$U$7:$U$3006,P2776)="","",INDEX('CARNET DE SOUDURE'!$U$7:$U$3006,P2776)))</f>
        <v/>
      </c>
      <c r="F2776" s="82" t="str">
        <f aca="false">IF(OR(C2776="",P2776=""),"",INDEX('CARNET DE SOUDURE'!$AP$7:$AP$3006,P2776))</f>
        <v/>
      </c>
      <c r="G2776" s="82" t="str">
        <f aca="false">IF(C2776="","",IF(P2776="","NJ INCONNU",INDEX('CARNET DE SOUDURE'!$AQ$7:$AQ$3006,P2776)))</f>
        <v/>
      </c>
      <c r="H2776" s="82" t="str">
        <f aca="false">IF(C2776="","",IF(G2776="ACCEPTÉ","OUI","NON"))</f>
        <v/>
      </c>
      <c r="I2776" s="83"/>
      <c r="J2776" s="80"/>
      <c r="K2776" s="81"/>
      <c r="L2776" s="81"/>
      <c r="M2776" s="81"/>
      <c r="N2776" s="84" t="str">
        <f aca="false">IF(C2776="","",IF(P2776="","NJ INCONNU",IF(I2776="",IF(H2776="OUI","À ENROBER",IF(G2776="À SOUDER","NON SOUDÉ","EN ATTENTE RT")),IF(L2776="R","À REPRENDRE",IF(H2776&lt;&gt;"OUI","⚠ ENROBÉ AVANT ACCEPTATION RT","ENROBÉ")))))</f>
        <v/>
      </c>
      <c r="O2776" s="80"/>
      <c r="P2776" s="82" t="str">
        <f aca="false">IF(C2776="","",IFERROR(MATCH(Q2776,'CARNET DE SOUDURE'!$AW$7:$AW$3006,0),""))</f>
        <v/>
      </c>
      <c r="Q2776" s="82" t="str">
        <f aca="false">IF(C2776="","",B2776&amp;"|"&amp;C2776)</f>
        <v/>
      </c>
    </row>
    <row r="2777" customFormat="false" ht="15" hidden="false" customHeight="false" outlineLevel="0" collapsed="false">
      <c r="A2777" s="82" t="str">
        <f aca="false">IF(C2777="","",ROW()-6)</f>
        <v/>
      </c>
      <c r="B2777" s="80"/>
      <c r="C2777" s="113"/>
      <c r="D2777" s="82" t="str">
        <f aca="false">IF(OR(C2777="",P2777=""),"",INDEX('CARNET DE SOUDURE'!$D$7:$D$3006,P2777)&amp;"")</f>
        <v/>
      </c>
      <c r="E2777" s="114" t="str">
        <f aca="false">IF(OR(C2777="",P2777=""),"",IF(INDEX('CARNET DE SOUDURE'!$U$7:$U$3006,P2777)="","",INDEX('CARNET DE SOUDURE'!$U$7:$U$3006,P2777)))</f>
        <v/>
      </c>
      <c r="F2777" s="82" t="str">
        <f aca="false">IF(OR(C2777="",P2777=""),"",INDEX('CARNET DE SOUDURE'!$AP$7:$AP$3006,P2777))</f>
        <v/>
      </c>
      <c r="G2777" s="82" t="str">
        <f aca="false">IF(C2777="","",IF(P2777="","NJ INCONNU",INDEX('CARNET DE SOUDURE'!$AQ$7:$AQ$3006,P2777)))</f>
        <v/>
      </c>
      <c r="H2777" s="82" t="str">
        <f aca="false">IF(C2777="","",IF(G2777="ACCEPTÉ","OUI","NON"))</f>
        <v/>
      </c>
      <c r="I2777" s="83"/>
      <c r="J2777" s="80"/>
      <c r="K2777" s="81"/>
      <c r="L2777" s="81"/>
      <c r="M2777" s="81"/>
      <c r="N2777" s="84" t="str">
        <f aca="false">IF(C2777="","",IF(P2777="","NJ INCONNU",IF(I2777="",IF(H2777="OUI","À ENROBER",IF(G2777="À SOUDER","NON SOUDÉ","EN ATTENTE RT")),IF(L2777="R","À REPRENDRE",IF(H2777&lt;&gt;"OUI","⚠ ENROBÉ AVANT ACCEPTATION RT","ENROBÉ")))))</f>
        <v/>
      </c>
      <c r="O2777" s="80"/>
      <c r="P2777" s="82" t="str">
        <f aca="false">IF(C2777="","",IFERROR(MATCH(Q2777,'CARNET DE SOUDURE'!$AW$7:$AW$3006,0),""))</f>
        <v/>
      </c>
      <c r="Q2777" s="82" t="str">
        <f aca="false">IF(C2777="","",B2777&amp;"|"&amp;C2777)</f>
        <v/>
      </c>
    </row>
    <row r="2778" customFormat="false" ht="15" hidden="false" customHeight="false" outlineLevel="0" collapsed="false">
      <c r="A2778" s="82" t="str">
        <f aca="false">IF(C2778="","",ROW()-6)</f>
        <v/>
      </c>
      <c r="B2778" s="80"/>
      <c r="C2778" s="113"/>
      <c r="D2778" s="82" t="str">
        <f aca="false">IF(OR(C2778="",P2778=""),"",INDEX('CARNET DE SOUDURE'!$D$7:$D$3006,P2778)&amp;"")</f>
        <v/>
      </c>
      <c r="E2778" s="114" t="str">
        <f aca="false">IF(OR(C2778="",P2778=""),"",IF(INDEX('CARNET DE SOUDURE'!$U$7:$U$3006,P2778)="","",INDEX('CARNET DE SOUDURE'!$U$7:$U$3006,P2778)))</f>
        <v/>
      </c>
      <c r="F2778" s="82" t="str">
        <f aca="false">IF(OR(C2778="",P2778=""),"",INDEX('CARNET DE SOUDURE'!$AP$7:$AP$3006,P2778))</f>
        <v/>
      </c>
      <c r="G2778" s="82" t="str">
        <f aca="false">IF(C2778="","",IF(P2778="","NJ INCONNU",INDEX('CARNET DE SOUDURE'!$AQ$7:$AQ$3006,P2778)))</f>
        <v/>
      </c>
      <c r="H2778" s="82" t="str">
        <f aca="false">IF(C2778="","",IF(G2778="ACCEPTÉ","OUI","NON"))</f>
        <v/>
      </c>
      <c r="I2778" s="83"/>
      <c r="J2778" s="80"/>
      <c r="K2778" s="81"/>
      <c r="L2778" s="81"/>
      <c r="M2778" s="81"/>
      <c r="N2778" s="84" t="str">
        <f aca="false">IF(C2778="","",IF(P2778="","NJ INCONNU",IF(I2778="",IF(H2778="OUI","À ENROBER",IF(G2778="À SOUDER","NON SOUDÉ","EN ATTENTE RT")),IF(L2778="R","À REPRENDRE",IF(H2778&lt;&gt;"OUI","⚠ ENROBÉ AVANT ACCEPTATION RT","ENROBÉ")))))</f>
        <v/>
      </c>
      <c r="O2778" s="80"/>
      <c r="P2778" s="82" t="str">
        <f aca="false">IF(C2778="","",IFERROR(MATCH(Q2778,'CARNET DE SOUDURE'!$AW$7:$AW$3006,0),""))</f>
        <v/>
      </c>
      <c r="Q2778" s="82" t="str">
        <f aca="false">IF(C2778="","",B2778&amp;"|"&amp;C2778)</f>
        <v/>
      </c>
    </row>
    <row r="2779" customFormat="false" ht="15" hidden="false" customHeight="false" outlineLevel="0" collapsed="false">
      <c r="A2779" s="82" t="str">
        <f aca="false">IF(C2779="","",ROW()-6)</f>
        <v/>
      </c>
      <c r="B2779" s="80"/>
      <c r="C2779" s="113"/>
      <c r="D2779" s="82" t="str">
        <f aca="false">IF(OR(C2779="",P2779=""),"",INDEX('CARNET DE SOUDURE'!$D$7:$D$3006,P2779)&amp;"")</f>
        <v/>
      </c>
      <c r="E2779" s="114" t="str">
        <f aca="false">IF(OR(C2779="",P2779=""),"",IF(INDEX('CARNET DE SOUDURE'!$U$7:$U$3006,P2779)="","",INDEX('CARNET DE SOUDURE'!$U$7:$U$3006,P2779)))</f>
        <v/>
      </c>
      <c r="F2779" s="82" t="str">
        <f aca="false">IF(OR(C2779="",P2779=""),"",INDEX('CARNET DE SOUDURE'!$AP$7:$AP$3006,P2779))</f>
        <v/>
      </c>
      <c r="G2779" s="82" t="str">
        <f aca="false">IF(C2779="","",IF(P2779="","NJ INCONNU",INDEX('CARNET DE SOUDURE'!$AQ$7:$AQ$3006,P2779)))</f>
        <v/>
      </c>
      <c r="H2779" s="82" t="str">
        <f aca="false">IF(C2779="","",IF(G2779="ACCEPTÉ","OUI","NON"))</f>
        <v/>
      </c>
      <c r="I2779" s="83"/>
      <c r="J2779" s="80"/>
      <c r="K2779" s="81"/>
      <c r="L2779" s="81"/>
      <c r="M2779" s="81"/>
      <c r="N2779" s="84" t="str">
        <f aca="false">IF(C2779="","",IF(P2779="","NJ INCONNU",IF(I2779="",IF(H2779="OUI","À ENROBER",IF(G2779="À SOUDER","NON SOUDÉ","EN ATTENTE RT")),IF(L2779="R","À REPRENDRE",IF(H2779&lt;&gt;"OUI","⚠ ENROBÉ AVANT ACCEPTATION RT","ENROBÉ")))))</f>
        <v/>
      </c>
      <c r="O2779" s="80"/>
      <c r="P2779" s="82" t="str">
        <f aca="false">IF(C2779="","",IFERROR(MATCH(Q2779,'CARNET DE SOUDURE'!$AW$7:$AW$3006,0),""))</f>
        <v/>
      </c>
      <c r="Q2779" s="82" t="str">
        <f aca="false">IF(C2779="","",B2779&amp;"|"&amp;C2779)</f>
        <v/>
      </c>
    </row>
    <row r="2780" customFormat="false" ht="15" hidden="false" customHeight="false" outlineLevel="0" collapsed="false">
      <c r="A2780" s="82" t="str">
        <f aca="false">IF(C2780="","",ROW()-6)</f>
        <v/>
      </c>
      <c r="B2780" s="80"/>
      <c r="C2780" s="113"/>
      <c r="D2780" s="82" t="str">
        <f aca="false">IF(OR(C2780="",P2780=""),"",INDEX('CARNET DE SOUDURE'!$D$7:$D$3006,P2780)&amp;"")</f>
        <v/>
      </c>
      <c r="E2780" s="114" t="str">
        <f aca="false">IF(OR(C2780="",P2780=""),"",IF(INDEX('CARNET DE SOUDURE'!$U$7:$U$3006,P2780)="","",INDEX('CARNET DE SOUDURE'!$U$7:$U$3006,P2780)))</f>
        <v/>
      </c>
      <c r="F2780" s="82" t="str">
        <f aca="false">IF(OR(C2780="",P2780=""),"",INDEX('CARNET DE SOUDURE'!$AP$7:$AP$3006,P2780))</f>
        <v/>
      </c>
      <c r="G2780" s="82" t="str">
        <f aca="false">IF(C2780="","",IF(P2780="","NJ INCONNU",INDEX('CARNET DE SOUDURE'!$AQ$7:$AQ$3006,P2780)))</f>
        <v/>
      </c>
      <c r="H2780" s="82" t="str">
        <f aca="false">IF(C2780="","",IF(G2780="ACCEPTÉ","OUI","NON"))</f>
        <v/>
      </c>
      <c r="I2780" s="83"/>
      <c r="J2780" s="80"/>
      <c r="K2780" s="81"/>
      <c r="L2780" s="81"/>
      <c r="M2780" s="81"/>
      <c r="N2780" s="84" t="str">
        <f aca="false">IF(C2780="","",IF(P2780="","NJ INCONNU",IF(I2780="",IF(H2780="OUI","À ENROBER",IF(G2780="À SOUDER","NON SOUDÉ","EN ATTENTE RT")),IF(L2780="R","À REPRENDRE",IF(H2780&lt;&gt;"OUI","⚠ ENROBÉ AVANT ACCEPTATION RT","ENROBÉ")))))</f>
        <v/>
      </c>
      <c r="O2780" s="80"/>
      <c r="P2780" s="82" t="str">
        <f aca="false">IF(C2780="","",IFERROR(MATCH(Q2780,'CARNET DE SOUDURE'!$AW$7:$AW$3006,0),""))</f>
        <v/>
      </c>
      <c r="Q2780" s="82" t="str">
        <f aca="false">IF(C2780="","",B2780&amp;"|"&amp;C2780)</f>
        <v/>
      </c>
    </row>
    <row r="2781" customFormat="false" ht="15" hidden="false" customHeight="false" outlineLevel="0" collapsed="false">
      <c r="A2781" s="82" t="str">
        <f aca="false">IF(C2781="","",ROW()-6)</f>
        <v/>
      </c>
      <c r="B2781" s="80"/>
      <c r="C2781" s="113"/>
      <c r="D2781" s="82" t="str">
        <f aca="false">IF(OR(C2781="",P2781=""),"",INDEX('CARNET DE SOUDURE'!$D$7:$D$3006,P2781)&amp;"")</f>
        <v/>
      </c>
      <c r="E2781" s="114" t="str">
        <f aca="false">IF(OR(C2781="",P2781=""),"",IF(INDEX('CARNET DE SOUDURE'!$U$7:$U$3006,P2781)="","",INDEX('CARNET DE SOUDURE'!$U$7:$U$3006,P2781)))</f>
        <v/>
      </c>
      <c r="F2781" s="82" t="str">
        <f aca="false">IF(OR(C2781="",P2781=""),"",INDEX('CARNET DE SOUDURE'!$AP$7:$AP$3006,P2781))</f>
        <v/>
      </c>
      <c r="G2781" s="82" t="str">
        <f aca="false">IF(C2781="","",IF(P2781="","NJ INCONNU",INDEX('CARNET DE SOUDURE'!$AQ$7:$AQ$3006,P2781)))</f>
        <v/>
      </c>
      <c r="H2781" s="82" t="str">
        <f aca="false">IF(C2781="","",IF(G2781="ACCEPTÉ","OUI","NON"))</f>
        <v/>
      </c>
      <c r="I2781" s="83"/>
      <c r="J2781" s="80"/>
      <c r="K2781" s="81"/>
      <c r="L2781" s="81"/>
      <c r="M2781" s="81"/>
      <c r="N2781" s="84" t="str">
        <f aca="false">IF(C2781="","",IF(P2781="","NJ INCONNU",IF(I2781="",IF(H2781="OUI","À ENROBER",IF(G2781="À SOUDER","NON SOUDÉ","EN ATTENTE RT")),IF(L2781="R","À REPRENDRE",IF(H2781&lt;&gt;"OUI","⚠ ENROBÉ AVANT ACCEPTATION RT","ENROBÉ")))))</f>
        <v/>
      </c>
      <c r="O2781" s="80"/>
      <c r="P2781" s="82" t="str">
        <f aca="false">IF(C2781="","",IFERROR(MATCH(Q2781,'CARNET DE SOUDURE'!$AW$7:$AW$3006,0),""))</f>
        <v/>
      </c>
      <c r="Q2781" s="82" t="str">
        <f aca="false">IF(C2781="","",B2781&amp;"|"&amp;C2781)</f>
        <v/>
      </c>
    </row>
    <row r="2782" customFormat="false" ht="15" hidden="false" customHeight="false" outlineLevel="0" collapsed="false">
      <c r="A2782" s="82" t="str">
        <f aca="false">IF(C2782="","",ROW()-6)</f>
        <v/>
      </c>
      <c r="B2782" s="80"/>
      <c r="C2782" s="113"/>
      <c r="D2782" s="82" t="str">
        <f aca="false">IF(OR(C2782="",P2782=""),"",INDEX('CARNET DE SOUDURE'!$D$7:$D$3006,P2782)&amp;"")</f>
        <v/>
      </c>
      <c r="E2782" s="114" t="str">
        <f aca="false">IF(OR(C2782="",P2782=""),"",IF(INDEX('CARNET DE SOUDURE'!$U$7:$U$3006,P2782)="","",INDEX('CARNET DE SOUDURE'!$U$7:$U$3006,P2782)))</f>
        <v/>
      </c>
      <c r="F2782" s="82" t="str">
        <f aca="false">IF(OR(C2782="",P2782=""),"",INDEX('CARNET DE SOUDURE'!$AP$7:$AP$3006,P2782))</f>
        <v/>
      </c>
      <c r="G2782" s="82" t="str">
        <f aca="false">IF(C2782="","",IF(P2782="","NJ INCONNU",INDEX('CARNET DE SOUDURE'!$AQ$7:$AQ$3006,P2782)))</f>
        <v/>
      </c>
      <c r="H2782" s="82" t="str">
        <f aca="false">IF(C2782="","",IF(G2782="ACCEPTÉ","OUI","NON"))</f>
        <v/>
      </c>
      <c r="I2782" s="83"/>
      <c r="J2782" s="80"/>
      <c r="K2782" s="81"/>
      <c r="L2782" s="81"/>
      <c r="M2782" s="81"/>
      <c r="N2782" s="84" t="str">
        <f aca="false">IF(C2782="","",IF(P2782="","NJ INCONNU",IF(I2782="",IF(H2782="OUI","À ENROBER",IF(G2782="À SOUDER","NON SOUDÉ","EN ATTENTE RT")),IF(L2782="R","À REPRENDRE",IF(H2782&lt;&gt;"OUI","⚠ ENROBÉ AVANT ACCEPTATION RT","ENROBÉ")))))</f>
        <v/>
      </c>
      <c r="O2782" s="80"/>
      <c r="P2782" s="82" t="str">
        <f aca="false">IF(C2782="","",IFERROR(MATCH(Q2782,'CARNET DE SOUDURE'!$AW$7:$AW$3006,0),""))</f>
        <v/>
      </c>
      <c r="Q2782" s="82" t="str">
        <f aca="false">IF(C2782="","",B2782&amp;"|"&amp;C2782)</f>
        <v/>
      </c>
    </row>
    <row r="2783" customFormat="false" ht="15" hidden="false" customHeight="false" outlineLevel="0" collapsed="false">
      <c r="A2783" s="82" t="str">
        <f aca="false">IF(C2783="","",ROW()-6)</f>
        <v/>
      </c>
      <c r="B2783" s="80"/>
      <c r="C2783" s="113"/>
      <c r="D2783" s="82" t="str">
        <f aca="false">IF(OR(C2783="",P2783=""),"",INDEX('CARNET DE SOUDURE'!$D$7:$D$3006,P2783)&amp;"")</f>
        <v/>
      </c>
      <c r="E2783" s="114" t="str">
        <f aca="false">IF(OR(C2783="",P2783=""),"",IF(INDEX('CARNET DE SOUDURE'!$U$7:$U$3006,P2783)="","",INDEX('CARNET DE SOUDURE'!$U$7:$U$3006,P2783)))</f>
        <v/>
      </c>
      <c r="F2783" s="82" t="str">
        <f aca="false">IF(OR(C2783="",P2783=""),"",INDEX('CARNET DE SOUDURE'!$AP$7:$AP$3006,P2783))</f>
        <v/>
      </c>
      <c r="G2783" s="82" t="str">
        <f aca="false">IF(C2783="","",IF(P2783="","NJ INCONNU",INDEX('CARNET DE SOUDURE'!$AQ$7:$AQ$3006,P2783)))</f>
        <v/>
      </c>
      <c r="H2783" s="82" t="str">
        <f aca="false">IF(C2783="","",IF(G2783="ACCEPTÉ","OUI","NON"))</f>
        <v/>
      </c>
      <c r="I2783" s="83"/>
      <c r="J2783" s="80"/>
      <c r="K2783" s="81"/>
      <c r="L2783" s="81"/>
      <c r="M2783" s="81"/>
      <c r="N2783" s="84" t="str">
        <f aca="false">IF(C2783="","",IF(P2783="","NJ INCONNU",IF(I2783="",IF(H2783="OUI","À ENROBER",IF(G2783="À SOUDER","NON SOUDÉ","EN ATTENTE RT")),IF(L2783="R","À REPRENDRE",IF(H2783&lt;&gt;"OUI","⚠ ENROBÉ AVANT ACCEPTATION RT","ENROBÉ")))))</f>
        <v/>
      </c>
      <c r="O2783" s="80"/>
      <c r="P2783" s="82" t="str">
        <f aca="false">IF(C2783="","",IFERROR(MATCH(Q2783,'CARNET DE SOUDURE'!$AW$7:$AW$3006,0),""))</f>
        <v/>
      </c>
      <c r="Q2783" s="82" t="str">
        <f aca="false">IF(C2783="","",B2783&amp;"|"&amp;C2783)</f>
        <v/>
      </c>
    </row>
    <row r="2784" customFormat="false" ht="15" hidden="false" customHeight="false" outlineLevel="0" collapsed="false">
      <c r="A2784" s="82" t="str">
        <f aca="false">IF(C2784="","",ROW()-6)</f>
        <v/>
      </c>
      <c r="B2784" s="80"/>
      <c r="C2784" s="113"/>
      <c r="D2784" s="82" t="str">
        <f aca="false">IF(OR(C2784="",P2784=""),"",INDEX('CARNET DE SOUDURE'!$D$7:$D$3006,P2784)&amp;"")</f>
        <v/>
      </c>
      <c r="E2784" s="114" t="str">
        <f aca="false">IF(OR(C2784="",P2784=""),"",IF(INDEX('CARNET DE SOUDURE'!$U$7:$U$3006,P2784)="","",INDEX('CARNET DE SOUDURE'!$U$7:$U$3006,P2784)))</f>
        <v/>
      </c>
      <c r="F2784" s="82" t="str">
        <f aca="false">IF(OR(C2784="",P2784=""),"",INDEX('CARNET DE SOUDURE'!$AP$7:$AP$3006,P2784))</f>
        <v/>
      </c>
      <c r="G2784" s="82" t="str">
        <f aca="false">IF(C2784="","",IF(P2784="","NJ INCONNU",INDEX('CARNET DE SOUDURE'!$AQ$7:$AQ$3006,P2784)))</f>
        <v/>
      </c>
      <c r="H2784" s="82" t="str">
        <f aca="false">IF(C2784="","",IF(G2784="ACCEPTÉ","OUI","NON"))</f>
        <v/>
      </c>
      <c r="I2784" s="83"/>
      <c r="J2784" s="80"/>
      <c r="K2784" s="81"/>
      <c r="L2784" s="81"/>
      <c r="M2784" s="81"/>
      <c r="N2784" s="84" t="str">
        <f aca="false">IF(C2784="","",IF(P2784="","NJ INCONNU",IF(I2784="",IF(H2784="OUI","À ENROBER",IF(G2784="À SOUDER","NON SOUDÉ","EN ATTENTE RT")),IF(L2784="R","À REPRENDRE",IF(H2784&lt;&gt;"OUI","⚠ ENROBÉ AVANT ACCEPTATION RT","ENROBÉ")))))</f>
        <v/>
      </c>
      <c r="O2784" s="80"/>
      <c r="P2784" s="82" t="str">
        <f aca="false">IF(C2784="","",IFERROR(MATCH(Q2784,'CARNET DE SOUDURE'!$AW$7:$AW$3006,0),""))</f>
        <v/>
      </c>
      <c r="Q2784" s="82" t="str">
        <f aca="false">IF(C2784="","",B2784&amp;"|"&amp;C2784)</f>
        <v/>
      </c>
    </row>
    <row r="2785" customFormat="false" ht="15" hidden="false" customHeight="false" outlineLevel="0" collapsed="false">
      <c r="A2785" s="82" t="str">
        <f aca="false">IF(C2785="","",ROW()-6)</f>
        <v/>
      </c>
      <c r="B2785" s="80"/>
      <c r="C2785" s="113"/>
      <c r="D2785" s="82" t="str">
        <f aca="false">IF(OR(C2785="",P2785=""),"",INDEX('CARNET DE SOUDURE'!$D$7:$D$3006,P2785)&amp;"")</f>
        <v/>
      </c>
      <c r="E2785" s="114" t="str">
        <f aca="false">IF(OR(C2785="",P2785=""),"",IF(INDEX('CARNET DE SOUDURE'!$U$7:$U$3006,P2785)="","",INDEX('CARNET DE SOUDURE'!$U$7:$U$3006,P2785)))</f>
        <v/>
      </c>
      <c r="F2785" s="82" t="str">
        <f aca="false">IF(OR(C2785="",P2785=""),"",INDEX('CARNET DE SOUDURE'!$AP$7:$AP$3006,P2785))</f>
        <v/>
      </c>
      <c r="G2785" s="82" t="str">
        <f aca="false">IF(C2785="","",IF(P2785="","NJ INCONNU",INDEX('CARNET DE SOUDURE'!$AQ$7:$AQ$3006,P2785)))</f>
        <v/>
      </c>
      <c r="H2785" s="82" t="str">
        <f aca="false">IF(C2785="","",IF(G2785="ACCEPTÉ","OUI","NON"))</f>
        <v/>
      </c>
      <c r="I2785" s="83"/>
      <c r="J2785" s="80"/>
      <c r="K2785" s="81"/>
      <c r="L2785" s="81"/>
      <c r="M2785" s="81"/>
      <c r="N2785" s="84" t="str">
        <f aca="false">IF(C2785="","",IF(P2785="","NJ INCONNU",IF(I2785="",IF(H2785="OUI","À ENROBER",IF(G2785="À SOUDER","NON SOUDÉ","EN ATTENTE RT")),IF(L2785="R","À REPRENDRE",IF(H2785&lt;&gt;"OUI","⚠ ENROBÉ AVANT ACCEPTATION RT","ENROBÉ")))))</f>
        <v/>
      </c>
      <c r="O2785" s="80"/>
      <c r="P2785" s="82" t="str">
        <f aca="false">IF(C2785="","",IFERROR(MATCH(Q2785,'CARNET DE SOUDURE'!$AW$7:$AW$3006,0),""))</f>
        <v/>
      </c>
      <c r="Q2785" s="82" t="str">
        <f aca="false">IF(C2785="","",B2785&amp;"|"&amp;C2785)</f>
        <v/>
      </c>
    </row>
    <row r="2786" customFormat="false" ht="15" hidden="false" customHeight="false" outlineLevel="0" collapsed="false">
      <c r="A2786" s="82" t="str">
        <f aca="false">IF(C2786="","",ROW()-6)</f>
        <v/>
      </c>
      <c r="B2786" s="80"/>
      <c r="C2786" s="113"/>
      <c r="D2786" s="82" t="str">
        <f aca="false">IF(OR(C2786="",P2786=""),"",INDEX('CARNET DE SOUDURE'!$D$7:$D$3006,P2786)&amp;"")</f>
        <v/>
      </c>
      <c r="E2786" s="114" t="str">
        <f aca="false">IF(OR(C2786="",P2786=""),"",IF(INDEX('CARNET DE SOUDURE'!$U$7:$U$3006,P2786)="","",INDEX('CARNET DE SOUDURE'!$U$7:$U$3006,P2786)))</f>
        <v/>
      </c>
      <c r="F2786" s="82" t="str">
        <f aca="false">IF(OR(C2786="",P2786=""),"",INDEX('CARNET DE SOUDURE'!$AP$7:$AP$3006,P2786))</f>
        <v/>
      </c>
      <c r="G2786" s="82" t="str">
        <f aca="false">IF(C2786="","",IF(P2786="","NJ INCONNU",INDEX('CARNET DE SOUDURE'!$AQ$7:$AQ$3006,P2786)))</f>
        <v/>
      </c>
      <c r="H2786" s="82" t="str">
        <f aca="false">IF(C2786="","",IF(G2786="ACCEPTÉ","OUI","NON"))</f>
        <v/>
      </c>
      <c r="I2786" s="83"/>
      <c r="J2786" s="80"/>
      <c r="K2786" s="81"/>
      <c r="L2786" s="81"/>
      <c r="M2786" s="81"/>
      <c r="N2786" s="84" t="str">
        <f aca="false">IF(C2786="","",IF(P2786="","NJ INCONNU",IF(I2786="",IF(H2786="OUI","À ENROBER",IF(G2786="À SOUDER","NON SOUDÉ","EN ATTENTE RT")),IF(L2786="R","À REPRENDRE",IF(H2786&lt;&gt;"OUI","⚠ ENROBÉ AVANT ACCEPTATION RT","ENROBÉ")))))</f>
        <v/>
      </c>
      <c r="O2786" s="80"/>
      <c r="P2786" s="82" t="str">
        <f aca="false">IF(C2786="","",IFERROR(MATCH(Q2786,'CARNET DE SOUDURE'!$AW$7:$AW$3006,0),""))</f>
        <v/>
      </c>
      <c r="Q2786" s="82" t="str">
        <f aca="false">IF(C2786="","",B2786&amp;"|"&amp;C2786)</f>
        <v/>
      </c>
    </row>
    <row r="2787" customFormat="false" ht="15" hidden="false" customHeight="false" outlineLevel="0" collapsed="false">
      <c r="A2787" s="82" t="str">
        <f aca="false">IF(C2787="","",ROW()-6)</f>
        <v/>
      </c>
      <c r="B2787" s="80"/>
      <c r="C2787" s="113"/>
      <c r="D2787" s="82" t="str">
        <f aca="false">IF(OR(C2787="",P2787=""),"",INDEX('CARNET DE SOUDURE'!$D$7:$D$3006,P2787)&amp;"")</f>
        <v/>
      </c>
      <c r="E2787" s="114" t="str">
        <f aca="false">IF(OR(C2787="",P2787=""),"",IF(INDEX('CARNET DE SOUDURE'!$U$7:$U$3006,P2787)="","",INDEX('CARNET DE SOUDURE'!$U$7:$U$3006,P2787)))</f>
        <v/>
      </c>
      <c r="F2787" s="82" t="str">
        <f aca="false">IF(OR(C2787="",P2787=""),"",INDEX('CARNET DE SOUDURE'!$AP$7:$AP$3006,P2787))</f>
        <v/>
      </c>
      <c r="G2787" s="82" t="str">
        <f aca="false">IF(C2787="","",IF(P2787="","NJ INCONNU",INDEX('CARNET DE SOUDURE'!$AQ$7:$AQ$3006,P2787)))</f>
        <v/>
      </c>
      <c r="H2787" s="82" t="str">
        <f aca="false">IF(C2787="","",IF(G2787="ACCEPTÉ","OUI","NON"))</f>
        <v/>
      </c>
      <c r="I2787" s="83"/>
      <c r="J2787" s="80"/>
      <c r="K2787" s="81"/>
      <c r="L2787" s="81"/>
      <c r="M2787" s="81"/>
      <c r="N2787" s="84" t="str">
        <f aca="false">IF(C2787="","",IF(P2787="","NJ INCONNU",IF(I2787="",IF(H2787="OUI","À ENROBER",IF(G2787="À SOUDER","NON SOUDÉ","EN ATTENTE RT")),IF(L2787="R","À REPRENDRE",IF(H2787&lt;&gt;"OUI","⚠ ENROBÉ AVANT ACCEPTATION RT","ENROBÉ")))))</f>
        <v/>
      </c>
      <c r="O2787" s="80"/>
      <c r="P2787" s="82" t="str">
        <f aca="false">IF(C2787="","",IFERROR(MATCH(Q2787,'CARNET DE SOUDURE'!$AW$7:$AW$3006,0),""))</f>
        <v/>
      </c>
      <c r="Q2787" s="82" t="str">
        <f aca="false">IF(C2787="","",B2787&amp;"|"&amp;C2787)</f>
        <v/>
      </c>
    </row>
    <row r="2788" customFormat="false" ht="15" hidden="false" customHeight="false" outlineLevel="0" collapsed="false">
      <c r="A2788" s="82" t="str">
        <f aca="false">IF(C2788="","",ROW()-6)</f>
        <v/>
      </c>
      <c r="B2788" s="80"/>
      <c r="C2788" s="113"/>
      <c r="D2788" s="82" t="str">
        <f aca="false">IF(OR(C2788="",P2788=""),"",INDEX('CARNET DE SOUDURE'!$D$7:$D$3006,P2788)&amp;"")</f>
        <v/>
      </c>
      <c r="E2788" s="114" t="str">
        <f aca="false">IF(OR(C2788="",P2788=""),"",IF(INDEX('CARNET DE SOUDURE'!$U$7:$U$3006,P2788)="","",INDEX('CARNET DE SOUDURE'!$U$7:$U$3006,P2788)))</f>
        <v/>
      </c>
      <c r="F2788" s="82" t="str">
        <f aca="false">IF(OR(C2788="",P2788=""),"",INDEX('CARNET DE SOUDURE'!$AP$7:$AP$3006,P2788))</f>
        <v/>
      </c>
      <c r="G2788" s="82" t="str">
        <f aca="false">IF(C2788="","",IF(P2788="","NJ INCONNU",INDEX('CARNET DE SOUDURE'!$AQ$7:$AQ$3006,P2788)))</f>
        <v/>
      </c>
      <c r="H2788" s="82" t="str">
        <f aca="false">IF(C2788="","",IF(G2788="ACCEPTÉ","OUI","NON"))</f>
        <v/>
      </c>
      <c r="I2788" s="83"/>
      <c r="J2788" s="80"/>
      <c r="K2788" s="81"/>
      <c r="L2788" s="81"/>
      <c r="M2788" s="81"/>
      <c r="N2788" s="84" t="str">
        <f aca="false">IF(C2788="","",IF(P2788="","NJ INCONNU",IF(I2788="",IF(H2788="OUI","À ENROBER",IF(G2788="À SOUDER","NON SOUDÉ","EN ATTENTE RT")),IF(L2788="R","À REPRENDRE",IF(H2788&lt;&gt;"OUI","⚠ ENROBÉ AVANT ACCEPTATION RT","ENROBÉ")))))</f>
        <v/>
      </c>
      <c r="O2788" s="80"/>
      <c r="P2788" s="82" t="str">
        <f aca="false">IF(C2788="","",IFERROR(MATCH(Q2788,'CARNET DE SOUDURE'!$AW$7:$AW$3006,0),""))</f>
        <v/>
      </c>
      <c r="Q2788" s="82" t="str">
        <f aca="false">IF(C2788="","",B2788&amp;"|"&amp;C2788)</f>
        <v/>
      </c>
    </row>
    <row r="2789" customFormat="false" ht="15" hidden="false" customHeight="false" outlineLevel="0" collapsed="false">
      <c r="A2789" s="82" t="str">
        <f aca="false">IF(C2789="","",ROW()-6)</f>
        <v/>
      </c>
      <c r="B2789" s="80"/>
      <c r="C2789" s="113"/>
      <c r="D2789" s="82" t="str">
        <f aca="false">IF(OR(C2789="",P2789=""),"",INDEX('CARNET DE SOUDURE'!$D$7:$D$3006,P2789)&amp;"")</f>
        <v/>
      </c>
      <c r="E2789" s="114" t="str">
        <f aca="false">IF(OR(C2789="",P2789=""),"",IF(INDEX('CARNET DE SOUDURE'!$U$7:$U$3006,P2789)="","",INDEX('CARNET DE SOUDURE'!$U$7:$U$3006,P2789)))</f>
        <v/>
      </c>
      <c r="F2789" s="82" t="str">
        <f aca="false">IF(OR(C2789="",P2789=""),"",INDEX('CARNET DE SOUDURE'!$AP$7:$AP$3006,P2789))</f>
        <v/>
      </c>
      <c r="G2789" s="82" t="str">
        <f aca="false">IF(C2789="","",IF(P2789="","NJ INCONNU",INDEX('CARNET DE SOUDURE'!$AQ$7:$AQ$3006,P2789)))</f>
        <v/>
      </c>
      <c r="H2789" s="82" t="str">
        <f aca="false">IF(C2789="","",IF(G2789="ACCEPTÉ","OUI","NON"))</f>
        <v/>
      </c>
      <c r="I2789" s="83"/>
      <c r="J2789" s="80"/>
      <c r="K2789" s="81"/>
      <c r="L2789" s="81"/>
      <c r="M2789" s="81"/>
      <c r="N2789" s="84" t="str">
        <f aca="false">IF(C2789="","",IF(P2789="","NJ INCONNU",IF(I2789="",IF(H2789="OUI","À ENROBER",IF(G2789="À SOUDER","NON SOUDÉ","EN ATTENTE RT")),IF(L2789="R","À REPRENDRE",IF(H2789&lt;&gt;"OUI","⚠ ENROBÉ AVANT ACCEPTATION RT","ENROBÉ")))))</f>
        <v/>
      </c>
      <c r="O2789" s="80"/>
      <c r="P2789" s="82" t="str">
        <f aca="false">IF(C2789="","",IFERROR(MATCH(Q2789,'CARNET DE SOUDURE'!$AW$7:$AW$3006,0),""))</f>
        <v/>
      </c>
      <c r="Q2789" s="82" t="str">
        <f aca="false">IF(C2789="","",B2789&amp;"|"&amp;C2789)</f>
        <v/>
      </c>
    </row>
    <row r="2790" customFormat="false" ht="15" hidden="false" customHeight="false" outlineLevel="0" collapsed="false">
      <c r="A2790" s="82" t="str">
        <f aca="false">IF(C2790="","",ROW()-6)</f>
        <v/>
      </c>
      <c r="B2790" s="80"/>
      <c r="C2790" s="113"/>
      <c r="D2790" s="82" t="str">
        <f aca="false">IF(OR(C2790="",P2790=""),"",INDEX('CARNET DE SOUDURE'!$D$7:$D$3006,P2790)&amp;"")</f>
        <v/>
      </c>
      <c r="E2790" s="114" t="str">
        <f aca="false">IF(OR(C2790="",P2790=""),"",IF(INDEX('CARNET DE SOUDURE'!$U$7:$U$3006,P2790)="","",INDEX('CARNET DE SOUDURE'!$U$7:$U$3006,P2790)))</f>
        <v/>
      </c>
      <c r="F2790" s="82" t="str">
        <f aca="false">IF(OR(C2790="",P2790=""),"",INDEX('CARNET DE SOUDURE'!$AP$7:$AP$3006,P2790))</f>
        <v/>
      </c>
      <c r="G2790" s="82" t="str">
        <f aca="false">IF(C2790="","",IF(P2790="","NJ INCONNU",INDEX('CARNET DE SOUDURE'!$AQ$7:$AQ$3006,P2790)))</f>
        <v/>
      </c>
      <c r="H2790" s="82" t="str">
        <f aca="false">IF(C2790="","",IF(G2790="ACCEPTÉ","OUI","NON"))</f>
        <v/>
      </c>
      <c r="I2790" s="83"/>
      <c r="J2790" s="80"/>
      <c r="K2790" s="81"/>
      <c r="L2790" s="81"/>
      <c r="M2790" s="81"/>
      <c r="N2790" s="84" t="str">
        <f aca="false">IF(C2790="","",IF(P2790="","NJ INCONNU",IF(I2790="",IF(H2790="OUI","À ENROBER",IF(G2790="À SOUDER","NON SOUDÉ","EN ATTENTE RT")),IF(L2790="R","À REPRENDRE",IF(H2790&lt;&gt;"OUI","⚠ ENROBÉ AVANT ACCEPTATION RT","ENROBÉ")))))</f>
        <v/>
      </c>
      <c r="O2790" s="80"/>
      <c r="P2790" s="82" t="str">
        <f aca="false">IF(C2790="","",IFERROR(MATCH(Q2790,'CARNET DE SOUDURE'!$AW$7:$AW$3006,0),""))</f>
        <v/>
      </c>
      <c r="Q2790" s="82" t="str">
        <f aca="false">IF(C2790="","",B2790&amp;"|"&amp;C2790)</f>
        <v/>
      </c>
    </row>
    <row r="2791" customFormat="false" ht="15" hidden="false" customHeight="false" outlineLevel="0" collapsed="false">
      <c r="A2791" s="82" t="str">
        <f aca="false">IF(C2791="","",ROW()-6)</f>
        <v/>
      </c>
      <c r="B2791" s="80"/>
      <c r="C2791" s="113"/>
      <c r="D2791" s="82" t="str">
        <f aca="false">IF(OR(C2791="",P2791=""),"",INDEX('CARNET DE SOUDURE'!$D$7:$D$3006,P2791)&amp;"")</f>
        <v/>
      </c>
      <c r="E2791" s="114" t="str">
        <f aca="false">IF(OR(C2791="",P2791=""),"",IF(INDEX('CARNET DE SOUDURE'!$U$7:$U$3006,P2791)="","",INDEX('CARNET DE SOUDURE'!$U$7:$U$3006,P2791)))</f>
        <v/>
      </c>
      <c r="F2791" s="82" t="str">
        <f aca="false">IF(OR(C2791="",P2791=""),"",INDEX('CARNET DE SOUDURE'!$AP$7:$AP$3006,P2791))</f>
        <v/>
      </c>
      <c r="G2791" s="82" t="str">
        <f aca="false">IF(C2791="","",IF(P2791="","NJ INCONNU",INDEX('CARNET DE SOUDURE'!$AQ$7:$AQ$3006,P2791)))</f>
        <v/>
      </c>
      <c r="H2791" s="82" t="str">
        <f aca="false">IF(C2791="","",IF(G2791="ACCEPTÉ","OUI","NON"))</f>
        <v/>
      </c>
      <c r="I2791" s="83"/>
      <c r="J2791" s="80"/>
      <c r="K2791" s="81"/>
      <c r="L2791" s="81"/>
      <c r="M2791" s="81"/>
      <c r="N2791" s="84" t="str">
        <f aca="false">IF(C2791="","",IF(P2791="","NJ INCONNU",IF(I2791="",IF(H2791="OUI","À ENROBER",IF(G2791="À SOUDER","NON SOUDÉ","EN ATTENTE RT")),IF(L2791="R","À REPRENDRE",IF(H2791&lt;&gt;"OUI","⚠ ENROBÉ AVANT ACCEPTATION RT","ENROBÉ")))))</f>
        <v/>
      </c>
      <c r="O2791" s="80"/>
      <c r="P2791" s="82" t="str">
        <f aca="false">IF(C2791="","",IFERROR(MATCH(Q2791,'CARNET DE SOUDURE'!$AW$7:$AW$3006,0),""))</f>
        <v/>
      </c>
      <c r="Q2791" s="82" t="str">
        <f aca="false">IF(C2791="","",B2791&amp;"|"&amp;C2791)</f>
        <v/>
      </c>
    </row>
    <row r="2792" customFormat="false" ht="15" hidden="false" customHeight="false" outlineLevel="0" collapsed="false">
      <c r="A2792" s="82" t="str">
        <f aca="false">IF(C2792="","",ROW()-6)</f>
        <v/>
      </c>
      <c r="B2792" s="80"/>
      <c r="C2792" s="113"/>
      <c r="D2792" s="82" t="str">
        <f aca="false">IF(OR(C2792="",P2792=""),"",INDEX('CARNET DE SOUDURE'!$D$7:$D$3006,P2792)&amp;"")</f>
        <v/>
      </c>
      <c r="E2792" s="114" t="str">
        <f aca="false">IF(OR(C2792="",P2792=""),"",IF(INDEX('CARNET DE SOUDURE'!$U$7:$U$3006,P2792)="","",INDEX('CARNET DE SOUDURE'!$U$7:$U$3006,P2792)))</f>
        <v/>
      </c>
      <c r="F2792" s="82" t="str">
        <f aca="false">IF(OR(C2792="",P2792=""),"",INDEX('CARNET DE SOUDURE'!$AP$7:$AP$3006,P2792))</f>
        <v/>
      </c>
      <c r="G2792" s="82" t="str">
        <f aca="false">IF(C2792="","",IF(P2792="","NJ INCONNU",INDEX('CARNET DE SOUDURE'!$AQ$7:$AQ$3006,P2792)))</f>
        <v/>
      </c>
      <c r="H2792" s="82" t="str">
        <f aca="false">IF(C2792="","",IF(G2792="ACCEPTÉ","OUI","NON"))</f>
        <v/>
      </c>
      <c r="I2792" s="83"/>
      <c r="J2792" s="80"/>
      <c r="K2792" s="81"/>
      <c r="L2792" s="81"/>
      <c r="M2792" s="81"/>
      <c r="N2792" s="84" t="str">
        <f aca="false">IF(C2792="","",IF(P2792="","NJ INCONNU",IF(I2792="",IF(H2792="OUI","À ENROBER",IF(G2792="À SOUDER","NON SOUDÉ","EN ATTENTE RT")),IF(L2792="R","À REPRENDRE",IF(H2792&lt;&gt;"OUI","⚠ ENROBÉ AVANT ACCEPTATION RT","ENROBÉ")))))</f>
        <v/>
      </c>
      <c r="O2792" s="80"/>
      <c r="P2792" s="82" t="str">
        <f aca="false">IF(C2792="","",IFERROR(MATCH(Q2792,'CARNET DE SOUDURE'!$AW$7:$AW$3006,0),""))</f>
        <v/>
      </c>
      <c r="Q2792" s="82" t="str">
        <f aca="false">IF(C2792="","",B2792&amp;"|"&amp;C2792)</f>
        <v/>
      </c>
    </row>
    <row r="2793" customFormat="false" ht="15" hidden="false" customHeight="false" outlineLevel="0" collapsed="false">
      <c r="A2793" s="82" t="str">
        <f aca="false">IF(C2793="","",ROW()-6)</f>
        <v/>
      </c>
      <c r="B2793" s="80"/>
      <c r="C2793" s="113"/>
      <c r="D2793" s="82" t="str">
        <f aca="false">IF(OR(C2793="",P2793=""),"",INDEX('CARNET DE SOUDURE'!$D$7:$D$3006,P2793)&amp;"")</f>
        <v/>
      </c>
      <c r="E2793" s="114" t="str">
        <f aca="false">IF(OR(C2793="",P2793=""),"",IF(INDEX('CARNET DE SOUDURE'!$U$7:$U$3006,P2793)="","",INDEX('CARNET DE SOUDURE'!$U$7:$U$3006,P2793)))</f>
        <v/>
      </c>
      <c r="F2793" s="82" t="str">
        <f aca="false">IF(OR(C2793="",P2793=""),"",INDEX('CARNET DE SOUDURE'!$AP$7:$AP$3006,P2793))</f>
        <v/>
      </c>
      <c r="G2793" s="82" t="str">
        <f aca="false">IF(C2793="","",IF(P2793="","NJ INCONNU",INDEX('CARNET DE SOUDURE'!$AQ$7:$AQ$3006,P2793)))</f>
        <v/>
      </c>
      <c r="H2793" s="82" t="str">
        <f aca="false">IF(C2793="","",IF(G2793="ACCEPTÉ","OUI","NON"))</f>
        <v/>
      </c>
      <c r="I2793" s="83"/>
      <c r="J2793" s="80"/>
      <c r="K2793" s="81"/>
      <c r="L2793" s="81"/>
      <c r="M2793" s="81"/>
      <c r="N2793" s="84" t="str">
        <f aca="false">IF(C2793="","",IF(P2793="","NJ INCONNU",IF(I2793="",IF(H2793="OUI","À ENROBER",IF(G2793="À SOUDER","NON SOUDÉ","EN ATTENTE RT")),IF(L2793="R","À REPRENDRE",IF(H2793&lt;&gt;"OUI","⚠ ENROBÉ AVANT ACCEPTATION RT","ENROBÉ")))))</f>
        <v/>
      </c>
      <c r="O2793" s="80"/>
      <c r="P2793" s="82" t="str">
        <f aca="false">IF(C2793="","",IFERROR(MATCH(Q2793,'CARNET DE SOUDURE'!$AW$7:$AW$3006,0),""))</f>
        <v/>
      </c>
      <c r="Q2793" s="82" t="str">
        <f aca="false">IF(C2793="","",B2793&amp;"|"&amp;C2793)</f>
        <v/>
      </c>
    </row>
    <row r="2794" customFormat="false" ht="15" hidden="false" customHeight="false" outlineLevel="0" collapsed="false">
      <c r="A2794" s="82" t="str">
        <f aca="false">IF(C2794="","",ROW()-6)</f>
        <v/>
      </c>
      <c r="B2794" s="80"/>
      <c r="C2794" s="113"/>
      <c r="D2794" s="82" t="str">
        <f aca="false">IF(OR(C2794="",P2794=""),"",INDEX('CARNET DE SOUDURE'!$D$7:$D$3006,P2794)&amp;"")</f>
        <v/>
      </c>
      <c r="E2794" s="114" t="str">
        <f aca="false">IF(OR(C2794="",P2794=""),"",IF(INDEX('CARNET DE SOUDURE'!$U$7:$U$3006,P2794)="","",INDEX('CARNET DE SOUDURE'!$U$7:$U$3006,P2794)))</f>
        <v/>
      </c>
      <c r="F2794" s="82" t="str">
        <f aca="false">IF(OR(C2794="",P2794=""),"",INDEX('CARNET DE SOUDURE'!$AP$7:$AP$3006,P2794))</f>
        <v/>
      </c>
      <c r="G2794" s="82" t="str">
        <f aca="false">IF(C2794="","",IF(P2794="","NJ INCONNU",INDEX('CARNET DE SOUDURE'!$AQ$7:$AQ$3006,P2794)))</f>
        <v/>
      </c>
      <c r="H2794" s="82" t="str">
        <f aca="false">IF(C2794="","",IF(G2794="ACCEPTÉ","OUI","NON"))</f>
        <v/>
      </c>
      <c r="I2794" s="83"/>
      <c r="J2794" s="80"/>
      <c r="K2794" s="81"/>
      <c r="L2794" s="81"/>
      <c r="M2794" s="81"/>
      <c r="N2794" s="84" t="str">
        <f aca="false">IF(C2794="","",IF(P2794="","NJ INCONNU",IF(I2794="",IF(H2794="OUI","À ENROBER",IF(G2794="À SOUDER","NON SOUDÉ","EN ATTENTE RT")),IF(L2794="R","À REPRENDRE",IF(H2794&lt;&gt;"OUI","⚠ ENROBÉ AVANT ACCEPTATION RT","ENROBÉ")))))</f>
        <v/>
      </c>
      <c r="O2794" s="80"/>
      <c r="P2794" s="82" t="str">
        <f aca="false">IF(C2794="","",IFERROR(MATCH(Q2794,'CARNET DE SOUDURE'!$AW$7:$AW$3006,0),""))</f>
        <v/>
      </c>
      <c r="Q2794" s="82" t="str">
        <f aca="false">IF(C2794="","",B2794&amp;"|"&amp;C2794)</f>
        <v/>
      </c>
    </row>
    <row r="2795" customFormat="false" ht="15" hidden="false" customHeight="false" outlineLevel="0" collapsed="false">
      <c r="A2795" s="82" t="str">
        <f aca="false">IF(C2795="","",ROW()-6)</f>
        <v/>
      </c>
      <c r="B2795" s="80"/>
      <c r="C2795" s="113"/>
      <c r="D2795" s="82" t="str">
        <f aca="false">IF(OR(C2795="",P2795=""),"",INDEX('CARNET DE SOUDURE'!$D$7:$D$3006,P2795)&amp;"")</f>
        <v/>
      </c>
      <c r="E2795" s="114" t="str">
        <f aca="false">IF(OR(C2795="",P2795=""),"",IF(INDEX('CARNET DE SOUDURE'!$U$7:$U$3006,P2795)="","",INDEX('CARNET DE SOUDURE'!$U$7:$U$3006,P2795)))</f>
        <v/>
      </c>
      <c r="F2795" s="82" t="str">
        <f aca="false">IF(OR(C2795="",P2795=""),"",INDEX('CARNET DE SOUDURE'!$AP$7:$AP$3006,P2795))</f>
        <v/>
      </c>
      <c r="G2795" s="82" t="str">
        <f aca="false">IF(C2795="","",IF(P2795="","NJ INCONNU",INDEX('CARNET DE SOUDURE'!$AQ$7:$AQ$3006,P2795)))</f>
        <v/>
      </c>
      <c r="H2795" s="82" t="str">
        <f aca="false">IF(C2795="","",IF(G2795="ACCEPTÉ","OUI","NON"))</f>
        <v/>
      </c>
      <c r="I2795" s="83"/>
      <c r="J2795" s="80"/>
      <c r="K2795" s="81"/>
      <c r="L2795" s="81"/>
      <c r="M2795" s="81"/>
      <c r="N2795" s="84" t="str">
        <f aca="false">IF(C2795="","",IF(P2795="","NJ INCONNU",IF(I2795="",IF(H2795="OUI","À ENROBER",IF(G2795="À SOUDER","NON SOUDÉ","EN ATTENTE RT")),IF(L2795="R","À REPRENDRE",IF(H2795&lt;&gt;"OUI","⚠ ENROBÉ AVANT ACCEPTATION RT","ENROBÉ")))))</f>
        <v/>
      </c>
      <c r="O2795" s="80"/>
      <c r="P2795" s="82" t="str">
        <f aca="false">IF(C2795="","",IFERROR(MATCH(Q2795,'CARNET DE SOUDURE'!$AW$7:$AW$3006,0),""))</f>
        <v/>
      </c>
      <c r="Q2795" s="82" t="str">
        <f aca="false">IF(C2795="","",B2795&amp;"|"&amp;C2795)</f>
        <v/>
      </c>
    </row>
    <row r="2796" customFormat="false" ht="15" hidden="false" customHeight="false" outlineLevel="0" collapsed="false">
      <c r="A2796" s="82" t="str">
        <f aca="false">IF(C2796="","",ROW()-6)</f>
        <v/>
      </c>
      <c r="B2796" s="80"/>
      <c r="C2796" s="113"/>
      <c r="D2796" s="82" t="str">
        <f aca="false">IF(OR(C2796="",P2796=""),"",INDEX('CARNET DE SOUDURE'!$D$7:$D$3006,P2796)&amp;"")</f>
        <v/>
      </c>
      <c r="E2796" s="114" t="str">
        <f aca="false">IF(OR(C2796="",P2796=""),"",IF(INDEX('CARNET DE SOUDURE'!$U$7:$U$3006,P2796)="","",INDEX('CARNET DE SOUDURE'!$U$7:$U$3006,P2796)))</f>
        <v/>
      </c>
      <c r="F2796" s="82" t="str">
        <f aca="false">IF(OR(C2796="",P2796=""),"",INDEX('CARNET DE SOUDURE'!$AP$7:$AP$3006,P2796))</f>
        <v/>
      </c>
      <c r="G2796" s="82" t="str">
        <f aca="false">IF(C2796="","",IF(P2796="","NJ INCONNU",INDEX('CARNET DE SOUDURE'!$AQ$7:$AQ$3006,P2796)))</f>
        <v/>
      </c>
      <c r="H2796" s="82" t="str">
        <f aca="false">IF(C2796="","",IF(G2796="ACCEPTÉ","OUI","NON"))</f>
        <v/>
      </c>
      <c r="I2796" s="83"/>
      <c r="J2796" s="80"/>
      <c r="K2796" s="81"/>
      <c r="L2796" s="81"/>
      <c r="M2796" s="81"/>
      <c r="N2796" s="84" t="str">
        <f aca="false">IF(C2796="","",IF(P2796="","NJ INCONNU",IF(I2796="",IF(H2796="OUI","À ENROBER",IF(G2796="À SOUDER","NON SOUDÉ","EN ATTENTE RT")),IF(L2796="R","À REPRENDRE",IF(H2796&lt;&gt;"OUI","⚠ ENROBÉ AVANT ACCEPTATION RT","ENROBÉ")))))</f>
        <v/>
      </c>
      <c r="O2796" s="80"/>
      <c r="P2796" s="82" t="str">
        <f aca="false">IF(C2796="","",IFERROR(MATCH(Q2796,'CARNET DE SOUDURE'!$AW$7:$AW$3006,0),""))</f>
        <v/>
      </c>
      <c r="Q2796" s="82" t="str">
        <f aca="false">IF(C2796="","",B2796&amp;"|"&amp;C2796)</f>
        <v/>
      </c>
    </row>
    <row r="2797" customFormat="false" ht="15" hidden="false" customHeight="false" outlineLevel="0" collapsed="false">
      <c r="A2797" s="82" t="str">
        <f aca="false">IF(C2797="","",ROW()-6)</f>
        <v/>
      </c>
      <c r="B2797" s="80"/>
      <c r="C2797" s="113"/>
      <c r="D2797" s="82" t="str">
        <f aca="false">IF(OR(C2797="",P2797=""),"",INDEX('CARNET DE SOUDURE'!$D$7:$D$3006,P2797)&amp;"")</f>
        <v/>
      </c>
      <c r="E2797" s="114" t="str">
        <f aca="false">IF(OR(C2797="",P2797=""),"",IF(INDEX('CARNET DE SOUDURE'!$U$7:$U$3006,P2797)="","",INDEX('CARNET DE SOUDURE'!$U$7:$U$3006,P2797)))</f>
        <v/>
      </c>
      <c r="F2797" s="82" t="str">
        <f aca="false">IF(OR(C2797="",P2797=""),"",INDEX('CARNET DE SOUDURE'!$AP$7:$AP$3006,P2797))</f>
        <v/>
      </c>
      <c r="G2797" s="82" t="str">
        <f aca="false">IF(C2797="","",IF(P2797="","NJ INCONNU",INDEX('CARNET DE SOUDURE'!$AQ$7:$AQ$3006,P2797)))</f>
        <v/>
      </c>
      <c r="H2797" s="82" t="str">
        <f aca="false">IF(C2797="","",IF(G2797="ACCEPTÉ","OUI","NON"))</f>
        <v/>
      </c>
      <c r="I2797" s="83"/>
      <c r="J2797" s="80"/>
      <c r="K2797" s="81"/>
      <c r="L2797" s="81"/>
      <c r="M2797" s="81"/>
      <c r="N2797" s="84" t="str">
        <f aca="false">IF(C2797="","",IF(P2797="","NJ INCONNU",IF(I2797="",IF(H2797="OUI","À ENROBER",IF(G2797="À SOUDER","NON SOUDÉ","EN ATTENTE RT")),IF(L2797="R","À REPRENDRE",IF(H2797&lt;&gt;"OUI","⚠ ENROBÉ AVANT ACCEPTATION RT","ENROBÉ")))))</f>
        <v/>
      </c>
      <c r="O2797" s="80"/>
      <c r="P2797" s="82" t="str">
        <f aca="false">IF(C2797="","",IFERROR(MATCH(Q2797,'CARNET DE SOUDURE'!$AW$7:$AW$3006,0),""))</f>
        <v/>
      </c>
      <c r="Q2797" s="82" t="str">
        <f aca="false">IF(C2797="","",B2797&amp;"|"&amp;C2797)</f>
        <v/>
      </c>
    </row>
    <row r="2798" customFormat="false" ht="15" hidden="false" customHeight="false" outlineLevel="0" collapsed="false">
      <c r="A2798" s="82" t="str">
        <f aca="false">IF(C2798="","",ROW()-6)</f>
        <v/>
      </c>
      <c r="B2798" s="80"/>
      <c r="C2798" s="113"/>
      <c r="D2798" s="82" t="str">
        <f aca="false">IF(OR(C2798="",P2798=""),"",INDEX('CARNET DE SOUDURE'!$D$7:$D$3006,P2798)&amp;"")</f>
        <v/>
      </c>
      <c r="E2798" s="114" t="str">
        <f aca="false">IF(OR(C2798="",P2798=""),"",IF(INDEX('CARNET DE SOUDURE'!$U$7:$U$3006,P2798)="","",INDEX('CARNET DE SOUDURE'!$U$7:$U$3006,P2798)))</f>
        <v/>
      </c>
      <c r="F2798" s="82" t="str">
        <f aca="false">IF(OR(C2798="",P2798=""),"",INDEX('CARNET DE SOUDURE'!$AP$7:$AP$3006,P2798))</f>
        <v/>
      </c>
      <c r="G2798" s="82" t="str">
        <f aca="false">IF(C2798="","",IF(P2798="","NJ INCONNU",INDEX('CARNET DE SOUDURE'!$AQ$7:$AQ$3006,P2798)))</f>
        <v/>
      </c>
      <c r="H2798" s="82" t="str">
        <f aca="false">IF(C2798="","",IF(G2798="ACCEPTÉ","OUI","NON"))</f>
        <v/>
      </c>
      <c r="I2798" s="83"/>
      <c r="J2798" s="80"/>
      <c r="K2798" s="81"/>
      <c r="L2798" s="81"/>
      <c r="M2798" s="81"/>
      <c r="N2798" s="84" t="str">
        <f aca="false">IF(C2798="","",IF(P2798="","NJ INCONNU",IF(I2798="",IF(H2798="OUI","À ENROBER",IF(G2798="À SOUDER","NON SOUDÉ","EN ATTENTE RT")),IF(L2798="R","À REPRENDRE",IF(H2798&lt;&gt;"OUI","⚠ ENROBÉ AVANT ACCEPTATION RT","ENROBÉ")))))</f>
        <v/>
      </c>
      <c r="O2798" s="80"/>
      <c r="P2798" s="82" t="str">
        <f aca="false">IF(C2798="","",IFERROR(MATCH(Q2798,'CARNET DE SOUDURE'!$AW$7:$AW$3006,0),""))</f>
        <v/>
      </c>
      <c r="Q2798" s="82" t="str">
        <f aca="false">IF(C2798="","",B2798&amp;"|"&amp;C2798)</f>
        <v/>
      </c>
    </row>
    <row r="2799" customFormat="false" ht="15" hidden="false" customHeight="false" outlineLevel="0" collapsed="false">
      <c r="A2799" s="82" t="str">
        <f aca="false">IF(C2799="","",ROW()-6)</f>
        <v/>
      </c>
      <c r="B2799" s="80"/>
      <c r="C2799" s="113"/>
      <c r="D2799" s="82" t="str">
        <f aca="false">IF(OR(C2799="",P2799=""),"",INDEX('CARNET DE SOUDURE'!$D$7:$D$3006,P2799)&amp;"")</f>
        <v/>
      </c>
      <c r="E2799" s="114" t="str">
        <f aca="false">IF(OR(C2799="",P2799=""),"",IF(INDEX('CARNET DE SOUDURE'!$U$7:$U$3006,P2799)="","",INDEX('CARNET DE SOUDURE'!$U$7:$U$3006,P2799)))</f>
        <v/>
      </c>
      <c r="F2799" s="82" t="str">
        <f aca="false">IF(OR(C2799="",P2799=""),"",INDEX('CARNET DE SOUDURE'!$AP$7:$AP$3006,P2799))</f>
        <v/>
      </c>
      <c r="G2799" s="82" t="str">
        <f aca="false">IF(C2799="","",IF(P2799="","NJ INCONNU",INDEX('CARNET DE SOUDURE'!$AQ$7:$AQ$3006,P2799)))</f>
        <v/>
      </c>
      <c r="H2799" s="82" t="str">
        <f aca="false">IF(C2799="","",IF(G2799="ACCEPTÉ","OUI","NON"))</f>
        <v/>
      </c>
      <c r="I2799" s="83"/>
      <c r="J2799" s="80"/>
      <c r="K2799" s="81"/>
      <c r="L2799" s="81"/>
      <c r="M2799" s="81"/>
      <c r="N2799" s="84" t="str">
        <f aca="false">IF(C2799="","",IF(P2799="","NJ INCONNU",IF(I2799="",IF(H2799="OUI","À ENROBER",IF(G2799="À SOUDER","NON SOUDÉ","EN ATTENTE RT")),IF(L2799="R","À REPRENDRE",IF(H2799&lt;&gt;"OUI","⚠ ENROBÉ AVANT ACCEPTATION RT","ENROBÉ")))))</f>
        <v/>
      </c>
      <c r="O2799" s="80"/>
      <c r="P2799" s="82" t="str">
        <f aca="false">IF(C2799="","",IFERROR(MATCH(Q2799,'CARNET DE SOUDURE'!$AW$7:$AW$3006,0),""))</f>
        <v/>
      </c>
      <c r="Q2799" s="82" t="str">
        <f aca="false">IF(C2799="","",B2799&amp;"|"&amp;C2799)</f>
        <v/>
      </c>
    </row>
    <row r="2800" customFormat="false" ht="15" hidden="false" customHeight="false" outlineLevel="0" collapsed="false">
      <c r="A2800" s="82" t="str">
        <f aca="false">IF(C2800="","",ROW()-6)</f>
        <v/>
      </c>
      <c r="B2800" s="80"/>
      <c r="C2800" s="113"/>
      <c r="D2800" s="82" t="str">
        <f aca="false">IF(OR(C2800="",P2800=""),"",INDEX('CARNET DE SOUDURE'!$D$7:$D$3006,P2800)&amp;"")</f>
        <v/>
      </c>
      <c r="E2800" s="114" t="str">
        <f aca="false">IF(OR(C2800="",P2800=""),"",IF(INDEX('CARNET DE SOUDURE'!$U$7:$U$3006,P2800)="","",INDEX('CARNET DE SOUDURE'!$U$7:$U$3006,P2800)))</f>
        <v/>
      </c>
      <c r="F2800" s="82" t="str">
        <f aca="false">IF(OR(C2800="",P2800=""),"",INDEX('CARNET DE SOUDURE'!$AP$7:$AP$3006,P2800))</f>
        <v/>
      </c>
      <c r="G2800" s="82" t="str">
        <f aca="false">IF(C2800="","",IF(P2800="","NJ INCONNU",INDEX('CARNET DE SOUDURE'!$AQ$7:$AQ$3006,P2800)))</f>
        <v/>
      </c>
      <c r="H2800" s="82" t="str">
        <f aca="false">IF(C2800="","",IF(G2800="ACCEPTÉ","OUI","NON"))</f>
        <v/>
      </c>
      <c r="I2800" s="83"/>
      <c r="J2800" s="80"/>
      <c r="K2800" s="81"/>
      <c r="L2800" s="81"/>
      <c r="M2800" s="81"/>
      <c r="N2800" s="84" t="str">
        <f aca="false">IF(C2800="","",IF(P2800="","NJ INCONNU",IF(I2800="",IF(H2800="OUI","À ENROBER",IF(G2800="À SOUDER","NON SOUDÉ","EN ATTENTE RT")),IF(L2800="R","À REPRENDRE",IF(H2800&lt;&gt;"OUI","⚠ ENROBÉ AVANT ACCEPTATION RT","ENROBÉ")))))</f>
        <v/>
      </c>
      <c r="O2800" s="80"/>
      <c r="P2800" s="82" t="str">
        <f aca="false">IF(C2800="","",IFERROR(MATCH(Q2800,'CARNET DE SOUDURE'!$AW$7:$AW$3006,0),""))</f>
        <v/>
      </c>
      <c r="Q2800" s="82" t="str">
        <f aca="false">IF(C2800="","",B2800&amp;"|"&amp;C2800)</f>
        <v/>
      </c>
    </row>
    <row r="2801" customFormat="false" ht="15" hidden="false" customHeight="false" outlineLevel="0" collapsed="false">
      <c r="A2801" s="82" t="str">
        <f aca="false">IF(C2801="","",ROW()-6)</f>
        <v/>
      </c>
      <c r="B2801" s="80"/>
      <c r="C2801" s="113"/>
      <c r="D2801" s="82" t="str">
        <f aca="false">IF(OR(C2801="",P2801=""),"",INDEX('CARNET DE SOUDURE'!$D$7:$D$3006,P2801)&amp;"")</f>
        <v/>
      </c>
      <c r="E2801" s="114" t="str">
        <f aca="false">IF(OR(C2801="",P2801=""),"",IF(INDEX('CARNET DE SOUDURE'!$U$7:$U$3006,P2801)="","",INDEX('CARNET DE SOUDURE'!$U$7:$U$3006,P2801)))</f>
        <v/>
      </c>
      <c r="F2801" s="82" t="str">
        <f aca="false">IF(OR(C2801="",P2801=""),"",INDEX('CARNET DE SOUDURE'!$AP$7:$AP$3006,P2801))</f>
        <v/>
      </c>
      <c r="G2801" s="82" t="str">
        <f aca="false">IF(C2801="","",IF(P2801="","NJ INCONNU",INDEX('CARNET DE SOUDURE'!$AQ$7:$AQ$3006,P2801)))</f>
        <v/>
      </c>
      <c r="H2801" s="82" t="str">
        <f aca="false">IF(C2801="","",IF(G2801="ACCEPTÉ","OUI","NON"))</f>
        <v/>
      </c>
      <c r="I2801" s="83"/>
      <c r="J2801" s="80"/>
      <c r="K2801" s="81"/>
      <c r="L2801" s="81"/>
      <c r="M2801" s="81"/>
      <c r="N2801" s="84" t="str">
        <f aca="false">IF(C2801="","",IF(P2801="","NJ INCONNU",IF(I2801="",IF(H2801="OUI","À ENROBER",IF(G2801="À SOUDER","NON SOUDÉ","EN ATTENTE RT")),IF(L2801="R","À REPRENDRE",IF(H2801&lt;&gt;"OUI","⚠ ENROBÉ AVANT ACCEPTATION RT","ENROBÉ")))))</f>
        <v/>
      </c>
      <c r="O2801" s="80"/>
      <c r="P2801" s="82" t="str">
        <f aca="false">IF(C2801="","",IFERROR(MATCH(Q2801,'CARNET DE SOUDURE'!$AW$7:$AW$3006,0),""))</f>
        <v/>
      </c>
      <c r="Q2801" s="82" t="str">
        <f aca="false">IF(C2801="","",B2801&amp;"|"&amp;C2801)</f>
        <v/>
      </c>
    </row>
    <row r="2802" customFormat="false" ht="15" hidden="false" customHeight="false" outlineLevel="0" collapsed="false">
      <c r="A2802" s="82" t="str">
        <f aca="false">IF(C2802="","",ROW()-6)</f>
        <v/>
      </c>
      <c r="B2802" s="80"/>
      <c r="C2802" s="113"/>
      <c r="D2802" s="82" t="str">
        <f aca="false">IF(OR(C2802="",P2802=""),"",INDEX('CARNET DE SOUDURE'!$D$7:$D$3006,P2802)&amp;"")</f>
        <v/>
      </c>
      <c r="E2802" s="114" t="str">
        <f aca="false">IF(OR(C2802="",P2802=""),"",IF(INDEX('CARNET DE SOUDURE'!$U$7:$U$3006,P2802)="","",INDEX('CARNET DE SOUDURE'!$U$7:$U$3006,P2802)))</f>
        <v/>
      </c>
      <c r="F2802" s="82" t="str">
        <f aca="false">IF(OR(C2802="",P2802=""),"",INDEX('CARNET DE SOUDURE'!$AP$7:$AP$3006,P2802))</f>
        <v/>
      </c>
      <c r="G2802" s="82" t="str">
        <f aca="false">IF(C2802="","",IF(P2802="","NJ INCONNU",INDEX('CARNET DE SOUDURE'!$AQ$7:$AQ$3006,P2802)))</f>
        <v/>
      </c>
      <c r="H2802" s="82" t="str">
        <f aca="false">IF(C2802="","",IF(G2802="ACCEPTÉ","OUI","NON"))</f>
        <v/>
      </c>
      <c r="I2802" s="83"/>
      <c r="J2802" s="80"/>
      <c r="K2802" s="81"/>
      <c r="L2802" s="81"/>
      <c r="M2802" s="81"/>
      <c r="N2802" s="84" t="str">
        <f aca="false">IF(C2802="","",IF(P2802="","NJ INCONNU",IF(I2802="",IF(H2802="OUI","À ENROBER",IF(G2802="À SOUDER","NON SOUDÉ","EN ATTENTE RT")),IF(L2802="R","À REPRENDRE",IF(H2802&lt;&gt;"OUI","⚠ ENROBÉ AVANT ACCEPTATION RT","ENROBÉ")))))</f>
        <v/>
      </c>
      <c r="O2802" s="80"/>
      <c r="P2802" s="82" t="str">
        <f aca="false">IF(C2802="","",IFERROR(MATCH(Q2802,'CARNET DE SOUDURE'!$AW$7:$AW$3006,0),""))</f>
        <v/>
      </c>
      <c r="Q2802" s="82" t="str">
        <f aca="false">IF(C2802="","",B2802&amp;"|"&amp;C2802)</f>
        <v/>
      </c>
    </row>
    <row r="2803" customFormat="false" ht="15" hidden="false" customHeight="false" outlineLevel="0" collapsed="false">
      <c r="A2803" s="82" t="str">
        <f aca="false">IF(C2803="","",ROW()-6)</f>
        <v/>
      </c>
      <c r="B2803" s="80"/>
      <c r="C2803" s="113"/>
      <c r="D2803" s="82" t="str">
        <f aca="false">IF(OR(C2803="",P2803=""),"",INDEX('CARNET DE SOUDURE'!$D$7:$D$3006,P2803)&amp;"")</f>
        <v/>
      </c>
      <c r="E2803" s="114" t="str">
        <f aca="false">IF(OR(C2803="",P2803=""),"",IF(INDEX('CARNET DE SOUDURE'!$U$7:$U$3006,P2803)="","",INDEX('CARNET DE SOUDURE'!$U$7:$U$3006,P2803)))</f>
        <v/>
      </c>
      <c r="F2803" s="82" t="str">
        <f aca="false">IF(OR(C2803="",P2803=""),"",INDEX('CARNET DE SOUDURE'!$AP$7:$AP$3006,P2803))</f>
        <v/>
      </c>
      <c r="G2803" s="82" t="str">
        <f aca="false">IF(C2803="","",IF(P2803="","NJ INCONNU",INDEX('CARNET DE SOUDURE'!$AQ$7:$AQ$3006,P2803)))</f>
        <v/>
      </c>
      <c r="H2803" s="82" t="str">
        <f aca="false">IF(C2803="","",IF(G2803="ACCEPTÉ","OUI","NON"))</f>
        <v/>
      </c>
      <c r="I2803" s="83"/>
      <c r="J2803" s="80"/>
      <c r="K2803" s="81"/>
      <c r="L2803" s="81"/>
      <c r="M2803" s="81"/>
      <c r="N2803" s="84" t="str">
        <f aca="false">IF(C2803="","",IF(P2803="","NJ INCONNU",IF(I2803="",IF(H2803="OUI","À ENROBER",IF(G2803="À SOUDER","NON SOUDÉ","EN ATTENTE RT")),IF(L2803="R","À REPRENDRE",IF(H2803&lt;&gt;"OUI","⚠ ENROBÉ AVANT ACCEPTATION RT","ENROBÉ")))))</f>
        <v/>
      </c>
      <c r="O2803" s="80"/>
      <c r="P2803" s="82" t="str">
        <f aca="false">IF(C2803="","",IFERROR(MATCH(Q2803,'CARNET DE SOUDURE'!$AW$7:$AW$3006,0),""))</f>
        <v/>
      </c>
      <c r="Q2803" s="82" t="str">
        <f aca="false">IF(C2803="","",B2803&amp;"|"&amp;C2803)</f>
        <v/>
      </c>
    </row>
    <row r="2804" customFormat="false" ht="15" hidden="false" customHeight="false" outlineLevel="0" collapsed="false">
      <c r="A2804" s="82" t="str">
        <f aca="false">IF(C2804="","",ROW()-6)</f>
        <v/>
      </c>
      <c r="B2804" s="80"/>
      <c r="C2804" s="113"/>
      <c r="D2804" s="82" t="str">
        <f aca="false">IF(OR(C2804="",P2804=""),"",INDEX('CARNET DE SOUDURE'!$D$7:$D$3006,P2804)&amp;"")</f>
        <v/>
      </c>
      <c r="E2804" s="114" t="str">
        <f aca="false">IF(OR(C2804="",P2804=""),"",IF(INDEX('CARNET DE SOUDURE'!$U$7:$U$3006,P2804)="","",INDEX('CARNET DE SOUDURE'!$U$7:$U$3006,P2804)))</f>
        <v/>
      </c>
      <c r="F2804" s="82" t="str">
        <f aca="false">IF(OR(C2804="",P2804=""),"",INDEX('CARNET DE SOUDURE'!$AP$7:$AP$3006,P2804))</f>
        <v/>
      </c>
      <c r="G2804" s="82" t="str">
        <f aca="false">IF(C2804="","",IF(P2804="","NJ INCONNU",INDEX('CARNET DE SOUDURE'!$AQ$7:$AQ$3006,P2804)))</f>
        <v/>
      </c>
      <c r="H2804" s="82" t="str">
        <f aca="false">IF(C2804="","",IF(G2804="ACCEPTÉ","OUI","NON"))</f>
        <v/>
      </c>
      <c r="I2804" s="83"/>
      <c r="J2804" s="80"/>
      <c r="K2804" s="81"/>
      <c r="L2804" s="81"/>
      <c r="M2804" s="81"/>
      <c r="N2804" s="84" t="str">
        <f aca="false">IF(C2804="","",IF(P2804="","NJ INCONNU",IF(I2804="",IF(H2804="OUI","À ENROBER",IF(G2804="À SOUDER","NON SOUDÉ","EN ATTENTE RT")),IF(L2804="R","À REPRENDRE",IF(H2804&lt;&gt;"OUI","⚠ ENROBÉ AVANT ACCEPTATION RT","ENROBÉ")))))</f>
        <v/>
      </c>
      <c r="O2804" s="80"/>
      <c r="P2804" s="82" t="str">
        <f aca="false">IF(C2804="","",IFERROR(MATCH(Q2804,'CARNET DE SOUDURE'!$AW$7:$AW$3006,0),""))</f>
        <v/>
      </c>
      <c r="Q2804" s="82" t="str">
        <f aca="false">IF(C2804="","",B2804&amp;"|"&amp;C2804)</f>
        <v/>
      </c>
    </row>
    <row r="2805" customFormat="false" ht="15" hidden="false" customHeight="false" outlineLevel="0" collapsed="false">
      <c r="A2805" s="82" t="str">
        <f aca="false">IF(C2805="","",ROW()-6)</f>
        <v/>
      </c>
      <c r="B2805" s="80"/>
      <c r="C2805" s="113"/>
      <c r="D2805" s="82" t="str">
        <f aca="false">IF(OR(C2805="",P2805=""),"",INDEX('CARNET DE SOUDURE'!$D$7:$D$3006,P2805)&amp;"")</f>
        <v/>
      </c>
      <c r="E2805" s="114" t="str">
        <f aca="false">IF(OR(C2805="",P2805=""),"",IF(INDEX('CARNET DE SOUDURE'!$U$7:$U$3006,P2805)="","",INDEX('CARNET DE SOUDURE'!$U$7:$U$3006,P2805)))</f>
        <v/>
      </c>
      <c r="F2805" s="82" t="str">
        <f aca="false">IF(OR(C2805="",P2805=""),"",INDEX('CARNET DE SOUDURE'!$AP$7:$AP$3006,P2805))</f>
        <v/>
      </c>
      <c r="G2805" s="82" t="str">
        <f aca="false">IF(C2805="","",IF(P2805="","NJ INCONNU",INDEX('CARNET DE SOUDURE'!$AQ$7:$AQ$3006,P2805)))</f>
        <v/>
      </c>
      <c r="H2805" s="82" t="str">
        <f aca="false">IF(C2805="","",IF(G2805="ACCEPTÉ","OUI","NON"))</f>
        <v/>
      </c>
      <c r="I2805" s="83"/>
      <c r="J2805" s="80"/>
      <c r="K2805" s="81"/>
      <c r="L2805" s="81"/>
      <c r="M2805" s="81"/>
      <c r="N2805" s="84" t="str">
        <f aca="false">IF(C2805="","",IF(P2805="","NJ INCONNU",IF(I2805="",IF(H2805="OUI","À ENROBER",IF(G2805="À SOUDER","NON SOUDÉ","EN ATTENTE RT")),IF(L2805="R","À REPRENDRE",IF(H2805&lt;&gt;"OUI","⚠ ENROBÉ AVANT ACCEPTATION RT","ENROBÉ")))))</f>
        <v/>
      </c>
      <c r="O2805" s="80"/>
      <c r="P2805" s="82" t="str">
        <f aca="false">IF(C2805="","",IFERROR(MATCH(Q2805,'CARNET DE SOUDURE'!$AW$7:$AW$3006,0),""))</f>
        <v/>
      </c>
      <c r="Q2805" s="82" t="str">
        <f aca="false">IF(C2805="","",B2805&amp;"|"&amp;C2805)</f>
        <v/>
      </c>
    </row>
    <row r="2806" customFormat="false" ht="15" hidden="false" customHeight="false" outlineLevel="0" collapsed="false">
      <c r="A2806" s="82" t="str">
        <f aca="false">IF(C2806="","",ROW()-6)</f>
        <v/>
      </c>
      <c r="B2806" s="80"/>
      <c r="C2806" s="113"/>
      <c r="D2806" s="82" t="str">
        <f aca="false">IF(OR(C2806="",P2806=""),"",INDEX('CARNET DE SOUDURE'!$D$7:$D$3006,P2806)&amp;"")</f>
        <v/>
      </c>
      <c r="E2806" s="114" t="str">
        <f aca="false">IF(OR(C2806="",P2806=""),"",IF(INDEX('CARNET DE SOUDURE'!$U$7:$U$3006,P2806)="","",INDEX('CARNET DE SOUDURE'!$U$7:$U$3006,P2806)))</f>
        <v/>
      </c>
      <c r="F2806" s="82" t="str">
        <f aca="false">IF(OR(C2806="",P2806=""),"",INDEX('CARNET DE SOUDURE'!$AP$7:$AP$3006,P2806))</f>
        <v/>
      </c>
      <c r="G2806" s="82" t="str">
        <f aca="false">IF(C2806="","",IF(P2806="","NJ INCONNU",INDEX('CARNET DE SOUDURE'!$AQ$7:$AQ$3006,P2806)))</f>
        <v/>
      </c>
      <c r="H2806" s="82" t="str">
        <f aca="false">IF(C2806="","",IF(G2806="ACCEPTÉ","OUI","NON"))</f>
        <v/>
      </c>
      <c r="I2806" s="83"/>
      <c r="J2806" s="80"/>
      <c r="K2806" s="81"/>
      <c r="L2806" s="81"/>
      <c r="M2806" s="81"/>
      <c r="N2806" s="84" t="str">
        <f aca="false">IF(C2806="","",IF(P2806="","NJ INCONNU",IF(I2806="",IF(H2806="OUI","À ENROBER",IF(G2806="À SOUDER","NON SOUDÉ","EN ATTENTE RT")),IF(L2806="R","À REPRENDRE",IF(H2806&lt;&gt;"OUI","⚠ ENROBÉ AVANT ACCEPTATION RT","ENROBÉ")))))</f>
        <v/>
      </c>
      <c r="O2806" s="80"/>
      <c r="P2806" s="82" t="str">
        <f aca="false">IF(C2806="","",IFERROR(MATCH(Q2806,'CARNET DE SOUDURE'!$AW$7:$AW$3006,0),""))</f>
        <v/>
      </c>
      <c r="Q2806" s="82" t="str">
        <f aca="false">IF(C2806="","",B2806&amp;"|"&amp;C2806)</f>
        <v/>
      </c>
    </row>
    <row r="2807" customFormat="false" ht="15" hidden="false" customHeight="false" outlineLevel="0" collapsed="false">
      <c r="A2807" s="82" t="str">
        <f aca="false">IF(C2807="","",ROW()-6)</f>
        <v/>
      </c>
      <c r="B2807" s="80"/>
      <c r="C2807" s="113"/>
      <c r="D2807" s="82" t="str">
        <f aca="false">IF(OR(C2807="",P2807=""),"",INDEX('CARNET DE SOUDURE'!$D$7:$D$3006,P2807)&amp;"")</f>
        <v/>
      </c>
      <c r="E2807" s="114" t="str">
        <f aca="false">IF(OR(C2807="",P2807=""),"",IF(INDEX('CARNET DE SOUDURE'!$U$7:$U$3006,P2807)="","",INDEX('CARNET DE SOUDURE'!$U$7:$U$3006,P2807)))</f>
        <v/>
      </c>
      <c r="F2807" s="82" t="str">
        <f aca="false">IF(OR(C2807="",P2807=""),"",INDEX('CARNET DE SOUDURE'!$AP$7:$AP$3006,P2807))</f>
        <v/>
      </c>
      <c r="G2807" s="82" t="str">
        <f aca="false">IF(C2807="","",IF(P2807="","NJ INCONNU",INDEX('CARNET DE SOUDURE'!$AQ$7:$AQ$3006,P2807)))</f>
        <v/>
      </c>
      <c r="H2807" s="82" t="str">
        <f aca="false">IF(C2807="","",IF(G2807="ACCEPTÉ","OUI","NON"))</f>
        <v/>
      </c>
      <c r="I2807" s="83"/>
      <c r="J2807" s="80"/>
      <c r="K2807" s="81"/>
      <c r="L2807" s="81"/>
      <c r="M2807" s="81"/>
      <c r="N2807" s="84" t="str">
        <f aca="false">IF(C2807="","",IF(P2807="","NJ INCONNU",IF(I2807="",IF(H2807="OUI","À ENROBER",IF(G2807="À SOUDER","NON SOUDÉ","EN ATTENTE RT")),IF(L2807="R","À REPRENDRE",IF(H2807&lt;&gt;"OUI","⚠ ENROBÉ AVANT ACCEPTATION RT","ENROBÉ")))))</f>
        <v/>
      </c>
      <c r="O2807" s="80"/>
      <c r="P2807" s="82" t="str">
        <f aca="false">IF(C2807="","",IFERROR(MATCH(Q2807,'CARNET DE SOUDURE'!$AW$7:$AW$3006,0),""))</f>
        <v/>
      </c>
      <c r="Q2807" s="82" t="str">
        <f aca="false">IF(C2807="","",B2807&amp;"|"&amp;C2807)</f>
        <v/>
      </c>
    </row>
    <row r="2808" customFormat="false" ht="15" hidden="false" customHeight="false" outlineLevel="0" collapsed="false">
      <c r="A2808" s="82" t="str">
        <f aca="false">IF(C2808="","",ROW()-6)</f>
        <v/>
      </c>
      <c r="B2808" s="80"/>
      <c r="C2808" s="113"/>
      <c r="D2808" s="82" t="str">
        <f aca="false">IF(OR(C2808="",P2808=""),"",INDEX('CARNET DE SOUDURE'!$D$7:$D$3006,P2808)&amp;"")</f>
        <v/>
      </c>
      <c r="E2808" s="114" t="str">
        <f aca="false">IF(OR(C2808="",P2808=""),"",IF(INDEX('CARNET DE SOUDURE'!$U$7:$U$3006,P2808)="","",INDEX('CARNET DE SOUDURE'!$U$7:$U$3006,P2808)))</f>
        <v/>
      </c>
      <c r="F2808" s="82" t="str">
        <f aca="false">IF(OR(C2808="",P2808=""),"",INDEX('CARNET DE SOUDURE'!$AP$7:$AP$3006,P2808))</f>
        <v/>
      </c>
      <c r="G2808" s="82" t="str">
        <f aca="false">IF(C2808="","",IF(P2808="","NJ INCONNU",INDEX('CARNET DE SOUDURE'!$AQ$7:$AQ$3006,P2808)))</f>
        <v/>
      </c>
      <c r="H2808" s="82" t="str">
        <f aca="false">IF(C2808="","",IF(G2808="ACCEPTÉ","OUI","NON"))</f>
        <v/>
      </c>
      <c r="I2808" s="83"/>
      <c r="J2808" s="80"/>
      <c r="K2808" s="81"/>
      <c r="L2808" s="81"/>
      <c r="M2808" s="81"/>
      <c r="N2808" s="84" t="str">
        <f aca="false">IF(C2808="","",IF(P2808="","NJ INCONNU",IF(I2808="",IF(H2808="OUI","À ENROBER",IF(G2808="À SOUDER","NON SOUDÉ","EN ATTENTE RT")),IF(L2808="R","À REPRENDRE",IF(H2808&lt;&gt;"OUI","⚠ ENROBÉ AVANT ACCEPTATION RT","ENROBÉ")))))</f>
        <v/>
      </c>
      <c r="O2808" s="80"/>
      <c r="P2808" s="82" t="str">
        <f aca="false">IF(C2808="","",IFERROR(MATCH(Q2808,'CARNET DE SOUDURE'!$AW$7:$AW$3006,0),""))</f>
        <v/>
      </c>
      <c r="Q2808" s="82" t="str">
        <f aca="false">IF(C2808="","",B2808&amp;"|"&amp;C2808)</f>
        <v/>
      </c>
    </row>
    <row r="2809" customFormat="false" ht="15" hidden="false" customHeight="false" outlineLevel="0" collapsed="false">
      <c r="A2809" s="82" t="str">
        <f aca="false">IF(C2809="","",ROW()-6)</f>
        <v/>
      </c>
      <c r="B2809" s="80"/>
      <c r="C2809" s="113"/>
      <c r="D2809" s="82" t="str">
        <f aca="false">IF(OR(C2809="",P2809=""),"",INDEX('CARNET DE SOUDURE'!$D$7:$D$3006,P2809)&amp;"")</f>
        <v/>
      </c>
      <c r="E2809" s="114" t="str">
        <f aca="false">IF(OR(C2809="",P2809=""),"",IF(INDEX('CARNET DE SOUDURE'!$U$7:$U$3006,P2809)="","",INDEX('CARNET DE SOUDURE'!$U$7:$U$3006,P2809)))</f>
        <v/>
      </c>
      <c r="F2809" s="82" t="str">
        <f aca="false">IF(OR(C2809="",P2809=""),"",INDEX('CARNET DE SOUDURE'!$AP$7:$AP$3006,P2809))</f>
        <v/>
      </c>
      <c r="G2809" s="82" t="str">
        <f aca="false">IF(C2809="","",IF(P2809="","NJ INCONNU",INDEX('CARNET DE SOUDURE'!$AQ$7:$AQ$3006,P2809)))</f>
        <v/>
      </c>
      <c r="H2809" s="82" t="str">
        <f aca="false">IF(C2809="","",IF(G2809="ACCEPTÉ","OUI","NON"))</f>
        <v/>
      </c>
      <c r="I2809" s="83"/>
      <c r="J2809" s="80"/>
      <c r="K2809" s="81"/>
      <c r="L2809" s="81"/>
      <c r="M2809" s="81"/>
      <c r="N2809" s="84" t="str">
        <f aca="false">IF(C2809="","",IF(P2809="","NJ INCONNU",IF(I2809="",IF(H2809="OUI","À ENROBER",IF(G2809="À SOUDER","NON SOUDÉ","EN ATTENTE RT")),IF(L2809="R","À REPRENDRE",IF(H2809&lt;&gt;"OUI","⚠ ENROBÉ AVANT ACCEPTATION RT","ENROBÉ")))))</f>
        <v/>
      </c>
      <c r="O2809" s="80"/>
      <c r="P2809" s="82" t="str">
        <f aca="false">IF(C2809="","",IFERROR(MATCH(Q2809,'CARNET DE SOUDURE'!$AW$7:$AW$3006,0),""))</f>
        <v/>
      </c>
      <c r="Q2809" s="82" t="str">
        <f aca="false">IF(C2809="","",B2809&amp;"|"&amp;C2809)</f>
        <v/>
      </c>
    </row>
    <row r="2810" customFormat="false" ht="15" hidden="false" customHeight="false" outlineLevel="0" collapsed="false">
      <c r="A2810" s="82" t="str">
        <f aca="false">IF(C2810="","",ROW()-6)</f>
        <v/>
      </c>
      <c r="B2810" s="80"/>
      <c r="C2810" s="113"/>
      <c r="D2810" s="82" t="str">
        <f aca="false">IF(OR(C2810="",P2810=""),"",INDEX('CARNET DE SOUDURE'!$D$7:$D$3006,P2810)&amp;"")</f>
        <v/>
      </c>
      <c r="E2810" s="114" t="str">
        <f aca="false">IF(OR(C2810="",P2810=""),"",IF(INDEX('CARNET DE SOUDURE'!$U$7:$U$3006,P2810)="","",INDEX('CARNET DE SOUDURE'!$U$7:$U$3006,P2810)))</f>
        <v/>
      </c>
      <c r="F2810" s="82" t="str">
        <f aca="false">IF(OR(C2810="",P2810=""),"",INDEX('CARNET DE SOUDURE'!$AP$7:$AP$3006,P2810))</f>
        <v/>
      </c>
      <c r="G2810" s="82" t="str">
        <f aca="false">IF(C2810="","",IF(P2810="","NJ INCONNU",INDEX('CARNET DE SOUDURE'!$AQ$7:$AQ$3006,P2810)))</f>
        <v/>
      </c>
      <c r="H2810" s="82" t="str">
        <f aca="false">IF(C2810="","",IF(G2810="ACCEPTÉ","OUI","NON"))</f>
        <v/>
      </c>
      <c r="I2810" s="83"/>
      <c r="J2810" s="80"/>
      <c r="K2810" s="81"/>
      <c r="L2810" s="81"/>
      <c r="M2810" s="81"/>
      <c r="N2810" s="84" t="str">
        <f aca="false">IF(C2810="","",IF(P2810="","NJ INCONNU",IF(I2810="",IF(H2810="OUI","À ENROBER",IF(G2810="À SOUDER","NON SOUDÉ","EN ATTENTE RT")),IF(L2810="R","À REPRENDRE",IF(H2810&lt;&gt;"OUI","⚠ ENROBÉ AVANT ACCEPTATION RT","ENROBÉ")))))</f>
        <v/>
      </c>
      <c r="O2810" s="80"/>
      <c r="P2810" s="82" t="str">
        <f aca="false">IF(C2810="","",IFERROR(MATCH(Q2810,'CARNET DE SOUDURE'!$AW$7:$AW$3006,0),""))</f>
        <v/>
      </c>
      <c r="Q2810" s="82" t="str">
        <f aca="false">IF(C2810="","",B2810&amp;"|"&amp;C2810)</f>
        <v/>
      </c>
    </row>
    <row r="2811" customFormat="false" ht="15" hidden="false" customHeight="false" outlineLevel="0" collapsed="false">
      <c r="A2811" s="82" t="str">
        <f aca="false">IF(C2811="","",ROW()-6)</f>
        <v/>
      </c>
      <c r="B2811" s="80"/>
      <c r="C2811" s="113"/>
      <c r="D2811" s="82" t="str">
        <f aca="false">IF(OR(C2811="",P2811=""),"",INDEX('CARNET DE SOUDURE'!$D$7:$D$3006,P2811)&amp;"")</f>
        <v/>
      </c>
      <c r="E2811" s="114" t="str">
        <f aca="false">IF(OR(C2811="",P2811=""),"",IF(INDEX('CARNET DE SOUDURE'!$U$7:$U$3006,P2811)="","",INDEX('CARNET DE SOUDURE'!$U$7:$U$3006,P2811)))</f>
        <v/>
      </c>
      <c r="F2811" s="82" t="str">
        <f aca="false">IF(OR(C2811="",P2811=""),"",INDEX('CARNET DE SOUDURE'!$AP$7:$AP$3006,P2811))</f>
        <v/>
      </c>
      <c r="G2811" s="82" t="str">
        <f aca="false">IF(C2811="","",IF(P2811="","NJ INCONNU",INDEX('CARNET DE SOUDURE'!$AQ$7:$AQ$3006,P2811)))</f>
        <v/>
      </c>
      <c r="H2811" s="82" t="str">
        <f aca="false">IF(C2811="","",IF(G2811="ACCEPTÉ","OUI","NON"))</f>
        <v/>
      </c>
      <c r="I2811" s="83"/>
      <c r="J2811" s="80"/>
      <c r="K2811" s="81"/>
      <c r="L2811" s="81"/>
      <c r="M2811" s="81"/>
      <c r="N2811" s="84" t="str">
        <f aca="false">IF(C2811="","",IF(P2811="","NJ INCONNU",IF(I2811="",IF(H2811="OUI","À ENROBER",IF(G2811="À SOUDER","NON SOUDÉ","EN ATTENTE RT")),IF(L2811="R","À REPRENDRE",IF(H2811&lt;&gt;"OUI","⚠ ENROBÉ AVANT ACCEPTATION RT","ENROBÉ")))))</f>
        <v/>
      </c>
      <c r="O2811" s="80"/>
      <c r="P2811" s="82" t="str">
        <f aca="false">IF(C2811="","",IFERROR(MATCH(Q2811,'CARNET DE SOUDURE'!$AW$7:$AW$3006,0),""))</f>
        <v/>
      </c>
      <c r="Q2811" s="82" t="str">
        <f aca="false">IF(C2811="","",B2811&amp;"|"&amp;C2811)</f>
        <v/>
      </c>
    </row>
    <row r="2812" customFormat="false" ht="15" hidden="false" customHeight="false" outlineLevel="0" collapsed="false">
      <c r="A2812" s="82" t="str">
        <f aca="false">IF(C2812="","",ROW()-6)</f>
        <v/>
      </c>
      <c r="B2812" s="80"/>
      <c r="C2812" s="113"/>
      <c r="D2812" s="82" t="str">
        <f aca="false">IF(OR(C2812="",P2812=""),"",INDEX('CARNET DE SOUDURE'!$D$7:$D$3006,P2812)&amp;"")</f>
        <v/>
      </c>
      <c r="E2812" s="114" t="str">
        <f aca="false">IF(OR(C2812="",P2812=""),"",IF(INDEX('CARNET DE SOUDURE'!$U$7:$U$3006,P2812)="","",INDEX('CARNET DE SOUDURE'!$U$7:$U$3006,P2812)))</f>
        <v/>
      </c>
      <c r="F2812" s="82" t="str">
        <f aca="false">IF(OR(C2812="",P2812=""),"",INDEX('CARNET DE SOUDURE'!$AP$7:$AP$3006,P2812))</f>
        <v/>
      </c>
      <c r="G2812" s="82" t="str">
        <f aca="false">IF(C2812="","",IF(P2812="","NJ INCONNU",INDEX('CARNET DE SOUDURE'!$AQ$7:$AQ$3006,P2812)))</f>
        <v/>
      </c>
      <c r="H2812" s="82" t="str">
        <f aca="false">IF(C2812="","",IF(G2812="ACCEPTÉ","OUI","NON"))</f>
        <v/>
      </c>
      <c r="I2812" s="83"/>
      <c r="J2812" s="80"/>
      <c r="K2812" s="81"/>
      <c r="L2812" s="81"/>
      <c r="M2812" s="81"/>
      <c r="N2812" s="84" t="str">
        <f aca="false">IF(C2812="","",IF(P2812="","NJ INCONNU",IF(I2812="",IF(H2812="OUI","À ENROBER",IF(G2812="À SOUDER","NON SOUDÉ","EN ATTENTE RT")),IF(L2812="R","À REPRENDRE",IF(H2812&lt;&gt;"OUI","⚠ ENROBÉ AVANT ACCEPTATION RT","ENROBÉ")))))</f>
        <v/>
      </c>
      <c r="O2812" s="80"/>
      <c r="P2812" s="82" t="str">
        <f aca="false">IF(C2812="","",IFERROR(MATCH(Q2812,'CARNET DE SOUDURE'!$AW$7:$AW$3006,0),""))</f>
        <v/>
      </c>
      <c r="Q2812" s="82" t="str">
        <f aca="false">IF(C2812="","",B2812&amp;"|"&amp;C2812)</f>
        <v/>
      </c>
    </row>
    <row r="2813" customFormat="false" ht="15" hidden="false" customHeight="false" outlineLevel="0" collapsed="false">
      <c r="A2813" s="82" t="str">
        <f aca="false">IF(C2813="","",ROW()-6)</f>
        <v/>
      </c>
      <c r="B2813" s="80"/>
      <c r="C2813" s="113"/>
      <c r="D2813" s="82" t="str">
        <f aca="false">IF(OR(C2813="",P2813=""),"",INDEX('CARNET DE SOUDURE'!$D$7:$D$3006,P2813)&amp;"")</f>
        <v/>
      </c>
      <c r="E2813" s="114" t="str">
        <f aca="false">IF(OR(C2813="",P2813=""),"",IF(INDEX('CARNET DE SOUDURE'!$U$7:$U$3006,P2813)="","",INDEX('CARNET DE SOUDURE'!$U$7:$U$3006,P2813)))</f>
        <v/>
      </c>
      <c r="F2813" s="82" t="str">
        <f aca="false">IF(OR(C2813="",P2813=""),"",INDEX('CARNET DE SOUDURE'!$AP$7:$AP$3006,P2813))</f>
        <v/>
      </c>
      <c r="G2813" s="82" t="str">
        <f aca="false">IF(C2813="","",IF(P2813="","NJ INCONNU",INDEX('CARNET DE SOUDURE'!$AQ$7:$AQ$3006,P2813)))</f>
        <v/>
      </c>
      <c r="H2813" s="82" t="str">
        <f aca="false">IF(C2813="","",IF(G2813="ACCEPTÉ","OUI","NON"))</f>
        <v/>
      </c>
      <c r="I2813" s="83"/>
      <c r="J2813" s="80"/>
      <c r="K2813" s="81"/>
      <c r="L2813" s="81"/>
      <c r="M2813" s="81"/>
      <c r="N2813" s="84" t="str">
        <f aca="false">IF(C2813="","",IF(P2813="","NJ INCONNU",IF(I2813="",IF(H2813="OUI","À ENROBER",IF(G2813="À SOUDER","NON SOUDÉ","EN ATTENTE RT")),IF(L2813="R","À REPRENDRE",IF(H2813&lt;&gt;"OUI","⚠ ENROBÉ AVANT ACCEPTATION RT","ENROBÉ")))))</f>
        <v/>
      </c>
      <c r="O2813" s="80"/>
      <c r="P2813" s="82" t="str">
        <f aca="false">IF(C2813="","",IFERROR(MATCH(Q2813,'CARNET DE SOUDURE'!$AW$7:$AW$3006,0),""))</f>
        <v/>
      </c>
      <c r="Q2813" s="82" t="str">
        <f aca="false">IF(C2813="","",B2813&amp;"|"&amp;C2813)</f>
        <v/>
      </c>
    </row>
    <row r="2814" customFormat="false" ht="15" hidden="false" customHeight="false" outlineLevel="0" collapsed="false">
      <c r="A2814" s="82" t="str">
        <f aca="false">IF(C2814="","",ROW()-6)</f>
        <v/>
      </c>
      <c r="B2814" s="80"/>
      <c r="C2814" s="113"/>
      <c r="D2814" s="82" t="str">
        <f aca="false">IF(OR(C2814="",P2814=""),"",INDEX('CARNET DE SOUDURE'!$D$7:$D$3006,P2814)&amp;"")</f>
        <v/>
      </c>
      <c r="E2814" s="114" t="str">
        <f aca="false">IF(OR(C2814="",P2814=""),"",IF(INDEX('CARNET DE SOUDURE'!$U$7:$U$3006,P2814)="","",INDEX('CARNET DE SOUDURE'!$U$7:$U$3006,P2814)))</f>
        <v/>
      </c>
      <c r="F2814" s="82" t="str">
        <f aca="false">IF(OR(C2814="",P2814=""),"",INDEX('CARNET DE SOUDURE'!$AP$7:$AP$3006,P2814))</f>
        <v/>
      </c>
      <c r="G2814" s="82" t="str">
        <f aca="false">IF(C2814="","",IF(P2814="","NJ INCONNU",INDEX('CARNET DE SOUDURE'!$AQ$7:$AQ$3006,P2814)))</f>
        <v/>
      </c>
      <c r="H2814" s="82" t="str">
        <f aca="false">IF(C2814="","",IF(G2814="ACCEPTÉ","OUI","NON"))</f>
        <v/>
      </c>
      <c r="I2814" s="83"/>
      <c r="J2814" s="80"/>
      <c r="K2814" s="81"/>
      <c r="L2814" s="81"/>
      <c r="M2814" s="81"/>
      <c r="N2814" s="84" t="str">
        <f aca="false">IF(C2814="","",IF(P2814="","NJ INCONNU",IF(I2814="",IF(H2814="OUI","À ENROBER",IF(G2814="À SOUDER","NON SOUDÉ","EN ATTENTE RT")),IF(L2814="R","À REPRENDRE",IF(H2814&lt;&gt;"OUI","⚠ ENROBÉ AVANT ACCEPTATION RT","ENROBÉ")))))</f>
        <v/>
      </c>
      <c r="O2814" s="80"/>
      <c r="P2814" s="82" t="str">
        <f aca="false">IF(C2814="","",IFERROR(MATCH(Q2814,'CARNET DE SOUDURE'!$AW$7:$AW$3006,0),""))</f>
        <v/>
      </c>
      <c r="Q2814" s="82" t="str">
        <f aca="false">IF(C2814="","",B2814&amp;"|"&amp;C2814)</f>
        <v/>
      </c>
    </row>
    <row r="2815" customFormat="false" ht="15" hidden="false" customHeight="false" outlineLevel="0" collapsed="false">
      <c r="A2815" s="82" t="str">
        <f aca="false">IF(C2815="","",ROW()-6)</f>
        <v/>
      </c>
      <c r="B2815" s="80"/>
      <c r="C2815" s="113"/>
      <c r="D2815" s="82" t="str">
        <f aca="false">IF(OR(C2815="",P2815=""),"",INDEX('CARNET DE SOUDURE'!$D$7:$D$3006,P2815)&amp;"")</f>
        <v/>
      </c>
      <c r="E2815" s="114" t="str">
        <f aca="false">IF(OR(C2815="",P2815=""),"",IF(INDEX('CARNET DE SOUDURE'!$U$7:$U$3006,P2815)="","",INDEX('CARNET DE SOUDURE'!$U$7:$U$3006,P2815)))</f>
        <v/>
      </c>
      <c r="F2815" s="82" t="str">
        <f aca="false">IF(OR(C2815="",P2815=""),"",INDEX('CARNET DE SOUDURE'!$AP$7:$AP$3006,P2815))</f>
        <v/>
      </c>
      <c r="G2815" s="82" t="str">
        <f aca="false">IF(C2815="","",IF(P2815="","NJ INCONNU",INDEX('CARNET DE SOUDURE'!$AQ$7:$AQ$3006,P2815)))</f>
        <v/>
      </c>
      <c r="H2815" s="82" t="str">
        <f aca="false">IF(C2815="","",IF(G2815="ACCEPTÉ","OUI","NON"))</f>
        <v/>
      </c>
      <c r="I2815" s="83"/>
      <c r="J2815" s="80"/>
      <c r="K2815" s="81"/>
      <c r="L2815" s="81"/>
      <c r="M2815" s="81"/>
      <c r="N2815" s="84" t="str">
        <f aca="false">IF(C2815="","",IF(P2815="","NJ INCONNU",IF(I2815="",IF(H2815="OUI","À ENROBER",IF(G2815="À SOUDER","NON SOUDÉ","EN ATTENTE RT")),IF(L2815="R","À REPRENDRE",IF(H2815&lt;&gt;"OUI","⚠ ENROBÉ AVANT ACCEPTATION RT","ENROBÉ")))))</f>
        <v/>
      </c>
      <c r="O2815" s="80"/>
      <c r="P2815" s="82" t="str">
        <f aca="false">IF(C2815="","",IFERROR(MATCH(Q2815,'CARNET DE SOUDURE'!$AW$7:$AW$3006,0),""))</f>
        <v/>
      </c>
      <c r="Q2815" s="82" t="str">
        <f aca="false">IF(C2815="","",B2815&amp;"|"&amp;C2815)</f>
        <v/>
      </c>
    </row>
    <row r="2816" customFormat="false" ht="15" hidden="false" customHeight="false" outlineLevel="0" collapsed="false">
      <c r="A2816" s="82" t="str">
        <f aca="false">IF(C2816="","",ROW()-6)</f>
        <v/>
      </c>
      <c r="B2816" s="80"/>
      <c r="C2816" s="113"/>
      <c r="D2816" s="82" t="str">
        <f aca="false">IF(OR(C2816="",P2816=""),"",INDEX('CARNET DE SOUDURE'!$D$7:$D$3006,P2816)&amp;"")</f>
        <v/>
      </c>
      <c r="E2816" s="114" t="str">
        <f aca="false">IF(OR(C2816="",P2816=""),"",IF(INDEX('CARNET DE SOUDURE'!$U$7:$U$3006,P2816)="","",INDEX('CARNET DE SOUDURE'!$U$7:$U$3006,P2816)))</f>
        <v/>
      </c>
      <c r="F2816" s="82" t="str">
        <f aca="false">IF(OR(C2816="",P2816=""),"",INDEX('CARNET DE SOUDURE'!$AP$7:$AP$3006,P2816))</f>
        <v/>
      </c>
      <c r="G2816" s="82" t="str">
        <f aca="false">IF(C2816="","",IF(P2816="","NJ INCONNU",INDEX('CARNET DE SOUDURE'!$AQ$7:$AQ$3006,P2816)))</f>
        <v/>
      </c>
      <c r="H2816" s="82" t="str">
        <f aca="false">IF(C2816="","",IF(G2816="ACCEPTÉ","OUI","NON"))</f>
        <v/>
      </c>
      <c r="I2816" s="83"/>
      <c r="J2816" s="80"/>
      <c r="K2816" s="81"/>
      <c r="L2816" s="81"/>
      <c r="M2816" s="81"/>
      <c r="N2816" s="84" t="str">
        <f aca="false">IF(C2816="","",IF(P2816="","NJ INCONNU",IF(I2816="",IF(H2816="OUI","À ENROBER",IF(G2816="À SOUDER","NON SOUDÉ","EN ATTENTE RT")),IF(L2816="R","À REPRENDRE",IF(H2816&lt;&gt;"OUI","⚠ ENROBÉ AVANT ACCEPTATION RT","ENROBÉ")))))</f>
        <v/>
      </c>
      <c r="O2816" s="80"/>
      <c r="P2816" s="82" t="str">
        <f aca="false">IF(C2816="","",IFERROR(MATCH(Q2816,'CARNET DE SOUDURE'!$AW$7:$AW$3006,0),""))</f>
        <v/>
      </c>
      <c r="Q2816" s="82" t="str">
        <f aca="false">IF(C2816="","",B2816&amp;"|"&amp;C2816)</f>
        <v/>
      </c>
    </row>
    <row r="2817" customFormat="false" ht="15" hidden="false" customHeight="false" outlineLevel="0" collapsed="false">
      <c r="A2817" s="82" t="str">
        <f aca="false">IF(C2817="","",ROW()-6)</f>
        <v/>
      </c>
      <c r="B2817" s="80"/>
      <c r="C2817" s="113"/>
      <c r="D2817" s="82" t="str">
        <f aca="false">IF(OR(C2817="",P2817=""),"",INDEX('CARNET DE SOUDURE'!$D$7:$D$3006,P2817)&amp;"")</f>
        <v/>
      </c>
      <c r="E2817" s="114" t="str">
        <f aca="false">IF(OR(C2817="",P2817=""),"",IF(INDEX('CARNET DE SOUDURE'!$U$7:$U$3006,P2817)="","",INDEX('CARNET DE SOUDURE'!$U$7:$U$3006,P2817)))</f>
        <v/>
      </c>
      <c r="F2817" s="82" t="str">
        <f aca="false">IF(OR(C2817="",P2817=""),"",INDEX('CARNET DE SOUDURE'!$AP$7:$AP$3006,P2817))</f>
        <v/>
      </c>
      <c r="G2817" s="82" t="str">
        <f aca="false">IF(C2817="","",IF(P2817="","NJ INCONNU",INDEX('CARNET DE SOUDURE'!$AQ$7:$AQ$3006,P2817)))</f>
        <v/>
      </c>
      <c r="H2817" s="82" t="str">
        <f aca="false">IF(C2817="","",IF(G2817="ACCEPTÉ","OUI","NON"))</f>
        <v/>
      </c>
      <c r="I2817" s="83"/>
      <c r="J2817" s="80"/>
      <c r="K2817" s="81"/>
      <c r="L2817" s="81"/>
      <c r="M2817" s="81"/>
      <c r="N2817" s="84" t="str">
        <f aca="false">IF(C2817="","",IF(P2817="","NJ INCONNU",IF(I2817="",IF(H2817="OUI","À ENROBER",IF(G2817="À SOUDER","NON SOUDÉ","EN ATTENTE RT")),IF(L2817="R","À REPRENDRE",IF(H2817&lt;&gt;"OUI","⚠ ENROBÉ AVANT ACCEPTATION RT","ENROBÉ")))))</f>
        <v/>
      </c>
      <c r="O2817" s="80"/>
      <c r="P2817" s="82" t="str">
        <f aca="false">IF(C2817="","",IFERROR(MATCH(Q2817,'CARNET DE SOUDURE'!$AW$7:$AW$3006,0),""))</f>
        <v/>
      </c>
      <c r="Q2817" s="82" t="str">
        <f aca="false">IF(C2817="","",B2817&amp;"|"&amp;C2817)</f>
        <v/>
      </c>
    </row>
    <row r="2818" customFormat="false" ht="15" hidden="false" customHeight="false" outlineLevel="0" collapsed="false">
      <c r="A2818" s="82" t="str">
        <f aca="false">IF(C2818="","",ROW()-6)</f>
        <v/>
      </c>
      <c r="B2818" s="80"/>
      <c r="C2818" s="113"/>
      <c r="D2818" s="82" t="str">
        <f aca="false">IF(OR(C2818="",P2818=""),"",INDEX('CARNET DE SOUDURE'!$D$7:$D$3006,P2818)&amp;"")</f>
        <v/>
      </c>
      <c r="E2818" s="114" t="str">
        <f aca="false">IF(OR(C2818="",P2818=""),"",IF(INDEX('CARNET DE SOUDURE'!$U$7:$U$3006,P2818)="","",INDEX('CARNET DE SOUDURE'!$U$7:$U$3006,P2818)))</f>
        <v/>
      </c>
      <c r="F2818" s="82" t="str">
        <f aca="false">IF(OR(C2818="",P2818=""),"",INDEX('CARNET DE SOUDURE'!$AP$7:$AP$3006,P2818))</f>
        <v/>
      </c>
      <c r="G2818" s="82" t="str">
        <f aca="false">IF(C2818="","",IF(P2818="","NJ INCONNU",INDEX('CARNET DE SOUDURE'!$AQ$7:$AQ$3006,P2818)))</f>
        <v/>
      </c>
      <c r="H2818" s="82" t="str">
        <f aca="false">IF(C2818="","",IF(G2818="ACCEPTÉ","OUI","NON"))</f>
        <v/>
      </c>
      <c r="I2818" s="83"/>
      <c r="J2818" s="80"/>
      <c r="K2818" s="81"/>
      <c r="L2818" s="81"/>
      <c r="M2818" s="81"/>
      <c r="N2818" s="84" t="str">
        <f aca="false">IF(C2818="","",IF(P2818="","NJ INCONNU",IF(I2818="",IF(H2818="OUI","À ENROBER",IF(G2818="À SOUDER","NON SOUDÉ","EN ATTENTE RT")),IF(L2818="R","À REPRENDRE",IF(H2818&lt;&gt;"OUI","⚠ ENROBÉ AVANT ACCEPTATION RT","ENROBÉ")))))</f>
        <v/>
      </c>
      <c r="O2818" s="80"/>
      <c r="P2818" s="82" t="str">
        <f aca="false">IF(C2818="","",IFERROR(MATCH(Q2818,'CARNET DE SOUDURE'!$AW$7:$AW$3006,0),""))</f>
        <v/>
      </c>
      <c r="Q2818" s="82" t="str">
        <f aca="false">IF(C2818="","",B2818&amp;"|"&amp;C2818)</f>
        <v/>
      </c>
    </row>
    <row r="2819" customFormat="false" ht="15" hidden="false" customHeight="false" outlineLevel="0" collapsed="false">
      <c r="A2819" s="82" t="str">
        <f aca="false">IF(C2819="","",ROW()-6)</f>
        <v/>
      </c>
      <c r="B2819" s="80"/>
      <c r="C2819" s="113"/>
      <c r="D2819" s="82" t="str">
        <f aca="false">IF(OR(C2819="",P2819=""),"",INDEX('CARNET DE SOUDURE'!$D$7:$D$3006,P2819)&amp;"")</f>
        <v/>
      </c>
      <c r="E2819" s="114" t="str">
        <f aca="false">IF(OR(C2819="",P2819=""),"",IF(INDEX('CARNET DE SOUDURE'!$U$7:$U$3006,P2819)="","",INDEX('CARNET DE SOUDURE'!$U$7:$U$3006,P2819)))</f>
        <v/>
      </c>
      <c r="F2819" s="82" t="str">
        <f aca="false">IF(OR(C2819="",P2819=""),"",INDEX('CARNET DE SOUDURE'!$AP$7:$AP$3006,P2819))</f>
        <v/>
      </c>
      <c r="G2819" s="82" t="str">
        <f aca="false">IF(C2819="","",IF(P2819="","NJ INCONNU",INDEX('CARNET DE SOUDURE'!$AQ$7:$AQ$3006,P2819)))</f>
        <v/>
      </c>
      <c r="H2819" s="82" t="str">
        <f aca="false">IF(C2819="","",IF(G2819="ACCEPTÉ","OUI","NON"))</f>
        <v/>
      </c>
      <c r="I2819" s="83"/>
      <c r="J2819" s="80"/>
      <c r="K2819" s="81"/>
      <c r="L2819" s="81"/>
      <c r="M2819" s="81"/>
      <c r="N2819" s="84" t="str">
        <f aca="false">IF(C2819="","",IF(P2819="","NJ INCONNU",IF(I2819="",IF(H2819="OUI","À ENROBER",IF(G2819="À SOUDER","NON SOUDÉ","EN ATTENTE RT")),IF(L2819="R","À REPRENDRE",IF(H2819&lt;&gt;"OUI","⚠ ENROBÉ AVANT ACCEPTATION RT","ENROBÉ")))))</f>
        <v/>
      </c>
      <c r="O2819" s="80"/>
      <c r="P2819" s="82" t="str">
        <f aca="false">IF(C2819="","",IFERROR(MATCH(Q2819,'CARNET DE SOUDURE'!$AW$7:$AW$3006,0),""))</f>
        <v/>
      </c>
      <c r="Q2819" s="82" t="str">
        <f aca="false">IF(C2819="","",B2819&amp;"|"&amp;C2819)</f>
        <v/>
      </c>
    </row>
    <row r="2820" customFormat="false" ht="15" hidden="false" customHeight="false" outlineLevel="0" collapsed="false">
      <c r="A2820" s="82" t="str">
        <f aca="false">IF(C2820="","",ROW()-6)</f>
        <v/>
      </c>
      <c r="B2820" s="80"/>
      <c r="C2820" s="113"/>
      <c r="D2820" s="82" t="str">
        <f aca="false">IF(OR(C2820="",P2820=""),"",INDEX('CARNET DE SOUDURE'!$D$7:$D$3006,P2820)&amp;"")</f>
        <v/>
      </c>
      <c r="E2820" s="114" t="str">
        <f aca="false">IF(OR(C2820="",P2820=""),"",IF(INDEX('CARNET DE SOUDURE'!$U$7:$U$3006,P2820)="","",INDEX('CARNET DE SOUDURE'!$U$7:$U$3006,P2820)))</f>
        <v/>
      </c>
      <c r="F2820" s="82" t="str">
        <f aca="false">IF(OR(C2820="",P2820=""),"",INDEX('CARNET DE SOUDURE'!$AP$7:$AP$3006,P2820))</f>
        <v/>
      </c>
      <c r="G2820" s="82" t="str">
        <f aca="false">IF(C2820="","",IF(P2820="","NJ INCONNU",INDEX('CARNET DE SOUDURE'!$AQ$7:$AQ$3006,P2820)))</f>
        <v/>
      </c>
      <c r="H2820" s="82" t="str">
        <f aca="false">IF(C2820="","",IF(G2820="ACCEPTÉ","OUI","NON"))</f>
        <v/>
      </c>
      <c r="I2820" s="83"/>
      <c r="J2820" s="80"/>
      <c r="K2820" s="81"/>
      <c r="L2820" s="81"/>
      <c r="M2820" s="81"/>
      <c r="N2820" s="84" t="str">
        <f aca="false">IF(C2820="","",IF(P2820="","NJ INCONNU",IF(I2820="",IF(H2820="OUI","À ENROBER",IF(G2820="À SOUDER","NON SOUDÉ","EN ATTENTE RT")),IF(L2820="R","À REPRENDRE",IF(H2820&lt;&gt;"OUI","⚠ ENROBÉ AVANT ACCEPTATION RT","ENROBÉ")))))</f>
        <v/>
      </c>
      <c r="O2820" s="80"/>
      <c r="P2820" s="82" t="str">
        <f aca="false">IF(C2820="","",IFERROR(MATCH(Q2820,'CARNET DE SOUDURE'!$AW$7:$AW$3006,0),""))</f>
        <v/>
      </c>
      <c r="Q2820" s="82" t="str">
        <f aca="false">IF(C2820="","",B2820&amp;"|"&amp;C2820)</f>
        <v/>
      </c>
    </row>
    <row r="2821" customFormat="false" ht="15" hidden="false" customHeight="false" outlineLevel="0" collapsed="false">
      <c r="A2821" s="82" t="str">
        <f aca="false">IF(C2821="","",ROW()-6)</f>
        <v/>
      </c>
      <c r="B2821" s="80"/>
      <c r="C2821" s="113"/>
      <c r="D2821" s="82" t="str">
        <f aca="false">IF(OR(C2821="",P2821=""),"",INDEX('CARNET DE SOUDURE'!$D$7:$D$3006,P2821)&amp;"")</f>
        <v/>
      </c>
      <c r="E2821" s="114" t="str">
        <f aca="false">IF(OR(C2821="",P2821=""),"",IF(INDEX('CARNET DE SOUDURE'!$U$7:$U$3006,P2821)="","",INDEX('CARNET DE SOUDURE'!$U$7:$U$3006,P2821)))</f>
        <v/>
      </c>
      <c r="F2821" s="82" t="str">
        <f aca="false">IF(OR(C2821="",P2821=""),"",INDEX('CARNET DE SOUDURE'!$AP$7:$AP$3006,P2821))</f>
        <v/>
      </c>
      <c r="G2821" s="82" t="str">
        <f aca="false">IF(C2821="","",IF(P2821="","NJ INCONNU",INDEX('CARNET DE SOUDURE'!$AQ$7:$AQ$3006,P2821)))</f>
        <v/>
      </c>
      <c r="H2821" s="82" t="str">
        <f aca="false">IF(C2821="","",IF(G2821="ACCEPTÉ","OUI","NON"))</f>
        <v/>
      </c>
      <c r="I2821" s="83"/>
      <c r="J2821" s="80"/>
      <c r="K2821" s="81"/>
      <c r="L2821" s="81"/>
      <c r="M2821" s="81"/>
      <c r="N2821" s="84" t="str">
        <f aca="false">IF(C2821="","",IF(P2821="","NJ INCONNU",IF(I2821="",IF(H2821="OUI","À ENROBER",IF(G2821="À SOUDER","NON SOUDÉ","EN ATTENTE RT")),IF(L2821="R","À REPRENDRE",IF(H2821&lt;&gt;"OUI","⚠ ENROBÉ AVANT ACCEPTATION RT","ENROBÉ")))))</f>
        <v/>
      </c>
      <c r="O2821" s="80"/>
      <c r="P2821" s="82" t="str">
        <f aca="false">IF(C2821="","",IFERROR(MATCH(Q2821,'CARNET DE SOUDURE'!$AW$7:$AW$3006,0),""))</f>
        <v/>
      </c>
      <c r="Q2821" s="82" t="str">
        <f aca="false">IF(C2821="","",B2821&amp;"|"&amp;C2821)</f>
        <v/>
      </c>
    </row>
    <row r="2822" customFormat="false" ht="15" hidden="false" customHeight="false" outlineLevel="0" collapsed="false">
      <c r="A2822" s="82" t="str">
        <f aca="false">IF(C2822="","",ROW()-6)</f>
        <v/>
      </c>
      <c r="B2822" s="80"/>
      <c r="C2822" s="113"/>
      <c r="D2822" s="82" t="str">
        <f aca="false">IF(OR(C2822="",P2822=""),"",INDEX('CARNET DE SOUDURE'!$D$7:$D$3006,P2822)&amp;"")</f>
        <v/>
      </c>
      <c r="E2822" s="114" t="str">
        <f aca="false">IF(OR(C2822="",P2822=""),"",IF(INDEX('CARNET DE SOUDURE'!$U$7:$U$3006,P2822)="","",INDEX('CARNET DE SOUDURE'!$U$7:$U$3006,P2822)))</f>
        <v/>
      </c>
      <c r="F2822" s="82" t="str">
        <f aca="false">IF(OR(C2822="",P2822=""),"",INDEX('CARNET DE SOUDURE'!$AP$7:$AP$3006,P2822))</f>
        <v/>
      </c>
      <c r="G2822" s="82" t="str">
        <f aca="false">IF(C2822="","",IF(P2822="","NJ INCONNU",INDEX('CARNET DE SOUDURE'!$AQ$7:$AQ$3006,P2822)))</f>
        <v/>
      </c>
      <c r="H2822" s="82" t="str">
        <f aca="false">IF(C2822="","",IF(G2822="ACCEPTÉ","OUI","NON"))</f>
        <v/>
      </c>
      <c r="I2822" s="83"/>
      <c r="J2822" s="80"/>
      <c r="K2822" s="81"/>
      <c r="L2822" s="81"/>
      <c r="M2822" s="81"/>
      <c r="N2822" s="84" t="str">
        <f aca="false">IF(C2822="","",IF(P2822="","NJ INCONNU",IF(I2822="",IF(H2822="OUI","À ENROBER",IF(G2822="À SOUDER","NON SOUDÉ","EN ATTENTE RT")),IF(L2822="R","À REPRENDRE",IF(H2822&lt;&gt;"OUI","⚠ ENROBÉ AVANT ACCEPTATION RT","ENROBÉ")))))</f>
        <v/>
      </c>
      <c r="O2822" s="80"/>
      <c r="P2822" s="82" t="str">
        <f aca="false">IF(C2822="","",IFERROR(MATCH(Q2822,'CARNET DE SOUDURE'!$AW$7:$AW$3006,0),""))</f>
        <v/>
      </c>
      <c r="Q2822" s="82" t="str">
        <f aca="false">IF(C2822="","",B2822&amp;"|"&amp;C2822)</f>
        <v/>
      </c>
    </row>
    <row r="2823" customFormat="false" ht="15" hidden="false" customHeight="false" outlineLevel="0" collapsed="false">
      <c r="A2823" s="82" t="str">
        <f aca="false">IF(C2823="","",ROW()-6)</f>
        <v/>
      </c>
      <c r="B2823" s="80"/>
      <c r="C2823" s="113"/>
      <c r="D2823" s="82" t="str">
        <f aca="false">IF(OR(C2823="",P2823=""),"",INDEX('CARNET DE SOUDURE'!$D$7:$D$3006,P2823)&amp;"")</f>
        <v/>
      </c>
      <c r="E2823" s="114" t="str">
        <f aca="false">IF(OR(C2823="",P2823=""),"",IF(INDEX('CARNET DE SOUDURE'!$U$7:$U$3006,P2823)="","",INDEX('CARNET DE SOUDURE'!$U$7:$U$3006,P2823)))</f>
        <v/>
      </c>
      <c r="F2823" s="82" t="str">
        <f aca="false">IF(OR(C2823="",P2823=""),"",INDEX('CARNET DE SOUDURE'!$AP$7:$AP$3006,P2823))</f>
        <v/>
      </c>
      <c r="G2823" s="82" t="str">
        <f aca="false">IF(C2823="","",IF(P2823="","NJ INCONNU",INDEX('CARNET DE SOUDURE'!$AQ$7:$AQ$3006,P2823)))</f>
        <v/>
      </c>
      <c r="H2823" s="82" t="str">
        <f aca="false">IF(C2823="","",IF(G2823="ACCEPTÉ","OUI","NON"))</f>
        <v/>
      </c>
      <c r="I2823" s="83"/>
      <c r="J2823" s="80"/>
      <c r="K2823" s="81"/>
      <c r="L2823" s="81"/>
      <c r="M2823" s="81"/>
      <c r="N2823" s="84" t="str">
        <f aca="false">IF(C2823="","",IF(P2823="","NJ INCONNU",IF(I2823="",IF(H2823="OUI","À ENROBER",IF(G2823="À SOUDER","NON SOUDÉ","EN ATTENTE RT")),IF(L2823="R","À REPRENDRE",IF(H2823&lt;&gt;"OUI","⚠ ENROBÉ AVANT ACCEPTATION RT","ENROBÉ")))))</f>
        <v/>
      </c>
      <c r="O2823" s="80"/>
      <c r="P2823" s="82" t="str">
        <f aca="false">IF(C2823="","",IFERROR(MATCH(Q2823,'CARNET DE SOUDURE'!$AW$7:$AW$3006,0),""))</f>
        <v/>
      </c>
      <c r="Q2823" s="82" t="str">
        <f aca="false">IF(C2823="","",B2823&amp;"|"&amp;C2823)</f>
        <v/>
      </c>
    </row>
    <row r="2824" customFormat="false" ht="15" hidden="false" customHeight="false" outlineLevel="0" collapsed="false">
      <c r="A2824" s="82" t="str">
        <f aca="false">IF(C2824="","",ROW()-6)</f>
        <v/>
      </c>
      <c r="B2824" s="80"/>
      <c r="C2824" s="113"/>
      <c r="D2824" s="82" t="str">
        <f aca="false">IF(OR(C2824="",P2824=""),"",INDEX('CARNET DE SOUDURE'!$D$7:$D$3006,P2824)&amp;"")</f>
        <v/>
      </c>
      <c r="E2824" s="114" t="str">
        <f aca="false">IF(OR(C2824="",P2824=""),"",IF(INDEX('CARNET DE SOUDURE'!$U$7:$U$3006,P2824)="","",INDEX('CARNET DE SOUDURE'!$U$7:$U$3006,P2824)))</f>
        <v/>
      </c>
      <c r="F2824" s="82" t="str">
        <f aca="false">IF(OR(C2824="",P2824=""),"",INDEX('CARNET DE SOUDURE'!$AP$7:$AP$3006,P2824))</f>
        <v/>
      </c>
      <c r="G2824" s="82" t="str">
        <f aca="false">IF(C2824="","",IF(P2824="","NJ INCONNU",INDEX('CARNET DE SOUDURE'!$AQ$7:$AQ$3006,P2824)))</f>
        <v/>
      </c>
      <c r="H2824" s="82" t="str">
        <f aca="false">IF(C2824="","",IF(G2824="ACCEPTÉ","OUI","NON"))</f>
        <v/>
      </c>
      <c r="I2824" s="83"/>
      <c r="J2824" s="80"/>
      <c r="K2824" s="81"/>
      <c r="L2824" s="81"/>
      <c r="M2824" s="81"/>
      <c r="N2824" s="84" t="str">
        <f aca="false">IF(C2824="","",IF(P2824="","NJ INCONNU",IF(I2824="",IF(H2824="OUI","À ENROBER",IF(G2824="À SOUDER","NON SOUDÉ","EN ATTENTE RT")),IF(L2824="R","À REPRENDRE",IF(H2824&lt;&gt;"OUI","⚠ ENROBÉ AVANT ACCEPTATION RT","ENROBÉ")))))</f>
        <v/>
      </c>
      <c r="O2824" s="80"/>
      <c r="P2824" s="82" t="str">
        <f aca="false">IF(C2824="","",IFERROR(MATCH(Q2824,'CARNET DE SOUDURE'!$AW$7:$AW$3006,0),""))</f>
        <v/>
      </c>
      <c r="Q2824" s="82" t="str">
        <f aca="false">IF(C2824="","",B2824&amp;"|"&amp;C2824)</f>
        <v/>
      </c>
    </row>
    <row r="2825" customFormat="false" ht="15" hidden="false" customHeight="false" outlineLevel="0" collapsed="false">
      <c r="A2825" s="82" t="str">
        <f aca="false">IF(C2825="","",ROW()-6)</f>
        <v/>
      </c>
      <c r="B2825" s="80"/>
      <c r="C2825" s="113"/>
      <c r="D2825" s="82" t="str">
        <f aca="false">IF(OR(C2825="",P2825=""),"",INDEX('CARNET DE SOUDURE'!$D$7:$D$3006,P2825)&amp;"")</f>
        <v/>
      </c>
      <c r="E2825" s="114" t="str">
        <f aca="false">IF(OR(C2825="",P2825=""),"",IF(INDEX('CARNET DE SOUDURE'!$U$7:$U$3006,P2825)="","",INDEX('CARNET DE SOUDURE'!$U$7:$U$3006,P2825)))</f>
        <v/>
      </c>
      <c r="F2825" s="82" t="str">
        <f aca="false">IF(OR(C2825="",P2825=""),"",INDEX('CARNET DE SOUDURE'!$AP$7:$AP$3006,P2825))</f>
        <v/>
      </c>
      <c r="G2825" s="82" t="str">
        <f aca="false">IF(C2825="","",IF(P2825="","NJ INCONNU",INDEX('CARNET DE SOUDURE'!$AQ$7:$AQ$3006,P2825)))</f>
        <v/>
      </c>
      <c r="H2825" s="82" t="str">
        <f aca="false">IF(C2825="","",IF(G2825="ACCEPTÉ","OUI","NON"))</f>
        <v/>
      </c>
      <c r="I2825" s="83"/>
      <c r="J2825" s="80"/>
      <c r="K2825" s="81"/>
      <c r="L2825" s="81"/>
      <c r="M2825" s="81"/>
      <c r="N2825" s="84" t="str">
        <f aca="false">IF(C2825="","",IF(P2825="","NJ INCONNU",IF(I2825="",IF(H2825="OUI","À ENROBER",IF(G2825="À SOUDER","NON SOUDÉ","EN ATTENTE RT")),IF(L2825="R","À REPRENDRE",IF(H2825&lt;&gt;"OUI","⚠ ENROBÉ AVANT ACCEPTATION RT","ENROBÉ")))))</f>
        <v/>
      </c>
      <c r="O2825" s="80"/>
      <c r="P2825" s="82" t="str">
        <f aca="false">IF(C2825="","",IFERROR(MATCH(Q2825,'CARNET DE SOUDURE'!$AW$7:$AW$3006,0),""))</f>
        <v/>
      </c>
      <c r="Q2825" s="82" t="str">
        <f aca="false">IF(C2825="","",B2825&amp;"|"&amp;C2825)</f>
        <v/>
      </c>
    </row>
    <row r="2826" customFormat="false" ht="15" hidden="false" customHeight="false" outlineLevel="0" collapsed="false">
      <c r="A2826" s="82" t="str">
        <f aca="false">IF(C2826="","",ROW()-6)</f>
        <v/>
      </c>
      <c r="B2826" s="80"/>
      <c r="C2826" s="113"/>
      <c r="D2826" s="82" t="str">
        <f aca="false">IF(OR(C2826="",P2826=""),"",INDEX('CARNET DE SOUDURE'!$D$7:$D$3006,P2826)&amp;"")</f>
        <v/>
      </c>
      <c r="E2826" s="114" t="str">
        <f aca="false">IF(OR(C2826="",P2826=""),"",IF(INDEX('CARNET DE SOUDURE'!$U$7:$U$3006,P2826)="","",INDEX('CARNET DE SOUDURE'!$U$7:$U$3006,P2826)))</f>
        <v/>
      </c>
      <c r="F2826" s="82" t="str">
        <f aca="false">IF(OR(C2826="",P2826=""),"",INDEX('CARNET DE SOUDURE'!$AP$7:$AP$3006,P2826))</f>
        <v/>
      </c>
      <c r="G2826" s="82" t="str">
        <f aca="false">IF(C2826="","",IF(P2826="","NJ INCONNU",INDEX('CARNET DE SOUDURE'!$AQ$7:$AQ$3006,P2826)))</f>
        <v/>
      </c>
      <c r="H2826" s="82" t="str">
        <f aca="false">IF(C2826="","",IF(G2826="ACCEPTÉ","OUI","NON"))</f>
        <v/>
      </c>
      <c r="I2826" s="83"/>
      <c r="J2826" s="80"/>
      <c r="K2826" s="81"/>
      <c r="L2826" s="81"/>
      <c r="M2826" s="81"/>
      <c r="N2826" s="84" t="str">
        <f aca="false">IF(C2826="","",IF(P2826="","NJ INCONNU",IF(I2826="",IF(H2826="OUI","À ENROBER",IF(G2826="À SOUDER","NON SOUDÉ","EN ATTENTE RT")),IF(L2826="R","À REPRENDRE",IF(H2826&lt;&gt;"OUI","⚠ ENROBÉ AVANT ACCEPTATION RT","ENROBÉ")))))</f>
        <v/>
      </c>
      <c r="O2826" s="80"/>
      <c r="P2826" s="82" t="str">
        <f aca="false">IF(C2826="","",IFERROR(MATCH(Q2826,'CARNET DE SOUDURE'!$AW$7:$AW$3006,0),""))</f>
        <v/>
      </c>
      <c r="Q2826" s="82" t="str">
        <f aca="false">IF(C2826="","",B2826&amp;"|"&amp;C2826)</f>
        <v/>
      </c>
    </row>
    <row r="2827" customFormat="false" ht="15" hidden="false" customHeight="false" outlineLevel="0" collapsed="false">
      <c r="A2827" s="82" t="str">
        <f aca="false">IF(C2827="","",ROW()-6)</f>
        <v/>
      </c>
      <c r="B2827" s="80"/>
      <c r="C2827" s="113"/>
      <c r="D2827" s="82" t="str">
        <f aca="false">IF(OR(C2827="",P2827=""),"",INDEX('CARNET DE SOUDURE'!$D$7:$D$3006,P2827)&amp;"")</f>
        <v/>
      </c>
      <c r="E2827" s="114" t="str">
        <f aca="false">IF(OR(C2827="",P2827=""),"",IF(INDEX('CARNET DE SOUDURE'!$U$7:$U$3006,P2827)="","",INDEX('CARNET DE SOUDURE'!$U$7:$U$3006,P2827)))</f>
        <v/>
      </c>
      <c r="F2827" s="82" t="str">
        <f aca="false">IF(OR(C2827="",P2827=""),"",INDEX('CARNET DE SOUDURE'!$AP$7:$AP$3006,P2827))</f>
        <v/>
      </c>
      <c r="G2827" s="82" t="str">
        <f aca="false">IF(C2827="","",IF(P2827="","NJ INCONNU",INDEX('CARNET DE SOUDURE'!$AQ$7:$AQ$3006,P2827)))</f>
        <v/>
      </c>
      <c r="H2827" s="82" t="str">
        <f aca="false">IF(C2827="","",IF(G2827="ACCEPTÉ","OUI","NON"))</f>
        <v/>
      </c>
      <c r="I2827" s="83"/>
      <c r="J2827" s="80"/>
      <c r="K2827" s="81"/>
      <c r="L2827" s="81"/>
      <c r="M2827" s="81"/>
      <c r="N2827" s="84" t="str">
        <f aca="false">IF(C2827="","",IF(P2827="","NJ INCONNU",IF(I2827="",IF(H2827="OUI","À ENROBER",IF(G2827="À SOUDER","NON SOUDÉ","EN ATTENTE RT")),IF(L2827="R","À REPRENDRE",IF(H2827&lt;&gt;"OUI","⚠ ENROBÉ AVANT ACCEPTATION RT","ENROBÉ")))))</f>
        <v/>
      </c>
      <c r="O2827" s="80"/>
      <c r="P2827" s="82" t="str">
        <f aca="false">IF(C2827="","",IFERROR(MATCH(Q2827,'CARNET DE SOUDURE'!$AW$7:$AW$3006,0),""))</f>
        <v/>
      </c>
      <c r="Q2827" s="82" t="str">
        <f aca="false">IF(C2827="","",B2827&amp;"|"&amp;C2827)</f>
        <v/>
      </c>
    </row>
    <row r="2828" customFormat="false" ht="15" hidden="false" customHeight="false" outlineLevel="0" collapsed="false">
      <c r="A2828" s="82" t="str">
        <f aca="false">IF(C2828="","",ROW()-6)</f>
        <v/>
      </c>
      <c r="B2828" s="80"/>
      <c r="C2828" s="113"/>
      <c r="D2828" s="82" t="str">
        <f aca="false">IF(OR(C2828="",P2828=""),"",INDEX('CARNET DE SOUDURE'!$D$7:$D$3006,P2828)&amp;"")</f>
        <v/>
      </c>
      <c r="E2828" s="114" t="str">
        <f aca="false">IF(OR(C2828="",P2828=""),"",IF(INDEX('CARNET DE SOUDURE'!$U$7:$U$3006,P2828)="","",INDEX('CARNET DE SOUDURE'!$U$7:$U$3006,P2828)))</f>
        <v/>
      </c>
      <c r="F2828" s="82" t="str">
        <f aca="false">IF(OR(C2828="",P2828=""),"",INDEX('CARNET DE SOUDURE'!$AP$7:$AP$3006,P2828))</f>
        <v/>
      </c>
      <c r="G2828" s="82" t="str">
        <f aca="false">IF(C2828="","",IF(P2828="","NJ INCONNU",INDEX('CARNET DE SOUDURE'!$AQ$7:$AQ$3006,P2828)))</f>
        <v/>
      </c>
      <c r="H2828" s="82" t="str">
        <f aca="false">IF(C2828="","",IF(G2828="ACCEPTÉ","OUI","NON"))</f>
        <v/>
      </c>
      <c r="I2828" s="83"/>
      <c r="J2828" s="80"/>
      <c r="K2828" s="81"/>
      <c r="L2828" s="81"/>
      <c r="M2828" s="81"/>
      <c r="N2828" s="84" t="str">
        <f aca="false">IF(C2828="","",IF(P2828="","NJ INCONNU",IF(I2828="",IF(H2828="OUI","À ENROBER",IF(G2828="À SOUDER","NON SOUDÉ","EN ATTENTE RT")),IF(L2828="R","À REPRENDRE",IF(H2828&lt;&gt;"OUI","⚠ ENROBÉ AVANT ACCEPTATION RT","ENROBÉ")))))</f>
        <v/>
      </c>
      <c r="O2828" s="80"/>
      <c r="P2828" s="82" t="str">
        <f aca="false">IF(C2828="","",IFERROR(MATCH(Q2828,'CARNET DE SOUDURE'!$AW$7:$AW$3006,0),""))</f>
        <v/>
      </c>
      <c r="Q2828" s="82" t="str">
        <f aca="false">IF(C2828="","",B2828&amp;"|"&amp;C2828)</f>
        <v/>
      </c>
    </row>
    <row r="2829" customFormat="false" ht="15" hidden="false" customHeight="false" outlineLevel="0" collapsed="false">
      <c r="A2829" s="82" t="str">
        <f aca="false">IF(C2829="","",ROW()-6)</f>
        <v/>
      </c>
      <c r="B2829" s="80"/>
      <c r="C2829" s="113"/>
      <c r="D2829" s="82" t="str">
        <f aca="false">IF(OR(C2829="",P2829=""),"",INDEX('CARNET DE SOUDURE'!$D$7:$D$3006,P2829)&amp;"")</f>
        <v/>
      </c>
      <c r="E2829" s="114" t="str">
        <f aca="false">IF(OR(C2829="",P2829=""),"",IF(INDEX('CARNET DE SOUDURE'!$U$7:$U$3006,P2829)="","",INDEX('CARNET DE SOUDURE'!$U$7:$U$3006,P2829)))</f>
        <v/>
      </c>
      <c r="F2829" s="82" t="str">
        <f aca="false">IF(OR(C2829="",P2829=""),"",INDEX('CARNET DE SOUDURE'!$AP$7:$AP$3006,P2829))</f>
        <v/>
      </c>
      <c r="G2829" s="82" t="str">
        <f aca="false">IF(C2829="","",IF(P2829="","NJ INCONNU",INDEX('CARNET DE SOUDURE'!$AQ$7:$AQ$3006,P2829)))</f>
        <v/>
      </c>
      <c r="H2829" s="82" t="str">
        <f aca="false">IF(C2829="","",IF(G2829="ACCEPTÉ","OUI","NON"))</f>
        <v/>
      </c>
      <c r="I2829" s="83"/>
      <c r="J2829" s="80"/>
      <c r="K2829" s="81"/>
      <c r="L2829" s="81"/>
      <c r="M2829" s="81"/>
      <c r="N2829" s="84" t="str">
        <f aca="false">IF(C2829="","",IF(P2829="","NJ INCONNU",IF(I2829="",IF(H2829="OUI","À ENROBER",IF(G2829="À SOUDER","NON SOUDÉ","EN ATTENTE RT")),IF(L2829="R","À REPRENDRE",IF(H2829&lt;&gt;"OUI","⚠ ENROBÉ AVANT ACCEPTATION RT","ENROBÉ")))))</f>
        <v/>
      </c>
      <c r="O2829" s="80"/>
      <c r="P2829" s="82" t="str">
        <f aca="false">IF(C2829="","",IFERROR(MATCH(Q2829,'CARNET DE SOUDURE'!$AW$7:$AW$3006,0),""))</f>
        <v/>
      </c>
      <c r="Q2829" s="82" t="str">
        <f aca="false">IF(C2829="","",B2829&amp;"|"&amp;C2829)</f>
        <v/>
      </c>
    </row>
    <row r="2830" customFormat="false" ht="15" hidden="false" customHeight="false" outlineLevel="0" collapsed="false">
      <c r="A2830" s="82" t="str">
        <f aca="false">IF(C2830="","",ROW()-6)</f>
        <v/>
      </c>
      <c r="B2830" s="80"/>
      <c r="C2830" s="113"/>
      <c r="D2830" s="82" t="str">
        <f aca="false">IF(OR(C2830="",P2830=""),"",INDEX('CARNET DE SOUDURE'!$D$7:$D$3006,P2830)&amp;"")</f>
        <v/>
      </c>
      <c r="E2830" s="114" t="str">
        <f aca="false">IF(OR(C2830="",P2830=""),"",IF(INDEX('CARNET DE SOUDURE'!$U$7:$U$3006,P2830)="","",INDEX('CARNET DE SOUDURE'!$U$7:$U$3006,P2830)))</f>
        <v/>
      </c>
      <c r="F2830" s="82" t="str">
        <f aca="false">IF(OR(C2830="",P2830=""),"",INDEX('CARNET DE SOUDURE'!$AP$7:$AP$3006,P2830))</f>
        <v/>
      </c>
      <c r="G2830" s="82" t="str">
        <f aca="false">IF(C2830="","",IF(P2830="","NJ INCONNU",INDEX('CARNET DE SOUDURE'!$AQ$7:$AQ$3006,P2830)))</f>
        <v/>
      </c>
      <c r="H2830" s="82" t="str">
        <f aca="false">IF(C2830="","",IF(G2830="ACCEPTÉ","OUI","NON"))</f>
        <v/>
      </c>
      <c r="I2830" s="83"/>
      <c r="J2830" s="80"/>
      <c r="K2830" s="81"/>
      <c r="L2830" s="81"/>
      <c r="M2830" s="81"/>
      <c r="N2830" s="84" t="str">
        <f aca="false">IF(C2830="","",IF(P2830="","NJ INCONNU",IF(I2830="",IF(H2830="OUI","À ENROBER",IF(G2830="À SOUDER","NON SOUDÉ","EN ATTENTE RT")),IF(L2830="R","À REPRENDRE",IF(H2830&lt;&gt;"OUI","⚠ ENROBÉ AVANT ACCEPTATION RT","ENROBÉ")))))</f>
        <v/>
      </c>
      <c r="O2830" s="80"/>
      <c r="P2830" s="82" t="str">
        <f aca="false">IF(C2830="","",IFERROR(MATCH(Q2830,'CARNET DE SOUDURE'!$AW$7:$AW$3006,0),""))</f>
        <v/>
      </c>
      <c r="Q2830" s="82" t="str">
        <f aca="false">IF(C2830="","",B2830&amp;"|"&amp;C2830)</f>
        <v/>
      </c>
    </row>
    <row r="2831" customFormat="false" ht="15" hidden="false" customHeight="false" outlineLevel="0" collapsed="false">
      <c r="A2831" s="82" t="str">
        <f aca="false">IF(C2831="","",ROW()-6)</f>
        <v/>
      </c>
      <c r="B2831" s="80"/>
      <c r="C2831" s="113"/>
      <c r="D2831" s="82" t="str">
        <f aca="false">IF(OR(C2831="",P2831=""),"",INDEX('CARNET DE SOUDURE'!$D$7:$D$3006,P2831)&amp;"")</f>
        <v/>
      </c>
      <c r="E2831" s="114" t="str">
        <f aca="false">IF(OR(C2831="",P2831=""),"",IF(INDEX('CARNET DE SOUDURE'!$U$7:$U$3006,P2831)="","",INDEX('CARNET DE SOUDURE'!$U$7:$U$3006,P2831)))</f>
        <v/>
      </c>
      <c r="F2831" s="82" t="str">
        <f aca="false">IF(OR(C2831="",P2831=""),"",INDEX('CARNET DE SOUDURE'!$AP$7:$AP$3006,P2831))</f>
        <v/>
      </c>
      <c r="G2831" s="82" t="str">
        <f aca="false">IF(C2831="","",IF(P2831="","NJ INCONNU",INDEX('CARNET DE SOUDURE'!$AQ$7:$AQ$3006,P2831)))</f>
        <v/>
      </c>
      <c r="H2831" s="82" t="str">
        <f aca="false">IF(C2831="","",IF(G2831="ACCEPTÉ","OUI","NON"))</f>
        <v/>
      </c>
      <c r="I2831" s="83"/>
      <c r="J2831" s="80"/>
      <c r="K2831" s="81"/>
      <c r="L2831" s="81"/>
      <c r="M2831" s="81"/>
      <c r="N2831" s="84" t="str">
        <f aca="false">IF(C2831="","",IF(P2831="","NJ INCONNU",IF(I2831="",IF(H2831="OUI","À ENROBER",IF(G2831="À SOUDER","NON SOUDÉ","EN ATTENTE RT")),IF(L2831="R","À REPRENDRE",IF(H2831&lt;&gt;"OUI","⚠ ENROBÉ AVANT ACCEPTATION RT","ENROBÉ")))))</f>
        <v/>
      </c>
      <c r="O2831" s="80"/>
      <c r="P2831" s="82" t="str">
        <f aca="false">IF(C2831="","",IFERROR(MATCH(Q2831,'CARNET DE SOUDURE'!$AW$7:$AW$3006,0),""))</f>
        <v/>
      </c>
      <c r="Q2831" s="82" t="str">
        <f aca="false">IF(C2831="","",B2831&amp;"|"&amp;C2831)</f>
        <v/>
      </c>
    </row>
    <row r="2832" customFormat="false" ht="15" hidden="false" customHeight="false" outlineLevel="0" collapsed="false">
      <c r="A2832" s="82" t="str">
        <f aca="false">IF(C2832="","",ROW()-6)</f>
        <v/>
      </c>
      <c r="B2832" s="80"/>
      <c r="C2832" s="113"/>
      <c r="D2832" s="82" t="str">
        <f aca="false">IF(OR(C2832="",P2832=""),"",INDEX('CARNET DE SOUDURE'!$D$7:$D$3006,P2832)&amp;"")</f>
        <v/>
      </c>
      <c r="E2832" s="114" t="str">
        <f aca="false">IF(OR(C2832="",P2832=""),"",IF(INDEX('CARNET DE SOUDURE'!$U$7:$U$3006,P2832)="","",INDEX('CARNET DE SOUDURE'!$U$7:$U$3006,P2832)))</f>
        <v/>
      </c>
      <c r="F2832" s="82" t="str">
        <f aca="false">IF(OR(C2832="",P2832=""),"",INDEX('CARNET DE SOUDURE'!$AP$7:$AP$3006,P2832))</f>
        <v/>
      </c>
      <c r="G2832" s="82" t="str">
        <f aca="false">IF(C2832="","",IF(P2832="","NJ INCONNU",INDEX('CARNET DE SOUDURE'!$AQ$7:$AQ$3006,P2832)))</f>
        <v/>
      </c>
      <c r="H2832" s="82" t="str">
        <f aca="false">IF(C2832="","",IF(G2832="ACCEPTÉ","OUI","NON"))</f>
        <v/>
      </c>
      <c r="I2832" s="83"/>
      <c r="J2832" s="80"/>
      <c r="K2832" s="81"/>
      <c r="L2832" s="81"/>
      <c r="M2832" s="81"/>
      <c r="N2832" s="84" t="str">
        <f aca="false">IF(C2832="","",IF(P2832="","NJ INCONNU",IF(I2832="",IF(H2832="OUI","À ENROBER",IF(G2832="À SOUDER","NON SOUDÉ","EN ATTENTE RT")),IF(L2832="R","À REPRENDRE",IF(H2832&lt;&gt;"OUI","⚠ ENROBÉ AVANT ACCEPTATION RT","ENROBÉ")))))</f>
        <v/>
      </c>
      <c r="O2832" s="80"/>
      <c r="P2832" s="82" t="str">
        <f aca="false">IF(C2832="","",IFERROR(MATCH(Q2832,'CARNET DE SOUDURE'!$AW$7:$AW$3006,0),""))</f>
        <v/>
      </c>
      <c r="Q2832" s="82" t="str">
        <f aca="false">IF(C2832="","",B2832&amp;"|"&amp;C2832)</f>
        <v/>
      </c>
    </row>
    <row r="2833" customFormat="false" ht="15" hidden="false" customHeight="false" outlineLevel="0" collapsed="false">
      <c r="A2833" s="82" t="str">
        <f aca="false">IF(C2833="","",ROW()-6)</f>
        <v/>
      </c>
      <c r="B2833" s="80"/>
      <c r="C2833" s="113"/>
      <c r="D2833" s="82" t="str">
        <f aca="false">IF(OR(C2833="",P2833=""),"",INDEX('CARNET DE SOUDURE'!$D$7:$D$3006,P2833)&amp;"")</f>
        <v/>
      </c>
      <c r="E2833" s="114" t="str">
        <f aca="false">IF(OR(C2833="",P2833=""),"",IF(INDEX('CARNET DE SOUDURE'!$U$7:$U$3006,P2833)="","",INDEX('CARNET DE SOUDURE'!$U$7:$U$3006,P2833)))</f>
        <v/>
      </c>
      <c r="F2833" s="82" t="str">
        <f aca="false">IF(OR(C2833="",P2833=""),"",INDEX('CARNET DE SOUDURE'!$AP$7:$AP$3006,P2833))</f>
        <v/>
      </c>
      <c r="G2833" s="82" t="str">
        <f aca="false">IF(C2833="","",IF(P2833="","NJ INCONNU",INDEX('CARNET DE SOUDURE'!$AQ$7:$AQ$3006,P2833)))</f>
        <v/>
      </c>
      <c r="H2833" s="82" t="str">
        <f aca="false">IF(C2833="","",IF(G2833="ACCEPTÉ","OUI","NON"))</f>
        <v/>
      </c>
      <c r="I2833" s="83"/>
      <c r="J2833" s="80"/>
      <c r="K2833" s="81"/>
      <c r="L2833" s="81"/>
      <c r="M2833" s="81"/>
      <c r="N2833" s="84" t="str">
        <f aca="false">IF(C2833="","",IF(P2833="","NJ INCONNU",IF(I2833="",IF(H2833="OUI","À ENROBER",IF(G2833="À SOUDER","NON SOUDÉ","EN ATTENTE RT")),IF(L2833="R","À REPRENDRE",IF(H2833&lt;&gt;"OUI","⚠ ENROBÉ AVANT ACCEPTATION RT","ENROBÉ")))))</f>
        <v/>
      </c>
      <c r="O2833" s="80"/>
      <c r="P2833" s="82" t="str">
        <f aca="false">IF(C2833="","",IFERROR(MATCH(Q2833,'CARNET DE SOUDURE'!$AW$7:$AW$3006,0),""))</f>
        <v/>
      </c>
      <c r="Q2833" s="82" t="str">
        <f aca="false">IF(C2833="","",B2833&amp;"|"&amp;C2833)</f>
        <v/>
      </c>
    </row>
    <row r="2834" customFormat="false" ht="15" hidden="false" customHeight="false" outlineLevel="0" collapsed="false">
      <c r="A2834" s="82" t="str">
        <f aca="false">IF(C2834="","",ROW()-6)</f>
        <v/>
      </c>
      <c r="B2834" s="80"/>
      <c r="C2834" s="113"/>
      <c r="D2834" s="82" t="str">
        <f aca="false">IF(OR(C2834="",P2834=""),"",INDEX('CARNET DE SOUDURE'!$D$7:$D$3006,P2834)&amp;"")</f>
        <v/>
      </c>
      <c r="E2834" s="114" t="str">
        <f aca="false">IF(OR(C2834="",P2834=""),"",IF(INDEX('CARNET DE SOUDURE'!$U$7:$U$3006,P2834)="","",INDEX('CARNET DE SOUDURE'!$U$7:$U$3006,P2834)))</f>
        <v/>
      </c>
      <c r="F2834" s="82" t="str">
        <f aca="false">IF(OR(C2834="",P2834=""),"",INDEX('CARNET DE SOUDURE'!$AP$7:$AP$3006,P2834))</f>
        <v/>
      </c>
      <c r="G2834" s="82" t="str">
        <f aca="false">IF(C2834="","",IF(P2834="","NJ INCONNU",INDEX('CARNET DE SOUDURE'!$AQ$7:$AQ$3006,P2834)))</f>
        <v/>
      </c>
      <c r="H2834" s="82" t="str">
        <f aca="false">IF(C2834="","",IF(G2834="ACCEPTÉ","OUI","NON"))</f>
        <v/>
      </c>
      <c r="I2834" s="83"/>
      <c r="J2834" s="80"/>
      <c r="K2834" s="81"/>
      <c r="L2834" s="81"/>
      <c r="M2834" s="81"/>
      <c r="N2834" s="84" t="str">
        <f aca="false">IF(C2834="","",IF(P2834="","NJ INCONNU",IF(I2834="",IF(H2834="OUI","À ENROBER",IF(G2834="À SOUDER","NON SOUDÉ","EN ATTENTE RT")),IF(L2834="R","À REPRENDRE",IF(H2834&lt;&gt;"OUI","⚠ ENROBÉ AVANT ACCEPTATION RT","ENROBÉ")))))</f>
        <v/>
      </c>
      <c r="O2834" s="80"/>
      <c r="P2834" s="82" t="str">
        <f aca="false">IF(C2834="","",IFERROR(MATCH(Q2834,'CARNET DE SOUDURE'!$AW$7:$AW$3006,0),""))</f>
        <v/>
      </c>
      <c r="Q2834" s="82" t="str">
        <f aca="false">IF(C2834="","",B2834&amp;"|"&amp;C2834)</f>
        <v/>
      </c>
    </row>
    <row r="2835" customFormat="false" ht="15" hidden="false" customHeight="false" outlineLevel="0" collapsed="false">
      <c r="A2835" s="82" t="str">
        <f aca="false">IF(C2835="","",ROW()-6)</f>
        <v/>
      </c>
      <c r="B2835" s="80"/>
      <c r="C2835" s="113"/>
      <c r="D2835" s="82" t="str">
        <f aca="false">IF(OR(C2835="",P2835=""),"",INDEX('CARNET DE SOUDURE'!$D$7:$D$3006,P2835)&amp;"")</f>
        <v/>
      </c>
      <c r="E2835" s="114" t="str">
        <f aca="false">IF(OR(C2835="",P2835=""),"",IF(INDEX('CARNET DE SOUDURE'!$U$7:$U$3006,P2835)="","",INDEX('CARNET DE SOUDURE'!$U$7:$U$3006,P2835)))</f>
        <v/>
      </c>
      <c r="F2835" s="82" t="str">
        <f aca="false">IF(OR(C2835="",P2835=""),"",INDEX('CARNET DE SOUDURE'!$AP$7:$AP$3006,P2835))</f>
        <v/>
      </c>
      <c r="G2835" s="82" t="str">
        <f aca="false">IF(C2835="","",IF(P2835="","NJ INCONNU",INDEX('CARNET DE SOUDURE'!$AQ$7:$AQ$3006,P2835)))</f>
        <v/>
      </c>
      <c r="H2835" s="82" t="str">
        <f aca="false">IF(C2835="","",IF(G2835="ACCEPTÉ","OUI","NON"))</f>
        <v/>
      </c>
      <c r="I2835" s="83"/>
      <c r="J2835" s="80"/>
      <c r="K2835" s="81"/>
      <c r="L2835" s="81"/>
      <c r="M2835" s="81"/>
      <c r="N2835" s="84" t="str">
        <f aca="false">IF(C2835="","",IF(P2835="","NJ INCONNU",IF(I2835="",IF(H2835="OUI","À ENROBER",IF(G2835="À SOUDER","NON SOUDÉ","EN ATTENTE RT")),IF(L2835="R","À REPRENDRE",IF(H2835&lt;&gt;"OUI","⚠ ENROBÉ AVANT ACCEPTATION RT","ENROBÉ")))))</f>
        <v/>
      </c>
      <c r="O2835" s="80"/>
      <c r="P2835" s="82" t="str">
        <f aca="false">IF(C2835="","",IFERROR(MATCH(Q2835,'CARNET DE SOUDURE'!$AW$7:$AW$3006,0),""))</f>
        <v/>
      </c>
      <c r="Q2835" s="82" t="str">
        <f aca="false">IF(C2835="","",B2835&amp;"|"&amp;C2835)</f>
        <v/>
      </c>
    </row>
    <row r="2836" customFormat="false" ht="15" hidden="false" customHeight="false" outlineLevel="0" collapsed="false">
      <c r="A2836" s="82" t="str">
        <f aca="false">IF(C2836="","",ROW()-6)</f>
        <v/>
      </c>
      <c r="B2836" s="80"/>
      <c r="C2836" s="113"/>
      <c r="D2836" s="82" t="str">
        <f aca="false">IF(OR(C2836="",P2836=""),"",INDEX('CARNET DE SOUDURE'!$D$7:$D$3006,P2836)&amp;"")</f>
        <v/>
      </c>
      <c r="E2836" s="114" t="str">
        <f aca="false">IF(OR(C2836="",P2836=""),"",IF(INDEX('CARNET DE SOUDURE'!$U$7:$U$3006,P2836)="","",INDEX('CARNET DE SOUDURE'!$U$7:$U$3006,P2836)))</f>
        <v/>
      </c>
      <c r="F2836" s="82" t="str">
        <f aca="false">IF(OR(C2836="",P2836=""),"",INDEX('CARNET DE SOUDURE'!$AP$7:$AP$3006,P2836))</f>
        <v/>
      </c>
      <c r="G2836" s="82" t="str">
        <f aca="false">IF(C2836="","",IF(P2836="","NJ INCONNU",INDEX('CARNET DE SOUDURE'!$AQ$7:$AQ$3006,P2836)))</f>
        <v/>
      </c>
      <c r="H2836" s="82" t="str">
        <f aca="false">IF(C2836="","",IF(G2836="ACCEPTÉ","OUI","NON"))</f>
        <v/>
      </c>
      <c r="I2836" s="83"/>
      <c r="J2836" s="80"/>
      <c r="K2836" s="81"/>
      <c r="L2836" s="81"/>
      <c r="M2836" s="81"/>
      <c r="N2836" s="84" t="str">
        <f aca="false">IF(C2836="","",IF(P2836="","NJ INCONNU",IF(I2836="",IF(H2836="OUI","À ENROBER",IF(G2836="À SOUDER","NON SOUDÉ","EN ATTENTE RT")),IF(L2836="R","À REPRENDRE",IF(H2836&lt;&gt;"OUI","⚠ ENROBÉ AVANT ACCEPTATION RT","ENROBÉ")))))</f>
        <v/>
      </c>
      <c r="O2836" s="80"/>
      <c r="P2836" s="82" t="str">
        <f aca="false">IF(C2836="","",IFERROR(MATCH(Q2836,'CARNET DE SOUDURE'!$AW$7:$AW$3006,0),""))</f>
        <v/>
      </c>
      <c r="Q2836" s="82" t="str">
        <f aca="false">IF(C2836="","",B2836&amp;"|"&amp;C2836)</f>
        <v/>
      </c>
    </row>
    <row r="2837" customFormat="false" ht="15" hidden="false" customHeight="false" outlineLevel="0" collapsed="false">
      <c r="A2837" s="82" t="str">
        <f aca="false">IF(C2837="","",ROW()-6)</f>
        <v/>
      </c>
      <c r="B2837" s="80"/>
      <c r="C2837" s="113"/>
      <c r="D2837" s="82" t="str">
        <f aca="false">IF(OR(C2837="",P2837=""),"",INDEX('CARNET DE SOUDURE'!$D$7:$D$3006,P2837)&amp;"")</f>
        <v/>
      </c>
      <c r="E2837" s="114" t="str">
        <f aca="false">IF(OR(C2837="",P2837=""),"",IF(INDEX('CARNET DE SOUDURE'!$U$7:$U$3006,P2837)="","",INDEX('CARNET DE SOUDURE'!$U$7:$U$3006,P2837)))</f>
        <v/>
      </c>
      <c r="F2837" s="82" t="str">
        <f aca="false">IF(OR(C2837="",P2837=""),"",INDEX('CARNET DE SOUDURE'!$AP$7:$AP$3006,P2837))</f>
        <v/>
      </c>
      <c r="G2837" s="82" t="str">
        <f aca="false">IF(C2837="","",IF(P2837="","NJ INCONNU",INDEX('CARNET DE SOUDURE'!$AQ$7:$AQ$3006,P2837)))</f>
        <v/>
      </c>
      <c r="H2837" s="82" t="str">
        <f aca="false">IF(C2837="","",IF(G2837="ACCEPTÉ","OUI","NON"))</f>
        <v/>
      </c>
      <c r="I2837" s="83"/>
      <c r="J2837" s="80"/>
      <c r="K2837" s="81"/>
      <c r="L2837" s="81"/>
      <c r="M2837" s="81"/>
      <c r="N2837" s="84" t="str">
        <f aca="false">IF(C2837="","",IF(P2837="","NJ INCONNU",IF(I2837="",IF(H2837="OUI","À ENROBER",IF(G2837="À SOUDER","NON SOUDÉ","EN ATTENTE RT")),IF(L2837="R","À REPRENDRE",IF(H2837&lt;&gt;"OUI","⚠ ENROBÉ AVANT ACCEPTATION RT","ENROBÉ")))))</f>
        <v/>
      </c>
      <c r="O2837" s="80"/>
      <c r="P2837" s="82" t="str">
        <f aca="false">IF(C2837="","",IFERROR(MATCH(Q2837,'CARNET DE SOUDURE'!$AW$7:$AW$3006,0),""))</f>
        <v/>
      </c>
      <c r="Q2837" s="82" t="str">
        <f aca="false">IF(C2837="","",B2837&amp;"|"&amp;C2837)</f>
        <v/>
      </c>
    </row>
    <row r="2838" customFormat="false" ht="15" hidden="false" customHeight="false" outlineLevel="0" collapsed="false">
      <c r="A2838" s="82" t="str">
        <f aca="false">IF(C2838="","",ROW()-6)</f>
        <v/>
      </c>
      <c r="B2838" s="80"/>
      <c r="C2838" s="113"/>
      <c r="D2838" s="82" t="str">
        <f aca="false">IF(OR(C2838="",P2838=""),"",INDEX('CARNET DE SOUDURE'!$D$7:$D$3006,P2838)&amp;"")</f>
        <v/>
      </c>
      <c r="E2838" s="114" t="str">
        <f aca="false">IF(OR(C2838="",P2838=""),"",IF(INDEX('CARNET DE SOUDURE'!$U$7:$U$3006,P2838)="","",INDEX('CARNET DE SOUDURE'!$U$7:$U$3006,P2838)))</f>
        <v/>
      </c>
      <c r="F2838" s="82" t="str">
        <f aca="false">IF(OR(C2838="",P2838=""),"",INDEX('CARNET DE SOUDURE'!$AP$7:$AP$3006,P2838))</f>
        <v/>
      </c>
      <c r="G2838" s="82" t="str">
        <f aca="false">IF(C2838="","",IF(P2838="","NJ INCONNU",INDEX('CARNET DE SOUDURE'!$AQ$7:$AQ$3006,P2838)))</f>
        <v/>
      </c>
      <c r="H2838" s="82" t="str">
        <f aca="false">IF(C2838="","",IF(G2838="ACCEPTÉ","OUI","NON"))</f>
        <v/>
      </c>
      <c r="I2838" s="83"/>
      <c r="J2838" s="80"/>
      <c r="K2838" s="81"/>
      <c r="L2838" s="81"/>
      <c r="M2838" s="81"/>
      <c r="N2838" s="84" t="str">
        <f aca="false">IF(C2838="","",IF(P2838="","NJ INCONNU",IF(I2838="",IF(H2838="OUI","À ENROBER",IF(G2838="À SOUDER","NON SOUDÉ","EN ATTENTE RT")),IF(L2838="R","À REPRENDRE",IF(H2838&lt;&gt;"OUI","⚠ ENROBÉ AVANT ACCEPTATION RT","ENROBÉ")))))</f>
        <v/>
      </c>
      <c r="O2838" s="80"/>
      <c r="P2838" s="82" t="str">
        <f aca="false">IF(C2838="","",IFERROR(MATCH(Q2838,'CARNET DE SOUDURE'!$AW$7:$AW$3006,0),""))</f>
        <v/>
      </c>
      <c r="Q2838" s="82" t="str">
        <f aca="false">IF(C2838="","",B2838&amp;"|"&amp;C2838)</f>
        <v/>
      </c>
    </row>
    <row r="2839" customFormat="false" ht="15" hidden="false" customHeight="false" outlineLevel="0" collapsed="false">
      <c r="A2839" s="82" t="str">
        <f aca="false">IF(C2839="","",ROW()-6)</f>
        <v/>
      </c>
      <c r="B2839" s="80"/>
      <c r="C2839" s="113"/>
      <c r="D2839" s="82" t="str">
        <f aca="false">IF(OR(C2839="",P2839=""),"",INDEX('CARNET DE SOUDURE'!$D$7:$D$3006,P2839)&amp;"")</f>
        <v/>
      </c>
      <c r="E2839" s="114" t="str">
        <f aca="false">IF(OR(C2839="",P2839=""),"",IF(INDEX('CARNET DE SOUDURE'!$U$7:$U$3006,P2839)="","",INDEX('CARNET DE SOUDURE'!$U$7:$U$3006,P2839)))</f>
        <v/>
      </c>
      <c r="F2839" s="82" t="str">
        <f aca="false">IF(OR(C2839="",P2839=""),"",INDEX('CARNET DE SOUDURE'!$AP$7:$AP$3006,P2839))</f>
        <v/>
      </c>
      <c r="G2839" s="82" t="str">
        <f aca="false">IF(C2839="","",IF(P2839="","NJ INCONNU",INDEX('CARNET DE SOUDURE'!$AQ$7:$AQ$3006,P2839)))</f>
        <v/>
      </c>
      <c r="H2839" s="82" t="str">
        <f aca="false">IF(C2839="","",IF(G2839="ACCEPTÉ","OUI","NON"))</f>
        <v/>
      </c>
      <c r="I2839" s="83"/>
      <c r="J2839" s="80"/>
      <c r="K2839" s="81"/>
      <c r="L2839" s="81"/>
      <c r="M2839" s="81"/>
      <c r="N2839" s="84" t="str">
        <f aca="false">IF(C2839="","",IF(P2839="","NJ INCONNU",IF(I2839="",IF(H2839="OUI","À ENROBER",IF(G2839="À SOUDER","NON SOUDÉ","EN ATTENTE RT")),IF(L2839="R","À REPRENDRE",IF(H2839&lt;&gt;"OUI","⚠ ENROBÉ AVANT ACCEPTATION RT","ENROBÉ")))))</f>
        <v/>
      </c>
      <c r="O2839" s="80"/>
      <c r="P2839" s="82" t="str">
        <f aca="false">IF(C2839="","",IFERROR(MATCH(Q2839,'CARNET DE SOUDURE'!$AW$7:$AW$3006,0),""))</f>
        <v/>
      </c>
      <c r="Q2839" s="82" t="str">
        <f aca="false">IF(C2839="","",B2839&amp;"|"&amp;C2839)</f>
        <v/>
      </c>
    </row>
    <row r="2840" customFormat="false" ht="15" hidden="false" customHeight="false" outlineLevel="0" collapsed="false">
      <c r="A2840" s="82" t="str">
        <f aca="false">IF(C2840="","",ROW()-6)</f>
        <v/>
      </c>
      <c r="B2840" s="80"/>
      <c r="C2840" s="113"/>
      <c r="D2840" s="82" t="str">
        <f aca="false">IF(OR(C2840="",P2840=""),"",INDEX('CARNET DE SOUDURE'!$D$7:$D$3006,P2840)&amp;"")</f>
        <v/>
      </c>
      <c r="E2840" s="114" t="str">
        <f aca="false">IF(OR(C2840="",P2840=""),"",IF(INDEX('CARNET DE SOUDURE'!$U$7:$U$3006,P2840)="","",INDEX('CARNET DE SOUDURE'!$U$7:$U$3006,P2840)))</f>
        <v/>
      </c>
      <c r="F2840" s="82" t="str">
        <f aca="false">IF(OR(C2840="",P2840=""),"",INDEX('CARNET DE SOUDURE'!$AP$7:$AP$3006,P2840))</f>
        <v/>
      </c>
      <c r="G2840" s="82" t="str">
        <f aca="false">IF(C2840="","",IF(P2840="","NJ INCONNU",INDEX('CARNET DE SOUDURE'!$AQ$7:$AQ$3006,P2840)))</f>
        <v/>
      </c>
      <c r="H2840" s="82" t="str">
        <f aca="false">IF(C2840="","",IF(G2840="ACCEPTÉ","OUI","NON"))</f>
        <v/>
      </c>
      <c r="I2840" s="83"/>
      <c r="J2840" s="80"/>
      <c r="K2840" s="81"/>
      <c r="L2840" s="81"/>
      <c r="M2840" s="81"/>
      <c r="N2840" s="84" t="str">
        <f aca="false">IF(C2840="","",IF(P2840="","NJ INCONNU",IF(I2840="",IF(H2840="OUI","À ENROBER",IF(G2840="À SOUDER","NON SOUDÉ","EN ATTENTE RT")),IF(L2840="R","À REPRENDRE",IF(H2840&lt;&gt;"OUI","⚠ ENROBÉ AVANT ACCEPTATION RT","ENROBÉ")))))</f>
        <v/>
      </c>
      <c r="O2840" s="80"/>
      <c r="P2840" s="82" t="str">
        <f aca="false">IF(C2840="","",IFERROR(MATCH(Q2840,'CARNET DE SOUDURE'!$AW$7:$AW$3006,0),""))</f>
        <v/>
      </c>
      <c r="Q2840" s="82" t="str">
        <f aca="false">IF(C2840="","",B2840&amp;"|"&amp;C2840)</f>
        <v/>
      </c>
    </row>
    <row r="2841" customFormat="false" ht="15" hidden="false" customHeight="false" outlineLevel="0" collapsed="false">
      <c r="A2841" s="82" t="str">
        <f aca="false">IF(C2841="","",ROW()-6)</f>
        <v/>
      </c>
      <c r="B2841" s="80"/>
      <c r="C2841" s="113"/>
      <c r="D2841" s="82" t="str">
        <f aca="false">IF(OR(C2841="",P2841=""),"",INDEX('CARNET DE SOUDURE'!$D$7:$D$3006,P2841)&amp;"")</f>
        <v/>
      </c>
      <c r="E2841" s="114" t="str">
        <f aca="false">IF(OR(C2841="",P2841=""),"",IF(INDEX('CARNET DE SOUDURE'!$U$7:$U$3006,P2841)="","",INDEX('CARNET DE SOUDURE'!$U$7:$U$3006,P2841)))</f>
        <v/>
      </c>
      <c r="F2841" s="82" t="str">
        <f aca="false">IF(OR(C2841="",P2841=""),"",INDEX('CARNET DE SOUDURE'!$AP$7:$AP$3006,P2841))</f>
        <v/>
      </c>
      <c r="G2841" s="82" t="str">
        <f aca="false">IF(C2841="","",IF(P2841="","NJ INCONNU",INDEX('CARNET DE SOUDURE'!$AQ$7:$AQ$3006,P2841)))</f>
        <v/>
      </c>
      <c r="H2841" s="82" t="str">
        <f aca="false">IF(C2841="","",IF(G2841="ACCEPTÉ","OUI","NON"))</f>
        <v/>
      </c>
      <c r="I2841" s="83"/>
      <c r="J2841" s="80"/>
      <c r="K2841" s="81"/>
      <c r="L2841" s="81"/>
      <c r="M2841" s="81"/>
      <c r="N2841" s="84" t="str">
        <f aca="false">IF(C2841="","",IF(P2841="","NJ INCONNU",IF(I2841="",IF(H2841="OUI","À ENROBER",IF(G2841="À SOUDER","NON SOUDÉ","EN ATTENTE RT")),IF(L2841="R","À REPRENDRE",IF(H2841&lt;&gt;"OUI","⚠ ENROBÉ AVANT ACCEPTATION RT","ENROBÉ")))))</f>
        <v/>
      </c>
      <c r="O2841" s="80"/>
      <c r="P2841" s="82" t="str">
        <f aca="false">IF(C2841="","",IFERROR(MATCH(Q2841,'CARNET DE SOUDURE'!$AW$7:$AW$3006,0),""))</f>
        <v/>
      </c>
      <c r="Q2841" s="82" t="str">
        <f aca="false">IF(C2841="","",B2841&amp;"|"&amp;C2841)</f>
        <v/>
      </c>
    </row>
    <row r="2842" customFormat="false" ht="15" hidden="false" customHeight="false" outlineLevel="0" collapsed="false">
      <c r="A2842" s="82" t="str">
        <f aca="false">IF(C2842="","",ROW()-6)</f>
        <v/>
      </c>
      <c r="B2842" s="80"/>
      <c r="C2842" s="113"/>
      <c r="D2842" s="82" t="str">
        <f aca="false">IF(OR(C2842="",P2842=""),"",INDEX('CARNET DE SOUDURE'!$D$7:$D$3006,P2842)&amp;"")</f>
        <v/>
      </c>
      <c r="E2842" s="114" t="str">
        <f aca="false">IF(OR(C2842="",P2842=""),"",IF(INDEX('CARNET DE SOUDURE'!$U$7:$U$3006,P2842)="","",INDEX('CARNET DE SOUDURE'!$U$7:$U$3006,P2842)))</f>
        <v/>
      </c>
      <c r="F2842" s="82" t="str">
        <f aca="false">IF(OR(C2842="",P2842=""),"",INDEX('CARNET DE SOUDURE'!$AP$7:$AP$3006,P2842))</f>
        <v/>
      </c>
      <c r="G2842" s="82" t="str">
        <f aca="false">IF(C2842="","",IF(P2842="","NJ INCONNU",INDEX('CARNET DE SOUDURE'!$AQ$7:$AQ$3006,P2842)))</f>
        <v/>
      </c>
      <c r="H2842" s="82" t="str">
        <f aca="false">IF(C2842="","",IF(G2842="ACCEPTÉ","OUI","NON"))</f>
        <v/>
      </c>
      <c r="I2842" s="83"/>
      <c r="J2842" s="80"/>
      <c r="K2842" s="81"/>
      <c r="L2842" s="81"/>
      <c r="M2842" s="81"/>
      <c r="N2842" s="84" t="str">
        <f aca="false">IF(C2842="","",IF(P2842="","NJ INCONNU",IF(I2842="",IF(H2842="OUI","À ENROBER",IF(G2842="À SOUDER","NON SOUDÉ","EN ATTENTE RT")),IF(L2842="R","À REPRENDRE",IF(H2842&lt;&gt;"OUI","⚠ ENROBÉ AVANT ACCEPTATION RT","ENROBÉ")))))</f>
        <v/>
      </c>
      <c r="O2842" s="80"/>
      <c r="P2842" s="82" t="str">
        <f aca="false">IF(C2842="","",IFERROR(MATCH(Q2842,'CARNET DE SOUDURE'!$AW$7:$AW$3006,0),""))</f>
        <v/>
      </c>
      <c r="Q2842" s="82" t="str">
        <f aca="false">IF(C2842="","",B2842&amp;"|"&amp;C2842)</f>
        <v/>
      </c>
    </row>
    <row r="2843" customFormat="false" ht="15" hidden="false" customHeight="false" outlineLevel="0" collapsed="false">
      <c r="A2843" s="82" t="str">
        <f aca="false">IF(C2843="","",ROW()-6)</f>
        <v/>
      </c>
      <c r="B2843" s="80"/>
      <c r="C2843" s="113"/>
      <c r="D2843" s="82" t="str">
        <f aca="false">IF(OR(C2843="",P2843=""),"",INDEX('CARNET DE SOUDURE'!$D$7:$D$3006,P2843)&amp;"")</f>
        <v/>
      </c>
      <c r="E2843" s="114" t="str">
        <f aca="false">IF(OR(C2843="",P2843=""),"",IF(INDEX('CARNET DE SOUDURE'!$U$7:$U$3006,P2843)="","",INDEX('CARNET DE SOUDURE'!$U$7:$U$3006,P2843)))</f>
        <v/>
      </c>
      <c r="F2843" s="82" t="str">
        <f aca="false">IF(OR(C2843="",P2843=""),"",INDEX('CARNET DE SOUDURE'!$AP$7:$AP$3006,P2843))</f>
        <v/>
      </c>
      <c r="G2843" s="82" t="str">
        <f aca="false">IF(C2843="","",IF(P2843="","NJ INCONNU",INDEX('CARNET DE SOUDURE'!$AQ$7:$AQ$3006,P2843)))</f>
        <v/>
      </c>
      <c r="H2843" s="82" t="str">
        <f aca="false">IF(C2843="","",IF(G2843="ACCEPTÉ","OUI","NON"))</f>
        <v/>
      </c>
      <c r="I2843" s="83"/>
      <c r="J2843" s="80"/>
      <c r="K2843" s="81"/>
      <c r="L2843" s="81"/>
      <c r="M2843" s="81"/>
      <c r="N2843" s="84" t="str">
        <f aca="false">IF(C2843="","",IF(P2843="","NJ INCONNU",IF(I2843="",IF(H2843="OUI","À ENROBER",IF(G2843="À SOUDER","NON SOUDÉ","EN ATTENTE RT")),IF(L2843="R","À REPRENDRE",IF(H2843&lt;&gt;"OUI","⚠ ENROBÉ AVANT ACCEPTATION RT","ENROBÉ")))))</f>
        <v/>
      </c>
      <c r="O2843" s="80"/>
      <c r="P2843" s="82" t="str">
        <f aca="false">IF(C2843="","",IFERROR(MATCH(Q2843,'CARNET DE SOUDURE'!$AW$7:$AW$3006,0),""))</f>
        <v/>
      </c>
      <c r="Q2843" s="82" t="str">
        <f aca="false">IF(C2843="","",B2843&amp;"|"&amp;C2843)</f>
        <v/>
      </c>
    </row>
    <row r="2844" customFormat="false" ht="15" hidden="false" customHeight="false" outlineLevel="0" collapsed="false">
      <c r="A2844" s="82" t="str">
        <f aca="false">IF(C2844="","",ROW()-6)</f>
        <v/>
      </c>
      <c r="B2844" s="80"/>
      <c r="C2844" s="113"/>
      <c r="D2844" s="82" t="str">
        <f aca="false">IF(OR(C2844="",P2844=""),"",INDEX('CARNET DE SOUDURE'!$D$7:$D$3006,P2844)&amp;"")</f>
        <v/>
      </c>
      <c r="E2844" s="114" t="str">
        <f aca="false">IF(OR(C2844="",P2844=""),"",IF(INDEX('CARNET DE SOUDURE'!$U$7:$U$3006,P2844)="","",INDEX('CARNET DE SOUDURE'!$U$7:$U$3006,P2844)))</f>
        <v/>
      </c>
      <c r="F2844" s="82" t="str">
        <f aca="false">IF(OR(C2844="",P2844=""),"",INDEX('CARNET DE SOUDURE'!$AP$7:$AP$3006,P2844))</f>
        <v/>
      </c>
      <c r="G2844" s="82" t="str">
        <f aca="false">IF(C2844="","",IF(P2844="","NJ INCONNU",INDEX('CARNET DE SOUDURE'!$AQ$7:$AQ$3006,P2844)))</f>
        <v/>
      </c>
      <c r="H2844" s="82" t="str">
        <f aca="false">IF(C2844="","",IF(G2844="ACCEPTÉ","OUI","NON"))</f>
        <v/>
      </c>
      <c r="I2844" s="83"/>
      <c r="J2844" s="80"/>
      <c r="K2844" s="81"/>
      <c r="L2844" s="81"/>
      <c r="M2844" s="81"/>
      <c r="N2844" s="84" t="str">
        <f aca="false">IF(C2844="","",IF(P2844="","NJ INCONNU",IF(I2844="",IF(H2844="OUI","À ENROBER",IF(G2844="À SOUDER","NON SOUDÉ","EN ATTENTE RT")),IF(L2844="R","À REPRENDRE",IF(H2844&lt;&gt;"OUI","⚠ ENROBÉ AVANT ACCEPTATION RT","ENROBÉ")))))</f>
        <v/>
      </c>
      <c r="O2844" s="80"/>
      <c r="P2844" s="82" t="str">
        <f aca="false">IF(C2844="","",IFERROR(MATCH(Q2844,'CARNET DE SOUDURE'!$AW$7:$AW$3006,0),""))</f>
        <v/>
      </c>
      <c r="Q2844" s="82" t="str">
        <f aca="false">IF(C2844="","",B2844&amp;"|"&amp;C2844)</f>
        <v/>
      </c>
    </row>
    <row r="2845" customFormat="false" ht="15" hidden="false" customHeight="false" outlineLevel="0" collapsed="false">
      <c r="A2845" s="82" t="str">
        <f aca="false">IF(C2845="","",ROW()-6)</f>
        <v/>
      </c>
      <c r="B2845" s="80"/>
      <c r="C2845" s="113"/>
      <c r="D2845" s="82" t="str">
        <f aca="false">IF(OR(C2845="",P2845=""),"",INDEX('CARNET DE SOUDURE'!$D$7:$D$3006,P2845)&amp;"")</f>
        <v/>
      </c>
      <c r="E2845" s="114" t="str">
        <f aca="false">IF(OR(C2845="",P2845=""),"",IF(INDEX('CARNET DE SOUDURE'!$U$7:$U$3006,P2845)="","",INDEX('CARNET DE SOUDURE'!$U$7:$U$3006,P2845)))</f>
        <v/>
      </c>
      <c r="F2845" s="82" t="str">
        <f aca="false">IF(OR(C2845="",P2845=""),"",INDEX('CARNET DE SOUDURE'!$AP$7:$AP$3006,P2845))</f>
        <v/>
      </c>
      <c r="G2845" s="82" t="str">
        <f aca="false">IF(C2845="","",IF(P2845="","NJ INCONNU",INDEX('CARNET DE SOUDURE'!$AQ$7:$AQ$3006,P2845)))</f>
        <v/>
      </c>
      <c r="H2845" s="82" t="str">
        <f aca="false">IF(C2845="","",IF(G2845="ACCEPTÉ","OUI","NON"))</f>
        <v/>
      </c>
      <c r="I2845" s="83"/>
      <c r="J2845" s="80"/>
      <c r="K2845" s="81"/>
      <c r="L2845" s="81"/>
      <c r="M2845" s="81"/>
      <c r="N2845" s="84" t="str">
        <f aca="false">IF(C2845="","",IF(P2845="","NJ INCONNU",IF(I2845="",IF(H2845="OUI","À ENROBER",IF(G2845="À SOUDER","NON SOUDÉ","EN ATTENTE RT")),IF(L2845="R","À REPRENDRE",IF(H2845&lt;&gt;"OUI","⚠ ENROBÉ AVANT ACCEPTATION RT","ENROBÉ")))))</f>
        <v/>
      </c>
      <c r="O2845" s="80"/>
      <c r="P2845" s="82" t="str">
        <f aca="false">IF(C2845="","",IFERROR(MATCH(Q2845,'CARNET DE SOUDURE'!$AW$7:$AW$3006,0),""))</f>
        <v/>
      </c>
      <c r="Q2845" s="82" t="str">
        <f aca="false">IF(C2845="","",B2845&amp;"|"&amp;C2845)</f>
        <v/>
      </c>
    </row>
    <row r="2846" customFormat="false" ht="15" hidden="false" customHeight="false" outlineLevel="0" collapsed="false">
      <c r="A2846" s="82" t="str">
        <f aca="false">IF(C2846="","",ROW()-6)</f>
        <v/>
      </c>
      <c r="B2846" s="80"/>
      <c r="C2846" s="113"/>
      <c r="D2846" s="82" t="str">
        <f aca="false">IF(OR(C2846="",P2846=""),"",INDEX('CARNET DE SOUDURE'!$D$7:$D$3006,P2846)&amp;"")</f>
        <v/>
      </c>
      <c r="E2846" s="114" t="str">
        <f aca="false">IF(OR(C2846="",P2846=""),"",IF(INDEX('CARNET DE SOUDURE'!$U$7:$U$3006,P2846)="","",INDEX('CARNET DE SOUDURE'!$U$7:$U$3006,P2846)))</f>
        <v/>
      </c>
      <c r="F2846" s="82" t="str">
        <f aca="false">IF(OR(C2846="",P2846=""),"",INDEX('CARNET DE SOUDURE'!$AP$7:$AP$3006,P2846))</f>
        <v/>
      </c>
      <c r="G2846" s="82" t="str">
        <f aca="false">IF(C2846="","",IF(P2846="","NJ INCONNU",INDEX('CARNET DE SOUDURE'!$AQ$7:$AQ$3006,P2846)))</f>
        <v/>
      </c>
      <c r="H2846" s="82" t="str">
        <f aca="false">IF(C2846="","",IF(G2846="ACCEPTÉ","OUI","NON"))</f>
        <v/>
      </c>
      <c r="I2846" s="83"/>
      <c r="J2846" s="80"/>
      <c r="K2846" s="81"/>
      <c r="L2846" s="81"/>
      <c r="M2846" s="81"/>
      <c r="N2846" s="84" t="str">
        <f aca="false">IF(C2846="","",IF(P2846="","NJ INCONNU",IF(I2846="",IF(H2846="OUI","À ENROBER",IF(G2846="À SOUDER","NON SOUDÉ","EN ATTENTE RT")),IF(L2846="R","À REPRENDRE",IF(H2846&lt;&gt;"OUI","⚠ ENROBÉ AVANT ACCEPTATION RT","ENROBÉ")))))</f>
        <v/>
      </c>
      <c r="O2846" s="80"/>
      <c r="P2846" s="82" t="str">
        <f aca="false">IF(C2846="","",IFERROR(MATCH(Q2846,'CARNET DE SOUDURE'!$AW$7:$AW$3006,0),""))</f>
        <v/>
      </c>
      <c r="Q2846" s="82" t="str">
        <f aca="false">IF(C2846="","",B2846&amp;"|"&amp;C2846)</f>
        <v/>
      </c>
    </row>
    <row r="2847" customFormat="false" ht="15" hidden="false" customHeight="false" outlineLevel="0" collapsed="false">
      <c r="A2847" s="82" t="str">
        <f aca="false">IF(C2847="","",ROW()-6)</f>
        <v/>
      </c>
      <c r="B2847" s="80"/>
      <c r="C2847" s="113"/>
      <c r="D2847" s="82" t="str">
        <f aca="false">IF(OR(C2847="",P2847=""),"",INDEX('CARNET DE SOUDURE'!$D$7:$D$3006,P2847)&amp;"")</f>
        <v/>
      </c>
      <c r="E2847" s="114" t="str">
        <f aca="false">IF(OR(C2847="",P2847=""),"",IF(INDEX('CARNET DE SOUDURE'!$U$7:$U$3006,P2847)="","",INDEX('CARNET DE SOUDURE'!$U$7:$U$3006,P2847)))</f>
        <v/>
      </c>
      <c r="F2847" s="82" t="str">
        <f aca="false">IF(OR(C2847="",P2847=""),"",INDEX('CARNET DE SOUDURE'!$AP$7:$AP$3006,P2847))</f>
        <v/>
      </c>
      <c r="G2847" s="82" t="str">
        <f aca="false">IF(C2847="","",IF(P2847="","NJ INCONNU",INDEX('CARNET DE SOUDURE'!$AQ$7:$AQ$3006,P2847)))</f>
        <v/>
      </c>
      <c r="H2847" s="82" t="str">
        <f aca="false">IF(C2847="","",IF(G2847="ACCEPTÉ","OUI","NON"))</f>
        <v/>
      </c>
      <c r="I2847" s="83"/>
      <c r="J2847" s="80"/>
      <c r="K2847" s="81"/>
      <c r="L2847" s="81"/>
      <c r="M2847" s="81"/>
      <c r="N2847" s="84" t="str">
        <f aca="false">IF(C2847="","",IF(P2847="","NJ INCONNU",IF(I2847="",IF(H2847="OUI","À ENROBER",IF(G2847="À SOUDER","NON SOUDÉ","EN ATTENTE RT")),IF(L2847="R","À REPRENDRE",IF(H2847&lt;&gt;"OUI","⚠ ENROBÉ AVANT ACCEPTATION RT","ENROBÉ")))))</f>
        <v/>
      </c>
      <c r="O2847" s="80"/>
      <c r="P2847" s="82" t="str">
        <f aca="false">IF(C2847="","",IFERROR(MATCH(Q2847,'CARNET DE SOUDURE'!$AW$7:$AW$3006,0),""))</f>
        <v/>
      </c>
      <c r="Q2847" s="82" t="str">
        <f aca="false">IF(C2847="","",B2847&amp;"|"&amp;C2847)</f>
        <v/>
      </c>
    </row>
    <row r="2848" customFormat="false" ht="15" hidden="false" customHeight="false" outlineLevel="0" collapsed="false">
      <c r="A2848" s="82" t="str">
        <f aca="false">IF(C2848="","",ROW()-6)</f>
        <v/>
      </c>
      <c r="B2848" s="80"/>
      <c r="C2848" s="113"/>
      <c r="D2848" s="82" t="str">
        <f aca="false">IF(OR(C2848="",P2848=""),"",INDEX('CARNET DE SOUDURE'!$D$7:$D$3006,P2848)&amp;"")</f>
        <v/>
      </c>
      <c r="E2848" s="114" t="str">
        <f aca="false">IF(OR(C2848="",P2848=""),"",IF(INDEX('CARNET DE SOUDURE'!$U$7:$U$3006,P2848)="","",INDEX('CARNET DE SOUDURE'!$U$7:$U$3006,P2848)))</f>
        <v/>
      </c>
      <c r="F2848" s="82" t="str">
        <f aca="false">IF(OR(C2848="",P2848=""),"",INDEX('CARNET DE SOUDURE'!$AP$7:$AP$3006,P2848))</f>
        <v/>
      </c>
      <c r="G2848" s="82" t="str">
        <f aca="false">IF(C2848="","",IF(P2848="","NJ INCONNU",INDEX('CARNET DE SOUDURE'!$AQ$7:$AQ$3006,P2848)))</f>
        <v/>
      </c>
      <c r="H2848" s="82" t="str">
        <f aca="false">IF(C2848="","",IF(G2848="ACCEPTÉ","OUI","NON"))</f>
        <v/>
      </c>
      <c r="I2848" s="83"/>
      <c r="J2848" s="80"/>
      <c r="K2848" s="81"/>
      <c r="L2848" s="81"/>
      <c r="M2848" s="81"/>
      <c r="N2848" s="84" t="str">
        <f aca="false">IF(C2848="","",IF(P2848="","NJ INCONNU",IF(I2848="",IF(H2848="OUI","À ENROBER",IF(G2848="À SOUDER","NON SOUDÉ","EN ATTENTE RT")),IF(L2848="R","À REPRENDRE",IF(H2848&lt;&gt;"OUI","⚠ ENROBÉ AVANT ACCEPTATION RT","ENROBÉ")))))</f>
        <v/>
      </c>
      <c r="O2848" s="80"/>
      <c r="P2848" s="82" t="str">
        <f aca="false">IF(C2848="","",IFERROR(MATCH(Q2848,'CARNET DE SOUDURE'!$AW$7:$AW$3006,0),""))</f>
        <v/>
      </c>
      <c r="Q2848" s="82" t="str">
        <f aca="false">IF(C2848="","",B2848&amp;"|"&amp;C2848)</f>
        <v/>
      </c>
    </row>
    <row r="2849" customFormat="false" ht="15" hidden="false" customHeight="false" outlineLevel="0" collapsed="false">
      <c r="A2849" s="82" t="str">
        <f aca="false">IF(C2849="","",ROW()-6)</f>
        <v/>
      </c>
      <c r="B2849" s="80"/>
      <c r="C2849" s="113"/>
      <c r="D2849" s="82" t="str">
        <f aca="false">IF(OR(C2849="",P2849=""),"",INDEX('CARNET DE SOUDURE'!$D$7:$D$3006,P2849)&amp;"")</f>
        <v/>
      </c>
      <c r="E2849" s="114" t="str">
        <f aca="false">IF(OR(C2849="",P2849=""),"",IF(INDEX('CARNET DE SOUDURE'!$U$7:$U$3006,P2849)="","",INDEX('CARNET DE SOUDURE'!$U$7:$U$3006,P2849)))</f>
        <v/>
      </c>
      <c r="F2849" s="82" t="str">
        <f aca="false">IF(OR(C2849="",P2849=""),"",INDEX('CARNET DE SOUDURE'!$AP$7:$AP$3006,P2849))</f>
        <v/>
      </c>
      <c r="G2849" s="82" t="str">
        <f aca="false">IF(C2849="","",IF(P2849="","NJ INCONNU",INDEX('CARNET DE SOUDURE'!$AQ$7:$AQ$3006,P2849)))</f>
        <v/>
      </c>
      <c r="H2849" s="82" t="str">
        <f aca="false">IF(C2849="","",IF(G2849="ACCEPTÉ","OUI","NON"))</f>
        <v/>
      </c>
      <c r="I2849" s="83"/>
      <c r="J2849" s="80"/>
      <c r="K2849" s="81"/>
      <c r="L2849" s="81"/>
      <c r="M2849" s="81"/>
      <c r="N2849" s="84" t="str">
        <f aca="false">IF(C2849="","",IF(P2849="","NJ INCONNU",IF(I2849="",IF(H2849="OUI","À ENROBER",IF(G2849="À SOUDER","NON SOUDÉ","EN ATTENTE RT")),IF(L2849="R","À REPRENDRE",IF(H2849&lt;&gt;"OUI","⚠ ENROBÉ AVANT ACCEPTATION RT","ENROBÉ")))))</f>
        <v/>
      </c>
      <c r="O2849" s="80"/>
      <c r="P2849" s="82" t="str">
        <f aca="false">IF(C2849="","",IFERROR(MATCH(Q2849,'CARNET DE SOUDURE'!$AW$7:$AW$3006,0),""))</f>
        <v/>
      </c>
      <c r="Q2849" s="82" t="str">
        <f aca="false">IF(C2849="","",B2849&amp;"|"&amp;C2849)</f>
        <v/>
      </c>
    </row>
    <row r="2850" customFormat="false" ht="15" hidden="false" customHeight="false" outlineLevel="0" collapsed="false">
      <c r="A2850" s="82" t="str">
        <f aca="false">IF(C2850="","",ROW()-6)</f>
        <v/>
      </c>
      <c r="B2850" s="80"/>
      <c r="C2850" s="113"/>
      <c r="D2850" s="82" t="str">
        <f aca="false">IF(OR(C2850="",P2850=""),"",INDEX('CARNET DE SOUDURE'!$D$7:$D$3006,P2850)&amp;"")</f>
        <v/>
      </c>
      <c r="E2850" s="114" t="str">
        <f aca="false">IF(OR(C2850="",P2850=""),"",IF(INDEX('CARNET DE SOUDURE'!$U$7:$U$3006,P2850)="","",INDEX('CARNET DE SOUDURE'!$U$7:$U$3006,P2850)))</f>
        <v/>
      </c>
      <c r="F2850" s="82" t="str">
        <f aca="false">IF(OR(C2850="",P2850=""),"",INDEX('CARNET DE SOUDURE'!$AP$7:$AP$3006,P2850))</f>
        <v/>
      </c>
      <c r="G2850" s="82" t="str">
        <f aca="false">IF(C2850="","",IF(P2850="","NJ INCONNU",INDEX('CARNET DE SOUDURE'!$AQ$7:$AQ$3006,P2850)))</f>
        <v/>
      </c>
      <c r="H2850" s="82" t="str">
        <f aca="false">IF(C2850="","",IF(G2850="ACCEPTÉ","OUI","NON"))</f>
        <v/>
      </c>
      <c r="I2850" s="83"/>
      <c r="J2850" s="80"/>
      <c r="K2850" s="81"/>
      <c r="L2850" s="81"/>
      <c r="M2850" s="81"/>
      <c r="N2850" s="84" t="str">
        <f aca="false">IF(C2850="","",IF(P2850="","NJ INCONNU",IF(I2850="",IF(H2850="OUI","À ENROBER",IF(G2850="À SOUDER","NON SOUDÉ","EN ATTENTE RT")),IF(L2850="R","À REPRENDRE",IF(H2850&lt;&gt;"OUI","⚠ ENROBÉ AVANT ACCEPTATION RT","ENROBÉ")))))</f>
        <v/>
      </c>
      <c r="O2850" s="80"/>
      <c r="P2850" s="82" t="str">
        <f aca="false">IF(C2850="","",IFERROR(MATCH(Q2850,'CARNET DE SOUDURE'!$AW$7:$AW$3006,0),""))</f>
        <v/>
      </c>
      <c r="Q2850" s="82" t="str">
        <f aca="false">IF(C2850="","",B2850&amp;"|"&amp;C2850)</f>
        <v/>
      </c>
    </row>
    <row r="2851" customFormat="false" ht="15" hidden="false" customHeight="false" outlineLevel="0" collapsed="false">
      <c r="A2851" s="82" t="str">
        <f aca="false">IF(C2851="","",ROW()-6)</f>
        <v/>
      </c>
      <c r="B2851" s="80"/>
      <c r="C2851" s="113"/>
      <c r="D2851" s="82" t="str">
        <f aca="false">IF(OR(C2851="",P2851=""),"",INDEX('CARNET DE SOUDURE'!$D$7:$D$3006,P2851)&amp;"")</f>
        <v/>
      </c>
      <c r="E2851" s="114" t="str">
        <f aca="false">IF(OR(C2851="",P2851=""),"",IF(INDEX('CARNET DE SOUDURE'!$U$7:$U$3006,P2851)="","",INDEX('CARNET DE SOUDURE'!$U$7:$U$3006,P2851)))</f>
        <v/>
      </c>
      <c r="F2851" s="82" t="str">
        <f aca="false">IF(OR(C2851="",P2851=""),"",INDEX('CARNET DE SOUDURE'!$AP$7:$AP$3006,P2851))</f>
        <v/>
      </c>
      <c r="G2851" s="82" t="str">
        <f aca="false">IF(C2851="","",IF(P2851="","NJ INCONNU",INDEX('CARNET DE SOUDURE'!$AQ$7:$AQ$3006,P2851)))</f>
        <v/>
      </c>
      <c r="H2851" s="82" t="str">
        <f aca="false">IF(C2851="","",IF(G2851="ACCEPTÉ","OUI","NON"))</f>
        <v/>
      </c>
      <c r="I2851" s="83"/>
      <c r="J2851" s="80"/>
      <c r="K2851" s="81"/>
      <c r="L2851" s="81"/>
      <c r="M2851" s="81"/>
      <c r="N2851" s="84" t="str">
        <f aca="false">IF(C2851="","",IF(P2851="","NJ INCONNU",IF(I2851="",IF(H2851="OUI","À ENROBER",IF(G2851="À SOUDER","NON SOUDÉ","EN ATTENTE RT")),IF(L2851="R","À REPRENDRE",IF(H2851&lt;&gt;"OUI","⚠ ENROBÉ AVANT ACCEPTATION RT","ENROBÉ")))))</f>
        <v/>
      </c>
      <c r="O2851" s="80"/>
      <c r="P2851" s="82" t="str">
        <f aca="false">IF(C2851="","",IFERROR(MATCH(Q2851,'CARNET DE SOUDURE'!$AW$7:$AW$3006,0),""))</f>
        <v/>
      </c>
      <c r="Q2851" s="82" t="str">
        <f aca="false">IF(C2851="","",B2851&amp;"|"&amp;C2851)</f>
        <v/>
      </c>
    </row>
    <row r="2852" customFormat="false" ht="15" hidden="false" customHeight="false" outlineLevel="0" collapsed="false">
      <c r="A2852" s="82" t="str">
        <f aca="false">IF(C2852="","",ROW()-6)</f>
        <v/>
      </c>
      <c r="B2852" s="80"/>
      <c r="C2852" s="113"/>
      <c r="D2852" s="82" t="str">
        <f aca="false">IF(OR(C2852="",P2852=""),"",INDEX('CARNET DE SOUDURE'!$D$7:$D$3006,P2852)&amp;"")</f>
        <v/>
      </c>
      <c r="E2852" s="114" t="str">
        <f aca="false">IF(OR(C2852="",P2852=""),"",IF(INDEX('CARNET DE SOUDURE'!$U$7:$U$3006,P2852)="","",INDEX('CARNET DE SOUDURE'!$U$7:$U$3006,P2852)))</f>
        <v/>
      </c>
      <c r="F2852" s="82" t="str">
        <f aca="false">IF(OR(C2852="",P2852=""),"",INDEX('CARNET DE SOUDURE'!$AP$7:$AP$3006,P2852))</f>
        <v/>
      </c>
      <c r="G2852" s="82" t="str">
        <f aca="false">IF(C2852="","",IF(P2852="","NJ INCONNU",INDEX('CARNET DE SOUDURE'!$AQ$7:$AQ$3006,P2852)))</f>
        <v/>
      </c>
      <c r="H2852" s="82" t="str">
        <f aca="false">IF(C2852="","",IF(G2852="ACCEPTÉ","OUI","NON"))</f>
        <v/>
      </c>
      <c r="I2852" s="83"/>
      <c r="J2852" s="80"/>
      <c r="K2852" s="81"/>
      <c r="L2852" s="81"/>
      <c r="M2852" s="81"/>
      <c r="N2852" s="84" t="str">
        <f aca="false">IF(C2852="","",IF(P2852="","NJ INCONNU",IF(I2852="",IF(H2852="OUI","À ENROBER",IF(G2852="À SOUDER","NON SOUDÉ","EN ATTENTE RT")),IF(L2852="R","À REPRENDRE",IF(H2852&lt;&gt;"OUI","⚠ ENROBÉ AVANT ACCEPTATION RT","ENROBÉ")))))</f>
        <v/>
      </c>
      <c r="O2852" s="80"/>
      <c r="P2852" s="82" t="str">
        <f aca="false">IF(C2852="","",IFERROR(MATCH(Q2852,'CARNET DE SOUDURE'!$AW$7:$AW$3006,0),""))</f>
        <v/>
      </c>
      <c r="Q2852" s="82" t="str">
        <f aca="false">IF(C2852="","",B2852&amp;"|"&amp;C2852)</f>
        <v/>
      </c>
    </row>
    <row r="2853" customFormat="false" ht="15" hidden="false" customHeight="false" outlineLevel="0" collapsed="false">
      <c r="A2853" s="82" t="str">
        <f aca="false">IF(C2853="","",ROW()-6)</f>
        <v/>
      </c>
      <c r="B2853" s="80"/>
      <c r="C2853" s="113"/>
      <c r="D2853" s="82" t="str">
        <f aca="false">IF(OR(C2853="",P2853=""),"",INDEX('CARNET DE SOUDURE'!$D$7:$D$3006,P2853)&amp;"")</f>
        <v/>
      </c>
      <c r="E2853" s="114" t="str">
        <f aca="false">IF(OR(C2853="",P2853=""),"",IF(INDEX('CARNET DE SOUDURE'!$U$7:$U$3006,P2853)="","",INDEX('CARNET DE SOUDURE'!$U$7:$U$3006,P2853)))</f>
        <v/>
      </c>
      <c r="F2853" s="82" t="str">
        <f aca="false">IF(OR(C2853="",P2853=""),"",INDEX('CARNET DE SOUDURE'!$AP$7:$AP$3006,P2853))</f>
        <v/>
      </c>
      <c r="G2853" s="82" t="str">
        <f aca="false">IF(C2853="","",IF(P2853="","NJ INCONNU",INDEX('CARNET DE SOUDURE'!$AQ$7:$AQ$3006,P2853)))</f>
        <v/>
      </c>
      <c r="H2853" s="82" t="str">
        <f aca="false">IF(C2853="","",IF(G2853="ACCEPTÉ","OUI","NON"))</f>
        <v/>
      </c>
      <c r="I2853" s="83"/>
      <c r="J2853" s="80"/>
      <c r="K2853" s="81"/>
      <c r="L2853" s="81"/>
      <c r="M2853" s="81"/>
      <c r="N2853" s="84" t="str">
        <f aca="false">IF(C2853="","",IF(P2853="","NJ INCONNU",IF(I2853="",IF(H2853="OUI","À ENROBER",IF(G2853="À SOUDER","NON SOUDÉ","EN ATTENTE RT")),IF(L2853="R","À REPRENDRE",IF(H2853&lt;&gt;"OUI","⚠ ENROBÉ AVANT ACCEPTATION RT","ENROBÉ")))))</f>
        <v/>
      </c>
      <c r="O2853" s="80"/>
      <c r="P2853" s="82" t="str">
        <f aca="false">IF(C2853="","",IFERROR(MATCH(Q2853,'CARNET DE SOUDURE'!$AW$7:$AW$3006,0),""))</f>
        <v/>
      </c>
      <c r="Q2853" s="82" t="str">
        <f aca="false">IF(C2853="","",B2853&amp;"|"&amp;C2853)</f>
        <v/>
      </c>
    </row>
    <row r="2854" customFormat="false" ht="15" hidden="false" customHeight="false" outlineLevel="0" collapsed="false">
      <c r="A2854" s="82" t="str">
        <f aca="false">IF(C2854="","",ROW()-6)</f>
        <v/>
      </c>
      <c r="B2854" s="80"/>
      <c r="C2854" s="113"/>
      <c r="D2854" s="82" t="str">
        <f aca="false">IF(OR(C2854="",P2854=""),"",INDEX('CARNET DE SOUDURE'!$D$7:$D$3006,P2854)&amp;"")</f>
        <v/>
      </c>
      <c r="E2854" s="114" t="str">
        <f aca="false">IF(OR(C2854="",P2854=""),"",IF(INDEX('CARNET DE SOUDURE'!$U$7:$U$3006,P2854)="","",INDEX('CARNET DE SOUDURE'!$U$7:$U$3006,P2854)))</f>
        <v/>
      </c>
      <c r="F2854" s="82" t="str">
        <f aca="false">IF(OR(C2854="",P2854=""),"",INDEX('CARNET DE SOUDURE'!$AP$7:$AP$3006,P2854))</f>
        <v/>
      </c>
      <c r="G2854" s="82" t="str">
        <f aca="false">IF(C2854="","",IF(P2854="","NJ INCONNU",INDEX('CARNET DE SOUDURE'!$AQ$7:$AQ$3006,P2854)))</f>
        <v/>
      </c>
      <c r="H2854" s="82" t="str">
        <f aca="false">IF(C2854="","",IF(G2854="ACCEPTÉ","OUI","NON"))</f>
        <v/>
      </c>
      <c r="I2854" s="83"/>
      <c r="J2854" s="80"/>
      <c r="K2854" s="81"/>
      <c r="L2854" s="81"/>
      <c r="M2854" s="81"/>
      <c r="N2854" s="84" t="str">
        <f aca="false">IF(C2854="","",IF(P2854="","NJ INCONNU",IF(I2854="",IF(H2854="OUI","À ENROBER",IF(G2854="À SOUDER","NON SOUDÉ","EN ATTENTE RT")),IF(L2854="R","À REPRENDRE",IF(H2854&lt;&gt;"OUI","⚠ ENROBÉ AVANT ACCEPTATION RT","ENROBÉ")))))</f>
        <v/>
      </c>
      <c r="O2854" s="80"/>
      <c r="P2854" s="82" t="str">
        <f aca="false">IF(C2854="","",IFERROR(MATCH(Q2854,'CARNET DE SOUDURE'!$AW$7:$AW$3006,0),""))</f>
        <v/>
      </c>
      <c r="Q2854" s="82" t="str">
        <f aca="false">IF(C2854="","",B2854&amp;"|"&amp;C2854)</f>
        <v/>
      </c>
    </row>
    <row r="2855" customFormat="false" ht="15" hidden="false" customHeight="false" outlineLevel="0" collapsed="false">
      <c r="A2855" s="82" t="str">
        <f aca="false">IF(C2855="","",ROW()-6)</f>
        <v/>
      </c>
      <c r="B2855" s="80"/>
      <c r="C2855" s="113"/>
      <c r="D2855" s="82" t="str">
        <f aca="false">IF(OR(C2855="",P2855=""),"",INDEX('CARNET DE SOUDURE'!$D$7:$D$3006,P2855)&amp;"")</f>
        <v/>
      </c>
      <c r="E2855" s="114" t="str">
        <f aca="false">IF(OR(C2855="",P2855=""),"",IF(INDEX('CARNET DE SOUDURE'!$U$7:$U$3006,P2855)="","",INDEX('CARNET DE SOUDURE'!$U$7:$U$3006,P2855)))</f>
        <v/>
      </c>
      <c r="F2855" s="82" t="str">
        <f aca="false">IF(OR(C2855="",P2855=""),"",INDEX('CARNET DE SOUDURE'!$AP$7:$AP$3006,P2855))</f>
        <v/>
      </c>
      <c r="G2855" s="82" t="str">
        <f aca="false">IF(C2855="","",IF(P2855="","NJ INCONNU",INDEX('CARNET DE SOUDURE'!$AQ$7:$AQ$3006,P2855)))</f>
        <v/>
      </c>
      <c r="H2855" s="82" t="str">
        <f aca="false">IF(C2855="","",IF(G2855="ACCEPTÉ","OUI","NON"))</f>
        <v/>
      </c>
      <c r="I2855" s="83"/>
      <c r="J2855" s="80"/>
      <c r="K2855" s="81"/>
      <c r="L2855" s="81"/>
      <c r="M2855" s="81"/>
      <c r="N2855" s="84" t="str">
        <f aca="false">IF(C2855="","",IF(P2855="","NJ INCONNU",IF(I2855="",IF(H2855="OUI","À ENROBER",IF(G2855="À SOUDER","NON SOUDÉ","EN ATTENTE RT")),IF(L2855="R","À REPRENDRE",IF(H2855&lt;&gt;"OUI","⚠ ENROBÉ AVANT ACCEPTATION RT","ENROBÉ")))))</f>
        <v/>
      </c>
      <c r="O2855" s="80"/>
      <c r="P2855" s="82" t="str">
        <f aca="false">IF(C2855="","",IFERROR(MATCH(Q2855,'CARNET DE SOUDURE'!$AW$7:$AW$3006,0),""))</f>
        <v/>
      </c>
      <c r="Q2855" s="82" t="str">
        <f aca="false">IF(C2855="","",B2855&amp;"|"&amp;C2855)</f>
        <v/>
      </c>
    </row>
    <row r="2856" customFormat="false" ht="15" hidden="false" customHeight="false" outlineLevel="0" collapsed="false">
      <c r="A2856" s="82" t="str">
        <f aca="false">IF(C2856="","",ROW()-6)</f>
        <v/>
      </c>
      <c r="B2856" s="80"/>
      <c r="C2856" s="113"/>
      <c r="D2856" s="82" t="str">
        <f aca="false">IF(OR(C2856="",P2856=""),"",INDEX('CARNET DE SOUDURE'!$D$7:$D$3006,P2856)&amp;"")</f>
        <v/>
      </c>
      <c r="E2856" s="114" t="str">
        <f aca="false">IF(OR(C2856="",P2856=""),"",IF(INDEX('CARNET DE SOUDURE'!$U$7:$U$3006,P2856)="","",INDEX('CARNET DE SOUDURE'!$U$7:$U$3006,P2856)))</f>
        <v/>
      </c>
      <c r="F2856" s="82" t="str">
        <f aca="false">IF(OR(C2856="",P2856=""),"",INDEX('CARNET DE SOUDURE'!$AP$7:$AP$3006,P2856))</f>
        <v/>
      </c>
      <c r="G2856" s="82" t="str">
        <f aca="false">IF(C2856="","",IF(P2856="","NJ INCONNU",INDEX('CARNET DE SOUDURE'!$AQ$7:$AQ$3006,P2856)))</f>
        <v/>
      </c>
      <c r="H2856" s="82" t="str">
        <f aca="false">IF(C2856="","",IF(G2856="ACCEPTÉ","OUI","NON"))</f>
        <v/>
      </c>
      <c r="I2856" s="83"/>
      <c r="J2856" s="80"/>
      <c r="K2856" s="81"/>
      <c r="L2856" s="81"/>
      <c r="M2856" s="81"/>
      <c r="N2856" s="84" t="str">
        <f aca="false">IF(C2856="","",IF(P2856="","NJ INCONNU",IF(I2856="",IF(H2856="OUI","À ENROBER",IF(G2856="À SOUDER","NON SOUDÉ","EN ATTENTE RT")),IF(L2856="R","À REPRENDRE",IF(H2856&lt;&gt;"OUI","⚠ ENROBÉ AVANT ACCEPTATION RT","ENROBÉ")))))</f>
        <v/>
      </c>
      <c r="O2856" s="80"/>
      <c r="P2856" s="82" t="str">
        <f aca="false">IF(C2856="","",IFERROR(MATCH(Q2856,'CARNET DE SOUDURE'!$AW$7:$AW$3006,0),""))</f>
        <v/>
      </c>
      <c r="Q2856" s="82" t="str">
        <f aca="false">IF(C2856="","",B2856&amp;"|"&amp;C2856)</f>
        <v/>
      </c>
    </row>
    <row r="2857" customFormat="false" ht="15" hidden="false" customHeight="false" outlineLevel="0" collapsed="false">
      <c r="A2857" s="82" t="str">
        <f aca="false">IF(C2857="","",ROW()-6)</f>
        <v/>
      </c>
      <c r="B2857" s="80"/>
      <c r="C2857" s="113"/>
      <c r="D2857" s="82" t="str">
        <f aca="false">IF(OR(C2857="",P2857=""),"",INDEX('CARNET DE SOUDURE'!$D$7:$D$3006,P2857)&amp;"")</f>
        <v/>
      </c>
      <c r="E2857" s="114" t="str">
        <f aca="false">IF(OR(C2857="",P2857=""),"",IF(INDEX('CARNET DE SOUDURE'!$U$7:$U$3006,P2857)="","",INDEX('CARNET DE SOUDURE'!$U$7:$U$3006,P2857)))</f>
        <v/>
      </c>
      <c r="F2857" s="82" t="str">
        <f aca="false">IF(OR(C2857="",P2857=""),"",INDEX('CARNET DE SOUDURE'!$AP$7:$AP$3006,P2857))</f>
        <v/>
      </c>
      <c r="G2857" s="82" t="str">
        <f aca="false">IF(C2857="","",IF(P2857="","NJ INCONNU",INDEX('CARNET DE SOUDURE'!$AQ$7:$AQ$3006,P2857)))</f>
        <v/>
      </c>
      <c r="H2857" s="82" t="str">
        <f aca="false">IF(C2857="","",IF(G2857="ACCEPTÉ","OUI","NON"))</f>
        <v/>
      </c>
      <c r="I2857" s="83"/>
      <c r="J2857" s="80"/>
      <c r="K2857" s="81"/>
      <c r="L2857" s="81"/>
      <c r="M2857" s="81"/>
      <c r="N2857" s="84" t="str">
        <f aca="false">IF(C2857="","",IF(P2857="","NJ INCONNU",IF(I2857="",IF(H2857="OUI","À ENROBER",IF(G2857="À SOUDER","NON SOUDÉ","EN ATTENTE RT")),IF(L2857="R","À REPRENDRE",IF(H2857&lt;&gt;"OUI","⚠ ENROBÉ AVANT ACCEPTATION RT","ENROBÉ")))))</f>
        <v/>
      </c>
      <c r="O2857" s="80"/>
      <c r="P2857" s="82" t="str">
        <f aca="false">IF(C2857="","",IFERROR(MATCH(Q2857,'CARNET DE SOUDURE'!$AW$7:$AW$3006,0),""))</f>
        <v/>
      </c>
      <c r="Q2857" s="82" t="str">
        <f aca="false">IF(C2857="","",B2857&amp;"|"&amp;C2857)</f>
        <v/>
      </c>
    </row>
    <row r="2858" customFormat="false" ht="15" hidden="false" customHeight="false" outlineLevel="0" collapsed="false">
      <c r="A2858" s="82" t="str">
        <f aca="false">IF(C2858="","",ROW()-6)</f>
        <v/>
      </c>
      <c r="B2858" s="80"/>
      <c r="C2858" s="113"/>
      <c r="D2858" s="82" t="str">
        <f aca="false">IF(OR(C2858="",P2858=""),"",INDEX('CARNET DE SOUDURE'!$D$7:$D$3006,P2858)&amp;"")</f>
        <v/>
      </c>
      <c r="E2858" s="114" t="str">
        <f aca="false">IF(OR(C2858="",P2858=""),"",IF(INDEX('CARNET DE SOUDURE'!$U$7:$U$3006,P2858)="","",INDEX('CARNET DE SOUDURE'!$U$7:$U$3006,P2858)))</f>
        <v/>
      </c>
      <c r="F2858" s="82" t="str">
        <f aca="false">IF(OR(C2858="",P2858=""),"",INDEX('CARNET DE SOUDURE'!$AP$7:$AP$3006,P2858))</f>
        <v/>
      </c>
      <c r="G2858" s="82" t="str">
        <f aca="false">IF(C2858="","",IF(P2858="","NJ INCONNU",INDEX('CARNET DE SOUDURE'!$AQ$7:$AQ$3006,P2858)))</f>
        <v/>
      </c>
      <c r="H2858" s="82" t="str">
        <f aca="false">IF(C2858="","",IF(G2858="ACCEPTÉ","OUI","NON"))</f>
        <v/>
      </c>
      <c r="I2858" s="83"/>
      <c r="J2858" s="80"/>
      <c r="K2858" s="81"/>
      <c r="L2858" s="81"/>
      <c r="M2858" s="81"/>
      <c r="N2858" s="84" t="str">
        <f aca="false">IF(C2858="","",IF(P2858="","NJ INCONNU",IF(I2858="",IF(H2858="OUI","À ENROBER",IF(G2858="À SOUDER","NON SOUDÉ","EN ATTENTE RT")),IF(L2858="R","À REPRENDRE",IF(H2858&lt;&gt;"OUI","⚠ ENROBÉ AVANT ACCEPTATION RT","ENROBÉ")))))</f>
        <v/>
      </c>
      <c r="O2858" s="80"/>
      <c r="P2858" s="82" t="str">
        <f aca="false">IF(C2858="","",IFERROR(MATCH(Q2858,'CARNET DE SOUDURE'!$AW$7:$AW$3006,0),""))</f>
        <v/>
      </c>
      <c r="Q2858" s="82" t="str">
        <f aca="false">IF(C2858="","",B2858&amp;"|"&amp;C2858)</f>
        <v/>
      </c>
    </row>
    <row r="2859" customFormat="false" ht="15" hidden="false" customHeight="false" outlineLevel="0" collapsed="false">
      <c r="A2859" s="82" t="str">
        <f aca="false">IF(C2859="","",ROW()-6)</f>
        <v/>
      </c>
      <c r="B2859" s="80"/>
      <c r="C2859" s="113"/>
      <c r="D2859" s="82" t="str">
        <f aca="false">IF(OR(C2859="",P2859=""),"",INDEX('CARNET DE SOUDURE'!$D$7:$D$3006,P2859)&amp;"")</f>
        <v/>
      </c>
      <c r="E2859" s="114" t="str">
        <f aca="false">IF(OR(C2859="",P2859=""),"",IF(INDEX('CARNET DE SOUDURE'!$U$7:$U$3006,P2859)="","",INDEX('CARNET DE SOUDURE'!$U$7:$U$3006,P2859)))</f>
        <v/>
      </c>
      <c r="F2859" s="82" t="str">
        <f aca="false">IF(OR(C2859="",P2859=""),"",INDEX('CARNET DE SOUDURE'!$AP$7:$AP$3006,P2859))</f>
        <v/>
      </c>
      <c r="G2859" s="82" t="str">
        <f aca="false">IF(C2859="","",IF(P2859="","NJ INCONNU",INDEX('CARNET DE SOUDURE'!$AQ$7:$AQ$3006,P2859)))</f>
        <v/>
      </c>
      <c r="H2859" s="82" t="str">
        <f aca="false">IF(C2859="","",IF(G2859="ACCEPTÉ","OUI","NON"))</f>
        <v/>
      </c>
      <c r="I2859" s="83"/>
      <c r="J2859" s="80"/>
      <c r="K2859" s="81"/>
      <c r="L2859" s="81"/>
      <c r="M2859" s="81"/>
      <c r="N2859" s="84" t="str">
        <f aca="false">IF(C2859="","",IF(P2859="","NJ INCONNU",IF(I2859="",IF(H2859="OUI","À ENROBER",IF(G2859="À SOUDER","NON SOUDÉ","EN ATTENTE RT")),IF(L2859="R","À REPRENDRE",IF(H2859&lt;&gt;"OUI","⚠ ENROBÉ AVANT ACCEPTATION RT","ENROBÉ")))))</f>
        <v/>
      </c>
      <c r="O2859" s="80"/>
      <c r="P2859" s="82" t="str">
        <f aca="false">IF(C2859="","",IFERROR(MATCH(Q2859,'CARNET DE SOUDURE'!$AW$7:$AW$3006,0),""))</f>
        <v/>
      </c>
      <c r="Q2859" s="82" t="str">
        <f aca="false">IF(C2859="","",B2859&amp;"|"&amp;C2859)</f>
        <v/>
      </c>
    </row>
    <row r="2860" customFormat="false" ht="15" hidden="false" customHeight="false" outlineLevel="0" collapsed="false">
      <c r="A2860" s="82" t="str">
        <f aca="false">IF(C2860="","",ROW()-6)</f>
        <v/>
      </c>
      <c r="B2860" s="80"/>
      <c r="C2860" s="113"/>
      <c r="D2860" s="82" t="str">
        <f aca="false">IF(OR(C2860="",P2860=""),"",INDEX('CARNET DE SOUDURE'!$D$7:$D$3006,P2860)&amp;"")</f>
        <v/>
      </c>
      <c r="E2860" s="114" t="str">
        <f aca="false">IF(OR(C2860="",P2860=""),"",IF(INDEX('CARNET DE SOUDURE'!$U$7:$U$3006,P2860)="","",INDEX('CARNET DE SOUDURE'!$U$7:$U$3006,P2860)))</f>
        <v/>
      </c>
      <c r="F2860" s="82" t="str">
        <f aca="false">IF(OR(C2860="",P2860=""),"",INDEX('CARNET DE SOUDURE'!$AP$7:$AP$3006,P2860))</f>
        <v/>
      </c>
      <c r="G2860" s="82" t="str">
        <f aca="false">IF(C2860="","",IF(P2860="","NJ INCONNU",INDEX('CARNET DE SOUDURE'!$AQ$7:$AQ$3006,P2860)))</f>
        <v/>
      </c>
      <c r="H2860" s="82" t="str">
        <f aca="false">IF(C2860="","",IF(G2860="ACCEPTÉ","OUI","NON"))</f>
        <v/>
      </c>
      <c r="I2860" s="83"/>
      <c r="J2860" s="80"/>
      <c r="K2860" s="81"/>
      <c r="L2860" s="81"/>
      <c r="M2860" s="81"/>
      <c r="N2860" s="84" t="str">
        <f aca="false">IF(C2860="","",IF(P2860="","NJ INCONNU",IF(I2860="",IF(H2860="OUI","À ENROBER",IF(G2860="À SOUDER","NON SOUDÉ","EN ATTENTE RT")),IF(L2860="R","À REPRENDRE",IF(H2860&lt;&gt;"OUI","⚠ ENROBÉ AVANT ACCEPTATION RT","ENROBÉ")))))</f>
        <v/>
      </c>
      <c r="O2860" s="80"/>
      <c r="P2860" s="82" t="str">
        <f aca="false">IF(C2860="","",IFERROR(MATCH(Q2860,'CARNET DE SOUDURE'!$AW$7:$AW$3006,0),""))</f>
        <v/>
      </c>
      <c r="Q2860" s="82" t="str">
        <f aca="false">IF(C2860="","",B2860&amp;"|"&amp;C2860)</f>
        <v/>
      </c>
    </row>
    <row r="2861" customFormat="false" ht="15" hidden="false" customHeight="false" outlineLevel="0" collapsed="false">
      <c r="A2861" s="82" t="str">
        <f aca="false">IF(C2861="","",ROW()-6)</f>
        <v/>
      </c>
      <c r="B2861" s="80"/>
      <c r="C2861" s="113"/>
      <c r="D2861" s="82" t="str">
        <f aca="false">IF(OR(C2861="",P2861=""),"",INDEX('CARNET DE SOUDURE'!$D$7:$D$3006,P2861)&amp;"")</f>
        <v/>
      </c>
      <c r="E2861" s="114" t="str">
        <f aca="false">IF(OR(C2861="",P2861=""),"",IF(INDEX('CARNET DE SOUDURE'!$U$7:$U$3006,P2861)="","",INDEX('CARNET DE SOUDURE'!$U$7:$U$3006,P2861)))</f>
        <v/>
      </c>
      <c r="F2861" s="82" t="str">
        <f aca="false">IF(OR(C2861="",P2861=""),"",INDEX('CARNET DE SOUDURE'!$AP$7:$AP$3006,P2861))</f>
        <v/>
      </c>
      <c r="G2861" s="82" t="str">
        <f aca="false">IF(C2861="","",IF(P2861="","NJ INCONNU",INDEX('CARNET DE SOUDURE'!$AQ$7:$AQ$3006,P2861)))</f>
        <v/>
      </c>
      <c r="H2861" s="82" t="str">
        <f aca="false">IF(C2861="","",IF(G2861="ACCEPTÉ","OUI","NON"))</f>
        <v/>
      </c>
      <c r="I2861" s="83"/>
      <c r="J2861" s="80"/>
      <c r="K2861" s="81"/>
      <c r="L2861" s="81"/>
      <c r="M2861" s="81"/>
      <c r="N2861" s="84" t="str">
        <f aca="false">IF(C2861="","",IF(P2861="","NJ INCONNU",IF(I2861="",IF(H2861="OUI","À ENROBER",IF(G2861="À SOUDER","NON SOUDÉ","EN ATTENTE RT")),IF(L2861="R","À REPRENDRE",IF(H2861&lt;&gt;"OUI","⚠ ENROBÉ AVANT ACCEPTATION RT","ENROBÉ")))))</f>
        <v/>
      </c>
      <c r="O2861" s="80"/>
      <c r="P2861" s="82" t="str">
        <f aca="false">IF(C2861="","",IFERROR(MATCH(Q2861,'CARNET DE SOUDURE'!$AW$7:$AW$3006,0),""))</f>
        <v/>
      </c>
      <c r="Q2861" s="82" t="str">
        <f aca="false">IF(C2861="","",B2861&amp;"|"&amp;C2861)</f>
        <v/>
      </c>
    </row>
    <row r="2862" customFormat="false" ht="15" hidden="false" customHeight="false" outlineLevel="0" collapsed="false">
      <c r="A2862" s="82" t="str">
        <f aca="false">IF(C2862="","",ROW()-6)</f>
        <v/>
      </c>
      <c r="B2862" s="80"/>
      <c r="C2862" s="113"/>
      <c r="D2862" s="82" t="str">
        <f aca="false">IF(OR(C2862="",P2862=""),"",INDEX('CARNET DE SOUDURE'!$D$7:$D$3006,P2862)&amp;"")</f>
        <v/>
      </c>
      <c r="E2862" s="114" t="str">
        <f aca="false">IF(OR(C2862="",P2862=""),"",IF(INDEX('CARNET DE SOUDURE'!$U$7:$U$3006,P2862)="","",INDEX('CARNET DE SOUDURE'!$U$7:$U$3006,P2862)))</f>
        <v/>
      </c>
      <c r="F2862" s="82" t="str">
        <f aca="false">IF(OR(C2862="",P2862=""),"",INDEX('CARNET DE SOUDURE'!$AP$7:$AP$3006,P2862))</f>
        <v/>
      </c>
      <c r="G2862" s="82" t="str">
        <f aca="false">IF(C2862="","",IF(P2862="","NJ INCONNU",INDEX('CARNET DE SOUDURE'!$AQ$7:$AQ$3006,P2862)))</f>
        <v/>
      </c>
      <c r="H2862" s="82" t="str">
        <f aca="false">IF(C2862="","",IF(G2862="ACCEPTÉ","OUI","NON"))</f>
        <v/>
      </c>
      <c r="I2862" s="83"/>
      <c r="J2862" s="80"/>
      <c r="K2862" s="81"/>
      <c r="L2862" s="81"/>
      <c r="M2862" s="81"/>
      <c r="N2862" s="84" t="str">
        <f aca="false">IF(C2862="","",IF(P2862="","NJ INCONNU",IF(I2862="",IF(H2862="OUI","À ENROBER",IF(G2862="À SOUDER","NON SOUDÉ","EN ATTENTE RT")),IF(L2862="R","À REPRENDRE",IF(H2862&lt;&gt;"OUI","⚠ ENROBÉ AVANT ACCEPTATION RT","ENROBÉ")))))</f>
        <v/>
      </c>
      <c r="O2862" s="80"/>
      <c r="P2862" s="82" t="str">
        <f aca="false">IF(C2862="","",IFERROR(MATCH(Q2862,'CARNET DE SOUDURE'!$AW$7:$AW$3006,0),""))</f>
        <v/>
      </c>
      <c r="Q2862" s="82" t="str">
        <f aca="false">IF(C2862="","",B2862&amp;"|"&amp;C2862)</f>
        <v/>
      </c>
    </row>
    <row r="2863" customFormat="false" ht="15" hidden="false" customHeight="false" outlineLevel="0" collapsed="false">
      <c r="A2863" s="82" t="str">
        <f aca="false">IF(C2863="","",ROW()-6)</f>
        <v/>
      </c>
      <c r="B2863" s="80"/>
      <c r="C2863" s="113"/>
      <c r="D2863" s="82" t="str">
        <f aca="false">IF(OR(C2863="",P2863=""),"",INDEX('CARNET DE SOUDURE'!$D$7:$D$3006,P2863)&amp;"")</f>
        <v/>
      </c>
      <c r="E2863" s="114" t="str">
        <f aca="false">IF(OR(C2863="",P2863=""),"",IF(INDEX('CARNET DE SOUDURE'!$U$7:$U$3006,P2863)="","",INDEX('CARNET DE SOUDURE'!$U$7:$U$3006,P2863)))</f>
        <v/>
      </c>
      <c r="F2863" s="82" t="str">
        <f aca="false">IF(OR(C2863="",P2863=""),"",INDEX('CARNET DE SOUDURE'!$AP$7:$AP$3006,P2863))</f>
        <v/>
      </c>
      <c r="G2863" s="82" t="str">
        <f aca="false">IF(C2863="","",IF(P2863="","NJ INCONNU",INDEX('CARNET DE SOUDURE'!$AQ$7:$AQ$3006,P2863)))</f>
        <v/>
      </c>
      <c r="H2863" s="82" t="str">
        <f aca="false">IF(C2863="","",IF(G2863="ACCEPTÉ","OUI","NON"))</f>
        <v/>
      </c>
      <c r="I2863" s="83"/>
      <c r="J2863" s="80"/>
      <c r="K2863" s="81"/>
      <c r="L2863" s="81"/>
      <c r="M2863" s="81"/>
      <c r="N2863" s="84" t="str">
        <f aca="false">IF(C2863="","",IF(P2863="","NJ INCONNU",IF(I2863="",IF(H2863="OUI","À ENROBER",IF(G2863="À SOUDER","NON SOUDÉ","EN ATTENTE RT")),IF(L2863="R","À REPRENDRE",IF(H2863&lt;&gt;"OUI","⚠ ENROBÉ AVANT ACCEPTATION RT","ENROBÉ")))))</f>
        <v/>
      </c>
      <c r="O2863" s="80"/>
      <c r="P2863" s="82" t="str">
        <f aca="false">IF(C2863="","",IFERROR(MATCH(Q2863,'CARNET DE SOUDURE'!$AW$7:$AW$3006,0),""))</f>
        <v/>
      </c>
      <c r="Q2863" s="82" t="str">
        <f aca="false">IF(C2863="","",B2863&amp;"|"&amp;C2863)</f>
        <v/>
      </c>
    </row>
    <row r="2864" customFormat="false" ht="15" hidden="false" customHeight="false" outlineLevel="0" collapsed="false">
      <c r="A2864" s="82" t="str">
        <f aca="false">IF(C2864="","",ROW()-6)</f>
        <v/>
      </c>
      <c r="B2864" s="80"/>
      <c r="C2864" s="113"/>
      <c r="D2864" s="82" t="str">
        <f aca="false">IF(OR(C2864="",P2864=""),"",INDEX('CARNET DE SOUDURE'!$D$7:$D$3006,P2864)&amp;"")</f>
        <v/>
      </c>
      <c r="E2864" s="114" t="str">
        <f aca="false">IF(OR(C2864="",P2864=""),"",IF(INDEX('CARNET DE SOUDURE'!$U$7:$U$3006,P2864)="","",INDEX('CARNET DE SOUDURE'!$U$7:$U$3006,P2864)))</f>
        <v/>
      </c>
      <c r="F2864" s="82" t="str">
        <f aca="false">IF(OR(C2864="",P2864=""),"",INDEX('CARNET DE SOUDURE'!$AP$7:$AP$3006,P2864))</f>
        <v/>
      </c>
      <c r="G2864" s="82" t="str">
        <f aca="false">IF(C2864="","",IF(P2864="","NJ INCONNU",INDEX('CARNET DE SOUDURE'!$AQ$7:$AQ$3006,P2864)))</f>
        <v/>
      </c>
      <c r="H2864" s="82" t="str">
        <f aca="false">IF(C2864="","",IF(G2864="ACCEPTÉ","OUI","NON"))</f>
        <v/>
      </c>
      <c r="I2864" s="83"/>
      <c r="J2864" s="80"/>
      <c r="K2864" s="81"/>
      <c r="L2864" s="81"/>
      <c r="M2864" s="81"/>
      <c r="N2864" s="84" t="str">
        <f aca="false">IF(C2864="","",IF(P2864="","NJ INCONNU",IF(I2864="",IF(H2864="OUI","À ENROBER",IF(G2864="À SOUDER","NON SOUDÉ","EN ATTENTE RT")),IF(L2864="R","À REPRENDRE",IF(H2864&lt;&gt;"OUI","⚠ ENROBÉ AVANT ACCEPTATION RT","ENROBÉ")))))</f>
        <v/>
      </c>
      <c r="O2864" s="80"/>
      <c r="P2864" s="82" t="str">
        <f aca="false">IF(C2864="","",IFERROR(MATCH(Q2864,'CARNET DE SOUDURE'!$AW$7:$AW$3006,0),""))</f>
        <v/>
      </c>
      <c r="Q2864" s="82" t="str">
        <f aca="false">IF(C2864="","",B2864&amp;"|"&amp;C2864)</f>
        <v/>
      </c>
    </row>
    <row r="2865" customFormat="false" ht="15" hidden="false" customHeight="false" outlineLevel="0" collapsed="false">
      <c r="A2865" s="82" t="str">
        <f aca="false">IF(C2865="","",ROW()-6)</f>
        <v/>
      </c>
      <c r="B2865" s="80"/>
      <c r="C2865" s="113"/>
      <c r="D2865" s="82" t="str">
        <f aca="false">IF(OR(C2865="",P2865=""),"",INDEX('CARNET DE SOUDURE'!$D$7:$D$3006,P2865)&amp;"")</f>
        <v/>
      </c>
      <c r="E2865" s="114" t="str">
        <f aca="false">IF(OR(C2865="",P2865=""),"",IF(INDEX('CARNET DE SOUDURE'!$U$7:$U$3006,P2865)="","",INDEX('CARNET DE SOUDURE'!$U$7:$U$3006,P2865)))</f>
        <v/>
      </c>
      <c r="F2865" s="82" t="str">
        <f aca="false">IF(OR(C2865="",P2865=""),"",INDEX('CARNET DE SOUDURE'!$AP$7:$AP$3006,P2865))</f>
        <v/>
      </c>
      <c r="G2865" s="82" t="str">
        <f aca="false">IF(C2865="","",IF(P2865="","NJ INCONNU",INDEX('CARNET DE SOUDURE'!$AQ$7:$AQ$3006,P2865)))</f>
        <v/>
      </c>
      <c r="H2865" s="82" t="str">
        <f aca="false">IF(C2865="","",IF(G2865="ACCEPTÉ","OUI","NON"))</f>
        <v/>
      </c>
      <c r="I2865" s="83"/>
      <c r="J2865" s="80"/>
      <c r="K2865" s="81"/>
      <c r="L2865" s="81"/>
      <c r="M2865" s="81"/>
      <c r="N2865" s="84" t="str">
        <f aca="false">IF(C2865="","",IF(P2865="","NJ INCONNU",IF(I2865="",IF(H2865="OUI","À ENROBER",IF(G2865="À SOUDER","NON SOUDÉ","EN ATTENTE RT")),IF(L2865="R","À REPRENDRE",IF(H2865&lt;&gt;"OUI","⚠ ENROBÉ AVANT ACCEPTATION RT","ENROBÉ")))))</f>
        <v/>
      </c>
      <c r="O2865" s="80"/>
      <c r="P2865" s="82" t="str">
        <f aca="false">IF(C2865="","",IFERROR(MATCH(Q2865,'CARNET DE SOUDURE'!$AW$7:$AW$3006,0),""))</f>
        <v/>
      </c>
      <c r="Q2865" s="82" t="str">
        <f aca="false">IF(C2865="","",B2865&amp;"|"&amp;C2865)</f>
        <v/>
      </c>
    </row>
    <row r="2866" customFormat="false" ht="15" hidden="false" customHeight="false" outlineLevel="0" collapsed="false">
      <c r="A2866" s="82" t="str">
        <f aca="false">IF(C2866="","",ROW()-6)</f>
        <v/>
      </c>
      <c r="B2866" s="80"/>
      <c r="C2866" s="113"/>
      <c r="D2866" s="82" t="str">
        <f aca="false">IF(OR(C2866="",P2866=""),"",INDEX('CARNET DE SOUDURE'!$D$7:$D$3006,P2866)&amp;"")</f>
        <v/>
      </c>
      <c r="E2866" s="114" t="str">
        <f aca="false">IF(OR(C2866="",P2866=""),"",IF(INDEX('CARNET DE SOUDURE'!$U$7:$U$3006,P2866)="","",INDEX('CARNET DE SOUDURE'!$U$7:$U$3006,P2866)))</f>
        <v/>
      </c>
      <c r="F2866" s="82" t="str">
        <f aca="false">IF(OR(C2866="",P2866=""),"",INDEX('CARNET DE SOUDURE'!$AP$7:$AP$3006,P2866))</f>
        <v/>
      </c>
      <c r="G2866" s="82" t="str">
        <f aca="false">IF(C2866="","",IF(P2866="","NJ INCONNU",INDEX('CARNET DE SOUDURE'!$AQ$7:$AQ$3006,P2866)))</f>
        <v/>
      </c>
      <c r="H2866" s="82" t="str">
        <f aca="false">IF(C2866="","",IF(G2866="ACCEPTÉ","OUI","NON"))</f>
        <v/>
      </c>
      <c r="I2866" s="83"/>
      <c r="J2866" s="80"/>
      <c r="K2866" s="81"/>
      <c r="L2866" s="81"/>
      <c r="M2866" s="81"/>
      <c r="N2866" s="84" t="str">
        <f aca="false">IF(C2866="","",IF(P2866="","NJ INCONNU",IF(I2866="",IF(H2866="OUI","À ENROBER",IF(G2866="À SOUDER","NON SOUDÉ","EN ATTENTE RT")),IF(L2866="R","À REPRENDRE",IF(H2866&lt;&gt;"OUI","⚠ ENROBÉ AVANT ACCEPTATION RT","ENROBÉ")))))</f>
        <v/>
      </c>
      <c r="O2866" s="80"/>
      <c r="P2866" s="82" t="str">
        <f aca="false">IF(C2866="","",IFERROR(MATCH(Q2866,'CARNET DE SOUDURE'!$AW$7:$AW$3006,0),""))</f>
        <v/>
      </c>
      <c r="Q2866" s="82" t="str">
        <f aca="false">IF(C2866="","",B2866&amp;"|"&amp;C2866)</f>
        <v/>
      </c>
    </row>
    <row r="2867" customFormat="false" ht="15" hidden="false" customHeight="false" outlineLevel="0" collapsed="false">
      <c r="A2867" s="82" t="str">
        <f aca="false">IF(C2867="","",ROW()-6)</f>
        <v/>
      </c>
      <c r="B2867" s="80"/>
      <c r="C2867" s="113"/>
      <c r="D2867" s="82" t="str">
        <f aca="false">IF(OR(C2867="",P2867=""),"",INDEX('CARNET DE SOUDURE'!$D$7:$D$3006,P2867)&amp;"")</f>
        <v/>
      </c>
      <c r="E2867" s="114" t="str">
        <f aca="false">IF(OR(C2867="",P2867=""),"",IF(INDEX('CARNET DE SOUDURE'!$U$7:$U$3006,P2867)="","",INDEX('CARNET DE SOUDURE'!$U$7:$U$3006,P2867)))</f>
        <v/>
      </c>
      <c r="F2867" s="82" t="str">
        <f aca="false">IF(OR(C2867="",P2867=""),"",INDEX('CARNET DE SOUDURE'!$AP$7:$AP$3006,P2867))</f>
        <v/>
      </c>
      <c r="G2867" s="82" t="str">
        <f aca="false">IF(C2867="","",IF(P2867="","NJ INCONNU",INDEX('CARNET DE SOUDURE'!$AQ$7:$AQ$3006,P2867)))</f>
        <v/>
      </c>
      <c r="H2867" s="82" t="str">
        <f aca="false">IF(C2867="","",IF(G2867="ACCEPTÉ","OUI","NON"))</f>
        <v/>
      </c>
      <c r="I2867" s="83"/>
      <c r="J2867" s="80"/>
      <c r="K2867" s="81"/>
      <c r="L2867" s="81"/>
      <c r="M2867" s="81"/>
      <c r="N2867" s="84" t="str">
        <f aca="false">IF(C2867="","",IF(P2867="","NJ INCONNU",IF(I2867="",IF(H2867="OUI","À ENROBER",IF(G2867="À SOUDER","NON SOUDÉ","EN ATTENTE RT")),IF(L2867="R","À REPRENDRE",IF(H2867&lt;&gt;"OUI","⚠ ENROBÉ AVANT ACCEPTATION RT","ENROBÉ")))))</f>
        <v/>
      </c>
      <c r="O2867" s="80"/>
      <c r="P2867" s="82" t="str">
        <f aca="false">IF(C2867="","",IFERROR(MATCH(Q2867,'CARNET DE SOUDURE'!$AW$7:$AW$3006,0),""))</f>
        <v/>
      </c>
      <c r="Q2867" s="82" t="str">
        <f aca="false">IF(C2867="","",B2867&amp;"|"&amp;C2867)</f>
        <v/>
      </c>
    </row>
    <row r="2868" customFormat="false" ht="15" hidden="false" customHeight="false" outlineLevel="0" collapsed="false">
      <c r="A2868" s="82" t="str">
        <f aca="false">IF(C2868="","",ROW()-6)</f>
        <v/>
      </c>
      <c r="B2868" s="80"/>
      <c r="C2868" s="113"/>
      <c r="D2868" s="82" t="str">
        <f aca="false">IF(OR(C2868="",P2868=""),"",INDEX('CARNET DE SOUDURE'!$D$7:$D$3006,P2868)&amp;"")</f>
        <v/>
      </c>
      <c r="E2868" s="114" t="str">
        <f aca="false">IF(OR(C2868="",P2868=""),"",IF(INDEX('CARNET DE SOUDURE'!$U$7:$U$3006,P2868)="","",INDEX('CARNET DE SOUDURE'!$U$7:$U$3006,P2868)))</f>
        <v/>
      </c>
      <c r="F2868" s="82" t="str">
        <f aca="false">IF(OR(C2868="",P2868=""),"",INDEX('CARNET DE SOUDURE'!$AP$7:$AP$3006,P2868))</f>
        <v/>
      </c>
      <c r="G2868" s="82" t="str">
        <f aca="false">IF(C2868="","",IF(P2868="","NJ INCONNU",INDEX('CARNET DE SOUDURE'!$AQ$7:$AQ$3006,P2868)))</f>
        <v/>
      </c>
      <c r="H2868" s="82" t="str">
        <f aca="false">IF(C2868="","",IF(G2868="ACCEPTÉ","OUI","NON"))</f>
        <v/>
      </c>
      <c r="I2868" s="83"/>
      <c r="J2868" s="80"/>
      <c r="K2868" s="81"/>
      <c r="L2868" s="81"/>
      <c r="M2868" s="81"/>
      <c r="N2868" s="84" t="str">
        <f aca="false">IF(C2868="","",IF(P2868="","NJ INCONNU",IF(I2868="",IF(H2868="OUI","À ENROBER",IF(G2868="À SOUDER","NON SOUDÉ","EN ATTENTE RT")),IF(L2868="R","À REPRENDRE",IF(H2868&lt;&gt;"OUI","⚠ ENROBÉ AVANT ACCEPTATION RT","ENROBÉ")))))</f>
        <v/>
      </c>
      <c r="O2868" s="80"/>
      <c r="P2868" s="82" t="str">
        <f aca="false">IF(C2868="","",IFERROR(MATCH(Q2868,'CARNET DE SOUDURE'!$AW$7:$AW$3006,0),""))</f>
        <v/>
      </c>
      <c r="Q2868" s="82" t="str">
        <f aca="false">IF(C2868="","",B2868&amp;"|"&amp;C2868)</f>
        <v/>
      </c>
    </row>
    <row r="2869" customFormat="false" ht="15" hidden="false" customHeight="false" outlineLevel="0" collapsed="false">
      <c r="A2869" s="82" t="str">
        <f aca="false">IF(C2869="","",ROW()-6)</f>
        <v/>
      </c>
      <c r="B2869" s="80"/>
      <c r="C2869" s="113"/>
      <c r="D2869" s="82" t="str">
        <f aca="false">IF(OR(C2869="",P2869=""),"",INDEX('CARNET DE SOUDURE'!$D$7:$D$3006,P2869)&amp;"")</f>
        <v/>
      </c>
      <c r="E2869" s="114" t="str">
        <f aca="false">IF(OR(C2869="",P2869=""),"",IF(INDEX('CARNET DE SOUDURE'!$U$7:$U$3006,P2869)="","",INDEX('CARNET DE SOUDURE'!$U$7:$U$3006,P2869)))</f>
        <v/>
      </c>
      <c r="F2869" s="82" t="str">
        <f aca="false">IF(OR(C2869="",P2869=""),"",INDEX('CARNET DE SOUDURE'!$AP$7:$AP$3006,P2869))</f>
        <v/>
      </c>
      <c r="G2869" s="82" t="str">
        <f aca="false">IF(C2869="","",IF(P2869="","NJ INCONNU",INDEX('CARNET DE SOUDURE'!$AQ$7:$AQ$3006,P2869)))</f>
        <v/>
      </c>
      <c r="H2869" s="82" t="str">
        <f aca="false">IF(C2869="","",IF(G2869="ACCEPTÉ","OUI","NON"))</f>
        <v/>
      </c>
      <c r="I2869" s="83"/>
      <c r="J2869" s="80"/>
      <c r="K2869" s="81"/>
      <c r="L2869" s="81"/>
      <c r="M2869" s="81"/>
      <c r="N2869" s="84" t="str">
        <f aca="false">IF(C2869="","",IF(P2869="","NJ INCONNU",IF(I2869="",IF(H2869="OUI","À ENROBER",IF(G2869="À SOUDER","NON SOUDÉ","EN ATTENTE RT")),IF(L2869="R","À REPRENDRE",IF(H2869&lt;&gt;"OUI","⚠ ENROBÉ AVANT ACCEPTATION RT","ENROBÉ")))))</f>
        <v/>
      </c>
      <c r="O2869" s="80"/>
      <c r="P2869" s="82" t="str">
        <f aca="false">IF(C2869="","",IFERROR(MATCH(Q2869,'CARNET DE SOUDURE'!$AW$7:$AW$3006,0),""))</f>
        <v/>
      </c>
      <c r="Q2869" s="82" t="str">
        <f aca="false">IF(C2869="","",B2869&amp;"|"&amp;C2869)</f>
        <v/>
      </c>
    </row>
    <row r="2870" customFormat="false" ht="15" hidden="false" customHeight="false" outlineLevel="0" collapsed="false">
      <c r="A2870" s="82" t="str">
        <f aca="false">IF(C2870="","",ROW()-6)</f>
        <v/>
      </c>
      <c r="B2870" s="80"/>
      <c r="C2870" s="113"/>
      <c r="D2870" s="82" t="str">
        <f aca="false">IF(OR(C2870="",P2870=""),"",INDEX('CARNET DE SOUDURE'!$D$7:$D$3006,P2870)&amp;"")</f>
        <v/>
      </c>
      <c r="E2870" s="114" t="str">
        <f aca="false">IF(OR(C2870="",P2870=""),"",IF(INDEX('CARNET DE SOUDURE'!$U$7:$U$3006,P2870)="","",INDEX('CARNET DE SOUDURE'!$U$7:$U$3006,P2870)))</f>
        <v/>
      </c>
      <c r="F2870" s="82" t="str">
        <f aca="false">IF(OR(C2870="",P2870=""),"",INDEX('CARNET DE SOUDURE'!$AP$7:$AP$3006,P2870))</f>
        <v/>
      </c>
      <c r="G2870" s="82" t="str">
        <f aca="false">IF(C2870="","",IF(P2870="","NJ INCONNU",INDEX('CARNET DE SOUDURE'!$AQ$7:$AQ$3006,P2870)))</f>
        <v/>
      </c>
      <c r="H2870" s="82" t="str">
        <f aca="false">IF(C2870="","",IF(G2870="ACCEPTÉ","OUI","NON"))</f>
        <v/>
      </c>
      <c r="I2870" s="83"/>
      <c r="J2870" s="80"/>
      <c r="K2870" s="81"/>
      <c r="L2870" s="81"/>
      <c r="M2870" s="81"/>
      <c r="N2870" s="84" t="str">
        <f aca="false">IF(C2870="","",IF(P2870="","NJ INCONNU",IF(I2870="",IF(H2870="OUI","À ENROBER",IF(G2870="À SOUDER","NON SOUDÉ","EN ATTENTE RT")),IF(L2870="R","À REPRENDRE",IF(H2870&lt;&gt;"OUI","⚠ ENROBÉ AVANT ACCEPTATION RT","ENROBÉ")))))</f>
        <v/>
      </c>
      <c r="O2870" s="80"/>
      <c r="P2870" s="82" t="str">
        <f aca="false">IF(C2870="","",IFERROR(MATCH(Q2870,'CARNET DE SOUDURE'!$AW$7:$AW$3006,0),""))</f>
        <v/>
      </c>
      <c r="Q2870" s="82" t="str">
        <f aca="false">IF(C2870="","",B2870&amp;"|"&amp;C2870)</f>
        <v/>
      </c>
    </row>
    <row r="2871" customFormat="false" ht="15" hidden="false" customHeight="false" outlineLevel="0" collapsed="false">
      <c r="A2871" s="82" t="str">
        <f aca="false">IF(C2871="","",ROW()-6)</f>
        <v/>
      </c>
      <c r="B2871" s="80"/>
      <c r="C2871" s="113"/>
      <c r="D2871" s="82" t="str">
        <f aca="false">IF(OR(C2871="",P2871=""),"",INDEX('CARNET DE SOUDURE'!$D$7:$D$3006,P2871)&amp;"")</f>
        <v/>
      </c>
      <c r="E2871" s="114" t="str">
        <f aca="false">IF(OR(C2871="",P2871=""),"",IF(INDEX('CARNET DE SOUDURE'!$U$7:$U$3006,P2871)="","",INDEX('CARNET DE SOUDURE'!$U$7:$U$3006,P2871)))</f>
        <v/>
      </c>
      <c r="F2871" s="82" t="str">
        <f aca="false">IF(OR(C2871="",P2871=""),"",INDEX('CARNET DE SOUDURE'!$AP$7:$AP$3006,P2871))</f>
        <v/>
      </c>
      <c r="G2871" s="82" t="str">
        <f aca="false">IF(C2871="","",IF(P2871="","NJ INCONNU",INDEX('CARNET DE SOUDURE'!$AQ$7:$AQ$3006,P2871)))</f>
        <v/>
      </c>
      <c r="H2871" s="82" t="str">
        <f aca="false">IF(C2871="","",IF(G2871="ACCEPTÉ","OUI","NON"))</f>
        <v/>
      </c>
      <c r="I2871" s="83"/>
      <c r="J2871" s="80"/>
      <c r="K2871" s="81"/>
      <c r="L2871" s="81"/>
      <c r="M2871" s="81"/>
      <c r="N2871" s="84" t="str">
        <f aca="false">IF(C2871="","",IF(P2871="","NJ INCONNU",IF(I2871="",IF(H2871="OUI","À ENROBER",IF(G2871="À SOUDER","NON SOUDÉ","EN ATTENTE RT")),IF(L2871="R","À REPRENDRE",IF(H2871&lt;&gt;"OUI","⚠ ENROBÉ AVANT ACCEPTATION RT","ENROBÉ")))))</f>
        <v/>
      </c>
      <c r="O2871" s="80"/>
      <c r="P2871" s="82" t="str">
        <f aca="false">IF(C2871="","",IFERROR(MATCH(Q2871,'CARNET DE SOUDURE'!$AW$7:$AW$3006,0),""))</f>
        <v/>
      </c>
      <c r="Q2871" s="82" t="str">
        <f aca="false">IF(C2871="","",B2871&amp;"|"&amp;C2871)</f>
        <v/>
      </c>
    </row>
    <row r="2872" customFormat="false" ht="15" hidden="false" customHeight="false" outlineLevel="0" collapsed="false">
      <c r="A2872" s="82" t="str">
        <f aca="false">IF(C2872="","",ROW()-6)</f>
        <v/>
      </c>
      <c r="B2872" s="80"/>
      <c r="C2872" s="113"/>
      <c r="D2872" s="82" t="str">
        <f aca="false">IF(OR(C2872="",P2872=""),"",INDEX('CARNET DE SOUDURE'!$D$7:$D$3006,P2872)&amp;"")</f>
        <v/>
      </c>
      <c r="E2872" s="114" t="str">
        <f aca="false">IF(OR(C2872="",P2872=""),"",IF(INDEX('CARNET DE SOUDURE'!$U$7:$U$3006,P2872)="","",INDEX('CARNET DE SOUDURE'!$U$7:$U$3006,P2872)))</f>
        <v/>
      </c>
      <c r="F2872" s="82" t="str">
        <f aca="false">IF(OR(C2872="",P2872=""),"",INDEX('CARNET DE SOUDURE'!$AP$7:$AP$3006,P2872))</f>
        <v/>
      </c>
      <c r="G2872" s="82" t="str">
        <f aca="false">IF(C2872="","",IF(P2872="","NJ INCONNU",INDEX('CARNET DE SOUDURE'!$AQ$7:$AQ$3006,P2872)))</f>
        <v/>
      </c>
      <c r="H2872" s="82" t="str">
        <f aca="false">IF(C2872="","",IF(G2872="ACCEPTÉ","OUI","NON"))</f>
        <v/>
      </c>
      <c r="I2872" s="83"/>
      <c r="J2872" s="80"/>
      <c r="K2872" s="81"/>
      <c r="L2872" s="81"/>
      <c r="M2872" s="81"/>
      <c r="N2872" s="84" t="str">
        <f aca="false">IF(C2872="","",IF(P2872="","NJ INCONNU",IF(I2872="",IF(H2872="OUI","À ENROBER",IF(G2872="À SOUDER","NON SOUDÉ","EN ATTENTE RT")),IF(L2872="R","À REPRENDRE",IF(H2872&lt;&gt;"OUI","⚠ ENROBÉ AVANT ACCEPTATION RT","ENROBÉ")))))</f>
        <v/>
      </c>
      <c r="O2872" s="80"/>
      <c r="P2872" s="82" t="str">
        <f aca="false">IF(C2872="","",IFERROR(MATCH(Q2872,'CARNET DE SOUDURE'!$AW$7:$AW$3006,0),""))</f>
        <v/>
      </c>
      <c r="Q2872" s="82" t="str">
        <f aca="false">IF(C2872="","",B2872&amp;"|"&amp;C2872)</f>
        <v/>
      </c>
    </row>
    <row r="2873" customFormat="false" ht="15" hidden="false" customHeight="false" outlineLevel="0" collapsed="false">
      <c r="A2873" s="82" t="str">
        <f aca="false">IF(C2873="","",ROW()-6)</f>
        <v/>
      </c>
      <c r="B2873" s="80"/>
      <c r="C2873" s="113"/>
      <c r="D2873" s="82" t="str">
        <f aca="false">IF(OR(C2873="",P2873=""),"",INDEX('CARNET DE SOUDURE'!$D$7:$D$3006,P2873)&amp;"")</f>
        <v/>
      </c>
      <c r="E2873" s="114" t="str">
        <f aca="false">IF(OR(C2873="",P2873=""),"",IF(INDEX('CARNET DE SOUDURE'!$U$7:$U$3006,P2873)="","",INDEX('CARNET DE SOUDURE'!$U$7:$U$3006,P2873)))</f>
        <v/>
      </c>
      <c r="F2873" s="82" t="str">
        <f aca="false">IF(OR(C2873="",P2873=""),"",INDEX('CARNET DE SOUDURE'!$AP$7:$AP$3006,P2873))</f>
        <v/>
      </c>
      <c r="G2873" s="82" t="str">
        <f aca="false">IF(C2873="","",IF(P2873="","NJ INCONNU",INDEX('CARNET DE SOUDURE'!$AQ$7:$AQ$3006,P2873)))</f>
        <v/>
      </c>
      <c r="H2873" s="82" t="str">
        <f aca="false">IF(C2873="","",IF(G2873="ACCEPTÉ","OUI","NON"))</f>
        <v/>
      </c>
      <c r="I2873" s="83"/>
      <c r="J2873" s="80"/>
      <c r="K2873" s="81"/>
      <c r="L2873" s="81"/>
      <c r="M2873" s="81"/>
      <c r="N2873" s="84" t="str">
        <f aca="false">IF(C2873="","",IF(P2873="","NJ INCONNU",IF(I2873="",IF(H2873="OUI","À ENROBER",IF(G2873="À SOUDER","NON SOUDÉ","EN ATTENTE RT")),IF(L2873="R","À REPRENDRE",IF(H2873&lt;&gt;"OUI","⚠ ENROBÉ AVANT ACCEPTATION RT","ENROBÉ")))))</f>
        <v/>
      </c>
      <c r="O2873" s="80"/>
      <c r="P2873" s="82" t="str">
        <f aca="false">IF(C2873="","",IFERROR(MATCH(Q2873,'CARNET DE SOUDURE'!$AW$7:$AW$3006,0),""))</f>
        <v/>
      </c>
      <c r="Q2873" s="82" t="str">
        <f aca="false">IF(C2873="","",B2873&amp;"|"&amp;C2873)</f>
        <v/>
      </c>
    </row>
    <row r="2874" customFormat="false" ht="15" hidden="false" customHeight="false" outlineLevel="0" collapsed="false">
      <c r="A2874" s="82" t="str">
        <f aca="false">IF(C2874="","",ROW()-6)</f>
        <v/>
      </c>
      <c r="B2874" s="80"/>
      <c r="C2874" s="113"/>
      <c r="D2874" s="82" t="str">
        <f aca="false">IF(OR(C2874="",P2874=""),"",INDEX('CARNET DE SOUDURE'!$D$7:$D$3006,P2874)&amp;"")</f>
        <v/>
      </c>
      <c r="E2874" s="114" t="str">
        <f aca="false">IF(OR(C2874="",P2874=""),"",IF(INDEX('CARNET DE SOUDURE'!$U$7:$U$3006,P2874)="","",INDEX('CARNET DE SOUDURE'!$U$7:$U$3006,P2874)))</f>
        <v/>
      </c>
      <c r="F2874" s="82" t="str">
        <f aca="false">IF(OR(C2874="",P2874=""),"",INDEX('CARNET DE SOUDURE'!$AP$7:$AP$3006,P2874))</f>
        <v/>
      </c>
      <c r="G2874" s="82" t="str">
        <f aca="false">IF(C2874="","",IF(P2874="","NJ INCONNU",INDEX('CARNET DE SOUDURE'!$AQ$7:$AQ$3006,P2874)))</f>
        <v/>
      </c>
      <c r="H2874" s="82" t="str">
        <f aca="false">IF(C2874="","",IF(G2874="ACCEPTÉ","OUI","NON"))</f>
        <v/>
      </c>
      <c r="I2874" s="83"/>
      <c r="J2874" s="80"/>
      <c r="K2874" s="81"/>
      <c r="L2874" s="81"/>
      <c r="M2874" s="81"/>
      <c r="N2874" s="84" t="str">
        <f aca="false">IF(C2874="","",IF(P2874="","NJ INCONNU",IF(I2874="",IF(H2874="OUI","À ENROBER",IF(G2874="À SOUDER","NON SOUDÉ","EN ATTENTE RT")),IF(L2874="R","À REPRENDRE",IF(H2874&lt;&gt;"OUI","⚠ ENROBÉ AVANT ACCEPTATION RT","ENROBÉ")))))</f>
        <v/>
      </c>
      <c r="O2874" s="80"/>
      <c r="P2874" s="82" t="str">
        <f aca="false">IF(C2874="","",IFERROR(MATCH(Q2874,'CARNET DE SOUDURE'!$AW$7:$AW$3006,0),""))</f>
        <v/>
      </c>
      <c r="Q2874" s="82" t="str">
        <f aca="false">IF(C2874="","",B2874&amp;"|"&amp;C2874)</f>
        <v/>
      </c>
    </row>
    <row r="2875" customFormat="false" ht="15" hidden="false" customHeight="false" outlineLevel="0" collapsed="false">
      <c r="A2875" s="82" t="str">
        <f aca="false">IF(C2875="","",ROW()-6)</f>
        <v/>
      </c>
      <c r="B2875" s="80"/>
      <c r="C2875" s="113"/>
      <c r="D2875" s="82" t="str">
        <f aca="false">IF(OR(C2875="",P2875=""),"",INDEX('CARNET DE SOUDURE'!$D$7:$D$3006,P2875)&amp;"")</f>
        <v/>
      </c>
      <c r="E2875" s="114" t="str">
        <f aca="false">IF(OR(C2875="",P2875=""),"",IF(INDEX('CARNET DE SOUDURE'!$U$7:$U$3006,P2875)="","",INDEX('CARNET DE SOUDURE'!$U$7:$U$3006,P2875)))</f>
        <v/>
      </c>
      <c r="F2875" s="82" t="str">
        <f aca="false">IF(OR(C2875="",P2875=""),"",INDEX('CARNET DE SOUDURE'!$AP$7:$AP$3006,P2875))</f>
        <v/>
      </c>
      <c r="G2875" s="82" t="str">
        <f aca="false">IF(C2875="","",IF(P2875="","NJ INCONNU",INDEX('CARNET DE SOUDURE'!$AQ$7:$AQ$3006,P2875)))</f>
        <v/>
      </c>
      <c r="H2875" s="82" t="str">
        <f aca="false">IF(C2875="","",IF(G2875="ACCEPTÉ","OUI","NON"))</f>
        <v/>
      </c>
      <c r="I2875" s="83"/>
      <c r="J2875" s="80"/>
      <c r="K2875" s="81"/>
      <c r="L2875" s="81"/>
      <c r="M2875" s="81"/>
      <c r="N2875" s="84" t="str">
        <f aca="false">IF(C2875="","",IF(P2875="","NJ INCONNU",IF(I2875="",IF(H2875="OUI","À ENROBER",IF(G2875="À SOUDER","NON SOUDÉ","EN ATTENTE RT")),IF(L2875="R","À REPRENDRE",IF(H2875&lt;&gt;"OUI","⚠ ENROBÉ AVANT ACCEPTATION RT","ENROBÉ")))))</f>
        <v/>
      </c>
      <c r="O2875" s="80"/>
      <c r="P2875" s="82" t="str">
        <f aca="false">IF(C2875="","",IFERROR(MATCH(Q2875,'CARNET DE SOUDURE'!$AW$7:$AW$3006,0),""))</f>
        <v/>
      </c>
      <c r="Q2875" s="82" t="str">
        <f aca="false">IF(C2875="","",B2875&amp;"|"&amp;C2875)</f>
        <v/>
      </c>
    </row>
    <row r="2876" customFormat="false" ht="15" hidden="false" customHeight="false" outlineLevel="0" collapsed="false">
      <c r="A2876" s="82" t="str">
        <f aca="false">IF(C2876="","",ROW()-6)</f>
        <v/>
      </c>
      <c r="B2876" s="80"/>
      <c r="C2876" s="113"/>
      <c r="D2876" s="82" t="str">
        <f aca="false">IF(OR(C2876="",P2876=""),"",INDEX('CARNET DE SOUDURE'!$D$7:$D$3006,P2876)&amp;"")</f>
        <v/>
      </c>
      <c r="E2876" s="114" t="str">
        <f aca="false">IF(OR(C2876="",P2876=""),"",IF(INDEX('CARNET DE SOUDURE'!$U$7:$U$3006,P2876)="","",INDEX('CARNET DE SOUDURE'!$U$7:$U$3006,P2876)))</f>
        <v/>
      </c>
      <c r="F2876" s="82" t="str">
        <f aca="false">IF(OR(C2876="",P2876=""),"",INDEX('CARNET DE SOUDURE'!$AP$7:$AP$3006,P2876))</f>
        <v/>
      </c>
      <c r="G2876" s="82" t="str">
        <f aca="false">IF(C2876="","",IF(P2876="","NJ INCONNU",INDEX('CARNET DE SOUDURE'!$AQ$7:$AQ$3006,P2876)))</f>
        <v/>
      </c>
      <c r="H2876" s="82" t="str">
        <f aca="false">IF(C2876="","",IF(G2876="ACCEPTÉ","OUI","NON"))</f>
        <v/>
      </c>
      <c r="I2876" s="83"/>
      <c r="J2876" s="80"/>
      <c r="K2876" s="81"/>
      <c r="L2876" s="81"/>
      <c r="M2876" s="81"/>
      <c r="N2876" s="84" t="str">
        <f aca="false">IF(C2876="","",IF(P2876="","NJ INCONNU",IF(I2876="",IF(H2876="OUI","À ENROBER",IF(G2876="À SOUDER","NON SOUDÉ","EN ATTENTE RT")),IF(L2876="R","À REPRENDRE",IF(H2876&lt;&gt;"OUI","⚠ ENROBÉ AVANT ACCEPTATION RT","ENROBÉ")))))</f>
        <v/>
      </c>
      <c r="O2876" s="80"/>
      <c r="P2876" s="82" t="str">
        <f aca="false">IF(C2876="","",IFERROR(MATCH(Q2876,'CARNET DE SOUDURE'!$AW$7:$AW$3006,0),""))</f>
        <v/>
      </c>
      <c r="Q2876" s="82" t="str">
        <f aca="false">IF(C2876="","",B2876&amp;"|"&amp;C2876)</f>
        <v/>
      </c>
    </row>
    <row r="2877" customFormat="false" ht="15" hidden="false" customHeight="false" outlineLevel="0" collapsed="false">
      <c r="A2877" s="82" t="str">
        <f aca="false">IF(C2877="","",ROW()-6)</f>
        <v/>
      </c>
      <c r="B2877" s="80"/>
      <c r="C2877" s="113"/>
      <c r="D2877" s="82" t="str">
        <f aca="false">IF(OR(C2877="",P2877=""),"",INDEX('CARNET DE SOUDURE'!$D$7:$D$3006,P2877)&amp;"")</f>
        <v/>
      </c>
      <c r="E2877" s="114" t="str">
        <f aca="false">IF(OR(C2877="",P2877=""),"",IF(INDEX('CARNET DE SOUDURE'!$U$7:$U$3006,P2877)="","",INDEX('CARNET DE SOUDURE'!$U$7:$U$3006,P2877)))</f>
        <v/>
      </c>
      <c r="F2877" s="82" t="str">
        <f aca="false">IF(OR(C2877="",P2877=""),"",INDEX('CARNET DE SOUDURE'!$AP$7:$AP$3006,P2877))</f>
        <v/>
      </c>
      <c r="G2877" s="82" t="str">
        <f aca="false">IF(C2877="","",IF(P2877="","NJ INCONNU",INDEX('CARNET DE SOUDURE'!$AQ$7:$AQ$3006,P2877)))</f>
        <v/>
      </c>
      <c r="H2877" s="82" t="str">
        <f aca="false">IF(C2877="","",IF(G2877="ACCEPTÉ","OUI","NON"))</f>
        <v/>
      </c>
      <c r="I2877" s="83"/>
      <c r="J2877" s="80"/>
      <c r="K2877" s="81"/>
      <c r="L2877" s="81"/>
      <c r="M2877" s="81"/>
      <c r="N2877" s="84" t="str">
        <f aca="false">IF(C2877="","",IF(P2877="","NJ INCONNU",IF(I2877="",IF(H2877="OUI","À ENROBER",IF(G2877="À SOUDER","NON SOUDÉ","EN ATTENTE RT")),IF(L2877="R","À REPRENDRE",IF(H2877&lt;&gt;"OUI","⚠ ENROBÉ AVANT ACCEPTATION RT","ENROBÉ")))))</f>
        <v/>
      </c>
      <c r="O2877" s="80"/>
      <c r="P2877" s="82" t="str">
        <f aca="false">IF(C2877="","",IFERROR(MATCH(Q2877,'CARNET DE SOUDURE'!$AW$7:$AW$3006,0),""))</f>
        <v/>
      </c>
      <c r="Q2877" s="82" t="str">
        <f aca="false">IF(C2877="","",B2877&amp;"|"&amp;C2877)</f>
        <v/>
      </c>
    </row>
    <row r="2878" customFormat="false" ht="15" hidden="false" customHeight="false" outlineLevel="0" collapsed="false">
      <c r="A2878" s="82" t="str">
        <f aca="false">IF(C2878="","",ROW()-6)</f>
        <v/>
      </c>
      <c r="B2878" s="80"/>
      <c r="C2878" s="113"/>
      <c r="D2878" s="82" t="str">
        <f aca="false">IF(OR(C2878="",P2878=""),"",INDEX('CARNET DE SOUDURE'!$D$7:$D$3006,P2878)&amp;"")</f>
        <v/>
      </c>
      <c r="E2878" s="114" t="str">
        <f aca="false">IF(OR(C2878="",P2878=""),"",IF(INDEX('CARNET DE SOUDURE'!$U$7:$U$3006,P2878)="","",INDEX('CARNET DE SOUDURE'!$U$7:$U$3006,P2878)))</f>
        <v/>
      </c>
      <c r="F2878" s="82" t="str">
        <f aca="false">IF(OR(C2878="",P2878=""),"",INDEX('CARNET DE SOUDURE'!$AP$7:$AP$3006,P2878))</f>
        <v/>
      </c>
      <c r="G2878" s="82" t="str">
        <f aca="false">IF(C2878="","",IF(P2878="","NJ INCONNU",INDEX('CARNET DE SOUDURE'!$AQ$7:$AQ$3006,P2878)))</f>
        <v/>
      </c>
      <c r="H2878" s="82" t="str">
        <f aca="false">IF(C2878="","",IF(G2878="ACCEPTÉ","OUI","NON"))</f>
        <v/>
      </c>
      <c r="I2878" s="83"/>
      <c r="J2878" s="80"/>
      <c r="K2878" s="81"/>
      <c r="L2878" s="81"/>
      <c r="M2878" s="81"/>
      <c r="N2878" s="84" t="str">
        <f aca="false">IF(C2878="","",IF(P2878="","NJ INCONNU",IF(I2878="",IF(H2878="OUI","À ENROBER",IF(G2878="À SOUDER","NON SOUDÉ","EN ATTENTE RT")),IF(L2878="R","À REPRENDRE",IF(H2878&lt;&gt;"OUI","⚠ ENROBÉ AVANT ACCEPTATION RT","ENROBÉ")))))</f>
        <v/>
      </c>
      <c r="O2878" s="80"/>
      <c r="P2878" s="82" t="str">
        <f aca="false">IF(C2878="","",IFERROR(MATCH(Q2878,'CARNET DE SOUDURE'!$AW$7:$AW$3006,0),""))</f>
        <v/>
      </c>
      <c r="Q2878" s="82" t="str">
        <f aca="false">IF(C2878="","",B2878&amp;"|"&amp;C2878)</f>
        <v/>
      </c>
    </row>
    <row r="2879" customFormat="false" ht="15" hidden="false" customHeight="false" outlineLevel="0" collapsed="false">
      <c r="A2879" s="82" t="str">
        <f aca="false">IF(C2879="","",ROW()-6)</f>
        <v/>
      </c>
      <c r="B2879" s="80"/>
      <c r="C2879" s="113"/>
      <c r="D2879" s="82" t="str">
        <f aca="false">IF(OR(C2879="",P2879=""),"",INDEX('CARNET DE SOUDURE'!$D$7:$D$3006,P2879)&amp;"")</f>
        <v/>
      </c>
      <c r="E2879" s="114" t="str">
        <f aca="false">IF(OR(C2879="",P2879=""),"",IF(INDEX('CARNET DE SOUDURE'!$U$7:$U$3006,P2879)="","",INDEX('CARNET DE SOUDURE'!$U$7:$U$3006,P2879)))</f>
        <v/>
      </c>
      <c r="F2879" s="82" t="str">
        <f aca="false">IF(OR(C2879="",P2879=""),"",INDEX('CARNET DE SOUDURE'!$AP$7:$AP$3006,P2879))</f>
        <v/>
      </c>
      <c r="G2879" s="82" t="str">
        <f aca="false">IF(C2879="","",IF(P2879="","NJ INCONNU",INDEX('CARNET DE SOUDURE'!$AQ$7:$AQ$3006,P2879)))</f>
        <v/>
      </c>
      <c r="H2879" s="82" t="str">
        <f aca="false">IF(C2879="","",IF(G2879="ACCEPTÉ","OUI","NON"))</f>
        <v/>
      </c>
      <c r="I2879" s="83"/>
      <c r="J2879" s="80"/>
      <c r="K2879" s="81"/>
      <c r="L2879" s="81"/>
      <c r="M2879" s="81"/>
      <c r="N2879" s="84" t="str">
        <f aca="false">IF(C2879="","",IF(P2879="","NJ INCONNU",IF(I2879="",IF(H2879="OUI","À ENROBER",IF(G2879="À SOUDER","NON SOUDÉ","EN ATTENTE RT")),IF(L2879="R","À REPRENDRE",IF(H2879&lt;&gt;"OUI","⚠ ENROBÉ AVANT ACCEPTATION RT","ENROBÉ")))))</f>
        <v/>
      </c>
      <c r="O2879" s="80"/>
      <c r="P2879" s="82" t="str">
        <f aca="false">IF(C2879="","",IFERROR(MATCH(Q2879,'CARNET DE SOUDURE'!$AW$7:$AW$3006,0),""))</f>
        <v/>
      </c>
      <c r="Q2879" s="82" t="str">
        <f aca="false">IF(C2879="","",B2879&amp;"|"&amp;C2879)</f>
        <v/>
      </c>
    </row>
    <row r="2880" customFormat="false" ht="15" hidden="false" customHeight="false" outlineLevel="0" collapsed="false">
      <c r="A2880" s="82" t="str">
        <f aca="false">IF(C2880="","",ROW()-6)</f>
        <v/>
      </c>
      <c r="B2880" s="80"/>
      <c r="C2880" s="113"/>
      <c r="D2880" s="82" t="str">
        <f aca="false">IF(OR(C2880="",P2880=""),"",INDEX('CARNET DE SOUDURE'!$D$7:$D$3006,P2880)&amp;"")</f>
        <v/>
      </c>
      <c r="E2880" s="114" t="str">
        <f aca="false">IF(OR(C2880="",P2880=""),"",IF(INDEX('CARNET DE SOUDURE'!$U$7:$U$3006,P2880)="","",INDEX('CARNET DE SOUDURE'!$U$7:$U$3006,P2880)))</f>
        <v/>
      </c>
      <c r="F2880" s="82" t="str">
        <f aca="false">IF(OR(C2880="",P2880=""),"",INDEX('CARNET DE SOUDURE'!$AP$7:$AP$3006,P2880))</f>
        <v/>
      </c>
      <c r="G2880" s="82" t="str">
        <f aca="false">IF(C2880="","",IF(P2880="","NJ INCONNU",INDEX('CARNET DE SOUDURE'!$AQ$7:$AQ$3006,P2880)))</f>
        <v/>
      </c>
      <c r="H2880" s="82" t="str">
        <f aca="false">IF(C2880="","",IF(G2880="ACCEPTÉ","OUI","NON"))</f>
        <v/>
      </c>
      <c r="I2880" s="83"/>
      <c r="J2880" s="80"/>
      <c r="K2880" s="81"/>
      <c r="L2880" s="81"/>
      <c r="M2880" s="81"/>
      <c r="N2880" s="84" t="str">
        <f aca="false">IF(C2880="","",IF(P2880="","NJ INCONNU",IF(I2880="",IF(H2880="OUI","À ENROBER",IF(G2880="À SOUDER","NON SOUDÉ","EN ATTENTE RT")),IF(L2880="R","À REPRENDRE",IF(H2880&lt;&gt;"OUI","⚠ ENROBÉ AVANT ACCEPTATION RT","ENROBÉ")))))</f>
        <v/>
      </c>
      <c r="O2880" s="80"/>
      <c r="P2880" s="82" t="str">
        <f aca="false">IF(C2880="","",IFERROR(MATCH(Q2880,'CARNET DE SOUDURE'!$AW$7:$AW$3006,0),""))</f>
        <v/>
      </c>
      <c r="Q2880" s="82" t="str">
        <f aca="false">IF(C2880="","",B2880&amp;"|"&amp;C2880)</f>
        <v/>
      </c>
    </row>
    <row r="2881" customFormat="false" ht="15" hidden="false" customHeight="false" outlineLevel="0" collapsed="false">
      <c r="A2881" s="82" t="str">
        <f aca="false">IF(C2881="","",ROW()-6)</f>
        <v/>
      </c>
      <c r="B2881" s="80"/>
      <c r="C2881" s="113"/>
      <c r="D2881" s="82" t="str">
        <f aca="false">IF(OR(C2881="",P2881=""),"",INDEX('CARNET DE SOUDURE'!$D$7:$D$3006,P2881)&amp;"")</f>
        <v/>
      </c>
      <c r="E2881" s="114" t="str">
        <f aca="false">IF(OR(C2881="",P2881=""),"",IF(INDEX('CARNET DE SOUDURE'!$U$7:$U$3006,P2881)="","",INDEX('CARNET DE SOUDURE'!$U$7:$U$3006,P2881)))</f>
        <v/>
      </c>
      <c r="F2881" s="82" t="str">
        <f aca="false">IF(OR(C2881="",P2881=""),"",INDEX('CARNET DE SOUDURE'!$AP$7:$AP$3006,P2881))</f>
        <v/>
      </c>
      <c r="G2881" s="82" t="str">
        <f aca="false">IF(C2881="","",IF(P2881="","NJ INCONNU",INDEX('CARNET DE SOUDURE'!$AQ$7:$AQ$3006,P2881)))</f>
        <v/>
      </c>
      <c r="H2881" s="82" t="str">
        <f aca="false">IF(C2881="","",IF(G2881="ACCEPTÉ","OUI","NON"))</f>
        <v/>
      </c>
      <c r="I2881" s="83"/>
      <c r="J2881" s="80"/>
      <c r="K2881" s="81"/>
      <c r="L2881" s="81"/>
      <c r="M2881" s="81"/>
      <c r="N2881" s="84" t="str">
        <f aca="false">IF(C2881="","",IF(P2881="","NJ INCONNU",IF(I2881="",IF(H2881="OUI","À ENROBER",IF(G2881="À SOUDER","NON SOUDÉ","EN ATTENTE RT")),IF(L2881="R","À REPRENDRE",IF(H2881&lt;&gt;"OUI","⚠ ENROBÉ AVANT ACCEPTATION RT","ENROBÉ")))))</f>
        <v/>
      </c>
      <c r="O2881" s="80"/>
      <c r="P2881" s="82" t="str">
        <f aca="false">IF(C2881="","",IFERROR(MATCH(Q2881,'CARNET DE SOUDURE'!$AW$7:$AW$3006,0),""))</f>
        <v/>
      </c>
      <c r="Q2881" s="82" t="str">
        <f aca="false">IF(C2881="","",B2881&amp;"|"&amp;C2881)</f>
        <v/>
      </c>
    </row>
    <row r="2882" customFormat="false" ht="15" hidden="false" customHeight="false" outlineLevel="0" collapsed="false">
      <c r="A2882" s="82" t="str">
        <f aca="false">IF(C2882="","",ROW()-6)</f>
        <v/>
      </c>
      <c r="B2882" s="80"/>
      <c r="C2882" s="113"/>
      <c r="D2882" s="82" t="str">
        <f aca="false">IF(OR(C2882="",P2882=""),"",INDEX('CARNET DE SOUDURE'!$D$7:$D$3006,P2882)&amp;"")</f>
        <v/>
      </c>
      <c r="E2882" s="114" t="str">
        <f aca="false">IF(OR(C2882="",P2882=""),"",IF(INDEX('CARNET DE SOUDURE'!$U$7:$U$3006,P2882)="","",INDEX('CARNET DE SOUDURE'!$U$7:$U$3006,P2882)))</f>
        <v/>
      </c>
      <c r="F2882" s="82" t="str">
        <f aca="false">IF(OR(C2882="",P2882=""),"",INDEX('CARNET DE SOUDURE'!$AP$7:$AP$3006,P2882))</f>
        <v/>
      </c>
      <c r="G2882" s="82" t="str">
        <f aca="false">IF(C2882="","",IF(P2882="","NJ INCONNU",INDEX('CARNET DE SOUDURE'!$AQ$7:$AQ$3006,P2882)))</f>
        <v/>
      </c>
      <c r="H2882" s="82" t="str">
        <f aca="false">IF(C2882="","",IF(G2882="ACCEPTÉ","OUI","NON"))</f>
        <v/>
      </c>
      <c r="I2882" s="83"/>
      <c r="J2882" s="80"/>
      <c r="K2882" s="81"/>
      <c r="L2882" s="81"/>
      <c r="M2882" s="81"/>
      <c r="N2882" s="84" t="str">
        <f aca="false">IF(C2882="","",IF(P2882="","NJ INCONNU",IF(I2882="",IF(H2882="OUI","À ENROBER",IF(G2882="À SOUDER","NON SOUDÉ","EN ATTENTE RT")),IF(L2882="R","À REPRENDRE",IF(H2882&lt;&gt;"OUI","⚠ ENROBÉ AVANT ACCEPTATION RT","ENROBÉ")))))</f>
        <v/>
      </c>
      <c r="O2882" s="80"/>
      <c r="P2882" s="82" t="str">
        <f aca="false">IF(C2882="","",IFERROR(MATCH(Q2882,'CARNET DE SOUDURE'!$AW$7:$AW$3006,0),""))</f>
        <v/>
      </c>
      <c r="Q2882" s="82" t="str">
        <f aca="false">IF(C2882="","",B2882&amp;"|"&amp;C2882)</f>
        <v/>
      </c>
    </row>
    <row r="2883" customFormat="false" ht="15" hidden="false" customHeight="false" outlineLevel="0" collapsed="false">
      <c r="A2883" s="82" t="str">
        <f aca="false">IF(C2883="","",ROW()-6)</f>
        <v/>
      </c>
      <c r="B2883" s="80"/>
      <c r="C2883" s="113"/>
      <c r="D2883" s="82" t="str">
        <f aca="false">IF(OR(C2883="",P2883=""),"",INDEX('CARNET DE SOUDURE'!$D$7:$D$3006,P2883)&amp;"")</f>
        <v/>
      </c>
      <c r="E2883" s="114" t="str">
        <f aca="false">IF(OR(C2883="",P2883=""),"",IF(INDEX('CARNET DE SOUDURE'!$U$7:$U$3006,P2883)="","",INDEX('CARNET DE SOUDURE'!$U$7:$U$3006,P2883)))</f>
        <v/>
      </c>
      <c r="F2883" s="82" t="str">
        <f aca="false">IF(OR(C2883="",P2883=""),"",INDEX('CARNET DE SOUDURE'!$AP$7:$AP$3006,P2883))</f>
        <v/>
      </c>
      <c r="G2883" s="82" t="str">
        <f aca="false">IF(C2883="","",IF(P2883="","NJ INCONNU",INDEX('CARNET DE SOUDURE'!$AQ$7:$AQ$3006,P2883)))</f>
        <v/>
      </c>
      <c r="H2883" s="82" t="str">
        <f aca="false">IF(C2883="","",IF(G2883="ACCEPTÉ","OUI","NON"))</f>
        <v/>
      </c>
      <c r="I2883" s="83"/>
      <c r="J2883" s="80"/>
      <c r="K2883" s="81"/>
      <c r="L2883" s="81"/>
      <c r="M2883" s="81"/>
      <c r="N2883" s="84" t="str">
        <f aca="false">IF(C2883="","",IF(P2883="","NJ INCONNU",IF(I2883="",IF(H2883="OUI","À ENROBER",IF(G2883="À SOUDER","NON SOUDÉ","EN ATTENTE RT")),IF(L2883="R","À REPRENDRE",IF(H2883&lt;&gt;"OUI","⚠ ENROBÉ AVANT ACCEPTATION RT","ENROBÉ")))))</f>
        <v/>
      </c>
      <c r="O2883" s="80"/>
      <c r="P2883" s="82" t="str">
        <f aca="false">IF(C2883="","",IFERROR(MATCH(Q2883,'CARNET DE SOUDURE'!$AW$7:$AW$3006,0),""))</f>
        <v/>
      </c>
      <c r="Q2883" s="82" t="str">
        <f aca="false">IF(C2883="","",B2883&amp;"|"&amp;C2883)</f>
        <v/>
      </c>
    </row>
    <row r="2884" customFormat="false" ht="15" hidden="false" customHeight="false" outlineLevel="0" collapsed="false">
      <c r="A2884" s="82" t="str">
        <f aca="false">IF(C2884="","",ROW()-6)</f>
        <v/>
      </c>
      <c r="B2884" s="80"/>
      <c r="C2884" s="113"/>
      <c r="D2884" s="82" t="str">
        <f aca="false">IF(OR(C2884="",P2884=""),"",INDEX('CARNET DE SOUDURE'!$D$7:$D$3006,P2884)&amp;"")</f>
        <v/>
      </c>
      <c r="E2884" s="114" t="str">
        <f aca="false">IF(OR(C2884="",P2884=""),"",IF(INDEX('CARNET DE SOUDURE'!$U$7:$U$3006,P2884)="","",INDEX('CARNET DE SOUDURE'!$U$7:$U$3006,P2884)))</f>
        <v/>
      </c>
      <c r="F2884" s="82" t="str">
        <f aca="false">IF(OR(C2884="",P2884=""),"",INDEX('CARNET DE SOUDURE'!$AP$7:$AP$3006,P2884))</f>
        <v/>
      </c>
      <c r="G2884" s="82" t="str">
        <f aca="false">IF(C2884="","",IF(P2884="","NJ INCONNU",INDEX('CARNET DE SOUDURE'!$AQ$7:$AQ$3006,P2884)))</f>
        <v/>
      </c>
      <c r="H2884" s="82" t="str">
        <f aca="false">IF(C2884="","",IF(G2884="ACCEPTÉ","OUI","NON"))</f>
        <v/>
      </c>
      <c r="I2884" s="83"/>
      <c r="J2884" s="80"/>
      <c r="K2884" s="81"/>
      <c r="L2884" s="81"/>
      <c r="M2884" s="81"/>
      <c r="N2884" s="84" t="str">
        <f aca="false">IF(C2884="","",IF(P2884="","NJ INCONNU",IF(I2884="",IF(H2884="OUI","À ENROBER",IF(G2884="À SOUDER","NON SOUDÉ","EN ATTENTE RT")),IF(L2884="R","À REPRENDRE",IF(H2884&lt;&gt;"OUI","⚠ ENROBÉ AVANT ACCEPTATION RT","ENROBÉ")))))</f>
        <v/>
      </c>
      <c r="O2884" s="80"/>
      <c r="P2884" s="82" t="str">
        <f aca="false">IF(C2884="","",IFERROR(MATCH(Q2884,'CARNET DE SOUDURE'!$AW$7:$AW$3006,0),""))</f>
        <v/>
      </c>
      <c r="Q2884" s="82" t="str">
        <f aca="false">IF(C2884="","",B2884&amp;"|"&amp;C2884)</f>
        <v/>
      </c>
    </row>
    <row r="2885" customFormat="false" ht="15" hidden="false" customHeight="false" outlineLevel="0" collapsed="false">
      <c r="A2885" s="82" t="str">
        <f aca="false">IF(C2885="","",ROW()-6)</f>
        <v/>
      </c>
      <c r="B2885" s="80"/>
      <c r="C2885" s="113"/>
      <c r="D2885" s="82" t="str">
        <f aca="false">IF(OR(C2885="",P2885=""),"",INDEX('CARNET DE SOUDURE'!$D$7:$D$3006,P2885)&amp;"")</f>
        <v/>
      </c>
      <c r="E2885" s="114" t="str">
        <f aca="false">IF(OR(C2885="",P2885=""),"",IF(INDEX('CARNET DE SOUDURE'!$U$7:$U$3006,P2885)="","",INDEX('CARNET DE SOUDURE'!$U$7:$U$3006,P2885)))</f>
        <v/>
      </c>
      <c r="F2885" s="82" t="str">
        <f aca="false">IF(OR(C2885="",P2885=""),"",INDEX('CARNET DE SOUDURE'!$AP$7:$AP$3006,P2885))</f>
        <v/>
      </c>
      <c r="G2885" s="82" t="str">
        <f aca="false">IF(C2885="","",IF(P2885="","NJ INCONNU",INDEX('CARNET DE SOUDURE'!$AQ$7:$AQ$3006,P2885)))</f>
        <v/>
      </c>
      <c r="H2885" s="82" t="str">
        <f aca="false">IF(C2885="","",IF(G2885="ACCEPTÉ","OUI","NON"))</f>
        <v/>
      </c>
      <c r="I2885" s="83"/>
      <c r="J2885" s="80"/>
      <c r="K2885" s="81"/>
      <c r="L2885" s="81"/>
      <c r="M2885" s="81"/>
      <c r="N2885" s="84" t="str">
        <f aca="false">IF(C2885="","",IF(P2885="","NJ INCONNU",IF(I2885="",IF(H2885="OUI","À ENROBER",IF(G2885="À SOUDER","NON SOUDÉ","EN ATTENTE RT")),IF(L2885="R","À REPRENDRE",IF(H2885&lt;&gt;"OUI","⚠ ENROBÉ AVANT ACCEPTATION RT","ENROBÉ")))))</f>
        <v/>
      </c>
      <c r="O2885" s="80"/>
      <c r="P2885" s="82" t="str">
        <f aca="false">IF(C2885="","",IFERROR(MATCH(Q2885,'CARNET DE SOUDURE'!$AW$7:$AW$3006,0),""))</f>
        <v/>
      </c>
      <c r="Q2885" s="82" t="str">
        <f aca="false">IF(C2885="","",B2885&amp;"|"&amp;C2885)</f>
        <v/>
      </c>
    </row>
    <row r="2886" customFormat="false" ht="15" hidden="false" customHeight="false" outlineLevel="0" collapsed="false">
      <c r="A2886" s="82" t="str">
        <f aca="false">IF(C2886="","",ROW()-6)</f>
        <v/>
      </c>
      <c r="B2886" s="80"/>
      <c r="C2886" s="113"/>
      <c r="D2886" s="82" t="str">
        <f aca="false">IF(OR(C2886="",P2886=""),"",INDEX('CARNET DE SOUDURE'!$D$7:$D$3006,P2886)&amp;"")</f>
        <v/>
      </c>
      <c r="E2886" s="114" t="str">
        <f aca="false">IF(OR(C2886="",P2886=""),"",IF(INDEX('CARNET DE SOUDURE'!$U$7:$U$3006,P2886)="","",INDEX('CARNET DE SOUDURE'!$U$7:$U$3006,P2886)))</f>
        <v/>
      </c>
      <c r="F2886" s="82" t="str">
        <f aca="false">IF(OR(C2886="",P2886=""),"",INDEX('CARNET DE SOUDURE'!$AP$7:$AP$3006,P2886))</f>
        <v/>
      </c>
      <c r="G2886" s="82" t="str">
        <f aca="false">IF(C2886="","",IF(P2886="","NJ INCONNU",INDEX('CARNET DE SOUDURE'!$AQ$7:$AQ$3006,P2886)))</f>
        <v/>
      </c>
      <c r="H2886" s="82" t="str">
        <f aca="false">IF(C2886="","",IF(G2886="ACCEPTÉ","OUI","NON"))</f>
        <v/>
      </c>
      <c r="I2886" s="83"/>
      <c r="J2886" s="80"/>
      <c r="K2886" s="81"/>
      <c r="L2886" s="81"/>
      <c r="M2886" s="81"/>
      <c r="N2886" s="84" t="str">
        <f aca="false">IF(C2886="","",IF(P2886="","NJ INCONNU",IF(I2886="",IF(H2886="OUI","À ENROBER",IF(G2886="À SOUDER","NON SOUDÉ","EN ATTENTE RT")),IF(L2886="R","À REPRENDRE",IF(H2886&lt;&gt;"OUI","⚠ ENROBÉ AVANT ACCEPTATION RT","ENROBÉ")))))</f>
        <v/>
      </c>
      <c r="O2886" s="80"/>
      <c r="P2886" s="82" t="str">
        <f aca="false">IF(C2886="","",IFERROR(MATCH(Q2886,'CARNET DE SOUDURE'!$AW$7:$AW$3006,0),""))</f>
        <v/>
      </c>
      <c r="Q2886" s="82" t="str">
        <f aca="false">IF(C2886="","",B2886&amp;"|"&amp;C2886)</f>
        <v/>
      </c>
    </row>
    <row r="2887" customFormat="false" ht="15" hidden="false" customHeight="false" outlineLevel="0" collapsed="false">
      <c r="A2887" s="82" t="str">
        <f aca="false">IF(C2887="","",ROW()-6)</f>
        <v/>
      </c>
      <c r="B2887" s="80"/>
      <c r="C2887" s="113"/>
      <c r="D2887" s="82" t="str">
        <f aca="false">IF(OR(C2887="",P2887=""),"",INDEX('CARNET DE SOUDURE'!$D$7:$D$3006,P2887)&amp;"")</f>
        <v/>
      </c>
      <c r="E2887" s="114" t="str">
        <f aca="false">IF(OR(C2887="",P2887=""),"",IF(INDEX('CARNET DE SOUDURE'!$U$7:$U$3006,P2887)="","",INDEX('CARNET DE SOUDURE'!$U$7:$U$3006,P2887)))</f>
        <v/>
      </c>
      <c r="F2887" s="82" t="str">
        <f aca="false">IF(OR(C2887="",P2887=""),"",INDEX('CARNET DE SOUDURE'!$AP$7:$AP$3006,P2887))</f>
        <v/>
      </c>
      <c r="G2887" s="82" t="str">
        <f aca="false">IF(C2887="","",IF(P2887="","NJ INCONNU",INDEX('CARNET DE SOUDURE'!$AQ$7:$AQ$3006,P2887)))</f>
        <v/>
      </c>
      <c r="H2887" s="82" t="str">
        <f aca="false">IF(C2887="","",IF(G2887="ACCEPTÉ","OUI","NON"))</f>
        <v/>
      </c>
      <c r="I2887" s="83"/>
      <c r="J2887" s="80"/>
      <c r="K2887" s="81"/>
      <c r="L2887" s="81"/>
      <c r="M2887" s="81"/>
      <c r="N2887" s="84" t="str">
        <f aca="false">IF(C2887="","",IF(P2887="","NJ INCONNU",IF(I2887="",IF(H2887="OUI","À ENROBER",IF(G2887="À SOUDER","NON SOUDÉ","EN ATTENTE RT")),IF(L2887="R","À REPRENDRE",IF(H2887&lt;&gt;"OUI","⚠ ENROBÉ AVANT ACCEPTATION RT","ENROBÉ")))))</f>
        <v/>
      </c>
      <c r="O2887" s="80"/>
      <c r="P2887" s="82" t="str">
        <f aca="false">IF(C2887="","",IFERROR(MATCH(Q2887,'CARNET DE SOUDURE'!$AW$7:$AW$3006,0),""))</f>
        <v/>
      </c>
      <c r="Q2887" s="82" t="str">
        <f aca="false">IF(C2887="","",B2887&amp;"|"&amp;C2887)</f>
        <v/>
      </c>
    </row>
    <row r="2888" customFormat="false" ht="15" hidden="false" customHeight="false" outlineLevel="0" collapsed="false">
      <c r="A2888" s="82" t="str">
        <f aca="false">IF(C2888="","",ROW()-6)</f>
        <v/>
      </c>
      <c r="B2888" s="80"/>
      <c r="C2888" s="113"/>
      <c r="D2888" s="82" t="str">
        <f aca="false">IF(OR(C2888="",P2888=""),"",INDEX('CARNET DE SOUDURE'!$D$7:$D$3006,P2888)&amp;"")</f>
        <v/>
      </c>
      <c r="E2888" s="114" t="str">
        <f aca="false">IF(OR(C2888="",P2888=""),"",IF(INDEX('CARNET DE SOUDURE'!$U$7:$U$3006,P2888)="","",INDEX('CARNET DE SOUDURE'!$U$7:$U$3006,P2888)))</f>
        <v/>
      </c>
      <c r="F2888" s="82" t="str">
        <f aca="false">IF(OR(C2888="",P2888=""),"",INDEX('CARNET DE SOUDURE'!$AP$7:$AP$3006,P2888))</f>
        <v/>
      </c>
      <c r="G2888" s="82" t="str">
        <f aca="false">IF(C2888="","",IF(P2888="","NJ INCONNU",INDEX('CARNET DE SOUDURE'!$AQ$7:$AQ$3006,P2888)))</f>
        <v/>
      </c>
      <c r="H2888" s="82" t="str">
        <f aca="false">IF(C2888="","",IF(G2888="ACCEPTÉ","OUI","NON"))</f>
        <v/>
      </c>
      <c r="I2888" s="83"/>
      <c r="J2888" s="80"/>
      <c r="K2888" s="81"/>
      <c r="L2888" s="81"/>
      <c r="M2888" s="81"/>
      <c r="N2888" s="84" t="str">
        <f aca="false">IF(C2888="","",IF(P2888="","NJ INCONNU",IF(I2888="",IF(H2888="OUI","À ENROBER",IF(G2888="À SOUDER","NON SOUDÉ","EN ATTENTE RT")),IF(L2888="R","À REPRENDRE",IF(H2888&lt;&gt;"OUI","⚠ ENROBÉ AVANT ACCEPTATION RT","ENROBÉ")))))</f>
        <v/>
      </c>
      <c r="O2888" s="80"/>
      <c r="P2888" s="82" t="str">
        <f aca="false">IF(C2888="","",IFERROR(MATCH(Q2888,'CARNET DE SOUDURE'!$AW$7:$AW$3006,0),""))</f>
        <v/>
      </c>
      <c r="Q2888" s="82" t="str">
        <f aca="false">IF(C2888="","",B2888&amp;"|"&amp;C2888)</f>
        <v/>
      </c>
    </row>
    <row r="2889" customFormat="false" ht="15" hidden="false" customHeight="false" outlineLevel="0" collapsed="false">
      <c r="A2889" s="82" t="str">
        <f aca="false">IF(C2889="","",ROW()-6)</f>
        <v/>
      </c>
      <c r="B2889" s="80"/>
      <c r="C2889" s="113"/>
      <c r="D2889" s="82" t="str">
        <f aca="false">IF(OR(C2889="",P2889=""),"",INDEX('CARNET DE SOUDURE'!$D$7:$D$3006,P2889)&amp;"")</f>
        <v/>
      </c>
      <c r="E2889" s="114" t="str">
        <f aca="false">IF(OR(C2889="",P2889=""),"",IF(INDEX('CARNET DE SOUDURE'!$U$7:$U$3006,P2889)="","",INDEX('CARNET DE SOUDURE'!$U$7:$U$3006,P2889)))</f>
        <v/>
      </c>
      <c r="F2889" s="82" t="str">
        <f aca="false">IF(OR(C2889="",P2889=""),"",INDEX('CARNET DE SOUDURE'!$AP$7:$AP$3006,P2889))</f>
        <v/>
      </c>
      <c r="G2889" s="82" t="str">
        <f aca="false">IF(C2889="","",IF(P2889="","NJ INCONNU",INDEX('CARNET DE SOUDURE'!$AQ$7:$AQ$3006,P2889)))</f>
        <v/>
      </c>
      <c r="H2889" s="82" t="str">
        <f aca="false">IF(C2889="","",IF(G2889="ACCEPTÉ","OUI","NON"))</f>
        <v/>
      </c>
      <c r="I2889" s="83"/>
      <c r="J2889" s="80"/>
      <c r="K2889" s="81"/>
      <c r="L2889" s="81"/>
      <c r="M2889" s="81"/>
      <c r="N2889" s="84" t="str">
        <f aca="false">IF(C2889="","",IF(P2889="","NJ INCONNU",IF(I2889="",IF(H2889="OUI","À ENROBER",IF(G2889="À SOUDER","NON SOUDÉ","EN ATTENTE RT")),IF(L2889="R","À REPRENDRE",IF(H2889&lt;&gt;"OUI","⚠ ENROBÉ AVANT ACCEPTATION RT","ENROBÉ")))))</f>
        <v/>
      </c>
      <c r="O2889" s="80"/>
      <c r="P2889" s="82" t="str">
        <f aca="false">IF(C2889="","",IFERROR(MATCH(Q2889,'CARNET DE SOUDURE'!$AW$7:$AW$3006,0),""))</f>
        <v/>
      </c>
      <c r="Q2889" s="82" t="str">
        <f aca="false">IF(C2889="","",B2889&amp;"|"&amp;C2889)</f>
        <v/>
      </c>
    </row>
    <row r="2890" customFormat="false" ht="15" hidden="false" customHeight="false" outlineLevel="0" collapsed="false">
      <c r="A2890" s="82" t="str">
        <f aca="false">IF(C2890="","",ROW()-6)</f>
        <v/>
      </c>
      <c r="B2890" s="80"/>
      <c r="C2890" s="113"/>
      <c r="D2890" s="82" t="str">
        <f aca="false">IF(OR(C2890="",P2890=""),"",INDEX('CARNET DE SOUDURE'!$D$7:$D$3006,P2890)&amp;"")</f>
        <v/>
      </c>
      <c r="E2890" s="114" t="str">
        <f aca="false">IF(OR(C2890="",P2890=""),"",IF(INDEX('CARNET DE SOUDURE'!$U$7:$U$3006,P2890)="","",INDEX('CARNET DE SOUDURE'!$U$7:$U$3006,P2890)))</f>
        <v/>
      </c>
      <c r="F2890" s="82" t="str">
        <f aca="false">IF(OR(C2890="",P2890=""),"",INDEX('CARNET DE SOUDURE'!$AP$7:$AP$3006,P2890))</f>
        <v/>
      </c>
      <c r="G2890" s="82" t="str">
        <f aca="false">IF(C2890="","",IF(P2890="","NJ INCONNU",INDEX('CARNET DE SOUDURE'!$AQ$7:$AQ$3006,P2890)))</f>
        <v/>
      </c>
      <c r="H2890" s="82" t="str">
        <f aca="false">IF(C2890="","",IF(G2890="ACCEPTÉ","OUI","NON"))</f>
        <v/>
      </c>
      <c r="I2890" s="83"/>
      <c r="J2890" s="80"/>
      <c r="K2890" s="81"/>
      <c r="L2890" s="81"/>
      <c r="M2890" s="81"/>
      <c r="N2890" s="84" t="str">
        <f aca="false">IF(C2890="","",IF(P2890="","NJ INCONNU",IF(I2890="",IF(H2890="OUI","À ENROBER",IF(G2890="À SOUDER","NON SOUDÉ","EN ATTENTE RT")),IF(L2890="R","À REPRENDRE",IF(H2890&lt;&gt;"OUI","⚠ ENROBÉ AVANT ACCEPTATION RT","ENROBÉ")))))</f>
        <v/>
      </c>
      <c r="O2890" s="80"/>
      <c r="P2890" s="82" t="str">
        <f aca="false">IF(C2890="","",IFERROR(MATCH(Q2890,'CARNET DE SOUDURE'!$AW$7:$AW$3006,0),""))</f>
        <v/>
      </c>
      <c r="Q2890" s="82" t="str">
        <f aca="false">IF(C2890="","",B2890&amp;"|"&amp;C2890)</f>
        <v/>
      </c>
    </row>
    <row r="2891" customFormat="false" ht="15" hidden="false" customHeight="false" outlineLevel="0" collapsed="false">
      <c r="A2891" s="82" t="str">
        <f aca="false">IF(C2891="","",ROW()-6)</f>
        <v/>
      </c>
      <c r="B2891" s="80"/>
      <c r="C2891" s="113"/>
      <c r="D2891" s="82" t="str">
        <f aca="false">IF(OR(C2891="",P2891=""),"",INDEX('CARNET DE SOUDURE'!$D$7:$D$3006,P2891)&amp;"")</f>
        <v/>
      </c>
      <c r="E2891" s="114" t="str">
        <f aca="false">IF(OR(C2891="",P2891=""),"",IF(INDEX('CARNET DE SOUDURE'!$U$7:$U$3006,P2891)="","",INDEX('CARNET DE SOUDURE'!$U$7:$U$3006,P2891)))</f>
        <v/>
      </c>
      <c r="F2891" s="82" t="str">
        <f aca="false">IF(OR(C2891="",P2891=""),"",INDEX('CARNET DE SOUDURE'!$AP$7:$AP$3006,P2891))</f>
        <v/>
      </c>
      <c r="G2891" s="82" t="str">
        <f aca="false">IF(C2891="","",IF(P2891="","NJ INCONNU",INDEX('CARNET DE SOUDURE'!$AQ$7:$AQ$3006,P2891)))</f>
        <v/>
      </c>
      <c r="H2891" s="82" t="str">
        <f aca="false">IF(C2891="","",IF(G2891="ACCEPTÉ","OUI","NON"))</f>
        <v/>
      </c>
      <c r="I2891" s="83"/>
      <c r="J2891" s="80"/>
      <c r="K2891" s="81"/>
      <c r="L2891" s="81"/>
      <c r="M2891" s="81"/>
      <c r="N2891" s="84" t="str">
        <f aca="false">IF(C2891="","",IF(P2891="","NJ INCONNU",IF(I2891="",IF(H2891="OUI","À ENROBER",IF(G2891="À SOUDER","NON SOUDÉ","EN ATTENTE RT")),IF(L2891="R","À REPRENDRE",IF(H2891&lt;&gt;"OUI","⚠ ENROBÉ AVANT ACCEPTATION RT","ENROBÉ")))))</f>
        <v/>
      </c>
      <c r="O2891" s="80"/>
      <c r="P2891" s="82" t="str">
        <f aca="false">IF(C2891="","",IFERROR(MATCH(Q2891,'CARNET DE SOUDURE'!$AW$7:$AW$3006,0),""))</f>
        <v/>
      </c>
      <c r="Q2891" s="82" t="str">
        <f aca="false">IF(C2891="","",B2891&amp;"|"&amp;C2891)</f>
        <v/>
      </c>
    </row>
    <row r="2892" customFormat="false" ht="15" hidden="false" customHeight="false" outlineLevel="0" collapsed="false">
      <c r="A2892" s="82" t="str">
        <f aca="false">IF(C2892="","",ROW()-6)</f>
        <v/>
      </c>
      <c r="B2892" s="80"/>
      <c r="C2892" s="113"/>
      <c r="D2892" s="82" t="str">
        <f aca="false">IF(OR(C2892="",P2892=""),"",INDEX('CARNET DE SOUDURE'!$D$7:$D$3006,P2892)&amp;"")</f>
        <v/>
      </c>
      <c r="E2892" s="114" t="str">
        <f aca="false">IF(OR(C2892="",P2892=""),"",IF(INDEX('CARNET DE SOUDURE'!$U$7:$U$3006,P2892)="","",INDEX('CARNET DE SOUDURE'!$U$7:$U$3006,P2892)))</f>
        <v/>
      </c>
      <c r="F2892" s="82" t="str">
        <f aca="false">IF(OR(C2892="",P2892=""),"",INDEX('CARNET DE SOUDURE'!$AP$7:$AP$3006,P2892))</f>
        <v/>
      </c>
      <c r="G2892" s="82" t="str">
        <f aca="false">IF(C2892="","",IF(P2892="","NJ INCONNU",INDEX('CARNET DE SOUDURE'!$AQ$7:$AQ$3006,P2892)))</f>
        <v/>
      </c>
      <c r="H2892" s="82" t="str">
        <f aca="false">IF(C2892="","",IF(G2892="ACCEPTÉ","OUI","NON"))</f>
        <v/>
      </c>
      <c r="I2892" s="83"/>
      <c r="J2892" s="80"/>
      <c r="K2892" s="81"/>
      <c r="L2892" s="81"/>
      <c r="M2892" s="81"/>
      <c r="N2892" s="84" t="str">
        <f aca="false">IF(C2892="","",IF(P2892="","NJ INCONNU",IF(I2892="",IF(H2892="OUI","À ENROBER",IF(G2892="À SOUDER","NON SOUDÉ","EN ATTENTE RT")),IF(L2892="R","À REPRENDRE",IF(H2892&lt;&gt;"OUI","⚠ ENROBÉ AVANT ACCEPTATION RT","ENROBÉ")))))</f>
        <v/>
      </c>
      <c r="O2892" s="80"/>
      <c r="P2892" s="82" t="str">
        <f aca="false">IF(C2892="","",IFERROR(MATCH(Q2892,'CARNET DE SOUDURE'!$AW$7:$AW$3006,0),""))</f>
        <v/>
      </c>
      <c r="Q2892" s="82" t="str">
        <f aca="false">IF(C2892="","",B2892&amp;"|"&amp;C2892)</f>
        <v/>
      </c>
    </row>
    <row r="2893" customFormat="false" ht="15" hidden="false" customHeight="false" outlineLevel="0" collapsed="false">
      <c r="A2893" s="82" t="str">
        <f aca="false">IF(C2893="","",ROW()-6)</f>
        <v/>
      </c>
      <c r="B2893" s="80"/>
      <c r="C2893" s="113"/>
      <c r="D2893" s="82" t="str">
        <f aca="false">IF(OR(C2893="",P2893=""),"",INDEX('CARNET DE SOUDURE'!$D$7:$D$3006,P2893)&amp;"")</f>
        <v/>
      </c>
      <c r="E2893" s="114" t="str">
        <f aca="false">IF(OR(C2893="",P2893=""),"",IF(INDEX('CARNET DE SOUDURE'!$U$7:$U$3006,P2893)="","",INDEX('CARNET DE SOUDURE'!$U$7:$U$3006,P2893)))</f>
        <v/>
      </c>
      <c r="F2893" s="82" t="str">
        <f aca="false">IF(OR(C2893="",P2893=""),"",INDEX('CARNET DE SOUDURE'!$AP$7:$AP$3006,P2893))</f>
        <v/>
      </c>
      <c r="G2893" s="82" t="str">
        <f aca="false">IF(C2893="","",IF(P2893="","NJ INCONNU",INDEX('CARNET DE SOUDURE'!$AQ$7:$AQ$3006,P2893)))</f>
        <v/>
      </c>
      <c r="H2893" s="82" t="str">
        <f aca="false">IF(C2893="","",IF(G2893="ACCEPTÉ","OUI","NON"))</f>
        <v/>
      </c>
      <c r="I2893" s="83"/>
      <c r="J2893" s="80"/>
      <c r="K2893" s="81"/>
      <c r="L2893" s="81"/>
      <c r="M2893" s="81"/>
      <c r="N2893" s="84" t="str">
        <f aca="false">IF(C2893="","",IF(P2893="","NJ INCONNU",IF(I2893="",IF(H2893="OUI","À ENROBER",IF(G2893="À SOUDER","NON SOUDÉ","EN ATTENTE RT")),IF(L2893="R","À REPRENDRE",IF(H2893&lt;&gt;"OUI","⚠ ENROBÉ AVANT ACCEPTATION RT","ENROBÉ")))))</f>
        <v/>
      </c>
      <c r="O2893" s="80"/>
      <c r="P2893" s="82" t="str">
        <f aca="false">IF(C2893="","",IFERROR(MATCH(Q2893,'CARNET DE SOUDURE'!$AW$7:$AW$3006,0),""))</f>
        <v/>
      </c>
      <c r="Q2893" s="82" t="str">
        <f aca="false">IF(C2893="","",B2893&amp;"|"&amp;C2893)</f>
        <v/>
      </c>
    </row>
    <row r="2894" customFormat="false" ht="15" hidden="false" customHeight="false" outlineLevel="0" collapsed="false">
      <c r="A2894" s="82" t="str">
        <f aca="false">IF(C2894="","",ROW()-6)</f>
        <v/>
      </c>
      <c r="B2894" s="80"/>
      <c r="C2894" s="113"/>
      <c r="D2894" s="82" t="str">
        <f aca="false">IF(OR(C2894="",P2894=""),"",INDEX('CARNET DE SOUDURE'!$D$7:$D$3006,P2894)&amp;"")</f>
        <v/>
      </c>
      <c r="E2894" s="114" t="str">
        <f aca="false">IF(OR(C2894="",P2894=""),"",IF(INDEX('CARNET DE SOUDURE'!$U$7:$U$3006,P2894)="","",INDEX('CARNET DE SOUDURE'!$U$7:$U$3006,P2894)))</f>
        <v/>
      </c>
      <c r="F2894" s="82" t="str">
        <f aca="false">IF(OR(C2894="",P2894=""),"",INDEX('CARNET DE SOUDURE'!$AP$7:$AP$3006,P2894))</f>
        <v/>
      </c>
      <c r="G2894" s="82" t="str">
        <f aca="false">IF(C2894="","",IF(P2894="","NJ INCONNU",INDEX('CARNET DE SOUDURE'!$AQ$7:$AQ$3006,P2894)))</f>
        <v/>
      </c>
      <c r="H2894" s="82" t="str">
        <f aca="false">IF(C2894="","",IF(G2894="ACCEPTÉ","OUI","NON"))</f>
        <v/>
      </c>
      <c r="I2894" s="83"/>
      <c r="J2894" s="80"/>
      <c r="K2894" s="81"/>
      <c r="L2894" s="81"/>
      <c r="M2894" s="81"/>
      <c r="N2894" s="84" t="str">
        <f aca="false">IF(C2894="","",IF(P2894="","NJ INCONNU",IF(I2894="",IF(H2894="OUI","À ENROBER",IF(G2894="À SOUDER","NON SOUDÉ","EN ATTENTE RT")),IF(L2894="R","À REPRENDRE",IF(H2894&lt;&gt;"OUI","⚠ ENROBÉ AVANT ACCEPTATION RT","ENROBÉ")))))</f>
        <v/>
      </c>
      <c r="O2894" s="80"/>
      <c r="P2894" s="82" t="str">
        <f aca="false">IF(C2894="","",IFERROR(MATCH(Q2894,'CARNET DE SOUDURE'!$AW$7:$AW$3006,0),""))</f>
        <v/>
      </c>
      <c r="Q2894" s="82" t="str">
        <f aca="false">IF(C2894="","",B2894&amp;"|"&amp;C2894)</f>
        <v/>
      </c>
    </row>
    <row r="2895" customFormat="false" ht="15" hidden="false" customHeight="false" outlineLevel="0" collapsed="false">
      <c r="A2895" s="82" t="str">
        <f aca="false">IF(C2895="","",ROW()-6)</f>
        <v/>
      </c>
      <c r="B2895" s="80"/>
      <c r="C2895" s="113"/>
      <c r="D2895" s="82" t="str">
        <f aca="false">IF(OR(C2895="",P2895=""),"",INDEX('CARNET DE SOUDURE'!$D$7:$D$3006,P2895)&amp;"")</f>
        <v/>
      </c>
      <c r="E2895" s="114" t="str">
        <f aca="false">IF(OR(C2895="",P2895=""),"",IF(INDEX('CARNET DE SOUDURE'!$U$7:$U$3006,P2895)="","",INDEX('CARNET DE SOUDURE'!$U$7:$U$3006,P2895)))</f>
        <v/>
      </c>
      <c r="F2895" s="82" t="str">
        <f aca="false">IF(OR(C2895="",P2895=""),"",INDEX('CARNET DE SOUDURE'!$AP$7:$AP$3006,P2895))</f>
        <v/>
      </c>
      <c r="G2895" s="82" t="str">
        <f aca="false">IF(C2895="","",IF(P2895="","NJ INCONNU",INDEX('CARNET DE SOUDURE'!$AQ$7:$AQ$3006,P2895)))</f>
        <v/>
      </c>
      <c r="H2895" s="82" t="str">
        <f aca="false">IF(C2895="","",IF(G2895="ACCEPTÉ","OUI","NON"))</f>
        <v/>
      </c>
      <c r="I2895" s="83"/>
      <c r="J2895" s="80"/>
      <c r="K2895" s="81"/>
      <c r="L2895" s="81"/>
      <c r="M2895" s="81"/>
      <c r="N2895" s="84" t="str">
        <f aca="false">IF(C2895="","",IF(P2895="","NJ INCONNU",IF(I2895="",IF(H2895="OUI","À ENROBER",IF(G2895="À SOUDER","NON SOUDÉ","EN ATTENTE RT")),IF(L2895="R","À REPRENDRE",IF(H2895&lt;&gt;"OUI","⚠ ENROBÉ AVANT ACCEPTATION RT","ENROBÉ")))))</f>
        <v/>
      </c>
      <c r="O2895" s="80"/>
      <c r="P2895" s="82" t="str">
        <f aca="false">IF(C2895="","",IFERROR(MATCH(Q2895,'CARNET DE SOUDURE'!$AW$7:$AW$3006,0),""))</f>
        <v/>
      </c>
      <c r="Q2895" s="82" t="str">
        <f aca="false">IF(C2895="","",B2895&amp;"|"&amp;C2895)</f>
        <v/>
      </c>
    </row>
    <row r="2896" customFormat="false" ht="15" hidden="false" customHeight="false" outlineLevel="0" collapsed="false">
      <c r="A2896" s="82" t="str">
        <f aca="false">IF(C2896="","",ROW()-6)</f>
        <v/>
      </c>
      <c r="B2896" s="80"/>
      <c r="C2896" s="113"/>
      <c r="D2896" s="82" t="str">
        <f aca="false">IF(OR(C2896="",P2896=""),"",INDEX('CARNET DE SOUDURE'!$D$7:$D$3006,P2896)&amp;"")</f>
        <v/>
      </c>
      <c r="E2896" s="114" t="str">
        <f aca="false">IF(OR(C2896="",P2896=""),"",IF(INDEX('CARNET DE SOUDURE'!$U$7:$U$3006,P2896)="","",INDEX('CARNET DE SOUDURE'!$U$7:$U$3006,P2896)))</f>
        <v/>
      </c>
      <c r="F2896" s="82" t="str">
        <f aca="false">IF(OR(C2896="",P2896=""),"",INDEX('CARNET DE SOUDURE'!$AP$7:$AP$3006,P2896))</f>
        <v/>
      </c>
      <c r="G2896" s="82" t="str">
        <f aca="false">IF(C2896="","",IF(P2896="","NJ INCONNU",INDEX('CARNET DE SOUDURE'!$AQ$7:$AQ$3006,P2896)))</f>
        <v/>
      </c>
      <c r="H2896" s="82" t="str">
        <f aca="false">IF(C2896="","",IF(G2896="ACCEPTÉ","OUI","NON"))</f>
        <v/>
      </c>
      <c r="I2896" s="83"/>
      <c r="J2896" s="80"/>
      <c r="K2896" s="81"/>
      <c r="L2896" s="81"/>
      <c r="M2896" s="81"/>
      <c r="N2896" s="84" t="str">
        <f aca="false">IF(C2896="","",IF(P2896="","NJ INCONNU",IF(I2896="",IF(H2896="OUI","À ENROBER",IF(G2896="À SOUDER","NON SOUDÉ","EN ATTENTE RT")),IF(L2896="R","À REPRENDRE",IF(H2896&lt;&gt;"OUI","⚠ ENROBÉ AVANT ACCEPTATION RT","ENROBÉ")))))</f>
        <v/>
      </c>
      <c r="O2896" s="80"/>
      <c r="P2896" s="82" t="str">
        <f aca="false">IF(C2896="","",IFERROR(MATCH(Q2896,'CARNET DE SOUDURE'!$AW$7:$AW$3006,0),""))</f>
        <v/>
      </c>
      <c r="Q2896" s="82" t="str">
        <f aca="false">IF(C2896="","",B2896&amp;"|"&amp;C2896)</f>
        <v/>
      </c>
    </row>
    <row r="2897" customFormat="false" ht="15" hidden="false" customHeight="false" outlineLevel="0" collapsed="false">
      <c r="A2897" s="82" t="str">
        <f aca="false">IF(C2897="","",ROW()-6)</f>
        <v/>
      </c>
      <c r="B2897" s="80"/>
      <c r="C2897" s="113"/>
      <c r="D2897" s="82" t="str">
        <f aca="false">IF(OR(C2897="",P2897=""),"",INDEX('CARNET DE SOUDURE'!$D$7:$D$3006,P2897)&amp;"")</f>
        <v/>
      </c>
      <c r="E2897" s="114" t="str">
        <f aca="false">IF(OR(C2897="",P2897=""),"",IF(INDEX('CARNET DE SOUDURE'!$U$7:$U$3006,P2897)="","",INDEX('CARNET DE SOUDURE'!$U$7:$U$3006,P2897)))</f>
        <v/>
      </c>
      <c r="F2897" s="82" t="str">
        <f aca="false">IF(OR(C2897="",P2897=""),"",INDEX('CARNET DE SOUDURE'!$AP$7:$AP$3006,P2897))</f>
        <v/>
      </c>
      <c r="G2897" s="82" t="str">
        <f aca="false">IF(C2897="","",IF(P2897="","NJ INCONNU",INDEX('CARNET DE SOUDURE'!$AQ$7:$AQ$3006,P2897)))</f>
        <v/>
      </c>
      <c r="H2897" s="82" t="str">
        <f aca="false">IF(C2897="","",IF(G2897="ACCEPTÉ","OUI","NON"))</f>
        <v/>
      </c>
      <c r="I2897" s="83"/>
      <c r="J2897" s="80"/>
      <c r="K2897" s="81"/>
      <c r="L2897" s="81"/>
      <c r="M2897" s="81"/>
      <c r="N2897" s="84" t="str">
        <f aca="false">IF(C2897="","",IF(P2897="","NJ INCONNU",IF(I2897="",IF(H2897="OUI","À ENROBER",IF(G2897="À SOUDER","NON SOUDÉ","EN ATTENTE RT")),IF(L2897="R","À REPRENDRE",IF(H2897&lt;&gt;"OUI","⚠ ENROBÉ AVANT ACCEPTATION RT","ENROBÉ")))))</f>
        <v/>
      </c>
      <c r="O2897" s="80"/>
      <c r="P2897" s="82" t="str">
        <f aca="false">IF(C2897="","",IFERROR(MATCH(Q2897,'CARNET DE SOUDURE'!$AW$7:$AW$3006,0),""))</f>
        <v/>
      </c>
      <c r="Q2897" s="82" t="str">
        <f aca="false">IF(C2897="","",B2897&amp;"|"&amp;C2897)</f>
        <v/>
      </c>
    </row>
    <row r="2898" customFormat="false" ht="15" hidden="false" customHeight="false" outlineLevel="0" collapsed="false">
      <c r="A2898" s="82" t="str">
        <f aca="false">IF(C2898="","",ROW()-6)</f>
        <v/>
      </c>
      <c r="B2898" s="80"/>
      <c r="C2898" s="113"/>
      <c r="D2898" s="82" t="str">
        <f aca="false">IF(OR(C2898="",P2898=""),"",INDEX('CARNET DE SOUDURE'!$D$7:$D$3006,P2898)&amp;"")</f>
        <v/>
      </c>
      <c r="E2898" s="114" t="str">
        <f aca="false">IF(OR(C2898="",P2898=""),"",IF(INDEX('CARNET DE SOUDURE'!$U$7:$U$3006,P2898)="","",INDEX('CARNET DE SOUDURE'!$U$7:$U$3006,P2898)))</f>
        <v/>
      </c>
      <c r="F2898" s="82" t="str">
        <f aca="false">IF(OR(C2898="",P2898=""),"",INDEX('CARNET DE SOUDURE'!$AP$7:$AP$3006,P2898))</f>
        <v/>
      </c>
      <c r="G2898" s="82" t="str">
        <f aca="false">IF(C2898="","",IF(P2898="","NJ INCONNU",INDEX('CARNET DE SOUDURE'!$AQ$7:$AQ$3006,P2898)))</f>
        <v/>
      </c>
      <c r="H2898" s="82" t="str">
        <f aca="false">IF(C2898="","",IF(G2898="ACCEPTÉ","OUI","NON"))</f>
        <v/>
      </c>
      <c r="I2898" s="83"/>
      <c r="J2898" s="80"/>
      <c r="K2898" s="81"/>
      <c r="L2898" s="81"/>
      <c r="M2898" s="81"/>
      <c r="N2898" s="84" t="str">
        <f aca="false">IF(C2898="","",IF(P2898="","NJ INCONNU",IF(I2898="",IF(H2898="OUI","À ENROBER",IF(G2898="À SOUDER","NON SOUDÉ","EN ATTENTE RT")),IF(L2898="R","À REPRENDRE",IF(H2898&lt;&gt;"OUI","⚠ ENROBÉ AVANT ACCEPTATION RT","ENROBÉ")))))</f>
        <v/>
      </c>
      <c r="O2898" s="80"/>
      <c r="P2898" s="82" t="str">
        <f aca="false">IF(C2898="","",IFERROR(MATCH(Q2898,'CARNET DE SOUDURE'!$AW$7:$AW$3006,0),""))</f>
        <v/>
      </c>
      <c r="Q2898" s="82" t="str">
        <f aca="false">IF(C2898="","",B2898&amp;"|"&amp;C2898)</f>
        <v/>
      </c>
    </row>
    <row r="2899" customFormat="false" ht="15" hidden="false" customHeight="false" outlineLevel="0" collapsed="false">
      <c r="A2899" s="82" t="str">
        <f aca="false">IF(C2899="","",ROW()-6)</f>
        <v/>
      </c>
      <c r="B2899" s="80"/>
      <c r="C2899" s="113"/>
      <c r="D2899" s="82" t="str">
        <f aca="false">IF(OR(C2899="",P2899=""),"",INDEX('CARNET DE SOUDURE'!$D$7:$D$3006,P2899)&amp;"")</f>
        <v/>
      </c>
      <c r="E2899" s="114" t="str">
        <f aca="false">IF(OR(C2899="",P2899=""),"",IF(INDEX('CARNET DE SOUDURE'!$U$7:$U$3006,P2899)="","",INDEX('CARNET DE SOUDURE'!$U$7:$U$3006,P2899)))</f>
        <v/>
      </c>
      <c r="F2899" s="82" t="str">
        <f aca="false">IF(OR(C2899="",P2899=""),"",INDEX('CARNET DE SOUDURE'!$AP$7:$AP$3006,P2899))</f>
        <v/>
      </c>
      <c r="G2899" s="82" t="str">
        <f aca="false">IF(C2899="","",IF(P2899="","NJ INCONNU",INDEX('CARNET DE SOUDURE'!$AQ$7:$AQ$3006,P2899)))</f>
        <v/>
      </c>
      <c r="H2899" s="82" t="str">
        <f aca="false">IF(C2899="","",IF(G2899="ACCEPTÉ","OUI","NON"))</f>
        <v/>
      </c>
      <c r="I2899" s="83"/>
      <c r="J2899" s="80"/>
      <c r="K2899" s="81"/>
      <c r="L2899" s="81"/>
      <c r="M2899" s="81"/>
      <c r="N2899" s="84" t="str">
        <f aca="false">IF(C2899="","",IF(P2899="","NJ INCONNU",IF(I2899="",IF(H2899="OUI","À ENROBER",IF(G2899="À SOUDER","NON SOUDÉ","EN ATTENTE RT")),IF(L2899="R","À REPRENDRE",IF(H2899&lt;&gt;"OUI","⚠ ENROBÉ AVANT ACCEPTATION RT","ENROBÉ")))))</f>
        <v/>
      </c>
      <c r="O2899" s="80"/>
      <c r="P2899" s="82" t="str">
        <f aca="false">IF(C2899="","",IFERROR(MATCH(Q2899,'CARNET DE SOUDURE'!$AW$7:$AW$3006,0),""))</f>
        <v/>
      </c>
      <c r="Q2899" s="82" t="str">
        <f aca="false">IF(C2899="","",B2899&amp;"|"&amp;C2899)</f>
        <v/>
      </c>
    </row>
    <row r="2900" customFormat="false" ht="15" hidden="false" customHeight="false" outlineLevel="0" collapsed="false">
      <c r="A2900" s="82" t="str">
        <f aca="false">IF(C2900="","",ROW()-6)</f>
        <v/>
      </c>
      <c r="B2900" s="80"/>
      <c r="C2900" s="113"/>
      <c r="D2900" s="82" t="str">
        <f aca="false">IF(OR(C2900="",P2900=""),"",INDEX('CARNET DE SOUDURE'!$D$7:$D$3006,P2900)&amp;"")</f>
        <v/>
      </c>
      <c r="E2900" s="114" t="str">
        <f aca="false">IF(OR(C2900="",P2900=""),"",IF(INDEX('CARNET DE SOUDURE'!$U$7:$U$3006,P2900)="","",INDEX('CARNET DE SOUDURE'!$U$7:$U$3006,P2900)))</f>
        <v/>
      </c>
      <c r="F2900" s="82" t="str">
        <f aca="false">IF(OR(C2900="",P2900=""),"",INDEX('CARNET DE SOUDURE'!$AP$7:$AP$3006,P2900))</f>
        <v/>
      </c>
      <c r="G2900" s="82" t="str">
        <f aca="false">IF(C2900="","",IF(P2900="","NJ INCONNU",INDEX('CARNET DE SOUDURE'!$AQ$7:$AQ$3006,P2900)))</f>
        <v/>
      </c>
      <c r="H2900" s="82" t="str">
        <f aca="false">IF(C2900="","",IF(G2900="ACCEPTÉ","OUI","NON"))</f>
        <v/>
      </c>
      <c r="I2900" s="83"/>
      <c r="J2900" s="80"/>
      <c r="K2900" s="81"/>
      <c r="L2900" s="81"/>
      <c r="M2900" s="81"/>
      <c r="N2900" s="84" t="str">
        <f aca="false">IF(C2900="","",IF(P2900="","NJ INCONNU",IF(I2900="",IF(H2900="OUI","À ENROBER",IF(G2900="À SOUDER","NON SOUDÉ","EN ATTENTE RT")),IF(L2900="R","À REPRENDRE",IF(H2900&lt;&gt;"OUI","⚠ ENROBÉ AVANT ACCEPTATION RT","ENROBÉ")))))</f>
        <v/>
      </c>
      <c r="O2900" s="80"/>
      <c r="P2900" s="82" t="str">
        <f aca="false">IF(C2900="","",IFERROR(MATCH(Q2900,'CARNET DE SOUDURE'!$AW$7:$AW$3006,0),""))</f>
        <v/>
      </c>
      <c r="Q2900" s="82" t="str">
        <f aca="false">IF(C2900="","",B2900&amp;"|"&amp;C2900)</f>
        <v/>
      </c>
    </row>
    <row r="2901" customFormat="false" ht="15" hidden="false" customHeight="false" outlineLevel="0" collapsed="false">
      <c r="A2901" s="82" t="str">
        <f aca="false">IF(C2901="","",ROW()-6)</f>
        <v/>
      </c>
      <c r="B2901" s="80"/>
      <c r="C2901" s="113"/>
      <c r="D2901" s="82" t="str">
        <f aca="false">IF(OR(C2901="",P2901=""),"",INDEX('CARNET DE SOUDURE'!$D$7:$D$3006,P2901)&amp;"")</f>
        <v/>
      </c>
      <c r="E2901" s="114" t="str">
        <f aca="false">IF(OR(C2901="",P2901=""),"",IF(INDEX('CARNET DE SOUDURE'!$U$7:$U$3006,P2901)="","",INDEX('CARNET DE SOUDURE'!$U$7:$U$3006,P2901)))</f>
        <v/>
      </c>
      <c r="F2901" s="82" t="str">
        <f aca="false">IF(OR(C2901="",P2901=""),"",INDEX('CARNET DE SOUDURE'!$AP$7:$AP$3006,P2901))</f>
        <v/>
      </c>
      <c r="G2901" s="82" t="str">
        <f aca="false">IF(C2901="","",IF(P2901="","NJ INCONNU",INDEX('CARNET DE SOUDURE'!$AQ$7:$AQ$3006,P2901)))</f>
        <v/>
      </c>
      <c r="H2901" s="82" t="str">
        <f aca="false">IF(C2901="","",IF(G2901="ACCEPTÉ","OUI","NON"))</f>
        <v/>
      </c>
      <c r="I2901" s="83"/>
      <c r="J2901" s="80"/>
      <c r="K2901" s="81"/>
      <c r="L2901" s="81"/>
      <c r="M2901" s="81"/>
      <c r="N2901" s="84" t="str">
        <f aca="false">IF(C2901="","",IF(P2901="","NJ INCONNU",IF(I2901="",IF(H2901="OUI","À ENROBER",IF(G2901="À SOUDER","NON SOUDÉ","EN ATTENTE RT")),IF(L2901="R","À REPRENDRE",IF(H2901&lt;&gt;"OUI","⚠ ENROBÉ AVANT ACCEPTATION RT","ENROBÉ")))))</f>
        <v/>
      </c>
      <c r="O2901" s="80"/>
      <c r="P2901" s="82" t="str">
        <f aca="false">IF(C2901="","",IFERROR(MATCH(Q2901,'CARNET DE SOUDURE'!$AW$7:$AW$3006,0),""))</f>
        <v/>
      </c>
      <c r="Q2901" s="82" t="str">
        <f aca="false">IF(C2901="","",B2901&amp;"|"&amp;C2901)</f>
        <v/>
      </c>
    </row>
    <row r="2902" customFormat="false" ht="15" hidden="false" customHeight="false" outlineLevel="0" collapsed="false">
      <c r="A2902" s="82" t="str">
        <f aca="false">IF(C2902="","",ROW()-6)</f>
        <v/>
      </c>
      <c r="B2902" s="80"/>
      <c r="C2902" s="113"/>
      <c r="D2902" s="82" t="str">
        <f aca="false">IF(OR(C2902="",P2902=""),"",INDEX('CARNET DE SOUDURE'!$D$7:$D$3006,P2902)&amp;"")</f>
        <v/>
      </c>
      <c r="E2902" s="114" t="str">
        <f aca="false">IF(OR(C2902="",P2902=""),"",IF(INDEX('CARNET DE SOUDURE'!$U$7:$U$3006,P2902)="","",INDEX('CARNET DE SOUDURE'!$U$7:$U$3006,P2902)))</f>
        <v/>
      </c>
      <c r="F2902" s="82" t="str">
        <f aca="false">IF(OR(C2902="",P2902=""),"",INDEX('CARNET DE SOUDURE'!$AP$7:$AP$3006,P2902))</f>
        <v/>
      </c>
      <c r="G2902" s="82" t="str">
        <f aca="false">IF(C2902="","",IF(P2902="","NJ INCONNU",INDEX('CARNET DE SOUDURE'!$AQ$7:$AQ$3006,P2902)))</f>
        <v/>
      </c>
      <c r="H2902" s="82" t="str">
        <f aca="false">IF(C2902="","",IF(G2902="ACCEPTÉ","OUI","NON"))</f>
        <v/>
      </c>
      <c r="I2902" s="83"/>
      <c r="J2902" s="80"/>
      <c r="K2902" s="81"/>
      <c r="L2902" s="81"/>
      <c r="M2902" s="81"/>
      <c r="N2902" s="84" t="str">
        <f aca="false">IF(C2902="","",IF(P2902="","NJ INCONNU",IF(I2902="",IF(H2902="OUI","À ENROBER",IF(G2902="À SOUDER","NON SOUDÉ","EN ATTENTE RT")),IF(L2902="R","À REPRENDRE",IF(H2902&lt;&gt;"OUI","⚠ ENROBÉ AVANT ACCEPTATION RT","ENROBÉ")))))</f>
        <v/>
      </c>
      <c r="O2902" s="80"/>
      <c r="P2902" s="82" t="str">
        <f aca="false">IF(C2902="","",IFERROR(MATCH(Q2902,'CARNET DE SOUDURE'!$AW$7:$AW$3006,0),""))</f>
        <v/>
      </c>
      <c r="Q2902" s="82" t="str">
        <f aca="false">IF(C2902="","",B2902&amp;"|"&amp;C2902)</f>
        <v/>
      </c>
    </row>
    <row r="2903" customFormat="false" ht="15" hidden="false" customHeight="false" outlineLevel="0" collapsed="false">
      <c r="A2903" s="82" t="str">
        <f aca="false">IF(C2903="","",ROW()-6)</f>
        <v/>
      </c>
      <c r="B2903" s="80"/>
      <c r="C2903" s="113"/>
      <c r="D2903" s="82" t="str">
        <f aca="false">IF(OR(C2903="",P2903=""),"",INDEX('CARNET DE SOUDURE'!$D$7:$D$3006,P2903)&amp;"")</f>
        <v/>
      </c>
      <c r="E2903" s="114" t="str">
        <f aca="false">IF(OR(C2903="",P2903=""),"",IF(INDEX('CARNET DE SOUDURE'!$U$7:$U$3006,P2903)="","",INDEX('CARNET DE SOUDURE'!$U$7:$U$3006,P2903)))</f>
        <v/>
      </c>
      <c r="F2903" s="82" t="str">
        <f aca="false">IF(OR(C2903="",P2903=""),"",INDEX('CARNET DE SOUDURE'!$AP$7:$AP$3006,P2903))</f>
        <v/>
      </c>
      <c r="G2903" s="82" t="str">
        <f aca="false">IF(C2903="","",IF(P2903="","NJ INCONNU",INDEX('CARNET DE SOUDURE'!$AQ$7:$AQ$3006,P2903)))</f>
        <v/>
      </c>
      <c r="H2903" s="82" t="str">
        <f aca="false">IF(C2903="","",IF(G2903="ACCEPTÉ","OUI","NON"))</f>
        <v/>
      </c>
      <c r="I2903" s="83"/>
      <c r="J2903" s="80"/>
      <c r="K2903" s="81"/>
      <c r="L2903" s="81"/>
      <c r="M2903" s="81"/>
      <c r="N2903" s="84" t="str">
        <f aca="false">IF(C2903="","",IF(P2903="","NJ INCONNU",IF(I2903="",IF(H2903="OUI","À ENROBER",IF(G2903="À SOUDER","NON SOUDÉ","EN ATTENTE RT")),IF(L2903="R","À REPRENDRE",IF(H2903&lt;&gt;"OUI","⚠ ENROBÉ AVANT ACCEPTATION RT","ENROBÉ")))))</f>
        <v/>
      </c>
      <c r="O2903" s="80"/>
      <c r="P2903" s="82" t="str">
        <f aca="false">IF(C2903="","",IFERROR(MATCH(Q2903,'CARNET DE SOUDURE'!$AW$7:$AW$3006,0),""))</f>
        <v/>
      </c>
      <c r="Q2903" s="82" t="str">
        <f aca="false">IF(C2903="","",B2903&amp;"|"&amp;C2903)</f>
        <v/>
      </c>
    </row>
    <row r="2904" customFormat="false" ht="15" hidden="false" customHeight="false" outlineLevel="0" collapsed="false">
      <c r="A2904" s="82" t="str">
        <f aca="false">IF(C2904="","",ROW()-6)</f>
        <v/>
      </c>
      <c r="B2904" s="80"/>
      <c r="C2904" s="113"/>
      <c r="D2904" s="82" t="str">
        <f aca="false">IF(OR(C2904="",P2904=""),"",INDEX('CARNET DE SOUDURE'!$D$7:$D$3006,P2904)&amp;"")</f>
        <v/>
      </c>
      <c r="E2904" s="114" t="str">
        <f aca="false">IF(OR(C2904="",P2904=""),"",IF(INDEX('CARNET DE SOUDURE'!$U$7:$U$3006,P2904)="","",INDEX('CARNET DE SOUDURE'!$U$7:$U$3006,P2904)))</f>
        <v/>
      </c>
      <c r="F2904" s="82" t="str">
        <f aca="false">IF(OR(C2904="",P2904=""),"",INDEX('CARNET DE SOUDURE'!$AP$7:$AP$3006,P2904))</f>
        <v/>
      </c>
      <c r="G2904" s="82" t="str">
        <f aca="false">IF(C2904="","",IF(P2904="","NJ INCONNU",INDEX('CARNET DE SOUDURE'!$AQ$7:$AQ$3006,P2904)))</f>
        <v/>
      </c>
      <c r="H2904" s="82" t="str">
        <f aca="false">IF(C2904="","",IF(G2904="ACCEPTÉ","OUI","NON"))</f>
        <v/>
      </c>
      <c r="I2904" s="83"/>
      <c r="J2904" s="80"/>
      <c r="K2904" s="81"/>
      <c r="L2904" s="81"/>
      <c r="M2904" s="81"/>
      <c r="N2904" s="84" t="str">
        <f aca="false">IF(C2904="","",IF(P2904="","NJ INCONNU",IF(I2904="",IF(H2904="OUI","À ENROBER",IF(G2904="À SOUDER","NON SOUDÉ","EN ATTENTE RT")),IF(L2904="R","À REPRENDRE",IF(H2904&lt;&gt;"OUI","⚠ ENROBÉ AVANT ACCEPTATION RT","ENROBÉ")))))</f>
        <v/>
      </c>
      <c r="O2904" s="80"/>
      <c r="P2904" s="82" t="str">
        <f aca="false">IF(C2904="","",IFERROR(MATCH(Q2904,'CARNET DE SOUDURE'!$AW$7:$AW$3006,0),""))</f>
        <v/>
      </c>
      <c r="Q2904" s="82" t="str">
        <f aca="false">IF(C2904="","",B2904&amp;"|"&amp;C2904)</f>
        <v/>
      </c>
    </row>
    <row r="2905" customFormat="false" ht="15" hidden="false" customHeight="false" outlineLevel="0" collapsed="false">
      <c r="A2905" s="82" t="str">
        <f aca="false">IF(C2905="","",ROW()-6)</f>
        <v/>
      </c>
      <c r="B2905" s="80"/>
      <c r="C2905" s="113"/>
      <c r="D2905" s="82" t="str">
        <f aca="false">IF(OR(C2905="",P2905=""),"",INDEX('CARNET DE SOUDURE'!$D$7:$D$3006,P2905)&amp;"")</f>
        <v/>
      </c>
      <c r="E2905" s="114" t="str">
        <f aca="false">IF(OR(C2905="",P2905=""),"",IF(INDEX('CARNET DE SOUDURE'!$U$7:$U$3006,P2905)="","",INDEX('CARNET DE SOUDURE'!$U$7:$U$3006,P2905)))</f>
        <v/>
      </c>
      <c r="F2905" s="82" t="str">
        <f aca="false">IF(OR(C2905="",P2905=""),"",INDEX('CARNET DE SOUDURE'!$AP$7:$AP$3006,P2905))</f>
        <v/>
      </c>
      <c r="G2905" s="82" t="str">
        <f aca="false">IF(C2905="","",IF(P2905="","NJ INCONNU",INDEX('CARNET DE SOUDURE'!$AQ$7:$AQ$3006,P2905)))</f>
        <v/>
      </c>
      <c r="H2905" s="82" t="str">
        <f aca="false">IF(C2905="","",IF(G2905="ACCEPTÉ","OUI","NON"))</f>
        <v/>
      </c>
      <c r="I2905" s="83"/>
      <c r="J2905" s="80"/>
      <c r="K2905" s="81"/>
      <c r="L2905" s="81"/>
      <c r="M2905" s="81"/>
      <c r="N2905" s="84" t="str">
        <f aca="false">IF(C2905="","",IF(P2905="","NJ INCONNU",IF(I2905="",IF(H2905="OUI","À ENROBER",IF(G2905="À SOUDER","NON SOUDÉ","EN ATTENTE RT")),IF(L2905="R","À REPRENDRE",IF(H2905&lt;&gt;"OUI","⚠ ENROBÉ AVANT ACCEPTATION RT","ENROBÉ")))))</f>
        <v/>
      </c>
      <c r="O2905" s="80"/>
      <c r="P2905" s="82" t="str">
        <f aca="false">IF(C2905="","",IFERROR(MATCH(Q2905,'CARNET DE SOUDURE'!$AW$7:$AW$3006,0),""))</f>
        <v/>
      </c>
      <c r="Q2905" s="82" t="str">
        <f aca="false">IF(C2905="","",B2905&amp;"|"&amp;C2905)</f>
        <v/>
      </c>
    </row>
    <row r="2906" customFormat="false" ht="15" hidden="false" customHeight="false" outlineLevel="0" collapsed="false">
      <c r="A2906" s="82" t="str">
        <f aca="false">IF(C2906="","",ROW()-6)</f>
        <v/>
      </c>
      <c r="B2906" s="80"/>
      <c r="C2906" s="113"/>
      <c r="D2906" s="82" t="str">
        <f aca="false">IF(OR(C2906="",P2906=""),"",INDEX('CARNET DE SOUDURE'!$D$7:$D$3006,P2906)&amp;"")</f>
        <v/>
      </c>
      <c r="E2906" s="114" t="str">
        <f aca="false">IF(OR(C2906="",P2906=""),"",IF(INDEX('CARNET DE SOUDURE'!$U$7:$U$3006,P2906)="","",INDEX('CARNET DE SOUDURE'!$U$7:$U$3006,P2906)))</f>
        <v/>
      </c>
      <c r="F2906" s="82" t="str">
        <f aca="false">IF(OR(C2906="",P2906=""),"",INDEX('CARNET DE SOUDURE'!$AP$7:$AP$3006,P2906))</f>
        <v/>
      </c>
      <c r="G2906" s="82" t="str">
        <f aca="false">IF(C2906="","",IF(P2906="","NJ INCONNU",INDEX('CARNET DE SOUDURE'!$AQ$7:$AQ$3006,P2906)))</f>
        <v/>
      </c>
      <c r="H2906" s="82" t="str">
        <f aca="false">IF(C2906="","",IF(G2906="ACCEPTÉ","OUI","NON"))</f>
        <v/>
      </c>
      <c r="I2906" s="83"/>
      <c r="J2906" s="80"/>
      <c r="K2906" s="81"/>
      <c r="L2906" s="81"/>
      <c r="M2906" s="81"/>
      <c r="N2906" s="84" t="str">
        <f aca="false">IF(C2906="","",IF(P2906="","NJ INCONNU",IF(I2906="",IF(H2906="OUI","À ENROBER",IF(G2906="À SOUDER","NON SOUDÉ","EN ATTENTE RT")),IF(L2906="R","À REPRENDRE",IF(H2906&lt;&gt;"OUI","⚠ ENROBÉ AVANT ACCEPTATION RT","ENROBÉ")))))</f>
        <v/>
      </c>
      <c r="O2906" s="80"/>
      <c r="P2906" s="82" t="str">
        <f aca="false">IF(C2906="","",IFERROR(MATCH(Q2906,'CARNET DE SOUDURE'!$AW$7:$AW$3006,0),""))</f>
        <v/>
      </c>
      <c r="Q2906" s="82" t="str">
        <f aca="false">IF(C2906="","",B2906&amp;"|"&amp;C2906)</f>
        <v/>
      </c>
    </row>
    <row r="2907" customFormat="false" ht="15" hidden="false" customHeight="false" outlineLevel="0" collapsed="false">
      <c r="A2907" s="82" t="str">
        <f aca="false">IF(C2907="","",ROW()-6)</f>
        <v/>
      </c>
      <c r="B2907" s="80"/>
      <c r="C2907" s="113"/>
      <c r="D2907" s="82" t="str">
        <f aca="false">IF(OR(C2907="",P2907=""),"",INDEX('CARNET DE SOUDURE'!$D$7:$D$3006,P2907)&amp;"")</f>
        <v/>
      </c>
      <c r="E2907" s="114" t="str">
        <f aca="false">IF(OR(C2907="",P2907=""),"",IF(INDEX('CARNET DE SOUDURE'!$U$7:$U$3006,P2907)="","",INDEX('CARNET DE SOUDURE'!$U$7:$U$3006,P2907)))</f>
        <v/>
      </c>
      <c r="F2907" s="82" t="str">
        <f aca="false">IF(OR(C2907="",P2907=""),"",INDEX('CARNET DE SOUDURE'!$AP$7:$AP$3006,P2907))</f>
        <v/>
      </c>
      <c r="G2907" s="82" t="str">
        <f aca="false">IF(C2907="","",IF(P2907="","NJ INCONNU",INDEX('CARNET DE SOUDURE'!$AQ$7:$AQ$3006,P2907)))</f>
        <v/>
      </c>
      <c r="H2907" s="82" t="str">
        <f aca="false">IF(C2907="","",IF(G2907="ACCEPTÉ","OUI","NON"))</f>
        <v/>
      </c>
      <c r="I2907" s="83"/>
      <c r="J2907" s="80"/>
      <c r="K2907" s="81"/>
      <c r="L2907" s="81"/>
      <c r="M2907" s="81"/>
      <c r="N2907" s="84" t="str">
        <f aca="false">IF(C2907="","",IF(P2907="","NJ INCONNU",IF(I2907="",IF(H2907="OUI","À ENROBER",IF(G2907="À SOUDER","NON SOUDÉ","EN ATTENTE RT")),IF(L2907="R","À REPRENDRE",IF(H2907&lt;&gt;"OUI","⚠ ENROBÉ AVANT ACCEPTATION RT","ENROBÉ")))))</f>
        <v/>
      </c>
      <c r="O2907" s="80"/>
      <c r="P2907" s="82" t="str">
        <f aca="false">IF(C2907="","",IFERROR(MATCH(Q2907,'CARNET DE SOUDURE'!$AW$7:$AW$3006,0),""))</f>
        <v/>
      </c>
      <c r="Q2907" s="82" t="str">
        <f aca="false">IF(C2907="","",B2907&amp;"|"&amp;C2907)</f>
        <v/>
      </c>
    </row>
    <row r="2908" customFormat="false" ht="15" hidden="false" customHeight="false" outlineLevel="0" collapsed="false">
      <c r="A2908" s="82" t="str">
        <f aca="false">IF(C2908="","",ROW()-6)</f>
        <v/>
      </c>
      <c r="B2908" s="80"/>
      <c r="C2908" s="113"/>
      <c r="D2908" s="82" t="str">
        <f aca="false">IF(OR(C2908="",P2908=""),"",INDEX('CARNET DE SOUDURE'!$D$7:$D$3006,P2908)&amp;"")</f>
        <v/>
      </c>
      <c r="E2908" s="114" t="str">
        <f aca="false">IF(OR(C2908="",P2908=""),"",IF(INDEX('CARNET DE SOUDURE'!$U$7:$U$3006,P2908)="","",INDEX('CARNET DE SOUDURE'!$U$7:$U$3006,P2908)))</f>
        <v/>
      </c>
      <c r="F2908" s="82" t="str">
        <f aca="false">IF(OR(C2908="",P2908=""),"",INDEX('CARNET DE SOUDURE'!$AP$7:$AP$3006,P2908))</f>
        <v/>
      </c>
      <c r="G2908" s="82" t="str">
        <f aca="false">IF(C2908="","",IF(P2908="","NJ INCONNU",INDEX('CARNET DE SOUDURE'!$AQ$7:$AQ$3006,P2908)))</f>
        <v/>
      </c>
      <c r="H2908" s="82" t="str">
        <f aca="false">IF(C2908="","",IF(G2908="ACCEPTÉ","OUI","NON"))</f>
        <v/>
      </c>
      <c r="I2908" s="83"/>
      <c r="J2908" s="80"/>
      <c r="K2908" s="81"/>
      <c r="L2908" s="81"/>
      <c r="M2908" s="81"/>
      <c r="N2908" s="84" t="str">
        <f aca="false">IF(C2908="","",IF(P2908="","NJ INCONNU",IF(I2908="",IF(H2908="OUI","À ENROBER",IF(G2908="À SOUDER","NON SOUDÉ","EN ATTENTE RT")),IF(L2908="R","À REPRENDRE",IF(H2908&lt;&gt;"OUI","⚠ ENROBÉ AVANT ACCEPTATION RT","ENROBÉ")))))</f>
        <v/>
      </c>
      <c r="O2908" s="80"/>
      <c r="P2908" s="82" t="str">
        <f aca="false">IF(C2908="","",IFERROR(MATCH(Q2908,'CARNET DE SOUDURE'!$AW$7:$AW$3006,0),""))</f>
        <v/>
      </c>
      <c r="Q2908" s="82" t="str">
        <f aca="false">IF(C2908="","",B2908&amp;"|"&amp;C2908)</f>
        <v/>
      </c>
    </row>
    <row r="2909" customFormat="false" ht="15" hidden="false" customHeight="false" outlineLevel="0" collapsed="false">
      <c r="A2909" s="82" t="str">
        <f aca="false">IF(C2909="","",ROW()-6)</f>
        <v/>
      </c>
      <c r="B2909" s="80"/>
      <c r="C2909" s="113"/>
      <c r="D2909" s="82" t="str">
        <f aca="false">IF(OR(C2909="",P2909=""),"",INDEX('CARNET DE SOUDURE'!$D$7:$D$3006,P2909)&amp;"")</f>
        <v/>
      </c>
      <c r="E2909" s="114" t="str">
        <f aca="false">IF(OR(C2909="",P2909=""),"",IF(INDEX('CARNET DE SOUDURE'!$U$7:$U$3006,P2909)="","",INDEX('CARNET DE SOUDURE'!$U$7:$U$3006,P2909)))</f>
        <v/>
      </c>
      <c r="F2909" s="82" t="str">
        <f aca="false">IF(OR(C2909="",P2909=""),"",INDEX('CARNET DE SOUDURE'!$AP$7:$AP$3006,P2909))</f>
        <v/>
      </c>
      <c r="G2909" s="82" t="str">
        <f aca="false">IF(C2909="","",IF(P2909="","NJ INCONNU",INDEX('CARNET DE SOUDURE'!$AQ$7:$AQ$3006,P2909)))</f>
        <v/>
      </c>
      <c r="H2909" s="82" t="str">
        <f aca="false">IF(C2909="","",IF(G2909="ACCEPTÉ","OUI","NON"))</f>
        <v/>
      </c>
      <c r="I2909" s="83"/>
      <c r="J2909" s="80"/>
      <c r="K2909" s="81"/>
      <c r="L2909" s="81"/>
      <c r="M2909" s="81"/>
      <c r="N2909" s="84" t="str">
        <f aca="false">IF(C2909="","",IF(P2909="","NJ INCONNU",IF(I2909="",IF(H2909="OUI","À ENROBER",IF(G2909="À SOUDER","NON SOUDÉ","EN ATTENTE RT")),IF(L2909="R","À REPRENDRE",IF(H2909&lt;&gt;"OUI","⚠ ENROBÉ AVANT ACCEPTATION RT","ENROBÉ")))))</f>
        <v/>
      </c>
      <c r="O2909" s="80"/>
      <c r="P2909" s="82" t="str">
        <f aca="false">IF(C2909="","",IFERROR(MATCH(Q2909,'CARNET DE SOUDURE'!$AW$7:$AW$3006,0),""))</f>
        <v/>
      </c>
      <c r="Q2909" s="82" t="str">
        <f aca="false">IF(C2909="","",B2909&amp;"|"&amp;C2909)</f>
        <v/>
      </c>
    </row>
    <row r="2910" customFormat="false" ht="15" hidden="false" customHeight="false" outlineLevel="0" collapsed="false">
      <c r="A2910" s="82" t="str">
        <f aca="false">IF(C2910="","",ROW()-6)</f>
        <v/>
      </c>
      <c r="B2910" s="80"/>
      <c r="C2910" s="113"/>
      <c r="D2910" s="82" t="str">
        <f aca="false">IF(OR(C2910="",P2910=""),"",INDEX('CARNET DE SOUDURE'!$D$7:$D$3006,P2910)&amp;"")</f>
        <v/>
      </c>
      <c r="E2910" s="114" t="str">
        <f aca="false">IF(OR(C2910="",P2910=""),"",IF(INDEX('CARNET DE SOUDURE'!$U$7:$U$3006,P2910)="","",INDEX('CARNET DE SOUDURE'!$U$7:$U$3006,P2910)))</f>
        <v/>
      </c>
      <c r="F2910" s="82" t="str">
        <f aca="false">IF(OR(C2910="",P2910=""),"",INDEX('CARNET DE SOUDURE'!$AP$7:$AP$3006,P2910))</f>
        <v/>
      </c>
      <c r="G2910" s="82" t="str">
        <f aca="false">IF(C2910="","",IF(P2910="","NJ INCONNU",INDEX('CARNET DE SOUDURE'!$AQ$7:$AQ$3006,P2910)))</f>
        <v/>
      </c>
      <c r="H2910" s="82" t="str">
        <f aca="false">IF(C2910="","",IF(G2910="ACCEPTÉ","OUI","NON"))</f>
        <v/>
      </c>
      <c r="I2910" s="83"/>
      <c r="J2910" s="80"/>
      <c r="K2910" s="81"/>
      <c r="L2910" s="81"/>
      <c r="M2910" s="81"/>
      <c r="N2910" s="84" t="str">
        <f aca="false">IF(C2910="","",IF(P2910="","NJ INCONNU",IF(I2910="",IF(H2910="OUI","À ENROBER",IF(G2910="À SOUDER","NON SOUDÉ","EN ATTENTE RT")),IF(L2910="R","À REPRENDRE",IF(H2910&lt;&gt;"OUI","⚠ ENROBÉ AVANT ACCEPTATION RT","ENROBÉ")))))</f>
        <v/>
      </c>
      <c r="O2910" s="80"/>
      <c r="P2910" s="82" t="str">
        <f aca="false">IF(C2910="","",IFERROR(MATCH(Q2910,'CARNET DE SOUDURE'!$AW$7:$AW$3006,0),""))</f>
        <v/>
      </c>
      <c r="Q2910" s="82" t="str">
        <f aca="false">IF(C2910="","",B2910&amp;"|"&amp;C2910)</f>
        <v/>
      </c>
    </row>
    <row r="2911" customFormat="false" ht="15" hidden="false" customHeight="false" outlineLevel="0" collapsed="false">
      <c r="A2911" s="82" t="str">
        <f aca="false">IF(C2911="","",ROW()-6)</f>
        <v/>
      </c>
      <c r="B2911" s="80"/>
      <c r="C2911" s="113"/>
      <c r="D2911" s="82" t="str">
        <f aca="false">IF(OR(C2911="",P2911=""),"",INDEX('CARNET DE SOUDURE'!$D$7:$D$3006,P2911)&amp;"")</f>
        <v/>
      </c>
      <c r="E2911" s="114" t="str">
        <f aca="false">IF(OR(C2911="",P2911=""),"",IF(INDEX('CARNET DE SOUDURE'!$U$7:$U$3006,P2911)="","",INDEX('CARNET DE SOUDURE'!$U$7:$U$3006,P2911)))</f>
        <v/>
      </c>
      <c r="F2911" s="82" t="str">
        <f aca="false">IF(OR(C2911="",P2911=""),"",INDEX('CARNET DE SOUDURE'!$AP$7:$AP$3006,P2911))</f>
        <v/>
      </c>
      <c r="G2911" s="82" t="str">
        <f aca="false">IF(C2911="","",IF(P2911="","NJ INCONNU",INDEX('CARNET DE SOUDURE'!$AQ$7:$AQ$3006,P2911)))</f>
        <v/>
      </c>
      <c r="H2911" s="82" t="str">
        <f aca="false">IF(C2911="","",IF(G2911="ACCEPTÉ","OUI","NON"))</f>
        <v/>
      </c>
      <c r="I2911" s="83"/>
      <c r="J2911" s="80"/>
      <c r="K2911" s="81"/>
      <c r="L2911" s="81"/>
      <c r="M2911" s="81"/>
      <c r="N2911" s="84" t="str">
        <f aca="false">IF(C2911="","",IF(P2911="","NJ INCONNU",IF(I2911="",IF(H2911="OUI","À ENROBER",IF(G2911="À SOUDER","NON SOUDÉ","EN ATTENTE RT")),IF(L2911="R","À REPRENDRE",IF(H2911&lt;&gt;"OUI","⚠ ENROBÉ AVANT ACCEPTATION RT","ENROBÉ")))))</f>
        <v/>
      </c>
      <c r="O2911" s="80"/>
      <c r="P2911" s="82" t="str">
        <f aca="false">IF(C2911="","",IFERROR(MATCH(Q2911,'CARNET DE SOUDURE'!$AW$7:$AW$3006,0),""))</f>
        <v/>
      </c>
      <c r="Q2911" s="82" t="str">
        <f aca="false">IF(C2911="","",B2911&amp;"|"&amp;C2911)</f>
        <v/>
      </c>
    </row>
    <row r="2912" customFormat="false" ht="15" hidden="false" customHeight="false" outlineLevel="0" collapsed="false">
      <c r="A2912" s="82" t="str">
        <f aca="false">IF(C2912="","",ROW()-6)</f>
        <v/>
      </c>
      <c r="B2912" s="80"/>
      <c r="C2912" s="113"/>
      <c r="D2912" s="82" t="str">
        <f aca="false">IF(OR(C2912="",P2912=""),"",INDEX('CARNET DE SOUDURE'!$D$7:$D$3006,P2912)&amp;"")</f>
        <v/>
      </c>
      <c r="E2912" s="114" t="str">
        <f aca="false">IF(OR(C2912="",P2912=""),"",IF(INDEX('CARNET DE SOUDURE'!$U$7:$U$3006,P2912)="","",INDEX('CARNET DE SOUDURE'!$U$7:$U$3006,P2912)))</f>
        <v/>
      </c>
      <c r="F2912" s="82" t="str">
        <f aca="false">IF(OR(C2912="",P2912=""),"",INDEX('CARNET DE SOUDURE'!$AP$7:$AP$3006,P2912))</f>
        <v/>
      </c>
      <c r="G2912" s="82" t="str">
        <f aca="false">IF(C2912="","",IF(P2912="","NJ INCONNU",INDEX('CARNET DE SOUDURE'!$AQ$7:$AQ$3006,P2912)))</f>
        <v/>
      </c>
      <c r="H2912" s="82" t="str">
        <f aca="false">IF(C2912="","",IF(G2912="ACCEPTÉ","OUI","NON"))</f>
        <v/>
      </c>
      <c r="I2912" s="83"/>
      <c r="J2912" s="80"/>
      <c r="K2912" s="81"/>
      <c r="L2912" s="81"/>
      <c r="M2912" s="81"/>
      <c r="N2912" s="84" t="str">
        <f aca="false">IF(C2912="","",IF(P2912="","NJ INCONNU",IF(I2912="",IF(H2912="OUI","À ENROBER",IF(G2912="À SOUDER","NON SOUDÉ","EN ATTENTE RT")),IF(L2912="R","À REPRENDRE",IF(H2912&lt;&gt;"OUI","⚠ ENROBÉ AVANT ACCEPTATION RT","ENROBÉ")))))</f>
        <v/>
      </c>
      <c r="O2912" s="80"/>
      <c r="P2912" s="82" t="str">
        <f aca="false">IF(C2912="","",IFERROR(MATCH(Q2912,'CARNET DE SOUDURE'!$AW$7:$AW$3006,0),""))</f>
        <v/>
      </c>
      <c r="Q2912" s="82" t="str">
        <f aca="false">IF(C2912="","",B2912&amp;"|"&amp;C2912)</f>
        <v/>
      </c>
    </row>
    <row r="2913" customFormat="false" ht="15" hidden="false" customHeight="false" outlineLevel="0" collapsed="false">
      <c r="A2913" s="82" t="str">
        <f aca="false">IF(C2913="","",ROW()-6)</f>
        <v/>
      </c>
      <c r="B2913" s="80"/>
      <c r="C2913" s="113"/>
      <c r="D2913" s="82" t="str">
        <f aca="false">IF(OR(C2913="",P2913=""),"",INDEX('CARNET DE SOUDURE'!$D$7:$D$3006,P2913)&amp;"")</f>
        <v/>
      </c>
      <c r="E2913" s="114" t="str">
        <f aca="false">IF(OR(C2913="",P2913=""),"",IF(INDEX('CARNET DE SOUDURE'!$U$7:$U$3006,P2913)="","",INDEX('CARNET DE SOUDURE'!$U$7:$U$3006,P2913)))</f>
        <v/>
      </c>
      <c r="F2913" s="82" t="str">
        <f aca="false">IF(OR(C2913="",P2913=""),"",INDEX('CARNET DE SOUDURE'!$AP$7:$AP$3006,P2913))</f>
        <v/>
      </c>
      <c r="G2913" s="82" t="str">
        <f aca="false">IF(C2913="","",IF(P2913="","NJ INCONNU",INDEX('CARNET DE SOUDURE'!$AQ$7:$AQ$3006,P2913)))</f>
        <v/>
      </c>
      <c r="H2913" s="82" t="str">
        <f aca="false">IF(C2913="","",IF(G2913="ACCEPTÉ","OUI","NON"))</f>
        <v/>
      </c>
      <c r="I2913" s="83"/>
      <c r="J2913" s="80"/>
      <c r="K2913" s="81"/>
      <c r="L2913" s="81"/>
      <c r="M2913" s="81"/>
      <c r="N2913" s="84" t="str">
        <f aca="false">IF(C2913="","",IF(P2913="","NJ INCONNU",IF(I2913="",IF(H2913="OUI","À ENROBER",IF(G2913="À SOUDER","NON SOUDÉ","EN ATTENTE RT")),IF(L2913="R","À REPRENDRE",IF(H2913&lt;&gt;"OUI","⚠ ENROBÉ AVANT ACCEPTATION RT","ENROBÉ")))))</f>
        <v/>
      </c>
      <c r="O2913" s="80"/>
      <c r="P2913" s="82" t="str">
        <f aca="false">IF(C2913="","",IFERROR(MATCH(Q2913,'CARNET DE SOUDURE'!$AW$7:$AW$3006,0),""))</f>
        <v/>
      </c>
      <c r="Q2913" s="82" t="str">
        <f aca="false">IF(C2913="","",B2913&amp;"|"&amp;C2913)</f>
        <v/>
      </c>
    </row>
    <row r="2914" customFormat="false" ht="15" hidden="false" customHeight="false" outlineLevel="0" collapsed="false">
      <c r="A2914" s="82" t="str">
        <f aca="false">IF(C2914="","",ROW()-6)</f>
        <v/>
      </c>
      <c r="B2914" s="80"/>
      <c r="C2914" s="113"/>
      <c r="D2914" s="82" t="str">
        <f aca="false">IF(OR(C2914="",P2914=""),"",INDEX('CARNET DE SOUDURE'!$D$7:$D$3006,P2914)&amp;"")</f>
        <v/>
      </c>
      <c r="E2914" s="114" t="str">
        <f aca="false">IF(OR(C2914="",P2914=""),"",IF(INDEX('CARNET DE SOUDURE'!$U$7:$U$3006,P2914)="","",INDEX('CARNET DE SOUDURE'!$U$7:$U$3006,P2914)))</f>
        <v/>
      </c>
      <c r="F2914" s="82" t="str">
        <f aca="false">IF(OR(C2914="",P2914=""),"",INDEX('CARNET DE SOUDURE'!$AP$7:$AP$3006,P2914))</f>
        <v/>
      </c>
      <c r="G2914" s="82" t="str">
        <f aca="false">IF(C2914="","",IF(P2914="","NJ INCONNU",INDEX('CARNET DE SOUDURE'!$AQ$7:$AQ$3006,P2914)))</f>
        <v/>
      </c>
      <c r="H2914" s="82" t="str">
        <f aca="false">IF(C2914="","",IF(G2914="ACCEPTÉ","OUI","NON"))</f>
        <v/>
      </c>
      <c r="I2914" s="83"/>
      <c r="J2914" s="80"/>
      <c r="K2914" s="81"/>
      <c r="L2914" s="81"/>
      <c r="M2914" s="81"/>
      <c r="N2914" s="84" t="str">
        <f aca="false">IF(C2914="","",IF(P2914="","NJ INCONNU",IF(I2914="",IF(H2914="OUI","À ENROBER",IF(G2914="À SOUDER","NON SOUDÉ","EN ATTENTE RT")),IF(L2914="R","À REPRENDRE",IF(H2914&lt;&gt;"OUI","⚠ ENROBÉ AVANT ACCEPTATION RT","ENROBÉ")))))</f>
        <v/>
      </c>
      <c r="O2914" s="80"/>
      <c r="P2914" s="82" t="str">
        <f aca="false">IF(C2914="","",IFERROR(MATCH(Q2914,'CARNET DE SOUDURE'!$AW$7:$AW$3006,0),""))</f>
        <v/>
      </c>
      <c r="Q2914" s="82" t="str">
        <f aca="false">IF(C2914="","",B2914&amp;"|"&amp;C2914)</f>
        <v/>
      </c>
    </row>
    <row r="2915" customFormat="false" ht="15" hidden="false" customHeight="false" outlineLevel="0" collapsed="false">
      <c r="A2915" s="82" t="str">
        <f aca="false">IF(C2915="","",ROW()-6)</f>
        <v/>
      </c>
      <c r="B2915" s="80"/>
      <c r="C2915" s="113"/>
      <c r="D2915" s="82" t="str">
        <f aca="false">IF(OR(C2915="",P2915=""),"",INDEX('CARNET DE SOUDURE'!$D$7:$D$3006,P2915)&amp;"")</f>
        <v/>
      </c>
      <c r="E2915" s="114" t="str">
        <f aca="false">IF(OR(C2915="",P2915=""),"",IF(INDEX('CARNET DE SOUDURE'!$U$7:$U$3006,P2915)="","",INDEX('CARNET DE SOUDURE'!$U$7:$U$3006,P2915)))</f>
        <v/>
      </c>
      <c r="F2915" s="82" t="str">
        <f aca="false">IF(OR(C2915="",P2915=""),"",INDEX('CARNET DE SOUDURE'!$AP$7:$AP$3006,P2915))</f>
        <v/>
      </c>
      <c r="G2915" s="82" t="str">
        <f aca="false">IF(C2915="","",IF(P2915="","NJ INCONNU",INDEX('CARNET DE SOUDURE'!$AQ$7:$AQ$3006,P2915)))</f>
        <v/>
      </c>
      <c r="H2915" s="82" t="str">
        <f aca="false">IF(C2915="","",IF(G2915="ACCEPTÉ","OUI","NON"))</f>
        <v/>
      </c>
      <c r="I2915" s="83"/>
      <c r="J2915" s="80"/>
      <c r="K2915" s="81"/>
      <c r="L2915" s="81"/>
      <c r="M2915" s="81"/>
      <c r="N2915" s="84" t="str">
        <f aca="false">IF(C2915="","",IF(P2915="","NJ INCONNU",IF(I2915="",IF(H2915="OUI","À ENROBER",IF(G2915="À SOUDER","NON SOUDÉ","EN ATTENTE RT")),IF(L2915="R","À REPRENDRE",IF(H2915&lt;&gt;"OUI","⚠ ENROBÉ AVANT ACCEPTATION RT","ENROBÉ")))))</f>
        <v/>
      </c>
      <c r="O2915" s="80"/>
      <c r="P2915" s="82" t="str">
        <f aca="false">IF(C2915="","",IFERROR(MATCH(Q2915,'CARNET DE SOUDURE'!$AW$7:$AW$3006,0),""))</f>
        <v/>
      </c>
      <c r="Q2915" s="82" t="str">
        <f aca="false">IF(C2915="","",B2915&amp;"|"&amp;C2915)</f>
        <v/>
      </c>
    </row>
    <row r="2916" customFormat="false" ht="15" hidden="false" customHeight="false" outlineLevel="0" collapsed="false">
      <c r="A2916" s="82" t="str">
        <f aca="false">IF(C2916="","",ROW()-6)</f>
        <v/>
      </c>
      <c r="B2916" s="80"/>
      <c r="C2916" s="113"/>
      <c r="D2916" s="82" t="str">
        <f aca="false">IF(OR(C2916="",P2916=""),"",INDEX('CARNET DE SOUDURE'!$D$7:$D$3006,P2916)&amp;"")</f>
        <v/>
      </c>
      <c r="E2916" s="114" t="str">
        <f aca="false">IF(OR(C2916="",P2916=""),"",IF(INDEX('CARNET DE SOUDURE'!$U$7:$U$3006,P2916)="","",INDEX('CARNET DE SOUDURE'!$U$7:$U$3006,P2916)))</f>
        <v/>
      </c>
      <c r="F2916" s="82" t="str">
        <f aca="false">IF(OR(C2916="",P2916=""),"",INDEX('CARNET DE SOUDURE'!$AP$7:$AP$3006,P2916))</f>
        <v/>
      </c>
      <c r="G2916" s="82" t="str">
        <f aca="false">IF(C2916="","",IF(P2916="","NJ INCONNU",INDEX('CARNET DE SOUDURE'!$AQ$7:$AQ$3006,P2916)))</f>
        <v/>
      </c>
      <c r="H2916" s="82" t="str">
        <f aca="false">IF(C2916="","",IF(G2916="ACCEPTÉ","OUI","NON"))</f>
        <v/>
      </c>
      <c r="I2916" s="83"/>
      <c r="J2916" s="80"/>
      <c r="K2916" s="81"/>
      <c r="L2916" s="81"/>
      <c r="M2916" s="81"/>
      <c r="N2916" s="84" t="str">
        <f aca="false">IF(C2916="","",IF(P2916="","NJ INCONNU",IF(I2916="",IF(H2916="OUI","À ENROBER",IF(G2916="À SOUDER","NON SOUDÉ","EN ATTENTE RT")),IF(L2916="R","À REPRENDRE",IF(H2916&lt;&gt;"OUI","⚠ ENROBÉ AVANT ACCEPTATION RT","ENROBÉ")))))</f>
        <v/>
      </c>
      <c r="O2916" s="80"/>
      <c r="P2916" s="82" t="str">
        <f aca="false">IF(C2916="","",IFERROR(MATCH(Q2916,'CARNET DE SOUDURE'!$AW$7:$AW$3006,0),""))</f>
        <v/>
      </c>
      <c r="Q2916" s="82" t="str">
        <f aca="false">IF(C2916="","",B2916&amp;"|"&amp;C2916)</f>
        <v/>
      </c>
    </row>
    <row r="2917" customFormat="false" ht="15" hidden="false" customHeight="false" outlineLevel="0" collapsed="false">
      <c r="A2917" s="82" t="str">
        <f aca="false">IF(C2917="","",ROW()-6)</f>
        <v/>
      </c>
      <c r="B2917" s="80"/>
      <c r="C2917" s="113"/>
      <c r="D2917" s="82" t="str">
        <f aca="false">IF(OR(C2917="",P2917=""),"",INDEX('CARNET DE SOUDURE'!$D$7:$D$3006,P2917)&amp;"")</f>
        <v/>
      </c>
      <c r="E2917" s="114" t="str">
        <f aca="false">IF(OR(C2917="",P2917=""),"",IF(INDEX('CARNET DE SOUDURE'!$U$7:$U$3006,P2917)="","",INDEX('CARNET DE SOUDURE'!$U$7:$U$3006,P2917)))</f>
        <v/>
      </c>
      <c r="F2917" s="82" t="str">
        <f aca="false">IF(OR(C2917="",P2917=""),"",INDEX('CARNET DE SOUDURE'!$AP$7:$AP$3006,P2917))</f>
        <v/>
      </c>
      <c r="G2917" s="82" t="str">
        <f aca="false">IF(C2917="","",IF(P2917="","NJ INCONNU",INDEX('CARNET DE SOUDURE'!$AQ$7:$AQ$3006,P2917)))</f>
        <v/>
      </c>
      <c r="H2917" s="82" t="str">
        <f aca="false">IF(C2917="","",IF(G2917="ACCEPTÉ","OUI","NON"))</f>
        <v/>
      </c>
      <c r="I2917" s="83"/>
      <c r="J2917" s="80"/>
      <c r="K2917" s="81"/>
      <c r="L2917" s="81"/>
      <c r="M2917" s="81"/>
      <c r="N2917" s="84" t="str">
        <f aca="false">IF(C2917="","",IF(P2917="","NJ INCONNU",IF(I2917="",IF(H2917="OUI","À ENROBER",IF(G2917="À SOUDER","NON SOUDÉ","EN ATTENTE RT")),IF(L2917="R","À REPRENDRE",IF(H2917&lt;&gt;"OUI","⚠ ENROBÉ AVANT ACCEPTATION RT","ENROBÉ")))))</f>
        <v/>
      </c>
      <c r="O2917" s="80"/>
      <c r="P2917" s="82" t="str">
        <f aca="false">IF(C2917="","",IFERROR(MATCH(Q2917,'CARNET DE SOUDURE'!$AW$7:$AW$3006,0),""))</f>
        <v/>
      </c>
      <c r="Q2917" s="82" t="str">
        <f aca="false">IF(C2917="","",B2917&amp;"|"&amp;C2917)</f>
        <v/>
      </c>
    </row>
    <row r="2918" customFormat="false" ht="15" hidden="false" customHeight="false" outlineLevel="0" collapsed="false">
      <c r="A2918" s="82" t="str">
        <f aca="false">IF(C2918="","",ROW()-6)</f>
        <v/>
      </c>
      <c r="B2918" s="80"/>
      <c r="C2918" s="113"/>
      <c r="D2918" s="82" t="str">
        <f aca="false">IF(OR(C2918="",P2918=""),"",INDEX('CARNET DE SOUDURE'!$D$7:$D$3006,P2918)&amp;"")</f>
        <v/>
      </c>
      <c r="E2918" s="114" t="str">
        <f aca="false">IF(OR(C2918="",P2918=""),"",IF(INDEX('CARNET DE SOUDURE'!$U$7:$U$3006,P2918)="","",INDEX('CARNET DE SOUDURE'!$U$7:$U$3006,P2918)))</f>
        <v/>
      </c>
      <c r="F2918" s="82" t="str">
        <f aca="false">IF(OR(C2918="",P2918=""),"",INDEX('CARNET DE SOUDURE'!$AP$7:$AP$3006,P2918))</f>
        <v/>
      </c>
      <c r="G2918" s="82" t="str">
        <f aca="false">IF(C2918="","",IF(P2918="","NJ INCONNU",INDEX('CARNET DE SOUDURE'!$AQ$7:$AQ$3006,P2918)))</f>
        <v/>
      </c>
      <c r="H2918" s="82" t="str">
        <f aca="false">IF(C2918="","",IF(G2918="ACCEPTÉ","OUI","NON"))</f>
        <v/>
      </c>
      <c r="I2918" s="83"/>
      <c r="J2918" s="80"/>
      <c r="K2918" s="81"/>
      <c r="L2918" s="81"/>
      <c r="M2918" s="81"/>
      <c r="N2918" s="84" t="str">
        <f aca="false">IF(C2918="","",IF(P2918="","NJ INCONNU",IF(I2918="",IF(H2918="OUI","À ENROBER",IF(G2918="À SOUDER","NON SOUDÉ","EN ATTENTE RT")),IF(L2918="R","À REPRENDRE",IF(H2918&lt;&gt;"OUI","⚠ ENROBÉ AVANT ACCEPTATION RT","ENROBÉ")))))</f>
        <v/>
      </c>
      <c r="O2918" s="80"/>
      <c r="P2918" s="82" t="str">
        <f aca="false">IF(C2918="","",IFERROR(MATCH(Q2918,'CARNET DE SOUDURE'!$AW$7:$AW$3006,0),""))</f>
        <v/>
      </c>
      <c r="Q2918" s="82" t="str">
        <f aca="false">IF(C2918="","",B2918&amp;"|"&amp;C2918)</f>
        <v/>
      </c>
    </row>
    <row r="2919" customFormat="false" ht="15" hidden="false" customHeight="false" outlineLevel="0" collapsed="false">
      <c r="A2919" s="82" t="str">
        <f aca="false">IF(C2919="","",ROW()-6)</f>
        <v/>
      </c>
      <c r="B2919" s="80"/>
      <c r="C2919" s="113"/>
      <c r="D2919" s="82" t="str">
        <f aca="false">IF(OR(C2919="",P2919=""),"",INDEX('CARNET DE SOUDURE'!$D$7:$D$3006,P2919)&amp;"")</f>
        <v/>
      </c>
      <c r="E2919" s="114" t="str">
        <f aca="false">IF(OR(C2919="",P2919=""),"",IF(INDEX('CARNET DE SOUDURE'!$U$7:$U$3006,P2919)="","",INDEX('CARNET DE SOUDURE'!$U$7:$U$3006,P2919)))</f>
        <v/>
      </c>
      <c r="F2919" s="82" t="str">
        <f aca="false">IF(OR(C2919="",P2919=""),"",INDEX('CARNET DE SOUDURE'!$AP$7:$AP$3006,P2919))</f>
        <v/>
      </c>
      <c r="G2919" s="82" t="str">
        <f aca="false">IF(C2919="","",IF(P2919="","NJ INCONNU",INDEX('CARNET DE SOUDURE'!$AQ$7:$AQ$3006,P2919)))</f>
        <v/>
      </c>
      <c r="H2919" s="82" t="str">
        <f aca="false">IF(C2919="","",IF(G2919="ACCEPTÉ","OUI","NON"))</f>
        <v/>
      </c>
      <c r="I2919" s="83"/>
      <c r="J2919" s="80"/>
      <c r="K2919" s="81"/>
      <c r="L2919" s="81"/>
      <c r="M2919" s="81"/>
      <c r="N2919" s="84" t="str">
        <f aca="false">IF(C2919="","",IF(P2919="","NJ INCONNU",IF(I2919="",IF(H2919="OUI","À ENROBER",IF(G2919="À SOUDER","NON SOUDÉ","EN ATTENTE RT")),IF(L2919="R","À REPRENDRE",IF(H2919&lt;&gt;"OUI","⚠ ENROBÉ AVANT ACCEPTATION RT","ENROBÉ")))))</f>
        <v/>
      </c>
      <c r="O2919" s="80"/>
      <c r="P2919" s="82" t="str">
        <f aca="false">IF(C2919="","",IFERROR(MATCH(Q2919,'CARNET DE SOUDURE'!$AW$7:$AW$3006,0),""))</f>
        <v/>
      </c>
      <c r="Q2919" s="82" t="str">
        <f aca="false">IF(C2919="","",B2919&amp;"|"&amp;C2919)</f>
        <v/>
      </c>
    </row>
    <row r="2920" customFormat="false" ht="15" hidden="false" customHeight="false" outlineLevel="0" collapsed="false">
      <c r="A2920" s="82" t="str">
        <f aca="false">IF(C2920="","",ROW()-6)</f>
        <v/>
      </c>
      <c r="B2920" s="80"/>
      <c r="C2920" s="113"/>
      <c r="D2920" s="82" t="str">
        <f aca="false">IF(OR(C2920="",P2920=""),"",INDEX('CARNET DE SOUDURE'!$D$7:$D$3006,P2920)&amp;"")</f>
        <v/>
      </c>
      <c r="E2920" s="114" t="str">
        <f aca="false">IF(OR(C2920="",P2920=""),"",IF(INDEX('CARNET DE SOUDURE'!$U$7:$U$3006,P2920)="","",INDEX('CARNET DE SOUDURE'!$U$7:$U$3006,P2920)))</f>
        <v/>
      </c>
      <c r="F2920" s="82" t="str">
        <f aca="false">IF(OR(C2920="",P2920=""),"",INDEX('CARNET DE SOUDURE'!$AP$7:$AP$3006,P2920))</f>
        <v/>
      </c>
      <c r="G2920" s="82" t="str">
        <f aca="false">IF(C2920="","",IF(P2920="","NJ INCONNU",INDEX('CARNET DE SOUDURE'!$AQ$7:$AQ$3006,P2920)))</f>
        <v/>
      </c>
      <c r="H2920" s="82" t="str">
        <f aca="false">IF(C2920="","",IF(G2920="ACCEPTÉ","OUI","NON"))</f>
        <v/>
      </c>
      <c r="I2920" s="83"/>
      <c r="J2920" s="80"/>
      <c r="K2920" s="81"/>
      <c r="L2920" s="81"/>
      <c r="M2920" s="81"/>
      <c r="N2920" s="84" t="str">
        <f aca="false">IF(C2920="","",IF(P2920="","NJ INCONNU",IF(I2920="",IF(H2920="OUI","À ENROBER",IF(G2920="À SOUDER","NON SOUDÉ","EN ATTENTE RT")),IF(L2920="R","À REPRENDRE",IF(H2920&lt;&gt;"OUI","⚠ ENROBÉ AVANT ACCEPTATION RT","ENROBÉ")))))</f>
        <v/>
      </c>
      <c r="O2920" s="80"/>
      <c r="P2920" s="82" t="str">
        <f aca="false">IF(C2920="","",IFERROR(MATCH(Q2920,'CARNET DE SOUDURE'!$AW$7:$AW$3006,0),""))</f>
        <v/>
      </c>
      <c r="Q2920" s="82" t="str">
        <f aca="false">IF(C2920="","",B2920&amp;"|"&amp;C2920)</f>
        <v/>
      </c>
    </row>
    <row r="2921" customFormat="false" ht="15" hidden="false" customHeight="false" outlineLevel="0" collapsed="false">
      <c r="A2921" s="82" t="str">
        <f aca="false">IF(C2921="","",ROW()-6)</f>
        <v/>
      </c>
      <c r="B2921" s="80"/>
      <c r="C2921" s="113"/>
      <c r="D2921" s="82" t="str">
        <f aca="false">IF(OR(C2921="",P2921=""),"",INDEX('CARNET DE SOUDURE'!$D$7:$D$3006,P2921)&amp;"")</f>
        <v/>
      </c>
      <c r="E2921" s="114" t="str">
        <f aca="false">IF(OR(C2921="",P2921=""),"",IF(INDEX('CARNET DE SOUDURE'!$U$7:$U$3006,P2921)="","",INDEX('CARNET DE SOUDURE'!$U$7:$U$3006,P2921)))</f>
        <v/>
      </c>
      <c r="F2921" s="82" t="str">
        <f aca="false">IF(OR(C2921="",P2921=""),"",INDEX('CARNET DE SOUDURE'!$AP$7:$AP$3006,P2921))</f>
        <v/>
      </c>
      <c r="G2921" s="82" t="str">
        <f aca="false">IF(C2921="","",IF(P2921="","NJ INCONNU",INDEX('CARNET DE SOUDURE'!$AQ$7:$AQ$3006,P2921)))</f>
        <v/>
      </c>
      <c r="H2921" s="82" t="str">
        <f aca="false">IF(C2921="","",IF(G2921="ACCEPTÉ","OUI","NON"))</f>
        <v/>
      </c>
      <c r="I2921" s="83"/>
      <c r="J2921" s="80"/>
      <c r="K2921" s="81"/>
      <c r="L2921" s="81"/>
      <c r="M2921" s="81"/>
      <c r="N2921" s="84" t="str">
        <f aca="false">IF(C2921="","",IF(P2921="","NJ INCONNU",IF(I2921="",IF(H2921="OUI","À ENROBER",IF(G2921="À SOUDER","NON SOUDÉ","EN ATTENTE RT")),IF(L2921="R","À REPRENDRE",IF(H2921&lt;&gt;"OUI","⚠ ENROBÉ AVANT ACCEPTATION RT","ENROBÉ")))))</f>
        <v/>
      </c>
      <c r="O2921" s="80"/>
      <c r="P2921" s="82" t="str">
        <f aca="false">IF(C2921="","",IFERROR(MATCH(Q2921,'CARNET DE SOUDURE'!$AW$7:$AW$3006,0),""))</f>
        <v/>
      </c>
      <c r="Q2921" s="82" t="str">
        <f aca="false">IF(C2921="","",B2921&amp;"|"&amp;C2921)</f>
        <v/>
      </c>
    </row>
    <row r="2922" customFormat="false" ht="15" hidden="false" customHeight="false" outlineLevel="0" collapsed="false">
      <c r="A2922" s="82" t="str">
        <f aca="false">IF(C2922="","",ROW()-6)</f>
        <v/>
      </c>
      <c r="B2922" s="80"/>
      <c r="C2922" s="113"/>
      <c r="D2922" s="82" t="str">
        <f aca="false">IF(OR(C2922="",P2922=""),"",INDEX('CARNET DE SOUDURE'!$D$7:$D$3006,P2922)&amp;"")</f>
        <v/>
      </c>
      <c r="E2922" s="114" t="str">
        <f aca="false">IF(OR(C2922="",P2922=""),"",IF(INDEX('CARNET DE SOUDURE'!$U$7:$U$3006,P2922)="","",INDEX('CARNET DE SOUDURE'!$U$7:$U$3006,P2922)))</f>
        <v/>
      </c>
      <c r="F2922" s="82" t="str">
        <f aca="false">IF(OR(C2922="",P2922=""),"",INDEX('CARNET DE SOUDURE'!$AP$7:$AP$3006,P2922))</f>
        <v/>
      </c>
      <c r="G2922" s="82" t="str">
        <f aca="false">IF(C2922="","",IF(P2922="","NJ INCONNU",INDEX('CARNET DE SOUDURE'!$AQ$7:$AQ$3006,P2922)))</f>
        <v/>
      </c>
      <c r="H2922" s="82" t="str">
        <f aca="false">IF(C2922="","",IF(G2922="ACCEPTÉ","OUI","NON"))</f>
        <v/>
      </c>
      <c r="I2922" s="83"/>
      <c r="J2922" s="80"/>
      <c r="K2922" s="81"/>
      <c r="L2922" s="81"/>
      <c r="M2922" s="81"/>
      <c r="N2922" s="84" t="str">
        <f aca="false">IF(C2922="","",IF(P2922="","NJ INCONNU",IF(I2922="",IF(H2922="OUI","À ENROBER",IF(G2922="À SOUDER","NON SOUDÉ","EN ATTENTE RT")),IF(L2922="R","À REPRENDRE",IF(H2922&lt;&gt;"OUI","⚠ ENROBÉ AVANT ACCEPTATION RT","ENROBÉ")))))</f>
        <v/>
      </c>
      <c r="O2922" s="80"/>
      <c r="P2922" s="82" t="str">
        <f aca="false">IF(C2922="","",IFERROR(MATCH(Q2922,'CARNET DE SOUDURE'!$AW$7:$AW$3006,0),""))</f>
        <v/>
      </c>
      <c r="Q2922" s="82" t="str">
        <f aca="false">IF(C2922="","",B2922&amp;"|"&amp;C2922)</f>
        <v/>
      </c>
    </row>
    <row r="2923" customFormat="false" ht="15" hidden="false" customHeight="false" outlineLevel="0" collapsed="false">
      <c r="A2923" s="82" t="str">
        <f aca="false">IF(C2923="","",ROW()-6)</f>
        <v/>
      </c>
      <c r="B2923" s="80"/>
      <c r="C2923" s="113"/>
      <c r="D2923" s="82" t="str">
        <f aca="false">IF(OR(C2923="",P2923=""),"",INDEX('CARNET DE SOUDURE'!$D$7:$D$3006,P2923)&amp;"")</f>
        <v/>
      </c>
      <c r="E2923" s="114" t="str">
        <f aca="false">IF(OR(C2923="",P2923=""),"",IF(INDEX('CARNET DE SOUDURE'!$U$7:$U$3006,P2923)="","",INDEX('CARNET DE SOUDURE'!$U$7:$U$3006,P2923)))</f>
        <v/>
      </c>
      <c r="F2923" s="82" t="str">
        <f aca="false">IF(OR(C2923="",P2923=""),"",INDEX('CARNET DE SOUDURE'!$AP$7:$AP$3006,P2923))</f>
        <v/>
      </c>
      <c r="G2923" s="82" t="str">
        <f aca="false">IF(C2923="","",IF(P2923="","NJ INCONNU",INDEX('CARNET DE SOUDURE'!$AQ$7:$AQ$3006,P2923)))</f>
        <v/>
      </c>
      <c r="H2923" s="82" t="str">
        <f aca="false">IF(C2923="","",IF(G2923="ACCEPTÉ","OUI","NON"))</f>
        <v/>
      </c>
      <c r="I2923" s="83"/>
      <c r="J2923" s="80"/>
      <c r="K2923" s="81"/>
      <c r="L2923" s="81"/>
      <c r="M2923" s="81"/>
      <c r="N2923" s="84" t="str">
        <f aca="false">IF(C2923="","",IF(P2923="","NJ INCONNU",IF(I2923="",IF(H2923="OUI","À ENROBER",IF(G2923="À SOUDER","NON SOUDÉ","EN ATTENTE RT")),IF(L2923="R","À REPRENDRE",IF(H2923&lt;&gt;"OUI","⚠ ENROBÉ AVANT ACCEPTATION RT","ENROBÉ")))))</f>
        <v/>
      </c>
      <c r="O2923" s="80"/>
      <c r="P2923" s="82" t="str">
        <f aca="false">IF(C2923="","",IFERROR(MATCH(Q2923,'CARNET DE SOUDURE'!$AW$7:$AW$3006,0),""))</f>
        <v/>
      </c>
      <c r="Q2923" s="82" t="str">
        <f aca="false">IF(C2923="","",B2923&amp;"|"&amp;C2923)</f>
        <v/>
      </c>
    </row>
    <row r="2924" customFormat="false" ht="15" hidden="false" customHeight="false" outlineLevel="0" collapsed="false">
      <c r="A2924" s="82" t="str">
        <f aca="false">IF(C2924="","",ROW()-6)</f>
        <v/>
      </c>
      <c r="B2924" s="80"/>
      <c r="C2924" s="113"/>
      <c r="D2924" s="82" t="str">
        <f aca="false">IF(OR(C2924="",P2924=""),"",INDEX('CARNET DE SOUDURE'!$D$7:$D$3006,P2924)&amp;"")</f>
        <v/>
      </c>
      <c r="E2924" s="114" t="str">
        <f aca="false">IF(OR(C2924="",P2924=""),"",IF(INDEX('CARNET DE SOUDURE'!$U$7:$U$3006,P2924)="","",INDEX('CARNET DE SOUDURE'!$U$7:$U$3006,P2924)))</f>
        <v/>
      </c>
      <c r="F2924" s="82" t="str">
        <f aca="false">IF(OR(C2924="",P2924=""),"",INDEX('CARNET DE SOUDURE'!$AP$7:$AP$3006,P2924))</f>
        <v/>
      </c>
      <c r="G2924" s="82" t="str">
        <f aca="false">IF(C2924="","",IF(P2924="","NJ INCONNU",INDEX('CARNET DE SOUDURE'!$AQ$7:$AQ$3006,P2924)))</f>
        <v/>
      </c>
      <c r="H2924" s="82" t="str">
        <f aca="false">IF(C2924="","",IF(G2924="ACCEPTÉ","OUI","NON"))</f>
        <v/>
      </c>
      <c r="I2924" s="83"/>
      <c r="J2924" s="80"/>
      <c r="K2924" s="81"/>
      <c r="L2924" s="81"/>
      <c r="M2924" s="81"/>
      <c r="N2924" s="84" t="str">
        <f aca="false">IF(C2924="","",IF(P2924="","NJ INCONNU",IF(I2924="",IF(H2924="OUI","À ENROBER",IF(G2924="À SOUDER","NON SOUDÉ","EN ATTENTE RT")),IF(L2924="R","À REPRENDRE",IF(H2924&lt;&gt;"OUI","⚠ ENROBÉ AVANT ACCEPTATION RT","ENROBÉ")))))</f>
        <v/>
      </c>
      <c r="O2924" s="80"/>
      <c r="P2924" s="82" t="str">
        <f aca="false">IF(C2924="","",IFERROR(MATCH(Q2924,'CARNET DE SOUDURE'!$AW$7:$AW$3006,0),""))</f>
        <v/>
      </c>
      <c r="Q2924" s="82" t="str">
        <f aca="false">IF(C2924="","",B2924&amp;"|"&amp;C2924)</f>
        <v/>
      </c>
    </row>
    <row r="2925" customFormat="false" ht="15" hidden="false" customHeight="false" outlineLevel="0" collapsed="false">
      <c r="A2925" s="82" t="str">
        <f aca="false">IF(C2925="","",ROW()-6)</f>
        <v/>
      </c>
      <c r="B2925" s="80"/>
      <c r="C2925" s="113"/>
      <c r="D2925" s="82" t="str">
        <f aca="false">IF(OR(C2925="",P2925=""),"",INDEX('CARNET DE SOUDURE'!$D$7:$D$3006,P2925)&amp;"")</f>
        <v/>
      </c>
      <c r="E2925" s="114" t="str">
        <f aca="false">IF(OR(C2925="",P2925=""),"",IF(INDEX('CARNET DE SOUDURE'!$U$7:$U$3006,P2925)="","",INDEX('CARNET DE SOUDURE'!$U$7:$U$3006,P2925)))</f>
        <v/>
      </c>
      <c r="F2925" s="82" t="str">
        <f aca="false">IF(OR(C2925="",P2925=""),"",INDEX('CARNET DE SOUDURE'!$AP$7:$AP$3006,P2925))</f>
        <v/>
      </c>
      <c r="G2925" s="82" t="str">
        <f aca="false">IF(C2925="","",IF(P2925="","NJ INCONNU",INDEX('CARNET DE SOUDURE'!$AQ$7:$AQ$3006,P2925)))</f>
        <v/>
      </c>
      <c r="H2925" s="82" t="str">
        <f aca="false">IF(C2925="","",IF(G2925="ACCEPTÉ","OUI","NON"))</f>
        <v/>
      </c>
      <c r="I2925" s="83"/>
      <c r="J2925" s="80"/>
      <c r="K2925" s="81"/>
      <c r="L2925" s="81"/>
      <c r="M2925" s="81"/>
      <c r="N2925" s="84" t="str">
        <f aca="false">IF(C2925="","",IF(P2925="","NJ INCONNU",IF(I2925="",IF(H2925="OUI","À ENROBER",IF(G2925="À SOUDER","NON SOUDÉ","EN ATTENTE RT")),IF(L2925="R","À REPRENDRE",IF(H2925&lt;&gt;"OUI","⚠ ENROBÉ AVANT ACCEPTATION RT","ENROBÉ")))))</f>
        <v/>
      </c>
      <c r="O2925" s="80"/>
      <c r="P2925" s="82" t="str">
        <f aca="false">IF(C2925="","",IFERROR(MATCH(Q2925,'CARNET DE SOUDURE'!$AW$7:$AW$3006,0),""))</f>
        <v/>
      </c>
      <c r="Q2925" s="82" t="str">
        <f aca="false">IF(C2925="","",B2925&amp;"|"&amp;C2925)</f>
        <v/>
      </c>
    </row>
    <row r="2926" customFormat="false" ht="15" hidden="false" customHeight="false" outlineLevel="0" collapsed="false">
      <c r="A2926" s="82" t="str">
        <f aca="false">IF(C2926="","",ROW()-6)</f>
        <v/>
      </c>
      <c r="B2926" s="80"/>
      <c r="C2926" s="113"/>
      <c r="D2926" s="82" t="str">
        <f aca="false">IF(OR(C2926="",P2926=""),"",INDEX('CARNET DE SOUDURE'!$D$7:$D$3006,P2926)&amp;"")</f>
        <v/>
      </c>
      <c r="E2926" s="114" t="str">
        <f aca="false">IF(OR(C2926="",P2926=""),"",IF(INDEX('CARNET DE SOUDURE'!$U$7:$U$3006,P2926)="","",INDEX('CARNET DE SOUDURE'!$U$7:$U$3006,P2926)))</f>
        <v/>
      </c>
      <c r="F2926" s="82" t="str">
        <f aca="false">IF(OR(C2926="",P2926=""),"",INDEX('CARNET DE SOUDURE'!$AP$7:$AP$3006,P2926))</f>
        <v/>
      </c>
      <c r="G2926" s="82" t="str">
        <f aca="false">IF(C2926="","",IF(P2926="","NJ INCONNU",INDEX('CARNET DE SOUDURE'!$AQ$7:$AQ$3006,P2926)))</f>
        <v/>
      </c>
      <c r="H2926" s="82" t="str">
        <f aca="false">IF(C2926="","",IF(G2926="ACCEPTÉ","OUI","NON"))</f>
        <v/>
      </c>
      <c r="I2926" s="83"/>
      <c r="J2926" s="80"/>
      <c r="K2926" s="81"/>
      <c r="L2926" s="81"/>
      <c r="M2926" s="81"/>
      <c r="N2926" s="84" t="str">
        <f aca="false">IF(C2926="","",IF(P2926="","NJ INCONNU",IF(I2926="",IF(H2926="OUI","À ENROBER",IF(G2926="À SOUDER","NON SOUDÉ","EN ATTENTE RT")),IF(L2926="R","À REPRENDRE",IF(H2926&lt;&gt;"OUI","⚠ ENROBÉ AVANT ACCEPTATION RT","ENROBÉ")))))</f>
        <v/>
      </c>
      <c r="O2926" s="80"/>
      <c r="P2926" s="82" t="str">
        <f aca="false">IF(C2926="","",IFERROR(MATCH(Q2926,'CARNET DE SOUDURE'!$AW$7:$AW$3006,0),""))</f>
        <v/>
      </c>
      <c r="Q2926" s="82" t="str">
        <f aca="false">IF(C2926="","",B2926&amp;"|"&amp;C2926)</f>
        <v/>
      </c>
    </row>
    <row r="2927" customFormat="false" ht="15" hidden="false" customHeight="false" outlineLevel="0" collapsed="false">
      <c r="A2927" s="82" t="str">
        <f aca="false">IF(C2927="","",ROW()-6)</f>
        <v/>
      </c>
      <c r="B2927" s="80"/>
      <c r="C2927" s="113"/>
      <c r="D2927" s="82" t="str">
        <f aca="false">IF(OR(C2927="",P2927=""),"",INDEX('CARNET DE SOUDURE'!$D$7:$D$3006,P2927)&amp;"")</f>
        <v/>
      </c>
      <c r="E2927" s="114" t="str">
        <f aca="false">IF(OR(C2927="",P2927=""),"",IF(INDEX('CARNET DE SOUDURE'!$U$7:$U$3006,P2927)="","",INDEX('CARNET DE SOUDURE'!$U$7:$U$3006,P2927)))</f>
        <v/>
      </c>
      <c r="F2927" s="82" t="str">
        <f aca="false">IF(OR(C2927="",P2927=""),"",INDEX('CARNET DE SOUDURE'!$AP$7:$AP$3006,P2927))</f>
        <v/>
      </c>
      <c r="G2927" s="82" t="str">
        <f aca="false">IF(C2927="","",IF(P2927="","NJ INCONNU",INDEX('CARNET DE SOUDURE'!$AQ$7:$AQ$3006,P2927)))</f>
        <v/>
      </c>
      <c r="H2927" s="82" t="str">
        <f aca="false">IF(C2927="","",IF(G2927="ACCEPTÉ","OUI","NON"))</f>
        <v/>
      </c>
      <c r="I2927" s="83"/>
      <c r="J2927" s="80"/>
      <c r="K2927" s="81"/>
      <c r="L2927" s="81"/>
      <c r="M2927" s="81"/>
      <c r="N2927" s="84" t="str">
        <f aca="false">IF(C2927="","",IF(P2927="","NJ INCONNU",IF(I2927="",IF(H2927="OUI","À ENROBER",IF(G2927="À SOUDER","NON SOUDÉ","EN ATTENTE RT")),IF(L2927="R","À REPRENDRE",IF(H2927&lt;&gt;"OUI","⚠ ENROBÉ AVANT ACCEPTATION RT","ENROBÉ")))))</f>
        <v/>
      </c>
      <c r="O2927" s="80"/>
      <c r="P2927" s="82" t="str">
        <f aca="false">IF(C2927="","",IFERROR(MATCH(Q2927,'CARNET DE SOUDURE'!$AW$7:$AW$3006,0),""))</f>
        <v/>
      </c>
      <c r="Q2927" s="82" t="str">
        <f aca="false">IF(C2927="","",B2927&amp;"|"&amp;C2927)</f>
        <v/>
      </c>
    </row>
    <row r="2928" customFormat="false" ht="15" hidden="false" customHeight="false" outlineLevel="0" collapsed="false">
      <c r="A2928" s="82" t="str">
        <f aca="false">IF(C2928="","",ROW()-6)</f>
        <v/>
      </c>
      <c r="B2928" s="80"/>
      <c r="C2928" s="113"/>
      <c r="D2928" s="82" t="str">
        <f aca="false">IF(OR(C2928="",P2928=""),"",INDEX('CARNET DE SOUDURE'!$D$7:$D$3006,P2928)&amp;"")</f>
        <v/>
      </c>
      <c r="E2928" s="114" t="str">
        <f aca="false">IF(OR(C2928="",P2928=""),"",IF(INDEX('CARNET DE SOUDURE'!$U$7:$U$3006,P2928)="","",INDEX('CARNET DE SOUDURE'!$U$7:$U$3006,P2928)))</f>
        <v/>
      </c>
      <c r="F2928" s="82" t="str">
        <f aca="false">IF(OR(C2928="",P2928=""),"",INDEX('CARNET DE SOUDURE'!$AP$7:$AP$3006,P2928))</f>
        <v/>
      </c>
      <c r="G2928" s="82" t="str">
        <f aca="false">IF(C2928="","",IF(P2928="","NJ INCONNU",INDEX('CARNET DE SOUDURE'!$AQ$7:$AQ$3006,P2928)))</f>
        <v/>
      </c>
      <c r="H2928" s="82" t="str">
        <f aca="false">IF(C2928="","",IF(G2928="ACCEPTÉ","OUI","NON"))</f>
        <v/>
      </c>
      <c r="I2928" s="83"/>
      <c r="J2928" s="80"/>
      <c r="K2928" s="81"/>
      <c r="L2928" s="81"/>
      <c r="M2928" s="81"/>
      <c r="N2928" s="84" t="str">
        <f aca="false">IF(C2928="","",IF(P2928="","NJ INCONNU",IF(I2928="",IF(H2928="OUI","À ENROBER",IF(G2928="À SOUDER","NON SOUDÉ","EN ATTENTE RT")),IF(L2928="R","À REPRENDRE",IF(H2928&lt;&gt;"OUI","⚠ ENROBÉ AVANT ACCEPTATION RT","ENROBÉ")))))</f>
        <v/>
      </c>
      <c r="O2928" s="80"/>
      <c r="P2928" s="82" t="str">
        <f aca="false">IF(C2928="","",IFERROR(MATCH(Q2928,'CARNET DE SOUDURE'!$AW$7:$AW$3006,0),""))</f>
        <v/>
      </c>
      <c r="Q2928" s="82" t="str">
        <f aca="false">IF(C2928="","",B2928&amp;"|"&amp;C2928)</f>
        <v/>
      </c>
    </row>
    <row r="2929" customFormat="false" ht="15" hidden="false" customHeight="false" outlineLevel="0" collapsed="false">
      <c r="A2929" s="82" t="str">
        <f aca="false">IF(C2929="","",ROW()-6)</f>
        <v/>
      </c>
      <c r="B2929" s="80"/>
      <c r="C2929" s="113"/>
      <c r="D2929" s="82" t="str">
        <f aca="false">IF(OR(C2929="",P2929=""),"",INDEX('CARNET DE SOUDURE'!$D$7:$D$3006,P2929)&amp;"")</f>
        <v/>
      </c>
      <c r="E2929" s="114" t="str">
        <f aca="false">IF(OR(C2929="",P2929=""),"",IF(INDEX('CARNET DE SOUDURE'!$U$7:$U$3006,P2929)="","",INDEX('CARNET DE SOUDURE'!$U$7:$U$3006,P2929)))</f>
        <v/>
      </c>
      <c r="F2929" s="82" t="str">
        <f aca="false">IF(OR(C2929="",P2929=""),"",INDEX('CARNET DE SOUDURE'!$AP$7:$AP$3006,P2929))</f>
        <v/>
      </c>
      <c r="G2929" s="82" t="str">
        <f aca="false">IF(C2929="","",IF(P2929="","NJ INCONNU",INDEX('CARNET DE SOUDURE'!$AQ$7:$AQ$3006,P2929)))</f>
        <v/>
      </c>
      <c r="H2929" s="82" t="str">
        <f aca="false">IF(C2929="","",IF(G2929="ACCEPTÉ","OUI","NON"))</f>
        <v/>
      </c>
      <c r="I2929" s="83"/>
      <c r="J2929" s="80"/>
      <c r="K2929" s="81"/>
      <c r="L2929" s="81"/>
      <c r="M2929" s="81"/>
      <c r="N2929" s="84" t="str">
        <f aca="false">IF(C2929="","",IF(P2929="","NJ INCONNU",IF(I2929="",IF(H2929="OUI","À ENROBER",IF(G2929="À SOUDER","NON SOUDÉ","EN ATTENTE RT")),IF(L2929="R","À REPRENDRE",IF(H2929&lt;&gt;"OUI","⚠ ENROBÉ AVANT ACCEPTATION RT","ENROBÉ")))))</f>
        <v/>
      </c>
      <c r="O2929" s="80"/>
      <c r="P2929" s="82" t="str">
        <f aca="false">IF(C2929="","",IFERROR(MATCH(Q2929,'CARNET DE SOUDURE'!$AW$7:$AW$3006,0),""))</f>
        <v/>
      </c>
      <c r="Q2929" s="82" t="str">
        <f aca="false">IF(C2929="","",B2929&amp;"|"&amp;C2929)</f>
        <v/>
      </c>
    </row>
    <row r="2930" customFormat="false" ht="15" hidden="false" customHeight="false" outlineLevel="0" collapsed="false">
      <c r="A2930" s="82" t="str">
        <f aca="false">IF(C2930="","",ROW()-6)</f>
        <v/>
      </c>
      <c r="B2930" s="80"/>
      <c r="C2930" s="113"/>
      <c r="D2930" s="82" t="str">
        <f aca="false">IF(OR(C2930="",P2930=""),"",INDEX('CARNET DE SOUDURE'!$D$7:$D$3006,P2930)&amp;"")</f>
        <v/>
      </c>
      <c r="E2930" s="114" t="str">
        <f aca="false">IF(OR(C2930="",P2930=""),"",IF(INDEX('CARNET DE SOUDURE'!$U$7:$U$3006,P2930)="","",INDEX('CARNET DE SOUDURE'!$U$7:$U$3006,P2930)))</f>
        <v/>
      </c>
      <c r="F2930" s="82" t="str">
        <f aca="false">IF(OR(C2930="",P2930=""),"",INDEX('CARNET DE SOUDURE'!$AP$7:$AP$3006,P2930))</f>
        <v/>
      </c>
      <c r="G2930" s="82" t="str">
        <f aca="false">IF(C2930="","",IF(P2930="","NJ INCONNU",INDEX('CARNET DE SOUDURE'!$AQ$7:$AQ$3006,P2930)))</f>
        <v/>
      </c>
      <c r="H2930" s="82" t="str">
        <f aca="false">IF(C2930="","",IF(G2930="ACCEPTÉ","OUI","NON"))</f>
        <v/>
      </c>
      <c r="I2930" s="83"/>
      <c r="J2930" s="80"/>
      <c r="K2930" s="81"/>
      <c r="L2930" s="81"/>
      <c r="M2930" s="81"/>
      <c r="N2930" s="84" t="str">
        <f aca="false">IF(C2930="","",IF(P2930="","NJ INCONNU",IF(I2930="",IF(H2930="OUI","À ENROBER",IF(G2930="À SOUDER","NON SOUDÉ","EN ATTENTE RT")),IF(L2930="R","À REPRENDRE",IF(H2930&lt;&gt;"OUI","⚠ ENROBÉ AVANT ACCEPTATION RT","ENROBÉ")))))</f>
        <v/>
      </c>
      <c r="O2930" s="80"/>
      <c r="P2930" s="82" t="str">
        <f aca="false">IF(C2930="","",IFERROR(MATCH(Q2930,'CARNET DE SOUDURE'!$AW$7:$AW$3006,0),""))</f>
        <v/>
      </c>
      <c r="Q2930" s="82" t="str">
        <f aca="false">IF(C2930="","",B2930&amp;"|"&amp;C2930)</f>
        <v/>
      </c>
    </row>
    <row r="2931" customFormat="false" ht="15" hidden="false" customHeight="false" outlineLevel="0" collapsed="false">
      <c r="A2931" s="82" t="str">
        <f aca="false">IF(C2931="","",ROW()-6)</f>
        <v/>
      </c>
      <c r="B2931" s="80"/>
      <c r="C2931" s="113"/>
      <c r="D2931" s="82" t="str">
        <f aca="false">IF(OR(C2931="",P2931=""),"",INDEX('CARNET DE SOUDURE'!$D$7:$D$3006,P2931)&amp;"")</f>
        <v/>
      </c>
      <c r="E2931" s="114" t="str">
        <f aca="false">IF(OR(C2931="",P2931=""),"",IF(INDEX('CARNET DE SOUDURE'!$U$7:$U$3006,P2931)="","",INDEX('CARNET DE SOUDURE'!$U$7:$U$3006,P2931)))</f>
        <v/>
      </c>
      <c r="F2931" s="82" t="str">
        <f aca="false">IF(OR(C2931="",P2931=""),"",INDEX('CARNET DE SOUDURE'!$AP$7:$AP$3006,P2931))</f>
        <v/>
      </c>
      <c r="G2931" s="82" t="str">
        <f aca="false">IF(C2931="","",IF(P2931="","NJ INCONNU",INDEX('CARNET DE SOUDURE'!$AQ$7:$AQ$3006,P2931)))</f>
        <v/>
      </c>
      <c r="H2931" s="82" t="str">
        <f aca="false">IF(C2931="","",IF(G2931="ACCEPTÉ","OUI","NON"))</f>
        <v/>
      </c>
      <c r="I2931" s="83"/>
      <c r="J2931" s="80"/>
      <c r="K2931" s="81"/>
      <c r="L2931" s="81"/>
      <c r="M2931" s="81"/>
      <c r="N2931" s="84" t="str">
        <f aca="false">IF(C2931="","",IF(P2931="","NJ INCONNU",IF(I2931="",IF(H2931="OUI","À ENROBER",IF(G2931="À SOUDER","NON SOUDÉ","EN ATTENTE RT")),IF(L2931="R","À REPRENDRE",IF(H2931&lt;&gt;"OUI","⚠ ENROBÉ AVANT ACCEPTATION RT","ENROBÉ")))))</f>
        <v/>
      </c>
      <c r="O2931" s="80"/>
      <c r="P2931" s="82" t="str">
        <f aca="false">IF(C2931="","",IFERROR(MATCH(Q2931,'CARNET DE SOUDURE'!$AW$7:$AW$3006,0),""))</f>
        <v/>
      </c>
      <c r="Q2931" s="82" t="str">
        <f aca="false">IF(C2931="","",B2931&amp;"|"&amp;C2931)</f>
        <v/>
      </c>
    </row>
    <row r="2932" customFormat="false" ht="15" hidden="false" customHeight="false" outlineLevel="0" collapsed="false">
      <c r="A2932" s="82" t="str">
        <f aca="false">IF(C2932="","",ROW()-6)</f>
        <v/>
      </c>
      <c r="B2932" s="80"/>
      <c r="C2932" s="113"/>
      <c r="D2932" s="82" t="str">
        <f aca="false">IF(OR(C2932="",P2932=""),"",INDEX('CARNET DE SOUDURE'!$D$7:$D$3006,P2932)&amp;"")</f>
        <v/>
      </c>
      <c r="E2932" s="114" t="str">
        <f aca="false">IF(OR(C2932="",P2932=""),"",IF(INDEX('CARNET DE SOUDURE'!$U$7:$U$3006,P2932)="","",INDEX('CARNET DE SOUDURE'!$U$7:$U$3006,P2932)))</f>
        <v/>
      </c>
      <c r="F2932" s="82" t="str">
        <f aca="false">IF(OR(C2932="",P2932=""),"",INDEX('CARNET DE SOUDURE'!$AP$7:$AP$3006,P2932))</f>
        <v/>
      </c>
      <c r="G2932" s="82" t="str">
        <f aca="false">IF(C2932="","",IF(P2932="","NJ INCONNU",INDEX('CARNET DE SOUDURE'!$AQ$7:$AQ$3006,P2932)))</f>
        <v/>
      </c>
      <c r="H2932" s="82" t="str">
        <f aca="false">IF(C2932="","",IF(G2932="ACCEPTÉ","OUI","NON"))</f>
        <v/>
      </c>
      <c r="I2932" s="83"/>
      <c r="J2932" s="80"/>
      <c r="K2932" s="81"/>
      <c r="L2932" s="81"/>
      <c r="M2932" s="81"/>
      <c r="N2932" s="84" t="str">
        <f aca="false">IF(C2932="","",IF(P2932="","NJ INCONNU",IF(I2932="",IF(H2932="OUI","À ENROBER",IF(G2932="À SOUDER","NON SOUDÉ","EN ATTENTE RT")),IF(L2932="R","À REPRENDRE",IF(H2932&lt;&gt;"OUI","⚠ ENROBÉ AVANT ACCEPTATION RT","ENROBÉ")))))</f>
        <v/>
      </c>
      <c r="O2932" s="80"/>
      <c r="P2932" s="82" t="str">
        <f aca="false">IF(C2932="","",IFERROR(MATCH(Q2932,'CARNET DE SOUDURE'!$AW$7:$AW$3006,0),""))</f>
        <v/>
      </c>
      <c r="Q2932" s="82" t="str">
        <f aca="false">IF(C2932="","",B2932&amp;"|"&amp;C2932)</f>
        <v/>
      </c>
    </row>
    <row r="2933" customFormat="false" ht="15" hidden="false" customHeight="false" outlineLevel="0" collapsed="false">
      <c r="A2933" s="82" t="str">
        <f aca="false">IF(C2933="","",ROW()-6)</f>
        <v/>
      </c>
      <c r="B2933" s="80"/>
      <c r="C2933" s="113"/>
      <c r="D2933" s="82" t="str">
        <f aca="false">IF(OR(C2933="",P2933=""),"",INDEX('CARNET DE SOUDURE'!$D$7:$D$3006,P2933)&amp;"")</f>
        <v/>
      </c>
      <c r="E2933" s="114" t="str">
        <f aca="false">IF(OR(C2933="",P2933=""),"",IF(INDEX('CARNET DE SOUDURE'!$U$7:$U$3006,P2933)="","",INDEX('CARNET DE SOUDURE'!$U$7:$U$3006,P2933)))</f>
        <v/>
      </c>
      <c r="F2933" s="82" t="str">
        <f aca="false">IF(OR(C2933="",P2933=""),"",INDEX('CARNET DE SOUDURE'!$AP$7:$AP$3006,P2933))</f>
        <v/>
      </c>
      <c r="G2933" s="82" t="str">
        <f aca="false">IF(C2933="","",IF(P2933="","NJ INCONNU",INDEX('CARNET DE SOUDURE'!$AQ$7:$AQ$3006,P2933)))</f>
        <v/>
      </c>
      <c r="H2933" s="82" t="str">
        <f aca="false">IF(C2933="","",IF(G2933="ACCEPTÉ","OUI","NON"))</f>
        <v/>
      </c>
      <c r="I2933" s="83"/>
      <c r="J2933" s="80"/>
      <c r="K2933" s="81"/>
      <c r="L2933" s="81"/>
      <c r="M2933" s="81"/>
      <c r="N2933" s="84" t="str">
        <f aca="false">IF(C2933="","",IF(P2933="","NJ INCONNU",IF(I2933="",IF(H2933="OUI","À ENROBER",IF(G2933="À SOUDER","NON SOUDÉ","EN ATTENTE RT")),IF(L2933="R","À REPRENDRE",IF(H2933&lt;&gt;"OUI","⚠ ENROBÉ AVANT ACCEPTATION RT","ENROBÉ")))))</f>
        <v/>
      </c>
      <c r="O2933" s="80"/>
      <c r="P2933" s="82" t="str">
        <f aca="false">IF(C2933="","",IFERROR(MATCH(Q2933,'CARNET DE SOUDURE'!$AW$7:$AW$3006,0),""))</f>
        <v/>
      </c>
      <c r="Q2933" s="82" t="str">
        <f aca="false">IF(C2933="","",B2933&amp;"|"&amp;C2933)</f>
        <v/>
      </c>
    </row>
    <row r="2934" customFormat="false" ht="15" hidden="false" customHeight="false" outlineLevel="0" collapsed="false">
      <c r="A2934" s="82" t="str">
        <f aca="false">IF(C2934="","",ROW()-6)</f>
        <v/>
      </c>
      <c r="B2934" s="80"/>
      <c r="C2934" s="113"/>
      <c r="D2934" s="82" t="str">
        <f aca="false">IF(OR(C2934="",P2934=""),"",INDEX('CARNET DE SOUDURE'!$D$7:$D$3006,P2934)&amp;"")</f>
        <v/>
      </c>
      <c r="E2934" s="114" t="str">
        <f aca="false">IF(OR(C2934="",P2934=""),"",IF(INDEX('CARNET DE SOUDURE'!$U$7:$U$3006,P2934)="","",INDEX('CARNET DE SOUDURE'!$U$7:$U$3006,P2934)))</f>
        <v/>
      </c>
      <c r="F2934" s="82" t="str">
        <f aca="false">IF(OR(C2934="",P2934=""),"",INDEX('CARNET DE SOUDURE'!$AP$7:$AP$3006,P2934))</f>
        <v/>
      </c>
      <c r="G2934" s="82" t="str">
        <f aca="false">IF(C2934="","",IF(P2934="","NJ INCONNU",INDEX('CARNET DE SOUDURE'!$AQ$7:$AQ$3006,P2934)))</f>
        <v/>
      </c>
      <c r="H2934" s="82" t="str">
        <f aca="false">IF(C2934="","",IF(G2934="ACCEPTÉ","OUI","NON"))</f>
        <v/>
      </c>
      <c r="I2934" s="83"/>
      <c r="J2934" s="80"/>
      <c r="K2934" s="81"/>
      <c r="L2934" s="81"/>
      <c r="M2934" s="81"/>
      <c r="N2934" s="84" t="str">
        <f aca="false">IF(C2934="","",IF(P2934="","NJ INCONNU",IF(I2934="",IF(H2934="OUI","À ENROBER",IF(G2934="À SOUDER","NON SOUDÉ","EN ATTENTE RT")),IF(L2934="R","À REPRENDRE",IF(H2934&lt;&gt;"OUI","⚠ ENROBÉ AVANT ACCEPTATION RT","ENROBÉ")))))</f>
        <v/>
      </c>
      <c r="O2934" s="80"/>
      <c r="P2934" s="82" t="str">
        <f aca="false">IF(C2934="","",IFERROR(MATCH(Q2934,'CARNET DE SOUDURE'!$AW$7:$AW$3006,0),""))</f>
        <v/>
      </c>
      <c r="Q2934" s="82" t="str">
        <f aca="false">IF(C2934="","",B2934&amp;"|"&amp;C2934)</f>
        <v/>
      </c>
    </row>
    <row r="2935" customFormat="false" ht="15" hidden="false" customHeight="false" outlineLevel="0" collapsed="false">
      <c r="A2935" s="82" t="str">
        <f aca="false">IF(C2935="","",ROW()-6)</f>
        <v/>
      </c>
      <c r="B2935" s="80"/>
      <c r="C2935" s="113"/>
      <c r="D2935" s="82" t="str">
        <f aca="false">IF(OR(C2935="",P2935=""),"",INDEX('CARNET DE SOUDURE'!$D$7:$D$3006,P2935)&amp;"")</f>
        <v/>
      </c>
      <c r="E2935" s="114" t="str">
        <f aca="false">IF(OR(C2935="",P2935=""),"",IF(INDEX('CARNET DE SOUDURE'!$U$7:$U$3006,P2935)="","",INDEX('CARNET DE SOUDURE'!$U$7:$U$3006,P2935)))</f>
        <v/>
      </c>
      <c r="F2935" s="82" t="str">
        <f aca="false">IF(OR(C2935="",P2935=""),"",INDEX('CARNET DE SOUDURE'!$AP$7:$AP$3006,P2935))</f>
        <v/>
      </c>
      <c r="G2935" s="82" t="str">
        <f aca="false">IF(C2935="","",IF(P2935="","NJ INCONNU",INDEX('CARNET DE SOUDURE'!$AQ$7:$AQ$3006,P2935)))</f>
        <v/>
      </c>
      <c r="H2935" s="82" t="str">
        <f aca="false">IF(C2935="","",IF(G2935="ACCEPTÉ","OUI","NON"))</f>
        <v/>
      </c>
      <c r="I2935" s="83"/>
      <c r="J2935" s="80"/>
      <c r="K2935" s="81"/>
      <c r="L2935" s="81"/>
      <c r="M2935" s="81"/>
      <c r="N2935" s="84" t="str">
        <f aca="false">IF(C2935="","",IF(P2935="","NJ INCONNU",IF(I2935="",IF(H2935="OUI","À ENROBER",IF(G2935="À SOUDER","NON SOUDÉ","EN ATTENTE RT")),IF(L2935="R","À REPRENDRE",IF(H2935&lt;&gt;"OUI","⚠ ENROBÉ AVANT ACCEPTATION RT","ENROBÉ")))))</f>
        <v/>
      </c>
      <c r="O2935" s="80"/>
      <c r="P2935" s="82" t="str">
        <f aca="false">IF(C2935="","",IFERROR(MATCH(Q2935,'CARNET DE SOUDURE'!$AW$7:$AW$3006,0),""))</f>
        <v/>
      </c>
      <c r="Q2935" s="82" t="str">
        <f aca="false">IF(C2935="","",B2935&amp;"|"&amp;C2935)</f>
        <v/>
      </c>
    </row>
    <row r="2936" customFormat="false" ht="15" hidden="false" customHeight="false" outlineLevel="0" collapsed="false">
      <c r="A2936" s="82" t="str">
        <f aca="false">IF(C2936="","",ROW()-6)</f>
        <v/>
      </c>
      <c r="B2936" s="80"/>
      <c r="C2936" s="113"/>
      <c r="D2936" s="82" t="str">
        <f aca="false">IF(OR(C2936="",P2936=""),"",INDEX('CARNET DE SOUDURE'!$D$7:$D$3006,P2936)&amp;"")</f>
        <v/>
      </c>
      <c r="E2936" s="114" t="str">
        <f aca="false">IF(OR(C2936="",P2936=""),"",IF(INDEX('CARNET DE SOUDURE'!$U$7:$U$3006,P2936)="","",INDEX('CARNET DE SOUDURE'!$U$7:$U$3006,P2936)))</f>
        <v/>
      </c>
      <c r="F2936" s="82" t="str">
        <f aca="false">IF(OR(C2936="",P2936=""),"",INDEX('CARNET DE SOUDURE'!$AP$7:$AP$3006,P2936))</f>
        <v/>
      </c>
      <c r="G2936" s="82" t="str">
        <f aca="false">IF(C2936="","",IF(P2936="","NJ INCONNU",INDEX('CARNET DE SOUDURE'!$AQ$7:$AQ$3006,P2936)))</f>
        <v/>
      </c>
      <c r="H2936" s="82" t="str">
        <f aca="false">IF(C2936="","",IF(G2936="ACCEPTÉ","OUI","NON"))</f>
        <v/>
      </c>
      <c r="I2936" s="83"/>
      <c r="J2936" s="80"/>
      <c r="K2936" s="81"/>
      <c r="L2936" s="81"/>
      <c r="M2936" s="81"/>
      <c r="N2936" s="84" t="str">
        <f aca="false">IF(C2936="","",IF(P2936="","NJ INCONNU",IF(I2936="",IF(H2936="OUI","À ENROBER",IF(G2936="À SOUDER","NON SOUDÉ","EN ATTENTE RT")),IF(L2936="R","À REPRENDRE",IF(H2936&lt;&gt;"OUI","⚠ ENROBÉ AVANT ACCEPTATION RT","ENROBÉ")))))</f>
        <v/>
      </c>
      <c r="O2936" s="80"/>
      <c r="P2936" s="82" t="str">
        <f aca="false">IF(C2936="","",IFERROR(MATCH(Q2936,'CARNET DE SOUDURE'!$AW$7:$AW$3006,0),""))</f>
        <v/>
      </c>
      <c r="Q2936" s="82" t="str">
        <f aca="false">IF(C2936="","",B2936&amp;"|"&amp;C2936)</f>
        <v/>
      </c>
    </row>
    <row r="2937" customFormat="false" ht="15" hidden="false" customHeight="false" outlineLevel="0" collapsed="false">
      <c r="A2937" s="82" t="str">
        <f aca="false">IF(C2937="","",ROW()-6)</f>
        <v/>
      </c>
      <c r="B2937" s="80"/>
      <c r="C2937" s="113"/>
      <c r="D2937" s="82" t="str">
        <f aca="false">IF(OR(C2937="",P2937=""),"",INDEX('CARNET DE SOUDURE'!$D$7:$D$3006,P2937)&amp;"")</f>
        <v/>
      </c>
      <c r="E2937" s="114" t="str">
        <f aca="false">IF(OR(C2937="",P2937=""),"",IF(INDEX('CARNET DE SOUDURE'!$U$7:$U$3006,P2937)="","",INDEX('CARNET DE SOUDURE'!$U$7:$U$3006,P2937)))</f>
        <v/>
      </c>
      <c r="F2937" s="82" t="str">
        <f aca="false">IF(OR(C2937="",P2937=""),"",INDEX('CARNET DE SOUDURE'!$AP$7:$AP$3006,P2937))</f>
        <v/>
      </c>
      <c r="G2937" s="82" t="str">
        <f aca="false">IF(C2937="","",IF(P2937="","NJ INCONNU",INDEX('CARNET DE SOUDURE'!$AQ$7:$AQ$3006,P2937)))</f>
        <v/>
      </c>
      <c r="H2937" s="82" t="str">
        <f aca="false">IF(C2937="","",IF(G2937="ACCEPTÉ","OUI","NON"))</f>
        <v/>
      </c>
      <c r="I2937" s="83"/>
      <c r="J2937" s="80"/>
      <c r="K2937" s="81"/>
      <c r="L2937" s="81"/>
      <c r="M2937" s="81"/>
      <c r="N2937" s="84" t="str">
        <f aca="false">IF(C2937="","",IF(P2937="","NJ INCONNU",IF(I2937="",IF(H2937="OUI","À ENROBER",IF(G2937="À SOUDER","NON SOUDÉ","EN ATTENTE RT")),IF(L2937="R","À REPRENDRE",IF(H2937&lt;&gt;"OUI","⚠ ENROBÉ AVANT ACCEPTATION RT","ENROBÉ")))))</f>
        <v/>
      </c>
      <c r="O2937" s="80"/>
      <c r="P2937" s="82" t="str">
        <f aca="false">IF(C2937="","",IFERROR(MATCH(Q2937,'CARNET DE SOUDURE'!$AW$7:$AW$3006,0),""))</f>
        <v/>
      </c>
      <c r="Q2937" s="82" t="str">
        <f aca="false">IF(C2937="","",B2937&amp;"|"&amp;C2937)</f>
        <v/>
      </c>
    </row>
    <row r="2938" customFormat="false" ht="15" hidden="false" customHeight="false" outlineLevel="0" collapsed="false">
      <c r="A2938" s="82" t="str">
        <f aca="false">IF(C2938="","",ROW()-6)</f>
        <v/>
      </c>
      <c r="B2938" s="80"/>
      <c r="C2938" s="113"/>
      <c r="D2938" s="82" t="str">
        <f aca="false">IF(OR(C2938="",P2938=""),"",INDEX('CARNET DE SOUDURE'!$D$7:$D$3006,P2938)&amp;"")</f>
        <v/>
      </c>
      <c r="E2938" s="114" t="str">
        <f aca="false">IF(OR(C2938="",P2938=""),"",IF(INDEX('CARNET DE SOUDURE'!$U$7:$U$3006,P2938)="","",INDEX('CARNET DE SOUDURE'!$U$7:$U$3006,P2938)))</f>
        <v/>
      </c>
      <c r="F2938" s="82" t="str">
        <f aca="false">IF(OR(C2938="",P2938=""),"",INDEX('CARNET DE SOUDURE'!$AP$7:$AP$3006,P2938))</f>
        <v/>
      </c>
      <c r="G2938" s="82" t="str">
        <f aca="false">IF(C2938="","",IF(P2938="","NJ INCONNU",INDEX('CARNET DE SOUDURE'!$AQ$7:$AQ$3006,P2938)))</f>
        <v/>
      </c>
      <c r="H2938" s="82" t="str">
        <f aca="false">IF(C2938="","",IF(G2938="ACCEPTÉ","OUI","NON"))</f>
        <v/>
      </c>
      <c r="I2938" s="83"/>
      <c r="J2938" s="80"/>
      <c r="K2938" s="81"/>
      <c r="L2938" s="81"/>
      <c r="M2938" s="81"/>
      <c r="N2938" s="84" t="str">
        <f aca="false">IF(C2938="","",IF(P2938="","NJ INCONNU",IF(I2938="",IF(H2938="OUI","À ENROBER",IF(G2938="À SOUDER","NON SOUDÉ","EN ATTENTE RT")),IF(L2938="R","À REPRENDRE",IF(H2938&lt;&gt;"OUI","⚠ ENROBÉ AVANT ACCEPTATION RT","ENROBÉ")))))</f>
        <v/>
      </c>
      <c r="O2938" s="80"/>
      <c r="P2938" s="82" t="str">
        <f aca="false">IF(C2938="","",IFERROR(MATCH(Q2938,'CARNET DE SOUDURE'!$AW$7:$AW$3006,0),""))</f>
        <v/>
      </c>
      <c r="Q2938" s="82" t="str">
        <f aca="false">IF(C2938="","",B2938&amp;"|"&amp;C2938)</f>
        <v/>
      </c>
    </row>
    <row r="2939" customFormat="false" ht="15" hidden="false" customHeight="false" outlineLevel="0" collapsed="false">
      <c r="A2939" s="82" t="str">
        <f aca="false">IF(C2939="","",ROW()-6)</f>
        <v/>
      </c>
      <c r="B2939" s="80"/>
      <c r="C2939" s="113"/>
      <c r="D2939" s="82" t="str">
        <f aca="false">IF(OR(C2939="",P2939=""),"",INDEX('CARNET DE SOUDURE'!$D$7:$D$3006,P2939)&amp;"")</f>
        <v/>
      </c>
      <c r="E2939" s="114" t="str">
        <f aca="false">IF(OR(C2939="",P2939=""),"",IF(INDEX('CARNET DE SOUDURE'!$U$7:$U$3006,P2939)="","",INDEX('CARNET DE SOUDURE'!$U$7:$U$3006,P2939)))</f>
        <v/>
      </c>
      <c r="F2939" s="82" t="str">
        <f aca="false">IF(OR(C2939="",P2939=""),"",INDEX('CARNET DE SOUDURE'!$AP$7:$AP$3006,P2939))</f>
        <v/>
      </c>
      <c r="G2939" s="82" t="str">
        <f aca="false">IF(C2939="","",IF(P2939="","NJ INCONNU",INDEX('CARNET DE SOUDURE'!$AQ$7:$AQ$3006,P2939)))</f>
        <v/>
      </c>
      <c r="H2939" s="82" t="str">
        <f aca="false">IF(C2939="","",IF(G2939="ACCEPTÉ","OUI","NON"))</f>
        <v/>
      </c>
      <c r="I2939" s="83"/>
      <c r="J2939" s="80"/>
      <c r="K2939" s="81"/>
      <c r="L2939" s="81"/>
      <c r="M2939" s="81"/>
      <c r="N2939" s="84" t="str">
        <f aca="false">IF(C2939="","",IF(P2939="","NJ INCONNU",IF(I2939="",IF(H2939="OUI","À ENROBER",IF(G2939="À SOUDER","NON SOUDÉ","EN ATTENTE RT")),IF(L2939="R","À REPRENDRE",IF(H2939&lt;&gt;"OUI","⚠ ENROBÉ AVANT ACCEPTATION RT","ENROBÉ")))))</f>
        <v/>
      </c>
      <c r="O2939" s="80"/>
      <c r="P2939" s="82" t="str">
        <f aca="false">IF(C2939="","",IFERROR(MATCH(Q2939,'CARNET DE SOUDURE'!$AW$7:$AW$3006,0),""))</f>
        <v/>
      </c>
      <c r="Q2939" s="82" t="str">
        <f aca="false">IF(C2939="","",B2939&amp;"|"&amp;C2939)</f>
        <v/>
      </c>
    </row>
    <row r="2940" customFormat="false" ht="15" hidden="false" customHeight="false" outlineLevel="0" collapsed="false">
      <c r="A2940" s="82" t="str">
        <f aca="false">IF(C2940="","",ROW()-6)</f>
        <v/>
      </c>
      <c r="B2940" s="80"/>
      <c r="C2940" s="113"/>
      <c r="D2940" s="82" t="str">
        <f aca="false">IF(OR(C2940="",P2940=""),"",INDEX('CARNET DE SOUDURE'!$D$7:$D$3006,P2940)&amp;"")</f>
        <v/>
      </c>
      <c r="E2940" s="114" t="str">
        <f aca="false">IF(OR(C2940="",P2940=""),"",IF(INDEX('CARNET DE SOUDURE'!$U$7:$U$3006,P2940)="","",INDEX('CARNET DE SOUDURE'!$U$7:$U$3006,P2940)))</f>
        <v/>
      </c>
      <c r="F2940" s="82" t="str">
        <f aca="false">IF(OR(C2940="",P2940=""),"",INDEX('CARNET DE SOUDURE'!$AP$7:$AP$3006,P2940))</f>
        <v/>
      </c>
      <c r="G2940" s="82" t="str">
        <f aca="false">IF(C2940="","",IF(P2940="","NJ INCONNU",INDEX('CARNET DE SOUDURE'!$AQ$7:$AQ$3006,P2940)))</f>
        <v/>
      </c>
      <c r="H2940" s="82" t="str">
        <f aca="false">IF(C2940="","",IF(G2940="ACCEPTÉ","OUI","NON"))</f>
        <v/>
      </c>
      <c r="I2940" s="83"/>
      <c r="J2940" s="80"/>
      <c r="K2940" s="81"/>
      <c r="L2940" s="81"/>
      <c r="M2940" s="81"/>
      <c r="N2940" s="84" t="str">
        <f aca="false">IF(C2940="","",IF(P2940="","NJ INCONNU",IF(I2940="",IF(H2940="OUI","À ENROBER",IF(G2940="À SOUDER","NON SOUDÉ","EN ATTENTE RT")),IF(L2940="R","À REPRENDRE",IF(H2940&lt;&gt;"OUI","⚠ ENROBÉ AVANT ACCEPTATION RT","ENROBÉ")))))</f>
        <v/>
      </c>
      <c r="O2940" s="80"/>
      <c r="P2940" s="82" t="str">
        <f aca="false">IF(C2940="","",IFERROR(MATCH(Q2940,'CARNET DE SOUDURE'!$AW$7:$AW$3006,0),""))</f>
        <v/>
      </c>
      <c r="Q2940" s="82" t="str">
        <f aca="false">IF(C2940="","",B2940&amp;"|"&amp;C2940)</f>
        <v/>
      </c>
    </row>
    <row r="2941" customFormat="false" ht="15" hidden="false" customHeight="false" outlineLevel="0" collapsed="false">
      <c r="A2941" s="82" t="str">
        <f aca="false">IF(C2941="","",ROW()-6)</f>
        <v/>
      </c>
      <c r="B2941" s="80"/>
      <c r="C2941" s="113"/>
      <c r="D2941" s="82" t="str">
        <f aca="false">IF(OR(C2941="",P2941=""),"",INDEX('CARNET DE SOUDURE'!$D$7:$D$3006,P2941)&amp;"")</f>
        <v/>
      </c>
      <c r="E2941" s="114" t="str">
        <f aca="false">IF(OR(C2941="",P2941=""),"",IF(INDEX('CARNET DE SOUDURE'!$U$7:$U$3006,P2941)="","",INDEX('CARNET DE SOUDURE'!$U$7:$U$3006,P2941)))</f>
        <v/>
      </c>
      <c r="F2941" s="82" t="str">
        <f aca="false">IF(OR(C2941="",P2941=""),"",INDEX('CARNET DE SOUDURE'!$AP$7:$AP$3006,P2941))</f>
        <v/>
      </c>
      <c r="G2941" s="82" t="str">
        <f aca="false">IF(C2941="","",IF(P2941="","NJ INCONNU",INDEX('CARNET DE SOUDURE'!$AQ$7:$AQ$3006,P2941)))</f>
        <v/>
      </c>
      <c r="H2941" s="82" t="str">
        <f aca="false">IF(C2941="","",IF(G2941="ACCEPTÉ","OUI","NON"))</f>
        <v/>
      </c>
      <c r="I2941" s="83"/>
      <c r="J2941" s="80"/>
      <c r="K2941" s="81"/>
      <c r="L2941" s="81"/>
      <c r="M2941" s="81"/>
      <c r="N2941" s="84" t="str">
        <f aca="false">IF(C2941="","",IF(P2941="","NJ INCONNU",IF(I2941="",IF(H2941="OUI","À ENROBER",IF(G2941="À SOUDER","NON SOUDÉ","EN ATTENTE RT")),IF(L2941="R","À REPRENDRE",IF(H2941&lt;&gt;"OUI","⚠ ENROBÉ AVANT ACCEPTATION RT","ENROBÉ")))))</f>
        <v/>
      </c>
      <c r="O2941" s="80"/>
      <c r="P2941" s="82" t="str">
        <f aca="false">IF(C2941="","",IFERROR(MATCH(Q2941,'CARNET DE SOUDURE'!$AW$7:$AW$3006,0),""))</f>
        <v/>
      </c>
      <c r="Q2941" s="82" t="str">
        <f aca="false">IF(C2941="","",B2941&amp;"|"&amp;C2941)</f>
        <v/>
      </c>
    </row>
    <row r="2942" customFormat="false" ht="15" hidden="false" customHeight="false" outlineLevel="0" collapsed="false">
      <c r="A2942" s="82" t="str">
        <f aca="false">IF(C2942="","",ROW()-6)</f>
        <v/>
      </c>
      <c r="B2942" s="80"/>
      <c r="C2942" s="113"/>
      <c r="D2942" s="82" t="str">
        <f aca="false">IF(OR(C2942="",P2942=""),"",INDEX('CARNET DE SOUDURE'!$D$7:$D$3006,P2942)&amp;"")</f>
        <v/>
      </c>
      <c r="E2942" s="114" t="str">
        <f aca="false">IF(OR(C2942="",P2942=""),"",IF(INDEX('CARNET DE SOUDURE'!$U$7:$U$3006,P2942)="","",INDEX('CARNET DE SOUDURE'!$U$7:$U$3006,P2942)))</f>
        <v/>
      </c>
      <c r="F2942" s="82" t="str">
        <f aca="false">IF(OR(C2942="",P2942=""),"",INDEX('CARNET DE SOUDURE'!$AP$7:$AP$3006,P2942))</f>
        <v/>
      </c>
      <c r="G2942" s="82" t="str">
        <f aca="false">IF(C2942="","",IF(P2942="","NJ INCONNU",INDEX('CARNET DE SOUDURE'!$AQ$7:$AQ$3006,P2942)))</f>
        <v/>
      </c>
      <c r="H2942" s="82" t="str">
        <f aca="false">IF(C2942="","",IF(G2942="ACCEPTÉ","OUI","NON"))</f>
        <v/>
      </c>
      <c r="I2942" s="83"/>
      <c r="J2942" s="80"/>
      <c r="K2942" s="81"/>
      <c r="L2942" s="81"/>
      <c r="M2942" s="81"/>
      <c r="N2942" s="84" t="str">
        <f aca="false">IF(C2942="","",IF(P2942="","NJ INCONNU",IF(I2942="",IF(H2942="OUI","À ENROBER",IF(G2942="À SOUDER","NON SOUDÉ","EN ATTENTE RT")),IF(L2942="R","À REPRENDRE",IF(H2942&lt;&gt;"OUI","⚠ ENROBÉ AVANT ACCEPTATION RT","ENROBÉ")))))</f>
        <v/>
      </c>
      <c r="O2942" s="80"/>
      <c r="P2942" s="82" t="str">
        <f aca="false">IF(C2942="","",IFERROR(MATCH(Q2942,'CARNET DE SOUDURE'!$AW$7:$AW$3006,0),""))</f>
        <v/>
      </c>
      <c r="Q2942" s="82" t="str">
        <f aca="false">IF(C2942="","",B2942&amp;"|"&amp;C2942)</f>
        <v/>
      </c>
    </row>
    <row r="2943" customFormat="false" ht="15" hidden="false" customHeight="false" outlineLevel="0" collapsed="false">
      <c r="A2943" s="82" t="str">
        <f aca="false">IF(C2943="","",ROW()-6)</f>
        <v/>
      </c>
      <c r="B2943" s="80"/>
      <c r="C2943" s="113"/>
      <c r="D2943" s="82" t="str">
        <f aca="false">IF(OR(C2943="",P2943=""),"",INDEX('CARNET DE SOUDURE'!$D$7:$D$3006,P2943)&amp;"")</f>
        <v/>
      </c>
      <c r="E2943" s="114" t="str">
        <f aca="false">IF(OR(C2943="",P2943=""),"",IF(INDEX('CARNET DE SOUDURE'!$U$7:$U$3006,P2943)="","",INDEX('CARNET DE SOUDURE'!$U$7:$U$3006,P2943)))</f>
        <v/>
      </c>
      <c r="F2943" s="82" t="str">
        <f aca="false">IF(OR(C2943="",P2943=""),"",INDEX('CARNET DE SOUDURE'!$AP$7:$AP$3006,P2943))</f>
        <v/>
      </c>
      <c r="G2943" s="82" t="str">
        <f aca="false">IF(C2943="","",IF(P2943="","NJ INCONNU",INDEX('CARNET DE SOUDURE'!$AQ$7:$AQ$3006,P2943)))</f>
        <v/>
      </c>
      <c r="H2943" s="82" t="str">
        <f aca="false">IF(C2943="","",IF(G2943="ACCEPTÉ","OUI","NON"))</f>
        <v/>
      </c>
      <c r="I2943" s="83"/>
      <c r="J2943" s="80"/>
      <c r="K2943" s="81"/>
      <c r="L2943" s="81"/>
      <c r="M2943" s="81"/>
      <c r="N2943" s="84" t="str">
        <f aca="false">IF(C2943="","",IF(P2943="","NJ INCONNU",IF(I2943="",IF(H2943="OUI","À ENROBER",IF(G2943="À SOUDER","NON SOUDÉ","EN ATTENTE RT")),IF(L2943="R","À REPRENDRE",IF(H2943&lt;&gt;"OUI","⚠ ENROBÉ AVANT ACCEPTATION RT","ENROBÉ")))))</f>
        <v/>
      </c>
      <c r="O2943" s="80"/>
      <c r="P2943" s="82" t="str">
        <f aca="false">IF(C2943="","",IFERROR(MATCH(Q2943,'CARNET DE SOUDURE'!$AW$7:$AW$3006,0),""))</f>
        <v/>
      </c>
      <c r="Q2943" s="82" t="str">
        <f aca="false">IF(C2943="","",B2943&amp;"|"&amp;C2943)</f>
        <v/>
      </c>
    </row>
    <row r="2944" customFormat="false" ht="15" hidden="false" customHeight="false" outlineLevel="0" collapsed="false">
      <c r="A2944" s="82" t="str">
        <f aca="false">IF(C2944="","",ROW()-6)</f>
        <v/>
      </c>
      <c r="B2944" s="80"/>
      <c r="C2944" s="113"/>
      <c r="D2944" s="82" t="str">
        <f aca="false">IF(OR(C2944="",P2944=""),"",INDEX('CARNET DE SOUDURE'!$D$7:$D$3006,P2944)&amp;"")</f>
        <v/>
      </c>
      <c r="E2944" s="114" t="str">
        <f aca="false">IF(OR(C2944="",P2944=""),"",IF(INDEX('CARNET DE SOUDURE'!$U$7:$U$3006,P2944)="","",INDEX('CARNET DE SOUDURE'!$U$7:$U$3006,P2944)))</f>
        <v/>
      </c>
      <c r="F2944" s="82" t="str">
        <f aca="false">IF(OR(C2944="",P2944=""),"",INDEX('CARNET DE SOUDURE'!$AP$7:$AP$3006,P2944))</f>
        <v/>
      </c>
      <c r="G2944" s="82" t="str">
        <f aca="false">IF(C2944="","",IF(P2944="","NJ INCONNU",INDEX('CARNET DE SOUDURE'!$AQ$7:$AQ$3006,P2944)))</f>
        <v/>
      </c>
      <c r="H2944" s="82" t="str">
        <f aca="false">IF(C2944="","",IF(G2944="ACCEPTÉ","OUI","NON"))</f>
        <v/>
      </c>
      <c r="I2944" s="83"/>
      <c r="J2944" s="80"/>
      <c r="K2944" s="81"/>
      <c r="L2944" s="81"/>
      <c r="M2944" s="81"/>
      <c r="N2944" s="84" t="str">
        <f aca="false">IF(C2944="","",IF(P2944="","NJ INCONNU",IF(I2944="",IF(H2944="OUI","À ENROBER",IF(G2944="À SOUDER","NON SOUDÉ","EN ATTENTE RT")),IF(L2944="R","À REPRENDRE",IF(H2944&lt;&gt;"OUI","⚠ ENROBÉ AVANT ACCEPTATION RT","ENROBÉ")))))</f>
        <v/>
      </c>
      <c r="O2944" s="80"/>
      <c r="P2944" s="82" t="str">
        <f aca="false">IF(C2944="","",IFERROR(MATCH(Q2944,'CARNET DE SOUDURE'!$AW$7:$AW$3006,0),""))</f>
        <v/>
      </c>
      <c r="Q2944" s="82" t="str">
        <f aca="false">IF(C2944="","",B2944&amp;"|"&amp;C2944)</f>
        <v/>
      </c>
    </row>
    <row r="2945" customFormat="false" ht="15" hidden="false" customHeight="false" outlineLevel="0" collapsed="false">
      <c r="A2945" s="82" t="str">
        <f aca="false">IF(C2945="","",ROW()-6)</f>
        <v/>
      </c>
      <c r="B2945" s="80"/>
      <c r="C2945" s="113"/>
      <c r="D2945" s="82" t="str">
        <f aca="false">IF(OR(C2945="",P2945=""),"",INDEX('CARNET DE SOUDURE'!$D$7:$D$3006,P2945)&amp;"")</f>
        <v/>
      </c>
      <c r="E2945" s="114" t="str">
        <f aca="false">IF(OR(C2945="",P2945=""),"",IF(INDEX('CARNET DE SOUDURE'!$U$7:$U$3006,P2945)="","",INDEX('CARNET DE SOUDURE'!$U$7:$U$3006,P2945)))</f>
        <v/>
      </c>
      <c r="F2945" s="82" t="str">
        <f aca="false">IF(OR(C2945="",P2945=""),"",INDEX('CARNET DE SOUDURE'!$AP$7:$AP$3006,P2945))</f>
        <v/>
      </c>
      <c r="G2945" s="82" t="str">
        <f aca="false">IF(C2945="","",IF(P2945="","NJ INCONNU",INDEX('CARNET DE SOUDURE'!$AQ$7:$AQ$3006,P2945)))</f>
        <v/>
      </c>
      <c r="H2945" s="82" t="str">
        <f aca="false">IF(C2945="","",IF(G2945="ACCEPTÉ","OUI","NON"))</f>
        <v/>
      </c>
      <c r="I2945" s="83"/>
      <c r="J2945" s="80"/>
      <c r="K2945" s="81"/>
      <c r="L2945" s="81"/>
      <c r="M2945" s="81"/>
      <c r="N2945" s="84" t="str">
        <f aca="false">IF(C2945="","",IF(P2945="","NJ INCONNU",IF(I2945="",IF(H2945="OUI","À ENROBER",IF(G2945="À SOUDER","NON SOUDÉ","EN ATTENTE RT")),IF(L2945="R","À REPRENDRE",IF(H2945&lt;&gt;"OUI","⚠ ENROBÉ AVANT ACCEPTATION RT","ENROBÉ")))))</f>
        <v/>
      </c>
      <c r="O2945" s="80"/>
      <c r="P2945" s="82" t="str">
        <f aca="false">IF(C2945="","",IFERROR(MATCH(Q2945,'CARNET DE SOUDURE'!$AW$7:$AW$3006,0),""))</f>
        <v/>
      </c>
      <c r="Q2945" s="82" t="str">
        <f aca="false">IF(C2945="","",B2945&amp;"|"&amp;C2945)</f>
        <v/>
      </c>
    </row>
    <row r="2946" customFormat="false" ht="15" hidden="false" customHeight="false" outlineLevel="0" collapsed="false">
      <c r="A2946" s="82" t="str">
        <f aca="false">IF(C2946="","",ROW()-6)</f>
        <v/>
      </c>
      <c r="B2946" s="80"/>
      <c r="C2946" s="113"/>
      <c r="D2946" s="82" t="str">
        <f aca="false">IF(OR(C2946="",P2946=""),"",INDEX('CARNET DE SOUDURE'!$D$7:$D$3006,P2946)&amp;"")</f>
        <v/>
      </c>
      <c r="E2946" s="114" t="str">
        <f aca="false">IF(OR(C2946="",P2946=""),"",IF(INDEX('CARNET DE SOUDURE'!$U$7:$U$3006,P2946)="","",INDEX('CARNET DE SOUDURE'!$U$7:$U$3006,P2946)))</f>
        <v/>
      </c>
      <c r="F2946" s="82" t="str">
        <f aca="false">IF(OR(C2946="",P2946=""),"",INDEX('CARNET DE SOUDURE'!$AP$7:$AP$3006,P2946))</f>
        <v/>
      </c>
      <c r="G2946" s="82" t="str">
        <f aca="false">IF(C2946="","",IF(P2946="","NJ INCONNU",INDEX('CARNET DE SOUDURE'!$AQ$7:$AQ$3006,P2946)))</f>
        <v/>
      </c>
      <c r="H2946" s="82" t="str">
        <f aca="false">IF(C2946="","",IF(G2946="ACCEPTÉ","OUI","NON"))</f>
        <v/>
      </c>
      <c r="I2946" s="83"/>
      <c r="J2946" s="80"/>
      <c r="K2946" s="81"/>
      <c r="L2946" s="81"/>
      <c r="M2946" s="81"/>
      <c r="N2946" s="84" t="str">
        <f aca="false">IF(C2946="","",IF(P2946="","NJ INCONNU",IF(I2946="",IF(H2946="OUI","À ENROBER",IF(G2946="À SOUDER","NON SOUDÉ","EN ATTENTE RT")),IF(L2946="R","À REPRENDRE",IF(H2946&lt;&gt;"OUI","⚠ ENROBÉ AVANT ACCEPTATION RT","ENROBÉ")))))</f>
        <v/>
      </c>
      <c r="O2946" s="80"/>
      <c r="P2946" s="82" t="str">
        <f aca="false">IF(C2946="","",IFERROR(MATCH(Q2946,'CARNET DE SOUDURE'!$AW$7:$AW$3006,0),""))</f>
        <v/>
      </c>
      <c r="Q2946" s="82" t="str">
        <f aca="false">IF(C2946="","",B2946&amp;"|"&amp;C2946)</f>
        <v/>
      </c>
    </row>
    <row r="2947" customFormat="false" ht="15" hidden="false" customHeight="false" outlineLevel="0" collapsed="false">
      <c r="A2947" s="82" t="str">
        <f aca="false">IF(C2947="","",ROW()-6)</f>
        <v/>
      </c>
      <c r="B2947" s="80"/>
      <c r="C2947" s="113"/>
      <c r="D2947" s="82" t="str">
        <f aca="false">IF(OR(C2947="",P2947=""),"",INDEX('CARNET DE SOUDURE'!$D$7:$D$3006,P2947)&amp;"")</f>
        <v/>
      </c>
      <c r="E2947" s="114" t="str">
        <f aca="false">IF(OR(C2947="",P2947=""),"",IF(INDEX('CARNET DE SOUDURE'!$U$7:$U$3006,P2947)="","",INDEX('CARNET DE SOUDURE'!$U$7:$U$3006,P2947)))</f>
        <v/>
      </c>
      <c r="F2947" s="82" t="str">
        <f aca="false">IF(OR(C2947="",P2947=""),"",INDEX('CARNET DE SOUDURE'!$AP$7:$AP$3006,P2947))</f>
        <v/>
      </c>
      <c r="G2947" s="82" t="str">
        <f aca="false">IF(C2947="","",IF(P2947="","NJ INCONNU",INDEX('CARNET DE SOUDURE'!$AQ$7:$AQ$3006,P2947)))</f>
        <v/>
      </c>
      <c r="H2947" s="82" t="str">
        <f aca="false">IF(C2947="","",IF(G2947="ACCEPTÉ","OUI","NON"))</f>
        <v/>
      </c>
      <c r="I2947" s="83"/>
      <c r="J2947" s="80"/>
      <c r="K2947" s="81"/>
      <c r="L2947" s="81"/>
      <c r="M2947" s="81"/>
      <c r="N2947" s="84" t="str">
        <f aca="false">IF(C2947="","",IF(P2947="","NJ INCONNU",IF(I2947="",IF(H2947="OUI","À ENROBER",IF(G2947="À SOUDER","NON SOUDÉ","EN ATTENTE RT")),IF(L2947="R","À REPRENDRE",IF(H2947&lt;&gt;"OUI","⚠ ENROBÉ AVANT ACCEPTATION RT","ENROBÉ")))))</f>
        <v/>
      </c>
      <c r="O2947" s="80"/>
      <c r="P2947" s="82" t="str">
        <f aca="false">IF(C2947="","",IFERROR(MATCH(Q2947,'CARNET DE SOUDURE'!$AW$7:$AW$3006,0),""))</f>
        <v/>
      </c>
      <c r="Q2947" s="82" t="str">
        <f aca="false">IF(C2947="","",B2947&amp;"|"&amp;C2947)</f>
        <v/>
      </c>
    </row>
    <row r="2948" customFormat="false" ht="15" hidden="false" customHeight="false" outlineLevel="0" collapsed="false">
      <c r="A2948" s="82" t="str">
        <f aca="false">IF(C2948="","",ROW()-6)</f>
        <v/>
      </c>
      <c r="B2948" s="80"/>
      <c r="C2948" s="113"/>
      <c r="D2948" s="82" t="str">
        <f aca="false">IF(OR(C2948="",P2948=""),"",INDEX('CARNET DE SOUDURE'!$D$7:$D$3006,P2948)&amp;"")</f>
        <v/>
      </c>
      <c r="E2948" s="114" t="str">
        <f aca="false">IF(OR(C2948="",P2948=""),"",IF(INDEX('CARNET DE SOUDURE'!$U$7:$U$3006,P2948)="","",INDEX('CARNET DE SOUDURE'!$U$7:$U$3006,P2948)))</f>
        <v/>
      </c>
      <c r="F2948" s="82" t="str">
        <f aca="false">IF(OR(C2948="",P2948=""),"",INDEX('CARNET DE SOUDURE'!$AP$7:$AP$3006,P2948))</f>
        <v/>
      </c>
      <c r="G2948" s="82" t="str">
        <f aca="false">IF(C2948="","",IF(P2948="","NJ INCONNU",INDEX('CARNET DE SOUDURE'!$AQ$7:$AQ$3006,P2948)))</f>
        <v/>
      </c>
      <c r="H2948" s="82" t="str">
        <f aca="false">IF(C2948="","",IF(G2948="ACCEPTÉ","OUI","NON"))</f>
        <v/>
      </c>
      <c r="I2948" s="83"/>
      <c r="J2948" s="80"/>
      <c r="K2948" s="81"/>
      <c r="L2948" s="81"/>
      <c r="M2948" s="81"/>
      <c r="N2948" s="84" t="str">
        <f aca="false">IF(C2948="","",IF(P2948="","NJ INCONNU",IF(I2948="",IF(H2948="OUI","À ENROBER",IF(G2948="À SOUDER","NON SOUDÉ","EN ATTENTE RT")),IF(L2948="R","À REPRENDRE",IF(H2948&lt;&gt;"OUI","⚠ ENROBÉ AVANT ACCEPTATION RT","ENROBÉ")))))</f>
        <v/>
      </c>
      <c r="O2948" s="80"/>
      <c r="P2948" s="82" t="str">
        <f aca="false">IF(C2948="","",IFERROR(MATCH(Q2948,'CARNET DE SOUDURE'!$AW$7:$AW$3006,0),""))</f>
        <v/>
      </c>
      <c r="Q2948" s="82" t="str">
        <f aca="false">IF(C2948="","",B2948&amp;"|"&amp;C2948)</f>
        <v/>
      </c>
    </row>
    <row r="2949" customFormat="false" ht="15" hidden="false" customHeight="false" outlineLevel="0" collapsed="false">
      <c r="A2949" s="82" t="str">
        <f aca="false">IF(C2949="","",ROW()-6)</f>
        <v/>
      </c>
      <c r="B2949" s="80"/>
      <c r="C2949" s="113"/>
      <c r="D2949" s="82" t="str">
        <f aca="false">IF(OR(C2949="",P2949=""),"",INDEX('CARNET DE SOUDURE'!$D$7:$D$3006,P2949)&amp;"")</f>
        <v/>
      </c>
      <c r="E2949" s="114" t="str">
        <f aca="false">IF(OR(C2949="",P2949=""),"",IF(INDEX('CARNET DE SOUDURE'!$U$7:$U$3006,P2949)="","",INDEX('CARNET DE SOUDURE'!$U$7:$U$3006,P2949)))</f>
        <v/>
      </c>
      <c r="F2949" s="82" t="str">
        <f aca="false">IF(OR(C2949="",P2949=""),"",INDEX('CARNET DE SOUDURE'!$AP$7:$AP$3006,P2949))</f>
        <v/>
      </c>
      <c r="G2949" s="82" t="str">
        <f aca="false">IF(C2949="","",IF(P2949="","NJ INCONNU",INDEX('CARNET DE SOUDURE'!$AQ$7:$AQ$3006,P2949)))</f>
        <v/>
      </c>
      <c r="H2949" s="82" t="str">
        <f aca="false">IF(C2949="","",IF(G2949="ACCEPTÉ","OUI","NON"))</f>
        <v/>
      </c>
      <c r="I2949" s="83"/>
      <c r="J2949" s="80"/>
      <c r="K2949" s="81"/>
      <c r="L2949" s="81"/>
      <c r="M2949" s="81"/>
      <c r="N2949" s="84" t="str">
        <f aca="false">IF(C2949="","",IF(P2949="","NJ INCONNU",IF(I2949="",IF(H2949="OUI","À ENROBER",IF(G2949="À SOUDER","NON SOUDÉ","EN ATTENTE RT")),IF(L2949="R","À REPRENDRE",IF(H2949&lt;&gt;"OUI","⚠ ENROBÉ AVANT ACCEPTATION RT","ENROBÉ")))))</f>
        <v/>
      </c>
      <c r="O2949" s="80"/>
      <c r="P2949" s="82" t="str">
        <f aca="false">IF(C2949="","",IFERROR(MATCH(Q2949,'CARNET DE SOUDURE'!$AW$7:$AW$3006,0),""))</f>
        <v/>
      </c>
      <c r="Q2949" s="82" t="str">
        <f aca="false">IF(C2949="","",B2949&amp;"|"&amp;C2949)</f>
        <v/>
      </c>
    </row>
    <row r="2950" customFormat="false" ht="15" hidden="false" customHeight="false" outlineLevel="0" collapsed="false">
      <c r="A2950" s="82" t="str">
        <f aca="false">IF(C2950="","",ROW()-6)</f>
        <v/>
      </c>
      <c r="B2950" s="80"/>
      <c r="C2950" s="113"/>
      <c r="D2950" s="82" t="str">
        <f aca="false">IF(OR(C2950="",P2950=""),"",INDEX('CARNET DE SOUDURE'!$D$7:$D$3006,P2950)&amp;"")</f>
        <v/>
      </c>
      <c r="E2950" s="114" t="str">
        <f aca="false">IF(OR(C2950="",P2950=""),"",IF(INDEX('CARNET DE SOUDURE'!$U$7:$U$3006,P2950)="","",INDEX('CARNET DE SOUDURE'!$U$7:$U$3006,P2950)))</f>
        <v/>
      </c>
      <c r="F2950" s="82" t="str">
        <f aca="false">IF(OR(C2950="",P2950=""),"",INDEX('CARNET DE SOUDURE'!$AP$7:$AP$3006,P2950))</f>
        <v/>
      </c>
      <c r="G2950" s="82" t="str">
        <f aca="false">IF(C2950="","",IF(P2950="","NJ INCONNU",INDEX('CARNET DE SOUDURE'!$AQ$7:$AQ$3006,P2950)))</f>
        <v/>
      </c>
      <c r="H2950" s="82" t="str">
        <f aca="false">IF(C2950="","",IF(G2950="ACCEPTÉ","OUI","NON"))</f>
        <v/>
      </c>
      <c r="I2950" s="83"/>
      <c r="J2950" s="80"/>
      <c r="K2950" s="81"/>
      <c r="L2950" s="81"/>
      <c r="M2950" s="81"/>
      <c r="N2950" s="84" t="str">
        <f aca="false">IF(C2950="","",IF(P2950="","NJ INCONNU",IF(I2950="",IF(H2950="OUI","À ENROBER",IF(G2950="À SOUDER","NON SOUDÉ","EN ATTENTE RT")),IF(L2950="R","À REPRENDRE",IF(H2950&lt;&gt;"OUI","⚠ ENROBÉ AVANT ACCEPTATION RT","ENROBÉ")))))</f>
        <v/>
      </c>
      <c r="O2950" s="80"/>
      <c r="P2950" s="82" t="str">
        <f aca="false">IF(C2950="","",IFERROR(MATCH(Q2950,'CARNET DE SOUDURE'!$AW$7:$AW$3006,0),""))</f>
        <v/>
      </c>
      <c r="Q2950" s="82" t="str">
        <f aca="false">IF(C2950="","",B2950&amp;"|"&amp;C2950)</f>
        <v/>
      </c>
    </row>
    <row r="2951" customFormat="false" ht="15" hidden="false" customHeight="false" outlineLevel="0" collapsed="false">
      <c r="A2951" s="82" t="str">
        <f aca="false">IF(C2951="","",ROW()-6)</f>
        <v/>
      </c>
      <c r="B2951" s="80"/>
      <c r="C2951" s="113"/>
      <c r="D2951" s="82" t="str">
        <f aca="false">IF(OR(C2951="",P2951=""),"",INDEX('CARNET DE SOUDURE'!$D$7:$D$3006,P2951)&amp;"")</f>
        <v/>
      </c>
      <c r="E2951" s="114" t="str">
        <f aca="false">IF(OR(C2951="",P2951=""),"",IF(INDEX('CARNET DE SOUDURE'!$U$7:$U$3006,P2951)="","",INDEX('CARNET DE SOUDURE'!$U$7:$U$3006,P2951)))</f>
        <v/>
      </c>
      <c r="F2951" s="82" t="str">
        <f aca="false">IF(OR(C2951="",P2951=""),"",INDEX('CARNET DE SOUDURE'!$AP$7:$AP$3006,P2951))</f>
        <v/>
      </c>
      <c r="G2951" s="82" t="str">
        <f aca="false">IF(C2951="","",IF(P2951="","NJ INCONNU",INDEX('CARNET DE SOUDURE'!$AQ$7:$AQ$3006,P2951)))</f>
        <v/>
      </c>
      <c r="H2951" s="82" t="str">
        <f aca="false">IF(C2951="","",IF(G2951="ACCEPTÉ","OUI","NON"))</f>
        <v/>
      </c>
      <c r="I2951" s="83"/>
      <c r="J2951" s="80"/>
      <c r="K2951" s="81"/>
      <c r="L2951" s="81"/>
      <c r="M2951" s="81"/>
      <c r="N2951" s="84" t="str">
        <f aca="false">IF(C2951="","",IF(P2951="","NJ INCONNU",IF(I2951="",IF(H2951="OUI","À ENROBER",IF(G2951="À SOUDER","NON SOUDÉ","EN ATTENTE RT")),IF(L2951="R","À REPRENDRE",IF(H2951&lt;&gt;"OUI","⚠ ENROBÉ AVANT ACCEPTATION RT","ENROBÉ")))))</f>
        <v/>
      </c>
      <c r="O2951" s="80"/>
      <c r="P2951" s="82" t="str">
        <f aca="false">IF(C2951="","",IFERROR(MATCH(Q2951,'CARNET DE SOUDURE'!$AW$7:$AW$3006,0),""))</f>
        <v/>
      </c>
      <c r="Q2951" s="82" t="str">
        <f aca="false">IF(C2951="","",B2951&amp;"|"&amp;C2951)</f>
        <v/>
      </c>
    </row>
    <row r="2952" customFormat="false" ht="15" hidden="false" customHeight="false" outlineLevel="0" collapsed="false">
      <c r="A2952" s="82" t="str">
        <f aca="false">IF(C2952="","",ROW()-6)</f>
        <v/>
      </c>
      <c r="B2952" s="80"/>
      <c r="C2952" s="113"/>
      <c r="D2952" s="82" t="str">
        <f aca="false">IF(OR(C2952="",P2952=""),"",INDEX('CARNET DE SOUDURE'!$D$7:$D$3006,P2952)&amp;"")</f>
        <v/>
      </c>
      <c r="E2952" s="114" t="str">
        <f aca="false">IF(OR(C2952="",P2952=""),"",IF(INDEX('CARNET DE SOUDURE'!$U$7:$U$3006,P2952)="","",INDEX('CARNET DE SOUDURE'!$U$7:$U$3006,P2952)))</f>
        <v/>
      </c>
      <c r="F2952" s="82" t="str">
        <f aca="false">IF(OR(C2952="",P2952=""),"",INDEX('CARNET DE SOUDURE'!$AP$7:$AP$3006,P2952))</f>
        <v/>
      </c>
      <c r="G2952" s="82" t="str">
        <f aca="false">IF(C2952="","",IF(P2952="","NJ INCONNU",INDEX('CARNET DE SOUDURE'!$AQ$7:$AQ$3006,P2952)))</f>
        <v/>
      </c>
      <c r="H2952" s="82" t="str">
        <f aca="false">IF(C2952="","",IF(G2952="ACCEPTÉ","OUI","NON"))</f>
        <v/>
      </c>
      <c r="I2952" s="83"/>
      <c r="J2952" s="80"/>
      <c r="K2952" s="81"/>
      <c r="L2952" s="81"/>
      <c r="M2952" s="81"/>
      <c r="N2952" s="84" t="str">
        <f aca="false">IF(C2952="","",IF(P2952="","NJ INCONNU",IF(I2952="",IF(H2952="OUI","À ENROBER",IF(G2952="À SOUDER","NON SOUDÉ","EN ATTENTE RT")),IF(L2952="R","À REPRENDRE",IF(H2952&lt;&gt;"OUI","⚠ ENROBÉ AVANT ACCEPTATION RT","ENROBÉ")))))</f>
        <v/>
      </c>
      <c r="O2952" s="80"/>
      <c r="P2952" s="82" t="str">
        <f aca="false">IF(C2952="","",IFERROR(MATCH(Q2952,'CARNET DE SOUDURE'!$AW$7:$AW$3006,0),""))</f>
        <v/>
      </c>
      <c r="Q2952" s="82" t="str">
        <f aca="false">IF(C2952="","",B2952&amp;"|"&amp;C2952)</f>
        <v/>
      </c>
    </row>
    <row r="2953" customFormat="false" ht="15" hidden="false" customHeight="false" outlineLevel="0" collapsed="false">
      <c r="A2953" s="82" t="str">
        <f aca="false">IF(C2953="","",ROW()-6)</f>
        <v/>
      </c>
      <c r="B2953" s="80"/>
      <c r="C2953" s="113"/>
      <c r="D2953" s="82" t="str">
        <f aca="false">IF(OR(C2953="",P2953=""),"",INDEX('CARNET DE SOUDURE'!$D$7:$D$3006,P2953)&amp;"")</f>
        <v/>
      </c>
      <c r="E2953" s="114" t="str">
        <f aca="false">IF(OR(C2953="",P2953=""),"",IF(INDEX('CARNET DE SOUDURE'!$U$7:$U$3006,P2953)="","",INDEX('CARNET DE SOUDURE'!$U$7:$U$3006,P2953)))</f>
        <v/>
      </c>
      <c r="F2953" s="82" t="str">
        <f aca="false">IF(OR(C2953="",P2953=""),"",INDEX('CARNET DE SOUDURE'!$AP$7:$AP$3006,P2953))</f>
        <v/>
      </c>
      <c r="G2953" s="82" t="str">
        <f aca="false">IF(C2953="","",IF(P2953="","NJ INCONNU",INDEX('CARNET DE SOUDURE'!$AQ$7:$AQ$3006,P2953)))</f>
        <v/>
      </c>
      <c r="H2953" s="82" t="str">
        <f aca="false">IF(C2953="","",IF(G2953="ACCEPTÉ","OUI","NON"))</f>
        <v/>
      </c>
      <c r="I2953" s="83"/>
      <c r="J2953" s="80"/>
      <c r="K2953" s="81"/>
      <c r="L2953" s="81"/>
      <c r="M2953" s="81"/>
      <c r="N2953" s="84" t="str">
        <f aca="false">IF(C2953="","",IF(P2953="","NJ INCONNU",IF(I2953="",IF(H2953="OUI","À ENROBER",IF(G2953="À SOUDER","NON SOUDÉ","EN ATTENTE RT")),IF(L2953="R","À REPRENDRE",IF(H2953&lt;&gt;"OUI","⚠ ENROBÉ AVANT ACCEPTATION RT","ENROBÉ")))))</f>
        <v/>
      </c>
      <c r="O2953" s="80"/>
      <c r="P2953" s="82" t="str">
        <f aca="false">IF(C2953="","",IFERROR(MATCH(Q2953,'CARNET DE SOUDURE'!$AW$7:$AW$3006,0),""))</f>
        <v/>
      </c>
      <c r="Q2953" s="82" t="str">
        <f aca="false">IF(C2953="","",B2953&amp;"|"&amp;C2953)</f>
        <v/>
      </c>
    </row>
    <row r="2954" customFormat="false" ht="15" hidden="false" customHeight="false" outlineLevel="0" collapsed="false">
      <c r="A2954" s="82" t="str">
        <f aca="false">IF(C2954="","",ROW()-6)</f>
        <v/>
      </c>
      <c r="B2954" s="80"/>
      <c r="C2954" s="113"/>
      <c r="D2954" s="82" t="str">
        <f aca="false">IF(OR(C2954="",P2954=""),"",INDEX('CARNET DE SOUDURE'!$D$7:$D$3006,P2954)&amp;"")</f>
        <v/>
      </c>
      <c r="E2954" s="114" t="str">
        <f aca="false">IF(OR(C2954="",P2954=""),"",IF(INDEX('CARNET DE SOUDURE'!$U$7:$U$3006,P2954)="","",INDEX('CARNET DE SOUDURE'!$U$7:$U$3006,P2954)))</f>
        <v/>
      </c>
      <c r="F2954" s="82" t="str">
        <f aca="false">IF(OR(C2954="",P2954=""),"",INDEX('CARNET DE SOUDURE'!$AP$7:$AP$3006,P2954))</f>
        <v/>
      </c>
      <c r="G2954" s="82" t="str">
        <f aca="false">IF(C2954="","",IF(P2954="","NJ INCONNU",INDEX('CARNET DE SOUDURE'!$AQ$7:$AQ$3006,P2954)))</f>
        <v/>
      </c>
      <c r="H2954" s="82" t="str">
        <f aca="false">IF(C2954="","",IF(G2954="ACCEPTÉ","OUI","NON"))</f>
        <v/>
      </c>
      <c r="I2954" s="83"/>
      <c r="J2954" s="80"/>
      <c r="K2954" s="81"/>
      <c r="L2954" s="81"/>
      <c r="M2954" s="81"/>
      <c r="N2954" s="84" t="str">
        <f aca="false">IF(C2954="","",IF(P2954="","NJ INCONNU",IF(I2954="",IF(H2954="OUI","À ENROBER",IF(G2954="À SOUDER","NON SOUDÉ","EN ATTENTE RT")),IF(L2954="R","À REPRENDRE",IF(H2954&lt;&gt;"OUI","⚠ ENROBÉ AVANT ACCEPTATION RT","ENROBÉ")))))</f>
        <v/>
      </c>
      <c r="O2954" s="80"/>
      <c r="P2954" s="82" t="str">
        <f aca="false">IF(C2954="","",IFERROR(MATCH(Q2954,'CARNET DE SOUDURE'!$AW$7:$AW$3006,0),""))</f>
        <v/>
      </c>
      <c r="Q2954" s="82" t="str">
        <f aca="false">IF(C2954="","",B2954&amp;"|"&amp;C2954)</f>
        <v/>
      </c>
    </row>
    <row r="2955" customFormat="false" ht="15" hidden="false" customHeight="false" outlineLevel="0" collapsed="false">
      <c r="A2955" s="82" t="str">
        <f aca="false">IF(C2955="","",ROW()-6)</f>
        <v/>
      </c>
      <c r="B2955" s="80"/>
      <c r="C2955" s="113"/>
      <c r="D2955" s="82" t="str">
        <f aca="false">IF(OR(C2955="",P2955=""),"",INDEX('CARNET DE SOUDURE'!$D$7:$D$3006,P2955)&amp;"")</f>
        <v/>
      </c>
      <c r="E2955" s="114" t="str">
        <f aca="false">IF(OR(C2955="",P2955=""),"",IF(INDEX('CARNET DE SOUDURE'!$U$7:$U$3006,P2955)="","",INDEX('CARNET DE SOUDURE'!$U$7:$U$3006,P2955)))</f>
        <v/>
      </c>
      <c r="F2955" s="82" t="str">
        <f aca="false">IF(OR(C2955="",P2955=""),"",INDEX('CARNET DE SOUDURE'!$AP$7:$AP$3006,P2955))</f>
        <v/>
      </c>
      <c r="G2955" s="82" t="str">
        <f aca="false">IF(C2955="","",IF(P2955="","NJ INCONNU",INDEX('CARNET DE SOUDURE'!$AQ$7:$AQ$3006,P2955)))</f>
        <v/>
      </c>
      <c r="H2955" s="82" t="str">
        <f aca="false">IF(C2955="","",IF(G2955="ACCEPTÉ","OUI","NON"))</f>
        <v/>
      </c>
      <c r="I2955" s="83"/>
      <c r="J2955" s="80"/>
      <c r="K2955" s="81"/>
      <c r="L2955" s="81"/>
      <c r="M2955" s="81"/>
      <c r="N2955" s="84" t="str">
        <f aca="false">IF(C2955="","",IF(P2955="","NJ INCONNU",IF(I2955="",IF(H2955="OUI","À ENROBER",IF(G2955="À SOUDER","NON SOUDÉ","EN ATTENTE RT")),IF(L2955="R","À REPRENDRE",IF(H2955&lt;&gt;"OUI","⚠ ENROBÉ AVANT ACCEPTATION RT","ENROBÉ")))))</f>
        <v/>
      </c>
      <c r="O2955" s="80"/>
      <c r="P2955" s="82" t="str">
        <f aca="false">IF(C2955="","",IFERROR(MATCH(Q2955,'CARNET DE SOUDURE'!$AW$7:$AW$3006,0),""))</f>
        <v/>
      </c>
      <c r="Q2955" s="82" t="str">
        <f aca="false">IF(C2955="","",B2955&amp;"|"&amp;C2955)</f>
        <v/>
      </c>
    </row>
    <row r="2956" customFormat="false" ht="15" hidden="false" customHeight="false" outlineLevel="0" collapsed="false">
      <c r="A2956" s="82" t="str">
        <f aca="false">IF(C2956="","",ROW()-6)</f>
        <v/>
      </c>
      <c r="B2956" s="80"/>
      <c r="C2956" s="113"/>
      <c r="D2956" s="82" t="str">
        <f aca="false">IF(OR(C2956="",P2956=""),"",INDEX('CARNET DE SOUDURE'!$D$7:$D$3006,P2956)&amp;"")</f>
        <v/>
      </c>
      <c r="E2956" s="114" t="str">
        <f aca="false">IF(OR(C2956="",P2956=""),"",IF(INDEX('CARNET DE SOUDURE'!$U$7:$U$3006,P2956)="","",INDEX('CARNET DE SOUDURE'!$U$7:$U$3006,P2956)))</f>
        <v/>
      </c>
      <c r="F2956" s="82" t="str">
        <f aca="false">IF(OR(C2956="",P2956=""),"",INDEX('CARNET DE SOUDURE'!$AP$7:$AP$3006,P2956))</f>
        <v/>
      </c>
      <c r="G2956" s="82" t="str">
        <f aca="false">IF(C2956="","",IF(P2956="","NJ INCONNU",INDEX('CARNET DE SOUDURE'!$AQ$7:$AQ$3006,P2956)))</f>
        <v/>
      </c>
      <c r="H2956" s="82" t="str">
        <f aca="false">IF(C2956="","",IF(G2956="ACCEPTÉ","OUI","NON"))</f>
        <v/>
      </c>
      <c r="I2956" s="83"/>
      <c r="J2956" s="80"/>
      <c r="K2956" s="81"/>
      <c r="L2956" s="81"/>
      <c r="M2956" s="81"/>
      <c r="N2956" s="84" t="str">
        <f aca="false">IF(C2956="","",IF(P2956="","NJ INCONNU",IF(I2956="",IF(H2956="OUI","À ENROBER",IF(G2956="À SOUDER","NON SOUDÉ","EN ATTENTE RT")),IF(L2956="R","À REPRENDRE",IF(H2956&lt;&gt;"OUI","⚠ ENROBÉ AVANT ACCEPTATION RT","ENROBÉ")))))</f>
        <v/>
      </c>
      <c r="O2956" s="80"/>
      <c r="P2956" s="82" t="str">
        <f aca="false">IF(C2956="","",IFERROR(MATCH(Q2956,'CARNET DE SOUDURE'!$AW$7:$AW$3006,0),""))</f>
        <v/>
      </c>
      <c r="Q2956" s="82" t="str">
        <f aca="false">IF(C2956="","",B2956&amp;"|"&amp;C2956)</f>
        <v/>
      </c>
    </row>
    <row r="2957" customFormat="false" ht="15" hidden="false" customHeight="false" outlineLevel="0" collapsed="false">
      <c r="A2957" s="82" t="str">
        <f aca="false">IF(C2957="","",ROW()-6)</f>
        <v/>
      </c>
      <c r="B2957" s="80"/>
      <c r="C2957" s="113"/>
      <c r="D2957" s="82" t="str">
        <f aca="false">IF(OR(C2957="",P2957=""),"",INDEX('CARNET DE SOUDURE'!$D$7:$D$3006,P2957)&amp;"")</f>
        <v/>
      </c>
      <c r="E2957" s="114" t="str">
        <f aca="false">IF(OR(C2957="",P2957=""),"",IF(INDEX('CARNET DE SOUDURE'!$U$7:$U$3006,P2957)="","",INDEX('CARNET DE SOUDURE'!$U$7:$U$3006,P2957)))</f>
        <v/>
      </c>
      <c r="F2957" s="82" t="str">
        <f aca="false">IF(OR(C2957="",P2957=""),"",INDEX('CARNET DE SOUDURE'!$AP$7:$AP$3006,P2957))</f>
        <v/>
      </c>
      <c r="G2957" s="82" t="str">
        <f aca="false">IF(C2957="","",IF(P2957="","NJ INCONNU",INDEX('CARNET DE SOUDURE'!$AQ$7:$AQ$3006,P2957)))</f>
        <v/>
      </c>
      <c r="H2957" s="82" t="str">
        <f aca="false">IF(C2957="","",IF(G2957="ACCEPTÉ","OUI","NON"))</f>
        <v/>
      </c>
      <c r="I2957" s="83"/>
      <c r="J2957" s="80"/>
      <c r="K2957" s="81"/>
      <c r="L2957" s="81"/>
      <c r="M2957" s="81"/>
      <c r="N2957" s="84" t="str">
        <f aca="false">IF(C2957="","",IF(P2957="","NJ INCONNU",IF(I2957="",IF(H2957="OUI","À ENROBER",IF(G2957="À SOUDER","NON SOUDÉ","EN ATTENTE RT")),IF(L2957="R","À REPRENDRE",IF(H2957&lt;&gt;"OUI","⚠ ENROBÉ AVANT ACCEPTATION RT","ENROBÉ")))))</f>
        <v/>
      </c>
      <c r="O2957" s="80"/>
      <c r="P2957" s="82" t="str">
        <f aca="false">IF(C2957="","",IFERROR(MATCH(Q2957,'CARNET DE SOUDURE'!$AW$7:$AW$3006,0),""))</f>
        <v/>
      </c>
      <c r="Q2957" s="82" t="str">
        <f aca="false">IF(C2957="","",B2957&amp;"|"&amp;C2957)</f>
        <v/>
      </c>
    </row>
    <row r="2958" customFormat="false" ht="15" hidden="false" customHeight="false" outlineLevel="0" collapsed="false">
      <c r="A2958" s="82" t="str">
        <f aca="false">IF(C2958="","",ROW()-6)</f>
        <v/>
      </c>
      <c r="B2958" s="80"/>
      <c r="C2958" s="113"/>
      <c r="D2958" s="82" t="str">
        <f aca="false">IF(OR(C2958="",P2958=""),"",INDEX('CARNET DE SOUDURE'!$D$7:$D$3006,P2958)&amp;"")</f>
        <v/>
      </c>
      <c r="E2958" s="114" t="str">
        <f aca="false">IF(OR(C2958="",P2958=""),"",IF(INDEX('CARNET DE SOUDURE'!$U$7:$U$3006,P2958)="","",INDEX('CARNET DE SOUDURE'!$U$7:$U$3006,P2958)))</f>
        <v/>
      </c>
      <c r="F2958" s="82" t="str">
        <f aca="false">IF(OR(C2958="",P2958=""),"",INDEX('CARNET DE SOUDURE'!$AP$7:$AP$3006,P2958))</f>
        <v/>
      </c>
      <c r="G2958" s="82" t="str">
        <f aca="false">IF(C2958="","",IF(P2958="","NJ INCONNU",INDEX('CARNET DE SOUDURE'!$AQ$7:$AQ$3006,P2958)))</f>
        <v/>
      </c>
      <c r="H2958" s="82" t="str">
        <f aca="false">IF(C2958="","",IF(G2958="ACCEPTÉ","OUI","NON"))</f>
        <v/>
      </c>
      <c r="I2958" s="83"/>
      <c r="J2958" s="80"/>
      <c r="K2958" s="81"/>
      <c r="L2958" s="81"/>
      <c r="M2958" s="81"/>
      <c r="N2958" s="84" t="str">
        <f aca="false">IF(C2958="","",IF(P2958="","NJ INCONNU",IF(I2958="",IF(H2958="OUI","À ENROBER",IF(G2958="À SOUDER","NON SOUDÉ","EN ATTENTE RT")),IF(L2958="R","À REPRENDRE",IF(H2958&lt;&gt;"OUI","⚠ ENROBÉ AVANT ACCEPTATION RT","ENROBÉ")))))</f>
        <v/>
      </c>
      <c r="O2958" s="80"/>
      <c r="P2958" s="82" t="str">
        <f aca="false">IF(C2958="","",IFERROR(MATCH(Q2958,'CARNET DE SOUDURE'!$AW$7:$AW$3006,0),""))</f>
        <v/>
      </c>
      <c r="Q2958" s="82" t="str">
        <f aca="false">IF(C2958="","",B2958&amp;"|"&amp;C2958)</f>
        <v/>
      </c>
    </row>
    <row r="2959" customFormat="false" ht="15" hidden="false" customHeight="false" outlineLevel="0" collapsed="false">
      <c r="A2959" s="82" t="str">
        <f aca="false">IF(C2959="","",ROW()-6)</f>
        <v/>
      </c>
      <c r="B2959" s="80"/>
      <c r="C2959" s="113"/>
      <c r="D2959" s="82" t="str">
        <f aca="false">IF(OR(C2959="",P2959=""),"",INDEX('CARNET DE SOUDURE'!$D$7:$D$3006,P2959)&amp;"")</f>
        <v/>
      </c>
      <c r="E2959" s="114" t="str">
        <f aca="false">IF(OR(C2959="",P2959=""),"",IF(INDEX('CARNET DE SOUDURE'!$U$7:$U$3006,P2959)="","",INDEX('CARNET DE SOUDURE'!$U$7:$U$3006,P2959)))</f>
        <v/>
      </c>
      <c r="F2959" s="82" t="str">
        <f aca="false">IF(OR(C2959="",P2959=""),"",INDEX('CARNET DE SOUDURE'!$AP$7:$AP$3006,P2959))</f>
        <v/>
      </c>
      <c r="G2959" s="82" t="str">
        <f aca="false">IF(C2959="","",IF(P2959="","NJ INCONNU",INDEX('CARNET DE SOUDURE'!$AQ$7:$AQ$3006,P2959)))</f>
        <v/>
      </c>
      <c r="H2959" s="82" t="str">
        <f aca="false">IF(C2959="","",IF(G2959="ACCEPTÉ","OUI","NON"))</f>
        <v/>
      </c>
      <c r="I2959" s="83"/>
      <c r="J2959" s="80"/>
      <c r="K2959" s="81"/>
      <c r="L2959" s="81"/>
      <c r="M2959" s="81"/>
      <c r="N2959" s="84" t="str">
        <f aca="false">IF(C2959="","",IF(P2959="","NJ INCONNU",IF(I2959="",IF(H2959="OUI","À ENROBER",IF(G2959="À SOUDER","NON SOUDÉ","EN ATTENTE RT")),IF(L2959="R","À REPRENDRE",IF(H2959&lt;&gt;"OUI","⚠ ENROBÉ AVANT ACCEPTATION RT","ENROBÉ")))))</f>
        <v/>
      </c>
      <c r="O2959" s="80"/>
      <c r="P2959" s="82" t="str">
        <f aca="false">IF(C2959="","",IFERROR(MATCH(Q2959,'CARNET DE SOUDURE'!$AW$7:$AW$3006,0),""))</f>
        <v/>
      </c>
      <c r="Q2959" s="82" t="str">
        <f aca="false">IF(C2959="","",B2959&amp;"|"&amp;C2959)</f>
        <v/>
      </c>
    </row>
    <row r="2960" customFormat="false" ht="15" hidden="false" customHeight="false" outlineLevel="0" collapsed="false">
      <c r="A2960" s="82" t="str">
        <f aca="false">IF(C2960="","",ROW()-6)</f>
        <v/>
      </c>
      <c r="B2960" s="80"/>
      <c r="C2960" s="113"/>
      <c r="D2960" s="82" t="str">
        <f aca="false">IF(OR(C2960="",P2960=""),"",INDEX('CARNET DE SOUDURE'!$D$7:$D$3006,P2960)&amp;"")</f>
        <v/>
      </c>
      <c r="E2960" s="114" t="str">
        <f aca="false">IF(OR(C2960="",P2960=""),"",IF(INDEX('CARNET DE SOUDURE'!$U$7:$U$3006,P2960)="","",INDEX('CARNET DE SOUDURE'!$U$7:$U$3006,P2960)))</f>
        <v/>
      </c>
      <c r="F2960" s="82" t="str">
        <f aca="false">IF(OR(C2960="",P2960=""),"",INDEX('CARNET DE SOUDURE'!$AP$7:$AP$3006,P2960))</f>
        <v/>
      </c>
      <c r="G2960" s="82" t="str">
        <f aca="false">IF(C2960="","",IF(P2960="","NJ INCONNU",INDEX('CARNET DE SOUDURE'!$AQ$7:$AQ$3006,P2960)))</f>
        <v/>
      </c>
      <c r="H2960" s="82" t="str">
        <f aca="false">IF(C2960="","",IF(G2960="ACCEPTÉ","OUI","NON"))</f>
        <v/>
      </c>
      <c r="I2960" s="83"/>
      <c r="J2960" s="80"/>
      <c r="K2960" s="81"/>
      <c r="L2960" s="81"/>
      <c r="M2960" s="81"/>
      <c r="N2960" s="84" t="str">
        <f aca="false">IF(C2960="","",IF(P2960="","NJ INCONNU",IF(I2960="",IF(H2960="OUI","À ENROBER",IF(G2960="À SOUDER","NON SOUDÉ","EN ATTENTE RT")),IF(L2960="R","À REPRENDRE",IF(H2960&lt;&gt;"OUI","⚠ ENROBÉ AVANT ACCEPTATION RT","ENROBÉ")))))</f>
        <v/>
      </c>
      <c r="O2960" s="80"/>
      <c r="P2960" s="82" t="str">
        <f aca="false">IF(C2960="","",IFERROR(MATCH(Q2960,'CARNET DE SOUDURE'!$AW$7:$AW$3006,0),""))</f>
        <v/>
      </c>
      <c r="Q2960" s="82" t="str">
        <f aca="false">IF(C2960="","",B2960&amp;"|"&amp;C2960)</f>
        <v/>
      </c>
    </row>
    <row r="2961" customFormat="false" ht="15" hidden="false" customHeight="false" outlineLevel="0" collapsed="false">
      <c r="A2961" s="82" t="str">
        <f aca="false">IF(C2961="","",ROW()-6)</f>
        <v/>
      </c>
      <c r="B2961" s="80"/>
      <c r="C2961" s="113"/>
      <c r="D2961" s="82" t="str">
        <f aca="false">IF(OR(C2961="",P2961=""),"",INDEX('CARNET DE SOUDURE'!$D$7:$D$3006,P2961)&amp;"")</f>
        <v/>
      </c>
      <c r="E2961" s="114" t="str">
        <f aca="false">IF(OR(C2961="",P2961=""),"",IF(INDEX('CARNET DE SOUDURE'!$U$7:$U$3006,P2961)="","",INDEX('CARNET DE SOUDURE'!$U$7:$U$3006,P2961)))</f>
        <v/>
      </c>
      <c r="F2961" s="82" t="str">
        <f aca="false">IF(OR(C2961="",P2961=""),"",INDEX('CARNET DE SOUDURE'!$AP$7:$AP$3006,P2961))</f>
        <v/>
      </c>
      <c r="G2961" s="82" t="str">
        <f aca="false">IF(C2961="","",IF(P2961="","NJ INCONNU",INDEX('CARNET DE SOUDURE'!$AQ$7:$AQ$3006,P2961)))</f>
        <v/>
      </c>
      <c r="H2961" s="82" t="str">
        <f aca="false">IF(C2961="","",IF(G2961="ACCEPTÉ","OUI","NON"))</f>
        <v/>
      </c>
      <c r="I2961" s="83"/>
      <c r="J2961" s="80"/>
      <c r="K2961" s="81"/>
      <c r="L2961" s="81"/>
      <c r="M2961" s="81"/>
      <c r="N2961" s="84" t="str">
        <f aca="false">IF(C2961="","",IF(P2961="","NJ INCONNU",IF(I2961="",IF(H2961="OUI","À ENROBER",IF(G2961="À SOUDER","NON SOUDÉ","EN ATTENTE RT")),IF(L2961="R","À REPRENDRE",IF(H2961&lt;&gt;"OUI","⚠ ENROBÉ AVANT ACCEPTATION RT","ENROBÉ")))))</f>
        <v/>
      </c>
      <c r="O2961" s="80"/>
      <c r="P2961" s="82" t="str">
        <f aca="false">IF(C2961="","",IFERROR(MATCH(Q2961,'CARNET DE SOUDURE'!$AW$7:$AW$3006,0),""))</f>
        <v/>
      </c>
      <c r="Q2961" s="82" t="str">
        <f aca="false">IF(C2961="","",B2961&amp;"|"&amp;C2961)</f>
        <v/>
      </c>
    </row>
    <row r="2962" customFormat="false" ht="15" hidden="false" customHeight="false" outlineLevel="0" collapsed="false">
      <c r="A2962" s="82" t="str">
        <f aca="false">IF(C2962="","",ROW()-6)</f>
        <v/>
      </c>
      <c r="B2962" s="80"/>
      <c r="C2962" s="113"/>
      <c r="D2962" s="82" t="str">
        <f aca="false">IF(OR(C2962="",P2962=""),"",INDEX('CARNET DE SOUDURE'!$D$7:$D$3006,P2962)&amp;"")</f>
        <v/>
      </c>
      <c r="E2962" s="114" t="str">
        <f aca="false">IF(OR(C2962="",P2962=""),"",IF(INDEX('CARNET DE SOUDURE'!$U$7:$U$3006,P2962)="","",INDEX('CARNET DE SOUDURE'!$U$7:$U$3006,P2962)))</f>
        <v/>
      </c>
      <c r="F2962" s="82" t="str">
        <f aca="false">IF(OR(C2962="",P2962=""),"",INDEX('CARNET DE SOUDURE'!$AP$7:$AP$3006,P2962))</f>
        <v/>
      </c>
      <c r="G2962" s="82" t="str">
        <f aca="false">IF(C2962="","",IF(P2962="","NJ INCONNU",INDEX('CARNET DE SOUDURE'!$AQ$7:$AQ$3006,P2962)))</f>
        <v/>
      </c>
      <c r="H2962" s="82" t="str">
        <f aca="false">IF(C2962="","",IF(G2962="ACCEPTÉ","OUI","NON"))</f>
        <v/>
      </c>
      <c r="I2962" s="83"/>
      <c r="J2962" s="80"/>
      <c r="K2962" s="81"/>
      <c r="L2962" s="81"/>
      <c r="M2962" s="81"/>
      <c r="N2962" s="84" t="str">
        <f aca="false">IF(C2962="","",IF(P2962="","NJ INCONNU",IF(I2962="",IF(H2962="OUI","À ENROBER",IF(G2962="À SOUDER","NON SOUDÉ","EN ATTENTE RT")),IF(L2962="R","À REPRENDRE",IF(H2962&lt;&gt;"OUI","⚠ ENROBÉ AVANT ACCEPTATION RT","ENROBÉ")))))</f>
        <v/>
      </c>
      <c r="O2962" s="80"/>
      <c r="P2962" s="82" t="str">
        <f aca="false">IF(C2962="","",IFERROR(MATCH(Q2962,'CARNET DE SOUDURE'!$AW$7:$AW$3006,0),""))</f>
        <v/>
      </c>
      <c r="Q2962" s="82" t="str">
        <f aca="false">IF(C2962="","",B2962&amp;"|"&amp;C2962)</f>
        <v/>
      </c>
    </row>
    <row r="2963" customFormat="false" ht="15" hidden="false" customHeight="false" outlineLevel="0" collapsed="false">
      <c r="A2963" s="82" t="str">
        <f aca="false">IF(C2963="","",ROW()-6)</f>
        <v/>
      </c>
      <c r="B2963" s="80"/>
      <c r="C2963" s="113"/>
      <c r="D2963" s="82" t="str">
        <f aca="false">IF(OR(C2963="",P2963=""),"",INDEX('CARNET DE SOUDURE'!$D$7:$D$3006,P2963)&amp;"")</f>
        <v/>
      </c>
      <c r="E2963" s="114" t="str">
        <f aca="false">IF(OR(C2963="",P2963=""),"",IF(INDEX('CARNET DE SOUDURE'!$U$7:$U$3006,P2963)="","",INDEX('CARNET DE SOUDURE'!$U$7:$U$3006,P2963)))</f>
        <v/>
      </c>
      <c r="F2963" s="82" t="str">
        <f aca="false">IF(OR(C2963="",P2963=""),"",INDEX('CARNET DE SOUDURE'!$AP$7:$AP$3006,P2963))</f>
        <v/>
      </c>
      <c r="G2963" s="82" t="str">
        <f aca="false">IF(C2963="","",IF(P2963="","NJ INCONNU",INDEX('CARNET DE SOUDURE'!$AQ$7:$AQ$3006,P2963)))</f>
        <v/>
      </c>
      <c r="H2963" s="82" t="str">
        <f aca="false">IF(C2963="","",IF(G2963="ACCEPTÉ","OUI","NON"))</f>
        <v/>
      </c>
      <c r="I2963" s="83"/>
      <c r="J2963" s="80"/>
      <c r="K2963" s="81"/>
      <c r="L2963" s="81"/>
      <c r="M2963" s="81"/>
      <c r="N2963" s="84" t="str">
        <f aca="false">IF(C2963="","",IF(P2963="","NJ INCONNU",IF(I2963="",IF(H2963="OUI","À ENROBER",IF(G2963="À SOUDER","NON SOUDÉ","EN ATTENTE RT")),IF(L2963="R","À REPRENDRE",IF(H2963&lt;&gt;"OUI","⚠ ENROBÉ AVANT ACCEPTATION RT","ENROBÉ")))))</f>
        <v/>
      </c>
      <c r="O2963" s="80"/>
      <c r="P2963" s="82" t="str">
        <f aca="false">IF(C2963="","",IFERROR(MATCH(Q2963,'CARNET DE SOUDURE'!$AW$7:$AW$3006,0),""))</f>
        <v/>
      </c>
      <c r="Q2963" s="82" t="str">
        <f aca="false">IF(C2963="","",B2963&amp;"|"&amp;C2963)</f>
        <v/>
      </c>
    </row>
    <row r="2964" customFormat="false" ht="15" hidden="false" customHeight="false" outlineLevel="0" collapsed="false">
      <c r="A2964" s="82" t="str">
        <f aca="false">IF(C2964="","",ROW()-6)</f>
        <v/>
      </c>
      <c r="B2964" s="80"/>
      <c r="C2964" s="113"/>
      <c r="D2964" s="82" t="str">
        <f aca="false">IF(OR(C2964="",P2964=""),"",INDEX('CARNET DE SOUDURE'!$D$7:$D$3006,P2964)&amp;"")</f>
        <v/>
      </c>
      <c r="E2964" s="114" t="str">
        <f aca="false">IF(OR(C2964="",P2964=""),"",IF(INDEX('CARNET DE SOUDURE'!$U$7:$U$3006,P2964)="","",INDEX('CARNET DE SOUDURE'!$U$7:$U$3006,P2964)))</f>
        <v/>
      </c>
      <c r="F2964" s="82" t="str">
        <f aca="false">IF(OR(C2964="",P2964=""),"",INDEX('CARNET DE SOUDURE'!$AP$7:$AP$3006,P2964))</f>
        <v/>
      </c>
      <c r="G2964" s="82" t="str">
        <f aca="false">IF(C2964="","",IF(P2964="","NJ INCONNU",INDEX('CARNET DE SOUDURE'!$AQ$7:$AQ$3006,P2964)))</f>
        <v/>
      </c>
      <c r="H2964" s="82" t="str">
        <f aca="false">IF(C2964="","",IF(G2964="ACCEPTÉ","OUI","NON"))</f>
        <v/>
      </c>
      <c r="I2964" s="83"/>
      <c r="J2964" s="80"/>
      <c r="K2964" s="81"/>
      <c r="L2964" s="81"/>
      <c r="M2964" s="81"/>
      <c r="N2964" s="84" t="str">
        <f aca="false">IF(C2964="","",IF(P2964="","NJ INCONNU",IF(I2964="",IF(H2964="OUI","À ENROBER",IF(G2964="À SOUDER","NON SOUDÉ","EN ATTENTE RT")),IF(L2964="R","À REPRENDRE",IF(H2964&lt;&gt;"OUI","⚠ ENROBÉ AVANT ACCEPTATION RT","ENROBÉ")))))</f>
        <v/>
      </c>
      <c r="O2964" s="80"/>
      <c r="P2964" s="82" t="str">
        <f aca="false">IF(C2964="","",IFERROR(MATCH(Q2964,'CARNET DE SOUDURE'!$AW$7:$AW$3006,0),""))</f>
        <v/>
      </c>
      <c r="Q2964" s="82" t="str">
        <f aca="false">IF(C2964="","",B2964&amp;"|"&amp;C2964)</f>
        <v/>
      </c>
    </row>
    <row r="2965" customFormat="false" ht="15" hidden="false" customHeight="false" outlineLevel="0" collapsed="false">
      <c r="A2965" s="82" t="str">
        <f aca="false">IF(C2965="","",ROW()-6)</f>
        <v/>
      </c>
      <c r="B2965" s="80"/>
      <c r="C2965" s="113"/>
      <c r="D2965" s="82" t="str">
        <f aca="false">IF(OR(C2965="",P2965=""),"",INDEX('CARNET DE SOUDURE'!$D$7:$D$3006,P2965)&amp;"")</f>
        <v/>
      </c>
      <c r="E2965" s="114" t="str">
        <f aca="false">IF(OR(C2965="",P2965=""),"",IF(INDEX('CARNET DE SOUDURE'!$U$7:$U$3006,P2965)="","",INDEX('CARNET DE SOUDURE'!$U$7:$U$3006,P2965)))</f>
        <v/>
      </c>
      <c r="F2965" s="82" t="str">
        <f aca="false">IF(OR(C2965="",P2965=""),"",INDEX('CARNET DE SOUDURE'!$AP$7:$AP$3006,P2965))</f>
        <v/>
      </c>
      <c r="G2965" s="82" t="str">
        <f aca="false">IF(C2965="","",IF(P2965="","NJ INCONNU",INDEX('CARNET DE SOUDURE'!$AQ$7:$AQ$3006,P2965)))</f>
        <v/>
      </c>
      <c r="H2965" s="82" t="str">
        <f aca="false">IF(C2965="","",IF(G2965="ACCEPTÉ","OUI","NON"))</f>
        <v/>
      </c>
      <c r="I2965" s="83"/>
      <c r="J2965" s="80"/>
      <c r="K2965" s="81"/>
      <c r="L2965" s="81"/>
      <c r="M2965" s="81"/>
      <c r="N2965" s="84" t="str">
        <f aca="false">IF(C2965="","",IF(P2965="","NJ INCONNU",IF(I2965="",IF(H2965="OUI","À ENROBER",IF(G2965="À SOUDER","NON SOUDÉ","EN ATTENTE RT")),IF(L2965="R","À REPRENDRE",IF(H2965&lt;&gt;"OUI","⚠ ENROBÉ AVANT ACCEPTATION RT","ENROBÉ")))))</f>
        <v/>
      </c>
      <c r="O2965" s="80"/>
      <c r="P2965" s="82" t="str">
        <f aca="false">IF(C2965="","",IFERROR(MATCH(Q2965,'CARNET DE SOUDURE'!$AW$7:$AW$3006,0),""))</f>
        <v/>
      </c>
      <c r="Q2965" s="82" t="str">
        <f aca="false">IF(C2965="","",B2965&amp;"|"&amp;C2965)</f>
        <v/>
      </c>
    </row>
    <row r="2966" customFormat="false" ht="15" hidden="false" customHeight="false" outlineLevel="0" collapsed="false">
      <c r="A2966" s="82" t="str">
        <f aca="false">IF(C2966="","",ROW()-6)</f>
        <v/>
      </c>
      <c r="B2966" s="80"/>
      <c r="C2966" s="113"/>
      <c r="D2966" s="82" t="str">
        <f aca="false">IF(OR(C2966="",P2966=""),"",INDEX('CARNET DE SOUDURE'!$D$7:$D$3006,P2966)&amp;"")</f>
        <v/>
      </c>
      <c r="E2966" s="114" t="str">
        <f aca="false">IF(OR(C2966="",P2966=""),"",IF(INDEX('CARNET DE SOUDURE'!$U$7:$U$3006,P2966)="","",INDEX('CARNET DE SOUDURE'!$U$7:$U$3006,P2966)))</f>
        <v/>
      </c>
      <c r="F2966" s="82" t="str">
        <f aca="false">IF(OR(C2966="",P2966=""),"",INDEX('CARNET DE SOUDURE'!$AP$7:$AP$3006,P2966))</f>
        <v/>
      </c>
      <c r="G2966" s="82" t="str">
        <f aca="false">IF(C2966="","",IF(P2966="","NJ INCONNU",INDEX('CARNET DE SOUDURE'!$AQ$7:$AQ$3006,P2966)))</f>
        <v/>
      </c>
      <c r="H2966" s="82" t="str">
        <f aca="false">IF(C2966="","",IF(G2966="ACCEPTÉ","OUI","NON"))</f>
        <v/>
      </c>
      <c r="I2966" s="83"/>
      <c r="J2966" s="80"/>
      <c r="K2966" s="81"/>
      <c r="L2966" s="81"/>
      <c r="M2966" s="81"/>
      <c r="N2966" s="84" t="str">
        <f aca="false">IF(C2966="","",IF(P2966="","NJ INCONNU",IF(I2966="",IF(H2966="OUI","À ENROBER",IF(G2966="À SOUDER","NON SOUDÉ","EN ATTENTE RT")),IF(L2966="R","À REPRENDRE",IF(H2966&lt;&gt;"OUI","⚠ ENROBÉ AVANT ACCEPTATION RT","ENROBÉ")))))</f>
        <v/>
      </c>
      <c r="O2966" s="80"/>
      <c r="P2966" s="82" t="str">
        <f aca="false">IF(C2966="","",IFERROR(MATCH(Q2966,'CARNET DE SOUDURE'!$AW$7:$AW$3006,0),""))</f>
        <v/>
      </c>
      <c r="Q2966" s="82" t="str">
        <f aca="false">IF(C2966="","",B2966&amp;"|"&amp;C2966)</f>
        <v/>
      </c>
    </row>
    <row r="2967" customFormat="false" ht="15" hidden="false" customHeight="false" outlineLevel="0" collapsed="false">
      <c r="A2967" s="82" t="str">
        <f aca="false">IF(C2967="","",ROW()-6)</f>
        <v/>
      </c>
      <c r="B2967" s="80"/>
      <c r="C2967" s="113"/>
      <c r="D2967" s="82" t="str">
        <f aca="false">IF(OR(C2967="",P2967=""),"",INDEX('CARNET DE SOUDURE'!$D$7:$D$3006,P2967)&amp;"")</f>
        <v/>
      </c>
      <c r="E2967" s="114" t="str">
        <f aca="false">IF(OR(C2967="",P2967=""),"",IF(INDEX('CARNET DE SOUDURE'!$U$7:$U$3006,P2967)="","",INDEX('CARNET DE SOUDURE'!$U$7:$U$3006,P2967)))</f>
        <v/>
      </c>
      <c r="F2967" s="82" t="str">
        <f aca="false">IF(OR(C2967="",P2967=""),"",INDEX('CARNET DE SOUDURE'!$AP$7:$AP$3006,P2967))</f>
        <v/>
      </c>
      <c r="G2967" s="82" t="str">
        <f aca="false">IF(C2967="","",IF(P2967="","NJ INCONNU",INDEX('CARNET DE SOUDURE'!$AQ$7:$AQ$3006,P2967)))</f>
        <v/>
      </c>
      <c r="H2967" s="82" t="str">
        <f aca="false">IF(C2967="","",IF(G2967="ACCEPTÉ","OUI","NON"))</f>
        <v/>
      </c>
      <c r="I2967" s="83"/>
      <c r="J2967" s="80"/>
      <c r="K2967" s="81"/>
      <c r="L2967" s="81"/>
      <c r="M2967" s="81"/>
      <c r="N2967" s="84" t="str">
        <f aca="false">IF(C2967="","",IF(P2967="","NJ INCONNU",IF(I2967="",IF(H2967="OUI","À ENROBER",IF(G2967="À SOUDER","NON SOUDÉ","EN ATTENTE RT")),IF(L2967="R","À REPRENDRE",IF(H2967&lt;&gt;"OUI","⚠ ENROBÉ AVANT ACCEPTATION RT","ENROBÉ")))))</f>
        <v/>
      </c>
      <c r="O2967" s="80"/>
      <c r="P2967" s="82" t="str">
        <f aca="false">IF(C2967="","",IFERROR(MATCH(Q2967,'CARNET DE SOUDURE'!$AW$7:$AW$3006,0),""))</f>
        <v/>
      </c>
      <c r="Q2967" s="82" t="str">
        <f aca="false">IF(C2967="","",B2967&amp;"|"&amp;C2967)</f>
        <v/>
      </c>
    </row>
    <row r="2968" customFormat="false" ht="15" hidden="false" customHeight="false" outlineLevel="0" collapsed="false">
      <c r="A2968" s="82" t="str">
        <f aca="false">IF(C2968="","",ROW()-6)</f>
        <v/>
      </c>
      <c r="B2968" s="80"/>
      <c r="C2968" s="113"/>
      <c r="D2968" s="82" t="str">
        <f aca="false">IF(OR(C2968="",P2968=""),"",INDEX('CARNET DE SOUDURE'!$D$7:$D$3006,P2968)&amp;"")</f>
        <v/>
      </c>
      <c r="E2968" s="114" t="str">
        <f aca="false">IF(OR(C2968="",P2968=""),"",IF(INDEX('CARNET DE SOUDURE'!$U$7:$U$3006,P2968)="","",INDEX('CARNET DE SOUDURE'!$U$7:$U$3006,P2968)))</f>
        <v/>
      </c>
      <c r="F2968" s="82" t="str">
        <f aca="false">IF(OR(C2968="",P2968=""),"",INDEX('CARNET DE SOUDURE'!$AP$7:$AP$3006,P2968))</f>
        <v/>
      </c>
      <c r="G2968" s="82" t="str">
        <f aca="false">IF(C2968="","",IF(P2968="","NJ INCONNU",INDEX('CARNET DE SOUDURE'!$AQ$7:$AQ$3006,P2968)))</f>
        <v/>
      </c>
      <c r="H2968" s="82" t="str">
        <f aca="false">IF(C2968="","",IF(G2968="ACCEPTÉ","OUI","NON"))</f>
        <v/>
      </c>
      <c r="I2968" s="83"/>
      <c r="J2968" s="80"/>
      <c r="K2968" s="81"/>
      <c r="L2968" s="81"/>
      <c r="M2968" s="81"/>
      <c r="N2968" s="84" t="str">
        <f aca="false">IF(C2968="","",IF(P2968="","NJ INCONNU",IF(I2968="",IF(H2968="OUI","À ENROBER",IF(G2968="À SOUDER","NON SOUDÉ","EN ATTENTE RT")),IF(L2968="R","À REPRENDRE",IF(H2968&lt;&gt;"OUI","⚠ ENROBÉ AVANT ACCEPTATION RT","ENROBÉ")))))</f>
        <v/>
      </c>
      <c r="O2968" s="80"/>
      <c r="P2968" s="82" t="str">
        <f aca="false">IF(C2968="","",IFERROR(MATCH(Q2968,'CARNET DE SOUDURE'!$AW$7:$AW$3006,0),""))</f>
        <v/>
      </c>
      <c r="Q2968" s="82" t="str">
        <f aca="false">IF(C2968="","",B2968&amp;"|"&amp;C2968)</f>
        <v/>
      </c>
    </row>
    <row r="2969" customFormat="false" ht="15" hidden="false" customHeight="false" outlineLevel="0" collapsed="false">
      <c r="A2969" s="82" t="str">
        <f aca="false">IF(C2969="","",ROW()-6)</f>
        <v/>
      </c>
      <c r="B2969" s="80"/>
      <c r="C2969" s="113"/>
      <c r="D2969" s="82" t="str">
        <f aca="false">IF(OR(C2969="",P2969=""),"",INDEX('CARNET DE SOUDURE'!$D$7:$D$3006,P2969)&amp;"")</f>
        <v/>
      </c>
      <c r="E2969" s="114" t="str">
        <f aca="false">IF(OR(C2969="",P2969=""),"",IF(INDEX('CARNET DE SOUDURE'!$U$7:$U$3006,P2969)="","",INDEX('CARNET DE SOUDURE'!$U$7:$U$3006,P2969)))</f>
        <v/>
      </c>
      <c r="F2969" s="82" t="str">
        <f aca="false">IF(OR(C2969="",P2969=""),"",INDEX('CARNET DE SOUDURE'!$AP$7:$AP$3006,P2969))</f>
        <v/>
      </c>
      <c r="G2969" s="82" t="str">
        <f aca="false">IF(C2969="","",IF(P2969="","NJ INCONNU",INDEX('CARNET DE SOUDURE'!$AQ$7:$AQ$3006,P2969)))</f>
        <v/>
      </c>
      <c r="H2969" s="82" t="str">
        <f aca="false">IF(C2969="","",IF(G2969="ACCEPTÉ","OUI","NON"))</f>
        <v/>
      </c>
      <c r="I2969" s="83"/>
      <c r="J2969" s="80"/>
      <c r="K2969" s="81"/>
      <c r="L2969" s="81"/>
      <c r="M2969" s="81"/>
      <c r="N2969" s="84" t="str">
        <f aca="false">IF(C2969="","",IF(P2969="","NJ INCONNU",IF(I2969="",IF(H2969="OUI","À ENROBER",IF(G2969="À SOUDER","NON SOUDÉ","EN ATTENTE RT")),IF(L2969="R","À REPRENDRE",IF(H2969&lt;&gt;"OUI","⚠ ENROBÉ AVANT ACCEPTATION RT","ENROBÉ")))))</f>
        <v/>
      </c>
      <c r="O2969" s="80"/>
      <c r="P2969" s="82" t="str">
        <f aca="false">IF(C2969="","",IFERROR(MATCH(Q2969,'CARNET DE SOUDURE'!$AW$7:$AW$3006,0),""))</f>
        <v/>
      </c>
      <c r="Q2969" s="82" t="str">
        <f aca="false">IF(C2969="","",B2969&amp;"|"&amp;C2969)</f>
        <v/>
      </c>
    </row>
    <row r="2970" customFormat="false" ht="15" hidden="false" customHeight="false" outlineLevel="0" collapsed="false">
      <c r="A2970" s="82" t="str">
        <f aca="false">IF(C2970="","",ROW()-6)</f>
        <v/>
      </c>
      <c r="B2970" s="80"/>
      <c r="C2970" s="113"/>
      <c r="D2970" s="82" t="str">
        <f aca="false">IF(OR(C2970="",P2970=""),"",INDEX('CARNET DE SOUDURE'!$D$7:$D$3006,P2970)&amp;"")</f>
        <v/>
      </c>
      <c r="E2970" s="114" t="str">
        <f aca="false">IF(OR(C2970="",P2970=""),"",IF(INDEX('CARNET DE SOUDURE'!$U$7:$U$3006,P2970)="","",INDEX('CARNET DE SOUDURE'!$U$7:$U$3006,P2970)))</f>
        <v/>
      </c>
      <c r="F2970" s="82" t="str">
        <f aca="false">IF(OR(C2970="",P2970=""),"",INDEX('CARNET DE SOUDURE'!$AP$7:$AP$3006,P2970))</f>
        <v/>
      </c>
      <c r="G2970" s="82" t="str">
        <f aca="false">IF(C2970="","",IF(P2970="","NJ INCONNU",INDEX('CARNET DE SOUDURE'!$AQ$7:$AQ$3006,P2970)))</f>
        <v/>
      </c>
      <c r="H2970" s="82" t="str">
        <f aca="false">IF(C2970="","",IF(G2970="ACCEPTÉ","OUI","NON"))</f>
        <v/>
      </c>
      <c r="I2970" s="83"/>
      <c r="J2970" s="80"/>
      <c r="K2970" s="81"/>
      <c r="L2970" s="81"/>
      <c r="M2970" s="81"/>
      <c r="N2970" s="84" t="str">
        <f aca="false">IF(C2970="","",IF(P2970="","NJ INCONNU",IF(I2970="",IF(H2970="OUI","À ENROBER",IF(G2970="À SOUDER","NON SOUDÉ","EN ATTENTE RT")),IF(L2970="R","À REPRENDRE",IF(H2970&lt;&gt;"OUI","⚠ ENROBÉ AVANT ACCEPTATION RT","ENROBÉ")))))</f>
        <v/>
      </c>
      <c r="O2970" s="80"/>
      <c r="P2970" s="82" t="str">
        <f aca="false">IF(C2970="","",IFERROR(MATCH(Q2970,'CARNET DE SOUDURE'!$AW$7:$AW$3006,0),""))</f>
        <v/>
      </c>
      <c r="Q2970" s="82" t="str">
        <f aca="false">IF(C2970="","",B2970&amp;"|"&amp;C2970)</f>
        <v/>
      </c>
    </row>
    <row r="2971" customFormat="false" ht="15" hidden="false" customHeight="false" outlineLevel="0" collapsed="false">
      <c r="A2971" s="82" t="str">
        <f aca="false">IF(C2971="","",ROW()-6)</f>
        <v/>
      </c>
      <c r="B2971" s="80"/>
      <c r="C2971" s="113"/>
      <c r="D2971" s="82" t="str">
        <f aca="false">IF(OR(C2971="",P2971=""),"",INDEX('CARNET DE SOUDURE'!$D$7:$D$3006,P2971)&amp;"")</f>
        <v/>
      </c>
      <c r="E2971" s="114" t="str">
        <f aca="false">IF(OR(C2971="",P2971=""),"",IF(INDEX('CARNET DE SOUDURE'!$U$7:$U$3006,P2971)="","",INDEX('CARNET DE SOUDURE'!$U$7:$U$3006,P2971)))</f>
        <v/>
      </c>
      <c r="F2971" s="82" t="str">
        <f aca="false">IF(OR(C2971="",P2971=""),"",INDEX('CARNET DE SOUDURE'!$AP$7:$AP$3006,P2971))</f>
        <v/>
      </c>
      <c r="G2971" s="82" t="str">
        <f aca="false">IF(C2971="","",IF(P2971="","NJ INCONNU",INDEX('CARNET DE SOUDURE'!$AQ$7:$AQ$3006,P2971)))</f>
        <v/>
      </c>
      <c r="H2971" s="82" t="str">
        <f aca="false">IF(C2971="","",IF(G2971="ACCEPTÉ","OUI","NON"))</f>
        <v/>
      </c>
      <c r="I2971" s="83"/>
      <c r="J2971" s="80"/>
      <c r="K2971" s="81"/>
      <c r="L2971" s="81"/>
      <c r="M2971" s="81"/>
      <c r="N2971" s="84" t="str">
        <f aca="false">IF(C2971="","",IF(P2971="","NJ INCONNU",IF(I2971="",IF(H2971="OUI","À ENROBER",IF(G2971="À SOUDER","NON SOUDÉ","EN ATTENTE RT")),IF(L2971="R","À REPRENDRE",IF(H2971&lt;&gt;"OUI","⚠ ENROBÉ AVANT ACCEPTATION RT","ENROBÉ")))))</f>
        <v/>
      </c>
      <c r="O2971" s="80"/>
      <c r="P2971" s="82" t="str">
        <f aca="false">IF(C2971="","",IFERROR(MATCH(Q2971,'CARNET DE SOUDURE'!$AW$7:$AW$3006,0),""))</f>
        <v/>
      </c>
      <c r="Q2971" s="82" t="str">
        <f aca="false">IF(C2971="","",B2971&amp;"|"&amp;C2971)</f>
        <v/>
      </c>
    </row>
    <row r="2972" customFormat="false" ht="15" hidden="false" customHeight="false" outlineLevel="0" collapsed="false">
      <c r="A2972" s="82" t="str">
        <f aca="false">IF(C2972="","",ROW()-6)</f>
        <v/>
      </c>
      <c r="B2972" s="80"/>
      <c r="C2972" s="113"/>
      <c r="D2972" s="82" t="str">
        <f aca="false">IF(OR(C2972="",P2972=""),"",INDEX('CARNET DE SOUDURE'!$D$7:$D$3006,P2972)&amp;"")</f>
        <v/>
      </c>
      <c r="E2972" s="114" t="str">
        <f aca="false">IF(OR(C2972="",P2972=""),"",IF(INDEX('CARNET DE SOUDURE'!$U$7:$U$3006,P2972)="","",INDEX('CARNET DE SOUDURE'!$U$7:$U$3006,P2972)))</f>
        <v/>
      </c>
      <c r="F2972" s="82" t="str">
        <f aca="false">IF(OR(C2972="",P2972=""),"",INDEX('CARNET DE SOUDURE'!$AP$7:$AP$3006,P2972))</f>
        <v/>
      </c>
      <c r="G2972" s="82" t="str">
        <f aca="false">IF(C2972="","",IF(P2972="","NJ INCONNU",INDEX('CARNET DE SOUDURE'!$AQ$7:$AQ$3006,P2972)))</f>
        <v/>
      </c>
      <c r="H2972" s="82" t="str">
        <f aca="false">IF(C2972="","",IF(G2972="ACCEPTÉ","OUI","NON"))</f>
        <v/>
      </c>
      <c r="I2972" s="83"/>
      <c r="J2972" s="80"/>
      <c r="K2972" s="81"/>
      <c r="L2972" s="81"/>
      <c r="M2972" s="81"/>
      <c r="N2972" s="84" t="str">
        <f aca="false">IF(C2972="","",IF(P2972="","NJ INCONNU",IF(I2972="",IF(H2972="OUI","À ENROBER",IF(G2972="À SOUDER","NON SOUDÉ","EN ATTENTE RT")),IF(L2972="R","À REPRENDRE",IF(H2972&lt;&gt;"OUI","⚠ ENROBÉ AVANT ACCEPTATION RT","ENROBÉ")))))</f>
        <v/>
      </c>
      <c r="O2972" s="80"/>
      <c r="P2972" s="82" t="str">
        <f aca="false">IF(C2972="","",IFERROR(MATCH(Q2972,'CARNET DE SOUDURE'!$AW$7:$AW$3006,0),""))</f>
        <v/>
      </c>
      <c r="Q2972" s="82" t="str">
        <f aca="false">IF(C2972="","",B2972&amp;"|"&amp;C2972)</f>
        <v/>
      </c>
    </row>
    <row r="2973" customFormat="false" ht="15" hidden="false" customHeight="false" outlineLevel="0" collapsed="false">
      <c r="A2973" s="82" t="str">
        <f aca="false">IF(C2973="","",ROW()-6)</f>
        <v/>
      </c>
      <c r="B2973" s="80"/>
      <c r="C2973" s="113"/>
      <c r="D2973" s="82" t="str">
        <f aca="false">IF(OR(C2973="",P2973=""),"",INDEX('CARNET DE SOUDURE'!$D$7:$D$3006,P2973)&amp;"")</f>
        <v/>
      </c>
      <c r="E2973" s="114" t="str">
        <f aca="false">IF(OR(C2973="",P2973=""),"",IF(INDEX('CARNET DE SOUDURE'!$U$7:$U$3006,P2973)="","",INDEX('CARNET DE SOUDURE'!$U$7:$U$3006,P2973)))</f>
        <v/>
      </c>
      <c r="F2973" s="82" t="str">
        <f aca="false">IF(OR(C2973="",P2973=""),"",INDEX('CARNET DE SOUDURE'!$AP$7:$AP$3006,P2973))</f>
        <v/>
      </c>
      <c r="G2973" s="82" t="str">
        <f aca="false">IF(C2973="","",IF(P2973="","NJ INCONNU",INDEX('CARNET DE SOUDURE'!$AQ$7:$AQ$3006,P2973)))</f>
        <v/>
      </c>
      <c r="H2973" s="82" t="str">
        <f aca="false">IF(C2973="","",IF(G2973="ACCEPTÉ","OUI","NON"))</f>
        <v/>
      </c>
      <c r="I2973" s="83"/>
      <c r="J2973" s="80"/>
      <c r="K2973" s="81"/>
      <c r="L2973" s="81"/>
      <c r="M2973" s="81"/>
      <c r="N2973" s="84" t="str">
        <f aca="false">IF(C2973="","",IF(P2973="","NJ INCONNU",IF(I2973="",IF(H2973="OUI","À ENROBER",IF(G2973="À SOUDER","NON SOUDÉ","EN ATTENTE RT")),IF(L2973="R","À REPRENDRE",IF(H2973&lt;&gt;"OUI","⚠ ENROBÉ AVANT ACCEPTATION RT","ENROBÉ")))))</f>
        <v/>
      </c>
      <c r="O2973" s="80"/>
      <c r="P2973" s="82" t="str">
        <f aca="false">IF(C2973="","",IFERROR(MATCH(Q2973,'CARNET DE SOUDURE'!$AW$7:$AW$3006,0),""))</f>
        <v/>
      </c>
      <c r="Q2973" s="82" t="str">
        <f aca="false">IF(C2973="","",B2973&amp;"|"&amp;C2973)</f>
        <v/>
      </c>
    </row>
    <row r="2974" customFormat="false" ht="15" hidden="false" customHeight="false" outlineLevel="0" collapsed="false">
      <c r="A2974" s="82" t="str">
        <f aca="false">IF(C2974="","",ROW()-6)</f>
        <v/>
      </c>
      <c r="B2974" s="80"/>
      <c r="C2974" s="113"/>
      <c r="D2974" s="82" t="str">
        <f aca="false">IF(OR(C2974="",P2974=""),"",INDEX('CARNET DE SOUDURE'!$D$7:$D$3006,P2974)&amp;"")</f>
        <v/>
      </c>
      <c r="E2974" s="114" t="str">
        <f aca="false">IF(OR(C2974="",P2974=""),"",IF(INDEX('CARNET DE SOUDURE'!$U$7:$U$3006,P2974)="","",INDEX('CARNET DE SOUDURE'!$U$7:$U$3006,P2974)))</f>
        <v/>
      </c>
      <c r="F2974" s="82" t="str">
        <f aca="false">IF(OR(C2974="",P2974=""),"",INDEX('CARNET DE SOUDURE'!$AP$7:$AP$3006,P2974))</f>
        <v/>
      </c>
      <c r="G2974" s="82" t="str">
        <f aca="false">IF(C2974="","",IF(P2974="","NJ INCONNU",INDEX('CARNET DE SOUDURE'!$AQ$7:$AQ$3006,P2974)))</f>
        <v/>
      </c>
      <c r="H2974" s="82" t="str">
        <f aca="false">IF(C2974="","",IF(G2974="ACCEPTÉ","OUI","NON"))</f>
        <v/>
      </c>
      <c r="I2974" s="83"/>
      <c r="J2974" s="80"/>
      <c r="K2974" s="81"/>
      <c r="L2974" s="81"/>
      <c r="M2974" s="81"/>
      <c r="N2974" s="84" t="str">
        <f aca="false">IF(C2974="","",IF(P2974="","NJ INCONNU",IF(I2974="",IF(H2974="OUI","À ENROBER",IF(G2974="À SOUDER","NON SOUDÉ","EN ATTENTE RT")),IF(L2974="R","À REPRENDRE",IF(H2974&lt;&gt;"OUI","⚠ ENROBÉ AVANT ACCEPTATION RT","ENROBÉ")))))</f>
        <v/>
      </c>
      <c r="O2974" s="80"/>
      <c r="P2974" s="82" t="str">
        <f aca="false">IF(C2974="","",IFERROR(MATCH(Q2974,'CARNET DE SOUDURE'!$AW$7:$AW$3006,0),""))</f>
        <v/>
      </c>
      <c r="Q2974" s="82" t="str">
        <f aca="false">IF(C2974="","",B2974&amp;"|"&amp;C2974)</f>
        <v/>
      </c>
    </row>
    <row r="2975" customFormat="false" ht="15" hidden="false" customHeight="false" outlineLevel="0" collapsed="false">
      <c r="A2975" s="82" t="str">
        <f aca="false">IF(C2975="","",ROW()-6)</f>
        <v/>
      </c>
      <c r="B2975" s="80"/>
      <c r="C2975" s="113"/>
      <c r="D2975" s="82" t="str">
        <f aca="false">IF(OR(C2975="",P2975=""),"",INDEX('CARNET DE SOUDURE'!$D$7:$D$3006,P2975)&amp;"")</f>
        <v/>
      </c>
      <c r="E2975" s="114" t="str">
        <f aca="false">IF(OR(C2975="",P2975=""),"",IF(INDEX('CARNET DE SOUDURE'!$U$7:$U$3006,P2975)="","",INDEX('CARNET DE SOUDURE'!$U$7:$U$3006,P2975)))</f>
        <v/>
      </c>
      <c r="F2975" s="82" t="str">
        <f aca="false">IF(OR(C2975="",P2975=""),"",INDEX('CARNET DE SOUDURE'!$AP$7:$AP$3006,P2975))</f>
        <v/>
      </c>
      <c r="G2975" s="82" t="str">
        <f aca="false">IF(C2975="","",IF(P2975="","NJ INCONNU",INDEX('CARNET DE SOUDURE'!$AQ$7:$AQ$3006,P2975)))</f>
        <v/>
      </c>
      <c r="H2975" s="82" t="str">
        <f aca="false">IF(C2975="","",IF(G2975="ACCEPTÉ","OUI","NON"))</f>
        <v/>
      </c>
      <c r="I2975" s="83"/>
      <c r="J2975" s="80"/>
      <c r="K2975" s="81"/>
      <c r="L2975" s="81"/>
      <c r="M2975" s="81"/>
      <c r="N2975" s="84" t="str">
        <f aca="false">IF(C2975="","",IF(P2975="","NJ INCONNU",IF(I2975="",IF(H2975="OUI","À ENROBER",IF(G2975="À SOUDER","NON SOUDÉ","EN ATTENTE RT")),IF(L2975="R","À REPRENDRE",IF(H2975&lt;&gt;"OUI","⚠ ENROBÉ AVANT ACCEPTATION RT","ENROBÉ")))))</f>
        <v/>
      </c>
      <c r="O2975" s="80"/>
      <c r="P2975" s="82" t="str">
        <f aca="false">IF(C2975="","",IFERROR(MATCH(Q2975,'CARNET DE SOUDURE'!$AW$7:$AW$3006,0),""))</f>
        <v/>
      </c>
      <c r="Q2975" s="82" t="str">
        <f aca="false">IF(C2975="","",B2975&amp;"|"&amp;C2975)</f>
        <v/>
      </c>
    </row>
    <row r="2976" customFormat="false" ht="15" hidden="false" customHeight="false" outlineLevel="0" collapsed="false">
      <c r="A2976" s="82" t="str">
        <f aca="false">IF(C2976="","",ROW()-6)</f>
        <v/>
      </c>
      <c r="B2976" s="80"/>
      <c r="C2976" s="113"/>
      <c r="D2976" s="82" t="str">
        <f aca="false">IF(OR(C2976="",P2976=""),"",INDEX('CARNET DE SOUDURE'!$D$7:$D$3006,P2976)&amp;"")</f>
        <v/>
      </c>
      <c r="E2976" s="114" t="str">
        <f aca="false">IF(OR(C2976="",P2976=""),"",IF(INDEX('CARNET DE SOUDURE'!$U$7:$U$3006,P2976)="","",INDEX('CARNET DE SOUDURE'!$U$7:$U$3006,P2976)))</f>
        <v/>
      </c>
      <c r="F2976" s="82" t="str">
        <f aca="false">IF(OR(C2976="",P2976=""),"",INDEX('CARNET DE SOUDURE'!$AP$7:$AP$3006,P2976))</f>
        <v/>
      </c>
      <c r="G2976" s="82" t="str">
        <f aca="false">IF(C2976="","",IF(P2976="","NJ INCONNU",INDEX('CARNET DE SOUDURE'!$AQ$7:$AQ$3006,P2976)))</f>
        <v/>
      </c>
      <c r="H2976" s="82" t="str">
        <f aca="false">IF(C2976="","",IF(G2976="ACCEPTÉ","OUI","NON"))</f>
        <v/>
      </c>
      <c r="I2976" s="83"/>
      <c r="J2976" s="80"/>
      <c r="K2976" s="81"/>
      <c r="L2976" s="81"/>
      <c r="M2976" s="81"/>
      <c r="N2976" s="84" t="str">
        <f aca="false">IF(C2976="","",IF(P2976="","NJ INCONNU",IF(I2976="",IF(H2976="OUI","À ENROBER",IF(G2976="À SOUDER","NON SOUDÉ","EN ATTENTE RT")),IF(L2976="R","À REPRENDRE",IF(H2976&lt;&gt;"OUI","⚠ ENROBÉ AVANT ACCEPTATION RT","ENROBÉ")))))</f>
        <v/>
      </c>
      <c r="O2976" s="80"/>
      <c r="P2976" s="82" t="str">
        <f aca="false">IF(C2976="","",IFERROR(MATCH(Q2976,'CARNET DE SOUDURE'!$AW$7:$AW$3006,0),""))</f>
        <v/>
      </c>
      <c r="Q2976" s="82" t="str">
        <f aca="false">IF(C2976="","",B2976&amp;"|"&amp;C2976)</f>
        <v/>
      </c>
    </row>
    <row r="2977" customFormat="false" ht="15" hidden="false" customHeight="false" outlineLevel="0" collapsed="false">
      <c r="A2977" s="82" t="str">
        <f aca="false">IF(C2977="","",ROW()-6)</f>
        <v/>
      </c>
      <c r="B2977" s="80"/>
      <c r="C2977" s="113"/>
      <c r="D2977" s="82" t="str">
        <f aca="false">IF(OR(C2977="",P2977=""),"",INDEX('CARNET DE SOUDURE'!$D$7:$D$3006,P2977)&amp;"")</f>
        <v/>
      </c>
      <c r="E2977" s="114" t="str">
        <f aca="false">IF(OR(C2977="",P2977=""),"",IF(INDEX('CARNET DE SOUDURE'!$U$7:$U$3006,P2977)="","",INDEX('CARNET DE SOUDURE'!$U$7:$U$3006,P2977)))</f>
        <v/>
      </c>
      <c r="F2977" s="82" t="str">
        <f aca="false">IF(OR(C2977="",P2977=""),"",INDEX('CARNET DE SOUDURE'!$AP$7:$AP$3006,P2977))</f>
        <v/>
      </c>
      <c r="G2977" s="82" t="str">
        <f aca="false">IF(C2977="","",IF(P2977="","NJ INCONNU",INDEX('CARNET DE SOUDURE'!$AQ$7:$AQ$3006,P2977)))</f>
        <v/>
      </c>
      <c r="H2977" s="82" t="str">
        <f aca="false">IF(C2977="","",IF(G2977="ACCEPTÉ","OUI","NON"))</f>
        <v/>
      </c>
      <c r="I2977" s="83"/>
      <c r="J2977" s="80"/>
      <c r="K2977" s="81"/>
      <c r="L2977" s="81"/>
      <c r="M2977" s="81"/>
      <c r="N2977" s="84" t="str">
        <f aca="false">IF(C2977="","",IF(P2977="","NJ INCONNU",IF(I2977="",IF(H2977="OUI","À ENROBER",IF(G2977="À SOUDER","NON SOUDÉ","EN ATTENTE RT")),IF(L2977="R","À REPRENDRE",IF(H2977&lt;&gt;"OUI","⚠ ENROBÉ AVANT ACCEPTATION RT","ENROBÉ")))))</f>
        <v/>
      </c>
      <c r="O2977" s="80"/>
      <c r="P2977" s="82" t="str">
        <f aca="false">IF(C2977="","",IFERROR(MATCH(Q2977,'CARNET DE SOUDURE'!$AW$7:$AW$3006,0),""))</f>
        <v/>
      </c>
      <c r="Q2977" s="82" t="str">
        <f aca="false">IF(C2977="","",B2977&amp;"|"&amp;C2977)</f>
        <v/>
      </c>
    </row>
    <row r="2978" customFormat="false" ht="15" hidden="false" customHeight="false" outlineLevel="0" collapsed="false">
      <c r="A2978" s="82" t="str">
        <f aca="false">IF(C2978="","",ROW()-6)</f>
        <v/>
      </c>
      <c r="B2978" s="80"/>
      <c r="C2978" s="113"/>
      <c r="D2978" s="82" t="str">
        <f aca="false">IF(OR(C2978="",P2978=""),"",INDEX('CARNET DE SOUDURE'!$D$7:$D$3006,P2978)&amp;"")</f>
        <v/>
      </c>
      <c r="E2978" s="114" t="str">
        <f aca="false">IF(OR(C2978="",P2978=""),"",IF(INDEX('CARNET DE SOUDURE'!$U$7:$U$3006,P2978)="","",INDEX('CARNET DE SOUDURE'!$U$7:$U$3006,P2978)))</f>
        <v/>
      </c>
      <c r="F2978" s="82" t="str">
        <f aca="false">IF(OR(C2978="",P2978=""),"",INDEX('CARNET DE SOUDURE'!$AP$7:$AP$3006,P2978))</f>
        <v/>
      </c>
      <c r="G2978" s="82" t="str">
        <f aca="false">IF(C2978="","",IF(P2978="","NJ INCONNU",INDEX('CARNET DE SOUDURE'!$AQ$7:$AQ$3006,P2978)))</f>
        <v/>
      </c>
      <c r="H2978" s="82" t="str">
        <f aca="false">IF(C2978="","",IF(G2978="ACCEPTÉ","OUI","NON"))</f>
        <v/>
      </c>
      <c r="I2978" s="83"/>
      <c r="J2978" s="80"/>
      <c r="K2978" s="81"/>
      <c r="L2978" s="81"/>
      <c r="M2978" s="81"/>
      <c r="N2978" s="84" t="str">
        <f aca="false">IF(C2978="","",IF(P2978="","NJ INCONNU",IF(I2978="",IF(H2978="OUI","À ENROBER",IF(G2978="À SOUDER","NON SOUDÉ","EN ATTENTE RT")),IF(L2978="R","À REPRENDRE",IF(H2978&lt;&gt;"OUI","⚠ ENROBÉ AVANT ACCEPTATION RT","ENROBÉ")))))</f>
        <v/>
      </c>
      <c r="O2978" s="80"/>
      <c r="P2978" s="82" t="str">
        <f aca="false">IF(C2978="","",IFERROR(MATCH(Q2978,'CARNET DE SOUDURE'!$AW$7:$AW$3006,0),""))</f>
        <v/>
      </c>
      <c r="Q2978" s="82" t="str">
        <f aca="false">IF(C2978="","",B2978&amp;"|"&amp;C2978)</f>
        <v/>
      </c>
    </row>
    <row r="2979" customFormat="false" ht="15" hidden="false" customHeight="false" outlineLevel="0" collapsed="false">
      <c r="A2979" s="82" t="str">
        <f aca="false">IF(C2979="","",ROW()-6)</f>
        <v/>
      </c>
      <c r="B2979" s="80"/>
      <c r="C2979" s="113"/>
      <c r="D2979" s="82" t="str">
        <f aca="false">IF(OR(C2979="",P2979=""),"",INDEX('CARNET DE SOUDURE'!$D$7:$D$3006,P2979)&amp;"")</f>
        <v/>
      </c>
      <c r="E2979" s="114" t="str">
        <f aca="false">IF(OR(C2979="",P2979=""),"",IF(INDEX('CARNET DE SOUDURE'!$U$7:$U$3006,P2979)="","",INDEX('CARNET DE SOUDURE'!$U$7:$U$3006,P2979)))</f>
        <v/>
      </c>
      <c r="F2979" s="82" t="str">
        <f aca="false">IF(OR(C2979="",P2979=""),"",INDEX('CARNET DE SOUDURE'!$AP$7:$AP$3006,P2979))</f>
        <v/>
      </c>
      <c r="G2979" s="82" t="str">
        <f aca="false">IF(C2979="","",IF(P2979="","NJ INCONNU",INDEX('CARNET DE SOUDURE'!$AQ$7:$AQ$3006,P2979)))</f>
        <v/>
      </c>
      <c r="H2979" s="82" t="str">
        <f aca="false">IF(C2979="","",IF(G2979="ACCEPTÉ","OUI","NON"))</f>
        <v/>
      </c>
      <c r="I2979" s="83"/>
      <c r="J2979" s="80"/>
      <c r="K2979" s="81"/>
      <c r="L2979" s="81"/>
      <c r="M2979" s="81"/>
      <c r="N2979" s="84" t="str">
        <f aca="false">IF(C2979="","",IF(P2979="","NJ INCONNU",IF(I2979="",IF(H2979="OUI","À ENROBER",IF(G2979="À SOUDER","NON SOUDÉ","EN ATTENTE RT")),IF(L2979="R","À REPRENDRE",IF(H2979&lt;&gt;"OUI","⚠ ENROBÉ AVANT ACCEPTATION RT","ENROBÉ")))))</f>
        <v/>
      </c>
      <c r="O2979" s="80"/>
      <c r="P2979" s="82" t="str">
        <f aca="false">IF(C2979="","",IFERROR(MATCH(Q2979,'CARNET DE SOUDURE'!$AW$7:$AW$3006,0),""))</f>
        <v/>
      </c>
      <c r="Q2979" s="82" t="str">
        <f aca="false">IF(C2979="","",B2979&amp;"|"&amp;C2979)</f>
        <v/>
      </c>
    </row>
    <row r="2980" customFormat="false" ht="15" hidden="false" customHeight="false" outlineLevel="0" collapsed="false">
      <c r="A2980" s="82" t="str">
        <f aca="false">IF(C2980="","",ROW()-6)</f>
        <v/>
      </c>
      <c r="B2980" s="80"/>
      <c r="C2980" s="113"/>
      <c r="D2980" s="82" t="str">
        <f aca="false">IF(OR(C2980="",P2980=""),"",INDEX('CARNET DE SOUDURE'!$D$7:$D$3006,P2980)&amp;"")</f>
        <v/>
      </c>
      <c r="E2980" s="114" t="str">
        <f aca="false">IF(OR(C2980="",P2980=""),"",IF(INDEX('CARNET DE SOUDURE'!$U$7:$U$3006,P2980)="","",INDEX('CARNET DE SOUDURE'!$U$7:$U$3006,P2980)))</f>
        <v/>
      </c>
      <c r="F2980" s="82" t="str">
        <f aca="false">IF(OR(C2980="",P2980=""),"",INDEX('CARNET DE SOUDURE'!$AP$7:$AP$3006,P2980))</f>
        <v/>
      </c>
      <c r="G2980" s="82" t="str">
        <f aca="false">IF(C2980="","",IF(P2980="","NJ INCONNU",INDEX('CARNET DE SOUDURE'!$AQ$7:$AQ$3006,P2980)))</f>
        <v/>
      </c>
      <c r="H2980" s="82" t="str">
        <f aca="false">IF(C2980="","",IF(G2980="ACCEPTÉ","OUI","NON"))</f>
        <v/>
      </c>
      <c r="I2980" s="83"/>
      <c r="J2980" s="80"/>
      <c r="K2980" s="81"/>
      <c r="L2980" s="81"/>
      <c r="M2980" s="81"/>
      <c r="N2980" s="84" t="str">
        <f aca="false">IF(C2980="","",IF(P2980="","NJ INCONNU",IF(I2980="",IF(H2980="OUI","À ENROBER",IF(G2980="À SOUDER","NON SOUDÉ","EN ATTENTE RT")),IF(L2980="R","À REPRENDRE",IF(H2980&lt;&gt;"OUI","⚠ ENROBÉ AVANT ACCEPTATION RT","ENROBÉ")))))</f>
        <v/>
      </c>
      <c r="O2980" s="80"/>
      <c r="P2980" s="82" t="str">
        <f aca="false">IF(C2980="","",IFERROR(MATCH(Q2980,'CARNET DE SOUDURE'!$AW$7:$AW$3006,0),""))</f>
        <v/>
      </c>
      <c r="Q2980" s="82" t="str">
        <f aca="false">IF(C2980="","",B2980&amp;"|"&amp;C2980)</f>
        <v/>
      </c>
    </row>
    <row r="2981" customFormat="false" ht="15" hidden="false" customHeight="false" outlineLevel="0" collapsed="false">
      <c r="A2981" s="82" t="str">
        <f aca="false">IF(C2981="","",ROW()-6)</f>
        <v/>
      </c>
      <c r="B2981" s="80"/>
      <c r="C2981" s="113"/>
      <c r="D2981" s="82" t="str">
        <f aca="false">IF(OR(C2981="",P2981=""),"",INDEX('CARNET DE SOUDURE'!$D$7:$D$3006,P2981)&amp;"")</f>
        <v/>
      </c>
      <c r="E2981" s="114" t="str">
        <f aca="false">IF(OR(C2981="",P2981=""),"",IF(INDEX('CARNET DE SOUDURE'!$U$7:$U$3006,P2981)="","",INDEX('CARNET DE SOUDURE'!$U$7:$U$3006,P2981)))</f>
        <v/>
      </c>
      <c r="F2981" s="82" t="str">
        <f aca="false">IF(OR(C2981="",P2981=""),"",INDEX('CARNET DE SOUDURE'!$AP$7:$AP$3006,P2981))</f>
        <v/>
      </c>
      <c r="G2981" s="82" t="str">
        <f aca="false">IF(C2981="","",IF(P2981="","NJ INCONNU",INDEX('CARNET DE SOUDURE'!$AQ$7:$AQ$3006,P2981)))</f>
        <v/>
      </c>
      <c r="H2981" s="82" t="str">
        <f aca="false">IF(C2981="","",IF(G2981="ACCEPTÉ","OUI","NON"))</f>
        <v/>
      </c>
      <c r="I2981" s="83"/>
      <c r="J2981" s="80"/>
      <c r="K2981" s="81"/>
      <c r="L2981" s="81"/>
      <c r="M2981" s="81"/>
      <c r="N2981" s="84" t="str">
        <f aca="false">IF(C2981="","",IF(P2981="","NJ INCONNU",IF(I2981="",IF(H2981="OUI","À ENROBER",IF(G2981="À SOUDER","NON SOUDÉ","EN ATTENTE RT")),IF(L2981="R","À REPRENDRE",IF(H2981&lt;&gt;"OUI","⚠ ENROBÉ AVANT ACCEPTATION RT","ENROBÉ")))))</f>
        <v/>
      </c>
      <c r="O2981" s="80"/>
      <c r="P2981" s="82" t="str">
        <f aca="false">IF(C2981="","",IFERROR(MATCH(Q2981,'CARNET DE SOUDURE'!$AW$7:$AW$3006,0),""))</f>
        <v/>
      </c>
      <c r="Q2981" s="82" t="str">
        <f aca="false">IF(C2981="","",B2981&amp;"|"&amp;C2981)</f>
        <v/>
      </c>
    </row>
    <row r="2982" customFormat="false" ht="15" hidden="false" customHeight="false" outlineLevel="0" collapsed="false">
      <c r="A2982" s="82" t="str">
        <f aca="false">IF(C2982="","",ROW()-6)</f>
        <v/>
      </c>
      <c r="B2982" s="80"/>
      <c r="C2982" s="113"/>
      <c r="D2982" s="82" t="str">
        <f aca="false">IF(OR(C2982="",P2982=""),"",INDEX('CARNET DE SOUDURE'!$D$7:$D$3006,P2982)&amp;"")</f>
        <v/>
      </c>
      <c r="E2982" s="114" t="str">
        <f aca="false">IF(OR(C2982="",P2982=""),"",IF(INDEX('CARNET DE SOUDURE'!$U$7:$U$3006,P2982)="","",INDEX('CARNET DE SOUDURE'!$U$7:$U$3006,P2982)))</f>
        <v/>
      </c>
      <c r="F2982" s="82" t="str">
        <f aca="false">IF(OR(C2982="",P2982=""),"",INDEX('CARNET DE SOUDURE'!$AP$7:$AP$3006,P2982))</f>
        <v/>
      </c>
      <c r="G2982" s="82" t="str">
        <f aca="false">IF(C2982="","",IF(P2982="","NJ INCONNU",INDEX('CARNET DE SOUDURE'!$AQ$7:$AQ$3006,P2982)))</f>
        <v/>
      </c>
      <c r="H2982" s="82" t="str">
        <f aca="false">IF(C2982="","",IF(G2982="ACCEPTÉ","OUI","NON"))</f>
        <v/>
      </c>
      <c r="I2982" s="83"/>
      <c r="J2982" s="80"/>
      <c r="K2982" s="81"/>
      <c r="L2982" s="81"/>
      <c r="M2982" s="81"/>
      <c r="N2982" s="84" t="str">
        <f aca="false">IF(C2982="","",IF(P2982="","NJ INCONNU",IF(I2982="",IF(H2982="OUI","À ENROBER",IF(G2982="À SOUDER","NON SOUDÉ","EN ATTENTE RT")),IF(L2982="R","À REPRENDRE",IF(H2982&lt;&gt;"OUI","⚠ ENROBÉ AVANT ACCEPTATION RT","ENROBÉ")))))</f>
        <v/>
      </c>
      <c r="O2982" s="80"/>
      <c r="P2982" s="82" t="str">
        <f aca="false">IF(C2982="","",IFERROR(MATCH(Q2982,'CARNET DE SOUDURE'!$AW$7:$AW$3006,0),""))</f>
        <v/>
      </c>
      <c r="Q2982" s="82" t="str">
        <f aca="false">IF(C2982="","",B2982&amp;"|"&amp;C2982)</f>
        <v/>
      </c>
    </row>
    <row r="2983" customFormat="false" ht="15" hidden="false" customHeight="false" outlineLevel="0" collapsed="false">
      <c r="A2983" s="82" t="str">
        <f aca="false">IF(C2983="","",ROW()-6)</f>
        <v/>
      </c>
      <c r="B2983" s="80"/>
      <c r="C2983" s="113"/>
      <c r="D2983" s="82" t="str">
        <f aca="false">IF(OR(C2983="",P2983=""),"",INDEX('CARNET DE SOUDURE'!$D$7:$D$3006,P2983)&amp;"")</f>
        <v/>
      </c>
      <c r="E2983" s="114" t="str">
        <f aca="false">IF(OR(C2983="",P2983=""),"",IF(INDEX('CARNET DE SOUDURE'!$U$7:$U$3006,P2983)="","",INDEX('CARNET DE SOUDURE'!$U$7:$U$3006,P2983)))</f>
        <v/>
      </c>
      <c r="F2983" s="82" t="str">
        <f aca="false">IF(OR(C2983="",P2983=""),"",INDEX('CARNET DE SOUDURE'!$AP$7:$AP$3006,P2983))</f>
        <v/>
      </c>
      <c r="G2983" s="82" t="str">
        <f aca="false">IF(C2983="","",IF(P2983="","NJ INCONNU",INDEX('CARNET DE SOUDURE'!$AQ$7:$AQ$3006,P2983)))</f>
        <v/>
      </c>
      <c r="H2983" s="82" t="str">
        <f aca="false">IF(C2983="","",IF(G2983="ACCEPTÉ","OUI","NON"))</f>
        <v/>
      </c>
      <c r="I2983" s="83"/>
      <c r="J2983" s="80"/>
      <c r="K2983" s="81"/>
      <c r="L2983" s="81"/>
      <c r="M2983" s="81"/>
      <c r="N2983" s="84" t="str">
        <f aca="false">IF(C2983="","",IF(P2983="","NJ INCONNU",IF(I2983="",IF(H2983="OUI","À ENROBER",IF(G2983="À SOUDER","NON SOUDÉ","EN ATTENTE RT")),IF(L2983="R","À REPRENDRE",IF(H2983&lt;&gt;"OUI","⚠ ENROBÉ AVANT ACCEPTATION RT","ENROBÉ")))))</f>
        <v/>
      </c>
      <c r="O2983" s="80"/>
      <c r="P2983" s="82" t="str">
        <f aca="false">IF(C2983="","",IFERROR(MATCH(Q2983,'CARNET DE SOUDURE'!$AW$7:$AW$3006,0),""))</f>
        <v/>
      </c>
      <c r="Q2983" s="82" t="str">
        <f aca="false">IF(C2983="","",B2983&amp;"|"&amp;C2983)</f>
        <v/>
      </c>
    </row>
    <row r="2984" customFormat="false" ht="15" hidden="false" customHeight="false" outlineLevel="0" collapsed="false">
      <c r="A2984" s="82" t="str">
        <f aca="false">IF(C2984="","",ROW()-6)</f>
        <v/>
      </c>
      <c r="B2984" s="80"/>
      <c r="C2984" s="113"/>
      <c r="D2984" s="82" t="str">
        <f aca="false">IF(OR(C2984="",P2984=""),"",INDEX('CARNET DE SOUDURE'!$D$7:$D$3006,P2984)&amp;"")</f>
        <v/>
      </c>
      <c r="E2984" s="114" t="str">
        <f aca="false">IF(OR(C2984="",P2984=""),"",IF(INDEX('CARNET DE SOUDURE'!$U$7:$U$3006,P2984)="","",INDEX('CARNET DE SOUDURE'!$U$7:$U$3006,P2984)))</f>
        <v/>
      </c>
      <c r="F2984" s="82" t="str">
        <f aca="false">IF(OR(C2984="",P2984=""),"",INDEX('CARNET DE SOUDURE'!$AP$7:$AP$3006,P2984))</f>
        <v/>
      </c>
      <c r="G2984" s="82" t="str">
        <f aca="false">IF(C2984="","",IF(P2984="","NJ INCONNU",INDEX('CARNET DE SOUDURE'!$AQ$7:$AQ$3006,P2984)))</f>
        <v/>
      </c>
      <c r="H2984" s="82" t="str">
        <f aca="false">IF(C2984="","",IF(G2984="ACCEPTÉ","OUI","NON"))</f>
        <v/>
      </c>
      <c r="I2984" s="83"/>
      <c r="J2984" s="80"/>
      <c r="K2984" s="81"/>
      <c r="L2984" s="81"/>
      <c r="M2984" s="81"/>
      <c r="N2984" s="84" t="str">
        <f aca="false">IF(C2984="","",IF(P2984="","NJ INCONNU",IF(I2984="",IF(H2984="OUI","À ENROBER",IF(G2984="À SOUDER","NON SOUDÉ","EN ATTENTE RT")),IF(L2984="R","À REPRENDRE",IF(H2984&lt;&gt;"OUI","⚠ ENROBÉ AVANT ACCEPTATION RT","ENROBÉ")))))</f>
        <v/>
      </c>
      <c r="O2984" s="80"/>
      <c r="P2984" s="82" t="str">
        <f aca="false">IF(C2984="","",IFERROR(MATCH(Q2984,'CARNET DE SOUDURE'!$AW$7:$AW$3006,0),""))</f>
        <v/>
      </c>
      <c r="Q2984" s="82" t="str">
        <f aca="false">IF(C2984="","",B2984&amp;"|"&amp;C2984)</f>
        <v/>
      </c>
    </row>
    <row r="2985" customFormat="false" ht="15" hidden="false" customHeight="false" outlineLevel="0" collapsed="false">
      <c r="A2985" s="82" t="str">
        <f aca="false">IF(C2985="","",ROW()-6)</f>
        <v/>
      </c>
      <c r="B2985" s="80"/>
      <c r="C2985" s="113"/>
      <c r="D2985" s="82" t="str">
        <f aca="false">IF(OR(C2985="",P2985=""),"",INDEX('CARNET DE SOUDURE'!$D$7:$D$3006,P2985)&amp;"")</f>
        <v/>
      </c>
      <c r="E2985" s="114" t="str">
        <f aca="false">IF(OR(C2985="",P2985=""),"",IF(INDEX('CARNET DE SOUDURE'!$U$7:$U$3006,P2985)="","",INDEX('CARNET DE SOUDURE'!$U$7:$U$3006,P2985)))</f>
        <v/>
      </c>
      <c r="F2985" s="82" t="str">
        <f aca="false">IF(OR(C2985="",P2985=""),"",INDEX('CARNET DE SOUDURE'!$AP$7:$AP$3006,P2985))</f>
        <v/>
      </c>
      <c r="G2985" s="82" t="str">
        <f aca="false">IF(C2985="","",IF(P2985="","NJ INCONNU",INDEX('CARNET DE SOUDURE'!$AQ$7:$AQ$3006,P2985)))</f>
        <v/>
      </c>
      <c r="H2985" s="82" t="str">
        <f aca="false">IF(C2985="","",IF(G2985="ACCEPTÉ","OUI","NON"))</f>
        <v/>
      </c>
      <c r="I2985" s="83"/>
      <c r="J2985" s="80"/>
      <c r="K2985" s="81"/>
      <c r="L2985" s="81"/>
      <c r="M2985" s="81"/>
      <c r="N2985" s="84" t="str">
        <f aca="false">IF(C2985="","",IF(P2985="","NJ INCONNU",IF(I2985="",IF(H2985="OUI","À ENROBER",IF(G2985="À SOUDER","NON SOUDÉ","EN ATTENTE RT")),IF(L2985="R","À REPRENDRE",IF(H2985&lt;&gt;"OUI","⚠ ENROBÉ AVANT ACCEPTATION RT","ENROBÉ")))))</f>
        <v/>
      </c>
      <c r="O2985" s="80"/>
      <c r="P2985" s="82" t="str">
        <f aca="false">IF(C2985="","",IFERROR(MATCH(Q2985,'CARNET DE SOUDURE'!$AW$7:$AW$3006,0),""))</f>
        <v/>
      </c>
      <c r="Q2985" s="82" t="str">
        <f aca="false">IF(C2985="","",B2985&amp;"|"&amp;C2985)</f>
        <v/>
      </c>
    </row>
    <row r="2986" customFormat="false" ht="15" hidden="false" customHeight="false" outlineLevel="0" collapsed="false">
      <c r="A2986" s="82" t="str">
        <f aca="false">IF(C2986="","",ROW()-6)</f>
        <v/>
      </c>
      <c r="B2986" s="80"/>
      <c r="C2986" s="113"/>
      <c r="D2986" s="82" t="str">
        <f aca="false">IF(OR(C2986="",P2986=""),"",INDEX('CARNET DE SOUDURE'!$D$7:$D$3006,P2986)&amp;"")</f>
        <v/>
      </c>
      <c r="E2986" s="114" t="str">
        <f aca="false">IF(OR(C2986="",P2986=""),"",IF(INDEX('CARNET DE SOUDURE'!$U$7:$U$3006,P2986)="","",INDEX('CARNET DE SOUDURE'!$U$7:$U$3006,P2986)))</f>
        <v/>
      </c>
      <c r="F2986" s="82" t="str">
        <f aca="false">IF(OR(C2986="",P2986=""),"",INDEX('CARNET DE SOUDURE'!$AP$7:$AP$3006,P2986))</f>
        <v/>
      </c>
      <c r="G2986" s="82" t="str">
        <f aca="false">IF(C2986="","",IF(P2986="","NJ INCONNU",INDEX('CARNET DE SOUDURE'!$AQ$7:$AQ$3006,P2986)))</f>
        <v/>
      </c>
      <c r="H2986" s="82" t="str">
        <f aca="false">IF(C2986="","",IF(G2986="ACCEPTÉ","OUI","NON"))</f>
        <v/>
      </c>
      <c r="I2986" s="83"/>
      <c r="J2986" s="80"/>
      <c r="K2986" s="81"/>
      <c r="L2986" s="81"/>
      <c r="M2986" s="81"/>
      <c r="N2986" s="84" t="str">
        <f aca="false">IF(C2986="","",IF(P2986="","NJ INCONNU",IF(I2986="",IF(H2986="OUI","À ENROBER",IF(G2986="À SOUDER","NON SOUDÉ","EN ATTENTE RT")),IF(L2986="R","À REPRENDRE",IF(H2986&lt;&gt;"OUI","⚠ ENROBÉ AVANT ACCEPTATION RT","ENROBÉ")))))</f>
        <v/>
      </c>
      <c r="O2986" s="80"/>
      <c r="P2986" s="82" t="str">
        <f aca="false">IF(C2986="","",IFERROR(MATCH(Q2986,'CARNET DE SOUDURE'!$AW$7:$AW$3006,0),""))</f>
        <v/>
      </c>
      <c r="Q2986" s="82" t="str">
        <f aca="false">IF(C2986="","",B2986&amp;"|"&amp;C2986)</f>
        <v/>
      </c>
    </row>
    <row r="2987" customFormat="false" ht="15" hidden="false" customHeight="false" outlineLevel="0" collapsed="false">
      <c r="A2987" s="82" t="str">
        <f aca="false">IF(C2987="","",ROW()-6)</f>
        <v/>
      </c>
      <c r="B2987" s="80"/>
      <c r="C2987" s="113"/>
      <c r="D2987" s="82" t="str">
        <f aca="false">IF(OR(C2987="",P2987=""),"",INDEX('CARNET DE SOUDURE'!$D$7:$D$3006,P2987)&amp;"")</f>
        <v/>
      </c>
      <c r="E2987" s="114" t="str">
        <f aca="false">IF(OR(C2987="",P2987=""),"",IF(INDEX('CARNET DE SOUDURE'!$U$7:$U$3006,P2987)="","",INDEX('CARNET DE SOUDURE'!$U$7:$U$3006,P2987)))</f>
        <v/>
      </c>
      <c r="F2987" s="82" t="str">
        <f aca="false">IF(OR(C2987="",P2987=""),"",INDEX('CARNET DE SOUDURE'!$AP$7:$AP$3006,P2987))</f>
        <v/>
      </c>
      <c r="G2987" s="82" t="str">
        <f aca="false">IF(C2987="","",IF(P2987="","NJ INCONNU",INDEX('CARNET DE SOUDURE'!$AQ$7:$AQ$3006,P2987)))</f>
        <v/>
      </c>
      <c r="H2987" s="82" t="str">
        <f aca="false">IF(C2987="","",IF(G2987="ACCEPTÉ","OUI","NON"))</f>
        <v/>
      </c>
      <c r="I2987" s="83"/>
      <c r="J2987" s="80"/>
      <c r="K2987" s="81"/>
      <c r="L2987" s="81"/>
      <c r="M2987" s="81"/>
      <c r="N2987" s="84" t="str">
        <f aca="false">IF(C2987="","",IF(P2987="","NJ INCONNU",IF(I2987="",IF(H2987="OUI","À ENROBER",IF(G2987="À SOUDER","NON SOUDÉ","EN ATTENTE RT")),IF(L2987="R","À REPRENDRE",IF(H2987&lt;&gt;"OUI","⚠ ENROBÉ AVANT ACCEPTATION RT","ENROBÉ")))))</f>
        <v/>
      </c>
      <c r="O2987" s="80"/>
      <c r="P2987" s="82" t="str">
        <f aca="false">IF(C2987="","",IFERROR(MATCH(Q2987,'CARNET DE SOUDURE'!$AW$7:$AW$3006,0),""))</f>
        <v/>
      </c>
      <c r="Q2987" s="82" t="str">
        <f aca="false">IF(C2987="","",B2987&amp;"|"&amp;C2987)</f>
        <v/>
      </c>
    </row>
    <row r="2988" customFormat="false" ht="15" hidden="false" customHeight="false" outlineLevel="0" collapsed="false">
      <c r="A2988" s="82" t="str">
        <f aca="false">IF(C2988="","",ROW()-6)</f>
        <v/>
      </c>
      <c r="B2988" s="80"/>
      <c r="C2988" s="113"/>
      <c r="D2988" s="82" t="str">
        <f aca="false">IF(OR(C2988="",P2988=""),"",INDEX('CARNET DE SOUDURE'!$D$7:$D$3006,P2988)&amp;"")</f>
        <v/>
      </c>
      <c r="E2988" s="114" t="str">
        <f aca="false">IF(OR(C2988="",P2988=""),"",IF(INDEX('CARNET DE SOUDURE'!$U$7:$U$3006,P2988)="","",INDEX('CARNET DE SOUDURE'!$U$7:$U$3006,P2988)))</f>
        <v/>
      </c>
      <c r="F2988" s="82" t="str">
        <f aca="false">IF(OR(C2988="",P2988=""),"",INDEX('CARNET DE SOUDURE'!$AP$7:$AP$3006,P2988))</f>
        <v/>
      </c>
      <c r="G2988" s="82" t="str">
        <f aca="false">IF(C2988="","",IF(P2988="","NJ INCONNU",INDEX('CARNET DE SOUDURE'!$AQ$7:$AQ$3006,P2988)))</f>
        <v/>
      </c>
      <c r="H2988" s="82" t="str">
        <f aca="false">IF(C2988="","",IF(G2988="ACCEPTÉ","OUI","NON"))</f>
        <v/>
      </c>
      <c r="I2988" s="83"/>
      <c r="J2988" s="80"/>
      <c r="K2988" s="81"/>
      <c r="L2988" s="81"/>
      <c r="M2988" s="81"/>
      <c r="N2988" s="84" t="str">
        <f aca="false">IF(C2988="","",IF(P2988="","NJ INCONNU",IF(I2988="",IF(H2988="OUI","À ENROBER",IF(G2988="À SOUDER","NON SOUDÉ","EN ATTENTE RT")),IF(L2988="R","À REPRENDRE",IF(H2988&lt;&gt;"OUI","⚠ ENROBÉ AVANT ACCEPTATION RT","ENROBÉ")))))</f>
        <v/>
      </c>
      <c r="O2988" s="80"/>
      <c r="P2988" s="82" t="str">
        <f aca="false">IF(C2988="","",IFERROR(MATCH(Q2988,'CARNET DE SOUDURE'!$AW$7:$AW$3006,0),""))</f>
        <v/>
      </c>
      <c r="Q2988" s="82" t="str">
        <f aca="false">IF(C2988="","",B2988&amp;"|"&amp;C2988)</f>
        <v/>
      </c>
    </row>
    <row r="2989" customFormat="false" ht="15" hidden="false" customHeight="false" outlineLevel="0" collapsed="false">
      <c r="A2989" s="82" t="str">
        <f aca="false">IF(C2989="","",ROW()-6)</f>
        <v/>
      </c>
      <c r="B2989" s="80"/>
      <c r="C2989" s="113"/>
      <c r="D2989" s="82" t="str">
        <f aca="false">IF(OR(C2989="",P2989=""),"",INDEX('CARNET DE SOUDURE'!$D$7:$D$3006,P2989)&amp;"")</f>
        <v/>
      </c>
      <c r="E2989" s="114" t="str">
        <f aca="false">IF(OR(C2989="",P2989=""),"",IF(INDEX('CARNET DE SOUDURE'!$U$7:$U$3006,P2989)="","",INDEX('CARNET DE SOUDURE'!$U$7:$U$3006,P2989)))</f>
        <v/>
      </c>
      <c r="F2989" s="82" t="str">
        <f aca="false">IF(OR(C2989="",P2989=""),"",INDEX('CARNET DE SOUDURE'!$AP$7:$AP$3006,P2989))</f>
        <v/>
      </c>
      <c r="G2989" s="82" t="str">
        <f aca="false">IF(C2989="","",IF(P2989="","NJ INCONNU",INDEX('CARNET DE SOUDURE'!$AQ$7:$AQ$3006,P2989)))</f>
        <v/>
      </c>
      <c r="H2989" s="82" t="str">
        <f aca="false">IF(C2989="","",IF(G2989="ACCEPTÉ","OUI","NON"))</f>
        <v/>
      </c>
      <c r="I2989" s="83"/>
      <c r="J2989" s="80"/>
      <c r="K2989" s="81"/>
      <c r="L2989" s="81"/>
      <c r="M2989" s="81"/>
      <c r="N2989" s="84" t="str">
        <f aca="false">IF(C2989="","",IF(P2989="","NJ INCONNU",IF(I2989="",IF(H2989="OUI","À ENROBER",IF(G2989="À SOUDER","NON SOUDÉ","EN ATTENTE RT")),IF(L2989="R","À REPRENDRE",IF(H2989&lt;&gt;"OUI","⚠ ENROBÉ AVANT ACCEPTATION RT","ENROBÉ")))))</f>
        <v/>
      </c>
      <c r="O2989" s="80"/>
      <c r="P2989" s="82" t="str">
        <f aca="false">IF(C2989="","",IFERROR(MATCH(Q2989,'CARNET DE SOUDURE'!$AW$7:$AW$3006,0),""))</f>
        <v/>
      </c>
      <c r="Q2989" s="82" t="str">
        <f aca="false">IF(C2989="","",B2989&amp;"|"&amp;C2989)</f>
        <v/>
      </c>
    </row>
    <row r="2990" customFormat="false" ht="15" hidden="false" customHeight="false" outlineLevel="0" collapsed="false">
      <c r="A2990" s="82" t="str">
        <f aca="false">IF(C2990="","",ROW()-6)</f>
        <v/>
      </c>
      <c r="B2990" s="80"/>
      <c r="C2990" s="113"/>
      <c r="D2990" s="82" t="str">
        <f aca="false">IF(OR(C2990="",P2990=""),"",INDEX('CARNET DE SOUDURE'!$D$7:$D$3006,P2990)&amp;"")</f>
        <v/>
      </c>
      <c r="E2990" s="114" t="str">
        <f aca="false">IF(OR(C2990="",P2990=""),"",IF(INDEX('CARNET DE SOUDURE'!$U$7:$U$3006,P2990)="","",INDEX('CARNET DE SOUDURE'!$U$7:$U$3006,P2990)))</f>
        <v/>
      </c>
      <c r="F2990" s="82" t="str">
        <f aca="false">IF(OR(C2990="",P2990=""),"",INDEX('CARNET DE SOUDURE'!$AP$7:$AP$3006,P2990))</f>
        <v/>
      </c>
      <c r="G2990" s="82" t="str">
        <f aca="false">IF(C2990="","",IF(P2990="","NJ INCONNU",INDEX('CARNET DE SOUDURE'!$AQ$7:$AQ$3006,P2990)))</f>
        <v/>
      </c>
      <c r="H2990" s="82" t="str">
        <f aca="false">IF(C2990="","",IF(G2990="ACCEPTÉ","OUI","NON"))</f>
        <v/>
      </c>
      <c r="I2990" s="83"/>
      <c r="J2990" s="80"/>
      <c r="K2990" s="81"/>
      <c r="L2990" s="81"/>
      <c r="M2990" s="81"/>
      <c r="N2990" s="84" t="str">
        <f aca="false">IF(C2990="","",IF(P2990="","NJ INCONNU",IF(I2990="",IF(H2990="OUI","À ENROBER",IF(G2990="À SOUDER","NON SOUDÉ","EN ATTENTE RT")),IF(L2990="R","À REPRENDRE",IF(H2990&lt;&gt;"OUI","⚠ ENROBÉ AVANT ACCEPTATION RT","ENROBÉ")))))</f>
        <v/>
      </c>
      <c r="O2990" s="80"/>
      <c r="P2990" s="82" t="str">
        <f aca="false">IF(C2990="","",IFERROR(MATCH(Q2990,'CARNET DE SOUDURE'!$AW$7:$AW$3006,0),""))</f>
        <v/>
      </c>
      <c r="Q2990" s="82" t="str">
        <f aca="false">IF(C2990="","",B2990&amp;"|"&amp;C2990)</f>
        <v/>
      </c>
    </row>
    <row r="2991" customFormat="false" ht="15" hidden="false" customHeight="false" outlineLevel="0" collapsed="false">
      <c r="A2991" s="82" t="str">
        <f aca="false">IF(C2991="","",ROW()-6)</f>
        <v/>
      </c>
      <c r="B2991" s="80"/>
      <c r="C2991" s="113"/>
      <c r="D2991" s="82" t="str">
        <f aca="false">IF(OR(C2991="",P2991=""),"",INDEX('CARNET DE SOUDURE'!$D$7:$D$3006,P2991)&amp;"")</f>
        <v/>
      </c>
      <c r="E2991" s="114" t="str">
        <f aca="false">IF(OR(C2991="",P2991=""),"",IF(INDEX('CARNET DE SOUDURE'!$U$7:$U$3006,P2991)="","",INDEX('CARNET DE SOUDURE'!$U$7:$U$3006,P2991)))</f>
        <v/>
      </c>
      <c r="F2991" s="82" t="str">
        <f aca="false">IF(OR(C2991="",P2991=""),"",INDEX('CARNET DE SOUDURE'!$AP$7:$AP$3006,P2991))</f>
        <v/>
      </c>
      <c r="G2991" s="82" t="str">
        <f aca="false">IF(C2991="","",IF(P2991="","NJ INCONNU",INDEX('CARNET DE SOUDURE'!$AQ$7:$AQ$3006,P2991)))</f>
        <v/>
      </c>
      <c r="H2991" s="82" t="str">
        <f aca="false">IF(C2991="","",IF(G2991="ACCEPTÉ","OUI","NON"))</f>
        <v/>
      </c>
      <c r="I2991" s="83"/>
      <c r="J2991" s="80"/>
      <c r="K2991" s="81"/>
      <c r="L2991" s="81"/>
      <c r="M2991" s="81"/>
      <c r="N2991" s="84" t="str">
        <f aca="false">IF(C2991="","",IF(P2991="","NJ INCONNU",IF(I2991="",IF(H2991="OUI","À ENROBER",IF(G2991="À SOUDER","NON SOUDÉ","EN ATTENTE RT")),IF(L2991="R","À REPRENDRE",IF(H2991&lt;&gt;"OUI","⚠ ENROBÉ AVANT ACCEPTATION RT","ENROBÉ")))))</f>
        <v/>
      </c>
      <c r="O2991" s="80"/>
      <c r="P2991" s="82" t="str">
        <f aca="false">IF(C2991="","",IFERROR(MATCH(Q2991,'CARNET DE SOUDURE'!$AW$7:$AW$3006,0),""))</f>
        <v/>
      </c>
      <c r="Q2991" s="82" t="str">
        <f aca="false">IF(C2991="","",B2991&amp;"|"&amp;C2991)</f>
        <v/>
      </c>
    </row>
    <row r="2992" customFormat="false" ht="15" hidden="false" customHeight="false" outlineLevel="0" collapsed="false">
      <c r="A2992" s="82" t="str">
        <f aca="false">IF(C2992="","",ROW()-6)</f>
        <v/>
      </c>
      <c r="B2992" s="80"/>
      <c r="C2992" s="113"/>
      <c r="D2992" s="82" t="str">
        <f aca="false">IF(OR(C2992="",P2992=""),"",INDEX('CARNET DE SOUDURE'!$D$7:$D$3006,P2992)&amp;"")</f>
        <v/>
      </c>
      <c r="E2992" s="114" t="str">
        <f aca="false">IF(OR(C2992="",P2992=""),"",IF(INDEX('CARNET DE SOUDURE'!$U$7:$U$3006,P2992)="","",INDEX('CARNET DE SOUDURE'!$U$7:$U$3006,P2992)))</f>
        <v/>
      </c>
      <c r="F2992" s="82" t="str">
        <f aca="false">IF(OR(C2992="",P2992=""),"",INDEX('CARNET DE SOUDURE'!$AP$7:$AP$3006,P2992))</f>
        <v/>
      </c>
      <c r="G2992" s="82" t="str">
        <f aca="false">IF(C2992="","",IF(P2992="","NJ INCONNU",INDEX('CARNET DE SOUDURE'!$AQ$7:$AQ$3006,P2992)))</f>
        <v/>
      </c>
      <c r="H2992" s="82" t="str">
        <f aca="false">IF(C2992="","",IF(G2992="ACCEPTÉ","OUI","NON"))</f>
        <v/>
      </c>
      <c r="I2992" s="83"/>
      <c r="J2992" s="80"/>
      <c r="K2992" s="81"/>
      <c r="L2992" s="81"/>
      <c r="M2992" s="81"/>
      <c r="N2992" s="84" t="str">
        <f aca="false">IF(C2992="","",IF(P2992="","NJ INCONNU",IF(I2992="",IF(H2992="OUI","À ENROBER",IF(G2992="À SOUDER","NON SOUDÉ","EN ATTENTE RT")),IF(L2992="R","À REPRENDRE",IF(H2992&lt;&gt;"OUI","⚠ ENROBÉ AVANT ACCEPTATION RT","ENROBÉ")))))</f>
        <v/>
      </c>
      <c r="O2992" s="80"/>
      <c r="P2992" s="82" t="str">
        <f aca="false">IF(C2992="","",IFERROR(MATCH(Q2992,'CARNET DE SOUDURE'!$AW$7:$AW$3006,0),""))</f>
        <v/>
      </c>
      <c r="Q2992" s="82" t="str">
        <f aca="false">IF(C2992="","",B2992&amp;"|"&amp;C2992)</f>
        <v/>
      </c>
    </row>
    <row r="2993" customFormat="false" ht="15" hidden="false" customHeight="false" outlineLevel="0" collapsed="false">
      <c r="A2993" s="82" t="str">
        <f aca="false">IF(C2993="","",ROW()-6)</f>
        <v/>
      </c>
      <c r="B2993" s="80"/>
      <c r="C2993" s="113"/>
      <c r="D2993" s="82" t="str">
        <f aca="false">IF(OR(C2993="",P2993=""),"",INDEX('CARNET DE SOUDURE'!$D$7:$D$3006,P2993)&amp;"")</f>
        <v/>
      </c>
      <c r="E2993" s="114" t="str">
        <f aca="false">IF(OR(C2993="",P2993=""),"",IF(INDEX('CARNET DE SOUDURE'!$U$7:$U$3006,P2993)="","",INDEX('CARNET DE SOUDURE'!$U$7:$U$3006,P2993)))</f>
        <v/>
      </c>
      <c r="F2993" s="82" t="str">
        <f aca="false">IF(OR(C2993="",P2993=""),"",INDEX('CARNET DE SOUDURE'!$AP$7:$AP$3006,P2993))</f>
        <v/>
      </c>
      <c r="G2993" s="82" t="str">
        <f aca="false">IF(C2993="","",IF(P2993="","NJ INCONNU",INDEX('CARNET DE SOUDURE'!$AQ$7:$AQ$3006,P2993)))</f>
        <v/>
      </c>
      <c r="H2993" s="82" t="str">
        <f aca="false">IF(C2993="","",IF(G2993="ACCEPTÉ","OUI","NON"))</f>
        <v/>
      </c>
      <c r="I2993" s="83"/>
      <c r="J2993" s="80"/>
      <c r="K2993" s="81"/>
      <c r="L2993" s="81"/>
      <c r="M2993" s="81"/>
      <c r="N2993" s="84" t="str">
        <f aca="false">IF(C2993="","",IF(P2993="","NJ INCONNU",IF(I2993="",IF(H2993="OUI","À ENROBER",IF(G2993="À SOUDER","NON SOUDÉ","EN ATTENTE RT")),IF(L2993="R","À REPRENDRE",IF(H2993&lt;&gt;"OUI","⚠ ENROBÉ AVANT ACCEPTATION RT","ENROBÉ")))))</f>
        <v/>
      </c>
      <c r="O2993" s="80"/>
      <c r="P2993" s="82" t="str">
        <f aca="false">IF(C2993="","",IFERROR(MATCH(Q2993,'CARNET DE SOUDURE'!$AW$7:$AW$3006,0),""))</f>
        <v/>
      </c>
      <c r="Q2993" s="82" t="str">
        <f aca="false">IF(C2993="","",B2993&amp;"|"&amp;C2993)</f>
        <v/>
      </c>
    </row>
    <row r="2994" customFormat="false" ht="15" hidden="false" customHeight="false" outlineLevel="0" collapsed="false">
      <c r="A2994" s="82" t="str">
        <f aca="false">IF(C2994="","",ROW()-6)</f>
        <v/>
      </c>
      <c r="B2994" s="80"/>
      <c r="C2994" s="113"/>
      <c r="D2994" s="82" t="str">
        <f aca="false">IF(OR(C2994="",P2994=""),"",INDEX('CARNET DE SOUDURE'!$D$7:$D$3006,P2994)&amp;"")</f>
        <v/>
      </c>
      <c r="E2994" s="114" t="str">
        <f aca="false">IF(OR(C2994="",P2994=""),"",IF(INDEX('CARNET DE SOUDURE'!$U$7:$U$3006,P2994)="","",INDEX('CARNET DE SOUDURE'!$U$7:$U$3006,P2994)))</f>
        <v/>
      </c>
      <c r="F2994" s="82" t="str">
        <f aca="false">IF(OR(C2994="",P2994=""),"",INDEX('CARNET DE SOUDURE'!$AP$7:$AP$3006,P2994))</f>
        <v/>
      </c>
      <c r="G2994" s="82" t="str">
        <f aca="false">IF(C2994="","",IF(P2994="","NJ INCONNU",INDEX('CARNET DE SOUDURE'!$AQ$7:$AQ$3006,P2994)))</f>
        <v/>
      </c>
      <c r="H2994" s="82" t="str">
        <f aca="false">IF(C2994="","",IF(G2994="ACCEPTÉ","OUI","NON"))</f>
        <v/>
      </c>
      <c r="I2994" s="83"/>
      <c r="J2994" s="80"/>
      <c r="K2994" s="81"/>
      <c r="L2994" s="81"/>
      <c r="M2994" s="81"/>
      <c r="N2994" s="84" t="str">
        <f aca="false">IF(C2994="","",IF(P2994="","NJ INCONNU",IF(I2994="",IF(H2994="OUI","À ENROBER",IF(G2994="À SOUDER","NON SOUDÉ","EN ATTENTE RT")),IF(L2994="R","À REPRENDRE",IF(H2994&lt;&gt;"OUI","⚠ ENROBÉ AVANT ACCEPTATION RT","ENROBÉ")))))</f>
        <v/>
      </c>
      <c r="O2994" s="80"/>
      <c r="P2994" s="82" t="str">
        <f aca="false">IF(C2994="","",IFERROR(MATCH(Q2994,'CARNET DE SOUDURE'!$AW$7:$AW$3006,0),""))</f>
        <v/>
      </c>
      <c r="Q2994" s="82" t="str">
        <f aca="false">IF(C2994="","",B2994&amp;"|"&amp;C2994)</f>
        <v/>
      </c>
    </row>
    <row r="2995" customFormat="false" ht="15" hidden="false" customHeight="false" outlineLevel="0" collapsed="false">
      <c r="A2995" s="82" t="str">
        <f aca="false">IF(C2995="","",ROW()-6)</f>
        <v/>
      </c>
      <c r="B2995" s="80"/>
      <c r="C2995" s="113"/>
      <c r="D2995" s="82" t="str">
        <f aca="false">IF(OR(C2995="",P2995=""),"",INDEX('CARNET DE SOUDURE'!$D$7:$D$3006,P2995)&amp;"")</f>
        <v/>
      </c>
      <c r="E2995" s="114" t="str">
        <f aca="false">IF(OR(C2995="",P2995=""),"",IF(INDEX('CARNET DE SOUDURE'!$U$7:$U$3006,P2995)="","",INDEX('CARNET DE SOUDURE'!$U$7:$U$3006,P2995)))</f>
        <v/>
      </c>
      <c r="F2995" s="82" t="str">
        <f aca="false">IF(OR(C2995="",P2995=""),"",INDEX('CARNET DE SOUDURE'!$AP$7:$AP$3006,P2995))</f>
        <v/>
      </c>
      <c r="G2995" s="82" t="str">
        <f aca="false">IF(C2995="","",IF(P2995="","NJ INCONNU",INDEX('CARNET DE SOUDURE'!$AQ$7:$AQ$3006,P2995)))</f>
        <v/>
      </c>
      <c r="H2995" s="82" t="str">
        <f aca="false">IF(C2995="","",IF(G2995="ACCEPTÉ","OUI","NON"))</f>
        <v/>
      </c>
      <c r="I2995" s="83"/>
      <c r="J2995" s="80"/>
      <c r="K2995" s="81"/>
      <c r="L2995" s="81"/>
      <c r="M2995" s="81"/>
      <c r="N2995" s="84" t="str">
        <f aca="false">IF(C2995="","",IF(P2995="","NJ INCONNU",IF(I2995="",IF(H2995="OUI","À ENROBER",IF(G2995="À SOUDER","NON SOUDÉ","EN ATTENTE RT")),IF(L2995="R","À REPRENDRE",IF(H2995&lt;&gt;"OUI","⚠ ENROBÉ AVANT ACCEPTATION RT","ENROBÉ")))))</f>
        <v/>
      </c>
      <c r="O2995" s="80"/>
      <c r="P2995" s="82" t="str">
        <f aca="false">IF(C2995="","",IFERROR(MATCH(Q2995,'CARNET DE SOUDURE'!$AW$7:$AW$3006,0),""))</f>
        <v/>
      </c>
      <c r="Q2995" s="82" t="str">
        <f aca="false">IF(C2995="","",B2995&amp;"|"&amp;C2995)</f>
        <v/>
      </c>
    </row>
    <row r="2996" customFormat="false" ht="15" hidden="false" customHeight="false" outlineLevel="0" collapsed="false">
      <c r="A2996" s="82" t="str">
        <f aca="false">IF(C2996="","",ROW()-6)</f>
        <v/>
      </c>
      <c r="B2996" s="80"/>
      <c r="C2996" s="113"/>
      <c r="D2996" s="82" t="str">
        <f aca="false">IF(OR(C2996="",P2996=""),"",INDEX('CARNET DE SOUDURE'!$D$7:$D$3006,P2996)&amp;"")</f>
        <v/>
      </c>
      <c r="E2996" s="114" t="str">
        <f aca="false">IF(OR(C2996="",P2996=""),"",IF(INDEX('CARNET DE SOUDURE'!$U$7:$U$3006,P2996)="","",INDEX('CARNET DE SOUDURE'!$U$7:$U$3006,P2996)))</f>
        <v/>
      </c>
      <c r="F2996" s="82" t="str">
        <f aca="false">IF(OR(C2996="",P2996=""),"",INDEX('CARNET DE SOUDURE'!$AP$7:$AP$3006,P2996))</f>
        <v/>
      </c>
      <c r="G2996" s="82" t="str">
        <f aca="false">IF(C2996="","",IF(P2996="","NJ INCONNU",INDEX('CARNET DE SOUDURE'!$AQ$7:$AQ$3006,P2996)))</f>
        <v/>
      </c>
      <c r="H2996" s="82" t="str">
        <f aca="false">IF(C2996="","",IF(G2996="ACCEPTÉ","OUI","NON"))</f>
        <v/>
      </c>
      <c r="I2996" s="83"/>
      <c r="J2996" s="80"/>
      <c r="K2996" s="81"/>
      <c r="L2996" s="81"/>
      <c r="M2996" s="81"/>
      <c r="N2996" s="84" t="str">
        <f aca="false">IF(C2996="","",IF(P2996="","NJ INCONNU",IF(I2996="",IF(H2996="OUI","À ENROBER",IF(G2996="À SOUDER","NON SOUDÉ","EN ATTENTE RT")),IF(L2996="R","À REPRENDRE",IF(H2996&lt;&gt;"OUI","⚠ ENROBÉ AVANT ACCEPTATION RT","ENROBÉ")))))</f>
        <v/>
      </c>
      <c r="O2996" s="80"/>
      <c r="P2996" s="82" t="str">
        <f aca="false">IF(C2996="","",IFERROR(MATCH(Q2996,'CARNET DE SOUDURE'!$AW$7:$AW$3006,0),""))</f>
        <v/>
      </c>
      <c r="Q2996" s="82" t="str">
        <f aca="false">IF(C2996="","",B2996&amp;"|"&amp;C2996)</f>
        <v/>
      </c>
    </row>
    <row r="2997" customFormat="false" ht="15" hidden="false" customHeight="false" outlineLevel="0" collapsed="false">
      <c r="A2997" s="82" t="str">
        <f aca="false">IF(C2997="","",ROW()-6)</f>
        <v/>
      </c>
      <c r="B2997" s="80"/>
      <c r="C2997" s="113"/>
      <c r="D2997" s="82" t="str">
        <f aca="false">IF(OR(C2997="",P2997=""),"",INDEX('CARNET DE SOUDURE'!$D$7:$D$3006,P2997)&amp;"")</f>
        <v/>
      </c>
      <c r="E2997" s="114" t="str">
        <f aca="false">IF(OR(C2997="",P2997=""),"",IF(INDEX('CARNET DE SOUDURE'!$U$7:$U$3006,P2997)="","",INDEX('CARNET DE SOUDURE'!$U$7:$U$3006,P2997)))</f>
        <v/>
      </c>
      <c r="F2997" s="82" t="str">
        <f aca="false">IF(OR(C2997="",P2997=""),"",INDEX('CARNET DE SOUDURE'!$AP$7:$AP$3006,P2997))</f>
        <v/>
      </c>
      <c r="G2997" s="82" t="str">
        <f aca="false">IF(C2997="","",IF(P2997="","NJ INCONNU",INDEX('CARNET DE SOUDURE'!$AQ$7:$AQ$3006,P2997)))</f>
        <v/>
      </c>
      <c r="H2997" s="82" t="str">
        <f aca="false">IF(C2997="","",IF(G2997="ACCEPTÉ","OUI","NON"))</f>
        <v/>
      </c>
      <c r="I2997" s="83"/>
      <c r="J2997" s="80"/>
      <c r="K2997" s="81"/>
      <c r="L2997" s="81"/>
      <c r="M2997" s="81"/>
      <c r="N2997" s="84" t="str">
        <f aca="false">IF(C2997="","",IF(P2997="","NJ INCONNU",IF(I2997="",IF(H2997="OUI","À ENROBER",IF(G2997="À SOUDER","NON SOUDÉ","EN ATTENTE RT")),IF(L2997="R","À REPRENDRE",IF(H2997&lt;&gt;"OUI","⚠ ENROBÉ AVANT ACCEPTATION RT","ENROBÉ")))))</f>
        <v/>
      </c>
      <c r="O2997" s="80"/>
      <c r="P2997" s="82" t="str">
        <f aca="false">IF(C2997="","",IFERROR(MATCH(Q2997,'CARNET DE SOUDURE'!$AW$7:$AW$3006,0),""))</f>
        <v/>
      </c>
      <c r="Q2997" s="82" t="str">
        <f aca="false">IF(C2997="","",B2997&amp;"|"&amp;C2997)</f>
        <v/>
      </c>
    </row>
    <row r="2998" customFormat="false" ht="15" hidden="false" customHeight="false" outlineLevel="0" collapsed="false">
      <c r="A2998" s="82" t="str">
        <f aca="false">IF(C2998="","",ROW()-6)</f>
        <v/>
      </c>
      <c r="B2998" s="80"/>
      <c r="C2998" s="113"/>
      <c r="D2998" s="82" t="str">
        <f aca="false">IF(OR(C2998="",P2998=""),"",INDEX('CARNET DE SOUDURE'!$D$7:$D$3006,P2998)&amp;"")</f>
        <v/>
      </c>
      <c r="E2998" s="114" t="str">
        <f aca="false">IF(OR(C2998="",P2998=""),"",IF(INDEX('CARNET DE SOUDURE'!$U$7:$U$3006,P2998)="","",INDEX('CARNET DE SOUDURE'!$U$7:$U$3006,P2998)))</f>
        <v/>
      </c>
      <c r="F2998" s="82" t="str">
        <f aca="false">IF(OR(C2998="",P2998=""),"",INDEX('CARNET DE SOUDURE'!$AP$7:$AP$3006,P2998))</f>
        <v/>
      </c>
      <c r="G2998" s="82" t="str">
        <f aca="false">IF(C2998="","",IF(P2998="","NJ INCONNU",INDEX('CARNET DE SOUDURE'!$AQ$7:$AQ$3006,P2998)))</f>
        <v/>
      </c>
      <c r="H2998" s="82" t="str">
        <f aca="false">IF(C2998="","",IF(G2998="ACCEPTÉ","OUI","NON"))</f>
        <v/>
      </c>
      <c r="I2998" s="83"/>
      <c r="J2998" s="80"/>
      <c r="K2998" s="81"/>
      <c r="L2998" s="81"/>
      <c r="M2998" s="81"/>
      <c r="N2998" s="84" t="str">
        <f aca="false">IF(C2998="","",IF(P2998="","NJ INCONNU",IF(I2998="",IF(H2998="OUI","À ENROBER",IF(G2998="À SOUDER","NON SOUDÉ","EN ATTENTE RT")),IF(L2998="R","À REPRENDRE",IF(H2998&lt;&gt;"OUI","⚠ ENROBÉ AVANT ACCEPTATION RT","ENROBÉ")))))</f>
        <v/>
      </c>
      <c r="O2998" s="80"/>
      <c r="P2998" s="82" t="str">
        <f aca="false">IF(C2998="","",IFERROR(MATCH(Q2998,'CARNET DE SOUDURE'!$AW$7:$AW$3006,0),""))</f>
        <v/>
      </c>
      <c r="Q2998" s="82" t="str">
        <f aca="false">IF(C2998="","",B2998&amp;"|"&amp;C2998)</f>
        <v/>
      </c>
    </row>
    <row r="2999" customFormat="false" ht="15" hidden="false" customHeight="false" outlineLevel="0" collapsed="false">
      <c r="A2999" s="82" t="str">
        <f aca="false">IF(C2999="","",ROW()-6)</f>
        <v/>
      </c>
      <c r="B2999" s="80"/>
      <c r="C2999" s="113"/>
      <c r="D2999" s="82" t="str">
        <f aca="false">IF(OR(C2999="",P2999=""),"",INDEX('CARNET DE SOUDURE'!$D$7:$D$3006,P2999)&amp;"")</f>
        <v/>
      </c>
      <c r="E2999" s="114" t="str">
        <f aca="false">IF(OR(C2999="",P2999=""),"",IF(INDEX('CARNET DE SOUDURE'!$U$7:$U$3006,P2999)="","",INDEX('CARNET DE SOUDURE'!$U$7:$U$3006,P2999)))</f>
        <v/>
      </c>
      <c r="F2999" s="82" t="str">
        <f aca="false">IF(OR(C2999="",P2999=""),"",INDEX('CARNET DE SOUDURE'!$AP$7:$AP$3006,P2999))</f>
        <v/>
      </c>
      <c r="G2999" s="82" t="str">
        <f aca="false">IF(C2999="","",IF(P2999="","NJ INCONNU",INDEX('CARNET DE SOUDURE'!$AQ$7:$AQ$3006,P2999)))</f>
        <v/>
      </c>
      <c r="H2999" s="82" t="str">
        <f aca="false">IF(C2999="","",IF(G2999="ACCEPTÉ","OUI","NON"))</f>
        <v/>
      </c>
      <c r="I2999" s="83"/>
      <c r="J2999" s="80"/>
      <c r="K2999" s="81"/>
      <c r="L2999" s="81"/>
      <c r="M2999" s="81"/>
      <c r="N2999" s="84" t="str">
        <f aca="false">IF(C2999="","",IF(P2999="","NJ INCONNU",IF(I2999="",IF(H2999="OUI","À ENROBER",IF(G2999="À SOUDER","NON SOUDÉ","EN ATTENTE RT")),IF(L2999="R","À REPRENDRE",IF(H2999&lt;&gt;"OUI","⚠ ENROBÉ AVANT ACCEPTATION RT","ENROBÉ")))))</f>
        <v/>
      </c>
      <c r="O2999" s="80"/>
      <c r="P2999" s="82" t="str">
        <f aca="false">IF(C2999="","",IFERROR(MATCH(Q2999,'CARNET DE SOUDURE'!$AW$7:$AW$3006,0),""))</f>
        <v/>
      </c>
      <c r="Q2999" s="82" t="str">
        <f aca="false">IF(C2999="","",B2999&amp;"|"&amp;C2999)</f>
        <v/>
      </c>
    </row>
    <row r="3000" customFormat="false" ht="15" hidden="false" customHeight="false" outlineLevel="0" collapsed="false">
      <c r="A3000" s="82" t="str">
        <f aca="false">IF(C3000="","",ROW()-6)</f>
        <v/>
      </c>
      <c r="B3000" s="80"/>
      <c r="C3000" s="113"/>
      <c r="D3000" s="82" t="str">
        <f aca="false">IF(OR(C3000="",P3000=""),"",INDEX('CARNET DE SOUDURE'!$D$7:$D$3006,P3000)&amp;"")</f>
        <v/>
      </c>
      <c r="E3000" s="114" t="str">
        <f aca="false">IF(OR(C3000="",P3000=""),"",IF(INDEX('CARNET DE SOUDURE'!$U$7:$U$3006,P3000)="","",INDEX('CARNET DE SOUDURE'!$U$7:$U$3006,P3000)))</f>
        <v/>
      </c>
      <c r="F3000" s="82" t="str">
        <f aca="false">IF(OR(C3000="",P3000=""),"",INDEX('CARNET DE SOUDURE'!$AP$7:$AP$3006,P3000))</f>
        <v/>
      </c>
      <c r="G3000" s="82" t="str">
        <f aca="false">IF(C3000="","",IF(P3000="","NJ INCONNU",INDEX('CARNET DE SOUDURE'!$AQ$7:$AQ$3006,P3000)))</f>
        <v/>
      </c>
      <c r="H3000" s="82" t="str">
        <f aca="false">IF(C3000="","",IF(G3000="ACCEPTÉ","OUI","NON"))</f>
        <v/>
      </c>
      <c r="I3000" s="83"/>
      <c r="J3000" s="80"/>
      <c r="K3000" s="81"/>
      <c r="L3000" s="81"/>
      <c r="M3000" s="81"/>
      <c r="N3000" s="84" t="str">
        <f aca="false">IF(C3000="","",IF(P3000="","NJ INCONNU",IF(I3000="",IF(H3000="OUI","À ENROBER",IF(G3000="À SOUDER","NON SOUDÉ","EN ATTENTE RT")),IF(L3000="R","À REPRENDRE",IF(H3000&lt;&gt;"OUI","⚠ ENROBÉ AVANT ACCEPTATION RT","ENROBÉ")))))</f>
        <v/>
      </c>
      <c r="O3000" s="80"/>
      <c r="P3000" s="82" t="str">
        <f aca="false">IF(C3000="","",IFERROR(MATCH(Q3000,'CARNET DE SOUDURE'!$AW$7:$AW$3006,0),""))</f>
        <v/>
      </c>
      <c r="Q3000" s="82" t="str">
        <f aca="false">IF(C3000="","",B3000&amp;"|"&amp;C3000)</f>
        <v/>
      </c>
    </row>
    <row r="3001" customFormat="false" ht="15" hidden="false" customHeight="false" outlineLevel="0" collapsed="false">
      <c r="A3001" s="82" t="str">
        <f aca="false">IF(C3001="","",ROW()-6)</f>
        <v/>
      </c>
      <c r="B3001" s="80"/>
      <c r="C3001" s="113"/>
      <c r="D3001" s="82" t="str">
        <f aca="false">IF(OR(C3001="",P3001=""),"",INDEX('CARNET DE SOUDURE'!$D$7:$D$3006,P3001)&amp;"")</f>
        <v/>
      </c>
      <c r="E3001" s="114" t="str">
        <f aca="false">IF(OR(C3001="",P3001=""),"",IF(INDEX('CARNET DE SOUDURE'!$U$7:$U$3006,P3001)="","",INDEX('CARNET DE SOUDURE'!$U$7:$U$3006,P3001)))</f>
        <v/>
      </c>
      <c r="F3001" s="82" t="str">
        <f aca="false">IF(OR(C3001="",P3001=""),"",INDEX('CARNET DE SOUDURE'!$AP$7:$AP$3006,P3001))</f>
        <v/>
      </c>
      <c r="G3001" s="82" t="str">
        <f aca="false">IF(C3001="","",IF(P3001="","NJ INCONNU",INDEX('CARNET DE SOUDURE'!$AQ$7:$AQ$3006,P3001)))</f>
        <v/>
      </c>
      <c r="H3001" s="82" t="str">
        <f aca="false">IF(C3001="","",IF(G3001="ACCEPTÉ","OUI","NON"))</f>
        <v/>
      </c>
      <c r="I3001" s="83"/>
      <c r="J3001" s="80"/>
      <c r="K3001" s="81"/>
      <c r="L3001" s="81"/>
      <c r="M3001" s="81"/>
      <c r="N3001" s="84" t="str">
        <f aca="false">IF(C3001="","",IF(P3001="","NJ INCONNU",IF(I3001="",IF(H3001="OUI","À ENROBER",IF(G3001="À SOUDER","NON SOUDÉ","EN ATTENTE RT")),IF(L3001="R","À REPRENDRE",IF(H3001&lt;&gt;"OUI","⚠ ENROBÉ AVANT ACCEPTATION RT","ENROBÉ")))))</f>
        <v/>
      </c>
      <c r="O3001" s="80"/>
      <c r="P3001" s="82" t="str">
        <f aca="false">IF(C3001="","",IFERROR(MATCH(Q3001,'CARNET DE SOUDURE'!$AW$7:$AW$3006,0),""))</f>
        <v/>
      </c>
      <c r="Q3001" s="82" t="str">
        <f aca="false">IF(C3001="","",B3001&amp;"|"&amp;C3001)</f>
        <v/>
      </c>
    </row>
    <row r="3002" customFormat="false" ht="15" hidden="false" customHeight="false" outlineLevel="0" collapsed="false">
      <c r="A3002" s="82" t="str">
        <f aca="false">IF(C3002="","",ROW()-6)</f>
        <v/>
      </c>
      <c r="B3002" s="80"/>
      <c r="C3002" s="113"/>
      <c r="D3002" s="82" t="str">
        <f aca="false">IF(OR(C3002="",P3002=""),"",INDEX('CARNET DE SOUDURE'!$D$7:$D$3006,P3002)&amp;"")</f>
        <v/>
      </c>
      <c r="E3002" s="114" t="str">
        <f aca="false">IF(OR(C3002="",P3002=""),"",IF(INDEX('CARNET DE SOUDURE'!$U$7:$U$3006,P3002)="","",INDEX('CARNET DE SOUDURE'!$U$7:$U$3006,P3002)))</f>
        <v/>
      </c>
      <c r="F3002" s="82" t="str">
        <f aca="false">IF(OR(C3002="",P3002=""),"",INDEX('CARNET DE SOUDURE'!$AP$7:$AP$3006,P3002))</f>
        <v/>
      </c>
      <c r="G3002" s="82" t="str">
        <f aca="false">IF(C3002="","",IF(P3002="","NJ INCONNU",INDEX('CARNET DE SOUDURE'!$AQ$7:$AQ$3006,P3002)))</f>
        <v/>
      </c>
      <c r="H3002" s="82" t="str">
        <f aca="false">IF(C3002="","",IF(G3002="ACCEPTÉ","OUI","NON"))</f>
        <v/>
      </c>
      <c r="I3002" s="83"/>
      <c r="J3002" s="80"/>
      <c r="K3002" s="81"/>
      <c r="L3002" s="81"/>
      <c r="M3002" s="81"/>
      <c r="N3002" s="84" t="str">
        <f aca="false">IF(C3002="","",IF(P3002="","NJ INCONNU",IF(I3002="",IF(H3002="OUI","À ENROBER",IF(G3002="À SOUDER","NON SOUDÉ","EN ATTENTE RT")),IF(L3002="R","À REPRENDRE",IF(H3002&lt;&gt;"OUI","⚠ ENROBÉ AVANT ACCEPTATION RT","ENROBÉ")))))</f>
        <v/>
      </c>
      <c r="O3002" s="80"/>
      <c r="P3002" s="82" t="str">
        <f aca="false">IF(C3002="","",IFERROR(MATCH(Q3002,'CARNET DE SOUDURE'!$AW$7:$AW$3006,0),""))</f>
        <v/>
      </c>
      <c r="Q3002" s="82" t="str">
        <f aca="false">IF(C3002="","",B3002&amp;"|"&amp;C3002)</f>
        <v/>
      </c>
    </row>
    <row r="3003" customFormat="false" ht="15" hidden="false" customHeight="false" outlineLevel="0" collapsed="false">
      <c r="A3003" s="82" t="str">
        <f aca="false">IF(C3003="","",ROW()-6)</f>
        <v/>
      </c>
      <c r="B3003" s="80"/>
      <c r="C3003" s="113"/>
      <c r="D3003" s="82" t="str">
        <f aca="false">IF(OR(C3003="",P3003=""),"",INDEX('CARNET DE SOUDURE'!$D$7:$D$3006,P3003)&amp;"")</f>
        <v/>
      </c>
      <c r="E3003" s="114" t="str">
        <f aca="false">IF(OR(C3003="",P3003=""),"",IF(INDEX('CARNET DE SOUDURE'!$U$7:$U$3006,P3003)="","",INDEX('CARNET DE SOUDURE'!$U$7:$U$3006,P3003)))</f>
        <v/>
      </c>
      <c r="F3003" s="82" t="str">
        <f aca="false">IF(OR(C3003="",P3003=""),"",INDEX('CARNET DE SOUDURE'!$AP$7:$AP$3006,P3003))</f>
        <v/>
      </c>
      <c r="G3003" s="82" t="str">
        <f aca="false">IF(C3003="","",IF(P3003="","NJ INCONNU",INDEX('CARNET DE SOUDURE'!$AQ$7:$AQ$3006,P3003)))</f>
        <v/>
      </c>
      <c r="H3003" s="82" t="str">
        <f aca="false">IF(C3003="","",IF(G3003="ACCEPTÉ","OUI","NON"))</f>
        <v/>
      </c>
      <c r="I3003" s="83"/>
      <c r="J3003" s="80"/>
      <c r="K3003" s="81"/>
      <c r="L3003" s="81"/>
      <c r="M3003" s="81"/>
      <c r="N3003" s="84" t="str">
        <f aca="false">IF(C3003="","",IF(P3003="","NJ INCONNU",IF(I3003="",IF(H3003="OUI","À ENROBER",IF(G3003="À SOUDER","NON SOUDÉ","EN ATTENTE RT")),IF(L3003="R","À REPRENDRE",IF(H3003&lt;&gt;"OUI","⚠ ENROBÉ AVANT ACCEPTATION RT","ENROBÉ")))))</f>
        <v/>
      </c>
      <c r="O3003" s="80"/>
      <c r="P3003" s="82" t="str">
        <f aca="false">IF(C3003="","",IFERROR(MATCH(Q3003,'CARNET DE SOUDURE'!$AW$7:$AW$3006,0),""))</f>
        <v/>
      </c>
      <c r="Q3003" s="82" t="str">
        <f aca="false">IF(C3003="","",B3003&amp;"|"&amp;C3003)</f>
        <v/>
      </c>
    </row>
    <row r="3004" customFormat="false" ht="15" hidden="false" customHeight="false" outlineLevel="0" collapsed="false">
      <c r="A3004" s="82" t="str">
        <f aca="false">IF(C3004="","",ROW()-6)</f>
        <v/>
      </c>
      <c r="B3004" s="80"/>
      <c r="C3004" s="113"/>
      <c r="D3004" s="82" t="str">
        <f aca="false">IF(OR(C3004="",P3004=""),"",INDEX('CARNET DE SOUDURE'!$D$7:$D$3006,P3004)&amp;"")</f>
        <v/>
      </c>
      <c r="E3004" s="114" t="str">
        <f aca="false">IF(OR(C3004="",P3004=""),"",IF(INDEX('CARNET DE SOUDURE'!$U$7:$U$3006,P3004)="","",INDEX('CARNET DE SOUDURE'!$U$7:$U$3006,P3004)))</f>
        <v/>
      </c>
      <c r="F3004" s="82" t="str">
        <f aca="false">IF(OR(C3004="",P3004=""),"",INDEX('CARNET DE SOUDURE'!$AP$7:$AP$3006,P3004))</f>
        <v/>
      </c>
      <c r="G3004" s="82" t="str">
        <f aca="false">IF(C3004="","",IF(P3004="","NJ INCONNU",INDEX('CARNET DE SOUDURE'!$AQ$7:$AQ$3006,P3004)))</f>
        <v/>
      </c>
      <c r="H3004" s="82" t="str">
        <f aca="false">IF(C3004="","",IF(G3004="ACCEPTÉ","OUI","NON"))</f>
        <v/>
      </c>
      <c r="I3004" s="83"/>
      <c r="J3004" s="80"/>
      <c r="K3004" s="81"/>
      <c r="L3004" s="81"/>
      <c r="M3004" s="81"/>
      <c r="N3004" s="84" t="str">
        <f aca="false">IF(C3004="","",IF(P3004="","NJ INCONNU",IF(I3004="",IF(H3004="OUI","À ENROBER",IF(G3004="À SOUDER","NON SOUDÉ","EN ATTENTE RT")),IF(L3004="R","À REPRENDRE",IF(H3004&lt;&gt;"OUI","⚠ ENROBÉ AVANT ACCEPTATION RT","ENROBÉ")))))</f>
        <v/>
      </c>
      <c r="O3004" s="80"/>
      <c r="P3004" s="82" t="str">
        <f aca="false">IF(C3004="","",IFERROR(MATCH(Q3004,'CARNET DE SOUDURE'!$AW$7:$AW$3006,0),""))</f>
        <v/>
      </c>
      <c r="Q3004" s="82" t="str">
        <f aca="false">IF(C3004="","",B3004&amp;"|"&amp;C3004)</f>
        <v/>
      </c>
    </row>
    <row r="3005" customFormat="false" ht="15" hidden="false" customHeight="false" outlineLevel="0" collapsed="false">
      <c r="A3005" s="82" t="str">
        <f aca="false">IF(C3005="","",ROW()-6)</f>
        <v/>
      </c>
      <c r="B3005" s="80"/>
      <c r="C3005" s="113"/>
      <c r="D3005" s="82" t="str">
        <f aca="false">IF(OR(C3005="",P3005=""),"",INDEX('CARNET DE SOUDURE'!$D$7:$D$3006,P3005)&amp;"")</f>
        <v/>
      </c>
      <c r="E3005" s="114" t="str">
        <f aca="false">IF(OR(C3005="",P3005=""),"",IF(INDEX('CARNET DE SOUDURE'!$U$7:$U$3006,P3005)="","",INDEX('CARNET DE SOUDURE'!$U$7:$U$3006,P3005)))</f>
        <v/>
      </c>
      <c r="F3005" s="82" t="str">
        <f aca="false">IF(OR(C3005="",P3005=""),"",INDEX('CARNET DE SOUDURE'!$AP$7:$AP$3006,P3005))</f>
        <v/>
      </c>
      <c r="G3005" s="82" t="str">
        <f aca="false">IF(C3005="","",IF(P3005="","NJ INCONNU",INDEX('CARNET DE SOUDURE'!$AQ$7:$AQ$3006,P3005)))</f>
        <v/>
      </c>
      <c r="H3005" s="82" t="str">
        <f aca="false">IF(C3005="","",IF(G3005="ACCEPTÉ","OUI","NON"))</f>
        <v/>
      </c>
      <c r="I3005" s="83"/>
      <c r="J3005" s="80"/>
      <c r="K3005" s="81"/>
      <c r="L3005" s="81"/>
      <c r="M3005" s="81"/>
      <c r="N3005" s="84" t="str">
        <f aca="false">IF(C3005="","",IF(P3005="","NJ INCONNU",IF(I3005="",IF(H3005="OUI","À ENROBER",IF(G3005="À SOUDER","NON SOUDÉ","EN ATTENTE RT")),IF(L3005="R","À REPRENDRE",IF(H3005&lt;&gt;"OUI","⚠ ENROBÉ AVANT ACCEPTATION RT","ENROBÉ")))))</f>
        <v/>
      </c>
      <c r="O3005" s="80"/>
      <c r="P3005" s="82" t="str">
        <f aca="false">IF(C3005="","",IFERROR(MATCH(Q3005,'CARNET DE SOUDURE'!$AW$7:$AW$3006,0),""))</f>
        <v/>
      </c>
      <c r="Q3005" s="82" t="str">
        <f aca="false">IF(C3005="","",B3005&amp;"|"&amp;C3005)</f>
        <v/>
      </c>
    </row>
    <row r="3006" customFormat="false" ht="15" hidden="false" customHeight="false" outlineLevel="0" collapsed="false">
      <c r="A3006" s="82" t="str">
        <f aca="false">IF(C3006="","",ROW()-6)</f>
        <v/>
      </c>
      <c r="B3006" s="80"/>
      <c r="C3006" s="113"/>
      <c r="D3006" s="82" t="str">
        <f aca="false">IF(OR(C3006="",P3006=""),"",INDEX('CARNET DE SOUDURE'!$D$7:$D$3006,P3006)&amp;"")</f>
        <v/>
      </c>
      <c r="E3006" s="114" t="str">
        <f aca="false">IF(OR(C3006="",P3006=""),"",IF(INDEX('CARNET DE SOUDURE'!$U$7:$U$3006,P3006)="","",INDEX('CARNET DE SOUDURE'!$U$7:$U$3006,P3006)))</f>
        <v/>
      </c>
      <c r="F3006" s="82" t="str">
        <f aca="false">IF(OR(C3006="",P3006=""),"",INDEX('CARNET DE SOUDURE'!$AP$7:$AP$3006,P3006))</f>
        <v/>
      </c>
      <c r="G3006" s="82" t="str">
        <f aca="false">IF(C3006="","",IF(P3006="","NJ INCONNU",INDEX('CARNET DE SOUDURE'!$AQ$7:$AQ$3006,P3006)))</f>
        <v/>
      </c>
      <c r="H3006" s="82" t="str">
        <f aca="false">IF(C3006="","",IF(G3006="ACCEPTÉ","OUI","NON"))</f>
        <v/>
      </c>
      <c r="I3006" s="83"/>
      <c r="J3006" s="80"/>
      <c r="K3006" s="81"/>
      <c r="L3006" s="81"/>
      <c r="M3006" s="81"/>
      <c r="N3006" s="84" t="str">
        <f aca="false">IF(C3006="","",IF(P3006="","NJ INCONNU",IF(I3006="",IF(H3006="OUI","À ENROBER",IF(G3006="À SOUDER","NON SOUDÉ","EN ATTENTE RT")),IF(L3006="R","À REPRENDRE",IF(H3006&lt;&gt;"OUI","⚠ ENROBÉ AVANT ACCEPTATION RT","ENROBÉ")))))</f>
        <v/>
      </c>
      <c r="O3006" s="80"/>
      <c r="P3006" s="82" t="str">
        <f aca="false">IF(C3006="","",IFERROR(MATCH(Q3006,'CARNET DE SOUDURE'!$AW$7:$AW$3006,0),""))</f>
        <v/>
      </c>
      <c r="Q3006" s="82" t="str">
        <f aca="false">IF(C3006="","",B3006&amp;"|"&amp;C3006)</f>
        <v/>
      </c>
    </row>
  </sheetData>
  <mergeCells count="7">
    <mergeCell ref="A1:O1"/>
    <mergeCell ref="A2:O2"/>
    <mergeCell ref="A3:B3"/>
    <mergeCell ref="D3:E3"/>
    <mergeCell ref="G3:H3"/>
    <mergeCell ref="J3:K3"/>
    <mergeCell ref="M3:N3"/>
  </mergeCells>
  <conditionalFormatting sqref="N7:N3006">
    <cfRule type="cellIs" priority="2" operator="equal" aboveAverage="0" equalAverage="0" bottom="0" percent="0" rank="0" text="" dxfId="1">
      <formula>"ENROBÉ"</formula>
    </cfRule>
    <cfRule type="cellIs" priority="3" operator="equal" aboveAverage="0" equalAverage="0" bottom="0" percent="0" rank="0" text="" dxfId="27">
      <formula>"À ENROBER"</formula>
    </cfRule>
    <cfRule type="cellIs" priority="4" operator="equal" aboveAverage="0" equalAverage="0" bottom="0" percent="0" rank="0" text="" dxfId="30">
      <formula>"EN ATTENTE RT"</formula>
    </cfRule>
    <cfRule type="cellIs" priority="5" operator="equal" aboveAverage="0" equalAverage="0" bottom="0" percent="0" rank="0" text="" dxfId="32">
      <formula>"NON SOUDÉ"</formula>
    </cfRule>
    <cfRule type="cellIs" priority="6" operator="equal" aboveAverage="0" equalAverage="0" bottom="0" percent="0" rank="0" text="" dxfId="0">
      <formula>"À REPRENDRE"</formula>
    </cfRule>
    <cfRule type="cellIs" priority="7" operator="equal" aboveAverage="0" equalAverage="0" bottom="0" percent="0" rank="0" text="" dxfId="0">
      <formula>"⚠ ENROBÉ AVANT ACCEPTATION RT"</formula>
    </cfRule>
    <cfRule type="cellIs" priority="8" operator="equal" aboveAverage="0" equalAverage="0" bottom="0" percent="0" rank="0" text="" dxfId="0">
      <formula>"NJ INCONNU"</formula>
    </cfRule>
  </conditionalFormatting>
  <conditionalFormatting sqref="G7:G3006">
    <cfRule type="cellIs" priority="9" operator="equal" aboveAverage="0" equalAverage="0" bottom="0" percent="0" rank="0" text="" dxfId="1">
      <formula>"ACCEPTÉ"</formula>
    </cfRule>
    <cfRule type="cellIs" priority="10" operator="equal" aboveAverage="0" equalAverage="0" bottom="0" percent="0" rank="0" text="" dxfId="30">
      <formula>"À RADIOGRAPHIER"</formula>
    </cfRule>
    <cfRule type="cellIs" priority="11" operator="equal" aboveAverage="0" equalAverage="0" bottom="0" percent="0" rank="0" text="" dxfId="30">
      <formula>"RÉPARÉ – À RADIOGRAPHIER"</formula>
    </cfRule>
    <cfRule type="cellIs" priority="12" operator="equal" aboveAverage="0" equalAverage="0" bottom="0" percent="0" rank="0" text="" dxfId="27">
      <formula>"NX – RT À REFAIRE"</formula>
    </cfRule>
    <cfRule type="cellIs" priority="13" operator="equal" aboveAverage="0" equalAverage="0" bottom="0" percent="0" rank="0" text="" dxfId="0">
      <formula>"À RÉPARER"</formula>
    </cfRule>
    <cfRule type="cellIs" priority="14" operator="equal" aboveAverage="0" equalAverage="0" bottom="0" percent="0" rank="0" text="" dxfId="29">
      <formula>"COUPE – À RESOUDER"</formula>
    </cfRule>
    <cfRule type="cellIs" priority="15" operator="equal" aboveAverage="0" equalAverage="0" bottom="0" percent="0" rank="0" text="" dxfId="0">
      <formula>"VT REJETÉ – À REPRENDRE"</formula>
    </cfRule>
    <cfRule type="cellIs" priority="16" operator="equal" aboveAverage="0" equalAverage="0" bottom="0" percent="0" rank="0" text="" dxfId="31">
      <formula>"VT EN ATTENTE"</formula>
    </cfRule>
    <cfRule type="cellIs" priority="17" operator="equal" aboveAverage="0" equalAverage="0" bottom="0" percent="0" rank="0" text="" dxfId="32">
      <formula>"À SOUDER"</formula>
    </cfRule>
  </conditionalFormatting>
  <conditionalFormatting sqref="F7:F3006">
    <cfRule type="cellIs" priority="18" operator="equal" aboveAverage="0" equalAverage="0" bottom="0" percent="0" rank="0" text="" dxfId="1">
      <formula>"A"</formula>
    </cfRule>
    <cfRule type="cellIs" priority="19" operator="equal" aboveAverage="0" equalAverage="0" bottom="0" percent="0" rank="0" text="" dxfId="0">
      <formula>"R"</formula>
    </cfRule>
    <cfRule type="cellIs" priority="20" operator="equal" aboveAverage="0" equalAverage="0" bottom="0" percent="0" rank="0" text="" dxfId="27">
      <formula>"NX"</formula>
    </cfRule>
    <cfRule type="cellIs" priority="21" operator="equal" aboveAverage="0" equalAverage="0" bottom="0" percent="0" rank="0" text="" dxfId="28">
      <formula>"NT"</formula>
    </cfRule>
    <cfRule type="cellIs" priority="22" operator="equal" aboveAverage="0" equalAverage="0" bottom="0" percent="0" rank="0" text="" dxfId="29">
      <formula>"CO"</formula>
    </cfRule>
  </conditionalFormatting>
  <conditionalFormatting sqref="L7:L3006">
    <cfRule type="cellIs" priority="23" operator="equal" aboveAverage="0" equalAverage="0" bottom="0" percent="0" rank="0" text="" dxfId="1">
      <formula>"A"</formula>
    </cfRule>
    <cfRule type="cellIs" priority="24" operator="equal" aboveAverage="0" equalAverage="0" bottom="0" percent="0" rank="0" text="" dxfId="0">
      <formula>"R"</formula>
    </cfRule>
    <cfRule type="cellIs" priority="25" operator="equal" aboveAverage="0" equalAverage="0" bottom="0" percent="0" rank="0" text="" dxfId="27">
      <formula>"NX"</formula>
    </cfRule>
    <cfRule type="cellIs" priority="26" operator="equal" aboveAverage="0" equalAverage="0" bottom="0" percent="0" rank="0" text="" dxfId="28">
      <formula>"NT"</formula>
    </cfRule>
    <cfRule type="cellIs" priority="27" operator="equal" aboveAverage="0" equalAverage="0" bottom="0" percent="0" rank="0" text="" dxfId="29">
      <formula>"CO"</formula>
    </cfRule>
  </conditionalFormatting>
  <conditionalFormatting sqref="C7:C3006">
    <cfRule type="expression" priority="28" aboveAverage="0" equalAverage="0" bottom="0" percent="0" rank="0" text="" dxfId="34">
      <formula>AND(C7&lt;&gt;"",COUNTIF($Q$7:$Q$3006,$Q7)&gt;1)</formula>
    </cfRule>
  </conditionalFormatting>
  <conditionalFormatting sqref="H7:H3006">
    <cfRule type="cellIs" priority="29" operator="equal" aboveAverage="0" equalAverage="0" bottom="0" percent="0" rank="0" text="" dxfId="33">
      <formula>"OUI"</formula>
    </cfRule>
  </conditionalFormatting>
  <dataValidations count="4">
    <dataValidation allowBlank="true" error="Choisir la ligne" errorStyle="stop" errorTitle="Valeur non valide" operator="between" prompt="Choisir la ligne" showDropDown="false" showErrorMessage="true" showInputMessage="true" sqref="B7:B3006" type="list">
      <formula1>PARAMÈTRES!$B$12:$B$19</formula1>
      <formula2>0</formula2>
    </dataValidation>
    <dataValidation allowBlank="true" error="Holiday test (balai électrique) : A = Accepté, R = Rejeté" errorStyle="stop" errorTitle="Valeur non valide" operator="between" prompt="Holiday test (balai électrique) : A = Accepté, R = Rejeté" showDropDown="false" showErrorMessage="true" showInputMessage="true" sqref="L7:L3006" type="list">
      <formula1>"A,R"</formula1>
      <formula2>0</formula2>
    </dataValidation>
    <dataValidation allowBlank="true" error="Choisir le type de revêtement" errorStyle="stop" errorTitle="Valeur non valide" operator="between" prompt="Choisir le type de revêtement" showDropDown="false" showErrorMessage="true" showInputMessage="true" sqref="J7:J3006" type="list">
      <formula1>PARAMÈTRES!$F$32:$F$35</formula1>
      <formula2>0</formula2>
    </dataValidation>
    <dataValidation allowBlank="true" errorStyle="stop" operator="between" showDropDown="false" showErrorMessage="false" showInputMessage="false" sqref="I7:I3006" type="date">
      <formula1>DATE(2020,1,1)</formula1>
      <formula2>DATE(2040,12,31)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true"/>
  </sheetPr>
  <dimension ref="B2:M3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1" topLeftCell="C12" activePane="bottomRight" state="frozen"/>
      <selection pane="topLeft" activeCell="A1" activeCellId="0" sqref="A1"/>
      <selection pane="topRight" activeCell="C1" activeCellId="0" sqref="C1"/>
      <selection pane="bottomLeft" activeCell="A12" activeCellId="0" sqref="A1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20"/>
    <col collapsed="false" customWidth="true" hidden="false" outlineLevel="0" max="4" min="4" style="0" width="12"/>
    <col collapsed="false" customWidth="true" hidden="false" outlineLevel="0" max="5" min="5" style="0" width="7"/>
    <col collapsed="false" customWidth="true" hidden="false" outlineLevel="0" max="6" min="6" style="0" width="20"/>
    <col collapsed="false" customWidth="true" hidden="false" outlineLevel="0" max="7" min="7" style="0" width="12"/>
    <col collapsed="false" customWidth="true" hidden="false" outlineLevel="0" max="8" min="8" style="0" width="24"/>
    <col collapsed="false" customWidth="true" hidden="false" outlineLevel="0" max="10" min="9" style="0" width="10"/>
    <col collapsed="false" customWidth="true" hidden="false" outlineLevel="0" max="11" min="11" style="0" width="12"/>
    <col collapsed="false" customWidth="true" hidden="false" outlineLevel="0" max="12" min="12" style="0" width="26"/>
  </cols>
  <sheetData>
    <row r="2" customFormat="false" ht="33.75" hidden="false" customHeight="true" outlineLevel="0" collapsed="false">
      <c r="B2" s="115" t="s">
        <v>3193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</row>
    <row r="4" customFormat="false" ht="19.7" hidden="false" customHeight="false" outlineLevel="0" collapsed="false">
      <c r="B4" s="116" t="s">
        <v>3021</v>
      </c>
      <c r="C4" s="117" t="n">
        <f aca="true">TODAY()</f>
        <v>46293</v>
      </c>
      <c r="G4" s="116" t="s">
        <v>3194</v>
      </c>
      <c r="I4" s="118" t="n">
        <f aca="false">SUM('CARNET DE SOUDURE'!$AS$7:$AS$3006)</f>
        <v>119</v>
      </c>
    </row>
    <row r="5" customFormat="false" ht="15" hidden="false" customHeight="true" outlineLevel="0" collapsed="false">
      <c r="B5" s="116" t="s">
        <v>3016</v>
      </c>
      <c r="D5" s="119" t="s">
        <v>2</v>
      </c>
      <c r="E5" s="119"/>
      <c r="G5" s="120" t="s">
        <v>3195</v>
      </c>
      <c r="H5" s="120"/>
      <c r="I5" s="120"/>
      <c r="J5" s="120"/>
      <c r="K5" s="120"/>
      <c r="L5" s="120"/>
    </row>
    <row r="7" customFormat="false" ht="15" hidden="false" customHeight="false" outlineLevel="0" collapsed="false">
      <c r="B7" s="121" t="str">
        <f aca="false">"RAPPORT DU "&amp;TEXT($C$4,"dd/mm/yyyy")</f>
        <v>RAPPORT DU 28/09/2026</v>
      </c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</row>
    <row r="8" customFormat="false" ht="15" hidden="false" customHeight="true" outlineLevel="0" collapsed="false">
      <c r="B8" s="122" t="s">
        <v>19</v>
      </c>
      <c r="C8" s="122"/>
      <c r="D8" s="122" t="s">
        <v>3196</v>
      </c>
      <c r="E8" s="122"/>
      <c r="F8" s="122" t="s">
        <v>3197</v>
      </c>
      <c r="G8" s="122"/>
      <c r="H8" s="122" t="s">
        <v>3198</v>
      </c>
      <c r="I8" s="122"/>
      <c r="J8" s="122" t="s">
        <v>3199</v>
      </c>
      <c r="K8" s="122"/>
      <c r="L8" s="122" t="s">
        <v>3200</v>
      </c>
      <c r="M8" s="123"/>
    </row>
    <row r="9" customFormat="false" ht="25.5" hidden="false" customHeight="true" outlineLevel="0" collapsed="false">
      <c r="B9" s="124" t="n">
        <f aca="false">COUNTIF('CARNET DE SOUDURE'!$U$7:$U$3006,$C$4)</f>
        <v>0</v>
      </c>
      <c r="C9" s="124"/>
      <c r="D9" s="124" t="n">
        <f aca="false">COUNTIF('CARNET DE SOUDURE'!$V$7:$V$3006,$C$4)</f>
        <v>0</v>
      </c>
      <c r="E9" s="124"/>
      <c r="F9" s="124" t="n">
        <f aca="false">COUNTIF('CARNET DE SOUDURE'!$Y$7:$Y$3006,$C$4)+COUNTIF('CARNET DE SOUDURE'!$AE$7:$AE$3006,$C$4)+COUNTIF('CARNET DE SOUDURE'!$AJ$7:$AJ$3006,$C$4)</f>
        <v>0</v>
      </c>
      <c r="G9" s="124"/>
      <c r="H9" s="124" t="n">
        <f aca="false">COUNTIFS('CARNET DE SOUDURE'!$Y$7:$Y$3006,$C$4,'CARNET DE SOUDURE'!$AA$7:$AA$3006,"A")+COUNTIFS('CARNET DE SOUDURE'!$AE$7:$AE$3006,$C$4,'CARNET DE SOUDURE'!$AG$7:$AG$3006,"A")+COUNTIFS('CARNET DE SOUDURE'!$AJ$7:$AJ$3006,$C$4,'CARNET DE SOUDURE'!$AL$7:$AL$3006,"A")</f>
        <v>0</v>
      </c>
      <c r="I9" s="124"/>
      <c r="J9" s="124" t="n">
        <f aca="false">COUNTIFS('CARNET DE SOUDURE'!$Y$7:$Y$3006,$C$4,'CARNET DE SOUDURE'!$AA$7:$AA$3006,"R")+COUNTIFS('CARNET DE SOUDURE'!$Y$7:$Y$3006,$C$4,'CARNET DE SOUDURE'!$AA$7:$AA$3006,"NT")+COUNTIFS('CARNET DE SOUDURE'!$Y$7:$Y$3006,$C$4,'CARNET DE SOUDURE'!$AA$7:$AA$3006,"CO")+COUNTIFS('CARNET DE SOUDURE'!$AE$7:$AE$3006,$C$4,'CARNET DE SOUDURE'!$AG$7:$AG$3006,"R")+COUNTIFS('CARNET DE SOUDURE'!$AE$7:$AE$3006,$C$4,'CARNET DE SOUDURE'!$AG$7:$AG$3006,"NT")+COUNTIFS('CARNET DE SOUDURE'!$AE$7:$AE$3006,$C$4,'CARNET DE SOUDURE'!$AG$7:$AG$3006,"CO")+COUNTIFS('CARNET DE SOUDURE'!$AJ$7:$AJ$3006,$C$4,'CARNET DE SOUDURE'!$AL$7:$AL$3006,"R")+COUNTIFS('CARNET DE SOUDURE'!$AJ$7:$AJ$3006,$C$4,'CARNET DE SOUDURE'!$AL$7:$AL$3006,"NT")+COUNTIFS('CARNET DE SOUDURE'!$AJ$7:$AJ$3006,$C$4,'CARNET DE SOUDURE'!$AL$7:$AL$3006,"CO")</f>
        <v>0</v>
      </c>
      <c r="K9" s="124"/>
      <c r="L9" s="124" t="n">
        <f aca="false">COUNTIFS('CARNET DE SOUDURE'!$Y$7:$Y$3006,$C$4,'CARNET DE SOUDURE'!$AA$7:$AA$3006,"NX")+COUNTIFS('CARNET DE SOUDURE'!$AE$7:$AE$3006,$C$4,'CARNET DE SOUDURE'!$AG$7:$AG$3006,"NX")+COUNTIFS('CARNET DE SOUDURE'!$AJ$7:$AJ$3006,$C$4,'CARNET DE SOUDURE'!$AL$7:$AL$3006,"NX")</f>
        <v>0</v>
      </c>
      <c r="M9" s="124"/>
    </row>
    <row r="11" customFormat="false" ht="30" hidden="false" customHeight="true" outlineLevel="0" collapsed="false">
      <c r="B11" s="37" t="s">
        <v>3201</v>
      </c>
      <c r="C11" s="37" t="s">
        <v>62</v>
      </c>
      <c r="D11" s="37" t="s">
        <v>65</v>
      </c>
      <c r="E11" s="37" t="s">
        <v>64</v>
      </c>
      <c r="F11" s="37" t="s">
        <v>3202</v>
      </c>
      <c r="G11" s="37" t="s">
        <v>81</v>
      </c>
      <c r="H11" s="37" t="s">
        <v>3203</v>
      </c>
      <c r="I11" s="37" t="s">
        <v>3197</v>
      </c>
      <c r="J11" s="37" t="s">
        <v>104</v>
      </c>
      <c r="K11" s="37" t="s">
        <v>3204</v>
      </c>
      <c r="L11" s="37" t="s">
        <v>3205</v>
      </c>
    </row>
    <row r="12" customFormat="false" ht="15" hidden="false" customHeight="false" outlineLevel="0" collapsed="false">
      <c r="B12" s="125" t="n">
        <f aca="false">IF(1&gt;$I$4,"",1)</f>
        <v>1</v>
      </c>
      <c r="C12" s="125" t="str">
        <f aca="false">IF($B12="","",INDEX('CARNET DE SOUDURE'!$B$7:$B$3006,MATCH(1,'CARNET DE SOUDURE'!$AT$7:$AT$3006,0)))</f>
        <v>MFD-ISW → MFD-CPF</v>
      </c>
      <c r="D12" s="125" t="str">
        <f aca="false">IF($B12="","",INDEX('CARNET DE SOUDURE'!$E$7:$E$3006,MATCH(1,'CARNET DE SOUDURE'!$AT$7:$AT$3006,0)))</f>
        <v>JN°758</v>
      </c>
      <c r="E12" s="125" t="n">
        <f aca="false">IF($B12="","",INDEX('CARNET DE SOUDURE'!$D$7:$D$3006,MATCH(1,'CARNET DE SOUDURE'!$AT$7:$AT$3006,0)))</f>
        <v>4</v>
      </c>
      <c r="F12" s="125" t="str">
        <f aca="false">IF($B12="","",INDEX('CARNET DE SOUDURE'!$R$7:$R$3006,MATCH(1,'CARNET DE SOUDURE'!$AT$7:$AT$3006,0))&amp;IF(INDEX('CARNET DE SOUDURE'!$S$7:$S$3006,MATCH(1,'CARNET DE SOUDURE'!$AT$7:$AT$3006,0))&lt;&gt;""," / "&amp;INDEX('CARNET DE SOUDURE'!$S$7:$S$3006,MATCH(1,'CARNET DE SOUDURE'!$AT$7:$AT$3006,0)),"")&amp;IF(INDEX('CARNET DE SOUDURE'!$T$7:$T$3006,MATCH(1,'CARNET DE SOUDURE'!$AT$7:$AT$3006,0))&lt;&gt;""," / "&amp;INDEX('CARNET DE SOUDURE'!$T$7:$T$3006,MATCH(1,'CARNET DE SOUDURE'!$AT$7:$AT$3006,0)),""))</f>
        <v>WR-33-51/40-45</v>
      </c>
      <c r="G12" s="126" t="n">
        <f aca="false">IF($B12="","",INDEX('CARNET DE SOUDURE'!$U$7:$U$3006,MATCH(1,'CARNET DE SOUDURE'!$AT$7:$AT$3006,0)))</f>
        <v>46291</v>
      </c>
      <c r="H12" s="127" t="str">
        <f aca="false">IF($B12="","",INDEX('CARNET DE SOUDURE'!$AQ$7:$AQ$3006,MATCH(1,'CARNET DE SOUDURE'!$AT$7:$AT$3006,0)))</f>
        <v>À RADIOGRAPHIER</v>
      </c>
      <c r="I12" s="128" t="n">
        <f aca="false">IF($B12="","",INDEX('CARNET DE SOUDURE'!$AO$7:$AO$3006,MATCH(1,'CARNET DE SOUDURE'!$AT$7:$AT$3006,0)))</f>
        <v>0</v>
      </c>
      <c r="J12" s="128" t="n">
        <f aca="false">IF($B12="","",INDEX('CARNET DE SOUDURE'!$AR$7:$AR$3006,MATCH(1,'CARNET DE SOUDURE'!$AT$7:$AT$3006,0)))</f>
        <v>2</v>
      </c>
      <c r="K12" s="129"/>
      <c r="L12" s="129"/>
    </row>
    <row r="13" customFormat="false" ht="15" hidden="false" customHeight="false" outlineLevel="0" collapsed="false">
      <c r="B13" s="130" t="n">
        <f aca="false">IF(2&gt;$I$4,"",2)</f>
        <v>2</v>
      </c>
      <c r="C13" s="130" t="str">
        <f aca="false">IF($B13="","",INDEX('CARNET DE SOUDURE'!$B$7:$B$3006,MATCH(2,'CARNET DE SOUDURE'!$AT$7:$AT$3006,0)))</f>
        <v>MFD-ISW → MFD-CPF</v>
      </c>
      <c r="D13" s="130" t="str">
        <f aca="false">IF($B13="","",INDEX('CARNET DE SOUDURE'!$E$7:$E$3006,MATCH(2,'CARNET DE SOUDURE'!$AT$7:$AT$3006,0)))</f>
        <v>JN°759</v>
      </c>
      <c r="E13" s="130" t="n">
        <f aca="false">IF($B13="","",INDEX('CARNET DE SOUDURE'!$D$7:$D$3006,MATCH(2,'CARNET DE SOUDURE'!$AT$7:$AT$3006,0)))</f>
        <v>4</v>
      </c>
      <c r="F13" s="130" t="str">
        <f aca="false">IF($B13="","",INDEX('CARNET DE SOUDURE'!$R$7:$R$3006,MATCH(2,'CARNET DE SOUDURE'!$AT$7:$AT$3006,0))&amp;IF(INDEX('CARNET DE SOUDURE'!$S$7:$S$3006,MATCH(2,'CARNET DE SOUDURE'!$AT$7:$AT$3006,0))&lt;&gt;""," / "&amp;INDEX('CARNET DE SOUDURE'!$S$7:$S$3006,MATCH(2,'CARNET DE SOUDURE'!$AT$7:$AT$3006,0)),"")&amp;IF(INDEX('CARNET DE SOUDURE'!$T$7:$T$3006,MATCH(2,'CARNET DE SOUDURE'!$AT$7:$AT$3006,0))&lt;&gt;""," / "&amp;INDEX('CARNET DE SOUDURE'!$T$7:$T$3006,MATCH(2,'CARNET DE SOUDURE'!$AT$7:$AT$3006,0)),""))</f>
        <v>WR-33-51/40-45</v>
      </c>
      <c r="G13" s="131" t="n">
        <f aca="false">IF($B13="","",INDEX('CARNET DE SOUDURE'!$U$7:$U$3006,MATCH(2,'CARNET DE SOUDURE'!$AT$7:$AT$3006,0)))</f>
        <v>46291</v>
      </c>
      <c r="H13" s="132" t="str">
        <f aca="false">IF($B13="","",INDEX('CARNET DE SOUDURE'!$AQ$7:$AQ$3006,MATCH(2,'CARNET DE SOUDURE'!$AT$7:$AT$3006,0)))</f>
        <v>À RADIOGRAPHIER</v>
      </c>
      <c r="I13" s="133" t="n">
        <f aca="false">IF($B13="","",INDEX('CARNET DE SOUDURE'!$AO$7:$AO$3006,MATCH(2,'CARNET DE SOUDURE'!$AT$7:$AT$3006,0)))</f>
        <v>0</v>
      </c>
      <c r="J13" s="133" t="n">
        <f aca="false">IF($B13="","",INDEX('CARNET DE SOUDURE'!$AR$7:$AR$3006,MATCH(2,'CARNET DE SOUDURE'!$AT$7:$AT$3006,0)))</f>
        <v>2</v>
      </c>
      <c r="K13" s="129"/>
      <c r="L13" s="129"/>
    </row>
    <row r="14" customFormat="false" ht="15" hidden="false" customHeight="false" outlineLevel="0" collapsed="false">
      <c r="B14" s="125" t="n">
        <f aca="false">IF(3&gt;$I$4,"",3)</f>
        <v>3</v>
      </c>
      <c r="C14" s="125" t="str">
        <f aca="false">IF($B14="","",INDEX('CARNET DE SOUDURE'!$B$7:$B$3006,MATCH(3,'CARNET DE SOUDURE'!$AT$7:$AT$3006,0)))</f>
        <v>MFD-ISW → MFD-CPF</v>
      </c>
      <c r="D14" s="125" t="str">
        <f aca="false">IF($B14="","",INDEX('CARNET DE SOUDURE'!$E$7:$E$3006,MATCH(3,'CARNET DE SOUDURE'!$AT$7:$AT$3006,0)))</f>
        <v>JN°760</v>
      </c>
      <c r="E14" s="125" t="n">
        <f aca="false">IF($B14="","",INDEX('CARNET DE SOUDURE'!$D$7:$D$3006,MATCH(3,'CARNET DE SOUDURE'!$AT$7:$AT$3006,0)))</f>
        <v>4</v>
      </c>
      <c r="F14" s="125" t="str">
        <f aca="false">IF($B14="","",INDEX('CARNET DE SOUDURE'!$R$7:$R$3006,MATCH(3,'CARNET DE SOUDURE'!$AT$7:$AT$3006,0))&amp;IF(INDEX('CARNET DE SOUDURE'!$S$7:$S$3006,MATCH(3,'CARNET DE SOUDURE'!$AT$7:$AT$3006,0))&lt;&gt;""," / "&amp;INDEX('CARNET DE SOUDURE'!$S$7:$S$3006,MATCH(3,'CARNET DE SOUDURE'!$AT$7:$AT$3006,0)),"")&amp;IF(INDEX('CARNET DE SOUDURE'!$T$7:$T$3006,MATCH(3,'CARNET DE SOUDURE'!$AT$7:$AT$3006,0))&lt;&gt;""," / "&amp;INDEX('CARNET DE SOUDURE'!$T$7:$T$3006,MATCH(3,'CARNET DE SOUDURE'!$AT$7:$AT$3006,0)),""))</f>
        <v>WR-33-51/40-45</v>
      </c>
      <c r="G14" s="126" t="n">
        <f aca="false">IF($B14="","",INDEX('CARNET DE SOUDURE'!$U$7:$U$3006,MATCH(3,'CARNET DE SOUDURE'!$AT$7:$AT$3006,0)))</f>
        <v>46291</v>
      </c>
      <c r="H14" s="127" t="str">
        <f aca="false">IF($B14="","",INDEX('CARNET DE SOUDURE'!$AQ$7:$AQ$3006,MATCH(3,'CARNET DE SOUDURE'!$AT$7:$AT$3006,0)))</f>
        <v>À RADIOGRAPHIER</v>
      </c>
      <c r="I14" s="128" t="n">
        <f aca="false">IF($B14="","",INDEX('CARNET DE SOUDURE'!$AO$7:$AO$3006,MATCH(3,'CARNET DE SOUDURE'!$AT$7:$AT$3006,0)))</f>
        <v>0</v>
      </c>
      <c r="J14" s="128" t="n">
        <f aca="false">IF($B14="","",INDEX('CARNET DE SOUDURE'!$AR$7:$AR$3006,MATCH(3,'CARNET DE SOUDURE'!$AT$7:$AT$3006,0)))</f>
        <v>2</v>
      </c>
      <c r="K14" s="129"/>
      <c r="L14" s="129"/>
    </row>
    <row r="15" customFormat="false" ht="15" hidden="false" customHeight="false" outlineLevel="0" collapsed="false">
      <c r="B15" s="130" t="n">
        <f aca="false">IF(4&gt;$I$4,"",4)</f>
        <v>4</v>
      </c>
      <c r="C15" s="130" t="str">
        <f aca="false">IF($B15="","",INDEX('CARNET DE SOUDURE'!$B$7:$B$3006,MATCH(4,'CARNET DE SOUDURE'!$AT$7:$AT$3006,0)))</f>
        <v>MFD-ISW → MFD-CPF</v>
      </c>
      <c r="D15" s="130" t="str">
        <f aca="false">IF($B15="","",INDEX('CARNET DE SOUDURE'!$E$7:$E$3006,MATCH(4,'CARNET DE SOUDURE'!$AT$7:$AT$3006,0)))</f>
        <v>JN°761</v>
      </c>
      <c r="E15" s="130" t="n">
        <f aca="false">IF($B15="","",INDEX('CARNET DE SOUDURE'!$D$7:$D$3006,MATCH(4,'CARNET DE SOUDURE'!$AT$7:$AT$3006,0)))</f>
        <v>4</v>
      </c>
      <c r="F15" s="130" t="str">
        <f aca="false">IF($B15="","",INDEX('CARNET DE SOUDURE'!$R$7:$R$3006,MATCH(4,'CARNET DE SOUDURE'!$AT$7:$AT$3006,0))&amp;IF(INDEX('CARNET DE SOUDURE'!$S$7:$S$3006,MATCH(4,'CARNET DE SOUDURE'!$AT$7:$AT$3006,0))&lt;&gt;""," / "&amp;INDEX('CARNET DE SOUDURE'!$S$7:$S$3006,MATCH(4,'CARNET DE SOUDURE'!$AT$7:$AT$3006,0)),"")&amp;IF(INDEX('CARNET DE SOUDURE'!$T$7:$T$3006,MATCH(4,'CARNET DE SOUDURE'!$AT$7:$AT$3006,0))&lt;&gt;""," / "&amp;INDEX('CARNET DE SOUDURE'!$T$7:$T$3006,MATCH(4,'CARNET DE SOUDURE'!$AT$7:$AT$3006,0)),""))</f>
        <v>WR-33-51/40-45</v>
      </c>
      <c r="G15" s="131" t="n">
        <f aca="false">IF($B15="","",INDEX('CARNET DE SOUDURE'!$U$7:$U$3006,MATCH(4,'CARNET DE SOUDURE'!$AT$7:$AT$3006,0)))</f>
        <v>46291</v>
      </c>
      <c r="H15" s="132" t="str">
        <f aca="false">IF($B15="","",INDEX('CARNET DE SOUDURE'!$AQ$7:$AQ$3006,MATCH(4,'CARNET DE SOUDURE'!$AT$7:$AT$3006,0)))</f>
        <v>À RADIOGRAPHIER</v>
      </c>
      <c r="I15" s="133" t="n">
        <f aca="false">IF($B15="","",INDEX('CARNET DE SOUDURE'!$AO$7:$AO$3006,MATCH(4,'CARNET DE SOUDURE'!$AT$7:$AT$3006,0)))</f>
        <v>0</v>
      </c>
      <c r="J15" s="133" t="n">
        <f aca="false">IF($B15="","",INDEX('CARNET DE SOUDURE'!$AR$7:$AR$3006,MATCH(4,'CARNET DE SOUDURE'!$AT$7:$AT$3006,0)))</f>
        <v>2</v>
      </c>
      <c r="K15" s="129"/>
      <c r="L15" s="129"/>
    </row>
    <row r="16" customFormat="false" ht="15" hidden="false" customHeight="false" outlineLevel="0" collapsed="false">
      <c r="B16" s="125" t="n">
        <f aca="false">IF(5&gt;$I$4,"",5)</f>
        <v>5</v>
      </c>
      <c r="C16" s="125" t="str">
        <f aca="false">IF($B16="","",INDEX('CARNET DE SOUDURE'!$B$7:$B$3006,MATCH(5,'CARNET DE SOUDURE'!$AT$7:$AT$3006,0)))</f>
        <v>MFD-ISW → MFD-CPF</v>
      </c>
      <c r="D16" s="125" t="str">
        <f aca="false">IF($B16="","",INDEX('CARNET DE SOUDURE'!$E$7:$E$3006,MATCH(5,'CARNET DE SOUDURE'!$AT$7:$AT$3006,0)))</f>
        <v>JN°762</v>
      </c>
      <c r="E16" s="125" t="n">
        <f aca="false">IF($B16="","",INDEX('CARNET DE SOUDURE'!$D$7:$D$3006,MATCH(5,'CARNET DE SOUDURE'!$AT$7:$AT$3006,0)))</f>
        <v>4</v>
      </c>
      <c r="F16" s="125" t="str">
        <f aca="false">IF($B16="","",INDEX('CARNET DE SOUDURE'!$R$7:$R$3006,MATCH(5,'CARNET DE SOUDURE'!$AT$7:$AT$3006,0))&amp;IF(INDEX('CARNET DE SOUDURE'!$S$7:$S$3006,MATCH(5,'CARNET DE SOUDURE'!$AT$7:$AT$3006,0))&lt;&gt;""," / "&amp;INDEX('CARNET DE SOUDURE'!$S$7:$S$3006,MATCH(5,'CARNET DE SOUDURE'!$AT$7:$AT$3006,0)),"")&amp;IF(INDEX('CARNET DE SOUDURE'!$T$7:$T$3006,MATCH(5,'CARNET DE SOUDURE'!$AT$7:$AT$3006,0))&lt;&gt;""," / "&amp;INDEX('CARNET DE SOUDURE'!$T$7:$T$3006,MATCH(5,'CARNET DE SOUDURE'!$AT$7:$AT$3006,0)),""))</f>
        <v>WR-33-51/40-45</v>
      </c>
      <c r="G16" s="126" t="n">
        <f aca="false">IF($B16="","",INDEX('CARNET DE SOUDURE'!$U$7:$U$3006,MATCH(5,'CARNET DE SOUDURE'!$AT$7:$AT$3006,0)))</f>
        <v>46291</v>
      </c>
      <c r="H16" s="127" t="str">
        <f aca="false">IF($B16="","",INDEX('CARNET DE SOUDURE'!$AQ$7:$AQ$3006,MATCH(5,'CARNET DE SOUDURE'!$AT$7:$AT$3006,0)))</f>
        <v>À RADIOGRAPHIER</v>
      </c>
      <c r="I16" s="128" t="n">
        <f aca="false">IF($B16="","",INDEX('CARNET DE SOUDURE'!$AO$7:$AO$3006,MATCH(5,'CARNET DE SOUDURE'!$AT$7:$AT$3006,0)))</f>
        <v>0</v>
      </c>
      <c r="J16" s="128" t="n">
        <f aca="false">IF($B16="","",INDEX('CARNET DE SOUDURE'!$AR$7:$AR$3006,MATCH(5,'CARNET DE SOUDURE'!$AT$7:$AT$3006,0)))</f>
        <v>2</v>
      </c>
      <c r="K16" s="129"/>
      <c r="L16" s="129"/>
    </row>
    <row r="17" customFormat="false" ht="15" hidden="false" customHeight="false" outlineLevel="0" collapsed="false">
      <c r="B17" s="130" t="n">
        <f aca="false">IF(6&gt;$I$4,"",6)</f>
        <v>6</v>
      </c>
      <c r="C17" s="130" t="str">
        <f aca="false">IF($B17="","",INDEX('CARNET DE SOUDURE'!$B$7:$B$3006,MATCH(6,'CARNET DE SOUDURE'!$AT$7:$AT$3006,0)))</f>
        <v>MFD-ISW → MFD-CPF</v>
      </c>
      <c r="D17" s="130" t="str">
        <f aca="false">IF($B17="","",INDEX('CARNET DE SOUDURE'!$E$7:$E$3006,MATCH(6,'CARNET DE SOUDURE'!$AT$7:$AT$3006,0)))</f>
        <v>JN°765</v>
      </c>
      <c r="E17" s="130" t="n">
        <f aca="false">IF($B17="","",INDEX('CARNET DE SOUDURE'!$D$7:$D$3006,MATCH(6,'CARNET DE SOUDURE'!$AT$7:$AT$3006,0)))</f>
        <v>4</v>
      </c>
      <c r="F17" s="130" t="str">
        <f aca="false">IF($B17="","",INDEX('CARNET DE SOUDURE'!$R$7:$R$3006,MATCH(6,'CARNET DE SOUDURE'!$AT$7:$AT$3006,0))&amp;IF(INDEX('CARNET DE SOUDURE'!$S$7:$S$3006,MATCH(6,'CARNET DE SOUDURE'!$AT$7:$AT$3006,0))&lt;&gt;""," / "&amp;INDEX('CARNET DE SOUDURE'!$S$7:$S$3006,MATCH(6,'CARNET DE SOUDURE'!$AT$7:$AT$3006,0)),"")&amp;IF(INDEX('CARNET DE SOUDURE'!$T$7:$T$3006,MATCH(6,'CARNET DE SOUDURE'!$AT$7:$AT$3006,0))&lt;&gt;""," / "&amp;INDEX('CARNET DE SOUDURE'!$T$7:$T$3006,MATCH(6,'CARNET DE SOUDURE'!$AT$7:$AT$3006,0)),""))</f>
        <v>WR-33-51/40-45</v>
      </c>
      <c r="G17" s="131" t="n">
        <f aca="false">IF($B17="","",INDEX('CARNET DE SOUDURE'!$U$7:$U$3006,MATCH(6,'CARNET DE SOUDURE'!$AT$7:$AT$3006,0)))</f>
        <v>46291</v>
      </c>
      <c r="H17" s="132" t="str">
        <f aca="false">IF($B17="","",INDEX('CARNET DE SOUDURE'!$AQ$7:$AQ$3006,MATCH(6,'CARNET DE SOUDURE'!$AT$7:$AT$3006,0)))</f>
        <v>À RADIOGRAPHIER</v>
      </c>
      <c r="I17" s="133" t="n">
        <f aca="false">IF($B17="","",INDEX('CARNET DE SOUDURE'!$AO$7:$AO$3006,MATCH(6,'CARNET DE SOUDURE'!$AT$7:$AT$3006,0)))</f>
        <v>0</v>
      </c>
      <c r="J17" s="133" t="n">
        <f aca="false">IF($B17="","",INDEX('CARNET DE SOUDURE'!$AR$7:$AR$3006,MATCH(6,'CARNET DE SOUDURE'!$AT$7:$AT$3006,0)))</f>
        <v>2</v>
      </c>
      <c r="K17" s="129"/>
      <c r="L17" s="129"/>
    </row>
    <row r="18" customFormat="false" ht="15" hidden="false" customHeight="false" outlineLevel="0" collapsed="false">
      <c r="B18" s="125" t="n">
        <f aca="false">IF(7&gt;$I$4,"",7)</f>
        <v>7</v>
      </c>
      <c r="C18" s="125" t="str">
        <f aca="false">IF($B18="","",INDEX('CARNET DE SOUDURE'!$B$7:$B$3006,MATCH(7,'CARNET DE SOUDURE'!$AT$7:$AT$3006,0)))</f>
        <v>MFD-ISW → MFD-CPF</v>
      </c>
      <c r="D18" s="125" t="str">
        <f aca="false">IF($B18="","",INDEX('CARNET DE SOUDURE'!$E$7:$E$3006,MATCH(7,'CARNET DE SOUDURE'!$AT$7:$AT$3006,0)))</f>
        <v>JN°766</v>
      </c>
      <c r="E18" s="125" t="n">
        <f aca="false">IF($B18="","",INDEX('CARNET DE SOUDURE'!$D$7:$D$3006,MATCH(7,'CARNET DE SOUDURE'!$AT$7:$AT$3006,0)))</f>
        <v>4</v>
      </c>
      <c r="F18" s="125" t="str">
        <f aca="false">IF($B18="","",INDEX('CARNET DE SOUDURE'!$R$7:$R$3006,MATCH(7,'CARNET DE SOUDURE'!$AT$7:$AT$3006,0))&amp;IF(INDEX('CARNET DE SOUDURE'!$S$7:$S$3006,MATCH(7,'CARNET DE SOUDURE'!$AT$7:$AT$3006,0))&lt;&gt;""," / "&amp;INDEX('CARNET DE SOUDURE'!$S$7:$S$3006,MATCH(7,'CARNET DE SOUDURE'!$AT$7:$AT$3006,0)),"")&amp;IF(INDEX('CARNET DE SOUDURE'!$T$7:$T$3006,MATCH(7,'CARNET DE SOUDURE'!$AT$7:$AT$3006,0))&lt;&gt;""," / "&amp;INDEX('CARNET DE SOUDURE'!$T$7:$T$3006,MATCH(7,'CARNET DE SOUDURE'!$AT$7:$AT$3006,0)),""))</f>
        <v>WR-33-51/40-45</v>
      </c>
      <c r="G18" s="126" t="n">
        <f aca="false">IF($B18="","",INDEX('CARNET DE SOUDURE'!$U$7:$U$3006,MATCH(7,'CARNET DE SOUDURE'!$AT$7:$AT$3006,0)))</f>
        <v>46291</v>
      </c>
      <c r="H18" s="127" t="str">
        <f aca="false">IF($B18="","",INDEX('CARNET DE SOUDURE'!$AQ$7:$AQ$3006,MATCH(7,'CARNET DE SOUDURE'!$AT$7:$AT$3006,0)))</f>
        <v>À RADIOGRAPHIER</v>
      </c>
      <c r="I18" s="128" t="n">
        <f aca="false">IF($B18="","",INDEX('CARNET DE SOUDURE'!$AO$7:$AO$3006,MATCH(7,'CARNET DE SOUDURE'!$AT$7:$AT$3006,0)))</f>
        <v>0</v>
      </c>
      <c r="J18" s="128" t="n">
        <f aca="false">IF($B18="","",INDEX('CARNET DE SOUDURE'!$AR$7:$AR$3006,MATCH(7,'CARNET DE SOUDURE'!$AT$7:$AT$3006,0)))</f>
        <v>2</v>
      </c>
      <c r="K18" s="129"/>
      <c r="L18" s="129"/>
    </row>
    <row r="19" customFormat="false" ht="15" hidden="false" customHeight="false" outlineLevel="0" collapsed="false">
      <c r="B19" s="130" t="n">
        <f aca="false">IF(8&gt;$I$4,"",8)</f>
        <v>8</v>
      </c>
      <c r="C19" s="130" t="str">
        <f aca="false">IF($B19="","",INDEX('CARNET DE SOUDURE'!$B$7:$B$3006,MATCH(8,'CARNET DE SOUDURE'!$AT$7:$AT$3006,0)))</f>
        <v>MFD-ISW → MFD-CPF</v>
      </c>
      <c r="D19" s="130" t="str">
        <f aca="false">IF($B19="","",INDEX('CARNET DE SOUDURE'!$E$7:$E$3006,MATCH(8,'CARNET DE SOUDURE'!$AT$7:$AT$3006,0)))</f>
        <v>JN°767</v>
      </c>
      <c r="E19" s="130" t="n">
        <f aca="false">IF($B19="","",INDEX('CARNET DE SOUDURE'!$D$7:$D$3006,MATCH(8,'CARNET DE SOUDURE'!$AT$7:$AT$3006,0)))</f>
        <v>4</v>
      </c>
      <c r="F19" s="130" t="str">
        <f aca="false">IF($B19="","",INDEX('CARNET DE SOUDURE'!$R$7:$R$3006,MATCH(8,'CARNET DE SOUDURE'!$AT$7:$AT$3006,0))&amp;IF(INDEX('CARNET DE SOUDURE'!$S$7:$S$3006,MATCH(8,'CARNET DE SOUDURE'!$AT$7:$AT$3006,0))&lt;&gt;""," / "&amp;INDEX('CARNET DE SOUDURE'!$S$7:$S$3006,MATCH(8,'CARNET DE SOUDURE'!$AT$7:$AT$3006,0)),"")&amp;IF(INDEX('CARNET DE SOUDURE'!$T$7:$T$3006,MATCH(8,'CARNET DE SOUDURE'!$AT$7:$AT$3006,0))&lt;&gt;""," / "&amp;INDEX('CARNET DE SOUDURE'!$T$7:$T$3006,MATCH(8,'CARNET DE SOUDURE'!$AT$7:$AT$3006,0)),""))</f>
        <v>WR-33-51/40-45</v>
      </c>
      <c r="G19" s="131" t="n">
        <f aca="false">IF($B19="","",INDEX('CARNET DE SOUDURE'!$U$7:$U$3006,MATCH(8,'CARNET DE SOUDURE'!$AT$7:$AT$3006,0)))</f>
        <v>46291</v>
      </c>
      <c r="H19" s="132" t="str">
        <f aca="false">IF($B19="","",INDEX('CARNET DE SOUDURE'!$AQ$7:$AQ$3006,MATCH(8,'CARNET DE SOUDURE'!$AT$7:$AT$3006,0)))</f>
        <v>À RADIOGRAPHIER</v>
      </c>
      <c r="I19" s="133" t="n">
        <f aca="false">IF($B19="","",INDEX('CARNET DE SOUDURE'!$AO$7:$AO$3006,MATCH(8,'CARNET DE SOUDURE'!$AT$7:$AT$3006,0)))</f>
        <v>0</v>
      </c>
      <c r="J19" s="133" t="n">
        <f aca="false">IF($B19="","",INDEX('CARNET DE SOUDURE'!$AR$7:$AR$3006,MATCH(8,'CARNET DE SOUDURE'!$AT$7:$AT$3006,0)))</f>
        <v>2</v>
      </c>
      <c r="K19" s="129"/>
      <c r="L19" s="129"/>
    </row>
    <row r="20" customFormat="false" ht="15" hidden="false" customHeight="false" outlineLevel="0" collapsed="false">
      <c r="B20" s="125" t="n">
        <f aca="false">IF(9&gt;$I$4,"",9)</f>
        <v>9</v>
      </c>
      <c r="C20" s="125" t="str">
        <f aca="false">IF($B20="","",INDEX('CARNET DE SOUDURE'!$B$7:$B$3006,MATCH(9,'CARNET DE SOUDURE'!$AT$7:$AT$3006,0)))</f>
        <v>MFD-ISW → MFD-CPF</v>
      </c>
      <c r="D20" s="125" t="str">
        <f aca="false">IF($B20="","",INDEX('CARNET DE SOUDURE'!$E$7:$E$3006,MATCH(9,'CARNET DE SOUDURE'!$AT$7:$AT$3006,0)))</f>
        <v>JN°768</v>
      </c>
      <c r="E20" s="125" t="n">
        <f aca="false">IF($B20="","",INDEX('CARNET DE SOUDURE'!$D$7:$D$3006,MATCH(9,'CARNET DE SOUDURE'!$AT$7:$AT$3006,0)))</f>
        <v>4</v>
      </c>
      <c r="F20" s="125" t="str">
        <f aca="false">IF($B20="","",INDEX('CARNET DE SOUDURE'!$R$7:$R$3006,MATCH(9,'CARNET DE SOUDURE'!$AT$7:$AT$3006,0))&amp;IF(INDEX('CARNET DE SOUDURE'!$S$7:$S$3006,MATCH(9,'CARNET DE SOUDURE'!$AT$7:$AT$3006,0))&lt;&gt;""," / "&amp;INDEX('CARNET DE SOUDURE'!$S$7:$S$3006,MATCH(9,'CARNET DE SOUDURE'!$AT$7:$AT$3006,0)),"")&amp;IF(INDEX('CARNET DE SOUDURE'!$T$7:$T$3006,MATCH(9,'CARNET DE SOUDURE'!$AT$7:$AT$3006,0))&lt;&gt;""," / "&amp;INDEX('CARNET DE SOUDURE'!$T$7:$T$3006,MATCH(9,'CARNET DE SOUDURE'!$AT$7:$AT$3006,0)),""))</f>
        <v>WR-33-51/40-45</v>
      </c>
      <c r="G20" s="126" t="n">
        <f aca="false">IF($B20="","",INDEX('CARNET DE SOUDURE'!$U$7:$U$3006,MATCH(9,'CARNET DE SOUDURE'!$AT$7:$AT$3006,0)))</f>
        <v>46291</v>
      </c>
      <c r="H20" s="127" t="str">
        <f aca="false">IF($B20="","",INDEX('CARNET DE SOUDURE'!$AQ$7:$AQ$3006,MATCH(9,'CARNET DE SOUDURE'!$AT$7:$AT$3006,0)))</f>
        <v>À RADIOGRAPHIER</v>
      </c>
      <c r="I20" s="128" t="n">
        <f aca="false">IF($B20="","",INDEX('CARNET DE SOUDURE'!$AO$7:$AO$3006,MATCH(9,'CARNET DE SOUDURE'!$AT$7:$AT$3006,0)))</f>
        <v>0</v>
      </c>
      <c r="J20" s="128" t="n">
        <f aca="false">IF($B20="","",INDEX('CARNET DE SOUDURE'!$AR$7:$AR$3006,MATCH(9,'CARNET DE SOUDURE'!$AT$7:$AT$3006,0)))</f>
        <v>2</v>
      </c>
      <c r="K20" s="129"/>
      <c r="L20" s="129"/>
    </row>
    <row r="21" customFormat="false" ht="15" hidden="false" customHeight="false" outlineLevel="0" collapsed="false">
      <c r="B21" s="130" t="n">
        <f aca="false">IF(10&gt;$I$4,"",10)</f>
        <v>10</v>
      </c>
      <c r="C21" s="130" t="str">
        <f aca="false">IF($B21="","",INDEX('CARNET DE SOUDURE'!$B$7:$B$3006,MATCH(10,'CARNET DE SOUDURE'!$AT$7:$AT$3006,0)))</f>
        <v>MFD-ISW → MFD-CPF</v>
      </c>
      <c r="D21" s="130" t="str">
        <f aca="false">IF($B21="","",INDEX('CARNET DE SOUDURE'!$E$7:$E$3006,MATCH(10,'CARNET DE SOUDURE'!$AT$7:$AT$3006,0)))</f>
        <v>JN°769</v>
      </c>
      <c r="E21" s="130" t="n">
        <f aca="false">IF($B21="","",INDEX('CARNET DE SOUDURE'!$D$7:$D$3006,MATCH(10,'CARNET DE SOUDURE'!$AT$7:$AT$3006,0)))</f>
        <v>4</v>
      </c>
      <c r="F21" s="130" t="str">
        <f aca="false">IF($B21="","",INDEX('CARNET DE SOUDURE'!$R$7:$R$3006,MATCH(10,'CARNET DE SOUDURE'!$AT$7:$AT$3006,0))&amp;IF(INDEX('CARNET DE SOUDURE'!$S$7:$S$3006,MATCH(10,'CARNET DE SOUDURE'!$AT$7:$AT$3006,0))&lt;&gt;""," / "&amp;INDEX('CARNET DE SOUDURE'!$S$7:$S$3006,MATCH(10,'CARNET DE SOUDURE'!$AT$7:$AT$3006,0)),"")&amp;IF(INDEX('CARNET DE SOUDURE'!$T$7:$T$3006,MATCH(10,'CARNET DE SOUDURE'!$AT$7:$AT$3006,0))&lt;&gt;""," / "&amp;INDEX('CARNET DE SOUDURE'!$T$7:$T$3006,MATCH(10,'CARNET DE SOUDURE'!$AT$7:$AT$3006,0)),""))</f>
        <v>WR-33-51/40-45</v>
      </c>
      <c r="G21" s="131" t="n">
        <f aca="false">IF($B21="","",INDEX('CARNET DE SOUDURE'!$U$7:$U$3006,MATCH(10,'CARNET DE SOUDURE'!$AT$7:$AT$3006,0)))</f>
        <v>46291</v>
      </c>
      <c r="H21" s="132" t="str">
        <f aca="false">IF($B21="","",INDEX('CARNET DE SOUDURE'!$AQ$7:$AQ$3006,MATCH(10,'CARNET DE SOUDURE'!$AT$7:$AT$3006,0)))</f>
        <v>À RADIOGRAPHIER</v>
      </c>
      <c r="I21" s="133" t="n">
        <f aca="false">IF($B21="","",INDEX('CARNET DE SOUDURE'!$AO$7:$AO$3006,MATCH(10,'CARNET DE SOUDURE'!$AT$7:$AT$3006,0)))</f>
        <v>0</v>
      </c>
      <c r="J21" s="133" t="n">
        <f aca="false">IF($B21="","",INDEX('CARNET DE SOUDURE'!$AR$7:$AR$3006,MATCH(10,'CARNET DE SOUDURE'!$AT$7:$AT$3006,0)))</f>
        <v>2</v>
      </c>
      <c r="K21" s="129"/>
      <c r="L21" s="129"/>
    </row>
    <row r="22" customFormat="false" ht="15" hidden="false" customHeight="false" outlineLevel="0" collapsed="false">
      <c r="B22" s="125" t="n">
        <f aca="false">IF(11&gt;$I$4,"",11)</f>
        <v>11</v>
      </c>
      <c r="C22" s="125" t="str">
        <f aca="false">IF($B22="","",INDEX('CARNET DE SOUDURE'!$B$7:$B$3006,MATCH(11,'CARNET DE SOUDURE'!$AT$7:$AT$3006,0)))</f>
        <v>MFD-ISW → MFD-CPF</v>
      </c>
      <c r="D22" s="125" t="str">
        <f aca="false">IF($B22="","",INDEX('CARNET DE SOUDURE'!$E$7:$E$3006,MATCH(11,'CARNET DE SOUDURE'!$AT$7:$AT$3006,0)))</f>
        <v>JN°770</v>
      </c>
      <c r="E22" s="125" t="n">
        <f aca="false">IF($B22="","",INDEX('CARNET DE SOUDURE'!$D$7:$D$3006,MATCH(11,'CARNET DE SOUDURE'!$AT$7:$AT$3006,0)))</f>
        <v>4</v>
      </c>
      <c r="F22" s="125" t="str">
        <f aca="false">IF($B22="","",INDEX('CARNET DE SOUDURE'!$R$7:$R$3006,MATCH(11,'CARNET DE SOUDURE'!$AT$7:$AT$3006,0))&amp;IF(INDEX('CARNET DE SOUDURE'!$S$7:$S$3006,MATCH(11,'CARNET DE SOUDURE'!$AT$7:$AT$3006,0))&lt;&gt;""," / "&amp;INDEX('CARNET DE SOUDURE'!$S$7:$S$3006,MATCH(11,'CARNET DE SOUDURE'!$AT$7:$AT$3006,0)),"")&amp;IF(INDEX('CARNET DE SOUDURE'!$T$7:$T$3006,MATCH(11,'CARNET DE SOUDURE'!$AT$7:$AT$3006,0))&lt;&gt;""," / "&amp;INDEX('CARNET DE SOUDURE'!$T$7:$T$3006,MATCH(11,'CARNET DE SOUDURE'!$AT$7:$AT$3006,0)),""))</f>
        <v>WR-33-51/40-45</v>
      </c>
      <c r="G22" s="126" t="n">
        <f aca="false">IF($B22="","",INDEX('CARNET DE SOUDURE'!$U$7:$U$3006,MATCH(11,'CARNET DE SOUDURE'!$AT$7:$AT$3006,0)))</f>
        <v>46291</v>
      </c>
      <c r="H22" s="127" t="str">
        <f aca="false">IF($B22="","",INDEX('CARNET DE SOUDURE'!$AQ$7:$AQ$3006,MATCH(11,'CARNET DE SOUDURE'!$AT$7:$AT$3006,0)))</f>
        <v>À RADIOGRAPHIER</v>
      </c>
      <c r="I22" s="128" t="n">
        <f aca="false">IF($B22="","",INDEX('CARNET DE SOUDURE'!$AO$7:$AO$3006,MATCH(11,'CARNET DE SOUDURE'!$AT$7:$AT$3006,0)))</f>
        <v>0</v>
      </c>
      <c r="J22" s="128" t="n">
        <f aca="false">IF($B22="","",INDEX('CARNET DE SOUDURE'!$AR$7:$AR$3006,MATCH(11,'CARNET DE SOUDURE'!$AT$7:$AT$3006,0)))</f>
        <v>2</v>
      </c>
      <c r="K22" s="129"/>
      <c r="L22" s="129"/>
    </row>
    <row r="23" customFormat="false" ht="15" hidden="false" customHeight="false" outlineLevel="0" collapsed="false">
      <c r="B23" s="130" t="n">
        <f aca="false">IF(12&gt;$I$4,"",12)</f>
        <v>12</v>
      </c>
      <c r="C23" s="130" t="str">
        <f aca="false">IF($B23="","",INDEX('CARNET DE SOUDURE'!$B$7:$B$3006,MATCH(12,'CARNET DE SOUDURE'!$AT$7:$AT$3006,0)))</f>
        <v>MFD-ISW → MFD-CPF</v>
      </c>
      <c r="D23" s="130" t="str">
        <f aca="false">IF($B23="","",INDEX('CARNET DE SOUDURE'!$E$7:$E$3006,MATCH(12,'CARNET DE SOUDURE'!$AT$7:$AT$3006,0)))</f>
        <v>JN°771</v>
      </c>
      <c r="E23" s="130" t="n">
        <f aca="false">IF($B23="","",INDEX('CARNET DE SOUDURE'!$D$7:$D$3006,MATCH(12,'CARNET DE SOUDURE'!$AT$7:$AT$3006,0)))</f>
        <v>4</v>
      </c>
      <c r="F23" s="130" t="str">
        <f aca="false">IF($B23="","",INDEX('CARNET DE SOUDURE'!$R$7:$R$3006,MATCH(12,'CARNET DE SOUDURE'!$AT$7:$AT$3006,0))&amp;IF(INDEX('CARNET DE SOUDURE'!$S$7:$S$3006,MATCH(12,'CARNET DE SOUDURE'!$AT$7:$AT$3006,0))&lt;&gt;""," / "&amp;INDEX('CARNET DE SOUDURE'!$S$7:$S$3006,MATCH(12,'CARNET DE SOUDURE'!$AT$7:$AT$3006,0)),"")&amp;IF(INDEX('CARNET DE SOUDURE'!$T$7:$T$3006,MATCH(12,'CARNET DE SOUDURE'!$AT$7:$AT$3006,0))&lt;&gt;""," / "&amp;INDEX('CARNET DE SOUDURE'!$T$7:$T$3006,MATCH(12,'CARNET DE SOUDURE'!$AT$7:$AT$3006,0)),""))</f>
        <v>WR-33-51/40-45</v>
      </c>
      <c r="G23" s="131" t="n">
        <f aca="false">IF($B23="","",INDEX('CARNET DE SOUDURE'!$U$7:$U$3006,MATCH(12,'CARNET DE SOUDURE'!$AT$7:$AT$3006,0)))</f>
        <v>46291</v>
      </c>
      <c r="H23" s="132" t="str">
        <f aca="false">IF($B23="","",INDEX('CARNET DE SOUDURE'!$AQ$7:$AQ$3006,MATCH(12,'CARNET DE SOUDURE'!$AT$7:$AT$3006,0)))</f>
        <v>À RADIOGRAPHIER</v>
      </c>
      <c r="I23" s="133" t="n">
        <f aca="false">IF($B23="","",INDEX('CARNET DE SOUDURE'!$AO$7:$AO$3006,MATCH(12,'CARNET DE SOUDURE'!$AT$7:$AT$3006,0)))</f>
        <v>0</v>
      </c>
      <c r="J23" s="133" t="n">
        <f aca="false">IF($B23="","",INDEX('CARNET DE SOUDURE'!$AR$7:$AR$3006,MATCH(12,'CARNET DE SOUDURE'!$AT$7:$AT$3006,0)))</f>
        <v>2</v>
      </c>
      <c r="K23" s="129"/>
      <c r="L23" s="129"/>
    </row>
    <row r="24" customFormat="false" ht="15" hidden="false" customHeight="false" outlineLevel="0" collapsed="false">
      <c r="B24" s="125" t="n">
        <f aca="false">IF(13&gt;$I$4,"",13)</f>
        <v>13</v>
      </c>
      <c r="C24" s="125" t="str">
        <f aca="false">IF($B24="","",INDEX('CARNET DE SOUDURE'!$B$7:$B$3006,MATCH(13,'CARNET DE SOUDURE'!$AT$7:$AT$3006,0)))</f>
        <v>MFD-ISW → MFD-CPF</v>
      </c>
      <c r="D24" s="125" t="str">
        <f aca="false">IF($B24="","",INDEX('CARNET DE SOUDURE'!$E$7:$E$3006,MATCH(13,'CARNET DE SOUDURE'!$AT$7:$AT$3006,0)))</f>
        <v>JN°772</v>
      </c>
      <c r="E24" s="125" t="n">
        <f aca="false">IF($B24="","",INDEX('CARNET DE SOUDURE'!$D$7:$D$3006,MATCH(13,'CARNET DE SOUDURE'!$AT$7:$AT$3006,0)))</f>
        <v>4</v>
      </c>
      <c r="F24" s="125" t="str">
        <f aca="false">IF($B24="","",INDEX('CARNET DE SOUDURE'!$R$7:$R$3006,MATCH(13,'CARNET DE SOUDURE'!$AT$7:$AT$3006,0))&amp;IF(INDEX('CARNET DE SOUDURE'!$S$7:$S$3006,MATCH(13,'CARNET DE SOUDURE'!$AT$7:$AT$3006,0))&lt;&gt;""," / "&amp;INDEX('CARNET DE SOUDURE'!$S$7:$S$3006,MATCH(13,'CARNET DE SOUDURE'!$AT$7:$AT$3006,0)),"")&amp;IF(INDEX('CARNET DE SOUDURE'!$T$7:$T$3006,MATCH(13,'CARNET DE SOUDURE'!$AT$7:$AT$3006,0))&lt;&gt;""," / "&amp;INDEX('CARNET DE SOUDURE'!$T$7:$T$3006,MATCH(13,'CARNET DE SOUDURE'!$AT$7:$AT$3006,0)),""))</f>
        <v>WR-33-51/40-45</v>
      </c>
      <c r="G24" s="126" t="n">
        <f aca="false">IF($B24="","",INDEX('CARNET DE SOUDURE'!$U$7:$U$3006,MATCH(13,'CARNET DE SOUDURE'!$AT$7:$AT$3006,0)))</f>
        <v>46291</v>
      </c>
      <c r="H24" s="127" t="str">
        <f aca="false">IF($B24="","",INDEX('CARNET DE SOUDURE'!$AQ$7:$AQ$3006,MATCH(13,'CARNET DE SOUDURE'!$AT$7:$AT$3006,0)))</f>
        <v>À RADIOGRAPHIER</v>
      </c>
      <c r="I24" s="128" t="n">
        <f aca="false">IF($B24="","",INDEX('CARNET DE SOUDURE'!$AO$7:$AO$3006,MATCH(13,'CARNET DE SOUDURE'!$AT$7:$AT$3006,0)))</f>
        <v>0</v>
      </c>
      <c r="J24" s="128" t="n">
        <f aca="false">IF($B24="","",INDEX('CARNET DE SOUDURE'!$AR$7:$AR$3006,MATCH(13,'CARNET DE SOUDURE'!$AT$7:$AT$3006,0)))</f>
        <v>2</v>
      </c>
      <c r="K24" s="129"/>
      <c r="L24" s="129"/>
    </row>
    <row r="25" customFormat="false" ht="15" hidden="false" customHeight="false" outlineLevel="0" collapsed="false">
      <c r="B25" s="130" t="n">
        <f aca="false">IF(14&gt;$I$4,"",14)</f>
        <v>14</v>
      </c>
      <c r="C25" s="130" t="str">
        <f aca="false">IF($B25="","",INDEX('CARNET DE SOUDURE'!$B$7:$B$3006,MATCH(14,'CARNET DE SOUDURE'!$AT$7:$AT$3006,0)))</f>
        <v>MFD-ISW → MFD-CPF</v>
      </c>
      <c r="D25" s="130" t="str">
        <f aca="false">IF($B25="","",INDEX('CARNET DE SOUDURE'!$E$7:$E$3006,MATCH(14,'CARNET DE SOUDURE'!$AT$7:$AT$3006,0)))</f>
        <v>JN°773</v>
      </c>
      <c r="E25" s="130" t="n">
        <f aca="false">IF($B25="","",INDEX('CARNET DE SOUDURE'!$D$7:$D$3006,MATCH(14,'CARNET DE SOUDURE'!$AT$7:$AT$3006,0)))</f>
        <v>4</v>
      </c>
      <c r="F25" s="130" t="str">
        <f aca="false">IF($B25="","",INDEX('CARNET DE SOUDURE'!$R$7:$R$3006,MATCH(14,'CARNET DE SOUDURE'!$AT$7:$AT$3006,0))&amp;IF(INDEX('CARNET DE SOUDURE'!$S$7:$S$3006,MATCH(14,'CARNET DE SOUDURE'!$AT$7:$AT$3006,0))&lt;&gt;""," / "&amp;INDEX('CARNET DE SOUDURE'!$S$7:$S$3006,MATCH(14,'CARNET DE SOUDURE'!$AT$7:$AT$3006,0)),"")&amp;IF(INDEX('CARNET DE SOUDURE'!$T$7:$T$3006,MATCH(14,'CARNET DE SOUDURE'!$AT$7:$AT$3006,0))&lt;&gt;""," / "&amp;INDEX('CARNET DE SOUDURE'!$T$7:$T$3006,MATCH(14,'CARNET DE SOUDURE'!$AT$7:$AT$3006,0)),""))</f>
        <v>WR-33-51/40-45</v>
      </c>
      <c r="G25" s="131" t="n">
        <f aca="false">IF($B25="","",INDEX('CARNET DE SOUDURE'!$U$7:$U$3006,MATCH(14,'CARNET DE SOUDURE'!$AT$7:$AT$3006,0)))</f>
        <v>46291</v>
      </c>
      <c r="H25" s="132" t="str">
        <f aca="false">IF($B25="","",INDEX('CARNET DE SOUDURE'!$AQ$7:$AQ$3006,MATCH(14,'CARNET DE SOUDURE'!$AT$7:$AT$3006,0)))</f>
        <v>À RADIOGRAPHIER</v>
      </c>
      <c r="I25" s="133" t="n">
        <f aca="false">IF($B25="","",INDEX('CARNET DE SOUDURE'!$AO$7:$AO$3006,MATCH(14,'CARNET DE SOUDURE'!$AT$7:$AT$3006,0)))</f>
        <v>0</v>
      </c>
      <c r="J25" s="133" t="n">
        <f aca="false">IF($B25="","",INDEX('CARNET DE SOUDURE'!$AR$7:$AR$3006,MATCH(14,'CARNET DE SOUDURE'!$AT$7:$AT$3006,0)))</f>
        <v>2</v>
      </c>
      <c r="K25" s="129"/>
      <c r="L25" s="129"/>
    </row>
    <row r="26" customFormat="false" ht="15" hidden="false" customHeight="false" outlineLevel="0" collapsed="false">
      <c r="B26" s="125" t="n">
        <f aca="false">IF(15&gt;$I$4,"",15)</f>
        <v>15</v>
      </c>
      <c r="C26" s="125" t="str">
        <f aca="false">IF($B26="","",INDEX('CARNET DE SOUDURE'!$B$7:$B$3006,MATCH(15,'CARNET DE SOUDURE'!$AT$7:$AT$3006,0)))</f>
        <v>MFD-ISW → MFD-CPF</v>
      </c>
      <c r="D26" s="125" t="str">
        <f aca="false">IF($B26="","",INDEX('CARNET DE SOUDURE'!$E$7:$E$3006,MATCH(15,'CARNET DE SOUDURE'!$AT$7:$AT$3006,0)))</f>
        <v>JN°774</v>
      </c>
      <c r="E26" s="125" t="n">
        <f aca="false">IF($B26="","",INDEX('CARNET DE SOUDURE'!$D$7:$D$3006,MATCH(15,'CARNET DE SOUDURE'!$AT$7:$AT$3006,0)))</f>
        <v>4</v>
      </c>
      <c r="F26" s="125" t="str">
        <f aca="false">IF($B26="","",INDEX('CARNET DE SOUDURE'!$R$7:$R$3006,MATCH(15,'CARNET DE SOUDURE'!$AT$7:$AT$3006,0))&amp;IF(INDEX('CARNET DE SOUDURE'!$S$7:$S$3006,MATCH(15,'CARNET DE SOUDURE'!$AT$7:$AT$3006,0))&lt;&gt;""," / "&amp;INDEX('CARNET DE SOUDURE'!$S$7:$S$3006,MATCH(15,'CARNET DE SOUDURE'!$AT$7:$AT$3006,0)),"")&amp;IF(INDEX('CARNET DE SOUDURE'!$T$7:$T$3006,MATCH(15,'CARNET DE SOUDURE'!$AT$7:$AT$3006,0))&lt;&gt;""," / "&amp;INDEX('CARNET DE SOUDURE'!$T$7:$T$3006,MATCH(15,'CARNET DE SOUDURE'!$AT$7:$AT$3006,0)),""))</f>
        <v>WR-33-51/40-45</v>
      </c>
      <c r="G26" s="126" t="n">
        <f aca="false">IF($B26="","",INDEX('CARNET DE SOUDURE'!$U$7:$U$3006,MATCH(15,'CARNET DE SOUDURE'!$AT$7:$AT$3006,0)))</f>
        <v>46291</v>
      </c>
      <c r="H26" s="127" t="str">
        <f aca="false">IF($B26="","",INDEX('CARNET DE SOUDURE'!$AQ$7:$AQ$3006,MATCH(15,'CARNET DE SOUDURE'!$AT$7:$AT$3006,0)))</f>
        <v>À RADIOGRAPHIER</v>
      </c>
      <c r="I26" s="128" t="n">
        <f aca="false">IF($B26="","",INDEX('CARNET DE SOUDURE'!$AO$7:$AO$3006,MATCH(15,'CARNET DE SOUDURE'!$AT$7:$AT$3006,0)))</f>
        <v>0</v>
      </c>
      <c r="J26" s="128" t="n">
        <f aca="false">IF($B26="","",INDEX('CARNET DE SOUDURE'!$AR$7:$AR$3006,MATCH(15,'CARNET DE SOUDURE'!$AT$7:$AT$3006,0)))</f>
        <v>2</v>
      </c>
      <c r="K26" s="129"/>
      <c r="L26" s="129"/>
    </row>
    <row r="27" customFormat="false" ht="15" hidden="false" customHeight="false" outlineLevel="0" collapsed="false">
      <c r="B27" s="130" t="n">
        <f aca="false">IF(16&gt;$I$4,"",16)</f>
        <v>16</v>
      </c>
      <c r="C27" s="130" t="str">
        <f aca="false">IF($B27="","",INDEX('CARNET DE SOUDURE'!$B$7:$B$3006,MATCH(16,'CARNET DE SOUDURE'!$AT$7:$AT$3006,0)))</f>
        <v>MFD-ISW → MFD-CPF</v>
      </c>
      <c r="D27" s="130" t="str">
        <f aca="false">IF($B27="","",INDEX('CARNET DE SOUDURE'!$E$7:$E$3006,MATCH(16,'CARNET DE SOUDURE'!$AT$7:$AT$3006,0)))</f>
        <v>JN°775</v>
      </c>
      <c r="E27" s="130" t="n">
        <f aca="false">IF($B27="","",INDEX('CARNET DE SOUDURE'!$D$7:$D$3006,MATCH(16,'CARNET DE SOUDURE'!$AT$7:$AT$3006,0)))</f>
        <v>4</v>
      </c>
      <c r="F27" s="130" t="str">
        <f aca="false">IF($B27="","",INDEX('CARNET DE SOUDURE'!$R$7:$R$3006,MATCH(16,'CARNET DE SOUDURE'!$AT$7:$AT$3006,0))&amp;IF(INDEX('CARNET DE SOUDURE'!$S$7:$S$3006,MATCH(16,'CARNET DE SOUDURE'!$AT$7:$AT$3006,0))&lt;&gt;""," / "&amp;INDEX('CARNET DE SOUDURE'!$S$7:$S$3006,MATCH(16,'CARNET DE SOUDURE'!$AT$7:$AT$3006,0)),"")&amp;IF(INDEX('CARNET DE SOUDURE'!$T$7:$T$3006,MATCH(16,'CARNET DE SOUDURE'!$AT$7:$AT$3006,0))&lt;&gt;""," / "&amp;INDEX('CARNET DE SOUDURE'!$T$7:$T$3006,MATCH(16,'CARNET DE SOUDURE'!$AT$7:$AT$3006,0)),""))</f>
        <v>WR-33-51/40-45</v>
      </c>
      <c r="G27" s="131" t="n">
        <f aca="false">IF($B27="","",INDEX('CARNET DE SOUDURE'!$U$7:$U$3006,MATCH(16,'CARNET DE SOUDURE'!$AT$7:$AT$3006,0)))</f>
        <v>46291</v>
      </c>
      <c r="H27" s="132" t="str">
        <f aca="false">IF($B27="","",INDEX('CARNET DE SOUDURE'!$AQ$7:$AQ$3006,MATCH(16,'CARNET DE SOUDURE'!$AT$7:$AT$3006,0)))</f>
        <v>À RADIOGRAPHIER</v>
      </c>
      <c r="I27" s="133" t="n">
        <f aca="false">IF($B27="","",INDEX('CARNET DE SOUDURE'!$AO$7:$AO$3006,MATCH(16,'CARNET DE SOUDURE'!$AT$7:$AT$3006,0)))</f>
        <v>0</v>
      </c>
      <c r="J27" s="133" t="n">
        <f aca="false">IF($B27="","",INDEX('CARNET DE SOUDURE'!$AR$7:$AR$3006,MATCH(16,'CARNET DE SOUDURE'!$AT$7:$AT$3006,0)))</f>
        <v>2</v>
      </c>
      <c r="K27" s="129"/>
      <c r="L27" s="129"/>
    </row>
    <row r="28" customFormat="false" ht="15" hidden="false" customHeight="false" outlineLevel="0" collapsed="false">
      <c r="B28" s="125" t="n">
        <f aca="false">IF(17&gt;$I$4,"",17)</f>
        <v>17</v>
      </c>
      <c r="C28" s="125" t="str">
        <f aca="false">IF($B28="","",INDEX('CARNET DE SOUDURE'!$B$7:$B$3006,MATCH(17,'CARNET DE SOUDURE'!$AT$7:$AT$3006,0)))</f>
        <v>MFD-ISW → MFD-CPF</v>
      </c>
      <c r="D28" s="125" t="str">
        <f aca="false">IF($B28="","",INDEX('CARNET DE SOUDURE'!$E$7:$E$3006,MATCH(17,'CARNET DE SOUDURE'!$AT$7:$AT$3006,0)))</f>
        <v>JN°778</v>
      </c>
      <c r="E28" s="125" t="n">
        <f aca="false">IF($B28="","",INDEX('CARNET DE SOUDURE'!$D$7:$D$3006,MATCH(17,'CARNET DE SOUDURE'!$AT$7:$AT$3006,0)))</f>
        <v>4</v>
      </c>
      <c r="F28" s="125" t="str">
        <f aca="false">IF($B28="","",INDEX('CARNET DE SOUDURE'!$R$7:$R$3006,MATCH(17,'CARNET DE SOUDURE'!$AT$7:$AT$3006,0))&amp;IF(INDEX('CARNET DE SOUDURE'!$S$7:$S$3006,MATCH(17,'CARNET DE SOUDURE'!$AT$7:$AT$3006,0))&lt;&gt;""," / "&amp;INDEX('CARNET DE SOUDURE'!$S$7:$S$3006,MATCH(17,'CARNET DE SOUDURE'!$AT$7:$AT$3006,0)),"")&amp;IF(INDEX('CARNET DE SOUDURE'!$T$7:$T$3006,MATCH(17,'CARNET DE SOUDURE'!$AT$7:$AT$3006,0))&lt;&gt;""," / "&amp;INDEX('CARNET DE SOUDURE'!$T$7:$T$3006,MATCH(17,'CARNET DE SOUDURE'!$AT$7:$AT$3006,0)),""))</f>
        <v>WR-33-51/40-45</v>
      </c>
      <c r="G28" s="126" t="n">
        <f aca="false">IF($B28="","",INDEX('CARNET DE SOUDURE'!$U$7:$U$3006,MATCH(17,'CARNET DE SOUDURE'!$AT$7:$AT$3006,0)))</f>
        <v>46291</v>
      </c>
      <c r="H28" s="127" t="str">
        <f aca="false">IF($B28="","",INDEX('CARNET DE SOUDURE'!$AQ$7:$AQ$3006,MATCH(17,'CARNET DE SOUDURE'!$AT$7:$AT$3006,0)))</f>
        <v>À RADIOGRAPHIER</v>
      </c>
      <c r="I28" s="128" t="n">
        <f aca="false">IF($B28="","",INDEX('CARNET DE SOUDURE'!$AO$7:$AO$3006,MATCH(17,'CARNET DE SOUDURE'!$AT$7:$AT$3006,0)))</f>
        <v>0</v>
      </c>
      <c r="J28" s="128" t="n">
        <f aca="false">IF($B28="","",INDEX('CARNET DE SOUDURE'!$AR$7:$AR$3006,MATCH(17,'CARNET DE SOUDURE'!$AT$7:$AT$3006,0)))</f>
        <v>2</v>
      </c>
      <c r="K28" s="129"/>
      <c r="L28" s="129"/>
    </row>
    <row r="29" customFormat="false" ht="15" hidden="false" customHeight="false" outlineLevel="0" collapsed="false">
      <c r="B29" s="130" t="n">
        <f aca="false">IF(18&gt;$I$4,"",18)</f>
        <v>18</v>
      </c>
      <c r="C29" s="130" t="str">
        <f aca="false">IF($B29="","",INDEX('CARNET DE SOUDURE'!$B$7:$B$3006,MATCH(18,'CARNET DE SOUDURE'!$AT$7:$AT$3006,0)))</f>
        <v>MFD-ISW → MFD-CPF</v>
      </c>
      <c r="D29" s="130" t="str">
        <f aca="false">IF($B29="","",INDEX('CARNET DE SOUDURE'!$E$7:$E$3006,MATCH(18,'CARNET DE SOUDURE'!$AT$7:$AT$3006,0)))</f>
        <v>JN°779</v>
      </c>
      <c r="E29" s="130" t="n">
        <f aca="false">IF($B29="","",INDEX('CARNET DE SOUDURE'!$D$7:$D$3006,MATCH(18,'CARNET DE SOUDURE'!$AT$7:$AT$3006,0)))</f>
        <v>4</v>
      </c>
      <c r="F29" s="130" t="str">
        <f aca="false">IF($B29="","",INDEX('CARNET DE SOUDURE'!$R$7:$R$3006,MATCH(18,'CARNET DE SOUDURE'!$AT$7:$AT$3006,0))&amp;IF(INDEX('CARNET DE SOUDURE'!$S$7:$S$3006,MATCH(18,'CARNET DE SOUDURE'!$AT$7:$AT$3006,0))&lt;&gt;""," / "&amp;INDEX('CARNET DE SOUDURE'!$S$7:$S$3006,MATCH(18,'CARNET DE SOUDURE'!$AT$7:$AT$3006,0)),"")&amp;IF(INDEX('CARNET DE SOUDURE'!$T$7:$T$3006,MATCH(18,'CARNET DE SOUDURE'!$AT$7:$AT$3006,0))&lt;&gt;""," / "&amp;INDEX('CARNET DE SOUDURE'!$T$7:$T$3006,MATCH(18,'CARNET DE SOUDURE'!$AT$7:$AT$3006,0)),""))</f>
        <v>WR-33-51/40-45</v>
      </c>
      <c r="G29" s="131" t="n">
        <f aca="false">IF($B29="","",INDEX('CARNET DE SOUDURE'!$U$7:$U$3006,MATCH(18,'CARNET DE SOUDURE'!$AT$7:$AT$3006,0)))</f>
        <v>46291</v>
      </c>
      <c r="H29" s="132" t="str">
        <f aca="false">IF($B29="","",INDEX('CARNET DE SOUDURE'!$AQ$7:$AQ$3006,MATCH(18,'CARNET DE SOUDURE'!$AT$7:$AT$3006,0)))</f>
        <v>À RADIOGRAPHIER</v>
      </c>
      <c r="I29" s="133" t="n">
        <f aca="false">IF($B29="","",INDEX('CARNET DE SOUDURE'!$AO$7:$AO$3006,MATCH(18,'CARNET DE SOUDURE'!$AT$7:$AT$3006,0)))</f>
        <v>0</v>
      </c>
      <c r="J29" s="133" t="n">
        <f aca="false">IF($B29="","",INDEX('CARNET DE SOUDURE'!$AR$7:$AR$3006,MATCH(18,'CARNET DE SOUDURE'!$AT$7:$AT$3006,0)))</f>
        <v>2</v>
      </c>
      <c r="K29" s="129"/>
      <c r="L29" s="129"/>
    </row>
    <row r="30" customFormat="false" ht="15" hidden="false" customHeight="false" outlineLevel="0" collapsed="false">
      <c r="B30" s="125" t="n">
        <f aca="false">IF(19&gt;$I$4,"",19)</f>
        <v>19</v>
      </c>
      <c r="C30" s="125" t="str">
        <f aca="false">IF($B30="","",INDEX('CARNET DE SOUDURE'!$B$7:$B$3006,MATCH(19,'CARNET DE SOUDURE'!$AT$7:$AT$3006,0)))</f>
        <v>MFD-ISW → MFD-CPF</v>
      </c>
      <c r="D30" s="125" t="str">
        <f aca="false">IF($B30="","",INDEX('CARNET DE SOUDURE'!$E$7:$E$3006,MATCH(19,'CARNET DE SOUDURE'!$AT$7:$AT$3006,0)))</f>
        <v>JN°780</v>
      </c>
      <c r="E30" s="125" t="n">
        <f aca="false">IF($B30="","",INDEX('CARNET DE SOUDURE'!$D$7:$D$3006,MATCH(19,'CARNET DE SOUDURE'!$AT$7:$AT$3006,0)))</f>
        <v>4</v>
      </c>
      <c r="F30" s="125" t="str">
        <f aca="false">IF($B30="","",INDEX('CARNET DE SOUDURE'!$R$7:$R$3006,MATCH(19,'CARNET DE SOUDURE'!$AT$7:$AT$3006,0))&amp;IF(INDEX('CARNET DE SOUDURE'!$S$7:$S$3006,MATCH(19,'CARNET DE SOUDURE'!$AT$7:$AT$3006,0))&lt;&gt;""," / "&amp;INDEX('CARNET DE SOUDURE'!$S$7:$S$3006,MATCH(19,'CARNET DE SOUDURE'!$AT$7:$AT$3006,0)),"")&amp;IF(INDEX('CARNET DE SOUDURE'!$T$7:$T$3006,MATCH(19,'CARNET DE SOUDURE'!$AT$7:$AT$3006,0))&lt;&gt;""," / "&amp;INDEX('CARNET DE SOUDURE'!$T$7:$T$3006,MATCH(19,'CARNET DE SOUDURE'!$AT$7:$AT$3006,0)),""))</f>
        <v>WR-46-51/33-45</v>
      </c>
      <c r="G30" s="126" t="n">
        <f aca="false">IF($B30="","",INDEX('CARNET DE SOUDURE'!$U$7:$U$3006,MATCH(19,'CARNET DE SOUDURE'!$AT$7:$AT$3006,0)))</f>
        <v>46290</v>
      </c>
      <c r="H30" s="127" t="str">
        <f aca="false">IF($B30="","",INDEX('CARNET DE SOUDURE'!$AQ$7:$AQ$3006,MATCH(19,'CARNET DE SOUDURE'!$AT$7:$AT$3006,0)))</f>
        <v>À RADIOGRAPHIER</v>
      </c>
      <c r="I30" s="128" t="n">
        <f aca="false">IF($B30="","",INDEX('CARNET DE SOUDURE'!$AO$7:$AO$3006,MATCH(19,'CARNET DE SOUDURE'!$AT$7:$AT$3006,0)))</f>
        <v>0</v>
      </c>
      <c r="J30" s="128" t="n">
        <f aca="false">IF($B30="","",INDEX('CARNET DE SOUDURE'!$AR$7:$AR$3006,MATCH(19,'CARNET DE SOUDURE'!$AT$7:$AT$3006,0)))</f>
        <v>3</v>
      </c>
      <c r="K30" s="129"/>
      <c r="L30" s="129"/>
    </row>
    <row r="31" customFormat="false" ht="15" hidden="false" customHeight="false" outlineLevel="0" collapsed="false">
      <c r="B31" s="130" t="n">
        <f aca="false">IF(20&gt;$I$4,"",20)</f>
        <v>20</v>
      </c>
      <c r="C31" s="130" t="str">
        <f aca="false">IF($B31="","",INDEX('CARNET DE SOUDURE'!$B$7:$B$3006,MATCH(20,'CARNET DE SOUDURE'!$AT$7:$AT$3006,0)))</f>
        <v>MFD-ISW → MFD-CPF</v>
      </c>
      <c r="D31" s="130" t="str">
        <f aca="false">IF($B31="","",INDEX('CARNET DE SOUDURE'!$E$7:$E$3006,MATCH(20,'CARNET DE SOUDURE'!$AT$7:$AT$3006,0)))</f>
        <v>JN°781</v>
      </c>
      <c r="E31" s="130" t="n">
        <f aca="false">IF($B31="","",INDEX('CARNET DE SOUDURE'!$D$7:$D$3006,MATCH(20,'CARNET DE SOUDURE'!$AT$7:$AT$3006,0)))</f>
        <v>4</v>
      </c>
      <c r="F31" s="130" t="str">
        <f aca="false">IF($B31="","",INDEX('CARNET DE SOUDURE'!$R$7:$R$3006,MATCH(20,'CARNET DE SOUDURE'!$AT$7:$AT$3006,0))&amp;IF(INDEX('CARNET DE SOUDURE'!$S$7:$S$3006,MATCH(20,'CARNET DE SOUDURE'!$AT$7:$AT$3006,0))&lt;&gt;""," / "&amp;INDEX('CARNET DE SOUDURE'!$S$7:$S$3006,MATCH(20,'CARNET DE SOUDURE'!$AT$7:$AT$3006,0)),"")&amp;IF(INDEX('CARNET DE SOUDURE'!$T$7:$T$3006,MATCH(20,'CARNET DE SOUDURE'!$AT$7:$AT$3006,0))&lt;&gt;""," / "&amp;INDEX('CARNET DE SOUDURE'!$T$7:$T$3006,MATCH(20,'CARNET DE SOUDURE'!$AT$7:$AT$3006,0)),""))</f>
        <v>WR-46-51/33-45</v>
      </c>
      <c r="G31" s="131" t="n">
        <f aca="false">IF($B31="","",INDEX('CARNET DE SOUDURE'!$U$7:$U$3006,MATCH(20,'CARNET DE SOUDURE'!$AT$7:$AT$3006,0)))</f>
        <v>46290</v>
      </c>
      <c r="H31" s="132" t="str">
        <f aca="false">IF($B31="","",INDEX('CARNET DE SOUDURE'!$AQ$7:$AQ$3006,MATCH(20,'CARNET DE SOUDURE'!$AT$7:$AT$3006,0)))</f>
        <v>À RADIOGRAPHIER</v>
      </c>
      <c r="I31" s="133" t="n">
        <f aca="false">IF($B31="","",INDEX('CARNET DE SOUDURE'!$AO$7:$AO$3006,MATCH(20,'CARNET DE SOUDURE'!$AT$7:$AT$3006,0)))</f>
        <v>0</v>
      </c>
      <c r="J31" s="133" t="n">
        <f aca="false">IF($B31="","",INDEX('CARNET DE SOUDURE'!$AR$7:$AR$3006,MATCH(20,'CARNET DE SOUDURE'!$AT$7:$AT$3006,0)))</f>
        <v>3</v>
      </c>
      <c r="K31" s="129"/>
      <c r="L31" s="129"/>
    </row>
    <row r="32" customFormat="false" ht="15" hidden="false" customHeight="false" outlineLevel="0" collapsed="false">
      <c r="B32" s="125" t="n">
        <f aca="false">IF(21&gt;$I$4,"",21)</f>
        <v>21</v>
      </c>
      <c r="C32" s="125" t="str">
        <f aca="false">IF($B32="","",INDEX('CARNET DE SOUDURE'!$B$7:$B$3006,MATCH(21,'CARNET DE SOUDURE'!$AT$7:$AT$3006,0)))</f>
        <v>MFD-ISW → MFD-CPF</v>
      </c>
      <c r="D32" s="125" t="str">
        <f aca="false">IF($B32="","",INDEX('CARNET DE SOUDURE'!$E$7:$E$3006,MATCH(21,'CARNET DE SOUDURE'!$AT$7:$AT$3006,0)))</f>
        <v>JN°782</v>
      </c>
      <c r="E32" s="125" t="n">
        <f aca="false">IF($B32="","",INDEX('CARNET DE SOUDURE'!$D$7:$D$3006,MATCH(21,'CARNET DE SOUDURE'!$AT$7:$AT$3006,0)))</f>
        <v>4</v>
      </c>
      <c r="F32" s="125" t="str">
        <f aca="false">IF($B32="","",INDEX('CARNET DE SOUDURE'!$R$7:$R$3006,MATCH(21,'CARNET DE SOUDURE'!$AT$7:$AT$3006,0))&amp;IF(INDEX('CARNET DE SOUDURE'!$S$7:$S$3006,MATCH(21,'CARNET DE SOUDURE'!$AT$7:$AT$3006,0))&lt;&gt;""," / "&amp;INDEX('CARNET DE SOUDURE'!$S$7:$S$3006,MATCH(21,'CARNET DE SOUDURE'!$AT$7:$AT$3006,0)),"")&amp;IF(INDEX('CARNET DE SOUDURE'!$T$7:$T$3006,MATCH(21,'CARNET DE SOUDURE'!$AT$7:$AT$3006,0))&lt;&gt;""," / "&amp;INDEX('CARNET DE SOUDURE'!$T$7:$T$3006,MATCH(21,'CARNET DE SOUDURE'!$AT$7:$AT$3006,0)),""))</f>
        <v>WR-46-51/33-45</v>
      </c>
      <c r="G32" s="126" t="n">
        <f aca="false">IF($B32="","",INDEX('CARNET DE SOUDURE'!$U$7:$U$3006,MATCH(21,'CARNET DE SOUDURE'!$AT$7:$AT$3006,0)))</f>
        <v>46290</v>
      </c>
      <c r="H32" s="127" t="str">
        <f aca="false">IF($B32="","",INDEX('CARNET DE SOUDURE'!$AQ$7:$AQ$3006,MATCH(21,'CARNET DE SOUDURE'!$AT$7:$AT$3006,0)))</f>
        <v>À RADIOGRAPHIER</v>
      </c>
      <c r="I32" s="128" t="n">
        <f aca="false">IF($B32="","",INDEX('CARNET DE SOUDURE'!$AO$7:$AO$3006,MATCH(21,'CARNET DE SOUDURE'!$AT$7:$AT$3006,0)))</f>
        <v>0</v>
      </c>
      <c r="J32" s="128" t="n">
        <f aca="false">IF($B32="","",INDEX('CARNET DE SOUDURE'!$AR$7:$AR$3006,MATCH(21,'CARNET DE SOUDURE'!$AT$7:$AT$3006,0)))</f>
        <v>3</v>
      </c>
      <c r="K32" s="129"/>
      <c r="L32" s="129"/>
    </row>
    <row r="33" customFormat="false" ht="15" hidden="false" customHeight="false" outlineLevel="0" collapsed="false">
      <c r="B33" s="130" t="n">
        <f aca="false">IF(22&gt;$I$4,"",22)</f>
        <v>22</v>
      </c>
      <c r="C33" s="130" t="str">
        <f aca="false">IF($B33="","",INDEX('CARNET DE SOUDURE'!$B$7:$B$3006,MATCH(22,'CARNET DE SOUDURE'!$AT$7:$AT$3006,0)))</f>
        <v>MFD-ISW → MFD-CPF</v>
      </c>
      <c r="D33" s="130" t="str">
        <f aca="false">IF($B33="","",INDEX('CARNET DE SOUDURE'!$E$7:$E$3006,MATCH(22,'CARNET DE SOUDURE'!$AT$7:$AT$3006,0)))</f>
        <v>JN°783</v>
      </c>
      <c r="E33" s="130" t="n">
        <f aca="false">IF($B33="","",INDEX('CARNET DE SOUDURE'!$D$7:$D$3006,MATCH(22,'CARNET DE SOUDURE'!$AT$7:$AT$3006,0)))</f>
        <v>4</v>
      </c>
      <c r="F33" s="130" t="str">
        <f aca="false">IF($B33="","",INDEX('CARNET DE SOUDURE'!$R$7:$R$3006,MATCH(22,'CARNET DE SOUDURE'!$AT$7:$AT$3006,0))&amp;IF(INDEX('CARNET DE SOUDURE'!$S$7:$S$3006,MATCH(22,'CARNET DE SOUDURE'!$AT$7:$AT$3006,0))&lt;&gt;""," / "&amp;INDEX('CARNET DE SOUDURE'!$S$7:$S$3006,MATCH(22,'CARNET DE SOUDURE'!$AT$7:$AT$3006,0)),"")&amp;IF(INDEX('CARNET DE SOUDURE'!$T$7:$T$3006,MATCH(22,'CARNET DE SOUDURE'!$AT$7:$AT$3006,0))&lt;&gt;""," / "&amp;INDEX('CARNET DE SOUDURE'!$T$7:$T$3006,MATCH(22,'CARNET DE SOUDURE'!$AT$7:$AT$3006,0)),""))</f>
        <v>WR-46-51/33-45</v>
      </c>
      <c r="G33" s="131" t="n">
        <f aca="false">IF($B33="","",INDEX('CARNET DE SOUDURE'!$U$7:$U$3006,MATCH(22,'CARNET DE SOUDURE'!$AT$7:$AT$3006,0)))</f>
        <v>46290</v>
      </c>
      <c r="H33" s="132" t="str">
        <f aca="false">IF($B33="","",INDEX('CARNET DE SOUDURE'!$AQ$7:$AQ$3006,MATCH(22,'CARNET DE SOUDURE'!$AT$7:$AT$3006,0)))</f>
        <v>À RADIOGRAPHIER</v>
      </c>
      <c r="I33" s="133" t="n">
        <f aca="false">IF($B33="","",INDEX('CARNET DE SOUDURE'!$AO$7:$AO$3006,MATCH(22,'CARNET DE SOUDURE'!$AT$7:$AT$3006,0)))</f>
        <v>0</v>
      </c>
      <c r="J33" s="133" t="n">
        <f aca="false">IF($B33="","",INDEX('CARNET DE SOUDURE'!$AR$7:$AR$3006,MATCH(22,'CARNET DE SOUDURE'!$AT$7:$AT$3006,0)))</f>
        <v>3</v>
      </c>
      <c r="K33" s="129"/>
      <c r="L33" s="129"/>
    </row>
    <row r="34" customFormat="false" ht="15" hidden="false" customHeight="false" outlineLevel="0" collapsed="false">
      <c r="B34" s="125" t="n">
        <f aca="false">IF(23&gt;$I$4,"",23)</f>
        <v>23</v>
      </c>
      <c r="C34" s="125" t="str">
        <f aca="false">IF($B34="","",INDEX('CARNET DE SOUDURE'!$B$7:$B$3006,MATCH(23,'CARNET DE SOUDURE'!$AT$7:$AT$3006,0)))</f>
        <v>MFD-ISW → MFD-CPF</v>
      </c>
      <c r="D34" s="125" t="str">
        <f aca="false">IF($B34="","",INDEX('CARNET DE SOUDURE'!$E$7:$E$3006,MATCH(23,'CARNET DE SOUDURE'!$AT$7:$AT$3006,0)))</f>
        <v>JN°784</v>
      </c>
      <c r="E34" s="125" t="n">
        <f aca="false">IF($B34="","",INDEX('CARNET DE SOUDURE'!$D$7:$D$3006,MATCH(23,'CARNET DE SOUDURE'!$AT$7:$AT$3006,0)))</f>
        <v>4</v>
      </c>
      <c r="F34" s="125" t="str">
        <f aca="false">IF($B34="","",INDEX('CARNET DE SOUDURE'!$R$7:$R$3006,MATCH(23,'CARNET DE SOUDURE'!$AT$7:$AT$3006,0))&amp;IF(INDEX('CARNET DE SOUDURE'!$S$7:$S$3006,MATCH(23,'CARNET DE SOUDURE'!$AT$7:$AT$3006,0))&lt;&gt;""," / "&amp;INDEX('CARNET DE SOUDURE'!$S$7:$S$3006,MATCH(23,'CARNET DE SOUDURE'!$AT$7:$AT$3006,0)),"")&amp;IF(INDEX('CARNET DE SOUDURE'!$T$7:$T$3006,MATCH(23,'CARNET DE SOUDURE'!$AT$7:$AT$3006,0))&lt;&gt;""," / "&amp;INDEX('CARNET DE SOUDURE'!$T$7:$T$3006,MATCH(23,'CARNET DE SOUDURE'!$AT$7:$AT$3006,0)),""))</f>
        <v>WR-46-51/33-45</v>
      </c>
      <c r="G34" s="126" t="n">
        <f aca="false">IF($B34="","",INDEX('CARNET DE SOUDURE'!$U$7:$U$3006,MATCH(23,'CARNET DE SOUDURE'!$AT$7:$AT$3006,0)))</f>
        <v>46290</v>
      </c>
      <c r="H34" s="127" t="str">
        <f aca="false">IF($B34="","",INDEX('CARNET DE SOUDURE'!$AQ$7:$AQ$3006,MATCH(23,'CARNET DE SOUDURE'!$AT$7:$AT$3006,0)))</f>
        <v>À RADIOGRAPHIER</v>
      </c>
      <c r="I34" s="128" t="n">
        <f aca="false">IF($B34="","",INDEX('CARNET DE SOUDURE'!$AO$7:$AO$3006,MATCH(23,'CARNET DE SOUDURE'!$AT$7:$AT$3006,0)))</f>
        <v>0</v>
      </c>
      <c r="J34" s="128" t="n">
        <f aca="false">IF($B34="","",INDEX('CARNET DE SOUDURE'!$AR$7:$AR$3006,MATCH(23,'CARNET DE SOUDURE'!$AT$7:$AT$3006,0)))</f>
        <v>3</v>
      </c>
      <c r="K34" s="129"/>
      <c r="L34" s="129"/>
    </row>
    <row r="35" customFormat="false" ht="15" hidden="false" customHeight="false" outlineLevel="0" collapsed="false">
      <c r="B35" s="130" t="n">
        <f aca="false">IF(24&gt;$I$4,"",24)</f>
        <v>24</v>
      </c>
      <c r="C35" s="130" t="str">
        <f aca="false">IF($B35="","",INDEX('CARNET DE SOUDURE'!$B$7:$B$3006,MATCH(24,'CARNET DE SOUDURE'!$AT$7:$AT$3006,0)))</f>
        <v>MFD-ISW → MFD-CPF</v>
      </c>
      <c r="D35" s="130" t="str">
        <f aca="false">IF($B35="","",INDEX('CARNET DE SOUDURE'!$E$7:$E$3006,MATCH(24,'CARNET DE SOUDURE'!$AT$7:$AT$3006,0)))</f>
        <v>JN°785</v>
      </c>
      <c r="E35" s="130" t="n">
        <f aca="false">IF($B35="","",INDEX('CARNET DE SOUDURE'!$D$7:$D$3006,MATCH(24,'CARNET DE SOUDURE'!$AT$7:$AT$3006,0)))</f>
        <v>4</v>
      </c>
      <c r="F35" s="130" t="str">
        <f aca="false">IF($B35="","",INDEX('CARNET DE SOUDURE'!$R$7:$R$3006,MATCH(24,'CARNET DE SOUDURE'!$AT$7:$AT$3006,0))&amp;IF(INDEX('CARNET DE SOUDURE'!$S$7:$S$3006,MATCH(24,'CARNET DE SOUDURE'!$AT$7:$AT$3006,0))&lt;&gt;""," / "&amp;INDEX('CARNET DE SOUDURE'!$S$7:$S$3006,MATCH(24,'CARNET DE SOUDURE'!$AT$7:$AT$3006,0)),"")&amp;IF(INDEX('CARNET DE SOUDURE'!$T$7:$T$3006,MATCH(24,'CARNET DE SOUDURE'!$AT$7:$AT$3006,0))&lt;&gt;""," / "&amp;INDEX('CARNET DE SOUDURE'!$T$7:$T$3006,MATCH(24,'CARNET DE SOUDURE'!$AT$7:$AT$3006,0)),""))</f>
        <v>WR-46-51/33-45</v>
      </c>
      <c r="G35" s="131" t="n">
        <f aca="false">IF($B35="","",INDEX('CARNET DE SOUDURE'!$U$7:$U$3006,MATCH(24,'CARNET DE SOUDURE'!$AT$7:$AT$3006,0)))</f>
        <v>46290</v>
      </c>
      <c r="H35" s="132" t="str">
        <f aca="false">IF($B35="","",INDEX('CARNET DE SOUDURE'!$AQ$7:$AQ$3006,MATCH(24,'CARNET DE SOUDURE'!$AT$7:$AT$3006,0)))</f>
        <v>À RADIOGRAPHIER</v>
      </c>
      <c r="I35" s="133" t="n">
        <f aca="false">IF($B35="","",INDEX('CARNET DE SOUDURE'!$AO$7:$AO$3006,MATCH(24,'CARNET DE SOUDURE'!$AT$7:$AT$3006,0)))</f>
        <v>0</v>
      </c>
      <c r="J35" s="133" t="n">
        <f aca="false">IF($B35="","",INDEX('CARNET DE SOUDURE'!$AR$7:$AR$3006,MATCH(24,'CARNET DE SOUDURE'!$AT$7:$AT$3006,0)))</f>
        <v>3</v>
      </c>
      <c r="K35" s="129"/>
      <c r="L35" s="129"/>
    </row>
    <row r="36" customFormat="false" ht="15" hidden="false" customHeight="false" outlineLevel="0" collapsed="false">
      <c r="B36" s="125" t="n">
        <f aca="false">IF(25&gt;$I$4,"",25)</f>
        <v>25</v>
      </c>
      <c r="C36" s="125" t="str">
        <f aca="false">IF($B36="","",INDEX('CARNET DE SOUDURE'!$B$7:$B$3006,MATCH(25,'CARNET DE SOUDURE'!$AT$7:$AT$3006,0)))</f>
        <v>MFD-ISW → MFD-CPF</v>
      </c>
      <c r="D36" s="125" t="str">
        <f aca="false">IF($B36="","",INDEX('CARNET DE SOUDURE'!$E$7:$E$3006,MATCH(25,'CARNET DE SOUDURE'!$AT$7:$AT$3006,0)))</f>
        <v>JN°786</v>
      </c>
      <c r="E36" s="125" t="n">
        <f aca="false">IF($B36="","",INDEX('CARNET DE SOUDURE'!$D$7:$D$3006,MATCH(25,'CARNET DE SOUDURE'!$AT$7:$AT$3006,0)))</f>
        <v>4</v>
      </c>
      <c r="F36" s="125" t="str">
        <f aca="false">IF($B36="","",INDEX('CARNET DE SOUDURE'!$R$7:$R$3006,MATCH(25,'CARNET DE SOUDURE'!$AT$7:$AT$3006,0))&amp;IF(INDEX('CARNET DE SOUDURE'!$S$7:$S$3006,MATCH(25,'CARNET DE SOUDURE'!$AT$7:$AT$3006,0))&lt;&gt;""," / "&amp;INDEX('CARNET DE SOUDURE'!$S$7:$S$3006,MATCH(25,'CARNET DE SOUDURE'!$AT$7:$AT$3006,0)),"")&amp;IF(INDEX('CARNET DE SOUDURE'!$T$7:$T$3006,MATCH(25,'CARNET DE SOUDURE'!$AT$7:$AT$3006,0))&lt;&gt;""," / "&amp;INDEX('CARNET DE SOUDURE'!$T$7:$T$3006,MATCH(25,'CARNET DE SOUDURE'!$AT$7:$AT$3006,0)),""))</f>
        <v>WR-46-51/33-45</v>
      </c>
      <c r="G36" s="126" t="n">
        <f aca="false">IF($B36="","",INDEX('CARNET DE SOUDURE'!$U$7:$U$3006,MATCH(25,'CARNET DE SOUDURE'!$AT$7:$AT$3006,0)))</f>
        <v>46290</v>
      </c>
      <c r="H36" s="127" t="str">
        <f aca="false">IF($B36="","",INDEX('CARNET DE SOUDURE'!$AQ$7:$AQ$3006,MATCH(25,'CARNET DE SOUDURE'!$AT$7:$AT$3006,0)))</f>
        <v>À RADIOGRAPHIER</v>
      </c>
      <c r="I36" s="128" t="n">
        <f aca="false">IF($B36="","",INDEX('CARNET DE SOUDURE'!$AO$7:$AO$3006,MATCH(25,'CARNET DE SOUDURE'!$AT$7:$AT$3006,0)))</f>
        <v>0</v>
      </c>
      <c r="J36" s="128" t="n">
        <f aca="false">IF($B36="","",INDEX('CARNET DE SOUDURE'!$AR$7:$AR$3006,MATCH(25,'CARNET DE SOUDURE'!$AT$7:$AT$3006,0)))</f>
        <v>3</v>
      </c>
      <c r="K36" s="129"/>
      <c r="L36" s="129"/>
    </row>
    <row r="37" customFormat="false" ht="15" hidden="false" customHeight="false" outlineLevel="0" collapsed="false">
      <c r="B37" s="130" t="n">
        <f aca="false">IF(26&gt;$I$4,"",26)</f>
        <v>26</v>
      </c>
      <c r="C37" s="130" t="str">
        <f aca="false">IF($B37="","",INDEX('CARNET DE SOUDURE'!$B$7:$B$3006,MATCH(26,'CARNET DE SOUDURE'!$AT$7:$AT$3006,0)))</f>
        <v>MFD-ISW → MFD-CPF</v>
      </c>
      <c r="D37" s="130" t="str">
        <f aca="false">IF($B37="","",INDEX('CARNET DE SOUDURE'!$E$7:$E$3006,MATCH(26,'CARNET DE SOUDURE'!$AT$7:$AT$3006,0)))</f>
        <v>JN°790</v>
      </c>
      <c r="E37" s="130" t="n">
        <f aca="false">IF($B37="","",INDEX('CARNET DE SOUDURE'!$D$7:$D$3006,MATCH(26,'CARNET DE SOUDURE'!$AT$7:$AT$3006,0)))</f>
        <v>4</v>
      </c>
      <c r="F37" s="130" t="str">
        <f aca="false">IF($B37="","",INDEX('CARNET DE SOUDURE'!$R$7:$R$3006,MATCH(26,'CARNET DE SOUDURE'!$AT$7:$AT$3006,0))&amp;IF(INDEX('CARNET DE SOUDURE'!$S$7:$S$3006,MATCH(26,'CARNET DE SOUDURE'!$AT$7:$AT$3006,0))&lt;&gt;""," / "&amp;INDEX('CARNET DE SOUDURE'!$S$7:$S$3006,MATCH(26,'CARNET DE SOUDURE'!$AT$7:$AT$3006,0)),"")&amp;IF(INDEX('CARNET DE SOUDURE'!$T$7:$T$3006,MATCH(26,'CARNET DE SOUDURE'!$AT$7:$AT$3006,0))&lt;&gt;""," / "&amp;INDEX('CARNET DE SOUDURE'!$T$7:$T$3006,MATCH(26,'CARNET DE SOUDURE'!$AT$7:$AT$3006,0)),""))</f>
        <v>WR-51-46</v>
      </c>
      <c r="G37" s="131" t="n">
        <f aca="false">IF($B37="","",INDEX('CARNET DE SOUDURE'!$U$7:$U$3006,MATCH(26,'CARNET DE SOUDURE'!$AT$7:$AT$3006,0)))</f>
        <v>46289</v>
      </c>
      <c r="H37" s="132" t="str">
        <f aca="false">IF($B37="","",INDEX('CARNET DE SOUDURE'!$AQ$7:$AQ$3006,MATCH(26,'CARNET DE SOUDURE'!$AT$7:$AT$3006,0)))</f>
        <v>À RADIOGRAPHIER</v>
      </c>
      <c r="I37" s="133" t="n">
        <f aca="false">IF($B37="","",INDEX('CARNET DE SOUDURE'!$AO$7:$AO$3006,MATCH(26,'CARNET DE SOUDURE'!$AT$7:$AT$3006,0)))</f>
        <v>0</v>
      </c>
      <c r="J37" s="133" t="n">
        <f aca="false">IF($B37="","",INDEX('CARNET DE SOUDURE'!$AR$7:$AR$3006,MATCH(26,'CARNET DE SOUDURE'!$AT$7:$AT$3006,0)))</f>
        <v>4</v>
      </c>
      <c r="K37" s="129"/>
      <c r="L37" s="129"/>
    </row>
    <row r="38" customFormat="false" ht="15" hidden="false" customHeight="false" outlineLevel="0" collapsed="false">
      <c r="B38" s="125" t="n">
        <f aca="false">IF(27&gt;$I$4,"",27)</f>
        <v>27</v>
      </c>
      <c r="C38" s="125" t="str">
        <f aca="false">IF($B38="","",INDEX('CARNET DE SOUDURE'!$B$7:$B$3006,MATCH(27,'CARNET DE SOUDURE'!$AT$7:$AT$3006,0)))</f>
        <v>MFD-ISW → MFD-CPF</v>
      </c>
      <c r="D38" s="125" t="str">
        <f aca="false">IF($B38="","",INDEX('CARNET DE SOUDURE'!$E$7:$E$3006,MATCH(27,'CARNET DE SOUDURE'!$AT$7:$AT$3006,0)))</f>
        <v>JN°791</v>
      </c>
      <c r="E38" s="125" t="n">
        <f aca="false">IF($B38="","",INDEX('CARNET DE SOUDURE'!$D$7:$D$3006,MATCH(27,'CARNET DE SOUDURE'!$AT$7:$AT$3006,0)))</f>
        <v>5</v>
      </c>
      <c r="F38" s="125" t="str">
        <f aca="false">IF($B38="","",INDEX('CARNET DE SOUDURE'!$R$7:$R$3006,MATCH(27,'CARNET DE SOUDURE'!$AT$7:$AT$3006,0))&amp;IF(INDEX('CARNET DE SOUDURE'!$S$7:$S$3006,MATCH(27,'CARNET DE SOUDURE'!$AT$7:$AT$3006,0))&lt;&gt;""," / "&amp;INDEX('CARNET DE SOUDURE'!$S$7:$S$3006,MATCH(27,'CARNET DE SOUDURE'!$AT$7:$AT$3006,0)),"")&amp;IF(INDEX('CARNET DE SOUDURE'!$T$7:$T$3006,MATCH(27,'CARNET DE SOUDURE'!$AT$7:$AT$3006,0))&lt;&gt;""," / "&amp;INDEX('CARNET DE SOUDURE'!$T$7:$T$3006,MATCH(27,'CARNET DE SOUDURE'!$AT$7:$AT$3006,0)),""))</f>
        <v>WR-51-46</v>
      </c>
      <c r="G38" s="126" t="n">
        <f aca="false">IF($B38="","",INDEX('CARNET DE SOUDURE'!$U$7:$U$3006,MATCH(27,'CARNET DE SOUDURE'!$AT$7:$AT$3006,0)))</f>
        <v>46289</v>
      </c>
      <c r="H38" s="127" t="str">
        <f aca="false">IF($B38="","",INDEX('CARNET DE SOUDURE'!$AQ$7:$AQ$3006,MATCH(27,'CARNET DE SOUDURE'!$AT$7:$AT$3006,0)))</f>
        <v>À RADIOGRAPHIER</v>
      </c>
      <c r="I38" s="128" t="n">
        <f aca="false">IF($B38="","",INDEX('CARNET DE SOUDURE'!$AO$7:$AO$3006,MATCH(27,'CARNET DE SOUDURE'!$AT$7:$AT$3006,0)))</f>
        <v>0</v>
      </c>
      <c r="J38" s="128" t="n">
        <f aca="false">IF($B38="","",INDEX('CARNET DE SOUDURE'!$AR$7:$AR$3006,MATCH(27,'CARNET DE SOUDURE'!$AT$7:$AT$3006,0)))</f>
        <v>4</v>
      </c>
      <c r="K38" s="129"/>
      <c r="L38" s="129"/>
    </row>
    <row r="39" customFormat="false" ht="15" hidden="false" customHeight="false" outlineLevel="0" collapsed="false">
      <c r="B39" s="130" t="n">
        <f aca="false">IF(28&gt;$I$4,"",28)</f>
        <v>28</v>
      </c>
      <c r="C39" s="130" t="str">
        <f aca="false">IF($B39="","",INDEX('CARNET DE SOUDURE'!$B$7:$B$3006,MATCH(28,'CARNET DE SOUDURE'!$AT$7:$AT$3006,0)))</f>
        <v>MFD-ISW → MFD-CPF</v>
      </c>
      <c r="D39" s="130" t="str">
        <f aca="false">IF($B39="","",INDEX('CARNET DE SOUDURE'!$E$7:$E$3006,MATCH(28,'CARNET DE SOUDURE'!$AT$7:$AT$3006,0)))</f>
        <v>JN°792</v>
      </c>
      <c r="E39" s="130" t="n">
        <f aca="false">IF($B39="","",INDEX('CARNET DE SOUDURE'!$D$7:$D$3006,MATCH(28,'CARNET DE SOUDURE'!$AT$7:$AT$3006,0)))</f>
        <v>5</v>
      </c>
      <c r="F39" s="130" t="str">
        <f aca="false">IF($B39="","",INDEX('CARNET DE SOUDURE'!$R$7:$R$3006,MATCH(28,'CARNET DE SOUDURE'!$AT$7:$AT$3006,0))&amp;IF(INDEX('CARNET DE SOUDURE'!$S$7:$S$3006,MATCH(28,'CARNET DE SOUDURE'!$AT$7:$AT$3006,0))&lt;&gt;""," / "&amp;INDEX('CARNET DE SOUDURE'!$S$7:$S$3006,MATCH(28,'CARNET DE SOUDURE'!$AT$7:$AT$3006,0)),"")&amp;IF(INDEX('CARNET DE SOUDURE'!$T$7:$T$3006,MATCH(28,'CARNET DE SOUDURE'!$AT$7:$AT$3006,0))&lt;&gt;""," / "&amp;INDEX('CARNET DE SOUDURE'!$T$7:$T$3006,MATCH(28,'CARNET DE SOUDURE'!$AT$7:$AT$3006,0)),""))</f>
        <v>WR-51-46</v>
      </c>
      <c r="G39" s="131" t="n">
        <f aca="false">IF($B39="","",INDEX('CARNET DE SOUDURE'!$U$7:$U$3006,MATCH(28,'CARNET DE SOUDURE'!$AT$7:$AT$3006,0)))</f>
        <v>46289</v>
      </c>
      <c r="H39" s="132" t="str">
        <f aca="false">IF($B39="","",INDEX('CARNET DE SOUDURE'!$AQ$7:$AQ$3006,MATCH(28,'CARNET DE SOUDURE'!$AT$7:$AT$3006,0)))</f>
        <v>À RADIOGRAPHIER</v>
      </c>
      <c r="I39" s="133" t="n">
        <f aca="false">IF($B39="","",INDEX('CARNET DE SOUDURE'!$AO$7:$AO$3006,MATCH(28,'CARNET DE SOUDURE'!$AT$7:$AT$3006,0)))</f>
        <v>0</v>
      </c>
      <c r="J39" s="133" t="n">
        <f aca="false">IF($B39="","",INDEX('CARNET DE SOUDURE'!$AR$7:$AR$3006,MATCH(28,'CARNET DE SOUDURE'!$AT$7:$AT$3006,0)))</f>
        <v>4</v>
      </c>
      <c r="K39" s="129"/>
      <c r="L39" s="129"/>
    </row>
    <row r="40" customFormat="false" ht="15" hidden="false" customHeight="false" outlineLevel="0" collapsed="false">
      <c r="B40" s="125" t="n">
        <f aca="false">IF(29&gt;$I$4,"",29)</f>
        <v>29</v>
      </c>
      <c r="C40" s="125" t="str">
        <f aca="false">IF($B40="","",INDEX('CARNET DE SOUDURE'!$B$7:$B$3006,MATCH(29,'CARNET DE SOUDURE'!$AT$7:$AT$3006,0)))</f>
        <v>MFD-ISW → MFD-CPF</v>
      </c>
      <c r="D40" s="125" t="str">
        <f aca="false">IF($B40="","",INDEX('CARNET DE SOUDURE'!$E$7:$E$3006,MATCH(29,'CARNET DE SOUDURE'!$AT$7:$AT$3006,0)))</f>
        <v>JN°793</v>
      </c>
      <c r="E40" s="125" t="n">
        <f aca="false">IF($B40="","",INDEX('CARNET DE SOUDURE'!$D$7:$D$3006,MATCH(29,'CARNET DE SOUDURE'!$AT$7:$AT$3006,0)))</f>
        <v>5</v>
      </c>
      <c r="F40" s="125" t="str">
        <f aca="false">IF($B40="","",INDEX('CARNET DE SOUDURE'!$R$7:$R$3006,MATCH(29,'CARNET DE SOUDURE'!$AT$7:$AT$3006,0))&amp;IF(INDEX('CARNET DE SOUDURE'!$S$7:$S$3006,MATCH(29,'CARNET DE SOUDURE'!$AT$7:$AT$3006,0))&lt;&gt;""," / "&amp;INDEX('CARNET DE SOUDURE'!$S$7:$S$3006,MATCH(29,'CARNET DE SOUDURE'!$AT$7:$AT$3006,0)),"")&amp;IF(INDEX('CARNET DE SOUDURE'!$T$7:$T$3006,MATCH(29,'CARNET DE SOUDURE'!$AT$7:$AT$3006,0))&lt;&gt;""," / "&amp;INDEX('CARNET DE SOUDURE'!$T$7:$T$3006,MATCH(29,'CARNET DE SOUDURE'!$AT$7:$AT$3006,0)),""))</f>
        <v>WR-51-46</v>
      </c>
      <c r="G40" s="126" t="n">
        <f aca="false">IF($B40="","",INDEX('CARNET DE SOUDURE'!$U$7:$U$3006,MATCH(29,'CARNET DE SOUDURE'!$AT$7:$AT$3006,0)))</f>
        <v>46289</v>
      </c>
      <c r="H40" s="127" t="str">
        <f aca="false">IF($B40="","",INDEX('CARNET DE SOUDURE'!$AQ$7:$AQ$3006,MATCH(29,'CARNET DE SOUDURE'!$AT$7:$AT$3006,0)))</f>
        <v>À RADIOGRAPHIER</v>
      </c>
      <c r="I40" s="128" t="n">
        <f aca="false">IF($B40="","",INDEX('CARNET DE SOUDURE'!$AO$7:$AO$3006,MATCH(29,'CARNET DE SOUDURE'!$AT$7:$AT$3006,0)))</f>
        <v>0</v>
      </c>
      <c r="J40" s="128" t="n">
        <f aca="false">IF($B40="","",INDEX('CARNET DE SOUDURE'!$AR$7:$AR$3006,MATCH(29,'CARNET DE SOUDURE'!$AT$7:$AT$3006,0)))</f>
        <v>4</v>
      </c>
      <c r="K40" s="129"/>
      <c r="L40" s="129"/>
    </row>
    <row r="41" customFormat="false" ht="15" hidden="false" customHeight="false" outlineLevel="0" collapsed="false">
      <c r="B41" s="130" t="n">
        <f aca="false">IF(30&gt;$I$4,"",30)</f>
        <v>30</v>
      </c>
      <c r="C41" s="130" t="str">
        <f aca="false">IF($B41="","",INDEX('CARNET DE SOUDURE'!$B$7:$B$3006,MATCH(30,'CARNET DE SOUDURE'!$AT$7:$AT$3006,0)))</f>
        <v>MFD-ISW → MFD-CPF</v>
      </c>
      <c r="D41" s="130" t="str">
        <f aca="false">IF($B41="","",INDEX('CARNET DE SOUDURE'!$E$7:$E$3006,MATCH(30,'CARNET DE SOUDURE'!$AT$7:$AT$3006,0)))</f>
        <v>JN°794</v>
      </c>
      <c r="E41" s="130" t="n">
        <f aca="false">IF($B41="","",INDEX('CARNET DE SOUDURE'!$D$7:$D$3006,MATCH(30,'CARNET DE SOUDURE'!$AT$7:$AT$3006,0)))</f>
        <v>5</v>
      </c>
      <c r="F41" s="130" t="str">
        <f aca="false">IF($B41="","",INDEX('CARNET DE SOUDURE'!$R$7:$R$3006,MATCH(30,'CARNET DE SOUDURE'!$AT$7:$AT$3006,0))&amp;IF(INDEX('CARNET DE SOUDURE'!$S$7:$S$3006,MATCH(30,'CARNET DE SOUDURE'!$AT$7:$AT$3006,0))&lt;&gt;""," / "&amp;INDEX('CARNET DE SOUDURE'!$S$7:$S$3006,MATCH(30,'CARNET DE SOUDURE'!$AT$7:$AT$3006,0)),"")&amp;IF(INDEX('CARNET DE SOUDURE'!$T$7:$T$3006,MATCH(30,'CARNET DE SOUDURE'!$AT$7:$AT$3006,0))&lt;&gt;""," / "&amp;INDEX('CARNET DE SOUDURE'!$T$7:$T$3006,MATCH(30,'CARNET DE SOUDURE'!$AT$7:$AT$3006,0)),""))</f>
        <v>WR-51-46</v>
      </c>
      <c r="G41" s="131" t="n">
        <f aca="false">IF($B41="","",INDEX('CARNET DE SOUDURE'!$U$7:$U$3006,MATCH(30,'CARNET DE SOUDURE'!$AT$7:$AT$3006,0)))</f>
        <v>46289</v>
      </c>
      <c r="H41" s="132" t="str">
        <f aca="false">IF($B41="","",INDEX('CARNET DE SOUDURE'!$AQ$7:$AQ$3006,MATCH(30,'CARNET DE SOUDURE'!$AT$7:$AT$3006,0)))</f>
        <v>À RADIOGRAPHIER</v>
      </c>
      <c r="I41" s="133" t="n">
        <f aca="false">IF($B41="","",INDEX('CARNET DE SOUDURE'!$AO$7:$AO$3006,MATCH(30,'CARNET DE SOUDURE'!$AT$7:$AT$3006,0)))</f>
        <v>0</v>
      </c>
      <c r="J41" s="133" t="n">
        <f aca="false">IF($B41="","",INDEX('CARNET DE SOUDURE'!$AR$7:$AR$3006,MATCH(30,'CARNET DE SOUDURE'!$AT$7:$AT$3006,0)))</f>
        <v>4</v>
      </c>
      <c r="K41" s="129"/>
      <c r="L41" s="129"/>
    </row>
    <row r="42" customFormat="false" ht="15" hidden="false" customHeight="false" outlineLevel="0" collapsed="false">
      <c r="B42" s="125" t="n">
        <f aca="false">IF(31&gt;$I$4,"",31)</f>
        <v>31</v>
      </c>
      <c r="C42" s="125" t="str">
        <f aca="false">IF($B42="","",INDEX('CARNET DE SOUDURE'!$B$7:$B$3006,MATCH(31,'CARNET DE SOUDURE'!$AT$7:$AT$3006,0)))</f>
        <v>MFD-ISW → MFD-CPF</v>
      </c>
      <c r="D42" s="125" t="str">
        <f aca="false">IF($B42="","",INDEX('CARNET DE SOUDURE'!$E$7:$E$3006,MATCH(31,'CARNET DE SOUDURE'!$AT$7:$AT$3006,0)))</f>
        <v>JN°795</v>
      </c>
      <c r="E42" s="125" t="n">
        <f aca="false">IF($B42="","",INDEX('CARNET DE SOUDURE'!$D$7:$D$3006,MATCH(31,'CARNET DE SOUDURE'!$AT$7:$AT$3006,0)))</f>
        <v>5</v>
      </c>
      <c r="F42" s="125" t="str">
        <f aca="false">IF($B42="","",INDEX('CARNET DE SOUDURE'!$R$7:$R$3006,MATCH(31,'CARNET DE SOUDURE'!$AT$7:$AT$3006,0))&amp;IF(INDEX('CARNET DE SOUDURE'!$S$7:$S$3006,MATCH(31,'CARNET DE SOUDURE'!$AT$7:$AT$3006,0))&lt;&gt;""," / "&amp;INDEX('CARNET DE SOUDURE'!$S$7:$S$3006,MATCH(31,'CARNET DE SOUDURE'!$AT$7:$AT$3006,0)),"")&amp;IF(INDEX('CARNET DE SOUDURE'!$T$7:$T$3006,MATCH(31,'CARNET DE SOUDURE'!$AT$7:$AT$3006,0))&lt;&gt;""," / "&amp;INDEX('CARNET DE SOUDURE'!$T$7:$T$3006,MATCH(31,'CARNET DE SOUDURE'!$AT$7:$AT$3006,0)),""))</f>
        <v>WR-51-45/46-33</v>
      </c>
      <c r="G42" s="126" t="n">
        <f aca="false">IF($B42="","",INDEX('CARNET DE SOUDURE'!$U$7:$U$3006,MATCH(31,'CARNET DE SOUDURE'!$AT$7:$AT$3006,0)))</f>
        <v>46289</v>
      </c>
      <c r="H42" s="127" t="str">
        <f aca="false">IF($B42="","",INDEX('CARNET DE SOUDURE'!$AQ$7:$AQ$3006,MATCH(31,'CARNET DE SOUDURE'!$AT$7:$AT$3006,0)))</f>
        <v>À RADIOGRAPHIER</v>
      </c>
      <c r="I42" s="128" t="n">
        <f aca="false">IF($B42="","",INDEX('CARNET DE SOUDURE'!$AO$7:$AO$3006,MATCH(31,'CARNET DE SOUDURE'!$AT$7:$AT$3006,0)))</f>
        <v>0</v>
      </c>
      <c r="J42" s="128" t="n">
        <f aca="false">IF($B42="","",INDEX('CARNET DE SOUDURE'!$AR$7:$AR$3006,MATCH(31,'CARNET DE SOUDURE'!$AT$7:$AT$3006,0)))</f>
        <v>4</v>
      </c>
      <c r="K42" s="129"/>
      <c r="L42" s="129"/>
    </row>
    <row r="43" customFormat="false" ht="15" hidden="false" customHeight="false" outlineLevel="0" collapsed="false">
      <c r="B43" s="130" t="n">
        <f aca="false">IF(32&gt;$I$4,"",32)</f>
        <v>32</v>
      </c>
      <c r="C43" s="130" t="str">
        <f aca="false">IF($B43="","",INDEX('CARNET DE SOUDURE'!$B$7:$B$3006,MATCH(32,'CARNET DE SOUDURE'!$AT$7:$AT$3006,0)))</f>
        <v>MFD-ISW → MFD-CPF</v>
      </c>
      <c r="D43" s="130" t="str">
        <f aca="false">IF($B43="","",INDEX('CARNET DE SOUDURE'!$E$7:$E$3006,MATCH(32,'CARNET DE SOUDURE'!$AT$7:$AT$3006,0)))</f>
        <v>JN°796</v>
      </c>
      <c r="E43" s="130" t="n">
        <f aca="false">IF($B43="","",INDEX('CARNET DE SOUDURE'!$D$7:$D$3006,MATCH(32,'CARNET DE SOUDURE'!$AT$7:$AT$3006,0)))</f>
        <v>5</v>
      </c>
      <c r="F43" s="130" t="str">
        <f aca="false">IF($B43="","",INDEX('CARNET DE SOUDURE'!$R$7:$R$3006,MATCH(32,'CARNET DE SOUDURE'!$AT$7:$AT$3006,0))&amp;IF(INDEX('CARNET DE SOUDURE'!$S$7:$S$3006,MATCH(32,'CARNET DE SOUDURE'!$AT$7:$AT$3006,0))&lt;&gt;""," / "&amp;INDEX('CARNET DE SOUDURE'!$S$7:$S$3006,MATCH(32,'CARNET DE SOUDURE'!$AT$7:$AT$3006,0)),"")&amp;IF(INDEX('CARNET DE SOUDURE'!$T$7:$T$3006,MATCH(32,'CARNET DE SOUDURE'!$AT$7:$AT$3006,0))&lt;&gt;""," / "&amp;INDEX('CARNET DE SOUDURE'!$T$7:$T$3006,MATCH(32,'CARNET DE SOUDURE'!$AT$7:$AT$3006,0)),""))</f>
        <v>WR-51-45/46-33</v>
      </c>
      <c r="G43" s="131" t="n">
        <f aca="false">IF($B43="","",INDEX('CARNET DE SOUDURE'!$U$7:$U$3006,MATCH(32,'CARNET DE SOUDURE'!$AT$7:$AT$3006,0)))</f>
        <v>46289</v>
      </c>
      <c r="H43" s="132" t="str">
        <f aca="false">IF($B43="","",INDEX('CARNET DE SOUDURE'!$AQ$7:$AQ$3006,MATCH(32,'CARNET DE SOUDURE'!$AT$7:$AT$3006,0)))</f>
        <v>À RADIOGRAPHIER</v>
      </c>
      <c r="I43" s="133" t="n">
        <f aca="false">IF($B43="","",INDEX('CARNET DE SOUDURE'!$AO$7:$AO$3006,MATCH(32,'CARNET DE SOUDURE'!$AT$7:$AT$3006,0)))</f>
        <v>0</v>
      </c>
      <c r="J43" s="133" t="n">
        <f aca="false">IF($B43="","",INDEX('CARNET DE SOUDURE'!$AR$7:$AR$3006,MATCH(32,'CARNET DE SOUDURE'!$AT$7:$AT$3006,0)))</f>
        <v>4</v>
      </c>
      <c r="K43" s="129"/>
      <c r="L43" s="129"/>
    </row>
    <row r="44" customFormat="false" ht="15" hidden="false" customHeight="false" outlineLevel="0" collapsed="false">
      <c r="B44" s="125" t="n">
        <f aca="false">IF(33&gt;$I$4,"",33)</f>
        <v>33</v>
      </c>
      <c r="C44" s="125" t="str">
        <f aca="false">IF($B44="","",INDEX('CARNET DE SOUDURE'!$B$7:$B$3006,MATCH(33,'CARNET DE SOUDURE'!$AT$7:$AT$3006,0)))</f>
        <v>MFD-ISW → MFD-CPF</v>
      </c>
      <c r="D44" s="125" t="str">
        <f aca="false">IF($B44="","",INDEX('CARNET DE SOUDURE'!$E$7:$E$3006,MATCH(33,'CARNET DE SOUDURE'!$AT$7:$AT$3006,0)))</f>
        <v>JN°797</v>
      </c>
      <c r="E44" s="125" t="n">
        <f aca="false">IF($B44="","",INDEX('CARNET DE SOUDURE'!$D$7:$D$3006,MATCH(33,'CARNET DE SOUDURE'!$AT$7:$AT$3006,0)))</f>
        <v>5</v>
      </c>
      <c r="F44" s="125" t="str">
        <f aca="false">IF($B44="","",INDEX('CARNET DE SOUDURE'!$R$7:$R$3006,MATCH(33,'CARNET DE SOUDURE'!$AT$7:$AT$3006,0))&amp;IF(INDEX('CARNET DE SOUDURE'!$S$7:$S$3006,MATCH(33,'CARNET DE SOUDURE'!$AT$7:$AT$3006,0))&lt;&gt;""," / "&amp;INDEX('CARNET DE SOUDURE'!$S$7:$S$3006,MATCH(33,'CARNET DE SOUDURE'!$AT$7:$AT$3006,0)),"")&amp;IF(INDEX('CARNET DE SOUDURE'!$T$7:$T$3006,MATCH(33,'CARNET DE SOUDURE'!$AT$7:$AT$3006,0))&lt;&gt;""," / "&amp;INDEX('CARNET DE SOUDURE'!$T$7:$T$3006,MATCH(33,'CARNET DE SOUDURE'!$AT$7:$AT$3006,0)),""))</f>
        <v>WR-51-45/46-33</v>
      </c>
      <c r="G44" s="126" t="n">
        <f aca="false">IF($B44="","",INDEX('CARNET DE SOUDURE'!$U$7:$U$3006,MATCH(33,'CARNET DE SOUDURE'!$AT$7:$AT$3006,0)))</f>
        <v>46289</v>
      </c>
      <c r="H44" s="127" t="str">
        <f aca="false">IF($B44="","",INDEX('CARNET DE SOUDURE'!$AQ$7:$AQ$3006,MATCH(33,'CARNET DE SOUDURE'!$AT$7:$AT$3006,0)))</f>
        <v>À RADIOGRAPHIER</v>
      </c>
      <c r="I44" s="128" t="n">
        <f aca="false">IF($B44="","",INDEX('CARNET DE SOUDURE'!$AO$7:$AO$3006,MATCH(33,'CARNET DE SOUDURE'!$AT$7:$AT$3006,0)))</f>
        <v>0</v>
      </c>
      <c r="J44" s="128" t="n">
        <f aca="false">IF($B44="","",INDEX('CARNET DE SOUDURE'!$AR$7:$AR$3006,MATCH(33,'CARNET DE SOUDURE'!$AT$7:$AT$3006,0)))</f>
        <v>4</v>
      </c>
      <c r="K44" s="129"/>
      <c r="L44" s="129"/>
    </row>
    <row r="45" customFormat="false" ht="15" hidden="false" customHeight="false" outlineLevel="0" collapsed="false">
      <c r="B45" s="130" t="n">
        <f aca="false">IF(34&gt;$I$4,"",34)</f>
        <v>34</v>
      </c>
      <c r="C45" s="130" t="str">
        <f aca="false">IF($B45="","",INDEX('CARNET DE SOUDURE'!$B$7:$B$3006,MATCH(34,'CARNET DE SOUDURE'!$AT$7:$AT$3006,0)))</f>
        <v>MFD-ISW → MFD-CPF</v>
      </c>
      <c r="D45" s="130" t="str">
        <f aca="false">IF($B45="","",INDEX('CARNET DE SOUDURE'!$E$7:$E$3006,MATCH(34,'CARNET DE SOUDURE'!$AT$7:$AT$3006,0)))</f>
        <v>JN°798</v>
      </c>
      <c r="E45" s="130" t="n">
        <f aca="false">IF($B45="","",INDEX('CARNET DE SOUDURE'!$D$7:$D$3006,MATCH(34,'CARNET DE SOUDURE'!$AT$7:$AT$3006,0)))</f>
        <v>5</v>
      </c>
      <c r="F45" s="130" t="str">
        <f aca="false">IF($B45="","",INDEX('CARNET DE SOUDURE'!$R$7:$R$3006,MATCH(34,'CARNET DE SOUDURE'!$AT$7:$AT$3006,0))&amp;IF(INDEX('CARNET DE SOUDURE'!$S$7:$S$3006,MATCH(34,'CARNET DE SOUDURE'!$AT$7:$AT$3006,0))&lt;&gt;""," / "&amp;INDEX('CARNET DE SOUDURE'!$S$7:$S$3006,MATCH(34,'CARNET DE SOUDURE'!$AT$7:$AT$3006,0)),"")&amp;IF(INDEX('CARNET DE SOUDURE'!$T$7:$T$3006,MATCH(34,'CARNET DE SOUDURE'!$AT$7:$AT$3006,0))&lt;&gt;""," / "&amp;INDEX('CARNET DE SOUDURE'!$T$7:$T$3006,MATCH(34,'CARNET DE SOUDURE'!$AT$7:$AT$3006,0)),""))</f>
        <v>WR-51-45/46-33</v>
      </c>
      <c r="G45" s="131" t="n">
        <f aca="false">IF($B45="","",INDEX('CARNET DE SOUDURE'!$U$7:$U$3006,MATCH(34,'CARNET DE SOUDURE'!$AT$7:$AT$3006,0)))</f>
        <v>46289</v>
      </c>
      <c r="H45" s="132" t="str">
        <f aca="false">IF($B45="","",INDEX('CARNET DE SOUDURE'!$AQ$7:$AQ$3006,MATCH(34,'CARNET DE SOUDURE'!$AT$7:$AT$3006,0)))</f>
        <v>À RADIOGRAPHIER</v>
      </c>
      <c r="I45" s="133" t="n">
        <f aca="false">IF($B45="","",INDEX('CARNET DE SOUDURE'!$AO$7:$AO$3006,MATCH(34,'CARNET DE SOUDURE'!$AT$7:$AT$3006,0)))</f>
        <v>0</v>
      </c>
      <c r="J45" s="133" t="n">
        <f aca="false">IF($B45="","",INDEX('CARNET DE SOUDURE'!$AR$7:$AR$3006,MATCH(34,'CARNET DE SOUDURE'!$AT$7:$AT$3006,0)))</f>
        <v>4</v>
      </c>
      <c r="K45" s="129"/>
      <c r="L45" s="129"/>
    </row>
    <row r="46" customFormat="false" ht="15" hidden="false" customHeight="false" outlineLevel="0" collapsed="false">
      <c r="B46" s="125" t="n">
        <f aca="false">IF(35&gt;$I$4,"",35)</f>
        <v>35</v>
      </c>
      <c r="C46" s="125" t="str">
        <f aca="false">IF($B46="","",INDEX('CARNET DE SOUDURE'!$B$7:$B$3006,MATCH(35,'CARNET DE SOUDURE'!$AT$7:$AT$3006,0)))</f>
        <v>MFD-ISW → MFD-CPF</v>
      </c>
      <c r="D46" s="125" t="str">
        <f aca="false">IF($B46="","",INDEX('CARNET DE SOUDURE'!$E$7:$E$3006,MATCH(35,'CARNET DE SOUDURE'!$AT$7:$AT$3006,0)))</f>
        <v>JN°799</v>
      </c>
      <c r="E46" s="125" t="n">
        <f aca="false">IF($B46="","",INDEX('CARNET DE SOUDURE'!$D$7:$D$3006,MATCH(35,'CARNET DE SOUDURE'!$AT$7:$AT$3006,0)))</f>
        <v>5</v>
      </c>
      <c r="F46" s="125" t="str">
        <f aca="false">IF($B46="","",INDEX('CARNET DE SOUDURE'!$R$7:$R$3006,MATCH(35,'CARNET DE SOUDURE'!$AT$7:$AT$3006,0))&amp;IF(INDEX('CARNET DE SOUDURE'!$S$7:$S$3006,MATCH(35,'CARNET DE SOUDURE'!$AT$7:$AT$3006,0))&lt;&gt;""," / "&amp;INDEX('CARNET DE SOUDURE'!$S$7:$S$3006,MATCH(35,'CARNET DE SOUDURE'!$AT$7:$AT$3006,0)),"")&amp;IF(INDEX('CARNET DE SOUDURE'!$T$7:$T$3006,MATCH(35,'CARNET DE SOUDURE'!$AT$7:$AT$3006,0))&lt;&gt;""," / "&amp;INDEX('CARNET DE SOUDURE'!$T$7:$T$3006,MATCH(35,'CARNET DE SOUDURE'!$AT$7:$AT$3006,0)),""))</f>
        <v>WR-51-45/46-33</v>
      </c>
      <c r="G46" s="126" t="n">
        <f aca="false">IF($B46="","",INDEX('CARNET DE SOUDURE'!$U$7:$U$3006,MATCH(35,'CARNET DE SOUDURE'!$AT$7:$AT$3006,0)))</f>
        <v>46289</v>
      </c>
      <c r="H46" s="127" t="str">
        <f aca="false">IF($B46="","",INDEX('CARNET DE SOUDURE'!$AQ$7:$AQ$3006,MATCH(35,'CARNET DE SOUDURE'!$AT$7:$AT$3006,0)))</f>
        <v>À RADIOGRAPHIER</v>
      </c>
      <c r="I46" s="128" t="n">
        <f aca="false">IF($B46="","",INDEX('CARNET DE SOUDURE'!$AO$7:$AO$3006,MATCH(35,'CARNET DE SOUDURE'!$AT$7:$AT$3006,0)))</f>
        <v>0</v>
      </c>
      <c r="J46" s="128" t="n">
        <f aca="false">IF($B46="","",INDEX('CARNET DE SOUDURE'!$AR$7:$AR$3006,MATCH(35,'CARNET DE SOUDURE'!$AT$7:$AT$3006,0)))</f>
        <v>4</v>
      </c>
      <c r="K46" s="129"/>
      <c r="L46" s="129"/>
    </row>
    <row r="47" customFormat="false" ht="15" hidden="false" customHeight="false" outlineLevel="0" collapsed="false">
      <c r="B47" s="130" t="n">
        <f aca="false">IF(36&gt;$I$4,"",36)</f>
        <v>36</v>
      </c>
      <c r="C47" s="130" t="str">
        <f aca="false">IF($B47="","",INDEX('CARNET DE SOUDURE'!$B$7:$B$3006,MATCH(36,'CARNET DE SOUDURE'!$AT$7:$AT$3006,0)))</f>
        <v>MFD-ISW → MFD-CPF</v>
      </c>
      <c r="D47" s="130" t="str">
        <f aca="false">IF($B47="","",INDEX('CARNET DE SOUDURE'!$E$7:$E$3006,MATCH(36,'CARNET DE SOUDURE'!$AT$7:$AT$3006,0)))</f>
        <v>JN°800</v>
      </c>
      <c r="E47" s="130" t="n">
        <f aca="false">IF($B47="","",INDEX('CARNET DE SOUDURE'!$D$7:$D$3006,MATCH(36,'CARNET DE SOUDURE'!$AT$7:$AT$3006,0)))</f>
        <v>5</v>
      </c>
      <c r="F47" s="130" t="str">
        <f aca="false">IF($B47="","",INDEX('CARNET DE SOUDURE'!$R$7:$R$3006,MATCH(36,'CARNET DE SOUDURE'!$AT$7:$AT$3006,0))&amp;IF(INDEX('CARNET DE SOUDURE'!$S$7:$S$3006,MATCH(36,'CARNET DE SOUDURE'!$AT$7:$AT$3006,0))&lt;&gt;""," / "&amp;INDEX('CARNET DE SOUDURE'!$S$7:$S$3006,MATCH(36,'CARNET DE SOUDURE'!$AT$7:$AT$3006,0)),"")&amp;IF(INDEX('CARNET DE SOUDURE'!$T$7:$T$3006,MATCH(36,'CARNET DE SOUDURE'!$AT$7:$AT$3006,0))&lt;&gt;""," / "&amp;INDEX('CARNET DE SOUDURE'!$T$7:$T$3006,MATCH(36,'CARNET DE SOUDURE'!$AT$7:$AT$3006,0)),""))</f>
        <v>WR-51-45/46-33</v>
      </c>
      <c r="G47" s="131" t="n">
        <f aca="false">IF($B47="","",INDEX('CARNET DE SOUDURE'!$U$7:$U$3006,MATCH(36,'CARNET DE SOUDURE'!$AT$7:$AT$3006,0)))</f>
        <v>46289</v>
      </c>
      <c r="H47" s="132" t="str">
        <f aca="false">IF($B47="","",INDEX('CARNET DE SOUDURE'!$AQ$7:$AQ$3006,MATCH(36,'CARNET DE SOUDURE'!$AT$7:$AT$3006,0)))</f>
        <v>À RADIOGRAPHIER</v>
      </c>
      <c r="I47" s="133" t="n">
        <f aca="false">IF($B47="","",INDEX('CARNET DE SOUDURE'!$AO$7:$AO$3006,MATCH(36,'CARNET DE SOUDURE'!$AT$7:$AT$3006,0)))</f>
        <v>0</v>
      </c>
      <c r="J47" s="133" t="n">
        <f aca="false">IF($B47="","",INDEX('CARNET DE SOUDURE'!$AR$7:$AR$3006,MATCH(36,'CARNET DE SOUDURE'!$AT$7:$AT$3006,0)))</f>
        <v>4</v>
      </c>
      <c r="K47" s="129"/>
      <c r="L47" s="129"/>
    </row>
    <row r="48" customFormat="false" ht="15" hidden="false" customHeight="false" outlineLevel="0" collapsed="false">
      <c r="B48" s="125" t="n">
        <f aca="false">IF(37&gt;$I$4,"",37)</f>
        <v>37</v>
      </c>
      <c r="C48" s="125" t="str">
        <f aca="false">IF($B48="","",INDEX('CARNET DE SOUDURE'!$B$7:$B$3006,MATCH(37,'CARNET DE SOUDURE'!$AT$7:$AT$3006,0)))</f>
        <v>MFD-ISW → MFD-CPF</v>
      </c>
      <c r="D48" s="125" t="str">
        <f aca="false">IF($B48="","",INDEX('CARNET DE SOUDURE'!$E$7:$E$3006,MATCH(37,'CARNET DE SOUDURE'!$AT$7:$AT$3006,0)))</f>
        <v>JN°801</v>
      </c>
      <c r="E48" s="125" t="n">
        <f aca="false">IF($B48="","",INDEX('CARNET DE SOUDURE'!$D$7:$D$3006,MATCH(37,'CARNET DE SOUDURE'!$AT$7:$AT$3006,0)))</f>
        <v>5</v>
      </c>
      <c r="F48" s="125" t="str">
        <f aca="false">IF($B48="","",INDEX('CARNET DE SOUDURE'!$R$7:$R$3006,MATCH(37,'CARNET DE SOUDURE'!$AT$7:$AT$3006,0))&amp;IF(INDEX('CARNET DE SOUDURE'!$S$7:$S$3006,MATCH(37,'CARNET DE SOUDURE'!$AT$7:$AT$3006,0))&lt;&gt;""," / "&amp;INDEX('CARNET DE SOUDURE'!$S$7:$S$3006,MATCH(37,'CARNET DE SOUDURE'!$AT$7:$AT$3006,0)),"")&amp;IF(INDEX('CARNET DE SOUDURE'!$T$7:$T$3006,MATCH(37,'CARNET DE SOUDURE'!$AT$7:$AT$3006,0))&lt;&gt;""," / "&amp;INDEX('CARNET DE SOUDURE'!$T$7:$T$3006,MATCH(37,'CARNET DE SOUDURE'!$AT$7:$AT$3006,0)),""))</f>
        <v>WR-46-51/33-45</v>
      </c>
      <c r="G48" s="126" t="n">
        <f aca="false">IF($B48="","",INDEX('CARNET DE SOUDURE'!$U$7:$U$3006,MATCH(37,'CARNET DE SOUDURE'!$AT$7:$AT$3006,0)))</f>
        <v>46289</v>
      </c>
      <c r="H48" s="127" t="str">
        <f aca="false">IF($B48="","",INDEX('CARNET DE SOUDURE'!$AQ$7:$AQ$3006,MATCH(37,'CARNET DE SOUDURE'!$AT$7:$AT$3006,0)))</f>
        <v>À RADIOGRAPHIER</v>
      </c>
      <c r="I48" s="128" t="n">
        <f aca="false">IF($B48="","",INDEX('CARNET DE SOUDURE'!$AO$7:$AO$3006,MATCH(37,'CARNET DE SOUDURE'!$AT$7:$AT$3006,0)))</f>
        <v>0</v>
      </c>
      <c r="J48" s="128" t="n">
        <f aca="false">IF($B48="","",INDEX('CARNET DE SOUDURE'!$AR$7:$AR$3006,MATCH(37,'CARNET DE SOUDURE'!$AT$7:$AT$3006,0)))</f>
        <v>4</v>
      </c>
      <c r="K48" s="129"/>
      <c r="L48" s="129"/>
    </row>
    <row r="49" customFormat="false" ht="15" hidden="false" customHeight="false" outlineLevel="0" collapsed="false">
      <c r="B49" s="130" t="n">
        <f aca="false">IF(38&gt;$I$4,"",38)</f>
        <v>38</v>
      </c>
      <c r="C49" s="130" t="str">
        <f aca="false">IF($B49="","",INDEX('CARNET DE SOUDURE'!$B$7:$B$3006,MATCH(38,'CARNET DE SOUDURE'!$AT$7:$AT$3006,0)))</f>
        <v>MFD-ISW → MFD-CPF</v>
      </c>
      <c r="D49" s="130" t="str">
        <f aca="false">IF($B49="","",INDEX('CARNET DE SOUDURE'!$E$7:$E$3006,MATCH(38,'CARNET DE SOUDURE'!$AT$7:$AT$3006,0)))</f>
        <v>JN°802</v>
      </c>
      <c r="E49" s="130" t="n">
        <f aca="false">IF($B49="","",INDEX('CARNET DE SOUDURE'!$D$7:$D$3006,MATCH(38,'CARNET DE SOUDURE'!$AT$7:$AT$3006,0)))</f>
        <v>5</v>
      </c>
      <c r="F49" s="130" t="str">
        <f aca="false">IF($B49="","",INDEX('CARNET DE SOUDURE'!$R$7:$R$3006,MATCH(38,'CARNET DE SOUDURE'!$AT$7:$AT$3006,0))&amp;IF(INDEX('CARNET DE SOUDURE'!$S$7:$S$3006,MATCH(38,'CARNET DE SOUDURE'!$AT$7:$AT$3006,0))&lt;&gt;""," / "&amp;INDEX('CARNET DE SOUDURE'!$S$7:$S$3006,MATCH(38,'CARNET DE SOUDURE'!$AT$7:$AT$3006,0)),"")&amp;IF(INDEX('CARNET DE SOUDURE'!$T$7:$T$3006,MATCH(38,'CARNET DE SOUDURE'!$AT$7:$AT$3006,0))&lt;&gt;""," / "&amp;INDEX('CARNET DE SOUDURE'!$T$7:$T$3006,MATCH(38,'CARNET DE SOUDURE'!$AT$7:$AT$3006,0)),""))</f>
        <v>WR-46-51/33-45</v>
      </c>
      <c r="G49" s="131" t="n">
        <f aca="false">IF($B49="","",INDEX('CARNET DE SOUDURE'!$U$7:$U$3006,MATCH(38,'CARNET DE SOUDURE'!$AT$7:$AT$3006,0)))</f>
        <v>46289</v>
      </c>
      <c r="H49" s="132" t="str">
        <f aca="false">IF($B49="","",INDEX('CARNET DE SOUDURE'!$AQ$7:$AQ$3006,MATCH(38,'CARNET DE SOUDURE'!$AT$7:$AT$3006,0)))</f>
        <v>À RADIOGRAPHIER</v>
      </c>
      <c r="I49" s="133" t="n">
        <f aca="false">IF($B49="","",INDEX('CARNET DE SOUDURE'!$AO$7:$AO$3006,MATCH(38,'CARNET DE SOUDURE'!$AT$7:$AT$3006,0)))</f>
        <v>0</v>
      </c>
      <c r="J49" s="133" t="n">
        <f aca="false">IF($B49="","",INDEX('CARNET DE SOUDURE'!$AR$7:$AR$3006,MATCH(38,'CARNET DE SOUDURE'!$AT$7:$AT$3006,0)))</f>
        <v>4</v>
      </c>
      <c r="K49" s="129"/>
      <c r="L49" s="129"/>
    </row>
    <row r="50" customFormat="false" ht="15" hidden="false" customHeight="false" outlineLevel="0" collapsed="false">
      <c r="B50" s="125" t="n">
        <f aca="false">IF(39&gt;$I$4,"",39)</f>
        <v>39</v>
      </c>
      <c r="C50" s="125" t="str">
        <f aca="false">IF($B50="","",INDEX('CARNET DE SOUDURE'!$B$7:$B$3006,MATCH(39,'CARNET DE SOUDURE'!$AT$7:$AT$3006,0)))</f>
        <v>MFD-ISW → MFD-CPF</v>
      </c>
      <c r="D50" s="125" t="str">
        <f aca="false">IF($B50="","",INDEX('CARNET DE SOUDURE'!$E$7:$E$3006,MATCH(39,'CARNET DE SOUDURE'!$AT$7:$AT$3006,0)))</f>
        <v>JN°803</v>
      </c>
      <c r="E50" s="125" t="n">
        <f aca="false">IF($B50="","",INDEX('CARNET DE SOUDURE'!$D$7:$D$3006,MATCH(39,'CARNET DE SOUDURE'!$AT$7:$AT$3006,0)))</f>
        <v>5</v>
      </c>
      <c r="F50" s="125" t="str">
        <f aca="false">IF($B50="","",INDEX('CARNET DE SOUDURE'!$R$7:$R$3006,MATCH(39,'CARNET DE SOUDURE'!$AT$7:$AT$3006,0))&amp;IF(INDEX('CARNET DE SOUDURE'!$S$7:$S$3006,MATCH(39,'CARNET DE SOUDURE'!$AT$7:$AT$3006,0))&lt;&gt;""," / "&amp;INDEX('CARNET DE SOUDURE'!$S$7:$S$3006,MATCH(39,'CARNET DE SOUDURE'!$AT$7:$AT$3006,0)),"")&amp;IF(INDEX('CARNET DE SOUDURE'!$T$7:$T$3006,MATCH(39,'CARNET DE SOUDURE'!$AT$7:$AT$3006,0))&lt;&gt;""," / "&amp;INDEX('CARNET DE SOUDURE'!$T$7:$T$3006,MATCH(39,'CARNET DE SOUDURE'!$AT$7:$AT$3006,0)),""))</f>
        <v>WR-46-51/33-45</v>
      </c>
      <c r="G50" s="126" t="n">
        <f aca="false">IF($B50="","",INDEX('CARNET DE SOUDURE'!$U$7:$U$3006,MATCH(39,'CARNET DE SOUDURE'!$AT$7:$AT$3006,0)))</f>
        <v>46289</v>
      </c>
      <c r="H50" s="127" t="str">
        <f aca="false">IF($B50="","",INDEX('CARNET DE SOUDURE'!$AQ$7:$AQ$3006,MATCH(39,'CARNET DE SOUDURE'!$AT$7:$AT$3006,0)))</f>
        <v>À RADIOGRAPHIER</v>
      </c>
      <c r="I50" s="128" t="n">
        <f aca="false">IF($B50="","",INDEX('CARNET DE SOUDURE'!$AO$7:$AO$3006,MATCH(39,'CARNET DE SOUDURE'!$AT$7:$AT$3006,0)))</f>
        <v>0</v>
      </c>
      <c r="J50" s="128" t="n">
        <f aca="false">IF($B50="","",INDEX('CARNET DE SOUDURE'!$AR$7:$AR$3006,MATCH(39,'CARNET DE SOUDURE'!$AT$7:$AT$3006,0)))</f>
        <v>4</v>
      </c>
      <c r="K50" s="129"/>
      <c r="L50" s="129"/>
    </row>
    <row r="51" customFormat="false" ht="15" hidden="false" customHeight="false" outlineLevel="0" collapsed="false">
      <c r="B51" s="130" t="n">
        <f aca="false">IF(40&gt;$I$4,"",40)</f>
        <v>40</v>
      </c>
      <c r="C51" s="130" t="str">
        <f aca="false">IF($B51="","",INDEX('CARNET DE SOUDURE'!$B$7:$B$3006,MATCH(40,'CARNET DE SOUDURE'!$AT$7:$AT$3006,0)))</f>
        <v>MFD-ISW → MFD-CPF</v>
      </c>
      <c r="D51" s="130" t="str">
        <f aca="false">IF($B51="","",INDEX('CARNET DE SOUDURE'!$E$7:$E$3006,MATCH(40,'CARNET DE SOUDURE'!$AT$7:$AT$3006,0)))</f>
        <v>JN°804</v>
      </c>
      <c r="E51" s="130" t="n">
        <f aca="false">IF($B51="","",INDEX('CARNET DE SOUDURE'!$D$7:$D$3006,MATCH(40,'CARNET DE SOUDURE'!$AT$7:$AT$3006,0)))</f>
        <v>5</v>
      </c>
      <c r="F51" s="130" t="str">
        <f aca="false">IF($B51="","",INDEX('CARNET DE SOUDURE'!$R$7:$R$3006,MATCH(40,'CARNET DE SOUDURE'!$AT$7:$AT$3006,0))&amp;IF(INDEX('CARNET DE SOUDURE'!$S$7:$S$3006,MATCH(40,'CARNET DE SOUDURE'!$AT$7:$AT$3006,0))&lt;&gt;""," / "&amp;INDEX('CARNET DE SOUDURE'!$S$7:$S$3006,MATCH(40,'CARNET DE SOUDURE'!$AT$7:$AT$3006,0)),"")&amp;IF(INDEX('CARNET DE SOUDURE'!$T$7:$T$3006,MATCH(40,'CARNET DE SOUDURE'!$AT$7:$AT$3006,0))&lt;&gt;""," / "&amp;INDEX('CARNET DE SOUDURE'!$T$7:$T$3006,MATCH(40,'CARNET DE SOUDURE'!$AT$7:$AT$3006,0)),""))</f>
        <v>WR-46-51/33-45</v>
      </c>
      <c r="G51" s="131" t="n">
        <f aca="false">IF($B51="","",INDEX('CARNET DE SOUDURE'!$U$7:$U$3006,MATCH(40,'CARNET DE SOUDURE'!$AT$7:$AT$3006,0)))</f>
        <v>46289</v>
      </c>
      <c r="H51" s="132" t="str">
        <f aca="false">IF($B51="","",INDEX('CARNET DE SOUDURE'!$AQ$7:$AQ$3006,MATCH(40,'CARNET DE SOUDURE'!$AT$7:$AT$3006,0)))</f>
        <v>À RADIOGRAPHIER</v>
      </c>
      <c r="I51" s="133" t="n">
        <f aca="false">IF($B51="","",INDEX('CARNET DE SOUDURE'!$AO$7:$AO$3006,MATCH(40,'CARNET DE SOUDURE'!$AT$7:$AT$3006,0)))</f>
        <v>0</v>
      </c>
      <c r="J51" s="133" t="n">
        <f aca="false">IF($B51="","",INDEX('CARNET DE SOUDURE'!$AR$7:$AR$3006,MATCH(40,'CARNET DE SOUDURE'!$AT$7:$AT$3006,0)))</f>
        <v>4</v>
      </c>
      <c r="K51" s="129"/>
      <c r="L51" s="129"/>
    </row>
    <row r="52" customFormat="false" ht="15" hidden="false" customHeight="false" outlineLevel="0" collapsed="false">
      <c r="B52" s="125" t="n">
        <f aca="false">IF(41&gt;$I$4,"",41)</f>
        <v>41</v>
      </c>
      <c r="C52" s="125" t="str">
        <f aca="false">IF($B52="","",INDEX('CARNET DE SOUDURE'!$B$7:$B$3006,MATCH(41,'CARNET DE SOUDURE'!$AT$7:$AT$3006,0)))</f>
        <v>MFD-ISW → MFD-CPF</v>
      </c>
      <c r="D52" s="125" t="str">
        <f aca="false">IF($B52="","",INDEX('CARNET DE SOUDURE'!$E$7:$E$3006,MATCH(41,'CARNET DE SOUDURE'!$AT$7:$AT$3006,0)))</f>
        <v>JN°805</v>
      </c>
      <c r="E52" s="125" t="n">
        <f aca="false">IF($B52="","",INDEX('CARNET DE SOUDURE'!$D$7:$D$3006,MATCH(41,'CARNET DE SOUDURE'!$AT$7:$AT$3006,0)))</f>
        <v>5</v>
      </c>
      <c r="F52" s="125" t="str">
        <f aca="false">IF($B52="","",INDEX('CARNET DE SOUDURE'!$R$7:$R$3006,MATCH(41,'CARNET DE SOUDURE'!$AT$7:$AT$3006,0))&amp;IF(INDEX('CARNET DE SOUDURE'!$S$7:$S$3006,MATCH(41,'CARNET DE SOUDURE'!$AT$7:$AT$3006,0))&lt;&gt;""," / "&amp;INDEX('CARNET DE SOUDURE'!$S$7:$S$3006,MATCH(41,'CARNET DE SOUDURE'!$AT$7:$AT$3006,0)),"")&amp;IF(INDEX('CARNET DE SOUDURE'!$T$7:$T$3006,MATCH(41,'CARNET DE SOUDURE'!$AT$7:$AT$3006,0))&lt;&gt;""," / "&amp;INDEX('CARNET DE SOUDURE'!$T$7:$T$3006,MATCH(41,'CARNET DE SOUDURE'!$AT$7:$AT$3006,0)),""))</f>
        <v>WR-46-51/33-45</v>
      </c>
      <c r="G52" s="126" t="n">
        <f aca="false">IF($B52="","",INDEX('CARNET DE SOUDURE'!$U$7:$U$3006,MATCH(41,'CARNET DE SOUDURE'!$AT$7:$AT$3006,0)))</f>
        <v>46289</v>
      </c>
      <c r="H52" s="127" t="str">
        <f aca="false">IF($B52="","",INDEX('CARNET DE SOUDURE'!$AQ$7:$AQ$3006,MATCH(41,'CARNET DE SOUDURE'!$AT$7:$AT$3006,0)))</f>
        <v>À RADIOGRAPHIER</v>
      </c>
      <c r="I52" s="128" t="n">
        <f aca="false">IF($B52="","",INDEX('CARNET DE SOUDURE'!$AO$7:$AO$3006,MATCH(41,'CARNET DE SOUDURE'!$AT$7:$AT$3006,0)))</f>
        <v>0</v>
      </c>
      <c r="J52" s="128" t="n">
        <f aca="false">IF($B52="","",INDEX('CARNET DE SOUDURE'!$AR$7:$AR$3006,MATCH(41,'CARNET DE SOUDURE'!$AT$7:$AT$3006,0)))</f>
        <v>4</v>
      </c>
      <c r="K52" s="129"/>
      <c r="L52" s="129"/>
    </row>
    <row r="53" customFormat="false" ht="15" hidden="false" customHeight="false" outlineLevel="0" collapsed="false">
      <c r="B53" s="130" t="n">
        <f aca="false">IF(42&gt;$I$4,"",42)</f>
        <v>42</v>
      </c>
      <c r="C53" s="130" t="str">
        <f aca="false">IF($B53="","",INDEX('CARNET DE SOUDURE'!$B$7:$B$3006,MATCH(42,'CARNET DE SOUDURE'!$AT$7:$AT$3006,0)))</f>
        <v>MFD-ISW → MFD-CPF</v>
      </c>
      <c r="D53" s="130" t="str">
        <f aca="false">IF($B53="","",INDEX('CARNET DE SOUDURE'!$E$7:$E$3006,MATCH(42,'CARNET DE SOUDURE'!$AT$7:$AT$3006,0)))</f>
        <v>JN°806</v>
      </c>
      <c r="E53" s="130" t="n">
        <f aca="false">IF($B53="","",INDEX('CARNET DE SOUDURE'!$D$7:$D$3006,MATCH(42,'CARNET DE SOUDURE'!$AT$7:$AT$3006,0)))</f>
        <v>5</v>
      </c>
      <c r="F53" s="130" t="str">
        <f aca="false">IF($B53="","",INDEX('CARNET DE SOUDURE'!$R$7:$R$3006,MATCH(42,'CARNET DE SOUDURE'!$AT$7:$AT$3006,0))&amp;IF(INDEX('CARNET DE SOUDURE'!$S$7:$S$3006,MATCH(42,'CARNET DE SOUDURE'!$AT$7:$AT$3006,0))&lt;&gt;""," / "&amp;INDEX('CARNET DE SOUDURE'!$S$7:$S$3006,MATCH(42,'CARNET DE SOUDURE'!$AT$7:$AT$3006,0)),"")&amp;IF(INDEX('CARNET DE SOUDURE'!$T$7:$T$3006,MATCH(42,'CARNET DE SOUDURE'!$AT$7:$AT$3006,0))&lt;&gt;""," / "&amp;INDEX('CARNET DE SOUDURE'!$T$7:$T$3006,MATCH(42,'CARNET DE SOUDURE'!$AT$7:$AT$3006,0)),""))</f>
        <v>WR-46-51/33-45</v>
      </c>
      <c r="G53" s="131" t="n">
        <f aca="false">IF($B53="","",INDEX('CARNET DE SOUDURE'!$U$7:$U$3006,MATCH(42,'CARNET DE SOUDURE'!$AT$7:$AT$3006,0)))</f>
        <v>46289</v>
      </c>
      <c r="H53" s="132" t="str">
        <f aca="false">IF($B53="","",INDEX('CARNET DE SOUDURE'!$AQ$7:$AQ$3006,MATCH(42,'CARNET DE SOUDURE'!$AT$7:$AT$3006,0)))</f>
        <v>À RADIOGRAPHIER</v>
      </c>
      <c r="I53" s="133" t="n">
        <f aca="false">IF($B53="","",INDEX('CARNET DE SOUDURE'!$AO$7:$AO$3006,MATCH(42,'CARNET DE SOUDURE'!$AT$7:$AT$3006,0)))</f>
        <v>0</v>
      </c>
      <c r="J53" s="133" t="n">
        <f aca="false">IF($B53="","",INDEX('CARNET DE SOUDURE'!$AR$7:$AR$3006,MATCH(42,'CARNET DE SOUDURE'!$AT$7:$AT$3006,0)))</f>
        <v>4</v>
      </c>
      <c r="K53" s="129"/>
      <c r="L53" s="129"/>
    </row>
    <row r="54" customFormat="false" ht="15" hidden="false" customHeight="false" outlineLevel="0" collapsed="false">
      <c r="B54" s="125" t="n">
        <f aca="false">IF(43&gt;$I$4,"",43)</f>
        <v>43</v>
      </c>
      <c r="C54" s="125" t="str">
        <f aca="false">IF($B54="","",INDEX('CARNET DE SOUDURE'!$B$7:$B$3006,MATCH(43,'CARNET DE SOUDURE'!$AT$7:$AT$3006,0)))</f>
        <v>MFD-ISW → MFD-CPF</v>
      </c>
      <c r="D54" s="125" t="str">
        <f aca="false">IF($B54="","",INDEX('CARNET DE SOUDURE'!$E$7:$E$3006,MATCH(43,'CARNET DE SOUDURE'!$AT$7:$AT$3006,0)))</f>
        <v>JN°807</v>
      </c>
      <c r="E54" s="125" t="n">
        <f aca="false">IF($B54="","",INDEX('CARNET DE SOUDURE'!$D$7:$D$3006,MATCH(43,'CARNET DE SOUDURE'!$AT$7:$AT$3006,0)))</f>
        <v>5</v>
      </c>
      <c r="F54" s="125" t="str">
        <f aca="false">IF($B54="","",INDEX('CARNET DE SOUDURE'!$R$7:$R$3006,MATCH(43,'CARNET DE SOUDURE'!$AT$7:$AT$3006,0))&amp;IF(INDEX('CARNET DE SOUDURE'!$S$7:$S$3006,MATCH(43,'CARNET DE SOUDURE'!$AT$7:$AT$3006,0))&lt;&gt;""," / "&amp;INDEX('CARNET DE SOUDURE'!$S$7:$S$3006,MATCH(43,'CARNET DE SOUDURE'!$AT$7:$AT$3006,0)),"")&amp;IF(INDEX('CARNET DE SOUDURE'!$T$7:$T$3006,MATCH(43,'CARNET DE SOUDURE'!$AT$7:$AT$3006,0))&lt;&gt;""," / "&amp;INDEX('CARNET DE SOUDURE'!$T$7:$T$3006,MATCH(43,'CARNET DE SOUDURE'!$AT$7:$AT$3006,0)),""))</f>
        <v>WR-46-51/33-45</v>
      </c>
      <c r="G54" s="126" t="n">
        <f aca="false">IF($B54="","",INDEX('CARNET DE SOUDURE'!$U$7:$U$3006,MATCH(43,'CARNET DE SOUDURE'!$AT$7:$AT$3006,0)))</f>
        <v>46289</v>
      </c>
      <c r="H54" s="127" t="str">
        <f aca="false">IF($B54="","",INDEX('CARNET DE SOUDURE'!$AQ$7:$AQ$3006,MATCH(43,'CARNET DE SOUDURE'!$AT$7:$AT$3006,0)))</f>
        <v>À RADIOGRAPHIER</v>
      </c>
      <c r="I54" s="128" t="n">
        <f aca="false">IF($B54="","",INDEX('CARNET DE SOUDURE'!$AO$7:$AO$3006,MATCH(43,'CARNET DE SOUDURE'!$AT$7:$AT$3006,0)))</f>
        <v>0</v>
      </c>
      <c r="J54" s="128" t="n">
        <f aca="false">IF($B54="","",INDEX('CARNET DE SOUDURE'!$AR$7:$AR$3006,MATCH(43,'CARNET DE SOUDURE'!$AT$7:$AT$3006,0)))</f>
        <v>4</v>
      </c>
      <c r="K54" s="129"/>
      <c r="L54" s="129"/>
    </row>
    <row r="55" customFormat="false" ht="15" hidden="false" customHeight="false" outlineLevel="0" collapsed="false">
      <c r="B55" s="130" t="n">
        <f aca="false">IF(44&gt;$I$4,"",44)</f>
        <v>44</v>
      </c>
      <c r="C55" s="130" t="str">
        <f aca="false">IF($B55="","",INDEX('CARNET DE SOUDURE'!$B$7:$B$3006,MATCH(44,'CARNET DE SOUDURE'!$AT$7:$AT$3006,0)))</f>
        <v>MFD-ISW → MFD-CPF</v>
      </c>
      <c r="D55" s="130" t="str">
        <f aca="false">IF($B55="","",INDEX('CARNET DE SOUDURE'!$E$7:$E$3006,MATCH(44,'CARNET DE SOUDURE'!$AT$7:$AT$3006,0)))</f>
        <v>JN°808</v>
      </c>
      <c r="E55" s="130" t="n">
        <f aca="false">IF($B55="","",INDEX('CARNET DE SOUDURE'!$D$7:$D$3006,MATCH(44,'CARNET DE SOUDURE'!$AT$7:$AT$3006,0)))</f>
        <v>5</v>
      </c>
      <c r="F55" s="130" t="str">
        <f aca="false">IF($B55="","",INDEX('CARNET DE SOUDURE'!$R$7:$R$3006,MATCH(44,'CARNET DE SOUDURE'!$AT$7:$AT$3006,0))&amp;IF(INDEX('CARNET DE SOUDURE'!$S$7:$S$3006,MATCH(44,'CARNET DE SOUDURE'!$AT$7:$AT$3006,0))&lt;&gt;""," / "&amp;INDEX('CARNET DE SOUDURE'!$S$7:$S$3006,MATCH(44,'CARNET DE SOUDURE'!$AT$7:$AT$3006,0)),"")&amp;IF(INDEX('CARNET DE SOUDURE'!$T$7:$T$3006,MATCH(44,'CARNET DE SOUDURE'!$AT$7:$AT$3006,0))&lt;&gt;""," / "&amp;INDEX('CARNET DE SOUDURE'!$T$7:$T$3006,MATCH(44,'CARNET DE SOUDURE'!$AT$7:$AT$3006,0)),""))</f>
        <v>WR-46-51/33-45</v>
      </c>
      <c r="G55" s="131" t="n">
        <f aca="false">IF($B55="","",INDEX('CARNET DE SOUDURE'!$U$7:$U$3006,MATCH(44,'CARNET DE SOUDURE'!$AT$7:$AT$3006,0)))</f>
        <v>46289</v>
      </c>
      <c r="H55" s="132" t="str">
        <f aca="false">IF($B55="","",INDEX('CARNET DE SOUDURE'!$AQ$7:$AQ$3006,MATCH(44,'CARNET DE SOUDURE'!$AT$7:$AT$3006,0)))</f>
        <v>À RADIOGRAPHIER</v>
      </c>
      <c r="I55" s="133" t="n">
        <f aca="false">IF($B55="","",INDEX('CARNET DE SOUDURE'!$AO$7:$AO$3006,MATCH(44,'CARNET DE SOUDURE'!$AT$7:$AT$3006,0)))</f>
        <v>0</v>
      </c>
      <c r="J55" s="133" t="n">
        <f aca="false">IF($B55="","",INDEX('CARNET DE SOUDURE'!$AR$7:$AR$3006,MATCH(44,'CARNET DE SOUDURE'!$AT$7:$AT$3006,0)))</f>
        <v>4</v>
      </c>
      <c r="K55" s="129"/>
      <c r="L55" s="129"/>
    </row>
    <row r="56" customFormat="false" ht="15" hidden="false" customHeight="false" outlineLevel="0" collapsed="false">
      <c r="B56" s="125" t="n">
        <f aca="false">IF(45&gt;$I$4,"",45)</f>
        <v>45</v>
      </c>
      <c r="C56" s="125" t="str">
        <f aca="false">IF($B56="","",INDEX('CARNET DE SOUDURE'!$B$7:$B$3006,MATCH(45,'CARNET DE SOUDURE'!$AT$7:$AT$3006,0)))</f>
        <v>MFD-ISW → MFD-CPF</v>
      </c>
      <c r="D56" s="125" t="str">
        <f aca="false">IF($B56="","",INDEX('CARNET DE SOUDURE'!$E$7:$E$3006,MATCH(45,'CARNET DE SOUDURE'!$AT$7:$AT$3006,0)))</f>
        <v>JN°809</v>
      </c>
      <c r="E56" s="125" t="n">
        <f aca="false">IF($B56="","",INDEX('CARNET DE SOUDURE'!$D$7:$D$3006,MATCH(45,'CARNET DE SOUDURE'!$AT$7:$AT$3006,0)))</f>
        <v>5</v>
      </c>
      <c r="F56" s="125" t="str">
        <f aca="false">IF($B56="","",INDEX('CARNET DE SOUDURE'!$R$7:$R$3006,MATCH(45,'CARNET DE SOUDURE'!$AT$7:$AT$3006,0))&amp;IF(INDEX('CARNET DE SOUDURE'!$S$7:$S$3006,MATCH(45,'CARNET DE SOUDURE'!$AT$7:$AT$3006,0))&lt;&gt;""," / "&amp;INDEX('CARNET DE SOUDURE'!$S$7:$S$3006,MATCH(45,'CARNET DE SOUDURE'!$AT$7:$AT$3006,0)),"")&amp;IF(INDEX('CARNET DE SOUDURE'!$T$7:$T$3006,MATCH(45,'CARNET DE SOUDURE'!$AT$7:$AT$3006,0))&lt;&gt;""," / "&amp;INDEX('CARNET DE SOUDURE'!$T$7:$T$3006,MATCH(45,'CARNET DE SOUDURE'!$AT$7:$AT$3006,0)),""))</f>
        <v>WR-46-51/33-45</v>
      </c>
      <c r="G56" s="126" t="n">
        <f aca="false">IF($B56="","",INDEX('CARNET DE SOUDURE'!$U$7:$U$3006,MATCH(45,'CARNET DE SOUDURE'!$AT$7:$AT$3006,0)))</f>
        <v>46289</v>
      </c>
      <c r="H56" s="127" t="str">
        <f aca="false">IF($B56="","",INDEX('CARNET DE SOUDURE'!$AQ$7:$AQ$3006,MATCH(45,'CARNET DE SOUDURE'!$AT$7:$AT$3006,0)))</f>
        <v>À RADIOGRAPHIER</v>
      </c>
      <c r="I56" s="128" t="n">
        <f aca="false">IF($B56="","",INDEX('CARNET DE SOUDURE'!$AO$7:$AO$3006,MATCH(45,'CARNET DE SOUDURE'!$AT$7:$AT$3006,0)))</f>
        <v>0</v>
      </c>
      <c r="J56" s="128" t="n">
        <f aca="false">IF($B56="","",INDEX('CARNET DE SOUDURE'!$AR$7:$AR$3006,MATCH(45,'CARNET DE SOUDURE'!$AT$7:$AT$3006,0)))</f>
        <v>4</v>
      </c>
      <c r="K56" s="129"/>
      <c r="L56" s="129"/>
    </row>
    <row r="57" customFormat="false" ht="15" hidden="false" customHeight="false" outlineLevel="0" collapsed="false">
      <c r="B57" s="130" t="n">
        <f aca="false">IF(46&gt;$I$4,"",46)</f>
        <v>46</v>
      </c>
      <c r="C57" s="130" t="str">
        <f aca="false">IF($B57="","",INDEX('CARNET DE SOUDURE'!$B$7:$B$3006,MATCH(46,'CARNET DE SOUDURE'!$AT$7:$AT$3006,0)))</f>
        <v>MFD-ISW → MFD-CPF</v>
      </c>
      <c r="D57" s="130" t="str">
        <f aca="false">IF($B57="","",INDEX('CARNET DE SOUDURE'!$E$7:$E$3006,MATCH(46,'CARNET DE SOUDURE'!$AT$7:$AT$3006,0)))</f>
        <v>JN°810</v>
      </c>
      <c r="E57" s="130" t="n">
        <f aca="false">IF($B57="","",INDEX('CARNET DE SOUDURE'!$D$7:$D$3006,MATCH(46,'CARNET DE SOUDURE'!$AT$7:$AT$3006,0)))</f>
        <v>5</v>
      </c>
      <c r="F57" s="130" t="str">
        <f aca="false">IF($B57="","",INDEX('CARNET DE SOUDURE'!$R$7:$R$3006,MATCH(46,'CARNET DE SOUDURE'!$AT$7:$AT$3006,0))&amp;IF(INDEX('CARNET DE SOUDURE'!$S$7:$S$3006,MATCH(46,'CARNET DE SOUDURE'!$AT$7:$AT$3006,0))&lt;&gt;""," / "&amp;INDEX('CARNET DE SOUDURE'!$S$7:$S$3006,MATCH(46,'CARNET DE SOUDURE'!$AT$7:$AT$3006,0)),"")&amp;IF(INDEX('CARNET DE SOUDURE'!$T$7:$T$3006,MATCH(46,'CARNET DE SOUDURE'!$AT$7:$AT$3006,0))&lt;&gt;""," / "&amp;INDEX('CARNET DE SOUDURE'!$T$7:$T$3006,MATCH(46,'CARNET DE SOUDURE'!$AT$7:$AT$3006,0)),""))</f>
        <v>WR-46-51/33-45</v>
      </c>
      <c r="G57" s="131" t="n">
        <f aca="false">IF($B57="","",INDEX('CARNET DE SOUDURE'!$U$7:$U$3006,MATCH(46,'CARNET DE SOUDURE'!$AT$7:$AT$3006,0)))</f>
        <v>46289</v>
      </c>
      <c r="H57" s="132" t="str">
        <f aca="false">IF($B57="","",INDEX('CARNET DE SOUDURE'!$AQ$7:$AQ$3006,MATCH(46,'CARNET DE SOUDURE'!$AT$7:$AT$3006,0)))</f>
        <v>À RADIOGRAPHIER</v>
      </c>
      <c r="I57" s="133" t="n">
        <f aca="false">IF($B57="","",INDEX('CARNET DE SOUDURE'!$AO$7:$AO$3006,MATCH(46,'CARNET DE SOUDURE'!$AT$7:$AT$3006,0)))</f>
        <v>0</v>
      </c>
      <c r="J57" s="133" t="n">
        <f aca="false">IF($B57="","",INDEX('CARNET DE SOUDURE'!$AR$7:$AR$3006,MATCH(46,'CARNET DE SOUDURE'!$AT$7:$AT$3006,0)))</f>
        <v>4</v>
      </c>
      <c r="K57" s="129"/>
      <c r="L57" s="129"/>
    </row>
    <row r="58" customFormat="false" ht="15" hidden="false" customHeight="false" outlineLevel="0" collapsed="false">
      <c r="B58" s="125" t="n">
        <f aca="false">IF(47&gt;$I$4,"",47)</f>
        <v>47</v>
      </c>
      <c r="C58" s="125" t="str">
        <f aca="false">IF($B58="","",INDEX('CARNET DE SOUDURE'!$B$7:$B$3006,MATCH(47,'CARNET DE SOUDURE'!$AT$7:$AT$3006,0)))</f>
        <v>MFD-ISW → MFD-CPF</v>
      </c>
      <c r="D58" s="125" t="str">
        <f aca="false">IF($B58="","",INDEX('CARNET DE SOUDURE'!$E$7:$E$3006,MATCH(47,'CARNET DE SOUDURE'!$AT$7:$AT$3006,0)))</f>
        <v>JN°811</v>
      </c>
      <c r="E58" s="125" t="n">
        <f aca="false">IF($B58="","",INDEX('CARNET DE SOUDURE'!$D$7:$D$3006,MATCH(47,'CARNET DE SOUDURE'!$AT$7:$AT$3006,0)))</f>
        <v>5</v>
      </c>
      <c r="F58" s="125" t="str">
        <f aca="false">IF($B58="","",INDEX('CARNET DE SOUDURE'!$R$7:$R$3006,MATCH(47,'CARNET DE SOUDURE'!$AT$7:$AT$3006,0))&amp;IF(INDEX('CARNET DE SOUDURE'!$S$7:$S$3006,MATCH(47,'CARNET DE SOUDURE'!$AT$7:$AT$3006,0))&lt;&gt;""," / "&amp;INDEX('CARNET DE SOUDURE'!$S$7:$S$3006,MATCH(47,'CARNET DE SOUDURE'!$AT$7:$AT$3006,0)),"")&amp;IF(INDEX('CARNET DE SOUDURE'!$T$7:$T$3006,MATCH(47,'CARNET DE SOUDURE'!$AT$7:$AT$3006,0))&lt;&gt;""," / "&amp;INDEX('CARNET DE SOUDURE'!$T$7:$T$3006,MATCH(47,'CARNET DE SOUDURE'!$AT$7:$AT$3006,0)),""))</f>
        <v>WR-46-51/33-45</v>
      </c>
      <c r="G58" s="126" t="n">
        <f aca="false">IF($B58="","",INDEX('CARNET DE SOUDURE'!$U$7:$U$3006,MATCH(47,'CARNET DE SOUDURE'!$AT$7:$AT$3006,0)))</f>
        <v>46288</v>
      </c>
      <c r="H58" s="127" t="str">
        <f aca="false">IF($B58="","",INDEX('CARNET DE SOUDURE'!$AQ$7:$AQ$3006,MATCH(47,'CARNET DE SOUDURE'!$AT$7:$AT$3006,0)))</f>
        <v>À RADIOGRAPHIER</v>
      </c>
      <c r="I58" s="128" t="n">
        <f aca="false">IF($B58="","",INDEX('CARNET DE SOUDURE'!$AO$7:$AO$3006,MATCH(47,'CARNET DE SOUDURE'!$AT$7:$AT$3006,0)))</f>
        <v>0</v>
      </c>
      <c r="J58" s="128" t="n">
        <f aca="false">IF($B58="","",INDEX('CARNET DE SOUDURE'!$AR$7:$AR$3006,MATCH(47,'CARNET DE SOUDURE'!$AT$7:$AT$3006,0)))</f>
        <v>5</v>
      </c>
      <c r="K58" s="129"/>
      <c r="L58" s="129"/>
    </row>
    <row r="59" customFormat="false" ht="15" hidden="false" customHeight="false" outlineLevel="0" collapsed="false">
      <c r="B59" s="130" t="n">
        <f aca="false">IF(48&gt;$I$4,"",48)</f>
        <v>48</v>
      </c>
      <c r="C59" s="130" t="str">
        <f aca="false">IF($B59="","",INDEX('CARNET DE SOUDURE'!$B$7:$B$3006,MATCH(48,'CARNET DE SOUDURE'!$AT$7:$AT$3006,0)))</f>
        <v>MFD-ISW → MFD-CPF</v>
      </c>
      <c r="D59" s="130" t="str">
        <f aca="false">IF($B59="","",INDEX('CARNET DE SOUDURE'!$E$7:$E$3006,MATCH(48,'CARNET DE SOUDURE'!$AT$7:$AT$3006,0)))</f>
        <v>JN°812</v>
      </c>
      <c r="E59" s="130" t="n">
        <f aca="false">IF($B59="","",INDEX('CARNET DE SOUDURE'!$D$7:$D$3006,MATCH(48,'CARNET DE SOUDURE'!$AT$7:$AT$3006,0)))</f>
        <v>5</v>
      </c>
      <c r="F59" s="130" t="str">
        <f aca="false">IF($B59="","",INDEX('CARNET DE SOUDURE'!$R$7:$R$3006,MATCH(48,'CARNET DE SOUDURE'!$AT$7:$AT$3006,0))&amp;IF(INDEX('CARNET DE SOUDURE'!$S$7:$S$3006,MATCH(48,'CARNET DE SOUDURE'!$AT$7:$AT$3006,0))&lt;&gt;""," / "&amp;INDEX('CARNET DE SOUDURE'!$S$7:$S$3006,MATCH(48,'CARNET DE SOUDURE'!$AT$7:$AT$3006,0)),"")&amp;IF(INDEX('CARNET DE SOUDURE'!$T$7:$T$3006,MATCH(48,'CARNET DE SOUDURE'!$AT$7:$AT$3006,0))&lt;&gt;""," / "&amp;INDEX('CARNET DE SOUDURE'!$T$7:$T$3006,MATCH(48,'CARNET DE SOUDURE'!$AT$7:$AT$3006,0)),""))</f>
        <v>WR-46-51/33-45</v>
      </c>
      <c r="G59" s="131" t="n">
        <f aca="false">IF($B59="","",INDEX('CARNET DE SOUDURE'!$U$7:$U$3006,MATCH(48,'CARNET DE SOUDURE'!$AT$7:$AT$3006,0)))</f>
        <v>46288</v>
      </c>
      <c r="H59" s="132" t="str">
        <f aca="false">IF($B59="","",INDEX('CARNET DE SOUDURE'!$AQ$7:$AQ$3006,MATCH(48,'CARNET DE SOUDURE'!$AT$7:$AT$3006,0)))</f>
        <v>À RADIOGRAPHIER</v>
      </c>
      <c r="I59" s="133" t="n">
        <f aca="false">IF($B59="","",INDEX('CARNET DE SOUDURE'!$AO$7:$AO$3006,MATCH(48,'CARNET DE SOUDURE'!$AT$7:$AT$3006,0)))</f>
        <v>0</v>
      </c>
      <c r="J59" s="133" t="n">
        <f aca="false">IF($B59="","",INDEX('CARNET DE SOUDURE'!$AR$7:$AR$3006,MATCH(48,'CARNET DE SOUDURE'!$AT$7:$AT$3006,0)))</f>
        <v>5</v>
      </c>
      <c r="K59" s="129"/>
      <c r="L59" s="129"/>
    </row>
    <row r="60" customFormat="false" ht="15" hidden="false" customHeight="false" outlineLevel="0" collapsed="false">
      <c r="B60" s="125" t="n">
        <f aca="false">IF(49&gt;$I$4,"",49)</f>
        <v>49</v>
      </c>
      <c r="C60" s="125" t="str">
        <f aca="false">IF($B60="","",INDEX('CARNET DE SOUDURE'!$B$7:$B$3006,MATCH(49,'CARNET DE SOUDURE'!$AT$7:$AT$3006,0)))</f>
        <v>MFD-ISW → MFD-CPF</v>
      </c>
      <c r="D60" s="125" t="str">
        <f aca="false">IF($B60="","",INDEX('CARNET DE SOUDURE'!$E$7:$E$3006,MATCH(49,'CARNET DE SOUDURE'!$AT$7:$AT$3006,0)))</f>
        <v>JN°813</v>
      </c>
      <c r="E60" s="125" t="n">
        <f aca="false">IF($B60="","",INDEX('CARNET DE SOUDURE'!$D$7:$D$3006,MATCH(49,'CARNET DE SOUDURE'!$AT$7:$AT$3006,0)))</f>
        <v>5</v>
      </c>
      <c r="F60" s="125" t="str">
        <f aca="false">IF($B60="","",INDEX('CARNET DE SOUDURE'!$R$7:$R$3006,MATCH(49,'CARNET DE SOUDURE'!$AT$7:$AT$3006,0))&amp;IF(INDEX('CARNET DE SOUDURE'!$S$7:$S$3006,MATCH(49,'CARNET DE SOUDURE'!$AT$7:$AT$3006,0))&lt;&gt;""," / "&amp;INDEX('CARNET DE SOUDURE'!$S$7:$S$3006,MATCH(49,'CARNET DE SOUDURE'!$AT$7:$AT$3006,0)),"")&amp;IF(INDEX('CARNET DE SOUDURE'!$T$7:$T$3006,MATCH(49,'CARNET DE SOUDURE'!$AT$7:$AT$3006,0))&lt;&gt;""," / "&amp;INDEX('CARNET DE SOUDURE'!$T$7:$T$3006,MATCH(49,'CARNET DE SOUDURE'!$AT$7:$AT$3006,0)),""))</f>
        <v>WR-46-51/33-45</v>
      </c>
      <c r="G60" s="126" t="n">
        <f aca="false">IF($B60="","",INDEX('CARNET DE SOUDURE'!$U$7:$U$3006,MATCH(49,'CARNET DE SOUDURE'!$AT$7:$AT$3006,0)))</f>
        <v>46288</v>
      </c>
      <c r="H60" s="127" t="str">
        <f aca="false">IF($B60="","",INDEX('CARNET DE SOUDURE'!$AQ$7:$AQ$3006,MATCH(49,'CARNET DE SOUDURE'!$AT$7:$AT$3006,0)))</f>
        <v>À RADIOGRAPHIER</v>
      </c>
      <c r="I60" s="128" t="n">
        <f aca="false">IF($B60="","",INDEX('CARNET DE SOUDURE'!$AO$7:$AO$3006,MATCH(49,'CARNET DE SOUDURE'!$AT$7:$AT$3006,0)))</f>
        <v>0</v>
      </c>
      <c r="J60" s="128" t="n">
        <f aca="false">IF($B60="","",INDEX('CARNET DE SOUDURE'!$AR$7:$AR$3006,MATCH(49,'CARNET DE SOUDURE'!$AT$7:$AT$3006,0)))</f>
        <v>5</v>
      </c>
      <c r="K60" s="129"/>
      <c r="L60" s="129"/>
    </row>
    <row r="61" customFormat="false" ht="15" hidden="false" customHeight="false" outlineLevel="0" collapsed="false">
      <c r="B61" s="130" t="n">
        <f aca="false">IF(50&gt;$I$4,"",50)</f>
        <v>50</v>
      </c>
      <c r="C61" s="130" t="str">
        <f aca="false">IF($B61="","",INDEX('CARNET DE SOUDURE'!$B$7:$B$3006,MATCH(50,'CARNET DE SOUDURE'!$AT$7:$AT$3006,0)))</f>
        <v>MFD-ISW → MFD-CPF</v>
      </c>
      <c r="D61" s="130" t="str">
        <f aca="false">IF($B61="","",INDEX('CARNET DE SOUDURE'!$E$7:$E$3006,MATCH(50,'CARNET DE SOUDURE'!$AT$7:$AT$3006,0)))</f>
        <v>JN°814</v>
      </c>
      <c r="E61" s="130" t="n">
        <f aca="false">IF($B61="","",INDEX('CARNET DE SOUDURE'!$D$7:$D$3006,MATCH(50,'CARNET DE SOUDURE'!$AT$7:$AT$3006,0)))</f>
        <v>5</v>
      </c>
      <c r="F61" s="130" t="str">
        <f aca="false">IF($B61="","",INDEX('CARNET DE SOUDURE'!$R$7:$R$3006,MATCH(50,'CARNET DE SOUDURE'!$AT$7:$AT$3006,0))&amp;IF(INDEX('CARNET DE SOUDURE'!$S$7:$S$3006,MATCH(50,'CARNET DE SOUDURE'!$AT$7:$AT$3006,0))&lt;&gt;""," / "&amp;INDEX('CARNET DE SOUDURE'!$S$7:$S$3006,MATCH(50,'CARNET DE SOUDURE'!$AT$7:$AT$3006,0)),"")&amp;IF(INDEX('CARNET DE SOUDURE'!$T$7:$T$3006,MATCH(50,'CARNET DE SOUDURE'!$AT$7:$AT$3006,0))&lt;&gt;""," / "&amp;INDEX('CARNET DE SOUDURE'!$T$7:$T$3006,MATCH(50,'CARNET DE SOUDURE'!$AT$7:$AT$3006,0)),""))</f>
        <v>WR-46-51/33-45</v>
      </c>
      <c r="G61" s="131" t="n">
        <f aca="false">IF($B61="","",INDEX('CARNET DE SOUDURE'!$U$7:$U$3006,MATCH(50,'CARNET DE SOUDURE'!$AT$7:$AT$3006,0)))</f>
        <v>46287</v>
      </c>
      <c r="H61" s="132" t="str">
        <f aca="false">IF($B61="","",INDEX('CARNET DE SOUDURE'!$AQ$7:$AQ$3006,MATCH(50,'CARNET DE SOUDURE'!$AT$7:$AT$3006,0)))</f>
        <v>À RADIOGRAPHIER</v>
      </c>
      <c r="I61" s="133" t="n">
        <f aca="false">IF($B61="","",INDEX('CARNET DE SOUDURE'!$AO$7:$AO$3006,MATCH(50,'CARNET DE SOUDURE'!$AT$7:$AT$3006,0)))</f>
        <v>0</v>
      </c>
      <c r="J61" s="133" t="n">
        <f aca="false">IF($B61="","",INDEX('CARNET DE SOUDURE'!$AR$7:$AR$3006,MATCH(50,'CARNET DE SOUDURE'!$AT$7:$AT$3006,0)))</f>
        <v>6</v>
      </c>
      <c r="K61" s="129"/>
      <c r="L61" s="129"/>
    </row>
    <row r="62" customFormat="false" ht="15" hidden="false" customHeight="false" outlineLevel="0" collapsed="false">
      <c r="B62" s="125" t="n">
        <f aca="false">IF(51&gt;$I$4,"",51)</f>
        <v>51</v>
      </c>
      <c r="C62" s="125" t="str">
        <f aca="false">IF($B62="","",INDEX('CARNET DE SOUDURE'!$B$7:$B$3006,MATCH(51,'CARNET DE SOUDURE'!$AT$7:$AT$3006,0)))</f>
        <v>MFD-ISW → MFD-CPF</v>
      </c>
      <c r="D62" s="125" t="str">
        <f aca="false">IF($B62="","",INDEX('CARNET DE SOUDURE'!$E$7:$E$3006,MATCH(51,'CARNET DE SOUDURE'!$AT$7:$AT$3006,0)))</f>
        <v>JN°815</v>
      </c>
      <c r="E62" s="125" t="n">
        <f aca="false">IF($B62="","",INDEX('CARNET DE SOUDURE'!$D$7:$D$3006,MATCH(51,'CARNET DE SOUDURE'!$AT$7:$AT$3006,0)))</f>
        <v>5</v>
      </c>
      <c r="F62" s="125" t="str">
        <f aca="false">IF($B62="","",INDEX('CARNET DE SOUDURE'!$R$7:$R$3006,MATCH(51,'CARNET DE SOUDURE'!$AT$7:$AT$3006,0))&amp;IF(INDEX('CARNET DE SOUDURE'!$S$7:$S$3006,MATCH(51,'CARNET DE SOUDURE'!$AT$7:$AT$3006,0))&lt;&gt;""," / "&amp;INDEX('CARNET DE SOUDURE'!$S$7:$S$3006,MATCH(51,'CARNET DE SOUDURE'!$AT$7:$AT$3006,0)),"")&amp;IF(INDEX('CARNET DE SOUDURE'!$T$7:$T$3006,MATCH(51,'CARNET DE SOUDURE'!$AT$7:$AT$3006,0))&lt;&gt;""," / "&amp;INDEX('CARNET DE SOUDURE'!$T$7:$T$3006,MATCH(51,'CARNET DE SOUDURE'!$AT$7:$AT$3006,0)),""))</f>
        <v>WR-46-51/33-45</v>
      </c>
      <c r="G62" s="126" t="n">
        <f aca="false">IF($B62="","",INDEX('CARNET DE SOUDURE'!$U$7:$U$3006,MATCH(51,'CARNET DE SOUDURE'!$AT$7:$AT$3006,0)))</f>
        <v>46287</v>
      </c>
      <c r="H62" s="127" t="str">
        <f aca="false">IF($B62="","",INDEX('CARNET DE SOUDURE'!$AQ$7:$AQ$3006,MATCH(51,'CARNET DE SOUDURE'!$AT$7:$AT$3006,0)))</f>
        <v>À RADIOGRAPHIER</v>
      </c>
      <c r="I62" s="128" t="n">
        <f aca="false">IF($B62="","",INDEX('CARNET DE SOUDURE'!$AO$7:$AO$3006,MATCH(51,'CARNET DE SOUDURE'!$AT$7:$AT$3006,0)))</f>
        <v>0</v>
      </c>
      <c r="J62" s="128" t="n">
        <f aca="false">IF($B62="","",INDEX('CARNET DE SOUDURE'!$AR$7:$AR$3006,MATCH(51,'CARNET DE SOUDURE'!$AT$7:$AT$3006,0)))</f>
        <v>6</v>
      </c>
      <c r="K62" s="129"/>
      <c r="L62" s="129"/>
    </row>
    <row r="63" customFormat="false" ht="15" hidden="false" customHeight="false" outlineLevel="0" collapsed="false">
      <c r="B63" s="130" t="n">
        <f aca="false">IF(52&gt;$I$4,"",52)</f>
        <v>52</v>
      </c>
      <c r="C63" s="130" t="str">
        <f aca="false">IF($B63="","",INDEX('CARNET DE SOUDURE'!$B$7:$B$3006,MATCH(52,'CARNET DE SOUDURE'!$AT$7:$AT$3006,0)))</f>
        <v>MFD-ISW → MFD-CPF</v>
      </c>
      <c r="D63" s="130" t="str">
        <f aca="false">IF($B63="","",INDEX('CARNET DE SOUDURE'!$E$7:$E$3006,MATCH(52,'CARNET DE SOUDURE'!$AT$7:$AT$3006,0)))</f>
        <v>JN°816</v>
      </c>
      <c r="E63" s="130" t="n">
        <f aca="false">IF($B63="","",INDEX('CARNET DE SOUDURE'!$D$7:$D$3006,MATCH(52,'CARNET DE SOUDURE'!$AT$7:$AT$3006,0)))</f>
        <v>5</v>
      </c>
      <c r="F63" s="130" t="str">
        <f aca="false">IF($B63="","",INDEX('CARNET DE SOUDURE'!$R$7:$R$3006,MATCH(52,'CARNET DE SOUDURE'!$AT$7:$AT$3006,0))&amp;IF(INDEX('CARNET DE SOUDURE'!$S$7:$S$3006,MATCH(52,'CARNET DE SOUDURE'!$AT$7:$AT$3006,0))&lt;&gt;""," / "&amp;INDEX('CARNET DE SOUDURE'!$S$7:$S$3006,MATCH(52,'CARNET DE SOUDURE'!$AT$7:$AT$3006,0)),"")&amp;IF(INDEX('CARNET DE SOUDURE'!$T$7:$T$3006,MATCH(52,'CARNET DE SOUDURE'!$AT$7:$AT$3006,0))&lt;&gt;""," / "&amp;INDEX('CARNET DE SOUDURE'!$T$7:$T$3006,MATCH(52,'CARNET DE SOUDURE'!$AT$7:$AT$3006,0)),""))</f>
        <v>WR-46-51/33-45</v>
      </c>
      <c r="G63" s="131" t="n">
        <f aca="false">IF($B63="","",INDEX('CARNET DE SOUDURE'!$U$7:$U$3006,MATCH(52,'CARNET DE SOUDURE'!$AT$7:$AT$3006,0)))</f>
        <v>46287</v>
      </c>
      <c r="H63" s="132" t="str">
        <f aca="false">IF($B63="","",INDEX('CARNET DE SOUDURE'!$AQ$7:$AQ$3006,MATCH(52,'CARNET DE SOUDURE'!$AT$7:$AT$3006,0)))</f>
        <v>À RADIOGRAPHIER</v>
      </c>
      <c r="I63" s="133" t="n">
        <f aca="false">IF($B63="","",INDEX('CARNET DE SOUDURE'!$AO$7:$AO$3006,MATCH(52,'CARNET DE SOUDURE'!$AT$7:$AT$3006,0)))</f>
        <v>0</v>
      </c>
      <c r="J63" s="133" t="n">
        <f aca="false">IF($B63="","",INDEX('CARNET DE SOUDURE'!$AR$7:$AR$3006,MATCH(52,'CARNET DE SOUDURE'!$AT$7:$AT$3006,0)))</f>
        <v>6</v>
      </c>
      <c r="K63" s="129"/>
      <c r="L63" s="129"/>
    </row>
    <row r="64" customFormat="false" ht="15" hidden="false" customHeight="false" outlineLevel="0" collapsed="false">
      <c r="B64" s="125" t="n">
        <f aca="false">IF(53&gt;$I$4,"",53)</f>
        <v>53</v>
      </c>
      <c r="C64" s="125" t="str">
        <f aca="false">IF($B64="","",INDEX('CARNET DE SOUDURE'!$B$7:$B$3006,MATCH(53,'CARNET DE SOUDURE'!$AT$7:$AT$3006,0)))</f>
        <v>MFD-ISW → MFD-CPF</v>
      </c>
      <c r="D64" s="125" t="str">
        <f aca="false">IF($B64="","",INDEX('CARNET DE SOUDURE'!$E$7:$E$3006,MATCH(53,'CARNET DE SOUDURE'!$AT$7:$AT$3006,0)))</f>
        <v>JN°819</v>
      </c>
      <c r="E64" s="125" t="n">
        <f aca="false">IF($B64="","",INDEX('CARNET DE SOUDURE'!$D$7:$D$3006,MATCH(53,'CARNET DE SOUDURE'!$AT$7:$AT$3006,0)))</f>
        <v>5</v>
      </c>
      <c r="F64" s="125" t="str">
        <f aca="false">IF($B64="","",INDEX('CARNET DE SOUDURE'!$R$7:$R$3006,MATCH(53,'CARNET DE SOUDURE'!$AT$7:$AT$3006,0))&amp;IF(INDEX('CARNET DE SOUDURE'!$S$7:$S$3006,MATCH(53,'CARNET DE SOUDURE'!$AT$7:$AT$3006,0))&lt;&gt;""," / "&amp;INDEX('CARNET DE SOUDURE'!$S$7:$S$3006,MATCH(53,'CARNET DE SOUDURE'!$AT$7:$AT$3006,0)),"")&amp;IF(INDEX('CARNET DE SOUDURE'!$T$7:$T$3006,MATCH(53,'CARNET DE SOUDURE'!$AT$7:$AT$3006,0))&lt;&gt;""," / "&amp;INDEX('CARNET DE SOUDURE'!$T$7:$T$3006,MATCH(53,'CARNET DE SOUDURE'!$AT$7:$AT$3006,0)),""))</f>
        <v>WR-46-51/33-45</v>
      </c>
      <c r="G64" s="126" t="n">
        <f aca="false">IF($B64="","",INDEX('CARNET DE SOUDURE'!$U$7:$U$3006,MATCH(53,'CARNET DE SOUDURE'!$AT$7:$AT$3006,0)))</f>
        <v>46287</v>
      </c>
      <c r="H64" s="127" t="str">
        <f aca="false">IF($B64="","",INDEX('CARNET DE SOUDURE'!$AQ$7:$AQ$3006,MATCH(53,'CARNET DE SOUDURE'!$AT$7:$AT$3006,0)))</f>
        <v>À RADIOGRAPHIER</v>
      </c>
      <c r="I64" s="128" t="n">
        <f aca="false">IF($B64="","",INDEX('CARNET DE SOUDURE'!$AO$7:$AO$3006,MATCH(53,'CARNET DE SOUDURE'!$AT$7:$AT$3006,0)))</f>
        <v>0</v>
      </c>
      <c r="J64" s="128" t="n">
        <f aca="false">IF($B64="","",INDEX('CARNET DE SOUDURE'!$AR$7:$AR$3006,MATCH(53,'CARNET DE SOUDURE'!$AT$7:$AT$3006,0)))</f>
        <v>6</v>
      </c>
      <c r="K64" s="129"/>
      <c r="L64" s="129"/>
    </row>
    <row r="65" customFormat="false" ht="15" hidden="false" customHeight="false" outlineLevel="0" collapsed="false">
      <c r="B65" s="130" t="n">
        <f aca="false">IF(54&gt;$I$4,"",54)</f>
        <v>54</v>
      </c>
      <c r="C65" s="130" t="str">
        <f aca="false">IF($B65="","",INDEX('CARNET DE SOUDURE'!$B$7:$B$3006,MATCH(54,'CARNET DE SOUDURE'!$AT$7:$AT$3006,0)))</f>
        <v>MFD-ISW → MFD-CPF</v>
      </c>
      <c r="D65" s="130" t="str">
        <f aca="false">IF($B65="","",INDEX('CARNET DE SOUDURE'!$E$7:$E$3006,MATCH(54,'CARNET DE SOUDURE'!$AT$7:$AT$3006,0)))</f>
        <v>JN°820</v>
      </c>
      <c r="E65" s="130" t="n">
        <f aca="false">IF($B65="","",INDEX('CARNET DE SOUDURE'!$D$7:$D$3006,MATCH(54,'CARNET DE SOUDURE'!$AT$7:$AT$3006,0)))</f>
        <v>5</v>
      </c>
      <c r="F65" s="130" t="str">
        <f aca="false">IF($B65="","",INDEX('CARNET DE SOUDURE'!$R$7:$R$3006,MATCH(54,'CARNET DE SOUDURE'!$AT$7:$AT$3006,0))&amp;IF(INDEX('CARNET DE SOUDURE'!$S$7:$S$3006,MATCH(54,'CARNET DE SOUDURE'!$AT$7:$AT$3006,0))&lt;&gt;""," / "&amp;INDEX('CARNET DE SOUDURE'!$S$7:$S$3006,MATCH(54,'CARNET DE SOUDURE'!$AT$7:$AT$3006,0)),"")&amp;IF(INDEX('CARNET DE SOUDURE'!$T$7:$T$3006,MATCH(54,'CARNET DE SOUDURE'!$AT$7:$AT$3006,0))&lt;&gt;""," / "&amp;INDEX('CARNET DE SOUDURE'!$T$7:$T$3006,MATCH(54,'CARNET DE SOUDURE'!$AT$7:$AT$3006,0)),""))</f>
        <v>WR-46-51/33-45</v>
      </c>
      <c r="G65" s="131" t="n">
        <f aca="false">IF($B65="","",INDEX('CARNET DE SOUDURE'!$U$7:$U$3006,MATCH(54,'CARNET DE SOUDURE'!$AT$7:$AT$3006,0)))</f>
        <v>46287</v>
      </c>
      <c r="H65" s="132" t="str">
        <f aca="false">IF($B65="","",INDEX('CARNET DE SOUDURE'!$AQ$7:$AQ$3006,MATCH(54,'CARNET DE SOUDURE'!$AT$7:$AT$3006,0)))</f>
        <v>À RADIOGRAPHIER</v>
      </c>
      <c r="I65" s="133" t="n">
        <f aca="false">IF($B65="","",INDEX('CARNET DE SOUDURE'!$AO$7:$AO$3006,MATCH(54,'CARNET DE SOUDURE'!$AT$7:$AT$3006,0)))</f>
        <v>0</v>
      </c>
      <c r="J65" s="133" t="n">
        <f aca="false">IF($B65="","",INDEX('CARNET DE SOUDURE'!$AR$7:$AR$3006,MATCH(54,'CARNET DE SOUDURE'!$AT$7:$AT$3006,0)))</f>
        <v>6</v>
      </c>
      <c r="K65" s="129"/>
      <c r="L65" s="129"/>
    </row>
    <row r="66" customFormat="false" ht="15" hidden="false" customHeight="false" outlineLevel="0" collapsed="false">
      <c r="B66" s="125" t="n">
        <f aca="false">IF(55&gt;$I$4,"",55)</f>
        <v>55</v>
      </c>
      <c r="C66" s="125" t="str">
        <f aca="false">IF($B66="","",INDEX('CARNET DE SOUDURE'!$B$7:$B$3006,MATCH(55,'CARNET DE SOUDURE'!$AT$7:$AT$3006,0)))</f>
        <v>MFD-ISW → MFD-CPF</v>
      </c>
      <c r="D66" s="125" t="str">
        <f aca="false">IF($B66="","",INDEX('CARNET DE SOUDURE'!$E$7:$E$3006,MATCH(55,'CARNET DE SOUDURE'!$AT$7:$AT$3006,0)))</f>
        <v>JN°821</v>
      </c>
      <c r="E66" s="125" t="n">
        <f aca="false">IF($B66="","",INDEX('CARNET DE SOUDURE'!$D$7:$D$3006,MATCH(55,'CARNET DE SOUDURE'!$AT$7:$AT$3006,0)))</f>
        <v>5</v>
      </c>
      <c r="F66" s="125" t="str">
        <f aca="false">IF($B66="","",INDEX('CARNET DE SOUDURE'!$R$7:$R$3006,MATCH(55,'CARNET DE SOUDURE'!$AT$7:$AT$3006,0))&amp;IF(INDEX('CARNET DE SOUDURE'!$S$7:$S$3006,MATCH(55,'CARNET DE SOUDURE'!$AT$7:$AT$3006,0))&lt;&gt;""," / "&amp;INDEX('CARNET DE SOUDURE'!$S$7:$S$3006,MATCH(55,'CARNET DE SOUDURE'!$AT$7:$AT$3006,0)),"")&amp;IF(INDEX('CARNET DE SOUDURE'!$T$7:$T$3006,MATCH(55,'CARNET DE SOUDURE'!$AT$7:$AT$3006,0))&lt;&gt;""," / "&amp;INDEX('CARNET DE SOUDURE'!$T$7:$T$3006,MATCH(55,'CARNET DE SOUDURE'!$AT$7:$AT$3006,0)),""))</f>
        <v>WR-46-51/33-45</v>
      </c>
      <c r="G66" s="126" t="n">
        <f aca="false">IF($B66="","",INDEX('CARNET DE SOUDURE'!$U$7:$U$3006,MATCH(55,'CARNET DE SOUDURE'!$AT$7:$AT$3006,0)))</f>
        <v>46287</v>
      </c>
      <c r="H66" s="127" t="str">
        <f aca="false">IF($B66="","",INDEX('CARNET DE SOUDURE'!$AQ$7:$AQ$3006,MATCH(55,'CARNET DE SOUDURE'!$AT$7:$AT$3006,0)))</f>
        <v>À RADIOGRAPHIER</v>
      </c>
      <c r="I66" s="128" t="n">
        <f aca="false">IF($B66="","",INDEX('CARNET DE SOUDURE'!$AO$7:$AO$3006,MATCH(55,'CARNET DE SOUDURE'!$AT$7:$AT$3006,0)))</f>
        <v>0</v>
      </c>
      <c r="J66" s="128" t="n">
        <f aca="false">IF($B66="","",INDEX('CARNET DE SOUDURE'!$AR$7:$AR$3006,MATCH(55,'CARNET DE SOUDURE'!$AT$7:$AT$3006,0)))</f>
        <v>6</v>
      </c>
      <c r="K66" s="129"/>
      <c r="L66" s="129"/>
    </row>
    <row r="67" customFormat="false" ht="15" hidden="false" customHeight="false" outlineLevel="0" collapsed="false">
      <c r="B67" s="130" t="n">
        <f aca="false">IF(56&gt;$I$4,"",56)</f>
        <v>56</v>
      </c>
      <c r="C67" s="130" t="str">
        <f aca="false">IF($B67="","",INDEX('CARNET DE SOUDURE'!$B$7:$B$3006,MATCH(56,'CARNET DE SOUDURE'!$AT$7:$AT$3006,0)))</f>
        <v>MFD-ISW → MFD-CPF</v>
      </c>
      <c r="D67" s="130" t="str">
        <f aca="false">IF($B67="","",INDEX('CARNET DE SOUDURE'!$E$7:$E$3006,MATCH(56,'CARNET DE SOUDURE'!$AT$7:$AT$3006,0)))</f>
        <v>JN°822</v>
      </c>
      <c r="E67" s="130" t="n">
        <f aca="false">IF($B67="","",INDEX('CARNET DE SOUDURE'!$D$7:$D$3006,MATCH(56,'CARNET DE SOUDURE'!$AT$7:$AT$3006,0)))</f>
        <v>5</v>
      </c>
      <c r="F67" s="130" t="str">
        <f aca="false">IF($B67="","",INDEX('CARNET DE SOUDURE'!$R$7:$R$3006,MATCH(56,'CARNET DE SOUDURE'!$AT$7:$AT$3006,0))&amp;IF(INDEX('CARNET DE SOUDURE'!$S$7:$S$3006,MATCH(56,'CARNET DE SOUDURE'!$AT$7:$AT$3006,0))&lt;&gt;""," / "&amp;INDEX('CARNET DE SOUDURE'!$S$7:$S$3006,MATCH(56,'CARNET DE SOUDURE'!$AT$7:$AT$3006,0)),"")&amp;IF(INDEX('CARNET DE SOUDURE'!$T$7:$T$3006,MATCH(56,'CARNET DE SOUDURE'!$AT$7:$AT$3006,0))&lt;&gt;""," / "&amp;INDEX('CARNET DE SOUDURE'!$T$7:$T$3006,MATCH(56,'CARNET DE SOUDURE'!$AT$7:$AT$3006,0)),""))</f>
        <v>WR-46-51/33-45</v>
      </c>
      <c r="G67" s="131" t="n">
        <f aca="false">IF($B67="","",INDEX('CARNET DE SOUDURE'!$U$7:$U$3006,MATCH(56,'CARNET DE SOUDURE'!$AT$7:$AT$3006,0)))</f>
        <v>46287</v>
      </c>
      <c r="H67" s="132" t="str">
        <f aca="false">IF($B67="","",INDEX('CARNET DE SOUDURE'!$AQ$7:$AQ$3006,MATCH(56,'CARNET DE SOUDURE'!$AT$7:$AT$3006,0)))</f>
        <v>À RADIOGRAPHIER</v>
      </c>
      <c r="I67" s="133" t="n">
        <f aca="false">IF($B67="","",INDEX('CARNET DE SOUDURE'!$AO$7:$AO$3006,MATCH(56,'CARNET DE SOUDURE'!$AT$7:$AT$3006,0)))</f>
        <v>0</v>
      </c>
      <c r="J67" s="133" t="n">
        <f aca="false">IF($B67="","",INDEX('CARNET DE SOUDURE'!$AR$7:$AR$3006,MATCH(56,'CARNET DE SOUDURE'!$AT$7:$AT$3006,0)))</f>
        <v>6</v>
      </c>
      <c r="K67" s="129"/>
      <c r="L67" s="129"/>
    </row>
    <row r="68" customFormat="false" ht="15" hidden="false" customHeight="false" outlineLevel="0" collapsed="false">
      <c r="B68" s="125" t="n">
        <f aca="false">IF(57&gt;$I$4,"",57)</f>
        <v>57</v>
      </c>
      <c r="C68" s="125" t="str">
        <f aca="false">IF($B68="","",INDEX('CARNET DE SOUDURE'!$B$7:$B$3006,MATCH(57,'CARNET DE SOUDURE'!$AT$7:$AT$3006,0)))</f>
        <v>MFD-ISW → MFD-CPF</v>
      </c>
      <c r="D68" s="125" t="str">
        <f aca="false">IF($B68="","",INDEX('CARNET DE SOUDURE'!$E$7:$E$3006,MATCH(57,'CARNET DE SOUDURE'!$AT$7:$AT$3006,0)))</f>
        <v>JN°823</v>
      </c>
      <c r="E68" s="125" t="n">
        <f aca="false">IF($B68="","",INDEX('CARNET DE SOUDURE'!$D$7:$D$3006,MATCH(57,'CARNET DE SOUDURE'!$AT$7:$AT$3006,0)))</f>
        <v>5</v>
      </c>
      <c r="F68" s="125" t="str">
        <f aca="false">IF($B68="","",INDEX('CARNET DE SOUDURE'!$R$7:$R$3006,MATCH(57,'CARNET DE SOUDURE'!$AT$7:$AT$3006,0))&amp;IF(INDEX('CARNET DE SOUDURE'!$S$7:$S$3006,MATCH(57,'CARNET DE SOUDURE'!$AT$7:$AT$3006,0))&lt;&gt;""," / "&amp;INDEX('CARNET DE SOUDURE'!$S$7:$S$3006,MATCH(57,'CARNET DE SOUDURE'!$AT$7:$AT$3006,0)),"")&amp;IF(INDEX('CARNET DE SOUDURE'!$T$7:$T$3006,MATCH(57,'CARNET DE SOUDURE'!$AT$7:$AT$3006,0))&lt;&gt;""," / "&amp;INDEX('CARNET DE SOUDURE'!$T$7:$T$3006,MATCH(57,'CARNET DE SOUDURE'!$AT$7:$AT$3006,0)),""))</f>
        <v>WR-46-51/33-45</v>
      </c>
      <c r="G68" s="126" t="n">
        <f aca="false">IF($B68="","",INDEX('CARNET DE SOUDURE'!$U$7:$U$3006,MATCH(57,'CARNET DE SOUDURE'!$AT$7:$AT$3006,0)))</f>
        <v>46287</v>
      </c>
      <c r="H68" s="127" t="str">
        <f aca="false">IF($B68="","",INDEX('CARNET DE SOUDURE'!$AQ$7:$AQ$3006,MATCH(57,'CARNET DE SOUDURE'!$AT$7:$AT$3006,0)))</f>
        <v>À RADIOGRAPHIER</v>
      </c>
      <c r="I68" s="128" t="n">
        <f aca="false">IF($B68="","",INDEX('CARNET DE SOUDURE'!$AO$7:$AO$3006,MATCH(57,'CARNET DE SOUDURE'!$AT$7:$AT$3006,0)))</f>
        <v>0</v>
      </c>
      <c r="J68" s="128" t="n">
        <f aca="false">IF($B68="","",INDEX('CARNET DE SOUDURE'!$AR$7:$AR$3006,MATCH(57,'CARNET DE SOUDURE'!$AT$7:$AT$3006,0)))</f>
        <v>6</v>
      </c>
      <c r="K68" s="129"/>
      <c r="L68" s="129"/>
    </row>
    <row r="69" customFormat="false" ht="15" hidden="false" customHeight="false" outlineLevel="0" collapsed="false">
      <c r="B69" s="130" t="n">
        <f aca="false">IF(58&gt;$I$4,"",58)</f>
        <v>58</v>
      </c>
      <c r="C69" s="130" t="str">
        <f aca="false">IF($B69="","",INDEX('CARNET DE SOUDURE'!$B$7:$B$3006,MATCH(58,'CARNET DE SOUDURE'!$AT$7:$AT$3006,0)))</f>
        <v>MFD-ISW → MFD-CPF</v>
      </c>
      <c r="D69" s="130" t="str">
        <f aca="false">IF($B69="","",INDEX('CARNET DE SOUDURE'!$E$7:$E$3006,MATCH(58,'CARNET DE SOUDURE'!$AT$7:$AT$3006,0)))</f>
        <v>JN°824</v>
      </c>
      <c r="E69" s="130" t="n">
        <f aca="false">IF($B69="","",INDEX('CARNET DE SOUDURE'!$D$7:$D$3006,MATCH(58,'CARNET DE SOUDURE'!$AT$7:$AT$3006,0)))</f>
        <v>5</v>
      </c>
      <c r="F69" s="130" t="str">
        <f aca="false">IF($B69="","",INDEX('CARNET DE SOUDURE'!$R$7:$R$3006,MATCH(58,'CARNET DE SOUDURE'!$AT$7:$AT$3006,0))&amp;IF(INDEX('CARNET DE SOUDURE'!$S$7:$S$3006,MATCH(58,'CARNET DE SOUDURE'!$AT$7:$AT$3006,0))&lt;&gt;""," / "&amp;INDEX('CARNET DE SOUDURE'!$S$7:$S$3006,MATCH(58,'CARNET DE SOUDURE'!$AT$7:$AT$3006,0)),"")&amp;IF(INDEX('CARNET DE SOUDURE'!$T$7:$T$3006,MATCH(58,'CARNET DE SOUDURE'!$AT$7:$AT$3006,0))&lt;&gt;""," / "&amp;INDEX('CARNET DE SOUDURE'!$T$7:$T$3006,MATCH(58,'CARNET DE SOUDURE'!$AT$7:$AT$3006,0)),""))</f>
        <v>WR-46-51/33-45</v>
      </c>
      <c r="G69" s="131" t="n">
        <f aca="false">IF($B69="","",INDEX('CARNET DE SOUDURE'!$U$7:$U$3006,MATCH(58,'CARNET DE SOUDURE'!$AT$7:$AT$3006,0)))</f>
        <v>46287</v>
      </c>
      <c r="H69" s="132" t="str">
        <f aca="false">IF($B69="","",INDEX('CARNET DE SOUDURE'!$AQ$7:$AQ$3006,MATCH(58,'CARNET DE SOUDURE'!$AT$7:$AT$3006,0)))</f>
        <v>À RADIOGRAPHIER</v>
      </c>
      <c r="I69" s="133" t="n">
        <f aca="false">IF($B69="","",INDEX('CARNET DE SOUDURE'!$AO$7:$AO$3006,MATCH(58,'CARNET DE SOUDURE'!$AT$7:$AT$3006,0)))</f>
        <v>0</v>
      </c>
      <c r="J69" s="133" t="n">
        <f aca="false">IF($B69="","",INDEX('CARNET DE SOUDURE'!$AR$7:$AR$3006,MATCH(58,'CARNET DE SOUDURE'!$AT$7:$AT$3006,0)))</f>
        <v>6</v>
      </c>
      <c r="K69" s="129"/>
      <c r="L69" s="129"/>
    </row>
    <row r="70" customFormat="false" ht="15" hidden="false" customHeight="false" outlineLevel="0" collapsed="false">
      <c r="B70" s="125" t="n">
        <f aca="false">IF(59&gt;$I$4,"",59)</f>
        <v>59</v>
      </c>
      <c r="C70" s="125" t="str">
        <f aca="false">IF($B70="","",INDEX('CARNET DE SOUDURE'!$B$7:$B$3006,MATCH(59,'CARNET DE SOUDURE'!$AT$7:$AT$3006,0)))</f>
        <v>MFD-ISW → MFD-CPF</v>
      </c>
      <c r="D70" s="125" t="str">
        <f aca="false">IF($B70="","",INDEX('CARNET DE SOUDURE'!$E$7:$E$3006,MATCH(59,'CARNET DE SOUDURE'!$AT$7:$AT$3006,0)))</f>
        <v>JN°825</v>
      </c>
      <c r="E70" s="125" t="n">
        <f aca="false">IF($B70="","",INDEX('CARNET DE SOUDURE'!$D$7:$D$3006,MATCH(59,'CARNET DE SOUDURE'!$AT$7:$AT$3006,0)))</f>
        <v>5</v>
      </c>
      <c r="F70" s="125" t="str">
        <f aca="false">IF($B70="","",INDEX('CARNET DE SOUDURE'!$R$7:$R$3006,MATCH(59,'CARNET DE SOUDURE'!$AT$7:$AT$3006,0))&amp;IF(INDEX('CARNET DE SOUDURE'!$S$7:$S$3006,MATCH(59,'CARNET DE SOUDURE'!$AT$7:$AT$3006,0))&lt;&gt;""," / "&amp;INDEX('CARNET DE SOUDURE'!$S$7:$S$3006,MATCH(59,'CARNET DE SOUDURE'!$AT$7:$AT$3006,0)),"")&amp;IF(INDEX('CARNET DE SOUDURE'!$T$7:$T$3006,MATCH(59,'CARNET DE SOUDURE'!$AT$7:$AT$3006,0))&lt;&gt;""," / "&amp;INDEX('CARNET DE SOUDURE'!$T$7:$T$3006,MATCH(59,'CARNET DE SOUDURE'!$AT$7:$AT$3006,0)),""))</f>
        <v>WR-46-51/33-45</v>
      </c>
      <c r="G70" s="126" t="n">
        <f aca="false">IF($B70="","",INDEX('CARNET DE SOUDURE'!$U$7:$U$3006,MATCH(59,'CARNET DE SOUDURE'!$AT$7:$AT$3006,0)))</f>
        <v>46287</v>
      </c>
      <c r="H70" s="127" t="str">
        <f aca="false">IF($B70="","",INDEX('CARNET DE SOUDURE'!$AQ$7:$AQ$3006,MATCH(59,'CARNET DE SOUDURE'!$AT$7:$AT$3006,0)))</f>
        <v>À RADIOGRAPHIER</v>
      </c>
      <c r="I70" s="128" t="n">
        <f aca="false">IF($B70="","",INDEX('CARNET DE SOUDURE'!$AO$7:$AO$3006,MATCH(59,'CARNET DE SOUDURE'!$AT$7:$AT$3006,0)))</f>
        <v>0</v>
      </c>
      <c r="J70" s="128" t="n">
        <f aca="false">IF($B70="","",INDEX('CARNET DE SOUDURE'!$AR$7:$AR$3006,MATCH(59,'CARNET DE SOUDURE'!$AT$7:$AT$3006,0)))</f>
        <v>6</v>
      </c>
      <c r="K70" s="129"/>
      <c r="L70" s="129"/>
    </row>
    <row r="71" customFormat="false" ht="15" hidden="false" customHeight="false" outlineLevel="0" collapsed="false">
      <c r="B71" s="130" t="n">
        <f aca="false">IF(60&gt;$I$4,"",60)</f>
        <v>60</v>
      </c>
      <c r="C71" s="130" t="str">
        <f aca="false">IF($B71="","",INDEX('CARNET DE SOUDURE'!$B$7:$B$3006,MATCH(60,'CARNET DE SOUDURE'!$AT$7:$AT$3006,0)))</f>
        <v>MFD-ISW → MFD-CPF</v>
      </c>
      <c r="D71" s="130" t="str">
        <f aca="false">IF($B71="","",INDEX('CARNET DE SOUDURE'!$E$7:$E$3006,MATCH(60,'CARNET DE SOUDURE'!$AT$7:$AT$3006,0)))</f>
        <v>JN°826</v>
      </c>
      <c r="E71" s="130" t="n">
        <f aca="false">IF($B71="","",INDEX('CARNET DE SOUDURE'!$D$7:$D$3006,MATCH(60,'CARNET DE SOUDURE'!$AT$7:$AT$3006,0)))</f>
        <v>5</v>
      </c>
      <c r="F71" s="130" t="str">
        <f aca="false">IF($B71="","",INDEX('CARNET DE SOUDURE'!$R$7:$R$3006,MATCH(60,'CARNET DE SOUDURE'!$AT$7:$AT$3006,0))&amp;IF(INDEX('CARNET DE SOUDURE'!$S$7:$S$3006,MATCH(60,'CARNET DE SOUDURE'!$AT$7:$AT$3006,0))&lt;&gt;""," / "&amp;INDEX('CARNET DE SOUDURE'!$S$7:$S$3006,MATCH(60,'CARNET DE SOUDURE'!$AT$7:$AT$3006,0)),"")&amp;IF(INDEX('CARNET DE SOUDURE'!$T$7:$T$3006,MATCH(60,'CARNET DE SOUDURE'!$AT$7:$AT$3006,0))&lt;&gt;""," / "&amp;INDEX('CARNET DE SOUDURE'!$T$7:$T$3006,MATCH(60,'CARNET DE SOUDURE'!$AT$7:$AT$3006,0)),""))</f>
        <v>WR-46-51/33-45</v>
      </c>
      <c r="G71" s="131" t="n">
        <f aca="false">IF($B71="","",INDEX('CARNET DE SOUDURE'!$U$7:$U$3006,MATCH(60,'CARNET DE SOUDURE'!$AT$7:$AT$3006,0)))</f>
        <v>46287</v>
      </c>
      <c r="H71" s="132" t="str">
        <f aca="false">IF($B71="","",INDEX('CARNET DE SOUDURE'!$AQ$7:$AQ$3006,MATCH(60,'CARNET DE SOUDURE'!$AT$7:$AT$3006,0)))</f>
        <v>À RADIOGRAPHIER</v>
      </c>
      <c r="I71" s="133" t="n">
        <f aca="false">IF($B71="","",INDEX('CARNET DE SOUDURE'!$AO$7:$AO$3006,MATCH(60,'CARNET DE SOUDURE'!$AT$7:$AT$3006,0)))</f>
        <v>0</v>
      </c>
      <c r="J71" s="133" t="n">
        <f aca="false">IF($B71="","",INDEX('CARNET DE SOUDURE'!$AR$7:$AR$3006,MATCH(60,'CARNET DE SOUDURE'!$AT$7:$AT$3006,0)))</f>
        <v>6</v>
      </c>
      <c r="K71" s="129"/>
      <c r="L71" s="129"/>
    </row>
    <row r="72" customFormat="false" ht="15" hidden="false" customHeight="false" outlineLevel="0" collapsed="false">
      <c r="B72" s="125" t="n">
        <f aca="false">IF(61&gt;$I$4,"",61)</f>
        <v>61</v>
      </c>
      <c r="C72" s="125" t="str">
        <f aca="false">IF($B72="","",INDEX('CARNET DE SOUDURE'!$B$7:$B$3006,MATCH(61,'CARNET DE SOUDURE'!$AT$7:$AT$3006,0)))</f>
        <v>MFD-ISW → MFD-CPF</v>
      </c>
      <c r="D72" s="125" t="str">
        <f aca="false">IF($B72="","",INDEX('CARNET DE SOUDURE'!$E$7:$E$3006,MATCH(61,'CARNET DE SOUDURE'!$AT$7:$AT$3006,0)))</f>
        <v>JN°827</v>
      </c>
      <c r="E72" s="125" t="n">
        <f aca="false">IF($B72="","",INDEX('CARNET DE SOUDURE'!$D$7:$D$3006,MATCH(61,'CARNET DE SOUDURE'!$AT$7:$AT$3006,0)))</f>
        <v>5</v>
      </c>
      <c r="F72" s="125" t="str">
        <f aca="false">IF($B72="","",INDEX('CARNET DE SOUDURE'!$R$7:$R$3006,MATCH(61,'CARNET DE SOUDURE'!$AT$7:$AT$3006,0))&amp;IF(INDEX('CARNET DE SOUDURE'!$S$7:$S$3006,MATCH(61,'CARNET DE SOUDURE'!$AT$7:$AT$3006,0))&lt;&gt;""," / "&amp;INDEX('CARNET DE SOUDURE'!$S$7:$S$3006,MATCH(61,'CARNET DE SOUDURE'!$AT$7:$AT$3006,0)),"")&amp;IF(INDEX('CARNET DE SOUDURE'!$T$7:$T$3006,MATCH(61,'CARNET DE SOUDURE'!$AT$7:$AT$3006,0))&lt;&gt;""," / "&amp;INDEX('CARNET DE SOUDURE'!$T$7:$T$3006,MATCH(61,'CARNET DE SOUDURE'!$AT$7:$AT$3006,0)),""))</f>
        <v>WR-46-51/33-45</v>
      </c>
      <c r="G72" s="126" t="n">
        <f aca="false">IF($B72="","",INDEX('CARNET DE SOUDURE'!$U$7:$U$3006,MATCH(61,'CARNET DE SOUDURE'!$AT$7:$AT$3006,0)))</f>
        <v>46287</v>
      </c>
      <c r="H72" s="127" t="str">
        <f aca="false">IF($B72="","",INDEX('CARNET DE SOUDURE'!$AQ$7:$AQ$3006,MATCH(61,'CARNET DE SOUDURE'!$AT$7:$AT$3006,0)))</f>
        <v>À RADIOGRAPHIER</v>
      </c>
      <c r="I72" s="128" t="n">
        <f aca="false">IF($B72="","",INDEX('CARNET DE SOUDURE'!$AO$7:$AO$3006,MATCH(61,'CARNET DE SOUDURE'!$AT$7:$AT$3006,0)))</f>
        <v>0</v>
      </c>
      <c r="J72" s="128" t="n">
        <f aca="false">IF($B72="","",INDEX('CARNET DE SOUDURE'!$AR$7:$AR$3006,MATCH(61,'CARNET DE SOUDURE'!$AT$7:$AT$3006,0)))</f>
        <v>6</v>
      </c>
      <c r="K72" s="129"/>
      <c r="L72" s="129"/>
    </row>
    <row r="73" customFormat="false" ht="15" hidden="false" customHeight="false" outlineLevel="0" collapsed="false">
      <c r="B73" s="130" t="n">
        <f aca="false">IF(62&gt;$I$4,"",62)</f>
        <v>62</v>
      </c>
      <c r="C73" s="130" t="str">
        <f aca="false">IF($B73="","",INDEX('CARNET DE SOUDURE'!$B$7:$B$3006,MATCH(62,'CARNET DE SOUDURE'!$AT$7:$AT$3006,0)))</f>
        <v>MFD-ISW → MFD-CPF</v>
      </c>
      <c r="D73" s="130" t="str">
        <f aca="false">IF($B73="","",INDEX('CARNET DE SOUDURE'!$E$7:$E$3006,MATCH(62,'CARNET DE SOUDURE'!$AT$7:$AT$3006,0)))</f>
        <v>JN°828</v>
      </c>
      <c r="E73" s="130" t="n">
        <f aca="false">IF($B73="","",INDEX('CARNET DE SOUDURE'!$D$7:$D$3006,MATCH(62,'CARNET DE SOUDURE'!$AT$7:$AT$3006,0)))</f>
        <v>5</v>
      </c>
      <c r="F73" s="130" t="str">
        <f aca="false">IF($B73="","",INDEX('CARNET DE SOUDURE'!$R$7:$R$3006,MATCH(62,'CARNET DE SOUDURE'!$AT$7:$AT$3006,0))&amp;IF(INDEX('CARNET DE SOUDURE'!$S$7:$S$3006,MATCH(62,'CARNET DE SOUDURE'!$AT$7:$AT$3006,0))&lt;&gt;""," / "&amp;INDEX('CARNET DE SOUDURE'!$S$7:$S$3006,MATCH(62,'CARNET DE SOUDURE'!$AT$7:$AT$3006,0)),"")&amp;IF(INDEX('CARNET DE SOUDURE'!$T$7:$T$3006,MATCH(62,'CARNET DE SOUDURE'!$AT$7:$AT$3006,0))&lt;&gt;""," / "&amp;INDEX('CARNET DE SOUDURE'!$T$7:$T$3006,MATCH(62,'CARNET DE SOUDURE'!$AT$7:$AT$3006,0)),""))</f>
        <v>WR-46-51/33-45</v>
      </c>
      <c r="G73" s="131" t="n">
        <f aca="false">IF($B73="","",INDEX('CARNET DE SOUDURE'!$U$7:$U$3006,MATCH(62,'CARNET DE SOUDURE'!$AT$7:$AT$3006,0)))</f>
        <v>46287</v>
      </c>
      <c r="H73" s="132" t="str">
        <f aca="false">IF($B73="","",INDEX('CARNET DE SOUDURE'!$AQ$7:$AQ$3006,MATCH(62,'CARNET DE SOUDURE'!$AT$7:$AT$3006,0)))</f>
        <v>À RADIOGRAPHIER</v>
      </c>
      <c r="I73" s="133" t="n">
        <f aca="false">IF($B73="","",INDEX('CARNET DE SOUDURE'!$AO$7:$AO$3006,MATCH(62,'CARNET DE SOUDURE'!$AT$7:$AT$3006,0)))</f>
        <v>0</v>
      </c>
      <c r="J73" s="133" t="n">
        <f aca="false">IF($B73="","",INDEX('CARNET DE SOUDURE'!$AR$7:$AR$3006,MATCH(62,'CARNET DE SOUDURE'!$AT$7:$AT$3006,0)))</f>
        <v>6</v>
      </c>
      <c r="K73" s="129"/>
      <c r="L73" s="129"/>
    </row>
    <row r="74" customFormat="false" ht="15" hidden="false" customHeight="false" outlineLevel="0" collapsed="false">
      <c r="B74" s="125" t="n">
        <f aca="false">IF(63&gt;$I$4,"",63)</f>
        <v>63</v>
      </c>
      <c r="C74" s="125" t="str">
        <f aca="false">IF($B74="","",INDEX('CARNET DE SOUDURE'!$B$7:$B$3006,MATCH(63,'CARNET DE SOUDURE'!$AT$7:$AT$3006,0)))</f>
        <v>MFD-ISW → MFD-CPF</v>
      </c>
      <c r="D74" s="125" t="str">
        <f aca="false">IF($B74="","",INDEX('CARNET DE SOUDURE'!$E$7:$E$3006,MATCH(63,'CARNET DE SOUDURE'!$AT$7:$AT$3006,0)))</f>
        <v>JN°829</v>
      </c>
      <c r="E74" s="125" t="n">
        <f aca="false">IF($B74="","",INDEX('CARNET DE SOUDURE'!$D$7:$D$3006,MATCH(63,'CARNET DE SOUDURE'!$AT$7:$AT$3006,0)))</f>
        <v>5</v>
      </c>
      <c r="F74" s="125" t="str">
        <f aca="false">IF($B74="","",INDEX('CARNET DE SOUDURE'!$R$7:$R$3006,MATCH(63,'CARNET DE SOUDURE'!$AT$7:$AT$3006,0))&amp;IF(INDEX('CARNET DE SOUDURE'!$S$7:$S$3006,MATCH(63,'CARNET DE SOUDURE'!$AT$7:$AT$3006,0))&lt;&gt;""," / "&amp;INDEX('CARNET DE SOUDURE'!$S$7:$S$3006,MATCH(63,'CARNET DE SOUDURE'!$AT$7:$AT$3006,0)),"")&amp;IF(INDEX('CARNET DE SOUDURE'!$T$7:$T$3006,MATCH(63,'CARNET DE SOUDURE'!$AT$7:$AT$3006,0))&lt;&gt;""," / "&amp;INDEX('CARNET DE SOUDURE'!$T$7:$T$3006,MATCH(63,'CARNET DE SOUDURE'!$AT$7:$AT$3006,0)),""))</f>
        <v>WR-46-51/33-45</v>
      </c>
      <c r="G74" s="126" t="n">
        <f aca="false">IF($B74="","",INDEX('CARNET DE SOUDURE'!$U$7:$U$3006,MATCH(63,'CARNET DE SOUDURE'!$AT$7:$AT$3006,0)))</f>
        <v>46287</v>
      </c>
      <c r="H74" s="127" t="str">
        <f aca="false">IF($B74="","",INDEX('CARNET DE SOUDURE'!$AQ$7:$AQ$3006,MATCH(63,'CARNET DE SOUDURE'!$AT$7:$AT$3006,0)))</f>
        <v>À RADIOGRAPHIER</v>
      </c>
      <c r="I74" s="128" t="n">
        <f aca="false">IF($B74="","",INDEX('CARNET DE SOUDURE'!$AO$7:$AO$3006,MATCH(63,'CARNET DE SOUDURE'!$AT$7:$AT$3006,0)))</f>
        <v>0</v>
      </c>
      <c r="J74" s="128" t="n">
        <f aca="false">IF($B74="","",INDEX('CARNET DE SOUDURE'!$AR$7:$AR$3006,MATCH(63,'CARNET DE SOUDURE'!$AT$7:$AT$3006,0)))</f>
        <v>6</v>
      </c>
      <c r="K74" s="129"/>
      <c r="L74" s="129"/>
    </row>
    <row r="75" customFormat="false" ht="15" hidden="false" customHeight="false" outlineLevel="0" collapsed="false">
      <c r="B75" s="130" t="n">
        <f aca="false">IF(64&gt;$I$4,"",64)</f>
        <v>64</v>
      </c>
      <c r="C75" s="130" t="str">
        <f aca="false">IF($B75="","",INDEX('CARNET DE SOUDURE'!$B$7:$B$3006,MATCH(64,'CARNET DE SOUDURE'!$AT$7:$AT$3006,0)))</f>
        <v>MFD-ISW → MFD-CPF</v>
      </c>
      <c r="D75" s="130" t="str">
        <f aca="false">IF($B75="","",INDEX('CARNET DE SOUDURE'!$E$7:$E$3006,MATCH(64,'CARNET DE SOUDURE'!$AT$7:$AT$3006,0)))</f>
        <v>JN°830</v>
      </c>
      <c r="E75" s="130" t="n">
        <f aca="false">IF($B75="","",INDEX('CARNET DE SOUDURE'!$D$7:$D$3006,MATCH(64,'CARNET DE SOUDURE'!$AT$7:$AT$3006,0)))</f>
        <v>5</v>
      </c>
      <c r="F75" s="130" t="str">
        <f aca="false">IF($B75="","",INDEX('CARNET DE SOUDURE'!$R$7:$R$3006,MATCH(64,'CARNET DE SOUDURE'!$AT$7:$AT$3006,0))&amp;IF(INDEX('CARNET DE SOUDURE'!$S$7:$S$3006,MATCH(64,'CARNET DE SOUDURE'!$AT$7:$AT$3006,0))&lt;&gt;""," / "&amp;INDEX('CARNET DE SOUDURE'!$S$7:$S$3006,MATCH(64,'CARNET DE SOUDURE'!$AT$7:$AT$3006,0)),"")&amp;IF(INDEX('CARNET DE SOUDURE'!$T$7:$T$3006,MATCH(64,'CARNET DE SOUDURE'!$AT$7:$AT$3006,0))&lt;&gt;""," / "&amp;INDEX('CARNET DE SOUDURE'!$T$7:$T$3006,MATCH(64,'CARNET DE SOUDURE'!$AT$7:$AT$3006,0)),""))</f>
        <v>WR-46-51/33-45</v>
      </c>
      <c r="G75" s="131" t="n">
        <f aca="false">IF($B75="","",INDEX('CARNET DE SOUDURE'!$U$7:$U$3006,MATCH(64,'CARNET DE SOUDURE'!$AT$7:$AT$3006,0)))</f>
        <v>46287</v>
      </c>
      <c r="H75" s="132" t="str">
        <f aca="false">IF($B75="","",INDEX('CARNET DE SOUDURE'!$AQ$7:$AQ$3006,MATCH(64,'CARNET DE SOUDURE'!$AT$7:$AT$3006,0)))</f>
        <v>À RADIOGRAPHIER</v>
      </c>
      <c r="I75" s="133" t="n">
        <f aca="false">IF($B75="","",INDEX('CARNET DE SOUDURE'!$AO$7:$AO$3006,MATCH(64,'CARNET DE SOUDURE'!$AT$7:$AT$3006,0)))</f>
        <v>0</v>
      </c>
      <c r="J75" s="133" t="n">
        <f aca="false">IF($B75="","",INDEX('CARNET DE SOUDURE'!$AR$7:$AR$3006,MATCH(64,'CARNET DE SOUDURE'!$AT$7:$AT$3006,0)))</f>
        <v>6</v>
      </c>
      <c r="K75" s="129"/>
      <c r="L75" s="129"/>
    </row>
    <row r="76" customFormat="false" ht="15" hidden="false" customHeight="false" outlineLevel="0" collapsed="false">
      <c r="B76" s="125" t="n">
        <f aca="false">IF(65&gt;$I$4,"",65)</f>
        <v>65</v>
      </c>
      <c r="C76" s="125" t="str">
        <f aca="false">IF($B76="","",INDEX('CARNET DE SOUDURE'!$B$7:$B$3006,MATCH(65,'CARNET DE SOUDURE'!$AT$7:$AT$3006,0)))</f>
        <v>MFD-ISW → MFD-CPF</v>
      </c>
      <c r="D76" s="125" t="str">
        <f aca="false">IF($B76="","",INDEX('CARNET DE SOUDURE'!$E$7:$E$3006,MATCH(65,'CARNET DE SOUDURE'!$AT$7:$AT$3006,0)))</f>
        <v>JN°831</v>
      </c>
      <c r="E76" s="125" t="n">
        <f aca="false">IF($B76="","",INDEX('CARNET DE SOUDURE'!$D$7:$D$3006,MATCH(65,'CARNET DE SOUDURE'!$AT$7:$AT$3006,0)))</f>
        <v>5</v>
      </c>
      <c r="F76" s="125" t="str">
        <f aca="false">IF($B76="","",INDEX('CARNET DE SOUDURE'!$R$7:$R$3006,MATCH(65,'CARNET DE SOUDURE'!$AT$7:$AT$3006,0))&amp;IF(INDEX('CARNET DE SOUDURE'!$S$7:$S$3006,MATCH(65,'CARNET DE SOUDURE'!$AT$7:$AT$3006,0))&lt;&gt;""," / "&amp;INDEX('CARNET DE SOUDURE'!$S$7:$S$3006,MATCH(65,'CARNET DE SOUDURE'!$AT$7:$AT$3006,0)),"")&amp;IF(INDEX('CARNET DE SOUDURE'!$T$7:$T$3006,MATCH(65,'CARNET DE SOUDURE'!$AT$7:$AT$3006,0))&lt;&gt;""," / "&amp;INDEX('CARNET DE SOUDURE'!$T$7:$T$3006,MATCH(65,'CARNET DE SOUDURE'!$AT$7:$AT$3006,0)),""))</f>
        <v>WR-46-51/33-45</v>
      </c>
      <c r="G76" s="126" t="n">
        <f aca="false">IF($B76="","",INDEX('CARNET DE SOUDURE'!$U$7:$U$3006,MATCH(65,'CARNET DE SOUDURE'!$AT$7:$AT$3006,0)))</f>
        <v>46287</v>
      </c>
      <c r="H76" s="127" t="str">
        <f aca="false">IF($B76="","",INDEX('CARNET DE SOUDURE'!$AQ$7:$AQ$3006,MATCH(65,'CARNET DE SOUDURE'!$AT$7:$AT$3006,0)))</f>
        <v>À RADIOGRAPHIER</v>
      </c>
      <c r="I76" s="128" t="n">
        <f aca="false">IF($B76="","",INDEX('CARNET DE SOUDURE'!$AO$7:$AO$3006,MATCH(65,'CARNET DE SOUDURE'!$AT$7:$AT$3006,0)))</f>
        <v>0</v>
      </c>
      <c r="J76" s="128" t="n">
        <f aca="false">IF($B76="","",INDEX('CARNET DE SOUDURE'!$AR$7:$AR$3006,MATCH(65,'CARNET DE SOUDURE'!$AT$7:$AT$3006,0)))</f>
        <v>6</v>
      </c>
      <c r="K76" s="129"/>
      <c r="L76" s="129"/>
    </row>
    <row r="77" customFormat="false" ht="15" hidden="false" customHeight="false" outlineLevel="0" collapsed="false">
      <c r="B77" s="130" t="n">
        <f aca="false">IF(66&gt;$I$4,"",66)</f>
        <v>66</v>
      </c>
      <c r="C77" s="130" t="str">
        <f aca="false">IF($B77="","",INDEX('CARNET DE SOUDURE'!$B$7:$B$3006,MATCH(66,'CARNET DE SOUDURE'!$AT$7:$AT$3006,0)))</f>
        <v>MFD-ISW → MFD-CPF</v>
      </c>
      <c r="D77" s="130" t="str">
        <f aca="false">IF($B77="","",INDEX('CARNET DE SOUDURE'!$E$7:$E$3006,MATCH(66,'CARNET DE SOUDURE'!$AT$7:$AT$3006,0)))</f>
        <v>JN°867</v>
      </c>
      <c r="E77" s="130" t="n">
        <f aca="false">IF($B77="","",INDEX('CARNET DE SOUDURE'!$D$7:$D$3006,MATCH(66,'CARNET DE SOUDURE'!$AT$7:$AT$3006,0)))</f>
        <v>6</v>
      </c>
      <c r="F77" s="130" t="str">
        <f aca="false">IF($B77="","",INDEX('CARNET DE SOUDURE'!$R$7:$R$3006,MATCH(66,'CARNET DE SOUDURE'!$AT$7:$AT$3006,0))&amp;IF(INDEX('CARNET DE SOUDURE'!$S$7:$S$3006,MATCH(66,'CARNET DE SOUDURE'!$AT$7:$AT$3006,0))&lt;&gt;""," / "&amp;INDEX('CARNET DE SOUDURE'!$S$7:$S$3006,MATCH(66,'CARNET DE SOUDURE'!$AT$7:$AT$3006,0)),"")&amp;IF(INDEX('CARNET DE SOUDURE'!$T$7:$T$3006,MATCH(66,'CARNET DE SOUDURE'!$AT$7:$AT$3006,0))&lt;&gt;""," / "&amp;INDEX('CARNET DE SOUDURE'!$T$7:$T$3006,MATCH(66,'CARNET DE SOUDURE'!$AT$7:$AT$3006,0)),""))</f>
        <v>WR-46-52/30-33/51-45</v>
      </c>
      <c r="G77" s="131" t="n">
        <f aca="false">IF($B77="","",INDEX('CARNET DE SOUDURE'!$U$7:$U$3006,MATCH(66,'CARNET DE SOUDURE'!$AT$7:$AT$3006,0)))</f>
        <v>46284</v>
      </c>
      <c r="H77" s="132" t="str">
        <f aca="false">IF($B77="","",INDEX('CARNET DE SOUDURE'!$AQ$7:$AQ$3006,MATCH(66,'CARNET DE SOUDURE'!$AT$7:$AT$3006,0)))</f>
        <v>NX – RT À REFAIRE</v>
      </c>
      <c r="I77" s="133" t="n">
        <f aca="false">IF($B77="","",INDEX('CARNET DE SOUDURE'!$AO$7:$AO$3006,MATCH(66,'CARNET DE SOUDURE'!$AT$7:$AT$3006,0)))</f>
        <v>1</v>
      </c>
      <c r="J77" s="133" t="n">
        <f aca="false">IF($B77="","",INDEX('CARNET DE SOUDURE'!$AR$7:$AR$3006,MATCH(66,'CARNET DE SOUDURE'!$AT$7:$AT$3006,0)))</f>
        <v>9</v>
      </c>
      <c r="K77" s="129"/>
      <c r="L77" s="129"/>
    </row>
    <row r="78" customFormat="false" ht="15" hidden="false" customHeight="false" outlineLevel="0" collapsed="false">
      <c r="B78" s="125" t="n">
        <f aca="false">IF(67&gt;$I$4,"",67)</f>
        <v>67</v>
      </c>
      <c r="C78" s="125" t="str">
        <f aca="false">IF($B78="","",INDEX('CARNET DE SOUDURE'!$B$7:$B$3006,MATCH(67,'CARNET DE SOUDURE'!$AT$7:$AT$3006,0)))</f>
        <v>MFD-ISW → MFD-CPF</v>
      </c>
      <c r="D78" s="125" t="str">
        <f aca="false">IF($B78="","",INDEX('CARNET DE SOUDURE'!$E$7:$E$3006,MATCH(67,'CARNET DE SOUDURE'!$AT$7:$AT$3006,0)))</f>
        <v>JN°928</v>
      </c>
      <c r="E78" s="125" t="n">
        <f aca="false">IF($B78="","",INDEX('CARNET DE SOUDURE'!$D$7:$D$3006,MATCH(67,'CARNET DE SOUDURE'!$AT$7:$AT$3006,0)))</f>
        <v>7</v>
      </c>
      <c r="F78" s="125" t="str">
        <f aca="false">IF($B78="","",INDEX('CARNET DE SOUDURE'!$R$7:$R$3006,MATCH(67,'CARNET DE SOUDURE'!$AT$7:$AT$3006,0))&amp;IF(INDEX('CARNET DE SOUDURE'!$S$7:$S$3006,MATCH(67,'CARNET DE SOUDURE'!$AT$7:$AT$3006,0))&lt;&gt;""," / "&amp;INDEX('CARNET DE SOUDURE'!$S$7:$S$3006,MATCH(67,'CARNET DE SOUDURE'!$AT$7:$AT$3006,0)),"")&amp;IF(INDEX('CARNET DE SOUDURE'!$T$7:$T$3006,MATCH(67,'CARNET DE SOUDURE'!$AT$7:$AT$3006,0))&lt;&gt;""," / "&amp;INDEX('CARNET DE SOUDURE'!$T$7:$T$3006,MATCH(67,'CARNET DE SOUDURE'!$AT$7:$AT$3006,0)),""))</f>
        <v>WR-46/32</v>
      </c>
      <c r="G78" s="126" t="n">
        <f aca="false">IF($B78="","",INDEX('CARNET DE SOUDURE'!$U$7:$U$3006,MATCH(67,'CARNET DE SOUDURE'!$AT$7:$AT$3006,0)))</f>
        <v>46282</v>
      </c>
      <c r="H78" s="127" t="str">
        <f aca="false">IF($B78="","",INDEX('CARNET DE SOUDURE'!$AQ$7:$AQ$3006,MATCH(67,'CARNET DE SOUDURE'!$AT$7:$AT$3006,0)))</f>
        <v>NX – RT À REFAIRE</v>
      </c>
      <c r="I78" s="128" t="n">
        <f aca="false">IF($B78="","",INDEX('CARNET DE SOUDURE'!$AO$7:$AO$3006,MATCH(67,'CARNET DE SOUDURE'!$AT$7:$AT$3006,0)))</f>
        <v>1</v>
      </c>
      <c r="J78" s="128" t="n">
        <f aca="false">IF($B78="","",INDEX('CARNET DE SOUDURE'!$AR$7:$AR$3006,MATCH(67,'CARNET DE SOUDURE'!$AT$7:$AT$3006,0)))</f>
        <v>11</v>
      </c>
      <c r="K78" s="129"/>
      <c r="L78" s="129"/>
    </row>
    <row r="79" customFormat="false" ht="23.85" hidden="false" customHeight="false" outlineLevel="0" collapsed="false">
      <c r="B79" s="130" t="n">
        <f aca="false">IF(68&gt;$I$4,"",68)</f>
        <v>68</v>
      </c>
      <c r="C79" s="130" t="str">
        <f aca="false">IF($B79="","",INDEX('CARNET DE SOUDURE'!$B$7:$B$3006,MATCH(68,'CARNET DE SOUDURE'!$AT$7:$AT$3006,0)))</f>
        <v>MFD-ISW → MFD-CPF</v>
      </c>
      <c r="D79" s="130" t="str">
        <f aca="false">IF($B79="","",INDEX('CARNET DE SOUDURE'!$E$7:$E$3006,MATCH(68,'CARNET DE SOUDURE'!$AT$7:$AT$3006,0)))</f>
        <v>JN°1070</v>
      </c>
      <c r="E79" s="130" t="n">
        <f aca="false">IF($B79="","",INDEX('CARNET DE SOUDURE'!$D$7:$D$3006,MATCH(68,'CARNET DE SOUDURE'!$AT$7:$AT$3006,0)))</f>
        <v>10</v>
      </c>
      <c r="F79" s="130" t="str">
        <f aca="false">IF($B79="","",INDEX('CARNET DE SOUDURE'!$R$7:$R$3006,MATCH(68,'CARNET DE SOUDURE'!$AT$7:$AT$3006,0))&amp;IF(INDEX('CARNET DE SOUDURE'!$S$7:$S$3006,MATCH(68,'CARNET DE SOUDURE'!$AT$7:$AT$3006,0))&lt;&gt;""," / "&amp;INDEX('CARNET DE SOUDURE'!$S$7:$S$3006,MATCH(68,'CARNET DE SOUDURE'!$AT$7:$AT$3006,0)),"")&amp;IF(INDEX('CARNET DE SOUDURE'!$T$7:$T$3006,MATCH(68,'CARNET DE SOUDURE'!$AT$7:$AT$3006,0))&lt;&gt;""," / "&amp;INDEX('CARNET DE SOUDURE'!$T$7:$T$3006,MATCH(68,'CARNET DE SOUDURE'!$AT$7:$AT$3006,0)),""))</f>
        <v>WR-46-44/36-33/30-52/50-51/43-45</v>
      </c>
      <c r="G79" s="131" t="n">
        <f aca="false">IF($B79="","",INDEX('CARNET DE SOUDURE'!$U$7:$U$3006,MATCH(68,'CARNET DE SOUDURE'!$AT$7:$AT$3006,0)))</f>
        <v>46278</v>
      </c>
      <c r="H79" s="132" t="str">
        <f aca="false">IF($B79="","",INDEX('CARNET DE SOUDURE'!$AQ$7:$AQ$3006,MATCH(68,'CARNET DE SOUDURE'!$AT$7:$AT$3006,0)))</f>
        <v>NX – RT À REFAIRE</v>
      </c>
      <c r="I79" s="133" t="n">
        <f aca="false">IF($B79="","",INDEX('CARNET DE SOUDURE'!$AO$7:$AO$3006,MATCH(68,'CARNET DE SOUDURE'!$AT$7:$AT$3006,0)))</f>
        <v>1</v>
      </c>
      <c r="J79" s="133" t="n">
        <f aca="false">IF($B79="","",INDEX('CARNET DE SOUDURE'!$AR$7:$AR$3006,MATCH(68,'CARNET DE SOUDURE'!$AT$7:$AT$3006,0)))</f>
        <v>15</v>
      </c>
      <c r="K79" s="129"/>
      <c r="L79" s="129"/>
    </row>
    <row r="80" customFormat="false" ht="23.85" hidden="false" customHeight="false" outlineLevel="0" collapsed="false">
      <c r="B80" s="125" t="n">
        <f aca="false">IF(69&gt;$I$4,"",69)</f>
        <v>69</v>
      </c>
      <c r="C80" s="125" t="str">
        <f aca="false">IF($B80="","",INDEX('CARNET DE SOUDURE'!$B$7:$B$3006,MATCH(69,'CARNET DE SOUDURE'!$AT$7:$AT$3006,0)))</f>
        <v>MFD-ISW → MFD-CPF</v>
      </c>
      <c r="D80" s="125" t="str">
        <f aca="false">IF($B80="","",INDEX('CARNET DE SOUDURE'!$E$7:$E$3006,MATCH(69,'CARNET DE SOUDURE'!$AT$7:$AT$3006,0)))</f>
        <v>JN°1080</v>
      </c>
      <c r="E80" s="125" t="n">
        <f aca="false">IF($B80="","",INDEX('CARNET DE SOUDURE'!$D$7:$D$3006,MATCH(69,'CARNET DE SOUDURE'!$AT$7:$AT$3006,0)))</f>
        <v>10</v>
      </c>
      <c r="F80" s="125" t="str">
        <f aca="false">IF($B80="","",INDEX('CARNET DE SOUDURE'!$R$7:$R$3006,MATCH(69,'CARNET DE SOUDURE'!$AT$7:$AT$3006,0))&amp;IF(INDEX('CARNET DE SOUDURE'!$S$7:$S$3006,MATCH(69,'CARNET DE SOUDURE'!$AT$7:$AT$3006,0))&lt;&gt;""," / "&amp;INDEX('CARNET DE SOUDURE'!$S$7:$S$3006,MATCH(69,'CARNET DE SOUDURE'!$AT$7:$AT$3006,0)),"")&amp;IF(INDEX('CARNET DE SOUDURE'!$T$7:$T$3006,MATCH(69,'CARNET DE SOUDURE'!$AT$7:$AT$3006,0))&lt;&gt;""," / "&amp;INDEX('CARNET DE SOUDURE'!$T$7:$T$3006,MATCH(69,'CARNET DE SOUDURE'!$AT$7:$AT$3006,0)),""))</f>
        <v>WR-46-44/36-33/30-52/50-51/43-45</v>
      </c>
      <c r="G80" s="126" t="n">
        <f aca="false">IF($B80="","",INDEX('CARNET DE SOUDURE'!$U$7:$U$3006,MATCH(69,'CARNET DE SOUDURE'!$AT$7:$AT$3006,0)))</f>
        <v>46278</v>
      </c>
      <c r="H80" s="127" t="str">
        <f aca="false">IF($B80="","",INDEX('CARNET DE SOUDURE'!$AQ$7:$AQ$3006,MATCH(69,'CARNET DE SOUDURE'!$AT$7:$AT$3006,0)))</f>
        <v>À RADIOGRAPHIER</v>
      </c>
      <c r="I80" s="128" t="n">
        <f aca="false">IF($B80="","",INDEX('CARNET DE SOUDURE'!$AO$7:$AO$3006,MATCH(69,'CARNET DE SOUDURE'!$AT$7:$AT$3006,0)))</f>
        <v>0</v>
      </c>
      <c r="J80" s="128" t="n">
        <f aca="false">IF($B80="","",INDEX('CARNET DE SOUDURE'!$AR$7:$AR$3006,MATCH(69,'CARNET DE SOUDURE'!$AT$7:$AT$3006,0)))</f>
        <v>15</v>
      </c>
      <c r="K80" s="129"/>
      <c r="L80" s="129"/>
    </row>
    <row r="81" customFormat="false" ht="23.85" hidden="false" customHeight="false" outlineLevel="0" collapsed="false">
      <c r="B81" s="130" t="n">
        <f aca="false">IF(70&gt;$I$4,"",70)</f>
        <v>70</v>
      </c>
      <c r="C81" s="130" t="str">
        <f aca="false">IF($B81="","",INDEX('CARNET DE SOUDURE'!$B$7:$B$3006,MATCH(70,'CARNET DE SOUDURE'!$AT$7:$AT$3006,0)))</f>
        <v>MFD-ISW → MFD-CPF</v>
      </c>
      <c r="D81" s="130" t="str">
        <f aca="false">IF($B81="","",INDEX('CARNET DE SOUDURE'!$E$7:$E$3006,MATCH(70,'CARNET DE SOUDURE'!$AT$7:$AT$3006,0)))</f>
        <v>JN°1081</v>
      </c>
      <c r="E81" s="130" t="n">
        <f aca="false">IF($B81="","",INDEX('CARNET DE SOUDURE'!$D$7:$D$3006,MATCH(70,'CARNET DE SOUDURE'!$AT$7:$AT$3006,0)))</f>
        <v>10</v>
      </c>
      <c r="F81" s="130" t="str">
        <f aca="false">IF($B81="","",INDEX('CARNET DE SOUDURE'!$R$7:$R$3006,MATCH(70,'CARNET DE SOUDURE'!$AT$7:$AT$3006,0))&amp;IF(INDEX('CARNET DE SOUDURE'!$S$7:$S$3006,MATCH(70,'CARNET DE SOUDURE'!$AT$7:$AT$3006,0))&lt;&gt;""," / "&amp;INDEX('CARNET DE SOUDURE'!$S$7:$S$3006,MATCH(70,'CARNET DE SOUDURE'!$AT$7:$AT$3006,0)),"")&amp;IF(INDEX('CARNET DE SOUDURE'!$T$7:$T$3006,MATCH(70,'CARNET DE SOUDURE'!$AT$7:$AT$3006,0))&lt;&gt;""," / "&amp;INDEX('CARNET DE SOUDURE'!$T$7:$T$3006,MATCH(70,'CARNET DE SOUDURE'!$AT$7:$AT$3006,0)),""))</f>
        <v>WR-46-44/36-33/30-52/50-51/43-45</v>
      </c>
      <c r="G81" s="131" t="n">
        <f aca="false">IF($B81="","",INDEX('CARNET DE SOUDURE'!$U$7:$U$3006,MATCH(70,'CARNET DE SOUDURE'!$AT$7:$AT$3006,0)))</f>
        <v>46278</v>
      </c>
      <c r="H81" s="132" t="str">
        <f aca="false">IF($B81="","",INDEX('CARNET DE SOUDURE'!$AQ$7:$AQ$3006,MATCH(70,'CARNET DE SOUDURE'!$AT$7:$AT$3006,0)))</f>
        <v>À RADIOGRAPHIER</v>
      </c>
      <c r="I81" s="133" t="n">
        <f aca="false">IF($B81="","",INDEX('CARNET DE SOUDURE'!$AO$7:$AO$3006,MATCH(70,'CARNET DE SOUDURE'!$AT$7:$AT$3006,0)))</f>
        <v>0</v>
      </c>
      <c r="J81" s="133" t="n">
        <f aca="false">IF($B81="","",INDEX('CARNET DE SOUDURE'!$AR$7:$AR$3006,MATCH(70,'CARNET DE SOUDURE'!$AT$7:$AT$3006,0)))</f>
        <v>15</v>
      </c>
      <c r="K81" s="129"/>
      <c r="L81" s="129"/>
    </row>
    <row r="82" customFormat="false" ht="23.85" hidden="false" customHeight="false" outlineLevel="0" collapsed="false">
      <c r="B82" s="125" t="n">
        <f aca="false">IF(71&gt;$I$4,"",71)</f>
        <v>71</v>
      </c>
      <c r="C82" s="125" t="str">
        <f aca="false">IF($B82="","",INDEX('CARNET DE SOUDURE'!$B$7:$B$3006,MATCH(71,'CARNET DE SOUDURE'!$AT$7:$AT$3006,0)))</f>
        <v>MFD-ISW → MFD-CPF</v>
      </c>
      <c r="D82" s="125" t="str">
        <f aca="false">IF($B82="","",INDEX('CARNET DE SOUDURE'!$E$7:$E$3006,MATCH(71,'CARNET DE SOUDURE'!$AT$7:$AT$3006,0)))</f>
        <v>JN°1105</v>
      </c>
      <c r="E82" s="125" t="n">
        <f aca="false">IF($B82="","",INDEX('CARNET DE SOUDURE'!$D$7:$D$3006,MATCH(71,'CARNET DE SOUDURE'!$AT$7:$AT$3006,0)))</f>
        <v>10</v>
      </c>
      <c r="F82" s="125" t="str">
        <f aca="false">IF($B82="","",INDEX('CARNET DE SOUDURE'!$R$7:$R$3006,MATCH(71,'CARNET DE SOUDURE'!$AT$7:$AT$3006,0))&amp;IF(INDEX('CARNET DE SOUDURE'!$S$7:$S$3006,MATCH(71,'CARNET DE SOUDURE'!$AT$7:$AT$3006,0))&lt;&gt;""," / "&amp;INDEX('CARNET DE SOUDURE'!$S$7:$S$3006,MATCH(71,'CARNET DE SOUDURE'!$AT$7:$AT$3006,0)),"")&amp;IF(INDEX('CARNET DE SOUDURE'!$T$7:$T$3006,MATCH(71,'CARNET DE SOUDURE'!$AT$7:$AT$3006,0))&lt;&gt;""," / "&amp;INDEX('CARNET DE SOUDURE'!$T$7:$T$3006,MATCH(71,'CARNET DE SOUDURE'!$AT$7:$AT$3006,0)),""))</f>
        <v>WR-46-44/36-33/30-52/50-51/43-45</v>
      </c>
      <c r="G82" s="126" t="n">
        <f aca="false">IF($B82="","",INDEX('CARNET DE SOUDURE'!$U$7:$U$3006,MATCH(71,'CARNET DE SOUDURE'!$AT$7:$AT$3006,0)))</f>
        <v>46277</v>
      </c>
      <c r="H82" s="127" t="str">
        <f aca="false">IF($B82="","",INDEX('CARNET DE SOUDURE'!$AQ$7:$AQ$3006,MATCH(71,'CARNET DE SOUDURE'!$AT$7:$AT$3006,0)))</f>
        <v>À RADIOGRAPHIER</v>
      </c>
      <c r="I82" s="128" t="n">
        <f aca="false">IF($B82="","",INDEX('CARNET DE SOUDURE'!$AO$7:$AO$3006,MATCH(71,'CARNET DE SOUDURE'!$AT$7:$AT$3006,0)))</f>
        <v>0</v>
      </c>
      <c r="J82" s="128" t="n">
        <f aca="false">IF($B82="","",INDEX('CARNET DE SOUDURE'!$AR$7:$AR$3006,MATCH(71,'CARNET DE SOUDURE'!$AT$7:$AT$3006,0)))</f>
        <v>16</v>
      </c>
      <c r="K82" s="129"/>
      <c r="L82" s="129"/>
    </row>
    <row r="83" customFormat="false" ht="23.85" hidden="false" customHeight="false" outlineLevel="0" collapsed="false">
      <c r="B83" s="130" t="n">
        <f aca="false">IF(72&gt;$I$4,"",72)</f>
        <v>72</v>
      </c>
      <c r="C83" s="130" t="str">
        <f aca="false">IF($B83="","",INDEX('CARNET DE SOUDURE'!$B$7:$B$3006,MATCH(72,'CARNET DE SOUDURE'!$AT$7:$AT$3006,0)))</f>
        <v>MFD-ISW → MFD-CPF</v>
      </c>
      <c r="D83" s="130" t="str">
        <f aca="false">IF($B83="","",INDEX('CARNET DE SOUDURE'!$E$7:$E$3006,MATCH(72,'CARNET DE SOUDURE'!$AT$7:$AT$3006,0)))</f>
        <v>JN°1106</v>
      </c>
      <c r="E83" s="130" t="n">
        <f aca="false">IF($B83="","",INDEX('CARNET DE SOUDURE'!$D$7:$D$3006,MATCH(72,'CARNET DE SOUDURE'!$AT$7:$AT$3006,0)))</f>
        <v>11</v>
      </c>
      <c r="F83" s="130" t="str">
        <f aca="false">IF($B83="","",INDEX('CARNET DE SOUDURE'!$R$7:$R$3006,MATCH(72,'CARNET DE SOUDURE'!$AT$7:$AT$3006,0))&amp;IF(INDEX('CARNET DE SOUDURE'!$S$7:$S$3006,MATCH(72,'CARNET DE SOUDURE'!$AT$7:$AT$3006,0))&lt;&gt;""," / "&amp;INDEX('CARNET DE SOUDURE'!$S$7:$S$3006,MATCH(72,'CARNET DE SOUDURE'!$AT$7:$AT$3006,0)),"")&amp;IF(INDEX('CARNET DE SOUDURE'!$T$7:$T$3006,MATCH(72,'CARNET DE SOUDURE'!$AT$7:$AT$3006,0))&lt;&gt;""," / "&amp;INDEX('CARNET DE SOUDURE'!$T$7:$T$3006,MATCH(72,'CARNET DE SOUDURE'!$AT$7:$AT$3006,0)),""))</f>
        <v>WR-46-44/36-33/30-52/50-51/43-45</v>
      </c>
      <c r="G83" s="131" t="n">
        <f aca="false">IF($B83="","",INDEX('CARNET DE SOUDURE'!$U$7:$U$3006,MATCH(72,'CARNET DE SOUDURE'!$AT$7:$AT$3006,0)))</f>
        <v>46277</v>
      </c>
      <c r="H83" s="132" t="str">
        <f aca="false">IF($B83="","",INDEX('CARNET DE SOUDURE'!$AQ$7:$AQ$3006,MATCH(72,'CARNET DE SOUDURE'!$AT$7:$AT$3006,0)))</f>
        <v>À RADIOGRAPHIER</v>
      </c>
      <c r="I83" s="133" t="n">
        <f aca="false">IF($B83="","",INDEX('CARNET DE SOUDURE'!$AO$7:$AO$3006,MATCH(72,'CARNET DE SOUDURE'!$AT$7:$AT$3006,0)))</f>
        <v>0</v>
      </c>
      <c r="J83" s="133" t="n">
        <f aca="false">IF($B83="","",INDEX('CARNET DE SOUDURE'!$AR$7:$AR$3006,MATCH(72,'CARNET DE SOUDURE'!$AT$7:$AT$3006,0)))</f>
        <v>16</v>
      </c>
      <c r="K83" s="129"/>
      <c r="L83" s="129"/>
    </row>
    <row r="84" customFormat="false" ht="15" hidden="false" customHeight="false" outlineLevel="0" collapsed="false">
      <c r="B84" s="125" t="n">
        <f aca="false">IF(73&gt;$I$4,"",73)</f>
        <v>73</v>
      </c>
      <c r="C84" s="125" t="str">
        <f aca="false">IF($B84="","",INDEX('CARNET DE SOUDURE'!$B$7:$B$3006,MATCH(73,'CARNET DE SOUDURE'!$AT$7:$AT$3006,0)))</f>
        <v>MFD-ISW → MFD-CPF</v>
      </c>
      <c r="D84" s="125" t="str">
        <f aca="false">IF($B84="","",INDEX('CARNET DE SOUDURE'!$E$7:$E$3006,MATCH(73,'CARNET DE SOUDURE'!$AT$7:$AT$3006,0)))</f>
        <v>JN°1282R</v>
      </c>
      <c r="E84" s="125" t="n">
        <f aca="false">IF($B84="","",INDEX('CARNET DE SOUDURE'!$D$7:$D$3006,MATCH(73,'CARNET DE SOUDURE'!$AT$7:$AT$3006,0)))</f>
        <v>13</v>
      </c>
      <c r="F84" s="125" t="str">
        <f aca="false">IF($B84="","",INDEX('CARNET DE SOUDURE'!$R$7:$R$3006,MATCH(73,'CARNET DE SOUDURE'!$AT$7:$AT$3006,0))&amp;IF(INDEX('CARNET DE SOUDURE'!$S$7:$S$3006,MATCH(73,'CARNET DE SOUDURE'!$AT$7:$AT$3006,0))&lt;&gt;""," / "&amp;INDEX('CARNET DE SOUDURE'!$S$7:$S$3006,MATCH(73,'CARNET DE SOUDURE'!$AT$7:$AT$3006,0)),"")&amp;IF(INDEX('CARNET DE SOUDURE'!$T$7:$T$3006,MATCH(73,'CARNET DE SOUDURE'!$AT$7:$AT$3006,0))&lt;&gt;""," / "&amp;INDEX('CARNET DE SOUDURE'!$T$7:$T$3006,MATCH(73,'CARNET DE SOUDURE'!$AT$7:$AT$3006,0)),""))</f>
        <v>WR-32</v>
      </c>
      <c r="G84" s="126" t="n">
        <f aca="false">IF($B84="","",INDEX('CARNET DE SOUDURE'!$U$7:$U$3006,MATCH(73,'CARNET DE SOUDURE'!$AT$7:$AT$3006,0)))</f>
        <v>46292</v>
      </c>
      <c r="H84" s="127" t="str">
        <f aca="false">IF($B84="","",INDEX('CARNET DE SOUDURE'!$AQ$7:$AQ$3006,MATCH(73,'CARNET DE SOUDURE'!$AT$7:$AT$3006,0)))</f>
        <v>À RADIOGRAPHIER</v>
      </c>
      <c r="I84" s="128" t="n">
        <f aca="false">IF($B84="","",INDEX('CARNET DE SOUDURE'!$AO$7:$AO$3006,MATCH(73,'CARNET DE SOUDURE'!$AT$7:$AT$3006,0)))</f>
        <v>0</v>
      </c>
      <c r="J84" s="128" t="n">
        <f aca="false">IF($B84="","",INDEX('CARNET DE SOUDURE'!$AR$7:$AR$3006,MATCH(73,'CARNET DE SOUDURE'!$AT$7:$AT$3006,0)))</f>
        <v>1</v>
      </c>
      <c r="K84" s="129"/>
      <c r="L84" s="129"/>
    </row>
    <row r="85" customFormat="false" ht="15" hidden="false" customHeight="false" outlineLevel="0" collapsed="false">
      <c r="B85" s="130" t="n">
        <f aca="false">IF(74&gt;$I$4,"",74)</f>
        <v>74</v>
      </c>
      <c r="C85" s="130" t="str">
        <f aca="false">IF($B85="","",INDEX('CARNET DE SOUDURE'!$B$7:$B$3006,MATCH(74,'CARNET DE SOUDURE'!$AT$7:$AT$3006,0)))</f>
        <v>MFD-ISW → MFD-CPF</v>
      </c>
      <c r="D85" s="130" t="str">
        <f aca="false">IF($B85="","",INDEX('CARNET DE SOUDURE'!$E$7:$E$3006,MATCH(74,'CARNET DE SOUDURE'!$AT$7:$AT$3006,0)))</f>
        <v>JN°1284R</v>
      </c>
      <c r="E85" s="130" t="n">
        <f aca="false">IF($B85="","",INDEX('CARNET DE SOUDURE'!$D$7:$D$3006,MATCH(74,'CARNET DE SOUDURE'!$AT$7:$AT$3006,0)))</f>
        <v>13</v>
      </c>
      <c r="F85" s="130" t="str">
        <f aca="false">IF($B85="","",INDEX('CARNET DE SOUDURE'!$R$7:$R$3006,MATCH(74,'CARNET DE SOUDURE'!$AT$7:$AT$3006,0))&amp;IF(INDEX('CARNET DE SOUDURE'!$S$7:$S$3006,MATCH(74,'CARNET DE SOUDURE'!$AT$7:$AT$3006,0))&lt;&gt;""," / "&amp;INDEX('CARNET DE SOUDURE'!$S$7:$S$3006,MATCH(74,'CARNET DE SOUDURE'!$AT$7:$AT$3006,0)),"")&amp;IF(INDEX('CARNET DE SOUDURE'!$T$7:$T$3006,MATCH(74,'CARNET DE SOUDURE'!$AT$7:$AT$3006,0))&lt;&gt;""," / "&amp;INDEX('CARNET DE SOUDURE'!$T$7:$T$3006,MATCH(74,'CARNET DE SOUDURE'!$AT$7:$AT$3006,0)),""))</f>
        <v>WR-32</v>
      </c>
      <c r="G85" s="131" t="n">
        <f aca="false">IF($B85="","",INDEX('CARNET DE SOUDURE'!$U$7:$U$3006,MATCH(74,'CARNET DE SOUDURE'!$AT$7:$AT$3006,0)))</f>
        <v>46292</v>
      </c>
      <c r="H85" s="132" t="str">
        <f aca="false">IF($B85="","",INDEX('CARNET DE SOUDURE'!$AQ$7:$AQ$3006,MATCH(74,'CARNET DE SOUDURE'!$AT$7:$AT$3006,0)))</f>
        <v>À RADIOGRAPHIER</v>
      </c>
      <c r="I85" s="133" t="n">
        <f aca="false">IF($B85="","",INDEX('CARNET DE SOUDURE'!$AO$7:$AO$3006,MATCH(74,'CARNET DE SOUDURE'!$AT$7:$AT$3006,0)))</f>
        <v>0</v>
      </c>
      <c r="J85" s="133" t="n">
        <f aca="false">IF($B85="","",INDEX('CARNET DE SOUDURE'!$AR$7:$AR$3006,MATCH(74,'CARNET DE SOUDURE'!$AT$7:$AT$3006,0)))</f>
        <v>1</v>
      </c>
      <c r="K85" s="129"/>
      <c r="L85" s="129"/>
    </row>
    <row r="86" customFormat="false" ht="15" hidden="false" customHeight="false" outlineLevel="0" collapsed="false">
      <c r="B86" s="125" t="n">
        <f aca="false">IF(75&gt;$I$4,"",75)</f>
        <v>75</v>
      </c>
      <c r="C86" s="125" t="str">
        <f aca="false">IF($B86="","",INDEX('CARNET DE SOUDURE'!$B$7:$B$3006,MATCH(75,'CARNET DE SOUDURE'!$AT$7:$AT$3006,0)))</f>
        <v>MFD-ISW → MFD-CPF</v>
      </c>
      <c r="D86" s="125" t="str">
        <f aca="false">IF($B86="","",INDEX('CARNET DE SOUDURE'!$E$7:$E$3006,MATCH(75,'CARNET DE SOUDURE'!$AT$7:$AT$3006,0)))</f>
        <v>JN°1288R</v>
      </c>
      <c r="E86" s="125" t="n">
        <f aca="false">IF($B86="","",INDEX('CARNET DE SOUDURE'!$D$7:$D$3006,MATCH(75,'CARNET DE SOUDURE'!$AT$7:$AT$3006,0)))</f>
        <v>13</v>
      </c>
      <c r="F86" s="125" t="str">
        <f aca="false">IF($B86="","",INDEX('CARNET DE SOUDURE'!$R$7:$R$3006,MATCH(75,'CARNET DE SOUDURE'!$AT$7:$AT$3006,0))&amp;IF(INDEX('CARNET DE SOUDURE'!$S$7:$S$3006,MATCH(75,'CARNET DE SOUDURE'!$AT$7:$AT$3006,0))&lt;&gt;""," / "&amp;INDEX('CARNET DE SOUDURE'!$S$7:$S$3006,MATCH(75,'CARNET DE SOUDURE'!$AT$7:$AT$3006,0)),"")&amp;IF(INDEX('CARNET DE SOUDURE'!$T$7:$T$3006,MATCH(75,'CARNET DE SOUDURE'!$AT$7:$AT$3006,0))&lt;&gt;""," / "&amp;INDEX('CARNET DE SOUDURE'!$T$7:$T$3006,MATCH(75,'CARNET DE SOUDURE'!$AT$7:$AT$3006,0)),""))</f>
        <v>WR-32</v>
      </c>
      <c r="G86" s="126" t="n">
        <f aca="false">IF($B86="","",INDEX('CARNET DE SOUDURE'!$U$7:$U$3006,MATCH(75,'CARNET DE SOUDURE'!$AT$7:$AT$3006,0)))</f>
        <v>46291</v>
      </c>
      <c r="H86" s="127" t="str">
        <f aca="false">IF($B86="","",INDEX('CARNET DE SOUDURE'!$AQ$7:$AQ$3006,MATCH(75,'CARNET DE SOUDURE'!$AT$7:$AT$3006,0)))</f>
        <v>À RADIOGRAPHIER</v>
      </c>
      <c r="I86" s="128" t="n">
        <f aca="false">IF($B86="","",INDEX('CARNET DE SOUDURE'!$AO$7:$AO$3006,MATCH(75,'CARNET DE SOUDURE'!$AT$7:$AT$3006,0)))</f>
        <v>0</v>
      </c>
      <c r="J86" s="128" t="n">
        <f aca="false">IF($B86="","",INDEX('CARNET DE SOUDURE'!$AR$7:$AR$3006,MATCH(75,'CARNET DE SOUDURE'!$AT$7:$AT$3006,0)))</f>
        <v>2</v>
      </c>
      <c r="K86" s="129"/>
      <c r="L86" s="129"/>
    </row>
    <row r="87" customFormat="false" ht="15" hidden="false" customHeight="false" outlineLevel="0" collapsed="false">
      <c r="B87" s="130" t="n">
        <f aca="false">IF(76&gt;$I$4,"",76)</f>
        <v>76</v>
      </c>
      <c r="C87" s="130" t="str">
        <f aca="false">IF($B87="","",INDEX('CARNET DE SOUDURE'!$B$7:$B$3006,MATCH(76,'CARNET DE SOUDURE'!$AT$7:$AT$3006,0)))</f>
        <v>MFD-ISW → MFD-CPF</v>
      </c>
      <c r="D87" s="130" t="str">
        <f aca="false">IF($B87="","",INDEX('CARNET DE SOUDURE'!$E$7:$E$3006,MATCH(76,'CARNET DE SOUDURE'!$AT$7:$AT$3006,0)))</f>
        <v>JN°1290R</v>
      </c>
      <c r="E87" s="130" t="n">
        <f aca="false">IF($B87="","",INDEX('CARNET DE SOUDURE'!$D$7:$D$3006,MATCH(76,'CARNET DE SOUDURE'!$AT$7:$AT$3006,0)))</f>
        <v>13</v>
      </c>
      <c r="F87" s="130" t="str">
        <f aca="false">IF($B87="","",INDEX('CARNET DE SOUDURE'!$R$7:$R$3006,MATCH(76,'CARNET DE SOUDURE'!$AT$7:$AT$3006,0))&amp;IF(INDEX('CARNET DE SOUDURE'!$S$7:$S$3006,MATCH(76,'CARNET DE SOUDURE'!$AT$7:$AT$3006,0))&lt;&gt;""," / "&amp;INDEX('CARNET DE SOUDURE'!$S$7:$S$3006,MATCH(76,'CARNET DE SOUDURE'!$AT$7:$AT$3006,0)),"")&amp;IF(INDEX('CARNET DE SOUDURE'!$T$7:$T$3006,MATCH(76,'CARNET DE SOUDURE'!$AT$7:$AT$3006,0))&lt;&gt;""," / "&amp;INDEX('CARNET DE SOUDURE'!$T$7:$T$3006,MATCH(76,'CARNET DE SOUDURE'!$AT$7:$AT$3006,0)),""))</f>
        <v>WR-52</v>
      </c>
      <c r="G87" s="131" t="n">
        <f aca="false">IF($B87="","",INDEX('CARNET DE SOUDURE'!$U$7:$U$3006,MATCH(76,'CARNET DE SOUDURE'!$AT$7:$AT$3006,0)))</f>
        <v>46291</v>
      </c>
      <c r="H87" s="132" t="str">
        <f aca="false">IF($B87="","",INDEX('CARNET DE SOUDURE'!$AQ$7:$AQ$3006,MATCH(76,'CARNET DE SOUDURE'!$AT$7:$AT$3006,0)))</f>
        <v>À RADIOGRAPHIER</v>
      </c>
      <c r="I87" s="133" t="n">
        <f aca="false">IF($B87="","",INDEX('CARNET DE SOUDURE'!$AO$7:$AO$3006,MATCH(76,'CARNET DE SOUDURE'!$AT$7:$AT$3006,0)))</f>
        <v>0</v>
      </c>
      <c r="J87" s="133" t="n">
        <f aca="false">IF($B87="","",INDEX('CARNET DE SOUDURE'!$AR$7:$AR$3006,MATCH(76,'CARNET DE SOUDURE'!$AT$7:$AT$3006,0)))</f>
        <v>2</v>
      </c>
      <c r="K87" s="129"/>
      <c r="L87" s="129"/>
    </row>
    <row r="88" customFormat="false" ht="15" hidden="false" customHeight="false" outlineLevel="0" collapsed="false">
      <c r="B88" s="125" t="n">
        <f aca="false">IF(77&gt;$I$4,"",77)</f>
        <v>77</v>
      </c>
      <c r="C88" s="125" t="str">
        <f aca="false">IF($B88="","",INDEX('CARNET DE SOUDURE'!$B$7:$B$3006,MATCH(77,'CARNET DE SOUDURE'!$AT$7:$AT$3006,0)))</f>
        <v>MFD-ISW → MFD-CPF</v>
      </c>
      <c r="D88" s="125" t="str">
        <f aca="false">IF($B88="","",INDEX('CARNET DE SOUDURE'!$E$7:$E$3006,MATCH(77,'CARNET DE SOUDURE'!$AT$7:$AT$3006,0)))</f>
        <v>JN°1293R</v>
      </c>
      <c r="E88" s="125" t="n">
        <f aca="false">IF($B88="","",INDEX('CARNET DE SOUDURE'!$D$7:$D$3006,MATCH(77,'CARNET DE SOUDURE'!$AT$7:$AT$3006,0)))</f>
        <v>13</v>
      </c>
      <c r="F88" s="125" t="str">
        <f aca="false">IF($B88="","",INDEX('CARNET DE SOUDURE'!$R$7:$R$3006,MATCH(77,'CARNET DE SOUDURE'!$AT$7:$AT$3006,0))&amp;IF(INDEX('CARNET DE SOUDURE'!$S$7:$S$3006,MATCH(77,'CARNET DE SOUDURE'!$AT$7:$AT$3006,0))&lt;&gt;""," / "&amp;INDEX('CARNET DE SOUDURE'!$S$7:$S$3006,MATCH(77,'CARNET DE SOUDURE'!$AT$7:$AT$3006,0)),"")&amp;IF(INDEX('CARNET DE SOUDURE'!$T$7:$T$3006,MATCH(77,'CARNET DE SOUDURE'!$AT$7:$AT$3006,0))&lt;&gt;""," / "&amp;INDEX('CARNET DE SOUDURE'!$T$7:$T$3006,MATCH(77,'CARNET DE SOUDURE'!$AT$7:$AT$3006,0)),""))</f>
        <v>WR-32</v>
      </c>
      <c r="G88" s="126" t="n">
        <f aca="false">IF($B88="","",INDEX('CARNET DE SOUDURE'!$U$7:$U$3006,MATCH(77,'CARNET DE SOUDURE'!$AT$7:$AT$3006,0)))</f>
        <v>46291</v>
      </c>
      <c r="H88" s="127" t="str">
        <f aca="false">IF($B88="","",INDEX('CARNET DE SOUDURE'!$AQ$7:$AQ$3006,MATCH(77,'CARNET DE SOUDURE'!$AT$7:$AT$3006,0)))</f>
        <v>À RADIOGRAPHIER</v>
      </c>
      <c r="I88" s="128" t="n">
        <f aca="false">IF($B88="","",INDEX('CARNET DE SOUDURE'!$AO$7:$AO$3006,MATCH(77,'CARNET DE SOUDURE'!$AT$7:$AT$3006,0)))</f>
        <v>0</v>
      </c>
      <c r="J88" s="128" t="n">
        <f aca="false">IF($B88="","",INDEX('CARNET DE SOUDURE'!$AR$7:$AR$3006,MATCH(77,'CARNET DE SOUDURE'!$AT$7:$AT$3006,0)))</f>
        <v>2</v>
      </c>
      <c r="K88" s="129"/>
      <c r="L88" s="129"/>
    </row>
    <row r="89" customFormat="false" ht="15" hidden="false" customHeight="false" outlineLevel="0" collapsed="false">
      <c r="B89" s="130" t="n">
        <f aca="false">IF(78&gt;$I$4,"",78)</f>
        <v>78</v>
      </c>
      <c r="C89" s="130" t="str">
        <f aca="false">IF($B89="","",INDEX('CARNET DE SOUDURE'!$B$7:$B$3006,MATCH(78,'CARNET DE SOUDURE'!$AT$7:$AT$3006,0)))</f>
        <v>MFD-ISW → MFD-CPF</v>
      </c>
      <c r="D89" s="130" t="str">
        <f aca="false">IF($B89="","",INDEX('CARNET DE SOUDURE'!$E$7:$E$3006,MATCH(78,'CARNET DE SOUDURE'!$AT$7:$AT$3006,0)))</f>
        <v>JN°1294R</v>
      </c>
      <c r="E89" s="130" t="n">
        <f aca="false">IF($B89="","",INDEX('CARNET DE SOUDURE'!$D$7:$D$3006,MATCH(78,'CARNET DE SOUDURE'!$AT$7:$AT$3006,0)))</f>
        <v>13</v>
      </c>
      <c r="F89" s="130" t="str">
        <f aca="false">IF($B89="","",INDEX('CARNET DE SOUDURE'!$R$7:$R$3006,MATCH(78,'CARNET DE SOUDURE'!$AT$7:$AT$3006,0))&amp;IF(INDEX('CARNET DE SOUDURE'!$S$7:$S$3006,MATCH(78,'CARNET DE SOUDURE'!$AT$7:$AT$3006,0))&lt;&gt;""," / "&amp;INDEX('CARNET DE SOUDURE'!$S$7:$S$3006,MATCH(78,'CARNET DE SOUDURE'!$AT$7:$AT$3006,0)),"")&amp;IF(INDEX('CARNET DE SOUDURE'!$T$7:$T$3006,MATCH(78,'CARNET DE SOUDURE'!$AT$7:$AT$3006,0))&lt;&gt;""," / "&amp;INDEX('CARNET DE SOUDURE'!$T$7:$T$3006,MATCH(78,'CARNET DE SOUDURE'!$AT$7:$AT$3006,0)),""))</f>
        <v>WR-32</v>
      </c>
      <c r="G89" s="131" t="n">
        <f aca="false">IF($B89="","",INDEX('CARNET DE SOUDURE'!$U$7:$U$3006,MATCH(78,'CARNET DE SOUDURE'!$AT$7:$AT$3006,0)))</f>
        <v>46292</v>
      </c>
      <c r="H89" s="132" t="str">
        <f aca="false">IF($B89="","",INDEX('CARNET DE SOUDURE'!$AQ$7:$AQ$3006,MATCH(78,'CARNET DE SOUDURE'!$AT$7:$AT$3006,0)))</f>
        <v>À RADIOGRAPHIER</v>
      </c>
      <c r="I89" s="133" t="n">
        <f aca="false">IF($B89="","",INDEX('CARNET DE SOUDURE'!$AO$7:$AO$3006,MATCH(78,'CARNET DE SOUDURE'!$AT$7:$AT$3006,0)))</f>
        <v>0</v>
      </c>
      <c r="J89" s="133" t="n">
        <f aca="false">IF($B89="","",INDEX('CARNET DE SOUDURE'!$AR$7:$AR$3006,MATCH(78,'CARNET DE SOUDURE'!$AT$7:$AT$3006,0)))</f>
        <v>1</v>
      </c>
      <c r="K89" s="129"/>
      <c r="L89" s="129"/>
    </row>
    <row r="90" customFormat="false" ht="15" hidden="false" customHeight="false" outlineLevel="0" collapsed="false">
      <c r="B90" s="125" t="n">
        <f aca="false">IF(79&gt;$I$4,"",79)</f>
        <v>79</v>
      </c>
      <c r="C90" s="125" t="str">
        <f aca="false">IF($B90="","",INDEX('CARNET DE SOUDURE'!$B$7:$B$3006,MATCH(79,'CARNET DE SOUDURE'!$AT$7:$AT$3006,0)))</f>
        <v>MFD-ISW → MFD-CPF</v>
      </c>
      <c r="D90" s="125" t="str">
        <f aca="false">IF($B90="","",INDEX('CARNET DE SOUDURE'!$E$7:$E$3006,MATCH(79,'CARNET DE SOUDURE'!$AT$7:$AT$3006,0)))</f>
        <v>JN°1297R</v>
      </c>
      <c r="E90" s="125" t="n">
        <f aca="false">IF($B90="","",INDEX('CARNET DE SOUDURE'!$D$7:$D$3006,MATCH(79,'CARNET DE SOUDURE'!$AT$7:$AT$3006,0)))</f>
        <v>13</v>
      </c>
      <c r="F90" s="125" t="str">
        <f aca="false">IF($B90="","",INDEX('CARNET DE SOUDURE'!$R$7:$R$3006,MATCH(79,'CARNET DE SOUDURE'!$AT$7:$AT$3006,0))&amp;IF(INDEX('CARNET DE SOUDURE'!$S$7:$S$3006,MATCH(79,'CARNET DE SOUDURE'!$AT$7:$AT$3006,0))&lt;&gt;""," / "&amp;INDEX('CARNET DE SOUDURE'!$S$7:$S$3006,MATCH(79,'CARNET DE SOUDURE'!$AT$7:$AT$3006,0)),"")&amp;IF(INDEX('CARNET DE SOUDURE'!$T$7:$T$3006,MATCH(79,'CARNET DE SOUDURE'!$AT$7:$AT$3006,0))&lt;&gt;""," / "&amp;INDEX('CARNET DE SOUDURE'!$T$7:$T$3006,MATCH(79,'CARNET DE SOUDURE'!$AT$7:$AT$3006,0)),""))</f>
        <v>WR-52</v>
      </c>
      <c r="G90" s="126" t="n">
        <f aca="false">IF($B90="","",INDEX('CARNET DE SOUDURE'!$U$7:$U$3006,MATCH(79,'CARNET DE SOUDURE'!$AT$7:$AT$3006,0)))</f>
        <v>46291</v>
      </c>
      <c r="H90" s="127" t="str">
        <f aca="false">IF($B90="","",INDEX('CARNET DE SOUDURE'!$AQ$7:$AQ$3006,MATCH(79,'CARNET DE SOUDURE'!$AT$7:$AT$3006,0)))</f>
        <v>À RADIOGRAPHIER</v>
      </c>
      <c r="I90" s="128" t="n">
        <f aca="false">IF($B90="","",INDEX('CARNET DE SOUDURE'!$AO$7:$AO$3006,MATCH(79,'CARNET DE SOUDURE'!$AT$7:$AT$3006,0)))</f>
        <v>0</v>
      </c>
      <c r="J90" s="128" t="n">
        <f aca="false">IF($B90="","",INDEX('CARNET DE SOUDURE'!$AR$7:$AR$3006,MATCH(79,'CARNET DE SOUDURE'!$AT$7:$AT$3006,0)))</f>
        <v>2</v>
      </c>
      <c r="K90" s="129"/>
      <c r="L90" s="129"/>
    </row>
    <row r="91" customFormat="false" ht="15" hidden="false" customHeight="false" outlineLevel="0" collapsed="false">
      <c r="B91" s="130" t="n">
        <f aca="false">IF(80&gt;$I$4,"",80)</f>
        <v>80</v>
      </c>
      <c r="C91" s="130" t="str">
        <f aca="false">IF($B91="","",INDEX('CARNET DE SOUDURE'!$B$7:$B$3006,MATCH(80,'CARNET DE SOUDURE'!$AT$7:$AT$3006,0)))</f>
        <v>MFD-ISW → MFD-CPF</v>
      </c>
      <c r="D91" s="130" t="str">
        <f aca="false">IF($B91="","",INDEX('CARNET DE SOUDURE'!$E$7:$E$3006,MATCH(80,'CARNET DE SOUDURE'!$AT$7:$AT$3006,0)))</f>
        <v>JN°1298R</v>
      </c>
      <c r="E91" s="130" t="n">
        <f aca="false">IF($B91="","",INDEX('CARNET DE SOUDURE'!$D$7:$D$3006,MATCH(80,'CARNET DE SOUDURE'!$AT$7:$AT$3006,0)))</f>
        <v>13</v>
      </c>
      <c r="F91" s="130" t="str">
        <f aca="false">IF($B91="","",INDEX('CARNET DE SOUDURE'!$R$7:$R$3006,MATCH(80,'CARNET DE SOUDURE'!$AT$7:$AT$3006,0))&amp;IF(INDEX('CARNET DE SOUDURE'!$S$7:$S$3006,MATCH(80,'CARNET DE SOUDURE'!$AT$7:$AT$3006,0))&lt;&gt;""," / "&amp;INDEX('CARNET DE SOUDURE'!$S$7:$S$3006,MATCH(80,'CARNET DE SOUDURE'!$AT$7:$AT$3006,0)),"")&amp;IF(INDEX('CARNET DE SOUDURE'!$T$7:$T$3006,MATCH(80,'CARNET DE SOUDURE'!$AT$7:$AT$3006,0))&lt;&gt;""," / "&amp;INDEX('CARNET DE SOUDURE'!$T$7:$T$3006,MATCH(80,'CARNET DE SOUDURE'!$AT$7:$AT$3006,0)),""))</f>
        <v>WR-32</v>
      </c>
      <c r="G91" s="131" t="n">
        <f aca="false">IF($B91="","",INDEX('CARNET DE SOUDURE'!$U$7:$U$3006,MATCH(80,'CARNET DE SOUDURE'!$AT$7:$AT$3006,0)))</f>
        <v>46291</v>
      </c>
      <c r="H91" s="132" t="str">
        <f aca="false">IF($B91="","",INDEX('CARNET DE SOUDURE'!$AQ$7:$AQ$3006,MATCH(80,'CARNET DE SOUDURE'!$AT$7:$AT$3006,0)))</f>
        <v>À RADIOGRAPHIER</v>
      </c>
      <c r="I91" s="133" t="n">
        <f aca="false">IF($B91="","",INDEX('CARNET DE SOUDURE'!$AO$7:$AO$3006,MATCH(80,'CARNET DE SOUDURE'!$AT$7:$AT$3006,0)))</f>
        <v>0</v>
      </c>
      <c r="J91" s="133" t="n">
        <f aca="false">IF($B91="","",INDEX('CARNET DE SOUDURE'!$AR$7:$AR$3006,MATCH(80,'CARNET DE SOUDURE'!$AT$7:$AT$3006,0)))</f>
        <v>2</v>
      </c>
      <c r="K91" s="129"/>
      <c r="L91" s="129"/>
    </row>
    <row r="92" customFormat="false" ht="15" hidden="false" customHeight="false" outlineLevel="0" collapsed="false">
      <c r="B92" s="125" t="n">
        <f aca="false">IF(81&gt;$I$4,"",81)</f>
        <v>81</v>
      </c>
      <c r="C92" s="125" t="str">
        <f aca="false">IF($B92="","",INDEX('CARNET DE SOUDURE'!$B$7:$B$3006,MATCH(81,'CARNET DE SOUDURE'!$AT$7:$AT$3006,0)))</f>
        <v>MFD-ISW → MFD-CPF</v>
      </c>
      <c r="D92" s="125" t="str">
        <f aca="false">IF($B92="","",INDEX('CARNET DE SOUDURE'!$E$7:$E$3006,MATCH(81,'CARNET DE SOUDURE'!$AT$7:$AT$3006,0)))</f>
        <v>JN°1307R</v>
      </c>
      <c r="E92" s="125" t="n">
        <f aca="false">IF($B92="","",INDEX('CARNET DE SOUDURE'!$D$7:$D$3006,MATCH(81,'CARNET DE SOUDURE'!$AT$7:$AT$3006,0)))</f>
        <v>14</v>
      </c>
      <c r="F92" s="125" t="str">
        <f aca="false">IF($B92="","",INDEX('CARNET DE SOUDURE'!$R$7:$R$3006,MATCH(81,'CARNET DE SOUDURE'!$AT$7:$AT$3006,0))&amp;IF(INDEX('CARNET DE SOUDURE'!$S$7:$S$3006,MATCH(81,'CARNET DE SOUDURE'!$AT$7:$AT$3006,0))&lt;&gt;""," / "&amp;INDEX('CARNET DE SOUDURE'!$S$7:$S$3006,MATCH(81,'CARNET DE SOUDURE'!$AT$7:$AT$3006,0)),"")&amp;IF(INDEX('CARNET DE SOUDURE'!$T$7:$T$3006,MATCH(81,'CARNET DE SOUDURE'!$AT$7:$AT$3006,0))&lt;&gt;""," / "&amp;INDEX('CARNET DE SOUDURE'!$T$7:$T$3006,MATCH(81,'CARNET DE SOUDURE'!$AT$7:$AT$3006,0)),""))</f>
        <v>WR-52</v>
      </c>
      <c r="G92" s="126" t="n">
        <f aca="false">IF($B92="","",INDEX('CARNET DE SOUDURE'!$U$7:$U$3006,MATCH(81,'CARNET DE SOUDURE'!$AT$7:$AT$3006,0)))</f>
        <v>46291</v>
      </c>
      <c r="H92" s="127" t="str">
        <f aca="false">IF($B92="","",INDEX('CARNET DE SOUDURE'!$AQ$7:$AQ$3006,MATCH(81,'CARNET DE SOUDURE'!$AT$7:$AT$3006,0)))</f>
        <v>À RADIOGRAPHIER</v>
      </c>
      <c r="I92" s="128" t="n">
        <f aca="false">IF($B92="","",INDEX('CARNET DE SOUDURE'!$AO$7:$AO$3006,MATCH(81,'CARNET DE SOUDURE'!$AT$7:$AT$3006,0)))</f>
        <v>0</v>
      </c>
      <c r="J92" s="128" t="n">
        <f aca="false">IF($B92="","",INDEX('CARNET DE SOUDURE'!$AR$7:$AR$3006,MATCH(81,'CARNET DE SOUDURE'!$AT$7:$AT$3006,0)))</f>
        <v>2</v>
      </c>
      <c r="K92" s="129"/>
      <c r="L92" s="129"/>
    </row>
    <row r="93" customFormat="false" ht="15" hidden="false" customHeight="false" outlineLevel="0" collapsed="false">
      <c r="B93" s="130" t="n">
        <f aca="false">IF(82&gt;$I$4,"",82)</f>
        <v>82</v>
      </c>
      <c r="C93" s="130" t="str">
        <f aca="false">IF($B93="","",INDEX('CARNET DE SOUDURE'!$B$7:$B$3006,MATCH(82,'CARNET DE SOUDURE'!$AT$7:$AT$3006,0)))</f>
        <v>MFD-ISW → MFD-CPF</v>
      </c>
      <c r="D93" s="130" t="str">
        <f aca="false">IF($B93="","",INDEX('CARNET DE SOUDURE'!$E$7:$E$3006,MATCH(82,'CARNET DE SOUDURE'!$AT$7:$AT$3006,0)))</f>
        <v>JN°1308R</v>
      </c>
      <c r="E93" s="130" t="n">
        <f aca="false">IF($B93="","",INDEX('CARNET DE SOUDURE'!$D$7:$D$3006,MATCH(82,'CARNET DE SOUDURE'!$AT$7:$AT$3006,0)))</f>
        <v>14</v>
      </c>
      <c r="F93" s="130" t="str">
        <f aca="false">IF($B93="","",INDEX('CARNET DE SOUDURE'!$R$7:$R$3006,MATCH(82,'CARNET DE SOUDURE'!$AT$7:$AT$3006,0))&amp;IF(INDEX('CARNET DE SOUDURE'!$S$7:$S$3006,MATCH(82,'CARNET DE SOUDURE'!$AT$7:$AT$3006,0))&lt;&gt;""," / "&amp;INDEX('CARNET DE SOUDURE'!$S$7:$S$3006,MATCH(82,'CARNET DE SOUDURE'!$AT$7:$AT$3006,0)),"")&amp;IF(INDEX('CARNET DE SOUDURE'!$T$7:$T$3006,MATCH(82,'CARNET DE SOUDURE'!$AT$7:$AT$3006,0))&lt;&gt;""," / "&amp;INDEX('CARNET DE SOUDURE'!$T$7:$T$3006,MATCH(82,'CARNET DE SOUDURE'!$AT$7:$AT$3006,0)),""))</f>
        <v>WR-32</v>
      </c>
      <c r="G93" s="131" t="n">
        <f aca="false">IF($B93="","",INDEX('CARNET DE SOUDURE'!$U$7:$U$3006,MATCH(82,'CARNET DE SOUDURE'!$AT$7:$AT$3006,0)))</f>
        <v>46291</v>
      </c>
      <c r="H93" s="132" t="str">
        <f aca="false">IF($B93="","",INDEX('CARNET DE SOUDURE'!$AQ$7:$AQ$3006,MATCH(82,'CARNET DE SOUDURE'!$AT$7:$AT$3006,0)))</f>
        <v>À RADIOGRAPHIER</v>
      </c>
      <c r="I93" s="133" t="n">
        <f aca="false">IF($B93="","",INDEX('CARNET DE SOUDURE'!$AO$7:$AO$3006,MATCH(82,'CARNET DE SOUDURE'!$AT$7:$AT$3006,0)))</f>
        <v>0</v>
      </c>
      <c r="J93" s="133" t="n">
        <f aca="false">IF($B93="","",INDEX('CARNET DE SOUDURE'!$AR$7:$AR$3006,MATCH(82,'CARNET DE SOUDURE'!$AT$7:$AT$3006,0)))</f>
        <v>2</v>
      </c>
      <c r="K93" s="129"/>
      <c r="L93" s="129"/>
    </row>
    <row r="94" customFormat="false" ht="15" hidden="false" customHeight="false" outlineLevel="0" collapsed="false">
      <c r="B94" s="125" t="n">
        <f aca="false">IF(83&gt;$I$4,"",83)</f>
        <v>83</v>
      </c>
      <c r="C94" s="125" t="str">
        <f aca="false">IF($B94="","",INDEX('CARNET DE SOUDURE'!$B$7:$B$3006,MATCH(83,'CARNET DE SOUDURE'!$AT$7:$AT$3006,0)))</f>
        <v>MFD-ISW → MFD-CPF</v>
      </c>
      <c r="D94" s="125" t="str">
        <f aca="false">IF($B94="","",INDEX('CARNET DE SOUDURE'!$E$7:$E$3006,MATCH(83,'CARNET DE SOUDURE'!$AT$7:$AT$3006,0)))</f>
        <v>JN°1311R</v>
      </c>
      <c r="E94" s="125" t="n">
        <f aca="false">IF($B94="","",INDEX('CARNET DE SOUDURE'!$D$7:$D$3006,MATCH(83,'CARNET DE SOUDURE'!$AT$7:$AT$3006,0)))</f>
        <v>14</v>
      </c>
      <c r="F94" s="125" t="str">
        <f aca="false">IF($B94="","",INDEX('CARNET DE SOUDURE'!$R$7:$R$3006,MATCH(83,'CARNET DE SOUDURE'!$AT$7:$AT$3006,0))&amp;IF(INDEX('CARNET DE SOUDURE'!$S$7:$S$3006,MATCH(83,'CARNET DE SOUDURE'!$AT$7:$AT$3006,0))&lt;&gt;""," / "&amp;INDEX('CARNET DE SOUDURE'!$S$7:$S$3006,MATCH(83,'CARNET DE SOUDURE'!$AT$7:$AT$3006,0)),"")&amp;IF(INDEX('CARNET DE SOUDURE'!$T$7:$T$3006,MATCH(83,'CARNET DE SOUDURE'!$AT$7:$AT$3006,0))&lt;&gt;""," / "&amp;INDEX('CARNET DE SOUDURE'!$T$7:$T$3006,MATCH(83,'CARNET DE SOUDURE'!$AT$7:$AT$3006,0)),""))</f>
        <v>WR-52</v>
      </c>
      <c r="G94" s="126" t="n">
        <f aca="false">IF($B94="","",INDEX('CARNET DE SOUDURE'!$U$7:$U$3006,MATCH(83,'CARNET DE SOUDURE'!$AT$7:$AT$3006,0)))</f>
        <v>46291</v>
      </c>
      <c r="H94" s="127" t="str">
        <f aca="false">IF($B94="","",INDEX('CARNET DE SOUDURE'!$AQ$7:$AQ$3006,MATCH(83,'CARNET DE SOUDURE'!$AT$7:$AT$3006,0)))</f>
        <v>À RADIOGRAPHIER</v>
      </c>
      <c r="I94" s="128" t="n">
        <f aca="false">IF($B94="","",INDEX('CARNET DE SOUDURE'!$AO$7:$AO$3006,MATCH(83,'CARNET DE SOUDURE'!$AT$7:$AT$3006,0)))</f>
        <v>0</v>
      </c>
      <c r="J94" s="128" t="n">
        <f aca="false">IF($B94="","",INDEX('CARNET DE SOUDURE'!$AR$7:$AR$3006,MATCH(83,'CARNET DE SOUDURE'!$AT$7:$AT$3006,0)))</f>
        <v>2</v>
      </c>
      <c r="K94" s="129"/>
      <c r="L94" s="129"/>
    </row>
    <row r="95" customFormat="false" ht="15" hidden="false" customHeight="false" outlineLevel="0" collapsed="false">
      <c r="B95" s="130" t="n">
        <f aca="false">IF(84&gt;$I$4,"",84)</f>
        <v>84</v>
      </c>
      <c r="C95" s="130" t="str">
        <f aca="false">IF($B95="","",INDEX('CARNET DE SOUDURE'!$B$7:$B$3006,MATCH(84,'CARNET DE SOUDURE'!$AT$7:$AT$3006,0)))</f>
        <v>MFD-ISW → MFD-CPF</v>
      </c>
      <c r="D95" s="130" t="str">
        <f aca="false">IF($B95="","",INDEX('CARNET DE SOUDURE'!$E$7:$E$3006,MATCH(84,'CARNET DE SOUDURE'!$AT$7:$AT$3006,0)))</f>
        <v>JN°1315R</v>
      </c>
      <c r="E95" s="130" t="n">
        <f aca="false">IF($B95="","",INDEX('CARNET DE SOUDURE'!$D$7:$D$3006,MATCH(84,'CARNET DE SOUDURE'!$AT$7:$AT$3006,0)))</f>
        <v>14</v>
      </c>
      <c r="F95" s="130" t="str">
        <f aca="false">IF($B95="","",INDEX('CARNET DE SOUDURE'!$R$7:$R$3006,MATCH(84,'CARNET DE SOUDURE'!$AT$7:$AT$3006,0))&amp;IF(INDEX('CARNET DE SOUDURE'!$S$7:$S$3006,MATCH(84,'CARNET DE SOUDURE'!$AT$7:$AT$3006,0))&lt;&gt;""," / "&amp;INDEX('CARNET DE SOUDURE'!$S$7:$S$3006,MATCH(84,'CARNET DE SOUDURE'!$AT$7:$AT$3006,0)),"")&amp;IF(INDEX('CARNET DE SOUDURE'!$T$7:$T$3006,MATCH(84,'CARNET DE SOUDURE'!$AT$7:$AT$3006,0))&lt;&gt;""," / "&amp;INDEX('CARNET DE SOUDURE'!$T$7:$T$3006,MATCH(84,'CARNET DE SOUDURE'!$AT$7:$AT$3006,0)),""))</f>
        <v>WR-32</v>
      </c>
      <c r="G95" s="131" t="n">
        <f aca="false">IF($B95="","",INDEX('CARNET DE SOUDURE'!$U$7:$U$3006,MATCH(84,'CARNET DE SOUDURE'!$AT$7:$AT$3006,0)))</f>
        <v>46291</v>
      </c>
      <c r="H95" s="132" t="str">
        <f aca="false">IF($B95="","",INDEX('CARNET DE SOUDURE'!$AQ$7:$AQ$3006,MATCH(84,'CARNET DE SOUDURE'!$AT$7:$AT$3006,0)))</f>
        <v>À RADIOGRAPHIER</v>
      </c>
      <c r="I95" s="133" t="n">
        <f aca="false">IF($B95="","",INDEX('CARNET DE SOUDURE'!$AO$7:$AO$3006,MATCH(84,'CARNET DE SOUDURE'!$AT$7:$AT$3006,0)))</f>
        <v>0</v>
      </c>
      <c r="J95" s="133" t="n">
        <f aca="false">IF($B95="","",INDEX('CARNET DE SOUDURE'!$AR$7:$AR$3006,MATCH(84,'CARNET DE SOUDURE'!$AT$7:$AT$3006,0)))</f>
        <v>2</v>
      </c>
      <c r="K95" s="129"/>
      <c r="L95" s="129"/>
    </row>
    <row r="96" customFormat="false" ht="15" hidden="false" customHeight="false" outlineLevel="0" collapsed="false">
      <c r="B96" s="125" t="n">
        <f aca="false">IF(85&gt;$I$4,"",85)</f>
        <v>85</v>
      </c>
      <c r="C96" s="125" t="str">
        <f aca="false">IF($B96="","",INDEX('CARNET DE SOUDURE'!$B$7:$B$3006,MATCH(85,'CARNET DE SOUDURE'!$AT$7:$AT$3006,0)))</f>
        <v>MFD-ISW → MFD-CPF</v>
      </c>
      <c r="D96" s="125" t="str">
        <f aca="false">IF($B96="","",INDEX('CARNET DE SOUDURE'!$E$7:$E$3006,MATCH(85,'CARNET DE SOUDURE'!$AT$7:$AT$3006,0)))</f>
        <v>JN°1316R</v>
      </c>
      <c r="E96" s="125" t="n">
        <f aca="false">IF($B96="","",INDEX('CARNET DE SOUDURE'!$D$7:$D$3006,MATCH(85,'CARNET DE SOUDURE'!$AT$7:$AT$3006,0)))</f>
        <v>14</v>
      </c>
      <c r="F96" s="125" t="str">
        <f aca="false">IF($B96="","",INDEX('CARNET DE SOUDURE'!$R$7:$R$3006,MATCH(85,'CARNET DE SOUDURE'!$AT$7:$AT$3006,0))&amp;IF(INDEX('CARNET DE SOUDURE'!$S$7:$S$3006,MATCH(85,'CARNET DE SOUDURE'!$AT$7:$AT$3006,0))&lt;&gt;""," / "&amp;INDEX('CARNET DE SOUDURE'!$S$7:$S$3006,MATCH(85,'CARNET DE SOUDURE'!$AT$7:$AT$3006,0)),"")&amp;IF(INDEX('CARNET DE SOUDURE'!$T$7:$T$3006,MATCH(85,'CARNET DE SOUDURE'!$AT$7:$AT$3006,0))&lt;&gt;""," / "&amp;INDEX('CARNET DE SOUDURE'!$T$7:$T$3006,MATCH(85,'CARNET DE SOUDURE'!$AT$7:$AT$3006,0)),""))</f>
        <v>WR-52</v>
      </c>
      <c r="G96" s="126" t="n">
        <f aca="false">IF($B96="","",INDEX('CARNET DE SOUDURE'!$U$7:$U$3006,MATCH(85,'CARNET DE SOUDURE'!$AT$7:$AT$3006,0)))</f>
        <v>46291</v>
      </c>
      <c r="H96" s="127" t="str">
        <f aca="false">IF($B96="","",INDEX('CARNET DE SOUDURE'!$AQ$7:$AQ$3006,MATCH(85,'CARNET DE SOUDURE'!$AT$7:$AT$3006,0)))</f>
        <v>À RADIOGRAPHIER</v>
      </c>
      <c r="I96" s="128" t="n">
        <f aca="false">IF($B96="","",INDEX('CARNET DE SOUDURE'!$AO$7:$AO$3006,MATCH(85,'CARNET DE SOUDURE'!$AT$7:$AT$3006,0)))</f>
        <v>0</v>
      </c>
      <c r="J96" s="128" t="n">
        <f aca="false">IF($B96="","",INDEX('CARNET DE SOUDURE'!$AR$7:$AR$3006,MATCH(85,'CARNET DE SOUDURE'!$AT$7:$AT$3006,0)))</f>
        <v>2</v>
      </c>
      <c r="K96" s="129"/>
      <c r="L96" s="129"/>
    </row>
    <row r="97" customFormat="false" ht="15" hidden="false" customHeight="false" outlineLevel="0" collapsed="false">
      <c r="B97" s="130" t="n">
        <f aca="false">IF(86&gt;$I$4,"",86)</f>
        <v>86</v>
      </c>
      <c r="C97" s="130" t="str">
        <f aca="false">IF($B97="","",INDEX('CARNET DE SOUDURE'!$B$7:$B$3006,MATCH(86,'CARNET DE SOUDURE'!$AT$7:$AT$3006,0)))</f>
        <v>MFD-ISW → MFD-CPF</v>
      </c>
      <c r="D97" s="130" t="str">
        <f aca="false">IF($B97="","",INDEX('CARNET DE SOUDURE'!$E$7:$E$3006,MATCH(86,'CARNET DE SOUDURE'!$AT$7:$AT$3006,0)))</f>
        <v>JN°1324R</v>
      </c>
      <c r="E97" s="130" t="n">
        <f aca="false">IF($B97="","",INDEX('CARNET DE SOUDURE'!$D$7:$D$3006,MATCH(86,'CARNET DE SOUDURE'!$AT$7:$AT$3006,0)))</f>
        <v>14</v>
      </c>
      <c r="F97" s="130" t="str">
        <f aca="false">IF($B97="","",INDEX('CARNET DE SOUDURE'!$R$7:$R$3006,MATCH(86,'CARNET DE SOUDURE'!$AT$7:$AT$3006,0))&amp;IF(INDEX('CARNET DE SOUDURE'!$S$7:$S$3006,MATCH(86,'CARNET DE SOUDURE'!$AT$7:$AT$3006,0))&lt;&gt;""," / "&amp;INDEX('CARNET DE SOUDURE'!$S$7:$S$3006,MATCH(86,'CARNET DE SOUDURE'!$AT$7:$AT$3006,0)),"")&amp;IF(INDEX('CARNET DE SOUDURE'!$T$7:$T$3006,MATCH(86,'CARNET DE SOUDURE'!$AT$7:$AT$3006,0))&lt;&gt;""," / "&amp;INDEX('CARNET DE SOUDURE'!$T$7:$T$3006,MATCH(86,'CARNET DE SOUDURE'!$AT$7:$AT$3006,0)),""))</f>
        <v>WR-52</v>
      </c>
      <c r="G97" s="131" t="n">
        <f aca="false">IF($B97="","",INDEX('CARNET DE SOUDURE'!$U$7:$U$3006,MATCH(86,'CARNET DE SOUDURE'!$AT$7:$AT$3006,0)))</f>
        <v>46291</v>
      </c>
      <c r="H97" s="132" t="str">
        <f aca="false">IF($B97="","",INDEX('CARNET DE SOUDURE'!$AQ$7:$AQ$3006,MATCH(86,'CARNET DE SOUDURE'!$AT$7:$AT$3006,0)))</f>
        <v>À RADIOGRAPHIER</v>
      </c>
      <c r="I97" s="133" t="n">
        <f aca="false">IF($B97="","",INDEX('CARNET DE SOUDURE'!$AO$7:$AO$3006,MATCH(86,'CARNET DE SOUDURE'!$AT$7:$AT$3006,0)))</f>
        <v>0</v>
      </c>
      <c r="J97" s="133" t="n">
        <f aca="false">IF($B97="","",INDEX('CARNET DE SOUDURE'!$AR$7:$AR$3006,MATCH(86,'CARNET DE SOUDURE'!$AT$7:$AT$3006,0)))</f>
        <v>2</v>
      </c>
      <c r="K97" s="129"/>
      <c r="L97" s="129"/>
    </row>
    <row r="98" customFormat="false" ht="15" hidden="false" customHeight="false" outlineLevel="0" collapsed="false">
      <c r="B98" s="125" t="n">
        <f aca="false">IF(87&gt;$I$4,"",87)</f>
        <v>87</v>
      </c>
      <c r="C98" s="125" t="str">
        <f aca="false">IF($B98="","",INDEX('CARNET DE SOUDURE'!$B$7:$B$3006,MATCH(87,'CARNET DE SOUDURE'!$AT$7:$AT$3006,0)))</f>
        <v>MFD-ISW → MFD-CPF</v>
      </c>
      <c r="D98" s="125" t="str">
        <f aca="false">IF($B98="","",INDEX('CARNET DE SOUDURE'!$E$7:$E$3006,MATCH(87,'CARNET DE SOUDURE'!$AT$7:$AT$3006,0)))</f>
        <v>JN°1325R</v>
      </c>
      <c r="E98" s="125" t="n">
        <f aca="false">IF($B98="","",INDEX('CARNET DE SOUDURE'!$D$7:$D$3006,MATCH(87,'CARNET DE SOUDURE'!$AT$7:$AT$3006,0)))</f>
        <v>14</v>
      </c>
      <c r="F98" s="125" t="str">
        <f aca="false">IF($B98="","",INDEX('CARNET DE SOUDURE'!$R$7:$R$3006,MATCH(87,'CARNET DE SOUDURE'!$AT$7:$AT$3006,0))&amp;IF(INDEX('CARNET DE SOUDURE'!$S$7:$S$3006,MATCH(87,'CARNET DE SOUDURE'!$AT$7:$AT$3006,0))&lt;&gt;""," / "&amp;INDEX('CARNET DE SOUDURE'!$S$7:$S$3006,MATCH(87,'CARNET DE SOUDURE'!$AT$7:$AT$3006,0)),"")&amp;IF(INDEX('CARNET DE SOUDURE'!$T$7:$T$3006,MATCH(87,'CARNET DE SOUDURE'!$AT$7:$AT$3006,0))&lt;&gt;""," / "&amp;INDEX('CARNET DE SOUDURE'!$T$7:$T$3006,MATCH(87,'CARNET DE SOUDURE'!$AT$7:$AT$3006,0)),""))</f>
        <v>WR-32</v>
      </c>
      <c r="G98" s="126" t="n">
        <f aca="false">IF($B98="","",INDEX('CARNET DE SOUDURE'!$U$7:$U$3006,MATCH(87,'CARNET DE SOUDURE'!$AT$7:$AT$3006,0)))</f>
        <v>46291</v>
      </c>
      <c r="H98" s="127" t="str">
        <f aca="false">IF($B98="","",INDEX('CARNET DE SOUDURE'!$AQ$7:$AQ$3006,MATCH(87,'CARNET DE SOUDURE'!$AT$7:$AT$3006,0)))</f>
        <v>À RADIOGRAPHIER</v>
      </c>
      <c r="I98" s="128" t="n">
        <f aca="false">IF($B98="","",INDEX('CARNET DE SOUDURE'!$AO$7:$AO$3006,MATCH(87,'CARNET DE SOUDURE'!$AT$7:$AT$3006,0)))</f>
        <v>0</v>
      </c>
      <c r="J98" s="128" t="n">
        <f aca="false">IF($B98="","",INDEX('CARNET DE SOUDURE'!$AR$7:$AR$3006,MATCH(87,'CARNET DE SOUDURE'!$AT$7:$AT$3006,0)))</f>
        <v>2</v>
      </c>
      <c r="K98" s="129"/>
      <c r="L98" s="129"/>
    </row>
    <row r="99" customFormat="false" ht="15" hidden="false" customHeight="false" outlineLevel="0" collapsed="false">
      <c r="B99" s="130" t="n">
        <f aca="false">IF(88&gt;$I$4,"",88)</f>
        <v>88</v>
      </c>
      <c r="C99" s="130" t="str">
        <f aca="false">IF($B99="","",INDEX('CARNET DE SOUDURE'!$B$7:$B$3006,MATCH(88,'CARNET DE SOUDURE'!$AT$7:$AT$3006,0)))</f>
        <v>MFD-ISW → MFD-CPF</v>
      </c>
      <c r="D99" s="130" t="str">
        <f aca="false">IF($B99="","",INDEX('CARNET DE SOUDURE'!$E$7:$E$3006,MATCH(88,'CARNET DE SOUDURE'!$AT$7:$AT$3006,0)))</f>
        <v>JN°1326R</v>
      </c>
      <c r="E99" s="130" t="n">
        <f aca="false">IF($B99="","",INDEX('CARNET DE SOUDURE'!$D$7:$D$3006,MATCH(88,'CARNET DE SOUDURE'!$AT$7:$AT$3006,0)))</f>
        <v>14</v>
      </c>
      <c r="F99" s="130" t="str">
        <f aca="false">IF($B99="","",INDEX('CARNET DE SOUDURE'!$R$7:$R$3006,MATCH(88,'CARNET DE SOUDURE'!$AT$7:$AT$3006,0))&amp;IF(INDEX('CARNET DE SOUDURE'!$S$7:$S$3006,MATCH(88,'CARNET DE SOUDURE'!$AT$7:$AT$3006,0))&lt;&gt;""," / "&amp;INDEX('CARNET DE SOUDURE'!$S$7:$S$3006,MATCH(88,'CARNET DE SOUDURE'!$AT$7:$AT$3006,0)),"")&amp;IF(INDEX('CARNET DE SOUDURE'!$T$7:$T$3006,MATCH(88,'CARNET DE SOUDURE'!$AT$7:$AT$3006,0))&lt;&gt;""," / "&amp;INDEX('CARNET DE SOUDURE'!$T$7:$T$3006,MATCH(88,'CARNET DE SOUDURE'!$AT$7:$AT$3006,0)),""))</f>
        <v>WR-52</v>
      </c>
      <c r="G99" s="131" t="n">
        <f aca="false">IF($B99="","",INDEX('CARNET DE SOUDURE'!$U$7:$U$3006,MATCH(88,'CARNET DE SOUDURE'!$AT$7:$AT$3006,0)))</f>
        <v>46290</v>
      </c>
      <c r="H99" s="132" t="str">
        <f aca="false">IF($B99="","",INDEX('CARNET DE SOUDURE'!$AQ$7:$AQ$3006,MATCH(88,'CARNET DE SOUDURE'!$AT$7:$AT$3006,0)))</f>
        <v>À RADIOGRAPHIER</v>
      </c>
      <c r="I99" s="133" t="n">
        <f aca="false">IF($B99="","",INDEX('CARNET DE SOUDURE'!$AO$7:$AO$3006,MATCH(88,'CARNET DE SOUDURE'!$AT$7:$AT$3006,0)))</f>
        <v>0</v>
      </c>
      <c r="J99" s="133" t="n">
        <f aca="false">IF($B99="","",INDEX('CARNET DE SOUDURE'!$AR$7:$AR$3006,MATCH(88,'CARNET DE SOUDURE'!$AT$7:$AT$3006,0)))</f>
        <v>3</v>
      </c>
      <c r="K99" s="129"/>
      <c r="L99" s="129"/>
    </row>
    <row r="100" customFormat="false" ht="15" hidden="false" customHeight="false" outlineLevel="0" collapsed="false">
      <c r="B100" s="125" t="n">
        <f aca="false">IF(89&gt;$I$4,"",89)</f>
        <v>89</v>
      </c>
      <c r="C100" s="125" t="str">
        <f aca="false">IF($B100="","",INDEX('CARNET DE SOUDURE'!$B$7:$B$3006,MATCH(89,'CARNET DE SOUDURE'!$AT$7:$AT$3006,0)))</f>
        <v>MFD-ISW → MFD-CPF</v>
      </c>
      <c r="D100" s="125" t="str">
        <f aca="false">IF($B100="","",INDEX('CARNET DE SOUDURE'!$E$7:$E$3006,MATCH(89,'CARNET DE SOUDURE'!$AT$7:$AT$3006,0)))</f>
        <v>JN°1327R</v>
      </c>
      <c r="E100" s="125" t="n">
        <f aca="false">IF($B100="","",INDEX('CARNET DE SOUDURE'!$D$7:$D$3006,MATCH(89,'CARNET DE SOUDURE'!$AT$7:$AT$3006,0)))</f>
        <v>14</v>
      </c>
      <c r="F100" s="125" t="str">
        <f aca="false">IF($B100="","",INDEX('CARNET DE SOUDURE'!$R$7:$R$3006,MATCH(89,'CARNET DE SOUDURE'!$AT$7:$AT$3006,0))&amp;IF(INDEX('CARNET DE SOUDURE'!$S$7:$S$3006,MATCH(89,'CARNET DE SOUDURE'!$AT$7:$AT$3006,0))&lt;&gt;""," / "&amp;INDEX('CARNET DE SOUDURE'!$S$7:$S$3006,MATCH(89,'CARNET DE SOUDURE'!$AT$7:$AT$3006,0)),"")&amp;IF(INDEX('CARNET DE SOUDURE'!$T$7:$T$3006,MATCH(89,'CARNET DE SOUDURE'!$AT$7:$AT$3006,0))&lt;&gt;""," / "&amp;INDEX('CARNET DE SOUDURE'!$T$7:$T$3006,MATCH(89,'CARNET DE SOUDURE'!$AT$7:$AT$3006,0)),""))</f>
        <v>WR-52</v>
      </c>
      <c r="G100" s="126" t="n">
        <f aca="false">IF($B100="","",INDEX('CARNET DE SOUDURE'!$U$7:$U$3006,MATCH(89,'CARNET DE SOUDURE'!$AT$7:$AT$3006,0)))</f>
        <v>46290</v>
      </c>
      <c r="H100" s="127" t="str">
        <f aca="false">IF($B100="","",INDEX('CARNET DE SOUDURE'!$AQ$7:$AQ$3006,MATCH(89,'CARNET DE SOUDURE'!$AT$7:$AT$3006,0)))</f>
        <v>À RADIOGRAPHIER</v>
      </c>
      <c r="I100" s="128" t="n">
        <f aca="false">IF($B100="","",INDEX('CARNET DE SOUDURE'!$AO$7:$AO$3006,MATCH(89,'CARNET DE SOUDURE'!$AT$7:$AT$3006,0)))</f>
        <v>0</v>
      </c>
      <c r="J100" s="128" t="n">
        <f aca="false">IF($B100="","",INDEX('CARNET DE SOUDURE'!$AR$7:$AR$3006,MATCH(89,'CARNET DE SOUDURE'!$AT$7:$AT$3006,0)))</f>
        <v>3</v>
      </c>
      <c r="K100" s="129"/>
      <c r="L100" s="129"/>
    </row>
    <row r="101" customFormat="false" ht="15" hidden="false" customHeight="false" outlineLevel="0" collapsed="false">
      <c r="B101" s="130" t="n">
        <f aca="false">IF(90&gt;$I$4,"",90)</f>
        <v>90</v>
      </c>
      <c r="C101" s="130" t="str">
        <f aca="false">IF($B101="","",INDEX('CARNET DE SOUDURE'!$B$7:$B$3006,MATCH(90,'CARNET DE SOUDURE'!$AT$7:$AT$3006,0)))</f>
        <v>MFD-ISW → MFD-CPF</v>
      </c>
      <c r="D101" s="130" t="str">
        <f aca="false">IF($B101="","",INDEX('CARNET DE SOUDURE'!$E$7:$E$3006,MATCH(90,'CARNET DE SOUDURE'!$AT$7:$AT$3006,0)))</f>
        <v>JN°1332R</v>
      </c>
      <c r="E101" s="130" t="n">
        <f aca="false">IF($B101="","",INDEX('CARNET DE SOUDURE'!$D$7:$D$3006,MATCH(90,'CARNET DE SOUDURE'!$AT$7:$AT$3006,0)))</f>
        <v>14</v>
      </c>
      <c r="F101" s="130" t="str">
        <f aca="false">IF($B101="","",INDEX('CARNET DE SOUDURE'!$R$7:$R$3006,MATCH(90,'CARNET DE SOUDURE'!$AT$7:$AT$3006,0))&amp;IF(INDEX('CARNET DE SOUDURE'!$S$7:$S$3006,MATCH(90,'CARNET DE SOUDURE'!$AT$7:$AT$3006,0))&lt;&gt;""," / "&amp;INDEX('CARNET DE SOUDURE'!$S$7:$S$3006,MATCH(90,'CARNET DE SOUDURE'!$AT$7:$AT$3006,0)),"")&amp;IF(INDEX('CARNET DE SOUDURE'!$T$7:$T$3006,MATCH(90,'CARNET DE SOUDURE'!$AT$7:$AT$3006,0))&lt;&gt;""," / "&amp;INDEX('CARNET DE SOUDURE'!$T$7:$T$3006,MATCH(90,'CARNET DE SOUDURE'!$AT$7:$AT$3006,0)),""))</f>
        <v>WR-52</v>
      </c>
      <c r="G101" s="131" t="n">
        <f aca="false">IF($B101="","",INDEX('CARNET DE SOUDURE'!$U$7:$U$3006,MATCH(90,'CARNET DE SOUDURE'!$AT$7:$AT$3006,0)))</f>
        <v>46290</v>
      </c>
      <c r="H101" s="132" t="str">
        <f aca="false">IF($B101="","",INDEX('CARNET DE SOUDURE'!$AQ$7:$AQ$3006,MATCH(90,'CARNET DE SOUDURE'!$AT$7:$AT$3006,0)))</f>
        <v>À RADIOGRAPHIER</v>
      </c>
      <c r="I101" s="133" t="n">
        <f aca="false">IF($B101="","",INDEX('CARNET DE SOUDURE'!$AO$7:$AO$3006,MATCH(90,'CARNET DE SOUDURE'!$AT$7:$AT$3006,0)))</f>
        <v>0</v>
      </c>
      <c r="J101" s="133" t="n">
        <f aca="false">IF($B101="","",INDEX('CARNET DE SOUDURE'!$AR$7:$AR$3006,MATCH(90,'CARNET DE SOUDURE'!$AT$7:$AT$3006,0)))</f>
        <v>3</v>
      </c>
      <c r="K101" s="129"/>
      <c r="L101" s="129"/>
    </row>
    <row r="102" customFormat="false" ht="15" hidden="false" customHeight="false" outlineLevel="0" collapsed="false">
      <c r="B102" s="125" t="n">
        <f aca="false">IF(91&gt;$I$4,"",91)</f>
        <v>91</v>
      </c>
      <c r="C102" s="125" t="str">
        <f aca="false">IF($B102="","",INDEX('CARNET DE SOUDURE'!$B$7:$B$3006,MATCH(91,'CARNET DE SOUDURE'!$AT$7:$AT$3006,0)))</f>
        <v>MFD-ISW → MFD-CPF</v>
      </c>
      <c r="D102" s="125" t="str">
        <f aca="false">IF($B102="","",INDEX('CARNET DE SOUDURE'!$E$7:$E$3006,MATCH(91,'CARNET DE SOUDURE'!$AT$7:$AT$3006,0)))</f>
        <v>JN°1347R</v>
      </c>
      <c r="E102" s="125" t="n">
        <f aca="false">IF($B102="","",INDEX('CARNET DE SOUDURE'!$D$7:$D$3006,MATCH(91,'CARNET DE SOUDURE'!$AT$7:$AT$3006,0)))</f>
        <v>14</v>
      </c>
      <c r="F102" s="125" t="str">
        <f aca="false">IF($B102="","",INDEX('CARNET DE SOUDURE'!$R$7:$R$3006,MATCH(91,'CARNET DE SOUDURE'!$AT$7:$AT$3006,0))&amp;IF(INDEX('CARNET DE SOUDURE'!$S$7:$S$3006,MATCH(91,'CARNET DE SOUDURE'!$AT$7:$AT$3006,0))&lt;&gt;""," / "&amp;INDEX('CARNET DE SOUDURE'!$S$7:$S$3006,MATCH(91,'CARNET DE SOUDURE'!$AT$7:$AT$3006,0)),"")&amp;IF(INDEX('CARNET DE SOUDURE'!$T$7:$T$3006,MATCH(91,'CARNET DE SOUDURE'!$AT$7:$AT$3006,0))&lt;&gt;""," / "&amp;INDEX('CARNET DE SOUDURE'!$T$7:$T$3006,MATCH(91,'CARNET DE SOUDURE'!$AT$7:$AT$3006,0)),""))</f>
        <v>WR-52</v>
      </c>
      <c r="G102" s="126" t="n">
        <f aca="false">IF($B102="","",INDEX('CARNET DE SOUDURE'!$U$7:$U$3006,MATCH(91,'CARNET DE SOUDURE'!$AT$7:$AT$3006,0)))</f>
        <v>46290</v>
      </c>
      <c r="H102" s="127" t="str">
        <f aca="false">IF($B102="","",INDEX('CARNET DE SOUDURE'!$AQ$7:$AQ$3006,MATCH(91,'CARNET DE SOUDURE'!$AT$7:$AT$3006,0)))</f>
        <v>À RADIOGRAPHIER</v>
      </c>
      <c r="I102" s="128" t="n">
        <f aca="false">IF($B102="","",INDEX('CARNET DE SOUDURE'!$AO$7:$AO$3006,MATCH(91,'CARNET DE SOUDURE'!$AT$7:$AT$3006,0)))</f>
        <v>0</v>
      </c>
      <c r="J102" s="128" t="n">
        <f aca="false">IF($B102="","",INDEX('CARNET DE SOUDURE'!$AR$7:$AR$3006,MATCH(91,'CARNET DE SOUDURE'!$AT$7:$AT$3006,0)))</f>
        <v>3</v>
      </c>
      <c r="K102" s="129"/>
      <c r="L102" s="129"/>
    </row>
    <row r="103" customFormat="false" ht="15" hidden="false" customHeight="false" outlineLevel="0" collapsed="false">
      <c r="B103" s="130" t="n">
        <f aca="false">IF(92&gt;$I$4,"",92)</f>
        <v>92</v>
      </c>
      <c r="C103" s="130" t="str">
        <f aca="false">IF($B103="","",INDEX('CARNET DE SOUDURE'!$B$7:$B$3006,MATCH(92,'CARNET DE SOUDURE'!$AT$7:$AT$3006,0)))</f>
        <v>MFD-ISW → MFD-CPF</v>
      </c>
      <c r="D103" s="130" t="str">
        <f aca="false">IF($B103="","",INDEX('CARNET DE SOUDURE'!$E$7:$E$3006,MATCH(92,'CARNET DE SOUDURE'!$AT$7:$AT$3006,0)))</f>
        <v>JN°1421R</v>
      </c>
      <c r="E103" s="130" t="n">
        <f aca="false">IF($B103="","",INDEX('CARNET DE SOUDURE'!$D$7:$D$3006,MATCH(92,'CARNET DE SOUDURE'!$AT$7:$AT$3006,0)))</f>
        <v>16</v>
      </c>
      <c r="F103" s="130" t="str">
        <f aca="false">IF($B103="","",INDEX('CARNET DE SOUDURE'!$R$7:$R$3006,MATCH(92,'CARNET DE SOUDURE'!$AT$7:$AT$3006,0))&amp;IF(INDEX('CARNET DE SOUDURE'!$S$7:$S$3006,MATCH(92,'CARNET DE SOUDURE'!$AT$7:$AT$3006,0))&lt;&gt;""," / "&amp;INDEX('CARNET DE SOUDURE'!$S$7:$S$3006,MATCH(92,'CARNET DE SOUDURE'!$AT$7:$AT$3006,0)),"")&amp;IF(INDEX('CARNET DE SOUDURE'!$T$7:$T$3006,MATCH(92,'CARNET DE SOUDURE'!$AT$7:$AT$3006,0))&lt;&gt;""," / "&amp;INDEX('CARNET DE SOUDURE'!$T$7:$T$3006,MATCH(92,'CARNET DE SOUDURE'!$AT$7:$AT$3006,0)),""))</f>
        <v>WR-52</v>
      </c>
      <c r="G103" s="131" t="n">
        <f aca="false">IF($B103="","",INDEX('CARNET DE SOUDURE'!$U$7:$U$3006,MATCH(92,'CARNET DE SOUDURE'!$AT$7:$AT$3006,0)))</f>
        <v>46289</v>
      </c>
      <c r="H103" s="132" t="str">
        <f aca="false">IF($B103="","",INDEX('CARNET DE SOUDURE'!$AQ$7:$AQ$3006,MATCH(92,'CARNET DE SOUDURE'!$AT$7:$AT$3006,0)))</f>
        <v>À RADIOGRAPHIER</v>
      </c>
      <c r="I103" s="133" t="n">
        <f aca="false">IF($B103="","",INDEX('CARNET DE SOUDURE'!$AO$7:$AO$3006,MATCH(92,'CARNET DE SOUDURE'!$AT$7:$AT$3006,0)))</f>
        <v>0</v>
      </c>
      <c r="J103" s="133" t="n">
        <f aca="false">IF($B103="","",INDEX('CARNET DE SOUDURE'!$AR$7:$AR$3006,MATCH(92,'CARNET DE SOUDURE'!$AT$7:$AT$3006,0)))</f>
        <v>4</v>
      </c>
      <c r="K103" s="129"/>
      <c r="L103" s="129"/>
    </row>
    <row r="104" customFormat="false" ht="15" hidden="false" customHeight="false" outlineLevel="0" collapsed="false">
      <c r="B104" s="125" t="n">
        <f aca="false">IF(93&gt;$I$4,"",93)</f>
        <v>93</v>
      </c>
      <c r="C104" s="125" t="str">
        <f aca="false">IF($B104="","",INDEX('CARNET DE SOUDURE'!$B$7:$B$3006,MATCH(93,'CARNET DE SOUDURE'!$AT$7:$AT$3006,0)))</f>
        <v>MFD-ISW → MFD-CPF</v>
      </c>
      <c r="D104" s="125" t="str">
        <f aca="false">IF($B104="","",INDEX('CARNET DE SOUDURE'!$E$7:$E$3006,MATCH(93,'CARNET DE SOUDURE'!$AT$7:$AT$3006,0)))</f>
        <v>JN°1437R</v>
      </c>
      <c r="E104" s="125" t="n">
        <f aca="false">IF($B104="","",INDEX('CARNET DE SOUDURE'!$D$7:$D$3006,MATCH(93,'CARNET DE SOUDURE'!$AT$7:$AT$3006,0)))</f>
        <v>17</v>
      </c>
      <c r="F104" s="125" t="str">
        <f aca="false">IF($B104="","",INDEX('CARNET DE SOUDURE'!$R$7:$R$3006,MATCH(93,'CARNET DE SOUDURE'!$AT$7:$AT$3006,0))&amp;IF(INDEX('CARNET DE SOUDURE'!$S$7:$S$3006,MATCH(93,'CARNET DE SOUDURE'!$AT$7:$AT$3006,0))&lt;&gt;""," / "&amp;INDEX('CARNET DE SOUDURE'!$S$7:$S$3006,MATCH(93,'CARNET DE SOUDURE'!$AT$7:$AT$3006,0)),"")&amp;IF(INDEX('CARNET DE SOUDURE'!$T$7:$T$3006,MATCH(93,'CARNET DE SOUDURE'!$AT$7:$AT$3006,0))&lt;&gt;""," / "&amp;INDEX('CARNET DE SOUDURE'!$T$7:$T$3006,MATCH(93,'CARNET DE SOUDURE'!$AT$7:$AT$3006,0)),""))</f>
        <v>WR-52</v>
      </c>
      <c r="G104" s="126" t="n">
        <f aca="false">IF($B104="","",INDEX('CARNET DE SOUDURE'!$U$7:$U$3006,MATCH(93,'CARNET DE SOUDURE'!$AT$7:$AT$3006,0)))</f>
        <v>46289</v>
      </c>
      <c r="H104" s="127" t="str">
        <f aca="false">IF($B104="","",INDEX('CARNET DE SOUDURE'!$AQ$7:$AQ$3006,MATCH(93,'CARNET DE SOUDURE'!$AT$7:$AT$3006,0)))</f>
        <v>À RADIOGRAPHIER</v>
      </c>
      <c r="I104" s="128" t="n">
        <f aca="false">IF($B104="","",INDEX('CARNET DE SOUDURE'!$AO$7:$AO$3006,MATCH(93,'CARNET DE SOUDURE'!$AT$7:$AT$3006,0)))</f>
        <v>0</v>
      </c>
      <c r="J104" s="128" t="n">
        <f aca="false">IF($B104="","",INDEX('CARNET DE SOUDURE'!$AR$7:$AR$3006,MATCH(93,'CARNET DE SOUDURE'!$AT$7:$AT$3006,0)))</f>
        <v>4</v>
      </c>
      <c r="K104" s="129"/>
      <c r="L104" s="129"/>
    </row>
    <row r="105" customFormat="false" ht="15" hidden="false" customHeight="false" outlineLevel="0" collapsed="false">
      <c r="B105" s="130" t="n">
        <f aca="false">IF(94&gt;$I$4,"",94)</f>
        <v>94</v>
      </c>
      <c r="C105" s="130" t="str">
        <f aca="false">IF($B105="","",INDEX('CARNET DE SOUDURE'!$B$7:$B$3006,MATCH(94,'CARNET DE SOUDURE'!$AT$7:$AT$3006,0)))</f>
        <v>MFD-ISW → MFD-CPF</v>
      </c>
      <c r="D105" s="130" t="str">
        <f aca="false">IF($B105="","",INDEX('CARNET DE SOUDURE'!$E$7:$E$3006,MATCH(94,'CARNET DE SOUDURE'!$AT$7:$AT$3006,0)))</f>
        <v>JN°1450</v>
      </c>
      <c r="E105" s="130" t="n">
        <f aca="false">IF($B105="","",INDEX('CARNET DE SOUDURE'!$D$7:$D$3006,MATCH(94,'CARNET DE SOUDURE'!$AT$7:$AT$3006,0)))</f>
        <v>17</v>
      </c>
      <c r="F105" s="130" t="str">
        <f aca="false">IF($B105="","",INDEX('CARNET DE SOUDURE'!$R$7:$R$3006,MATCH(94,'CARNET DE SOUDURE'!$AT$7:$AT$3006,0))&amp;IF(INDEX('CARNET DE SOUDURE'!$S$7:$S$3006,MATCH(94,'CARNET DE SOUDURE'!$AT$7:$AT$3006,0))&lt;&gt;""," / "&amp;INDEX('CARNET DE SOUDURE'!$S$7:$S$3006,MATCH(94,'CARNET DE SOUDURE'!$AT$7:$AT$3006,0)),"")&amp;IF(INDEX('CARNET DE SOUDURE'!$T$7:$T$3006,MATCH(94,'CARNET DE SOUDURE'!$AT$7:$AT$3006,0))&lt;&gt;""," / "&amp;INDEX('CARNET DE SOUDURE'!$T$7:$T$3006,MATCH(94,'CARNET DE SOUDURE'!$AT$7:$AT$3006,0)),""))</f>
        <v>WR-46-44/32-33/45-43</v>
      </c>
      <c r="G105" s="131" t="n">
        <f aca="false">IF($B105="","",INDEX('CARNET DE SOUDURE'!$U$7:$U$3006,MATCH(94,'CARNET DE SOUDURE'!$AT$7:$AT$3006,0)))</f>
        <v>46270</v>
      </c>
      <c r="H105" s="132" t="str">
        <f aca="false">IF($B105="","",INDEX('CARNET DE SOUDURE'!$AQ$7:$AQ$3006,MATCH(94,'CARNET DE SOUDURE'!$AT$7:$AT$3006,0)))</f>
        <v>À RADIOGRAPHIER</v>
      </c>
      <c r="I105" s="133" t="n">
        <f aca="false">IF($B105="","",INDEX('CARNET DE SOUDURE'!$AO$7:$AO$3006,MATCH(94,'CARNET DE SOUDURE'!$AT$7:$AT$3006,0)))</f>
        <v>0</v>
      </c>
      <c r="J105" s="133" t="n">
        <f aca="false">IF($B105="","",INDEX('CARNET DE SOUDURE'!$AR$7:$AR$3006,MATCH(94,'CARNET DE SOUDURE'!$AT$7:$AT$3006,0)))</f>
        <v>23</v>
      </c>
      <c r="K105" s="129"/>
      <c r="L105" s="129"/>
    </row>
    <row r="106" customFormat="false" ht="15" hidden="false" customHeight="false" outlineLevel="0" collapsed="false">
      <c r="B106" s="125" t="n">
        <f aca="false">IF(95&gt;$I$4,"",95)</f>
        <v>95</v>
      </c>
      <c r="C106" s="125" t="str">
        <f aca="false">IF($B106="","",INDEX('CARNET DE SOUDURE'!$B$7:$B$3006,MATCH(95,'CARNET DE SOUDURE'!$AT$7:$AT$3006,0)))</f>
        <v>MFD-ISW → MFD-CPF</v>
      </c>
      <c r="D106" s="125" t="str">
        <f aca="false">IF($B106="","",INDEX('CARNET DE SOUDURE'!$E$7:$E$3006,MATCH(95,'CARNET DE SOUDURE'!$AT$7:$AT$3006,0)))</f>
        <v>JN°1451</v>
      </c>
      <c r="E106" s="125" t="n">
        <f aca="false">IF($B106="","",INDEX('CARNET DE SOUDURE'!$D$7:$D$3006,MATCH(95,'CARNET DE SOUDURE'!$AT$7:$AT$3006,0)))</f>
        <v>17</v>
      </c>
      <c r="F106" s="125" t="str">
        <f aca="false">IF($B106="","",INDEX('CARNET DE SOUDURE'!$R$7:$R$3006,MATCH(95,'CARNET DE SOUDURE'!$AT$7:$AT$3006,0))&amp;IF(INDEX('CARNET DE SOUDURE'!$S$7:$S$3006,MATCH(95,'CARNET DE SOUDURE'!$AT$7:$AT$3006,0))&lt;&gt;""," / "&amp;INDEX('CARNET DE SOUDURE'!$S$7:$S$3006,MATCH(95,'CARNET DE SOUDURE'!$AT$7:$AT$3006,0)),"")&amp;IF(INDEX('CARNET DE SOUDURE'!$T$7:$T$3006,MATCH(95,'CARNET DE SOUDURE'!$AT$7:$AT$3006,0))&lt;&gt;""," / "&amp;INDEX('CARNET DE SOUDURE'!$T$7:$T$3006,MATCH(95,'CARNET DE SOUDURE'!$AT$7:$AT$3006,0)),""))</f>
        <v>WR-46-44/32-33/45-43</v>
      </c>
      <c r="G106" s="126" t="n">
        <f aca="false">IF($B106="","",INDEX('CARNET DE SOUDURE'!$U$7:$U$3006,MATCH(95,'CARNET DE SOUDURE'!$AT$7:$AT$3006,0)))</f>
        <v>46270</v>
      </c>
      <c r="H106" s="127" t="str">
        <f aca="false">IF($B106="","",INDEX('CARNET DE SOUDURE'!$AQ$7:$AQ$3006,MATCH(95,'CARNET DE SOUDURE'!$AT$7:$AT$3006,0)))</f>
        <v>À RADIOGRAPHIER</v>
      </c>
      <c r="I106" s="128" t="n">
        <f aca="false">IF($B106="","",INDEX('CARNET DE SOUDURE'!$AO$7:$AO$3006,MATCH(95,'CARNET DE SOUDURE'!$AT$7:$AT$3006,0)))</f>
        <v>0</v>
      </c>
      <c r="J106" s="128" t="n">
        <f aca="false">IF($B106="","",INDEX('CARNET DE SOUDURE'!$AR$7:$AR$3006,MATCH(95,'CARNET DE SOUDURE'!$AT$7:$AT$3006,0)))</f>
        <v>23</v>
      </c>
      <c r="K106" s="129"/>
      <c r="L106" s="129"/>
    </row>
    <row r="107" customFormat="false" ht="15" hidden="false" customHeight="false" outlineLevel="0" collapsed="false">
      <c r="B107" s="130" t="n">
        <f aca="false">IF(96&gt;$I$4,"",96)</f>
        <v>96</v>
      </c>
      <c r="C107" s="130" t="str">
        <f aca="false">IF($B107="","",INDEX('CARNET DE SOUDURE'!$B$7:$B$3006,MATCH(96,'CARNET DE SOUDURE'!$AT$7:$AT$3006,0)))</f>
        <v>MFD-ISW → MFD-CPF</v>
      </c>
      <c r="D107" s="130" t="str">
        <f aca="false">IF($B107="","",INDEX('CARNET DE SOUDURE'!$E$7:$E$3006,MATCH(96,'CARNET DE SOUDURE'!$AT$7:$AT$3006,0)))</f>
        <v>JN°1452</v>
      </c>
      <c r="E107" s="130" t="n">
        <f aca="false">IF($B107="","",INDEX('CARNET DE SOUDURE'!$D$7:$D$3006,MATCH(96,'CARNET DE SOUDURE'!$AT$7:$AT$3006,0)))</f>
        <v>17</v>
      </c>
      <c r="F107" s="130" t="str">
        <f aca="false">IF($B107="","",INDEX('CARNET DE SOUDURE'!$R$7:$R$3006,MATCH(96,'CARNET DE SOUDURE'!$AT$7:$AT$3006,0))&amp;IF(INDEX('CARNET DE SOUDURE'!$S$7:$S$3006,MATCH(96,'CARNET DE SOUDURE'!$AT$7:$AT$3006,0))&lt;&gt;""," / "&amp;INDEX('CARNET DE SOUDURE'!$S$7:$S$3006,MATCH(96,'CARNET DE SOUDURE'!$AT$7:$AT$3006,0)),"")&amp;IF(INDEX('CARNET DE SOUDURE'!$T$7:$T$3006,MATCH(96,'CARNET DE SOUDURE'!$AT$7:$AT$3006,0))&lt;&gt;""," / "&amp;INDEX('CARNET DE SOUDURE'!$T$7:$T$3006,MATCH(96,'CARNET DE SOUDURE'!$AT$7:$AT$3006,0)),""))</f>
        <v>WR-46-44/32-33/45-43</v>
      </c>
      <c r="G107" s="131" t="n">
        <f aca="false">IF($B107="","",INDEX('CARNET DE SOUDURE'!$U$7:$U$3006,MATCH(96,'CARNET DE SOUDURE'!$AT$7:$AT$3006,0)))</f>
        <v>46270</v>
      </c>
      <c r="H107" s="132" t="str">
        <f aca="false">IF($B107="","",INDEX('CARNET DE SOUDURE'!$AQ$7:$AQ$3006,MATCH(96,'CARNET DE SOUDURE'!$AT$7:$AT$3006,0)))</f>
        <v>À RADIOGRAPHIER</v>
      </c>
      <c r="I107" s="133" t="n">
        <f aca="false">IF($B107="","",INDEX('CARNET DE SOUDURE'!$AO$7:$AO$3006,MATCH(96,'CARNET DE SOUDURE'!$AT$7:$AT$3006,0)))</f>
        <v>0</v>
      </c>
      <c r="J107" s="133" t="n">
        <f aca="false">IF($B107="","",INDEX('CARNET DE SOUDURE'!$AR$7:$AR$3006,MATCH(96,'CARNET DE SOUDURE'!$AT$7:$AT$3006,0)))</f>
        <v>23</v>
      </c>
      <c r="K107" s="129"/>
      <c r="L107" s="129"/>
    </row>
    <row r="108" customFormat="false" ht="15" hidden="false" customHeight="false" outlineLevel="0" collapsed="false">
      <c r="B108" s="125" t="n">
        <f aca="false">IF(97&gt;$I$4,"",97)</f>
        <v>97</v>
      </c>
      <c r="C108" s="125" t="str">
        <f aca="false">IF($B108="","",INDEX('CARNET DE SOUDURE'!$B$7:$B$3006,MATCH(97,'CARNET DE SOUDURE'!$AT$7:$AT$3006,0)))</f>
        <v>MFD-ISW → MFD-CPF</v>
      </c>
      <c r="D108" s="125" t="str">
        <f aca="false">IF($B108="","",INDEX('CARNET DE SOUDURE'!$E$7:$E$3006,MATCH(97,'CARNET DE SOUDURE'!$AT$7:$AT$3006,0)))</f>
        <v>JN°1462R</v>
      </c>
      <c r="E108" s="125" t="n">
        <f aca="false">IF($B108="","",INDEX('CARNET DE SOUDURE'!$D$7:$D$3006,MATCH(97,'CARNET DE SOUDURE'!$AT$7:$AT$3006,0)))</f>
        <v>17</v>
      </c>
      <c r="F108" s="125" t="str">
        <f aca="false">IF($B108="","",INDEX('CARNET DE SOUDURE'!$R$7:$R$3006,MATCH(97,'CARNET DE SOUDURE'!$AT$7:$AT$3006,0))&amp;IF(INDEX('CARNET DE SOUDURE'!$S$7:$S$3006,MATCH(97,'CARNET DE SOUDURE'!$AT$7:$AT$3006,0))&lt;&gt;""," / "&amp;INDEX('CARNET DE SOUDURE'!$S$7:$S$3006,MATCH(97,'CARNET DE SOUDURE'!$AT$7:$AT$3006,0)),"")&amp;IF(INDEX('CARNET DE SOUDURE'!$T$7:$T$3006,MATCH(97,'CARNET DE SOUDURE'!$AT$7:$AT$3006,0))&lt;&gt;""," / "&amp;INDEX('CARNET DE SOUDURE'!$T$7:$T$3006,MATCH(97,'CARNET DE SOUDURE'!$AT$7:$AT$3006,0)),""))</f>
        <v>WR-52</v>
      </c>
      <c r="G108" s="126" t="n">
        <f aca="false">IF($B108="","",INDEX('CARNET DE SOUDURE'!$U$7:$U$3006,MATCH(97,'CARNET DE SOUDURE'!$AT$7:$AT$3006,0)))</f>
        <v>46289</v>
      </c>
      <c r="H108" s="127" t="str">
        <f aca="false">IF($B108="","",INDEX('CARNET DE SOUDURE'!$AQ$7:$AQ$3006,MATCH(97,'CARNET DE SOUDURE'!$AT$7:$AT$3006,0)))</f>
        <v>À RADIOGRAPHIER</v>
      </c>
      <c r="I108" s="128" t="n">
        <f aca="false">IF($B108="","",INDEX('CARNET DE SOUDURE'!$AO$7:$AO$3006,MATCH(97,'CARNET DE SOUDURE'!$AT$7:$AT$3006,0)))</f>
        <v>0</v>
      </c>
      <c r="J108" s="128" t="n">
        <f aca="false">IF($B108="","",INDEX('CARNET DE SOUDURE'!$AR$7:$AR$3006,MATCH(97,'CARNET DE SOUDURE'!$AT$7:$AT$3006,0)))</f>
        <v>4</v>
      </c>
      <c r="K108" s="129"/>
      <c r="L108" s="129"/>
    </row>
    <row r="109" customFormat="false" ht="15" hidden="false" customHeight="false" outlineLevel="0" collapsed="false">
      <c r="B109" s="130" t="n">
        <f aca="false">IF(98&gt;$I$4,"",98)</f>
        <v>98</v>
      </c>
      <c r="C109" s="130" t="str">
        <f aca="false">IF($B109="","",INDEX('CARNET DE SOUDURE'!$B$7:$B$3006,MATCH(98,'CARNET DE SOUDURE'!$AT$7:$AT$3006,0)))</f>
        <v>MFD-ISW → MFD-CPF</v>
      </c>
      <c r="D109" s="130" t="str">
        <f aca="false">IF($B109="","",INDEX('CARNET DE SOUDURE'!$E$7:$E$3006,MATCH(98,'CARNET DE SOUDURE'!$AT$7:$AT$3006,0)))</f>
        <v>JN°1476R</v>
      </c>
      <c r="E109" s="130" t="n">
        <f aca="false">IF($B109="","",INDEX('CARNET DE SOUDURE'!$D$7:$D$3006,MATCH(98,'CARNET DE SOUDURE'!$AT$7:$AT$3006,0)))</f>
        <v>17</v>
      </c>
      <c r="F109" s="130" t="str">
        <f aca="false">IF($B109="","",INDEX('CARNET DE SOUDURE'!$R$7:$R$3006,MATCH(98,'CARNET DE SOUDURE'!$AT$7:$AT$3006,0))&amp;IF(INDEX('CARNET DE SOUDURE'!$S$7:$S$3006,MATCH(98,'CARNET DE SOUDURE'!$AT$7:$AT$3006,0))&lt;&gt;""," / "&amp;INDEX('CARNET DE SOUDURE'!$S$7:$S$3006,MATCH(98,'CARNET DE SOUDURE'!$AT$7:$AT$3006,0)),"")&amp;IF(INDEX('CARNET DE SOUDURE'!$T$7:$T$3006,MATCH(98,'CARNET DE SOUDURE'!$AT$7:$AT$3006,0))&lt;&gt;""," / "&amp;INDEX('CARNET DE SOUDURE'!$T$7:$T$3006,MATCH(98,'CARNET DE SOUDURE'!$AT$7:$AT$3006,0)),""))</f>
        <v>WR-52</v>
      </c>
      <c r="G109" s="131" t="n">
        <f aca="false">IF($B109="","",INDEX('CARNET DE SOUDURE'!$U$7:$U$3006,MATCH(98,'CARNET DE SOUDURE'!$AT$7:$AT$3006,0)))</f>
        <v>46289</v>
      </c>
      <c r="H109" s="132" t="str">
        <f aca="false">IF($B109="","",INDEX('CARNET DE SOUDURE'!$AQ$7:$AQ$3006,MATCH(98,'CARNET DE SOUDURE'!$AT$7:$AT$3006,0)))</f>
        <v>À RADIOGRAPHIER</v>
      </c>
      <c r="I109" s="133" t="n">
        <f aca="false">IF($B109="","",INDEX('CARNET DE SOUDURE'!$AO$7:$AO$3006,MATCH(98,'CARNET DE SOUDURE'!$AT$7:$AT$3006,0)))</f>
        <v>0</v>
      </c>
      <c r="J109" s="133" t="n">
        <f aca="false">IF($B109="","",INDEX('CARNET DE SOUDURE'!$AR$7:$AR$3006,MATCH(98,'CARNET DE SOUDURE'!$AT$7:$AT$3006,0)))</f>
        <v>4</v>
      </c>
      <c r="K109" s="129"/>
      <c r="L109" s="129"/>
    </row>
    <row r="110" customFormat="false" ht="15" hidden="false" customHeight="false" outlineLevel="0" collapsed="false">
      <c r="B110" s="125" t="n">
        <f aca="false">IF(99&gt;$I$4,"",99)</f>
        <v>99</v>
      </c>
      <c r="C110" s="125" t="str">
        <f aca="false">IF($B110="","",INDEX('CARNET DE SOUDURE'!$B$7:$B$3006,MATCH(99,'CARNET DE SOUDURE'!$AT$7:$AT$3006,0)))</f>
        <v>MFD-ISW → MFD-CPF</v>
      </c>
      <c r="D110" s="125" t="str">
        <f aca="false">IF($B110="","",INDEX('CARNET DE SOUDURE'!$E$7:$E$3006,MATCH(99,'CARNET DE SOUDURE'!$AT$7:$AT$3006,0)))</f>
        <v>JN°1479R</v>
      </c>
      <c r="E110" s="125" t="n">
        <f aca="false">IF($B110="","",INDEX('CARNET DE SOUDURE'!$D$7:$D$3006,MATCH(99,'CARNET DE SOUDURE'!$AT$7:$AT$3006,0)))</f>
        <v>17</v>
      </c>
      <c r="F110" s="125" t="str">
        <f aca="false">IF($B110="","",INDEX('CARNET DE SOUDURE'!$R$7:$R$3006,MATCH(99,'CARNET DE SOUDURE'!$AT$7:$AT$3006,0))&amp;IF(INDEX('CARNET DE SOUDURE'!$S$7:$S$3006,MATCH(99,'CARNET DE SOUDURE'!$AT$7:$AT$3006,0))&lt;&gt;""," / "&amp;INDEX('CARNET DE SOUDURE'!$S$7:$S$3006,MATCH(99,'CARNET DE SOUDURE'!$AT$7:$AT$3006,0)),"")&amp;IF(INDEX('CARNET DE SOUDURE'!$T$7:$T$3006,MATCH(99,'CARNET DE SOUDURE'!$AT$7:$AT$3006,0))&lt;&gt;""," / "&amp;INDEX('CARNET DE SOUDURE'!$T$7:$T$3006,MATCH(99,'CARNET DE SOUDURE'!$AT$7:$AT$3006,0)),""))</f>
        <v>WR-52</v>
      </c>
      <c r="G110" s="126" t="n">
        <f aca="false">IF($B110="","",INDEX('CARNET DE SOUDURE'!$U$7:$U$3006,MATCH(99,'CARNET DE SOUDURE'!$AT$7:$AT$3006,0)))</f>
        <v>46289</v>
      </c>
      <c r="H110" s="127" t="str">
        <f aca="false">IF($B110="","",INDEX('CARNET DE SOUDURE'!$AQ$7:$AQ$3006,MATCH(99,'CARNET DE SOUDURE'!$AT$7:$AT$3006,0)))</f>
        <v>À RADIOGRAPHIER</v>
      </c>
      <c r="I110" s="128" t="n">
        <f aca="false">IF($B110="","",INDEX('CARNET DE SOUDURE'!$AO$7:$AO$3006,MATCH(99,'CARNET DE SOUDURE'!$AT$7:$AT$3006,0)))</f>
        <v>0</v>
      </c>
      <c r="J110" s="128" t="n">
        <f aca="false">IF($B110="","",INDEX('CARNET DE SOUDURE'!$AR$7:$AR$3006,MATCH(99,'CARNET DE SOUDURE'!$AT$7:$AT$3006,0)))</f>
        <v>4</v>
      </c>
      <c r="K110" s="129"/>
      <c r="L110" s="129"/>
    </row>
    <row r="111" customFormat="false" ht="15" hidden="false" customHeight="false" outlineLevel="0" collapsed="false">
      <c r="B111" s="130" t="n">
        <f aca="false">IF(100&gt;$I$4,"",100)</f>
        <v>100</v>
      </c>
      <c r="C111" s="130" t="str">
        <f aca="false">IF($B111="","",INDEX('CARNET DE SOUDURE'!$B$7:$B$3006,MATCH(100,'CARNET DE SOUDURE'!$AT$7:$AT$3006,0)))</f>
        <v>MFD-ISW → MFD-CPF</v>
      </c>
      <c r="D111" s="130" t="str">
        <f aca="false">IF($B111="","",INDEX('CARNET DE SOUDURE'!$E$7:$E$3006,MATCH(100,'CARNET DE SOUDURE'!$AT$7:$AT$3006,0)))</f>
        <v>JN°1491R</v>
      </c>
      <c r="E111" s="130" t="n">
        <f aca="false">IF($B111="","",INDEX('CARNET DE SOUDURE'!$D$7:$D$3006,MATCH(100,'CARNET DE SOUDURE'!$AT$7:$AT$3006,0)))</f>
        <v>18</v>
      </c>
      <c r="F111" s="130" t="str">
        <f aca="false">IF($B111="","",INDEX('CARNET DE SOUDURE'!$R$7:$R$3006,MATCH(100,'CARNET DE SOUDURE'!$AT$7:$AT$3006,0))&amp;IF(INDEX('CARNET DE SOUDURE'!$S$7:$S$3006,MATCH(100,'CARNET DE SOUDURE'!$AT$7:$AT$3006,0))&lt;&gt;""," / "&amp;INDEX('CARNET DE SOUDURE'!$S$7:$S$3006,MATCH(100,'CARNET DE SOUDURE'!$AT$7:$AT$3006,0)),"")&amp;IF(INDEX('CARNET DE SOUDURE'!$T$7:$T$3006,MATCH(100,'CARNET DE SOUDURE'!$AT$7:$AT$3006,0))&lt;&gt;""," / "&amp;INDEX('CARNET DE SOUDURE'!$T$7:$T$3006,MATCH(100,'CARNET DE SOUDURE'!$AT$7:$AT$3006,0)),""))</f>
        <v>WR-52</v>
      </c>
      <c r="G111" s="131" t="n">
        <f aca="false">IF($B111="","",INDEX('CARNET DE SOUDURE'!$U$7:$U$3006,MATCH(100,'CARNET DE SOUDURE'!$AT$7:$AT$3006,0)))</f>
        <v>46287</v>
      </c>
      <c r="H111" s="132" t="str">
        <f aca="false">IF($B111="","",INDEX('CARNET DE SOUDURE'!$AQ$7:$AQ$3006,MATCH(100,'CARNET DE SOUDURE'!$AT$7:$AT$3006,0)))</f>
        <v>À RADIOGRAPHIER</v>
      </c>
      <c r="I111" s="133" t="n">
        <f aca="false">IF($B111="","",INDEX('CARNET DE SOUDURE'!$AO$7:$AO$3006,MATCH(100,'CARNET DE SOUDURE'!$AT$7:$AT$3006,0)))</f>
        <v>0</v>
      </c>
      <c r="J111" s="133" t="n">
        <f aca="false">IF($B111="","",INDEX('CARNET DE SOUDURE'!$AR$7:$AR$3006,MATCH(100,'CARNET DE SOUDURE'!$AT$7:$AT$3006,0)))</f>
        <v>6</v>
      </c>
      <c r="K111" s="129"/>
      <c r="L111" s="129"/>
    </row>
    <row r="112" customFormat="false" ht="15" hidden="false" customHeight="false" outlineLevel="0" collapsed="false">
      <c r="B112" s="125" t="n">
        <f aca="false">IF(101&gt;$I$4,"",101)</f>
        <v>101</v>
      </c>
      <c r="C112" s="125" t="str">
        <f aca="false">IF($B112="","",INDEX('CARNET DE SOUDURE'!$B$7:$B$3006,MATCH(101,'CARNET DE SOUDURE'!$AT$7:$AT$3006,0)))</f>
        <v>MFD-ISW → MFD-CPF</v>
      </c>
      <c r="D112" s="125" t="str">
        <f aca="false">IF($B112="","",INDEX('CARNET DE SOUDURE'!$E$7:$E$3006,MATCH(101,'CARNET DE SOUDURE'!$AT$7:$AT$3006,0)))</f>
        <v>JN°1496R</v>
      </c>
      <c r="E112" s="125" t="n">
        <f aca="false">IF($B112="","",INDEX('CARNET DE SOUDURE'!$D$7:$D$3006,MATCH(101,'CARNET DE SOUDURE'!$AT$7:$AT$3006,0)))</f>
        <v>18</v>
      </c>
      <c r="F112" s="125" t="str">
        <f aca="false">IF($B112="","",INDEX('CARNET DE SOUDURE'!$R$7:$R$3006,MATCH(101,'CARNET DE SOUDURE'!$AT$7:$AT$3006,0))&amp;IF(INDEX('CARNET DE SOUDURE'!$S$7:$S$3006,MATCH(101,'CARNET DE SOUDURE'!$AT$7:$AT$3006,0))&lt;&gt;""," / "&amp;INDEX('CARNET DE SOUDURE'!$S$7:$S$3006,MATCH(101,'CARNET DE SOUDURE'!$AT$7:$AT$3006,0)),"")&amp;IF(INDEX('CARNET DE SOUDURE'!$T$7:$T$3006,MATCH(101,'CARNET DE SOUDURE'!$AT$7:$AT$3006,0))&lt;&gt;""," / "&amp;INDEX('CARNET DE SOUDURE'!$T$7:$T$3006,MATCH(101,'CARNET DE SOUDURE'!$AT$7:$AT$3006,0)),""))</f>
        <v>WR-52</v>
      </c>
      <c r="G112" s="126" t="n">
        <f aca="false">IF($B112="","",INDEX('CARNET DE SOUDURE'!$U$7:$U$3006,MATCH(101,'CARNET DE SOUDURE'!$AT$7:$AT$3006,0)))</f>
        <v>46287</v>
      </c>
      <c r="H112" s="127" t="str">
        <f aca="false">IF($B112="","",INDEX('CARNET DE SOUDURE'!$AQ$7:$AQ$3006,MATCH(101,'CARNET DE SOUDURE'!$AT$7:$AT$3006,0)))</f>
        <v>À RADIOGRAPHIER</v>
      </c>
      <c r="I112" s="128" t="n">
        <f aca="false">IF($B112="","",INDEX('CARNET DE SOUDURE'!$AO$7:$AO$3006,MATCH(101,'CARNET DE SOUDURE'!$AT$7:$AT$3006,0)))</f>
        <v>0</v>
      </c>
      <c r="J112" s="128" t="n">
        <f aca="false">IF($B112="","",INDEX('CARNET DE SOUDURE'!$AR$7:$AR$3006,MATCH(101,'CARNET DE SOUDURE'!$AT$7:$AT$3006,0)))</f>
        <v>6</v>
      </c>
      <c r="K112" s="129"/>
      <c r="L112" s="129"/>
    </row>
    <row r="113" customFormat="false" ht="15" hidden="false" customHeight="false" outlineLevel="0" collapsed="false">
      <c r="B113" s="130" t="n">
        <f aca="false">IF(102&gt;$I$4,"",102)</f>
        <v>102</v>
      </c>
      <c r="C113" s="130" t="str">
        <f aca="false">IF($B113="","",INDEX('CARNET DE SOUDURE'!$B$7:$B$3006,MATCH(102,'CARNET DE SOUDURE'!$AT$7:$AT$3006,0)))</f>
        <v>MFD-ISW → MFD-CPF</v>
      </c>
      <c r="D113" s="130" t="str">
        <f aca="false">IF($B113="","",INDEX('CARNET DE SOUDURE'!$E$7:$E$3006,MATCH(102,'CARNET DE SOUDURE'!$AT$7:$AT$3006,0)))</f>
        <v>JN°1497R</v>
      </c>
      <c r="E113" s="130" t="n">
        <f aca="false">IF($B113="","",INDEX('CARNET DE SOUDURE'!$D$7:$D$3006,MATCH(102,'CARNET DE SOUDURE'!$AT$7:$AT$3006,0)))</f>
        <v>18</v>
      </c>
      <c r="F113" s="130" t="str">
        <f aca="false">IF($B113="","",INDEX('CARNET DE SOUDURE'!$R$7:$R$3006,MATCH(102,'CARNET DE SOUDURE'!$AT$7:$AT$3006,0))&amp;IF(INDEX('CARNET DE SOUDURE'!$S$7:$S$3006,MATCH(102,'CARNET DE SOUDURE'!$AT$7:$AT$3006,0))&lt;&gt;""," / "&amp;INDEX('CARNET DE SOUDURE'!$S$7:$S$3006,MATCH(102,'CARNET DE SOUDURE'!$AT$7:$AT$3006,0)),"")&amp;IF(INDEX('CARNET DE SOUDURE'!$T$7:$T$3006,MATCH(102,'CARNET DE SOUDURE'!$AT$7:$AT$3006,0))&lt;&gt;""," / "&amp;INDEX('CARNET DE SOUDURE'!$T$7:$T$3006,MATCH(102,'CARNET DE SOUDURE'!$AT$7:$AT$3006,0)),""))</f>
        <v>WR-52</v>
      </c>
      <c r="G113" s="131" t="n">
        <f aca="false">IF($B113="","",INDEX('CARNET DE SOUDURE'!$U$7:$U$3006,MATCH(102,'CARNET DE SOUDURE'!$AT$7:$AT$3006,0)))</f>
        <v>46287</v>
      </c>
      <c r="H113" s="132" t="str">
        <f aca="false">IF($B113="","",INDEX('CARNET DE SOUDURE'!$AQ$7:$AQ$3006,MATCH(102,'CARNET DE SOUDURE'!$AT$7:$AT$3006,0)))</f>
        <v>À RADIOGRAPHIER</v>
      </c>
      <c r="I113" s="133" t="n">
        <f aca="false">IF($B113="","",INDEX('CARNET DE SOUDURE'!$AO$7:$AO$3006,MATCH(102,'CARNET DE SOUDURE'!$AT$7:$AT$3006,0)))</f>
        <v>0</v>
      </c>
      <c r="J113" s="133" t="n">
        <f aca="false">IF($B113="","",INDEX('CARNET DE SOUDURE'!$AR$7:$AR$3006,MATCH(102,'CARNET DE SOUDURE'!$AT$7:$AT$3006,0)))</f>
        <v>6</v>
      </c>
      <c r="K113" s="129"/>
      <c r="L113" s="129"/>
    </row>
    <row r="114" customFormat="false" ht="15" hidden="false" customHeight="false" outlineLevel="0" collapsed="false">
      <c r="B114" s="125" t="n">
        <f aca="false">IF(103&gt;$I$4,"",103)</f>
        <v>103</v>
      </c>
      <c r="C114" s="125" t="str">
        <f aca="false">IF($B114="","",INDEX('CARNET DE SOUDURE'!$B$7:$B$3006,MATCH(103,'CARNET DE SOUDURE'!$AT$7:$AT$3006,0)))</f>
        <v>MFD-ISW → MFD-CPF</v>
      </c>
      <c r="D114" s="125" t="str">
        <f aca="false">IF($B114="","",INDEX('CARNET DE SOUDURE'!$E$7:$E$3006,MATCH(103,'CARNET DE SOUDURE'!$AT$7:$AT$3006,0)))</f>
        <v>JN°1520R</v>
      </c>
      <c r="E114" s="125" t="n">
        <f aca="false">IF($B114="","",INDEX('CARNET DE SOUDURE'!$D$7:$D$3006,MATCH(103,'CARNET DE SOUDURE'!$AT$7:$AT$3006,0)))</f>
        <v>18</v>
      </c>
      <c r="F114" s="125" t="str">
        <f aca="false">IF($B114="","",INDEX('CARNET DE SOUDURE'!$R$7:$R$3006,MATCH(103,'CARNET DE SOUDURE'!$AT$7:$AT$3006,0))&amp;IF(INDEX('CARNET DE SOUDURE'!$S$7:$S$3006,MATCH(103,'CARNET DE SOUDURE'!$AT$7:$AT$3006,0))&lt;&gt;""," / "&amp;INDEX('CARNET DE SOUDURE'!$S$7:$S$3006,MATCH(103,'CARNET DE SOUDURE'!$AT$7:$AT$3006,0)),"")&amp;IF(INDEX('CARNET DE SOUDURE'!$T$7:$T$3006,MATCH(103,'CARNET DE SOUDURE'!$AT$7:$AT$3006,0))&lt;&gt;""," / "&amp;INDEX('CARNET DE SOUDURE'!$T$7:$T$3006,MATCH(103,'CARNET DE SOUDURE'!$AT$7:$AT$3006,0)),""))</f>
        <v>WR-32</v>
      </c>
      <c r="G114" s="126" t="n">
        <f aca="false">IF($B114="","",INDEX('CARNET DE SOUDURE'!$U$7:$U$3006,MATCH(103,'CARNET DE SOUDURE'!$AT$7:$AT$3006,0)))</f>
        <v>46287</v>
      </c>
      <c r="H114" s="127" t="str">
        <f aca="false">IF($B114="","",INDEX('CARNET DE SOUDURE'!$AQ$7:$AQ$3006,MATCH(103,'CARNET DE SOUDURE'!$AT$7:$AT$3006,0)))</f>
        <v>À RADIOGRAPHIER</v>
      </c>
      <c r="I114" s="128" t="n">
        <f aca="false">IF($B114="","",INDEX('CARNET DE SOUDURE'!$AO$7:$AO$3006,MATCH(103,'CARNET DE SOUDURE'!$AT$7:$AT$3006,0)))</f>
        <v>0</v>
      </c>
      <c r="J114" s="128" t="n">
        <f aca="false">IF($B114="","",INDEX('CARNET DE SOUDURE'!$AR$7:$AR$3006,MATCH(103,'CARNET DE SOUDURE'!$AT$7:$AT$3006,0)))</f>
        <v>6</v>
      </c>
      <c r="K114" s="129"/>
      <c r="L114" s="129"/>
    </row>
    <row r="115" customFormat="false" ht="15" hidden="false" customHeight="false" outlineLevel="0" collapsed="false">
      <c r="B115" s="130" t="n">
        <f aca="false">IF(104&gt;$I$4,"",104)</f>
        <v>104</v>
      </c>
      <c r="C115" s="130" t="str">
        <f aca="false">IF($B115="","",INDEX('CARNET DE SOUDURE'!$B$7:$B$3006,MATCH(104,'CARNET DE SOUDURE'!$AT$7:$AT$3006,0)))</f>
        <v>MFD-ISW → MFD-CPF</v>
      </c>
      <c r="D115" s="130" t="str">
        <f aca="false">IF($B115="","",INDEX('CARNET DE SOUDURE'!$E$7:$E$3006,MATCH(104,'CARNET DE SOUDURE'!$AT$7:$AT$3006,0)))</f>
        <v>JN°1521R</v>
      </c>
      <c r="E115" s="130" t="n">
        <f aca="false">IF($B115="","",INDEX('CARNET DE SOUDURE'!$D$7:$D$3006,MATCH(104,'CARNET DE SOUDURE'!$AT$7:$AT$3006,0)))</f>
        <v>18</v>
      </c>
      <c r="F115" s="130" t="str">
        <f aca="false">IF($B115="","",INDEX('CARNET DE SOUDURE'!$R$7:$R$3006,MATCH(104,'CARNET DE SOUDURE'!$AT$7:$AT$3006,0))&amp;IF(INDEX('CARNET DE SOUDURE'!$S$7:$S$3006,MATCH(104,'CARNET DE SOUDURE'!$AT$7:$AT$3006,0))&lt;&gt;""," / "&amp;INDEX('CARNET DE SOUDURE'!$S$7:$S$3006,MATCH(104,'CARNET DE SOUDURE'!$AT$7:$AT$3006,0)),"")&amp;IF(INDEX('CARNET DE SOUDURE'!$T$7:$T$3006,MATCH(104,'CARNET DE SOUDURE'!$AT$7:$AT$3006,0))&lt;&gt;""," / "&amp;INDEX('CARNET DE SOUDURE'!$T$7:$T$3006,MATCH(104,'CARNET DE SOUDURE'!$AT$7:$AT$3006,0)),""))</f>
        <v>WR-32</v>
      </c>
      <c r="G115" s="131" t="n">
        <f aca="false">IF($B115="","",INDEX('CARNET DE SOUDURE'!$U$7:$U$3006,MATCH(104,'CARNET DE SOUDURE'!$AT$7:$AT$3006,0)))</f>
        <v>46287</v>
      </c>
      <c r="H115" s="132" t="str">
        <f aca="false">IF($B115="","",INDEX('CARNET DE SOUDURE'!$AQ$7:$AQ$3006,MATCH(104,'CARNET DE SOUDURE'!$AT$7:$AT$3006,0)))</f>
        <v>À RADIOGRAPHIER</v>
      </c>
      <c r="I115" s="133" t="n">
        <f aca="false">IF($B115="","",INDEX('CARNET DE SOUDURE'!$AO$7:$AO$3006,MATCH(104,'CARNET DE SOUDURE'!$AT$7:$AT$3006,0)))</f>
        <v>0</v>
      </c>
      <c r="J115" s="133" t="n">
        <f aca="false">IF($B115="","",INDEX('CARNET DE SOUDURE'!$AR$7:$AR$3006,MATCH(104,'CARNET DE SOUDURE'!$AT$7:$AT$3006,0)))</f>
        <v>6</v>
      </c>
      <c r="K115" s="129"/>
      <c r="L115" s="129"/>
    </row>
    <row r="116" customFormat="false" ht="15" hidden="false" customHeight="false" outlineLevel="0" collapsed="false">
      <c r="B116" s="125" t="n">
        <f aca="false">IF(105&gt;$I$4,"",105)</f>
        <v>105</v>
      </c>
      <c r="C116" s="125" t="str">
        <f aca="false">IF($B116="","",INDEX('CARNET DE SOUDURE'!$B$7:$B$3006,MATCH(105,'CARNET DE SOUDURE'!$AT$7:$AT$3006,0)))</f>
        <v>MFD-ISW → MFD-CPF</v>
      </c>
      <c r="D116" s="125" t="str">
        <f aca="false">IF($B116="","",INDEX('CARNET DE SOUDURE'!$E$7:$E$3006,MATCH(105,'CARNET DE SOUDURE'!$AT$7:$AT$3006,0)))</f>
        <v>JN°1527R</v>
      </c>
      <c r="E116" s="125" t="n">
        <f aca="false">IF($B116="","",INDEX('CARNET DE SOUDURE'!$D$7:$D$3006,MATCH(105,'CARNET DE SOUDURE'!$AT$7:$AT$3006,0)))</f>
        <v>18</v>
      </c>
      <c r="F116" s="125" t="str">
        <f aca="false">IF($B116="","",INDEX('CARNET DE SOUDURE'!$R$7:$R$3006,MATCH(105,'CARNET DE SOUDURE'!$AT$7:$AT$3006,0))&amp;IF(INDEX('CARNET DE SOUDURE'!$S$7:$S$3006,MATCH(105,'CARNET DE SOUDURE'!$AT$7:$AT$3006,0))&lt;&gt;""," / "&amp;INDEX('CARNET DE SOUDURE'!$S$7:$S$3006,MATCH(105,'CARNET DE SOUDURE'!$AT$7:$AT$3006,0)),"")&amp;IF(INDEX('CARNET DE SOUDURE'!$T$7:$T$3006,MATCH(105,'CARNET DE SOUDURE'!$AT$7:$AT$3006,0))&lt;&gt;""," / "&amp;INDEX('CARNET DE SOUDURE'!$T$7:$T$3006,MATCH(105,'CARNET DE SOUDURE'!$AT$7:$AT$3006,0)),""))</f>
        <v>WR-52</v>
      </c>
      <c r="G116" s="126" t="n">
        <f aca="false">IF($B116="","",INDEX('CARNET DE SOUDURE'!$U$7:$U$3006,MATCH(105,'CARNET DE SOUDURE'!$AT$7:$AT$3006,0)))</f>
        <v>46287</v>
      </c>
      <c r="H116" s="127" t="str">
        <f aca="false">IF($B116="","",INDEX('CARNET DE SOUDURE'!$AQ$7:$AQ$3006,MATCH(105,'CARNET DE SOUDURE'!$AT$7:$AT$3006,0)))</f>
        <v>À RADIOGRAPHIER</v>
      </c>
      <c r="I116" s="128" t="n">
        <f aca="false">IF($B116="","",INDEX('CARNET DE SOUDURE'!$AO$7:$AO$3006,MATCH(105,'CARNET DE SOUDURE'!$AT$7:$AT$3006,0)))</f>
        <v>0</v>
      </c>
      <c r="J116" s="128" t="n">
        <f aca="false">IF($B116="","",INDEX('CARNET DE SOUDURE'!$AR$7:$AR$3006,MATCH(105,'CARNET DE SOUDURE'!$AT$7:$AT$3006,0)))</f>
        <v>6</v>
      </c>
      <c r="K116" s="129"/>
      <c r="L116" s="129"/>
    </row>
    <row r="117" customFormat="false" ht="15" hidden="false" customHeight="false" outlineLevel="0" collapsed="false">
      <c r="B117" s="130" t="n">
        <f aca="false">IF(106&gt;$I$4,"",106)</f>
        <v>106</v>
      </c>
      <c r="C117" s="130" t="str">
        <f aca="false">IF($B117="","",INDEX('CARNET DE SOUDURE'!$B$7:$B$3006,MATCH(106,'CARNET DE SOUDURE'!$AT$7:$AT$3006,0)))</f>
        <v>MFD-ISW → MFD-CPF</v>
      </c>
      <c r="D117" s="130" t="str">
        <f aca="false">IF($B117="","",INDEX('CARNET DE SOUDURE'!$E$7:$E$3006,MATCH(106,'CARNET DE SOUDURE'!$AT$7:$AT$3006,0)))</f>
        <v>JN°1532R</v>
      </c>
      <c r="E117" s="130" t="n">
        <f aca="false">IF($B117="","",INDEX('CARNET DE SOUDURE'!$D$7:$D$3006,MATCH(106,'CARNET DE SOUDURE'!$AT$7:$AT$3006,0)))</f>
        <v>18</v>
      </c>
      <c r="F117" s="130" t="str">
        <f aca="false">IF($B117="","",INDEX('CARNET DE SOUDURE'!$R$7:$R$3006,MATCH(106,'CARNET DE SOUDURE'!$AT$7:$AT$3006,0))&amp;IF(INDEX('CARNET DE SOUDURE'!$S$7:$S$3006,MATCH(106,'CARNET DE SOUDURE'!$AT$7:$AT$3006,0))&lt;&gt;""," / "&amp;INDEX('CARNET DE SOUDURE'!$S$7:$S$3006,MATCH(106,'CARNET DE SOUDURE'!$AT$7:$AT$3006,0)),"")&amp;IF(INDEX('CARNET DE SOUDURE'!$T$7:$T$3006,MATCH(106,'CARNET DE SOUDURE'!$AT$7:$AT$3006,0))&lt;&gt;""," / "&amp;INDEX('CARNET DE SOUDURE'!$T$7:$T$3006,MATCH(106,'CARNET DE SOUDURE'!$AT$7:$AT$3006,0)),""))</f>
        <v>WR-52</v>
      </c>
      <c r="G117" s="131" t="n">
        <f aca="false">IF($B117="","",INDEX('CARNET DE SOUDURE'!$U$7:$U$3006,MATCH(106,'CARNET DE SOUDURE'!$AT$7:$AT$3006,0)))</f>
        <v>46287</v>
      </c>
      <c r="H117" s="132" t="str">
        <f aca="false">IF($B117="","",INDEX('CARNET DE SOUDURE'!$AQ$7:$AQ$3006,MATCH(106,'CARNET DE SOUDURE'!$AT$7:$AT$3006,0)))</f>
        <v>À RADIOGRAPHIER</v>
      </c>
      <c r="I117" s="133" t="n">
        <f aca="false">IF($B117="","",INDEX('CARNET DE SOUDURE'!$AO$7:$AO$3006,MATCH(106,'CARNET DE SOUDURE'!$AT$7:$AT$3006,0)))</f>
        <v>0</v>
      </c>
      <c r="J117" s="133" t="n">
        <f aca="false">IF($B117="","",INDEX('CARNET DE SOUDURE'!$AR$7:$AR$3006,MATCH(106,'CARNET DE SOUDURE'!$AT$7:$AT$3006,0)))</f>
        <v>6</v>
      </c>
      <c r="K117" s="129"/>
      <c r="L117" s="129"/>
    </row>
    <row r="118" customFormat="false" ht="15" hidden="false" customHeight="false" outlineLevel="0" collapsed="false">
      <c r="B118" s="125" t="n">
        <f aca="false">IF(107&gt;$I$4,"",107)</f>
        <v>107</v>
      </c>
      <c r="C118" s="125" t="str">
        <f aca="false">IF($B118="","",INDEX('CARNET DE SOUDURE'!$B$7:$B$3006,MATCH(107,'CARNET DE SOUDURE'!$AT$7:$AT$3006,0)))</f>
        <v>MFD-ISW → MFD-CPF</v>
      </c>
      <c r="D118" s="125" t="str">
        <f aca="false">IF($B118="","",INDEX('CARNET DE SOUDURE'!$E$7:$E$3006,MATCH(107,'CARNET DE SOUDURE'!$AT$7:$AT$3006,0)))</f>
        <v>JN°1539R</v>
      </c>
      <c r="E118" s="125" t="n">
        <f aca="false">IF($B118="","",INDEX('CARNET DE SOUDURE'!$D$7:$D$3006,MATCH(107,'CARNET DE SOUDURE'!$AT$7:$AT$3006,0)))</f>
        <v>18</v>
      </c>
      <c r="F118" s="125" t="str">
        <f aca="false">IF($B118="","",INDEX('CARNET DE SOUDURE'!$R$7:$R$3006,MATCH(107,'CARNET DE SOUDURE'!$AT$7:$AT$3006,0))&amp;IF(INDEX('CARNET DE SOUDURE'!$S$7:$S$3006,MATCH(107,'CARNET DE SOUDURE'!$AT$7:$AT$3006,0))&lt;&gt;""," / "&amp;INDEX('CARNET DE SOUDURE'!$S$7:$S$3006,MATCH(107,'CARNET DE SOUDURE'!$AT$7:$AT$3006,0)),"")&amp;IF(INDEX('CARNET DE SOUDURE'!$T$7:$T$3006,MATCH(107,'CARNET DE SOUDURE'!$AT$7:$AT$3006,0))&lt;&gt;""," / "&amp;INDEX('CARNET DE SOUDURE'!$T$7:$T$3006,MATCH(107,'CARNET DE SOUDURE'!$AT$7:$AT$3006,0)),""))</f>
        <v>WR-32</v>
      </c>
      <c r="G118" s="126" t="n">
        <f aca="false">IF($B118="","",INDEX('CARNET DE SOUDURE'!$U$7:$U$3006,MATCH(107,'CARNET DE SOUDURE'!$AT$7:$AT$3006,0)))</f>
        <v>46287</v>
      </c>
      <c r="H118" s="127" t="str">
        <f aca="false">IF($B118="","",INDEX('CARNET DE SOUDURE'!$AQ$7:$AQ$3006,MATCH(107,'CARNET DE SOUDURE'!$AT$7:$AT$3006,0)))</f>
        <v>À RADIOGRAPHIER</v>
      </c>
      <c r="I118" s="128" t="n">
        <f aca="false">IF($B118="","",INDEX('CARNET DE SOUDURE'!$AO$7:$AO$3006,MATCH(107,'CARNET DE SOUDURE'!$AT$7:$AT$3006,0)))</f>
        <v>0</v>
      </c>
      <c r="J118" s="128" t="n">
        <f aca="false">IF($B118="","",INDEX('CARNET DE SOUDURE'!$AR$7:$AR$3006,MATCH(107,'CARNET DE SOUDURE'!$AT$7:$AT$3006,0)))</f>
        <v>6</v>
      </c>
      <c r="K118" s="129"/>
      <c r="L118" s="129"/>
    </row>
    <row r="119" customFormat="false" ht="15" hidden="false" customHeight="false" outlineLevel="0" collapsed="false">
      <c r="B119" s="130" t="n">
        <f aca="false">IF(108&gt;$I$4,"",108)</f>
        <v>108</v>
      </c>
      <c r="C119" s="130" t="str">
        <f aca="false">IF($B119="","",INDEX('CARNET DE SOUDURE'!$B$7:$B$3006,MATCH(108,'CARNET DE SOUDURE'!$AT$7:$AT$3006,0)))</f>
        <v>MFD-ISW → MFD-CPF</v>
      </c>
      <c r="D119" s="130" t="str">
        <f aca="false">IF($B119="","",INDEX('CARNET DE SOUDURE'!$E$7:$E$3006,MATCH(108,'CARNET DE SOUDURE'!$AT$7:$AT$3006,0)))</f>
        <v>JN°1546R</v>
      </c>
      <c r="E119" s="130" t="n">
        <f aca="false">IF($B119="","",INDEX('CARNET DE SOUDURE'!$D$7:$D$3006,MATCH(108,'CARNET DE SOUDURE'!$AT$7:$AT$3006,0)))</f>
        <v>19</v>
      </c>
      <c r="F119" s="130" t="str">
        <f aca="false">IF($B119="","",INDEX('CARNET DE SOUDURE'!$R$7:$R$3006,MATCH(108,'CARNET DE SOUDURE'!$AT$7:$AT$3006,0))&amp;IF(INDEX('CARNET DE SOUDURE'!$S$7:$S$3006,MATCH(108,'CARNET DE SOUDURE'!$AT$7:$AT$3006,0))&lt;&gt;""," / "&amp;INDEX('CARNET DE SOUDURE'!$S$7:$S$3006,MATCH(108,'CARNET DE SOUDURE'!$AT$7:$AT$3006,0)),"")&amp;IF(INDEX('CARNET DE SOUDURE'!$T$7:$T$3006,MATCH(108,'CARNET DE SOUDURE'!$AT$7:$AT$3006,0))&lt;&gt;""," / "&amp;INDEX('CARNET DE SOUDURE'!$T$7:$T$3006,MATCH(108,'CARNET DE SOUDURE'!$AT$7:$AT$3006,0)),""))</f>
        <v>WR-32</v>
      </c>
      <c r="G119" s="131" t="n">
        <f aca="false">IF($B119="","",INDEX('CARNET DE SOUDURE'!$U$7:$U$3006,MATCH(108,'CARNET DE SOUDURE'!$AT$7:$AT$3006,0)))</f>
        <v>46287</v>
      </c>
      <c r="H119" s="132" t="str">
        <f aca="false">IF($B119="","",INDEX('CARNET DE SOUDURE'!$AQ$7:$AQ$3006,MATCH(108,'CARNET DE SOUDURE'!$AT$7:$AT$3006,0)))</f>
        <v>À RADIOGRAPHIER</v>
      </c>
      <c r="I119" s="133" t="n">
        <f aca="false">IF($B119="","",INDEX('CARNET DE SOUDURE'!$AO$7:$AO$3006,MATCH(108,'CARNET DE SOUDURE'!$AT$7:$AT$3006,0)))</f>
        <v>0</v>
      </c>
      <c r="J119" s="133" t="n">
        <f aca="false">IF($B119="","",INDEX('CARNET DE SOUDURE'!$AR$7:$AR$3006,MATCH(108,'CARNET DE SOUDURE'!$AT$7:$AT$3006,0)))</f>
        <v>6</v>
      </c>
      <c r="K119" s="129"/>
      <c r="L119" s="129"/>
    </row>
    <row r="120" customFormat="false" ht="15" hidden="false" customHeight="false" outlineLevel="0" collapsed="false">
      <c r="B120" s="125" t="n">
        <f aca="false">IF(109&gt;$I$4,"",109)</f>
        <v>109</v>
      </c>
      <c r="C120" s="125" t="str">
        <f aca="false">IF($B120="","",INDEX('CARNET DE SOUDURE'!$B$7:$B$3006,MATCH(109,'CARNET DE SOUDURE'!$AT$7:$AT$3006,0)))</f>
        <v>MFD-ISW → MFD-CPF</v>
      </c>
      <c r="D120" s="125" t="str">
        <f aca="false">IF($B120="","",INDEX('CARNET DE SOUDURE'!$E$7:$E$3006,MATCH(109,'CARNET DE SOUDURE'!$AT$7:$AT$3006,0)))</f>
        <v>JN°1550R</v>
      </c>
      <c r="E120" s="125" t="n">
        <f aca="false">IF($B120="","",INDEX('CARNET DE SOUDURE'!$D$7:$D$3006,MATCH(109,'CARNET DE SOUDURE'!$AT$7:$AT$3006,0)))</f>
        <v>19</v>
      </c>
      <c r="F120" s="125" t="str">
        <f aca="false">IF($B120="","",INDEX('CARNET DE SOUDURE'!$R$7:$R$3006,MATCH(109,'CARNET DE SOUDURE'!$AT$7:$AT$3006,0))&amp;IF(INDEX('CARNET DE SOUDURE'!$S$7:$S$3006,MATCH(109,'CARNET DE SOUDURE'!$AT$7:$AT$3006,0))&lt;&gt;""," / "&amp;INDEX('CARNET DE SOUDURE'!$S$7:$S$3006,MATCH(109,'CARNET DE SOUDURE'!$AT$7:$AT$3006,0)),"")&amp;IF(INDEX('CARNET DE SOUDURE'!$T$7:$T$3006,MATCH(109,'CARNET DE SOUDURE'!$AT$7:$AT$3006,0))&lt;&gt;""," / "&amp;INDEX('CARNET DE SOUDURE'!$T$7:$T$3006,MATCH(109,'CARNET DE SOUDURE'!$AT$7:$AT$3006,0)),""))</f>
        <v>WR-32</v>
      </c>
      <c r="G120" s="126" t="n">
        <f aca="false">IF($B120="","",INDEX('CARNET DE SOUDURE'!$U$7:$U$3006,MATCH(109,'CARNET DE SOUDURE'!$AT$7:$AT$3006,0)))</f>
        <v>46287</v>
      </c>
      <c r="H120" s="127" t="str">
        <f aca="false">IF($B120="","",INDEX('CARNET DE SOUDURE'!$AQ$7:$AQ$3006,MATCH(109,'CARNET DE SOUDURE'!$AT$7:$AT$3006,0)))</f>
        <v>À RADIOGRAPHIER</v>
      </c>
      <c r="I120" s="128" t="n">
        <f aca="false">IF($B120="","",INDEX('CARNET DE SOUDURE'!$AO$7:$AO$3006,MATCH(109,'CARNET DE SOUDURE'!$AT$7:$AT$3006,0)))</f>
        <v>0</v>
      </c>
      <c r="J120" s="128" t="n">
        <f aca="false">IF($B120="","",INDEX('CARNET DE SOUDURE'!$AR$7:$AR$3006,MATCH(109,'CARNET DE SOUDURE'!$AT$7:$AT$3006,0)))</f>
        <v>6</v>
      </c>
      <c r="K120" s="129"/>
      <c r="L120" s="129"/>
    </row>
    <row r="121" customFormat="false" ht="15" hidden="false" customHeight="false" outlineLevel="0" collapsed="false">
      <c r="B121" s="130" t="n">
        <f aca="false">IF(110&gt;$I$4,"",110)</f>
        <v>110</v>
      </c>
      <c r="C121" s="130" t="str">
        <f aca="false">IF($B121="","",INDEX('CARNET DE SOUDURE'!$B$7:$B$3006,MATCH(110,'CARNET DE SOUDURE'!$AT$7:$AT$3006,0)))</f>
        <v>MFD-ISW → MFD-CPF</v>
      </c>
      <c r="D121" s="130" t="str">
        <f aca="false">IF($B121="","",INDEX('CARNET DE SOUDURE'!$E$7:$E$3006,MATCH(110,'CARNET DE SOUDURE'!$AT$7:$AT$3006,0)))</f>
        <v>JN°1586R</v>
      </c>
      <c r="E121" s="130" t="n">
        <f aca="false">IF($B121="","",INDEX('CARNET DE SOUDURE'!$D$7:$D$3006,MATCH(110,'CARNET DE SOUDURE'!$AT$7:$AT$3006,0)))</f>
        <v>19</v>
      </c>
      <c r="F121" s="130" t="str">
        <f aca="false">IF($B121="","",INDEX('CARNET DE SOUDURE'!$R$7:$R$3006,MATCH(110,'CARNET DE SOUDURE'!$AT$7:$AT$3006,0))&amp;IF(INDEX('CARNET DE SOUDURE'!$S$7:$S$3006,MATCH(110,'CARNET DE SOUDURE'!$AT$7:$AT$3006,0))&lt;&gt;""," / "&amp;INDEX('CARNET DE SOUDURE'!$S$7:$S$3006,MATCH(110,'CARNET DE SOUDURE'!$AT$7:$AT$3006,0)),"")&amp;IF(INDEX('CARNET DE SOUDURE'!$T$7:$T$3006,MATCH(110,'CARNET DE SOUDURE'!$AT$7:$AT$3006,0))&lt;&gt;""," / "&amp;INDEX('CARNET DE SOUDURE'!$T$7:$T$3006,MATCH(110,'CARNET DE SOUDURE'!$AT$7:$AT$3006,0)),""))</f>
        <v>WR-32</v>
      </c>
      <c r="G121" s="131" t="n">
        <f aca="false">IF($B121="","",INDEX('CARNET DE SOUDURE'!$U$7:$U$3006,MATCH(110,'CARNET DE SOUDURE'!$AT$7:$AT$3006,0)))</f>
        <v>46286</v>
      </c>
      <c r="H121" s="132" t="str">
        <f aca="false">IF($B121="","",INDEX('CARNET DE SOUDURE'!$AQ$7:$AQ$3006,MATCH(110,'CARNET DE SOUDURE'!$AT$7:$AT$3006,0)))</f>
        <v>À RADIOGRAPHIER</v>
      </c>
      <c r="I121" s="133" t="n">
        <f aca="false">IF($B121="","",INDEX('CARNET DE SOUDURE'!$AO$7:$AO$3006,MATCH(110,'CARNET DE SOUDURE'!$AT$7:$AT$3006,0)))</f>
        <v>0</v>
      </c>
      <c r="J121" s="133" t="n">
        <f aca="false">IF($B121="","",INDEX('CARNET DE SOUDURE'!$AR$7:$AR$3006,MATCH(110,'CARNET DE SOUDURE'!$AT$7:$AT$3006,0)))</f>
        <v>7</v>
      </c>
      <c r="K121" s="129"/>
      <c r="L121" s="129"/>
    </row>
    <row r="122" customFormat="false" ht="15" hidden="false" customHeight="false" outlineLevel="0" collapsed="false">
      <c r="B122" s="125" t="n">
        <f aca="false">IF(111&gt;$I$4,"",111)</f>
        <v>111</v>
      </c>
      <c r="C122" s="125" t="str">
        <f aca="false">IF($B122="","",INDEX('CARNET DE SOUDURE'!$B$7:$B$3006,MATCH(111,'CARNET DE SOUDURE'!$AT$7:$AT$3006,0)))</f>
        <v>MFD-ISW → MFD-CPF</v>
      </c>
      <c r="D122" s="125" t="str">
        <f aca="false">IF($B122="","",INDEX('CARNET DE SOUDURE'!$E$7:$E$3006,MATCH(111,'CARNET DE SOUDURE'!$AT$7:$AT$3006,0)))</f>
        <v>JN°1589</v>
      </c>
      <c r="E122" s="125" t="n">
        <f aca="false">IF($B122="","",INDEX('CARNET DE SOUDURE'!$D$7:$D$3006,MATCH(111,'CARNET DE SOUDURE'!$AT$7:$AT$3006,0)))</f>
        <v>19</v>
      </c>
      <c r="F122" s="125" t="str">
        <f aca="false">IF($B122="","",INDEX('CARNET DE SOUDURE'!$R$7:$R$3006,MATCH(111,'CARNET DE SOUDURE'!$AT$7:$AT$3006,0))&amp;IF(INDEX('CARNET DE SOUDURE'!$S$7:$S$3006,MATCH(111,'CARNET DE SOUDURE'!$AT$7:$AT$3006,0))&lt;&gt;""," / "&amp;INDEX('CARNET DE SOUDURE'!$S$7:$S$3006,MATCH(111,'CARNET DE SOUDURE'!$AT$7:$AT$3006,0)),"")&amp;IF(INDEX('CARNET DE SOUDURE'!$T$7:$T$3006,MATCH(111,'CARNET DE SOUDURE'!$AT$7:$AT$3006,0))&lt;&gt;""," / "&amp;INDEX('CARNET DE SOUDURE'!$T$7:$T$3006,MATCH(111,'CARNET DE SOUDURE'!$AT$7:$AT$3006,0)),""))</f>
        <v>WR-46-44/36-33/45-30/45-42</v>
      </c>
      <c r="G122" s="126" t="n">
        <f aca="false">IF($B122="","",INDEX('CARNET DE SOUDURE'!$U$7:$U$3006,MATCH(111,'CARNET DE SOUDURE'!$AT$7:$AT$3006,0)))</f>
        <v>46266</v>
      </c>
      <c r="H122" s="127" t="str">
        <f aca="false">IF($B122="","",INDEX('CARNET DE SOUDURE'!$AQ$7:$AQ$3006,MATCH(111,'CARNET DE SOUDURE'!$AT$7:$AT$3006,0)))</f>
        <v>NX – RT À REFAIRE</v>
      </c>
      <c r="I122" s="128" t="n">
        <f aca="false">IF($B122="","",INDEX('CARNET DE SOUDURE'!$AO$7:$AO$3006,MATCH(111,'CARNET DE SOUDURE'!$AT$7:$AT$3006,0)))</f>
        <v>1</v>
      </c>
      <c r="J122" s="128" t="n">
        <f aca="false">IF($B122="","",INDEX('CARNET DE SOUDURE'!$AR$7:$AR$3006,MATCH(111,'CARNET DE SOUDURE'!$AT$7:$AT$3006,0)))</f>
        <v>27</v>
      </c>
      <c r="K122" s="129"/>
      <c r="L122" s="129"/>
    </row>
    <row r="123" customFormat="false" ht="15" hidden="false" customHeight="false" outlineLevel="0" collapsed="false">
      <c r="B123" s="130" t="n">
        <f aca="false">IF(112&gt;$I$4,"",112)</f>
        <v>112</v>
      </c>
      <c r="C123" s="130" t="str">
        <f aca="false">IF($B123="","",INDEX('CARNET DE SOUDURE'!$B$7:$B$3006,MATCH(112,'CARNET DE SOUDURE'!$AT$7:$AT$3006,0)))</f>
        <v>MFD-ISW → MFD-CPF</v>
      </c>
      <c r="D123" s="130" t="str">
        <f aca="false">IF($B123="","",INDEX('CARNET DE SOUDURE'!$E$7:$E$3006,MATCH(112,'CARNET DE SOUDURE'!$AT$7:$AT$3006,0)))</f>
        <v>JN°1590</v>
      </c>
      <c r="E123" s="130" t="n">
        <f aca="false">IF($B123="","",INDEX('CARNET DE SOUDURE'!$D$7:$D$3006,MATCH(112,'CARNET DE SOUDURE'!$AT$7:$AT$3006,0)))</f>
        <v>19</v>
      </c>
      <c r="F123" s="130" t="str">
        <f aca="false">IF($B123="","",INDEX('CARNET DE SOUDURE'!$R$7:$R$3006,MATCH(112,'CARNET DE SOUDURE'!$AT$7:$AT$3006,0))&amp;IF(INDEX('CARNET DE SOUDURE'!$S$7:$S$3006,MATCH(112,'CARNET DE SOUDURE'!$AT$7:$AT$3006,0))&lt;&gt;""," / "&amp;INDEX('CARNET DE SOUDURE'!$S$7:$S$3006,MATCH(112,'CARNET DE SOUDURE'!$AT$7:$AT$3006,0)),"")&amp;IF(INDEX('CARNET DE SOUDURE'!$T$7:$T$3006,MATCH(112,'CARNET DE SOUDURE'!$AT$7:$AT$3006,0))&lt;&gt;""," / "&amp;INDEX('CARNET DE SOUDURE'!$T$7:$T$3006,MATCH(112,'CARNET DE SOUDURE'!$AT$7:$AT$3006,0)),""))</f>
        <v>WR-46-44/36-33/45-30/45-42</v>
      </c>
      <c r="G123" s="131" t="n">
        <f aca="false">IF($B123="","",INDEX('CARNET DE SOUDURE'!$U$7:$U$3006,MATCH(112,'CARNET DE SOUDURE'!$AT$7:$AT$3006,0)))</f>
        <v>46266</v>
      </c>
      <c r="H123" s="132" t="str">
        <f aca="false">IF($B123="","",INDEX('CARNET DE SOUDURE'!$AQ$7:$AQ$3006,MATCH(112,'CARNET DE SOUDURE'!$AT$7:$AT$3006,0)))</f>
        <v>NX – RT À REFAIRE</v>
      </c>
      <c r="I123" s="133" t="n">
        <f aca="false">IF($B123="","",INDEX('CARNET DE SOUDURE'!$AO$7:$AO$3006,MATCH(112,'CARNET DE SOUDURE'!$AT$7:$AT$3006,0)))</f>
        <v>1</v>
      </c>
      <c r="J123" s="133" t="n">
        <f aca="false">IF($B123="","",INDEX('CARNET DE SOUDURE'!$AR$7:$AR$3006,MATCH(112,'CARNET DE SOUDURE'!$AT$7:$AT$3006,0)))</f>
        <v>27</v>
      </c>
      <c r="K123" s="129"/>
      <c r="L123" s="129"/>
    </row>
    <row r="124" customFormat="false" ht="15" hidden="false" customHeight="false" outlineLevel="0" collapsed="false">
      <c r="B124" s="125" t="n">
        <f aca="false">IF(113&gt;$I$4,"",113)</f>
        <v>113</v>
      </c>
      <c r="C124" s="125" t="str">
        <f aca="false">IF($B124="","",INDEX('CARNET DE SOUDURE'!$B$7:$B$3006,MATCH(113,'CARNET DE SOUDURE'!$AT$7:$AT$3006,0)))</f>
        <v>MFD-ISW → MFD-CPF</v>
      </c>
      <c r="D124" s="125" t="str">
        <f aca="false">IF($B124="","",INDEX('CARNET DE SOUDURE'!$E$7:$E$3006,MATCH(113,'CARNET DE SOUDURE'!$AT$7:$AT$3006,0)))</f>
        <v>JN°1594</v>
      </c>
      <c r="E124" s="125" t="n">
        <f aca="false">IF($B124="","",INDEX('CARNET DE SOUDURE'!$D$7:$D$3006,MATCH(113,'CARNET DE SOUDURE'!$AT$7:$AT$3006,0)))</f>
        <v>19</v>
      </c>
      <c r="F124" s="125" t="str">
        <f aca="false">IF($B124="","",INDEX('CARNET DE SOUDURE'!$R$7:$R$3006,MATCH(113,'CARNET DE SOUDURE'!$AT$7:$AT$3006,0))&amp;IF(INDEX('CARNET DE SOUDURE'!$S$7:$S$3006,MATCH(113,'CARNET DE SOUDURE'!$AT$7:$AT$3006,0))&lt;&gt;""," / "&amp;INDEX('CARNET DE SOUDURE'!$S$7:$S$3006,MATCH(113,'CARNET DE SOUDURE'!$AT$7:$AT$3006,0)),"")&amp;IF(INDEX('CARNET DE SOUDURE'!$T$7:$T$3006,MATCH(113,'CARNET DE SOUDURE'!$AT$7:$AT$3006,0))&lt;&gt;""," / "&amp;INDEX('CARNET DE SOUDURE'!$T$7:$T$3006,MATCH(113,'CARNET DE SOUDURE'!$AT$7:$AT$3006,0)),""))</f>
        <v>WR-46-44/36-33/45-30/45-42</v>
      </c>
      <c r="G124" s="126" t="n">
        <f aca="false">IF($B124="","",INDEX('CARNET DE SOUDURE'!$U$7:$U$3006,MATCH(113,'CARNET DE SOUDURE'!$AT$7:$AT$3006,0)))</f>
        <v>46266</v>
      </c>
      <c r="H124" s="127" t="str">
        <f aca="false">IF($B124="","",INDEX('CARNET DE SOUDURE'!$AQ$7:$AQ$3006,MATCH(113,'CARNET DE SOUDURE'!$AT$7:$AT$3006,0)))</f>
        <v>NX – RT À REFAIRE</v>
      </c>
      <c r="I124" s="128" t="n">
        <f aca="false">IF($B124="","",INDEX('CARNET DE SOUDURE'!$AO$7:$AO$3006,MATCH(113,'CARNET DE SOUDURE'!$AT$7:$AT$3006,0)))</f>
        <v>1</v>
      </c>
      <c r="J124" s="128" t="n">
        <f aca="false">IF($B124="","",INDEX('CARNET DE SOUDURE'!$AR$7:$AR$3006,MATCH(113,'CARNET DE SOUDURE'!$AT$7:$AT$3006,0)))</f>
        <v>27</v>
      </c>
      <c r="K124" s="129"/>
      <c r="L124" s="129"/>
    </row>
    <row r="125" customFormat="false" ht="15" hidden="false" customHeight="false" outlineLevel="0" collapsed="false">
      <c r="B125" s="130" t="n">
        <f aca="false">IF(114&gt;$I$4,"",114)</f>
        <v>114</v>
      </c>
      <c r="C125" s="130" t="str">
        <f aca="false">IF($B125="","",INDEX('CARNET DE SOUDURE'!$B$7:$B$3006,MATCH(114,'CARNET DE SOUDURE'!$AT$7:$AT$3006,0)))</f>
        <v>MFD-ISW → MFD-CPF</v>
      </c>
      <c r="D125" s="130" t="str">
        <f aca="false">IF($B125="","",INDEX('CARNET DE SOUDURE'!$E$7:$E$3006,MATCH(114,'CARNET DE SOUDURE'!$AT$7:$AT$3006,0)))</f>
        <v>JN°1595</v>
      </c>
      <c r="E125" s="130" t="n">
        <f aca="false">IF($B125="","",INDEX('CARNET DE SOUDURE'!$D$7:$D$3006,MATCH(114,'CARNET DE SOUDURE'!$AT$7:$AT$3006,0)))</f>
        <v>19</v>
      </c>
      <c r="F125" s="130" t="str">
        <f aca="false">IF($B125="","",INDEX('CARNET DE SOUDURE'!$R$7:$R$3006,MATCH(114,'CARNET DE SOUDURE'!$AT$7:$AT$3006,0))&amp;IF(INDEX('CARNET DE SOUDURE'!$S$7:$S$3006,MATCH(114,'CARNET DE SOUDURE'!$AT$7:$AT$3006,0))&lt;&gt;""," / "&amp;INDEX('CARNET DE SOUDURE'!$S$7:$S$3006,MATCH(114,'CARNET DE SOUDURE'!$AT$7:$AT$3006,0)),"")&amp;IF(INDEX('CARNET DE SOUDURE'!$T$7:$T$3006,MATCH(114,'CARNET DE SOUDURE'!$AT$7:$AT$3006,0))&lt;&gt;""," / "&amp;INDEX('CARNET DE SOUDURE'!$T$7:$T$3006,MATCH(114,'CARNET DE SOUDURE'!$AT$7:$AT$3006,0)),""))</f>
        <v>WR-46-44/36-33/45-30/45-42</v>
      </c>
      <c r="G125" s="131" t="n">
        <f aca="false">IF($B125="","",INDEX('CARNET DE SOUDURE'!$U$7:$U$3006,MATCH(114,'CARNET DE SOUDURE'!$AT$7:$AT$3006,0)))</f>
        <v>46266</v>
      </c>
      <c r="H125" s="132" t="str">
        <f aca="false">IF($B125="","",INDEX('CARNET DE SOUDURE'!$AQ$7:$AQ$3006,MATCH(114,'CARNET DE SOUDURE'!$AT$7:$AT$3006,0)))</f>
        <v>NX – RT À REFAIRE</v>
      </c>
      <c r="I125" s="133" t="n">
        <f aca="false">IF($B125="","",INDEX('CARNET DE SOUDURE'!$AO$7:$AO$3006,MATCH(114,'CARNET DE SOUDURE'!$AT$7:$AT$3006,0)))</f>
        <v>1</v>
      </c>
      <c r="J125" s="133" t="n">
        <f aca="false">IF($B125="","",INDEX('CARNET DE SOUDURE'!$AR$7:$AR$3006,MATCH(114,'CARNET DE SOUDURE'!$AT$7:$AT$3006,0)))</f>
        <v>27</v>
      </c>
      <c r="K125" s="129"/>
      <c r="L125" s="129"/>
    </row>
    <row r="126" customFormat="false" ht="15" hidden="false" customHeight="false" outlineLevel="0" collapsed="false">
      <c r="B126" s="125" t="n">
        <f aca="false">IF(115&gt;$I$4,"",115)</f>
        <v>115</v>
      </c>
      <c r="C126" s="125" t="str">
        <f aca="false">IF($B126="","",INDEX('CARNET DE SOUDURE'!$B$7:$B$3006,MATCH(115,'CARNET DE SOUDURE'!$AT$7:$AT$3006,0)))</f>
        <v>MFD-ISW → MFD-CPF</v>
      </c>
      <c r="D126" s="125" t="str">
        <f aca="false">IF($B126="","",INDEX('CARNET DE SOUDURE'!$E$7:$E$3006,MATCH(115,'CARNET DE SOUDURE'!$AT$7:$AT$3006,0)))</f>
        <v>JN°1596</v>
      </c>
      <c r="E126" s="125" t="n">
        <f aca="false">IF($B126="","",INDEX('CARNET DE SOUDURE'!$D$7:$D$3006,MATCH(115,'CARNET DE SOUDURE'!$AT$7:$AT$3006,0)))</f>
        <v>19</v>
      </c>
      <c r="F126" s="125" t="str">
        <f aca="false">IF($B126="","",INDEX('CARNET DE SOUDURE'!$R$7:$R$3006,MATCH(115,'CARNET DE SOUDURE'!$AT$7:$AT$3006,0))&amp;IF(INDEX('CARNET DE SOUDURE'!$S$7:$S$3006,MATCH(115,'CARNET DE SOUDURE'!$AT$7:$AT$3006,0))&lt;&gt;""," / "&amp;INDEX('CARNET DE SOUDURE'!$S$7:$S$3006,MATCH(115,'CARNET DE SOUDURE'!$AT$7:$AT$3006,0)),"")&amp;IF(INDEX('CARNET DE SOUDURE'!$T$7:$T$3006,MATCH(115,'CARNET DE SOUDURE'!$AT$7:$AT$3006,0))&lt;&gt;""," / "&amp;INDEX('CARNET DE SOUDURE'!$T$7:$T$3006,MATCH(115,'CARNET DE SOUDURE'!$AT$7:$AT$3006,0)),""))</f>
        <v>WR-46-44/36-33/45-30/45-42</v>
      </c>
      <c r="G126" s="126" t="n">
        <f aca="false">IF($B126="","",INDEX('CARNET DE SOUDURE'!$U$7:$U$3006,MATCH(115,'CARNET DE SOUDURE'!$AT$7:$AT$3006,0)))</f>
        <v>46266</v>
      </c>
      <c r="H126" s="127" t="str">
        <f aca="false">IF($B126="","",INDEX('CARNET DE SOUDURE'!$AQ$7:$AQ$3006,MATCH(115,'CARNET DE SOUDURE'!$AT$7:$AT$3006,0)))</f>
        <v>NX – RT À REFAIRE</v>
      </c>
      <c r="I126" s="128" t="n">
        <f aca="false">IF($B126="","",INDEX('CARNET DE SOUDURE'!$AO$7:$AO$3006,MATCH(115,'CARNET DE SOUDURE'!$AT$7:$AT$3006,0)))</f>
        <v>1</v>
      </c>
      <c r="J126" s="128" t="n">
        <f aca="false">IF($B126="","",INDEX('CARNET DE SOUDURE'!$AR$7:$AR$3006,MATCH(115,'CARNET DE SOUDURE'!$AT$7:$AT$3006,0)))</f>
        <v>27</v>
      </c>
      <c r="K126" s="129"/>
      <c r="L126" s="129"/>
    </row>
    <row r="127" customFormat="false" ht="15" hidden="false" customHeight="false" outlineLevel="0" collapsed="false">
      <c r="B127" s="130" t="n">
        <f aca="false">IF(116&gt;$I$4,"",116)</f>
        <v>116</v>
      </c>
      <c r="C127" s="130" t="str">
        <f aca="false">IF($B127="","",INDEX('CARNET DE SOUDURE'!$B$7:$B$3006,MATCH(116,'CARNET DE SOUDURE'!$AT$7:$AT$3006,0)))</f>
        <v>MFD-ISW → MFD-CPF</v>
      </c>
      <c r="D127" s="130" t="str">
        <f aca="false">IF($B127="","",INDEX('CARNET DE SOUDURE'!$E$7:$E$3006,MATCH(116,'CARNET DE SOUDURE'!$AT$7:$AT$3006,0)))</f>
        <v>JN°1630</v>
      </c>
      <c r="E127" s="130" t="n">
        <f aca="false">IF($B127="","",INDEX('CARNET DE SOUDURE'!$D$7:$D$3006,MATCH(116,'CARNET DE SOUDURE'!$AT$7:$AT$3006,0)))</f>
        <v>20</v>
      </c>
      <c r="F127" s="130" t="str">
        <f aca="false">IF($B127="","",INDEX('CARNET DE SOUDURE'!$R$7:$R$3006,MATCH(116,'CARNET DE SOUDURE'!$AT$7:$AT$3006,0))&amp;IF(INDEX('CARNET DE SOUDURE'!$S$7:$S$3006,MATCH(116,'CARNET DE SOUDURE'!$AT$7:$AT$3006,0))&lt;&gt;""," / "&amp;INDEX('CARNET DE SOUDURE'!$S$7:$S$3006,MATCH(116,'CARNET DE SOUDURE'!$AT$7:$AT$3006,0)),"")&amp;IF(INDEX('CARNET DE SOUDURE'!$T$7:$T$3006,MATCH(116,'CARNET DE SOUDURE'!$AT$7:$AT$3006,0))&lt;&gt;""," / "&amp;INDEX('CARNET DE SOUDURE'!$T$7:$T$3006,MATCH(116,'CARNET DE SOUDURE'!$AT$7:$AT$3006,0)),""))</f>
        <v>WR-46-44/30-33/47-48/45-36</v>
      </c>
      <c r="G127" s="131" t="n">
        <f aca="false">IF($B127="","",INDEX('CARNET DE SOUDURE'!$U$7:$U$3006,MATCH(116,'CARNET DE SOUDURE'!$AT$7:$AT$3006,0)))</f>
        <v>46264</v>
      </c>
      <c r="H127" s="132" t="str">
        <f aca="false">IF($B127="","",INDEX('CARNET DE SOUDURE'!$AQ$7:$AQ$3006,MATCH(116,'CARNET DE SOUDURE'!$AT$7:$AT$3006,0)))</f>
        <v>NX – RT À REFAIRE</v>
      </c>
      <c r="I127" s="133" t="n">
        <f aca="false">IF($B127="","",INDEX('CARNET DE SOUDURE'!$AO$7:$AO$3006,MATCH(116,'CARNET DE SOUDURE'!$AT$7:$AT$3006,0)))</f>
        <v>1</v>
      </c>
      <c r="J127" s="133" t="n">
        <f aca="false">IF($B127="","",INDEX('CARNET DE SOUDURE'!$AR$7:$AR$3006,MATCH(116,'CARNET DE SOUDURE'!$AT$7:$AT$3006,0)))</f>
        <v>29</v>
      </c>
      <c r="K127" s="129"/>
      <c r="L127" s="129"/>
    </row>
    <row r="128" customFormat="false" ht="15" hidden="false" customHeight="false" outlineLevel="0" collapsed="false">
      <c r="B128" s="125" t="n">
        <f aca="false">IF(117&gt;$I$4,"",117)</f>
        <v>117</v>
      </c>
      <c r="C128" s="125" t="str">
        <f aca="false">IF($B128="","",INDEX('CARNET DE SOUDURE'!$B$7:$B$3006,MATCH(117,'CARNET DE SOUDURE'!$AT$7:$AT$3006,0)))</f>
        <v>MFD-ISW → MFD-CPF</v>
      </c>
      <c r="D128" s="125" t="str">
        <f aca="false">IF($B128="","",INDEX('CARNET DE SOUDURE'!$E$7:$E$3006,MATCH(117,'CARNET DE SOUDURE'!$AT$7:$AT$3006,0)))</f>
        <v>JN°1656</v>
      </c>
      <c r="E128" s="125" t="n">
        <f aca="false">IF($B128="","",INDEX('CARNET DE SOUDURE'!$D$7:$D$3006,MATCH(117,'CARNET DE SOUDURE'!$AT$7:$AT$3006,0)))</f>
        <v>20</v>
      </c>
      <c r="F128" s="125" t="str">
        <f aca="false">IF($B128="","",INDEX('CARNET DE SOUDURE'!$R$7:$R$3006,MATCH(117,'CARNET DE SOUDURE'!$AT$7:$AT$3006,0))&amp;IF(INDEX('CARNET DE SOUDURE'!$S$7:$S$3006,MATCH(117,'CARNET DE SOUDURE'!$AT$7:$AT$3006,0))&lt;&gt;""," / "&amp;INDEX('CARNET DE SOUDURE'!$S$7:$S$3006,MATCH(117,'CARNET DE SOUDURE'!$AT$7:$AT$3006,0)),"")&amp;IF(INDEX('CARNET DE SOUDURE'!$T$7:$T$3006,MATCH(117,'CARNET DE SOUDURE'!$AT$7:$AT$3006,0))&lt;&gt;""," / "&amp;INDEX('CARNET DE SOUDURE'!$T$7:$T$3006,MATCH(117,'CARNET DE SOUDURE'!$AT$7:$AT$3006,0)),""))</f>
        <v>WR-46-44/30-33/47-48/45-36</v>
      </c>
      <c r="G128" s="126" t="n">
        <f aca="false">IF($B128="","",INDEX('CARNET DE SOUDURE'!$U$7:$U$3006,MATCH(117,'CARNET DE SOUDURE'!$AT$7:$AT$3006,0)))</f>
        <v>46264</v>
      </c>
      <c r="H128" s="127" t="str">
        <f aca="false">IF($B128="","",INDEX('CARNET DE SOUDURE'!$AQ$7:$AQ$3006,MATCH(117,'CARNET DE SOUDURE'!$AT$7:$AT$3006,0)))</f>
        <v>NX – RT À REFAIRE</v>
      </c>
      <c r="I128" s="128" t="n">
        <f aca="false">IF($B128="","",INDEX('CARNET DE SOUDURE'!$AO$7:$AO$3006,MATCH(117,'CARNET DE SOUDURE'!$AT$7:$AT$3006,0)))</f>
        <v>1</v>
      </c>
      <c r="J128" s="128" t="n">
        <f aca="false">IF($B128="","",INDEX('CARNET DE SOUDURE'!$AR$7:$AR$3006,MATCH(117,'CARNET DE SOUDURE'!$AT$7:$AT$3006,0)))</f>
        <v>29</v>
      </c>
      <c r="K128" s="129"/>
      <c r="L128" s="129"/>
    </row>
    <row r="129" customFormat="false" ht="15" hidden="false" customHeight="false" outlineLevel="0" collapsed="false">
      <c r="B129" s="130" t="n">
        <f aca="false">IF(118&gt;$I$4,"",118)</f>
        <v>118</v>
      </c>
      <c r="C129" s="130" t="str">
        <f aca="false">IF($B129="","",INDEX('CARNET DE SOUDURE'!$B$7:$B$3006,MATCH(118,'CARNET DE SOUDURE'!$AT$7:$AT$3006,0)))</f>
        <v>MFD-ISW → MFD-CPF</v>
      </c>
      <c r="D129" s="130" t="str">
        <f aca="false">IF($B129="","",INDEX('CARNET DE SOUDURE'!$E$7:$E$3006,MATCH(118,'CARNET DE SOUDURE'!$AT$7:$AT$3006,0)))</f>
        <v>JN°1894</v>
      </c>
      <c r="E129" s="130" t="n">
        <f aca="false">IF($B129="","",INDEX('CARNET DE SOUDURE'!$D$7:$D$3006,MATCH(118,'CARNET DE SOUDURE'!$AT$7:$AT$3006,0)))</f>
        <v>23</v>
      </c>
      <c r="F129" s="130" t="str">
        <f aca="false">IF($B129="","",INDEX('CARNET DE SOUDURE'!$R$7:$R$3006,MATCH(118,'CARNET DE SOUDURE'!$AT$7:$AT$3006,0))&amp;IF(INDEX('CARNET DE SOUDURE'!$S$7:$S$3006,MATCH(118,'CARNET DE SOUDURE'!$AT$7:$AT$3006,0))&lt;&gt;""," / "&amp;INDEX('CARNET DE SOUDURE'!$S$7:$S$3006,MATCH(118,'CARNET DE SOUDURE'!$AT$7:$AT$3006,0)),"")&amp;IF(INDEX('CARNET DE SOUDURE'!$T$7:$T$3006,MATCH(118,'CARNET DE SOUDURE'!$AT$7:$AT$3006,0))&lt;&gt;""," / "&amp;INDEX('CARNET DE SOUDURE'!$T$7:$T$3006,MATCH(118,'CARNET DE SOUDURE'!$AT$7:$AT$3006,0)),""))</f>
        <v>WR-32-44/30-36/43-45</v>
      </c>
      <c r="G129" s="131" t="n">
        <f aca="false">IF($B129="","",INDEX('CARNET DE SOUDURE'!$U$7:$U$3006,MATCH(118,'CARNET DE SOUDURE'!$AT$7:$AT$3006,0)))</f>
        <v>46257</v>
      </c>
      <c r="H129" s="132" t="str">
        <f aca="false">IF($B129="","",INDEX('CARNET DE SOUDURE'!$AQ$7:$AQ$3006,MATCH(118,'CARNET DE SOUDURE'!$AT$7:$AT$3006,0)))</f>
        <v>NX – RT À REFAIRE</v>
      </c>
      <c r="I129" s="133" t="n">
        <f aca="false">IF($B129="","",INDEX('CARNET DE SOUDURE'!$AO$7:$AO$3006,MATCH(118,'CARNET DE SOUDURE'!$AT$7:$AT$3006,0)))</f>
        <v>1</v>
      </c>
      <c r="J129" s="133" t="n">
        <f aca="false">IF($B129="","",INDEX('CARNET DE SOUDURE'!$AR$7:$AR$3006,MATCH(118,'CARNET DE SOUDURE'!$AT$7:$AT$3006,0)))</f>
        <v>36</v>
      </c>
      <c r="K129" s="129"/>
      <c r="L129" s="129"/>
    </row>
    <row r="130" customFormat="false" ht="15" hidden="false" customHeight="false" outlineLevel="0" collapsed="false">
      <c r="B130" s="125" t="n">
        <f aca="false">IF(119&gt;$I$4,"",119)</f>
        <v>119</v>
      </c>
      <c r="C130" s="125" t="str">
        <f aca="false">IF($B130="","",INDEX('CARNET DE SOUDURE'!$B$7:$B$3006,MATCH(119,'CARNET DE SOUDURE'!$AT$7:$AT$3006,0)))</f>
        <v>MFD-ISW → MFD-CPF</v>
      </c>
      <c r="D130" s="125" t="str">
        <f aca="false">IF($B130="","",INDEX('CARNET DE SOUDURE'!$E$7:$E$3006,MATCH(119,'CARNET DE SOUDURE'!$AT$7:$AT$3006,0)))</f>
        <v>JN°1931C</v>
      </c>
      <c r="E130" s="125" t="n">
        <f aca="false">IF($B130="","",INDEX('CARNET DE SOUDURE'!$D$7:$D$3006,MATCH(119,'CARNET DE SOUDURE'!$AT$7:$AT$3006,0)))</f>
        <v>24</v>
      </c>
      <c r="F130" s="125" t="str">
        <f aca="false">IF($B130="","",INDEX('CARNET DE SOUDURE'!$R$7:$R$3006,MATCH(119,'CARNET DE SOUDURE'!$AT$7:$AT$3006,0))&amp;IF(INDEX('CARNET DE SOUDURE'!$S$7:$S$3006,MATCH(119,'CARNET DE SOUDURE'!$AT$7:$AT$3006,0))&lt;&gt;""," / "&amp;INDEX('CARNET DE SOUDURE'!$S$7:$S$3006,MATCH(119,'CARNET DE SOUDURE'!$AT$7:$AT$3006,0)),"")&amp;IF(INDEX('CARNET DE SOUDURE'!$T$7:$T$3006,MATCH(119,'CARNET DE SOUDURE'!$AT$7:$AT$3006,0))&lt;&gt;""," / "&amp;INDEX('CARNET DE SOUDURE'!$T$7:$T$3006,MATCH(119,'CARNET DE SOUDURE'!$AT$7:$AT$3006,0)),""))</f>
        <v>WR-032/052</v>
      </c>
      <c r="G130" s="126" t="n">
        <f aca="false">IF($B130="","",INDEX('CARNET DE SOUDURE'!$U$7:$U$3006,MATCH(119,'CARNET DE SOUDURE'!$AT$7:$AT$3006,0)))</f>
        <v>46289</v>
      </c>
      <c r="H130" s="127" t="str">
        <f aca="false">IF($B130="","",INDEX('CARNET DE SOUDURE'!$AQ$7:$AQ$3006,MATCH(119,'CARNET DE SOUDURE'!$AT$7:$AT$3006,0)))</f>
        <v>À RADIOGRAPHIER</v>
      </c>
      <c r="I130" s="128" t="n">
        <f aca="false">IF($B130="","",INDEX('CARNET DE SOUDURE'!$AO$7:$AO$3006,MATCH(119,'CARNET DE SOUDURE'!$AT$7:$AT$3006,0)))</f>
        <v>0</v>
      </c>
      <c r="J130" s="128" t="n">
        <f aca="false">IF($B130="","",INDEX('CARNET DE SOUDURE'!$AR$7:$AR$3006,MATCH(119,'CARNET DE SOUDURE'!$AT$7:$AT$3006,0)))</f>
        <v>4</v>
      </c>
      <c r="K130" s="129"/>
      <c r="L130" s="129"/>
    </row>
    <row r="131" customFormat="false" ht="15" hidden="false" customHeight="false" outlineLevel="0" collapsed="false">
      <c r="B131" s="130" t="str">
        <f aca="false">IF(120&gt;$I$4,"",120)</f>
        <v/>
      </c>
      <c r="C131" s="130" t="str">
        <f aca="false">IF($B131="","",INDEX('CARNET DE SOUDURE'!$B$7:$B$3006,MATCH(120,'CARNET DE SOUDURE'!$AT$7:$AT$3006,0)))</f>
        <v/>
      </c>
      <c r="D131" s="130" t="str">
        <f aca="false">IF($B131="","",INDEX('CARNET DE SOUDURE'!$E$7:$E$3006,MATCH(120,'CARNET DE SOUDURE'!$AT$7:$AT$3006,0)))</f>
        <v/>
      </c>
      <c r="E131" s="130" t="str">
        <f aca="false">IF($B131="","",INDEX('CARNET DE SOUDURE'!$D$7:$D$3006,MATCH(120,'CARNET DE SOUDURE'!$AT$7:$AT$3006,0)))</f>
        <v/>
      </c>
      <c r="F131" s="130" t="str">
        <f aca="false">IF($B131="","",INDEX('CARNET DE SOUDURE'!$R$7:$R$3006,MATCH(120,'CARNET DE SOUDURE'!$AT$7:$AT$3006,0))&amp;IF(INDEX('CARNET DE SOUDURE'!$S$7:$S$3006,MATCH(120,'CARNET DE SOUDURE'!$AT$7:$AT$3006,0))&lt;&gt;""," / "&amp;INDEX('CARNET DE SOUDURE'!$S$7:$S$3006,MATCH(120,'CARNET DE SOUDURE'!$AT$7:$AT$3006,0)),"")&amp;IF(INDEX('CARNET DE SOUDURE'!$T$7:$T$3006,MATCH(120,'CARNET DE SOUDURE'!$AT$7:$AT$3006,0))&lt;&gt;""," / "&amp;INDEX('CARNET DE SOUDURE'!$T$7:$T$3006,MATCH(120,'CARNET DE SOUDURE'!$AT$7:$AT$3006,0)),""))</f>
        <v/>
      </c>
      <c r="G131" s="131" t="str">
        <f aca="false">IF($B131="","",INDEX('CARNET DE SOUDURE'!$U$7:$U$3006,MATCH(120,'CARNET DE SOUDURE'!$AT$7:$AT$3006,0)))</f>
        <v/>
      </c>
      <c r="H131" s="132" t="str">
        <f aca="false">IF($B131="","",INDEX('CARNET DE SOUDURE'!$AQ$7:$AQ$3006,MATCH(120,'CARNET DE SOUDURE'!$AT$7:$AT$3006,0)))</f>
        <v/>
      </c>
      <c r="I131" s="133" t="str">
        <f aca="false">IF($B131="","",INDEX('CARNET DE SOUDURE'!$AO$7:$AO$3006,MATCH(120,'CARNET DE SOUDURE'!$AT$7:$AT$3006,0)))</f>
        <v/>
      </c>
      <c r="J131" s="133" t="str">
        <f aca="false">IF($B131="","",INDEX('CARNET DE SOUDURE'!$AR$7:$AR$3006,MATCH(120,'CARNET DE SOUDURE'!$AT$7:$AT$3006,0)))</f>
        <v/>
      </c>
      <c r="K131" s="129"/>
      <c r="L131" s="129"/>
    </row>
    <row r="132" customFormat="false" ht="15" hidden="false" customHeight="false" outlineLevel="0" collapsed="false">
      <c r="B132" s="125" t="str">
        <f aca="false">IF(121&gt;$I$4,"",121)</f>
        <v/>
      </c>
      <c r="C132" s="125" t="str">
        <f aca="false">IF($B132="","",INDEX('CARNET DE SOUDURE'!$B$7:$B$3006,MATCH(121,'CARNET DE SOUDURE'!$AT$7:$AT$3006,0)))</f>
        <v/>
      </c>
      <c r="D132" s="125" t="str">
        <f aca="false">IF($B132="","",INDEX('CARNET DE SOUDURE'!$E$7:$E$3006,MATCH(121,'CARNET DE SOUDURE'!$AT$7:$AT$3006,0)))</f>
        <v/>
      </c>
      <c r="E132" s="125" t="str">
        <f aca="false">IF($B132="","",INDEX('CARNET DE SOUDURE'!$D$7:$D$3006,MATCH(121,'CARNET DE SOUDURE'!$AT$7:$AT$3006,0)))</f>
        <v/>
      </c>
      <c r="F132" s="125" t="str">
        <f aca="false">IF($B132="","",INDEX('CARNET DE SOUDURE'!$R$7:$R$3006,MATCH(121,'CARNET DE SOUDURE'!$AT$7:$AT$3006,0))&amp;IF(INDEX('CARNET DE SOUDURE'!$S$7:$S$3006,MATCH(121,'CARNET DE SOUDURE'!$AT$7:$AT$3006,0))&lt;&gt;""," / "&amp;INDEX('CARNET DE SOUDURE'!$S$7:$S$3006,MATCH(121,'CARNET DE SOUDURE'!$AT$7:$AT$3006,0)),"")&amp;IF(INDEX('CARNET DE SOUDURE'!$T$7:$T$3006,MATCH(121,'CARNET DE SOUDURE'!$AT$7:$AT$3006,0))&lt;&gt;""," / "&amp;INDEX('CARNET DE SOUDURE'!$T$7:$T$3006,MATCH(121,'CARNET DE SOUDURE'!$AT$7:$AT$3006,0)),""))</f>
        <v/>
      </c>
      <c r="G132" s="126" t="str">
        <f aca="false">IF($B132="","",INDEX('CARNET DE SOUDURE'!$U$7:$U$3006,MATCH(121,'CARNET DE SOUDURE'!$AT$7:$AT$3006,0)))</f>
        <v/>
      </c>
      <c r="H132" s="127" t="str">
        <f aca="false">IF($B132="","",INDEX('CARNET DE SOUDURE'!$AQ$7:$AQ$3006,MATCH(121,'CARNET DE SOUDURE'!$AT$7:$AT$3006,0)))</f>
        <v/>
      </c>
      <c r="I132" s="128" t="str">
        <f aca="false">IF($B132="","",INDEX('CARNET DE SOUDURE'!$AO$7:$AO$3006,MATCH(121,'CARNET DE SOUDURE'!$AT$7:$AT$3006,0)))</f>
        <v/>
      </c>
      <c r="J132" s="128" t="str">
        <f aca="false">IF($B132="","",INDEX('CARNET DE SOUDURE'!$AR$7:$AR$3006,MATCH(121,'CARNET DE SOUDURE'!$AT$7:$AT$3006,0)))</f>
        <v/>
      </c>
      <c r="K132" s="129"/>
      <c r="L132" s="129"/>
    </row>
    <row r="133" customFormat="false" ht="15" hidden="false" customHeight="false" outlineLevel="0" collapsed="false">
      <c r="B133" s="130" t="str">
        <f aca="false">IF(122&gt;$I$4,"",122)</f>
        <v/>
      </c>
      <c r="C133" s="130" t="str">
        <f aca="false">IF($B133="","",INDEX('CARNET DE SOUDURE'!$B$7:$B$3006,MATCH(122,'CARNET DE SOUDURE'!$AT$7:$AT$3006,0)))</f>
        <v/>
      </c>
      <c r="D133" s="130" t="str">
        <f aca="false">IF($B133="","",INDEX('CARNET DE SOUDURE'!$E$7:$E$3006,MATCH(122,'CARNET DE SOUDURE'!$AT$7:$AT$3006,0)))</f>
        <v/>
      </c>
      <c r="E133" s="130" t="str">
        <f aca="false">IF($B133="","",INDEX('CARNET DE SOUDURE'!$D$7:$D$3006,MATCH(122,'CARNET DE SOUDURE'!$AT$7:$AT$3006,0)))</f>
        <v/>
      </c>
      <c r="F133" s="130" t="str">
        <f aca="false">IF($B133="","",INDEX('CARNET DE SOUDURE'!$R$7:$R$3006,MATCH(122,'CARNET DE SOUDURE'!$AT$7:$AT$3006,0))&amp;IF(INDEX('CARNET DE SOUDURE'!$S$7:$S$3006,MATCH(122,'CARNET DE SOUDURE'!$AT$7:$AT$3006,0))&lt;&gt;""," / "&amp;INDEX('CARNET DE SOUDURE'!$S$7:$S$3006,MATCH(122,'CARNET DE SOUDURE'!$AT$7:$AT$3006,0)),"")&amp;IF(INDEX('CARNET DE SOUDURE'!$T$7:$T$3006,MATCH(122,'CARNET DE SOUDURE'!$AT$7:$AT$3006,0))&lt;&gt;""," / "&amp;INDEX('CARNET DE SOUDURE'!$T$7:$T$3006,MATCH(122,'CARNET DE SOUDURE'!$AT$7:$AT$3006,0)),""))</f>
        <v/>
      </c>
      <c r="G133" s="131" t="str">
        <f aca="false">IF($B133="","",INDEX('CARNET DE SOUDURE'!$U$7:$U$3006,MATCH(122,'CARNET DE SOUDURE'!$AT$7:$AT$3006,0)))</f>
        <v/>
      </c>
      <c r="H133" s="132" t="str">
        <f aca="false">IF($B133="","",INDEX('CARNET DE SOUDURE'!$AQ$7:$AQ$3006,MATCH(122,'CARNET DE SOUDURE'!$AT$7:$AT$3006,0)))</f>
        <v/>
      </c>
      <c r="I133" s="133" t="str">
        <f aca="false">IF($B133="","",INDEX('CARNET DE SOUDURE'!$AO$7:$AO$3006,MATCH(122,'CARNET DE SOUDURE'!$AT$7:$AT$3006,0)))</f>
        <v/>
      </c>
      <c r="J133" s="133" t="str">
        <f aca="false">IF($B133="","",INDEX('CARNET DE SOUDURE'!$AR$7:$AR$3006,MATCH(122,'CARNET DE SOUDURE'!$AT$7:$AT$3006,0)))</f>
        <v/>
      </c>
      <c r="K133" s="129"/>
      <c r="L133" s="129"/>
    </row>
    <row r="134" customFormat="false" ht="15" hidden="false" customHeight="false" outlineLevel="0" collapsed="false">
      <c r="B134" s="125" t="str">
        <f aca="false">IF(123&gt;$I$4,"",123)</f>
        <v/>
      </c>
      <c r="C134" s="125" t="str">
        <f aca="false">IF($B134="","",INDEX('CARNET DE SOUDURE'!$B$7:$B$3006,MATCH(123,'CARNET DE SOUDURE'!$AT$7:$AT$3006,0)))</f>
        <v/>
      </c>
      <c r="D134" s="125" t="str">
        <f aca="false">IF($B134="","",INDEX('CARNET DE SOUDURE'!$E$7:$E$3006,MATCH(123,'CARNET DE SOUDURE'!$AT$7:$AT$3006,0)))</f>
        <v/>
      </c>
      <c r="E134" s="125" t="str">
        <f aca="false">IF($B134="","",INDEX('CARNET DE SOUDURE'!$D$7:$D$3006,MATCH(123,'CARNET DE SOUDURE'!$AT$7:$AT$3006,0)))</f>
        <v/>
      </c>
      <c r="F134" s="125" t="str">
        <f aca="false">IF($B134="","",INDEX('CARNET DE SOUDURE'!$R$7:$R$3006,MATCH(123,'CARNET DE SOUDURE'!$AT$7:$AT$3006,0))&amp;IF(INDEX('CARNET DE SOUDURE'!$S$7:$S$3006,MATCH(123,'CARNET DE SOUDURE'!$AT$7:$AT$3006,0))&lt;&gt;""," / "&amp;INDEX('CARNET DE SOUDURE'!$S$7:$S$3006,MATCH(123,'CARNET DE SOUDURE'!$AT$7:$AT$3006,0)),"")&amp;IF(INDEX('CARNET DE SOUDURE'!$T$7:$T$3006,MATCH(123,'CARNET DE SOUDURE'!$AT$7:$AT$3006,0))&lt;&gt;""," / "&amp;INDEX('CARNET DE SOUDURE'!$T$7:$T$3006,MATCH(123,'CARNET DE SOUDURE'!$AT$7:$AT$3006,0)),""))</f>
        <v/>
      </c>
      <c r="G134" s="126" t="str">
        <f aca="false">IF($B134="","",INDEX('CARNET DE SOUDURE'!$U$7:$U$3006,MATCH(123,'CARNET DE SOUDURE'!$AT$7:$AT$3006,0)))</f>
        <v/>
      </c>
      <c r="H134" s="127" t="str">
        <f aca="false">IF($B134="","",INDEX('CARNET DE SOUDURE'!$AQ$7:$AQ$3006,MATCH(123,'CARNET DE SOUDURE'!$AT$7:$AT$3006,0)))</f>
        <v/>
      </c>
      <c r="I134" s="128" t="str">
        <f aca="false">IF($B134="","",INDEX('CARNET DE SOUDURE'!$AO$7:$AO$3006,MATCH(123,'CARNET DE SOUDURE'!$AT$7:$AT$3006,0)))</f>
        <v/>
      </c>
      <c r="J134" s="128" t="str">
        <f aca="false">IF($B134="","",INDEX('CARNET DE SOUDURE'!$AR$7:$AR$3006,MATCH(123,'CARNET DE SOUDURE'!$AT$7:$AT$3006,0)))</f>
        <v/>
      </c>
      <c r="K134" s="129"/>
      <c r="L134" s="129"/>
    </row>
    <row r="135" customFormat="false" ht="15" hidden="false" customHeight="false" outlineLevel="0" collapsed="false">
      <c r="B135" s="130" t="str">
        <f aca="false">IF(124&gt;$I$4,"",124)</f>
        <v/>
      </c>
      <c r="C135" s="130" t="str">
        <f aca="false">IF($B135="","",INDEX('CARNET DE SOUDURE'!$B$7:$B$3006,MATCH(124,'CARNET DE SOUDURE'!$AT$7:$AT$3006,0)))</f>
        <v/>
      </c>
      <c r="D135" s="130" t="str">
        <f aca="false">IF($B135="","",INDEX('CARNET DE SOUDURE'!$E$7:$E$3006,MATCH(124,'CARNET DE SOUDURE'!$AT$7:$AT$3006,0)))</f>
        <v/>
      </c>
      <c r="E135" s="130" t="str">
        <f aca="false">IF($B135="","",INDEX('CARNET DE SOUDURE'!$D$7:$D$3006,MATCH(124,'CARNET DE SOUDURE'!$AT$7:$AT$3006,0)))</f>
        <v/>
      </c>
      <c r="F135" s="130" t="str">
        <f aca="false">IF($B135="","",INDEX('CARNET DE SOUDURE'!$R$7:$R$3006,MATCH(124,'CARNET DE SOUDURE'!$AT$7:$AT$3006,0))&amp;IF(INDEX('CARNET DE SOUDURE'!$S$7:$S$3006,MATCH(124,'CARNET DE SOUDURE'!$AT$7:$AT$3006,0))&lt;&gt;""," / "&amp;INDEX('CARNET DE SOUDURE'!$S$7:$S$3006,MATCH(124,'CARNET DE SOUDURE'!$AT$7:$AT$3006,0)),"")&amp;IF(INDEX('CARNET DE SOUDURE'!$T$7:$T$3006,MATCH(124,'CARNET DE SOUDURE'!$AT$7:$AT$3006,0))&lt;&gt;""," / "&amp;INDEX('CARNET DE SOUDURE'!$T$7:$T$3006,MATCH(124,'CARNET DE SOUDURE'!$AT$7:$AT$3006,0)),""))</f>
        <v/>
      </c>
      <c r="G135" s="131" t="str">
        <f aca="false">IF($B135="","",INDEX('CARNET DE SOUDURE'!$U$7:$U$3006,MATCH(124,'CARNET DE SOUDURE'!$AT$7:$AT$3006,0)))</f>
        <v/>
      </c>
      <c r="H135" s="132" t="str">
        <f aca="false">IF($B135="","",INDEX('CARNET DE SOUDURE'!$AQ$7:$AQ$3006,MATCH(124,'CARNET DE SOUDURE'!$AT$7:$AT$3006,0)))</f>
        <v/>
      </c>
      <c r="I135" s="133" t="str">
        <f aca="false">IF($B135="","",INDEX('CARNET DE SOUDURE'!$AO$7:$AO$3006,MATCH(124,'CARNET DE SOUDURE'!$AT$7:$AT$3006,0)))</f>
        <v/>
      </c>
      <c r="J135" s="133" t="str">
        <f aca="false">IF($B135="","",INDEX('CARNET DE SOUDURE'!$AR$7:$AR$3006,MATCH(124,'CARNET DE SOUDURE'!$AT$7:$AT$3006,0)))</f>
        <v/>
      </c>
      <c r="K135" s="129"/>
      <c r="L135" s="129"/>
    </row>
    <row r="136" customFormat="false" ht="15" hidden="false" customHeight="false" outlineLevel="0" collapsed="false">
      <c r="B136" s="125" t="str">
        <f aca="false">IF(125&gt;$I$4,"",125)</f>
        <v/>
      </c>
      <c r="C136" s="125" t="str">
        <f aca="false">IF($B136="","",INDEX('CARNET DE SOUDURE'!$B$7:$B$3006,MATCH(125,'CARNET DE SOUDURE'!$AT$7:$AT$3006,0)))</f>
        <v/>
      </c>
      <c r="D136" s="125" t="str">
        <f aca="false">IF($B136="","",INDEX('CARNET DE SOUDURE'!$E$7:$E$3006,MATCH(125,'CARNET DE SOUDURE'!$AT$7:$AT$3006,0)))</f>
        <v/>
      </c>
      <c r="E136" s="125" t="str">
        <f aca="false">IF($B136="","",INDEX('CARNET DE SOUDURE'!$D$7:$D$3006,MATCH(125,'CARNET DE SOUDURE'!$AT$7:$AT$3006,0)))</f>
        <v/>
      </c>
      <c r="F136" s="125" t="str">
        <f aca="false">IF($B136="","",INDEX('CARNET DE SOUDURE'!$R$7:$R$3006,MATCH(125,'CARNET DE SOUDURE'!$AT$7:$AT$3006,0))&amp;IF(INDEX('CARNET DE SOUDURE'!$S$7:$S$3006,MATCH(125,'CARNET DE SOUDURE'!$AT$7:$AT$3006,0))&lt;&gt;""," / "&amp;INDEX('CARNET DE SOUDURE'!$S$7:$S$3006,MATCH(125,'CARNET DE SOUDURE'!$AT$7:$AT$3006,0)),"")&amp;IF(INDEX('CARNET DE SOUDURE'!$T$7:$T$3006,MATCH(125,'CARNET DE SOUDURE'!$AT$7:$AT$3006,0))&lt;&gt;""," / "&amp;INDEX('CARNET DE SOUDURE'!$T$7:$T$3006,MATCH(125,'CARNET DE SOUDURE'!$AT$7:$AT$3006,0)),""))</f>
        <v/>
      </c>
      <c r="G136" s="126" t="str">
        <f aca="false">IF($B136="","",INDEX('CARNET DE SOUDURE'!$U$7:$U$3006,MATCH(125,'CARNET DE SOUDURE'!$AT$7:$AT$3006,0)))</f>
        <v/>
      </c>
      <c r="H136" s="127" t="str">
        <f aca="false">IF($B136="","",INDEX('CARNET DE SOUDURE'!$AQ$7:$AQ$3006,MATCH(125,'CARNET DE SOUDURE'!$AT$7:$AT$3006,0)))</f>
        <v/>
      </c>
      <c r="I136" s="128" t="str">
        <f aca="false">IF($B136="","",INDEX('CARNET DE SOUDURE'!$AO$7:$AO$3006,MATCH(125,'CARNET DE SOUDURE'!$AT$7:$AT$3006,0)))</f>
        <v/>
      </c>
      <c r="J136" s="128" t="str">
        <f aca="false">IF($B136="","",INDEX('CARNET DE SOUDURE'!$AR$7:$AR$3006,MATCH(125,'CARNET DE SOUDURE'!$AT$7:$AT$3006,0)))</f>
        <v/>
      </c>
      <c r="K136" s="129"/>
      <c r="L136" s="129"/>
    </row>
    <row r="137" customFormat="false" ht="15" hidden="false" customHeight="false" outlineLevel="0" collapsed="false">
      <c r="B137" s="130" t="str">
        <f aca="false">IF(126&gt;$I$4,"",126)</f>
        <v/>
      </c>
      <c r="C137" s="130" t="str">
        <f aca="false">IF($B137="","",INDEX('CARNET DE SOUDURE'!$B$7:$B$3006,MATCH(126,'CARNET DE SOUDURE'!$AT$7:$AT$3006,0)))</f>
        <v/>
      </c>
      <c r="D137" s="130" t="str">
        <f aca="false">IF($B137="","",INDEX('CARNET DE SOUDURE'!$E$7:$E$3006,MATCH(126,'CARNET DE SOUDURE'!$AT$7:$AT$3006,0)))</f>
        <v/>
      </c>
      <c r="E137" s="130" t="str">
        <f aca="false">IF($B137="","",INDEX('CARNET DE SOUDURE'!$D$7:$D$3006,MATCH(126,'CARNET DE SOUDURE'!$AT$7:$AT$3006,0)))</f>
        <v/>
      </c>
      <c r="F137" s="130" t="str">
        <f aca="false">IF($B137="","",INDEX('CARNET DE SOUDURE'!$R$7:$R$3006,MATCH(126,'CARNET DE SOUDURE'!$AT$7:$AT$3006,0))&amp;IF(INDEX('CARNET DE SOUDURE'!$S$7:$S$3006,MATCH(126,'CARNET DE SOUDURE'!$AT$7:$AT$3006,0))&lt;&gt;""," / "&amp;INDEX('CARNET DE SOUDURE'!$S$7:$S$3006,MATCH(126,'CARNET DE SOUDURE'!$AT$7:$AT$3006,0)),"")&amp;IF(INDEX('CARNET DE SOUDURE'!$T$7:$T$3006,MATCH(126,'CARNET DE SOUDURE'!$AT$7:$AT$3006,0))&lt;&gt;""," / "&amp;INDEX('CARNET DE SOUDURE'!$T$7:$T$3006,MATCH(126,'CARNET DE SOUDURE'!$AT$7:$AT$3006,0)),""))</f>
        <v/>
      </c>
      <c r="G137" s="131" t="str">
        <f aca="false">IF($B137="","",INDEX('CARNET DE SOUDURE'!$U$7:$U$3006,MATCH(126,'CARNET DE SOUDURE'!$AT$7:$AT$3006,0)))</f>
        <v/>
      </c>
      <c r="H137" s="132" t="str">
        <f aca="false">IF($B137="","",INDEX('CARNET DE SOUDURE'!$AQ$7:$AQ$3006,MATCH(126,'CARNET DE SOUDURE'!$AT$7:$AT$3006,0)))</f>
        <v/>
      </c>
      <c r="I137" s="133" t="str">
        <f aca="false">IF($B137="","",INDEX('CARNET DE SOUDURE'!$AO$7:$AO$3006,MATCH(126,'CARNET DE SOUDURE'!$AT$7:$AT$3006,0)))</f>
        <v/>
      </c>
      <c r="J137" s="133" t="str">
        <f aca="false">IF($B137="","",INDEX('CARNET DE SOUDURE'!$AR$7:$AR$3006,MATCH(126,'CARNET DE SOUDURE'!$AT$7:$AT$3006,0)))</f>
        <v/>
      </c>
      <c r="K137" s="129"/>
      <c r="L137" s="129"/>
    </row>
    <row r="138" customFormat="false" ht="15" hidden="false" customHeight="false" outlineLevel="0" collapsed="false">
      <c r="B138" s="125" t="str">
        <f aca="false">IF(127&gt;$I$4,"",127)</f>
        <v/>
      </c>
      <c r="C138" s="125" t="str">
        <f aca="false">IF($B138="","",INDEX('CARNET DE SOUDURE'!$B$7:$B$3006,MATCH(127,'CARNET DE SOUDURE'!$AT$7:$AT$3006,0)))</f>
        <v/>
      </c>
      <c r="D138" s="125" t="str">
        <f aca="false">IF($B138="","",INDEX('CARNET DE SOUDURE'!$E$7:$E$3006,MATCH(127,'CARNET DE SOUDURE'!$AT$7:$AT$3006,0)))</f>
        <v/>
      </c>
      <c r="E138" s="125" t="str">
        <f aca="false">IF($B138="","",INDEX('CARNET DE SOUDURE'!$D$7:$D$3006,MATCH(127,'CARNET DE SOUDURE'!$AT$7:$AT$3006,0)))</f>
        <v/>
      </c>
      <c r="F138" s="125" t="str">
        <f aca="false">IF($B138="","",INDEX('CARNET DE SOUDURE'!$R$7:$R$3006,MATCH(127,'CARNET DE SOUDURE'!$AT$7:$AT$3006,0))&amp;IF(INDEX('CARNET DE SOUDURE'!$S$7:$S$3006,MATCH(127,'CARNET DE SOUDURE'!$AT$7:$AT$3006,0))&lt;&gt;""," / "&amp;INDEX('CARNET DE SOUDURE'!$S$7:$S$3006,MATCH(127,'CARNET DE SOUDURE'!$AT$7:$AT$3006,0)),"")&amp;IF(INDEX('CARNET DE SOUDURE'!$T$7:$T$3006,MATCH(127,'CARNET DE SOUDURE'!$AT$7:$AT$3006,0))&lt;&gt;""," / "&amp;INDEX('CARNET DE SOUDURE'!$T$7:$T$3006,MATCH(127,'CARNET DE SOUDURE'!$AT$7:$AT$3006,0)),""))</f>
        <v/>
      </c>
      <c r="G138" s="126" t="str">
        <f aca="false">IF($B138="","",INDEX('CARNET DE SOUDURE'!$U$7:$U$3006,MATCH(127,'CARNET DE SOUDURE'!$AT$7:$AT$3006,0)))</f>
        <v/>
      </c>
      <c r="H138" s="127" t="str">
        <f aca="false">IF($B138="","",INDEX('CARNET DE SOUDURE'!$AQ$7:$AQ$3006,MATCH(127,'CARNET DE SOUDURE'!$AT$7:$AT$3006,0)))</f>
        <v/>
      </c>
      <c r="I138" s="128" t="str">
        <f aca="false">IF($B138="","",INDEX('CARNET DE SOUDURE'!$AO$7:$AO$3006,MATCH(127,'CARNET DE SOUDURE'!$AT$7:$AT$3006,0)))</f>
        <v/>
      </c>
      <c r="J138" s="128" t="str">
        <f aca="false">IF($B138="","",INDEX('CARNET DE SOUDURE'!$AR$7:$AR$3006,MATCH(127,'CARNET DE SOUDURE'!$AT$7:$AT$3006,0)))</f>
        <v/>
      </c>
      <c r="K138" s="129"/>
      <c r="L138" s="129"/>
    </row>
    <row r="139" customFormat="false" ht="15" hidden="false" customHeight="false" outlineLevel="0" collapsed="false">
      <c r="B139" s="130" t="str">
        <f aca="false">IF(128&gt;$I$4,"",128)</f>
        <v/>
      </c>
      <c r="C139" s="130" t="str">
        <f aca="false">IF($B139="","",INDEX('CARNET DE SOUDURE'!$B$7:$B$3006,MATCH(128,'CARNET DE SOUDURE'!$AT$7:$AT$3006,0)))</f>
        <v/>
      </c>
      <c r="D139" s="130" t="str">
        <f aca="false">IF($B139="","",INDEX('CARNET DE SOUDURE'!$E$7:$E$3006,MATCH(128,'CARNET DE SOUDURE'!$AT$7:$AT$3006,0)))</f>
        <v/>
      </c>
      <c r="E139" s="130" t="str">
        <f aca="false">IF($B139="","",INDEX('CARNET DE SOUDURE'!$D$7:$D$3006,MATCH(128,'CARNET DE SOUDURE'!$AT$7:$AT$3006,0)))</f>
        <v/>
      </c>
      <c r="F139" s="130" t="str">
        <f aca="false">IF($B139="","",INDEX('CARNET DE SOUDURE'!$R$7:$R$3006,MATCH(128,'CARNET DE SOUDURE'!$AT$7:$AT$3006,0))&amp;IF(INDEX('CARNET DE SOUDURE'!$S$7:$S$3006,MATCH(128,'CARNET DE SOUDURE'!$AT$7:$AT$3006,0))&lt;&gt;""," / "&amp;INDEX('CARNET DE SOUDURE'!$S$7:$S$3006,MATCH(128,'CARNET DE SOUDURE'!$AT$7:$AT$3006,0)),"")&amp;IF(INDEX('CARNET DE SOUDURE'!$T$7:$T$3006,MATCH(128,'CARNET DE SOUDURE'!$AT$7:$AT$3006,0))&lt;&gt;""," / "&amp;INDEX('CARNET DE SOUDURE'!$T$7:$T$3006,MATCH(128,'CARNET DE SOUDURE'!$AT$7:$AT$3006,0)),""))</f>
        <v/>
      </c>
      <c r="G139" s="131" t="str">
        <f aca="false">IF($B139="","",INDEX('CARNET DE SOUDURE'!$U$7:$U$3006,MATCH(128,'CARNET DE SOUDURE'!$AT$7:$AT$3006,0)))</f>
        <v/>
      </c>
      <c r="H139" s="132" t="str">
        <f aca="false">IF($B139="","",INDEX('CARNET DE SOUDURE'!$AQ$7:$AQ$3006,MATCH(128,'CARNET DE SOUDURE'!$AT$7:$AT$3006,0)))</f>
        <v/>
      </c>
      <c r="I139" s="133" t="str">
        <f aca="false">IF($B139="","",INDEX('CARNET DE SOUDURE'!$AO$7:$AO$3006,MATCH(128,'CARNET DE SOUDURE'!$AT$7:$AT$3006,0)))</f>
        <v/>
      </c>
      <c r="J139" s="133" t="str">
        <f aca="false">IF($B139="","",INDEX('CARNET DE SOUDURE'!$AR$7:$AR$3006,MATCH(128,'CARNET DE SOUDURE'!$AT$7:$AT$3006,0)))</f>
        <v/>
      </c>
      <c r="K139" s="129"/>
      <c r="L139" s="129"/>
    </row>
    <row r="140" customFormat="false" ht="15" hidden="false" customHeight="false" outlineLevel="0" collapsed="false">
      <c r="B140" s="125" t="str">
        <f aca="false">IF(129&gt;$I$4,"",129)</f>
        <v/>
      </c>
      <c r="C140" s="125" t="str">
        <f aca="false">IF($B140="","",INDEX('CARNET DE SOUDURE'!$B$7:$B$3006,MATCH(129,'CARNET DE SOUDURE'!$AT$7:$AT$3006,0)))</f>
        <v/>
      </c>
      <c r="D140" s="125" t="str">
        <f aca="false">IF($B140="","",INDEX('CARNET DE SOUDURE'!$E$7:$E$3006,MATCH(129,'CARNET DE SOUDURE'!$AT$7:$AT$3006,0)))</f>
        <v/>
      </c>
      <c r="E140" s="125" t="str">
        <f aca="false">IF($B140="","",INDEX('CARNET DE SOUDURE'!$D$7:$D$3006,MATCH(129,'CARNET DE SOUDURE'!$AT$7:$AT$3006,0)))</f>
        <v/>
      </c>
      <c r="F140" s="125" t="str">
        <f aca="false">IF($B140="","",INDEX('CARNET DE SOUDURE'!$R$7:$R$3006,MATCH(129,'CARNET DE SOUDURE'!$AT$7:$AT$3006,0))&amp;IF(INDEX('CARNET DE SOUDURE'!$S$7:$S$3006,MATCH(129,'CARNET DE SOUDURE'!$AT$7:$AT$3006,0))&lt;&gt;""," / "&amp;INDEX('CARNET DE SOUDURE'!$S$7:$S$3006,MATCH(129,'CARNET DE SOUDURE'!$AT$7:$AT$3006,0)),"")&amp;IF(INDEX('CARNET DE SOUDURE'!$T$7:$T$3006,MATCH(129,'CARNET DE SOUDURE'!$AT$7:$AT$3006,0))&lt;&gt;""," / "&amp;INDEX('CARNET DE SOUDURE'!$T$7:$T$3006,MATCH(129,'CARNET DE SOUDURE'!$AT$7:$AT$3006,0)),""))</f>
        <v/>
      </c>
      <c r="G140" s="126" t="str">
        <f aca="false">IF($B140="","",INDEX('CARNET DE SOUDURE'!$U$7:$U$3006,MATCH(129,'CARNET DE SOUDURE'!$AT$7:$AT$3006,0)))</f>
        <v/>
      </c>
      <c r="H140" s="127" t="str">
        <f aca="false">IF($B140="","",INDEX('CARNET DE SOUDURE'!$AQ$7:$AQ$3006,MATCH(129,'CARNET DE SOUDURE'!$AT$7:$AT$3006,0)))</f>
        <v/>
      </c>
      <c r="I140" s="128" t="str">
        <f aca="false">IF($B140="","",INDEX('CARNET DE SOUDURE'!$AO$7:$AO$3006,MATCH(129,'CARNET DE SOUDURE'!$AT$7:$AT$3006,0)))</f>
        <v/>
      </c>
      <c r="J140" s="128" t="str">
        <f aca="false">IF($B140="","",INDEX('CARNET DE SOUDURE'!$AR$7:$AR$3006,MATCH(129,'CARNET DE SOUDURE'!$AT$7:$AT$3006,0)))</f>
        <v/>
      </c>
      <c r="K140" s="129"/>
      <c r="L140" s="129"/>
    </row>
    <row r="141" customFormat="false" ht="15" hidden="false" customHeight="false" outlineLevel="0" collapsed="false">
      <c r="B141" s="130" t="str">
        <f aca="false">IF(130&gt;$I$4,"",130)</f>
        <v/>
      </c>
      <c r="C141" s="130" t="str">
        <f aca="false">IF($B141="","",INDEX('CARNET DE SOUDURE'!$B$7:$B$3006,MATCH(130,'CARNET DE SOUDURE'!$AT$7:$AT$3006,0)))</f>
        <v/>
      </c>
      <c r="D141" s="130" t="str">
        <f aca="false">IF($B141="","",INDEX('CARNET DE SOUDURE'!$E$7:$E$3006,MATCH(130,'CARNET DE SOUDURE'!$AT$7:$AT$3006,0)))</f>
        <v/>
      </c>
      <c r="E141" s="130" t="str">
        <f aca="false">IF($B141="","",INDEX('CARNET DE SOUDURE'!$D$7:$D$3006,MATCH(130,'CARNET DE SOUDURE'!$AT$7:$AT$3006,0)))</f>
        <v/>
      </c>
      <c r="F141" s="130" t="str">
        <f aca="false">IF($B141="","",INDEX('CARNET DE SOUDURE'!$R$7:$R$3006,MATCH(130,'CARNET DE SOUDURE'!$AT$7:$AT$3006,0))&amp;IF(INDEX('CARNET DE SOUDURE'!$S$7:$S$3006,MATCH(130,'CARNET DE SOUDURE'!$AT$7:$AT$3006,0))&lt;&gt;""," / "&amp;INDEX('CARNET DE SOUDURE'!$S$7:$S$3006,MATCH(130,'CARNET DE SOUDURE'!$AT$7:$AT$3006,0)),"")&amp;IF(INDEX('CARNET DE SOUDURE'!$T$7:$T$3006,MATCH(130,'CARNET DE SOUDURE'!$AT$7:$AT$3006,0))&lt;&gt;""," / "&amp;INDEX('CARNET DE SOUDURE'!$T$7:$T$3006,MATCH(130,'CARNET DE SOUDURE'!$AT$7:$AT$3006,0)),""))</f>
        <v/>
      </c>
      <c r="G141" s="131" t="str">
        <f aca="false">IF($B141="","",INDEX('CARNET DE SOUDURE'!$U$7:$U$3006,MATCH(130,'CARNET DE SOUDURE'!$AT$7:$AT$3006,0)))</f>
        <v/>
      </c>
      <c r="H141" s="132" t="str">
        <f aca="false">IF($B141="","",INDEX('CARNET DE SOUDURE'!$AQ$7:$AQ$3006,MATCH(130,'CARNET DE SOUDURE'!$AT$7:$AT$3006,0)))</f>
        <v/>
      </c>
      <c r="I141" s="133" t="str">
        <f aca="false">IF($B141="","",INDEX('CARNET DE SOUDURE'!$AO$7:$AO$3006,MATCH(130,'CARNET DE SOUDURE'!$AT$7:$AT$3006,0)))</f>
        <v/>
      </c>
      <c r="J141" s="133" t="str">
        <f aca="false">IF($B141="","",INDEX('CARNET DE SOUDURE'!$AR$7:$AR$3006,MATCH(130,'CARNET DE SOUDURE'!$AT$7:$AT$3006,0)))</f>
        <v/>
      </c>
      <c r="K141" s="129"/>
      <c r="L141" s="129"/>
    </row>
    <row r="142" customFormat="false" ht="15" hidden="false" customHeight="false" outlineLevel="0" collapsed="false">
      <c r="B142" s="125" t="str">
        <f aca="false">IF(131&gt;$I$4,"",131)</f>
        <v/>
      </c>
      <c r="C142" s="125" t="str">
        <f aca="false">IF($B142="","",INDEX('CARNET DE SOUDURE'!$B$7:$B$3006,MATCH(131,'CARNET DE SOUDURE'!$AT$7:$AT$3006,0)))</f>
        <v/>
      </c>
      <c r="D142" s="125" t="str">
        <f aca="false">IF($B142="","",INDEX('CARNET DE SOUDURE'!$E$7:$E$3006,MATCH(131,'CARNET DE SOUDURE'!$AT$7:$AT$3006,0)))</f>
        <v/>
      </c>
      <c r="E142" s="125" t="str">
        <f aca="false">IF($B142="","",INDEX('CARNET DE SOUDURE'!$D$7:$D$3006,MATCH(131,'CARNET DE SOUDURE'!$AT$7:$AT$3006,0)))</f>
        <v/>
      </c>
      <c r="F142" s="125" t="str">
        <f aca="false">IF($B142="","",INDEX('CARNET DE SOUDURE'!$R$7:$R$3006,MATCH(131,'CARNET DE SOUDURE'!$AT$7:$AT$3006,0))&amp;IF(INDEX('CARNET DE SOUDURE'!$S$7:$S$3006,MATCH(131,'CARNET DE SOUDURE'!$AT$7:$AT$3006,0))&lt;&gt;""," / "&amp;INDEX('CARNET DE SOUDURE'!$S$7:$S$3006,MATCH(131,'CARNET DE SOUDURE'!$AT$7:$AT$3006,0)),"")&amp;IF(INDEX('CARNET DE SOUDURE'!$T$7:$T$3006,MATCH(131,'CARNET DE SOUDURE'!$AT$7:$AT$3006,0))&lt;&gt;""," / "&amp;INDEX('CARNET DE SOUDURE'!$T$7:$T$3006,MATCH(131,'CARNET DE SOUDURE'!$AT$7:$AT$3006,0)),""))</f>
        <v/>
      </c>
      <c r="G142" s="126" t="str">
        <f aca="false">IF($B142="","",INDEX('CARNET DE SOUDURE'!$U$7:$U$3006,MATCH(131,'CARNET DE SOUDURE'!$AT$7:$AT$3006,0)))</f>
        <v/>
      </c>
      <c r="H142" s="127" t="str">
        <f aca="false">IF($B142="","",INDEX('CARNET DE SOUDURE'!$AQ$7:$AQ$3006,MATCH(131,'CARNET DE SOUDURE'!$AT$7:$AT$3006,0)))</f>
        <v/>
      </c>
      <c r="I142" s="128" t="str">
        <f aca="false">IF($B142="","",INDEX('CARNET DE SOUDURE'!$AO$7:$AO$3006,MATCH(131,'CARNET DE SOUDURE'!$AT$7:$AT$3006,0)))</f>
        <v/>
      </c>
      <c r="J142" s="128" t="str">
        <f aca="false">IF($B142="","",INDEX('CARNET DE SOUDURE'!$AR$7:$AR$3006,MATCH(131,'CARNET DE SOUDURE'!$AT$7:$AT$3006,0)))</f>
        <v/>
      </c>
      <c r="K142" s="129"/>
      <c r="L142" s="129"/>
    </row>
    <row r="143" customFormat="false" ht="15" hidden="false" customHeight="false" outlineLevel="0" collapsed="false">
      <c r="B143" s="130" t="str">
        <f aca="false">IF(132&gt;$I$4,"",132)</f>
        <v/>
      </c>
      <c r="C143" s="130" t="str">
        <f aca="false">IF($B143="","",INDEX('CARNET DE SOUDURE'!$B$7:$B$3006,MATCH(132,'CARNET DE SOUDURE'!$AT$7:$AT$3006,0)))</f>
        <v/>
      </c>
      <c r="D143" s="130" t="str">
        <f aca="false">IF($B143="","",INDEX('CARNET DE SOUDURE'!$E$7:$E$3006,MATCH(132,'CARNET DE SOUDURE'!$AT$7:$AT$3006,0)))</f>
        <v/>
      </c>
      <c r="E143" s="130" t="str">
        <f aca="false">IF($B143="","",INDEX('CARNET DE SOUDURE'!$D$7:$D$3006,MATCH(132,'CARNET DE SOUDURE'!$AT$7:$AT$3006,0)))</f>
        <v/>
      </c>
      <c r="F143" s="130" t="str">
        <f aca="false">IF($B143="","",INDEX('CARNET DE SOUDURE'!$R$7:$R$3006,MATCH(132,'CARNET DE SOUDURE'!$AT$7:$AT$3006,0))&amp;IF(INDEX('CARNET DE SOUDURE'!$S$7:$S$3006,MATCH(132,'CARNET DE SOUDURE'!$AT$7:$AT$3006,0))&lt;&gt;""," / "&amp;INDEX('CARNET DE SOUDURE'!$S$7:$S$3006,MATCH(132,'CARNET DE SOUDURE'!$AT$7:$AT$3006,0)),"")&amp;IF(INDEX('CARNET DE SOUDURE'!$T$7:$T$3006,MATCH(132,'CARNET DE SOUDURE'!$AT$7:$AT$3006,0))&lt;&gt;""," / "&amp;INDEX('CARNET DE SOUDURE'!$T$7:$T$3006,MATCH(132,'CARNET DE SOUDURE'!$AT$7:$AT$3006,0)),""))</f>
        <v/>
      </c>
      <c r="G143" s="131" t="str">
        <f aca="false">IF($B143="","",INDEX('CARNET DE SOUDURE'!$U$7:$U$3006,MATCH(132,'CARNET DE SOUDURE'!$AT$7:$AT$3006,0)))</f>
        <v/>
      </c>
      <c r="H143" s="132" t="str">
        <f aca="false">IF($B143="","",INDEX('CARNET DE SOUDURE'!$AQ$7:$AQ$3006,MATCH(132,'CARNET DE SOUDURE'!$AT$7:$AT$3006,0)))</f>
        <v/>
      </c>
      <c r="I143" s="133" t="str">
        <f aca="false">IF($B143="","",INDEX('CARNET DE SOUDURE'!$AO$7:$AO$3006,MATCH(132,'CARNET DE SOUDURE'!$AT$7:$AT$3006,0)))</f>
        <v/>
      </c>
      <c r="J143" s="133" t="str">
        <f aca="false">IF($B143="","",INDEX('CARNET DE SOUDURE'!$AR$7:$AR$3006,MATCH(132,'CARNET DE SOUDURE'!$AT$7:$AT$3006,0)))</f>
        <v/>
      </c>
      <c r="K143" s="129"/>
      <c r="L143" s="129"/>
    </row>
    <row r="144" customFormat="false" ht="15" hidden="false" customHeight="false" outlineLevel="0" collapsed="false">
      <c r="B144" s="125" t="str">
        <f aca="false">IF(133&gt;$I$4,"",133)</f>
        <v/>
      </c>
      <c r="C144" s="125" t="str">
        <f aca="false">IF($B144="","",INDEX('CARNET DE SOUDURE'!$B$7:$B$3006,MATCH(133,'CARNET DE SOUDURE'!$AT$7:$AT$3006,0)))</f>
        <v/>
      </c>
      <c r="D144" s="125" t="str">
        <f aca="false">IF($B144="","",INDEX('CARNET DE SOUDURE'!$E$7:$E$3006,MATCH(133,'CARNET DE SOUDURE'!$AT$7:$AT$3006,0)))</f>
        <v/>
      </c>
      <c r="E144" s="125" t="str">
        <f aca="false">IF($B144="","",INDEX('CARNET DE SOUDURE'!$D$7:$D$3006,MATCH(133,'CARNET DE SOUDURE'!$AT$7:$AT$3006,0)))</f>
        <v/>
      </c>
      <c r="F144" s="125" t="str">
        <f aca="false">IF($B144="","",INDEX('CARNET DE SOUDURE'!$R$7:$R$3006,MATCH(133,'CARNET DE SOUDURE'!$AT$7:$AT$3006,0))&amp;IF(INDEX('CARNET DE SOUDURE'!$S$7:$S$3006,MATCH(133,'CARNET DE SOUDURE'!$AT$7:$AT$3006,0))&lt;&gt;""," / "&amp;INDEX('CARNET DE SOUDURE'!$S$7:$S$3006,MATCH(133,'CARNET DE SOUDURE'!$AT$7:$AT$3006,0)),"")&amp;IF(INDEX('CARNET DE SOUDURE'!$T$7:$T$3006,MATCH(133,'CARNET DE SOUDURE'!$AT$7:$AT$3006,0))&lt;&gt;""," / "&amp;INDEX('CARNET DE SOUDURE'!$T$7:$T$3006,MATCH(133,'CARNET DE SOUDURE'!$AT$7:$AT$3006,0)),""))</f>
        <v/>
      </c>
      <c r="G144" s="126" t="str">
        <f aca="false">IF($B144="","",INDEX('CARNET DE SOUDURE'!$U$7:$U$3006,MATCH(133,'CARNET DE SOUDURE'!$AT$7:$AT$3006,0)))</f>
        <v/>
      </c>
      <c r="H144" s="127" t="str">
        <f aca="false">IF($B144="","",INDEX('CARNET DE SOUDURE'!$AQ$7:$AQ$3006,MATCH(133,'CARNET DE SOUDURE'!$AT$7:$AT$3006,0)))</f>
        <v/>
      </c>
      <c r="I144" s="128" t="str">
        <f aca="false">IF($B144="","",INDEX('CARNET DE SOUDURE'!$AO$7:$AO$3006,MATCH(133,'CARNET DE SOUDURE'!$AT$7:$AT$3006,0)))</f>
        <v/>
      </c>
      <c r="J144" s="128" t="str">
        <f aca="false">IF($B144="","",INDEX('CARNET DE SOUDURE'!$AR$7:$AR$3006,MATCH(133,'CARNET DE SOUDURE'!$AT$7:$AT$3006,0)))</f>
        <v/>
      </c>
      <c r="K144" s="129"/>
      <c r="L144" s="129"/>
    </row>
    <row r="145" customFormat="false" ht="15" hidden="false" customHeight="false" outlineLevel="0" collapsed="false">
      <c r="B145" s="130" t="str">
        <f aca="false">IF(134&gt;$I$4,"",134)</f>
        <v/>
      </c>
      <c r="C145" s="130" t="str">
        <f aca="false">IF($B145="","",INDEX('CARNET DE SOUDURE'!$B$7:$B$3006,MATCH(134,'CARNET DE SOUDURE'!$AT$7:$AT$3006,0)))</f>
        <v/>
      </c>
      <c r="D145" s="130" t="str">
        <f aca="false">IF($B145="","",INDEX('CARNET DE SOUDURE'!$E$7:$E$3006,MATCH(134,'CARNET DE SOUDURE'!$AT$7:$AT$3006,0)))</f>
        <v/>
      </c>
      <c r="E145" s="130" t="str">
        <f aca="false">IF($B145="","",INDEX('CARNET DE SOUDURE'!$D$7:$D$3006,MATCH(134,'CARNET DE SOUDURE'!$AT$7:$AT$3006,0)))</f>
        <v/>
      </c>
      <c r="F145" s="130" t="str">
        <f aca="false">IF($B145="","",INDEX('CARNET DE SOUDURE'!$R$7:$R$3006,MATCH(134,'CARNET DE SOUDURE'!$AT$7:$AT$3006,0))&amp;IF(INDEX('CARNET DE SOUDURE'!$S$7:$S$3006,MATCH(134,'CARNET DE SOUDURE'!$AT$7:$AT$3006,0))&lt;&gt;""," / "&amp;INDEX('CARNET DE SOUDURE'!$S$7:$S$3006,MATCH(134,'CARNET DE SOUDURE'!$AT$7:$AT$3006,0)),"")&amp;IF(INDEX('CARNET DE SOUDURE'!$T$7:$T$3006,MATCH(134,'CARNET DE SOUDURE'!$AT$7:$AT$3006,0))&lt;&gt;""," / "&amp;INDEX('CARNET DE SOUDURE'!$T$7:$T$3006,MATCH(134,'CARNET DE SOUDURE'!$AT$7:$AT$3006,0)),""))</f>
        <v/>
      </c>
      <c r="G145" s="131" t="str">
        <f aca="false">IF($B145="","",INDEX('CARNET DE SOUDURE'!$U$7:$U$3006,MATCH(134,'CARNET DE SOUDURE'!$AT$7:$AT$3006,0)))</f>
        <v/>
      </c>
      <c r="H145" s="132" t="str">
        <f aca="false">IF($B145="","",INDEX('CARNET DE SOUDURE'!$AQ$7:$AQ$3006,MATCH(134,'CARNET DE SOUDURE'!$AT$7:$AT$3006,0)))</f>
        <v/>
      </c>
      <c r="I145" s="133" t="str">
        <f aca="false">IF($B145="","",INDEX('CARNET DE SOUDURE'!$AO$7:$AO$3006,MATCH(134,'CARNET DE SOUDURE'!$AT$7:$AT$3006,0)))</f>
        <v/>
      </c>
      <c r="J145" s="133" t="str">
        <f aca="false">IF($B145="","",INDEX('CARNET DE SOUDURE'!$AR$7:$AR$3006,MATCH(134,'CARNET DE SOUDURE'!$AT$7:$AT$3006,0)))</f>
        <v/>
      </c>
      <c r="K145" s="129"/>
      <c r="L145" s="129"/>
    </row>
    <row r="146" customFormat="false" ht="15" hidden="false" customHeight="false" outlineLevel="0" collapsed="false">
      <c r="B146" s="125" t="str">
        <f aca="false">IF(135&gt;$I$4,"",135)</f>
        <v/>
      </c>
      <c r="C146" s="125" t="str">
        <f aca="false">IF($B146="","",INDEX('CARNET DE SOUDURE'!$B$7:$B$3006,MATCH(135,'CARNET DE SOUDURE'!$AT$7:$AT$3006,0)))</f>
        <v/>
      </c>
      <c r="D146" s="125" t="str">
        <f aca="false">IF($B146="","",INDEX('CARNET DE SOUDURE'!$E$7:$E$3006,MATCH(135,'CARNET DE SOUDURE'!$AT$7:$AT$3006,0)))</f>
        <v/>
      </c>
      <c r="E146" s="125" t="str">
        <f aca="false">IF($B146="","",INDEX('CARNET DE SOUDURE'!$D$7:$D$3006,MATCH(135,'CARNET DE SOUDURE'!$AT$7:$AT$3006,0)))</f>
        <v/>
      </c>
      <c r="F146" s="125" t="str">
        <f aca="false">IF($B146="","",INDEX('CARNET DE SOUDURE'!$R$7:$R$3006,MATCH(135,'CARNET DE SOUDURE'!$AT$7:$AT$3006,0))&amp;IF(INDEX('CARNET DE SOUDURE'!$S$7:$S$3006,MATCH(135,'CARNET DE SOUDURE'!$AT$7:$AT$3006,0))&lt;&gt;""," / "&amp;INDEX('CARNET DE SOUDURE'!$S$7:$S$3006,MATCH(135,'CARNET DE SOUDURE'!$AT$7:$AT$3006,0)),"")&amp;IF(INDEX('CARNET DE SOUDURE'!$T$7:$T$3006,MATCH(135,'CARNET DE SOUDURE'!$AT$7:$AT$3006,0))&lt;&gt;""," / "&amp;INDEX('CARNET DE SOUDURE'!$T$7:$T$3006,MATCH(135,'CARNET DE SOUDURE'!$AT$7:$AT$3006,0)),""))</f>
        <v/>
      </c>
      <c r="G146" s="126" t="str">
        <f aca="false">IF($B146="","",INDEX('CARNET DE SOUDURE'!$U$7:$U$3006,MATCH(135,'CARNET DE SOUDURE'!$AT$7:$AT$3006,0)))</f>
        <v/>
      </c>
      <c r="H146" s="127" t="str">
        <f aca="false">IF($B146="","",INDEX('CARNET DE SOUDURE'!$AQ$7:$AQ$3006,MATCH(135,'CARNET DE SOUDURE'!$AT$7:$AT$3006,0)))</f>
        <v/>
      </c>
      <c r="I146" s="128" t="str">
        <f aca="false">IF($B146="","",INDEX('CARNET DE SOUDURE'!$AO$7:$AO$3006,MATCH(135,'CARNET DE SOUDURE'!$AT$7:$AT$3006,0)))</f>
        <v/>
      </c>
      <c r="J146" s="128" t="str">
        <f aca="false">IF($B146="","",INDEX('CARNET DE SOUDURE'!$AR$7:$AR$3006,MATCH(135,'CARNET DE SOUDURE'!$AT$7:$AT$3006,0)))</f>
        <v/>
      </c>
      <c r="K146" s="129"/>
      <c r="L146" s="129"/>
    </row>
    <row r="147" customFormat="false" ht="15" hidden="false" customHeight="false" outlineLevel="0" collapsed="false">
      <c r="B147" s="130" t="str">
        <f aca="false">IF(136&gt;$I$4,"",136)</f>
        <v/>
      </c>
      <c r="C147" s="130" t="str">
        <f aca="false">IF($B147="","",INDEX('CARNET DE SOUDURE'!$B$7:$B$3006,MATCH(136,'CARNET DE SOUDURE'!$AT$7:$AT$3006,0)))</f>
        <v/>
      </c>
      <c r="D147" s="130" t="str">
        <f aca="false">IF($B147="","",INDEX('CARNET DE SOUDURE'!$E$7:$E$3006,MATCH(136,'CARNET DE SOUDURE'!$AT$7:$AT$3006,0)))</f>
        <v/>
      </c>
      <c r="E147" s="130" t="str">
        <f aca="false">IF($B147="","",INDEX('CARNET DE SOUDURE'!$D$7:$D$3006,MATCH(136,'CARNET DE SOUDURE'!$AT$7:$AT$3006,0)))</f>
        <v/>
      </c>
      <c r="F147" s="130" t="str">
        <f aca="false">IF($B147="","",INDEX('CARNET DE SOUDURE'!$R$7:$R$3006,MATCH(136,'CARNET DE SOUDURE'!$AT$7:$AT$3006,0))&amp;IF(INDEX('CARNET DE SOUDURE'!$S$7:$S$3006,MATCH(136,'CARNET DE SOUDURE'!$AT$7:$AT$3006,0))&lt;&gt;""," / "&amp;INDEX('CARNET DE SOUDURE'!$S$7:$S$3006,MATCH(136,'CARNET DE SOUDURE'!$AT$7:$AT$3006,0)),"")&amp;IF(INDEX('CARNET DE SOUDURE'!$T$7:$T$3006,MATCH(136,'CARNET DE SOUDURE'!$AT$7:$AT$3006,0))&lt;&gt;""," / "&amp;INDEX('CARNET DE SOUDURE'!$T$7:$T$3006,MATCH(136,'CARNET DE SOUDURE'!$AT$7:$AT$3006,0)),""))</f>
        <v/>
      </c>
      <c r="G147" s="131" t="str">
        <f aca="false">IF($B147="","",INDEX('CARNET DE SOUDURE'!$U$7:$U$3006,MATCH(136,'CARNET DE SOUDURE'!$AT$7:$AT$3006,0)))</f>
        <v/>
      </c>
      <c r="H147" s="132" t="str">
        <f aca="false">IF($B147="","",INDEX('CARNET DE SOUDURE'!$AQ$7:$AQ$3006,MATCH(136,'CARNET DE SOUDURE'!$AT$7:$AT$3006,0)))</f>
        <v/>
      </c>
      <c r="I147" s="133" t="str">
        <f aca="false">IF($B147="","",INDEX('CARNET DE SOUDURE'!$AO$7:$AO$3006,MATCH(136,'CARNET DE SOUDURE'!$AT$7:$AT$3006,0)))</f>
        <v/>
      </c>
      <c r="J147" s="133" t="str">
        <f aca="false">IF($B147="","",INDEX('CARNET DE SOUDURE'!$AR$7:$AR$3006,MATCH(136,'CARNET DE SOUDURE'!$AT$7:$AT$3006,0)))</f>
        <v/>
      </c>
      <c r="K147" s="129"/>
      <c r="L147" s="129"/>
    </row>
    <row r="148" customFormat="false" ht="15" hidden="false" customHeight="false" outlineLevel="0" collapsed="false">
      <c r="B148" s="125" t="str">
        <f aca="false">IF(137&gt;$I$4,"",137)</f>
        <v/>
      </c>
      <c r="C148" s="125" t="str">
        <f aca="false">IF($B148="","",INDEX('CARNET DE SOUDURE'!$B$7:$B$3006,MATCH(137,'CARNET DE SOUDURE'!$AT$7:$AT$3006,0)))</f>
        <v/>
      </c>
      <c r="D148" s="125" t="str">
        <f aca="false">IF($B148="","",INDEX('CARNET DE SOUDURE'!$E$7:$E$3006,MATCH(137,'CARNET DE SOUDURE'!$AT$7:$AT$3006,0)))</f>
        <v/>
      </c>
      <c r="E148" s="125" t="str">
        <f aca="false">IF($B148="","",INDEX('CARNET DE SOUDURE'!$D$7:$D$3006,MATCH(137,'CARNET DE SOUDURE'!$AT$7:$AT$3006,0)))</f>
        <v/>
      </c>
      <c r="F148" s="125" t="str">
        <f aca="false">IF($B148="","",INDEX('CARNET DE SOUDURE'!$R$7:$R$3006,MATCH(137,'CARNET DE SOUDURE'!$AT$7:$AT$3006,0))&amp;IF(INDEX('CARNET DE SOUDURE'!$S$7:$S$3006,MATCH(137,'CARNET DE SOUDURE'!$AT$7:$AT$3006,0))&lt;&gt;""," / "&amp;INDEX('CARNET DE SOUDURE'!$S$7:$S$3006,MATCH(137,'CARNET DE SOUDURE'!$AT$7:$AT$3006,0)),"")&amp;IF(INDEX('CARNET DE SOUDURE'!$T$7:$T$3006,MATCH(137,'CARNET DE SOUDURE'!$AT$7:$AT$3006,0))&lt;&gt;""," / "&amp;INDEX('CARNET DE SOUDURE'!$T$7:$T$3006,MATCH(137,'CARNET DE SOUDURE'!$AT$7:$AT$3006,0)),""))</f>
        <v/>
      </c>
      <c r="G148" s="126" t="str">
        <f aca="false">IF($B148="","",INDEX('CARNET DE SOUDURE'!$U$7:$U$3006,MATCH(137,'CARNET DE SOUDURE'!$AT$7:$AT$3006,0)))</f>
        <v/>
      </c>
      <c r="H148" s="127" t="str">
        <f aca="false">IF($B148="","",INDEX('CARNET DE SOUDURE'!$AQ$7:$AQ$3006,MATCH(137,'CARNET DE SOUDURE'!$AT$7:$AT$3006,0)))</f>
        <v/>
      </c>
      <c r="I148" s="128" t="str">
        <f aca="false">IF($B148="","",INDEX('CARNET DE SOUDURE'!$AO$7:$AO$3006,MATCH(137,'CARNET DE SOUDURE'!$AT$7:$AT$3006,0)))</f>
        <v/>
      </c>
      <c r="J148" s="128" t="str">
        <f aca="false">IF($B148="","",INDEX('CARNET DE SOUDURE'!$AR$7:$AR$3006,MATCH(137,'CARNET DE SOUDURE'!$AT$7:$AT$3006,0)))</f>
        <v/>
      </c>
      <c r="K148" s="129"/>
      <c r="L148" s="129"/>
    </row>
    <row r="149" customFormat="false" ht="15" hidden="false" customHeight="false" outlineLevel="0" collapsed="false">
      <c r="B149" s="130" t="str">
        <f aca="false">IF(138&gt;$I$4,"",138)</f>
        <v/>
      </c>
      <c r="C149" s="130" t="str">
        <f aca="false">IF($B149="","",INDEX('CARNET DE SOUDURE'!$B$7:$B$3006,MATCH(138,'CARNET DE SOUDURE'!$AT$7:$AT$3006,0)))</f>
        <v/>
      </c>
      <c r="D149" s="130" t="str">
        <f aca="false">IF($B149="","",INDEX('CARNET DE SOUDURE'!$E$7:$E$3006,MATCH(138,'CARNET DE SOUDURE'!$AT$7:$AT$3006,0)))</f>
        <v/>
      </c>
      <c r="E149" s="130" t="str">
        <f aca="false">IF($B149="","",INDEX('CARNET DE SOUDURE'!$D$7:$D$3006,MATCH(138,'CARNET DE SOUDURE'!$AT$7:$AT$3006,0)))</f>
        <v/>
      </c>
      <c r="F149" s="130" t="str">
        <f aca="false">IF($B149="","",INDEX('CARNET DE SOUDURE'!$R$7:$R$3006,MATCH(138,'CARNET DE SOUDURE'!$AT$7:$AT$3006,0))&amp;IF(INDEX('CARNET DE SOUDURE'!$S$7:$S$3006,MATCH(138,'CARNET DE SOUDURE'!$AT$7:$AT$3006,0))&lt;&gt;""," / "&amp;INDEX('CARNET DE SOUDURE'!$S$7:$S$3006,MATCH(138,'CARNET DE SOUDURE'!$AT$7:$AT$3006,0)),"")&amp;IF(INDEX('CARNET DE SOUDURE'!$T$7:$T$3006,MATCH(138,'CARNET DE SOUDURE'!$AT$7:$AT$3006,0))&lt;&gt;""," / "&amp;INDEX('CARNET DE SOUDURE'!$T$7:$T$3006,MATCH(138,'CARNET DE SOUDURE'!$AT$7:$AT$3006,0)),""))</f>
        <v/>
      </c>
      <c r="G149" s="131" t="str">
        <f aca="false">IF($B149="","",INDEX('CARNET DE SOUDURE'!$U$7:$U$3006,MATCH(138,'CARNET DE SOUDURE'!$AT$7:$AT$3006,0)))</f>
        <v/>
      </c>
      <c r="H149" s="132" t="str">
        <f aca="false">IF($B149="","",INDEX('CARNET DE SOUDURE'!$AQ$7:$AQ$3006,MATCH(138,'CARNET DE SOUDURE'!$AT$7:$AT$3006,0)))</f>
        <v/>
      </c>
      <c r="I149" s="133" t="str">
        <f aca="false">IF($B149="","",INDEX('CARNET DE SOUDURE'!$AO$7:$AO$3006,MATCH(138,'CARNET DE SOUDURE'!$AT$7:$AT$3006,0)))</f>
        <v/>
      </c>
      <c r="J149" s="133" t="str">
        <f aca="false">IF($B149="","",INDEX('CARNET DE SOUDURE'!$AR$7:$AR$3006,MATCH(138,'CARNET DE SOUDURE'!$AT$7:$AT$3006,0)))</f>
        <v/>
      </c>
      <c r="K149" s="129"/>
      <c r="L149" s="129"/>
    </row>
    <row r="150" customFormat="false" ht="15" hidden="false" customHeight="false" outlineLevel="0" collapsed="false">
      <c r="B150" s="125" t="str">
        <f aca="false">IF(139&gt;$I$4,"",139)</f>
        <v/>
      </c>
      <c r="C150" s="125" t="str">
        <f aca="false">IF($B150="","",INDEX('CARNET DE SOUDURE'!$B$7:$B$3006,MATCH(139,'CARNET DE SOUDURE'!$AT$7:$AT$3006,0)))</f>
        <v/>
      </c>
      <c r="D150" s="125" t="str">
        <f aca="false">IF($B150="","",INDEX('CARNET DE SOUDURE'!$E$7:$E$3006,MATCH(139,'CARNET DE SOUDURE'!$AT$7:$AT$3006,0)))</f>
        <v/>
      </c>
      <c r="E150" s="125" t="str">
        <f aca="false">IF($B150="","",INDEX('CARNET DE SOUDURE'!$D$7:$D$3006,MATCH(139,'CARNET DE SOUDURE'!$AT$7:$AT$3006,0)))</f>
        <v/>
      </c>
      <c r="F150" s="125" t="str">
        <f aca="false">IF($B150="","",INDEX('CARNET DE SOUDURE'!$R$7:$R$3006,MATCH(139,'CARNET DE SOUDURE'!$AT$7:$AT$3006,0))&amp;IF(INDEX('CARNET DE SOUDURE'!$S$7:$S$3006,MATCH(139,'CARNET DE SOUDURE'!$AT$7:$AT$3006,0))&lt;&gt;""," / "&amp;INDEX('CARNET DE SOUDURE'!$S$7:$S$3006,MATCH(139,'CARNET DE SOUDURE'!$AT$7:$AT$3006,0)),"")&amp;IF(INDEX('CARNET DE SOUDURE'!$T$7:$T$3006,MATCH(139,'CARNET DE SOUDURE'!$AT$7:$AT$3006,0))&lt;&gt;""," / "&amp;INDEX('CARNET DE SOUDURE'!$T$7:$T$3006,MATCH(139,'CARNET DE SOUDURE'!$AT$7:$AT$3006,0)),""))</f>
        <v/>
      </c>
      <c r="G150" s="126" t="str">
        <f aca="false">IF($B150="","",INDEX('CARNET DE SOUDURE'!$U$7:$U$3006,MATCH(139,'CARNET DE SOUDURE'!$AT$7:$AT$3006,0)))</f>
        <v/>
      </c>
      <c r="H150" s="127" t="str">
        <f aca="false">IF($B150="","",INDEX('CARNET DE SOUDURE'!$AQ$7:$AQ$3006,MATCH(139,'CARNET DE SOUDURE'!$AT$7:$AT$3006,0)))</f>
        <v/>
      </c>
      <c r="I150" s="128" t="str">
        <f aca="false">IF($B150="","",INDEX('CARNET DE SOUDURE'!$AO$7:$AO$3006,MATCH(139,'CARNET DE SOUDURE'!$AT$7:$AT$3006,0)))</f>
        <v/>
      </c>
      <c r="J150" s="128" t="str">
        <f aca="false">IF($B150="","",INDEX('CARNET DE SOUDURE'!$AR$7:$AR$3006,MATCH(139,'CARNET DE SOUDURE'!$AT$7:$AT$3006,0)))</f>
        <v/>
      </c>
      <c r="K150" s="129"/>
      <c r="L150" s="129"/>
    </row>
    <row r="151" customFormat="false" ht="15" hidden="false" customHeight="false" outlineLevel="0" collapsed="false">
      <c r="B151" s="130" t="str">
        <f aca="false">IF(140&gt;$I$4,"",140)</f>
        <v/>
      </c>
      <c r="C151" s="130" t="str">
        <f aca="false">IF($B151="","",INDEX('CARNET DE SOUDURE'!$B$7:$B$3006,MATCH(140,'CARNET DE SOUDURE'!$AT$7:$AT$3006,0)))</f>
        <v/>
      </c>
      <c r="D151" s="130" t="str">
        <f aca="false">IF($B151="","",INDEX('CARNET DE SOUDURE'!$E$7:$E$3006,MATCH(140,'CARNET DE SOUDURE'!$AT$7:$AT$3006,0)))</f>
        <v/>
      </c>
      <c r="E151" s="130" t="str">
        <f aca="false">IF($B151="","",INDEX('CARNET DE SOUDURE'!$D$7:$D$3006,MATCH(140,'CARNET DE SOUDURE'!$AT$7:$AT$3006,0)))</f>
        <v/>
      </c>
      <c r="F151" s="130" t="str">
        <f aca="false">IF($B151="","",INDEX('CARNET DE SOUDURE'!$R$7:$R$3006,MATCH(140,'CARNET DE SOUDURE'!$AT$7:$AT$3006,0))&amp;IF(INDEX('CARNET DE SOUDURE'!$S$7:$S$3006,MATCH(140,'CARNET DE SOUDURE'!$AT$7:$AT$3006,0))&lt;&gt;""," / "&amp;INDEX('CARNET DE SOUDURE'!$S$7:$S$3006,MATCH(140,'CARNET DE SOUDURE'!$AT$7:$AT$3006,0)),"")&amp;IF(INDEX('CARNET DE SOUDURE'!$T$7:$T$3006,MATCH(140,'CARNET DE SOUDURE'!$AT$7:$AT$3006,0))&lt;&gt;""," / "&amp;INDEX('CARNET DE SOUDURE'!$T$7:$T$3006,MATCH(140,'CARNET DE SOUDURE'!$AT$7:$AT$3006,0)),""))</f>
        <v/>
      </c>
      <c r="G151" s="131" t="str">
        <f aca="false">IF($B151="","",INDEX('CARNET DE SOUDURE'!$U$7:$U$3006,MATCH(140,'CARNET DE SOUDURE'!$AT$7:$AT$3006,0)))</f>
        <v/>
      </c>
      <c r="H151" s="132" t="str">
        <f aca="false">IF($B151="","",INDEX('CARNET DE SOUDURE'!$AQ$7:$AQ$3006,MATCH(140,'CARNET DE SOUDURE'!$AT$7:$AT$3006,0)))</f>
        <v/>
      </c>
      <c r="I151" s="133" t="str">
        <f aca="false">IF($B151="","",INDEX('CARNET DE SOUDURE'!$AO$7:$AO$3006,MATCH(140,'CARNET DE SOUDURE'!$AT$7:$AT$3006,0)))</f>
        <v/>
      </c>
      <c r="J151" s="133" t="str">
        <f aca="false">IF($B151="","",INDEX('CARNET DE SOUDURE'!$AR$7:$AR$3006,MATCH(140,'CARNET DE SOUDURE'!$AT$7:$AT$3006,0)))</f>
        <v/>
      </c>
      <c r="K151" s="129"/>
      <c r="L151" s="129"/>
    </row>
    <row r="152" customFormat="false" ht="15" hidden="false" customHeight="false" outlineLevel="0" collapsed="false">
      <c r="B152" s="125" t="str">
        <f aca="false">IF(141&gt;$I$4,"",141)</f>
        <v/>
      </c>
      <c r="C152" s="125" t="str">
        <f aca="false">IF($B152="","",INDEX('CARNET DE SOUDURE'!$B$7:$B$3006,MATCH(141,'CARNET DE SOUDURE'!$AT$7:$AT$3006,0)))</f>
        <v/>
      </c>
      <c r="D152" s="125" t="str">
        <f aca="false">IF($B152="","",INDEX('CARNET DE SOUDURE'!$E$7:$E$3006,MATCH(141,'CARNET DE SOUDURE'!$AT$7:$AT$3006,0)))</f>
        <v/>
      </c>
      <c r="E152" s="125" t="str">
        <f aca="false">IF($B152="","",INDEX('CARNET DE SOUDURE'!$D$7:$D$3006,MATCH(141,'CARNET DE SOUDURE'!$AT$7:$AT$3006,0)))</f>
        <v/>
      </c>
      <c r="F152" s="125" t="str">
        <f aca="false">IF($B152="","",INDEX('CARNET DE SOUDURE'!$R$7:$R$3006,MATCH(141,'CARNET DE SOUDURE'!$AT$7:$AT$3006,0))&amp;IF(INDEX('CARNET DE SOUDURE'!$S$7:$S$3006,MATCH(141,'CARNET DE SOUDURE'!$AT$7:$AT$3006,0))&lt;&gt;""," / "&amp;INDEX('CARNET DE SOUDURE'!$S$7:$S$3006,MATCH(141,'CARNET DE SOUDURE'!$AT$7:$AT$3006,0)),"")&amp;IF(INDEX('CARNET DE SOUDURE'!$T$7:$T$3006,MATCH(141,'CARNET DE SOUDURE'!$AT$7:$AT$3006,0))&lt;&gt;""," / "&amp;INDEX('CARNET DE SOUDURE'!$T$7:$T$3006,MATCH(141,'CARNET DE SOUDURE'!$AT$7:$AT$3006,0)),""))</f>
        <v/>
      </c>
      <c r="G152" s="126" t="str">
        <f aca="false">IF($B152="","",INDEX('CARNET DE SOUDURE'!$U$7:$U$3006,MATCH(141,'CARNET DE SOUDURE'!$AT$7:$AT$3006,0)))</f>
        <v/>
      </c>
      <c r="H152" s="127" t="str">
        <f aca="false">IF($B152="","",INDEX('CARNET DE SOUDURE'!$AQ$7:$AQ$3006,MATCH(141,'CARNET DE SOUDURE'!$AT$7:$AT$3006,0)))</f>
        <v/>
      </c>
      <c r="I152" s="128" t="str">
        <f aca="false">IF($B152="","",INDEX('CARNET DE SOUDURE'!$AO$7:$AO$3006,MATCH(141,'CARNET DE SOUDURE'!$AT$7:$AT$3006,0)))</f>
        <v/>
      </c>
      <c r="J152" s="128" t="str">
        <f aca="false">IF($B152="","",INDEX('CARNET DE SOUDURE'!$AR$7:$AR$3006,MATCH(141,'CARNET DE SOUDURE'!$AT$7:$AT$3006,0)))</f>
        <v/>
      </c>
      <c r="K152" s="129"/>
      <c r="L152" s="129"/>
    </row>
    <row r="153" customFormat="false" ht="15" hidden="false" customHeight="false" outlineLevel="0" collapsed="false">
      <c r="B153" s="130" t="str">
        <f aca="false">IF(142&gt;$I$4,"",142)</f>
        <v/>
      </c>
      <c r="C153" s="130" t="str">
        <f aca="false">IF($B153="","",INDEX('CARNET DE SOUDURE'!$B$7:$B$3006,MATCH(142,'CARNET DE SOUDURE'!$AT$7:$AT$3006,0)))</f>
        <v/>
      </c>
      <c r="D153" s="130" t="str">
        <f aca="false">IF($B153="","",INDEX('CARNET DE SOUDURE'!$E$7:$E$3006,MATCH(142,'CARNET DE SOUDURE'!$AT$7:$AT$3006,0)))</f>
        <v/>
      </c>
      <c r="E153" s="130" t="str">
        <f aca="false">IF($B153="","",INDEX('CARNET DE SOUDURE'!$D$7:$D$3006,MATCH(142,'CARNET DE SOUDURE'!$AT$7:$AT$3006,0)))</f>
        <v/>
      </c>
      <c r="F153" s="130" t="str">
        <f aca="false">IF($B153="","",INDEX('CARNET DE SOUDURE'!$R$7:$R$3006,MATCH(142,'CARNET DE SOUDURE'!$AT$7:$AT$3006,0))&amp;IF(INDEX('CARNET DE SOUDURE'!$S$7:$S$3006,MATCH(142,'CARNET DE SOUDURE'!$AT$7:$AT$3006,0))&lt;&gt;""," / "&amp;INDEX('CARNET DE SOUDURE'!$S$7:$S$3006,MATCH(142,'CARNET DE SOUDURE'!$AT$7:$AT$3006,0)),"")&amp;IF(INDEX('CARNET DE SOUDURE'!$T$7:$T$3006,MATCH(142,'CARNET DE SOUDURE'!$AT$7:$AT$3006,0))&lt;&gt;""," / "&amp;INDEX('CARNET DE SOUDURE'!$T$7:$T$3006,MATCH(142,'CARNET DE SOUDURE'!$AT$7:$AT$3006,0)),""))</f>
        <v/>
      </c>
      <c r="G153" s="131" t="str">
        <f aca="false">IF($B153="","",INDEX('CARNET DE SOUDURE'!$U$7:$U$3006,MATCH(142,'CARNET DE SOUDURE'!$AT$7:$AT$3006,0)))</f>
        <v/>
      </c>
      <c r="H153" s="132" t="str">
        <f aca="false">IF($B153="","",INDEX('CARNET DE SOUDURE'!$AQ$7:$AQ$3006,MATCH(142,'CARNET DE SOUDURE'!$AT$7:$AT$3006,0)))</f>
        <v/>
      </c>
      <c r="I153" s="133" t="str">
        <f aca="false">IF($B153="","",INDEX('CARNET DE SOUDURE'!$AO$7:$AO$3006,MATCH(142,'CARNET DE SOUDURE'!$AT$7:$AT$3006,0)))</f>
        <v/>
      </c>
      <c r="J153" s="133" t="str">
        <f aca="false">IF($B153="","",INDEX('CARNET DE SOUDURE'!$AR$7:$AR$3006,MATCH(142,'CARNET DE SOUDURE'!$AT$7:$AT$3006,0)))</f>
        <v/>
      </c>
      <c r="K153" s="129"/>
      <c r="L153" s="129"/>
    </row>
    <row r="154" customFormat="false" ht="15" hidden="false" customHeight="false" outlineLevel="0" collapsed="false">
      <c r="B154" s="125" t="str">
        <f aca="false">IF(143&gt;$I$4,"",143)</f>
        <v/>
      </c>
      <c r="C154" s="125" t="str">
        <f aca="false">IF($B154="","",INDEX('CARNET DE SOUDURE'!$B$7:$B$3006,MATCH(143,'CARNET DE SOUDURE'!$AT$7:$AT$3006,0)))</f>
        <v/>
      </c>
      <c r="D154" s="125" t="str">
        <f aca="false">IF($B154="","",INDEX('CARNET DE SOUDURE'!$E$7:$E$3006,MATCH(143,'CARNET DE SOUDURE'!$AT$7:$AT$3006,0)))</f>
        <v/>
      </c>
      <c r="E154" s="125" t="str">
        <f aca="false">IF($B154="","",INDEX('CARNET DE SOUDURE'!$D$7:$D$3006,MATCH(143,'CARNET DE SOUDURE'!$AT$7:$AT$3006,0)))</f>
        <v/>
      </c>
      <c r="F154" s="125" t="str">
        <f aca="false">IF($B154="","",INDEX('CARNET DE SOUDURE'!$R$7:$R$3006,MATCH(143,'CARNET DE SOUDURE'!$AT$7:$AT$3006,0))&amp;IF(INDEX('CARNET DE SOUDURE'!$S$7:$S$3006,MATCH(143,'CARNET DE SOUDURE'!$AT$7:$AT$3006,0))&lt;&gt;""," / "&amp;INDEX('CARNET DE SOUDURE'!$S$7:$S$3006,MATCH(143,'CARNET DE SOUDURE'!$AT$7:$AT$3006,0)),"")&amp;IF(INDEX('CARNET DE SOUDURE'!$T$7:$T$3006,MATCH(143,'CARNET DE SOUDURE'!$AT$7:$AT$3006,0))&lt;&gt;""," / "&amp;INDEX('CARNET DE SOUDURE'!$T$7:$T$3006,MATCH(143,'CARNET DE SOUDURE'!$AT$7:$AT$3006,0)),""))</f>
        <v/>
      </c>
      <c r="G154" s="126" t="str">
        <f aca="false">IF($B154="","",INDEX('CARNET DE SOUDURE'!$U$7:$U$3006,MATCH(143,'CARNET DE SOUDURE'!$AT$7:$AT$3006,0)))</f>
        <v/>
      </c>
      <c r="H154" s="127" t="str">
        <f aca="false">IF($B154="","",INDEX('CARNET DE SOUDURE'!$AQ$7:$AQ$3006,MATCH(143,'CARNET DE SOUDURE'!$AT$7:$AT$3006,0)))</f>
        <v/>
      </c>
      <c r="I154" s="128" t="str">
        <f aca="false">IF($B154="","",INDEX('CARNET DE SOUDURE'!$AO$7:$AO$3006,MATCH(143,'CARNET DE SOUDURE'!$AT$7:$AT$3006,0)))</f>
        <v/>
      </c>
      <c r="J154" s="128" t="str">
        <f aca="false">IF($B154="","",INDEX('CARNET DE SOUDURE'!$AR$7:$AR$3006,MATCH(143,'CARNET DE SOUDURE'!$AT$7:$AT$3006,0)))</f>
        <v/>
      </c>
      <c r="K154" s="129"/>
      <c r="L154" s="129"/>
    </row>
    <row r="155" customFormat="false" ht="15" hidden="false" customHeight="false" outlineLevel="0" collapsed="false">
      <c r="B155" s="130" t="str">
        <f aca="false">IF(144&gt;$I$4,"",144)</f>
        <v/>
      </c>
      <c r="C155" s="130" t="str">
        <f aca="false">IF($B155="","",INDEX('CARNET DE SOUDURE'!$B$7:$B$3006,MATCH(144,'CARNET DE SOUDURE'!$AT$7:$AT$3006,0)))</f>
        <v/>
      </c>
      <c r="D155" s="130" t="str">
        <f aca="false">IF($B155="","",INDEX('CARNET DE SOUDURE'!$E$7:$E$3006,MATCH(144,'CARNET DE SOUDURE'!$AT$7:$AT$3006,0)))</f>
        <v/>
      </c>
      <c r="E155" s="130" t="str">
        <f aca="false">IF($B155="","",INDEX('CARNET DE SOUDURE'!$D$7:$D$3006,MATCH(144,'CARNET DE SOUDURE'!$AT$7:$AT$3006,0)))</f>
        <v/>
      </c>
      <c r="F155" s="130" t="str">
        <f aca="false">IF($B155="","",INDEX('CARNET DE SOUDURE'!$R$7:$R$3006,MATCH(144,'CARNET DE SOUDURE'!$AT$7:$AT$3006,0))&amp;IF(INDEX('CARNET DE SOUDURE'!$S$7:$S$3006,MATCH(144,'CARNET DE SOUDURE'!$AT$7:$AT$3006,0))&lt;&gt;""," / "&amp;INDEX('CARNET DE SOUDURE'!$S$7:$S$3006,MATCH(144,'CARNET DE SOUDURE'!$AT$7:$AT$3006,0)),"")&amp;IF(INDEX('CARNET DE SOUDURE'!$T$7:$T$3006,MATCH(144,'CARNET DE SOUDURE'!$AT$7:$AT$3006,0))&lt;&gt;""," / "&amp;INDEX('CARNET DE SOUDURE'!$T$7:$T$3006,MATCH(144,'CARNET DE SOUDURE'!$AT$7:$AT$3006,0)),""))</f>
        <v/>
      </c>
      <c r="G155" s="131" t="str">
        <f aca="false">IF($B155="","",INDEX('CARNET DE SOUDURE'!$U$7:$U$3006,MATCH(144,'CARNET DE SOUDURE'!$AT$7:$AT$3006,0)))</f>
        <v/>
      </c>
      <c r="H155" s="132" t="str">
        <f aca="false">IF($B155="","",INDEX('CARNET DE SOUDURE'!$AQ$7:$AQ$3006,MATCH(144,'CARNET DE SOUDURE'!$AT$7:$AT$3006,0)))</f>
        <v/>
      </c>
      <c r="I155" s="133" t="str">
        <f aca="false">IF($B155="","",INDEX('CARNET DE SOUDURE'!$AO$7:$AO$3006,MATCH(144,'CARNET DE SOUDURE'!$AT$7:$AT$3006,0)))</f>
        <v/>
      </c>
      <c r="J155" s="133" t="str">
        <f aca="false">IF($B155="","",INDEX('CARNET DE SOUDURE'!$AR$7:$AR$3006,MATCH(144,'CARNET DE SOUDURE'!$AT$7:$AT$3006,0)))</f>
        <v/>
      </c>
      <c r="K155" s="129"/>
      <c r="L155" s="129"/>
    </row>
    <row r="156" customFormat="false" ht="15" hidden="false" customHeight="false" outlineLevel="0" collapsed="false">
      <c r="B156" s="125" t="str">
        <f aca="false">IF(145&gt;$I$4,"",145)</f>
        <v/>
      </c>
      <c r="C156" s="125" t="str">
        <f aca="false">IF($B156="","",INDEX('CARNET DE SOUDURE'!$B$7:$B$3006,MATCH(145,'CARNET DE SOUDURE'!$AT$7:$AT$3006,0)))</f>
        <v/>
      </c>
      <c r="D156" s="125" t="str">
        <f aca="false">IF($B156="","",INDEX('CARNET DE SOUDURE'!$E$7:$E$3006,MATCH(145,'CARNET DE SOUDURE'!$AT$7:$AT$3006,0)))</f>
        <v/>
      </c>
      <c r="E156" s="125" t="str">
        <f aca="false">IF($B156="","",INDEX('CARNET DE SOUDURE'!$D$7:$D$3006,MATCH(145,'CARNET DE SOUDURE'!$AT$7:$AT$3006,0)))</f>
        <v/>
      </c>
      <c r="F156" s="125" t="str">
        <f aca="false">IF($B156="","",INDEX('CARNET DE SOUDURE'!$R$7:$R$3006,MATCH(145,'CARNET DE SOUDURE'!$AT$7:$AT$3006,0))&amp;IF(INDEX('CARNET DE SOUDURE'!$S$7:$S$3006,MATCH(145,'CARNET DE SOUDURE'!$AT$7:$AT$3006,0))&lt;&gt;""," / "&amp;INDEX('CARNET DE SOUDURE'!$S$7:$S$3006,MATCH(145,'CARNET DE SOUDURE'!$AT$7:$AT$3006,0)),"")&amp;IF(INDEX('CARNET DE SOUDURE'!$T$7:$T$3006,MATCH(145,'CARNET DE SOUDURE'!$AT$7:$AT$3006,0))&lt;&gt;""," / "&amp;INDEX('CARNET DE SOUDURE'!$T$7:$T$3006,MATCH(145,'CARNET DE SOUDURE'!$AT$7:$AT$3006,0)),""))</f>
        <v/>
      </c>
      <c r="G156" s="126" t="str">
        <f aca="false">IF($B156="","",INDEX('CARNET DE SOUDURE'!$U$7:$U$3006,MATCH(145,'CARNET DE SOUDURE'!$AT$7:$AT$3006,0)))</f>
        <v/>
      </c>
      <c r="H156" s="127" t="str">
        <f aca="false">IF($B156="","",INDEX('CARNET DE SOUDURE'!$AQ$7:$AQ$3006,MATCH(145,'CARNET DE SOUDURE'!$AT$7:$AT$3006,0)))</f>
        <v/>
      </c>
      <c r="I156" s="128" t="str">
        <f aca="false">IF($B156="","",INDEX('CARNET DE SOUDURE'!$AO$7:$AO$3006,MATCH(145,'CARNET DE SOUDURE'!$AT$7:$AT$3006,0)))</f>
        <v/>
      </c>
      <c r="J156" s="128" t="str">
        <f aca="false">IF($B156="","",INDEX('CARNET DE SOUDURE'!$AR$7:$AR$3006,MATCH(145,'CARNET DE SOUDURE'!$AT$7:$AT$3006,0)))</f>
        <v/>
      </c>
      <c r="K156" s="129"/>
      <c r="L156" s="129"/>
    </row>
    <row r="157" customFormat="false" ht="15" hidden="false" customHeight="false" outlineLevel="0" collapsed="false">
      <c r="B157" s="130" t="str">
        <f aca="false">IF(146&gt;$I$4,"",146)</f>
        <v/>
      </c>
      <c r="C157" s="130" t="str">
        <f aca="false">IF($B157="","",INDEX('CARNET DE SOUDURE'!$B$7:$B$3006,MATCH(146,'CARNET DE SOUDURE'!$AT$7:$AT$3006,0)))</f>
        <v/>
      </c>
      <c r="D157" s="130" t="str">
        <f aca="false">IF($B157="","",INDEX('CARNET DE SOUDURE'!$E$7:$E$3006,MATCH(146,'CARNET DE SOUDURE'!$AT$7:$AT$3006,0)))</f>
        <v/>
      </c>
      <c r="E157" s="130" t="str">
        <f aca="false">IF($B157="","",INDEX('CARNET DE SOUDURE'!$D$7:$D$3006,MATCH(146,'CARNET DE SOUDURE'!$AT$7:$AT$3006,0)))</f>
        <v/>
      </c>
      <c r="F157" s="130" t="str">
        <f aca="false">IF($B157="","",INDEX('CARNET DE SOUDURE'!$R$7:$R$3006,MATCH(146,'CARNET DE SOUDURE'!$AT$7:$AT$3006,0))&amp;IF(INDEX('CARNET DE SOUDURE'!$S$7:$S$3006,MATCH(146,'CARNET DE SOUDURE'!$AT$7:$AT$3006,0))&lt;&gt;""," / "&amp;INDEX('CARNET DE SOUDURE'!$S$7:$S$3006,MATCH(146,'CARNET DE SOUDURE'!$AT$7:$AT$3006,0)),"")&amp;IF(INDEX('CARNET DE SOUDURE'!$T$7:$T$3006,MATCH(146,'CARNET DE SOUDURE'!$AT$7:$AT$3006,0))&lt;&gt;""," / "&amp;INDEX('CARNET DE SOUDURE'!$T$7:$T$3006,MATCH(146,'CARNET DE SOUDURE'!$AT$7:$AT$3006,0)),""))</f>
        <v/>
      </c>
      <c r="G157" s="131" t="str">
        <f aca="false">IF($B157="","",INDEX('CARNET DE SOUDURE'!$U$7:$U$3006,MATCH(146,'CARNET DE SOUDURE'!$AT$7:$AT$3006,0)))</f>
        <v/>
      </c>
      <c r="H157" s="132" t="str">
        <f aca="false">IF($B157="","",INDEX('CARNET DE SOUDURE'!$AQ$7:$AQ$3006,MATCH(146,'CARNET DE SOUDURE'!$AT$7:$AT$3006,0)))</f>
        <v/>
      </c>
      <c r="I157" s="133" t="str">
        <f aca="false">IF($B157="","",INDEX('CARNET DE SOUDURE'!$AO$7:$AO$3006,MATCH(146,'CARNET DE SOUDURE'!$AT$7:$AT$3006,0)))</f>
        <v/>
      </c>
      <c r="J157" s="133" t="str">
        <f aca="false">IF($B157="","",INDEX('CARNET DE SOUDURE'!$AR$7:$AR$3006,MATCH(146,'CARNET DE SOUDURE'!$AT$7:$AT$3006,0)))</f>
        <v/>
      </c>
      <c r="K157" s="129"/>
      <c r="L157" s="129"/>
    </row>
    <row r="158" customFormat="false" ht="15" hidden="false" customHeight="false" outlineLevel="0" collapsed="false">
      <c r="B158" s="125" t="str">
        <f aca="false">IF(147&gt;$I$4,"",147)</f>
        <v/>
      </c>
      <c r="C158" s="125" t="str">
        <f aca="false">IF($B158="","",INDEX('CARNET DE SOUDURE'!$B$7:$B$3006,MATCH(147,'CARNET DE SOUDURE'!$AT$7:$AT$3006,0)))</f>
        <v/>
      </c>
      <c r="D158" s="125" t="str">
        <f aca="false">IF($B158="","",INDEX('CARNET DE SOUDURE'!$E$7:$E$3006,MATCH(147,'CARNET DE SOUDURE'!$AT$7:$AT$3006,0)))</f>
        <v/>
      </c>
      <c r="E158" s="125" t="str">
        <f aca="false">IF($B158="","",INDEX('CARNET DE SOUDURE'!$D$7:$D$3006,MATCH(147,'CARNET DE SOUDURE'!$AT$7:$AT$3006,0)))</f>
        <v/>
      </c>
      <c r="F158" s="125" t="str">
        <f aca="false">IF($B158="","",INDEX('CARNET DE SOUDURE'!$R$7:$R$3006,MATCH(147,'CARNET DE SOUDURE'!$AT$7:$AT$3006,0))&amp;IF(INDEX('CARNET DE SOUDURE'!$S$7:$S$3006,MATCH(147,'CARNET DE SOUDURE'!$AT$7:$AT$3006,0))&lt;&gt;""," / "&amp;INDEX('CARNET DE SOUDURE'!$S$7:$S$3006,MATCH(147,'CARNET DE SOUDURE'!$AT$7:$AT$3006,0)),"")&amp;IF(INDEX('CARNET DE SOUDURE'!$T$7:$T$3006,MATCH(147,'CARNET DE SOUDURE'!$AT$7:$AT$3006,0))&lt;&gt;""," / "&amp;INDEX('CARNET DE SOUDURE'!$T$7:$T$3006,MATCH(147,'CARNET DE SOUDURE'!$AT$7:$AT$3006,0)),""))</f>
        <v/>
      </c>
      <c r="G158" s="126" t="str">
        <f aca="false">IF($B158="","",INDEX('CARNET DE SOUDURE'!$U$7:$U$3006,MATCH(147,'CARNET DE SOUDURE'!$AT$7:$AT$3006,0)))</f>
        <v/>
      </c>
      <c r="H158" s="127" t="str">
        <f aca="false">IF($B158="","",INDEX('CARNET DE SOUDURE'!$AQ$7:$AQ$3006,MATCH(147,'CARNET DE SOUDURE'!$AT$7:$AT$3006,0)))</f>
        <v/>
      </c>
      <c r="I158" s="128" t="str">
        <f aca="false">IF($B158="","",INDEX('CARNET DE SOUDURE'!$AO$7:$AO$3006,MATCH(147,'CARNET DE SOUDURE'!$AT$7:$AT$3006,0)))</f>
        <v/>
      </c>
      <c r="J158" s="128" t="str">
        <f aca="false">IF($B158="","",INDEX('CARNET DE SOUDURE'!$AR$7:$AR$3006,MATCH(147,'CARNET DE SOUDURE'!$AT$7:$AT$3006,0)))</f>
        <v/>
      </c>
      <c r="K158" s="129"/>
      <c r="L158" s="129"/>
    </row>
    <row r="159" customFormat="false" ht="15" hidden="false" customHeight="false" outlineLevel="0" collapsed="false">
      <c r="B159" s="130" t="str">
        <f aca="false">IF(148&gt;$I$4,"",148)</f>
        <v/>
      </c>
      <c r="C159" s="130" t="str">
        <f aca="false">IF($B159="","",INDEX('CARNET DE SOUDURE'!$B$7:$B$3006,MATCH(148,'CARNET DE SOUDURE'!$AT$7:$AT$3006,0)))</f>
        <v/>
      </c>
      <c r="D159" s="130" t="str">
        <f aca="false">IF($B159="","",INDEX('CARNET DE SOUDURE'!$E$7:$E$3006,MATCH(148,'CARNET DE SOUDURE'!$AT$7:$AT$3006,0)))</f>
        <v/>
      </c>
      <c r="E159" s="130" t="str">
        <f aca="false">IF($B159="","",INDEX('CARNET DE SOUDURE'!$D$7:$D$3006,MATCH(148,'CARNET DE SOUDURE'!$AT$7:$AT$3006,0)))</f>
        <v/>
      </c>
      <c r="F159" s="130" t="str">
        <f aca="false">IF($B159="","",INDEX('CARNET DE SOUDURE'!$R$7:$R$3006,MATCH(148,'CARNET DE SOUDURE'!$AT$7:$AT$3006,0))&amp;IF(INDEX('CARNET DE SOUDURE'!$S$7:$S$3006,MATCH(148,'CARNET DE SOUDURE'!$AT$7:$AT$3006,0))&lt;&gt;""," / "&amp;INDEX('CARNET DE SOUDURE'!$S$7:$S$3006,MATCH(148,'CARNET DE SOUDURE'!$AT$7:$AT$3006,0)),"")&amp;IF(INDEX('CARNET DE SOUDURE'!$T$7:$T$3006,MATCH(148,'CARNET DE SOUDURE'!$AT$7:$AT$3006,0))&lt;&gt;""," / "&amp;INDEX('CARNET DE SOUDURE'!$T$7:$T$3006,MATCH(148,'CARNET DE SOUDURE'!$AT$7:$AT$3006,0)),""))</f>
        <v/>
      </c>
      <c r="G159" s="131" t="str">
        <f aca="false">IF($B159="","",INDEX('CARNET DE SOUDURE'!$U$7:$U$3006,MATCH(148,'CARNET DE SOUDURE'!$AT$7:$AT$3006,0)))</f>
        <v/>
      </c>
      <c r="H159" s="132" t="str">
        <f aca="false">IF($B159="","",INDEX('CARNET DE SOUDURE'!$AQ$7:$AQ$3006,MATCH(148,'CARNET DE SOUDURE'!$AT$7:$AT$3006,0)))</f>
        <v/>
      </c>
      <c r="I159" s="133" t="str">
        <f aca="false">IF($B159="","",INDEX('CARNET DE SOUDURE'!$AO$7:$AO$3006,MATCH(148,'CARNET DE SOUDURE'!$AT$7:$AT$3006,0)))</f>
        <v/>
      </c>
      <c r="J159" s="133" t="str">
        <f aca="false">IF($B159="","",INDEX('CARNET DE SOUDURE'!$AR$7:$AR$3006,MATCH(148,'CARNET DE SOUDURE'!$AT$7:$AT$3006,0)))</f>
        <v/>
      </c>
      <c r="K159" s="129"/>
      <c r="L159" s="129"/>
    </row>
    <row r="160" customFormat="false" ht="15" hidden="false" customHeight="false" outlineLevel="0" collapsed="false">
      <c r="B160" s="125" t="str">
        <f aca="false">IF(149&gt;$I$4,"",149)</f>
        <v/>
      </c>
      <c r="C160" s="125" t="str">
        <f aca="false">IF($B160="","",INDEX('CARNET DE SOUDURE'!$B$7:$B$3006,MATCH(149,'CARNET DE SOUDURE'!$AT$7:$AT$3006,0)))</f>
        <v/>
      </c>
      <c r="D160" s="125" t="str">
        <f aca="false">IF($B160="","",INDEX('CARNET DE SOUDURE'!$E$7:$E$3006,MATCH(149,'CARNET DE SOUDURE'!$AT$7:$AT$3006,0)))</f>
        <v/>
      </c>
      <c r="E160" s="125" t="str">
        <f aca="false">IF($B160="","",INDEX('CARNET DE SOUDURE'!$D$7:$D$3006,MATCH(149,'CARNET DE SOUDURE'!$AT$7:$AT$3006,0)))</f>
        <v/>
      </c>
      <c r="F160" s="125" t="str">
        <f aca="false">IF($B160="","",INDEX('CARNET DE SOUDURE'!$R$7:$R$3006,MATCH(149,'CARNET DE SOUDURE'!$AT$7:$AT$3006,0))&amp;IF(INDEX('CARNET DE SOUDURE'!$S$7:$S$3006,MATCH(149,'CARNET DE SOUDURE'!$AT$7:$AT$3006,0))&lt;&gt;""," / "&amp;INDEX('CARNET DE SOUDURE'!$S$7:$S$3006,MATCH(149,'CARNET DE SOUDURE'!$AT$7:$AT$3006,0)),"")&amp;IF(INDEX('CARNET DE SOUDURE'!$T$7:$T$3006,MATCH(149,'CARNET DE SOUDURE'!$AT$7:$AT$3006,0))&lt;&gt;""," / "&amp;INDEX('CARNET DE SOUDURE'!$T$7:$T$3006,MATCH(149,'CARNET DE SOUDURE'!$AT$7:$AT$3006,0)),""))</f>
        <v/>
      </c>
      <c r="G160" s="126" t="str">
        <f aca="false">IF($B160="","",INDEX('CARNET DE SOUDURE'!$U$7:$U$3006,MATCH(149,'CARNET DE SOUDURE'!$AT$7:$AT$3006,0)))</f>
        <v/>
      </c>
      <c r="H160" s="127" t="str">
        <f aca="false">IF($B160="","",INDEX('CARNET DE SOUDURE'!$AQ$7:$AQ$3006,MATCH(149,'CARNET DE SOUDURE'!$AT$7:$AT$3006,0)))</f>
        <v/>
      </c>
      <c r="I160" s="128" t="str">
        <f aca="false">IF($B160="","",INDEX('CARNET DE SOUDURE'!$AO$7:$AO$3006,MATCH(149,'CARNET DE SOUDURE'!$AT$7:$AT$3006,0)))</f>
        <v/>
      </c>
      <c r="J160" s="128" t="str">
        <f aca="false">IF($B160="","",INDEX('CARNET DE SOUDURE'!$AR$7:$AR$3006,MATCH(149,'CARNET DE SOUDURE'!$AT$7:$AT$3006,0)))</f>
        <v/>
      </c>
      <c r="K160" s="129"/>
      <c r="L160" s="129"/>
    </row>
    <row r="161" customFormat="false" ht="15" hidden="false" customHeight="false" outlineLevel="0" collapsed="false">
      <c r="B161" s="130" t="str">
        <f aca="false">IF(150&gt;$I$4,"",150)</f>
        <v/>
      </c>
      <c r="C161" s="130" t="str">
        <f aca="false">IF($B161="","",INDEX('CARNET DE SOUDURE'!$B$7:$B$3006,MATCH(150,'CARNET DE SOUDURE'!$AT$7:$AT$3006,0)))</f>
        <v/>
      </c>
      <c r="D161" s="130" t="str">
        <f aca="false">IF($B161="","",INDEX('CARNET DE SOUDURE'!$E$7:$E$3006,MATCH(150,'CARNET DE SOUDURE'!$AT$7:$AT$3006,0)))</f>
        <v/>
      </c>
      <c r="E161" s="130" t="str">
        <f aca="false">IF($B161="","",INDEX('CARNET DE SOUDURE'!$D$7:$D$3006,MATCH(150,'CARNET DE SOUDURE'!$AT$7:$AT$3006,0)))</f>
        <v/>
      </c>
      <c r="F161" s="130" t="str">
        <f aca="false">IF($B161="","",INDEX('CARNET DE SOUDURE'!$R$7:$R$3006,MATCH(150,'CARNET DE SOUDURE'!$AT$7:$AT$3006,0))&amp;IF(INDEX('CARNET DE SOUDURE'!$S$7:$S$3006,MATCH(150,'CARNET DE SOUDURE'!$AT$7:$AT$3006,0))&lt;&gt;""," / "&amp;INDEX('CARNET DE SOUDURE'!$S$7:$S$3006,MATCH(150,'CARNET DE SOUDURE'!$AT$7:$AT$3006,0)),"")&amp;IF(INDEX('CARNET DE SOUDURE'!$T$7:$T$3006,MATCH(150,'CARNET DE SOUDURE'!$AT$7:$AT$3006,0))&lt;&gt;""," / "&amp;INDEX('CARNET DE SOUDURE'!$T$7:$T$3006,MATCH(150,'CARNET DE SOUDURE'!$AT$7:$AT$3006,0)),""))</f>
        <v/>
      </c>
      <c r="G161" s="131" t="str">
        <f aca="false">IF($B161="","",INDEX('CARNET DE SOUDURE'!$U$7:$U$3006,MATCH(150,'CARNET DE SOUDURE'!$AT$7:$AT$3006,0)))</f>
        <v/>
      </c>
      <c r="H161" s="132" t="str">
        <f aca="false">IF($B161="","",INDEX('CARNET DE SOUDURE'!$AQ$7:$AQ$3006,MATCH(150,'CARNET DE SOUDURE'!$AT$7:$AT$3006,0)))</f>
        <v/>
      </c>
      <c r="I161" s="133" t="str">
        <f aca="false">IF($B161="","",INDEX('CARNET DE SOUDURE'!$AO$7:$AO$3006,MATCH(150,'CARNET DE SOUDURE'!$AT$7:$AT$3006,0)))</f>
        <v/>
      </c>
      <c r="J161" s="133" t="str">
        <f aca="false">IF($B161="","",INDEX('CARNET DE SOUDURE'!$AR$7:$AR$3006,MATCH(150,'CARNET DE SOUDURE'!$AT$7:$AT$3006,0)))</f>
        <v/>
      </c>
      <c r="K161" s="129"/>
      <c r="L161" s="129"/>
    </row>
    <row r="162" customFormat="false" ht="15" hidden="false" customHeight="false" outlineLevel="0" collapsed="false">
      <c r="B162" s="125" t="str">
        <f aca="false">IF(151&gt;$I$4,"",151)</f>
        <v/>
      </c>
      <c r="C162" s="125" t="str">
        <f aca="false">IF($B162="","",INDEX('CARNET DE SOUDURE'!$B$7:$B$3006,MATCH(151,'CARNET DE SOUDURE'!$AT$7:$AT$3006,0)))</f>
        <v/>
      </c>
      <c r="D162" s="125" t="str">
        <f aca="false">IF($B162="","",INDEX('CARNET DE SOUDURE'!$E$7:$E$3006,MATCH(151,'CARNET DE SOUDURE'!$AT$7:$AT$3006,0)))</f>
        <v/>
      </c>
      <c r="E162" s="125" t="str">
        <f aca="false">IF($B162="","",INDEX('CARNET DE SOUDURE'!$D$7:$D$3006,MATCH(151,'CARNET DE SOUDURE'!$AT$7:$AT$3006,0)))</f>
        <v/>
      </c>
      <c r="F162" s="125" t="str">
        <f aca="false">IF($B162="","",INDEX('CARNET DE SOUDURE'!$R$7:$R$3006,MATCH(151,'CARNET DE SOUDURE'!$AT$7:$AT$3006,0))&amp;IF(INDEX('CARNET DE SOUDURE'!$S$7:$S$3006,MATCH(151,'CARNET DE SOUDURE'!$AT$7:$AT$3006,0))&lt;&gt;""," / "&amp;INDEX('CARNET DE SOUDURE'!$S$7:$S$3006,MATCH(151,'CARNET DE SOUDURE'!$AT$7:$AT$3006,0)),"")&amp;IF(INDEX('CARNET DE SOUDURE'!$T$7:$T$3006,MATCH(151,'CARNET DE SOUDURE'!$AT$7:$AT$3006,0))&lt;&gt;""," / "&amp;INDEX('CARNET DE SOUDURE'!$T$7:$T$3006,MATCH(151,'CARNET DE SOUDURE'!$AT$7:$AT$3006,0)),""))</f>
        <v/>
      </c>
      <c r="G162" s="126" t="str">
        <f aca="false">IF($B162="","",INDEX('CARNET DE SOUDURE'!$U$7:$U$3006,MATCH(151,'CARNET DE SOUDURE'!$AT$7:$AT$3006,0)))</f>
        <v/>
      </c>
      <c r="H162" s="127" t="str">
        <f aca="false">IF($B162="","",INDEX('CARNET DE SOUDURE'!$AQ$7:$AQ$3006,MATCH(151,'CARNET DE SOUDURE'!$AT$7:$AT$3006,0)))</f>
        <v/>
      </c>
      <c r="I162" s="128" t="str">
        <f aca="false">IF($B162="","",INDEX('CARNET DE SOUDURE'!$AO$7:$AO$3006,MATCH(151,'CARNET DE SOUDURE'!$AT$7:$AT$3006,0)))</f>
        <v/>
      </c>
      <c r="J162" s="128" t="str">
        <f aca="false">IF($B162="","",INDEX('CARNET DE SOUDURE'!$AR$7:$AR$3006,MATCH(151,'CARNET DE SOUDURE'!$AT$7:$AT$3006,0)))</f>
        <v/>
      </c>
      <c r="K162" s="129"/>
      <c r="L162" s="129"/>
    </row>
    <row r="163" customFormat="false" ht="15" hidden="false" customHeight="false" outlineLevel="0" collapsed="false">
      <c r="B163" s="130" t="str">
        <f aca="false">IF(152&gt;$I$4,"",152)</f>
        <v/>
      </c>
      <c r="C163" s="130" t="str">
        <f aca="false">IF($B163="","",INDEX('CARNET DE SOUDURE'!$B$7:$B$3006,MATCH(152,'CARNET DE SOUDURE'!$AT$7:$AT$3006,0)))</f>
        <v/>
      </c>
      <c r="D163" s="130" t="str">
        <f aca="false">IF($B163="","",INDEX('CARNET DE SOUDURE'!$E$7:$E$3006,MATCH(152,'CARNET DE SOUDURE'!$AT$7:$AT$3006,0)))</f>
        <v/>
      </c>
      <c r="E163" s="130" t="str">
        <f aca="false">IF($B163="","",INDEX('CARNET DE SOUDURE'!$D$7:$D$3006,MATCH(152,'CARNET DE SOUDURE'!$AT$7:$AT$3006,0)))</f>
        <v/>
      </c>
      <c r="F163" s="130" t="str">
        <f aca="false">IF($B163="","",INDEX('CARNET DE SOUDURE'!$R$7:$R$3006,MATCH(152,'CARNET DE SOUDURE'!$AT$7:$AT$3006,0))&amp;IF(INDEX('CARNET DE SOUDURE'!$S$7:$S$3006,MATCH(152,'CARNET DE SOUDURE'!$AT$7:$AT$3006,0))&lt;&gt;""," / "&amp;INDEX('CARNET DE SOUDURE'!$S$7:$S$3006,MATCH(152,'CARNET DE SOUDURE'!$AT$7:$AT$3006,0)),"")&amp;IF(INDEX('CARNET DE SOUDURE'!$T$7:$T$3006,MATCH(152,'CARNET DE SOUDURE'!$AT$7:$AT$3006,0))&lt;&gt;""," / "&amp;INDEX('CARNET DE SOUDURE'!$T$7:$T$3006,MATCH(152,'CARNET DE SOUDURE'!$AT$7:$AT$3006,0)),""))</f>
        <v/>
      </c>
      <c r="G163" s="131" t="str">
        <f aca="false">IF($B163="","",INDEX('CARNET DE SOUDURE'!$U$7:$U$3006,MATCH(152,'CARNET DE SOUDURE'!$AT$7:$AT$3006,0)))</f>
        <v/>
      </c>
      <c r="H163" s="132" t="str">
        <f aca="false">IF($B163="","",INDEX('CARNET DE SOUDURE'!$AQ$7:$AQ$3006,MATCH(152,'CARNET DE SOUDURE'!$AT$7:$AT$3006,0)))</f>
        <v/>
      </c>
      <c r="I163" s="133" t="str">
        <f aca="false">IF($B163="","",INDEX('CARNET DE SOUDURE'!$AO$7:$AO$3006,MATCH(152,'CARNET DE SOUDURE'!$AT$7:$AT$3006,0)))</f>
        <v/>
      </c>
      <c r="J163" s="133" t="str">
        <f aca="false">IF($B163="","",INDEX('CARNET DE SOUDURE'!$AR$7:$AR$3006,MATCH(152,'CARNET DE SOUDURE'!$AT$7:$AT$3006,0)))</f>
        <v/>
      </c>
      <c r="K163" s="129"/>
      <c r="L163" s="129"/>
    </row>
    <row r="164" customFormat="false" ht="15" hidden="false" customHeight="false" outlineLevel="0" collapsed="false">
      <c r="B164" s="125" t="str">
        <f aca="false">IF(153&gt;$I$4,"",153)</f>
        <v/>
      </c>
      <c r="C164" s="125" t="str">
        <f aca="false">IF($B164="","",INDEX('CARNET DE SOUDURE'!$B$7:$B$3006,MATCH(153,'CARNET DE SOUDURE'!$AT$7:$AT$3006,0)))</f>
        <v/>
      </c>
      <c r="D164" s="125" t="str">
        <f aca="false">IF($B164="","",INDEX('CARNET DE SOUDURE'!$E$7:$E$3006,MATCH(153,'CARNET DE SOUDURE'!$AT$7:$AT$3006,0)))</f>
        <v/>
      </c>
      <c r="E164" s="125" t="str">
        <f aca="false">IF($B164="","",INDEX('CARNET DE SOUDURE'!$D$7:$D$3006,MATCH(153,'CARNET DE SOUDURE'!$AT$7:$AT$3006,0)))</f>
        <v/>
      </c>
      <c r="F164" s="125" t="str">
        <f aca="false">IF($B164="","",INDEX('CARNET DE SOUDURE'!$R$7:$R$3006,MATCH(153,'CARNET DE SOUDURE'!$AT$7:$AT$3006,0))&amp;IF(INDEX('CARNET DE SOUDURE'!$S$7:$S$3006,MATCH(153,'CARNET DE SOUDURE'!$AT$7:$AT$3006,0))&lt;&gt;""," / "&amp;INDEX('CARNET DE SOUDURE'!$S$7:$S$3006,MATCH(153,'CARNET DE SOUDURE'!$AT$7:$AT$3006,0)),"")&amp;IF(INDEX('CARNET DE SOUDURE'!$T$7:$T$3006,MATCH(153,'CARNET DE SOUDURE'!$AT$7:$AT$3006,0))&lt;&gt;""," / "&amp;INDEX('CARNET DE SOUDURE'!$T$7:$T$3006,MATCH(153,'CARNET DE SOUDURE'!$AT$7:$AT$3006,0)),""))</f>
        <v/>
      </c>
      <c r="G164" s="126" t="str">
        <f aca="false">IF($B164="","",INDEX('CARNET DE SOUDURE'!$U$7:$U$3006,MATCH(153,'CARNET DE SOUDURE'!$AT$7:$AT$3006,0)))</f>
        <v/>
      </c>
      <c r="H164" s="127" t="str">
        <f aca="false">IF($B164="","",INDEX('CARNET DE SOUDURE'!$AQ$7:$AQ$3006,MATCH(153,'CARNET DE SOUDURE'!$AT$7:$AT$3006,0)))</f>
        <v/>
      </c>
      <c r="I164" s="128" t="str">
        <f aca="false">IF($B164="","",INDEX('CARNET DE SOUDURE'!$AO$7:$AO$3006,MATCH(153,'CARNET DE SOUDURE'!$AT$7:$AT$3006,0)))</f>
        <v/>
      </c>
      <c r="J164" s="128" t="str">
        <f aca="false">IF($B164="","",INDEX('CARNET DE SOUDURE'!$AR$7:$AR$3006,MATCH(153,'CARNET DE SOUDURE'!$AT$7:$AT$3006,0)))</f>
        <v/>
      </c>
      <c r="K164" s="129"/>
      <c r="L164" s="129"/>
    </row>
    <row r="165" customFormat="false" ht="15" hidden="false" customHeight="false" outlineLevel="0" collapsed="false">
      <c r="B165" s="130" t="str">
        <f aca="false">IF(154&gt;$I$4,"",154)</f>
        <v/>
      </c>
      <c r="C165" s="130" t="str">
        <f aca="false">IF($B165="","",INDEX('CARNET DE SOUDURE'!$B$7:$B$3006,MATCH(154,'CARNET DE SOUDURE'!$AT$7:$AT$3006,0)))</f>
        <v/>
      </c>
      <c r="D165" s="130" t="str">
        <f aca="false">IF($B165="","",INDEX('CARNET DE SOUDURE'!$E$7:$E$3006,MATCH(154,'CARNET DE SOUDURE'!$AT$7:$AT$3006,0)))</f>
        <v/>
      </c>
      <c r="E165" s="130" t="str">
        <f aca="false">IF($B165="","",INDEX('CARNET DE SOUDURE'!$D$7:$D$3006,MATCH(154,'CARNET DE SOUDURE'!$AT$7:$AT$3006,0)))</f>
        <v/>
      </c>
      <c r="F165" s="130" t="str">
        <f aca="false">IF($B165="","",INDEX('CARNET DE SOUDURE'!$R$7:$R$3006,MATCH(154,'CARNET DE SOUDURE'!$AT$7:$AT$3006,0))&amp;IF(INDEX('CARNET DE SOUDURE'!$S$7:$S$3006,MATCH(154,'CARNET DE SOUDURE'!$AT$7:$AT$3006,0))&lt;&gt;""," / "&amp;INDEX('CARNET DE SOUDURE'!$S$7:$S$3006,MATCH(154,'CARNET DE SOUDURE'!$AT$7:$AT$3006,0)),"")&amp;IF(INDEX('CARNET DE SOUDURE'!$T$7:$T$3006,MATCH(154,'CARNET DE SOUDURE'!$AT$7:$AT$3006,0))&lt;&gt;""," / "&amp;INDEX('CARNET DE SOUDURE'!$T$7:$T$3006,MATCH(154,'CARNET DE SOUDURE'!$AT$7:$AT$3006,0)),""))</f>
        <v/>
      </c>
      <c r="G165" s="131" t="str">
        <f aca="false">IF($B165="","",INDEX('CARNET DE SOUDURE'!$U$7:$U$3006,MATCH(154,'CARNET DE SOUDURE'!$AT$7:$AT$3006,0)))</f>
        <v/>
      </c>
      <c r="H165" s="132" t="str">
        <f aca="false">IF($B165="","",INDEX('CARNET DE SOUDURE'!$AQ$7:$AQ$3006,MATCH(154,'CARNET DE SOUDURE'!$AT$7:$AT$3006,0)))</f>
        <v/>
      </c>
      <c r="I165" s="133" t="str">
        <f aca="false">IF($B165="","",INDEX('CARNET DE SOUDURE'!$AO$7:$AO$3006,MATCH(154,'CARNET DE SOUDURE'!$AT$7:$AT$3006,0)))</f>
        <v/>
      </c>
      <c r="J165" s="133" t="str">
        <f aca="false">IF($B165="","",INDEX('CARNET DE SOUDURE'!$AR$7:$AR$3006,MATCH(154,'CARNET DE SOUDURE'!$AT$7:$AT$3006,0)))</f>
        <v/>
      </c>
      <c r="K165" s="129"/>
      <c r="L165" s="129"/>
    </row>
    <row r="166" customFormat="false" ht="15" hidden="false" customHeight="false" outlineLevel="0" collapsed="false">
      <c r="B166" s="125" t="str">
        <f aca="false">IF(155&gt;$I$4,"",155)</f>
        <v/>
      </c>
      <c r="C166" s="125" t="str">
        <f aca="false">IF($B166="","",INDEX('CARNET DE SOUDURE'!$B$7:$B$3006,MATCH(155,'CARNET DE SOUDURE'!$AT$7:$AT$3006,0)))</f>
        <v/>
      </c>
      <c r="D166" s="125" t="str">
        <f aca="false">IF($B166="","",INDEX('CARNET DE SOUDURE'!$E$7:$E$3006,MATCH(155,'CARNET DE SOUDURE'!$AT$7:$AT$3006,0)))</f>
        <v/>
      </c>
      <c r="E166" s="125" t="str">
        <f aca="false">IF($B166="","",INDEX('CARNET DE SOUDURE'!$D$7:$D$3006,MATCH(155,'CARNET DE SOUDURE'!$AT$7:$AT$3006,0)))</f>
        <v/>
      </c>
      <c r="F166" s="125" t="str">
        <f aca="false">IF($B166="","",INDEX('CARNET DE SOUDURE'!$R$7:$R$3006,MATCH(155,'CARNET DE SOUDURE'!$AT$7:$AT$3006,0))&amp;IF(INDEX('CARNET DE SOUDURE'!$S$7:$S$3006,MATCH(155,'CARNET DE SOUDURE'!$AT$7:$AT$3006,0))&lt;&gt;""," / "&amp;INDEX('CARNET DE SOUDURE'!$S$7:$S$3006,MATCH(155,'CARNET DE SOUDURE'!$AT$7:$AT$3006,0)),"")&amp;IF(INDEX('CARNET DE SOUDURE'!$T$7:$T$3006,MATCH(155,'CARNET DE SOUDURE'!$AT$7:$AT$3006,0))&lt;&gt;""," / "&amp;INDEX('CARNET DE SOUDURE'!$T$7:$T$3006,MATCH(155,'CARNET DE SOUDURE'!$AT$7:$AT$3006,0)),""))</f>
        <v/>
      </c>
      <c r="G166" s="126" t="str">
        <f aca="false">IF($B166="","",INDEX('CARNET DE SOUDURE'!$U$7:$U$3006,MATCH(155,'CARNET DE SOUDURE'!$AT$7:$AT$3006,0)))</f>
        <v/>
      </c>
      <c r="H166" s="127" t="str">
        <f aca="false">IF($B166="","",INDEX('CARNET DE SOUDURE'!$AQ$7:$AQ$3006,MATCH(155,'CARNET DE SOUDURE'!$AT$7:$AT$3006,0)))</f>
        <v/>
      </c>
      <c r="I166" s="128" t="str">
        <f aca="false">IF($B166="","",INDEX('CARNET DE SOUDURE'!$AO$7:$AO$3006,MATCH(155,'CARNET DE SOUDURE'!$AT$7:$AT$3006,0)))</f>
        <v/>
      </c>
      <c r="J166" s="128" t="str">
        <f aca="false">IF($B166="","",INDEX('CARNET DE SOUDURE'!$AR$7:$AR$3006,MATCH(155,'CARNET DE SOUDURE'!$AT$7:$AT$3006,0)))</f>
        <v/>
      </c>
      <c r="K166" s="129"/>
      <c r="L166" s="129"/>
    </row>
    <row r="167" customFormat="false" ht="15" hidden="false" customHeight="false" outlineLevel="0" collapsed="false">
      <c r="B167" s="130" t="str">
        <f aca="false">IF(156&gt;$I$4,"",156)</f>
        <v/>
      </c>
      <c r="C167" s="130" t="str">
        <f aca="false">IF($B167="","",INDEX('CARNET DE SOUDURE'!$B$7:$B$3006,MATCH(156,'CARNET DE SOUDURE'!$AT$7:$AT$3006,0)))</f>
        <v/>
      </c>
      <c r="D167" s="130" t="str">
        <f aca="false">IF($B167="","",INDEX('CARNET DE SOUDURE'!$E$7:$E$3006,MATCH(156,'CARNET DE SOUDURE'!$AT$7:$AT$3006,0)))</f>
        <v/>
      </c>
      <c r="E167" s="130" t="str">
        <f aca="false">IF($B167="","",INDEX('CARNET DE SOUDURE'!$D$7:$D$3006,MATCH(156,'CARNET DE SOUDURE'!$AT$7:$AT$3006,0)))</f>
        <v/>
      </c>
      <c r="F167" s="130" t="str">
        <f aca="false">IF($B167="","",INDEX('CARNET DE SOUDURE'!$R$7:$R$3006,MATCH(156,'CARNET DE SOUDURE'!$AT$7:$AT$3006,0))&amp;IF(INDEX('CARNET DE SOUDURE'!$S$7:$S$3006,MATCH(156,'CARNET DE SOUDURE'!$AT$7:$AT$3006,0))&lt;&gt;""," / "&amp;INDEX('CARNET DE SOUDURE'!$S$7:$S$3006,MATCH(156,'CARNET DE SOUDURE'!$AT$7:$AT$3006,0)),"")&amp;IF(INDEX('CARNET DE SOUDURE'!$T$7:$T$3006,MATCH(156,'CARNET DE SOUDURE'!$AT$7:$AT$3006,0))&lt;&gt;""," / "&amp;INDEX('CARNET DE SOUDURE'!$T$7:$T$3006,MATCH(156,'CARNET DE SOUDURE'!$AT$7:$AT$3006,0)),""))</f>
        <v/>
      </c>
      <c r="G167" s="131" t="str">
        <f aca="false">IF($B167="","",INDEX('CARNET DE SOUDURE'!$U$7:$U$3006,MATCH(156,'CARNET DE SOUDURE'!$AT$7:$AT$3006,0)))</f>
        <v/>
      </c>
      <c r="H167" s="132" t="str">
        <f aca="false">IF($B167="","",INDEX('CARNET DE SOUDURE'!$AQ$7:$AQ$3006,MATCH(156,'CARNET DE SOUDURE'!$AT$7:$AT$3006,0)))</f>
        <v/>
      </c>
      <c r="I167" s="133" t="str">
        <f aca="false">IF($B167="","",INDEX('CARNET DE SOUDURE'!$AO$7:$AO$3006,MATCH(156,'CARNET DE SOUDURE'!$AT$7:$AT$3006,0)))</f>
        <v/>
      </c>
      <c r="J167" s="133" t="str">
        <f aca="false">IF($B167="","",INDEX('CARNET DE SOUDURE'!$AR$7:$AR$3006,MATCH(156,'CARNET DE SOUDURE'!$AT$7:$AT$3006,0)))</f>
        <v/>
      </c>
      <c r="K167" s="129"/>
      <c r="L167" s="129"/>
    </row>
    <row r="168" customFormat="false" ht="15" hidden="false" customHeight="false" outlineLevel="0" collapsed="false">
      <c r="B168" s="125" t="str">
        <f aca="false">IF(157&gt;$I$4,"",157)</f>
        <v/>
      </c>
      <c r="C168" s="125" t="str">
        <f aca="false">IF($B168="","",INDEX('CARNET DE SOUDURE'!$B$7:$B$3006,MATCH(157,'CARNET DE SOUDURE'!$AT$7:$AT$3006,0)))</f>
        <v/>
      </c>
      <c r="D168" s="125" t="str">
        <f aca="false">IF($B168="","",INDEX('CARNET DE SOUDURE'!$E$7:$E$3006,MATCH(157,'CARNET DE SOUDURE'!$AT$7:$AT$3006,0)))</f>
        <v/>
      </c>
      <c r="E168" s="125" t="str">
        <f aca="false">IF($B168="","",INDEX('CARNET DE SOUDURE'!$D$7:$D$3006,MATCH(157,'CARNET DE SOUDURE'!$AT$7:$AT$3006,0)))</f>
        <v/>
      </c>
      <c r="F168" s="125" t="str">
        <f aca="false">IF($B168="","",INDEX('CARNET DE SOUDURE'!$R$7:$R$3006,MATCH(157,'CARNET DE SOUDURE'!$AT$7:$AT$3006,0))&amp;IF(INDEX('CARNET DE SOUDURE'!$S$7:$S$3006,MATCH(157,'CARNET DE SOUDURE'!$AT$7:$AT$3006,0))&lt;&gt;""," / "&amp;INDEX('CARNET DE SOUDURE'!$S$7:$S$3006,MATCH(157,'CARNET DE SOUDURE'!$AT$7:$AT$3006,0)),"")&amp;IF(INDEX('CARNET DE SOUDURE'!$T$7:$T$3006,MATCH(157,'CARNET DE SOUDURE'!$AT$7:$AT$3006,0))&lt;&gt;""," / "&amp;INDEX('CARNET DE SOUDURE'!$T$7:$T$3006,MATCH(157,'CARNET DE SOUDURE'!$AT$7:$AT$3006,0)),""))</f>
        <v/>
      </c>
      <c r="G168" s="126" t="str">
        <f aca="false">IF($B168="","",INDEX('CARNET DE SOUDURE'!$U$7:$U$3006,MATCH(157,'CARNET DE SOUDURE'!$AT$7:$AT$3006,0)))</f>
        <v/>
      </c>
      <c r="H168" s="127" t="str">
        <f aca="false">IF($B168="","",INDEX('CARNET DE SOUDURE'!$AQ$7:$AQ$3006,MATCH(157,'CARNET DE SOUDURE'!$AT$7:$AT$3006,0)))</f>
        <v/>
      </c>
      <c r="I168" s="128" t="str">
        <f aca="false">IF($B168="","",INDEX('CARNET DE SOUDURE'!$AO$7:$AO$3006,MATCH(157,'CARNET DE SOUDURE'!$AT$7:$AT$3006,0)))</f>
        <v/>
      </c>
      <c r="J168" s="128" t="str">
        <f aca="false">IF($B168="","",INDEX('CARNET DE SOUDURE'!$AR$7:$AR$3006,MATCH(157,'CARNET DE SOUDURE'!$AT$7:$AT$3006,0)))</f>
        <v/>
      </c>
      <c r="K168" s="129"/>
      <c r="L168" s="129"/>
    </row>
    <row r="169" customFormat="false" ht="15" hidden="false" customHeight="false" outlineLevel="0" collapsed="false">
      <c r="B169" s="130" t="str">
        <f aca="false">IF(158&gt;$I$4,"",158)</f>
        <v/>
      </c>
      <c r="C169" s="130" t="str">
        <f aca="false">IF($B169="","",INDEX('CARNET DE SOUDURE'!$B$7:$B$3006,MATCH(158,'CARNET DE SOUDURE'!$AT$7:$AT$3006,0)))</f>
        <v/>
      </c>
      <c r="D169" s="130" t="str">
        <f aca="false">IF($B169="","",INDEX('CARNET DE SOUDURE'!$E$7:$E$3006,MATCH(158,'CARNET DE SOUDURE'!$AT$7:$AT$3006,0)))</f>
        <v/>
      </c>
      <c r="E169" s="130" t="str">
        <f aca="false">IF($B169="","",INDEX('CARNET DE SOUDURE'!$D$7:$D$3006,MATCH(158,'CARNET DE SOUDURE'!$AT$7:$AT$3006,0)))</f>
        <v/>
      </c>
      <c r="F169" s="130" t="str">
        <f aca="false">IF($B169="","",INDEX('CARNET DE SOUDURE'!$R$7:$R$3006,MATCH(158,'CARNET DE SOUDURE'!$AT$7:$AT$3006,0))&amp;IF(INDEX('CARNET DE SOUDURE'!$S$7:$S$3006,MATCH(158,'CARNET DE SOUDURE'!$AT$7:$AT$3006,0))&lt;&gt;""," / "&amp;INDEX('CARNET DE SOUDURE'!$S$7:$S$3006,MATCH(158,'CARNET DE SOUDURE'!$AT$7:$AT$3006,0)),"")&amp;IF(INDEX('CARNET DE SOUDURE'!$T$7:$T$3006,MATCH(158,'CARNET DE SOUDURE'!$AT$7:$AT$3006,0))&lt;&gt;""," / "&amp;INDEX('CARNET DE SOUDURE'!$T$7:$T$3006,MATCH(158,'CARNET DE SOUDURE'!$AT$7:$AT$3006,0)),""))</f>
        <v/>
      </c>
      <c r="G169" s="131" t="str">
        <f aca="false">IF($B169="","",INDEX('CARNET DE SOUDURE'!$U$7:$U$3006,MATCH(158,'CARNET DE SOUDURE'!$AT$7:$AT$3006,0)))</f>
        <v/>
      </c>
      <c r="H169" s="132" t="str">
        <f aca="false">IF($B169="","",INDEX('CARNET DE SOUDURE'!$AQ$7:$AQ$3006,MATCH(158,'CARNET DE SOUDURE'!$AT$7:$AT$3006,0)))</f>
        <v/>
      </c>
      <c r="I169" s="133" t="str">
        <f aca="false">IF($B169="","",INDEX('CARNET DE SOUDURE'!$AO$7:$AO$3006,MATCH(158,'CARNET DE SOUDURE'!$AT$7:$AT$3006,0)))</f>
        <v/>
      </c>
      <c r="J169" s="133" t="str">
        <f aca="false">IF($B169="","",INDEX('CARNET DE SOUDURE'!$AR$7:$AR$3006,MATCH(158,'CARNET DE SOUDURE'!$AT$7:$AT$3006,0)))</f>
        <v/>
      </c>
      <c r="K169" s="129"/>
      <c r="L169" s="129"/>
    </row>
    <row r="170" customFormat="false" ht="15" hidden="false" customHeight="false" outlineLevel="0" collapsed="false">
      <c r="B170" s="125" t="str">
        <f aca="false">IF(159&gt;$I$4,"",159)</f>
        <v/>
      </c>
      <c r="C170" s="125" t="str">
        <f aca="false">IF($B170="","",INDEX('CARNET DE SOUDURE'!$B$7:$B$3006,MATCH(159,'CARNET DE SOUDURE'!$AT$7:$AT$3006,0)))</f>
        <v/>
      </c>
      <c r="D170" s="125" t="str">
        <f aca="false">IF($B170="","",INDEX('CARNET DE SOUDURE'!$E$7:$E$3006,MATCH(159,'CARNET DE SOUDURE'!$AT$7:$AT$3006,0)))</f>
        <v/>
      </c>
      <c r="E170" s="125" t="str">
        <f aca="false">IF($B170="","",INDEX('CARNET DE SOUDURE'!$D$7:$D$3006,MATCH(159,'CARNET DE SOUDURE'!$AT$7:$AT$3006,0)))</f>
        <v/>
      </c>
      <c r="F170" s="125" t="str">
        <f aca="false">IF($B170="","",INDEX('CARNET DE SOUDURE'!$R$7:$R$3006,MATCH(159,'CARNET DE SOUDURE'!$AT$7:$AT$3006,0))&amp;IF(INDEX('CARNET DE SOUDURE'!$S$7:$S$3006,MATCH(159,'CARNET DE SOUDURE'!$AT$7:$AT$3006,0))&lt;&gt;""," / "&amp;INDEX('CARNET DE SOUDURE'!$S$7:$S$3006,MATCH(159,'CARNET DE SOUDURE'!$AT$7:$AT$3006,0)),"")&amp;IF(INDEX('CARNET DE SOUDURE'!$T$7:$T$3006,MATCH(159,'CARNET DE SOUDURE'!$AT$7:$AT$3006,0))&lt;&gt;""," / "&amp;INDEX('CARNET DE SOUDURE'!$T$7:$T$3006,MATCH(159,'CARNET DE SOUDURE'!$AT$7:$AT$3006,0)),""))</f>
        <v/>
      </c>
      <c r="G170" s="126" t="str">
        <f aca="false">IF($B170="","",INDEX('CARNET DE SOUDURE'!$U$7:$U$3006,MATCH(159,'CARNET DE SOUDURE'!$AT$7:$AT$3006,0)))</f>
        <v/>
      </c>
      <c r="H170" s="127" t="str">
        <f aca="false">IF($B170="","",INDEX('CARNET DE SOUDURE'!$AQ$7:$AQ$3006,MATCH(159,'CARNET DE SOUDURE'!$AT$7:$AT$3006,0)))</f>
        <v/>
      </c>
      <c r="I170" s="128" t="str">
        <f aca="false">IF($B170="","",INDEX('CARNET DE SOUDURE'!$AO$7:$AO$3006,MATCH(159,'CARNET DE SOUDURE'!$AT$7:$AT$3006,0)))</f>
        <v/>
      </c>
      <c r="J170" s="128" t="str">
        <f aca="false">IF($B170="","",INDEX('CARNET DE SOUDURE'!$AR$7:$AR$3006,MATCH(159,'CARNET DE SOUDURE'!$AT$7:$AT$3006,0)))</f>
        <v/>
      </c>
      <c r="K170" s="129"/>
      <c r="L170" s="129"/>
    </row>
    <row r="171" customFormat="false" ht="15" hidden="false" customHeight="false" outlineLevel="0" collapsed="false">
      <c r="B171" s="130" t="str">
        <f aca="false">IF(160&gt;$I$4,"",160)</f>
        <v/>
      </c>
      <c r="C171" s="130" t="str">
        <f aca="false">IF($B171="","",INDEX('CARNET DE SOUDURE'!$B$7:$B$3006,MATCH(160,'CARNET DE SOUDURE'!$AT$7:$AT$3006,0)))</f>
        <v/>
      </c>
      <c r="D171" s="130" t="str">
        <f aca="false">IF($B171="","",INDEX('CARNET DE SOUDURE'!$E$7:$E$3006,MATCH(160,'CARNET DE SOUDURE'!$AT$7:$AT$3006,0)))</f>
        <v/>
      </c>
      <c r="E171" s="130" t="str">
        <f aca="false">IF($B171="","",INDEX('CARNET DE SOUDURE'!$D$7:$D$3006,MATCH(160,'CARNET DE SOUDURE'!$AT$7:$AT$3006,0)))</f>
        <v/>
      </c>
      <c r="F171" s="130" t="str">
        <f aca="false">IF($B171="","",INDEX('CARNET DE SOUDURE'!$R$7:$R$3006,MATCH(160,'CARNET DE SOUDURE'!$AT$7:$AT$3006,0))&amp;IF(INDEX('CARNET DE SOUDURE'!$S$7:$S$3006,MATCH(160,'CARNET DE SOUDURE'!$AT$7:$AT$3006,0))&lt;&gt;""," / "&amp;INDEX('CARNET DE SOUDURE'!$S$7:$S$3006,MATCH(160,'CARNET DE SOUDURE'!$AT$7:$AT$3006,0)),"")&amp;IF(INDEX('CARNET DE SOUDURE'!$T$7:$T$3006,MATCH(160,'CARNET DE SOUDURE'!$AT$7:$AT$3006,0))&lt;&gt;""," / "&amp;INDEX('CARNET DE SOUDURE'!$T$7:$T$3006,MATCH(160,'CARNET DE SOUDURE'!$AT$7:$AT$3006,0)),""))</f>
        <v/>
      </c>
      <c r="G171" s="131" t="str">
        <f aca="false">IF($B171="","",INDEX('CARNET DE SOUDURE'!$U$7:$U$3006,MATCH(160,'CARNET DE SOUDURE'!$AT$7:$AT$3006,0)))</f>
        <v/>
      </c>
      <c r="H171" s="132" t="str">
        <f aca="false">IF($B171="","",INDEX('CARNET DE SOUDURE'!$AQ$7:$AQ$3006,MATCH(160,'CARNET DE SOUDURE'!$AT$7:$AT$3006,0)))</f>
        <v/>
      </c>
      <c r="I171" s="133" t="str">
        <f aca="false">IF($B171="","",INDEX('CARNET DE SOUDURE'!$AO$7:$AO$3006,MATCH(160,'CARNET DE SOUDURE'!$AT$7:$AT$3006,0)))</f>
        <v/>
      </c>
      <c r="J171" s="133" t="str">
        <f aca="false">IF($B171="","",INDEX('CARNET DE SOUDURE'!$AR$7:$AR$3006,MATCH(160,'CARNET DE SOUDURE'!$AT$7:$AT$3006,0)))</f>
        <v/>
      </c>
      <c r="K171" s="129"/>
      <c r="L171" s="129"/>
    </row>
    <row r="172" customFormat="false" ht="15" hidden="false" customHeight="false" outlineLevel="0" collapsed="false">
      <c r="B172" s="125" t="str">
        <f aca="false">IF(161&gt;$I$4,"",161)</f>
        <v/>
      </c>
      <c r="C172" s="125" t="str">
        <f aca="false">IF($B172="","",INDEX('CARNET DE SOUDURE'!$B$7:$B$3006,MATCH(161,'CARNET DE SOUDURE'!$AT$7:$AT$3006,0)))</f>
        <v/>
      </c>
      <c r="D172" s="125" t="str">
        <f aca="false">IF($B172="","",INDEX('CARNET DE SOUDURE'!$E$7:$E$3006,MATCH(161,'CARNET DE SOUDURE'!$AT$7:$AT$3006,0)))</f>
        <v/>
      </c>
      <c r="E172" s="125" t="str">
        <f aca="false">IF($B172="","",INDEX('CARNET DE SOUDURE'!$D$7:$D$3006,MATCH(161,'CARNET DE SOUDURE'!$AT$7:$AT$3006,0)))</f>
        <v/>
      </c>
      <c r="F172" s="125" t="str">
        <f aca="false">IF($B172="","",INDEX('CARNET DE SOUDURE'!$R$7:$R$3006,MATCH(161,'CARNET DE SOUDURE'!$AT$7:$AT$3006,0))&amp;IF(INDEX('CARNET DE SOUDURE'!$S$7:$S$3006,MATCH(161,'CARNET DE SOUDURE'!$AT$7:$AT$3006,0))&lt;&gt;""," / "&amp;INDEX('CARNET DE SOUDURE'!$S$7:$S$3006,MATCH(161,'CARNET DE SOUDURE'!$AT$7:$AT$3006,0)),"")&amp;IF(INDEX('CARNET DE SOUDURE'!$T$7:$T$3006,MATCH(161,'CARNET DE SOUDURE'!$AT$7:$AT$3006,0))&lt;&gt;""," / "&amp;INDEX('CARNET DE SOUDURE'!$T$7:$T$3006,MATCH(161,'CARNET DE SOUDURE'!$AT$7:$AT$3006,0)),""))</f>
        <v/>
      </c>
      <c r="G172" s="126" t="str">
        <f aca="false">IF($B172="","",INDEX('CARNET DE SOUDURE'!$U$7:$U$3006,MATCH(161,'CARNET DE SOUDURE'!$AT$7:$AT$3006,0)))</f>
        <v/>
      </c>
      <c r="H172" s="127" t="str">
        <f aca="false">IF($B172="","",INDEX('CARNET DE SOUDURE'!$AQ$7:$AQ$3006,MATCH(161,'CARNET DE SOUDURE'!$AT$7:$AT$3006,0)))</f>
        <v/>
      </c>
      <c r="I172" s="128" t="str">
        <f aca="false">IF($B172="","",INDEX('CARNET DE SOUDURE'!$AO$7:$AO$3006,MATCH(161,'CARNET DE SOUDURE'!$AT$7:$AT$3006,0)))</f>
        <v/>
      </c>
      <c r="J172" s="128" t="str">
        <f aca="false">IF($B172="","",INDEX('CARNET DE SOUDURE'!$AR$7:$AR$3006,MATCH(161,'CARNET DE SOUDURE'!$AT$7:$AT$3006,0)))</f>
        <v/>
      </c>
      <c r="K172" s="129"/>
      <c r="L172" s="129"/>
    </row>
    <row r="173" customFormat="false" ht="15" hidden="false" customHeight="false" outlineLevel="0" collapsed="false">
      <c r="B173" s="130" t="str">
        <f aca="false">IF(162&gt;$I$4,"",162)</f>
        <v/>
      </c>
      <c r="C173" s="130" t="str">
        <f aca="false">IF($B173="","",INDEX('CARNET DE SOUDURE'!$B$7:$B$3006,MATCH(162,'CARNET DE SOUDURE'!$AT$7:$AT$3006,0)))</f>
        <v/>
      </c>
      <c r="D173" s="130" t="str">
        <f aca="false">IF($B173="","",INDEX('CARNET DE SOUDURE'!$E$7:$E$3006,MATCH(162,'CARNET DE SOUDURE'!$AT$7:$AT$3006,0)))</f>
        <v/>
      </c>
      <c r="E173" s="130" t="str">
        <f aca="false">IF($B173="","",INDEX('CARNET DE SOUDURE'!$D$7:$D$3006,MATCH(162,'CARNET DE SOUDURE'!$AT$7:$AT$3006,0)))</f>
        <v/>
      </c>
      <c r="F173" s="130" t="str">
        <f aca="false">IF($B173="","",INDEX('CARNET DE SOUDURE'!$R$7:$R$3006,MATCH(162,'CARNET DE SOUDURE'!$AT$7:$AT$3006,0))&amp;IF(INDEX('CARNET DE SOUDURE'!$S$7:$S$3006,MATCH(162,'CARNET DE SOUDURE'!$AT$7:$AT$3006,0))&lt;&gt;""," / "&amp;INDEX('CARNET DE SOUDURE'!$S$7:$S$3006,MATCH(162,'CARNET DE SOUDURE'!$AT$7:$AT$3006,0)),"")&amp;IF(INDEX('CARNET DE SOUDURE'!$T$7:$T$3006,MATCH(162,'CARNET DE SOUDURE'!$AT$7:$AT$3006,0))&lt;&gt;""," / "&amp;INDEX('CARNET DE SOUDURE'!$T$7:$T$3006,MATCH(162,'CARNET DE SOUDURE'!$AT$7:$AT$3006,0)),""))</f>
        <v/>
      </c>
      <c r="G173" s="131" t="str">
        <f aca="false">IF($B173="","",INDEX('CARNET DE SOUDURE'!$U$7:$U$3006,MATCH(162,'CARNET DE SOUDURE'!$AT$7:$AT$3006,0)))</f>
        <v/>
      </c>
      <c r="H173" s="132" t="str">
        <f aca="false">IF($B173="","",INDEX('CARNET DE SOUDURE'!$AQ$7:$AQ$3006,MATCH(162,'CARNET DE SOUDURE'!$AT$7:$AT$3006,0)))</f>
        <v/>
      </c>
      <c r="I173" s="133" t="str">
        <f aca="false">IF($B173="","",INDEX('CARNET DE SOUDURE'!$AO$7:$AO$3006,MATCH(162,'CARNET DE SOUDURE'!$AT$7:$AT$3006,0)))</f>
        <v/>
      </c>
      <c r="J173" s="133" t="str">
        <f aca="false">IF($B173="","",INDEX('CARNET DE SOUDURE'!$AR$7:$AR$3006,MATCH(162,'CARNET DE SOUDURE'!$AT$7:$AT$3006,0)))</f>
        <v/>
      </c>
      <c r="K173" s="129"/>
      <c r="L173" s="129"/>
    </row>
    <row r="174" customFormat="false" ht="15" hidden="false" customHeight="false" outlineLevel="0" collapsed="false">
      <c r="B174" s="125" t="str">
        <f aca="false">IF(163&gt;$I$4,"",163)</f>
        <v/>
      </c>
      <c r="C174" s="125" t="str">
        <f aca="false">IF($B174="","",INDEX('CARNET DE SOUDURE'!$B$7:$B$3006,MATCH(163,'CARNET DE SOUDURE'!$AT$7:$AT$3006,0)))</f>
        <v/>
      </c>
      <c r="D174" s="125" t="str">
        <f aca="false">IF($B174="","",INDEX('CARNET DE SOUDURE'!$E$7:$E$3006,MATCH(163,'CARNET DE SOUDURE'!$AT$7:$AT$3006,0)))</f>
        <v/>
      </c>
      <c r="E174" s="125" t="str">
        <f aca="false">IF($B174="","",INDEX('CARNET DE SOUDURE'!$D$7:$D$3006,MATCH(163,'CARNET DE SOUDURE'!$AT$7:$AT$3006,0)))</f>
        <v/>
      </c>
      <c r="F174" s="125" t="str">
        <f aca="false">IF($B174="","",INDEX('CARNET DE SOUDURE'!$R$7:$R$3006,MATCH(163,'CARNET DE SOUDURE'!$AT$7:$AT$3006,0))&amp;IF(INDEX('CARNET DE SOUDURE'!$S$7:$S$3006,MATCH(163,'CARNET DE SOUDURE'!$AT$7:$AT$3006,0))&lt;&gt;""," / "&amp;INDEX('CARNET DE SOUDURE'!$S$7:$S$3006,MATCH(163,'CARNET DE SOUDURE'!$AT$7:$AT$3006,0)),"")&amp;IF(INDEX('CARNET DE SOUDURE'!$T$7:$T$3006,MATCH(163,'CARNET DE SOUDURE'!$AT$7:$AT$3006,0))&lt;&gt;""," / "&amp;INDEX('CARNET DE SOUDURE'!$T$7:$T$3006,MATCH(163,'CARNET DE SOUDURE'!$AT$7:$AT$3006,0)),""))</f>
        <v/>
      </c>
      <c r="G174" s="126" t="str">
        <f aca="false">IF($B174="","",INDEX('CARNET DE SOUDURE'!$U$7:$U$3006,MATCH(163,'CARNET DE SOUDURE'!$AT$7:$AT$3006,0)))</f>
        <v/>
      </c>
      <c r="H174" s="127" t="str">
        <f aca="false">IF($B174="","",INDEX('CARNET DE SOUDURE'!$AQ$7:$AQ$3006,MATCH(163,'CARNET DE SOUDURE'!$AT$7:$AT$3006,0)))</f>
        <v/>
      </c>
      <c r="I174" s="128" t="str">
        <f aca="false">IF($B174="","",INDEX('CARNET DE SOUDURE'!$AO$7:$AO$3006,MATCH(163,'CARNET DE SOUDURE'!$AT$7:$AT$3006,0)))</f>
        <v/>
      </c>
      <c r="J174" s="128" t="str">
        <f aca="false">IF($B174="","",INDEX('CARNET DE SOUDURE'!$AR$7:$AR$3006,MATCH(163,'CARNET DE SOUDURE'!$AT$7:$AT$3006,0)))</f>
        <v/>
      </c>
      <c r="K174" s="129"/>
      <c r="L174" s="129"/>
    </row>
    <row r="175" customFormat="false" ht="15" hidden="false" customHeight="false" outlineLevel="0" collapsed="false">
      <c r="B175" s="130" t="str">
        <f aca="false">IF(164&gt;$I$4,"",164)</f>
        <v/>
      </c>
      <c r="C175" s="130" t="str">
        <f aca="false">IF($B175="","",INDEX('CARNET DE SOUDURE'!$B$7:$B$3006,MATCH(164,'CARNET DE SOUDURE'!$AT$7:$AT$3006,0)))</f>
        <v/>
      </c>
      <c r="D175" s="130" t="str">
        <f aca="false">IF($B175="","",INDEX('CARNET DE SOUDURE'!$E$7:$E$3006,MATCH(164,'CARNET DE SOUDURE'!$AT$7:$AT$3006,0)))</f>
        <v/>
      </c>
      <c r="E175" s="130" t="str">
        <f aca="false">IF($B175="","",INDEX('CARNET DE SOUDURE'!$D$7:$D$3006,MATCH(164,'CARNET DE SOUDURE'!$AT$7:$AT$3006,0)))</f>
        <v/>
      </c>
      <c r="F175" s="130" t="str">
        <f aca="false">IF($B175="","",INDEX('CARNET DE SOUDURE'!$R$7:$R$3006,MATCH(164,'CARNET DE SOUDURE'!$AT$7:$AT$3006,0))&amp;IF(INDEX('CARNET DE SOUDURE'!$S$7:$S$3006,MATCH(164,'CARNET DE SOUDURE'!$AT$7:$AT$3006,0))&lt;&gt;""," / "&amp;INDEX('CARNET DE SOUDURE'!$S$7:$S$3006,MATCH(164,'CARNET DE SOUDURE'!$AT$7:$AT$3006,0)),"")&amp;IF(INDEX('CARNET DE SOUDURE'!$T$7:$T$3006,MATCH(164,'CARNET DE SOUDURE'!$AT$7:$AT$3006,0))&lt;&gt;""," / "&amp;INDEX('CARNET DE SOUDURE'!$T$7:$T$3006,MATCH(164,'CARNET DE SOUDURE'!$AT$7:$AT$3006,0)),""))</f>
        <v/>
      </c>
      <c r="G175" s="131" t="str">
        <f aca="false">IF($B175="","",INDEX('CARNET DE SOUDURE'!$U$7:$U$3006,MATCH(164,'CARNET DE SOUDURE'!$AT$7:$AT$3006,0)))</f>
        <v/>
      </c>
      <c r="H175" s="132" t="str">
        <f aca="false">IF($B175="","",INDEX('CARNET DE SOUDURE'!$AQ$7:$AQ$3006,MATCH(164,'CARNET DE SOUDURE'!$AT$7:$AT$3006,0)))</f>
        <v/>
      </c>
      <c r="I175" s="133" t="str">
        <f aca="false">IF($B175="","",INDEX('CARNET DE SOUDURE'!$AO$7:$AO$3006,MATCH(164,'CARNET DE SOUDURE'!$AT$7:$AT$3006,0)))</f>
        <v/>
      </c>
      <c r="J175" s="133" t="str">
        <f aca="false">IF($B175="","",INDEX('CARNET DE SOUDURE'!$AR$7:$AR$3006,MATCH(164,'CARNET DE SOUDURE'!$AT$7:$AT$3006,0)))</f>
        <v/>
      </c>
      <c r="K175" s="129"/>
      <c r="L175" s="129"/>
    </row>
    <row r="176" customFormat="false" ht="15" hidden="false" customHeight="false" outlineLevel="0" collapsed="false">
      <c r="B176" s="125" t="str">
        <f aca="false">IF(165&gt;$I$4,"",165)</f>
        <v/>
      </c>
      <c r="C176" s="125" t="str">
        <f aca="false">IF($B176="","",INDEX('CARNET DE SOUDURE'!$B$7:$B$3006,MATCH(165,'CARNET DE SOUDURE'!$AT$7:$AT$3006,0)))</f>
        <v/>
      </c>
      <c r="D176" s="125" t="str">
        <f aca="false">IF($B176="","",INDEX('CARNET DE SOUDURE'!$E$7:$E$3006,MATCH(165,'CARNET DE SOUDURE'!$AT$7:$AT$3006,0)))</f>
        <v/>
      </c>
      <c r="E176" s="125" t="str">
        <f aca="false">IF($B176="","",INDEX('CARNET DE SOUDURE'!$D$7:$D$3006,MATCH(165,'CARNET DE SOUDURE'!$AT$7:$AT$3006,0)))</f>
        <v/>
      </c>
      <c r="F176" s="125" t="str">
        <f aca="false">IF($B176="","",INDEX('CARNET DE SOUDURE'!$R$7:$R$3006,MATCH(165,'CARNET DE SOUDURE'!$AT$7:$AT$3006,0))&amp;IF(INDEX('CARNET DE SOUDURE'!$S$7:$S$3006,MATCH(165,'CARNET DE SOUDURE'!$AT$7:$AT$3006,0))&lt;&gt;""," / "&amp;INDEX('CARNET DE SOUDURE'!$S$7:$S$3006,MATCH(165,'CARNET DE SOUDURE'!$AT$7:$AT$3006,0)),"")&amp;IF(INDEX('CARNET DE SOUDURE'!$T$7:$T$3006,MATCH(165,'CARNET DE SOUDURE'!$AT$7:$AT$3006,0))&lt;&gt;""," / "&amp;INDEX('CARNET DE SOUDURE'!$T$7:$T$3006,MATCH(165,'CARNET DE SOUDURE'!$AT$7:$AT$3006,0)),""))</f>
        <v/>
      </c>
      <c r="G176" s="126" t="str">
        <f aca="false">IF($B176="","",INDEX('CARNET DE SOUDURE'!$U$7:$U$3006,MATCH(165,'CARNET DE SOUDURE'!$AT$7:$AT$3006,0)))</f>
        <v/>
      </c>
      <c r="H176" s="127" t="str">
        <f aca="false">IF($B176="","",INDEX('CARNET DE SOUDURE'!$AQ$7:$AQ$3006,MATCH(165,'CARNET DE SOUDURE'!$AT$7:$AT$3006,0)))</f>
        <v/>
      </c>
      <c r="I176" s="128" t="str">
        <f aca="false">IF($B176="","",INDEX('CARNET DE SOUDURE'!$AO$7:$AO$3006,MATCH(165,'CARNET DE SOUDURE'!$AT$7:$AT$3006,0)))</f>
        <v/>
      </c>
      <c r="J176" s="128" t="str">
        <f aca="false">IF($B176="","",INDEX('CARNET DE SOUDURE'!$AR$7:$AR$3006,MATCH(165,'CARNET DE SOUDURE'!$AT$7:$AT$3006,0)))</f>
        <v/>
      </c>
      <c r="K176" s="129"/>
      <c r="L176" s="129"/>
    </row>
    <row r="177" customFormat="false" ht="15" hidden="false" customHeight="false" outlineLevel="0" collapsed="false">
      <c r="B177" s="130" t="str">
        <f aca="false">IF(166&gt;$I$4,"",166)</f>
        <v/>
      </c>
      <c r="C177" s="130" t="str">
        <f aca="false">IF($B177="","",INDEX('CARNET DE SOUDURE'!$B$7:$B$3006,MATCH(166,'CARNET DE SOUDURE'!$AT$7:$AT$3006,0)))</f>
        <v/>
      </c>
      <c r="D177" s="130" t="str">
        <f aca="false">IF($B177="","",INDEX('CARNET DE SOUDURE'!$E$7:$E$3006,MATCH(166,'CARNET DE SOUDURE'!$AT$7:$AT$3006,0)))</f>
        <v/>
      </c>
      <c r="E177" s="130" t="str">
        <f aca="false">IF($B177="","",INDEX('CARNET DE SOUDURE'!$D$7:$D$3006,MATCH(166,'CARNET DE SOUDURE'!$AT$7:$AT$3006,0)))</f>
        <v/>
      </c>
      <c r="F177" s="130" t="str">
        <f aca="false">IF($B177="","",INDEX('CARNET DE SOUDURE'!$R$7:$R$3006,MATCH(166,'CARNET DE SOUDURE'!$AT$7:$AT$3006,0))&amp;IF(INDEX('CARNET DE SOUDURE'!$S$7:$S$3006,MATCH(166,'CARNET DE SOUDURE'!$AT$7:$AT$3006,0))&lt;&gt;""," / "&amp;INDEX('CARNET DE SOUDURE'!$S$7:$S$3006,MATCH(166,'CARNET DE SOUDURE'!$AT$7:$AT$3006,0)),"")&amp;IF(INDEX('CARNET DE SOUDURE'!$T$7:$T$3006,MATCH(166,'CARNET DE SOUDURE'!$AT$7:$AT$3006,0))&lt;&gt;""," / "&amp;INDEX('CARNET DE SOUDURE'!$T$7:$T$3006,MATCH(166,'CARNET DE SOUDURE'!$AT$7:$AT$3006,0)),""))</f>
        <v/>
      </c>
      <c r="G177" s="131" t="str">
        <f aca="false">IF($B177="","",INDEX('CARNET DE SOUDURE'!$U$7:$U$3006,MATCH(166,'CARNET DE SOUDURE'!$AT$7:$AT$3006,0)))</f>
        <v/>
      </c>
      <c r="H177" s="132" t="str">
        <f aca="false">IF($B177="","",INDEX('CARNET DE SOUDURE'!$AQ$7:$AQ$3006,MATCH(166,'CARNET DE SOUDURE'!$AT$7:$AT$3006,0)))</f>
        <v/>
      </c>
      <c r="I177" s="133" t="str">
        <f aca="false">IF($B177="","",INDEX('CARNET DE SOUDURE'!$AO$7:$AO$3006,MATCH(166,'CARNET DE SOUDURE'!$AT$7:$AT$3006,0)))</f>
        <v/>
      </c>
      <c r="J177" s="133" t="str">
        <f aca="false">IF($B177="","",INDEX('CARNET DE SOUDURE'!$AR$7:$AR$3006,MATCH(166,'CARNET DE SOUDURE'!$AT$7:$AT$3006,0)))</f>
        <v/>
      </c>
      <c r="K177" s="129"/>
      <c r="L177" s="129"/>
    </row>
    <row r="178" customFormat="false" ht="15" hidden="false" customHeight="false" outlineLevel="0" collapsed="false">
      <c r="B178" s="125" t="str">
        <f aca="false">IF(167&gt;$I$4,"",167)</f>
        <v/>
      </c>
      <c r="C178" s="125" t="str">
        <f aca="false">IF($B178="","",INDEX('CARNET DE SOUDURE'!$B$7:$B$3006,MATCH(167,'CARNET DE SOUDURE'!$AT$7:$AT$3006,0)))</f>
        <v/>
      </c>
      <c r="D178" s="125" t="str">
        <f aca="false">IF($B178="","",INDEX('CARNET DE SOUDURE'!$E$7:$E$3006,MATCH(167,'CARNET DE SOUDURE'!$AT$7:$AT$3006,0)))</f>
        <v/>
      </c>
      <c r="E178" s="125" t="str">
        <f aca="false">IF($B178="","",INDEX('CARNET DE SOUDURE'!$D$7:$D$3006,MATCH(167,'CARNET DE SOUDURE'!$AT$7:$AT$3006,0)))</f>
        <v/>
      </c>
      <c r="F178" s="125" t="str">
        <f aca="false">IF($B178="","",INDEX('CARNET DE SOUDURE'!$R$7:$R$3006,MATCH(167,'CARNET DE SOUDURE'!$AT$7:$AT$3006,0))&amp;IF(INDEX('CARNET DE SOUDURE'!$S$7:$S$3006,MATCH(167,'CARNET DE SOUDURE'!$AT$7:$AT$3006,0))&lt;&gt;""," / "&amp;INDEX('CARNET DE SOUDURE'!$S$7:$S$3006,MATCH(167,'CARNET DE SOUDURE'!$AT$7:$AT$3006,0)),"")&amp;IF(INDEX('CARNET DE SOUDURE'!$T$7:$T$3006,MATCH(167,'CARNET DE SOUDURE'!$AT$7:$AT$3006,0))&lt;&gt;""," / "&amp;INDEX('CARNET DE SOUDURE'!$T$7:$T$3006,MATCH(167,'CARNET DE SOUDURE'!$AT$7:$AT$3006,0)),""))</f>
        <v/>
      </c>
      <c r="G178" s="126" t="str">
        <f aca="false">IF($B178="","",INDEX('CARNET DE SOUDURE'!$U$7:$U$3006,MATCH(167,'CARNET DE SOUDURE'!$AT$7:$AT$3006,0)))</f>
        <v/>
      </c>
      <c r="H178" s="127" t="str">
        <f aca="false">IF($B178="","",INDEX('CARNET DE SOUDURE'!$AQ$7:$AQ$3006,MATCH(167,'CARNET DE SOUDURE'!$AT$7:$AT$3006,0)))</f>
        <v/>
      </c>
      <c r="I178" s="128" t="str">
        <f aca="false">IF($B178="","",INDEX('CARNET DE SOUDURE'!$AO$7:$AO$3006,MATCH(167,'CARNET DE SOUDURE'!$AT$7:$AT$3006,0)))</f>
        <v/>
      </c>
      <c r="J178" s="128" t="str">
        <f aca="false">IF($B178="","",INDEX('CARNET DE SOUDURE'!$AR$7:$AR$3006,MATCH(167,'CARNET DE SOUDURE'!$AT$7:$AT$3006,0)))</f>
        <v/>
      </c>
      <c r="K178" s="129"/>
      <c r="L178" s="129"/>
    </row>
    <row r="179" customFormat="false" ht="15" hidden="false" customHeight="false" outlineLevel="0" collapsed="false">
      <c r="B179" s="130" t="str">
        <f aca="false">IF(168&gt;$I$4,"",168)</f>
        <v/>
      </c>
      <c r="C179" s="130" t="str">
        <f aca="false">IF($B179="","",INDEX('CARNET DE SOUDURE'!$B$7:$B$3006,MATCH(168,'CARNET DE SOUDURE'!$AT$7:$AT$3006,0)))</f>
        <v/>
      </c>
      <c r="D179" s="130" t="str">
        <f aca="false">IF($B179="","",INDEX('CARNET DE SOUDURE'!$E$7:$E$3006,MATCH(168,'CARNET DE SOUDURE'!$AT$7:$AT$3006,0)))</f>
        <v/>
      </c>
      <c r="E179" s="130" t="str">
        <f aca="false">IF($B179="","",INDEX('CARNET DE SOUDURE'!$D$7:$D$3006,MATCH(168,'CARNET DE SOUDURE'!$AT$7:$AT$3006,0)))</f>
        <v/>
      </c>
      <c r="F179" s="130" t="str">
        <f aca="false">IF($B179="","",INDEX('CARNET DE SOUDURE'!$R$7:$R$3006,MATCH(168,'CARNET DE SOUDURE'!$AT$7:$AT$3006,0))&amp;IF(INDEX('CARNET DE SOUDURE'!$S$7:$S$3006,MATCH(168,'CARNET DE SOUDURE'!$AT$7:$AT$3006,0))&lt;&gt;""," / "&amp;INDEX('CARNET DE SOUDURE'!$S$7:$S$3006,MATCH(168,'CARNET DE SOUDURE'!$AT$7:$AT$3006,0)),"")&amp;IF(INDEX('CARNET DE SOUDURE'!$T$7:$T$3006,MATCH(168,'CARNET DE SOUDURE'!$AT$7:$AT$3006,0))&lt;&gt;""," / "&amp;INDEX('CARNET DE SOUDURE'!$T$7:$T$3006,MATCH(168,'CARNET DE SOUDURE'!$AT$7:$AT$3006,0)),""))</f>
        <v/>
      </c>
      <c r="G179" s="131" t="str">
        <f aca="false">IF($B179="","",INDEX('CARNET DE SOUDURE'!$U$7:$U$3006,MATCH(168,'CARNET DE SOUDURE'!$AT$7:$AT$3006,0)))</f>
        <v/>
      </c>
      <c r="H179" s="132" t="str">
        <f aca="false">IF($B179="","",INDEX('CARNET DE SOUDURE'!$AQ$7:$AQ$3006,MATCH(168,'CARNET DE SOUDURE'!$AT$7:$AT$3006,0)))</f>
        <v/>
      </c>
      <c r="I179" s="133" t="str">
        <f aca="false">IF($B179="","",INDEX('CARNET DE SOUDURE'!$AO$7:$AO$3006,MATCH(168,'CARNET DE SOUDURE'!$AT$7:$AT$3006,0)))</f>
        <v/>
      </c>
      <c r="J179" s="133" t="str">
        <f aca="false">IF($B179="","",INDEX('CARNET DE SOUDURE'!$AR$7:$AR$3006,MATCH(168,'CARNET DE SOUDURE'!$AT$7:$AT$3006,0)))</f>
        <v/>
      </c>
      <c r="K179" s="129"/>
      <c r="L179" s="129"/>
    </row>
    <row r="180" customFormat="false" ht="15" hidden="false" customHeight="false" outlineLevel="0" collapsed="false">
      <c r="B180" s="125" t="str">
        <f aca="false">IF(169&gt;$I$4,"",169)</f>
        <v/>
      </c>
      <c r="C180" s="125" t="str">
        <f aca="false">IF($B180="","",INDEX('CARNET DE SOUDURE'!$B$7:$B$3006,MATCH(169,'CARNET DE SOUDURE'!$AT$7:$AT$3006,0)))</f>
        <v/>
      </c>
      <c r="D180" s="125" t="str">
        <f aca="false">IF($B180="","",INDEX('CARNET DE SOUDURE'!$E$7:$E$3006,MATCH(169,'CARNET DE SOUDURE'!$AT$7:$AT$3006,0)))</f>
        <v/>
      </c>
      <c r="E180" s="125" t="str">
        <f aca="false">IF($B180="","",INDEX('CARNET DE SOUDURE'!$D$7:$D$3006,MATCH(169,'CARNET DE SOUDURE'!$AT$7:$AT$3006,0)))</f>
        <v/>
      </c>
      <c r="F180" s="125" t="str">
        <f aca="false">IF($B180="","",INDEX('CARNET DE SOUDURE'!$R$7:$R$3006,MATCH(169,'CARNET DE SOUDURE'!$AT$7:$AT$3006,0))&amp;IF(INDEX('CARNET DE SOUDURE'!$S$7:$S$3006,MATCH(169,'CARNET DE SOUDURE'!$AT$7:$AT$3006,0))&lt;&gt;""," / "&amp;INDEX('CARNET DE SOUDURE'!$S$7:$S$3006,MATCH(169,'CARNET DE SOUDURE'!$AT$7:$AT$3006,0)),"")&amp;IF(INDEX('CARNET DE SOUDURE'!$T$7:$T$3006,MATCH(169,'CARNET DE SOUDURE'!$AT$7:$AT$3006,0))&lt;&gt;""," / "&amp;INDEX('CARNET DE SOUDURE'!$T$7:$T$3006,MATCH(169,'CARNET DE SOUDURE'!$AT$7:$AT$3006,0)),""))</f>
        <v/>
      </c>
      <c r="G180" s="126" t="str">
        <f aca="false">IF($B180="","",INDEX('CARNET DE SOUDURE'!$U$7:$U$3006,MATCH(169,'CARNET DE SOUDURE'!$AT$7:$AT$3006,0)))</f>
        <v/>
      </c>
      <c r="H180" s="127" t="str">
        <f aca="false">IF($B180="","",INDEX('CARNET DE SOUDURE'!$AQ$7:$AQ$3006,MATCH(169,'CARNET DE SOUDURE'!$AT$7:$AT$3006,0)))</f>
        <v/>
      </c>
      <c r="I180" s="128" t="str">
        <f aca="false">IF($B180="","",INDEX('CARNET DE SOUDURE'!$AO$7:$AO$3006,MATCH(169,'CARNET DE SOUDURE'!$AT$7:$AT$3006,0)))</f>
        <v/>
      </c>
      <c r="J180" s="128" t="str">
        <f aca="false">IF($B180="","",INDEX('CARNET DE SOUDURE'!$AR$7:$AR$3006,MATCH(169,'CARNET DE SOUDURE'!$AT$7:$AT$3006,0)))</f>
        <v/>
      </c>
      <c r="K180" s="129"/>
      <c r="L180" s="129"/>
    </row>
    <row r="181" customFormat="false" ht="15" hidden="false" customHeight="false" outlineLevel="0" collapsed="false">
      <c r="B181" s="130" t="str">
        <f aca="false">IF(170&gt;$I$4,"",170)</f>
        <v/>
      </c>
      <c r="C181" s="130" t="str">
        <f aca="false">IF($B181="","",INDEX('CARNET DE SOUDURE'!$B$7:$B$3006,MATCH(170,'CARNET DE SOUDURE'!$AT$7:$AT$3006,0)))</f>
        <v/>
      </c>
      <c r="D181" s="130" t="str">
        <f aca="false">IF($B181="","",INDEX('CARNET DE SOUDURE'!$E$7:$E$3006,MATCH(170,'CARNET DE SOUDURE'!$AT$7:$AT$3006,0)))</f>
        <v/>
      </c>
      <c r="E181" s="130" t="str">
        <f aca="false">IF($B181="","",INDEX('CARNET DE SOUDURE'!$D$7:$D$3006,MATCH(170,'CARNET DE SOUDURE'!$AT$7:$AT$3006,0)))</f>
        <v/>
      </c>
      <c r="F181" s="130" t="str">
        <f aca="false">IF($B181="","",INDEX('CARNET DE SOUDURE'!$R$7:$R$3006,MATCH(170,'CARNET DE SOUDURE'!$AT$7:$AT$3006,0))&amp;IF(INDEX('CARNET DE SOUDURE'!$S$7:$S$3006,MATCH(170,'CARNET DE SOUDURE'!$AT$7:$AT$3006,0))&lt;&gt;""," / "&amp;INDEX('CARNET DE SOUDURE'!$S$7:$S$3006,MATCH(170,'CARNET DE SOUDURE'!$AT$7:$AT$3006,0)),"")&amp;IF(INDEX('CARNET DE SOUDURE'!$T$7:$T$3006,MATCH(170,'CARNET DE SOUDURE'!$AT$7:$AT$3006,0))&lt;&gt;""," / "&amp;INDEX('CARNET DE SOUDURE'!$T$7:$T$3006,MATCH(170,'CARNET DE SOUDURE'!$AT$7:$AT$3006,0)),""))</f>
        <v/>
      </c>
      <c r="G181" s="131" t="str">
        <f aca="false">IF($B181="","",INDEX('CARNET DE SOUDURE'!$U$7:$U$3006,MATCH(170,'CARNET DE SOUDURE'!$AT$7:$AT$3006,0)))</f>
        <v/>
      </c>
      <c r="H181" s="132" t="str">
        <f aca="false">IF($B181="","",INDEX('CARNET DE SOUDURE'!$AQ$7:$AQ$3006,MATCH(170,'CARNET DE SOUDURE'!$AT$7:$AT$3006,0)))</f>
        <v/>
      </c>
      <c r="I181" s="133" t="str">
        <f aca="false">IF($B181="","",INDEX('CARNET DE SOUDURE'!$AO$7:$AO$3006,MATCH(170,'CARNET DE SOUDURE'!$AT$7:$AT$3006,0)))</f>
        <v/>
      </c>
      <c r="J181" s="133" t="str">
        <f aca="false">IF($B181="","",INDEX('CARNET DE SOUDURE'!$AR$7:$AR$3006,MATCH(170,'CARNET DE SOUDURE'!$AT$7:$AT$3006,0)))</f>
        <v/>
      </c>
      <c r="K181" s="129"/>
      <c r="L181" s="129"/>
    </row>
    <row r="182" customFormat="false" ht="15" hidden="false" customHeight="false" outlineLevel="0" collapsed="false">
      <c r="B182" s="125" t="str">
        <f aca="false">IF(171&gt;$I$4,"",171)</f>
        <v/>
      </c>
      <c r="C182" s="125" t="str">
        <f aca="false">IF($B182="","",INDEX('CARNET DE SOUDURE'!$B$7:$B$3006,MATCH(171,'CARNET DE SOUDURE'!$AT$7:$AT$3006,0)))</f>
        <v/>
      </c>
      <c r="D182" s="125" t="str">
        <f aca="false">IF($B182="","",INDEX('CARNET DE SOUDURE'!$E$7:$E$3006,MATCH(171,'CARNET DE SOUDURE'!$AT$7:$AT$3006,0)))</f>
        <v/>
      </c>
      <c r="E182" s="125" t="str">
        <f aca="false">IF($B182="","",INDEX('CARNET DE SOUDURE'!$D$7:$D$3006,MATCH(171,'CARNET DE SOUDURE'!$AT$7:$AT$3006,0)))</f>
        <v/>
      </c>
      <c r="F182" s="125" t="str">
        <f aca="false">IF($B182="","",INDEX('CARNET DE SOUDURE'!$R$7:$R$3006,MATCH(171,'CARNET DE SOUDURE'!$AT$7:$AT$3006,0))&amp;IF(INDEX('CARNET DE SOUDURE'!$S$7:$S$3006,MATCH(171,'CARNET DE SOUDURE'!$AT$7:$AT$3006,0))&lt;&gt;""," / "&amp;INDEX('CARNET DE SOUDURE'!$S$7:$S$3006,MATCH(171,'CARNET DE SOUDURE'!$AT$7:$AT$3006,0)),"")&amp;IF(INDEX('CARNET DE SOUDURE'!$T$7:$T$3006,MATCH(171,'CARNET DE SOUDURE'!$AT$7:$AT$3006,0))&lt;&gt;""," / "&amp;INDEX('CARNET DE SOUDURE'!$T$7:$T$3006,MATCH(171,'CARNET DE SOUDURE'!$AT$7:$AT$3006,0)),""))</f>
        <v/>
      </c>
      <c r="G182" s="126" t="str">
        <f aca="false">IF($B182="","",INDEX('CARNET DE SOUDURE'!$U$7:$U$3006,MATCH(171,'CARNET DE SOUDURE'!$AT$7:$AT$3006,0)))</f>
        <v/>
      </c>
      <c r="H182" s="127" t="str">
        <f aca="false">IF($B182="","",INDEX('CARNET DE SOUDURE'!$AQ$7:$AQ$3006,MATCH(171,'CARNET DE SOUDURE'!$AT$7:$AT$3006,0)))</f>
        <v/>
      </c>
      <c r="I182" s="128" t="str">
        <f aca="false">IF($B182="","",INDEX('CARNET DE SOUDURE'!$AO$7:$AO$3006,MATCH(171,'CARNET DE SOUDURE'!$AT$7:$AT$3006,0)))</f>
        <v/>
      </c>
      <c r="J182" s="128" t="str">
        <f aca="false">IF($B182="","",INDEX('CARNET DE SOUDURE'!$AR$7:$AR$3006,MATCH(171,'CARNET DE SOUDURE'!$AT$7:$AT$3006,0)))</f>
        <v/>
      </c>
      <c r="K182" s="129"/>
      <c r="L182" s="129"/>
    </row>
    <row r="183" customFormat="false" ht="15" hidden="false" customHeight="false" outlineLevel="0" collapsed="false">
      <c r="B183" s="130" t="str">
        <f aca="false">IF(172&gt;$I$4,"",172)</f>
        <v/>
      </c>
      <c r="C183" s="130" t="str">
        <f aca="false">IF($B183="","",INDEX('CARNET DE SOUDURE'!$B$7:$B$3006,MATCH(172,'CARNET DE SOUDURE'!$AT$7:$AT$3006,0)))</f>
        <v/>
      </c>
      <c r="D183" s="130" t="str">
        <f aca="false">IF($B183="","",INDEX('CARNET DE SOUDURE'!$E$7:$E$3006,MATCH(172,'CARNET DE SOUDURE'!$AT$7:$AT$3006,0)))</f>
        <v/>
      </c>
      <c r="E183" s="130" t="str">
        <f aca="false">IF($B183="","",INDEX('CARNET DE SOUDURE'!$D$7:$D$3006,MATCH(172,'CARNET DE SOUDURE'!$AT$7:$AT$3006,0)))</f>
        <v/>
      </c>
      <c r="F183" s="130" t="str">
        <f aca="false">IF($B183="","",INDEX('CARNET DE SOUDURE'!$R$7:$R$3006,MATCH(172,'CARNET DE SOUDURE'!$AT$7:$AT$3006,0))&amp;IF(INDEX('CARNET DE SOUDURE'!$S$7:$S$3006,MATCH(172,'CARNET DE SOUDURE'!$AT$7:$AT$3006,0))&lt;&gt;""," / "&amp;INDEX('CARNET DE SOUDURE'!$S$7:$S$3006,MATCH(172,'CARNET DE SOUDURE'!$AT$7:$AT$3006,0)),"")&amp;IF(INDEX('CARNET DE SOUDURE'!$T$7:$T$3006,MATCH(172,'CARNET DE SOUDURE'!$AT$7:$AT$3006,0))&lt;&gt;""," / "&amp;INDEX('CARNET DE SOUDURE'!$T$7:$T$3006,MATCH(172,'CARNET DE SOUDURE'!$AT$7:$AT$3006,0)),""))</f>
        <v/>
      </c>
      <c r="G183" s="131" t="str">
        <f aca="false">IF($B183="","",INDEX('CARNET DE SOUDURE'!$U$7:$U$3006,MATCH(172,'CARNET DE SOUDURE'!$AT$7:$AT$3006,0)))</f>
        <v/>
      </c>
      <c r="H183" s="132" t="str">
        <f aca="false">IF($B183="","",INDEX('CARNET DE SOUDURE'!$AQ$7:$AQ$3006,MATCH(172,'CARNET DE SOUDURE'!$AT$7:$AT$3006,0)))</f>
        <v/>
      </c>
      <c r="I183" s="133" t="str">
        <f aca="false">IF($B183="","",INDEX('CARNET DE SOUDURE'!$AO$7:$AO$3006,MATCH(172,'CARNET DE SOUDURE'!$AT$7:$AT$3006,0)))</f>
        <v/>
      </c>
      <c r="J183" s="133" t="str">
        <f aca="false">IF($B183="","",INDEX('CARNET DE SOUDURE'!$AR$7:$AR$3006,MATCH(172,'CARNET DE SOUDURE'!$AT$7:$AT$3006,0)))</f>
        <v/>
      </c>
      <c r="K183" s="129"/>
      <c r="L183" s="129"/>
    </row>
    <row r="184" customFormat="false" ht="15" hidden="false" customHeight="false" outlineLevel="0" collapsed="false">
      <c r="B184" s="125" t="str">
        <f aca="false">IF(173&gt;$I$4,"",173)</f>
        <v/>
      </c>
      <c r="C184" s="125" t="str">
        <f aca="false">IF($B184="","",INDEX('CARNET DE SOUDURE'!$B$7:$B$3006,MATCH(173,'CARNET DE SOUDURE'!$AT$7:$AT$3006,0)))</f>
        <v/>
      </c>
      <c r="D184" s="125" t="str">
        <f aca="false">IF($B184="","",INDEX('CARNET DE SOUDURE'!$E$7:$E$3006,MATCH(173,'CARNET DE SOUDURE'!$AT$7:$AT$3006,0)))</f>
        <v/>
      </c>
      <c r="E184" s="125" t="str">
        <f aca="false">IF($B184="","",INDEX('CARNET DE SOUDURE'!$D$7:$D$3006,MATCH(173,'CARNET DE SOUDURE'!$AT$7:$AT$3006,0)))</f>
        <v/>
      </c>
      <c r="F184" s="125" t="str">
        <f aca="false">IF($B184="","",INDEX('CARNET DE SOUDURE'!$R$7:$R$3006,MATCH(173,'CARNET DE SOUDURE'!$AT$7:$AT$3006,0))&amp;IF(INDEX('CARNET DE SOUDURE'!$S$7:$S$3006,MATCH(173,'CARNET DE SOUDURE'!$AT$7:$AT$3006,0))&lt;&gt;""," / "&amp;INDEX('CARNET DE SOUDURE'!$S$7:$S$3006,MATCH(173,'CARNET DE SOUDURE'!$AT$7:$AT$3006,0)),"")&amp;IF(INDEX('CARNET DE SOUDURE'!$T$7:$T$3006,MATCH(173,'CARNET DE SOUDURE'!$AT$7:$AT$3006,0))&lt;&gt;""," / "&amp;INDEX('CARNET DE SOUDURE'!$T$7:$T$3006,MATCH(173,'CARNET DE SOUDURE'!$AT$7:$AT$3006,0)),""))</f>
        <v/>
      </c>
      <c r="G184" s="126" t="str">
        <f aca="false">IF($B184="","",INDEX('CARNET DE SOUDURE'!$U$7:$U$3006,MATCH(173,'CARNET DE SOUDURE'!$AT$7:$AT$3006,0)))</f>
        <v/>
      </c>
      <c r="H184" s="127" t="str">
        <f aca="false">IF($B184="","",INDEX('CARNET DE SOUDURE'!$AQ$7:$AQ$3006,MATCH(173,'CARNET DE SOUDURE'!$AT$7:$AT$3006,0)))</f>
        <v/>
      </c>
      <c r="I184" s="128" t="str">
        <f aca="false">IF($B184="","",INDEX('CARNET DE SOUDURE'!$AO$7:$AO$3006,MATCH(173,'CARNET DE SOUDURE'!$AT$7:$AT$3006,0)))</f>
        <v/>
      </c>
      <c r="J184" s="128" t="str">
        <f aca="false">IF($B184="","",INDEX('CARNET DE SOUDURE'!$AR$7:$AR$3006,MATCH(173,'CARNET DE SOUDURE'!$AT$7:$AT$3006,0)))</f>
        <v/>
      </c>
      <c r="K184" s="129"/>
      <c r="L184" s="129"/>
    </row>
    <row r="185" customFormat="false" ht="15" hidden="false" customHeight="false" outlineLevel="0" collapsed="false">
      <c r="B185" s="130" t="str">
        <f aca="false">IF(174&gt;$I$4,"",174)</f>
        <v/>
      </c>
      <c r="C185" s="130" t="str">
        <f aca="false">IF($B185="","",INDEX('CARNET DE SOUDURE'!$B$7:$B$3006,MATCH(174,'CARNET DE SOUDURE'!$AT$7:$AT$3006,0)))</f>
        <v/>
      </c>
      <c r="D185" s="130" t="str">
        <f aca="false">IF($B185="","",INDEX('CARNET DE SOUDURE'!$E$7:$E$3006,MATCH(174,'CARNET DE SOUDURE'!$AT$7:$AT$3006,0)))</f>
        <v/>
      </c>
      <c r="E185" s="130" t="str">
        <f aca="false">IF($B185="","",INDEX('CARNET DE SOUDURE'!$D$7:$D$3006,MATCH(174,'CARNET DE SOUDURE'!$AT$7:$AT$3006,0)))</f>
        <v/>
      </c>
      <c r="F185" s="130" t="str">
        <f aca="false">IF($B185="","",INDEX('CARNET DE SOUDURE'!$R$7:$R$3006,MATCH(174,'CARNET DE SOUDURE'!$AT$7:$AT$3006,0))&amp;IF(INDEX('CARNET DE SOUDURE'!$S$7:$S$3006,MATCH(174,'CARNET DE SOUDURE'!$AT$7:$AT$3006,0))&lt;&gt;""," / "&amp;INDEX('CARNET DE SOUDURE'!$S$7:$S$3006,MATCH(174,'CARNET DE SOUDURE'!$AT$7:$AT$3006,0)),"")&amp;IF(INDEX('CARNET DE SOUDURE'!$T$7:$T$3006,MATCH(174,'CARNET DE SOUDURE'!$AT$7:$AT$3006,0))&lt;&gt;""," / "&amp;INDEX('CARNET DE SOUDURE'!$T$7:$T$3006,MATCH(174,'CARNET DE SOUDURE'!$AT$7:$AT$3006,0)),""))</f>
        <v/>
      </c>
      <c r="G185" s="131" t="str">
        <f aca="false">IF($B185="","",INDEX('CARNET DE SOUDURE'!$U$7:$U$3006,MATCH(174,'CARNET DE SOUDURE'!$AT$7:$AT$3006,0)))</f>
        <v/>
      </c>
      <c r="H185" s="132" t="str">
        <f aca="false">IF($B185="","",INDEX('CARNET DE SOUDURE'!$AQ$7:$AQ$3006,MATCH(174,'CARNET DE SOUDURE'!$AT$7:$AT$3006,0)))</f>
        <v/>
      </c>
      <c r="I185" s="133" t="str">
        <f aca="false">IF($B185="","",INDEX('CARNET DE SOUDURE'!$AO$7:$AO$3006,MATCH(174,'CARNET DE SOUDURE'!$AT$7:$AT$3006,0)))</f>
        <v/>
      </c>
      <c r="J185" s="133" t="str">
        <f aca="false">IF($B185="","",INDEX('CARNET DE SOUDURE'!$AR$7:$AR$3006,MATCH(174,'CARNET DE SOUDURE'!$AT$7:$AT$3006,0)))</f>
        <v/>
      </c>
      <c r="K185" s="129"/>
      <c r="L185" s="129"/>
    </row>
    <row r="186" customFormat="false" ht="15" hidden="false" customHeight="false" outlineLevel="0" collapsed="false">
      <c r="B186" s="125" t="str">
        <f aca="false">IF(175&gt;$I$4,"",175)</f>
        <v/>
      </c>
      <c r="C186" s="125" t="str">
        <f aca="false">IF($B186="","",INDEX('CARNET DE SOUDURE'!$B$7:$B$3006,MATCH(175,'CARNET DE SOUDURE'!$AT$7:$AT$3006,0)))</f>
        <v/>
      </c>
      <c r="D186" s="125" t="str">
        <f aca="false">IF($B186="","",INDEX('CARNET DE SOUDURE'!$E$7:$E$3006,MATCH(175,'CARNET DE SOUDURE'!$AT$7:$AT$3006,0)))</f>
        <v/>
      </c>
      <c r="E186" s="125" t="str">
        <f aca="false">IF($B186="","",INDEX('CARNET DE SOUDURE'!$D$7:$D$3006,MATCH(175,'CARNET DE SOUDURE'!$AT$7:$AT$3006,0)))</f>
        <v/>
      </c>
      <c r="F186" s="125" t="str">
        <f aca="false">IF($B186="","",INDEX('CARNET DE SOUDURE'!$R$7:$R$3006,MATCH(175,'CARNET DE SOUDURE'!$AT$7:$AT$3006,0))&amp;IF(INDEX('CARNET DE SOUDURE'!$S$7:$S$3006,MATCH(175,'CARNET DE SOUDURE'!$AT$7:$AT$3006,0))&lt;&gt;""," / "&amp;INDEX('CARNET DE SOUDURE'!$S$7:$S$3006,MATCH(175,'CARNET DE SOUDURE'!$AT$7:$AT$3006,0)),"")&amp;IF(INDEX('CARNET DE SOUDURE'!$T$7:$T$3006,MATCH(175,'CARNET DE SOUDURE'!$AT$7:$AT$3006,0))&lt;&gt;""," / "&amp;INDEX('CARNET DE SOUDURE'!$T$7:$T$3006,MATCH(175,'CARNET DE SOUDURE'!$AT$7:$AT$3006,0)),""))</f>
        <v/>
      </c>
      <c r="G186" s="126" t="str">
        <f aca="false">IF($B186="","",INDEX('CARNET DE SOUDURE'!$U$7:$U$3006,MATCH(175,'CARNET DE SOUDURE'!$AT$7:$AT$3006,0)))</f>
        <v/>
      </c>
      <c r="H186" s="127" t="str">
        <f aca="false">IF($B186="","",INDEX('CARNET DE SOUDURE'!$AQ$7:$AQ$3006,MATCH(175,'CARNET DE SOUDURE'!$AT$7:$AT$3006,0)))</f>
        <v/>
      </c>
      <c r="I186" s="128" t="str">
        <f aca="false">IF($B186="","",INDEX('CARNET DE SOUDURE'!$AO$7:$AO$3006,MATCH(175,'CARNET DE SOUDURE'!$AT$7:$AT$3006,0)))</f>
        <v/>
      </c>
      <c r="J186" s="128" t="str">
        <f aca="false">IF($B186="","",INDEX('CARNET DE SOUDURE'!$AR$7:$AR$3006,MATCH(175,'CARNET DE SOUDURE'!$AT$7:$AT$3006,0)))</f>
        <v/>
      </c>
      <c r="K186" s="129"/>
      <c r="L186" s="129"/>
    </row>
    <row r="187" customFormat="false" ht="15" hidden="false" customHeight="false" outlineLevel="0" collapsed="false">
      <c r="B187" s="130" t="str">
        <f aca="false">IF(176&gt;$I$4,"",176)</f>
        <v/>
      </c>
      <c r="C187" s="130" t="str">
        <f aca="false">IF($B187="","",INDEX('CARNET DE SOUDURE'!$B$7:$B$3006,MATCH(176,'CARNET DE SOUDURE'!$AT$7:$AT$3006,0)))</f>
        <v/>
      </c>
      <c r="D187" s="130" t="str">
        <f aca="false">IF($B187="","",INDEX('CARNET DE SOUDURE'!$E$7:$E$3006,MATCH(176,'CARNET DE SOUDURE'!$AT$7:$AT$3006,0)))</f>
        <v/>
      </c>
      <c r="E187" s="130" t="str">
        <f aca="false">IF($B187="","",INDEX('CARNET DE SOUDURE'!$D$7:$D$3006,MATCH(176,'CARNET DE SOUDURE'!$AT$7:$AT$3006,0)))</f>
        <v/>
      </c>
      <c r="F187" s="130" t="str">
        <f aca="false">IF($B187="","",INDEX('CARNET DE SOUDURE'!$R$7:$R$3006,MATCH(176,'CARNET DE SOUDURE'!$AT$7:$AT$3006,0))&amp;IF(INDEX('CARNET DE SOUDURE'!$S$7:$S$3006,MATCH(176,'CARNET DE SOUDURE'!$AT$7:$AT$3006,0))&lt;&gt;""," / "&amp;INDEX('CARNET DE SOUDURE'!$S$7:$S$3006,MATCH(176,'CARNET DE SOUDURE'!$AT$7:$AT$3006,0)),"")&amp;IF(INDEX('CARNET DE SOUDURE'!$T$7:$T$3006,MATCH(176,'CARNET DE SOUDURE'!$AT$7:$AT$3006,0))&lt;&gt;""," / "&amp;INDEX('CARNET DE SOUDURE'!$T$7:$T$3006,MATCH(176,'CARNET DE SOUDURE'!$AT$7:$AT$3006,0)),""))</f>
        <v/>
      </c>
      <c r="G187" s="131" t="str">
        <f aca="false">IF($B187="","",INDEX('CARNET DE SOUDURE'!$U$7:$U$3006,MATCH(176,'CARNET DE SOUDURE'!$AT$7:$AT$3006,0)))</f>
        <v/>
      </c>
      <c r="H187" s="132" t="str">
        <f aca="false">IF($B187="","",INDEX('CARNET DE SOUDURE'!$AQ$7:$AQ$3006,MATCH(176,'CARNET DE SOUDURE'!$AT$7:$AT$3006,0)))</f>
        <v/>
      </c>
      <c r="I187" s="133" t="str">
        <f aca="false">IF($B187="","",INDEX('CARNET DE SOUDURE'!$AO$7:$AO$3006,MATCH(176,'CARNET DE SOUDURE'!$AT$7:$AT$3006,0)))</f>
        <v/>
      </c>
      <c r="J187" s="133" t="str">
        <f aca="false">IF($B187="","",INDEX('CARNET DE SOUDURE'!$AR$7:$AR$3006,MATCH(176,'CARNET DE SOUDURE'!$AT$7:$AT$3006,0)))</f>
        <v/>
      </c>
      <c r="K187" s="129"/>
      <c r="L187" s="129"/>
    </row>
    <row r="188" customFormat="false" ht="15" hidden="false" customHeight="false" outlineLevel="0" collapsed="false">
      <c r="B188" s="125" t="str">
        <f aca="false">IF(177&gt;$I$4,"",177)</f>
        <v/>
      </c>
      <c r="C188" s="125" t="str">
        <f aca="false">IF($B188="","",INDEX('CARNET DE SOUDURE'!$B$7:$B$3006,MATCH(177,'CARNET DE SOUDURE'!$AT$7:$AT$3006,0)))</f>
        <v/>
      </c>
      <c r="D188" s="125" t="str">
        <f aca="false">IF($B188="","",INDEX('CARNET DE SOUDURE'!$E$7:$E$3006,MATCH(177,'CARNET DE SOUDURE'!$AT$7:$AT$3006,0)))</f>
        <v/>
      </c>
      <c r="E188" s="125" t="str">
        <f aca="false">IF($B188="","",INDEX('CARNET DE SOUDURE'!$D$7:$D$3006,MATCH(177,'CARNET DE SOUDURE'!$AT$7:$AT$3006,0)))</f>
        <v/>
      </c>
      <c r="F188" s="125" t="str">
        <f aca="false">IF($B188="","",INDEX('CARNET DE SOUDURE'!$R$7:$R$3006,MATCH(177,'CARNET DE SOUDURE'!$AT$7:$AT$3006,0))&amp;IF(INDEX('CARNET DE SOUDURE'!$S$7:$S$3006,MATCH(177,'CARNET DE SOUDURE'!$AT$7:$AT$3006,0))&lt;&gt;""," / "&amp;INDEX('CARNET DE SOUDURE'!$S$7:$S$3006,MATCH(177,'CARNET DE SOUDURE'!$AT$7:$AT$3006,0)),"")&amp;IF(INDEX('CARNET DE SOUDURE'!$T$7:$T$3006,MATCH(177,'CARNET DE SOUDURE'!$AT$7:$AT$3006,0))&lt;&gt;""," / "&amp;INDEX('CARNET DE SOUDURE'!$T$7:$T$3006,MATCH(177,'CARNET DE SOUDURE'!$AT$7:$AT$3006,0)),""))</f>
        <v/>
      </c>
      <c r="G188" s="126" t="str">
        <f aca="false">IF($B188="","",INDEX('CARNET DE SOUDURE'!$U$7:$U$3006,MATCH(177,'CARNET DE SOUDURE'!$AT$7:$AT$3006,0)))</f>
        <v/>
      </c>
      <c r="H188" s="127" t="str">
        <f aca="false">IF($B188="","",INDEX('CARNET DE SOUDURE'!$AQ$7:$AQ$3006,MATCH(177,'CARNET DE SOUDURE'!$AT$7:$AT$3006,0)))</f>
        <v/>
      </c>
      <c r="I188" s="128" t="str">
        <f aca="false">IF($B188="","",INDEX('CARNET DE SOUDURE'!$AO$7:$AO$3006,MATCH(177,'CARNET DE SOUDURE'!$AT$7:$AT$3006,0)))</f>
        <v/>
      </c>
      <c r="J188" s="128" t="str">
        <f aca="false">IF($B188="","",INDEX('CARNET DE SOUDURE'!$AR$7:$AR$3006,MATCH(177,'CARNET DE SOUDURE'!$AT$7:$AT$3006,0)))</f>
        <v/>
      </c>
      <c r="K188" s="129"/>
      <c r="L188" s="129"/>
    </row>
    <row r="189" customFormat="false" ht="15" hidden="false" customHeight="false" outlineLevel="0" collapsed="false">
      <c r="B189" s="130" t="str">
        <f aca="false">IF(178&gt;$I$4,"",178)</f>
        <v/>
      </c>
      <c r="C189" s="130" t="str">
        <f aca="false">IF($B189="","",INDEX('CARNET DE SOUDURE'!$B$7:$B$3006,MATCH(178,'CARNET DE SOUDURE'!$AT$7:$AT$3006,0)))</f>
        <v/>
      </c>
      <c r="D189" s="130" t="str">
        <f aca="false">IF($B189="","",INDEX('CARNET DE SOUDURE'!$E$7:$E$3006,MATCH(178,'CARNET DE SOUDURE'!$AT$7:$AT$3006,0)))</f>
        <v/>
      </c>
      <c r="E189" s="130" t="str">
        <f aca="false">IF($B189="","",INDEX('CARNET DE SOUDURE'!$D$7:$D$3006,MATCH(178,'CARNET DE SOUDURE'!$AT$7:$AT$3006,0)))</f>
        <v/>
      </c>
      <c r="F189" s="130" t="str">
        <f aca="false">IF($B189="","",INDEX('CARNET DE SOUDURE'!$R$7:$R$3006,MATCH(178,'CARNET DE SOUDURE'!$AT$7:$AT$3006,0))&amp;IF(INDEX('CARNET DE SOUDURE'!$S$7:$S$3006,MATCH(178,'CARNET DE SOUDURE'!$AT$7:$AT$3006,0))&lt;&gt;""," / "&amp;INDEX('CARNET DE SOUDURE'!$S$7:$S$3006,MATCH(178,'CARNET DE SOUDURE'!$AT$7:$AT$3006,0)),"")&amp;IF(INDEX('CARNET DE SOUDURE'!$T$7:$T$3006,MATCH(178,'CARNET DE SOUDURE'!$AT$7:$AT$3006,0))&lt;&gt;""," / "&amp;INDEX('CARNET DE SOUDURE'!$T$7:$T$3006,MATCH(178,'CARNET DE SOUDURE'!$AT$7:$AT$3006,0)),""))</f>
        <v/>
      </c>
      <c r="G189" s="131" t="str">
        <f aca="false">IF($B189="","",INDEX('CARNET DE SOUDURE'!$U$7:$U$3006,MATCH(178,'CARNET DE SOUDURE'!$AT$7:$AT$3006,0)))</f>
        <v/>
      </c>
      <c r="H189" s="132" t="str">
        <f aca="false">IF($B189="","",INDEX('CARNET DE SOUDURE'!$AQ$7:$AQ$3006,MATCH(178,'CARNET DE SOUDURE'!$AT$7:$AT$3006,0)))</f>
        <v/>
      </c>
      <c r="I189" s="133" t="str">
        <f aca="false">IF($B189="","",INDEX('CARNET DE SOUDURE'!$AO$7:$AO$3006,MATCH(178,'CARNET DE SOUDURE'!$AT$7:$AT$3006,0)))</f>
        <v/>
      </c>
      <c r="J189" s="133" t="str">
        <f aca="false">IF($B189="","",INDEX('CARNET DE SOUDURE'!$AR$7:$AR$3006,MATCH(178,'CARNET DE SOUDURE'!$AT$7:$AT$3006,0)))</f>
        <v/>
      </c>
      <c r="K189" s="129"/>
      <c r="L189" s="129"/>
    </row>
    <row r="190" customFormat="false" ht="15" hidden="false" customHeight="false" outlineLevel="0" collapsed="false">
      <c r="B190" s="125" t="str">
        <f aca="false">IF(179&gt;$I$4,"",179)</f>
        <v/>
      </c>
      <c r="C190" s="125" t="str">
        <f aca="false">IF($B190="","",INDEX('CARNET DE SOUDURE'!$B$7:$B$3006,MATCH(179,'CARNET DE SOUDURE'!$AT$7:$AT$3006,0)))</f>
        <v/>
      </c>
      <c r="D190" s="125" t="str">
        <f aca="false">IF($B190="","",INDEX('CARNET DE SOUDURE'!$E$7:$E$3006,MATCH(179,'CARNET DE SOUDURE'!$AT$7:$AT$3006,0)))</f>
        <v/>
      </c>
      <c r="E190" s="125" t="str">
        <f aca="false">IF($B190="","",INDEX('CARNET DE SOUDURE'!$D$7:$D$3006,MATCH(179,'CARNET DE SOUDURE'!$AT$7:$AT$3006,0)))</f>
        <v/>
      </c>
      <c r="F190" s="125" t="str">
        <f aca="false">IF($B190="","",INDEX('CARNET DE SOUDURE'!$R$7:$R$3006,MATCH(179,'CARNET DE SOUDURE'!$AT$7:$AT$3006,0))&amp;IF(INDEX('CARNET DE SOUDURE'!$S$7:$S$3006,MATCH(179,'CARNET DE SOUDURE'!$AT$7:$AT$3006,0))&lt;&gt;""," / "&amp;INDEX('CARNET DE SOUDURE'!$S$7:$S$3006,MATCH(179,'CARNET DE SOUDURE'!$AT$7:$AT$3006,0)),"")&amp;IF(INDEX('CARNET DE SOUDURE'!$T$7:$T$3006,MATCH(179,'CARNET DE SOUDURE'!$AT$7:$AT$3006,0))&lt;&gt;""," / "&amp;INDEX('CARNET DE SOUDURE'!$T$7:$T$3006,MATCH(179,'CARNET DE SOUDURE'!$AT$7:$AT$3006,0)),""))</f>
        <v/>
      </c>
      <c r="G190" s="126" t="str">
        <f aca="false">IF($B190="","",INDEX('CARNET DE SOUDURE'!$U$7:$U$3006,MATCH(179,'CARNET DE SOUDURE'!$AT$7:$AT$3006,0)))</f>
        <v/>
      </c>
      <c r="H190" s="127" t="str">
        <f aca="false">IF($B190="","",INDEX('CARNET DE SOUDURE'!$AQ$7:$AQ$3006,MATCH(179,'CARNET DE SOUDURE'!$AT$7:$AT$3006,0)))</f>
        <v/>
      </c>
      <c r="I190" s="128" t="str">
        <f aca="false">IF($B190="","",INDEX('CARNET DE SOUDURE'!$AO$7:$AO$3006,MATCH(179,'CARNET DE SOUDURE'!$AT$7:$AT$3006,0)))</f>
        <v/>
      </c>
      <c r="J190" s="128" t="str">
        <f aca="false">IF($B190="","",INDEX('CARNET DE SOUDURE'!$AR$7:$AR$3006,MATCH(179,'CARNET DE SOUDURE'!$AT$7:$AT$3006,0)))</f>
        <v/>
      </c>
      <c r="K190" s="129"/>
      <c r="L190" s="129"/>
    </row>
    <row r="191" customFormat="false" ht="15" hidden="false" customHeight="false" outlineLevel="0" collapsed="false">
      <c r="B191" s="130" t="str">
        <f aca="false">IF(180&gt;$I$4,"",180)</f>
        <v/>
      </c>
      <c r="C191" s="130" t="str">
        <f aca="false">IF($B191="","",INDEX('CARNET DE SOUDURE'!$B$7:$B$3006,MATCH(180,'CARNET DE SOUDURE'!$AT$7:$AT$3006,0)))</f>
        <v/>
      </c>
      <c r="D191" s="130" t="str">
        <f aca="false">IF($B191="","",INDEX('CARNET DE SOUDURE'!$E$7:$E$3006,MATCH(180,'CARNET DE SOUDURE'!$AT$7:$AT$3006,0)))</f>
        <v/>
      </c>
      <c r="E191" s="130" t="str">
        <f aca="false">IF($B191="","",INDEX('CARNET DE SOUDURE'!$D$7:$D$3006,MATCH(180,'CARNET DE SOUDURE'!$AT$7:$AT$3006,0)))</f>
        <v/>
      </c>
      <c r="F191" s="130" t="str">
        <f aca="false">IF($B191="","",INDEX('CARNET DE SOUDURE'!$R$7:$R$3006,MATCH(180,'CARNET DE SOUDURE'!$AT$7:$AT$3006,0))&amp;IF(INDEX('CARNET DE SOUDURE'!$S$7:$S$3006,MATCH(180,'CARNET DE SOUDURE'!$AT$7:$AT$3006,0))&lt;&gt;""," / "&amp;INDEX('CARNET DE SOUDURE'!$S$7:$S$3006,MATCH(180,'CARNET DE SOUDURE'!$AT$7:$AT$3006,0)),"")&amp;IF(INDEX('CARNET DE SOUDURE'!$T$7:$T$3006,MATCH(180,'CARNET DE SOUDURE'!$AT$7:$AT$3006,0))&lt;&gt;""," / "&amp;INDEX('CARNET DE SOUDURE'!$T$7:$T$3006,MATCH(180,'CARNET DE SOUDURE'!$AT$7:$AT$3006,0)),""))</f>
        <v/>
      </c>
      <c r="G191" s="131" t="str">
        <f aca="false">IF($B191="","",INDEX('CARNET DE SOUDURE'!$U$7:$U$3006,MATCH(180,'CARNET DE SOUDURE'!$AT$7:$AT$3006,0)))</f>
        <v/>
      </c>
      <c r="H191" s="132" t="str">
        <f aca="false">IF($B191="","",INDEX('CARNET DE SOUDURE'!$AQ$7:$AQ$3006,MATCH(180,'CARNET DE SOUDURE'!$AT$7:$AT$3006,0)))</f>
        <v/>
      </c>
      <c r="I191" s="133" t="str">
        <f aca="false">IF($B191="","",INDEX('CARNET DE SOUDURE'!$AO$7:$AO$3006,MATCH(180,'CARNET DE SOUDURE'!$AT$7:$AT$3006,0)))</f>
        <v/>
      </c>
      <c r="J191" s="133" t="str">
        <f aca="false">IF($B191="","",INDEX('CARNET DE SOUDURE'!$AR$7:$AR$3006,MATCH(180,'CARNET DE SOUDURE'!$AT$7:$AT$3006,0)))</f>
        <v/>
      </c>
      <c r="K191" s="129"/>
      <c r="L191" s="129"/>
    </row>
    <row r="192" customFormat="false" ht="15" hidden="false" customHeight="false" outlineLevel="0" collapsed="false">
      <c r="B192" s="125" t="str">
        <f aca="false">IF(181&gt;$I$4,"",181)</f>
        <v/>
      </c>
      <c r="C192" s="125" t="str">
        <f aca="false">IF($B192="","",INDEX('CARNET DE SOUDURE'!$B$7:$B$3006,MATCH(181,'CARNET DE SOUDURE'!$AT$7:$AT$3006,0)))</f>
        <v/>
      </c>
      <c r="D192" s="125" t="str">
        <f aca="false">IF($B192="","",INDEX('CARNET DE SOUDURE'!$E$7:$E$3006,MATCH(181,'CARNET DE SOUDURE'!$AT$7:$AT$3006,0)))</f>
        <v/>
      </c>
      <c r="E192" s="125" t="str">
        <f aca="false">IF($B192="","",INDEX('CARNET DE SOUDURE'!$D$7:$D$3006,MATCH(181,'CARNET DE SOUDURE'!$AT$7:$AT$3006,0)))</f>
        <v/>
      </c>
      <c r="F192" s="125" t="str">
        <f aca="false">IF($B192="","",INDEX('CARNET DE SOUDURE'!$R$7:$R$3006,MATCH(181,'CARNET DE SOUDURE'!$AT$7:$AT$3006,0))&amp;IF(INDEX('CARNET DE SOUDURE'!$S$7:$S$3006,MATCH(181,'CARNET DE SOUDURE'!$AT$7:$AT$3006,0))&lt;&gt;""," / "&amp;INDEX('CARNET DE SOUDURE'!$S$7:$S$3006,MATCH(181,'CARNET DE SOUDURE'!$AT$7:$AT$3006,0)),"")&amp;IF(INDEX('CARNET DE SOUDURE'!$T$7:$T$3006,MATCH(181,'CARNET DE SOUDURE'!$AT$7:$AT$3006,0))&lt;&gt;""," / "&amp;INDEX('CARNET DE SOUDURE'!$T$7:$T$3006,MATCH(181,'CARNET DE SOUDURE'!$AT$7:$AT$3006,0)),""))</f>
        <v/>
      </c>
      <c r="G192" s="126" t="str">
        <f aca="false">IF($B192="","",INDEX('CARNET DE SOUDURE'!$U$7:$U$3006,MATCH(181,'CARNET DE SOUDURE'!$AT$7:$AT$3006,0)))</f>
        <v/>
      </c>
      <c r="H192" s="127" t="str">
        <f aca="false">IF($B192="","",INDEX('CARNET DE SOUDURE'!$AQ$7:$AQ$3006,MATCH(181,'CARNET DE SOUDURE'!$AT$7:$AT$3006,0)))</f>
        <v/>
      </c>
      <c r="I192" s="128" t="str">
        <f aca="false">IF($B192="","",INDEX('CARNET DE SOUDURE'!$AO$7:$AO$3006,MATCH(181,'CARNET DE SOUDURE'!$AT$7:$AT$3006,0)))</f>
        <v/>
      </c>
      <c r="J192" s="128" t="str">
        <f aca="false">IF($B192="","",INDEX('CARNET DE SOUDURE'!$AR$7:$AR$3006,MATCH(181,'CARNET DE SOUDURE'!$AT$7:$AT$3006,0)))</f>
        <v/>
      </c>
      <c r="K192" s="129"/>
      <c r="L192" s="129"/>
    </row>
    <row r="193" customFormat="false" ht="15" hidden="false" customHeight="false" outlineLevel="0" collapsed="false">
      <c r="B193" s="130" t="str">
        <f aca="false">IF(182&gt;$I$4,"",182)</f>
        <v/>
      </c>
      <c r="C193" s="130" t="str">
        <f aca="false">IF($B193="","",INDEX('CARNET DE SOUDURE'!$B$7:$B$3006,MATCH(182,'CARNET DE SOUDURE'!$AT$7:$AT$3006,0)))</f>
        <v/>
      </c>
      <c r="D193" s="130" t="str">
        <f aca="false">IF($B193="","",INDEX('CARNET DE SOUDURE'!$E$7:$E$3006,MATCH(182,'CARNET DE SOUDURE'!$AT$7:$AT$3006,0)))</f>
        <v/>
      </c>
      <c r="E193" s="130" t="str">
        <f aca="false">IF($B193="","",INDEX('CARNET DE SOUDURE'!$D$7:$D$3006,MATCH(182,'CARNET DE SOUDURE'!$AT$7:$AT$3006,0)))</f>
        <v/>
      </c>
      <c r="F193" s="130" t="str">
        <f aca="false">IF($B193="","",INDEX('CARNET DE SOUDURE'!$R$7:$R$3006,MATCH(182,'CARNET DE SOUDURE'!$AT$7:$AT$3006,0))&amp;IF(INDEX('CARNET DE SOUDURE'!$S$7:$S$3006,MATCH(182,'CARNET DE SOUDURE'!$AT$7:$AT$3006,0))&lt;&gt;""," / "&amp;INDEX('CARNET DE SOUDURE'!$S$7:$S$3006,MATCH(182,'CARNET DE SOUDURE'!$AT$7:$AT$3006,0)),"")&amp;IF(INDEX('CARNET DE SOUDURE'!$T$7:$T$3006,MATCH(182,'CARNET DE SOUDURE'!$AT$7:$AT$3006,0))&lt;&gt;""," / "&amp;INDEX('CARNET DE SOUDURE'!$T$7:$T$3006,MATCH(182,'CARNET DE SOUDURE'!$AT$7:$AT$3006,0)),""))</f>
        <v/>
      </c>
      <c r="G193" s="131" t="str">
        <f aca="false">IF($B193="","",INDEX('CARNET DE SOUDURE'!$U$7:$U$3006,MATCH(182,'CARNET DE SOUDURE'!$AT$7:$AT$3006,0)))</f>
        <v/>
      </c>
      <c r="H193" s="132" t="str">
        <f aca="false">IF($B193="","",INDEX('CARNET DE SOUDURE'!$AQ$7:$AQ$3006,MATCH(182,'CARNET DE SOUDURE'!$AT$7:$AT$3006,0)))</f>
        <v/>
      </c>
      <c r="I193" s="133" t="str">
        <f aca="false">IF($B193="","",INDEX('CARNET DE SOUDURE'!$AO$7:$AO$3006,MATCH(182,'CARNET DE SOUDURE'!$AT$7:$AT$3006,0)))</f>
        <v/>
      </c>
      <c r="J193" s="133" t="str">
        <f aca="false">IF($B193="","",INDEX('CARNET DE SOUDURE'!$AR$7:$AR$3006,MATCH(182,'CARNET DE SOUDURE'!$AT$7:$AT$3006,0)))</f>
        <v/>
      </c>
      <c r="K193" s="129"/>
      <c r="L193" s="129"/>
    </row>
    <row r="194" customFormat="false" ht="15" hidden="false" customHeight="false" outlineLevel="0" collapsed="false">
      <c r="B194" s="125" t="str">
        <f aca="false">IF(183&gt;$I$4,"",183)</f>
        <v/>
      </c>
      <c r="C194" s="125" t="str">
        <f aca="false">IF($B194="","",INDEX('CARNET DE SOUDURE'!$B$7:$B$3006,MATCH(183,'CARNET DE SOUDURE'!$AT$7:$AT$3006,0)))</f>
        <v/>
      </c>
      <c r="D194" s="125" t="str">
        <f aca="false">IF($B194="","",INDEX('CARNET DE SOUDURE'!$E$7:$E$3006,MATCH(183,'CARNET DE SOUDURE'!$AT$7:$AT$3006,0)))</f>
        <v/>
      </c>
      <c r="E194" s="125" t="str">
        <f aca="false">IF($B194="","",INDEX('CARNET DE SOUDURE'!$D$7:$D$3006,MATCH(183,'CARNET DE SOUDURE'!$AT$7:$AT$3006,0)))</f>
        <v/>
      </c>
      <c r="F194" s="125" t="str">
        <f aca="false">IF($B194="","",INDEX('CARNET DE SOUDURE'!$R$7:$R$3006,MATCH(183,'CARNET DE SOUDURE'!$AT$7:$AT$3006,0))&amp;IF(INDEX('CARNET DE SOUDURE'!$S$7:$S$3006,MATCH(183,'CARNET DE SOUDURE'!$AT$7:$AT$3006,0))&lt;&gt;""," / "&amp;INDEX('CARNET DE SOUDURE'!$S$7:$S$3006,MATCH(183,'CARNET DE SOUDURE'!$AT$7:$AT$3006,0)),"")&amp;IF(INDEX('CARNET DE SOUDURE'!$T$7:$T$3006,MATCH(183,'CARNET DE SOUDURE'!$AT$7:$AT$3006,0))&lt;&gt;""," / "&amp;INDEX('CARNET DE SOUDURE'!$T$7:$T$3006,MATCH(183,'CARNET DE SOUDURE'!$AT$7:$AT$3006,0)),""))</f>
        <v/>
      </c>
      <c r="G194" s="126" t="str">
        <f aca="false">IF($B194="","",INDEX('CARNET DE SOUDURE'!$U$7:$U$3006,MATCH(183,'CARNET DE SOUDURE'!$AT$7:$AT$3006,0)))</f>
        <v/>
      </c>
      <c r="H194" s="127" t="str">
        <f aca="false">IF($B194="","",INDEX('CARNET DE SOUDURE'!$AQ$7:$AQ$3006,MATCH(183,'CARNET DE SOUDURE'!$AT$7:$AT$3006,0)))</f>
        <v/>
      </c>
      <c r="I194" s="128" t="str">
        <f aca="false">IF($B194="","",INDEX('CARNET DE SOUDURE'!$AO$7:$AO$3006,MATCH(183,'CARNET DE SOUDURE'!$AT$7:$AT$3006,0)))</f>
        <v/>
      </c>
      <c r="J194" s="128" t="str">
        <f aca="false">IF($B194="","",INDEX('CARNET DE SOUDURE'!$AR$7:$AR$3006,MATCH(183,'CARNET DE SOUDURE'!$AT$7:$AT$3006,0)))</f>
        <v/>
      </c>
      <c r="K194" s="129"/>
      <c r="L194" s="129"/>
    </row>
    <row r="195" customFormat="false" ht="15" hidden="false" customHeight="false" outlineLevel="0" collapsed="false">
      <c r="B195" s="130" t="str">
        <f aca="false">IF(184&gt;$I$4,"",184)</f>
        <v/>
      </c>
      <c r="C195" s="130" t="str">
        <f aca="false">IF($B195="","",INDEX('CARNET DE SOUDURE'!$B$7:$B$3006,MATCH(184,'CARNET DE SOUDURE'!$AT$7:$AT$3006,0)))</f>
        <v/>
      </c>
      <c r="D195" s="130" t="str">
        <f aca="false">IF($B195="","",INDEX('CARNET DE SOUDURE'!$E$7:$E$3006,MATCH(184,'CARNET DE SOUDURE'!$AT$7:$AT$3006,0)))</f>
        <v/>
      </c>
      <c r="E195" s="130" t="str">
        <f aca="false">IF($B195="","",INDEX('CARNET DE SOUDURE'!$D$7:$D$3006,MATCH(184,'CARNET DE SOUDURE'!$AT$7:$AT$3006,0)))</f>
        <v/>
      </c>
      <c r="F195" s="130" t="str">
        <f aca="false">IF($B195="","",INDEX('CARNET DE SOUDURE'!$R$7:$R$3006,MATCH(184,'CARNET DE SOUDURE'!$AT$7:$AT$3006,0))&amp;IF(INDEX('CARNET DE SOUDURE'!$S$7:$S$3006,MATCH(184,'CARNET DE SOUDURE'!$AT$7:$AT$3006,0))&lt;&gt;""," / "&amp;INDEX('CARNET DE SOUDURE'!$S$7:$S$3006,MATCH(184,'CARNET DE SOUDURE'!$AT$7:$AT$3006,0)),"")&amp;IF(INDEX('CARNET DE SOUDURE'!$T$7:$T$3006,MATCH(184,'CARNET DE SOUDURE'!$AT$7:$AT$3006,0))&lt;&gt;""," / "&amp;INDEX('CARNET DE SOUDURE'!$T$7:$T$3006,MATCH(184,'CARNET DE SOUDURE'!$AT$7:$AT$3006,0)),""))</f>
        <v/>
      </c>
      <c r="G195" s="131" t="str">
        <f aca="false">IF($B195="","",INDEX('CARNET DE SOUDURE'!$U$7:$U$3006,MATCH(184,'CARNET DE SOUDURE'!$AT$7:$AT$3006,0)))</f>
        <v/>
      </c>
      <c r="H195" s="132" t="str">
        <f aca="false">IF($B195="","",INDEX('CARNET DE SOUDURE'!$AQ$7:$AQ$3006,MATCH(184,'CARNET DE SOUDURE'!$AT$7:$AT$3006,0)))</f>
        <v/>
      </c>
      <c r="I195" s="133" t="str">
        <f aca="false">IF($B195="","",INDEX('CARNET DE SOUDURE'!$AO$7:$AO$3006,MATCH(184,'CARNET DE SOUDURE'!$AT$7:$AT$3006,0)))</f>
        <v/>
      </c>
      <c r="J195" s="133" t="str">
        <f aca="false">IF($B195="","",INDEX('CARNET DE SOUDURE'!$AR$7:$AR$3006,MATCH(184,'CARNET DE SOUDURE'!$AT$7:$AT$3006,0)))</f>
        <v/>
      </c>
      <c r="K195" s="129"/>
      <c r="L195" s="129"/>
    </row>
    <row r="196" customFormat="false" ht="15" hidden="false" customHeight="false" outlineLevel="0" collapsed="false">
      <c r="B196" s="125" t="str">
        <f aca="false">IF(185&gt;$I$4,"",185)</f>
        <v/>
      </c>
      <c r="C196" s="125" t="str">
        <f aca="false">IF($B196="","",INDEX('CARNET DE SOUDURE'!$B$7:$B$3006,MATCH(185,'CARNET DE SOUDURE'!$AT$7:$AT$3006,0)))</f>
        <v/>
      </c>
      <c r="D196" s="125" t="str">
        <f aca="false">IF($B196="","",INDEX('CARNET DE SOUDURE'!$E$7:$E$3006,MATCH(185,'CARNET DE SOUDURE'!$AT$7:$AT$3006,0)))</f>
        <v/>
      </c>
      <c r="E196" s="125" t="str">
        <f aca="false">IF($B196="","",INDEX('CARNET DE SOUDURE'!$D$7:$D$3006,MATCH(185,'CARNET DE SOUDURE'!$AT$7:$AT$3006,0)))</f>
        <v/>
      </c>
      <c r="F196" s="125" t="str">
        <f aca="false">IF($B196="","",INDEX('CARNET DE SOUDURE'!$R$7:$R$3006,MATCH(185,'CARNET DE SOUDURE'!$AT$7:$AT$3006,0))&amp;IF(INDEX('CARNET DE SOUDURE'!$S$7:$S$3006,MATCH(185,'CARNET DE SOUDURE'!$AT$7:$AT$3006,0))&lt;&gt;""," / "&amp;INDEX('CARNET DE SOUDURE'!$S$7:$S$3006,MATCH(185,'CARNET DE SOUDURE'!$AT$7:$AT$3006,0)),"")&amp;IF(INDEX('CARNET DE SOUDURE'!$T$7:$T$3006,MATCH(185,'CARNET DE SOUDURE'!$AT$7:$AT$3006,0))&lt;&gt;""," / "&amp;INDEX('CARNET DE SOUDURE'!$T$7:$T$3006,MATCH(185,'CARNET DE SOUDURE'!$AT$7:$AT$3006,0)),""))</f>
        <v/>
      </c>
      <c r="G196" s="126" t="str">
        <f aca="false">IF($B196="","",INDEX('CARNET DE SOUDURE'!$U$7:$U$3006,MATCH(185,'CARNET DE SOUDURE'!$AT$7:$AT$3006,0)))</f>
        <v/>
      </c>
      <c r="H196" s="127" t="str">
        <f aca="false">IF($B196="","",INDEX('CARNET DE SOUDURE'!$AQ$7:$AQ$3006,MATCH(185,'CARNET DE SOUDURE'!$AT$7:$AT$3006,0)))</f>
        <v/>
      </c>
      <c r="I196" s="128" t="str">
        <f aca="false">IF($B196="","",INDEX('CARNET DE SOUDURE'!$AO$7:$AO$3006,MATCH(185,'CARNET DE SOUDURE'!$AT$7:$AT$3006,0)))</f>
        <v/>
      </c>
      <c r="J196" s="128" t="str">
        <f aca="false">IF($B196="","",INDEX('CARNET DE SOUDURE'!$AR$7:$AR$3006,MATCH(185,'CARNET DE SOUDURE'!$AT$7:$AT$3006,0)))</f>
        <v/>
      </c>
      <c r="K196" s="129"/>
      <c r="L196" s="129"/>
    </row>
    <row r="197" customFormat="false" ht="15" hidden="false" customHeight="false" outlineLevel="0" collapsed="false">
      <c r="B197" s="130" t="str">
        <f aca="false">IF(186&gt;$I$4,"",186)</f>
        <v/>
      </c>
      <c r="C197" s="130" t="str">
        <f aca="false">IF($B197="","",INDEX('CARNET DE SOUDURE'!$B$7:$B$3006,MATCH(186,'CARNET DE SOUDURE'!$AT$7:$AT$3006,0)))</f>
        <v/>
      </c>
      <c r="D197" s="130" t="str">
        <f aca="false">IF($B197="","",INDEX('CARNET DE SOUDURE'!$E$7:$E$3006,MATCH(186,'CARNET DE SOUDURE'!$AT$7:$AT$3006,0)))</f>
        <v/>
      </c>
      <c r="E197" s="130" t="str">
        <f aca="false">IF($B197="","",INDEX('CARNET DE SOUDURE'!$D$7:$D$3006,MATCH(186,'CARNET DE SOUDURE'!$AT$7:$AT$3006,0)))</f>
        <v/>
      </c>
      <c r="F197" s="130" t="str">
        <f aca="false">IF($B197="","",INDEX('CARNET DE SOUDURE'!$R$7:$R$3006,MATCH(186,'CARNET DE SOUDURE'!$AT$7:$AT$3006,0))&amp;IF(INDEX('CARNET DE SOUDURE'!$S$7:$S$3006,MATCH(186,'CARNET DE SOUDURE'!$AT$7:$AT$3006,0))&lt;&gt;""," / "&amp;INDEX('CARNET DE SOUDURE'!$S$7:$S$3006,MATCH(186,'CARNET DE SOUDURE'!$AT$7:$AT$3006,0)),"")&amp;IF(INDEX('CARNET DE SOUDURE'!$T$7:$T$3006,MATCH(186,'CARNET DE SOUDURE'!$AT$7:$AT$3006,0))&lt;&gt;""," / "&amp;INDEX('CARNET DE SOUDURE'!$T$7:$T$3006,MATCH(186,'CARNET DE SOUDURE'!$AT$7:$AT$3006,0)),""))</f>
        <v/>
      </c>
      <c r="G197" s="131" t="str">
        <f aca="false">IF($B197="","",INDEX('CARNET DE SOUDURE'!$U$7:$U$3006,MATCH(186,'CARNET DE SOUDURE'!$AT$7:$AT$3006,0)))</f>
        <v/>
      </c>
      <c r="H197" s="132" t="str">
        <f aca="false">IF($B197="","",INDEX('CARNET DE SOUDURE'!$AQ$7:$AQ$3006,MATCH(186,'CARNET DE SOUDURE'!$AT$7:$AT$3006,0)))</f>
        <v/>
      </c>
      <c r="I197" s="133" t="str">
        <f aca="false">IF($B197="","",INDEX('CARNET DE SOUDURE'!$AO$7:$AO$3006,MATCH(186,'CARNET DE SOUDURE'!$AT$7:$AT$3006,0)))</f>
        <v/>
      </c>
      <c r="J197" s="133" t="str">
        <f aca="false">IF($B197="","",INDEX('CARNET DE SOUDURE'!$AR$7:$AR$3006,MATCH(186,'CARNET DE SOUDURE'!$AT$7:$AT$3006,0)))</f>
        <v/>
      </c>
      <c r="K197" s="129"/>
      <c r="L197" s="129"/>
    </row>
    <row r="198" customFormat="false" ht="15" hidden="false" customHeight="false" outlineLevel="0" collapsed="false">
      <c r="B198" s="125" t="str">
        <f aca="false">IF(187&gt;$I$4,"",187)</f>
        <v/>
      </c>
      <c r="C198" s="125" t="str">
        <f aca="false">IF($B198="","",INDEX('CARNET DE SOUDURE'!$B$7:$B$3006,MATCH(187,'CARNET DE SOUDURE'!$AT$7:$AT$3006,0)))</f>
        <v/>
      </c>
      <c r="D198" s="125" t="str">
        <f aca="false">IF($B198="","",INDEX('CARNET DE SOUDURE'!$E$7:$E$3006,MATCH(187,'CARNET DE SOUDURE'!$AT$7:$AT$3006,0)))</f>
        <v/>
      </c>
      <c r="E198" s="125" t="str">
        <f aca="false">IF($B198="","",INDEX('CARNET DE SOUDURE'!$D$7:$D$3006,MATCH(187,'CARNET DE SOUDURE'!$AT$7:$AT$3006,0)))</f>
        <v/>
      </c>
      <c r="F198" s="125" t="str">
        <f aca="false">IF($B198="","",INDEX('CARNET DE SOUDURE'!$R$7:$R$3006,MATCH(187,'CARNET DE SOUDURE'!$AT$7:$AT$3006,0))&amp;IF(INDEX('CARNET DE SOUDURE'!$S$7:$S$3006,MATCH(187,'CARNET DE SOUDURE'!$AT$7:$AT$3006,0))&lt;&gt;""," / "&amp;INDEX('CARNET DE SOUDURE'!$S$7:$S$3006,MATCH(187,'CARNET DE SOUDURE'!$AT$7:$AT$3006,0)),"")&amp;IF(INDEX('CARNET DE SOUDURE'!$T$7:$T$3006,MATCH(187,'CARNET DE SOUDURE'!$AT$7:$AT$3006,0))&lt;&gt;""," / "&amp;INDEX('CARNET DE SOUDURE'!$T$7:$T$3006,MATCH(187,'CARNET DE SOUDURE'!$AT$7:$AT$3006,0)),""))</f>
        <v/>
      </c>
      <c r="G198" s="126" t="str">
        <f aca="false">IF($B198="","",INDEX('CARNET DE SOUDURE'!$U$7:$U$3006,MATCH(187,'CARNET DE SOUDURE'!$AT$7:$AT$3006,0)))</f>
        <v/>
      </c>
      <c r="H198" s="127" t="str">
        <f aca="false">IF($B198="","",INDEX('CARNET DE SOUDURE'!$AQ$7:$AQ$3006,MATCH(187,'CARNET DE SOUDURE'!$AT$7:$AT$3006,0)))</f>
        <v/>
      </c>
      <c r="I198" s="128" t="str">
        <f aca="false">IF($B198="","",INDEX('CARNET DE SOUDURE'!$AO$7:$AO$3006,MATCH(187,'CARNET DE SOUDURE'!$AT$7:$AT$3006,0)))</f>
        <v/>
      </c>
      <c r="J198" s="128" t="str">
        <f aca="false">IF($B198="","",INDEX('CARNET DE SOUDURE'!$AR$7:$AR$3006,MATCH(187,'CARNET DE SOUDURE'!$AT$7:$AT$3006,0)))</f>
        <v/>
      </c>
      <c r="K198" s="129"/>
      <c r="L198" s="129"/>
    </row>
    <row r="199" customFormat="false" ht="15" hidden="false" customHeight="false" outlineLevel="0" collapsed="false">
      <c r="B199" s="130" t="str">
        <f aca="false">IF(188&gt;$I$4,"",188)</f>
        <v/>
      </c>
      <c r="C199" s="130" t="str">
        <f aca="false">IF($B199="","",INDEX('CARNET DE SOUDURE'!$B$7:$B$3006,MATCH(188,'CARNET DE SOUDURE'!$AT$7:$AT$3006,0)))</f>
        <v/>
      </c>
      <c r="D199" s="130" t="str">
        <f aca="false">IF($B199="","",INDEX('CARNET DE SOUDURE'!$E$7:$E$3006,MATCH(188,'CARNET DE SOUDURE'!$AT$7:$AT$3006,0)))</f>
        <v/>
      </c>
      <c r="E199" s="130" t="str">
        <f aca="false">IF($B199="","",INDEX('CARNET DE SOUDURE'!$D$7:$D$3006,MATCH(188,'CARNET DE SOUDURE'!$AT$7:$AT$3006,0)))</f>
        <v/>
      </c>
      <c r="F199" s="130" t="str">
        <f aca="false">IF($B199="","",INDEX('CARNET DE SOUDURE'!$R$7:$R$3006,MATCH(188,'CARNET DE SOUDURE'!$AT$7:$AT$3006,0))&amp;IF(INDEX('CARNET DE SOUDURE'!$S$7:$S$3006,MATCH(188,'CARNET DE SOUDURE'!$AT$7:$AT$3006,0))&lt;&gt;""," / "&amp;INDEX('CARNET DE SOUDURE'!$S$7:$S$3006,MATCH(188,'CARNET DE SOUDURE'!$AT$7:$AT$3006,0)),"")&amp;IF(INDEX('CARNET DE SOUDURE'!$T$7:$T$3006,MATCH(188,'CARNET DE SOUDURE'!$AT$7:$AT$3006,0))&lt;&gt;""," / "&amp;INDEX('CARNET DE SOUDURE'!$T$7:$T$3006,MATCH(188,'CARNET DE SOUDURE'!$AT$7:$AT$3006,0)),""))</f>
        <v/>
      </c>
      <c r="G199" s="131" t="str">
        <f aca="false">IF($B199="","",INDEX('CARNET DE SOUDURE'!$U$7:$U$3006,MATCH(188,'CARNET DE SOUDURE'!$AT$7:$AT$3006,0)))</f>
        <v/>
      </c>
      <c r="H199" s="132" t="str">
        <f aca="false">IF($B199="","",INDEX('CARNET DE SOUDURE'!$AQ$7:$AQ$3006,MATCH(188,'CARNET DE SOUDURE'!$AT$7:$AT$3006,0)))</f>
        <v/>
      </c>
      <c r="I199" s="133" t="str">
        <f aca="false">IF($B199="","",INDEX('CARNET DE SOUDURE'!$AO$7:$AO$3006,MATCH(188,'CARNET DE SOUDURE'!$AT$7:$AT$3006,0)))</f>
        <v/>
      </c>
      <c r="J199" s="133" t="str">
        <f aca="false">IF($B199="","",INDEX('CARNET DE SOUDURE'!$AR$7:$AR$3006,MATCH(188,'CARNET DE SOUDURE'!$AT$7:$AT$3006,0)))</f>
        <v/>
      </c>
      <c r="K199" s="129"/>
      <c r="L199" s="129"/>
    </row>
    <row r="200" customFormat="false" ht="15" hidden="false" customHeight="false" outlineLevel="0" collapsed="false">
      <c r="B200" s="125" t="str">
        <f aca="false">IF(189&gt;$I$4,"",189)</f>
        <v/>
      </c>
      <c r="C200" s="125" t="str">
        <f aca="false">IF($B200="","",INDEX('CARNET DE SOUDURE'!$B$7:$B$3006,MATCH(189,'CARNET DE SOUDURE'!$AT$7:$AT$3006,0)))</f>
        <v/>
      </c>
      <c r="D200" s="125" t="str">
        <f aca="false">IF($B200="","",INDEX('CARNET DE SOUDURE'!$E$7:$E$3006,MATCH(189,'CARNET DE SOUDURE'!$AT$7:$AT$3006,0)))</f>
        <v/>
      </c>
      <c r="E200" s="125" t="str">
        <f aca="false">IF($B200="","",INDEX('CARNET DE SOUDURE'!$D$7:$D$3006,MATCH(189,'CARNET DE SOUDURE'!$AT$7:$AT$3006,0)))</f>
        <v/>
      </c>
      <c r="F200" s="125" t="str">
        <f aca="false">IF($B200="","",INDEX('CARNET DE SOUDURE'!$R$7:$R$3006,MATCH(189,'CARNET DE SOUDURE'!$AT$7:$AT$3006,0))&amp;IF(INDEX('CARNET DE SOUDURE'!$S$7:$S$3006,MATCH(189,'CARNET DE SOUDURE'!$AT$7:$AT$3006,0))&lt;&gt;""," / "&amp;INDEX('CARNET DE SOUDURE'!$S$7:$S$3006,MATCH(189,'CARNET DE SOUDURE'!$AT$7:$AT$3006,0)),"")&amp;IF(INDEX('CARNET DE SOUDURE'!$T$7:$T$3006,MATCH(189,'CARNET DE SOUDURE'!$AT$7:$AT$3006,0))&lt;&gt;""," / "&amp;INDEX('CARNET DE SOUDURE'!$T$7:$T$3006,MATCH(189,'CARNET DE SOUDURE'!$AT$7:$AT$3006,0)),""))</f>
        <v/>
      </c>
      <c r="G200" s="126" t="str">
        <f aca="false">IF($B200="","",INDEX('CARNET DE SOUDURE'!$U$7:$U$3006,MATCH(189,'CARNET DE SOUDURE'!$AT$7:$AT$3006,0)))</f>
        <v/>
      </c>
      <c r="H200" s="127" t="str">
        <f aca="false">IF($B200="","",INDEX('CARNET DE SOUDURE'!$AQ$7:$AQ$3006,MATCH(189,'CARNET DE SOUDURE'!$AT$7:$AT$3006,0)))</f>
        <v/>
      </c>
      <c r="I200" s="128" t="str">
        <f aca="false">IF($B200="","",INDEX('CARNET DE SOUDURE'!$AO$7:$AO$3006,MATCH(189,'CARNET DE SOUDURE'!$AT$7:$AT$3006,0)))</f>
        <v/>
      </c>
      <c r="J200" s="128" t="str">
        <f aca="false">IF($B200="","",INDEX('CARNET DE SOUDURE'!$AR$7:$AR$3006,MATCH(189,'CARNET DE SOUDURE'!$AT$7:$AT$3006,0)))</f>
        <v/>
      </c>
      <c r="K200" s="129"/>
      <c r="L200" s="129"/>
    </row>
    <row r="201" customFormat="false" ht="15" hidden="false" customHeight="false" outlineLevel="0" collapsed="false">
      <c r="B201" s="130" t="str">
        <f aca="false">IF(190&gt;$I$4,"",190)</f>
        <v/>
      </c>
      <c r="C201" s="130" t="str">
        <f aca="false">IF($B201="","",INDEX('CARNET DE SOUDURE'!$B$7:$B$3006,MATCH(190,'CARNET DE SOUDURE'!$AT$7:$AT$3006,0)))</f>
        <v/>
      </c>
      <c r="D201" s="130" t="str">
        <f aca="false">IF($B201="","",INDEX('CARNET DE SOUDURE'!$E$7:$E$3006,MATCH(190,'CARNET DE SOUDURE'!$AT$7:$AT$3006,0)))</f>
        <v/>
      </c>
      <c r="E201" s="130" t="str">
        <f aca="false">IF($B201="","",INDEX('CARNET DE SOUDURE'!$D$7:$D$3006,MATCH(190,'CARNET DE SOUDURE'!$AT$7:$AT$3006,0)))</f>
        <v/>
      </c>
      <c r="F201" s="130" t="str">
        <f aca="false">IF($B201="","",INDEX('CARNET DE SOUDURE'!$R$7:$R$3006,MATCH(190,'CARNET DE SOUDURE'!$AT$7:$AT$3006,0))&amp;IF(INDEX('CARNET DE SOUDURE'!$S$7:$S$3006,MATCH(190,'CARNET DE SOUDURE'!$AT$7:$AT$3006,0))&lt;&gt;""," / "&amp;INDEX('CARNET DE SOUDURE'!$S$7:$S$3006,MATCH(190,'CARNET DE SOUDURE'!$AT$7:$AT$3006,0)),"")&amp;IF(INDEX('CARNET DE SOUDURE'!$T$7:$T$3006,MATCH(190,'CARNET DE SOUDURE'!$AT$7:$AT$3006,0))&lt;&gt;""," / "&amp;INDEX('CARNET DE SOUDURE'!$T$7:$T$3006,MATCH(190,'CARNET DE SOUDURE'!$AT$7:$AT$3006,0)),""))</f>
        <v/>
      </c>
      <c r="G201" s="131" t="str">
        <f aca="false">IF($B201="","",INDEX('CARNET DE SOUDURE'!$U$7:$U$3006,MATCH(190,'CARNET DE SOUDURE'!$AT$7:$AT$3006,0)))</f>
        <v/>
      </c>
      <c r="H201" s="132" t="str">
        <f aca="false">IF($B201="","",INDEX('CARNET DE SOUDURE'!$AQ$7:$AQ$3006,MATCH(190,'CARNET DE SOUDURE'!$AT$7:$AT$3006,0)))</f>
        <v/>
      </c>
      <c r="I201" s="133" t="str">
        <f aca="false">IF($B201="","",INDEX('CARNET DE SOUDURE'!$AO$7:$AO$3006,MATCH(190,'CARNET DE SOUDURE'!$AT$7:$AT$3006,0)))</f>
        <v/>
      </c>
      <c r="J201" s="133" t="str">
        <f aca="false">IF($B201="","",INDEX('CARNET DE SOUDURE'!$AR$7:$AR$3006,MATCH(190,'CARNET DE SOUDURE'!$AT$7:$AT$3006,0)))</f>
        <v/>
      </c>
      <c r="K201" s="129"/>
      <c r="L201" s="129"/>
    </row>
    <row r="202" customFormat="false" ht="15" hidden="false" customHeight="false" outlineLevel="0" collapsed="false">
      <c r="B202" s="125" t="str">
        <f aca="false">IF(191&gt;$I$4,"",191)</f>
        <v/>
      </c>
      <c r="C202" s="125" t="str">
        <f aca="false">IF($B202="","",INDEX('CARNET DE SOUDURE'!$B$7:$B$3006,MATCH(191,'CARNET DE SOUDURE'!$AT$7:$AT$3006,0)))</f>
        <v/>
      </c>
      <c r="D202" s="125" t="str">
        <f aca="false">IF($B202="","",INDEX('CARNET DE SOUDURE'!$E$7:$E$3006,MATCH(191,'CARNET DE SOUDURE'!$AT$7:$AT$3006,0)))</f>
        <v/>
      </c>
      <c r="E202" s="125" t="str">
        <f aca="false">IF($B202="","",INDEX('CARNET DE SOUDURE'!$D$7:$D$3006,MATCH(191,'CARNET DE SOUDURE'!$AT$7:$AT$3006,0)))</f>
        <v/>
      </c>
      <c r="F202" s="125" t="str">
        <f aca="false">IF($B202="","",INDEX('CARNET DE SOUDURE'!$R$7:$R$3006,MATCH(191,'CARNET DE SOUDURE'!$AT$7:$AT$3006,0))&amp;IF(INDEX('CARNET DE SOUDURE'!$S$7:$S$3006,MATCH(191,'CARNET DE SOUDURE'!$AT$7:$AT$3006,0))&lt;&gt;""," / "&amp;INDEX('CARNET DE SOUDURE'!$S$7:$S$3006,MATCH(191,'CARNET DE SOUDURE'!$AT$7:$AT$3006,0)),"")&amp;IF(INDEX('CARNET DE SOUDURE'!$T$7:$T$3006,MATCH(191,'CARNET DE SOUDURE'!$AT$7:$AT$3006,0))&lt;&gt;""," / "&amp;INDEX('CARNET DE SOUDURE'!$T$7:$T$3006,MATCH(191,'CARNET DE SOUDURE'!$AT$7:$AT$3006,0)),""))</f>
        <v/>
      </c>
      <c r="G202" s="126" t="str">
        <f aca="false">IF($B202="","",INDEX('CARNET DE SOUDURE'!$U$7:$U$3006,MATCH(191,'CARNET DE SOUDURE'!$AT$7:$AT$3006,0)))</f>
        <v/>
      </c>
      <c r="H202" s="127" t="str">
        <f aca="false">IF($B202="","",INDEX('CARNET DE SOUDURE'!$AQ$7:$AQ$3006,MATCH(191,'CARNET DE SOUDURE'!$AT$7:$AT$3006,0)))</f>
        <v/>
      </c>
      <c r="I202" s="128" t="str">
        <f aca="false">IF($B202="","",INDEX('CARNET DE SOUDURE'!$AO$7:$AO$3006,MATCH(191,'CARNET DE SOUDURE'!$AT$7:$AT$3006,0)))</f>
        <v/>
      </c>
      <c r="J202" s="128" t="str">
        <f aca="false">IF($B202="","",INDEX('CARNET DE SOUDURE'!$AR$7:$AR$3006,MATCH(191,'CARNET DE SOUDURE'!$AT$7:$AT$3006,0)))</f>
        <v/>
      </c>
      <c r="K202" s="129"/>
      <c r="L202" s="129"/>
    </row>
    <row r="203" customFormat="false" ht="15" hidden="false" customHeight="false" outlineLevel="0" collapsed="false">
      <c r="B203" s="130" t="str">
        <f aca="false">IF(192&gt;$I$4,"",192)</f>
        <v/>
      </c>
      <c r="C203" s="130" t="str">
        <f aca="false">IF($B203="","",INDEX('CARNET DE SOUDURE'!$B$7:$B$3006,MATCH(192,'CARNET DE SOUDURE'!$AT$7:$AT$3006,0)))</f>
        <v/>
      </c>
      <c r="D203" s="130" t="str">
        <f aca="false">IF($B203="","",INDEX('CARNET DE SOUDURE'!$E$7:$E$3006,MATCH(192,'CARNET DE SOUDURE'!$AT$7:$AT$3006,0)))</f>
        <v/>
      </c>
      <c r="E203" s="130" t="str">
        <f aca="false">IF($B203="","",INDEX('CARNET DE SOUDURE'!$D$7:$D$3006,MATCH(192,'CARNET DE SOUDURE'!$AT$7:$AT$3006,0)))</f>
        <v/>
      </c>
      <c r="F203" s="130" t="str">
        <f aca="false">IF($B203="","",INDEX('CARNET DE SOUDURE'!$R$7:$R$3006,MATCH(192,'CARNET DE SOUDURE'!$AT$7:$AT$3006,0))&amp;IF(INDEX('CARNET DE SOUDURE'!$S$7:$S$3006,MATCH(192,'CARNET DE SOUDURE'!$AT$7:$AT$3006,0))&lt;&gt;""," / "&amp;INDEX('CARNET DE SOUDURE'!$S$7:$S$3006,MATCH(192,'CARNET DE SOUDURE'!$AT$7:$AT$3006,0)),"")&amp;IF(INDEX('CARNET DE SOUDURE'!$T$7:$T$3006,MATCH(192,'CARNET DE SOUDURE'!$AT$7:$AT$3006,0))&lt;&gt;""," / "&amp;INDEX('CARNET DE SOUDURE'!$T$7:$T$3006,MATCH(192,'CARNET DE SOUDURE'!$AT$7:$AT$3006,0)),""))</f>
        <v/>
      </c>
      <c r="G203" s="131" t="str">
        <f aca="false">IF($B203="","",INDEX('CARNET DE SOUDURE'!$U$7:$U$3006,MATCH(192,'CARNET DE SOUDURE'!$AT$7:$AT$3006,0)))</f>
        <v/>
      </c>
      <c r="H203" s="132" t="str">
        <f aca="false">IF($B203="","",INDEX('CARNET DE SOUDURE'!$AQ$7:$AQ$3006,MATCH(192,'CARNET DE SOUDURE'!$AT$7:$AT$3006,0)))</f>
        <v/>
      </c>
      <c r="I203" s="133" t="str">
        <f aca="false">IF($B203="","",INDEX('CARNET DE SOUDURE'!$AO$7:$AO$3006,MATCH(192,'CARNET DE SOUDURE'!$AT$7:$AT$3006,0)))</f>
        <v/>
      </c>
      <c r="J203" s="133" t="str">
        <f aca="false">IF($B203="","",INDEX('CARNET DE SOUDURE'!$AR$7:$AR$3006,MATCH(192,'CARNET DE SOUDURE'!$AT$7:$AT$3006,0)))</f>
        <v/>
      </c>
      <c r="K203" s="129"/>
      <c r="L203" s="129"/>
    </row>
    <row r="204" customFormat="false" ht="15" hidden="false" customHeight="false" outlineLevel="0" collapsed="false">
      <c r="B204" s="125" t="str">
        <f aca="false">IF(193&gt;$I$4,"",193)</f>
        <v/>
      </c>
      <c r="C204" s="125" t="str">
        <f aca="false">IF($B204="","",INDEX('CARNET DE SOUDURE'!$B$7:$B$3006,MATCH(193,'CARNET DE SOUDURE'!$AT$7:$AT$3006,0)))</f>
        <v/>
      </c>
      <c r="D204" s="125" t="str">
        <f aca="false">IF($B204="","",INDEX('CARNET DE SOUDURE'!$E$7:$E$3006,MATCH(193,'CARNET DE SOUDURE'!$AT$7:$AT$3006,0)))</f>
        <v/>
      </c>
      <c r="E204" s="125" t="str">
        <f aca="false">IF($B204="","",INDEX('CARNET DE SOUDURE'!$D$7:$D$3006,MATCH(193,'CARNET DE SOUDURE'!$AT$7:$AT$3006,0)))</f>
        <v/>
      </c>
      <c r="F204" s="125" t="str">
        <f aca="false">IF($B204="","",INDEX('CARNET DE SOUDURE'!$R$7:$R$3006,MATCH(193,'CARNET DE SOUDURE'!$AT$7:$AT$3006,0))&amp;IF(INDEX('CARNET DE SOUDURE'!$S$7:$S$3006,MATCH(193,'CARNET DE SOUDURE'!$AT$7:$AT$3006,0))&lt;&gt;""," / "&amp;INDEX('CARNET DE SOUDURE'!$S$7:$S$3006,MATCH(193,'CARNET DE SOUDURE'!$AT$7:$AT$3006,0)),"")&amp;IF(INDEX('CARNET DE SOUDURE'!$T$7:$T$3006,MATCH(193,'CARNET DE SOUDURE'!$AT$7:$AT$3006,0))&lt;&gt;""," / "&amp;INDEX('CARNET DE SOUDURE'!$T$7:$T$3006,MATCH(193,'CARNET DE SOUDURE'!$AT$7:$AT$3006,0)),""))</f>
        <v/>
      </c>
      <c r="G204" s="126" t="str">
        <f aca="false">IF($B204="","",INDEX('CARNET DE SOUDURE'!$U$7:$U$3006,MATCH(193,'CARNET DE SOUDURE'!$AT$7:$AT$3006,0)))</f>
        <v/>
      </c>
      <c r="H204" s="127" t="str">
        <f aca="false">IF($B204="","",INDEX('CARNET DE SOUDURE'!$AQ$7:$AQ$3006,MATCH(193,'CARNET DE SOUDURE'!$AT$7:$AT$3006,0)))</f>
        <v/>
      </c>
      <c r="I204" s="128" t="str">
        <f aca="false">IF($B204="","",INDEX('CARNET DE SOUDURE'!$AO$7:$AO$3006,MATCH(193,'CARNET DE SOUDURE'!$AT$7:$AT$3006,0)))</f>
        <v/>
      </c>
      <c r="J204" s="128" t="str">
        <f aca="false">IF($B204="","",INDEX('CARNET DE SOUDURE'!$AR$7:$AR$3006,MATCH(193,'CARNET DE SOUDURE'!$AT$7:$AT$3006,0)))</f>
        <v/>
      </c>
      <c r="K204" s="129"/>
      <c r="L204" s="129"/>
    </row>
    <row r="205" customFormat="false" ht="15" hidden="false" customHeight="false" outlineLevel="0" collapsed="false">
      <c r="B205" s="130" t="str">
        <f aca="false">IF(194&gt;$I$4,"",194)</f>
        <v/>
      </c>
      <c r="C205" s="130" t="str">
        <f aca="false">IF($B205="","",INDEX('CARNET DE SOUDURE'!$B$7:$B$3006,MATCH(194,'CARNET DE SOUDURE'!$AT$7:$AT$3006,0)))</f>
        <v/>
      </c>
      <c r="D205" s="130" t="str">
        <f aca="false">IF($B205="","",INDEX('CARNET DE SOUDURE'!$E$7:$E$3006,MATCH(194,'CARNET DE SOUDURE'!$AT$7:$AT$3006,0)))</f>
        <v/>
      </c>
      <c r="E205" s="130" t="str">
        <f aca="false">IF($B205="","",INDEX('CARNET DE SOUDURE'!$D$7:$D$3006,MATCH(194,'CARNET DE SOUDURE'!$AT$7:$AT$3006,0)))</f>
        <v/>
      </c>
      <c r="F205" s="130" t="str">
        <f aca="false">IF($B205="","",INDEX('CARNET DE SOUDURE'!$R$7:$R$3006,MATCH(194,'CARNET DE SOUDURE'!$AT$7:$AT$3006,0))&amp;IF(INDEX('CARNET DE SOUDURE'!$S$7:$S$3006,MATCH(194,'CARNET DE SOUDURE'!$AT$7:$AT$3006,0))&lt;&gt;""," / "&amp;INDEX('CARNET DE SOUDURE'!$S$7:$S$3006,MATCH(194,'CARNET DE SOUDURE'!$AT$7:$AT$3006,0)),"")&amp;IF(INDEX('CARNET DE SOUDURE'!$T$7:$T$3006,MATCH(194,'CARNET DE SOUDURE'!$AT$7:$AT$3006,0))&lt;&gt;""," / "&amp;INDEX('CARNET DE SOUDURE'!$T$7:$T$3006,MATCH(194,'CARNET DE SOUDURE'!$AT$7:$AT$3006,0)),""))</f>
        <v/>
      </c>
      <c r="G205" s="131" t="str">
        <f aca="false">IF($B205="","",INDEX('CARNET DE SOUDURE'!$U$7:$U$3006,MATCH(194,'CARNET DE SOUDURE'!$AT$7:$AT$3006,0)))</f>
        <v/>
      </c>
      <c r="H205" s="132" t="str">
        <f aca="false">IF($B205="","",INDEX('CARNET DE SOUDURE'!$AQ$7:$AQ$3006,MATCH(194,'CARNET DE SOUDURE'!$AT$7:$AT$3006,0)))</f>
        <v/>
      </c>
      <c r="I205" s="133" t="str">
        <f aca="false">IF($B205="","",INDEX('CARNET DE SOUDURE'!$AO$7:$AO$3006,MATCH(194,'CARNET DE SOUDURE'!$AT$7:$AT$3006,0)))</f>
        <v/>
      </c>
      <c r="J205" s="133" t="str">
        <f aca="false">IF($B205="","",INDEX('CARNET DE SOUDURE'!$AR$7:$AR$3006,MATCH(194,'CARNET DE SOUDURE'!$AT$7:$AT$3006,0)))</f>
        <v/>
      </c>
      <c r="K205" s="129"/>
      <c r="L205" s="129"/>
    </row>
    <row r="206" customFormat="false" ht="15" hidden="false" customHeight="false" outlineLevel="0" collapsed="false">
      <c r="B206" s="125" t="str">
        <f aca="false">IF(195&gt;$I$4,"",195)</f>
        <v/>
      </c>
      <c r="C206" s="125" t="str">
        <f aca="false">IF($B206="","",INDEX('CARNET DE SOUDURE'!$B$7:$B$3006,MATCH(195,'CARNET DE SOUDURE'!$AT$7:$AT$3006,0)))</f>
        <v/>
      </c>
      <c r="D206" s="125" t="str">
        <f aca="false">IF($B206="","",INDEX('CARNET DE SOUDURE'!$E$7:$E$3006,MATCH(195,'CARNET DE SOUDURE'!$AT$7:$AT$3006,0)))</f>
        <v/>
      </c>
      <c r="E206" s="125" t="str">
        <f aca="false">IF($B206="","",INDEX('CARNET DE SOUDURE'!$D$7:$D$3006,MATCH(195,'CARNET DE SOUDURE'!$AT$7:$AT$3006,0)))</f>
        <v/>
      </c>
      <c r="F206" s="125" t="str">
        <f aca="false">IF($B206="","",INDEX('CARNET DE SOUDURE'!$R$7:$R$3006,MATCH(195,'CARNET DE SOUDURE'!$AT$7:$AT$3006,0))&amp;IF(INDEX('CARNET DE SOUDURE'!$S$7:$S$3006,MATCH(195,'CARNET DE SOUDURE'!$AT$7:$AT$3006,0))&lt;&gt;""," / "&amp;INDEX('CARNET DE SOUDURE'!$S$7:$S$3006,MATCH(195,'CARNET DE SOUDURE'!$AT$7:$AT$3006,0)),"")&amp;IF(INDEX('CARNET DE SOUDURE'!$T$7:$T$3006,MATCH(195,'CARNET DE SOUDURE'!$AT$7:$AT$3006,0))&lt;&gt;""," / "&amp;INDEX('CARNET DE SOUDURE'!$T$7:$T$3006,MATCH(195,'CARNET DE SOUDURE'!$AT$7:$AT$3006,0)),""))</f>
        <v/>
      </c>
      <c r="G206" s="126" t="str">
        <f aca="false">IF($B206="","",INDEX('CARNET DE SOUDURE'!$U$7:$U$3006,MATCH(195,'CARNET DE SOUDURE'!$AT$7:$AT$3006,0)))</f>
        <v/>
      </c>
      <c r="H206" s="127" t="str">
        <f aca="false">IF($B206="","",INDEX('CARNET DE SOUDURE'!$AQ$7:$AQ$3006,MATCH(195,'CARNET DE SOUDURE'!$AT$7:$AT$3006,0)))</f>
        <v/>
      </c>
      <c r="I206" s="128" t="str">
        <f aca="false">IF($B206="","",INDEX('CARNET DE SOUDURE'!$AO$7:$AO$3006,MATCH(195,'CARNET DE SOUDURE'!$AT$7:$AT$3006,0)))</f>
        <v/>
      </c>
      <c r="J206" s="128" t="str">
        <f aca="false">IF($B206="","",INDEX('CARNET DE SOUDURE'!$AR$7:$AR$3006,MATCH(195,'CARNET DE SOUDURE'!$AT$7:$AT$3006,0)))</f>
        <v/>
      </c>
      <c r="K206" s="129"/>
      <c r="L206" s="129"/>
    </row>
    <row r="207" customFormat="false" ht="15" hidden="false" customHeight="false" outlineLevel="0" collapsed="false">
      <c r="B207" s="130" t="str">
        <f aca="false">IF(196&gt;$I$4,"",196)</f>
        <v/>
      </c>
      <c r="C207" s="130" t="str">
        <f aca="false">IF($B207="","",INDEX('CARNET DE SOUDURE'!$B$7:$B$3006,MATCH(196,'CARNET DE SOUDURE'!$AT$7:$AT$3006,0)))</f>
        <v/>
      </c>
      <c r="D207" s="130" t="str">
        <f aca="false">IF($B207="","",INDEX('CARNET DE SOUDURE'!$E$7:$E$3006,MATCH(196,'CARNET DE SOUDURE'!$AT$7:$AT$3006,0)))</f>
        <v/>
      </c>
      <c r="E207" s="130" t="str">
        <f aca="false">IF($B207="","",INDEX('CARNET DE SOUDURE'!$D$7:$D$3006,MATCH(196,'CARNET DE SOUDURE'!$AT$7:$AT$3006,0)))</f>
        <v/>
      </c>
      <c r="F207" s="130" t="str">
        <f aca="false">IF($B207="","",INDEX('CARNET DE SOUDURE'!$R$7:$R$3006,MATCH(196,'CARNET DE SOUDURE'!$AT$7:$AT$3006,0))&amp;IF(INDEX('CARNET DE SOUDURE'!$S$7:$S$3006,MATCH(196,'CARNET DE SOUDURE'!$AT$7:$AT$3006,0))&lt;&gt;""," / "&amp;INDEX('CARNET DE SOUDURE'!$S$7:$S$3006,MATCH(196,'CARNET DE SOUDURE'!$AT$7:$AT$3006,0)),"")&amp;IF(INDEX('CARNET DE SOUDURE'!$T$7:$T$3006,MATCH(196,'CARNET DE SOUDURE'!$AT$7:$AT$3006,0))&lt;&gt;""," / "&amp;INDEX('CARNET DE SOUDURE'!$T$7:$T$3006,MATCH(196,'CARNET DE SOUDURE'!$AT$7:$AT$3006,0)),""))</f>
        <v/>
      </c>
      <c r="G207" s="131" t="str">
        <f aca="false">IF($B207="","",INDEX('CARNET DE SOUDURE'!$U$7:$U$3006,MATCH(196,'CARNET DE SOUDURE'!$AT$7:$AT$3006,0)))</f>
        <v/>
      </c>
      <c r="H207" s="132" t="str">
        <f aca="false">IF($B207="","",INDEX('CARNET DE SOUDURE'!$AQ$7:$AQ$3006,MATCH(196,'CARNET DE SOUDURE'!$AT$7:$AT$3006,0)))</f>
        <v/>
      </c>
      <c r="I207" s="133" t="str">
        <f aca="false">IF($B207="","",INDEX('CARNET DE SOUDURE'!$AO$7:$AO$3006,MATCH(196,'CARNET DE SOUDURE'!$AT$7:$AT$3006,0)))</f>
        <v/>
      </c>
      <c r="J207" s="133" t="str">
        <f aca="false">IF($B207="","",INDEX('CARNET DE SOUDURE'!$AR$7:$AR$3006,MATCH(196,'CARNET DE SOUDURE'!$AT$7:$AT$3006,0)))</f>
        <v/>
      </c>
      <c r="K207" s="129"/>
      <c r="L207" s="129"/>
    </row>
    <row r="208" customFormat="false" ht="15" hidden="false" customHeight="false" outlineLevel="0" collapsed="false">
      <c r="B208" s="125" t="str">
        <f aca="false">IF(197&gt;$I$4,"",197)</f>
        <v/>
      </c>
      <c r="C208" s="125" t="str">
        <f aca="false">IF($B208="","",INDEX('CARNET DE SOUDURE'!$B$7:$B$3006,MATCH(197,'CARNET DE SOUDURE'!$AT$7:$AT$3006,0)))</f>
        <v/>
      </c>
      <c r="D208" s="125" t="str">
        <f aca="false">IF($B208="","",INDEX('CARNET DE SOUDURE'!$E$7:$E$3006,MATCH(197,'CARNET DE SOUDURE'!$AT$7:$AT$3006,0)))</f>
        <v/>
      </c>
      <c r="E208" s="125" t="str">
        <f aca="false">IF($B208="","",INDEX('CARNET DE SOUDURE'!$D$7:$D$3006,MATCH(197,'CARNET DE SOUDURE'!$AT$7:$AT$3006,0)))</f>
        <v/>
      </c>
      <c r="F208" s="125" t="str">
        <f aca="false">IF($B208="","",INDEX('CARNET DE SOUDURE'!$R$7:$R$3006,MATCH(197,'CARNET DE SOUDURE'!$AT$7:$AT$3006,0))&amp;IF(INDEX('CARNET DE SOUDURE'!$S$7:$S$3006,MATCH(197,'CARNET DE SOUDURE'!$AT$7:$AT$3006,0))&lt;&gt;""," / "&amp;INDEX('CARNET DE SOUDURE'!$S$7:$S$3006,MATCH(197,'CARNET DE SOUDURE'!$AT$7:$AT$3006,0)),"")&amp;IF(INDEX('CARNET DE SOUDURE'!$T$7:$T$3006,MATCH(197,'CARNET DE SOUDURE'!$AT$7:$AT$3006,0))&lt;&gt;""," / "&amp;INDEX('CARNET DE SOUDURE'!$T$7:$T$3006,MATCH(197,'CARNET DE SOUDURE'!$AT$7:$AT$3006,0)),""))</f>
        <v/>
      </c>
      <c r="G208" s="126" t="str">
        <f aca="false">IF($B208="","",INDEX('CARNET DE SOUDURE'!$U$7:$U$3006,MATCH(197,'CARNET DE SOUDURE'!$AT$7:$AT$3006,0)))</f>
        <v/>
      </c>
      <c r="H208" s="127" t="str">
        <f aca="false">IF($B208="","",INDEX('CARNET DE SOUDURE'!$AQ$7:$AQ$3006,MATCH(197,'CARNET DE SOUDURE'!$AT$7:$AT$3006,0)))</f>
        <v/>
      </c>
      <c r="I208" s="128" t="str">
        <f aca="false">IF($B208="","",INDEX('CARNET DE SOUDURE'!$AO$7:$AO$3006,MATCH(197,'CARNET DE SOUDURE'!$AT$7:$AT$3006,0)))</f>
        <v/>
      </c>
      <c r="J208" s="128" t="str">
        <f aca="false">IF($B208="","",INDEX('CARNET DE SOUDURE'!$AR$7:$AR$3006,MATCH(197,'CARNET DE SOUDURE'!$AT$7:$AT$3006,0)))</f>
        <v/>
      </c>
      <c r="K208" s="129"/>
      <c r="L208" s="129"/>
    </row>
    <row r="209" customFormat="false" ht="15" hidden="false" customHeight="false" outlineLevel="0" collapsed="false">
      <c r="B209" s="130" t="str">
        <f aca="false">IF(198&gt;$I$4,"",198)</f>
        <v/>
      </c>
      <c r="C209" s="130" t="str">
        <f aca="false">IF($B209="","",INDEX('CARNET DE SOUDURE'!$B$7:$B$3006,MATCH(198,'CARNET DE SOUDURE'!$AT$7:$AT$3006,0)))</f>
        <v/>
      </c>
      <c r="D209" s="130" t="str">
        <f aca="false">IF($B209="","",INDEX('CARNET DE SOUDURE'!$E$7:$E$3006,MATCH(198,'CARNET DE SOUDURE'!$AT$7:$AT$3006,0)))</f>
        <v/>
      </c>
      <c r="E209" s="130" t="str">
        <f aca="false">IF($B209="","",INDEX('CARNET DE SOUDURE'!$D$7:$D$3006,MATCH(198,'CARNET DE SOUDURE'!$AT$7:$AT$3006,0)))</f>
        <v/>
      </c>
      <c r="F209" s="130" t="str">
        <f aca="false">IF($B209="","",INDEX('CARNET DE SOUDURE'!$R$7:$R$3006,MATCH(198,'CARNET DE SOUDURE'!$AT$7:$AT$3006,0))&amp;IF(INDEX('CARNET DE SOUDURE'!$S$7:$S$3006,MATCH(198,'CARNET DE SOUDURE'!$AT$7:$AT$3006,0))&lt;&gt;""," / "&amp;INDEX('CARNET DE SOUDURE'!$S$7:$S$3006,MATCH(198,'CARNET DE SOUDURE'!$AT$7:$AT$3006,0)),"")&amp;IF(INDEX('CARNET DE SOUDURE'!$T$7:$T$3006,MATCH(198,'CARNET DE SOUDURE'!$AT$7:$AT$3006,0))&lt;&gt;""," / "&amp;INDEX('CARNET DE SOUDURE'!$T$7:$T$3006,MATCH(198,'CARNET DE SOUDURE'!$AT$7:$AT$3006,0)),""))</f>
        <v/>
      </c>
      <c r="G209" s="131" t="str">
        <f aca="false">IF($B209="","",INDEX('CARNET DE SOUDURE'!$U$7:$U$3006,MATCH(198,'CARNET DE SOUDURE'!$AT$7:$AT$3006,0)))</f>
        <v/>
      </c>
      <c r="H209" s="132" t="str">
        <f aca="false">IF($B209="","",INDEX('CARNET DE SOUDURE'!$AQ$7:$AQ$3006,MATCH(198,'CARNET DE SOUDURE'!$AT$7:$AT$3006,0)))</f>
        <v/>
      </c>
      <c r="I209" s="133" t="str">
        <f aca="false">IF($B209="","",INDEX('CARNET DE SOUDURE'!$AO$7:$AO$3006,MATCH(198,'CARNET DE SOUDURE'!$AT$7:$AT$3006,0)))</f>
        <v/>
      </c>
      <c r="J209" s="133" t="str">
        <f aca="false">IF($B209="","",INDEX('CARNET DE SOUDURE'!$AR$7:$AR$3006,MATCH(198,'CARNET DE SOUDURE'!$AT$7:$AT$3006,0)))</f>
        <v/>
      </c>
      <c r="K209" s="129"/>
      <c r="L209" s="129"/>
    </row>
    <row r="210" customFormat="false" ht="15" hidden="false" customHeight="false" outlineLevel="0" collapsed="false">
      <c r="B210" s="125" t="str">
        <f aca="false">IF(199&gt;$I$4,"",199)</f>
        <v/>
      </c>
      <c r="C210" s="125" t="str">
        <f aca="false">IF($B210="","",INDEX('CARNET DE SOUDURE'!$B$7:$B$3006,MATCH(199,'CARNET DE SOUDURE'!$AT$7:$AT$3006,0)))</f>
        <v/>
      </c>
      <c r="D210" s="125" t="str">
        <f aca="false">IF($B210="","",INDEX('CARNET DE SOUDURE'!$E$7:$E$3006,MATCH(199,'CARNET DE SOUDURE'!$AT$7:$AT$3006,0)))</f>
        <v/>
      </c>
      <c r="E210" s="125" t="str">
        <f aca="false">IF($B210="","",INDEX('CARNET DE SOUDURE'!$D$7:$D$3006,MATCH(199,'CARNET DE SOUDURE'!$AT$7:$AT$3006,0)))</f>
        <v/>
      </c>
      <c r="F210" s="125" t="str">
        <f aca="false">IF($B210="","",INDEX('CARNET DE SOUDURE'!$R$7:$R$3006,MATCH(199,'CARNET DE SOUDURE'!$AT$7:$AT$3006,0))&amp;IF(INDEX('CARNET DE SOUDURE'!$S$7:$S$3006,MATCH(199,'CARNET DE SOUDURE'!$AT$7:$AT$3006,0))&lt;&gt;""," / "&amp;INDEX('CARNET DE SOUDURE'!$S$7:$S$3006,MATCH(199,'CARNET DE SOUDURE'!$AT$7:$AT$3006,0)),"")&amp;IF(INDEX('CARNET DE SOUDURE'!$T$7:$T$3006,MATCH(199,'CARNET DE SOUDURE'!$AT$7:$AT$3006,0))&lt;&gt;""," / "&amp;INDEX('CARNET DE SOUDURE'!$T$7:$T$3006,MATCH(199,'CARNET DE SOUDURE'!$AT$7:$AT$3006,0)),""))</f>
        <v/>
      </c>
      <c r="G210" s="126" t="str">
        <f aca="false">IF($B210="","",INDEX('CARNET DE SOUDURE'!$U$7:$U$3006,MATCH(199,'CARNET DE SOUDURE'!$AT$7:$AT$3006,0)))</f>
        <v/>
      </c>
      <c r="H210" s="127" t="str">
        <f aca="false">IF($B210="","",INDEX('CARNET DE SOUDURE'!$AQ$7:$AQ$3006,MATCH(199,'CARNET DE SOUDURE'!$AT$7:$AT$3006,0)))</f>
        <v/>
      </c>
      <c r="I210" s="128" t="str">
        <f aca="false">IF($B210="","",INDEX('CARNET DE SOUDURE'!$AO$7:$AO$3006,MATCH(199,'CARNET DE SOUDURE'!$AT$7:$AT$3006,0)))</f>
        <v/>
      </c>
      <c r="J210" s="128" t="str">
        <f aca="false">IF($B210="","",INDEX('CARNET DE SOUDURE'!$AR$7:$AR$3006,MATCH(199,'CARNET DE SOUDURE'!$AT$7:$AT$3006,0)))</f>
        <v/>
      </c>
      <c r="K210" s="129"/>
      <c r="L210" s="129"/>
    </row>
    <row r="211" customFormat="false" ht="15" hidden="false" customHeight="false" outlineLevel="0" collapsed="false">
      <c r="B211" s="130" t="str">
        <f aca="false">IF(200&gt;$I$4,"",200)</f>
        <v/>
      </c>
      <c r="C211" s="130" t="str">
        <f aca="false">IF($B211="","",INDEX('CARNET DE SOUDURE'!$B$7:$B$3006,MATCH(200,'CARNET DE SOUDURE'!$AT$7:$AT$3006,0)))</f>
        <v/>
      </c>
      <c r="D211" s="130" t="str">
        <f aca="false">IF($B211="","",INDEX('CARNET DE SOUDURE'!$E$7:$E$3006,MATCH(200,'CARNET DE SOUDURE'!$AT$7:$AT$3006,0)))</f>
        <v/>
      </c>
      <c r="E211" s="130" t="str">
        <f aca="false">IF($B211="","",INDEX('CARNET DE SOUDURE'!$D$7:$D$3006,MATCH(200,'CARNET DE SOUDURE'!$AT$7:$AT$3006,0)))</f>
        <v/>
      </c>
      <c r="F211" s="130" t="str">
        <f aca="false">IF($B211="","",INDEX('CARNET DE SOUDURE'!$R$7:$R$3006,MATCH(200,'CARNET DE SOUDURE'!$AT$7:$AT$3006,0))&amp;IF(INDEX('CARNET DE SOUDURE'!$S$7:$S$3006,MATCH(200,'CARNET DE SOUDURE'!$AT$7:$AT$3006,0))&lt;&gt;""," / "&amp;INDEX('CARNET DE SOUDURE'!$S$7:$S$3006,MATCH(200,'CARNET DE SOUDURE'!$AT$7:$AT$3006,0)),"")&amp;IF(INDEX('CARNET DE SOUDURE'!$T$7:$T$3006,MATCH(200,'CARNET DE SOUDURE'!$AT$7:$AT$3006,0))&lt;&gt;""," / "&amp;INDEX('CARNET DE SOUDURE'!$T$7:$T$3006,MATCH(200,'CARNET DE SOUDURE'!$AT$7:$AT$3006,0)),""))</f>
        <v/>
      </c>
      <c r="G211" s="131" t="str">
        <f aca="false">IF($B211="","",INDEX('CARNET DE SOUDURE'!$U$7:$U$3006,MATCH(200,'CARNET DE SOUDURE'!$AT$7:$AT$3006,0)))</f>
        <v/>
      </c>
      <c r="H211" s="132" t="str">
        <f aca="false">IF($B211="","",INDEX('CARNET DE SOUDURE'!$AQ$7:$AQ$3006,MATCH(200,'CARNET DE SOUDURE'!$AT$7:$AT$3006,0)))</f>
        <v/>
      </c>
      <c r="I211" s="133" t="str">
        <f aca="false">IF($B211="","",INDEX('CARNET DE SOUDURE'!$AO$7:$AO$3006,MATCH(200,'CARNET DE SOUDURE'!$AT$7:$AT$3006,0)))</f>
        <v/>
      </c>
      <c r="J211" s="133" t="str">
        <f aca="false">IF($B211="","",INDEX('CARNET DE SOUDURE'!$AR$7:$AR$3006,MATCH(200,'CARNET DE SOUDURE'!$AT$7:$AT$3006,0)))</f>
        <v/>
      </c>
      <c r="K211" s="129"/>
      <c r="L211" s="129"/>
    </row>
    <row r="212" customFormat="false" ht="15" hidden="false" customHeight="false" outlineLevel="0" collapsed="false">
      <c r="B212" s="125" t="str">
        <f aca="false">IF(201&gt;$I$4,"",201)</f>
        <v/>
      </c>
      <c r="C212" s="125" t="str">
        <f aca="false">IF($B212="","",INDEX('CARNET DE SOUDURE'!$B$7:$B$3006,MATCH(201,'CARNET DE SOUDURE'!$AT$7:$AT$3006,0)))</f>
        <v/>
      </c>
      <c r="D212" s="125" t="str">
        <f aca="false">IF($B212="","",INDEX('CARNET DE SOUDURE'!$E$7:$E$3006,MATCH(201,'CARNET DE SOUDURE'!$AT$7:$AT$3006,0)))</f>
        <v/>
      </c>
      <c r="E212" s="125" t="str">
        <f aca="false">IF($B212="","",INDEX('CARNET DE SOUDURE'!$D$7:$D$3006,MATCH(201,'CARNET DE SOUDURE'!$AT$7:$AT$3006,0)))</f>
        <v/>
      </c>
      <c r="F212" s="125" t="str">
        <f aca="false">IF($B212="","",INDEX('CARNET DE SOUDURE'!$R$7:$R$3006,MATCH(201,'CARNET DE SOUDURE'!$AT$7:$AT$3006,0))&amp;IF(INDEX('CARNET DE SOUDURE'!$S$7:$S$3006,MATCH(201,'CARNET DE SOUDURE'!$AT$7:$AT$3006,0))&lt;&gt;""," / "&amp;INDEX('CARNET DE SOUDURE'!$S$7:$S$3006,MATCH(201,'CARNET DE SOUDURE'!$AT$7:$AT$3006,0)),"")&amp;IF(INDEX('CARNET DE SOUDURE'!$T$7:$T$3006,MATCH(201,'CARNET DE SOUDURE'!$AT$7:$AT$3006,0))&lt;&gt;""," / "&amp;INDEX('CARNET DE SOUDURE'!$T$7:$T$3006,MATCH(201,'CARNET DE SOUDURE'!$AT$7:$AT$3006,0)),""))</f>
        <v/>
      </c>
      <c r="G212" s="126" t="str">
        <f aca="false">IF($B212="","",INDEX('CARNET DE SOUDURE'!$U$7:$U$3006,MATCH(201,'CARNET DE SOUDURE'!$AT$7:$AT$3006,0)))</f>
        <v/>
      </c>
      <c r="H212" s="127" t="str">
        <f aca="false">IF($B212="","",INDEX('CARNET DE SOUDURE'!$AQ$7:$AQ$3006,MATCH(201,'CARNET DE SOUDURE'!$AT$7:$AT$3006,0)))</f>
        <v/>
      </c>
      <c r="I212" s="128" t="str">
        <f aca="false">IF($B212="","",INDEX('CARNET DE SOUDURE'!$AO$7:$AO$3006,MATCH(201,'CARNET DE SOUDURE'!$AT$7:$AT$3006,0)))</f>
        <v/>
      </c>
      <c r="J212" s="128" t="str">
        <f aca="false">IF($B212="","",INDEX('CARNET DE SOUDURE'!$AR$7:$AR$3006,MATCH(201,'CARNET DE SOUDURE'!$AT$7:$AT$3006,0)))</f>
        <v/>
      </c>
      <c r="K212" s="129"/>
      <c r="L212" s="129"/>
    </row>
    <row r="213" customFormat="false" ht="15" hidden="false" customHeight="false" outlineLevel="0" collapsed="false">
      <c r="B213" s="130" t="str">
        <f aca="false">IF(202&gt;$I$4,"",202)</f>
        <v/>
      </c>
      <c r="C213" s="130" t="str">
        <f aca="false">IF($B213="","",INDEX('CARNET DE SOUDURE'!$B$7:$B$3006,MATCH(202,'CARNET DE SOUDURE'!$AT$7:$AT$3006,0)))</f>
        <v/>
      </c>
      <c r="D213" s="130" t="str">
        <f aca="false">IF($B213="","",INDEX('CARNET DE SOUDURE'!$E$7:$E$3006,MATCH(202,'CARNET DE SOUDURE'!$AT$7:$AT$3006,0)))</f>
        <v/>
      </c>
      <c r="E213" s="130" t="str">
        <f aca="false">IF($B213="","",INDEX('CARNET DE SOUDURE'!$D$7:$D$3006,MATCH(202,'CARNET DE SOUDURE'!$AT$7:$AT$3006,0)))</f>
        <v/>
      </c>
      <c r="F213" s="130" t="str">
        <f aca="false">IF($B213="","",INDEX('CARNET DE SOUDURE'!$R$7:$R$3006,MATCH(202,'CARNET DE SOUDURE'!$AT$7:$AT$3006,0))&amp;IF(INDEX('CARNET DE SOUDURE'!$S$7:$S$3006,MATCH(202,'CARNET DE SOUDURE'!$AT$7:$AT$3006,0))&lt;&gt;""," / "&amp;INDEX('CARNET DE SOUDURE'!$S$7:$S$3006,MATCH(202,'CARNET DE SOUDURE'!$AT$7:$AT$3006,0)),"")&amp;IF(INDEX('CARNET DE SOUDURE'!$T$7:$T$3006,MATCH(202,'CARNET DE SOUDURE'!$AT$7:$AT$3006,0))&lt;&gt;""," / "&amp;INDEX('CARNET DE SOUDURE'!$T$7:$T$3006,MATCH(202,'CARNET DE SOUDURE'!$AT$7:$AT$3006,0)),""))</f>
        <v/>
      </c>
      <c r="G213" s="131" t="str">
        <f aca="false">IF($B213="","",INDEX('CARNET DE SOUDURE'!$U$7:$U$3006,MATCH(202,'CARNET DE SOUDURE'!$AT$7:$AT$3006,0)))</f>
        <v/>
      </c>
      <c r="H213" s="132" t="str">
        <f aca="false">IF($B213="","",INDEX('CARNET DE SOUDURE'!$AQ$7:$AQ$3006,MATCH(202,'CARNET DE SOUDURE'!$AT$7:$AT$3006,0)))</f>
        <v/>
      </c>
      <c r="I213" s="133" t="str">
        <f aca="false">IF($B213="","",INDEX('CARNET DE SOUDURE'!$AO$7:$AO$3006,MATCH(202,'CARNET DE SOUDURE'!$AT$7:$AT$3006,0)))</f>
        <v/>
      </c>
      <c r="J213" s="133" t="str">
        <f aca="false">IF($B213="","",INDEX('CARNET DE SOUDURE'!$AR$7:$AR$3006,MATCH(202,'CARNET DE SOUDURE'!$AT$7:$AT$3006,0)))</f>
        <v/>
      </c>
      <c r="K213" s="129"/>
      <c r="L213" s="129"/>
    </row>
    <row r="214" customFormat="false" ht="15" hidden="false" customHeight="false" outlineLevel="0" collapsed="false">
      <c r="B214" s="125" t="str">
        <f aca="false">IF(203&gt;$I$4,"",203)</f>
        <v/>
      </c>
      <c r="C214" s="125" t="str">
        <f aca="false">IF($B214="","",INDEX('CARNET DE SOUDURE'!$B$7:$B$3006,MATCH(203,'CARNET DE SOUDURE'!$AT$7:$AT$3006,0)))</f>
        <v/>
      </c>
      <c r="D214" s="125" t="str">
        <f aca="false">IF($B214="","",INDEX('CARNET DE SOUDURE'!$E$7:$E$3006,MATCH(203,'CARNET DE SOUDURE'!$AT$7:$AT$3006,0)))</f>
        <v/>
      </c>
      <c r="E214" s="125" t="str">
        <f aca="false">IF($B214="","",INDEX('CARNET DE SOUDURE'!$D$7:$D$3006,MATCH(203,'CARNET DE SOUDURE'!$AT$7:$AT$3006,0)))</f>
        <v/>
      </c>
      <c r="F214" s="125" t="str">
        <f aca="false">IF($B214="","",INDEX('CARNET DE SOUDURE'!$R$7:$R$3006,MATCH(203,'CARNET DE SOUDURE'!$AT$7:$AT$3006,0))&amp;IF(INDEX('CARNET DE SOUDURE'!$S$7:$S$3006,MATCH(203,'CARNET DE SOUDURE'!$AT$7:$AT$3006,0))&lt;&gt;""," / "&amp;INDEX('CARNET DE SOUDURE'!$S$7:$S$3006,MATCH(203,'CARNET DE SOUDURE'!$AT$7:$AT$3006,0)),"")&amp;IF(INDEX('CARNET DE SOUDURE'!$T$7:$T$3006,MATCH(203,'CARNET DE SOUDURE'!$AT$7:$AT$3006,0))&lt;&gt;""," / "&amp;INDEX('CARNET DE SOUDURE'!$T$7:$T$3006,MATCH(203,'CARNET DE SOUDURE'!$AT$7:$AT$3006,0)),""))</f>
        <v/>
      </c>
      <c r="G214" s="126" t="str">
        <f aca="false">IF($B214="","",INDEX('CARNET DE SOUDURE'!$U$7:$U$3006,MATCH(203,'CARNET DE SOUDURE'!$AT$7:$AT$3006,0)))</f>
        <v/>
      </c>
      <c r="H214" s="127" t="str">
        <f aca="false">IF($B214="","",INDEX('CARNET DE SOUDURE'!$AQ$7:$AQ$3006,MATCH(203,'CARNET DE SOUDURE'!$AT$7:$AT$3006,0)))</f>
        <v/>
      </c>
      <c r="I214" s="128" t="str">
        <f aca="false">IF($B214="","",INDEX('CARNET DE SOUDURE'!$AO$7:$AO$3006,MATCH(203,'CARNET DE SOUDURE'!$AT$7:$AT$3006,0)))</f>
        <v/>
      </c>
      <c r="J214" s="128" t="str">
        <f aca="false">IF($B214="","",INDEX('CARNET DE SOUDURE'!$AR$7:$AR$3006,MATCH(203,'CARNET DE SOUDURE'!$AT$7:$AT$3006,0)))</f>
        <v/>
      </c>
      <c r="K214" s="129"/>
      <c r="L214" s="129"/>
    </row>
    <row r="215" customFormat="false" ht="15" hidden="false" customHeight="false" outlineLevel="0" collapsed="false">
      <c r="B215" s="130" t="str">
        <f aca="false">IF(204&gt;$I$4,"",204)</f>
        <v/>
      </c>
      <c r="C215" s="130" t="str">
        <f aca="false">IF($B215="","",INDEX('CARNET DE SOUDURE'!$B$7:$B$3006,MATCH(204,'CARNET DE SOUDURE'!$AT$7:$AT$3006,0)))</f>
        <v/>
      </c>
      <c r="D215" s="130" t="str">
        <f aca="false">IF($B215="","",INDEX('CARNET DE SOUDURE'!$E$7:$E$3006,MATCH(204,'CARNET DE SOUDURE'!$AT$7:$AT$3006,0)))</f>
        <v/>
      </c>
      <c r="E215" s="130" t="str">
        <f aca="false">IF($B215="","",INDEX('CARNET DE SOUDURE'!$D$7:$D$3006,MATCH(204,'CARNET DE SOUDURE'!$AT$7:$AT$3006,0)))</f>
        <v/>
      </c>
      <c r="F215" s="130" t="str">
        <f aca="false">IF($B215="","",INDEX('CARNET DE SOUDURE'!$R$7:$R$3006,MATCH(204,'CARNET DE SOUDURE'!$AT$7:$AT$3006,0))&amp;IF(INDEX('CARNET DE SOUDURE'!$S$7:$S$3006,MATCH(204,'CARNET DE SOUDURE'!$AT$7:$AT$3006,0))&lt;&gt;""," / "&amp;INDEX('CARNET DE SOUDURE'!$S$7:$S$3006,MATCH(204,'CARNET DE SOUDURE'!$AT$7:$AT$3006,0)),"")&amp;IF(INDEX('CARNET DE SOUDURE'!$T$7:$T$3006,MATCH(204,'CARNET DE SOUDURE'!$AT$7:$AT$3006,0))&lt;&gt;""," / "&amp;INDEX('CARNET DE SOUDURE'!$T$7:$T$3006,MATCH(204,'CARNET DE SOUDURE'!$AT$7:$AT$3006,0)),""))</f>
        <v/>
      </c>
      <c r="G215" s="131" t="str">
        <f aca="false">IF($B215="","",INDEX('CARNET DE SOUDURE'!$U$7:$U$3006,MATCH(204,'CARNET DE SOUDURE'!$AT$7:$AT$3006,0)))</f>
        <v/>
      </c>
      <c r="H215" s="132" t="str">
        <f aca="false">IF($B215="","",INDEX('CARNET DE SOUDURE'!$AQ$7:$AQ$3006,MATCH(204,'CARNET DE SOUDURE'!$AT$7:$AT$3006,0)))</f>
        <v/>
      </c>
      <c r="I215" s="133" t="str">
        <f aca="false">IF($B215="","",INDEX('CARNET DE SOUDURE'!$AO$7:$AO$3006,MATCH(204,'CARNET DE SOUDURE'!$AT$7:$AT$3006,0)))</f>
        <v/>
      </c>
      <c r="J215" s="133" t="str">
        <f aca="false">IF($B215="","",INDEX('CARNET DE SOUDURE'!$AR$7:$AR$3006,MATCH(204,'CARNET DE SOUDURE'!$AT$7:$AT$3006,0)))</f>
        <v/>
      </c>
      <c r="K215" s="129"/>
      <c r="L215" s="129"/>
    </row>
    <row r="216" customFormat="false" ht="15" hidden="false" customHeight="false" outlineLevel="0" collapsed="false">
      <c r="B216" s="125" t="str">
        <f aca="false">IF(205&gt;$I$4,"",205)</f>
        <v/>
      </c>
      <c r="C216" s="125" t="str">
        <f aca="false">IF($B216="","",INDEX('CARNET DE SOUDURE'!$B$7:$B$3006,MATCH(205,'CARNET DE SOUDURE'!$AT$7:$AT$3006,0)))</f>
        <v/>
      </c>
      <c r="D216" s="125" t="str">
        <f aca="false">IF($B216="","",INDEX('CARNET DE SOUDURE'!$E$7:$E$3006,MATCH(205,'CARNET DE SOUDURE'!$AT$7:$AT$3006,0)))</f>
        <v/>
      </c>
      <c r="E216" s="125" t="str">
        <f aca="false">IF($B216="","",INDEX('CARNET DE SOUDURE'!$D$7:$D$3006,MATCH(205,'CARNET DE SOUDURE'!$AT$7:$AT$3006,0)))</f>
        <v/>
      </c>
      <c r="F216" s="125" t="str">
        <f aca="false">IF($B216="","",INDEX('CARNET DE SOUDURE'!$R$7:$R$3006,MATCH(205,'CARNET DE SOUDURE'!$AT$7:$AT$3006,0))&amp;IF(INDEX('CARNET DE SOUDURE'!$S$7:$S$3006,MATCH(205,'CARNET DE SOUDURE'!$AT$7:$AT$3006,0))&lt;&gt;""," / "&amp;INDEX('CARNET DE SOUDURE'!$S$7:$S$3006,MATCH(205,'CARNET DE SOUDURE'!$AT$7:$AT$3006,0)),"")&amp;IF(INDEX('CARNET DE SOUDURE'!$T$7:$T$3006,MATCH(205,'CARNET DE SOUDURE'!$AT$7:$AT$3006,0))&lt;&gt;""," / "&amp;INDEX('CARNET DE SOUDURE'!$T$7:$T$3006,MATCH(205,'CARNET DE SOUDURE'!$AT$7:$AT$3006,0)),""))</f>
        <v/>
      </c>
      <c r="G216" s="126" t="str">
        <f aca="false">IF($B216="","",INDEX('CARNET DE SOUDURE'!$U$7:$U$3006,MATCH(205,'CARNET DE SOUDURE'!$AT$7:$AT$3006,0)))</f>
        <v/>
      </c>
      <c r="H216" s="127" t="str">
        <f aca="false">IF($B216="","",INDEX('CARNET DE SOUDURE'!$AQ$7:$AQ$3006,MATCH(205,'CARNET DE SOUDURE'!$AT$7:$AT$3006,0)))</f>
        <v/>
      </c>
      <c r="I216" s="128" t="str">
        <f aca="false">IF($B216="","",INDEX('CARNET DE SOUDURE'!$AO$7:$AO$3006,MATCH(205,'CARNET DE SOUDURE'!$AT$7:$AT$3006,0)))</f>
        <v/>
      </c>
      <c r="J216" s="128" t="str">
        <f aca="false">IF($B216="","",INDEX('CARNET DE SOUDURE'!$AR$7:$AR$3006,MATCH(205,'CARNET DE SOUDURE'!$AT$7:$AT$3006,0)))</f>
        <v/>
      </c>
      <c r="K216" s="129"/>
      <c r="L216" s="129"/>
    </row>
    <row r="217" customFormat="false" ht="15" hidden="false" customHeight="false" outlineLevel="0" collapsed="false">
      <c r="B217" s="130" t="str">
        <f aca="false">IF(206&gt;$I$4,"",206)</f>
        <v/>
      </c>
      <c r="C217" s="130" t="str">
        <f aca="false">IF($B217="","",INDEX('CARNET DE SOUDURE'!$B$7:$B$3006,MATCH(206,'CARNET DE SOUDURE'!$AT$7:$AT$3006,0)))</f>
        <v/>
      </c>
      <c r="D217" s="130" t="str">
        <f aca="false">IF($B217="","",INDEX('CARNET DE SOUDURE'!$E$7:$E$3006,MATCH(206,'CARNET DE SOUDURE'!$AT$7:$AT$3006,0)))</f>
        <v/>
      </c>
      <c r="E217" s="130" t="str">
        <f aca="false">IF($B217="","",INDEX('CARNET DE SOUDURE'!$D$7:$D$3006,MATCH(206,'CARNET DE SOUDURE'!$AT$7:$AT$3006,0)))</f>
        <v/>
      </c>
      <c r="F217" s="130" t="str">
        <f aca="false">IF($B217="","",INDEX('CARNET DE SOUDURE'!$R$7:$R$3006,MATCH(206,'CARNET DE SOUDURE'!$AT$7:$AT$3006,0))&amp;IF(INDEX('CARNET DE SOUDURE'!$S$7:$S$3006,MATCH(206,'CARNET DE SOUDURE'!$AT$7:$AT$3006,0))&lt;&gt;""," / "&amp;INDEX('CARNET DE SOUDURE'!$S$7:$S$3006,MATCH(206,'CARNET DE SOUDURE'!$AT$7:$AT$3006,0)),"")&amp;IF(INDEX('CARNET DE SOUDURE'!$T$7:$T$3006,MATCH(206,'CARNET DE SOUDURE'!$AT$7:$AT$3006,0))&lt;&gt;""," / "&amp;INDEX('CARNET DE SOUDURE'!$T$7:$T$3006,MATCH(206,'CARNET DE SOUDURE'!$AT$7:$AT$3006,0)),""))</f>
        <v/>
      </c>
      <c r="G217" s="131" t="str">
        <f aca="false">IF($B217="","",INDEX('CARNET DE SOUDURE'!$U$7:$U$3006,MATCH(206,'CARNET DE SOUDURE'!$AT$7:$AT$3006,0)))</f>
        <v/>
      </c>
      <c r="H217" s="132" t="str">
        <f aca="false">IF($B217="","",INDEX('CARNET DE SOUDURE'!$AQ$7:$AQ$3006,MATCH(206,'CARNET DE SOUDURE'!$AT$7:$AT$3006,0)))</f>
        <v/>
      </c>
      <c r="I217" s="133" t="str">
        <f aca="false">IF($B217="","",INDEX('CARNET DE SOUDURE'!$AO$7:$AO$3006,MATCH(206,'CARNET DE SOUDURE'!$AT$7:$AT$3006,0)))</f>
        <v/>
      </c>
      <c r="J217" s="133" t="str">
        <f aca="false">IF($B217="","",INDEX('CARNET DE SOUDURE'!$AR$7:$AR$3006,MATCH(206,'CARNET DE SOUDURE'!$AT$7:$AT$3006,0)))</f>
        <v/>
      </c>
      <c r="K217" s="129"/>
      <c r="L217" s="129"/>
    </row>
    <row r="218" customFormat="false" ht="15" hidden="false" customHeight="false" outlineLevel="0" collapsed="false">
      <c r="B218" s="125" t="str">
        <f aca="false">IF(207&gt;$I$4,"",207)</f>
        <v/>
      </c>
      <c r="C218" s="125" t="str">
        <f aca="false">IF($B218="","",INDEX('CARNET DE SOUDURE'!$B$7:$B$3006,MATCH(207,'CARNET DE SOUDURE'!$AT$7:$AT$3006,0)))</f>
        <v/>
      </c>
      <c r="D218" s="125" t="str">
        <f aca="false">IF($B218="","",INDEX('CARNET DE SOUDURE'!$E$7:$E$3006,MATCH(207,'CARNET DE SOUDURE'!$AT$7:$AT$3006,0)))</f>
        <v/>
      </c>
      <c r="E218" s="125" t="str">
        <f aca="false">IF($B218="","",INDEX('CARNET DE SOUDURE'!$D$7:$D$3006,MATCH(207,'CARNET DE SOUDURE'!$AT$7:$AT$3006,0)))</f>
        <v/>
      </c>
      <c r="F218" s="125" t="str">
        <f aca="false">IF($B218="","",INDEX('CARNET DE SOUDURE'!$R$7:$R$3006,MATCH(207,'CARNET DE SOUDURE'!$AT$7:$AT$3006,0))&amp;IF(INDEX('CARNET DE SOUDURE'!$S$7:$S$3006,MATCH(207,'CARNET DE SOUDURE'!$AT$7:$AT$3006,0))&lt;&gt;""," / "&amp;INDEX('CARNET DE SOUDURE'!$S$7:$S$3006,MATCH(207,'CARNET DE SOUDURE'!$AT$7:$AT$3006,0)),"")&amp;IF(INDEX('CARNET DE SOUDURE'!$T$7:$T$3006,MATCH(207,'CARNET DE SOUDURE'!$AT$7:$AT$3006,0))&lt;&gt;""," / "&amp;INDEX('CARNET DE SOUDURE'!$T$7:$T$3006,MATCH(207,'CARNET DE SOUDURE'!$AT$7:$AT$3006,0)),""))</f>
        <v/>
      </c>
      <c r="G218" s="126" t="str">
        <f aca="false">IF($B218="","",INDEX('CARNET DE SOUDURE'!$U$7:$U$3006,MATCH(207,'CARNET DE SOUDURE'!$AT$7:$AT$3006,0)))</f>
        <v/>
      </c>
      <c r="H218" s="127" t="str">
        <f aca="false">IF($B218="","",INDEX('CARNET DE SOUDURE'!$AQ$7:$AQ$3006,MATCH(207,'CARNET DE SOUDURE'!$AT$7:$AT$3006,0)))</f>
        <v/>
      </c>
      <c r="I218" s="128" t="str">
        <f aca="false">IF($B218="","",INDEX('CARNET DE SOUDURE'!$AO$7:$AO$3006,MATCH(207,'CARNET DE SOUDURE'!$AT$7:$AT$3006,0)))</f>
        <v/>
      </c>
      <c r="J218" s="128" t="str">
        <f aca="false">IF($B218="","",INDEX('CARNET DE SOUDURE'!$AR$7:$AR$3006,MATCH(207,'CARNET DE SOUDURE'!$AT$7:$AT$3006,0)))</f>
        <v/>
      </c>
      <c r="K218" s="129"/>
      <c r="L218" s="129"/>
    </row>
    <row r="219" customFormat="false" ht="15" hidden="false" customHeight="false" outlineLevel="0" collapsed="false">
      <c r="B219" s="130" t="str">
        <f aca="false">IF(208&gt;$I$4,"",208)</f>
        <v/>
      </c>
      <c r="C219" s="130" t="str">
        <f aca="false">IF($B219="","",INDEX('CARNET DE SOUDURE'!$B$7:$B$3006,MATCH(208,'CARNET DE SOUDURE'!$AT$7:$AT$3006,0)))</f>
        <v/>
      </c>
      <c r="D219" s="130" t="str">
        <f aca="false">IF($B219="","",INDEX('CARNET DE SOUDURE'!$E$7:$E$3006,MATCH(208,'CARNET DE SOUDURE'!$AT$7:$AT$3006,0)))</f>
        <v/>
      </c>
      <c r="E219" s="130" t="str">
        <f aca="false">IF($B219="","",INDEX('CARNET DE SOUDURE'!$D$7:$D$3006,MATCH(208,'CARNET DE SOUDURE'!$AT$7:$AT$3006,0)))</f>
        <v/>
      </c>
      <c r="F219" s="130" t="str">
        <f aca="false">IF($B219="","",INDEX('CARNET DE SOUDURE'!$R$7:$R$3006,MATCH(208,'CARNET DE SOUDURE'!$AT$7:$AT$3006,0))&amp;IF(INDEX('CARNET DE SOUDURE'!$S$7:$S$3006,MATCH(208,'CARNET DE SOUDURE'!$AT$7:$AT$3006,0))&lt;&gt;""," / "&amp;INDEX('CARNET DE SOUDURE'!$S$7:$S$3006,MATCH(208,'CARNET DE SOUDURE'!$AT$7:$AT$3006,0)),"")&amp;IF(INDEX('CARNET DE SOUDURE'!$T$7:$T$3006,MATCH(208,'CARNET DE SOUDURE'!$AT$7:$AT$3006,0))&lt;&gt;""," / "&amp;INDEX('CARNET DE SOUDURE'!$T$7:$T$3006,MATCH(208,'CARNET DE SOUDURE'!$AT$7:$AT$3006,0)),""))</f>
        <v/>
      </c>
      <c r="G219" s="131" t="str">
        <f aca="false">IF($B219="","",INDEX('CARNET DE SOUDURE'!$U$7:$U$3006,MATCH(208,'CARNET DE SOUDURE'!$AT$7:$AT$3006,0)))</f>
        <v/>
      </c>
      <c r="H219" s="132" t="str">
        <f aca="false">IF($B219="","",INDEX('CARNET DE SOUDURE'!$AQ$7:$AQ$3006,MATCH(208,'CARNET DE SOUDURE'!$AT$7:$AT$3006,0)))</f>
        <v/>
      </c>
      <c r="I219" s="133" t="str">
        <f aca="false">IF($B219="","",INDEX('CARNET DE SOUDURE'!$AO$7:$AO$3006,MATCH(208,'CARNET DE SOUDURE'!$AT$7:$AT$3006,0)))</f>
        <v/>
      </c>
      <c r="J219" s="133" t="str">
        <f aca="false">IF($B219="","",INDEX('CARNET DE SOUDURE'!$AR$7:$AR$3006,MATCH(208,'CARNET DE SOUDURE'!$AT$7:$AT$3006,0)))</f>
        <v/>
      </c>
      <c r="K219" s="129"/>
      <c r="L219" s="129"/>
    </row>
    <row r="220" customFormat="false" ht="15" hidden="false" customHeight="false" outlineLevel="0" collapsed="false">
      <c r="B220" s="125" t="str">
        <f aca="false">IF(209&gt;$I$4,"",209)</f>
        <v/>
      </c>
      <c r="C220" s="125" t="str">
        <f aca="false">IF($B220="","",INDEX('CARNET DE SOUDURE'!$B$7:$B$3006,MATCH(209,'CARNET DE SOUDURE'!$AT$7:$AT$3006,0)))</f>
        <v/>
      </c>
      <c r="D220" s="125" t="str">
        <f aca="false">IF($B220="","",INDEX('CARNET DE SOUDURE'!$E$7:$E$3006,MATCH(209,'CARNET DE SOUDURE'!$AT$7:$AT$3006,0)))</f>
        <v/>
      </c>
      <c r="E220" s="125" t="str">
        <f aca="false">IF($B220="","",INDEX('CARNET DE SOUDURE'!$D$7:$D$3006,MATCH(209,'CARNET DE SOUDURE'!$AT$7:$AT$3006,0)))</f>
        <v/>
      </c>
      <c r="F220" s="125" t="str">
        <f aca="false">IF($B220="","",INDEX('CARNET DE SOUDURE'!$R$7:$R$3006,MATCH(209,'CARNET DE SOUDURE'!$AT$7:$AT$3006,0))&amp;IF(INDEX('CARNET DE SOUDURE'!$S$7:$S$3006,MATCH(209,'CARNET DE SOUDURE'!$AT$7:$AT$3006,0))&lt;&gt;""," / "&amp;INDEX('CARNET DE SOUDURE'!$S$7:$S$3006,MATCH(209,'CARNET DE SOUDURE'!$AT$7:$AT$3006,0)),"")&amp;IF(INDEX('CARNET DE SOUDURE'!$T$7:$T$3006,MATCH(209,'CARNET DE SOUDURE'!$AT$7:$AT$3006,0))&lt;&gt;""," / "&amp;INDEX('CARNET DE SOUDURE'!$T$7:$T$3006,MATCH(209,'CARNET DE SOUDURE'!$AT$7:$AT$3006,0)),""))</f>
        <v/>
      </c>
      <c r="G220" s="126" t="str">
        <f aca="false">IF($B220="","",INDEX('CARNET DE SOUDURE'!$U$7:$U$3006,MATCH(209,'CARNET DE SOUDURE'!$AT$7:$AT$3006,0)))</f>
        <v/>
      </c>
      <c r="H220" s="127" t="str">
        <f aca="false">IF($B220="","",INDEX('CARNET DE SOUDURE'!$AQ$7:$AQ$3006,MATCH(209,'CARNET DE SOUDURE'!$AT$7:$AT$3006,0)))</f>
        <v/>
      </c>
      <c r="I220" s="128" t="str">
        <f aca="false">IF($B220="","",INDEX('CARNET DE SOUDURE'!$AO$7:$AO$3006,MATCH(209,'CARNET DE SOUDURE'!$AT$7:$AT$3006,0)))</f>
        <v/>
      </c>
      <c r="J220" s="128" t="str">
        <f aca="false">IF($B220="","",INDEX('CARNET DE SOUDURE'!$AR$7:$AR$3006,MATCH(209,'CARNET DE SOUDURE'!$AT$7:$AT$3006,0)))</f>
        <v/>
      </c>
      <c r="K220" s="129"/>
      <c r="L220" s="129"/>
    </row>
    <row r="221" customFormat="false" ht="15" hidden="false" customHeight="false" outlineLevel="0" collapsed="false">
      <c r="B221" s="130" t="str">
        <f aca="false">IF(210&gt;$I$4,"",210)</f>
        <v/>
      </c>
      <c r="C221" s="130" t="str">
        <f aca="false">IF($B221="","",INDEX('CARNET DE SOUDURE'!$B$7:$B$3006,MATCH(210,'CARNET DE SOUDURE'!$AT$7:$AT$3006,0)))</f>
        <v/>
      </c>
      <c r="D221" s="130" t="str">
        <f aca="false">IF($B221="","",INDEX('CARNET DE SOUDURE'!$E$7:$E$3006,MATCH(210,'CARNET DE SOUDURE'!$AT$7:$AT$3006,0)))</f>
        <v/>
      </c>
      <c r="E221" s="130" t="str">
        <f aca="false">IF($B221="","",INDEX('CARNET DE SOUDURE'!$D$7:$D$3006,MATCH(210,'CARNET DE SOUDURE'!$AT$7:$AT$3006,0)))</f>
        <v/>
      </c>
      <c r="F221" s="130" t="str">
        <f aca="false">IF($B221="","",INDEX('CARNET DE SOUDURE'!$R$7:$R$3006,MATCH(210,'CARNET DE SOUDURE'!$AT$7:$AT$3006,0))&amp;IF(INDEX('CARNET DE SOUDURE'!$S$7:$S$3006,MATCH(210,'CARNET DE SOUDURE'!$AT$7:$AT$3006,0))&lt;&gt;""," / "&amp;INDEX('CARNET DE SOUDURE'!$S$7:$S$3006,MATCH(210,'CARNET DE SOUDURE'!$AT$7:$AT$3006,0)),"")&amp;IF(INDEX('CARNET DE SOUDURE'!$T$7:$T$3006,MATCH(210,'CARNET DE SOUDURE'!$AT$7:$AT$3006,0))&lt;&gt;""," / "&amp;INDEX('CARNET DE SOUDURE'!$T$7:$T$3006,MATCH(210,'CARNET DE SOUDURE'!$AT$7:$AT$3006,0)),""))</f>
        <v/>
      </c>
      <c r="G221" s="131" t="str">
        <f aca="false">IF($B221="","",INDEX('CARNET DE SOUDURE'!$U$7:$U$3006,MATCH(210,'CARNET DE SOUDURE'!$AT$7:$AT$3006,0)))</f>
        <v/>
      </c>
      <c r="H221" s="132" t="str">
        <f aca="false">IF($B221="","",INDEX('CARNET DE SOUDURE'!$AQ$7:$AQ$3006,MATCH(210,'CARNET DE SOUDURE'!$AT$7:$AT$3006,0)))</f>
        <v/>
      </c>
      <c r="I221" s="133" t="str">
        <f aca="false">IF($B221="","",INDEX('CARNET DE SOUDURE'!$AO$7:$AO$3006,MATCH(210,'CARNET DE SOUDURE'!$AT$7:$AT$3006,0)))</f>
        <v/>
      </c>
      <c r="J221" s="133" t="str">
        <f aca="false">IF($B221="","",INDEX('CARNET DE SOUDURE'!$AR$7:$AR$3006,MATCH(210,'CARNET DE SOUDURE'!$AT$7:$AT$3006,0)))</f>
        <v/>
      </c>
      <c r="K221" s="129"/>
      <c r="L221" s="129"/>
    </row>
    <row r="222" customFormat="false" ht="15" hidden="false" customHeight="false" outlineLevel="0" collapsed="false">
      <c r="B222" s="125" t="str">
        <f aca="false">IF(211&gt;$I$4,"",211)</f>
        <v/>
      </c>
      <c r="C222" s="125" t="str">
        <f aca="false">IF($B222="","",INDEX('CARNET DE SOUDURE'!$B$7:$B$3006,MATCH(211,'CARNET DE SOUDURE'!$AT$7:$AT$3006,0)))</f>
        <v/>
      </c>
      <c r="D222" s="125" t="str">
        <f aca="false">IF($B222="","",INDEX('CARNET DE SOUDURE'!$E$7:$E$3006,MATCH(211,'CARNET DE SOUDURE'!$AT$7:$AT$3006,0)))</f>
        <v/>
      </c>
      <c r="E222" s="125" t="str">
        <f aca="false">IF($B222="","",INDEX('CARNET DE SOUDURE'!$D$7:$D$3006,MATCH(211,'CARNET DE SOUDURE'!$AT$7:$AT$3006,0)))</f>
        <v/>
      </c>
      <c r="F222" s="125" t="str">
        <f aca="false">IF($B222="","",INDEX('CARNET DE SOUDURE'!$R$7:$R$3006,MATCH(211,'CARNET DE SOUDURE'!$AT$7:$AT$3006,0))&amp;IF(INDEX('CARNET DE SOUDURE'!$S$7:$S$3006,MATCH(211,'CARNET DE SOUDURE'!$AT$7:$AT$3006,0))&lt;&gt;""," / "&amp;INDEX('CARNET DE SOUDURE'!$S$7:$S$3006,MATCH(211,'CARNET DE SOUDURE'!$AT$7:$AT$3006,0)),"")&amp;IF(INDEX('CARNET DE SOUDURE'!$T$7:$T$3006,MATCH(211,'CARNET DE SOUDURE'!$AT$7:$AT$3006,0))&lt;&gt;""," / "&amp;INDEX('CARNET DE SOUDURE'!$T$7:$T$3006,MATCH(211,'CARNET DE SOUDURE'!$AT$7:$AT$3006,0)),""))</f>
        <v/>
      </c>
      <c r="G222" s="126" t="str">
        <f aca="false">IF($B222="","",INDEX('CARNET DE SOUDURE'!$U$7:$U$3006,MATCH(211,'CARNET DE SOUDURE'!$AT$7:$AT$3006,0)))</f>
        <v/>
      </c>
      <c r="H222" s="127" t="str">
        <f aca="false">IF($B222="","",INDEX('CARNET DE SOUDURE'!$AQ$7:$AQ$3006,MATCH(211,'CARNET DE SOUDURE'!$AT$7:$AT$3006,0)))</f>
        <v/>
      </c>
      <c r="I222" s="128" t="str">
        <f aca="false">IF($B222="","",INDEX('CARNET DE SOUDURE'!$AO$7:$AO$3006,MATCH(211,'CARNET DE SOUDURE'!$AT$7:$AT$3006,0)))</f>
        <v/>
      </c>
      <c r="J222" s="128" t="str">
        <f aca="false">IF($B222="","",INDEX('CARNET DE SOUDURE'!$AR$7:$AR$3006,MATCH(211,'CARNET DE SOUDURE'!$AT$7:$AT$3006,0)))</f>
        <v/>
      </c>
      <c r="K222" s="129"/>
      <c r="L222" s="129"/>
    </row>
    <row r="223" customFormat="false" ht="15" hidden="false" customHeight="false" outlineLevel="0" collapsed="false">
      <c r="B223" s="130" t="str">
        <f aca="false">IF(212&gt;$I$4,"",212)</f>
        <v/>
      </c>
      <c r="C223" s="130" t="str">
        <f aca="false">IF($B223="","",INDEX('CARNET DE SOUDURE'!$B$7:$B$3006,MATCH(212,'CARNET DE SOUDURE'!$AT$7:$AT$3006,0)))</f>
        <v/>
      </c>
      <c r="D223" s="130" t="str">
        <f aca="false">IF($B223="","",INDEX('CARNET DE SOUDURE'!$E$7:$E$3006,MATCH(212,'CARNET DE SOUDURE'!$AT$7:$AT$3006,0)))</f>
        <v/>
      </c>
      <c r="E223" s="130" t="str">
        <f aca="false">IF($B223="","",INDEX('CARNET DE SOUDURE'!$D$7:$D$3006,MATCH(212,'CARNET DE SOUDURE'!$AT$7:$AT$3006,0)))</f>
        <v/>
      </c>
      <c r="F223" s="130" t="str">
        <f aca="false">IF($B223="","",INDEX('CARNET DE SOUDURE'!$R$7:$R$3006,MATCH(212,'CARNET DE SOUDURE'!$AT$7:$AT$3006,0))&amp;IF(INDEX('CARNET DE SOUDURE'!$S$7:$S$3006,MATCH(212,'CARNET DE SOUDURE'!$AT$7:$AT$3006,0))&lt;&gt;""," / "&amp;INDEX('CARNET DE SOUDURE'!$S$7:$S$3006,MATCH(212,'CARNET DE SOUDURE'!$AT$7:$AT$3006,0)),"")&amp;IF(INDEX('CARNET DE SOUDURE'!$T$7:$T$3006,MATCH(212,'CARNET DE SOUDURE'!$AT$7:$AT$3006,0))&lt;&gt;""," / "&amp;INDEX('CARNET DE SOUDURE'!$T$7:$T$3006,MATCH(212,'CARNET DE SOUDURE'!$AT$7:$AT$3006,0)),""))</f>
        <v/>
      </c>
      <c r="G223" s="131" t="str">
        <f aca="false">IF($B223="","",INDEX('CARNET DE SOUDURE'!$U$7:$U$3006,MATCH(212,'CARNET DE SOUDURE'!$AT$7:$AT$3006,0)))</f>
        <v/>
      </c>
      <c r="H223" s="132" t="str">
        <f aca="false">IF($B223="","",INDEX('CARNET DE SOUDURE'!$AQ$7:$AQ$3006,MATCH(212,'CARNET DE SOUDURE'!$AT$7:$AT$3006,0)))</f>
        <v/>
      </c>
      <c r="I223" s="133" t="str">
        <f aca="false">IF($B223="","",INDEX('CARNET DE SOUDURE'!$AO$7:$AO$3006,MATCH(212,'CARNET DE SOUDURE'!$AT$7:$AT$3006,0)))</f>
        <v/>
      </c>
      <c r="J223" s="133" t="str">
        <f aca="false">IF($B223="","",INDEX('CARNET DE SOUDURE'!$AR$7:$AR$3006,MATCH(212,'CARNET DE SOUDURE'!$AT$7:$AT$3006,0)))</f>
        <v/>
      </c>
      <c r="K223" s="129"/>
      <c r="L223" s="129"/>
    </row>
    <row r="224" customFormat="false" ht="15" hidden="false" customHeight="false" outlineLevel="0" collapsed="false">
      <c r="B224" s="125" t="str">
        <f aca="false">IF(213&gt;$I$4,"",213)</f>
        <v/>
      </c>
      <c r="C224" s="125" t="str">
        <f aca="false">IF($B224="","",INDEX('CARNET DE SOUDURE'!$B$7:$B$3006,MATCH(213,'CARNET DE SOUDURE'!$AT$7:$AT$3006,0)))</f>
        <v/>
      </c>
      <c r="D224" s="125" t="str">
        <f aca="false">IF($B224="","",INDEX('CARNET DE SOUDURE'!$E$7:$E$3006,MATCH(213,'CARNET DE SOUDURE'!$AT$7:$AT$3006,0)))</f>
        <v/>
      </c>
      <c r="E224" s="125" t="str">
        <f aca="false">IF($B224="","",INDEX('CARNET DE SOUDURE'!$D$7:$D$3006,MATCH(213,'CARNET DE SOUDURE'!$AT$7:$AT$3006,0)))</f>
        <v/>
      </c>
      <c r="F224" s="125" t="str">
        <f aca="false">IF($B224="","",INDEX('CARNET DE SOUDURE'!$R$7:$R$3006,MATCH(213,'CARNET DE SOUDURE'!$AT$7:$AT$3006,0))&amp;IF(INDEX('CARNET DE SOUDURE'!$S$7:$S$3006,MATCH(213,'CARNET DE SOUDURE'!$AT$7:$AT$3006,0))&lt;&gt;""," / "&amp;INDEX('CARNET DE SOUDURE'!$S$7:$S$3006,MATCH(213,'CARNET DE SOUDURE'!$AT$7:$AT$3006,0)),"")&amp;IF(INDEX('CARNET DE SOUDURE'!$T$7:$T$3006,MATCH(213,'CARNET DE SOUDURE'!$AT$7:$AT$3006,0))&lt;&gt;""," / "&amp;INDEX('CARNET DE SOUDURE'!$T$7:$T$3006,MATCH(213,'CARNET DE SOUDURE'!$AT$7:$AT$3006,0)),""))</f>
        <v/>
      </c>
      <c r="G224" s="126" t="str">
        <f aca="false">IF($B224="","",INDEX('CARNET DE SOUDURE'!$U$7:$U$3006,MATCH(213,'CARNET DE SOUDURE'!$AT$7:$AT$3006,0)))</f>
        <v/>
      </c>
      <c r="H224" s="127" t="str">
        <f aca="false">IF($B224="","",INDEX('CARNET DE SOUDURE'!$AQ$7:$AQ$3006,MATCH(213,'CARNET DE SOUDURE'!$AT$7:$AT$3006,0)))</f>
        <v/>
      </c>
      <c r="I224" s="128" t="str">
        <f aca="false">IF($B224="","",INDEX('CARNET DE SOUDURE'!$AO$7:$AO$3006,MATCH(213,'CARNET DE SOUDURE'!$AT$7:$AT$3006,0)))</f>
        <v/>
      </c>
      <c r="J224" s="128" t="str">
        <f aca="false">IF($B224="","",INDEX('CARNET DE SOUDURE'!$AR$7:$AR$3006,MATCH(213,'CARNET DE SOUDURE'!$AT$7:$AT$3006,0)))</f>
        <v/>
      </c>
      <c r="K224" s="129"/>
      <c r="L224" s="129"/>
    </row>
    <row r="225" customFormat="false" ht="15" hidden="false" customHeight="false" outlineLevel="0" collapsed="false">
      <c r="B225" s="130" t="str">
        <f aca="false">IF(214&gt;$I$4,"",214)</f>
        <v/>
      </c>
      <c r="C225" s="130" t="str">
        <f aca="false">IF($B225="","",INDEX('CARNET DE SOUDURE'!$B$7:$B$3006,MATCH(214,'CARNET DE SOUDURE'!$AT$7:$AT$3006,0)))</f>
        <v/>
      </c>
      <c r="D225" s="130" t="str">
        <f aca="false">IF($B225="","",INDEX('CARNET DE SOUDURE'!$E$7:$E$3006,MATCH(214,'CARNET DE SOUDURE'!$AT$7:$AT$3006,0)))</f>
        <v/>
      </c>
      <c r="E225" s="130" t="str">
        <f aca="false">IF($B225="","",INDEX('CARNET DE SOUDURE'!$D$7:$D$3006,MATCH(214,'CARNET DE SOUDURE'!$AT$7:$AT$3006,0)))</f>
        <v/>
      </c>
      <c r="F225" s="130" t="str">
        <f aca="false">IF($B225="","",INDEX('CARNET DE SOUDURE'!$R$7:$R$3006,MATCH(214,'CARNET DE SOUDURE'!$AT$7:$AT$3006,0))&amp;IF(INDEX('CARNET DE SOUDURE'!$S$7:$S$3006,MATCH(214,'CARNET DE SOUDURE'!$AT$7:$AT$3006,0))&lt;&gt;""," / "&amp;INDEX('CARNET DE SOUDURE'!$S$7:$S$3006,MATCH(214,'CARNET DE SOUDURE'!$AT$7:$AT$3006,0)),"")&amp;IF(INDEX('CARNET DE SOUDURE'!$T$7:$T$3006,MATCH(214,'CARNET DE SOUDURE'!$AT$7:$AT$3006,0))&lt;&gt;""," / "&amp;INDEX('CARNET DE SOUDURE'!$T$7:$T$3006,MATCH(214,'CARNET DE SOUDURE'!$AT$7:$AT$3006,0)),""))</f>
        <v/>
      </c>
      <c r="G225" s="131" t="str">
        <f aca="false">IF($B225="","",INDEX('CARNET DE SOUDURE'!$U$7:$U$3006,MATCH(214,'CARNET DE SOUDURE'!$AT$7:$AT$3006,0)))</f>
        <v/>
      </c>
      <c r="H225" s="132" t="str">
        <f aca="false">IF($B225="","",INDEX('CARNET DE SOUDURE'!$AQ$7:$AQ$3006,MATCH(214,'CARNET DE SOUDURE'!$AT$7:$AT$3006,0)))</f>
        <v/>
      </c>
      <c r="I225" s="133" t="str">
        <f aca="false">IF($B225="","",INDEX('CARNET DE SOUDURE'!$AO$7:$AO$3006,MATCH(214,'CARNET DE SOUDURE'!$AT$7:$AT$3006,0)))</f>
        <v/>
      </c>
      <c r="J225" s="133" t="str">
        <f aca="false">IF($B225="","",INDEX('CARNET DE SOUDURE'!$AR$7:$AR$3006,MATCH(214,'CARNET DE SOUDURE'!$AT$7:$AT$3006,0)))</f>
        <v/>
      </c>
      <c r="K225" s="129"/>
      <c r="L225" s="129"/>
    </row>
    <row r="226" customFormat="false" ht="15" hidden="false" customHeight="false" outlineLevel="0" collapsed="false">
      <c r="B226" s="125" t="str">
        <f aca="false">IF(215&gt;$I$4,"",215)</f>
        <v/>
      </c>
      <c r="C226" s="125" t="str">
        <f aca="false">IF($B226="","",INDEX('CARNET DE SOUDURE'!$B$7:$B$3006,MATCH(215,'CARNET DE SOUDURE'!$AT$7:$AT$3006,0)))</f>
        <v/>
      </c>
      <c r="D226" s="125" t="str">
        <f aca="false">IF($B226="","",INDEX('CARNET DE SOUDURE'!$E$7:$E$3006,MATCH(215,'CARNET DE SOUDURE'!$AT$7:$AT$3006,0)))</f>
        <v/>
      </c>
      <c r="E226" s="125" t="str">
        <f aca="false">IF($B226="","",INDEX('CARNET DE SOUDURE'!$D$7:$D$3006,MATCH(215,'CARNET DE SOUDURE'!$AT$7:$AT$3006,0)))</f>
        <v/>
      </c>
      <c r="F226" s="125" t="str">
        <f aca="false">IF($B226="","",INDEX('CARNET DE SOUDURE'!$R$7:$R$3006,MATCH(215,'CARNET DE SOUDURE'!$AT$7:$AT$3006,0))&amp;IF(INDEX('CARNET DE SOUDURE'!$S$7:$S$3006,MATCH(215,'CARNET DE SOUDURE'!$AT$7:$AT$3006,0))&lt;&gt;""," / "&amp;INDEX('CARNET DE SOUDURE'!$S$7:$S$3006,MATCH(215,'CARNET DE SOUDURE'!$AT$7:$AT$3006,0)),"")&amp;IF(INDEX('CARNET DE SOUDURE'!$T$7:$T$3006,MATCH(215,'CARNET DE SOUDURE'!$AT$7:$AT$3006,0))&lt;&gt;""," / "&amp;INDEX('CARNET DE SOUDURE'!$T$7:$T$3006,MATCH(215,'CARNET DE SOUDURE'!$AT$7:$AT$3006,0)),""))</f>
        <v/>
      </c>
      <c r="G226" s="126" t="str">
        <f aca="false">IF($B226="","",INDEX('CARNET DE SOUDURE'!$U$7:$U$3006,MATCH(215,'CARNET DE SOUDURE'!$AT$7:$AT$3006,0)))</f>
        <v/>
      </c>
      <c r="H226" s="127" t="str">
        <f aca="false">IF($B226="","",INDEX('CARNET DE SOUDURE'!$AQ$7:$AQ$3006,MATCH(215,'CARNET DE SOUDURE'!$AT$7:$AT$3006,0)))</f>
        <v/>
      </c>
      <c r="I226" s="128" t="str">
        <f aca="false">IF($B226="","",INDEX('CARNET DE SOUDURE'!$AO$7:$AO$3006,MATCH(215,'CARNET DE SOUDURE'!$AT$7:$AT$3006,0)))</f>
        <v/>
      </c>
      <c r="J226" s="128" t="str">
        <f aca="false">IF($B226="","",INDEX('CARNET DE SOUDURE'!$AR$7:$AR$3006,MATCH(215,'CARNET DE SOUDURE'!$AT$7:$AT$3006,0)))</f>
        <v/>
      </c>
      <c r="K226" s="129"/>
      <c r="L226" s="129"/>
    </row>
    <row r="227" customFormat="false" ht="15" hidden="false" customHeight="false" outlineLevel="0" collapsed="false">
      <c r="B227" s="130" t="str">
        <f aca="false">IF(216&gt;$I$4,"",216)</f>
        <v/>
      </c>
      <c r="C227" s="130" t="str">
        <f aca="false">IF($B227="","",INDEX('CARNET DE SOUDURE'!$B$7:$B$3006,MATCH(216,'CARNET DE SOUDURE'!$AT$7:$AT$3006,0)))</f>
        <v/>
      </c>
      <c r="D227" s="130" t="str">
        <f aca="false">IF($B227="","",INDEX('CARNET DE SOUDURE'!$E$7:$E$3006,MATCH(216,'CARNET DE SOUDURE'!$AT$7:$AT$3006,0)))</f>
        <v/>
      </c>
      <c r="E227" s="130" t="str">
        <f aca="false">IF($B227="","",INDEX('CARNET DE SOUDURE'!$D$7:$D$3006,MATCH(216,'CARNET DE SOUDURE'!$AT$7:$AT$3006,0)))</f>
        <v/>
      </c>
      <c r="F227" s="130" t="str">
        <f aca="false">IF($B227="","",INDEX('CARNET DE SOUDURE'!$R$7:$R$3006,MATCH(216,'CARNET DE SOUDURE'!$AT$7:$AT$3006,0))&amp;IF(INDEX('CARNET DE SOUDURE'!$S$7:$S$3006,MATCH(216,'CARNET DE SOUDURE'!$AT$7:$AT$3006,0))&lt;&gt;""," / "&amp;INDEX('CARNET DE SOUDURE'!$S$7:$S$3006,MATCH(216,'CARNET DE SOUDURE'!$AT$7:$AT$3006,0)),"")&amp;IF(INDEX('CARNET DE SOUDURE'!$T$7:$T$3006,MATCH(216,'CARNET DE SOUDURE'!$AT$7:$AT$3006,0))&lt;&gt;""," / "&amp;INDEX('CARNET DE SOUDURE'!$T$7:$T$3006,MATCH(216,'CARNET DE SOUDURE'!$AT$7:$AT$3006,0)),""))</f>
        <v/>
      </c>
      <c r="G227" s="131" t="str">
        <f aca="false">IF($B227="","",INDEX('CARNET DE SOUDURE'!$U$7:$U$3006,MATCH(216,'CARNET DE SOUDURE'!$AT$7:$AT$3006,0)))</f>
        <v/>
      </c>
      <c r="H227" s="132" t="str">
        <f aca="false">IF($B227="","",INDEX('CARNET DE SOUDURE'!$AQ$7:$AQ$3006,MATCH(216,'CARNET DE SOUDURE'!$AT$7:$AT$3006,0)))</f>
        <v/>
      </c>
      <c r="I227" s="133" t="str">
        <f aca="false">IF($B227="","",INDEX('CARNET DE SOUDURE'!$AO$7:$AO$3006,MATCH(216,'CARNET DE SOUDURE'!$AT$7:$AT$3006,0)))</f>
        <v/>
      </c>
      <c r="J227" s="133" t="str">
        <f aca="false">IF($B227="","",INDEX('CARNET DE SOUDURE'!$AR$7:$AR$3006,MATCH(216,'CARNET DE SOUDURE'!$AT$7:$AT$3006,0)))</f>
        <v/>
      </c>
      <c r="K227" s="129"/>
      <c r="L227" s="129"/>
    </row>
    <row r="228" customFormat="false" ht="15" hidden="false" customHeight="false" outlineLevel="0" collapsed="false">
      <c r="B228" s="125" t="str">
        <f aca="false">IF(217&gt;$I$4,"",217)</f>
        <v/>
      </c>
      <c r="C228" s="125" t="str">
        <f aca="false">IF($B228="","",INDEX('CARNET DE SOUDURE'!$B$7:$B$3006,MATCH(217,'CARNET DE SOUDURE'!$AT$7:$AT$3006,0)))</f>
        <v/>
      </c>
      <c r="D228" s="125" t="str">
        <f aca="false">IF($B228="","",INDEX('CARNET DE SOUDURE'!$E$7:$E$3006,MATCH(217,'CARNET DE SOUDURE'!$AT$7:$AT$3006,0)))</f>
        <v/>
      </c>
      <c r="E228" s="125" t="str">
        <f aca="false">IF($B228="","",INDEX('CARNET DE SOUDURE'!$D$7:$D$3006,MATCH(217,'CARNET DE SOUDURE'!$AT$7:$AT$3006,0)))</f>
        <v/>
      </c>
      <c r="F228" s="125" t="str">
        <f aca="false">IF($B228="","",INDEX('CARNET DE SOUDURE'!$R$7:$R$3006,MATCH(217,'CARNET DE SOUDURE'!$AT$7:$AT$3006,0))&amp;IF(INDEX('CARNET DE SOUDURE'!$S$7:$S$3006,MATCH(217,'CARNET DE SOUDURE'!$AT$7:$AT$3006,0))&lt;&gt;""," / "&amp;INDEX('CARNET DE SOUDURE'!$S$7:$S$3006,MATCH(217,'CARNET DE SOUDURE'!$AT$7:$AT$3006,0)),"")&amp;IF(INDEX('CARNET DE SOUDURE'!$T$7:$T$3006,MATCH(217,'CARNET DE SOUDURE'!$AT$7:$AT$3006,0))&lt;&gt;""," / "&amp;INDEX('CARNET DE SOUDURE'!$T$7:$T$3006,MATCH(217,'CARNET DE SOUDURE'!$AT$7:$AT$3006,0)),""))</f>
        <v/>
      </c>
      <c r="G228" s="126" t="str">
        <f aca="false">IF($B228="","",INDEX('CARNET DE SOUDURE'!$U$7:$U$3006,MATCH(217,'CARNET DE SOUDURE'!$AT$7:$AT$3006,0)))</f>
        <v/>
      </c>
      <c r="H228" s="127" t="str">
        <f aca="false">IF($B228="","",INDEX('CARNET DE SOUDURE'!$AQ$7:$AQ$3006,MATCH(217,'CARNET DE SOUDURE'!$AT$7:$AT$3006,0)))</f>
        <v/>
      </c>
      <c r="I228" s="128" t="str">
        <f aca="false">IF($B228="","",INDEX('CARNET DE SOUDURE'!$AO$7:$AO$3006,MATCH(217,'CARNET DE SOUDURE'!$AT$7:$AT$3006,0)))</f>
        <v/>
      </c>
      <c r="J228" s="128" t="str">
        <f aca="false">IF($B228="","",INDEX('CARNET DE SOUDURE'!$AR$7:$AR$3006,MATCH(217,'CARNET DE SOUDURE'!$AT$7:$AT$3006,0)))</f>
        <v/>
      </c>
      <c r="K228" s="129"/>
      <c r="L228" s="129"/>
    </row>
    <row r="229" customFormat="false" ht="15" hidden="false" customHeight="false" outlineLevel="0" collapsed="false">
      <c r="B229" s="130" t="str">
        <f aca="false">IF(218&gt;$I$4,"",218)</f>
        <v/>
      </c>
      <c r="C229" s="130" t="str">
        <f aca="false">IF($B229="","",INDEX('CARNET DE SOUDURE'!$B$7:$B$3006,MATCH(218,'CARNET DE SOUDURE'!$AT$7:$AT$3006,0)))</f>
        <v/>
      </c>
      <c r="D229" s="130" t="str">
        <f aca="false">IF($B229="","",INDEX('CARNET DE SOUDURE'!$E$7:$E$3006,MATCH(218,'CARNET DE SOUDURE'!$AT$7:$AT$3006,0)))</f>
        <v/>
      </c>
      <c r="E229" s="130" t="str">
        <f aca="false">IF($B229="","",INDEX('CARNET DE SOUDURE'!$D$7:$D$3006,MATCH(218,'CARNET DE SOUDURE'!$AT$7:$AT$3006,0)))</f>
        <v/>
      </c>
      <c r="F229" s="130" t="str">
        <f aca="false">IF($B229="","",INDEX('CARNET DE SOUDURE'!$R$7:$R$3006,MATCH(218,'CARNET DE SOUDURE'!$AT$7:$AT$3006,0))&amp;IF(INDEX('CARNET DE SOUDURE'!$S$7:$S$3006,MATCH(218,'CARNET DE SOUDURE'!$AT$7:$AT$3006,0))&lt;&gt;""," / "&amp;INDEX('CARNET DE SOUDURE'!$S$7:$S$3006,MATCH(218,'CARNET DE SOUDURE'!$AT$7:$AT$3006,0)),"")&amp;IF(INDEX('CARNET DE SOUDURE'!$T$7:$T$3006,MATCH(218,'CARNET DE SOUDURE'!$AT$7:$AT$3006,0))&lt;&gt;""," / "&amp;INDEX('CARNET DE SOUDURE'!$T$7:$T$3006,MATCH(218,'CARNET DE SOUDURE'!$AT$7:$AT$3006,0)),""))</f>
        <v/>
      </c>
      <c r="G229" s="131" t="str">
        <f aca="false">IF($B229="","",INDEX('CARNET DE SOUDURE'!$U$7:$U$3006,MATCH(218,'CARNET DE SOUDURE'!$AT$7:$AT$3006,0)))</f>
        <v/>
      </c>
      <c r="H229" s="132" t="str">
        <f aca="false">IF($B229="","",INDEX('CARNET DE SOUDURE'!$AQ$7:$AQ$3006,MATCH(218,'CARNET DE SOUDURE'!$AT$7:$AT$3006,0)))</f>
        <v/>
      </c>
      <c r="I229" s="133" t="str">
        <f aca="false">IF($B229="","",INDEX('CARNET DE SOUDURE'!$AO$7:$AO$3006,MATCH(218,'CARNET DE SOUDURE'!$AT$7:$AT$3006,0)))</f>
        <v/>
      </c>
      <c r="J229" s="133" t="str">
        <f aca="false">IF($B229="","",INDEX('CARNET DE SOUDURE'!$AR$7:$AR$3006,MATCH(218,'CARNET DE SOUDURE'!$AT$7:$AT$3006,0)))</f>
        <v/>
      </c>
      <c r="K229" s="129"/>
      <c r="L229" s="129"/>
    </row>
    <row r="230" customFormat="false" ht="15" hidden="false" customHeight="false" outlineLevel="0" collapsed="false">
      <c r="B230" s="125" t="str">
        <f aca="false">IF(219&gt;$I$4,"",219)</f>
        <v/>
      </c>
      <c r="C230" s="125" t="str">
        <f aca="false">IF($B230="","",INDEX('CARNET DE SOUDURE'!$B$7:$B$3006,MATCH(219,'CARNET DE SOUDURE'!$AT$7:$AT$3006,0)))</f>
        <v/>
      </c>
      <c r="D230" s="125" t="str">
        <f aca="false">IF($B230="","",INDEX('CARNET DE SOUDURE'!$E$7:$E$3006,MATCH(219,'CARNET DE SOUDURE'!$AT$7:$AT$3006,0)))</f>
        <v/>
      </c>
      <c r="E230" s="125" t="str">
        <f aca="false">IF($B230="","",INDEX('CARNET DE SOUDURE'!$D$7:$D$3006,MATCH(219,'CARNET DE SOUDURE'!$AT$7:$AT$3006,0)))</f>
        <v/>
      </c>
      <c r="F230" s="125" t="str">
        <f aca="false">IF($B230="","",INDEX('CARNET DE SOUDURE'!$R$7:$R$3006,MATCH(219,'CARNET DE SOUDURE'!$AT$7:$AT$3006,0))&amp;IF(INDEX('CARNET DE SOUDURE'!$S$7:$S$3006,MATCH(219,'CARNET DE SOUDURE'!$AT$7:$AT$3006,0))&lt;&gt;""," / "&amp;INDEX('CARNET DE SOUDURE'!$S$7:$S$3006,MATCH(219,'CARNET DE SOUDURE'!$AT$7:$AT$3006,0)),"")&amp;IF(INDEX('CARNET DE SOUDURE'!$T$7:$T$3006,MATCH(219,'CARNET DE SOUDURE'!$AT$7:$AT$3006,0))&lt;&gt;""," / "&amp;INDEX('CARNET DE SOUDURE'!$T$7:$T$3006,MATCH(219,'CARNET DE SOUDURE'!$AT$7:$AT$3006,0)),""))</f>
        <v/>
      </c>
      <c r="G230" s="126" t="str">
        <f aca="false">IF($B230="","",INDEX('CARNET DE SOUDURE'!$U$7:$U$3006,MATCH(219,'CARNET DE SOUDURE'!$AT$7:$AT$3006,0)))</f>
        <v/>
      </c>
      <c r="H230" s="127" t="str">
        <f aca="false">IF($B230="","",INDEX('CARNET DE SOUDURE'!$AQ$7:$AQ$3006,MATCH(219,'CARNET DE SOUDURE'!$AT$7:$AT$3006,0)))</f>
        <v/>
      </c>
      <c r="I230" s="128" t="str">
        <f aca="false">IF($B230="","",INDEX('CARNET DE SOUDURE'!$AO$7:$AO$3006,MATCH(219,'CARNET DE SOUDURE'!$AT$7:$AT$3006,0)))</f>
        <v/>
      </c>
      <c r="J230" s="128" t="str">
        <f aca="false">IF($B230="","",INDEX('CARNET DE SOUDURE'!$AR$7:$AR$3006,MATCH(219,'CARNET DE SOUDURE'!$AT$7:$AT$3006,0)))</f>
        <v/>
      </c>
      <c r="K230" s="129"/>
      <c r="L230" s="129"/>
    </row>
    <row r="231" customFormat="false" ht="15" hidden="false" customHeight="false" outlineLevel="0" collapsed="false">
      <c r="B231" s="130" t="str">
        <f aca="false">IF(220&gt;$I$4,"",220)</f>
        <v/>
      </c>
      <c r="C231" s="130" t="str">
        <f aca="false">IF($B231="","",INDEX('CARNET DE SOUDURE'!$B$7:$B$3006,MATCH(220,'CARNET DE SOUDURE'!$AT$7:$AT$3006,0)))</f>
        <v/>
      </c>
      <c r="D231" s="130" t="str">
        <f aca="false">IF($B231="","",INDEX('CARNET DE SOUDURE'!$E$7:$E$3006,MATCH(220,'CARNET DE SOUDURE'!$AT$7:$AT$3006,0)))</f>
        <v/>
      </c>
      <c r="E231" s="130" t="str">
        <f aca="false">IF($B231="","",INDEX('CARNET DE SOUDURE'!$D$7:$D$3006,MATCH(220,'CARNET DE SOUDURE'!$AT$7:$AT$3006,0)))</f>
        <v/>
      </c>
      <c r="F231" s="130" t="str">
        <f aca="false">IF($B231="","",INDEX('CARNET DE SOUDURE'!$R$7:$R$3006,MATCH(220,'CARNET DE SOUDURE'!$AT$7:$AT$3006,0))&amp;IF(INDEX('CARNET DE SOUDURE'!$S$7:$S$3006,MATCH(220,'CARNET DE SOUDURE'!$AT$7:$AT$3006,0))&lt;&gt;""," / "&amp;INDEX('CARNET DE SOUDURE'!$S$7:$S$3006,MATCH(220,'CARNET DE SOUDURE'!$AT$7:$AT$3006,0)),"")&amp;IF(INDEX('CARNET DE SOUDURE'!$T$7:$T$3006,MATCH(220,'CARNET DE SOUDURE'!$AT$7:$AT$3006,0))&lt;&gt;""," / "&amp;INDEX('CARNET DE SOUDURE'!$T$7:$T$3006,MATCH(220,'CARNET DE SOUDURE'!$AT$7:$AT$3006,0)),""))</f>
        <v/>
      </c>
      <c r="G231" s="131" t="str">
        <f aca="false">IF($B231="","",INDEX('CARNET DE SOUDURE'!$U$7:$U$3006,MATCH(220,'CARNET DE SOUDURE'!$AT$7:$AT$3006,0)))</f>
        <v/>
      </c>
      <c r="H231" s="132" t="str">
        <f aca="false">IF($B231="","",INDEX('CARNET DE SOUDURE'!$AQ$7:$AQ$3006,MATCH(220,'CARNET DE SOUDURE'!$AT$7:$AT$3006,0)))</f>
        <v/>
      </c>
      <c r="I231" s="133" t="str">
        <f aca="false">IF($B231="","",INDEX('CARNET DE SOUDURE'!$AO$7:$AO$3006,MATCH(220,'CARNET DE SOUDURE'!$AT$7:$AT$3006,0)))</f>
        <v/>
      </c>
      <c r="J231" s="133" t="str">
        <f aca="false">IF($B231="","",INDEX('CARNET DE SOUDURE'!$AR$7:$AR$3006,MATCH(220,'CARNET DE SOUDURE'!$AT$7:$AT$3006,0)))</f>
        <v/>
      </c>
      <c r="K231" s="129"/>
      <c r="L231" s="129"/>
    </row>
    <row r="232" customFormat="false" ht="15" hidden="false" customHeight="false" outlineLevel="0" collapsed="false">
      <c r="B232" s="125" t="str">
        <f aca="false">IF(221&gt;$I$4,"",221)</f>
        <v/>
      </c>
      <c r="C232" s="125" t="str">
        <f aca="false">IF($B232="","",INDEX('CARNET DE SOUDURE'!$B$7:$B$3006,MATCH(221,'CARNET DE SOUDURE'!$AT$7:$AT$3006,0)))</f>
        <v/>
      </c>
      <c r="D232" s="125" t="str">
        <f aca="false">IF($B232="","",INDEX('CARNET DE SOUDURE'!$E$7:$E$3006,MATCH(221,'CARNET DE SOUDURE'!$AT$7:$AT$3006,0)))</f>
        <v/>
      </c>
      <c r="E232" s="125" t="str">
        <f aca="false">IF($B232="","",INDEX('CARNET DE SOUDURE'!$D$7:$D$3006,MATCH(221,'CARNET DE SOUDURE'!$AT$7:$AT$3006,0)))</f>
        <v/>
      </c>
      <c r="F232" s="125" t="str">
        <f aca="false">IF($B232="","",INDEX('CARNET DE SOUDURE'!$R$7:$R$3006,MATCH(221,'CARNET DE SOUDURE'!$AT$7:$AT$3006,0))&amp;IF(INDEX('CARNET DE SOUDURE'!$S$7:$S$3006,MATCH(221,'CARNET DE SOUDURE'!$AT$7:$AT$3006,0))&lt;&gt;""," / "&amp;INDEX('CARNET DE SOUDURE'!$S$7:$S$3006,MATCH(221,'CARNET DE SOUDURE'!$AT$7:$AT$3006,0)),"")&amp;IF(INDEX('CARNET DE SOUDURE'!$T$7:$T$3006,MATCH(221,'CARNET DE SOUDURE'!$AT$7:$AT$3006,0))&lt;&gt;""," / "&amp;INDEX('CARNET DE SOUDURE'!$T$7:$T$3006,MATCH(221,'CARNET DE SOUDURE'!$AT$7:$AT$3006,0)),""))</f>
        <v/>
      </c>
      <c r="G232" s="126" t="str">
        <f aca="false">IF($B232="","",INDEX('CARNET DE SOUDURE'!$U$7:$U$3006,MATCH(221,'CARNET DE SOUDURE'!$AT$7:$AT$3006,0)))</f>
        <v/>
      </c>
      <c r="H232" s="127" t="str">
        <f aca="false">IF($B232="","",INDEX('CARNET DE SOUDURE'!$AQ$7:$AQ$3006,MATCH(221,'CARNET DE SOUDURE'!$AT$7:$AT$3006,0)))</f>
        <v/>
      </c>
      <c r="I232" s="128" t="str">
        <f aca="false">IF($B232="","",INDEX('CARNET DE SOUDURE'!$AO$7:$AO$3006,MATCH(221,'CARNET DE SOUDURE'!$AT$7:$AT$3006,0)))</f>
        <v/>
      </c>
      <c r="J232" s="128" t="str">
        <f aca="false">IF($B232="","",INDEX('CARNET DE SOUDURE'!$AR$7:$AR$3006,MATCH(221,'CARNET DE SOUDURE'!$AT$7:$AT$3006,0)))</f>
        <v/>
      </c>
      <c r="K232" s="129"/>
      <c r="L232" s="129"/>
    </row>
    <row r="233" customFormat="false" ht="15" hidden="false" customHeight="false" outlineLevel="0" collapsed="false">
      <c r="B233" s="130" t="str">
        <f aca="false">IF(222&gt;$I$4,"",222)</f>
        <v/>
      </c>
      <c r="C233" s="130" t="str">
        <f aca="false">IF($B233="","",INDEX('CARNET DE SOUDURE'!$B$7:$B$3006,MATCH(222,'CARNET DE SOUDURE'!$AT$7:$AT$3006,0)))</f>
        <v/>
      </c>
      <c r="D233" s="130" t="str">
        <f aca="false">IF($B233="","",INDEX('CARNET DE SOUDURE'!$E$7:$E$3006,MATCH(222,'CARNET DE SOUDURE'!$AT$7:$AT$3006,0)))</f>
        <v/>
      </c>
      <c r="E233" s="130" t="str">
        <f aca="false">IF($B233="","",INDEX('CARNET DE SOUDURE'!$D$7:$D$3006,MATCH(222,'CARNET DE SOUDURE'!$AT$7:$AT$3006,0)))</f>
        <v/>
      </c>
      <c r="F233" s="130" t="str">
        <f aca="false">IF($B233="","",INDEX('CARNET DE SOUDURE'!$R$7:$R$3006,MATCH(222,'CARNET DE SOUDURE'!$AT$7:$AT$3006,0))&amp;IF(INDEX('CARNET DE SOUDURE'!$S$7:$S$3006,MATCH(222,'CARNET DE SOUDURE'!$AT$7:$AT$3006,0))&lt;&gt;""," / "&amp;INDEX('CARNET DE SOUDURE'!$S$7:$S$3006,MATCH(222,'CARNET DE SOUDURE'!$AT$7:$AT$3006,0)),"")&amp;IF(INDEX('CARNET DE SOUDURE'!$T$7:$T$3006,MATCH(222,'CARNET DE SOUDURE'!$AT$7:$AT$3006,0))&lt;&gt;""," / "&amp;INDEX('CARNET DE SOUDURE'!$T$7:$T$3006,MATCH(222,'CARNET DE SOUDURE'!$AT$7:$AT$3006,0)),""))</f>
        <v/>
      </c>
      <c r="G233" s="131" t="str">
        <f aca="false">IF($B233="","",INDEX('CARNET DE SOUDURE'!$U$7:$U$3006,MATCH(222,'CARNET DE SOUDURE'!$AT$7:$AT$3006,0)))</f>
        <v/>
      </c>
      <c r="H233" s="132" t="str">
        <f aca="false">IF($B233="","",INDEX('CARNET DE SOUDURE'!$AQ$7:$AQ$3006,MATCH(222,'CARNET DE SOUDURE'!$AT$7:$AT$3006,0)))</f>
        <v/>
      </c>
      <c r="I233" s="133" t="str">
        <f aca="false">IF($B233="","",INDEX('CARNET DE SOUDURE'!$AO$7:$AO$3006,MATCH(222,'CARNET DE SOUDURE'!$AT$7:$AT$3006,0)))</f>
        <v/>
      </c>
      <c r="J233" s="133" t="str">
        <f aca="false">IF($B233="","",INDEX('CARNET DE SOUDURE'!$AR$7:$AR$3006,MATCH(222,'CARNET DE SOUDURE'!$AT$7:$AT$3006,0)))</f>
        <v/>
      </c>
      <c r="K233" s="129"/>
      <c r="L233" s="129"/>
    </row>
    <row r="234" customFormat="false" ht="15" hidden="false" customHeight="false" outlineLevel="0" collapsed="false">
      <c r="B234" s="125" t="str">
        <f aca="false">IF(223&gt;$I$4,"",223)</f>
        <v/>
      </c>
      <c r="C234" s="125" t="str">
        <f aca="false">IF($B234="","",INDEX('CARNET DE SOUDURE'!$B$7:$B$3006,MATCH(223,'CARNET DE SOUDURE'!$AT$7:$AT$3006,0)))</f>
        <v/>
      </c>
      <c r="D234" s="125" t="str">
        <f aca="false">IF($B234="","",INDEX('CARNET DE SOUDURE'!$E$7:$E$3006,MATCH(223,'CARNET DE SOUDURE'!$AT$7:$AT$3006,0)))</f>
        <v/>
      </c>
      <c r="E234" s="125" t="str">
        <f aca="false">IF($B234="","",INDEX('CARNET DE SOUDURE'!$D$7:$D$3006,MATCH(223,'CARNET DE SOUDURE'!$AT$7:$AT$3006,0)))</f>
        <v/>
      </c>
      <c r="F234" s="125" t="str">
        <f aca="false">IF($B234="","",INDEX('CARNET DE SOUDURE'!$R$7:$R$3006,MATCH(223,'CARNET DE SOUDURE'!$AT$7:$AT$3006,0))&amp;IF(INDEX('CARNET DE SOUDURE'!$S$7:$S$3006,MATCH(223,'CARNET DE SOUDURE'!$AT$7:$AT$3006,0))&lt;&gt;""," / "&amp;INDEX('CARNET DE SOUDURE'!$S$7:$S$3006,MATCH(223,'CARNET DE SOUDURE'!$AT$7:$AT$3006,0)),"")&amp;IF(INDEX('CARNET DE SOUDURE'!$T$7:$T$3006,MATCH(223,'CARNET DE SOUDURE'!$AT$7:$AT$3006,0))&lt;&gt;""," / "&amp;INDEX('CARNET DE SOUDURE'!$T$7:$T$3006,MATCH(223,'CARNET DE SOUDURE'!$AT$7:$AT$3006,0)),""))</f>
        <v/>
      </c>
      <c r="G234" s="126" t="str">
        <f aca="false">IF($B234="","",INDEX('CARNET DE SOUDURE'!$U$7:$U$3006,MATCH(223,'CARNET DE SOUDURE'!$AT$7:$AT$3006,0)))</f>
        <v/>
      </c>
      <c r="H234" s="127" t="str">
        <f aca="false">IF($B234="","",INDEX('CARNET DE SOUDURE'!$AQ$7:$AQ$3006,MATCH(223,'CARNET DE SOUDURE'!$AT$7:$AT$3006,0)))</f>
        <v/>
      </c>
      <c r="I234" s="128" t="str">
        <f aca="false">IF($B234="","",INDEX('CARNET DE SOUDURE'!$AO$7:$AO$3006,MATCH(223,'CARNET DE SOUDURE'!$AT$7:$AT$3006,0)))</f>
        <v/>
      </c>
      <c r="J234" s="128" t="str">
        <f aca="false">IF($B234="","",INDEX('CARNET DE SOUDURE'!$AR$7:$AR$3006,MATCH(223,'CARNET DE SOUDURE'!$AT$7:$AT$3006,0)))</f>
        <v/>
      </c>
      <c r="K234" s="129"/>
      <c r="L234" s="129"/>
    </row>
    <row r="235" customFormat="false" ht="15" hidden="false" customHeight="false" outlineLevel="0" collapsed="false">
      <c r="B235" s="130" t="str">
        <f aca="false">IF(224&gt;$I$4,"",224)</f>
        <v/>
      </c>
      <c r="C235" s="130" t="str">
        <f aca="false">IF($B235="","",INDEX('CARNET DE SOUDURE'!$B$7:$B$3006,MATCH(224,'CARNET DE SOUDURE'!$AT$7:$AT$3006,0)))</f>
        <v/>
      </c>
      <c r="D235" s="130" t="str">
        <f aca="false">IF($B235="","",INDEX('CARNET DE SOUDURE'!$E$7:$E$3006,MATCH(224,'CARNET DE SOUDURE'!$AT$7:$AT$3006,0)))</f>
        <v/>
      </c>
      <c r="E235" s="130" t="str">
        <f aca="false">IF($B235="","",INDEX('CARNET DE SOUDURE'!$D$7:$D$3006,MATCH(224,'CARNET DE SOUDURE'!$AT$7:$AT$3006,0)))</f>
        <v/>
      </c>
      <c r="F235" s="130" t="str">
        <f aca="false">IF($B235="","",INDEX('CARNET DE SOUDURE'!$R$7:$R$3006,MATCH(224,'CARNET DE SOUDURE'!$AT$7:$AT$3006,0))&amp;IF(INDEX('CARNET DE SOUDURE'!$S$7:$S$3006,MATCH(224,'CARNET DE SOUDURE'!$AT$7:$AT$3006,0))&lt;&gt;""," / "&amp;INDEX('CARNET DE SOUDURE'!$S$7:$S$3006,MATCH(224,'CARNET DE SOUDURE'!$AT$7:$AT$3006,0)),"")&amp;IF(INDEX('CARNET DE SOUDURE'!$T$7:$T$3006,MATCH(224,'CARNET DE SOUDURE'!$AT$7:$AT$3006,0))&lt;&gt;""," / "&amp;INDEX('CARNET DE SOUDURE'!$T$7:$T$3006,MATCH(224,'CARNET DE SOUDURE'!$AT$7:$AT$3006,0)),""))</f>
        <v/>
      </c>
      <c r="G235" s="131" t="str">
        <f aca="false">IF($B235="","",INDEX('CARNET DE SOUDURE'!$U$7:$U$3006,MATCH(224,'CARNET DE SOUDURE'!$AT$7:$AT$3006,0)))</f>
        <v/>
      </c>
      <c r="H235" s="132" t="str">
        <f aca="false">IF($B235="","",INDEX('CARNET DE SOUDURE'!$AQ$7:$AQ$3006,MATCH(224,'CARNET DE SOUDURE'!$AT$7:$AT$3006,0)))</f>
        <v/>
      </c>
      <c r="I235" s="133" t="str">
        <f aca="false">IF($B235="","",INDEX('CARNET DE SOUDURE'!$AO$7:$AO$3006,MATCH(224,'CARNET DE SOUDURE'!$AT$7:$AT$3006,0)))</f>
        <v/>
      </c>
      <c r="J235" s="133" t="str">
        <f aca="false">IF($B235="","",INDEX('CARNET DE SOUDURE'!$AR$7:$AR$3006,MATCH(224,'CARNET DE SOUDURE'!$AT$7:$AT$3006,0)))</f>
        <v/>
      </c>
      <c r="K235" s="129"/>
      <c r="L235" s="129"/>
    </row>
    <row r="236" customFormat="false" ht="15" hidden="false" customHeight="false" outlineLevel="0" collapsed="false">
      <c r="B236" s="125" t="str">
        <f aca="false">IF(225&gt;$I$4,"",225)</f>
        <v/>
      </c>
      <c r="C236" s="125" t="str">
        <f aca="false">IF($B236="","",INDEX('CARNET DE SOUDURE'!$B$7:$B$3006,MATCH(225,'CARNET DE SOUDURE'!$AT$7:$AT$3006,0)))</f>
        <v/>
      </c>
      <c r="D236" s="125" t="str">
        <f aca="false">IF($B236="","",INDEX('CARNET DE SOUDURE'!$E$7:$E$3006,MATCH(225,'CARNET DE SOUDURE'!$AT$7:$AT$3006,0)))</f>
        <v/>
      </c>
      <c r="E236" s="125" t="str">
        <f aca="false">IF($B236="","",INDEX('CARNET DE SOUDURE'!$D$7:$D$3006,MATCH(225,'CARNET DE SOUDURE'!$AT$7:$AT$3006,0)))</f>
        <v/>
      </c>
      <c r="F236" s="125" t="str">
        <f aca="false">IF($B236="","",INDEX('CARNET DE SOUDURE'!$R$7:$R$3006,MATCH(225,'CARNET DE SOUDURE'!$AT$7:$AT$3006,0))&amp;IF(INDEX('CARNET DE SOUDURE'!$S$7:$S$3006,MATCH(225,'CARNET DE SOUDURE'!$AT$7:$AT$3006,0))&lt;&gt;""," / "&amp;INDEX('CARNET DE SOUDURE'!$S$7:$S$3006,MATCH(225,'CARNET DE SOUDURE'!$AT$7:$AT$3006,0)),"")&amp;IF(INDEX('CARNET DE SOUDURE'!$T$7:$T$3006,MATCH(225,'CARNET DE SOUDURE'!$AT$7:$AT$3006,0))&lt;&gt;""," / "&amp;INDEX('CARNET DE SOUDURE'!$T$7:$T$3006,MATCH(225,'CARNET DE SOUDURE'!$AT$7:$AT$3006,0)),""))</f>
        <v/>
      </c>
      <c r="G236" s="126" t="str">
        <f aca="false">IF($B236="","",INDEX('CARNET DE SOUDURE'!$U$7:$U$3006,MATCH(225,'CARNET DE SOUDURE'!$AT$7:$AT$3006,0)))</f>
        <v/>
      </c>
      <c r="H236" s="127" t="str">
        <f aca="false">IF($B236="","",INDEX('CARNET DE SOUDURE'!$AQ$7:$AQ$3006,MATCH(225,'CARNET DE SOUDURE'!$AT$7:$AT$3006,0)))</f>
        <v/>
      </c>
      <c r="I236" s="128" t="str">
        <f aca="false">IF($B236="","",INDEX('CARNET DE SOUDURE'!$AO$7:$AO$3006,MATCH(225,'CARNET DE SOUDURE'!$AT$7:$AT$3006,0)))</f>
        <v/>
      </c>
      <c r="J236" s="128" t="str">
        <f aca="false">IF($B236="","",INDEX('CARNET DE SOUDURE'!$AR$7:$AR$3006,MATCH(225,'CARNET DE SOUDURE'!$AT$7:$AT$3006,0)))</f>
        <v/>
      </c>
      <c r="K236" s="129"/>
      <c r="L236" s="129"/>
    </row>
    <row r="237" customFormat="false" ht="15" hidden="false" customHeight="false" outlineLevel="0" collapsed="false">
      <c r="B237" s="130" t="str">
        <f aca="false">IF(226&gt;$I$4,"",226)</f>
        <v/>
      </c>
      <c r="C237" s="130" t="str">
        <f aca="false">IF($B237="","",INDEX('CARNET DE SOUDURE'!$B$7:$B$3006,MATCH(226,'CARNET DE SOUDURE'!$AT$7:$AT$3006,0)))</f>
        <v/>
      </c>
      <c r="D237" s="130" t="str">
        <f aca="false">IF($B237="","",INDEX('CARNET DE SOUDURE'!$E$7:$E$3006,MATCH(226,'CARNET DE SOUDURE'!$AT$7:$AT$3006,0)))</f>
        <v/>
      </c>
      <c r="E237" s="130" t="str">
        <f aca="false">IF($B237="","",INDEX('CARNET DE SOUDURE'!$D$7:$D$3006,MATCH(226,'CARNET DE SOUDURE'!$AT$7:$AT$3006,0)))</f>
        <v/>
      </c>
      <c r="F237" s="130" t="str">
        <f aca="false">IF($B237="","",INDEX('CARNET DE SOUDURE'!$R$7:$R$3006,MATCH(226,'CARNET DE SOUDURE'!$AT$7:$AT$3006,0))&amp;IF(INDEX('CARNET DE SOUDURE'!$S$7:$S$3006,MATCH(226,'CARNET DE SOUDURE'!$AT$7:$AT$3006,0))&lt;&gt;""," / "&amp;INDEX('CARNET DE SOUDURE'!$S$7:$S$3006,MATCH(226,'CARNET DE SOUDURE'!$AT$7:$AT$3006,0)),"")&amp;IF(INDEX('CARNET DE SOUDURE'!$T$7:$T$3006,MATCH(226,'CARNET DE SOUDURE'!$AT$7:$AT$3006,0))&lt;&gt;""," / "&amp;INDEX('CARNET DE SOUDURE'!$T$7:$T$3006,MATCH(226,'CARNET DE SOUDURE'!$AT$7:$AT$3006,0)),""))</f>
        <v/>
      </c>
      <c r="G237" s="131" t="str">
        <f aca="false">IF($B237="","",INDEX('CARNET DE SOUDURE'!$U$7:$U$3006,MATCH(226,'CARNET DE SOUDURE'!$AT$7:$AT$3006,0)))</f>
        <v/>
      </c>
      <c r="H237" s="132" t="str">
        <f aca="false">IF($B237="","",INDEX('CARNET DE SOUDURE'!$AQ$7:$AQ$3006,MATCH(226,'CARNET DE SOUDURE'!$AT$7:$AT$3006,0)))</f>
        <v/>
      </c>
      <c r="I237" s="133" t="str">
        <f aca="false">IF($B237="","",INDEX('CARNET DE SOUDURE'!$AO$7:$AO$3006,MATCH(226,'CARNET DE SOUDURE'!$AT$7:$AT$3006,0)))</f>
        <v/>
      </c>
      <c r="J237" s="133" t="str">
        <f aca="false">IF($B237="","",INDEX('CARNET DE SOUDURE'!$AR$7:$AR$3006,MATCH(226,'CARNET DE SOUDURE'!$AT$7:$AT$3006,0)))</f>
        <v/>
      </c>
      <c r="K237" s="129"/>
      <c r="L237" s="129"/>
    </row>
    <row r="238" customFormat="false" ht="15" hidden="false" customHeight="false" outlineLevel="0" collapsed="false">
      <c r="B238" s="125" t="str">
        <f aca="false">IF(227&gt;$I$4,"",227)</f>
        <v/>
      </c>
      <c r="C238" s="125" t="str">
        <f aca="false">IF($B238="","",INDEX('CARNET DE SOUDURE'!$B$7:$B$3006,MATCH(227,'CARNET DE SOUDURE'!$AT$7:$AT$3006,0)))</f>
        <v/>
      </c>
      <c r="D238" s="125" t="str">
        <f aca="false">IF($B238="","",INDEX('CARNET DE SOUDURE'!$E$7:$E$3006,MATCH(227,'CARNET DE SOUDURE'!$AT$7:$AT$3006,0)))</f>
        <v/>
      </c>
      <c r="E238" s="125" t="str">
        <f aca="false">IF($B238="","",INDEX('CARNET DE SOUDURE'!$D$7:$D$3006,MATCH(227,'CARNET DE SOUDURE'!$AT$7:$AT$3006,0)))</f>
        <v/>
      </c>
      <c r="F238" s="125" t="str">
        <f aca="false">IF($B238="","",INDEX('CARNET DE SOUDURE'!$R$7:$R$3006,MATCH(227,'CARNET DE SOUDURE'!$AT$7:$AT$3006,0))&amp;IF(INDEX('CARNET DE SOUDURE'!$S$7:$S$3006,MATCH(227,'CARNET DE SOUDURE'!$AT$7:$AT$3006,0))&lt;&gt;""," / "&amp;INDEX('CARNET DE SOUDURE'!$S$7:$S$3006,MATCH(227,'CARNET DE SOUDURE'!$AT$7:$AT$3006,0)),"")&amp;IF(INDEX('CARNET DE SOUDURE'!$T$7:$T$3006,MATCH(227,'CARNET DE SOUDURE'!$AT$7:$AT$3006,0))&lt;&gt;""," / "&amp;INDEX('CARNET DE SOUDURE'!$T$7:$T$3006,MATCH(227,'CARNET DE SOUDURE'!$AT$7:$AT$3006,0)),""))</f>
        <v/>
      </c>
      <c r="G238" s="126" t="str">
        <f aca="false">IF($B238="","",INDEX('CARNET DE SOUDURE'!$U$7:$U$3006,MATCH(227,'CARNET DE SOUDURE'!$AT$7:$AT$3006,0)))</f>
        <v/>
      </c>
      <c r="H238" s="127" t="str">
        <f aca="false">IF($B238="","",INDEX('CARNET DE SOUDURE'!$AQ$7:$AQ$3006,MATCH(227,'CARNET DE SOUDURE'!$AT$7:$AT$3006,0)))</f>
        <v/>
      </c>
      <c r="I238" s="128" t="str">
        <f aca="false">IF($B238="","",INDEX('CARNET DE SOUDURE'!$AO$7:$AO$3006,MATCH(227,'CARNET DE SOUDURE'!$AT$7:$AT$3006,0)))</f>
        <v/>
      </c>
      <c r="J238" s="128" t="str">
        <f aca="false">IF($B238="","",INDEX('CARNET DE SOUDURE'!$AR$7:$AR$3006,MATCH(227,'CARNET DE SOUDURE'!$AT$7:$AT$3006,0)))</f>
        <v/>
      </c>
      <c r="K238" s="129"/>
      <c r="L238" s="129"/>
    </row>
    <row r="239" customFormat="false" ht="15" hidden="false" customHeight="false" outlineLevel="0" collapsed="false">
      <c r="B239" s="130" t="str">
        <f aca="false">IF(228&gt;$I$4,"",228)</f>
        <v/>
      </c>
      <c r="C239" s="130" t="str">
        <f aca="false">IF($B239="","",INDEX('CARNET DE SOUDURE'!$B$7:$B$3006,MATCH(228,'CARNET DE SOUDURE'!$AT$7:$AT$3006,0)))</f>
        <v/>
      </c>
      <c r="D239" s="130" t="str">
        <f aca="false">IF($B239="","",INDEX('CARNET DE SOUDURE'!$E$7:$E$3006,MATCH(228,'CARNET DE SOUDURE'!$AT$7:$AT$3006,0)))</f>
        <v/>
      </c>
      <c r="E239" s="130" t="str">
        <f aca="false">IF($B239="","",INDEX('CARNET DE SOUDURE'!$D$7:$D$3006,MATCH(228,'CARNET DE SOUDURE'!$AT$7:$AT$3006,0)))</f>
        <v/>
      </c>
      <c r="F239" s="130" t="str">
        <f aca="false">IF($B239="","",INDEX('CARNET DE SOUDURE'!$R$7:$R$3006,MATCH(228,'CARNET DE SOUDURE'!$AT$7:$AT$3006,0))&amp;IF(INDEX('CARNET DE SOUDURE'!$S$7:$S$3006,MATCH(228,'CARNET DE SOUDURE'!$AT$7:$AT$3006,0))&lt;&gt;""," / "&amp;INDEX('CARNET DE SOUDURE'!$S$7:$S$3006,MATCH(228,'CARNET DE SOUDURE'!$AT$7:$AT$3006,0)),"")&amp;IF(INDEX('CARNET DE SOUDURE'!$T$7:$T$3006,MATCH(228,'CARNET DE SOUDURE'!$AT$7:$AT$3006,0))&lt;&gt;""," / "&amp;INDEX('CARNET DE SOUDURE'!$T$7:$T$3006,MATCH(228,'CARNET DE SOUDURE'!$AT$7:$AT$3006,0)),""))</f>
        <v/>
      </c>
      <c r="G239" s="131" t="str">
        <f aca="false">IF($B239="","",INDEX('CARNET DE SOUDURE'!$U$7:$U$3006,MATCH(228,'CARNET DE SOUDURE'!$AT$7:$AT$3006,0)))</f>
        <v/>
      </c>
      <c r="H239" s="132" t="str">
        <f aca="false">IF($B239="","",INDEX('CARNET DE SOUDURE'!$AQ$7:$AQ$3006,MATCH(228,'CARNET DE SOUDURE'!$AT$7:$AT$3006,0)))</f>
        <v/>
      </c>
      <c r="I239" s="133" t="str">
        <f aca="false">IF($B239="","",INDEX('CARNET DE SOUDURE'!$AO$7:$AO$3006,MATCH(228,'CARNET DE SOUDURE'!$AT$7:$AT$3006,0)))</f>
        <v/>
      </c>
      <c r="J239" s="133" t="str">
        <f aca="false">IF($B239="","",INDEX('CARNET DE SOUDURE'!$AR$7:$AR$3006,MATCH(228,'CARNET DE SOUDURE'!$AT$7:$AT$3006,0)))</f>
        <v/>
      </c>
      <c r="K239" s="129"/>
      <c r="L239" s="129"/>
    </row>
    <row r="240" customFormat="false" ht="15" hidden="false" customHeight="false" outlineLevel="0" collapsed="false">
      <c r="B240" s="125" t="str">
        <f aca="false">IF(229&gt;$I$4,"",229)</f>
        <v/>
      </c>
      <c r="C240" s="125" t="str">
        <f aca="false">IF($B240="","",INDEX('CARNET DE SOUDURE'!$B$7:$B$3006,MATCH(229,'CARNET DE SOUDURE'!$AT$7:$AT$3006,0)))</f>
        <v/>
      </c>
      <c r="D240" s="125" t="str">
        <f aca="false">IF($B240="","",INDEX('CARNET DE SOUDURE'!$E$7:$E$3006,MATCH(229,'CARNET DE SOUDURE'!$AT$7:$AT$3006,0)))</f>
        <v/>
      </c>
      <c r="E240" s="125" t="str">
        <f aca="false">IF($B240="","",INDEX('CARNET DE SOUDURE'!$D$7:$D$3006,MATCH(229,'CARNET DE SOUDURE'!$AT$7:$AT$3006,0)))</f>
        <v/>
      </c>
      <c r="F240" s="125" t="str">
        <f aca="false">IF($B240="","",INDEX('CARNET DE SOUDURE'!$R$7:$R$3006,MATCH(229,'CARNET DE SOUDURE'!$AT$7:$AT$3006,0))&amp;IF(INDEX('CARNET DE SOUDURE'!$S$7:$S$3006,MATCH(229,'CARNET DE SOUDURE'!$AT$7:$AT$3006,0))&lt;&gt;""," / "&amp;INDEX('CARNET DE SOUDURE'!$S$7:$S$3006,MATCH(229,'CARNET DE SOUDURE'!$AT$7:$AT$3006,0)),"")&amp;IF(INDEX('CARNET DE SOUDURE'!$T$7:$T$3006,MATCH(229,'CARNET DE SOUDURE'!$AT$7:$AT$3006,0))&lt;&gt;""," / "&amp;INDEX('CARNET DE SOUDURE'!$T$7:$T$3006,MATCH(229,'CARNET DE SOUDURE'!$AT$7:$AT$3006,0)),""))</f>
        <v/>
      </c>
      <c r="G240" s="126" t="str">
        <f aca="false">IF($B240="","",INDEX('CARNET DE SOUDURE'!$U$7:$U$3006,MATCH(229,'CARNET DE SOUDURE'!$AT$7:$AT$3006,0)))</f>
        <v/>
      </c>
      <c r="H240" s="127" t="str">
        <f aca="false">IF($B240="","",INDEX('CARNET DE SOUDURE'!$AQ$7:$AQ$3006,MATCH(229,'CARNET DE SOUDURE'!$AT$7:$AT$3006,0)))</f>
        <v/>
      </c>
      <c r="I240" s="128" t="str">
        <f aca="false">IF($B240="","",INDEX('CARNET DE SOUDURE'!$AO$7:$AO$3006,MATCH(229,'CARNET DE SOUDURE'!$AT$7:$AT$3006,0)))</f>
        <v/>
      </c>
      <c r="J240" s="128" t="str">
        <f aca="false">IF($B240="","",INDEX('CARNET DE SOUDURE'!$AR$7:$AR$3006,MATCH(229,'CARNET DE SOUDURE'!$AT$7:$AT$3006,0)))</f>
        <v/>
      </c>
      <c r="K240" s="129"/>
      <c r="L240" s="129"/>
    </row>
    <row r="241" customFormat="false" ht="15" hidden="false" customHeight="false" outlineLevel="0" collapsed="false">
      <c r="B241" s="130" t="str">
        <f aca="false">IF(230&gt;$I$4,"",230)</f>
        <v/>
      </c>
      <c r="C241" s="130" t="str">
        <f aca="false">IF($B241="","",INDEX('CARNET DE SOUDURE'!$B$7:$B$3006,MATCH(230,'CARNET DE SOUDURE'!$AT$7:$AT$3006,0)))</f>
        <v/>
      </c>
      <c r="D241" s="130" t="str">
        <f aca="false">IF($B241="","",INDEX('CARNET DE SOUDURE'!$E$7:$E$3006,MATCH(230,'CARNET DE SOUDURE'!$AT$7:$AT$3006,0)))</f>
        <v/>
      </c>
      <c r="E241" s="130" t="str">
        <f aca="false">IF($B241="","",INDEX('CARNET DE SOUDURE'!$D$7:$D$3006,MATCH(230,'CARNET DE SOUDURE'!$AT$7:$AT$3006,0)))</f>
        <v/>
      </c>
      <c r="F241" s="130" t="str">
        <f aca="false">IF($B241="","",INDEX('CARNET DE SOUDURE'!$R$7:$R$3006,MATCH(230,'CARNET DE SOUDURE'!$AT$7:$AT$3006,0))&amp;IF(INDEX('CARNET DE SOUDURE'!$S$7:$S$3006,MATCH(230,'CARNET DE SOUDURE'!$AT$7:$AT$3006,0))&lt;&gt;""," / "&amp;INDEX('CARNET DE SOUDURE'!$S$7:$S$3006,MATCH(230,'CARNET DE SOUDURE'!$AT$7:$AT$3006,0)),"")&amp;IF(INDEX('CARNET DE SOUDURE'!$T$7:$T$3006,MATCH(230,'CARNET DE SOUDURE'!$AT$7:$AT$3006,0))&lt;&gt;""," / "&amp;INDEX('CARNET DE SOUDURE'!$T$7:$T$3006,MATCH(230,'CARNET DE SOUDURE'!$AT$7:$AT$3006,0)),""))</f>
        <v/>
      </c>
      <c r="G241" s="131" t="str">
        <f aca="false">IF($B241="","",INDEX('CARNET DE SOUDURE'!$U$7:$U$3006,MATCH(230,'CARNET DE SOUDURE'!$AT$7:$AT$3006,0)))</f>
        <v/>
      </c>
      <c r="H241" s="132" t="str">
        <f aca="false">IF($B241="","",INDEX('CARNET DE SOUDURE'!$AQ$7:$AQ$3006,MATCH(230,'CARNET DE SOUDURE'!$AT$7:$AT$3006,0)))</f>
        <v/>
      </c>
      <c r="I241" s="133" t="str">
        <f aca="false">IF($B241="","",INDEX('CARNET DE SOUDURE'!$AO$7:$AO$3006,MATCH(230,'CARNET DE SOUDURE'!$AT$7:$AT$3006,0)))</f>
        <v/>
      </c>
      <c r="J241" s="133" t="str">
        <f aca="false">IF($B241="","",INDEX('CARNET DE SOUDURE'!$AR$7:$AR$3006,MATCH(230,'CARNET DE SOUDURE'!$AT$7:$AT$3006,0)))</f>
        <v/>
      </c>
      <c r="K241" s="129"/>
      <c r="L241" s="129"/>
    </row>
    <row r="242" customFormat="false" ht="15" hidden="false" customHeight="false" outlineLevel="0" collapsed="false">
      <c r="B242" s="125" t="str">
        <f aca="false">IF(231&gt;$I$4,"",231)</f>
        <v/>
      </c>
      <c r="C242" s="125" t="str">
        <f aca="false">IF($B242="","",INDEX('CARNET DE SOUDURE'!$B$7:$B$3006,MATCH(231,'CARNET DE SOUDURE'!$AT$7:$AT$3006,0)))</f>
        <v/>
      </c>
      <c r="D242" s="125" t="str">
        <f aca="false">IF($B242="","",INDEX('CARNET DE SOUDURE'!$E$7:$E$3006,MATCH(231,'CARNET DE SOUDURE'!$AT$7:$AT$3006,0)))</f>
        <v/>
      </c>
      <c r="E242" s="125" t="str">
        <f aca="false">IF($B242="","",INDEX('CARNET DE SOUDURE'!$D$7:$D$3006,MATCH(231,'CARNET DE SOUDURE'!$AT$7:$AT$3006,0)))</f>
        <v/>
      </c>
      <c r="F242" s="125" t="str">
        <f aca="false">IF($B242="","",INDEX('CARNET DE SOUDURE'!$R$7:$R$3006,MATCH(231,'CARNET DE SOUDURE'!$AT$7:$AT$3006,0))&amp;IF(INDEX('CARNET DE SOUDURE'!$S$7:$S$3006,MATCH(231,'CARNET DE SOUDURE'!$AT$7:$AT$3006,0))&lt;&gt;""," / "&amp;INDEX('CARNET DE SOUDURE'!$S$7:$S$3006,MATCH(231,'CARNET DE SOUDURE'!$AT$7:$AT$3006,0)),"")&amp;IF(INDEX('CARNET DE SOUDURE'!$T$7:$T$3006,MATCH(231,'CARNET DE SOUDURE'!$AT$7:$AT$3006,0))&lt;&gt;""," / "&amp;INDEX('CARNET DE SOUDURE'!$T$7:$T$3006,MATCH(231,'CARNET DE SOUDURE'!$AT$7:$AT$3006,0)),""))</f>
        <v/>
      </c>
      <c r="G242" s="126" t="str">
        <f aca="false">IF($B242="","",INDEX('CARNET DE SOUDURE'!$U$7:$U$3006,MATCH(231,'CARNET DE SOUDURE'!$AT$7:$AT$3006,0)))</f>
        <v/>
      </c>
      <c r="H242" s="127" t="str">
        <f aca="false">IF($B242="","",INDEX('CARNET DE SOUDURE'!$AQ$7:$AQ$3006,MATCH(231,'CARNET DE SOUDURE'!$AT$7:$AT$3006,0)))</f>
        <v/>
      </c>
      <c r="I242" s="128" t="str">
        <f aca="false">IF($B242="","",INDEX('CARNET DE SOUDURE'!$AO$7:$AO$3006,MATCH(231,'CARNET DE SOUDURE'!$AT$7:$AT$3006,0)))</f>
        <v/>
      </c>
      <c r="J242" s="128" t="str">
        <f aca="false">IF($B242="","",INDEX('CARNET DE SOUDURE'!$AR$7:$AR$3006,MATCH(231,'CARNET DE SOUDURE'!$AT$7:$AT$3006,0)))</f>
        <v/>
      </c>
      <c r="K242" s="129"/>
      <c r="L242" s="129"/>
    </row>
    <row r="243" customFormat="false" ht="15" hidden="false" customHeight="false" outlineLevel="0" collapsed="false">
      <c r="B243" s="130" t="str">
        <f aca="false">IF(232&gt;$I$4,"",232)</f>
        <v/>
      </c>
      <c r="C243" s="130" t="str">
        <f aca="false">IF($B243="","",INDEX('CARNET DE SOUDURE'!$B$7:$B$3006,MATCH(232,'CARNET DE SOUDURE'!$AT$7:$AT$3006,0)))</f>
        <v/>
      </c>
      <c r="D243" s="130" t="str">
        <f aca="false">IF($B243="","",INDEX('CARNET DE SOUDURE'!$E$7:$E$3006,MATCH(232,'CARNET DE SOUDURE'!$AT$7:$AT$3006,0)))</f>
        <v/>
      </c>
      <c r="E243" s="130" t="str">
        <f aca="false">IF($B243="","",INDEX('CARNET DE SOUDURE'!$D$7:$D$3006,MATCH(232,'CARNET DE SOUDURE'!$AT$7:$AT$3006,0)))</f>
        <v/>
      </c>
      <c r="F243" s="130" t="str">
        <f aca="false">IF($B243="","",INDEX('CARNET DE SOUDURE'!$R$7:$R$3006,MATCH(232,'CARNET DE SOUDURE'!$AT$7:$AT$3006,0))&amp;IF(INDEX('CARNET DE SOUDURE'!$S$7:$S$3006,MATCH(232,'CARNET DE SOUDURE'!$AT$7:$AT$3006,0))&lt;&gt;""," / "&amp;INDEX('CARNET DE SOUDURE'!$S$7:$S$3006,MATCH(232,'CARNET DE SOUDURE'!$AT$7:$AT$3006,0)),"")&amp;IF(INDEX('CARNET DE SOUDURE'!$T$7:$T$3006,MATCH(232,'CARNET DE SOUDURE'!$AT$7:$AT$3006,0))&lt;&gt;""," / "&amp;INDEX('CARNET DE SOUDURE'!$T$7:$T$3006,MATCH(232,'CARNET DE SOUDURE'!$AT$7:$AT$3006,0)),""))</f>
        <v/>
      </c>
      <c r="G243" s="131" t="str">
        <f aca="false">IF($B243="","",INDEX('CARNET DE SOUDURE'!$U$7:$U$3006,MATCH(232,'CARNET DE SOUDURE'!$AT$7:$AT$3006,0)))</f>
        <v/>
      </c>
      <c r="H243" s="132" t="str">
        <f aca="false">IF($B243="","",INDEX('CARNET DE SOUDURE'!$AQ$7:$AQ$3006,MATCH(232,'CARNET DE SOUDURE'!$AT$7:$AT$3006,0)))</f>
        <v/>
      </c>
      <c r="I243" s="133" t="str">
        <f aca="false">IF($B243="","",INDEX('CARNET DE SOUDURE'!$AO$7:$AO$3006,MATCH(232,'CARNET DE SOUDURE'!$AT$7:$AT$3006,0)))</f>
        <v/>
      </c>
      <c r="J243" s="133" t="str">
        <f aca="false">IF($B243="","",INDEX('CARNET DE SOUDURE'!$AR$7:$AR$3006,MATCH(232,'CARNET DE SOUDURE'!$AT$7:$AT$3006,0)))</f>
        <v/>
      </c>
      <c r="K243" s="129"/>
      <c r="L243" s="129"/>
    </row>
    <row r="244" customFormat="false" ht="15" hidden="false" customHeight="false" outlineLevel="0" collapsed="false">
      <c r="B244" s="125" t="str">
        <f aca="false">IF(233&gt;$I$4,"",233)</f>
        <v/>
      </c>
      <c r="C244" s="125" t="str">
        <f aca="false">IF($B244="","",INDEX('CARNET DE SOUDURE'!$B$7:$B$3006,MATCH(233,'CARNET DE SOUDURE'!$AT$7:$AT$3006,0)))</f>
        <v/>
      </c>
      <c r="D244" s="125" t="str">
        <f aca="false">IF($B244="","",INDEX('CARNET DE SOUDURE'!$E$7:$E$3006,MATCH(233,'CARNET DE SOUDURE'!$AT$7:$AT$3006,0)))</f>
        <v/>
      </c>
      <c r="E244" s="125" t="str">
        <f aca="false">IF($B244="","",INDEX('CARNET DE SOUDURE'!$D$7:$D$3006,MATCH(233,'CARNET DE SOUDURE'!$AT$7:$AT$3006,0)))</f>
        <v/>
      </c>
      <c r="F244" s="125" t="str">
        <f aca="false">IF($B244="","",INDEX('CARNET DE SOUDURE'!$R$7:$R$3006,MATCH(233,'CARNET DE SOUDURE'!$AT$7:$AT$3006,0))&amp;IF(INDEX('CARNET DE SOUDURE'!$S$7:$S$3006,MATCH(233,'CARNET DE SOUDURE'!$AT$7:$AT$3006,0))&lt;&gt;""," / "&amp;INDEX('CARNET DE SOUDURE'!$S$7:$S$3006,MATCH(233,'CARNET DE SOUDURE'!$AT$7:$AT$3006,0)),"")&amp;IF(INDEX('CARNET DE SOUDURE'!$T$7:$T$3006,MATCH(233,'CARNET DE SOUDURE'!$AT$7:$AT$3006,0))&lt;&gt;""," / "&amp;INDEX('CARNET DE SOUDURE'!$T$7:$T$3006,MATCH(233,'CARNET DE SOUDURE'!$AT$7:$AT$3006,0)),""))</f>
        <v/>
      </c>
      <c r="G244" s="126" t="str">
        <f aca="false">IF($B244="","",INDEX('CARNET DE SOUDURE'!$U$7:$U$3006,MATCH(233,'CARNET DE SOUDURE'!$AT$7:$AT$3006,0)))</f>
        <v/>
      </c>
      <c r="H244" s="127" t="str">
        <f aca="false">IF($B244="","",INDEX('CARNET DE SOUDURE'!$AQ$7:$AQ$3006,MATCH(233,'CARNET DE SOUDURE'!$AT$7:$AT$3006,0)))</f>
        <v/>
      </c>
      <c r="I244" s="128" t="str">
        <f aca="false">IF($B244="","",INDEX('CARNET DE SOUDURE'!$AO$7:$AO$3006,MATCH(233,'CARNET DE SOUDURE'!$AT$7:$AT$3006,0)))</f>
        <v/>
      </c>
      <c r="J244" s="128" t="str">
        <f aca="false">IF($B244="","",INDEX('CARNET DE SOUDURE'!$AR$7:$AR$3006,MATCH(233,'CARNET DE SOUDURE'!$AT$7:$AT$3006,0)))</f>
        <v/>
      </c>
      <c r="K244" s="129"/>
      <c r="L244" s="129"/>
    </row>
    <row r="245" customFormat="false" ht="15" hidden="false" customHeight="false" outlineLevel="0" collapsed="false">
      <c r="B245" s="130" t="str">
        <f aca="false">IF(234&gt;$I$4,"",234)</f>
        <v/>
      </c>
      <c r="C245" s="130" t="str">
        <f aca="false">IF($B245="","",INDEX('CARNET DE SOUDURE'!$B$7:$B$3006,MATCH(234,'CARNET DE SOUDURE'!$AT$7:$AT$3006,0)))</f>
        <v/>
      </c>
      <c r="D245" s="130" t="str">
        <f aca="false">IF($B245="","",INDEX('CARNET DE SOUDURE'!$E$7:$E$3006,MATCH(234,'CARNET DE SOUDURE'!$AT$7:$AT$3006,0)))</f>
        <v/>
      </c>
      <c r="E245" s="130" t="str">
        <f aca="false">IF($B245="","",INDEX('CARNET DE SOUDURE'!$D$7:$D$3006,MATCH(234,'CARNET DE SOUDURE'!$AT$7:$AT$3006,0)))</f>
        <v/>
      </c>
      <c r="F245" s="130" t="str">
        <f aca="false">IF($B245="","",INDEX('CARNET DE SOUDURE'!$R$7:$R$3006,MATCH(234,'CARNET DE SOUDURE'!$AT$7:$AT$3006,0))&amp;IF(INDEX('CARNET DE SOUDURE'!$S$7:$S$3006,MATCH(234,'CARNET DE SOUDURE'!$AT$7:$AT$3006,0))&lt;&gt;""," / "&amp;INDEX('CARNET DE SOUDURE'!$S$7:$S$3006,MATCH(234,'CARNET DE SOUDURE'!$AT$7:$AT$3006,0)),"")&amp;IF(INDEX('CARNET DE SOUDURE'!$T$7:$T$3006,MATCH(234,'CARNET DE SOUDURE'!$AT$7:$AT$3006,0))&lt;&gt;""," / "&amp;INDEX('CARNET DE SOUDURE'!$T$7:$T$3006,MATCH(234,'CARNET DE SOUDURE'!$AT$7:$AT$3006,0)),""))</f>
        <v/>
      </c>
      <c r="G245" s="131" t="str">
        <f aca="false">IF($B245="","",INDEX('CARNET DE SOUDURE'!$U$7:$U$3006,MATCH(234,'CARNET DE SOUDURE'!$AT$7:$AT$3006,0)))</f>
        <v/>
      </c>
      <c r="H245" s="132" t="str">
        <f aca="false">IF($B245="","",INDEX('CARNET DE SOUDURE'!$AQ$7:$AQ$3006,MATCH(234,'CARNET DE SOUDURE'!$AT$7:$AT$3006,0)))</f>
        <v/>
      </c>
      <c r="I245" s="133" t="str">
        <f aca="false">IF($B245="","",INDEX('CARNET DE SOUDURE'!$AO$7:$AO$3006,MATCH(234,'CARNET DE SOUDURE'!$AT$7:$AT$3006,0)))</f>
        <v/>
      </c>
      <c r="J245" s="133" t="str">
        <f aca="false">IF($B245="","",INDEX('CARNET DE SOUDURE'!$AR$7:$AR$3006,MATCH(234,'CARNET DE SOUDURE'!$AT$7:$AT$3006,0)))</f>
        <v/>
      </c>
      <c r="K245" s="129"/>
      <c r="L245" s="129"/>
    </row>
    <row r="246" customFormat="false" ht="15" hidden="false" customHeight="false" outlineLevel="0" collapsed="false">
      <c r="B246" s="125" t="str">
        <f aca="false">IF(235&gt;$I$4,"",235)</f>
        <v/>
      </c>
      <c r="C246" s="125" t="str">
        <f aca="false">IF($B246="","",INDEX('CARNET DE SOUDURE'!$B$7:$B$3006,MATCH(235,'CARNET DE SOUDURE'!$AT$7:$AT$3006,0)))</f>
        <v/>
      </c>
      <c r="D246" s="125" t="str">
        <f aca="false">IF($B246="","",INDEX('CARNET DE SOUDURE'!$E$7:$E$3006,MATCH(235,'CARNET DE SOUDURE'!$AT$7:$AT$3006,0)))</f>
        <v/>
      </c>
      <c r="E246" s="125" t="str">
        <f aca="false">IF($B246="","",INDEX('CARNET DE SOUDURE'!$D$7:$D$3006,MATCH(235,'CARNET DE SOUDURE'!$AT$7:$AT$3006,0)))</f>
        <v/>
      </c>
      <c r="F246" s="125" t="str">
        <f aca="false">IF($B246="","",INDEX('CARNET DE SOUDURE'!$R$7:$R$3006,MATCH(235,'CARNET DE SOUDURE'!$AT$7:$AT$3006,0))&amp;IF(INDEX('CARNET DE SOUDURE'!$S$7:$S$3006,MATCH(235,'CARNET DE SOUDURE'!$AT$7:$AT$3006,0))&lt;&gt;""," / "&amp;INDEX('CARNET DE SOUDURE'!$S$7:$S$3006,MATCH(235,'CARNET DE SOUDURE'!$AT$7:$AT$3006,0)),"")&amp;IF(INDEX('CARNET DE SOUDURE'!$T$7:$T$3006,MATCH(235,'CARNET DE SOUDURE'!$AT$7:$AT$3006,0))&lt;&gt;""," / "&amp;INDEX('CARNET DE SOUDURE'!$T$7:$T$3006,MATCH(235,'CARNET DE SOUDURE'!$AT$7:$AT$3006,0)),""))</f>
        <v/>
      </c>
      <c r="G246" s="126" t="str">
        <f aca="false">IF($B246="","",INDEX('CARNET DE SOUDURE'!$U$7:$U$3006,MATCH(235,'CARNET DE SOUDURE'!$AT$7:$AT$3006,0)))</f>
        <v/>
      </c>
      <c r="H246" s="127" t="str">
        <f aca="false">IF($B246="","",INDEX('CARNET DE SOUDURE'!$AQ$7:$AQ$3006,MATCH(235,'CARNET DE SOUDURE'!$AT$7:$AT$3006,0)))</f>
        <v/>
      </c>
      <c r="I246" s="128" t="str">
        <f aca="false">IF($B246="","",INDEX('CARNET DE SOUDURE'!$AO$7:$AO$3006,MATCH(235,'CARNET DE SOUDURE'!$AT$7:$AT$3006,0)))</f>
        <v/>
      </c>
      <c r="J246" s="128" t="str">
        <f aca="false">IF($B246="","",INDEX('CARNET DE SOUDURE'!$AR$7:$AR$3006,MATCH(235,'CARNET DE SOUDURE'!$AT$7:$AT$3006,0)))</f>
        <v/>
      </c>
      <c r="K246" s="129"/>
      <c r="L246" s="129"/>
    </row>
    <row r="247" customFormat="false" ht="15" hidden="false" customHeight="false" outlineLevel="0" collapsed="false">
      <c r="B247" s="130" t="str">
        <f aca="false">IF(236&gt;$I$4,"",236)</f>
        <v/>
      </c>
      <c r="C247" s="130" t="str">
        <f aca="false">IF($B247="","",INDEX('CARNET DE SOUDURE'!$B$7:$B$3006,MATCH(236,'CARNET DE SOUDURE'!$AT$7:$AT$3006,0)))</f>
        <v/>
      </c>
      <c r="D247" s="130" t="str">
        <f aca="false">IF($B247="","",INDEX('CARNET DE SOUDURE'!$E$7:$E$3006,MATCH(236,'CARNET DE SOUDURE'!$AT$7:$AT$3006,0)))</f>
        <v/>
      </c>
      <c r="E247" s="130" t="str">
        <f aca="false">IF($B247="","",INDEX('CARNET DE SOUDURE'!$D$7:$D$3006,MATCH(236,'CARNET DE SOUDURE'!$AT$7:$AT$3006,0)))</f>
        <v/>
      </c>
      <c r="F247" s="130" t="str">
        <f aca="false">IF($B247="","",INDEX('CARNET DE SOUDURE'!$R$7:$R$3006,MATCH(236,'CARNET DE SOUDURE'!$AT$7:$AT$3006,0))&amp;IF(INDEX('CARNET DE SOUDURE'!$S$7:$S$3006,MATCH(236,'CARNET DE SOUDURE'!$AT$7:$AT$3006,0))&lt;&gt;""," / "&amp;INDEX('CARNET DE SOUDURE'!$S$7:$S$3006,MATCH(236,'CARNET DE SOUDURE'!$AT$7:$AT$3006,0)),"")&amp;IF(INDEX('CARNET DE SOUDURE'!$T$7:$T$3006,MATCH(236,'CARNET DE SOUDURE'!$AT$7:$AT$3006,0))&lt;&gt;""," / "&amp;INDEX('CARNET DE SOUDURE'!$T$7:$T$3006,MATCH(236,'CARNET DE SOUDURE'!$AT$7:$AT$3006,0)),""))</f>
        <v/>
      </c>
      <c r="G247" s="131" t="str">
        <f aca="false">IF($B247="","",INDEX('CARNET DE SOUDURE'!$U$7:$U$3006,MATCH(236,'CARNET DE SOUDURE'!$AT$7:$AT$3006,0)))</f>
        <v/>
      </c>
      <c r="H247" s="132" t="str">
        <f aca="false">IF($B247="","",INDEX('CARNET DE SOUDURE'!$AQ$7:$AQ$3006,MATCH(236,'CARNET DE SOUDURE'!$AT$7:$AT$3006,0)))</f>
        <v/>
      </c>
      <c r="I247" s="133" t="str">
        <f aca="false">IF($B247="","",INDEX('CARNET DE SOUDURE'!$AO$7:$AO$3006,MATCH(236,'CARNET DE SOUDURE'!$AT$7:$AT$3006,0)))</f>
        <v/>
      </c>
      <c r="J247" s="133" t="str">
        <f aca="false">IF($B247="","",INDEX('CARNET DE SOUDURE'!$AR$7:$AR$3006,MATCH(236,'CARNET DE SOUDURE'!$AT$7:$AT$3006,0)))</f>
        <v/>
      </c>
      <c r="K247" s="129"/>
      <c r="L247" s="129"/>
    </row>
    <row r="248" customFormat="false" ht="15" hidden="false" customHeight="false" outlineLevel="0" collapsed="false">
      <c r="B248" s="125" t="str">
        <f aca="false">IF(237&gt;$I$4,"",237)</f>
        <v/>
      </c>
      <c r="C248" s="125" t="str">
        <f aca="false">IF($B248="","",INDEX('CARNET DE SOUDURE'!$B$7:$B$3006,MATCH(237,'CARNET DE SOUDURE'!$AT$7:$AT$3006,0)))</f>
        <v/>
      </c>
      <c r="D248" s="125" t="str">
        <f aca="false">IF($B248="","",INDEX('CARNET DE SOUDURE'!$E$7:$E$3006,MATCH(237,'CARNET DE SOUDURE'!$AT$7:$AT$3006,0)))</f>
        <v/>
      </c>
      <c r="E248" s="125" t="str">
        <f aca="false">IF($B248="","",INDEX('CARNET DE SOUDURE'!$D$7:$D$3006,MATCH(237,'CARNET DE SOUDURE'!$AT$7:$AT$3006,0)))</f>
        <v/>
      </c>
      <c r="F248" s="125" t="str">
        <f aca="false">IF($B248="","",INDEX('CARNET DE SOUDURE'!$R$7:$R$3006,MATCH(237,'CARNET DE SOUDURE'!$AT$7:$AT$3006,0))&amp;IF(INDEX('CARNET DE SOUDURE'!$S$7:$S$3006,MATCH(237,'CARNET DE SOUDURE'!$AT$7:$AT$3006,0))&lt;&gt;""," / "&amp;INDEX('CARNET DE SOUDURE'!$S$7:$S$3006,MATCH(237,'CARNET DE SOUDURE'!$AT$7:$AT$3006,0)),"")&amp;IF(INDEX('CARNET DE SOUDURE'!$T$7:$T$3006,MATCH(237,'CARNET DE SOUDURE'!$AT$7:$AT$3006,0))&lt;&gt;""," / "&amp;INDEX('CARNET DE SOUDURE'!$T$7:$T$3006,MATCH(237,'CARNET DE SOUDURE'!$AT$7:$AT$3006,0)),""))</f>
        <v/>
      </c>
      <c r="G248" s="126" t="str">
        <f aca="false">IF($B248="","",INDEX('CARNET DE SOUDURE'!$U$7:$U$3006,MATCH(237,'CARNET DE SOUDURE'!$AT$7:$AT$3006,0)))</f>
        <v/>
      </c>
      <c r="H248" s="127" t="str">
        <f aca="false">IF($B248="","",INDEX('CARNET DE SOUDURE'!$AQ$7:$AQ$3006,MATCH(237,'CARNET DE SOUDURE'!$AT$7:$AT$3006,0)))</f>
        <v/>
      </c>
      <c r="I248" s="128" t="str">
        <f aca="false">IF($B248="","",INDEX('CARNET DE SOUDURE'!$AO$7:$AO$3006,MATCH(237,'CARNET DE SOUDURE'!$AT$7:$AT$3006,0)))</f>
        <v/>
      </c>
      <c r="J248" s="128" t="str">
        <f aca="false">IF($B248="","",INDEX('CARNET DE SOUDURE'!$AR$7:$AR$3006,MATCH(237,'CARNET DE SOUDURE'!$AT$7:$AT$3006,0)))</f>
        <v/>
      </c>
      <c r="K248" s="129"/>
      <c r="L248" s="129"/>
    </row>
    <row r="249" customFormat="false" ht="15" hidden="false" customHeight="false" outlineLevel="0" collapsed="false">
      <c r="B249" s="130" t="str">
        <f aca="false">IF(238&gt;$I$4,"",238)</f>
        <v/>
      </c>
      <c r="C249" s="130" t="str">
        <f aca="false">IF($B249="","",INDEX('CARNET DE SOUDURE'!$B$7:$B$3006,MATCH(238,'CARNET DE SOUDURE'!$AT$7:$AT$3006,0)))</f>
        <v/>
      </c>
      <c r="D249" s="130" t="str">
        <f aca="false">IF($B249="","",INDEX('CARNET DE SOUDURE'!$E$7:$E$3006,MATCH(238,'CARNET DE SOUDURE'!$AT$7:$AT$3006,0)))</f>
        <v/>
      </c>
      <c r="E249" s="130" t="str">
        <f aca="false">IF($B249="","",INDEX('CARNET DE SOUDURE'!$D$7:$D$3006,MATCH(238,'CARNET DE SOUDURE'!$AT$7:$AT$3006,0)))</f>
        <v/>
      </c>
      <c r="F249" s="130" t="str">
        <f aca="false">IF($B249="","",INDEX('CARNET DE SOUDURE'!$R$7:$R$3006,MATCH(238,'CARNET DE SOUDURE'!$AT$7:$AT$3006,0))&amp;IF(INDEX('CARNET DE SOUDURE'!$S$7:$S$3006,MATCH(238,'CARNET DE SOUDURE'!$AT$7:$AT$3006,0))&lt;&gt;""," / "&amp;INDEX('CARNET DE SOUDURE'!$S$7:$S$3006,MATCH(238,'CARNET DE SOUDURE'!$AT$7:$AT$3006,0)),"")&amp;IF(INDEX('CARNET DE SOUDURE'!$T$7:$T$3006,MATCH(238,'CARNET DE SOUDURE'!$AT$7:$AT$3006,0))&lt;&gt;""," / "&amp;INDEX('CARNET DE SOUDURE'!$T$7:$T$3006,MATCH(238,'CARNET DE SOUDURE'!$AT$7:$AT$3006,0)),""))</f>
        <v/>
      </c>
      <c r="G249" s="131" t="str">
        <f aca="false">IF($B249="","",INDEX('CARNET DE SOUDURE'!$U$7:$U$3006,MATCH(238,'CARNET DE SOUDURE'!$AT$7:$AT$3006,0)))</f>
        <v/>
      </c>
      <c r="H249" s="132" t="str">
        <f aca="false">IF($B249="","",INDEX('CARNET DE SOUDURE'!$AQ$7:$AQ$3006,MATCH(238,'CARNET DE SOUDURE'!$AT$7:$AT$3006,0)))</f>
        <v/>
      </c>
      <c r="I249" s="133" t="str">
        <f aca="false">IF($B249="","",INDEX('CARNET DE SOUDURE'!$AO$7:$AO$3006,MATCH(238,'CARNET DE SOUDURE'!$AT$7:$AT$3006,0)))</f>
        <v/>
      </c>
      <c r="J249" s="133" t="str">
        <f aca="false">IF($B249="","",INDEX('CARNET DE SOUDURE'!$AR$7:$AR$3006,MATCH(238,'CARNET DE SOUDURE'!$AT$7:$AT$3006,0)))</f>
        <v/>
      </c>
      <c r="K249" s="129"/>
      <c r="L249" s="129"/>
    </row>
    <row r="250" customFormat="false" ht="15" hidden="false" customHeight="false" outlineLevel="0" collapsed="false">
      <c r="B250" s="125" t="str">
        <f aca="false">IF(239&gt;$I$4,"",239)</f>
        <v/>
      </c>
      <c r="C250" s="125" t="str">
        <f aca="false">IF($B250="","",INDEX('CARNET DE SOUDURE'!$B$7:$B$3006,MATCH(239,'CARNET DE SOUDURE'!$AT$7:$AT$3006,0)))</f>
        <v/>
      </c>
      <c r="D250" s="125" t="str">
        <f aca="false">IF($B250="","",INDEX('CARNET DE SOUDURE'!$E$7:$E$3006,MATCH(239,'CARNET DE SOUDURE'!$AT$7:$AT$3006,0)))</f>
        <v/>
      </c>
      <c r="E250" s="125" t="str">
        <f aca="false">IF($B250="","",INDEX('CARNET DE SOUDURE'!$D$7:$D$3006,MATCH(239,'CARNET DE SOUDURE'!$AT$7:$AT$3006,0)))</f>
        <v/>
      </c>
      <c r="F250" s="125" t="str">
        <f aca="false">IF($B250="","",INDEX('CARNET DE SOUDURE'!$R$7:$R$3006,MATCH(239,'CARNET DE SOUDURE'!$AT$7:$AT$3006,0))&amp;IF(INDEX('CARNET DE SOUDURE'!$S$7:$S$3006,MATCH(239,'CARNET DE SOUDURE'!$AT$7:$AT$3006,0))&lt;&gt;""," / "&amp;INDEX('CARNET DE SOUDURE'!$S$7:$S$3006,MATCH(239,'CARNET DE SOUDURE'!$AT$7:$AT$3006,0)),"")&amp;IF(INDEX('CARNET DE SOUDURE'!$T$7:$T$3006,MATCH(239,'CARNET DE SOUDURE'!$AT$7:$AT$3006,0))&lt;&gt;""," / "&amp;INDEX('CARNET DE SOUDURE'!$T$7:$T$3006,MATCH(239,'CARNET DE SOUDURE'!$AT$7:$AT$3006,0)),""))</f>
        <v/>
      </c>
      <c r="G250" s="126" t="str">
        <f aca="false">IF($B250="","",INDEX('CARNET DE SOUDURE'!$U$7:$U$3006,MATCH(239,'CARNET DE SOUDURE'!$AT$7:$AT$3006,0)))</f>
        <v/>
      </c>
      <c r="H250" s="127" t="str">
        <f aca="false">IF($B250="","",INDEX('CARNET DE SOUDURE'!$AQ$7:$AQ$3006,MATCH(239,'CARNET DE SOUDURE'!$AT$7:$AT$3006,0)))</f>
        <v/>
      </c>
      <c r="I250" s="128" t="str">
        <f aca="false">IF($B250="","",INDEX('CARNET DE SOUDURE'!$AO$7:$AO$3006,MATCH(239,'CARNET DE SOUDURE'!$AT$7:$AT$3006,0)))</f>
        <v/>
      </c>
      <c r="J250" s="128" t="str">
        <f aca="false">IF($B250="","",INDEX('CARNET DE SOUDURE'!$AR$7:$AR$3006,MATCH(239,'CARNET DE SOUDURE'!$AT$7:$AT$3006,0)))</f>
        <v/>
      </c>
      <c r="K250" s="129"/>
      <c r="L250" s="129"/>
    </row>
    <row r="251" customFormat="false" ht="15" hidden="false" customHeight="false" outlineLevel="0" collapsed="false">
      <c r="B251" s="130" t="str">
        <f aca="false">IF(240&gt;$I$4,"",240)</f>
        <v/>
      </c>
      <c r="C251" s="130" t="str">
        <f aca="false">IF($B251="","",INDEX('CARNET DE SOUDURE'!$B$7:$B$3006,MATCH(240,'CARNET DE SOUDURE'!$AT$7:$AT$3006,0)))</f>
        <v/>
      </c>
      <c r="D251" s="130" t="str">
        <f aca="false">IF($B251="","",INDEX('CARNET DE SOUDURE'!$E$7:$E$3006,MATCH(240,'CARNET DE SOUDURE'!$AT$7:$AT$3006,0)))</f>
        <v/>
      </c>
      <c r="E251" s="130" t="str">
        <f aca="false">IF($B251="","",INDEX('CARNET DE SOUDURE'!$D$7:$D$3006,MATCH(240,'CARNET DE SOUDURE'!$AT$7:$AT$3006,0)))</f>
        <v/>
      </c>
      <c r="F251" s="130" t="str">
        <f aca="false">IF($B251="","",INDEX('CARNET DE SOUDURE'!$R$7:$R$3006,MATCH(240,'CARNET DE SOUDURE'!$AT$7:$AT$3006,0))&amp;IF(INDEX('CARNET DE SOUDURE'!$S$7:$S$3006,MATCH(240,'CARNET DE SOUDURE'!$AT$7:$AT$3006,0))&lt;&gt;""," / "&amp;INDEX('CARNET DE SOUDURE'!$S$7:$S$3006,MATCH(240,'CARNET DE SOUDURE'!$AT$7:$AT$3006,0)),"")&amp;IF(INDEX('CARNET DE SOUDURE'!$T$7:$T$3006,MATCH(240,'CARNET DE SOUDURE'!$AT$7:$AT$3006,0))&lt;&gt;""," / "&amp;INDEX('CARNET DE SOUDURE'!$T$7:$T$3006,MATCH(240,'CARNET DE SOUDURE'!$AT$7:$AT$3006,0)),""))</f>
        <v/>
      </c>
      <c r="G251" s="131" t="str">
        <f aca="false">IF($B251="","",INDEX('CARNET DE SOUDURE'!$U$7:$U$3006,MATCH(240,'CARNET DE SOUDURE'!$AT$7:$AT$3006,0)))</f>
        <v/>
      </c>
      <c r="H251" s="132" t="str">
        <f aca="false">IF($B251="","",INDEX('CARNET DE SOUDURE'!$AQ$7:$AQ$3006,MATCH(240,'CARNET DE SOUDURE'!$AT$7:$AT$3006,0)))</f>
        <v/>
      </c>
      <c r="I251" s="133" t="str">
        <f aca="false">IF($B251="","",INDEX('CARNET DE SOUDURE'!$AO$7:$AO$3006,MATCH(240,'CARNET DE SOUDURE'!$AT$7:$AT$3006,0)))</f>
        <v/>
      </c>
      <c r="J251" s="133" t="str">
        <f aca="false">IF($B251="","",INDEX('CARNET DE SOUDURE'!$AR$7:$AR$3006,MATCH(240,'CARNET DE SOUDURE'!$AT$7:$AT$3006,0)))</f>
        <v/>
      </c>
      <c r="K251" s="129"/>
      <c r="L251" s="129"/>
    </row>
    <row r="252" customFormat="false" ht="15" hidden="false" customHeight="false" outlineLevel="0" collapsed="false">
      <c r="B252" s="125" t="str">
        <f aca="false">IF(241&gt;$I$4,"",241)</f>
        <v/>
      </c>
      <c r="C252" s="125" t="str">
        <f aca="false">IF($B252="","",INDEX('CARNET DE SOUDURE'!$B$7:$B$3006,MATCH(241,'CARNET DE SOUDURE'!$AT$7:$AT$3006,0)))</f>
        <v/>
      </c>
      <c r="D252" s="125" t="str">
        <f aca="false">IF($B252="","",INDEX('CARNET DE SOUDURE'!$E$7:$E$3006,MATCH(241,'CARNET DE SOUDURE'!$AT$7:$AT$3006,0)))</f>
        <v/>
      </c>
      <c r="E252" s="125" t="str">
        <f aca="false">IF($B252="","",INDEX('CARNET DE SOUDURE'!$D$7:$D$3006,MATCH(241,'CARNET DE SOUDURE'!$AT$7:$AT$3006,0)))</f>
        <v/>
      </c>
      <c r="F252" s="125" t="str">
        <f aca="false">IF($B252="","",INDEX('CARNET DE SOUDURE'!$R$7:$R$3006,MATCH(241,'CARNET DE SOUDURE'!$AT$7:$AT$3006,0))&amp;IF(INDEX('CARNET DE SOUDURE'!$S$7:$S$3006,MATCH(241,'CARNET DE SOUDURE'!$AT$7:$AT$3006,0))&lt;&gt;""," / "&amp;INDEX('CARNET DE SOUDURE'!$S$7:$S$3006,MATCH(241,'CARNET DE SOUDURE'!$AT$7:$AT$3006,0)),"")&amp;IF(INDEX('CARNET DE SOUDURE'!$T$7:$T$3006,MATCH(241,'CARNET DE SOUDURE'!$AT$7:$AT$3006,0))&lt;&gt;""," / "&amp;INDEX('CARNET DE SOUDURE'!$T$7:$T$3006,MATCH(241,'CARNET DE SOUDURE'!$AT$7:$AT$3006,0)),""))</f>
        <v/>
      </c>
      <c r="G252" s="126" t="str">
        <f aca="false">IF($B252="","",INDEX('CARNET DE SOUDURE'!$U$7:$U$3006,MATCH(241,'CARNET DE SOUDURE'!$AT$7:$AT$3006,0)))</f>
        <v/>
      </c>
      <c r="H252" s="127" t="str">
        <f aca="false">IF($B252="","",INDEX('CARNET DE SOUDURE'!$AQ$7:$AQ$3006,MATCH(241,'CARNET DE SOUDURE'!$AT$7:$AT$3006,0)))</f>
        <v/>
      </c>
      <c r="I252" s="128" t="str">
        <f aca="false">IF($B252="","",INDEX('CARNET DE SOUDURE'!$AO$7:$AO$3006,MATCH(241,'CARNET DE SOUDURE'!$AT$7:$AT$3006,0)))</f>
        <v/>
      </c>
      <c r="J252" s="128" t="str">
        <f aca="false">IF($B252="","",INDEX('CARNET DE SOUDURE'!$AR$7:$AR$3006,MATCH(241,'CARNET DE SOUDURE'!$AT$7:$AT$3006,0)))</f>
        <v/>
      </c>
      <c r="K252" s="129"/>
      <c r="L252" s="129"/>
    </row>
    <row r="253" customFormat="false" ht="15" hidden="false" customHeight="false" outlineLevel="0" collapsed="false">
      <c r="B253" s="130" t="str">
        <f aca="false">IF(242&gt;$I$4,"",242)</f>
        <v/>
      </c>
      <c r="C253" s="130" t="str">
        <f aca="false">IF($B253="","",INDEX('CARNET DE SOUDURE'!$B$7:$B$3006,MATCH(242,'CARNET DE SOUDURE'!$AT$7:$AT$3006,0)))</f>
        <v/>
      </c>
      <c r="D253" s="130" t="str">
        <f aca="false">IF($B253="","",INDEX('CARNET DE SOUDURE'!$E$7:$E$3006,MATCH(242,'CARNET DE SOUDURE'!$AT$7:$AT$3006,0)))</f>
        <v/>
      </c>
      <c r="E253" s="130" t="str">
        <f aca="false">IF($B253="","",INDEX('CARNET DE SOUDURE'!$D$7:$D$3006,MATCH(242,'CARNET DE SOUDURE'!$AT$7:$AT$3006,0)))</f>
        <v/>
      </c>
      <c r="F253" s="130" t="str">
        <f aca="false">IF($B253="","",INDEX('CARNET DE SOUDURE'!$R$7:$R$3006,MATCH(242,'CARNET DE SOUDURE'!$AT$7:$AT$3006,0))&amp;IF(INDEX('CARNET DE SOUDURE'!$S$7:$S$3006,MATCH(242,'CARNET DE SOUDURE'!$AT$7:$AT$3006,0))&lt;&gt;""," / "&amp;INDEX('CARNET DE SOUDURE'!$S$7:$S$3006,MATCH(242,'CARNET DE SOUDURE'!$AT$7:$AT$3006,0)),"")&amp;IF(INDEX('CARNET DE SOUDURE'!$T$7:$T$3006,MATCH(242,'CARNET DE SOUDURE'!$AT$7:$AT$3006,0))&lt;&gt;""," / "&amp;INDEX('CARNET DE SOUDURE'!$T$7:$T$3006,MATCH(242,'CARNET DE SOUDURE'!$AT$7:$AT$3006,0)),""))</f>
        <v/>
      </c>
      <c r="G253" s="131" t="str">
        <f aca="false">IF($B253="","",INDEX('CARNET DE SOUDURE'!$U$7:$U$3006,MATCH(242,'CARNET DE SOUDURE'!$AT$7:$AT$3006,0)))</f>
        <v/>
      </c>
      <c r="H253" s="132" t="str">
        <f aca="false">IF($B253="","",INDEX('CARNET DE SOUDURE'!$AQ$7:$AQ$3006,MATCH(242,'CARNET DE SOUDURE'!$AT$7:$AT$3006,0)))</f>
        <v/>
      </c>
      <c r="I253" s="133" t="str">
        <f aca="false">IF($B253="","",INDEX('CARNET DE SOUDURE'!$AO$7:$AO$3006,MATCH(242,'CARNET DE SOUDURE'!$AT$7:$AT$3006,0)))</f>
        <v/>
      </c>
      <c r="J253" s="133" t="str">
        <f aca="false">IF($B253="","",INDEX('CARNET DE SOUDURE'!$AR$7:$AR$3006,MATCH(242,'CARNET DE SOUDURE'!$AT$7:$AT$3006,0)))</f>
        <v/>
      </c>
      <c r="K253" s="129"/>
      <c r="L253" s="129"/>
    </row>
    <row r="254" customFormat="false" ht="15" hidden="false" customHeight="false" outlineLevel="0" collapsed="false">
      <c r="B254" s="125" t="str">
        <f aca="false">IF(243&gt;$I$4,"",243)</f>
        <v/>
      </c>
      <c r="C254" s="125" t="str">
        <f aca="false">IF($B254="","",INDEX('CARNET DE SOUDURE'!$B$7:$B$3006,MATCH(243,'CARNET DE SOUDURE'!$AT$7:$AT$3006,0)))</f>
        <v/>
      </c>
      <c r="D254" s="125" t="str">
        <f aca="false">IF($B254="","",INDEX('CARNET DE SOUDURE'!$E$7:$E$3006,MATCH(243,'CARNET DE SOUDURE'!$AT$7:$AT$3006,0)))</f>
        <v/>
      </c>
      <c r="E254" s="125" t="str">
        <f aca="false">IF($B254="","",INDEX('CARNET DE SOUDURE'!$D$7:$D$3006,MATCH(243,'CARNET DE SOUDURE'!$AT$7:$AT$3006,0)))</f>
        <v/>
      </c>
      <c r="F254" s="125" t="str">
        <f aca="false">IF($B254="","",INDEX('CARNET DE SOUDURE'!$R$7:$R$3006,MATCH(243,'CARNET DE SOUDURE'!$AT$7:$AT$3006,0))&amp;IF(INDEX('CARNET DE SOUDURE'!$S$7:$S$3006,MATCH(243,'CARNET DE SOUDURE'!$AT$7:$AT$3006,0))&lt;&gt;""," / "&amp;INDEX('CARNET DE SOUDURE'!$S$7:$S$3006,MATCH(243,'CARNET DE SOUDURE'!$AT$7:$AT$3006,0)),"")&amp;IF(INDEX('CARNET DE SOUDURE'!$T$7:$T$3006,MATCH(243,'CARNET DE SOUDURE'!$AT$7:$AT$3006,0))&lt;&gt;""," / "&amp;INDEX('CARNET DE SOUDURE'!$T$7:$T$3006,MATCH(243,'CARNET DE SOUDURE'!$AT$7:$AT$3006,0)),""))</f>
        <v/>
      </c>
      <c r="G254" s="126" t="str">
        <f aca="false">IF($B254="","",INDEX('CARNET DE SOUDURE'!$U$7:$U$3006,MATCH(243,'CARNET DE SOUDURE'!$AT$7:$AT$3006,0)))</f>
        <v/>
      </c>
      <c r="H254" s="127" t="str">
        <f aca="false">IF($B254="","",INDEX('CARNET DE SOUDURE'!$AQ$7:$AQ$3006,MATCH(243,'CARNET DE SOUDURE'!$AT$7:$AT$3006,0)))</f>
        <v/>
      </c>
      <c r="I254" s="128" t="str">
        <f aca="false">IF($B254="","",INDEX('CARNET DE SOUDURE'!$AO$7:$AO$3006,MATCH(243,'CARNET DE SOUDURE'!$AT$7:$AT$3006,0)))</f>
        <v/>
      </c>
      <c r="J254" s="128" t="str">
        <f aca="false">IF($B254="","",INDEX('CARNET DE SOUDURE'!$AR$7:$AR$3006,MATCH(243,'CARNET DE SOUDURE'!$AT$7:$AT$3006,0)))</f>
        <v/>
      </c>
      <c r="K254" s="129"/>
      <c r="L254" s="129"/>
    </row>
    <row r="255" customFormat="false" ht="15" hidden="false" customHeight="false" outlineLevel="0" collapsed="false">
      <c r="B255" s="130" t="str">
        <f aca="false">IF(244&gt;$I$4,"",244)</f>
        <v/>
      </c>
      <c r="C255" s="130" t="str">
        <f aca="false">IF($B255="","",INDEX('CARNET DE SOUDURE'!$B$7:$B$3006,MATCH(244,'CARNET DE SOUDURE'!$AT$7:$AT$3006,0)))</f>
        <v/>
      </c>
      <c r="D255" s="130" t="str">
        <f aca="false">IF($B255="","",INDEX('CARNET DE SOUDURE'!$E$7:$E$3006,MATCH(244,'CARNET DE SOUDURE'!$AT$7:$AT$3006,0)))</f>
        <v/>
      </c>
      <c r="E255" s="130" t="str">
        <f aca="false">IF($B255="","",INDEX('CARNET DE SOUDURE'!$D$7:$D$3006,MATCH(244,'CARNET DE SOUDURE'!$AT$7:$AT$3006,0)))</f>
        <v/>
      </c>
      <c r="F255" s="130" t="str">
        <f aca="false">IF($B255="","",INDEX('CARNET DE SOUDURE'!$R$7:$R$3006,MATCH(244,'CARNET DE SOUDURE'!$AT$7:$AT$3006,0))&amp;IF(INDEX('CARNET DE SOUDURE'!$S$7:$S$3006,MATCH(244,'CARNET DE SOUDURE'!$AT$7:$AT$3006,0))&lt;&gt;""," / "&amp;INDEX('CARNET DE SOUDURE'!$S$7:$S$3006,MATCH(244,'CARNET DE SOUDURE'!$AT$7:$AT$3006,0)),"")&amp;IF(INDEX('CARNET DE SOUDURE'!$T$7:$T$3006,MATCH(244,'CARNET DE SOUDURE'!$AT$7:$AT$3006,0))&lt;&gt;""," / "&amp;INDEX('CARNET DE SOUDURE'!$T$7:$T$3006,MATCH(244,'CARNET DE SOUDURE'!$AT$7:$AT$3006,0)),""))</f>
        <v/>
      </c>
      <c r="G255" s="131" t="str">
        <f aca="false">IF($B255="","",INDEX('CARNET DE SOUDURE'!$U$7:$U$3006,MATCH(244,'CARNET DE SOUDURE'!$AT$7:$AT$3006,0)))</f>
        <v/>
      </c>
      <c r="H255" s="132" t="str">
        <f aca="false">IF($B255="","",INDEX('CARNET DE SOUDURE'!$AQ$7:$AQ$3006,MATCH(244,'CARNET DE SOUDURE'!$AT$7:$AT$3006,0)))</f>
        <v/>
      </c>
      <c r="I255" s="133" t="str">
        <f aca="false">IF($B255="","",INDEX('CARNET DE SOUDURE'!$AO$7:$AO$3006,MATCH(244,'CARNET DE SOUDURE'!$AT$7:$AT$3006,0)))</f>
        <v/>
      </c>
      <c r="J255" s="133" t="str">
        <f aca="false">IF($B255="","",INDEX('CARNET DE SOUDURE'!$AR$7:$AR$3006,MATCH(244,'CARNET DE SOUDURE'!$AT$7:$AT$3006,0)))</f>
        <v/>
      </c>
      <c r="K255" s="129"/>
      <c r="L255" s="129"/>
    </row>
    <row r="256" customFormat="false" ht="15" hidden="false" customHeight="false" outlineLevel="0" collapsed="false">
      <c r="B256" s="125" t="str">
        <f aca="false">IF(245&gt;$I$4,"",245)</f>
        <v/>
      </c>
      <c r="C256" s="125" t="str">
        <f aca="false">IF($B256="","",INDEX('CARNET DE SOUDURE'!$B$7:$B$3006,MATCH(245,'CARNET DE SOUDURE'!$AT$7:$AT$3006,0)))</f>
        <v/>
      </c>
      <c r="D256" s="125" t="str">
        <f aca="false">IF($B256="","",INDEX('CARNET DE SOUDURE'!$E$7:$E$3006,MATCH(245,'CARNET DE SOUDURE'!$AT$7:$AT$3006,0)))</f>
        <v/>
      </c>
      <c r="E256" s="125" t="str">
        <f aca="false">IF($B256="","",INDEX('CARNET DE SOUDURE'!$D$7:$D$3006,MATCH(245,'CARNET DE SOUDURE'!$AT$7:$AT$3006,0)))</f>
        <v/>
      </c>
      <c r="F256" s="125" t="str">
        <f aca="false">IF($B256="","",INDEX('CARNET DE SOUDURE'!$R$7:$R$3006,MATCH(245,'CARNET DE SOUDURE'!$AT$7:$AT$3006,0))&amp;IF(INDEX('CARNET DE SOUDURE'!$S$7:$S$3006,MATCH(245,'CARNET DE SOUDURE'!$AT$7:$AT$3006,0))&lt;&gt;""," / "&amp;INDEX('CARNET DE SOUDURE'!$S$7:$S$3006,MATCH(245,'CARNET DE SOUDURE'!$AT$7:$AT$3006,0)),"")&amp;IF(INDEX('CARNET DE SOUDURE'!$T$7:$T$3006,MATCH(245,'CARNET DE SOUDURE'!$AT$7:$AT$3006,0))&lt;&gt;""," / "&amp;INDEX('CARNET DE SOUDURE'!$T$7:$T$3006,MATCH(245,'CARNET DE SOUDURE'!$AT$7:$AT$3006,0)),""))</f>
        <v/>
      </c>
      <c r="G256" s="126" t="str">
        <f aca="false">IF($B256="","",INDEX('CARNET DE SOUDURE'!$U$7:$U$3006,MATCH(245,'CARNET DE SOUDURE'!$AT$7:$AT$3006,0)))</f>
        <v/>
      </c>
      <c r="H256" s="127" t="str">
        <f aca="false">IF($B256="","",INDEX('CARNET DE SOUDURE'!$AQ$7:$AQ$3006,MATCH(245,'CARNET DE SOUDURE'!$AT$7:$AT$3006,0)))</f>
        <v/>
      </c>
      <c r="I256" s="128" t="str">
        <f aca="false">IF($B256="","",INDEX('CARNET DE SOUDURE'!$AO$7:$AO$3006,MATCH(245,'CARNET DE SOUDURE'!$AT$7:$AT$3006,0)))</f>
        <v/>
      </c>
      <c r="J256" s="128" t="str">
        <f aca="false">IF($B256="","",INDEX('CARNET DE SOUDURE'!$AR$7:$AR$3006,MATCH(245,'CARNET DE SOUDURE'!$AT$7:$AT$3006,0)))</f>
        <v/>
      </c>
      <c r="K256" s="129"/>
      <c r="L256" s="129"/>
    </row>
    <row r="257" customFormat="false" ht="15" hidden="false" customHeight="false" outlineLevel="0" collapsed="false">
      <c r="B257" s="130" t="str">
        <f aca="false">IF(246&gt;$I$4,"",246)</f>
        <v/>
      </c>
      <c r="C257" s="130" t="str">
        <f aca="false">IF($B257="","",INDEX('CARNET DE SOUDURE'!$B$7:$B$3006,MATCH(246,'CARNET DE SOUDURE'!$AT$7:$AT$3006,0)))</f>
        <v/>
      </c>
      <c r="D257" s="130" t="str">
        <f aca="false">IF($B257="","",INDEX('CARNET DE SOUDURE'!$E$7:$E$3006,MATCH(246,'CARNET DE SOUDURE'!$AT$7:$AT$3006,0)))</f>
        <v/>
      </c>
      <c r="E257" s="130" t="str">
        <f aca="false">IF($B257="","",INDEX('CARNET DE SOUDURE'!$D$7:$D$3006,MATCH(246,'CARNET DE SOUDURE'!$AT$7:$AT$3006,0)))</f>
        <v/>
      </c>
      <c r="F257" s="130" t="str">
        <f aca="false">IF($B257="","",INDEX('CARNET DE SOUDURE'!$R$7:$R$3006,MATCH(246,'CARNET DE SOUDURE'!$AT$7:$AT$3006,0))&amp;IF(INDEX('CARNET DE SOUDURE'!$S$7:$S$3006,MATCH(246,'CARNET DE SOUDURE'!$AT$7:$AT$3006,0))&lt;&gt;""," / "&amp;INDEX('CARNET DE SOUDURE'!$S$7:$S$3006,MATCH(246,'CARNET DE SOUDURE'!$AT$7:$AT$3006,0)),"")&amp;IF(INDEX('CARNET DE SOUDURE'!$T$7:$T$3006,MATCH(246,'CARNET DE SOUDURE'!$AT$7:$AT$3006,0))&lt;&gt;""," / "&amp;INDEX('CARNET DE SOUDURE'!$T$7:$T$3006,MATCH(246,'CARNET DE SOUDURE'!$AT$7:$AT$3006,0)),""))</f>
        <v/>
      </c>
      <c r="G257" s="131" t="str">
        <f aca="false">IF($B257="","",INDEX('CARNET DE SOUDURE'!$U$7:$U$3006,MATCH(246,'CARNET DE SOUDURE'!$AT$7:$AT$3006,0)))</f>
        <v/>
      </c>
      <c r="H257" s="132" t="str">
        <f aca="false">IF($B257="","",INDEX('CARNET DE SOUDURE'!$AQ$7:$AQ$3006,MATCH(246,'CARNET DE SOUDURE'!$AT$7:$AT$3006,0)))</f>
        <v/>
      </c>
      <c r="I257" s="133" t="str">
        <f aca="false">IF($B257="","",INDEX('CARNET DE SOUDURE'!$AO$7:$AO$3006,MATCH(246,'CARNET DE SOUDURE'!$AT$7:$AT$3006,0)))</f>
        <v/>
      </c>
      <c r="J257" s="133" t="str">
        <f aca="false">IF($B257="","",INDEX('CARNET DE SOUDURE'!$AR$7:$AR$3006,MATCH(246,'CARNET DE SOUDURE'!$AT$7:$AT$3006,0)))</f>
        <v/>
      </c>
      <c r="K257" s="129"/>
      <c r="L257" s="129"/>
    </row>
    <row r="258" customFormat="false" ht="15" hidden="false" customHeight="false" outlineLevel="0" collapsed="false">
      <c r="B258" s="125" t="str">
        <f aca="false">IF(247&gt;$I$4,"",247)</f>
        <v/>
      </c>
      <c r="C258" s="125" t="str">
        <f aca="false">IF($B258="","",INDEX('CARNET DE SOUDURE'!$B$7:$B$3006,MATCH(247,'CARNET DE SOUDURE'!$AT$7:$AT$3006,0)))</f>
        <v/>
      </c>
      <c r="D258" s="125" t="str">
        <f aca="false">IF($B258="","",INDEX('CARNET DE SOUDURE'!$E$7:$E$3006,MATCH(247,'CARNET DE SOUDURE'!$AT$7:$AT$3006,0)))</f>
        <v/>
      </c>
      <c r="E258" s="125" t="str">
        <f aca="false">IF($B258="","",INDEX('CARNET DE SOUDURE'!$D$7:$D$3006,MATCH(247,'CARNET DE SOUDURE'!$AT$7:$AT$3006,0)))</f>
        <v/>
      </c>
      <c r="F258" s="125" t="str">
        <f aca="false">IF($B258="","",INDEX('CARNET DE SOUDURE'!$R$7:$R$3006,MATCH(247,'CARNET DE SOUDURE'!$AT$7:$AT$3006,0))&amp;IF(INDEX('CARNET DE SOUDURE'!$S$7:$S$3006,MATCH(247,'CARNET DE SOUDURE'!$AT$7:$AT$3006,0))&lt;&gt;""," / "&amp;INDEX('CARNET DE SOUDURE'!$S$7:$S$3006,MATCH(247,'CARNET DE SOUDURE'!$AT$7:$AT$3006,0)),"")&amp;IF(INDEX('CARNET DE SOUDURE'!$T$7:$T$3006,MATCH(247,'CARNET DE SOUDURE'!$AT$7:$AT$3006,0))&lt;&gt;""," / "&amp;INDEX('CARNET DE SOUDURE'!$T$7:$T$3006,MATCH(247,'CARNET DE SOUDURE'!$AT$7:$AT$3006,0)),""))</f>
        <v/>
      </c>
      <c r="G258" s="126" t="str">
        <f aca="false">IF($B258="","",INDEX('CARNET DE SOUDURE'!$U$7:$U$3006,MATCH(247,'CARNET DE SOUDURE'!$AT$7:$AT$3006,0)))</f>
        <v/>
      </c>
      <c r="H258" s="127" t="str">
        <f aca="false">IF($B258="","",INDEX('CARNET DE SOUDURE'!$AQ$7:$AQ$3006,MATCH(247,'CARNET DE SOUDURE'!$AT$7:$AT$3006,0)))</f>
        <v/>
      </c>
      <c r="I258" s="128" t="str">
        <f aca="false">IF($B258="","",INDEX('CARNET DE SOUDURE'!$AO$7:$AO$3006,MATCH(247,'CARNET DE SOUDURE'!$AT$7:$AT$3006,0)))</f>
        <v/>
      </c>
      <c r="J258" s="128" t="str">
        <f aca="false">IF($B258="","",INDEX('CARNET DE SOUDURE'!$AR$7:$AR$3006,MATCH(247,'CARNET DE SOUDURE'!$AT$7:$AT$3006,0)))</f>
        <v/>
      </c>
      <c r="K258" s="129"/>
      <c r="L258" s="129"/>
    </row>
    <row r="259" customFormat="false" ht="15" hidden="false" customHeight="false" outlineLevel="0" collapsed="false">
      <c r="B259" s="130" t="str">
        <f aca="false">IF(248&gt;$I$4,"",248)</f>
        <v/>
      </c>
      <c r="C259" s="130" t="str">
        <f aca="false">IF($B259="","",INDEX('CARNET DE SOUDURE'!$B$7:$B$3006,MATCH(248,'CARNET DE SOUDURE'!$AT$7:$AT$3006,0)))</f>
        <v/>
      </c>
      <c r="D259" s="130" t="str">
        <f aca="false">IF($B259="","",INDEX('CARNET DE SOUDURE'!$E$7:$E$3006,MATCH(248,'CARNET DE SOUDURE'!$AT$7:$AT$3006,0)))</f>
        <v/>
      </c>
      <c r="E259" s="130" t="str">
        <f aca="false">IF($B259="","",INDEX('CARNET DE SOUDURE'!$D$7:$D$3006,MATCH(248,'CARNET DE SOUDURE'!$AT$7:$AT$3006,0)))</f>
        <v/>
      </c>
      <c r="F259" s="130" t="str">
        <f aca="false">IF($B259="","",INDEX('CARNET DE SOUDURE'!$R$7:$R$3006,MATCH(248,'CARNET DE SOUDURE'!$AT$7:$AT$3006,0))&amp;IF(INDEX('CARNET DE SOUDURE'!$S$7:$S$3006,MATCH(248,'CARNET DE SOUDURE'!$AT$7:$AT$3006,0))&lt;&gt;""," / "&amp;INDEX('CARNET DE SOUDURE'!$S$7:$S$3006,MATCH(248,'CARNET DE SOUDURE'!$AT$7:$AT$3006,0)),"")&amp;IF(INDEX('CARNET DE SOUDURE'!$T$7:$T$3006,MATCH(248,'CARNET DE SOUDURE'!$AT$7:$AT$3006,0))&lt;&gt;""," / "&amp;INDEX('CARNET DE SOUDURE'!$T$7:$T$3006,MATCH(248,'CARNET DE SOUDURE'!$AT$7:$AT$3006,0)),""))</f>
        <v/>
      </c>
      <c r="G259" s="131" t="str">
        <f aca="false">IF($B259="","",INDEX('CARNET DE SOUDURE'!$U$7:$U$3006,MATCH(248,'CARNET DE SOUDURE'!$AT$7:$AT$3006,0)))</f>
        <v/>
      </c>
      <c r="H259" s="132" t="str">
        <f aca="false">IF($B259="","",INDEX('CARNET DE SOUDURE'!$AQ$7:$AQ$3006,MATCH(248,'CARNET DE SOUDURE'!$AT$7:$AT$3006,0)))</f>
        <v/>
      </c>
      <c r="I259" s="133" t="str">
        <f aca="false">IF($B259="","",INDEX('CARNET DE SOUDURE'!$AO$7:$AO$3006,MATCH(248,'CARNET DE SOUDURE'!$AT$7:$AT$3006,0)))</f>
        <v/>
      </c>
      <c r="J259" s="133" t="str">
        <f aca="false">IF($B259="","",INDEX('CARNET DE SOUDURE'!$AR$7:$AR$3006,MATCH(248,'CARNET DE SOUDURE'!$AT$7:$AT$3006,0)))</f>
        <v/>
      </c>
      <c r="K259" s="129"/>
      <c r="L259" s="129"/>
    </row>
    <row r="260" customFormat="false" ht="15" hidden="false" customHeight="false" outlineLevel="0" collapsed="false">
      <c r="B260" s="125" t="str">
        <f aca="false">IF(249&gt;$I$4,"",249)</f>
        <v/>
      </c>
      <c r="C260" s="125" t="str">
        <f aca="false">IF($B260="","",INDEX('CARNET DE SOUDURE'!$B$7:$B$3006,MATCH(249,'CARNET DE SOUDURE'!$AT$7:$AT$3006,0)))</f>
        <v/>
      </c>
      <c r="D260" s="125" t="str">
        <f aca="false">IF($B260="","",INDEX('CARNET DE SOUDURE'!$E$7:$E$3006,MATCH(249,'CARNET DE SOUDURE'!$AT$7:$AT$3006,0)))</f>
        <v/>
      </c>
      <c r="E260" s="125" t="str">
        <f aca="false">IF($B260="","",INDEX('CARNET DE SOUDURE'!$D$7:$D$3006,MATCH(249,'CARNET DE SOUDURE'!$AT$7:$AT$3006,0)))</f>
        <v/>
      </c>
      <c r="F260" s="125" t="str">
        <f aca="false">IF($B260="","",INDEX('CARNET DE SOUDURE'!$R$7:$R$3006,MATCH(249,'CARNET DE SOUDURE'!$AT$7:$AT$3006,0))&amp;IF(INDEX('CARNET DE SOUDURE'!$S$7:$S$3006,MATCH(249,'CARNET DE SOUDURE'!$AT$7:$AT$3006,0))&lt;&gt;""," / "&amp;INDEX('CARNET DE SOUDURE'!$S$7:$S$3006,MATCH(249,'CARNET DE SOUDURE'!$AT$7:$AT$3006,0)),"")&amp;IF(INDEX('CARNET DE SOUDURE'!$T$7:$T$3006,MATCH(249,'CARNET DE SOUDURE'!$AT$7:$AT$3006,0))&lt;&gt;""," / "&amp;INDEX('CARNET DE SOUDURE'!$T$7:$T$3006,MATCH(249,'CARNET DE SOUDURE'!$AT$7:$AT$3006,0)),""))</f>
        <v/>
      </c>
      <c r="G260" s="126" t="str">
        <f aca="false">IF($B260="","",INDEX('CARNET DE SOUDURE'!$U$7:$U$3006,MATCH(249,'CARNET DE SOUDURE'!$AT$7:$AT$3006,0)))</f>
        <v/>
      </c>
      <c r="H260" s="127" t="str">
        <f aca="false">IF($B260="","",INDEX('CARNET DE SOUDURE'!$AQ$7:$AQ$3006,MATCH(249,'CARNET DE SOUDURE'!$AT$7:$AT$3006,0)))</f>
        <v/>
      </c>
      <c r="I260" s="128" t="str">
        <f aca="false">IF($B260="","",INDEX('CARNET DE SOUDURE'!$AO$7:$AO$3006,MATCH(249,'CARNET DE SOUDURE'!$AT$7:$AT$3006,0)))</f>
        <v/>
      </c>
      <c r="J260" s="128" t="str">
        <f aca="false">IF($B260="","",INDEX('CARNET DE SOUDURE'!$AR$7:$AR$3006,MATCH(249,'CARNET DE SOUDURE'!$AT$7:$AT$3006,0)))</f>
        <v/>
      </c>
      <c r="K260" s="129"/>
      <c r="L260" s="129"/>
    </row>
    <row r="261" customFormat="false" ht="15" hidden="false" customHeight="false" outlineLevel="0" collapsed="false">
      <c r="B261" s="130" t="str">
        <f aca="false">IF(250&gt;$I$4,"",250)</f>
        <v/>
      </c>
      <c r="C261" s="130" t="str">
        <f aca="false">IF($B261="","",INDEX('CARNET DE SOUDURE'!$B$7:$B$3006,MATCH(250,'CARNET DE SOUDURE'!$AT$7:$AT$3006,0)))</f>
        <v/>
      </c>
      <c r="D261" s="130" t="str">
        <f aca="false">IF($B261="","",INDEX('CARNET DE SOUDURE'!$E$7:$E$3006,MATCH(250,'CARNET DE SOUDURE'!$AT$7:$AT$3006,0)))</f>
        <v/>
      </c>
      <c r="E261" s="130" t="str">
        <f aca="false">IF($B261="","",INDEX('CARNET DE SOUDURE'!$D$7:$D$3006,MATCH(250,'CARNET DE SOUDURE'!$AT$7:$AT$3006,0)))</f>
        <v/>
      </c>
      <c r="F261" s="130" t="str">
        <f aca="false">IF($B261="","",INDEX('CARNET DE SOUDURE'!$R$7:$R$3006,MATCH(250,'CARNET DE SOUDURE'!$AT$7:$AT$3006,0))&amp;IF(INDEX('CARNET DE SOUDURE'!$S$7:$S$3006,MATCH(250,'CARNET DE SOUDURE'!$AT$7:$AT$3006,0))&lt;&gt;""," / "&amp;INDEX('CARNET DE SOUDURE'!$S$7:$S$3006,MATCH(250,'CARNET DE SOUDURE'!$AT$7:$AT$3006,0)),"")&amp;IF(INDEX('CARNET DE SOUDURE'!$T$7:$T$3006,MATCH(250,'CARNET DE SOUDURE'!$AT$7:$AT$3006,0))&lt;&gt;""," / "&amp;INDEX('CARNET DE SOUDURE'!$T$7:$T$3006,MATCH(250,'CARNET DE SOUDURE'!$AT$7:$AT$3006,0)),""))</f>
        <v/>
      </c>
      <c r="G261" s="131" t="str">
        <f aca="false">IF($B261="","",INDEX('CARNET DE SOUDURE'!$U$7:$U$3006,MATCH(250,'CARNET DE SOUDURE'!$AT$7:$AT$3006,0)))</f>
        <v/>
      </c>
      <c r="H261" s="132" t="str">
        <f aca="false">IF($B261="","",INDEX('CARNET DE SOUDURE'!$AQ$7:$AQ$3006,MATCH(250,'CARNET DE SOUDURE'!$AT$7:$AT$3006,0)))</f>
        <v/>
      </c>
      <c r="I261" s="133" t="str">
        <f aca="false">IF($B261="","",INDEX('CARNET DE SOUDURE'!$AO$7:$AO$3006,MATCH(250,'CARNET DE SOUDURE'!$AT$7:$AT$3006,0)))</f>
        <v/>
      </c>
      <c r="J261" s="133" t="str">
        <f aca="false">IF($B261="","",INDEX('CARNET DE SOUDURE'!$AR$7:$AR$3006,MATCH(250,'CARNET DE SOUDURE'!$AT$7:$AT$3006,0)))</f>
        <v/>
      </c>
      <c r="K261" s="129"/>
      <c r="L261" s="129"/>
    </row>
    <row r="262" customFormat="false" ht="15" hidden="false" customHeight="false" outlineLevel="0" collapsed="false">
      <c r="B262" s="125" t="str">
        <f aca="false">IF(251&gt;$I$4,"",251)</f>
        <v/>
      </c>
      <c r="C262" s="125" t="str">
        <f aca="false">IF($B262="","",INDEX('CARNET DE SOUDURE'!$B$7:$B$3006,MATCH(251,'CARNET DE SOUDURE'!$AT$7:$AT$3006,0)))</f>
        <v/>
      </c>
      <c r="D262" s="125" t="str">
        <f aca="false">IF($B262="","",INDEX('CARNET DE SOUDURE'!$E$7:$E$3006,MATCH(251,'CARNET DE SOUDURE'!$AT$7:$AT$3006,0)))</f>
        <v/>
      </c>
      <c r="E262" s="125" t="str">
        <f aca="false">IF($B262="","",INDEX('CARNET DE SOUDURE'!$D$7:$D$3006,MATCH(251,'CARNET DE SOUDURE'!$AT$7:$AT$3006,0)))</f>
        <v/>
      </c>
      <c r="F262" s="125" t="str">
        <f aca="false">IF($B262="","",INDEX('CARNET DE SOUDURE'!$R$7:$R$3006,MATCH(251,'CARNET DE SOUDURE'!$AT$7:$AT$3006,0))&amp;IF(INDEX('CARNET DE SOUDURE'!$S$7:$S$3006,MATCH(251,'CARNET DE SOUDURE'!$AT$7:$AT$3006,0))&lt;&gt;""," / "&amp;INDEX('CARNET DE SOUDURE'!$S$7:$S$3006,MATCH(251,'CARNET DE SOUDURE'!$AT$7:$AT$3006,0)),"")&amp;IF(INDEX('CARNET DE SOUDURE'!$T$7:$T$3006,MATCH(251,'CARNET DE SOUDURE'!$AT$7:$AT$3006,0))&lt;&gt;""," / "&amp;INDEX('CARNET DE SOUDURE'!$T$7:$T$3006,MATCH(251,'CARNET DE SOUDURE'!$AT$7:$AT$3006,0)),""))</f>
        <v/>
      </c>
      <c r="G262" s="126" t="str">
        <f aca="false">IF($B262="","",INDEX('CARNET DE SOUDURE'!$U$7:$U$3006,MATCH(251,'CARNET DE SOUDURE'!$AT$7:$AT$3006,0)))</f>
        <v/>
      </c>
      <c r="H262" s="127" t="str">
        <f aca="false">IF($B262="","",INDEX('CARNET DE SOUDURE'!$AQ$7:$AQ$3006,MATCH(251,'CARNET DE SOUDURE'!$AT$7:$AT$3006,0)))</f>
        <v/>
      </c>
      <c r="I262" s="128" t="str">
        <f aca="false">IF($B262="","",INDEX('CARNET DE SOUDURE'!$AO$7:$AO$3006,MATCH(251,'CARNET DE SOUDURE'!$AT$7:$AT$3006,0)))</f>
        <v/>
      </c>
      <c r="J262" s="128" t="str">
        <f aca="false">IF($B262="","",INDEX('CARNET DE SOUDURE'!$AR$7:$AR$3006,MATCH(251,'CARNET DE SOUDURE'!$AT$7:$AT$3006,0)))</f>
        <v/>
      </c>
      <c r="K262" s="129"/>
      <c r="L262" s="129"/>
    </row>
    <row r="263" customFormat="false" ht="15" hidden="false" customHeight="false" outlineLevel="0" collapsed="false">
      <c r="B263" s="130" t="str">
        <f aca="false">IF(252&gt;$I$4,"",252)</f>
        <v/>
      </c>
      <c r="C263" s="130" t="str">
        <f aca="false">IF($B263="","",INDEX('CARNET DE SOUDURE'!$B$7:$B$3006,MATCH(252,'CARNET DE SOUDURE'!$AT$7:$AT$3006,0)))</f>
        <v/>
      </c>
      <c r="D263" s="130" t="str">
        <f aca="false">IF($B263="","",INDEX('CARNET DE SOUDURE'!$E$7:$E$3006,MATCH(252,'CARNET DE SOUDURE'!$AT$7:$AT$3006,0)))</f>
        <v/>
      </c>
      <c r="E263" s="130" t="str">
        <f aca="false">IF($B263="","",INDEX('CARNET DE SOUDURE'!$D$7:$D$3006,MATCH(252,'CARNET DE SOUDURE'!$AT$7:$AT$3006,0)))</f>
        <v/>
      </c>
      <c r="F263" s="130" t="str">
        <f aca="false">IF($B263="","",INDEX('CARNET DE SOUDURE'!$R$7:$R$3006,MATCH(252,'CARNET DE SOUDURE'!$AT$7:$AT$3006,0))&amp;IF(INDEX('CARNET DE SOUDURE'!$S$7:$S$3006,MATCH(252,'CARNET DE SOUDURE'!$AT$7:$AT$3006,0))&lt;&gt;""," / "&amp;INDEX('CARNET DE SOUDURE'!$S$7:$S$3006,MATCH(252,'CARNET DE SOUDURE'!$AT$7:$AT$3006,0)),"")&amp;IF(INDEX('CARNET DE SOUDURE'!$T$7:$T$3006,MATCH(252,'CARNET DE SOUDURE'!$AT$7:$AT$3006,0))&lt;&gt;""," / "&amp;INDEX('CARNET DE SOUDURE'!$T$7:$T$3006,MATCH(252,'CARNET DE SOUDURE'!$AT$7:$AT$3006,0)),""))</f>
        <v/>
      </c>
      <c r="G263" s="131" t="str">
        <f aca="false">IF($B263="","",INDEX('CARNET DE SOUDURE'!$U$7:$U$3006,MATCH(252,'CARNET DE SOUDURE'!$AT$7:$AT$3006,0)))</f>
        <v/>
      </c>
      <c r="H263" s="132" t="str">
        <f aca="false">IF($B263="","",INDEX('CARNET DE SOUDURE'!$AQ$7:$AQ$3006,MATCH(252,'CARNET DE SOUDURE'!$AT$7:$AT$3006,0)))</f>
        <v/>
      </c>
      <c r="I263" s="133" t="str">
        <f aca="false">IF($B263="","",INDEX('CARNET DE SOUDURE'!$AO$7:$AO$3006,MATCH(252,'CARNET DE SOUDURE'!$AT$7:$AT$3006,0)))</f>
        <v/>
      </c>
      <c r="J263" s="133" t="str">
        <f aca="false">IF($B263="","",INDEX('CARNET DE SOUDURE'!$AR$7:$AR$3006,MATCH(252,'CARNET DE SOUDURE'!$AT$7:$AT$3006,0)))</f>
        <v/>
      </c>
      <c r="K263" s="129"/>
      <c r="L263" s="129"/>
    </row>
    <row r="264" customFormat="false" ht="15" hidden="false" customHeight="false" outlineLevel="0" collapsed="false">
      <c r="B264" s="125" t="str">
        <f aca="false">IF(253&gt;$I$4,"",253)</f>
        <v/>
      </c>
      <c r="C264" s="125" t="str">
        <f aca="false">IF($B264="","",INDEX('CARNET DE SOUDURE'!$B$7:$B$3006,MATCH(253,'CARNET DE SOUDURE'!$AT$7:$AT$3006,0)))</f>
        <v/>
      </c>
      <c r="D264" s="125" t="str">
        <f aca="false">IF($B264="","",INDEX('CARNET DE SOUDURE'!$E$7:$E$3006,MATCH(253,'CARNET DE SOUDURE'!$AT$7:$AT$3006,0)))</f>
        <v/>
      </c>
      <c r="E264" s="125" t="str">
        <f aca="false">IF($B264="","",INDEX('CARNET DE SOUDURE'!$D$7:$D$3006,MATCH(253,'CARNET DE SOUDURE'!$AT$7:$AT$3006,0)))</f>
        <v/>
      </c>
      <c r="F264" s="125" t="str">
        <f aca="false">IF($B264="","",INDEX('CARNET DE SOUDURE'!$R$7:$R$3006,MATCH(253,'CARNET DE SOUDURE'!$AT$7:$AT$3006,0))&amp;IF(INDEX('CARNET DE SOUDURE'!$S$7:$S$3006,MATCH(253,'CARNET DE SOUDURE'!$AT$7:$AT$3006,0))&lt;&gt;""," / "&amp;INDEX('CARNET DE SOUDURE'!$S$7:$S$3006,MATCH(253,'CARNET DE SOUDURE'!$AT$7:$AT$3006,0)),"")&amp;IF(INDEX('CARNET DE SOUDURE'!$T$7:$T$3006,MATCH(253,'CARNET DE SOUDURE'!$AT$7:$AT$3006,0))&lt;&gt;""," / "&amp;INDEX('CARNET DE SOUDURE'!$T$7:$T$3006,MATCH(253,'CARNET DE SOUDURE'!$AT$7:$AT$3006,0)),""))</f>
        <v/>
      </c>
      <c r="G264" s="126" t="str">
        <f aca="false">IF($B264="","",INDEX('CARNET DE SOUDURE'!$U$7:$U$3006,MATCH(253,'CARNET DE SOUDURE'!$AT$7:$AT$3006,0)))</f>
        <v/>
      </c>
      <c r="H264" s="127" t="str">
        <f aca="false">IF($B264="","",INDEX('CARNET DE SOUDURE'!$AQ$7:$AQ$3006,MATCH(253,'CARNET DE SOUDURE'!$AT$7:$AT$3006,0)))</f>
        <v/>
      </c>
      <c r="I264" s="128" t="str">
        <f aca="false">IF($B264="","",INDEX('CARNET DE SOUDURE'!$AO$7:$AO$3006,MATCH(253,'CARNET DE SOUDURE'!$AT$7:$AT$3006,0)))</f>
        <v/>
      </c>
      <c r="J264" s="128" t="str">
        <f aca="false">IF($B264="","",INDEX('CARNET DE SOUDURE'!$AR$7:$AR$3006,MATCH(253,'CARNET DE SOUDURE'!$AT$7:$AT$3006,0)))</f>
        <v/>
      </c>
      <c r="K264" s="129"/>
      <c r="L264" s="129"/>
    </row>
    <row r="265" customFormat="false" ht="15" hidden="false" customHeight="false" outlineLevel="0" collapsed="false">
      <c r="B265" s="130" t="str">
        <f aca="false">IF(254&gt;$I$4,"",254)</f>
        <v/>
      </c>
      <c r="C265" s="130" t="str">
        <f aca="false">IF($B265="","",INDEX('CARNET DE SOUDURE'!$B$7:$B$3006,MATCH(254,'CARNET DE SOUDURE'!$AT$7:$AT$3006,0)))</f>
        <v/>
      </c>
      <c r="D265" s="130" t="str">
        <f aca="false">IF($B265="","",INDEX('CARNET DE SOUDURE'!$E$7:$E$3006,MATCH(254,'CARNET DE SOUDURE'!$AT$7:$AT$3006,0)))</f>
        <v/>
      </c>
      <c r="E265" s="130" t="str">
        <f aca="false">IF($B265="","",INDEX('CARNET DE SOUDURE'!$D$7:$D$3006,MATCH(254,'CARNET DE SOUDURE'!$AT$7:$AT$3006,0)))</f>
        <v/>
      </c>
      <c r="F265" s="130" t="str">
        <f aca="false">IF($B265="","",INDEX('CARNET DE SOUDURE'!$R$7:$R$3006,MATCH(254,'CARNET DE SOUDURE'!$AT$7:$AT$3006,0))&amp;IF(INDEX('CARNET DE SOUDURE'!$S$7:$S$3006,MATCH(254,'CARNET DE SOUDURE'!$AT$7:$AT$3006,0))&lt;&gt;""," / "&amp;INDEX('CARNET DE SOUDURE'!$S$7:$S$3006,MATCH(254,'CARNET DE SOUDURE'!$AT$7:$AT$3006,0)),"")&amp;IF(INDEX('CARNET DE SOUDURE'!$T$7:$T$3006,MATCH(254,'CARNET DE SOUDURE'!$AT$7:$AT$3006,0))&lt;&gt;""," / "&amp;INDEX('CARNET DE SOUDURE'!$T$7:$T$3006,MATCH(254,'CARNET DE SOUDURE'!$AT$7:$AT$3006,0)),""))</f>
        <v/>
      </c>
      <c r="G265" s="131" t="str">
        <f aca="false">IF($B265="","",INDEX('CARNET DE SOUDURE'!$U$7:$U$3006,MATCH(254,'CARNET DE SOUDURE'!$AT$7:$AT$3006,0)))</f>
        <v/>
      </c>
      <c r="H265" s="132" t="str">
        <f aca="false">IF($B265="","",INDEX('CARNET DE SOUDURE'!$AQ$7:$AQ$3006,MATCH(254,'CARNET DE SOUDURE'!$AT$7:$AT$3006,0)))</f>
        <v/>
      </c>
      <c r="I265" s="133" t="str">
        <f aca="false">IF($B265="","",INDEX('CARNET DE SOUDURE'!$AO$7:$AO$3006,MATCH(254,'CARNET DE SOUDURE'!$AT$7:$AT$3006,0)))</f>
        <v/>
      </c>
      <c r="J265" s="133" t="str">
        <f aca="false">IF($B265="","",INDEX('CARNET DE SOUDURE'!$AR$7:$AR$3006,MATCH(254,'CARNET DE SOUDURE'!$AT$7:$AT$3006,0)))</f>
        <v/>
      </c>
      <c r="K265" s="129"/>
      <c r="L265" s="129"/>
    </row>
    <row r="266" customFormat="false" ht="15" hidden="false" customHeight="false" outlineLevel="0" collapsed="false">
      <c r="B266" s="125" t="str">
        <f aca="false">IF(255&gt;$I$4,"",255)</f>
        <v/>
      </c>
      <c r="C266" s="125" t="str">
        <f aca="false">IF($B266="","",INDEX('CARNET DE SOUDURE'!$B$7:$B$3006,MATCH(255,'CARNET DE SOUDURE'!$AT$7:$AT$3006,0)))</f>
        <v/>
      </c>
      <c r="D266" s="125" t="str">
        <f aca="false">IF($B266="","",INDEX('CARNET DE SOUDURE'!$E$7:$E$3006,MATCH(255,'CARNET DE SOUDURE'!$AT$7:$AT$3006,0)))</f>
        <v/>
      </c>
      <c r="E266" s="125" t="str">
        <f aca="false">IF($B266="","",INDEX('CARNET DE SOUDURE'!$D$7:$D$3006,MATCH(255,'CARNET DE SOUDURE'!$AT$7:$AT$3006,0)))</f>
        <v/>
      </c>
      <c r="F266" s="125" t="str">
        <f aca="false">IF($B266="","",INDEX('CARNET DE SOUDURE'!$R$7:$R$3006,MATCH(255,'CARNET DE SOUDURE'!$AT$7:$AT$3006,0))&amp;IF(INDEX('CARNET DE SOUDURE'!$S$7:$S$3006,MATCH(255,'CARNET DE SOUDURE'!$AT$7:$AT$3006,0))&lt;&gt;""," / "&amp;INDEX('CARNET DE SOUDURE'!$S$7:$S$3006,MATCH(255,'CARNET DE SOUDURE'!$AT$7:$AT$3006,0)),"")&amp;IF(INDEX('CARNET DE SOUDURE'!$T$7:$T$3006,MATCH(255,'CARNET DE SOUDURE'!$AT$7:$AT$3006,0))&lt;&gt;""," / "&amp;INDEX('CARNET DE SOUDURE'!$T$7:$T$3006,MATCH(255,'CARNET DE SOUDURE'!$AT$7:$AT$3006,0)),""))</f>
        <v/>
      </c>
      <c r="G266" s="126" t="str">
        <f aca="false">IF($B266="","",INDEX('CARNET DE SOUDURE'!$U$7:$U$3006,MATCH(255,'CARNET DE SOUDURE'!$AT$7:$AT$3006,0)))</f>
        <v/>
      </c>
      <c r="H266" s="127" t="str">
        <f aca="false">IF($B266="","",INDEX('CARNET DE SOUDURE'!$AQ$7:$AQ$3006,MATCH(255,'CARNET DE SOUDURE'!$AT$7:$AT$3006,0)))</f>
        <v/>
      </c>
      <c r="I266" s="128" t="str">
        <f aca="false">IF($B266="","",INDEX('CARNET DE SOUDURE'!$AO$7:$AO$3006,MATCH(255,'CARNET DE SOUDURE'!$AT$7:$AT$3006,0)))</f>
        <v/>
      </c>
      <c r="J266" s="128" t="str">
        <f aca="false">IF($B266="","",INDEX('CARNET DE SOUDURE'!$AR$7:$AR$3006,MATCH(255,'CARNET DE SOUDURE'!$AT$7:$AT$3006,0)))</f>
        <v/>
      </c>
      <c r="K266" s="129"/>
      <c r="L266" s="129"/>
    </row>
    <row r="267" customFormat="false" ht="15" hidden="false" customHeight="false" outlineLevel="0" collapsed="false">
      <c r="B267" s="130" t="str">
        <f aca="false">IF(256&gt;$I$4,"",256)</f>
        <v/>
      </c>
      <c r="C267" s="130" t="str">
        <f aca="false">IF($B267="","",INDEX('CARNET DE SOUDURE'!$B$7:$B$3006,MATCH(256,'CARNET DE SOUDURE'!$AT$7:$AT$3006,0)))</f>
        <v/>
      </c>
      <c r="D267" s="130" t="str">
        <f aca="false">IF($B267="","",INDEX('CARNET DE SOUDURE'!$E$7:$E$3006,MATCH(256,'CARNET DE SOUDURE'!$AT$7:$AT$3006,0)))</f>
        <v/>
      </c>
      <c r="E267" s="130" t="str">
        <f aca="false">IF($B267="","",INDEX('CARNET DE SOUDURE'!$D$7:$D$3006,MATCH(256,'CARNET DE SOUDURE'!$AT$7:$AT$3006,0)))</f>
        <v/>
      </c>
      <c r="F267" s="130" t="str">
        <f aca="false">IF($B267="","",INDEX('CARNET DE SOUDURE'!$R$7:$R$3006,MATCH(256,'CARNET DE SOUDURE'!$AT$7:$AT$3006,0))&amp;IF(INDEX('CARNET DE SOUDURE'!$S$7:$S$3006,MATCH(256,'CARNET DE SOUDURE'!$AT$7:$AT$3006,0))&lt;&gt;""," / "&amp;INDEX('CARNET DE SOUDURE'!$S$7:$S$3006,MATCH(256,'CARNET DE SOUDURE'!$AT$7:$AT$3006,0)),"")&amp;IF(INDEX('CARNET DE SOUDURE'!$T$7:$T$3006,MATCH(256,'CARNET DE SOUDURE'!$AT$7:$AT$3006,0))&lt;&gt;""," / "&amp;INDEX('CARNET DE SOUDURE'!$T$7:$T$3006,MATCH(256,'CARNET DE SOUDURE'!$AT$7:$AT$3006,0)),""))</f>
        <v/>
      </c>
      <c r="G267" s="131" t="str">
        <f aca="false">IF($B267="","",INDEX('CARNET DE SOUDURE'!$U$7:$U$3006,MATCH(256,'CARNET DE SOUDURE'!$AT$7:$AT$3006,0)))</f>
        <v/>
      </c>
      <c r="H267" s="132" t="str">
        <f aca="false">IF($B267="","",INDEX('CARNET DE SOUDURE'!$AQ$7:$AQ$3006,MATCH(256,'CARNET DE SOUDURE'!$AT$7:$AT$3006,0)))</f>
        <v/>
      </c>
      <c r="I267" s="133" t="str">
        <f aca="false">IF($B267="","",INDEX('CARNET DE SOUDURE'!$AO$7:$AO$3006,MATCH(256,'CARNET DE SOUDURE'!$AT$7:$AT$3006,0)))</f>
        <v/>
      </c>
      <c r="J267" s="133" t="str">
        <f aca="false">IF($B267="","",INDEX('CARNET DE SOUDURE'!$AR$7:$AR$3006,MATCH(256,'CARNET DE SOUDURE'!$AT$7:$AT$3006,0)))</f>
        <v/>
      </c>
      <c r="K267" s="129"/>
      <c r="L267" s="129"/>
    </row>
    <row r="268" customFormat="false" ht="15" hidden="false" customHeight="false" outlineLevel="0" collapsed="false">
      <c r="B268" s="125" t="str">
        <f aca="false">IF(257&gt;$I$4,"",257)</f>
        <v/>
      </c>
      <c r="C268" s="125" t="str">
        <f aca="false">IF($B268="","",INDEX('CARNET DE SOUDURE'!$B$7:$B$3006,MATCH(257,'CARNET DE SOUDURE'!$AT$7:$AT$3006,0)))</f>
        <v/>
      </c>
      <c r="D268" s="125" t="str">
        <f aca="false">IF($B268="","",INDEX('CARNET DE SOUDURE'!$E$7:$E$3006,MATCH(257,'CARNET DE SOUDURE'!$AT$7:$AT$3006,0)))</f>
        <v/>
      </c>
      <c r="E268" s="125" t="str">
        <f aca="false">IF($B268="","",INDEX('CARNET DE SOUDURE'!$D$7:$D$3006,MATCH(257,'CARNET DE SOUDURE'!$AT$7:$AT$3006,0)))</f>
        <v/>
      </c>
      <c r="F268" s="125" t="str">
        <f aca="false">IF($B268="","",INDEX('CARNET DE SOUDURE'!$R$7:$R$3006,MATCH(257,'CARNET DE SOUDURE'!$AT$7:$AT$3006,0))&amp;IF(INDEX('CARNET DE SOUDURE'!$S$7:$S$3006,MATCH(257,'CARNET DE SOUDURE'!$AT$7:$AT$3006,0))&lt;&gt;""," / "&amp;INDEX('CARNET DE SOUDURE'!$S$7:$S$3006,MATCH(257,'CARNET DE SOUDURE'!$AT$7:$AT$3006,0)),"")&amp;IF(INDEX('CARNET DE SOUDURE'!$T$7:$T$3006,MATCH(257,'CARNET DE SOUDURE'!$AT$7:$AT$3006,0))&lt;&gt;""," / "&amp;INDEX('CARNET DE SOUDURE'!$T$7:$T$3006,MATCH(257,'CARNET DE SOUDURE'!$AT$7:$AT$3006,0)),""))</f>
        <v/>
      </c>
      <c r="G268" s="126" t="str">
        <f aca="false">IF($B268="","",INDEX('CARNET DE SOUDURE'!$U$7:$U$3006,MATCH(257,'CARNET DE SOUDURE'!$AT$7:$AT$3006,0)))</f>
        <v/>
      </c>
      <c r="H268" s="127" t="str">
        <f aca="false">IF($B268="","",INDEX('CARNET DE SOUDURE'!$AQ$7:$AQ$3006,MATCH(257,'CARNET DE SOUDURE'!$AT$7:$AT$3006,0)))</f>
        <v/>
      </c>
      <c r="I268" s="128" t="str">
        <f aca="false">IF($B268="","",INDEX('CARNET DE SOUDURE'!$AO$7:$AO$3006,MATCH(257,'CARNET DE SOUDURE'!$AT$7:$AT$3006,0)))</f>
        <v/>
      </c>
      <c r="J268" s="128" t="str">
        <f aca="false">IF($B268="","",INDEX('CARNET DE SOUDURE'!$AR$7:$AR$3006,MATCH(257,'CARNET DE SOUDURE'!$AT$7:$AT$3006,0)))</f>
        <v/>
      </c>
      <c r="K268" s="129"/>
      <c r="L268" s="129"/>
    </row>
    <row r="269" customFormat="false" ht="15" hidden="false" customHeight="false" outlineLevel="0" collapsed="false">
      <c r="B269" s="130" t="str">
        <f aca="false">IF(258&gt;$I$4,"",258)</f>
        <v/>
      </c>
      <c r="C269" s="130" t="str">
        <f aca="false">IF($B269="","",INDEX('CARNET DE SOUDURE'!$B$7:$B$3006,MATCH(258,'CARNET DE SOUDURE'!$AT$7:$AT$3006,0)))</f>
        <v/>
      </c>
      <c r="D269" s="130" t="str">
        <f aca="false">IF($B269="","",INDEX('CARNET DE SOUDURE'!$E$7:$E$3006,MATCH(258,'CARNET DE SOUDURE'!$AT$7:$AT$3006,0)))</f>
        <v/>
      </c>
      <c r="E269" s="130" t="str">
        <f aca="false">IF($B269="","",INDEX('CARNET DE SOUDURE'!$D$7:$D$3006,MATCH(258,'CARNET DE SOUDURE'!$AT$7:$AT$3006,0)))</f>
        <v/>
      </c>
      <c r="F269" s="130" t="str">
        <f aca="false">IF($B269="","",INDEX('CARNET DE SOUDURE'!$R$7:$R$3006,MATCH(258,'CARNET DE SOUDURE'!$AT$7:$AT$3006,0))&amp;IF(INDEX('CARNET DE SOUDURE'!$S$7:$S$3006,MATCH(258,'CARNET DE SOUDURE'!$AT$7:$AT$3006,0))&lt;&gt;""," / "&amp;INDEX('CARNET DE SOUDURE'!$S$7:$S$3006,MATCH(258,'CARNET DE SOUDURE'!$AT$7:$AT$3006,0)),"")&amp;IF(INDEX('CARNET DE SOUDURE'!$T$7:$T$3006,MATCH(258,'CARNET DE SOUDURE'!$AT$7:$AT$3006,0))&lt;&gt;""," / "&amp;INDEX('CARNET DE SOUDURE'!$T$7:$T$3006,MATCH(258,'CARNET DE SOUDURE'!$AT$7:$AT$3006,0)),""))</f>
        <v/>
      </c>
      <c r="G269" s="131" t="str">
        <f aca="false">IF($B269="","",INDEX('CARNET DE SOUDURE'!$U$7:$U$3006,MATCH(258,'CARNET DE SOUDURE'!$AT$7:$AT$3006,0)))</f>
        <v/>
      </c>
      <c r="H269" s="132" t="str">
        <f aca="false">IF($B269="","",INDEX('CARNET DE SOUDURE'!$AQ$7:$AQ$3006,MATCH(258,'CARNET DE SOUDURE'!$AT$7:$AT$3006,0)))</f>
        <v/>
      </c>
      <c r="I269" s="133" t="str">
        <f aca="false">IF($B269="","",INDEX('CARNET DE SOUDURE'!$AO$7:$AO$3006,MATCH(258,'CARNET DE SOUDURE'!$AT$7:$AT$3006,0)))</f>
        <v/>
      </c>
      <c r="J269" s="133" t="str">
        <f aca="false">IF($B269="","",INDEX('CARNET DE SOUDURE'!$AR$7:$AR$3006,MATCH(258,'CARNET DE SOUDURE'!$AT$7:$AT$3006,0)))</f>
        <v/>
      </c>
      <c r="K269" s="129"/>
      <c r="L269" s="129"/>
    </row>
    <row r="270" customFormat="false" ht="15" hidden="false" customHeight="false" outlineLevel="0" collapsed="false">
      <c r="B270" s="125" t="str">
        <f aca="false">IF(259&gt;$I$4,"",259)</f>
        <v/>
      </c>
      <c r="C270" s="125" t="str">
        <f aca="false">IF($B270="","",INDEX('CARNET DE SOUDURE'!$B$7:$B$3006,MATCH(259,'CARNET DE SOUDURE'!$AT$7:$AT$3006,0)))</f>
        <v/>
      </c>
      <c r="D270" s="125" t="str">
        <f aca="false">IF($B270="","",INDEX('CARNET DE SOUDURE'!$E$7:$E$3006,MATCH(259,'CARNET DE SOUDURE'!$AT$7:$AT$3006,0)))</f>
        <v/>
      </c>
      <c r="E270" s="125" t="str">
        <f aca="false">IF($B270="","",INDEX('CARNET DE SOUDURE'!$D$7:$D$3006,MATCH(259,'CARNET DE SOUDURE'!$AT$7:$AT$3006,0)))</f>
        <v/>
      </c>
      <c r="F270" s="125" t="str">
        <f aca="false">IF($B270="","",INDEX('CARNET DE SOUDURE'!$R$7:$R$3006,MATCH(259,'CARNET DE SOUDURE'!$AT$7:$AT$3006,0))&amp;IF(INDEX('CARNET DE SOUDURE'!$S$7:$S$3006,MATCH(259,'CARNET DE SOUDURE'!$AT$7:$AT$3006,0))&lt;&gt;""," / "&amp;INDEX('CARNET DE SOUDURE'!$S$7:$S$3006,MATCH(259,'CARNET DE SOUDURE'!$AT$7:$AT$3006,0)),"")&amp;IF(INDEX('CARNET DE SOUDURE'!$T$7:$T$3006,MATCH(259,'CARNET DE SOUDURE'!$AT$7:$AT$3006,0))&lt;&gt;""," / "&amp;INDEX('CARNET DE SOUDURE'!$T$7:$T$3006,MATCH(259,'CARNET DE SOUDURE'!$AT$7:$AT$3006,0)),""))</f>
        <v/>
      </c>
      <c r="G270" s="126" t="str">
        <f aca="false">IF($B270="","",INDEX('CARNET DE SOUDURE'!$U$7:$U$3006,MATCH(259,'CARNET DE SOUDURE'!$AT$7:$AT$3006,0)))</f>
        <v/>
      </c>
      <c r="H270" s="127" t="str">
        <f aca="false">IF($B270="","",INDEX('CARNET DE SOUDURE'!$AQ$7:$AQ$3006,MATCH(259,'CARNET DE SOUDURE'!$AT$7:$AT$3006,0)))</f>
        <v/>
      </c>
      <c r="I270" s="128" t="str">
        <f aca="false">IF($B270="","",INDEX('CARNET DE SOUDURE'!$AO$7:$AO$3006,MATCH(259,'CARNET DE SOUDURE'!$AT$7:$AT$3006,0)))</f>
        <v/>
      </c>
      <c r="J270" s="128" t="str">
        <f aca="false">IF($B270="","",INDEX('CARNET DE SOUDURE'!$AR$7:$AR$3006,MATCH(259,'CARNET DE SOUDURE'!$AT$7:$AT$3006,0)))</f>
        <v/>
      </c>
      <c r="K270" s="129"/>
      <c r="L270" s="129"/>
    </row>
    <row r="271" customFormat="false" ht="15" hidden="false" customHeight="false" outlineLevel="0" collapsed="false">
      <c r="B271" s="130" t="str">
        <f aca="false">IF(260&gt;$I$4,"",260)</f>
        <v/>
      </c>
      <c r="C271" s="130" t="str">
        <f aca="false">IF($B271="","",INDEX('CARNET DE SOUDURE'!$B$7:$B$3006,MATCH(260,'CARNET DE SOUDURE'!$AT$7:$AT$3006,0)))</f>
        <v/>
      </c>
      <c r="D271" s="130" t="str">
        <f aca="false">IF($B271="","",INDEX('CARNET DE SOUDURE'!$E$7:$E$3006,MATCH(260,'CARNET DE SOUDURE'!$AT$7:$AT$3006,0)))</f>
        <v/>
      </c>
      <c r="E271" s="130" t="str">
        <f aca="false">IF($B271="","",INDEX('CARNET DE SOUDURE'!$D$7:$D$3006,MATCH(260,'CARNET DE SOUDURE'!$AT$7:$AT$3006,0)))</f>
        <v/>
      </c>
      <c r="F271" s="130" t="str">
        <f aca="false">IF($B271="","",INDEX('CARNET DE SOUDURE'!$R$7:$R$3006,MATCH(260,'CARNET DE SOUDURE'!$AT$7:$AT$3006,0))&amp;IF(INDEX('CARNET DE SOUDURE'!$S$7:$S$3006,MATCH(260,'CARNET DE SOUDURE'!$AT$7:$AT$3006,0))&lt;&gt;""," / "&amp;INDEX('CARNET DE SOUDURE'!$S$7:$S$3006,MATCH(260,'CARNET DE SOUDURE'!$AT$7:$AT$3006,0)),"")&amp;IF(INDEX('CARNET DE SOUDURE'!$T$7:$T$3006,MATCH(260,'CARNET DE SOUDURE'!$AT$7:$AT$3006,0))&lt;&gt;""," / "&amp;INDEX('CARNET DE SOUDURE'!$T$7:$T$3006,MATCH(260,'CARNET DE SOUDURE'!$AT$7:$AT$3006,0)),""))</f>
        <v/>
      </c>
      <c r="G271" s="131" t="str">
        <f aca="false">IF($B271="","",INDEX('CARNET DE SOUDURE'!$U$7:$U$3006,MATCH(260,'CARNET DE SOUDURE'!$AT$7:$AT$3006,0)))</f>
        <v/>
      </c>
      <c r="H271" s="132" t="str">
        <f aca="false">IF($B271="","",INDEX('CARNET DE SOUDURE'!$AQ$7:$AQ$3006,MATCH(260,'CARNET DE SOUDURE'!$AT$7:$AT$3006,0)))</f>
        <v/>
      </c>
      <c r="I271" s="133" t="str">
        <f aca="false">IF($B271="","",INDEX('CARNET DE SOUDURE'!$AO$7:$AO$3006,MATCH(260,'CARNET DE SOUDURE'!$AT$7:$AT$3006,0)))</f>
        <v/>
      </c>
      <c r="J271" s="133" t="str">
        <f aca="false">IF($B271="","",INDEX('CARNET DE SOUDURE'!$AR$7:$AR$3006,MATCH(260,'CARNET DE SOUDURE'!$AT$7:$AT$3006,0)))</f>
        <v/>
      </c>
      <c r="K271" s="129"/>
      <c r="L271" s="129"/>
    </row>
    <row r="272" customFormat="false" ht="15" hidden="false" customHeight="false" outlineLevel="0" collapsed="false">
      <c r="B272" s="125" t="str">
        <f aca="false">IF(261&gt;$I$4,"",261)</f>
        <v/>
      </c>
      <c r="C272" s="125" t="str">
        <f aca="false">IF($B272="","",INDEX('CARNET DE SOUDURE'!$B$7:$B$3006,MATCH(261,'CARNET DE SOUDURE'!$AT$7:$AT$3006,0)))</f>
        <v/>
      </c>
      <c r="D272" s="125" t="str">
        <f aca="false">IF($B272="","",INDEX('CARNET DE SOUDURE'!$E$7:$E$3006,MATCH(261,'CARNET DE SOUDURE'!$AT$7:$AT$3006,0)))</f>
        <v/>
      </c>
      <c r="E272" s="125" t="str">
        <f aca="false">IF($B272="","",INDEX('CARNET DE SOUDURE'!$D$7:$D$3006,MATCH(261,'CARNET DE SOUDURE'!$AT$7:$AT$3006,0)))</f>
        <v/>
      </c>
      <c r="F272" s="125" t="str">
        <f aca="false">IF($B272="","",INDEX('CARNET DE SOUDURE'!$R$7:$R$3006,MATCH(261,'CARNET DE SOUDURE'!$AT$7:$AT$3006,0))&amp;IF(INDEX('CARNET DE SOUDURE'!$S$7:$S$3006,MATCH(261,'CARNET DE SOUDURE'!$AT$7:$AT$3006,0))&lt;&gt;""," / "&amp;INDEX('CARNET DE SOUDURE'!$S$7:$S$3006,MATCH(261,'CARNET DE SOUDURE'!$AT$7:$AT$3006,0)),"")&amp;IF(INDEX('CARNET DE SOUDURE'!$T$7:$T$3006,MATCH(261,'CARNET DE SOUDURE'!$AT$7:$AT$3006,0))&lt;&gt;""," / "&amp;INDEX('CARNET DE SOUDURE'!$T$7:$T$3006,MATCH(261,'CARNET DE SOUDURE'!$AT$7:$AT$3006,0)),""))</f>
        <v/>
      </c>
      <c r="G272" s="126" t="str">
        <f aca="false">IF($B272="","",INDEX('CARNET DE SOUDURE'!$U$7:$U$3006,MATCH(261,'CARNET DE SOUDURE'!$AT$7:$AT$3006,0)))</f>
        <v/>
      </c>
      <c r="H272" s="127" t="str">
        <f aca="false">IF($B272="","",INDEX('CARNET DE SOUDURE'!$AQ$7:$AQ$3006,MATCH(261,'CARNET DE SOUDURE'!$AT$7:$AT$3006,0)))</f>
        <v/>
      </c>
      <c r="I272" s="128" t="str">
        <f aca="false">IF($B272="","",INDEX('CARNET DE SOUDURE'!$AO$7:$AO$3006,MATCH(261,'CARNET DE SOUDURE'!$AT$7:$AT$3006,0)))</f>
        <v/>
      </c>
      <c r="J272" s="128" t="str">
        <f aca="false">IF($B272="","",INDEX('CARNET DE SOUDURE'!$AR$7:$AR$3006,MATCH(261,'CARNET DE SOUDURE'!$AT$7:$AT$3006,0)))</f>
        <v/>
      </c>
      <c r="K272" s="129"/>
      <c r="L272" s="129"/>
    </row>
    <row r="273" customFormat="false" ht="15" hidden="false" customHeight="false" outlineLevel="0" collapsed="false">
      <c r="B273" s="130" t="str">
        <f aca="false">IF(262&gt;$I$4,"",262)</f>
        <v/>
      </c>
      <c r="C273" s="130" t="str">
        <f aca="false">IF($B273="","",INDEX('CARNET DE SOUDURE'!$B$7:$B$3006,MATCH(262,'CARNET DE SOUDURE'!$AT$7:$AT$3006,0)))</f>
        <v/>
      </c>
      <c r="D273" s="130" t="str">
        <f aca="false">IF($B273="","",INDEX('CARNET DE SOUDURE'!$E$7:$E$3006,MATCH(262,'CARNET DE SOUDURE'!$AT$7:$AT$3006,0)))</f>
        <v/>
      </c>
      <c r="E273" s="130" t="str">
        <f aca="false">IF($B273="","",INDEX('CARNET DE SOUDURE'!$D$7:$D$3006,MATCH(262,'CARNET DE SOUDURE'!$AT$7:$AT$3006,0)))</f>
        <v/>
      </c>
      <c r="F273" s="130" t="str">
        <f aca="false">IF($B273="","",INDEX('CARNET DE SOUDURE'!$R$7:$R$3006,MATCH(262,'CARNET DE SOUDURE'!$AT$7:$AT$3006,0))&amp;IF(INDEX('CARNET DE SOUDURE'!$S$7:$S$3006,MATCH(262,'CARNET DE SOUDURE'!$AT$7:$AT$3006,0))&lt;&gt;""," / "&amp;INDEX('CARNET DE SOUDURE'!$S$7:$S$3006,MATCH(262,'CARNET DE SOUDURE'!$AT$7:$AT$3006,0)),"")&amp;IF(INDEX('CARNET DE SOUDURE'!$T$7:$T$3006,MATCH(262,'CARNET DE SOUDURE'!$AT$7:$AT$3006,0))&lt;&gt;""," / "&amp;INDEX('CARNET DE SOUDURE'!$T$7:$T$3006,MATCH(262,'CARNET DE SOUDURE'!$AT$7:$AT$3006,0)),""))</f>
        <v/>
      </c>
      <c r="G273" s="131" t="str">
        <f aca="false">IF($B273="","",INDEX('CARNET DE SOUDURE'!$U$7:$U$3006,MATCH(262,'CARNET DE SOUDURE'!$AT$7:$AT$3006,0)))</f>
        <v/>
      </c>
      <c r="H273" s="132" t="str">
        <f aca="false">IF($B273="","",INDEX('CARNET DE SOUDURE'!$AQ$7:$AQ$3006,MATCH(262,'CARNET DE SOUDURE'!$AT$7:$AT$3006,0)))</f>
        <v/>
      </c>
      <c r="I273" s="133" t="str">
        <f aca="false">IF($B273="","",INDEX('CARNET DE SOUDURE'!$AO$7:$AO$3006,MATCH(262,'CARNET DE SOUDURE'!$AT$7:$AT$3006,0)))</f>
        <v/>
      </c>
      <c r="J273" s="133" t="str">
        <f aca="false">IF($B273="","",INDEX('CARNET DE SOUDURE'!$AR$7:$AR$3006,MATCH(262,'CARNET DE SOUDURE'!$AT$7:$AT$3006,0)))</f>
        <v/>
      </c>
      <c r="K273" s="129"/>
      <c r="L273" s="129"/>
    </row>
    <row r="274" customFormat="false" ht="15" hidden="false" customHeight="false" outlineLevel="0" collapsed="false">
      <c r="B274" s="125" t="str">
        <f aca="false">IF(263&gt;$I$4,"",263)</f>
        <v/>
      </c>
      <c r="C274" s="125" t="str">
        <f aca="false">IF($B274="","",INDEX('CARNET DE SOUDURE'!$B$7:$B$3006,MATCH(263,'CARNET DE SOUDURE'!$AT$7:$AT$3006,0)))</f>
        <v/>
      </c>
      <c r="D274" s="125" t="str">
        <f aca="false">IF($B274="","",INDEX('CARNET DE SOUDURE'!$E$7:$E$3006,MATCH(263,'CARNET DE SOUDURE'!$AT$7:$AT$3006,0)))</f>
        <v/>
      </c>
      <c r="E274" s="125" t="str">
        <f aca="false">IF($B274="","",INDEX('CARNET DE SOUDURE'!$D$7:$D$3006,MATCH(263,'CARNET DE SOUDURE'!$AT$7:$AT$3006,0)))</f>
        <v/>
      </c>
      <c r="F274" s="125" t="str">
        <f aca="false">IF($B274="","",INDEX('CARNET DE SOUDURE'!$R$7:$R$3006,MATCH(263,'CARNET DE SOUDURE'!$AT$7:$AT$3006,0))&amp;IF(INDEX('CARNET DE SOUDURE'!$S$7:$S$3006,MATCH(263,'CARNET DE SOUDURE'!$AT$7:$AT$3006,0))&lt;&gt;""," / "&amp;INDEX('CARNET DE SOUDURE'!$S$7:$S$3006,MATCH(263,'CARNET DE SOUDURE'!$AT$7:$AT$3006,0)),"")&amp;IF(INDEX('CARNET DE SOUDURE'!$T$7:$T$3006,MATCH(263,'CARNET DE SOUDURE'!$AT$7:$AT$3006,0))&lt;&gt;""," / "&amp;INDEX('CARNET DE SOUDURE'!$T$7:$T$3006,MATCH(263,'CARNET DE SOUDURE'!$AT$7:$AT$3006,0)),""))</f>
        <v/>
      </c>
      <c r="G274" s="126" t="str">
        <f aca="false">IF($B274="","",INDEX('CARNET DE SOUDURE'!$U$7:$U$3006,MATCH(263,'CARNET DE SOUDURE'!$AT$7:$AT$3006,0)))</f>
        <v/>
      </c>
      <c r="H274" s="127" t="str">
        <f aca="false">IF($B274="","",INDEX('CARNET DE SOUDURE'!$AQ$7:$AQ$3006,MATCH(263,'CARNET DE SOUDURE'!$AT$7:$AT$3006,0)))</f>
        <v/>
      </c>
      <c r="I274" s="128" t="str">
        <f aca="false">IF($B274="","",INDEX('CARNET DE SOUDURE'!$AO$7:$AO$3006,MATCH(263,'CARNET DE SOUDURE'!$AT$7:$AT$3006,0)))</f>
        <v/>
      </c>
      <c r="J274" s="128" t="str">
        <f aca="false">IF($B274="","",INDEX('CARNET DE SOUDURE'!$AR$7:$AR$3006,MATCH(263,'CARNET DE SOUDURE'!$AT$7:$AT$3006,0)))</f>
        <v/>
      </c>
      <c r="K274" s="129"/>
      <c r="L274" s="129"/>
    </row>
    <row r="275" customFormat="false" ht="15" hidden="false" customHeight="false" outlineLevel="0" collapsed="false">
      <c r="B275" s="130" t="str">
        <f aca="false">IF(264&gt;$I$4,"",264)</f>
        <v/>
      </c>
      <c r="C275" s="130" t="str">
        <f aca="false">IF($B275="","",INDEX('CARNET DE SOUDURE'!$B$7:$B$3006,MATCH(264,'CARNET DE SOUDURE'!$AT$7:$AT$3006,0)))</f>
        <v/>
      </c>
      <c r="D275" s="130" t="str">
        <f aca="false">IF($B275="","",INDEX('CARNET DE SOUDURE'!$E$7:$E$3006,MATCH(264,'CARNET DE SOUDURE'!$AT$7:$AT$3006,0)))</f>
        <v/>
      </c>
      <c r="E275" s="130" t="str">
        <f aca="false">IF($B275="","",INDEX('CARNET DE SOUDURE'!$D$7:$D$3006,MATCH(264,'CARNET DE SOUDURE'!$AT$7:$AT$3006,0)))</f>
        <v/>
      </c>
      <c r="F275" s="130" t="str">
        <f aca="false">IF($B275="","",INDEX('CARNET DE SOUDURE'!$R$7:$R$3006,MATCH(264,'CARNET DE SOUDURE'!$AT$7:$AT$3006,0))&amp;IF(INDEX('CARNET DE SOUDURE'!$S$7:$S$3006,MATCH(264,'CARNET DE SOUDURE'!$AT$7:$AT$3006,0))&lt;&gt;""," / "&amp;INDEX('CARNET DE SOUDURE'!$S$7:$S$3006,MATCH(264,'CARNET DE SOUDURE'!$AT$7:$AT$3006,0)),"")&amp;IF(INDEX('CARNET DE SOUDURE'!$T$7:$T$3006,MATCH(264,'CARNET DE SOUDURE'!$AT$7:$AT$3006,0))&lt;&gt;""," / "&amp;INDEX('CARNET DE SOUDURE'!$T$7:$T$3006,MATCH(264,'CARNET DE SOUDURE'!$AT$7:$AT$3006,0)),""))</f>
        <v/>
      </c>
      <c r="G275" s="131" t="str">
        <f aca="false">IF($B275="","",INDEX('CARNET DE SOUDURE'!$U$7:$U$3006,MATCH(264,'CARNET DE SOUDURE'!$AT$7:$AT$3006,0)))</f>
        <v/>
      </c>
      <c r="H275" s="132" t="str">
        <f aca="false">IF($B275="","",INDEX('CARNET DE SOUDURE'!$AQ$7:$AQ$3006,MATCH(264,'CARNET DE SOUDURE'!$AT$7:$AT$3006,0)))</f>
        <v/>
      </c>
      <c r="I275" s="133" t="str">
        <f aca="false">IF($B275="","",INDEX('CARNET DE SOUDURE'!$AO$7:$AO$3006,MATCH(264,'CARNET DE SOUDURE'!$AT$7:$AT$3006,0)))</f>
        <v/>
      </c>
      <c r="J275" s="133" t="str">
        <f aca="false">IF($B275="","",INDEX('CARNET DE SOUDURE'!$AR$7:$AR$3006,MATCH(264,'CARNET DE SOUDURE'!$AT$7:$AT$3006,0)))</f>
        <v/>
      </c>
      <c r="K275" s="129"/>
      <c r="L275" s="129"/>
    </row>
    <row r="276" customFormat="false" ht="15" hidden="false" customHeight="false" outlineLevel="0" collapsed="false">
      <c r="B276" s="125" t="str">
        <f aca="false">IF(265&gt;$I$4,"",265)</f>
        <v/>
      </c>
      <c r="C276" s="125" t="str">
        <f aca="false">IF($B276="","",INDEX('CARNET DE SOUDURE'!$B$7:$B$3006,MATCH(265,'CARNET DE SOUDURE'!$AT$7:$AT$3006,0)))</f>
        <v/>
      </c>
      <c r="D276" s="125" t="str">
        <f aca="false">IF($B276="","",INDEX('CARNET DE SOUDURE'!$E$7:$E$3006,MATCH(265,'CARNET DE SOUDURE'!$AT$7:$AT$3006,0)))</f>
        <v/>
      </c>
      <c r="E276" s="125" t="str">
        <f aca="false">IF($B276="","",INDEX('CARNET DE SOUDURE'!$D$7:$D$3006,MATCH(265,'CARNET DE SOUDURE'!$AT$7:$AT$3006,0)))</f>
        <v/>
      </c>
      <c r="F276" s="125" t="str">
        <f aca="false">IF($B276="","",INDEX('CARNET DE SOUDURE'!$R$7:$R$3006,MATCH(265,'CARNET DE SOUDURE'!$AT$7:$AT$3006,0))&amp;IF(INDEX('CARNET DE SOUDURE'!$S$7:$S$3006,MATCH(265,'CARNET DE SOUDURE'!$AT$7:$AT$3006,0))&lt;&gt;""," / "&amp;INDEX('CARNET DE SOUDURE'!$S$7:$S$3006,MATCH(265,'CARNET DE SOUDURE'!$AT$7:$AT$3006,0)),"")&amp;IF(INDEX('CARNET DE SOUDURE'!$T$7:$T$3006,MATCH(265,'CARNET DE SOUDURE'!$AT$7:$AT$3006,0))&lt;&gt;""," / "&amp;INDEX('CARNET DE SOUDURE'!$T$7:$T$3006,MATCH(265,'CARNET DE SOUDURE'!$AT$7:$AT$3006,0)),""))</f>
        <v/>
      </c>
      <c r="G276" s="126" t="str">
        <f aca="false">IF($B276="","",INDEX('CARNET DE SOUDURE'!$U$7:$U$3006,MATCH(265,'CARNET DE SOUDURE'!$AT$7:$AT$3006,0)))</f>
        <v/>
      </c>
      <c r="H276" s="127" t="str">
        <f aca="false">IF($B276="","",INDEX('CARNET DE SOUDURE'!$AQ$7:$AQ$3006,MATCH(265,'CARNET DE SOUDURE'!$AT$7:$AT$3006,0)))</f>
        <v/>
      </c>
      <c r="I276" s="128" t="str">
        <f aca="false">IF($B276="","",INDEX('CARNET DE SOUDURE'!$AO$7:$AO$3006,MATCH(265,'CARNET DE SOUDURE'!$AT$7:$AT$3006,0)))</f>
        <v/>
      </c>
      <c r="J276" s="128" t="str">
        <f aca="false">IF($B276="","",INDEX('CARNET DE SOUDURE'!$AR$7:$AR$3006,MATCH(265,'CARNET DE SOUDURE'!$AT$7:$AT$3006,0)))</f>
        <v/>
      </c>
      <c r="K276" s="129"/>
      <c r="L276" s="129"/>
    </row>
    <row r="277" customFormat="false" ht="15" hidden="false" customHeight="false" outlineLevel="0" collapsed="false">
      <c r="B277" s="130" t="str">
        <f aca="false">IF(266&gt;$I$4,"",266)</f>
        <v/>
      </c>
      <c r="C277" s="130" t="str">
        <f aca="false">IF($B277="","",INDEX('CARNET DE SOUDURE'!$B$7:$B$3006,MATCH(266,'CARNET DE SOUDURE'!$AT$7:$AT$3006,0)))</f>
        <v/>
      </c>
      <c r="D277" s="130" t="str">
        <f aca="false">IF($B277="","",INDEX('CARNET DE SOUDURE'!$E$7:$E$3006,MATCH(266,'CARNET DE SOUDURE'!$AT$7:$AT$3006,0)))</f>
        <v/>
      </c>
      <c r="E277" s="130" t="str">
        <f aca="false">IF($B277="","",INDEX('CARNET DE SOUDURE'!$D$7:$D$3006,MATCH(266,'CARNET DE SOUDURE'!$AT$7:$AT$3006,0)))</f>
        <v/>
      </c>
      <c r="F277" s="130" t="str">
        <f aca="false">IF($B277="","",INDEX('CARNET DE SOUDURE'!$R$7:$R$3006,MATCH(266,'CARNET DE SOUDURE'!$AT$7:$AT$3006,0))&amp;IF(INDEX('CARNET DE SOUDURE'!$S$7:$S$3006,MATCH(266,'CARNET DE SOUDURE'!$AT$7:$AT$3006,0))&lt;&gt;""," / "&amp;INDEX('CARNET DE SOUDURE'!$S$7:$S$3006,MATCH(266,'CARNET DE SOUDURE'!$AT$7:$AT$3006,0)),"")&amp;IF(INDEX('CARNET DE SOUDURE'!$T$7:$T$3006,MATCH(266,'CARNET DE SOUDURE'!$AT$7:$AT$3006,0))&lt;&gt;""," / "&amp;INDEX('CARNET DE SOUDURE'!$T$7:$T$3006,MATCH(266,'CARNET DE SOUDURE'!$AT$7:$AT$3006,0)),""))</f>
        <v/>
      </c>
      <c r="G277" s="131" t="str">
        <f aca="false">IF($B277="","",INDEX('CARNET DE SOUDURE'!$U$7:$U$3006,MATCH(266,'CARNET DE SOUDURE'!$AT$7:$AT$3006,0)))</f>
        <v/>
      </c>
      <c r="H277" s="132" t="str">
        <f aca="false">IF($B277="","",INDEX('CARNET DE SOUDURE'!$AQ$7:$AQ$3006,MATCH(266,'CARNET DE SOUDURE'!$AT$7:$AT$3006,0)))</f>
        <v/>
      </c>
      <c r="I277" s="133" t="str">
        <f aca="false">IF($B277="","",INDEX('CARNET DE SOUDURE'!$AO$7:$AO$3006,MATCH(266,'CARNET DE SOUDURE'!$AT$7:$AT$3006,0)))</f>
        <v/>
      </c>
      <c r="J277" s="133" t="str">
        <f aca="false">IF($B277="","",INDEX('CARNET DE SOUDURE'!$AR$7:$AR$3006,MATCH(266,'CARNET DE SOUDURE'!$AT$7:$AT$3006,0)))</f>
        <v/>
      </c>
      <c r="K277" s="129"/>
      <c r="L277" s="129"/>
    </row>
    <row r="278" customFormat="false" ht="15" hidden="false" customHeight="false" outlineLevel="0" collapsed="false">
      <c r="B278" s="125" t="str">
        <f aca="false">IF(267&gt;$I$4,"",267)</f>
        <v/>
      </c>
      <c r="C278" s="125" t="str">
        <f aca="false">IF($B278="","",INDEX('CARNET DE SOUDURE'!$B$7:$B$3006,MATCH(267,'CARNET DE SOUDURE'!$AT$7:$AT$3006,0)))</f>
        <v/>
      </c>
      <c r="D278" s="125" t="str">
        <f aca="false">IF($B278="","",INDEX('CARNET DE SOUDURE'!$E$7:$E$3006,MATCH(267,'CARNET DE SOUDURE'!$AT$7:$AT$3006,0)))</f>
        <v/>
      </c>
      <c r="E278" s="125" t="str">
        <f aca="false">IF($B278="","",INDEX('CARNET DE SOUDURE'!$D$7:$D$3006,MATCH(267,'CARNET DE SOUDURE'!$AT$7:$AT$3006,0)))</f>
        <v/>
      </c>
      <c r="F278" s="125" t="str">
        <f aca="false">IF($B278="","",INDEX('CARNET DE SOUDURE'!$R$7:$R$3006,MATCH(267,'CARNET DE SOUDURE'!$AT$7:$AT$3006,0))&amp;IF(INDEX('CARNET DE SOUDURE'!$S$7:$S$3006,MATCH(267,'CARNET DE SOUDURE'!$AT$7:$AT$3006,0))&lt;&gt;""," / "&amp;INDEX('CARNET DE SOUDURE'!$S$7:$S$3006,MATCH(267,'CARNET DE SOUDURE'!$AT$7:$AT$3006,0)),"")&amp;IF(INDEX('CARNET DE SOUDURE'!$T$7:$T$3006,MATCH(267,'CARNET DE SOUDURE'!$AT$7:$AT$3006,0))&lt;&gt;""," / "&amp;INDEX('CARNET DE SOUDURE'!$T$7:$T$3006,MATCH(267,'CARNET DE SOUDURE'!$AT$7:$AT$3006,0)),""))</f>
        <v/>
      </c>
      <c r="G278" s="126" t="str">
        <f aca="false">IF($B278="","",INDEX('CARNET DE SOUDURE'!$U$7:$U$3006,MATCH(267,'CARNET DE SOUDURE'!$AT$7:$AT$3006,0)))</f>
        <v/>
      </c>
      <c r="H278" s="127" t="str">
        <f aca="false">IF($B278="","",INDEX('CARNET DE SOUDURE'!$AQ$7:$AQ$3006,MATCH(267,'CARNET DE SOUDURE'!$AT$7:$AT$3006,0)))</f>
        <v/>
      </c>
      <c r="I278" s="128" t="str">
        <f aca="false">IF($B278="","",INDEX('CARNET DE SOUDURE'!$AO$7:$AO$3006,MATCH(267,'CARNET DE SOUDURE'!$AT$7:$AT$3006,0)))</f>
        <v/>
      </c>
      <c r="J278" s="128" t="str">
        <f aca="false">IF($B278="","",INDEX('CARNET DE SOUDURE'!$AR$7:$AR$3006,MATCH(267,'CARNET DE SOUDURE'!$AT$7:$AT$3006,0)))</f>
        <v/>
      </c>
      <c r="K278" s="129"/>
      <c r="L278" s="129"/>
    </row>
    <row r="279" customFormat="false" ht="15" hidden="false" customHeight="false" outlineLevel="0" collapsed="false">
      <c r="B279" s="130" t="str">
        <f aca="false">IF(268&gt;$I$4,"",268)</f>
        <v/>
      </c>
      <c r="C279" s="130" t="str">
        <f aca="false">IF($B279="","",INDEX('CARNET DE SOUDURE'!$B$7:$B$3006,MATCH(268,'CARNET DE SOUDURE'!$AT$7:$AT$3006,0)))</f>
        <v/>
      </c>
      <c r="D279" s="130" t="str">
        <f aca="false">IF($B279="","",INDEX('CARNET DE SOUDURE'!$E$7:$E$3006,MATCH(268,'CARNET DE SOUDURE'!$AT$7:$AT$3006,0)))</f>
        <v/>
      </c>
      <c r="E279" s="130" t="str">
        <f aca="false">IF($B279="","",INDEX('CARNET DE SOUDURE'!$D$7:$D$3006,MATCH(268,'CARNET DE SOUDURE'!$AT$7:$AT$3006,0)))</f>
        <v/>
      </c>
      <c r="F279" s="130" t="str">
        <f aca="false">IF($B279="","",INDEX('CARNET DE SOUDURE'!$R$7:$R$3006,MATCH(268,'CARNET DE SOUDURE'!$AT$7:$AT$3006,0))&amp;IF(INDEX('CARNET DE SOUDURE'!$S$7:$S$3006,MATCH(268,'CARNET DE SOUDURE'!$AT$7:$AT$3006,0))&lt;&gt;""," / "&amp;INDEX('CARNET DE SOUDURE'!$S$7:$S$3006,MATCH(268,'CARNET DE SOUDURE'!$AT$7:$AT$3006,0)),"")&amp;IF(INDEX('CARNET DE SOUDURE'!$T$7:$T$3006,MATCH(268,'CARNET DE SOUDURE'!$AT$7:$AT$3006,0))&lt;&gt;""," / "&amp;INDEX('CARNET DE SOUDURE'!$T$7:$T$3006,MATCH(268,'CARNET DE SOUDURE'!$AT$7:$AT$3006,0)),""))</f>
        <v/>
      </c>
      <c r="G279" s="131" t="str">
        <f aca="false">IF($B279="","",INDEX('CARNET DE SOUDURE'!$U$7:$U$3006,MATCH(268,'CARNET DE SOUDURE'!$AT$7:$AT$3006,0)))</f>
        <v/>
      </c>
      <c r="H279" s="132" t="str">
        <f aca="false">IF($B279="","",INDEX('CARNET DE SOUDURE'!$AQ$7:$AQ$3006,MATCH(268,'CARNET DE SOUDURE'!$AT$7:$AT$3006,0)))</f>
        <v/>
      </c>
      <c r="I279" s="133" t="str">
        <f aca="false">IF($B279="","",INDEX('CARNET DE SOUDURE'!$AO$7:$AO$3006,MATCH(268,'CARNET DE SOUDURE'!$AT$7:$AT$3006,0)))</f>
        <v/>
      </c>
      <c r="J279" s="133" t="str">
        <f aca="false">IF($B279="","",INDEX('CARNET DE SOUDURE'!$AR$7:$AR$3006,MATCH(268,'CARNET DE SOUDURE'!$AT$7:$AT$3006,0)))</f>
        <v/>
      </c>
      <c r="K279" s="129"/>
      <c r="L279" s="129"/>
    </row>
    <row r="280" customFormat="false" ht="15" hidden="false" customHeight="false" outlineLevel="0" collapsed="false">
      <c r="B280" s="125" t="str">
        <f aca="false">IF(269&gt;$I$4,"",269)</f>
        <v/>
      </c>
      <c r="C280" s="125" t="str">
        <f aca="false">IF($B280="","",INDEX('CARNET DE SOUDURE'!$B$7:$B$3006,MATCH(269,'CARNET DE SOUDURE'!$AT$7:$AT$3006,0)))</f>
        <v/>
      </c>
      <c r="D280" s="125" t="str">
        <f aca="false">IF($B280="","",INDEX('CARNET DE SOUDURE'!$E$7:$E$3006,MATCH(269,'CARNET DE SOUDURE'!$AT$7:$AT$3006,0)))</f>
        <v/>
      </c>
      <c r="E280" s="125" t="str">
        <f aca="false">IF($B280="","",INDEX('CARNET DE SOUDURE'!$D$7:$D$3006,MATCH(269,'CARNET DE SOUDURE'!$AT$7:$AT$3006,0)))</f>
        <v/>
      </c>
      <c r="F280" s="125" t="str">
        <f aca="false">IF($B280="","",INDEX('CARNET DE SOUDURE'!$R$7:$R$3006,MATCH(269,'CARNET DE SOUDURE'!$AT$7:$AT$3006,0))&amp;IF(INDEX('CARNET DE SOUDURE'!$S$7:$S$3006,MATCH(269,'CARNET DE SOUDURE'!$AT$7:$AT$3006,0))&lt;&gt;""," / "&amp;INDEX('CARNET DE SOUDURE'!$S$7:$S$3006,MATCH(269,'CARNET DE SOUDURE'!$AT$7:$AT$3006,0)),"")&amp;IF(INDEX('CARNET DE SOUDURE'!$T$7:$T$3006,MATCH(269,'CARNET DE SOUDURE'!$AT$7:$AT$3006,0))&lt;&gt;""," / "&amp;INDEX('CARNET DE SOUDURE'!$T$7:$T$3006,MATCH(269,'CARNET DE SOUDURE'!$AT$7:$AT$3006,0)),""))</f>
        <v/>
      </c>
      <c r="G280" s="126" t="str">
        <f aca="false">IF($B280="","",INDEX('CARNET DE SOUDURE'!$U$7:$U$3006,MATCH(269,'CARNET DE SOUDURE'!$AT$7:$AT$3006,0)))</f>
        <v/>
      </c>
      <c r="H280" s="127" t="str">
        <f aca="false">IF($B280="","",INDEX('CARNET DE SOUDURE'!$AQ$7:$AQ$3006,MATCH(269,'CARNET DE SOUDURE'!$AT$7:$AT$3006,0)))</f>
        <v/>
      </c>
      <c r="I280" s="128" t="str">
        <f aca="false">IF($B280="","",INDEX('CARNET DE SOUDURE'!$AO$7:$AO$3006,MATCH(269,'CARNET DE SOUDURE'!$AT$7:$AT$3006,0)))</f>
        <v/>
      </c>
      <c r="J280" s="128" t="str">
        <f aca="false">IF($B280="","",INDEX('CARNET DE SOUDURE'!$AR$7:$AR$3006,MATCH(269,'CARNET DE SOUDURE'!$AT$7:$AT$3006,0)))</f>
        <v/>
      </c>
      <c r="K280" s="129"/>
      <c r="L280" s="129"/>
    </row>
    <row r="281" customFormat="false" ht="15" hidden="false" customHeight="false" outlineLevel="0" collapsed="false">
      <c r="B281" s="130" t="str">
        <f aca="false">IF(270&gt;$I$4,"",270)</f>
        <v/>
      </c>
      <c r="C281" s="130" t="str">
        <f aca="false">IF($B281="","",INDEX('CARNET DE SOUDURE'!$B$7:$B$3006,MATCH(270,'CARNET DE SOUDURE'!$AT$7:$AT$3006,0)))</f>
        <v/>
      </c>
      <c r="D281" s="130" t="str">
        <f aca="false">IF($B281="","",INDEX('CARNET DE SOUDURE'!$E$7:$E$3006,MATCH(270,'CARNET DE SOUDURE'!$AT$7:$AT$3006,0)))</f>
        <v/>
      </c>
      <c r="E281" s="130" t="str">
        <f aca="false">IF($B281="","",INDEX('CARNET DE SOUDURE'!$D$7:$D$3006,MATCH(270,'CARNET DE SOUDURE'!$AT$7:$AT$3006,0)))</f>
        <v/>
      </c>
      <c r="F281" s="130" t="str">
        <f aca="false">IF($B281="","",INDEX('CARNET DE SOUDURE'!$R$7:$R$3006,MATCH(270,'CARNET DE SOUDURE'!$AT$7:$AT$3006,0))&amp;IF(INDEX('CARNET DE SOUDURE'!$S$7:$S$3006,MATCH(270,'CARNET DE SOUDURE'!$AT$7:$AT$3006,0))&lt;&gt;""," / "&amp;INDEX('CARNET DE SOUDURE'!$S$7:$S$3006,MATCH(270,'CARNET DE SOUDURE'!$AT$7:$AT$3006,0)),"")&amp;IF(INDEX('CARNET DE SOUDURE'!$T$7:$T$3006,MATCH(270,'CARNET DE SOUDURE'!$AT$7:$AT$3006,0))&lt;&gt;""," / "&amp;INDEX('CARNET DE SOUDURE'!$T$7:$T$3006,MATCH(270,'CARNET DE SOUDURE'!$AT$7:$AT$3006,0)),""))</f>
        <v/>
      </c>
      <c r="G281" s="131" t="str">
        <f aca="false">IF($B281="","",INDEX('CARNET DE SOUDURE'!$U$7:$U$3006,MATCH(270,'CARNET DE SOUDURE'!$AT$7:$AT$3006,0)))</f>
        <v/>
      </c>
      <c r="H281" s="132" t="str">
        <f aca="false">IF($B281="","",INDEX('CARNET DE SOUDURE'!$AQ$7:$AQ$3006,MATCH(270,'CARNET DE SOUDURE'!$AT$7:$AT$3006,0)))</f>
        <v/>
      </c>
      <c r="I281" s="133" t="str">
        <f aca="false">IF($B281="","",INDEX('CARNET DE SOUDURE'!$AO$7:$AO$3006,MATCH(270,'CARNET DE SOUDURE'!$AT$7:$AT$3006,0)))</f>
        <v/>
      </c>
      <c r="J281" s="133" t="str">
        <f aca="false">IF($B281="","",INDEX('CARNET DE SOUDURE'!$AR$7:$AR$3006,MATCH(270,'CARNET DE SOUDURE'!$AT$7:$AT$3006,0)))</f>
        <v/>
      </c>
      <c r="K281" s="129"/>
      <c r="L281" s="129"/>
    </row>
    <row r="282" customFormat="false" ht="15" hidden="false" customHeight="false" outlineLevel="0" collapsed="false">
      <c r="B282" s="125" t="str">
        <f aca="false">IF(271&gt;$I$4,"",271)</f>
        <v/>
      </c>
      <c r="C282" s="125" t="str">
        <f aca="false">IF($B282="","",INDEX('CARNET DE SOUDURE'!$B$7:$B$3006,MATCH(271,'CARNET DE SOUDURE'!$AT$7:$AT$3006,0)))</f>
        <v/>
      </c>
      <c r="D282" s="125" t="str">
        <f aca="false">IF($B282="","",INDEX('CARNET DE SOUDURE'!$E$7:$E$3006,MATCH(271,'CARNET DE SOUDURE'!$AT$7:$AT$3006,0)))</f>
        <v/>
      </c>
      <c r="E282" s="125" t="str">
        <f aca="false">IF($B282="","",INDEX('CARNET DE SOUDURE'!$D$7:$D$3006,MATCH(271,'CARNET DE SOUDURE'!$AT$7:$AT$3006,0)))</f>
        <v/>
      </c>
      <c r="F282" s="125" t="str">
        <f aca="false">IF($B282="","",INDEX('CARNET DE SOUDURE'!$R$7:$R$3006,MATCH(271,'CARNET DE SOUDURE'!$AT$7:$AT$3006,0))&amp;IF(INDEX('CARNET DE SOUDURE'!$S$7:$S$3006,MATCH(271,'CARNET DE SOUDURE'!$AT$7:$AT$3006,0))&lt;&gt;""," / "&amp;INDEX('CARNET DE SOUDURE'!$S$7:$S$3006,MATCH(271,'CARNET DE SOUDURE'!$AT$7:$AT$3006,0)),"")&amp;IF(INDEX('CARNET DE SOUDURE'!$T$7:$T$3006,MATCH(271,'CARNET DE SOUDURE'!$AT$7:$AT$3006,0))&lt;&gt;""," / "&amp;INDEX('CARNET DE SOUDURE'!$T$7:$T$3006,MATCH(271,'CARNET DE SOUDURE'!$AT$7:$AT$3006,0)),""))</f>
        <v/>
      </c>
      <c r="G282" s="126" t="str">
        <f aca="false">IF($B282="","",INDEX('CARNET DE SOUDURE'!$U$7:$U$3006,MATCH(271,'CARNET DE SOUDURE'!$AT$7:$AT$3006,0)))</f>
        <v/>
      </c>
      <c r="H282" s="127" t="str">
        <f aca="false">IF($B282="","",INDEX('CARNET DE SOUDURE'!$AQ$7:$AQ$3006,MATCH(271,'CARNET DE SOUDURE'!$AT$7:$AT$3006,0)))</f>
        <v/>
      </c>
      <c r="I282" s="128" t="str">
        <f aca="false">IF($B282="","",INDEX('CARNET DE SOUDURE'!$AO$7:$AO$3006,MATCH(271,'CARNET DE SOUDURE'!$AT$7:$AT$3006,0)))</f>
        <v/>
      </c>
      <c r="J282" s="128" t="str">
        <f aca="false">IF($B282="","",INDEX('CARNET DE SOUDURE'!$AR$7:$AR$3006,MATCH(271,'CARNET DE SOUDURE'!$AT$7:$AT$3006,0)))</f>
        <v/>
      </c>
      <c r="K282" s="129"/>
      <c r="L282" s="129"/>
    </row>
    <row r="283" customFormat="false" ht="15" hidden="false" customHeight="false" outlineLevel="0" collapsed="false">
      <c r="B283" s="130" t="str">
        <f aca="false">IF(272&gt;$I$4,"",272)</f>
        <v/>
      </c>
      <c r="C283" s="130" t="str">
        <f aca="false">IF($B283="","",INDEX('CARNET DE SOUDURE'!$B$7:$B$3006,MATCH(272,'CARNET DE SOUDURE'!$AT$7:$AT$3006,0)))</f>
        <v/>
      </c>
      <c r="D283" s="130" t="str">
        <f aca="false">IF($B283="","",INDEX('CARNET DE SOUDURE'!$E$7:$E$3006,MATCH(272,'CARNET DE SOUDURE'!$AT$7:$AT$3006,0)))</f>
        <v/>
      </c>
      <c r="E283" s="130" t="str">
        <f aca="false">IF($B283="","",INDEX('CARNET DE SOUDURE'!$D$7:$D$3006,MATCH(272,'CARNET DE SOUDURE'!$AT$7:$AT$3006,0)))</f>
        <v/>
      </c>
      <c r="F283" s="130" t="str">
        <f aca="false">IF($B283="","",INDEX('CARNET DE SOUDURE'!$R$7:$R$3006,MATCH(272,'CARNET DE SOUDURE'!$AT$7:$AT$3006,0))&amp;IF(INDEX('CARNET DE SOUDURE'!$S$7:$S$3006,MATCH(272,'CARNET DE SOUDURE'!$AT$7:$AT$3006,0))&lt;&gt;""," / "&amp;INDEX('CARNET DE SOUDURE'!$S$7:$S$3006,MATCH(272,'CARNET DE SOUDURE'!$AT$7:$AT$3006,0)),"")&amp;IF(INDEX('CARNET DE SOUDURE'!$T$7:$T$3006,MATCH(272,'CARNET DE SOUDURE'!$AT$7:$AT$3006,0))&lt;&gt;""," / "&amp;INDEX('CARNET DE SOUDURE'!$T$7:$T$3006,MATCH(272,'CARNET DE SOUDURE'!$AT$7:$AT$3006,0)),""))</f>
        <v/>
      </c>
      <c r="G283" s="131" t="str">
        <f aca="false">IF($B283="","",INDEX('CARNET DE SOUDURE'!$U$7:$U$3006,MATCH(272,'CARNET DE SOUDURE'!$AT$7:$AT$3006,0)))</f>
        <v/>
      </c>
      <c r="H283" s="132" t="str">
        <f aca="false">IF($B283="","",INDEX('CARNET DE SOUDURE'!$AQ$7:$AQ$3006,MATCH(272,'CARNET DE SOUDURE'!$AT$7:$AT$3006,0)))</f>
        <v/>
      </c>
      <c r="I283" s="133" t="str">
        <f aca="false">IF($B283="","",INDEX('CARNET DE SOUDURE'!$AO$7:$AO$3006,MATCH(272,'CARNET DE SOUDURE'!$AT$7:$AT$3006,0)))</f>
        <v/>
      </c>
      <c r="J283" s="133" t="str">
        <f aca="false">IF($B283="","",INDEX('CARNET DE SOUDURE'!$AR$7:$AR$3006,MATCH(272,'CARNET DE SOUDURE'!$AT$7:$AT$3006,0)))</f>
        <v/>
      </c>
      <c r="K283" s="129"/>
      <c r="L283" s="129"/>
    </row>
    <row r="284" customFormat="false" ht="15" hidden="false" customHeight="false" outlineLevel="0" collapsed="false">
      <c r="B284" s="125" t="str">
        <f aca="false">IF(273&gt;$I$4,"",273)</f>
        <v/>
      </c>
      <c r="C284" s="125" t="str">
        <f aca="false">IF($B284="","",INDEX('CARNET DE SOUDURE'!$B$7:$B$3006,MATCH(273,'CARNET DE SOUDURE'!$AT$7:$AT$3006,0)))</f>
        <v/>
      </c>
      <c r="D284" s="125" t="str">
        <f aca="false">IF($B284="","",INDEX('CARNET DE SOUDURE'!$E$7:$E$3006,MATCH(273,'CARNET DE SOUDURE'!$AT$7:$AT$3006,0)))</f>
        <v/>
      </c>
      <c r="E284" s="125" t="str">
        <f aca="false">IF($B284="","",INDEX('CARNET DE SOUDURE'!$D$7:$D$3006,MATCH(273,'CARNET DE SOUDURE'!$AT$7:$AT$3006,0)))</f>
        <v/>
      </c>
      <c r="F284" s="125" t="str">
        <f aca="false">IF($B284="","",INDEX('CARNET DE SOUDURE'!$R$7:$R$3006,MATCH(273,'CARNET DE SOUDURE'!$AT$7:$AT$3006,0))&amp;IF(INDEX('CARNET DE SOUDURE'!$S$7:$S$3006,MATCH(273,'CARNET DE SOUDURE'!$AT$7:$AT$3006,0))&lt;&gt;""," / "&amp;INDEX('CARNET DE SOUDURE'!$S$7:$S$3006,MATCH(273,'CARNET DE SOUDURE'!$AT$7:$AT$3006,0)),"")&amp;IF(INDEX('CARNET DE SOUDURE'!$T$7:$T$3006,MATCH(273,'CARNET DE SOUDURE'!$AT$7:$AT$3006,0))&lt;&gt;""," / "&amp;INDEX('CARNET DE SOUDURE'!$T$7:$T$3006,MATCH(273,'CARNET DE SOUDURE'!$AT$7:$AT$3006,0)),""))</f>
        <v/>
      </c>
      <c r="G284" s="126" t="str">
        <f aca="false">IF($B284="","",INDEX('CARNET DE SOUDURE'!$U$7:$U$3006,MATCH(273,'CARNET DE SOUDURE'!$AT$7:$AT$3006,0)))</f>
        <v/>
      </c>
      <c r="H284" s="127" t="str">
        <f aca="false">IF($B284="","",INDEX('CARNET DE SOUDURE'!$AQ$7:$AQ$3006,MATCH(273,'CARNET DE SOUDURE'!$AT$7:$AT$3006,0)))</f>
        <v/>
      </c>
      <c r="I284" s="128" t="str">
        <f aca="false">IF($B284="","",INDEX('CARNET DE SOUDURE'!$AO$7:$AO$3006,MATCH(273,'CARNET DE SOUDURE'!$AT$7:$AT$3006,0)))</f>
        <v/>
      </c>
      <c r="J284" s="128" t="str">
        <f aca="false">IF($B284="","",INDEX('CARNET DE SOUDURE'!$AR$7:$AR$3006,MATCH(273,'CARNET DE SOUDURE'!$AT$7:$AT$3006,0)))</f>
        <v/>
      </c>
      <c r="K284" s="129"/>
      <c r="L284" s="129"/>
    </row>
    <row r="285" customFormat="false" ht="15" hidden="false" customHeight="false" outlineLevel="0" collapsed="false">
      <c r="B285" s="130" t="str">
        <f aca="false">IF(274&gt;$I$4,"",274)</f>
        <v/>
      </c>
      <c r="C285" s="130" t="str">
        <f aca="false">IF($B285="","",INDEX('CARNET DE SOUDURE'!$B$7:$B$3006,MATCH(274,'CARNET DE SOUDURE'!$AT$7:$AT$3006,0)))</f>
        <v/>
      </c>
      <c r="D285" s="130" t="str">
        <f aca="false">IF($B285="","",INDEX('CARNET DE SOUDURE'!$E$7:$E$3006,MATCH(274,'CARNET DE SOUDURE'!$AT$7:$AT$3006,0)))</f>
        <v/>
      </c>
      <c r="E285" s="130" t="str">
        <f aca="false">IF($B285="","",INDEX('CARNET DE SOUDURE'!$D$7:$D$3006,MATCH(274,'CARNET DE SOUDURE'!$AT$7:$AT$3006,0)))</f>
        <v/>
      </c>
      <c r="F285" s="130" t="str">
        <f aca="false">IF($B285="","",INDEX('CARNET DE SOUDURE'!$R$7:$R$3006,MATCH(274,'CARNET DE SOUDURE'!$AT$7:$AT$3006,0))&amp;IF(INDEX('CARNET DE SOUDURE'!$S$7:$S$3006,MATCH(274,'CARNET DE SOUDURE'!$AT$7:$AT$3006,0))&lt;&gt;""," / "&amp;INDEX('CARNET DE SOUDURE'!$S$7:$S$3006,MATCH(274,'CARNET DE SOUDURE'!$AT$7:$AT$3006,0)),"")&amp;IF(INDEX('CARNET DE SOUDURE'!$T$7:$T$3006,MATCH(274,'CARNET DE SOUDURE'!$AT$7:$AT$3006,0))&lt;&gt;""," / "&amp;INDEX('CARNET DE SOUDURE'!$T$7:$T$3006,MATCH(274,'CARNET DE SOUDURE'!$AT$7:$AT$3006,0)),""))</f>
        <v/>
      </c>
      <c r="G285" s="131" t="str">
        <f aca="false">IF($B285="","",INDEX('CARNET DE SOUDURE'!$U$7:$U$3006,MATCH(274,'CARNET DE SOUDURE'!$AT$7:$AT$3006,0)))</f>
        <v/>
      </c>
      <c r="H285" s="132" t="str">
        <f aca="false">IF($B285="","",INDEX('CARNET DE SOUDURE'!$AQ$7:$AQ$3006,MATCH(274,'CARNET DE SOUDURE'!$AT$7:$AT$3006,0)))</f>
        <v/>
      </c>
      <c r="I285" s="133" t="str">
        <f aca="false">IF($B285="","",INDEX('CARNET DE SOUDURE'!$AO$7:$AO$3006,MATCH(274,'CARNET DE SOUDURE'!$AT$7:$AT$3006,0)))</f>
        <v/>
      </c>
      <c r="J285" s="133" t="str">
        <f aca="false">IF($B285="","",INDEX('CARNET DE SOUDURE'!$AR$7:$AR$3006,MATCH(274,'CARNET DE SOUDURE'!$AT$7:$AT$3006,0)))</f>
        <v/>
      </c>
      <c r="K285" s="129"/>
      <c r="L285" s="129"/>
    </row>
    <row r="286" customFormat="false" ht="15" hidden="false" customHeight="false" outlineLevel="0" collapsed="false">
      <c r="B286" s="125" t="str">
        <f aca="false">IF(275&gt;$I$4,"",275)</f>
        <v/>
      </c>
      <c r="C286" s="125" t="str">
        <f aca="false">IF($B286="","",INDEX('CARNET DE SOUDURE'!$B$7:$B$3006,MATCH(275,'CARNET DE SOUDURE'!$AT$7:$AT$3006,0)))</f>
        <v/>
      </c>
      <c r="D286" s="125" t="str">
        <f aca="false">IF($B286="","",INDEX('CARNET DE SOUDURE'!$E$7:$E$3006,MATCH(275,'CARNET DE SOUDURE'!$AT$7:$AT$3006,0)))</f>
        <v/>
      </c>
      <c r="E286" s="125" t="str">
        <f aca="false">IF($B286="","",INDEX('CARNET DE SOUDURE'!$D$7:$D$3006,MATCH(275,'CARNET DE SOUDURE'!$AT$7:$AT$3006,0)))</f>
        <v/>
      </c>
      <c r="F286" s="125" t="str">
        <f aca="false">IF($B286="","",INDEX('CARNET DE SOUDURE'!$R$7:$R$3006,MATCH(275,'CARNET DE SOUDURE'!$AT$7:$AT$3006,0))&amp;IF(INDEX('CARNET DE SOUDURE'!$S$7:$S$3006,MATCH(275,'CARNET DE SOUDURE'!$AT$7:$AT$3006,0))&lt;&gt;""," / "&amp;INDEX('CARNET DE SOUDURE'!$S$7:$S$3006,MATCH(275,'CARNET DE SOUDURE'!$AT$7:$AT$3006,0)),"")&amp;IF(INDEX('CARNET DE SOUDURE'!$T$7:$T$3006,MATCH(275,'CARNET DE SOUDURE'!$AT$7:$AT$3006,0))&lt;&gt;""," / "&amp;INDEX('CARNET DE SOUDURE'!$T$7:$T$3006,MATCH(275,'CARNET DE SOUDURE'!$AT$7:$AT$3006,0)),""))</f>
        <v/>
      </c>
      <c r="G286" s="126" t="str">
        <f aca="false">IF($B286="","",INDEX('CARNET DE SOUDURE'!$U$7:$U$3006,MATCH(275,'CARNET DE SOUDURE'!$AT$7:$AT$3006,0)))</f>
        <v/>
      </c>
      <c r="H286" s="127" t="str">
        <f aca="false">IF($B286="","",INDEX('CARNET DE SOUDURE'!$AQ$7:$AQ$3006,MATCH(275,'CARNET DE SOUDURE'!$AT$7:$AT$3006,0)))</f>
        <v/>
      </c>
      <c r="I286" s="128" t="str">
        <f aca="false">IF($B286="","",INDEX('CARNET DE SOUDURE'!$AO$7:$AO$3006,MATCH(275,'CARNET DE SOUDURE'!$AT$7:$AT$3006,0)))</f>
        <v/>
      </c>
      <c r="J286" s="128" t="str">
        <f aca="false">IF($B286="","",INDEX('CARNET DE SOUDURE'!$AR$7:$AR$3006,MATCH(275,'CARNET DE SOUDURE'!$AT$7:$AT$3006,0)))</f>
        <v/>
      </c>
      <c r="K286" s="129"/>
      <c r="L286" s="129"/>
    </row>
    <row r="287" customFormat="false" ht="15" hidden="false" customHeight="false" outlineLevel="0" collapsed="false">
      <c r="B287" s="130" t="str">
        <f aca="false">IF(276&gt;$I$4,"",276)</f>
        <v/>
      </c>
      <c r="C287" s="130" t="str">
        <f aca="false">IF($B287="","",INDEX('CARNET DE SOUDURE'!$B$7:$B$3006,MATCH(276,'CARNET DE SOUDURE'!$AT$7:$AT$3006,0)))</f>
        <v/>
      </c>
      <c r="D287" s="130" t="str">
        <f aca="false">IF($B287="","",INDEX('CARNET DE SOUDURE'!$E$7:$E$3006,MATCH(276,'CARNET DE SOUDURE'!$AT$7:$AT$3006,0)))</f>
        <v/>
      </c>
      <c r="E287" s="130" t="str">
        <f aca="false">IF($B287="","",INDEX('CARNET DE SOUDURE'!$D$7:$D$3006,MATCH(276,'CARNET DE SOUDURE'!$AT$7:$AT$3006,0)))</f>
        <v/>
      </c>
      <c r="F287" s="130" t="str">
        <f aca="false">IF($B287="","",INDEX('CARNET DE SOUDURE'!$R$7:$R$3006,MATCH(276,'CARNET DE SOUDURE'!$AT$7:$AT$3006,0))&amp;IF(INDEX('CARNET DE SOUDURE'!$S$7:$S$3006,MATCH(276,'CARNET DE SOUDURE'!$AT$7:$AT$3006,0))&lt;&gt;""," / "&amp;INDEX('CARNET DE SOUDURE'!$S$7:$S$3006,MATCH(276,'CARNET DE SOUDURE'!$AT$7:$AT$3006,0)),"")&amp;IF(INDEX('CARNET DE SOUDURE'!$T$7:$T$3006,MATCH(276,'CARNET DE SOUDURE'!$AT$7:$AT$3006,0))&lt;&gt;""," / "&amp;INDEX('CARNET DE SOUDURE'!$T$7:$T$3006,MATCH(276,'CARNET DE SOUDURE'!$AT$7:$AT$3006,0)),""))</f>
        <v/>
      </c>
      <c r="G287" s="131" t="str">
        <f aca="false">IF($B287="","",INDEX('CARNET DE SOUDURE'!$U$7:$U$3006,MATCH(276,'CARNET DE SOUDURE'!$AT$7:$AT$3006,0)))</f>
        <v/>
      </c>
      <c r="H287" s="132" t="str">
        <f aca="false">IF($B287="","",INDEX('CARNET DE SOUDURE'!$AQ$7:$AQ$3006,MATCH(276,'CARNET DE SOUDURE'!$AT$7:$AT$3006,0)))</f>
        <v/>
      </c>
      <c r="I287" s="133" t="str">
        <f aca="false">IF($B287="","",INDEX('CARNET DE SOUDURE'!$AO$7:$AO$3006,MATCH(276,'CARNET DE SOUDURE'!$AT$7:$AT$3006,0)))</f>
        <v/>
      </c>
      <c r="J287" s="133" t="str">
        <f aca="false">IF($B287="","",INDEX('CARNET DE SOUDURE'!$AR$7:$AR$3006,MATCH(276,'CARNET DE SOUDURE'!$AT$7:$AT$3006,0)))</f>
        <v/>
      </c>
      <c r="K287" s="129"/>
      <c r="L287" s="129"/>
    </row>
    <row r="288" customFormat="false" ht="15" hidden="false" customHeight="false" outlineLevel="0" collapsed="false">
      <c r="B288" s="125" t="str">
        <f aca="false">IF(277&gt;$I$4,"",277)</f>
        <v/>
      </c>
      <c r="C288" s="125" t="str">
        <f aca="false">IF($B288="","",INDEX('CARNET DE SOUDURE'!$B$7:$B$3006,MATCH(277,'CARNET DE SOUDURE'!$AT$7:$AT$3006,0)))</f>
        <v/>
      </c>
      <c r="D288" s="125" t="str">
        <f aca="false">IF($B288="","",INDEX('CARNET DE SOUDURE'!$E$7:$E$3006,MATCH(277,'CARNET DE SOUDURE'!$AT$7:$AT$3006,0)))</f>
        <v/>
      </c>
      <c r="E288" s="125" t="str">
        <f aca="false">IF($B288="","",INDEX('CARNET DE SOUDURE'!$D$7:$D$3006,MATCH(277,'CARNET DE SOUDURE'!$AT$7:$AT$3006,0)))</f>
        <v/>
      </c>
      <c r="F288" s="125" t="str">
        <f aca="false">IF($B288="","",INDEX('CARNET DE SOUDURE'!$R$7:$R$3006,MATCH(277,'CARNET DE SOUDURE'!$AT$7:$AT$3006,0))&amp;IF(INDEX('CARNET DE SOUDURE'!$S$7:$S$3006,MATCH(277,'CARNET DE SOUDURE'!$AT$7:$AT$3006,0))&lt;&gt;""," / "&amp;INDEX('CARNET DE SOUDURE'!$S$7:$S$3006,MATCH(277,'CARNET DE SOUDURE'!$AT$7:$AT$3006,0)),"")&amp;IF(INDEX('CARNET DE SOUDURE'!$T$7:$T$3006,MATCH(277,'CARNET DE SOUDURE'!$AT$7:$AT$3006,0))&lt;&gt;""," / "&amp;INDEX('CARNET DE SOUDURE'!$T$7:$T$3006,MATCH(277,'CARNET DE SOUDURE'!$AT$7:$AT$3006,0)),""))</f>
        <v/>
      </c>
      <c r="G288" s="126" t="str">
        <f aca="false">IF($B288="","",INDEX('CARNET DE SOUDURE'!$U$7:$U$3006,MATCH(277,'CARNET DE SOUDURE'!$AT$7:$AT$3006,0)))</f>
        <v/>
      </c>
      <c r="H288" s="127" t="str">
        <f aca="false">IF($B288="","",INDEX('CARNET DE SOUDURE'!$AQ$7:$AQ$3006,MATCH(277,'CARNET DE SOUDURE'!$AT$7:$AT$3006,0)))</f>
        <v/>
      </c>
      <c r="I288" s="128" t="str">
        <f aca="false">IF($B288="","",INDEX('CARNET DE SOUDURE'!$AO$7:$AO$3006,MATCH(277,'CARNET DE SOUDURE'!$AT$7:$AT$3006,0)))</f>
        <v/>
      </c>
      <c r="J288" s="128" t="str">
        <f aca="false">IF($B288="","",INDEX('CARNET DE SOUDURE'!$AR$7:$AR$3006,MATCH(277,'CARNET DE SOUDURE'!$AT$7:$AT$3006,0)))</f>
        <v/>
      </c>
      <c r="K288" s="129"/>
      <c r="L288" s="129"/>
    </row>
    <row r="289" customFormat="false" ht="15" hidden="false" customHeight="false" outlineLevel="0" collapsed="false">
      <c r="B289" s="130" t="str">
        <f aca="false">IF(278&gt;$I$4,"",278)</f>
        <v/>
      </c>
      <c r="C289" s="130" t="str">
        <f aca="false">IF($B289="","",INDEX('CARNET DE SOUDURE'!$B$7:$B$3006,MATCH(278,'CARNET DE SOUDURE'!$AT$7:$AT$3006,0)))</f>
        <v/>
      </c>
      <c r="D289" s="130" t="str">
        <f aca="false">IF($B289="","",INDEX('CARNET DE SOUDURE'!$E$7:$E$3006,MATCH(278,'CARNET DE SOUDURE'!$AT$7:$AT$3006,0)))</f>
        <v/>
      </c>
      <c r="E289" s="130" t="str">
        <f aca="false">IF($B289="","",INDEX('CARNET DE SOUDURE'!$D$7:$D$3006,MATCH(278,'CARNET DE SOUDURE'!$AT$7:$AT$3006,0)))</f>
        <v/>
      </c>
      <c r="F289" s="130" t="str">
        <f aca="false">IF($B289="","",INDEX('CARNET DE SOUDURE'!$R$7:$R$3006,MATCH(278,'CARNET DE SOUDURE'!$AT$7:$AT$3006,0))&amp;IF(INDEX('CARNET DE SOUDURE'!$S$7:$S$3006,MATCH(278,'CARNET DE SOUDURE'!$AT$7:$AT$3006,0))&lt;&gt;""," / "&amp;INDEX('CARNET DE SOUDURE'!$S$7:$S$3006,MATCH(278,'CARNET DE SOUDURE'!$AT$7:$AT$3006,0)),"")&amp;IF(INDEX('CARNET DE SOUDURE'!$T$7:$T$3006,MATCH(278,'CARNET DE SOUDURE'!$AT$7:$AT$3006,0))&lt;&gt;""," / "&amp;INDEX('CARNET DE SOUDURE'!$T$7:$T$3006,MATCH(278,'CARNET DE SOUDURE'!$AT$7:$AT$3006,0)),""))</f>
        <v/>
      </c>
      <c r="G289" s="131" t="str">
        <f aca="false">IF($B289="","",INDEX('CARNET DE SOUDURE'!$U$7:$U$3006,MATCH(278,'CARNET DE SOUDURE'!$AT$7:$AT$3006,0)))</f>
        <v/>
      </c>
      <c r="H289" s="132" t="str">
        <f aca="false">IF($B289="","",INDEX('CARNET DE SOUDURE'!$AQ$7:$AQ$3006,MATCH(278,'CARNET DE SOUDURE'!$AT$7:$AT$3006,0)))</f>
        <v/>
      </c>
      <c r="I289" s="133" t="str">
        <f aca="false">IF($B289="","",INDEX('CARNET DE SOUDURE'!$AO$7:$AO$3006,MATCH(278,'CARNET DE SOUDURE'!$AT$7:$AT$3006,0)))</f>
        <v/>
      </c>
      <c r="J289" s="133" t="str">
        <f aca="false">IF($B289="","",INDEX('CARNET DE SOUDURE'!$AR$7:$AR$3006,MATCH(278,'CARNET DE SOUDURE'!$AT$7:$AT$3006,0)))</f>
        <v/>
      </c>
      <c r="K289" s="129"/>
      <c r="L289" s="129"/>
    </row>
    <row r="290" customFormat="false" ht="15" hidden="false" customHeight="false" outlineLevel="0" collapsed="false">
      <c r="B290" s="125" t="str">
        <f aca="false">IF(279&gt;$I$4,"",279)</f>
        <v/>
      </c>
      <c r="C290" s="125" t="str">
        <f aca="false">IF($B290="","",INDEX('CARNET DE SOUDURE'!$B$7:$B$3006,MATCH(279,'CARNET DE SOUDURE'!$AT$7:$AT$3006,0)))</f>
        <v/>
      </c>
      <c r="D290" s="125" t="str">
        <f aca="false">IF($B290="","",INDEX('CARNET DE SOUDURE'!$E$7:$E$3006,MATCH(279,'CARNET DE SOUDURE'!$AT$7:$AT$3006,0)))</f>
        <v/>
      </c>
      <c r="E290" s="125" t="str">
        <f aca="false">IF($B290="","",INDEX('CARNET DE SOUDURE'!$D$7:$D$3006,MATCH(279,'CARNET DE SOUDURE'!$AT$7:$AT$3006,0)))</f>
        <v/>
      </c>
      <c r="F290" s="125" t="str">
        <f aca="false">IF($B290="","",INDEX('CARNET DE SOUDURE'!$R$7:$R$3006,MATCH(279,'CARNET DE SOUDURE'!$AT$7:$AT$3006,0))&amp;IF(INDEX('CARNET DE SOUDURE'!$S$7:$S$3006,MATCH(279,'CARNET DE SOUDURE'!$AT$7:$AT$3006,0))&lt;&gt;""," / "&amp;INDEX('CARNET DE SOUDURE'!$S$7:$S$3006,MATCH(279,'CARNET DE SOUDURE'!$AT$7:$AT$3006,0)),"")&amp;IF(INDEX('CARNET DE SOUDURE'!$T$7:$T$3006,MATCH(279,'CARNET DE SOUDURE'!$AT$7:$AT$3006,0))&lt;&gt;""," / "&amp;INDEX('CARNET DE SOUDURE'!$T$7:$T$3006,MATCH(279,'CARNET DE SOUDURE'!$AT$7:$AT$3006,0)),""))</f>
        <v/>
      </c>
      <c r="G290" s="126" t="str">
        <f aca="false">IF($B290="","",INDEX('CARNET DE SOUDURE'!$U$7:$U$3006,MATCH(279,'CARNET DE SOUDURE'!$AT$7:$AT$3006,0)))</f>
        <v/>
      </c>
      <c r="H290" s="127" t="str">
        <f aca="false">IF($B290="","",INDEX('CARNET DE SOUDURE'!$AQ$7:$AQ$3006,MATCH(279,'CARNET DE SOUDURE'!$AT$7:$AT$3006,0)))</f>
        <v/>
      </c>
      <c r="I290" s="128" t="str">
        <f aca="false">IF($B290="","",INDEX('CARNET DE SOUDURE'!$AO$7:$AO$3006,MATCH(279,'CARNET DE SOUDURE'!$AT$7:$AT$3006,0)))</f>
        <v/>
      </c>
      <c r="J290" s="128" t="str">
        <f aca="false">IF($B290="","",INDEX('CARNET DE SOUDURE'!$AR$7:$AR$3006,MATCH(279,'CARNET DE SOUDURE'!$AT$7:$AT$3006,0)))</f>
        <v/>
      </c>
      <c r="K290" s="129"/>
      <c r="L290" s="129"/>
    </row>
    <row r="291" customFormat="false" ht="15" hidden="false" customHeight="false" outlineLevel="0" collapsed="false">
      <c r="B291" s="130" t="str">
        <f aca="false">IF(280&gt;$I$4,"",280)</f>
        <v/>
      </c>
      <c r="C291" s="130" t="str">
        <f aca="false">IF($B291="","",INDEX('CARNET DE SOUDURE'!$B$7:$B$3006,MATCH(280,'CARNET DE SOUDURE'!$AT$7:$AT$3006,0)))</f>
        <v/>
      </c>
      <c r="D291" s="130" t="str">
        <f aca="false">IF($B291="","",INDEX('CARNET DE SOUDURE'!$E$7:$E$3006,MATCH(280,'CARNET DE SOUDURE'!$AT$7:$AT$3006,0)))</f>
        <v/>
      </c>
      <c r="E291" s="130" t="str">
        <f aca="false">IF($B291="","",INDEX('CARNET DE SOUDURE'!$D$7:$D$3006,MATCH(280,'CARNET DE SOUDURE'!$AT$7:$AT$3006,0)))</f>
        <v/>
      </c>
      <c r="F291" s="130" t="str">
        <f aca="false">IF($B291="","",INDEX('CARNET DE SOUDURE'!$R$7:$R$3006,MATCH(280,'CARNET DE SOUDURE'!$AT$7:$AT$3006,0))&amp;IF(INDEX('CARNET DE SOUDURE'!$S$7:$S$3006,MATCH(280,'CARNET DE SOUDURE'!$AT$7:$AT$3006,0))&lt;&gt;""," / "&amp;INDEX('CARNET DE SOUDURE'!$S$7:$S$3006,MATCH(280,'CARNET DE SOUDURE'!$AT$7:$AT$3006,0)),"")&amp;IF(INDEX('CARNET DE SOUDURE'!$T$7:$T$3006,MATCH(280,'CARNET DE SOUDURE'!$AT$7:$AT$3006,0))&lt;&gt;""," / "&amp;INDEX('CARNET DE SOUDURE'!$T$7:$T$3006,MATCH(280,'CARNET DE SOUDURE'!$AT$7:$AT$3006,0)),""))</f>
        <v/>
      </c>
      <c r="G291" s="131" t="str">
        <f aca="false">IF($B291="","",INDEX('CARNET DE SOUDURE'!$U$7:$U$3006,MATCH(280,'CARNET DE SOUDURE'!$AT$7:$AT$3006,0)))</f>
        <v/>
      </c>
      <c r="H291" s="132" t="str">
        <f aca="false">IF($B291="","",INDEX('CARNET DE SOUDURE'!$AQ$7:$AQ$3006,MATCH(280,'CARNET DE SOUDURE'!$AT$7:$AT$3006,0)))</f>
        <v/>
      </c>
      <c r="I291" s="133" t="str">
        <f aca="false">IF($B291="","",INDEX('CARNET DE SOUDURE'!$AO$7:$AO$3006,MATCH(280,'CARNET DE SOUDURE'!$AT$7:$AT$3006,0)))</f>
        <v/>
      </c>
      <c r="J291" s="133" t="str">
        <f aca="false">IF($B291="","",INDEX('CARNET DE SOUDURE'!$AR$7:$AR$3006,MATCH(280,'CARNET DE SOUDURE'!$AT$7:$AT$3006,0)))</f>
        <v/>
      </c>
      <c r="K291" s="129"/>
      <c r="L291" s="129"/>
    </row>
    <row r="292" customFormat="false" ht="15" hidden="false" customHeight="false" outlineLevel="0" collapsed="false">
      <c r="B292" s="125" t="str">
        <f aca="false">IF(281&gt;$I$4,"",281)</f>
        <v/>
      </c>
      <c r="C292" s="125" t="str">
        <f aca="false">IF($B292="","",INDEX('CARNET DE SOUDURE'!$B$7:$B$3006,MATCH(281,'CARNET DE SOUDURE'!$AT$7:$AT$3006,0)))</f>
        <v/>
      </c>
      <c r="D292" s="125" t="str">
        <f aca="false">IF($B292="","",INDEX('CARNET DE SOUDURE'!$E$7:$E$3006,MATCH(281,'CARNET DE SOUDURE'!$AT$7:$AT$3006,0)))</f>
        <v/>
      </c>
      <c r="E292" s="125" t="str">
        <f aca="false">IF($B292="","",INDEX('CARNET DE SOUDURE'!$D$7:$D$3006,MATCH(281,'CARNET DE SOUDURE'!$AT$7:$AT$3006,0)))</f>
        <v/>
      </c>
      <c r="F292" s="125" t="str">
        <f aca="false">IF($B292="","",INDEX('CARNET DE SOUDURE'!$R$7:$R$3006,MATCH(281,'CARNET DE SOUDURE'!$AT$7:$AT$3006,0))&amp;IF(INDEX('CARNET DE SOUDURE'!$S$7:$S$3006,MATCH(281,'CARNET DE SOUDURE'!$AT$7:$AT$3006,0))&lt;&gt;""," / "&amp;INDEX('CARNET DE SOUDURE'!$S$7:$S$3006,MATCH(281,'CARNET DE SOUDURE'!$AT$7:$AT$3006,0)),"")&amp;IF(INDEX('CARNET DE SOUDURE'!$T$7:$T$3006,MATCH(281,'CARNET DE SOUDURE'!$AT$7:$AT$3006,0))&lt;&gt;""," / "&amp;INDEX('CARNET DE SOUDURE'!$T$7:$T$3006,MATCH(281,'CARNET DE SOUDURE'!$AT$7:$AT$3006,0)),""))</f>
        <v/>
      </c>
      <c r="G292" s="126" t="str">
        <f aca="false">IF($B292="","",INDEX('CARNET DE SOUDURE'!$U$7:$U$3006,MATCH(281,'CARNET DE SOUDURE'!$AT$7:$AT$3006,0)))</f>
        <v/>
      </c>
      <c r="H292" s="127" t="str">
        <f aca="false">IF($B292="","",INDEX('CARNET DE SOUDURE'!$AQ$7:$AQ$3006,MATCH(281,'CARNET DE SOUDURE'!$AT$7:$AT$3006,0)))</f>
        <v/>
      </c>
      <c r="I292" s="128" t="str">
        <f aca="false">IF($B292="","",INDEX('CARNET DE SOUDURE'!$AO$7:$AO$3006,MATCH(281,'CARNET DE SOUDURE'!$AT$7:$AT$3006,0)))</f>
        <v/>
      </c>
      <c r="J292" s="128" t="str">
        <f aca="false">IF($B292="","",INDEX('CARNET DE SOUDURE'!$AR$7:$AR$3006,MATCH(281,'CARNET DE SOUDURE'!$AT$7:$AT$3006,0)))</f>
        <v/>
      </c>
      <c r="K292" s="129"/>
      <c r="L292" s="129"/>
    </row>
    <row r="293" customFormat="false" ht="15" hidden="false" customHeight="false" outlineLevel="0" collapsed="false">
      <c r="B293" s="130" t="str">
        <f aca="false">IF(282&gt;$I$4,"",282)</f>
        <v/>
      </c>
      <c r="C293" s="130" t="str">
        <f aca="false">IF($B293="","",INDEX('CARNET DE SOUDURE'!$B$7:$B$3006,MATCH(282,'CARNET DE SOUDURE'!$AT$7:$AT$3006,0)))</f>
        <v/>
      </c>
      <c r="D293" s="130" t="str">
        <f aca="false">IF($B293="","",INDEX('CARNET DE SOUDURE'!$E$7:$E$3006,MATCH(282,'CARNET DE SOUDURE'!$AT$7:$AT$3006,0)))</f>
        <v/>
      </c>
      <c r="E293" s="130" t="str">
        <f aca="false">IF($B293="","",INDEX('CARNET DE SOUDURE'!$D$7:$D$3006,MATCH(282,'CARNET DE SOUDURE'!$AT$7:$AT$3006,0)))</f>
        <v/>
      </c>
      <c r="F293" s="130" t="str">
        <f aca="false">IF($B293="","",INDEX('CARNET DE SOUDURE'!$R$7:$R$3006,MATCH(282,'CARNET DE SOUDURE'!$AT$7:$AT$3006,0))&amp;IF(INDEX('CARNET DE SOUDURE'!$S$7:$S$3006,MATCH(282,'CARNET DE SOUDURE'!$AT$7:$AT$3006,0))&lt;&gt;""," / "&amp;INDEX('CARNET DE SOUDURE'!$S$7:$S$3006,MATCH(282,'CARNET DE SOUDURE'!$AT$7:$AT$3006,0)),"")&amp;IF(INDEX('CARNET DE SOUDURE'!$T$7:$T$3006,MATCH(282,'CARNET DE SOUDURE'!$AT$7:$AT$3006,0))&lt;&gt;""," / "&amp;INDEX('CARNET DE SOUDURE'!$T$7:$T$3006,MATCH(282,'CARNET DE SOUDURE'!$AT$7:$AT$3006,0)),""))</f>
        <v/>
      </c>
      <c r="G293" s="131" t="str">
        <f aca="false">IF($B293="","",INDEX('CARNET DE SOUDURE'!$U$7:$U$3006,MATCH(282,'CARNET DE SOUDURE'!$AT$7:$AT$3006,0)))</f>
        <v/>
      </c>
      <c r="H293" s="132" t="str">
        <f aca="false">IF($B293="","",INDEX('CARNET DE SOUDURE'!$AQ$7:$AQ$3006,MATCH(282,'CARNET DE SOUDURE'!$AT$7:$AT$3006,0)))</f>
        <v/>
      </c>
      <c r="I293" s="133" t="str">
        <f aca="false">IF($B293="","",INDEX('CARNET DE SOUDURE'!$AO$7:$AO$3006,MATCH(282,'CARNET DE SOUDURE'!$AT$7:$AT$3006,0)))</f>
        <v/>
      </c>
      <c r="J293" s="133" t="str">
        <f aca="false">IF($B293="","",INDEX('CARNET DE SOUDURE'!$AR$7:$AR$3006,MATCH(282,'CARNET DE SOUDURE'!$AT$7:$AT$3006,0)))</f>
        <v/>
      </c>
      <c r="K293" s="129"/>
      <c r="L293" s="129"/>
    </row>
    <row r="294" customFormat="false" ht="15" hidden="false" customHeight="false" outlineLevel="0" collapsed="false">
      <c r="B294" s="125" t="str">
        <f aca="false">IF(283&gt;$I$4,"",283)</f>
        <v/>
      </c>
      <c r="C294" s="125" t="str">
        <f aca="false">IF($B294="","",INDEX('CARNET DE SOUDURE'!$B$7:$B$3006,MATCH(283,'CARNET DE SOUDURE'!$AT$7:$AT$3006,0)))</f>
        <v/>
      </c>
      <c r="D294" s="125" t="str">
        <f aca="false">IF($B294="","",INDEX('CARNET DE SOUDURE'!$E$7:$E$3006,MATCH(283,'CARNET DE SOUDURE'!$AT$7:$AT$3006,0)))</f>
        <v/>
      </c>
      <c r="E294" s="125" t="str">
        <f aca="false">IF($B294="","",INDEX('CARNET DE SOUDURE'!$D$7:$D$3006,MATCH(283,'CARNET DE SOUDURE'!$AT$7:$AT$3006,0)))</f>
        <v/>
      </c>
      <c r="F294" s="125" t="str">
        <f aca="false">IF($B294="","",INDEX('CARNET DE SOUDURE'!$R$7:$R$3006,MATCH(283,'CARNET DE SOUDURE'!$AT$7:$AT$3006,0))&amp;IF(INDEX('CARNET DE SOUDURE'!$S$7:$S$3006,MATCH(283,'CARNET DE SOUDURE'!$AT$7:$AT$3006,0))&lt;&gt;""," / "&amp;INDEX('CARNET DE SOUDURE'!$S$7:$S$3006,MATCH(283,'CARNET DE SOUDURE'!$AT$7:$AT$3006,0)),"")&amp;IF(INDEX('CARNET DE SOUDURE'!$T$7:$T$3006,MATCH(283,'CARNET DE SOUDURE'!$AT$7:$AT$3006,0))&lt;&gt;""," / "&amp;INDEX('CARNET DE SOUDURE'!$T$7:$T$3006,MATCH(283,'CARNET DE SOUDURE'!$AT$7:$AT$3006,0)),""))</f>
        <v/>
      </c>
      <c r="G294" s="126" t="str">
        <f aca="false">IF($B294="","",INDEX('CARNET DE SOUDURE'!$U$7:$U$3006,MATCH(283,'CARNET DE SOUDURE'!$AT$7:$AT$3006,0)))</f>
        <v/>
      </c>
      <c r="H294" s="127" t="str">
        <f aca="false">IF($B294="","",INDEX('CARNET DE SOUDURE'!$AQ$7:$AQ$3006,MATCH(283,'CARNET DE SOUDURE'!$AT$7:$AT$3006,0)))</f>
        <v/>
      </c>
      <c r="I294" s="128" t="str">
        <f aca="false">IF($B294="","",INDEX('CARNET DE SOUDURE'!$AO$7:$AO$3006,MATCH(283,'CARNET DE SOUDURE'!$AT$7:$AT$3006,0)))</f>
        <v/>
      </c>
      <c r="J294" s="128" t="str">
        <f aca="false">IF($B294="","",INDEX('CARNET DE SOUDURE'!$AR$7:$AR$3006,MATCH(283,'CARNET DE SOUDURE'!$AT$7:$AT$3006,0)))</f>
        <v/>
      </c>
      <c r="K294" s="129"/>
      <c r="L294" s="129"/>
    </row>
    <row r="295" customFormat="false" ht="15" hidden="false" customHeight="false" outlineLevel="0" collapsed="false">
      <c r="B295" s="130" t="str">
        <f aca="false">IF(284&gt;$I$4,"",284)</f>
        <v/>
      </c>
      <c r="C295" s="130" t="str">
        <f aca="false">IF($B295="","",INDEX('CARNET DE SOUDURE'!$B$7:$B$3006,MATCH(284,'CARNET DE SOUDURE'!$AT$7:$AT$3006,0)))</f>
        <v/>
      </c>
      <c r="D295" s="130" t="str">
        <f aca="false">IF($B295="","",INDEX('CARNET DE SOUDURE'!$E$7:$E$3006,MATCH(284,'CARNET DE SOUDURE'!$AT$7:$AT$3006,0)))</f>
        <v/>
      </c>
      <c r="E295" s="130" t="str">
        <f aca="false">IF($B295="","",INDEX('CARNET DE SOUDURE'!$D$7:$D$3006,MATCH(284,'CARNET DE SOUDURE'!$AT$7:$AT$3006,0)))</f>
        <v/>
      </c>
      <c r="F295" s="130" t="str">
        <f aca="false">IF($B295="","",INDEX('CARNET DE SOUDURE'!$R$7:$R$3006,MATCH(284,'CARNET DE SOUDURE'!$AT$7:$AT$3006,0))&amp;IF(INDEX('CARNET DE SOUDURE'!$S$7:$S$3006,MATCH(284,'CARNET DE SOUDURE'!$AT$7:$AT$3006,0))&lt;&gt;""," / "&amp;INDEX('CARNET DE SOUDURE'!$S$7:$S$3006,MATCH(284,'CARNET DE SOUDURE'!$AT$7:$AT$3006,0)),"")&amp;IF(INDEX('CARNET DE SOUDURE'!$T$7:$T$3006,MATCH(284,'CARNET DE SOUDURE'!$AT$7:$AT$3006,0))&lt;&gt;""," / "&amp;INDEX('CARNET DE SOUDURE'!$T$7:$T$3006,MATCH(284,'CARNET DE SOUDURE'!$AT$7:$AT$3006,0)),""))</f>
        <v/>
      </c>
      <c r="G295" s="131" t="str">
        <f aca="false">IF($B295="","",INDEX('CARNET DE SOUDURE'!$U$7:$U$3006,MATCH(284,'CARNET DE SOUDURE'!$AT$7:$AT$3006,0)))</f>
        <v/>
      </c>
      <c r="H295" s="132" t="str">
        <f aca="false">IF($B295="","",INDEX('CARNET DE SOUDURE'!$AQ$7:$AQ$3006,MATCH(284,'CARNET DE SOUDURE'!$AT$7:$AT$3006,0)))</f>
        <v/>
      </c>
      <c r="I295" s="133" t="str">
        <f aca="false">IF($B295="","",INDEX('CARNET DE SOUDURE'!$AO$7:$AO$3006,MATCH(284,'CARNET DE SOUDURE'!$AT$7:$AT$3006,0)))</f>
        <v/>
      </c>
      <c r="J295" s="133" t="str">
        <f aca="false">IF($B295="","",INDEX('CARNET DE SOUDURE'!$AR$7:$AR$3006,MATCH(284,'CARNET DE SOUDURE'!$AT$7:$AT$3006,0)))</f>
        <v/>
      </c>
      <c r="K295" s="129"/>
      <c r="L295" s="129"/>
    </row>
    <row r="296" customFormat="false" ht="15" hidden="false" customHeight="false" outlineLevel="0" collapsed="false">
      <c r="B296" s="125" t="str">
        <f aca="false">IF(285&gt;$I$4,"",285)</f>
        <v/>
      </c>
      <c r="C296" s="125" t="str">
        <f aca="false">IF($B296="","",INDEX('CARNET DE SOUDURE'!$B$7:$B$3006,MATCH(285,'CARNET DE SOUDURE'!$AT$7:$AT$3006,0)))</f>
        <v/>
      </c>
      <c r="D296" s="125" t="str">
        <f aca="false">IF($B296="","",INDEX('CARNET DE SOUDURE'!$E$7:$E$3006,MATCH(285,'CARNET DE SOUDURE'!$AT$7:$AT$3006,0)))</f>
        <v/>
      </c>
      <c r="E296" s="125" t="str">
        <f aca="false">IF($B296="","",INDEX('CARNET DE SOUDURE'!$D$7:$D$3006,MATCH(285,'CARNET DE SOUDURE'!$AT$7:$AT$3006,0)))</f>
        <v/>
      </c>
      <c r="F296" s="125" t="str">
        <f aca="false">IF($B296="","",INDEX('CARNET DE SOUDURE'!$R$7:$R$3006,MATCH(285,'CARNET DE SOUDURE'!$AT$7:$AT$3006,0))&amp;IF(INDEX('CARNET DE SOUDURE'!$S$7:$S$3006,MATCH(285,'CARNET DE SOUDURE'!$AT$7:$AT$3006,0))&lt;&gt;""," / "&amp;INDEX('CARNET DE SOUDURE'!$S$7:$S$3006,MATCH(285,'CARNET DE SOUDURE'!$AT$7:$AT$3006,0)),"")&amp;IF(INDEX('CARNET DE SOUDURE'!$T$7:$T$3006,MATCH(285,'CARNET DE SOUDURE'!$AT$7:$AT$3006,0))&lt;&gt;""," / "&amp;INDEX('CARNET DE SOUDURE'!$T$7:$T$3006,MATCH(285,'CARNET DE SOUDURE'!$AT$7:$AT$3006,0)),""))</f>
        <v/>
      </c>
      <c r="G296" s="126" t="str">
        <f aca="false">IF($B296="","",INDEX('CARNET DE SOUDURE'!$U$7:$U$3006,MATCH(285,'CARNET DE SOUDURE'!$AT$7:$AT$3006,0)))</f>
        <v/>
      </c>
      <c r="H296" s="127" t="str">
        <f aca="false">IF($B296="","",INDEX('CARNET DE SOUDURE'!$AQ$7:$AQ$3006,MATCH(285,'CARNET DE SOUDURE'!$AT$7:$AT$3006,0)))</f>
        <v/>
      </c>
      <c r="I296" s="128" t="str">
        <f aca="false">IF($B296="","",INDEX('CARNET DE SOUDURE'!$AO$7:$AO$3006,MATCH(285,'CARNET DE SOUDURE'!$AT$7:$AT$3006,0)))</f>
        <v/>
      </c>
      <c r="J296" s="128" t="str">
        <f aca="false">IF($B296="","",INDEX('CARNET DE SOUDURE'!$AR$7:$AR$3006,MATCH(285,'CARNET DE SOUDURE'!$AT$7:$AT$3006,0)))</f>
        <v/>
      </c>
      <c r="K296" s="129"/>
      <c r="L296" s="129"/>
    </row>
    <row r="297" customFormat="false" ht="15" hidden="false" customHeight="false" outlineLevel="0" collapsed="false">
      <c r="B297" s="130" t="str">
        <f aca="false">IF(286&gt;$I$4,"",286)</f>
        <v/>
      </c>
      <c r="C297" s="130" t="str">
        <f aca="false">IF($B297="","",INDEX('CARNET DE SOUDURE'!$B$7:$B$3006,MATCH(286,'CARNET DE SOUDURE'!$AT$7:$AT$3006,0)))</f>
        <v/>
      </c>
      <c r="D297" s="130" t="str">
        <f aca="false">IF($B297="","",INDEX('CARNET DE SOUDURE'!$E$7:$E$3006,MATCH(286,'CARNET DE SOUDURE'!$AT$7:$AT$3006,0)))</f>
        <v/>
      </c>
      <c r="E297" s="130" t="str">
        <f aca="false">IF($B297="","",INDEX('CARNET DE SOUDURE'!$D$7:$D$3006,MATCH(286,'CARNET DE SOUDURE'!$AT$7:$AT$3006,0)))</f>
        <v/>
      </c>
      <c r="F297" s="130" t="str">
        <f aca="false">IF($B297="","",INDEX('CARNET DE SOUDURE'!$R$7:$R$3006,MATCH(286,'CARNET DE SOUDURE'!$AT$7:$AT$3006,0))&amp;IF(INDEX('CARNET DE SOUDURE'!$S$7:$S$3006,MATCH(286,'CARNET DE SOUDURE'!$AT$7:$AT$3006,0))&lt;&gt;""," / "&amp;INDEX('CARNET DE SOUDURE'!$S$7:$S$3006,MATCH(286,'CARNET DE SOUDURE'!$AT$7:$AT$3006,0)),"")&amp;IF(INDEX('CARNET DE SOUDURE'!$T$7:$T$3006,MATCH(286,'CARNET DE SOUDURE'!$AT$7:$AT$3006,0))&lt;&gt;""," / "&amp;INDEX('CARNET DE SOUDURE'!$T$7:$T$3006,MATCH(286,'CARNET DE SOUDURE'!$AT$7:$AT$3006,0)),""))</f>
        <v/>
      </c>
      <c r="G297" s="131" t="str">
        <f aca="false">IF($B297="","",INDEX('CARNET DE SOUDURE'!$U$7:$U$3006,MATCH(286,'CARNET DE SOUDURE'!$AT$7:$AT$3006,0)))</f>
        <v/>
      </c>
      <c r="H297" s="132" t="str">
        <f aca="false">IF($B297="","",INDEX('CARNET DE SOUDURE'!$AQ$7:$AQ$3006,MATCH(286,'CARNET DE SOUDURE'!$AT$7:$AT$3006,0)))</f>
        <v/>
      </c>
      <c r="I297" s="133" t="str">
        <f aca="false">IF($B297="","",INDEX('CARNET DE SOUDURE'!$AO$7:$AO$3006,MATCH(286,'CARNET DE SOUDURE'!$AT$7:$AT$3006,0)))</f>
        <v/>
      </c>
      <c r="J297" s="133" t="str">
        <f aca="false">IF($B297="","",INDEX('CARNET DE SOUDURE'!$AR$7:$AR$3006,MATCH(286,'CARNET DE SOUDURE'!$AT$7:$AT$3006,0)))</f>
        <v/>
      </c>
      <c r="K297" s="129"/>
      <c r="L297" s="129"/>
    </row>
    <row r="298" customFormat="false" ht="15" hidden="false" customHeight="false" outlineLevel="0" collapsed="false">
      <c r="B298" s="125" t="str">
        <f aca="false">IF(287&gt;$I$4,"",287)</f>
        <v/>
      </c>
      <c r="C298" s="125" t="str">
        <f aca="false">IF($B298="","",INDEX('CARNET DE SOUDURE'!$B$7:$B$3006,MATCH(287,'CARNET DE SOUDURE'!$AT$7:$AT$3006,0)))</f>
        <v/>
      </c>
      <c r="D298" s="125" t="str">
        <f aca="false">IF($B298="","",INDEX('CARNET DE SOUDURE'!$E$7:$E$3006,MATCH(287,'CARNET DE SOUDURE'!$AT$7:$AT$3006,0)))</f>
        <v/>
      </c>
      <c r="E298" s="125" t="str">
        <f aca="false">IF($B298="","",INDEX('CARNET DE SOUDURE'!$D$7:$D$3006,MATCH(287,'CARNET DE SOUDURE'!$AT$7:$AT$3006,0)))</f>
        <v/>
      </c>
      <c r="F298" s="125" t="str">
        <f aca="false">IF($B298="","",INDEX('CARNET DE SOUDURE'!$R$7:$R$3006,MATCH(287,'CARNET DE SOUDURE'!$AT$7:$AT$3006,0))&amp;IF(INDEX('CARNET DE SOUDURE'!$S$7:$S$3006,MATCH(287,'CARNET DE SOUDURE'!$AT$7:$AT$3006,0))&lt;&gt;""," / "&amp;INDEX('CARNET DE SOUDURE'!$S$7:$S$3006,MATCH(287,'CARNET DE SOUDURE'!$AT$7:$AT$3006,0)),"")&amp;IF(INDEX('CARNET DE SOUDURE'!$T$7:$T$3006,MATCH(287,'CARNET DE SOUDURE'!$AT$7:$AT$3006,0))&lt;&gt;""," / "&amp;INDEX('CARNET DE SOUDURE'!$T$7:$T$3006,MATCH(287,'CARNET DE SOUDURE'!$AT$7:$AT$3006,0)),""))</f>
        <v/>
      </c>
      <c r="G298" s="126" t="str">
        <f aca="false">IF($B298="","",INDEX('CARNET DE SOUDURE'!$U$7:$U$3006,MATCH(287,'CARNET DE SOUDURE'!$AT$7:$AT$3006,0)))</f>
        <v/>
      </c>
      <c r="H298" s="127" t="str">
        <f aca="false">IF($B298="","",INDEX('CARNET DE SOUDURE'!$AQ$7:$AQ$3006,MATCH(287,'CARNET DE SOUDURE'!$AT$7:$AT$3006,0)))</f>
        <v/>
      </c>
      <c r="I298" s="128" t="str">
        <f aca="false">IF($B298="","",INDEX('CARNET DE SOUDURE'!$AO$7:$AO$3006,MATCH(287,'CARNET DE SOUDURE'!$AT$7:$AT$3006,0)))</f>
        <v/>
      </c>
      <c r="J298" s="128" t="str">
        <f aca="false">IF($B298="","",INDEX('CARNET DE SOUDURE'!$AR$7:$AR$3006,MATCH(287,'CARNET DE SOUDURE'!$AT$7:$AT$3006,0)))</f>
        <v/>
      </c>
      <c r="K298" s="129"/>
      <c r="L298" s="129"/>
    </row>
    <row r="299" customFormat="false" ht="15" hidden="false" customHeight="false" outlineLevel="0" collapsed="false">
      <c r="B299" s="130" t="str">
        <f aca="false">IF(288&gt;$I$4,"",288)</f>
        <v/>
      </c>
      <c r="C299" s="130" t="str">
        <f aca="false">IF($B299="","",INDEX('CARNET DE SOUDURE'!$B$7:$B$3006,MATCH(288,'CARNET DE SOUDURE'!$AT$7:$AT$3006,0)))</f>
        <v/>
      </c>
      <c r="D299" s="130" t="str">
        <f aca="false">IF($B299="","",INDEX('CARNET DE SOUDURE'!$E$7:$E$3006,MATCH(288,'CARNET DE SOUDURE'!$AT$7:$AT$3006,0)))</f>
        <v/>
      </c>
      <c r="E299" s="130" t="str">
        <f aca="false">IF($B299="","",INDEX('CARNET DE SOUDURE'!$D$7:$D$3006,MATCH(288,'CARNET DE SOUDURE'!$AT$7:$AT$3006,0)))</f>
        <v/>
      </c>
      <c r="F299" s="130" t="str">
        <f aca="false">IF($B299="","",INDEX('CARNET DE SOUDURE'!$R$7:$R$3006,MATCH(288,'CARNET DE SOUDURE'!$AT$7:$AT$3006,0))&amp;IF(INDEX('CARNET DE SOUDURE'!$S$7:$S$3006,MATCH(288,'CARNET DE SOUDURE'!$AT$7:$AT$3006,0))&lt;&gt;""," / "&amp;INDEX('CARNET DE SOUDURE'!$S$7:$S$3006,MATCH(288,'CARNET DE SOUDURE'!$AT$7:$AT$3006,0)),"")&amp;IF(INDEX('CARNET DE SOUDURE'!$T$7:$T$3006,MATCH(288,'CARNET DE SOUDURE'!$AT$7:$AT$3006,0))&lt;&gt;""," / "&amp;INDEX('CARNET DE SOUDURE'!$T$7:$T$3006,MATCH(288,'CARNET DE SOUDURE'!$AT$7:$AT$3006,0)),""))</f>
        <v/>
      </c>
      <c r="G299" s="131" t="str">
        <f aca="false">IF($B299="","",INDEX('CARNET DE SOUDURE'!$U$7:$U$3006,MATCH(288,'CARNET DE SOUDURE'!$AT$7:$AT$3006,0)))</f>
        <v/>
      </c>
      <c r="H299" s="132" t="str">
        <f aca="false">IF($B299="","",INDEX('CARNET DE SOUDURE'!$AQ$7:$AQ$3006,MATCH(288,'CARNET DE SOUDURE'!$AT$7:$AT$3006,0)))</f>
        <v/>
      </c>
      <c r="I299" s="133" t="str">
        <f aca="false">IF($B299="","",INDEX('CARNET DE SOUDURE'!$AO$7:$AO$3006,MATCH(288,'CARNET DE SOUDURE'!$AT$7:$AT$3006,0)))</f>
        <v/>
      </c>
      <c r="J299" s="133" t="str">
        <f aca="false">IF($B299="","",INDEX('CARNET DE SOUDURE'!$AR$7:$AR$3006,MATCH(288,'CARNET DE SOUDURE'!$AT$7:$AT$3006,0)))</f>
        <v/>
      </c>
      <c r="K299" s="129"/>
      <c r="L299" s="129"/>
    </row>
    <row r="300" customFormat="false" ht="15" hidden="false" customHeight="false" outlineLevel="0" collapsed="false">
      <c r="B300" s="125" t="str">
        <f aca="false">IF(289&gt;$I$4,"",289)</f>
        <v/>
      </c>
      <c r="C300" s="125" t="str">
        <f aca="false">IF($B300="","",INDEX('CARNET DE SOUDURE'!$B$7:$B$3006,MATCH(289,'CARNET DE SOUDURE'!$AT$7:$AT$3006,0)))</f>
        <v/>
      </c>
      <c r="D300" s="125" t="str">
        <f aca="false">IF($B300="","",INDEX('CARNET DE SOUDURE'!$E$7:$E$3006,MATCH(289,'CARNET DE SOUDURE'!$AT$7:$AT$3006,0)))</f>
        <v/>
      </c>
      <c r="E300" s="125" t="str">
        <f aca="false">IF($B300="","",INDEX('CARNET DE SOUDURE'!$D$7:$D$3006,MATCH(289,'CARNET DE SOUDURE'!$AT$7:$AT$3006,0)))</f>
        <v/>
      </c>
      <c r="F300" s="125" t="str">
        <f aca="false">IF($B300="","",INDEX('CARNET DE SOUDURE'!$R$7:$R$3006,MATCH(289,'CARNET DE SOUDURE'!$AT$7:$AT$3006,0))&amp;IF(INDEX('CARNET DE SOUDURE'!$S$7:$S$3006,MATCH(289,'CARNET DE SOUDURE'!$AT$7:$AT$3006,0))&lt;&gt;""," / "&amp;INDEX('CARNET DE SOUDURE'!$S$7:$S$3006,MATCH(289,'CARNET DE SOUDURE'!$AT$7:$AT$3006,0)),"")&amp;IF(INDEX('CARNET DE SOUDURE'!$T$7:$T$3006,MATCH(289,'CARNET DE SOUDURE'!$AT$7:$AT$3006,0))&lt;&gt;""," / "&amp;INDEX('CARNET DE SOUDURE'!$T$7:$T$3006,MATCH(289,'CARNET DE SOUDURE'!$AT$7:$AT$3006,0)),""))</f>
        <v/>
      </c>
      <c r="G300" s="126" t="str">
        <f aca="false">IF($B300="","",INDEX('CARNET DE SOUDURE'!$U$7:$U$3006,MATCH(289,'CARNET DE SOUDURE'!$AT$7:$AT$3006,0)))</f>
        <v/>
      </c>
      <c r="H300" s="127" t="str">
        <f aca="false">IF($B300="","",INDEX('CARNET DE SOUDURE'!$AQ$7:$AQ$3006,MATCH(289,'CARNET DE SOUDURE'!$AT$7:$AT$3006,0)))</f>
        <v/>
      </c>
      <c r="I300" s="128" t="str">
        <f aca="false">IF($B300="","",INDEX('CARNET DE SOUDURE'!$AO$7:$AO$3006,MATCH(289,'CARNET DE SOUDURE'!$AT$7:$AT$3006,0)))</f>
        <v/>
      </c>
      <c r="J300" s="128" t="str">
        <f aca="false">IF($B300="","",INDEX('CARNET DE SOUDURE'!$AR$7:$AR$3006,MATCH(289,'CARNET DE SOUDURE'!$AT$7:$AT$3006,0)))</f>
        <v/>
      </c>
      <c r="K300" s="129"/>
      <c r="L300" s="129"/>
    </row>
    <row r="301" customFormat="false" ht="15" hidden="false" customHeight="false" outlineLevel="0" collapsed="false">
      <c r="B301" s="130" t="str">
        <f aca="false">IF(290&gt;$I$4,"",290)</f>
        <v/>
      </c>
      <c r="C301" s="130" t="str">
        <f aca="false">IF($B301="","",INDEX('CARNET DE SOUDURE'!$B$7:$B$3006,MATCH(290,'CARNET DE SOUDURE'!$AT$7:$AT$3006,0)))</f>
        <v/>
      </c>
      <c r="D301" s="130" t="str">
        <f aca="false">IF($B301="","",INDEX('CARNET DE SOUDURE'!$E$7:$E$3006,MATCH(290,'CARNET DE SOUDURE'!$AT$7:$AT$3006,0)))</f>
        <v/>
      </c>
      <c r="E301" s="130" t="str">
        <f aca="false">IF($B301="","",INDEX('CARNET DE SOUDURE'!$D$7:$D$3006,MATCH(290,'CARNET DE SOUDURE'!$AT$7:$AT$3006,0)))</f>
        <v/>
      </c>
      <c r="F301" s="130" t="str">
        <f aca="false">IF($B301="","",INDEX('CARNET DE SOUDURE'!$R$7:$R$3006,MATCH(290,'CARNET DE SOUDURE'!$AT$7:$AT$3006,0))&amp;IF(INDEX('CARNET DE SOUDURE'!$S$7:$S$3006,MATCH(290,'CARNET DE SOUDURE'!$AT$7:$AT$3006,0))&lt;&gt;""," / "&amp;INDEX('CARNET DE SOUDURE'!$S$7:$S$3006,MATCH(290,'CARNET DE SOUDURE'!$AT$7:$AT$3006,0)),"")&amp;IF(INDEX('CARNET DE SOUDURE'!$T$7:$T$3006,MATCH(290,'CARNET DE SOUDURE'!$AT$7:$AT$3006,0))&lt;&gt;""," / "&amp;INDEX('CARNET DE SOUDURE'!$T$7:$T$3006,MATCH(290,'CARNET DE SOUDURE'!$AT$7:$AT$3006,0)),""))</f>
        <v/>
      </c>
      <c r="G301" s="131" t="str">
        <f aca="false">IF($B301="","",INDEX('CARNET DE SOUDURE'!$U$7:$U$3006,MATCH(290,'CARNET DE SOUDURE'!$AT$7:$AT$3006,0)))</f>
        <v/>
      </c>
      <c r="H301" s="132" t="str">
        <f aca="false">IF($B301="","",INDEX('CARNET DE SOUDURE'!$AQ$7:$AQ$3006,MATCH(290,'CARNET DE SOUDURE'!$AT$7:$AT$3006,0)))</f>
        <v/>
      </c>
      <c r="I301" s="133" t="str">
        <f aca="false">IF($B301="","",INDEX('CARNET DE SOUDURE'!$AO$7:$AO$3006,MATCH(290,'CARNET DE SOUDURE'!$AT$7:$AT$3006,0)))</f>
        <v/>
      </c>
      <c r="J301" s="133" t="str">
        <f aca="false">IF($B301="","",INDEX('CARNET DE SOUDURE'!$AR$7:$AR$3006,MATCH(290,'CARNET DE SOUDURE'!$AT$7:$AT$3006,0)))</f>
        <v/>
      </c>
      <c r="K301" s="129"/>
      <c r="L301" s="129"/>
    </row>
    <row r="302" customFormat="false" ht="15" hidden="false" customHeight="false" outlineLevel="0" collapsed="false">
      <c r="B302" s="125" t="str">
        <f aca="false">IF(291&gt;$I$4,"",291)</f>
        <v/>
      </c>
      <c r="C302" s="125" t="str">
        <f aca="false">IF($B302="","",INDEX('CARNET DE SOUDURE'!$B$7:$B$3006,MATCH(291,'CARNET DE SOUDURE'!$AT$7:$AT$3006,0)))</f>
        <v/>
      </c>
      <c r="D302" s="125" t="str">
        <f aca="false">IF($B302="","",INDEX('CARNET DE SOUDURE'!$E$7:$E$3006,MATCH(291,'CARNET DE SOUDURE'!$AT$7:$AT$3006,0)))</f>
        <v/>
      </c>
      <c r="E302" s="125" t="str">
        <f aca="false">IF($B302="","",INDEX('CARNET DE SOUDURE'!$D$7:$D$3006,MATCH(291,'CARNET DE SOUDURE'!$AT$7:$AT$3006,0)))</f>
        <v/>
      </c>
      <c r="F302" s="125" t="str">
        <f aca="false">IF($B302="","",INDEX('CARNET DE SOUDURE'!$R$7:$R$3006,MATCH(291,'CARNET DE SOUDURE'!$AT$7:$AT$3006,0))&amp;IF(INDEX('CARNET DE SOUDURE'!$S$7:$S$3006,MATCH(291,'CARNET DE SOUDURE'!$AT$7:$AT$3006,0))&lt;&gt;""," / "&amp;INDEX('CARNET DE SOUDURE'!$S$7:$S$3006,MATCH(291,'CARNET DE SOUDURE'!$AT$7:$AT$3006,0)),"")&amp;IF(INDEX('CARNET DE SOUDURE'!$T$7:$T$3006,MATCH(291,'CARNET DE SOUDURE'!$AT$7:$AT$3006,0))&lt;&gt;""," / "&amp;INDEX('CARNET DE SOUDURE'!$T$7:$T$3006,MATCH(291,'CARNET DE SOUDURE'!$AT$7:$AT$3006,0)),""))</f>
        <v/>
      </c>
      <c r="G302" s="126" t="str">
        <f aca="false">IF($B302="","",INDEX('CARNET DE SOUDURE'!$U$7:$U$3006,MATCH(291,'CARNET DE SOUDURE'!$AT$7:$AT$3006,0)))</f>
        <v/>
      </c>
      <c r="H302" s="127" t="str">
        <f aca="false">IF($B302="","",INDEX('CARNET DE SOUDURE'!$AQ$7:$AQ$3006,MATCH(291,'CARNET DE SOUDURE'!$AT$7:$AT$3006,0)))</f>
        <v/>
      </c>
      <c r="I302" s="128" t="str">
        <f aca="false">IF($B302="","",INDEX('CARNET DE SOUDURE'!$AO$7:$AO$3006,MATCH(291,'CARNET DE SOUDURE'!$AT$7:$AT$3006,0)))</f>
        <v/>
      </c>
      <c r="J302" s="128" t="str">
        <f aca="false">IF($B302="","",INDEX('CARNET DE SOUDURE'!$AR$7:$AR$3006,MATCH(291,'CARNET DE SOUDURE'!$AT$7:$AT$3006,0)))</f>
        <v/>
      </c>
      <c r="K302" s="129"/>
      <c r="L302" s="129"/>
    </row>
    <row r="303" customFormat="false" ht="15" hidden="false" customHeight="false" outlineLevel="0" collapsed="false">
      <c r="B303" s="130" t="str">
        <f aca="false">IF(292&gt;$I$4,"",292)</f>
        <v/>
      </c>
      <c r="C303" s="130" t="str">
        <f aca="false">IF($B303="","",INDEX('CARNET DE SOUDURE'!$B$7:$B$3006,MATCH(292,'CARNET DE SOUDURE'!$AT$7:$AT$3006,0)))</f>
        <v/>
      </c>
      <c r="D303" s="130" t="str">
        <f aca="false">IF($B303="","",INDEX('CARNET DE SOUDURE'!$E$7:$E$3006,MATCH(292,'CARNET DE SOUDURE'!$AT$7:$AT$3006,0)))</f>
        <v/>
      </c>
      <c r="E303" s="130" t="str">
        <f aca="false">IF($B303="","",INDEX('CARNET DE SOUDURE'!$D$7:$D$3006,MATCH(292,'CARNET DE SOUDURE'!$AT$7:$AT$3006,0)))</f>
        <v/>
      </c>
      <c r="F303" s="130" t="str">
        <f aca="false">IF($B303="","",INDEX('CARNET DE SOUDURE'!$R$7:$R$3006,MATCH(292,'CARNET DE SOUDURE'!$AT$7:$AT$3006,0))&amp;IF(INDEX('CARNET DE SOUDURE'!$S$7:$S$3006,MATCH(292,'CARNET DE SOUDURE'!$AT$7:$AT$3006,0))&lt;&gt;""," / "&amp;INDEX('CARNET DE SOUDURE'!$S$7:$S$3006,MATCH(292,'CARNET DE SOUDURE'!$AT$7:$AT$3006,0)),"")&amp;IF(INDEX('CARNET DE SOUDURE'!$T$7:$T$3006,MATCH(292,'CARNET DE SOUDURE'!$AT$7:$AT$3006,0))&lt;&gt;""," / "&amp;INDEX('CARNET DE SOUDURE'!$T$7:$T$3006,MATCH(292,'CARNET DE SOUDURE'!$AT$7:$AT$3006,0)),""))</f>
        <v/>
      </c>
      <c r="G303" s="131" t="str">
        <f aca="false">IF($B303="","",INDEX('CARNET DE SOUDURE'!$U$7:$U$3006,MATCH(292,'CARNET DE SOUDURE'!$AT$7:$AT$3006,0)))</f>
        <v/>
      </c>
      <c r="H303" s="132" t="str">
        <f aca="false">IF($B303="","",INDEX('CARNET DE SOUDURE'!$AQ$7:$AQ$3006,MATCH(292,'CARNET DE SOUDURE'!$AT$7:$AT$3006,0)))</f>
        <v/>
      </c>
      <c r="I303" s="133" t="str">
        <f aca="false">IF($B303="","",INDEX('CARNET DE SOUDURE'!$AO$7:$AO$3006,MATCH(292,'CARNET DE SOUDURE'!$AT$7:$AT$3006,0)))</f>
        <v/>
      </c>
      <c r="J303" s="133" t="str">
        <f aca="false">IF($B303="","",INDEX('CARNET DE SOUDURE'!$AR$7:$AR$3006,MATCH(292,'CARNET DE SOUDURE'!$AT$7:$AT$3006,0)))</f>
        <v/>
      </c>
      <c r="K303" s="129"/>
      <c r="L303" s="129"/>
    </row>
    <row r="304" customFormat="false" ht="15" hidden="false" customHeight="false" outlineLevel="0" collapsed="false">
      <c r="B304" s="125" t="str">
        <f aca="false">IF(293&gt;$I$4,"",293)</f>
        <v/>
      </c>
      <c r="C304" s="125" t="str">
        <f aca="false">IF($B304="","",INDEX('CARNET DE SOUDURE'!$B$7:$B$3006,MATCH(293,'CARNET DE SOUDURE'!$AT$7:$AT$3006,0)))</f>
        <v/>
      </c>
      <c r="D304" s="125" t="str">
        <f aca="false">IF($B304="","",INDEX('CARNET DE SOUDURE'!$E$7:$E$3006,MATCH(293,'CARNET DE SOUDURE'!$AT$7:$AT$3006,0)))</f>
        <v/>
      </c>
      <c r="E304" s="125" t="str">
        <f aca="false">IF($B304="","",INDEX('CARNET DE SOUDURE'!$D$7:$D$3006,MATCH(293,'CARNET DE SOUDURE'!$AT$7:$AT$3006,0)))</f>
        <v/>
      </c>
      <c r="F304" s="125" t="str">
        <f aca="false">IF($B304="","",INDEX('CARNET DE SOUDURE'!$R$7:$R$3006,MATCH(293,'CARNET DE SOUDURE'!$AT$7:$AT$3006,0))&amp;IF(INDEX('CARNET DE SOUDURE'!$S$7:$S$3006,MATCH(293,'CARNET DE SOUDURE'!$AT$7:$AT$3006,0))&lt;&gt;""," / "&amp;INDEX('CARNET DE SOUDURE'!$S$7:$S$3006,MATCH(293,'CARNET DE SOUDURE'!$AT$7:$AT$3006,0)),"")&amp;IF(INDEX('CARNET DE SOUDURE'!$T$7:$T$3006,MATCH(293,'CARNET DE SOUDURE'!$AT$7:$AT$3006,0))&lt;&gt;""," / "&amp;INDEX('CARNET DE SOUDURE'!$T$7:$T$3006,MATCH(293,'CARNET DE SOUDURE'!$AT$7:$AT$3006,0)),""))</f>
        <v/>
      </c>
      <c r="G304" s="126" t="str">
        <f aca="false">IF($B304="","",INDEX('CARNET DE SOUDURE'!$U$7:$U$3006,MATCH(293,'CARNET DE SOUDURE'!$AT$7:$AT$3006,0)))</f>
        <v/>
      </c>
      <c r="H304" s="127" t="str">
        <f aca="false">IF($B304="","",INDEX('CARNET DE SOUDURE'!$AQ$7:$AQ$3006,MATCH(293,'CARNET DE SOUDURE'!$AT$7:$AT$3006,0)))</f>
        <v/>
      </c>
      <c r="I304" s="128" t="str">
        <f aca="false">IF($B304="","",INDEX('CARNET DE SOUDURE'!$AO$7:$AO$3006,MATCH(293,'CARNET DE SOUDURE'!$AT$7:$AT$3006,0)))</f>
        <v/>
      </c>
      <c r="J304" s="128" t="str">
        <f aca="false">IF($B304="","",INDEX('CARNET DE SOUDURE'!$AR$7:$AR$3006,MATCH(293,'CARNET DE SOUDURE'!$AT$7:$AT$3006,0)))</f>
        <v/>
      </c>
      <c r="K304" s="129"/>
      <c r="L304" s="129"/>
    </row>
    <row r="305" customFormat="false" ht="15" hidden="false" customHeight="false" outlineLevel="0" collapsed="false">
      <c r="B305" s="130" t="str">
        <f aca="false">IF(294&gt;$I$4,"",294)</f>
        <v/>
      </c>
      <c r="C305" s="130" t="str">
        <f aca="false">IF($B305="","",INDEX('CARNET DE SOUDURE'!$B$7:$B$3006,MATCH(294,'CARNET DE SOUDURE'!$AT$7:$AT$3006,0)))</f>
        <v/>
      </c>
      <c r="D305" s="130" t="str">
        <f aca="false">IF($B305="","",INDEX('CARNET DE SOUDURE'!$E$7:$E$3006,MATCH(294,'CARNET DE SOUDURE'!$AT$7:$AT$3006,0)))</f>
        <v/>
      </c>
      <c r="E305" s="130" t="str">
        <f aca="false">IF($B305="","",INDEX('CARNET DE SOUDURE'!$D$7:$D$3006,MATCH(294,'CARNET DE SOUDURE'!$AT$7:$AT$3006,0)))</f>
        <v/>
      </c>
      <c r="F305" s="130" t="str">
        <f aca="false">IF($B305="","",INDEX('CARNET DE SOUDURE'!$R$7:$R$3006,MATCH(294,'CARNET DE SOUDURE'!$AT$7:$AT$3006,0))&amp;IF(INDEX('CARNET DE SOUDURE'!$S$7:$S$3006,MATCH(294,'CARNET DE SOUDURE'!$AT$7:$AT$3006,0))&lt;&gt;""," / "&amp;INDEX('CARNET DE SOUDURE'!$S$7:$S$3006,MATCH(294,'CARNET DE SOUDURE'!$AT$7:$AT$3006,0)),"")&amp;IF(INDEX('CARNET DE SOUDURE'!$T$7:$T$3006,MATCH(294,'CARNET DE SOUDURE'!$AT$7:$AT$3006,0))&lt;&gt;""," / "&amp;INDEX('CARNET DE SOUDURE'!$T$7:$T$3006,MATCH(294,'CARNET DE SOUDURE'!$AT$7:$AT$3006,0)),""))</f>
        <v/>
      </c>
      <c r="G305" s="131" t="str">
        <f aca="false">IF($B305="","",INDEX('CARNET DE SOUDURE'!$U$7:$U$3006,MATCH(294,'CARNET DE SOUDURE'!$AT$7:$AT$3006,0)))</f>
        <v/>
      </c>
      <c r="H305" s="132" t="str">
        <f aca="false">IF($B305="","",INDEX('CARNET DE SOUDURE'!$AQ$7:$AQ$3006,MATCH(294,'CARNET DE SOUDURE'!$AT$7:$AT$3006,0)))</f>
        <v/>
      </c>
      <c r="I305" s="133" t="str">
        <f aca="false">IF($B305="","",INDEX('CARNET DE SOUDURE'!$AO$7:$AO$3006,MATCH(294,'CARNET DE SOUDURE'!$AT$7:$AT$3006,0)))</f>
        <v/>
      </c>
      <c r="J305" s="133" t="str">
        <f aca="false">IF($B305="","",INDEX('CARNET DE SOUDURE'!$AR$7:$AR$3006,MATCH(294,'CARNET DE SOUDURE'!$AT$7:$AT$3006,0)))</f>
        <v/>
      </c>
      <c r="K305" s="129"/>
      <c r="L305" s="129"/>
    </row>
    <row r="306" customFormat="false" ht="15" hidden="false" customHeight="false" outlineLevel="0" collapsed="false">
      <c r="B306" s="125" t="str">
        <f aca="false">IF(295&gt;$I$4,"",295)</f>
        <v/>
      </c>
      <c r="C306" s="125" t="str">
        <f aca="false">IF($B306="","",INDEX('CARNET DE SOUDURE'!$B$7:$B$3006,MATCH(295,'CARNET DE SOUDURE'!$AT$7:$AT$3006,0)))</f>
        <v/>
      </c>
      <c r="D306" s="125" t="str">
        <f aca="false">IF($B306="","",INDEX('CARNET DE SOUDURE'!$E$7:$E$3006,MATCH(295,'CARNET DE SOUDURE'!$AT$7:$AT$3006,0)))</f>
        <v/>
      </c>
      <c r="E306" s="125" t="str">
        <f aca="false">IF($B306="","",INDEX('CARNET DE SOUDURE'!$D$7:$D$3006,MATCH(295,'CARNET DE SOUDURE'!$AT$7:$AT$3006,0)))</f>
        <v/>
      </c>
      <c r="F306" s="125" t="str">
        <f aca="false">IF($B306="","",INDEX('CARNET DE SOUDURE'!$R$7:$R$3006,MATCH(295,'CARNET DE SOUDURE'!$AT$7:$AT$3006,0))&amp;IF(INDEX('CARNET DE SOUDURE'!$S$7:$S$3006,MATCH(295,'CARNET DE SOUDURE'!$AT$7:$AT$3006,0))&lt;&gt;""," / "&amp;INDEX('CARNET DE SOUDURE'!$S$7:$S$3006,MATCH(295,'CARNET DE SOUDURE'!$AT$7:$AT$3006,0)),"")&amp;IF(INDEX('CARNET DE SOUDURE'!$T$7:$T$3006,MATCH(295,'CARNET DE SOUDURE'!$AT$7:$AT$3006,0))&lt;&gt;""," / "&amp;INDEX('CARNET DE SOUDURE'!$T$7:$T$3006,MATCH(295,'CARNET DE SOUDURE'!$AT$7:$AT$3006,0)),""))</f>
        <v/>
      </c>
      <c r="G306" s="126" t="str">
        <f aca="false">IF($B306="","",INDEX('CARNET DE SOUDURE'!$U$7:$U$3006,MATCH(295,'CARNET DE SOUDURE'!$AT$7:$AT$3006,0)))</f>
        <v/>
      </c>
      <c r="H306" s="127" t="str">
        <f aca="false">IF($B306="","",INDEX('CARNET DE SOUDURE'!$AQ$7:$AQ$3006,MATCH(295,'CARNET DE SOUDURE'!$AT$7:$AT$3006,0)))</f>
        <v/>
      </c>
      <c r="I306" s="128" t="str">
        <f aca="false">IF($B306="","",INDEX('CARNET DE SOUDURE'!$AO$7:$AO$3006,MATCH(295,'CARNET DE SOUDURE'!$AT$7:$AT$3006,0)))</f>
        <v/>
      </c>
      <c r="J306" s="128" t="str">
        <f aca="false">IF($B306="","",INDEX('CARNET DE SOUDURE'!$AR$7:$AR$3006,MATCH(295,'CARNET DE SOUDURE'!$AT$7:$AT$3006,0)))</f>
        <v/>
      </c>
      <c r="K306" s="129"/>
      <c r="L306" s="129"/>
    </row>
    <row r="307" customFormat="false" ht="15" hidden="false" customHeight="false" outlineLevel="0" collapsed="false">
      <c r="B307" s="130" t="str">
        <f aca="false">IF(296&gt;$I$4,"",296)</f>
        <v/>
      </c>
      <c r="C307" s="130" t="str">
        <f aca="false">IF($B307="","",INDEX('CARNET DE SOUDURE'!$B$7:$B$3006,MATCH(296,'CARNET DE SOUDURE'!$AT$7:$AT$3006,0)))</f>
        <v/>
      </c>
      <c r="D307" s="130" t="str">
        <f aca="false">IF($B307="","",INDEX('CARNET DE SOUDURE'!$E$7:$E$3006,MATCH(296,'CARNET DE SOUDURE'!$AT$7:$AT$3006,0)))</f>
        <v/>
      </c>
      <c r="E307" s="130" t="str">
        <f aca="false">IF($B307="","",INDEX('CARNET DE SOUDURE'!$D$7:$D$3006,MATCH(296,'CARNET DE SOUDURE'!$AT$7:$AT$3006,0)))</f>
        <v/>
      </c>
      <c r="F307" s="130" t="str">
        <f aca="false">IF($B307="","",INDEX('CARNET DE SOUDURE'!$R$7:$R$3006,MATCH(296,'CARNET DE SOUDURE'!$AT$7:$AT$3006,0))&amp;IF(INDEX('CARNET DE SOUDURE'!$S$7:$S$3006,MATCH(296,'CARNET DE SOUDURE'!$AT$7:$AT$3006,0))&lt;&gt;""," / "&amp;INDEX('CARNET DE SOUDURE'!$S$7:$S$3006,MATCH(296,'CARNET DE SOUDURE'!$AT$7:$AT$3006,0)),"")&amp;IF(INDEX('CARNET DE SOUDURE'!$T$7:$T$3006,MATCH(296,'CARNET DE SOUDURE'!$AT$7:$AT$3006,0))&lt;&gt;""," / "&amp;INDEX('CARNET DE SOUDURE'!$T$7:$T$3006,MATCH(296,'CARNET DE SOUDURE'!$AT$7:$AT$3006,0)),""))</f>
        <v/>
      </c>
      <c r="G307" s="131" t="str">
        <f aca="false">IF($B307="","",INDEX('CARNET DE SOUDURE'!$U$7:$U$3006,MATCH(296,'CARNET DE SOUDURE'!$AT$7:$AT$3006,0)))</f>
        <v/>
      </c>
      <c r="H307" s="132" t="str">
        <f aca="false">IF($B307="","",INDEX('CARNET DE SOUDURE'!$AQ$7:$AQ$3006,MATCH(296,'CARNET DE SOUDURE'!$AT$7:$AT$3006,0)))</f>
        <v/>
      </c>
      <c r="I307" s="133" t="str">
        <f aca="false">IF($B307="","",INDEX('CARNET DE SOUDURE'!$AO$7:$AO$3006,MATCH(296,'CARNET DE SOUDURE'!$AT$7:$AT$3006,0)))</f>
        <v/>
      </c>
      <c r="J307" s="133" t="str">
        <f aca="false">IF($B307="","",INDEX('CARNET DE SOUDURE'!$AR$7:$AR$3006,MATCH(296,'CARNET DE SOUDURE'!$AT$7:$AT$3006,0)))</f>
        <v/>
      </c>
      <c r="K307" s="129"/>
      <c r="L307" s="129"/>
    </row>
    <row r="308" customFormat="false" ht="15" hidden="false" customHeight="false" outlineLevel="0" collapsed="false">
      <c r="B308" s="125" t="str">
        <f aca="false">IF(297&gt;$I$4,"",297)</f>
        <v/>
      </c>
      <c r="C308" s="125" t="str">
        <f aca="false">IF($B308="","",INDEX('CARNET DE SOUDURE'!$B$7:$B$3006,MATCH(297,'CARNET DE SOUDURE'!$AT$7:$AT$3006,0)))</f>
        <v/>
      </c>
      <c r="D308" s="125" t="str">
        <f aca="false">IF($B308="","",INDEX('CARNET DE SOUDURE'!$E$7:$E$3006,MATCH(297,'CARNET DE SOUDURE'!$AT$7:$AT$3006,0)))</f>
        <v/>
      </c>
      <c r="E308" s="125" t="str">
        <f aca="false">IF($B308="","",INDEX('CARNET DE SOUDURE'!$D$7:$D$3006,MATCH(297,'CARNET DE SOUDURE'!$AT$7:$AT$3006,0)))</f>
        <v/>
      </c>
      <c r="F308" s="125" t="str">
        <f aca="false">IF($B308="","",INDEX('CARNET DE SOUDURE'!$R$7:$R$3006,MATCH(297,'CARNET DE SOUDURE'!$AT$7:$AT$3006,0))&amp;IF(INDEX('CARNET DE SOUDURE'!$S$7:$S$3006,MATCH(297,'CARNET DE SOUDURE'!$AT$7:$AT$3006,0))&lt;&gt;""," / "&amp;INDEX('CARNET DE SOUDURE'!$S$7:$S$3006,MATCH(297,'CARNET DE SOUDURE'!$AT$7:$AT$3006,0)),"")&amp;IF(INDEX('CARNET DE SOUDURE'!$T$7:$T$3006,MATCH(297,'CARNET DE SOUDURE'!$AT$7:$AT$3006,0))&lt;&gt;""," / "&amp;INDEX('CARNET DE SOUDURE'!$T$7:$T$3006,MATCH(297,'CARNET DE SOUDURE'!$AT$7:$AT$3006,0)),""))</f>
        <v/>
      </c>
      <c r="G308" s="126" t="str">
        <f aca="false">IF($B308="","",INDEX('CARNET DE SOUDURE'!$U$7:$U$3006,MATCH(297,'CARNET DE SOUDURE'!$AT$7:$AT$3006,0)))</f>
        <v/>
      </c>
      <c r="H308" s="127" t="str">
        <f aca="false">IF($B308="","",INDEX('CARNET DE SOUDURE'!$AQ$7:$AQ$3006,MATCH(297,'CARNET DE SOUDURE'!$AT$7:$AT$3006,0)))</f>
        <v/>
      </c>
      <c r="I308" s="128" t="str">
        <f aca="false">IF($B308="","",INDEX('CARNET DE SOUDURE'!$AO$7:$AO$3006,MATCH(297,'CARNET DE SOUDURE'!$AT$7:$AT$3006,0)))</f>
        <v/>
      </c>
      <c r="J308" s="128" t="str">
        <f aca="false">IF($B308="","",INDEX('CARNET DE SOUDURE'!$AR$7:$AR$3006,MATCH(297,'CARNET DE SOUDURE'!$AT$7:$AT$3006,0)))</f>
        <v/>
      </c>
      <c r="K308" s="129"/>
      <c r="L308" s="129"/>
    </row>
    <row r="309" customFormat="false" ht="15" hidden="false" customHeight="false" outlineLevel="0" collapsed="false">
      <c r="B309" s="130" t="str">
        <f aca="false">IF(298&gt;$I$4,"",298)</f>
        <v/>
      </c>
      <c r="C309" s="130" t="str">
        <f aca="false">IF($B309="","",INDEX('CARNET DE SOUDURE'!$B$7:$B$3006,MATCH(298,'CARNET DE SOUDURE'!$AT$7:$AT$3006,0)))</f>
        <v/>
      </c>
      <c r="D309" s="130" t="str">
        <f aca="false">IF($B309="","",INDEX('CARNET DE SOUDURE'!$E$7:$E$3006,MATCH(298,'CARNET DE SOUDURE'!$AT$7:$AT$3006,0)))</f>
        <v/>
      </c>
      <c r="E309" s="130" t="str">
        <f aca="false">IF($B309="","",INDEX('CARNET DE SOUDURE'!$D$7:$D$3006,MATCH(298,'CARNET DE SOUDURE'!$AT$7:$AT$3006,0)))</f>
        <v/>
      </c>
      <c r="F309" s="130" t="str">
        <f aca="false">IF($B309="","",INDEX('CARNET DE SOUDURE'!$R$7:$R$3006,MATCH(298,'CARNET DE SOUDURE'!$AT$7:$AT$3006,0))&amp;IF(INDEX('CARNET DE SOUDURE'!$S$7:$S$3006,MATCH(298,'CARNET DE SOUDURE'!$AT$7:$AT$3006,0))&lt;&gt;""," / "&amp;INDEX('CARNET DE SOUDURE'!$S$7:$S$3006,MATCH(298,'CARNET DE SOUDURE'!$AT$7:$AT$3006,0)),"")&amp;IF(INDEX('CARNET DE SOUDURE'!$T$7:$T$3006,MATCH(298,'CARNET DE SOUDURE'!$AT$7:$AT$3006,0))&lt;&gt;""," / "&amp;INDEX('CARNET DE SOUDURE'!$T$7:$T$3006,MATCH(298,'CARNET DE SOUDURE'!$AT$7:$AT$3006,0)),""))</f>
        <v/>
      </c>
      <c r="G309" s="131" t="str">
        <f aca="false">IF($B309="","",INDEX('CARNET DE SOUDURE'!$U$7:$U$3006,MATCH(298,'CARNET DE SOUDURE'!$AT$7:$AT$3006,0)))</f>
        <v/>
      </c>
      <c r="H309" s="132" t="str">
        <f aca="false">IF($B309="","",INDEX('CARNET DE SOUDURE'!$AQ$7:$AQ$3006,MATCH(298,'CARNET DE SOUDURE'!$AT$7:$AT$3006,0)))</f>
        <v/>
      </c>
      <c r="I309" s="133" t="str">
        <f aca="false">IF($B309="","",INDEX('CARNET DE SOUDURE'!$AO$7:$AO$3006,MATCH(298,'CARNET DE SOUDURE'!$AT$7:$AT$3006,0)))</f>
        <v/>
      </c>
      <c r="J309" s="133" t="str">
        <f aca="false">IF($B309="","",INDEX('CARNET DE SOUDURE'!$AR$7:$AR$3006,MATCH(298,'CARNET DE SOUDURE'!$AT$7:$AT$3006,0)))</f>
        <v/>
      </c>
      <c r="K309" s="129"/>
      <c r="L309" s="129"/>
    </row>
    <row r="310" customFormat="false" ht="15" hidden="false" customHeight="false" outlineLevel="0" collapsed="false">
      <c r="B310" s="125" t="str">
        <f aca="false">IF(299&gt;$I$4,"",299)</f>
        <v/>
      </c>
      <c r="C310" s="125" t="str">
        <f aca="false">IF($B310="","",INDEX('CARNET DE SOUDURE'!$B$7:$B$3006,MATCH(299,'CARNET DE SOUDURE'!$AT$7:$AT$3006,0)))</f>
        <v/>
      </c>
      <c r="D310" s="125" t="str">
        <f aca="false">IF($B310="","",INDEX('CARNET DE SOUDURE'!$E$7:$E$3006,MATCH(299,'CARNET DE SOUDURE'!$AT$7:$AT$3006,0)))</f>
        <v/>
      </c>
      <c r="E310" s="125" t="str">
        <f aca="false">IF($B310="","",INDEX('CARNET DE SOUDURE'!$D$7:$D$3006,MATCH(299,'CARNET DE SOUDURE'!$AT$7:$AT$3006,0)))</f>
        <v/>
      </c>
      <c r="F310" s="125" t="str">
        <f aca="false">IF($B310="","",INDEX('CARNET DE SOUDURE'!$R$7:$R$3006,MATCH(299,'CARNET DE SOUDURE'!$AT$7:$AT$3006,0))&amp;IF(INDEX('CARNET DE SOUDURE'!$S$7:$S$3006,MATCH(299,'CARNET DE SOUDURE'!$AT$7:$AT$3006,0))&lt;&gt;""," / "&amp;INDEX('CARNET DE SOUDURE'!$S$7:$S$3006,MATCH(299,'CARNET DE SOUDURE'!$AT$7:$AT$3006,0)),"")&amp;IF(INDEX('CARNET DE SOUDURE'!$T$7:$T$3006,MATCH(299,'CARNET DE SOUDURE'!$AT$7:$AT$3006,0))&lt;&gt;""," / "&amp;INDEX('CARNET DE SOUDURE'!$T$7:$T$3006,MATCH(299,'CARNET DE SOUDURE'!$AT$7:$AT$3006,0)),""))</f>
        <v/>
      </c>
      <c r="G310" s="126" t="str">
        <f aca="false">IF($B310="","",INDEX('CARNET DE SOUDURE'!$U$7:$U$3006,MATCH(299,'CARNET DE SOUDURE'!$AT$7:$AT$3006,0)))</f>
        <v/>
      </c>
      <c r="H310" s="127" t="str">
        <f aca="false">IF($B310="","",INDEX('CARNET DE SOUDURE'!$AQ$7:$AQ$3006,MATCH(299,'CARNET DE SOUDURE'!$AT$7:$AT$3006,0)))</f>
        <v/>
      </c>
      <c r="I310" s="128" t="str">
        <f aca="false">IF($B310="","",INDEX('CARNET DE SOUDURE'!$AO$7:$AO$3006,MATCH(299,'CARNET DE SOUDURE'!$AT$7:$AT$3006,0)))</f>
        <v/>
      </c>
      <c r="J310" s="128" t="str">
        <f aca="false">IF($B310="","",INDEX('CARNET DE SOUDURE'!$AR$7:$AR$3006,MATCH(299,'CARNET DE SOUDURE'!$AT$7:$AT$3006,0)))</f>
        <v/>
      </c>
      <c r="K310" s="129"/>
      <c r="L310" s="129"/>
    </row>
    <row r="311" customFormat="false" ht="15" hidden="false" customHeight="false" outlineLevel="0" collapsed="false">
      <c r="B311" s="130" t="str">
        <f aca="false">IF(300&gt;$I$4,"",300)</f>
        <v/>
      </c>
      <c r="C311" s="130" t="str">
        <f aca="false">IF($B311="","",INDEX('CARNET DE SOUDURE'!$B$7:$B$3006,MATCH(300,'CARNET DE SOUDURE'!$AT$7:$AT$3006,0)))</f>
        <v/>
      </c>
      <c r="D311" s="130" t="str">
        <f aca="false">IF($B311="","",INDEX('CARNET DE SOUDURE'!$E$7:$E$3006,MATCH(300,'CARNET DE SOUDURE'!$AT$7:$AT$3006,0)))</f>
        <v/>
      </c>
      <c r="E311" s="130" t="str">
        <f aca="false">IF($B311="","",INDEX('CARNET DE SOUDURE'!$D$7:$D$3006,MATCH(300,'CARNET DE SOUDURE'!$AT$7:$AT$3006,0)))</f>
        <v/>
      </c>
      <c r="F311" s="130" t="str">
        <f aca="false">IF($B311="","",INDEX('CARNET DE SOUDURE'!$R$7:$R$3006,MATCH(300,'CARNET DE SOUDURE'!$AT$7:$AT$3006,0))&amp;IF(INDEX('CARNET DE SOUDURE'!$S$7:$S$3006,MATCH(300,'CARNET DE SOUDURE'!$AT$7:$AT$3006,0))&lt;&gt;""," / "&amp;INDEX('CARNET DE SOUDURE'!$S$7:$S$3006,MATCH(300,'CARNET DE SOUDURE'!$AT$7:$AT$3006,0)),"")&amp;IF(INDEX('CARNET DE SOUDURE'!$T$7:$T$3006,MATCH(300,'CARNET DE SOUDURE'!$AT$7:$AT$3006,0))&lt;&gt;""," / "&amp;INDEX('CARNET DE SOUDURE'!$T$7:$T$3006,MATCH(300,'CARNET DE SOUDURE'!$AT$7:$AT$3006,0)),""))</f>
        <v/>
      </c>
      <c r="G311" s="131" t="str">
        <f aca="false">IF($B311="","",INDEX('CARNET DE SOUDURE'!$U$7:$U$3006,MATCH(300,'CARNET DE SOUDURE'!$AT$7:$AT$3006,0)))</f>
        <v/>
      </c>
      <c r="H311" s="132" t="str">
        <f aca="false">IF($B311="","",INDEX('CARNET DE SOUDURE'!$AQ$7:$AQ$3006,MATCH(300,'CARNET DE SOUDURE'!$AT$7:$AT$3006,0)))</f>
        <v/>
      </c>
      <c r="I311" s="133" t="str">
        <f aca="false">IF($B311="","",INDEX('CARNET DE SOUDURE'!$AO$7:$AO$3006,MATCH(300,'CARNET DE SOUDURE'!$AT$7:$AT$3006,0)))</f>
        <v/>
      </c>
      <c r="J311" s="133" t="str">
        <f aca="false">IF($B311="","",INDEX('CARNET DE SOUDURE'!$AR$7:$AR$3006,MATCH(300,'CARNET DE SOUDURE'!$AT$7:$AT$3006,0)))</f>
        <v/>
      </c>
      <c r="K311" s="129"/>
      <c r="L311" s="129"/>
    </row>
  </sheetData>
  <mergeCells count="15">
    <mergeCell ref="B2:M2"/>
    <mergeCell ref="D5:E5"/>
    <mergeCell ref="G5:L5"/>
    <mergeCell ref="B7:M7"/>
    <mergeCell ref="B8:C8"/>
    <mergeCell ref="D8:E8"/>
    <mergeCell ref="F8:G8"/>
    <mergeCell ref="H8:I8"/>
    <mergeCell ref="J8:K8"/>
    <mergeCell ref="B9:C9"/>
    <mergeCell ref="D9:E9"/>
    <mergeCell ref="F9:G9"/>
    <mergeCell ref="H9:I9"/>
    <mergeCell ref="J9:K9"/>
    <mergeCell ref="L9:M9"/>
  </mergeCells>
  <conditionalFormatting sqref="H12:H311">
    <cfRule type="cellIs" priority="2" operator="equal" aboveAverage="0" equalAverage="0" bottom="0" percent="0" rank="0" text="" dxfId="1">
      <formula>"ACCEPTÉ"</formula>
    </cfRule>
    <cfRule type="cellIs" priority="3" operator="equal" aboveAverage="0" equalAverage="0" bottom="0" percent="0" rank="0" text="" dxfId="30">
      <formula>"À RADIOGRAPHIER"</formula>
    </cfRule>
    <cfRule type="cellIs" priority="4" operator="equal" aboveAverage="0" equalAverage="0" bottom="0" percent="0" rank="0" text="" dxfId="30">
      <formula>"RÉPARÉ – À RADIOGRAPHIER"</formula>
    </cfRule>
    <cfRule type="cellIs" priority="5" operator="equal" aboveAverage="0" equalAverage="0" bottom="0" percent="0" rank="0" text="" dxfId="27">
      <formula>"NX – RT À REFAIRE"</formula>
    </cfRule>
    <cfRule type="cellIs" priority="6" operator="equal" aboveAverage="0" equalAverage="0" bottom="0" percent="0" rank="0" text="" dxfId="0">
      <formula>"À RÉPARER"</formula>
    </cfRule>
    <cfRule type="cellIs" priority="7" operator="equal" aboveAverage="0" equalAverage="0" bottom="0" percent="0" rank="0" text="" dxfId="29">
      <formula>"COUPE – À RESOUDER"</formula>
    </cfRule>
    <cfRule type="cellIs" priority="8" operator="equal" aboveAverage="0" equalAverage="0" bottom="0" percent="0" rank="0" text="" dxfId="0">
      <formula>"VT REJETÉ – À REPRENDRE"</formula>
    </cfRule>
    <cfRule type="cellIs" priority="9" operator="equal" aboveAverage="0" equalAverage="0" bottom="0" percent="0" rank="0" text="" dxfId="31">
      <formula>"VT EN ATTENTE"</formula>
    </cfRule>
    <cfRule type="cellIs" priority="10" operator="equal" aboveAverage="0" equalAverage="0" bottom="0" percent="0" rank="0" text="" dxfId="32">
      <formula>"À SOUDER"</formula>
    </cfRule>
  </conditionalFormatting>
  <conditionalFormatting sqref="J12:J311">
    <cfRule type="expression" priority="11" aboveAverage="0" equalAverage="0" bottom="0" percent="0" rank="0" text="" dxfId="0">
      <formula>AND(ISNUMBER(J12),J12&gt;3)</formula>
    </cfRule>
  </conditionalFormatting>
  <dataValidations count="1">
    <dataValidation allowBlank="true" error="Choisir une ligne ou TOUTES" errorStyle="stop" errorTitle="Valeur non valide" operator="between" prompt="Choisir une ligne ou TOUTES" showDropDown="false" showErrorMessage="true" showInputMessage="true" sqref="D5" type="list">
      <formula1>PARAMÈTRES!$B$32:$B$40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true"/>
  </sheetPr>
  <dimension ref="B2:P3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1" topLeftCell="C12" activePane="bottomRight" state="frozen"/>
      <selection pane="topLeft" activeCell="A1" activeCellId="0" sqref="A1"/>
      <selection pane="topRight" activeCell="C1" activeCellId="0" sqref="C1"/>
      <selection pane="bottomLeft" activeCell="A12" activeCellId="0" sqref="A1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18"/>
    <col collapsed="false" customWidth="true" hidden="false" outlineLevel="0" max="4" min="4" style="0" width="12"/>
    <col collapsed="false" customWidth="true" hidden="false" outlineLevel="0" max="5" min="5" style="0" width="26"/>
    <col collapsed="false" customWidth="true" hidden="false" outlineLevel="0" max="7" min="6" style="0" width="11"/>
    <col collapsed="false" customWidth="true" hidden="false" outlineLevel="0" max="8" min="8" style="0" width="8"/>
    <col collapsed="false" customWidth="true" hidden="false" outlineLevel="0" max="9" min="9" style="0" width="24"/>
    <col collapsed="false" customWidth="true" hidden="false" outlineLevel="0" max="10" min="10" style="0" width="11"/>
    <col collapsed="false" customWidth="true" hidden="false" outlineLevel="0" max="11" min="11" style="0" width="10"/>
    <col collapsed="false" customWidth="true" hidden="false" outlineLevel="0" max="12" min="12" style="0" width="11"/>
    <col collapsed="false" customWidth="true" hidden="false" outlineLevel="0" max="13" min="13" style="0" width="9"/>
    <col collapsed="false" customWidth="true" hidden="false" outlineLevel="0" max="14" min="14" style="0" width="24"/>
    <col collapsed="false" customWidth="true" hidden="false" outlineLevel="0" max="15" min="15" style="0" width="10"/>
    <col collapsed="false" customWidth="true" hidden="true" outlineLevel="0" max="16" min="16" style="0" width="13"/>
  </cols>
  <sheetData>
    <row r="2" customFormat="false" ht="33.75" hidden="false" customHeight="true" outlineLevel="0" collapsed="false">
      <c r="B2" s="134" t="s">
        <v>3206</v>
      </c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</row>
    <row r="4" customFormat="false" ht="19.7" hidden="false" customHeight="false" outlineLevel="0" collapsed="false">
      <c r="B4" s="116" t="s">
        <v>3021</v>
      </c>
      <c r="C4" s="117" t="n">
        <f aca="false">'PROGRAMME RT'!C4</f>
        <v>46293</v>
      </c>
      <c r="G4" s="116" t="s">
        <v>3194</v>
      </c>
      <c r="I4" s="118" t="n">
        <f aca="false">SUM('CARNET DE SOUDURE'!$AU$7:$AU$3006)</f>
        <v>66</v>
      </c>
      <c r="K4" s="135" t="s">
        <v>3207</v>
      </c>
      <c r="L4" s="136" t="s">
        <v>3208</v>
      </c>
    </row>
    <row r="5" customFormat="false" ht="15" hidden="false" customHeight="true" outlineLevel="0" collapsed="false">
      <c r="B5" s="116" t="s">
        <v>3016</v>
      </c>
      <c r="D5" s="119" t="s">
        <v>2</v>
      </c>
      <c r="E5" s="119"/>
      <c r="G5" s="120" t="s">
        <v>3209</v>
      </c>
      <c r="H5" s="120"/>
      <c r="I5" s="120"/>
      <c r="J5" s="120"/>
      <c r="K5" s="120"/>
      <c r="L5" s="120"/>
      <c r="P5" s="0" t="str">
        <f aca="false">IF(D5="TOUTES","*",D5)</f>
        <v>*</v>
      </c>
    </row>
    <row r="7" customFormat="false" ht="15" hidden="false" customHeight="true" outlineLevel="0" collapsed="false">
      <c r="B7" s="137" t="s">
        <v>3210</v>
      </c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</row>
    <row r="8" customFormat="false" ht="15" hidden="false" customHeight="true" outlineLevel="0" collapsed="false">
      <c r="B8" s="138" t="s">
        <v>3211</v>
      </c>
      <c r="C8" s="138"/>
      <c r="D8" s="138" t="s">
        <v>3212</v>
      </c>
      <c r="E8" s="138"/>
      <c r="F8" s="138" t="s">
        <v>3213</v>
      </c>
      <c r="G8" s="138"/>
      <c r="H8" s="138" t="s">
        <v>3214</v>
      </c>
      <c r="I8" s="138"/>
      <c r="J8" s="138" t="s">
        <v>3215</v>
      </c>
      <c r="K8" s="138"/>
      <c r="L8" s="138" t="s">
        <v>3216</v>
      </c>
      <c r="M8" s="138"/>
      <c r="N8" s="138"/>
    </row>
    <row r="9" customFormat="false" ht="25.5" hidden="false" customHeight="true" outlineLevel="0" collapsed="false">
      <c r="B9" s="124" t="n">
        <f aca="false">COUNTIFS('CARNET DE SOUDURE'!$B$7:$B$3006,$P$5,'CARNET DE SOUDURE'!$AA$7:$AA$3006,"R")+COUNTIFS('CARNET DE SOUDURE'!$B$7:$B$3006,$P$5,'CARNET DE SOUDURE'!$AA$7:$AA$3006,"NX")+COUNTIFS('CARNET DE SOUDURE'!$B$7:$B$3006,$P$5,'CARNET DE SOUDURE'!$AA$7:$AA$3006,"NT")+COUNTIFS('CARNET DE SOUDURE'!$B$7:$B$3006,$P$5,'CARNET DE SOUDURE'!$AA$7:$AA$3006,"CO")</f>
        <v>66</v>
      </c>
      <c r="C9" s="124"/>
      <c r="D9" s="124" t="n">
        <f aca="false">COUNTIFS('CARNET DE SOUDURE'!$B$7:$B$3006,$P$5,'CARNET DE SOUDURE'!$AA$7:$AA$3006,"R")</f>
        <v>54</v>
      </c>
      <c r="E9" s="124"/>
      <c r="F9" s="124" t="n">
        <f aca="false">COUNTIFS('CARNET DE SOUDURE'!$B$7:$B$3006,$P$5,'CARNET DE SOUDURE'!$AA$7:$AA$3006,"NX")</f>
        <v>11</v>
      </c>
      <c r="G9" s="124"/>
      <c r="H9" s="124" t="n">
        <f aca="false">COUNTIFS('CARNET DE SOUDURE'!$B$7:$B$3006,$P$5,'CARNET DE SOUDURE'!$AA$7:$AA$3006,"NT")</f>
        <v>1</v>
      </c>
      <c r="I9" s="124"/>
      <c r="J9" s="124" t="n">
        <f aca="false">COUNTIFS('CARNET DE SOUDURE'!$B$7:$B$3006,$P$5,'CARNET DE SOUDURE'!$AA$7:$AA$3006,"CO")</f>
        <v>0</v>
      </c>
      <c r="K9" s="124"/>
      <c r="L9" s="124" t="n">
        <f aca="false">COUNTIFS('CARNET DE SOUDURE'!$B$7:$B$3006,$P$5,'CARNET DE SOUDURE'!$AA$7:$AA$3006,"R",'CARNET DE SOUDURE'!$AQ$7:$AQ$3006,"&lt;&gt;ACCEPTÉ")+COUNTIFS('CARNET DE SOUDURE'!$B$7:$B$3006,$P$5,'CARNET DE SOUDURE'!$AA$7:$AA$3006,"NX",'CARNET DE SOUDURE'!$AQ$7:$AQ$3006,"&lt;&gt;ACCEPTÉ")+COUNTIFS('CARNET DE SOUDURE'!$B$7:$B$3006,$P$5,'CARNET DE SOUDURE'!$AA$7:$AA$3006,"NT",'CARNET DE SOUDURE'!$AQ$7:$AQ$3006,"&lt;&gt;ACCEPTÉ")+COUNTIFS('CARNET DE SOUDURE'!$B$7:$B$3006,$P$5,'CARNET DE SOUDURE'!$AA$7:$AA$3006,"CO",'CARNET DE SOUDURE'!$AQ$7:$AQ$3006,"&lt;&gt;ACCEPTÉ")</f>
        <v>66</v>
      </c>
      <c r="M9" s="124"/>
      <c r="N9" s="124"/>
    </row>
    <row r="11" customFormat="false" ht="30" hidden="false" customHeight="true" outlineLevel="0" collapsed="false">
      <c r="B11" s="37" t="s">
        <v>3201</v>
      </c>
      <c r="C11" s="37" t="s">
        <v>62</v>
      </c>
      <c r="D11" s="37" t="s">
        <v>3182</v>
      </c>
      <c r="E11" s="37" t="s">
        <v>3202</v>
      </c>
      <c r="F11" s="37" t="s">
        <v>85</v>
      </c>
      <c r="G11" s="37" t="s">
        <v>3217</v>
      </c>
      <c r="H11" s="37" t="s">
        <v>3218</v>
      </c>
      <c r="I11" s="37" t="s">
        <v>3219</v>
      </c>
      <c r="J11" s="37" t="s">
        <v>3220</v>
      </c>
      <c r="K11" s="37" t="s">
        <v>3221</v>
      </c>
      <c r="L11" s="37" t="s">
        <v>3222</v>
      </c>
      <c r="M11" s="37" t="s">
        <v>102</v>
      </c>
      <c r="N11" s="37" t="s">
        <v>3223</v>
      </c>
      <c r="O11" s="37" t="s">
        <v>104</v>
      </c>
    </row>
    <row r="12" customFormat="false" ht="15" hidden="false" customHeight="false" outlineLevel="0" collapsed="false">
      <c r="B12" s="125" t="n">
        <f aca="false">IF(1&gt;$I$4,"",1)</f>
        <v>1</v>
      </c>
      <c r="C12" s="125" t="str">
        <f aca="false">IF($B12="","",INDEX('CARNET DE SOUDURE'!$B$7:$B$3006,MATCH(1,'CARNET DE SOUDURE'!$AV$7:$AV$3006,0)))</f>
        <v>MFD-ISW → MFD-CPF</v>
      </c>
      <c r="D12" s="125" t="str">
        <f aca="false">IF($B12="","",INDEX('CARNET DE SOUDURE'!$E$7:$E$3006,MATCH(1,'CARNET DE SOUDURE'!$AV$7:$AV$3006,0)))</f>
        <v>DJ°443</v>
      </c>
      <c r="E12" s="125" t="str">
        <f aca="false">IF($B12="","",INDEX('CARNET DE SOUDURE'!$R$7:$R$3006,MATCH(1,'CARNET DE SOUDURE'!$AV$7:$AV$3006,0))&amp;IF(INDEX('CARNET DE SOUDURE'!$S$7:$S$3006,MATCH(1,'CARNET DE SOUDURE'!$AV$7:$AV$3006,0))&lt;&gt;""," / "&amp;INDEX('CARNET DE SOUDURE'!$S$7:$S$3006,MATCH(1,'CARNET DE SOUDURE'!$AV$7:$AV$3006,0)),"")&amp;IF(INDEX('CARNET DE SOUDURE'!$T$7:$T$3006,MATCH(1,'CARNET DE SOUDURE'!$AV$7:$AV$3006,0))&lt;&gt;""," / "&amp;INDEX('CARNET DE SOUDURE'!$T$7:$T$3006,MATCH(1,'CARNET DE SOUDURE'!$AV$7:$AV$3006,0)),""))</f>
        <v>WR-042</v>
      </c>
      <c r="F12" s="126" t="n">
        <f aca="false">IF($B12="","",INDEX('CARNET DE SOUDURE'!$Y$7:$Y$3006,MATCH(1,'CARNET DE SOUDURE'!$AV$7:$AV$3006,0)))</f>
        <v>46285</v>
      </c>
      <c r="G12" s="125" t="str">
        <f aca="false">IF($B12="","",INDEX('CARNET DE SOUDURE'!$Z$7:$Z$3006,MATCH(1,'CARNET DE SOUDURE'!$AV$7:$AV$3006,0))&amp;"")</f>
        <v>DJ-RT-047</v>
      </c>
      <c r="H12" s="127" t="str">
        <f aca="false">IF($B12="","",INDEX('CARNET DE SOUDURE'!$AA$7:$AA$3006,MATCH(1,'CARNET DE SOUDURE'!$AV$7:$AV$3006,0)))</f>
        <v>R</v>
      </c>
      <c r="I12" s="125" t="str">
        <f aca="false">IF($B12="","",INDEX('CARNET DE SOUDURE'!$AB$7:$AB$3006,MATCH(1,'CARNET DE SOUDURE'!$AV$7:$AV$3006,0))&amp;"")</f>
        <v>(108-114) SV 1 ere P</v>
      </c>
      <c r="J12" s="125" t="str">
        <f aca="false">IF($B12="","",INDEX('CARNET DE SOUDURE'!$AC$7:$AC$3006,MATCH(1,'CARNET DE SOUDURE'!$AV$7:$AV$3006,0))&amp;IF(INDEX('CARNET DE SOUDURE'!$AH$7:$AH$3006,MATCH(1,'CARNET DE SOUDURE'!$AV$7:$AV$3006,0))&lt;&gt;""," / "&amp;INDEX('CARNET DE SOUDURE'!$AH$7:$AH$3006,MATCH(1,'CARNET DE SOUDURE'!$AV$7:$AV$3006,0)),""))</f>
        <v/>
      </c>
      <c r="K12" s="125" t="str">
        <f aca="false">IF($B12="","",INDEX('CARNET DE SOUDURE'!$AD$7:$AD$3006,MATCH(1,'CARNET DE SOUDURE'!$AV$7:$AV$3006,0))&amp;IF(INDEX('CARNET DE SOUDURE'!$AI$7:$AI$3006,MATCH(1,'CARNET DE SOUDURE'!$AV$7:$AV$3006,0))&lt;&gt;""," / "&amp;INDEX('CARNET DE SOUDURE'!$AI$7:$AI$3006,MATCH(1,'CARNET DE SOUDURE'!$AV$7:$AV$3006,0)),""))</f>
        <v/>
      </c>
      <c r="L12" s="125" t="str">
        <f aca="false">IF($B12="","",INDEX('CARNET DE SOUDURE'!$AG$7:$AG$3006,MATCH(1,'CARNET DE SOUDURE'!$AV$7:$AV$3006,0))&amp;IF(INDEX('CARNET DE SOUDURE'!$AL$7:$AL$3006,MATCH(1,'CARNET DE SOUDURE'!$AV$7:$AV$3006,0))&lt;&gt;""," / "&amp;INDEX('CARNET DE SOUDURE'!$AL$7:$AL$3006,MATCH(1,'CARNET DE SOUDURE'!$AV$7:$AV$3006,0)),""))</f>
        <v/>
      </c>
      <c r="M12" s="127" t="str">
        <f aca="false">IF($B12="","",INDEX('CARNET DE SOUDURE'!$AP$7:$AP$3006,MATCH(1,'CARNET DE SOUDURE'!$AV$7:$AV$3006,0)))</f>
        <v>R</v>
      </c>
      <c r="N12" s="127" t="str">
        <f aca="false">IF($B12="","",INDEX('CARNET DE SOUDURE'!$AQ$7:$AQ$3006,MATCH(1,'CARNET DE SOUDURE'!$AV$7:$AV$3006,0)))</f>
        <v>À RÉPARER</v>
      </c>
      <c r="O12" s="128" t="n">
        <f aca="false">IF($B12="","",INDEX('CARNET DE SOUDURE'!$AR$7:$AR$3006,MATCH(1,'CARNET DE SOUDURE'!$AV$7:$AV$3006,0)))</f>
        <v>9</v>
      </c>
    </row>
    <row r="13" customFormat="false" ht="15" hidden="false" customHeight="false" outlineLevel="0" collapsed="false">
      <c r="B13" s="130" t="n">
        <f aca="false">IF(2&gt;$I$4,"",2)</f>
        <v>2</v>
      </c>
      <c r="C13" s="130" t="str">
        <f aca="false">IF($B13="","",INDEX('CARNET DE SOUDURE'!$B$7:$B$3006,MATCH(2,'CARNET DE SOUDURE'!$AV$7:$AV$3006,0)))</f>
        <v>MFD-ISW → MFD-CPF</v>
      </c>
      <c r="D13" s="130" t="str">
        <f aca="false">IF($B13="","",INDEX('CARNET DE SOUDURE'!$E$7:$E$3006,MATCH(2,'CARNET DE SOUDURE'!$AV$7:$AV$3006,0)))</f>
        <v>DJ°408</v>
      </c>
      <c r="E13" s="130" t="str">
        <f aca="false">IF($B13="","",INDEX('CARNET DE SOUDURE'!$R$7:$R$3006,MATCH(2,'CARNET DE SOUDURE'!$AV$7:$AV$3006,0))&amp;IF(INDEX('CARNET DE SOUDURE'!$S$7:$S$3006,MATCH(2,'CARNET DE SOUDURE'!$AV$7:$AV$3006,0))&lt;&gt;""," / "&amp;INDEX('CARNET DE SOUDURE'!$S$7:$S$3006,MATCH(2,'CARNET DE SOUDURE'!$AV$7:$AV$3006,0)),"")&amp;IF(INDEX('CARNET DE SOUDURE'!$T$7:$T$3006,MATCH(2,'CARNET DE SOUDURE'!$AV$7:$AV$3006,0))&lt;&gt;""," / "&amp;INDEX('CARNET DE SOUDURE'!$T$7:$T$3006,MATCH(2,'CARNET DE SOUDURE'!$AV$7:$AV$3006,0)),""))</f>
        <v>WR-040</v>
      </c>
      <c r="F13" s="131" t="n">
        <f aca="false">IF($B13="","",INDEX('CARNET DE SOUDURE'!$Y$7:$Y$3006,MATCH(2,'CARNET DE SOUDURE'!$AV$7:$AV$3006,0)))</f>
        <v>46281</v>
      </c>
      <c r="G13" s="130" t="str">
        <f aca="false">IF($B13="","",INDEX('CARNET DE SOUDURE'!$Z$7:$Z$3006,MATCH(2,'CARNET DE SOUDURE'!$AV$7:$AV$3006,0))&amp;"")</f>
        <v>DJ-RT-042</v>
      </c>
      <c r="H13" s="132" t="str">
        <f aca="false">IF($B13="","",INDEX('CARNET DE SOUDURE'!$AA$7:$AA$3006,MATCH(2,'CARNET DE SOUDURE'!$AV$7:$AV$3006,0)))</f>
        <v>R</v>
      </c>
      <c r="I13" s="130" t="str">
        <f aca="false">IF($B13="","",INDEX('CARNET DE SOUDURE'!$AB$7:$AB$3006,MATCH(2,'CARNET DE SOUDURE'!$AV$7:$AV$3006,0))&amp;"")</f>
        <v>(43-84)  L,F + POR : 1 Passe</v>
      </c>
      <c r="J13" s="130" t="str">
        <f aca="false">IF($B13="","",INDEX('CARNET DE SOUDURE'!$AC$7:$AC$3006,MATCH(2,'CARNET DE SOUDURE'!$AV$7:$AV$3006,0))&amp;IF(INDEX('CARNET DE SOUDURE'!$AH$7:$AH$3006,MATCH(2,'CARNET DE SOUDURE'!$AV$7:$AV$3006,0))&lt;&gt;""," / "&amp;INDEX('CARNET DE SOUDURE'!$AH$7:$AH$3006,MATCH(2,'CARNET DE SOUDURE'!$AV$7:$AV$3006,0)),""))</f>
        <v/>
      </c>
      <c r="K13" s="130" t="str">
        <f aca="false">IF($B13="","",INDEX('CARNET DE SOUDURE'!$AD$7:$AD$3006,MATCH(2,'CARNET DE SOUDURE'!$AV$7:$AV$3006,0))&amp;IF(INDEX('CARNET DE SOUDURE'!$AI$7:$AI$3006,MATCH(2,'CARNET DE SOUDURE'!$AV$7:$AV$3006,0))&lt;&gt;""," / "&amp;INDEX('CARNET DE SOUDURE'!$AI$7:$AI$3006,MATCH(2,'CARNET DE SOUDURE'!$AV$7:$AV$3006,0)),""))</f>
        <v/>
      </c>
      <c r="L13" s="130" t="str">
        <f aca="false">IF($B13="","",INDEX('CARNET DE SOUDURE'!$AG$7:$AG$3006,MATCH(2,'CARNET DE SOUDURE'!$AV$7:$AV$3006,0))&amp;IF(INDEX('CARNET DE SOUDURE'!$AL$7:$AL$3006,MATCH(2,'CARNET DE SOUDURE'!$AV$7:$AV$3006,0))&lt;&gt;""," / "&amp;INDEX('CARNET DE SOUDURE'!$AL$7:$AL$3006,MATCH(2,'CARNET DE SOUDURE'!$AV$7:$AV$3006,0)),""))</f>
        <v/>
      </c>
      <c r="M13" s="132" t="str">
        <f aca="false">IF($B13="","",INDEX('CARNET DE SOUDURE'!$AP$7:$AP$3006,MATCH(2,'CARNET DE SOUDURE'!$AV$7:$AV$3006,0)))</f>
        <v>R</v>
      </c>
      <c r="N13" s="132" t="str">
        <f aca="false">IF($B13="","",INDEX('CARNET DE SOUDURE'!$AQ$7:$AQ$3006,MATCH(2,'CARNET DE SOUDURE'!$AV$7:$AV$3006,0)))</f>
        <v>À RÉPARER</v>
      </c>
      <c r="O13" s="133" t="n">
        <f aca="false">IF($B13="","",INDEX('CARNET DE SOUDURE'!$AR$7:$AR$3006,MATCH(2,'CARNET DE SOUDURE'!$AV$7:$AV$3006,0)))</f>
        <v>13</v>
      </c>
    </row>
    <row r="14" customFormat="false" ht="15" hidden="false" customHeight="false" outlineLevel="0" collapsed="false">
      <c r="B14" s="125" t="n">
        <f aca="false">IF(3&gt;$I$4,"",3)</f>
        <v>3</v>
      </c>
      <c r="C14" s="125" t="str">
        <f aca="false">IF($B14="","",INDEX('CARNET DE SOUDURE'!$B$7:$B$3006,MATCH(3,'CARNET DE SOUDURE'!$AV$7:$AV$3006,0)))</f>
        <v>MFD-ISW → MFD-CPF</v>
      </c>
      <c r="D14" s="125" t="str">
        <f aca="false">IF($B14="","",INDEX('CARNET DE SOUDURE'!$E$7:$E$3006,MATCH(3,'CARNET DE SOUDURE'!$AV$7:$AV$3006,0)))</f>
        <v>JN°867</v>
      </c>
      <c r="E14" s="125" t="str">
        <f aca="false">IF($B14="","",INDEX('CARNET DE SOUDURE'!$R$7:$R$3006,MATCH(3,'CARNET DE SOUDURE'!$AV$7:$AV$3006,0))&amp;IF(INDEX('CARNET DE SOUDURE'!$S$7:$S$3006,MATCH(3,'CARNET DE SOUDURE'!$AV$7:$AV$3006,0))&lt;&gt;""," / "&amp;INDEX('CARNET DE SOUDURE'!$S$7:$S$3006,MATCH(3,'CARNET DE SOUDURE'!$AV$7:$AV$3006,0)),"")&amp;IF(INDEX('CARNET DE SOUDURE'!$T$7:$T$3006,MATCH(3,'CARNET DE SOUDURE'!$AV$7:$AV$3006,0))&lt;&gt;""," / "&amp;INDEX('CARNET DE SOUDURE'!$T$7:$T$3006,MATCH(3,'CARNET DE SOUDURE'!$AV$7:$AV$3006,0)),""))</f>
        <v>WR-46-52/30-33/51-45</v>
      </c>
      <c r="F14" s="126" t="n">
        <f aca="false">IF($B14="","",INDEX('CARNET DE SOUDURE'!$Y$7:$Y$3006,MATCH(3,'CARNET DE SOUDURE'!$AV$7:$AV$3006,0)))</f>
        <v>0</v>
      </c>
      <c r="G14" s="125" t="str">
        <f aca="false">IF($B14="","",INDEX('CARNET DE SOUDURE'!$Z$7:$Z$3006,MATCH(3,'CARNET DE SOUDURE'!$AV$7:$AV$3006,0))&amp;"")</f>
        <v/>
      </c>
      <c r="H14" s="127" t="str">
        <f aca="false">IF($B14="","",INDEX('CARNET DE SOUDURE'!$AA$7:$AA$3006,MATCH(3,'CARNET DE SOUDURE'!$AV$7:$AV$3006,0)))</f>
        <v>NX</v>
      </c>
      <c r="I14" s="125" t="str">
        <f aca="false">IF($B14="","",INDEX('CARNET DE SOUDURE'!$AB$7:$AB$3006,MATCH(3,'CARNET DE SOUDURE'!$AV$7:$AV$3006,0))&amp;"")</f>
        <v/>
      </c>
      <c r="J14" s="125" t="str">
        <f aca="false">IF($B14="","",INDEX('CARNET DE SOUDURE'!$AC$7:$AC$3006,MATCH(3,'CARNET DE SOUDURE'!$AV$7:$AV$3006,0))&amp;IF(INDEX('CARNET DE SOUDURE'!$AH$7:$AH$3006,MATCH(3,'CARNET DE SOUDURE'!$AV$7:$AV$3006,0))&lt;&gt;""," / "&amp;INDEX('CARNET DE SOUDURE'!$AH$7:$AH$3006,MATCH(3,'CARNET DE SOUDURE'!$AV$7:$AV$3006,0)),""))</f>
        <v/>
      </c>
      <c r="K14" s="125" t="str">
        <f aca="false">IF($B14="","",INDEX('CARNET DE SOUDURE'!$AD$7:$AD$3006,MATCH(3,'CARNET DE SOUDURE'!$AV$7:$AV$3006,0))&amp;IF(INDEX('CARNET DE SOUDURE'!$AI$7:$AI$3006,MATCH(3,'CARNET DE SOUDURE'!$AV$7:$AV$3006,0))&lt;&gt;""," / "&amp;INDEX('CARNET DE SOUDURE'!$AI$7:$AI$3006,MATCH(3,'CARNET DE SOUDURE'!$AV$7:$AV$3006,0)),""))</f>
        <v/>
      </c>
      <c r="L14" s="125" t="str">
        <f aca="false">IF($B14="","",INDEX('CARNET DE SOUDURE'!$AG$7:$AG$3006,MATCH(3,'CARNET DE SOUDURE'!$AV$7:$AV$3006,0))&amp;IF(INDEX('CARNET DE SOUDURE'!$AL$7:$AL$3006,MATCH(3,'CARNET DE SOUDURE'!$AV$7:$AV$3006,0))&lt;&gt;""," / "&amp;INDEX('CARNET DE SOUDURE'!$AL$7:$AL$3006,MATCH(3,'CARNET DE SOUDURE'!$AV$7:$AV$3006,0)),""))</f>
        <v/>
      </c>
      <c r="M14" s="127" t="str">
        <f aca="false">IF($B14="","",INDEX('CARNET DE SOUDURE'!$AP$7:$AP$3006,MATCH(3,'CARNET DE SOUDURE'!$AV$7:$AV$3006,0)))</f>
        <v>NX</v>
      </c>
      <c r="N14" s="127" t="str">
        <f aca="false">IF($B14="","",INDEX('CARNET DE SOUDURE'!$AQ$7:$AQ$3006,MATCH(3,'CARNET DE SOUDURE'!$AV$7:$AV$3006,0)))</f>
        <v>NX – RT À REFAIRE</v>
      </c>
      <c r="O14" s="128" t="n">
        <f aca="false">IF($B14="","",INDEX('CARNET DE SOUDURE'!$AR$7:$AR$3006,MATCH(3,'CARNET DE SOUDURE'!$AV$7:$AV$3006,0)))</f>
        <v>9</v>
      </c>
    </row>
    <row r="15" customFormat="false" ht="15" hidden="false" customHeight="false" outlineLevel="0" collapsed="false">
      <c r="B15" s="130" t="n">
        <f aca="false">IF(4&gt;$I$4,"",4)</f>
        <v>4</v>
      </c>
      <c r="C15" s="130" t="str">
        <f aca="false">IF($B15="","",INDEX('CARNET DE SOUDURE'!$B$7:$B$3006,MATCH(4,'CARNET DE SOUDURE'!$AV$7:$AV$3006,0)))</f>
        <v>MFD-ISW → MFD-CPF</v>
      </c>
      <c r="D15" s="130" t="str">
        <f aca="false">IF($B15="","",INDEX('CARNET DE SOUDURE'!$E$7:$E$3006,MATCH(4,'CARNET DE SOUDURE'!$AV$7:$AV$3006,0)))</f>
        <v>JN°881</v>
      </c>
      <c r="E15" s="130" t="str">
        <f aca="false">IF($B15="","",INDEX('CARNET DE SOUDURE'!$R$7:$R$3006,MATCH(4,'CARNET DE SOUDURE'!$AV$7:$AV$3006,0))&amp;IF(INDEX('CARNET DE SOUDURE'!$S$7:$S$3006,MATCH(4,'CARNET DE SOUDURE'!$AV$7:$AV$3006,0))&lt;&gt;""," / "&amp;INDEX('CARNET DE SOUDURE'!$S$7:$S$3006,MATCH(4,'CARNET DE SOUDURE'!$AV$7:$AV$3006,0)),"")&amp;IF(INDEX('CARNET DE SOUDURE'!$T$7:$T$3006,MATCH(4,'CARNET DE SOUDURE'!$AV$7:$AV$3006,0))&lt;&gt;""," / "&amp;INDEX('CARNET DE SOUDURE'!$T$7:$T$3006,MATCH(4,'CARNET DE SOUDURE'!$AV$7:$AV$3006,0)),""))</f>
        <v>WR-46-52/30-33/51-45</v>
      </c>
      <c r="F15" s="131" t="n">
        <f aca="false">IF($B15="","",INDEX('CARNET DE SOUDURE'!$Y$7:$Y$3006,MATCH(4,'CARNET DE SOUDURE'!$AV$7:$AV$3006,0)))</f>
        <v>46292</v>
      </c>
      <c r="G15" s="130" t="str">
        <f aca="false">IF($B15="","",INDEX('CARNET DE SOUDURE'!$Z$7:$Z$3006,MATCH(4,'CARNET DE SOUDURE'!$AV$7:$AV$3006,0))&amp;"")</f>
        <v>L-RT-062</v>
      </c>
      <c r="H15" s="132" t="str">
        <f aca="false">IF($B15="","",INDEX('CARNET DE SOUDURE'!$AA$7:$AA$3006,MATCH(4,'CARNET DE SOUDURE'!$AV$7:$AV$3006,0)))</f>
        <v>R</v>
      </c>
      <c r="I15" s="130" t="str">
        <f aca="false">IF($B15="","",INDEX('CARNET DE SOUDURE'!$AB$7:$AB$3006,MATCH(4,'CARNET DE SOUDURE'!$AV$7:$AV$3006,0))&amp;"")</f>
        <v>(35-45)(57-60)IP</v>
      </c>
      <c r="J15" s="130" t="str">
        <f aca="false">IF($B15="","",INDEX('CARNET DE SOUDURE'!$AC$7:$AC$3006,MATCH(4,'CARNET DE SOUDURE'!$AV$7:$AV$3006,0))&amp;IF(INDEX('CARNET DE SOUDURE'!$AH$7:$AH$3006,MATCH(4,'CARNET DE SOUDURE'!$AV$7:$AV$3006,0))&lt;&gt;""," / "&amp;INDEX('CARNET DE SOUDURE'!$AH$7:$AH$3006,MATCH(4,'CARNET DE SOUDURE'!$AV$7:$AV$3006,0)),""))</f>
        <v/>
      </c>
      <c r="K15" s="130" t="str">
        <f aca="false">IF($B15="","",INDEX('CARNET DE SOUDURE'!$AD$7:$AD$3006,MATCH(4,'CARNET DE SOUDURE'!$AV$7:$AV$3006,0))&amp;IF(INDEX('CARNET DE SOUDURE'!$AI$7:$AI$3006,MATCH(4,'CARNET DE SOUDURE'!$AV$7:$AV$3006,0))&lt;&gt;""," / "&amp;INDEX('CARNET DE SOUDURE'!$AI$7:$AI$3006,MATCH(4,'CARNET DE SOUDURE'!$AV$7:$AV$3006,0)),""))</f>
        <v/>
      </c>
      <c r="L15" s="130" t="str">
        <f aca="false">IF($B15="","",INDEX('CARNET DE SOUDURE'!$AG$7:$AG$3006,MATCH(4,'CARNET DE SOUDURE'!$AV$7:$AV$3006,0))&amp;IF(INDEX('CARNET DE SOUDURE'!$AL$7:$AL$3006,MATCH(4,'CARNET DE SOUDURE'!$AV$7:$AV$3006,0))&lt;&gt;""," / "&amp;INDEX('CARNET DE SOUDURE'!$AL$7:$AL$3006,MATCH(4,'CARNET DE SOUDURE'!$AV$7:$AV$3006,0)),""))</f>
        <v/>
      </c>
      <c r="M15" s="132" t="str">
        <f aca="false">IF($B15="","",INDEX('CARNET DE SOUDURE'!$AP$7:$AP$3006,MATCH(4,'CARNET DE SOUDURE'!$AV$7:$AV$3006,0)))</f>
        <v>R</v>
      </c>
      <c r="N15" s="132" t="str">
        <f aca="false">IF($B15="","",INDEX('CARNET DE SOUDURE'!$AQ$7:$AQ$3006,MATCH(4,'CARNET DE SOUDURE'!$AV$7:$AV$3006,0)))</f>
        <v>À RÉPARER</v>
      </c>
      <c r="O15" s="133" t="n">
        <f aca="false">IF($B15="","",INDEX('CARNET DE SOUDURE'!$AR$7:$AR$3006,MATCH(4,'CARNET DE SOUDURE'!$AV$7:$AV$3006,0)))</f>
        <v>9</v>
      </c>
    </row>
    <row r="16" customFormat="false" ht="15" hidden="false" customHeight="false" outlineLevel="0" collapsed="false">
      <c r="B16" s="125" t="n">
        <f aca="false">IF(5&gt;$I$4,"",5)</f>
        <v>5</v>
      </c>
      <c r="C16" s="125" t="str">
        <f aca="false">IF($B16="","",INDEX('CARNET DE SOUDURE'!$B$7:$B$3006,MATCH(5,'CARNET DE SOUDURE'!$AV$7:$AV$3006,0)))</f>
        <v>MFD-ISW → MFD-CPF</v>
      </c>
      <c r="D16" s="125" t="str">
        <f aca="false">IF($B16="","",INDEX('CARNET DE SOUDURE'!$E$7:$E$3006,MATCH(5,'CARNET DE SOUDURE'!$AV$7:$AV$3006,0)))</f>
        <v>JN°909</v>
      </c>
      <c r="E16" s="125" t="str">
        <f aca="false">IF($B16="","",INDEX('CARNET DE SOUDURE'!$R$7:$R$3006,MATCH(5,'CARNET DE SOUDURE'!$AV$7:$AV$3006,0))&amp;IF(INDEX('CARNET DE SOUDURE'!$S$7:$S$3006,MATCH(5,'CARNET DE SOUDURE'!$AV$7:$AV$3006,0))&lt;&gt;""," / "&amp;INDEX('CARNET DE SOUDURE'!$S$7:$S$3006,MATCH(5,'CARNET DE SOUDURE'!$AV$7:$AV$3006,0)),"")&amp;IF(INDEX('CARNET DE SOUDURE'!$T$7:$T$3006,MATCH(5,'CARNET DE SOUDURE'!$AV$7:$AV$3006,0))&lt;&gt;""," / "&amp;INDEX('CARNET DE SOUDURE'!$T$7:$T$3006,MATCH(5,'CARNET DE SOUDURE'!$AV$7:$AV$3006,0)),""))</f>
        <v>WR-46-52/30-33/51-45</v>
      </c>
      <c r="F16" s="126" t="n">
        <f aca="false">IF($B16="","",INDEX('CARNET DE SOUDURE'!$Y$7:$Y$3006,MATCH(5,'CARNET DE SOUDURE'!$AV$7:$AV$3006,0)))</f>
        <v>46287</v>
      </c>
      <c r="G16" s="125" t="str">
        <f aca="false">IF($B16="","",INDEX('CARNET DE SOUDURE'!$Z$7:$Z$3006,MATCH(5,'CARNET DE SOUDURE'!$AV$7:$AV$3006,0))&amp;"")</f>
        <v>L-RT-52</v>
      </c>
      <c r="H16" s="127" t="str">
        <f aca="false">IF($B16="","",INDEX('CARNET DE SOUDURE'!$AA$7:$AA$3006,MATCH(5,'CARNET DE SOUDURE'!$AV$7:$AV$3006,0)))</f>
        <v>R</v>
      </c>
      <c r="I16" s="125" t="str">
        <f aca="false">IF($B16="","",INDEX('CARNET DE SOUDURE'!$AB$7:$AB$3006,MATCH(5,'CARNET DE SOUDURE'!$AV$7:$AV$3006,0))&amp;"")</f>
        <v>(10-11)excés1p (65-80)IU 1P</v>
      </c>
      <c r="J16" s="125" t="str">
        <f aca="false">IF($B16="","",INDEX('CARNET DE SOUDURE'!$AC$7:$AC$3006,MATCH(5,'CARNET DE SOUDURE'!$AV$7:$AV$3006,0))&amp;IF(INDEX('CARNET DE SOUDURE'!$AH$7:$AH$3006,MATCH(5,'CARNET DE SOUDURE'!$AV$7:$AV$3006,0))&lt;&gt;""," / "&amp;INDEX('CARNET DE SOUDURE'!$AH$7:$AH$3006,MATCH(5,'CARNET DE SOUDURE'!$AV$7:$AV$3006,0)),""))</f>
        <v/>
      </c>
      <c r="K16" s="125" t="str">
        <f aca="false">IF($B16="","",INDEX('CARNET DE SOUDURE'!$AD$7:$AD$3006,MATCH(5,'CARNET DE SOUDURE'!$AV$7:$AV$3006,0))&amp;IF(INDEX('CARNET DE SOUDURE'!$AI$7:$AI$3006,MATCH(5,'CARNET DE SOUDURE'!$AV$7:$AV$3006,0))&lt;&gt;""," / "&amp;INDEX('CARNET DE SOUDURE'!$AI$7:$AI$3006,MATCH(5,'CARNET DE SOUDURE'!$AV$7:$AV$3006,0)),""))</f>
        <v/>
      </c>
      <c r="L16" s="125" t="str">
        <f aca="false">IF($B16="","",INDEX('CARNET DE SOUDURE'!$AG$7:$AG$3006,MATCH(5,'CARNET DE SOUDURE'!$AV$7:$AV$3006,0))&amp;IF(INDEX('CARNET DE SOUDURE'!$AL$7:$AL$3006,MATCH(5,'CARNET DE SOUDURE'!$AV$7:$AV$3006,0))&lt;&gt;""," / "&amp;INDEX('CARNET DE SOUDURE'!$AL$7:$AL$3006,MATCH(5,'CARNET DE SOUDURE'!$AV$7:$AV$3006,0)),""))</f>
        <v/>
      </c>
      <c r="M16" s="127" t="str">
        <f aca="false">IF($B16="","",INDEX('CARNET DE SOUDURE'!$AP$7:$AP$3006,MATCH(5,'CARNET DE SOUDURE'!$AV$7:$AV$3006,0)))</f>
        <v>R</v>
      </c>
      <c r="N16" s="127" t="str">
        <f aca="false">IF($B16="","",INDEX('CARNET DE SOUDURE'!$AQ$7:$AQ$3006,MATCH(5,'CARNET DE SOUDURE'!$AV$7:$AV$3006,0)))</f>
        <v>À RÉPARER</v>
      </c>
      <c r="O16" s="128" t="n">
        <f aca="false">IF($B16="","",INDEX('CARNET DE SOUDURE'!$AR$7:$AR$3006,MATCH(5,'CARNET DE SOUDURE'!$AV$7:$AV$3006,0)))</f>
        <v>9</v>
      </c>
    </row>
    <row r="17" customFormat="false" ht="15" hidden="false" customHeight="false" outlineLevel="0" collapsed="false">
      <c r="B17" s="130" t="n">
        <f aca="false">IF(6&gt;$I$4,"",6)</f>
        <v>6</v>
      </c>
      <c r="C17" s="130" t="str">
        <f aca="false">IF($B17="","",INDEX('CARNET DE SOUDURE'!$B$7:$B$3006,MATCH(6,'CARNET DE SOUDURE'!$AV$7:$AV$3006,0)))</f>
        <v>MFD-ISW → MFD-CPF</v>
      </c>
      <c r="D17" s="130" t="str">
        <f aca="false">IF($B17="","",INDEX('CARNET DE SOUDURE'!$E$7:$E$3006,MATCH(6,'CARNET DE SOUDURE'!$AV$7:$AV$3006,0)))</f>
        <v>JN°911</v>
      </c>
      <c r="E17" s="130" t="str">
        <f aca="false">IF($B17="","",INDEX('CARNET DE SOUDURE'!$R$7:$R$3006,MATCH(6,'CARNET DE SOUDURE'!$AV$7:$AV$3006,0))&amp;IF(INDEX('CARNET DE SOUDURE'!$S$7:$S$3006,MATCH(6,'CARNET DE SOUDURE'!$AV$7:$AV$3006,0))&lt;&gt;""," / "&amp;INDEX('CARNET DE SOUDURE'!$S$7:$S$3006,MATCH(6,'CARNET DE SOUDURE'!$AV$7:$AV$3006,0)),"")&amp;IF(INDEX('CARNET DE SOUDURE'!$T$7:$T$3006,MATCH(6,'CARNET DE SOUDURE'!$AV$7:$AV$3006,0))&lt;&gt;""," / "&amp;INDEX('CARNET DE SOUDURE'!$T$7:$T$3006,MATCH(6,'CARNET DE SOUDURE'!$AV$7:$AV$3006,0)),""))</f>
        <v>WR-46-52/30-33/51-45</v>
      </c>
      <c r="F17" s="131" t="n">
        <f aca="false">IF($B17="","",INDEX('CARNET DE SOUDURE'!$Y$7:$Y$3006,MATCH(6,'CARNET DE SOUDURE'!$AV$7:$AV$3006,0)))</f>
        <v>46287</v>
      </c>
      <c r="G17" s="130" t="str">
        <f aca="false">IF($B17="","",INDEX('CARNET DE SOUDURE'!$Z$7:$Z$3006,MATCH(6,'CARNET DE SOUDURE'!$AV$7:$AV$3006,0))&amp;"")</f>
        <v>L-RT-52</v>
      </c>
      <c r="H17" s="132" t="str">
        <f aca="false">IF($B17="","",INDEX('CARNET DE SOUDURE'!$AA$7:$AA$3006,MATCH(6,'CARNET DE SOUDURE'!$AV$7:$AV$3006,0)))</f>
        <v>R</v>
      </c>
      <c r="I17" s="130" t="str">
        <f aca="false">IF($B17="","",INDEX('CARNET DE SOUDURE'!$AB$7:$AB$3006,MATCH(6,'CARNET DE SOUDURE'!$AV$7:$AV$3006,0))&amp;"")</f>
        <v>(25-35)IU 1 P</v>
      </c>
      <c r="J17" s="130" t="str">
        <f aca="false">IF($B17="","",INDEX('CARNET DE SOUDURE'!$AC$7:$AC$3006,MATCH(6,'CARNET DE SOUDURE'!$AV$7:$AV$3006,0))&amp;IF(INDEX('CARNET DE SOUDURE'!$AH$7:$AH$3006,MATCH(6,'CARNET DE SOUDURE'!$AV$7:$AV$3006,0))&lt;&gt;""," / "&amp;INDEX('CARNET DE SOUDURE'!$AH$7:$AH$3006,MATCH(6,'CARNET DE SOUDURE'!$AV$7:$AV$3006,0)),""))</f>
        <v/>
      </c>
      <c r="K17" s="130" t="str">
        <f aca="false">IF($B17="","",INDEX('CARNET DE SOUDURE'!$AD$7:$AD$3006,MATCH(6,'CARNET DE SOUDURE'!$AV$7:$AV$3006,0))&amp;IF(INDEX('CARNET DE SOUDURE'!$AI$7:$AI$3006,MATCH(6,'CARNET DE SOUDURE'!$AV$7:$AV$3006,0))&lt;&gt;""," / "&amp;INDEX('CARNET DE SOUDURE'!$AI$7:$AI$3006,MATCH(6,'CARNET DE SOUDURE'!$AV$7:$AV$3006,0)),""))</f>
        <v/>
      </c>
      <c r="L17" s="130" t="str">
        <f aca="false">IF($B17="","",INDEX('CARNET DE SOUDURE'!$AG$7:$AG$3006,MATCH(6,'CARNET DE SOUDURE'!$AV$7:$AV$3006,0))&amp;IF(INDEX('CARNET DE SOUDURE'!$AL$7:$AL$3006,MATCH(6,'CARNET DE SOUDURE'!$AV$7:$AV$3006,0))&lt;&gt;""," / "&amp;INDEX('CARNET DE SOUDURE'!$AL$7:$AL$3006,MATCH(6,'CARNET DE SOUDURE'!$AV$7:$AV$3006,0)),""))</f>
        <v/>
      </c>
      <c r="M17" s="132" t="str">
        <f aca="false">IF($B17="","",INDEX('CARNET DE SOUDURE'!$AP$7:$AP$3006,MATCH(6,'CARNET DE SOUDURE'!$AV$7:$AV$3006,0)))</f>
        <v>R</v>
      </c>
      <c r="N17" s="132" t="str">
        <f aca="false">IF($B17="","",INDEX('CARNET DE SOUDURE'!$AQ$7:$AQ$3006,MATCH(6,'CARNET DE SOUDURE'!$AV$7:$AV$3006,0)))</f>
        <v>À RÉPARER</v>
      </c>
      <c r="O17" s="133" t="n">
        <f aca="false">IF($B17="","",INDEX('CARNET DE SOUDURE'!$AR$7:$AR$3006,MATCH(6,'CARNET DE SOUDURE'!$AV$7:$AV$3006,0)))</f>
        <v>9</v>
      </c>
    </row>
    <row r="18" customFormat="false" ht="15" hidden="false" customHeight="false" outlineLevel="0" collapsed="false">
      <c r="B18" s="125" t="n">
        <f aca="false">IF(7&gt;$I$4,"",7)</f>
        <v>7</v>
      </c>
      <c r="C18" s="125" t="str">
        <f aca="false">IF($B18="","",INDEX('CARNET DE SOUDURE'!$B$7:$B$3006,MATCH(7,'CARNET DE SOUDURE'!$AV$7:$AV$3006,0)))</f>
        <v>MFD-ISW → MFD-CPF</v>
      </c>
      <c r="D18" s="125" t="str">
        <f aca="false">IF($B18="","",INDEX('CARNET DE SOUDURE'!$E$7:$E$3006,MATCH(7,'CARNET DE SOUDURE'!$AV$7:$AV$3006,0)))</f>
        <v>JN°914</v>
      </c>
      <c r="E18" s="125" t="str">
        <f aca="false">IF($B18="","",INDEX('CARNET DE SOUDURE'!$R$7:$R$3006,MATCH(7,'CARNET DE SOUDURE'!$AV$7:$AV$3006,0))&amp;IF(INDEX('CARNET DE SOUDURE'!$S$7:$S$3006,MATCH(7,'CARNET DE SOUDURE'!$AV$7:$AV$3006,0))&lt;&gt;""," / "&amp;INDEX('CARNET DE SOUDURE'!$S$7:$S$3006,MATCH(7,'CARNET DE SOUDURE'!$AV$7:$AV$3006,0)),"")&amp;IF(INDEX('CARNET DE SOUDURE'!$T$7:$T$3006,MATCH(7,'CARNET DE SOUDURE'!$AV$7:$AV$3006,0))&lt;&gt;""," / "&amp;INDEX('CARNET DE SOUDURE'!$T$7:$T$3006,MATCH(7,'CARNET DE SOUDURE'!$AV$7:$AV$3006,0)),""))</f>
        <v>WR-46-52/30-33/51-45</v>
      </c>
      <c r="F18" s="126" t="n">
        <f aca="false">IF($B18="","",INDEX('CARNET DE SOUDURE'!$Y$7:$Y$3006,MATCH(7,'CARNET DE SOUDURE'!$AV$7:$AV$3006,0)))</f>
        <v>46287</v>
      </c>
      <c r="G18" s="125" t="str">
        <f aca="false">IF($B18="","",INDEX('CARNET DE SOUDURE'!$Z$7:$Z$3006,MATCH(7,'CARNET DE SOUDURE'!$AV$7:$AV$3006,0))&amp;"")</f>
        <v>L-RT-52</v>
      </c>
      <c r="H18" s="127" t="str">
        <f aca="false">IF($B18="","",INDEX('CARNET DE SOUDURE'!$AA$7:$AA$3006,MATCH(7,'CARNET DE SOUDURE'!$AV$7:$AV$3006,0)))</f>
        <v>R</v>
      </c>
      <c r="I18" s="125" t="str">
        <f aca="false">IF($B18="","",INDEX('CARNET DE SOUDURE'!$AB$7:$AB$3006,MATCH(7,'CARNET DE SOUDURE'!$AV$7:$AV$3006,0))&amp;"")</f>
        <v>(55-65)IU 1 P</v>
      </c>
      <c r="J18" s="125" t="str">
        <f aca="false">IF($B18="","",INDEX('CARNET DE SOUDURE'!$AC$7:$AC$3006,MATCH(7,'CARNET DE SOUDURE'!$AV$7:$AV$3006,0))&amp;IF(INDEX('CARNET DE SOUDURE'!$AH$7:$AH$3006,MATCH(7,'CARNET DE SOUDURE'!$AV$7:$AV$3006,0))&lt;&gt;""," / "&amp;INDEX('CARNET DE SOUDURE'!$AH$7:$AH$3006,MATCH(7,'CARNET DE SOUDURE'!$AV$7:$AV$3006,0)),""))</f>
        <v/>
      </c>
      <c r="K18" s="125" t="str">
        <f aca="false">IF($B18="","",INDEX('CARNET DE SOUDURE'!$AD$7:$AD$3006,MATCH(7,'CARNET DE SOUDURE'!$AV$7:$AV$3006,0))&amp;IF(INDEX('CARNET DE SOUDURE'!$AI$7:$AI$3006,MATCH(7,'CARNET DE SOUDURE'!$AV$7:$AV$3006,0))&lt;&gt;""," / "&amp;INDEX('CARNET DE SOUDURE'!$AI$7:$AI$3006,MATCH(7,'CARNET DE SOUDURE'!$AV$7:$AV$3006,0)),""))</f>
        <v/>
      </c>
      <c r="L18" s="125" t="str">
        <f aca="false">IF($B18="","",INDEX('CARNET DE SOUDURE'!$AG$7:$AG$3006,MATCH(7,'CARNET DE SOUDURE'!$AV$7:$AV$3006,0))&amp;IF(INDEX('CARNET DE SOUDURE'!$AL$7:$AL$3006,MATCH(7,'CARNET DE SOUDURE'!$AV$7:$AV$3006,0))&lt;&gt;""," / "&amp;INDEX('CARNET DE SOUDURE'!$AL$7:$AL$3006,MATCH(7,'CARNET DE SOUDURE'!$AV$7:$AV$3006,0)),""))</f>
        <v/>
      </c>
      <c r="M18" s="127" t="str">
        <f aca="false">IF($B18="","",INDEX('CARNET DE SOUDURE'!$AP$7:$AP$3006,MATCH(7,'CARNET DE SOUDURE'!$AV$7:$AV$3006,0)))</f>
        <v>R</v>
      </c>
      <c r="N18" s="127" t="str">
        <f aca="false">IF($B18="","",INDEX('CARNET DE SOUDURE'!$AQ$7:$AQ$3006,MATCH(7,'CARNET DE SOUDURE'!$AV$7:$AV$3006,0)))</f>
        <v>À RÉPARER</v>
      </c>
      <c r="O18" s="128" t="n">
        <f aca="false">IF($B18="","",INDEX('CARNET DE SOUDURE'!$AR$7:$AR$3006,MATCH(7,'CARNET DE SOUDURE'!$AV$7:$AV$3006,0)))</f>
        <v>9</v>
      </c>
    </row>
    <row r="19" customFormat="false" ht="15" hidden="false" customHeight="false" outlineLevel="0" collapsed="false">
      <c r="B19" s="130" t="n">
        <f aca="false">IF(8&gt;$I$4,"",8)</f>
        <v>8</v>
      </c>
      <c r="C19" s="130" t="str">
        <f aca="false">IF($B19="","",INDEX('CARNET DE SOUDURE'!$B$7:$B$3006,MATCH(8,'CARNET DE SOUDURE'!$AV$7:$AV$3006,0)))</f>
        <v>MFD-ISW → MFD-CPF</v>
      </c>
      <c r="D19" s="130" t="str">
        <f aca="false">IF($B19="","",INDEX('CARNET DE SOUDURE'!$E$7:$E$3006,MATCH(8,'CARNET DE SOUDURE'!$AV$7:$AV$3006,0)))</f>
        <v>JN°915</v>
      </c>
      <c r="E19" s="130" t="str">
        <f aca="false">IF($B19="","",INDEX('CARNET DE SOUDURE'!$R$7:$R$3006,MATCH(8,'CARNET DE SOUDURE'!$AV$7:$AV$3006,0))&amp;IF(INDEX('CARNET DE SOUDURE'!$S$7:$S$3006,MATCH(8,'CARNET DE SOUDURE'!$AV$7:$AV$3006,0))&lt;&gt;""," / "&amp;INDEX('CARNET DE SOUDURE'!$S$7:$S$3006,MATCH(8,'CARNET DE SOUDURE'!$AV$7:$AV$3006,0)),"")&amp;IF(INDEX('CARNET DE SOUDURE'!$T$7:$T$3006,MATCH(8,'CARNET DE SOUDURE'!$AV$7:$AV$3006,0))&lt;&gt;""," / "&amp;INDEX('CARNET DE SOUDURE'!$T$7:$T$3006,MATCH(8,'CARNET DE SOUDURE'!$AV$7:$AV$3006,0)),""))</f>
        <v>WR-46-52/30-33/51-45</v>
      </c>
      <c r="F19" s="131" t="n">
        <f aca="false">IF($B19="","",INDEX('CARNET DE SOUDURE'!$Y$7:$Y$3006,MATCH(8,'CARNET DE SOUDURE'!$AV$7:$AV$3006,0)))</f>
        <v>46287</v>
      </c>
      <c r="G19" s="130" t="str">
        <f aca="false">IF($B19="","",INDEX('CARNET DE SOUDURE'!$Z$7:$Z$3006,MATCH(8,'CARNET DE SOUDURE'!$AV$7:$AV$3006,0))&amp;"")</f>
        <v>L-RT-52</v>
      </c>
      <c r="H19" s="132" t="str">
        <f aca="false">IF($B19="","",INDEX('CARNET DE SOUDURE'!$AA$7:$AA$3006,MATCH(8,'CARNET DE SOUDURE'!$AV$7:$AV$3006,0)))</f>
        <v>R</v>
      </c>
      <c r="I19" s="130" t="str">
        <f aca="false">IF($B19="","",INDEX('CARNET DE SOUDURE'!$AB$7:$AB$3006,MATCH(8,'CARNET DE SOUDURE'!$AV$7:$AV$3006,0))&amp;"")</f>
        <v>(55-65IU 1 P</v>
      </c>
      <c r="J19" s="130" t="str">
        <f aca="false">IF($B19="","",INDEX('CARNET DE SOUDURE'!$AC$7:$AC$3006,MATCH(8,'CARNET DE SOUDURE'!$AV$7:$AV$3006,0))&amp;IF(INDEX('CARNET DE SOUDURE'!$AH$7:$AH$3006,MATCH(8,'CARNET DE SOUDURE'!$AV$7:$AV$3006,0))&lt;&gt;""," / "&amp;INDEX('CARNET DE SOUDURE'!$AH$7:$AH$3006,MATCH(8,'CARNET DE SOUDURE'!$AV$7:$AV$3006,0)),""))</f>
        <v/>
      </c>
      <c r="K19" s="130" t="str">
        <f aca="false">IF($B19="","",INDEX('CARNET DE SOUDURE'!$AD$7:$AD$3006,MATCH(8,'CARNET DE SOUDURE'!$AV$7:$AV$3006,0))&amp;IF(INDEX('CARNET DE SOUDURE'!$AI$7:$AI$3006,MATCH(8,'CARNET DE SOUDURE'!$AV$7:$AV$3006,0))&lt;&gt;""," / "&amp;INDEX('CARNET DE SOUDURE'!$AI$7:$AI$3006,MATCH(8,'CARNET DE SOUDURE'!$AV$7:$AV$3006,0)),""))</f>
        <v/>
      </c>
      <c r="L19" s="130" t="str">
        <f aca="false">IF($B19="","",INDEX('CARNET DE SOUDURE'!$AG$7:$AG$3006,MATCH(8,'CARNET DE SOUDURE'!$AV$7:$AV$3006,0))&amp;IF(INDEX('CARNET DE SOUDURE'!$AL$7:$AL$3006,MATCH(8,'CARNET DE SOUDURE'!$AV$7:$AV$3006,0))&lt;&gt;""," / "&amp;INDEX('CARNET DE SOUDURE'!$AL$7:$AL$3006,MATCH(8,'CARNET DE SOUDURE'!$AV$7:$AV$3006,0)),""))</f>
        <v/>
      </c>
      <c r="M19" s="132" t="str">
        <f aca="false">IF($B19="","",INDEX('CARNET DE SOUDURE'!$AP$7:$AP$3006,MATCH(8,'CARNET DE SOUDURE'!$AV$7:$AV$3006,0)))</f>
        <v>R</v>
      </c>
      <c r="N19" s="132" t="str">
        <f aca="false">IF($B19="","",INDEX('CARNET DE SOUDURE'!$AQ$7:$AQ$3006,MATCH(8,'CARNET DE SOUDURE'!$AV$7:$AV$3006,0)))</f>
        <v>À RÉPARER</v>
      </c>
      <c r="O19" s="133" t="n">
        <f aca="false">IF($B19="","",INDEX('CARNET DE SOUDURE'!$AR$7:$AR$3006,MATCH(8,'CARNET DE SOUDURE'!$AV$7:$AV$3006,0)))</f>
        <v>9</v>
      </c>
    </row>
    <row r="20" customFormat="false" ht="15" hidden="false" customHeight="false" outlineLevel="0" collapsed="false">
      <c r="B20" s="125" t="n">
        <f aca="false">IF(9&gt;$I$4,"",9)</f>
        <v>9</v>
      </c>
      <c r="C20" s="125" t="str">
        <f aca="false">IF($B20="","",INDEX('CARNET DE SOUDURE'!$B$7:$B$3006,MATCH(9,'CARNET DE SOUDURE'!$AV$7:$AV$3006,0)))</f>
        <v>MFD-ISW → MFD-CPF</v>
      </c>
      <c r="D20" s="125" t="str">
        <f aca="false">IF($B20="","",INDEX('CARNET DE SOUDURE'!$E$7:$E$3006,MATCH(9,'CARNET DE SOUDURE'!$AV$7:$AV$3006,0)))</f>
        <v>JN°916</v>
      </c>
      <c r="E20" s="125" t="str">
        <f aca="false">IF($B20="","",INDEX('CARNET DE SOUDURE'!$R$7:$R$3006,MATCH(9,'CARNET DE SOUDURE'!$AV$7:$AV$3006,0))&amp;IF(INDEX('CARNET DE SOUDURE'!$S$7:$S$3006,MATCH(9,'CARNET DE SOUDURE'!$AV$7:$AV$3006,0))&lt;&gt;""," / "&amp;INDEX('CARNET DE SOUDURE'!$S$7:$S$3006,MATCH(9,'CARNET DE SOUDURE'!$AV$7:$AV$3006,0)),"")&amp;IF(INDEX('CARNET DE SOUDURE'!$T$7:$T$3006,MATCH(9,'CARNET DE SOUDURE'!$AV$7:$AV$3006,0))&lt;&gt;""," / "&amp;INDEX('CARNET DE SOUDURE'!$T$7:$T$3006,MATCH(9,'CARNET DE SOUDURE'!$AV$7:$AV$3006,0)),""))</f>
        <v>WR-46-52/30-33/51-45</v>
      </c>
      <c r="F20" s="126" t="n">
        <f aca="false">IF($B20="","",INDEX('CARNET DE SOUDURE'!$Y$7:$Y$3006,MATCH(9,'CARNET DE SOUDURE'!$AV$7:$AV$3006,0)))</f>
        <v>46287</v>
      </c>
      <c r="G20" s="125" t="str">
        <f aca="false">IF($B20="","",INDEX('CARNET DE SOUDURE'!$Z$7:$Z$3006,MATCH(9,'CARNET DE SOUDURE'!$AV$7:$AV$3006,0))&amp;"")</f>
        <v>L-RT-52</v>
      </c>
      <c r="H20" s="127" t="str">
        <f aca="false">IF($B20="","",INDEX('CARNET DE SOUDURE'!$AA$7:$AA$3006,MATCH(9,'CARNET DE SOUDURE'!$AV$7:$AV$3006,0)))</f>
        <v>R</v>
      </c>
      <c r="I20" s="125" t="str">
        <f aca="false">IF($B20="","",INDEX('CARNET DE SOUDURE'!$AB$7:$AB$3006,MATCH(9,'CARNET DE SOUDURE'!$AV$7:$AV$3006,0))&amp;"")</f>
        <v>(53-66)iu 1 p</v>
      </c>
      <c r="J20" s="125" t="str">
        <f aca="false">IF($B20="","",INDEX('CARNET DE SOUDURE'!$AC$7:$AC$3006,MATCH(9,'CARNET DE SOUDURE'!$AV$7:$AV$3006,0))&amp;IF(INDEX('CARNET DE SOUDURE'!$AH$7:$AH$3006,MATCH(9,'CARNET DE SOUDURE'!$AV$7:$AV$3006,0))&lt;&gt;""," / "&amp;INDEX('CARNET DE SOUDURE'!$AH$7:$AH$3006,MATCH(9,'CARNET DE SOUDURE'!$AV$7:$AV$3006,0)),""))</f>
        <v/>
      </c>
      <c r="K20" s="125" t="str">
        <f aca="false">IF($B20="","",INDEX('CARNET DE SOUDURE'!$AD$7:$AD$3006,MATCH(9,'CARNET DE SOUDURE'!$AV$7:$AV$3006,0))&amp;IF(INDEX('CARNET DE SOUDURE'!$AI$7:$AI$3006,MATCH(9,'CARNET DE SOUDURE'!$AV$7:$AV$3006,0))&lt;&gt;""," / "&amp;INDEX('CARNET DE SOUDURE'!$AI$7:$AI$3006,MATCH(9,'CARNET DE SOUDURE'!$AV$7:$AV$3006,0)),""))</f>
        <v/>
      </c>
      <c r="L20" s="125" t="str">
        <f aca="false">IF($B20="","",INDEX('CARNET DE SOUDURE'!$AG$7:$AG$3006,MATCH(9,'CARNET DE SOUDURE'!$AV$7:$AV$3006,0))&amp;IF(INDEX('CARNET DE SOUDURE'!$AL$7:$AL$3006,MATCH(9,'CARNET DE SOUDURE'!$AV$7:$AV$3006,0))&lt;&gt;""," / "&amp;INDEX('CARNET DE SOUDURE'!$AL$7:$AL$3006,MATCH(9,'CARNET DE SOUDURE'!$AV$7:$AV$3006,0)),""))</f>
        <v/>
      </c>
      <c r="M20" s="127" t="str">
        <f aca="false">IF($B20="","",INDEX('CARNET DE SOUDURE'!$AP$7:$AP$3006,MATCH(9,'CARNET DE SOUDURE'!$AV$7:$AV$3006,0)))</f>
        <v>R</v>
      </c>
      <c r="N20" s="127" t="str">
        <f aca="false">IF($B20="","",INDEX('CARNET DE SOUDURE'!$AQ$7:$AQ$3006,MATCH(9,'CARNET DE SOUDURE'!$AV$7:$AV$3006,0)))</f>
        <v>À RÉPARER</v>
      </c>
      <c r="O20" s="128" t="n">
        <f aca="false">IF($B20="","",INDEX('CARNET DE SOUDURE'!$AR$7:$AR$3006,MATCH(9,'CARNET DE SOUDURE'!$AV$7:$AV$3006,0)))</f>
        <v>9</v>
      </c>
    </row>
    <row r="21" customFormat="false" ht="15" hidden="false" customHeight="false" outlineLevel="0" collapsed="false">
      <c r="B21" s="130" t="n">
        <f aca="false">IF(10&gt;$I$4,"",10)</f>
        <v>10</v>
      </c>
      <c r="C21" s="130" t="str">
        <f aca="false">IF($B21="","",INDEX('CARNET DE SOUDURE'!$B$7:$B$3006,MATCH(10,'CARNET DE SOUDURE'!$AV$7:$AV$3006,0)))</f>
        <v>MFD-ISW → MFD-CPF</v>
      </c>
      <c r="D21" s="130" t="str">
        <f aca="false">IF($B21="","",INDEX('CARNET DE SOUDURE'!$E$7:$E$3006,MATCH(10,'CARNET DE SOUDURE'!$AV$7:$AV$3006,0)))</f>
        <v>JN°919</v>
      </c>
      <c r="E21" s="130" t="str">
        <f aca="false">IF($B21="","",INDEX('CARNET DE SOUDURE'!$R$7:$R$3006,MATCH(10,'CARNET DE SOUDURE'!$AV$7:$AV$3006,0))&amp;IF(INDEX('CARNET DE SOUDURE'!$S$7:$S$3006,MATCH(10,'CARNET DE SOUDURE'!$AV$7:$AV$3006,0))&lt;&gt;""," / "&amp;INDEX('CARNET DE SOUDURE'!$S$7:$S$3006,MATCH(10,'CARNET DE SOUDURE'!$AV$7:$AV$3006,0)),"")&amp;IF(INDEX('CARNET DE SOUDURE'!$T$7:$T$3006,MATCH(10,'CARNET DE SOUDURE'!$AV$7:$AV$3006,0))&lt;&gt;""," / "&amp;INDEX('CARNET DE SOUDURE'!$T$7:$T$3006,MATCH(10,'CARNET DE SOUDURE'!$AV$7:$AV$3006,0)),""))</f>
        <v>WR-46-52/30-33/51-45</v>
      </c>
      <c r="F21" s="131" t="n">
        <f aca="false">IF($B21="","",INDEX('CARNET DE SOUDURE'!$Y$7:$Y$3006,MATCH(10,'CARNET DE SOUDURE'!$AV$7:$AV$3006,0)))</f>
        <v>46287</v>
      </c>
      <c r="G21" s="130" t="str">
        <f aca="false">IF($B21="","",INDEX('CARNET DE SOUDURE'!$Z$7:$Z$3006,MATCH(10,'CARNET DE SOUDURE'!$AV$7:$AV$3006,0))&amp;"")</f>
        <v>L-RT-52</v>
      </c>
      <c r="H21" s="132" t="str">
        <f aca="false">IF($B21="","",INDEX('CARNET DE SOUDURE'!$AA$7:$AA$3006,MATCH(10,'CARNET DE SOUDURE'!$AV$7:$AV$3006,0)))</f>
        <v>R</v>
      </c>
      <c r="I21" s="130" t="str">
        <f aca="false">IF($B21="","",INDEX('CARNET DE SOUDURE'!$AB$7:$AB$3006,MATCH(10,'CARNET DE SOUDURE'!$AV$7:$AV$3006,0))&amp;"")</f>
        <v>(60-78)IU 1 P</v>
      </c>
      <c r="J21" s="130" t="str">
        <f aca="false">IF($B21="","",INDEX('CARNET DE SOUDURE'!$AC$7:$AC$3006,MATCH(10,'CARNET DE SOUDURE'!$AV$7:$AV$3006,0))&amp;IF(INDEX('CARNET DE SOUDURE'!$AH$7:$AH$3006,MATCH(10,'CARNET DE SOUDURE'!$AV$7:$AV$3006,0))&lt;&gt;""," / "&amp;INDEX('CARNET DE SOUDURE'!$AH$7:$AH$3006,MATCH(10,'CARNET DE SOUDURE'!$AV$7:$AV$3006,0)),""))</f>
        <v/>
      </c>
      <c r="K21" s="130" t="str">
        <f aca="false">IF($B21="","",INDEX('CARNET DE SOUDURE'!$AD$7:$AD$3006,MATCH(10,'CARNET DE SOUDURE'!$AV$7:$AV$3006,0))&amp;IF(INDEX('CARNET DE SOUDURE'!$AI$7:$AI$3006,MATCH(10,'CARNET DE SOUDURE'!$AV$7:$AV$3006,0))&lt;&gt;""," / "&amp;INDEX('CARNET DE SOUDURE'!$AI$7:$AI$3006,MATCH(10,'CARNET DE SOUDURE'!$AV$7:$AV$3006,0)),""))</f>
        <v/>
      </c>
      <c r="L21" s="130" t="str">
        <f aca="false">IF($B21="","",INDEX('CARNET DE SOUDURE'!$AG$7:$AG$3006,MATCH(10,'CARNET DE SOUDURE'!$AV$7:$AV$3006,0))&amp;IF(INDEX('CARNET DE SOUDURE'!$AL$7:$AL$3006,MATCH(10,'CARNET DE SOUDURE'!$AV$7:$AV$3006,0))&lt;&gt;""," / "&amp;INDEX('CARNET DE SOUDURE'!$AL$7:$AL$3006,MATCH(10,'CARNET DE SOUDURE'!$AV$7:$AV$3006,0)),""))</f>
        <v/>
      </c>
      <c r="M21" s="132" t="str">
        <f aca="false">IF($B21="","",INDEX('CARNET DE SOUDURE'!$AP$7:$AP$3006,MATCH(10,'CARNET DE SOUDURE'!$AV$7:$AV$3006,0)))</f>
        <v>R</v>
      </c>
      <c r="N21" s="132" t="str">
        <f aca="false">IF($B21="","",INDEX('CARNET DE SOUDURE'!$AQ$7:$AQ$3006,MATCH(10,'CARNET DE SOUDURE'!$AV$7:$AV$3006,0)))</f>
        <v>À RÉPARER</v>
      </c>
      <c r="O21" s="133" t="n">
        <f aca="false">IF($B21="","",INDEX('CARNET DE SOUDURE'!$AR$7:$AR$3006,MATCH(10,'CARNET DE SOUDURE'!$AV$7:$AV$3006,0)))</f>
        <v>9</v>
      </c>
    </row>
    <row r="22" customFormat="false" ht="15" hidden="false" customHeight="false" outlineLevel="0" collapsed="false">
      <c r="B22" s="125" t="n">
        <f aca="false">IF(11&gt;$I$4,"",11)</f>
        <v>11</v>
      </c>
      <c r="C22" s="125" t="str">
        <f aca="false">IF($B22="","",INDEX('CARNET DE SOUDURE'!$B$7:$B$3006,MATCH(11,'CARNET DE SOUDURE'!$AV$7:$AV$3006,0)))</f>
        <v>MFD-ISW → MFD-CPF</v>
      </c>
      <c r="D22" s="125" t="str">
        <f aca="false">IF($B22="","",INDEX('CARNET DE SOUDURE'!$E$7:$E$3006,MATCH(11,'CARNET DE SOUDURE'!$AV$7:$AV$3006,0)))</f>
        <v>JN°926</v>
      </c>
      <c r="E22" s="125" t="str">
        <f aca="false">IF($B22="","",INDEX('CARNET DE SOUDURE'!$R$7:$R$3006,MATCH(11,'CARNET DE SOUDURE'!$AV$7:$AV$3006,0))&amp;IF(INDEX('CARNET DE SOUDURE'!$S$7:$S$3006,MATCH(11,'CARNET DE SOUDURE'!$AV$7:$AV$3006,0))&lt;&gt;""," / "&amp;INDEX('CARNET DE SOUDURE'!$S$7:$S$3006,MATCH(11,'CARNET DE SOUDURE'!$AV$7:$AV$3006,0)),"")&amp;IF(INDEX('CARNET DE SOUDURE'!$T$7:$T$3006,MATCH(11,'CARNET DE SOUDURE'!$AV$7:$AV$3006,0))&lt;&gt;""," / "&amp;INDEX('CARNET DE SOUDURE'!$T$7:$T$3006,MATCH(11,'CARNET DE SOUDURE'!$AV$7:$AV$3006,0)),""))</f>
        <v>WR-51-52/33-45</v>
      </c>
      <c r="F22" s="126" t="n">
        <f aca="false">IF($B22="","",INDEX('CARNET DE SOUDURE'!$Y$7:$Y$3006,MATCH(11,'CARNET DE SOUDURE'!$AV$7:$AV$3006,0)))</f>
        <v>46287</v>
      </c>
      <c r="G22" s="125" t="str">
        <f aca="false">IF($B22="","",INDEX('CARNET DE SOUDURE'!$Z$7:$Z$3006,MATCH(11,'CARNET DE SOUDURE'!$AV$7:$AV$3006,0))&amp;"")</f>
        <v>L-RT-53</v>
      </c>
      <c r="H22" s="127" t="str">
        <f aca="false">IF($B22="","",INDEX('CARNET DE SOUDURE'!$AA$7:$AA$3006,MATCH(11,'CARNET DE SOUDURE'!$AV$7:$AV$3006,0)))</f>
        <v>R</v>
      </c>
      <c r="I22" s="125" t="str">
        <f aca="false">IF($B22="","",INDEX('CARNET DE SOUDURE'!$AB$7:$AB$3006,MATCH(11,'CARNET DE SOUDURE'!$AV$7:$AV$3006,0))&amp;"")</f>
        <v>(80-96)IU</v>
      </c>
      <c r="J22" s="125" t="str">
        <f aca="false">IF($B22="","",INDEX('CARNET DE SOUDURE'!$AC$7:$AC$3006,MATCH(11,'CARNET DE SOUDURE'!$AV$7:$AV$3006,0))&amp;IF(INDEX('CARNET DE SOUDURE'!$AH$7:$AH$3006,MATCH(11,'CARNET DE SOUDURE'!$AV$7:$AV$3006,0))&lt;&gt;""," / "&amp;INDEX('CARNET DE SOUDURE'!$AH$7:$AH$3006,MATCH(11,'CARNET DE SOUDURE'!$AV$7:$AV$3006,0)),""))</f>
        <v/>
      </c>
      <c r="K22" s="125" t="str">
        <f aca="false">IF($B22="","",INDEX('CARNET DE SOUDURE'!$AD$7:$AD$3006,MATCH(11,'CARNET DE SOUDURE'!$AV$7:$AV$3006,0))&amp;IF(INDEX('CARNET DE SOUDURE'!$AI$7:$AI$3006,MATCH(11,'CARNET DE SOUDURE'!$AV$7:$AV$3006,0))&lt;&gt;""," / "&amp;INDEX('CARNET DE SOUDURE'!$AI$7:$AI$3006,MATCH(11,'CARNET DE SOUDURE'!$AV$7:$AV$3006,0)),""))</f>
        <v/>
      </c>
      <c r="L22" s="125" t="str">
        <f aca="false">IF($B22="","",INDEX('CARNET DE SOUDURE'!$AG$7:$AG$3006,MATCH(11,'CARNET DE SOUDURE'!$AV$7:$AV$3006,0))&amp;IF(INDEX('CARNET DE SOUDURE'!$AL$7:$AL$3006,MATCH(11,'CARNET DE SOUDURE'!$AV$7:$AV$3006,0))&lt;&gt;""," / "&amp;INDEX('CARNET DE SOUDURE'!$AL$7:$AL$3006,MATCH(11,'CARNET DE SOUDURE'!$AV$7:$AV$3006,0)),""))</f>
        <v/>
      </c>
      <c r="M22" s="127" t="str">
        <f aca="false">IF($B22="","",INDEX('CARNET DE SOUDURE'!$AP$7:$AP$3006,MATCH(11,'CARNET DE SOUDURE'!$AV$7:$AV$3006,0)))</f>
        <v>R</v>
      </c>
      <c r="N22" s="127" t="str">
        <f aca="false">IF($B22="","",INDEX('CARNET DE SOUDURE'!$AQ$7:$AQ$3006,MATCH(11,'CARNET DE SOUDURE'!$AV$7:$AV$3006,0)))</f>
        <v>À RÉPARER</v>
      </c>
      <c r="O22" s="128" t="n">
        <f aca="false">IF($B22="","",INDEX('CARNET DE SOUDURE'!$AR$7:$AR$3006,MATCH(11,'CARNET DE SOUDURE'!$AV$7:$AV$3006,0)))</f>
        <v>10</v>
      </c>
    </row>
    <row r="23" customFormat="false" ht="15" hidden="false" customHeight="false" outlineLevel="0" collapsed="false">
      <c r="B23" s="130" t="n">
        <f aca="false">IF(12&gt;$I$4,"",12)</f>
        <v>12</v>
      </c>
      <c r="C23" s="130" t="str">
        <f aca="false">IF($B23="","",INDEX('CARNET DE SOUDURE'!$B$7:$B$3006,MATCH(12,'CARNET DE SOUDURE'!$AV$7:$AV$3006,0)))</f>
        <v>MFD-ISW → MFD-CPF</v>
      </c>
      <c r="D23" s="130" t="str">
        <f aca="false">IF($B23="","",INDEX('CARNET DE SOUDURE'!$E$7:$E$3006,MATCH(12,'CARNET DE SOUDURE'!$AV$7:$AV$3006,0)))</f>
        <v>JN°927</v>
      </c>
      <c r="E23" s="130" t="str">
        <f aca="false">IF($B23="","",INDEX('CARNET DE SOUDURE'!$R$7:$R$3006,MATCH(12,'CARNET DE SOUDURE'!$AV$7:$AV$3006,0))&amp;IF(INDEX('CARNET DE SOUDURE'!$S$7:$S$3006,MATCH(12,'CARNET DE SOUDURE'!$AV$7:$AV$3006,0))&lt;&gt;""," / "&amp;INDEX('CARNET DE SOUDURE'!$S$7:$S$3006,MATCH(12,'CARNET DE SOUDURE'!$AV$7:$AV$3006,0)),"")&amp;IF(INDEX('CARNET DE SOUDURE'!$T$7:$T$3006,MATCH(12,'CARNET DE SOUDURE'!$AV$7:$AV$3006,0))&lt;&gt;""," / "&amp;INDEX('CARNET DE SOUDURE'!$T$7:$T$3006,MATCH(12,'CARNET DE SOUDURE'!$AV$7:$AV$3006,0)),""))</f>
        <v>WR-46/32</v>
      </c>
      <c r="F23" s="131" t="n">
        <f aca="false">IF($B23="","",INDEX('CARNET DE SOUDURE'!$Y$7:$Y$3006,MATCH(12,'CARNET DE SOUDURE'!$AV$7:$AV$3006,0)))</f>
        <v>46287</v>
      </c>
      <c r="G23" s="130" t="str">
        <f aca="false">IF($B23="","",INDEX('CARNET DE SOUDURE'!$Z$7:$Z$3006,MATCH(12,'CARNET DE SOUDURE'!$AV$7:$AV$3006,0))&amp;"")</f>
        <v>L-RT-53</v>
      </c>
      <c r="H23" s="132" t="str">
        <f aca="false">IF($B23="","",INDEX('CARNET DE SOUDURE'!$AA$7:$AA$3006,MATCH(12,'CARNET DE SOUDURE'!$AV$7:$AV$3006,0)))</f>
        <v>R</v>
      </c>
      <c r="I23" s="130" t="str">
        <f aca="false">IF($B23="","",INDEX('CARNET DE SOUDURE'!$AB$7:$AB$3006,MATCH(12,'CARNET DE SOUDURE'!$AV$7:$AV$3006,0))&amp;"")</f>
        <v>(60-70)IU +(112-120)IU</v>
      </c>
      <c r="J23" s="130" t="str">
        <f aca="false">IF($B23="","",INDEX('CARNET DE SOUDURE'!$AC$7:$AC$3006,MATCH(12,'CARNET DE SOUDURE'!$AV$7:$AV$3006,0))&amp;IF(INDEX('CARNET DE SOUDURE'!$AH$7:$AH$3006,MATCH(12,'CARNET DE SOUDURE'!$AV$7:$AV$3006,0))&lt;&gt;""," / "&amp;INDEX('CARNET DE SOUDURE'!$AH$7:$AH$3006,MATCH(12,'CARNET DE SOUDURE'!$AV$7:$AV$3006,0)),""))</f>
        <v/>
      </c>
      <c r="K23" s="130" t="str">
        <f aca="false">IF($B23="","",INDEX('CARNET DE SOUDURE'!$AD$7:$AD$3006,MATCH(12,'CARNET DE SOUDURE'!$AV$7:$AV$3006,0))&amp;IF(INDEX('CARNET DE SOUDURE'!$AI$7:$AI$3006,MATCH(12,'CARNET DE SOUDURE'!$AV$7:$AV$3006,0))&lt;&gt;""," / "&amp;INDEX('CARNET DE SOUDURE'!$AI$7:$AI$3006,MATCH(12,'CARNET DE SOUDURE'!$AV$7:$AV$3006,0)),""))</f>
        <v/>
      </c>
      <c r="L23" s="130" t="str">
        <f aca="false">IF($B23="","",INDEX('CARNET DE SOUDURE'!$AG$7:$AG$3006,MATCH(12,'CARNET DE SOUDURE'!$AV$7:$AV$3006,0))&amp;IF(INDEX('CARNET DE SOUDURE'!$AL$7:$AL$3006,MATCH(12,'CARNET DE SOUDURE'!$AV$7:$AV$3006,0))&lt;&gt;""," / "&amp;INDEX('CARNET DE SOUDURE'!$AL$7:$AL$3006,MATCH(12,'CARNET DE SOUDURE'!$AV$7:$AV$3006,0)),""))</f>
        <v/>
      </c>
      <c r="M23" s="132" t="str">
        <f aca="false">IF($B23="","",INDEX('CARNET DE SOUDURE'!$AP$7:$AP$3006,MATCH(12,'CARNET DE SOUDURE'!$AV$7:$AV$3006,0)))</f>
        <v>R</v>
      </c>
      <c r="N23" s="132" t="str">
        <f aca="false">IF($B23="","",INDEX('CARNET DE SOUDURE'!$AQ$7:$AQ$3006,MATCH(12,'CARNET DE SOUDURE'!$AV$7:$AV$3006,0)))</f>
        <v>À RÉPARER</v>
      </c>
      <c r="O23" s="133" t="n">
        <f aca="false">IF($B23="","",INDEX('CARNET DE SOUDURE'!$AR$7:$AR$3006,MATCH(12,'CARNET DE SOUDURE'!$AV$7:$AV$3006,0)))</f>
        <v>11</v>
      </c>
    </row>
    <row r="24" customFormat="false" ht="15" hidden="false" customHeight="false" outlineLevel="0" collapsed="false">
      <c r="B24" s="125" t="n">
        <f aca="false">IF(13&gt;$I$4,"",13)</f>
        <v>13</v>
      </c>
      <c r="C24" s="125" t="str">
        <f aca="false">IF($B24="","",INDEX('CARNET DE SOUDURE'!$B$7:$B$3006,MATCH(13,'CARNET DE SOUDURE'!$AV$7:$AV$3006,0)))</f>
        <v>MFD-ISW → MFD-CPF</v>
      </c>
      <c r="D24" s="125" t="str">
        <f aca="false">IF($B24="","",INDEX('CARNET DE SOUDURE'!$E$7:$E$3006,MATCH(13,'CARNET DE SOUDURE'!$AV$7:$AV$3006,0)))</f>
        <v>JN°928</v>
      </c>
      <c r="E24" s="125" t="str">
        <f aca="false">IF($B24="","",INDEX('CARNET DE SOUDURE'!$R$7:$R$3006,MATCH(13,'CARNET DE SOUDURE'!$AV$7:$AV$3006,0))&amp;IF(INDEX('CARNET DE SOUDURE'!$S$7:$S$3006,MATCH(13,'CARNET DE SOUDURE'!$AV$7:$AV$3006,0))&lt;&gt;""," / "&amp;INDEX('CARNET DE SOUDURE'!$S$7:$S$3006,MATCH(13,'CARNET DE SOUDURE'!$AV$7:$AV$3006,0)),"")&amp;IF(INDEX('CARNET DE SOUDURE'!$T$7:$T$3006,MATCH(13,'CARNET DE SOUDURE'!$AV$7:$AV$3006,0))&lt;&gt;""," / "&amp;INDEX('CARNET DE SOUDURE'!$T$7:$T$3006,MATCH(13,'CARNET DE SOUDURE'!$AV$7:$AV$3006,0)),""))</f>
        <v>WR-46/32</v>
      </c>
      <c r="F24" s="126" t="n">
        <f aca="false">IF($B24="","",INDEX('CARNET DE SOUDURE'!$Y$7:$Y$3006,MATCH(13,'CARNET DE SOUDURE'!$AV$7:$AV$3006,0)))</f>
        <v>0</v>
      </c>
      <c r="G24" s="125" t="str">
        <f aca="false">IF($B24="","",INDEX('CARNET DE SOUDURE'!$Z$7:$Z$3006,MATCH(13,'CARNET DE SOUDURE'!$AV$7:$AV$3006,0))&amp;"")</f>
        <v/>
      </c>
      <c r="H24" s="127" t="str">
        <f aca="false">IF($B24="","",INDEX('CARNET DE SOUDURE'!$AA$7:$AA$3006,MATCH(13,'CARNET DE SOUDURE'!$AV$7:$AV$3006,0)))</f>
        <v>NX</v>
      </c>
      <c r="I24" s="125" t="str">
        <f aca="false">IF($B24="","",INDEX('CARNET DE SOUDURE'!$AB$7:$AB$3006,MATCH(13,'CARNET DE SOUDURE'!$AV$7:$AV$3006,0))&amp;"")</f>
        <v>RX(30-65)</v>
      </c>
      <c r="J24" s="125" t="str">
        <f aca="false">IF($B24="","",INDEX('CARNET DE SOUDURE'!$AC$7:$AC$3006,MATCH(13,'CARNET DE SOUDURE'!$AV$7:$AV$3006,0))&amp;IF(INDEX('CARNET DE SOUDURE'!$AH$7:$AH$3006,MATCH(13,'CARNET DE SOUDURE'!$AV$7:$AV$3006,0))&lt;&gt;""," / "&amp;INDEX('CARNET DE SOUDURE'!$AH$7:$AH$3006,MATCH(13,'CARNET DE SOUDURE'!$AV$7:$AV$3006,0)),""))</f>
        <v/>
      </c>
      <c r="K24" s="125" t="str">
        <f aca="false">IF($B24="","",INDEX('CARNET DE SOUDURE'!$AD$7:$AD$3006,MATCH(13,'CARNET DE SOUDURE'!$AV$7:$AV$3006,0))&amp;IF(INDEX('CARNET DE SOUDURE'!$AI$7:$AI$3006,MATCH(13,'CARNET DE SOUDURE'!$AV$7:$AV$3006,0))&lt;&gt;""," / "&amp;INDEX('CARNET DE SOUDURE'!$AI$7:$AI$3006,MATCH(13,'CARNET DE SOUDURE'!$AV$7:$AV$3006,0)),""))</f>
        <v/>
      </c>
      <c r="L24" s="125" t="str">
        <f aca="false">IF($B24="","",INDEX('CARNET DE SOUDURE'!$AG$7:$AG$3006,MATCH(13,'CARNET DE SOUDURE'!$AV$7:$AV$3006,0))&amp;IF(INDEX('CARNET DE SOUDURE'!$AL$7:$AL$3006,MATCH(13,'CARNET DE SOUDURE'!$AV$7:$AV$3006,0))&lt;&gt;""," / "&amp;INDEX('CARNET DE SOUDURE'!$AL$7:$AL$3006,MATCH(13,'CARNET DE SOUDURE'!$AV$7:$AV$3006,0)),""))</f>
        <v/>
      </c>
      <c r="M24" s="127" t="str">
        <f aca="false">IF($B24="","",INDEX('CARNET DE SOUDURE'!$AP$7:$AP$3006,MATCH(13,'CARNET DE SOUDURE'!$AV$7:$AV$3006,0)))</f>
        <v>NX</v>
      </c>
      <c r="N24" s="127" t="str">
        <f aca="false">IF($B24="","",INDEX('CARNET DE SOUDURE'!$AQ$7:$AQ$3006,MATCH(13,'CARNET DE SOUDURE'!$AV$7:$AV$3006,0)))</f>
        <v>NX – RT À REFAIRE</v>
      </c>
      <c r="O24" s="128" t="n">
        <f aca="false">IF($B24="","",INDEX('CARNET DE SOUDURE'!$AR$7:$AR$3006,MATCH(13,'CARNET DE SOUDURE'!$AV$7:$AV$3006,0)))</f>
        <v>11</v>
      </c>
    </row>
    <row r="25" customFormat="false" ht="15" hidden="false" customHeight="false" outlineLevel="0" collapsed="false">
      <c r="B25" s="130" t="n">
        <f aca="false">IF(14&gt;$I$4,"",14)</f>
        <v>14</v>
      </c>
      <c r="C25" s="130" t="str">
        <f aca="false">IF($B25="","",INDEX('CARNET DE SOUDURE'!$B$7:$B$3006,MATCH(14,'CARNET DE SOUDURE'!$AV$7:$AV$3006,0)))</f>
        <v>MFD-ISW → MFD-CPF</v>
      </c>
      <c r="D25" s="130" t="str">
        <f aca="false">IF($B25="","",INDEX('CARNET DE SOUDURE'!$E$7:$E$3006,MATCH(14,'CARNET DE SOUDURE'!$AV$7:$AV$3006,0)))</f>
        <v>JN°935</v>
      </c>
      <c r="E25" s="130" t="str">
        <f aca="false">IF($B25="","",INDEX('CARNET DE SOUDURE'!$R$7:$R$3006,MATCH(14,'CARNET DE SOUDURE'!$AV$7:$AV$3006,0))&amp;IF(INDEX('CARNET DE SOUDURE'!$S$7:$S$3006,MATCH(14,'CARNET DE SOUDURE'!$AV$7:$AV$3006,0))&lt;&gt;""," / "&amp;INDEX('CARNET DE SOUDURE'!$S$7:$S$3006,MATCH(14,'CARNET DE SOUDURE'!$AV$7:$AV$3006,0)),"")&amp;IF(INDEX('CARNET DE SOUDURE'!$T$7:$T$3006,MATCH(14,'CARNET DE SOUDURE'!$AV$7:$AV$3006,0))&lt;&gt;""," / "&amp;INDEX('CARNET DE SOUDURE'!$T$7:$T$3006,MATCH(14,'CARNET DE SOUDURE'!$AV$7:$AV$3006,0)),""))</f>
        <v>WR-46-52/32-33/51-45</v>
      </c>
      <c r="F25" s="131" t="n">
        <f aca="false">IF($B25="","",INDEX('CARNET DE SOUDURE'!$Y$7:$Y$3006,MATCH(14,'CARNET DE SOUDURE'!$AV$7:$AV$3006,0)))</f>
        <v>46287</v>
      </c>
      <c r="G25" s="130" t="str">
        <f aca="false">IF($B25="","",INDEX('CARNET DE SOUDURE'!$Z$7:$Z$3006,MATCH(14,'CARNET DE SOUDURE'!$AV$7:$AV$3006,0))&amp;"")</f>
        <v>L-RT-53</v>
      </c>
      <c r="H25" s="132" t="str">
        <f aca="false">IF($B25="","",INDEX('CARNET DE SOUDURE'!$AA$7:$AA$3006,MATCH(14,'CARNET DE SOUDURE'!$AV$7:$AV$3006,0)))</f>
        <v>R</v>
      </c>
      <c r="I25" s="130" t="str">
        <f aca="false">IF($B25="","",INDEX('CARNET DE SOUDURE'!$AB$7:$AB$3006,MATCH(14,'CARNET DE SOUDURE'!$AV$7:$AV$3006,0))&amp;"")</f>
        <v>(51-60)IU</v>
      </c>
      <c r="J25" s="130" t="str">
        <f aca="false">IF($B25="","",INDEX('CARNET DE SOUDURE'!$AC$7:$AC$3006,MATCH(14,'CARNET DE SOUDURE'!$AV$7:$AV$3006,0))&amp;IF(INDEX('CARNET DE SOUDURE'!$AH$7:$AH$3006,MATCH(14,'CARNET DE SOUDURE'!$AV$7:$AV$3006,0))&lt;&gt;""," / "&amp;INDEX('CARNET DE SOUDURE'!$AH$7:$AH$3006,MATCH(14,'CARNET DE SOUDURE'!$AV$7:$AV$3006,0)),""))</f>
        <v/>
      </c>
      <c r="K25" s="130" t="str">
        <f aca="false">IF($B25="","",INDEX('CARNET DE SOUDURE'!$AD$7:$AD$3006,MATCH(14,'CARNET DE SOUDURE'!$AV$7:$AV$3006,0))&amp;IF(INDEX('CARNET DE SOUDURE'!$AI$7:$AI$3006,MATCH(14,'CARNET DE SOUDURE'!$AV$7:$AV$3006,0))&lt;&gt;""," / "&amp;INDEX('CARNET DE SOUDURE'!$AI$7:$AI$3006,MATCH(14,'CARNET DE SOUDURE'!$AV$7:$AV$3006,0)),""))</f>
        <v/>
      </c>
      <c r="L25" s="130" t="str">
        <f aca="false">IF($B25="","",INDEX('CARNET DE SOUDURE'!$AG$7:$AG$3006,MATCH(14,'CARNET DE SOUDURE'!$AV$7:$AV$3006,0))&amp;IF(INDEX('CARNET DE SOUDURE'!$AL$7:$AL$3006,MATCH(14,'CARNET DE SOUDURE'!$AV$7:$AV$3006,0))&lt;&gt;""," / "&amp;INDEX('CARNET DE SOUDURE'!$AL$7:$AL$3006,MATCH(14,'CARNET DE SOUDURE'!$AV$7:$AV$3006,0)),""))</f>
        <v/>
      </c>
      <c r="M25" s="132" t="str">
        <f aca="false">IF($B25="","",INDEX('CARNET DE SOUDURE'!$AP$7:$AP$3006,MATCH(14,'CARNET DE SOUDURE'!$AV$7:$AV$3006,0)))</f>
        <v>R</v>
      </c>
      <c r="N25" s="132" t="str">
        <f aca="false">IF($B25="","",INDEX('CARNET DE SOUDURE'!$AQ$7:$AQ$3006,MATCH(14,'CARNET DE SOUDURE'!$AV$7:$AV$3006,0)))</f>
        <v>À RÉPARER</v>
      </c>
      <c r="O25" s="133" t="n">
        <f aca="false">IF($B25="","",INDEX('CARNET DE SOUDURE'!$AR$7:$AR$3006,MATCH(14,'CARNET DE SOUDURE'!$AV$7:$AV$3006,0)))</f>
        <v>12</v>
      </c>
    </row>
    <row r="26" customFormat="false" ht="15" hidden="false" customHeight="false" outlineLevel="0" collapsed="false">
      <c r="B26" s="125" t="n">
        <f aca="false">IF(15&gt;$I$4,"",15)</f>
        <v>15</v>
      </c>
      <c r="C26" s="125" t="str">
        <f aca="false">IF($B26="","",INDEX('CARNET DE SOUDURE'!$B$7:$B$3006,MATCH(15,'CARNET DE SOUDURE'!$AV$7:$AV$3006,0)))</f>
        <v>MFD-ISW → MFD-CPF</v>
      </c>
      <c r="D26" s="125" t="str">
        <f aca="false">IF($B26="","",INDEX('CARNET DE SOUDURE'!$E$7:$E$3006,MATCH(15,'CARNET DE SOUDURE'!$AV$7:$AV$3006,0)))</f>
        <v>JN°955</v>
      </c>
      <c r="E26" s="125" t="str">
        <f aca="false">IF($B26="","",INDEX('CARNET DE SOUDURE'!$R$7:$R$3006,MATCH(15,'CARNET DE SOUDURE'!$AV$7:$AV$3006,0))&amp;IF(INDEX('CARNET DE SOUDURE'!$S$7:$S$3006,MATCH(15,'CARNET DE SOUDURE'!$AV$7:$AV$3006,0))&lt;&gt;""," / "&amp;INDEX('CARNET DE SOUDURE'!$S$7:$S$3006,MATCH(15,'CARNET DE SOUDURE'!$AV$7:$AV$3006,0)),"")&amp;IF(INDEX('CARNET DE SOUDURE'!$T$7:$T$3006,MATCH(15,'CARNET DE SOUDURE'!$AV$7:$AV$3006,0))&lt;&gt;""," / "&amp;INDEX('CARNET DE SOUDURE'!$T$7:$T$3006,MATCH(15,'CARNET DE SOUDURE'!$AV$7:$AV$3006,0)),""))</f>
        <v>WR-46-52/32-33/51-45</v>
      </c>
      <c r="F26" s="126" t="n">
        <f aca="false">IF($B26="","",INDEX('CARNET DE SOUDURE'!$Y$7:$Y$3006,MATCH(15,'CARNET DE SOUDURE'!$AV$7:$AV$3006,0)))</f>
        <v>46286</v>
      </c>
      <c r="G26" s="125" t="str">
        <f aca="false">IF($B26="","",INDEX('CARNET DE SOUDURE'!$Z$7:$Z$3006,MATCH(15,'CARNET DE SOUDURE'!$AV$7:$AV$3006,0))&amp;"")</f>
        <v>L-RT-050</v>
      </c>
      <c r="H26" s="127" t="str">
        <f aca="false">IF($B26="","",INDEX('CARNET DE SOUDURE'!$AA$7:$AA$3006,MATCH(15,'CARNET DE SOUDURE'!$AV$7:$AV$3006,0)))</f>
        <v>R</v>
      </c>
      <c r="I26" s="125" t="str">
        <f aca="false">IF($B26="","",INDEX('CARNET DE SOUDURE'!$AB$7:$AB$3006,MATCH(15,'CARNET DE SOUDURE'!$AV$7:$AV$3006,0))&amp;"")</f>
        <v>(10-12) excés p</v>
      </c>
      <c r="J26" s="125" t="str">
        <f aca="false">IF($B26="","",INDEX('CARNET DE SOUDURE'!$AC$7:$AC$3006,MATCH(15,'CARNET DE SOUDURE'!$AV$7:$AV$3006,0))&amp;IF(INDEX('CARNET DE SOUDURE'!$AH$7:$AH$3006,MATCH(15,'CARNET DE SOUDURE'!$AV$7:$AV$3006,0))&lt;&gt;""," / "&amp;INDEX('CARNET DE SOUDURE'!$AH$7:$AH$3006,MATCH(15,'CARNET DE SOUDURE'!$AV$7:$AV$3006,0)),""))</f>
        <v/>
      </c>
      <c r="K26" s="125" t="str">
        <f aca="false">IF($B26="","",INDEX('CARNET DE SOUDURE'!$AD$7:$AD$3006,MATCH(15,'CARNET DE SOUDURE'!$AV$7:$AV$3006,0))&amp;IF(INDEX('CARNET DE SOUDURE'!$AI$7:$AI$3006,MATCH(15,'CARNET DE SOUDURE'!$AV$7:$AV$3006,0))&lt;&gt;""," / "&amp;INDEX('CARNET DE SOUDURE'!$AI$7:$AI$3006,MATCH(15,'CARNET DE SOUDURE'!$AV$7:$AV$3006,0)),""))</f>
        <v/>
      </c>
      <c r="L26" s="125" t="str">
        <f aca="false">IF($B26="","",INDEX('CARNET DE SOUDURE'!$AG$7:$AG$3006,MATCH(15,'CARNET DE SOUDURE'!$AV$7:$AV$3006,0))&amp;IF(INDEX('CARNET DE SOUDURE'!$AL$7:$AL$3006,MATCH(15,'CARNET DE SOUDURE'!$AV$7:$AV$3006,0))&lt;&gt;""," / "&amp;INDEX('CARNET DE SOUDURE'!$AL$7:$AL$3006,MATCH(15,'CARNET DE SOUDURE'!$AV$7:$AV$3006,0)),""))</f>
        <v/>
      </c>
      <c r="M26" s="127" t="str">
        <f aca="false">IF($B26="","",INDEX('CARNET DE SOUDURE'!$AP$7:$AP$3006,MATCH(15,'CARNET DE SOUDURE'!$AV$7:$AV$3006,0)))</f>
        <v>R</v>
      </c>
      <c r="N26" s="127" t="str">
        <f aca="false">IF($B26="","",INDEX('CARNET DE SOUDURE'!$AQ$7:$AQ$3006,MATCH(15,'CARNET DE SOUDURE'!$AV$7:$AV$3006,0)))</f>
        <v>À RÉPARER</v>
      </c>
      <c r="O26" s="128" t="n">
        <f aca="false">IF($B26="","",INDEX('CARNET DE SOUDURE'!$AR$7:$AR$3006,MATCH(15,'CARNET DE SOUDURE'!$AV$7:$AV$3006,0)))</f>
        <v>12</v>
      </c>
    </row>
    <row r="27" customFormat="false" ht="15" hidden="false" customHeight="false" outlineLevel="0" collapsed="false">
      <c r="B27" s="130" t="n">
        <f aca="false">IF(16&gt;$I$4,"",16)</f>
        <v>16</v>
      </c>
      <c r="C27" s="130" t="str">
        <f aca="false">IF($B27="","",INDEX('CARNET DE SOUDURE'!$B$7:$B$3006,MATCH(16,'CARNET DE SOUDURE'!$AV$7:$AV$3006,0)))</f>
        <v>MFD-ISW → MFD-CPF</v>
      </c>
      <c r="D27" s="130" t="str">
        <f aca="false">IF($B27="","",INDEX('CARNET DE SOUDURE'!$E$7:$E$3006,MATCH(16,'CARNET DE SOUDURE'!$AV$7:$AV$3006,0)))</f>
        <v>JN°960</v>
      </c>
      <c r="E27" s="130" t="str">
        <f aca="false">IF($B27="","",INDEX('CARNET DE SOUDURE'!$R$7:$R$3006,MATCH(16,'CARNET DE SOUDURE'!$AV$7:$AV$3006,0))&amp;IF(INDEX('CARNET DE SOUDURE'!$S$7:$S$3006,MATCH(16,'CARNET DE SOUDURE'!$AV$7:$AV$3006,0))&lt;&gt;""," / "&amp;INDEX('CARNET DE SOUDURE'!$S$7:$S$3006,MATCH(16,'CARNET DE SOUDURE'!$AV$7:$AV$3006,0)),"")&amp;IF(INDEX('CARNET DE SOUDURE'!$T$7:$T$3006,MATCH(16,'CARNET DE SOUDURE'!$AV$7:$AV$3006,0))&lt;&gt;""," / "&amp;INDEX('CARNET DE SOUDURE'!$T$7:$T$3006,MATCH(16,'CARNET DE SOUDURE'!$AV$7:$AV$3006,0)),""))</f>
        <v>WR-46-52/32-33/51-45</v>
      </c>
      <c r="F27" s="131" t="n">
        <f aca="false">IF($B27="","",INDEX('CARNET DE SOUDURE'!$Y$7:$Y$3006,MATCH(16,'CARNET DE SOUDURE'!$AV$7:$AV$3006,0)))</f>
        <v>46286</v>
      </c>
      <c r="G27" s="130" t="str">
        <f aca="false">IF($B27="","",INDEX('CARNET DE SOUDURE'!$Z$7:$Z$3006,MATCH(16,'CARNET DE SOUDURE'!$AV$7:$AV$3006,0))&amp;"")</f>
        <v>L-RT-050</v>
      </c>
      <c r="H27" s="132" t="str">
        <f aca="false">IF($B27="","",INDEX('CARNET DE SOUDURE'!$AA$7:$AA$3006,MATCH(16,'CARNET DE SOUDURE'!$AV$7:$AV$3006,0)))</f>
        <v>R</v>
      </c>
      <c r="I27" s="130" t="str">
        <f aca="false">IF($B27="","",INDEX('CARNET DE SOUDURE'!$AB$7:$AB$3006,MATCH(16,'CARNET DE SOUDURE'!$AV$7:$AV$3006,0))&amp;"")</f>
        <v>(66-70) IL BF</v>
      </c>
      <c r="J27" s="130" t="str">
        <f aca="false">IF($B27="","",INDEX('CARNET DE SOUDURE'!$AC$7:$AC$3006,MATCH(16,'CARNET DE SOUDURE'!$AV$7:$AV$3006,0))&amp;IF(INDEX('CARNET DE SOUDURE'!$AH$7:$AH$3006,MATCH(16,'CARNET DE SOUDURE'!$AV$7:$AV$3006,0))&lt;&gt;""," / "&amp;INDEX('CARNET DE SOUDURE'!$AH$7:$AH$3006,MATCH(16,'CARNET DE SOUDURE'!$AV$7:$AV$3006,0)),""))</f>
        <v/>
      </c>
      <c r="K27" s="130" t="str">
        <f aca="false">IF($B27="","",INDEX('CARNET DE SOUDURE'!$AD$7:$AD$3006,MATCH(16,'CARNET DE SOUDURE'!$AV$7:$AV$3006,0))&amp;IF(INDEX('CARNET DE SOUDURE'!$AI$7:$AI$3006,MATCH(16,'CARNET DE SOUDURE'!$AV$7:$AV$3006,0))&lt;&gt;""," / "&amp;INDEX('CARNET DE SOUDURE'!$AI$7:$AI$3006,MATCH(16,'CARNET DE SOUDURE'!$AV$7:$AV$3006,0)),""))</f>
        <v/>
      </c>
      <c r="L27" s="130" t="str">
        <f aca="false">IF($B27="","",INDEX('CARNET DE SOUDURE'!$AG$7:$AG$3006,MATCH(16,'CARNET DE SOUDURE'!$AV$7:$AV$3006,0))&amp;IF(INDEX('CARNET DE SOUDURE'!$AL$7:$AL$3006,MATCH(16,'CARNET DE SOUDURE'!$AV$7:$AV$3006,0))&lt;&gt;""," / "&amp;INDEX('CARNET DE SOUDURE'!$AL$7:$AL$3006,MATCH(16,'CARNET DE SOUDURE'!$AV$7:$AV$3006,0)),""))</f>
        <v/>
      </c>
      <c r="M27" s="132" t="str">
        <f aca="false">IF($B27="","",INDEX('CARNET DE SOUDURE'!$AP$7:$AP$3006,MATCH(16,'CARNET DE SOUDURE'!$AV$7:$AV$3006,0)))</f>
        <v>R</v>
      </c>
      <c r="N27" s="132" t="str">
        <f aca="false">IF($B27="","",INDEX('CARNET DE SOUDURE'!$AQ$7:$AQ$3006,MATCH(16,'CARNET DE SOUDURE'!$AV$7:$AV$3006,0)))</f>
        <v>À RÉPARER</v>
      </c>
      <c r="O27" s="133" t="n">
        <f aca="false">IF($B27="","",INDEX('CARNET DE SOUDURE'!$AR$7:$AR$3006,MATCH(16,'CARNET DE SOUDURE'!$AV$7:$AV$3006,0)))</f>
        <v>12</v>
      </c>
    </row>
    <row r="28" customFormat="false" ht="15" hidden="false" customHeight="false" outlineLevel="0" collapsed="false">
      <c r="B28" s="125" t="n">
        <f aca="false">IF(17&gt;$I$4,"",17)</f>
        <v>17</v>
      </c>
      <c r="C28" s="125" t="str">
        <f aca="false">IF($B28="","",INDEX('CARNET DE SOUDURE'!$B$7:$B$3006,MATCH(17,'CARNET DE SOUDURE'!$AV$7:$AV$3006,0)))</f>
        <v>MFD-ISW → MFD-CPF</v>
      </c>
      <c r="D28" s="125" t="str">
        <f aca="false">IF($B28="","",INDEX('CARNET DE SOUDURE'!$E$7:$E$3006,MATCH(17,'CARNET DE SOUDURE'!$AV$7:$AV$3006,0)))</f>
        <v>JN°961</v>
      </c>
      <c r="E28" s="125" t="str">
        <f aca="false">IF($B28="","",INDEX('CARNET DE SOUDURE'!$R$7:$R$3006,MATCH(17,'CARNET DE SOUDURE'!$AV$7:$AV$3006,0))&amp;IF(INDEX('CARNET DE SOUDURE'!$S$7:$S$3006,MATCH(17,'CARNET DE SOUDURE'!$AV$7:$AV$3006,0))&lt;&gt;""," / "&amp;INDEX('CARNET DE SOUDURE'!$S$7:$S$3006,MATCH(17,'CARNET DE SOUDURE'!$AV$7:$AV$3006,0)),"")&amp;IF(INDEX('CARNET DE SOUDURE'!$T$7:$T$3006,MATCH(17,'CARNET DE SOUDURE'!$AV$7:$AV$3006,0))&lt;&gt;""," / "&amp;INDEX('CARNET DE SOUDURE'!$T$7:$T$3006,MATCH(17,'CARNET DE SOUDURE'!$AV$7:$AV$3006,0)),""))</f>
        <v>WR-46-52/32-33/51-45</v>
      </c>
      <c r="F28" s="126" t="n">
        <f aca="false">IF($B28="","",INDEX('CARNET DE SOUDURE'!$Y$7:$Y$3006,MATCH(17,'CARNET DE SOUDURE'!$AV$7:$AV$3006,0)))</f>
        <v>46286</v>
      </c>
      <c r="G28" s="125" t="str">
        <f aca="false">IF($B28="","",INDEX('CARNET DE SOUDURE'!$Z$7:$Z$3006,MATCH(17,'CARNET DE SOUDURE'!$AV$7:$AV$3006,0))&amp;"")</f>
        <v>L-RT-050</v>
      </c>
      <c r="H28" s="127" t="str">
        <f aca="false">IF($B28="","",INDEX('CARNET DE SOUDURE'!$AA$7:$AA$3006,MATCH(17,'CARNET DE SOUDURE'!$AV$7:$AV$3006,0)))</f>
        <v>R</v>
      </c>
      <c r="I28" s="125" t="str">
        <f aca="false">IF($B28="","",INDEX('CARNET DE SOUDURE'!$AB$7:$AB$3006,MATCH(17,'CARNET DE SOUDURE'!$AV$7:$AV$3006,0))&amp;"")</f>
        <v>(60-75) Ref F</v>
      </c>
      <c r="J28" s="125" t="str">
        <f aca="false">IF($B28="","",INDEX('CARNET DE SOUDURE'!$AC$7:$AC$3006,MATCH(17,'CARNET DE SOUDURE'!$AV$7:$AV$3006,0))&amp;IF(INDEX('CARNET DE SOUDURE'!$AH$7:$AH$3006,MATCH(17,'CARNET DE SOUDURE'!$AV$7:$AV$3006,0))&lt;&gt;""," / "&amp;INDEX('CARNET DE SOUDURE'!$AH$7:$AH$3006,MATCH(17,'CARNET DE SOUDURE'!$AV$7:$AV$3006,0)),""))</f>
        <v/>
      </c>
      <c r="K28" s="125" t="str">
        <f aca="false">IF($B28="","",INDEX('CARNET DE SOUDURE'!$AD$7:$AD$3006,MATCH(17,'CARNET DE SOUDURE'!$AV$7:$AV$3006,0))&amp;IF(INDEX('CARNET DE SOUDURE'!$AI$7:$AI$3006,MATCH(17,'CARNET DE SOUDURE'!$AV$7:$AV$3006,0))&lt;&gt;""," / "&amp;INDEX('CARNET DE SOUDURE'!$AI$7:$AI$3006,MATCH(17,'CARNET DE SOUDURE'!$AV$7:$AV$3006,0)),""))</f>
        <v/>
      </c>
      <c r="L28" s="125" t="str">
        <f aca="false">IF($B28="","",INDEX('CARNET DE SOUDURE'!$AG$7:$AG$3006,MATCH(17,'CARNET DE SOUDURE'!$AV$7:$AV$3006,0))&amp;IF(INDEX('CARNET DE SOUDURE'!$AL$7:$AL$3006,MATCH(17,'CARNET DE SOUDURE'!$AV$7:$AV$3006,0))&lt;&gt;""," / "&amp;INDEX('CARNET DE SOUDURE'!$AL$7:$AL$3006,MATCH(17,'CARNET DE SOUDURE'!$AV$7:$AV$3006,0)),""))</f>
        <v/>
      </c>
      <c r="M28" s="127" t="str">
        <f aca="false">IF($B28="","",INDEX('CARNET DE SOUDURE'!$AP$7:$AP$3006,MATCH(17,'CARNET DE SOUDURE'!$AV$7:$AV$3006,0)))</f>
        <v>R</v>
      </c>
      <c r="N28" s="127" t="str">
        <f aca="false">IF($B28="","",INDEX('CARNET DE SOUDURE'!$AQ$7:$AQ$3006,MATCH(17,'CARNET DE SOUDURE'!$AV$7:$AV$3006,0)))</f>
        <v>À RÉPARER</v>
      </c>
      <c r="O28" s="128" t="n">
        <f aca="false">IF($B28="","",INDEX('CARNET DE SOUDURE'!$AR$7:$AR$3006,MATCH(17,'CARNET DE SOUDURE'!$AV$7:$AV$3006,0)))</f>
        <v>12</v>
      </c>
    </row>
    <row r="29" customFormat="false" ht="15" hidden="false" customHeight="false" outlineLevel="0" collapsed="false">
      <c r="B29" s="130" t="n">
        <f aca="false">IF(18&gt;$I$4,"",18)</f>
        <v>18</v>
      </c>
      <c r="C29" s="130" t="str">
        <f aca="false">IF($B29="","",INDEX('CARNET DE SOUDURE'!$B$7:$B$3006,MATCH(18,'CARNET DE SOUDURE'!$AV$7:$AV$3006,0)))</f>
        <v>MFD-ISW → MFD-CPF</v>
      </c>
      <c r="D29" s="130" t="str">
        <f aca="false">IF($B29="","",INDEX('CARNET DE SOUDURE'!$E$7:$E$3006,MATCH(18,'CARNET DE SOUDURE'!$AV$7:$AV$3006,0)))</f>
        <v>JN°969</v>
      </c>
      <c r="E29" s="130" t="str">
        <f aca="false">IF($B29="","",INDEX('CARNET DE SOUDURE'!$R$7:$R$3006,MATCH(18,'CARNET DE SOUDURE'!$AV$7:$AV$3006,0))&amp;IF(INDEX('CARNET DE SOUDURE'!$S$7:$S$3006,MATCH(18,'CARNET DE SOUDURE'!$AV$7:$AV$3006,0))&lt;&gt;""," / "&amp;INDEX('CARNET DE SOUDURE'!$S$7:$S$3006,MATCH(18,'CARNET DE SOUDURE'!$AV$7:$AV$3006,0)),"")&amp;IF(INDEX('CARNET DE SOUDURE'!$T$7:$T$3006,MATCH(18,'CARNET DE SOUDURE'!$AV$7:$AV$3006,0))&lt;&gt;""," / "&amp;INDEX('CARNET DE SOUDURE'!$T$7:$T$3006,MATCH(18,'CARNET DE SOUDURE'!$AV$7:$AV$3006,0)),""))</f>
        <v>WR-51-52/32-33/50-40</v>
      </c>
      <c r="F29" s="131" t="n">
        <f aca="false">IF($B29="","",INDEX('CARNET DE SOUDURE'!$Y$7:$Y$3006,MATCH(18,'CARNET DE SOUDURE'!$AV$7:$AV$3006,0)))</f>
        <v>46286</v>
      </c>
      <c r="G29" s="130" t="str">
        <f aca="false">IF($B29="","",INDEX('CARNET DE SOUDURE'!$Z$7:$Z$3006,MATCH(18,'CARNET DE SOUDURE'!$AV$7:$AV$3006,0))&amp;"")</f>
        <v>L-RT-051</v>
      </c>
      <c r="H29" s="132" t="str">
        <f aca="false">IF($B29="","",INDEX('CARNET DE SOUDURE'!$AA$7:$AA$3006,MATCH(18,'CARNET DE SOUDURE'!$AV$7:$AV$3006,0)))</f>
        <v>R</v>
      </c>
      <c r="I29" s="130" t="str">
        <f aca="false">IF($B29="","",INDEX('CARNET DE SOUDURE'!$AB$7:$AB$3006,MATCH(18,'CARNET DE SOUDURE'!$AV$7:$AV$3006,0))&amp;"")</f>
        <v>(70-91) IU 1ere P</v>
      </c>
      <c r="J29" s="130" t="str">
        <f aca="false">IF($B29="","",INDEX('CARNET DE SOUDURE'!$AC$7:$AC$3006,MATCH(18,'CARNET DE SOUDURE'!$AV$7:$AV$3006,0))&amp;IF(INDEX('CARNET DE SOUDURE'!$AH$7:$AH$3006,MATCH(18,'CARNET DE SOUDURE'!$AV$7:$AV$3006,0))&lt;&gt;""," / "&amp;INDEX('CARNET DE SOUDURE'!$AH$7:$AH$3006,MATCH(18,'CARNET DE SOUDURE'!$AV$7:$AV$3006,0)),""))</f>
        <v/>
      </c>
      <c r="K29" s="130" t="str">
        <f aca="false">IF($B29="","",INDEX('CARNET DE SOUDURE'!$AD$7:$AD$3006,MATCH(18,'CARNET DE SOUDURE'!$AV$7:$AV$3006,0))&amp;IF(INDEX('CARNET DE SOUDURE'!$AI$7:$AI$3006,MATCH(18,'CARNET DE SOUDURE'!$AV$7:$AV$3006,0))&lt;&gt;""," / "&amp;INDEX('CARNET DE SOUDURE'!$AI$7:$AI$3006,MATCH(18,'CARNET DE SOUDURE'!$AV$7:$AV$3006,0)),""))</f>
        <v/>
      </c>
      <c r="L29" s="130" t="str">
        <f aca="false">IF($B29="","",INDEX('CARNET DE SOUDURE'!$AG$7:$AG$3006,MATCH(18,'CARNET DE SOUDURE'!$AV$7:$AV$3006,0))&amp;IF(INDEX('CARNET DE SOUDURE'!$AL$7:$AL$3006,MATCH(18,'CARNET DE SOUDURE'!$AV$7:$AV$3006,0))&lt;&gt;""," / "&amp;INDEX('CARNET DE SOUDURE'!$AL$7:$AL$3006,MATCH(18,'CARNET DE SOUDURE'!$AV$7:$AV$3006,0)),""))</f>
        <v/>
      </c>
      <c r="M29" s="132" t="str">
        <f aca="false">IF($B29="","",INDEX('CARNET DE SOUDURE'!$AP$7:$AP$3006,MATCH(18,'CARNET DE SOUDURE'!$AV$7:$AV$3006,0)))</f>
        <v>R</v>
      </c>
      <c r="N29" s="132" t="str">
        <f aca="false">IF($B29="","",INDEX('CARNET DE SOUDURE'!$AQ$7:$AQ$3006,MATCH(18,'CARNET DE SOUDURE'!$AV$7:$AV$3006,0)))</f>
        <v>À RÉPARER</v>
      </c>
      <c r="O29" s="133" t="n">
        <f aca="false">IF($B29="","",INDEX('CARNET DE SOUDURE'!$AR$7:$AR$3006,MATCH(18,'CARNET DE SOUDURE'!$AV$7:$AV$3006,0)))</f>
        <v>13</v>
      </c>
    </row>
    <row r="30" customFormat="false" ht="15" hidden="false" customHeight="false" outlineLevel="0" collapsed="false">
      <c r="B30" s="125" t="n">
        <f aca="false">IF(19&gt;$I$4,"",19)</f>
        <v>19</v>
      </c>
      <c r="C30" s="125" t="str">
        <f aca="false">IF($B30="","",INDEX('CARNET DE SOUDURE'!$B$7:$B$3006,MATCH(19,'CARNET DE SOUDURE'!$AV$7:$AV$3006,0)))</f>
        <v>MFD-ISW → MFD-CPF</v>
      </c>
      <c r="D30" s="125" t="str">
        <f aca="false">IF($B30="","",INDEX('CARNET DE SOUDURE'!$E$7:$E$3006,MATCH(19,'CARNET DE SOUDURE'!$AV$7:$AV$3006,0)))</f>
        <v>JN°977</v>
      </c>
      <c r="E30" s="125" t="str">
        <f aca="false">IF($B30="","",INDEX('CARNET DE SOUDURE'!$R$7:$R$3006,MATCH(19,'CARNET DE SOUDURE'!$AV$7:$AV$3006,0))&amp;IF(INDEX('CARNET DE SOUDURE'!$S$7:$S$3006,MATCH(19,'CARNET DE SOUDURE'!$AV$7:$AV$3006,0))&lt;&gt;""," / "&amp;INDEX('CARNET DE SOUDURE'!$S$7:$S$3006,MATCH(19,'CARNET DE SOUDURE'!$AV$7:$AV$3006,0)),"")&amp;IF(INDEX('CARNET DE SOUDURE'!$T$7:$T$3006,MATCH(19,'CARNET DE SOUDURE'!$AV$7:$AV$3006,0))&lt;&gt;""," / "&amp;INDEX('CARNET DE SOUDURE'!$T$7:$T$3006,MATCH(19,'CARNET DE SOUDURE'!$AV$7:$AV$3006,0)),""))</f>
        <v>WR-51-52/32-33/50-40</v>
      </c>
      <c r="F30" s="126" t="n">
        <f aca="false">IF($B30="","",INDEX('CARNET DE SOUDURE'!$Y$7:$Y$3006,MATCH(19,'CARNET DE SOUDURE'!$AV$7:$AV$3006,0)))</f>
        <v>46286</v>
      </c>
      <c r="G30" s="125" t="str">
        <f aca="false">IF($B30="","",INDEX('CARNET DE SOUDURE'!$Z$7:$Z$3006,MATCH(19,'CARNET DE SOUDURE'!$AV$7:$AV$3006,0))&amp;"")</f>
        <v>L-RT-051</v>
      </c>
      <c r="H30" s="127" t="str">
        <f aca="false">IF($B30="","",INDEX('CARNET DE SOUDURE'!$AA$7:$AA$3006,MATCH(19,'CARNET DE SOUDURE'!$AV$7:$AV$3006,0)))</f>
        <v>R</v>
      </c>
      <c r="I30" s="125" t="str">
        <f aca="false">IF($B30="","",INDEX('CARNET DE SOUDURE'!$AB$7:$AB$3006,MATCH(19,'CARNET DE SOUDURE'!$AV$7:$AV$3006,0))&amp;"")</f>
        <v>(20-50) IU+(60-85)RF</v>
      </c>
      <c r="J30" s="125" t="str">
        <f aca="false">IF($B30="","",INDEX('CARNET DE SOUDURE'!$AC$7:$AC$3006,MATCH(19,'CARNET DE SOUDURE'!$AV$7:$AV$3006,0))&amp;IF(INDEX('CARNET DE SOUDURE'!$AH$7:$AH$3006,MATCH(19,'CARNET DE SOUDURE'!$AV$7:$AV$3006,0))&lt;&gt;""," / "&amp;INDEX('CARNET DE SOUDURE'!$AH$7:$AH$3006,MATCH(19,'CARNET DE SOUDURE'!$AV$7:$AV$3006,0)),""))</f>
        <v/>
      </c>
      <c r="K30" s="125" t="str">
        <f aca="false">IF($B30="","",INDEX('CARNET DE SOUDURE'!$AD$7:$AD$3006,MATCH(19,'CARNET DE SOUDURE'!$AV$7:$AV$3006,0))&amp;IF(INDEX('CARNET DE SOUDURE'!$AI$7:$AI$3006,MATCH(19,'CARNET DE SOUDURE'!$AV$7:$AV$3006,0))&lt;&gt;""," / "&amp;INDEX('CARNET DE SOUDURE'!$AI$7:$AI$3006,MATCH(19,'CARNET DE SOUDURE'!$AV$7:$AV$3006,0)),""))</f>
        <v/>
      </c>
      <c r="L30" s="125" t="str">
        <f aca="false">IF($B30="","",INDEX('CARNET DE SOUDURE'!$AG$7:$AG$3006,MATCH(19,'CARNET DE SOUDURE'!$AV$7:$AV$3006,0))&amp;IF(INDEX('CARNET DE SOUDURE'!$AL$7:$AL$3006,MATCH(19,'CARNET DE SOUDURE'!$AV$7:$AV$3006,0))&lt;&gt;""," / "&amp;INDEX('CARNET DE SOUDURE'!$AL$7:$AL$3006,MATCH(19,'CARNET DE SOUDURE'!$AV$7:$AV$3006,0)),""))</f>
        <v/>
      </c>
      <c r="M30" s="127" t="str">
        <f aca="false">IF($B30="","",INDEX('CARNET DE SOUDURE'!$AP$7:$AP$3006,MATCH(19,'CARNET DE SOUDURE'!$AV$7:$AV$3006,0)))</f>
        <v>R</v>
      </c>
      <c r="N30" s="127" t="str">
        <f aca="false">IF($B30="","",INDEX('CARNET DE SOUDURE'!$AQ$7:$AQ$3006,MATCH(19,'CARNET DE SOUDURE'!$AV$7:$AV$3006,0)))</f>
        <v>À RÉPARER</v>
      </c>
      <c r="O30" s="128" t="n">
        <f aca="false">IF($B30="","",INDEX('CARNET DE SOUDURE'!$AR$7:$AR$3006,MATCH(19,'CARNET DE SOUDURE'!$AV$7:$AV$3006,0)))</f>
        <v>13</v>
      </c>
    </row>
    <row r="31" customFormat="false" ht="15" hidden="false" customHeight="false" outlineLevel="0" collapsed="false">
      <c r="B31" s="130" t="n">
        <f aca="false">IF(20&gt;$I$4,"",20)</f>
        <v>20</v>
      </c>
      <c r="C31" s="130" t="str">
        <f aca="false">IF($B31="","",INDEX('CARNET DE SOUDURE'!$B$7:$B$3006,MATCH(20,'CARNET DE SOUDURE'!$AV$7:$AV$3006,0)))</f>
        <v>MFD-ISW → MFD-CPF</v>
      </c>
      <c r="D31" s="130" t="str">
        <f aca="false">IF($B31="","",INDEX('CARNET DE SOUDURE'!$E$7:$E$3006,MATCH(20,'CARNET DE SOUDURE'!$AV$7:$AV$3006,0)))</f>
        <v>JN°983</v>
      </c>
      <c r="E31" s="130" t="str">
        <f aca="false">IF($B31="","",INDEX('CARNET DE SOUDURE'!$R$7:$R$3006,MATCH(20,'CARNET DE SOUDURE'!$AV$7:$AV$3006,0))&amp;IF(INDEX('CARNET DE SOUDURE'!$S$7:$S$3006,MATCH(20,'CARNET DE SOUDURE'!$AV$7:$AV$3006,0))&lt;&gt;""," / "&amp;INDEX('CARNET DE SOUDURE'!$S$7:$S$3006,MATCH(20,'CARNET DE SOUDURE'!$AV$7:$AV$3006,0)),"")&amp;IF(INDEX('CARNET DE SOUDURE'!$T$7:$T$3006,MATCH(20,'CARNET DE SOUDURE'!$AV$7:$AV$3006,0))&lt;&gt;""," / "&amp;INDEX('CARNET DE SOUDURE'!$T$7:$T$3006,MATCH(20,'CARNET DE SOUDURE'!$AV$7:$AV$3006,0)),""))</f>
        <v>WR-51-52/32-33/50-40</v>
      </c>
      <c r="F31" s="131" t="n">
        <f aca="false">IF($B31="","",INDEX('CARNET DE SOUDURE'!$Y$7:$Y$3006,MATCH(20,'CARNET DE SOUDURE'!$AV$7:$AV$3006,0)))</f>
        <v>46286</v>
      </c>
      <c r="G31" s="130" t="str">
        <f aca="false">IF($B31="","",INDEX('CARNET DE SOUDURE'!$Z$7:$Z$3006,MATCH(20,'CARNET DE SOUDURE'!$AV$7:$AV$3006,0))&amp;"")</f>
        <v>L-RT-051</v>
      </c>
      <c r="H31" s="132" t="str">
        <f aca="false">IF($B31="","",INDEX('CARNET DE SOUDURE'!$AA$7:$AA$3006,MATCH(20,'CARNET DE SOUDURE'!$AV$7:$AV$3006,0)))</f>
        <v>R</v>
      </c>
      <c r="I31" s="130" t="str">
        <f aca="false">IF($B31="","",INDEX('CARNET DE SOUDURE'!$AB$7:$AB$3006,MATCH(20,'CARNET DE SOUDURE'!$AV$7:$AV$3006,0))&amp;"")</f>
        <v>(09-10)Excés1P+(60-85)RF</v>
      </c>
      <c r="J31" s="130" t="str">
        <f aca="false">IF($B31="","",INDEX('CARNET DE SOUDURE'!$AC$7:$AC$3006,MATCH(20,'CARNET DE SOUDURE'!$AV$7:$AV$3006,0))&amp;IF(INDEX('CARNET DE SOUDURE'!$AH$7:$AH$3006,MATCH(20,'CARNET DE SOUDURE'!$AV$7:$AV$3006,0))&lt;&gt;""," / "&amp;INDEX('CARNET DE SOUDURE'!$AH$7:$AH$3006,MATCH(20,'CARNET DE SOUDURE'!$AV$7:$AV$3006,0)),""))</f>
        <v/>
      </c>
      <c r="K31" s="130" t="str">
        <f aca="false">IF($B31="","",INDEX('CARNET DE SOUDURE'!$AD$7:$AD$3006,MATCH(20,'CARNET DE SOUDURE'!$AV$7:$AV$3006,0))&amp;IF(INDEX('CARNET DE SOUDURE'!$AI$7:$AI$3006,MATCH(20,'CARNET DE SOUDURE'!$AV$7:$AV$3006,0))&lt;&gt;""," / "&amp;INDEX('CARNET DE SOUDURE'!$AI$7:$AI$3006,MATCH(20,'CARNET DE SOUDURE'!$AV$7:$AV$3006,0)),""))</f>
        <v/>
      </c>
      <c r="L31" s="130" t="str">
        <f aca="false">IF($B31="","",INDEX('CARNET DE SOUDURE'!$AG$7:$AG$3006,MATCH(20,'CARNET DE SOUDURE'!$AV$7:$AV$3006,0))&amp;IF(INDEX('CARNET DE SOUDURE'!$AL$7:$AL$3006,MATCH(20,'CARNET DE SOUDURE'!$AV$7:$AV$3006,0))&lt;&gt;""," / "&amp;INDEX('CARNET DE SOUDURE'!$AL$7:$AL$3006,MATCH(20,'CARNET DE SOUDURE'!$AV$7:$AV$3006,0)),""))</f>
        <v/>
      </c>
      <c r="M31" s="132" t="str">
        <f aca="false">IF($B31="","",INDEX('CARNET DE SOUDURE'!$AP$7:$AP$3006,MATCH(20,'CARNET DE SOUDURE'!$AV$7:$AV$3006,0)))</f>
        <v>R</v>
      </c>
      <c r="N31" s="132" t="str">
        <f aca="false">IF($B31="","",INDEX('CARNET DE SOUDURE'!$AQ$7:$AQ$3006,MATCH(20,'CARNET DE SOUDURE'!$AV$7:$AV$3006,0)))</f>
        <v>À RÉPARER</v>
      </c>
      <c r="O31" s="133" t="n">
        <f aca="false">IF($B31="","",INDEX('CARNET DE SOUDURE'!$AR$7:$AR$3006,MATCH(20,'CARNET DE SOUDURE'!$AV$7:$AV$3006,0)))</f>
        <v>13</v>
      </c>
    </row>
    <row r="32" customFormat="false" ht="15" hidden="false" customHeight="false" outlineLevel="0" collapsed="false">
      <c r="B32" s="125" t="n">
        <f aca="false">IF(21&gt;$I$4,"",21)</f>
        <v>21</v>
      </c>
      <c r="C32" s="125" t="str">
        <f aca="false">IF($B32="","",INDEX('CARNET DE SOUDURE'!$B$7:$B$3006,MATCH(21,'CARNET DE SOUDURE'!$AV$7:$AV$3006,0)))</f>
        <v>MFD-ISW → MFD-CPF</v>
      </c>
      <c r="D32" s="125" t="str">
        <f aca="false">IF($B32="","",INDEX('CARNET DE SOUDURE'!$E$7:$E$3006,MATCH(21,'CARNET DE SOUDURE'!$AV$7:$AV$3006,0)))</f>
        <v>JN°984</v>
      </c>
      <c r="E32" s="125" t="str">
        <f aca="false">IF($B32="","",INDEX('CARNET DE SOUDURE'!$R$7:$R$3006,MATCH(21,'CARNET DE SOUDURE'!$AV$7:$AV$3006,0))&amp;IF(INDEX('CARNET DE SOUDURE'!$S$7:$S$3006,MATCH(21,'CARNET DE SOUDURE'!$AV$7:$AV$3006,0))&lt;&gt;""," / "&amp;INDEX('CARNET DE SOUDURE'!$S$7:$S$3006,MATCH(21,'CARNET DE SOUDURE'!$AV$7:$AV$3006,0)),"")&amp;IF(INDEX('CARNET DE SOUDURE'!$T$7:$T$3006,MATCH(21,'CARNET DE SOUDURE'!$AV$7:$AV$3006,0))&lt;&gt;""," / "&amp;INDEX('CARNET DE SOUDURE'!$T$7:$T$3006,MATCH(21,'CARNET DE SOUDURE'!$AV$7:$AV$3006,0)),""))</f>
        <v>WR-51-52/32-33/50-40</v>
      </c>
      <c r="F32" s="126" t="n">
        <f aca="false">IF($B32="","",INDEX('CARNET DE SOUDURE'!$Y$7:$Y$3006,MATCH(21,'CARNET DE SOUDURE'!$AV$7:$AV$3006,0)))</f>
        <v>46286</v>
      </c>
      <c r="G32" s="125" t="str">
        <f aca="false">IF($B32="","",INDEX('CARNET DE SOUDURE'!$Z$7:$Z$3006,MATCH(21,'CARNET DE SOUDURE'!$AV$7:$AV$3006,0))&amp;"")</f>
        <v>L-RT-051</v>
      </c>
      <c r="H32" s="127" t="str">
        <f aca="false">IF($B32="","",INDEX('CARNET DE SOUDURE'!$AA$7:$AA$3006,MATCH(21,'CARNET DE SOUDURE'!$AV$7:$AV$3006,0)))</f>
        <v>R</v>
      </c>
      <c r="I32" s="125" t="str">
        <f aca="false">IF($B32="","",INDEX('CARNET DE SOUDURE'!$AB$7:$AB$3006,MATCH(21,'CARNET DE SOUDURE'!$AV$7:$AV$3006,0))&amp;"")</f>
        <v>(60-91)IU 1P</v>
      </c>
      <c r="J32" s="125" t="str">
        <f aca="false">IF($B32="","",INDEX('CARNET DE SOUDURE'!$AC$7:$AC$3006,MATCH(21,'CARNET DE SOUDURE'!$AV$7:$AV$3006,0))&amp;IF(INDEX('CARNET DE SOUDURE'!$AH$7:$AH$3006,MATCH(21,'CARNET DE SOUDURE'!$AV$7:$AV$3006,0))&lt;&gt;""," / "&amp;INDEX('CARNET DE SOUDURE'!$AH$7:$AH$3006,MATCH(21,'CARNET DE SOUDURE'!$AV$7:$AV$3006,0)),""))</f>
        <v/>
      </c>
      <c r="K32" s="125" t="str">
        <f aca="false">IF($B32="","",INDEX('CARNET DE SOUDURE'!$AD$7:$AD$3006,MATCH(21,'CARNET DE SOUDURE'!$AV$7:$AV$3006,0))&amp;IF(INDEX('CARNET DE SOUDURE'!$AI$7:$AI$3006,MATCH(21,'CARNET DE SOUDURE'!$AV$7:$AV$3006,0))&lt;&gt;""," / "&amp;INDEX('CARNET DE SOUDURE'!$AI$7:$AI$3006,MATCH(21,'CARNET DE SOUDURE'!$AV$7:$AV$3006,0)),""))</f>
        <v/>
      </c>
      <c r="L32" s="125" t="str">
        <f aca="false">IF($B32="","",INDEX('CARNET DE SOUDURE'!$AG$7:$AG$3006,MATCH(21,'CARNET DE SOUDURE'!$AV$7:$AV$3006,0))&amp;IF(INDEX('CARNET DE SOUDURE'!$AL$7:$AL$3006,MATCH(21,'CARNET DE SOUDURE'!$AV$7:$AV$3006,0))&lt;&gt;""," / "&amp;INDEX('CARNET DE SOUDURE'!$AL$7:$AL$3006,MATCH(21,'CARNET DE SOUDURE'!$AV$7:$AV$3006,0)),""))</f>
        <v/>
      </c>
      <c r="M32" s="127" t="str">
        <f aca="false">IF($B32="","",INDEX('CARNET DE SOUDURE'!$AP$7:$AP$3006,MATCH(21,'CARNET DE SOUDURE'!$AV$7:$AV$3006,0)))</f>
        <v>R</v>
      </c>
      <c r="N32" s="127" t="str">
        <f aca="false">IF($B32="","",INDEX('CARNET DE SOUDURE'!$AQ$7:$AQ$3006,MATCH(21,'CARNET DE SOUDURE'!$AV$7:$AV$3006,0)))</f>
        <v>À RÉPARER</v>
      </c>
      <c r="O32" s="128" t="n">
        <f aca="false">IF($B32="","",INDEX('CARNET DE SOUDURE'!$AR$7:$AR$3006,MATCH(21,'CARNET DE SOUDURE'!$AV$7:$AV$3006,0)))</f>
        <v>13</v>
      </c>
    </row>
    <row r="33" customFormat="false" ht="15" hidden="false" customHeight="false" outlineLevel="0" collapsed="false">
      <c r="B33" s="130" t="n">
        <f aca="false">IF(22&gt;$I$4,"",22)</f>
        <v>22</v>
      </c>
      <c r="C33" s="130" t="str">
        <f aca="false">IF($B33="","",INDEX('CARNET DE SOUDURE'!$B$7:$B$3006,MATCH(22,'CARNET DE SOUDURE'!$AV$7:$AV$3006,0)))</f>
        <v>MFD-ISW → MFD-CPF</v>
      </c>
      <c r="D33" s="130" t="str">
        <f aca="false">IF($B33="","",INDEX('CARNET DE SOUDURE'!$E$7:$E$3006,MATCH(22,'CARNET DE SOUDURE'!$AV$7:$AV$3006,0)))</f>
        <v>JN°985</v>
      </c>
      <c r="E33" s="130" t="str">
        <f aca="false">IF($B33="","",INDEX('CARNET DE SOUDURE'!$R$7:$R$3006,MATCH(22,'CARNET DE SOUDURE'!$AV$7:$AV$3006,0))&amp;IF(INDEX('CARNET DE SOUDURE'!$S$7:$S$3006,MATCH(22,'CARNET DE SOUDURE'!$AV$7:$AV$3006,0))&lt;&gt;""," / "&amp;INDEX('CARNET DE SOUDURE'!$S$7:$S$3006,MATCH(22,'CARNET DE SOUDURE'!$AV$7:$AV$3006,0)),"")&amp;IF(INDEX('CARNET DE SOUDURE'!$T$7:$T$3006,MATCH(22,'CARNET DE SOUDURE'!$AV$7:$AV$3006,0))&lt;&gt;""," / "&amp;INDEX('CARNET DE SOUDURE'!$T$7:$T$3006,MATCH(22,'CARNET DE SOUDURE'!$AV$7:$AV$3006,0)),""))</f>
        <v>WR-51-52/32-33/50-40</v>
      </c>
      <c r="F33" s="131" t="n">
        <f aca="false">IF($B33="","",INDEX('CARNET DE SOUDURE'!$Y$7:$Y$3006,MATCH(22,'CARNET DE SOUDURE'!$AV$7:$AV$3006,0)))</f>
        <v>46286</v>
      </c>
      <c r="G33" s="130" t="str">
        <f aca="false">IF($B33="","",INDEX('CARNET DE SOUDURE'!$Z$7:$Z$3006,MATCH(22,'CARNET DE SOUDURE'!$AV$7:$AV$3006,0))&amp;"")</f>
        <v>L-RT-051</v>
      </c>
      <c r="H33" s="132" t="str">
        <f aca="false">IF($B33="","",INDEX('CARNET DE SOUDURE'!$AA$7:$AA$3006,MATCH(22,'CARNET DE SOUDURE'!$AV$7:$AV$3006,0)))</f>
        <v>R</v>
      </c>
      <c r="I33" s="130" t="str">
        <f aca="false">IF($B33="","",INDEX('CARNET DE SOUDURE'!$AB$7:$AB$3006,MATCH(22,'CARNET DE SOUDURE'!$AV$7:$AV$3006,0))&amp;"")</f>
        <v>(90-115)IU 1P</v>
      </c>
      <c r="J33" s="130" t="str">
        <f aca="false">IF($B33="","",INDEX('CARNET DE SOUDURE'!$AC$7:$AC$3006,MATCH(22,'CARNET DE SOUDURE'!$AV$7:$AV$3006,0))&amp;IF(INDEX('CARNET DE SOUDURE'!$AH$7:$AH$3006,MATCH(22,'CARNET DE SOUDURE'!$AV$7:$AV$3006,0))&lt;&gt;""," / "&amp;INDEX('CARNET DE SOUDURE'!$AH$7:$AH$3006,MATCH(22,'CARNET DE SOUDURE'!$AV$7:$AV$3006,0)),""))</f>
        <v/>
      </c>
      <c r="K33" s="130" t="str">
        <f aca="false">IF($B33="","",INDEX('CARNET DE SOUDURE'!$AD$7:$AD$3006,MATCH(22,'CARNET DE SOUDURE'!$AV$7:$AV$3006,0))&amp;IF(INDEX('CARNET DE SOUDURE'!$AI$7:$AI$3006,MATCH(22,'CARNET DE SOUDURE'!$AV$7:$AV$3006,0))&lt;&gt;""," / "&amp;INDEX('CARNET DE SOUDURE'!$AI$7:$AI$3006,MATCH(22,'CARNET DE SOUDURE'!$AV$7:$AV$3006,0)),""))</f>
        <v/>
      </c>
      <c r="L33" s="130" t="str">
        <f aca="false">IF($B33="","",INDEX('CARNET DE SOUDURE'!$AG$7:$AG$3006,MATCH(22,'CARNET DE SOUDURE'!$AV$7:$AV$3006,0))&amp;IF(INDEX('CARNET DE SOUDURE'!$AL$7:$AL$3006,MATCH(22,'CARNET DE SOUDURE'!$AV$7:$AV$3006,0))&lt;&gt;""," / "&amp;INDEX('CARNET DE SOUDURE'!$AL$7:$AL$3006,MATCH(22,'CARNET DE SOUDURE'!$AV$7:$AV$3006,0)),""))</f>
        <v/>
      </c>
      <c r="M33" s="132" t="str">
        <f aca="false">IF($B33="","",INDEX('CARNET DE SOUDURE'!$AP$7:$AP$3006,MATCH(22,'CARNET DE SOUDURE'!$AV$7:$AV$3006,0)))</f>
        <v>R</v>
      </c>
      <c r="N33" s="132" t="str">
        <f aca="false">IF($B33="","",INDEX('CARNET DE SOUDURE'!$AQ$7:$AQ$3006,MATCH(22,'CARNET DE SOUDURE'!$AV$7:$AV$3006,0)))</f>
        <v>À RÉPARER</v>
      </c>
      <c r="O33" s="133" t="n">
        <f aca="false">IF($B33="","",INDEX('CARNET DE SOUDURE'!$AR$7:$AR$3006,MATCH(22,'CARNET DE SOUDURE'!$AV$7:$AV$3006,0)))</f>
        <v>13</v>
      </c>
    </row>
    <row r="34" customFormat="false" ht="15" hidden="false" customHeight="false" outlineLevel="0" collapsed="false">
      <c r="B34" s="125" t="n">
        <f aca="false">IF(23&gt;$I$4,"",23)</f>
        <v>23</v>
      </c>
      <c r="C34" s="125" t="str">
        <f aca="false">IF($B34="","",INDEX('CARNET DE SOUDURE'!$B$7:$B$3006,MATCH(23,'CARNET DE SOUDURE'!$AV$7:$AV$3006,0)))</f>
        <v>MFD-ISW → MFD-CPF</v>
      </c>
      <c r="D34" s="125" t="str">
        <f aca="false">IF($B34="","",INDEX('CARNET DE SOUDURE'!$E$7:$E$3006,MATCH(23,'CARNET DE SOUDURE'!$AV$7:$AV$3006,0)))</f>
        <v>JN°994</v>
      </c>
      <c r="E34" s="125" t="str">
        <f aca="false">IF($B34="","",INDEX('CARNET DE SOUDURE'!$R$7:$R$3006,MATCH(23,'CARNET DE SOUDURE'!$AV$7:$AV$3006,0))&amp;IF(INDEX('CARNET DE SOUDURE'!$S$7:$S$3006,MATCH(23,'CARNET DE SOUDURE'!$AV$7:$AV$3006,0))&lt;&gt;""," / "&amp;INDEX('CARNET DE SOUDURE'!$S$7:$S$3006,MATCH(23,'CARNET DE SOUDURE'!$AV$7:$AV$3006,0)),"")&amp;IF(INDEX('CARNET DE SOUDURE'!$T$7:$T$3006,MATCH(23,'CARNET DE SOUDURE'!$AV$7:$AV$3006,0))&lt;&gt;""," / "&amp;INDEX('CARNET DE SOUDURE'!$T$7:$T$3006,MATCH(23,'CARNET DE SOUDURE'!$AV$7:$AV$3006,0)),""))</f>
        <v>WR-51-52/32-33/50-40</v>
      </c>
      <c r="F34" s="126" t="n">
        <f aca="false">IF($B34="","",INDEX('CARNET DE SOUDURE'!$Y$7:$Y$3006,MATCH(23,'CARNET DE SOUDURE'!$AV$7:$AV$3006,0)))</f>
        <v>46284</v>
      </c>
      <c r="G34" s="125" t="str">
        <f aca="false">IF($B34="","",INDEX('CARNET DE SOUDURE'!$Z$7:$Z$3006,MATCH(23,'CARNET DE SOUDURE'!$AV$7:$AV$3006,0))&amp;"")</f>
        <v>L-RT-047</v>
      </c>
      <c r="H34" s="127" t="str">
        <f aca="false">IF($B34="","",INDEX('CARNET DE SOUDURE'!$AA$7:$AA$3006,MATCH(23,'CARNET DE SOUDURE'!$AV$7:$AV$3006,0)))</f>
        <v>R</v>
      </c>
      <c r="I34" s="125" t="str">
        <f aca="false">IF($B34="","",INDEX('CARNET DE SOUDURE'!$AB$7:$AB$3006,MATCH(23,'CARNET DE SOUDURE'!$AV$7:$AV$3006,0))&amp;"")</f>
        <v>(60-100) IU+BT 1ere P</v>
      </c>
      <c r="J34" s="125" t="str">
        <f aca="false">IF($B34="","",INDEX('CARNET DE SOUDURE'!$AC$7:$AC$3006,MATCH(23,'CARNET DE SOUDURE'!$AV$7:$AV$3006,0))&amp;IF(INDEX('CARNET DE SOUDURE'!$AH$7:$AH$3006,MATCH(23,'CARNET DE SOUDURE'!$AV$7:$AV$3006,0))&lt;&gt;""," / "&amp;INDEX('CARNET DE SOUDURE'!$AH$7:$AH$3006,MATCH(23,'CARNET DE SOUDURE'!$AV$7:$AV$3006,0)),""))</f>
        <v/>
      </c>
      <c r="K34" s="125" t="str">
        <f aca="false">IF($B34="","",INDEX('CARNET DE SOUDURE'!$AD$7:$AD$3006,MATCH(23,'CARNET DE SOUDURE'!$AV$7:$AV$3006,0))&amp;IF(INDEX('CARNET DE SOUDURE'!$AI$7:$AI$3006,MATCH(23,'CARNET DE SOUDURE'!$AV$7:$AV$3006,0))&lt;&gt;""," / "&amp;INDEX('CARNET DE SOUDURE'!$AI$7:$AI$3006,MATCH(23,'CARNET DE SOUDURE'!$AV$7:$AV$3006,0)),""))</f>
        <v/>
      </c>
      <c r="L34" s="125" t="str">
        <f aca="false">IF($B34="","",INDEX('CARNET DE SOUDURE'!$AG$7:$AG$3006,MATCH(23,'CARNET DE SOUDURE'!$AV$7:$AV$3006,0))&amp;IF(INDEX('CARNET DE SOUDURE'!$AL$7:$AL$3006,MATCH(23,'CARNET DE SOUDURE'!$AV$7:$AV$3006,0))&lt;&gt;""," / "&amp;INDEX('CARNET DE SOUDURE'!$AL$7:$AL$3006,MATCH(23,'CARNET DE SOUDURE'!$AV$7:$AV$3006,0)),""))</f>
        <v/>
      </c>
      <c r="M34" s="127" t="str">
        <f aca="false">IF($B34="","",INDEX('CARNET DE SOUDURE'!$AP$7:$AP$3006,MATCH(23,'CARNET DE SOUDURE'!$AV$7:$AV$3006,0)))</f>
        <v>R</v>
      </c>
      <c r="N34" s="127" t="str">
        <f aca="false">IF($B34="","",INDEX('CARNET DE SOUDURE'!$AQ$7:$AQ$3006,MATCH(23,'CARNET DE SOUDURE'!$AV$7:$AV$3006,0)))</f>
        <v>À RÉPARER</v>
      </c>
      <c r="O34" s="128" t="n">
        <f aca="false">IF($B34="","",INDEX('CARNET DE SOUDURE'!$AR$7:$AR$3006,MATCH(23,'CARNET DE SOUDURE'!$AV$7:$AV$3006,0)))</f>
        <v>13</v>
      </c>
    </row>
    <row r="35" customFormat="false" ht="15" hidden="false" customHeight="false" outlineLevel="0" collapsed="false">
      <c r="B35" s="130" t="n">
        <f aca="false">IF(24&gt;$I$4,"",24)</f>
        <v>24</v>
      </c>
      <c r="C35" s="130" t="str">
        <f aca="false">IF($B35="","",INDEX('CARNET DE SOUDURE'!$B$7:$B$3006,MATCH(24,'CARNET DE SOUDURE'!$AV$7:$AV$3006,0)))</f>
        <v>MFD-ISW → MFD-CPF</v>
      </c>
      <c r="D35" s="130" t="str">
        <f aca="false">IF($B35="","",INDEX('CARNET DE SOUDURE'!$E$7:$E$3006,MATCH(24,'CARNET DE SOUDURE'!$AV$7:$AV$3006,0)))</f>
        <v>JN°1038</v>
      </c>
      <c r="E35" s="130" t="str">
        <f aca="false">IF($B35="","",INDEX('CARNET DE SOUDURE'!$R$7:$R$3006,MATCH(24,'CARNET DE SOUDURE'!$AV$7:$AV$3006,0))&amp;IF(INDEX('CARNET DE SOUDURE'!$S$7:$S$3006,MATCH(24,'CARNET DE SOUDURE'!$AV$7:$AV$3006,0))&lt;&gt;""," / "&amp;INDEX('CARNET DE SOUDURE'!$S$7:$S$3006,MATCH(24,'CARNET DE SOUDURE'!$AV$7:$AV$3006,0)),"")&amp;IF(INDEX('CARNET DE SOUDURE'!$T$7:$T$3006,MATCH(24,'CARNET DE SOUDURE'!$AV$7:$AV$3006,0))&lt;&gt;""," / "&amp;INDEX('CARNET DE SOUDURE'!$T$7:$T$3006,MATCH(24,'CARNET DE SOUDURE'!$AV$7:$AV$3006,0)),""))</f>
        <v>WR-46-44/36-33/30-52/50-51/43-45</v>
      </c>
      <c r="F35" s="131" t="n">
        <f aca="false">IF($B35="","",INDEX('CARNET DE SOUDURE'!$Y$7:$Y$3006,MATCH(24,'CARNET DE SOUDURE'!$AV$7:$AV$3006,0)))</f>
        <v>46284</v>
      </c>
      <c r="G35" s="130" t="str">
        <f aca="false">IF($B35="","",INDEX('CARNET DE SOUDURE'!$Z$7:$Z$3006,MATCH(24,'CARNET DE SOUDURE'!$AV$7:$AV$3006,0))&amp;"")</f>
        <v>L-RT-049</v>
      </c>
      <c r="H35" s="132" t="str">
        <f aca="false">IF($B35="","",INDEX('CARNET DE SOUDURE'!$AA$7:$AA$3006,MATCH(24,'CARNET DE SOUDURE'!$AV$7:$AV$3006,0)))</f>
        <v>R</v>
      </c>
      <c r="I35" s="130" t="str">
        <f aca="false">IF($B35="","",INDEX('CARNET DE SOUDURE'!$AB$7:$AB$3006,MATCH(24,'CARNET DE SOUDURE'!$AV$7:$AV$3006,0))&amp;"")</f>
        <v>(54-70) IU 1 ere P</v>
      </c>
      <c r="J35" s="130" t="str">
        <f aca="false">IF($B35="","",INDEX('CARNET DE SOUDURE'!$AC$7:$AC$3006,MATCH(24,'CARNET DE SOUDURE'!$AV$7:$AV$3006,0))&amp;IF(INDEX('CARNET DE SOUDURE'!$AH$7:$AH$3006,MATCH(24,'CARNET DE SOUDURE'!$AV$7:$AV$3006,0))&lt;&gt;""," / "&amp;INDEX('CARNET DE SOUDURE'!$AH$7:$AH$3006,MATCH(24,'CARNET DE SOUDURE'!$AV$7:$AV$3006,0)),""))</f>
        <v/>
      </c>
      <c r="K35" s="130" t="str">
        <f aca="false">IF($B35="","",INDEX('CARNET DE SOUDURE'!$AD$7:$AD$3006,MATCH(24,'CARNET DE SOUDURE'!$AV$7:$AV$3006,0))&amp;IF(INDEX('CARNET DE SOUDURE'!$AI$7:$AI$3006,MATCH(24,'CARNET DE SOUDURE'!$AV$7:$AV$3006,0))&lt;&gt;""," / "&amp;INDEX('CARNET DE SOUDURE'!$AI$7:$AI$3006,MATCH(24,'CARNET DE SOUDURE'!$AV$7:$AV$3006,0)),""))</f>
        <v/>
      </c>
      <c r="L35" s="130" t="str">
        <f aca="false">IF($B35="","",INDEX('CARNET DE SOUDURE'!$AG$7:$AG$3006,MATCH(24,'CARNET DE SOUDURE'!$AV$7:$AV$3006,0))&amp;IF(INDEX('CARNET DE SOUDURE'!$AL$7:$AL$3006,MATCH(24,'CARNET DE SOUDURE'!$AV$7:$AV$3006,0))&lt;&gt;""," / "&amp;INDEX('CARNET DE SOUDURE'!$AL$7:$AL$3006,MATCH(24,'CARNET DE SOUDURE'!$AV$7:$AV$3006,0)),""))</f>
        <v/>
      </c>
      <c r="M35" s="132" t="str">
        <f aca="false">IF($B35="","",INDEX('CARNET DE SOUDURE'!$AP$7:$AP$3006,MATCH(24,'CARNET DE SOUDURE'!$AV$7:$AV$3006,0)))</f>
        <v>R</v>
      </c>
      <c r="N35" s="132" t="str">
        <f aca="false">IF($B35="","",INDEX('CARNET DE SOUDURE'!$AQ$7:$AQ$3006,MATCH(24,'CARNET DE SOUDURE'!$AV$7:$AV$3006,0)))</f>
        <v>À RÉPARER</v>
      </c>
      <c r="O35" s="133" t="n">
        <f aca="false">IF($B35="","",INDEX('CARNET DE SOUDURE'!$AR$7:$AR$3006,MATCH(24,'CARNET DE SOUDURE'!$AV$7:$AV$3006,0)))</f>
        <v>14</v>
      </c>
    </row>
    <row r="36" customFormat="false" ht="15" hidden="false" customHeight="false" outlineLevel="0" collapsed="false">
      <c r="B36" s="125" t="n">
        <f aca="false">IF(25&gt;$I$4,"",25)</f>
        <v>25</v>
      </c>
      <c r="C36" s="125" t="str">
        <f aca="false">IF($B36="","",INDEX('CARNET DE SOUDURE'!$B$7:$B$3006,MATCH(25,'CARNET DE SOUDURE'!$AV$7:$AV$3006,0)))</f>
        <v>MFD-ISW → MFD-CPF</v>
      </c>
      <c r="D36" s="125" t="str">
        <f aca="false">IF($B36="","",INDEX('CARNET DE SOUDURE'!$E$7:$E$3006,MATCH(25,'CARNET DE SOUDURE'!$AV$7:$AV$3006,0)))</f>
        <v>JN°1039</v>
      </c>
      <c r="E36" s="125" t="str">
        <f aca="false">IF($B36="","",INDEX('CARNET DE SOUDURE'!$R$7:$R$3006,MATCH(25,'CARNET DE SOUDURE'!$AV$7:$AV$3006,0))&amp;IF(INDEX('CARNET DE SOUDURE'!$S$7:$S$3006,MATCH(25,'CARNET DE SOUDURE'!$AV$7:$AV$3006,0))&lt;&gt;""," / "&amp;INDEX('CARNET DE SOUDURE'!$S$7:$S$3006,MATCH(25,'CARNET DE SOUDURE'!$AV$7:$AV$3006,0)),"")&amp;IF(INDEX('CARNET DE SOUDURE'!$T$7:$T$3006,MATCH(25,'CARNET DE SOUDURE'!$AV$7:$AV$3006,0))&lt;&gt;""," / "&amp;INDEX('CARNET DE SOUDURE'!$T$7:$T$3006,MATCH(25,'CARNET DE SOUDURE'!$AV$7:$AV$3006,0)),""))</f>
        <v>WR-46-44/36-33/30-52/50-51/43-45</v>
      </c>
      <c r="F36" s="126" t="n">
        <f aca="false">IF($B36="","",INDEX('CARNET DE SOUDURE'!$Y$7:$Y$3006,MATCH(25,'CARNET DE SOUDURE'!$AV$7:$AV$3006,0)))</f>
        <v>46284</v>
      </c>
      <c r="G36" s="125" t="str">
        <f aca="false">IF($B36="","",INDEX('CARNET DE SOUDURE'!$Z$7:$Z$3006,MATCH(25,'CARNET DE SOUDURE'!$AV$7:$AV$3006,0))&amp;"")</f>
        <v>L-RT-049</v>
      </c>
      <c r="H36" s="127" t="str">
        <f aca="false">IF($B36="","",INDEX('CARNET DE SOUDURE'!$AA$7:$AA$3006,MATCH(25,'CARNET DE SOUDURE'!$AV$7:$AV$3006,0)))</f>
        <v>R</v>
      </c>
      <c r="I36" s="125" t="str">
        <f aca="false">IF($B36="","",INDEX('CARNET DE SOUDURE'!$AB$7:$AB$3006,MATCH(25,'CARNET DE SOUDURE'!$AV$7:$AV$3006,0))&amp;"")</f>
        <v>(57-80) IU 1 ere P</v>
      </c>
      <c r="J36" s="125" t="str">
        <f aca="false">IF($B36="","",INDEX('CARNET DE SOUDURE'!$AC$7:$AC$3006,MATCH(25,'CARNET DE SOUDURE'!$AV$7:$AV$3006,0))&amp;IF(INDEX('CARNET DE SOUDURE'!$AH$7:$AH$3006,MATCH(25,'CARNET DE SOUDURE'!$AV$7:$AV$3006,0))&lt;&gt;""," / "&amp;INDEX('CARNET DE SOUDURE'!$AH$7:$AH$3006,MATCH(25,'CARNET DE SOUDURE'!$AV$7:$AV$3006,0)),""))</f>
        <v/>
      </c>
      <c r="K36" s="125" t="str">
        <f aca="false">IF($B36="","",INDEX('CARNET DE SOUDURE'!$AD$7:$AD$3006,MATCH(25,'CARNET DE SOUDURE'!$AV$7:$AV$3006,0))&amp;IF(INDEX('CARNET DE SOUDURE'!$AI$7:$AI$3006,MATCH(25,'CARNET DE SOUDURE'!$AV$7:$AV$3006,0))&lt;&gt;""," / "&amp;INDEX('CARNET DE SOUDURE'!$AI$7:$AI$3006,MATCH(25,'CARNET DE SOUDURE'!$AV$7:$AV$3006,0)),""))</f>
        <v/>
      </c>
      <c r="L36" s="125" t="str">
        <f aca="false">IF($B36="","",INDEX('CARNET DE SOUDURE'!$AG$7:$AG$3006,MATCH(25,'CARNET DE SOUDURE'!$AV$7:$AV$3006,0))&amp;IF(INDEX('CARNET DE SOUDURE'!$AL$7:$AL$3006,MATCH(25,'CARNET DE SOUDURE'!$AV$7:$AV$3006,0))&lt;&gt;""," / "&amp;INDEX('CARNET DE SOUDURE'!$AL$7:$AL$3006,MATCH(25,'CARNET DE SOUDURE'!$AV$7:$AV$3006,0)),""))</f>
        <v/>
      </c>
      <c r="M36" s="127" t="str">
        <f aca="false">IF($B36="","",INDEX('CARNET DE SOUDURE'!$AP$7:$AP$3006,MATCH(25,'CARNET DE SOUDURE'!$AV$7:$AV$3006,0)))</f>
        <v>R</v>
      </c>
      <c r="N36" s="127" t="str">
        <f aca="false">IF($B36="","",INDEX('CARNET DE SOUDURE'!$AQ$7:$AQ$3006,MATCH(25,'CARNET DE SOUDURE'!$AV$7:$AV$3006,0)))</f>
        <v>À RÉPARER</v>
      </c>
      <c r="O36" s="128" t="n">
        <f aca="false">IF($B36="","",INDEX('CARNET DE SOUDURE'!$AR$7:$AR$3006,MATCH(25,'CARNET DE SOUDURE'!$AV$7:$AV$3006,0)))</f>
        <v>14</v>
      </c>
    </row>
    <row r="37" customFormat="false" ht="15" hidden="false" customHeight="false" outlineLevel="0" collapsed="false">
      <c r="B37" s="130" t="n">
        <f aca="false">IF(26&gt;$I$4,"",26)</f>
        <v>26</v>
      </c>
      <c r="C37" s="130" t="str">
        <f aca="false">IF($B37="","",INDEX('CARNET DE SOUDURE'!$B$7:$B$3006,MATCH(26,'CARNET DE SOUDURE'!$AV$7:$AV$3006,0)))</f>
        <v>MFD-ISW → MFD-CPF</v>
      </c>
      <c r="D37" s="130" t="str">
        <f aca="false">IF($B37="","",INDEX('CARNET DE SOUDURE'!$E$7:$E$3006,MATCH(26,'CARNET DE SOUDURE'!$AV$7:$AV$3006,0)))</f>
        <v>JN°1042</v>
      </c>
      <c r="E37" s="130" t="str">
        <f aca="false">IF($B37="","",INDEX('CARNET DE SOUDURE'!$R$7:$R$3006,MATCH(26,'CARNET DE SOUDURE'!$AV$7:$AV$3006,0))&amp;IF(INDEX('CARNET DE SOUDURE'!$S$7:$S$3006,MATCH(26,'CARNET DE SOUDURE'!$AV$7:$AV$3006,0))&lt;&gt;""," / "&amp;INDEX('CARNET DE SOUDURE'!$S$7:$S$3006,MATCH(26,'CARNET DE SOUDURE'!$AV$7:$AV$3006,0)),"")&amp;IF(INDEX('CARNET DE SOUDURE'!$T$7:$T$3006,MATCH(26,'CARNET DE SOUDURE'!$AV$7:$AV$3006,0))&lt;&gt;""," / "&amp;INDEX('CARNET DE SOUDURE'!$T$7:$T$3006,MATCH(26,'CARNET DE SOUDURE'!$AV$7:$AV$3006,0)),""))</f>
        <v>WR-46-44/36-33/30-52/50-51/43-45</v>
      </c>
      <c r="F37" s="131" t="n">
        <f aca="false">IF($B37="","",INDEX('CARNET DE SOUDURE'!$Y$7:$Y$3006,MATCH(26,'CARNET DE SOUDURE'!$AV$7:$AV$3006,0)))</f>
        <v>46284</v>
      </c>
      <c r="G37" s="130" t="str">
        <f aca="false">IF($B37="","",INDEX('CARNET DE SOUDURE'!$Z$7:$Z$3006,MATCH(26,'CARNET DE SOUDURE'!$AV$7:$AV$3006,0))&amp;"")</f>
        <v>L-RT-049</v>
      </c>
      <c r="H37" s="132" t="str">
        <f aca="false">IF($B37="","",INDEX('CARNET DE SOUDURE'!$AA$7:$AA$3006,MATCH(26,'CARNET DE SOUDURE'!$AV$7:$AV$3006,0)))</f>
        <v>R</v>
      </c>
      <c r="I37" s="130" t="str">
        <f aca="false">IF($B37="","",INDEX('CARNET DE SOUDURE'!$AB$7:$AB$3006,MATCH(26,'CARNET DE SOUDURE'!$AV$7:$AV$3006,0))&amp;"")</f>
        <v>(55-80) IU 1 ere P</v>
      </c>
      <c r="J37" s="130" t="str">
        <f aca="false">IF($B37="","",INDEX('CARNET DE SOUDURE'!$AC$7:$AC$3006,MATCH(26,'CARNET DE SOUDURE'!$AV$7:$AV$3006,0))&amp;IF(INDEX('CARNET DE SOUDURE'!$AH$7:$AH$3006,MATCH(26,'CARNET DE SOUDURE'!$AV$7:$AV$3006,0))&lt;&gt;""," / "&amp;INDEX('CARNET DE SOUDURE'!$AH$7:$AH$3006,MATCH(26,'CARNET DE SOUDURE'!$AV$7:$AV$3006,0)),""))</f>
        <v/>
      </c>
      <c r="K37" s="130" t="str">
        <f aca="false">IF($B37="","",INDEX('CARNET DE SOUDURE'!$AD$7:$AD$3006,MATCH(26,'CARNET DE SOUDURE'!$AV$7:$AV$3006,0))&amp;IF(INDEX('CARNET DE SOUDURE'!$AI$7:$AI$3006,MATCH(26,'CARNET DE SOUDURE'!$AV$7:$AV$3006,0))&lt;&gt;""," / "&amp;INDEX('CARNET DE SOUDURE'!$AI$7:$AI$3006,MATCH(26,'CARNET DE SOUDURE'!$AV$7:$AV$3006,0)),""))</f>
        <v/>
      </c>
      <c r="L37" s="130" t="str">
        <f aca="false">IF($B37="","",INDEX('CARNET DE SOUDURE'!$AG$7:$AG$3006,MATCH(26,'CARNET DE SOUDURE'!$AV$7:$AV$3006,0))&amp;IF(INDEX('CARNET DE SOUDURE'!$AL$7:$AL$3006,MATCH(26,'CARNET DE SOUDURE'!$AV$7:$AV$3006,0))&lt;&gt;""," / "&amp;INDEX('CARNET DE SOUDURE'!$AL$7:$AL$3006,MATCH(26,'CARNET DE SOUDURE'!$AV$7:$AV$3006,0)),""))</f>
        <v/>
      </c>
      <c r="M37" s="132" t="str">
        <f aca="false">IF($B37="","",INDEX('CARNET DE SOUDURE'!$AP$7:$AP$3006,MATCH(26,'CARNET DE SOUDURE'!$AV$7:$AV$3006,0)))</f>
        <v>R</v>
      </c>
      <c r="N37" s="132" t="str">
        <f aca="false">IF($B37="","",INDEX('CARNET DE SOUDURE'!$AQ$7:$AQ$3006,MATCH(26,'CARNET DE SOUDURE'!$AV$7:$AV$3006,0)))</f>
        <v>À RÉPARER</v>
      </c>
      <c r="O37" s="133" t="n">
        <f aca="false">IF($B37="","",INDEX('CARNET DE SOUDURE'!$AR$7:$AR$3006,MATCH(26,'CARNET DE SOUDURE'!$AV$7:$AV$3006,0)))</f>
        <v>14</v>
      </c>
    </row>
    <row r="38" customFormat="false" ht="15" hidden="false" customHeight="false" outlineLevel="0" collapsed="false">
      <c r="B38" s="125" t="n">
        <f aca="false">IF(27&gt;$I$4,"",27)</f>
        <v>27</v>
      </c>
      <c r="C38" s="125" t="str">
        <f aca="false">IF($B38="","",INDEX('CARNET DE SOUDURE'!$B$7:$B$3006,MATCH(27,'CARNET DE SOUDURE'!$AV$7:$AV$3006,0)))</f>
        <v>MFD-ISW → MFD-CPF</v>
      </c>
      <c r="D38" s="125" t="str">
        <f aca="false">IF($B38="","",INDEX('CARNET DE SOUDURE'!$E$7:$E$3006,MATCH(27,'CARNET DE SOUDURE'!$AV$7:$AV$3006,0)))</f>
        <v>JN°1044</v>
      </c>
      <c r="E38" s="125" t="str">
        <f aca="false">IF($B38="","",INDEX('CARNET DE SOUDURE'!$R$7:$R$3006,MATCH(27,'CARNET DE SOUDURE'!$AV$7:$AV$3006,0))&amp;IF(INDEX('CARNET DE SOUDURE'!$S$7:$S$3006,MATCH(27,'CARNET DE SOUDURE'!$AV$7:$AV$3006,0))&lt;&gt;""," / "&amp;INDEX('CARNET DE SOUDURE'!$S$7:$S$3006,MATCH(27,'CARNET DE SOUDURE'!$AV$7:$AV$3006,0)),"")&amp;IF(INDEX('CARNET DE SOUDURE'!$T$7:$T$3006,MATCH(27,'CARNET DE SOUDURE'!$AV$7:$AV$3006,0))&lt;&gt;""," / "&amp;INDEX('CARNET DE SOUDURE'!$T$7:$T$3006,MATCH(27,'CARNET DE SOUDURE'!$AV$7:$AV$3006,0)),""))</f>
        <v>WR-46-44/36-33/30-52/50-51/43-45</v>
      </c>
      <c r="F38" s="126" t="n">
        <f aca="false">IF($B38="","",INDEX('CARNET DE SOUDURE'!$Y$7:$Y$3006,MATCH(27,'CARNET DE SOUDURE'!$AV$7:$AV$3006,0)))</f>
        <v>46284</v>
      </c>
      <c r="G38" s="125" t="str">
        <f aca="false">IF($B38="","",INDEX('CARNET DE SOUDURE'!$Z$7:$Z$3006,MATCH(27,'CARNET DE SOUDURE'!$AV$7:$AV$3006,0))&amp;"")</f>
        <v>L-RT-049</v>
      </c>
      <c r="H38" s="127" t="str">
        <f aca="false">IF($B38="","",INDEX('CARNET DE SOUDURE'!$AA$7:$AA$3006,MATCH(27,'CARNET DE SOUDURE'!$AV$7:$AV$3006,0)))</f>
        <v>R</v>
      </c>
      <c r="I38" s="125" t="str">
        <f aca="false">IF($B38="","",INDEX('CARNET DE SOUDURE'!$AB$7:$AB$3006,MATCH(27,'CARNET DE SOUDURE'!$AV$7:$AV$3006,0))&amp;"")</f>
        <v>(35-80) IU 1 ere P</v>
      </c>
      <c r="J38" s="125" t="str">
        <f aca="false">IF($B38="","",INDEX('CARNET DE SOUDURE'!$AC$7:$AC$3006,MATCH(27,'CARNET DE SOUDURE'!$AV$7:$AV$3006,0))&amp;IF(INDEX('CARNET DE SOUDURE'!$AH$7:$AH$3006,MATCH(27,'CARNET DE SOUDURE'!$AV$7:$AV$3006,0))&lt;&gt;""," / "&amp;INDEX('CARNET DE SOUDURE'!$AH$7:$AH$3006,MATCH(27,'CARNET DE SOUDURE'!$AV$7:$AV$3006,0)),""))</f>
        <v/>
      </c>
      <c r="K38" s="125" t="str">
        <f aca="false">IF($B38="","",INDEX('CARNET DE SOUDURE'!$AD$7:$AD$3006,MATCH(27,'CARNET DE SOUDURE'!$AV$7:$AV$3006,0))&amp;IF(INDEX('CARNET DE SOUDURE'!$AI$7:$AI$3006,MATCH(27,'CARNET DE SOUDURE'!$AV$7:$AV$3006,0))&lt;&gt;""," / "&amp;INDEX('CARNET DE SOUDURE'!$AI$7:$AI$3006,MATCH(27,'CARNET DE SOUDURE'!$AV$7:$AV$3006,0)),""))</f>
        <v/>
      </c>
      <c r="L38" s="125" t="str">
        <f aca="false">IF($B38="","",INDEX('CARNET DE SOUDURE'!$AG$7:$AG$3006,MATCH(27,'CARNET DE SOUDURE'!$AV$7:$AV$3006,0))&amp;IF(INDEX('CARNET DE SOUDURE'!$AL$7:$AL$3006,MATCH(27,'CARNET DE SOUDURE'!$AV$7:$AV$3006,0))&lt;&gt;""," / "&amp;INDEX('CARNET DE SOUDURE'!$AL$7:$AL$3006,MATCH(27,'CARNET DE SOUDURE'!$AV$7:$AV$3006,0)),""))</f>
        <v/>
      </c>
      <c r="M38" s="127" t="str">
        <f aca="false">IF($B38="","",INDEX('CARNET DE SOUDURE'!$AP$7:$AP$3006,MATCH(27,'CARNET DE SOUDURE'!$AV$7:$AV$3006,0)))</f>
        <v>R</v>
      </c>
      <c r="N38" s="127" t="str">
        <f aca="false">IF($B38="","",INDEX('CARNET DE SOUDURE'!$AQ$7:$AQ$3006,MATCH(27,'CARNET DE SOUDURE'!$AV$7:$AV$3006,0)))</f>
        <v>À RÉPARER</v>
      </c>
      <c r="O38" s="128" t="n">
        <f aca="false">IF($B38="","",INDEX('CARNET DE SOUDURE'!$AR$7:$AR$3006,MATCH(27,'CARNET DE SOUDURE'!$AV$7:$AV$3006,0)))</f>
        <v>14</v>
      </c>
    </row>
    <row r="39" customFormat="false" ht="15" hidden="false" customHeight="false" outlineLevel="0" collapsed="false">
      <c r="B39" s="130" t="n">
        <f aca="false">IF(28&gt;$I$4,"",28)</f>
        <v>28</v>
      </c>
      <c r="C39" s="130" t="str">
        <f aca="false">IF($B39="","",INDEX('CARNET DE SOUDURE'!$B$7:$B$3006,MATCH(28,'CARNET DE SOUDURE'!$AV$7:$AV$3006,0)))</f>
        <v>MFD-ISW → MFD-CPF</v>
      </c>
      <c r="D39" s="130" t="str">
        <f aca="false">IF($B39="","",INDEX('CARNET DE SOUDURE'!$E$7:$E$3006,MATCH(28,'CARNET DE SOUDURE'!$AV$7:$AV$3006,0)))</f>
        <v>JN°1069</v>
      </c>
      <c r="E39" s="130" t="str">
        <f aca="false">IF($B39="","",INDEX('CARNET DE SOUDURE'!$R$7:$R$3006,MATCH(28,'CARNET DE SOUDURE'!$AV$7:$AV$3006,0))&amp;IF(INDEX('CARNET DE SOUDURE'!$S$7:$S$3006,MATCH(28,'CARNET DE SOUDURE'!$AV$7:$AV$3006,0))&lt;&gt;""," / "&amp;INDEX('CARNET DE SOUDURE'!$S$7:$S$3006,MATCH(28,'CARNET DE SOUDURE'!$AV$7:$AV$3006,0)),"")&amp;IF(INDEX('CARNET DE SOUDURE'!$T$7:$T$3006,MATCH(28,'CARNET DE SOUDURE'!$AV$7:$AV$3006,0))&lt;&gt;""," / "&amp;INDEX('CARNET DE SOUDURE'!$T$7:$T$3006,MATCH(28,'CARNET DE SOUDURE'!$AV$7:$AV$3006,0)),""))</f>
        <v>WR-46-44/36-33/30-52/50-51/43-45</v>
      </c>
      <c r="F39" s="131" t="n">
        <f aca="false">IF($B39="","",INDEX('CARNET DE SOUDURE'!$Y$7:$Y$3006,MATCH(28,'CARNET DE SOUDURE'!$AV$7:$AV$3006,0)))</f>
        <v>46283</v>
      </c>
      <c r="G39" s="130" t="str">
        <f aca="false">IF($B39="","",INDEX('CARNET DE SOUDURE'!$Z$7:$Z$3006,MATCH(28,'CARNET DE SOUDURE'!$AV$7:$AV$3006,0))&amp;"")</f>
        <v>L-RT-045</v>
      </c>
      <c r="H39" s="132" t="str">
        <f aca="false">IF($B39="","",INDEX('CARNET DE SOUDURE'!$AA$7:$AA$3006,MATCH(28,'CARNET DE SOUDURE'!$AV$7:$AV$3006,0)))</f>
        <v>R</v>
      </c>
      <c r="I39" s="130" t="str">
        <f aca="false">IF($B39="","",INDEX('CARNET DE SOUDURE'!$AB$7:$AB$3006,MATCH(28,'CARNET DE SOUDURE'!$AV$7:$AV$3006,0))&amp;"")</f>
        <v>(65-85) IU 1 ere P</v>
      </c>
      <c r="J39" s="130" t="str">
        <f aca="false">IF($B39="","",INDEX('CARNET DE SOUDURE'!$AC$7:$AC$3006,MATCH(28,'CARNET DE SOUDURE'!$AV$7:$AV$3006,0))&amp;IF(INDEX('CARNET DE SOUDURE'!$AH$7:$AH$3006,MATCH(28,'CARNET DE SOUDURE'!$AV$7:$AV$3006,0))&lt;&gt;""," / "&amp;INDEX('CARNET DE SOUDURE'!$AH$7:$AH$3006,MATCH(28,'CARNET DE SOUDURE'!$AV$7:$AV$3006,0)),""))</f>
        <v/>
      </c>
      <c r="K39" s="130" t="str">
        <f aca="false">IF($B39="","",INDEX('CARNET DE SOUDURE'!$AD$7:$AD$3006,MATCH(28,'CARNET DE SOUDURE'!$AV$7:$AV$3006,0))&amp;IF(INDEX('CARNET DE SOUDURE'!$AI$7:$AI$3006,MATCH(28,'CARNET DE SOUDURE'!$AV$7:$AV$3006,0))&lt;&gt;""," / "&amp;INDEX('CARNET DE SOUDURE'!$AI$7:$AI$3006,MATCH(28,'CARNET DE SOUDURE'!$AV$7:$AV$3006,0)),""))</f>
        <v/>
      </c>
      <c r="L39" s="130" t="str">
        <f aca="false">IF($B39="","",INDEX('CARNET DE SOUDURE'!$AG$7:$AG$3006,MATCH(28,'CARNET DE SOUDURE'!$AV$7:$AV$3006,0))&amp;IF(INDEX('CARNET DE SOUDURE'!$AL$7:$AL$3006,MATCH(28,'CARNET DE SOUDURE'!$AV$7:$AV$3006,0))&lt;&gt;""," / "&amp;INDEX('CARNET DE SOUDURE'!$AL$7:$AL$3006,MATCH(28,'CARNET DE SOUDURE'!$AV$7:$AV$3006,0)),""))</f>
        <v/>
      </c>
      <c r="M39" s="132" t="str">
        <f aca="false">IF($B39="","",INDEX('CARNET DE SOUDURE'!$AP$7:$AP$3006,MATCH(28,'CARNET DE SOUDURE'!$AV$7:$AV$3006,0)))</f>
        <v>R</v>
      </c>
      <c r="N39" s="132" t="str">
        <f aca="false">IF($B39="","",INDEX('CARNET DE SOUDURE'!$AQ$7:$AQ$3006,MATCH(28,'CARNET DE SOUDURE'!$AV$7:$AV$3006,0)))</f>
        <v>À RÉPARER</v>
      </c>
      <c r="O39" s="133" t="n">
        <f aca="false">IF($B39="","",INDEX('CARNET DE SOUDURE'!$AR$7:$AR$3006,MATCH(28,'CARNET DE SOUDURE'!$AV$7:$AV$3006,0)))</f>
        <v>15</v>
      </c>
    </row>
    <row r="40" customFormat="false" ht="15" hidden="false" customHeight="false" outlineLevel="0" collapsed="false">
      <c r="B40" s="125" t="n">
        <f aca="false">IF(29&gt;$I$4,"",29)</f>
        <v>29</v>
      </c>
      <c r="C40" s="125" t="str">
        <f aca="false">IF($B40="","",INDEX('CARNET DE SOUDURE'!$B$7:$B$3006,MATCH(29,'CARNET DE SOUDURE'!$AV$7:$AV$3006,0)))</f>
        <v>MFD-ISW → MFD-CPF</v>
      </c>
      <c r="D40" s="125" t="str">
        <f aca="false">IF($B40="","",INDEX('CARNET DE SOUDURE'!$E$7:$E$3006,MATCH(29,'CARNET DE SOUDURE'!$AV$7:$AV$3006,0)))</f>
        <v>JN°1070</v>
      </c>
      <c r="E40" s="125" t="str">
        <f aca="false">IF($B40="","",INDEX('CARNET DE SOUDURE'!$R$7:$R$3006,MATCH(29,'CARNET DE SOUDURE'!$AV$7:$AV$3006,0))&amp;IF(INDEX('CARNET DE SOUDURE'!$S$7:$S$3006,MATCH(29,'CARNET DE SOUDURE'!$AV$7:$AV$3006,0))&lt;&gt;""," / "&amp;INDEX('CARNET DE SOUDURE'!$S$7:$S$3006,MATCH(29,'CARNET DE SOUDURE'!$AV$7:$AV$3006,0)),"")&amp;IF(INDEX('CARNET DE SOUDURE'!$T$7:$T$3006,MATCH(29,'CARNET DE SOUDURE'!$AV$7:$AV$3006,0))&lt;&gt;""," / "&amp;INDEX('CARNET DE SOUDURE'!$T$7:$T$3006,MATCH(29,'CARNET DE SOUDURE'!$AV$7:$AV$3006,0)),""))</f>
        <v>WR-46-44/36-33/30-52/50-51/43-45</v>
      </c>
      <c r="F40" s="126" t="n">
        <f aca="false">IF($B40="","",INDEX('CARNET DE SOUDURE'!$Y$7:$Y$3006,MATCH(29,'CARNET DE SOUDURE'!$AV$7:$AV$3006,0)))</f>
        <v>0</v>
      </c>
      <c r="G40" s="125" t="str">
        <f aca="false">IF($B40="","",INDEX('CARNET DE SOUDURE'!$Z$7:$Z$3006,MATCH(29,'CARNET DE SOUDURE'!$AV$7:$AV$3006,0))&amp;"")</f>
        <v/>
      </c>
      <c r="H40" s="127" t="str">
        <f aca="false">IF($B40="","",INDEX('CARNET DE SOUDURE'!$AA$7:$AA$3006,MATCH(29,'CARNET DE SOUDURE'!$AV$7:$AV$3006,0)))</f>
        <v>NX</v>
      </c>
      <c r="I40" s="125" t="str">
        <f aca="false">IF($B40="","",INDEX('CARNET DE SOUDURE'!$AB$7:$AB$3006,MATCH(29,'CARNET DE SOUDURE'!$AV$7:$AV$3006,0))&amp;"")</f>
        <v>RX TOTAL</v>
      </c>
      <c r="J40" s="125" t="str">
        <f aca="false">IF($B40="","",INDEX('CARNET DE SOUDURE'!$AC$7:$AC$3006,MATCH(29,'CARNET DE SOUDURE'!$AV$7:$AV$3006,0))&amp;IF(INDEX('CARNET DE SOUDURE'!$AH$7:$AH$3006,MATCH(29,'CARNET DE SOUDURE'!$AV$7:$AV$3006,0))&lt;&gt;""," / "&amp;INDEX('CARNET DE SOUDURE'!$AH$7:$AH$3006,MATCH(29,'CARNET DE SOUDURE'!$AV$7:$AV$3006,0)),""))</f>
        <v/>
      </c>
      <c r="K40" s="125" t="str">
        <f aca="false">IF($B40="","",INDEX('CARNET DE SOUDURE'!$AD$7:$AD$3006,MATCH(29,'CARNET DE SOUDURE'!$AV$7:$AV$3006,0))&amp;IF(INDEX('CARNET DE SOUDURE'!$AI$7:$AI$3006,MATCH(29,'CARNET DE SOUDURE'!$AV$7:$AV$3006,0))&lt;&gt;""," / "&amp;INDEX('CARNET DE SOUDURE'!$AI$7:$AI$3006,MATCH(29,'CARNET DE SOUDURE'!$AV$7:$AV$3006,0)),""))</f>
        <v/>
      </c>
      <c r="L40" s="125" t="str">
        <f aca="false">IF($B40="","",INDEX('CARNET DE SOUDURE'!$AG$7:$AG$3006,MATCH(29,'CARNET DE SOUDURE'!$AV$7:$AV$3006,0))&amp;IF(INDEX('CARNET DE SOUDURE'!$AL$7:$AL$3006,MATCH(29,'CARNET DE SOUDURE'!$AV$7:$AV$3006,0))&lt;&gt;""," / "&amp;INDEX('CARNET DE SOUDURE'!$AL$7:$AL$3006,MATCH(29,'CARNET DE SOUDURE'!$AV$7:$AV$3006,0)),""))</f>
        <v/>
      </c>
      <c r="M40" s="127" t="str">
        <f aca="false">IF($B40="","",INDEX('CARNET DE SOUDURE'!$AP$7:$AP$3006,MATCH(29,'CARNET DE SOUDURE'!$AV$7:$AV$3006,0)))</f>
        <v>NX</v>
      </c>
      <c r="N40" s="127" t="str">
        <f aca="false">IF($B40="","",INDEX('CARNET DE SOUDURE'!$AQ$7:$AQ$3006,MATCH(29,'CARNET DE SOUDURE'!$AV$7:$AV$3006,0)))</f>
        <v>NX – RT À REFAIRE</v>
      </c>
      <c r="O40" s="128" t="n">
        <f aca="false">IF($B40="","",INDEX('CARNET DE SOUDURE'!$AR$7:$AR$3006,MATCH(29,'CARNET DE SOUDURE'!$AV$7:$AV$3006,0)))</f>
        <v>15</v>
      </c>
    </row>
    <row r="41" customFormat="false" ht="15" hidden="false" customHeight="false" outlineLevel="0" collapsed="false">
      <c r="B41" s="130" t="n">
        <f aca="false">IF(30&gt;$I$4,"",30)</f>
        <v>30</v>
      </c>
      <c r="C41" s="130" t="str">
        <f aca="false">IF($B41="","",INDEX('CARNET DE SOUDURE'!$B$7:$B$3006,MATCH(30,'CARNET DE SOUDURE'!$AV$7:$AV$3006,0)))</f>
        <v>MFD-ISW → MFD-CPF</v>
      </c>
      <c r="D41" s="130" t="str">
        <f aca="false">IF($B41="","",INDEX('CARNET DE SOUDURE'!$E$7:$E$3006,MATCH(30,'CARNET DE SOUDURE'!$AV$7:$AV$3006,0)))</f>
        <v>JN°1085</v>
      </c>
      <c r="E41" s="130" t="str">
        <f aca="false">IF($B41="","",INDEX('CARNET DE SOUDURE'!$R$7:$R$3006,MATCH(30,'CARNET DE SOUDURE'!$AV$7:$AV$3006,0))&amp;IF(INDEX('CARNET DE SOUDURE'!$S$7:$S$3006,MATCH(30,'CARNET DE SOUDURE'!$AV$7:$AV$3006,0))&lt;&gt;""," / "&amp;INDEX('CARNET DE SOUDURE'!$S$7:$S$3006,MATCH(30,'CARNET DE SOUDURE'!$AV$7:$AV$3006,0)),"")&amp;IF(INDEX('CARNET DE SOUDURE'!$T$7:$T$3006,MATCH(30,'CARNET DE SOUDURE'!$AV$7:$AV$3006,0))&lt;&gt;""," / "&amp;INDEX('CARNET DE SOUDURE'!$T$7:$T$3006,MATCH(30,'CARNET DE SOUDURE'!$AV$7:$AV$3006,0)),""))</f>
        <v>WR-46-44/36-33/30-52/50-51/43-45</v>
      </c>
      <c r="F41" s="131" t="n">
        <f aca="false">IF($B41="","",INDEX('CARNET DE SOUDURE'!$Y$7:$Y$3006,MATCH(30,'CARNET DE SOUDURE'!$AV$7:$AV$3006,0)))</f>
        <v>46282</v>
      </c>
      <c r="G41" s="130" t="str">
        <f aca="false">IF($B41="","",INDEX('CARNET DE SOUDURE'!$Z$7:$Z$3006,MATCH(30,'CARNET DE SOUDURE'!$AV$7:$AV$3006,0))&amp;"")</f>
        <v>L-RT-043</v>
      </c>
      <c r="H41" s="132" t="str">
        <f aca="false">IF($B41="","",INDEX('CARNET DE SOUDURE'!$AA$7:$AA$3006,MATCH(30,'CARNET DE SOUDURE'!$AV$7:$AV$3006,0)))</f>
        <v>R</v>
      </c>
      <c r="I41" s="130" t="str">
        <f aca="false">IF($B41="","",INDEX('CARNET DE SOUDURE'!$AB$7:$AB$3006,MATCH(30,'CARNET DE SOUDURE'!$AV$7:$AV$3006,0))&amp;"")</f>
        <v>(65-90) IU 1ere P</v>
      </c>
      <c r="J41" s="130" t="str">
        <f aca="false">IF($B41="","",INDEX('CARNET DE SOUDURE'!$AC$7:$AC$3006,MATCH(30,'CARNET DE SOUDURE'!$AV$7:$AV$3006,0))&amp;IF(INDEX('CARNET DE SOUDURE'!$AH$7:$AH$3006,MATCH(30,'CARNET DE SOUDURE'!$AV$7:$AV$3006,0))&lt;&gt;""," / "&amp;INDEX('CARNET DE SOUDURE'!$AH$7:$AH$3006,MATCH(30,'CARNET DE SOUDURE'!$AV$7:$AV$3006,0)),""))</f>
        <v/>
      </c>
      <c r="K41" s="130" t="str">
        <f aca="false">IF($B41="","",INDEX('CARNET DE SOUDURE'!$AD$7:$AD$3006,MATCH(30,'CARNET DE SOUDURE'!$AV$7:$AV$3006,0))&amp;IF(INDEX('CARNET DE SOUDURE'!$AI$7:$AI$3006,MATCH(30,'CARNET DE SOUDURE'!$AV$7:$AV$3006,0))&lt;&gt;""," / "&amp;INDEX('CARNET DE SOUDURE'!$AI$7:$AI$3006,MATCH(30,'CARNET DE SOUDURE'!$AV$7:$AV$3006,0)),""))</f>
        <v/>
      </c>
      <c r="L41" s="130" t="str">
        <f aca="false">IF($B41="","",INDEX('CARNET DE SOUDURE'!$AG$7:$AG$3006,MATCH(30,'CARNET DE SOUDURE'!$AV$7:$AV$3006,0))&amp;IF(INDEX('CARNET DE SOUDURE'!$AL$7:$AL$3006,MATCH(30,'CARNET DE SOUDURE'!$AV$7:$AV$3006,0))&lt;&gt;""," / "&amp;INDEX('CARNET DE SOUDURE'!$AL$7:$AL$3006,MATCH(30,'CARNET DE SOUDURE'!$AV$7:$AV$3006,0)),""))</f>
        <v/>
      </c>
      <c r="M41" s="132" t="str">
        <f aca="false">IF($B41="","",INDEX('CARNET DE SOUDURE'!$AP$7:$AP$3006,MATCH(30,'CARNET DE SOUDURE'!$AV$7:$AV$3006,0)))</f>
        <v>R</v>
      </c>
      <c r="N41" s="132" t="str">
        <f aca="false">IF($B41="","",INDEX('CARNET DE SOUDURE'!$AQ$7:$AQ$3006,MATCH(30,'CARNET DE SOUDURE'!$AV$7:$AV$3006,0)))</f>
        <v>À RÉPARER</v>
      </c>
      <c r="O41" s="133" t="n">
        <f aca="false">IF($B41="","",INDEX('CARNET DE SOUDURE'!$AR$7:$AR$3006,MATCH(30,'CARNET DE SOUDURE'!$AV$7:$AV$3006,0)))</f>
        <v>15</v>
      </c>
    </row>
    <row r="42" customFormat="false" ht="15" hidden="false" customHeight="false" outlineLevel="0" collapsed="false">
      <c r="B42" s="125" t="n">
        <f aca="false">IF(31&gt;$I$4,"",31)</f>
        <v>31</v>
      </c>
      <c r="C42" s="125" t="str">
        <f aca="false">IF($B42="","",INDEX('CARNET DE SOUDURE'!$B$7:$B$3006,MATCH(31,'CARNET DE SOUDURE'!$AV$7:$AV$3006,0)))</f>
        <v>MFD-ISW → MFD-CPF</v>
      </c>
      <c r="D42" s="125" t="str">
        <f aca="false">IF($B42="","",INDEX('CARNET DE SOUDURE'!$E$7:$E$3006,MATCH(31,'CARNET DE SOUDURE'!$AV$7:$AV$3006,0)))</f>
        <v>JN°1089</v>
      </c>
      <c r="E42" s="125" t="str">
        <f aca="false">IF($B42="","",INDEX('CARNET DE SOUDURE'!$R$7:$R$3006,MATCH(31,'CARNET DE SOUDURE'!$AV$7:$AV$3006,0))&amp;IF(INDEX('CARNET DE SOUDURE'!$S$7:$S$3006,MATCH(31,'CARNET DE SOUDURE'!$AV$7:$AV$3006,0))&lt;&gt;""," / "&amp;INDEX('CARNET DE SOUDURE'!$S$7:$S$3006,MATCH(31,'CARNET DE SOUDURE'!$AV$7:$AV$3006,0)),"")&amp;IF(INDEX('CARNET DE SOUDURE'!$T$7:$T$3006,MATCH(31,'CARNET DE SOUDURE'!$AV$7:$AV$3006,0))&lt;&gt;""," / "&amp;INDEX('CARNET DE SOUDURE'!$T$7:$T$3006,MATCH(31,'CARNET DE SOUDURE'!$AV$7:$AV$3006,0)),""))</f>
        <v>WR-46-44/36-33/30-52/50-51/43-45</v>
      </c>
      <c r="F42" s="126" t="n">
        <f aca="false">IF($B42="","",INDEX('CARNET DE SOUDURE'!$Y$7:$Y$3006,MATCH(31,'CARNET DE SOUDURE'!$AV$7:$AV$3006,0)))</f>
        <v>46282</v>
      </c>
      <c r="G42" s="125" t="str">
        <f aca="false">IF($B42="","",INDEX('CARNET DE SOUDURE'!$Z$7:$Z$3006,MATCH(31,'CARNET DE SOUDURE'!$AV$7:$AV$3006,0))&amp;"")</f>
        <v>L-RT-043</v>
      </c>
      <c r="H42" s="127" t="str">
        <f aca="false">IF($B42="","",INDEX('CARNET DE SOUDURE'!$AA$7:$AA$3006,MATCH(31,'CARNET DE SOUDURE'!$AV$7:$AV$3006,0)))</f>
        <v>R</v>
      </c>
      <c r="I42" s="125" t="str">
        <f aca="false">IF($B42="","",INDEX('CARNET DE SOUDURE'!$AB$7:$AB$3006,MATCH(31,'CARNET DE SOUDURE'!$AV$7:$AV$3006,0))&amp;"")</f>
        <v>(74-95) IU 1ere P</v>
      </c>
      <c r="J42" s="125" t="str">
        <f aca="false">IF($B42="","",INDEX('CARNET DE SOUDURE'!$AC$7:$AC$3006,MATCH(31,'CARNET DE SOUDURE'!$AV$7:$AV$3006,0))&amp;IF(INDEX('CARNET DE SOUDURE'!$AH$7:$AH$3006,MATCH(31,'CARNET DE SOUDURE'!$AV$7:$AV$3006,0))&lt;&gt;""," / "&amp;INDEX('CARNET DE SOUDURE'!$AH$7:$AH$3006,MATCH(31,'CARNET DE SOUDURE'!$AV$7:$AV$3006,0)),""))</f>
        <v/>
      </c>
      <c r="K42" s="125" t="str">
        <f aca="false">IF($B42="","",INDEX('CARNET DE SOUDURE'!$AD$7:$AD$3006,MATCH(31,'CARNET DE SOUDURE'!$AV$7:$AV$3006,0))&amp;IF(INDEX('CARNET DE SOUDURE'!$AI$7:$AI$3006,MATCH(31,'CARNET DE SOUDURE'!$AV$7:$AV$3006,0))&lt;&gt;""," / "&amp;INDEX('CARNET DE SOUDURE'!$AI$7:$AI$3006,MATCH(31,'CARNET DE SOUDURE'!$AV$7:$AV$3006,0)),""))</f>
        <v/>
      </c>
      <c r="L42" s="125" t="str">
        <f aca="false">IF($B42="","",INDEX('CARNET DE SOUDURE'!$AG$7:$AG$3006,MATCH(31,'CARNET DE SOUDURE'!$AV$7:$AV$3006,0))&amp;IF(INDEX('CARNET DE SOUDURE'!$AL$7:$AL$3006,MATCH(31,'CARNET DE SOUDURE'!$AV$7:$AV$3006,0))&lt;&gt;""," / "&amp;INDEX('CARNET DE SOUDURE'!$AL$7:$AL$3006,MATCH(31,'CARNET DE SOUDURE'!$AV$7:$AV$3006,0)),""))</f>
        <v/>
      </c>
      <c r="M42" s="127" t="str">
        <f aca="false">IF($B42="","",INDEX('CARNET DE SOUDURE'!$AP$7:$AP$3006,MATCH(31,'CARNET DE SOUDURE'!$AV$7:$AV$3006,0)))</f>
        <v>R</v>
      </c>
      <c r="N42" s="127" t="str">
        <f aca="false">IF($B42="","",INDEX('CARNET DE SOUDURE'!$AQ$7:$AQ$3006,MATCH(31,'CARNET DE SOUDURE'!$AV$7:$AV$3006,0)))</f>
        <v>À RÉPARER</v>
      </c>
      <c r="O42" s="128" t="n">
        <f aca="false">IF($B42="","",INDEX('CARNET DE SOUDURE'!$AR$7:$AR$3006,MATCH(31,'CARNET DE SOUDURE'!$AV$7:$AV$3006,0)))</f>
        <v>15</v>
      </c>
    </row>
    <row r="43" customFormat="false" ht="15" hidden="false" customHeight="false" outlineLevel="0" collapsed="false">
      <c r="B43" s="130" t="n">
        <f aca="false">IF(32&gt;$I$4,"",32)</f>
        <v>32</v>
      </c>
      <c r="C43" s="130" t="str">
        <f aca="false">IF($B43="","",INDEX('CARNET DE SOUDURE'!$B$7:$B$3006,MATCH(32,'CARNET DE SOUDURE'!$AV$7:$AV$3006,0)))</f>
        <v>MFD-ISW → MFD-CPF</v>
      </c>
      <c r="D43" s="130" t="str">
        <f aca="false">IF($B43="","",INDEX('CARNET DE SOUDURE'!$E$7:$E$3006,MATCH(32,'CARNET DE SOUDURE'!$AV$7:$AV$3006,0)))</f>
        <v>JN°1091</v>
      </c>
      <c r="E43" s="130" t="str">
        <f aca="false">IF($B43="","",INDEX('CARNET DE SOUDURE'!$R$7:$R$3006,MATCH(32,'CARNET DE SOUDURE'!$AV$7:$AV$3006,0))&amp;IF(INDEX('CARNET DE SOUDURE'!$S$7:$S$3006,MATCH(32,'CARNET DE SOUDURE'!$AV$7:$AV$3006,0))&lt;&gt;""," / "&amp;INDEX('CARNET DE SOUDURE'!$S$7:$S$3006,MATCH(32,'CARNET DE SOUDURE'!$AV$7:$AV$3006,0)),"")&amp;IF(INDEX('CARNET DE SOUDURE'!$T$7:$T$3006,MATCH(32,'CARNET DE SOUDURE'!$AV$7:$AV$3006,0))&lt;&gt;""," / "&amp;INDEX('CARNET DE SOUDURE'!$T$7:$T$3006,MATCH(32,'CARNET DE SOUDURE'!$AV$7:$AV$3006,0)),""))</f>
        <v>WR-46-44/36-33/30-52/50-51/43-45</v>
      </c>
      <c r="F43" s="131" t="n">
        <f aca="false">IF($B43="","",INDEX('CARNET DE SOUDURE'!$Y$7:$Y$3006,MATCH(32,'CARNET DE SOUDURE'!$AV$7:$AV$3006,0)))</f>
        <v>46282</v>
      </c>
      <c r="G43" s="130" t="str">
        <f aca="false">IF($B43="","",INDEX('CARNET DE SOUDURE'!$Z$7:$Z$3006,MATCH(32,'CARNET DE SOUDURE'!$AV$7:$AV$3006,0))&amp;"")</f>
        <v>L-RT-043</v>
      </c>
      <c r="H43" s="132" t="str">
        <f aca="false">IF($B43="","",INDEX('CARNET DE SOUDURE'!$AA$7:$AA$3006,MATCH(32,'CARNET DE SOUDURE'!$AV$7:$AV$3006,0)))</f>
        <v>R</v>
      </c>
      <c r="I43" s="130" t="str">
        <f aca="false">IF($B43="","",INDEX('CARNET DE SOUDURE'!$AB$7:$AB$3006,MATCH(32,'CARNET DE SOUDURE'!$AV$7:$AV$3006,0))&amp;"")</f>
        <v>(70-85) IU 1ere P</v>
      </c>
      <c r="J43" s="130" t="str">
        <f aca="false">IF($B43="","",INDEX('CARNET DE SOUDURE'!$AC$7:$AC$3006,MATCH(32,'CARNET DE SOUDURE'!$AV$7:$AV$3006,0))&amp;IF(INDEX('CARNET DE SOUDURE'!$AH$7:$AH$3006,MATCH(32,'CARNET DE SOUDURE'!$AV$7:$AV$3006,0))&lt;&gt;""," / "&amp;INDEX('CARNET DE SOUDURE'!$AH$7:$AH$3006,MATCH(32,'CARNET DE SOUDURE'!$AV$7:$AV$3006,0)),""))</f>
        <v/>
      </c>
      <c r="K43" s="130" t="str">
        <f aca="false">IF($B43="","",INDEX('CARNET DE SOUDURE'!$AD$7:$AD$3006,MATCH(32,'CARNET DE SOUDURE'!$AV$7:$AV$3006,0))&amp;IF(INDEX('CARNET DE SOUDURE'!$AI$7:$AI$3006,MATCH(32,'CARNET DE SOUDURE'!$AV$7:$AV$3006,0))&lt;&gt;""," / "&amp;INDEX('CARNET DE SOUDURE'!$AI$7:$AI$3006,MATCH(32,'CARNET DE SOUDURE'!$AV$7:$AV$3006,0)),""))</f>
        <v/>
      </c>
      <c r="L43" s="130" t="str">
        <f aca="false">IF($B43="","",INDEX('CARNET DE SOUDURE'!$AG$7:$AG$3006,MATCH(32,'CARNET DE SOUDURE'!$AV$7:$AV$3006,0))&amp;IF(INDEX('CARNET DE SOUDURE'!$AL$7:$AL$3006,MATCH(32,'CARNET DE SOUDURE'!$AV$7:$AV$3006,0))&lt;&gt;""," / "&amp;INDEX('CARNET DE SOUDURE'!$AL$7:$AL$3006,MATCH(32,'CARNET DE SOUDURE'!$AV$7:$AV$3006,0)),""))</f>
        <v/>
      </c>
      <c r="M43" s="132" t="str">
        <f aca="false">IF($B43="","",INDEX('CARNET DE SOUDURE'!$AP$7:$AP$3006,MATCH(32,'CARNET DE SOUDURE'!$AV$7:$AV$3006,0)))</f>
        <v>R</v>
      </c>
      <c r="N43" s="132" t="str">
        <f aca="false">IF($B43="","",INDEX('CARNET DE SOUDURE'!$AQ$7:$AQ$3006,MATCH(32,'CARNET DE SOUDURE'!$AV$7:$AV$3006,0)))</f>
        <v>À RÉPARER</v>
      </c>
      <c r="O43" s="133" t="n">
        <f aca="false">IF($B43="","",INDEX('CARNET DE SOUDURE'!$AR$7:$AR$3006,MATCH(32,'CARNET DE SOUDURE'!$AV$7:$AV$3006,0)))</f>
        <v>15</v>
      </c>
    </row>
    <row r="44" customFormat="false" ht="15" hidden="false" customHeight="false" outlineLevel="0" collapsed="false">
      <c r="B44" s="125" t="n">
        <f aca="false">IF(33&gt;$I$4,"",33)</f>
        <v>33</v>
      </c>
      <c r="C44" s="125" t="str">
        <f aca="false">IF($B44="","",INDEX('CARNET DE SOUDURE'!$B$7:$B$3006,MATCH(33,'CARNET DE SOUDURE'!$AV$7:$AV$3006,0)))</f>
        <v>MFD-ISW → MFD-CPF</v>
      </c>
      <c r="D44" s="125" t="str">
        <f aca="false">IF($B44="","",INDEX('CARNET DE SOUDURE'!$E$7:$E$3006,MATCH(33,'CARNET DE SOUDURE'!$AV$7:$AV$3006,0)))</f>
        <v>JN°1108</v>
      </c>
      <c r="E44" s="125" t="str">
        <f aca="false">IF($B44="","",INDEX('CARNET DE SOUDURE'!$R$7:$R$3006,MATCH(33,'CARNET DE SOUDURE'!$AV$7:$AV$3006,0))&amp;IF(INDEX('CARNET DE SOUDURE'!$S$7:$S$3006,MATCH(33,'CARNET DE SOUDURE'!$AV$7:$AV$3006,0))&lt;&gt;""," / "&amp;INDEX('CARNET DE SOUDURE'!$S$7:$S$3006,MATCH(33,'CARNET DE SOUDURE'!$AV$7:$AV$3006,0)),"")&amp;IF(INDEX('CARNET DE SOUDURE'!$T$7:$T$3006,MATCH(33,'CARNET DE SOUDURE'!$AV$7:$AV$3006,0))&lt;&gt;""," / "&amp;INDEX('CARNET DE SOUDURE'!$T$7:$T$3006,MATCH(33,'CARNET DE SOUDURE'!$AV$7:$AV$3006,0)),""))</f>
        <v>WR-46-44/36-33/30-52/50-51/43-45</v>
      </c>
      <c r="F44" s="126" t="n">
        <f aca="false">IF($B44="","",INDEX('CARNET DE SOUDURE'!$Y$7:$Y$3006,MATCH(33,'CARNET DE SOUDURE'!$AV$7:$AV$3006,0)))</f>
        <v>46282</v>
      </c>
      <c r="G44" s="125" t="str">
        <f aca="false">IF($B44="","",INDEX('CARNET DE SOUDURE'!$Z$7:$Z$3006,MATCH(33,'CARNET DE SOUDURE'!$AV$7:$AV$3006,0))&amp;"")</f>
        <v>L-RT-044</v>
      </c>
      <c r="H44" s="127" t="str">
        <f aca="false">IF($B44="","",INDEX('CARNET DE SOUDURE'!$AA$7:$AA$3006,MATCH(33,'CARNET DE SOUDURE'!$AV$7:$AV$3006,0)))</f>
        <v>R</v>
      </c>
      <c r="I44" s="125" t="str">
        <f aca="false">IF($B44="","",INDEX('CARNET DE SOUDURE'!$AB$7:$AB$3006,MATCH(33,'CARNET DE SOUDURE'!$AV$7:$AV$3006,0))&amp;"")</f>
        <v>(50-65) IU 1ere P</v>
      </c>
      <c r="J44" s="125" t="str">
        <f aca="false">IF($B44="","",INDEX('CARNET DE SOUDURE'!$AC$7:$AC$3006,MATCH(33,'CARNET DE SOUDURE'!$AV$7:$AV$3006,0))&amp;IF(INDEX('CARNET DE SOUDURE'!$AH$7:$AH$3006,MATCH(33,'CARNET DE SOUDURE'!$AV$7:$AV$3006,0))&lt;&gt;""," / "&amp;INDEX('CARNET DE SOUDURE'!$AH$7:$AH$3006,MATCH(33,'CARNET DE SOUDURE'!$AV$7:$AV$3006,0)),""))</f>
        <v/>
      </c>
      <c r="K44" s="125" t="str">
        <f aca="false">IF($B44="","",INDEX('CARNET DE SOUDURE'!$AD$7:$AD$3006,MATCH(33,'CARNET DE SOUDURE'!$AV$7:$AV$3006,0))&amp;IF(INDEX('CARNET DE SOUDURE'!$AI$7:$AI$3006,MATCH(33,'CARNET DE SOUDURE'!$AV$7:$AV$3006,0))&lt;&gt;""," / "&amp;INDEX('CARNET DE SOUDURE'!$AI$7:$AI$3006,MATCH(33,'CARNET DE SOUDURE'!$AV$7:$AV$3006,0)),""))</f>
        <v/>
      </c>
      <c r="L44" s="125" t="str">
        <f aca="false">IF($B44="","",INDEX('CARNET DE SOUDURE'!$AG$7:$AG$3006,MATCH(33,'CARNET DE SOUDURE'!$AV$7:$AV$3006,0))&amp;IF(INDEX('CARNET DE SOUDURE'!$AL$7:$AL$3006,MATCH(33,'CARNET DE SOUDURE'!$AV$7:$AV$3006,0))&lt;&gt;""," / "&amp;INDEX('CARNET DE SOUDURE'!$AL$7:$AL$3006,MATCH(33,'CARNET DE SOUDURE'!$AV$7:$AV$3006,0)),""))</f>
        <v/>
      </c>
      <c r="M44" s="127" t="str">
        <f aca="false">IF($B44="","",INDEX('CARNET DE SOUDURE'!$AP$7:$AP$3006,MATCH(33,'CARNET DE SOUDURE'!$AV$7:$AV$3006,0)))</f>
        <v>R</v>
      </c>
      <c r="N44" s="127" t="str">
        <f aca="false">IF($B44="","",INDEX('CARNET DE SOUDURE'!$AQ$7:$AQ$3006,MATCH(33,'CARNET DE SOUDURE'!$AV$7:$AV$3006,0)))</f>
        <v>À RÉPARER</v>
      </c>
      <c r="O44" s="128" t="n">
        <f aca="false">IF($B44="","",INDEX('CARNET DE SOUDURE'!$AR$7:$AR$3006,MATCH(33,'CARNET DE SOUDURE'!$AV$7:$AV$3006,0)))</f>
        <v>16</v>
      </c>
    </row>
    <row r="45" customFormat="false" ht="15" hidden="false" customHeight="false" outlineLevel="0" collapsed="false">
      <c r="B45" s="130" t="n">
        <f aca="false">IF(34&gt;$I$4,"",34)</f>
        <v>34</v>
      </c>
      <c r="C45" s="130" t="str">
        <f aca="false">IF($B45="","",INDEX('CARNET DE SOUDURE'!$B$7:$B$3006,MATCH(34,'CARNET DE SOUDURE'!$AV$7:$AV$3006,0)))</f>
        <v>MFD-ISW → MFD-CPF</v>
      </c>
      <c r="D45" s="130" t="str">
        <f aca="false">IF($B45="","",INDEX('CARNET DE SOUDURE'!$E$7:$E$3006,MATCH(34,'CARNET DE SOUDURE'!$AV$7:$AV$3006,0)))</f>
        <v>JN°1123</v>
      </c>
      <c r="E45" s="130" t="str">
        <f aca="false">IF($B45="","",INDEX('CARNET DE SOUDURE'!$R$7:$R$3006,MATCH(34,'CARNET DE SOUDURE'!$AV$7:$AV$3006,0))&amp;IF(INDEX('CARNET DE SOUDURE'!$S$7:$S$3006,MATCH(34,'CARNET DE SOUDURE'!$AV$7:$AV$3006,0))&lt;&gt;""," / "&amp;INDEX('CARNET DE SOUDURE'!$S$7:$S$3006,MATCH(34,'CARNET DE SOUDURE'!$AV$7:$AV$3006,0)),"")&amp;IF(INDEX('CARNET DE SOUDURE'!$T$7:$T$3006,MATCH(34,'CARNET DE SOUDURE'!$AV$7:$AV$3006,0))&lt;&gt;""," / "&amp;INDEX('CARNET DE SOUDURE'!$T$7:$T$3006,MATCH(34,'CARNET DE SOUDURE'!$AV$7:$AV$3006,0)),""))</f>
        <v>WR-46-44/36-33/30-52/50-51/43-45</v>
      </c>
      <c r="F45" s="131" t="n">
        <f aca="false">IF($B45="","",INDEX('CARNET DE SOUDURE'!$Y$7:$Y$3006,MATCH(34,'CARNET DE SOUDURE'!$AV$7:$AV$3006,0)))</f>
        <v>46282</v>
      </c>
      <c r="G45" s="130" t="str">
        <f aca="false">IF($B45="","",INDEX('CARNET DE SOUDURE'!$Z$7:$Z$3006,MATCH(34,'CARNET DE SOUDURE'!$AV$7:$AV$3006,0))&amp;"")</f>
        <v>L-RT-044</v>
      </c>
      <c r="H45" s="132" t="str">
        <f aca="false">IF($B45="","",INDEX('CARNET DE SOUDURE'!$AA$7:$AA$3006,MATCH(34,'CARNET DE SOUDURE'!$AV$7:$AV$3006,0)))</f>
        <v>R</v>
      </c>
      <c r="I45" s="130" t="str">
        <f aca="false">IF($B45="","",INDEX('CARNET DE SOUDURE'!$AB$7:$AB$3006,MATCH(34,'CARNET DE SOUDURE'!$AV$7:$AV$3006,0))&amp;"")</f>
        <v>(65-80) IU 1 ere P</v>
      </c>
      <c r="J45" s="130" t="str">
        <f aca="false">IF($B45="","",INDEX('CARNET DE SOUDURE'!$AC$7:$AC$3006,MATCH(34,'CARNET DE SOUDURE'!$AV$7:$AV$3006,0))&amp;IF(INDEX('CARNET DE SOUDURE'!$AH$7:$AH$3006,MATCH(34,'CARNET DE SOUDURE'!$AV$7:$AV$3006,0))&lt;&gt;""," / "&amp;INDEX('CARNET DE SOUDURE'!$AH$7:$AH$3006,MATCH(34,'CARNET DE SOUDURE'!$AV$7:$AV$3006,0)),""))</f>
        <v/>
      </c>
      <c r="K45" s="130" t="str">
        <f aca="false">IF($B45="","",INDEX('CARNET DE SOUDURE'!$AD$7:$AD$3006,MATCH(34,'CARNET DE SOUDURE'!$AV$7:$AV$3006,0))&amp;IF(INDEX('CARNET DE SOUDURE'!$AI$7:$AI$3006,MATCH(34,'CARNET DE SOUDURE'!$AV$7:$AV$3006,0))&lt;&gt;""," / "&amp;INDEX('CARNET DE SOUDURE'!$AI$7:$AI$3006,MATCH(34,'CARNET DE SOUDURE'!$AV$7:$AV$3006,0)),""))</f>
        <v/>
      </c>
      <c r="L45" s="130" t="str">
        <f aca="false">IF($B45="","",INDEX('CARNET DE SOUDURE'!$AG$7:$AG$3006,MATCH(34,'CARNET DE SOUDURE'!$AV$7:$AV$3006,0))&amp;IF(INDEX('CARNET DE SOUDURE'!$AL$7:$AL$3006,MATCH(34,'CARNET DE SOUDURE'!$AV$7:$AV$3006,0))&lt;&gt;""," / "&amp;INDEX('CARNET DE SOUDURE'!$AL$7:$AL$3006,MATCH(34,'CARNET DE SOUDURE'!$AV$7:$AV$3006,0)),""))</f>
        <v/>
      </c>
      <c r="M45" s="132" t="str">
        <f aca="false">IF($B45="","",INDEX('CARNET DE SOUDURE'!$AP$7:$AP$3006,MATCH(34,'CARNET DE SOUDURE'!$AV$7:$AV$3006,0)))</f>
        <v>R</v>
      </c>
      <c r="N45" s="132" t="str">
        <f aca="false">IF($B45="","",INDEX('CARNET DE SOUDURE'!$AQ$7:$AQ$3006,MATCH(34,'CARNET DE SOUDURE'!$AV$7:$AV$3006,0)))</f>
        <v>À RÉPARER</v>
      </c>
      <c r="O45" s="133" t="n">
        <f aca="false">IF($B45="","",INDEX('CARNET DE SOUDURE'!$AR$7:$AR$3006,MATCH(34,'CARNET DE SOUDURE'!$AV$7:$AV$3006,0)))</f>
        <v>16</v>
      </c>
    </row>
    <row r="46" customFormat="false" ht="15" hidden="false" customHeight="false" outlineLevel="0" collapsed="false">
      <c r="B46" s="125" t="n">
        <f aca="false">IF(35&gt;$I$4,"",35)</f>
        <v>35</v>
      </c>
      <c r="C46" s="125" t="str">
        <f aca="false">IF($B46="","",INDEX('CARNET DE SOUDURE'!$B$7:$B$3006,MATCH(35,'CARNET DE SOUDURE'!$AV$7:$AV$3006,0)))</f>
        <v>MFD-ISW → MFD-CPF</v>
      </c>
      <c r="D46" s="125" t="str">
        <f aca="false">IF($B46="","",INDEX('CARNET DE SOUDURE'!$E$7:$E$3006,MATCH(35,'CARNET DE SOUDURE'!$AV$7:$AV$3006,0)))</f>
        <v>JN°1124</v>
      </c>
      <c r="E46" s="125" t="str">
        <f aca="false">IF($B46="","",INDEX('CARNET DE SOUDURE'!$R$7:$R$3006,MATCH(35,'CARNET DE SOUDURE'!$AV$7:$AV$3006,0))&amp;IF(INDEX('CARNET DE SOUDURE'!$S$7:$S$3006,MATCH(35,'CARNET DE SOUDURE'!$AV$7:$AV$3006,0))&lt;&gt;""," / "&amp;INDEX('CARNET DE SOUDURE'!$S$7:$S$3006,MATCH(35,'CARNET DE SOUDURE'!$AV$7:$AV$3006,0)),"")&amp;IF(INDEX('CARNET DE SOUDURE'!$T$7:$T$3006,MATCH(35,'CARNET DE SOUDURE'!$AV$7:$AV$3006,0))&lt;&gt;""," / "&amp;INDEX('CARNET DE SOUDURE'!$T$7:$T$3006,MATCH(35,'CARNET DE SOUDURE'!$AV$7:$AV$3006,0)),""))</f>
        <v>WR-46-44/36-33/30-52/50-51/43-45</v>
      </c>
      <c r="F46" s="126" t="n">
        <f aca="false">IF($B46="","",INDEX('CARNET DE SOUDURE'!$Y$7:$Y$3006,MATCH(35,'CARNET DE SOUDURE'!$AV$7:$AV$3006,0)))</f>
        <v>46282</v>
      </c>
      <c r="G46" s="125" t="str">
        <f aca="false">IF($B46="","",INDEX('CARNET DE SOUDURE'!$Z$7:$Z$3006,MATCH(35,'CARNET DE SOUDURE'!$AV$7:$AV$3006,0))&amp;"")</f>
        <v>L-RT-044</v>
      </c>
      <c r="H46" s="127" t="str">
        <f aca="false">IF($B46="","",INDEX('CARNET DE SOUDURE'!$AA$7:$AA$3006,MATCH(35,'CARNET DE SOUDURE'!$AV$7:$AV$3006,0)))</f>
        <v>R</v>
      </c>
      <c r="I46" s="125" t="str">
        <f aca="false">IF($B46="","",INDEX('CARNET DE SOUDURE'!$AB$7:$AB$3006,MATCH(35,'CARNET DE SOUDURE'!$AV$7:$AV$3006,0))&amp;"")</f>
        <v>(60-80) IU 1 ere P</v>
      </c>
      <c r="J46" s="125" t="str">
        <f aca="false">IF($B46="","",INDEX('CARNET DE SOUDURE'!$AC$7:$AC$3006,MATCH(35,'CARNET DE SOUDURE'!$AV$7:$AV$3006,0))&amp;IF(INDEX('CARNET DE SOUDURE'!$AH$7:$AH$3006,MATCH(35,'CARNET DE SOUDURE'!$AV$7:$AV$3006,0))&lt;&gt;""," / "&amp;INDEX('CARNET DE SOUDURE'!$AH$7:$AH$3006,MATCH(35,'CARNET DE SOUDURE'!$AV$7:$AV$3006,0)),""))</f>
        <v/>
      </c>
      <c r="K46" s="125" t="str">
        <f aca="false">IF($B46="","",INDEX('CARNET DE SOUDURE'!$AD$7:$AD$3006,MATCH(35,'CARNET DE SOUDURE'!$AV$7:$AV$3006,0))&amp;IF(INDEX('CARNET DE SOUDURE'!$AI$7:$AI$3006,MATCH(35,'CARNET DE SOUDURE'!$AV$7:$AV$3006,0))&lt;&gt;""," / "&amp;INDEX('CARNET DE SOUDURE'!$AI$7:$AI$3006,MATCH(35,'CARNET DE SOUDURE'!$AV$7:$AV$3006,0)),""))</f>
        <v/>
      </c>
      <c r="L46" s="125" t="str">
        <f aca="false">IF($B46="","",INDEX('CARNET DE SOUDURE'!$AG$7:$AG$3006,MATCH(35,'CARNET DE SOUDURE'!$AV$7:$AV$3006,0))&amp;IF(INDEX('CARNET DE SOUDURE'!$AL$7:$AL$3006,MATCH(35,'CARNET DE SOUDURE'!$AV$7:$AV$3006,0))&lt;&gt;""," / "&amp;INDEX('CARNET DE SOUDURE'!$AL$7:$AL$3006,MATCH(35,'CARNET DE SOUDURE'!$AV$7:$AV$3006,0)),""))</f>
        <v/>
      </c>
      <c r="M46" s="127" t="str">
        <f aca="false">IF($B46="","",INDEX('CARNET DE SOUDURE'!$AP$7:$AP$3006,MATCH(35,'CARNET DE SOUDURE'!$AV$7:$AV$3006,0)))</f>
        <v>R</v>
      </c>
      <c r="N46" s="127" t="str">
        <f aca="false">IF($B46="","",INDEX('CARNET DE SOUDURE'!$AQ$7:$AQ$3006,MATCH(35,'CARNET DE SOUDURE'!$AV$7:$AV$3006,0)))</f>
        <v>À RÉPARER</v>
      </c>
      <c r="O46" s="128" t="n">
        <f aca="false">IF($B46="","",INDEX('CARNET DE SOUDURE'!$AR$7:$AR$3006,MATCH(35,'CARNET DE SOUDURE'!$AV$7:$AV$3006,0)))</f>
        <v>16</v>
      </c>
    </row>
    <row r="47" customFormat="false" ht="15" hidden="false" customHeight="false" outlineLevel="0" collapsed="false">
      <c r="B47" s="130" t="n">
        <f aca="false">IF(36&gt;$I$4,"",36)</f>
        <v>36</v>
      </c>
      <c r="C47" s="130" t="str">
        <f aca="false">IF($B47="","",INDEX('CARNET DE SOUDURE'!$B$7:$B$3006,MATCH(36,'CARNET DE SOUDURE'!$AV$7:$AV$3006,0)))</f>
        <v>MFD-ISW → MFD-CPF</v>
      </c>
      <c r="D47" s="130" t="str">
        <f aca="false">IF($B47="","",INDEX('CARNET DE SOUDURE'!$E$7:$E$3006,MATCH(36,'CARNET DE SOUDURE'!$AV$7:$AV$3006,0)))</f>
        <v>JN°1228</v>
      </c>
      <c r="E47" s="130" t="str">
        <f aca="false">IF($B47="","",INDEX('CARNET DE SOUDURE'!$R$7:$R$3006,MATCH(36,'CARNET DE SOUDURE'!$AV$7:$AV$3006,0))&amp;IF(INDEX('CARNET DE SOUDURE'!$S$7:$S$3006,MATCH(36,'CARNET DE SOUDURE'!$AV$7:$AV$3006,0))&lt;&gt;""," / "&amp;INDEX('CARNET DE SOUDURE'!$S$7:$S$3006,MATCH(36,'CARNET DE SOUDURE'!$AV$7:$AV$3006,0)),"")&amp;IF(INDEX('CARNET DE SOUDURE'!$T$7:$T$3006,MATCH(36,'CARNET DE SOUDURE'!$AV$7:$AV$3006,0))&lt;&gt;""," / "&amp;INDEX('CARNET DE SOUDURE'!$T$7:$T$3006,MATCH(36,'CARNET DE SOUDURE'!$AV$7:$AV$3006,0)),""))</f>
        <v>WR-46-44/36-33/30-52/50-51/43-45</v>
      </c>
      <c r="F47" s="131" t="n">
        <f aca="false">IF($B47="","",INDEX('CARNET DE SOUDURE'!$Y$7:$Y$3006,MATCH(36,'CARNET DE SOUDURE'!$AV$7:$AV$3006,0)))</f>
        <v>46281</v>
      </c>
      <c r="G47" s="130" t="str">
        <f aca="false">IF($B47="","",INDEX('CARNET DE SOUDURE'!$Z$7:$Z$3006,MATCH(36,'CARNET DE SOUDURE'!$AV$7:$AV$3006,0))&amp;"")</f>
        <v>L-RT-041</v>
      </c>
      <c r="H47" s="132" t="str">
        <f aca="false">IF($B47="","",INDEX('CARNET DE SOUDURE'!$AA$7:$AA$3006,MATCH(36,'CARNET DE SOUDURE'!$AV$7:$AV$3006,0)))</f>
        <v>R</v>
      </c>
      <c r="I47" s="130" t="str">
        <f aca="false">IF($B47="","",INDEX('CARNET DE SOUDURE'!$AB$7:$AB$3006,MATCH(36,'CARNET DE SOUDURE'!$AV$7:$AV$3006,0))&amp;"")</f>
        <v>(60-85) IU 1 Passe</v>
      </c>
      <c r="J47" s="130" t="str">
        <f aca="false">IF($B47="","",INDEX('CARNET DE SOUDURE'!$AC$7:$AC$3006,MATCH(36,'CARNET DE SOUDURE'!$AV$7:$AV$3006,0))&amp;IF(INDEX('CARNET DE SOUDURE'!$AH$7:$AH$3006,MATCH(36,'CARNET DE SOUDURE'!$AV$7:$AV$3006,0))&lt;&gt;""," / "&amp;INDEX('CARNET DE SOUDURE'!$AH$7:$AH$3006,MATCH(36,'CARNET DE SOUDURE'!$AV$7:$AV$3006,0)),""))</f>
        <v/>
      </c>
      <c r="K47" s="130" t="str">
        <f aca="false">IF($B47="","",INDEX('CARNET DE SOUDURE'!$AD$7:$AD$3006,MATCH(36,'CARNET DE SOUDURE'!$AV$7:$AV$3006,0))&amp;IF(INDEX('CARNET DE SOUDURE'!$AI$7:$AI$3006,MATCH(36,'CARNET DE SOUDURE'!$AV$7:$AV$3006,0))&lt;&gt;""," / "&amp;INDEX('CARNET DE SOUDURE'!$AI$7:$AI$3006,MATCH(36,'CARNET DE SOUDURE'!$AV$7:$AV$3006,0)),""))</f>
        <v/>
      </c>
      <c r="L47" s="130" t="str">
        <f aca="false">IF($B47="","",INDEX('CARNET DE SOUDURE'!$AG$7:$AG$3006,MATCH(36,'CARNET DE SOUDURE'!$AV$7:$AV$3006,0))&amp;IF(INDEX('CARNET DE SOUDURE'!$AL$7:$AL$3006,MATCH(36,'CARNET DE SOUDURE'!$AV$7:$AV$3006,0))&lt;&gt;""," / "&amp;INDEX('CARNET DE SOUDURE'!$AL$7:$AL$3006,MATCH(36,'CARNET DE SOUDURE'!$AV$7:$AV$3006,0)),""))</f>
        <v/>
      </c>
      <c r="M47" s="132" t="str">
        <f aca="false">IF($B47="","",INDEX('CARNET DE SOUDURE'!$AP$7:$AP$3006,MATCH(36,'CARNET DE SOUDURE'!$AV$7:$AV$3006,0)))</f>
        <v>R</v>
      </c>
      <c r="N47" s="132" t="str">
        <f aca="false">IF($B47="","",INDEX('CARNET DE SOUDURE'!$AQ$7:$AQ$3006,MATCH(36,'CARNET DE SOUDURE'!$AV$7:$AV$3006,0)))</f>
        <v>À RÉPARER</v>
      </c>
      <c r="O47" s="133" t="n">
        <f aca="false">IF($B47="","",INDEX('CARNET DE SOUDURE'!$AR$7:$AR$3006,MATCH(36,'CARNET DE SOUDURE'!$AV$7:$AV$3006,0)))</f>
        <v>17</v>
      </c>
    </row>
    <row r="48" customFormat="false" ht="15" hidden="false" customHeight="false" outlineLevel="0" collapsed="false">
      <c r="B48" s="125" t="n">
        <f aca="false">IF(37&gt;$I$4,"",37)</f>
        <v>37</v>
      </c>
      <c r="C48" s="125" t="str">
        <f aca="false">IF($B48="","",INDEX('CARNET DE SOUDURE'!$B$7:$B$3006,MATCH(37,'CARNET DE SOUDURE'!$AV$7:$AV$3006,0)))</f>
        <v>MFD-ISW → MFD-CPF</v>
      </c>
      <c r="D48" s="125" t="str">
        <f aca="false">IF($B48="","",INDEX('CARNET DE SOUDURE'!$E$7:$E$3006,MATCH(37,'CARNET DE SOUDURE'!$AV$7:$AV$3006,0)))</f>
        <v>JN°1230</v>
      </c>
      <c r="E48" s="125" t="str">
        <f aca="false">IF($B48="","",INDEX('CARNET DE SOUDURE'!$R$7:$R$3006,MATCH(37,'CARNET DE SOUDURE'!$AV$7:$AV$3006,0))&amp;IF(INDEX('CARNET DE SOUDURE'!$S$7:$S$3006,MATCH(37,'CARNET DE SOUDURE'!$AV$7:$AV$3006,0))&lt;&gt;""," / "&amp;INDEX('CARNET DE SOUDURE'!$S$7:$S$3006,MATCH(37,'CARNET DE SOUDURE'!$AV$7:$AV$3006,0)),"")&amp;IF(INDEX('CARNET DE SOUDURE'!$T$7:$T$3006,MATCH(37,'CARNET DE SOUDURE'!$AV$7:$AV$3006,0))&lt;&gt;""," / "&amp;INDEX('CARNET DE SOUDURE'!$T$7:$T$3006,MATCH(37,'CARNET DE SOUDURE'!$AV$7:$AV$3006,0)),""))</f>
        <v>WR-46-44/36-33/30-52/50-51/43-45</v>
      </c>
      <c r="F48" s="126" t="n">
        <f aca="false">IF($B48="","",INDEX('CARNET DE SOUDURE'!$Y$7:$Y$3006,MATCH(37,'CARNET DE SOUDURE'!$AV$7:$AV$3006,0)))</f>
        <v>46281</v>
      </c>
      <c r="G48" s="125" t="str">
        <f aca="false">IF($B48="","",INDEX('CARNET DE SOUDURE'!$Z$7:$Z$3006,MATCH(37,'CARNET DE SOUDURE'!$AV$7:$AV$3006,0))&amp;"")</f>
        <v>L-RT-041</v>
      </c>
      <c r="H48" s="127" t="str">
        <f aca="false">IF($B48="","",INDEX('CARNET DE SOUDURE'!$AA$7:$AA$3006,MATCH(37,'CARNET DE SOUDURE'!$AV$7:$AV$3006,0)))</f>
        <v>R</v>
      </c>
      <c r="I48" s="125" t="str">
        <f aca="false">IF($B48="","",INDEX('CARNET DE SOUDURE'!$AB$7:$AB$3006,MATCH(37,'CARNET DE SOUDURE'!$AV$7:$AV$3006,0))&amp;"")</f>
        <v>(50-75) IU 1 Passe</v>
      </c>
      <c r="J48" s="125" t="str">
        <f aca="false">IF($B48="","",INDEX('CARNET DE SOUDURE'!$AC$7:$AC$3006,MATCH(37,'CARNET DE SOUDURE'!$AV$7:$AV$3006,0))&amp;IF(INDEX('CARNET DE SOUDURE'!$AH$7:$AH$3006,MATCH(37,'CARNET DE SOUDURE'!$AV$7:$AV$3006,0))&lt;&gt;""," / "&amp;INDEX('CARNET DE SOUDURE'!$AH$7:$AH$3006,MATCH(37,'CARNET DE SOUDURE'!$AV$7:$AV$3006,0)),""))</f>
        <v/>
      </c>
      <c r="K48" s="125" t="str">
        <f aca="false">IF($B48="","",INDEX('CARNET DE SOUDURE'!$AD$7:$AD$3006,MATCH(37,'CARNET DE SOUDURE'!$AV$7:$AV$3006,0))&amp;IF(INDEX('CARNET DE SOUDURE'!$AI$7:$AI$3006,MATCH(37,'CARNET DE SOUDURE'!$AV$7:$AV$3006,0))&lt;&gt;""," / "&amp;INDEX('CARNET DE SOUDURE'!$AI$7:$AI$3006,MATCH(37,'CARNET DE SOUDURE'!$AV$7:$AV$3006,0)),""))</f>
        <v/>
      </c>
      <c r="L48" s="125" t="str">
        <f aca="false">IF($B48="","",INDEX('CARNET DE SOUDURE'!$AG$7:$AG$3006,MATCH(37,'CARNET DE SOUDURE'!$AV$7:$AV$3006,0))&amp;IF(INDEX('CARNET DE SOUDURE'!$AL$7:$AL$3006,MATCH(37,'CARNET DE SOUDURE'!$AV$7:$AV$3006,0))&lt;&gt;""," / "&amp;INDEX('CARNET DE SOUDURE'!$AL$7:$AL$3006,MATCH(37,'CARNET DE SOUDURE'!$AV$7:$AV$3006,0)),""))</f>
        <v/>
      </c>
      <c r="M48" s="127" t="str">
        <f aca="false">IF($B48="","",INDEX('CARNET DE SOUDURE'!$AP$7:$AP$3006,MATCH(37,'CARNET DE SOUDURE'!$AV$7:$AV$3006,0)))</f>
        <v>R</v>
      </c>
      <c r="N48" s="127" t="str">
        <f aca="false">IF($B48="","",INDEX('CARNET DE SOUDURE'!$AQ$7:$AQ$3006,MATCH(37,'CARNET DE SOUDURE'!$AV$7:$AV$3006,0)))</f>
        <v>À RÉPARER</v>
      </c>
      <c r="O48" s="128" t="n">
        <f aca="false">IF($B48="","",INDEX('CARNET DE SOUDURE'!$AR$7:$AR$3006,MATCH(37,'CARNET DE SOUDURE'!$AV$7:$AV$3006,0)))</f>
        <v>17</v>
      </c>
    </row>
    <row r="49" customFormat="false" ht="15" hidden="false" customHeight="false" outlineLevel="0" collapsed="false">
      <c r="B49" s="130" t="n">
        <f aca="false">IF(38&gt;$I$4,"",38)</f>
        <v>38</v>
      </c>
      <c r="C49" s="130" t="str">
        <f aca="false">IF($B49="","",INDEX('CARNET DE SOUDURE'!$B$7:$B$3006,MATCH(38,'CARNET DE SOUDURE'!$AV$7:$AV$3006,0)))</f>
        <v>MFD-ISW → MFD-CPF</v>
      </c>
      <c r="D49" s="130" t="str">
        <f aca="false">IF($B49="","",INDEX('CARNET DE SOUDURE'!$E$7:$E$3006,MATCH(38,'CARNET DE SOUDURE'!$AV$7:$AV$3006,0)))</f>
        <v>JN°1231</v>
      </c>
      <c r="E49" s="130" t="str">
        <f aca="false">IF($B49="","",INDEX('CARNET DE SOUDURE'!$R$7:$R$3006,MATCH(38,'CARNET DE SOUDURE'!$AV$7:$AV$3006,0))&amp;IF(INDEX('CARNET DE SOUDURE'!$S$7:$S$3006,MATCH(38,'CARNET DE SOUDURE'!$AV$7:$AV$3006,0))&lt;&gt;""," / "&amp;INDEX('CARNET DE SOUDURE'!$S$7:$S$3006,MATCH(38,'CARNET DE SOUDURE'!$AV$7:$AV$3006,0)),"")&amp;IF(INDEX('CARNET DE SOUDURE'!$T$7:$T$3006,MATCH(38,'CARNET DE SOUDURE'!$AV$7:$AV$3006,0))&lt;&gt;""," / "&amp;INDEX('CARNET DE SOUDURE'!$T$7:$T$3006,MATCH(38,'CARNET DE SOUDURE'!$AV$7:$AV$3006,0)),""))</f>
        <v>WR-46-44/36-33/30-52/50-51/43-45</v>
      </c>
      <c r="F49" s="131" t="n">
        <f aca="false">IF($B49="","",INDEX('CARNET DE SOUDURE'!$Y$7:$Y$3006,MATCH(38,'CARNET DE SOUDURE'!$AV$7:$AV$3006,0)))</f>
        <v>46281</v>
      </c>
      <c r="G49" s="130" t="str">
        <f aca="false">IF($B49="","",INDEX('CARNET DE SOUDURE'!$Z$7:$Z$3006,MATCH(38,'CARNET DE SOUDURE'!$AV$7:$AV$3006,0))&amp;"")</f>
        <v>L-RT-041</v>
      </c>
      <c r="H49" s="132" t="str">
        <f aca="false">IF($B49="","",INDEX('CARNET DE SOUDURE'!$AA$7:$AA$3006,MATCH(38,'CARNET DE SOUDURE'!$AV$7:$AV$3006,0)))</f>
        <v>R</v>
      </c>
      <c r="I49" s="130" t="str">
        <f aca="false">IF($B49="","",INDEX('CARNET DE SOUDURE'!$AB$7:$AB$3006,MATCH(38,'CARNET DE SOUDURE'!$AV$7:$AV$3006,0))&amp;"")</f>
        <v>(50-90) IU 1 Passe</v>
      </c>
      <c r="J49" s="130" t="str">
        <f aca="false">IF($B49="","",INDEX('CARNET DE SOUDURE'!$AC$7:$AC$3006,MATCH(38,'CARNET DE SOUDURE'!$AV$7:$AV$3006,0))&amp;IF(INDEX('CARNET DE SOUDURE'!$AH$7:$AH$3006,MATCH(38,'CARNET DE SOUDURE'!$AV$7:$AV$3006,0))&lt;&gt;""," / "&amp;INDEX('CARNET DE SOUDURE'!$AH$7:$AH$3006,MATCH(38,'CARNET DE SOUDURE'!$AV$7:$AV$3006,0)),""))</f>
        <v/>
      </c>
      <c r="K49" s="130" t="str">
        <f aca="false">IF($B49="","",INDEX('CARNET DE SOUDURE'!$AD$7:$AD$3006,MATCH(38,'CARNET DE SOUDURE'!$AV$7:$AV$3006,0))&amp;IF(INDEX('CARNET DE SOUDURE'!$AI$7:$AI$3006,MATCH(38,'CARNET DE SOUDURE'!$AV$7:$AV$3006,0))&lt;&gt;""," / "&amp;INDEX('CARNET DE SOUDURE'!$AI$7:$AI$3006,MATCH(38,'CARNET DE SOUDURE'!$AV$7:$AV$3006,0)),""))</f>
        <v/>
      </c>
      <c r="L49" s="130" t="str">
        <f aca="false">IF($B49="","",INDEX('CARNET DE SOUDURE'!$AG$7:$AG$3006,MATCH(38,'CARNET DE SOUDURE'!$AV$7:$AV$3006,0))&amp;IF(INDEX('CARNET DE SOUDURE'!$AL$7:$AL$3006,MATCH(38,'CARNET DE SOUDURE'!$AV$7:$AV$3006,0))&lt;&gt;""," / "&amp;INDEX('CARNET DE SOUDURE'!$AL$7:$AL$3006,MATCH(38,'CARNET DE SOUDURE'!$AV$7:$AV$3006,0)),""))</f>
        <v/>
      </c>
      <c r="M49" s="132" t="str">
        <f aca="false">IF($B49="","",INDEX('CARNET DE SOUDURE'!$AP$7:$AP$3006,MATCH(38,'CARNET DE SOUDURE'!$AV$7:$AV$3006,0)))</f>
        <v>R</v>
      </c>
      <c r="N49" s="132" t="str">
        <f aca="false">IF($B49="","",INDEX('CARNET DE SOUDURE'!$AQ$7:$AQ$3006,MATCH(38,'CARNET DE SOUDURE'!$AV$7:$AV$3006,0)))</f>
        <v>À RÉPARER</v>
      </c>
      <c r="O49" s="133" t="n">
        <f aca="false">IF($B49="","",INDEX('CARNET DE SOUDURE'!$AR$7:$AR$3006,MATCH(38,'CARNET DE SOUDURE'!$AV$7:$AV$3006,0)))</f>
        <v>17</v>
      </c>
    </row>
    <row r="50" customFormat="false" ht="15" hidden="false" customHeight="false" outlineLevel="0" collapsed="false">
      <c r="B50" s="125" t="n">
        <f aca="false">IF(39&gt;$I$4,"",39)</f>
        <v>39</v>
      </c>
      <c r="C50" s="125" t="str">
        <f aca="false">IF($B50="","",INDEX('CARNET DE SOUDURE'!$B$7:$B$3006,MATCH(39,'CARNET DE SOUDURE'!$AV$7:$AV$3006,0)))</f>
        <v>MFD-ISW → MFD-CPF</v>
      </c>
      <c r="D50" s="125" t="str">
        <f aca="false">IF($B50="","",INDEX('CARNET DE SOUDURE'!$E$7:$E$3006,MATCH(39,'CARNET DE SOUDURE'!$AV$7:$AV$3006,0)))</f>
        <v>JN°1235</v>
      </c>
      <c r="E50" s="125" t="str">
        <f aca="false">IF($B50="","",INDEX('CARNET DE SOUDURE'!$R$7:$R$3006,MATCH(39,'CARNET DE SOUDURE'!$AV$7:$AV$3006,0))&amp;IF(INDEX('CARNET DE SOUDURE'!$S$7:$S$3006,MATCH(39,'CARNET DE SOUDURE'!$AV$7:$AV$3006,0))&lt;&gt;""," / "&amp;INDEX('CARNET DE SOUDURE'!$S$7:$S$3006,MATCH(39,'CARNET DE SOUDURE'!$AV$7:$AV$3006,0)),"")&amp;IF(INDEX('CARNET DE SOUDURE'!$T$7:$T$3006,MATCH(39,'CARNET DE SOUDURE'!$AV$7:$AV$3006,0))&lt;&gt;""," / "&amp;INDEX('CARNET DE SOUDURE'!$T$7:$T$3006,MATCH(39,'CARNET DE SOUDURE'!$AV$7:$AV$3006,0)),""))</f>
        <v>WR-46-44/36-33/30-52/50-51/43-45</v>
      </c>
      <c r="F50" s="126" t="n">
        <f aca="false">IF($B50="","",INDEX('CARNET DE SOUDURE'!$Y$7:$Y$3006,MATCH(39,'CARNET DE SOUDURE'!$AV$7:$AV$3006,0)))</f>
        <v>46281</v>
      </c>
      <c r="G50" s="125" t="str">
        <f aca="false">IF($B50="","",INDEX('CARNET DE SOUDURE'!$Z$7:$Z$3006,MATCH(39,'CARNET DE SOUDURE'!$AV$7:$AV$3006,0))&amp;"")</f>
        <v>L-RT-042</v>
      </c>
      <c r="H50" s="127" t="str">
        <f aca="false">IF($B50="","",INDEX('CARNET DE SOUDURE'!$AA$7:$AA$3006,MATCH(39,'CARNET DE SOUDURE'!$AV$7:$AV$3006,0)))</f>
        <v>R</v>
      </c>
      <c r="I50" s="125" t="str">
        <f aca="false">IF($B50="","",INDEX('CARNET DE SOUDURE'!$AB$7:$AB$3006,MATCH(39,'CARNET DE SOUDURE'!$AV$7:$AV$3006,0))&amp;"")</f>
        <v>(50-85) IU 1 Passe</v>
      </c>
      <c r="J50" s="125" t="str">
        <f aca="false">IF($B50="","",INDEX('CARNET DE SOUDURE'!$AC$7:$AC$3006,MATCH(39,'CARNET DE SOUDURE'!$AV$7:$AV$3006,0))&amp;IF(INDEX('CARNET DE SOUDURE'!$AH$7:$AH$3006,MATCH(39,'CARNET DE SOUDURE'!$AV$7:$AV$3006,0))&lt;&gt;""," / "&amp;INDEX('CARNET DE SOUDURE'!$AH$7:$AH$3006,MATCH(39,'CARNET DE SOUDURE'!$AV$7:$AV$3006,0)),""))</f>
        <v/>
      </c>
      <c r="K50" s="125" t="str">
        <f aca="false">IF($B50="","",INDEX('CARNET DE SOUDURE'!$AD$7:$AD$3006,MATCH(39,'CARNET DE SOUDURE'!$AV$7:$AV$3006,0))&amp;IF(INDEX('CARNET DE SOUDURE'!$AI$7:$AI$3006,MATCH(39,'CARNET DE SOUDURE'!$AV$7:$AV$3006,0))&lt;&gt;""," / "&amp;INDEX('CARNET DE SOUDURE'!$AI$7:$AI$3006,MATCH(39,'CARNET DE SOUDURE'!$AV$7:$AV$3006,0)),""))</f>
        <v/>
      </c>
      <c r="L50" s="125" t="str">
        <f aca="false">IF($B50="","",INDEX('CARNET DE SOUDURE'!$AG$7:$AG$3006,MATCH(39,'CARNET DE SOUDURE'!$AV$7:$AV$3006,0))&amp;IF(INDEX('CARNET DE SOUDURE'!$AL$7:$AL$3006,MATCH(39,'CARNET DE SOUDURE'!$AV$7:$AV$3006,0))&lt;&gt;""," / "&amp;INDEX('CARNET DE SOUDURE'!$AL$7:$AL$3006,MATCH(39,'CARNET DE SOUDURE'!$AV$7:$AV$3006,0)),""))</f>
        <v/>
      </c>
      <c r="M50" s="127" t="str">
        <f aca="false">IF($B50="","",INDEX('CARNET DE SOUDURE'!$AP$7:$AP$3006,MATCH(39,'CARNET DE SOUDURE'!$AV$7:$AV$3006,0)))</f>
        <v>R</v>
      </c>
      <c r="N50" s="127" t="str">
        <f aca="false">IF($B50="","",INDEX('CARNET DE SOUDURE'!$AQ$7:$AQ$3006,MATCH(39,'CARNET DE SOUDURE'!$AV$7:$AV$3006,0)))</f>
        <v>À RÉPARER</v>
      </c>
      <c r="O50" s="128" t="n">
        <f aca="false">IF($B50="","",INDEX('CARNET DE SOUDURE'!$AR$7:$AR$3006,MATCH(39,'CARNET DE SOUDURE'!$AV$7:$AV$3006,0)))</f>
        <v>17</v>
      </c>
    </row>
    <row r="51" customFormat="false" ht="15" hidden="false" customHeight="false" outlineLevel="0" collapsed="false">
      <c r="B51" s="130" t="n">
        <f aca="false">IF(40&gt;$I$4,"",40)</f>
        <v>40</v>
      </c>
      <c r="C51" s="130" t="str">
        <f aca="false">IF($B51="","",INDEX('CARNET DE SOUDURE'!$B$7:$B$3006,MATCH(40,'CARNET DE SOUDURE'!$AV$7:$AV$3006,0)))</f>
        <v>MFD-ISW → MFD-CPF</v>
      </c>
      <c r="D51" s="130" t="str">
        <f aca="false">IF($B51="","",INDEX('CARNET DE SOUDURE'!$E$7:$E$3006,MATCH(40,'CARNET DE SOUDURE'!$AV$7:$AV$3006,0)))</f>
        <v>JN°1236</v>
      </c>
      <c r="E51" s="130" t="str">
        <f aca="false">IF($B51="","",INDEX('CARNET DE SOUDURE'!$R$7:$R$3006,MATCH(40,'CARNET DE SOUDURE'!$AV$7:$AV$3006,0))&amp;IF(INDEX('CARNET DE SOUDURE'!$S$7:$S$3006,MATCH(40,'CARNET DE SOUDURE'!$AV$7:$AV$3006,0))&lt;&gt;""," / "&amp;INDEX('CARNET DE SOUDURE'!$S$7:$S$3006,MATCH(40,'CARNET DE SOUDURE'!$AV$7:$AV$3006,0)),"")&amp;IF(INDEX('CARNET DE SOUDURE'!$T$7:$T$3006,MATCH(40,'CARNET DE SOUDURE'!$AV$7:$AV$3006,0))&lt;&gt;""," / "&amp;INDEX('CARNET DE SOUDURE'!$T$7:$T$3006,MATCH(40,'CARNET DE SOUDURE'!$AV$7:$AV$3006,0)),""))</f>
        <v>WR-46-44/36-33/30-52/50-51/43-45</v>
      </c>
      <c r="F51" s="131" t="n">
        <f aca="false">IF($B51="","",INDEX('CARNET DE SOUDURE'!$Y$7:$Y$3006,MATCH(40,'CARNET DE SOUDURE'!$AV$7:$AV$3006,0)))</f>
        <v>46281</v>
      </c>
      <c r="G51" s="130" t="str">
        <f aca="false">IF($B51="","",INDEX('CARNET DE SOUDURE'!$Z$7:$Z$3006,MATCH(40,'CARNET DE SOUDURE'!$AV$7:$AV$3006,0))&amp;"")</f>
        <v>L-RT-042</v>
      </c>
      <c r="H51" s="132" t="str">
        <f aca="false">IF($B51="","",INDEX('CARNET DE SOUDURE'!$AA$7:$AA$3006,MATCH(40,'CARNET DE SOUDURE'!$AV$7:$AV$3006,0)))</f>
        <v>R</v>
      </c>
      <c r="I51" s="130" t="str">
        <f aca="false">IF($B51="","",INDEX('CARNET DE SOUDURE'!$AB$7:$AB$3006,MATCH(40,'CARNET DE SOUDURE'!$AV$7:$AV$3006,0))&amp;"")</f>
        <v>(55-85) IU 1 Passe</v>
      </c>
      <c r="J51" s="130" t="str">
        <f aca="false">IF($B51="","",INDEX('CARNET DE SOUDURE'!$AC$7:$AC$3006,MATCH(40,'CARNET DE SOUDURE'!$AV$7:$AV$3006,0))&amp;IF(INDEX('CARNET DE SOUDURE'!$AH$7:$AH$3006,MATCH(40,'CARNET DE SOUDURE'!$AV$7:$AV$3006,0))&lt;&gt;""," / "&amp;INDEX('CARNET DE SOUDURE'!$AH$7:$AH$3006,MATCH(40,'CARNET DE SOUDURE'!$AV$7:$AV$3006,0)),""))</f>
        <v/>
      </c>
      <c r="K51" s="130" t="str">
        <f aca="false">IF($B51="","",INDEX('CARNET DE SOUDURE'!$AD$7:$AD$3006,MATCH(40,'CARNET DE SOUDURE'!$AV$7:$AV$3006,0))&amp;IF(INDEX('CARNET DE SOUDURE'!$AI$7:$AI$3006,MATCH(40,'CARNET DE SOUDURE'!$AV$7:$AV$3006,0))&lt;&gt;""," / "&amp;INDEX('CARNET DE SOUDURE'!$AI$7:$AI$3006,MATCH(40,'CARNET DE SOUDURE'!$AV$7:$AV$3006,0)),""))</f>
        <v/>
      </c>
      <c r="L51" s="130" t="str">
        <f aca="false">IF($B51="","",INDEX('CARNET DE SOUDURE'!$AG$7:$AG$3006,MATCH(40,'CARNET DE SOUDURE'!$AV$7:$AV$3006,0))&amp;IF(INDEX('CARNET DE SOUDURE'!$AL$7:$AL$3006,MATCH(40,'CARNET DE SOUDURE'!$AV$7:$AV$3006,0))&lt;&gt;""," / "&amp;INDEX('CARNET DE SOUDURE'!$AL$7:$AL$3006,MATCH(40,'CARNET DE SOUDURE'!$AV$7:$AV$3006,0)),""))</f>
        <v/>
      </c>
      <c r="M51" s="132" t="str">
        <f aca="false">IF($B51="","",INDEX('CARNET DE SOUDURE'!$AP$7:$AP$3006,MATCH(40,'CARNET DE SOUDURE'!$AV$7:$AV$3006,0)))</f>
        <v>R</v>
      </c>
      <c r="N51" s="132" t="str">
        <f aca="false">IF($B51="","",INDEX('CARNET DE SOUDURE'!$AQ$7:$AQ$3006,MATCH(40,'CARNET DE SOUDURE'!$AV$7:$AV$3006,0)))</f>
        <v>À RÉPARER</v>
      </c>
      <c r="O51" s="133" t="n">
        <f aca="false">IF($B51="","",INDEX('CARNET DE SOUDURE'!$AR$7:$AR$3006,MATCH(40,'CARNET DE SOUDURE'!$AV$7:$AV$3006,0)))</f>
        <v>17</v>
      </c>
    </row>
    <row r="52" customFormat="false" ht="15" hidden="false" customHeight="false" outlineLevel="0" collapsed="false">
      <c r="B52" s="125" t="n">
        <f aca="false">IF(41&gt;$I$4,"",41)</f>
        <v>41</v>
      </c>
      <c r="C52" s="125" t="str">
        <f aca="false">IF($B52="","",INDEX('CARNET DE SOUDURE'!$B$7:$B$3006,MATCH(41,'CARNET DE SOUDURE'!$AV$7:$AV$3006,0)))</f>
        <v>MFD-ISW → MFD-CPF</v>
      </c>
      <c r="D52" s="125" t="str">
        <f aca="false">IF($B52="","",INDEX('CARNET DE SOUDURE'!$E$7:$E$3006,MATCH(41,'CARNET DE SOUDURE'!$AV$7:$AV$3006,0)))</f>
        <v>JN°1279</v>
      </c>
      <c r="E52" s="125" t="str">
        <f aca="false">IF($B52="","",INDEX('CARNET DE SOUDURE'!$R$7:$R$3006,MATCH(41,'CARNET DE SOUDURE'!$AV$7:$AV$3006,0))&amp;IF(INDEX('CARNET DE SOUDURE'!$S$7:$S$3006,MATCH(41,'CARNET DE SOUDURE'!$AV$7:$AV$3006,0))&lt;&gt;""," / "&amp;INDEX('CARNET DE SOUDURE'!$S$7:$S$3006,MATCH(41,'CARNET DE SOUDURE'!$AV$7:$AV$3006,0)),"")&amp;IF(INDEX('CARNET DE SOUDURE'!$T$7:$T$3006,MATCH(41,'CARNET DE SOUDURE'!$AV$7:$AV$3006,0))&lt;&gt;""," / "&amp;INDEX('CARNET DE SOUDURE'!$T$7:$T$3006,MATCH(41,'CARNET DE SOUDURE'!$AV$7:$AV$3006,0)),""))</f>
        <v>WR-46-44/36-33/32-52/50-51/43-45</v>
      </c>
      <c r="F52" s="126" t="n">
        <f aca="false">IF($B52="","",INDEX('CARNET DE SOUDURE'!$Y$7:$Y$3006,MATCH(41,'CARNET DE SOUDURE'!$AV$7:$AV$3006,0)))</f>
        <v>46280</v>
      </c>
      <c r="G52" s="125" t="str">
        <f aca="false">IF($B52="","",INDEX('CARNET DE SOUDURE'!$Z$7:$Z$3006,MATCH(41,'CARNET DE SOUDURE'!$AV$7:$AV$3006,0))&amp;"")</f>
        <v>L-RT-038</v>
      </c>
      <c r="H52" s="127" t="str">
        <f aca="false">IF($B52="","",INDEX('CARNET DE SOUDURE'!$AA$7:$AA$3006,MATCH(41,'CARNET DE SOUDURE'!$AV$7:$AV$3006,0)))</f>
        <v>R</v>
      </c>
      <c r="I52" s="125" t="str">
        <f aca="false">IF($B52="","",INDEX('CARNET DE SOUDURE'!$AB$7:$AB$3006,MATCH(41,'CARNET DE SOUDURE'!$AV$7:$AV$3006,0))&amp;"")</f>
        <v>(73-90) I,U 1 er Passe</v>
      </c>
      <c r="J52" s="125" t="str">
        <f aca="false">IF($B52="","",INDEX('CARNET DE SOUDURE'!$AC$7:$AC$3006,MATCH(41,'CARNET DE SOUDURE'!$AV$7:$AV$3006,0))&amp;IF(INDEX('CARNET DE SOUDURE'!$AH$7:$AH$3006,MATCH(41,'CARNET DE SOUDURE'!$AV$7:$AV$3006,0))&lt;&gt;""," / "&amp;INDEX('CARNET DE SOUDURE'!$AH$7:$AH$3006,MATCH(41,'CARNET DE SOUDURE'!$AV$7:$AV$3006,0)),""))</f>
        <v/>
      </c>
      <c r="K52" s="125" t="str">
        <f aca="false">IF($B52="","",INDEX('CARNET DE SOUDURE'!$AD$7:$AD$3006,MATCH(41,'CARNET DE SOUDURE'!$AV$7:$AV$3006,0))&amp;IF(INDEX('CARNET DE SOUDURE'!$AI$7:$AI$3006,MATCH(41,'CARNET DE SOUDURE'!$AV$7:$AV$3006,0))&lt;&gt;""," / "&amp;INDEX('CARNET DE SOUDURE'!$AI$7:$AI$3006,MATCH(41,'CARNET DE SOUDURE'!$AV$7:$AV$3006,0)),""))</f>
        <v/>
      </c>
      <c r="L52" s="125" t="str">
        <f aca="false">IF($B52="","",INDEX('CARNET DE SOUDURE'!$AG$7:$AG$3006,MATCH(41,'CARNET DE SOUDURE'!$AV$7:$AV$3006,0))&amp;IF(INDEX('CARNET DE SOUDURE'!$AL$7:$AL$3006,MATCH(41,'CARNET DE SOUDURE'!$AV$7:$AV$3006,0))&lt;&gt;""," / "&amp;INDEX('CARNET DE SOUDURE'!$AL$7:$AL$3006,MATCH(41,'CARNET DE SOUDURE'!$AV$7:$AV$3006,0)),""))</f>
        <v/>
      </c>
      <c r="M52" s="127" t="str">
        <f aca="false">IF($B52="","",INDEX('CARNET DE SOUDURE'!$AP$7:$AP$3006,MATCH(41,'CARNET DE SOUDURE'!$AV$7:$AV$3006,0)))</f>
        <v>R</v>
      </c>
      <c r="N52" s="127" t="str">
        <f aca="false">IF($B52="","",INDEX('CARNET DE SOUDURE'!$AQ$7:$AQ$3006,MATCH(41,'CARNET DE SOUDURE'!$AV$7:$AV$3006,0)))</f>
        <v>À RÉPARER</v>
      </c>
      <c r="O52" s="128" t="n">
        <f aca="false">IF($B52="","",INDEX('CARNET DE SOUDURE'!$AR$7:$AR$3006,MATCH(41,'CARNET DE SOUDURE'!$AV$7:$AV$3006,0)))</f>
        <v>18</v>
      </c>
    </row>
    <row r="53" customFormat="false" ht="15" hidden="false" customHeight="false" outlineLevel="0" collapsed="false">
      <c r="B53" s="130" t="n">
        <f aca="false">IF(42&gt;$I$4,"",42)</f>
        <v>42</v>
      </c>
      <c r="C53" s="130" t="str">
        <f aca="false">IF($B53="","",INDEX('CARNET DE SOUDURE'!$B$7:$B$3006,MATCH(42,'CARNET DE SOUDURE'!$AV$7:$AV$3006,0)))</f>
        <v>MFD-ISW → MFD-CPF</v>
      </c>
      <c r="D53" s="130" t="str">
        <f aca="false">IF($B53="","",INDEX('CARNET DE SOUDURE'!$E$7:$E$3006,MATCH(42,'CARNET DE SOUDURE'!$AV$7:$AV$3006,0)))</f>
        <v>JN°1295</v>
      </c>
      <c r="E53" s="130" t="str">
        <f aca="false">IF($B53="","",INDEX('CARNET DE SOUDURE'!$R$7:$R$3006,MATCH(42,'CARNET DE SOUDURE'!$AV$7:$AV$3006,0))&amp;IF(INDEX('CARNET DE SOUDURE'!$S$7:$S$3006,MATCH(42,'CARNET DE SOUDURE'!$AV$7:$AV$3006,0))&lt;&gt;""," / "&amp;INDEX('CARNET DE SOUDURE'!$S$7:$S$3006,MATCH(42,'CARNET DE SOUDURE'!$AV$7:$AV$3006,0)),"")&amp;IF(INDEX('CARNET DE SOUDURE'!$T$7:$T$3006,MATCH(42,'CARNET DE SOUDURE'!$AV$7:$AV$3006,0))&lt;&gt;""," / "&amp;INDEX('CARNET DE SOUDURE'!$T$7:$T$3006,MATCH(42,'CARNET DE SOUDURE'!$AV$7:$AV$3006,0)),""))</f>
        <v>WR-46-44/36-33/32-52/50-51/43-45</v>
      </c>
      <c r="F53" s="131" t="n">
        <f aca="false">IF($B53="","",INDEX('CARNET DE SOUDURE'!$Y$7:$Y$3006,MATCH(42,'CARNET DE SOUDURE'!$AV$7:$AV$3006,0)))</f>
        <v>46280</v>
      </c>
      <c r="G53" s="130" t="str">
        <f aca="false">IF($B53="","",INDEX('CARNET DE SOUDURE'!$Z$7:$Z$3006,MATCH(42,'CARNET DE SOUDURE'!$AV$7:$AV$3006,0))&amp;"")</f>
        <v>L-RT-039</v>
      </c>
      <c r="H53" s="132" t="str">
        <f aca="false">IF($B53="","",INDEX('CARNET DE SOUDURE'!$AA$7:$AA$3006,MATCH(42,'CARNET DE SOUDURE'!$AV$7:$AV$3006,0)))</f>
        <v>R</v>
      </c>
      <c r="I53" s="130" t="str">
        <f aca="false">IF($B53="","",INDEX('CARNET DE SOUDURE'!$AB$7:$AB$3006,MATCH(42,'CARNET DE SOUDURE'!$AV$7:$AV$3006,0))&amp;"")</f>
        <v>(60-80) I,U 1 er Passe</v>
      </c>
      <c r="J53" s="130" t="str">
        <f aca="false">IF($B53="","",INDEX('CARNET DE SOUDURE'!$AC$7:$AC$3006,MATCH(42,'CARNET DE SOUDURE'!$AV$7:$AV$3006,0))&amp;IF(INDEX('CARNET DE SOUDURE'!$AH$7:$AH$3006,MATCH(42,'CARNET DE SOUDURE'!$AV$7:$AV$3006,0))&lt;&gt;""," / "&amp;INDEX('CARNET DE SOUDURE'!$AH$7:$AH$3006,MATCH(42,'CARNET DE SOUDURE'!$AV$7:$AV$3006,0)),""))</f>
        <v/>
      </c>
      <c r="K53" s="130" t="str">
        <f aca="false">IF($B53="","",INDEX('CARNET DE SOUDURE'!$AD$7:$AD$3006,MATCH(42,'CARNET DE SOUDURE'!$AV$7:$AV$3006,0))&amp;IF(INDEX('CARNET DE SOUDURE'!$AI$7:$AI$3006,MATCH(42,'CARNET DE SOUDURE'!$AV$7:$AV$3006,0))&lt;&gt;""," / "&amp;INDEX('CARNET DE SOUDURE'!$AI$7:$AI$3006,MATCH(42,'CARNET DE SOUDURE'!$AV$7:$AV$3006,0)),""))</f>
        <v/>
      </c>
      <c r="L53" s="130" t="str">
        <f aca="false">IF($B53="","",INDEX('CARNET DE SOUDURE'!$AG$7:$AG$3006,MATCH(42,'CARNET DE SOUDURE'!$AV$7:$AV$3006,0))&amp;IF(INDEX('CARNET DE SOUDURE'!$AL$7:$AL$3006,MATCH(42,'CARNET DE SOUDURE'!$AV$7:$AV$3006,0))&lt;&gt;""," / "&amp;INDEX('CARNET DE SOUDURE'!$AL$7:$AL$3006,MATCH(42,'CARNET DE SOUDURE'!$AV$7:$AV$3006,0)),""))</f>
        <v/>
      </c>
      <c r="M53" s="132" t="str">
        <f aca="false">IF($B53="","",INDEX('CARNET DE SOUDURE'!$AP$7:$AP$3006,MATCH(42,'CARNET DE SOUDURE'!$AV$7:$AV$3006,0)))</f>
        <v>R</v>
      </c>
      <c r="N53" s="132" t="str">
        <f aca="false">IF($B53="","",INDEX('CARNET DE SOUDURE'!$AQ$7:$AQ$3006,MATCH(42,'CARNET DE SOUDURE'!$AV$7:$AV$3006,0)))</f>
        <v>À RÉPARER</v>
      </c>
      <c r="O53" s="133" t="n">
        <f aca="false">IF($B53="","",INDEX('CARNET DE SOUDURE'!$AR$7:$AR$3006,MATCH(42,'CARNET DE SOUDURE'!$AV$7:$AV$3006,0)))</f>
        <v>18</v>
      </c>
    </row>
    <row r="54" customFormat="false" ht="15" hidden="false" customHeight="false" outlineLevel="0" collapsed="false">
      <c r="B54" s="125" t="n">
        <f aca="false">IF(43&gt;$I$4,"",43)</f>
        <v>43</v>
      </c>
      <c r="C54" s="125" t="str">
        <f aca="false">IF($B54="","",INDEX('CARNET DE SOUDURE'!$B$7:$B$3006,MATCH(43,'CARNET DE SOUDURE'!$AV$7:$AV$3006,0)))</f>
        <v>MFD-ISW → MFD-CPF</v>
      </c>
      <c r="D54" s="125" t="str">
        <f aca="false">IF($B54="","",INDEX('CARNET DE SOUDURE'!$E$7:$E$3006,MATCH(43,'CARNET DE SOUDURE'!$AV$7:$AV$3006,0)))</f>
        <v>JN°1317</v>
      </c>
      <c r="E54" s="125" t="str">
        <f aca="false">IF($B54="","",INDEX('CARNET DE SOUDURE'!$R$7:$R$3006,MATCH(43,'CARNET DE SOUDURE'!$AV$7:$AV$3006,0))&amp;IF(INDEX('CARNET DE SOUDURE'!$S$7:$S$3006,MATCH(43,'CARNET DE SOUDURE'!$AV$7:$AV$3006,0))&lt;&gt;""," / "&amp;INDEX('CARNET DE SOUDURE'!$S$7:$S$3006,MATCH(43,'CARNET DE SOUDURE'!$AV$7:$AV$3006,0)),"")&amp;IF(INDEX('CARNET DE SOUDURE'!$T$7:$T$3006,MATCH(43,'CARNET DE SOUDURE'!$AV$7:$AV$3006,0))&lt;&gt;""," / "&amp;INDEX('CARNET DE SOUDURE'!$T$7:$T$3006,MATCH(43,'CARNET DE SOUDURE'!$AV$7:$AV$3006,0)),""))</f>
        <v>WR-46-44/36-33/32-30/43-45</v>
      </c>
      <c r="F54" s="126" t="n">
        <f aca="false">IF($B54="","",INDEX('CARNET DE SOUDURE'!$Y$7:$Y$3006,MATCH(43,'CARNET DE SOUDURE'!$AV$7:$AV$3006,0)))</f>
        <v>46279</v>
      </c>
      <c r="G54" s="125" t="str">
        <f aca="false">IF($B54="","",INDEX('CARNET DE SOUDURE'!$Z$7:$Z$3006,MATCH(43,'CARNET DE SOUDURE'!$AV$7:$AV$3006,0))&amp;"")</f>
        <v>L-RT-035</v>
      </c>
      <c r="H54" s="127" t="str">
        <f aca="false">IF($B54="","",INDEX('CARNET DE SOUDURE'!$AA$7:$AA$3006,MATCH(43,'CARNET DE SOUDURE'!$AV$7:$AV$3006,0)))</f>
        <v>R</v>
      </c>
      <c r="I54" s="125" t="str">
        <f aca="false">IF($B54="","",INDEX('CARNET DE SOUDURE'!$AB$7:$AB$3006,MATCH(43,'CARNET DE SOUDURE'!$AV$7:$AV$3006,0))&amp;"")</f>
        <v>(45-70) I.U 1 er Passe</v>
      </c>
      <c r="J54" s="125" t="str">
        <f aca="false">IF($B54="","",INDEX('CARNET DE SOUDURE'!$AC$7:$AC$3006,MATCH(43,'CARNET DE SOUDURE'!$AV$7:$AV$3006,0))&amp;IF(INDEX('CARNET DE SOUDURE'!$AH$7:$AH$3006,MATCH(43,'CARNET DE SOUDURE'!$AV$7:$AV$3006,0))&lt;&gt;""," / "&amp;INDEX('CARNET DE SOUDURE'!$AH$7:$AH$3006,MATCH(43,'CARNET DE SOUDURE'!$AV$7:$AV$3006,0)),""))</f>
        <v/>
      </c>
      <c r="K54" s="125" t="str">
        <f aca="false">IF($B54="","",INDEX('CARNET DE SOUDURE'!$AD$7:$AD$3006,MATCH(43,'CARNET DE SOUDURE'!$AV$7:$AV$3006,0))&amp;IF(INDEX('CARNET DE SOUDURE'!$AI$7:$AI$3006,MATCH(43,'CARNET DE SOUDURE'!$AV$7:$AV$3006,0))&lt;&gt;""," / "&amp;INDEX('CARNET DE SOUDURE'!$AI$7:$AI$3006,MATCH(43,'CARNET DE SOUDURE'!$AV$7:$AV$3006,0)),""))</f>
        <v/>
      </c>
      <c r="L54" s="125" t="str">
        <f aca="false">IF($B54="","",INDEX('CARNET DE SOUDURE'!$AG$7:$AG$3006,MATCH(43,'CARNET DE SOUDURE'!$AV$7:$AV$3006,0))&amp;IF(INDEX('CARNET DE SOUDURE'!$AL$7:$AL$3006,MATCH(43,'CARNET DE SOUDURE'!$AV$7:$AV$3006,0))&lt;&gt;""," / "&amp;INDEX('CARNET DE SOUDURE'!$AL$7:$AL$3006,MATCH(43,'CARNET DE SOUDURE'!$AV$7:$AV$3006,0)),""))</f>
        <v/>
      </c>
      <c r="M54" s="127" t="str">
        <f aca="false">IF($B54="","",INDEX('CARNET DE SOUDURE'!$AP$7:$AP$3006,MATCH(43,'CARNET DE SOUDURE'!$AV$7:$AV$3006,0)))</f>
        <v>R</v>
      </c>
      <c r="N54" s="127" t="str">
        <f aca="false">IF($B54="","",INDEX('CARNET DE SOUDURE'!$AQ$7:$AQ$3006,MATCH(43,'CARNET DE SOUDURE'!$AV$7:$AV$3006,0)))</f>
        <v>À RÉPARER</v>
      </c>
      <c r="O54" s="128" t="n">
        <f aca="false">IF($B54="","",INDEX('CARNET DE SOUDURE'!$AR$7:$AR$3006,MATCH(43,'CARNET DE SOUDURE'!$AV$7:$AV$3006,0)))</f>
        <v>19</v>
      </c>
    </row>
    <row r="55" customFormat="false" ht="15" hidden="false" customHeight="false" outlineLevel="0" collapsed="false">
      <c r="B55" s="130" t="n">
        <f aca="false">IF(44&gt;$I$4,"",44)</f>
        <v>44</v>
      </c>
      <c r="C55" s="130" t="str">
        <f aca="false">IF($B55="","",INDEX('CARNET DE SOUDURE'!$B$7:$B$3006,MATCH(44,'CARNET DE SOUDURE'!$AV$7:$AV$3006,0)))</f>
        <v>MFD-ISW → MFD-CPF</v>
      </c>
      <c r="D55" s="130" t="str">
        <f aca="false">IF($B55="","",INDEX('CARNET DE SOUDURE'!$E$7:$E$3006,MATCH(44,'CARNET DE SOUDURE'!$AV$7:$AV$3006,0)))</f>
        <v>JN°1333</v>
      </c>
      <c r="E55" s="130" t="str">
        <f aca="false">IF($B55="","",INDEX('CARNET DE SOUDURE'!$R$7:$R$3006,MATCH(44,'CARNET DE SOUDURE'!$AV$7:$AV$3006,0))&amp;IF(INDEX('CARNET DE SOUDURE'!$S$7:$S$3006,MATCH(44,'CARNET DE SOUDURE'!$AV$7:$AV$3006,0))&lt;&gt;""," / "&amp;INDEX('CARNET DE SOUDURE'!$S$7:$S$3006,MATCH(44,'CARNET DE SOUDURE'!$AV$7:$AV$3006,0)),"")&amp;IF(INDEX('CARNET DE SOUDURE'!$T$7:$T$3006,MATCH(44,'CARNET DE SOUDURE'!$AV$7:$AV$3006,0))&lt;&gt;""," / "&amp;INDEX('CARNET DE SOUDURE'!$T$7:$T$3006,MATCH(44,'CARNET DE SOUDURE'!$AV$7:$AV$3006,0)),""))</f>
        <v>WR-46-44/36-33/32-30/43-45</v>
      </c>
      <c r="F55" s="131" t="n">
        <f aca="false">IF($B55="","",INDEX('CARNET DE SOUDURE'!$Y$7:$Y$3006,MATCH(44,'CARNET DE SOUDURE'!$AV$7:$AV$3006,0)))</f>
        <v>46279</v>
      </c>
      <c r="G55" s="130" t="str">
        <f aca="false">IF($B55="","",INDEX('CARNET DE SOUDURE'!$Z$7:$Z$3006,MATCH(44,'CARNET DE SOUDURE'!$AV$7:$AV$3006,0))&amp;"")</f>
        <v>L-RT-036</v>
      </c>
      <c r="H55" s="132" t="str">
        <f aca="false">IF($B55="","",INDEX('CARNET DE SOUDURE'!$AA$7:$AA$3006,MATCH(44,'CARNET DE SOUDURE'!$AV$7:$AV$3006,0)))</f>
        <v>R</v>
      </c>
      <c r="I55" s="130" t="str">
        <f aca="false">IF($B55="","",INDEX('CARNET DE SOUDURE'!$AB$7:$AB$3006,MATCH(44,'CARNET DE SOUDURE'!$AV$7:$AV$3006,0))&amp;"")</f>
        <v>(60-85) I.U 1 er Passe</v>
      </c>
      <c r="J55" s="130" t="str">
        <f aca="false">IF($B55="","",INDEX('CARNET DE SOUDURE'!$AC$7:$AC$3006,MATCH(44,'CARNET DE SOUDURE'!$AV$7:$AV$3006,0))&amp;IF(INDEX('CARNET DE SOUDURE'!$AH$7:$AH$3006,MATCH(44,'CARNET DE SOUDURE'!$AV$7:$AV$3006,0))&lt;&gt;""," / "&amp;INDEX('CARNET DE SOUDURE'!$AH$7:$AH$3006,MATCH(44,'CARNET DE SOUDURE'!$AV$7:$AV$3006,0)),""))</f>
        <v/>
      </c>
      <c r="K55" s="130" t="str">
        <f aca="false">IF($B55="","",INDEX('CARNET DE SOUDURE'!$AD$7:$AD$3006,MATCH(44,'CARNET DE SOUDURE'!$AV$7:$AV$3006,0))&amp;IF(INDEX('CARNET DE SOUDURE'!$AI$7:$AI$3006,MATCH(44,'CARNET DE SOUDURE'!$AV$7:$AV$3006,0))&lt;&gt;""," / "&amp;INDEX('CARNET DE SOUDURE'!$AI$7:$AI$3006,MATCH(44,'CARNET DE SOUDURE'!$AV$7:$AV$3006,0)),""))</f>
        <v/>
      </c>
      <c r="L55" s="130" t="str">
        <f aca="false">IF($B55="","",INDEX('CARNET DE SOUDURE'!$AG$7:$AG$3006,MATCH(44,'CARNET DE SOUDURE'!$AV$7:$AV$3006,0))&amp;IF(INDEX('CARNET DE SOUDURE'!$AL$7:$AL$3006,MATCH(44,'CARNET DE SOUDURE'!$AV$7:$AV$3006,0))&lt;&gt;""," / "&amp;INDEX('CARNET DE SOUDURE'!$AL$7:$AL$3006,MATCH(44,'CARNET DE SOUDURE'!$AV$7:$AV$3006,0)),""))</f>
        <v/>
      </c>
      <c r="M55" s="132" t="str">
        <f aca="false">IF($B55="","",INDEX('CARNET DE SOUDURE'!$AP$7:$AP$3006,MATCH(44,'CARNET DE SOUDURE'!$AV$7:$AV$3006,0)))</f>
        <v>R</v>
      </c>
      <c r="N55" s="132" t="str">
        <f aca="false">IF($B55="","",INDEX('CARNET DE SOUDURE'!$AQ$7:$AQ$3006,MATCH(44,'CARNET DE SOUDURE'!$AV$7:$AV$3006,0)))</f>
        <v>À RÉPARER</v>
      </c>
      <c r="O55" s="133" t="n">
        <f aca="false">IF($B55="","",INDEX('CARNET DE SOUDURE'!$AR$7:$AR$3006,MATCH(44,'CARNET DE SOUDURE'!$AV$7:$AV$3006,0)))</f>
        <v>19</v>
      </c>
    </row>
    <row r="56" customFormat="false" ht="15" hidden="false" customHeight="false" outlineLevel="0" collapsed="false">
      <c r="B56" s="125" t="n">
        <f aca="false">IF(45&gt;$I$4,"",45)</f>
        <v>45</v>
      </c>
      <c r="C56" s="125" t="str">
        <f aca="false">IF($B56="","",INDEX('CARNET DE SOUDURE'!$B$7:$B$3006,MATCH(45,'CARNET DE SOUDURE'!$AV$7:$AV$3006,0)))</f>
        <v>MFD-ISW → MFD-CPF</v>
      </c>
      <c r="D56" s="125" t="str">
        <f aca="false">IF($B56="","",INDEX('CARNET DE SOUDURE'!$E$7:$E$3006,MATCH(45,'CARNET DE SOUDURE'!$AV$7:$AV$3006,0)))</f>
        <v>JN°1357</v>
      </c>
      <c r="E56" s="125" t="str">
        <f aca="false">IF($B56="","",INDEX('CARNET DE SOUDURE'!$R$7:$R$3006,MATCH(45,'CARNET DE SOUDURE'!$AV$7:$AV$3006,0))&amp;IF(INDEX('CARNET DE SOUDURE'!$S$7:$S$3006,MATCH(45,'CARNET DE SOUDURE'!$AV$7:$AV$3006,0))&lt;&gt;""," / "&amp;INDEX('CARNET DE SOUDURE'!$S$7:$S$3006,MATCH(45,'CARNET DE SOUDURE'!$AV$7:$AV$3006,0)),"")&amp;IF(INDEX('CARNET DE SOUDURE'!$T$7:$T$3006,MATCH(45,'CARNET DE SOUDURE'!$AV$7:$AV$3006,0))&lt;&gt;""," / "&amp;INDEX('CARNET DE SOUDURE'!$T$7:$T$3006,MATCH(45,'CARNET DE SOUDURE'!$AV$7:$AV$3006,0)),""))</f>
        <v>WR-46-44/36-33/43-45</v>
      </c>
      <c r="F56" s="126" t="n">
        <f aca="false">IF($B56="","",INDEX('CARNET DE SOUDURE'!$Y$7:$Y$3006,MATCH(45,'CARNET DE SOUDURE'!$AV$7:$AV$3006,0)))</f>
        <v>46289</v>
      </c>
      <c r="G56" s="125" t="str">
        <f aca="false">IF($B56="","",INDEX('CARNET DE SOUDURE'!$Z$7:$Z$3006,MATCH(45,'CARNET DE SOUDURE'!$AV$7:$AV$3006,0))&amp;"")</f>
        <v>L-RT-058</v>
      </c>
      <c r="H56" s="127" t="str">
        <f aca="false">IF($B56="","",INDEX('CARNET DE SOUDURE'!$AA$7:$AA$3006,MATCH(45,'CARNET DE SOUDURE'!$AV$7:$AV$3006,0)))</f>
        <v>R</v>
      </c>
      <c r="I56" s="125" t="str">
        <f aca="false">IF($B56="","",INDEX('CARNET DE SOUDURE'!$AB$7:$AB$3006,MATCH(45,'CARNET DE SOUDURE'!$AV$7:$AV$3006,0))&amp;"")</f>
        <v>(65-70)Ref FNT</v>
      </c>
      <c r="J56" s="125" t="str">
        <f aca="false">IF($B56="","",INDEX('CARNET DE SOUDURE'!$AC$7:$AC$3006,MATCH(45,'CARNET DE SOUDURE'!$AV$7:$AV$3006,0))&amp;IF(INDEX('CARNET DE SOUDURE'!$AH$7:$AH$3006,MATCH(45,'CARNET DE SOUDURE'!$AV$7:$AV$3006,0))&lt;&gt;""," / "&amp;INDEX('CARNET DE SOUDURE'!$AH$7:$AH$3006,MATCH(45,'CARNET DE SOUDURE'!$AV$7:$AV$3006,0)),""))</f>
        <v/>
      </c>
      <c r="K56" s="125" t="str">
        <f aca="false">IF($B56="","",INDEX('CARNET DE SOUDURE'!$AD$7:$AD$3006,MATCH(45,'CARNET DE SOUDURE'!$AV$7:$AV$3006,0))&amp;IF(INDEX('CARNET DE SOUDURE'!$AI$7:$AI$3006,MATCH(45,'CARNET DE SOUDURE'!$AV$7:$AV$3006,0))&lt;&gt;""," / "&amp;INDEX('CARNET DE SOUDURE'!$AI$7:$AI$3006,MATCH(45,'CARNET DE SOUDURE'!$AV$7:$AV$3006,0)),""))</f>
        <v/>
      </c>
      <c r="L56" s="125" t="str">
        <f aca="false">IF($B56="","",INDEX('CARNET DE SOUDURE'!$AG$7:$AG$3006,MATCH(45,'CARNET DE SOUDURE'!$AV$7:$AV$3006,0))&amp;IF(INDEX('CARNET DE SOUDURE'!$AL$7:$AL$3006,MATCH(45,'CARNET DE SOUDURE'!$AV$7:$AV$3006,0))&lt;&gt;""," / "&amp;INDEX('CARNET DE SOUDURE'!$AL$7:$AL$3006,MATCH(45,'CARNET DE SOUDURE'!$AV$7:$AV$3006,0)),""))</f>
        <v/>
      </c>
      <c r="M56" s="127" t="str">
        <f aca="false">IF($B56="","",INDEX('CARNET DE SOUDURE'!$AP$7:$AP$3006,MATCH(45,'CARNET DE SOUDURE'!$AV$7:$AV$3006,0)))</f>
        <v>R</v>
      </c>
      <c r="N56" s="127" t="str">
        <f aca="false">IF($B56="","",INDEX('CARNET DE SOUDURE'!$AQ$7:$AQ$3006,MATCH(45,'CARNET DE SOUDURE'!$AV$7:$AV$3006,0)))</f>
        <v>À RÉPARER</v>
      </c>
      <c r="O56" s="128" t="n">
        <f aca="false">IF($B56="","",INDEX('CARNET DE SOUDURE'!$AR$7:$AR$3006,MATCH(45,'CARNET DE SOUDURE'!$AV$7:$AV$3006,0)))</f>
        <v>20</v>
      </c>
    </row>
    <row r="57" customFormat="false" ht="15" hidden="false" customHeight="false" outlineLevel="0" collapsed="false">
      <c r="B57" s="130" t="n">
        <f aca="false">IF(46&gt;$I$4,"",46)</f>
        <v>46</v>
      </c>
      <c r="C57" s="130" t="str">
        <f aca="false">IF($B57="","",INDEX('CARNET DE SOUDURE'!$B$7:$B$3006,MATCH(46,'CARNET DE SOUDURE'!$AV$7:$AV$3006,0)))</f>
        <v>MFD-ISW → MFD-CPF</v>
      </c>
      <c r="D57" s="130" t="str">
        <f aca="false">IF($B57="","",INDEX('CARNET DE SOUDURE'!$E$7:$E$3006,MATCH(46,'CARNET DE SOUDURE'!$AV$7:$AV$3006,0)))</f>
        <v>JN°1358</v>
      </c>
      <c r="E57" s="130" t="str">
        <f aca="false">IF($B57="","",INDEX('CARNET DE SOUDURE'!$R$7:$R$3006,MATCH(46,'CARNET DE SOUDURE'!$AV$7:$AV$3006,0))&amp;IF(INDEX('CARNET DE SOUDURE'!$S$7:$S$3006,MATCH(46,'CARNET DE SOUDURE'!$AV$7:$AV$3006,0))&lt;&gt;""," / "&amp;INDEX('CARNET DE SOUDURE'!$S$7:$S$3006,MATCH(46,'CARNET DE SOUDURE'!$AV$7:$AV$3006,0)),"")&amp;IF(INDEX('CARNET DE SOUDURE'!$T$7:$T$3006,MATCH(46,'CARNET DE SOUDURE'!$AV$7:$AV$3006,0))&lt;&gt;""," / "&amp;INDEX('CARNET DE SOUDURE'!$T$7:$T$3006,MATCH(46,'CARNET DE SOUDURE'!$AV$7:$AV$3006,0)),""))</f>
        <v>WR-46-44/36-33/43-45</v>
      </c>
      <c r="F57" s="131" t="n">
        <f aca="false">IF($B57="","",INDEX('CARNET DE SOUDURE'!$Y$7:$Y$3006,MATCH(46,'CARNET DE SOUDURE'!$AV$7:$AV$3006,0)))</f>
        <v>46289</v>
      </c>
      <c r="G57" s="130" t="str">
        <f aca="false">IF($B57="","",INDEX('CARNET DE SOUDURE'!$Z$7:$Z$3006,MATCH(46,'CARNET DE SOUDURE'!$AV$7:$AV$3006,0))&amp;"")</f>
        <v>L-RT-058</v>
      </c>
      <c r="H57" s="132" t="str">
        <f aca="false">IF($B57="","",INDEX('CARNET DE SOUDURE'!$AA$7:$AA$3006,MATCH(46,'CARNET DE SOUDURE'!$AV$7:$AV$3006,0)))</f>
        <v>R</v>
      </c>
      <c r="I57" s="130" t="str">
        <f aca="false">IF($B57="","",INDEX('CARNET DE SOUDURE'!$AB$7:$AB$3006,MATCH(46,'CARNET DE SOUDURE'!$AV$7:$AV$3006,0))&amp;"")</f>
        <v>(50-55) RF(60-65)IF+IP</v>
      </c>
      <c r="J57" s="130" t="str">
        <f aca="false">IF($B57="","",INDEX('CARNET DE SOUDURE'!$AC$7:$AC$3006,MATCH(46,'CARNET DE SOUDURE'!$AV$7:$AV$3006,0))&amp;IF(INDEX('CARNET DE SOUDURE'!$AH$7:$AH$3006,MATCH(46,'CARNET DE SOUDURE'!$AV$7:$AV$3006,0))&lt;&gt;""," / "&amp;INDEX('CARNET DE SOUDURE'!$AH$7:$AH$3006,MATCH(46,'CARNET DE SOUDURE'!$AV$7:$AV$3006,0)),""))</f>
        <v/>
      </c>
      <c r="K57" s="130" t="str">
        <f aca="false">IF($B57="","",INDEX('CARNET DE SOUDURE'!$AD$7:$AD$3006,MATCH(46,'CARNET DE SOUDURE'!$AV$7:$AV$3006,0))&amp;IF(INDEX('CARNET DE SOUDURE'!$AI$7:$AI$3006,MATCH(46,'CARNET DE SOUDURE'!$AV$7:$AV$3006,0))&lt;&gt;""," / "&amp;INDEX('CARNET DE SOUDURE'!$AI$7:$AI$3006,MATCH(46,'CARNET DE SOUDURE'!$AV$7:$AV$3006,0)),""))</f>
        <v/>
      </c>
      <c r="L57" s="130" t="str">
        <f aca="false">IF($B57="","",INDEX('CARNET DE SOUDURE'!$AG$7:$AG$3006,MATCH(46,'CARNET DE SOUDURE'!$AV$7:$AV$3006,0))&amp;IF(INDEX('CARNET DE SOUDURE'!$AL$7:$AL$3006,MATCH(46,'CARNET DE SOUDURE'!$AV$7:$AV$3006,0))&lt;&gt;""," / "&amp;INDEX('CARNET DE SOUDURE'!$AL$7:$AL$3006,MATCH(46,'CARNET DE SOUDURE'!$AV$7:$AV$3006,0)),""))</f>
        <v/>
      </c>
      <c r="M57" s="132" t="str">
        <f aca="false">IF($B57="","",INDEX('CARNET DE SOUDURE'!$AP$7:$AP$3006,MATCH(46,'CARNET DE SOUDURE'!$AV$7:$AV$3006,0)))</f>
        <v>R</v>
      </c>
      <c r="N57" s="132" t="str">
        <f aca="false">IF($B57="","",INDEX('CARNET DE SOUDURE'!$AQ$7:$AQ$3006,MATCH(46,'CARNET DE SOUDURE'!$AV$7:$AV$3006,0)))</f>
        <v>À RÉPARER</v>
      </c>
      <c r="O57" s="133" t="n">
        <f aca="false">IF($B57="","",INDEX('CARNET DE SOUDURE'!$AR$7:$AR$3006,MATCH(46,'CARNET DE SOUDURE'!$AV$7:$AV$3006,0)))</f>
        <v>20</v>
      </c>
    </row>
    <row r="58" customFormat="false" ht="15" hidden="false" customHeight="false" outlineLevel="0" collapsed="false">
      <c r="B58" s="125" t="n">
        <f aca="false">IF(47&gt;$I$4,"",47)</f>
        <v>47</v>
      </c>
      <c r="C58" s="125" t="str">
        <f aca="false">IF($B58="","",INDEX('CARNET DE SOUDURE'!$B$7:$B$3006,MATCH(47,'CARNET DE SOUDURE'!$AV$7:$AV$3006,0)))</f>
        <v>MFD-ISW → MFD-CPF</v>
      </c>
      <c r="D58" s="125" t="str">
        <f aca="false">IF($B58="","",INDEX('CARNET DE SOUDURE'!$E$7:$E$3006,MATCH(47,'CARNET DE SOUDURE'!$AV$7:$AV$3006,0)))</f>
        <v>JN°1363</v>
      </c>
      <c r="E58" s="125" t="str">
        <f aca="false">IF($B58="","",INDEX('CARNET DE SOUDURE'!$R$7:$R$3006,MATCH(47,'CARNET DE SOUDURE'!$AV$7:$AV$3006,0))&amp;IF(INDEX('CARNET DE SOUDURE'!$S$7:$S$3006,MATCH(47,'CARNET DE SOUDURE'!$AV$7:$AV$3006,0))&lt;&gt;""," / "&amp;INDEX('CARNET DE SOUDURE'!$S$7:$S$3006,MATCH(47,'CARNET DE SOUDURE'!$AV$7:$AV$3006,0)),"")&amp;IF(INDEX('CARNET DE SOUDURE'!$T$7:$T$3006,MATCH(47,'CARNET DE SOUDURE'!$AV$7:$AV$3006,0))&lt;&gt;""," / "&amp;INDEX('CARNET DE SOUDURE'!$T$7:$T$3006,MATCH(47,'CARNET DE SOUDURE'!$AV$7:$AV$3006,0)),""))</f>
        <v>WR-46-44/36-33/43-45</v>
      </c>
      <c r="F58" s="126" t="n">
        <f aca="false">IF($B58="","",INDEX('CARNET DE SOUDURE'!$Y$7:$Y$3006,MATCH(47,'CARNET DE SOUDURE'!$AV$7:$AV$3006,0)))</f>
        <v>46289</v>
      </c>
      <c r="G58" s="125" t="str">
        <f aca="false">IF($B58="","",INDEX('CARNET DE SOUDURE'!$Z$7:$Z$3006,MATCH(47,'CARNET DE SOUDURE'!$AV$7:$AV$3006,0))&amp;"")</f>
        <v>L-RT-058</v>
      </c>
      <c r="H58" s="127" t="str">
        <f aca="false">IF($B58="","",INDEX('CARNET DE SOUDURE'!$AA$7:$AA$3006,MATCH(47,'CARNET DE SOUDURE'!$AV$7:$AV$3006,0)))</f>
        <v>R</v>
      </c>
      <c r="I58" s="125" t="str">
        <f aca="false">IF($B58="","",INDEX('CARNET DE SOUDURE'!$AB$7:$AB$3006,MATCH(47,'CARNET DE SOUDURE'!$AV$7:$AV$3006,0))&amp;"")</f>
        <v>(95-105) IC</v>
      </c>
      <c r="J58" s="125" t="str">
        <f aca="false">IF($B58="","",INDEX('CARNET DE SOUDURE'!$AC$7:$AC$3006,MATCH(47,'CARNET DE SOUDURE'!$AV$7:$AV$3006,0))&amp;IF(INDEX('CARNET DE SOUDURE'!$AH$7:$AH$3006,MATCH(47,'CARNET DE SOUDURE'!$AV$7:$AV$3006,0))&lt;&gt;""," / "&amp;INDEX('CARNET DE SOUDURE'!$AH$7:$AH$3006,MATCH(47,'CARNET DE SOUDURE'!$AV$7:$AV$3006,0)),""))</f>
        <v/>
      </c>
      <c r="K58" s="125" t="str">
        <f aca="false">IF($B58="","",INDEX('CARNET DE SOUDURE'!$AD$7:$AD$3006,MATCH(47,'CARNET DE SOUDURE'!$AV$7:$AV$3006,0))&amp;IF(INDEX('CARNET DE SOUDURE'!$AI$7:$AI$3006,MATCH(47,'CARNET DE SOUDURE'!$AV$7:$AV$3006,0))&lt;&gt;""," / "&amp;INDEX('CARNET DE SOUDURE'!$AI$7:$AI$3006,MATCH(47,'CARNET DE SOUDURE'!$AV$7:$AV$3006,0)),""))</f>
        <v/>
      </c>
      <c r="L58" s="125" t="str">
        <f aca="false">IF($B58="","",INDEX('CARNET DE SOUDURE'!$AG$7:$AG$3006,MATCH(47,'CARNET DE SOUDURE'!$AV$7:$AV$3006,0))&amp;IF(INDEX('CARNET DE SOUDURE'!$AL$7:$AL$3006,MATCH(47,'CARNET DE SOUDURE'!$AV$7:$AV$3006,0))&lt;&gt;""," / "&amp;INDEX('CARNET DE SOUDURE'!$AL$7:$AL$3006,MATCH(47,'CARNET DE SOUDURE'!$AV$7:$AV$3006,0)),""))</f>
        <v/>
      </c>
      <c r="M58" s="127" t="str">
        <f aca="false">IF($B58="","",INDEX('CARNET DE SOUDURE'!$AP$7:$AP$3006,MATCH(47,'CARNET DE SOUDURE'!$AV$7:$AV$3006,0)))</f>
        <v>R</v>
      </c>
      <c r="N58" s="127" t="str">
        <f aca="false">IF($B58="","",INDEX('CARNET DE SOUDURE'!$AQ$7:$AQ$3006,MATCH(47,'CARNET DE SOUDURE'!$AV$7:$AV$3006,0)))</f>
        <v>À RÉPARER</v>
      </c>
      <c r="O58" s="128" t="n">
        <f aca="false">IF($B58="","",INDEX('CARNET DE SOUDURE'!$AR$7:$AR$3006,MATCH(47,'CARNET DE SOUDURE'!$AV$7:$AV$3006,0)))</f>
        <v>20</v>
      </c>
    </row>
    <row r="59" customFormat="false" ht="15" hidden="false" customHeight="false" outlineLevel="0" collapsed="false">
      <c r="B59" s="130" t="n">
        <f aca="false">IF(48&gt;$I$4,"",48)</f>
        <v>48</v>
      </c>
      <c r="C59" s="130" t="str">
        <f aca="false">IF($B59="","",INDEX('CARNET DE SOUDURE'!$B$7:$B$3006,MATCH(48,'CARNET DE SOUDURE'!$AV$7:$AV$3006,0)))</f>
        <v>MFD-ISW → MFD-CPF</v>
      </c>
      <c r="D59" s="130" t="str">
        <f aca="false">IF($B59="","",INDEX('CARNET DE SOUDURE'!$E$7:$E$3006,MATCH(48,'CARNET DE SOUDURE'!$AV$7:$AV$3006,0)))</f>
        <v>JN°1364</v>
      </c>
      <c r="E59" s="130" t="str">
        <f aca="false">IF($B59="","",INDEX('CARNET DE SOUDURE'!$R$7:$R$3006,MATCH(48,'CARNET DE SOUDURE'!$AV$7:$AV$3006,0))&amp;IF(INDEX('CARNET DE SOUDURE'!$S$7:$S$3006,MATCH(48,'CARNET DE SOUDURE'!$AV$7:$AV$3006,0))&lt;&gt;""," / "&amp;INDEX('CARNET DE SOUDURE'!$S$7:$S$3006,MATCH(48,'CARNET DE SOUDURE'!$AV$7:$AV$3006,0)),"")&amp;IF(INDEX('CARNET DE SOUDURE'!$T$7:$T$3006,MATCH(48,'CARNET DE SOUDURE'!$AV$7:$AV$3006,0))&lt;&gt;""," / "&amp;INDEX('CARNET DE SOUDURE'!$T$7:$T$3006,MATCH(48,'CARNET DE SOUDURE'!$AV$7:$AV$3006,0)),""))</f>
        <v>WR-46-44/36-33/43-45</v>
      </c>
      <c r="F59" s="131" t="n">
        <f aca="false">IF($B59="","",INDEX('CARNET DE SOUDURE'!$Y$7:$Y$3006,MATCH(48,'CARNET DE SOUDURE'!$AV$7:$AV$3006,0)))</f>
        <v>46289</v>
      </c>
      <c r="G59" s="130" t="str">
        <f aca="false">IF($B59="","",INDEX('CARNET DE SOUDURE'!$Z$7:$Z$3006,MATCH(48,'CARNET DE SOUDURE'!$AV$7:$AV$3006,0))&amp;"")</f>
        <v>L-RT-058</v>
      </c>
      <c r="H59" s="132" t="str">
        <f aca="false">IF($B59="","",INDEX('CARNET DE SOUDURE'!$AA$7:$AA$3006,MATCH(48,'CARNET DE SOUDURE'!$AV$7:$AV$3006,0)))</f>
        <v>R</v>
      </c>
      <c r="I59" s="130" t="str">
        <f aca="false">IF($B59="","",INDEX('CARNET DE SOUDURE'!$AB$7:$AB$3006,MATCH(48,'CARNET DE SOUDURE'!$AV$7:$AV$3006,0))&amp;"")</f>
        <v>(54-65)RF+EU</v>
      </c>
      <c r="J59" s="130" t="str">
        <f aca="false">IF($B59="","",INDEX('CARNET DE SOUDURE'!$AC$7:$AC$3006,MATCH(48,'CARNET DE SOUDURE'!$AV$7:$AV$3006,0))&amp;IF(INDEX('CARNET DE SOUDURE'!$AH$7:$AH$3006,MATCH(48,'CARNET DE SOUDURE'!$AV$7:$AV$3006,0))&lt;&gt;""," / "&amp;INDEX('CARNET DE SOUDURE'!$AH$7:$AH$3006,MATCH(48,'CARNET DE SOUDURE'!$AV$7:$AV$3006,0)),""))</f>
        <v/>
      </c>
      <c r="K59" s="130" t="str">
        <f aca="false">IF($B59="","",INDEX('CARNET DE SOUDURE'!$AD$7:$AD$3006,MATCH(48,'CARNET DE SOUDURE'!$AV$7:$AV$3006,0))&amp;IF(INDEX('CARNET DE SOUDURE'!$AI$7:$AI$3006,MATCH(48,'CARNET DE SOUDURE'!$AV$7:$AV$3006,0))&lt;&gt;""," / "&amp;INDEX('CARNET DE SOUDURE'!$AI$7:$AI$3006,MATCH(48,'CARNET DE SOUDURE'!$AV$7:$AV$3006,0)),""))</f>
        <v/>
      </c>
      <c r="L59" s="130" t="str">
        <f aca="false">IF($B59="","",INDEX('CARNET DE SOUDURE'!$AG$7:$AG$3006,MATCH(48,'CARNET DE SOUDURE'!$AV$7:$AV$3006,0))&amp;IF(INDEX('CARNET DE SOUDURE'!$AL$7:$AL$3006,MATCH(48,'CARNET DE SOUDURE'!$AV$7:$AV$3006,0))&lt;&gt;""," / "&amp;INDEX('CARNET DE SOUDURE'!$AL$7:$AL$3006,MATCH(48,'CARNET DE SOUDURE'!$AV$7:$AV$3006,0)),""))</f>
        <v/>
      </c>
      <c r="M59" s="132" t="str">
        <f aca="false">IF($B59="","",INDEX('CARNET DE SOUDURE'!$AP$7:$AP$3006,MATCH(48,'CARNET DE SOUDURE'!$AV$7:$AV$3006,0)))</f>
        <v>R</v>
      </c>
      <c r="N59" s="132" t="str">
        <f aca="false">IF($B59="","",INDEX('CARNET DE SOUDURE'!$AQ$7:$AQ$3006,MATCH(48,'CARNET DE SOUDURE'!$AV$7:$AV$3006,0)))</f>
        <v>À RÉPARER</v>
      </c>
      <c r="O59" s="133" t="n">
        <f aca="false">IF($B59="","",INDEX('CARNET DE SOUDURE'!$AR$7:$AR$3006,MATCH(48,'CARNET DE SOUDURE'!$AV$7:$AV$3006,0)))</f>
        <v>20</v>
      </c>
    </row>
    <row r="60" customFormat="false" ht="15" hidden="false" customHeight="false" outlineLevel="0" collapsed="false">
      <c r="B60" s="125" t="n">
        <f aca="false">IF(49&gt;$I$4,"",49)</f>
        <v>49</v>
      </c>
      <c r="C60" s="125" t="str">
        <f aca="false">IF($B60="","",INDEX('CARNET DE SOUDURE'!$B$7:$B$3006,MATCH(49,'CARNET DE SOUDURE'!$AV$7:$AV$3006,0)))</f>
        <v>MFD-ISW → MFD-CPF</v>
      </c>
      <c r="D60" s="125" t="str">
        <f aca="false">IF($B60="","",INDEX('CARNET DE SOUDURE'!$E$7:$E$3006,MATCH(49,'CARNET DE SOUDURE'!$AV$7:$AV$3006,0)))</f>
        <v>JN°1376</v>
      </c>
      <c r="E60" s="125" t="str">
        <f aca="false">IF($B60="","",INDEX('CARNET DE SOUDURE'!$R$7:$R$3006,MATCH(49,'CARNET DE SOUDURE'!$AV$7:$AV$3006,0))&amp;IF(INDEX('CARNET DE SOUDURE'!$S$7:$S$3006,MATCH(49,'CARNET DE SOUDURE'!$AV$7:$AV$3006,0))&lt;&gt;""," / "&amp;INDEX('CARNET DE SOUDURE'!$S$7:$S$3006,MATCH(49,'CARNET DE SOUDURE'!$AV$7:$AV$3006,0)),"")&amp;IF(INDEX('CARNET DE SOUDURE'!$T$7:$T$3006,MATCH(49,'CARNET DE SOUDURE'!$AV$7:$AV$3006,0))&lt;&gt;""," / "&amp;INDEX('CARNET DE SOUDURE'!$T$7:$T$3006,MATCH(49,'CARNET DE SOUDURE'!$AV$7:$AV$3006,0)),""))</f>
        <v>WR-46-44/36-33/43-45</v>
      </c>
      <c r="F60" s="126" t="n">
        <f aca="false">IF($B60="","",INDEX('CARNET DE SOUDURE'!$Y$7:$Y$3006,MATCH(49,'CARNET DE SOUDURE'!$AV$7:$AV$3006,0)))</f>
        <v>46289</v>
      </c>
      <c r="G60" s="125" t="str">
        <f aca="false">IF($B60="","",INDEX('CARNET DE SOUDURE'!$Z$7:$Z$3006,MATCH(49,'CARNET DE SOUDURE'!$AV$7:$AV$3006,0))&amp;"")</f>
        <v>L-RT-059</v>
      </c>
      <c r="H60" s="127" t="str">
        <f aca="false">IF($B60="","",INDEX('CARNET DE SOUDURE'!$AA$7:$AA$3006,MATCH(49,'CARNET DE SOUDURE'!$AV$7:$AV$3006,0)))</f>
        <v>R</v>
      </c>
      <c r="I60" s="125" t="str">
        <f aca="false">IF($B60="","",INDEX('CARNET DE SOUDURE'!$AB$7:$AB$3006,MATCH(49,'CARNET DE SOUDURE'!$AV$7:$AV$3006,0))&amp;"")</f>
        <v>(20-65)IU+Po 48</v>
      </c>
      <c r="J60" s="125" t="str">
        <f aca="false">IF($B60="","",INDEX('CARNET DE SOUDURE'!$AC$7:$AC$3006,MATCH(49,'CARNET DE SOUDURE'!$AV$7:$AV$3006,0))&amp;IF(INDEX('CARNET DE SOUDURE'!$AH$7:$AH$3006,MATCH(49,'CARNET DE SOUDURE'!$AV$7:$AV$3006,0))&lt;&gt;""," / "&amp;INDEX('CARNET DE SOUDURE'!$AH$7:$AH$3006,MATCH(49,'CARNET DE SOUDURE'!$AV$7:$AV$3006,0)),""))</f>
        <v/>
      </c>
      <c r="K60" s="125" t="str">
        <f aca="false">IF($B60="","",INDEX('CARNET DE SOUDURE'!$AD$7:$AD$3006,MATCH(49,'CARNET DE SOUDURE'!$AV$7:$AV$3006,0))&amp;IF(INDEX('CARNET DE SOUDURE'!$AI$7:$AI$3006,MATCH(49,'CARNET DE SOUDURE'!$AV$7:$AV$3006,0))&lt;&gt;""," / "&amp;INDEX('CARNET DE SOUDURE'!$AI$7:$AI$3006,MATCH(49,'CARNET DE SOUDURE'!$AV$7:$AV$3006,0)),""))</f>
        <v/>
      </c>
      <c r="L60" s="125" t="str">
        <f aca="false">IF($B60="","",INDEX('CARNET DE SOUDURE'!$AG$7:$AG$3006,MATCH(49,'CARNET DE SOUDURE'!$AV$7:$AV$3006,0))&amp;IF(INDEX('CARNET DE SOUDURE'!$AL$7:$AL$3006,MATCH(49,'CARNET DE SOUDURE'!$AV$7:$AV$3006,0))&lt;&gt;""," / "&amp;INDEX('CARNET DE SOUDURE'!$AL$7:$AL$3006,MATCH(49,'CARNET DE SOUDURE'!$AV$7:$AV$3006,0)),""))</f>
        <v/>
      </c>
      <c r="M60" s="127" t="str">
        <f aca="false">IF($B60="","",INDEX('CARNET DE SOUDURE'!$AP$7:$AP$3006,MATCH(49,'CARNET DE SOUDURE'!$AV$7:$AV$3006,0)))</f>
        <v>R</v>
      </c>
      <c r="N60" s="127" t="str">
        <f aca="false">IF($B60="","",INDEX('CARNET DE SOUDURE'!$AQ$7:$AQ$3006,MATCH(49,'CARNET DE SOUDURE'!$AV$7:$AV$3006,0)))</f>
        <v>À RÉPARER</v>
      </c>
      <c r="O60" s="128" t="n">
        <f aca="false">IF($B60="","",INDEX('CARNET DE SOUDURE'!$AR$7:$AR$3006,MATCH(49,'CARNET DE SOUDURE'!$AV$7:$AV$3006,0)))</f>
        <v>20</v>
      </c>
    </row>
    <row r="61" customFormat="false" ht="15" hidden="false" customHeight="false" outlineLevel="0" collapsed="false">
      <c r="B61" s="130" t="n">
        <f aca="false">IF(50&gt;$I$4,"",50)</f>
        <v>50</v>
      </c>
      <c r="C61" s="130" t="str">
        <f aca="false">IF($B61="","",INDEX('CARNET DE SOUDURE'!$B$7:$B$3006,MATCH(50,'CARNET DE SOUDURE'!$AV$7:$AV$3006,0)))</f>
        <v>MFD-ISW → MFD-CPF</v>
      </c>
      <c r="D61" s="130" t="str">
        <f aca="false">IF($B61="","",INDEX('CARNET DE SOUDURE'!$E$7:$E$3006,MATCH(50,'CARNET DE SOUDURE'!$AV$7:$AV$3006,0)))</f>
        <v>JN°1379</v>
      </c>
      <c r="E61" s="130" t="str">
        <f aca="false">IF($B61="","",INDEX('CARNET DE SOUDURE'!$R$7:$R$3006,MATCH(50,'CARNET DE SOUDURE'!$AV$7:$AV$3006,0))&amp;IF(INDEX('CARNET DE SOUDURE'!$S$7:$S$3006,MATCH(50,'CARNET DE SOUDURE'!$AV$7:$AV$3006,0))&lt;&gt;""," / "&amp;INDEX('CARNET DE SOUDURE'!$S$7:$S$3006,MATCH(50,'CARNET DE SOUDURE'!$AV$7:$AV$3006,0)),"")&amp;IF(INDEX('CARNET DE SOUDURE'!$T$7:$T$3006,MATCH(50,'CARNET DE SOUDURE'!$AV$7:$AV$3006,0))&lt;&gt;""," / "&amp;INDEX('CARNET DE SOUDURE'!$T$7:$T$3006,MATCH(50,'CARNET DE SOUDURE'!$AV$7:$AV$3006,0)),""))</f>
        <v>WR-46-44/32-33/45-43</v>
      </c>
      <c r="F61" s="131" t="n">
        <f aca="false">IF($B61="","",INDEX('CARNET DE SOUDURE'!$Y$7:$Y$3006,MATCH(50,'CARNET DE SOUDURE'!$AV$7:$AV$3006,0)))</f>
        <v>46289</v>
      </c>
      <c r="G61" s="130" t="str">
        <f aca="false">IF($B61="","",INDEX('CARNET DE SOUDURE'!$Z$7:$Z$3006,MATCH(50,'CARNET DE SOUDURE'!$AV$7:$AV$3006,0))&amp;"")</f>
        <v>L-RT-059</v>
      </c>
      <c r="H61" s="132" t="str">
        <f aca="false">IF($B61="","",INDEX('CARNET DE SOUDURE'!$AA$7:$AA$3006,MATCH(50,'CARNET DE SOUDURE'!$AV$7:$AV$3006,0)))</f>
        <v>NT</v>
      </c>
      <c r="I61" s="130" t="str">
        <f aca="false">IF($B61="","",INDEX('CARNET DE SOUDURE'!$AB$7:$AB$3006,MATCH(50,'CARNET DE SOUDURE'!$AV$7:$AV$3006,0))&amp;"")</f>
        <v/>
      </c>
      <c r="J61" s="130" t="str">
        <f aca="false">IF($B61="","",INDEX('CARNET DE SOUDURE'!$AC$7:$AC$3006,MATCH(50,'CARNET DE SOUDURE'!$AV$7:$AV$3006,0))&amp;IF(INDEX('CARNET DE SOUDURE'!$AH$7:$AH$3006,MATCH(50,'CARNET DE SOUDURE'!$AV$7:$AV$3006,0))&lt;&gt;""," / "&amp;INDEX('CARNET DE SOUDURE'!$AH$7:$AH$3006,MATCH(50,'CARNET DE SOUDURE'!$AV$7:$AV$3006,0)),""))</f>
        <v/>
      </c>
      <c r="K61" s="130" t="str">
        <f aca="false">IF($B61="","",INDEX('CARNET DE SOUDURE'!$AD$7:$AD$3006,MATCH(50,'CARNET DE SOUDURE'!$AV$7:$AV$3006,0))&amp;IF(INDEX('CARNET DE SOUDURE'!$AI$7:$AI$3006,MATCH(50,'CARNET DE SOUDURE'!$AV$7:$AV$3006,0))&lt;&gt;""," / "&amp;INDEX('CARNET DE SOUDURE'!$AI$7:$AI$3006,MATCH(50,'CARNET DE SOUDURE'!$AV$7:$AV$3006,0)),""))</f>
        <v/>
      </c>
      <c r="L61" s="130" t="str">
        <f aca="false">IF($B61="","",INDEX('CARNET DE SOUDURE'!$AG$7:$AG$3006,MATCH(50,'CARNET DE SOUDURE'!$AV$7:$AV$3006,0))&amp;IF(INDEX('CARNET DE SOUDURE'!$AL$7:$AL$3006,MATCH(50,'CARNET DE SOUDURE'!$AV$7:$AV$3006,0))&lt;&gt;""," / "&amp;INDEX('CARNET DE SOUDURE'!$AL$7:$AL$3006,MATCH(50,'CARNET DE SOUDURE'!$AV$7:$AV$3006,0)),""))</f>
        <v/>
      </c>
      <c r="M61" s="132" t="str">
        <f aca="false">IF($B61="","",INDEX('CARNET DE SOUDURE'!$AP$7:$AP$3006,MATCH(50,'CARNET DE SOUDURE'!$AV$7:$AV$3006,0)))</f>
        <v>NT</v>
      </c>
      <c r="N61" s="132" t="str">
        <f aca="false">IF($B61="","",INDEX('CARNET DE SOUDURE'!$AQ$7:$AQ$3006,MATCH(50,'CARNET DE SOUDURE'!$AV$7:$AV$3006,0)))</f>
        <v>COUPE – À RESOUDER</v>
      </c>
      <c r="O61" s="133" t="n">
        <f aca="false">IF($B61="","",INDEX('CARNET DE SOUDURE'!$AR$7:$AR$3006,MATCH(50,'CARNET DE SOUDURE'!$AV$7:$AV$3006,0)))</f>
        <v>21</v>
      </c>
    </row>
    <row r="62" customFormat="false" ht="15" hidden="false" customHeight="false" outlineLevel="0" collapsed="false">
      <c r="B62" s="125" t="n">
        <f aca="false">IF(51&gt;$I$4,"",51)</f>
        <v>51</v>
      </c>
      <c r="C62" s="125" t="str">
        <f aca="false">IF($B62="","",INDEX('CARNET DE SOUDURE'!$B$7:$B$3006,MATCH(51,'CARNET DE SOUDURE'!$AV$7:$AV$3006,0)))</f>
        <v>MFD-ISW → MFD-CPF</v>
      </c>
      <c r="D62" s="125" t="str">
        <f aca="false">IF($B62="","",INDEX('CARNET DE SOUDURE'!$E$7:$E$3006,MATCH(51,'CARNET DE SOUDURE'!$AV$7:$AV$3006,0)))</f>
        <v>JN°1381</v>
      </c>
      <c r="E62" s="125" t="str">
        <f aca="false">IF($B62="","",INDEX('CARNET DE SOUDURE'!$R$7:$R$3006,MATCH(51,'CARNET DE SOUDURE'!$AV$7:$AV$3006,0))&amp;IF(INDEX('CARNET DE SOUDURE'!$S$7:$S$3006,MATCH(51,'CARNET DE SOUDURE'!$AV$7:$AV$3006,0))&lt;&gt;""," / "&amp;INDEX('CARNET DE SOUDURE'!$S$7:$S$3006,MATCH(51,'CARNET DE SOUDURE'!$AV$7:$AV$3006,0)),"")&amp;IF(INDEX('CARNET DE SOUDURE'!$T$7:$T$3006,MATCH(51,'CARNET DE SOUDURE'!$AV$7:$AV$3006,0))&lt;&gt;""," / "&amp;INDEX('CARNET DE SOUDURE'!$T$7:$T$3006,MATCH(51,'CARNET DE SOUDURE'!$AV$7:$AV$3006,0)),""))</f>
        <v>WR-46-44/32-33/45-43</v>
      </c>
      <c r="F62" s="126" t="n">
        <f aca="false">IF($B62="","",INDEX('CARNET DE SOUDURE'!$Y$7:$Y$3006,MATCH(51,'CARNET DE SOUDURE'!$AV$7:$AV$3006,0)))</f>
        <v>46289</v>
      </c>
      <c r="G62" s="125" t="str">
        <f aca="false">IF($B62="","",INDEX('CARNET DE SOUDURE'!$Z$7:$Z$3006,MATCH(51,'CARNET DE SOUDURE'!$AV$7:$AV$3006,0))&amp;"")</f>
        <v>L-RT-059</v>
      </c>
      <c r="H62" s="127" t="str">
        <f aca="false">IF($B62="","",INDEX('CARNET DE SOUDURE'!$AA$7:$AA$3006,MATCH(51,'CARNET DE SOUDURE'!$AV$7:$AV$3006,0)))</f>
        <v>R</v>
      </c>
      <c r="I62" s="125" t="str">
        <f aca="false">IF($B62="","",INDEX('CARNET DE SOUDURE'!$AB$7:$AB$3006,MATCH(51,'CARNET DE SOUDURE'!$AV$7:$AV$3006,0))&amp;"")</f>
        <v>(15-25)IU'(35-50)IU</v>
      </c>
      <c r="J62" s="125" t="str">
        <f aca="false">IF($B62="","",INDEX('CARNET DE SOUDURE'!$AC$7:$AC$3006,MATCH(51,'CARNET DE SOUDURE'!$AV$7:$AV$3006,0))&amp;IF(INDEX('CARNET DE SOUDURE'!$AH$7:$AH$3006,MATCH(51,'CARNET DE SOUDURE'!$AV$7:$AV$3006,0))&lt;&gt;""," / "&amp;INDEX('CARNET DE SOUDURE'!$AH$7:$AH$3006,MATCH(51,'CARNET DE SOUDURE'!$AV$7:$AV$3006,0)),""))</f>
        <v/>
      </c>
      <c r="K62" s="125" t="str">
        <f aca="false">IF($B62="","",INDEX('CARNET DE SOUDURE'!$AD$7:$AD$3006,MATCH(51,'CARNET DE SOUDURE'!$AV$7:$AV$3006,0))&amp;IF(INDEX('CARNET DE SOUDURE'!$AI$7:$AI$3006,MATCH(51,'CARNET DE SOUDURE'!$AV$7:$AV$3006,0))&lt;&gt;""," / "&amp;INDEX('CARNET DE SOUDURE'!$AI$7:$AI$3006,MATCH(51,'CARNET DE SOUDURE'!$AV$7:$AV$3006,0)),""))</f>
        <v/>
      </c>
      <c r="L62" s="125" t="str">
        <f aca="false">IF($B62="","",INDEX('CARNET DE SOUDURE'!$AG$7:$AG$3006,MATCH(51,'CARNET DE SOUDURE'!$AV$7:$AV$3006,0))&amp;IF(INDEX('CARNET DE SOUDURE'!$AL$7:$AL$3006,MATCH(51,'CARNET DE SOUDURE'!$AV$7:$AV$3006,0))&lt;&gt;""," / "&amp;INDEX('CARNET DE SOUDURE'!$AL$7:$AL$3006,MATCH(51,'CARNET DE SOUDURE'!$AV$7:$AV$3006,0)),""))</f>
        <v/>
      </c>
      <c r="M62" s="127" t="str">
        <f aca="false">IF($B62="","",INDEX('CARNET DE SOUDURE'!$AP$7:$AP$3006,MATCH(51,'CARNET DE SOUDURE'!$AV$7:$AV$3006,0)))</f>
        <v>R</v>
      </c>
      <c r="N62" s="127" t="str">
        <f aca="false">IF($B62="","",INDEX('CARNET DE SOUDURE'!$AQ$7:$AQ$3006,MATCH(51,'CARNET DE SOUDURE'!$AV$7:$AV$3006,0)))</f>
        <v>À RÉPARER</v>
      </c>
      <c r="O62" s="128" t="n">
        <f aca="false">IF($B62="","",INDEX('CARNET DE SOUDURE'!$AR$7:$AR$3006,MATCH(51,'CARNET DE SOUDURE'!$AV$7:$AV$3006,0)))</f>
        <v>21</v>
      </c>
    </row>
    <row r="63" customFormat="false" ht="15" hidden="false" customHeight="false" outlineLevel="0" collapsed="false">
      <c r="B63" s="130" t="n">
        <f aca="false">IF(52&gt;$I$4,"",52)</f>
        <v>52</v>
      </c>
      <c r="C63" s="130" t="str">
        <f aca="false">IF($B63="","",INDEX('CARNET DE SOUDURE'!$B$7:$B$3006,MATCH(52,'CARNET DE SOUDURE'!$AV$7:$AV$3006,0)))</f>
        <v>MFD-ISW → MFD-CPF</v>
      </c>
      <c r="D63" s="130" t="str">
        <f aca="false">IF($B63="","",INDEX('CARNET DE SOUDURE'!$E$7:$E$3006,MATCH(52,'CARNET DE SOUDURE'!$AV$7:$AV$3006,0)))</f>
        <v>JN°1384</v>
      </c>
      <c r="E63" s="130" t="str">
        <f aca="false">IF($B63="","",INDEX('CARNET DE SOUDURE'!$R$7:$R$3006,MATCH(52,'CARNET DE SOUDURE'!$AV$7:$AV$3006,0))&amp;IF(INDEX('CARNET DE SOUDURE'!$S$7:$S$3006,MATCH(52,'CARNET DE SOUDURE'!$AV$7:$AV$3006,0))&lt;&gt;""," / "&amp;INDEX('CARNET DE SOUDURE'!$S$7:$S$3006,MATCH(52,'CARNET DE SOUDURE'!$AV$7:$AV$3006,0)),"")&amp;IF(INDEX('CARNET DE SOUDURE'!$T$7:$T$3006,MATCH(52,'CARNET DE SOUDURE'!$AV$7:$AV$3006,0))&lt;&gt;""," / "&amp;INDEX('CARNET DE SOUDURE'!$T$7:$T$3006,MATCH(52,'CARNET DE SOUDURE'!$AV$7:$AV$3006,0)),""))</f>
        <v>WR-46-44/32-33/45-43</v>
      </c>
      <c r="F63" s="131" t="n">
        <f aca="false">IF($B63="","",INDEX('CARNET DE SOUDURE'!$Y$7:$Y$3006,MATCH(52,'CARNET DE SOUDURE'!$AV$7:$AV$3006,0)))</f>
        <v>46289</v>
      </c>
      <c r="G63" s="130" t="str">
        <f aca="false">IF($B63="","",INDEX('CARNET DE SOUDURE'!$Z$7:$Z$3006,MATCH(52,'CARNET DE SOUDURE'!$AV$7:$AV$3006,0))&amp;"")</f>
        <v>L-RT-059</v>
      </c>
      <c r="H63" s="132" t="str">
        <f aca="false">IF($B63="","",INDEX('CARNET DE SOUDURE'!$AA$7:$AA$3006,MATCH(52,'CARNET DE SOUDURE'!$AV$7:$AV$3006,0)))</f>
        <v>R</v>
      </c>
      <c r="I63" s="130" t="str">
        <f aca="false">IF($B63="","",INDEX('CARNET DE SOUDURE'!$AB$7:$AB$3006,MATCH(52,'CARNET DE SOUDURE'!$AV$7:$AV$3006,0))&amp;"")</f>
        <v>(60-65)Ref FNT</v>
      </c>
      <c r="J63" s="130" t="str">
        <f aca="false">IF($B63="","",INDEX('CARNET DE SOUDURE'!$AC$7:$AC$3006,MATCH(52,'CARNET DE SOUDURE'!$AV$7:$AV$3006,0))&amp;IF(INDEX('CARNET DE SOUDURE'!$AH$7:$AH$3006,MATCH(52,'CARNET DE SOUDURE'!$AV$7:$AV$3006,0))&lt;&gt;""," / "&amp;INDEX('CARNET DE SOUDURE'!$AH$7:$AH$3006,MATCH(52,'CARNET DE SOUDURE'!$AV$7:$AV$3006,0)),""))</f>
        <v/>
      </c>
      <c r="K63" s="130" t="str">
        <f aca="false">IF($B63="","",INDEX('CARNET DE SOUDURE'!$AD$7:$AD$3006,MATCH(52,'CARNET DE SOUDURE'!$AV$7:$AV$3006,0))&amp;IF(INDEX('CARNET DE SOUDURE'!$AI$7:$AI$3006,MATCH(52,'CARNET DE SOUDURE'!$AV$7:$AV$3006,0))&lt;&gt;""," / "&amp;INDEX('CARNET DE SOUDURE'!$AI$7:$AI$3006,MATCH(52,'CARNET DE SOUDURE'!$AV$7:$AV$3006,0)),""))</f>
        <v/>
      </c>
      <c r="L63" s="130" t="str">
        <f aca="false">IF($B63="","",INDEX('CARNET DE SOUDURE'!$AG$7:$AG$3006,MATCH(52,'CARNET DE SOUDURE'!$AV$7:$AV$3006,0))&amp;IF(INDEX('CARNET DE SOUDURE'!$AL$7:$AL$3006,MATCH(52,'CARNET DE SOUDURE'!$AV$7:$AV$3006,0))&lt;&gt;""," / "&amp;INDEX('CARNET DE SOUDURE'!$AL$7:$AL$3006,MATCH(52,'CARNET DE SOUDURE'!$AV$7:$AV$3006,0)),""))</f>
        <v/>
      </c>
      <c r="M63" s="132" t="str">
        <f aca="false">IF($B63="","",INDEX('CARNET DE SOUDURE'!$AP$7:$AP$3006,MATCH(52,'CARNET DE SOUDURE'!$AV$7:$AV$3006,0)))</f>
        <v>R</v>
      </c>
      <c r="N63" s="132" t="str">
        <f aca="false">IF($B63="","",INDEX('CARNET DE SOUDURE'!$AQ$7:$AQ$3006,MATCH(52,'CARNET DE SOUDURE'!$AV$7:$AV$3006,0)))</f>
        <v>À RÉPARER</v>
      </c>
      <c r="O63" s="133" t="n">
        <f aca="false">IF($B63="","",INDEX('CARNET DE SOUDURE'!$AR$7:$AR$3006,MATCH(52,'CARNET DE SOUDURE'!$AV$7:$AV$3006,0)))</f>
        <v>21</v>
      </c>
    </row>
    <row r="64" customFormat="false" ht="15" hidden="false" customHeight="false" outlineLevel="0" collapsed="false">
      <c r="B64" s="125" t="n">
        <f aca="false">IF(53&gt;$I$4,"",53)</f>
        <v>53</v>
      </c>
      <c r="C64" s="125" t="str">
        <f aca="false">IF($B64="","",INDEX('CARNET DE SOUDURE'!$B$7:$B$3006,MATCH(53,'CARNET DE SOUDURE'!$AV$7:$AV$3006,0)))</f>
        <v>MFD-ISW → MFD-CPF</v>
      </c>
      <c r="D64" s="125" t="str">
        <f aca="false">IF($B64="","",INDEX('CARNET DE SOUDURE'!$E$7:$E$3006,MATCH(53,'CARNET DE SOUDURE'!$AV$7:$AV$3006,0)))</f>
        <v>JN°1404</v>
      </c>
      <c r="E64" s="125" t="str">
        <f aca="false">IF($B64="","",INDEX('CARNET DE SOUDURE'!$R$7:$R$3006,MATCH(53,'CARNET DE SOUDURE'!$AV$7:$AV$3006,0))&amp;IF(INDEX('CARNET DE SOUDURE'!$S$7:$S$3006,MATCH(53,'CARNET DE SOUDURE'!$AV$7:$AV$3006,0))&lt;&gt;""," / "&amp;INDEX('CARNET DE SOUDURE'!$S$7:$S$3006,MATCH(53,'CARNET DE SOUDURE'!$AV$7:$AV$3006,0)),"")&amp;IF(INDEX('CARNET DE SOUDURE'!$T$7:$T$3006,MATCH(53,'CARNET DE SOUDURE'!$AV$7:$AV$3006,0))&lt;&gt;""," / "&amp;INDEX('CARNET DE SOUDURE'!$T$7:$T$3006,MATCH(53,'CARNET DE SOUDURE'!$AV$7:$AV$3006,0)),""))</f>
        <v>WR-46-44/32-33/45-43</v>
      </c>
      <c r="F64" s="126" t="n">
        <f aca="false">IF($B64="","",INDEX('CARNET DE SOUDURE'!$Y$7:$Y$3006,MATCH(53,'CARNET DE SOUDURE'!$AV$7:$AV$3006,0)))</f>
        <v>46288</v>
      </c>
      <c r="G64" s="125" t="str">
        <f aca="false">IF($B64="","",INDEX('CARNET DE SOUDURE'!$Z$7:$Z$3006,MATCH(53,'CARNET DE SOUDURE'!$AV$7:$AV$3006,0))&amp;"")</f>
        <v>L-RT-055</v>
      </c>
      <c r="H64" s="127" t="str">
        <f aca="false">IF($B64="","",INDEX('CARNET DE SOUDURE'!$AA$7:$AA$3006,MATCH(53,'CARNET DE SOUDURE'!$AV$7:$AV$3006,0)))</f>
        <v>R</v>
      </c>
      <c r="I64" s="125" t="str">
        <f aca="false">IF($B64="","",INDEX('CARNET DE SOUDURE'!$AB$7:$AB$3006,MATCH(53,'CARNET DE SOUDURE'!$AV$7:$AV$3006,0))&amp;"")</f>
        <v>(34-38) IF</v>
      </c>
      <c r="J64" s="125" t="str">
        <f aca="false">IF($B64="","",INDEX('CARNET DE SOUDURE'!$AC$7:$AC$3006,MATCH(53,'CARNET DE SOUDURE'!$AV$7:$AV$3006,0))&amp;IF(INDEX('CARNET DE SOUDURE'!$AH$7:$AH$3006,MATCH(53,'CARNET DE SOUDURE'!$AV$7:$AV$3006,0))&lt;&gt;""," / "&amp;INDEX('CARNET DE SOUDURE'!$AH$7:$AH$3006,MATCH(53,'CARNET DE SOUDURE'!$AV$7:$AV$3006,0)),""))</f>
        <v/>
      </c>
      <c r="K64" s="125" t="str">
        <f aca="false">IF($B64="","",INDEX('CARNET DE SOUDURE'!$AD$7:$AD$3006,MATCH(53,'CARNET DE SOUDURE'!$AV$7:$AV$3006,0))&amp;IF(INDEX('CARNET DE SOUDURE'!$AI$7:$AI$3006,MATCH(53,'CARNET DE SOUDURE'!$AV$7:$AV$3006,0))&lt;&gt;""," / "&amp;INDEX('CARNET DE SOUDURE'!$AI$7:$AI$3006,MATCH(53,'CARNET DE SOUDURE'!$AV$7:$AV$3006,0)),""))</f>
        <v/>
      </c>
      <c r="L64" s="125" t="str">
        <f aca="false">IF($B64="","",INDEX('CARNET DE SOUDURE'!$AG$7:$AG$3006,MATCH(53,'CARNET DE SOUDURE'!$AV$7:$AV$3006,0))&amp;IF(INDEX('CARNET DE SOUDURE'!$AL$7:$AL$3006,MATCH(53,'CARNET DE SOUDURE'!$AV$7:$AV$3006,0))&lt;&gt;""," / "&amp;INDEX('CARNET DE SOUDURE'!$AL$7:$AL$3006,MATCH(53,'CARNET DE SOUDURE'!$AV$7:$AV$3006,0)),""))</f>
        <v/>
      </c>
      <c r="M64" s="127" t="str">
        <f aca="false">IF($B64="","",INDEX('CARNET DE SOUDURE'!$AP$7:$AP$3006,MATCH(53,'CARNET DE SOUDURE'!$AV$7:$AV$3006,0)))</f>
        <v>R</v>
      </c>
      <c r="N64" s="127" t="str">
        <f aca="false">IF($B64="","",INDEX('CARNET DE SOUDURE'!$AQ$7:$AQ$3006,MATCH(53,'CARNET DE SOUDURE'!$AV$7:$AV$3006,0)))</f>
        <v>À RÉPARER</v>
      </c>
      <c r="O64" s="128" t="n">
        <f aca="false">IF($B64="","",INDEX('CARNET DE SOUDURE'!$AR$7:$AR$3006,MATCH(53,'CARNET DE SOUDURE'!$AV$7:$AV$3006,0)))</f>
        <v>22</v>
      </c>
    </row>
    <row r="65" customFormat="false" ht="15" hidden="false" customHeight="false" outlineLevel="0" collapsed="false">
      <c r="B65" s="130" t="n">
        <f aca="false">IF(54&gt;$I$4,"",54)</f>
        <v>54</v>
      </c>
      <c r="C65" s="130" t="str">
        <f aca="false">IF($B65="","",INDEX('CARNET DE SOUDURE'!$B$7:$B$3006,MATCH(54,'CARNET DE SOUDURE'!$AV$7:$AV$3006,0)))</f>
        <v>MFD-ISW → MFD-CPF</v>
      </c>
      <c r="D65" s="130" t="str">
        <f aca="false">IF($B65="","",INDEX('CARNET DE SOUDURE'!$E$7:$E$3006,MATCH(54,'CARNET DE SOUDURE'!$AV$7:$AV$3006,0)))</f>
        <v>JN°1405</v>
      </c>
      <c r="E65" s="130" t="str">
        <f aca="false">IF($B65="","",INDEX('CARNET DE SOUDURE'!$R$7:$R$3006,MATCH(54,'CARNET DE SOUDURE'!$AV$7:$AV$3006,0))&amp;IF(INDEX('CARNET DE SOUDURE'!$S$7:$S$3006,MATCH(54,'CARNET DE SOUDURE'!$AV$7:$AV$3006,0))&lt;&gt;""," / "&amp;INDEX('CARNET DE SOUDURE'!$S$7:$S$3006,MATCH(54,'CARNET DE SOUDURE'!$AV$7:$AV$3006,0)),"")&amp;IF(INDEX('CARNET DE SOUDURE'!$T$7:$T$3006,MATCH(54,'CARNET DE SOUDURE'!$AV$7:$AV$3006,0))&lt;&gt;""," / "&amp;INDEX('CARNET DE SOUDURE'!$T$7:$T$3006,MATCH(54,'CARNET DE SOUDURE'!$AV$7:$AV$3006,0)),""))</f>
        <v>WR-46-44/32-33/45-43</v>
      </c>
      <c r="F65" s="131" t="n">
        <f aca="false">IF($B65="","",INDEX('CARNET DE SOUDURE'!$Y$7:$Y$3006,MATCH(54,'CARNET DE SOUDURE'!$AV$7:$AV$3006,0)))</f>
        <v>46288</v>
      </c>
      <c r="G65" s="130" t="str">
        <f aca="false">IF($B65="","",INDEX('CARNET DE SOUDURE'!$Z$7:$Z$3006,MATCH(54,'CARNET DE SOUDURE'!$AV$7:$AV$3006,0))&amp;"")</f>
        <v>L-RT-055</v>
      </c>
      <c r="H65" s="132" t="str">
        <f aca="false">IF($B65="","",INDEX('CARNET DE SOUDURE'!$AA$7:$AA$3006,MATCH(54,'CARNET DE SOUDURE'!$AV$7:$AV$3006,0)))</f>
        <v>R</v>
      </c>
      <c r="I65" s="130" t="str">
        <f aca="false">IF($B65="","",INDEX('CARNET DE SOUDURE'!$AB$7:$AB$3006,MATCH(54,'CARNET DE SOUDURE'!$AV$7:$AV$3006,0))&amp;"")</f>
        <v>(35-65) IU</v>
      </c>
      <c r="J65" s="130" t="str">
        <f aca="false">IF($B65="","",INDEX('CARNET DE SOUDURE'!$AC$7:$AC$3006,MATCH(54,'CARNET DE SOUDURE'!$AV$7:$AV$3006,0))&amp;IF(INDEX('CARNET DE SOUDURE'!$AH$7:$AH$3006,MATCH(54,'CARNET DE SOUDURE'!$AV$7:$AV$3006,0))&lt;&gt;""," / "&amp;INDEX('CARNET DE SOUDURE'!$AH$7:$AH$3006,MATCH(54,'CARNET DE SOUDURE'!$AV$7:$AV$3006,0)),""))</f>
        <v/>
      </c>
      <c r="K65" s="130" t="str">
        <f aca="false">IF($B65="","",INDEX('CARNET DE SOUDURE'!$AD$7:$AD$3006,MATCH(54,'CARNET DE SOUDURE'!$AV$7:$AV$3006,0))&amp;IF(INDEX('CARNET DE SOUDURE'!$AI$7:$AI$3006,MATCH(54,'CARNET DE SOUDURE'!$AV$7:$AV$3006,0))&lt;&gt;""," / "&amp;INDEX('CARNET DE SOUDURE'!$AI$7:$AI$3006,MATCH(54,'CARNET DE SOUDURE'!$AV$7:$AV$3006,0)),""))</f>
        <v/>
      </c>
      <c r="L65" s="130" t="str">
        <f aca="false">IF($B65="","",INDEX('CARNET DE SOUDURE'!$AG$7:$AG$3006,MATCH(54,'CARNET DE SOUDURE'!$AV$7:$AV$3006,0))&amp;IF(INDEX('CARNET DE SOUDURE'!$AL$7:$AL$3006,MATCH(54,'CARNET DE SOUDURE'!$AV$7:$AV$3006,0))&lt;&gt;""," / "&amp;INDEX('CARNET DE SOUDURE'!$AL$7:$AL$3006,MATCH(54,'CARNET DE SOUDURE'!$AV$7:$AV$3006,0)),""))</f>
        <v/>
      </c>
      <c r="M65" s="132" t="str">
        <f aca="false">IF($B65="","",INDEX('CARNET DE SOUDURE'!$AP$7:$AP$3006,MATCH(54,'CARNET DE SOUDURE'!$AV$7:$AV$3006,0)))</f>
        <v>R</v>
      </c>
      <c r="N65" s="132" t="str">
        <f aca="false">IF($B65="","",INDEX('CARNET DE SOUDURE'!$AQ$7:$AQ$3006,MATCH(54,'CARNET DE SOUDURE'!$AV$7:$AV$3006,0)))</f>
        <v>À RÉPARER</v>
      </c>
      <c r="O65" s="133" t="n">
        <f aca="false">IF($B65="","",INDEX('CARNET DE SOUDURE'!$AR$7:$AR$3006,MATCH(54,'CARNET DE SOUDURE'!$AV$7:$AV$3006,0)))</f>
        <v>22</v>
      </c>
    </row>
    <row r="66" customFormat="false" ht="15" hidden="false" customHeight="false" outlineLevel="0" collapsed="false">
      <c r="B66" s="125" t="n">
        <f aca="false">IF(55&gt;$I$4,"",55)</f>
        <v>55</v>
      </c>
      <c r="C66" s="125" t="str">
        <f aca="false">IF($B66="","",INDEX('CARNET DE SOUDURE'!$B$7:$B$3006,MATCH(55,'CARNET DE SOUDURE'!$AV$7:$AV$3006,0)))</f>
        <v>MFD-ISW → MFD-CPF</v>
      </c>
      <c r="D66" s="125" t="str">
        <f aca="false">IF($B66="","",INDEX('CARNET DE SOUDURE'!$E$7:$E$3006,MATCH(55,'CARNET DE SOUDURE'!$AV$7:$AV$3006,0)))</f>
        <v>DJ°062</v>
      </c>
      <c r="E66" s="125" t="str">
        <f aca="false">IF($B66="","",INDEX('CARNET DE SOUDURE'!$R$7:$R$3006,MATCH(55,'CARNET DE SOUDURE'!$AV$7:$AV$3006,0))&amp;IF(INDEX('CARNET DE SOUDURE'!$S$7:$S$3006,MATCH(55,'CARNET DE SOUDURE'!$AV$7:$AV$3006,0))&lt;&gt;""," / "&amp;INDEX('CARNET DE SOUDURE'!$S$7:$S$3006,MATCH(55,'CARNET DE SOUDURE'!$AV$7:$AV$3006,0)),"")&amp;IF(INDEX('CARNET DE SOUDURE'!$T$7:$T$3006,MATCH(55,'CARNET DE SOUDURE'!$AV$7:$AV$3006,0))&lt;&gt;""," / "&amp;INDEX('CARNET DE SOUDURE'!$T$7:$T$3006,MATCH(55,'CARNET DE SOUDURE'!$AV$7:$AV$3006,0)),""))</f>
        <v>WR-038</v>
      </c>
      <c r="F66" s="126" t="n">
        <f aca="false">IF($B66="","",INDEX('CARNET DE SOUDURE'!$Y$7:$Y$3006,MATCH(55,'CARNET DE SOUDURE'!$AV$7:$AV$3006,0)))</f>
        <v>46259</v>
      </c>
      <c r="G66" s="125" t="str">
        <f aca="false">IF($B66="","",INDEX('CARNET DE SOUDURE'!$Z$7:$Z$3006,MATCH(55,'CARNET DE SOUDURE'!$AV$7:$AV$3006,0))&amp;"")</f>
        <v>DJ-RT-011</v>
      </c>
      <c r="H66" s="127" t="str">
        <f aca="false">IF($B66="","",INDEX('CARNET DE SOUDURE'!$AA$7:$AA$3006,MATCH(55,'CARNET DE SOUDURE'!$AV$7:$AV$3006,0)))</f>
        <v>R</v>
      </c>
      <c r="I66" s="125" t="str">
        <f aca="false">IF($B66="","",INDEX('CARNET DE SOUDURE'!$AB$7:$AB$3006,MATCH(55,'CARNET DE SOUDURE'!$AV$7:$AV$3006,0))&amp;"")</f>
        <v>(63-69) (94-116) L,F 1 er Passe</v>
      </c>
      <c r="J66" s="125" t="str">
        <f aca="false">IF($B66="","",INDEX('CARNET DE SOUDURE'!$AC$7:$AC$3006,MATCH(55,'CARNET DE SOUDURE'!$AV$7:$AV$3006,0))&amp;IF(INDEX('CARNET DE SOUDURE'!$AH$7:$AH$3006,MATCH(55,'CARNET DE SOUDURE'!$AV$7:$AV$3006,0))&lt;&gt;""," / "&amp;INDEX('CARNET DE SOUDURE'!$AH$7:$AH$3006,MATCH(55,'CARNET DE SOUDURE'!$AV$7:$AV$3006,0)),""))</f>
        <v/>
      </c>
      <c r="K66" s="125" t="str">
        <f aca="false">IF($B66="","",INDEX('CARNET DE SOUDURE'!$AD$7:$AD$3006,MATCH(55,'CARNET DE SOUDURE'!$AV$7:$AV$3006,0))&amp;IF(INDEX('CARNET DE SOUDURE'!$AI$7:$AI$3006,MATCH(55,'CARNET DE SOUDURE'!$AV$7:$AV$3006,0))&lt;&gt;""," / "&amp;INDEX('CARNET DE SOUDURE'!$AI$7:$AI$3006,MATCH(55,'CARNET DE SOUDURE'!$AV$7:$AV$3006,0)),""))</f>
        <v/>
      </c>
      <c r="L66" s="125" t="str">
        <f aca="false">IF($B66="","",INDEX('CARNET DE SOUDURE'!$AG$7:$AG$3006,MATCH(55,'CARNET DE SOUDURE'!$AV$7:$AV$3006,0))&amp;IF(INDEX('CARNET DE SOUDURE'!$AL$7:$AL$3006,MATCH(55,'CARNET DE SOUDURE'!$AV$7:$AV$3006,0))&lt;&gt;""," / "&amp;INDEX('CARNET DE SOUDURE'!$AL$7:$AL$3006,MATCH(55,'CARNET DE SOUDURE'!$AV$7:$AV$3006,0)),""))</f>
        <v/>
      </c>
      <c r="M66" s="127" t="str">
        <f aca="false">IF($B66="","",INDEX('CARNET DE SOUDURE'!$AP$7:$AP$3006,MATCH(55,'CARNET DE SOUDURE'!$AV$7:$AV$3006,0)))</f>
        <v>R</v>
      </c>
      <c r="N66" s="127" t="str">
        <f aca="false">IF($B66="","",INDEX('CARNET DE SOUDURE'!$AQ$7:$AQ$3006,MATCH(55,'CARNET DE SOUDURE'!$AV$7:$AV$3006,0)))</f>
        <v>À RÉPARER</v>
      </c>
      <c r="O66" s="128" t="n">
        <f aca="false">IF($B66="","",INDEX('CARNET DE SOUDURE'!$AR$7:$AR$3006,MATCH(55,'CARNET DE SOUDURE'!$AV$7:$AV$3006,0)))</f>
        <v>40</v>
      </c>
    </row>
    <row r="67" customFormat="false" ht="15" hidden="false" customHeight="false" outlineLevel="0" collapsed="false">
      <c r="B67" s="130" t="n">
        <f aca="false">IF(56&gt;$I$4,"",56)</f>
        <v>56</v>
      </c>
      <c r="C67" s="130" t="str">
        <f aca="false">IF($B67="","",INDEX('CARNET DE SOUDURE'!$B$7:$B$3006,MATCH(56,'CARNET DE SOUDURE'!$AV$7:$AV$3006,0)))</f>
        <v>MFD-ISW → MFD-CPF</v>
      </c>
      <c r="D67" s="130" t="str">
        <f aca="false">IF($B67="","",INDEX('CARNET DE SOUDURE'!$E$7:$E$3006,MATCH(56,'CARNET DE SOUDURE'!$AV$7:$AV$3006,0)))</f>
        <v>JN°1589</v>
      </c>
      <c r="E67" s="130" t="str">
        <f aca="false">IF($B67="","",INDEX('CARNET DE SOUDURE'!$R$7:$R$3006,MATCH(56,'CARNET DE SOUDURE'!$AV$7:$AV$3006,0))&amp;IF(INDEX('CARNET DE SOUDURE'!$S$7:$S$3006,MATCH(56,'CARNET DE SOUDURE'!$AV$7:$AV$3006,0))&lt;&gt;""," / "&amp;INDEX('CARNET DE SOUDURE'!$S$7:$S$3006,MATCH(56,'CARNET DE SOUDURE'!$AV$7:$AV$3006,0)),"")&amp;IF(INDEX('CARNET DE SOUDURE'!$T$7:$T$3006,MATCH(56,'CARNET DE SOUDURE'!$AV$7:$AV$3006,0))&lt;&gt;""," / "&amp;INDEX('CARNET DE SOUDURE'!$T$7:$T$3006,MATCH(56,'CARNET DE SOUDURE'!$AV$7:$AV$3006,0)),""))</f>
        <v>WR-46-44/36-33/45-30/45-42</v>
      </c>
      <c r="F67" s="131" t="n">
        <f aca="false">IF($B67="","",INDEX('CARNET DE SOUDURE'!$Y$7:$Y$3006,MATCH(56,'CARNET DE SOUDURE'!$AV$7:$AV$3006,0)))</f>
        <v>46274</v>
      </c>
      <c r="G67" s="130" t="str">
        <f aca="false">IF($B67="","",INDEX('CARNET DE SOUDURE'!$Z$7:$Z$3006,MATCH(56,'CARNET DE SOUDURE'!$AV$7:$AV$3006,0))&amp;"")</f>
        <v>08  09</v>
      </c>
      <c r="H67" s="132" t="str">
        <f aca="false">IF($B67="","",INDEX('CARNET DE SOUDURE'!$AA$7:$AA$3006,MATCH(56,'CARNET DE SOUDURE'!$AV$7:$AV$3006,0)))</f>
        <v>NX</v>
      </c>
      <c r="I67" s="130" t="str">
        <f aca="false">IF($B67="","",INDEX('CARNET DE SOUDURE'!$AB$7:$AB$3006,MATCH(56,'CARNET DE SOUDURE'!$AV$7:$AV$3006,0))&amp;"")</f>
        <v>RX (30-65) (65-100)</v>
      </c>
      <c r="J67" s="130" t="str">
        <f aca="false">IF($B67="","",INDEX('CARNET DE SOUDURE'!$AC$7:$AC$3006,MATCH(56,'CARNET DE SOUDURE'!$AV$7:$AV$3006,0))&amp;IF(INDEX('CARNET DE SOUDURE'!$AH$7:$AH$3006,MATCH(56,'CARNET DE SOUDURE'!$AV$7:$AV$3006,0))&lt;&gt;""," / "&amp;INDEX('CARNET DE SOUDURE'!$AH$7:$AH$3006,MATCH(56,'CARNET DE SOUDURE'!$AV$7:$AV$3006,0)),""))</f>
        <v/>
      </c>
      <c r="K67" s="130" t="str">
        <f aca="false">IF($B67="","",INDEX('CARNET DE SOUDURE'!$AD$7:$AD$3006,MATCH(56,'CARNET DE SOUDURE'!$AV$7:$AV$3006,0))&amp;IF(INDEX('CARNET DE SOUDURE'!$AI$7:$AI$3006,MATCH(56,'CARNET DE SOUDURE'!$AV$7:$AV$3006,0))&lt;&gt;""," / "&amp;INDEX('CARNET DE SOUDURE'!$AI$7:$AI$3006,MATCH(56,'CARNET DE SOUDURE'!$AV$7:$AV$3006,0)),""))</f>
        <v/>
      </c>
      <c r="L67" s="130" t="str">
        <f aca="false">IF($B67="","",INDEX('CARNET DE SOUDURE'!$AG$7:$AG$3006,MATCH(56,'CARNET DE SOUDURE'!$AV$7:$AV$3006,0))&amp;IF(INDEX('CARNET DE SOUDURE'!$AL$7:$AL$3006,MATCH(56,'CARNET DE SOUDURE'!$AV$7:$AV$3006,0))&lt;&gt;""," / "&amp;INDEX('CARNET DE SOUDURE'!$AL$7:$AL$3006,MATCH(56,'CARNET DE SOUDURE'!$AV$7:$AV$3006,0)),""))</f>
        <v/>
      </c>
      <c r="M67" s="132" t="str">
        <f aca="false">IF($B67="","",INDEX('CARNET DE SOUDURE'!$AP$7:$AP$3006,MATCH(56,'CARNET DE SOUDURE'!$AV$7:$AV$3006,0)))</f>
        <v>NX</v>
      </c>
      <c r="N67" s="132" t="str">
        <f aca="false">IF($B67="","",INDEX('CARNET DE SOUDURE'!$AQ$7:$AQ$3006,MATCH(56,'CARNET DE SOUDURE'!$AV$7:$AV$3006,0)))</f>
        <v>NX – RT À REFAIRE</v>
      </c>
      <c r="O67" s="133" t="n">
        <f aca="false">IF($B67="","",INDEX('CARNET DE SOUDURE'!$AR$7:$AR$3006,MATCH(56,'CARNET DE SOUDURE'!$AV$7:$AV$3006,0)))</f>
        <v>27</v>
      </c>
    </row>
    <row r="68" customFormat="false" ht="15" hidden="false" customHeight="false" outlineLevel="0" collapsed="false">
      <c r="B68" s="125" t="n">
        <f aca="false">IF(57&gt;$I$4,"",57)</f>
        <v>57</v>
      </c>
      <c r="C68" s="125" t="str">
        <f aca="false">IF($B68="","",INDEX('CARNET DE SOUDURE'!$B$7:$B$3006,MATCH(57,'CARNET DE SOUDURE'!$AV$7:$AV$3006,0)))</f>
        <v>MFD-ISW → MFD-CPF</v>
      </c>
      <c r="D68" s="125" t="str">
        <f aca="false">IF($B68="","",INDEX('CARNET DE SOUDURE'!$E$7:$E$3006,MATCH(57,'CARNET DE SOUDURE'!$AV$7:$AV$3006,0)))</f>
        <v>JN°1590</v>
      </c>
      <c r="E68" s="125" t="str">
        <f aca="false">IF($B68="","",INDEX('CARNET DE SOUDURE'!$R$7:$R$3006,MATCH(57,'CARNET DE SOUDURE'!$AV$7:$AV$3006,0))&amp;IF(INDEX('CARNET DE SOUDURE'!$S$7:$S$3006,MATCH(57,'CARNET DE SOUDURE'!$AV$7:$AV$3006,0))&lt;&gt;""," / "&amp;INDEX('CARNET DE SOUDURE'!$S$7:$S$3006,MATCH(57,'CARNET DE SOUDURE'!$AV$7:$AV$3006,0)),"")&amp;IF(INDEX('CARNET DE SOUDURE'!$T$7:$T$3006,MATCH(57,'CARNET DE SOUDURE'!$AV$7:$AV$3006,0))&lt;&gt;""," / "&amp;INDEX('CARNET DE SOUDURE'!$T$7:$T$3006,MATCH(57,'CARNET DE SOUDURE'!$AV$7:$AV$3006,0)),""))</f>
        <v>WR-46-44/36-33/45-30/45-42</v>
      </c>
      <c r="F68" s="126" t="n">
        <f aca="false">IF($B68="","",INDEX('CARNET DE SOUDURE'!$Y$7:$Y$3006,MATCH(57,'CARNET DE SOUDURE'!$AV$7:$AV$3006,0)))</f>
        <v>46274</v>
      </c>
      <c r="G68" s="125" t="str">
        <f aca="false">IF($B68="","",INDEX('CARNET DE SOUDURE'!$Z$7:$Z$3006,MATCH(57,'CARNET DE SOUDURE'!$AV$7:$AV$3006,0))&amp;"")</f>
        <v>08  09</v>
      </c>
      <c r="H68" s="127" t="str">
        <f aca="false">IF($B68="","",INDEX('CARNET DE SOUDURE'!$AA$7:$AA$3006,MATCH(57,'CARNET DE SOUDURE'!$AV$7:$AV$3006,0)))</f>
        <v>NX</v>
      </c>
      <c r="I68" s="125" t="str">
        <f aca="false">IF($B68="","",INDEX('CARNET DE SOUDURE'!$AB$7:$AB$3006,MATCH(57,'CARNET DE SOUDURE'!$AV$7:$AV$3006,0))&amp;"")</f>
        <v>RX (100-00)</v>
      </c>
      <c r="J68" s="125" t="str">
        <f aca="false">IF($B68="","",INDEX('CARNET DE SOUDURE'!$AC$7:$AC$3006,MATCH(57,'CARNET DE SOUDURE'!$AV$7:$AV$3006,0))&amp;IF(INDEX('CARNET DE SOUDURE'!$AH$7:$AH$3006,MATCH(57,'CARNET DE SOUDURE'!$AV$7:$AV$3006,0))&lt;&gt;""," / "&amp;INDEX('CARNET DE SOUDURE'!$AH$7:$AH$3006,MATCH(57,'CARNET DE SOUDURE'!$AV$7:$AV$3006,0)),""))</f>
        <v/>
      </c>
      <c r="K68" s="125" t="str">
        <f aca="false">IF($B68="","",INDEX('CARNET DE SOUDURE'!$AD$7:$AD$3006,MATCH(57,'CARNET DE SOUDURE'!$AV$7:$AV$3006,0))&amp;IF(INDEX('CARNET DE SOUDURE'!$AI$7:$AI$3006,MATCH(57,'CARNET DE SOUDURE'!$AV$7:$AV$3006,0))&lt;&gt;""," / "&amp;INDEX('CARNET DE SOUDURE'!$AI$7:$AI$3006,MATCH(57,'CARNET DE SOUDURE'!$AV$7:$AV$3006,0)),""))</f>
        <v/>
      </c>
      <c r="L68" s="125" t="str">
        <f aca="false">IF($B68="","",INDEX('CARNET DE SOUDURE'!$AG$7:$AG$3006,MATCH(57,'CARNET DE SOUDURE'!$AV$7:$AV$3006,0))&amp;IF(INDEX('CARNET DE SOUDURE'!$AL$7:$AL$3006,MATCH(57,'CARNET DE SOUDURE'!$AV$7:$AV$3006,0))&lt;&gt;""," / "&amp;INDEX('CARNET DE SOUDURE'!$AL$7:$AL$3006,MATCH(57,'CARNET DE SOUDURE'!$AV$7:$AV$3006,0)),""))</f>
        <v/>
      </c>
      <c r="M68" s="127" t="str">
        <f aca="false">IF($B68="","",INDEX('CARNET DE SOUDURE'!$AP$7:$AP$3006,MATCH(57,'CARNET DE SOUDURE'!$AV$7:$AV$3006,0)))</f>
        <v>NX</v>
      </c>
      <c r="N68" s="127" t="str">
        <f aca="false">IF($B68="","",INDEX('CARNET DE SOUDURE'!$AQ$7:$AQ$3006,MATCH(57,'CARNET DE SOUDURE'!$AV$7:$AV$3006,0)))</f>
        <v>NX – RT À REFAIRE</v>
      </c>
      <c r="O68" s="128" t="n">
        <f aca="false">IF($B68="","",INDEX('CARNET DE SOUDURE'!$AR$7:$AR$3006,MATCH(57,'CARNET DE SOUDURE'!$AV$7:$AV$3006,0)))</f>
        <v>27</v>
      </c>
    </row>
    <row r="69" customFormat="false" ht="15" hidden="false" customHeight="false" outlineLevel="0" collapsed="false">
      <c r="B69" s="130" t="n">
        <f aca="false">IF(58&gt;$I$4,"",58)</f>
        <v>58</v>
      </c>
      <c r="C69" s="130" t="str">
        <f aca="false">IF($B69="","",INDEX('CARNET DE SOUDURE'!$B$7:$B$3006,MATCH(58,'CARNET DE SOUDURE'!$AV$7:$AV$3006,0)))</f>
        <v>MFD-ISW → MFD-CPF</v>
      </c>
      <c r="D69" s="130" t="str">
        <f aca="false">IF($B69="","",INDEX('CARNET DE SOUDURE'!$E$7:$E$3006,MATCH(58,'CARNET DE SOUDURE'!$AV$7:$AV$3006,0)))</f>
        <v>JN°1594</v>
      </c>
      <c r="E69" s="130" t="str">
        <f aca="false">IF($B69="","",INDEX('CARNET DE SOUDURE'!$R$7:$R$3006,MATCH(58,'CARNET DE SOUDURE'!$AV$7:$AV$3006,0))&amp;IF(INDEX('CARNET DE SOUDURE'!$S$7:$S$3006,MATCH(58,'CARNET DE SOUDURE'!$AV$7:$AV$3006,0))&lt;&gt;""," / "&amp;INDEX('CARNET DE SOUDURE'!$S$7:$S$3006,MATCH(58,'CARNET DE SOUDURE'!$AV$7:$AV$3006,0)),"")&amp;IF(INDEX('CARNET DE SOUDURE'!$T$7:$T$3006,MATCH(58,'CARNET DE SOUDURE'!$AV$7:$AV$3006,0))&lt;&gt;""," / "&amp;INDEX('CARNET DE SOUDURE'!$T$7:$T$3006,MATCH(58,'CARNET DE SOUDURE'!$AV$7:$AV$3006,0)),""))</f>
        <v>WR-46-44/36-33/45-30/45-42</v>
      </c>
      <c r="F69" s="131" t="n">
        <f aca="false">IF($B69="","",INDEX('CARNET DE SOUDURE'!$Y$7:$Y$3006,MATCH(58,'CARNET DE SOUDURE'!$AV$7:$AV$3006,0)))</f>
        <v>46274</v>
      </c>
      <c r="G69" s="130" t="str">
        <f aca="false">IF($B69="","",INDEX('CARNET DE SOUDURE'!$Z$7:$Z$3006,MATCH(58,'CARNET DE SOUDURE'!$AV$7:$AV$3006,0))&amp;"")</f>
        <v>08  09</v>
      </c>
      <c r="H69" s="132" t="str">
        <f aca="false">IF($B69="","",INDEX('CARNET DE SOUDURE'!$AA$7:$AA$3006,MATCH(58,'CARNET DE SOUDURE'!$AV$7:$AV$3006,0)))</f>
        <v>NX</v>
      </c>
      <c r="I69" s="130" t="str">
        <f aca="false">IF($B69="","",INDEX('CARNET DE SOUDURE'!$AB$7:$AB$3006,MATCH(58,'CARNET DE SOUDURE'!$AV$7:$AV$3006,0))&amp;"")</f>
        <v>RX TOTAL</v>
      </c>
      <c r="J69" s="130" t="str">
        <f aca="false">IF($B69="","",INDEX('CARNET DE SOUDURE'!$AC$7:$AC$3006,MATCH(58,'CARNET DE SOUDURE'!$AV$7:$AV$3006,0))&amp;IF(INDEX('CARNET DE SOUDURE'!$AH$7:$AH$3006,MATCH(58,'CARNET DE SOUDURE'!$AV$7:$AV$3006,0))&lt;&gt;""," / "&amp;INDEX('CARNET DE SOUDURE'!$AH$7:$AH$3006,MATCH(58,'CARNET DE SOUDURE'!$AV$7:$AV$3006,0)),""))</f>
        <v/>
      </c>
      <c r="K69" s="130" t="str">
        <f aca="false">IF($B69="","",INDEX('CARNET DE SOUDURE'!$AD$7:$AD$3006,MATCH(58,'CARNET DE SOUDURE'!$AV$7:$AV$3006,0))&amp;IF(INDEX('CARNET DE SOUDURE'!$AI$7:$AI$3006,MATCH(58,'CARNET DE SOUDURE'!$AV$7:$AV$3006,0))&lt;&gt;""," / "&amp;INDEX('CARNET DE SOUDURE'!$AI$7:$AI$3006,MATCH(58,'CARNET DE SOUDURE'!$AV$7:$AV$3006,0)),""))</f>
        <v/>
      </c>
      <c r="L69" s="130" t="str">
        <f aca="false">IF($B69="","",INDEX('CARNET DE SOUDURE'!$AG$7:$AG$3006,MATCH(58,'CARNET DE SOUDURE'!$AV$7:$AV$3006,0))&amp;IF(INDEX('CARNET DE SOUDURE'!$AL$7:$AL$3006,MATCH(58,'CARNET DE SOUDURE'!$AV$7:$AV$3006,0))&lt;&gt;""," / "&amp;INDEX('CARNET DE SOUDURE'!$AL$7:$AL$3006,MATCH(58,'CARNET DE SOUDURE'!$AV$7:$AV$3006,0)),""))</f>
        <v/>
      </c>
      <c r="M69" s="132" t="str">
        <f aca="false">IF($B69="","",INDEX('CARNET DE SOUDURE'!$AP$7:$AP$3006,MATCH(58,'CARNET DE SOUDURE'!$AV$7:$AV$3006,0)))</f>
        <v>NX</v>
      </c>
      <c r="N69" s="132" t="str">
        <f aca="false">IF($B69="","",INDEX('CARNET DE SOUDURE'!$AQ$7:$AQ$3006,MATCH(58,'CARNET DE SOUDURE'!$AV$7:$AV$3006,0)))</f>
        <v>NX – RT À REFAIRE</v>
      </c>
      <c r="O69" s="133" t="n">
        <f aca="false">IF($B69="","",INDEX('CARNET DE SOUDURE'!$AR$7:$AR$3006,MATCH(58,'CARNET DE SOUDURE'!$AV$7:$AV$3006,0)))</f>
        <v>27</v>
      </c>
    </row>
    <row r="70" customFormat="false" ht="15" hidden="false" customHeight="false" outlineLevel="0" collapsed="false">
      <c r="B70" s="125" t="n">
        <f aca="false">IF(59&gt;$I$4,"",59)</f>
        <v>59</v>
      </c>
      <c r="C70" s="125" t="str">
        <f aca="false">IF($B70="","",INDEX('CARNET DE SOUDURE'!$B$7:$B$3006,MATCH(59,'CARNET DE SOUDURE'!$AV$7:$AV$3006,0)))</f>
        <v>MFD-ISW → MFD-CPF</v>
      </c>
      <c r="D70" s="125" t="str">
        <f aca="false">IF($B70="","",INDEX('CARNET DE SOUDURE'!$E$7:$E$3006,MATCH(59,'CARNET DE SOUDURE'!$AV$7:$AV$3006,0)))</f>
        <v>JN°1595</v>
      </c>
      <c r="E70" s="125" t="str">
        <f aca="false">IF($B70="","",INDEX('CARNET DE SOUDURE'!$R$7:$R$3006,MATCH(59,'CARNET DE SOUDURE'!$AV$7:$AV$3006,0))&amp;IF(INDEX('CARNET DE SOUDURE'!$S$7:$S$3006,MATCH(59,'CARNET DE SOUDURE'!$AV$7:$AV$3006,0))&lt;&gt;""," / "&amp;INDEX('CARNET DE SOUDURE'!$S$7:$S$3006,MATCH(59,'CARNET DE SOUDURE'!$AV$7:$AV$3006,0)),"")&amp;IF(INDEX('CARNET DE SOUDURE'!$T$7:$T$3006,MATCH(59,'CARNET DE SOUDURE'!$AV$7:$AV$3006,0))&lt;&gt;""," / "&amp;INDEX('CARNET DE SOUDURE'!$T$7:$T$3006,MATCH(59,'CARNET DE SOUDURE'!$AV$7:$AV$3006,0)),""))</f>
        <v>WR-46-44/36-33/45-30/45-42</v>
      </c>
      <c r="F70" s="126" t="n">
        <f aca="false">IF($B70="","",INDEX('CARNET DE SOUDURE'!$Y$7:$Y$3006,MATCH(59,'CARNET DE SOUDURE'!$AV$7:$AV$3006,0)))</f>
        <v>46274</v>
      </c>
      <c r="G70" s="125" t="str">
        <f aca="false">IF($B70="","",INDEX('CARNET DE SOUDURE'!$Z$7:$Z$3006,MATCH(59,'CARNET DE SOUDURE'!$AV$7:$AV$3006,0))&amp;"")</f>
        <v>08  09</v>
      </c>
      <c r="H70" s="127" t="str">
        <f aca="false">IF($B70="","",INDEX('CARNET DE SOUDURE'!$AA$7:$AA$3006,MATCH(59,'CARNET DE SOUDURE'!$AV$7:$AV$3006,0)))</f>
        <v>NX</v>
      </c>
      <c r="I70" s="125" t="str">
        <f aca="false">IF($B70="","",INDEX('CARNET DE SOUDURE'!$AB$7:$AB$3006,MATCH(59,'CARNET DE SOUDURE'!$AV$7:$AV$3006,0))&amp;"")</f>
        <v>RX TOTAL</v>
      </c>
      <c r="J70" s="125" t="str">
        <f aca="false">IF($B70="","",INDEX('CARNET DE SOUDURE'!$AC$7:$AC$3006,MATCH(59,'CARNET DE SOUDURE'!$AV$7:$AV$3006,0))&amp;IF(INDEX('CARNET DE SOUDURE'!$AH$7:$AH$3006,MATCH(59,'CARNET DE SOUDURE'!$AV$7:$AV$3006,0))&lt;&gt;""," / "&amp;INDEX('CARNET DE SOUDURE'!$AH$7:$AH$3006,MATCH(59,'CARNET DE SOUDURE'!$AV$7:$AV$3006,0)),""))</f>
        <v/>
      </c>
      <c r="K70" s="125" t="str">
        <f aca="false">IF($B70="","",INDEX('CARNET DE SOUDURE'!$AD$7:$AD$3006,MATCH(59,'CARNET DE SOUDURE'!$AV$7:$AV$3006,0))&amp;IF(INDEX('CARNET DE SOUDURE'!$AI$7:$AI$3006,MATCH(59,'CARNET DE SOUDURE'!$AV$7:$AV$3006,0))&lt;&gt;""," / "&amp;INDEX('CARNET DE SOUDURE'!$AI$7:$AI$3006,MATCH(59,'CARNET DE SOUDURE'!$AV$7:$AV$3006,0)),""))</f>
        <v/>
      </c>
      <c r="L70" s="125" t="str">
        <f aca="false">IF($B70="","",INDEX('CARNET DE SOUDURE'!$AG$7:$AG$3006,MATCH(59,'CARNET DE SOUDURE'!$AV$7:$AV$3006,0))&amp;IF(INDEX('CARNET DE SOUDURE'!$AL$7:$AL$3006,MATCH(59,'CARNET DE SOUDURE'!$AV$7:$AV$3006,0))&lt;&gt;""," / "&amp;INDEX('CARNET DE SOUDURE'!$AL$7:$AL$3006,MATCH(59,'CARNET DE SOUDURE'!$AV$7:$AV$3006,0)),""))</f>
        <v/>
      </c>
      <c r="M70" s="127" t="str">
        <f aca="false">IF($B70="","",INDEX('CARNET DE SOUDURE'!$AP$7:$AP$3006,MATCH(59,'CARNET DE SOUDURE'!$AV$7:$AV$3006,0)))</f>
        <v>NX</v>
      </c>
      <c r="N70" s="127" t="str">
        <f aca="false">IF($B70="","",INDEX('CARNET DE SOUDURE'!$AQ$7:$AQ$3006,MATCH(59,'CARNET DE SOUDURE'!$AV$7:$AV$3006,0)))</f>
        <v>NX – RT À REFAIRE</v>
      </c>
      <c r="O70" s="128" t="n">
        <f aca="false">IF($B70="","",INDEX('CARNET DE SOUDURE'!$AR$7:$AR$3006,MATCH(59,'CARNET DE SOUDURE'!$AV$7:$AV$3006,0)))</f>
        <v>27</v>
      </c>
    </row>
    <row r="71" customFormat="false" ht="15" hidden="false" customHeight="false" outlineLevel="0" collapsed="false">
      <c r="B71" s="130" t="n">
        <f aca="false">IF(60&gt;$I$4,"",60)</f>
        <v>60</v>
      </c>
      <c r="C71" s="130" t="str">
        <f aca="false">IF($B71="","",INDEX('CARNET DE SOUDURE'!$B$7:$B$3006,MATCH(60,'CARNET DE SOUDURE'!$AV$7:$AV$3006,0)))</f>
        <v>MFD-ISW → MFD-CPF</v>
      </c>
      <c r="D71" s="130" t="str">
        <f aca="false">IF($B71="","",INDEX('CARNET DE SOUDURE'!$E$7:$E$3006,MATCH(60,'CARNET DE SOUDURE'!$AV$7:$AV$3006,0)))</f>
        <v>JN°1596</v>
      </c>
      <c r="E71" s="130" t="str">
        <f aca="false">IF($B71="","",INDEX('CARNET DE SOUDURE'!$R$7:$R$3006,MATCH(60,'CARNET DE SOUDURE'!$AV$7:$AV$3006,0))&amp;IF(INDEX('CARNET DE SOUDURE'!$S$7:$S$3006,MATCH(60,'CARNET DE SOUDURE'!$AV$7:$AV$3006,0))&lt;&gt;""," / "&amp;INDEX('CARNET DE SOUDURE'!$S$7:$S$3006,MATCH(60,'CARNET DE SOUDURE'!$AV$7:$AV$3006,0)),"")&amp;IF(INDEX('CARNET DE SOUDURE'!$T$7:$T$3006,MATCH(60,'CARNET DE SOUDURE'!$AV$7:$AV$3006,0))&lt;&gt;""," / "&amp;INDEX('CARNET DE SOUDURE'!$T$7:$T$3006,MATCH(60,'CARNET DE SOUDURE'!$AV$7:$AV$3006,0)),""))</f>
        <v>WR-46-44/36-33/45-30/45-42</v>
      </c>
      <c r="F71" s="131" t="n">
        <f aca="false">IF($B71="","",INDEX('CARNET DE SOUDURE'!$Y$7:$Y$3006,MATCH(60,'CARNET DE SOUDURE'!$AV$7:$AV$3006,0)))</f>
        <v>46274</v>
      </c>
      <c r="G71" s="130" t="str">
        <f aca="false">IF($B71="","",INDEX('CARNET DE SOUDURE'!$Z$7:$Z$3006,MATCH(60,'CARNET DE SOUDURE'!$AV$7:$AV$3006,0))&amp;"")</f>
        <v>08  09</v>
      </c>
      <c r="H71" s="132" t="str">
        <f aca="false">IF($B71="","",INDEX('CARNET DE SOUDURE'!$AA$7:$AA$3006,MATCH(60,'CARNET DE SOUDURE'!$AV$7:$AV$3006,0)))</f>
        <v>NX</v>
      </c>
      <c r="I71" s="130" t="str">
        <f aca="false">IF($B71="","",INDEX('CARNET DE SOUDURE'!$AB$7:$AB$3006,MATCH(60,'CARNET DE SOUDURE'!$AV$7:$AV$3006,0))&amp;"")</f>
        <v>RX TOTAL</v>
      </c>
      <c r="J71" s="130" t="str">
        <f aca="false">IF($B71="","",INDEX('CARNET DE SOUDURE'!$AC$7:$AC$3006,MATCH(60,'CARNET DE SOUDURE'!$AV$7:$AV$3006,0))&amp;IF(INDEX('CARNET DE SOUDURE'!$AH$7:$AH$3006,MATCH(60,'CARNET DE SOUDURE'!$AV$7:$AV$3006,0))&lt;&gt;""," / "&amp;INDEX('CARNET DE SOUDURE'!$AH$7:$AH$3006,MATCH(60,'CARNET DE SOUDURE'!$AV$7:$AV$3006,0)),""))</f>
        <v/>
      </c>
      <c r="K71" s="130" t="str">
        <f aca="false">IF($B71="","",INDEX('CARNET DE SOUDURE'!$AD$7:$AD$3006,MATCH(60,'CARNET DE SOUDURE'!$AV$7:$AV$3006,0))&amp;IF(INDEX('CARNET DE SOUDURE'!$AI$7:$AI$3006,MATCH(60,'CARNET DE SOUDURE'!$AV$7:$AV$3006,0))&lt;&gt;""," / "&amp;INDEX('CARNET DE SOUDURE'!$AI$7:$AI$3006,MATCH(60,'CARNET DE SOUDURE'!$AV$7:$AV$3006,0)),""))</f>
        <v/>
      </c>
      <c r="L71" s="130" t="str">
        <f aca="false">IF($B71="","",INDEX('CARNET DE SOUDURE'!$AG$7:$AG$3006,MATCH(60,'CARNET DE SOUDURE'!$AV$7:$AV$3006,0))&amp;IF(INDEX('CARNET DE SOUDURE'!$AL$7:$AL$3006,MATCH(60,'CARNET DE SOUDURE'!$AV$7:$AV$3006,0))&lt;&gt;""," / "&amp;INDEX('CARNET DE SOUDURE'!$AL$7:$AL$3006,MATCH(60,'CARNET DE SOUDURE'!$AV$7:$AV$3006,0)),""))</f>
        <v/>
      </c>
      <c r="M71" s="132" t="str">
        <f aca="false">IF($B71="","",INDEX('CARNET DE SOUDURE'!$AP$7:$AP$3006,MATCH(60,'CARNET DE SOUDURE'!$AV$7:$AV$3006,0)))</f>
        <v>NX</v>
      </c>
      <c r="N71" s="132" t="str">
        <f aca="false">IF($B71="","",INDEX('CARNET DE SOUDURE'!$AQ$7:$AQ$3006,MATCH(60,'CARNET DE SOUDURE'!$AV$7:$AV$3006,0)))</f>
        <v>NX – RT À REFAIRE</v>
      </c>
      <c r="O71" s="133" t="n">
        <f aca="false">IF($B71="","",INDEX('CARNET DE SOUDURE'!$AR$7:$AR$3006,MATCH(60,'CARNET DE SOUDURE'!$AV$7:$AV$3006,0)))</f>
        <v>27</v>
      </c>
    </row>
    <row r="72" customFormat="false" ht="15" hidden="false" customHeight="false" outlineLevel="0" collapsed="false">
      <c r="B72" s="125" t="n">
        <f aca="false">IF(61&gt;$I$4,"",61)</f>
        <v>61</v>
      </c>
      <c r="C72" s="125" t="str">
        <f aca="false">IF($B72="","",INDEX('CARNET DE SOUDURE'!$B$7:$B$3006,MATCH(61,'CARNET DE SOUDURE'!$AV$7:$AV$3006,0)))</f>
        <v>MFD-ISW → MFD-CPF</v>
      </c>
      <c r="D72" s="125" t="str">
        <f aca="false">IF($B72="","",INDEX('CARNET DE SOUDURE'!$E$7:$E$3006,MATCH(61,'CARNET DE SOUDURE'!$AV$7:$AV$3006,0)))</f>
        <v>JN°1630</v>
      </c>
      <c r="E72" s="125" t="str">
        <f aca="false">IF($B72="","",INDEX('CARNET DE SOUDURE'!$R$7:$R$3006,MATCH(61,'CARNET DE SOUDURE'!$AV$7:$AV$3006,0))&amp;IF(INDEX('CARNET DE SOUDURE'!$S$7:$S$3006,MATCH(61,'CARNET DE SOUDURE'!$AV$7:$AV$3006,0))&lt;&gt;""," / "&amp;INDEX('CARNET DE SOUDURE'!$S$7:$S$3006,MATCH(61,'CARNET DE SOUDURE'!$AV$7:$AV$3006,0)),"")&amp;IF(INDEX('CARNET DE SOUDURE'!$T$7:$T$3006,MATCH(61,'CARNET DE SOUDURE'!$AV$7:$AV$3006,0))&lt;&gt;""," / "&amp;INDEX('CARNET DE SOUDURE'!$T$7:$T$3006,MATCH(61,'CARNET DE SOUDURE'!$AV$7:$AV$3006,0)),""))</f>
        <v>WR-46-44/30-33/47-48/45-36</v>
      </c>
      <c r="F72" s="126" t="n">
        <f aca="false">IF($B72="","",INDEX('CARNET DE SOUDURE'!$Y$7:$Y$3006,MATCH(61,'CARNET DE SOUDURE'!$AV$7:$AV$3006,0)))</f>
        <v>46274</v>
      </c>
      <c r="G72" s="125" t="str">
        <f aca="false">IF($B72="","",INDEX('CARNET DE SOUDURE'!$Z$7:$Z$3006,MATCH(61,'CARNET DE SOUDURE'!$AV$7:$AV$3006,0))&amp;"")</f>
        <v>08  09</v>
      </c>
      <c r="H72" s="127" t="str">
        <f aca="false">IF($B72="","",INDEX('CARNET DE SOUDURE'!$AA$7:$AA$3006,MATCH(61,'CARNET DE SOUDURE'!$AV$7:$AV$3006,0)))</f>
        <v>NX</v>
      </c>
      <c r="I72" s="125" t="str">
        <f aca="false">IF($B72="","",INDEX('CARNET DE SOUDURE'!$AB$7:$AB$3006,MATCH(61,'CARNET DE SOUDURE'!$AV$7:$AV$3006,0))&amp;"")</f>
        <v>RX TOTAL</v>
      </c>
      <c r="J72" s="125" t="str">
        <f aca="false">IF($B72="","",INDEX('CARNET DE SOUDURE'!$AC$7:$AC$3006,MATCH(61,'CARNET DE SOUDURE'!$AV$7:$AV$3006,0))&amp;IF(INDEX('CARNET DE SOUDURE'!$AH$7:$AH$3006,MATCH(61,'CARNET DE SOUDURE'!$AV$7:$AV$3006,0))&lt;&gt;""," / "&amp;INDEX('CARNET DE SOUDURE'!$AH$7:$AH$3006,MATCH(61,'CARNET DE SOUDURE'!$AV$7:$AV$3006,0)),""))</f>
        <v/>
      </c>
      <c r="K72" s="125" t="str">
        <f aca="false">IF($B72="","",INDEX('CARNET DE SOUDURE'!$AD$7:$AD$3006,MATCH(61,'CARNET DE SOUDURE'!$AV$7:$AV$3006,0))&amp;IF(INDEX('CARNET DE SOUDURE'!$AI$7:$AI$3006,MATCH(61,'CARNET DE SOUDURE'!$AV$7:$AV$3006,0))&lt;&gt;""," / "&amp;INDEX('CARNET DE SOUDURE'!$AI$7:$AI$3006,MATCH(61,'CARNET DE SOUDURE'!$AV$7:$AV$3006,0)),""))</f>
        <v/>
      </c>
      <c r="L72" s="125" t="str">
        <f aca="false">IF($B72="","",INDEX('CARNET DE SOUDURE'!$AG$7:$AG$3006,MATCH(61,'CARNET DE SOUDURE'!$AV$7:$AV$3006,0))&amp;IF(INDEX('CARNET DE SOUDURE'!$AL$7:$AL$3006,MATCH(61,'CARNET DE SOUDURE'!$AV$7:$AV$3006,0))&lt;&gt;""," / "&amp;INDEX('CARNET DE SOUDURE'!$AL$7:$AL$3006,MATCH(61,'CARNET DE SOUDURE'!$AV$7:$AV$3006,0)),""))</f>
        <v/>
      </c>
      <c r="M72" s="127" t="str">
        <f aca="false">IF($B72="","",INDEX('CARNET DE SOUDURE'!$AP$7:$AP$3006,MATCH(61,'CARNET DE SOUDURE'!$AV$7:$AV$3006,0)))</f>
        <v>NX</v>
      </c>
      <c r="N72" s="127" t="str">
        <f aca="false">IF($B72="","",INDEX('CARNET DE SOUDURE'!$AQ$7:$AQ$3006,MATCH(61,'CARNET DE SOUDURE'!$AV$7:$AV$3006,0)))</f>
        <v>NX – RT À REFAIRE</v>
      </c>
      <c r="O72" s="128" t="n">
        <f aca="false">IF($B72="","",INDEX('CARNET DE SOUDURE'!$AR$7:$AR$3006,MATCH(61,'CARNET DE SOUDURE'!$AV$7:$AV$3006,0)))</f>
        <v>29</v>
      </c>
    </row>
    <row r="73" customFormat="false" ht="15" hidden="false" customHeight="false" outlineLevel="0" collapsed="false">
      <c r="B73" s="130" t="n">
        <f aca="false">IF(62&gt;$I$4,"",62)</f>
        <v>62</v>
      </c>
      <c r="C73" s="130" t="str">
        <f aca="false">IF($B73="","",INDEX('CARNET DE SOUDURE'!$B$7:$B$3006,MATCH(62,'CARNET DE SOUDURE'!$AV$7:$AV$3006,0)))</f>
        <v>MFD-ISW → MFD-CPF</v>
      </c>
      <c r="D73" s="130" t="str">
        <f aca="false">IF($B73="","",INDEX('CARNET DE SOUDURE'!$E$7:$E$3006,MATCH(62,'CARNET DE SOUDURE'!$AV$7:$AV$3006,0)))</f>
        <v>JN°1656</v>
      </c>
      <c r="E73" s="130" t="str">
        <f aca="false">IF($B73="","",INDEX('CARNET DE SOUDURE'!$R$7:$R$3006,MATCH(62,'CARNET DE SOUDURE'!$AV$7:$AV$3006,0))&amp;IF(INDEX('CARNET DE SOUDURE'!$S$7:$S$3006,MATCH(62,'CARNET DE SOUDURE'!$AV$7:$AV$3006,0))&lt;&gt;""," / "&amp;INDEX('CARNET DE SOUDURE'!$S$7:$S$3006,MATCH(62,'CARNET DE SOUDURE'!$AV$7:$AV$3006,0)),"")&amp;IF(INDEX('CARNET DE SOUDURE'!$T$7:$T$3006,MATCH(62,'CARNET DE SOUDURE'!$AV$7:$AV$3006,0))&lt;&gt;""," / "&amp;INDEX('CARNET DE SOUDURE'!$T$7:$T$3006,MATCH(62,'CARNET DE SOUDURE'!$AV$7:$AV$3006,0)),""))</f>
        <v>WR-46-44/30-33/47-48/45-36</v>
      </c>
      <c r="F73" s="131" t="n">
        <f aca="false">IF($B73="","",INDEX('CARNET DE SOUDURE'!$Y$7:$Y$3006,MATCH(62,'CARNET DE SOUDURE'!$AV$7:$AV$3006,0)))</f>
        <v>46274</v>
      </c>
      <c r="G73" s="130" t="str">
        <f aca="false">IF($B73="","",INDEX('CARNET DE SOUDURE'!$Z$7:$Z$3006,MATCH(62,'CARNET DE SOUDURE'!$AV$7:$AV$3006,0))&amp;"")</f>
        <v>08  09</v>
      </c>
      <c r="H73" s="132" t="str">
        <f aca="false">IF($B73="","",INDEX('CARNET DE SOUDURE'!$AA$7:$AA$3006,MATCH(62,'CARNET DE SOUDURE'!$AV$7:$AV$3006,0)))</f>
        <v>NX</v>
      </c>
      <c r="I73" s="130" t="str">
        <f aca="false">IF($B73="","",INDEX('CARNET DE SOUDURE'!$AB$7:$AB$3006,MATCH(62,'CARNET DE SOUDURE'!$AV$7:$AV$3006,0))&amp;"")</f>
        <v>RX (65-100) (100-00)</v>
      </c>
      <c r="J73" s="130" t="str">
        <f aca="false">IF($B73="","",INDEX('CARNET DE SOUDURE'!$AC$7:$AC$3006,MATCH(62,'CARNET DE SOUDURE'!$AV$7:$AV$3006,0))&amp;IF(INDEX('CARNET DE SOUDURE'!$AH$7:$AH$3006,MATCH(62,'CARNET DE SOUDURE'!$AV$7:$AV$3006,0))&lt;&gt;""," / "&amp;INDEX('CARNET DE SOUDURE'!$AH$7:$AH$3006,MATCH(62,'CARNET DE SOUDURE'!$AV$7:$AV$3006,0)),""))</f>
        <v/>
      </c>
      <c r="K73" s="130" t="str">
        <f aca="false">IF($B73="","",INDEX('CARNET DE SOUDURE'!$AD$7:$AD$3006,MATCH(62,'CARNET DE SOUDURE'!$AV$7:$AV$3006,0))&amp;IF(INDEX('CARNET DE SOUDURE'!$AI$7:$AI$3006,MATCH(62,'CARNET DE SOUDURE'!$AV$7:$AV$3006,0))&lt;&gt;""," / "&amp;INDEX('CARNET DE SOUDURE'!$AI$7:$AI$3006,MATCH(62,'CARNET DE SOUDURE'!$AV$7:$AV$3006,0)),""))</f>
        <v/>
      </c>
      <c r="L73" s="130" t="str">
        <f aca="false">IF($B73="","",INDEX('CARNET DE SOUDURE'!$AG$7:$AG$3006,MATCH(62,'CARNET DE SOUDURE'!$AV$7:$AV$3006,0))&amp;IF(INDEX('CARNET DE SOUDURE'!$AL$7:$AL$3006,MATCH(62,'CARNET DE SOUDURE'!$AV$7:$AV$3006,0))&lt;&gt;""," / "&amp;INDEX('CARNET DE SOUDURE'!$AL$7:$AL$3006,MATCH(62,'CARNET DE SOUDURE'!$AV$7:$AV$3006,0)),""))</f>
        <v/>
      </c>
      <c r="M73" s="132" t="str">
        <f aca="false">IF($B73="","",INDEX('CARNET DE SOUDURE'!$AP$7:$AP$3006,MATCH(62,'CARNET DE SOUDURE'!$AV$7:$AV$3006,0)))</f>
        <v>NX</v>
      </c>
      <c r="N73" s="132" t="str">
        <f aca="false">IF($B73="","",INDEX('CARNET DE SOUDURE'!$AQ$7:$AQ$3006,MATCH(62,'CARNET DE SOUDURE'!$AV$7:$AV$3006,0)))</f>
        <v>NX – RT À REFAIRE</v>
      </c>
      <c r="O73" s="133" t="n">
        <f aca="false">IF($B73="","",INDEX('CARNET DE SOUDURE'!$AR$7:$AR$3006,MATCH(62,'CARNET DE SOUDURE'!$AV$7:$AV$3006,0)))</f>
        <v>29</v>
      </c>
    </row>
    <row r="74" customFormat="false" ht="15" hidden="false" customHeight="false" outlineLevel="0" collapsed="false">
      <c r="B74" s="125" t="n">
        <f aca="false">IF(63&gt;$I$4,"",63)</f>
        <v>63</v>
      </c>
      <c r="C74" s="125" t="str">
        <f aca="false">IF($B74="","",INDEX('CARNET DE SOUDURE'!$B$7:$B$3006,MATCH(63,'CARNET DE SOUDURE'!$AV$7:$AV$3006,0)))</f>
        <v>MFD-ISW → MFD-CPF</v>
      </c>
      <c r="D74" s="125" t="str">
        <f aca="false">IF($B74="","",INDEX('CARNET DE SOUDURE'!$E$7:$E$3006,MATCH(63,'CARNET DE SOUDURE'!$AV$7:$AV$3006,0)))</f>
        <v>JN°1877</v>
      </c>
      <c r="E74" s="125" t="str">
        <f aca="false">IF($B74="","",INDEX('CARNET DE SOUDURE'!$R$7:$R$3006,MATCH(63,'CARNET DE SOUDURE'!$AV$7:$AV$3006,0))&amp;IF(INDEX('CARNET DE SOUDURE'!$S$7:$S$3006,MATCH(63,'CARNET DE SOUDURE'!$AV$7:$AV$3006,0))&lt;&gt;""," / "&amp;INDEX('CARNET DE SOUDURE'!$S$7:$S$3006,MATCH(63,'CARNET DE SOUDURE'!$AV$7:$AV$3006,0)),"")&amp;IF(INDEX('CARNET DE SOUDURE'!$T$7:$T$3006,MATCH(63,'CARNET DE SOUDURE'!$AV$7:$AV$3006,0))&lt;&gt;""," / "&amp;INDEX('CARNET DE SOUDURE'!$T$7:$T$3006,MATCH(63,'CARNET DE SOUDURE'!$AV$7:$AV$3006,0)),""))</f>
        <v>WR-32-44/30-36/43-45</v>
      </c>
      <c r="F74" s="126" t="n">
        <f aca="false">IF($B74="","",INDEX('CARNET DE SOUDURE'!$Y$7:$Y$3006,MATCH(63,'CARNET DE SOUDURE'!$AV$7:$AV$3006,0)))</f>
        <v>46289</v>
      </c>
      <c r="G74" s="125" t="str">
        <f aca="false">IF($B74="","",INDEX('CARNET DE SOUDURE'!$Z$7:$Z$3006,MATCH(63,'CARNET DE SOUDURE'!$AV$7:$AV$3006,0))&amp;"")</f>
        <v>L-RT-057</v>
      </c>
      <c r="H74" s="127" t="str">
        <f aca="false">IF($B74="","",INDEX('CARNET DE SOUDURE'!$AA$7:$AA$3006,MATCH(63,'CARNET DE SOUDURE'!$AV$7:$AV$3006,0)))</f>
        <v>R</v>
      </c>
      <c r="I74" s="125" t="str">
        <f aca="false">IF($B74="","",INDEX('CARNET DE SOUDURE'!$AB$7:$AB$3006,MATCH(63,'CARNET DE SOUDURE'!$AV$7:$AV$3006,0))&amp;"")</f>
        <v>(85-105) IFD</v>
      </c>
      <c r="J74" s="125" t="str">
        <f aca="false">IF($B74="","",INDEX('CARNET DE SOUDURE'!$AC$7:$AC$3006,MATCH(63,'CARNET DE SOUDURE'!$AV$7:$AV$3006,0))&amp;IF(INDEX('CARNET DE SOUDURE'!$AH$7:$AH$3006,MATCH(63,'CARNET DE SOUDURE'!$AV$7:$AV$3006,0))&lt;&gt;""," / "&amp;INDEX('CARNET DE SOUDURE'!$AH$7:$AH$3006,MATCH(63,'CARNET DE SOUDURE'!$AV$7:$AV$3006,0)),""))</f>
        <v/>
      </c>
      <c r="K74" s="125" t="str">
        <f aca="false">IF($B74="","",INDEX('CARNET DE SOUDURE'!$AD$7:$AD$3006,MATCH(63,'CARNET DE SOUDURE'!$AV$7:$AV$3006,0))&amp;IF(INDEX('CARNET DE SOUDURE'!$AI$7:$AI$3006,MATCH(63,'CARNET DE SOUDURE'!$AV$7:$AV$3006,0))&lt;&gt;""," / "&amp;INDEX('CARNET DE SOUDURE'!$AI$7:$AI$3006,MATCH(63,'CARNET DE SOUDURE'!$AV$7:$AV$3006,0)),""))</f>
        <v/>
      </c>
      <c r="L74" s="125" t="str">
        <f aca="false">IF($B74="","",INDEX('CARNET DE SOUDURE'!$AG$7:$AG$3006,MATCH(63,'CARNET DE SOUDURE'!$AV$7:$AV$3006,0))&amp;IF(INDEX('CARNET DE SOUDURE'!$AL$7:$AL$3006,MATCH(63,'CARNET DE SOUDURE'!$AV$7:$AV$3006,0))&lt;&gt;""," / "&amp;INDEX('CARNET DE SOUDURE'!$AL$7:$AL$3006,MATCH(63,'CARNET DE SOUDURE'!$AV$7:$AV$3006,0)),""))</f>
        <v/>
      </c>
      <c r="M74" s="127" t="str">
        <f aca="false">IF($B74="","",INDEX('CARNET DE SOUDURE'!$AP$7:$AP$3006,MATCH(63,'CARNET DE SOUDURE'!$AV$7:$AV$3006,0)))</f>
        <v>R</v>
      </c>
      <c r="N74" s="127" t="str">
        <f aca="false">IF($B74="","",INDEX('CARNET DE SOUDURE'!$AQ$7:$AQ$3006,MATCH(63,'CARNET DE SOUDURE'!$AV$7:$AV$3006,0)))</f>
        <v>À RÉPARER</v>
      </c>
      <c r="O74" s="128" t="n">
        <f aca="false">IF($B74="","",INDEX('CARNET DE SOUDURE'!$AR$7:$AR$3006,MATCH(63,'CARNET DE SOUDURE'!$AV$7:$AV$3006,0)))</f>
        <v>36</v>
      </c>
    </row>
    <row r="75" customFormat="false" ht="15" hidden="false" customHeight="false" outlineLevel="0" collapsed="false">
      <c r="B75" s="130" t="n">
        <f aca="false">IF(64&gt;$I$4,"",64)</f>
        <v>64</v>
      </c>
      <c r="C75" s="130" t="str">
        <f aca="false">IF($B75="","",INDEX('CARNET DE SOUDURE'!$B$7:$B$3006,MATCH(64,'CARNET DE SOUDURE'!$AV$7:$AV$3006,0)))</f>
        <v>MFD-ISW → MFD-CPF</v>
      </c>
      <c r="D75" s="130" t="str">
        <f aca="false">IF($B75="","",INDEX('CARNET DE SOUDURE'!$E$7:$E$3006,MATCH(64,'CARNET DE SOUDURE'!$AV$7:$AV$3006,0)))</f>
        <v>JN°1894</v>
      </c>
      <c r="E75" s="130" t="str">
        <f aca="false">IF($B75="","",INDEX('CARNET DE SOUDURE'!$R$7:$R$3006,MATCH(64,'CARNET DE SOUDURE'!$AV$7:$AV$3006,0))&amp;IF(INDEX('CARNET DE SOUDURE'!$S$7:$S$3006,MATCH(64,'CARNET DE SOUDURE'!$AV$7:$AV$3006,0))&lt;&gt;""," / "&amp;INDEX('CARNET DE SOUDURE'!$S$7:$S$3006,MATCH(64,'CARNET DE SOUDURE'!$AV$7:$AV$3006,0)),"")&amp;IF(INDEX('CARNET DE SOUDURE'!$T$7:$T$3006,MATCH(64,'CARNET DE SOUDURE'!$AV$7:$AV$3006,0))&lt;&gt;""," / "&amp;INDEX('CARNET DE SOUDURE'!$T$7:$T$3006,MATCH(64,'CARNET DE SOUDURE'!$AV$7:$AV$3006,0)),""))</f>
        <v>WR-32-44/30-36/43-45</v>
      </c>
      <c r="F75" s="131" t="n">
        <f aca="false">IF($B75="","",INDEX('CARNET DE SOUDURE'!$Y$7:$Y$3006,MATCH(64,'CARNET DE SOUDURE'!$AV$7:$AV$3006,0)))</f>
        <v>46289</v>
      </c>
      <c r="G75" s="130" t="str">
        <f aca="false">IF($B75="","",INDEX('CARNET DE SOUDURE'!$Z$7:$Z$3006,MATCH(64,'CARNET DE SOUDURE'!$AV$7:$AV$3006,0))&amp;"")</f>
        <v/>
      </c>
      <c r="H75" s="132" t="str">
        <f aca="false">IF($B75="","",INDEX('CARNET DE SOUDURE'!$AA$7:$AA$3006,MATCH(64,'CARNET DE SOUDURE'!$AV$7:$AV$3006,0)))</f>
        <v>NX</v>
      </c>
      <c r="I75" s="130" t="str">
        <f aca="false">IF($B75="","",INDEX('CARNET DE SOUDURE'!$AB$7:$AB$3006,MATCH(64,'CARNET DE SOUDURE'!$AV$7:$AV$3006,0))&amp;"")</f>
        <v>RX (35-65)</v>
      </c>
      <c r="J75" s="130" t="str">
        <f aca="false">IF($B75="","",INDEX('CARNET DE SOUDURE'!$AC$7:$AC$3006,MATCH(64,'CARNET DE SOUDURE'!$AV$7:$AV$3006,0))&amp;IF(INDEX('CARNET DE SOUDURE'!$AH$7:$AH$3006,MATCH(64,'CARNET DE SOUDURE'!$AV$7:$AV$3006,0))&lt;&gt;""," / "&amp;INDEX('CARNET DE SOUDURE'!$AH$7:$AH$3006,MATCH(64,'CARNET DE SOUDURE'!$AV$7:$AV$3006,0)),""))</f>
        <v/>
      </c>
      <c r="K75" s="130" t="str">
        <f aca="false">IF($B75="","",INDEX('CARNET DE SOUDURE'!$AD$7:$AD$3006,MATCH(64,'CARNET DE SOUDURE'!$AV$7:$AV$3006,0))&amp;IF(INDEX('CARNET DE SOUDURE'!$AI$7:$AI$3006,MATCH(64,'CARNET DE SOUDURE'!$AV$7:$AV$3006,0))&lt;&gt;""," / "&amp;INDEX('CARNET DE SOUDURE'!$AI$7:$AI$3006,MATCH(64,'CARNET DE SOUDURE'!$AV$7:$AV$3006,0)),""))</f>
        <v/>
      </c>
      <c r="L75" s="130" t="str">
        <f aca="false">IF($B75="","",INDEX('CARNET DE SOUDURE'!$AG$7:$AG$3006,MATCH(64,'CARNET DE SOUDURE'!$AV$7:$AV$3006,0))&amp;IF(INDEX('CARNET DE SOUDURE'!$AL$7:$AL$3006,MATCH(64,'CARNET DE SOUDURE'!$AV$7:$AV$3006,0))&lt;&gt;""," / "&amp;INDEX('CARNET DE SOUDURE'!$AL$7:$AL$3006,MATCH(64,'CARNET DE SOUDURE'!$AV$7:$AV$3006,0)),""))</f>
        <v/>
      </c>
      <c r="M75" s="132" t="str">
        <f aca="false">IF($B75="","",INDEX('CARNET DE SOUDURE'!$AP$7:$AP$3006,MATCH(64,'CARNET DE SOUDURE'!$AV$7:$AV$3006,0)))</f>
        <v>NX</v>
      </c>
      <c r="N75" s="132" t="str">
        <f aca="false">IF($B75="","",INDEX('CARNET DE SOUDURE'!$AQ$7:$AQ$3006,MATCH(64,'CARNET DE SOUDURE'!$AV$7:$AV$3006,0)))</f>
        <v>NX – RT À REFAIRE</v>
      </c>
      <c r="O75" s="133" t="n">
        <f aca="false">IF($B75="","",INDEX('CARNET DE SOUDURE'!$AR$7:$AR$3006,MATCH(64,'CARNET DE SOUDURE'!$AV$7:$AV$3006,0)))</f>
        <v>36</v>
      </c>
    </row>
    <row r="76" customFormat="false" ht="15" hidden="false" customHeight="false" outlineLevel="0" collapsed="false">
      <c r="B76" s="125" t="n">
        <f aca="false">IF(65&gt;$I$4,"",65)</f>
        <v>65</v>
      </c>
      <c r="C76" s="125" t="str">
        <f aca="false">IF($B76="","",INDEX('CARNET DE SOUDURE'!$B$7:$B$3006,MATCH(65,'CARNET DE SOUDURE'!$AV$7:$AV$3006,0)))</f>
        <v>MFD-ISW → MFD-CPF</v>
      </c>
      <c r="D76" s="125" t="str">
        <f aca="false">IF($B76="","",INDEX('CARNET DE SOUDURE'!$E$7:$E$3006,MATCH(65,'CARNET DE SOUDURE'!$AV$7:$AV$3006,0)))</f>
        <v>JN°1895</v>
      </c>
      <c r="E76" s="125" t="str">
        <f aca="false">IF($B76="","",INDEX('CARNET DE SOUDURE'!$R$7:$R$3006,MATCH(65,'CARNET DE SOUDURE'!$AV$7:$AV$3006,0))&amp;IF(INDEX('CARNET DE SOUDURE'!$S$7:$S$3006,MATCH(65,'CARNET DE SOUDURE'!$AV$7:$AV$3006,0))&lt;&gt;""," / "&amp;INDEX('CARNET DE SOUDURE'!$S$7:$S$3006,MATCH(65,'CARNET DE SOUDURE'!$AV$7:$AV$3006,0)),"")&amp;IF(INDEX('CARNET DE SOUDURE'!$T$7:$T$3006,MATCH(65,'CARNET DE SOUDURE'!$AV$7:$AV$3006,0))&lt;&gt;""," / "&amp;INDEX('CARNET DE SOUDURE'!$T$7:$T$3006,MATCH(65,'CARNET DE SOUDURE'!$AV$7:$AV$3006,0)),""))</f>
        <v>WR-32-44/30-36/43-45</v>
      </c>
      <c r="F76" s="126" t="n">
        <f aca="false">IF($B76="","",INDEX('CARNET DE SOUDURE'!$Y$7:$Y$3006,MATCH(65,'CARNET DE SOUDURE'!$AV$7:$AV$3006,0)))</f>
        <v>46289</v>
      </c>
      <c r="G76" s="125" t="str">
        <f aca="false">IF($B76="","",INDEX('CARNET DE SOUDURE'!$Z$7:$Z$3006,MATCH(65,'CARNET DE SOUDURE'!$AV$7:$AV$3006,0))&amp;"")</f>
        <v>L-RT-057</v>
      </c>
      <c r="H76" s="127" t="str">
        <f aca="false">IF($B76="","",INDEX('CARNET DE SOUDURE'!$AA$7:$AA$3006,MATCH(65,'CARNET DE SOUDURE'!$AV$7:$AV$3006,0)))</f>
        <v>R</v>
      </c>
      <c r="I76" s="125" t="str">
        <f aca="false">IF($B76="","",INDEX('CARNET DE SOUDURE'!$AB$7:$AB$3006,MATCH(65,'CARNET DE SOUDURE'!$AV$7:$AV$3006,0))&amp;"")</f>
        <v>(87-105) IU+SL</v>
      </c>
      <c r="J76" s="125" t="str">
        <f aca="false">IF($B76="","",INDEX('CARNET DE SOUDURE'!$AC$7:$AC$3006,MATCH(65,'CARNET DE SOUDURE'!$AV$7:$AV$3006,0))&amp;IF(INDEX('CARNET DE SOUDURE'!$AH$7:$AH$3006,MATCH(65,'CARNET DE SOUDURE'!$AV$7:$AV$3006,0))&lt;&gt;""," / "&amp;INDEX('CARNET DE SOUDURE'!$AH$7:$AH$3006,MATCH(65,'CARNET DE SOUDURE'!$AV$7:$AV$3006,0)),""))</f>
        <v/>
      </c>
      <c r="K76" s="125" t="str">
        <f aca="false">IF($B76="","",INDEX('CARNET DE SOUDURE'!$AD$7:$AD$3006,MATCH(65,'CARNET DE SOUDURE'!$AV$7:$AV$3006,0))&amp;IF(INDEX('CARNET DE SOUDURE'!$AI$7:$AI$3006,MATCH(65,'CARNET DE SOUDURE'!$AV$7:$AV$3006,0))&lt;&gt;""," / "&amp;INDEX('CARNET DE SOUDURE'!$AI$7:$AI$3006,MATCH(65,'CARNET DE SOUDURE'!$AV$7:$AV$3006,0)),""))</f>
        <v/>
      </c>
      <c r="L76" s="125" t="str">
        <f aca="false">IF($B76="","",INDEX('CARNET DE SOUDURE'!$AG$7:$AG$3006,MATCH(65,'CARNET DE SOUDURE'!$AV$7:$AV$3006,0))&amp;IF(INDEX('CARNET DE SOUDURE'!$AL$7:$AL$3006,MATCH(65,'CARNET DE SOUDURE'!$AV$7:$AV$3006,0))&lt;&gt;""," / "&amp;INDEX('CARNET DE SOUDURE'!$AL$7:$AL$3006,MATCH(65,'CARNET DE SOUDURE'!$AV$7:$AV$3006,0)),""))</f>
        <v/>
      </c>
      <c r="M76" s="127" t="str">
        <f aca="false">IF($B76="","",INDEX('CARNET DE SOUDURE'!$AP$7:$AP$3006,MATCH(65,'CARNET DE SOUDURE'!$AV$7:$AV$3006,0)))</f>
        <v>R</v>
      </c>
      <c r="N76" s="127" t="str">
        <f aca="false">IF($B76="","",INDEX('CARNET DE SOUDURE'!$AQ$7:$AQ$3006,MATCH(65,'CARNET DE SOUDURE'!$AV$7:$AV$3006,0)))</f>
        <v>À RÉPARER</v>
      </c>
      <c r="O76" s="128" t="n">
        <f aca="false">IF($B76="","",INDEX('CARNET DE SOUDURE'!$AR$7:$AR$3006,MATCH(65,'CARNET DE SOUDURE'!$AV$7:$AV$3006,0)))</f>
        <v>36</v>
      </c>
    </row>
    <row r="77" customFormat="false" ht="15" hidden="false" customHeight="false" outlineLevel="0" collapsed="false">
      <c r="B77" s="130" t="n">
        <f aca="false">IF(66&gt;$I$4,"",66)</f>
        <v>66</v>
      </c>
      <c r="C77" s="130" t="str">
        <f aca="false">IF($B77="","",INDEX('CARNET DE SOUDURE'!$B$7:$B$3006,MATCH(66,'CARNET DE SOUDURE'!$AV$7:$AV$3006,0)))</f>
        <v>MFD-ISW → MFD-CPF</v>
      </c>
      <c r="D77" s="130" t="str">
        <f aca="false">IF($B77="","",INDEX('CARNET DE SOUDURE'!$E$7:$E$3006,MATCH(66,'CARNET DE SOUDURE'!$AV$7:$AV$3006,0)))</f>
        <v>JN°1896</v>
      </c>
      <c r="E77" s="130" t="str">
        <f aca="false">IF($B77="","",INDEX('CARNET DE SOUDURE'!$R$7:$R$3006,MATCH(66,'CARNET DE SOUDURE'!$AV$7:$AV$3006,0))&amp;IF(INDEX('CARNET DE SOUDURE'!$S$7:$S$3006,MATCH(66,'CARNET DE SOUDURE'!$AV$7:$AV$3006,0))&lt;&gt;""," / "&amp;INDEX('CARNET DE SOUDURE'!$S$7:$S$3006,MATCH(66,'CARNET DE SOUDURE'!$AV$7:$AV$3006,0)),"")&amp;IF(INDEX('CARNET DE SOUDURE'!$T$7:$T$3006,MATCH(66,'CARNET DE SOUDURE'!$AV$7:$AV$3006,0))&lt;&gt;""," / "&amp;INDEX('CARNET DE SOUDURE'!$T$7:$T$3006,MATCH(66,'CARNET DE SOUDURE'!$AV$7:$AV$3006,0)),""))</f>
        <v>WR-32-44/30-36/43-45</v>
      </c>
      <c r="F77" s="131" t="n">
        <f aca="false">IF($B77="","",INDEX('CARNET DE SOUDURE'!$Y$7:$Y$3006,MATCH(66,'CARNET DE SOUDURE'!$AV$7:$AV$3006,0)))</f>
        <v>46289</v>
      </c>
      <c r="G77" s="130" t="str">
        <f aca="false">IF($B77="","",INDEX('CARNET DE SOUDURE'!$Z$7:$Z$3006,MATCH(66,'CARNET DE SOUDURE'!$AV$7:$AV$3006,0))&amp;"")</f>
        <v>L-RT-057</v>
      </c>
      <c r="H77" s="132" t="str">
        <f aca="false">IF($B77="","",INDEX('CARNET DE SOUDURE'!$AA$7:$AA$3006,MATCH(66,'CARNET DE SOUDURE'!$AV$7:$AV$3006,0)))</f>
        <v>R</v>
      </c>
      <c r="I77" s="130" t="str">
        <f aca="false">IF($B77="","",INDEX('CARNET DE SOUDURE'!$AB$7:$AB$3006,MATCH(66,'CARNET DE SOUDURE'!$AV$7:$AV$3006,0))&amp;"")</f>
        <v>(59-62) IC</v>
      </c>
      <c r="J77" s="130" t="str">
        <f aca="false">IF($B77="","",INDEX('CARNET DE SOUDURE'!$AC$7:$AC$3006,MATCH(66,'CARNET DE SOUDURE'!$AV$7:$AV$3006,0))&amp;IF(INDEX('CARNET DE SOUDURE'!$AH$7:$AH$3006,MATCH(66,'CARNET DE SOUDURE'!$AV$7:$AV$3006,0))&lt;&gt;""," / "&amp;INDEX('CARNET DE SOUDURE'!$AH$7:$AH$3006,MATCH(66,'CARNET DE SOUDURE'!$AV$7:$AV$3006,0)),""))</f>
        <v/>
      </c>
      <c r="K77" s="130" t="str">
        <f aca="false">IF($B77="","",INDEX('CARNET DE SOUDURE'!$AD$7:$AD$3006,MATCH(66,'CARNET DE SOUDURE'!$AV$7:$AV$3006,0))&amp;IF(INDEX('CARNET DE SOUDURE'!$AI$7:$AI$3006,MATCH(66,'CARNET DE SOUDURE'!$AV$7:$AV$3006,0))&lt;&gt;""," / "&amp;INDEX('CARNET DE SOUDURE'!$AI$7:$AI$3006,MATCH(66,'CARNET DE SOUDURE'!$AV$7:$AV$3006,0)),""))</f>
        <v/>
      </c>
      <c r="L77" s="130" t="str">
        <f aca="false">IF($B77="","",INDEX('CARNET DE SOUDURE'!$AG$7:$AG$3006,MATCH(66,'CARNET DE SOUDURE'!$AV$7:$AV$3006,0))&amp;IF(INDEX('CARNET DE SOUDURE'!$AL$7:$AL$3006,MATCH(66,'CARNET DE SOUDURE'!$AV$7:$AV$3006,0))&lt;&gt;""," / "&amp;INDEX('CARNET DE SOUDURE'!$AL$7:$AL$3006,MATCH(66,'CARNET DE SOUDURE'!$AV$7:$AV$3006,0)),""))</f>
        <v/>
      </c>
      <c r="M77" s="132" t="str">
        <f aca="false">IF($B77="","",INDEX('CARNET DE SOUDURE'!$AP$7:$AP$3006,MATCH(66,'CARNET DE SOUDURE'!$AV$7:$AV$3006,0)))</f>
        <v>R</v>
      </c>
      <c r="N77" s="132" t="str">
        <f aca="false">IF($B77="","",INDEX('CARNET DE SOUDURE'!$AQ$7:$AQ$3006,MATCH(66,'CARNET DE SOUDURE'!$AV$7:$AV$3006,0)))</f>
        <v>À RÉPARER</v>
      </c>
      <c r="O77" s="133" t="n">
        <f aca="false">IF($B77="","",INDEX('CARNET DE SOUDURE'!$AR$7:$AR$3006,MATCH(66,'CARNET DE SOUDURE'!$AV$7:$AV$3006,0)))</f>
        <v>36</v>
      </c>
    </row>
    <row r="78" customFormat="false" ht="15" hidden="false" customHeight="false" outlineLevel="0" collapsed="false">
      <c r="B78" s="125" t="str">
        <f aca="false">IF(67&gt;$I$4,"",67)</f>
        <v/>
      </c>
      <c r="C78" s="125" t="str">
        <f aca="false">IF($B78="","",INDEX('CARNET DE SOUDURE'!$B$7:$B$3006,MATCH(67,'CARNET DE SOUDURE'!$AV$7:$AV$3006,0)))</f>
        <v/>
      </c>
      <c r="D78" s="125" t="str">
        <f aca="false">IF($B78="","",INDEX('CARNET DE SOUDURE'!$E$7:$E$3006,MATCH(67,'CARNET DE SOUDURE'!$AV$7:$AV$3006,0)))</f>
        <v/>
      </c>
      <c r="E78" s="125" t="str">
        <f aca="false">IF($B78="","",INDEX('CARNET DE SOUDURE'!$R$7:$R$3006,MATCH(67,'CARNET DE SOUDURE'!$AV$7:$AV$3006,0))&amp;IF(INDEX('CARNET DE SOUDURE'!$S$7:$S$3006,MATCH(67,'CARNET DE SOUDURE'!$AV$7:$AV$3006,0))&lt;&gt;""," / "&amp;INDEX('CARNET DE SOUDURE'!$S$7:$S$3006,MATCH(67,'CARNET DE SOUDURE'!$AV$7:$AV$3006,0)),"")&amp;IF(INDEX('CARNET DE SOUDURE'!$T$7:$T$3006,MATCH(67,'CARNET DE SOUDURE'!$AV$7:$AV$3006,0))&lt;&gt;""," / "&amp;INDEX('CARNET DE SOUDURE'!$T$7:$T$3006,MATCH(67,'CARNET DE SOUDURE'!$AV$7:$AV$3006,0)),""))</f>
        <v/>
      </c>
      <c r="F78" s="126" t="str">
        <f aca="false">IF($B78="","",INDEX('CARNET DE SOUDURE'!$Y$7:$Y$3006,MATCH(67,'CARNET DE SOUDURE'!$AV$7:$AV$3006,0)))</f>
        <v/>
      </c>
      <c r="G78" s="125" t="str">
        <f aca="false">IF($B78="","",INDEX('CARNET DE SOUDURE'!$Z$7:$Z$3006,MATCH(67,'CARNET DE SOUDURE'!$AV$7:$AV$3006,0))&amp;"")</f>
        <v/>
      </c>
      <c r="H78" s="127" t="str">
        <f aca="false">IF($B78="","",INDEX('CARNET DE SOUDURE'!$AA$7:$AA$3006,MATCH(67,'CARNET DE SOUDURE'!$AV$7:$AV$3006,0)))</f>
        <v/>
      </c>
      <c r="I78" s="125" t="str">
        <f aca="false">IF($B78="","",INDEX('CARNET DE SOUDURE'!$AB$7:$AB$3006,MATCH(67,'CARNET DE SOUDURE'!$AV$7:$AV$3006,0))&amp;"")</f>
        <v/>
      </c>
      <c r="J78" s="125" t="str">
        <f aca="false">IF($B78="","",INDEX('CARNET DE SOUDURE'!$AC$7:$AC$3006,MATCH(67,'CARNET DE SOUDURE'!$AV$7:$AV$3006,0))&amp;IF(INDEX('CARNET DE SOUDURE'!$AH$7:$AH$3006,MATCH(67,'CARNET DE SOUDURE'!$AV$7:$AV$3006,0))&lt;&gt;""," / "&amp;INDEX('CARNET DE SOUDURE'!$AH$7:$AH$3006,MATCH(67,'CARNET DE SOUDURE'!$AV$7:$AV$3006,0)),""))</f>
        <v/>
      </c>
      <c r="K78" s="125" t="str">
        <f aca="false">IF($B78="","",INDEX('CARNET DE SOUDURE'!$AD$7:$AD$3006,MATCH(67,'CARNET DE SOUDURE'!$AV$7:$AV$3006,0))&amp;IF(INDEX('CARNET DE SOUDURE'!$AI$7:$AI$3006,MATCH(67,'CARNET DE SOUDURE'!$AV$7:$AV$3006,0))&lt;&gt;""," / "&amp;INDEX('CARNET DE SOUDURE'!$AI$7:$AI$3006,MATCH(67,'CARNET DE SOUDURE'!$AV$7:$AV$3006,0)),""))</f>
        <v/>
      </c>
      <c r="L78" s="125" t="str">
        <f aca="false">IF($B78="","",INDEX('CARNET DE SOUDURE'!$AG$7:$AG$3006,MATCH(67,'CARNET DE SOUDURE'!$AV$7:$AV$3006,0))&amp;IF(INDEX('CARNET DE SOUDURE'!$AL$7:$AL$3006,MATCH(67,'CARNET DE SOUDURE'!$AV$7:$AV$3006,0))&lt;&gt;""," / "&amp;INDEX('CARNET DE SOUDURE'!$AL$7:$AL$3006,MATCH(67,'CARNET DE SOUDURE'!$AV$7:$AV$3006,0)),""))</f>
        <v/>
      </c>
      <c r="M78" s="127" t="str">
        <f aca="false">IF($B78="","",INDEX('CARNET DE SOUDURE'!$AP$7:$AP$3006,MATCH(67,'CARNET DE SOUDURE'!$AV$7:$AV$3006,0)))</f>
        <v/>
      </c>
      <c r="N78" s="127" t="str">
        <f aca="false">IF($B78="","",INDEX('CARNET DE SOUDURE'!$AQ$7:$AQ$3006,MATCH(67,'CARNET DE SOUDURE'!$AV$7:$AV$3006,0)))</f>
        <v/>
      </c>
      <c r="O78" s="128" t="str">
        <f aca="false">IF($B78="","",INDEX('CARNET DE SOUDURE'!$AR$7:$AR$3006,MATCH(67,'CARNET DE SOUDURE'!$AV$7:$AV$3006,0)))</f>
        <v/>
      </c>
    </row>
    <row r="79" customFormat="false" ht="15" hidden="false" customHeight="false" outlineLevel="0" collapsed="false">
      <c r="B79" s="130" t="str">
        <f aca="false">IF(68&gt;$I$4,"",68)</f>
        <v/>
      </c>
      <c r="C79" s="130" t="str">
        <f aca="false">IF($B79="","",INDEX('CARNET DE SOUDURE'!$B$7:$B$3006,MATCH(68,'CARNET DE SOUDURE'!$AV$7:$AV$3006,0)))</f>
        <v/>
      </c>
      <c r="D79" s="130" t="str">
        <f aca="false">IF($B79="","",INDEX('CARNET DE SOUDURE'!$E$7:$E$3006,MATCH(68,'CARNET DE SOUDURE'!$AV$7:$AV$3006,0)))</f>
        <v/>
      </c>
      <c r="E79" s="130" t="str">
        <f aca="false">IF($B79="","",INDEX('CARNET DE SOUDURE'!$R$7:$R$3006,MATCH(68,'CARNET DE SOUDURE'!$AV$7:$AV$3006,0))&amp;IF(INDEX('CARNET DE SOUDURE'!$S$7:$S$3006,MATCH(68,'CARNET DE SOUDURE'!$AV$7:$AV$3006,0))&lt;&gt;""," / "&amp;INDEX('CARNET DE SOUDURE'!$S$7:$S$3006,MATCH(68,'CARNET DE SOUDURE'!$AV$7:$AV$3006,0)),"")&amp;IF(INDEX('CARNET DE SOUDURE'!$T$7:$T$3006,MATCH(68,'CARNET DE SOUDURE'!$AV$7:$AV$3006,0))&lt;&gt;""," / "&amp;INDEX('CARNET DE SOUDURE'!$T$7:$T$3006,MATCH(68,'CARNET DE SOUDURE'!$AV$7:$AV$3006,0)),""))</f>
        <v/>
      </c>
      <c r="F79" s="131" t="str">
        <f aca="false">IF($B79="","",INDEX('CARNET DE SOUDURE'!$Y$7:$Y$3006,MATCH(68,'CARNET DE SOUDURE'!$AV$7:$AV$3006,0)))</f>
        <v/>
      </c>
      <c r="G79" s="130" t="str">
        <f aca="false">IF($B79="","",INDEX('CARNET DE SOUDURE'!$Z$7:$Z$3006,MATCH(68,'CARNET DE SOUDURE'!$AV$7:$AV$3006,0))&amp;"")</f>
        <v/>
      </c>
      <c r="H79" s="132" t="str">
        <f aca="false">IF($B79="","",INDEX('CARNET DE SOUDURE'!$AA$7:$AA$3006,MATCH(68,'CARNET DE SOUDURE'!$AV$7:$AV$3006,0)))</f>
        <v/>
      </c>
      <c r="I79" s="130" t="str">
        <f aca="false">IF($B79="","",INDEX('CARNET DE SOUDURE'!$AB$7:$AB$3006,MATCH(68,'CARNET DE SOUDURE'!$AV$7:$AV$3006,0))&amp;"")</f>
        <v/>
      </c>
      <c r="J79" s="130" t="str">
        <f aca="false">IF($B79="","",INDEX('CARNET DE SOUDURE'!$AC$7:$AC$3006,MATCH(68,'CARNET DE SOUDURE'!$AV$7:$AV$3006,0))&amp;IF(INDEX('CARNET DE SOUDURE'!$AH$7:$AH$3006,MATCH(68,'CARNET DE SOUDURE'!$AV$7:$AV$3006,0))&lt;&gt;""," / "&amp;INDEX('CARNET DE SOUDURE'!$AH$7:$AH$3006,MATCH(68,'CARNET DE SOUDURE'!$AV$7:$AV$3006,0)),""))</f>
        <v/>
      </c>
      <c r="K79" s="130" t="str">
        <f aca="false">IF($B79="","",INDEX('CARNET DE SOUDURE'!$AD$7:$AD$3006,MATCH(68,'CARNET DE SOUDURE'!$AV$7:$AV$3006,0))&amp;IF(INDEX('CARNET DE SOUDURE'!$AI$7:$AI$3006,MATCH(68,'CARNET DE SOUDURE'!$AV$7:$AV$3006,0))&lt;&gt;""," / "&amp;INDEX('CARNET DE SOUDURE'!$AI$7:$AI$3006,MATCH(68,'CARNET DE SOUDURE'!$AV$7:$AV$3006,0)),""))</f>
        <v/>
      </c>
      <c r="L79" s="130" t="str">
        <f aca="false">IF($B79="","",INDEX('CARNET DE SOUDURE'!$AG$7:$AG$3006,MATCH(68,'CARNET DE SOUDURE'!$AV$7:$AV$3006,0))&amp;IF(INDEX('CARNET DE SOUDURE'!$AL$7:$AL$3006,MATCH(68,'CARNET DE SOUDURE'!$AV$7:$AV$3006,0))&lt;&gt;""," / "&amp;INDEX('CARNET DE SOUDURE'!$AL$7:$AL$3006,MATCH(68,'CARNET DE SOUDURE'!$AV$7:$AV$3006,0)),""))</f>
        <v/>
      </c>
      <c r="M79" s="132" t="str">
        <f aca="false">IF($B79="","",INDEX('CARNET DE SOUDURE'!$AP$7:$AP$3006,MATCH(68,'CARNET DE SOUDURE'!$AV$7:$AV$3006,0)))</f>
        <v/>
      </c>
      <c r="N79" s="132" t="str">
        <f aca="false">IF($B79="","",INDEX('CARNET DE SOUDURE'!$AQ$7:$AQ$3006,MATCH(68,'CARNET DE SOUDURE'!$AV$7:$AV$3006,0)))</f>
        <v/>
      </c>
      <c r="O79" s="133" t="str">
        <f aca="false">IF($B79="","",INDEX('CARNET DE SOUDURE'!$AR$7:$AR$3006,MATCH(68,'CARNET DE SOUDURE'!$AV$7:$AV$3006,0)))</f>
        <v/>
      </c>
    </row>
    <row r="80" customFormat="false" ht="15" hidden="false" customHeight="false" outlineLevel="0" collapsed="false">
      <c r="B80" s="125" t="str">
        <f aca="false">IF(69&gt;$I$4,"",69)</f>
        <v/>
      </c>
      <c r="C80" s="125" t="str">
        <f aca="false">IF($B80="","",INDEX('CARNET DE SOUDURE'!$B$7:$B$3006,MATCH(69,'CARNET DE SOUDURE'!$AV$7:$AV$3006,0)))</f>
        <v/>
      </c>
      <c r="D80" s="125" t="str">
        <f aca="false">IF($B80="","",INDEX('CARNET DE SOUDURE'!$E$7:$E$3006,MATCH(69,'CARNET DE SOUDURE'!$AV$7:$AV$3006,0)))</f>
        <v/>
      </c>
      <c r="E80" s="125" t="str">
        <f aca="false">IF($B80="","",INDEX('CARNET DE SOUDURE'!$R$7:$R$3006,MATCH(69,'CARNET DE SOUDURE'!$AV$7:$AV$3006,0))&amp;IF(INDEX('CARNET DE SOUDURE'!$S$7:$S$3006,MATCH(69,'CARNET DE SOUDURE'!$AV$7:$AV$3006,0))&lt;&gt;""," / "&amp;INDEX('CARNET DE SOUDURE'!$S$7:$S$3006,MATCH(69,'CARNET DE SOUDURE'!$AV$7:$AV$3006,0)),"")&amp;IF(INDEX('CARNET DE SOUDURE'!$T$7:$T$3006,MATCH(69,'CARNET DE SOUDURE'!$AV$7:$AV$3006,0))&lt;&gt;""," / "&amp;INDEX('CARNET DE SOUDURE'!$T$7:$T$3006,MATCH(69,'CARNET DE SOUDURE'!$AV$7:$AV$3006,0)),""))</f>
        <v/>
      </c>
      <c r="F80" s="126" t="str">
        <f aca="false">IF($B80="","",INDEX('CARNET DE SOUDURE'!$Y$7:$Y$3006,MATCH(69,'CARNET DE SOUDURE'!$AV$7:$AV$3006,0)))</f>
        <v/>
      </c>
      <c r="G80" s="125" t="str">
        <f aca="false">IF($B80="","",INDEX('CARNET DE SOUDURE'!$Z$7:$Z$3006,MATCH(69,'CARNET DE SOUDURE'!$AV$7:$AV$3006,0))&amp;"")</f>
        <v/>
      </c>
      <c r="H80" s="127" t="str">
        <f aca="false">IF($B80="","",INDEX('CARNET DE SOUDURE'!$AA$7:$AA$3006,MATCH(69,'CARNET DE SOUDURE'!$AV$7:$AV$3006,0)))</f>
        <v/>
      </c>
      <c r="I80" s="125" t="str">
        <f aca="false">IF($B80="","",INDEX('CARNET DE SOUDURE'!$AB$7:$AB$3006,MATCH(69,'CARNET DE SOUDURE'!$AV$7:$AV$3006,0))&amp;"")</f>
        <v/>
      </c>
      <c r="J80" s="125" t="str">
        <f aca="false">IF($B80="","",INDEX('CARNET DE SOUDURE'!$AC$7:$AC$3006,MATCH(69,'CARNET DE SOUDURE'!$AV$7:$AV$3006,0))&amp;IF(INDEX('CARNET DE SOUDURE'!$AH$7:$AH$3006,MATCH(69,'CARNET DE SOUDURE'!$AV$7:$AV$3006,0))&lt;&gt;""," / "&amp;INDEX('CARNET DE SOUDURE'!$AH$7:$AH$3006,MATCH(69,'CARNET DE SOUDURE'!$AV$7:$AV$3006,0)),""))</f>
        <v/>
      </c>
      <c r="K80" s="125" t="str">
        <f aca="false">IF($B80="","",INDEX('CARNET DE SOUDURE'!$AD$7:$AD$3006,MATCH(69,'CARNET DE SOUDURE'!$AV$7:$AV$3006,0))&amp;IF(INDEX('CARNET DE SOUDURE'!$AI$7:$AI$3006,MATCH(69,'CARNET DE SOUDURE'!$AV$7:$AV$3006,0))&lt;&gt;""," / "&amp;INDEX('CARNET DE SOUDURE'!$AI$7:$AI$3006,MATCH(69,'CARNET DE SOUDURE'!$AV$7:$AV$3006,0)),""))</f>
        <v/>
      </c>
      <c r="L80" s="125" t="str">
        <f aca="false">IF($B80="","",INDEX('CARNET DE SOUDURE'!$AG$7:$AG$3006,MATCH(69,'CARNET DE SOUDURE'!$AV$7:$AV$3006,0))&amp;IF(INDEX('CARNET DE SOUDURE'!$AL$7:$AL$3006,MATCH(69,'CARNET DE SOUDURE'!$AV$7:$AV$3006,0))&lt;&gt;""," / "&amp;INDEX('CARNET DE SOUDURE'!$AL$7:$AL$3006,MATCH(69,'CARNET DE SOUDURE'!$AV$7:$AV$3006,0)),""))</f>
        <v/>
      </c>
      <c r="M80" s="127" t="str">
        <f aca="false">IF($B80="","",INDEX('CARNET DE SOUDURE'!$AP$7:$AP$3006,MATCH(69,'CARNET DE SOUDURE'!$AV$7:$AV$3006,0)))</f>
        <v/>
      </c>
      <c r="N80" s="127" t="str">
        <f aca="false">IF($B80="","",INDEX('CARNET DE SOUDURE'!$AQ$7:$AQ$3006,MATCH(69,'CARNET DE SOUDURE'!$AV$7:$AV$3006,0)))</f>
        <v/>
      </c>
      <c r="O80" s="128" t="str">
        <f aca="false">IF($B80="","",INDEX('CARNET DE SOUDURE'!$AR$7:$AR$3006,MATCH(69,'CARNET DE SOUDURE'!$AV$7:$AV$3006,0)))</f>
        <v/>
      </c>
    </row>
    <row r="81" customFormat="false" ht="15" hidden="false" customHeight="false" outlineLevel="0" collapsed="false">
      <c r="B81" s="130" t="str">
        <f aca="false">IF(70&gt;$I$4,"",70)</f>
        <v/>
      </c>
      <c r="C81" s="130" t="str">
        <f aca="false">IF($B81="","",INDEX('CARNET DE SOUDURE'!$B$7:$B$3006,MATCH(70,'CARNET DE SOUDURE'!$AV$7:$AV$3006,0)))</f>
        <v/>
      </c>
      <c r="D81" s="130" t="str">
        <f aca="false">IF($B81="","",INDEX('CARNET DE SOUDURE'!$E$7:$E$3006,MATCH(70,'CARNET DE SOUDURE'!$AV$7:$AV$3006,0)))</f>
        <v/>
      </c>
      <c r="E81" s="130" t="str">
        <f aca="false">IF($B81="","",INDEX('CARNET DE SOUDURE'!$R$7:$R$3006,MATCH(70,'CARNET DE SOUDURE'!$AV$7:$AV$3006,0))&amp;IF(INDEX('CARNET DE SOUDURE'!$S$7:$S$3006,MATCH(70,'CARNET DE SOUDURE'!$AV$7:$AV$3006,0))&lt;&gt;""," / "&amp;INDEX('CARNET DE SOUDURE'!$S$7:$S$3006,MATCH(70,'CARNET DE SOUDURE'!$AV$7:$AV$3006,0)),"")&amp;IF(INDEX('CARNET DE SOUDURE'!$T$7:$T$3006,MATCH(70,'CARNET DE SOUDURE'!$AV$7:$AV$3006,0))&lt;&gt;""," / "&amp;INDEX('CARNET DE SOUDURE'!$T$7:$T$3006,MATCH(70,'CARNET DE SOUDURE'!$AV$7:$AV$3006,0)),""))</f>
        <v/>
      </c>
      <c r="F81" s="131" t="str">
        <f aca="false">IF($B81="","",INDEX('CARNET DE SOUDURE'!$Y$7:$Y$3006,MATCH(70,'CARNET DE SOUDURE'!$AV$7:$AV$3006,0)))</f>
        <v/>
      </c>
      <c r="G81" s="130" t="str">
        <f aca="false">IF($B81="","",INDEX('CARNET DE SOUDURE'!$Z$7:$Z$3006,MATCH(70,'CARNET DE SOUDURE'!$AV$7:$AV$3006,0))&amp;"")</f>
        <v/>
      </c>
      <c r="H81" s="132" t="str">
        <f aca="false">IF($B81="","",INDEX('CARNET DE SOUDURE'!$AA$7:$AA$3006,MATCH(70,'CARNET DE SOUDURE'!$AV$7:$AV$3006,0)))</f>
        <v/>
      </c>
      <c r="I81" s="130" t="str">
        <f aca="false">IF($B81="","",INDEX('CARNET DE SOUDURE'!$AB$7:$AB$3006,MATCH(70,'CARNET DE SOUDURE'!$AV$7:$AV$3006,0))&amp;"")</f>
        <v/>
      </c>
      <c r="J81" s="130" t="str">
        <f aca="false">IF($B81="","",INDEX('CARNET DE SOUDURE'!$AC$7:$AC$3006,MATCH(70,'CARNET DE SOUDURE'!$AV$7:$AV$3006,0))&amp;IF(INDEX('CARNET DE SOUDURE'!$AH$7:$AH$3006,MATCH(70,'CARNET DE SOUDURE'!$AV$7:$AV$3006,0))&lt;&gt;""," / "&amp;INDEX('CARNET DE SOUDURE'!$AH$7:$AH$3006,MATCH(70,'CARNET DE SOUDURE'!$AV$7:$AV$3006,0)),""))</f>
        <v/>
      </c>
      <c r="K81" s="130" t="str">
        <f aca="false">IF($B81="","",INDEX('CARNET DE SOUDURE'!$AD$7:$AD$3006,MATCH(70,'CARNET DE SOUDURE'!$AV$7:$AV$3006,0))&amp;IF(INDEX('CARNET DE SOUDURE'!$AI$7:$AI$3006,MATCH(70,'CARNET DE SOUDURE'!$AV$7:$AV$3006,0))&lt;&gt;""," / "&amp;INDEX('CARNET DE SOUDURE'!$AI$7:$AI$3006,MATCH(70,'CARNET DE SOUDURE'!$AV$7:$AV$3006,0)),""))</f>
        <v/>
      </c>
      <c r="L81" s="130" t="str">
        <f aca="false">IF($B81="","",INDEX('CARNET DE SOUDURE'!$AG$7:$AG$3006,MATCH(70,'CARNET DE SOUDURE'!$AV$7:$AV$3006,0))&amp;IF(INDEX('CARNET DE SOUDURE'!$AL$7:$AL$3006,MATCH(70,'CARNET DE SOUDURE'!$AV$7:$AV$3006,0))&lt;&gt;""," / "&amp;INDEX('CARNET DE SOUDURE'!$AL$7:$AL$3006,MATCH(70,'CARNET DE SOUDURE'!$AV$7:$AV$3006,0)),""))</f>
        <v/>
      </c>
      <c r="M81" s="132" t="str">
        <f aca="false">IF($B81="","",INDEX('CARNET DE SOUDURE'!$AP$7:$AP$3006,MATCH(70,'CARNET DE SOUDURE'!$AV$7:$AV$3006,0)))</f>
        <v/>
      </c>
      <c r="N81" s="132" t="str">
        <f aca="false">IF($B81="","",INDEX('CARNET DE SOUDURE'!$AQ$7:$AQ$3006,MATCH(70,'CARNET DE SOUDURE'!$AV$7:$AV$3006,0)))</f>
        <v/>
      </c>
      <c r="O81" s="133" t="str">
        <f aca="false">IF($B81="","",INDEX('CARNET DE SOUDURE'!$AR$7:$AR$3006,MATCH(70,'CARNET DE SOUDURE'!$AV$7:$AV$3006,0)))</f>
        <v/>
      </c>
    </row>
    <row r="82" customFormat="false" ht="15" hidden="false" customHeight="false" outlineLevel="0" collapsed="false">
      <c r="B82" s="125" t="str">
        <f aca="false">IF(71&gt;$I$4,"",71)</f>
        <v/>
      </c>
      <c r="C82" s="125" t="str">
        <f aca="false">IF($B82="","",INDEX('CARNET DE SOUDURE'!$B$7:$B$3006,MATCH(71,'CARNET DE SOUDURE'!$AV$7:$AV$3006,0)))</f>
        <v/>
      </c>
      <c r="D82" s="125" t="str">
        <f aca="false">IF($B82="","",INDEX('CARNET DE SOUDURE'!$E$7:$E$3006,MATCH(71,'CARNET DE SOUDURE'!$AV$7:$AV$3006,0)))</f>
        <v/>
      </c>
      <c r="E82" s="125" t="str">
        <f aca="false">IF($B82="","",INDEX('CARNET DE SOUDURE'!$R$7:$R$3006,MATCH(71,'CARNET DE SOUDURE'!$AV$7:$AV$3006,0))&amp;IF(INDEX('CARNET DE SOUDURE'!$S$7:$S$3006,MATCH(71,'CARNET DE SOUDURE'!$AV$7:$AV$3006,0))&lt;&gt;""," / "&amp;INDEX('CARNET DE SOUDURE'!$S$7:$S$3006,MATCH(71,'CARNET DE SOUDURE'!$AV$7:$AV$3006,0)),"")&amp;IF(INDEX('CARNET DE SOUDURE'!$T$7:$T$3006,MATCH(71,'CARNET DE SOUDURE'!$AV$7:$AV$3006,0))&lt;&gt;""," / "&amp;INDEX('CARNET DE SOUDURE'!$T$7:$T$3006,MATCH(71,'CARNET DE SOUDURE'!$AV$7:$AV$3006,0)),""))</f>
        <v/>
      </c>
      <c r="F82" s="126" t="str">
        <f aca="false">IF($B82="","",INDEX('CARNET DE SOUDURE'!$Y$7:$Y$3006,MATCH(71,'CARNET DE SOUDURE'!$AV$7:$AV$3006,0)))</f>
        <v/>
      </c>
      <c r="G82" s="125" t="str">
        <f aca="false">IF($B82="","",INDEX('CARNET DE SOUDURE'!$Z$7:$Z$3006,MATCH(71,'CARNET DE SOUDURE'!$AV$7:$AV$3006,0))&amp;"")</f>
        <v/>
      </c>
      <c r="H82" s="127" t="str">
        <f aca="false">IF($B82="","",INDEX('CARNET DE SOUDURE'!$AA$7:$AA$3006,MATCH(71,'CARNET DE SOUDURE'!$AV$7:$AV$3006,0)))</f>
        <v/>
      </c>
      <c r="I82" s="125" t="str">
        <f aca="false">IF($B82="","",INDEX('CARNET DE SOUDURE'!$AB$7:$AB$3006,MATCH(71,'CARNET DE SOUDURE'!$AV$7:$AV$3006,0))&amp;"")</f>
        <v/>
      </c>
      <c r="J82" s="125" t="str">
        <f aca="false">IF($B82="","",INDEX('CARNET DE SOUDURE'!$AC$7:$AC$3006,MATCH(71,'CARNET DE SOUDURE'!$AV$7:$AV$3006,0))&amp;IF(INDEX('CARNET DE SOUDURE'!$AH$7:$AH$3006,MATCH(71,'CARNET DE SOUDURE'!$AV$7:$AV$3006,0))&lt;&gt;""," / "&amp;INDEX('CARNET DE SOUDURE'!$AH$7:$AH$3006,MATCH(71,'CARNET DE SOUDURE'!$AV$7:$AV$3006,0)),""))</f>
        <v/>
      </c>
      <c r="K82" s="125" t="str">
        <f aca="false">IF($B82="","",INDEX('CARNET DE SOUDURE'!$AD$7:$AD$3006,MATCH(71,'CARNET DE SOUDURE'!$AV$7:$AV$3006,0))&amp;IF(INDEX('CARNET DE SOUDURE'!$AI$7:$AI$3006,MATCH(71,'CARNET DE SOUDURE'!$AV$7:$AV$3006,0))&lt;&gt;""," / "&amp;INDEX('CARNET DE SOUDURE'!$AI$7:$AI$3006,MATCH(71,'CARNET DE SOUDURE'!$AV$7:$AV$3006,0)),""))</f>
        <v/>
      </c>
      <c r="L82" s="125" t="str">
        <f aca="false">IF($B82="","",INDEX('CARNET DE SOUDURE'!$AG$7:$AG$3006,MATCH(71,'CARNET DE SOUDURE'!$AV$7:$AV$3006,0))&amp;IF(INDEX('CARNET DE SOUDURE'!$AL$7:$AL$3006,MATCH(71,'CARNET DE SOUDURE'!$AV$7:$AV$3006,0))&lt;&gt;""," / "&amp;INDEX('CARNET DE SOUDURE'!$AL$7:$AL$3006,MATCH(71,'CARNET DE SOUDURE'!$AV$7:$AV$3006,0)),""))</f>
        <v/>
      </c>
      <c r="M82" s="127" t="str">
        <f aca="false">IF($B82="","",INDEX('CARNET DE SOUDURE'!$AP$7:$AP$3006,MATCH(71,'CARNET DE SOUDURE'!$AV$7:$AV$3006,0)))</f>
        <v/>
      </c>
      <c r="N82" s="127" t="str">
        <f aca="false">IF($B82="","",INDEX('CARNET DE SOUDURE'!$AQ$7:$AQ$3006,MATCH(71,'CARNET DE SOUDURE'!$AV$7:$AV$3006,0)))</f>
        <v/>
      </c>
      <c r="O82" s="128" t="str">
        <f aca="false">IF($B82="","",INDEX('CARNET DE SOUDURE'!$AR$7:$AR$3006,MATCH(71,'CARNET DE SOUDURE'!$AV$7:$AV$3006,0)))</f>
        <v/>
      </c>
    </row>
    <row r="83" customFormat="false" ht="15" hidden="false" customHeight="false" outlineLevel="0" collapsed="false">
      <c r="B83" s="130" t="str">
        <f aca="false">IF(72&gt;$I$4,"",72)</f>
        <v/>
      </c>
      <c r="C83" s="130" t="str">
        <f aca="false">IF($B83="","",INDEX('CARNET DE SOUDURE'!$B$7:$B$3006,MATCH(72,'CARNET DE SOUDURE'!$AV$7:$AV$3006,0)))</f>
        <v/>
      </c>
      <c r="D83" s="130" t="str">
        <f aca="false">IF($B83="","",INDEX('CARNET DE SOUDURE'!$E$7:$E$3006,MATCH(72,'CARNET DE SOUDURE'!$AV$7:$AV$3006,0)))</f>
        <v/>
      </c>
      <c r="E83" s="130" t="str">
        <f aca="false">IF($B83="","",INDEX('CARNET DE SOUDURE'!$R$7:$R$3006,MATCH(72,'CARNET DE SOUDURE'!$AV$7:$AV$3006,0))&amp;IF(INDEX('CARNET DE SOUDURE'!$S$7:$S$3006,MATCH(72,'CARNET DE SOUDURE'!$AV$7:$AV$3006,0))&lt;&gt;""," / "&amp;INDEX('CARNET DE SOUDURE'!$S$7:$S$3006,MATCH(72,'CARNET DE SOUDURE'!$AV$7:$AV$3006,0)),"")&amp;IF(INDEX('CARNET DE SOUDURE'!$T$7:$T$3006,MATCH(72,'CARNET DE SOUDURE'!$AV$7:$AV$3006,0))&lt;&gt;""," / "&amp;INDEX('CARNET DE SOUDURE'!$T$7:$T$3006,MATCH(72,'CARNET DE SOUDURE'!$AV$7:$AV$3006,0)),""))</f>
        <v/>
      </c>
      <c r="F83" s="131" t="str">
        <f aca="false">IF($B83="","",INDEX('CARNET DE SOUDURE'!$Y$7:$Y$3006,MATCH(72,'CARNET DE SOUDURE'!$AV$7:$AV$3006,0)))</f>
        <v/>
      </c>
      <c r="G83" s="130" t="str">
        <f aca="false">IF($B83="","",INDEX('CARNET DE SOUDURE'!$Z$7:$Z$3006,MATCH(72,'CARNET DE SOUDURE'!$AV$7:$AV$3006,0))&amp;"")</f>
        <v/>
      </c>
      <c r="H83" s="132" t="str">
        <f aca="false">IF($B83="","",INDEX('CARNET DE SOUDURE'!$AA$7:$AA$3006,MATCH(72,'CARNET DE SOUDURE'!$AV$7:$AV$3006,0)))</f>
        <v/>
      </c>
      <c r="I83" s="130" t="str">
        <f aca="false">IF($B83="","",INDEX('CARNET DE SOUDURE'!$AB$7:$AB$3006,MATCH(72,'CARNET DE SOUDURE'!$AV$7:$AV$3006,0))&amp;"")</f>
        <v/>
      </c>
      <c r="J83" s="130" t="str">
        <f aca="false">IF($B83="","",INDEX('CARNET DE SOUDURE'!$AC$7:$AC$3006,MATCH(72,'CARNET DE SOUDURE'!$AV$7:$AV$3006,0))&amp;IF(INDEX('CARNET DE SOUDURE'!$AH$7:$AH$3006,MATCH(72,'CARNET DE SOUDURE'!$AV$7:$AV$3006,0))&lt;&gt;""," / "&amp;INDEX('CARNET DE SOUDURE'!$AH$7:$AH$3006,MATCH(72,'CARNET DE SOUDURE'!$AV$7:$AV$3006,0)),""))</f>
        <v/>
      </c>
      <c r="K83" s="130" t="str">
        <f aca="false">IF($B83="","",INDEX('CARNET DE SOUDURE'!$AD$7:$AD$3006,MATCH(72,'CARNET DE SOUDURE'!$AV$7:$AV$3006,0))&amp;IF(INDEX('CARNET DE SOUDURE'!$AI$7:$AI$3006,MATCH(72,'CARNET DE SOUDURE'!$AV$7:$AV$3006,0))&lt;&gt;""," / "&amp;INDEX('CARNET DE SOUDURE'!$AI$7:$AI$3006,MATCH(72,'CARNET DE SOUDURE'!$AV$7:$AV$3006,0)),""))</f>
        <v/>
      </c>
      <c r="L83" s="130" t="str">
        <f aca="false">IF($B83="","",INDEX('CARNET DE SOUDURE'!$AG$7:$AG$3006,MATCH(72,'CARNET DE SOUDURE'!$AV$7:$AV$3006,0))&amp;IF(INDEX('CARNET DE SOUDURE'!$AL$7:$AL$3006,MATCH(72,'CARNET DE SOUDURE'!$AV$7:$AV$3006,0))&lt;&gt;""," / "&amp;INDEX('CARNET DE SOUDURE'!$AL$7:$AL$3006,MATCH(72,'CARNET DE SOUDURE'!$AV$7:$AV$3006,0)),""))</f>
        <v/>
      </c>
      <c r="M83" s="132" t="str">
        <f aca="false">IF($B83="","",INDEX('CARNET DE SOUDURE'!$AP$7:$AP$3006,MATCH(72,'CARNET DE SOUDURE'!$AV$7:$AV$3006,0)))</f>
        <v/>
      </c>
      <c r="N83" s="132" t="str">
        <f aca="false">IF($B83="","",INDEX('CARNET DE SOUDURE'!$AQ$7:$AQ$3006,MATCH(72,'CARNET DE SOUDURE'!$AV$7:$AV$3006,0)))</f>
        <v/>
      </c>
      <c r="O83" s="133" t="str">
        <f aca="false">IF($B83="","",INDEX('CARNET DE SOUDURE'!$AR$7:$AR$3006,MATCH(72,'CARNET DE SOUDURE'!$AV$7:$AV$3006,0)))</f>
        <v/>
      </c>
    </row>
    <row r="84" customFormat="false" ht="15" hidden="false" customHeight="false" outlineLevel="0" collapsed="false">
      <c r="B84" s="125" t="str">
        <f aca="false">IF(73&gt;$I$4,"",73)</f>
        <v/>
      </c>
      <c r="C84" s="125" t="str">
        <f aca="false">IF($B84="","",INDEX('CARNET DE SOUDURE'!$B$7:$B$3006,MATCH(73,'CARNET DE SOUDURE'!$AV$7:$AV$3006,0)))</f>
        <v/>
      </c>
      <c r="D84" s="125" t="str">
        <f aca="false">IF($B84="","",INDEX('CARNET DE SOUDURE'!$E$7:$E$3006,MATCH(73,'CARNET DE SOUDURE'!$AV$7:$AV$3006,0)))</f>
        <v/>
      </c>
      <c r="E84" s="125" t="str">
        <f aca="false">IF($B84="","",INDEX('CARNET DE SOUDURE'!$R$7:$R$3006,MATCH(73,'CARNET DE SOUDURE'!$AV$7:$AV$3006,0))&amp;IF(INDEX('CARNET DE SOUDURE'!$S$7:$S$3006,MATCH(73,'CARNET DE SOUDURE'!$AV$7:$AV$3006,0))&lt;&gt;""," / "&amp;INDEX('CARNET DE SOUDURE'!$S$7:$S$3006,MATCH(73,'CARNET DE SOUDURE'!$AV$7:$AV$3006,0)),"")&amp;IF(INDEX('CARNET DE SOUDURE'!$T$7:$T$3006,MATCH(73,'CARNET DE SOUDURE'!$AV$7:$AV$3006,0))&lt;&gt;""," / "&amp;INDEX('CARNET DE SOUDURE'!$T$7:$T$3006,MATCH(73,'CARNET DE SOUDURE'!$AV$7:$AV$3006,0)),""))</f>
        <v/>
      </c>
      <c r="F84" s="126" t="str">
        <f aca="false">IF($B84="","",INDEX('CARNET DE SOUDURE'!$Y$7:$Y$3006,MATCH(73,'CARNET DE SOUDURE'!$AV$7:$AV$3006,0)))</f>
        <v/>
      </c>
      <c r="G84" s="125" t="str">
        <f aca="false">IF($B84="","",INDEX('CARNET DE SOUDURE'!$Z$7:$Z$3006,MATCH(73,'CARNET DE SOUDURE'!$AV$7:$AV$3006,0))&amp;"")</f>
        <v/>
      </c>
      <c r="H84" s="127" t="str">
        <f aca="false">IF($B84="","",INDEX('CARNET DE SOUDURE'!$AA$7:$AA$3006,MATCH(73,'CARNET DE SOUDURE'!$AV$7:$AV$3006,0)))</f>
        <v/>
      </c>
      <c r="I84" s="125" t="str">
        <f aca="false">IF($B84="","",INDEX('CARNET DE SOUDURE'!$AB$7:$AB$3006,MATCH(73,'CARNET DE SOUDURE'!$AV$7:$AV$3006,0))&amp;"")</f>
        <v/>
      </c>
      <c r="J84" s="125" t="str">
        <f aca="false">IF($B84="","",INDEX('CARNET DE SOUDURE'!$AC$7:$AC$3006,MATCH(73,'CARNET DE SOUDURE'!$AV$7:$AV$3006,0))&amp;IF(INDEX('CARNET DE SOUDURE'!$AH$7:$AH$3006,MATCH(73,'CARNET DE SOUDURE'!$AV$7:$AV$3006,0))&lt;&gt;""," / "&amp;INDEX('CARNET DE SOUDURE'!$AH$7:$AH$3006,MATCH(73,'CARNET DE SOUDURE'!$AV$7:$AV$3006,0)),""))</f>
        <v/>
      </c>
      <c r="K84" s="125" t="str">
        <f aca="false">IF($B84="","",INDEX('CARNET DE SOUDURE'!$AD$7:$AD$3006,MATCH(73,'CARNET DE SOUDURE'!$AV$7:$AV$3006,0))&amp;IF(INDEX('CARNET DE SOUDURE'!$AI$7:$AI$3006,MATCH(73,'CARNET DE SOUDURE'!$AV$7:$AV$3006,0))&lt;&gt;""," / "&amp;INDEX('CARNET DE SOUDURE'!$AI$7:$AI$3006,MATCH(73,'CARNET DE SOUDURE'!$AV$7:$AV$3006,0)),""))</f>
        <v/>
      </c>
      <c r="L84" s="125" t="str">
        <f aca="false">IF($B84="","",INDEX('CARNET DE SOUDURE'!$AG$7:$AG$3006,MATCH(73,'CARNET DE SOUDURE'!$AV$7:$AV$3006,0))&amp;IF(INDEX('CARNET DE SOUDURE'!$AL$7:$AL$3006,MATCH(73,'CARNET DE SOUDURE'!$AV$7:$AV$3006,0))&lt;&gt;""," / "&amp;INDEX('CARNET DE SOUDURE'!$AL$7:$AL$3006,MATCH(73,'CARNET DE SOUDURE'!$AV$7:$AV$3006,0)),""))</f>
        <v/>
      </c>
      <c r="M84" s="127" t="str">
        <f aca="false">IF($B84="","",INDEX('CARNET DE SOUDURE'!$AP$7:$AP$3006,MATCH(73,'CARNET DE SOUDURE'!$AV$7:$AV$3006,0)))</f>
        <v/>
      </c>
      <c r="N84" s="127" t="str">
        <f aca="false">IF($B84="","",INDEX('CARNET DE SOUDURE'!$AQ$7:$AQ$3006,MATCH(73,'CARNET DE SOUDURE'!$AV$7:$AV$3006,0)))</f>
        <v/>
      </c>
      <c r="O84" s="128" t="str">
        <f aca="false">IF($B84="","",INDEX('CARNET DE SOUDURE'!$AR$7:$AR$3006,MATCH(73,'CARNET DE SOUDURE'!$AV$7:$AV$3006,0)))</f>
        <v/>
      </c>
    </row>
    <row r="85" customFormat="false" ht="15" hidden="false" customHeight="false" outlineLevel="0" collapsed="false">
      <c r="B85" s="130" t="str">
        <f aca="false">IF(74&gt;$I$4,"",74)</f>
        <v/>
      </c>
      <c r="C85" s="130" t="str">
        <f aca="false">IF($B85="","",INDEX('CARNET DE SOUDURE'!$B$7:$B$3006,MATCH(74,'CARNET DE SOUDURE'!$AV$7:$AV$3006,0)))</f>
        <v/>
      </c>
      <c r="D85" s="130" t="str">
        <f aca="false">IF($B85="","",INDEX('CARNET DE SOUDURE'!$E$7:$E$3006,MATCH(74,'CARNET DE SOUDURE'!$AV$7:$AV$3006,0)))</f>
        <v/>
      </c>
      <c r="E85" s="130" t="str">
        <f aca="false">IF($B85="","",INDEX('CARNET DE SOUDURE'!$R$7:$R$3006,MATCH(74,'CARNET DE SOUDURE'!$AV$7:$AV$3006,0))&amp;IF(INDEX('CARNET DE SOUDURE'!$S$7:$S$3006,MATCH(74,'CARNET DE SOUDURE'!$AV$7:$AV$3006,0))&lt;&gt;""," / "&amp;INDEX('CARNET DE SOUDURE'!$S$7:$S$3006,MATCH(74,'CARNET DE SOUDURE'!$AV$7:$AV$3006,0)),"")&amp;IF(INDEX('CARNET DE SOUDURE'!$T$7:$T$3006,MATCH(74,'CARNET DE SOUDURE'!$AV$7:$AV$3006,0))&lt;&gt;""," / "&amp;INDEX('CARNET DE SOUDURE'!$T$7:$T$3006,MATCH(74,'CARNET DE SOUDURE'!$AV$7:$AV$3006,0)),""))</f>
        <v/>
      </c>
      <c r="F85" s="131" t="str">
        <f aca="false">IF($B85="","",INDEX('CARNET DE SOUDURE'!$Y$7:$Y$3006,MATCH(74,'CARNET DE SOUDURE'!$AV$7:$AV$3006,0)))</f>
        <v/>
      </c>
      <c r="G85" s="130" t="str">
        <f aca="false">IF($B85="","",INDEX('CARNET DE SOUDURE'!$Z$7:$Z$3006,MATCH(74,'CARNET DE SOUDURE'!$AV$7:$AV$3006,0))&amp;"")</f>
        <v/>
      </c>
      <c r="H85" s="132" t="str">
        <f aca="false">IF($B85="","",INDEX('CARNET DE SOUDURE'!$AA$7:$AA$3006,MATCH(74,'CARNET DE SOUDURE'!$AV$7:$AV$3006,0)))</f>
        <v/>
      </c>
      <c r="I85" s="130" t="str">
        <f aca="false">IF($B85="","",INDEX('CARNET DE SOUDURE'!$AB$7:$AB$3006,MATCH(74,'CARNET DE SOUDURE'!$AV$7:$AV$3006,0))&amp;"")</f>
        <v/>
      </c>
      <c r="J85" s="130" t="str">
        <f aca="false">IF($B85="","",INDEX('CARNET DE SOUDURE'!$AC$7:$AC$3006,MATCH(74,'CARNET DE SOUDURE'!$AV$7:$AV$3006,0))&amp;IF(INDEX('CARNET DE SOUDURE'!$AH$7:$AH$3006,MATCH(74,'CARNET DE SOUDURE'!$AV$7:$AV$3006,0))&lt;&gt;""," / "&amp;INDEX('CARNET DE SOUDURE'!$AH$7:$AH$3006,MATCH(74,'CARNET DE SOUDURE'!$AV$7:$AV$3006,0)),""))</f>
        <v/>
      </c>
      <c r="K85" s="130" t="str">
        <f aca="false">IF($B85="","",INDEX('CARNET DE SOUDURE'!$AD$7:$AD$3006,MATCH(74,'CARNET DE SOUDURE'!$AV$7:$AV$3006,0))&amp;IF(INDEX('CARNET DE SOUDURE'!$AI$7:$AI$3006,MATCH(74,'CARNET DE SOUDURE'!$AV$7:$AV$3006,0))&lt;&gt;""," / "&amp;INDEX('CARNET DE SOUDURE'!$AI$7:$AI$3006,MATCH(74,'CARNET DE SOUDURE'!$AV$7:$AV$3006,0)),""))</f>
        <v/>
      </c>
      <c r="L85" s="130" t="str">
        <f aca="false">IF($B85="","",INDEX('CARNET DE SOUDURE'!$AG$7:$AG$3006,MATCH(74,'CARNET DE SOUDURE'!$AV$7:$AV$3006,0))&amp;IF(INDEX('CARNET DE SOUDURE'!$AL$7:$AL$3006,MATCH(74,'CARNET DE SOUDURE'!$AV$7:$AV$3006,0))&lt;&gt;""," / "&amp;INDEX('CARNET DE SOUDURE'!$AL$7:$AL$3006,MATCH(74,'CARNET DE SOUDURE'!$AV$7:$AV$3006,0)),""))</f>
        <v/>
      </c>
      <c r="M85" s="132" t="str">
        <f aca="false">IF($B85="","",INDEX('CARNET DE SOUDURE'!$AP$7:$AP$3006,MATCH(74,'CARNET DE SOUDURE'!$AV$7:$AV$3006,0)))</f>
        <v/>
      </c>
      <c r="N85" s="132" t="str">
        <f aca="false">IF($B85="","",INDEX('CARNET DE SOUDURE'!$AQ$7:$AQ$3006,MATCH(74,'CARNET DE SOUDURE'!$AV$7:$AV$3006,0)))</f>
        <v/>
      </c>
      <c r="O85" s="133" t="str">
        <f aca="false">IF($B85="","",INDEX('CARNET DE SOUDURE'!$AR$7:$AR$3006,MATCH(74,'CARNET DE SOUDURE'!$AV$7:$AV$3006,0)))</f>
        <v/>
      </c>
    </row>
    <row r="86" customFormat="false" ht="15" hidden="false" customHeight="false" outlineLevel="0" collapsed="false">
      <c r="B86" s="125" t="str">
        <f aca="false">IF(75&gt;$I$4,"",75)</f>
        <v/>
      </c>
      <c r="C86" s="125" t="str">
        <f aca="false">IF($B86="","",INDEX('CARNET DE SOUDURE'!$B$7:$B$3006,MATCH(75,'CARNET DE SOUDURE'!$AV$7:$AV$3006,0)))</f>
        <v/>
      </c>
      <c r="D86" s="125" t="str">
        <f aca="false">IF($B86="","",INDEX('CARNET DE SOUDURE'!$E$7:$E$3006,MATCH(75,'CARNET DE SOUDURE'!$AV$7:$AV$3006,0)))</f>
        <v/>
      </c>
      <c r="E86" s="125" t="str">
        <f aca="false">IF($B86="","",INDEX('CARNET DE SOUDURE'!$R$7:$R$3006,MATCH(75,'CARNET DE SOUDURE'!$AV$7:$AV$3006,0))&amp;IF(INDEX('CARNET DE SOUDURE'!$S$7:$S$3006,MATCH(75,'CARNET DE SOUDURE'!$AV$7:$AV$3006,0))&lt;&gt;""," / "&amp;INDEX('CARNET DE SOUDURE'!$S$7:$S$3006,MATCH(75,'CARNET DE SOUDURE'!$AV$7:$AV$3006,0)),"")&amp;IF(INDEX('CARNET DE SOUDURE'!$T$7:$T$3006,MATCH(75,'CARNET DE SOUDURE'!$AV$7:$AV$3006,0))&lt;&gt;""," / "&amp;INDEX('CARNET DE SOUDURE'!$T$7:$T$3006,MATCH(75,'CARNET DE SOUDURE'!$AV$7:$AV$3006,0)),""))</f>
        <v/>
      </c>
      <c r="F86" s="126" t="str">
        <f aca="false">IF($B86="","",INDEX('CARNET DE SOUDURE'!$Y$7:$Y$3006,MATCH(75,'CARNET DE SOUDURE'!$AV$7:$AV$3006,0)))</f>
        <v/>
      </c>
      <c r="G86" s="125" t="str">
        <f aca="false">IF($B86="","",INDEX('CARNET DE SOUDURE'!$Z$7:$Z$3006,MATCH(75,'CARNET DE SOUDURE'!$AV$7:$AV$3006,0))&amp;"")</f>
        <v/>
      </c>
      <c r="H86" s="127" t="str">
        <f aca="false">IF($B86="","",INDEX('CARNET DE SOUDURE'!$AA$7:$AA$3006,MATCH(75,'CARNET DE SOUDURE'!$AV$7:$AV$3006,0)))</f>
        <v/>
      </c>
      <c r="I86" s="125" t="str">
        <f aca="false">IF($B86="","",INDEX('CARNET DE SOUDURE'!$AB$7:$AB$3006,MATCH(75,'CARNET DE SOUDURE'!$AV$7:$AV$3006,0))&amp;"")</f>
        <v/>
      </c>
      <c r="J86" s="125" t="str">
        <f aca="false">IF($B86="","",INDEX('CARNET DE SOUDURE'!$AC$7:$AC$3006,MATCH(75,'CARNET DE SOUDURE'!$AV$7:$AV$3006,0))&amp;IF(INDEX('CARNET DE SOUDURE'!$AH$7:$AH$3006,MATCH(75,'CARNET DE SOUDURE'!$AV$7:$AV$3006,0))&lt;&gt;""," / "&amp;INDEX('CARNET DE SOUDURE'!$AH$7:$AH$3006,MATCH(75,'CARNET DE SOUDURE'!$AV$7:$AV$3006,0)),""))</f>
        <v/>
      </c>
      <c r="K86" s="125" t="str">
        <f aca="false">IF($B86="","",INDEX('CARNET DE SOUDURE'!$AD$7:$AD$3006,MATCH(75,'CARNET DE SOUDURE'!$AV$7:$AV$3006,0))&amp;IF(INDEX('CARNET DE SOUDURE'!$AI$7:$AI$3006,MATCH(75,'CARNET DE SOUDURE'!$AV$7:$AV$3006,0))&lt;&gt;""," / "&amp;INDEX('CARNET DE SOUDURE'!$AI$7:$AI$3006,MATCH(75,'CARNET DE SOUDURE'!$AV$7:$AV$3006,0)),""))</f>
        <v/>
      </c>
      <c r="L86" s="125" t="str">
        <f aca="false">IF($B86="","",INDEX('CARNET DE SOUDURE'!$AG$7:$AG$3006,MATCH(75,'CARNET DE SOUDURE'!$AV$7:$AV$3006,0))&amp;IF(INDEX('CARNET DE SOUDURE'!$AL$7:$AL$3006,MATCH(75,'CARNET DE SOUDURE'!$AV$7:$AV$3006,0))&lt;&gt;""," / "&amp;INDEX('CARNET DE SOUDURE'!$AL$7:$AL$3006,MATCH(75,'CARNET DE SOUDURE'!$AV$7:$AV$3006,0)),""))</f>
        <v/>
      </c>
      <c r="M86" s="127" t="str">
        <f aca="false">IF($B86="","",INDEX('CARNET DE SOUDURE'!$AP$7:$AP$3006,MATCH(75,'CARNET DE SOUDURE'!$AV$7:$AV$3006,0)))</f>
        <v/>
      </c>
      <c r="N86" s="127" t="str">
        <f aca="false">IF($B86="","",INDEX('CARNET DE SOUDURE'!$AQ$7:$AQ$3006,MATCH(75,'CARNET DE SOUDURE'!$AV$7:$AV$3006,0)))</f>
        <v/>
      </c>
      <c r="O86" s="128" t="str">
        <f aca="false">IF($B86="","",INDEX('CARNET DE SOUDURE'!$AR$7:$AR$3006,MATCH(75,'CARNET DE SOUDURE'!$AV$7:$AV$3006,0)))</f>
        <v/>
      </c>
    </row>
    <row r="87" customFormat="false" ht="15" hidden="false" customHeight="false" outlineLevel="0" collapsed="false">
      <c r="B87" s="130" t="str">
        <f aca="false">IF(76&gt;$I$4,"",76)</f>
        <v/>
      </c>
      <c r="C87" s="130" t="str">
        <f aca="false">IF($B87="","",INDEX('CARNET DE SOUDURE'!$B$7:$B$3006,MATCH(76,'CARNET DE SOUDURE'!$AV$7:$AV$3006,0)))</f>
        <v/>
      </c>
      <c r="D87" s="130" t="str">
        <f aca="false">IF($B87="","",INDEX('CARNET DE SOUDURE'!$E$7:$E$3006,MATCH(76,'CARNET DE SOUDURE'!$AV$7:$AV$3006,0)))</f>
        <v/>
      </c>
      <c r="E87" s="130" t="str">
        <f aca="false">IF($B87="","",INDEX('CARNET DE SOUDURE'!$R$7:$R$3006,MATCH(76,'CARNET DE SOUDURE'!$AV$7:$AV$3006,0))&amp;IF(INDEX('CARNET DE SOUDURE'!$S$7:$S$3006,MATCH(76,'CARNET DE SOUDURE'!$AV$7:$AV$3006,0))&lt;&gt;""," / "&amp;INDEX('CARNET DE SOUDURE'!$S$7:$S$3006,MATCH(76,'CARNET DE SOUDURE'!$AV$7:$AV$3006,0)),"")&amp;IF(INDEX('CARNET DE SOUDURE'!$T$7:$T$3006,MATCH(76,'CARNET DE SOUDURE'!$AV$7:$AV$3006,0))&lt;&gt;""," / "&amp;INDEX('CARNET DE SOUDURE'!$T$7:$T$3006,MATCH(76,'CARNET DE SOUDURE'!$AV$7:$AV$3006,0)),""))</f>
        <v/>
      </c>
      <c r="F87" s="131" t="str">
        <f aca="false">IF($B87="","",INDEX('CARNET DE SOUDURE'!$Y$7:$Y$3006,MATCH(76,'CARNET DE SOUDURE'!$AV$7:$AV$3006,0)))</f>
        <v/>
      </c>
      <c r="G87" s="130" t="str">
        <f aca="false">IF($B87="","",INDEX('CARNET DE SOUDURE'!$Z$7:$Z$3006,MATCH(76,'CARNET DE SOUDURE'!$AV$7:$AV$3006,0))&amp;"")</f>
        <v/>
      </c>
      <c r="H87" s="132" t="str">
        <f aca="false">IF($B87="","",INDEX('CARNET DE SOUDURE'!$AA$7:$AA$3006,MATCH(76,'CARNET DE SOUDURE'!$AV$7:$AV$3006,0)))</f>
        <v/>
      </c>
      <c r="I87" s="130" t="str">
        <f aca="false">IF($B87="","",INDEX('CARNET DE SOUDURE'!$AB$7:$AB$3006,MATCH(76,'CARNET DE SOUDURE'!$AV$7:$AV$3006,0))&amp;"")</f>
        <v/>
      </c>
      <c r="J87" s="130" t="str">
        <f aca="false">IF($B87="","",INDEX('CARNET DE SOUDURE'!$AC$7:$AC$3006,MATCH(76,'CARNET DE SOUDURE'!$AV$7:$AV$3006,0))&amp;IF(INDEX('CARNET DE SOUDURE'!$AH$7:$AH$3006,MATCH(76,'CARNET DE SOUDURE'!$AV$7:$AV$3006,0))&lt;&gt;""," / "&amp;INDEX('CARNET DE SOUDURE'!$AH$7:$AH$3006,MATCH(76,'CARNET DE SOUDURE'!$AV$7:$AV$3006,0)),""))</f>
        <v/>
      </c>
      <c r="K87" s="130" t="str">
        <f aca="false">IF($B87="","",INDEX('CARNET DE SOUDURE'!$AD$7:$AD$3006,MATCH(76,'CARNET DE SOUDURE'!$AV$7:$AV$3006,0))&amp;IF(INDEX('CARNET DE SOUDURE'!$AI$7:$AI$3006,MATCH(76,'CARNET DE SOUDURE'!$AV$7:$AV$3006,0))&lt;&gt;""," / "&amp;INDEX('CARNET DE SOUDURE'!$AI$7:$AI$3006,MATCH(76,'CARNET DE SOUDURE'!$AV$7:$AV$3006,0)),""))</f>
        <v/>
      </c>
      <c r="L87" s="130" t="str">
        <f aca="false">IF($B87="","",INDEX('CARNET DE SOUDURE'!$AG$7:$AG$3006,MATCH(76,'CARNET DE SOUDURE'!$AV$7:$AV$3006,0))&amp;IF(INDEX('CARNET DE SOUDURE'!$AL$7:$AL$3006,MATCH(76,'CARNET DE SOUDURE'!$AV$7:$AV$3006,0))&lt;&gt;""," / "&amp;INDEX('CARNET DE SOUDURE'!$AL$7:$AL$3006,MATCH(76,'CARNET DE SOUDURE'!$AV$7:$AV$3006,0)),""))</f>
        <v/>
      </c>
      <c r="M87" s="132" t="str">
        <f aca="false">IF($B87="","",INDEX('CARNET DE SOUDURE'!$AP$7:$AP$3006,MATCH(76,'CARNET DE SOUDURE'!$AV$7:$AV$3006,0)))</f>
        <v/>
      </c>
      <c r="N87" s="132" t="str">
        <f aca="false">IF($B87="","",INDEX('CARNET DE SOUDURE'!$AQ$7:$AQ$3006,MATCH(76,'CARNET DE SOUDURE'!$AV$7:$AV$3006,0)))</f>
        <v/>
      </c>
      <c r="O87" s="133" t="str">
        <f aca="false">IF($B87="","",INDEX('CARNET DE SOUDURE'!$AR$7:$AR$3006,MATCH(76,'CARNET DE SOUDURE'!$AV$7:$AV$3006,0)))</f>
        <v/>
      </c>
    </row>
    <row r="88" customFormat="false" ht="15" hidden="false" customHeight="false" outlineLevel="0" collapsed="false">
      <c r="B88" s="125" t="str">
        <f aca="false">IF(77&gt;$I$4,"",77)</f>
        <v/>
      </c>
      <c r="C88" s="125" t="str">
        <f aca="false">IF($B88="","",INDEX('CARNET DE SOUDURE'!$B$7:$B$3006,MATCH(77,'CARNET DE SOUDURE'!$AV$7:$AV$3006,0)))</f>
        <v/>
      </c>
      <c r="D88" s="125" t="str">
        <f aca="false">IF($B88="","",INDEX('CARNET DE SOUDURE'!$E$7:$E$3006,MATCH(77,'CARNET DE SOUDURE'!$AV$7:$AV$3006,0)))</f>
        <v/>
      </c>
      <c r="E88" s="125" t="str">
        <f aca="false">IF($B88="","",INDEX('CARNET DE SOUDURE'!$R$7:$R$3006,MATCH(77,'CARNET DE SOUDURE'!$AV$7:$AV$3006,0))&amp;IF(INDEX('CARNET DE SOUDURE'!$S$7:$S$3006,MATCH(77,'CARNET DE SOUDURE'!$AV$7:$AV$3006,0))&lt;&gt;""," / "&amp;INDEX('CARNET DE SOUDURE'!$S$7:$S$3006,MATCH(77,'CARNET DE SOUDURE'!$AV$7:$AV$3006,0)),"")&amp;IF(INDEX('CARNET DE SOUDURE'!$T$7:$T$3006,MATCH(77,'CARNET DE SOUDURE'!$AV$7:$AV$3006,0))&lt;&gt;""," / "&amp;INDEX('CARNET DE SOUDURE'!$T$7:$T$3006,MATCH(77,'CARNET DE SOUDURE'!$AV$7:$AV$3006,0)),""))</f>
        <v/>
      </c>
      <c r="F88" s="126" t="str">
        <f aca="false">IF($B88="","",INDEX('CARNET DE SOUDURE'!$Y$7:$Y$3006,MATCH(77,'CARNET DE SOUDURE'!$AV$7:$AV$3006,0)))</f>
        <v/>
      </c>
      <c r="G88" s="125" t="str">
        <f aca="false">IF($B88="","",INDEX('CARNET DE SOUDURE'!$Z$7:$Z$3006,MATCH(77,'CARNET DE SOUDURE'!$AV$7:$AV$3006,0))&amp;"")</f>
        <v/>
      </c>
      <c r="H88" s="127" t="str">
        <f aca="false">IF($B88="","",INDEX('CARNET DE SOUDURE'!$AA$7:$AA$3006,MATCH(77,'CARNET DE SOUDURE'!$AV$7:$AV$3006,0)))</f>
        <v/>
      </c>
      <c r="I88" s="125" t="str">
        <f aca="false">IF($B88="","",INDEX('CARNET DE SOUDURE'!$AB$7:$AB$3006,MATCH(77,'CARNET DE SOUDURE'!$AV$7:$AV$3006,0))&amp;"")</f>
        <v/>
      </c>
      <c r="J88" s="125" t="str">
        <f aca="false">IF($B88="","",INDEX('CARNET DE SOUDURE'!$AC$7:$AC$3006,MATCH(77,'CARNET DE SOUDURE'!$AV$7:$AV$3006,0))&amp;IF(INDEX('CARNET DE SOUDURE'!$AH$7:$AH$3006,MATCH(77,'CARNET DE SOUDURE'!$AV$7:$AV$3006,0))&lt;&gt;""," / "&amp;INDEX('CARNET DE SOUDURE'!$AH$7:$AH$3006,MATCH(77,'CARNET DE SOUDURE'!$AV$7:$AV$3006,0)),""))</f>
        <v/>
      </c>
      <c r="K88" s="125" t="str">
        <f aca="false">IF($B88="","",INDEX('CARNET DE SOUDURE'!$AD$7:$AD$3006,MATCH(77,'CARNET DE SOUDURE'!$AV$7:$AV$3006,0))&amp;IF(INDEX('CARNET DE SOUDURE'!$AI$7:$AI$3006,MATCH(77,'CARNET DE SOUDURE'!$AV$7:$AV$3006,0))&lt;&gt;""," / "&amp;INDEX('CARNET DE SOUDURE'!$AI$7:$AI$3006,MATCH(77,'CARNET DE SOUDURE'!$AV$7:$AV$3006,0)),""))</f>
        <v/>
      </c>
      <c r="L88" s="125" t="str">
        <f aca="false">IF($B88="","",INDEX('CARNET DE SOUDURE'!$AG$7:$AG$3006,MATCH(77,'CARNET DE SOUDURE'!$AV$7:$AV$3006,0))&amp;IF(INDEX('CARNET DE SOUDURE'!$AL$7:$AL$3006,MATCH(77,'CARNET DE SOUDURE'!$AV$7:$AV$3006,0))&lt;&gt;""," / "&amp;INDEX('CARNET DE SOUDURE'!$AL$7:$AL$3006,MATCH(77,'CARNET DE SOUDURE'!$AV$7:$AV$3006,0)),""))</f>
        <v/>
      </c>
      <c r="M88" s="127" t="str">
        <f aca="false">IF($B88="","",INDEX('CARNET DE SOUDURE'!$AP$7:$AP$3006,MATCH(77,'CARNET DE SOUDURE'!$AV$7:$AV$3006,0)))</f>
        <v/>
      </c>
      <c r="N88" s="127" t="str">
        <f aca="false">IF($B88="","",INDEX('CARNET DE SOUDURE'!$AQ$7:$AQ$3006,MATCH(77,'CARNET DE SOUDURE'!$AV$7:$AV$3006,0)))</f>
        <v/>
      </c>
      <c r="O88" s="128" t="str">
        <f aca="false">IF($B88="","",INDEX('CARNET DE SOUDURE'!$AR$7:$AR$3006,MATCH(77,'CARNET DE SOUDURE'!$AV$7:$AV$3006,0)))</f>
        <v/>
      </c>
    </row>
    <row r="89" customFormat="false" ht="15" hidden="false" customHeight="false" outlineLevel="0" collapsed="false">
      <c r="B89" s="130" t="str">
        <f aca="false">IF(78&gt;$I$4,"",78)</f>
        <v/>
      </c>
      <c r="C89" s="130" t="str">
        <f aca="false">IF($B89="","",INDEX('CARNET DE SOUDURE'!$B$7:$B$3006,MATCH(78,'CARNET DE SOUDURE'!$AV$7:$AV$3006,0)))</f>
        <v/>
      </c>
      <c r="D89" s="130" t="str">
        <f aca="false">IF($B89="","",INDEX('CARNET DE SOUDURE'!$E$7:$E$3006,MATCH(78,'CARNET DE SOUDURE'!$AV$7:$AV$3006,0)))</f>
        <v/>
      </c>
      <c r="E89" s="130" t="str">
        <f aca="false">IF($B89="","",INDEX('CARNET DE SOUDURE'!$R$7:$R$3006,MATCH(78,'CARNET DE SOUDURE'!$AV$7:$AV$3006,0))&amp;IF(INDEX('CARNET DE SOUDURE'!$S$7:$S$3006,MATCH(78,'CARNET DE SOUDURE'!$AV$7:$AV$3006,0))&lt;&gt;""," / "&amp;INDEX('CARNET DE SOUDURE'!$S$7:$S$3006,MATCH(78,'CARNET DE SOUDURE'!$AV$7:$AV$3006,0)),"")&amp;IF(INDEX('CARNET DE SOUDURE'!$T$7:$T$3006,MATCH(78,'CARNET DE SOUDURE'!$AV$7:$AV$3006,0))&lt;&gt;""," / "&amp;INDEX('CARNET DE SOUDURE'!$T$7:$T$3006,MATCH(78,'CARNET DE SOUDURE'!$AV$7:$AV$3006,0)),""))</f>
        <v/>
      </c>
      <c r="F89" s="131" t="str">
        <f aca="false">IF($B89="","",INDEX('CARNET DE SOUDURE'!$Y$7:$Y$3006,MATCH(78,'CARNET DE SOUDURE'!$AV$7:$AV$3006,0)))</f>
        <v/>
      </c>
      <c r="G89" s="130" t="str">
        <f aca="false">IF($B89="","",INDEX('CARNET DE SOUDURE'!$Z$7:$Z$3006,MATCH(78,'CARNET DE SOUDURE'!$AV$7:$AV$3006,0))&amp;"")</f>
        <v/>
      </c>
      <c r="H89" s="132" t="str">
        <f aca="false">IF($B89="","",INDEX('CARNET DE SOUDURE'!$AA$7:$AA$3006,MATCH(78,'CARNET DE SOUDURE'!$AV$7:$AV$3006,0)))</f>
        <v/>
      </c>
      <c r="I89" s="130" t="str">
        <f aca="false">IF($B89="","",INDEX('CARNET DE SOUDURE'!$AB$7:$AB$3006,MATCH(78,'CARNET DE SOUDURE'!$AV$7:$AV$3006,0))&amp;"")</f>
        <v/>
      </c>
      <c r="J89" s="130" t="str">
        <f aca="false">IF($B89="","",INDEX('CARNET DE SOUDURE'!$AC$7:$AC$3006,MATCH(78,'CARNET DE SOUDURE'!$AV$7:$AV$3006,0))&amp;IF(INDEX('CARNET DE SOUDURE'!$AH$7:$AH$3006,MATCH(78,'CARNET DE SOUDURE'!$AV$7:$AV$3006,0))&lt;&gt;""," / "&amp;INDEX('CARNET DE SOUDURE'!$AH$7:$AH$3006,MATCH(78,'CARNET DE SOUDURE'!$AV$7:$AV$3006,0)),""))</f>
        <v/>
      </c>
      <c r="K89" s="130" t="str">
        <f aca="false">IF($B89="","",INDEX('CARNET DE SOUDURE'!$AD$7:$AD$3006,MATCH(78,'CARNET DE SOUDURE'!$AV$7:$AV$3006,0))&amp;IF(INDEX('CARNET DE SOUDURE'!$AI$7:$AI$3006,MATCH(78,'CARNET DE SOUDURE'!$AV$7:$AV$3006,0))&lt;&gt;""," / "&amp;INDEX('CARNET DE SOUDURE'!$AI$7:$AI$3006,MATCH(78,'CARNET DE SOUDURE'!$AV$7:$AV$3006,0)),""))</f>
        <v/>
      </c>
      <c r="L89" s="130" t="str">
        <f aca="false">IF($B89="","",INDEX('CARNET DE SOUDURE'!$AG$7:$AG$3006,MATCH(78,'CARNET DE SOUDURE'!$AV$7:$AV$3006,0))&amp;IF(INDEX('CARNET DE SOUDURE'!$AL$7:$AL$3006,MATCH(78,'CARNET DE SOUDURE'!$AV$7:$AV$3006,0))&lt;&gt;""," / "&amp;INDEX('CARNET DE SOUDURE'!$AL$7:$AL$3006,MATCH(78,'CARNET DE SOUDURE'!$AV$7:$AV$3006,0)),""))</f>
        <v/>
      </c>
      <c r="M89" s="132" t="str">
        <f aca="false">IF($B89="","",INDEX('CARNET DE SOUDURE'!$AP$7:$AP$3006,MATCH(78,'CARNET DE SOUDURE'!$AV$7:$AV$3006,0)))</f>
        <v/>
      </c>
      <c r="N89" s="132" t="str">
        <f aca="false">IF($B89="","",INDEX('CARNET DE SOUDURE'!$AQ$7:$AQ$3006,MATCH(78,'CARNET DE SOUDURE'!$AV$7:$AV$3006,0)))</f>
        <v/>
      </c>
      <c r="O89" s="133" t="str">
        <f aca="false">IF($B89="","",INDEX('CARNET DE SOUDURE'!$AR$7:$AR$3006,MATCH(78,'CARNET DE SOUDURE'!$AV$7:$AV$3006,0)))</f>
        <v/>
      </c>
    </row>
    <row r="90" customFormat="false" ht="15" hidden="false" customHeight="false" outlineLevel="0" collapsed="false">
      <c r="B90" s="125" t="str">
        <f aca="false">IF(79&gt;$I$4,"",79)</f>
        <v/>
      </c>
      <c r="C90" s="125" t="str">
        <f aca="false">IF($B90="","",INDEX('CARNET DE SOUDURE'!$B$7:$B$3006,MATCH(79,'CARNET DE SOUDURE'!$AV$7:$AV$3006,0)))</f>
        <v/>
      </c>
      <c r="D90" s="125" t="str">
        <f aca="false">IF($B90="","",INDEX('CARNET DE SOUDURE'!$E$7:$E$3006,MATCH(79,'CARNET DE SOUDURE'!$AV$7:$AV$3006,0)))</f>
        <v/>
      </c>
      <c r="E90" s="125" t="str">
        <f aca="false">IF($B90="","",INDEX('CARNET DE SOUDURE'!$R$7:$R$3006,MATCH(79,'CARNET DE SOUDURE'!$AV$7:$AV$3006,0))&amp;IF(INDEX('CARNET DE SOUDURE'!$S$7:$S$3006,MATCH(79,'CARNET DE SOUDURE'!$AV$7:$AV$3006,0))&lt;&gt;""," / "&amp;INDEX('CARNET DE SOUDURE'!$S$7:$S$3006,MATCH(79,'CARNET DE SOUDURE'!$AV$7:$AV$3006,0)),"")&amp;IF(INDEX('CARNET DE SOUDURE'!$T$7:$T$3006,MATCH(79,'CARNET DE SOUDURE'!$AV$7:$AV$3006,0))&lt;&gt;""," / "&amp;INDEX('CARNET DE SOUDURE'!$T$7:$T$3006,MATCH(79,'CARNET DE SOUDURE'!$AV$7:$AV$3006,0)),""))</f>
        <v/>
      </c>
      <c r="F90" s="126" t="str">
        <f aca="false">IF($B90="","",INDEX('CARNET DE SOUDURE'!$Y$7:$Y$3006,MATCH(79,'CARNET DE SOUDURE'!$AV$7:$AV$3006,0)))</f>
        <v/>
      </c>
      <c r="G90" s="125" t="str">
        <f aca="false">IF($B90="","",INDEX('CARNET DE SOUDURE'!$Z$7:$Z$3006,MATCH(79,'CARNET DE SOUDURE'!$AV$7:$AV$3006,0))&amp;"")</f>
        <v/>
      </c>
      <c r="H90" s="127" t="str">
        <f aca="false">IF($B90="","",INDEX('CARNET DE SOUDURE'!$AA$7:$AA$3006,MATCH(79,'CARNET DE SOUDURE'!$AV$7:$AV$3006,0)))</f>
        <v/>
      </c>
      <c r="I90" s="125" t="str">
        <f aca="false">IF($B90="","",INDEX('CARNET DE SOUDURE'!$AB$7:$AB$3006,MATCH(79,'CARNET DE SOUDURE'!$AV$7:$AV$3006,0))&amp;"")</f>
        <v/>
      </c>
      <c r="J90" s="125" t="str">
        <f aca="false">IF($B90="","",INDEX('CARNET DE SOUDURE'!$AC$7:$AC$3006,MATCH(79,'CARNET DE SOUDURE'!$AV$7:$AV$3006,0))&amp;IF(INDEX('CARNET DE SOUDURE'!$AH$7:$AH$3006,MATCH(79,'CARNET DE SOUDURE'!$AV$7:$AV$3006,0))&lt;&gt;""," / "&amp;INDEX('CARNET DE SOUDURE'!$AH$7:$AH$3006,MATCH(79,'CARNET DE SOUDURE'!$AV$7:$AV$3006,0)),""))</f>
        <v/>
      </c>
      <c r="K90" s="125" t="str">
        <f aca="false">IF($B90="","",INDEX('CARNET DE SOUDURE'!$AD$7:$AD$3006,MATCH(79,'CARNET DE SOUDURE'!$AV$7:$AV$3006,0))&amp;IF(INDEX('CARNET DE SOUDURE'!$AI$7:$AI$3006,MATCH(79,'CARNET DE SOUDURE'!$AV$7:$AV$3006,0))&lt;&gt;""," / "&amp;INDEX('CARNET DE SOUDURE'!$AI$7:$AI$3006,MATCH(79,'CARNET DE SOUDURE'!$AV$7:$AV$3006,0)),""))</f>
        <v/>
      </c>
      <c r="L90" s="125" t="str">
        <f aca="false">IF($B90="","",INDEX('CARNET DE SOUDURE'!$AG$7:$AG$3006,MATCH(79,'CARNET DE SOUDURE'!$AV$7:$AV$3006,0))&amp;IF(INDEX('CARNET DE SOUDURE'!$AL$7:$AL$3006,MATCH(79,'CARNET DE SOUDURE'!$AV$7:$AV$3006,0))&lt;&gt;""," / "&amp;INDEX('CARNET DE SOUDURE'!$AL$7:$AL$3006,MATCH(79,'CARNET DE SOUDURE'!$AV$7:$AV$3006,0)),""))</f>
        <v/>
      </c>
      <c r="M90" s="127" t="str">
        <f aca="false">IF($B90="","",INDEX('CARNET DE SOUDURE'!$AP$7:$AP$3006,MATCH(79,'CARNET DE SOUDURE'!$AV$7:$AV$3006,0)))</f>
        <v/>
      </c>
      <c r="N90" s="127" t="str">
        <f aca="false">IF($B90="","",INDEX('CARNET DE SOUDURE'!$AQ$7:$AQ$3006,MATCH(79,'CARNET DE SOUDURE'!$AV$7:$AV$3006,0)))</f>
        <v/>
      </c>
      <c r="O90" s="128" t="str">
        <f aca="false">IF($B90="","",INDEX('CARNET DE SOUDURE'!$AR$7:$AR$3006,MATCH(79,'CARNET DE SOUDURE'!$AV$7:$AV$3006,0)))</f>
        <v/>
      </c>
    </row>
    <row r="91" customFormat="false" ht="15" hidden="false" customHeight="false" outlineLevel="0" collapsed="false">
      <c r="B91" s="130" t="str">
        <f aca="false">IF(80&gt;$I$4,"",80)</f>
        <v/>
      </c>
      <c r="C91" s="130" t="str">
        <f aca="false">IF($B91="","",INDEX('CARNET DE SOUDURE'!$B$7:$B$3006,MATCH(80,'CARNET DE SOUDURE'!$AV$7:$AV$3006,0)))</f>
        <v/>
      </c>
      <c r="D91" s="130" t="str">
        <f aca="false">IF($B91="","",INDEX('CARNET DE SOUDURE'!$E$7:$E$3006,MATCH(80,'CARNET DE SOUDURE'!$AV$7:$AV$3006,0)))</f>
        <v/>
      </c>
      <c r="E91" s="130" t="str">
        <f aca="false">IF($B91="","",INDEX('CARNET DE SOUDURE'!$R$7:$R$3006,MATCH(80,'CARNET DE SOUDURE'!$AV$7:$AV$3006,0))&amp;IF(INDEX('CARNET DE SOUDURE'!$S$7:$S$3006,MATCH(80,'CARNET DE SOUDURE'!$AV$7:$AV$3006,0))&lt;&gt;""," / "&amp;INDEX('CARNET DE SOUDURE'!$S$7:$S$3006,MATCH(80,'CARNET DE SOUDURE'!$AV$7:$AV$3006,0)),"")&amp;IF(INDEX('CARNET DE SOUDURE'!$T$7:$T$3006,MATCH(80,'CARNET DE SOUDURE'!$AV$7:$AV$3006,0))&lt;&gt;""," / "&amp;INDEX('CARNET DE SOUDURE'!$T$7:$T$3006,MATCH(80,'CARNET DE SOUDURE'!$AV$7:$AV$3006,0)),""))</f>
        <v/>
      </c>
      <c r="F91" s="131" t="str">
        <f aca="false">IF($B91="","",INDEX('CARNET DE SOUDURE'!$Y$7:$Y$3006,MATCH(80,'CARNET DE SOUDURE'!$AV$7:$AV$3006,0)))</f>
        <v/>
      </c>
      <c r="G91" s="130" t="str">
        <f aca="false">IF($B91="","",INDEX('CARNET DE SOUDURE'!$Z$7:$Z$3006,MATCH(80,'CARNET DE SOUDURE'!$AV$7:$AV$3006,0))&amp;"")</f>
        <v/>
      </c>
      <c r="H91" s="132" t="str">
        <f aca="false">IF($B91="","",INDEX('CARNET DE SOUDURE'!$AA$7:$AA$3006,MATCH(80,'CARNET DE SOUDURE'!$AV$7:$AV$3006,0)))</f>
        <v/>
      </c>
      <c r="I91" s="130" t="str">
        <f aca="false">IF($B91="","",INDEX('CARNET DE SOUDURE'!$AB$7:$AB$3006,MATCH(80,'CARNET DE SOUDURE'!$AV$7:$AV$3006,0))&amp;"")</f>
        <v/>
      </c>
      <c r="J91" s="130" t="str">
        <f aca="false">IF($B91="","",INDEX('CARNET DE SOUDURE'!$AC$7:$AC$3006,MATCH(80,'CARNET DE SOUDURE'!$AV$7:$AV$3006,0))&amp;IF(INDEX('CARNET DE SOUDURE'!$AH$7:$AH$3006,MATCH(80,'CARNET DE SOUDURE'!$AV$7:$AV$3006,0))&lt;&gt;""," / "&amp;INDEX('CARNET DE SOUDURE'!$AH$7:$AH$3006,MATCH(80,'CARNET DE SOUDURE'!$AV$7:$AV$3006,0)),""))</f>
        <v/>
      </c>
      <c r="K91" s="130" t="str">
        <f aca="false">IF($B91="","",INDEX('CARNET DE SOUDURE'!$AD$7:$AD$3006,MATCH(80,'CARNET DE SOUDURE'!$AV$7:$AV$3006,0))&amp;IF(INDEX('CARNET DE SOUDURE'!$AI$7:$AI$3006,MATCH(80,'CARNET DE SOUDURE'!$AV$7:$AV$3006,0))&lt;&gt;""," / "&amp;INDEX('CARNET DE SOUDURE'!$AI$7:$AI$3006,MATCH(80,'CARNET DE SOUDURE'!$AV$7:$AV$3006,0)),""))</f>
        <v/>
      </c>
      <c r="L91" s="130" t="str">
        <f aca="false">IF($B91="","",INDEX('CARNET DE SOUDURE'!$AG$7:$AG$3006,MATCH(80,'CARNET DE SOUDURE'!$AV$7:$AV$3006,0))&amp;IF(INDEX('CARNET DE SOUDURE'!$AL$7:$AL$3006,MATCH(80,'CARNET DE SOUDURE'!$AV$7:$AV$3006,0))&lt;&gt;""," / "&amp;INDEX('CARNET DE SOUDURE'!$AL$7:$AL$3006,MATCH(80,'CARNET DE SOUDURE'!$AV$7:$AV$3006,0)),""))</f>
        <v/>
      </c>
      <c r="M91" s="132" t="str">
        <f aca="false">IF($B91="","",INDEX('CARNET DE SOUDURE'!$AP$7:$AP$3006,MATCH(80,'CARNET DE SOUDURE'!$AV$7:$AV$3006,0)))</f>
        <v/>
      </c>
      <c r="N91" s="132" t="str">
        <f aca="false">IF($B91="","",INDEX('CARNET DE SOUDURE'!$AQ$7:$AQ$3006,MATCH(80,'CARNET DE SOUDURE'!$AV$7:$AV$3006,0)))</f>
        <v/>
      </c>
      <c r="O91" s="133" t="str">
        <f aca="false">IF($B91="","",INDEX('CARNET DE SOUDURE'!$AR$7:$AR$3006,MATCH(80,'CARNET DE SOUDURE'!$AV$7:$AV$3006,0)))</f>
        <v/>
      </c>
    </row>
    <row r="92" customFormat="false" ht="15" hidden="false" customHeight="false" outlineLevel="0" collapsed="false">
      <c r="B92" s="125" t="str">
        <f aca="false">IF(81&gt;$I$4,"",81)</f>
        <v/>
      </c>
      <c r="C92" s="125" t="str">
        <f aca="false">IF($B92="","",INDEX('CARNET DE SOUDURE'!$B$7:$B$3006,MATCH(81,'CARNET DE SOUDURE'!$AV$7:$AV$3006,0)))</f>
        <v/>
      </c>
      <c r="D92" s="125" t="str">
        <f aca="false">IF($B92="","",INDEX('CARNET DE SOUDURE'!$E$7:$E$3006,MATCH(81,'CARNET DE SOUDURE'!$AV$7:$AV$3006,0)))</f>
        <v/>
      </c>
      <c r="E92" s="125" t="str">
        <f aca="false">IF($B92="","",INDEX('CARNET DE SOUDURE'!$R$7:$R$3006,MATCH(81,'CARNET DE SOUDURE'!$AV$7:$AV$3006,0))&amp;IF(INDEX('CARNET DE SOUDURE'!$S$7:$S$3006,MATCH(81,'CARNET DE SOUDURE'!$AV$7:$AV$3006,0))&lt;&gt;""," / "&amp;INDEX('CARNET DE SOUDURE'!$S$7:$S$3006,MATCH(81,'CARNET DE SOUDURE'!$AV$7:$AV$3006,0)),"")&amp;IF(INDEX('CARNET DE SOUDURE'!$T$7:$T$3006,MATCH(81,'CARNET DE SOUDURE'!$AV$7:$AV$3006,0))&lt;&gt;""," / "&amp;INDEX('CARNET DE SOUDURE'!$T$7:$T$3006,MATCH(81,'CARNET DE SOUDURE'!$AV$7:$AV$3006,0)),""))</f>
        <v/>
      </c>
      <c r="F92" s="126" t="str">
        <f aca="false">IF($B92="","",INDEX('CARNET DE SOUDURE'!$Y$7:$Y$3006,MATCH(81,'CARNET DE SOUDURE'!$AV$7:$AV$3006,0)))</f>
        <v/>
      </c>
      <c r="G92" s="125" t="str">
        <f aca="false">IF($B92="","",INDEX('CARNET DE SOUDURE'!$Z$7:$Z$3006,MATCH(81,'CARNET DE SOUDURE'!$AV$7:$AV$3006,0))&amp;"")</f>
        <v/>
      </c>
      <c r="H92" s="127" t="str">
        <f aca="false">IF($B92="","",INDEX('CARNET DE SOUDURE'!$AA$7:$AA$3006,MATCH(81,'CARNET DE SOUDURE'!$AV$7:$AV$3006,0)))</f>
        <v/>
      </c>
      <c r="I92" s="125" t="str">
        <f aca="false">IF($B92="","",INDEX('CARNET DE SOUDURE'!$AB$7:$AB$3006,MATCH(81,'CARNET DE SOUDURE'!$AV$7:$AV$3006,0))&amp;"")</f>
        <v/>
      </c>
      <c r="J92" s="125" t="str">
        <f aca="false">IF($B92="","",INDEX('CARNET DE SOUDURE'!$AC$7:$AC$3006,MATCH(81,'CARNET DE SOUDURE'!$AV$7:$AV$3006,0))&amp;IF(INDEX('CARNET DE SOUDURE'!$AH$7:$AH$3006,MATCH(81,'CARNET DE SOUDURE'!$AV$7:$AV$3006,0))&lt;&gt;""," / "&amp;INDEX('CARNET DE SOUDURE'!$AH$7:$AH$3006,MATCH(81,'CARNET DE SOUDURE'!$AV$7:$AV$3006,0)),""))</f>
        <v/>
      </c>
      <c r="K92" s="125" t="str">
        <f aca="false">IF($B92="","",INDEX('CARNET DE SOUDURE'!$AD$7:$AD$3006,MATCH(81,'CARNET DE SOUDURE'!$AV$7:$AV$3006,0))&amp;IF(INDEX('CARNET DE SOUDURE'!$AI$7:$AI$3006,MATCH(81,'CARNET DE SOUDURE'!$AV$7:$AV$3006,0))&lt;&gt;""," / "&amp;INDEX('CARNET DE SOUDURE'!$AI$7:$AI$3006,MATCH(81,'CARNET DE SOUDURE'!$AV$7:$AV$3006,0)),""))</f>
        <v/>
      </c>
      <c r="L92" s="125" t="str">
        <f aca="false">IF($B92="","",INDEX('CARNET DE SOUDURE'!$AG$7:$AG$3006,MATCH(81,'CARNET DE SOUDURE'!$AV$7:$AV$3006,0))&amp;IF(INDEX('CARNET DE SOUDURE'!$AL$7:$AL$3006,MATCH(81,'CARNET DE SOUDURE'!$AV$7:$AV$3006,0))&lt;&gt;""," / "&amp;INDEX('CARNET DE SOUDURE'!$AL$7:$AL$3006,MATCH(81,'CARNET DE SOUDURE'!$AV$7:$AV$3006,0)),""))</f>
        <v/>
      </c>
      <c r="M92" s="127" t="str">
        <f aca="false">IF($B92="","",INDEX('CARNET DE SOUDURE'!$AP$7:$AP$3006,MATCH(81,'CARNET DE SOUDURE'!$AV$7:$AV$3006,0)))</f>
        <v/>
      </c>
      <c r="N92" s="127" t="str">
        <f aca="false">IF($B92="","",INDEX('CARNET DE SOUDURE'!$AQ$7:$AQ$3006,MATCH(81,'CARNET DE SOUDURE'!$AV$7:$AV$3006,0)))</f>
        <v/>
      </c>
      <c r="O92" s="128" t="str">
        <f aca="false">IF($B92="","",INDEX('CARNET DE SOUDURE'!$AR$7:$AR$3006,MATCH(81,'CARNET DE SOUDURE'!$AV$7:$AV$3006,0)))</f>
        <v/>
      </c>
    </row>
    <row r="93" customFormat="false" ht="15" hidden="false" customHeight="false" outlineLevel="0" collapsed="false">
      <c r="B93" s="130" t="str">
        <f aca="false">IF(82&gt;$I$4,"",82)</f>
        <v/>
      </c>
      <c r="C93" s="130" t="str">
        <f aca="false">IF($B93="","",INDEX('CARNET DE SOUDURE'!$B$7:$B$3006,MATCH(82,'CARNET DE SOUDURE'!$AV$7:$AV$3006,0)))</f>
        <v/>
      </c>
      <c r="D93" s="130" t="str">
        <f aca="false">IF($B93="","",INDEX('CARNET DE SOUDURE'!$E$7:$E$3006,MATCH(82,'CARNET DE SOUDURE'!$AV$7:$AV$3006,0)))</f>
        <v/>
      </c>
      <c r="E93" s="130" t="str">
        <f aca="false">IF($B93="","",INDEX('CARNET DE SOUDURE'!$R$7:$R$3006,MATCH(82,'CARNET DE SOUDURE'!$AV$7:$AV$3006,0))&amp;IF(INDEX('CARNET DE SOUDURE'!$S$7:$S$3006,MATCH(82,'CARNET DE SOUDURE'!$AV$7:$AV$3006,0))&lt;&gt;""," / "&amp;INDEX('CARNET DE SOUDURE'!$S$7:$S$3006,MATCH(82,'CARNET DE SOUDURE'!$AV$7:$AV$3006,0)),"")&amp;IF(INDEX('CARNET DE SOUDURE'!$T$7:$T$3006,MATCH(82,'CARNET DE SOUDURE'!$AV$7:$AV$3006,0))&lt;&gt;""," / "&amp;INDEX('CARNET DE SOUDURE'!$T$7:$T$3006,MATCH(82,'CARNET DE SOUDURE'!$AV$7:$AV$3006,0)),""))</f>
        <v/>
      </c>
      <c r="F93" s="131" t="str">
        <f aca="false">IF($B93="","",INDEX('CARNET DE SOUDURE'!$Y$7:$Y$3006,MATCH(82,'CARNET DE SOUDURE'!$AV$7:$AV$3006,0)))</f>
        <v/>
      </c>
      <c r="G93" s="130" t="str">
        <f aca="false">IF($B93="","",INDEX('CARNET DE SOUDURE'!$Z$7:$Z$3006,MATCH(82,'CARNET DE SOUDURE'!$AV$7:$AV$3006,0))&amp;"")</f>
        <v/>
      </c>
      <c r="H93" s="132" t="str">
        <f aca="false">IF($B93="","",INDEX('CARNET DE SOUDURE'!$AA$7:$AA$3006,MATCH(82,'CARNET DE SOUDURE'!$AV$7:$AV$3006,0)))</f>
        <v/>
      </c>
      <c r="I93" s="130" t="str">
        <f aca="false">IF($B93="","",INDEX('CARNET DE SOUDURE'!$AB$7:$AB$3006,MATCH(82,'CARNET DE SOUDURE'!$AV$7:$AV$3006,0))&amp;"")</f>
        <v/>
      </c>
      <c r="J93" s="130" t="str">
        <f aca="false">IF($B93="","",INDEX('CARNET DE SOUDURE'!$AC$7:$AC$3006,MATCH(82,'CARNET DE SOUDURE'!$AV$7:$AV$3006,0))&amp;IF(INDEX('CARNET DE SOUDURE'!$AH$7:$AH$3006,MATCH(82,'CARNET DE SOUDURE'!$AV$7:$AV$3006,0))&lt;&gt;""," / "&amp;INDEX('CARNET DE SOUDURE'!$AH$7:$AH$3006,MATCH(82,'CARNET DE SOUDURE'!$AV$7:$AV$3006,0)),""))</f>
        <v/>
      </c>
      <c r="K93" s="130" t="str">
        <f aca="false">IF($B93="","",INDEX('CARNET DE SOUDURE'!$AD$7:$AD$3006,MATCH(82,'CARNET DE SOUDURE'!$AV$7:$AV$3006,0))&amp;IF(INDEX('CARNET DE SOUDURE'!$AI$7:$AI$3006,MATCH(82,'CARNET DE SOUDURE'!$AV$7:$AV$3006,0))&lt;&gt;""," / "&amp;INDEX('CARNET DE SOUDURE'!$AI$7:$AI$3006,MATCH(82,'CARNET DE SOUDURE'!$AV$7:$AV$3006,0)),""))</f>
        <v/>
      </c>
      <c r="L93" s="130" t="str">
        <f aca="false">IF($B93="","",INDEX('CARNET DE SOUDURE'!$AG$7:$AG$3006,MATCH(82,'CARNET DE SOUDURE'!$AV$7:$AV$3006,0))&amp;IF(INDEX('CARNET DE SOUDURE'!$AL$7:$AL$3006,MATCH(82,'CARNET DE SOUDURE'!$AV$7:$AV$3006,0))&lt;&gt;""," / "&amp;INDEX('CARNET DE SOUDURE'!$AL$7:$AL$3006,MATCH(82,'CARNET DE SOUDURE'!$AV$7:$AV$3006,0)),""))</f>
        <v/>
      </c>
      <c r="M93" s="132" t="str">
        <f aca="false">IF($B93="","",INDEX('CARNET DE SOUDURE'!$AP$7:$AP$3006,MATCH(82,'CARNET DE SOUDURE'!$AV$7:$AV$3006,0)))</f>
        <v/>
      </c>
      <c r="N93" s="132" t="str">
        <f aca="false">IF($B93="","",INDEX('CARNET DE SOUDURE'!$AQ$7:$AQ$3006,MATCH(82,'CARNET DE SOUDURE'!$AV$7:$AV$3006,0)))</f>
        <v/>
      </c>
      <c r="O93" s="133" t="str">
        <f aca="false">IF($B93="","",INDEX('CARNET DE SOUDURE'!$AR$7:$AR$3006,MATCH(82,'CARNET DE SOUDURE'!$AV$7:$AV$3006,0)))</f>
        <v/>
      </c>
    </row>
    <row r="94" customFormat="false" ht="15" hidden="false" customHeight="false" outlineLevel="0" collapsed="false">
      <c r="B94" s="125" t="str">
        <f aca="false">IF(83&gt;$I$4,"",83)</f>
        <v/>
      </c>
      <c r="C94" s="125" t="str">
        <f aca="false">IF($B94="","",INDEX('CARNET DE SOUDURE'!$B$7:$B$3006,MATCH(83,'CARNET DE SOUDURE'!$AV$7:$AV$3006,0)))</f>
        <v/>
      </c>
      <c r="D94" s="125" t="str">
        <f aca="false">IF($B94="","",INDEX('CARNET DE SOUDURE'!$E$7:$E$3006,MATCH(83,'CARNET DE SOUDURE'!$AV$7:$AV$3006,0)))</f>
        <v/>
      </c>
      <c r="E94" s="125" t="str">
        <f aca="false">IF($B94="","",INDEX('CARNET DE SOUDURE'!$R$7:$R$3006,MATCH(83,'CARNET DE SOUDURE'!$AV$7:$AV$3006,0))&amp;IF(INDEX('CARNET DE SOUDURE'!$S$7:$S$3006,MATCH(83,'CARNET DE SOUDURE'!$AV$7:$AV$3006,0))&lt;&gt;""," / "&amp;INDEX('CARNET DE SOUDURE'!$S$7:$S$3006,MATCH(83,'CARNET DE SOUDURE'!$AV$7:$AV$3006,0)),"")&amp;IF(INDEX('CARNET DE SOUDURE'!$T$7:$T$3006,MATCH(83,'CARNET DE SOUDURE'!$AV$7:$AV$3006,0))&lt;&gt;""," / "&amp;INDEX('CARNET DE SOUDURE'!$T$7:$T$3006,MATCH(83,'CARNET DE SOUDURE'!$AV$7:$AV$3006,0)),""))</f>
        <v/>
      </c>
      <c r="F94" s="126" t="str">
        <f aca="false">IF($B94="","",INDEX('CARNET DE SOUDURE'!$Y$7:$Y$3006,MATCH(83,'CARNET DE SOUDURE'!$AV$7:$AV$3006,0)))</f>
        <v/>
      </c>
      <c r="G94" s="125" t="str">
        <f aca="false">IF($B94="","",INDEX('CARNET DE SOUDURE'!$Z$7:$Z$3006,MATCH(83,'CARNET DE SOUDURE'!$AV$7:$AV$3006,0))&amp;"")</f>
        <v/>
      </c>
      <c r="H94" s="127" t="str">
        <f aca="false">IF($B94="","",INDEX('CARNET DE SOUDURE'!$AA$7:$AA$3006,MATCH(83,'CARNET DE SOUDURE'!$AV$7:$AV$3006,0)))</f>
        <v/>
      </c>
      <c r="I94" s="125" t="str">
        <f aca="false">IF($B94="","",INDEX('CARNET DE SOUDURE'!$AB$7:$AB$3006,MATCH(83,'CARNET DE SOUDURE'!$AV$7:$AV$3006,0))&amp;"")</f>
        <v/>
      </c>
      <c r="J94" s="125" t="str">
        <f aca="false">IF($B94="","",INDEX('CARNET DE SOUDURE'!$AC$7:$AC$3006,MATCH(83,'CARNET DE SOUDURE'!$AV$7:$AV$3006,0))&amp;IF(INDEX('CARNET DE SOUDURE'!$AH$7:$AH$3006,MATCH(83,'CARNET DE SOUDURE'!$AV$7:$AV$3006,0))&lt;&gt;""," / "&amp;INDEX('CARNET DE SOUDURE'!$AH$7:$AH$3006,MATCH(83,'CARNET DE SOUDURE'!$AV$7:$AV$3006,0)),""))</f>
        <v/>
      </c>
      <c r="K94" s="125" t="str">
        <f aca="false">IF($B94="","",INDEX('CARNET DE SOUDURE'!$AD$7:$AD$3006,MATCH(83,'CARNET DE SOUDURE'!$AV$7:$AV$3006,0))&amp;IF(INDEX('CARNET DE SOUDURE'!$AI$7:$AI$3006,MATCH(83,'CARNET DE SOUDURE'!$AV$7:$AV$3006,0))&lt;&gt;""," / "&amp;INDEX('CARNET DE SOUDURE'!$AI$7:$AI$3006,MATCH(83,'CARNET DE SOUDURE'!$AV$7:$AV$3006,0)),""))</f>
        <v/>
      </c>
      <c r="L94" s="125" t="str">
        <f aca="false">IF($B94="","",INDEX('CARNET DE SOUDURE'!$AG$7:$AG$3006,MATCH(83,'CARNET DE SOUDURE'!$AV$7:$AV$3006,0))&amp;IF(INDEX('CARNET DE SOUDURE'!$AL$7:$AL$3006,MATCH(83,'CARNET DE SOUDURE'!$AV$7:$AV$3006,0))&lt;&gt;""," / "&amp;INDEX('CARNET DE SOUDURE'!$AL$7:$AL$3006,MATCH(83,'CARNET DE SOUDURE'!$AV$7:$AV$3006,0)),""))</f>
        <v/>
      </c>
      <c r="M94" s="127" t="str">
        <f aca="false">IF($B94="","",INDEX('CARNET DE SOUDURE'!$AP$7:$AP$3006,MATCH(83,'CARNET DE SOUDURE'!$AV$7:$AV$3006,0)))</f>
        <v/>
      </c>
      <c r="N94" s="127" t="str">
        <f aca="false">IF($B94="","",INDEX('CARNET DE SOUDURE'!$AQ$7:$AQ$3006,MATCH(83,'CARNET DE SOUDURE'!$AV$7:$AV$3006,0)))</f>
        <v/>
      </c>
      <c r="O94" s="128" t="str">
        <f aca="false">IF($B94="","",INDEX('CARNET DE SOUDURE'!$AR$7:$AR$3006,MATCH(83,'CARNET DE SOUDURE'!$AV$7:$AV$3006,0)))</f>
        <v/>
      </c>
    </row>
    <row r="95" customFormat="false" ht="15" hidden="false" customHeight="false" outlineLevel="0" collapsed="false">
      <c r="B95" s="130" t="str">
        <f aca="false">IF(84&gt;$I$4,"",84)</f>
        <v/>
      </c>
      <c r="C95" s="130" t="str">
        <f aca="false">IF($B95="","",INDEX('CARNET DE SOUDURE'!$B$7:$B$3006,MATCH(84,'CARNET DE SOUDURE'!$AV$7:$AV$3006,0)))</f>
        <v/>
      </c>
      <c r="D95" s="130" t="str">
        <f aca="false">IF($B95="","",INDEX('CARNET DE SOUDURE'!$E$7:$E$3006,MATCH(84,'CARNET DE SOUDURE'!$AV$7:$AV$3006,0)))</f>
        <v/>
      </c>
      <c r="E95" s="130" t="str">
        <f aca="false">IF($B95="","",INDEX('CARNET DE SOUDURE'!$R$7:$R$3006,MATCH(84,'CARNET DE SOUDURE'!$AV$7:$AV$3006,0))&amp;IF(INDEX('CARNET DE SOUDURE'!$S$7:$S$3006,MATCH(84,'CARNET DE SOUDURE'!$AV$7:$AV$3006,0))&lt;&gt;""," / "&amp;INDEX('CARNET DE SOUDURE'!$S$7:$S$3006,MATCH(84,'CARNET DE SOUDURE'!$AV$7:$AV$3006,0)),"")&amp;IF(INDEX('CARNET DE SOUDURE'!$T$7:$T$3006,MATCH(84,'CARNET DE SOUDURE'!$AV$7:$AV$3006,0))&lt;&gt;""," / "&amp;INDEX('CARNET DE SOUDURE'!$T$7:$T$3006,MATCH(84,'CARNET DE SOUDURE'!$AV$7:$AV$3006,0)),""))</f>
        <v/>
      </c>
      <c r="F95" s="131" t="str">
        <f aca="false">IF($B95="","",INDEX('CARNET DE SOUDURE'!$Y$7:$Y$3006,MATCH(84,'CARNET DE SOUDURE'!$AV$7:$AV$3006,0)))</f>
        <v/>
      </c>
      <c r="G95" s="130" t="str">
        <f aca="false">IF($B95="","",INDEX('CARNET DE SOUDURE'!$Z$7:$Z$3006,MATCH(84,'CARNET DE SOUDURE'!$AV$7:$AV$3006,0))&amp;"")</f>
        <v/>
      </c>
      <c r="H95" s="132" t="str">
        <f aca="false">IF($B95="","",INDEX('CARNET DE SOUDURE'!$AA$7:$AA$3006,MATCH(84,'CARNET DE SOUDURE'!$AV$7:$AV$3006,0)))</f>
        <v/>
      </c>
      <c r="I95" s="130" t="str">
        <f aca="false">IF($B95="","",INDEX('CARNET DE SOUDURE'!$AB$7:$AB$3006,MATCH(84,'CARNET DE SOUDURE'!$AV$7:$AV$3006,0))&amp;"")</f>
        <v/>
      </c>
      <c r="J95" s="130" t="str">
        <f aca="false">IF($B95="","",INDEX('CARNET DE SOUDURE'!$AC$7:$AC$3006,MATCH(84,'CARNET DE SOUDURE'!$AV$7:$AV$3006,0))&amp;IF(INDEX('CARNET DE SOUDURE'!$AH$7:$AH$3006,MATCH(84,'CARNET DE SOUDURE'!$AV$7:$AV$3006,0))&lt;&gt;""," / "&amp;INDEX('CARNET DE SOUDURE'!$AH$7:$AH$3006,MATCH(84,'CARNET DE SOUDURE'!$AV$7:$AV$3006,0)),""))</f>
        <v/>
      </c>
      <c r="K95" s="130" t="str">
        <f aca="false">IF($B95="","",INDEX('CARNET DE SOUDURE'!$AD$7:$AD$3006,MATCH(84,'CARNET DE SOUDURE'!$AV$7:$AV$3006,0))&amp;IF(INDEX('CARNET DE SOUDURE'!$AI$7:$AI$3006,MATCH(84,'CARNET DE SOUDURE'!$AV$7:$AV$3006,0))&lt;&gt;""," / "&amp;INDEX('CARNET DE SOUDURE'!$AI$7:$AI$3006,MATCH(84,'CARNET DE SOUDURE'!$AV$7:$AV$3006,0)),""))</f>
        <v/>
      </c>
      <c r="L95" s="130" t="str">
        <f aca="false">IF($B95="","",INDEX('CARNET DE SOUDURE'!$AG$7:$AG$3006,MATCH(84,'CARNET DE SOUDURE'!$AV$7:$AV$3006,0))&amp;IF(INDEX('CARNET DE SOUDURE'!$AL$7:$AL$3006,MATCH(84,'CARNET DE SOUDURE'!$AV$7:$AV$3006,0))&lt;&gt;""," / "&amp;INDEX('CARNET DE SOUDURE'!$AL$7:$AL$3006,MATCH(84,'CARNET DE SOUDURE'!$AV$7:$AV$3006,0)),""))</f>
        <v/>
      </c>
      <c r="M95" s="132" t="str">
        <f aca="false">IF($B95="","",INDEX('CARNET DE SOUDURE'!$AP$7:$AP$3006,MATCH(84,'CARNET DE SOUDURE'!$AV$7:$AV$3006,0)))</f>
        <v/>
      </c>
      <c r="N95" s="132" t="str">
        <f aca="false">IF($B95="","",INDEX('CARNET DE SOUDURE'!$AQ$7:$AQ$3006,MATCH(84,'CARNET DE SOUDURE'!$AV$7:$AV$3006,0)))</f>
        <v/>
      </c>
      <c r="O95" s="133" t="str">
        <f aca="false">IF($B95="","",INDEX('CARNET DE SOUDURE'!$AR$7:$AR$3006,MATCH(84,'CARNET DE SOUDURE'!$AV$7:$AV$3006,0)))</f>
        <v/>
      </c>
    </row>
    <row r="96" customFormat="false" ht="15" hidden="false" customHeight="false" outlineLevel="0" collapsed="false">
      <c r="B96" s="125" t="str">
        <f aca="false">IF(85&gt;$I$4,"",85)</f>
        <v/>
      </c>
      <c r="C96" s="125" t="str">
        <f aca="false">IF($B96="","",INDEX('CARNET DE SOUDURE'!$B$7:$B$3006,MATCH(85,'CARNET DE SOUDURE'!$AV$7:$AV$3006,0)))</f>
        <v/>
      </c>
      <c r="D96" s="125" t="str">
        <f aca="false">IF($B96="","",INDEX('CARNET DE SOUDURE'!$E$7:$E$3006,MATCH(85,'CARNET DE SOUDURE'!$AV$7:$AV$3006,0)))</f>
        <v/>
      </c>
      <c r="E96" s="125" t="str">
        <f aca="false">IF($B96="","",INDEX('CARNET DE SOUDURE'!$R$7:$R$3006,MATCH(85,'CARNET DE SOUDURE'!$AV$7:$AV$3006,0))&amp;IF(INDEX('CARNET DE SOUDURE'!$S$7:$S$3006,MATCH(85,'CARNET DE SOUDURE'!$AV$7:$AV$3006,0))&lt;&gt;""," / "&amp;INDEX('CARNET DE SOUDURE'!$S$7:$S$3006,MATCH(85,'CARNET DE SOUDURE'!$AV$7:$AV$3006,0)),"")&amp;IF(INDEX('CARNET DE SOUDURE'!$T$7:$T$3006,MATCH(85,'CARNET DE SOUDURE'!$AV$7:$AV$3006,0))&lt;&gt;""," / "&amp;INDEX('CARNET DE SOUDURE'!$T$7:$T$3006,MATCH(85,'CARNET DE SOUDURE'!$AV$7:$AV$3006,0)),""))</f>
        <v/>
      </c>
      <c r="F96" s="126" t="str">
        <f aca="false">IF($B96="","",INDEX('CARNET DE SOUDURE'!$Y$7:$Y$3006,MATCH(85,'CARNET DE SOUDURE'!$AV$7:$AV$3006,0)))</f>
        <v/>
      </c>
      <c r="G96" s="125" t="str">
        <f aca="false">IF($B96="","",INDEX('CARNET DE SOUDURE'!$Z$7:$Z$3006,MATCH(85,'CARNET DE SOUDURE'!$AV$7:$AV$3006,0))&amp;"")</f>
        <v/>
      </c>
      <c r="H96" s="127" t="str">
        <f aca="false">IF($B96="","",INDEX('CARNET DE SOUDURE'!$AA$7:$AA$3006,MATCH(85,'CARNET DE SOUDURE'!$AV$7:$AV$3006,0)))</f>
        <v/>
      </c>
      <c r="I96" s="125" t="str">
        <f aca="false">IF($B96="","",INDEX('CARNET DE SOUDURE'!$AB$7:$AB$3006,MATCH(85,'CARNET DE SOUDURE'!$AV$7:$AV$3006,0))&amp;"")</f>
        <v/>
      </c>
      <c r="J96" s="125" t="str">
        <f aca="false">IF($B96="","",INDEX('CARNET DE SOUDURE'!$AC$7:$AC$3006,MATCH(85,'CARNET DE SOUDURE'!$AV$7:$AV$3006,0))&amp;IF(INDEX('CARNET DE SOUDURE'!$AH$7:$AH$3006,MATCH(85,'CARNET DE SOUDURE'!$AV$7:$AV$3006,0))&lt;&gt;""," / "&amp;INDEX('CARNET DE SOUDURE'!$AH$7:$AH$3006,MATCH(85,'CARNET DE SOUDURE'!$AV$7:$AV$3006,0)),""))</f>
        <v/>
      </c>
      <c r="K96" s="125" t="str">
        <f aca="false">IF($B96="","",INDEX('CARNET DE SOUDURE'!$AD$7:$AD$3006,MATCH(85,'CARNET DE SOUDURE'!$AV$7:$AV$3006,0))&amp;IF(INDEX('CARNET DE SOUDURE'!$AI$7:$AI$3006,MATCH(85,'CARNET DE SOUDURE'!$AV$7:$AV$3006,0))&lt;&gt;""," / "&amp;INDEX('CARNET DE SOUDURE'!$AI$7:$AI$3006,MATCH(85,'CARNET DE SOUDURE'!$AV$7:$AV$3006,0)),""))</f>
        <v/>
      </c>
      <c r="L96" s="125" t="str">
        <f aca="false">IF($B96="","",INDEX('CARNET DE SOUDURE'!$AG$7:$AG$3006,MATCH(85,'CARNET DE SOUDURE'!$AV$7:$AV$3006,0))&amp;IF(INDEX('CARNET DE SOUDURE'!$AL$7:$AL$3006,MATCH(85,'CARNET DE SOUDURE'!$AV$7:$AV$3006,0))&lt;&gt;""," / "&amp;INDEX('CARNET DE SOUDURE'!$AL$7:$AL$3006,MATCH(85,'CARNET DE SOUDURE'!$AV$7:$AV$3006,0)),""))</f>
        <v/>
      </c>
      <c r="M96" s="127" t="str">
        <f aca="false">IF($B96="","",INDEX('CARNET DE SOUDURE'!$AP$7:$AP$3006,MATCH(85,'CARNET DE SOUDURE'!$AV$7:$AV$3006,0)))</f>
        <v/>
      </c>
      <c r="N96" s="127" t="str">
        <f aca="false">IF($B96="","",INDEX('CARNET DE SOUDURE'!$AQ$7:$AQ$3006,MATCH(85,'CARNET DE SOUDURE'!$AV$7:$AV$3006,0)))</f>
        <v/>
      </c>
      <c r="O96" s="128" t="str">
        <f aca="false">IF($B96="","",INDEX('CARNET DE SOUDURE'!$AR$7:$AR$3006,MATCH(85,'CARNET DE SOUDURE'!$AV$7:$AV$3006,0)))</f>
        <v/>
      </c>
    </row>
    <row r="97" customFormat="false" ht="15" hidden="false" customHeight="false" outlineLevel="0" collapsed="false">
      <c r="B97" s="130" t="str">
        <f aca="false">IF(86&gt;$I$4,"",86)</f>
        <v/>
      </c>
      <c r="C97" s="130" t="str">
        <f aca="false">IF($B97="","",INDEX('CARNET DE SOUDURE'!$B$7:$B$3006,MATCH(86,'CARNET DE SOUDURE'!$AV$7:$AV$3006,0)))</f>
        <v/>
      </c>
      <c r="D97" s="130" t="str">
        <f aca="false">IF($B97="","",INDEX('CARNET DE SOUDURE'!$E$7:$E$3006,MATCH(86,'CARNET DE SOUDURE'!$AV$7:$AV$3006,0)))</f>
        <v/>
      </c>
      <c r="E97" s="130" t="str">
        <f aca="false">IF($B97="","",INDEX('CARNET DE SOUDURE'!$R$7:$R$3006,MATCH(86,'CARNET DE SOUDURE'!$AV$7:$AV$3006,0))&amp;IF(INDEX('CARNET DE SOUDURE'!$S$7:$S$3006,MATCH(86,'CARNET DE SOUDURE'!$AV$7:$AV$3006,0))&lt;&gt;""," / "&amp;INDEX('CARNET DE SOUDURE'!$S$7:$S$3006,MATCH(86,'CARNET DE SOUDURE'!$AV$7:$AV$3006,0)),"")&amp;IF(INDEX('CARNET DE SOUDURE'!$T$7:$T$3006,MATCH(86,'CARNET DE SOUDURE'!$AV$7:$AV$3006,0))&lt;&gt;""," / "&amp;INDEX('CARNET DE SOUDURE'!$T$7:$T$3006,MATCH(86,'CARNET DE SOUDURE'!$AV$7:$AV$3006,0)),""))</f>
        <v/>
      </c>
      <c r="F97" s="131" t="str">
        <f aca="false">IF($B97="","",INDEX('CARNET DE SOUDURE'!$Y$7:$Y$3006,MATCH(86,'CARNET DE SOUDURE'!$AV$7:$AV$3006,0)))</f>
        <v/>
      </c>
      <c r="G97" s="130" t="str">
        <f aca="false">IF($B97="","",INDEX('CARNET DE SOUDURE'!$Z$7:$Z$3006,MATCH(86,'CARNET DE SOUDURE'!$AV$7:$AV$3006,0))&amp;"")</f>
        <v/>
      </c>
      <c r="H97" s="132" t="str">
        <f aca="false">IF($B97="","",INDEX('CARNET DE SOUDURE'!$AA$7:$AA$3006,MATCH(86,'CARNET DE SOUDURE'!$AV$7:$AV$3006,0)))</f>
        <v/>
      </c>
      <c r="I97" s="130" t="str">
        <f aca="false">IF($B97="","",INDEX('CARNET DE SOUDURE'!$AB$7:$AB$3006,MATCH(86,'CARNET DE SOUDURE'!$AV$7:$AV$3006,0))&amp;"")</f>
        <v/>
      </c>
      <c r="J97" s="130" t="str">
        <f aca="false">IF($B97="","",INDEX('CARNET DE SOUDURE'!$AC$7:$AC$3006,MATCH(86,'CARNET DE SOUDURE'!$AV$7:$AV$3006,0))&amp;IF(INDEX('CARNET DE SOUDURE'!$AH$7:$AH$3006,MATCH(86,'CARNET DE SOUDURE'!$AV$7:$AV$3006,0))&lt;&gt;""," / "&amp;INDEX('CARNET DE SOUDURE'!$AH$7:$AH$3006,MATCH(86,'CARNET DE SOUDURE'!$AV$7:$AV$3006,0)),""))</f>
        <v/>
      </c>
      <c r="K97" s="130" t="str">
        <f aca="false">IF($B97="","",INDEX('CARNET DE SOUDURE'!$AD$7:$AD$3006,MATCH(86,'CARNET DE SOUDURE'!$AV$7:$AV$3006,0))&amp;IF(INDEX('CARNET DE SOUDURE'!$AI$7:$AI$3006,MATCH(86,'CARNET DE SOUDURE'!$AV$7:$AV$3006,0))&lt;&gt;""," / "&amp;INDEX('CARNET DE SOUDURE'!$AI$7:$AI$3006,MATCH(86,'CARNET DE SOUDURE'!$AV$7:$AV$3006,0)),""))</f>
        <v/>
      </c>
      <c r="L97" s="130" t="str">
        <f aca="false">IF($B97="","",INDEX('CARNET DE SOUDURE'!$AG$7:$AG$3006,MATCH(86,'CARNET DE SOUDURE'!$AV$7:$AV$3006,0))&amp;IF(INDEX('CARNET DE SOUDURE'!$AL$7:$AL$3006,MATCH(86,'CARNET DE SOUDURE'!$AV$7:$AV$3006,0))&lt;&gt;""," / "&amp;INDEX('CARNET DE SOUDURE'!$AL$7:$AL$3006,MATCH(86,'CARNET DE SOUDURE'!$AV$7:$AV$3006,0)),""))</f>
        <v/>
      </c>
      <c r="M97" s="132" t="str">
        <f aca="false">IF($B97="","",INDEX('CARNET DE SOUDURE'!$AP$7:$AP$3006,MATCH(86,'CARNET DE SOUDURE'!$AV$7:$AV$3006,0)))</f>
        <v/>
      </c>
      <c r="N97" s="132" t="str">
        <f aca="false">IF($B97="","",INDEX('CARNET DE SOUDURE'!$AQ$7:$AQ$3006,MATCH(86,'CARNET DE SOUDURE'!$AV$7:$AV$3006,0)))</f>
        <v/>
      </c>
      <c r="O97" s="133" t="str">
        <f aca="false">IF($B97="","",INDEX('CARNET DE SOUDURE'!$AR$7:$AR$3006,MATCH(86,'CARNET DE SOUDURE'!$AV$7:$AV$3006,0)))</f>
        <v/>
      </c>
    </row>
    <row r="98" customFormat="false" ht="15" hidden="false" customHeight="false" outlineLevel="0" collapsed="false">
      <c r="B98" s="125" t="str">
        <f aca="false">IF(87&gt;$I$4,"",87)</f>
        <v/>
      </c>
      <c r="C98" s="125" t="str">
        <f aca="false">IF($B98="","",INDEX('CARNET DE SOUDURE'!$B$7:$B$3006,MATCH(87,'CARNET DE SOUDURE'!$AV$7:$AV$3006,0)))</f>
        <v/>
      </c>
      <c r="D98" s="125" t="str">
        <f aca="false">IF($B98="","",INDEX('CARNET DE SOUDURE'!$E$7:$E$3006,MATCH(87,'CARNET DE SOUDURE'!$AV$7:$AV$3006,0)))</f>
        <v/>
      </c>
      <c r="E98" s="125" t="str">
        <f aca="false">IF($B98="","",INDEX('CARNET DE SOUDURE'!$R$7:$R$3006,MATCH(87,'CARNET DE SOUDURE'!$AV$7:$AV$3006,0))&amp;IF(INDEX('CARNET DE SOUDURE'!$S$7:$S$3006,MATCH(87,'CARNET DE SOUDURE'!$AV$7:$AV$3006,0))&lt;&gt;""," / "&amp;INDEX('CARNET DE SOUDURE'!$S$7:$S$3006,MATCH(87,'CARNET DE SOUDURE'!$AV$7:$AV$3006,0)),"")&amp;IF(INDEX('CARNET DE SOUDURE'!$T$7:$T$3006,MATCH(87,'CARNET DE SOUDURE'!$AV$7:$AV$3006,0))&lt;&gt;""," / "&amp;INDEX('CARNET DE SOUDURE'!$T$7:$T$3006,MATCH(87,'CARNET DE SOUDURE'!$AV$7:$AV$3006,0)),""))</f>
        <v/>
      </c>
      <c r="F98" s="126" t="str">
        <f aca="false">IF($B98="","",INDEX('CARNET DE SOUDURE'!$Y$7:$Y$3006,MATCH(87,'CARNET DE SOUDURE'!$AV$7:$AV$3006,0)))</f>
        <v/>
      </c>
      <c r="G98" s="125" t="str">
        <f aca="false">IF($B98="","",INDEX('CARNET DE SOUDURE'!$Z$7:$Z$3006,MATCH(87,'CARNET DE SOUDURE'!$AV$7:$AV$3006,0))&amp;"")</f>
        <v/>
      </c>
      <c r="H98" s="127" t="str">
        <f aca="false">IF($B98="","",INDEX('CARNET DE SOUDURE'!$AA$7:$AA$3006,MATCH(87,'CARNET DE SOUDURE'!$AV$7:$AV$3006,0)))</f>
        <v/>
      </c>
      <c r="I98" s="125" t="str">
        <f aca="false">IF($B98="","",INDEX('CARNET DE SOUDURE'!$AB$7:$AB$3006,MATCH(87,'CARNET DE SOUDURE'!$AV$7:$AV$3006,0))&amp;"")</f>
        <v/>
      </c>
      <c r="J98" s="125" t="str">
        <f aca="false">IF($B98="","",INDEX('CARNET DE SOUDURE'!$AC$7:$AC$3006,MATCH(87,'CARNET DE SOUDURE'!$AV$7:$AV$3006,0))&amp;IF(INDEX('CARNET DE SOUDURE'!$AH$7:$AH$3006,MATCH(87,'CARNET DE SOUDURE'!$AV$7:$AV$3006,0))&lt;&gt;""," / "&amp;INDEX('CARNET DE SOUDURE'!$AH$7:$AH$3006,MATCH(87,'CARNET DE SOUDURE'!$AV$7:$AV$3006,0)),""))</f>
        <v/>
      </c>
      <c r="K98" s="125" t="str">
        <f aca="false">IF($B98="","",INDEX('CARNET DE SOUDURE'!$AD$7:$AD$3006,MATCH(87,'CARNET DE SOUDURE'!$AV$7:$AV$3006,0))&amp;IF(INDEX('CARNET DE SOUDURE'!$AI$7:$AI$3006,MATCH(87,'CARNET DE SOUDURE'!$AV$7:$AV$3006,0))&lt;&gt;""," / "&amp;INDEX('CARNET DE SOUDURE'!$AI$7:$AI$3006,MATCH(87,'CARNET DE SOUDURE'!$AV$7:$AV$3006,0)),""))</f>
        <v/>
      </c>
      <c r="L98" s="125" t="str">
        <f aca="false">IF($B98="","",INDEX('CARNET DE SOUDURE'!$AG$7:$AG$3006,MATCH(87,'CARNET DE SOUDURE'!$AV$7:$AV$3006,0))&amp;IF(INDEX('CARNET DE SOUDURE'!$AL$7:$AL$3006,MATCH(87,'CARNET DE SOUDURE'!$AV$7:$AV$3006,0))&lt;&gt;""," / "&amp;INDEX('CARNET DE SOUDURE'!$AL$7:$AL$3006,MATCH(87,'CARNET DE SOUDURE'!$AV$7:$AV$3006,0)),""))</f>
        <v/>
      </c>
      <c r="M98" s="127" t="str">
        <f aca="false">IF($B98="","",INDEX('CARNET DE SOUDURE'!$AP$7:$AP$3006,MATCH(87,'CARNET DE SOUDURE'!$AV$7:$AV$3006,0)))</f>
        <v/>
      </c>
      <c r="N98" s="127" t="str">
        <f aca="false">IF($B98="","",INDEX('CARNET DE SOUDURE'!$AQ$7:$AQ$3006,MATCH(87,'CARNET DE SOUDURE'!$AV$7:$AV$3006,0)))</f>
        <v/>
      </c>
      <c r="O98" s="128" t="str">
        <f aca="false">IF($B98="","",INDEX('CARNET DE SOUDURE'!$AR$7:$AR$3006,MATCH(87,'CARNET DE SOUDURE'!$AV$7:$AV$3006,0)))</f>
        <v/>
      </c>
    </row>
    <row r="99" customFormat="false" ht="15" hidden="false" customHeight="false" outlineLevel="0" collapsed="false">
      <c r="B99" s="130" t="str">
        <f aca="false">IF(88&gt;$I$4,"",88)</f>
        <v/>
      </c>
      <c r="C99" s="130" t="str">
        <f aca="false">IF($B99="","",INDEX('CARNET DE SOUDURE'!$B$7:$B$3006,MATCH(88,'CARNET DE SOUDURE'!$AV$7:$AV$3006,0)))</f>
        <v/>
      </c>
      <c r="D99" s="130" t="str">
        <f aca="false">IF($B99="","",INDEX('CARNET DE SOUDURE'!$E$7:$E$3006,MATCH(88,'CARNET DE SOUDURE'!$AV$7:$AV$3006,0)))</f>
        <v/>
      </c>
      <c r="E99" s="130" t="str">
        <f aca="false">IF($B99="","",INDEX('CARNET DE SOUDURE'!$R$7:$R$3006,MATCH(88,'CARNET DE SOUDURE'!$AV$7:$AV$3006,0))&amp;IF(INDEX('CARNET DE SOUDURE'!$S$7:$S$3006,MATCH(88,'CARNET DE SOUDURE'!$AV$7:$AV$3006,0))&lt;&gt;""," / "&amp;INDEX('CARNET DE SOUDURE'!$S$7:$S$3006,MATCH(88,'CARNET DE SOUDURE'!$AV$7:$AV$3006,0)),"")&amp;IF(INDEX('CARNET DE SOUDURE'!$T$7:$T$3006,MATCH(88,'CARNET DE SOUDURE'!$AV$7:$AV$3006,0))&lt;&gt;""," / "&amp;INDEX('CARNET DE SOUDURE'!$T$7:$T$3006,MATCH(88,'CARNET DE SOUDURE'!$AV$7:$AV$3006,0)),""))</f>
        <v/>
      </c>
      <c r="F99" s="131" t="str">
        <f aca="false">IF($B99="","",INDEX('CARNET DE SOUDURE'!$Y$7:$Y$3006,MATCH(88,'CARNET DE SOUDURE'!$AV$7:$AV$3006,0)))</f>
        <v/>
      </c>
      <c r="G99" s="130" t="str">
        <f aca="false">IF($B99="","",INDEX('CARNET DE SOUDURE'!$Z$7:$Z$3006,MATCH(88,'CARNET DE SOUDURE'!$AV$7:$AV$3006,0))&amp;"")</f>
        <v/>
      </c>
      <c r="H99" s="132" t="str">
        <f aca="false">IF($B99="","",INDEX('CARNET DE SOUDURE'!$AA$7:$AA$3006,MATCH(88,'CARNET DE SOUDURE'!$AV$7:$AV$3006,0)))</f>
        <v/>
      </c>
      <c r="I99" s="130" t="str">
        <f aca="false">IF($B99="","",INDEX('CARNET DE SOUDURE'!$AB$7:$AB$3006,MATCH(88,'CARNET DE SOUDURE'!$AV$7:$AV$3006,0))&amp;"")</f>
        <v/>
      </c>
      <c r="J99" s="130" t="str">
        <f aca="false">IF($B99="","",INDEX('CARNET DE SOUDURE'!$AC$7:$AC$3006,MATCH(88,'CARNET DE SOUDURE'!$AV$7:$AV$3006,0))&amp;IF(INDEX('CARNET DE SOUDURE'!$AH$7:$AH$3006,MATCH(88,'CARNET DE SOUDURE'!$AV$7:$AV$3006,0))&lt;&gt;""," / "&amp;INDEX('CARNET DE SOUDURE'!$AH$7:$AH$3006,MATCH(88,'CARNET DE SOUDURE'!$AV$7:$AV$3006,0)),""))</f>
        <v/>
      </c>
      <c r="K99" s="130" t="str">
        <f aca="false">IF($B99="","",INDEX('CARNET DE SOUDURE'!$AD$7:$AD$3006,MATCH(88,'CARNET DE SOUDURE'!$AV$7:$AV$3006,0))&amp;IF(INDEX('CARNET DE SOUDURE'!$AI$7:$AI$3006,MATCH(88,'CARNET DE SOUDURE'!$AV$7:$AV$3006,0))&lt;&gt;""," / "&amp;INDEX('CARNET DE SOUDURE'!$AI$7:$AI$3006,MATCH(88,'CARNET DE SOUDURE'!$AV$7:$AV$3006,0)),""))</f>
        <v/>
      </c>
      <c r="L99" s="130" t="str">
        <f aca="false">IF($B99="","",INDEX('CARNET DE SOUDURE'!$AG$7:$AG$3006,MATCH(88,'CARNET DE SOUDURE'!$AV$7:$AV$3006,0))&amp;IF(INDEX('CARNET DE SOUDURE'!$AL$7:$AL$3006,MATCH(88,'CARNET DE SOUDURE'!$AV$7:$AV$3006,0))&lt;&gt;""," / "&amp;INDEX('CARNET DE SOUDURE'!$AL$7:$AL$3006,MATCH(88,'CARNET DE SOUDURE'!$AV$7:$AV$3006,0)),""))</f>
        <v/>
      </c>
      <c r="M99" s="132" t="str">
        <f aca="false">IF($B99="","",INDEX('CARNET DE SOUDURE'!$AP$7:$AP$3006,MATCH(88,'CARNET DE SOUDURE'!$AV$7:$AV$3006,0)))</f>
        <v/>
      </c>
      <c r="N99" s="132" t="str">
        <f aca="false">IF($B99="","",INDEX('CARNET DE SOUDURE'!$AQ$7:$AQ$3006,MATCH(88,'CARNET DE SOUDURE'!$AV$7:$AV$3006,0)))</f>
        <v/>
      </c>
      <c r="O99" s="133" t="str">
        <f aca="false">IF($B99="","",INDEX('CARNET DE SOUDURE'!$AR$7:$AR$3006,MATCH(88,'CARNET DE SOUDURE'!$AV$7:$AV$3006,0)))</f>
        <v/>
      </c>
    </row>
    <row r="100" customFormat="false" ht="15" hidden="false" customHeight="false" outlineLevel="0" collapsed="false">
      <c r="B100" s="125" t="str">
        <f aca="false">IF(89&gt;$I$4,"",89)</f>
        <v/>
      </c>
      <c r="C100" s="125" t="str">
        <f aca="false">IF($B100="","",INDEX('CARNET DE SOUDURE'!$B$7:$B$3006,MATCH(89,'CARNET DE SOUDURE'!$AV$7:$AV$3006,0)))</f>
        <v/>
      </c>
      <c r="D100" s="125" t="str">
        <f aca="false">IF($B100="","",INDEX('CARNET DE SOUDURE'!$E$7:$E$3006,MATCH(89,'CARNET DE SOUDURE'!$AV$7:$AV$3006,0)))</f>
        <v/>
      </c>
      <c r="E100" s="125" t="str">
        <f aca="false">IF($B100="","",INDEX('CARNET DE SOUDURE'!$R$7:$R$3006,MATCH(89,'CARNET DE SOUDURE'!$AV$7:$AV$3006,0))&amp;IF(INDEX('CARNET DE SOUDURE'!$S$7:$S$3006,MATCH(89,'CARNET DE SOUDURE'!$AV$7:$AV$3006,0))&lt;&gt;""," / "&amp;INDEX('CARNET DE SOUDURE'!$S$7:$S$3006,MATCH(89,'CARNET DE SOUDURE'!$AV$7:$AV$3006,0)),"")&amp;IF(INDEX('CARNET DE SOUDURE'!$T$7:$T$3006,MATCH(89,'CARNET DE SOUDURE'!$AV$7:$AV$3006,0))&lt;&gt;""," / "&amp;INDEX('CARNET DE SOUDURE'!$T$7:$T$3006,MATCH(89,'CARNET DE SOUDURE'!$AV$7:$AV$3006,0)),""))</f>
        <v/>
      </c>
      <c r="F100" s="126" t="str">
        <f aca="false">IF($B100="","",INDEX('CARNET DE SOUDURE'!$Y$7:$Y$3006,MATCH(89,'CARNET DE SOUDURE'!$AV$7:$AV$3006,0)))</f>
        <v/>
      </c>
      <c r="G100" s="125" t="str">
        <f aca="false">IF($B100="","",INDEX('CARNET DE SOUDURE'!$Z$7:$Z$3006,MATCH(89,'CARNET DE SOUDURE'!$AV$7:$AV$3006,0))&amp;"")</f>
        <v/>
      </c>
      <c r="H100" s="127" t="str">
        <f aca="false">IF($B100="","",INDEX('CARNET DE SOUDURE'!$AA$7:$AA$3006,MATCH(89,'CARNET DE SOUDURE'!$AV$7:$AV$3006,0)))</f>
        <v/>
      </c>
      <c r="I100" s="125" t="str">
        <f aca="false">IF($B100="","",INDEX('CARNET DE SOUDURE'!$AB$7:$AB$3006,MATCH(89,'CARNET DE SOUDURE'!$AV$7:$AV$3006,0))&amp;"")</f>
        <v/>
      </c>
      <c r="J100" s="125" t="str">
        <f aca="false">IF($B100="","",INDEX('CARNET DE SOUDURE'!$AC$7:$AC$3006,MATCH(89,'CARNET DE SOUDURE'!$AV$7:$AV$3006,0))&amp;IF(INDEX('CARNET DE SOUDURE'!$AH$7:$AH$3006,MATCH(89,'CARNET DE SOUDURE'!$AV$7:$AV$3006,0))&lt;&gt;""," / "&amp;INDEX('CARNET DE SOUDURE'!$AH$7:$AH$3006,MATCH(89,'CARNET DE SOUDURE'!$AV$7:$AV$3006,0)),""))</f>
        <v/>
      </c>
      <c r="K100" s="125" t="str">
        <f aca="false">IF($B100="","",INDEX('CARNET DE SOUDURE'!$AD$7:$AD$3006,MATCH(89,'CARNET DE SOUDURE'!$AV$7:$AV$3006,0))&amp;IF(INDEX('CARNET DE SOUDURE'!$AI$7:$AI$3006,MATCH(89,'CARNET DE SOUDURE'!$AV$7:$AV$3006,0))&lt;&gt;""," / "&amp;INDEX('CARNET DE SOUDURE'!$AI$7:$AI$3006,MATCH(89,'CARNET DE SOUDURE'!$AV$7:$AV$3006,0)),""))</f>
        <v/>
      </c>
      <c r="L100" s="125" t="str">
        <f aca="false">IF($B100="","",INDEX('CARNET DE SOUDURE'!$AG$7:$AG$3006,MATCH(89,'CARNET DE SOUDURE'!$AV$7:$AV$3006,0))&amp;IF(INDEX('CARNET DE SOUDURE'!$AL$7:$AL$3006,MATCH(89,'CARNET DE SOUDURE'!$AV$7:$AV$3006,0))&lt;&gt;""," / "&amp;INDEX('CARNET DE SOUDURE'!$AL$7:$AL$3006,MATCH(89,'CARNET DE SOUDURE'!$AV$7:$AV$3006,0)),""))</f>
        <v/>
      </c>
      <c r="M100" s="127" t="str">
        <f aca="false">IF($B100="","",INDEX('CARNET DE SOUDURE'!$AP$7:$AP$3006,MATCH(89,'CARNET DE SOUDURE'!$AV$7:$AV$3006,0)))</f>
        <v/>
      </c>
      <c r="N100" s="127" t="str">
        <f aca="false">IF($B100="","",INDEX('CARNET DE SOUDURE'!$AQ$7:$AQ$3006,MATCH(89,'CARNET DE SOUDURE'!$AV$7:$AV$3006,0)))</f>
        <v/>
      </c>
      <c r="O100" s="128" t="str">
        <f aca="false">IF($B100="","",INDEX('CARNET DE SOUDURE'!$AR$7:$AR$3006,MATCH(89,'CARNET DE SOUDURE'!$AV$7:$AV$3006,0)))</f>
        <v/>
      </c>
    </row>
    <row r="101" customFormat="false" ht="15" hidden="false" customHeight="false" outlineLevel="0" collapsed="false">
      <c r="B101" s="130" t="str">
        <f aca="false">IF(90&gt;$I$4,"",90)</f>
        <v/>
      </c>
      <c r="C101" s="130" t="str">
        <f aca="false">IF($B101="","",INDEX('CARNET DE SOUDURE'!$B$7:$B$3006,MATCH(90,'CARNET DE SOUDURE'!$AV$7:$AV$3006,0)))</f>
        <v/>
      </c>
      <c r="D101" s="130" t="str">
        <f aca="false">IF($B101="","",INDEX('CARNET DE SOUDURE'!$E$7:$E$3006,MATCH(90,'CARNET DE SOUDURE'!$AV$7:$AV$3006,0)))</f>
        <v/>
      </c>
      <c r="E101" s="130" t="str">
        <f aca="false">IF($B101="","",INDEX('CARNET DE SOUDURE'!$R$7:$R$3006,MATCH(90,'CARNET DE SOUDURE'!$AV$7:$AV$3006,0))&amp;IF(INDEX('CARNET DE SOUDURE'!$S$7:$S$3006,MATCH(90,'CARNET DE SOUDURE'!$AV$7:$AV$3006,0))&lt;&gt;""," / "&amp;INDEX('CARNET DE SOUDURE'!$S$7:$S$3006,MATCH(90,'CARNET DE SOUDURE'!$AV$7:$AV$3006,0)),"")&amp;IF(INDEX('CARNET DE SOUDURE'!$T$7:$T$3006,MATCH(90,'CARNET DE SOUDURE'!$AV$7:$AV$3006,0))&lt;&gt;""," / "&amp;INDEX('CARNET DE SOUDURE'!$T$7:$T$3006,MATCH(90,'CARNET DE SOUDURE'!$AV$7:$AV$3006,0)),""))</f>
        <v/>
      </c>
      <c r="F101" s="131" t="str">
        <f aca="false">IF($B101="","",INDEX('CARNET DE SOUDURE'!$Y$7:$Y$3006,MATCH(90,'CARNET DE SOUDURE'!$AV$7:$AV$3006,0)))</f>
        <v/>
      </c>
      <c r="G101" s="130" t="str">
        <f aca="false">IF($B101="","",INDEX('CARNET DE SOUDURE'!$Z$7:$Z$3006,MATCH(90,'CARNET DE SOUDURE'!$AV$7:$AV$3006,0))&amp;"")</f>
        <v/>
      </c>
      <c r="H101" s="132" t="str">
        <f aca="false">IF($B101="","",INDEX('CARNET DE SOUDURE'!$AA$7:$AA$3006,MATCH(90,'CARNET DE SOUDURE'!$AV$7:$AV$3006,0)))</f>
        <v/>
      </c>
      <c r="I101" s="130" t="str">
        <f aca="false">IF($B101="","",INDEX('CARNET DE SOUDURE'!$AB$7:$AB$3006,MATCH(90,'CARNET DE SOUDURE'!$AV$7:$AV$3006,0))&amp;"")</f>
        <v/>
      </c>
      <c r="J101" s="130" t="str">
        <f aca="false">IF($B101="","",INDEX('CARNET DE SOUDURE'!$AC$7:$AC$3006,MATCH(90,'CARNET DE SOUDURE'!$AV$7:$AV$3006,0))&amp;IF(INDEX('CARNET DE SOUDURE'!$AH$7:$AH$3006,MATCH(90,'CARNET DE SOUDURE'!$AV$7:$AV$3006,0))&lt;&gt;""," / "&amp;INDEX('CARNET DE SOUDURE'!$AH$7:$AH$3006,MATCH(90,'CARNET DE SOUDURE'!$AV$7:$AV$3006,0)),""))</f>
        <v/>
      </c>
      <c r="K101" s="130" t="str">
        <f aca="false">IF($B101="","",INDEX('CARNET DE SOUDURE'!$AD$7:$AD$3006,MATCH(90,'CARNET DE SOUDURE'!$AV$7:$AV$3006,0))&amp;IF(INDEX('CARNET DE SOUDURE'!$AI$7:$AI$3006,MATCH(90,'CARNET DE SOUDURE'!$AV$7:$AV$3006,0))&lt;&gt;""," / "&amp;INDEX('CARNET DE SOUDURE'!$AI$7:$AI$3006,MATCH(90,'CARNET DE SOUDURE'!$AV$7:$AV$3006,0)),""))</f>
        <v/>
      </c>
      <c r="L101" s="130" t="str">
        <f aca="false">IF($B101="","",INDEX('CARNET DE SOUDURE'!$AG$7:$AG$3006,MATCH(90,'CARNET DE SOUDURE'!$AV$7:$AV$3006,0))&amp;IF(INDEX('CARNET DE SOUDURE'!$AL$7:$AL$3006,MATCH(90,'CARNET DE SOUDURE'!$AV$7:$AV$3006,0))&lt;&gt;""," / "&amp;INDEX('CARNET DE SOUDURE'!$AL$7:$AL$3006,MATCH(90,'CARNET DE SOUDURE'!$AV$7:$AV$3006,0)),""))</f>
        <v/>
      </c>
      <c r="M101" s="132" t="str">
        <f aca="false">IF($B101="","",INDEX('CARNET DE SOUDURE'!$AP$7:$AP$3006,MATCH(90,'CARNET DE SOUDURE'!$AV$7:$AV$3006,0)))</f>
        <v/>
      </c>
      <c r="N101" s="132" t="str">
        <f aca="false">IF($B101="","",INDEX('CARNET DE SOUDURE'!$AQ$7:$AQ$3006,MATCH(90,'CARNET DE SOUDURE'!$AV$7:$AV$3006,0)))</f>
        <v/>
      </c>
      <c r="O101" s="133" t="str">
        <f aca="false">IF($B101="","",INDEX('CARNET DE SOUDURE'!$AR$7:$AR$3006,MATCH(90,'CARNET DE SOUDURE'!$AV$7:$AV$3006,0)))</f>
        <v/>
      </c>
    </row>
    <row r="102" customFormat="false" ht="15" hidden="false" customHeight="false" outlineLevel="0" collapsed="false">
      <c r="B102" s="125" t="str">
        <f aca="false">IF(91&gt;$I$4,"",91)</f>
        <v/>
      </c>
      <c r="C102" s="125" t="str">
        <f aca="false">IF($B102="","",INDEX('CARNET DE SOUDURE'!$B$7:$B$3006,MATCH(91,'CARNET DE SOUDURE'!$AV$7:$AV$3006,0)))</f>
        <v/>
      </c>
      <c r="D102" s="125" t="str">
        <f aca="false">IF($B102="","",INDEX('CARNET DE SOUDURE'!$E$7:$E$3006,MATCH(91,'CARNET DE SOUDURE'!$AV$7:$AV$3006,0)))</f>
        <v/>
      </c>
      <c r="E102" s="125" t="str">
        <f aca="false">IF($B102="","",INDEX('CARNET DE SOUDURE'!$R$7:$R$3006,MATCH(91,'CARNET DE SOUDURE'!$AV$7:$AV$3006,0))&amp;IF(INDEX('CARNET DE SOUDURE'!$S$7:$S$3006,MATCH(91,'CARNET DE SOUDURE'!$AV$7:$AV$3006,0))&lt;&gt;""," / "&amp;INDEX('CARNET DE SOUDURE'!$S$7:$S$3006,MATCH(91,'CARNET DE SOUDURE'!$AV$7:$AV$3006,0)),"")&amp;IF(INDEX('CARNET DE SOUDURE'!$T$7:$T$3006,MATCH(91,'CARNET DE SOUDURE'!$AV$7:$AV$3006,0))&lt;&gt;""," / "&amp;INDEX('CARNET DE SOUDURE'!$T$7:$T$3006,MATCH(91,'CARNET DE SOUDURE'!$AV$7:$AV$3006,0)),""))</f>
        <v/>
      </c>
      <c r="F102" s="126" t="str">
        <f aca="false">IF($B102="","",INDEX('CARNET DE SOUDURE'!$Y$7:$Y$3006,MATCH(91,'CARNET DE SOUDURE'!$AV$7:$AV$3006,0)))</f>
        <v/>
      </c>
      <c r="G102" s="125" t="str">
        <f aca="false">IF($B102="","",INDEX('CARNET DE SOUDURE'!$Z$7:$Z$3006,MATCH(91,'CARNET DE SOUDURE'!$AV$7:$AV$3006,0))&amp;"")</f>
        <v/>
      </c>
      <c r="H102" s="127" t="str">
        <f aca="false">IF($B102="","",INDEX('CARNET DE SOUDURE'!$AA$7:$AA$3006,MATCH(91,'CARNET DE SOUDURE'!$AV$7:$AV$3006,0)))</f>
        <v/>
      </c>
      <c r="I102" s="125" t="str">
        <f aca="false">IF($B102="","",INDEX('CARNET DE SOUDURE'!$AB$7:$AB$3006,MATCH(91,'CARNET DE SOUDURE'!$AV$7:$AV$3006,0))&amp;"")</f>
        <v/>
      </c>
      <c r="J102" s="125" t="str">
        <f aca="false">IF($B102="","",INDEX('CARNET DE SOUDURE'!$AC$7:$AC$3006,MATCH(91,'CARNET DE SOUDURE'!$AV$7:$AV$3006,0))&amp;IF(INDEX('CARNET DE SOUDURE'!$AH$7:$AH$3006,MATCH(91,'CARNET DE SOUDURE'!$AV$7:$AV$3006,0))&lt;&gt;""," / "&amp;INDEX('CARNET DE SOUDURE'!$AH$7:$AH$3006,MATCH(91,'CARNET DE SOUDURE'!$AV$7:$AV$3006,0)),""))</f>
        <v/>
      </c>
      <c r="K102" s="125" t="str">
        <f aca="false">IF($B102="","",INDEX('CARNET DE SOUDURE'!$AD$7:$AD$3006,MATCH(91,'CARNET DE SOUDURE'!$AV$7:$AV$3006,0))&amp;IF(INDEX('CARNET DE SOUDURE'!$AI$7:$AI$3006,MATCH(91,'CARNET DE SOUDURE'!$AV$7:$AV$3006,0))&lt;&gt;""," / "&amp;INDEX('CARNET DE SOUDURE'!$AI$7:$AI$3006,MATCH(91,'CARNET DE SOUDURE'!$AV$7:$AV$3006,0)),""))</f>
        <v/>
      </c>
      <c r="L102" s="125" t="str">
        <f aca="false">IF($B102="","",INDEX('CARNET DE SOUDURE'!$AG$7:$AG$3006,MATCH(91,'CARNET DE SOUDURE'!$AV$7:$AV$3006,0))&amp;IF(INDEX('CARNET DE SOUDURE'!$AL$7:$AL$3006,MATCH(91,'CARNET DE SOUDURE'!$AV$7:$AV$3006,0))&lt;&gt;""," / "&amp;INDEX('CARNET DE SOUDURE'!$AL$7:$AL$3006,MATCH(91,'CARNET DE SOUDURE'!$AV$7:$AV$3006,0)),""))</f>
        <v/>
      </c>
      <c r="M102" s="127" t="str">
        <f aca="false">IF($B102="","",INDEX('CARNET DE SOUDURE'!$AP$7:$AP$3006,MATCH(91,'CARNET DE SOUDURE'!$AV$7:$AV$3006,0)))</f>
        <v/>
      </c>
      <c r="N102" s="127" t="str">
        <f aca="false">IF($B102="","",INDEX('CARNET DE SOUDURE'!$AQ$7:$AQ$3006,MATCH(91,'CARNET DE SOUDURE'!$AV$7:$AV$3006,0)))</f>
        <v/>
      </c>
      <c r="O102" s="128" t="str">
        <f aca="false">IF($B102="","",INDEX('CARNET DE SOUDURE'!$AR$7:$AR$3006,MATCH(91,'CARNET DE SOUDURE'!$AV$7:$AV$3006,0)))</f>
        <v/>
      </c>
    </row>
    <row r="103" customFormat="false" ht="15" hidden="false" customHeight="false" outlineLevel="0" collapsed="false">
      <c r="B103" s="130" t="str">
        <f aca="false">IF(92&gt;$I$4,"",92)</f>
        <v/>
      </c>
      <c r="C103" s="130" t="str">
        <f aca="false">IF($B103="","",INDEX('CARNET DE SOUDURE'!$B$7:$B$3006,MATCH(92,'CARNET DE SOUDURE'!$AV$7:$AV$3006,0)))</f>
        <v/>
      </c>
      <c r="D103" s="130" t="str">
        <f aca="false">IF($B103="","",INDEX('CARNET DE SOUDURE'!$E$7:$E$3006,MATCH(92,'CARNET DE SOUDURE'!$AV$7:$AV$3006,0)))</f>
        <v/>
      </c>
      <c r="E103" s="130" t="str">
        <f aca="false">IF($B103="","",INDEX('CARNET DE SOUDURE'!$R$7:$R$3006,MATCH(92,'CARNET DE SOUDURE'!$AV$7:$AV$3006,0))&amp;IF(INDEX('CARNET DE SOUDURE'!$S$7:$S$3006,MATCH(92,'CARNET DE SOUDURE'!$AV$7:$AV$3006,0))&lt;&gt;""," / "&amp;INDEX('CARNET DE SOUDURE'!$S$7:$S$3006,MATCH(92,'CARNET DE SOUDURE'!$AV$7:$AV$3006,0)),"")&amp;IF(INDEX('CARNET DE SOUDURE'!$T$7:$T$3006,MATCH(92,'CARNET DE SOUDURE'!$AV$7:$AV$3006,0))&lt;&gt;""," / "&amp;INDEX('CARNET DE SOUDURE'!$T$7:$T$3006,MATCH(92,'CARNET DE SOUDURE'!$AV$7:$AV$3006,0)),""))</f>
        <v/>
      </c>
      <c r="F103" s="131" t="str">
        <f aca="false">IF($B103="","",INDEX('CARNET DE SOUDURE'!$Y$7:$Y$3006,MATCH(92,'CARNET DE SOUDURE'!$AV$7:$AV$3006,0)))</f>
        <v/>
      </c>
      <c r="G103" s="130" t="str">
        <f aca="false">IF($B103="","",INDEX('CARNET DE SOUDURE'!$Z$7:$Z$3006,MATCH(92,'CARNET DE SOUDURE'!$AV$7:$AV$3006,0))&amp;"")</f>
        <v/>
      </c>
      <c r="H103" s="132" t="str">
        <f aca="false">IF($B103="","",INDEX('CARNET DE SOUDURE'!$AA$7:$AA$3006,MATCH(92,'CARNET DE SOUDURE'!$AV$7:$AV$3006,0)))</f>
        <v/>
      </c>
      <c r="I103" s="130" t="str">
        <f aca="false">IF($B103="","",INDEX('CARNET DE SOUDURE'!$AB$7:$AB$3006,MATCH(92,'CARNET DE SOUDURE'!$AV$7:$AV$3006,0))&amp;"")</f>
        <v/>
      </c>
      <c r="J103" s="130" t="str">
        <f aca="false">IF($B103="","",INDEX('CARNET DE SOUDURE'!$AC$7:$AC$3006,MATCH(92,'CARNET DE SOUDURE'!$AV$7:$AV$3006,0))&amp;IF(INDEX('CARNET DE SOUDURE'!$AH$7:$AH$3006,MATCH(92,'CARNET DE SOUDURE'!$AV$7:$AV$3006,0))&lt;&gt;""," / "&amp;INDEX('CARNET DE SOUDURE'!$AH$7:$AH$3006,MATCH(92,'CARNET DE SOUDURE'!$AV$7:$AV$3006,0)),""))</f>
        <v/>
      </c>
      <c r="K103" s="130" t="str">
        <f aca="false">IF($B103="","",INDEX('CARNET DE SOUDURE'!$AD$7:$AD$3006,MATCH(92,'CARNET DE SOUDURE'!$AV$7:$AV$3006,0))&amp;IF(INDEX('CARNET DE SOUDURE'!$AI$7:$AI$3006,MATCH(92,'CARNET DE SOUDURE'!$AV$7:$AV$3006,0))&lt;&gt;""," / "&amp;INDEX('CARNET DE SOUDURE'!$AI$7:$AI$3006,MATCH(92,'CARNET DE SOUDURE'!$AV$7:$AV$3006,0)),""))</f>
        <v/>
      </c>
      <c r="L103" s="130" t="str">
        <f aca="false">IF($B103="","",INDEX('CARNET DE SOUDURE'!$AG$7:$AG$3006,MATCH(92,'CARNET DE SOUDURE'!$AV$7:$AV$3006,0))&amp;IF(INDEX('CARNET DE SOUDURE'!$AL$7:$AL$3006,MATCH(92,'CARNET DE SOUDURE'!$AV$7:$AV$3006,0))&lt;&gt;""," / "&amp;INDEX('CARNET DE SOUDURE'!$AL$7:$AL$3006,MATCH(92,'CARNET DE SOUDURE'!$AV$7:$AV$3006,0)),""))</f>
        <v/>
      </c>
      <c r="M103" s="132" t="str">
        <f aca="false">IF($B103="","",INDEX('CARNET DE SOUDURE'!$AP$7:$AP$3006,MATCH(92,'CARNET DE SOUDURE'!$AV$7:$AV$3006,0)))</f>
        <v/>
      </c>
      <c r="N103" s="132" t="str">
        <f aca="false">IF($B103="","",INDEX('CARNET DE SOUDURE'!$AQ$7:$AQ$3006,MATCH(92,'CARNET DE SOUDURE'!$AV$7:$AV$3006,0)))</f>
        <v/>
      </c>
      <c r="O103" s="133" t="str">
        <f aca="false">IF($B103="","",INDEX('CARNET DE SOUDURE'!$AR$7:$AR$3006,MATCH(92,'CARNET DE SOUDURE'!$AV$7:$AV$3006,0)))</f>
        <v/>
      </c>
    </row>
    <row r="104" customFormat="false" ht="15" hidden="false" customHeight="false" outlineLevel="0" collapsed="false">
      <c r="B104" s="125" t="str">
        <f aca="false">IF(93&gt;$I$4,"",93)</f>
        <v/>
      </c>
      <c r="C104" s="125" t="str">
        <f aca="false">IF($B104="","",INDEX('CARNET DE SOUDURE'!$B$7:$B$3006,MATCH(93,'CARNET DE SOUDURE'!$AV$7:$AV$3006,0)))</f>
        <v/>
      </c>
      <c r="D104" s="125" t="str">
        <f aca="false">IF($B104="","",INDEX('CARNET DE SOUDURE'!$E$7:$E$3006,MATCH(93,'CARNET DE SOUDURE'!$AV$7:$AV$3006,0)))</f>
        <v/>
      </c>
      <c r="E104" s="125" t="str">
        <f aca="false">IF($B104="","",INDEX('CARNET DE SOUDURE'!$R$7:$R$3006,MATCH(93,'CARNET DE SOUDURE'!$AV$7:$AV$3006,0))&amp;IF(INDEX('CARNET DE SOUDURE'!$S$7:$S$3006,MATCH(93,'CARNET DE SOUDURE'!$AV$7:$AV$3006,0))&lt;&gt;""," / "&amp;INDEX('CARNET DE SOUDURE'!$S$7:$S$3006,MATCH(93,'CARNET DE SOUDURE'!$AV$7:$AV$3006,0)),"")&amp;IF(INDEX('CARNET DE SOUDURE'!$T$7:$T$3006,MATCH(93,'CARNET DE SOUDURE'!$AV$7:$AV$3006,0))&lt;&gt;""," / "&amp;INDEX('CARNET DE SOUDURE'!$T$7:$T$3006,MATCH(93,'CARNET DE SOUDURE'!$AV$7:$AV$3006,0)),""))</f>
        <v/>
      </c>
      <c r="F104" s="126" t="str">
        <f aca="false">IF($B104="","",INDEX('CARNET DE SOUDURE'!$Y$7:$Y$3006,MATCH(93,'CARNET DE SOUDURE'!$AV$7:$AV$3006,0)))</f>
        <v/>
      </c>
      <c r="G104" s="125" t="str">
        <f aca="false">IF($B104="","",INDEX('CARNET DE SOUDURE'!$Z$7:$Z$3006,MATCH(93,'CARNET DE SOUDURE'!$AV$7:$AV$3006,0))&amp;"")</f>
        <v/>
      </c>
      <c r="H104" s="127" t="str">
        <f aca="false">IF($B104="","",INDEX('CARNET DE SOUDURE'!$AA$7:$AA$3006,MATCH(93,'CARNET DE SOUDURE'!$AV$7:$AV$3006,0)))</f>
        <v/>
      </c>
      <c r="I104" s="125" t="str">
        <f aca="false">IF($B104="","",INDEX('CARNET DE SOUDURE'!$AB$7:$AB$3006,MATCH(93,'CARNET DE SOUDURE'!$AV$7:$AV$3006,0))&amp;"")</f>
        <v/>
      </c>
      <c r="J104" s="125" t="str">
        <f aca="false">IF($B104="","",INDEX('CARNET DE SOUDURE'!$AC$7:$AC$3006,MATCH(93,'CARNET DE SOUDURE'!$AV$7:$AV$3006,0))&amp;IF(INDEX('CARNET DE SOUDURE'!$AH$7:$AH$3006,MATCH(93,'CARNET DE SOUDURE'!$AV$7:$AV$3006,0))&lt;&gt;""," / "&amp;INDEX('CARNET DE SOUDURE'!$AH$7:$AH$3006,MATCH(93,'CARNET DE SOUDURE'!$AV$7:$AV$3006,0)),""))</f>
        <v/>
      </c>
      <c r="K104" s="125" t="str">
        <f aca="false">IF($B104="","",INDEX('CARNET DE SOUDURE'!$AD$7:$AD$3006,MATCH(93,'CARNET DE SOUDURE'!$AV$7:$AV$3006,0))&amp;IF(INDEX('CARNET DE SOUDURE'!$AI$7:$AI$3006,MATCH(93,'CARNET DE SOUDURE'!$AV$7:$AV$3006,0))&lt;&gt;""," / "&amp;INDEX('CARNET DE SOUDURE'!$AI$7:$AI$3006,MATCH(93,'CARNET DE SOUDURE'!$AV$7:$AV$3006,0)),""))</f>
        <v/>
      </c>
      <c r="L104" s="125" t="str">
        <f aca="false">IF($B104="","",INDEX('CARNET DE SOUDURE'!$AG$7:$AG$3006,MATCH(93,'CARNET DE SOUDURE'!$AV$7:$AV$3006,0))&amp;IF(INDEX('CARNET DE SOUDURE'!$AL$7:$AL$3006,MATCH(93,'CARNET DE SOUDURE'!$AV$7:$AV$3006,0))&lt;&gt;""," / "&amp;INDEX('CARNET DE SOUDURE'!$AL$7:$AL$3006,MATCH(93,'CARNET DE SOUDURE'!$AV$7:$AV$3006,0)),""))</f>
        <v/>
      </c>
      <c r="M104" s="127" t="str">
        <f aca="false">IF($B104="","",INDEX('CARNET DE SOUDURE'!$AP$7:$AP$3006,MATCH(93,'CARNET DE SOUDURE'!$AV$7:$AV$3006,0)))</f>
        <v/>
      </c>
      <c r="N104" s="127" t="str">
        <f aca="false">IF($B104="","",INDEX('CARNET DE SOUDURE'!$AQ$7:$AQ$3006,MATCH(93,'CARNET DE SOUDURE'!$AV$7:$AV$3006,0)))</f>
        <v/>
      </c>
      <c r="O104" s="128" t="str">
        <f aca="false">IF($B104="","",INDEX('CARNET DE SOUDURE'!$AR$7:$AR$3006,MATCH(93,'CARNET DE SOUDURE'!$AV$7:$AV$3006,0)))</f>
        <v/>
      </c>
    </row>
    <row r="105" customFormat="false" ht="15" hidden="false" customHeight="false" outlineLevel="0" collapsed="false">
      <c r="B105" s="130" t="str">
        <f aca="false">IF(94&gt;$I$4,"",94)</f>
        <v/>
      </c>
      <c r="C105" s="130" t="str">
        <f aca="false">IF($B105="","",INDEX('CARNET DE SOUDURE'!$B$7:$B$3006,MATCH(94,'CARNET DE SOUDURE'!$AV$7:$AV$3006,0)))</f>
        <v/>
      </c>
      <c r="D105" s="130" t="str">
        <f aca="false">IF($B105="","",INDEX('CARNET DE SOUDURE'!$E$7:$E$3006,MATCH(94,'CARNET DE SOUDURE'!$AV$7:$AV$3006,0)))</f>
        <v/>
      </c>
      <c r="E105" s="130" t="str">
        <f aca="false">IF($B105="","",INDEX('CARNET DE SOUDURE'!$R$7:$R$3006,MATCH(94,'CARNET DE SOUDURE'!$AV$7:$AV$3006,0))&amp;IF(INDEX('CARNET DE SOUDURE'!$S$7:$S$3006,MATCH(94,'CARNET DE SOUDURE'!$AV$7:$AV$3006,0))&lt;&gt;""," / "&amp;INDEX('CARNET DE SOUDURE'!$S$7:$S$3006,MATCH(94,'CARNET DE SOUDURE'!$AV$7:$AV$3006,0)),"")&amp;IF(INDEX('CARNET DE SOUDURE'!$T$7:$T$3006,MATCH(94,'CARNET DE SOUDURE'!$AV$7:$AV$3006,0))&lt;&gt;""," / "&amp;INDEX('CARNET DE SOUDURE'!$T$7:$T$3006,MATCH(94,'CARNET DE SOUDURE'!$AV$7:$AV$3006,0)),""))</f>
        <v/>
      </c>
      <c r="F105" s="131" t="str">
        <f aca="false">IF($B105="","",INDEX('CARNET DE SOUDURE'!$Y$7:$Y$3006,MATCH(94,'CARNET DE SOUDURE'!$AV$7:$AV$3006,0)))</f>
        <v/>
      </c>
      <c r="G105" s="130" t="str">
        <f aca="false">IF($B105="","",INDEX('CARNET DE SOUDURE'!$Z$7:$Z$3006,MATCH(94,'CARNET DE SOUDURE'!$AV$7:$AV$3006,0))&amp;"")</f>
        <v/>
      </c>
      <c r="H105" s="132" t="str">
        <f aca="false">IF($B105="","",INDEX('CARNET DE SOUDURE'!$AA$7:$AA$3006,MATCH(94,'CARNET DE SOUDURE'!$AV$7:$AV$3006,0)))</f>
        <v/>
      </c>
      <c r="I105" s="130" t="str">
        <f aca="false">IF($B105="","",INDEX('CARNET DE SOUDURE'!$AB$7:$AB$3006,MATCH(94,'CARNET DE SOUDURE'!$AV$7:$AV$3006,0))&amp;"")</f>
        <v/>
      </c>
      <c r="J105" s="130" t="str">
        <f aca="false">IF($B105="","",INDEX('CARNET DE SOUDURE'!$AC$7:$AC$3006,MATCH(94,'CARNET DE SOUDURE'!$AV$7:$AV$3006,0))&amp;IF(INDEX('CARNET DE SOUDURE'!$AH$7:$AH$3006,MATCH(94,'CARNET DE SOUDURE'!$AV$7:$AV$3006,0))&lt;&gt;""," / "&amp;INDEX('CARNET DE SOUDURE'!$AH$7:$AH$3006,MATCH(94,'CARNET DE SOUDURE'!$AV$7:$AV$3006,0)),""))</f>
        <v/>
      </c>
      <c r="K105" s="130" t="str">
        <f aca="false">IF($B105="","",INDEX('CARNET DE SOUDURE'!$AD$7:$AD$3006,MATCH(94,'CARNET DE SOUDURE'!$AV$7:$AV$3006,0))&amp;IF(INDEX('CARNET DE SOUDURE'!$AI$7:$AI$3006,MATCH(94,'CARNET DE SOUDURE'!$AV$7:$AV$3006,0))&lt;&gt;""," / "&amp;INDEX('CARNET DE SOUDURE'!$AI$7:$AI$3006,MATCH(94,'CARNET DE SOUDURE'!$AV$7:$AV$3006,0)),""))</f>
        <v/>
      </c>
      <c r="L105" s="130" t="str">
        <f aca="false">IF($B105="","",INDEX('CARNET DE SOUDURE'!$AG$7:$AG$3006,MATCH(94,'CARNET DE SOUDURE'!$AV$7:$AV$3006,0))&amp;IF(INDEX('CARNET DE SOUDURE'!$AL$7:$AL$3006,MATCH(94,'CARNET DE SOUDURE'!$AV$7:$AV$3006,0))&lt;&gt;""," / "&amp;INDEX('CARNET DE SOUDURE'!$AL$7:$AL$3006,MATCH(94,'CARNET DE SOUDURE'!$AV$7:$AV$3006,0)),""))</f>
        <v/>
      </c>
      <c r="M105" s="132" t="str">
        <f aca="false">IF($B105="","",INDEX('CARNET DE SOUDURE'!$AP$7:$AP$3006,MATCH(94,'CARNET DE SOUDURE'!$AV$7:$AV$3006,0)))</f>
        <v/>
      </c>
      <c r="N105" s="132" t="str">
        <f aca="false">IF($B105="","",INDEX('CARNET DE SOUDURE'!$AQ$7:$AQ$3006,MATCH(94,'CARNET DE SOUDURE'!$AV$7:$AV$3006,0)))</f>
        <v/>
      </c>
      <c r="O105" s="133" t="str">
        <f aca="false">IF($B105="","",INDEX('CARNET DE SOUDURE'!$AR$7:$AR$3006,MATCH(94,'CARNET DE SOUDURE'!$AV$7:$AV$3006,0)))</f>
        <v/>
      </c>
    </row>
    <row r="106" customFormat="false" ht="15" hidden="false" customHeight="false" outlineLevel="0" collapsed="false">
      <c r="B106" s="125" t="str">
        <f aca="false">IF(95&gt;$I$4,"",95)</f>
        <v/>
      </c>
      <c r="C106" s="125" t="str">
        <f aca="false">IF($B106="","",INDEX('CARNET DE SOUDURE'!$B$7:$B$3006,MATCH(95,'CARNET DE SOUDURE'!$AV$7:$AV$3006,0)))</f>
        <v/>
      </c>
      <c r="D106" s="125" t="str">
        <f aca="false">IF($B106="","",INDEX('CARNET DE SOUDURE'!$E$7:$E$3006,MATCH(95,'CARNET DE SOUDURE'!$AV$7:$AV$3006,0)))</f>
        <v/>
      </c>
      <c r="E106" s="125" t="str">
        <f aca="false">IF($B106="","",INDEX('CARNET DE SOUDURE'!$R$7:$R$3006,MATCH(95,'CARNET DE SOUDURE'!$AV$7:$AV$3006,0))&amp;IF(INDEX('CARNET DE SOUDURE'!$S$7:$S$3006,MATCH(95,'CARNET DE SOUDURE'!$AV$7:$AV$3006,0))&lt;&gt;""," / "&amp;INDEX('CARNET DE SOUDURE'!$S$7:$S$3006,MATCH(95,'CARNET DE SOUDURE'!$AV$7:$AV$3006,0)),"")&amp;IF(INDEX('CARNET DE SOUDURE'!$T$7:$T$3006,MATCH(95,'CARNET DE SOUDURE'!$AV$7:$AV$3006,0))&lt;&gt;""," / "&amp;INDEX('CARNET DE SOUDURE'!$T$7:$T$3006,MATCH(95,'CARNET DE SOUDURE'!$AV$7:$AV$3006,0)),""))</f>
        <v/>
      </c>
      <c r="F106" s="126" t="str">
        <f aca="false">IF($B106="","",INDEX('CARNET DE SOUDURE'!$Y$7:$Y$3006,MATCH(95,'CARNET DE SOUDURE'!$AV$7:$AV$3006,0)))</f>
        <v/>
      </c>
      <c r="G106" s="125" t="str">
        <f aca="false">IF($B106="","",INDEX('CARNET DE SOUDURE'!$Z$7:$Z$3006,MATCH(95,'CARNET DE SOUDURE'!$AV$7:$AV$3006,0))&amp;"")</f>
        <v/>
      </c>
      <c r="H106" s="127" t="str">
        <f aca="false">IF($B106="","",INDEX('CARNET DE SOUDURE'!$AA$7:$AA$3006,MATCH(95,'CARNET DE SOUDURE'!$AV$7:$AV$3006,0)))</f>
        <v/>
      </c>
      <c r="I106" s="125" t="str">
        <f aca="false">IF($B106="","",INDEX('CARNET DE SOUDURE'!$AB$7:$AB$3006,MATCH(95,'CARNET DE SOUDURE'!$AV$7:$AV$3006,0))&amp;"")</f>
        <v/>
      </c>
      <c r="J106" s="125" t="str">
        <f aca="false">IF($B106="","",INDEX('CARNET DE SOUDURE'!$AC$7:$AC$3006,MATCH(95,'CARNET DE SOUDURE'!$AV$7:$AV$3006,0))&amp;IF(INDEX('CARNET DE SOUDURE'!$AH$7:$AH$3006,MATCH(95,'CARNET DE SOUDURE'!$AV$7:$AV$3006,0))&lt;&gt;""," / "&amp;INDEX('CARNET DE SOUDURE'!$AH$7:$AH$3006,MATCH(95,'CARNET DE SOUDURE'!$AV$7:$AV$3006,0)),""))</f>
        <v/>
      </c>
      <c r="K106" s="125" t="str">
        <f aca="false">IF($B106="","",INDEX('CARNET DE SOUDURE'!$AD$7:$AD$3006,MATCH(95,'CARNET DE SOUDURE'!$AV$7:$AV$3006,0))&amp;IF(INDEX('CARNET DE SOUDURE'!$AI$7:$AI$3006,MATCH(95,'CARNET DE SOUDURE'!$AV$7:$AV$3006,0))&lt;&gt;""," / "&amp;INDEX('CARNET DE SOUDURE'!$AI$7:$AI$3006,MATCH(95,'CARNET DE SOUDURE'!$AV$7:$AV$3006,0)),""))</f>
        <v/>
      </c>
      <c r="L106" s="125" t="str">
        <f aca="false">IF($B106="","",INDEX('CARNET DE SOUDURE'!$AG$7:$AG$3006,MATCH(95,'CARNET DE SOUDURE'!$AV$7:$AV$3006,0))&amp;IF(INDEX('CARNET DE SOUDURE'!$AL$7:$AL$3006,MATCH(95,'CARNET DE SOUDURE'!$AV$7:$AV$3006,0))&lt;&gt;""," / "&amp;INDEX('CARNET DE SOUDURE'!$AL$7:$AL$3006,MATCH(95,'CARNET DE SOUDURE'!$AV$7:$AV$3006,0)),""))</f>
        <v/>
      </c>
      <c r="M106" s="127" t="str">
        <f aca="false">IF($B106="","",INDEX('CARNET DE SOUDURE'!$AP$7:$AP$3006,MATCH(95,'CARNET DE SOUDURE'!$AV$7:$AV$3006,0)))</f>
        <v/>
      </c>
      <c r="N106" s="127" t="str">
        <f aca="false">IF($B106="","",INDEX('CARNET DE SOUDURE'!$AQ$7:$AQ$3006,MATCH(95,'CARNET DE SOUDURE'!$AV$7:$AV$3006,0)))</f>
        <v/>
      </c>
      <c r="O106" s="128" t="str">
        <f aca="false">IF($B106="","",INDEX('CARNET DE SOUDURE'!$AR$7:$AR$3006,MATCH(95,'CARNET DE SOUDURE'!$AV$7:$AV$3006,0)))</f>
        <v/>
      </c>
    </row>
    <row r="107" customFormat="false" ht="15" hidden="false" customHeight="false" outlineLevel="0" collapsed="false">
      <c r="B107" s="130" t="str">
        <f aca="false">IF(96&gt;$I$4,"",96)</f>
        <v/>
      </c>
      <c r="C107" s="130" t="str">
        <f aca="false">IF($B107="","",INDEX('CARNET DE SOUDURE'!$B$7:$B$3006,MATCH(96,'CARNET DE SOUDURE'!$AV$7:$AV$3006,0)))</f>
        <v/>
      </c>
      <c r="D107" s="130" t="str">
        <f aca="false">IF($B107="","",INDEX('CARNET DE SOUDURE'!$E$7:$E$3006,MATCH(96,'CARNET DE SOUDURE'!$AV$7:$AV$3006,0)))</f>
        <v/>
      </c>
      <c r="E107" s="130" t="str">
        <f aca="false">IF($B107="","",INDEX('CARNET DE SOUDURE'!$R$7:$R$3006,MATCH(96,'CARNET DE SOUDURE'!$AV$7:$AV$3006,0))&amp;IF(INDEX('CARNET DE SOUDURE'!$S$7:$S$3006,MATCH(96,'CARNET DE SOUDURE'!$AV$7:$AV$3006,0))&lt;&gt;""," / "&amp;INDEX('CARNET DE SOUDURE'!$S$7:$S$3006,MATCH(96,'CARNET DE SOUDURE'!$AV$7:$AV$3006,0)),"")&amp;IF(INDEX('CARNET DE SOUDURE'!$T$7:$T$3006,MATCH(96,'CARNET DE SOUDURE'!$AV$7:$AV$3006,0))&lt;&gt;""," / "&amp;INDEX('CARNET DE SOUDURE'!$T$7:$T$3006,MATCH(96,'CARNET DE SOUDURE'!$AV$7:$AV$3006,0)),""))</f>
        <v/>
      </c>
      <c r="F107" s="131" t="str">
        <f aca="false">IF($B107="","",INDEX('CARNET DE SOUDURE'!$Y$7:$Y$3006,MATCH(96,'CARNET DE SOUDURE'!$AV$7:$AV$3006,0)))</f>
        <v/>
      </c>
      <c r="G107" s="130" t="str">
        <f aca="false">IF($B107="","",INDEX('CARNET DE SOUDURE'!$Z$7:$Z$3006,MATCH(96,'CARNET DE SOUDURE'!$AV$7:$AV$3006,0))&amp;"")</f>
        <v/>
      </c>
      <c r="H107" s="132" t="str">
        <f aca="false">IF($B107="","",INDEX('CARNET DE SOUDURE'!$AA$7:$AA$3006,MATCH(96,'CARNET DE SOUDURE'!$AV$7:$AV$3006,0)))</f>
        <v/>
      </c>
      <c r="I107" s="130" t="str">
        <f aca="false">IF($B107="","",INDEX('CARNET DE SOUDURE'!$AB$7:$AB$3006,MATCH(96,'CARNET DE SOUDURE'!$AV$7:$AV$3006,0))&amp;"")</f>
        <v/>
      </c>
      <c r="J107" s="130" t="str">
        <f aca="false">IF($B107="","",INDEX('CARNET DE SOUDURE'!$AC$7:$AC$3006,MATCH(96,'CARNET DE SOUDURE'!$AV$7:$AV$3006,0))&amp;IF(INDEX('CARNET DE SOUDURE'!$AH$7:$AH$3006,MATCH(96,'CARNET DE SOUDURE'!$AV$7:$AV$3006,0))&lt;&gt;""," / "&amp;INDEX('CARNET DE SOUDURE'!$AH$7:$AH$3006,MATCH(96,'CARNET DE SOUDURE'!$AV$7:$AV$3006,0)),""))</f>
        <v/>
      </c>
      <c r="K107" s="130" t="str">
        <f aca="false">IF($B107="","",INDEX('CARNET DE SOUDURE'!$AD$7:$AD$3006,MATCH(96,'CARNET DE SOUDURE'!$AV$7:$AV$3006,0))&amp;IF(INDEX('CARNET DE SOUDURE'!$AI$7:$AI$3006,MATCH(96,'CARNET DE SOUDURE'!$AV$7:$AV$3006,0))&lt;&gt;""," / "&amp;INDEX('CARNET DE SOUDURE'!$AI$7:$AI$3006,MATCH(96,'CARNET DE SOUDURE'!$AV$7:$AV$3006,0)),""))</f>
        <v/>
      </c>
      <c r="L107" s="130" t="str">
        <f aca="false">IF($B107="","",INDEX('CARNET DE SOUDURE'!$AG$7:$AG$3006,MATCH(96,'CARNET DE SOUDURE'!$AV$7:$AV$3006,0))&amp;IF(INDEX('CARNET DE SOUDURE'!$AL$7:$AL$3006,MATCH(96,'CARNET DE SOUDURE'!$AV$7:$AV$3006,0))&lt;&gt;""," / "&amp;INDEX('CARNET DE SOUDURE'!$AL$7:$AL$3006,MATCH(96,'CARNET DE SOUDURE'!$AV$7:$AV$3006,0)),""))</f>
        <v/>
      </c>
      <c r="M107" s="132" t="str">
        <f aca="false">IF($B107="","",INDEX('CARNET DE SOUDURE'!$AP$7:$AP$3006,MATCH(96,'CARNET DE SOUDURE'!$AV$7:$AV$3006,0)))</f>
        <v/>
      </c>
      <c r="N107" s="132" t="str">
        <f aca="false">IF($B107="","",INDEX('CARNET DE SOUDURE'!$AQ$7:$AQ$3006,MATCH(96,'CARNET DE SOUDURE'!$AV$7:$AV$3006,0)))</f>
        <v/>
      </c>
      <c r="O107" s="133" t="str">
        <f aca="false">IF($B107="","",INDEX('CARNET DE SOUDURE'!$AR$7:$AR$3006,MATCH(96,'CARNET DE SOUDURE'!$AV$7:$AV$3006,0)))</f>
        <v/>
      </c>
    </row>
    <row r="108" customFormat="false" ht="15" hidden="false" customHeight="false" outlineLevel="0" collapsed="false">
      <c r="B108" s="125" t="str">
        <f aca="false">IF(97&gt;$I$4,"",97)</f>
        <v/>
      </c>
      <c r="C108" s="125" t="str">
        <f aca="false">IF($B108="","",INDEX('CARNET DE SOUDURE'!$B$7:$B$3006,MATCH(97,'CARNET DE SOUDURE'!$AV$7:$AV$3006,0)))</f>
        <v/>
      </c>
      <c r="D108" s="125" t="str">
        <f aca="false">IF($B108="","",INDEX('CARNET DE SOUDURE'!$E$7:$E$3006,MATCH(97,'CARNET DE SOUDURE'!$AV$7:$AV$3006,0)))</f>
        <v/>
      </c>
      <c r="E108" s="125" t="str">
        <f aca="false">IF($B108="","",INDEX('CARNET DE SOUDURE'!$R$7:$R$3006,MATCH(97,'CARNET DE SOUDURE'!$AV$7:$AV$3006,0))&amp;IF(INDEX('CARNET DE SOUDURE'!$S$7:$S$3006,MATCH(97,'CARNET DE SOUDURE'!$AV$7:$AV$3006,0))&lt;&gt;""," / "&amp;INDEX('CARNET DE SOUDURE'!$S$7:$S$3006,MATCH(97,'CARNET DE SOUDURE'!$AV$7:$AV$3006,0)),"")&amp;IF(INDEX('CARNET DE SOUDURE'!$T$7:$T$3006,MATCH(97,'CARNET DE SOUDURE'!$AV$7:$AV$3006,0))&lt;&gt;""," / "&amp;INDEX('CARNET DE SOUDURE'!$T$7:$T$3006,MATCH(97,'CARNET DE SOUDURE'!$AV$7:$AV$3006,0)),""))</f>
        <v/>
      </c>
      <c r="F108" s="126" t="str">
        <f aca="false">IF($B108="","",INDEX('CARNET DE SOUDURE'!$Y$7:$Y$3006,MATCH(97,'CARNET DE SOUDURE'!$AV$7:$AV$3006,0)))</f>
        <v/>
      </c>
      <c r="G108" s="125" t="str">
        <f aca="false">IF($B108="","",INDEX('CARNET DE SOUDURE'!$Z$7:$Z$3006,MATCH(97,'CARNET DE SOUDURE'!$AV$7:$AV$3006,0))&amp;"")</f>
        <v/>
      </c>
      <c r="H108" s="127" t="str">
        <f aca="false">IF($B108="","",INDEX('CARNET DE SOUDURE'!$AA$7:$AA$3006,MATCH(97,'CARNET DE SOUDURE'!$AV$7:$AV$3006,0)))</f>
        <v/>
      </c>
      <c r="I108" s="125" t="str">
        <f aca="false">IF($B108="","",INDEX('CARNET DE SOUDURE'!$AB$7:$AB$3006,MATCH(97,'CARNET DE SOUDURE'!$AV$7:$AV$3006,0))&amp;"")</f>
        <v/>
      </c>
      <c r="J108" s="125" t="str">
        <f aca="false">IF($B108="","",INDEX('CARNET DE SOUDURE'!$AC$7:$AC$3006,MATCH(97,'CARNET DE SOUDURE'!$AV$7:$AV$3006,0))&amp;IF(INDEX('CARNET DE SOUDURE'!$AH$7:$AH$3006,MATCH(97,'CARNET DE SOUDURE'!$AV$7:$AV$3006,0))&lt;&gt;""," / "&amp;INDEX('CARNET DE SOUDURE'!$AH$7:$AH$3006,MATCH(97,'CARNET DE SOUDURE'!$AV$7:$AV$3006,0)),""))</f>
        <v/>
      </c>
      <c r="K108" s="125" t="str">
        <f aca="false">IF($B108="","",INDEX('CARNET DE SOUDURE'!$AD$7:$AD$3006,MATCH(97,'CARNET DE SOUDURE'!$AV$7:$AV$3006,0))&amp;IF(INDEX('CARNET DE SOUDURE'!$AI$7:$AI$3006,MATCH(97,'CARNET DE SOUDURE'!$AV$7:$AV$3006,0))&lt;&gt;""," / "&amp;INDEX('CARNET DE SOUDURE'!$AI$7:$AI$3006,MATCH(97,'CARNET DE SOUDURE'!$AV$7:$AV$3006,0)),""))</f>
        <v/>
      </c>
      <c r="L108" s="125" t="str">
        <f aca="false">IF($B108="","",INDEX('CARNET DE SOUDURE'!$AG$7:$AG$3006,MATCH(97,'CARNET DE SOUDURE'!$AV$7:$AV$3006,0))&amp;IF(INDEX('CARNET DE SOUDURE'!$AL$7:$AL$3006,MATCH(97,'CARNET DE SOUDURE'!$AV$7:$AV$3006,0))&lt;&gt;""," / "&amp;INDEX('CARNET DE SOUDURE'!$AL$7:$AL$3006,MATCH(97,'CARNET DE SOUDURE'!$AV$7:$AV$3006,0)),""))</f>
        <v/>
      </c>
      <c r="M108" s="127" t="str">
        <f aca="false">IF($B108="","",INDEX('CARNET DE SOUDURE'!$AP$7:$AP$3006,MATCH(97,'CARNET DE SOUDURE'!$AV$7:$AV$3006,0)))</f>
        <v/>
      </c>
      <c r="N108" s="127" t="str">
        <f aca="false">IF($B108="","",INDEX('CARNET DE SOUDURE'!$AQ$7:$AQ$3006,MATCH(97,'CARNET DE SOUDURE'!$AV$7:$AV$3006,0)))</f>
        <v/>
      </c>
      <c r="O108" s="128" t="str">
        <f aca="false">IF($B108="","",INDEX('CARNET DE SOUDURE'!$AR$7:$AR$3006,MATCH(97,'CARNET DE SOUDURE'!$AV$7:$AV$3006,0)))</f>
        <v/>
      </c>
    </row>
    <row r="109" customFormat="false" ht="15" hidden="false" customHeight="false" outlineLevel="0" collapsed="false">
      <c r="B109" s="130" t="str">
        <f aca="false">IF(98&gt;$I$4,"",98)</f>
        <v/>
      </c>
      <c r="C109" s="130" t="str">
        <f aca="false">IF($B109="","",INDEX('CARNET DE SOUDURE'!$B$7:$B$3006,MATCH(98,'CARNET DE SOUDURE'!$AV$7:$AV$3006,0)))</f>
        <v/>
      </c>
      <c r="D109" s="130" t="str">
        <f aca="false">IF($B109="","",INDEX('CARNET DE SOUDURE'!$E$7:$E$3006,MATCH(98,'CARNET DE SOUDURE'!$AV$7:$AV$3006,0)))</f>
        <v/>
      </c>
      <c r="E109" s="130" t="str">
        <f aca="false">IF($B109="","",INDEX('CARNET DE SOUDURE'!$R$7:$R$3006,MATCH(98,'CARNET DE SOUDURE'!$AV$7:$AV$3006,0))&amp;IF(INDEX('CARNET DE SOUDURE'!$S$7:$S$3006,MATCH(98,'CARNET DE SOUDURE'!$AV$7:$AV$3006,0))&lt;&gt;""," / "&amp;INDEX('CARNET DE SOUDURE'!$S$7:$S$3006,MATCH(98,'CARNET DE SOUDURE'!$AV$7:$AV$3006,0)),"")&amp;IF(INDEX('CARNET DE SOUDURE'!$T$7:$T$3006,MATCH(98,'CARNET DE SOUDURE'!$AV$7:$AV$3006,0))&lt;&gt;""," / "&amp;INDEX('CARNET DE SOUDURE'!$T$7:$T$3006,MATCH(98,'CARNET DE SOUDURE'!$AV$7:$AV$3006,0)),""))</f>
        <v/>
      </c>
      <c r="F109" s="131" t="str">
        <f aca="false">IF($B109="","",INDEX('CARNET DE SOUDURE'!$Y$7:$Y$3006,MATCH(98,'CARNET DE SOUDURE'!$AV$7:$AV$3006,0)))</f>
        <v/>
      </c>
      <c r="G109" s="130" t="str">
        <f aca="false">IF($B109="","",INDEX('CARNET DE SOUDURE'!$Z$7:$Z$3006,MATCH(98,'CARNET DE SOUDURE'!$AV$7:$AV$3006,0))&amp;"")</f>
        <v/>
      </c>
      <c r="H109" s="132" t="str">
        <f aca="false">IF($B109="","",INDEX('CARNET DE SOUDURE'!$AA$7:$AA$3006,MATCH(98,'CARNET DE SOUDURE'!$AV$7:$AV$3006,0)))</f>
        <v/>
      </c>
      <c r="I109" s="130" t="str">
        <f aca="false">IF($B109="","",INDEX('CARNET DE SOUDURE'!$AB$7:$AB$3006,MATCH(98,'CARNET DE SOUDURE'!$AV$7:$AV$3006,0))&amp;"")</f>
        <v/>
      </c>
      <c r="J109" s="130" t="str">
        <f aca="false">IF($B109="","",INDEX('CARNET DE SOUDURE'!$AC$7:$AC$3006,MATCH(98,'CARNET DE SOUDURE'!$AV$7:$AV$3006,0))&amp;IF(INDEX('CARNET DE SOUDURE'!$AH$7:$AH$3006,MATCH(98,'CARNET DE SOUDURE'!$AV$7:$AV$3006,0))&lt;&gt;""," / "&amp;INDEX('CARNET DE SOUDURE'!$AH$7:$AH$3006,MATCH(98,'CARNET DE SOUDURE'!$AV$7:$AV$3006,0)),""))</f>
        <v/>
      </c>
      <c r="K109" s="130" t="str">
        <f aca="false">IF($B109="","",INDEX('CARNET DE SOUDURE'!$AD$7:$AD$3006,MATCH(98,'CARNET DE SOUDURE'!$AV$7:$AV$3006,0))&amp;IF(INDEX('CARNET DE SOUDURE'!$AI$7:$AI$3006,MATCH(98,'CARNET DE SOUDURE'!$AV$7:$AV$3006,0))&lt;&gt;""," / "&amp;INDEX('CARNET DE SOUDURE'!$AI$7:$AI$3006,MATCH(98,'CARNET DE SOUDURE'!$AV$7:$AV$3006,0)),""))</f>
        <v/>
      </c>
      <c r="L109" s="130" t="str">
        <f aca="false">IF($B109="","",INDEX('CARNET DE SOUDURE'!$AG$7:$AG$3006,MATCH(98,'CARNET DE SOUDURE'!$AV$7:$AV$3006,0))&amp;IF(INDEX('CARNET DE SOUDURE'!$AL$7:$AL$3006,MATCH(98,'CARNET DE SOUDURE'!$AV$7:$AV$3006,0))&lt;&gt;""," / "&amp;INDEX('CARNET DE SOUDURE'!$AL$7:$AL$3006,MATCH(98,'CARNET DE SOUDURE'!$AV$7:$AV$3006,0)),""))</f>
        <v/>
      </c>
      <c r="M109" s="132" t="str">
        <f aca="false">IF($B109="","",INDEX('CARNET DE SOUDURE'!$AP$7:$AP$3006,MATCH(98,'CARNET DE SOUDURE'!$AV$7:$AV$3006,0)))</f>
        <v/>
      </c>
      <c r="N109" s="132" t="str">
        <f aca="false">IF($B109="","",INDEX('CARNET DE SOUDURE'!$AQ$7:$AQ$3006,MATCH(98,'CARNET DE SOUDURE'!$AV$7:$AV$3006,0)))</f>
        <v/>
      </c>
      <c r="O109" s="133" t="str">
        <f aca="false">IF($B109="","",INDEX('CARNET DE SOUDURE'!$AR$7:$AR$3006,MATCH(98,'CARNET DE SOUDURE'!$AV$7:$AV$3006,0)))</f>
        <v/>
      </c>
    </row>
    <row r="110" customFormat="false" ht="15" hidden="false" customHeight="false" outlineLevel="0" collapsed="false">
      <c r="B110" s="125" t="str">
        <f aca="false">IF(99&gt;$I$4,"",99)</f>
        <v/>
      </c>
      <c r="C110" s="125" t="str">
        <f aca="false">IF($B110="","",INDEX('CARNET DE SOUDURE'!$B$7:$B$3006,MATCH(99,'CARNET DE SOUDURE'!$AV$7:$AV$3006,0)))</f>
        <v/>
      </c>
      <c r="D110" s="125" t="str">
        <f aca="false">IF($B110="","",INDEX('CARNET DE SOUDURE'!$E$7:$E$3006,MATCH(99,'CARNET DE SOUDURE'!$AV$7:$AV$3006,0)))</f>
        <v/>
      </c>
      <c r="E110" s="125" t="str">
        <f aca="false">IF($B110="","",INDEX('CARNET DE SOUDURE'!$R$7:$R$3006,MATCH(99,'CARNET DE SOUDURE'!$AV$7:$AV$3006,0))&amp;IF(INDEX('CARNET DE SOUDURE'!$S$7:$S$3006,MATCH(99,'CARNET DE SOUDURE'!$AV$7:$AV$3006,0))&lt;&gt;""," / "&amp;INDEX('CARNET DE SOUDURE'!$S$7:$S$3006,MATCH(99,'CARNET DE SOUDURE'!$AV$7:$AV$3006,0)),"")&amp;IF(INDEX('CARNET DE SOUDURE'!$T$7:$T$3006,MATCH(99,'CARNET DE SOUDURE'!$AV$7:$AV$3006,0))&lt;&gt;""," / "&amp;INDEX('CARNET DE SOUDURE'!$T$7:$T$3006,MATCH(99,'CARNET DE SOUDURE'!$AV$7:$AV$3006,0)),""))</f>
        <v/>
      </c>
      <c r="F110" s="126" t="str">
        <f aca="false">IF($B110="","",INDEX('CARNET DE SOUDURE'!$Y$7:$Y$3006,MATCH(99,'CARNET DE SOUDURE'!$AV$7:$AV$3006,0)))</f>
        <v/>
      </c>
      <c r="G110" s="125" t="str">
        <f aca="false">IF($B110="","",INDEX('CARNET DE SOUDURE'!$Z$7:$Z$3006,MATCH(99,'CARNET DE SOUDURE'!$AV$7:$AV$3006,0))&amp;"")</f>
        <v/>
      </c>
      <c r="H110" s="127" t="str">
        <f aca="false">IF($B110="","",INDEX('CARNET DE SOUDURE'!$AA$7:$AA$3006,MATCH(99,'CARNET DE SOUDURE'!$AV$7:$AV$3006,0)))</f>
        <v/>
      </c>
      <c r="I110" s="125" t="str">
        <f aca="false">IF($B110="","",INDEX('CARNET DE SOUDURE'!$AB$7:$AB$3006,MATCH(99,'CARNET DE SOUDURE'!$AV$7:$AV$3006,0))&amp;"")</f>
        <v/>
      </c>
      <c r="J110" s="125" t="str">
        <f aca="false">IF($B110="","",INDEX('CARNET DE SOUDURE'!$AC$7:$AC$3006,MATCH(99,'CARNET DE SOUDURE'!$AV$7:$AV$3006,0))&amp;IF(INDEX('CARNET DE SOUDURE'!$AH$7:$AH$3006,MATCH(99,'CARNET DE SOUDURE'!$AV$7:$AV$3006,0))&lt;&gt;""," / "&amp;INDEX('CARNET DE SOUDURE'!$AH$7:$AH$3006,MATCH(99,'CARNET DE SOUDURE'!$AV$7:$AV$3006,0)),""))</f>
        <v/>
      </c>
      <c r="K110" s="125" t="str">
        <f aca="false">IF($B110="","",INDEX('CARNET DE SOUDURE'!$AD$7:$AD$3006,MATCH(99,'CARNET DE SOUDURE'!$AV$7:$AV$3006,0))&amp;IF(INDEX('CARNET DE SOUDURE'!$AI$7:$AI$3006,MATCH(99,'CARNET DE SOUDURE'!$AV$7:$AV$3006,0))&lt;&gt;""," / "&amp;INDEX('CARNET DE SOUDURE'!$AI$7:$AI$3006,MATCH(99,'CARNET DE SOUDURE'!$AV$7:$AV$3006,0)),""))</f>
        <v/>
      </c>
      <c r="L110" s="125" t="str">
        <f aca="false">IF($B110="","",INDEX('CARNET DE SOUDURE'!$AG$7:$AG$3006,MATCH(99,'CARNET DE SOUDURE'!$AV$7:$AV$3006,0))&amp;IF(INDEX('CARNET DE SOUDURE'!$AL$7:$AL$3006,MATCH(99,'CARNET DE SOUDURE'!$AV$7:$AV$3006,0))&lt;&gt;""," / "&amp;INDEX('CARNET DE SOUDURE'!$AL$7:$AL$3006,MATCH(99,'CARNET DE SOUDURE'!$AV$7:$AV$3006,0)),""))</f>
        <v/>
      </c>
      <c r="M110" s="127" t="str">
        <f aca="false">IF($B110="","",INDEX('CARNET DE SOUDURE'!$AP$7:$AP$3006,MATCH(99,'CARNET DE SOUDURE'!$AV$7:$AV$3006,0)))</f>
        <v/>
      </c>
      <c r="N110" s="127" t="str">
        <f aca="false">IF($B110="","",INDEX('CARNET DE SOUDURE'!$AQ$7:$AQ$3006,MATCH(99,'CARNET DE SOUDURE'!$AV$7:$AV$3006,0)))</f>
        <v/>
      </c>
      <c r="O110" s="128" t="str">
        <f aca="false">IF($B110="","",INDEX('CARNET DE SOUDURE'!$AR$7:$AR$3006,MATCH(99,'CARNET DE SOUDURE'!$AV$7:$AV$3006,0)))</f>
        <v/>
      </c>
    </row>
    <row r="111" customFormat="false" ht="15" hidden="false" customHeight="false" outlineLevel="0" collapsed="false">
      <c r="B111" s="130" t="str">
        <f aca="false">IF(100&gt;$I$4,"",100)</f>
        <v/>
      </c>
      <c r="C111" s="130" t="str">
        <f aca="false">IF($B111="","",INDEX('CARNET DE SOUDURE'!$B$7:$B$3006,MATCH(100,'CARNET DE SOUDURE'!$AV$7:$AV$3006,0)))</f>
        <v/>
      </c>
      <c r="D111" s="130" t="str">
        <f aca="false">IF($B111="","",INDEX('CARNET DE SOUDURE'!$E$7:$E$3006,MATCH(100,'CARNET DE SOUDURE'!$AV$7:$AV$3006,0)))</f>
        <v/>
      </c>
      <c r="E111" s="130" t="str">
        <f aca="false">IF($B111="","",INDEX('CARNET DE SOUDURE'!$R$7:$R$3006,MATCH(100,'CARNET DE SOUDURE'!$AV$7:$AV$3006,0))&amp;IF(INDEX('CARNET DE SOUDURE'!$S$7:$S$3006,MATCH(100,'CARNET DE SOUDURE'!$AV$7:$AV$3006,0))&lt;&gt;""," / "&amp;INDEX('CARNET DE SOUDURE'!$S$7:$S$3006,MATCH(100,'CARNET DE SOUDURE'!$AV$7:$AV$3006,0)),"")&amp;IF(INDEX('CARNET DE SOUDURE'!$T$7:$T$3006,MATCH(100,'CARNET DE SOUDURE'!$AV$7:$AV$3006,0))&lt;&gt;""," / "&amp;INDEX('CARNET DE SOUDURE'!$T$7:$T$3006,MATCH(100,'CARNET DE SOUDURE'!$AV$7:$AV$3006,0)),""))</f>
        <v/>
      </c>
      <c r="F111" s="131" t="str">
        <f aca="false">IF($B111="","",INDEX('CARNET DE SOUDURE'!$Y$7:$Y$3006,MATCH(100,'CARNET DE SOUDURE'!$AV$7:$AV$3006,0)))</f>
        <v/>
      </c>
      <c r="G111" s="130" t="str">
        <f aca="false">IF($B111="","",INDEX('CARNET DE SOUDURE'!$Z$7:$Z$3006,MATCH(100,'CARNET DE SOUDURE'!$AV$7:$AV$3006,0))&amp;"")</f>
        <v/>
      </c>
      <c r="H111" s="132" t="str">
        <f aca="false">IF($B111="","",INDEX('CARNET DE SOUDURE'!$AA$7:$AA$3006,MATCH(100,'CARNET DE SOUDURE'!$AV$7:$AV$3006,0)))</f>
        <v/>
      </c>
      <c r="I111" s="130" t="str">
        <f aca="false">IF($B111="","",INDEX('CARNET DE SOUDURE'!$AB$7:$AB$3006,MATCH(100,'CARNET DE SOUDURE'!$AV$7:$AV$3006,0))&amp;"")</f>
        <v/>
      </c>
      <c r="J111" s="130" t="str">
        <f aca="false">IF($B111="","",INDEX('CARNET DE SOUDURE'!$AC$7:$AC$3006,MATCH(100,'CARNET DE SOUDURE'!$AV$7:$AV$3006,0))&amp;IF(INDEX('CARNET DE SOUDURE'!$AH$7:$AH$3006,MATCH(100,'CARNET DE SOUDURE'!$AV$7:$AV$3006,0))&lt;&gt;""," / "&amp;INDEX('CARNET DE SOUDURE'!$AH$7:$AH$3006,MATCH(100,'CARNET DE SOUDURE'!$AV$7:$AV$3006,0)),""))</f>
        <v/>
      </c>
      <c r="K111" s="130" t="str">
        <f aca="false">IF($B111="","",INDEX('CARNET DE SOUDURE'!$AD$7:$AD$3006,MATCH(100,'CARNET DE SOUDURE'!$AV$7:$AV$3006,0))&amp;IF(INDEX('CARNET DE SOUDURE'!$AI$7:$AI$3006,MATCH(100,'CARNET DE SOUDURE'!$AV$7:$AV$3006,0))&lt;&gt;""," / "&amp;INDEX('CARNET DE SOUDURE'!$AI$7:$AI$3006,MATCH(100,'CARNET DE SOUDURE'!$AV$7:$AV$3006,0)),""))</f>
        <v/>
      </c>
      <c r="L111" s="130" t="str">
        <f aca="false">IF($B111="","",INDEX('CARNET DE SOUDURE'!$AG$7:$AG$3006,MATCH(100,'CARNET DE SOUDURE'!$AV$7:$AV$3006,0))&amp;IF(INDEX('CARNET DE SOUDURE'!$AL$7:$AL$3006,MATCH(100,'CARNET DE SOUDURE'!$AV$7:$AV$3006,0))&lt;&gt;""," / "&amp;INDEX('CARNET DE SOUDURE'!$AL$7:$AL$3006,MATCH(100,'CARNET DE SOUDURE'!$AV$7:$AV$3006,0)),""))</f>
        <v/>
      </c>
      <c r="M111" s="132" t="str">
        <f aca="false">IF($B111="","",INDEX('CARNET DE SOUDURE'!$AP$7:$AP$3006,MATCH(100,'CARNET DE SOUDURE'!$AV$7:$AV$3006,0)))</f>
        <v/>
      </c>
      <c r="N111" s="132" t="str">
        <f aca="false">IF($B111="","",INDEX('CARNET DE SOUDURE'!$AQ$7:$AQ$3006,MATCH(100,'CARNET DE SOUDURE'!$AV$7:$AV$3006,0)))</f>
        <v/>
      </c>
      <c r="O111" s="133" t="str">
        <f aca="false">IF($B111="","",INDEX('CARNET DE SOUDURE'!$AR$7:$AR$3006,MATCH(100,'CARNET DE SOUDURE'!$AV$7:$AV$3006,0)))</f>
        <v/>
      </c>
    </row>
    <row r="112" customFormat="false" ht="15" hidden="false" customHeight="false" outlineLevel="0" collapsed="false">
      <c r="B112" s="125" t="str">
        <f aca="false">IF(101&gt;$I$4,"",101)</f>
        <v/>
      </c>
      <c r="C112" s="125" t="str">
        <f aca="false">IF($B112="","",INDEX('CARNET DE SOUDURE'!$B$7:$B$3006,MATCH(101,'CARNET DE SOUDURE'!$AV$7:$AV$3006,0)))</f>
        <v/>
      </c>
      <c r="D112" s="125" t="str">
        <f aca="false">IF($B112="","",INDEX('CARNET DE SOUDURE'!$E$7:$E$3006,MATCH(101,'CARNET DE SOUDURE'!$AV$7:$AV$3006,0)))</f>
        <v/>
      </c>
      <c r="E112" s="125" t="str">
        <f aca="false">IF($B112="","",INDEX('CARNET DE SOUDURE'!$R$7:$R$3006,MATCH(101,'CARNET DE SOUDURE'!$AV$7:$AV$3006,0))&amp;IF(INDEX('CARNET DE SOUDURE'!$S$7:$S$3006,MATCH(101,'CARNET DE SOUDURE'!$AV$7:$AV$3006,0))&lt;&gt;""," / "&amp;INDEX('CARNET DE SOUDURE'!$S$7:$S$3006,MATCH(101,'CARNET DE SOUDURE'!$AV$7:$AV$3006,0)),"")&amp;IF(INDEX('CARNET DE SOUDURE'!$T$7:$T$3006,MATCH(101,'CARNET DE SOUDURE'!$AV$7:$AV$3006,0))&lt;&gt;""," / "&amp;INDEX('CARNET DE SOUDURE'!$T$7:$T$3006,MATCH(101,'CARNET DE SOUDURE'!$AV$7:$AV$3006,0)),""))</f>
        <v/>
      </c>
      <c r="F112" s="126" t="str">
        <f aca="false">IF($B112="","",INDEX('CARNET DE SOUDURE'!$Y$7:$Y$3006,MATCH(101,'CARNET DE SOUDURE'!$AV$7:$AV$3006,0)))</f>
        <v/>
      </c>
      <c r="G112" s="125" t="str">
        <f aca="false">IF($B112="","",INDEX('CARNET DE SOUDURE'!$Z$7:$Z$3006,MATCH(101,'CARNET DE SOUDURE'!$AV$7:$AV$3006,0))&amp;"")</f>
        <v/>
      </c>
      <c r="H112" s="127" t="str">
        <f aca="false">IF($B112="","",INDEX('CARNET DE SOUDURE'!$AA$7:$AA$3006,MATCH(101,'CARNET DE SOUDURE'!$AV$7:$AV$3006,0)))</f>
        <v/>
      </c>
      <c r="I112" s="125" t="str">
        <f aca="false">IF($B112="","",INDEX('CARNET DE SOUDURE'!$AB$7:$AB$3006,MATCH(101,'CARNET DE SOUDURE'!$AV$7:$AV$3006,0))&amp;"")</f>
        <v/>
      </c>
      <c r="J112" s="125" t="str">
        <f aca="false">IF($B112="","",INDEX('CARNET DE SOUDURE'!$AC$7:$AC$3006,MATCH(101,'CARNET DE SOUDURE'!$AV$7:$AV$3006,0))&amp;IF(INDEX('CARNET DE SOUDURE'!$AH$7:$AH$3006,MATCH(101,'CARNET DE SOUDURE'!$AV$7:$AV$3006,0))&lt;&gt;""," / "&amp;INDEX('CARNET DE SOUDURE'!$AH$7:$AH$3006,MATCH(101,'CARNET DE SOUDURE'!$AV$7:$AV$3006,0)),""))</f>
        <v/>
      </c>
      <c r="K112" s="125" t="str">
        <f aca="false">IF($B112="","",INDEX('CARNET DE SOUDURE'!$AD$7:$AD$3006,MATCH(101,'CARNET DE SOUDURE'!$AV$7:$AV$3006,0))&amp;IF(INDEX('CARNET DE SOUDURE'!$AI$7:$AI$3006,MATCH(101,'CARNET DE SOUDURE'!$AV$7:$AV$3006,0))&lt;&gt;""," / "&amp;INDEX('CARNET DE SOUDURE'!$AI$7:$AI$3006,MATCH(101,'CARNET DE SOUDURE'!$AV$7:$AV$3006,0)),""))</f>
        <v/>
      </c>
      <c r="L112" s="125" t="str">
        <f aca="false">IF($B112="","",INDEX('CARNET DE SOUDURE'!$AG$7:$AG$3006,MATCH(101,'CARNET DE SOUDURE'!$AV$7:$AV$3006,0))&amp;IF(INDEX('CARNET DE SOUDURE'!$AL$7:$AL$3006,MATCH(101,'CARNET DE SOUDURE'!$AV$7:$AV$3006,0))&lt;&gt;""," / "&amp;INDEX('CARNET DE SOUDURE'!$AL$7:$AL$3006,MATCH(101,'CARNET DE SOUDURE'!$AV$7:$AV$3006,0)),""))</f>
        <v/>
      </c>
      <c r="M112" s="127" t="str">
        <f aca="false">IF($B112="","",INDEX('CARNET DE SOUDURE'!$AP$7:$AP$3006,MATCH(101,'CARNET DE SOUDURE'!$AV$7:$AV$3006,0)))</f>
        <v/>
      </c>
      <c r="N112" s="127" t="str">
        <f aca="false">IF($B112="","",INDEX('CARNET DE SOUDURE'!$AQ$7:$AQ$3006,MATCH(101,'CARNET DE SOUDURE'!$AV$7:$AV$3006,0)))</f>
        <v/>
      </c>
      <c r="O112" s="128" t="str">
        <f aca="false">IF($B112="","",INDEX('CARNET DE SOUDURE'!$AR$7:$AR$3006,MATCH(101,'CARNET DE SOUDURE'!$AV$7:$AV$3006,0)))</f>
        <v/>
      </c>
    </row>
    <row r="113" customFormat="false" ht="15" hidden="false" customHeight="false" outlineLevel="0" collapsed="false">
      <c r="B113" s="130" t="str">
        <f aca="false">IF(102&gt;$I$4,"",102)</f>
        <v/>
      </c>
      <c r="C113" s="130" t="str">
        <f aca="false">IF($B113="","",INDEX('CARNET DE SOUDURE'!$B$7:$B$3006,MATCH(102,'CARNET DE SOUDURE'!$AV$7:$AV$3006,0)))</f>
        <v/>
      </c>
      <c r="D113" s="130" t="str">
        <f aca="false">IF($B113="","",INDEX('CARNET DE SOUDURE'!$E$7:$E$3006,MATCH(102,'CARNET DE SOUDURE'!$AV$7:$AV$3006,0)))</f>
        <v/>
      </c>
      <c r="E113" s="130" t="str">
        <f aca="false">IF($B113="","",INDEX('CARNET DE SOUDURE'!$R$7:$R$3006,MATCH(102,'CARNET DE SOUDURE'!$AV$7:$AV$3006,0))&amp;IF(INDEX('CARNET DE SOUDURE'!$S$7:$S$3006,MATCH(102,'CARNET DE SOUDURE'!$AV$7:$AV$3006,0))&lt;&gt;""," / "&amp;INDEX('CARNET DE SOUDURE'!$S$7:$S$3006,MATCH(102,'CARNET DE SOUDURE'!$AV$7:$AV$3006,0)),"")&amp;IF(INDEX('CARNET DE SOUDURE'!$T$7:$T$3006,MATCH(102,'CARNET DE SOUDURE'!$AV$7:$AV$3006,0))&lt;&gt;""," / "&amp;INDEX('CARNET DE SOUDURE'!$T$7:$T$3006,MATCH(102,'CARNET DE SOUDURE'!$AV$7:$AV$3006,0)),""))</f>
        <v/>
      </c>
      <c r="F113" s="131" t="str">
        <f aca="false">IF($B113="","",INDEX('CARNET DE SOUDURE'!$Y$7:$Y$3006,MATCH(102,'CARNET DE SOUDURE'!$AV$7:$AV$3006,0)))</f>
        <v/>
      </c>
      <c r="G113" s="130" t="str">
        <f aca="false">IF($B113="","",INDEX('CARNET DE SOUDURE'!$Z$7:$Z$3006,MATCH(102,'CARNET DE SOUDURE'!$AV$7:$AV$3006,0))&amp;"")</f>
        <v/>
      </c>
      <c r="H113" s="132" t="str">
        <f aca="false">IF($B113="","",INDEX('CARNET DE SOUDURE'!$AA$7:$AA$3006,MATCH(102,'CARNET DE SOUDURE'!$AV$7:$AV$3006,0)))</f>
        <v/>
      </c>
      <c r="I113" s="130" t="str">
        <f aca="false">IF($B113="","",INDEX('CARNET DE SOUDURE'!$AB$7:$AB$3006,MATCH(102,'CARNET DE SOUDURE'!$AV$7:$AV$3006,0))&amp;"")</f>
        <v/>
      </c>
      <c r="J113" s="130" t="str">
        <f aca="false">IF($B113="","",INDEX('CARNET DE SOUDURE'!$AC$7:$AC$3006,MATCH(102,'CARNET DE SOUDURE'!$AV$7:$AV$3006,0))&amp;IF(INDEX('CARNET DE SOUDURE'!$AH$7:$AH$3006,MATCH(102,'CARNET DE SOUDURE'!$AV$7:$AV$3006,0))&lt;&gt;""," / "&amp;INDEX('CARNET DE SOUDURE'!$AH$7:$AH$3006,MATCH(102,'CARNET DE SOUDURE'!$AV$7:$AV$3006,0)),""))</f>
        <v/>
      </c>
      <c r="K113" s="130" t="str">
        <f aca="false">IF($B113="","",INDEX('CARNET DE SOUDURE'!$AD$7:$AD$3006,MATCH(102,'CARNET DE SOUDURE'!$AV$7:$AV$3006,0))&amp;IF(INDEX('CARNET DE SOUDURE'!$AI$7:$AI$3006,MATCH(102,'CARNET DE SOUDURE'!$AV$7:$AV$3006,0))&lt;&gt;""," / "&amp;INDEX('CARNET DE SOUDURE'!$AI$7:$AI$3006,MATCH(102,'CARNET DE SOUDURE'!$AV$7:$AV$3006,0)),""))</f>
        <v/>
      </c>
      <c r="L113" s="130" t="str">
        <f aca="false">IF($B113="","",INDEX('CARNET DE SOUDURE'!$AG$7:$AG$3006,MATCH(102,'CARNET DE SOUDURE'!$AV$7:$AV$3006,0))&amp;IF(INDEX('CARNET DE SOUDURE'!$AL$7:$AL$3006,MATCH(102,'CARNET DE SOUDURE'!$AV$7:$AV$3006,0))&lt;&gt;""," / "&amp;INDEX('CARNET DE SOUDURE'!$AL$7:$AL$3006,MATCH(102,'CARNET DE SOUDURE'!$AV$7:$AV$3006,0)),""))</f>
        <v/>
      </c>
      <c r="M113" s="132" t="str">
        <f aca="false">IF($B113="","",INDEX('CARNET DE SOUDURE'!$AP$7:$AP$3006,MATCH(102,'CARNET DE SOUDURE'!$AV$7:$AV$3006,0)))</f>
        <v/>
      </c>
      <c r="N113" s="132" t="str">
        <f aca="false">IF($B113="","",INDEX('CARNET DE SOUDURE'!$AQ$7:$AQ$3006,MATCH(102,'CARNET DE SOUDURE'!$AV$7:$AV$3006,0)))</f>
        <v/>
      </c>
      <c r="O113" s="133" t="str">
        <f aca="false">IF($B113="","",INDEX('CARNET DE SOUDURE'!$AR$7:$AR$3006,MATCH(102,'CARNET DE SOUDURE'!$AV$7:$AV$3006,0)))</f>
        <v/>
      </c>
    </row>
    <row r="114" customFormat="false" ht="15" hidden="false" customHeight="false" outlineLevel="0" collapsed="false">
      <c r="B114" s="125" t="str">
        <f aca="false">IF(103&gt;$I$4,"",103)</f>
        <v/>
      </c>
      <c r="C114" s="125" t="str">
        <f aca="false">IF($B114="","",INDEX('CARNET DE SOUDURE'!$B$7:$B$3006,MATCH(103,'CARNET DE SOUDURE'!$AV$7:$AV$3006,0)))</f>
        <v/>
      </c>
      <c r="D114" s="125" t="str">
        <f aca="false">IF($B114="","",INDEX('CARNET DE SOUDURE'!$E$7:$E$3006,MATCH(103,'CARNET DE SOUDURE'!$AV$7:$AV$3006,0)))</f>
        <v/>
      </c>
      <c r="E114" s="125" t="str">
        <f aca="false">IF($B114="","",INDEX('CARNET DE SOUDURE'!$R$7:$R$3006,MATCH(103,'CARNET DE SOUDURE'!$AV$7:$AV$3006,0))&amp;IF(INDEX('CARNET DE SOUDURE'!$S$7:$S$3006,MATCH(103,'CARNET DE SOUDURE'!$AV$7:$AV$3006,0))&lt;&gt;""," / "&amp;INDEX('CARNET DE SOUDURE'!$S$7:$S$3006,MATCH(103,'CARNET DE SOUDURE'!$AV$7:$AV$3006,0)),"")&amp;IF(INDEX('CARNET DE SOUDURE'!$T$7:$T$3006,MATCH(103,'CARNET DE SOUDURE'!$AV$7:$AV$3006,0))&lt;&gt;""," / "&amp;INDEX('CARNET DE SOUDURE'!$T$7:$T$3006,MATCH(103,'CARNET DE SOUDURE'!$AV$7:$AV$3006,0)),""))</f>
        <v/>
      </c>
      <c r="F114" s="126" t="str">
        <f aca="false">IF($B114="","",INDEX('CARNET DE SOUDURE'!$Y$7:$Y$3006,MATCH(103,'CARNET DE SOUDURE'!$AV$7:$AV$3006,0)))</f>
        <v/>
      </c>
      <c r="G114" s="125" t="str">
        <f aca="false">IF($B114="","",INDEX('CARNET DE SOUDURE'!$Z$7:$Z$3006,MATCH(103,'CARNET DE SOUDURE'!$AV$7:$AV$3006,0))&amp;"")</f>
        <v/>
      </c>
      <c r="H114" s="127" t="str">
        <f aca="false">IF($B114="","",INDEX('CARNET DE SOUDURE'!$AA$7:$AA$3006,MATCH(103,'CARNET DE SOUDURE'!$AV$7:$AV$3006,0)))</f>
        <v/>
      </c>
      <c r="I114" s="125" t="str">
        <f aca="false">IF($B114="","",INDEX('CARNET DE SOUDURE'!$AB$7:$AB$3006,MATCH(103,'CARNET DE SOUDURE'!$AV$7:$AV$3006,0))&amp;"")</f>
        <v/>
      </c>
      <c r="J114" s="125" t="str">
        <f aca="false">IF($B114="","",INDEX('CARNET DE SOUDURE'!$AC$7:$AC$3006,MATCH(103,'CARNET DE SOUDURE'!$AV$7:$AV$3006,0))&amp;IF(INDEX('CARNET DE SOUDURE'!$AH$7:$AH$3006,MATCH(103,'CARNET DE SOUDURE'!$AV$7:$AV$3006,0))&lt;&gt;""," / "&amp;INDEX('CARNET DE SOUDURE'!$AH$7:$AH$3006,MATCH(103,'CARNET DE SOUDURE'!$AV$7:$AV$3006,0)),""))</f>
        <v/>
      </c>
      <c r="K114" s="125" t="str">
        <f aca="false">IF($B114="","",INDEX('CARNET DE SOUDURE'!$AD$7:$AD$3006,MATCH(103,'CARNET DE SOUDURE'!$AV$7:$AV$3006,0))&amp;IF(INDEX('CARNET DE SOUDURE'!$AI$7:$AI$3006,MATCH(103,'CARNET DE SOUDURE'!$AV$7:$AV$3006,0))&lt;&gt;""," / "&amp;INDEX('CARNET DE SOUDURE'!$AI$7:$AI$3006,MATCH(103,'CARNET DE SOUDURE'!$AV$7:$AV$3006,0)),""))</f>
        <v/>
      </c>
      <c r="L114" s="125" t="str">
        <f aca="false">IF($B114="","",INDEX('CARNET DE SOUDURE'!$AG$7:$AG$3006,MATCH(103,'CARNET DE SOUDURE'!$AV$7:$AV$3006,0))&amp;IF(INDEX('CARNET DE SOUDURE'!$AL$7:$AL$3006,MATCH(103,'CARNET DE SOUDURE'!$AV$7:$AV$3006,0))&lt;&gt;""," / "&amp;INDEX('CARNET DE SOUDURE'!$AL$7:$AL$3006,MATCH(103,'CARNET DE SOUDURE'!$AV$7:$AV$3006,0)),""))</f>
        <v/>
      </c>
      <c r="M114" s="127" t="str">
        <f aca="false">IF($B114="","",INDEX('CARNET DE SOUDURE'!$AP$7:$AP$3006,MATCH(103,'CARNET DE SOUDURE'!$AV$7:$AV$3006,0)))</f>
        <v/>
      </c>
      <c r="N114" s="127" t="str">
        <f aca="false">IF($B114="","",INDEX('CARNET DE SOUDURE'!$AQ$7:$AQ$3006,MATCH(103,'CARNET DE SOUDURE'!$AV$7:$AV$3006,0)))</f>
        <v/>
      </c>
      <c r="O114" s="128" t="str">
        <f aca="false">IF($B114="","",INDEX('CARNET DE SOUDURE'!$AR$7:$AR$3006,MATCH(103,'CARNET DE SOUDURE'!$AV$7:$AV$3006,0)))</f>
        <v/>
      </c>
    </row>
    <row r="115" customFormat="false" ht="15" hidden="false" customHeight="false" outlineLevel="0" collapsed="false">
      <c r="B115" s="130" t="str">
        <f aca="false">IF(104&gt;$I$4,"",104)</f>
        <v/>
      </c>
      <c r="C115" s="130" t="str">
        <f aca="false">IF($B115="","",INDEX('CARNET DE SOUDURE'!$B$7:$B$3006,MATCH(104,'CARNET DE SOUDURE'!$AV$7:$AV$3006,0)))</f>
        <v/>
      </c>
      <c r="D115" s="130" t="str">
        <f aca="false">IF($B115="","",INDEX('CARNET DE SOUDURE'!$E$7:$E$3006,MATCH(104,'CARNET DE SOUDURE'!$AV$7:$AV$3006,0)))</f>
        <v/>
      </c>
      <c r="E115" s="130" t="str">
        <f aca="false">IF($B115="","",INDEX('CARNET DE SOUDURE'!$R$7:$R$3006,MATCH(104,'CARNET DE SOUDURE'!$AV$7:$AV$3006,0))&amp;IF(INDEX('CARNET DE SOUDURE'!$S$7:$S$3006,MATCH(104,'CARNET DE SOUDURE'!$AV$7:$AV$3006,0))&lt;&gt;""," / "&amp;INDEX('CARNET DE SOUDURE'!$S$7:$S$3006,MATCH(104,'CARNET DE SOUDURE'!$AV$7:$AV$3006,0)),"")&amp;IF(INDEX('CARNET DE SOUDURE'!$T$7:$T$3006,MATCH(104,'CARNET DE SOUDURE'!$AV$7:$AV$3006,0))&lt;&gt;""," / "&amp;INDEX('CARNET DE SOUDURE'!$T$7:$T$3006,MATCH(104,'CARNET DE SOUDURE'!$AV$7:$AV$3006,0)),""))</f>
        <v/>
      </c>
      <c r="F115" s="131" t="str">
        <f aca="false">IF($B115="","",INDEX('CARNET DE SOUDURE'!$Y$7:$Y$3006,MATCH(104,'CARNET DE SOUDURE'!$AV$7:$AV$3006,0)))</f>
        <v/>
      </c>
      <c r="G115" s="130" t="str">
        <f aca="false">IF($B115="","",INDEX('CARNET DE SOUDURE'!$Z$7:$Z$3006,MATCH(104,'CARNET DE SOUDURE'!$AV$7:$AV$3006,0))&amp;"")</f>
        <v/>
      </c>
      <c r="H115" s="132" t="str">
        <f aca="false">IF($B115="","",INDEX('CARNET DE SOUDURE'!$AA$7:$AA$3006,MATCH(104,'CARNET DE SOUDURE'!$AV$7:$AV$3006,0)))</f>
        <v/>
      </c>
      <c r="I115" s="130" t="str">
        <f aca="false">IF($B115="","",INDEX('CARNET DE SOUDURE'!$AB$7:$AB$3006,MATCH(104,'CARNET DE SOUDURE'!$AV$7:$AV$3006,0))&amp;"")</f>
        <v/>
      </c>
      <c r="J115" s="130" t="str">
        <f aca="false">IF($B115="","",INDEX('CARNET DE SOUDURE'!$AC$7:$AC$3006,MATCH(104,'CARNET DE SOUDURE'!$AV$7:$AV$3006,0))&amp;IF(INDEX('CARNET DE SOUDURE'!$AH$7:$AH$3006,MATCH(104,'CARNET DE SOUDURE'!$AV$7:$AV$3006,0))&lt;&gt;""," / "&amp;INDEX('CARNET DE SOUDURE'!$AH$7:$AH$3006,MATCH(104,'CARNET DE SOUDURE'!$AV$7:$AV$3006,0)),""))</f>
        <v/>
      </c>
      <c r="K115" s="130" t="str">
        <f aca="false">IF($B115="","",INDEX('CARNET DE SOUDURE'!$AD$7:$AD$3006,MATCH(104,'CARNET DE SOUDURE'!$AV$7:$AV$3006,0))&amp;IF(INDEX('CARNET DE SOUDURE'!$AI$7:$AI$3006,MATCH(104,'CARNET DE SOUDURE'!$AV$7:$AV$3006,0))&lt;&gt;""," / "&amp;INDEX('CARNET DE SOUDURE'!$AI$7:$AI$3006,MATCH(104,'CARNET DE SOUDURE'!$AV$7:$AV$3006,0)),""))</f>
        <v/>
      </c>
      <c r="L115" s="130" t="str">
        <f aca="false">IF($B115="","",INDEX('CARNET DE SOUDURE'!$AG$7:$AG$3006,MATCH(104,'CARNET DE SOUDURE'!$AV$7:$AV$3006,0))&amp;IF(INDEX('CARNET DE SOUDURE'!$AL$7:$AL$3006,MATCH(104,'CARNET DE SOUDURE'!$AV$7:$AV$3006,0))&lt;&gt;""," / "&amp;INDEX('CARNET DE SOUDURE'!$AL$7:$AL$3006,MATCH(104,'CARNET DE SOUDURE'!$AV$7:$AV$3006,0)),""))</f>
        <v/>
      </c>
      <c r="M115" s="132" t="str">
        <f aca="false">IF($B115="","",INDEX('CARNET DE SOUDURE'!$AP$7:$AP$3006,MATCH(104,'CARNET DE SOUDURE'!$AV$7:$AV$3006,0)))</f>
        <v/>
      </c>
      <c r="N115" s="132" t="str">
        <f aca="false">IF($B115="","",INDEX('CARNET DE SOUDURE'!$AQ$7:$AQ$3006,MATCH(104,'CARNET DE SOUDURE'!$AV$7:$AV$3006,0)))</f>
        <v/>
      </c>
      <c r="O115" s="133" t="str">
        <f aca="false">IF($B115="","",INDEX('CARNET DE SOUDURE'!$AR$7:$AR$3006,MATCH(104,'CARNET DE SOUDURE'!$AV$7:$AV$3006,0)))</f>
        <v/>
      </c>
    </row>
    <row r="116" customFormat="false" ht="15" hidden="false" customHeight="false" outlineLevel="0" collapsed="false">
      <c r="B116" s="125" t="str">
        <f aca="false">IF(105&gt;$I$4,"",105)</f>
        <v/>
      </c>
      <c r="C116" s="125" t="str">
        <f aca="false">IF($B116="","",INDEX('CARNET DE SOUDURE'!$B$7:$B$3006,MATCH(105,'CARNET DE SOUDURE'!$AV$7:$AV$3006,0)))</f>
        <v/>
      </c>
      <c r="D116" s="125" t="str">
        <f aca="false">IF($B116="","",INDEX('CARNET DE SOUDURE'!$E$7:$E$3006,MATCH(105,'CARNET DE SOUDURE'!$AV$7:$AV$3006,0)))</f>
        <v/>
      </c>
      <c r="E116" s="125" t="str">
        <f aca="false">IF($B116="","",INDEX('CARNET DE SOUDURE'!$R$7:$R$3006,MATCH(105,'CARNET DE SOUDURE'!$AV$7:$AV$3006,0))&amp;IF(INDEX('CARNET DE SOUDURE'!$S$7:$S$3006,MATCH(105,'CARNET DE SOUDURE'!$AV$7:$AV$3006,0))&lt;&gt;""," / "&amp;INDEX('CARNET DE SOUDURE'!$S$7:$S$3006,MATCH(105,'CARNET DE SOUDURE'!$AV$7:$AV$3006,0)),"")&amp;IF(INDEX('CARNET DE SOUDURE'!$T$7:$T$3006,MATCH(105,'CARNET DE SOUDURE'!$AV$7:$AV$3006,0))&lt;&gt;""," / "&amp;INDEX('CARNET DE SOUDURE'!$T$7:$T$3006,MATCH(105,'CARNET DE SOUDURE'!$AV$7:$AV$3006,0)),""))</f>
        <v/>
      </c>
      <c r="F116" s="126" t="str">
        <f aca="false">IF($B116="","",INDEX('CARNET DE SOUDURE'!$Y$7:$Y$3006,MATCH(105,'CARNET DE SOUDURE'!$AV$7:$AV$3006,0)))</f>
        <v/>
      </c>
      <c r="G116" s="125" t="str">
        <f aca="false">IF($B116="","",INDEX('CARNET DE SOUDURE'!$Z$7:$Z$3006,MATCH(105,'CARNET DE SOUDURE'!$AV$7:$AV$3006,0))&amp;"")</f>
        <v/>
      </c>
      <c r="H116" s="127" t="str">
        <f aca="false">IF($B116="","",INDEX('CARNET DE SOUDURE'!$AA$7:$AA$3006,MATCH(105,'CARNET DE SOUDURE'!$AV$7:$AV$3006,0)))</f>
        <v/>
      </c>
      <c r="I116" s="125" t="str">
        <f aca="false">IF($B116="","",INDEX('CARNET DE SOUDURE'!$AB$7:$AB$3006,MATCH(105,'CARNET DE SOUDURE'!$AV$7:$AV$3006,0))&amp;"")</f>
        <v/>
      </c>
      <c r="J116" s="125" t="str">
        <f aca="false">IF($B116="","",INDEX('CARNET DE SOUDURE'!$AC$7:$AC$3006,MATCH(105,'CARNET DE SOUDURE'!$AV$7:$AV$3006,0))&amp;IF(INDEX('CARNET DE SOUDURE'!$AH$7:$AH$3006,MATCH(105,'CARNET DE SOUDURE'!$AV$7:$AV$3006,0))&lt;&gt;""," / "&amp;INDEX('CARNET DE SOUDURE'!$AH$7:$AH$3006,MATCH(105,'CARNET DE SOUDURE'!$AV$7:$AV$3006,0)),""))</f>
        <v/>
      </c>
      <c r="K116" s="125" t="str">
        <f aca="false">IF($B116="","",INDEX('CARNET DE SOUDURE'!$AD$7:$AD$3006,MATCH(105,'CARNET DE SOUDURE'!$AV$7:$AV$3006,0))&amp;IF(INDEX('CARNET DE SOUDURE'!$AI$7:$AI$3006,MATCH(105,'CARNET DE SOUDURE'!$AV$7:$AV$3006,0))&lt;&gt;""," / "&amp;INDEX('CARNET DE SOUDURE'!$AI$7:$AI$3006,MATCH(105,'CARNET DE SOUDURE'!$AV$7:$AV$3006,0)),""))</f>
        <v/>
      </c>
      <c r="L116" s="125" t="str">
        <f aca="false">IF($B116="","",INDEX('CARNET DE SOUDURE'!$AG$7:$AG$3006,MATCH(105,'CARNET DE SOUDURE'!$AV$7:$AV$3006,0))&amp;IF(INDEX('CARNET DE SOUDURE'!$AL$7:$AL$3006,MATCH(105,'CARNET DE SOUDURE'!$AV$7:$AV$3006,0))&lt;&gt;""," / "&amp;INDEX('CARNET DE SOUDURE'!$AL$7:$AL$3006,MATCH(105,'CARNET DE SOUDURE'!$AV$7:$AV$3006,0)),""))</f>
        <v/>
      </c>
      <c r="M116" s="127" t="str">
        <f aca="false">IF($B116="","",INDEX('CARNET DE SOUDURE'!$AP$7:$AP$3006,MATCH(105,'CARNET DE SOUDURE'!$AV$7:$AV$3006,0)))</f>
        <v/>
      </c>
      <c r="N116" s="127" t="str">
        <f aca="false">IF($B116="","",INDEX('CARNET DE SOUDURE'!$AQ$7:$AQ$3006,MATCH(105,'CARNET DE SOUDURE'!$AV$7:$AV$3006,0)))</f>
        <v/>
      </c>
      <c r="O116" s="128" t="str">
        <f aca="false">IF($B116="","",INDEX('CARNET DE SOUDURE'!$AR$7:$AR$3006,MATCH(105,'CARNET DE SOUDURE'!$AV$7:$AV$3006,0)))</f>
        <v/>
      </c>
    </row>
    <row r="117" customFormat="false" ht="15" hidden="false" customHeight="false" outlineLevel="0" collapsed="false">
      <c r="B117" s="130" t="str">
        <f aca="false">IF(106&gt;$I$4,"",106)</f>
        <v/>
      </c>
      <c r="C117" s="130" t="str">
        <f aca="false">IF($B117="","",INDEX('CARNET DE SOUDURE'!$B$7:$B$3006,MATCH(106,'CARNET DE SOUDURE'!$AV$7:$AV$3006,0)))</f>
        <v/>
      </c>
      <c r="D117" s="130" t="str">
        <f aca="false">IF($B117="","",INDEX('CARNET DE SOUDURE'!$E$7:$E$3006,MATCH(106,'CARNET DE SOUDURE'!$AV$7:$AV$3006,0)))</f>
        <v/>
      </c>
      <c r="E117" s="130" t="str">
        <f aca="false">IF($B117="","",INDEX('CARNET DE SOUDURE'!$R$7:$R$3006,MATCH(106,'CARNET DE SOUDURE'!$AV$7:$AV$3006,0))&amp;IF(INDEX('CARNET DE SOUDURE'!$S$7:$S$3006,MATCH(106,'CARNET DE SOUDURE'!$AV$7:$AV$3006,0))&lt;&gt;""," / "&amp;INDEX('CARNET DE SOUDURE'!$S$7:$S$3006,MATCH(106,'CARNET DE SOUDURE'!$AV$7:$AV$3006,0)),"")&amp;IF(INDEX('CARNET DE SOUDURE'!$T$7:$T$3006,MATCH(106,'CARNET DE SOUDURE'!$AV$7:$AV$3006,0))&lt;&gt;""," / "&amp;INDEX('CARNET DE SOUDURE'!$T$7:$T$3006,MATCH(106,'CARNET DE SOUDURE'!$AV$7:$AV$3006,0)),""))</f>
        <v/>
      </c>
      <c r="F117" s="131" t="str">
        <f aca="false">IF($B117="","",INDEX('CARNET DE SOUDURE'!$Y$7:$Y$3006,MATCH(106,'CARNET DE SOUDURE'!$AV$7:$AV$3006,0)))</f>
        <v/>
      </c>
      <c r="G117" s="130" t="str">
        <f aca="false">IF($B117="","",INDEX('CARNET DE SOUDURE'!$Z$7:$Z$3006,MATCH(106,'CARNET DE SOUDURE'!$AV$7:$AV$3006,0))&amp;"")</f>
        <v/>
      </c>
      <c r="H117" s="132" t="str">
        <f aca="false">IF($B117="","",INDEX('CARNET DE SOUDURE'!$AA$7:$AA$3006,MATCH(106,'CARNET DE SOUDURE'!$AV$7:$AV$3006,0)))</f>
        <v/>
      </c>
      <c r="I117" s="130" t="str">
        <f aca="false">IF($B117="","",INDEX('CARNET DE SOUDURE'!$AB$7:$AB$3006,MATCH(106,'CARNET DE SOUDURE'!$AV$7:$AV$3006,0))&amp;"")</f>
        <v/>
      </c>
      <c r="J117" s="130" t="str">
        <f aca="false">IF($B117="","",INDEX('CARNET DE SOUDURE'!$AC$7:$AC$3006,MATCH(106,'CARNET DE SOUDURE'!$AV$7:$AV$3006,0))&amp;IF(INDEX('CARNET DE SOUDURE'!$AH$7:$AH$3006,MATCH(106,'CARNET DE SOUDURE'!$AV$7:$AV$3006,0))&lt;&gt;""," / "&amp;INDEX('CARNET DE SOUDURE'!$AH$7:$AH$3006,MATCH(106,'CARNET DE SOUDURE'!$AV$7:$AV$3006,0)),""))</f>
        <v/>
      </c>
      <c r="K117" s="130" t="str">
        <f aca="false">IF($B117="","",INDEX('CARNET DE SOUDURE'!$AD$7:$AD$3006,MATCH(106,'CARNET DE SOUDURE'!$AV$7:$AV$3006,0))&amp;IF(INDEX('CARNET DE SOUDURE'!$AI$7:$AI$3006,MATCH(106,'CARNET DE SOUDURE'!$AV$7:$AV$3006,0))&lt;&gt;""," / "&amp;INDEX('CARNET DE SOUDURE'!$AI$7:$AI$3006,MATCH(106,'CARNET DE SOUDURE'!$AV$7:$AV$3006,0)),""))</f>
        <v/>
      </c>
      <c r="L117" s="130" t="str">
        <f aca="false">IF($B117="","",INDEX('CARNET DE SOUDURE'!$AG$7:$AG$3006,MATCH(106,'CARNET DE SOUDURE'!$AV$7:$AV$3006,0))&amp;IF(INDEX('CARNET DE SOUDURE'!$AL$7:$AL$3006,MATCH(106,'CARNET DE SOUDURE'!$AV$7:$AV$3006,0))&lt;&gt;""," / "&amp;INDEX('CARNET DE SOUDURE'!$AL$7:$AL$3006,MATCH(106,'CARNET DE SOUDURE'!$AV$7:$AV$3006,0)),""))</f>
        <v/>
      </c>
      <c r="M117" s="132" t="str">
        <f aca="false">IF($B117="","",INDEX('CARNET DE SOUDURE'!$AP$7:$AP$3006,MATCH(106,'CARNET DE SOUDURE'!$AV$7:$AV$3006,0)))</f>
        <v/>
      </c>
      <c r="N117" s="132" t="str">
        <f aca="false">IF($B117="","",INDEX('CARNET DE SOUDURE'!$AQ$7:$AQ$3006,MATCH(106,'CARNET DE SOUDURE'!$AV$7:$AV$3006,0)))</f>
        <v/>
      </c>
      <c r="O117" s="133" t="str">
        <f aca="false">IF($B117="","",INDEX('CARNET DE SOUDURE'!$AR$7:$AR$3006,MATCH(106,'CARNET DE SOUDURE'!$AV$7:$AV$3006,0)))</f>
        <v/>
      </c>
    </row>
    <row r="118" customFormat="false" ht="15" hidden="false" customHeight="false" outlineLevel="0" collapsed="false">
      <c r="B118" s="125" t="str">
        <f aca="false">IF(107&gt;$I$4,"",107)</f>
        <v/>
      </c>
      <c r="C118" s="125" t="str">
        <f aca="false">IF($B118="","",INDEX('CARNET DE SOUDURE'!$B$7:$B$3006,MATCH(107,'CARNET DE SOUDURE'!$AV$7:$AV$3006,0)))</f>
        <v/>
      </c>
      <c r="D118" s="125" t="str">
        <f aca="false">IF($B118="","",INDEX('CARNET DE SOUDURE'!$E$7:$E$3006,MATCH(107,'CARNET DE SOUDURE'!$AV$7:$AV$3006,0)))</f>
        <v/>
      </c>
      <c r="E118" s="125" t="str">
        <f aca="false">IF($B118="","",INDEX('CARNET DE SOUDURE'!$R$7:$R$3006,MATCH(107,'CARNET DE SOUDURE'!$AV$7:$AV$3006,0))&amp;IF(INDEX('CARNET DE SOUDURE'!$S$7:$S$3006,MATCH(107,'CARNET DE SOUDURE'!$AV$7:$AV$3006,0))&lt;&gt;""," / "&amp;INDEX('CARNET DE SOUDURE'!$S$7:$S$3006,MATCH(107,'CARNET DE SOUDURE'!$AV$7:$AV$3006,0)),"")&amp;IF(INDEX('CARNET DE SOUDURE'!$T$7:$T$3006,MATCH(107,'CARNET DE SOUDURE'!$AV$7:$AV$3006,0))&lt;&gt;""," / "&amp;INDEX('CARNET DE SOUDURE'!$T$7:$T$3006,MATCH(107,'CARNET DE SOUDURE'!$AV$7:$AV$3006,0)),""))</f>
        <v/>
      </c>
      <c r="F118" s="126" t="str">
        <f aca="false">IF($B118="","",INDEX('CARNET DE SOUDURE'!$Y$7:$Y$3006,MATCH(107,'CARNET DE SOUDURE'!$AV$7:$AV$3006,0)))</f>
        <v/>
      </c>
      <c r="G118" s="125" t="str">
        <f aca="false">IF($B118="","",INDEX('CARNET DE SOUDURE'!$Z$7:$Z$3006,MATCH(107,'CARNET DE SOUDURE'!$AV$7:$AV$3006,0))&amp;"")</f>
        <v/>
      </c>
      <c r="H118" s="127" t="str">
        <f aca="false">IF($B118="","",INDEX('CARNET DE SOUDURE'!$AA$7:$AA$3006,MATCH(107,'CARNET DE SOUDURE'!$AV$7:$AV$3006,0)))</f>
        <v/>
      </c>
      <c r="I118" s="125" t="str">
        <f aca="false">IF($B118="","",INDEX('CARNET DE SOUDURE'!$AB$7:$AB$3006,MATCH(107,'CARNET DE SOUDURE'!$AV$7:$AV$3006,0))&amp;"")</f>
        <v/>
      </c>
      <c r="J118" s="125" t="str">
        <f aca="false">IF($B118="","",INDEX('CARNET DE SOUDURE'!$AC$7:$AC$3006,MATCH(107,'CARNET DE SOUDURE'!$AV$7:$AV$3006,0))&amp;IF(INDEX('CARNET DE SOUDURE'!$AH$7:$AH$3006,MATCH(107,'CARNET DE SOUDURE'!$AV$7:$AV$3006,0))&lt;&gt;""," / "&amp;INDEX('CARNET DE SOUDURE'!$AH$7:$AH$3006,MATCH(107,'CARNET DE SOUDURE'!$AV$7:$AV$3006,0)),""))</f>
        <v/>
      </c>
      <c r="K118" s="125" t="str">
        <f aca="false">IF($B118="","",INDEX('CARNET DE SOUDURE'!$AD$7:$AD$3006,MATCH(107,'CARNET DE SOUDURE'!$AV$7:$AV$3006,0))&amp;IF(INDEX('CARNET DE SOUDURE'!$AI$7:$AI$3006,MATCH(107,'CARNET DE SOUDURE'!$AV$7:$AV$3006,0))&lt;&gt;""," / "&amp;INDEX('CARNET DE SOUDURE'!$AI$7:$AI$3006,MATCH(107,'CARNET DE SOUDURE'!$AV$7:$AV$3006,0)),""))</f>
        <v/>
      </c>
      <c r="L118" s="125" t="str">
        <f aca="false">IF($B118="","",INDEX('CARNET DE SOUDURE'!$AG$7:$AG$3006,MATCH(107,'CARNET DE SOUDURE'!$AV$7:$AV$3006,0))&amp;IF(INDEX('CARNET DE SOUDURE'!$AL$7:$AL$3006,MATCH(107,'CARNET DE SOUDURE'!$AV$7:$AV$3006,0))&lt;&gt;""," / "&amp;INDEX('CARNET DE SOUDURE'!$AL$7:$AL$3006,MATCH(107,'CARNET DE SOUDURE'!$AV$7:$AV$3006,0)),""))</f>
        <v/>
      </c>
      <c r="M118" s="127" t="str">
        <f aca="false">IF($B118="","",INDEX('CARNET DE SOUDURE'!$AP$7:$AP$3006,MATCH(107,'CARNET DE SOUDURE'!$AV$7:$AV$3006,0)))</f>
        <v/>
      </c>
      <c r="N118" s="127" t="str">
        <f aca="false">IF($B118="","",INDEX('CARNET DE SOUDURE'!$AQ$7:$AQ$3006,MATCH(107,'CARNET DE SOUDURE'!$AV$7:$AV$3006,0)))</f>
        <v/>
      </c>
      <c r="O118" s="128" t="str">
        <f aca="false">IF($B118="","",INDEX('CARNET DE SOUDURE'!$AR$7:$AR$3006,MATCH(107,'CARNET DE SOUDURE'!$AV$7:$AV$3006,0)))</f>
        <v/>
      </c>
    </row>
    <row r="119" customFormat="false" ht="15" hidden="false" customHeight="false" outlineLevel="0" collapsed="false">
      <c r="B119" s="130" t="str">
        <f aca="false">IF(108&gt;$I$4,"",108)</f>
        <v/>
      </c>
      <c r="C119" s="130" t="str">
        <f aca="false">IF($B119="","",INDEX('CARNET DE SOUDURE'!$B$7:$B$3006,MATCH(108,'CARNET DE SOUDURE'!$AV$7:$AV$3006,0)))</f>
        <v/>
      </c>
      <c r="D119" s="130" t="str">
        <f aca="false">IF($B119="","",INDEX('CARNET DE SOUDURE'!$E$7:$E$3006,MATCH(108,'CARNET DE SOUDURE'!$AV$7:$AV$3006,0)))</f>
        <v/>
      </c>
      <c r="E119" s="130" t="str">
        <f aca="false">IF($B119="","",INDEX('CARNET DE SOUDURE'!$R$7:$R$3006,MATCH(108,'CARNET DE SOUDURE'!$AV$7:$AV$3006,0))&amp;IF(INDEX('CARNET DE SOUDURE'!$S$7:$S$3006,MATCH(108,'CARNET DE SOUDURE'!$AV$7:$AV$3006,0))&lt;&gt;""," / "&amp;INDEX('CARNET DE SOUDURE'!$S$7:$S$3006,MATCH(108,'CARNET DE SOUDURE'!$AV$7:$AV$3006,0)),"")&amp;IF(INDEX('CARNET DE SOUDURE'!$T$7:$T$3006,MATCH(108,'CARNET DE SOUDURE'!$AV$7:$AV$3006,0))&lt;&gt;""," / "&amp;INDEX('CARNET DE SOUDURE'!$T$7:$T$3006,MATCH(108,'CARNET DE SOUDURE'!$AV$7:$AV$3006,0)),""))</f>
        <v/>
      </c>
      <c r="F119" s="131" t="str">
        <f aca="false">IF($B119="","",INDEX('CARNET DE SOUDURE'!$Y$7:$Y$3006,MATCH(108,'CARNET DE SOUDURE'!$AV$7:$AV$3006,0)))</f>
        <v/>
      </c>
      <c r="G119" s="130" t="str">
        <f aca="false">IF($B119="","",INDEX('CARNET DE SOUDURE'!$Z$7:$Z$3006,MATCH(108,'CARNET DE SOUDURE'!$AV$7:$AV$3006,0))&amp;"")</f>
        <v/>
      </c>
      <c r="H119" s="132" t="str">
        <f aca="false">IF($B119="","",INDEX('CARNET DE SOUDURE'!$AA$7:$AA$3006,MATCH(108,'CARNET DE SOUDURE'!$AV$7:$AV$3006,0)))</f>
        <v/>
      </c>
      <c r="I119" s="130" t="str">
        <f aca="false">IF($B119="","",INDEX('CARNET DE SOUDURE'!$AB$7:$AB$3006,MATCH(108,'CARNET DE SOUDURE'!$AV$7:$AV$3006,0))&amp;"")</f>
        <v/>
      </c>
      <c r="J119" s="130" t="str">
        <f aca="false">IF($B119="","",INDEX('CARNET DE SOUDURE'!$AC$7:$AC$3006,MATCH(108,'CARNET DE SOUDURE'!$AV$7:$AV$3006,0))&amp;IF(INDEX('CARNET DE SOUDURE'!$AH$7:$AH$3006,MATCH(108,'CARNET DE SOUDURE'!$AV$7:$AV$3006,0))&lt;&gt;""," / "&amp;INDEX('CARNET DE SOUDURE'!$AH$7:$AH$3006,MATCH(108,'CARNET DE SOUDURE'!$AV$7:$AV$3006,0)),""))</f>
        <v/>
      </c>
      <c r="K119" s="130" t="str">
        <f aca="false">IF($B119="","",INDEX('CARNET DE SOUDURE'!$AD$7:$AD$3006,MATCH(108,'CARNET DE SOUDURE'!$AV$7:$AV$3006,0))&amp;IF(INDEX('CARNET DE SOUDURE'!$AI$7:$AI$3006,MATCH(108,'CARNET DE SOUDURE'!$AV$7:$AV$3006,0))&lt;&gt;""," / "&amp;INDEX('CARNET DE SOUDURE'!$AI$7:$AI$3006,MATCH(108,'CARNET DE SOUDURE'!$AV$7:$AV$3006,0)),""))</f>
        <v/>
      </c>
      <c r="L119" s="130" t="str">
        <f aca="false">IF($B119="","",INDEX('CARNET DE SOUDURE'!$AG$7:$AG$3006,MATCH(108,'CARNET DE SOUDURE'!$AV$7:$AV$3006,0))&amp;IF(INDEX('CARNET DE SOUDURE'!$AL$7:$AL$3006,MATCH(108,'CARNET DE SOUDURE'!$AV$7:$AV$3006,0))&lt;&gt;""," / "&amp;INDEX('CARNET DE SOUDURE'!$AL$7:$AL$3006,MATCH(108,'CARNET DE SOUDURE'!$AV$7:$AV$3006,0)),""))</f>
        <v/>
      </c>
      <c r="M119" s="132" t="str">
        <f aca="false">IF($B119="","",INDEX('CARNET DE SOUDURE'!$AP$7:$AP$3006,MATCH(108,'CARNET DE SOUDURE'!$AV$7:$AV$3006,0)))</f>
        <v/>
      </c>
      <c r="N119" s="132" t="str">
        <f aca="false">IF($B119="","",INDEX('CARNET DE SOUDURE'!$AQ$7:$AQ$3006,MATCH(108,'CARNET DE SOUDURE'!$AV$7:$AV$3006,0)))</f>
        <v/>
      </c>
      <c r="O119" s="133" t="str">
        <f aca="false">IF($B119="","",INDEX('CARNET DE SOUDURE'!$AR$7:$AR$3006,MATCH(108,'CARNET DE SOUDURE'!$AV$7:$AV$3006,0)))</f>
        <v/>
      </c>
    </row>
    <row r="120" customFormat="false" ht="15" hidden="false" customHeight="false" outlineLevel="0" collapsed="false">
      <c r="B120" s="125" t="str">
        <f aca="false">IF(109&gt;$I$4,"",109)</f>
        <v/>
      </c>
      <c r="C120" s="125" t="str">
        <f aca="false">IF($B120="","",INDEX('CARNET DE SOUDURE'!$B$7:$B$3006,MATCH(109,'CARNET DE SOUDURE'!$AV$7:$AV$3006,0)))</f>
        <v/>
      </c>
      <c r="D120" s="125" t="str">
        <f aca="false">IF($B120="","",INDEX('CARNET DE SOUDURE'!$E$7:$E$3006,MATCH(109,'CARNET DE SOUDURE'!$AV$7:$AV$3006,0)))</f>
        <v/>
      </c>
      <c r="E120" s="125" t="str">
        <f aca="false">IF($B120="","",INDEX('CARNET DE SOUDURE'!$R$7:$R$3006,MATCH(109,'CARNET DE SOUDURE'!$AV$7:$AV$3006,0))&amp;IF(INDEX('CARNET DE SOUDURE'!$S$7:$S$3006,MATCH(109,'CARNET DE SOUDURE'!$AV$7:$AV$3006,0))&lt;&gt;""," / "&amp;INDEX('CARNET DE SOUDURE'!$S$7:$S$3006,MATCH(109,'CARNET DE SOUDURE'!$AV$7:$AV$3006,0)),"")&amp;IF(INDEX('CARNET DE SOUDURE'!$T$7:$T$3006,MATCH(109,'CARNET DE SOUDURE'!$AV$7:$AV$3006,0))&lt;&gt;""," / "&amp;INDEX('CARNET DE SOUDURE'!$T$7:$T$3006,MATCH(109,'CARNET DE SOUDURE'!$AV$7:$AV$3006,0)),""))</f>
        <v/>
      </c>
      <c r="F120" s="126" t="str">
        <f aca="false">IF($B120="","",INDEX('CARNET DE SOUDURE'!$Y$7:$Y$3006,MATCH(109,'CARNET DE SOUDURE'!$AV$7:$AV$3006,0)))</f>
        <v/>
      </c>
      <c r="G120" s="125" t="str">
        <f aca="false">IF($B120="","",INDEX('CARNET DE SOUDURE'!$Z$7:$Z$3006,MATCH(109,'CARNET DE SOUDURE'!$AV$7:$AV$3006,0))&amp;"")</f>
        <v/>
      </c>
      <c r="H120" s="127" t="str">
        <f aca="false">IF($B120="","",INDEX('CARNET DE SOUDURE'!$AA$7:$AA$3006,MATCH(109,'CARNET DE SOUDURE'!$AV$7:$AV$3006,0)))</f>
        <v/>
      </c>
      <c r="I120" s="125" t="str">
        <f aca="false">IF($B120="","",INDEX('CARNET DE SOUDURE'!$AB$7:$AB$3006,MATCH(109,'CARNET DE SOUDURE'!$AV$7:$AV$3006,0))&amp;"")</f>
        <v/>
      </c>
      <c r="J120" s="125" t="str">
        <f aca="false">IF($B120="","",INDEX('CARNET DE SOUDURE'!$AC$7:$AC$3006,MATCH(109,'CARNET DE SOUDURE'!$AV$7:$AV$3006,0))&amp;IF(INDEX('CARNET DE SOUDURE'!$AH$7:$AH$3006,MATCH(109,'CARNET DE SOUDURE'!$AV$7:$AV$3006,0))&lt;&gt;""," / "&amp;INDEX('CARNET DE SOUDURE'!$AH$7:$AH$3006,MATCH(109,'CARNET DE SOUDURE'!$AV$7:$AV$3006,0)),""))</f>
        <v/>
      </c>
      <c r="K120" s="125" t="str">
        <f aca="false">IF($B120="","",INDEX('CARNET DE SOUDURE'!$AD$7:$AD$3006,MATCH(109,'CARNET DE SOUDURE'!$AV$7:$AV$3006,0))&amp;IF(INDEX('CARNET DE SOUDURE'!$AI$7:$AI$3006,MATCH(109,'CARNET DE SOUDURE'!$AV$7:$AV$3006,0))&lt;&gt;""," / "&amp;INDEX('CARNET DE SOUDURE'!$AI$7:$AI$3006,MATCH(109,'CARNET DE SOUDURE'!$AV$7:$AV$3006,0)),""))</f>
        <v/>
      </c>
      <c r="L120" s="125" t="str">
        <f aca="false">IF($B120="","",INDEX('CARNET DE SOUDURE'!$AG$7:$AG$3006,MATCH(109,'CARNET DE SOUDURE'!$AV$7:$AV$3006,0))&amp;IF(INDEX('CARNET DE SOUDURE'!$AL$7:$AL$3006,MATCH(109,'CARNET DE SOUDURE'!$AV$7:$AV$3006,0))&lt;&gt;""," / "&amp;INDEX('CARNET DE SOUDURE'!$AL$7:$AL$3006,MATCH(109,'CARNET DE SOUDURE'!$AV$7:$AV$3006,0)),""))</f>
        <v/>
      </c>
      <c r="M120" s="127" t="str">
        <f aca="false">IF($B120="","",INDEX('CARNET DE SOUDURE'!$AP$7:$AP$3006,MATCH(109,'CARNET DE SOUDURE'!$AV$7:$AV$3006,0)))</f>
        <v/>
      </c>
      <c r="N120" s="127" t="str">
        <f aca="false">IF($B120="","",INDEX('CARNET DE SOUDURE'!$AQ$7:$AQ$3006,MATCH(109,'CARNET DE SOUDURE'!$AV$7:$AV$3006,0)))</f>
        <v/>
      </c>
      <c r="O120" s="128" t="str">
        <f aca="false">IF($B120="","",INDEX('CARNET DE SOUDURE'!$AR$7:$AR$3006,MATCH(109,'CARNET DE SOUDURE'!$AV$7:$AV$3006,0)))</f>
        <v/>
      </c>
    </row>
    <row r="121" customFormat="false" ht="15" hidden="false" customHeight="false" outlineLevel="0" collapsed="false">
      <c r="B121" s="130" t="str">
        <f aca="false">IF(110&gt;$I$4,"",110)</f>
        <v/>
      </c>
      <c r="C121" s="130" t="str">
        <f aca="false">IF($B121="","",INDEX('CARNET DE SOUDURE'!$B$7:$B$3006,MATCH(110,'CARNET DE SOUDURE'!$AV$7:$AV$3006,0)))</f>
        <v/>
      </c>
      <c r="D121" s="130" t="str">
        <f aca="false">IF($B121="","",INDEX('CARNET DE SOUDURE'!$E$7:$E$3006,MATCH(110,'CARNET DE SOUDURE'!$AV$7:$AV$3006,0)))</f>
        <v/>
      </c>
      <c r="E121" s="130" t="str">
        <f aca="false">IF($B121="","",INDEX('CARNET DE SOUDURE'!$R$7:$R$3006,MATCH(110,'CARNET DE SOUDURE'!$AV$7:$AV$3006,0))&amp;IF(INDEX('CARNET DE SOUDURE'!$S$7:$S$3006,MATCH(110,'CARNET DE SOUDURE'!$AV$7:$AV$3006,0))&lt;&gt;""," / "&amp;INDEX('CARNET DE SOUDURE'!$S$7:$S$3006,MATCH(110,'CARNET DE SOUDURE'!$AV$7:$AV$3006,0)),"")&amp;IF(INDEX('CARNET DE SOUDURE'!$T$7:$T$3006,MATCH(110,'CARNET DE SOUDURE'!$AV$7:$AV$3006,0))&lt;&gt;""," / "&amp;INDEX('CARNET DE SOUDURE'!$T$7:$T$3006,MATCH(110,'CARNET DE SOUDURE'!$AV$7:$AV$3006,0)),""))</f>
        <v/>
      </c>
      <c r="F121" s="131" t="str">
        <f aca="false">IF($B121="","",INDEX('CARNET DE SOUDURE'!$Y$7:$Y$3006,MATCH(110,'CARNET DE SOUDURE'!$AV$7:$AV$3006,0)))</f>
        <v/>
      </c>
      <c r="G121" s="130" t="str">
        <f aca="false">IF($B121="","",INDEX('CARNET DE SOUDURE'!$Z$7:$Z$3006,MATCH(110,'CARNET DE SOUDURE'!$AV$7:$AV$3006,0))&amp;"")</f>
        <v/>
      </c>
      <c r="H121" s="132" t="str">
        <f aca="false">IF($B121="","",INDEX('CARNET DE SOUDURE'!$AA$7:$AA$3006,MATCH(110,'CARNET DE SOUDURE'!$AV$7:$AV$3006,0)))</f>
        <v/>
      </c>
      <c r="I121" s="130" t="str">
        <f aca="false">IF($B121="","",INDEX('CARNET DE SOUDURE'!$AB$7:$AB$3006,MATCH(110,'CARNET DE SOUDURE'!$AV$7:$AV$3006,0))&amp;"")</f>
        <v/>
      </c>
      <c r="J121" s="130" t="str">
        <f aca="false">IF($B121="","",INDEX('CARNET DE SOUDURE'!$AC$7:$AC$3006,MATCH(110,'CARNET DE SOUDURE'!$AV$7:$AV$3006,0))&amp;IF(INDEX('CARNET DE SOUDURE'!$AH$7:$AH$3006,MATCH(110,'CARNET DE SOUDURE'!$AV$7:$AV$3006,0))&lt;&gt;""," / "&amp;INDEX('CARNET DE SOUDURE'!$AH$7:$AH$3006,MATCH(110,'CARNET DE SOUDURE'!$AV$7:$AV$3006,0)),""))</f>
        <v/>
      </c>
      <c r="K121" s="130" t="str">
        <f aca="false">IF($B121="","",INDEX('CARNET DE SOUDURE'!$AD$7:$AD$3006,MATCH(110,'CARNET DE SOUDURE'!$AV$7:$AV$3006,0))&amp;IF(INDEX('CARNET DE SOUDURE'!$AI$7:$AI$3006,MATCH(110,'CARNET DE SOUDURE'!$AV$7:$AV$3006,0))&lt;&gt;""," / "&amp;INDEX('CARNET DE SOUDURE'!$AI$7:$AI$3006,MATCH(110,'CARNET DE SOUDURE'!$AV$7:$AV$3006,0)),""))</f>
        <v/>
      </c>
      <c r="L121" s="130" t="str">
        <f aca="false">IF($B121="","",INDEX('CARNET DE SOUDURE'!$AG$7:$AG$3006,MATCH(110,'CARNET DE SOUDURE'!$AV$7:$AV$3006,0))&amp;IF(INDEX('CARNET DE SOUDURE'!$AL$7:$AL$3006,MATCH(110,'CARNET DE SOUDURE'!$AV$7:$AV$3006,0))&lt;&gt;""," / "&amp;INDEX('CARNET DE SOUDURE'!$AL$7:$AL$3006,MATCH(110,'CARNET DE SOUDURE'!$AV$7:$AV$3006,0)),""))</f>
        <v/>
      </c>
      <c r="M121" s="132" t="str">
        <f aca="false">IF($B121="","",INDEX('CARNET DE SOUDURE'!$AP$7:$AP$3006,MATCH(110,'CARNET DE SOUDURE'!$AV$7:$AV$3006,0)))</f>
        <v/>
      </c>
      <c r="N121" s="132" t="str">
        <f aca="false">IF($B121="","",INDEX('CARNET DE SOUDURE'!$AQ$7:$AQ$3006,MATCH(110,'CARNET DE SOUDURE'!$AV$7:$AV$3006,0)))</f>
        <v/>
      </c>
      <c r="O121" s="133" t="str">
        <f aca="false">IF($B121="","",INDEX('CARNET DE SOUDURE'!$AR$7:$AR$3006,MATCH(110,'CARNET DE SOUDURE'!$AV$7:$AV$3006,0)))</f>
        <v/>
      </c>
    </row>
    <row r="122" customFormat="false" ht="15" hidden="false" customHeight="false" outlineLevel="0" collapsed="false">
      <c r="B122" s="125" t="str">
        <f aca="false">IF(111&gt;$I$4,"",111)</f>
        <v/>
      </c>
      <c r="C122" s="125" t="str">
        <f aca="false">IF($B122="","",INDEX('CARNET DE SOUDURE'!$B$7:$B$3006,MATCH(111,'CARNET DE SOUDURE'!$AV$7:$AV$3006,0)))</f>
        <v/>
      </c>
      <c r="D122" s="125" t="str">
        <f aca="false">IF($B122="","",INDEX('CARNET DE SOUDURE'!$E$7:$E$3006,MATCH(111,'CARNET DE SOUDURE'!$AV$7:$AV$3006,0)))</f>
        <v/>
      </c>
      <c r="E122" s="125" t="str">
        <f aca="false">IF($B122="","",INDEX('CARNET DE SOUDURE'!$R$7:$R$3006,MATCH(111,'CARNET DE SOUDURE'!$AV$7:$AV$3006,0))&amp;IF(INDEX('CARNET DE SOUDURE'!$S$7:$S$3006,MATCH(111,'CARNET DE SOUDURE'!$AV$7:$AV$3006,0))&lt;&gt;""," / "&amp;INDEX('CARNET DE SOUDURE'!$S$7:$S$3006,MATCH(111,'CARNET DE SOUDURE'!$AV$7:$AV$3006,0)),"")&amp;IF(INDEX('CARNET DE SOUDURE'!$T$7:$T$3006,MATCH(111,'CARNET DE SOUDURE'!$AV$7:$AV$3006,0))&lt;&gt;""," / "&amp;INDEX('CARNET DE SOUDURE'!$T$7:$T$3006,MATCH(111,'CARNET DE SOUDURE'!$AV$7:$AV$3006,0)),""))</f>
        <v/>
      </c>
      <c r="F122" s="126" t="str">
        <f aca="false">IF($B122="","",INDEX('CARNET DE SOUDURE'!$Y$7:$Y$3006,MATCH(111,'CARNET DE SOUDURE'!$AV$7:$AV$3006,0)))</f>
        <v/>
      </c>
      <c r="G122" s="125" t="str">
        <f aca="false">IF($B122="","",INDEX('CARNET DE SOUDURE'!$Z$7:$Z$3006,MATCH(111,'CARNET DE SOUDURE'!$AV$7:$AV$3006,0))&amp;"")</f>
        <v/>
      </c>
      <c r="H122" s="127" t="str">
        <f aca="false">IF($B122="","",INDEX('CARNET DE SOUDURE'!$AA$7:$AA$3006,MATCH(111,'CARNET DE SOUDURE'!$AV$7:$AV$3006,0)))</f>
        <v/>
      </c>
      <c r="I122" s="125" t="str">
        <f aca="false">IF($B122="","",INDEX('CARNET DE SOUDURE'!$AB$7:$AB$3006,MATCH(111,'CARNET DE SOUDURE'!$AV$7:$AV$3006,0))&amp;"")</f>
        <v/>
      </c>
      <c r="J122" s="125" t="str">
        <f aca="false">IF($B122="","",INDEX('CARNET DE SOUDURE'!$AC$7:$AC$3006,MATCH(111,'CARNET DE SOUDURE'!$AV$7:$AV$3006,0))&amp;IF(INDEX('CARNET DE SOUDURE'!$AH$7:$AH$3006,MATCH(111,'CARNET DE SOUDURE'!$AV$7:$AV$3006,0))&lt;&gt;""," / "&amp;INDEX('CARNET DE SOUDURE'!$AH$7:$AH$3006,MATCH(111,'CARNET DE SOUDURE'!$AV$7:$AV$3006,0)),""))</f>
        <v/>
      </c>
      <c r="K122" s="125" t="str">
        <f aca="false">IF($B122="","",INDEX('CARNET DE SOUDURE'!$AD$7:$AD$3006,MATCH(111,'CARNET DE SOUDURE'!$AV$7:$AV$3006,0))&amp;IF(INDEX('CARNET DE SOUDURE'!$AI$7:$AI$3006,MATCH(111,'CARNET DE SOUDURE'!$AV$7:$AV$3006,0))&lt;&gt;""," / "&amp;INDEX('CARNET DE SOUDURE'!$AI$7:$AI$3006,MATCH(111,'CARNET DE SOUDURE'!$AV$7:$AV$3006,0)),""))</f>
        <v/>
      </c>
      <c r="L122" s="125" t="str">
        <f aca="false">IF($B122="","",INDEX('CARNET DE SOUDURE'!$AG$7:$AG$3006,MATCH(111,'CARNET DE SOUDURE'!$AV$7:$AV$3006,0))&amp;IF(INDEX('CARNET DE SOUDURE'!$AL$7:$AL$3006,MATCH(111,'CARNET DE SOUDURE'!$AV$7:$AV$3006,0))&lt;&gt;""," / "&amp;INDEX('CARNET DE SOUDURE'!$AL$7:$AL$3006,MATCH(111,'CARNET DE SOUDURE'!$AV$7:$AV$3006,0)),""))</f>
        <v/>
      </c>
      <c r="M122" s="127" t="str">
        <f aca="false">IF($B122="","",INDEX('CARNET DE SOUDURE'!$AP$7:$AP$3006,MATCH(111,'CARNET DE SOUDURE'!$AV$7:$AV$3006,0)))</f>
        <v/>
      </c>
      <c r="N122" s="127" t="str">
        <f aca="false">IF($B122="","",INDEX('CARNET DE SOUDURE'!$AQ$7:$AQ$3006,MATCH(111,'CARNET DE SOUDURE'!$AV$7:$AV$3006,0)))</f>
        <v/>
      </c>
      <c r="O122" s="128" t="str">
        <f aca="false">IF($B122="","",INDEX('CARNET DE SOUDURE'!$AR$7:$AR$3006,MATCH(111,'CARNET DE SOUDURE'!$AV$7:$AV$3006,0)))</f>
        <v/>
      </c>
    </row>
    <row r="123" customFormat="false" ht="15" hidden="false" customHeight="false" outlineLevel="0" collapsed="false">
      <c r="B123" s="130" t="str">
        <f aca="false">IF(112&gt;$I$4,"",112)</f>
        <v/>
      </c>
      <c r="C123" s="130" t="str">
        <f aca="false">IF($B123="","",INDEX('CARNET DE SOUDURE'!$B$7:$B$3006,MATCH(112,'CARNET DE SOUDURE'!$AV$7:$AV$3006,0)))</f>
        <v/>
      </c>
      <c r="D123" s="130" t="str">
        <f aca="false">IF($B123="","",INDEX('CARNET DE SOUDURE'!$E$7:$E$3006,MATCH(112,'CARNET DE SOUDURE'!$AV$7:$AV$3006,0)))</f>
        <v/>
      </c>
      <c r="E123" s="130" t="str">
        <f aca="false">IF($B123="","",INDEX('CARNET DE SOUDURE'!$R$7:$R$3006,MATCH(112,'CARNET DE SOUDURE'!$AV$7:$AV$3006,0))&amp;IF(INDEX('CARNET DE SOUDURE'!$S$7:$S$3006,MATCH(112,'CARNET DE SOUDURE'!$AV$7:$AV$3006,0))&lt;&gt;""," / "&amp;INDEX('CARNET DE SOUDURE'!$S$7:$S$3006,MATCH(112,'CARNET DE SOUDURE'!$AV$7:$AV$3006,0)),"")&amp;IF(INDEX('CARNET DE SOUDURE'!$T$7:$T$3006,MATCH(112,'CARNET DE SOUDURE'!$AV$7:$AV$3006,0))&lt;&gt;""," / "&amp;INDEX('CARNET DE SOUDURE'!$T$7:$T$3006,MATCH(112,'CARNET DE SOUDURE'!$AV$7:$AV$3006,0)),""))</f>
        <v/>
      </c>
      <c r="F123" s="131" t="str">
        <f aca="false">IF($B123="","",INDEX('CARNET DE SOUDURE'!$Y$7:$Y$3006,MATCH(112,'CARNET DE SOUDURE'!$AV$7:$AV$3006,0)))</f>
        <v/>
      </c>
      <c r="G123" s="130" t="str">
        <f aca="false">IF($B123="","",INDEX('CARNET DE SOUDURE'!$Z$7:$Z$3006,MATCH(112,'CARNET DE SOUDURE'!$AV$7:$AV$3006,0))&amp;"")</f>
        <v/>
      </c>
      <c r="H123" s="132" t="str">
        <f aca="false">IF($B123="","",INDEX('CARNET DE SOUDURE'!$AA$7:$AA$3006,MATCH(112,'CARNET DE SOUDURE'!$AV$7:$AV$3006,0)))</f>
        <v/>
      </c>
      <c r="I123" s="130" t="str">
        <f aca="false">IF($B123="","",INDEX('CARNET DE SOUDURE'!$AB$7:$AB$3006,MATCH(112,'CARNET DE SOUDURE'!$AV$7:$AV$3006,0))&amp;"")</f>
        <v/>
      </c>
      <c r="J123" s="130" t="str">
        <f aca="false">IF($B123="","",INDEX('CARNET DE SOUDURE'!$AC$7:$AC$3006,MATCH(112,'CARNET DE SOUDURE'!$AV$7:$AV$3006,0))&amp;IF(INDEX('CARNET DE SOUDURE'!$AH$7:$AH$3006,MATCH(112,'CARNET DE SOUDURE'!$AV$7:$AV$3006,0))&lt;&gt;""," / "&amp;INDEX('CARNET DE SOUDURE'!$AH$7:$AH$3006,MATCH(112,'CARNET DE SOUDURE'!$AV$7:$AV$3006,0)),""))</f>
        <v/>
      </c>
      <c r="K123" s="130" t="str">
        <f aca="false">IF($B123="","",INDEX('CARNET DE SOUDURE'!$AD$7:$AD$3006,MATCH(112,'CARNET DE SOUDURE'!$AV$7:$AV$3006,0))&amp;IF(INDEX('CARNET DE SOUDURE'!$AI$7:$AI$3006,MATCH(112,'CARNET DE SOUDURE'!$AV$7:$AV$3006,0))&lt;&gt;""," / "&amp;INDEX('CARNET DE SOUDURE'!$AI$7:$AI$3006,MATCH(112,'CARNET DE SOUDURE'!$AV$7:$AV$3006,0)),""))</f>
        <v/>
      </c>
      <c r="L123" s="130" t="str">
        <f aca="false">IF($B123="","",INDEX('CARNET DE SOUDURE'!$AG$7:$AG$3006,MATCH(112,'CARNET DE SOUDURE'!$AV$7:$AV$3006,0))&amp;IF(INDEX('CARNET DE SOUDURE'!$AL$7:$AL$3006,MATCH(112,'CARNET DE SOUDURE'!$AV$7:$AV$3006,0))&lt;&gt;""," / "&amp;INDEX('CARNET DE SOUDURE'!$AL$7:$AL$3006,MATCH(112,'CARNET DE SOUDURE'!$AV$7:$AV$3006,0)),""))</f>
        <v/>
      </c>
      <c r="M123" s="132" t="str">
        <f aca="false">IF($B123="","",INDEX('CARNET DE SOUDURE'!$AP$7:$AP$3006,MATCH(112,'CARNET DE SOUDURE'!$AV$7:$AV$3006,0)))</f>
        <v/>
      </c>
      <c r="N123" s="132" t="str">
        <f aca="false">IF($B123="","",INDEX('CARNET DE SOUDURE'!$AQ$7:$AQ$3006,MATCH(112,'CARNET DE SOUDURE'!$AV$7:$AV$3006,0)))</f>
        <v/>
      </c>
      <c r="O123" s="133" t="str">
        <f aca="false">IF($B123="","",INDEX('CARNET DE SOUDURE'!$AR$7:$AR$3006,MATCH(112,'CARNET DE SOUDURE'!$AV$7:$AV$3006,0)))</f>
        <v/>
      </c>
    </row>
    <row r="124" customFormat="false" ht="15" hidden="false" customHeight="false" outlineLevel="0" collapsed="false">
      <c r="B124" s="125" t="str">
        <f aca="false">IF(113&gt;$I$4,"",113)</f>
        <v/>
      </c>
      <c r="C124" s="125" t="str">
        <f aca="false">IF($B124="","",INDEX('CARNET DE SOUDURE'!$B$7:$B$3006,MATCH(113,'CARNET DE SOUDURE'!$AV$7:$AV$3006,0)))</f>
        <v/>
      </c>
      <c r="D124" s="125" t="str">
        <f aca="false">IF($B124="","",INDEX('CARNET DE SOUDURE'!$E$7:$E$3006,MATCH(113,'CARNET DE SOUDURE'!$AV$7:$AV$3006,0)))</f>
        <v/>
      </c>
      <c r="E124" s="125" t="str">
        <f aca="false">IF($B124="","",INDEX('CARNET DE SOUDURE'!$R$7:$R$3006,MATCH(113,'CARNET DE SOUDURE'!$AV$7:$AV$3006,0))&amp;IF(INDEX('CARNET DE SOUDURE'!$S$7:$S$3006,MATCH(113,'CARNET DE SOUDURE'!$AV$7:$AV$3006,0))&lt;&gt;""," / "&amp;INDEX('CARNET DE SOUDURE'!$S$7:$S$3006,MATCH(113,'CARNET DE SOUDURE'!$AV$7:$AV$3006,0)),"")&amp;IF(INDEX('CARNET DE SOUDURE'!$T$7:$T$3006,MATCH(113,'CARNET DE SOUDURE'!$AV$7:$AV$3006,0))&lt;&gt;""," / "&amp;INDEX('CARNET DE SOUDURE'!$T$7:$T$3006,MATCH(113,'CARNET DE SOUDURE'!$AV$7:$AV$3006,0)),""))</f>
        <v/>
      </c>
      <c r="F124" s="126" t="str">
        <f aca="false">IF($B124="","",INDEX('CARNET DE SOUDURE'!$Y$7:$Y$3006,MATCH(113,'CARNET DE SOUDURE'!$AV$7:$AV$3006,0)))</f>
        <v/>
      </c>
      <c r="G124" s="125" t="str">
        <f aca="false">IF($B124="","",INDEX('CARNET DE SOUDURE'!$Z$7:$Z$3006,MATCH(113,'CARNET DE SOUDURE'!$AV$7:$AV$3006,0))&amp;"")</f>
        <v/>
      </c>
      <c r="H124" s="127" t="str">
        <f aca="false">IF($B124="","",INDEX('CARNET DE SOUDURE'!$AA$7:$AA$3006,MATCH(113,'CARNET DE SOUDURE'!$AV$7:$AV$3006,0)))</f>
        <v/>
      </c>
      <c r="I124" s="125" t="str">
        <f aca="false">IF($B124="","",INDEX('CARNET DE SOUDURE'!$AB$7:$AB$3006,MATCH(113,'CARNET DE SOUDURE'!$AV$7:$AV$3006,0))&amp;"")</f>
        <v/>
      </c>
      <c r="J124" s="125" t="str">
        <f aca="false">IF($B124="","",INDEX('CARNET DE SOUDURE'!$AC$7:$AC$3006,MATCH(113,'CARNET DE SOUDURE'!$AV$7:$AV$3006,0))&amp;IF(INDEX('CARNET DE SOUDURE'!$AH$7:$AH$3006,MATCH(113,'CARNET DE SOUDURE'!$AV$7:$AV$3006,0))&lt;&gt;""," / "&amp;INDEX('CARNET DE SOUDURE'!$AH$7:$AH$3006,MATCH(113,'CARNET DE SOUDURE'!$AV$7:$AV$3006,0)),""))</f>
        <v/>
      </c>
      <c r="K124" s="125" t="str">
        <f aca="false">IF($B124="","",INDEX('CARNET DE SOUDURE'!$AD$7:$AD$3006,MATCH(113,'CARNET DE SOUDURE'!$AV$7:$AV$3006,0))&amp;IF(INDEX('CARNET DE SOUDURE'!$AI$7:$AI$3006,MATCH(113,'CARNET DE SOUDURE'!$AV$7:$AV$3006,0))&lt;&gt;""," / "&amp;INDEX('CARNET DE SOUDURE'!$AI$7:$AI$3006,MATCH(113,'CARNET DE SOUDURE'!$AV$7:$AV$3006,0)),""))</f>
        <v/>
      </c>
      <c r="L124" s="125" t="str">
        <f aca="false">IF($B124="","",INDEX('CARNET DE SOUDURE'!$AG$7:$AG$3006,MATCH(113,'CARNET DE SOUDURE'!$AV$7:$AV$3006,0))&amp;IF(INDEX('CARNET DE SOUDURE'!$AL$7:$AL$3006,MATCH(113,'CARNET DE SOUDURE'!$AV$7:$AV$3006,0))&lt;&gt;""," / "&amp;INDEX('CARNET DE SOUDURE'!$AL$7:$AL$3006,MATCH(113,'CARNET DE SOUDURE'!$AV$7:$AV$3006,0)),""))</f>
        <v/>
      </c>
      <c r="M124" s="127" t="str">
        <f aca="false">IF($B124="","",INDEX('CARNET DE SOUDURE'!$AP$7:$AP$3006,MATCH(113,'CARNET DE SOUDURE'!$AV$7:$AV$3006,0)))</f>
        <v/>
      </c>
      <c r="N124" s="127" t="str">
        <f aca="false">IF($B124="","",INDEX('CARNET DE SOUDURE'!$AQ$7:$AQ$3006,MATCH(113,'CARNET DE SOUDURE'!$AV$7:$AV$3006,0)))</f>
        <v/>
      </c>
      <c r="O124" s="128" t="str">
        <f aca="false">IF($B124="","",INDEX('CARNET DE SOUDURE'!$AR$7:$AR$3006,MATCH(113,'CARNET DE SOUDURE'!$AV$7:$AV$3006,0)))</f>
        <v/>
      </c>
    </row>
    <row r="125" customFormat="false" ht="15" hidden="false" customHeight="false" outlineLevel="0" collapsed="false">
      <c r="B125" s="130" t="str">
        <f aca="false">IF(114&gt;$I$4,"",114)</f>
        <v/>
      </c>
      <c r="C125" s="130" t="str">
        <f aca="false">IF($B125="","",INDEX('CARNET DE SOUDURE'!$B$7:$B$3006,MATCH(114,'CARNET DE SOUDURE'!$AV$7:$AV$3006,0)))</f>
        <v/>
      </c>
      <c r="D125" s="130" t="str">
        <f aca="false">IF($B125="","",INDEX('CARNET DE SOUDURE'!$E$7:$E$3006,MATCH(114,'CARNET DE SOUDURE'!$AV$7:$AV$3006,0)))</f>
        <v/>
      </c>
      <c r="E125" s="130" t="str">
        <f aca="false">IF($B125="","",INDEX('CARNET DE SOUDURE'!$R$7:$R$3006,MATCH(114,'CARNET DE SOUDURE'!$AV$7:$AV$3006,0))&amp;IF(INDEX('CARNET DE SOUDURE'!$S$7:$S$3006,MATCH(114,'CARNET DE SOUDURE'!$AV$7:$AV$3006,0))&lt;&gt;""," / "&amp;INDEX('CARNET DE SOUDURE'!$S$7:$S$3006,MATCH(114,'CARNET DE SOUDURE'!$AV$7:$AV$3006,0)),"")&amp;IF(INDEX('CARNET DE SOUDURE'!$T$7:$T$3006,MATCH(114,'CARNET DE SOUDURE'!$AV$7:$AV$3006,0))&lt;&gt;""," / "&amp;INDEX('CARNET DE SOUDURE'!$T$7:$T$3006,MATCH(114,'CARNET DE SOUDURE'!$AV$7:$AV$3006,0)),""))</f>
        <v/>
      </c>
      <c r="F125" s="131" t="str">
        <f aca="false">IF($B125="","",INDEX('CARNET DE SOUDURE'!$Y$7:$Y$3006,MATCH(114,'CARNET DE SOUDURE'!$AV$7:$AV$3006,0)))</f>
        <v/>
      </c>
      <c r="G125" s="130" t="str">
        <f aca="false">IF($B125="","",INDEX('CARNET DE SOUDURE'!$Z$7:$Z$3006,MATCH(114,'CARNET DE SOUDURE'!$AV$7:$AV$3006,0))&amp;"")</f>
        <v/>
      </c>
      <c r="H125" s="132" t="str">
        <f aca="false">IF($B125="","",INDEX('CARNET DE SOUDURE'!$AA$7:$AA$3006,MATCH(114,'CARNET DE SOUDURE'!$AV$7:$AV$3006,0)))</f>
        <v/>
      </c>
      <c r="I125" s="130" t="str">
        <f aca="false">IF($B125="","",INDEX('CARNET DE SOUDURE'!$AB$7:$AB$3006,MATCH(114,'CARNET DE SOUDURE'!$AV$7:$AV$3006,0))&amp;"")</f>
        <v/>
      </c>
      <c r="J125" s="130" t="str">
        <f aca="false">IF($B125="","",INDEX('CARNET DE SOUDURE'!$AC$7:$AC$3006,MATCH(114,'CARNET DE SOUDURE'!$AV$7:$AV$3006,0))&amp;IF(INDEX('CARNET DE SOUDURE'!$AH$7:$AH$3006,MATCH(114,'CARNET DE SOUDURE'!$AV$7:$AV$3006,0))&lt;&gt;""," / "&amp;INDEX('CARNET DE SOUDURE'!$AH$7:$AH$3006,MATCH(114,'CARNET DE SOUDURE'!$AV$7:$AV$3006,0)),""))</f>
        <v/>
      </c>
      <c r="K125" s="130" t="str">
        <f aca="false">IF($B125="","",INDEX('CARNET DE SOUDURE'!$AD$7:$AD$3006,MATCH(114,'CARNET DE SOUDURE'!$AV$7:$AV$3006,0))&amp;IF(INDEX('CARNET DE SOUDURE'!$AI$7:$AI$3006,MATCH(114,'CARNET DE SOUDURE'!$AV$7:$AV$3006,0))&lt;&gt;""," / "&amp;INDEX('CARNET DE SOUDURE'!$AI$7:$AI$3006,MATCH(114,'CARNET DE SOUDURE'!$AV$7:$AV$3006,0)),""))</f>
        <v/>
      </c>
      <c r="L125" s="130" t="str">
        <f aca="false">IF($B125="","",INDEX('CARNET DE SOUDURE'!$AG$7:$AG$3006,MATCH(114,'CARNET DE SOUDURE'!$AV$7:$AV$3006,0))&amp;IF(INDEX('CARNET DE SOUDURE'!$AL$7:$AL$3006,MATCH(114,'CARNET DE SOUDURE'!$AV$7:$AV$3006,0))&lt;&gt;""," / "&amp;INDEX('CARNET DE SOUDURE'!$AL$7:$AL$3006,MATCH(114,'CARNET DE SOUDURE'!$AV$7:$AV$3006,0)),""))</f>
        <v/>
      </c>
      <c r="M125" s="132" t="str">
        <f aca="false">IF($B125="","",INDEX('CARNET DE SOUDURE'!$AP$7:$AP$3006,MATCH(114,'CARNET DE SOUDURE'!$AV$7:$AV$3006,0)))</f>
        <v/>
      </c>
      <c r="N125" s="132" t="str">
        <f aca="false">IF($B125="","",INDEX('CARNET DE SOUDURE'!$AQ$7:$AQ$3006,MATCH(114,'CARNET DE SOUDURE'!$AV$7:$AV$3006,0)))</f>
        <v/>
      </c>
      <c r="O125" s="133" t="str">
        <f aca="false">IF($B125="","",INDEX('CARNET DE SOUDURE'!$AR$7:$AR$3006,MATCH(114,'CARNET DE SOUDURE'!$AV$7:$AV$3006,0)))</f>
        <v/>
      </c>
    </row>
    <row r="126" customFormat="false" ht="15" hidden="false" customHeight="false" outlineLevel="0" collapsed="false">
      <c r="B126" s="125" t="str">
        <f aca="false">IF(115&gt;$I$4,"",115)</f>
        <v/>
      </c>
      <c r="C126" s="125" t="str">
        <f aca="false">IF($B126="","",INDEX('CARNET DE SOUDURE'!$B$7:$B$3006,MATCH(115,'CARNET DE SOUDURE'!$AV$7:$AV$3006,0)))</f>
        <v/>
      </c>
      <c r="D126" s="125" t="str">
        <f aca="false">IF($B126="","",INDEX('CARNET DE SOUDURE'!$E$7:$E$3006,MATCH(115,'CARNET DE SOUDURE'!$AV$7:$AV$3006,0)))</f>
        <v/>
      </c>
      <c r="E126" s="125" t="str">
        <f aca="false">IF($B126="","",INDEX('CARNET DE SOUDURE'!$R$7:$R$3006,MATCH(115,'CARNET DE SOUDURE'!$AV$7:$AV$3006,0))&amp;IF(INDEX('CARNET DE SOUDURE'!$S$7:$S$3006,MATCH(115,'CARNET DE SOUDURE'!$AV$7:$AV$3006,0))&lt;&gt;""," / "&amp;INDEX('CARNET DE SOUDURE'!$S$7:$S$3006,MATCH(115,'CARNET DE SOUDURE'!$AV$7:$AV$3006,0)),"")&amp;IF(INDEX('CARNET DE SOUDURE'!$T$7:$T$3006,MATCH(115,'CARNET DE SOUDURE'!$AV$7:$AV$3006,0))&lt;&gt;""," / "&amp;INDEX('CARNET DE SOUDURE'!$T$7:$T$3006,MATCH(115,'CARNET DE SOUDURE'!$AV$7:$AV$3006,0)),""))</f>
        <v/>
      </c>
      <c r="F126" s="126" t="str">
        <f aca="false">IF($B126="","",INDEX('CARNET DE SOUDURE'!$Y$7:$Y$3006,MATCH(115,'CARNET DE SOUDURE'!$AV$7:$AV$3006,0)))</f>
        <v/>
      </c>
      <c r="G126" s="125" t="str">
        <f aca="false">IF($B126="","",INDEX('CARNET DE SOUDURE'!$Z$7:$Z$3006,MATCH(115,'CARNET DE SOUDURE'!$AV$7:$AV$3006,0))&amp;"")</f>
        <v/>
      </c>
      <c r="H126" s="127" t="str">
        <f aca="false">IF($B126="","",INDEX('CARNET DE SOUDURE'!$AA$7:$AA$3006,MATCH(115,'CARNET DE SOUDURE'!$AV$7:$AV$3006,0)))</f>
        <v/>
      </c>
      <c r="I126" s="125" t="str">
        <f aca="false">IF($B126="","",INDEX('CARNET DE SOUDURE'!$AB$7:$AB$3006,MATCH(115,'CARNET DE SOUDURE'!$AV$7:$AV$3006,0))&amp;"")</f>
        <v/>
      </c>
      <c r="J126" s="125" t="str">
        <f aca="false">IF($B126="","",INDEX('CARNET DE SOUDURE'!$AC$7:$AC$3006,MATCH(115,'CARNET DE SOUDURE'!$AV$7:$AV$3006,0))&amp;IF(INDEX('CARNET DE SOUDURE'!$AH$7:$AH$3006,MATCH(115,'CARNET DE SOUDURE'!$AV$7:$AV$3006,0))&lt;&gt;""," / "&amp;INDEX('CARNET DE SOUDURE'!$AH$7:$AH$3006,MATCH(115,'CARNET DE SOUDURE'!$AV$7:$AV$3006,0)),""))</f>
        <v/>
      </c>
      <c r="K126" s="125" t="str">
        <f aca="false">IF($B126="","",INDEX('CARNET DE SOUDURE'!$AD$7:$AD$3006,MATCH(115,'CARNET DE SOUDURE'!$AV$7:$AV$3006,0))&amp;IF(INDEX('CARNET DE SOUDURE'!$AI$7:$AI$3006,MATCH(115,'CARNET DE SOUDURE'!$AV$7:$AV$3006,0))&lt;&gt;""," / "&amp;INDEX('CARNET DE SOUDURE'!$AI$7:$AI$3006,MATCH(115,'CARNET DE SOUDURE'!$AV$7:$AV$3006,0)),""))</f>
        <v/>
      </c>
      <c r="L126" s="125" t="str">
        <f aca="false">IF($B126="","",INDEX('CARNET DE SOUDURE'!$AG$7:$AG$3006,MATCH(115,'CARNET DE SOUDURE'!$AV$7:$AV$3006,0))&amp;IF(INDEX('CARNET DE SOUDURE'!$AL$7:$AL$3006,MATCH(115,'CARNET DE SOUDURE'!$AV$7:$AV$3006,0))&lt;&gt;""," / "&amp;INDEX('CARNET DE SOUDURE'!$AL$7:$AL$3006,MATCH(115,'CARNET DE SOUDURE'!$AV$7:$AV$3006,0)),""))</f>
        <v/>
      </c>
      <c r="M126" s="127" t="str">
        <f aca="false">IF($B126="","",INDEX('CARNET DE SOUDURE'!$AP$7:$AP$3006,MATCH(115,'CARNET DE SOUDURE'!$AV$7:$AV$3006,0)))</f>
        <v/>
      </c>
      <c r="N126" s="127" t="str">
        <f aca="false">IF($B126="","",INDEX('CARNET DE SOUDURE'!$AQ$7:$AQ$3006,MATCH(115,'CARNET DE SOUDURE'!$AV$7:$AV$3006,0)))</f>
        <v/>
      </c>
      <c r="O126" s="128" t="str">
        <f aca="false">IF($B126="","",INDEX('CARNET DE SOUDURE'!$AR$7:$AR$3006,MATCH(115,'CARNET DE SOUDURE'!$AV$7:$AV$3006,0)))</f>
        <v/>
      </c>
    </row>
    <row r="127" customFormat="false" ht="15" hidden="false" customHeight="false" outlineLevel="0" collapsed="false">
      <c r="B127" s="130" t="str">
        <f aca="false">IF(116&gt;$I$4,"",116)</f>
        <v/>
      </c>
      <c r="C127" s="130" t="str">
        <f aca="false">IF($B127="","",INDEX('CARNET DE SOUDURE'!$B$7:$B$3006,MATCH(116,'CARNET DE SOUDURE'!$AV$7:$AV$3006,0)))</f>
        <v/>
      </c>
      <c r="D127" s="130" t="str">
        <f aca="false">IF($B127="","",INDEX('CARNET DE SOUDURE'!$E$7:$E$3006,MATCH(116,'CARNET DE SOUDURE'!$AV$7:$AV$3006,0)))</f>
        <v/>
      </c>
      <c r="E127" s="130" t="str">
        <f aca="false">IF($B127="","",INDEX('CARNET DE SOUDURE'!$R$7:$R$3006,MATCH(116,'CARNET DE SOUDURE'!$AV$7:$AV$3006,0))&amp;IF(INDEX('CARNET DE SOUDURE'!$S$7:$S$3006,MATCH(116,'CARNET DE SOUDURE'!$AV$7:$AV$3006,0))&lt;&gt;""," / "&amp;INDEX('CARNET DE SOUDURE'!$S$7:$S$3006,MATCH(116,'CARNET DE SOUDURE'!$AV$7:$AV$3006,0)),"")&amp;IF(INDEX('CARNET DE SOUDURE'!$T$7:$T$3006,MATCH(116,'CARNET DE SOUDURE'!$AV$7:$AV$3006,0))&lt;&gt;""," / "&amp;INDEX('CARNET DE SOUDURE'!$T$7:$T$3006,MATCH(116,'CARNET DE SOUDURE'!$AV$7:$AV$3006,0)),""))</f>
        <v/>
      </c>
      <c r="F127" s="131" t="str">
        <f aca="false">IF($B127="","",INDEX('CARNET DE SOUDURE'!$Y$7:$Y$3006,MATCH(116,'CARNET DE SOUDURE'!$AV$7:$AV$3006,0)))</f>
        <v/>
      </c>
      <c r="G127" s="130" t="str">
        <f aca="false">IF($B127="","",INDEX('CARNET DE SOUDURE'!$Z$7:$Z$3006,MATCH(116,'CARNET DE SOUDURE'!$AV$7:$AV$3006,0))&amp;"")</f>
        <v/>
      </c>
      <c r="H127" s="132" t="str">
        <f aca="false">IF($B127="","",INDEX('CARNET DE SOUDURE'!$AA$7:$AA$3006,MATCH(116,'CARNET DE SOUDURE'!$AV$7:$AV$3006,0)))</f>
        <v/>
      </c>
      <c r="I127" s="130" t="str">
        <f aca="false">IF($B127="","",INDEX('CARNET DE SOUDURE'!$AB$7:$AB$3006,MATCH(116,'CARNET DE SOUDURE'!$AV$7:$AV$3006,0))&amp;"")</f>
        <v/>
      </c>
      <c r="J127" s="130" t="str">
        <f aca="false">IF($B127="","",INDEX('CARNET DE SOUDURE'!$AC$7:$AC$3006,MATCH(116,'CARNET DE SOUDURE'!$AV$7:$AV$3006,0))&amp;IF(INDEX('CARNET DE SOUDURE'!$AH$7:$AH$3006,MATCH(116,'CARNET DE SOUDURE'!$AV$7:$AV$3006,0))&lt;&gt;""," / "&amp;INDEX('CARNET DE SOUDURE'!$AH$7:$AH$3006,MATCH(116,'CARNET DE SOUDURE'!$AV$7:$AV$3006,0)),""))</f>
        <v/>
      </c>
      <c r="K127" s="130" t="str">
        <f aca="false">IF($B127="","",INDEX('CARNET DE SOUDURE'!$AD$7:$AD$3006,MATCH(116,'CARNET DE SOUDURE'!$AV$7:$AV$3006,0))&amp;IF(INDEX('CARNET DE SOUDURE'!$AI$7:$AI$3006,MATCH(116,'CARNET DE SOUDURE'!$AV$7:$AV$3006,0))&lt;&gt;""," / "&amp;INDEX('CARNET DE SOUDURE'!$AI$7:$AI$3006,MATCH(116,'CARNET DE SOUDURE'!$AV$7:$AV$3006,0)),""))</f>
        <v/>
      </c>
      <c r="L127" s="130" t="str">
        <f aca="false">IF($B127="","",INDEX('CARNET DE SOUDURE'!$AG$7:$AG$3006,MATCH(116,'CARNET DE SOUDURE'!$AV$7:$AV$3006,0))&amp;IF(INDEX('CARNET DE SOUDURE'!$AL$7:$AL$3006,MATCH(116,'CARNET DE SOUDURE'!$AV$7:$AV$3006,0))&lt;&gt;""," / "&amp;INDEX('CARNET DE SOUDURE'!$AL$7:$AL$3006,MATCH(116,'CARNET DE SOUDURE'!$AV$7:$AV$3006,0)),""))</f>
        <v/>
      </c>
      <c r="M127" s="132" t="str">
        <f aca="false">IF($B127="","",INDEX('CARNET DE SOUDURE'!$AP$7:$AP$3006,MATCH(116,'CARNET DE SOUDURE'!$AV$7:$AV$3006,0)))</f>
        <v/>
      </c>
      <c r="N127" s="132" t="str">
        <f aca="false">IF($B127="","",INDEX('CARNET DE SOUDURE'!$AQ$7:$AQ$3006,MATCH(116,'CARNET DE SOUDURE'!$AV$7:$AV$3006,0)))</f>
        <v/>
      </c>
      <c r="O127" s="133" t="str">
        <f aca="false">IF($B127="","",INDEX('CARNET DE SOUDURE'!$AR$7:$AR$3006,MATCH(116,'CARNET DE SOUDURE'!$AV$7:$AV$3006,0)))</f>
        <v/>
      </c>
    </row>
    <row r="128" customFormat="false" ht="15" hidden="false" customHeight="false" outlineLevel="0" collapsed="false">
      <c r="B128" s="125" t="str">
        <f aca="false">IF(117&gt;$I$4,"",117)</f>
        <v/>
      </c>
      <c r="C128" s="125" t="str">
        <f aca="false">IF($B128="","",INDEX('CARNET DE SOUDURE'!$B$7:$B$3006,MATCH(117,'CARNET DE SOUDURE'!$AV$7:$AV$3006,0)))</f>
        <v/>
      </c>
      <c r="D128" s="125" t="str">
        <f aca="false">IF($B128="","",INDEX('CARNET DE SOUDURE'!$E$7:$E$3006,MATCH(117,'CARNET DE SOUDURE'!$AV$7:$AV$3006,0)))</f>
        <v/>
      </c>
      <c r="E128" s="125" t="str">
        <f aca="false">IF($B128="","",INDEX('CARNET DE SOUDURE'!$R$7:$R$3006,MATCH(117,'CARNET DE SOUDURE'!$AV$7:$AV$3006,0))&amp;IF(INDEX('CARNET DE SOUDURE'!$S$7:$S$3006,MATCH(117,'CARNET DE SOUDURE'!$AV$7:$AV$3006,0))&lt;&gt;""," / "&amp;INDEX('CARNET DE SOUDURE'!$S$7:$S$3006,MATCH(117,'CARNET DE SOUDURE'!$AV$7:$AV$3006,0)),"")&amp;IF(INDEX('CARNET DE SOUDURE'!$T$7:$T$3006,MATCH(117,'CARNET DE SOUDURE'!$AV$7:$AV$3006,0))&lt;&gt;""," / "&amp;INDEX('CARNET DE SOUDURE'!$T$7:$T$3006,MATCH(117,'CARNET DE SOUDURE'!$AV$7:$AV$3006,0)),""))</f>
        <v/>
      </c>
      <c r="F128" s="126" t="str">
        <f aca="false">IF($B128="","",INDEX('CARNET DE SOUDURE'!$Y$7:$Y$3006,MATCH(117,'CARNET DE SOUDURE'!$AV$7:$AV$3006,0)))</f>
        <v/>
      </c>
      <c r="G128" s="125" t="str">
        <f aca="false">IF($B128="","",INDEX('CARNET DE SOUDURE'!$Z$7:$Z$3006,MATCH(117,'CARNET DE SOUDURE'!$AV$7:$AV$3006,0))&amp;"")</f>
        <v/>
      </c>
      <c r="H128" s="127" t="str">
        <f aca="false">IF($B128="","",INDEX('CARNET DE SOUDURE'!$AA$7:$AA$3006,MATCH(117,'CARNET DE SOUDURE'!$AV$7:$AV$3006,0)))</f>
        <v/>
      </c>
      <c r="I128" s="125" t="str">
        <f aca="false">IF($B128="","",INDEX('CARNET DE SOUDURE'!$AB$7:$AB$3006,MATCH(117,'CARNET DE SOUDURE'!$AV$7:$AV$3006,0))&amp;"")</f>
        <v/>
      </c>
      <c r="J128" s="125" t="str">
        <f aca="false">IF($B128="","",INDEX('CARNET DE SOUDURE'!$AC$7:$AC$3006,MATCH(117,'CARNET DE SOUDURE'!$AV$7:$AV$3006,0))&amp;IF(INDEX('CARNET DE SOUDURE'!$AH$7:$AH$3006,MATCH(117,'CARNET DE SOUDURE'!$AV$7:$AV$3006,0))&lt;&gt;""," / "&amp;INDEX('CARNET DE SOUDURE'!$AH$7:$AH$3006,MATCH(117,'CARNET DE SOUDURE'!$AV$7:$AV$3006,0)),""))</f>
        <v/>
      </c>
      <c r="K128" s="125" t="str">
        <f aca="false">IF($B128="","",INDEX('CARNET DE SOUDURE'!$AD$7:$AD$3006,MATCH(117,'CARNET DE SOUDURE'!$AV$7:$AV$3006,0))&amp;IF(INDEX('CARNET DE SOUDURE'!$AI$7:$AI$3006,MATCH(117,'CARNET DE SOUDURE'!$AV$7:$AV$3006,0))&lt;&gt;""," / "&amp;INDEX('CARNET DE SOUDURE'!$AI$7:$AI$3006,MATCH(117,'CARNET DE SOUDURE'!$AV$7:$AV$3006,0)),""))</f>
        <v/>
      </c>
      <c r="L128" s="125" t="str">
        <f aca="false">IF($B128="","",INDEX('CARNET DE SOUDURE'!$AG$7:$AG$3006,MATCH(117,'CARNET DE SOUDURE'!$AV$7:$AV$3006,0))&amp;IF(INDEX('CARNET DE SOUDURE'!$AL$7:$AL$3006,MATCH(117,'CARNET DE SOUDURE'!$AV$7:$AV$3006,0))&lt;&gt;""," / "&amp;INDEX('CARNET DE SOUDURE'!$AL$7:$AL$3006,MATCH(117,'CARNET DE SOUDURE'!$AV$7:$AV$3006,0)),""))</f>
        <v/>
      </c>
      <c r="M128" s="127" t="str">
        <f aca="false">IF($B128="","",INDEX('CARNET DE SOUDURE'!$AP$7:$AP$3006,MATCH(117,'CARNET DE SOUDURE'!$AV$7:$AV$3006,0)))</f>
        <v/>
      </c>
      <c r="N128" s="127" t="str">
        <f aca="false">IF($B128="","",INDEX('CARNET DE SOUDURE'!$AQ$7:$AQ$3006,MATCH(117,'CARNET DE SOUDURE'!$AV$7:$AV$3006,0)))</f>
        <v/>
      </c>
      <c r="O128" s="128" t="str">
        <f aca="false">IF($B128="","",INDEX('CARNET DE SOUDURE'!$AR$7:$AR$3006,MATCH(117,'CARNET DE SOUDURE'!$AV$7:$AV$3006,0)))</f>
        <v/>
      </c>
    </row>
    <row r="129" customFormat="false" ht="15" hidden="false" customHeight="false" outlineLevel="0" collapsed="false">
      <c r="B129" s="130" t="str">
        <f aca="false">IF(118&gt;$I$4,"",118)</f>
        <v/>
      </c>
      <c r="C129" s="130" t="str">
        <f aca="false">IF($B129="","",INDEX('CARNET DE SOUDURE'!$B$7:$B$3006,MATCH(118,'CARNET DE SOUDURE'!$AV$7:$AV$3006,0)))</f>
        <v/>
      </c>
      <c r="D129" s="130" t="str">
        <f aca="false">IF($B129="","",INDEX('CARNET DE SOUDURE'!$E$7:$E$3006,MATCH(118,'CARNET DE SOUDURE'!$AV$7:$AV$3006,0)))</f>
        <v/>
      </c>
      <c r="E129" s="130" t="str">
        <f aca="false">IF($B129="","",INDEX('CARNET DE SOUDURE'!$R$7:$R$3006,MATCH(118,'CARNET DE SOUDURE'!$AV$7:$AV$3006,0))&amp;IF(INDEX('CARNET DE SOUDURE'!$S$7:$S$3006,MATCH(118,'CARNET DE SOUDURE'!$AV$7:$AV$3006,0))&lt;&gt;""," / "&amp;INDEX('CARNET DE SOUDURE'!$S$7:$S$3006,MATCH(118,'CARNET DE SOUDURE'!$AV$7:$AV$3006,0)),"")&amp;IF(INDEX('CARNET DE SOUDURE'!$T$7:$T$3006,MATCH(118,'CARNET DE SOUDURE'!$AV$7:$AV$3006,0))&lt;&gt;""," / "&amp;INDEX('CARNET DE SOUDURE'!$T$7:$T$3006,MATCH(118,'CARNET DE SOUDURE'!$AV$7:$AV$3006,0)),""))</f>
        <v/>
      </c>
      <c r="F129" s="131" t="str">
        <f aca="false">IF($B129="","",INDEX('CARNET DE SOUDURE'!$Y$7:$Y$3006,MATCH(118,'CARNET DE SOUDURE'!$AV$7:$AV$3006,0)))</f>
        <v/>
      </c>
      <c r="G129" s="130" t="str">
        <f aca="false">IF($B129="","",INDEX('CARNET DE SOUDURE'!$Z$7:$Z$3006,MATCH(118,'CARNET DE SOUDURE'!$AV$7:$AV$3006,0))&amp;"")</f>
        <v/>
      </c>
      <c r="H129" s="132" t="str">
        <f aca="false">IF($B129="","",INDEX('CARNET DE SOUDURE'!$AA$7:$AA$3006,MATCH(118,'CARNET DE SOUDURE'!$AV$7:$AV$3006,0)))</f>
        <v/>
      </c>
      <c r="I129" s="130" t="str">
        <f aca="false">IF($B129="","",INDEX('CARNET DE SOUDURE'!$AB$7:$AB$3006,MATCH(118,'CARNET DE SOUDURE'!$AV$7:$AV$3006,0))&amp;"")</f>
        <v/>
      </c>
      <c r="J129" s="130" t="str">
        <f aca="false">IF($B129="","",INDEX('CARNET DE SOUDURE'!$AC$7:$AC$3006,MATCH(118,'CARNET DE SOUDURE'!$AV$7:$AV$3006,0))&amp;IF(INDEX('CARNET DE SOUDURE'!$AH$7:$AH$3006,MATCH(118,'CARNET DE SOUDURE'!$AV$7:$AV$3006,0))&lt;&gt;""," / "&amp;INDEX('CARNET DE SOUDURE'!$AH$7:$AH$3006,MATCH(118,'CARNET DE SOUDURE'!$AV$7:$AV$3006,0)),""))</f>
        <v/>
      </c>
      <c r="K129" s="130" t="str">
        <f aca="false">IF($B129="","",INDEX('CARNET DE SOUDURE'!$AD$7:$AD$3006,MATCH(118,'CARNET DE SOUDURE'!$AV$7:$AV$3006,0))&amp;IF(INDEX('CARNET DE SOUDURE'!$AI$7:$AI$3006,MATCH(118,'CARNET DE SOUDURE'!$AV$7:$AV$3006,0))&lt;&gt;""," / "&amp;INDEX('CARNET DE SOUDURE'!$AI$7:$AI$3006,MATCH(118,'CARNET DE SOUDURE'!$AV$7:$AV$3006,0)),""))</f>
        <v/>
      </c>
      <c r="L129" s="130" t="str">
        <f aca="false">IF($B129="","",INDEX('CARNET DE SOUDURE'!$AG$7:$AG$3006,MATCH(118,'CARNET DE SOUDURE'!$AV$7:$AV$3006,0))&amp;IF(INDEX('CARNET DE SOUDURE'!$AL$7:$AL$3006,MATCH(118,'CARNET DE SOUDURE'!$AV$7:$AV$3006,0))&lt;&gt;""," / "&amp;INDEX('CARNET DE SOUDURE'!$AL$7:$AL$3006,MATCH(118,'CARNET DE SOUDURE'!$AV$7:$AV$3006,0)),""))</f>
        <v/>
      </c>
      <c r="M129" s="132" t="str">
        <f aca="false">IF($B129="","",INDEX('CARNET DE SOUDURE'!$AP$7:$AP$3006,MATCH(118,'CARNET DE SOUDURE'!$AV$7:$AV$3006,0)))</f>
        <v/>
      </c>
      <c r="N129" s="132" t="str">
        <f aca="false">IF($B129="","",INDEX('CARNET DE SOUDURE'!$AQ$7:$AQ$3006,MATCH(118,'CARNET DE SOUDURE'!$AV$7:$AV$3006,0)))</f>
        <v/>
      </c>
      <c r="O129" s="133" t="str">
        <f aca="false">IF($B129="","",INDEX('CARNET DE SOUDURE'!$AR$7:$AR$3006,MATCH(118,'CARNET DE SOUDURE'!$AV$7:$AV$3006,0)))</f>
        <v/>
      </c>
    </row>
    <row r="130" customFormat="false" ht="15" hidden="false" customHeight="false" outlineLevel="0" collapsed="false">
      <c r="B130" s="125" t="str">
        <f aca="false">IF(119&gt;$I$4,"",119)</f>
        <v/>
      </c>
      <c r="C130" s="125" t="str">
        <f aca="false">IF($B130="","",INDEX('CARNET DE SOUDURE'!$B$7:$B$3006,MATCH(119,'CARNET DE SOUDURE'!$AV$7:$AV$3006,0)))</f>
        <v/>
      </c>
      <c r="D130" s="125" t="str">
        <f aca="false">IF($B130="","",INDEX('CARNET DE SOUDURE'!$E$7:$E$3006,MATCH(119,'CARNET DE SOUDURE'!$AV$7:$AV$3006,0)))</f>
        <v/>
      </c>
      <c r="E130" s="125" t="str">
        <f aca="false">IF($B130="","",INDEX('CARNET DE SOUDURE'!$R$7:$R$3006,MATCH(119,'CARNET DE SOUDURE'!$AV$7:$AV$3006,0))&amp;IF(INDEX('CARNET DE SOUDURE'!$S$7:$S$3006,MATCH(119,'CARNET DE SOUDURE'!$AV$7:$AV$3006,0))&lt;&gt;""," / "&amp;INDEX('CARNET DE SOUDURE'!$S$7:$S$3006,MATCH(119,'CARNET DE SOUDURE'!$AV$7:$AV$3006,0)),"")&amp;IF(INDEX('CARNET DE SOUDURE'!$T$7:$T$3006,MATCH(119,'CARNET DE SOUDURE'!$AV$7:$AV$3006,0))&lt;&gt;""," / "&amp;INDEX('CARNET DE SOUDURE'!$T$7:$T$3006,MATCH(119,'CARNET DE SOUDURE'!$AV$7:$AV$3006,0)),""))</f>
        <v/>
      </c>
      <c r="F130" s="126" t="str">
        <f aca="false">IF($B130="","",INDEX('CARNET DE SOUDURE'!$Y$7:$Y$3006,MATCH(119,'CARNET DE SOUDURE'!$AV$7:$AV$3006,0)))</f>
        <v/>
      </c>
      <c r="G130" s="125" t="str">
        <f aca="false">IF($B130="","",INDEX('CARNET DE SOUDURE'!$Z$7:$Z$3006,MATCH(119,'CARNET DE SOUDURE'!$AV$7:$AV$3006,0))&amp;"")</f>
        <v/>
      </c>
      <c r="H130" s="127" t="str">
        <f aca="false">IF($B130="","",INDEX('CARNET DE SOUDURE'!$AA$7:$AA$3006,MATCH(119,'CARNET DE SOUDURE'!$AV$7:$AV$3006,0)))</f>
        <v/>
      </c>
      <c r="I130" s="125" t="str">
        <f aca="false">IF($B130="","",INDEX('CARNET DE SOUDURE'!$AB$7:$AB$3006,MATCH(119,'CARNET DE SOUDURE'!$AV$7:$AV$3006,0))&amp;"")</f>
        <v/>
      </c>
      <c r="J130" s="125" t="str">
        <f aca="false">IF($B130="","",INDEX('CARNET DE SOUDURE'!$AC$7:$AC$3006,MATCH(119,'CARNET DE SOUDURE'!$AV$7:$AV$3006,0))&amp;IF(INDEX('CARNET DE SOUDURE'!$AH$7:$AH$3006,MATCH(119,'CARNET DE SOUDURE'!$AV$7:$AV$3006,0))&lt;&gt;""," / "&amp;INDEX('CARNET DE SOUDURE'!$AH$7:$AH$3006,MATCH(119,'CARNET DE SOUDURE'!$AV$7:$AV$3006,0)),""))</f>
        <v/>
      </c>
      <c r="K130" s="125" t="str">
        <f aca="false">IF($B130="","",INDEX('CARNET DE SOUDURE'!$AD$7:$AD$3006,MATCH(119,'CARNET DE SOUDURE'!$AV$7:$AV$3006,0))&amp;IF(INDEX('CARNET DE SOUDURE'!$AI$7:$AI$3006,MATCH(119,'CARNET DE SOUDURE'!$AV$7:$AV$3006,0))&lt;&gt;""," / "&amp;INDEX('CARNET DE SOUDURE'!$AI$7:$AI$3006,MATCH(119,'CARNET DE SOUDURE'!$AV$7:$AV$3006,0)),""))</f>
        <v/>
      </c>
      <c r="L130" s="125" t="str">
        <f aca="false">IF($B130="","",INDEX('CARNET DE SOUDURE'!$AG$7:$AG$3006,MATCH(119,'CARNET DE SOUDURE'!$AV$7:$AV$3006,0))&amp;IF(INDEX('CARNET DE SOUDURE'!$AL$7:$AL$3006,MATCH(119,'CARNET DE SOUDURE'!$AV$7:$AV$3006,0))&lt;&gt;""," / "&amp;INDEX('CARNET DE SOUDURE'!$AL$7:$AL$3006,MATCH(119,'CARNET DE SOUDURE'!$AV$7:$AV$3006,0)),""))</f>
        <v/>
      </c>
      <c r="M130" s="127" t="str">
        <f aca="false">IF($B130="","",INDEX('CARNET DE SOUDURE'!$AP$7:$AP$3006,MATCH(119,'CARNET DE SOUDURE'!$AV$7:$AV$3006,0)))</f>
        <v/>
      </c>
      <c r="N130" s="127" t="str">
        <f aca="false">IF($B130="","",INDEX('CARNET DE SOUDURE'!$AQ$7:$AQ$3006,MATCH(119,'CARNET DE SOUDURE'!$AV$7:$AV$3006,0)))</f>
        <v/>
      </c>
      <c r="O130" s="128" t="str">
        <f aca="false">IF($B130="","",INDEX('CARNET DE SOUDURE'!$AR$7:$AR$3006,MATCH(119,'CARNET DE SOUDURE'!$AV$7:$AV$3006,0)))</f>
        <v/>
      </c>
    </row>
    <row r="131" customFormat="false" ht="15" hidden="false" customHeight="false" outlineLevel="0" collapsed="false">
      <c r="B131" s="130" t="str">
        <f aca="false">IF(120&gt;$I$4,"",120)</f>
        <v/>
      </c>
      <c r="C131" s="130" t="str">
        <f aca="false">IF($B131="","",INDEX('CARNET DE SOUDURE'!$B$7:$B$3006,MATCH(120,'CARNET DE SOUDURE'!$AV$7:$AV$3006,0)))</f>
        <v/>
      </c>
      <c r="D131" s="130" t="str">
        <f aca="false">IF($B131="","",INDEX('CARNET DE SOUDURE'!$E$7:$E$3006,MATCH(120,'CARNET DE SOUDURE'!$AV$7:$AV$3006,0)))</f>
        <v/>
      </c>
      <c r="E131" s="130" t="str">
        <f aca="false">IF($B131="","",INDEX('CARNET DE SOUDURE'!$R$7:$R$3006,MATCH(120,'CARNET DE SOUDURE'!$AV$7:$AV$3006,0))&amp;IF(INDEX('CARNET DE SOUDURE'!$S$7:$S$3006,MATCH(120,'CARNET DE SOUDURE'!$AV$7:$AV$3006,0))&lt;&gt;""," / "&amp;INDEX('CARNET DE SOUDURE'!$S$7:$S$3006,MATCH(120,'CARNET DE SOUDURE'!$AV$7:$AV$3006,0)),"")&amp;IF(INDEX('CARNET DE SOUDURE'!$T$7:$T$3006,MATCH(120,'CARNET DE SOUDURE'!$AV$7:$AV$3006,0))&lt;&gt;""," / "&amp;INDEX('CARNET DE SOUDURE'!$T$7:$T$3006,MATCH(120,'CARNET DE SOUDURE'!$AV$7:$AV$3006,0)),""))</f>
        <v/>
      </c>
      <c r="F131" s="131" t="str">
        <f aca="false">IF($B131="","",INDEX('CARNET DE SOUDURE'!$Y$7:$Y$3006,MATCH(120,'CARNET DE SOUDURE'!$AV$7:$AV$3006,0)))</f>
        <v/>
      </c>
      <c r="G131" s="130" t="str">
        <f aca="false">IF($B131="","",INDEX('CARNET DE SOUDURE'!$Z$7:$Z$3006,MATCH(120,'CARNET DE SOUDURE'!$AV$7:$AV$3006,0))&amp;"")</f>
        <v/>
      </c>
      <c r="H131" s="132" t="str">
        <f aca="false">IF($B131="","",INDEX('CARNET DE SOUDURE'!$AA$7:$AA$3006,MATCH(120,'CARNET DE SOUDURE'!$AV$7:$AV$3006,0)))</f>
        <v/>
      </c>
      <c r="I131" s="130" t="str">
        <f aca="false">IF($B131="","",INDEX('CARNET DE SOUDURE'!$AB$7:$AB$3006,MATCH(120,'CARNET DE SOUDURE'!$AV$7:$AV$3006,0))&amp;"")</f>
        <v/>
      </c>
      <c r="J131" s="130" t="str">
        <f aca="false">IF($B131="","",INDEX('CARNET DE SOUDURE'!$AC$7:$AC$3006,MATCH(120,'CARNET DE SOUDURE'!$AV$7:$AV$3006,0))&amp;IF(INDEX('CARNET DE SOUDURE'!$AH$7:$AH$3006,MATCH(120,'CARNET DE SOUDURE'!$AV$7:$AV$3006,0))&lt;&gt;""," / "&amp;INDEX('CARNET DE SOUDURE'!$AH$7:$AH$3006,MATCH(120,'CARNET DE SOUDURE'!$AV$7:$AV$3006,0)),""))</f>
        <v/>
      </c>
      <c r="K131" s="130" t="str">
        <f aca="false">IF($B131="","",INDEX('CARNET DE SOUDURE'!$AD$7:$AD$3006,MATCH(120,'CARNET DE SOUDURE'!$AV$7:$AV$3006,0))&amp;IF(INDEX('CARNET DE SOUDURE'!$AI$7:$AI$3006,MATCH(120,'CARNET DE SOUDURE'!$AV$7:$AV$3006,0))&lt;&gt;""," / "&amp;INDEX('CARNET DE SOUDURE'!$AI$7:$AI$3006,MATCH(120,'CARNET DE SOUDURE'!$AV$7:$AV$3006,0)),""))</f>
        <v/>
      </c>
      <c r="L131" s="130" t="str">
        <f aca="false">IF($B131="","",INDEX('CARNET DE SOUDURE'!$AG$7:$AG$3006,MATCH(120,'CARNET DE SOUDURE'!$AV$7:$AV$3006,0))&amp;IF(INDEX('CARNET DE SOUDURE'!$AL$7:$AL$3006,MATCH(120,'CARNET DE SOUDURE'!$AV$7:$AV$3006,0))&lt;&gt;""," / "&amp;INDEX('CARNET DE SOUDURE'!$AL$7:$AL$3006,MATCH(120,'CARNET DE SOUDURE'!$AV$7:$AV$3006,0)),""))</f>
        <v/>
      </c>
      <c r="M131" s="132" t="str">
        <f aca="false">IF($B131="","",INDEX('CARNET DE SOUDURE'!$AP$7:$AP$3006,MATCH(120,'CARNET DE SOUDURE'!$AV$7:$AV$3006,0)))</f>
        <v/>
      </c>
      <c r="N131" s="132" t="str">
        <f aca="false">IF($B131="","",INDEX('CARNET DE SOUDURE'!$AQ$7:$AQ$3006,MATCH(120,'CARNET DE SOUDURE'!$AV$7:$AV$3006,0)))</f>
        <v/>
      </c>
      <c r="O131" s="133" t="str">
        <f aca="false">IF($B131="","",INDEX('CARNET DE SOUDURE'!$AR$7:$AR$3006,MATCH(120,'CARNET DE SOUDURE'!$AV$7:$AV$3006,0)))</f>
        <v/>
      </c>
    </row>
    <row r="132" customFormat="false" ht="15" hidden="false" customHeight="false" outlineLevel="0" collapsed="false">
      <c r="B132" s="125" t="str">
        <f aca="false">IF(121&gt;$I$4,"",121)</f>
        <v/>
      </c>
      <c r="C132" s="125" t="str">
        <f aca="false">IF($B132="","",INDEX('CARNET DE SOUDURE'!$B$7:$B$3006,MATCH(121,'CARNET DE SOUDURE'!$AV$7:$AV$3006,0)))</f>
        <v/>
      </c>
      <c r="D132" s="125" t="str">
        <f aca="false">IF($B132="","",INDEX('CARNET DE SOUDURE'!$E$7:$E$3006,MATCH(121,'CARNET DE SOUDURE'!$AV$7:$AV$3006,0)))</f>
        <v/>
      </c>
      <c r="E132" s="125" t="str">
        <f aca="false">IF($B132="","",INDEX('CARNET DE SOUDURE'!$R$7:$R$3006,MATCH(121,'CARNET DE SOUDURE'!$AV$7:$AV$3006,0))&amp;IF(INDEX('CARNET DE SOUDURE'!$S$7:$S$3006,MATCH(121,'CARNET DE SOUDURE'!$AV$7:$AV$3006,0))&lt;&gt;""," / "&amp;INDEX('CARNET DE SOUDURE'!$S$7:$S$3006,MATCH(121,'CARNET DE SOUDURE'!$AV$7:$AV$3006,0)),"")&amp;IF(INDEX('CARNET DE SOUDURE'!$T$7:$T$3006,MATCH(121,'CARNET DE SOUDURE'!$AV$7:$AV$3006,0))&lt;&gt;""," / "&amp;INDEX('CARNET DE SOUDURE'!$T$7:$T$3006,MATCH(121,'CARNET DE SOUDURE'!$AV$7:$AV$3006,0)),""))</f>
        <v/>
      </c>
      <c r="F132" s="126" t="str">
        <f aca="false">IF($B132="","",INDEX('CARNET DE SOUDURE'!$Y$7:$Y$3006,MATCH(121,'CARNET DE SOUDURE'!$AV$7:$AV$3006,0)))</f>
        <v/>
      </c>
      <c r="G132" s="125" t="str">
        <f aca="false">IF($B132="","",INDEX('CARNET DE SOUDURE'!$Z$7:$Z$3006,MATCH(121,'CARNET DE SOUDURE'!$AV$7:$AV$3006,0))&amp;"")</f>
        <v/>
      </c>
      <c r="H132" s="127" t="str">
        <f aca="false">IF($B132="","",INDEX('CARNET DE SOUDURE'!$AA$7:$AA$3006,MATCH(121,'CARNET DE SOUDURE'!$AV$7:$AV$3006,0)))</f>
        <v/>
      </c>
      <c r="I132" s="125" t="str">
        <f aca="false">IF($B132="","",INDEX('CARNET DE SOUDURE'!$AB$7:$AB$3006,MATCH(121,'CARNET DE SOUDURE'!$AV$7:$AV$3006,0))&amp;"")</f>
        <v/>
      </c>
      <c r="J132" s="125" t="str">
        <f aca="false">IF($B132="","",INDEX('CARNET DE SOUDURE'!$AC$7:$AC$3006,MATCH(121,'CARNET DE SOUDURE'!$AV$7:$AV$3006,0))&amp;IF(INDEX('CARNET DE SOUDURE'!$AH$7:$AH$3006,MATCH(121,'CARNET DE SOUDURE'!$AV$7:$AV$3006,0))&lt;&gt;""," / "&amp;INDEX('CARNET DE SOUDURE'!$AH$7:$AH$3006,MATCH(121,'CARNET DE SOUDURE'!$AV$7:$AV$3006,0)),""))</f>
        <v/>
      </c>
      <c r="K132" s="125" t="str">
        <f aca="false">IF($B132="","",INDEX('CARNET DE SOUDURE'!$AD$7:$AD$3006,MATCH(121,'CARNET DE SOUDURE'!$AV$7:$AV$3006,0))&amp;IF(INDEX('CARNET DE SOUDURE'!$AI$7:$AI$3006,MATCH(121,'CARNET DE SOUDURE'!$AV$7:$AV$3006,0))&lt;&gt;""," / "&amp;INDEX('CARNET DE SOUDURE'!$AI$7:$AI$3006,MATCH(121,'CARNET DE SOUDURE'!$AV$7:$AV$3006,0)),""))</f>
        <v/>
      </c>
      <c r="L132" s="125" t="str">
        <f aca="false">IF($B132="","",INDEX('CARNET DE SOUDURE'!$AG$7:$AG$3006,MATCH(121,'CARNET DE SOUDURE'!$AV$7:$AV$3006,0))&amp;IF(INDEX('CARNET DE SOUDURE'!$AL$7:$AL$3006,MATCH(121,'CARNET DE SOUDURE'!$AV$7:$AV$3006,0))&lt;&gt;""," / "&amp;INDEX('CARNET DE SOUDURE'!$AL$7:$AL$3006,MATCH(121,'CARNET DE SOUDURE'!$AV$7:$AV$3006,0)),""))</f>
        <v/>
      </c>
      <c r="M132" s="127" t="str">
        <f aca="false">IF($B132="","",INDEX('CARNET DE SOUDURE'!$AP$7:$AP$3006,MATCH(121,'CARNET DE SOUDURE'!$AV$7:$AV$3006,0)))</f>
        <v/>
      </c>
      <c r="N132" s="127" t="str">
        <f aca="false">IF($B132="","",INDEX('CARNET DE SOUDURE'!$AQ$7:$AQ$3006,MATCH(121,'CARNET DE SOUDURE'!$AV$7:$AV$3006,0)))</f>
        <v/>
      </c>
      <c r="O132" s="128" t="str">
        <f aca="false">IF($B132="","",INDEX('CARNET DE SOUDURE'!$AR$7:$AR$3006,MATCH(121,'CARNET DE SOUDURE'!$AV$7:$AV$3006,0)))</f>
        <v/>
      </c>
    </row>
    <row r="133" customFormat="false" ht="15" hidden="false" customHeight="false" outlineLevel="0" collapsed="false">
      <c r="B133" s="130" t="str">
        <f aca="false">IF(122&gt;$I$4,"",122)</f>
        <v/>
      </c>
      <c r="C133" s="130" t="str">
        <f aca="false">IF($B133="","",INDEX('CARNET DE SOUDURE'!$B$7:$B$3006,MATCH(122,'CARNET DE SOUDURE'!$AV$7:$AV$3006,0)))</f>
        <v/>
      </c>
      <c r="D133" s="130" t="str">
        <f aca="false">IF($B133="","",INDEX('CARNET DE SOUDURE'!$E$7:$E$3006,MATCH(122,'CARNET DE SOUDURE'!$AV$7:$AV$3006,0)))</f>
        <v/>
      </c>
      <c r="E133" s="130" t="str">
        <f aca="false">IF($B133="","",INDEX('CARNET DE SOUDURE'!$R$7:$R$3006,MATCH(122,'CARNET DE SOUDURE'!$AV$7:$AV$3006,0))&amp;IF(INDEX('CARNET DE SOUDURE'!$S$7:$S$3006,MATCH(122,'CARNET DE SOUDURE'!$AV$7:$AV$3006,0))&lt;&gt;""," / "&amp;INDEX('CARNET DE SOUDURE'!$S$7:$S$3006,MATCH(122,'CARNET DE SOUDURE'!$AV$7:$AV$3006,0)),"")&amp;IF(INDEX('CARNET DE SOUDURE'!$T$7:$T$3006,MATCH(122,'CARNET DE SOUDURE'!$AV$7:$AV$3006,0))&lt;&gt;""," / "&amp;INDEX('CARNET DE SOUDURE'!$T$7:$T$3006,MATCH(122,'CARNET DE SOUDURE'!$AV$7:$AV$3006,0)),""))</f>
        <v/>
      </c>
      <c r="F133" s="131" t="str">
        <f aca="false">IF($B133="","",INDEX('CARNET DE SOUDURE'!$Y$7:$Y$3006,MATCH(122,'CARNET DE SOUDURE'!$AV$7:$AV$3006,0)))</f>
        <v/>
      </c>
      <c r="G133" s="130" t="str">
        <f aca="false">IF($B133="","",INDEX('CARNET DE SOUDURE'!$Z$7:$Z$3006,MATCH(122,'CARNET DE SOUDURE'!$AV$7:$AV$3006,0))&amp;"")</f>
        <v/>
      </c>
      <c r="H133" s="132" t="str">
        <f aca="false">IF($B133="","",INDEX('CARNET DE SOUDURE'!$AA$7:$AA$3006,MATCH(122,'CARNET DE SOUDURE'!$AV$7:$AV$3006,0)))</f>
        <v/>
      </c>
      <c r="I133" s="130" t="str">
        <f aca="false">IF($B133="","",INDEX('CARNET DE SOUDURE'!$AB$7:$AB$3006,MATCH(122,'CARNET DE SOUDURE'!$AV$7:$AV$3006,0))&amp;"")</f>
        <v/>
      </c>
      <c r="J133" s="130" t="str">
        <f aca="false">IF($B133="","",INDEX('CARNET DE SOUDURE'!$AC$7:$AC$3006,MATCH(122,'CARNET DE SOUDURE'!$AV$7:$AV$3006,0))&amp;IF(INDEX('CARNET DE SOUDURE'!$AH$7:$AH$3006,MATCH(122,'CARNET DE SOUDURE'!$AV$7:$AV$3006,0))&lt;&gt;""," / "&amp;INDEX('CARNET DE SOUDURE'!$AH$7:$AH$3006,MATCH(122,'CARNET DE SOUDURE'!$AV$7:$AV$3006,0)),""))</f>
        <v/>
      </c>
      <c r="K133" s="130" t="str">
        <f aca="false">IF($B133="","",INDEX('CARNET DE SOUDURE'!$AD$7:$AD$3006,MATCH(122,'CARNET DE SOUDURE'!$AV$7:$AV$3006,0))&amp;IF(INDEX('CARNET DE SOUDURE'!$AI$7:$AI$3006,MATCH(122,'CARNET DE SOUDURE'!$AV$7:$AV$3006,0))&lt;&gt;""," / "&amp;INDEX('CARNET DE SOUDURE'!$AI$7:$AI$3006,MATCH(122,'CARNET DE SOUDURE'!$AV$7:$AV$3006,0)),""))</f>
        <v/>
      </c>
      <c r="L133" s="130" t="str">
        <f aca="false">IF($B133="","",INDEX('CARNET DE SOUDURE'!$AG$7:$AG$3006,MATCH(122,'CARNET DE SOUDURE'!$AV$7:$AV$3006,0))&amp;IF(INDEX('CARNET DE SOUDURE'!$AL$7:$AL$3006,MATCH(122,'CARNET DE SOUDURE'!$AV$7:$AV$3006,0))&lt;&gt;""," / "&amp;INDEX('CARNET DE SOUDURE'!$AL$7:$AL$3006,MATCH(122,'CARNET DE SOUDURE'!$AV$7:$AV$3006,0)),""))</f>
        <v/>
      </c>
      <c r="M133" s="132" t="str">
        <f aca="false">IF($B133="","",INDEX('CARNET DE SOUDURE'!$AP$7:$AP$3006,MATCH(122,'CARNET DE SOUDURE'!$AV$7:$AV$3006,0)))</f>
        <v/>
      </c>
      <c r="N133" s="132" t="str">
        <f aca="false">IF($B133="","",INDEX('CARNET DE SOUDURE'!$AQ$7:$AQ$3006,MATCH(122,'CARNET DE SOUDURE'!$AV$7:$AV$3006,0)))</f>
        <v/>
      </c>
      <c r="O133" s="133" t="str">
        <f aca="false">IF($B133="","",INDEX('CARNET DE SOUDURE'!$AR$7:$AR$3006,MATCH(122,'CARNET DE SOUDURE'!$AV$7:$AV$3006,0)))</f>
        <v/>
      </c>
    </row>
    <row r="134" customFormat="false" ht="15" hidden="false" customHeight="false" outlineLevel="0" collapsed="false">
      <c r="B134" s="125" t="str">
        <f aca="false">IF(123&gt;$I$4,"",123)</f>
        <v/>
      </c>
      <c r="C134" s="125" t="str">
        <f aca="false">IF($B134="","",INDEX('CARNET DE SOUDURE'!$B$7:$B$3006,MATCH(123,'CARNET DE SOUDURE'!$AV$7:$AV$3006,0)))</f>
        <v/>
      </c>
      <c r="D134" s="125" t="str">
        <f aca="false">IF($B134="","",INDEX('CARNET DE SOUDURE'!$E$7:$E$3006,MATCH(123,'CARNET DE SOUDURE'!$AV$7:$AV$3006,0)))</f>
        <v/>
      </c>
      <c r="E134" s="125" t="str">
        <f aca="false">IF($B134="","",INDEX('CARNET DE SOUDURE'!$R$7:$R$3006,MATCH(123,'CARNET DE SOUDURE'!$AV$7:$AV$3006,0))&amp;IF(INDEX('CARNET DE SOUDURE'!$S$7:$S$3006,MATCH(123,'CARNET DE SOUDURE'!$AV$7:$AV$3006,0))&lt;&gt;""," / "&amp;INDEX('CARNET DE SOUDURE'!$S$7:$S$3006,MATCH(123,'CARNET DE SOUDURE'!$AV$7:$AV$3006,0)),"")&amp;IF(INDEX('CARNET DE SOUDURE'!$T$7:$T$3006,MATCH(123,'CARNET DE SOUDURE'!$AV$7:$AV$3006,0))&lt;&gt;""," / "&amp;INDEX('CARNET DE SOUDURE'!$T$7:$T$3006,MATCH(123,'CARNET DE SOUDURE'!$AV$7:$AV$3006,0)),""))</f>
        <v/>
      </c>
      <c r="F134" s="126" t="str">
        <f aca="false">IF($B134="","",INDEX('CARNET DE SOUDURE'!$Y$7:$Y$3006,MATCH(123,'CARNET DE SOUDURE'!$AV$7:$AV$3006,0)))</f>
        <v/>
      </c>
      <c r="G134" s="125" t="str">
        <f aca="false">IF($B134="","",INDEX('CARNET DE SOUDURE'!$Z$7:$Z$3006,MATCH(123,'CARNET DE SOUDURE'!$AV$7:$AV$3006,0))&amp;"")</f>
        <v/>
      </c>
      <c r="H134" s="127" t="str">
        <f aca="false">IF($B134="","",INDEX('CARNET DE SOUDURE'!$AA$7:$AA$3006,MATCH(123,'CARNET DE SOUDURE'!$AV$7:$AV$3006,0)))</f>
        <v/>
      </c>
      <c r="I134" s="125" t="str">
        <f aca="false">IF($B134="","",INDEX('CARNET DE SOUDURE'!$AB$7:$AB$3006,MATCH(123,'CARNET DE SOUDURE'!$AV$7:$AV$3006,0))&amp;"")</f>
        <v/>
      </c>
      <c r="J134" s="125" t="str">
        <f aca="false">IF($B134="","",INDEX('CARNET DE SOUDURE'!$AC$7:$AC$3006,MATCH(123,'CARNET DE SOUDURE'!$AV$7:$AV$3006,0))&amp;IF(INDEX('CARNET DE SOUDURE'!$AH$7:$AH$3006,MATCH(123,'CARNET DE SOUDURE'!$AV$7:$AV$3006,0))&lt;&gt;""," / "&amp;INDEX('CARNET DE SOUDURE'!$AH$7:$AH$3006,MATCH(123,'CARNET DE SOUDURE'!$AV$7:$AV$3006,0)),""))</f>
        <v/>
      </c>
      <c r="K134" s="125" t="str">
        <f aca="false">IF($B134="","",INDEX('CARNET DE SOUDURE'!$AD$7:$AD$3006,MATCH(123,'CARNET DE SOUDURE'!$AV$7:$AV$3006,0))&amp;IF(INDEX('CARNET DE SOUDURE'!$AI$7:$AI$3006,MATCH(123,'CARNET DE SOUDURE'!$AV$7:$AV$3006,0))&lt;&gt;""," / "&amp;INDEX('CARNET DE SOUDURE'!$AI$7:$AI$3006,MATCH(123,'CARNET DE SOUDURE'!$AV$7:$AV$3006,0)),""))</f>
        <v/>
      </c>
      <c r="L134" s="125" t="str">
        <f aca="false">IF($B134="","",INDEX('CARNET DE SOUDURE'!$AG$7:$AG$3006,MATCH(123,'CARNET DE SOUDURE'!$AV$7:$AV$3006,0))&amp;IF(INDEX('CARNET DE SOUDURE'!$AL$7:$AL$3006,MATCH(123,'CARNET DE SOUDURE'!$AV$7:$AV$3006,0))&lt;&gt;""," / "&amp;INDEX('CARNET DE SOUDURE'!$AL$7:$AL$3006,MATCH(123,'CARNET DE SOUDURE'!$AV$7:$AV$3006,0)),""))</f>
        <v/>
      </c>
      <c r="M134" s="127" t="str">
        <f aca="false">IF($B134="","",INDEX('CARNET DE SOUDURE'!$AP$7:$AP$3006,MATCH(123,'CARNET DE SOUDURE'!$AV$7:$AV$3006,0)))</f>
        <v/>
      </c>
      <c r="N134" s="127" t="str">
        <f aca="false">IF($B134="","",INDEX('CARNET DE SOUDURE'!$AQ$7:$AQ$3006,MATCH(123,'CARNET DE SOUDURE'!$AV$7:$AV$3006,0)))</f>
        <v/>
      </c>
      <c r="O134" s="128" t="str">
        <f aca="false">IF($B134="","",INDEX('CARNET DE SOUDURE'!$AR$7:$AR$3006,MATCH(123,'CARNET DE SOUDURE'!$AV$7:$AV$3006,0)))</f>
        <v/>
      </c>
    </row>
    <row r="135" customFormat="false" ht="15" hidden="false" customHeight="false" outlineLevel="0" collapsed="false">
      <c r="B135" s="130" t="str">
        <f aca="false">IF(124&gt;$I$4,"",124)</f>
        <v/>
      </c>
      <c r="C135" s="130" t="str">
        <f aca="false">IF($B135="","",INDEX('CARNET DE SOUDURE'!$B$7:$B$3006,MATCH(124,'CARNET DE SOUDURE'!$AV$7:$AV$3006,0)))</f>
        <v/>
      </c>
      <c r="D135" s="130" t="str">
        <f aca="false">IF($B135="","",INDEX('CARNET DE SOUDURE'!$E$7:$E$3006,MATCH(124,'CARNET DE SOUDURE'!$AV$7:$AV$3006,0)))</f>
        <v/>
      </c>
      <c r="E135" s="130" t="str">
        <f aca="false">IF($B135="","",INDEX('CARNET DE SOUDURE'!$R$7:$R$3006,MATCH(124,'CARNET DE SOUDURE'!$AV$7:$AV$3006,0))&amp;IF(INDEX('CARNET DE SOUDURE'!$S$7:$S$3006,MATCH(124,'CARNET DE SOUDURE'!$AV$7:$AV$3006,0))&lt;&gt;""," / "&amp;INDEX('CARNET DE SOUDURE'!$S$7:$S$3006,MATCH(124,'CARNET DE SOUDURE'!$AV$7:$AV$3006,0)),"")&amp;IF(INDEX('CARNET DE SOUDURE'!$T$7:$T$3006,MATCH(124,'CARNET DE SOUDURE'!$AV$7:$AV$3006,0))&lt;&gt;""," / "&amp;INDEX('CARNET DE SOUDURE'!$T$7:$T$3006,MATCH(124,'CARNET DE SOUDURE'!$AV$7:$AV$3006,0)),""))</f>
        <v/>
      </c>
      <c r="F135" s="131" t="str">
        <f aca="false">IF($B135="","",INDEX('CARNET DE SOUDURE'!$Y$7:$Y$3006,MATCH(124,'CARNET DE SOUDURE'!$AV$7:$AV$3006,0)))</f>
        <v/>
      </c>
      <c r="G135" s="130" t="str">
        <f aca="false">IF($B135="","",INDEX('CARNET DE SOUDURE'!$Z$7:$Z$3006,MATCH(124,'CARNET DE SOUDURE'!$AV$7:$AV$3006,0))&amp;"")</f>
        <v/>
      </c>
      <c r="H135" s="132" t="str">
        <f aca="false">IF($B135="","",INDEX('CARNET DE SOUDURE'!$AA$7:$AA$3006,MATCH(124,'CARNET DE SOUDURE'!$AV$7:$AV$3006,0)))</f>
        <v/>
      </c>
      <c r="I135" s="130" t="str">
        <f aca="false">IF($B135="","",INDEX('CARNET DE SOUDURE'!$AB$7:$AB$3006,MATCH(124,'CARNET DE SOUDURE'!$AV$7:$AV$3006,0))&amp;"")</f>
        <v/>
      </c>
      <c r="J135" s="130" t="str">
        <f aca="false">IF($B135="","",INDEX('CARNET DE SOUDURE'!$AC$7:$AC$3006,MATCH(124,'CARNET DE SOUDURE'!$AV$7:$AV$3006,0))&amp;IF(INDEX('CARNET DE SOUDURE'!$AH$7:$AH$3006,MATCH(124,'CARNET DE SOUDURE'!$AV$7:$AV$3006,0))&lt;&gt;""," / "&amp;INDEX('CARNET DE SOUDURE'!$AH$7:$AH$3006,MATCH(124,'CARNET DE SOUDURE'!$AV$7:$AV$3006,0)),""))</f>
        <v/>
      </c>
      <c r="K135" s="130" t="str">
        <f aca="false">IF($B135="","",INDEX('CARNET DE SOUDURE'!$AD$7:$AD$3006,MATCH(124,'CARNET DE SOUDURE'!$AV$7:$AV$3006,0))&amp;IF(INDEX('CARNET DE SOUDURE'!$AI$7:$AI$3006,MATCH(124,'CARNET DE SOUDURE'!$AV$7:$AV$3006,0))&lt;&gt;""," / "&amp;INDEX('CARNET DE SOUDURE'!$AI$7:$AI$3006,MATCH(124,'CARNET DE SOUDURE'!$AV$7:$AV$3006,0)),""))</f>
        <v/>
      </c>
      <c r="L135" s="130" t="str">
        <f aca="false">IF($B135="","",INDEX('CARNET DE SOUDURE'!$AG$7:$AG$3006,MATCH(124,'CARNET DE SOUDURE'!$AV$7:$AV$3006,0))&amp;IF(INDEX('CARNET DE SOUDURE'!$AL$7:$AL$3006,MATCH(124,'CARNET DE SOUDURE'!$AV$7:$AV$3006,0))&lt;&gt;""," / "&amp;INDEX('CARNET DE SOUDURE'!$AL$7:$AL$3006,MATCH(124,'CARNET DE SOUDURE'!$AV$7:$AV$3006,0)),""))</f>
        <v/>
      </c>
      <c r="M135" s="132" t="str">
        <f aca="false">IF($B135="","",INDEX('CARNET DE SOUDURE'!$AP$7:$AP$3006,MATCH(124,'CARNET DE SOUDURE'!$AV$7:$AV$3006,0)))</f>
        <v/>
      </c>
      <c r="N135" s="132" t="str">
        <f aca="false">IF($B135="","",INDEX('CARNET DE SOUDURE'!$AQ$7:$AQ$3006,MATCH(124,'CARNET DE SOUDURE'!$AV$7:$AV$3006,0)))</f>
        <v/>
      </c>
      <c r="O135" s="133" t="str">
        <f aca="false">IF($B135="","",INDEX('CARNET DE SOUDURE'!$AR$7:$AR$3006,MATCH(124,'CARNET DE SOUDURE'!$AV$7:$AV$3006,0)))</f>
        <v/>
      </c>
    </row>
    <row r="136" customFormat="false" ht="15" hidden="false" customHeight="false" outlineLevel="0" collapsed="false">
      <c r="B136" s="125" t="str">
        <f aca="false">IF(125&gt;$I$4,"",125)</f>
        <v/>
      </c>
      <c r="C136" s="125" t="str">
        <f aca="false">IF($B136="","",INDEX('CARNET DE SOUDURE'!$B$7:$B$3006,MATCH(125,'CARNET DE SOUDURE'!$AV$7:$AV$3006,0)))</f>
        <v/>
      </c>
      <c r="D136" s="125" t="str">
        <f aca="false">IF($B136="","",INDEX('CARNET DE SOUDURE'!$E$7:$E$3006,MATCH(125,'CARNET DE SOUDURE'!$AV$7:$AV$3006,0)))</f>
        <v/>
      </c>
      <c r="E136" s="125" t="str">
        <f aca="false">IF($B136="","",INDEX('CARNET DE SOUDURE'!$R$7:$R$3006,MATCH(125,'CARNET DE SOUDURE'!$AV$7:$AV$3006,0))&amp;IF(INDEX('CARNET DE SOUDURE'!$S$7:$S$3006,MATCH(125,'CARNET DE SOUDURE'!$AV$7:$AV$3006,0))&lt;&gt;""," / "&amp;INDEX('CARNET DE SOUDURE'!$S$7:$S$3006,MATCH(125,'CARNET DE SOUDURE'!$AV$7:$AV$3006,0)),"")&amp;IF(INDEX('CARNET DE SOUDURE'!$T$7:$T$3006,MATCH(125,'CARNET DE SOUDURE'!$AV$7:$AV$3006,0))&lt;&gt;""," / "&amp;INDEX('CARNET DE SOUDURE'!$T$7:$T$3006,MATCH(125,'CARNET DE SOUDURE'!$AV$7:$AV$3006,0)),""))</f>
        <v/>
      </c>
      <c r="F136" s="126" t="str">
        <f aca="false">IF($B136="","",INDEX('CARNET DE SOUDURE'!$Y$7:$Y$3006,MATCH(125,'CARNET DE SOUDURE'!$AV$7:$AV$3006,0)))</f>
        <v/>
      </c>
      <c r="G136" s="125" t="str">
        <f aca="false">IF($B136="","",INDEX('CARNET DE SOUDURE'!$Z$7:$Z$3006,MATCH(125,'CARNET DE SOUDURE'!$AV$7:$AV$3006,0))&amp;"")</f>
        <v/>
      </c>
      <c r="H136" s="127" t="str">
        <f aca="false">IF($B136="","",INDEX('CARNET DE SOUDURE'!$AA$7:$AA$3006,MATCH(125,'CARNET DE SOUDURE'!$AV$7:$AV$3006,0)))</f>
        <v/>
      </c>
      <c r="I136" s="125" t="str">
        <f aca="false">IF($B136="","",INDEX('CARNET DE SOUDURE'!$AB$7:$AB$3006,MATCH(125,'CARNET DE SOUDURE'!$AV$7:$AV$3006,0))&amp;"")</f>
        <v/>
      </c>
      <c r="J136" s="125" t="str">
        <f aca="false">IF($B136="","",INDEX('CARNET DE SOUDURE'!$AC$7:$AC$3006,MATCH(125,'CARNET DE SOUDURE'!$AV$7:$AV$3006,0))&amp;IF(INDEX('CARNET DE SOUDURE'!$AH$7:$AH$3006,MATCH(125,'CARNET DE SOUDURE'!$AV$7:$AV$3006,0))&lt;&gt;""," / "&amp;INDEX('CARNET DE SOUDURE'!$AH$7:$AH$3006,MATCH(125,'CARNET DE SOUDURE'!$AV$7:$AV$3006,0)),""))</f>
        <v/>
      </c>
      <c r="K136" s="125" t="str">
        <f aca="false">IF($B136="","",INDEX('CARNET DE SOUDURE'!$AD$7:$AD$3006,MATCH(125,'CARNET DE SOUDURE'!$AV$7:$AV$3006,0))&amp;IF(INDEX('CARNET DE SOUDURE'!$AI$7:$AI$3006,MATCH(125,'CARNET DE SOUDURE'!$AV$7:$AV$3006,0))&lt;&gt;""," / "&amp;INDEX('CARNET DE SOUDURE'!$AI$7:$AI$3006,MATCH(125,'CARNET DE SOUDURE'!$AV$7:$AV$3006,0)),""))</f>
        <v/>
      </c>
      <c r="L136" s="125" t="str">
        <f aca="false">IF($B136="","",INDEX('CARNET DE SOUDURE'!$AG$7:$AG$3006,MATCH(125,'CARNET DE SOUDURE'!$AV$7:$AV$3006,0))&amp;IF(INDEX('CARNET DE SOUDURE'!$AL$7:$AL$3006,MATCH(125,'CARNET DE SOUDURE'!$AV$7:$AV$3006,0))&lt;&gt;""," / "&amp;INDEX('CARNET DE SOUDURE'!$AL$7:$AL$3006,MATCH(125,'CARNET DE SOUDURE'!$AV$7:$AV$3006,0)),""))</f>
        <v/>
      </c>
      <c r="M136" s="127" t="str">
        <f aca="false">IF($B136="","",INDEX('CARNET DE SOUDURE'!$AP$7:$AP$3006,MATCH(125,'CARNET DE SOUDURE'!$AV$7:$AV$3006,0)))</f>
        <v/>
      </c>
      <c r="N136" s="127" t="str">
        <f aca="false">IF($B136="","",INDEX('CARNET DE SOUDURE'!$AQ$7:$AQ$3006,MATCH(125,'CARNET DE SOUDURE'!$AV$7:$AV$3006,0)))</f>
        <v/>
      </c>
      <c r="O136" s="128" t="str">
        <f aca="false">IF($B136="","",INDEX('CARNET DE SOUDURE'!$AR$7:$AR$3006,MATCH(125,'CARNET DE SOUDURE'!$AV$7:$AV$3006,0)))</f>
        <v/>
      </c>
    </row>
    <row r="137" customFormat="false" ht="15" hidden="false" customHeight="false" outlineLevel="0" collapsed="false">
      <c r="B137" s="130" t="str">
        <f aca="false">IF(126&gt;$I$4,"",126)</f>
        <v/>
      </c>
      <c r="C137" s="130" t="str">
        <f aca="false">IF($B137="","",INDEX('CARNET DE SOUDURE'!$B$7:$B$3006,MATCH(126,'CARNET DE SOUDURE'!$AV$7:$AV$3006,0)))</f>
        <v/>
      </c>
      <c r="D137" s="130" t="str">
        <f aca="false">IF($B137="","",INDEX('CARNET DE SOUDURE'!$E$7:$E$3006,MATCH(126,'CARNET DE SOUDURE'!$AV$7:$AV$3006,0)))</f>
        <v/>
      </c>
      <c r="E137" s="130" t="str">
        <f aca="false">IF($B137="","",INDEX('CARNET DE SOUDURE'!$R$7:$R$3006,MATCH(126,'CARNET DE SOUDURE'!$AV$7:$AV$3006,0))&amp;IF(INDEX('CARNET DE SOUDURE'!$S$7:$S$3006,MATCH(126,'CARNET DE SOUDURE'!$AV$7:$AV$3006,0))&lt;&gt;""," / "&amp;INDEX('CARNET DE SOUDURE'!$S$7:$S$3006,MATCH(126,'CARNET DE SOUDURE'!$AV$7:$AV$3006,0)),"")&amp;IF(INDEX('CARNET DE SOUDURE'!$T$7:$T$3006,MATCH(126,'CARNET DE SOUDURE'!$AV$7:$AV$3006,0))&lt;&gt;""," / "&amp;INDEX('CARNET DE SOUDURE'!$T$7:$T$3006,MATCH(126,'CARNET DE SOUDURE'!$AV$7:$AV$3006,0)),""))</f>
        <v/>
      </c>
      <c r="F137" s="131" t="str">
        <f aca="false">IF($B137="","",INDEX('CARNET DE SOUDURE'!$Y$7:$Y$3006,MATCH(126,'CARNET DE SOUDURE'!$AV$7:$AV$3006,0)))</f>
        <v/>
      </c>
      <c r="G137" s="130" t="str">
        <f aca="false">IF($B137="","",INDEX('CARNET DE SOUDURE'!$Z$7:$Z$3006,MATCH(126,'CARNET DE SOUDURE'!$AV$7:$AV$3006,0))&amp;"")</f>
        <v/>
      </c>
      <c r="H137" s="132" t="str">
        <f aca="false">IF($B137="","",INDEX('CARNET DE SOUDURE'!$AA$7:$AA$3006,MATCH(126,'CARNET DE SOUDURE'!$AV$7:$AV$3006,0)))</f>
        <v/>
      </c>
      <c r="I137" s="130" t="str">
        <f aca="false">IF($B137="","",INDEX('CARNET DE SOUDURE'!$AB$7:$AB$3006,MATCH(126,'CARNET DE SOUDURE'!$AV$7:$AV$3006,0))&amp;"")</f>
        <v/>
      </c>
      <c r="J137" s="130" t="str">
        <f aca="false">IF($B137="","",INDEX('CARNET DE SOUDURE'!$AC$7:$AC$3006,MATCH(126,'CARNET DE SOUDURE'!$AV$7:$AV$3006,0))&amp;IF(INDEX('CARNET DE SOUDURE'!$AH$7:$AH$3006,MATCH(126,'CARNET DE SOUDURE'!$AV$7:$AV$3006,0))&lt;&gt;""," / "&amp;INDEX('CARNET DE SOUDURE'!$AH$7:$AH$3006,MATCH(126,'CARNET DE SOUDURE'!$AV$7:$AV$3006,0)),""))</f>
        <v/>
      </c>
      <c r="K137" s="130" t="str">
        <f aca="false">IF($B137="","",INDEX('CARNET DE SOUDURE'!$AD$7:$AD$3006,MATCH(126,'CARNET DE SOUDURE'!$AV$7:$AV$3006,0))&amp;IF(INDEX('CARNET DE SOUDURE'!$AI$7:$AI$3006,MATCH(126,'CARNET DE SOUDURE'!$AV$7:$AV$3006,0))&lt;&gt;""," / "&amp;INDEX('CARNET DE SOUDURE'!$AI$7:$AI$3006,MATCH(126,'CARNET DE SOUDURE'!$AV$7:$AV$3006,0)),""))</f>
        <v/>
      </c>
      <c r="L137" s="130" t="str">
        <f aca="false">IF($B137="","",INDEX('CARNET DE SOUDURE'!$AG$7:$AG$3006,MATCH(126,'CARNET DE SOUDURE'!$AV$7:$AV$3006,0))&amp;IF(INDEX('CARNET DE SOUDURE'!$AL$7:$AL$3006,MATCH(126,'CARNET DE SOUDURE'!$AV$7:$AV$3006,0))&lt;&gt;""," / "&amp;INDEX('CARNET DE SOUDURE'!$AL$7:$AL$3006,MATCH(126,'CARNET DE SOUDURE'!$AV$7:$AV$3006,0)),""))</f>
        <v/>
      </c>
      <c r="M137" s="132" t="str">
        <f aca="false">IF($B137="","",INDEX('CARNET DE SOUDURE'!$AP$7:$AP$3006,MATCH(126,'CARNET DE SOUDURE'!$AV$7:$AV$3006,0)))</f>
        <v/>
      </c>
      <c r="N137" s="132" t="str">
        <f aca="false">IF($B137="","",INDEX('CARNET DE SOUDURE'!$AQ$7:$AQ$3006,MATCH(126,'CARNET DE SOUDURE'!$AV$7:$AV$3006,0)))</f>
        <v/>
      </c>
      <c r="O137" s="133" t="str">
        <f aca="false">IF($B137="","",INDEX('CARNET DE SOUDURE'!$AR$7:$AR$3006,MATCH(126,'CARNET DE SOUDURE'!$AV$7:$AV$3006,0)))</f>
        <v/>
      </c>
    </row>
    <row r="138" customFormat="false" ht="15" hidden="false" customHeight="false" outlineLevel="0" collapsed="false">
      <c r="B138" s="125" t="str">
        <f aca="false">IF(127&gt;$I$4,"",127)</f>
        <v/>
      </c>
      <c r="C138" s="125" t="str">
        <f aca="false">IF($B138="","",INDEX('CARNET DE SOUDURE'!$B$7:$B$3006,MATCH(127,'CARNET DE SOUDURE'!$AV$7:$AV$3006,0)))</f>
        <v/>
      </c>
      <c r="D138" s="125" t="str">
        <f aca="false">IF($B138="","",INDEX('CARNET DE SOUDURE'!$E$7:$E$3006,MATCH(127,'CARNET DE SOUDURE'!$AV$7:$AV$3006,0)))</f>
        <v/>
      </c>
      <c r="E138" s="125" t="str">
        <f aca="false">IF($B138="","",INDEX('CARNET DE SOUDURE'!$R$7:$R$3006,MATCH(127,'CARNET DE SOUDURE'!$AV$7:$AV$3006,0))&amp;IF(INDEX('CARNET DE SOUDURE'!$S$7:$S$3006,MATCH(127,'CARNET DE SOUDURE'!$AV$7:$AV$3006,0))&lt;&gt;""," / "&amp;INDEX('CARNET DE SOUDURE'!$S$7:$S$3006,MATCH(127,'CARNET DE SOUDURE'!$AV$7:$AV$3006,0)),"")&amp;IF(INDEX('CARNET DE SOUDURE'!$T$7:$T$3006,MATCH(127,'CARNET DE SOUDURE'!$AV$7:$AV$3006,0))&lt;&gt;""," / "&amp;INDEX('CARNET DE SOUDURE'!$T$7:$T$3006,MATCH(127,'CARNET DE SOUDURE'!$AV$7:$AV$3006,0)),""))</f>
        <v/>
      </c>
      <c r="F138" s="126" t="str">
        <f aca="false">IF($B138="","",INDEX('CARNET DE SOUDURE'!$Y$7:$Y$3006,MATCH(127,'CARNET DE SOUDURE'!$AV$7:$AV$3006,0)))</f>
        <v/>
      </c>
      <c r="G138" s="125" t="str">
        <f aca="false">IF($B138="","",INDEX('CARNET DE SOUDURE'!$Z$7:$Z$3006,MATCH(127,'CARNET DE SOUDURE'!$AV$7:$AV$3006,0))&amp;"")</f>
        <v/>
      </c>
      <c r="H138" s="127" t="str">
        <f aca="false">IF($B138="","",INDEX('CARNET DE SOUDURE'!$AA$7:$AA$3006,MATCH(127,'CARNET DE SOUDURE'!$AV$7:$AV$3006,0)))</f>
        <v/>
      </c>
      <c r="I138" s="125" t="str">
        <f aca="false">IF($B138="","",INDEX('CARNET DE SOUDURE'!$AB$7:$AB$3006,MATCH(127,'CARNET DE SOUDURE'!$AV$7:$AV$3006,0))&amp;"")</f>
        <v/>
      </c>
      <c r="J138" s="125" t="str">
        <f aca="false">IF($B138="","",INDEX('CARNET DE SOUDURE'!$AC$7:$AC$3006,MATCH(127,'CARNET DE SOUDURE'!$AV$7:$AV$3006,0))&amp;IF(INDEX('CARNET DE SOUDURE'!$AH$7:$AH$3006,MATCH(127,'CARNET DE SOUDURE'!$AV$7:$AV$3006,0))&lt;&gt;""," / "&amp;INDEX('CARNET DE SOUDURE'!$AH$7:$AH$3006,MATCH(127,'CARNET DE SOUDURE'!$AV$7:$AV$3006,0)),""))</f>
        <v/>
      </c>
      <c r="K138" s="125" t="str">
        <f aca="false">IF($B138="","",INDEX('CARNET DE SOUDURE'!$AD$7:$AD$3006,MATCH(127,'CARNET DE SOUDURE'!$AV$7:$AV$3006,0))&amp;IF(INDEX('CARNET DE SOUDURE'!$AI$7:$AI$3006,MATCH(127,'CARNET DE SOUDURE'!$AV$7:$AV$3006,0))&lt;&gt;""," / "&amp;INDEX('CARNET DE SOUDURE'!$AI$7:$AI$3006,MATCH(127,'CARNET DE SOUDURE'!$AV$7:$AV$3006,0)),""))</f>
        <v/>
      </c>
      <c r="L138" s="125" t="str">
        <f aca="false">IF($B138="","",INDEX('CARNET DE SOUDURE'!$AG$7:$AG$3006,MATCH(127,'CARNET DE SOUDURE'!$AV$7:$AV$3006,0))&amp;IF(INDEX('CARNET DE SOUDURE'!$AL$7:$AL$3006,MATCH(127,'CARNET DE SOUDURE'!$AV$7:$AV$3006,0))&lt;&gt;""," / "&amp;INDEX('CARNET DE SOUDURE'!$AL$7:$AL$3006,MATCH(127,'CARNET DE SOUDURE'!$AV$7:$AV$3006,0)),""))</f>
        <v/>
      </c>
      <c r="M138" s="127" t="str">
        <f aca="false">IF($B138="","",INDEX('CARNET DE SOUDURE'!$AP$7:$AP$3006,MATCH(127,'CARNET DE SOUDURE'!$AV$7:$AV$3006,0)))</f>
        <v/>
      </c>
      <c r="N138" s="127" t="str">
        <f aca="false">IF($B138="","",INDEX('CARNET DE SOUDURE'!$AQ$7:$AQ$3006,MATCH(127,'CARNET DE SOUDURE'!$AV$7:$AV$3006,0)))</f>
        <v/>
      </c>
      <c r="O138" s="128" t="str">
        <f aca="false">IF($B138="","",INDEX('CARNET DE SOUDURE'!$AR$7:$AR$3006,MATCH(127,'CARNET DE SOUDURE'!$AV$7:$AV$3006,0)))</f>
        <v/>
      </c>
    </row>
    <row r="139" customFormat="false" ht="15" hidden="false" customHeight="false" outlineLevel="0" collapsed="false">
      <c r="B139" s="130" t="str">
        <f aca="false">IF(128&gt;$I$4,"",128)</f>
        <v/>
      </c>
      <c r="C139" s="130" t="str">
        <f aca="false">IF($B139="","",INDEX('CARNET DE SOUDURE'!$B$7:$B$3006,MATCH(128,'CARNET DE SOUDURE'!$AV$7:$AV$3006,0)))</f>
        <v/>
      </c>
      <c r="D139" s="130" t="str">
        <f aca="false">IF($B139="","",INDEX('CARNET DE SOUDURE'!$E$7:$E$3006,MATCH(128,'CARNET DE SOUDURE'!$AV$7:$AV$3006,0)))</f>
        <v/>
      </c>
      <c r="E139" s="130" t="str">
        <f aca="false">IF($B139="","",INDEX('CARNET DE SOUDURE'!$R$7:$R$3006,MATCH(128,'CARNET DE SOUDURE'!$AV$7:$AV$3006,0))&amp;IF(INDEX('CARNET DE SOUDURE'!$S$7:$S$3006,MATCH(128,'CARNET DE SOUDURE'!$AV$7:$AV$3006,0))&lt;&gt;""," / "&amp;INDEX('CARNET DE SOUDURE'!$S$7:$S$3006,MATCH(128,'CARNET DE SOUDURE'!$AV$7:$AV$3006,0)),"")&amp;IF(INDEX('CARNET DE SOUDURE'!$T$7:$T$3006,MATCH(128,'CARNET DE SOUDURE'!$AV$7:$AV$3006,0))&lt;&gt;""," / "&amp;INDEX('CARNET DE SOUDURE'!$T$7:$T$3006,MATCH(128,'CARNET DE SOUDURE'!$AV$7:$AV$3006,0)),""))</f>
        <v/>
      </c>
      <c r="F139" s="131" t="str">
        <f aca="false">IF($B139="","",INDEX('CARNET DE SOUDURE'!$Y$7:$Y$3006,MATCH(128,'CARNET DE SOUDURE'!$AV$7:$AV$3006,0)))</f>
        <v/>
      </c>
      <c r="G139" s="130" t="str">
        <f aca="false">IF($B139="","",INDEX('CARNET DE SOUDURE'!$Z$7:$Z$3006,MATCH(128,'CARNET DE SOUDURE'!$AV$7:$AV$3006,0))&amp;"")</f>
        <v/>
      </c>
      <c r="H139" s="132" t="str">
        <f aca="false">IF($B139="","",INDEX('CARNET DE SOUDURE'!$AA$7:$AA$3006,MATCH(128,'CARNET DE SOUDURE'!$AV$7:$AV$3006,0)))</f>
        <v/>
      </c>
      <c r="I139" s="130" t="str">
        <f aca="false">IF($B139="","",INDEX('CARNET DE SOUDURE'!$AB$7:$AB$3006,MATCH(128,'CARNET DE SOUDURE'!$AV$7:$AV$3006,0))&amp;"")</f>
        <v/>
      </c>
      <c r="J139" s="130" t="str">
        <f aca="false">IF($B139="","",INDEX('CARNET DE SOUDURE'!$AC$7:$AC$3006,MATCH(128,'CARNET DE SOUDURE'!$AV$7:$AV$3006,0))&amp;IF(INDEX('CARNET DE SOUDURE'!$AH$7:$AH$3006,MATCH(128,'CARNET DE SOUDURE'!$AV$7:$AV$3006,0))&lt;&gt;""," / "&amp;INDEX('CARNET DE SOUDURE'!$AH$7:$AH$3006,MATCH(128,'CARNET DE SOUDURE'!$AV$7:$AV$3006,0)),""))</f>
        <v/>
      </c>
      <c r="K139" s="130" t="str">
        <f aca="false">IF($B139="","",INDEX('CARNET DE SOUDURE'!$AD$7:$AD$3006,MATCH(128,'CARNET DE SOUDURE'!$AV$7:$AV$3006,0))&amp;IF(INDEX('CARNET DE SOUDURE'!$AI$7:$AI$3006,MATCH(128,'CARNET DE SOUDURE'!$AV$7:$AV$3006,0))&lt;&gt;""," / "&amp;INDEX('CARNET DE SOUDURE'!$AI$7:$AI$3006,MATCH(128,'CARNET DE SOUDURE'!$AV$7:$AV$3006,0)),""))</f>
        <v/>
      </c>
      <c r="L139" s="130" t="str">
        <f aca="false">IF($B139="","",INDEX('CARNET DE SOUDURE'!$AG$7:$AG$3006,MATCH(128,'CARNET DE SOUDURE'!$AV$7:$AV$3006,0))&amp;IF(INDEX('CARNET DE SOUDURE'!$AL$7:$AL$3006,MATCH(128,'CARNET DE SOUDURE'!$AV$7:$AV$3006,0))&lt;&gt;""," / "&amp;INDEX('CARNET DE SOUDURE'!$AL$7:$AL$3006,MATCH(128,'CARNET DE SOUDURE'!$AV$7:$AV$3006,0)),""))</f>
        <v/>
      </c>
      <c r="M139" s="132" t="str">
        <f aca="false">IF($B139="","",INDEX('CARNET DE SOUDURE'!$AP$7:$AP$3006,MATCH(128,'CARNET DE SOUDURE'!$AV$7:$AV$3006,0)))</f>
        <v/>
      </c>
      <c r="N139" s="132" t="str">
        <f aca="false">IF($B139="","",INDEX('CARNET DE SOUDURE'!$AQ$7:$AQ$3006,MATCH(128,'CARNET DE SOUDURE'!$AV$7:$AV$3006,0)))</f>
        <v/>
      </c>
      <c r="O139" s="133" t="str">
        <f aca="false">IF($B139="","",INDEX('CARNET DE SOUDURE'!$AR$7:$AR$3006,MATCH(128,'CARNET DE SOUDURE'!$AV$7:$AV$3006,0)))</f>
        <v/>
      </c>
    </row>
    <row r="140" customFormat="false" ht="15" hidden="false" customHeight="false" outlineLevel="0" collapsed="false">
      <c r="B140" s="125" t="str">
        <f aca="false">IF(129&gt;$I$4,"",129)</f>
        <v/>
      </c>
      <c r="C140" s="125" t="str">
        <f aca="false">IF($B140="","",INDEX('CARNET DE SOUDURE'!$B$7:$B$3006,MATCH(129,'CARNET DE SOUDURE'!$AV$7:$AV$3006,0)))</f>
        <v/>
      </c>
      <c r="D140" s="125" t="str">
        <f aca="false">IF($B140="","",INDEX('CARNET DE SOUDURE'!$E$7:$E$3006,MATCH(129,'CARNET DE SOUDURE'!$AV$7:$AV$3006,0)))</f>
        <v/>
      </c>
      <c r="E140" s="125" t="str">
        <f aca="false">IF($B140="","",INDEX('CARNET DE SOUDURE'!$R$7:$R$3006,MATCH(129,'CARNET DE SOUDURE'!$AV$7:$AV$3006,0))&amp;IF(INDEX('CARNET DE SOUDURE'!$S$7:$S$3006,MATCH(129,'CARNET DE SOUDURE'!$AV$7:$AV$3006,0))&lt;&gt;""," / "&amp;INDEX('CARNET DE SOUDURE'!$S$7:$S$3006,MATCH(129,'CARNET DE SOUDURE'!$AV$7:$AV$3006,0)),"")&amp;IF(INDEX('CARNET DE SOUDURE'!$T$7:$T$3006,MATCH(129,'CARNET DE SOUDURE'!$AV$7:$AV$3006,0))&lt;&gt;""," / "&amp;INDEX('CARNET DE SOUDURE'!$T$7:$T$3006,MATCH(129,'CARNET DE SOUDURE'!$AV$7:$AV$3006,0)),""))</f>
        <v/>
      </c>
      <c r="F140" s="126" t="str">
        <f aca="false">IF($B140="","",INDEX('CARNET DE SOUDURE'!$Y$7:$Y$3006,MATCH(129,'CARNET DE SOUDURE'!$AV$7:$AV$3006,0)))</f>
        <v/>
      </c>
      <c r="G140" s="125" t="str">
        <f aca="false">IF($B140="","",INDEX('CARNET DE SOUDURE'!$Z$7:$Z$3006,MATCH(129,'CARNET DE SOUDURE'!$AV$7:$AV$3006,0))&amp;"")</f>
        <v/>
      </c>
      <c r="H140" s="127" t="str">
        <f aca="false">IF($B140="","",INDEX('CARNET DE SOUDURE'!$AA$7:$AA$3006,MATCH(129,'CARNET DE SOUDURE'!$AV$7:$AV$3006,0)))</f>
        <v/>
      </c>
      <c r="I140" s="125" t="str">
        <f aca="false">IF($B140="","",INDEX('CARNET DE SOUDURE'!$AB$7:$AB$3006,MATCH(129,'CARNET DE SOUDURE'!$AV$7:$AV$3006,0))&amp;"")</f>
        <v/>
      </c>
      <c r="J140" s="125" t="str">
        <f aca="false">IF($B140="","",INDEX('CARNET DE SOUDURE'!$AC$7:$AC$3006,MATCH(129,'CARNET DE SOUDURE'!$AV$7:$AV$3006,0))&amp;IF(INDEX('CARNET DE SOUDURE'!$AH$7:$AH$3006,MATCH(129,'CARNET DE SOUDURE'!$AV$7:$AV$3006,0))&lt;&gt;""," / "&amp;INDEX('CARNET DE SOUDURE'!$AH$7:$AH$3006,MATCH(129,'CARNET DE SOUDURE'!$AV$7:$AV$3006,0)),""))</f>
        <v/>
      </c>
      <c r="K140" s="125" t="str">
        <f aca="false">IF($B140="","",INDEX('CARNET DE SOUDURE'!$AD$7:$AD$3006,MATCH(129,'CARNET DE SOUDURE'!$AV$7:$AV$3006,0))&amp;IF(INDEX('CARNET DE SOUDURE'!$AI$7:$AI$3006,MATCH(129,'CARNET DE SOUDURE'!$AV$7:$AV$3006,0))&lt;&gt;""," / "&amp;INDEX('CARNET DE SOUDURE'!$AI$7:$AI$3006,MATCH(129,'CARNET DE SOUDURE'!$AV$7:$AV$3006,0)),""))</f>
        <v/>
      </c>
      <c r="L140" s="125" t="str">
        <f aca="false">IF($B140="","",INDEX('CARNET DE SOUDURE'!$AG$7:$AG$3006,MATCH(129,'CARNET DE SOUDURE'!$AV$7:$AV$3006,0))&amp;IF(INDEX('CARNET DE SOUDURE'!$AL$7:$AL$3006,MATCH(129,'CARNET DE SOUDURE'!$AV$7:$AV$3006,0))&lt;&gt;""," / "&amp;INDEX('CARNET DE SOUDURE'!$AL$7:$AL$3006,MATCH(129,'CARNET DE SOUDURE'!$AV$7:$AV$3006,0)),""))</f>
        <v/>
      </c>
      <c r="M140" s="127" t="str">
        <f aca="false">IF($B140="","",INDEX('CARNET DE SOUDURE'!$AP$7:$AP$3006,MATCH(129,'CARNET DE SOUDURE'!$AV$7:$AV$3006,0)))</f>
        <v/>
      </c>
      <c r="N140" s="127" t="str">
        <f aca="false">IF($B140="","",INDEX('CARNET DE SOUDURE'!$AQ$7:$AQ$3006,MATCH(129,'CARNET DE SOUDURE'!$AV$7:$AV$3006,0)))</f>
        <v/>
      </c>
      <c r="O140" s="128" t="str">
        <f aca="false">IF($B140="","",INDEX('CARNET DE SOUDURE'!$AR$7:$AR$3006,MATCH(129,'CARNET DE SOUDURE'!$AV$7:$AV$3006,0)))</f>
        <v/>
      </c>
    </row>
    <row r="141" customFormat="false" ht="15" hidden="false" customHeight="false" outlineLevel="0" collapsed="false">
      <c r="B141" s="130" t="str">
        <f aca="false">IF(130&gt;$I$4,"",130)</f>
        <v/>
      </c>
      <c r="C141" s="130" t="str">
        <f aca="false">IF($B141="","",INDEX('CARNET DE SOUDURE'!$B$7:$B$3006,MATCH(130,'CARNET DE SOUDURE'!$AV$7:$AV$3006,0)))</f>
        <v/>
      </c>
      <c r="D141" s="130" t="str">
        <f aca="false">IF($B141="","",INDEX('CARNET DE SOUDURE'!$E$7:$E$3006,MATCH(130,'CARNET DE SOUDURE'!$AV$7:$AV$3006,0)))</f>
        <v/>
      </c>
      <c r="E141" s="130" t="str">
        <f aca="false">IF($B141="","",INDEX('CARNET DE SOUDURE'!$R$7:$R$3006,MATCH(130,'CARNET DE SOUDURE'!$AV$7:$AV$3006,0))&amp;IF(INDEX('CARNET DE SOUDURE'!$S$7:$S$3006,MATCH(130,'CARNET DE SOUDURE'!$AV$7:$AV$3006,0))&lt;&gt;""," / "&amp;INDEX('CARNET DE SOUDURE'!$S$7:$S$3006,MATCH(130,'CARNET DE SOUDURE'!$AV$7:$AV$3006,0)),"")&amp;IF(INDEX('CARNET DE SOUDURE'!$T$7:$T$3006,MATCH(130,'CARNET DE SOUDURE'!$AV$7:$AV$3006,0))&lt;&gt;""," / "&amp;INDEX('CARNET DE SOUDURE'!$T$7:$T$3006,MATCH(130,'CARNET DE SOUDURE'!$AV$7:$AV$3006,0)),""))</f>
        <v/>
      </c>
      <c r="F141" s="131" t="str">
        <f aca="false">IF($B141="","",INDEX('CARNET DE SOUDURE'!$Y$7:$Y$3006,MATCH(130,'CARNET DE SOUDURE'!$AV$7:$AV$3006,0)))</f>
        <v/>
      </c>
      <c r="G141" s="130" t="str">
        <f aca="false">IF($B141="","",INDEX('CARNET DE SOUDURE'!$Z$7:$Z$3006,MATCH(130,'CARNET DE SOUDURE'!$AV$7:$AV$3006,0))&amp;"")</f>
        <v/>
      </c>
      <c r="H141" s="132" t="str">
        <f aca="false">IF($B141="","",INDEX('CARNET DE SOUDURE'!$AA$7:$AA$3006,MATCH(130,'CARNET DE SOUDURE'!$AV$7:$AV$3006,0)))</f>
        <v/>
      </c>
      <c r="I141" s="130" t="str">
        <f aca="false">IF($B141="","",INDEX('CARNET DE SOUDURE'!$AB$7:$AB$3006,MATCH(130,'CARNET DE SOUDURE'!$AV$7:$AV$3006,0))&amp;"")</f>
        <v/>
      </c>
      <c r="J141" s="130" t="str">
        <f aca="false">IF($B141="","",INDEX('CARNET DE SOUDURE'!$AC$7:$AC$3006,MATCH(130,'CARNET DE SOUDURE'!$AV$7:$AV$3006,0))&amp;IF(INDEX('CARNET DE SOUDURE'!$AH$7:$AH$3006,MATCH(130,'CARNET DE SOUDURE'!$AV$7:$AV$3006,0))&lt;&gt;""," / "&amp;INDEX('CARNET DE SOUDURE'!$AH$7:$AH$3006,MATCH(130,'CARNET DE SOUDURE'!$AV$7:$AV$3006,0)),""))</f>
        <v/>
      </c>
      <c r="K141" s="130" t="str">
        <f aca="false">IF($B141="","",INDEX('CARNET DE SOUDURE'!$AD$7:$AD$3006,MATCH(130,'CARNET DE SOUDURE'!$AV$7:$AV$3006,0))&amp;IF(INDEX('CARNET DE SOUDURE'!$AI$7:$AI$3006,MATCH(130,'CARNET DE SOUDURE'!$AV$7:$AV$3006,0))&lt;&gt;""," / "&amp;INDEX('CARNET DE SOUDURE'!$AI$7:$AI$3006,MATCH(130,'CARNET DE SOUDURE'!$AV$7:$AV$3006,0)),""))</f>
        <v/>
      </c>
      <c r="L141" s="130" t="str">
        <f aca="false">IF($B141="","",INDEX('CARNET DE SOUDURE'!$AG$7:$AG$3006,MATCH(130,'CARNET DE SOUDURE'!$AV$7:$AV$3006,0))&amp;IF(INDEX('CARNET DE SOUDURE'!$AL$7:$AL$3006,MATCH(130,'CARNET DE SOUDURE'!$AV$7:$AV$3006,0))&lt;&gt;""," / "&amp;INDEX('CARNET DE SOUDURE'!$AL$7:$AL$3006,MATCH(130,'CARNET DE SOUDURE'!$AV$7:$AV$3006,0)),""))</f>
        <v/>
      </c>
      <c r="M141" s="132" t="str">
        <f aca="false">IF($B141="","",INDEX('CARNET DE SOUDURE'!$AP$7:$AP$3006,MATCH(130,'CARNET DE SOUDURE'!$AV$7:$AV$3006,0)))</f>
        <v/>
      </c>
      <c r="N141" s="132" t="str">
        <f aca="false">IF($B141="","",INDEX('CARNET DE SOUDURE'!$AQ$7:$AQ$3006,MATCH(130,'CARNET DE SOUDURE'!$AV$7:$AV$3006,0)))</f>
        <v/>
      </c>
      <c r="O141" s="133" t="str">
        <f aca="false">IF($B141="","",INDEX('CARNET DE SOUDURE'!$AR$7:$AR$3006,MATCH(130,'CARNET DE SOUDURE'!$AV$7:$AV$3006,0)))</f>
        <v/>
      </c>
    </row>
    <row r="142" customFormat="false" ht="15" hidden="false" customHeight="false" outlineLevel="0" collapsed="false">
      <c r="B142" s="125" t="str">
        <f aca="false">IF(131&gt;$I$4,"",131)</f>
        <v/>
      </c>
      <c r="C142" s="125" t="str">
        <f aca="false">IF($B142="","",INDEX('CARNET DE SOUDURE'!$B$7:$B$3006,MATCH(131,'CARNET DE SOUDURE'!$AV$7:$AV$3006,0)))</f>
        <v/>
      </c>
      <c r="D142" s="125" t="str">
        <f aca="false">IF($B142="","",INDEX('CARNET DE SOUDURE'!$E$7:$E$3006,MATCH(131,'CARNET DE SOUDURE'!$AV$7:$AV$3006,0)))</f>
        <v/>
      </c>
      <c r="E142" s="125" t="str">
        <f aca="false">IF($B142="","",INDEX('CARNET DE SOUDURE'!$R$7:$R$3006,MATCH(131,'CARNET DE SOUDURE'!$AV$7:$AV$3006,0))&amp;IF(INDEX('CARNET DE SOUDURE'!$S$7:$S$3006,MATCH(131,'CARNET DE SOUDURE'!$AV$7:$AV$3006,0))&lt;&gt;""," / "&amp;INDEX('CARNET DE SOUDURE'!$S$7:$S$3006,MATCH(131,'CARNET DE SOUDURE'!$AV$7:$AV$3006,0)),"")&amp;IF(INDEX('CARNET DE SOUDURE'!$T$7:$T$3006,MATCH(131,'CARNET DE SOUDURE'!$AV$7:$AV$3006,0))&lt;&gt;""," / "&amp;INDEX('CARNET DE SOUDURE'!$T$7:$T$3006,MATCH(131,'CARNET DE SOUDURE'!$AV$7:$AV$3006,0)),""))</f>
        <v/>
      </c>
      <c r="F142" s="126" t="str">
        <f aca="false">IF($B142="","",INDEX('CARNET DE SOUDURE'!$Y$7:$Y$3006,MATCH(131,'CARNET DE SOUDURE'!$AV$7:$AV$3006,0)))</f>
        <v/>
      </c>
      <c r="G142" s="125" t="str">
        <f aca="false">IF($B142="","",INDEX('CARNET DE SOUDURE'!$Z$7:$Z$3006,MATCH(131,'CARNET DE SOUDURE'!$AV$7:$AV$3006,0))&amp;"")</f>
        <v/>
      </c>
      <c r="H142" s="127" t="str">
        <f aca="false">IF($B142="","",INDEX('CARNET DE SOUDURE'!$AA$7:$AA$3006,MATCH(131,'CARNET DE SOUDURE'!$AV$7:$AV$3006,0)))</f>
        <v/>
      </c>
      <c r="I142" s="125" t="str">
        <f aca="false">IF($B142="","",INDEX('CARNET DE SOUDURE'!$AB$7:$AB$3006,MATCH(131,'CARNET DE SOUDURE'!$AV$7:$AV$3006,0))&amp;"")</f>
        <v/>
      </c>
      <c r="J142" s="125" t="str">
        <f aca="false">IF($B142="","",INDEX('CARNET DE SOUDURE'!$AC$7:$AC$3006,MATCH(131,'CARNET DE SOUDURE'!$AV$7:$AV$3006,0))&amp;IF(INDEX('CARNET DE SOUDURE'!$AH$7:$AH$3006,MATCH(131,'CARNET DE SOUDURE'!$AV$7:$AV$3006,0))&lt;&gt;""," / "&amp;INDEX('CARNET DE SOUDURE'!$AH$7:$AH$3006,MATCH(131,'CARNET DE SOUDURE'!$AV$7:$AV$3006,0)),""))</f>
        <v/>
      </c>
      <c r="K142" s="125" t="str">
        <f aca="false">IF($B142="","",INDEX('CARNET DE SOUDURE'!$AD$7:$AD$3006,MATCH(131,'CARNET DE SOUDURE'!$AV$7:$AV$3006,0))&amp;IF(INDEX('CARNET DE SOUDURE'!$AI$7:$AI$3006,MATCH(131,'CARNET DE SOUDURE'!$AV$7:$AV$3006,0))&lt;&gt;""," / "&amp;INDEX('CARNET DE SOUDURE'!$AI$7:$AI$3006,MATCH(131,'CARNET DE SOUDURE'!$AV$7:$AV$3006,0)),""))</f>
        <v/>
      </c>
      <c r="L142" s="125" t="str">
        <f aca="false">IF($B142="","",INDEX('CARNET DE SOUDURE'!$AG$7:$AG$3006,MATCH(131,'CARNET DE SOUDURE'!$AV$7:$AV$3006,0))&amp;IF(INDEX('CARNET DE SOUDURE'!$AL$7:$AL$3006,MATCH(131,'CARNET DE SOUDURE'!$AV$7:$AV$3006,0))&lt;&gt;""," / "&amp;INDEX('CARNET DE SOUDURE'!$AL$7:$AL$3006,MATCH(131,'CARNET DE SOUDURE'!$AV$7:$AV$3006,0)),""))</f>
        <v/>
      </c>
      <c r="M142" s="127" t="str">
        <f aca="false">IF($B142="","",INDEX('CARNET DE SOUDURE'!$AP$7:$AP$3006,MATCH(131,'CARNET DE SOUDURE'!$AV$7:$AV$3006,0)))</f>
        <v/>
      </c>
      <c r="N142" s="127" t="str">
        <f aca="false">IF($B142="","",INDEX('CARNET DE SOUDURE'!$AQ$7:$AQ$3006,MATCH(131,'CARNET DE SOUDURE'!$AV$7:$AV$3006,0)))</f>
        <v/>
      </c>
      <c r="O142" s="128" t="str">
        <f aca="false">IF($B142="","",INDEX('CARNET DE SOUDURE'!$AR$7:$AR$3006,MATCH(131,'CARNET DE SOUDURE'!$AV$7:$AV$3006,0)))</f>
        <v/>
      </c>
    </row>
    <row r="143" customFormat="false" ht="15" hidden="false" customHeight="false" outlineLevel="0" collapsed="false">
      <c r="B143" s="130" t="str">
        <f aca="false">IF(132&gt;$I$4,"",132)</f>
        <v/>
      </c>
      <c r="C143" s="130" t="str">
        <f aca="false">IF($B143="","",INDEX('CARNET DE SOUDURE'!$B$7:$B$3006,MATCH(132,'CARNET DE SOUDURE'!$AV$7:$AV$3006,0)))</f>
        <v/>
      </c>
      <c r="D143" s="130" t="str">
        <f aca="false">IF($B143="","",INDEX('CARNET DE SOUDURE'!$E$7:$E$3006,MATCH(132,'CARNET DE SOUDURE'!$AV$7:$AV$3006,0)))</f>
        <v/>
      </c>
      <c r="E143" s="130" t="str">
        <f aca="false">IF($B143="","",INDEX('CARNET DE SOUDURE'!$R$7:$R$3006,MATCH(132,'CARNET DE SOUDURE'!$AV$7:$AV$3006,0))&amp;IF(INDEX('CARNET DE SOUDURE'!$S$7:$S$3006,MATCH(132,'CARNET DE SOUDURE'!$AV$7:$AV$3006,0))&lt;&gt;""," / "&amp;INDEX('CARNET DE SOUDURE'!$S$7:$S$3006,MATCH(132,'CARNET DE SOUDURE'!$AV$7:$AV$3006,0)),"")&amp;IF(INDEX('CARNET DE SOUDURE'!$T$7:$T$3006,MATCH(132,'CARNET DE SOUDURE'!$AV$7:$AV$3006,0))&lt;&gt;""," / "&amp;INDEX('CARNET DE SOUDURE'!$T$7:$T$3006,MATCH(132,'CARNET DE SOUDURE'!$AV$7:$AV$3006,0)),""))</f>
        <v/>
      </c>
      <c r="F143" s="131" t="str">
        <f aca="false">IF($B143="","",INDEX('CARNET DE SOUDURE'!$Y$7:$Y$3006,MATCH(132,'CARNET DE SOUDURE'!$AV$7:$AV$3006,0)))</f>
        <v/>
      </c>
      <c r="G143" s="130" t="str">
        <f aca="false">IF($B143="","",INDEX('CARNET DE SOUDURE'!$Z$7:$Z$3006,MATCH(132,'CARNET DE SOUDURE'!$AV$7:$AV$3006,0))&amp;"")</f>
        <v/>
      </c>
      <c r="H143" s="132" t="str">
        <f aca="false">IF($B143="","",INDEX('CARNET DE SOUDURE'!$AA$7:$AA$3006,MATCH(132,'CARNET DE SOUDURE'!$AV$7:$AV$3006,0)))</f>
        <v/>
      </c>
      <c r="I143" s="130" t="str">
        <f aca="false">IF($B143="","",INDEX('CARNET DE SOUDURE'!$AB$7:$AB$3006,MATCH(132,'CARNET DE SOUDURE'!$AV$7:$AV$3006,0))&amp;"")</f>
        <v/>
      </c>
      <c r="J143" s="130" t="str">
        <f aca="false">IF($B143="","",INDEX('CARNET DE SOUDURE'!$AC$7:$AC$3006,MATCH(132,'CARNET DE SOUDURE'!$AV$7:$AV$3006,0))&amp;IF(INDEX('CARNET DE SOUDURE'!$AH$7:$AH$3006,MATCH(132,'CARNET DE SOUDURE'!$AV$7:$AV$3006,0))&lt;&gt;""," / "&amp;INDEX('CARNET DE SOUDURE'!$AH$7:$AH$3006,MATCH(132,'CARNET DE SOUDURE'!$AV$7:$AV$3006,0)),""))</f>
        <v/>
      </c>
      <c r="K143" s="130" t="str">
        <f aca="false">IF($B143="","",INDEX('CARNET DE SOUDURE'!$AD$7:$AD$3006,MATCH(132,'CARNET DE SOUDURE'!$AV$7:$AV$3006,0))&amp;IF(INDEX('CARNET DE SOUDURE'!$AI$7:$AI$3006,MATCH(132,'CARNET DE SOUDURE'!$AV$7:$AV$3006,0))&lt;&gt;""," / "&amp;INDEX('CARNET DE SOUDURE'!$AI$7:$AI$3006,MATCH(132,'CARNET DE SOUDURE'!$AV$7:$AV$3006,0)),""))</f>
        <v/>
      </c>
      <c r="L143" s="130" t="str">
        <f aca="false">IF($B143="","",INDEX('CARNET DE SOUDURE'!$AG$7:$AG$3006,MATCH(132,'CARNET DE SOUDURE'!$AV$7:$AV$3006,0))&amp;IF(INDEX('CARNET DE SOUDURE'!$AL$7:$AL$3006,MATCH(132,'CARNET DE SOUDURE'!$AV$7:$AV$3006,0))&lt;&gt;""," / "&amp;INDEX('CARNET DE SOUDURE'!$AL$7:$AL$3006,MATCH(132,'CARNET DE SOUDURE'!$AV$7:$AV$3006,0)),""))</f>
        <v/>
      </c>
      <c r="M143" s="132" t="str">
        <f aca="false">IF($B143="","",INDEX('CARNET DE SOUDURE'!$AP$7:$AP$3006,MATCH(132,'CARNET DE SOUDURE'!$AV$7:$AV$3006,0)))</f>
        <v/>
      </c>
      <c r="N143" s="132" t="str">
        <f aca="false">IF($B143="","",INDEX('CARNET DE SOUDURE'!$AQ$7:$AQ$3006,MATCH(132,'CARNET DE SOUDURE'!$AV$7:$AV$3006,0)))</f>
        <v/>
      </c>
      <c r="O143" s="133" t="str">
        <f aca="false">IF($B143="","",INDEX('CARNET DE SOUDURE'!$AR$7:$AR$3006,MATCH(132,'CARNET DE SOUDURE'!$AV$7:$AV$3006,0)))</f>
        <v/>
      </c>
    </row>
    <row r="144" customFormat="false" ht="15" hidden="false" customHeight="false" outlineLevel="0" collapsed="false">
      <c r="B144" s="125" t="str">
        <f aca="false">IF(133&gt;$I$4,"",133)</f>
        <v/>
      </c>
      <c r="C144" s="125" t="str">
        <f aca="false">IF($B144="","",INDEX('CARNET DE SOUDURE'!$B$7:$B$3006,MATCH(133,'CARNET DE SOUDURE'!$AV$7:$AV$3006,0)))</f>
        <v/>
      </c>
      <c r="D144" s="125" t="str">
        <f aca="false">IF($B144="","",INDEX('CARNET DE SOUDURE'!$E$7:$E$3006,MATCH(133,'CARNET DE SOUDURE'!$AV$7:$AV$3006,0)))</f>
        <v/>
      </c>
      <c r="E144" s="125" t="str">
        <f aca="false">IF($B144="","",INDEX('CARNET DE SOUDURE'!$R$7:$R$3006,MATCH(133,'CARNET DE SOUDURE'!$AV$7:$AV$3006,0))&amp;IF(INDEX('CARNET DE SOUDURE'!$S$7:$S$3006,MATCH(133,'CARNET DE SOUDURE'!$AV$7:$AV$3006,0))&lt;&gt;""," / "&amp;INDEX('CARNET DE SOUDURE'!$S$7:$S$3006,MATCH(133,'CARNET DE SOUDURE'!$AV$7:$AV$3006,0)),"")&amp;IF(INDEX('CARNET DE SOUDURE'!$T$7:$T$3006,MATCH(133,'CARNET DE SOUDURE'!$AV$7:$AV$3006,0))&lt;&gt;""," / "&amp;INDEX('CARNET DE SOUDURE'!$T$7:$T$3006,MATCH(133,'CARNET DE SOUDURE'!$AV$7:$AV$3006,0)),""))</f>
        <v/>
      </c>
      <c r="F144" s="126" t="str">
        <f aca="false">IF($B144="","",INDEX('CARNET DE SOUDURE'!$Y$7:$Y$3006,MATCH(133,'CARNET DE SOUDURE'!$AV$7:$AV$3006,0)))</f>
        <v/>
      </c>
      <c r="G144" s="125" t="str">
        <f aca="false">IF($B144="","",INDEX('CARNET DE SOUDURE'!$Z$7:$Z$3006,MATCH(133,'CARNET DE SOUDURE'!$AV$7:$AV$3006,0))&amp;"")</f>
        <v/>
      </c>
      <c r="H144" s="127" t="str">
        <f aca="false">IF($B144="","",INDEX('CARNET DE SOUDURE'!$AA$7:$AA$3006,MATCH(133,'CARNET DE SOUDURE'!$AV$7:$AV$3006,0)))</f>
        <v/>
      </c>
      <c r="I144" s="125" t="str">
        <f aca="false">IF($B144="","",INDEX('CARNET DE SOUDURE'!$AB$7:$AB$3006,MATCH(133,'CARNET DE SOUDURE'!$AV$7:$AV$3006,0))&amp;"")</f>
        <v/>
      </c>
      <c r="J144" s="125" t="str">
        <f aca="false">IF($B144="","",INDEX('CARNET DE SOUDURE'!$AC$7:$AC$3006,MATCH(133,'CARNET DE SOUDURE'!$AV$7:$AV$3006,0))&amp;IF(INDEX('CARNET DE SOUDURE'!$AH$7:$AH$3006,MATCH(133,'CARNET DE SOUDURE'!$AV$7:$AV$3006,0))&lt;&gt;""," / "&amp;INDEX('CARNET DE SOUDURE'!$AH$7:$AH$3006,MATCH(133,'CARNET DE SOUDURE'!$AV$7:$AV$3006,0)),""))</f>
        <v/>
      </c>
      <c r="K144" s="125" t="str">
        <f aca="false">IF($B144="","",INDEX('CARNET DE SOUDURE'!$AD$7:$AD$3006,MATCH(133,'CARNET DE SOUDURE'!$AV$7:$AV$3006,0))&amp;IF(INDEX('CARNET DE SOUDURE'!$AI$7:$AI$3006,MATCH(133,'CARNET DE SOUDURE'!$AV$7:$AV$3006,0))&lt;&gt;""," / "&amp;INDEX('CARNET DE SOUDURE'!$AI$7:$AI$3006,MATCH(133,'CARNET DE SOUDURE'!$AV$7:$AV$3006,0)),""))</f>
        <v/>
      </c>
      <c r="L144" s="125" t="str">
        <f aca="false">IF($B144="","",INDEX('CARNET DE SOUDURE'!$AG$7:$AG$3006,MATCH(133,'CARNET DE SOUDURE'!$AV$7:$AV$3006,0))&amp;IF(INDEX('CARNET DE SOUDURE'!$AL$7:$AL$3006,MATCH(133,'CARNET DE SOUDURE'!$AV$7:$AV$3006,0))&lt;&gt;""," / "&amp;INDEX('CARNET DE SOUDURE'!$AL$7:$AL$3006,MATCH(133,'CARNET DE SOUDURE'!$AV$7:$AV$3006,0)),""))</f>
        <v/>
      </c>
      <c r="M144" s="127" t="str">
        <f aca="false">IF($B144="","",INDEX('CARNET DE SOUDURE'!$AP$7:$AP$3006,MATCH(133,'CARNET DE SOUDURE'!$AV$7:$AV$3006,0)))</f>
        <v/>
      </c>
      <c r="N144" s="127" t="str">
        <f aca="false">IF($B144="","",INDEX('CARNET DE SOUDURE'!$AQ$7:$AQ$3006,MATCH(133,'CARNET DE SOUDURE'!$AV$7:$AV$3006,0)))</f>
        <v/>
      </c>
      <c r="O144" s="128" t="str">
        <f aca="false">IF($B144="","",INDEX('CARNET DE SOUDURE'!$AR$7:$AR$3006,MATCH(133,'CARNET DE SOUDURE'!$AV$7:$AV$3006,0)))</f>
        <v/>
      </c>
    </row>
    <row r="145" customFormat="false" ht="15" hidden="false" customHeight="false" outlineLevel="0" collapsed="false">
      <c r="B145" s="130" t="str">
        <f aca="false">IF(134&gt;$I$4,"",134)</f>
        <v/>
      </c>
      <c r="C145" s="130" t="str">
        <f aca="false">IF($B145="","",INDEX('CARNET DE SOUDURE'!$B$7:$B$3006,MATCH(134,'CARNET DE SOUDURE'!$AV$7:$AV$3006,0)))</f>
        <v/>
      </c>
      <c r="D145" s="130" t="str">
        <f aca="false">IF($B145="","",INDEX('CARNET DE SOUDURE'!$E$7:$E$3006,MATCH(134,'CARNET DE SOUDURE'!$AV$7:$AV$3006,0)))</f>
        <v/>
      </c>
      <c r="E145" s="130" t="str">
        <f aca="false">IF($B145="","",INDEX('CARNET DE SOUDURE'!$R$7:$R$3006,MATCH(134,'CARNET DE SOUDURE'!$AV$7:$AV$3006,0))&amp;IF(INDEX('CARNET DE SOUDURE'!$S$7:$S$3006,MATCH(134,'CARNET DE SOUDURE'!$AV$7:$AV$3006,0))&lt;&gt;""," / "&amp;INDEX('CARNET DE SOUDURE'!$S$7:$S$3006,MATCH(134,'CARNET DE SOUDURE'!$AV$7:$AV$3006,0)),"")&amp;IF(INDEX('CARNET DE SOUDURE'!$T$7:$T$3006,MATCH(134,'CARNET DE SOUDURE'!$AV$7:$AV$3006,0))&lt;&gt;""," / "&amp;INDEX('CARNET DE SOUDURE'!$T$7:$T$3006,MATCH(134,'CARNET DE SOUDURE'!$AV$7:$AV$3006,0)),""))</f>
        <v/>
      </c>
      <c r="F145" s="131" t="str">
        <f aca="false">IF($B145="","",INDEX('CARNET DE SOUDURE'!$Y$7:$Y$3006,MATCH(134,'CARNET DE SOUDURE'!$AV$7:$AV$3006,0)))</f>
        <v/>
      </c>
      <c r="G145" s="130" t="str">
        <f aca="false">IF($B145="","",INDEX('CARNET DE SOUDURE'!$Z$7:$Z$3006,MATCH(134,'CARNET DE SOUDURE'!$AV$7:$AV$3006,0))&amp;"")</f>
        <v/>
      </c>
      <c r="H145" s="132" t="str">
        <f aca="false">IF($B145="","",INDEX('CARNET DE SOUDURE'!$AA$7:$AA$3006,MATCH(134,'CARNET DE SOUDURE'!$AV$7:$AV$3006,0)))</f>
        <v/>
      </c>
      <c r="I145" s="130" t="str">
        <f aca="false">IF($B145="","",INDEX('CARNET DE SOUDURE'!$AB$7:$AB$3006,MATCH(134,'CARNET DE SOUDURE'!$AV$7:$AV$3006,0))&amp;"")</f>
        <v/>
      </c>
      <c r="J145" s="130" t="str">
        <f aca="false">IF($B145="","",INDEX('CARNET DE SOUDURE'!$AC$7:$AC$3006,MATCH(134,'CARNET DE SOUDURE'!$AV$7:$AV$3006,0))&amp;IF(INDEX('CARNET DE SOUDURE'!$AH$7:$AH$3006,MATCH(134,'CARNET DE SOUDURE'!$AV$7:$AV$3006,0))&lt;&gt;""," / "&amp;INDEX('CARNET DE SOUDURE'!$AH$7:$AH$3006,MATCH(134,'CARNET DE SOUDURE'!$AV$7:$AV$3006,0)),""))</f>
        <v/>
      </c>
      <c r="K145" s="130" t="str">
        <f aca="false">IF($B145="","",INDEX('CARNET DE SOUDURE'!$AD$7:$AD$3006,MATCH(134,'CARNET DE SOUDURE'!$AV$7:$AV$3006,0))&amp;IF(INDEX('CARNET DE SOUDURE'!$AI$7:$AI$3006,MATCH(134,'CARNET DE SOUDURE'!$AV$7:$AV$3006,0))&lt;&gt;""," / "&amp;INDEX('CARNET DE SOUDURE'!$AI$7:$AI$3006,MATCH(134,'CARNET DE SOUDURE'!$AV$7:$AV$3006,0)),""))</f>
        <v/>
      </c>
      <c r="L145" s="130" t="str">
        <f aca="false">IF($B145="","",INDEX('CARNET DE SOUDURE'!$AG$7:$AG$3006,MATCH(134,'CARNET DE SOUDURE'!$AV$7:$AV$3006,0))&amp;IF(INDEX('CARNET DE SOUDURE'!$AL$7:$AL$3006,MATCH(134,'CARNET DE SOUDURE'!$AV$7:$AV$3006,0))&lt;&gt;""," / "&amp;INDEX('CARNET DE SOUDURE'!$AL$7:$AL$3006,MATCH(134,'CARNET DE SOUDURE'!$AV$7:$AV$3006,0)),""))</f>
        <v/>
      </c>
      <c r="M145" s="132" t="str">
        <f aca="false">IF($B145="","",INDEX('CARNET DE SOUDURE'!$AP$7:$AP$3006,MATCH(134,'CARNET DE SOUDURE'!$AV$7:$AV$3006,0)))</f>
        <v/>
      </c>
      <c r="N145" s="132" t="str">
        <f aca="false">IF($B145="","",INDEX('CARNET DE SOUDURE'!$AQ$7:$AQ$3006,MATCH(134,'CARNET DE SOUDURE'!$AV$7:$AV$3006,0)))</f>
        <v/>
      </c>
      <c r="O145" s="133" t="str">
        <f aca="false">IF($B145="","",INDEX('CARNET DE SOUDURE'!$AR$7:$AR$3006,MATCH(134,'CARNET DE SOUDURE'!$AV$7:$AV$3006,0)))</f>
        <v/>
      </c>
    </row>
    <row r="146" customFormat="false" ht="15" hidden="false" customHeight="false" outlineLevel="0" collapsed="false">
      <c r="B146" s="125" t="str">
        <f aca="false">IF(135&gt;$I$4,"",135)</f>
        <v/>
      </c>
      <c r="C146" s="125" t="str">
        <f aca="false">IF($B146="","",INDEX('CARNET DE SOUDURE'!$B$7:$B$3006,MATCH(135,'CARNET DE SOUDURE'!$AV$7:$AV$3006,0)))</f>
        <v/>
      </c>
      <c r="D146" s="125" t="str">
        <f aca="false">IF($B146="","",INDEX('CARNET DE SOUDURE'!$E$7:$E$3006,MATCH(135,'CARNET DE SOUDURE'!$AV$7:$AV$3006,0)))</f>
        <v/>
      </c>
      <c r="E146" s="125" t="str">
        <f aca="false">IF($B146="","",INDEX('CARNET DE SOUDURE'!$R$7:$R$3006,MATCH(135,'CARNET DE SOUDURE'!$AV$7:$AV$3006,0))&amp;IF(INDEX('CARNET DE SOUDURE'!$S$7:$S$3006,MATCH(135,'CARNET DE SOUDURE'!$AV$7:$AV$3006,0))&lt;&gt;""," / "&amp;INDEX('CARNET DE SOUDURE'!$S$7:$S$3006,MATCH(135,'CARNET DE SOUDURE'!$AV$7:$AV$3006,0)),"")&amp;IF(INDEX('CARNET DE SOUDURE'!$T$7:$T$3006,MATCH(135,'CARNET DE SOUDURE'!$AV$7:$AV$3006,0))&lt;&gt;""," / "&amp;INDEX('CARNET DE SOUDURE'!$T$7:$T$3006,MATCH(135,'CARNET DE SOUDURE'!$AV$7:$AV$3006,0)),""))</f>
        <v/>
      </c>
      <c r="F146" s="126" t="str">
        <f aca="false">IF($B146="","",INDEX('CARNET DE SOUDURE'!$Y$7:$Y$3006,MATCH(135,'CARNET DE SOUDURE'!$AV$7:$AV$3006,0)))</f>
        <v/>
      </c>
      <c r="G146" s="125" t="str">
        <f aca="false">IF($B146="","",INDEX('CARNET DE SOUDURE'!$Z$7:$Z$3006,MATCH(135,'CARNET DE SOUDURE'!$AV$7:$AV$3006,0))&amp;"")</f>
        <v/>
      </c>
      <c r="H146" s="127" t="str">
        <f aca="false">IF($B146="","",INDEX('CARNET DE SOUDURE'!$AA$7:$AA$3006,MATCH(135,'CARNET DE SOUDURE'!$AV$7:$AV$3006,0)))</f>
        <v/>
      </c>
      <c r="I146" s="125" t="str">
        <f aca="false">IF($B146="","",INDEX('CARNET DE SOUDURE'!$AB$7:$AB$3006,MATCH(135,'CARNET DE SOUDURE'!$AV$7:$AV$3006,0))&amp;"")</f>
        <v/>
      </c>
      <c r="J146" s="125" t="str">
        <f aca="false">IF($B146="","",INDEX('CARNET DE SOUDURE'!$AC$7:$AC$3006,MATCH(135,'CARNET DE SOUDURE'!$AV$7:$AV$3006,0))&amp;IF(INDEX('CARNET DE SOUDURE'!$AH$7:$AH$3006,MATCH(135,'CARNET DE SOUDURE'!$AV$7:$AV$3006,0))&lt;&gt;""," / "&amp;INDEX('CARNET DE SOUDURE'!$AH$7:$AH$3006,MATCH(135,'CARNET DE SOUDURE'!$AV$7:$AV$3006,0)),""))</f>
        <v/>
      </c>
      <c r="K146" s="125" t="str">
        <f aca="false">IF($B146="","",INDEX('CARNET DE SOUDURE'!$AD$7:$AD$3006,MATCH(135,'CARNET DE SOUDURE'!$AV$7:$AV$3006,0))&amp;IF(INDEX('CARNET DE SOUDURE'!$AI$7:$AI$3006,MATCH(135,'CARNET DE SOUDURE'!$AV$7:$AV$3006,0))&lt;&gt;""," / "&amp;INDEX('CARNET DE SOUDURE'!$AI$7:$AI$3006,MATCH(135,'CARNET DE SOUDURE'!$AV$7:$AV$3006,0)),""))</f>
        <v/>
      </c>
      <c r="L146" s="125" t="str">
        <f aca="false">IF($B146="","",INDEX('CARNET DE SOUDURE'!$AG$7:$AG$3006,MATCH(135,'CARNET DE SOUDURE'!$AV$7:$AV$3006,0))&amp;IF(INDEX('CARNET DE SOUDURE'!$AL$7:$AL$3006,MATCH(135,'CARNET DE SOUDURE'!$AV$7:$AV$3006,0))&lt;&gt;""," / "&amp;INDEX('CARNET DE SOUDURE'!$AL$7:$AL$3006,MATCH(135,'CARNET DE SOUDURE'!$AV$7:$AV$3006,0)),""))</f>
        <v/>
      </c>
      <c r="M146" s="127" t="str">
        <f aca="false">IF($B146="","",INDEX('CARNET DE SOUDURE'!$AP$7:$AP$3006,MATCH(135,'CARNET DE SOUDURE'!$AV$7:$AV$3006,0)))</f>
        <v/>
      </c>
      <c r="N146" s="127" t="str">
        <f aca="false">IF($B146="","",INDEX('CARNET DE SOUDURE'!$AQ$7:$AQ$3006,MATCH(135,'CARNET DE SOUDURE'!$AV$7:$AV$3006,0)))</f>
        <v/>
      </c>
      <c r="O146" s="128" t="str">
        <f aca="false">IF($B146="","",INDEX('CARNET DE SOUDURE'!$AR$7:$AR$3006,MATCH(135,'CARNET DE SOUDURE'!$AV$7:$AV$3006,0)))</f>
        <v/>
      </c>
    </row>
    <row r="147" customFormat="false" ht="15" hidden="false" customHeight="false" outlineLevel="0" collapsed="false">
      <c r="B147" s="130" t="str">
        <f aca="false">IF(136&gt;$I$4,"",136)</f>
        <v/>
      </c>
      <c r="C147" s="130" t="str">
        <f aca="false">IF($B147="","",INDEX('CARNET DE SOUDURE'!$B$7:$B$3006,MATCH(136,'CARNET DE SOUDURE'!$AV$7:$AV$3006,0)))</f>
        <v/>
      </c>
      <c r="D147" s="130" t="str">
        <f aca="false">IF($B147="","",INDEX('CARNET DE SOUDURE'!$E$7:$E$3006,MATCH(136,'CARNET DE SOUDURE'!$AV$7:$AV$3006,0)))</f>
        <v/>
      </c>
      <c r="E147" s="130" t="str">
        <f aca="false">IF($B147="","",INDEX('CARNET DE SOUDURE'!$R$7:$R$3006,MATCH(136,'CARNET DE SOUDURE'!$AV$7:$AV$3006,0))&amp;IF(INDEX('CARNET DE SOUDURE'!$S$7:$S$3006,MATCH(136,'CARNET DE SOUDURE'!$AV$7:$AV$3006,0))&lt;&gt;""," / "&amp;INDEX('CARNET DE SOUDURE'!$S$7:$S$3006,MATCH(136,'CARNET DE SOUDURE'!$AV$7:$AV$3006,0)),"")&amp;IF(INDEX('CARNET DE SOUDURE'!$T$7:$T$3006,MATCH(136,'CARNET DE SOUDURE'!$AV$7:$AV$3006,0))&lt;&gt;""," / "&amp;INDEX('CARNET DE SOUDURE'!$T$7:$T$3006,MATCH(136,'CARNET DE SOUDURE'!$AV$7:$AV$3006,0)),""))</f>
        <v/>
      </c>
      <c r="F147" s="131" t="str">
        <f aca="false">IF($B147="","",INDEX('CARNET DE SOUDURE'!$Y$7:$Y$3006,MATCH(136,'CARNET DE SOUDURE'!$AV$7:$AV$3006,0)))</f>
        <v/>
      </c>
      <c r="G147" s="130" t="str">
        <f aca="false">IF($B147="","",INDEX('CARNET DE SOUDURE'!$Z$7:$Z$3006,MATCH(136,'CARNET DE SOUDURE'!$AV$7:$AV$3006,0))&amp;"")</f>
        <v/>
      </c>
      <c r="H147" s="132" t="str">
        <f aca="false">IF($B147="","",INDEX('CARNET DE SOUDURE'!$AA$7:$AA$3006,MATCH(136,'CARNET DE SOUDURE'!$AV$7:$AV$3006,0)))</f>
        <v/>
      </c>
      <c r="I147" s="130" t="str">
        <f aca="false">IF($B147="","",INDEX('CARNET DE SOUDURE'!$AB$7:$AB$3006,MATCH(136,'CARNET DE SOUDURE'!$AV$7:$AV$3006,0))&amp;"")</f>
        <v/>
      </c>
      <c r="J147" s="130" t="str">
        <f aca="false">IF($B147="","",INDEX('CARNET DE SOUDURE'!$AC$7:$AC$3006,MATCH(136,'CARNET DE SOUDURE'!$AV$7:$AV$3006,0))&amp;IF(INDEX('CARNET DE SOUDURE'!$AH$7:$AH$3006,MATCH(136,'CARNET DE SOUDURE'!$AV$7:$AV$3006,0))&lt;&gt;""," / "&amp;INDEX('CARNET DE SOUDURE'!$AH$7:$AH$3006,MATCH(136,'CARNET DE SOUDURE'!$AV$7:$AV$3006,0)),""))</f>
        <v/>
      </c>
      <c r="K147" s="130" t="str">
        <f aca="false">IF($B147="","",INDEX('CARNET DE SOUDURE'!$AD$7:$AD$3006,MATCH(136,'CARNET DE SOUDURE'!$AV$7:$AV$3006,0))&amp;IF(INDEX('CARNET DE SOUDURE'!$AI$7:$AI$3006,MATCH(136,'CARNET DE SOUDURE'!$AV$7:$AV$3006,0))&lt;&gt;""," / "&amp;INDEX('CARNET DE SOUDURE'!$AI$7:$AI$3006,MATCH(136,'CARNET DE SOUDURE'!$AV$7:$AV$3006,0)),""))</f>
        <v/>
      </c>
      <c r="L147" s="130" t="str">
        <f aca="false">IF($B147="","",INDEX('CARNET DE SOUDURE'!$AG$7:$AG$3006,MATCH(136,'CARNET DE SOUDURE'!$AV$7:$AV$3006,0))&amp;IF(INDEX('CARNET DE SOUDURE'!$AL$7:$AL$3006,MATCH(136,'CARNET DE SOUDURE'!$AV$7:$AV$3006,0))&lt;&gt;""," / "&amp;INDEX('CARNET DE SOUDURE'!$AL$7:$AL$3006,MATCH(136,'CARNET DE SOUDURE'!$AV$7:$AV$3006,0)),""))</f>
        <v/>
      </c>
      <c r="M147" s="132" t="str">
        <f aca="false">IF($B147="","",INDEX('CARNET DE SOUDURE'!$AP$7:$AP$3006,MATCH(136,'CARNET DE SOUDURE'!$AV$7:$AV$3006,0)))</f>
        <v/>
      </c>
      <c r="N147" s="132" t="str">
        <f aca="false">IF($B147="","",INDEX('CARNET DE SOUDURE'!$AQ$7:$AQ$3006,MATCH(136,'CARNET DE SOUDURE'!$AV$7:$AV$3006,0)))</f>
        <v/>
      </c>
      <c r="O147" s="133" t="str">
        <f aca="false">IF($B147="","",INDEX('CARNET DE SOUDURE'!$AR$7:$AR$3006,MATCH(136,'CARNET DE SOUDURE'!$AV$7:$AV$3006,0)))</f>
        <v/>
      </c>
    </row>
    <row r="148" customFormat="false" ht="15" hidden="false" customHeight="false" outlineLevel="0" collapsed="false">
      <c r="B148" s="125" t="str">
        <f aca="false">IF(137&gt;$I$4,"",137)</f>
        <v/>
      </c>
      <c r="C148" s="125" t="str">
        <f aca="false">IF($B148="","",INDEX('CARNET DE SOUDURE'!$B$7:$B$3006,MATCH(137,'CARNET DE SOUDURE'!$AV$7:$AV$3006,0)))</f>
        <v/>
      </c>
      <c r="D148" s="125" t="str">
        <f aca="false">IF($B148="","",INDEX('CARNET DE SOUDURE'!$E$7:$E$3006,MATCH(137,'CARNET DE SOUDURE'!$AV$7:$AV$3006,0)))</f>
        <v/>
      </c>
      <c r="E148" s="125" t="str">
        <f aca="false">IF($B148="","",INDEX('CARNET DE SOUDURE'!$R$7:$R$3006,MATCH(137,'CARNET DE SOUDURE'!$AV$7:$AV$3006,0))&amp;IF(INDEX('CARNET DE SOUDURE'!$S$7:$S$3006,MATCH(137,'CARNET DE SOUDURE'!$AV$7:$AV$3006,0))&lt;&gt;""," / "&amp;INDEX('CARNET DE SOUDURE'!$S$7:$S$3006,MATCH(137,'CARNET DE SOUDURE'!$AV$7:$AV$3006,0)),"")&amp;IF(INDEX('CARNET DE SOUDURE'!$T$7:$T$3006,MATCH(137,'CARNET DE SOUDURE'!$AV$7:$AV$3006,0))&lt;&gt;""," / "&amp;INDEX('CARNET DE SOUDURE'!$T$7:$T$3006,MATCH(137,'CARNET DE SOUDURE'!$AV$7:$AV$3006,0)),""))</f>
        <v/>
      </c>
      <c r="F148" s="126" t="str">
        <f aca="false">IF($B148="","",INDEX('CARNET DE SOUDURE'!$Y$7:$Y$3006,MATCH(137,'CARNET DE SOUDURE'!$AV$7:$AV$3006,0)))</f>
        <v/>
      </c>
      <c r="G148" s="125" t="str">
        <f aca="false">IF($B148="","",INDEX('CARNET DE SOUDURE'!$Z$7:$Z$3006,MATCH(137,'CARNET DE SOUDURE'!$AV$7:$AV$3006,0))&amp;"")</f>
        <v/>
      </c>
      <c r="H148" s="127" t="str">
        <f aca="false">IF($B148="","",INDEX('CARNET DE SOUDURE'!$AA$7:$AA$3006,MATCH(137,'CARNET DE SOUDURE'!$AV$7:$AV$3006,0)))</f>
        <v/>
      </c>
      <c r="I148" s="125" t="str">
        <f aca="false">IF($B148="","",INDEX('CARNET DE SOUDURE'!$AB$7:$AB$3006,MATCH(137,'CARNET DE SOUDURE'!$AV$7:$AV$3006,0))&amp;"")</f>
        <v/>
      </c>
      <c r="J148" s="125" t="str">
        <f aca="false">IF($B148="","",INDEX('CARNET DE SOUDURE'!$AC$7:$AC$3006,MATCH(137,'CARNET DE SOUDURE'!$AV$7:$AV$3006,0))&amp;IF(INDEX('CARNET DE SOUDURE'!$AH$7:$AH$3006,MATCH(137,'CARNET DE SOUDURE'!$AV$7:$AV$3006,0))&lt;&gt;""," / "&amp;INDEX('CARNET DE SOUDURE'!$AH$7:$AH$3006,MATCH(137,'CARNET DE SOUDURE'!$AV$7:$AV$3006,0)),""))</f>
        <v/>
      </c>
      <c r="K148" s="125" t="str">
        <f aca="false">IF($B148="","",INDEX('CARNET DE SOUDURE'!$AD$7:$AD$3006,MATCH(137,'CARNET DE SOUDURE'!$AV$7:$AV$3006,0))&amp;IF(INDEX('CARNET DE SOUDURE'!$AI$7:$AI$3006,MATCH(137,'CARNET DE SOUDURE'!$AV$7:$AV$3006,0))&lt;&gt;""," / "&amp;INDEX('CARNET DE SOUDURE'!$AI$7:$AI$3006,MATCH(137,'CARNET DE SOUDURE'!$AV$7:$AV$3006,0)),""))</f>
        <v/>
      </c>
      <c r="L148" s="125" t="str">
        <f aca="false">IF($B148="","",INDEX('CARNET DE SOUDURE'!$AG$7:$AG$3006,MATCH(137,'CARNET DE SOUDURE'!$AV$7:$AV$3006,0))&amp;IF(INDEX('CARNET DE SOUDURE'!$AL$7:$AL$3006,MATCH(137,'CARNET DE SOUDURE'!$AV$7:$AV$3006,0))&lt;&gt;""," / "&amp;INDEX('CARNET DE SOUDURE'!$AL$7:$AL$3006,MATCH(137,'CARNET DE SOUDURE'!$AV$7:$AV$3006,0)),""))</f>
        <v/>
      </c>
      <c r="M148" s="127" t="str">
        <f aca="false">IF($B148="","",INDEX('CARNET DE SOUDURE'!$AP$7:$AP$3006,MATCH(137,'CARNET DE SOUDURE'!$AV$7:$AV$3006,0)))</f>
        <v/>
      </c>
      <c r="N148" s="127" t="str">
        <f aca="false">IF($B148="","",INDEX('CARNET DE SOUDURE'!$AQ$7:$AQ$3006,MATCH(137,'CARNET DE SOUDURE'!$AV$7:$AV$3006,0)))</f>
        <v/>
      </c>
      <c r="O148" s="128" t="str">
        <f aca="false">IF($B148="","",INDEX('CARNET DE SOUDURE'!$AR$7:$AR$3006,MATCH(137,'CARNET DE SOUDURE'!$AV$7:$AV$3006,0)))</f>
        <v/>
      </c>
    </row>
    <row r="149" customFormat="false" ht="15" hidden="false" customHeight="false" outlineLevel="0" collapsed="false">
      <c r="B149" s="130" t="str">
        <f aca="false">IF(138&gt;$I$4,"",138)</f>
        <v/>
      </c>
      <c r="C149" s="130" t="str">
        <f aca="false">IF($B149="","",INDEX('CARNET DE SOUDURE'!$B$7:$B$3006,MATCH(138,'CARNET DE SOUDURE'!$AV$7:$AV$3006,0)))</f>
        <v/>
      </c>
      <c r="D149" s="130" t="str">
        <f aca="false">IF($B149="","",INDEX('CARNET DE SOUDURE'!$E$7:$E$3006,MATCH(138,'CARNET DE SOUDURE'!$AV$7:$AV$3006,0)))</f>
        <v/>
      </c>
      <c r="E149" s="130" t="str">
        <f aca="false">IF($B149="","",INDEX('CARNET DE SOUDURE'!$R$7:$R$3006,MATCH(138,'CARNET DE SOUDURE'!$AV$7:$AV$3006,0))&amp;IF(INDEX('CARNET DE SOUDURE'!$S$7:$S$3006,MATCH(138,'CARNET DE SOUDURE'!$AV$7:$AV$3006,0))&lt;&gt;""," / "&amp;INDEX('CARNET DE SOUDURE'!$S$7:$S$3006,MATCH(138,'CARNET DE SOUDURE'!$AV$7:$AV$3006,0)),"")&amp;IF(INDEX('CARNET DE SOUDURE'!$T$7:$T$3006,MATCH(138,'CARNET DE SOUDURE'!$AV$7:$AV$3006,0))&lt;&gt;""," / "&amp;INDEX('CARNET DE SOUDURE'!$T$7:$T$3006,MATCH(138,'CARNET DE SOUDURE'!$AV$7:$AV$3006,0)),""))</f>
        <v/>
      </c>
      <c r="F149" s="131" t="str">
        <f aca="false">IF($B149="","",INDEX('CARNET DE SOUDURE'!$Y$7:$Y$3006,MATCH(138,'CARNET DE SOUDURE'!$AV$7:$AV$3006,0)))</f>
        <v/>
      </c>
      <c r="G149" s="130" t="str">
        <f aca="false">IF($B149="","",INDEX('CARNET DE SOUDURE'!$Z$7:$Z$3006,MATCH(138,'CARNET DE SOUDURE'!$AV$7:$AV$3006,0))&amp;"")</f>
        <v/>
      </c>
      <c r="H149" s="132" t="str">
        <f aca="false">IF($B149="","",INDEX('CARNET DE SOUDURE'!$AA$7:$AA$3006,MATCH(138,'CARNET DE SOUDURE'!$AV$7:$AV$3006,0)))</f>
        <v/>
      </c>
      <c r="I149" s="130" t="str">
        <f aca="false">IF($B149="","",INDEX('CARNET DE SOUDURE'!$AB$7:$AB$3006,MATCH(138,'CARNET DE SOUDURE'!$AV$7:$AV$3006,0))&amp;"")</f>
        <v/>
      </c>
      <c r="J149" s="130" t="str">
        <f aca="false">IF($B149="","",INDEX('CARNET DE SOUDURE'!$AC$7:$AC$3006,MATCH(138,'CARNET DE SOUDURE'!$AV$7:$AV$3006,0))&amp;IF(INDEX('CARNET DE SOUDURE'!$AH$7:$AH$3006,MATCH(138,'CARNET DE SOUDURE'!$AV$7:$AV$3006,0))&lt;&gt;""," / "&amp;INDEX('CARNET DE SOUDURE'!$AH$7:$AH$3006,MATCH(138,'CARNET DE SOUDURE'!$AV$7:$AV$3006,0)),""))</f>
        <v/>
      </c>
      <c r="K149" s="130" t="str">
        <f aca="false">IF($B149="","",INDEX('CARNET DE SOUDURE'!$AD$7:$AD$3006,MATCH(138,'CARNET DE SOUDURE'!$AV$7:$AV$3006,0))&amp;IF(INDEX('CARNET DE SOUDURE'!$AI$7:$AI$3006,MATCH(138,'CARNET DE SOUDURE'!$AV$7:$AV$3006,0))&lt;&gt;""," / "&amp;INDEX('CARNET DE SOUDURE'!$AI$7:$AI$3006,MATCH(138,'CARNET DE SOUDURE'!$AV$7:$AV$3006,0)),""))</f>
        <v/>
      </c>
      <c r="L149" s="130" t="str">
        <f aca="false">IF($B149="","",INDEX('CARNET DE SOUDURE'!$AG$7:$AG$3006,MATCH(138,'CARNET DE SOUDURE'!$AV$7:$AV$3006,0))&amp;IF(INDEX('CARNET DE SOUDURE'!$AL$7:$AL$3006,MATCH(138,'CARNET DE SOUDURE'!$AV$7:$AV$3006,0))&lt;&gt;""," / "&amp;INDEX('CARNET DE SOUDURE'!$AL$7:$AL$3006,MATCH(138,'CARNET DE SOUDURE'!$AV$7:$AV$3006,0)),""))</f>
        <v/>
      </c>
      <c r="M149" s="132" t="str">
        <f aca="false">IF($B149="","",INDEX('CARNET DE SOUDURE'!$AP$7:$AP$3006,MATCH(138,'CARNET DE SOUDURE'!$AV$7:$AV$3006,0)))</f>
        <v/>
      </c>
      <c r="N149" s="132" t="str">
        <f aca="false">IF($B149="","",INDEX('CARNET DE SOUDURE'!$AQ$7:$AQ$3006,MATCH(138,'CARNET DE SOUDURE'!$AV$7:$AV$3006,0)))</f>
        <v/>
      </c>
      <c r="O149" s="133" t="str">
        <f aca="false">IF($B149="","",INDEX('CARNET DE SOUDURE'!$AR$7:$AR$3006,MATCH(138,'CARNET DE SOUDURE'!$AV$7:$AV$3006,0)))</f>
        <v/>
      </c>
    </row>
    <row r="150" customFormat="false" ht="15" hidden="false" customHeight="false" outlineLevel="0" collapsed="false">
      <c r="B150" s="125" t="str">
        <f aca="false">IF(139&gt;$I$4,"",139)</f>
        <v/>
      </c>
      <c r="C150" s="125" t="str">
        <f aca="false">IF($B150="","",INDEX('CARNET DE SOUDURE'!$B$7:$B$3006,MATCH(139,'CARNET DE SOUDURE'!$AV$7:$AV$3006,0)))</f>
        <v/>
      </c>
      <c r="D150" s="125" t="str">
        <f aca="false">IF($B150="","",INDEX('CARNET DE SOUDURE'!$E$7:$E$3006,MATCH(139,'CARNET DE SOUDURE'!$AV$7:$AV$3006,0)))</f>
        <v/>
      </c>
      <c r="E150" s="125" t="str">
        <f aca="false">IF($B150="","",INDEX('CARNET DE SOUDURE'!$R$7:$R$3006,MATCH(139,'CARNET DE SOUDURE'!$AV$7:$AV$3006,0))&amp;IF(INDEX('CARNET DE SOUDURE'!$S$7:$S$3006,MATCH(139,'CARNET DE SOUDURE'!$AV$7:$AV$3006,0))&lt;&gt;""," / "&amp;INDEX('CARNET DE SOUDURE'!$S$7:$S$3006,MATCH(139,'CARNET DE SOUDURE'!$AV$7:$AV$3006,0)),"")&amp;IF(INDEX('CARNET DE SOUDURE'!$T$7:$T$3006,MATCH(139,'CARNET DE SOUDURE'!$AV$7:$AV$3006,0))&lt;&gt;""," / "&amp;INDEX('CARNET DE SOUDURE'!$T$7:$T$3006,MATCH(139,'CARNET DE SOUDURE'!$AV$7:$AV$3006,0)),""))</f>
        <v/>
      </c>
      <c r="F150" s="126" t="str">
        <f aca="false">IF($B150="","",INDEX('CARNET DE SOUDURE'!$Y$7:$Y$3006,MATCH(139,'CARNET DE SOUDURE'!$AV$7:$AV$3006,0)))</f>
        <v/>
      </c>
      <c r="G150" s="125" t="str">
        <f aca="false">IF($B150="","",INDEX('CARNET DE SOUDURE'!$Z$7:$Z$3006,MATCH(139,'CARNET DE SOUDURE'!$AV$7:$AV$3006,0))&amp;"")</f>
        <v/>
      </c>
      <c r="H150" s="127" t="str">
        <f aca="false">IF($B150="","",INDEX('CARNET DE SOUDURE'!$AA$7:$AA$3006,MATCH(139,'CARNET DE SOUDURE'!$AV$7:$AV$3006,0)))</f>
        <v/>
      </c>
      <c r="I150" s="125" t="str">
        <f aca="false">IF($B150="","",INDEX('CARNET DE SOUDURE'!$AB$7:$AB$3006,MATCH(139,'CARNET DE SOUDURE'!$AV$7:$AV$3006,0))&amp;"")</f>
        <v/>
      </c>
      <c r="J150" s="125" t="str">
        <f aca="false">IF($B150="","",INDEX('CARNET DE SOUDURE'!$AC$7:$AC$3006,MATCH(139,'CARNET DE SOUDURE'!$AV$7:$AV$3006,0))&amp;IF(INDEX('CARNET DE SOUDURE'!$AH$7:$AH$3006,MATCH(139,'CARNET DE SOUDURE'!$AV$7:$AV$3006,0))&lt;&gt;""," / "&amp;INDEX('CARNET DE SOUDURE'!$AH$7:$AH$3006,MATCH(139,'CARNET DE SOUDURE'!$AV$7:$AV$3006,0)),""))</f>
        <v/>
      </c>
      <c r="K150" s="125" t="str">
        <f aca="false">IF($B150="","",INDEX('CARNET DE SOUDURE'!$AD$7:$AD$3006,MATCH(139,'CARNET DE SOUDURE'!$AV$7:$AV$3006,0))&amp;IF(INDEX('CARNET DE SOUDURE'!$AI$7:$AI$3006,MATCH(139,'CARNET DE SOUDURE'!$AV$7:$AV$3006,0))&lt;&gt;""," / "&amp;INDEX('CARNET DE SOUDURE'!$AI$7:$AI$3006,MATCH(139,'CARNET DE SOUDURE'!$AV$7:$AV$3006,0)),""))</f>
        <v/>
      </c>
      <c r="L150" s="125" t="str">
        <f aca="false">IF($B150="","",INDEX('CARNET DE SOUDURE'!$AG$7:$AG$3006,MATCH(139,'CARNET DE SOUDURE'!$AV$7:$AV$3006,0))&amp;IF(INDEX('CARNET DE SOUDURE'!$AL$7:$AL$3006,MATCH(139,'CARNET DE SOUDURE'!$AV$7:$AV$3006,0))&lt;&gt;""," / "&amp;INDEX('CARNET DE SOUDURE'!$AL$7:$AL$3006,MATCH(139,'CARNET DE SOUDURE'!$AV$7:$AV$3006,0)),""))</f>
        <v/>
      </c>
      <c r="M150" s="127" t="str">
        <f aca="false">IF($B150="","",INDEX('CARNET DE SOUDURE'!$AP$7:$AP$3006,MATCH(139,'CARNET DE SOUDURE'!$AV$7:$AV$3006,0)))</f>
        <v/>
      </c>
      <c r="N150" s="127" t="str">
        <f aca="false">IF($B150="","",INDEX('CARNET DE SOUDURE'!$AQ$7:$AQ$3006,MATCH(139,'CARNET DE SOUDURE'!$AV$7:$AV$3006,0)))</f>
        <v/>
      </c>
      <c r="O150" s="128" t="str">
        <f aca="false">IF($B150="","",INDEX('CARNET DE SOUDURE'!$AR$7:$AR$3006,MATCH(139,'CARNET DE SOUDURE'!$AV$7:$AV$3006,0)))</f>
        <v/>
      </c>
    </row>
    <row r="151" customFormat="false" ht="15" hidden="false" customHeight="false" outlineLevel="0" collapsed="false">
      <c r="B151" s="130" t="str">
        <f aca="false">IF(140&gt;$I$4,"",140)</f>
        <v/>
      </c>
      <c r="C151" s="130" t="str">
        <f aca="false">IF($B151="","",INDEX('CARNET DE SOUDURE'!$B$7:$B$3006,MATCH(140,'CARNET DE SOUDURE'!$AV$7:$AV$3006,0)))</f>
        <v/>
      </c>
      <c r="D151" s="130" t="str">
        <f aca="false">IF($B151="","",INDEX('CARNET DE SOUDURE'!$E$7:$E$3006,MATCH(140,'CARNET DE SOUDURE'!$AV$7:$AV$3006,0)))</f>
        <v/>
      </c>
      <c r="E151" s="130" t="str">
        <f aca="false">IF($B151="","",INDEX('CARNET DE SOUDURE'!$R$7:$R$3006,MATCH(140,'CARNET DE SOUDURE'!$AV$7:$AV$3006,0))&amp;IF(INDEX('CARNET DE SOUDURE'!$S$7:$S$3006,MATCH(140,'CARNET DE SOUDURE'!$AV$7:$AV$3006,0))&lt;&gt;""," / "&amp;INDEX('CARNET DE SOUDURE'!$S$7:$S$3006,MATCH(140,'CARNET DE SOUDURE'!$AV$7:$AV$3006,0)),"")&amp;IF(INDEX('CARNET DE SOUDURE'!$T$7:$T$3006,MATCH(140,'CARNET DE SOUDURE'!$AV$7:$AV$3006,0))&lt;&gt;""," / "&amp;INDEX('CARNET DE SOUDURE'!$T$7:$T$3006,MATCH(140,'CARNET DE SOUDURE'!$AV$7:$AV$3006,0)),""))</f>
        <v/>
      </c>
      <c r="F151" s="131" t="str">
        <f aca="false">IF($B151="","",INDEX('CARNET DE SOUDURE'!$Y$7:$Y$3006,MATCH(140,'CARNET DE SOUDURE'!$AV$7:$AV$3006,0)))</f>
        <v/>
      </c>
      <c r="G151" s="130" t="str">
        <f aca="false">IF($B151="","",INDEX('CARNET DE SOUDURE'!$Z$7:$Z$3006,MATCH(140,'CARNET DE SOUDURE'!$AV$7:$AV$3006,0))&amp;"")</f>
        <v/>
      </c>
      <c r="H151" s="132" t="str">
        <f aca="false">IF($B151="","",INDEX('CARNET DE SOUDURE'!$AA$7:$AA$3006,MATCH(140,'CARNET DE SOUDURE'!$AV$7:$AV$3006,0)))</f>
        <v/>
      </c>
      <c r="I151" s="130" t="str">
        <f aca="false">IF($B151="","",INDEX('CARNET DE SOUDURE'!$AB$7:$AB$3006,MATCH(140,'CARNET DE SOUDURE'!$AV$7:$AV$3006,0))&amp;"")</f>
        <v/>
      </c>
      <c r="J151" s="130" t="str">
        <f aca="false">IF($B151="","",INDEX('CARNET DE SOUDURE'!$AC$7:$AC$3006,MATCH(140,'CARNET DE SOUDURE'!$AV$7:$AV$3006,0))&amp;IF(INDEX('CARNET DE SOUDURE'!$AH$7:$AH$3006,MATCH(140,'CARNET DE SOUDURE'!$AV$7:$AV$3006,0))&lt;&gt;""," / "&amp;INDEX('CARNET DE SOUDURE'!$AH$7:$AH$3006,MATCH(140,'CARNET DE SOUDURE'!$AV$7:$AV$3006,0)),""))</f>
        <v/>
      </c>
      <c r="K151" s="130" t="str">
        <f aca="false">IF($B151="","",INDEX('CARNET DE SOUDURE'!$AD$7:$AD$3006,MATCH(140,'CARNET DE SOUDURE'!$AV$7:$AV$3006,0))&amp;IF(INDEX('CARNET DE SOUDURE'!$AI$7:$AI$3006,MATCH(140,'CARNET DE SOUDURE'!$AV$7:$AV$3006,0))&lt;&gt;""," / "&amp;INDEX('CARNET DE SOUDURE'!$AI$7:$AI$3006,MATCH(140,'CARNET DE SOUDURE'!$AV$7:$AV$3006,0)),""))</f>
        <v/>
      </c>
      <c r="L151" s="130" t="str">
        <f aca="false">IF($B151="","",INDEX('CARNET DE SOUDURE'!$AG$7:$AG$3006,MATCH(140,'CARNET DE SOUDURE'!$AV$7:$AV$3006,0))&amp;IF(INDEX('CARNET DE SOUDURE'!$AL$7:$AL$3006,MATCH(140,'CARNET DE SOUDURE'!$AV$7:$AV$3006,0))&lt;&gt;""," / "&amp;INDEX('CARNET DE SOUDURE'!$AL$7:$AL$3006,MATCH(140,'CARNET DE SOUDURE'!$AV$7:$AV$3006,0)),""))</f>
        <v/>
      </c>
      <c r="M151" s="132" t="str">
        <f aca="false">IF($B151="","",INDEX('CARNET DE SOUDURE'!$AP$7:$AP$3006,MATCH(140,'CARNET DE SOUDURE'!$AV$7:$AV$3006,0)))</f>
        <v/>
      </c>
      <c r="N151" s="132" t="str">
        <f aca="false">IF($B151="","",INDEX('CARNET DE SOUDURE'!$AQ$7:$AQ$3006,MATCH(140,'CARNET DE SOUDURE'!$AV$7:$AV$3006,0)))</f>
        <v/>
      </c>
      <c r="O151" s="133" t="str">
        <f aca="false">IF($B151="","",INDEX('CARNET DE SOUDURE'!$AR$7:$AR$3006,MATCH(140,'CARNET DE SOUDURE'!$AV$7:$AV$3006,0)))</f>
        <v/>
      </c>
    </row>
    <row r="152" customFormat="false" ht="15" hidden="false" customHeight="false" outlineLevel="0" collapsed="false">
      <c r="B152" s="125" t="str">
        <f aca="false">IF(141&gt;$I$4,"",141)</f>
        <v/>
      </c>
      <c r="C152" s="125" t="str">
        <f aca="false">IF($B152="","",INDEX('CARNET DE SOUDURE'!$B$7:$B$3006,MATCH(141,'CARNET DE SOUDURE'!$AV$7:$AV$3006,0)))</f>
        <v/>
      </c>
      <c r="D152" s="125" t="str">
        <f aca="false">IF($B152="","",INDEX('CARNET DE SOUDURE'!$E$7:$E$3006,MATCH(141,'CARNET DE SOUDURE'!$AV$7:$AV$3006,0)))</f>
        <v/>
      </c>
      <c r="E152" s="125" t="str">
        <f aca="false">IF($B152="","",INDEX('CARNET DE SOUDURE'!$R$7:$R$3006,MATCH(141,'CARNET DE SOUDURE'!$AV$7:$AV$3006,0))&amp;IF(INDEX('CARNET DE SOUDURE'!$S$7:$S$3006,MATCH(141,'CARNET DE SOUDURE'!$AV$7:$AV$3006,0))&lt;&gt;""," / "&amp;INDEX('CARNET DE SOUDURE'!$S$7:$S$3006,MATCH(141,'CARNET DE SOUDURE'!$AV$7:$AV$3006,0)),"")&amp;IF(INDEX('CARNET DE SOUDURE'!$T$7:$T$3006,MATCH(141,'CARNET DE SOUDURE'!$AV$7:$AV$3006,0))&lt;&gt;""," / "&amp;INDEX('CARNET DE SOUDURE'!$T$7:$T$3006,MATCH(141,'CARNET DE SOUDURE'!$AV$7:$AV$3006,0)),""))</f>
        <v/>
      </c>
      <c r="F152" s="126" t="str">
        <f aca="false">IF($B152="","",INDEX('CARNET DE SOUDURE'!$Y$7:$Y$3006,MATCH(141,'CARNET DE SOUDURE'!$AV$7:$AV$3006,0)))</f>
        <v/>
      </c>
      <c r="G152" s="125" t="str">
        <f aca="false">IF($B152="","",INDEX('CARNET DE SOUDURE'!$Z$7:$Z$3006,MATCH(141,'CARNET DE SOUDURE'!$AV$7:$AV$3006,0))&amp;"")</f>
        <v/>
      </c>
      <c r="H152" s="127" t="str">
        <f aca="false">IF($B152="","",INDEX('CARNET DE SOUDURE'!$AA$7:$AA$3006,MATCH(141,'CARNET DE SOUDURE'!$AV$7:$AV$3006,0)))</f>
        <v/>
      </c>
      <c r="I152" s="125" t="str">
        <f aca="false">IF($B152="","",INDEX('CARNET DE SOUDURE'!$AB$7:$AB$3006,MATCH(141,'CARNET DE SOUDURE'!$AV$7:$AV$3006,0))&amp;"")</f>
        <v/>
      </c>
      <c r="J152" s="125" t="str">
        <f aca="false">IF($B152="","",INDEX('CARNET DE SOUDURE'!$AC$7:$AC$3006,MATCH(141,'CARNET DE SOUDURE'!$AV$7:$AV$3006,0))&amp;IF(INDEX('CARNET DE SOUDURE'!$AH$7:$AH$3006,MATCH(141,'CARNET DE SOUDURE'!$AV$7:$AV$3006,0))&lt;&gt;""," / "&amp;INDEX('CARNET DE SOUDURE'!$AH$7:$AH$3006,MATCH(141,'CARNET DE SOUDURE'!$AV$7:$AV$3006,0)),""))</f>
        <v/>
      </c>
      <c r="K152" s="125" t="str">
        <f aca="false">IF($B152="","",INDEX('CARNET DE SOUDURE'!$AD$7:$AD$3006,MATCH(141,'CARNET DE SOUDURE'!$AV$7:$AV$3006,0))&amp;IF(INDEX('CARNET DE SOUDURE'!$AI$7:$AI$3006,MATCH(141,'CARNET DE SOUDURE'!$AV$7:$AV$3006,0))&lt;&gt;""," / "&amp;INDEX('CARNET DE SOUDURE'!$AI$7:$AI$3006,MATCH(141,'CARNET DE SOUDURE'!$AV$7:$AV$3006,0)),""))</f>
        <v/>
      </c>
      <c r="L152" s="125" t="str">
        <f aca="false">IF($B152="","",INDEX('CARNET DE SOUDURE'!$AG$7:$AG$3006,MATCH(141,'CARNET DE SOUDURE'!$AV$7:$AV$3006,0))&amp;IF(INDEX('CARNET DE SOUDURE'!$AL$7:$AL$3006,MATCH(141,'CARNET DE SOUDURE'!$AV$7:$AV$3006,0))&lt;&gt;""," / "&amp;INDEX('CARNET DE SOUDURE'!$AL$7:$AL$3006,MATCH(141,'CARNET DE SOUDURE'!$AV$7:$AV$3006,0)),""))</f>
        <v/>
      </c>
      <c r="M152" s="127" t="str">
        <f aca="false">IF($B152="","",INDEX('CARNET DE SOUDURE'!$AP$7:$AP$3006,MATCH(141,'CARNET DE SOUDURE'!$AV$7:$AV$3006,0)))</f>
        <v/>
      </c>
      <c r="N152" s="127" t="str">
        <f aca="false">IF($B152="","",INDEX('CARNET DE SOUDURE'!$AQ$7:$AQ$3006,MATCH(141,'CARNET DE SOUDURE'!$AV$7:$AV$3006,0)))</f>
        <v/>
      </c>
      <c r="O152" s="128" t="str">
        <f aca="false">IF($B152="","",INDEX('CARNET DE SOUDURE'!$AR$7:$AR$3006,MATCH(141,'CARNET DE SOUDURE'!$AV$7:$AV$3006,0)))</f>
        <v/>
      </c>
    </row>
    <row r="153" customFormat="false" ht="15" hidden="false" customHeight="false" outlineLevel="0" collapsed="false">
      <c r="B153" s="130" t="str">
        <f aca="false">IF(142&gt;$I$4,"",142)</f>
        <v/>
      </c>
      <c r="C153" s="130" t="str">
        <f aca="false">IF($B153="","",INDEX('CARNET DE SOUDURE'!$B$7:$B$3006,MATCH(142,'CARNET DE SOUDURE'!$AV$7:$AV$3006,0)))</f>
        <v/>
      </c>
      <c r="D153" s="130" t="str">
        <f aca="false">IF($B153="","",INDEX('CARNET DE SOUDURE'!$E$7:$E$3006,MATCH(142,'CARNET DE SOUDURE'!$AV$7:$AV$3006,0)))</f>
        <v/>
      </c>
      <c r="E153" s="130" t="str">
        <f aca="false">IF($B153="","",INDEX('CARNET DE SOUDURE'!$R$7:$R$3006,MATCH(142,'CARNET DE SOUDURE'!$AV$7:$AV$3006,0))&amp;IF(INDEX('CARNET DE SOUDURE'!$S$7:$S$3006,MATCH(142,'CARNET DE SOUDURE'!$AV$7:$AV$3006,0))&lt;&gt;""," / "&amp;INDEX('CARNET DE SOUDURE'!$S$7:$S$3006,MATCH(142,'CARNET DE SOUDURE'!$AV$7:$AV$3006,0)),"")&amp;IF(INDEX('CARNET DE SOUDURE'!$T$7:$T$3006,MATCH(142,'CARNET DE SOUDURE'!$AV$7:$AV$3006,0))&lt;&gt;""," / "&amp;INDEX('CARNET DE SOUDURE'!$T$7:$T$3006,MATCH(142,'CARNET DE SOUDURE'!$AV$7:$AV$3006,0)),""))</f>
        <v/>
      </c>
      <c r="F153" s="131" t="str">
        <f aca="false">IF($B153="","",INDEX('CARNET DE SOUDURE'!$Y$7:$Y$3006,MATCH(142,'CARNET DE SOUDURE'!$AV$7:$AV$3006,0)))</f>
        <v/>
      </c>
      <c r="G153" s="130" t="str">
        <f aca="false">IF($B153="","",INDEX('CARNET DE SOUDURE'!$Z$7:$Z$3006,MATCH(142,'CARNET DE SOUDURE'!$AV$7:$AV$3006,0))&amp;"")</f>
        <v/>
      </c>
      <c r="H153" s="132" t="str">
        <f aca="false">IF($B153="","",INDEX('CARNET DE SOUDURE'!$AA$7:$AA$3006,MATCH(142,'CARNET DE SOUDURE'!$AV$7:$AV$3006,0)))</f>
        <v/>
      </c>
      <c r="I153" s="130" t="str">
        <f aca="false">IF($B153="","",INDEX('CARNET DE SOUDURE'!$AB$7:$AB$3006,MATCH(142,'CARNET DE SOUDURE'!$AV$7:$AV$3006,0))&amp;"")</f>
        <v/>
      </c>
      <c r="J153" s="130" t="str">
        <f aca="false">IF($B153="","",INDEX('CARNET DE SOUDURE'!$AC$7:$AC$3006,MATCH(142,'CARNET DE SOUDURE'!$AV$7:$AV$3006,0))&amp;IF(INDEX('CARNET DE SOUDURE'!$AH$7:$AH$3006,MATCH(142,'CARNET DE SOUDURE'!$AV$7:$AV$3006,0))&lt;&gt;""," / "&amp;INDEX('CARNET DE SOUDURE'!$AH$7:$AH$3006,MATCH(142,'CARNET DE SOUDURE'!$AV$7:$AV$3006,0)),""))</f>
        <v/>
      </c>
      <c r="K153" s="130" t="str">
        <f aca="false">IF($B153="","",INDEX('CARNET DE SOUDURE'!$AD$7:$AD$3006,MATCH(142,'CARNET DE SOUDURE'!$AV$7:$AV$3006,0))&amp;IF(INDEX('CARNET DE SOUDURE'!$AI$7:$AI$3006,MATCH(142,'CARNET DE SOUDURE'!$AV$7:$AV$3006,0))&lt;&gt;""," / "&amp;INDEX('CARNET DE SOUDURE'!$AI$7:$AI$3006,MATCH(142,'CARNET DE SOUDURE'!$AV$7:$AV$3006,0)),""))</f>
        <v/>
      </c>
      <c r="L153" s="130" t="str">
        <f aca="false">IF($B153="","",INDEX('CARNET DE SOUDURE'!$AG$7:$AG$3006,MATCH(142,'CARNET DE SOUDURE'!$AV$7:$AV$3006,0))&amp;IF(INDEX('CARNET DE SOUDURE'!$AL$7:$AL$3006,MATCH(142,'CARNET DE SOUDURE'!$AV$7:$AV$3006,0))&lt;&gt;""," / "&amp;INDEX('CARNET DE SOUDURE'!$AL$7:$AL$3006,MATCH(142,'CARNET DE SOUDURE'!$AV$7:$AV$3006,0)),""))</f>
        <v/>
      </c>
      <c r="M153" s="132" t="str">
        <f aca="false">IF($B153="","",INDEX('CARNET DE SOUDURE'!$AP$7:$AP$3006,MATCH(142,'CARNET DE SOUDURE'!$AV$7:$AV$3006,0)))</f>
        <v/>
      </c>
      <c r="N153" s="132" t="str">
        <f aca="false">IF($B153="","",INDEX('CARNET DE SOUDURE'!$AQ$7:$AQ$3006,MATCH(142,'CARNET DE SOUDURE'!$AV$7:$AV$3006,0)))</f>
        <v/>
      </c>
      <c r="O153" s="133" t="str">
        <f aca="false">IF($B153="","",INDEX('CARNET DE SOUDURE'!$AR$7:$AR$3006,MATCH(142,'CARNET DE SOUDURE'!$AV$7:$AV$3006,0)))</f>
        <v/>
      </c>
    </row>
    <row r="154" customFormat="false" ht="15" hidden="false" customHeight="false" outlineLevel="0" collapsed="false">
      <c r="B154" s="125" t="str">
        <f aca="false">IF(143&gt;$I$4,"",143)</f>
        <v/>
      </c>
      <c r="C154" s="125" t="str">
        <f aca="false">IF($B154="","",INDEX('CARNET DE SOUDURE'!$B$7:$B$3006,MATCH(143,'CARNET DE SOUDURE'!$AV$7:$AV$3006,0)))</f>
        <v/>
      </c>
      <c r="D154" s="125" t="str">
        <f aca="false">IF($B154="","",INDEX('CARNET DE SOUDURE'!$E$7:$E$3006,MATCH(143,'CARNET DE SOUDURE'!$AV$7:$AV$3006,0)))</f>
        <v/>
      </c>
      <c r="E154" s="125" t="str">
        <f aca="false">IF($B154="","",INDEX('CARNET DE SOUDURE'!$R$7:$R$3006,MATCH(143,'CARNET DE SOUDURE'!$AV$7:$AV$3006,0))&amp;IF(INDEX('CARNET DE SOUDURE'!$S$7:$S$3006,MATCH(143,'CARNET DE SOUDURE'!$AV$7:$AV$3006,0))&lt;&gt;""," / "&amp;INDEX('CARNET DE SOUDURE'!$S$7:$S$3006,MATCH(143,'CARNET DE SOUDURE'!$AV$7:$AV$3006,0)),"")&amp;IF(INDEX('CARNET DE SOUDURE'!$T$7:$T$3006,MATCH(143,'CARNET DE SOUDURE'!$AV$7:$AV$3006,0))&lt;&gt;""," / "&amp;INDEX('CARNET DE SOUDURE'!$T$7:$T$3006,MATCH(143,'CARNET DE SOUDURE'!$AV$7:$AV$3006,0)),""))</f>
        <v/>
      </c>
      <c r="F154" s="126" t="str">
        <f aca="false">IF($B154="","",INDEX('CARNET DE SOUDURE'!$Y$7:$Y$3006,MATCH(143,'CARNET DE SOUDURE'!$AV$7:$AV$3006,0)))</f>
        <v/>
      </c>
      <c r="G154" s="125" t="str">
        <f aca="false">IF($B154="","",INDEX('CARNET DE SOUDURE'!$Z$7:$Z$3006,MATCH(143,'CARNET DE SOUDURE'!$AV$7:$AV$3006,0))&amp;"")</f>
        <v/>
      </c>
      <c r="H154" s="127" t="str">
        <f aca="false">IF($B154="","",INDEX('CARNET DE SOUDURE'!$AA$7:$AA$3006,MATCH(143,'CARNET DE SOUDURE'!$AV$7:$AV$3006,0)))</f>
        <v/>
      </c>
      <c r="I154" s="125" t="str">
        <f aca="false">IF($B154="","",INDEX('CARNET DE SOUDURE'!$AB$7:$AB$3006,MATCH(143,'CARNET DE SOUDURE'!$AV$7:$AV$3006,0))&amp;"")</f>
        <v/>
      </c>
      <c r="J154" s="125" t="str">
        <f aca="false">IF($B154="","",INDEX('CARNET DE SOUDURE'!$AC$7:$AC$3006,MATCH(143,'CARNET DE SOUDURE'!$AV$7:$AV$3006,0))&amp;IF(INDEX('CARNET DE SOUDURE'!$AH$7:$AH$3006,MATCH(143,'CARNET DE SOUDURE'!$AV$7:$AV$3006,0))&lt;&gt;""," / "&amp;INDEX('CARNET DE SOUDURE'!$AH$7:$AH$3006,MATCH(143,'CARNET DE SOUDURE'!$AV$7:$AV$3006,0)),""))</f>
        <v/>
      </c>
      <c r="K154" s="125" t="str">
        <f aca="false">IF($B154="","",INDEX('CARNET DE SOUDURE'!$AD$7:$AD$3006,MATCH(143,'CARNET DE SOUDURE'!$AV$7:$AV$3006,0))&amp;IF(INDEX('CARNET DE SOUDURE'!$AI$7:$AI$3006,MATCH(143,'CARNET DE SOUDURE'!$AV$7:$AV$3006,0))&lt;&gt;""," / "&amp;INDEX('CARNET DE SOUDURE'!$AI$7:$AI$3006,MATCH(143,'CARNET DE SOUDURE'!$AV$7:$AV$3006,0)),""))</f>
        <v/>
      </c>
      <c r="L154" s="125" t="str">
        <f aca="false">IF($B154="","",INDEX('CARNET DE SOUDURE'!$AG$7:$AG$3006,MATCH(143,'CARNET DE SOUDURE'!$AV$7:$AV$3006,0))&amp;IF(INDEX('CARNET DE SOUDURE'!$AL$7:$AL$3006,MATCH(143,'CARNET DE SOUDURE'!$AV$7:$AV$3006,0))&lt;&gt;""," / "&amp;INDEX('CARNET DE SOUDURE'!$AL$7:$AL$3006,MATCH(143,'CARNET DE SOUDURE'!$AV$7:$AV$3006,0)),""))</f>
        <v/>
      </c>
      <c r="M154" s="127" t="str">
        <f aca="false">IF($B154="","",INDEX('CARNET DE SOUDURE'!$AP$7:$AP$3006,MATCH(143,'CARNET DE SOUDURE'!$AV$7:$AV$3006,0)))</f>
        <v/>
      </c>
      <c r="N154" s="127" t="str">
        <f aca="false">IF($B154="","",INDEX('CARNET DE SOUDURE'!$AQ$7:$AQ$3006,MATCH(143,'CARNET DE SOUDURE'!$AV$7:$AV$3006,0)))</f>
        <v/>
      </c>
      <c r="O154" s="128" t="str">
        <f aca="false">IF($B154="","",INDEX('CARNET DE SOUDURE'!$AR$7:$AR$3006,MATCH(143,'CARNET DE SOUDURE'!$AV$7:$AV$3006,0)))</f>
        <v/>
      </c>
    </row>
    <row r="155" customFormat="false" ht="15" hidden="false" customHeight="false" outlineLevel="0" collapsed="false">
      <c r="B155" s="130" t="str">
        <f aca="false">IF(144&gt;$I$4,"",144)</f>
        <v/>
      </c>
      <c r="C155" s="130" t="str">
        <f aca="false">IF($B155="","",INDEX('CARNET DE SOUDURE'!$B$7:$B$3006,MATCH(144,'CARNET DE SOUDURE'!$AV$7:$AV$3006,0)))</f>
        <v/>
      </c>
      <c r="D155" s="130" t="str">
        <f aca="false">IF($B155="","",INDEX('CARNET DE SOUDURE'!$E$7:$E$3006,MATCH(144,'CARNET DE SOUDURE'!$AV$7:$AV$3006,0)))</f>
        <v/>
      </c>
      <c r="E155" s="130" t="str">
        <f aca="false">IF($B155="","",INDEX('CARNET DE SOUDURE'!$R$7:$R$3006,MATCH(144,'CARNET DE SOUDURE'!$AV$7:$AV$3006,0))&amp;IF(INDEX('CARNET DE SOUDURE'!$S$7:$S$3006,MATCH(144,'CARNET DE SOUDURE'!$AV$7:$AV$3006,0))&lt;&gt;""," / "&amp;INDEX('CARNET DE SOUDURE'!$S$7:$S$3006,MATCH(144,'CARNET DE SOUDURE'!$AV$7:$AV$3006,0)),"")&amp;IF(INDEX('CARNET DE SOUDURE'!$T$7:$T$3006,MATCH(144,'CARNET DE SOUDURE'!$AV$7:$AV$3006,0))&lt;&gt;""," / "&amp;INDEX('CARNET DE SOUDURE'!$T$7:$T$3006,MATCH(144,'CARNET DE SOUDURE'!$AV$7:$AV$3006,0)),""))</f>
        <v/>
      </c>
      <c r="F155" s="131" t="str">
        <f aca="false">IF($B155="","",INDEX('CARNET DE SOUDURE'!$Y$7:$Y$3006,MATCH(144,'CARNET DE SOUDURE'!$AV$7:$AV$3006,0)))</f>
        <v/>
      </c>
      <c r="G155" s="130" t="str">
        <f aca="false">IF($B155="","",INDEX('CARNET DE SOUDURE'!$Z$7:$Z$3006,MATCH(144,'CARNET DE SOUDURE'!$AV$7:$AV$3006,0))&amp;"")</f>
        <v/>
      </c>
      <c r="H155" s="132" t="str">
        <f aca="false">IF($B155="","",INDEX('CARNET DE SOUDURE'!$AA$7:$AA$3006,MATCH(144,'CARNET DE SOUDURE'!$AV$7:$AV$3006,0)))</f>
        <v/>
      </c>
      <c r="I155" s="130" t="str">
        <f aca="false">IF($B155="","",INDEX('CARNET DE SOUDURE'!$AB$7:$AB$3006,MATCH(144,'CARNET DE SOUDURE'!$AV$7:$AV$3006,0))&amp;"")</f>
        <v/>
      </c>
      <c r="J155" s="130" t="str">
        <f aca="false">IF($B155="","",INDEX('CARNET DE SOUDURE'!$AC$7:$AC$3006,MATCH(144,'CARNET DE SOUDURE'!$AV$7:$AV$3006,0))&amp;IF(INDEX('CARNET DE SOUDURE'!$AH$7:$AH$3006,MATCH(144,'CARNET DE SOUDURE'!$AV$7:$AV$3006,0))&lt;&gt;""," / "&amp;INDEX('CARNET DE SOUDURE'!$AH$7:$AH$3006,MATCH(144,'CARNET DE SOUDURE'!$AV$7:$AV$3006,0)),""))</f>
        <v/>
      </c>
      <c r="K155" s="130" t="str">
        <f aca="false">IF($B155="","",INDEX('CARNET DE SOUDURE'!$AD$7:$AD$3006,MATCH(144,'CARNET DE SOUDURE'!$AV$7:$AV$3006,0))&amp;IF(INDEX('CARNET DE SOUDURE'!$AI$7:$AI$3006,MATCH(144,'CARNET DE SOUDURE'!$AV$7:$AV$3006,0))&lt;&gt;""," / "&amp;INDEX('CARNET DE SOUDURE'!$AI$7:$AI$3006,MATCH(144,'CARNET DE SOUDURE'!$AV$7:$AV$3006,0)),""))</f>
        <v/>
      </c>
      <c r="L155" s="130" t="str">
        <f aca="false">IF($B155="","",INDEX('CARNET DE SOUDURE'!$AG$7:$AG$3006,MATCH(144,'CARNET DE SOUDURE'!$AV$7:$AV$3006,0))&amp;IF(INDEX('CARNET DE SOUDURE'!$AL$7:$AL$3006,MATCH(144,'CARNET DE SOUDURE'!$AV$7:$AV$3006,0))&lt;&gt;""," / "&amp;INDEX('CARNET DE SOUDURE'!$AL$7:$AL$3006,MATCH(144,'CARNET DE SOUDURE'!$AV$7:$AV$3006,0)),""))</f>
        <v/>
      </c>
      <c r="M155" s="132" t="str">
        <f aca="false">IF($B155="","",INDEX('CARNET DE SOUDURE'!$AP$7:$AP$3006,MATCH(144,'CARNET DE SOUDURE'!$AV$7:$AV$3006,0)))</f>
        <v/>
      </c>
      <c r="N155" s="132" t="str">
        <f aca="false">IF($B155="","",INDEX('CARNET DE SOUDURE'!$AQ$7:$AQ$3006,MATCH(144,'CARNET DE SOUDURE'!$AV$7:$AV$3006,0)))</f>
        <v/>
      </c>
      <c r="O155" s="133" t="str">
        <f aca="false">IF($B155="","",INDEX('CARNET DE SOUDURE'!$AR$7:$AR$3006,MATCH(144,'CARNET DE SOUDURE'!$AV$7:$AV$3006,0)))</f>
        <v/>
      </c>
    </row>
    <row r="156" customFormat="false" ht="15" hidden="false" customHeight="false" outlineLevel="0" collapsed="false">
      <c r="B156" s="125" t="str">
        <f aca="false">IF(145&gt;$I$4,"",145)</f>
        <v/>
      </c>
      <c r="C156" s="125" t="str">
        <f aca="false">IF($B156="","",INDEX('CARNET DE SOUDURE'!$B$7:$B$3006,MATCH(145,'CARNET DE SOUDURE'!$AV$7:$AV$3006,0)))</f>
        <v/>
      </c>
      <c r="D156" s="125" t="str">
        <f aca="false">IF($B156="","",INDEX('CARNET DE SOUDURE'!$E$7:$E$3006,MATCH(145,'CARNET DE SOUDURE'!$AV$7:$AV$3006,0)))</f>
        <v/>
      </c>
      <c r="E156" s="125" t="str">
        <f aca="false">IF($B156="","",INDEX('CARNET DE SOUDURE'!$R$7:$R$3006,MATCH(145,'CARNET DE SOUDURE'!$AV$7:$AV$3006,0))&amp;IF(INDEX('CARNET DE SOUDURE'!$S$7:$S$3006,MATCH(145,'CARNET DE SOUDURE'!$AV$7:$AV$3006,0))&lt;&gt;""," / "&amp;INDEX('CARNET DE SOUDURE'!$S$7:$S$3006,MATCH(145,'CARNET DE SOUDURE'!$AV$7:$AV$3006,0)),"")&amp;IF(INDEX('CARNET DE SOUDURE'!$T$7:$T$3006,MATCH(145,'CARNET DE SOUDURE'!$AV$7:$AV$3006,0))&lt;&gt;""," / "&amp;INDEX('CARNET DE SOUDURE'!$T$7:$T$3006,MATCH(145,'CARNET DE SOUDURE'!$AV$7:$AV$3006,0)),""))</f>
        <v/>
      </c>
      <c r="F156" s="126" t="str">
        <f aca="false">IF($B156="","",INDEX('CARNET DE SOUDURE'!$Y$7:$Y$3006,MATCH(145,'CARNET DE SOUDURE'!$AV$7:$AV$3006,0)))</f>
        <v/>
      </c>
      <c r="G156" s="125" t="str">
        <f aca="false">IF($B156="","",INDEX('CARNET DE SOUDURE'!$Z$7:$Z$3006,MATCH(145,'CARNET DE SOUDURE'!$AV$7:$AV$3006,0))&amp;"")</f>
        <v/>
      </c>
      <c r="H156" s="127" t="str">
        <f aca="false">IF($B156="","",INDEX('CARNET DE SOUDURE'!$AA$7:$AA$3006,MATCH(145,'CARNET DE SOUDURE'!$AV$7:$AV$3006,0)))</f>
        <v/>
      </c>
      <c r="I156" s="125" t="str">
        <f aca="false">IF($B156="","",INDEX('CARNET DE SOUDURE'!$AB$7:$AB$3006,MATCH(145,'CARNET DE SOUDURE'!$AV$7:$AV$3006,0))&amp;"")</f>
        <v/>
      </c>
      <c r="J156" s="125" t="str">
        <f aca="false">IF($B156="","",INDEX('CARNET DE SOUDURE'!$AC$7:$AC$3006,MATCH(145,'CARNET DE SOUDURE'!$AV$7:$AV$3006,0))&amp;IF(INDEX('CARNET DE SOUDURE'!$AH$7:$AH$3006,MATCH(145,'CARNET DE SOUDURE'!$AV$7:$AV$3006,0))&lt;&gt;""," / "&amp;INDEX('CARNET DE SOUDURE'!$AH$7:$AH$3006,MATCH(145,'CARNET DE SOUDURE'!$AV$7:$AV$3006,0)),""))</f>
        <v/>
      </c>
      <c r="K156" s="125" t="str">
        <f aca="false">IF($B156="","",INDEX('CARNET DE SOUDURE'!$AD$7:$AD$3006,MATCH(145,'CARNET DE SOUDURE'!$AV$7:$AV$3006,0))&amp;IF(INDEX('CARNET DE SOUDURE'!$AI$7:$AI$3006,MATCH(145,'CARNET DE SOUDURE'!$AV$7:$AV$3006,0))&lt;&gt;""," / "&amp;INDEX('CARNET DE SOUDURE'!$AI$7:$AI$3006,MATCH(145,'CARNET DE SOUDURE'!$AV$7:$AV$3006,0)),""))</f>
        <v/>
      </c>
      <c r="L156" s="125" t="str">
        <f aca="false">IF($B156="","",INDEX('CARNET DE SOUDURE'!$AG$7:$AG$3006,MATCH(145,'CARNET DE SOUDURE'!$AV$7:$AV$3006,0))&amp;IF(INDEX('CARNET DE SOUDURE'!$AL$7:$AL$3006,MATCH(145,'CARNET DE SOUDURE'!$AV$7:$AV$3006,0))&lt;&gt;""," / "&amp;INDEX('CARNET DE SOUDURE'!$AL$7:$AL$3006,MATCH(145,'CARNET DE SOUDURE'!$AV$7:$AV$3006,0)),""))</f>
        <v/>
      </c>
      <c r="M156" s="127" t="str">
        <f aca="false">IF($B156="","",INDEX('CARNET DE SOUDURE'!$AP$7:$AP$3006,MATCH(145,'CARNET DE SOUDURE'!$AV$7:$AV$3006,0)))</f>
        <v/>
      </c>
      <c r="N156" s="127" t="str">
        <f aca="false">IF($B156="","",INDEX('CARNET DE SOUDURE'!$AQ$7:$AQ$3006,MATCH(145,'CARNET DE SOUDURE'!$AV$7:$AV$3006,0)))</f>
        <v/>
      </c>
      <c r="O156" s="128" t="str">
        <f aca="false">IF($B156="","",INDEX('CARNET DE SOUDURE'!$AR$7:$AR$3006,MATCH(145,'CARNET DE SOUDURE'!$AV$7:$AV$3006,0)))</f>
        <v/>
      </c>
    </row>
    <row r="157" customFormat="false" ht="15" hidden="false" customHeight="false" outlineLevel="0" collapsed="false">
      <c r="B157" s="130" t="str">
        <f aca="false">IF(146&gt;$I$4,"",146)</f>
        <v/>
      </c>
      <c r="C157" s="130" t="str">
        <f aca="false">IF($B157="","",INDEX('CARNET DE SOUDURE'!$B$7:$B$3006,MATCH(146,'CARNET DE SOUDURE'!$AV$7:$AV$3006,0)))</f>
        <v/>
      </c>
      <c r="D157" s="130" t="str">
        <f aca="false">IF($B157="","",INDEX('CARNET DE SOUDURE'!$E$7:$E$3006,MATCH(146,'CARNET DE SOUDURE'!$AV$7:$AV$3006,0)))</f>
        <v/>
      </c>
      <c r="E157" s="130" t="str">
        <f aca="false">IF($B157="","",INDEX('CARNET DE SOUDURE'!$R$7:$R$3006,MATCH(146,'CARNET DE SOUDURE'!$AV$7:$AV$3006,0))&amp;IF(INDEX('CARNET DE SOUDURE'!$S$7:$S$3006,MATCH(146,'CARNET DE SOUDURE'!$AV$7:$AV$3006,0))&lt;&gt;""," / "&amp;INDEX('CARNET DE SOUDURE'!$S$7:$S$3006,MATCH(146,'CARNET DE SOUDURE'!$AV$7:$AV$3006,0)),"")&amp;IF(INDEX('CARNET DE SOUDURE'!$T$7:$T$3006,MATCH(146,'CARNET DE SOUDURE'!$AV$7:$AV$3006,0))&lt;&gt;""," / "&amp;INDEX('CARNET DE SOUDURE'!$T$7:$T$3006,MATCH(146,'CARNET DE SOUDURE'!$AV$7:$AV$3006,0)),""))</f>
        <v/>
      </c>
      <c r="F157" s="131" t="str">
        <f aca="false">IF($B157="","",INDEX('CARNET DE SOUDURE'!$Y$7:$Y$3006,MATCH(146,'CARNET DE SOUDURE'!$AV$7:$AV$3006,0)))</f>
        <v/>
      </c>
      <c r="G157" s="130" t="str">
        <f aca="false">IF($B157="","",INDEX('CARNET DE SOUDURE'!$Z$7:$Z$3006,MATCH(146,'CARNET DE SOUDURE'!$AV$7:$AV$3006,0))&amp;"")</f>
        <v/>
      </c>
      <c r="H157" s="132" t="str">
        <f aca="false">IF($B157="","",INDEX('CARNET DE SOUDURE'!$AA$7:$AA$3006,MATCH(146,'CARNET DE SOUDURE'!$AV$7:$AV$3006,0)))</f>
        <v/>
      </c>
      <c r="I157" s="130" t="str">
        <f aca="false">IF($B157="","",INDEX('CARNET DE SOUDURE'!$AB$7:$AB$3006,MATCH(146,'CARNET DE SOUDURE'!$AV$7:$AV$3006,0))&amp;"")</f>
        <v/>
      </c>
      <c r="J157" s="130" t="str">
        <f aca="false">IF($B157="","",INDEX('CARNET DE SOUDURE'!$AC$7:$AC$3006,MATCH(146,'CARNET DE SOUDURE'!$AV$7:$AV$3006,0))&amp;IF(INDEX('CARNET DE SOUDURE'!$AH$7:$AH$3006,MATCH(146,'CARNET DE SOUDURE'!$AV$7:$AV$3006,0))&lt;&gt;""," / "&amp;INDEX('CARNET DE SOUDURE'!$AH$7:$AH$3006,MATCH(146,'CARNET DE SOUDURE'!$AV$7:$AV$3006,0)),""))</f>
        <v/>
      </c>
      <c r="K157" s="130" t="str">
        <f aca="false">IF($B157="","",INDEX('CARNET DE SOUDURE'!$AD$7:$AD$3006,MATCH(146,'CARNET DE SOUDURE'!$AV$7:$AV$3006,0))&amp;IF(INDEX('CARNET DE SOUDURE'!$AI$7:$AI$3006,MATCH(146,'CARNET DE SOUDURE'!$AV$7:$AV$3006,0))&lt;&gt;""," / "&amp;INDEX('CARNET DE SOUDURE'!$AI$7:$AI$3006,MATCH(146,'CARNET DE SOUDURE'!$AV$7:$AV$3006,0)),""))</f>
        <v/>
      </c>
      <c r="L157" s="130" t="str">
        <f aca="false">IF($B157="","",INDEX('CARNET DE SOUDURE'!$AG$7:$AG$3006,MATCH(146,'CARNET DE SOUDURE'!$AV$7:$AV$3006,0))&amp;IF(INDEX('CARNET DE SOUDURE'!$AL$7:$AL$3006,MATCH(146,'CARNET DE SOUDURE'!$AV$7:$AV$3006,0))&lt;&gt;""," / "&amp;INDEX('CARNET DE SOUDURE'!$AL$7:$AL$3006,MATCH(146,'CARNET DE SOUDURE'!$AV$7:$AV$3006,0)),""))</f>
        <v/>
      </c>
      <c r="M157" s="132" t="str">
        <f aca="false">IF($B157="","",INDEX('CARNET DE SOUDURE'!$AP$7:$AP$3006,MATCH(146,'CARNET DE SOUDURE'!$AV$7:$AV$3006,0)))</f>
        <v/>
      </c>
      <c r="N157" s="132" t="str">
        <f aca="false">IF($B157="","",INDEX('CARNET DE SOUDURE'!$AQ$7:$AQ$3006,MATCH(146,'CARNET DE SOUDURE'!$AV$7:$AV$3006,0)))</f>
        <v/>
      </c>
      <c r="O157" s="133" t="str">
        <f aca="false">IF($B157="","",INDEX('CARNET DE SOUDURE'!$AR$7:$AR$3006,MATCH(146,'CARNET DE SOUDURE'!$AV$7:$AV$3006,0)))</f>
        <v/>
      </c>
    </row>
    <row r="158" customFormat="false" ht="15" hidden="false" customHeight="false" outlineLevel="0" collapsed="false">
      <c r="B158" s="125" t="str">
        <f aca="false">IF(147&gt;$I$4,"",147)</f>
        <v/>
      </c>
      <c r="C158" s="125" t="str">
        <f aca="false">IF($B158="","",INDEX('CARNET DE SOUDURE'!$B$7:$B$3006,MATCH(147,'CARNET DE SOUDURE'!$AV$7:$AV$3006,0)))</f>
        <v/>
      </c>
      <c r="D158" s="125" t="str">
        <f aca="false">IF($B158="","",INDEX('CARNET DE SOUDURE'!$E$7:$E$3006,MATCH(147,'CARNET DE SOUDURE'!$AV$7:$AV$3006,0)))</f>
        <v/>
      </c>
      <c r="E158" s="125" t="str">
        <f aca="false">IF($B158="","",INDEX('CARNET DE SOUDURE'!$R$7:$R$3006,MATCH(147,'CARNET DE SOUDURE'!$AV$7:$AV$3006,0))&amp;IF(INDEX('CARNET DE SOUDURE'!$S$7:$S$3006,MATCH(147,'CARNET DE SOUDURE'!$AV$7:$AV$3006,0))&lt;&gt;""," / "&amp;INDEX('CARNET DE SOUDURE'!$S$7:$S$3006,MATCH(147,'CARNET DE SOUDURE'!$AV$7:$AV$3006,0)),"")&amp;IF(INDEX('CARNET DE SOUDURE'!$T$7:$T$3006,MATCH(147,'CARNET DE SOUDURE'!$AV$7:$AV$3006,0))&lt;&gt;""," / "&amp;INDEX('CARNET DE SOUDURE'!$T$7:$T$3006,MATCH(147,'CARNET DE SOUDURE'!$AV$7:$AV$3006,0)),""))</f>
        <v/>
      </c>
      <c r="F158" s="126" t="str">
        <f aca="false">IF($B158="","",INDEX('CARNET DE SOUDURE'!$Y$7:$Y$3006,MATCH(147,'CARNET DE SOUDURE'!$AV$7:$AV$3006,0)))</f>
        <v/>
      </c>
      <c r="G158" s="125" t="str">
        <f aca="false">IF($B158="","",INDEX('CARNET DE SOUDURE'!$Z$7:$Z$3006,MATCH(147,'CARNET DE SOUDURE'!$AV$7:$AV$3006,0))&amp;"")</f>
        <v/>
      </c>
      <c r="H158" s="127" t="str">
        <f aca="false">IF($B158="","",INDEX('CARNET DE SOUDURE'!$AA$7:$AA$3006,MATCH(147,'CARNET DE SOUDURE'!$AV$7:$AV$3006,0)))</f>
        <v/>
      </c>
      <c r="I158" s="125" t="str">
        <f aca="false">IF($B158="","",INDEX('CARNET DE SOUDURE'!$AB$7:$AB$3006,MATCH(147,'CARNET DE SOUDURE'!$AV$7:$AV$3006,0))&amp;"")</f>
        <v/>
      </c>
      <c r="J158" s="125" t="str">
        <f aca="false">IF($B158="","",INDEX('CARNET DE SOUDURE'!$AC$7:$AC$3006,MATCH(147,'CARNET DE SOUDURE'!$AV$7:$AV$3006,0))&amp;IF(INDEX('CARNET DE SOUDURE'!$AH$7:$AH$3006,MATCH(147,'CARNET DE SOUDURE'!$AV$7:$AV$3006,0))&lt;&gt;""," / "&amp;INDEX('CARNET DE SOUDURE'!$AH$7:$AH$3006,MATCH(147,'CARNET DE SOUDURE'!$AV$7:$AV$3006,0)),""))</f>
        <v/>
      </c>
      <c r="K158" s="125" t="str">
        <f aca="false">IF($B158="","",INDEX('CARNET DE SOUDURE'!$AD$7:$AD$3006,MATCH(147,'CARNET DE SOUDURE'!$AV$7:$AV$3006,0))&amp;IF(INDEX('CARNET DE SOUDURE'!$AI$7:$AI$3006,MATCH(147,'CARNET DE SOUDURE'!$AV$7:$AV$3006,0))&lt;&gt;""," / "&amp;INDEX('CARNET DE SOUDURE'!$AI$7:$AI$3006,MATCH(147,'CARNET DE SOUDURE'!$AV$7:$AV$3006,0)),""))</f>
        <v/>
      </c>
      <c r="L158" s="125" t="str">
        <f aca="false">IF($B158="","",INDEX('CARNET DE SOUDURE'!$AG$7:$AG$3006,MATCH(147,'CARNET DE SOUDURE'!$AV$7:$AV$3006,0))&amp;IF(INDEX('CARNET DE SOUDURE'!$AL$7:$AL$3006,MATCH(147,'CARNET DE SOUDURE'!$AV$7:$AV$3006,0))&lt;&gt;""," / "&amp;INDEX('CARNET DE SOUDURE'!$AL$7:$AL$3006,MATCH(147,'CARNET DE SOUDURE'!$AV$7:$AV$3006,0)),""))</f>
        <v/>
      </c>
      <c r="M158" s="127" t="str">
        <f aca="false">IF($B158="","",INDEX('CARNET DE SOUDURE'!$AP$7:$AP$3006,MATCH(147,'CARNET DE SOUDURE'!$AV$7:$AV$3006,0)))</f>
        <v/>
      </c>
      <c r="N158" s="127" t="str">
        <f aca="false">IF($B158="","",INDEX('CARNET DE SOUDURE'!$AQ$7:$AQ$3006,MATCH(147,'CARNET DE SOUDURE'!$AV$7:$AV$3006,0)))</f>
        <v/>
      </c>
      <c r="O158" s="128" t="str">
        <f aca="false">IF($B158="","",INDEX('CARNET DE SOUDURE'!$AR$7:$AR$3006,MATCH(147,'CARNET DE SOUDURE'!$AV$7:$AV$3006,0)))</f>
        <v/>
      </c>
    </row>
    <row r="159" customFormat="false" ht="15" hidden="false" customHeight="false" outlineLevel="0" collapsed="false">
      <c r="B159" s="130" t="str">
        <f aca="false">IF(148&gt;$I$4,"",148)</f>
        <v/>
      </c>
      <c r="C159" s="130" t="str">
        <f aca="false">IF($B159="","",INDEX('CARNET DE SOUDURE'!$B$7:$B$3006,MATCH(148,'CARNET DE SOUDURE'!$AV$7:$AV$3006,0)))</f>
        <v/>
      </c>
      <c r="D159" s="130" t="str">
        <f aca="false">IF($B159="","",INDEX('CARNET DE SOUDURE'!$E$7:$E$3006,MATCH(148,'CARNET DE SOUDURE'!$AV$7:$AV$3006,0)))</f>
        <v/>
      </c>
      <c r="E159" s="130" t="str">
        <f aca="false">IF($B159="","",INDEX('CARNET DE SOUDURE'!$R$7:$R$3006,MATCH(148,'CARNET DE SOUDURE'!$AV$7:$AV$3006,0))&amp;IF(INDEX('CARNET DE SOUDURE'!$S$7:$S$3006,MATCH(148,'CARNET DE SOUDURE'!$AV$7:$AV$3006,0))&lt;&gt;""," / "&amp;INDEX('CARNET DE SOUDURE'!$S$7:$S$3006,MATCH(148,'CARNET DE SOUDURE'!$AV$7:$AV$3006,0)),"")&amp;IF(INDEX('CARNET DE SOUDURE'!$T$7:$T$3006,MATCH(148,'CARNET DE SOUDURE'!$AV$7:$AV$3006,0))&lt;&gt;""," / "&amp;INDEX('CARNET DE SOUDURE'!$T$7:$T$3006,MATCH(148,'CARNET DE SOUDURE'!$AV$7:$AV$3006,0)),""))</f>
        <v/>
      </c>
      <c r="F159" s="131" t="str">
        <f aca="false">IF($B159="","",INDEX('CARNET DE SOUDURE'!$Y$7:$Y$3006,MATCH(148,'CARNET DE SOUDURE'!$AV$7:$AV$3006,0)))</f>
        <v/>
      </c>
      <c r="G159" s="130" t="str">
        <f aca="false">IF($B159="","",INDEX('CARNET DE SOUDURE'!$Z$7:$Z$3006,MATCH(148,'CARNET DE SOUDURE'!$AV$7:$AV$3006,0))&amp;"")</f>
        <v/>
      </c>
      <c r="H159" s="132" t="str">
        <f aca="false">IF($B159="","",INDEX('CARNET DE SOUDURE'!$AA$7:$AA$3006,MATCH(148,'CARNET DE SOUDURE'!$AV$7:$AV$3006,0)))</f>
        <v/>
      </c>
      <c r="I159" s="130" t="str">
        <f aca="false">IF($B159="","",INDEX('CARNET DE SOUDURE'!$AB$7:$AB$3006,MATCH(148,'CARNET DE SOUDURE'!$AV$7:$AV$3006,0))&amp;"")</f>
        <v/>
      </c>
      <c r="J159" s="130" t="str">
        <f aca="false">IF($B159="","",INDEX('CARNET DE SOUDURE'!$AC$7:$AC$3006,MATCH(148,'CARNET DE SOUDURE'!$AV$7:$AV$3006,0))&amp;IF(INDEX('CARNET DE SOUDURE'!$AH$7:$AH$3006,MATCH(148,'CARNET DE SOUDURE'!$AV$7:$AV$3006,0))&lt;&gt;""," / "&amp;INDEX('CARNET DE SOUDURE'!$AH$7:$AH$3006,MATCH(148,'CARNET DE SOUDURE'!$AV$7:$AV$3006,0)),""))</f>
        <v/>
      </c>
      <c r="K159" s="130" t="str">
        <f aca="false">IF($B159="","",INDEX('CARNET DE SOUDURE'!$AD$7:$AD$3006,MATCH(148,'CARNET DE SOUDURE'!$AV$7:$AV$3006,0))&amp;IF(INDEX('CARNET DE SOUDURE'!$AI$7:$AI$3006,MATCH(148,'CARNET DE SOUDURE'!$AV$7:$AV$3006,0))&lt;&gt;""," / "&amp;INDEX('CARNET DE SOUDURE'!$AI$7:$AI$3006,MATCH(148,'CARNET DE SOUDURE'!$AV$7:$AV$3006,0)),""))</f>
        <v/>
      </c>
      <c r="L159" s="130" t="str">
        <f aca="false">IF($B159="","",INDEX('CARNET DE SOUDURE'!$AG$7:$AG$3006,MATCH(148,'CARNET DE SOUDURE'!$AV$7:$AV$3006,0))&amp;IF(INDEX('CARNET DE SOUDURE'!$AL$7:$AL$3006,MATCH(148,'CARNET DE SOUDURE'!$AV$7:$AV$3006,0))&lt;&gt;""," / "&amp;INDEX('CARNET DE SOUDURE'!$AL$7:$AL$3006,MATCH(148,'CARNET DE SOUDURE'!$AV$7:$AV$3006,0)),""))</f>
        <v/>
      </c>
      <c r="M159" s="132" t="str">
        <f aca="false">IF($B159="","",INDEX('CARNET DE SOUDURE'!$AP$7:$AP$3006,MATCH(148,'CARNET DE SOUDURE'!$AV$7:$AV$3006,0)))</f>
        <v/>
      </c>
      <c r="N159" s="132" t="str">
        <f aca="false">IF($B159="","",INDEX('CARNET DE SOUDURE'!$AQ$7:$AQ$3006,MATCH(148,'CARNET DE SOUDURE'!$AV$7:$AV$3006,0)))</f>
        <v/>
      </c>
      <c r="O159" s="133" t="str">
        <f aca="false">IF($B159="","",INDEX('CARNET DE SOUDURE'!$AR$7:$AR$3006,MATCH(148,'CARNET DE SOUDURE'!$AV$7:$AV$3006,0)))</f>
        <v/>
      </c>
    </row>
    <row r="160" customFormat="false" ht="15" hidden="false" customHeight="false" outlineLevel="0" collapsed="false">
      <c r="B160" s="125" t="str">
        <f aca="false">IF(149&gt;$I$4,"",149)</f>
        <v/>
      </c>
      <c r="C160" s="125" t="str">
        <f aca="false">IF($B160="","",INDEX('CARNET DE SOUDURE'!$B$7:$B$3006,MATCH(149,'CARNET DE SOUDURE'!$AV$7:$AV$3006,0)))</f>
        <v/>
      </c>
      <c r="D160" s="125" t="str">
        <f aca="false">IF($B160="","",INDEX('CARNET DE SOUDURE'!$E$7:$E$3006,MATCH(149,'CARNET DE SOUDURE'!$AV$7:$AV$3006,0)))</f>
        <v/>
      </c>
      <c r="E160" s="125" t="str">
        <f aca="false">IF($B160="","",INDEX('CARNET DE SOUDURE'!$R$7:$R$3006,MATCH(149,'CARNET DE SOUDURE'!$AV$7:$AV$3006,0))&amp;IF(INDEX('CARNET DE SOUDURE'!$S$7:$S$3006,MATCH(149,'CARNET DE SOUDURE'!$AV$7:$AV$3006,0))&lt;&gt;""," / "&amp;INDEX('CARNET DE SOUDURE'!$S$7:$S$3006,MATCH(149,'CARNET DE SOUDURE'!$AV$7:$AV$3006,0)),"")&amp;IF(INDEX('CARNET DE SOUDURE'!$T$7:$T$3006,MATCH(149,'CARNET DE SOUDURE'!$AV$7:$AV$3006,0))&lt;&gt;""," / "&amp;INDEX('CARNET DE SOUDURE'!$T$7:$T$3006,MATCH(149,'CARNET DE SOUDURE'!$AV$7:$AV$3006,0)),""))</f>
        <v/>
      </c>
      <c r="F160" s="126" t="str">
        <f aca="false">IF($B160="","",INDEX('CARNET DE SOUDURE'!$Y$7:$Y$3006,MATCH(149,'CARNET DE SOUDURE'!$AV$7:$AV$3006,0)))</f>
        <v/>
      </c>
      <c r="G160" s="125" t="str">
        <f aca="false">IF($B160="","",INDEX('CARNET DE SOUDURE'!$Z$7:$Z$3006,MATCH(149,'CARNET DE SOUDURE'!$AV$7:$AV$3006,0))&amp;"")</f>
        <v/>
      </c>
      <c r="H160" s="127" t="str">
        <f aca="false">IF($B160="","",INDEX('CARNET DE SOUDURE'!$AA$7:$AA$3006,MATCH(149,'CARNET DE SOUDURE'!$AV$7:$AV$3006,0)))</f>
        <v/>
      </c>
      <c r="I160" s="125" t="str">
        <f aca="false">IF($B160="","",INDEX('CARNET DE SOUDURE'!$AB$7:$AB$3006,MATCH(149,'CARNET DE SOUDURE'!$AV$7:$AV$3006,0))&amp;"")</f>
        <v/>
      </c>
      <c r="J160" s="125" t="str">
        <f aca="false">IF($B160="","",INDEX('CARNET DE SOUDURE'!$AC$7:$AC$3006,MATCH(149,'CARNET DE SOUDURE'!$AV$7:$AV$3006,0))&amp;IF(INDEX('CARNET DE SOUDURE'!$AH$7:$AH$3006,MATCH(149,'CARNET DE SOUDURE'!$AV$7:$AV$3006,0))&lt;&gt;""," / "&amp;INDEX('CARNET DE SOUDURE'!$AH$7:$AH$3006,MATCH(149,'CARNET DE SOUDURE'!$AV$7:$AV$3006,0)),""))</f>
        <v/>
      </c>
      <c r="K160" s="125" t="str">
        <f aca="false">IF($B160="","",INDEX('CARNET DE SOUDURE'!$AD$7:$AD$3006,MATCH(149,'CARNET DE SOUDURE'!$AV$7:$AV$3006,0))&amp;IF(INDEX('CARNET DE SOUDURE'!$AI$7:$AI$3006,MATCH(149,'CARNET DE SOUDURE'!$AV$7:$AV$3006,0))&lt;&gt;""," / "&amp;INDEX('CARNET DE SOUDURE'!$AI$7:$AI$3006,MATCH(149,'CARNET DE SOUDURE'!$AV$7:$AV$3006,0)),""))</f>
        <v/>
      </c>
      <c r="L160" s="125" t="str">
        <f aca="false">IF($B160="","",INDEX('CARNET DE SOUDURE'!$AG$7:$AG$3006,MATCH(149,'CARNET DE SOUDURE'!$AV$7:$AV$3006,0))&amp;IF(INDEX('CARNET DE SOUDURE'!$AL$7:$AL$3006,MATCH(149,'CARNET DE SOUDURE'!$AV$7:$AV$3006,0))&lt;&gt;""," / "&amp;INDEX('CARNET DE SOUDURE'!$AL$7:$AL$3006,MATCH(149,'CARNET DE SOUDURE'!$AV$7:$AV$3006,0)),""))</f>
        <v/>
      </c>
      <c r="M160" s="127" t="str">
        <f aca="false">IF($B160="","",INDEX('CARNET DE SOUDURE'!$AP$7:$AP$3006,MATCH(149,'CARNET DE SOUDURE'!$AV$7:$AV$3006,0)))</f>
        <v/>
      </c>
      <c r="N160" s="127" t="str">
        <f aca="false">IF($B160="","",INDEX('CARNET DE SOUDURE'!$AQ$7:$AQ$3006,MATCH(149,'CARNET DE SOUDURE'!$AV$7:$AV$3006,0)))</f>
        <v/>
      </c>
      <c r="O160" s="128" t="str">
        <f aca="false">IF($B160="","",INDEX('CARNET DE SOUDURE'!$AR$7:$AR$3006,MATCH(149,'CARNET DE SOUDURE'!$AV$7:$AV$3006,0)))</f>
        <v/>
      </c>
    </row>
    <row r="161" customFormat="false" ht="15" hidden="false" customHeight="false" outlineLevel="0" collapsed="false">
      <c r="B161" s="130" t="str">
        <f aca="false">IF(150&gt;$I$4,"",150)</f>
        <v/>
      </c>
      <c r="C161" s="130" t="str">
        <f aca="false">IF($B161="","",INDEX('CARNET DE SOUDURE'!$B$7:$B$3006,MATCH(150,'CARNET DE SOUDURE'!$AV$7:$AV$3006,0)))</f>
        <v/>
      </c>
      <c r="D161" s="130" t="str">
        <f aca="false">IF($B161="","",INDEX('CARNET DE SOUDURE'!$E$7:$E$3006,MATCH(150,'CARNET DE SOUDURE'!$AV$7:$AV$3006,0)))</f>
        <v/>
      </c>
      <c r="E161" s="130" t="str">
        <f aca="false">IF($B161="","",INDEX('CARNET DE SOUDURE'!$R$7:$R$3006,MATCH(150,'CARNET DE SOUDURE'!$AV$7:$AV$3006,0))&amp;IF(INDEX('CARNET DE SOUDURE'!$S$7:$S$3006,MATCH(150,'CARNET DE SOUDURE'!$AV$7:$AV$3006,0))&lt;&gt;""," / "&amp;INDEX('CARNET DE SOUDURE'!$S$7:$S$3006,MATCH(150,'CARNET DE SOUDURE'!$AV$7:$AV$3006,0)),"")&amp;IF(INDEX('CARNET DE SOUDURE'!$T$7:$T$3006,MATCH(150,'CARNET DE SOUDURE'!$AV$7:$AV$3006,0))&lt;&gt;""," / "&amp;INDEX('CARNET DE SOUDURE'!$T$7:$T$3006,MATCH(150,'CARNET DE SOUDURE'!$AV$7:$AV$3006,0)),""))</f>
        <v/>
      </c>
      <c r="F161" s="131" t="str">
        <f aca="false">IF($B161="","",INDEX('CARNET DE SOUDURE'!$Y$7:$Y$3006,MATCH(150,'CARNET DE SOUDURE'!$AV$7:$AV$3006,0)))</f>
        <v/>
      </c>
      <c r="G161" s="130" t="str">
        <f aca="false">IF($B161="","",INDEX('CARNET DE SOUDURE'!$Z$7:$Z$3006,MATCH(150,'CARNET DE SOUDURE'!$AV$7:$AV$3006,0))&amp;"")</f>
        <v/>
      </c>
      <c r="H161" s="132" t="str">
        <f aca="false">IF($B161="","",INDEX('CARNET DE SOUDURE'!$AA$7:$AA$3006,MATCH(150,'CARNET DE SOUDURE'!$AV$7:$AV$3006,0)))</f>
        <v/>
      </c>
      <c r="I161" s="130" t="str">
        <f aca="false">IF($B161="","",INDEX('CARNET DE SOUDURE'!$AB$7:$AB$3006,MATCH(150,'CARNET DE SOUDURE'!$AV$7:$AV$3006,0))&amp;"")</f>
        <v/>
      </c>
      <c r="J161" s="130" t="str">
        <f aca="false">IF($B161="","",INDEX('CARNET DE SOUDURE'!$AC$7:$AC$3006,MATCH(150,'CARNET DE SOUDURE'!$AV$7:$AV$3006,0))&amp;IF(INDEX('CARNET DE SOUDURE'!$AH$7:$AH$3006,MATCH(150,'CARNET DE SOUDURE'!$AV$7:$AV$3006,0))&lt;&gt;""," / "&amp;INDEX('CARNET DE SOUDURE'!$AH$7:$AH$3006,MATCH(150,'CARNET DE SOUDURE'!$AV$7:$AV$3006,0)),""))</f>
        <v/>
      </c>
      <c r="K161" s="130" t="str">
        <f aca="false">IF($B161="","",INDEX('CARNET DE SOUDURE'!$AD$7:$AD$3006,MATCH(150,'CARNET DE SOUDURE'!$AV$7:$AV$3006,0))&amp;IF(INDEX('CARNET DE SOUDURE'!$AI$7:$AI$3006,MATCH(150,'CARNET DE SOUDURE'!$AV$7:$AV$3006,0))&lt;&gt;""," / "&amp;INDEX('CARNET DE SOUDURE'!$AI$7:$AI$3006,MATCH(150,'CARNET DE SOUDURE'!$AV$7:$AV$3006,0)),""))</f>
        <v/>
      </c>
      <c r="L161" s="130" t="str">
        <f aca="false">IF($B161="","",INDEX('CARNET DE SOUDURE'!$AG$7:$AG$3006,MATCH(150,'CARNET DE SOUDURE'!$AV$7:$AV$3006,0))&amp;IF(INDEX('CARNET DE SOUDURE'!$AL$7:$AL$3006,MATCH(150,'CARNET DE SOUDURE'!$AV$7:$AV$3006,0))&lt;&gt;""," / "&amp;INDEX('CARNET DE SOUDURE'!$AL$7:$AL$3006,MATCH(150,'CARNET DE SOUDURE'!$AV$7:$AV$3006,0)),""))</f>
        <v/>
      </c>
      <c r="M161" s="132" t="str">
        <f aca="false">IF($B161="","",INDEX('CARNET DE SOUDURE'!$AP$7:$AP$3006,MATCH(150,'CARNET DE SOUDURE'!$AV$7:$AV$3006,0)))</f>
        <v/>
      </c>
      <c r="N161" s="132" t="str">
        <f aca="false">IF($B161="","",INDEX('CARNET DE SOUDURE'!$AQ$7:$AQ$3006,MATCH(150,'CARNET DE SOUDURE'!$AV$7:$AV$3006,0)))</f>
        <v/>
      </c>
      <c r="O161" s="133" t="str">
        <f aca="false">IF($B161="","",INDEX('CARNET DE SOUDURE'!$AR$7:$AR$3006,MATCH(150,'CARNET DE SOUDURE'!$AV$7:$AV$3006,0)))</f>
        <v/>
      </c>
    </row>
    <row r="162" customFormat="false" ht="15" hidden="false" customHeight="false" outlineLevel="0" collapsed="false">
      <c r="B162" s="125" t="str">
        <f aca="false">IF(151&gt;$I$4,"",151)</f>
        <v/>
      </c>
      <c r="C162" s="125" t="str">
        <f aca="false">IF($B162="","",INDEX('CARNET DE SOUDURE'!$B$7:$B$3006,MATCH(151,'CARNET DE SOUDURE'!$AV$7:$AV$3006,0)))</f>
        <v/>
      </c>
      <c r="D162" s="125" t="str">
        <f aca="false">IF($B162="","",INDEX('CARNET DE SOUDURE'!$E$7:$E$3006,MATCH(151,'CARNET DE SOUDURE'!$AV$7:$AV$3006,0)))</f>
        <v/>
      </c>
      <c r="E162" s="125" t="str">
        <f aca="false">IF($B162="","",INDEX('CARNET DE SOUDURE'!$R$7:$R$3006,MATCH(151,'CARNET DE SOUDURE'!$AV$7:$AV$3006,0))&amp;IF(INDEX('CARNET DE SOUDURE'!$S$7:$S$3006,MATCH(151,'CARNET DE SOUDURE'!$AV$7:$AV$3006,0))&lt;&gt;""," / "&amp;INDEX('CARNET DE SOUDURE'!$S$7:$S$3006,MATCH(151,'CARNET DE SOUDURE'!$AV$7:$AV$3006,0)),"")&amp;IF(INDEX('CARNET DE SOUDURE'!$T$7:$T$3006,MATCH(151,'CARNET DE SOUDURE'!$AV$7:$AV$3006,0))&lt;&gt;""," / "&amp;INDEX('CARNET DE SOUDURE'!$T$7:$T$3006,MATCH(151,'CARNET DE SOUDURE'!$AV$7:$AV$3006,0)),""))</f>
        <v/>
      </c>
      <c r="F162" s="126" t="str">
        <f aca="false">IF($B162="","",INDEX('CARNET DE SOUDURE'!$Y$7:$Y$3006,MATCH(151,'CARNET DE SOUDURE'!$AV$7:$AV$3006,0)))</f>
        <v/>
      </c>
      <c r="G162" s="125" t="str">
        <f aca="false">IF($B162="","",INDEX('CARNET DE SOUDURE'!$Z$7:$Z$3006,MATCH(151,'CARNET DE SOUDURE'!$AV$7:$AV$3006,0))&amp;"")</f>
        <v/>
      </c>
      <c r="H162" s="127" t="str">
        <f aca="false">IF($B162="","",INDEX('CARNET DE SOUDURE'!$AA$7:$AA$3006,MATCH(151,'CARNET DE SOUDURE'!$AV$7:$AV$3006,0)))</f>
        <v/>
      </c>
      <c r="I162" s="125" t="str">
        <f aca="false">IF($B162="","",INDEX('CARNET DE SOUDURE'!$AB$7:$AB$3006,MATCH(151,'CARNET DE SOUDURE'!$AV$7:$AV$3006,0))&amp;"")</f>
        <v/>
      </c>
      <c r="J162" s="125" t="str">
        <f aca="false">IF($B162="","",INDEX('CARNET DE SOUDURE'!$AC$7:$AC$3006,MATCH(151,'CARNET DE SOUDURE'!$AV$7:$AV$3006,0))&amp;IF(INDEX('CARNET DE SOUDURE'!$AH$7:$AH$3006,MATCH(151,'CARNET DE SOUDURE'!$AV$7:$AV$3006,0))&lt;&gt;""," / "&amp;INDEX('CARNET DE SOUDURE'!$AH$7:$AH$3006,MATCH(151,'CARNET DE SOUDURE'!$AV$7:$AV$3006,0)),""))</f>
        <v/>
      </c>
      <c r="K162" s="125" t="str">
        <f aca="false">IF($B162="","",INDEX('CARNET DE SOUDURE'!$AD$7:$AD$3006,MATCH(151,'CARNET DE SOUDURE'!$AV$7:$AV$3006,0))&amp;IF(INDEX('CARNET DE SOUDURE'!$AI$7:$AI$3006,MATCH(151,'CARNET DE SOUDURE'!$AV$7:$AV$3006,0))&lt;&gt;""," / "&amp;INDEX('CARNET DE SOUDURE'!$AI$7:$AI$3006,MATCH(151,'CARNET DE SOUDURE'!$AV$7:$AV$3006,0)),""))</f>
        <v/>
      </c>
      <c r="L162" s="125" t="str">
        <f aca="false">IF($B162="","",INDEX('CARNET DE SOUDURE'!$AG$7:$AG$3006,MATCH(151,'CARNET DE SOUDURE'!$AV$7:$AV$3006,0))&amp;IF(INDEX('CARNET DE SOUDURE'!$AL$7:$AL$3006,MATCH(151,'CARNET DE SOUDURE'!$AV$7:$AV$3006,0))&lt;&gt;""," / "&amp;INDEX('CARNET DE SOUDURE'!$AL$7:$AL$3006,MATCH(151,'CARNET DE SOUDURE'!$AV$7:$AV$3006,0)),""))</f>
        <v/>
      </c>
      <c r="M162" s="127" t="str">
        <f aca="false">IF($B162="","",INDEX('CARNET DE SOUDURE'!$AP$7:$AP$3006,MATCH(151,'CARNET DE SOUDURE'!$AV$7:$AV$3006,0)))</f>
        <v/>
      </c>
      <c r="N162" s="127" t="str">
        <f aca="false">IF($B162="","",INDEX('CARNET DE SOUDURE'!$AQ$7:$AQ$3006,MATCH(151,'CARNET DE SOUDURE'!$AV$7:$AV$3006,0)))</f>
        <v/>
      </c>
      <c r="O162" s="128" t="str">
        <f aca="false">IF($B162="","",INDEX('CARNET DE SOUDURE'!$AR$7:$AR$3006,MATCH(151,'CARNET DE SOUDURE'!$AV$7:$AV$3006,0)))</f>
        <v/>
      </c>
    </row>
    <row r="163" customFormat="false" ht="15" hidden="false" customHeight="false" outlineLevel="0" collapsed="false">
      <c r="B163" s="130" t="str">
        <f aca="false">IF(152&gt;$I$4,"",152)</f>
        <v/>
      </c>
      <c r="C163" s="130" t="str">
        <f aca="false">IF($B163="","",INDEX('CARNET DE SOUDURE'!$B$7:$B$3006,MATCH(152,'CARNET DE SOUDURE'!$AV$7:$AV$3006,0)))</f>
        <v/>
      </c>
      <c r="D163" s="130" t="str">
        <f aca="false">IF($B163="","",INDEX('CARNET DE SOUDURE'!$E$7:$E$3006,MATCH(152,'CARNET DE SOUDURE'!$AV$7:$AV$3006,0)))</f>
        <v/>
      </c>
      <c r="E163" s="130" t="str">
        <f aca="false">IF($B163="","",INDEX('CARNET DE SOUDURE'!$R$7:$R$3006,MATCH(152,'CARNET DE SOUDURE'!$AV$7:$AV$3006,0))&amp;IF(INDEX('CARNET DE SOUDURE'!$S$7:$S$3006,MATCH(152,'CARNET DE SOUDURE'!$AV$7:$AV$3006,0))&lt;&gt;""," / "&amp;INDEX('CARNET DE SOUDURE'!$S$7:$S$3006,MATCH(152,'CARNET DE SOUDURE'!$AV$7:$AV$3006,0)),"")&amp;IF(INDEX('CARNET DE SOUDURE'!$T$7:$T$3006,MATCH(152,'CARNET DE SOUDURE'!$AV$7:$AV$3006,0))&lt;&gt;""," / "&amp;INDEX('CARNET DE SOUDURE'!$T$7:$T$3006,MATCH(152,'CARNET DE SOUDURE'!$AV$7:$AV$3006,0)),""))</f>
        <v/>
      </c>
      <c r="F163" s="131" t="str">
        <f aca="false">IF($B163="","",INDEX('CARNET DE SOUDURE'!$Y$7:$Y$3006,MATCH(152,'CARNET DE SOUDURE'!$AV$7:$AV$3006,0)))</f>
        <v/>
      </c>
      <c r="G163" s="130" t="str">
        <f aca="false">IF($B163="","",INDEX('CARNET DE SOUDURE'!$Z$7:$Z$3006,MATCH(152,'CARNET DE SOUDURE'!$AV$7:$AV$3006,0))&amp;"")</f>
        <v/>
      </c>
      <c r="H163" s="132" t="str">
        <f aca="false">IF($B163="","",INDEX('CARNET DE SOUDURE'!$AA$7:$AA$3006,MATCH(152,'CARNET DE SOUDURE'!$AV$7:$AV$3006,0)))</f>
        <v/>
      </c>
      <c r="I163" s="130" t="str">
        <f aca="false">IF($B163="","",INDEX('CARNET DE SOUDURE'!$AB$7:$AB$3006,MATCH(152,'CARNET DE SOUDURE'!$AV$7:$AV$3006,0))&amp;"")</f>
        <v/>
      </c>
      <c r="J163" s="130" t="str">
        <f aca="false">IF($B163="","",INDEX('CARNET DE SOUDURE'!$AC$7:$AC$3006,MATCH(152,'CARNET DE SOUDURE'!$AV$7:$AV$3006,0))&amp;IF(INDEX('CARNET DE SOUDURE'!$AH$7:$AH$3006,MATCH(152,'CARNET DE SOUDURE'!$AV$7:$AV$3006,0))&lt;&gt;""," / "&amp;INDEX('CARNET DE SOUDURE'!$AH$7:$AH$3006,MATCH(152,'CARNET DE SOUDURE'!$AV$7:$AV$3006,0)),""))</f>
        <v/>
      </c>
      <c r="K163" s="130" t="str">
        <f aca="false">IF($B163="","",INDEX('CARNET DE SOUDURE'!$AD$7:$AD$3006,MATCH(152,'CARNET DE SOUDURE'!$AV$7:$AV$3006,0))&amp;IF(INDEX('CARNET DE SOUDURE'!$AI$7:$AI$3006,MATCH(152,'CARNET DE SOUDURE'!$AV$7:$AV$3006,0))&lt;&gt;""," / "&amp;INDEX('CARNET DE SOUDURE'!$AI$7:$AI$3006,MATCH(152,'CARNET DE SOUDURE'!$AV$7:$AV$3006,0)),""))</f>
        <v/>
      </c>
      <c r="L163" s="130" t="str">
        <f aca="false">IF($B163="","",INDEX('CARNET DE SOUDURE'!$AG$7:$AG$3006,MATCH(152,'CARNET DE SOUDURE'!$AV$7:$AV$3006,0))&amp;IF(INDEX('CARNET DE SOUDURE'!$AL$7:$AL$3006,MATCH(152,'CARNET DE SOUDURE'!$AV$7:$AV$3006,0))&lt;&gt;""," / "&amp;INDEX('CARNET DE SOUDURE'!$AL$7:$AL$3006,MATCH(152,'CARNET DE SOUDURE'!$AV$7:$AV$3006,0)),""))</f>
        <v/>
      </c>
      <c r="M163" s="132" t="str">
        <f aca="false">IF($B163="","",INDEX('CARNET DE SOUDURE'!$AP$7:$AP$3006,MATCH(152,'CARNET DE SOUDURE'!$AV$7:$AV$3006,0)))</f>
        <v/>
      </c>
      <c r="N163" s="132" t="str">
        <f aca="false">IF($B163="","",INDEX('CARNET DE SOUDURE'!$AQ$7:$AQ$3006,MATCH(152,'CARNET DE SOUDURE'!$AV$7:$AV$3006,0)))</f>
        <v/>
      </c>
      <c r="O163" s="133" t="str">
        <f aca="false">IF($B163="","",INDEX('CARNET DE SOUDURE'!$AR$7:$AR$3006,MATCH(152,'CARNET DE SOUDURE'!$AV$7:$AV$3006,0)))</f>
        <v/>
      </c>
    </row>
    <row r="164" customFormat="false" ht="15" hidden="false" customHeight="false" outlineLevel="0" collapsed="false">
      <c r="B164" s="125" t="str">
        <f aca="false">IF(153&gt;$I$4,"",153)</f>
        <v/>
      </c>
      <c r="C164" s="125" t="str">
        <f aca="false">IF($B164="","",INDEX('CARNET DE SOUDURE'!$B$7:$B$3006,MATCH(153,'CARNET DE SOUDURE'!$AV$7:$AV$3006,0)))</f>
        <v/>
      </c>
      <c r="D164" s="125" t="str">
        <f aca="false">IF($B164="","",INDEX('CARNET DE SOUDURE'!$E$7:$E$3006,MATCH(153,'CARNET DE SOUDURE'!$AV$7:$AV$3006,0)))</f>
        <v/>
      </c>
      <c r="E164" s="125" t="str">
        <f aca="false">IF($B164="","",INDEX('CARNET DE SOUDURE'!$R$7:$R$3006,MATCH(153,'CARNET DE SOUDURE'!$AV$7:$AV$3006,0))&amp;IF(INDEX('CARNET DE SOUDURE'!$S$7:$S$3006,MATCH(153,'CARNET DE SOUDURE'!$AV$7:$AV$3006,0))&lt;&gt;""," / "&amp;INDEX('CARNET DE SOUDURE'!$S$7:$S$3006,MATCH(153,'CARNET DE SOUDURE'!$AV$7:$AV$3006,0)),"")&amp;IF(INDEX('CARNET DE SOUDURE'!$T$7:$T$3006,MATCH(153,'CARNET DE SOUDURE'!$AV$7:$AV$3006,0))&lt;&gt;""," / "&amp;INDEX('CARNET DE SOUDURE'!$T$7:$T$3006,MATCH(153,'CARNET DE SOUDURE'!$AV$7:$AV$3006,0)),""))</f>
        <v/>
      </c>
      <c r="F164" s="126" t="str">
        <f aca="false">IF($B164="","",INDEX('CARNET DE SOUDURE'!$Y$7:$Y$3006,MATCH(153,'CARNET DE SOUDURE'!$AV$7:$AV$3006,0)))</f>
        <v/>
      </c>
      <c r="G164" s="125" t="str">
        <f aca="false">IF($B164="","",INDEX('CARNET DE SOUDURE'!$Z$7:$Z$3006,MATCH(153,'CARNET DE SOUDURE'!$AV$7:$AV$3006,0))&amp;"")</f>
        <v/>
      </c>
      <c r="H164" s="127" t="str">
        <f aca="false">IF($B164="","",INDEX('CARNET DE SOUDURE'!$AA$7:$AA$3006,MATCH(153,'CARNET DE SOUDURE'!$AV$7:$AV$3006,0)))</f>
        <v/>
      </c>
      <c r="I164" s="125" t="str">
        <f aca="false">IF($B164="","",INDEX('CARNET DE SOUDURE'!$AB$7:$AB$3006,MATCH(153,'CARNET DE SOUDURE'!$AV$7:$AV$3006,0))&amp;"")</f>
        <v/>
      </c>
      <c r="J164" s="125" t="str">
        <f aca="false">IF($B164="","",INDEX('CARNET DE SOUDURE'!$AC$7:$AC$3006,MATCH(153,'CARNET DE SOUDURE'!$AV$7:$AV$3006,0))&amp;IF(INDEX('CARNET DE SOUDURE'!$AH$7:$AH$3006,MATCH(153,'CARNET DE SOUDURE'!$AV$7:$AV$3006,0))&lt;&gt;""," / "&amp;INDEX('CARNET DE SOUDURE'!$AH$7:$AH$3006,MATCH(153,'CARNET DE SOUDURE'!$AV$7:$AV$3006,0)),""))</f>
        <v/>
      </c>
      <c r="K164" s="125" t="str">
        <f aca="false">IF($B164="","",INDEX('CARNET DE SOUDURE'!$AD$7:$AD$3006,MATCH(153,'CARNET DE SOUDURE'!$AV$7:$AV$3006,0))&amp;IF(INDEX('CARNET DE SOUDURE'!$AI$7:$AI$3006,MATCH(153,'CARNET DE SOUDURE'!$AV$7:$AV$3006,0))&lt;&gt;""," / "&amp;INDEX('CARNET DE SOUDURE'!$AI$7:$AI$3006,MATCH(153,'CARNET DE SOUDURE'!$AV$7:$AV$3006,0)),""))</f>
        <v/>
      </c>
      <c r="L164" s="125" t="str">
        <f aca="false">IF($B164="","",INDEX('CARNET DE SOUDURE'!$AG$7:$AG$3006,MATCH(153,'CARNET DE SOUDURE'!$AV$7:$AV$3006,0))&amp;IF(INDEX('CARNET DE SOUDURE'!$AL$7:$AL$3006,MATCH(153,'CARNET DE SOUDURE'!$AV$7:$AV$3006,0))&lt;&gt;""," / "&amp;INDEX('CARNET DE SOUDURE'!$AL$7:$AL$3006,MATCH(153,'CARNET DE SOUDURE'!$AV$7:$AV$3006,0)),""))</f>
        <v/>
      </c>
      <c r="M164" s="127" t="str">
        <f aca="false">IF($B164="","",INDEX('CARNET DE SOUDURE'!$AP$7:$AP$3006,MATCH(153,'CARNET DE SOUDURE'!$AV$7:$AV$3006,0)))</f>
        <v/>
      </c>
      <c r="N164" s="127" t="str">
        <f aca="false">IF($B164="","",INDEX('CARNET DE SOUDURE'!$AQ$7:$AQ$3006,MATCH(153,'CARNET DE SOUDURE'!$AV$7:$AV$3006,0)))</f>
        <v/>
      </c>
      <c r="O164" s="128" t="str">
        <f aca="false">IF($B164="","",INDEX('CARNET DE SOUDURE'!$AR$7:$AR$3006,MATCH(153,'CARNET DE SOUDURE'!$AV$7:$AV$3006,0)))</f>
        <v/>
      </c>
    </row>
    <row r="165" customFormat="false" ht="15" hidden="false" customHeight="false" outlineLevel="0" collapsed="false">
      <c r="B165" s="130" t="str">
        <f aca="false">IF(154&gt;$I$4,"",154)</f>
        <v/>
      </c>
      <c r="C165" s="130" t="str">
        <f aca="false">IF($B165="","",INDEX('CARNET DE SOUDURE'!$B$7:$B$3006,MATCH(154,'CARNET DE SOUDURE'!$AV$7:$AV$3006,0)))</f>
        <v/>
      </c>
      <c r="D165" s="130" t="str">
        <f aca="false">IF($B165="","",INDEX('CARNET DE SOUDURE'!$E$7:$E$3006,MATCH(154,'CARNET DE SOUDURE'!$AV$7:$AV$3006,0)))</f>
        <v/>
      </c>
      <c r="E165" s="130" t="str">
        <f aca="false">IF($B165="","",INDEX('CARNET DE SOUDURE'!$R$7:$R$3006,MATCH(154,'CARNET DE SOUDURE'!$AV$7:$AV$3006,0))&amp;IF(INDEX('CARNET DE SOUDURE'!$S$7:$S$3006,MATCH(154,'CARNET DE SOUDURE'!$AV$7:$AV$3006,0))&lt;&gt;""," / "&amp;INDEX('CARNET DE SOUDURE'!$S$7:$S$3006,MATCH(154,'CARNET DE SOUDURE'!$AV$7:$AV$3006,0)),"")&amp;IF(INDEX('CARNET DE SOUDURE'!$T$7:$T$3006,MATCH(154,'CARNET DE SOUDURE'!$AV$7:$AV$3006,0))&lt;&gt;""," / "&amp;INDEX('CARNET DE SOUDURE'!$T$7:$T$3006,MATCH(154,'CARNET DE SOUDURE'!$AV$7:$AV$3006,0)),""))</f>
        <v/>
      </c>
      <c r="F165" s="131" t="str">
        <f aca="false">IF($B165="","",INDEX('CARNET DE SOUDURE'!$Y$7:$Y$3006,MATCH(154,'CARNET DE SOUDURE'!$AV$7:$AV$3006,0)))</f>
        <v/>
      </c>
      <c r="G165" s="130" t="str">
        <f aca="false">IF($B165="","",INDEX('CARNET DE SOUDURE'!$Z$7:$Z$3006,MATCH(154,'CARNET DE SOUDURE'!$AV$7:$AV$3006,0))&amp;"")</f>
        <v/>
      </c>
      <c r="H165" s="132" t="str">
        <f aca="false">IF($B165="","",INDEX('CARNET DE SOUDURE'!$AA$7:$AA$3006,MATCH(154,'CARNET DE SOUDURE'!$AV$7:$AV$3006,0)))</f>
        <v/>
      </c>
      <c r="I165" s="130" t="str">
        <f aca="false">IF($B165="","",INDEX('CARNET DE SOUDURE'!$AB$7:$AB$3006,MATCH(154,'CARNET DE SOUDURE'!$AV$7:$AV$3006,0))&amp;"")</f>
        <v/>
      </c>
      <c r="J165" s="130" t="str">
        <f aca="false">IF($B165="","",INDEX('CARNET DE SOUDURE'!$AC$7:$AC$3006,MATCH(154,'CARNET DE SOUDURE'!$AV$7:$AV$3006,0))&amp;IF(INDEX('CARNET DE SOUDURE'!$AH$7:$AH$3006,MATCH(154,'CARNET DE SOUDURE'!$AV$7:$AV$3006,0))&lt;&gt;""," / "&amp;INDEX('CARNET DE SOUDURE'!$AH$7:$AH$3006,MATCH(154,'CARNET DE SOUDURE'!$AV$7:$AV$3006,0)),""))</f>
        <v/>
      </c>
      <c r="K165" s="130" t="str">
        <f aca="false">IF($B165="","",INDEX('CARNET DE SOUDURE'!$AD$7:$AD$3006,MATCH(154,'CARNET DE SOUDURE'!$AV$7:$AV$3006,0))&amp;IF(INDEX('CARNET DE SOUDURE'!$AI$7:$AI$3006,MATCH(154,'CARNET DE SOUDURE'!$AV$7:$AV$3006,0))&lt;&gt;""," / "&amp;INDEX('CARNET DE SOUDURE'!$AI$7:$AI$3006,MATCH(154,'CARNET DE SOUDURE'!$AV$7:$AV$3006,0)),""))</f>
        <v/>
      </c>
      <c r="L165" s="130" t="str">
        <f aca="false">IF($B165="","",INDEX('CARNET DE SOUDURE'!$AG$7:$AG$3006,MATCH(154,'CARNET DE SOUDURE'!$AV$7:$AV$3006,0))&amp;IF(INDEX('CARNET DE SOUDURE'!$AL$7:$AL$3006,MATCH(154,'CARNET DE SOUDURE'!$AV$7:$AV$3006,0))&lt;&gt;""," / "&amp;INDEX('CARNET DE SOUDURE'!$AL$7:$AL$3006,MATCH(154,'CARNET DE SOUDURE'!$AV$7:$AV$3006,0)),""))</f>
        <v/>
      </c>
      <c r="M165" s="132" t="str">
        <f aca="false">IF($B165="","",INDEX('CARNET DE SOUDURE'!$AP$7:$AP$3006,MATCH(154,'CARNET DE SOUDURE'!$AV$7:$AV$3006,0)))</f>
        <v/>
      </c>
      <c r="N165" s="132" t="str">
        <f aca="false">IF($B165="","",INDEX('CARNET DE SOUDURE'!$AQ$7:$AQ$3006,MATCH(154,'CARNET DE SOUDURE'!$AV$7:$AV$3006,0)))</f>
        <v/>
      </c>
      <c r="O165" s="133" t="str">
        <f aca="false">IF($B165="","",INDEX('CARNET DE SOUDURE'!$AR$7:$AR$3006,MATCH(154,'CARNET DE SOUDURE'!$AV$7:$AV$3006,0)))</f>
        <v/>
      </c>
    </row>
    <row r="166" customFormat="false" ht="15" hidden="false" customHeight="false" outlineLevel="0" collapsed="false">
      <c r="B166" s="125" t="str">
        <f aca="false">IF(155&gt;$I$4,"",155)</f>
        <v/>
      </c>
      <c r="C166" s="125" t="str">
        <f aca="false">IF($B166="","",INDEX('CARNET DE SOUDURE'!$B$7:$B$3006,MATCH(155,'CARNET DE SOUDURE'!$AV$7:$AV$3006,0)))</f>
        <v/>
      </c>
      <c r="D166" s="125" t="str">
        <f aca="false">IF($B166="","",INDEX('CARNET DE SOUDURE'!$E$7:$E$3006,MATCH(155,'CARNET DE SOUDURE'!$AV$7:$AV$3006,0)))</f>
        <v/>
      </c>
      <c r="E166" s="125" t="str">
        <f aca="false">IF($B166="","",INDEX('CARNET DE SOUDURE'!$R$7:$R$3006,MATCH(155,'CARNET DE SOUDURE'!$AV$7:$AV$3006,0))&amp;IF(INDEX('CARNET DE SOUDURE'!$S$7:$S$3006,MATCH(155,'CARNET DE SOUDURE'!$AV$7:$AV$3006,0))&lt;&gt;""," / "&amp;INDEX('CARNET DE SOUDURE'!$S$7:$S$3006,MATCH(155,'CARNET DE SOUDURE'!$AV$7:$AV$3006,0)),"")&amp;IF(INDEX('CARNET DE SOUDURE'!$T$7:$T$3006,MATCH(155,'CARNET DE SOUDURE'!$AV$7:$AV$3006,0))&lt;&gt;""," / "&amp;INDEX('CARNET DE SOUDURE'!$T$7:$T$3006,MATCH(155,'CARNET DE SOUDURE'!$AV$7:$AV$3006,0)),""))</f>
        <v/>
      </c>
      <c r="F166" s="126" t="str">
        <f aca="false">IF($B166="","",INDEX('CARNET DE SOUDURE'!$Y$7:$Y$3006,MATCH(155,'CARNET DE SOUDURE'!$AV$7:$AV$3006,0)))</f>
        <v/>
      </c>
      <c r="G166" s="125" t="str">
        <f aca="false">IF($B166="","",INDEX('CARNET DE SOUDURE'!$Z$7:$Z$3006,MATCH(155,'CARNET DE SOUDURE'!$AV$7:$AV$3006,0))&amp;"")</f>
        <v/>
      </c>
      <c r="H166" s="127" t="str">
        <f aca="false">IF($B166="","",INDEX('CARNET DE SOUDURE'!$AA$7:$AA$3006,MATCH(155,'CARNET DE SOUDURE'!$AV$7:$AV$3006,0)))</f>
        <v/>
      </c>
      <c r="I166" s="125" t="str">
        <f aca="false">IF($B166="","",INDEX('CARNET DE SOUDURE'!$AB$7:$AB$3006,MATCH(155,'CARNET DE SOUDURE'!$AV$7:$AV$3006,0))&amp;"")</f>
        <v/>
      </c>
      <c r="J166" s="125" t="str">
        <f aca="false">IF($B166="","",INDEX('CARNET DE SOUDURE'!$AC$7:$AC$3006,MATCH(155,'CARNET DE SOUDURE'!$AV$7:$AV$3006,0))&amp;IF(INDEX('CARNET DE SOUDURE'!$AH$7:$AH$3006,MATCH(155,'CARNET DE SOUDURE'!$AV$7:$AV$3006,0))&lt;&gt;""," / "&amp;INDEX('CARNET DE SOUDURE'!$AH$7:$AH$3006,MATCH(155,'CARNET DE SOUDURE'!$AV$7:$AV$3006,0)),""))</f>
        <v/>
      </c>
      <c r="K166" s="125" t="str">
        <f aca="false">IF($B166="","",INDEX('CARNET DE SOUDURE'!$AD$7:$AD$3006,MATCH(155,'CARNET DE SOUDURE'!$AV$7:$AV$3006,0))&amp;IF(INDEX('CARNET DE SOUDURE'!$AI$7:$AI$3006,MATCH(155,'CARNET DE SOUDURE'!$AV$7:$AV$3006,0))&lt;&gt;""," / "&amp;INDEX('CARNET DE SOUDURE'!$AI$7:$AI$3006,MATCH(155,'CARNET DE SOUDURE'!$AV$7:$AV$3006,0)),""))</f>
        <v/>
      </c>
      <c r="L166" s="125" t="str">
        <f aca="false">IF($B166="","",INDEX('CARNET DE SOUDURE'!$AG$7:$AG$3006,MATCH(155,'CARNET DE SOUDURE'!$AV$7:$AV$3006,0))&amp;IF(INDEX('CARNET DE SOUDURE'!$AL$7:$AL$3006,MATCH(155,'CARNET DE SOUDURE'!$AV$7:$AV$3006,0))&lt;&gt;""," / "&amp;INDEX('CARNET DE SOUDURE'!$AL$7:$AL$3006,MATCH(155,'CARNET DE SOUDURE'!$AV$7:$AV$3006,0)),""))</f>
        <v/>
      </c>
      <c r="M166" s="127" t="str">
        <f aca="false">IF($B166="","",INDEX('CARNET DE SOUDURE'!$AP$7:$AP$3006,MATCH(155,'CARNET DE SOUDURE'!$AV$7:$AV$3006,0)))</f>
        <v/>
      </c>
      <c r="N166" s="127" t="str">
        <f aca="false">IF($B166="","",INDEX('CARNET DE SOUDURE'!$AQ$7:$AQ$3006,MATCH(155,'CARNET DE SOUDURE'!$AV$7:$AV$3006,0)))</f>
        <v/>
      </c>
      <c r="O166" s="128" t="str">
        <f aca="false">IF($B166="","",INDEX('CARNET DE SOUDURE'!$AR$7:$AR$3006,MATCH(155,'CARNET DE SOUDURE'!$AV$7:$AV$3006,0)))</f>
        <v/>
      </c>
    </row>
    <row r="167" customFormat="false" ht="15" hidden="false" customHeight="false" outlineLevel="0" collapsed="false">
      <c r="B167" s="130" t="str">
        <f aca="false">IF(156&gt;$I$4,"",156)</f>
        <v/>
      </c>
      <c r="C167" s="130" t="str">
        <f aca="false">IF($B167="","",INDEX('CARNET DE SOUDURE'!$B$7:$B$3006,MATCH(156,'CARNET DE SOUDURE'!$AV$7:$AV$3006,0)))</f>
        <v/>
      </c>
      <c r="D167" s="130" t="str">
        <f aca="false">IF($B167="","",INDEX('CARNET DE SOUDURE'!$E$7:$E$3006,MATCH(156,'CARNET DE SOUDURE'!$AV$7:$AV$3006,0)))</f>
        <v/>
      </c>
      <c r="E167" s="130" t="str">
        <f aca="false">IF($B167="","",INDEX('CARNET DE SOUDURE'!$R$7:$R$3006,MATCH(156,'CARNET DE SOUDURE'!$AV$7:$AV$3006,0))&amp;IF(INDEX('CARNET DE SOUDURE'!$S$7:$S$3006,MATCH(156,'CARNET DE SOUDURE'!$AV$7:$AV$3006,0))&lt;&gt;""," / "&amp;INDEX('CARNET DE SOUDURE'!$S$7:$S$3006,MATCH(156,'CARNET DE SOUDURE'!$AV$7:$AV$3006,0)),"")&amp;IF(INDEX('CARNET DE SOUDURE'!$T$7:$T$3006,MATCH(156,'CARNET DE SOUDURE'!$AV$7:$AV$3006,0))&lt;&gt;""," / "&amp;INDEX('CARNET DE SOUDURE'!$T$7:$T$3006,MATCH(156,'CARNET DE SOUDURE'!$AV$7:$AV$3006,0)),""))</f>
        <v/>
      </c>
      <c r="F167" s="131" t="str">
        <f aca="false">IF($B167="","",INDEX('CARNET DE SOUDURE'!$Y$7:$Y$3006,MATCH(156,'CARNET DE SOUDURE'!$AV$7:$AV$3006,0)))</f>
        <v/>
      </c>
      <c r="G167" s="130" t="str">
        <f aca="false">IF($B167="","",INDEX('CARNET DE SOUDURE'!$Z$7:$Z$3006,MATCH(156,'CARNET DE SOUDURE'!$AV$7:$AV$3006,0))&amp;"")</f>
        <v/>
      </c>
      <c r="H167" s="132" t="str">
        <f aca="false">IF($B167="","",INDEX('CARNET DE SOUDURE'!$AA$7:$AA$3006,MATCH(156,'CARNET DE SOUDURE'!$AV$7:$AV$3006,0)))</f>
        <v/>
      </c>
      <c r="I167" s="130" t="str">
        <f aca="false">IF($B167="","",INDEX('CARNET DE SOUDURE'!$AB$7:$AB$3006,MATCH(156,'CARNET DE SOUDURE'!$AV$7:$AV$3006,0))&amp;"")</f>
        <v/>
      </c>
      <c r="J167" s="130" t="str">
        <f aca="false">IF($B167="","",INDEX('CARNET DE SOUDURE'!$AC$7:$AC$3006,MATCH(156,'CARNET DE SOUDURE'!$AV$7:$AV$3006,0))&amp;IF(INDEX('CARNET DE SOUDURE'!$AH$7:$AH$3006,MATCH(156,'CARNET DE SOUDURE'!$AV$7:$AV$3006,0))&lt;&gt;""," / "&amp;INDEX('CARNET DE SOUDURE'!$AH$7:$AH$3006,MATCH(156,'CARNET DE SOUDURE'!$AV$7:$AV$3006,0)),""))</f>
        <v/>
      </c>
      <c r="K167" s="130" t="str">
        <f aca="false">IF($B167="","",INDEX('CARNET DE SOUDURE'!$AD$7:$AD$3006,MATCH(156,'CARNET DE SOUDURE'!$AV$7:$AV$3006,0))&amp;IF(INDEX('CARNET DE SOUDURE'!$AI$7:$AI$3006,MATCH(156,'CARNET DE SOUDURE'!$AV$7:$AV$3006,0))&lt;&gt;""," / "&amp;INDEX('CARNET DE SOUDURE'!$AI$7:$AI$3006,MATCH(156,'CARNET DE SOUDURE'!$AV$7:$AV$3006,0)),""))</f>
        <v/>
      </c>
      <c r="L167" s="130" t="str">
        <f aca="false">IF($B167="","",INDEX('CARNET DE SOUDURE'!$AG$7:$AG$3006,MATCH(156,'CARNET DE SOUDURE'!$AV$7:$AV$3006,0))&amp;IF(INDEX('CARNET DE SOUDURE'!$AL$7:$AL$3006,MATCH(156,'CARNET DE SOUDURE'!$AV$7:$AV$3006,0))&lt;&gt;""," / "&amp;INDEX('CARNET DE SOUDURE'!$AL$7:$AL$3006,MATCH(156,'CARNET DE SOUDURE'!$AV$7:$AV$3006,0)),""))</f>
        <v/>
      </c>
      <c r="M167" s="132" t="str">
        <f aca="false">IF($B167="","",INDEX('CARNET DE SOUDURE'!$AP$7:$AP$3006,MATCH(156,'CARNET DE SOUDURE'!$AV$7:$AV$3006,0)))</f>
        <v/>
      </c>
      <c r="N167" s="132" t="str">
        <f aca="false">IF($B167="","",INDEX('CARNET DE SOUDURE'!$AQ$7:$AQ$3006,MATCH(156,'CARNET DE SOUDURE'!$AV$7:$AV$3006,0)))</f>
        <v/>
      </c>
      <c r="O167" s="133" t="str">
        <f aca="false">IF($B167="","",INDEX('CARNET DE SOUDURE'!$AR$7:$AR$3006,MATCH(156,'CARNET DE SOUDURE'!$AV$7:$AV$3006,0)))</f>
        <v/>
      </c>
    </row>
    <row r="168" customFormat="false" ht="15" hidden="false" customHeight="false" outlineLevel="0" collapsed="false">
      <c r="B168" s="125" t="str">
        <f aca="false">IF(157&gt;$I$4,"",157)</f>
        <v/>
      </c>
      <c r="C168" s="125" t="str">
        <f aca="false">IF($B168="","",INDEX('CARNET DE SOUDURE'!$B$7:$B$3006,MATCH(157,'CARNET DE SOUDURE'!$AV$7:$AV$3006,0)))</f>
        <v/>
      </c>
      <c r="D168" s="125" t="str">
        <f aca="false">IF($B168="","",INDEX('CARNET DE SOUDURE'!$E$7:$E$3006,MATCH(157,'CARNET DE SOUDURE'!$AV$7:$AV$3006,0)))</f>
        <v/>
      </c>
      <c r="E168" s="125" t="str">
        <f aca="false">IF($B168="","",INDEX('CARNET DE SOUDURE'!$R$7:$R$3006,MATCH(157,'CARNET DE SOUDURE'!$AV$7:$AV$3006,0))&amp;IF(INDEX('CARNET DE SOUDURE'!$S$7:$S$3006,MATCH(157,'CARNET DE SOUDURE'!$AV$7:$AV$3006,0))&lt;&gt;""," / "&amp;INDEX('CARNET DE SOUDURE'!$S$7:$S$3006,MATCH(157,'CARNET DE SOUDURE'!$AV$7:$AV$3006,0)),"")&amp;IF(INDEX('CARNET DE SOUDURE'!$T$7:$T$3006,MATCH(157,'CARNET DE SOUDURE'!$AV$7:$AV$3006,0))&lt;&gt;""," / "&amp;INDEX('CARNET DE SOUDURE'!$T$7:$T$3006,MATCH(157,'CARNET DE SOUDURE'!$AV$7:$AV$3006,0)),""))</f>
        <v/>
      </c>
      <c r="F168" s="126" t="str">
        <f aca="false">IF($B168="","",INDEX('CARNET DE SOUDURE'!$Y$7:$Y$3006,MATCH(157,'CARNET DE SOUDURE'!$AV$7:$AV$3006,0)))</f>
        <v/>
      </c>
      <c r="G168" s="125" t="str">
        <f aca="false">IF($B168="","",INDEX('CARNET DE SOUDURE'!$Z$7:$Z$3006,MATCH(157,'CARNET DE SOUDURE'!$AV$7:$AV$3006,0))&amp;"")</f>
        <v/>
      </c>
      <c r="H168" s="127" t="str">
        <f aca="false">IF($B168="","",INDEX('CARNET DE SOUDURE'!$AA$7:$AA$3006,MATCH(157,'CARNET DE SOUDURE'!$AV$7:$AV$3006,0)))</f>
        <v/>
      </c>
      <c r="I168" s="125" t="str">
        <f aca="false">IF($B168="","",INDEX('CARNET DE SOUDURE'!$AB$7:$AB$3006,MATCH(157,'CARNET DE SOUDURE'!$AV$7:$AV$3006,0))&amp;"")</f>
        <v/>
      </c>
      <c r="J168" s="125" t="str">
        <f aca="false">IF($B168="","",INDEX('CARNET DE SOUDURE'!$AC$7:$AC$3006,MATCH(157,'CARNET DE SOUDURE'!$AV$7:$AV$3006,0))&amp;IF(INDEX('CARNET DE SOUDURE'!$AH$7:$AH$3006,MATCH(157,'CARNET DE SOUDURE'!$AV$7:$AV$3006,0))&lt;&gt;""," / "&amp;INDEX('CARNET DE SOUDURE'!$AH$7:$AH$3006,MATCH(157,'CARNET DE SOUDURE'!$AV$7:$AV$3006,0)),""))</f>
        <v/>
      </c>
      <c r="K168" s="125" t="str">
        <f aca="false">IF($B168="","",INDEX('CARNET DE SOUDURE'!$AD$7:$AD$3006,MATCH(157,'CARNET DE SOUDURE'!$AV$7:$AV$3006,0))&amp;IF(INDEX('CARNET DE SOUDURE'!$AI$7:$AI$3006,MATCH(157,'CARNET DE SOUDURE'!$AV$7:$AV$3006,0))&lt;&gt;""," / "&amp;INDEX('CARNET DE SOUDURE'!$AI$7:$AI$3006,MATCH(157,'CARNET DE SOUDURE'!$AV$7:$AV$3006,0)),""))</f>
        <v/>
      </c>
      <c r="L168" s="125" t="str">
        <f aca="false">IF($B168="","",INDEX('CARNET DE SOUDURE'!$AG$7:$AG$3006,MATCH(157,'CARNET DE SOUDURE'!$AV$7:$AV$3006,0))&amp;IF(INDEX('CARNET DE SOUDURE'!$AL$7:$AL$3006,MATCH(157,'CARNET DE SOUDURE'!$AV$7:$AV$3006,0))&lt;&gt;""," / "&amp;INDEX('CARNET DE SOUDURE'!$AL$7:$AL$3006,MATCH(157,'CARNET DE SOUDURE'!$AV$7:$AV$3006,0)),""))</f>
        <v/>
      </c>
      <c r="M168" s="127" t="str">
        <f aca="false">IF($B168="","",INDEX('CARNET DE SOUDURE'!$AP$7:$AP$3006,MATCH(157,'CARNET DE SOUDURE'!$AV$7:$AV$3006,0)))</f>
        <v/>
      </c>
      <c r="N168" s="127" t="str">
        <f aca="false">IF($B168="","",INDEX('CARNET DE SOUDURE'!$AQ$7:$AQ$3006,MATCH(157,'CARNET DE SOUDURE'!$AV$7:$AV$3006,0)))</f>
        <v/>
      </c>
      <c r="O168" s="128" t="str">
        <f aca="false">IF($B168="","",INDEX('CARNET DE SOUDURE'!$AR$7:$AR$3006,MATCH(157,'CARNET DE SOUDURE'!$AV$7:$AV$3006,0)))</f>
        <v/>
      </c>
    </row>
    <row r="169" customFormat="false" ht="15" hidden="false" customHeight="false" outlineLevel="0" collapsed="false">
      <c r="B169" s="130" t="str">
        <f aca="false">IF(158&gt;$I$4,"",158)</f>
        <v/>
      </c>
      <c r="C169" s="130" t="str">
        <f aca="false">IF($B169="","",INDEX('CARNET DE SOUDURE'!$B$7:$B$3006,MATCH(158,'CARNET DE SOUDURE'!$AV$7:$AV$3006,0)))</f>
        <v/>
      </c>
      <c r="D169" s="130" t="str">
        <f aca="false">IF($B169="","",INDEX('CARNET DE SOUDURE'!$E$7:$E$3006,MATCH(158,'CARNET DE SOUDURE'!$AV$7:$AV$3006,0)))</f>
        <v/>
      </c>
      <c r="E169" s="130" t="str">
        <f aca="false">IF($B169="","",INDEX('CARNET DE SOUDURE'!$R$7:$R$3006,MATCH(158,'CARNET DE SOUDURE'!$AV$7:$AV$3006,0))&amp;IF(INDEX('CARNET DE SOUDURE'!$S$7:$S$3006,MATCH(158,'CARNET DE SOUDURE'!$AV$7:$AV$3006,0))&lt;&gt;""," / "&amp;INDEX('CARNET DE SOUDURE'!$S$7:$S$3006,MATCH(158,'CARNET DE SOUDURE'!$AV$7:$AV$3006,0)),"")&amp;IF(INDEX('CARNET DE SOUDURE'!$T$7:$T$3006,MATCH(158,'CARNET DE SOUDURE'!$AV$7:$AV$3006,0))&lt;&gt;""," / "&amp;INDEX('CARNET DE SOUDURE'!$T$7:$T$3006,MATCH(158,'CARNET DE SOUDURE'!$AV$7:$AV$3006,0)),""))</f>
        <v/>
      </c>
      <c r="F169" s="131" t="str">
        <f aca="false">IF($B169="","",INDEX('CARNET DE SOUDURE'!$Y$7:$Y$3006,MATCH(158,'CARNET DE SOUDURE'!$AV$7:$AV$3006,0)))</f>
        <v/>
      </c>
      <c r="G169" s="130" t="str">
        <f aca="false">IF($B169="","",INDEX('CARNET DE SOUDURE'!$Z$7:$Z$3006,MATCH(158,'CARNET DE SOUDURE'!$AV$7:$AV$3006,0))&amp;"")</f>
        <v/>
      </c>
      <c r="H169" s="132" t="str">
        <f aca="false">IF($B169="","",INDEX('CARNET DE SOUDURE'!$AA$7:$AA$3006,MATCH(158,'CARNET DE SOUDURE'!$AV$7:$AV$3006,0)))</f>
        <v/>
      </c>
      <c r="I169" s="130" t="str">
        <f aca="false">IF($B169="","",INDEX('CARNET DE SOUDURE'!$AB$7:$AB$3006,MATCH(158,'CARNET DE SOUDURE'!$AV$7:$AV$3006,0))&amp;"")</f>
        <v/>
      </c>
      <c r="J169" s="130" t="str">
        <f aca="false">IF($B169="","",INDEX('CARNET DE SOUDURE'!$AC$7:$AC$3006,MATCH(158,'CARNET DE SOUDURE'!$AV$7:$AV$3006,0))&amp;IF(INDEX('CARNET DE SOUDURE'!$AH$7:$AH$3006,MATCH(158,'CARNET DE SOUDURE'!$AV$7:$AV$3006,0))&lt;&gt;""," / "&amp;INDEX('CARNET DE SOUDURE'!$AH$7:$AH$3006,MATCH(158,'CARNET DE SOUDURE'!$AV$7:$AV$3006,0)),""))</f>
        <v/>
      </c>
      <c r="K169" s="130" t="str">
        <f aca="false">IF($B169="","",INDEX('CARNET DE SOUDURE'!$AD$7:$AD$3006,MATCH(158,'CARNET DE SOUDURE'!$AV$7:$AV$3006,0))&amp;IF(INDEX('CARNET DE SOUDURE'!$AI$7:$AI$3006,MATCH(158,'CARNET DE SOUDURE'!$AV$7:$AV$3006,0))&lt;&gt;""," / "&amp;INDEX('CARNET DE SOUDURE'!$AI$7:$AI$3006,MATCH(158,'CARNET DE SOUDURE'!$AV$7:$AV$3006,0)),""))</f>
        <v/>
      </c>
      <c r="L169" s="130" t="str">
        <f aca="false">IF($B169="","",INDEX('CARNET DE SOUDURE'!$AG$7:$AG$3006,MATCH(158,'CARNET DE SOUDURE'!$AV$7:$AV$3006,0))&amp;IF(INDEX('CARNET DE SOUDURE'!$AL$7:$AL$3006,MATCH(158,'CARNET DE SOUDURE'!$AV$7:$AV$3006,0))&lt;&gt;""," / "&amp;INDEX('CARNET DE SOUDURE'!$AL$7:$AL$3006,MATCH(158,'CARNET DE SOUDURE'!$AV$7:$AV$3006,0)),""))</f>
        <v/>
      </c>
      <c r="M169" s="132" t="str">
        <f aca="false">IF($B169="","",INDEX('CARNET DE SOUDURE'!$AP$7:$AP$3006,MATCH(158,'CARNET DE SOUDURE'!$AV$7:$AV$3006,0)))</f>
        <v/>
      </c>
      <c r="N169" s="132" t="str">
        <f aca="false">IF($B169="","",INDEX('CARNET DE SOUDURE'!$AQ$7:$AQ$3006,MATCH(158,'CARNET DE SOUDURE'!$AV$7:$AV$3006,0)))</f>
        <v/>
      </c>
      <c r="O169" s="133" t="str">
        <f aca="false">IF($B169="","",INDEX('CARNET DE SOUDURE'!$AR$7:$AR$3006,MATCH(158,'CARNET DE SOUDURE'!$AV$7:$AV$3006,0)))</f>
        <v/>
      </c>
    </row>
    <row r="170" customFormat="false" ht="15" hidden="false" customHeight="false" outlineLevel="0" collapsed="false">
      <c r="B170" s="125" t="str">
        <f aca="false">IF(159&gt;$I$4,"",159)</f>
        <v/>
      </c>
      <c r="C170" s="125" t="str">
        <f aca="false">IF($B170="","",INDEX('CARNET DE SOUDURE'!$B$7:$B$3006,MATCH(159,'CARNET DE SOUDURE'!$AV$7:$AV$3006,0)))</f>
        <v/>
      </c>
      <c r="D170" s="125" t="str">
        <f aca="false">IF($B170="","",INDEX('CARNET DE SOUDURE'!$E$7:$E$3006,MATCH(159,'CARNET DE SOUDURE'!$AV$7:$AV$3006,0)))</f>
        <v/>
      </c>
      <c r="E170" s="125" t="str">
        <f aca="false">IF($B170="","",INDEX('CARNET DE SOUDURE'!$R$7:$R$3006,MATCH(159,'CARNET DE SOUDURE'!$AV$7:$AV$3006,0))&amp;IF(INDEX('CARNET DE SOUDURE'!$S$7:$S$3006,MATCH(159,'CARNET DE SOUDURE'!$AV$7:$AV$3006,0))&lt;&gt;""," / "&amp;INDEX('CARNET DE SOUDURE'!$S$7:$S$3006,MATCH(159,'CARNET DE SOUDURE'!$AV$7:$AV$3006,0)),"")&amp;IF(INDEX('CARNET DE SOUDURE'!$T$7:$T$3006,MATCH(159,'CARNET DE SOUDURE'!$AV$7:$AV$3006,0))&lt;&gt;""," / "&amp;INDEX('CARNET DE SOUDURE'!$T$7:$T$3006,MATCH(159,'CARNET DE SOUDURE'!$AV$7:$AV$3006,0)),""))</f>
        <v/>
      </c>
      <c r="F170" s="126" t="str">
        <f aca="false">IF($B170="","",INDEX('CARNET DE SOUDURE'!$Y$7:$Y$3006,MATCH(159,'CARNET DE SOUDURE'!$AV$7:$AV$3006,0)))</f>
        <v/>
      </c>
      <c r="G170" s="125" t="str">
        <f aca="false">IF($B170="","",INDEX('CARNET DE SOUDURE'!$Z$7:$Z$3006,MATCH(159,'CARNET DE SOUDURE'!$AV$7:$AV$3006,0))&amp;"")</f>
        <v/>
      </c>
      <c r="H170" s="127" t="str">
        <f aca="false">IF($B170="","",INDEX('CARNET DE SOUDURE'!$AA$7:$AA$3006,MATCH(159,'CARNET DE SOUDURE'!$AV$7:$AV$3006,0)))</f>
        <v/>
      </c>
      <c r="I170" s="125" t="str">
        <f aca="false">IF($B170="","",INDEX('CARNET DE SOUDURE'!$AB$7:$AB$3006,MATCH(159,'CARNET DE SOUDURE'!$AV$7:$AV$3006,0))&amp;"")</f>
        <v/>
      </c>
      <c r="J170" s="125" t="str">
        <f aca="false">IF($B170="","",INDEX('CARNET DE SOUDURE'!$AC$7:$AC$3006,MATCH(159,'CARNET DE SOUDURE'!$AV$7:$AV$3006,0))&amp;IF(INDEX('CARNET DE SOUDURE'!$AH$7:$AH$3006,MATCH(159,'CARNET DE SOUDURE'!$AV$7:$AV$3006,0))&lt;&gt;""," / "&amp;INDEX('CARNET DE SOUDURE'!$AH$7:$AH$3006,MATCH(159,'CARNET DE SOUDURE'!$AV$7:$AV$3006,0)),""))</f>
        <v/>
      </c>
      <c r="K170" s="125" t="str">
        <f aca="false">IF($B170="","",INDEX('CARNET DE SOUDURE'!$AD$7:$AD$3006,MATCH(159,'CARNET DE SOUDURE'!$AV$7:$AV$3006,0))&amp;IF(INDEX('CARNET DE SOUDURE'!$AI$7:$AI$3006,MATCH(159,'CARNET DE SOUDURE'!$AV$7:$AV$3006,0))&lt;&gt;""," / "&amp;INDEX('CARNET DE SOUDURE'!$AI$7:$AI$3006,MATCH(159,'CARNET DE SOUDURE'!$AV$7:$AV$3006,0)),""))</f>
        <v/>
      </c>
      <c r="L170" s="125" t="str">
        <f aca="false">IF($B170="","",INDEX('CARNET DE SOUDURE'!$AG$7:$AG$3006,MATCH(159,'CARNET DE SOUDURE'!$AV$7:$AV$3006,0))&amp;IF(INDEX('CARNET DE SOUDURE'!$AL$7:$AL$3006,MATCH(159,'CARNET DE SOUDURE'!$AV$7:$AV$3006,0))&lt;&gt;""," / "&amp;INDEX('CARNET DE SOUDURE'!$AL$7:$AL$3006,MATCH(159,'CARNET DE SOUDURE'!$AV$7:$AV$3006,0)),""))</f>
        <v/>
      </c>
      <c r="M170" s="127" t="str">
        <f aca="false">IF($B170="","",INDEX('CARNET DE SOUDURE'!$AP$7:$AP$3006,MATCH(159,'CARNET DE SOUDURE'!$AV$7:$AV$3006,0)))</f>
        <v/>
      </c>
      <c r="N170" s="127" t="str">
        <f aca="false">IF($B170="","",INDEX('CARNET DE SOUDURE'!$AQ$7:$AQ$3006,MATCH(159,'CARNET DE SOUDURE'!$AV$7:$AV$3006,0)))</f>
        <v/>
      </c>
      <c r="O170" s="128" t="str">
        <f aca="false">IF($B170="","",INDEX('CARNET DE SOUDURE'!$AR$7:$AR$3006,MATCH(159,'CARNET DE SOUDURE'!$AV$7:$AV$3006,0)))</f>
        <v/>
      </c>
    </row>
    <row r="171" customFormat="false" ht="15" hidden="false" customHeight="false" outlineLevel="0" collapsed="false">
      <c r="B171" s="130" t="str">
        <f aca="false">IF(160&gt;$I$4,"",160)</f>
        <v/>
      </c>
      <c r="C171" s="130" t="str">
        <f aca="false">IF($B171="","",INDEX('CARNET DE SOUDURE'!$B$7:$B$3006,MATCH(160,'CARNET DE SOUDURE'!$AV$7:$AV$3006,0)))</f>
        <v/>
      </c>
      <c r="D171" s="130" t="str">
        <f aca="false">IF($B171="","",INDEX('CARNET DE SOUDURE'!$E$7:$E$3006,MATCH(160,'CARNET DE SOUDURE'!$AV$7:$AV$3006,0)))</f>
        <v/>
      </c>
      <c r="E171" s="130" t="str">
        <f aca="false">IF($B171="","",INDEX('CARNET DE SOUDURE'!$R$7:$R$3006,MATCH(160,'CARNET DE SOUDURE'!$AV$7:$AV$3006,0))&amp;IF(INDEX('CARNET DE SOUDURE'!$S$7:$S$3006,MATCH(160,'CARNET DE SOUDURE'!$AV$7:$AV$3006,0))&lt;&gt;""," / "&amp;INDEX('CARNET DE SOUDURE'!$S$7:$S$3006,MATCH(160,'CARNET DE SOUDURE'!$AV$7:$AV$3006,0)),"")&amp;IF(INDEX('CARNET DE SOUDURE'!$T$7:$T$3006,MATCH(160,'CARNET DE SOUDURE'!$AV$7:$AV$3006,0))&lt;&gt;""," / "&amp;INDEX('CARNET DE SOUDURE'!$T$7:$T$3006,MATCH(160,'CARNET DE SOUDURE'!$AV$7:$AV$3006,0)),""))</f>
        <v/>
      </c>
      <c r="F171" s="131" t="str">
        <f aca="false">IF($B171="","",INDEX('CARNET DE SOUDURE'!$Y$7:$Y$3006,MATCH(160,'CARNET DE SOUDURE'!$AV$7:$AV$3006,0)))</f>
        <v/>
      </c>
      <c r="G171" s="130" t="str">
        <f aca="false">IF($B171="","",INDEX('CARNET DE SOUDURE'!$Z$7:$Z$3006,MATCH(160,'CARNET DE SOUDURE'!$AV$7:$AV$3006,0))&amp;"")</f>
        <v/>
      </c>
      <c r="H171" s="132" t="str">
        <f aca="false">IF($B171="","",INDEX('CARNET DE SOUDURE'!$AA$7:$AA$3006,MATCH(160,'CARNET DE SOUDURE'!$AV$7:$AV$3006,0)))</f>
        <v/>
      </c>
      <c r="I171" s="130" t="str">
        <f aca="false">IF($B171="","",INDEX('CARNET DE SOUDURE'!$AB$7:$AB$3006,MATCH(160,'CARNET DE SOUDURE'!$AV$7:$AV$3006,0))&amp;"")</f>
        <v/>
      </c>
      <c r="J171" s="130" t="str">
        <f aca="false">IF($B171="","",INDEX('CARNET DE SOUDURE'!$AC$7:$AC$3006,MATCH(160,'CARNET DE SOUDURE'!$AV$7:$AV$3006,0))&amp;IF(INDEX('CARNET DE SOUDURE'!$AH$7:$AH$3006,MATCH(160,'CARNET DE SOUDURE'!$AV$7:$AV$3006,0))&lt;&gt;""," / "&amp;INDEX('CARNET DE SOUDURE'!$AH$7:$AH$3006,MATCH(160,'CARNET DE SOUDURE'!$AV$7:$AV$3006,0)),""))</f>
        <v/>
      </c>
      <c r="K171" s="130" t="str">
        <f aca="false">IF($B171="","",INDEX('CARNET DE SOUDURE'!$AD$7:$AD$3006,MATCH(160,'CARNET DE SOUDURE'!$AV$7:$AV$3006,0))&amp;IF(INDEX('CARNET DE SOUDURE'!$AI$7:$AI$3006,MATCH(160,'CARNET DE SOUDURE'!$AV$7:$AV$3006,0))&lt;&gt;""," / "&amp;INDEX('CARNET DE SOUDURE'!$AI$7:$AI$3006,MATCH(160,'CARNET DE SOUDURE'!$AV$7:$AV$3006,0)),""))</f>
        <v/>
      </c>
      <c r="L171" s="130" t="str">
        <f aca="false">IF($B171="","",INDEX('CARNET DE SOUDURE'!$AG$7:$AG$3006,MATCH(160,'CARNET DE SOUDURE'!$AV$7:$AV$3006,0))&amp;IF(INDEX('CARNET DE SOUDURE'!$AL$7:$AL$3006,MATCH(160,'CARNET DE SOUDURE'!$AV$7:$AV$3006,0))&lt;&gt;""," / "&amp;INDEX('CARNET DE SOUDURE'!$AL$7:$AL$3006,MATCH(160,'CARNET DE SOUDURE'!$AV$7:$AV$3006,0)),""))</f>
        <v/>
      </c>
      <c r="M171" s="132" t="str">
        <f aca="false">IF($B171="","",INDEX('CARNET DE SOUDURE'!$AP$7:$AP$3006,MATCH(160,'CARNET DE SOUDURE'!$AV$7:$AV$3006,0)))</f>
        <v/>
      </c>
      <c r="N171" s="132" t="str">
        <f aca="false">IF($B171="","",INDEX('CARNET DE SOUDURE'!$AQ$7:$AQ$3006,MATCH(160,'CARNET DE SOUDURE'!$AV$7:$AV$3006,0)))</f>
        <v/>
      </c>
      <c r="O171" s="133" t="str">
        <f aca="false">IF($B171="","",INDEX('CARNET DE SOUDURE'!$AR$7:$AR$3006,MATCH(160,'CARNET DE SOUDURE'!$AV$7:$AV$3006,0)))</f>
        <v/>
      </c>
    </row>
    <row r="172" customFormat="false" ht="15" hidden="false" customHeight="false" outlineLevel="0" collapsed="false">
      <c r="B172" s="125" t="str">
        <f aca="false">IF(161&gt;$I$4,"",161)</f>
        <v/>
      </c>
      <c r="C172" s="125" t="str">
        <f aca="false">IF($B172="","",INDEX('CARNET DE SOUDURE'!$B$7:$B$3006,MATCH(161,'CARNET DE SOUDURE'!$AV$7:$AV$3006,0)))</f>
        <v/>
      </c>
      <c r="D172" s="125" t="str">
        <f aca="false">IF($B172="","",INDEX('CARNET DE SOUDURE'!$E$7:$E$3006,MATCH(161,'CARNET DE SOUDURE'!$AV$7:$AV$3006,0)))</f>
        <v/>
      </c>
      <c r="E172" s="125" t="str">
        <f aca="false">IF($B172="","",INDEX('CARNET DE SOUDURE'!$R$7:$R$3006,MATCH(161,'CARNET DE SOUDURE'!$AV$7:$AV$3006,0))&amp;IF(INDEX('CARNET DE SOUDURE'!$S$7:$S$3006,MATCH(161,'CARNET DE SOUDURE'!$AV$7:$AV$3006,0))&lt;&gt;""," / "&amp;INDEX('CARNET DE SOUDURE'!$S$7:$S$3006,MATCH(161,'CARNET DE SOUDURE'!$AV$7:$AV$3006,0)),"")&amp;IF(INDEX('CARNET DE SOUDURE'!$T$7:$T$3006,MATCH(161,'CARNET DE SOUDURE'!$AV$7:$AV$3006,0))&lt;&gt;""," / "&amp;INDEX('CARNET DE SOUDURE'!$T$7:$T$3006,MATCH(161,'CARNET DE SOUDURE'!$AV$7:$AV$3006,0)),""))</f>
        <v/>
      </c>
      <c r="F172" s="126" t="str">
        <f aca="false">IF($B172="","",INDEX('CARNET DE SOUDURE'!$Y$7:$Y$3006,MATCH(161,'CARNET DE SOUDURE'!$AV$7:$AV$3006,0)))</f>
        <v/>
      </c>
      <c r="G172" s="125" t="str">
        <f aca="false">IF($B172="","",INDEX('CARNET DE SOUDURE'!$Z$7:$Z$3006,MATCH(161,'CARNET DE SOUDURE'!$AV$7:$AV$3006,0))&amp;"")</f>
        <v/>
      </c>
      <c r="H172" s="127" t="str">
        <f aca="false">IF($B172="","",INDEX('CARNET DE SOUDURE'!$AA$7:$AA$3006,MATCH(161,'CARNET DE SOUDURE'!$AV$7:$AV$3006,0)))</f>
        <v/>
      </c>
      <c r="I172" s="125" t="str">
        <f aca="false">IF($B172="","",INDEX('CARNET DE SOUDURE'!$AB$7:$AB$3006,MATCH(161,'CARNET DE SOUDURE'!$AV$7:$AV$3006,0))&amp;"")</f>
        <v/>
      </c>
      <c r="J172" s="125" t="str">
        <f aca="false">IF($B172="","",INDEX('CARNET DE SOUDURE'!$AC$7:$AC$3006,MATCH(161,'CARNET DE SOUDURE'!$AV$7:$AV$3006,0))&amp;IF(INDEX('CARNET DE SOUDURE'!$AH$7:$AH$3006,MATCH(161,'CARNET DE SOUDURE'!$AV$7:$AV$3006,0))&lt;&gt;""," / "&amp;INDEX('CARNET DE SOUDURE'!$AH$7:$AH$3006,MATCH(161,'CARNET DE SOUDURE'!$AV$7:$AV$3006,0)),""))</f>
        <v/>
      </c>
      <c r="K172" s="125" t="str">
        <f aca="false">IF($B172="","",INDEX('CARNET DE SOUDURE'!$AD$7:$AD$3006,MATCH(161,'CARNET DE SOUDURE'!$AV$7:$AV$3006,0))&amp;IF(INDEX('CARNET DE SOUDURE'!$AI$7:$AI$3006,MATCH(161,'CARNET DE SOUDURE'!$AV$7:$AV$3006,0))&lt;&gt;""," / "&amp;INDEX('CARNET DE SOUDURE'!$AI$7:$AI$3006,MATCH(161,'CARNET DE SOUDURE'!$AV$7:$AV$3006,0)),""))</f>
        <v/>
      </c>
      <c r="L172" s="125" t="str">
        <f aca="false">IF($B172="","",INDEX('CARNET DE SOUDURE'!$AG$7:$AG$3006,MATCH(161,'CARNET DE SOUDURE'!$AV$7:$AV$3006,0))&amp;IF(INDEX('CARNET DE SOUDURE'!$AL$7:$AL$3006,MATCH(161,'CARNET DE SOUDURE'!$AV$7:$AV$3006,0))&lt;&gt;""," / "&amp;INDEX('CARNET DE SOUDURE'!$AL$7:$AL$3006,MATCH(161,'CARNET DE SOUDURE'!$AV$7:$AV$3006,0)),""))</f>
        <v/>
      </c>
      <c r="M172" s="127" t="str">
        <f aca="false">IF($B172="","",INDEX('CARNET DE SOUDURE'!$AP$7:$AP$3006,MATCH(161,'CARNET DE SOUDURE'!$AV$7:$AV$3006,0)))</f>
        <v/>
      </c>
      <c r="N172" s="127" t="str">
        <f aca="false">IF($B172="","",INDEX('CARNET DE SOUDURE'!$AQ$7:$AQ$3006,MATCH(161,'CARNET DE SOUDURE'!$AV$7:$AV$3006,0)))</f>
        <v/>
      </c>
      <c r="O172" s="128" t="str">
        <f aca="false">IF($B172="","",INDEX('CARNET DE SOUDURE'!$AR$7:$AR$3006,MATCH(161,'CARNET DE SOUDURE'!$AV$7:$AV$3006,0)))</f>
        <v/>
      </c>
    </row>
    <row r="173" customFormat="false" ht="15" hidden="false" customHeight="false" outlineLevel="0" collapsed="false">
      <c r="B173" s="130" t="str">
        <f aca="false">IF(162&gt;$I$4,"",162)</f>
        <v/>
      </c>
      <c r="C173" s="130" t="str">
        <f aca="false">IF($B173="","",INDEX('CARNET DE SOUDURE'!$B$7:$B$3006,MATCH(162,'CARNET DE SOUDURE'!$AV$7:$AV$3006,0)))</f>
        <v/>
      </c>
      <c r="D173" s="130" t="str">
        <f aca="false">IF($B173="","",INDEX('CARNET DE SOUDURE'!$E$7:$E$3006,MATCH(162,'CARNET DE SOUDURE'!$AV$7:$AV$3006,0)))</f>
        <v/>
      </c>
      <c r="E173" s="130" t="str">
        <f aca="false">IF($B173="","",INDEX('CARNET DE SOUDURE'!$R$7:$R$3006,MATCH(162,'CARNET DE SOUDURE'!$AV$7:$AV$3006,0))&amp;IF(INDEX('CARNET DE SOUDURE'!$S$7:$S$3006,MATCH(162,'CARNET DE SOUDURE'!$AV$7:$AV$3006,0))&lt;&gt;""," / "&amp;INDEX('CARNET DE SOUDURE'!$S$7:$S$3006,MATCH(162,'CARNET DE SOUDURE'!$AV$7:$AV$3006,0)),"")&amp;IF(INDEX('CARNET DE SOUDURE'!$T$7:$T$3006,MATCH(162,'CARNET DE SOUDURE'!$AV$7:$AV$3006,0))&lt;&gt;""," / "&amp;INDEX('CARNET DE SOUDURE'!$T$7:$T$3006,MATCH(162,'CARNET DE SOUDURE'!$AV$7:$AV$3006,0)),""))</f>
        <v/>
      </c>
      <c r="F173" s="131" t="str">
        <f aca="false">IF($B173="","",INDEX('CARNET DE SOUDURE'!$Y$7:$Y$3006,MATCH(162,'CARNET DE SOUDURE'!$AV$7:$AV$3006,0)))</f>
        <v/>
      </c>
      <c r="G173" s="130" t="str">
        <f aca="false">IF($B173="","",INDEX('CARNET DE SOUDURE'!$Z$7:$Z$3006,MATCH(162,'CARNET DE SOUDURE'!$AV$7:$AV$3006,0))&amp;"")</f>
        <v/>
      </c>
      <c r="H173" s="132" t="str">
        <f aca="false">IF($B173="","",INDEX('CARNET DE SOUDURE'!$AA$7:$AA$3006,MATCH(162,'CARNET DE SOUDURE'!$AV$7:$AV$3006,0)))</f>
        <v/>
      </c>
      <c r="I173" s="130" t="str">
        <f aca="false">IF($B173="","",INDEX('CARNET DE SOUDURE'!$AB$7:$AB$3006,MATCH(162,'CARNET DE SOUDURE'!$AV$7:$AV$3006,0))&amp;"")</f>
        <v/>
      </c>
      <c r="J173" s="130" t="str">
        <f aca="false">IF($B173="","",INDEX('CARNET DE SOUDURE'!$AC$7:$AC$3006,MATCH(162,'CARNET DE SOUDURE'!$AV$7:$AV$3006,0))&amp;IF(INDEX('CARNET DE SOUDURE'!$AH$7:$AH$3006,MATCH(162,'CARNET DE SOUDURE'!$AV$7:$AV$3006,0))&lt;&gt;""," / "&amp;INDEX('CARNET DE SOUDURE'!$AH$7:$AH$3006,MATCH(162,'CARNET DE SOUDURE'!$AV$7:$AV$3006,0)),""))</f>
        <v/>
      </c>
      <c r="K173" s="130" t="str">
        <f aca="false">IF($B173="","",INDEX('CARNET DE SOUDURE'!$AD$7:$AD$3006,MATCH(162,'CARNET DE SOUDURE'!$AV$7:$AV$3006,0))&amp;IF(INDEX('CARNET DE SOUDURE'!$AI$7:$AI$3006,MATCH(162,'CARNET DE SOUDURE'!$AV$7:$AV$3006,0))&lt;&gt;""," / "&amp;INDEX('CARNET DE SOUDURE'!$AI$7:$AI$3006,MATCH(162,'CARNET DE SOUDURE'!$AV$7:$AV$3006,0)),""))</f>
        <v/>
      </c>
      <c r="L173" s="130" t="str">
        <f aca="false">IF($B173="","",INDEX('CARNET DE SOUDURE'!$AG$7:$AG$3006,MATCH(162,'CARNET DE SOUDURE'!$AV$7:$AV$3006,0))&amp;IF(INDEX('CARNET DE SOUDURE'!$AL$7:$AL$3006,MATCH(162,'CARNET DE SOUDURE'!$AV$7:$AV$3006,0))&lt;&gt;""," / "&amp;INDEX('CARNET DE SOUDURE'!$AL$7:$AL$3006,MATCH(162,'CARNET DE SOUDURE'!$AV$7:$AV$3006,0)),""))</f>
        <v/>
      </c>
      <c r="M173" s="132" t="str">
        <f aca="false">IF($B173="","",INDEX('CARNET DE SOUDURE'!$AP$7:$AP$3006,MATCH(162,'CARNET DE SOUDURE'!$AV$7:$AV$3006,0)))</f>
        <v/>
      </c>
      <c r="N173" s="132" t="str">
        <f aca="false">IF($B173="","",INDEX('CARNET DE SOUDURE'!$AQ$7:$AQ$3006,MATCH(162,'CARNET DE SOUDURE'!$AV$7:$AV$3006,0)))</f>
        <v/>
      </c>
      <c r="O173" s="133" t="str">
        <f aca="false">IF($B173="","",INDEX('CARNET DE SOUDURE'!$AR$7:$AR$3006,MATCH(162,'CARNET DE SOUDURE'!$AV$7:$AV$3006,0)))</f>
        <v/>
      </c>
    </row>
    <row r="174" customFormat="false" ht="15" hidden="false" customHeight="false" outlineLevel="0" collapsed="false">
      <c r="B174" s="125" t="str">
        <f aca="false">IF(163&gt;$I$4,"",163)</f>
        <v/>
      </c>
      <c r="C174" s="125" t="str">
        <f aca="false">IF($B174="","",INDEX('CARNET DE SOUDURE'!$B$7:$B$3006,MATCH(163,'CARNET DE SOUDURE'!$AV$7:$AV$3006,0)))</f>
        <v/>
      </c>
      <c r="D174" s="125" t="str">
        <f aca="false">IF($B174="","",INDEX('CARNET DE SOUDURE'!$E$7:$E$3006,MATCH(163,'CARNET DE SOUDURE'!$AV$7:$AV$3006,0)))</f>
        <v/>
      </c>
      <c r="E174" s="125" t="str">
        <f aca="false">IF($B174="","",INDEX('CARNET DE SOUDURE'!$R$7:$R$3006,MATCH(163,'CARNET DE SOUDURE'!$AV$7:$AV$3006,0))&amp;IF(INDEX('CARNET DE SOUDURE'!$S$7:$S$3006,MATCH(163,'CARNET DE SOUDURE'!$AV$7:$AV$3006,0))&lt;&gt;""," / "&amp;INDEX('CARNET DE SOUDURE'!$S$7:$S$3006,MATCH(163,'CARNET DE SOUDURE'!$AV$7:$AV$3006,0)),"")&amp;IF(INDEX('CARNET DE SOUDURE'!$T$7:$T$3006,MATCH(163,'CARNET DE SOUDURE'!$AV$7:$AV$3006,0))&lt;&gt;""," / "&amp;INDEX('CARNET DE SOUDURE'!$T$7:$T$3006,MATCH(163,'CARNET DE SOUDURE'!$AV$7:$AV$3006,0)),""))</f>
        <v/>
      </c>
      <c r="F174" s="126" t="str">
        <f aca="false">IF($B174="","",INDEX('CARNET DE SOUDURE'!$Y$7:$Y$3006,MATCH(163,'CARNET DE SOUDURE'!$AV$7:$AV$3006,0)))</f>
        <v/>
      </c>
      <c r="G174" s="125" t="str">
        <f aca="false">IF($B174="","",INDEX('CARNET DE SOUDURE'!$Z$7:$Z$3006,MATCH(163,'CARNET DE SOUDURE'!$AV$7:$AV$3006,0))&amp;"")</f>
        <v/>
      </c>
      <c r="H174" s="127" t="str">
        <f aca="false">IF($B174="","",INDEX('CARNET DE SOUDURE'!$AA$7:$AA$3006,MATCH(163,'CARNET DE SOUDURE'!$AV$7:$AV$3006,0)))</f>
        <v/>
      </c>
      <c r="I174" s="125" t="str">
        <f aca="false">IF($B174="","",INDEX('CARNET DE SOUDURE'!$AB$7:$AB$3006,MATCH(163,'CARNET DE SOUDURE'!$AV$7:$AV$3006,0))&amp;"")</f>
        <v/>
      </c>
      <c r="J174" s="125" t="str">
        <f aca="false">IF($B174="","",INDEX('CARNET DE SOUDURE'!$AC$7:$AC$3006,MATCH(163,'CARNET DE SOUDURE'!$AV$7:$AV$3006,0))&amp;IF(INDEX('CARNET DE SOUDURE'!$AH$7:$AH$3006,MATCH(163,'CARNET DE SOUDURE'!$AV$7:$AV$3006,0))&lt;&gt;""," / "&amp;INDEX('CARNET DE SOUDURE'!$AH$7:$AH$3006,MATCH(163,'CARNET DE SOUDURE'!$AV$7:$AV$3006,0)),""))</f>
        <v/>
      </c>
      <c r="K174" s="125" t="str">
        <f aca="false">IF($B174="","",INDEX('CARNET DE SOUDURE'!$AD$7:$AD$3006,MATCH(163,'CARNET DE SOUDURE'!$AV$7:$AV$3006,0))&amp;IF(INDEX('CARNET DE SOUDURE'!$AI$7:$AI$3006,MATCH(163,'CARNET DE SOUDURE'!$AV$7:$AV$3006,0))&lt;&gt;""," / "&amp;INDEX('CARNET DE SOUDURE'!$AI$7:$AI$3006,MATCH(163,'CARNET DE SOUDURE'!$AV$7:$AV$3006,0)),""))</f>
        <v/>
      </c>
      <c r="L174" s="125" t="str">
        <f aca="false">IF($B174="","",INDEX('CARNET DE SOUDURE'!$AG$7:$AG$3006,MATCH(163,'CARNET DE SOUDURE'!$AV$7:$AV$3006,0))&amp;IF(INDEX('CARNET DE SOUDURE'!$AL$7:$AL$3006,MATCH(163,'CARNET DE SOUDURE'!$AV$7:$AV$3006,0))&lt;&gt;""," / "&amp;INDEX('CARNET DE SOUDURE'!$AL$7:$AL$3006,MATCH(163,'CARNET DE SOUDURE'!$AV$7:$AV$3006,0)),""))</f>
        <v/>
      </c>
      <c r="M174" s="127" t="str">
        <f aca="false">IF($B174="","",INDEX('CARNET DE SOUDURE'!$AP$7:$AP$3006,MATCH(163,'CARNET DE SOUDURE'!$AV$7:$AV$3006,0)))</f>
        <v/>
      </c>
      <c r="N174" s="127" t="str">
        <f aca="false">IF($B174="","",INDEX('CARNET DE SOUDURE'!$AQ$7:$AQ$3006,MATCH(163,'CARNET DE SOUDURE'!$AV$7:$AV$3006,0)))</f>
        <v/>
      </c>
      <c r="O174" s="128" t="str">
        <f aca="false">IF($B174="","",INDEX('CARNET DE SOUDURE'!$AR$7:$AR$3006,MATCH(163,'CARNET DE SOUDURE'!$AV$7:$AV$3006,0)))</f>
        <v/>
      </c>
    </row>
    <row r="175" customFormat="false" ht="15" hidden="false" customHeight="false" outlineLevel="0" collapsed="false">
      <c r="B175" s="130" t="str">
        <f aca="false">IF(164&gt;$I$4,"",164)</f>
        <v/>
      </c>
      <c r="C175" s="130" t="str">
        <f aca="false">IF($B175="","",INDEX('CARNET DE SOUDURE'!$B$7:$B$3006,MATCH(164,'CARNET DE SOUDURE'!$AV$7:$AV$3006,0)))</f>
        <v/>
      </c>
      <c r="D175" s="130" t="str">
        <f aca="false">IF($B175="","",INDEX('CARNET DE SOUDURE'!$E$7:$E$3006,MATCH(164,'CARNET DE SOUDURE'!$AV$7:$AV$3006,0)))</f>
        <v/>
      </c>
      <c r="E175" s="130" t="str">
        <f aca="false">IF($B175="","",INDEX('CARNET DE SOUDURE'!$R$7:$R$3006,MATCH(164,'CARNET DE SOUDURE'!$AV$7:$AV$3006,0))&amp;IF(INDEX('CARNET DE SOUDURE'!$S$7:$S$3006,MATCH(164,'CARNET DE SOUDURE'!$AV$7:$AV$3006,0))&lt;&gt;""," / "&amp;INDEX('CARNET DE SOUDURE'!$S$7:$S$3006,MATCH(164,'CARNET DE SOUDURE'!$AV$7:$AV$3006,0)),"")&amp;IF(INDEX('CARNET DE SOUDURE'!$T$7:$T$3006,MATCH(164,'CARNET DE SOUDURE'!$AV$7:$AV$3006,0))&lt;&gt;""," / "&amp;INDEX('CARNET DE SOUDURE'!$T$7:$T$3006,MATCH(164,'CARNET DE SOUDURE'!$AV$7:$AV$3006,0)),""))</f>
        <v/>
      </c>
      <c r="F175" s="131" t="str">
        <f aca="false">IF($B175="","",INDEX('CARNET DE SOUDURE'!$Y$7:$Y$3006,MATCH(164,'CARNET DE SOUDURE'!$AV$7:$AV$3006,0)))</f>
        <v/>
      </c>
      <c r="G175" s="130" t="str">
        <f aca="false">IF($B175="","",INDEX('CARNET DE SOUDURE'!$Z$7:$Z$3006,MATCH(164,'CARNET DE SOUDURE'!$AV$7:$AV$3006,0))&amp;"")</f>
        <v/>
      </c>
      <c r="H175" s="132" t="str">
        <f aca="false">IF($B175="","",INDEX('CARNET DE SOUDURE'!$AA$7:$AA$3006,MATCH(164,'CARNET DE SOUDURE'!$AV$7:$AV$3006,0)))</f>
        <v/>
      </c>
      <c r="I175" s="130" t="str">
        <f aca="false">IF($B175="","",INDEX('CARNET DE SOUDURE'!$AB$7:$AB$3006,MATCH(164,'CARNET DE SOUDURE'!$AV$7:$AV$3006,0))&amp;"")</f>
        <v/>
      </c>
      <c r="J175" s="130" t="str">
        <f aca="false">IF($B175="","",INDEX('CARNET DE SOUDURE'!$AC$7:$AC$3006,MATCH(164,'CARNET DE SOUDURE'!$AV$7:$AV$3006,0))&amp;IF(INDEX('CARNET DE SOUDURE'!$AH$7:$AH$3006,MATCH(164,'CARNET DE SOUDURE'!$AV$7:$AV$3006,0))&lt;&gt;""," / "&amp;INDEX('CARNET DE SOUDURE'!$AH$7:$AH$3006,MATCH(164,'CARNET DE SOUDURE'!$AV$7:$AV$3006,0)),""))</f>
        <v/>
      </c>
      <c r="K175" s="130" t="str">
        <f aca="false">IF($B175="","",INDEX('CARNET DE SOUDURE'!$AD$7:$AD$3006,MATCH(164,'CARNET DE SOUDURE'!$AV$7:$AV$3006,0))&amp;IF(INDEX('CARNET DE SOUDURE'!$AI$7:$AI$3006,MATCH(164,'CARNET DE SOUDURE'!$AV$7:$AV$3006,0))&lt;&gt;""," / "&amp;INDEX('CARNET DE SOUDURE'!$AI$7:$AI$3006,MATCH(164,'CARNET DE SOUDURE'!$AV$7:$AV$3006,0)),""))</f>
        <v/>
      </c>
      <c r="L175" s="130" t="str">
        <f aca="false">IF($B175="","",INDEX('CARNET DE SOUDURE'!$AG$7:$AG$3006,MATCH(164,'CARNET DE SOUDURE'!$AV$7:$AV$3006,0))&amp;IF(INDEX('CARNET DE SOUDURE'!$AL$7:$AL$3006,MATCH(164,'CARNET DE SOUDURE'!$AV$7:$AV$3006,0))&lt;&gt;""," / "&amp;INDEX('CARNET DE SOUDURE'!$AL$7:$AL$3006,MATCH(164,'CARNET DE SOUDURE'!$AV$7:$AV$3006,0)),""))</f>
        <v/>
      </c>
      <c r="M175" s="132" t="str">
        <f aca="false">IF($B175="","",INDEX('CARNET DE SOUDURE'!$AP$7:$AP$3006,MATCH(164,'CARNET DE SOUDURE'!$AV$7:$AV$3006,0)))</f>
        <v/>
      </c>
      <c r="N175" s="132" t="str">
        <f aca="false">IF($B175="","",INDEX('CARNET DE SOUDURE'!$AQ$7:$AQ$3006,MATCH(164,'CARNET DE SOUDURE'!$AV$7:$AV$3006,0)))</f>
        <v/>
      </c>
      <c r="O175" s="133" t="str">
        <f aca="false">IF($B175="","",INDEX('CARNET DE SOUDURE'!$AR$7:$AR$3006,MATCH(164,'CARNET DE SOUDURE'!$AV$7:$AV$3006,0)))</f>
        <v/>
      </c>
    </row>
    <row r="176" customFormat="false" ht="15" hidden="false" customHeight="false" outlineLevel="0" collapsed="false">
      <c r="B176" s="125" t="str">
        <f aca="false">IF(165&gt;$I$4,"",165)</f>
        <v/>
      </c>
      <c r="C176" s="125" t="str">
        <f aca="false">IF($B176="","",INDEX('CARNET DE SOUDURE'!$B$7:$B$3006,MATCH(165,'CARNET DE SOUDURE'!$AV$7:$AV$3006,0)))</f>
        <v/>
      </c>
      <c r="D176" s="125" t="str">
        <f aca="false">IF($B176="","",INDEX('CARNET DE SOUDURE'!$E$7:$E$3006,MATCH(165,'CARNET DE SOUDURE'!$AV$7:$AV$3006,0)))</f>
        <v/>
      </c>
      <c r="E176" s="125" t="str">
        <f aca="false">IF($B176="","",INDEX('CARNET DE SOUDURE'!$R$7:$R$3006,MATCH(165,'CARNET DE SOUDURE'!$AV$7:$AV$3006,0))&amp;IF(INDEX('CARNET DE SOUDURE'!$S$7:$S$3006,MATCH(165,'CARNET DE SOUDURE'!$AV$7:$AV$3006,0))&lt;&gt;""," / "&amp;INDEX('CARNET DE SOUDURE'!$S$7:$S$3006,MATCH(165,'CARNET DE SOUDURE'!$AV$7:$AV$3006,0)),"")&amp;IF(INDEX('CARNET DE SOUDURE'!$T$7:$T$3006,MATCH(165,'CARNET DE SOUDURE'!$AV$7:$AV$3006,0))&lt;&gt;""," / "&amp;INDEX('CARNET DE SOUDURE'!$T$7:$T$3006,MATCH(165,'CARNET DE SOUDURE'!$AV$7:$AV$3006,0)),""))</f>
        <v/>
      </c>
      <c r="F176" s="126" t="str">
        <f aca="false">IF($B176="","",INDEX('CARNET DE SOUDURE'!$Y$7:$Y$3006,MATCH(165,'CARNET DE SOUDURE'!$AV$7:$AV$3006,0)))</f>
        <v/>
      </c>
      <c r="G176" s="125" t="str">
        <f aca="false">IF($B176="","",INDEX('CARNET DE SOUDURE'!$Z$7:$Z$3006,MATCH(165,'CARNET DE SOUDURE'!$AV$7:$AV$3006,0))&amp;"")</f>
        <v/>
      </c>
      <c r="H176" s="127" t="str">
        <f aca="false">IF($B176="","",INDEX('CARNET DE SOUDURE'!$AA$7:$AA$3006,MATCH(165,'CARNET DE SOUDURE'!$AV$7:$AV$3006,0)))</f>
        <v/>
      </c>
      <c r="I176" s="125" t="str">
        <f aca="false">IF($B176="","",INDEX('CARNET DE SOUDURE'!$AB$7:$AB$3006,MATCH(165,'CARNET DE SOUDURE'!$AV$7:$AV$3006,0))&amp;"")</f>
        <v/>
      </c>
      <c r="J176" s="125" t="str">
        <f aca="false">IF($B176="","",INDEX('CARNET DE SOUDURE'!$AC$7:$AC$3006,MATCH(165,'CARNET DE SOUDURE'!$AV$7:$AV$3006,0))&amp;IF(INDEX('CARNET DE SOUDURE'!$AH$7:$AH$3006,MATCH(165,'CARNET DE SOUDURE'!$AV$7:$AV$3006,0))&lt;&gt;""," / "&amp;INDEX('CARNET DE SOUDURE'!$AH$7:$AH$3006,MATCH(165,'CARNET DE SOUDURE'!$AV$7:$AV$3006,0)),""))</f>
        <v/>
      </c>
      <c r="K176" s="125" t="str">
        <f aca="false">IF($B176="","",INDEX('CARNET DE SOUDURE'!$AD$7:$AD$3006,MATCH(165,'CARNET DE SOUDURE'!$AV$7:$AV$3006,0))&amp;IF(INDEX('CARNET DE SOUDURE'!$AI$7:$AI$3006,MATCH(165,'CARNET DE SOUDURE'!$AV$7:$AV$3006,0))&lt;&gt;""," / "&amp;INDEX('CARNET DE SOUDURE'!$AI$7:$AI$3006,MATCH(165,'CARNET DE SOUDURE'!$AV$7:$AV$3006,0)),""))</f>
        <v/>
      </c>
      <c r="L176" s="125" t="str">
        <f aca="false">IF($B176="","",INDEX('CARNET DE SOUDURE'!$AG$7:$AG$3006,MATCH(165,'CARNET DE SOUDURE'!$AV$7:$AV$3006,0))&amp;IF(INDEX('CARNET DE SOUDURE'!$AL$7:$AL$3006,MATCH(165,'CARNET DE SOUDURE'!$AV$7:$AV$3006,0))&lt;&gt;""," / "&amp;INDEX('CARNET DE SOUDURE'!$AL$7:$AL$3006,MATCH(165,'CARNET DE SOUDURE'!$AV$7:$AV$3006,0)),""))</f>
        <v/>
      </c>
      <c r="M176" s="127" t="str">
        <f aca="false">IF($B176="","",INDEX('CARNET DE SOUDURE'!$AP$7:$AP$3006,MATCH(165,'CARNET DE SOUDURE'!$AV$7:$AV$3006,0)))</f>
        <v/>
      </c>
      <c r="N176" s="127" t="str">
        <f aca="false">IF($B176="","",INDEX('CARNET DE SOUDURE'!$AQ$7:$AQ$3006,MATCH(165,'CARNET DE SOUDURE'!$AV$7:$AV$3006,0)))</f>
        <v/>
      </c>
      <c r="O176" s="128" t="str">
        <f aca="false">IF($B176="","",INDEX('CARNET DE SOUDURE'!$AR$7:$AR$3006,MATCH(165,'CARNET DE SOUDURE'!$AV$7:$AV$3006,0)))</f>
        <v/>
      </c>
    </row>
    <row r="177" customFormat="false" ht="15" hidden="false" customHeight="false" outlineLevel="0" collapsed="false">
      <c r="B177" s="130" t="str">
        <f aca="false">IF(166&gt;$I$4,"",166)</f>
        <v/>
      </c>
      <c r="C177" s="130" t="str">
        <f aca="false">IF($B177="","",INDEX('CARNET DE SOUDURE'!$B$7:$B$3006,MATCH(166,'CARNET DE SOUDURE'!$AV$7:$AV$3006,0)))</f>
        <v/>
      </c>
      <c r="D177" s="130" t="str">
        <f aca="false">IF($B177="","",INDEX('CARNET DE SOUDURE'!$E$7:$E$3006,MATCH(166,'CARNET DE SOUDURE'!$AV$7:$AV$3006,0)))</f>
        <v/>
      </c>
      <c r="E177" s="130" t="str">
        <f aca="false">IF($B177="","",INDEX('CARNET DE SOUDURE'!$R$7:$R$3006,MATCH(166,'CARNET DE SOUDURE'!$AV$7:$AV$3006,0))&amp;IF(INDEX('CARNET DE SOUDURE'!$S$7:$S$3006,MATCH(166,'CARNET DE SOUDURE'!$AV$7:$AV$3006,0))&lt;&gt;""," / "&amp;INDEX('CARNET DE SOUDURE'!$S$7:$S$3006,MATCH(166,'CARNET DE SOUDURE'!$AV$7:$AV$3006,0)),"")&amp;IF(INDEX('CARNET DE SOUDURE'!$T$7:$T$3006,MATCH(166,'CARNET DE SOUDURE'!$AV$7:$AV$3006,0))&lt;&gt;""," / "&amp;INDEX('CARNET DE SOUDURE'!$T$7:$T$3006,MATCH(166,'CARNET DE SOUDURE'!$AV$7:$AV$3006,0)),""))</f>
        <v/>
      </c>
      <c r="F177" s="131" t="str">
        <f aca="false">IF($B177="","",INDEX('CARNET DE SOUDURE'!$Y$7:$Y$3006,MATCH(166,'CARNET DE SOUDURE'!$AV$7:$AV$3006,0)))</f>
        <v/>
      </c>
      <c r="G177" s="130" t="str">
        <f aca="false">IF($B177="","",INDEX('CARNET DE SOUDURE'!$Z$7:$Z$3006,MATCH(166,'CARNET DE SOUDURE'!$AV$7:$AV$3006,0))&amp;"")</f>
        <v/>
      </c>
      <c r="H177" s="132" t="str">
        <f aca="false">IF($B177="","",INDEX('CARNET DE SOUDURE'!$AA$7:$AA$3006,MATCH(166,'CARNET DE SOUDURE'!$AV$7:$AV$3006,0)))</f>
        <v/>
      </c>
      <c r="I177" s="130" t="str">
        <f aca="false">IF($B177="","",INDEX('CARNET DE SOUDURE'!$AB$7:$AB$3006,MATCH(166,'CARNET DE SOUDURE'!$AV$7:$AV$3006,0))&amp;"")</f>
        <v/>
      </c>
      <c r="J177" s="130" t="str">
        <f aca="false">IF($B177="","",INDEX('CARNET DE SOUDURE'!$AC$7:$AC$3006,MATCH(166,'CARNET DE SOUDURE'!$AV$7:$AV$3006,0))&amp;IF(INDEX('CARNET DE SOUDURE'!$AH$7:$AH$3006,MATCH(166,'CARNET DE SOUDURE'!$AV$7:$AV$3006,0))&lt;&gt;""," / "&amp;INDEX('CARNET DE SOUDURE'!$AH$7:$AH$3006,MATCH(166,'CARNET DE SOUDURE'!$AV$7:$AV$3006,0)),""))</f>
        <v/>
      </c>
      <c r="K177" s="130" t="str">
        <f aca="false">IF($B177="","",INDEX('CARNET DE SOUDURE'!$AD$7:$AD$3006,MATCH(166,'CARNET DE SOUDURE'!$AV$7:$AV$3006,0))&amp;IF(INDEX('CARNET DE SOUDURE'!$AI$7:$AI$3006,MATCH(166,'CARNET DE SOUDURE'!$AV$7:$AV$3006,0))&lt;&gt;""," / "&amp;INDEX('CARNET DE SOUDURE'!$AI$7:$AI$3006,MATCH(166,'CARNET DE SOUDURE'!$AV$7:$AV$3006,0)),""))</f>
        <v/>
      </c>
      <c r="L177" s="130" t="str">
        <f aca="false">IF($B177="","",INDEX('CARNET DE SOUDURE'!$AG$7:$AG$3006,MATCH(166,'CARNET DE SOUDURE'!$AV$7:$AV$3006,0))&amp;IF(INDEX('CARNET DE SOUDURE'!$AL$7:$AL$3006,MATCH(166,'CARNET DE SOUDURE'!$AV$7:$AV$3006,0))&lt;&gt;""," / "&amp;INDEX('CARNET DE SOUDURE'!$AL$7:$AL$3006,MATCH(166,'CARNET DE SOUDURE'!$AV$7:$AV$3006,0)),""))</f>
        <v/>
      </c>
      <c r="M177" s="132" t="str">
        <f aca="false">IF($B177="","",INDEX('CARNET DE SOUDURE'!$AP$7:$AP$3006,MATCH(166,'CARNET DE SOUDURE'!$AV$7:$AV$3006,0)))</f>
        <v/>
      </c>
      <c r="N177" s="132" t="str">
        <f aca="false">IF($B177="","",INDEX('CARNET DE SOUDURE'!$AQ$7:$AQ$3006,MATCH(166,'CARNET DE SOUDURE'!$AV$7:$AV$3006,0)))</f>
        <v/>
      </c>
      <c r="O177" s="133" t="str">
        <f aca="false">IF($B177="","",INDEX('CARNET DE SOUDURE'!$AR$7:$AR$3006,MATCH(166,'CARNET DE SOUDURE'!$AV$7:$AV$3006,0)))</f>
        <v/>
      </c>
    </row>
    <row r="178" customFormat="false" ht="15" hidden="false" customHeight="false" outlineLevel="0" collapsed="false">
      <c r="B178" s="125" t="str">
        <f aca="false">IF(167&gt;$I$4,"",167)</f>
        <v/>
      </c>
      <c r="C178" s="125" t="str">
        <f aca="false">IF($B178="","",INDEX('CARNET DE SOUDURE'!$B$7:$B$3006,MATCH(167,'CARNET DE SOUDURE'!$AV$7:$AV$3006,0)))</f>
        <v/>
      </c>
      <c r="D178" s="125" t="str">
        <f aca="false">IF($B178="","",INDEX('CARNET DE SOUDURE'!$E$7:$E$3006,MATCH(167,'CARNET DE SOUDURE'!$AV$7:$AV$3006,0)))</f>
        <v/>
      </c>
      <c r="E178" s="125" t="str">
        <f aca="false">IF($B178="","",INDEX('CARNET DE SOUDURE'!$R$7:$R$3006,MATCH(167,'CARNET DE SOUDURE'!$AV$7:$AV$3006,0))&amp;IF(INDEX('CARNET DE SOUDURE'!$S$7:$S$3006,MATCH(167,'CARNET DE SOUDURE'!$AV$7:$AV$3006,0))&lt;&gt;""," / "&amp;INDEX('CARNET DE SOUDURE'!$S$7:$S$3006,MATCH(167,'CARNET DE SOUDURE'!$AV$7:$AV$3006,0)),"")&amp;IF(INDEX('CARNET DE SOUDURE'!$T$7:$T$3006,MATCH(167,'CARNET DE SOUDURE'!$AV$7:$AV$3006,0))&lt;&gt;""," / "&amp;INDEX('CARNET DE SOUDURE'!$T$7:$T$3006,MATCH(167,'CARNET DE SOUDURE'!$AV$7:$AV$3006,0)),""))</f>
        <v/>
      </c>
      <c r="F178" s="126" t="str">
        <f aca="false">IF($B178="","",INDEX('CARNET DE SOUDURE'!$Y$7:$Y$3006,MATCH(167,'CARNET DE SOUDURE'!$AV$7:$AV$3006,0)))</f>
        <v/>
      </c>
      <c r="G178" s="125" t="str">
        <f aca="false">IF($B178="","",INDEX('CARNET DE SOUDURE'!$Z$7:$Z$3006,MATCH(167,'CARNET DE SOUDURE'!$AV$7:$AV$3006,0))&amp;"")</f>
        <v/>
      </c>
      <c r="H178" s="127" t="str">
        <f aca="false">IF($B178="","",INDEX('CARNET DE SOUDURE'!$AA$7:$AA$3006,MATCH(167,'CARNET DE SOUDURE'!$AV$7:$AV$3006,0)))</f>
        <v/>
      </c>
      <c r="I178" s="125" t="str">
        <f aca="false">IF($B178="","",INDEX('CARNET DE SOUDURE'!$AB$7:$AB$3006,MATCH(167,'CARNET DE SOUDURE'!$AV$7:$AV$3006,0))&amp;"")</f>
        <v/>
      </c>
      <c r="J178" s="125" t="str">
        <f aca="false">IF($B178="","",INDEX('CARNET DE SOUDURE'!$AC$7:$AC$3006,MATCH(167,'CARNET DE SOUDURE'!$AV$7:$AV$3006,0))&amp;IF(INDEX('CARNET DE SOUDURE'!$AH$7:$AH$3006,MATCH(167,'CARNET DE SOUDURE'!$AV$7:$AV$3006,0))&lt;&gt;""," / "&amp;INDEX('CARNET DE SOUDURE'!$AH$7:$AH$3006,MATCH(167,'CARNET DE SOUDURE'!$AV$7:$AV$3006,0)),""))</f>
        <v/>
      </c>
      <c r="K178" s="125" t="str">
        <f aca="false">IF($B178="","",INDEX('CARNET DE SOUDURE'!$AD$7:$AD$3006,MATCH(167,'CARNET DE SOUDURE'!$AV$7:$AV$3006,0))&amp;IF(INDEX('CARNET DE SOUDURE'!$AI$7:$AI$3006,MATCH(167,'CARNET DE SOUDURE'!$AV$7:$AV$3006,0))&lt;&gt;""," / "&amp;INDEX('CARNET DE SOUDURE'!$AI$7:$AI$3006,MATCH(167,'CARNET DE SOUDURE'!$AV$7:$AV$3006,0)),""))</f>
        <v/>
      </c>
      <c r="L178" s="125" t="str">
        <f aca="false">IF($B178="","",INDEX('CARNET DE SOUDURE'!$AG$7:$AG$3006,MATCH(167,'CARNET DE SOUDURE'!$AV$7:$AV$3006,0))&amp;IF(INDEX('CARNET DE SOUDURE'!$AL$7:$AL$3006,MATCH(167,'CARNET DE SOUDURE'!$AV$7:$AV$3006,0))&lt;&gt;""," / "&amp;INDEX('CARNET DE SOUDURE'!$AL$7:$AL$3006,MATCH(167,'CARNET DE SOUDURE'!$AV$7:$AV$3006,0)),""))</f>
        <v/>
      </c>
      <c r="M178" s="127" t="str">
        <f aca="false">IF($B178="","",INDEX('CARNET DE SOUDURE'!$AP$7:$AP$3006,MATCH(167,'CARNET DE SOUDURE'!$AV$7:$AV$3006,0)))</f>
        <v/>
      </c>
      <c r="N178" s="127" t="str">
        <f aca="false">IF($B178="","",INDEX('CARNET DE SOUDURE'!$AQ$7:$AQ$3006,MATCH(167,'CARNET DE SOUDURE'!$AV$7:$AV$3006,0)))</f>
        <v/>
      </c>
      <c r="O178" s="128" t="str">
        <f aca="false">IF($B178="","",INDEX('CARNET DE SOUDURE'!$AR$7:$AR$3006,MATCH(167,'CARNET DE SOUDURE'!$AV$7:$AV$3006,0)))</f>
        <v/>
      </c>
    </row>
    <row r="179" customFormat="false" ht="15" hidden="false" customHeight="false" outlineLevel="0" collapsed="false">
      <c r="B179" s="130" t="str">
        <f aca="false">IF(168&gt;$I$4,"",168)</f>
        <v/>
      </c>
      <c r="C179" s="130" t="str">
        <f aca="false">IF($B179="","",INDEX('CARNET DE SOUDURE'!$B$7:$B$3006,MATCH(168,'CARNET DE SOUDURE'!$AV$7:$AV$3006,0)))</f>
        <v/>
      </c>
      <c r="D179" s="130" t="str">
        <f aca="false">IF($B179="","",INDEX('CARNET DE SOUDURE'!$E$7:$E$3006,MATCH(168,'CARNET DE SOUDURE'!$AV$7:$AV$3006,0)))</f>
        <v/>
      </c>
      <c r="E179" s="130" t="str">
        <f aca="false">IF($B179="","",INDEX('CARNET DE SOUDURE'!$R$7:$R$3006,MATCH(168,'CARNET DE SOUDURE'!$AV$7:$AV$3006,0))&amp;IF(INDEX('CARNET DE SOUDURE'!$S$7:$S$3006,MATCH(168,'CARNET DE SOUDURE'!$AV$7:$AV$3006,0))&lt;&gt;""," / "&amp;INDEX('CARNET DE SOUDURE'!$S$7:$S$3006,MATCH(168,'CARNET DE SOUDURE'!$AV$7:$AV$3006,0)),"")&amp;IF(INDEX('CARNET DE SOUDURE'!$T$7:$T$3006,MATCH(168,'CARNET DE SOUDURE'!$AV$7:$AV$3006,0))&lt;&gt;""," / "&amp;INDEX('CARNET DE SOUDURE'!$T$7:$T$3006,MATCH(168,'CARNET DE SOUDURE'!$AV$7:$AV$3006,0)),""))</f>
        <v/>
      </c>
      <c r="F179" s="131" t="str">
        <f aca="false">IF($B179="","",INDEX('CARNET DE SOUDURE'!$Y$7:$Y$3006,MATCH(168,'CARNET DE SOUDURE'!$AV$7:$AV$3006,0)))</f>
        <v/>
      </c>
      <c r="G179" s="130" t="str">
        <f aca="false">IF($B179="","",INDEX('CARNET DE SOUDURE'!$Z$7:$Z$3006,MATCH(168,'CARNET DE SOUDURE'!$AV$7:$AV$3006,0))&amp;"")</f>
        <v/>
      </c>
      <c r="H179" s="132" t="str">
        <f aca="false">IF($B179="","",INDEX('CARNET DE SOUDURE'!$AA$7:$AA$3006,MATCH(168,'CARNET DE SOUDURE'!$AV$7:$AV$3006,0)))</f>
        <v/>
      </c>
      <c r="I179" s="130" t="str">
        <f aca="false">IF($B179="","",INDEX('CARNET DE SOUDURE'!$AB$7:$AB$3006,MATCH(168,'CARNET DE SOUDURE'!$AV$7:$AV$3006,0))&amp;"")</f>
        <v/>
      </c>
      <c r="J179" s="130" t="str">
        <f aca="false">IF($B179="","",INDEX('CARNET DE SOUDURE'!$AC$7:$AC$3006,MATCH(168,'CARNET DE SOUDURE'!$AV$7:$AV$3006,0))&amp;IF(INDEX('CARNET DE SOUDURE'!$AH$7:$AH$3006,MATCH(168,'CARNET DE SOUDURE'!$AV$7:$AV$3006,0))&lt;&gt;""," / "&amp;INDEX('CARNET DE SOUDURE'!$AH$7:$AH$3006,MATCH(168,'CARNET DE SOUDURE'!$AV$7:$AV$3006,0)),""))</f>
        <v/>
      </c>
      <c r="K179" s="130" t="str">
        <f aca="false">IF($B179="","",INDEX('CARNET DE SOUDURE'!$AD$7:$AD$3006,MATCH(168,'CARNET DE SOUDURE'!$AV$7:$AV$3006,0))&amp;IF(INDEX('CARNET DE SOUDURE'!$AI$7:$AI$3006,MATCH(168,'CARNET DE SOUDURE'!$AV$7:$AV$3006,0))&lt;&gt;""," / "&amp;INDEX('CARNET DE SOUDURE'!$AI$7:$AI$3006,MATCH(168,'CARNET DE SOUDURE'!$AV$7:$AV$3006,0)),""))</f>
        <v/>
      </c>
      <c r="L179" s="130" t="str">
        <f aca="false">IF($B179="","",INDEX('CARNET DE SOUDURE'!$AG$7:$AG$3006,MATCH(168,'CARNET DE SOUDURE'!$AV$7:$AV$3006,0))&amp;IF(INDEX('CARNET DE SOUDURE'!$AL$7:$AL$3006,MATCH(168,'CARNET DE SOUDURE'!$AV$7:$AV$3006,0))&lt;&gt;""," / "&amp;INDEX('CARNET DE SOUDURE'!$AL$7:$AL$3006,MATCH(168,'CARNET DE SOUDURE'!$AV$7:$AV$3006,0)),""))</f>
        <v/>
      </c>
      <c r="M179" s="132" t="str">
        <f aca="false">IF($B179="","",INDEX('CARNET DE SOUDURE'!$AP$7:$AP$3006,MATCH(168,'CARNET DE SOUDURE'!$AV$7:$AV$3006,0)))</f>
        <v/>
      </c>
      <c r="N179" s="132" t="str">
        <f aca="false">IF($B179="","",INDEX('CARNET DE SOUDURE'!$AQ$7:$AQ$3006,MATCH(168,'CARNET DE SOUDURE'!$AV$7:$AV$3006,0)))</f>
        <v/>
      </c>
      <c r="O179" s="133" t="str">
        <f aca="false">IF($B179="","",INDEX('CARNET DE SOUDURE'!$AR$7:$AR$3006,MATCH(168,'CARNET DE SOUDURE'!$AV$7:$AV$3006,0)))</f>
        <v/>
      </c>
    </row>
    <row r="180" customFormat="false" ht="15" hidden="false" customHeight="false" outlineLevel="0" collapsed="false">
      <c r="B180" s="125" t="str">
        <f aca="false">IF(169&gt;$I$4,"",169)</f>
        <v/>
      </c>
      <c r="C180" s="125" t="str">
        <f aca="false">IF($B180="","",INDEX('CARNET DE SOUDURE'!$B$7:$B$3006,MATCH(169,'CARNET DE SOUDURE'!$AV$7:$AV$3006,0)))</f>
        <v/>
      </c>
      <c r="D180" s="125" t="str">
        <f aca="false">IF($B180="","",INDEX('CARNET DE SOUDURE'!$E$7:$E$3006,MATCH(169,'CARNET DE SOUDURE'!$AV$7:$AV$3006,0)))</f>
        <v/>
      </c>
      <c r="E180" s="125" t="str">
        <f aca="false">IF($B180="","",INDEX('CARNET DE SOUDURE'!$R$7:$R$3006,MATCH(169,'CARNET DE SOUDURE'!$AV$7:$AV$3006,0))&amp;IF(INDEX('CARNET DE SOUDURE'!$S$7:$S$3006,MATCH(169,'CARNET DE SOUDURE'!$AV$7:$AV$3006,0))&lt;&gt;""," / "&amp;INDEX('CARNET DE SOUDURE'!$S$7:$S$3006,MATCH(169,'CARNET DE SOUDURE'!$AV$7:$AV$3006,0)),"")&amp;IF(INDEX('CARNET DE SOUDURE'!$T$7:$T$3006,MATCH(169,'CARNET DE SOUDURE'!$AV$7:$AV$3006,0))&lt;&gt;""," / "&amp;INDEX('CARNET DE SOUDURE'!$T$7:$T$3006,MATCH(169,'CARNET DE SOUDURE'!$AV$7:$AV$3006,0)),""))</f>
        <v/>
      </c>
      <c r="F180" s="126" t="str">
        <f aca="false">IF($B180="","",INDEX('CARNET DE SOUDURE'!$Y$7:$Y$3006,MATCH(169,'CARNET DE SOUDURE'!$AV$7:$AV$3006,0)))</f>
        <v/>
      </c>
      <c r="G180" s="125" t="str">
        <f aca="false">IF($B180="","",INDEX('CARNET DE SOUDURE'!$Z$7:$Z$3006,MATCH(169,'CARNET DE SOUDURE'!$AV$7:$AV$3006,0))&amp;"")</f>
        <v/>
      </c>
      <c r="H180" s="127" t="str">
        <f aca="false">IF($B180="","",INDEX('CARNET DE SOUDURE'!$AA$7:$AA$3006,MATCH(169,'CARNET DE SOUDURE'!$AV$7:$AV$3006,0)))</f>
        <v/>
      </c>
      <c r="I180" s="125" t="str">
        <f aca="false">IF($B180="","",INDEX('CARNET DE SOUDURE'!$AB$7:$AB$3006,MATCH(169,'CARNET DE SOUDURE'!$AV$7:$AV$3006,0))&amp;"")</f>
        <v/>
      </c>
      <c r="J180" s="125" t="str">
        <f aca="false">IF($B180="","",INDEX('CARNET DE SOUDURE'!$AC$7:$AC$3006,MATCH(169,'CARNET DE SOUDURE'!$AV$7:$AV$3006,0))&amp;IF(INDEX('CARNET DE SOUDURE'!$AH$7:$AH$3006,MATCH(169,'CARNET DE SOUDURE'!$AV$7:$AV$3006,0))&lt;&gt;""," / "&amp;INDEX('CARNET DE SOUDURE'!$AH$7:$AH$3006,MATCH(169,'CARNET DE SOUDURE'!$AV$7:$AV$3006,0)),""))</f>
        <v/>
      </c>
      <c r="K180" s="125" t="str">
        <f aca="false">IF($B180="","",INDEX('CARNET DE SOUDURE'!$AD$7:$AD$3006,MATCH(169,'CARNET DE SOUDURE'!$AV$7:$AV$3006,0))&amp;IF(INDEX('CARNET DE SOUDURE'!$AI$7:$AI$3006,MATCH(169,'CARNET DE SOUDURE'!$AV$7:$AV$3006,0))&lt;&gt;""," / "&amp;INDEX('CARNET DE SOUDURE'!$AI$7:$AI$3006,MATCH(169,'CARNET DE SOUDURE'!$AV$7:$AV$3006,0)),""))</f>
        <v/>
      </c>
      <c r="L180" s="125" t="str">
        <f aca="false">IF($B180="","",INDEX('CARNET DE SOUDURE'!$AG$7:$AG$3006,MATCH(169,'CARNET DE SOUDURE'!$AV$7:$AV$3006,0))&amp;IF(INDEX('CARNET DE SOUDURE'!$AL$7:$AL$3006,MATCH(169,'CARNET DE SOUDURE'!$AV$7:$AV$3006,0))&lt;&gt;""," / "&amp;INDEX('CARNET DE SOUDURE'!$AL$7:$AL$3006,MATCH(169,'CARNET DE SOUDURE'!$AV$7:$AV$3006,0)),""))</f>
        <v/>
      </c>
      <c r="M180" s="127" t="str">
        <f aca="false">IF($B180="","",INDEX('CARNET DE SOUDURE'!$AP$7:$AP$3006,MATCH(169,'CARNET DE SOUDURE'!$AV$7:$AV$3006,0)))</f>
        <v/>
      </c>
      <c r="N180" s="127" t="str">
        <f aca="false">IF($B180="","",INDEX('CARNET DE SOUDURE'!$AQ$7:$AQ$3006,MATCH(169,'CARNET DE SOUDURE'!$AV$7:$AV$3006,0)))</f>
        <v/>
      </c>
      <c r="O180" s="128" t="str">
        <f aca="false">IF($B180="","",INDEX('CARNET DE SOUDURE'!$AR$7:$AR$3006,MATCH(169,'CARNET DE SOUDURE'!$AV$7:$AV$3006,0)))</f>
        <v/>
      </c>
    </row>
    <row r="181" customFormat="false" ht="15" hidden="false" customHeight="false" outlineLevel="0" collapsed="false">
      <c r="B181" s="130" t="str">
        <f aca="false">IF(170&gt;$I$4,"",170)</f>
        <v/>
      </c>
      <c r="C181" s="130" t="str">
        <f aca="false">IF($B181="","",INDEX('CARNET DE SOUDURE'!$B$7:$B$3006,MATCH(170,'CARNET DE SOUDURE'!$AV$7:$AV$3006,0)))</f>
        <v/>
      </c>
      <c r="D181" s="130" t="str">
        <f aca="false">IF($B181="","",INDEX('CARNET DE SOUDURE'!$E$7:$E$3006,MATCH(170,'CARNET DE SOUDURE'!$AV$7:$AV$3006,0)))</f>
        <v/>
      </c>
      <c r="E181" s="130" t="str">
        <f aca="false">IF($B181="","",INDEX('CARNET DE SOUDURE'!$R$7:$R$3006,MATCH(170,'CARNET DE SOUDURE'!$AV$7:$AV$3006,0))&amp;IF(INDEX('CARNET DE SOUDURE'!$S$7:$S$3006,MATCH(170,'CARNET DE SOUDURE'!$AV$7:$AV$3006,0))&lt;&gt;""," / "&amp;INDEX('CARNET DE SOUDURE'!$S$7:$S$3006,MATCH(170,'CARNET DE SOUDURE'!$AV$7:$AV$3006,0)),"")&amp;IF(INDEX('CARNET DE SOUDURE'!$T$7:$T$3006,MATCH(170,'CARNET DE SOUDURE'!$AV$7:$AV$3006,0))&lt;&gt;""," / "&amp;INDEX('CARNET DE SOUDURE'!$T$7:$T$3006,MATCH(170,'CARNET DE SOUDURE'!$AV$7:$AV$3006,0)),""))</f>
        <v/>
      </c>
      <c r="F181" s="131" t="str">
        <f aca="false">IF($B181="","",INDEX('CARNET DE SOUDURE'!$Y$7:$Y$3006,MATCH(170,'CARNET DE SOUDURE'!$AV$7:$AV$3006,0)))</f>
        <v/>
      </c>
      <c r="G181" s="130" t="str">
        <f aca="false">IF($B181="","",INDEX('CARNET DE SOUDURE'!$Z$7:$Z$3006,MATCH(170,'CARNET DE SOUDURE'!$AV$7:$AV$3006,0))&amp;"")</f>
        <v/>
      </c>
      <c r="H181" s="132" t="str">
        <f aca="false">IF($B181="","",INDEX('CARNET DE SOUDURE'!$AA$7:$AA$3006,MATCH(170,'CARNET DE SOUDURE'!$AV$7:$AV$3006,0)))</f>
        <v/>
      </c>
      <c r="I181" s="130" t="str">
        <f aca="false">IF($B181="","",INDEX('CARNET DE SOUDURE'!$AB$7:$AB$3006,MATCH(170,'CARNET DE SOUDURE'!$AV$7:$AV$3006,0))&amp;"")</f>
        <v/>
      </c>
      <c r="J181" s="130" t="str">
        <f aca="false">IF($B181="","",INDEX('CARNET DE SOUDURE'!$AC$7:$AC$3006,MATCH(170,'CARNET DE SOUDURE'!$AV$7:$AV$3006,0))&amp;IF(INDEX('CARNET DE SOUDURE'!$AH$7:$AH$3006,MATCH(170,'CARNET DE SOUDURE'!$AV$7:$AV$3006,0))&lt;&gt;""," / "&amp;INDEX('CARNET DE SOUDURE'!$AH$7:$AH$3006,MATCH(170,'CARNET DE SOUDURE'!$AV$7:$AV$3006,0)),""))</f>
        <v/>
      </c>
      <c r="K181" s="130" t="str">
        <f aca="false">IF($B181="","",INDEX('CARNET DE SOUDURE'!$AD$7:$AD$3006,MATCH(170,'CARNET DE SOUDURE'!$AV$7:$AV$3006,0))&amp;IF(INDEX('CARNET DE SOUDURE'!$AI$7:$AI$3006,MATCH(170,'CARNET DE SOUDURE'!$AV$7:$AV$3006,0))&lt;&gt;""," / "&amp;INDEX('CARNET DE SOUDURE'!$AI$7:$AI$3006,MATCH(170,'CARNET DE SOUDURE'!$AV$7:$AV$3006,0)),""))</f>
        <v/>
      </c>
      <c r="L181" s="130" t="str">
        <f aca="false">IF($B181="","",INDEX('CARNET DE SOUDURE'!$AG$7:$AG$3006,MATCH(170,'CARNET DE SOUDURE'!$AV$7:$AV$3006,0))&amp;IF(INDEX('CARNET DE SOUDURE'!$AL$7:$AL$3006,MATCH(170,'CARNET DE SOUDURE'!$AV$7:$AV$3006,0))&lt;&gt;""," / "&amp;INDEX('CARNET DE SOUDURE'!$AL$7:$AL$3006,MATCH(170,'CARNET DE SOUDURE'!$AV$7:$AV$3006,0)),""))</f>
        <v/>
      </c>
      <c r="M181" s="132" t="str">
        <f aca="false">IF($B181="","",INDEX('CARNET DE SOUDURE'!$AP$7:$AP$3006,MATCH(170,'CARNET DE SOUDURE'!$AV$7:$AV$3006,0)))</f>
        <v/>
      </c>
      <c r="N181" s="132" t="str">
        <f aca="false">IF($B181="","",INDEX('CARNET DE SOUDURE'!$AQ$7:$AQ$3006,MATCH(170,'CARNET DE SOUDURE'!$AV$7:$AV$3006,0)))</f>
        <v/>
      </c>
      <c r="O181" s="133" t="str">
        <f aca="false">IF($B181="","",INDEX('CARNET DE SOUDURE'!$AR$7:$AR$3006,MATCH(170,'CARNET DE SOUDURE'!$AV$7:$AV$3006,0)))</f>
        <v/>
      </c>
    </row>
    <row r="182" customFormat="false" ht="15" hidden="false" customHeight="false" outlineLevel="0" collapsed="false">
      <c r="B182" s="125" t="str">
        <f aca="false">IF(171&gt;$I$4,"",171)</f>
        <v/>
      </c>
      <c r="C182" s="125" t="str">
        <f aca="false">IF($B182="","",INDEX('CARNET DE SOUDURE'!$B$7:$B$3006,MATCH(171,'CARNET DE SOUDURE'!$AV$7:$AV$3006,0)))</f>
        <v/>
      </c>
      <c r="D182" s="125" t="str">
        <f aca="false">IF($B182="","",INDEX('CARNET DE SOUDURE'!$E$7:$E$3006,MATCH(171,'CARNET DE SOUDURE'!$AV$7:$AV$3006,0)))</f>
        <v/>
      </c>
      <c r="E182" s="125" t="str">
        <f aca="false">IF($B182="","",INDEX('CARNET DE SOUDURE'!$R$7:$R$3006,MATCH(171,'CARNET DE SOUDURE'!$AV$7:$AV$3006,0))&amp;IF(INDEX('CARNET DE SOUDURE'!$S$7:$S$3006,MATCH(171,'CARNET DE SOUDURE'!$AV$7:$AV$3006,0))&lt;&gt;""," / "&amp;INDEX('CARNET DE SOUDURE'!$S$7:$S$3006,MATCH(171,'CARNET DE SOUDURE'!$AV$7:$AV$3006,0)),"")&amp;IF(INDEX('CARNET DE SOUDURE'!$T$7:$T$3006,MATCH(171,'CARNET DE SOUDURE'!$AV$7:$AV$3006,0))&lt;&gt;""," / "&amp;INDEX('CARNET DE SOUDURE'!$T$7:$T$3006,MATCH(171,'CARNET DE SOUDURE'!$AV$7:$AV$3006,0)),""))</f>
        <v/>
      </c>
      <c r="F182" s="126" t="str">
        <f aca="false">IF($B182="","",INDEX('CARNET DE SOUDURE'!$Y$7:$Y$3006,MATCH(171,'CARNET DE SOUDURE'!$AV$7:$AV$3006,0)))</f>
        <v/>
      </c>
      <c r="G182" s="125" t="str">
        <f aca="false">IF($B182="","",INDEX('CARNET DE SOUDURE'!$Z$7:$Z$3006,MATCH(171,'CARNET DE SOUDURE'!$AV$7:$AV$3006,0))&amp;"")</f>
        <v/>
      </c>
      <c r="H182" s="127" t="str">
        <f aca="false">IF($B182="","",INDEX('CARNET DE SOUDURE'!$AA$7:$AA$3006,MATCH(171,'CARNET DE SOUDURE'!$AV$7:$AV$3006,0)))</f>
        <v/>
      </c>
      <c r="I182" s="125" t="str">
        <f aca="false">IF($B182="","",INDEX('CARNET DE SOUDURE'!$AB$7:$AB$3006,MATCH(171,'CARNET DE SOUDURE'!$AV$7:$AV$3006,0))&amp;"")</f>
        <v/>
      </c>
      <c r="J182" s="125" t="str">
        <f aca="false">IF($B182="","",INDEX('CARNET DE SOUDURE'!$AC$7:$AC$3006,MATCH(171,'CARNET DE SOUDURE'!$AV$7:$AV$3006,0))&amp;IF(INDEX('CARNET DE SOUDURE'!$AH$7:$AH$3006,MATCH(171,'CARNET DE SOUDURE'!$AV$7:$AV$3006,0))&lt;&gt;""," / "&amp;INDEX('CARNET DE SOUDURE'!$AH$7:$AH$3006,MATCH(171,'CARNET DE SOUDURE'!$AV$7:$AV$3006,0)),""))</f>
        <v/>
      </c>
      <c r="K182" s="125" t="str">
        <f aca="false">IF($B182="","",INDEX('CARNET DE SOUDURE'!$AD$7:$AD$3006,MATCH(171,'CARNET DE SOUDURE'!$AV$7:$AV$3006,0))&amp;IF(INDEX('CARNET DE SOUDURE'!$AI$7:$AI$3006,MATCH(171,'CARNET DE SOUDURE'!$AV$7:$AV$3006,0))&lt;&gt;""," / "&amp;INDEX('CARNET DE SOUDURE'!$AI$7:$AI$3006,MATCH(171,'CARNET DE SOUDURE'!$AV$7:$AV$3006,0)),""))</f>
        <v/>
      </c>
      <c r="L182" s="125" t="str">
        <f aca="false">IF($B182="","",INDEX('CARNET DE SOUDURE'!$AG$7:$AG$3006,MATCH(171,'CARNET DE SOUDURE'!$AV$7:$AV$3006,0))&amp;IF(INDEX('CARNET DE SOUDURE'!$AL$7:$AL$3006,MATCH(171,'CARNET DE SOUDURE'!$AV$7:$AV$3006,0))&lt;&gt;""," / "&amp;INDEX('CARNET DE SOUDURE'!$AL$7:$AL$3006,MATCH(171,'CARNET DE SOUDURE'!$AV$7:$AV$3006,0)),""))</f>
        <v/>
      </c>
      <c r="M182" s="127" t="str">
        <f aca="false">IF($B182="","",INDEX('CARNET DE SOUDURE'!$AP$7:$AP$3006,MATCH(171,'CARNET DE SOUDURE'!$AV$7:$AV$3006,0)))</f>
        <v/>
      </c>
      <c r="N182" s="127" t="str">
        <f aca="false">IF($B182="","",INDEX('CARNET DE SOUDURE'!$AQ$7:$AQ$3006,MATCH(171,'CARNET DE SOUDURE'!$AV$7:$AV$3006,0)))</f>
        <v/>
      </c>
      <c r="O182" s="128" t="str">
        <f aca="false">IF($B182="","",INDEX('CARNET DE SOUDURE'!$AR$7:$AR$3006,MATCH(171,'CARNET DE SOUDURE'!$AV$7:$AV$3006,0)))</f>
        <v/>
      </c>
    </row>
    <row r="183" customFormat="false" ht="15" hidden="false" customHeight="false" outlineLevel="0" collapsed="false">
      <c r="B183" s="130" t="str">
        <f aca="false">IF(172&gt;$I$4,"",172)</f>
        <v/>
      </c>
      <c r="C183" s="130" t="str">
        <f aca="false">IF($B183="","",INDEX('CARNET DE SOUDURE'!$B$7:$B$3006,MATCH(172,'CARNET DE SOUDURE'!$AV$7:$AV$3006,0)))</f>
        <v/>
      </c>
      <c r="D183" s="130" t="str">
        <f aca="false">IF($B183="","",INDEX('CARNET DE SOUDURE'!$E$7:$E$3006,MATCH(172,'CARNET DE SOUDURE'!$AV$7:$AV$3006,0)))</f>
        <v/>
      </c>
      <c r="E183" s="130" t="str">
        <f aca="false">IF($B183="","",INDEX('CARNET DE SOUDURE'!$R$7:$R$3006,MATCH(172,'CARNET DE SOUDURE'!$AV$7:$AV$3006,0))&amp;IF(INDEX('CARNET DE SOUDURE'!$S$7:$S$3006,MATCH(172,'CARNET DE SOUDURE'!$AV$7:$AV$3006,0))&lt;&gt;""," / "&amp;INDEX('CARNET DE SOUDURE'!$S$7:$S$3006,MATCH(172,'CARNET DE SOUDURE'!$AV$7:$AV$3006,0)),"")&amp;IF(INDEX('CARNET DE SOUDURE'!$T$7:$T$3006,MATCH(172,'CARNET DE SOUDURE'!$AV$7:$AV$3006,0))&lt;&gt;""," / "&amp;INDEX('CARNET DE SOUDURE'!$T$7:$T$3006,MATCH(172,'CARNET DE SOUDURE'!$AV$7:$AV$3006,0)),""))</f>
        <v/>
      </c>
      <c r="F183" s="131" t="str">
        <f aca="false">IF($B183="","",INDEX('CARNET DE SOUDURE'!$Y$7:$Y$3006,MATCH(172,'CARNET DE SOUDURE'!$AV$7:$AV$3006,0)))</f>
        <v/>
      </c>
      <c r="G183" s="130" t="str">
        <f aca="false">IF($B183="","",INDEX('CARNET DE SOUDURE'!$Z$7:$Z$3006,MATCH(172,'CARNET DE SOUDURE'!$AV$7:$AV$3006,0))&amp;"")</f>
        <v/>
      </c>
      <c r="H183" s="132" t="str">
        <f aca="false">IF($B183="","",INDEX('CARNET DE SOUDURE'!$AA$7:$AA$3006,MATCH(172,'CARNET DE SOUDURE'!$AV$7:$AV$3006,0)))</f>
        <v/>
      </c>
      <c r="I183" s="130" t="str">
        <f aca="false">IF($B183="","",INDEX('CARNET DE SOUDURE'!$AB$7:$AB$3006,MATCH(172,'CARNET DE SOUDURE'!$AV$7:$AV$3006,0))&amp;"")</f>
        <v/>
      </c>
      <c r="J183" s="130" t="str">
        <f aca="false">IF($B183="","",INDEX('CARNET DE SOUDURE'!$AC$7:$AC$3006,MATCH(172,'CARNET DE SOUDURE'!$AV$7:$AV$3006,0))&amp;IF(INDEX('CARNET DE SOUDURE'!$AH$7:$AH$3006,MATCH(172,'CARNET DE SOUDURE'!$AV$7:$AV$3006,0))&lt;&gt;""," / "&amp;INDEX('CARNET DE SOUDURE'!$AH$7:$AH$3006,MATCH(172,'CARNET DE SOUDURE'!$AV$7:$AV$3006,0)),""))</f>
        <v/>
      </c>
      <c r="K183" s="130" t="str">
        <f aca="false">IF($B183="","",INDEX('CARNET DE SOUDURE'!$AD$7:$AD$3006,MATCH(172,'CARNET DE SOUDURE'!$AV$7:$AV$3006,0))&amp;IF(INDEX('CARNET DE SOUDURE'!$AI$7:$AI$3006,MATCH(172,'CARNET DE SOUDURE'!$AV$7:$AV$3006,0))&lt;&gt;""," / "&amp;INDEX('CARNET DE SOUDURE'!$AI$7:$AI$3006,MATCH(172,'CARNET DE SOUDURE'!$AV$7:$AV$3006,0)),""))</f>
        <v/>
      </c>
      <c r="L183" s="130" t="str">
        <f aca="false">IF($B183="","",INDEX('CARNET DE SOUDURE'!$AG$7:$AG$3006,MATCH(172,'CARNET DE SOUDURE'!$AV$7:$AV$3006,0))&amp;IF(INDEX('CARNET DE SOUDURE'!$AL$7:$AL$3006,MATCH(172,'CARNET DE SOUDURE'!$AV$7:$AV$3006,0))&lt;&gt;""," / "&amp;INDEX('CARNET DE SOUDURE'!$AL$7:$AL$3006,MATCH(172,'CARNET DE SOUDURE'!$AV$7:$AV$3006,0)),""))</f>
        <v/>
      </c>
      <c r="M183" s="132" t="str">
        <f aca="false">IF($B183="","",INDEX('CARNET DE SOUDURE'!$AP$7:$AP$3006,MATCH(172,'CARNET DE SOUDURE'!$AV$7:$AV$3006,0)))</f>
        <v/>
      </c>
      <c r="N183" s="132" t="str">
        <f aca="false">IF($B183="","",INDEX('CARNET DE SOUDURE'!$AQ$7:$AQ$3006,MATCH(172,'CARNET DE SOUDURE'!$AV$7:$AV$3006,0)))</f>
        <v/>
      </c>
      <c r="O183" s="133" t="str">
        <f aca="false">IF($B183="","",INDEX('CARNET DE SOUDURE'!$AR$7:$AR$3006,MATCH(172,'CARNET DE SOUDURE'!$AV$7:$AV$3006,0)))</f>
        <v/>
      </c>
    </row>
    <row r="184" customFormat="false" ht="15" hidden="false" customHeight="false" outlineLevel="0" collapsed="false">
      <c r="B184" s="125" t="str">
        <f aca="false">IF(173&gt;$I$4,"",173)</f>
        <v/>
      </c>
      <c r="C184" s="125" t="str">
        <f aca="false">IF($B184="","",INDEX('CARNET DE SOUDURE'!$B$7:$B$3006,MATCH(173,'CARNET DE SOUDURE'!$AV$7:$AV$3006,0)))</f>
        <v/>
      </c>
      <c r="D184" s="125" t="str">
        <f aca="false">IF($B184="","",INDEX('CARNET DE SOUDURE'!$E$7:$E$3006,MATCH(173,'CARNET DE SOUDURE'!$AV$7:$AV$3006,0)))</f>
        <v/>
      </c>
      <c r="E184" s="125" t="str">
        <f aca="false">IF($B184="","",INDEX('CARNET DE SOUDURE'!$R$7:$R$3006,MATCH(173,'CARNET DE SOUDURE'!$AV$7:$AV$3006,0))&amp;IF(INDEX('CARNET DE SOUDURE'!$S$7:$S$3006,MATCH(173,'CARNET DE SOUDURE'!$AV$7:$AV$3006,0))&lt;&gt;""," / "&amp;INDEX('CARNET DE SOUDURE'!$S$7:$S$3006,MATCH(173,'CARNET DE SOUDURE'!$AV$7:$AV$3006,0)),"")&amp;IF(INDEX('CARNET DE SOUDURE'!$T$7:$T$3006,MATCH(173,'CARNET DE SOUDURE'!$AV$7:$AV$3006,0))&lt;&gt;""," / "&amp;INDEX('CARNET DE SOUDURE'!$T$7:$T$3006,MATCH(173,'CARNET DE SOUDURE'!$AV$7:$AV$3006,0)),""))</f>
        <v/>
      </c>
      <c r="F184" s="126" t="str">
        <f aca="false">IF($B184="","",INDEX('CARNET DE SOUDURE'!$Y$7:$Y$3006,MATCH(173,'CARNET DE SOUDURE'!$AV$7:$AV$3006,0)))</f>
        <v/>
      </c>
      <c r="G184" s="125" t="str">
        <f aca="false">IF($B184="","",INDEX('CARNET DE SOUDURE'!$Z$7:$Z$3006,MATCH(173,'CARNET DE SOUDURE'!$AV$7:$AV$3006,0))&amp;"")</f>
        <v/>
      </c>
      <c r="H184" s="127" t="str">
        <f aca="false">IF($B184="","",INDEX('CARNET DE SOUDURE'!$AA$7:$AA$3006,MATCH(173,'CARNET DE SOUDURE'!$AV$7:$AV$3006,0)))</f>
        <v/>
      </c>
      <c r="I184" s="125" t="str">
        <f aca="false">IF($B184="","",INDEX('CARNET DE SOUDURE'!$AB$7:$AB$3006,MATCH(173,'CARNET DE SOUDURE'!$AV$7:$AV$3006,0))&amp;"")</f>
        <v/>
      </c>
      <c r="J184" s="125" t="str">
        <f aca="false">IF($B184="","",INDEX('CARNET DE SOUDURE'!$AC$7:$AC$3006,MATCH(173,'CARNET DE SOUDURE'!$AV$7:$AV$3006,0))&amp;IF(INDEX('CARNET DE SOUDURE'!$AH$7:$AH$3006,MATCH(173,'CARNET DE SOUDURE'!$AV$7:$AV$3006,0))&lt;&gt;""," / "&amp;INDEX('CARNET DE SOUDURE'!$AH$7:$AH$3006,MATCH(173,'CARNET DE SOUDURE'!$AV$7:$AV$3006,0)),""))</f>
        <v/>
      </c>
      <c r="K184" s="125" t="str">
        <f aca="false">IF($B184="","",INDEX('CARNET DE SOUDURE'!$AD$7:$AD$3006,MATCH(173,'CARNET DE SOUDURE'!$AV$7:$AV$3006,0))&amp;IF(INDEX('CARNET DE SOUDURE'!$AI$7:$AI$3006,MATCH(173,'CARNET DE SOUDURE'!$AV$7:$AV$3006,0))&lt;&gt;""," / "&amp;INDEX('CARNET DE SOUDURE'!$AI$7:$AI$3006,MATCH(173,'CARNET DE SOUDURE'!$AV$7:$AV$3006,0)),""))</f>
        <v/>
      </c>
      <c r="L184" s="125" t="str">
        <f aca="false">IF($B184="","",INDEX('CARNET DE SOUDURE'!$AG$7:$AG$3006,MATCH(173,'CARNET DE SOUDURE'!$AV$7:$AV$3006,0))&amp;IF(INDEX('CARNET DE SOUDURE'!$AL$7:$AL$3006,MATCH(173,'CARNET DE SOUDURE'!$AV$7:$AV$3006,0))&lt;&gt;""," / "&amp;INDEX('CARNET DE SOUDURE'!$AL$7:$AL$3006,MATCH(173,'CARNET DE SOUDURE'!$AV$7:$AV$3006,0)),""))</f>
        <v/>
      </c>
      <c r="M184" s="127" t="str">
        <f aca="false">IF($B184="","",INDEX('CARNET DE SOUDURE'!$AP$7:$AP$3006,MATCH(173,'CARNET DE SOUDURE'!$AV$7:$AV$3006,0)))</f>
        <v/>
      </c>
      <c r="N184" s="127" t="str">
        <f aca="false">IF($B184="","",INDEX('CARNET DE SOUDURE'!$AQ$7:$AQ$3006,MATCH(173,'CARNET DE SOUDURE'!$AV$7:$AV$3006,0)))</f>
        <v/>
      </c>
      <c r="O184" s="128" t="str">
        <f aca="false">IF($B184="","",INDEX('CARNET DE SOUDURE'!$AR$7:$AR$3006,MATCH(173,'CARNET DE SOUDURE'!$AV$7:$AV$3006,0)))</f>
        <v/>
      </c>
    </row>
    <row r="185" customFormat="false" ht="15" hidden="false" customHeight="false" outlineLevel="0" collapsed="false">
      <c r="B185" s="130" t="str">
        <f aca="false">IF(174&gt;$I$4,"",174)</f>
        <v/>
      </c>
      <c r="C185" s="130" t="str">
        <f aca="false">IF($B185="","",INDEX('CARNET DE SOUDURE'!$B$7:$B$3006,MATCH(174,'CARNET DE SOUDURE'!$AV$7:$AV$3006,0)))</f>
        <v/>
      </c>
      <c r="D185" s="130" t="str">
        <f aca="false">IF($B185="","",INDEX('CARNET DE SOUDURE'!$E$7:$E$3006,MATCH(174,'CARNET DE SOUDURE'!$AV$7:$AV$3006,0)))</f>
        <v/>
      </c>
      <c r="E185" s="130" t="str">
        <f aca="false">IF($B185="","",INDEX('CARNET DE SOUDURE'!$R$7:$R$3006,MATCH(174,'CARNET DE SOUDURE'!$AV$7:$AV$3006,0))&amp;IF(INDEX('CARNET DE SOUDURE'!$S$7:$S$3006,MATCH(174,'CARNET DE SOUDURE'!$AV$7:$AV$3006,0))&lt;&gt;""," / "&amp;INDEX('CARNET DE SOUDURE'!$S$7:$S$3006,MATCH(174,'CARNET DE SOUDURE'!$AV$7:$AV$3006,0)),"")&amp;IF(INDEX('CARNET DE SOUDURE'!$T$7:$T$3006,MATCH(174,'CARNET DE SOUDURE'!$AV$7:$AV$3006,0))&lt;&gt;""," / "&amp;INDEX('CARNET DE SOUDURE'!$T$7:$T$3006,MATCH(174,'CARNET DE SOUDURE'!$AV$7:$AV$3006,0)),""))</f>
        <v/>
      </c>
      <c r="F185" s="131" t="str">
        <f aca="false">IF($B185="","",INDEX('CARNET DE SOUDURE'!$Y$7:$Y$3006,MATCH(174,'CARNET DE SOUDURE'!$AV$7:$AV$3006,0)))</f>
        <v/>
      </c>
      <c r="G185" s="130" t="str">
        <f aca="false">IF($B185="","",INDEX('CARNET DE SOUDURE'!$Z$7:$Z$3006,MATCH(174,'CARNET DE SOUDURE'!$AV$7:$AV$3006,0))&amp;"")</f>
        <v/>
      </c>
      <c r="H185" s="132" t="str">
        <f aca="false">IF($B185="","",INDEX('CARNET DE SOUDURE'!$AA$7:$AA$3006,MATCH(174,'CARNET DE SOUDURE'!$AV$7:$AV$3006,0)))</f>
        <v/>
      </c>
      <c r="I185" s="130" t="str">
        <f aca="false">IF($B185="","",INDEX('CARNET DE SOUDURE'!$AB$7:$AB$3006,MATCH(174,'CARNET DE SOUDURE'!$AV$7:$AV$3006,0))&amp;"")</f>
        <v/>
      </c>
      <c r="J185" s="130" t="str">
        <f aca="false">IF($B185="","",INDEX('CARNET DE SOUDURE'!$AC$7:$AC$3006,MATCH(174,'CARNET DE SOUDURE'!$AV$7:$AV$3006,0))&amp;IF(INDEX('CARNET DE SOUDURE'!$AH$7:$AH$3006,MATCH(174,'CARNET DE SOUDURE'!$AV$7:$AV$3006,0))&lt;&gt;""," / "&amp;INDEX('CARNET DE SOUDURE'!$AH$7:$AH$3006,MATCH(174,'CARNET DE SOUDURE'!$AV$7:$AV$3006,0)),""))</f>
        <v/>
      </c>
      <c r="K185" s="130" t="str">
        <f aca="false">IF($B185="","",INDEX('CARNET DE SOUDURE'!$AD$7:$AD$3006,MATCH(174,'CARNET DE SOUDURE'!$AV$7:$AV$3006,0))&amp;IF(INDEX('CARNET DE SOUDURE'!$AI$7:$AI$3006,MATCH(174,'CARNET DE SOUDURE'!$AV$7:$AV$3006,0))&lt;&gt;""," / "&amp;INDEX('CARNET DE SOUDURE'!$AI$7:$AI$3006,MATCH(174,'CARNET DE SOUDURE'!$AV$7:$AV$3006,0)),""))</f>
        <v/>
      </c>
      <c r="L185" s="130" t="str">
        <f aca="false">IF($B185="","",INDEX('CARNET DE SOUDURE'!$AG$7:$AG$3006,MATCH(174,'CARNET DE SOUDURE'!$AV$7:$AV$3006,0))&amp;IF(INDEX('CARNET DE SOUDURE'!$AL$7:$AL$3006,MATCH(174,'CARNET DE SOUDURE'!$AV$7:$AV$3006,0))&lt;&gt;""," / "&amp;INDEX('CARNET DE SOUDURE'!$AL$7:$AL$3006,MATCH(174,'CARNET DE SOUDURE'!$AV$7:$AV$3006,0)),""))</f>
        <v/>
      </c>
      <c r="M185" s="132" t="str">
        <f aca="false">IF($B185="","",INDEX('CARNET DE SOUDURE'!$AP$7:$AP$3006,MATCH(174,'CARNET DE SOUDURE'!$AV$7:$AV$3006,0)))</f>
        <v/>
      </c>
      <c r="N185" s="132" t="str">
        <f aca="false">IF($B185="","",INDEX('CARNET DE SOUDURE'!$AQ$7:$AQ$3006,MATCH(174,'CARNET DE SOUDURE'!$AV$7:$AV$3006,0)))</f>
        <v/>
      </c>
      <c r="O185" s="133" t="str">
        <f aca="false">IF($B185="","",INDEX('CARNET DE SOUDURE'!$AR$7:$AR$3006,MATCH(174,'CARNET DE SOUDURE'!$AV$7:$AV$3006,0)))</f>
        <v/>
      </c>
    </row>
    <row r="186" customFormat="false" ht="15" hidden="false" customHeight="false" outlineLevel="0" collapsed="false">
      <c r="B186" s="125" t="str">
        <f aca="false">IF(175&gt;$I$4,"",175)</f>
        <v/>
      </c>
      <c r="C186" s="125" t="str">
        <f aca="false">IF($B186="","",INDEX('CARNET DE SOUDURE'!$B$7:$B$3006,MATCH(175,'CARNET DE SOUDURE'!$AV$7:$AV$3006,0)))</f>
        <v/>
      </c>
      <c r="D186" s="125" t="str">
        <f aca="false">IF($B186="","",INDEX('CARNET DE SOUDURE'!$E$7:$E$3006,MATCH(175,'CARNET DE SOUDURE'!$AV$7:$AV$3006,0)))</f>
        <v/>
      </c>
      <c r="E186" s="125" t="str">
        <f aca="false">IF($B186="","",INDEX('CARNET DE SOUDURE'!$R$7:$R$3006,MATCH(175,'CARNET DE SOUDURE'!$AV$7:$AV$3006,0))&amp;IF(INDEX('CARNET DE SOUDURE'!$S$7:$S$3006,MATCH(175,'CARNET DE SOUDURE'!$AV$7:$AV$3006,0))&lt;&gt;""," / "&amp;INDEX('CARNET DE SOUDURE'!$S$7:$S$3006,MATCH(175,'CARNET DE SOUDURE'!$AV$7:$AV$3006,0)),"")&amp;IF(INDEX('CARNET DE SOUDURE'!$T$7:$T$3006,MATCH(175,'CARNET DE SOUDURE'!$AV$7:$AV$3006,0))&lt;&gt;""," / "&amp;INDEX('CARNET DE SOUDURE'!$T$7:$T$3006,MATCH(175,'CARNET DE SOUDURE'!$AV$7:$AV$3006,0)),""))</f>
        <v/>
      </c>
      <c r="F186" s="126" t="str">
        <f aca="false">IF($B186="","",INDEX('CARNET DE SOUDURE'!$Y$7:$Y$3006,MATCH(175,'CARNET DE SOUDURE'!$AV$7:$AV$3006,0)))</f>
        <v/>
      </c>
      <c r="G186" s="125" t="str">
        <f aca="false">IF($B186="","",INDEX('CARNET DE SOUDURE'!$Z$7:$Z$3006,MATCH(175,'CARNET DE SOUDURE'!$AV$7:$AV$3006,0))&amp;"")</f>
        <v/>
      </c>
      <c r="H186" s="127" t="str">
        <f aca="false">IF($B186="","",INDEX('CARNET DE SOUDURE'!$AA$7:$AA$3006,MATCH(175,'CARNET DE SOUDURE'!$AV$7:$AV$3006,0)))</f>
        <v/>
      </c>
      <c r="I186" s="125" t="str">
        <f aca="false">IF($B186="","",INDEX('CARNET DE SOUDURE'!$AB$7:$AB$3006,MATCH(175,'CARNET DE SOUDURE'!$AV$7:$AV$3006,0))&amp;"")</f>
        <v/>
      </c>
      <c r="J186" s="125" t="str">
        <f aca="false">IF($B186="","",INDEX('CARNET DE SOUDURE'!$AC$7:$AC$3006,MATCH(175,'CARNET DE SOUDURE'!$AV$7:$AV$3006,0))&amp;IF(INDEX('CARNET DE SOUDURE'!$AH$7:$AH$3006,MATCH(175,'CARNET DE SOUDURE'!$AV$7:$AV$3006,0))&lt;&gt;""," / "&amp;INDEX('CARNET DE SOUDURE'!$AH$7:$AH$3006,MATCH(175,'CARNET DE SOUDURE'!$AV$7:$AV$3006,0)),""))</f>
        <v/>
      </c>
      <c r="K186" s="125" t="str">
        <f aca="false">IF($B186="","",INDEX('CARNET DE SOUDURE'!$AD$7:$AD$3006,MATCH(175,'CARNET DE SOUDURE'!$AV$7:$AV$3006,0))&amp;IF(INDEX('CARNET DE SOUDURE'!$AI$7:$AI$3006,MATCH(175,'CARNET DE SOUDURE'!$AV$7:$AV$3006,0))&lt;&gt;""," / "&amp;INDEX('CARNET DE SOUDURE'!$AI$7:$AI$3006,MATCH(175,'CARNET DE SOUDURE'!$AV$7:$AV$3006,0)),""))</f>
        <v/>
      </c>
      <c r="L186" s="125" t="str">
        <f aca="false">IF($B186="","",INDEX('CARNET DE SOUDURE'!$AG$7:$AG$3006,MATCH(175,'CARNET DE SOUDURE'!$AV$7:$AV$3006,0))&amp;IF(INDEX('CARNET DE SOUDURE'!$AL$7:$AL$3006,MATCH(175,'CARNET DE SOUDURE'!$AV$7:$AV$3006,0))&lt;&gt;""," / "&amp;INDEX('CARNET DE SOUDURE'!$AL$7:$AL$3006,MATCH(175,'CARNET DE SOUDURE'!$AV$7:$AV$3006,0)),""))</f>
        <v/>
      </c>
      <c r="M186" s="127" t="str">
        <f aca="false">IF($B186="","",INDEX('CARNET DE SOUDURE'!$AP$7:$AP$3006,MATCH(175,'CARNET DE SOUDURE'!$AV$7:$AV$3006,0)))</f>
        <v/>
      </c>
      <c r="N186" s="127" t="str">
        <f aca="false">IF($B186="","",INDEX('CARNET DE SOUDURE'!$AQ$7:$AQ$3006,MATCH(175,'CARNET DE SOUDURE'!$AV$7:$AV$3006,0)))</f>
        <v/>
      </c>
      <c r="O186" s="128" t="str">
        <f aca="false">IF($B186="","",INDEX('CARNET DE SOUDURE'!$AR$7:$AR$3006,MATCH(175,'CARNET DE SOUDURE'!$AV$7:$AV$3006,0)))</f>
        <v/>
      </c>
    </row>
    <row r="187" customFormat="false" ht="15" hidden="false" customHeight="false" outlineLevel="0" collapsed="false">
      <c r="B187" s="130" t="str">
        <f aca="false">IF(176&gt;$I$4,"",176)</f>
        <v/>
      </c>
      <c r="C187" s="130" t="str">
        <f aca="false">IF($B187="","",INDEX('CARNET DE SOUDURE'!$B$7:$B$3006,MATCH(176,'CARNET DE SOUDURE'!$AV$7:$AV$3006,0)))</f>
        <v/>
      </c>
      <c r="D187" s="130" t="str">
        <f aca="false">IF($B187="","",INDEX('CARNET DE SOUDURE'!$E$7:$E$3006,MATCH(176,'CARNET DE SOUDURE'!$AV$7:$AV$3006,0)))</f>
        <v/>
      </c>
      <c r="E187" s="130" t="str">
        <f aca="false">IF($B187="","",INDEX('CARNET DE SOUDURE'!$R$7:$R$3006,MATCH(176,'CARNET DE SOUDURE'!$AV$7:$AV$3006,0))&amp;IF(INDEX('CARNET DE SOUDURE'!$S$7:$S$3006,MATCH(176,'CARNET DE SOUDURE'!$AV$7:$AV$3006,0))&lt;&gt;""," / "&amp;INDEX('CARNET DE SOUDURE'!$S$7:$S$3006,MATCH(176,'CARNET DE SOUDURE'!$AV$7:$AV$3006,0)),"")&amp;IF(INDEX('CARNET DE SOUDURE'!$T$7:$T$3006,MATCH(176,'CARNET DE SOUDURE'!$AV$7:$AV$3006,0))&lt;&gt;""," / "&amp;INDEX('CARNET DE SOUDURE'!$T$7:$T$3006,MATCH(176,'CARNET DE SOUDURE'!$AV$7:$AV$3006,0)),""))</f>
        <v/>
      </c>
      <c r="F187" s="131" t="str">
        <f aca="false">IF($B187="","",INDEX('CARNET DE SOUDURE'!$Y$7:$Y$3006,MATCH(176,'CARNET DE SOUDURE'!$AV$7:$AV$3006,0)))</f>
        <v/>
      </c>
      <c r="G187" s="130" t="str">
        <f aca="false">IF($B187="","",INDEX('CARNET DE SOUDURE'!$Z$7:$Z$3006,MATCH(176,'CARNET DE SOUDURE'!$AV$7:$AV$3006,0))&amp;"")</f>
        <v/>
      </c>
      <c r="H187" s="132" t="str">
        <f aca="false">IF($B187="","",INDEX('CARNET DE SOUDURE'!$AA$7:$AA$3006,MATCH(176,'CARNET DE SOUDURE'!$AV$7:$AV$3006,0)))</f>
        <v/>
      </c>
      <c r="I187" s="130" t="str">
        <f aca="false">IF($B187="","",INDEX('CARNET DE SOUDURE'!$AB$7:$AB$3006,MATCH(176,'CARNET DE SOUDURE'!$AV$7:$AV$3006,0))&amp;"")</f>
        <v/>
      </c>
      <c r="J187" s="130" t="str">
        <f aca="false">IF($B187="","",INDEX('CARNET DE SOUDURE'!$AC$7:$AC$3006,MATCH(176,'CARNET DE SOUDURE'!$AV$7:$AV$3006,0))&amp;IF(INDEX('CARNET DE SOUDURE'!$AH$7:$AH$3006,MATCH(176,'CARNET DE SOUDURE'!$AV$7:$AV$3006,0))&lt;&gt;""," / "&amp;INDEX('CARNET DE SOUDURE'!$AH$7:$AH$3006,MATCH(176,'CARNET DE SOUDURE'!$AV$7:$AV$3006,0)),""))</f>
        <v/>
      </c>
      <c r="K187" s="130" t="str">
        <f aca="false">IF($B187="","",INDEX('CARNET DE SOUDURE'!$AD$7:$AD$3006,MATCH(176,'CARNET DE SOUDURE'!$AV$7:$AV$3006,0))&amp;IF(INDEX('CARNET DE SOUDURE'!$AI$7:$AI$3006,MATCH(176,'CARNET DE SOUDURE'!$AV$7:$AV$3006,0))&lt;&gt;""," / "&amp;INDEX('CARNET DE SOUDURE'!$AI$7:$AI$3006,MATCH(176,'CARNET DE SOUDURE'!$AV$7:$AV$3006,0)),""))</f>
        <v/>
      </c>
      <c r="L187" s="130" t="str">
        <f aca="false">IF($B187="","",INDEX('CARNET DE SOUDURE'!$AG$7:$AG$3006,MATCH(176,'CARNET DE SOUDURE'!$AV$7:$AV$3006,0))&amp;IF(INDEX('CARNET DE SOUDURE'!$AL$7:$AL$3006,MATCH(176,'CARNET DE SOUDURE'!$AV$7:$AV$3006,0))&lt;&gt;""," / "&amp;INDEX('CARNET DE SOUDURE'!$AL$7:$AL$3006,MATCH(176,'CARNET DE SOUDURE'!$AV$7:$AV$3006,0)),""))</f>
        <v/>
      </c>
      <c r="M187" s="132" t="str">
        <f aca="false">IF($B187="","",INDEX('CARNET DE SOUDURE'!$AP$7:$AP$3006,MATCH(176,'CARNET DE SOUDURE'!$AV$7:$AV$3006,0)))</f>
        <v/>
      </c>
      <c r="N187" s="132" t="str">
        <f aca="false">IF($B187="","",INDEX('CARNET DE SOUDURE'!$AQ$7:$AQ$3006,MATCH(176,'CARNET DE SOUDURE'!$AV$7:$AV$3006,0)))</f>
        <v/>
      </c>
      <c r="O187" s="133" t="str">
        <f aca="false">IF($B187="","",INDEX('CARNET DE SOUDURE'!$AR$7:$AR$3006,MATCH(176,'CARNET DE SOUDURE'!$AV$7:$AV$3006,0)))</f>
        <v/>
      </c>
    </row>
    <row r="188" customFormat="false" ht="15" hidden="false" customHeight="false" outlineLevel="0" collapsed="false">
      <c r="B188" s="125" t="str">
        <f aca="false">IF(177&gt;$I$4,"",177)</f>
        <v/>
      </c>
      <c r="C188" s="125" t="str">
        <f aca="false">IF($B188="","",INDEX('CARNET DE SOUDURE'!$B$7:$B$3006,MATCH(177,'CARNET DE SOUDURE'!$AV$7:$AV$3006,0)))</f>
        <v/>
      </c>
      <c r="D188" s="125" t="str">
        <f aca="false">IF($B188="","",INDEX('CARNET DE SOUDURE'!$E$7:$E$3006,MATCH(177,'CARNET DE SOUDURE'!$AV$7:$AV$3006,0)))</f>
        <v/>
      </c>
      <c r="E188" s="125" t="str">
        <f aca="false">IF($B188="","",INDEX('CARNET DE SOUDURE'!$R$7:$R$3006,MATCH(177,'CARNET DE SOUDURE'!$AV$7:$AV$3006,0))&amp;IF(INDEX('CARNET DE SOUDURE'!$S$7:$S$3006,MATCH(177,'CARNET DE SOUDURE'!$AV$7:$AV$3006,0))&lt;&gt;""," / "&amp;INDEX('CARNET DE SOUDURE'!$S$7:$S$3006,MATCH(177,'CARNET DE SOUDURE'!$AV$7:$AV$3006,0)),"")&amp;IF(INDEX('CARNET DE SOUDURE'!$T$7:$T$3006,MATCH(177,'CARNET DE SOUDURE'!$AV$7:$AV$3006,0))&lt;&gt;""," / "&amp;INDEX('CARNET DE SOUDURE'!$T$7:$T$3006,MATCH(177,'CARNET DE SOUDURE'!$AV$7:$AV$3006,0)),""))</f>
        <v/>
      </c>
      <c r="F188" s="126" t="str">
        <f aca="false">IF($B188="","",INDEX('CARNET DE SOUDURE'!$Y$7:$Y$3006,MATCH(177,'CARNET DE SOUDURE'!$AV$7:$AV$3006,0)))</f>
        <v/>
      </c>
      <c r="G188" s="125" t="str">
        <f aca="false">IF($B188="","",INDEX('CARNET DE SOUDURE'!$Z$7:$Z$3006,MATCH(177,'CARNET DE SOUDURE'!$AV$7:$AV$3006,0))&amp;"")</f>
        <v/>
      </c>
      <c r="H188" s="127" t="str">
        <f aca="false">IF($B188="","",INDEX('CARNET DE SOUDURE'!$AA$7:$AA$3006,MATCH(177,'CARNET DE SOUDURE'!$AV$7:$AV$3006,0)))</f>
        <v/>
      </c>
      <c r="I188" s="125" t="str">
        <f aca="false">IF($B188="","",INDEX('CARNET DE SOUDURE'!$AB$7:$AB$3006,MATCH(177,'CARNET DE SOUDURE'!$AV$7:$AV$3006,0))&amp;"")</f>
        <v/>
      </c>
      <c r="J188" s="125" t="str">
        <f aca="false">IF($B188="","",INDEX('CARNET DE SOUDURE'!$AC$7:$AC$3006,MATCH(177,'CARNET DE SOUDURE'!$AV$7:$AV$3006,0))&amp;IF(INDEX('CARNET DE SOUDURE'!$AH$7:$AH$3006,MATCH(177,'CARNET DE SOUDURE'!$AV$7:$AV$3006,0))&lt;&gt;""," / "&amp;INDEX('CARNET DE SOUDURE'!$AH$7:$AH$3006,MATCH(177,'CARNET DE SOUDURE'!$AV$7:$AV$3006,0)),""))</f>
        <v/>
      </c>
      <c r="K188" s="125" t="str">
        <f aca="false">IF($B188="","",INDEX('CARNET DE SOUDURE'!$AD$7:$AD$3006,MATCH(177,'CARNET DE SOUDURE'!$AV$7:$AV$3006,0))&amp;IF(INDEX('CARNET DE SOUDURE'!$AI$7:$AI$3006,MATCH(177,'CARNET DE SOUDURE'!$AV$7:$AV$3006,0))&lt;&gt;""," / "&amp;INDEX('CARNET DE SOUDURE'!$AI$7:$AI$3006,MATCH(177,'CARNET DE SOUDURE'!$AV$7:$AV$3006,0)),""))</f>
        <v/>
      </c>
      <c r="L188" s="125" t="str">
        <f aca="false">IF($B188="","",INDEX('CARNET DE SOUDURE'!$AG$7:$AG$3006,MATCH(177,'CARNET DE SOUDURE'!$AV$7:$AV$3006,0))&amp;IF(INDEX('CARNET DE SOUDURE'!$AL$7:$AL$3006,MATCH(177,'CARNET DE SOUDURE'!$AV$7:$AV$3006,0))&lt;&gt;""," / "&amp;INDEX('CARNET DE SOUDURE'!$AL$7:$AL$3006,MATCH(177,'CARNET DE SOUDURE'!$AV$7:$AV$3006,0)),""))</f>
        <v/>
      </c>
      <c r="M188" s="127" t="str">
        <f aca="false">IF($B188="","",INDEX('CARNET DE SOUDURE'!$AP$7:$AP$3006,MATCH(177,'CARNET DE SOUDURE'!$AV$7:$AV$3006,0)))</f>
        <v/>
      </c>
      <c r="N188" s="127" t="str">
        <f aca="false">IF($B188="","",INDEX('CARNET DE SOUDURE'!$AQ$7:$AQ$3006,MATCH(177,'CARNET DE SOUDURE'!$AV$7:$AV$3006,0)))</f>
        <v/>
      </c>
      <c r="O188" s="128" t="str">
        <f aca="false">IF($B188="","",INDEX('CARNET DE SOUDURE'!$AR$7:$AR$3006,MATCH(177,'CARNET DE SOUDURE'!$AV$7:$AV$3006,0)))</f>
        <v/>
      </c>
    </row>
    <row r="189" customFormat="false" ht="15" hidden="false" customHeight="false" outlineLevel="0" collapsed="false">
      <c r="B189" s="130" t="str">
        <f aca="false">IF(178&gt;$I$4,"",178)</f>
        <v/>
      </c>
      <c r="C189" s="130" t="str">
        <f aca="false">IF($B189="","",INDEX('CARNET DE SOUDURE'!$B$7:$B$3006,MATCH(178,'CARNET DE SOUDURE'!$AV$7:$AV$3006,0)))</f>
        <v/>
      </c>
      <c r="D189" s="130" t="str">
        <f aca="false">IF($B189="","",INDEX('CARNET DE SOUDURE'!$E$7:$E$3006,MATCH(178,'CARNET DE SOUDURE'!$AV$7:$AV$3006,0)))</f>
        <v/>
      </c>
      <c r="E189" s="130" t="str">
        <f aca="false">IF($B189="","",INDEX('CARNET DE SOUDURE'!$R$7:$R$3006,MATCH(178,'CARNET DE SOUDURE'!$AV$7:$AV$3006,0))&amp;IF(INDEX('CARNET DE SOUDURE'!$S$7:$S$3006,MATCH(178,'CARNET DE SOUDURE'!$AV$7:$AV$3006,0))&lt;&gt;""," / "&amp;INDEX('CARNET DE SOUDURE'!$S$7:$S$3006,MATCH(178,'CARNET DE SOUDURE'!$AV$7:$AV$3006,0)),"")&amp;IF(INDEX('CARNET DE SOUDURE'!$T$7:$T$3006,MATCH(178,'CARNET DE SOUDURE'!$AV$7:$AV$3006,0))&lt;&gt;""," / "&amp;INDEX('CARNET DE SOUDURE'!$T$7:$T$3006,MATCH(178,'CARNET DE SOUDURE'!$AV$7:$AV$3006,0)),""))</f>
        <v/>
      </c>
      <c r="F189" s="131" t="str">
        <f aca="false">IF($B189="","",INDEX('CARNET DE SOUDURE'!$Y$7:$Y$3006,MATCH(178,'CARNET DE SOUDURE'!$AV$7:$AV$3006,0)))</f>
        <v/>
      </c>
      <c r="G189" s="130" t="str">
        <f aca="false">IF($B189="","",INDEX('CARNET DE SOUDURE'!$Z$7:$Z$3006,MATCH(178,'CARNET DE SOUDURE'!$AV$7:$AV$3006,0))&amp;"")</f>
        <v/>
      </c>
      <c r="H189" s="132" t="str">
        <f aca="false">IF($B189="","",INDEX('CARNET DE SOUDURE'!$AA$7:$AA$3006,MATCH(178,'CARNET DE SOUDURE'!$AV$7:$AV$3006,0)))</f>
        <v/>
      </c>
      <c r="I189" s="130" t="str">
        <f aca="false">IF($B189="","",INDEX('CARNET DE SOUDURE'!$AB$7:$AB$3006,MATCH(178,'CARNET DE SOUDURE'!$AV$7:$AV$3006,0))&amp;"")</f>
        <v/>
      </c>
      <c r="J189" s="130" t="str">
        <f aca="false">IF($B189="","",INDEX('CARNET DE SOUDURE'!$AC$7:$AC$3006,MATCH(178,'CARNET DE SOUDURE'!$AV$7:$AV$3006,0))&amp;IF(INDEX('CARNET DE SOUDURE'!$AH$7:$AH$3006,MATCH(178,'CARNET DE SOUDURE'!$AV$7:$AV$3006,0))&lt;&gt;""," / "&amp;INDEX('CARNET DE SOUDURE'!$AH$7:$AH$3006,MATCH(178,'CARNET DE SOUDURE'!$AV$7:$AV$3006,0)),""))</f>
        <v/>
      </c>
      <c r="K189" s="130" t="str">
        <f aca="false">IF($B189="","",INDEX('CARNET DE SOUDURE'!$AD$7:$AD$3006,MATCH(178,'CARNET DE SOUDURE'!$AV$7:$AV$3006,0))&amp;IF(INDEX('CARNET DE SOUDURE'!$AI$7:$AI$3006,MATCH(178,'CARNET DE SOUDURE'!$AV$7:$AV$3006,0))&lt;&gt;""," / "&amp;INDEX('CARNET DE SOUDURE'!$AI$7:$AI$3006,MATCH(178,'CARNET DE SOUDURE'!$AV$7:$AV$3006,0)),""))</f>
        <v/>
      </c>
      <c r="L189" s="130" t="str">
        <f aca="false">IF($B189="","",INDEX('CARNET DE SOUDURE'!$AG$7:$AG$3006,MATCH(178,'CARNET DE SOUDURE'!$AV$7:$AV$3006,0))&amp;IF(INDEX('CARNET DE SOUDURE'!$AL$7:$AL$3006,MATCH(178,'CARNET DE SOUDURE'!$AV$7:$AV$3006,0))&lt;&gt;""," / "&amp;INDEX('CARNET DE SOUDURE'!$AL$7:$AL$3006,MATCH(178,'CARNET DE SOUDURE'!$AV$7:$AV$3006,0)),""))</f>
        <v/>
      </c>
      <c r="M189" s="132" t="str">
        <f aca="false">IF($B189="","",INDEX('CARNET DE SOUDURE'!$AP$7:$AP$3006,MATCH(178,'CARNET DE SOUDURE'!$AV$7:$AV$3006,0)))</f>
        <v/>
      </c>
      <c r="N189" s="132" t="str">
        <f aca="false">IF($B189="","",INDEX('CARNET DE SOUDURE'!$AQ$7:$AQ$3006,MATCH(178,'CARNET DE SOUDURE'!$AV$7:$AV$3006,0)))</f>
        <v/>
      </c>
      <c r="O189" s="133" t="str">
        <f aca="false">IF($B189="","",INDEX('CARNET DE SOUDURE'!$AR$7:$AR$3006,MATCH(178,'CARNET DE SOUDURE'!$AV$7:$AV$3006,0)))</f>
        <v/>
      </c>
    </row>
    <row r="190" customFormat="false" ht="15" hidden="false" customHeight="false" outlineLevel="0" collapsed="false">
      <c r="B190" s="125" t="str">
        <f aca="false">IF(179&gt;$I$4,"",179)</f>
        <v/>
      </c>
      <c r="C190" s="125" t="str">
        <f aca="false">IF($B190="","",INDEX('CARNET DE SOUDURE'!$B$7:$B$3006,MATCH(179,'CARNET DE SOUDURE'!$AV$7:$AV$3006,0)))</f>
        <v/>
      </c>
      <c r="D190" s="125" t="str">
        <f aca="false">IF($B190="","",INDEX('CARNET DE SOUDURE'!$E$7:$E$3006,MATCH(179,'CARNET DE SOUDURE'!$AV$7:$AV$3006,0)))</f>
        <v/>
      </c>
      <c r="E190" s="125" t="str">
        <f aca="false">IF($B190="","",INDEX('CARNET DE SOUDURE'!$R$7:$R$3006,MATCH(179,'CARNET DE SOUDURE'!$AV$7:$AV$3006,0))&amp;IF(INDEX('CARNET DE SOUDURE'!$S$7:$S$3006,MATCH(179,'CARNET DE SOUDURE'!$AV$7:$AV$3006,0))&lt;&gt;""," / "&amp;INDEX('CARNET DE SOUDURE'!$S$7:$S$3006,MATCH(179,'CARNET DE SOUDURE'!$AV$7:$AV$3006,0)),"")&amp;IF(INDEX('CARNET DE SOUDURE'!$T$7:$T$3006,MATCH(179,'CARNET DE SOUDURE'!$AV$7:$AV$3006,0))&lt;&gt;""," / "&amp;INDEX('CARNET DE SOUDURE'!$T$7:$T$3006,MATCH(179,'CARNET DE SOUDURE'!$AV$7:$AV$3006,0)),""))</f>
        <v/>
      </c>
      <c r="F190" s="126" t="str">
        <f aca="false">IF($B190="","",INDEX('CARNET DE SOUDURE'!$Y$7:$Y$3006,MATCH(179,'CARNET DE SOUDURE'!$AV$7:$AV$3006,0)))</f>
        <v/>
      </c>
      <c r="G190" s="125" t="str">
        <f aca="false">IF($B190="","",INDEX('CARNET DE SOUDURE'!$Z$7:$Z$3006,MATCH(179,'CARNET DE SOUDURE'!$AV$7:$AV$3006,0))&amp;"")</f>
        <v/>
      </c>
      <c r="H190" s="127" t="str">
        <f aca="false">IF($B190="","",INDEX('CARNET DE SOUDURE'!$AA$7:$AA$3006,MATCH(179,'CARNET DE SOUDURE'!$AV$7:$AV$3006,0)))</f>
        <v/>
      </c>
      <c r="I190" s="125" t="str">
        <f aca="false">IF($B190="","",INDEX('CARNET DE SOUDURE'!$AB$7:$AB$3006,MATCH(179,'CARNET DE SOUDURE'!$AV$7:$AV$3006,0))&amp;"")</f>
        <v/>
      </c>
      <c r="J190" s="125" t="str">
        <f aca="false">IF($B190="","",INDEX('CARNET DE SOUDURE'!$AC$7:$AC$3006,MATCH(179,'CARNET DE SOUDURE'!$AV$7:$AV$3006,0))&amp;IF(INDEX('CARNET DE SOUDURE'!$AH$7:$AH$3006,MATCH(179,'CARNET DE SOUDURE'!$AV$7:$AV$3006,0))&lt;&gt;""," / "&amp;INDEX('CARNET DE SOUDURE'!$AH$7:$AH$3006,MATCH(179,'CARNET DE SOUDURE'!$AV$7:$AV$3006,0)),""))</f>
        <v/>
      </c>
      <c r="K190" s="125" t="str">
        <f aca="false">IF($B190="","",INDEX('CARNET DE SOUDURE'!$AD$7:$AD$3006,MATCH(179,'CARNET DE SOUDURE'!$AV$7:$AV$3006,0))&amp;IF(INDEX('CARNET DE SOUDURE'!$AI$7:$AI$3006,MATCH(179,'CARNET DE SOUDURE'!$AV$7:$AV$3006,0))&lt;&gt;""," / "&amp;INDEX('CARNET DE SOUDURE'!$AI$7:$AI$3006,MATCH(179,'CARNET DE SOUDURE'!$AV$7:$AV$3006,0)),""))</f>
        <v/>
      </c>
      <c r="L190" s="125" t="str">
        <f aca="false">IF($B190="","",INDEX('CARNET DE SOUDURE'!$AG$7:$AG$3006,MATCH(179,'CARNET DE SOUDURE'!$AV$7:$AV$3006,0))&amp;IF(INDEX('CARNET DE SOUDURE'!$AL$7:$AL$3006,MATCH(179,'CARNET DE SOUDURE'!$AV$7:$AV$3006,0))&lt;&gt;""," / "&amp;INDEX('CARNET DE SOUDURE'!$AL$7:$AL$3006,MATCH(179,'CARNET DE SOUDURE'!$AV$7:$AV$3006,0)),""))</f>
        <v/>
      </c>
      <c r="M190" s="127" t="str">
        <f aca="false">IF($B190="","",INDEX('CARNET DE SOUDURE'!$AP$7:$AP$3006,MATCH(179,'CARNET DE SOUDURE'!$AV$7:$AV$3006,0)))</f>
        <v/>
      </c>
      <c r="N190" s="127" t="str">
        <f aca="false">IF($B190="","",INDEX('CARNET DE SOUDURE'!$AQ$7:$AQ$3006,MATCH(179,'CARNET DE SOUDURE'!$AV$7:$AV$3006,0)))</f>
        <v/>
      </c>
      <c r="O190" s="128" t="str">
        <f aca="false">IF($B190="","",INDEX('CARNET DE SOUDURE'!$AR$7:$AR$3006,MATCH(179,'CARNET DE SOUDURE'!$AV$7:$AV$3006,0)))</f>
        <v/>
      </c>
    </row>
    <row r="191" customFormat="false" ht="15" hidden="false" customHeight="false" outlineLevel="0" collapsed="false">
      <c r="B191" s="130" t="str">
        <f aca="false">IF(180&gt;$I$4,"",180)</f>
        <v/>
      </c>
      <c r="C191" s="130" t="str">
        <f aca="false">IF($B191="","",INDEX('CARNET DE SOUDURE'!$B$7:$B$3006,MATCH(180,'CARNET DE SOUDURE'!$AV$7:$AV$3006,0)))</f>
        <v/>
      </c>
      <c r="D191" s="130" t="str">
        <f aca="false">IF($B191="","",INDEX('CARNET DE SOUDURE'!$E$7:$E$3006,MATCH(180,'CARNET DE SOUDURE'!$AV$7:$AV$3006,0)))</f>
        <v/>
      </c>
      <c r="E191" s="130" t="str">
        <f aca="false">IF($B191="","",INDEX('CARNET DE SOUDURE'!$R$7:$R$3006,MATCH(180,'CARNET DE SOUDURE'!$AV$7:$AV$3006,0))&amp;IF(INDEX('CARNET DE SOUDURE'!$S$7:$S$3006,MATCH(180,'CARNET DE SOUDURE'!$AV$7:$AV$3006,0))&lt;&gt;""," / "&amp;INDEX('CARNET DE SOUDURE'!$S$7:$S$3006,MATCH(180,'CARNET DE SOUDURE'!$AV$7:$AV$3006,0)),"")&amp;IF(INDEX('CARNET DE SOUDURE'!$T$7:$T$3006,MATCH(180,'CARNET DE SOUDURE'!$AV$7:$AV$3006,0))&lt;&gt;""," / "&amp;INDEX('CARNET DE SOUDURE'!$T$7:$T$3006,MATCH(180,'CARNET DE SOUDURE'!$AV$7:$AV$3006,0)),""))</f>
        <v/>
      </c>
      <c r="F191" s="131" t="str">
        <f aca="false">IF($B191="","",INDEX('CARNET DE SOUDURE'!$Y$7:$Y$3006,MATCH(180,'CARNET DE SOUDURE'!$AV$7:$AV$3006,0)))</f>
        <v/>
      </c>
      <c r="G191" s="130" t="str">
        <f aca="false">IF($B191="","",INDEX('CARNET DE SOUDURE'!$Z$7:$Z$3006,MATCH(180,'CARNET DE SOUDURE'!$AV$7:$AV$3006,0))&amp;"")</f>
        <v/>
      </c>
      <c r="H191" s="132" t="str">
        <f aca="false">IF($B191="","",INDEX('CARNET DE SOUDURE'!$AA$7:$AA$3006,MATCH(180,'CARNET DE SOUDURE'!$AV$7:$AV$3006,0)))</f>
        <v/>
      </c>
      <c r="I191" s="130" t="str">
        <f aca="false">IF($B191="","",INDEX('CARNET DE SOUDURE'!$AB$7:$AB$3006,MATCH(180,'CARNET DE SOUDURE'!$AV$7:$AV$3006,0))&amp;"")</f>
        <v/>
      </c>
      <c r="J191" s="130" t="str">
        <f aca="false">IF($B191="","",INDEX('CARNET DE SOUDURE'!$AC$7:$AC$3006,MATCH(180,'CARNET DE SOUDURE'!$AV$7:$AV$3006,0))&amp;IF(INDEX('CARNET DE SOUDURE'!$AH$7:$AH$3006,MATCH(180,'CARNET DE SOUDURE'!$AV$7:$AV$3006,0))&lt;&gt;""," / "&amp;INDEX('CARNET DE SOUDURE'!$AH$7:$AH$3006,MATCH(180,'CARNET DE SOUDURE'!$AV$7:$AV$3006,0)),""))</f>
        <v/>
      </c>
      <c r="K191" s="130" t="str">
        <f aca="false">IF($B191="","",INDEX('CARNET DE SOUDURE'!$AD$7:$AD$3006,MATCH(180,'CARNET DE SOUDURE'!$AV$7:$AV$3006,0))&amp;IF(INDEX('CARNET DE SOUDURE'!$AI$7:$AI$3006,MATCH(180,'CARNET DE SOUDURE'!$AV$7:$AV$3006,0))&lt;&gt;""," / "&amp;INDEX('CARNET DE SOUDURE'!$AI$7:$AI$3006,MATCH(180,'CARNET DE SOUDURE'!$AV$7:$AV$3006,0)),""))</f>
        <v/>
      </c>
      <c r="L191" s="130" t="str">
        <f aca="false">IF($B191="","",INDEX('CARNET DE SOUDURE'!$AG$7:$AG$3006,MATCH(180,'CARNET DE SOUDURE'!$AV$7:$AV$3006,0))&amp;IF(INDEX('CARNET DE SOUDURE'!$AL$7:$AL$3006,MATCH(180,'CARNET DE SOUDURE'!$AV$7:$AV$3006,0))&lt;&gt;""," / "&amp;INDEX('CARNET DE SOUDURE'!$AL$7:$AL$3006,MATCH(180,'CARNET DE SOUDURE'!$AV$7:$AV$3006,0)),""))</f>
        <v/>
      </c>
      <c r="M191" s="132" t="str">
        <f aca="false">IF($B191="","",INDEX('CARNET DE SOUDURE'!$AP$7:$AP$3006,MATCH(180,'CARNET DE SOUDURE'!$AV$7:$AV$3006,0)))</f>
        <v/>
      </c>
      <c r="N191" s="132" t="str">
        <f aca="false">IF($B191="","",INDEX('CARNET DE SOUDURE'!$AQ$7:$AQ$3006,MATCH(180,'CARNET DE SOUDURE'!$AV$7:$AV$3006,0)))</f>
        <v/>
      </c>
      <c r="O191" s="133" t="str">
        <f aca="false">IF($B191="","",INDEX('CARNET DE SOUDURE'!$AR$7:$AR$3006,MATCH(180,'CARNET DE SOUDURE'!$AV$7:$AV$3006,0)))</f>
        <v/>
      </c>
    </row>
    <row r="192" customFormat="false" ht="15" hidden="false" customHeight="false" outlineLevel="0" collapsed="false">
      <c r="B192" s="125" t="str">
        <f aca="false">IF(181&gt;$I$4,"",181)</f>
        <v/>
      </c>
      <c r="C192" s="125" t="str">
        <f aca="false">IF($B192="","",INDEX('CARNET DE SOUDURE'!$B$7:$B$3006,MATCH(181,'CARNET DE SOUDURE'!$AV$7:$AV$3006,0)))</f>
        <v/>
      </c>
      <c r="D192" s="125" t="str">
        <f aca="false">IF($B192="","",INDEX('CARNET DE SOUDURE'!$E$7:$E$3006,MATCH(181,'CARNET DE SOUDURE'!$AV$7:$AV$3006,0)))</f>
        <v/>
      </c>
      <c r="E192" s="125" t="str">
        <f aca="false">IF($B192="","",INDEX('CARNET DE SOUDURE'!$R$7:$R$3006,MATCH(181,'CARNET DE SOUDURE'!$AV$7:$AV$3006,0))&amp;IF(INDEX('CARNET DE SOUDURE'!$S$7:$S$3006,MATCH(181,'CARNET DE SOUDURE'!$AV$7:$AV$3006,0))&lt;&gt;""," / "&amp;INDEX('CARNET DE SOUDURE'!$S$7:$S$3006,MATCH(181,'CARNET DE SOUDURE'!$AV$7:$AV$3006,0)),"")&amp;IF(INDEX('CARNET DE SOUDURE'!$T$7:$T$3006,MATCH(181,'CARNET DE SOUDURE'!$AV$7:$AV$3006,0))&lt;&gt;""," / "&amp;INDEX('CARNET DE SOUDURE'!$T$7:$T$3006,MATCH(181,'CARNET DE SOUDURE'!$AV$7:$AV$3006,0)),""))</f>
        <v/>
      </c>
      <c r="F192" s="126" t="str">
        <f aca="false">IF($B192="","",INDEX('CARNET DE SOUDURE'!$Y$7:$Y$3006,MATCH(181,'CARNET DE SOUDURE'!$AV$7:$AV$3006,0)))</f>
        <v/>
      </c>
      <c r="G192" s="125" t="str">
        <f aca="false">IF($B192="","",INDEX('CARNET DE SOUDURE'!$Z$7:$Z$3006,MATCH(181,'CARNET DE SOUDURE'!$AV$7:$AV$3006,0))&amp;"")</f>
        <v/>
      </c>
      <c r="H192" s="127" t="str">
        <f aca="false">IF($B192="","",INDEX('CARNET DE SOUDURE'!$AA$7:$AA$3006,MATCH(181,'CARNET DE SOUDURE'!$AV$7:$AV$3006,0)))</f>
        <v/>
      </c>
      <c r="I192" s="125" t="str">
        <f aca="false">IF($B192="","",INDEX('CARNET DE SOUDURE'!$AB$7:$AB$3006,MATCH(181,'CARNET DE SOUDURE'!$AV$7:$AV$3006,0))&amp;"")</f>
        <v/>
      </c>
      <c r="J192" s="125" t="str">
        <f aca="false">IF($B192="","",INDEX('CARNET DE SOUDURE'!$AC$7:$AC$3006,MATCH(181,'CARNET DE SOUDURE'!$AV$7:$AV$3006,0))&amp;IF(INDEX('CARNET DE SOUDURE'!$AH$7:$AH$3006,MATCH(181,'CARNET DE SOUDURE'!$AV$7:$AV$3006,0))&lt;&gt;""," / "&amp;INDEX('CARNET DE SOUDURE'!$AH$7:$AH$3006,MATCH(181,'CARNET DE SOUDURE'!$AV$7:$AV$3006,0)),""))</f>
        <v/>
      </c>
      <c r="K192" s="125" t="str">
        <f aca="false">IF($B192="","",INDEX('CARNET DE SOUDURE'!$AD$7:$AD$3006,MATCH(181,'CARNET DE SOUDURE'!$AV$7:$AV$3006,0))&amp;IF(INDEX('CARNET DE SOUDURE'!$AI$7:$AI$3006,MATCH(181,'CARNET DE SOUDURE'!$AV$7:$AV$3006,0))&lt;&gt;""," / "&amp;INDEX('CARNET DE SOUDURE'!$AI$7:$AI$3006,MATCH(181,'CARNET DE SOUDURE'!$AV$7:$AV$3006,0)),""))</f>
        <v/>
      </c>
      <c r="L192" s="125" t="str">
        <f aca="false">IF($B192="","",INDEX('CARNET DE SOUDURE'!$AG$7:$AG$3006,MATCH(181,'CARNET DE SOUDURE'!$AV$7:$AV$3006,0))&amp;IF(INDEX('CARNET DE SOUDURE'!$AL$7:$AL$3006,MATCH(181,'CARNET DE SOUDURE'!$AV$7:$AV$3006,0))&lt;&gt;""," / "&amp;INDEX('CARNET DE SOUDURE'!$AL$7:$AL$3006,MATCH(181,'CARNET DE SOUDURE'!$AV$7:$AV$3006,0)),""))</f>
        <v/>
      </c>
      <c r="M192" s="127" t="str">
        <f aca="false">IF($B192="","",INDEX('CARNET DE SOUDURE'!$AP$7:$AP$3006,MATCH(181,'CARNET DE SOUDURE'!$AV$7:$AV$3006,0)))</f>
        <v/>
      </c>
      <c r="N192" s="127" t="str">
        <f aca="false">IF($B192="","",INDEX('CARNET DE SOUDURE'!$AQ$7:$AQ$3006,MATCH(181,'CARNET DE SOUDURE'!$AV$7:$AV$3006,0)))</f>
        <v/>
      </c>
      <c r="O192" s="128" t="str">
        <f aca="false">IF($B192="","",INDEX('CARNET DE SOUDURE'!$AR$7:$AR$3006,MATCH(181,'CARNET DE SOUDURE'!$AV$7:$AV$3006,0)))</f>
        <v/>
      </c>
    </row>
    <row r="193" customFormat="false" ht="15" hidden="false" customHeight="false" outlineLevel="0" collapsed="false">
      <c r="B193" s="130" t="str">
        <f aca="false">IF(182&gt;$I$4,"",182)</f>
        <v/>
      </c>
      <c r="C193" s="130" t="str">
        <f aca="false">IF($B193="","",INDEX('CARNET DE SOUDURE'!$B$7:$B$3006,MATCH(182,'CARNET DE SOUDURE'!$AV$7:$AV$3006,0)))</f>
        <v/>
      </c>
      <c r="D193" s="130" t="str">
        <f aca="false">IF($B193="","",INDEX('CARNET DE SOUDURE'!$E$7:$E$3006,MATCH(182,'CARNET DE SOUDURE'!$AV$7:$AV$3006,0)))</f>
        <v/>
      </c>
      <c r="E193" s="130" t="str">
        <f aca="false">IF($B193="","",INDEX('CARNET DE SOUDURE'!$R$7:$R$3006,MATCH(182,'CARNET DE SOUDURE'!$AV$7:$AV$3006,0))&amp;IF(INDEX('CARNET DE SOUDURE'!$S$7:$S$3006,MATCH(182,'CARNET DE SOUDURE'!$AV$7:$AV$3006,0))&lt;&gt;""," / "&amp;INDEX('CARNET DE SOUDURE'!$S$7:$S$3006,MATCH(182,'CARNET DE SOUDURE'!$AV$7:$AV$3006,0)),"")&amp;IF(INDEX('CARNET DE SOUDURE'!$T$7:$T$3006,MATCH(182,'CARNET DE SOUDURE'!$AV$7:$AV$3006,0))&lt;&gt;""," / "&amp;INDEX('CARNET DE SOUDURE'!$T$7:$T$3006,MATCH(182,'CARNET DE SOUDURE'!$AV$7:$AV$3006,0)),""))</f>
        <v/>
      </c>
      <c r="F193" s="131" t="str">
        <f aca="false">IF($B193="","",INDEX('CARNET DE SOUDURE'!$Y$7:$Y$3006,MATCH(182,'CARNET DE SOUDURE'!$AV$7:$AV$3006,0)))</f>
        <v/>
      </c>
      <c r="G193" s="130" t="str">
        <f aca="false">IF($B193="","",INDEX('CARNET DE SOUDURE'!$Z$7:$Z$3006,MATCH(182,'CARNET DE SOUDURE'!$AV$7:$AV$3006,0))&amp;"")</f>
        <v/>
      </c>
      <c r="H193" s="132" t="str">
        <f aca="false">IF($B193="","",INDEX('CARNET DE SOUDURE'!$AA$7:$AA$3006,MATCH(182,'CARNET DE SOUDURE'!$AV$7:$AV$3006,0)))</f>
        <v/>
      </c>
      <c r="I193" s="130" t="str">
        <f aca="false">IF($B193="","",INDEX('CARNET DE SOUDURE'!$AB$7:$AB$3006,MATCH(182,'CARNET DE SOUDURE'!$AV$7:$AV$3006,0))&amp;"")</f>
        <v/>
      </c>
      <c r="J193" s="130" t="str">
        <f aca="false">IF($B193="","",INDEX('CARNET DE SOUDURE'!$AC$7:$AC$3006,MATCH(182,'CARNET DE SOUDURE'!$AV$7:$AV$3006,0))&amp;IF(INDEX('CARNET DE SOUDURE'!$AH$7:$AH$3006,MATCH(182,'CARNET DE SOUDURE'!$AV$7:$AV$3006,0))&lt;&gt;""," / "&amp;INDEX('CARNET DE SOUDURE'!$AH$7:$AH$3006,MATCH(182,'CARNET DE SOUDURE'!$AV$7:$AV$3006,0)),""))</f>
        <v/>
      </c>
      <c r="K193" s="130" t="str">
        <f aca="false">IF($B193="","",INDEX('CARNET DE SOUDURE'!$AD$7:$AD$3006,MATCH(182,'CARNET DE SOUDURE'!$AV$7:$AV$3006,0))&amp;IF(INDEX('CARNET DE SOUDURE'!$AI$7:$AI$3006,MATCH(182,'CARNET DE SOUDURE'!$AV$7:$AV$3006,0))&lt;&gt;""," / "&amp;INDEX('CARNET DE SOUDURE'!$AI$7:$AI$3006,MATCH(182,'CARNET DE SOUDURE'!$AV$7:$AV$3006,0)),""))</f>
        <v/>
      </c>
      <c r="L193" s="130" t="str">
        <f aca="false">IF($B193="","",INDEX('CARNET DE SOUDURE'!$AG$7:$AG$3006,MATCH(182,'CARNET DE SOUDURE'!$AV$7:$AV$3006,0))&amp;IF(INDEX('CARNET DE SOUDURE'!$AL$7:$AL$3006,MATCH(182,'CARNET DE SOUDURE'!$AV$7:$AV$3006,0))&lt;&gt;""," / "&amp;INDEX('CARNET DE SOUDURE'!$AL$7:$AL$3006,MATCH(182,'CARNET DE SOUDURE'!$AV$7:$AV$3006,0)),""))</f>
        <v/>
      </c>
      <c r="M193" s="132" t="str">
        <f aca="false">IF($B193="","",INDEX('CARNET DE SOUDURE'!$AP$7:$AP$3006,MATCH(182,'CARNET DE SOUDURE'!$AV$7:$AV$3006,0)))</f>
        <v/>
      </c>
      <c r="N193" s="132" t="str">
        <f aca="false">IF($B193="","",INDEX('CARNET DE SOUDURE'!$AQ$7:$AQ$3006,MATCH(182,'CARNET DE SOUDURE'!$AV$7:$AV$3006,0)))</f>
        <v/>
      </c>
      <c r="O193" s="133" t="str">
        <f aca="false">IF($B193="","",INDEX('CARNET DE SOUDURE'!$AR$7:$AR$3006,MATCH(182,'CARNET DE SOUDURE'!$AV$7:$AV$3006,0)))</f>
        <v/>
      </c>
    </row>
    <row r="194" customFormat="false" ht="15" hidden="false" customHeight="false" outlineLevel="0" collapsed="false">
      <c r="B194" s="125" t="str">
        <f aca="false">IF(183&gt;$I$4,"",183)</f>
        <v/>
      </c>
      <c r="C194" s="125" t="str">
        <f aca="false">IF($B194="","",INDEX('CARNET DE SOUDURE'!$B$7:$B$3006,MATCH(183,'CARNET DE SOUDURE'!$AV$7:$AV$3006,0)))</f>
        <v/>
      </c>
      <c r="D194" s="125" t="str">
        <f aca="false">IF($B194="","",INDEX('CARNET DE SOUDURE'!$E$7:$E$3006,MATCH(183,'CARNET DE SOUDURE'!$AV$7:$AV$3006,0)))</f>
        <v/>
      </c>
      <c r="E194" s="125" t="str">
        <f aca="false">IF($B194="","",INDEX('CARNET DE SOUDURE'!$R$7:$R$3006,MATCH(183,'CARNET DE SOUDURE'!$AV$7:$AV$3006,0))&amp;IF(INDEX('CARNET DE SOUDURE'!$S$7:$S$3006,MATCH(183,'CARNET DE SOUDURE'!$AV$7:$AV$3006,0))&lt;&gt;""," / "&amp;INDEX('CARNET DE SOUDURE'!$S$7:$S$3006,MATCH(183,'CARNET DE SOUDURE'!$AV$7:$AV$3006,0)),"")&amp;IF(INDEX('CARNET DE SOUDURE'!$T$7:$T$3006,MATCH(183,'CARNET DE SOUDURE'!$AV$7:$AV$3006,0))&lt;&gt;""," / "&amp;INDEX('CARNET DE SOUDURE'!$T$7:$T$3006,MATCH(183,'CARNET DE SOUDURE'!$AV$7:$AV$3006,0)),""))</f>
        <v/>
      </c>
      <c r="F194" s="126" t="str">
        <f aca="false">IF($B194="","",INDEX('CARNET DE SOUDURE'!$Y$7:$Y$3006,MATCH(183,'CARNET DE SOUDURE'!$AV$7:$AV$3006,0)))</f>
        <v/>
      </c>
      <c r="G194" s="125" t="str">
        <f aca="false">IF($B194="","",INDEX('CARNET DE SOUDURE'!$Z$7:$Z$3006,MATCH(183,'CARNET DE SOUDURE'!$AV$7:$AV$3006,0))&amp;"")</f>
        <v/>
      </c>
      <c r="H194" s="127" t="str">
        <f aca="false">IF($B194="","",INDEX('CARNET DE SOUDURE'!$AA$7:$AA$3006,MATCH(183,'CARNET DE SOUDURE'!$AV$7:$AV$3006,0)))</f>
        <v/>
      </c>
      <c r="I194" s="125" t="str">
        <f aca="false">IF($B194="","",INDEX('CARNET DE SOUDURE'!$AB$7:$AB$3006,MATCH(183,'CARNET DE SOUDURE'!$AV$7:$AV$3006,0))&amp;"")</f>
        <v/>
      </c>
      <c r="J194" s="125" t="str">
        <f aca="false">IF($B194="","",INDEX('CARNET DE SOUDURE'!$AC$7:$AC$3006,MATCH(183,'CARNET DE SOUDURE'!$AV$7:$AV$3006,0))&amp;IF(INDEX('CARNET DE SOUDURE'!$AH$7:$AH$3006,MATCH(183,'CARNET DE SOUDURE'!$AV$7:$AV$3006,0))&lt;&gt;""," / "&amp;INDEX('CARNET DE SOUDURE'!$AH$7:$AH$3006,MATCH(183,'CARNET DE SOUDURE'!$AV$7:$AV$3006,0)),""))</f>
        <v/>
      </c>
      <c r="K194" s="125" t="str">
        <f aca="false">IF($B194="","",INDEX('CARNET DE SOUDURE'!$AD$7:$AD$3006,MATCH(183,'CARNET DE SOUDURE'!$AV$7:$AV$3006,0))&amp;IF(INDEX('CARNET DE SOUDURE'!$AI$7:$AI$3006,MATCH(183,'CARNET DE SOUDURE'!$AV$7:$AV$3006,0))&lt;&gt;""," / "&amp;INDEX('CARNET DE SOUDURE'!$AI$7:$AI$3006,MATCH(183,'CARNET DE SOUDURE'!$AV$7:$AV$3006,0)),""))</f>
        <v/>
      </c>
      <c r="L194" s="125" t="str">
        <f aca="false">IF($B194="","",INDEX('CARNET DE SOUDURE'!$AG$7:$AG$3006,MATCH(183,'CARNET DE SOUDURE'!$AV$7:$AV$3006,0))&amp;IF(INDEX('CARNET DE SOUDURE'!$AL$7:$AL$3006,MATCH(183,'CARNET DE SOUDURE'!$AV$7:$AV$3006,0))&lt;&gt;""," / "&amp;INDEX('CARNET DE SOUDURE'!$AL$7:$AL$3006,MATCH(183,'CARNET DE SOUDURE'!$AV$7:$AV$3006,0)),""))</f>
        <v/>
      </c>
      <c r="M194" s="127" t="str">
        <f aca="false">IF($B194="","",INDEX('CARNET DE SOUDURE'!$AP$7:$AP$3006,MATCH(183,'CARNET DE SOUDURE'!$AV$7:$AV$3006,0)))</f>
        <v/>
      </c>
      <c r="N194" s="127" t="str">
        <f aca="false">IF($B194="","",INDEX('CARNET DE SOUDURE'!$AQ$7:$AQ$3006,MATCH(183,'CARNET DE SOUDURE'!$AV$7:$AV$3006,0)))</f>
        <v/>
      </c>
      <c r="O194" s="128" t="str">
        <f aca="false">IF($B194="","",INDEX('CARNET DE SOUDURE'!$AR$7:$AR$3006,MATCH(183,'CARNET DE SOUDURE'!$AV$7:$AV$3006,0)))</f>
        <v/>
      </c>
    </row>
    <row r="195" customFormat="false" ht="15" hidden="false" customHeight="false" outlineLevel="0" collapsed="false">
      <c r="B195" s="130" t="str">
        <f aca="false">IF(184&gt;$I$4,"",184)</f>
        <v/>
      </c>
      <c r="C195" s="130" t="str">
        <f aca="false">IF($B195="","",INDEX('CARNET DE SOUDURE'!$B$7:$B$3006,MATCH(184,'CARNET DE SOUDURE'!$AV$7:$AV$3006,0)))</f>
        <v/>
      </c>
      <c r="D195" s="130" t="str">
        <f aca="false">IF($B195="","",INDEX('CARNET DE SOUDURE'!$E$7:$E$3006,MATCH(184,'CARNET DE SOUDURE'!$AV$7:$AV$3006,0)))</f>
        <v/>
      </c>
      <c r="E195" s="130" t="str">
        <f aca="false">IF($B195="","",INDEX('CARNET DE SOUDURE'!$R$7:$R$3006,MATCH(184,'CARNET DE SOUDURE'!$AV$7:$AV$3006,0))&amp;IF(INDEX('CARNET DE SOUDURE'!$S$7:$S$3006,MATCH(184,'CARNET DE SOUDURE'!$AV$7:$AV$3006,0))&lt;&gt;""," / "&amp;INDEX('CARNET DE SOUDURE'!$S$7:$S$3006,MATCH(184,'CARNET DE SOUDURE'!$AV$7:$AV$3006,0)),"")&amp;IF(INDEX('CARNET DE SOUDURE'!$T$7:$T$3006,MATCH(184,'CARNET DE SOUDURE'!$AV$7:$AV$3006,0))&lt;&gt;""," / "&amp;INDEX('CARNET DE SOUDURE'!$T$7:$T$3006,MATCH(184,'CARNET DE SOUDURE'!$AV$7:$AV$3006,0)),""))</f>
        <v/>
      </c>
      <c r="F195" s="131" t="str">
        <f aca="false">IF($B195="","",INDEX('CARNET DE SOUDURE'!$Y$7:$Y$3006,MATCH(184,'CARNET DE SOUDURE'!$AV$7:$AV$3006,0)))</f>
        <v/>
      </c>
      <c r="G195" s="130" t="str">
        <f aca="false">IF($B195="","",INDEX('CARNET DE SOUDURE'!$Z$7:$Z$3006,MATCH(184,'CARNET DE SOUDURE'!$AV$7:$AV$3006,0))&amp;"")</f>
        <v/>
      </c>
      <c r="H195" s="132" t="str">
        <f aca="false">IF($B195="","",INDEX('CARNET DE SOUDURE'!$AA$7:$AA$3006,MATCH(184,'CARNET DE SOUDURE'!$AV$7:$AV$3006,0)))</f>
        <v/>
      </c>
      <c r="I195" s="130" t="str">
        <f aca="false">IF($B195="","",INDEX('CARNET DE SOUDURE'!$AB$7:$AB$3006,MATCH(184,'CARNET DE SOUDURE'!$AV$7:$AV$3006,0))&amp;"")</f>
        <v/>
      </c>
      <c r="J195" s="130" t="str">
        <f aca="false">IF($B195="","",INDEX('CARNET DE SOUDURE'!$AC$7:$AC$3006,MATCH(184,'CARNET DE SOUDURE'!$AV$7:$AV$3006,0))&amp;IF(INDEX('CARNET DE SOUDURE'!$AH$7:$AH$3006,MATCH(184,'CARNET DE SOUDURE'!$AV$7:$AV$3006,0))&lt;&gt;""," / "&amp;INDEX('CARNET DE SOUDURE'!$AH$7:$AH$3006,MATCH(184,'CARNET DE SOUDURE'!$AV$7:$AV$3006,0)),""))</f>
        <v/>
      </c>
      <c r="K195" s="130" t="str">
        <f aca="false">IF($B195="","",INDEX('CARNET DE SOUDURE'!$AD$7:$AD$3006,MATCH(184,'CARNET DE SOUDURE'!$AV$7:$AV$3006,0))&amp;IF(INDEX('CARNET DE SOUDURE'!$AI$7:$AI$3006,MATCH(184,'CARNET DE SOUDURE'!$AV$7:$AV$3006,0))&lt;&gt;""," / "&amp;INDEX('CARNET DE SOUDURE'!$AI$7:$AI$3006,MATCH(184,'CARNET DE SOUDURE'!$AV$7:$AV$3006,0)),""))</f>
        <v/>
      </c>
      <c r="L195" s="130" t="str">
        <f aca="false">IF($B195="","",INDEX('CARNET DE SOUDURE'!$AG$7:$AG$3006,MATCH(184,'CARNET DE SOUDURE'!$AV$7:$AV$3006,0))&amp;IF(INDEX('CARNET DE SOUDURE'!$AL$7:$AL$3006,MATCH(184,'CARNET DE SOUDURE'!$AV$7:$AV$3006,0))&lt;&gt;""," / "&amp;INDEX('CARNET DE SOUDURE'!$AL$7:$AL$3006,MATCH(184,'CARNET DE SOUDURE'!$AV$7:$AV$3006,0)),""))</f>
        <v/>
      </c>
      <c r="M195" s="132" t="str">
        <f aca="false">IF($B195="","",INDEX('CARNET DE SOUDURE'!$AP$7:$AP$3006,MATCH(184,'CARNET DE SOUDURE'!$AV$7:$AV$3006,0)))</f>
        <v/>
      </c>
      <c r="N195" s="132" t="str">
        <f aca="false">IF($B195="","",INDEX('CARNET DE SOUDURE'!$AQ$7:$AQ$3006,MATCH(184,'CARNET DE SOUDURE'!$AV$7:$AV$3006,0)))</f>
        <v/>
      </c>
      <c r="O195" s="133" t="str">
        <f aca="false">IF($B195="","",INDEX('CARNET DE SOUDURE'!$AR$7:$AR$3006,MATCH(184,'CARNET DE SOUDURE'!$AV$7:$AV$3006,0)))</f>
        <v/>
      </c>
    </row>
    <row r="196" customFormat="false" ht="15" hidden="false" customHeight="false" outlineLevel="0" collapsed="false">
      <c r="B196" s="125" t="str">
        <f aca="false">IF(185&gt;$I$4,"",185)</f>
        <v/>
      </c>
      <c r="C196" s="125" t="str">
        <f aca="false">IF($B196="","",INDEX('CARNET DE SOUDURE'!$B$7:$B$3006,MATCH(185,'CARNET DE SOUDURE'!$AV$7:$AV$3006,0)))</f>
        <v/>
      </c>
      <c r="D196" s="125" t="str">
        <f aca="false">IF($B196="","",INDEX('CARNET DE SOUDURE'!$E$7:$E$3006,MATCH(185,'CARNET DE SOUDURE'!$AV$7:$AV$3006,0)))</f>
        <v/>
      </c>
      <c r="E196" s="125" t="str">
        <f aca="false">IF($B196="","",INDEX('CARNET DE SOUDURE'!$R$7:$R$3006,MATCH(185,'CARNET DE SOUDURE'!$AV$7:$AV$3006,0))&amp;IF(INDEX('CARNET DE SOUDURE'!$S$7:$S$3006,MATCH(185,'CARNET DE SOUDURE'!$AV$7:$AV$3006,0))&lt;&gt;""," / "&amp;INDEX('CARNET DE SOUDURE'!$S$7:$S$3006,MATCH(185,'CARNET DE SOUDURE'!$AV$7:$AV$3006,0)),"")&amp;IF(INDEX('CARNET DE SOUDURE'!$T$7:$T$3006,MATCH(185,'CARNET DE SOUDURE'!$AV$7:$AV$3006,0))&lt;&gt;""," / "&amp;INDEX('CARNET DE SOUDURE'!$T$7:$T$3006,MATCH(185,'CARNET DE SOUDURE'!$AV$7:$AV$3006,0)),""))</f>
        <v/>
      </c>
      <c r="F196" s="126" t="str">
        <f aca="false">IF($B196="","",INDEX('CARNET DE SOUDURE'!$Y$7:$Y$3006,MATCH(185,'CARNET DE SOUDURE'!$AV$7:$AV$3006,0)))</f>
        <v/>
      </c>
      <c r="G196" s="125" t="str">
        <f aca="false">IF($B196="","",INDEX('CARNET DE SOUDURE'!$Z$7:$Z$3006,MATCH(185,'CARNET DE SOUDURE'!$AV$7:$AV$3006,0))&amp;"")</f>
        <v/>
      </c>
      <c r="H196" s="127" t="str">
        <f aca="false">IF($B196="","",INDEX('CARNET DE SOUDURE'!$AA$7:$AA$3006,MATCH(185,'CARNET DE SOUDURE'!$AV$7:$AV$3006,0)))</f>
        <v/>
      </c>
      <c r="I196" s="125" t="str">
        <f aca="false">IF($B196="","",INDEX('CARNET DE SOUDURE'!$AB$7:$AB$3006,MATCH(185,'CARNET DE SOUDURE'!$AV$7:$AV$3006,0))&amp;"")</f>
        <v/>
      </c>
      <c r="J196" s="125" t="str">
        <f aca="false">IF($B196="","",INDEX('CARNET DE SOUDURE'!$AC$7:$AC$3006,MATCH(185,'CARNET DE SOUDURE'!$AV$7:$AV$3006,0))&amp;IF(INDEX('CARNET DE SOUDURE'!$AH$7:$AH$3006,MATCH(185,'CARNET DE SOUDURE'!$AV$7:$AV$3006,0))&lt;&gt;""," / "&amp;INDEX('CARNET DE SOUDURE'!$AH$7:$AH$3006,MATCH(185,'CARNET DE SOUDURE'!$AV$7:$AV$3006,0)),""))</f>
        <v/>
      </c>
      <c r="K196" s="125" t="str">
        <f aca="false">IF($B196="","",INDEX('CARNET DE SOUDURE'!$AD$7:$AD$3006,MATCH(185,'CARNET DE SOUDURE'!$AV$7:$AV$3006,0))&amp;IF(INDEX('CARNET DE SOUDURE'!$AI$7:$AI$3006,MATCH(185,'CARNET DE SOUDURE'!$AV$7:$AV$3006,0))&lt;&gt;""," / "&amp;INDEX('CARNET DE SOUDURE'!$AI$7:$AI$3006,MATCH(185,'CARNET DE SOUDURE'!$AV$7:$AV$3006,0)),""))</f>
        <v/>
      </c>
      <c r="L196" s="125" t="str">
        <f aca="false">IF($B196="","",INDEX('CARNET DE SOUDURE'!$AG$7:$AG$3006,MATCH(185,'CARNET DE SOUDURE'!$AV$7:$AV$3006,0))&amp;IF(INDEX('CARNET DE SOUDURE'!$AL$7:$AL$3006,MATCH(185,'CARNET DE SOUDURE'!$AV$7:$AV$3006,0))&lt;&gt;""," / "&amp;INDEX('CARNET DE SOUDURE'!$AL$7:$AL$3006,MATCH(185,'CARNET DE SOUDURE'!$AV$7:$AV$3006,0)),""))</f>
        <v/>
      </c>
      <c r="M196" s="127" t="str">
        <f aca="false">IF($B196="","",INDEX('CARNET DE SOUDURE'!$AP$7:$AP$3006,MATCH(185,'CARNET DE SOUDURE'!$AV$7:$AV$3006,0)))</f>
        <v/>
      </c>
      <c r="N196" s="127" t="str">
        <f aca="false">IF($B196="","",INDEX('CARNET DE SOUDURE'!$AQ$7:$AQ$3006,MATCH(185,'CARNET DE SOUDURE'!$AV$7:$AV$3006,0)))</f>
        <v/>
      </c>
      <c r="O196" s="128" t="str">
        <f aca="false">IF($B196="","",INDEX('CARNET DE SOUDURE'!$AR$7:$AR$3006,MATCH(185,'CARNET DE SOUDURE'!$AV$7:$AV$3006,0)))</f>
        <v/>
      </c>
    </row>
    <row r="197" customFormat="false" ht="15" hidden="false" customHeight="false" outlineLevel="0" collapsed="false">
      <c r="B197" s="130" t="str">
        <f aca="false">IF(186&gt;$I$4,"",186)</f>
        <v/>
      </c>
      <c r="C197" s="130" t="str">
        <f aca="false">IF($B197="","",INDEX('CARNET DE SOUDURE'!$B$7:$B$3006,MATCH(186,'CARNET DE SOUDURE'!$AV$7:$AV$3006,0)))</f>
        <v/>
      </c>
      <c r="D197" s="130" t="str">
        <f aca="false">IF($B197="","",INDEX('CARNET DE SOUDURE'!$E$7:$E$3006,MATCH(186,'CARNET DE SOUDURE'!$AV$7:$AV$3006,0)))</f>
        <v/>
      </c>
      <c r="E197" s="130" t="str">
        <f aca="false">IF($B197="","",INDEX('CARNET DE SOUDURE'!$R$7:$R$3006,MATCH(186,'CARNET DE SOUDURE'!$AV$7:$AV$3006,0))&amp;IF(INDEX('CARNET DE SOUDURE'!$S$7:$S$3006,MATCH(186,'CARNET DE SOUDURE'!$AV$7:$AV$3006,0))&lt;&gt;""," / "&amp;INDEX('CARNET DE SOUDURE'!$S$7:$S$3006,MATCH(186,'CARNET DE SOUDURE'!$AV$7:$AV$3006,0)),"")&amp;IF(INDEX('CARNET DE SOUDURE'!$T$7:$T$3006,MATCH(186,'CARNET DE SOUDURE'!$AV$7:$AV$3006,0))&lt;&gt;""," / "&amp;INDEX('CARNET DE SOUDURE'!$T$7:$T$3006,MATCH(186,'CARNET DE SOUDURE'!$AV$7:$AV$3006,0)),""))</f>
        <v/>
      </c>
      <c r="F197" s="131" t="str">
        <f aca="false">IF($B197="","",INDEX('CARNET DE SOUDURE'!$Y$7:$Y$3006,MATCH(186,'CARNET DE SOUDURE'!$AV$7:$AV$3006,0)))</f>
        <v/>
      </c>
      <c r="G197" s="130" t="str">
        <f aca="false">IF($B197="","",INDEX('CARNET DE SOUDURE'!$Z$7:$Z$3006,MATCH(186,'CARNET DE SOUDURE'!$AV$7:$AV$3006,0))&amp;"")</f>
        <v/>
      </c>
      <c r="H197" s="132" t="str">
        <f aca="false">IF($B197="","",INDEX('CARNET DE SOUDURE'!$AA$7:$AA$3006,MATCH(186,'CARNET DE SOUDURE'!$AV$7:$AV$3006,0)))</f>
        <v/>
      </c>
      <c r="I197" s="130" t="str">
        <f aca="false">IF($B197="","",INDEX('CARNET DE SOUDURE'!$AB$7:$AB$3006,MATCH(186,'CARNET DE SOUDURE'!$AV$7:$AV$3006,0))&amp;"")</f>
        <v/>
      </c>
      <c r="J197" s="130" t="str">
        <f aca="false">IF($B197="","",INDEX('CARNET DE SOUDURE'!$AC$7:$AC$3006,MATCH(186,'CARNET DE SOUDURE'!$AV$7:$AV$3006,0))&amp;IF(INDEX('CARNET DE SOUDURE'!$AH$7:$AH$3006,MATCH(186,'CARNET DE SOUDURE'!$AV$7:$AV$3006,0))&lt;&gt;""," / "&amp;INDEX('CARNET DE SOUDURE'!$AH$7:$AH$3006,MATCH(186,'CARNET DE SOUDURE'!$AV$7:$AV$3006,0)),""))</f>
        <v/>
      </c>
      <c r="K197" s="130" t="str">
        <f aca="false">IF($B197="","",INDEX('CARNET DE SOUDURE'!$AD$7:$AD$3006,MATCH(186,'CARNET DE SOUDURE'!$AV$7:$AV$3006,0))&amp;IF(INDEX('CARNET DE SOUDURE'!$AI$7:$AI$3006,MATCH(186,'CARNET DE SOUDURE'!$AV$7:$AV$3006,0))&lt;&gt;""," / "&amp;INDEX('CARNET DE SOUDURE'!$AI$7:$AI$3006,MATCH(186,'CARNET DE SOUDURE'!$AV$7:$AV$3006,0)),""))</f>
        <v/>
      </c>
      <c r="L197" s="130" t="str">
        <f aca="false">IF($B197="","",INDEX('CARNET DE SOUDURE'!$AG$7:$AG$3006,MATCH(186,'CARNET DE SOUDURE'!$AV$7:$AV$3006,0))&amp;IF(INDEX('CARNET DE SOUDURE'!$AL$7:$AL$3006,MATCH(186,'CARNET DE SOUDURE'!$AV$7:$AV$3006,0))&lt;&gt;""," / "&amp;INDEX('CARNET DE SOUDURE'!$AL$7:$AL$3006,MATCH(186,'CARNET DE SOUDURE'!$AV$7:$AV$3006,0)),""))</f>
        <v/>
      </c>
      <c r="M197" s="132" t="str">
        <f aca="false">IF($B197="","",INDEX('CARNET DE SOUDURE'!$AP$7:$AP$3006,MATCH(186,'CARNET DE SOUDURE'!$AV$7:$AV$3006,0)))</f>
        <v/>
      </c>
      <c r="N197" s="132" t="str">
        <f aca="false">IF($B197="","",INDEX('CARNET DE SOUDURE'!$AQ$7:$AQ$3006,MATCH(186,'CARNET DE SOUDURE'!$AV$7:$AV$3006,0)))</f>
        <v/>
      </c>
      <c r="O197" s="133" t="str">
        <f aca="false">IF($B197="","",INDEX('CARNET DE SOUDURE'!$AR$7:$AR$3006,MATCH(186,'CARNET DE SOUDURE'!$AV$7:$AV$3006,0)))</f>
        <v/>
      </c>
    </row>
    <row r="198" customFormat="false" ht="15" hidden="false" customHeight="false" outlineLevel="0" collapsed="false">
      <c r="B198" s="125" t="str">
        <f aca="false">IF(187&gt;$I$4,"",187)</f>
        <v/>
      </c>
      <c r="C198" s="125" t="str">
        <f aca="false">IF($B198="","",INDEX('CARNET DE SOUDURE'!$B$7:$B$3006,MATCH(187,'CARNET DE SOUDURE'!$AV$7:$AV$3006,0)))</f>
        <v/>
      </c>
      <c r="D198" s="125" t="str">
        <f aca="false">IF($B198="","",INDEX('CARNET DE SOUDURE'!$E$7:$E$3006,MATCH(187,'CARNET DE SOUDURE'!$AV$7:$AV$3006,0)))</f>
        <v/>
      </c>
      <c r="E198" s="125" t="str">
        <f aca="false">IF($B198="","",INDEX('CARNET DE SOUDURE'!$R$7:$R$3006,MATCH(187,'CARNET DE SOUDURE'!$AV$7:$AV$3006,0))&amp;IF(INDEX('CARNET DE SOUDURE'!$S$7:$S$3006,MATCH(187,'CARNET DE SOUDURE'!$AV$7:$AV$3006,0))&lt;&gt;""," / "&amp;INDEX('CARNET DE SOUDURE'!$S$7:$S$3006,MATCH(187,'CARNET DE SOUDURE'!$AV$7:$AV$3006,0)),"")&amp;IF(INDEX('CARNET DE SOUDURE'!$T$7:$T$3006,MATCH(187,'CARNET DE SOUDURE'!$AV$7:$AV$3006,0))&lt;&gt;""," / "&amp;INDEX('CARNET DE SOUDURE'!$T$7:$T$3006,MATCH(187,'CARNET DE SOUDURE'!$AV$7:$AV$3006,0)),""))</f>
        <v/>
      </c>
      <c r="F198" s="126" t="str">
        <f aca="false">IF($B198="","",INDEX('CARNET DE SOUDURE'!$Y$7:$Y$3006,MATCH(187,'CARNET DE SOUDURE'!$AV$7:$AV$3006,0)))</f>
        <v/>
      </c>
      <c r="G198" s="125" t="str">
        <f aca="false">IF($B198="","",INDEX('CARNET DE SOUDURE'!$Z$7:$Z$3006,MATCH(187,'CARNET DE SOUDURE'!$AV$7:$AV$3006,0))&amp;"")</f>
        <v/>
      </c>
      <c r="H198" s="127" t="str">
        <f aca="false">IF($B198="","",INDEX('CARNET DE SOUDURE'!$AA$7:$AA$3006,MATCH(187,'CARNET DE SOUDURE'!$AV$7:$AV$3006,0)))</f>
        <v/>
      </c>
      <c r="I198" s="125" t="str">
        <f aca="false">IF($B198="","",INDEX('CARNET DE SOUDURE'!$AB$7:$AB$3006,MATCH(187,'CARNET DE SOUDURE'!$AV$7:$AV$3006,0))&amp;"")</f>
        <v/>
      </c>
      <c r="J198" s="125" t="str">
        <f aca="false">IF($B198="","",INDEX('CARNET DE SOUDURE'!$AC$7:$AC$3006,MATCH(187,'CARNET DE SOUDURE'!$AV$7:$AV$3006,0))&amp;IF(INDEX('CARNET DE SOUDURE'!$AH$7:$AH$3006,MATCH(187,'CARNET DE SOUDURE'!$AV$7:$AV$3006,0))&lt;&gt;""," / "&amp;INDEX('CARNET DE SOUDURE'!$AH$7:$AH$3006,MATCH(187,'CARNET DE SOUDURE'!$AV$7:$AV$3006,0)),""))</f>
        <v/>
      </c>
      <c r="K198" s="125" t="str">
        <f aca="false">IF($B198="","",INDEX('CARNET DE SOUDURE'!$AD$7:$AD$3006,MATCH(187,'CARNET DE SOUDURE'!$AV$7:$AV$3006,0))&amp;IF(INDEX('CARNET DE SOUDURE'!$AI$7:$AI$3006,MATCH(187,'CARNET DE SOUDURE'!$AV$7:$AV$3006,0))&lt;&gt;""," / "&amp;INDEX('CARNET DE SOUDURE'!$AI$7:$AI$3006,MATCH(187,'CARNET DE SOUDURE'!$AV$7:$AV$3006,0)),""))</f>
        <v/>
      </c>
      <c r="L198" s="125" t="str">
        <f aca="false">IF($B198="","",INDEX('CARNET DE SOUDURE'!$AG$7:$AG$3006,MATCH(187,'CARNET DE SOUDURE'!$AV$7:$AV$3006,0))&amp;IF(INDEX('CARNET DE SOUDURE'!$AL$7:$AL$3006,MATCH(187,'CARNET DE SOUDURE'!$AV$7:$AV$3006,0))&lt;&gt;""," / "&amp;INDEX('CARNET DE SOUDURE'!$AL$7:$AL$3006,MATCH(187,'CARNET DE SOUDURE'!$AV$7:$AV$3006,0)),""))</f>
        <v/>
      </c>
      <c r="M198" s="127" t="str">
        <f aca="false">IF($B198="","",INDEX('CARNET DE SOUDURE'!$AP$7:$AP$3006,MATCH(187,'CARNET DE SOUDURE'!$AV$7:$AV$3006,0)))</f>
        <v/>
      </c>
      <c r="N198" s="127" t="str">
        <f aca="false">IF($B198="","",INDEX('CARNET DE SOUDURE'!$AQ$7:$AQ$3006,MATCH(187,'CARNET DE SOUDURE'!$AV$7:$AV$3006,0)))</f>
        <v/>
      </c>
      <c r="O198" s="128" t="str">
        <f aca="false">IF($B198="","",INDEX('CARNET DE SOUDURE'!$AR$7:$AR$3006,MATCH(187,'CARNET DE SOUDURE'!$AV$7:$AV$3006,0)))</f>
        <v/>
      </c>
    </row>
    <row r="199" customFormat="false" ht="15" hidden="false" customHeight="false" outlineLevel="0" collapsed="false">
      <c r="B199" s="130" t="str">
        <f aca="false">IF(188&gt;$I$4,"",188)</f>
        <v/>
      </c>
      <c r="C199" s="130" t="str">
        <f aca="false">IF($B199="","",INDEX('CARNET DE SOUDURE'!$B$7:$B$3006,MATCH(188,'CARNET DE SOUDURE'!$AV$7:$AV$3006,0)))</f>
        <v/>
      </c>
      <c r="D199" s="130" t="str">
        <f aca="false">IF($B199="","",INDEX('CARNET DE SOUDURE'!$E$7:$E$3006,MATCH(188,'CARNET DE SOUDURE'!$AV$7:$AV$3006,0)))</f>
        <v/>
      </c>
      <c r="E199" s="130" t="str">
        <f aca="false">IF($B199="","",INDEX('CARNET DE SOUDURE'!$R$7:$R$3006,MATCH(188,'CARNET DE SOUDURE'!$AV$7:$AV$3006,0))&amp;IF(INDEX('CARNET DE SOUDURE'!$S$7:$S$3006,MATCH(188,'CARNET DE SOUDURE'!$AV$7:$AV$3006,0))&lt;&gt;""," / "&amp;INDEX('CARNET DE SOUDURE'!$S$7:$S$3006,MATCH(188,'CARNET DE SOUDURE'!$AV$7:$AV$3006,0)),"")&amp;IF(INDEX('CARNET DE SOUDURE'!$T$7:$T$3006,MATCH(188,'CARNET DE SOUDURE'!$AV$7:$AV$3006,0))&lt;&gt;""," / "&amp;INDEX('CARNET DE SOUDURE'!$T$7:$T$3006,MATCH(188,'CARNET DE SOUDURE'!$AV$7:$AV$3006,0)),""))</f>
        <v/>
      </c>
      <c r="F199" s="131" t="str">
        <f aca="false">IF($B199="","",INDEX('CARNET DE SOUDURE'!$Y$7:$Y$3006,MATCH(188,'CARNET DE SOUDURE'!$AV$7:$AV$3006,0)))</f>
        <v/>
      </c>
      <c r="G199" s="130" t="str">
        <f aca="false">IF($B199="","",INDEX('CARNET DE SOUDURE'!$Z$7:$Z$3006,MATCH(188,'CARNET DE SOUDURE'!$AV$7:$AV$3006,0))&amp;"")</f>
        <v/>
      </c>
      <c r="H199" s="132" t="str">
        <f aca="false">IF($B199="","",INDEX('CARNET DE SOUDURE'!$AA$7:$AA$3006,MATCH(188,'CARNET DE SOUDURE'!$AV$7:$AV$3006,0)))</f>
        <v/>
      </c>
      <c r="I199" s="130" t="str">
        <f aca="false">IF($B199="","",INDEX('CARNET DE SOUDURE'!$AB$7:$AB$3006,MATCH(188,'CARNET DE SOUDURE'!$AV$7:$AV$3006,0))&amp;"")</f>
        <v/>
      </c>
      <c r="J199" s="130" t="str">
        <f aca="false">IF($B199="","",INDEX('CARNET DE SOUDURE'!$AC$7:$AC$3006,MATCH(188,'CARNET DE SOUDURE'!$AV$7:$AV$3006,0))&amp;IF(INDEX('CARNET DE SOUDURE'!$AH$7:$AH$3006,MATCH(188,'CARNET DE SOUDURE'!$AV$7:$AV$3006,0))&lt;&gt;""," / "&amp;INDEX('CARNET DE SOUDURE'!$AH$7:$AH$3006,MATCH(188,'CARNET DE SOUDURE'!$AV$7:$AV$3006,0)),""))</f>
        <v/>
      </c>
      <c r="K199" s="130" t="str">
        <f aca="false">IF($B199="","",INDEX('CARNET DE SOUDURE'!$AD$7:$AD$3006,MATCH(188,'CARNET DE SOUDURE'!$AV$7:$AV$3006,0))&amp;IF(INDEX('CARNET DE SOUDURE'!$AI$7:$AI$3006,MATCH(188,'CARNET DE SOUDURE'!$AV$7:$AV$3006,0))&lt;&gt;""," / "&amp;INDEX('CARNET DE SOUDURE'!$AI$7:$AI$3006,MATCH(188,'CARNET DE SOUDURE'!$AV$7:$AV$3006,0)),""))</f>
        <v/>
      </c>
      <c r="L199" s="130" t="str">
        <f aca="false">IF($B199="","",INDEX('CARNET DE SOUDURE'!$AG$7:$AG$3006,MATCH(188,'CARNET DE SOUDURE'!$AV$7:$AV$3006,0))&amp;IF(INDEX('CARNET DE SOUDURE'!$AL$7:$AL$3006,MATCH(188,'CARNET DE SOUDURE'!$AV$7:$AV$3006,0))&lt;&gt;""," / "&amp;INDEX('CARNET DE SOUDURE'!$AL$7:$AL$3006,MATCH(188,'CARNET DE SOUDURE'!$AV$7:$AV$3006,0)),""))</f>
        <v/>
      </c>
      <c r="M199" s="132" t="str">
        <f aca="false">IF($B199="","",INDEX('CARNET DE SOUDURE'!$AP$7:$AP$3006,MATCH(188,'CARNET DE SOUDURE'!$AV$7:$AV$3006,0)))</f>
        <v/>
      </c>
      <c r="N199" s="132" t="str">
        <f aca="false">IF($B199="","",INDEX('CARNET DE SOUDURE'!$AQ$7:$AQ$3006,MATCH(188,'CARNET DE SOUDURE'!$AV$7:$AV$3006,0)))</f>
        <v/>
      </c>
      <c r="O199" s="133" t="str">
        <f aca="false">IF($B199="","",INDEX('CARNET DE SOUDURE'!$AR$7:$AR$3006,MATCH(188,'CARNET DE SOUDURE'!$AV$7:$AV$3006,0)))</f>
        <v/>
      </c>
    </row>
    <row r="200" customFormat="false" ht="15" hidden="false" customHeight="false" outlineLevel="0" collapsed="false">
      <c r="B200" s="125" t="str">
        <f aca="false">IF(189&gt;$I$4,"",189)</f>
        <v/>
      </c>
      <c r="C200" s="125" t="str">
        <f aca="false">IF($B200="","",INDEX('CARNET DE SOUDURE'!$B$7:$B$3006,MATCH(189,'CARNET DE SOUDURE'!$AV$7:$AV$3006,0)))</f>
        <v/>
      </c>
      <c r="D200" s="125" t="str">
        <f aca="false">IF($B200="","",INDEX('CARNET DE SOUDURE'!$E$7:$E$3006,MATCH(189,'CARNET DE SOUDURE'!$AV$7:$AV$3006,0)))</f>
        <v/>
      </c>
      <c r="E200" s="125" t="str">
        <f aca="false">IF($B200="","",INDEX('CARNET DE SOUDURE'!$R$7:$R$3006,MATCH(189,'CARNET DE SOUDURE'!$AV$7:$AV$3006,0))&amp;IF(INDEX('CARNET DE SOUDURE'!$S$7:$S$3006,MATCH(189,'CARNET DE SOUDURE'!$AV$7:$AV$3006,0))&lt;&gt;""," / "&amp;INDEX('CARNET DE SOUDURE'!$S$7:$S$3006,MATCH(189,'CARNET DE SOUDURE'!$AV$7:$AV$3006,0)),"")&amp;IF(INDEX('CARNET DE SOUDURE'!$T$7:$T$3006,MATCH(189,'CARNET DE SOUDURE'!$AV$7:$AV$3006,0))&lt;&gt;""," / "&amp;INDEX('CARNET DE SOUDURE'!$T$7:$T$3006,MATCH(189,'CARNET DE SOUDURE'!$AV$7:$AV$3006,0)),""))</f>
        <v/>
      </c>
      <c r="F200" s="126" t="str">
        <f aca="false">IF($B200="","",INDEX('CARNET DE SOUDURE'!$Y$7:$Y$3006,MATCH(189,'CARNET DE SOUDURE'!$AV$7:$AV$3006,0)))</f>
        <v/>
      </c>
      <c r="G200" s="125" t="str">
        <f aca="false">IF($B200="","",INDEX('CARNET DE SOUDURE'!$Z$7:$Z$3006,MATCH(189,'CARNET DE SOUDURE'!$AV$7:$AV$3006,0))&amp;"")</f>
        <v/>
      </c>
      <c r="H200" s="127" t="str">
        <f aca="false">IF($B200="","",INDEX('CARNET DE SOUDURE'!$AA$7:$AA$3006,MATCH(189,'CARNET DE SOUDURE'!$AV$7:$AV$3006,0)))</f>
        <v/>
      </c>
      <c r="I200" s="125" t="str">
        <f aca="false">IF($B200="","",INDEX('CARNET DE SOUDURE'!$AB$7:$AB$3006,MATCH(189,'CARNET DE SOUDURE'!$AV$7:$AV$3006,0))&amp;"")</f>
        <v/>
      </c>
      <c r="J200" s="125" t="str">
        <f aca="false">IF($B200="","",INDEX('CARNET DE SOUDURE'!$AC$7:$AC$3006,MATCH(189,'CARNET DE SOUDURE'!$AV$7:$AV$3006,0))&amp;IF(INDEX('CARNET DE SOUDURE'!$AH$7:$AH$3006,MATCH(189,'CARNET DE SOUDURE'!$AV$7:$AV$3006,0))&lt;&gt;""," / "&amp;INDEX('CARNET DE SOUDURE'!$AH$7:$AH$3006,MATCH(189,'CARNET DE SOUDURE'!$AV$7:$AV$3006,0)),""))</f>
        <v/>
      </c>
      <c r="K200" s="125" t="str">
        <f aca="false">IF($B200="","",INDEX('CARNET DE SOUDURE'!$AD$7:$AD$3006,MATCH(189,'CARNET DE SOUDURE'!$AV$7:$AV$3006,0))&amp;IF(INDEX('CARNET DE SOUDURE'!$AI$7:$AI$3006,MATCH(189,'CARNET DE SOUDURE'!$AV$7:$AV$3006,0))&lt;&gt;""," / "&amp;INDEX('CARNET DE SOUDURE'!$AI$7:$AI$3006,MATCH(189,'CARNET DE SOUDURE'!$AV$7:$AV$3006,0)),""))</f>
        <v/>
      </c>
      <c r="L200" s="125" t="str">
        <f aca="false">IF($B200="","",INDEX('CARNET DE SOUDURE'!$AG$7:$AG$3006,MATCH(189,'CARNET DE SOUDURE'!$AV$7:$AV$3006,0))&amp;IF(INDEX('CARNET DE SOUDURE'!$AL$7:$AL$3006,MATCH(189,'CARNET DE SOUDURE'!$AV$7:$AV$3006,0))&lt;&gt;""," / "&amp;INDEX('CARNET DE SOUDURE'!$AL$7:$AL$3006,MATCH(189,'CARNET DE SOUDURE'!$AV$7:$AV$3006,0)),""))</f>
        <v/>
      </c>
      <c r="M200" s="127" t="str">
        <f aca="false">IF($B200="","",INDEX('CARNET DE SOUDURE'!$AP$7:$AP$3006,MATCH(189,'CARNET DE SOUDURE'!$AV$7:$AV$3006,0)))</f>
        <v/>
      </c>
      <c r="N200" s="127" t="str">
        <f aca="false">IF($B200="","",INDEX('CARNET DE SOUDURE'!$AQ$7:$AQ$3006,MATCH(189,'CARNET DE SOUDURE'!$AV$7:$AV$3006,0)))</f>
        <v/>
      </c>
      <c r="O200" s="128" t="str">
        <f aca="false">IF($B200="","",INDEX('CARNET DE SOUDURE'!$AR$7:$AR$3006,MATCH(189,'CARNET DE SOUDURE'!$AV$7:$AV$3006,0)))</f>
        <v/>
      </c>
    </row>
    <row r="201" customFormat="false" ht="15" hidden="false" customHeight="false" outlineLevel="0" collapsed="false">
      <c r="B201" s="130" t="str">
        <f aca="false">IF(190&gt;$I$4,"",190)</f>
        <v/>
      </c>
      <c r="C201" s="130" t="str">
        <f aca="false">IF($B201="","",INDEX('CARNET DE SOUDURE'!$B$7:$B$3006,MATCH(190,'CARNET DE SOUDURE'!$AV$7:$AV$3006,0)))</f>
        <v/>
      </c>
      <c r="D201" s="130" t="str">
        <f aca="false">IF($B201="","",INDEX('CARNET DE SOUDURE'!$E$7:$E$3006,MATCH(190,'CARNET DE SOUDURE'!$AV$7:$AV$3006,0)))</f>
        <v/>
      </c>
      <c r="E201" s="130" t="str">
        <f aca="false">IF($B201="","",INDEX('CARNET DE SOUDURE'!$R$7:$R$3006,MATCH(190,'CARNET DE SOUDURE'!$AV$7:$AV$3006,0))&amp;IF(INDEX('CARNET DE SOUDURE'!$S$7:$S$3006,MATCH(190,'CARNET DE SOUDURE'!$AV$7:$AV$3006,0))&lt;&gt;""," / "&amp;INDEX('CARNET DE SOUDURE'!$S$7:$S$3006,MATCH(190,'CARNET DE SOUDURE'!$AV$7:$AV$3006,0)),"")&amp;IF(INDEX('CARNET DE SOUDURE'!$T$7:$T$3006,MATCH(190,'CARNET DE SOUDURE'!$AV$7:$AV$3006,0))&lt;&gt;""," / "&amp;INDEX('CARNET DE SOUDURE'!$T$7:$T$3006,MATCH(190,'CARNET DE SOUDURE'!$AV$7:$AV$3006,0)),""))</f>
        <v/>
      </c>
      <c r="F201" s="131" t="str">
        <f aca="false">IF($B201="","",INDEX('CARNET DE SOUDURE'!$Y$7:$Y$3006,MATCH(190,'CARNET DE SOUDURE'!$AV$7:$AV$3006,0)))</f>
        <v/>
      </c>
      <c r="G201" s="130" t="str">
        <f aca="false">IF($B201="","",INDEX('CARNET DE SOUDURE'!$Z$7:$Z$3006,MATCH(190,'CARNET DE SOUDURE'!$AV$7:$AV$3006,0))&amp;"")</f>
        <v/>
      </c>
      <c r="H201" s="132" t="str">
        <f aca="false">IF($B201="","",INDEX('CARNET DE SOUDURE'!$AA$7:$AA$3006,MATCH(190,'CARNET DE SOUDURE'!$AV$7:$AV$3006,0)))</f>
        <v/>
      </c>
      <c r="I201" s="130" t="str">
        <f aca="false">IF($B201="","",INDEX('CARNET DE SOUDURE'!$AB$7:$AB$3006,MATCH(190,'CARNET DE SOUDURE'!$AV$7:$AV$3006,0))&amp;"")</f>
        <v/>
      </c>
      <c r="J201" s="130" t="str">
        <f aca="false">IF($B201="","",INDEX('CARNET DE SOUDURE'!$AC$7:$AC$3006,MATCH(190,'CARNET DE SOUDURE'!$AV$7:$AV$3006,0))&amp;IF(INDEX('CARNET DE SOUDURE'!$AH$7:$AH$3006,MATCH(190,'CARNET DE SOUDURE'!$AV$7:$AV$3006,0))&lt;&gt;""," / "&amp;INDEX('CARNET DE SOUDURE'!$AH$7:$AH$3006,MATCH(190,'CARNET DE SOUDURE'!$AV$7:$AV$3006,0)),""))</f>
        <v/>
      </c>
      <c r="K201" s="130" t="str">
        <f aca="false">IF($B201="","",INDEX('CARNET DE SOUDURE'!$AD$7:$AD$3006,MATCH(190,'CARNET DE SOUDURE'!$AV$7:$AV$3006,0))&amp;IF(INDEX('CARNET DE SOUDURE'!$AI$7:$AI$3006,MATCH(190,'CARNET DE SOUDURE'!$AV$7:$AV$3006,0))&lt;&gt;""," / "&amp;INDEX('CARNET DE SOUDURE'!$AI$7:$AI$3006,MATCH(190,'CARNET DE SOUDURE'!$AV$7:$AV$3006,0)),""))</f>
        <v/>
      </c>
      <c r="L201" s="130" t="str">
        <f aca="false">IF($B201="","",INDEX('CARNET DE SOUDURE'!$AG$7:$AG$3006,MATCH(190,'CARNET DE SOUDURE'!$AV$7:$AV$3006,0))&amp;IF(INDEX('CARNET DE SOUDURE'!$AL$7:$AL$3006,MATCH(190,'CARNET DE SOUDURE'!$AV$7:$AV$3006,0))&lt;&gt;""," / "&amp;INDEX('CARNET DE SOUDURE'!$AL$7:$AL$3006,MATCH(190,'CARNET DE SOUDURE'!$AV$7:$AV$3006,0)),""))</f>
        <v/>
      </c>
      <c r="M201" s="132" t="str">
        <f aca="false">IF($B201="","",INDEX('CARNET DE SOUDURE'!$AP$7:$AP$3006,MATCH(190,'CARNET DE SOUDURE'!$AV$7:$AV$3006,0)))</f>
        <v/>
      </c>
      <c r="N201" s="132" t="str">
        <f aca="false">IF($B201="","",INDEX('CARNET DE SOUDURE'!$AQ$7:$AQ$3006,MATCH(190,'CARNET DE SOUDURE'!$AV$7:$AV$3006,0)))</f>
        <v/>
      </c>
      <c r="O201" s="133" t="str">
        <f aca="false">IF($B201="","",INDEX('CARNET DE SOUDURE'!$AR$7:$AR$3006,MATCH(190,'CARNET DE SOUDURE'!$AV$7:$AV$3006,0)))</f>
        <v/>
      </c>
    </row>
    <row r="202" customFormat="false" ht="15" hidden="false" customHeight="false" outlineLevel="0" collapsed="false">
      <c r="B202" s="125" t="str">
        <f aca="false">IF(191&gt;$I$4,"",191)</f>
        <v/>
      </c>
      <c r="C202" s="125" t="str">
        <f aca="false">IF($B202="","",INDEX('CARNET DE SOUDURE'!$B$7:$B$3006,MATCH(191,'CARNET DE SOUDURE'!$AV$7:$AV$3006,0)))</f>
        <v/>
      </c>
      <c r="D202" s="125" t="str">
        <f aca="false">IF($B202="","",INDEX('CARNET DE SOUDURE'!$E$7:$E$3006,MATCH(191,'CARNET DE SOUDURE'!$AV$7:$AV$3006,0)))</f>
        <v/>
      </c>
      <c r="E202" s="125" t="str">
        <f aca="false">IF($B202="","",INDEX('CARNET DE SOUDURE'!$R$7:$R$3006,MATCH(191,'CARNET DE SOUDURE'!$AV$7:$AV$3006,0))&amp;IF(INDEX('CARNET DE SOUDURE'!$S$7:$S$3006,MATCH(191,'CARNET DE SOUDURE'!$AV$7:$AV$3006,0))&lt;&gt;""," / "&amp;INDEX('CARNET DE SOUDURE'!$S$7:$S$3006,MATCH(191,'CARNET DE SOUDURE'!$AV$7:$AV$3006,0)),"")&amp;IF(INDEX('CARNET DE SOUDURE'!$T$7:$T$3006,MATCH(191,'CARNET DE SOUDURE'!$AV$7:$AV$3006,0))&lt;&gt;""," / "&amp;INDEX('CARNET DE SOUDURE'!$T$7:$T$3006,MATCH(191,'CARNET DE SOUDURE'!$AV$7:$AV$3006,0)),""))</f>
        <v/>
      </c>
      <c r="F202" s="126" t="str">
        <f aca="false">IF($B202="","",INDEX('CARNET DE SOUDURE'!$Y$7:$Y$3006,MATCH(191,'CARNET DE SOUDURE'!$AV$7:$AV$3006,0)))</f>
        <v/>
      </c>
      <c r="G202" s="125" t="str">
        <f aca="false">IF($B202="","",INDEX('CARNET DE SOUDURE'!$Z$7:$Z$3006,MATCH(191,'CARNET DE SOUDURE'!$AV$7:$AV$3006,0))&amp;"")</f>
        <v/>
      </c>
      <c r="H202" s="127" t="str">
        <f aca="false">IF($B202="","",INDEX('CARNET DE SOUDURE'!$AA$7:$AA$3006,MATCH(191,'CARNET DE SOUDURE'!$AV$7:$AV$3006,0)))</f>
        <v/>
      </c>
      <c r="I202" s="125" t="str">
        <f aca="false">IF($B202="","",INDEX('CARNET DE SOUDURE'!$AB$7:$AB$3006,MATCH(191,'CARNET DE SOUDURE'!$AV$7:$AV$3006,0))&amp;"")</f>
        <v/>
      </c>
      <c r="J202" s="125" t="str">
        <f aca="false">IF($B202="","",INDEX('CARNET DE SOUDURE'!$AC$7:$AC$3006,MATCH(191,'CARNET DE SOUDURE'!$AV$7:$AV$3006,0))&amp;IF(INDEX('CARNET DE SOUDURE'!$AH$7:$AH$3006,MATCH(191,'CARNET DE SOUDURE'!$AV$7:$AV$3006,0))&lt;&gt;""," / "&amp;INDEX('CARNET DE SOUDURE'!$AH$7:$AH$3006,MATCH(191,'CARNET DE SOUDURE'!$AV$7:$AV$3006,0)),""))</f>
        <v/>
      </c>
      <c r="K202" s="125" t="str">
        <f aca="false">IF($B202="","",INDEX('CARNET DE SOUDURE'!$AD$7:$AD$3006,MATCH(191,'CARNET DE SOUDURE'!$AV$7:$AV$3006,0))&amp;IF(INDEX('CARNET DE SOUDURE'!$AI$7:$AI$3006,MATCH(191,'CARNET DE SOUDURE'!$AV$7:$AV$3006,0))&lt;&gt;""," / "&amp;INDEX('CARNET DE SOUDURE'!$AI$7:$AI$3006,MATCH(191,'CARNET DE SOUDURE'!$AV$7:$AV$3006,0)),""))</f>
        <v/>
      </c>
      <c r="L202" s="125" t="str">
        <f aca="false">IF($B202="","",INDEX('CARNET DE SOUDURE'!$AG$7:$AG$3006,MATCH(191,'CARNET DE SOUDURE'!$AV$7:$AV$3006,0))&amp;IF(INDEX('CARNET DE SOUDURE'!$AL$7:$AL$3006,MATCH(191,'CARNET DE SOUDURE'!$AV$7:$AV$3006,0))&lt;&gt;""," / "&amp;INDEX('CARNET DE SOUDURE'!$AL$7:$AL$3006,MATCH(191,'CARNET DE SOUDURE'!$AV$7:$AV$3006,0)),""))</f>
        <v/>
      </c>
      <c r="M202" s="127" t="str">
        <f aca="false">IF($B202="","",INDEX('CARNET DE SOUDURE'!$AP$7:$AP$3006,MATCH(191,'CARNET DE SOUDURE'!$AV$7:$AV$3006,0)))</f>
        <v/>
      </c>
      <c r="N202" s="127" t="str">
        <f aca="false">IF($B202="","",INDEX('CARNET DE SOUDURE'!$AQ$7:$AQ$3006,MATCH(191,'CARNET DE SOUDURE'!$AV$7:$AV$3006,0)))</f>
        <v/>
      </c>
      <c r="O202" s="128" t="str">
        <f aca="false">IF($B202="","",INDEX('CARNET DE SOUDURE'!$AR$7:$AR$3006,MATCH(191,'CARNET DE SOUDURE'!$AV$7:$AV$3006,0)))</f>
        <v/>
      </c>
    </row>
    <row r="203" customFormat="false" ht="15" hidden="false" customHeight="false" outlineLevel="0" collapsed="false">
      <c r="B203" s="130" t="str">
        <f aca="false">IF(192&gt;$I$4,"",192)</f>
        <v/>
      </c>
      <c r="C203" s="130" t="str">
        <f aca="false">IF($B203="","",INDEX('CARNET DE SOUDURE'!$B$7:$B$3006,MATCH(192,'CARNET DE SOUDURE'!$AV$7:$AV$3006,0)))</f>
        <v/>
      </c>
      <c r="D203" s="130" t="str">
        <f aca="false">IF($B203="","",INDEX('CARNET DE SOUDURE'!$E$7:$E$3006,MATCH(192,'CARNET DE SOUDURE'!$AV$7:$AV$3006,0)))</f>
        <v/>
      </c>
      <c r="E203" s="130" t="str">
        <f aca="false">IF($B203="","",INDEX('CARNET DE SOUDURE'!$R$7:$R$3006,MATCH(192,'CARNET DE SOUDURE'!$AV$7:$AV$3006,0))&amp;IF(INDEX('CARNET DE SOUDURE'!$S$7:$S$3006,MATCH(192,'CARNET DE SOUDURE'!$AV$7:$AV$3006,0))&lt;&gt;""," / "&amp;INDEX('CARNET DE SOUDURE'!$S$7:$S$3006,MATCH(192,'CARNET DE SOUDURE'!$AV$7:$AV$3006,0)),"")&amp;IF(INDEX('CARNET DE SOUDURE'!$T$7:$T$3006,MATCH(192,'CARNET DE SOUDURE'!$AV$7:$AV$3006,0))&lt;&gt;""," / "&amp;INDEX('CARNET DE SOUDURE'!$T$7:$T$3006,MATCH(192,'CARNET DE SOUDURE'!$AV$7:$AV$3006,0)),""))</f>
        <v/>
      </c>
      <c r="F203" s="131" t="str">
        <f aca="false">IF($B203="","",INDEX('CARNET DE SOUDURE'!$Y$7:$Y$3006,MATCH(192,'CARNET DE SOUDURE'!$AV$7:$AV$3006,0)))</f>
        <v/>
      </c>
      <c r="G203" s="130" t="str">
        <f aca="false">IF($B203="","",INDEX('CARNET DE SOUDURE'!$Z$7:$Z$3006,MATCH(192,'CARNET DE SOUDURE'!$AV$7:$AV$3006,0))&amp;"")</f>
        <v/>
      </c>
      <c r="H203" s="132" t="str">
        <f aca="false">IF($B203="","",INDEX('CARNET DE SOUDURE'!$AA$7:$AA$3006,MATCH(192,'CARNET DE SOUDURE'!$AV$7:$AV$3006,0)))</f>
        <v/>
      </c>
      <c r="I203" s="130" t="str">
        <f aca="false">IF($B203="","",INDEX('CARNET DE SOUDURE'!$AB$7:$AB$3006,MATCH(192,'CARNET DE SOUDURE'!$AV$7:$AV$3006,0))&amp;"")</f>
        <v/>
      </c>
      <c r="J203" s="130" t="str">
        <f aca="false">IF($B203="","",INDEX('CARNET DE SOUDURE'!$AC$7:$AC$3006,MATCH(192,'CARNET DE SOUDURE'!$AV$7:$AV$3006,0))&amp;IF(INDEX('CARNET DE SOUDURE'!$AH$7:$AH$3006,MATCH(192,'CARNET DE SOUDURE'!$AV$7:$AV$3006,0))&lt;&gt;""," / "&amp;INDEX('CARNET DE SOUDURE'!$AH$7:$AH$3006,MATCH(192,'CARNET DE SOUDURE'!$AV$7:$AV$3006,0)),""))</f>
        <v/>
      </c>
      <c r="K203" s="130" t="str">
        <f aca="false">IF($B203="","",INDEX('CARNET DE SOUDURE'!$AD$7:$AD$3006,MATCH(192,'CARNET DE SOUDURE'!$AV$7:$AV$3006,0))&amp;IF(INDEX('CARNET DE SOUDURE'!$AI$7:$AI$3006,MATCH(192,'CARNET DE SOUDURE'!$AV$7:$AV$3006,0))&lt;&gt;""," / "&amp;INDEX('CARNET DE SOUDURE'!$AI$7:$AI$3006,MATCH(192,'CARNET DE SOUDURE'!$AV$7:$AV$3006,0)),""))</f>
        <v/>
      </c>
      <c r="L203" s="130" t="str">
        <f aca="false">IF($B203="","",INDEX('CARNET DE SOUDURE'!$AG$7:$AG$3006,MATCH(192,'CARNET DE SOUDURE'!$AV$7:$AV$3006,0))&amp;IF(INDEX('CARNET DE SOUDURE'!$AL$7:$AL$3006,MATCH(192,'CARNET DE SOUDURE'!$AV$7:$AV$3006,0))&lt;&gt;""," / "&amp;INDEX('CARNET DE SOUDURE'!$AL$7:$AL$3006,MATCH(192,'CARNET DE SOUDURE'!$AV$7:$AV$3006,0)),""))</f>
        <v/>
      </c>
      <c r="M203" s="132" t="str">
        <f aca="false">IF($B203="","",INDEX('CARNET DE SOUDURE'!$AP$7:$AP$3006,MATCH(192,'CARNET DE SOUDURE'!$AV$7:$AV$3006,0)))</f>
        <v/>
      </c>
      <c r="N203" s="132" t="str">
        <f aca="false">IF($B203="","",INDEX('CARNET DE SOUDURE'!$AQ$7:$AQ$3006,MATCH(192,'CARNET DE SOUDURE'!$AV$7:$AV$3006,0)))</f>
        <v/>
      </c>
      <c r="O203" s="133" t="str">
        <f aca="false">IF($B203="","",INDEX('CARNET DE SOUDURE'!$AR$7:$AR$3006,MATCH(192,'CARNET DE SOUDURE'!$AV$7:$AV$3006,0)))</f>
        <v/>
      </c>
    </row>
    <row r="204" customFormat="false" ht="15" hidden="false" customHeight="false" outlineLevel="0" collapsed="false">
      <c r="B204" s="125" t="str">
        <f aca="false">IF(193&gt;$I$4,"",193)</f>
        <v/>
      </c>
      <c r="C204" s="125" t="str">
        <f aca="false">IF($B204="","",INDEX('CARNET DE SOUDURE'!$B$7:$B$3006,MATCH(193,'CARNET DE SOUDURE'!$AV$7:$AV$3006,0)))</f>
        <v/>
      </c>
      <c r="D204" s="125" t="str">
        <f aca="false">IF($B204="","",INDEX('CARNET DE SOUDURE'!$E$7:$E$3006,MATCH(193,'CARNET DE SOUDURE'!$AV$7:$AV$3006,0)))</f>
        <v/>
      </c>
      <c r="E204" s="125" t="str">
        <f aca="false">IF($B204="","",INDEX('CARNET DE SOUDURE'!$R$7:$R$3006,MATCH(193,'CARNET DE SOUDURE'!$AV$7:$AV$3006,0))&amp;IF(INDEX('CARNET DE SOUDURE'!$S$7:$S$3006,MATCH(193,'CARNET DE SOUDURE'!$AV$7:$AV$3006,0))&lt;&gt;""," / "&amp;INDEX('CARNET DE SOUDURE'!$S$7:$S$3006,MATCH(193,'CARNET DE SOUDURE'!$AV$7:$AV$3006,0)),"")&amp;IF(INDEX('CARNET DE SOUDURE'!$T$7:$T$3006,MATCH(193,'CARNET DE SOUDURE'!$AV$7:$AV$3006,0))&lt;&gt;""," / "&amp;INDEX('CARNET DE SOUDURE'!$T$7:$T$3006,MATCH(193,'CARNET DE SOUDURE'!$AV$7:$AV$3006,0)),""))</f>
        <v/>
      </c>
      <c r="F204" s="126" t="str">
        <f aca="false">IF($B204="","",INDEX('CARNET DE SOUDURE'!$Y$7:$Y$3006,MATCH(193,'CARNET DE SOUDURE'!$AV$7:$AV$3006,0)))</f>
        <v/>
      </c>
      <c r="G204" s="125" t="str">
        <f aca="false">IF($B204="","",INDEX('CARNET DE SOUDURE'!$Z$7:$Z$3006,MATCH(193,'CARNET DE SOUDURE'!$AV$7:$AV$3006,0))&amp;"")</f>
        <v/>
      </c>
      <c r="H204" s="127" t="str">
        <f aca="false">IF($B204="","",INDEX('CARNET DE SOUDURE'!$AA$7:$AA$3006,MATCH(193,'CARNET DE SOUDURE'!$AV$7:$AV$3006,0)))</f>
        <v/>
      </c>
      <c r="I204" s="125" t="str">
        <f aca="false">IF($B204="","",INDEX('CARNET DE SOUDURE'!$AB$7:$AB$3006,MATCH(193,'CARNET DE SOUDURE'!$AV$7:$AV$3006,0))&amp;"")</f>
        <v/>
      </c>
      <c r="J204" s="125" t="str">
        <f aca="false">IF($B204="","",INDEX('CARNET DE SOUDURE'!$AC$7:$AC$3006,MATCH(193,'CARNET DE SOUDURE'!$AV$7:$AV$3006,0))&amp;IF(INDEX('CARNET DE SOUDURE'!$AH$7:$AH$3006,MATCH(193,'CARNET DE SOUDURE'!$AV$7:$AV$3006,0))&lt;&gt;""," / "&amp;INDEX('CARNET DE SOUDURE'!$AH$7:$AH$3006,MATCH(193,'CARNET DE SOUDURE'!$AV$7:$AV$3006,0)),""))</f>
        <v/>
      </c>
      <c r="K204" s="125" t="str">
        <f aca="false">IF($B204="","",INDEX('CARNET DE SOUDURE'!$AD$7:$AD$3006,MATCH(193,'CARNET DE SOUDURE'!$AV$7:$AV$3006,0))&amp;IF(INDEX('CARNET DE SOUDURE'!$AI$7:$AI$3006,MATCH(193,'CARNET DE SOUDURE'!$AV$7:$AV$3006,0))&lt;&gt;""," / "&amp;INDEX('CARNET DE SOUDURE'!$AI$7:$AI$3006,MATCH(193,'CARNET DE SOUDURE'!$AV$7:$AV$3006,0)),""))</f>
        <v/>
      </c>
      <c r="L204" s="125" t="str">
        <f aca="false">IF($B204="","",INDEX('CARNET DE SOUDURE'!$AG$7:$AG$3006,MATCH(193,'CARNET DE SOUDURE'!$AV$7:$AV$3006,0))&amp;IF(INDEX('CARNET DE SOUDURE'!$AL$7:$AL$3006,MATCH(193,'CARNET DE SOUDURE'!$AV$7:$AV$3006,0))&lt;&gt;""," / "&amp;INDEX('CARNET DE SOUDURE'!$AL$7:$AL$3006,MATCH(193,'CARNET DE SOUDURE'!$AV$7:$AV$3006,0)),""))</f>
        <v/>
      </c>
      <c r="M204" s="127" t="str">
        <f aca="false">IF($B204="","",INDEX('CARNET DE SOUDURE'!$AP$7:$AP$3006,MATCH(193,'CARNET DE SOUDURE'!$AV$7:$AV$3006,0)))</f>
        <v/>
      </c>
      <c r="N204" s="127" t="str">
        <f aca="false">IF($B204="","",INDEX('CARNET DE SOUDURE'!$AQ$7:$AQ$3006,MATCH(193,'CARNET DE SOUDURE'!$AV$7:$AV$3006,0)))</f>
        <v/>
      </c>
      <c r="O204" s="128" t="str">
        <f aca="false">IF($B204="","",INDEX('CARNET DE SOUDURE'!$AR$7:$AR$3006,MATCH(193,'CARNET DE SOUDURE'!$AV$7:$AV$3006,0)))</f>
        <v/>
      </c>
    </row>
    <row r="205" customFormat="false" ht="15" hidden="false" customHeight="false" outlineLevel="0" collapsed="false">
      <c r="B205" s="130" t="str">
        <f aca="false">IF(194&gt;$I$4,"",194)</f>
        <v/>
      </c>
      <c r="C205" s="130" t="str">
        <f aca="false">IF($B205="","",INDEX('CARNET DE SOUDURE'!$B$7:$B$3006,MATCH(194,'CARNET DE SOUDURE'!$AV$7:$AV$3006,0)))</f>
        <v/>
      </c>
      <c r="D205" s="130" t="str">
        <f aca="false">IF($B205="","",INDEX('CARNET DE SOUDURE'!$E$7:$E$3006,MATCH(194,'CARNET DE SOUDURE'!$AV$7:$AV$3006,0)))</f>
        <v/>
      </c>
      <c r="E205" s="130" t="str">
        <f aca="false">IF($B205="","",INDEX('CARNET DE SOUDURE'!$R$7:$R$3006,MATCH(194,'CARNET DE SOUDURE'!$AV$7:$AV$3006,0))&amp;IF(INDEX('CARNET DE SOUDURE'!$S$7:$S$3006,MATCH(194,'CARNET DE SOUDURE'!$AV$7:$AV$3006,0))&lt;&gt;""," / "&amp;INDEX('CARNET DE SOUDURE'!$S$7:$S$3006,MATCH(194,'CARNET DE SOUDURE'!$AV$7:$AV$3006,0)),"")&amp;IF(INDEX('CARNET DE SOUDURE'!$T$7:$T$3006,MATCH(194,'CARNET DE SOUDURE'!$AV$7:$AV$3006,0))&lt;&gt;""," / "&amp;INDEX('CARNET DE SOUDURE'!$T$7:$T$3006,MATCH(194,'CARNET DE SOUDURE'!$AV$7:$AV$3006,0)),""))</f>
        <v/>
      </c>
      <c r="F205" s="131" t="str">
        <f aca="false">IF($B205="","",INDEX('CARNET DE SOUDURE'!$Y$7:$Y$3006,MATCH(194,'CARNET DE SOUDURE'!$AV$7:$AV$3006,0)))</f>
        <v/>
      </c>
      <c r="G205" s="130" t="str">
        <f aca="false">IF($B205="","",INDEX('CARNET DE SOUDURE'!$Z$7:$Z$3006,MATCH(194,'CARNET DE SOUDURE'!$AV$7:$AV$3006,0))&amp;"")</f>
        <v/>
      </c>
      <c r="H205" s="132" t="str">
        <f aca="false">IF($B205="","",INDEX('CARNET DE SOUDURE'!$AA$7:$AA$3006,MATCH(194,'CARNET DE SOUDURE'!$AV$7:$AV$3006,0)))</f>
        <v/>
      </c>
      <c r="I205" s="130" t="str">
        <f aca="false">IF($B205="","",INDEX('CARNET DE SOUDURE'!$AB$7:$AB$3006,MATCH(194,'CARNET DE SOUDURE'!$AV$7:$AV$3006,0))&amp;"")</f>
        <v/>
      </c>
      <c r="J205" s="130" t="str">
        <f aca="false">IF($B205="","",INDEX('CARNET DE SOUDURE'!$AC$7:$AC$3006,MATCH(194,'CARNET DE SOUDURE'!$AV$7:$AV$3006,0))&amp;IF(INDEX('CARNET DE SOUDURE'!$AH$7:$AH$3006,MATCH(194,'CARNET DE SOUDURE'!$AV$7:$AV$3006,0))&lt;&gt;""," / "&amp;INDEX('CARNET DE SOUDURE'!$AH$7:$AH$3006,MATCH(194,'CARNET DE SOUDURE'!$AV$7:$AV$3006,0)),""))</f>
        <v/>
      </c>
      <c r="K205" s="130" t="str">
        <f aca="false">IF($B205="","",INDEX('CARNET DE SOUDURE'!$AD$7:$AD$3006,MATCH(194,'CARNET DE SOUDURE'!$AV$7:$AV$3006,0))&amp;IF(INDEX('CARNET DE SOUDURE'!$AI$7:$AI$3006,MATCH(194,'CARNET DE SOUDURE'!$AV$7:$AV$3006,0))&lt;&gt;""," / "&amp;INDEX('CARNET DE SOUDURE'!$AI$7:$AI$3006,MATCH(194,'CARNET DE SOUDURE'!$AV$7:$AV$3006,0)),""))</f>
        <v/>
      </c>
      <c r="L205" s="130" t="str">
        <f aca="false">IF($B205="","",INDEX('CARNET DE SOUDURE'!$AG$7:$AG$3006,MATCH(194,'CARNET DE SOUDURE'!$AV$7:$AV$3006,0))&amp;IF(INDEX('CARNET DE SOUDURE'!$AL$7:$AL$3006,MATCH(194,'CARNET DE SOUDURE'!$AV$7:$AV$3006,0))&lt;&gt;""," / "&amp;INDEX('CARNET DE SOUDURE'!$AL$7:$AL$3006,MATCH(194,'CARNET DE SOUDURE'!$AV$7:$AV$3006,0)),""))</f>
        <v/>
      </c>
      <c r="M205" s="132" t="str">
        <f aca="false">IF($B205="","",INDEX('CARNET DE SOUDURE'!$AP$7:$AP$3006,MATCH(194,'CARNET DE SOUDURE'!$AV$7:$AV$3006,0)))</f>
        <v/>
      </c>
      <c r="N205" s="132" t="str">
        <f aca="false">IF($B205="","",INDEX('CARNET DE SOUDURE'!$AQ$7:$AQ$3006,MATCH(194,'CARNET DE SOUDURE'!$AV$7:$AV$3006,0)))</f>
        <v/>
      </c>
      <c r="O205" s="133" t="str">
        <f aca="false">IF($B205="","",INDEX('CARNET DE SOUDURE'!$AR$7:$AR$3006,MATCH(194,'CARNET DE SOUDURE'!$AV$7:$AV$3006,0)))</f>
        <v/>
      </c>
    </row>
    <row r="206" customFormat="false" ht="15" hidden="false" customHeight="false" outlineLevel="0" collapsed="false">
      <c r="B206" s="125" t="str">
        <f aca="false">IF(195&gt;$I$4,"",195)</f>
        <v/>
      </c>
      <c r="C206" s="125" t="str">
        <f aca="false">IF($B206="","",INDEX('CARNET DE SOUDURE'!$B$7:$B$3006,MATCH(195,'CARNET DE SOUDURE'!$AV$7:$AV$3006,0)))</f>
        <v/>
      </c>
      <c r="D206" s="125" t="str">
        <f aca="false">IF($B206="","",INDEX('CARNET DE SOUDURE'!$E$7:$E$3006,MATCH(195,'CARNET DE SOUDURE'!$AV$7:$AV$3006,0)))</f>
        <v/>
      </c>
      <c r="E206" s="125" t="str">
        <f aca="false">IF($B206="","",INDEX('CARNET DE SOUDURE'!$R$7:$R$3006,MATCH(195,'CARNET DE SOUDURE'!$AV$7:$AV$3006,0))&amp;IF(INDEX('CARNET DE SOUDURE'!$S$7:$S$3006,MATCH(195,'CARNET DE SOUDURE'!$AV$7:$AV$3006,0))&lt;&gt;""," / "&amp;INDEX('CARNET DE SOUDURE'!$S$7:$S$3006,MATCH(195,'CARNET DE SOUDURE'!$AV$7:$AV$3006,0)),"")&amp;IF(INDEX('CARNET DE SOUDURE'!$T$7:$T$3006,MATCH(195,'CARNET DE SOUDURE'!$AV$7:$AV$3006,0))&lt;&gt;""," / "&amp;INDEX('CARNET DE SOUDURE'!$T$7:$T$3006,MATCH(195,'CARNET DE SOUDURE'!$AV$7:$AV$3006,0)),""))</f>
        <v/>
      </c>
      <c r="F206" s="126" t="str">
        <f aca="false">IF($B206="","",INDEX('CARNET DE SOUDURE'!$Y$7:$Y$3006,MATCH(195,'CARNET DE SOUDURE'!$AV$7:$AV$3006,0)))</f>
        <v/>
      </c>
      <c r="G206" s="125" t="str">
        <f aca="false">IF($B206="","",INDEX('CARNET DE SOUDURE'!$Z$7:$Z$3006,MATCH(195,'CARNET DE SOUDURE'!$AV$7:$AV$3006,0))&amp;"")</f>
        <v/>
      </c>
      <c r="H206" s="127" t="str">
        <f aca="false">IF($B206="","",INDEX('CARNET DE SOUDURE'!$AA$7:$AA$3006,MATCH(195,'CARNET DE SOUDURE'!$AV$7:$AV$3006,0)))</f>
        <v/>
      </c>
      <c r="I206" s="125" t="str">
        <f aca="false">IF($B206="","",INDEX('CARNET DE SOUDURE'!$AB$7:$AB$3006,MATCH(195,'CARNET DE SOUDURE'!$AV$7:$AV$3006,0))&amp;"")</f>
        <v/>
      </c>
      <c r="J206" s="125" t="str">
        <f aca="false">IF($B206="","",INDEX('CARNET DE SOUDURE'!$AC$7:$AC$3006,MATCH(195,'CARNET DE SOUDURE'!$AV$7:$AV$3006,0))&amp;IF(INDEX('CARNET DE SOUDURE'!$AH$7:$AH$3006,MATCH(195,'CARNET DE SOUDURE'!$AV$7:$AV$3006,0))&lt;&gt;""," / "&amp;INDEX('CARNET DE SOUDURE'!$AH$7:$AH$3006,MATCH(195,'CARNET DE SOUDURE'!$AV$7:$AV$3006,0)),""))</f>
        <v/>
      </c>
      <c r="K206" s="125" t="str">
        <f aca="false">IF($B206="","",INDEX('CARNET DE SOUDURE'!$AD$7:$AD$3006,MATCH(195,'CARNET DE SOUDURE'!$AV$7:$AV$3006,0))&amp;IF(INDEX('CARNET DE SOUDURE'!$AI$7:$AI$3006,MATCH(195,'CARNET DE SOUDURE'!$AV$7:$AV$3006,0))&lt;&gt;""," / "&amp;INDEX('CARNET DE SOUDURE'!$AI$7:$AI$3006,MATCH(195,'CARNET DE SOUDURE'!$AV$7:$AV$3006,0)),""))</f>
        <v/>
      </c>
      <c r="L206" s="125" t="str">
        <f aca="false">IF($B206="","",INDEX('CARNET DE SOUDURE'!$AG$7:$AG$3006,MATCH(195,'CARNET DE SOUDURE'!$AV$7:$AV$3006,0))&amp;IF(INDEX('CARNET DE SOUDURE'!$AL$7:$AL$3006,MATCH(195,'CARNET DE SOUDURE'!$AV$7:$AV$3006,0))&lt;&gt;""," / "&amp;INDEX('CARNET DE SOUDURE'!$AL$7:$AL$3006,MATCH(195,'CARNET DE SOUDURE'!$AV$7:$AV$3006,0)),""))</f>
        <v/>
      </c>
      <c r="M206" s="127" t="str">
        <f aca="false">IF($B206="","",INDEX('CARNET DE SOUDURE'!$AP$7:$AP$3006,MATCH(195,'CARNET DE SOUDURE'!$AV$7:$AV$3006,0)))</f>
        <v/>
      </c>
      <c r="N206" s="127" t="str">
        <f aca="false">IF($B206="","",INDEX('CARNET DE SOUDURE'!$AQ$7:$AQ$3006,MATCH(195,'CARNET DE SOUDURE'!$AV$7:$AV$3006,0)))</f>
        <v/>
      </c>
      <c r="O206" s="128" t="str">
        <f aca="false">IF($B206="","",INDEX('CARNET DE SOUDURE'!$AR$7:$AR$3006,MATCH(195,'CARNET DE SOUDURE'!$AV$7:$AV$3006,0)))</f>
        <v/>
      </c>
    </row>
    <row r="207" customFormat="false" ht="15" hidden="false" customHeight="false" outlineLevel="0" collapsed="false">
      <c r="B207" s="130" t="str">
        <f aca="false">IF(196&gt;$I$4,"",196)</f>
        <v/>
      </c>
      <c r="C207" s="130" t="str">
        <f aca="false">IF($B207="","",INDEX('CARNET DE SOUDURE'!$B$7:$B$3006,MATCH(196,'CARNET DE SOUDURE'!$AV$7:$AV$3006,0)))</f>
        <v/>
      </c>
      <c r="D207" s="130" t="str">
        <f aca="false">IF($B207="","",INDEX('CARNET DE SOUDURE'!$E$7:$E$3006,MATCH(196,'CARNET DE SOUDURE'!$AV$7:$AV$3006,0)))</f>
        <v/>
      </c>
      <c r="E207" s="130" t="str">
        <f aca="false">IF($B207="","",INDEX('CARNET DE SOUDURE'!$R$7:$R$3006,MATCH(196,'CARNET DE SOUDURE'!$AV$7:$AV$3006,0))&amp;IF(INDEX('CARNET DE SOUDURE'!$S$7:$S$3006,MATCH(196,'CARNET DE SOUDURE'!$AV$7:$AV$3006,0))&lt;&gt;""," / "&amp;INDEX('CARNET DE SOUDURE'!$S$7:$S$3006,MATCH(196,'CARNET DE SOUDURE'!$AV$7:$AV$3006,0)),"")&amp;IF(INDEX('CARNET DE SOUDURE'!$T$7:$T$3006,MATCH(196,'CARNET DE SOUDURE'!$AV$7:$AV$3006,0))&lt;&gt;""," / "&amp;INDEX('CARNET DE SOUDURE'!$T$7:$T$3006,MATCH(196,'CARNET DE SOUDURE'!$AV$7:$AV$3006,0)),""))</f>
        <v/>
      </c>
      <c r="F207" s="131" t="str">
        <f aca="false">IF($B207="","",INDEX('CARNET DE SOUDURE'!$Y$7:$Y$3006,MATCH(196,'CARNET DE SOUDURE'!$AV$7:$AV$3006,0)))</f>
        <v/>
      </c>
      <c r="G207" s="130" t="str">
        <f aca="false">IF($B207="","",INDEX('CARNET DE SOUDURE'!$Z$7:$Z$3006,MATCH(196,'CARNET DE SOUDURE'!$AV$7:$AV$3006,0))&amp;"")</f>
        <v/>
      </c>
      <c r="H207" s="132" t="str">
        <f aca="false">IF($B207="","",INDEX('CARNET DE SOUDURE'!$AA$7:$AA$3006,MATCH(196,'CARNET DE SOUDURE'!$AV$7:$AV$3006,0)))</f>
        <v/>
      </c>
      <c r="I207" s="130" t="str">
        <f aca="false">IF($B207="","",INDEX('CARNET DE SOUDURE'!$AB$7:$AB$3006,MATCH(196,'CARNET DE SOUDURE'!$AV$7:$AV$3006,0))&amp;"")</f>
        <v/>
      </c>
      <c r="J207" s="130" t="str">
        <f aca="false">IF($B207="","",INDEX('CARNET DE SOUDURE'!$AC$7:$AC$3006,MATCH(196,'CARNET DE SOUDURE'!$AV$7:$AV$3006,0))&amp;IF(INDEX('CARNET DE SOUDURE'!$AH$7:$AH$3006,MATCH(196,'CARNET DE SOUDURE'!$AV$7:$AV$3006,0))&lt;&gt;""," / "&amp;INDEX('CARNET DE SOUDURE'!$AH$7:$AH$3006,MATCH(196,'CARNET DE SOUDURE'!$AV$7:$AV$3006,0)),""))</f>
        <v/>
      </c>
      <c r="K207" s="130" t="str">
        <f aca="false">IF($B207="","",INDEX('CARNET DE SOUDURE'!$AD$7:$AD$3006,MATCH(196,'CARNET DE SOUDURE'!$AV$7:$AV$3006,0))&amp;IF(INDEX('CARNET DE SOUDURE'!$AI$7:$AI$3006,MATCH(196,'CARNET DE SOUDURE'!$AV$7:$AV$3006,0))&lt;&gt;""," / "&amp;INDEX('CARNET DE SOUDURE'!$AI$7:$AI$3006,MATCH(196,'CARNET DE SOUDURE'!$AV$7:$AV$3006,0)),""))</f>
        <v/>
      </c>
      <c r="L207" s="130" t="str">
        <f aca="false">IF($B207="","",INDEX('CARNET DE SOUDURE'!$AG$7:$AG$3006,MATCH(196,'CARNET DE SOUDURE'!$AV$7:$AV$3006,0))&amp;IF(INDEX('CARNET DE SOUDURE'!$AL$7:$AL$3006,MATCH(196,'CARNET DE SOUDURE'!$AV$7:$AV$3006,0))&lt;&gt;""," / "&amp;INDEX('CARNET DE SOUDURE'!$AL$7:$AL$3006,MATCH(196,'CARNET DE SOUDURE'!$AV$7:$AV$3006,0)),""))</f>
        <v/>
      </c>
      <c r="M207" s="132" t="str">
        <f aca="false">IF($B207="","",INDEX('CARNET DE SOUDURE'!$AP$7:$AP$3006,MATCH(196,'CARNET DE SOUDURE'!$AV$7:$AV$3006,0)))</f>
        <v/>
      </c>
      <c r="N207" s="132" t="str">
        <f aca="false">IF($B207="","",INDEX('CARNET DE SOUDURE'!$AQ$7:$AQ$3006,MATCH(196,'CARNET DE SOUDURE'!$AV$7:$AV$3006,0)))</f>
        <v/>
      </c>
      <c r="O207" s="133" t="str">
        <f aca="false">IF($B207="","",INDEX('CARNET DE SOUDURE'!$AR$7:$AR$3006,MATCH(196,'CARNET DE SOUDURE'!$AV$7:$AV$3006,0)))</f>
        <v/>
      </c>
    </row>
    <row r="208" customFormat="false" ht="15" hidden="false" customHeight="false" outlineLevel="0" collapsed="false">
      <c r="B208" s="125" t="str">
        <f aca="false">IF(197&gt;$I$4,"",197)</f>
        <v/>
      </c>
      <c r="C208" s="125" t="str">
        <f aca="false">IF($B208="","",INDEX('CARNET DE SOUDURE'!$B$7:$B$3006,MATCH(197,'CARNET DE SOUDURE'!$AV$7:$AV$3006,0)))</f>
        <v/>
      </c>
      <c r="D208" s="125" t="str">
        <f aca="false">IF($B208="","",INDEX('CARNET DE SOUDURE'!$E$7:$E$3006,MATCH(197,'CARNET DE SOUDURE'!$AV$7:$AV$3006,0)))</f>
        <v/>
      </c>
      <c r="E208" s="125" t="str">
        <f aca="false">IF($B208="","",INDEX('CARNET DE SOUDURE'!$R$7:$R$3006,MATCH(197,'CARNET DE SOUDURE'!$AV$7:$AV$3006,0))&amp;IF(INDEX('CARNET DE SOUDURE'!$S$7:$S$3006,MATCH(197,'CARNET DE SOUDURE'!$AV$7:$AV$3006,0))&lt;&gt;""," / "&amp;INDEX('CARNET DE SOUDURE'!$S$7:$S$3006,MATCH(197,'CARNET DE SOUDURE'!$AV$7:$AV$3006,0)),"")&amp;IF(INDEX('CARNET DE SOUDURE'!$T$7:$T$3006,MATCH(197,'CARNET DE SOUDURE'!$AV$7:$AV$3006,0))&lt;&gt;""," / "&amp;INDEX('CARNET DE SOUDURE'!$T$7:$T$3006,MATCH(197,'CARNET DE SOUDURE'!$AV$7:$AV$3006,0)),""))</f>
        <v/>
      </c>
      <c r="F208" s="126" t="str">
        <f aca="false">IF($B208="","",INDEX('CARNET DE SOUDURE'!$Y$7:$Y$3006,MATCH(197,'CARNET DE SOUDURE'!$AV$7:$AV$3006,0)))</f>
        <v/>
      </c>
      <c r="G208" s="125" t="str">
        <f aca="false">IF($B208="","",INDEX('CARNET DE SOUDURE'!$Z$7:$Z$3006,MATCH(197,'CARNET DE SOUDURE'!$AV$7:$AV$3006,0))&amp;"")</f>
        <v/>
      </c>
      <c r="H208" s="127" t="str">
        <f aca="false">IF($B208="","",INDEX('CARNET DE SOUDURE'!$AA$7:$AA$3006,MATCH(197,'CARNET DE SOUDURE'!$AV$7:$AV$3006,0)))</f>
        <v/>
      </c>
      <c r="I208" s="125" t="str">
        <f aca="false">IF($B208="","",INDEX('CARNET DE SOUDURE'!$AB$7:$AB$3006,MATCH(197,'CARNET DE SOUDURE'!$AV$7:$AV$3006,0))&amp;"")</f>
        <v/>
      </c>
      <c r="J208" s="125" t="str">
        <f aca="false">IF($B208="","",INDEX('CARNET DE SOUDURE'!$AC$7:$AC$3006,MATCH(197,'CARNET DE SOUDURE'!$AV$7:$AV$3006,0))&amp;IF(INDEX('CARNET DE SOUDURE'!$AH$7:$AH$3006,MATCH(197,'CARNET DE SOUDURE'!$AV$7:$AV$3006,0))&lt;&gt;""," / "&amp;INDEX('CARNET DE SOUDURE'!$AH$7:$AH$3006,MATCH(197,'CARNET DE SOUDURE'!$AV$7:$AV$3006,0)),""))</f>
        <v/>
      </c>
      <c r="K208" s="125" t="str">
        <f aca="false">IF($B208="","",INDEX('CARNET DE SOUDURE'!$AD$7:$AD$3006,MATCH(197,'CARNET DE SOUDURE'!$AV$7:$AV$3006,0))&amp;IF(INDEX('CARNET DE SOUDURE'!$AI$7:$AI$3006,MATCH(197,'CARNET DE SOUDURE'!$AV$7:$AV$3006,0))&lt;&gt;""," / "&amp;INDEX('CARNET DE SOUDURE'!$AI$7:$AI$3006,MATCH(197,'CARNET DE SOUDURE'!$AV$7:$AV$3006,0)),""))</f>
        <v/>
      </c>
      <c r="L208" s="125" t="str">
        <f aca="false">IF($B208="","",INDEX('CARNET DE SOUDURE'!$AG$7:$AG$3006,MATCH(197,'CARNET DE SOUDURE'!$AV$7:$AV$3006,0))&amp;IF(INDEX('CARNET DE SOUDURE'!$AL$7:$AL$3006,MATCH(197,'CARNET DE SOUDURE'!$AV$7:$AV$3006,0))&lt;&gt;""," / "&amp;INDEX('CARNET DE SOUDURE'!$AL$7:$AL$3006,MATCH(197,'CARNET DE SOUDURE'!$AV$7:$AV$3006,0)),""))</f>
        <v/>
      </c>
      <c r="M208" s="127" t="str">
        <f aca="false">IF($B208="","",INDEX('CARNET DE SOUDURE'!$AP$7:$AP$3006,MATCH(197,'CARNET DE SOUDURE'!$AV$7:$AV$3006,0)))</f>
        <v/>
      </c>
      <c r="N208" s="127" t="str">
        <f aca="false">IF($B208="","",INDEX('CARNET DE SOUDURE'!$AQ$7:$AQ$3006,MATCH(197,'CARNET DE SOUDURE'!$AV$7:$AV$3006,0)))</f>
        <v/>
      </c>
      <c r="O208" s="128" t="str">
        <f aca="false">IF($B208="","",INDEX('CARNET DE SOUDURE'!$AR$7:$AR$3006,MATCH(197,'CARNET DE SOUDURE'!$AV$7:$AV$3006,0)))</f>
        <v/>
      </c>
    </row>
    <row r="209" customFormat="false" ht="15" hidden="false" customHeight="false" outlineLevel="0" collapsed="false">
      <c r="B209" s="130" t="str">
        <f aca="false">IF(198&gt;$I$4,"",198)</f>
        <v/>
      </c>
      <c r="C209" s="130" t="str">
        <f aca="false">IF($B209="","",INDEX('CARNET DE SOUDURE'!$B$7:$B$3006,MATCH(198,'CARNET DE SOUDURE'!$AV$7:$AV$3006,0)))</f>
        <v/>
      </c>
      <c r="D209" s="130" t="str">
        <f aca="false">IF($B209="","",INDEX('CARNET DE SOUDURE'!$E$7:$E$3006,MATCH(198,'CARNET DE SOUDURE'!$AV$7:$AV$3006,0)))</f>
        <v/>
      </c>
      <c r="E209" s="130" t="str">
        <f aca="false">IF($B209="","",INDEX('CARNET DE SOUDURE'!$R$7:$R$3006,MATCH(198,'CARNET DE SOUDURE'!$AV$7:$AV$3006,0))&amp;IF(INDEX('CARNET DE SOUDURE'!$S$7:$S$3006,MATCH(198,'CARNET DE SOUDURE'!$AV$7:$AV$3006,0))&lt;&gt;""," / "&amp;INDEX('CARNET DE SOUDURE'!$S$7:$S$3006,MATCH(198,'CARNET DE SOUDURE'!$AV$7:$AV$3006,0)),"")&amp;IF(INDEX('CARNET DE SOUDURE'!$T$7:$T$3006,MATCH(198,'CARNET DE SOUDURE'!$AV$7:$AV$3006,0))&lt;&gt;""," / "&amp;INDEX('CARNET DE SOUDURE'!$T$7:$T$3006,MATCH(198,'CARNET DE SOUDURE'!$AV$7:$AV$3006,0)),""))</f>
        <v/>
      </c>
      <c r="F209" s="131" t="str">
        <f aca="false">IF($B209="","",INDEX('CARNET DE SOUDURE'!$Y$7:$Y$3006,MATCH(198,'CARNET DE SOUDURE'!$AV$7:$AV$3006,0)))</f>
        <v/>
      </c>
      <c r="G209" s="130" t="str">
        <f aca="false">IF($B209="","",INDEX('CARNET DE SOUDURE'!$Z$7:$Z$3006,MATCH(198,'CARNET DE SOUDURE'!$AV$7:$AV$3006,0))&amp;"")</f>
        <v/>
      </c>
      <c r="H209" s="132" t="str">
        <f aca="false">IF($B209="","",INDEX('CARNET DE SOUDURE'!$AA$7:$AA$3006,MATCH(198,'CARNET DE SOUDURE'!$AV$7:$AV$3006,0)))</f>
        <v/>
      </c>
      <c r="I209" s="130" t="str">
        <f aca="false">IF($B209="","",INDEX('CARNET DE SOUDURE'!$AB$7:$AB$3006,MATCH(198,'CARNET DE SOUDURE'!$AV$7:$AV$3006,0))&amp;"")</f>
        <v/>
      </c>
      <c r="J209" s="130" t="str">
        <f aca="false">IF($B209="","",INDEX('CARNET DE SOUDURE'!$AC$7:$AC$3006,MATCH(198,'CARNET DE SOUDURE'!$AV$7:$AV$3006,0))&amp;IF(INDEX('CARNET DE SOUDURE'!$AH$7:$AH$3006,MATCH(198,'CARNET DE SOUDURE'!$AV$7:$AV$3006,0))&lt;&gt;""," / "&amp;INDEX('CARNET DE SOUDURE'!$AH$7:$AH$3006,MATCH(198,'CARNET DE SOUDURE'!$AV$7:$AV$3006,0)),""))</f>
        <v/>
      </c>
      <c r="K209" s="130" t="str">
        <f aca="false">IF($B209="","",INDEX('CARNET DE SOUDURE'!$AD$7:$AD$3006,MATCH(198,'CARNET DE SOUDURE'!$AV$7:$AV$3006,0))&amp;IF(INDEX('CARNET DE SOUDURE'!$AI$7:$AI$3006,MATCH(198,'CARNET DE SOUDURE'!$AV$7:$AV$3006,0))&lt;&gt;""," / "&amp;INDEX('CARNET DE SOUDURE'!$AI$7:$AI$3006,MATCH(198,'CARNET DE SOUDURE'!$AV$7:$AV$3006,0)),""))</f>
        <v/>
      </c>
      <c r="L209" s="130" t="str">
        <f aca="false">IF($B209="","",INDEX('CARNET DE SOUDURE'!$AG$7:$AG$3006,MATCH(198,'CARNET DE SOUDURE'!$AV$7:$AV$3006,0))&amp;IF(INDEX('CARNET DE SOUDURE'!$AL$7:$AL$3006,MATCH(198,'CARNET DE SOUDURE'!$AV$7:$AV$3006,0))&lt;&gt;""," / "&amp;INDEX('CARNET DE SOUDURE'!$AL$7:$AL$3006,MATCH(198,'CARNET DE SOUDURE'!$AV$7:$AV$3006,0)),""))</f>
        <v/>
      </c>
      <c r="M209" s="132" t="str">
        <f aca="false">IF($B209="","",INDEX('CARNET DE SOUDURE'!$AP$7:$AP$3006,MATCH(198,'CARNET DE SOUDURE'!$AV$7:$AV$3006,0)))</f>
        <v/>
      </c>
      <c r="N209" s="132" t="str">
        <f aca="false">IF($B209="","",INDEX('CARNET DE SOUDURE'!$AQ$7:$AQ$3006,MATCH(198,'CARNET DE SOUDURE'!$AV$7:$AV$3006,0)))</f>
        <v/>
      </c>
      <c r="O209" s="133" t="str">
        <f aca="false">IF($B209="","",INDEX('CARNET DE SOUDURE'!$AR$7:$AR$3006,MATCH(198,'CARNET DE SOUDURE'!$AV$7:$AV$3006,0)))</f>
        <v/>
      </c>
    </row>
    <row r="210" customFormat="false" ht="15" hidden="false" customHeight="false" outlineLevel="0" collapsed="false">
      <c r="B210" s="125" t="str">
        <f aca="false">IF(199&gt;$I$4,"",199)</f>
        <v/>
      </c>
      <c r="C210" s="125" t="str">
        <f aca="false">IF($B210="","",INDEX('CARNET DE SOUDURE'!$B$7:$B$3006,MATCH(199,'CARNET DE SOUDURE'!$AV$7:$AV$3006,0)))</f>
        <v/>
      </c>
      <c r="D210" s="125" t="str">
        <f aca="false">IF($B210="","",INDEX('CARNET DE SOUDURE'!$E$7:$E$3006,MATCH(199,'CARNET DE SOUDURE'!$AV$7:$AV$3006,0)))</f>
        <v/>
      </c>
      <c r="E210" s="125" t="str">
        <f aca="false">IF($B210="","",INDEX('CARNET DE SOUDURE'!$R$7:$R$3006,MATCH(199,'CARNET DE SOUDURE'!$AV$7:$AV$3006,0))&amp;IF(INDEX('CARNET DE SOUDURE'!$S$7:$S$3006,MATCH(199,'CARNET DE SOUDURE'!$AV$7:$AV$3006,0))&lt;&gt;""," / "&amp;INDEX('CARNET DE SOUDURE'!$S$7:$S$3006,MATCH(199,'CARNET DE SOUDURE'!$AV$7:$AV$3006,0)),"")&amp;IF(INDEX('CARNET DE SOUDURE'!$T$7:$T$3006,MATCH(199,'CARNET DE SOUDURE'!$AV$7:$AV$3006,0))&lt;&gt;""," / "&amp;INDEX('CARNET DE SOUDURE'!$T$7:$T$3006,MATCH(199,'CARNET DE SOUDURE'!$AV$7:$AV$3006,0)),""))</f>
        <v/>
      </c>
      <c r="F210" s="126" t="str">
        <f aca="false">IF($B210="","",INDEX('CARNET DE SOUDURE'!$Y$7:$Y$3006,MATCH(199,'CARNET DE SOUDURE'!$AV$7:$AV$3006,0)))</f>
        <v/>
      </c>
      <c r="G210" s="125" t="str">
        <f aca="false">IF($B210="","",INDEX('CARNET DE SOUDURE'!$Z$7:$Z$3006,MATCH(199,'CARNET DE SOUDURE'!$AV$7:$AV$3006,0))&amp;"")</f>
        <v/>
      </c>
      <c r="H210" s="127" t="str">
        <f aca="false">IF($B210="","",INDEX('CARNET DE SOUDURE'!$AA$7:$AA$3006,MATCH(199,'CARNET DE SOUDURE'!$AV$7:$AV$3006,0)))</f>
        <v/>
      </c>
      <c r="I210" s="125" t="str">
        <f aca="false">IF($B210="","",INDEX('CARNET DE SOUDURE'!$AB$7:$AB$3006,MATCH(199,'CARNET DE SOUDURE'!$AV$7:$AV$3006,0))&amp;"")</f>
        <v/>
      </c>
      <c r="J210" s="125" t="str">
        <f aca="false">IF($B210="","",INDEX('CARNET DE SOUDURE'!$AC$7:$AC$3006,MATCH(199,'CARNET DE SOUDURE'!$AV$7:$AV$3006,0))&amp;IF(INDEX('CARNET DE SOUDURE'!$AH$7:$AH$3006,MATCH(199,'CARNET DE SOUDURE'!$AV$7:$AV$3006,0))&lt;&gt;""," / "&amp;INDEX('CARNET DE SOUDURE'!$AH$7:$AH$3006,MATCH(199,'CARNET DE SOUDURE'!$AV$7:$AV$3006,0)),""))</f>
        <v/>
      </c>
      <c r="K210" s="125" t="str">
        <f aca="false">IF($B210="","",INDEX('CARNET DE SOUDURE'!$AD$7:$AD$3006,MATCH(199,'CARNET DE SOUDURE'!$AV$7:$AV$3006,0))&amp;IF(INDEX('CARNET DE SOUDURE'!$AI$7:$AI$3006,MATCH(199,'CARNET DE SOUDURE'!$AV$7:$AV$3006,0))&lt;&gt;""," / "&amp;INDEX('CARNET DE SOUDURE'!$AI$7:$AI$3006,MATCH(199,'CARNET DE SOUDURE'!$AV$7:$AV$3006,0)),""))</f>
        <v/>
      </c>
      <c r="L210" s="125" t="str">
        <f aca="false">IF($B210="","",INDEX('CARNET DE SOUDURE'!$AG$7:$AG$3006,MATCH(199,'CARNET DE SOUDURE'!$AV$7:$AV$3006,0))&amp;IF(INDEX('CARNET DE SOUDURE'!$AL$7:$AL$3006,MATCH(199,'CARNET DE SOUDURE'!$AV$7:$AV$3006,0))&lt;&gt;""," / "&amp;INDEX('CARNET DE SOUDURE'!$AL$7:$AL$3006,MATCH(199,'CARNET DE SOUDURE'!$AV$7:$AV$3006,0)),""))</f>
        <v/>
      </c>
      <c r="M210" s="127" t="str">
        <f aca="false">IF($B210="","",INDEX('CARNET DE SOUDURE'!$AP$7:$AP$3006,MATCH(199,'CARNET DE SOUDURE'!$AV$7:$AV$3006,0)))</f>
        <v/>
      </c>
      <c r="N210" s="127" t="str">
        <f aca="false">IF($B210="","",INDEX('CARNET DE SOUDURE'!$AQ$7:$AQ$3006,MATCH(199,'CARNET DE SOUDURE'!$AV$7:$AV$3006,0)))</f>
        <v/>
      </c>
      <c r="O210" s="128" t="str">
        <f aca="false">IF($B210="","",INDEX('CARNET DE SOUDURE'!$AR$7:$AR$3006,MATCH(199,'CARNET DE SOUDURE'!$AV$7:$AV$3006,0)))</f>
        <v/>
      </c>
    </row>
    <row r="211" customFormat="false" ht="15" hidden="false" customHeight="false" outlineLevel="0" collapsed="false">
      <c r="B211" s="130" t="str">
        <f aca="false">IF(200&gt;$I$4,"",200)</f>
        <v/>
      </c>
      <c r="C211" s="130" t="str">
        <f aca="false">IF($B211="","",INDEX('CARNET DE SOUDURE'!$B$7:$B$3006,MATCH(200,'CARNET DE SOUDURE'!$AV$7:$AV$3006,0)))</f>
        <v/>
      </c>
      <c r="D211" s="130" t="str">
        <f aca="false">IF($B211="","",INDEX('CARNET DE SOUDURE'!$E$7:$E$3006,MATCH(200,'CARNET DE SOUDURE'!$AV$7:$AV$3006,0)))</f>
        <v/>
      </c>
      <c r="E211" s="130" t="str">
        <f aca="false">IF($B211="","",INDEX('CARNET DE SOUDURE'!$R$7:$R$3006,MATCH(200,'CARNET DE SOUDURE'!$AV$7:$AV$3006,0))&amp;IF(INDEX('CARNET DE SOUDURE'!$S$7:$S$3006,MATCH(200,'CARNET DE SOUDURE'!$AV$7:$AV$3006,0))&lt;&gt;""," / "&amp;INDEX('CARNET DE SOUDURE'!$S$7:$S$3006,MATCH(200,'CARNET DE SOUDURE'!$AV$7:$AV$3006,0)),"")&amp;IF(INDEX('CARNET DE SOUDURE'!$T$7:$T$3006,MATCH(200,'CARNET DE SOUDURE'!$AV$7:$AV$3006,0))&lt;&gt;""," / "&amp;INDEX('CARNET DE SOUDURE'!$T$7:$T$3006,MATCH(200,'CARNET DE SOUDURE'!$AV$7:$AV$3006,0)),""))</f>
        <v/>
      </c>
      <c r="F211" s="131" t="str">
        <f aca="false">IF($B211="","",INDEX('CARNET DE SOUDURE'!$Y$7:$Y$3006,MATCH(200,'CARNET DE SOUDURE'!$AV$7:$AV$3006,0)))</f>
        <v/>
      </c>
      <c r="G211" s="130" t="str">
        <f aca="false">IF($B211="","",INDEX('CARNET DE SOUDURE'!$Z$7:$Z$3006,MATCH(200,'CARNET DE SOUDURE'!$AV$7:$AV$3006,0))&amp;"")</f>
        <v/>
      </c>
      <c r="H211" s="132" t="str">
        <f aca="false">IF($B211="","",INDEX('CARNET DE SOUDURE'!$AA$7:$AA$3006,MATCH(200,'CARNET DE SOUDURE'!$AV$7:$AV$3006,0)))</f>
        <v/>
      </c>
      <c r="I211" s="130" t="str">
        <f aca="false">IF($B211="","",INDEX('CARNET DE SOUDURE'!$AB$7:$AB$3006,MATCH(200,'CARNET DE SOUDURE'!$AV$7:$AV$3006,0))&amp;"")</f>
        <v/>
      </c>
      <c r="J211" s="130" t="str">
        <f aca="false">IF($B211="","",INDEX('CARNET DE SOUDURE'!$AC$7:$AC$3006,MATCH(200,'CARNET DE SOUDURE'!$AV$7:$AV$3006,0))&amp;IF(INDEX('CARNET DE SOUDURE'!$AH$7:$AH$3006,MATCH(200,'CARNET DE SOUDURE'!$AV$7:$AV$3006,0))&lt;&gt;""," / "&amp;INDEX('CARNET DE SOUDURE'!$AH$7:$AH$3006,MATCH(200,'CARNET DE SOUDURE'!$AV$7:$AV$3006,0)),""))</f>
        <v/>
      </c>
      <c r="K211" s="130" t="str">
        <f aca="false">IF($B211="","",INDEX('CARNET DE SOUDURE'!$AD$7:$AD$3006,MATCH(200,'CARNET DE SOUDURE'!$AV$7:$AV$3006,0))&amp;IF(INDEX('CARNET DE SOUDURE'!$AI$7:$AI$3006,MATCH(200,'CARNET DE SOUDURE'!$AV$7:$AV$3006,0))&lt;&gt;""," / "&amp;INDEX('CARNET DE SOUDURE'!$AI$7:$AI$3006,MATCH(200,'CARNET DE SOUDURE'!$AV$7:$AV$3006,0)),""))</f>
        <v/>
      </c>
      <c r="L211" s="130" t="str">
        <f aca="false">IF($B211="","",INDEX('CARNET DE SOUDURE'!$AG$7:$AG$3006,MATCH(200,'CARNET DE SOUDURE'!$AV$7:$AV$3006,0))&amp;IF(INDEX('CARNET DE SOUDURE'!$AL$7:$AL$3006,MATCH(200,'CARNET DE SOUDURE'!$AV$7:$AV$3006,0))&lt;&gt;""," / "&amp;INDEX('CARNET DE SOUDURE'!$AL$7:$AL$3006,MATCH(200,'CARNET DE SOUDURE'!$AV$7:$AV$3006,0)),""))</f>
        <v/>
      </c>
      <c r="M211" s="132" t="str">
        <f aca="false">IF($B211="","",INDEX('CARNET DE SOUDURE'!$AP$7:$AP$3006,MATCH(200,'CARNET DE SOUDURE'!$AV$7:$AV$3006,0)))</f>
        <v/>
      </c>
      <c r="N211" s="132" t="str">
        <f aca="false">IF($B211="","",INDEX('CARNET DE SOUDURE'!$AQ$7:$AQ$3006,MATCH(200,'CARNET DE SOUDURE'!$AV$7:$AV$3006,0)))</f>
        <v/>
      </c>
      <c r="O211" s="133" t="str">
        <f aca="false">IF($B211="","",INDEX('CARNET DE SOUDURE'!$AR$7:$AR$3006,MATCH(200,'CARNET DE SOUDURE'!$AV$7:$AV$3006,0)))</f>
        <v/>
      </c>
    </row>
    <row r="212" customFormat="false" ht="15" hidden="false" customHeight="false" outlineLevel="0" collapsed="false">
      <c r="B212" s="125" t="str">
        <f aca="false">IF(201&gt;$I$4,"",201)</f>
        <v/>
      </c>
      <c r="C212" s="125" t="str">
        <f aca="false">IF($B212="","",INDEX('CARNET DE SOUDURE'!$B$7:$B$3006,MATCH(201,'CARNET DE SOUDURE'!$AV$7:$AV$3006,0)))</f>
        <v/>
      </c>
      <c r="D212" s="125" t="str">
        <f aca="false">IF($B212="","",INDEX('CARNET DE SOUDURE'!$E$7:$E$3006,MATCH(201,'CARNET DE SOUDURE'!$AV$7:$AV$3006,0)))</f>
        <v/>
      </c>
      <c r="E212" s="125" t="str">
        <f aca="false">IF($B212="","",INDEX('CARNET DE SOUDURE'!$R$7:$R$3006,MATCH(201,'CARNET DE SOUDURE'!$AV$7:$AV$3006,0))&amp;IF(INDEX('CARNET DE SOUDURE'!$S$7:$S$3006,MATCH(201,'CARNET DE SOUDURE'!$AV$7:$AV$3006,0))&lt;&gt;""," / "&amp;INDEX('CARNET DE SOUDURE'!$S$7:$S$3006,MATCH(201,'CARNET DE SOUDURE'!$AV$7:$AV$3006,0)),"")&amp;IF(INDEX('CARNET DE SOUDURE'!$T$7:$T$3006,MATCH(201,'CARNET DE SOUDURE'!$AV$7:$AV$3006,0))&lt;&gt;""," / "&amp;INDEX('CARNET DE SOUDURE'!$T$7:$T$3006,MATCH(201,'CARNET DE SOUDURE'!$AV$7:$AV$3006,0)),""))</f>
        <v/>
      </c>
      <c r="F212" s="126" t="str">
        <f aca="false">IF($B212="","",INDEX('CARNET DE SOUDURE'!$Y$7:$Y$3006,MATCH(201,'CARNET DE SOUDURE'!$AV$7:$AV$3006,0)))</f>
        <v/>
      </c>
      <c r="G212" s="125" t="str">
        <f aca="false">IF($B212="","",INDEX('CARNET DE SOUDURE'!$Z$7:$Z$3006,MATCH(201,'CARNET DE SOUDURE'!$AV$7:$AV$3006,0))&amp;"")</f>
        <v/>
      </c>
      <c r="H212" s="127" t="str">
        <f aca="false">IF($B212="","",INDEX('CARNET DE SOUDURE'!$AA$7:$AA$3006,MATCH(201,'CARNET DE SOUDURE'!$AV$7:$AV$3006,0)))</f>
        <v/>
      </c>
      <c r="I212" s="125" t="str">
        <f aca="false">IF($B212="","",INDEX('CARNET DE SOUDURE'!$AB$7:$AB$3006,MATCH(201,'CARNET DE SOUDURE'!$AV$7:$AV$3006,0))&amp;"")</f>
        <v/>
      </c>
      <c r="J212" s="125" t="str">
        <f aca="false">IF($B212="","",INDEX('CARNET DE SOUDURE'!$AC$7:$AC$3006,MATCH(201,'CARNET DE SOUDURE'!$AV$7:$AV$3006,0))&amp;IF(INDEX('CARNET DE SOUDURE'!$AH$7:$AH$3006,MATCH(201,'CARNET DE SOUDURE'!$AV$7:$AV$3006,0))&lt;&gt;""," / "&amp;INDEX('CARNET DE SOUDURE'!$AH$7:$AH$3006,MATCH(201,'CARNET DE SOUDURE'!$AV$7:$AV$3006,0)),""))</f>
        <v/>
      </c>
      <c r="K212" s="125" t="str">
        <f aca="false">IF($B212="","",INDEX('CARNET DE SOUDURE'!$AD$7:$AD$3006,MATCH(201,'CARNET DE SOUDURE'!$AV$7:$AV$3006,0))&amp;IF(INDEX('CARNET DE SOUDURE'!$AI$7:$AI$3006,MATCH(201,'CARNET DE SOUDURE'!$AV$7:$AV$3006,0))&lt;&gt;""," / "&amp;INDEX('CARNET DE SOUDURE'!$AI$7:$AI$3006,MATCH(201,'CARNET DE SOUDURE'!$AV$7:$AV$3006,0)),""))</f>
        <v/>
      </c>
      <c r="L212" s="125" t="str">
        <f aca="false">IF($B212="","",INDEX('CARNET DE SOUDURE'!$AG$7:$AG$3006,MATCH(201,'CARNET DE SOUDURE'!$AV$7:$AV$3006,0))&amp;IF(INDEX('CARNET DE SOUDURE'!$AL$7:$AL$3006,MATCH(201,'CARNET DE SOUDURE'!$AV$7:$AV$3006,0))&lt;&gt;""," / "&amp;INDEX('CARNET DE SOUDURE'!$AL$7:$AL$3006,MATCH(201,'CARNET DE SOUDURE'!$AV$7:$AV$3006,0)),""))</f>
        <v/>
      </c>
      <c r="M212" s="127" t="str">
        <f aca="false">IF($B212="","",INDEX('CARNET DE SOUDURE'!$AP$7:$AP$3006,MATCH(201,'CARNET DE SOUDURE'!$AV$7:$AV$3006,0)))</f>
        <v/>
      </c>
      <c r="N212" s="127" t="str">
        <f aca="false">IF($B212="","",INDEX('CARNET DE SOUDURE'!$AQ$7:$AQ$3006,MATCH(201,'CARNET DE SOUDURE'!$AV$7:$AV$3006,0)))</f>
        <v/>
      </c>
      <c r="O212" s="128" t="str">
        <f aca="false">IF($B212="","",INDEX('CARNET DE SOUDURE'!$AR$7:$AR$3006,MATCH(201,'CARNET DE SOUDURE'!$AV$7:$AV$3006,0)))</f>
        <v/>
      </c>
    </row>
    <row r="213" customFormat="false" ht="15" hidden="false" customHeight="false" outlineLevel="0" collapsed="false">
      <c r="B213" s="130" t="str">
        <f aca="false">IF(202&gt;$I$4,"",202)</f>
        <v/>
      </c>
      <c r="C213" s="130" t="str">
        <f aca="false">IF($B213="","",INDEX('CARNET DE SOUDURE'!$B$7:$B$3006,MATCH(202,'CARNET DE SOUDURE'!$AV$7:$AV$3006,0)))</f>
        <v/>
      </c>
      <c r="D213" s="130" t="str">
        <f aca="false">IF($B213="","",INDEX('CARNET DE SOUDURE'!$E$7:$E$3006,MATCH(202,'CARNET DE SOUDURE'!$AV$7:$AV$3006,0)))</f>
        <v/>
      </c>
      <c r="E213" s="130" t="str">
        <f aca="false">IF($B213="","",INDEX('CARNET DE SOUDURE'!$R$7:$R$3006,MATCH(202,'CARNET DE SOUDURE'!$AV$7:$AV$3006,0))&amp;IF(INDEX('CARNET DE SOUDURE'!$S$7:$S$3006,MATCH(202,'CARNET DE SOUDURE'!$AV$7:$AV$3006,0))&lt;&gt;""," / "&amp;INDEX('CARNET DE SOUDURE'!$S$7:$S$3006,MATCH(202,'CARNET DE SOUDURE'!$AV$7:$AV$3006,0)),"")&amp;IF(INDEX('CARNET DE SOUDURE'!$T$7:$T$3006,MATCH(202,'CARNET DE SOUDURE'!$AV$7:$AV$3006,0))&lt;&gt;""," / "&amp;INDEX('CARNET DE SOUDURE'!$T$7:$T$3006,MATCH(202,'CARNET DE SOUDURE'!$AV$7:$AV$3006,0)),""))</f>
        <v/>
      </c>
      <c r="F213" s="131" t="str">
        <f aca="false">IF($B213="","",INDEX('CARNET DE SOUDURE'!$Y$7:$Y$3006,MATCH(202,'CARNET DE SOUDURE'!$AV$7:$AV$3006,0)))</f>
        <v/>
      </c>
      <c r="G213" s="130" t="str">
        <f aca="false">IF($B213="","",INDEX('CARNET DE SOUDURE'!$Z$7:$Z$3006,MATCH(202,'CARNET DE SOUDURE'!$AV$7:$AV$3006,0))&amp;"")</f>
        <v/>
      </c>
      <c r="H213" s="132" t="str">
        <f aca="false">IF($B213="","",INDEX('CARNET DE SOUDURE'!$AA$7:$AA$3006,MATCH(202,'CARNET DE SOUDURE'!$AV$7:$AV$3006,0)))</f>
        <v/>
      </c>
      <c r="I213" s="130" t="str">
        <f aca="false">IF($B213="","",INDEX('CARNET DE SOUDURE'!$AB$7:$AB$3006,MATCH(202,'CARNET DE SOUDURE'!$AV$7:$AV$3006,0))&amp;"")</f>
        <v/>
      </c>
      <c r="J213" s="130" t="str">
        <f aca="false">IF($B213="","",INDEX('CARNET DE SOUDURE'!$AC$7:$AC$3006,MATCH(202,'CARNET DE SOUDURE'!$AV$7:$AV$3006,0))&amp;IF(INDEX('CARNET DE SOUDURE'!$AH$7:$AH$3006,MATCH(202,'CARNET DE SOUDURE'!$AV$7:$AV$3006,0))&lt;&gt;""," / "&amp;INDEX('CARNET DE SOUDURE'!$AH$7:$AH$3006,MATCH(202,'CARNET DE SOUDURE'!$AV$7:$AV$3006,0)),""))</f>
        <v/>
      </c>
      <c r="K213" s="130" t="str">
        <f aca="false">IF($B213="","",INDEX('CARNET DE SOUDURE'!$AD$7:$AD$3006,MATCH(202,'CARNET DE SOUDURE'!$AV$7:$AV$3006,0))&amp;IF(INDEX('CARNET DE SOUDURE'!$AI$7:$AI$3006,MATCH(202,'CARNET DE SOUDURE'!$AV$7:$AV$3006,0))&lt;&gt;""," / "&amp;INDEX('CARNET DE SOUDURE'!$AI$7:$AI$3006,MATCH(202,'CARNET DE SOUDURE'!$AV$7:$AV$3006,0)),""))</f>
        <v/>
      </c>
      <c r="L213" s="130" t="str">
        <f aca="false">IF($B213="","",INDEX('CARNET DE SOUDURE'!$AG$7:$AG$3006,MATCH(202,'CARNET DE SOUDURE'!$AV$7:$AV$3006,0))&amp;IF(INDEX('CARNET DE SOUDURE'!$AL$7:$AL$3006,MATCH(202,'CARNET DE SOUDURE'!$AV$7:$AV$3006,0))&lt;&gt;""," / "&amp;INDEX('CARNET DE SOUDURE'!$AL$7:$AL$3006,MATCH(202,'CARNET DE SOUDURE'!$AV$7:$AV$3006,0)),""))</f>
        <v/>
      </c>
      <c r="M213" s="132" t="str">
        <f aca="false">IF($B213="","",INDEX('CARNET DE SOUDURE'!$AP$7:$AP$3006,MATCH(202,'CARNET DE SOUDURE'!$AV$7:$AV$3006,0)))</f>
        <v/>
      </c>
      <c r="N213" s="132" t="str">
        <f aca="false">IF($B213="","",INDEX('CARNET DE SOUDURE'!$AQ$7:$AQ$3006,MATCH(202,'CARNET DE SOUDURE'!$AV$7:$AV$3006,0)))</f>
        <v/>
      </c>
      <c r="O213" s="133" t="str">
        <f aca="false">IF($B213="","",INDEX('CARNET DE SOUDURE'!$AR$7:$AR$3006,MATCH(202,'CARNET DE SOUDURE'!$AV$7:$AV$3006,0)))</f>
        <v/>
      </c>
    </row>
    <row r="214" customFormat="false" ht="15" hidden="false" customHeight="false" outlineLevel="0" collapsed="false">
      <c r="B214" s="125" t="str">
        <f aca="false">IF(203&gt;$I$4,"",203)</f>
        <v/>
      </c>
      <c r="C214" s="125" t="str">
        <f aca="false">IF($B214="","",INDEX('CARNET DE SOUDURE'!$B$7:$B$3006,MATCH(203,'CARNET DE SOUDURE'!$AV$7:$AV$3006,0)))</f>
        <v/>
      </c>
      <c r="D214" s="125" t="str">
        <f aca="false">IF($B214="","",INDEX('CARNET DE SOUDURE'!$E$7:$E$3006,MATCH(203,'CARNET DE SOUDURE'!$AV$7:$AV$3006,0)))</f>
        <v/>
      </c>
      <c r="E214" s="125" t="str">
        <f aca="false">IF($B214="","",INDEX('CARNET DE SOUDURE'!$R$7:$R$3006,MATCH(203,'CARNET DE SOUDURE'!$AV$7:$AV$3006,0))&amp;IF(INDEX('CARNET DE SOUDURE'!$S$7:$S$3006,MATCH(203,'CARNET DE SOUDURE'!$AV$7:$AV$3006,0))&lt;&gt;""," / "&amp;INDEX('CARNET DE SOUDURE'!$S$7:$S$3006,MATCH(203,'CARNET DE SOUDURE'!$AV$7:$AV$3006,0)),"")&amp;IF(INDEX('CARNET DE SOUDURE'!$T$7:$T$3006,MATCH(203,'CARNET DE SOUDURE'!$AV$7:$AV$3006,0))&lt;&gt;""," / "&amp;INDEX('CARNET DE SOUDURE'!$T$7:$T$3006,MATCH(203,'CARNET DE SOUDURE'!$AV$7:$AV$3006,0)),""))</f>
        <v/>
      </c>
      <c r="F214" s="126" t="str">
        <f aca="false">IF($B214="","",INDEX('CARNET DE SOUDURE'!$Y$7:$Y$3006,MATCH(203,'CARNET DE SOUDURE'!$AV$7:$AV$3006,0)))</f>
        <v/>
      </c>
      <c r="G214" s="125" t="str">
        <f aca="false">IF($B214="","",INDEX('CARNET DE SOUDURE'!$Z$7:$Z$3006,MATCH(203,'CARNET DE SOUDURE'!$AV$7:$AV$3006,0))&amp;"")</f>
        <v/>
      </c>
      <c r="H214" s="127" t="str">
        <f aca="false">IF($B214="","",INDEX('CARNET DE SOUDURE'!$AA$7:$AA$3006,MATCH(203,'CARNET DE SOUDURE'!$AV$7:$AV$3006,0)))</f>
        <v/>
      </c>
      <c r="I214" s="125" t="str">
        <f aca="false">IF($B214="","",INDEX('CARNET DE SOUDURE'!$AB$7:$AB$3006,MATCH(203,'CARNET DE SOUDURE'!$AV$7:$AV$3006,0))&amp;"")</f>
        <v/>
      </c>
      <c r="J214" s="125" t="str">
        <f aca="false">IF($B214="","",INDEX('CARNET DE SOUDURE'!$AC$7:$AC$3006,MATCH(203,'CARNET DE SOUDURE'!$AV$7:$AV$3006,0))&amp;IF(INDEX('CARNET DE SOUDURE'!$AH$7:$AH$3006,MATCH(203,'CARNET DE SOUDURE'!$AV$7:$AV$3006,0))&lt;&gt;""," / "&amp;INDEX('CARNET DE SOUDURE'!$AH$7:$AH$3006,MATCH(203,'CARNET DE SOUDURE'!$AV$7:$AV$3006,0)),""))</f>
        <v/>
      </c>
      <c r="K214" s="125" t="str">
        <f aca="false">IF($B214="","",INDEX('CARNET DE SOUDURE'!$AD$7:$AD$3006,MATCH(203,'CARNET DE SOUDURE'!$AV$7:$AV$3006,0))&amp;IF(INDEX('CARNET DE SOUDURE'!$AI$7:$AI$3006,MATCH(203,'CARNET DE SOUDURE'!$AV$7:$AV$3006,0))&lt;&gt;""," / "&amp;INDEX('CARNET DE SOUDURE'!$AI$7:$AI$3006,MATCH(203,'CARNET DE SOUDURE'!$AV$7:$AV$3006,0)),""))</f>
        <v/>
      </c>
      <c r="L214" s="125" t="str">
        <f aca="false">IF($B214="","",INDEX('CARNET DE SOUDURE'!$AG$7:$AG$3006,MATCH(203,'CARNET DE SOUDURE'!$AV$7:$AV$3006,0))&amp;IF(INDEX('CARNET DE SOUDURE'!$AL$7:$AL$3006,MATCH(203,'CARNET DE SOUDURE'!$AV$7:$AV$3006,0))&lt;&gt;""," / "&amp;INDEX('CARNET DE SOUDURE'!$AL$7:$AL$3006,MATCH(203,'CARNET DE SOUDURE'!$AV$7:$AV$3006,0)),""))</f>
        <v/>
      </c>
      <c r="M214" s="127" t="str">
        <f aca="false">IF($B214="","",INDEX('CARNET DE SOUDURE'!$AP$7:$AP$3006,MATCH(203,'CARNET DE SOUDURE'!$AV$7:$AV$3006,0)))</f>
        <v/>
      </c>
      <c r="N214" s="127" t="str">
        <f aca="false">IF($B214="","",INDEX('CARNET DE SOUDURE'!$AQ$7:$AQ$3006,MATCH(203,'CARNET DE SOUDURE'!$AV$7:$AV$3006,0)))</f>
        <v/>
      </c>
      <c r="O214" s="128" t="str">
        <f aca="false">IF($B214="","",INDEX('CARNET DE SOUDURE'!$AR$7:$AR$3006,MATCH(203,'CARNET DE SOUDURE'!$AV$7:$AV$3006,0)))</f>
        <v/>
      </c>
    </row>
    <row r="215" customFormat="false" ht="15" hidden="false" customHeight="false" outlineLevel="0" collapsed="false">
      <c r="B215" s="130" t="str">
        <f aca="false">IF(204&gt;$I$4,"",204)</f>
        <v/>
      </c>
      <c r="C215" s="130" t="str">
        <f aca="false">IF($B215="","",INDEX('CARNET DE SOUDURE'!$B$7:$B$3006,MATCH(204,'CARNET DE SOUDURE'!$AV$7:$AV$3006,0)))</f>
        <v/>
      </c>
      <c r="D215" s="130" t="str">
        <f aca="false">IF($B215="","",INDEX('CARNET DE SOUDURE'!$E$7:$E$3006,MATCH(204,'CARNET DE SOUDURE'!$AV$7:$AV$3006,0)))</f>
        <v/>
      </c>
      <c r="E215" s="130" t="str">
        <f aca="false">IF($B215="","",INDEX('CARNET DE SOUDURE'!$R$7:$R$3006,MATCH(204,'CARNET DE SOUDURE'!$AV$7:$AV$3006,0))&amp;IF(INDEX('CARNET DE SOUDURE'!$S$7:$S$3006,MATCH(204,'CARNET DE SOUDURE'!$AV$7:$AV$3006,0))&lt;&gt;""," / "&amp;INDEX('CARNET DE SOUDURE'!$S$7:$S$3006,MATCH(204,'CARNET DE SOUDURE'!$AV$7:$AV$3006,0)),"")&amp;IF(INDEX('CARNET DE SOUDURE'!$T$7:$T$3006,MATCH(204,'CARNET DE SOUDURE'!$AV$7:$AV$3006,0))&lt;&gt;""," / "&amp;INDEX('CARNET DE SOUDURE'!$T$7:$T$3006,MATCH(204,'CARNET DE SOUDURE'!$AV$7:$AV$3006,0)),""))</f>
        <v/>
      </c>
      <c r="F215" s="131" t="str">
        <f aca="false">IF($B215="","",INDEX('CARNET DE SOUDURE'!$Y$7:$Y$3006,MATCH(204,'CARNET DE SOUDURE'!$AV$7:$AV$3006,0)))</f>
        <v/>
      </c>
      <c r="G215" s="130" t="str">
        <f aca="false">IF($B215="","",INDEX('CARNET DE SOUDURE'!$Z$7:$Z$3006,MATCH(204,'CARNET DE SOUDURE'!$AV$7:$AV$3006,0))&amp;"")</f>
        <v/>
      </c>
      <c r="H215" s="132" t="str">
        <f aca="false">IF($B215="","",INDEX('CARNET DE SOUDURE'!$AA$7:$AA$3006,MATCH(204,'CARNET DE SOUDURE'!$AV$7:$AV$3006,0)))</f>
        <v/>
      </c>
      <c r="I215" s="130" t="str">
        <f aca="false">IF($B215="","",INDEX('CARNET DE SOUDURE'!$AB$7:$AB$3006,MATCH(204,'CARNET DE SOUDURE'!$AV$7:$AV$3006,0))&amp;"")</f>
        <v/>
      </c>
      <c r="J215" s="130" t="str">
        <f aca="false">IF($B215="","",INDEX('CARNET DE SOUDURE'!$AC$7:$AC$3006,MATCH(204,'CARNET DE SOUDURE'!$AV$7:$AV$3006,0))&amp;IF(INDEX('CARNET DE SOUDURE'!$AH$7:$AH$3006,MATCH(204,'CARNET DE SOUDURE'!$AV$7:$AV$3006,0))&lt;&gt;""," / "&amp;INDEX('CARNET DE SOUDURE'!$AH$7:$AH$3006,MATCH(204,'CARNET DE SOUDURE'!$AV$7:$AV$3006,0)),""))</f>
        <v/>
      </c>
      <c r="K215" s="130" t="str">
        <f aca="false">IF($B215="","",INDEX('CARNET DE SOUDURE'!$AD$7:$AD$3006,MATCH(204,'CARNET DE SOUDURE'!$AV$7:$AV$3006,0))&amp;IF(INDEX('CARNET DE SOUDURE'!$AI$7:$AI$3006,MATCH(204,'CARNET DE SOUDURE'!$AV$7:$AV$3006,0))&lt;&gt;""," / "&amp;INDEX('CARNET DE SOUDURE'!$AI$7:$AI$3006,MATCH(204,'CARNET DE SOUDURE'!$AV$7:$AV$3006,0)),""))</f>
        <v/>
      </c>
      <c r="L215" s="130" t="str">
        <f aca="false">IF($B215="","",INDEX('CARNET DE SOUDURE'!$AG$7:$AG$3006,MATCH(204,'CARNET DE SOUDURE'!$AV$7:$AV$3006,0))&amp;IF(INDEX('CARNET DE SOUDURE'!$AL$7:$AL$3006,MATCH(204,'CARNET DE SOUDURE'!$AV$7:$AV$3006,0))&lt;&gt;""," / "&amp;INDEX('CARNET DE SOUDURE'!$AL$7:$AL$3006,MATCH(204,'CARNET DE SOUDURE'!$AV$7:$AV$3006,0)),""))</f>
        <v/>
      </c>
      <c r="M215" s="132" t="str">
        <f aca="false">IF($B215="","",INDEX('CARNET DE SOUDURE'!$AP$7:$AP$3006,MATCH(204,'CARNET DE SOUDURE'!$AV$7:$AV$3006,0)))</f>
        <v/>
      </c>
      <c r="N215" s="132" t="str">
        <f aca="false">IF($B215="","",INDEX('CARNET DE SOUDURE'!$AQ$7:$AQ$3006,MATCH(204,'CARNET DE SOUDURE'!$AV$7:$AV$3006,0)))</f>
        <v/>
      </c>
      <c r="O215" s="133" t="str">
        <f aca="false">IF($B215="","",INDEX('CARNET DE SOUDURE'!$AR$7:$AR$3006,MATCH(204,'CARNET DE SOUDURE'!$AV$7:$AV$3006,0)))</f>
        <v/>
      </c>
    </row>
    <row r="216" customFormat="false" ht="15" hidden="false" customHeight="false" outlineLevel="0" collapsed="false">
      <c r="B216" s="125" t="str">
        <f aca="false">IF(205&gt;$I$4,"",205)</f>
        <v/>
      </c>
      <c r="C216" s="125" t="str">
        <f aca="false">IF($B216="","",INDEX('CARNET DE SOUDURE'!$B$7:$B$3006,MATCH(205,'CARNET DE SOUDURE'!$AV$7:$AV$3006,0)))</f>
        <v/>
      </c>
      <c r="D216" s="125" t="str">
        <f aca="false">IF($B216="","",INDEX('CARNET DE SOUDURE'!$E$7:$E$3006,MATCH(205,'CARNET DE SOUDURE'!$AV$7:$AV$3006,0)))</f>
        <v/>
      </c>
      <c r="E216" s="125" t="str">
        <f aca="false">IF($B216="","",INDEX('CARNET DE SOUDURE'!$R$7:$R$3006,MATCH(205,'CARNET DE SOUDURE'!$AV$7:$AV$3006,0))&amp;IF(INDEX('CARNET DE SOUDURE'!$S$7:$S$3006,MATCH(205,'CARNET DE SOUDURE'!$AV$7:$AV$3006,0))&lt;&gt;""," / "&amp;INDEX('CARNET DE SOUDURE'!$S$7:$S$3006,MATCH(205,'CARNET DE SOUDURE'!$AV$7:$AV$3006,0)),"")&amp;IF(INDEX('CARNET DE SOUDURE'!$T$7:$T$3006,MATCH(205,'CARNET DE SOUDURE'!$AV$7:$AV$3006,0))&lt;&gt;""," / "&amp;INDEX('CARNET DE SOUDURE'!$T$7:$T$3006,MATCH(205,'CARNET DE SOUDURE'!$AV$7:$AV$3006,0)),""))</f>
        <v/>
      </c>
      <c r="F216" s="126" t="str">
        <f aca="false">IF($B216="","",INDEX('CARNET DE SOUDURE'!$Y$7:$Y$3006,MATCH(205,'CARNET DE SOUDURE'!$AV$7:$AV$3006,0)))</f>
        <v/>
      </c>
      <c r="G216" s="125" t="str">
        <f aca="false">IF($B216="","",INDEX('CARNET DE SOUDURE'!$Z$7:$Z$3006,MATCH(205,'CARNET DE SOUDURE'!$AV$7:$AV$3006,0))&amp;"")</f>
        <v/>
      </c>
      <c r="H216" s="127" t="str">
        <f aca="false">IF($B216="","",INDEX('CARNET DE SOUDURE'!$AA$7:$AA$3006,MATCH(205,'CARNET DE SOUDURE'!$AV$7:$AV$3006,0)))</f>
        <v/>
      </c>
      <c r="I216" s="125" t="str">
        <f aca="false">IF($B216="","",INDEX('CARNET DE SOUDURE'!$AB$7:$AB$3006,MATCH(205,'CARNET DE SOUDURE'!$AV$7:$AV$3006,0))&amp;"")</f>
        <v/>
      </c>
      <c r="J216" s="125" t="str">
        <f aca="false">IF($B216="","",INDEX('CARNET DE SOUDURE'!$AC$7:$AC$3006,MATCH(205,'CARNET DE SOUDURE'!$AV$7:$AV$3006,0))&amp;IF(INDEX('CARNET DE SOUDURE'!$AH$7:$AH$3006,MATCH(205,'CARNET DE SOUDURE'!$AV$7:$AV$3006,0))&lt;&gt;""," / "&amp;INDEX('CARNET DE SOUDURE'!$AH$7:$AH$3006,MATCH(205,'CARNET DE SOUDURE'!$AV$7:$AV$3006,0)),""))</f>
        <v/>
      </c>
      <c r="K216" s="125" t="str">
        <f aca="false">IF($B216="","",INDEX('CARNET DE SOUDURE'!$AD$7:$AD$3006,MATCH(205,'CARNET DE SOUDURE'!$AV$7:$AV$3006,0))&amp;IF(INDEX('CARNET DE SOUDURE'!$AI$7:$AI$3006,MATCH(205,'CARNET DE SOUDURE'!$AV$7:$AV$3006,0))&lt;&gt;""," / "&amp;INDEX('CARNET DE SOUDURE'!$AI$7:$AI$3006,MATCH(205,'CARNET DE SOUDURE'!$AV$7:$AV$3006,0)),""))</f>
        <v/>
      </c>
      <c r="L216" s="125" t="str">
        <f aca="false">IF($B216="","",INDEX('CARNET DE SOUDURE'!$AG$7:$AG$3006,MATCH(205,'CARNET DE SOUDURE'!$AV$7:$AV$3006,0))&amp;IF(INDEX('CARNET DE SOUDURE'!$AL$7:$AL$3006,MATCH(205,'CARNET DE SOUDURE'!$AV$7:$AV$3006,0))&lt;&gt;""," / "&amp;INDEX('CARNET DE SOUDURE'!$AL$7:$AL$3006,MATCH(205,'CARNET DE SOUDURE'!$AV$7:$AV$3006,0)),""))</f>
        <v/>
      </c>
      <c r="M216" s="127" t="str">
        <f aca="false">IF($B216="","",INDEX('CARNET DE SOUDURE'!$AP$7:$AP$3006,MATCH(205,'CARNET DE SOUDURE'!$AV$7:$AV$3006,0)))</f>
        <v/>
      </c>
      <c r="N216" s="127" t="str">
        <f aca="false">IF($B216="","",INDEX('CARNET DE SOUDURE'!$AQ$7:$AQ$3006,MATCH(205,'CARNET DE SOUDURE'!$AV$7:$AV$3006,0)))</f>
        <v/>
      </c>
      <c r="O216" s="128" t="str">
        <f aca="false">IF($B216="","",INDEX('CARNET DE SOUDURE'!$AR$7:$AR$3006,MATCH(205,'CARNET DE SOUDURE'!$AV$7:$AV$3006,0)))</f>
        <v/>
      </c>
    </row>
    <row r="217" customFormat="false" ht="15" hidden="false" customHeight="false" outlineLevel="0" collapsed="false">
      <c r="B217" s="130" t="str">
        <f aca="false">IF(206&gt;$I$4,"",206)</f>
        <v/>
      </c>
      <c r="C217" s="130" t="str">
        <f aca="false">IF($B217="","",INDEX('CARNET DE SOUDURE'!$B$7:$B$3006,MATCH(206,'CARNET DE SOUDURE'!$AV$7:$AV$3006,0)))</f>
        <v/>
      </c>
      <c r="D217" s="130" t="str">
        <f aca="false">IF($B217="","",INDEX('CARNET DE SOUDURE'!$E$7:$E$3006,MATCH(206,'CARNET DE SOUDURE'!$AV$7:$AV$3006,0)))</f>
        <v/>
      </c>
      <c r="E217" s="130" t="str">
        <f aca="false">IF($B217="","",INDEX('CARNET DE SOUDURE'!$R$7:$R$3006,MATCH(206,'CARNET DE SOUDURE'!$AV$7:$AV$3006,0))&amp;IF(INDEX('CARNET DE SOUDURE'!$S$7:$S$3006,MATCH(206,'CARNET DE SOUDURE'!$AV$7:$AV$3006,0))&lt;&gt;""," / "&amp;INDEX('CARNET DE SOUDURE'!$S$7:$S$3006,MATCH(206,'CARNET DE SOUDURE'!$AV$7:$AV$3006,0)),"")&amp;IF(INDEX('CARNET DE SOUDURE'!$T$7:$T$3006,MATCH(206,'CARNET DE SOUDURE'!$AV$7:$AV$3006,0))&lt;&gt;""," / "&amp;INDEX('CARNET DE SOUDURE'!$T$7:$T$3006,MATCH(206,'CARNET DE SOUDURE'!$AV$7:$AV$3006,0)),""))</f>
        <v/>
      </c>
      <c r="F217" s="131" t="str">
        <f aca="false">IF($B217="","",INDEX('CARNET DE SOUDURE'!$Y$7:$Y$3006,MATCH(206,'CARNET DE SOUDURE'!$AV$7:$AV$3006,0)))</f>
        <v/>
      </c>
      <c r="G217" s="130" t="str">
        <f aca="false">IF($B217="","",INDEX('CARNET DE SOUDURE'!$Z$7:$Z$3006,MATCH(206,'CARNET DE SOUDURE'!$AV$7:$AV$3006,0))&amp;"")</f>
        <v/>
      </c>
      <c r="H217" s="132" t="str">
        <f aca="false">IF($B217="","",INDEX('CARNET DE SOUDURE'!$AA$7:$AA$3006,MATCH(206,'CARNET DE SOUDURE'!$AV$7:$AV$3006,0)))</f>
        <v/>
      </c>
      <c r="I217" s="130" t="str">
        <f aca="false">IF($B217="","",INDEX('CARNET DE SOUDURE'!$AB$7:$AB$3006,MATCH(206,'CARNET DE SOUDURE'!$AV$7:$AV$3006,0))&amp;"")</f>
        <v/>
      </c>
      <c r="J217" s="130" t="str">
        <f aca="false">IF($B217="","",INDEX('CARNET DE SOUDURE'!$AC$7:$AC$3006,MATCH(206,'CARNET DE SOUDURE'!$AV$7:$AV$3006,0))&amp;IF(INDEX('CARNET DE SOUDURE'!$AH$7:$AH$3006,MATCH(206,'CARNET DE SOUDURE'!$AV$7:$AV$3006,0))&lt;&gt;""," / "&amp;INDEX('CARNET DE SOUDURE'!$AH$7:$AH$3006,MATCH(206,'CARNET DE SOUDURE'!$AV$7:$AV$3006,0)),""))</f>
        <v/>
      </c>
      <c r="K217" s="130" t="str">
        <f aca="false">IF($B217="","",INDEX('CARNET DE SOUDURE'!$AD$7:$AD$3006,MATCH(206,'CARNET DE SOUDURE'!$AV$7:$AV$3006,0))&amp;IF(INDEX('CARNET DE SOUDURE'!$AI$7:$AI$3006,MATCH(206,'CARNET DE SOUDURE'!$AV$7:$AV$3006,0))&lt;&gt;""," / "&amp;INDEX('CARNET DE SOUDURE'!$AI$7:$AI$3006,MATCH(206,'CARNET DE SOUDURE'!$AV$7:$AV$3006,0)),""))</f>
        <v/>
      </c>
      <c r="L217" s="130" t="str">
        <f aca="false">IF($B217="","",INDEX('CARNET DE SOUDURE'!$AG$7:$AG$3006,MATCH(206,'CARNET DE SOUDURE'!$AV$7:$AV$3006,0))&amp;IF(INDEX('CARNET DE SOUDURE'!$AL$7:$AL$3006,MATCH(206,'CARNET DE SOUDURE'!$AV$7:$AV$3006,0))&lt;&gt;""," / "&amp;INDEX('CARNET DE SOUDURE'!$AL$7:$AL$3006,MATCH(206,'CARNET DE SOUDURE'!$AV$7:$AV$3006,0)),""))</f>
        <v/>
      </c>
      <c r="M217" s="132" t="str">
        <f aca="false">IF($B217="","",INDEX('CARNET DE SOUDURE'!$AP$7:$AP$3006,MATCH(206,'CARNET DE SOUDURE'!$AV$7:$AV$3006,0)))</f>
        <v/>
      </c>
      <c r="N217" s="132" t="str">
        <f aca="false">IF($B217="","",INDEX('CARNET DE SOUDURE'!$AQ$7:$AQ$3006,MATCH(206,'CARNET DE SOUDURE'!$AV$7:$AV$3006,0)))</f>
        <v/>
      </c>
      <c r="O217" s="133" t="str">
        <f aca="false">IF($B217="","",INDEX('CARNET DE SOUDURE'!$AR$7:$AR$3006,MATCH(206,'CARNET DE SOUDURE'!$AV$7:$AV$3006,0)))</f>
        <v/>
      </c>
    </row>
    <row r="218" customFormat="false" ht="15" hidden="false" customHeight="false" outlineLevel="0" collapsed="false">
      <c r="B218" s="125" t="str">
        <f aca="false">IF(207&gt;$I$4,"",207)</f>
        <v/>
      </c>
      <c r="C218" s="125" t="str">
        <f aca="false">IF($B218="","",INDEX('CARNET DE SOUDURE'!$B$7:$B$3006,MATCH(207,'CARNET DE SOUDURE'!$AV$7:$AV$3006,0)))</f>
        <v/>
      </c>
      <c r="D218" s="125" t="str">
        <f aca="false">IF($B218="","",INDEX('CARNET DE SOUDURE'!$E$7:$E$3006,MATCH(207,'CARNET DE SOUDURE'!$AV$7:$AV$3006,0)))</f>
        <v/>
      </c>
      <c r="E218" s="125" t="str">
        <f aca="false">IF($B218="","",INDEX('CARNET DE SOUDURE'!$R$7:$R$3006,MATCH(207,'CARNET DE SOUDURE'!$AV$7:$AV$3006,0))&amp;IF(INDEX('CARNET DE SOUDURE'!$S$7:$S$3006,MATCH(207,'CARNET DE SOUDURE'!$AV$7:$AV$3006,0))&lt;&gt;""," / "&amp;INDEX('CARNET DE SOUDURE'!$S$7:$S$3006,MATCH(207,'CARNET DE SOUDURE'!$AV$7:$AV$3006,0)),"")&amp;IF(INDEX('CARNET DE SOUDURE'!$T$7:$T$3006,MATCH(207,'CARNET DE SOUDURE'!$AV$7:$AV$3006,0))&lt;&gt;""," / "&amp;INDEX('CARNET DE SOUDURE'!$T$7:$T$3006,MATCH(207,'CARNET DE SOUDURE'!$AV$7:$AV$3006,0)),""))</f>
        <v/>
      </c>
      <c r="F218" s="126" t="str">
        <f aca="false">IF($B218="","",INDEX('CARNET DE SOUDURE'!$Y$7:$Y$3006,MATCH(207,'CARNET DE SOUDURE'!$AV$7:$AV$3006,0)))</f>
        <v/>
      </c>
      <c r="G218" s="125" t="str">
        <f aca="false">IF($B218="","",INDEX('CARNET DE SOUDURE'!$Z$7:$Z$3006,MATCH(207,'CARNET DE SOUDURE'!$AV$7:$AV$3006,0))&amp;"")</f>
        <v/>
      </c>
      <c r="H218" s="127" t="str">
        <f aca="false">IF($B218="","",INDEX('CARNET DE SOUDURE'!$AA$7:$AA$3006,MATCH(207,'CARNET DE SOUDURE'!$AV$7:$AV$3006,0)))</f>
        <v/>
      </c>
      <c r="I218" s="125" t="str">
        <f aca="false">IF($B218="","",INDEX('CARNET DE SOUDURE'!$AB$7:$AB$3006,MATCH(207,'CARNET DE SOUDURE'!$AV$7:$AV$3006,0))&amp;"")</f>
        <v/>
      </c>
      <c r="J218" s="125" t="str">
        <f aca="false">IF($B218="","",INDEX('CARNET DE SOUDURE'!$AC$7:$AC$3006,MATCH(207,'CARNET DE SOUDURE'!$AV$7:$AV$3006,0))&amp;IF(INDEX('CARNET DE SOUDURE'!$AH$7:$AH$3006,MATCH(207,'CARNET DE SOUDURE'!$AV$7:$AV$3006,0))&lt;&gt;""," / "&amp;INDEX('CARNET DE SOUDURE'!$AH$7:$AH$3006,MATCH(207,'CARNET DE SOUDURE'!$AV$7:$AV$3006,0)),""))</f>
        <v/>
      </c>
      <c r="K218" s="125" t="str">
        <f aca="false">IF($B218="","",INDEX('CARNET DE SOUDURE'!$AD$7:$AD$3006,MATCH(207,'CARNET DE SOUDURE'!$AV$7:$AV$3006,0))&amp;IF(INDEX('CARNET DE SOUDURE'!$AI$7:$AI$3006,MATCH(207,'CARNET DE SOUDURE'!$AV$7:$AV$3006,0))&lt;&gt;""," / "&amp;INDEX('CARNET DE SOUDURE'!$AI$7:$AI$3006,MATCH(207,'CARNET DE SOUDURE'!$AV$7:$AV$3006,0)),""))</f>
        <v/>
      </c>
      <c r="L218" s="125" t="str">
        <f aca="false">IF($B218="","",INDEX('CARNET DE SOUDURE'!$AG$7:$AG$3006,MATCH(207,'CARNET DE SOUDURE'!$AV$7:$AV$3006,0))&amp;IF(INDEX('CARNET DE SOUDURE'!$AL$7:$AL$3006,MATCH(207,'CARNET DE SOUDURE'!$AV$7:$AV$3006,0))&lt;&gt;""," / "&amp;INDEX('CARNET DE SOUDURE'!$AL$7:$AL$3006,MATCH(207,'CARNET DE SOUDURE'!$AV$7:$AV$3006,0)),""))</f>
        <v/>
      </c>
      <c r="M218" s="127" t="str">
        <f aca="false">IF($B218="","",INDEX('CARNET DE SOUDURE'!$AP$7:$AP$3006,MATCH(207,'CARNET DE SOUDURE'!$AV$7:$AV$3006,0)))</f>
        <v/>
      </c>
      <c r="N218" s="127" t="str">
        <f aca="false">IF($B218="","",INDEX('CARNET DE SOUDURE'!$AQ$7:$AQ$3006,MATCH(207,'CARNET DE SOUDURE'!$AV$7:$AV$3006,0)))</f>
        <v/>
      </c>
      <c r="O218" s="128" t="str">
        <f aca="false">IF($B218="","",INDEX('CARNET DE SOUDURE'!$AR$7:$AR$3006,MATCH(207,'CARNET DE SOUDURE'!$AV$7:$AV$3006,0)))</f>
        <v/>
      </c>
    </row>
    <row r="219" customFormat="false" ht="15" hidden="false" customHeight="false" outlineLevel="0" collapsed="false">
      <c r="B219" s="130" t="str">
        <f aca="false">IF(208&gt;$I$4,"",208)</f>
        <v/>
      </c>
      <c r="C219" s="130" t="str">
        <f aca="false">IF($B219="","",INDEX('CARNET DE SOUDURE'!$B$7:$B$3006,MATCH(208,'CARNET DE SOUDURE'!$AV$7:$AV$3006,0)))</f>
        <v/>
      </c>
      <c r="D219" s="130" t="str">
        <f aca="false">IF($B219="","",INDEX('CARNET DE SOUDURE'!$E$7:$E$3006,MATCH(208,'CARNET DE SOUDURE'!$AV$7:$AV$3006,0)))</f>
        <v/>
      </c>
      <c r="E219" s="130" t="str">
        <f aca="false">IF($B219="","",INDEX('CARNET DE SOUDURE'!$R$7:$R$3006,MATCH(208,'CARNET DE SOUDURE'!$AV$7:$AV$3006,0))&amp;IF(INDEX('CARNET DE SOUDURE'!$S$7:$S$3006,MATCH(208,'CARNET DE SOUDURE'!$AV$7:$AV$3006,0))&lt;&gt;""," / "&amp;INDEX('CARNET DE SOUDURE'!$S$7:$S$3006,MATCH(208,'CARNET DE SOUDURE'!$AV$7:$AV$3006,0)),"")&amp;IF(INDEX('CARNET DE SOUDURE'!$T$7:$T$3006,MATCH(208,'CARNET DE SOUDURE'!$AV$7:$AV$3006,0))&lt;&gt;""," / "&amp;INDEX('CARNET DE SOUDURE'!$T$7:$T$3006,MATCH(208,'CARNET DE SOUDURE'!$AV$7:$AV$3006,0)),""))</f>
        <v/>
      </c>
      <c r="F219" s="131" t="str">
        <f aca="false">IF($B219="","",INDEX('CARNET DE SOUDURE'!$Y$7:$Y$3006,MATCH(208,'CARNET DE SOUDURE'!$AV$7:$AV$3006,0)))</f>
        <v/>
      </c>
      <c r="G219" s="130" t="str">
        <f aca="false">IF($B219="","",INDEX('CARNET DE SOUDURE'!$Z$7:$Z$3006,MATCH(208,'CARNET DE SOUDURE'!$AV$7:$AV$3006,0))&amp;"")</f>
        <v/>
      </c>
      <c r="H219" s="132" t="str">
        <f aca="false">IF($B219="","",INDEX('CARNET DE SOUDURE'!$AA$7:$AA$3006,MATCH(208,'CARNET DE SOUDURE'!$AV$7:$AV$3006,0)))</f>
        <v/>
      </c>
      <c r="I219" s="130" t="str">
        <f aca="false">IF($B219="","",INDEX('CARNET DE SOUDURE'!$AB$7:$AB$3006,MATCH(208,'CARNET DE SOUDURE'!$AV$7:$AV$3006,0))&amp;"")</f>
        <v/>
      </c>
      <c r="J219" s="130" t="str">
        <f aca="false">IF($B219="","",INDEX('CARNET DE SOUDURE'!$AC$7:$AC$3006,MATCH(208,'CARNET DE SOUDURE'!$AV$7:$AV$3006,0))&amp;IF(INDEX('CARNET DE SOUDURE'!$AH$7:$AH$3006,MATCH(208,'CARNET DE SOUDURE'!$AV$7:$AV$3006,0))&lt;&gt;""," / "&amp;INDEX('CARNET DE SOUDURE'!$AH$7:$AH$3006,MATCH(208,'CARNET DE SOUDURE'!$AV$7:$AV$3006,0)),""))</f>
        <v/>
      </c>
      <c r="K219" s="130" t="str">
        <f aca="false">IF($B219="","",INDEX('CARNET DE SOUDURE'!$AD$7:$AD$3006,MATCH(208,'CARNET DE SOUDURE'!$AV$7:$AV$3006,0))&amp;IF(INDEX('CARNET DE SOUDURE'!$AI$7:$AI$3006,MATCH(208,'CARNET DE SOUDURE'!$AV$7:$AV$3006,0))&lt;&gt;""," / "&amp;INDEX('CARNET DE SOUDURE'!$AI$7:$AI$3006,MATCH(208,'CARNET DE SOUDURE'!$AV$7:$AV$3006,0)),""))</f>
        <v/>
      </c>
      <c r="L219" s="130" t="str">
        <f aca="false">IF($B219="","",INDEX('CARNET DE SOUDURE'!$AG$7:$AG$3006,MATCH(208,'CARNET DE SOUDURE'!$AV$7:$AV$3006,0))&amp;IF(INDEX('CARNET DE SOUDURE'!$AL$7:$AL$3006,MATCH(208,'CARNET DE SOUDURE'!$AV$7:$AV$3006,0))&lt;&gt;""," / "&amp;INDEX('CARNET DE SOUDURE'!$AL$7:$AL$3006,MATCH(208,'CARNET DE SOUDURE'!$AV$7:$AV$3006,0)),""))</f>
        <v/>
      </c>
      <c r="M219" s="132" t="str">
        <f aca="false">IF($B219="","",INDEX('CARNET DE SOUDURE'!$AP$7:$AP$3006,MATCH(208,'CARNET DE SOUDURE'!$AV$7:$AV$3006,0)))</f>
        <v/>
      </c>
      <c r="N219" s="132" t="str">
        <f aca="false">IF($B219="","",INDEX('CARNET DE SOUDURE'!$AQ$7:$AQ$3006,MATCH(208,'CARNET DE SOUDURE'!$AV$7:$AV$3006,0)))</f>
        <v/>
      </c>
      <c r="O219" s="133" t="str">
        <f aca="false">IF($B219="","",INDEX('CARNET DE SOUDURE'!$AR$7:$AR$3006,MATCH(208,'CARNET DE SOUDURE'!$AV$7:$AV$3006,0)))</f>
        <v/>
      </c>
    </row>
    <row r="220" customFormat="false" ht="15" hidden="false" customHeight="false" outlineLevel="0" collapsed="false">
      <c r="B220" s="125" t="str">
        <f aca="false">IF(209&gt;$I$4,"",209)</f>
        <v/>
      </c>
      <c r="C220" s="125" t="str">
        <f aca="false">IF($B220="","",INDEX('CARNET DE SOUDURE'!$B$7:$B$3006,MATCH(209,'CARNET DE SOUDURE'!$AV$7:$AV$3006,0)))</f>
        <v/>
      </c>
      <c r="D220" s="125" t="str">
        <f aca="false">IF($B220="","",INDEX('CARNET DE SOUDURE'!$E$7:$E$3006,MATCH(209,'CARNET DE SOUDURE'!$AV$7:$AV$3006,0)))</f>
        <v/>
      </c>
      <c r="E220" s="125" t="str">
        <f aca="false">IF($B220="","",INDEX('CARNET DE SOUDURE'!$R$7:$R$3006,MATCH(209,'CARNET DE SOUDURE'!$AV$7:$AV$3006,0))&amp;IF(INDEX('CARNET DE SOUDURE'!$S$7:$S$3006,MATCH(209,'CARNET DE SOUDURE'!$AV$7:$AV$3006,0))&lt;&gt;""," / "&amp;INDEX('CARNET DE SOUDURE'!$S$7:$S$3006,MATCH(209,'CARNET DE SOUDURE'!$AV$7:$AV$3006,0)),"")&amp;IF(INDEX('CARNET DE SOUDURE'!$T$7:$T$3006,MATCH(209,'CARNET DE SOUDURE'!$AV$7:$AV$3006,0))&lt;&gt;""," / "&amp;INDEX('CARNET DE SOUDURE'!$T$7:$T$3006,MATCH(209,'CARNET DE SOUDURE'!$AV$7:$AV$3006,0)),""))</f>
        <v/>
      </c>
      <c r="F220" s="126" t="str">
        <f aca="false">IF($B220="","",INDEX('CARNET DE SOUDURE'!$Y$7:$Y$3006,MATCH(209,'CARNET DE SOUDURE'!$AV$7:$AV$3006,0)))</f>
        <v/>
      </c>
      <c r="G220" s="125" t="str">
        <f aca="false">IF($B220="","",INDEX('CARNET DE SOUDURE'!$Z$7:$Z$3006,MATCH(209,'CARNET DE SOUDURE'!$AV$7:$AV$3006,0))&amp;"")</f>
        <v/>
      </c>
      <c r="H220" s="127" t="str">
        <f aca="false">IF($B220="","",INDEX('CARNET DE SOUDURE'!$AA$7:$AA$3006,MATCH(209,'CARNET DE SOUDURE'!$AV$7:$AV$3006,0)))</f>
        <v/>
      </c>
      <c r="I220" s="125" t="str">
        <f aca="false">IF($B220="","",INDEX('CARNET DE SOUDURE'!$AB$7:$AB$3006,MATCH(209,'CARNET DE SOUDURE'!$AV$7:$AV$3006,0))&amp;"")</f>
        <v/>
      </c>
      <c r="J220" s="125" t="str">
        <f aca="false">IF($B220="","",INDEX('CARNET DE SOUDURE'!$AC$7:$AC$3006,MATCH(209,'CARNET DE SOUDURE'!$AV$7:$AV$3006,0))&amp;IF(INDEX('CARNET DE SOUDURE'!$AH$7:$AH$3006,MATCH(209,'CARNET DE SOUDURE'!$AV$7:$AV$3006,0))&lt;&gt;""," / "&amp;INDEX('CARNET DE SOUDURE'!$AH$7:$AH$3006,MATCH(209,'CARNET DE SOUDURE'!$AV$7:$AV$3006,0)),""))</f>
        <v/>
      </c>
      <c r="K220" s="125" t="str">
        <f aca="false">IF($B220="","",INDEX('CARNET DE SOUDURE'!$AD$7:$AD$3006,MATCH(209,'CARNET DE SOUDURE'!$AV$7:$AV$3006,0))&amp;IF(INDEX('CARNET DE SOUDURE'!$AI$7:$AI$3006,MATCH(209,'CARNET DE SOUDURE'!$AV$7:$AV$3006,0))&lt;&gt;""," / "&amp;INDEX('CARNET DE SOUDURE'!$AI$7:$AI$3006,MATCH(209,'CARNET DE SOUDURE'!$AV$7:$AV$3006,0)),""))</f>
        <v/>
      </c>
      <c r="L220" s="125" t="str">
        <f aca="false">IF($B220="","",INDEX('CARNET DE SOUDURE'!$AG$7:$AG$3006,MATCH(209,'CARNET DE SOUDURE'!$AV$7:$AV$3006,0))&amp;IF(INDEX('CARNET DE SOUDURE'!$AL$7:$AL$3006,MATCH(209,'CARNET DE SOUDURE'!$AV$7:$AV$3006,0))&lt;&gt;""," / "&amp;INDEX('CARNET DE SOUDURE'!$AL$7:$AL$3006,MATCH(209,'CARNET DE SOUDURE'!$AV$7:$AV$3006,0)),""))</f>
        <v/>
      </c>
      <c r="M220" s="127" t="str">
        <f aca="false">IF($B220="","",INDEX('CARNET DE SOUDURE'!$AP$7:$AP$3006,MATCH(209,'CARNET DE SOUDURE'!$AV$7:$AV$3006,0)))</f>
        <v/>
      </c>
      <c r="N220" s="127" t="str">
        <f aca="false">IF($B220="","",INDEX('CARNET DE SOUDURE'!$AQ$7:$AQ$3006,MATCH(209,'CARNET DE SOUDURE'!$AV$7:$AV$3006,0)))</f>
        <v/>
      </c>
      <c r="O220" s="128" t="str">
        <f aca="false">IF($B220="","",INDEX('CARNET DE SOUDURE'!$AR$7:$AR$3006,MATCH(209,'CARNET DE SOUDURE'!$AV$7:$AV$3006,0)))</f>
        <v/>
      </c>
    </row>
    <row r="221" customFormat="false" ht="15" hidden="false" customHeight="false" outlineLevel="0" collapsed="false">
      <c r="B221" s="130" t="str">
        <f aca="false">IF(210&gt;$I$4,"",210)</f>
        <v/>
      </c>
      <c r="C221" s="130" t="str">
        <f aca="false">IF($B221="","",INDEX('CARNET DE SOUDURE'!$B$7:$B$3006,MATCH(210,'CARNET DE SOUDURE'!$AV$7:$AV$3006,0)))</f>
        <v/>
      </c>
      <c r="D221" s="130" t="str">
        <f aca="false">IF($B221="","",INDEX('CARNET DE SOUDURE'!$E$7:$E$3006,MATCH(210,'CARNET DE SOUDURE'!$AV$7:$AV$3006,0)))</f>
        <v/>
      </c>
      <c r="E221" s="130" t="str">
        <f aca="false">IF($B221="","",INDEX('CARNET DE SOUDURE'!$R$7:$R$3006,MATCH(210,'CARNET DE SOUDURE'!$AV$7:$AV$3006,0))&amp;IF(INDEX('CARNET DE SOUDURE'!$S$7:$S$3006,MATCH(210,'CARNET DE SOUDURE'!$AV$7:$AV$3006,0))&lt;&gt;""," / "&amp;INDEX('CARNET DE SOUDURE'!$S$7:$S$3006,MATCH(210,'CARNET DE SOUDURE'!$AV$7:$AV$3006,0)),"")&amp;IF(INDEX('CARNET DE SOUDURE'!$T$7:$T$3006,MATCH(210,'CARNET DE SOUDURE'!$AV$7:$AV$3006,0))&lt;&gt;""," / "&amp;INDEX('CARNET DE SOUDURE'!$T$7:$T$3006,MATCH(210,'CARNET DE SOUDURE'!$AV$7:$AV$3006,0)),""))</f>
        <v/>
      </c>
      <c r="F221" s="131" t="str">
        <f aca="false">IF($B221="","",INDEX('CARNET DE SOUDURE'!$Y$7:$Y$3006,MATCH(210,'CARNET DE SOUDURE'!$AV$7:$AV$3006,0)))</f>
        <v/>
      </c>
      <c r="G221" s="130" t="str">
        <f aca="false">IF($B221="","",INDEX('CARNET DE SOUDURE'!$Z$7:$Z$3006,MATCH(210,'CARNET DE SOUDURE'!$AV$7:$AV$3006,0))&amp;"")</f>
        <v/>
      </c>
      <c r="H221" s="132" t="str">
        <f aca="false">IF($B221="","",INDEX('CARNET DE SOUDURE'!$AA$7:$AA$3006,MATCH(210,'CARNET DE SOUDURE'!$AV$7:$AV$3006,0)))</f>
        <v/>
      </c>
      <c r="I221" s="130" t="str">
        <f aca="false">IF($B221="","",INDEX('CARNET DE SOUDURE'!$AB$7:$AB$3006,MATCH(210,'CARNET DE SOUDURE'!$AV$7:$AV$3006,0))&amp;"")</f>
        <v/>
      </c>
      <c r="J221" s="130" t="str">
        <f aca="false">IF($B221="","",INDEX('CARNET DE SOUDURE'!$AC$7:$AC$3006,MATCH(210,'CARNET DE SOUDURE'!$AV$7:$AV$3006,0))&amp;IF(INDEX('CARNET DE SOUDURE'!$AH$7:$AH$3006,MATCH(210,'CARNET DE SOUDURE'!$AV$7:$AV$3006,0))&lt;&gt;""," / "&amp;INDEX('CARNET DE SOUDURE'!$AH$7:$AH$3006,MATCH(210,'CARNET DE SOUDURE'!$AV$7:$AV$3006,0)),""))</f>
        <v/>
      </c>
      <c r="K221" s="130" t="str">
        <f aca="false">IF($B221="","",INDEX('CARNET DE SOUDURE'!$AD$7:$AD$3006,MATCH(210,'CARNET DE SOUDURE'!$AV$7:$AV$3006,0))&amp;IF(INDEX('CARNET DE SOUDURE'!$AI$7:$AI$3006,MATCH(210,'CARNET DE SOUDURE'!$AV$7:$AV$3006,0))&lt;&gt;""," / "&amp;INDEX('CARNET DE SOUDURE'!$AI$7:$AI$3006,MATCH(210,'CARNET DE SOUDURE'!$AV$7:$AV$3006,0)),""))</f>
        <v/>
      </c>
      <c r="L221" s="130" t="str">
        <f aca="false">IF($B221="","",INDEX('CARNET DE SOUDURE'!$AG$7:$AG$3006,MATCH(210,'CARNET DE SOUDURE'!$AV$7:$AV$3006,0))&amp;IF(INDEX('CARNET DE SOUDURE'!$AL$7:$AL$3006,MATCH(210,'CARNET DE SOUDURE'!$AV$7:$AV$3006,0))&lt;&gt;""," / "&amp;INDEX('CARNET DE SOUDURE'!$AL$7:$AL$3006,MATCH(210,'CARNET DE SOUDURE'!$AV$7:$AV$3006,0)),""))</f>
        <v/>
      </c>
      <c r="M221" s="132" t="str">
        <f aca="false">IF($B221="","",INDEX('CARNET DE SOUDURE'!$AP$7:$AP$3006,MATCH(210,'CARNET DE SOUDURE'!$AV$7:$AV$3006,0)))</f>
        <v/>
      </c>
      <c r="N221" s="132" t="str">
        <f aca="false">IF($B221="","",INDEX('CARNET DE SOUDURE'!$AQ$7:$AQ$3006,MATCH(210,'CARNET DE SOUDURE'!$AV$7:$AV$3006,0)))</f>
        <v/>
      </c>
      <c r="O221" s="133" t="str">
        <f aca="false">IF($B221="","",INDEX('CARNET DE SOUDURE'!$AR$7:$AR$3006,MATCH(210,'CARNET DE SOUDURE'!$AV$7:$AV$3006,0)))</f>
        <v/>
      </c>
    </row>
    <row r="222" customFormat="false" ht="15" hidden="false" customHeight="false" outlineLevel="0" collapsed="false">
      <c r="B222" s="125" t="str">
        <f aca="false">IF(211&gt;$I$4,"",211)</f>
        <v/>
      </c>
      <c r="C222" s="125" t="str">
        <f aca="false">IF($B222="","",INDEX('CARNET DE SOUDURE'!$B$7:$B$3006,MATCH(211,'CARNET DE SOUDURE'!$AV$7:$AV$3006,0)))</f>
        <v/>
      </c>
      <c r="D222" s="125" t="str">
        <f aca="false">IF($B222="","",INDEX('CARNET DE SOUDURE'!$E$7:$E$3006,MATCH(211,'CARNET DE SOUDURE'!$AV$7:$AV$3006,0)))</f>
        <v/>
      </c>
      <c r="E222" s="125" t="str">
        <f aca="false">IF($B222="","",INDEX('CARNET DE SOUDURE'!$R$7:$R$3006,MATCH(211,'CARNET DE SOUDURE'!$AV$7:$AV$3006,0))&amp;IF(INDEX('CARNET DE SOUDURE'!$S$7:$S$3006,MATCH(211,'CARNET DE SOUDURE'!$AV$7:$AV$3006,0))&lt;&gt;""," / "&amp;INDEX('CARNET DE SOUDURE'!$S$7:$S$3006,MATCH(211,'CARNET DE SOUDURE'!$AV$7:$AV$3006,0)),"")&amp;IF(INDEX('CARNET DE SOUDURE'!$T$7:$T$3006,MATCH(211,'CARNET DE SOUDURE'!$AV$7:$AV$3006,0))&lt;&gt;""," / "&amp;INDEX('CARNET DE SOUDURE'!$T$7:$T$3006,MATCH(211,'CARNET DE SOUDURE'!$AV$7:$AV$3006,0)),""))</f>
        <v/>
      </c>
      <c r="F222" s="126" t="str">
        <f aca="false">IF($B222="","",INDEX('CARNET DE SOUDURE'!$Y$7:$Y$3006,MATCH(211,'CARNET DE SOUDURE'!$AV$7:$AV$3006,0)))</f>
        <v/>
      </c>
      <c r="G222" s="125" t="str">
        <f aca="false">IF($B222="","",INDEX('CARNET DE SOUDURE'!$Z$7:$Z$3006,MATCH(211,'CARNET DE SOUDURE'!$AV$7:$AV$3006,0))&amp;"")</f>
        <v/>
      </c>
      <c r="H222" s="127" t="str">
        <f aca="false">IF($B222="","",INDEX('CARNET DE SOUDURE'!$AA$7:$AA$3006,MATCH(211,'CARNET DE SOUDURE'!$AV$7:$AV$3006,0)))</f>
        <v/>
      </c>
      <c r="I222" s="125" t="str">
        <f aca="false">IF($B222="","",INDEX('CARNET DE SOUDURE'!$AB$7:$AB$3006,MATCH(211,'CARNET DE SOUDURE'!$AV$7:$AV$3006,0))&amp;"")</f>
        <v/>
      </c>
      <c r="J222" s="125" t="str">
        <f aca="false">IF($B222="","",INDEX('CARNET DE SOUDURE'!$AC$7:$AC$3006,MATCH(211,'CARNET DE SOUDURE'!$AV$7:$AV$3006,0))&amp;IF(INDEX('CARNET DE SOUDURE'!$AH$7:$AH$3006,MATCH(211,'CARNET DE SOUDURE'!$AV$7:$AV$3006,0))&lt;&gt;""," / "&amp;INDEX('CARNET DE SOUDURE'!$AH$7:$AH$3006,MATCH(211,'CARNET DE SOUDURE'!$AV$7:$AV$3006,0)),""))</f>
        <v/>
      </c>
      <c r="K222" s="125" t="str">
        <f aca="false">IF($B222="","",INDEX('CARNET DE SOUDURE'!$AD$7:$AD$3006,MATCH(211,'CARNET DE SOUDURE'!$AV$7:$AV$3006,0))&amp;IF(INDEX('CARNET DE SOUDURE'!$AI$7:$AI$3006,MATCH(211,'CARNET DE SOUDURE'!$AV$7:$AV$3006,0))&lt;&gt;""," / "&amp;INDEX('CARNET DE SOUDURE'!$AI$7:$AI$3006,MATCH(211,'CARNET DE SOUDURE'!$AV$7:$AV$3006,0)),""))</f>
        <v/>
      </c>
      <c r="L222" s="125" t="str">
        <f aca="false">IF($B222="","",INDEX('CARNET DE SOUDURE'!$AG$7:$AG$3006,MATCH(211,'CARNET DE SOUDURE'!$AV$7:$AV$3006,0))&amp;IF(INDEX('CARNET DE SOUDURE'!$AL$7:$AL$3006,MATCH(211,'CARNET DE SOUDURE'!$AV$7:$AV$3006,0))&lt;&gt;""," / "&amp;INDEX('CARNET DE SOUDURE'!$AL$7:$AL$3006,MATCH(211,'CARNET DE SOUDURE'!$AV$7:$AV$3006,0)),""))</f>
        <v/>
      </c>
      <c r="M222" s="127" t="str">
        <f aca="false">IF($B222="","",INDEX('CARNET DE SOUDURE'!$AP$7:$AP$3006,MATCH(211,'CARNET DE SOUDURE'!$AV$7:$AV$3006,0)))</f>
        <v/>
      </c>
      <c r="N222" s="127" t="str">
        <f aca="false">IF($B222="","",INDEX('CARNET DE SOUDURE'!$AQ$7:$AQ$3006,MATCH(211,'CARNET DE SOUDURE'!$AV$7:$AV$3006,0)))</f>
        <v/>
      </c>
      <c r="O222" s="128" t="str">
        <f aca="false">IF($B222="","",INDEX('CARNET DE SOUDURE'!$AR$7:$AR$3006,MATCH(211,'CARNET DE SOUDURE'!$AV$7:$AV$3006,0)))</f>
        <v/>
      </c>
    </row>
    <row r="223" customFormat="false" ht="15" hidden="false" customHeight="false" outlineLevel="0" collapsed="false">
      <c r="B223" s="130" t="str">
        <f aca="false">IF(212&gt;$I$4,"",212)</f>
        <v/>
      </c>
      <c r="C223" s="130" t="str">
        <f aca="false">IF($B223="","",INDEX('CARNET DE SOUDURE'!$B$7:$B$3006,MATCH(212,'CARNET DE SOUDURE'!$AV$7:$AV$3006,0)))</f>
        <v/>
      </c>
      <c r="D223" s="130" t="str">
        <f aca="false">IF($B223="","",INDEX('CARNET DE SOUDURE'!$E$7:$E$3006,MATCH(212,'CARNET DE SOUDURE'!$AV$7:$AV$3006,0)))</f>
        <v/>
      </c>
      <c r="E223" s="130" t="str">
        <f aca="false">IF($B223="","",INDEX('CARNET DE SOUDURE'!$R$7:$R$3006,MATCH(212,'CARNET DE SOUDURE'!$AV$7:$AV$3006,0))&amp;IF(INDEX('CARNET DE SOUDURE'!$S$7:$S$3006,MATCH(212,'CARNET DE SOUDURE'!$AV$7:$AV$3006,0))&lt;&gt;""," / "&amp;INDEX('CARNET DE SOUDURE'!$S$7:$S$3006,MATCH(212,'CARNET DE SOUDURE'!$AV$7:$AV$3006,0)),"")&amp;IF(INDEX('CARNET DE SOUDURE'!$T$7:$T$3006,MATCH(212,'CARNET DE SOUDURE'!$AV$7:$AV$3006,0))&lt;&gt;""," / "&amp;INDEX('CARNET DE SOUDURE'!$T$7:$T$3006,MATCH(212,'CARNET DE SOUDURE'!$AV$7:$AV$3006,0)),""))</f>
        <v/>
      </c>
      <c r="F223" s="131" t="str">
        <f aca="false">IF($B223="","",INDEX('CARNET DE SOUDURE'!$Y$7:$Y$3006,MATCH(212,'CARNET DE SOUDURE'!$AV$7:$AV$3006,0)))</f>
        <v/>
      </c>
      <c r="G223" s="130" t="str">
        <f aca="false">IF($B223="","",INDEX('CARNET DE SOUDURE'!$Z$7:$Z$3006,MATCH(212,'CARNET DE SOUDURE'!$AV$7:$AV$3006,0))&amp;"")</f>
        <v/>
      </c>
      <c r="H223" s="132" t="str">
        <f aca="false">IF($B223="","",INDEX('CARNET DE SOUDURE'!$AA$7:$AA$3006,MATCH(212,'CARNET DE SOUDURE'!$AV$7:$AV$3006,0)))</f>
        <v/>
      </c>
      <c r="I223" s="130" t="str">
        <f aca="false">IF($B223="","",INDEX('CARNET DE SOUDURE'!$AB$7:$AB$3006,MATCH(212,'CARNET DE SOUDURE'!$AV$7:$AV$3006,0))&amp;"")</f>
        <v/>
      </c>
      <c r="J223" s="130" t="str">
        <f aca="false">IF($B223="","",INDEX('CARNET DE SOUDURE'!$AC$7:$AC$3006,MATCH(212,'CARNET DE SOUDURE'!$AV$7:$AV$3006,0))&amp;IF(INDEX('CARNET DE SOUDURE'!$AH$7:$AH$3006,MATCH(212,'CARNET DE SOUDURE'!$AV$7:$AV$3006,0))&lt;&gt;""," / "&amp;INDEX('CARNET DE SOUDURE'!$AH$7:$AH$3006,MATCH(212,'CARNET DE SOUDURE'!$AV$7:$AV$3006,0)),""))</f>
        <v/>
      </c>
      <c r="K223" s="130" t="str">
        <f aca="false">IF($B223="","",INDEX('CARNET DE SOUDURE'!$AD$7:$AD$3006,MATCH(212,'CARNET DE SOUDURE'!$AV$7:$AV$3006,0))&amp;IF(INDEX('CARNET DE SOUDURE'!$AI$7:$AI$3006,MATCH(212,'CARNET DE SOUDURE'!$AV$7:$AV$3006,0))&lt;&gt;""," / "&amp;INDEX('CARNET DE SOUDURE'!$AI$7:$AI$3006,MATCH(212,'CARNET DE SOUDURE'!$AV$7:$AV$3006,0)),""))</f>
        <v/>
      </c>
      <c r="L223" s="130" t="str">
        <f aca="false">IF($B223="","",INDEX('CARNET DE SOUDURE'!$AG$7:$AG$3006,MATCH(212,'CARNET DE SOUDURE'!$AV$7:$AV$3006,0))&amp;IF(INDEX('CARNET DE SOUDURE'!$AL$7:$AL$3006,MATCH(212,'CARNET DE SOUDURE'!$AV$7:$AV$3006,0))&lt;&gt;""," / "&amp;INDEX('CARNET DE SOUDURE'!$AL$7:$AL$3006,MATCH(212,'CARNET DE SOUDURE'!$AV$7:$AV$3006,0)),""))</f>
        <v/>
      </c>
      <c r="M223" s="132" t="str">
        <f aca="false">IF($B223="","",INDEX('CARNET DE SOUDURE'!$AP$7:$AP$3006,MATCH(212,'CARNET DE SOUDURE'!$AV$7:$AV$3006,0)))</f>
        <v/>
      </c>
      <c r="N223" s="132" t="str">
        <f aca="false">IF($B223="","",INDEX('CARNET DE SOUDURE'!$AQ$7:$AQ$3006,MATCH(212,'CARNET DE SOUDURE'!$AV$7:$AV$3006,0)))</f>
        <v/>
      </c>
      <c r="O223" s="133" t="str">
        <f aca="false">IF($B223="","",INDEX('CARNET DE SOUDURE'!$AR$7:$AR$3006,MATCH(212,'CARNET DE SOUDURE'!$AV$7:$AV$3006,0)))</f>
        <v/>
      </c>
    </row>
    <row r="224" customFormat="false" ht="15" hidden="false" customHeight="false" outlineLevel="0" collapsed="false">
      <c r="B224" s="125" t="str">
        <f aca="false">IF(213&gt;$I$4,"",213)</f>
        <v/>
      </c>
      <c r="C224" s="125" t="str">
        <f aca="false">IF($B224="","",INDEX('CARNET DE SOUDURE'!$B$7:$B$3006,MATCH(213,'CARNET DE SOUDURE'!$AV$7:$AV$3006,0)))</f>
        <v/>
      </c>
      <c r="D224" s="125" t="str">
        <f aca="false">IF($B224="","",INDEX('CARNET DE SOUDURE'!$E$7:$E$3006,MATCH(213,'CARNET DE SOUDURE'!$AV$7:$AV$3006,0)))</f>
        <v/>
      </c>
      <c r="E224" s="125" t="str">
        <f aca="false">IF($B224="","",INDEX('CARNET DE SOUDURE'!$R$7:$R$3006,MATCH(213,'CARNET DE SOUDURE'!$AV$7:$AV$3006,0))&amp;IF(INDEX('CARNET DE SOUDURE'!$S$7:$S$3006,MATCH(213,'CARNET DE SOUDURE'!$AV$7:$AV$3006,0))&lt;&gt;""," / "&amp;INDEX('CARNET DE SOUDURE'!$S$7:$S$3006,MATCH(213,'CARNET DE SOUDURE'!$AV$7:$AV$3006,0)),"")&amp;IF(INDEX('CARNET DE SOUDURE'!$T$7:$T$3006,MATCH(213,'CARNET DE SOUDURE'!$AV$7:$AV$3006,0))&lt;&gt;""," / "&amp;INDEX('CARNET DE SOUDURE'!$T$7:$T$3006,MATCH(213,'CARNET DE SOUDURE'!$AV$7:$AV$3006,0)),""))</f>
        <v/>
      </c>
      <c r="F224" s="126" t="str">
        <f aca="false">IF($B224="","",INDEX('CARNET DE SOUDURE'!$Y$7:$Y$3006,MATCH(213,'CARNET DE SOUDURE'!$AV$7:$AV$3006,0)))</f>
        <v/>
      </c>
      <c r="G224" s="125" t="str">
        <f aca="false">IF($B224="","",INDEX('CARNET DE SOUDURE'!$Z$7:$Z$3006,MATCH(213,'CARNET DE SOUDURE'!$AV$7:$AV$3006,0))&amp;"")</f>
        <v/>
      </c>
      <c r="H224" s="127" t="str">
        <f aca="false">IF($B224="","",INDEX('CARNET DE SOUDURE'!$AA$7:$AA$3006,MATCH(213,'CARNET DE SOUDURE'!$AV$7:$AV$3006,0)))</f>
        <v/>
      </c>
      <c r="I224" s="125" t="str">
        <f aca="false">IF($B224="","",INDEX('CARNET DE SOUDURE'!$AB$7:$AB$3006,MATCH(213,'CARNET DE SOUDURE'!$AV$7:$AV$3006,0))&amp;"")</f>
        <v/>
      </c>
      <c r="J224" s="125" t="str">
        <f aca="false">IF($B224="","",INDEX('CARNET DE SOUDURE'!$AC$7:$AC$3006,MATCH(213,'CARNET DE SOUDURE'!$AV$7:$AV$3006,0))&amp;IF(INDEX('CARNET DE SOUDURE'!$AH$7:$AH$3006,MATCH(213,'CARNET DE SOUDURE'!$AV$7:$AV$3006,0))&lt;&gt;""," / "&amp;INDEX('CARNET DE SOUDURE'!$AH$7:$AH$3006,MATCH(213,'CARNET DE SOUDURE'!$AV$7:$AV$3006,0)),""))</f>
        <v/>
      </c>
      <c r="K224" s="125" t="str">
        <f aca="false">IF($B224="","",INDEX('CARNET DE SOUDURE'!$AD$7:$AD$3006,MATCH(213,'CARNET DE SOUDURE'!$AV$7:$AV$3006,0))&amp;IF(INDEX('CARNET DE SOUDURE'!$AI$7:$AI$3006,MATCH(213,'CARNET DE SOUDURE'!$AV$7:$AV$3006,0))&lt;&gt;""," / "&amp;INDEX('CARNET DE SOUDURE'!$AI$7:$AI$3006,MATCH(213,'CARNET DE SOUDURE'!$AV$7:$AV$3006,0)),""))</f>
        <v/>
      </c>
      <c r="L224" s="125" t="str">
        <f aca="false">IF($B224="","",INDEX('CARNET DE SOUDURE'!$AG$7:$AG$3006,MATCH(213,'CARNET DE SOUDURE'!$AV$7:$AV$3006,0))&amp;IF(INDEX('CARNET DE SOUDURE'!$AL$7:$AL$3006,MATCH(213,'CARNET DE SOUDURE'!$AV$7:$AV$3006,0))&lt;&gt;""," / "&amp;INDEX('CARNET DE SOUDURE'!$AL$7:$AL$3006,MATCH(213,'CARNET DE SOUDURE'!$AV$7:$AV$3006,0)),""))</f>
        <v/>
      </c>
      <c r="M224" s="127" t="str">
        <f aca="false">IF($B224="","",INDEX('CARNET DE SOUDURE'!$AP$7:$AP$3006,MATCH(213,'CARNET DE SOUDURE'!$AV$7:$AV$3006,0)))</f>
        <v/>
      </c>
      <c r="N224" s="127" t="str">
        <f aca="false">IF($B224="","",INDEX('CARNET DE SOUDURE'!$AQ$7:$AQ$3006,MATCH(213,'CARNET DE SOUDURE'!$AV$7:$AV$3006,0)))</f>
        <v/>
      </c>
      <c r="O224" s="128" t="str">
        <f aca="false">IF($B224="","",INDEX('CARNET DE SOUDURE'!$AR$7:$AR$3006,MATCH(213,'CARNET DE SOUDURE'!$AV$7:$AV$3006,0)))</f>
        <v/>
      </c>
    </row>
    <row r="225" customFormat="false" ht="15" hidden="false" customHeight="false" outlineLevel="0" collapsed="false">
      <c r="B225" s="130" t="str">
        <f aca="false">IF(214&gt;$I$4,"",214)</f>
        <v/>
      </c>
      <c r="C225" s="130" t="str">
        <f aca="false">IF($B225="","",INDEX('CARNET DE SOUDURE'!$B$7:$B$3006,MATCH(214,'CARNET DE SOUDURE'!$AV$7:$AV$3006,0)))</f>
        <v/>
      </c>
      <c r="D225" s="130" t="str">
        <f aca="false">IF($B225="","",INDEX('CARNET DE SOUDURE'!$E$7:$E$3006,MATCH(214,'CARNET DE SOUDURE'!$AV$7:$AV$3006,0)))</f>
        <v/>
      </c>
      <c r="E225" s="130" t="str">
        <f aca="false">IF($B225="","",INDEX('CARNET DE SOUDURE'!$R$7:$R$3006,MATCH(214,'CARNET DE SOUDURE'!$AV$7:$AV$3006,0))&amp;IF(INDEX('CARNET DE SOUDURE'!$S$7:$S$3006,MATCH(214,'CARNET DE SOUDURE'!$AV$7:$AV$3006,0))&lt;&gt;""," / "&amp;INDEX('CARNET DE SOUDURE'!$S$7:$S$3006,MATCH(214,'CARNET DE SOUDURE'!$AV$7:$AV$3006,0)),"")&amp;IF(INDEX('CARNET DE SOUDURE'!$T$7:$T$3006,MATCH(214,'CARNET DE SOUDURE'!$AV$7:$AV$3006,0))&lt;&gt;""," / "&amp;INDEX('CARNET DE SOUDURE'!$T$7:$T$3006,MATCH(214,'CARNET DE SOUDURE'!$AV$7:$AV$3006,0)),""))</f>
        <v/>
      </c>
      <c r="F225" s="131" t="str">
        <f aca="false">IF($B225="","",INDEX('CARNET DE SOUDURE'!$Y$7:$Y$3006,MATCH(214,'CARNET DE SOUDURE'!$AV$7:$AV$3006,0)))</f>
        <v/>
      </c>
      <c r="G225" s="130" t="str">
        <f aca="false">IF($B225="","",INDEX('CARNET DE SOUDURE'!$Z$7:$Z$3006,MATCH(214,'CARNET DE SOUDURE'!$AV$7:$AV$3006,0))&amp;"")</f>
        <v/>
      </c>
      <c r="H225" s="132" t="str">
        <f aca="false">IF($B225="","",INDEX('CARNET DE SOUDURE'!$AA$7:$AA$3006,MATCH(214,'CARNET DE SOUDURE'!$AV$7:$AV$3006,0)))</f>
        <v/>
      </c>
      <c r="I225" s="130" t="str">
        <f aca="false">IF($B225="","",INDEX('CARNET DE SOUDURE'!$AB$7:$AB$3006,MATCH(214,'CARNET DE SOUDURE'!$AV$7:$AV$3006,0))&amp;"")</f>
        <v/>
      </c>
      <c r="J225" s="130" t="str">
        <f aca="false">IF($B225="","",INDEX('CARNET DE SOUDURE'!$AC$7:$AC$3006,MATCH(214,'CARNET DE SOUDURE'!$AV$7:$AV$3006,0))&amp;IF(INDEX('CARNET DE SOUDURE'!$AH$7:$AH$3006,MATCH(214,'CARNET DE SOUDURE'!$AV$7:$AV$3006,0))&lt;&gt;""," / "&amp;INDEX('CARNET DE SOUDURE'!$AH$7:$AH$3006,MATCH(214,'CARNET DE SOUDURE'!$AV$7:$AV$3006,0)),""))</f>
        <v/>
      </c>
      <c r="K225" s="130" t="str">
        <f aca="false">IF($B225="","",INDEX('CARNET DE SOUDURE'!$AD$7:$AD$3006,MATCH(214,'CARNET DE SOUDURE'!$AV$7:$AV$3006,0))&amp;IF(INDEX('CARNET DE SOUDURE'!$AI$7:$AI$3006,MATCH(214,'CARNET DE SOUDURE'!$AV$7:$AV$3006,0))&lt;&gt;""," / "&amp;INDEX('CARNET DE SOUDURE'!$AI$7:$AI$3006,MATCH(214,'CARNET DE SOUDURE'!$AV$7:$AV$3006,0)),""))</f>
        <v/>
      </c>
      <c r="L225" s="130" t="str">
        <f aca="false">IF($B225="","",INDEX('CARNET DE SOUDURE'!$AG$7:$AG$3006,MATCH(214,'CARNET DE SOUDURE'!$AV$7:$AV$3006,0))&amp;IF(INDEX('CARNET DE SOUDURE'!$AL$7:$AL$3006,MATCH(214,'CARNET DE SOUDURE'!$AV$7:$AV$3006,0))&lt;&gt;""," / "&amp;INDEX('CARNET DE SOUDURE'!$AL$7:$AL$3006,MATCH(214,'CARNET DE SOUDURE'!$AV$7:$AV$3006,0)),""))</f>
        <v/>
      </c>
      <c r="M225" s="132" t="str">
        <f aca="false">IF($B225="","",INDEX('CARNET DE SOUDURE'!$AP$7:$AP$3006,MATCH(214,'CARNET DE SOUDURE'!$AV$7:$AV$3006,0)))</f>
        <v/>
      </c>
      <c r="N225" s="132" t="str">
        <f aca="false">IF($B225="","",INDEX('CARNET DE SOUDURE'!$AQ$7:$AQ$3006,MATCH(214,'CARNET DE SOUDURE'!$AV$7:$AV$3006,0)))</f>
        <v/>
      </c>
      <c r="O225" s="133" t="str">
        <f aca="false">IF($B225="","",INDEX('CARNET DE SOUDURE'!$AR$7:$AR$3006,MATCH(214,'CARNET DE SOUDURE'!$AV$7:$AV$3006,0)))</f>
        <v/>
      </c>
    </row>
    <row r="226" customFormat="false" ht="15" hidden="false" customHeight="false" outlineLevel="0" collapsed="false">
      <c r="B226" s="125" t="str">
        <f aca="false">IF(215&gt;$I$4,"",215)</f>
        <v/>
      </c>
      <c r="C226" s="125" t="str">
        <f aca="false">IF($B226="","",INDEX('CARNET DE SOUDURE'!$B$7:$B$3006,MATCH(215,'CARNET DE SOUDURE'!$AV$7:$AV$3006,0)))</f>
        <v/>
      </c>
      <c r="D226" s="125" t="str">
        <f aca="false">IF($B226="","",INDEX('CARNET DE SOUDURE'!$E$7:$E$3006,MATCH(215,'CARNET DE SOUDURE'!$AV$7:$AV$3006,0)))</f>
        <v/>
      </c>
      <c r="E226" s="125" t="str">
        <f aca="false">IF($B226="","",INDEX('CARNET DE SOUDURE'!$R$7:$R$3006,MATCH(215,'CARNET DE SOUDURE'!$AV$7:$AV$3006,0))&amp;IF(INDEX('CARNET DE SOUDURE'!$S$7:$S$3006,MATCH(215,'CARNET DE SOUDURE'!$AV$7:$AV$3006,0))&lt;&gt;""," / "&amp;INDEX('CARNET DE SOUDURE'!$S$7:$S$3006,MATCH(215,'CARNET DE SOUDURE'!$AV$7:$AV$3006,0)),"")&amp;IF(INDEX('CARNET DE SOUDURE'!$T$7:$T$3006,MATCH(215,'CARNET DE SOUDURE'!$AV$7:$AV$3006,0))&lt;&gt;""," / "&amp;INDEX('CARNET DE SOUDURE'!$T$7:$T$3006,MATCH(215,'CARNET DE SOUDURE'!$AV$7:$AV$3006,0)),""))</f>
        <v/>
      </c>
      <c r="F226" s="126" t="str">
        <f aca="false">IF($B226="","",INDEX('CARNET DE SOUDURE'!$Y$7:$Y$3006,MATCH(215,'CARNET DE SOUDURE'!$AV$7:$AV$3006,0)))</f>
        <v/>
      </c>
      <c r="G226" s="125" t="str">
        <f aca="false">IF($B226="","",INDEX('CARNET DE SOUDURE'!$Z$7:$Z$3006,MATCH(215,'CARNET DE SOUDURE'!$AV$7:$AV$3006,0))&amp;"")</f>
        <v/>
      </c>
      <c r="H226" s="127" t="str">
        <f aca="false">IF($B226="","",INDEX('CARNET DE SOUDURE'!$AA$7:$AA$3006,MATCH(215,'CARNET DE SOUDURE'!$AV$7:$AV$3006,0)))</f>
        <v/>
      </c>
      <c r="I226" s="125" t="str">
        <f aca="false">IF($B226="","",INDEX('CARNET DE SOUDURE'!$AB$7:$AB$3006,MATCH(215,'CARNET DE SOUDURE'!$AV$7:$AV$3006,0))&amp;"")</f>
        <v/>
      </c>
      <c r="J226" s="125" t="str">
        <f aca="false">IF($B226="","",INDEX('CARNET DE SOUDURE'!$AC$7:$AC$3006,MATCH(215,'CARNET DE SOUDURE'!$AV$7:$AV$3006,0))&amp;IF(INDEX('CARNET DE SOUDURE'!$AH$7:$AH$3006,MATCH(215,'CARNET DE SOUDURE'!$AV$7:$AV$3006,0))&lt;&gt;""," / "&amp;INDEX('CARNET DE SOUDURE'!$AH$7:$AH$3006,MATCH(215,'CARNET DE SOUDURE'!$AV$7:$AV$3006,0)),""))</f>
        <v/>
      </c>
      <c r="K226" s="125" t="str">
        <f aca="false">IF($B226="","",INDEX('CARNET DE SOUDURE'!$AD$7:$AD$3006,MATCH(215,'CARNET DE SOUDURE'!$AV$7:$AV$3006,0))&amp;IF(INDEX('CARNET DE SOUDURE'!$AI$7:$AI$3006,MATCH(215,'CARNET DE SOUDURE'!$AV$7:$AV$3006,0))&lt;&gt;""," / "&amp;INDEX('CARNET DE SOUDURE'!$AI$7:$AI$3006,MATCH(215,'CARNET DE SOUDURE'!$AV$7:$AV$3006,0)),""))</f>
        <v/>
      </c>
      <c r="L226" s="125" t="str">
        <f aca="false">IF($B226="","",INDEX('CARNET DE SOUDURE'!$AG$7:$AG$3006,MATCH(215,'CARNET DE SOUDURE'!$AV$7:$AV$3006,0))&amp;IF(INDEX('CARNET DE SOUDURE'!$AL$7:$AL$3006,MATCH(215,'CARNET DE SOUDURE'!$AV$7:$AV$3006,0))&lt;&gt;""," / "&amp;INDEX('CARNET DE SOUDURE'!$AL$7:$AL$3006,MATCH(215,'CARNET DE SOUDURE'!$AV$7:$AV$3006,0)),""))</f>
        <v/>
      </c>
      <c r="M226" s="127" t="str">
        <f aca="false">IF($B226="","",INDEX('CARNET DE SOUDURE'!$AP$7:$AP$3006,MATCH(215,'CARNET DE SOUDURE'!$AV$7:$AV$3006,0)))</f>
        <v/>
      </c>
      <c r="N226" s="127" t="str">
        <f aca="false">IF($B226="","",INDEX('CARNET DE SOUDURE'!$AQ$7:$AQ$3006,MATCH(215,'CARNET DE SOUDURE'!$AV$7:$AV$3006,0)))</f>
        <v/>
      </c>
      <c r="O226" s="128" t="str">
        <f aca="false">IF($B226="","",INDEX('CARNET DE SOUDURE'!$AR$7:$AR$3006,MATCH(215,'CARNET DE SOUDURE'!$AV$7:$AV$3006,0)))</f>
        <v/>
      </c>
    </row>
    <row r="227" customFormat="false" ht="15" hidden="false" customHeight="false" outlineLevel="0" collapsed="false">
      <c r="B227" s="130" t="str">
        <f aca="false">IF(216&gt;$I$4,"",216)</f>
        <v/>
      </c>
      <c r="C227" s="130" t="str">
        <f aca="false">IF($B227="","",INDEX('CARNET DE SOUDURE'!$B$7:$B$3006,MATCH(216,'CARNET DE SOUDURE'!$AV$7:$AV$3006,0)))</f>
        <v/>
      </c>
      <c r="D227" s="130" t="str">
        <f aca="false">IF($B227="","",INDEX('CARNET DE SOUDURE'!$E$7:$E$3006,MATCH(216,'CARNET DE SOUDURE'!$AV$7:$AV$3006,0)))</f>
        <v/>
      </c>
      <c r="E227" s="130" t="str">
        <f aca="false">IF($B227="","",INDEX('CARNET DE SOUDURE'!$R$7:$R$3006,MATCH(216,'CARNET DE SOUDURE'!$AV$7:$AV$3006,0))&amp;IF(INDEX('CARNET DE SOUDURE'!$S$7:$S$3006,MATCH(216,'CARNET DE SOUDURE'!$AV$7:$AV$3006,0))&lt;&gt;""," / "&amp;INDEX('CARNET DE SOUDURE'!$S$7:$S$3006,MATCH(216,'CARNET DE SOUDURE'!$AV$7:$AV$3006,0)),"")&amp;IF(INDEX('CARNET DE SOUDURE'!$T$7:$T$3006,MATCH(216,'CARNET DE SOUDURE'!$AV$7:$AV$3006,0))&lt;&gt;""," / "&amp;INDEX('CARNET DE SOUDURE'!$T$7:$T$3006,MATCH(216,'CARNET DE SOUDURE'!$AV$7:$AV$3006,0)),""))</f>
        <v/>
      </c>
      <c r="F227" s="131" t="str">
        <f aca="false">IF($B227="","",INDEX('CARNET DE SOUDURE'!$Y$7:$Y$3006,MATCH(216,'CARNET DE SOUDURE'!$AV$7:$AV$3006,0)))</f>
        <v/>
      </c>
      <c r="G227" s="130" t="str">
        <f aca="false">IF($B227="","",INDEX('CARNET DE SOUDURE'!$Z$7:$Z$3006,MATCH(216,'CARNET DE SOUDURE'!$AV$7:$AV$3006,0))&amp;"")</f>
        <v/>
      </c>
      <c r="H227" s="132" t="str">
        <f aca="false">IF($B227="","",INDEX('CARNET DE SOUDURE'!$AA$7:$AA$3006,MATCH(216,'CARNET DE SOUDURE'!$AV$7:$AV$3006,0)))</f>
        <v/>
      </c>
      <c r="I227" s="130" t="str">
        <f aca="false">IF($B227="","",INDEX('CARNET DE SOUDURE'!$AB$7:$AB$3006,MATCH(216,'CARNET DE SOUDURE'!$AV$7:$AV$3006,0))&amp;"")</f>
        <v/>
      </c>
      <c r="J227" s="130" t="str">
        <f aca="false">IF($B227="","",INDEX('CARNET DE SOUDURE'!$AC$7:$AC$3006,MATCH(216,'CARNET DE SOUDURE'!$AV$7:$AV$3006,0))&amp;IF(INDEX('CARNET DE SOUDURE'!$AH$7:$AH$3006,MATCH(216,'CARNET DE SOUDURE'!$AV$7:$AV$3006,0))&lt;&gt;""," / "&amp;INDEX('CARNET DE SOUDURE'!$AH$7:$AH$3006,MATCH(216,'CARNET DE SOUDURE'!$AV$7:$AV$3006,0)),""))</f>
        <v/>
      </c>
      <c r="K227" s="130" t="str">
        <f aca="false">IF($B227="","",INDEX('CARNET DE SOUDURE'!$AD$7:$AD$3006,MATCH(216,'CARNET DE SOUDURE'!$AV$7:$AV$3006,0))&amp;IF(INDEX('CARNET DE SOUDURE'!$AI$7:$AI$3006,MATCH(216,'CARNET DE SOUDURE'!$AV$7:$AV$3006,0))&lt;&gt;""," / "&amp;INDEX('CARNET DE SOUDURE'!$AI$7:$AI$3006,MATCH(216,'CARNET DE SOUDURE'!$AV$7:$AV$3006,0)),""))</f>
        <v/>
      </c>
      <c r="L227" s="130" t="str">
        <f aca="false">IF($B227="","",INDEX('CARNET DE SOUDURE'!$AG$7:$AG$3006,MATCH(216,'CARNET DE SOUDURE'!$AV$7:$AV$3006,0))&amp;IF(INDEX('CARNET DE SOUDURE'!$AL$7:$AL$3006,MATCH(216,'CARNET DE SOUDURE'!$AV$7:$AV$3006,0))&lt;&gt;""," / "&amp;INDEX('CARNET DE SOUDURE'!$AL$7:$AL$3006,MATCH(216,'CARNET DE SOUDURE'!$AV$7:$AV$3006,0)),""))</f>
        <v/>
      </c>
      <c r="M227" s="132" t="str">
        <f aca="false">IF($B227="","",INDEX('CARNET DE SOUDURE'!$AP$7:$AP$3006,MATCH(216,'CARNET DE SOUDURE'!$AV$7:$AV$3006,0)))</f>
        <v/>
      </c>
      <c r="N227" s="132" t="str">
        <f aca="false">IF($B227="","",INDEX('CARNET DE SOUDURE'!$AQ$7:$AQ$3006,MATCH(216,'CARNET DE SOUDURE'!$AV$7:$AV$3006,0)))</f>
        <v/>
      </c>
      <c r="O227" s="133" t="str">
        <f aca="false">IF($B227="","",INDEX('CARNET DE SOUDURE'!$AR$7:$AR$3006,MATCH(216,'CARNET DE SOUDURE'!$AV$7:$AV$3006,0)))</f>
        <v/>
      </c>
    </row>
    <row r="228" customFormat="false" ht="15" hidden="false" customHeight="false" outlineLevel="0" collapsed="false">
      <c r="B228" s="125" t="str">
        <f aca="false">IF(217&gt;$I$4,"",217)</f>
        <v/>
      </c>
      <c r="C228" s="125" t="str">
        <f aca="false">IF($B228="","",INDEX('CARNET DE SOUDURE'!$B$7:$B$3006,MATCH(217,'CARNET DE SOUDURE'!$AV$7:$AV$3006,0)))</f>
        <v/>
      </c>
      <c r="D228" s="125" t="str">
        <f aca="false">IF($B228="","",INDEX('CARNET DE SOUDURE'!$E$7:$E$3006,MATCH(217,'CARNET DE SOUDURE'!$AV$7:$AV$3006,0)))</f>
        <v/>
      </c>
      <c r="E228" s="125" t="str">
        <f aca="false">IF($B228="","",INDEX('CARNET DE SOUDURE'!$R$7:$R$3006,MATCH(217,'CARNET DE SOUDURE'!$AV$7:$AV$3006,0))&amp;IF(INDEX('CARNET DE SOUDURE'!$S$7:$S$3006,MATCH(217,'CARNET DE SOUDURE'!$AV$7:$AV$3006,0))&lt;&gt;""," / "&amp;INDEX('CARNET DE SOUDURE'!$S$7:$S$3006,MATCH(217,'CARNET DE SOUDURE'!$AV$7:$AV$3006,0)),"")&amp;IF(INDEX('CARNET DE SOUDURE'!$T$7:$T$3006,MATCH(217,'CARNET DE SOUDURE'!$AV$7:$AV$3006,0))&lt;&gt;""," / "&amp;INDEX('CARNET DE SOUDURE'!$T$7:$T$3006,MATCH(217,'CARNET DE SOUDURE'!$AV$7:$AV$3006,0)),""))</f>
        <v/>
      </c>
      <c r="F228" s="126" t="str">
        <f aca="false">IF($B228="","",INDEX('CARNET DE SOUDURE'!$Y$7:$Y$3006,MATCH(217,'CARNET DE SOUDURE'!$AV$7:$AV$3006,0)))</f>
        <v/>
      </c>
      <c r="G228" s="125" t="str">
        <f aca="false">IF($B228="","",INDEX('CARNET DE SOUDURE'!$Z$7:$Z$3006,MATCH(217,'CARNET DE SOUDURE'!$AV$7:$AV$3006,0))&amp;"")</f>
        <v/>
      </c>
      <c r="H228" s="127" t="str">
        <f aca="false">IF($B228="","",INDEX('CARNET DE SOUDURE'!$AA$7:$AA$3006,MATCH(217,'CARNET DE SOUDURE'!$AV$7:$AV$3006,0)))</f>
        <v/>
      </c>
      <c r="I228" s="125" t="str">
        <f aca="false">IF($B228="","",INDEX('CARNET DE SOUDURE'!$AB$7:$AB$3006,MATCH(217,'CARNET DE SOUDURE'!$AV$7:$AV$3006,0))&amp;"")</f>
        <v/>
      </c>
      <c r="J228" s="125" t="str">
        <f aca="false">IF($B228="","",INDEX('CARNET DE SOUDURE'!$AC$7:$AC$3006,MATCH(217,'CARNET DE SOUDURE'!$AV$7:$AV$3006,0))&amp;IF(INDEX('CARNET DE SOUDURE'!$AH$7:$AH$3006,MATCH(217,'CARNET DE SOUDURE'!$AV$7:$AV$3006,0))&lt;&gt;""," / "&amp;INDEX('CARNET DE SOUDURE'!$AH$7:$AH$3006,MATCH(217,'CARNET DE SOUDURE'!$AV$7:$AV$3006,0)),""))</f>
        <v/>
      </c>
      <c r="K228" s="125" t="str">
        <f aca="false">IF($B228="","",INDEX('CARNET DE SOUDURE'!$AD$7:$AD$3006,MATCH(217,'CARNET DE SOUDURE'!$AV$7:$AV$3006,0))&amp;IF(INDEX('CARNET DE SOUDURE'!$AI$7:$AI$3006,MATCH(217,'CARNET DE SOUDURE'!$AV$7:$AV$3006,0))&lt;&gt;""," / "&amp;INDEX('CARNET DE SOUDURE'!$AI$7:$AI$3006,MATCH(217,'CARNET DE SOUDURE'!$AV$7:$AV$3006,0)),""))</f>
        <v/>
      </c>
      <c r="L228" s="125" t="str">
        <f aca="false">IF($B228="","",INDEX('CARNET DE SOUDURE'!$AG$7:$AG$3006,MATCH(217,'CARNET DE SOUDURE'!$AV$7:$AV$3006,0))&amp;IF(INDEX('CARNET DE SOUDURE'!$AL$7:$AL$3006,MATCH(217,'CARNET DE SOUDURE'!$AV$7:$AV$3006,0))&lt;&gt;""," / "&amp;INDEX('CARNET DE SOUDURE'!$AL$7:$AL$3006,MATCH(217,'CARNET DE SOUDURE'!$AV$7:$AV$3006,0)),""))</f>
        <v/>
      </c>
      <c r="M228" s="127" t="str">
        <f aca="false">IF($B228="","",INDEX('CARNET DE SOUDURE'!$AP$7:$AP$3006,MATCH(217,'CARNET DE SOUDURE'!$AV$7:$AV$3006,0)))</f>
        <v/>
      </c>
      <c r="N228" s="127" t="str">
        <f aca="false">IF($B228="","",INDEX('CARNET DE SOUDURE'!$AQ$7:$AQ$3006,MATCH(217,'CARNET DE SOUDURE'!$AV$7:$AV$3006,0)))</f>
        <v/>
      </c>
      <c r="O228" s="128" t="str">
        <f aca="false">IF($B228="","",INDEX('CARNET DE SOUDURE'!$AR$7:$AR$3006,MATCH(217,'CARNET DE SOUDURE'!$AV$7:$AV$3006,0)))</f>
        <v/>
      </c>
    </row>
    <row r="229" customFormat="false" ht="15" hidden="false" customHeight="false" outlineLevel="0" collapsed="false">
      <c r="B229" s="130" t="str">
        <f aca="false">IF(218&gt;$I$4,"",218)</f>
        <v/>
      </c>
      <c r="C229" s="130" t="str">
        <f aca="false">IF($B229="","",INDEX('CARNET DE SOUDURE'!$B$7:$B$3006,MATCH(218,'CARNET DE SOUDURE'!$AV$7:$AV$3006,0)))</f>
        <v/>
      </c>
      <c r="D229" s="130" t="str">
        <f aca="false">IF($B229="","",INDEX('CARNET DE SOUDURE'!$E$7:$E$3006,MATCH(218,'CARNET DE SOUDURE'!$AV$7:$AV$3006,0)))</f>
        <v/>
      </c>
      <c r="E229" s="130" t="str">
        <f aca="false">IF($B229="","",INDEX('CARNET DE SOUDURE'!$R$7:$R$3006,MATCH(218,'CARNET DE SOUDURE'!$AV$7:$AV$3006,0))&amp;IF(INDEX('CARNET DE SOUDURE'!$S$7:$S$3006,MATCH(218,'CARNET DE SOUDURE'!$AV$7:$AV$3006,0))&lt;&gt;""," / "&amp;INDEX('CARNET DE SOUDURE'!$S$7:$S$3006,MATCH(218,'CARNET DE SOUDURE'!$AV$7:$AV$3006,0)),"")&amp;IF(INDEX('CARNET DE SOUDURE'!$T$7:$T$3006,MATCH(218,'CARNET DE SOUDURE'!$AV$7:$AV$3006,0))&lt;&gt;""," / "&amp;INDEX('CARNET DE SOUDURE'!$T$7:$T$3006,MATCH(218,'CARNET DE SOUDURE'!$AV$7:$AV$3006,0)),""))</f>
        <v/>
      </c>
      <c r="F229" s="131" t="str">
        <f aca="false">IF($B229="","",INDEX('CARNET DE SOUDURE'!$Y$7:$Y$3006,MATCH(218,'CARNET DE SOUDURE'!$AV$7:$AV$3006,0)))</f>
        <v/>
      </c>
      <c r="G229" s="130" t="str">
        <f aca="false">IF($B229="","",INDEX('CARNET DE SOUDURE'!$Z$7:$Z$3006,MATCH(218,'CARNET DE SOUDURE'!$AV$7:$AV$3006,0))&amp;"")</f>
        <v/>
      </c>
      <c r="H229" s="132" t="str">
        <f aca="false">IF($B229="","",INDEX('CARNET DE SOUDURE'!$AA$7:$AA$3006,MATCH(218,'CARNET DE SOUDURE'!$AV$7:$AV$3006,0)))</f>
        <v/>
      </c>
      <c r="I229" s="130" t="str">
        <f aca="false">IF($B229="","",INDEX('CARNET DE SOUDURE'!$AB$7:$AB$3006,MATCH(218,'CARNET DE SOUDURE'!$AV$7:$AV$3006,0))&amp;"")</f>
        <v/>
      </c>
      <c r="J229" s="130" t="str">
        <f aca="false">IF($B229="","",INDEX('CARNET DE SOUDURE'!$AC$7:$AC$3006,MATCH(218,'CARNET DE SOUDURE'!$AV$7:$AV$3006,0))&amp;IF(INDEX('CARNET DE SOUDURE'!$AH$7:$AH$3006,MATCH(218,'CARNET DE SOUDURE'!$AV$7:$AV$3006,0))&lt;&gt;""," / "&amp;INDEX('CARNET DE SOUDURE'!$AH$7:$AH$3006,MATCH(218,'CARNET DE SOUDURE'!$AV$7:$AV$3006,0)),""))</f>
        <v/>
      </c>
      <c r="K229" s="130" t="str">
        <f aca="false">IF($B229="","",INDEX('CARNET DE SOUDURE'!$AD$7:$AD$3006,MATCH(218,'CARNET DE SOUDURE'!$AV$7:$AV$3006,0))&amp;IF(INDEX('CARNET DE SOUDURE'!$AI$7:$AI$3006,MATCH(218,'CARNET DE SOUDURE'!$AV$7:$AV$3006,0))&lt;&gt;""," / "&amp;INDEX('CARNET DE SOUDURE'!$AI$7:$AI$3006,MATCH(218,'CARNET DE SOUDURE'!$AV$7:$AV$3006,0)),""))</f>
        <v/>
      </c>
      <c r="L229" s="130" t="str">
        <f aca="false">IF($B229="","",INDEX('CARNET DE SOUDURE'!$AG$7:$AG$3006,MATCH(218,'CARNET DE SOUDURE'!$AV$7:$AV$3006,0))&amp;IF(INDEX('CARNET DE SOUDURE'!$AL$7:$AL$3006,MATCH(218,'CARNET DE SOUDURE'!$AV$7:$AV$3006,0))&lt;&gt;""," / "&amp;INDEX('CARNET DE SOUDURE'!$AL$7:$AL$3006,MATCH(218,'CARNET DE SOUDURE'!$AV$7:$AV$3006,0)),""))</f>
        <v/>
      </c>
      <c r="M229" s="132" t="str">
        <f aca="false">IF($B229="","",INDEX('CARNET DE SOUDURE'!$AP$7:$AP$3006,MATCH(218,'CARNET DE SOUDURE'!$AV$7:$AV$3006,0)))</f>
        <v/>
      </c>
      <c r="N229" s="132" t="str">
        <f aca="false">IF($B229="","",INDEX('CARNET DE SOUDURE'!$AQ$7:$AQ$3006,MATCH(218,'CARNET DE SOUDURE'!$AV$7:$AV$3006,0)))</f>
        <v/>
      </c>
      <c r="O229" s="133" t="str">
        <f aca="false">IF($B229="","",INDEX('CARNET DE SOUDURE'!$AR$7:$AR$3006,MATCH(218,'CARNET DE SOUDURE'!$AV$7:$AV$3006,0)))</f>
        <v/>
      </c>
    </row>
    <row r="230" customFormat="false" ht="15" hidden="false" customHeight="false" outlineLevel="0" collapsed="false">
      <c r="B230" s="125" t="str">
        <f aca="false">IF(219&gt;$I$4,"",219)</f>
        <v/>
      </c>
      <c r="C230" s="125" t="str">
        <f aca="false">IF($B230="","",INDEX('CARNET DE SOUDURE'!$B$7:$B$3006,MATCH(219,'CARNET DE SOUDURE'!$AV$7:$AV$3006,0)))</f>
        <v/>
      </c>
      <c r="D230" s="125" t="str">
        <f aca="false">IF($B230="","",INDEX('CARNET DE SOUDURE'!$E$7:$E$3006,MATCH(219,'CARNET DE SOUDURE'!$AV$7:$AV$3006,0)))</f>
        <v/>
      </c>
      <c r="E230" s="125" t="str">
        <f aca="false">IF($B230="","",INDEX('CARNET DE SOUDURE'!$R$7:$R$3006,MATCH(219,'CARNET DE SOUDURE'!$AV$7:$AV$3006,0))&amp;IF(INDEX('CARNET DE SOUDURE'!$S$7:$S$3006,MATCH(219,'CARNET DE SOUDURE'!$AV$7:$AV$3006,0))&lt;&gt;""," / "&amp;INDEX('CARNET DE SOUDURE'!$S$7:$S$3006,MATCH(219,'CARNET DE SOUDURE'!$AV$7:$AV$3006,0)),"")&amp;IF(INDEX('CARNET DE SOUDURE'!$T$7:$T$3006,MATCH(219,'CARNET DE SOUDURE'!$AV$7:$AV$3006,0))&lt;&gt;""," / "&amp;INDEX('CARNET DE SOUDURE'!$T$7:$T$3006,MATCH(219,'CARNET DE SOUDURE'!$AV$7:$AV$3006,0)),""))</f>
        <v/>
      </c>
      <c r="F230" s="126" t="str">
        <f aca="false">IF($B230="","",INDEX('CARNET DE SOUDURE'!$Y$7:$Y$3006,MATCH(219,'CARNET DE SOUDURE'!$AV$7:$AV$3006,0)))</f>
        <v/>
      </c>
      <c r="G230" s="125" t="str">
        <f aca="false">IF($B230="","",INDEX('CARNET DE SOUDURE'!$Z$7:$Z$3006,MATCH(219,'CARNET DE SOUDURE'!$AV$7:$AV$3006,0))&amp;"")</f>
        <v/>
      </c>
      <c r="H230" s="127" t="str">
        <f aca="false">IF($B230="","",INDEX('CARNET DE SOUDURE'!$AA$7:$AA$3006,MATCH(219,'CARNET DE SOUDURE'!$AV$7:$AV$3006,0)))</f>
        <v/>
      </c>
      <c r="I230" s="125" t="str">
        <f aca="false">IF($B230="","",INDEX('CARNET DE SOUDURE'!$AB$7:$AB$3006,MATCH(219,'CARNET DE SOUDURE'!$AV$7:$AV$3006,0))&amp;"")</f>
        <v/>
      </c>
      <c r="J230" s="125" t="str">
        <f aca="false">IF($B230="","",INDEX('CARNET DE SOUDURE'!$AC$7:$AC$3006,MATCH(219,'CARNET DE SOUDURE'!$AV$7:$AV$3006,0))&amp;IF(INDEX('CARNET DE SOUDURE'!$AH$7:$AH$3006,MATCH(219,'CARNET DE SOUDURE'!$AV$7:$AV$3006,0))&lt;&gt;""," / "&amp;INDEX('CARNET DE SOUDURE'!$AH$7:$AH$3006,MATCH(219,'CARNET DE SOUDURE'!$AV$7:$AV$3006,0)),""))</f>
        <v/>
      </c>
      <c r="K230" s="125" t="str">
        <f aca="false">IF($B230="","",INDEX('CARNET DE SOUDURE'!$AD$7:$AD$3006,MATCH(219,'CARNET DE SOUDURE'!$AV$7:$AV$3006,0))&amp;IF(INDEX('CARNET DE SOUDURE'!$AI$7:$AI$3006,MATCH(219,'CARNET DE SOUDURE'!$AV$7:$AV$3006,0))&lt;&gt;""," / "&amp;INDEX('CARNET DE SOUDURE'!$AI$7:$AI$3006,MATCH(219,'CARNET DE SOUDURE'!$AV$7:$AV$3006,0)),""))</f>
        <v/>
      </c>
      <c r="L230" s="125" t="str">
        <f aca="false">IF($B230="","",INDEX('CARNET DE SOUDURE'!$AG$7:$AG$3006,MATCH(219,'CARNET DE SOUDURE'!$AV$7:$AV$3006,0))&amp;IF(INDEX('CARNET DE SOUDURE'!$AL$7:$AL$3006,MATCH(219,'CARNET DE SOUDURE'!$AV$7:$AV$3006,0))&lt;&gt;""," / "&amp;INDEX('CARNET DE SOUDURE'!$AL$7:$AL$3006,MATCH(219,'CARNET DE SOUDURE'!$AV$7:$AV$3006,0)),""))</f>
        <v/>
      </c>
      <c r="M230" s="127" t="str">
        <f aca="false">IF($B230="","",INDEX('CARNET DE SOUDURE'!$AP$7:$AP$3006,MATCH(219,'CARNET DE SOUDURE'!$AV$7:$AV$3006,0)))</f>
        <v/>
      </c>
      <c r="N230" s="127" t="str">
        <f aca="false">IF($B230="","",INDEX('CARNET DE SOUDURE'!$AQ$7:$AQ$3006,MATCH(219,'CARNET DE SOUDURE'!$AV$7:$AV$3006,0)))</f>
        <v/>
      </c>
      <c r="O230" s="128" t="str">
        <f aca="false">IF($B230="","",INDEX('CARNET DE SOUDURE'!$AR$7:$AR$3006,MATCH(219,'CARNET DE SOUDURE'!$AV$7:$AV$3006,0)))</f>
        <v/>
      </c>
    </row>
    <row r="231" customFormat="false" ht="15" hidden="false" customHeight="false" outlineLevel="0" collapsed="false">
      <c r="B231" s="130" t="str">
        <f aca="false">IF(220&gt;$I$4,"",220)</f>
        <v/>
      </c>
      <c r="C231" s="130" t="str">
        <f aca="false">IF($B231="","",INDEX('CARNET DE SOUDURE'!$B$7:$B$3006,MATCH(220,'CARNET DE SOUDURE'!$AV$7:$AV$3006,0)))</f>
        <v/>
      </c>
      <c r="D231" s="130" t="str">
        <f aca="false">IF($B231="","",INDEX('CARNET DE SOUDURE'!$E$7:$E$3006,MATCH(220,'CARNET DE SOUDURE'!$AV$7:$AV$3006,0)))</f>
        <v/>
      </c>
      <c r="E231" s="130" t="str">
        <f aca="false">IF($B231="","",INDEX('CARNET DE SOUDURE'!$R$7:$R$3006,MATCH(220,'CARNET DE SOUDURE'!$AV$7:$AV$3006,0))&amp;IF(INDEX('CARNET DE SOUDURE'!$S$7:$S$3006,MATCH(220,'CARNET DE SOUDURE'!$AV$7:$AV$3006,0))&lt;&gt;""," / "&amp;INDEX('CARNET DE SOUDURE'!$S$7:$S$3006,MATCH(220,'CARNET DE SOUDURE'!$AV$7:$AV$3006,0)),"")&amp;IF(INDEX('CARNET DE SOUDURE'!$T$7:$T$3006,MATCH(220,'CARNET DE SOUDURE'!$AV$7:$AV$3006,0))&lt;&gt;""," / "&amp;INDEX('CARNET DE SOUDURE'!$T$7:$T$3006,MATCH(220,'CARNET DE SOUDURE'!$AV$7:$AV$3006,0)),""))</f>
        <v/>
      </c>
      <c r="F231" s="131" t="str">
        <f aca="false">IF($B231="","",INDEX('CARNET DE SOUDURE'!$Y$7:$Y$3006,MATCH(220,'CARNET DE SOUDURE'!$AV$7:$AV$3006,0)))</f>
        <v/>
      </c>
      <c r="G231" s="130" t="str">
        <f aca="false">IF($B231="","",INDEX('CARNET DE SOUDURE'!$Z$7:$Z$3006,MATCH(220,'CARNET DE SOUDURE'!$AV$7:$AV$3006,0))&amp;"")</f>
        <v/>
      </c>
      <c r="H231" s="132" t="str">
        <f aca="false">IF($B231="","",INDEX('CARNET DE SOUDURE'!$AA$7:$AA$3006,MATCH(220,'CARNET DE SOUDURE'!$AV$7:$AV$3006,0)))</f>
        <v/>
      </c>
      <c r="I231" s="130" t="str">
        <f aca="false">IF($B231="","",INDEX('CARNET DE SOUDURE'!$AB$7:$AB$3006,MATCH(220,'CARNET DE SOUDURE'!$AV$7:$AV$3006,0))&amp;"")</f>
        <v/>
      </c>
      <c r="J231" s="130" t="str">
        <f aca="false">IF($B231="","",INDEX('CARNET DE SOUDURE'!$AC$7:$AC$3006,MATCH(220,'CARNET DE SOUDURE'!$AV$7:$AV$3006,0))&amp;IF(INDEX('CARNET DE SOUDURE'!$AH$7:$AH$3006,MATCH(220,'CARNET DE SOUDURE'!$AV$7:$AV$3006,0))&lt;&gt;""," / "&amp;INDEX('CARNET DE SOUDURE'!$AH$7:$AH$3006,MATCH(220,'CARNET DE SOUDURE'!$AV$7:$AV$3006,0)),""))</f>
        <v/>
      </c>
      <c r="K231" s="130" t="str">
        <f aca="false">IF($B231="","",INDEX('CARNET DE SOUDURE'!$AD$7:$AD$3006,MATCH(220,'CARNET DE SOUDURE'!$AV$7:$AV$3006,0))&amp;IF(INDEX('CARNET DE SOUDURE'!$AI$7:$AI$3006,MATCH(220,'CARNET DE SOUDURE'!$AV$7:$AV$3006,0))&lt;&gt;""," / "&amp;INDEX('CARNET DE SOUDURE'!$AI$7:$AI$3006,MATCH(220,'CARNET DE SOUDURE'!$AV$7:$AV$3006,0)),""))</f>
        <v/>
      </c>
      <c r="L231" s="130" t="str">
        <f aca="false">IF($B231="","",INDEX('CARNET DE SOUDURE'!$AG$7:$AG$3006,MATCH(220,'CARNET DE SOUDURE'!$AV$7:$AV$3006,0))&amp;IF(INDEX('CARNET DE SOUDURE'!$AL$7:$AL$3006,MATCH(220,'CARNET DE SOUDURE'!$AV$7:$AV$3006,0))&lt;&gt;""," / "&amp;INDEX('CARNET DE SOUDURE'!$AL$7:$AL$3006,MATCH(220,'CARNET DE SOUDURE'!$AV$7:$AV$3006,0)),""))</f>
        <v/>
      </c>
      <c r="M231" s="132" t="str">
        <f aca="false">IF($B231="","",INDEX('CARNET DE SOUDURE'!$AP$7:$AP$3006,MATCH(220,'CARNET DE SOUDURE'!$AV$7:$AV$3006,0)))</f>
        <v/>
      </c>
      <c r="N231" s="132" t="str">
        <f aca="false">IF($B231="","",INDEX('CARNET DE SOUDURE'!$AQ$7:$AQ$3006,MATCH(220,'CARNET DE SOUDURE'!$AV$7:$AV$3006,0)))</f>
        <v/>
      </c>
      <c r="O231" s="133" t="str">
        <f aca="false">IF($B231="","",INDEX('CARNET DE SOUDURE'!$AR$7:$AR$3006,MATCH(220,'CARNET DE SOUDURE'!$AV$7:$AV$3006,0)))</f>
        <v/>
      </c>
    </row>
    <row r="232" customFormat="false" ht="15" hidden="false" customHeight="false" outlineLevel="0" collapsed="false">
      <c r="B232" s="125" t="str">
        <f aca="false">IF(221&gt;$I$4,"",221)</f>
        <v/>
      </c>
      <c r="C232" s="125" t="str">
        <f aca="false">IF($B232="","",INDEX('CARNET DE SOUDURE'!$B$7:$B$3006,MATCH(221,'CARNET DE SOUDURE'!$AV$7:$AV$3006,0)))</f>
        <v/>
      </c>
      <c r="D232" s="125" t="str">
        <f aca="false">IF($B232="","",INDEX('CARNET DE SOUDURE'!$E$7:$E$3006,MATCH(221,'CARNET DE SOUDURE'!$AV$7:$AV$3006,0)))</f>
        <v/>
      </c>
      <c r="E232" s="125" t="str">
        <f aca="false">IF($B232="","",INDEX('CARNET DE SOUDURE'!$R$7:$R$3006,MATCH(221,'CARNET DE SOUDURE'!$AV$7:$AV$3006,0))&amp;IF(INDEX('CARNET DE SOUDURE'!$S$7:$S$3006,MATCH(221,'CARNET DE SOUDURE'!$AV$7:$AV$3006,0))&lt;&gt;""," / "&amp;INDEX('CARNET DE SOUDURE'!$S$7:$S$3006,MATCH(221,'CARNET DE SOUDURE'!$AV$7:$AV$3006,0)),"")&amp;IF(INDEX('CARNET DE SOUDURE'!$T$7:$T$3006,MATCH(221,'CARNET DE SOUDURE'!$AV$7:$AV$3006,0))&lt;&gt;""," / "&amp;INDEX('CARNET DE SOUDURE'!$T$7:$T$3006,MATCH(221,'CARNET DE SOUDURE'!$AV$7:$AV$3006,0)),""))</f>
        <v/>
      </c>
      <c r="F232" s="126" t="str">
        <f aca="false">IF($B232="","",INDEX('CARNET DE SOUDURE'!$Y$7:$Y$3006,MATCH(221,'CARNET DE SOUDURE'!$AV$7:$AV$3006,0)))</f>
        <v/>
      </c>
      <c r="G232" s="125" t="str">
        <f aca="false">IF($B232="","",INDEX('CARNET DE SOUDURE'!$Z$7:$Z$3006,MATCH(221,'CARNET DE SOUDURE'!$AV$7:$AV$3006,0))&amp;"")</f>
        <v/>
      </c>
      <c r="H232" s="127" t="str">
        <f aca="false">IF($B232="","",INDEX('CARNET DE SOUDURE'!$AA$7:$AA$3006,MATCH(221,'CARNET DE SOUDURE'!$AV$7:$AV$3006,0)))</f>
        <v/>
      </c>
      <c r="I232" s="125" t="str">
        <f aca="false">IF($B232="","",INDEX('CARNET DE SOUDURE'!$AB$7:$AB$3006,MATCH(221,'CARNET DE SOUDURE'!$AV$7:$AV$3006,0))&amp;"")</f>
        <v/>
      </c>
      <c r="J232" s="125" t="str">
        <f aca="false">IF($B232="","",INDEX('CARNET DE SOUDURE'!$AC$7:$AC$3006,MATCH(221,'CARNET DE SOUDURE'!$AV$7:$AV$3006,0))&amp;IF(INDEX('CARNET DE SOUDURE'!$AH$7:$AH$3006,MATCH(221,'CARNET DE SOUDURE'!$AV$7:$AV$3006,0))&lt;&gt;""," / "&amp;INDEX('CARNET DE SOUDURE'!$AH$7:$AH$3006,MATCH(221,'CARNET DE SOUDURE'!$AV$7:$AV$3006,0)),""))</f>
        <v/>
      </c>
      <c r="K232" s="125" t="str">
        <f aca="false">IF($B232="","",INDEX('CARNET DE SOUDURE'!$AD$7:$AD$3006,MATCH(221,'CARNET DE SOUDURE'!$AV$7:$AV$3006,0))&amp;IF(INDEX('CARNET DE SOUDURE'!$AI$7:$AI$3006,MATCH(221,'CARNET DE SOUDURE'!$AV$7:$AV$3006,0))&lt;&gt;""," / "&amp;INDEX('CARNET DE SOUDURE'!$AI$7:$AI$3006,MATCH(221,'CARNET DE SOUDURE'!$AV$7:$AV$3006,0)),""))</f>
        <v/>
      </c>
      <c r="L232" s="125" t="str">
        <f aca="false">IF($B232="","",INDEX('CARNET DE SOUDURE'!$AG$7:$AG$3006,MATCH(221,'CARNET DE SOUDURE'!$AV$7:$AV$3006,0))&amp;IF(INDEX('CARNET DE SOUDURE'!$AL$7:$AL$3006,MATCH(221,'CARNET DE SOUDURE'!$AV$7:$AV$3006,0))&lt;&gt;""," / "&amp;INDEX('CARNET DE SOUDURE'!$AL$7:$AL$3006,MATCH(221,'CARNET DE SOUDURE'!$AV$7:$AV$3006,0)),""))</f>
        <v/>
      </c>
      <c r="M232" s="127" t="str">
        <f aca="false">IF($B232="","",INDEX('CARNET DE SOUDURE'!$AP$7:$AP$3006,MATCH(221,'CARNET DE SOUDURE'!$AV$7:$AV$3006,0)))</f>
        <v/>
      </c>
      <c r="N232" s="127" t="str">
        <f aca="false">IF($B232="","",INDEX('CARNET DE SOUDURE'!$AQ$7:$AQ$3006,MATCH(221,'CARNET DE SOUDURE'!$AV$7:$AV$3006,0)))</f>
        <v/>
      </c>
      <c r="O232" s="128" t="str">
        <f aca="false">IF($B232="","",INDEX('CARNET DE SOUDURE'!$AR$7:$AR$3006,MATCH(221,'CARNET DE SOUDURE'!$AV$7:$AV$3006,0)))</f>
        <v/>
      </c>
    </row>
    <row r="233" customFormat="false" ht="15" hidden="false" customHeight="false" outlineLevel="0" collapsed="false">
      <c r="B233" s="130" t="str">
        <f aca="false">IF(222&gt;$I$4,"",222)</f>
        <v/>
      </c>
      <c r="C233" s="130" t="str">
        <f aca="false">IF($B233="","",INDEX('CARNET DE SOUDURE'!$B$7:$B$3006,MATCH(222,'CARNET DE SOUDURE'!$AV$7:$AV$3006,0)))</f>
        <v/>
      </c>
      <c r="D233" s="130" t="str">
        <f aca="false">IF($B233="","",INDEX('CARNET DE SOUDURE'!$E$7:$E$3006,MATCH(222,'CARNET DE SOUDURE'!$AV$7:$AV$3006,0)))</f>
        <v/>
      </c>
      <c r="E233" s="130" t="str">
        <f aca="false">IF($B233="","",INDEX('CARNET DE SOUDURE'!$R$7:$R$3006,MATCH(222,'CARNET DE SOUDURE'!$AV$7:$AV$3006,0))&amp;IF(INDEX('CARNET DE SOUDURE'!$S$7:$S$3006,MATCH(222,'CARNET DE SOUDURE'!$AV$7:$AV$3006,0))&lt;&gt;""," / "&amp;INDEX('CARNET DE SOUDURE'!$S$7:$S$3006,MATCH(222,'CARNET DE SOUDURE'!$AV$7:$AV$3006,0)),"")&amp;IF(INDEX('CARNET DE SOUDURE'!$T$7:$T$3006,MATCH(222,'CARNET DE SOUDURE'!$AV$7:$AV$3006,0))&lt;&gt;""," / "&amp;INDEX('CARNET DE SOUDURE'!$T$7:$T$3006,MATCH(222,'CARNET DE SOUDURE'!$AV$7:$AV$3006,0)),""))</f>
        <v/>
      </c>
      <c r="F233" s="131" t="str">
        <f aca="false">IF($B233="","",INDEX('CARNET DE SOUDURE'!$Y$7:$Y$3006,MATCH(222,'CARNET DE SOUDURE'!$AV$7:$AV$3006,0)))</f>
        <v/>
      </c>
      <c r="G233" s="130" t="str">
        <f aca="false">IF($B233="","",INDEX('CARNET DE SOUDURE'!$Z$7:$Z$3006,MATCH(222,'CARNET DE SOUDURE'!$AV$7:$AV$3006,0))&amp;"")</f>
        <v/>
      </c>
      <c r="H233" s="132" t="str">
        <f aca="false">IF($B233="","",INDEX('CARNET DE SOUDURE'!$AA$7:$AA$3006,MATCH(222,'CARNET DE SOUDURE'!$AV$7:$AV$3006,0)))</f>
        <v/>
      </c>
      <c r="I233" s="130" t="str">
        <f aca="false">IF($B233="","",INDEX('CARNET DE SOUDURE'!$AB$7:$AB$3006,MATCH(222,'CARNET DE SOUDURE'!$AV$7:$AV$3006,0))&amp;"")</f>
        <v/>
      </c>
      <c r="J233" s="130" t="str">
        <f aca="false">IF($B233="","",INDEX('CARNET DE SOUDURE'!$AC$7:$AC$3006,MATCH(222,'CARNET DE SOUDURE'!$AV$7:$AV$3006,0))&amp;IF(INDEX('CARNET DE SOUDURE'!$AH$7:$AH$3006,MATCH(222,'CARNET DE SOUDURE'!$AV$7:$AV$3006,0))&lt;&gt;""," / "&amp;INDEX('CARNET DE SOUDURE'!$AH$7:$AH$3006,MATCH(222,'CARNET DE SOUDURE'!$AV$7:$AV$3006,0)),""))</f>
        <v/>
      </c>
      <c r="K233" s="130" t="str">
        <f aca="false">IF($B233="","",INDEX('CARNET DE SOUDURE'!$AD$7:$AD$3006,MATCH(222,'CARNET DE SOUDURE'!$AV$7:$AV$3006,0))&amp;IF(INDEX('CARNET DE SOUDURE'!$AI$7:$AI$3006,MATCH(222,'CARNET DE SOUDURE'!$AV$7:$AV$3006,0))&lt;&gt;""," / "&amp;INDEX('CARNET DE SOUDURE'!$AI$7:$AI$3006,MATCH(222,'CARNET DE SOUDURE'!$AV$7:$AV$3006,0)),""))</f>
        <v/>
      </c>
      <c r="L233" s="130" t="str">
        <f aca="false">IF($B233="","",INDEX('CARNET DE SOUDURE'!$AG$7:$AG$3006,MATCH(222,'CARNET DE SOUDURE'!$AV$7:$AV$3006,0))&amp;IF(INDEX('CARNET DE SOUDURE'!$AL$7:$AL$3006,MATCH(222,'CARNET DE SOUDURE'!$AV$7:$AV$3006,0))&lt;&gt;""," / "&amp;INDEX('CARNET DE SOUDURE'!$AL$7:$AL$3006,MATCH(222,'CARNET DE SOUDURE'!$AV$7:$AV$3006,0)),""))</f>
        <v/>
      </c>
      <c r="M233" s="132" t="str">
        <f aca="false">IF($B233="","",INDEX('CARNET DE SOUDURE'!$AP$7:$AP$3006,MATCH(222,'CARNET DE SOUDURE'!$AV$7:$AV$3006,0)))</f>
        <v/>
      </c>
      <c r="N233" s="132" t="str">
        <f aca="false">IF($B233="","",INDEX('CARNET DE SOUDURE'!$AQ$7:$AQ$3006,MATCH(222,'CARNET DE SOUDURE'!$AV$7:$AV$3006,0)))</f>
        <v/>
      </c>
      <c r="O233" s="133" t="str">
        <f aca="false">IF($B233="","",INDEX('CARNET DE SOUDURE'!$AR$7:$AR$3006,MATCH(222,'CARNET DE SOUDURE'!$AV$7:$AV$3006,0)))</f>
        <v/>
      </c>
    </row>
    <row r="234" customFormat="false" ht="15" hidden="false" customHeight="false" outlineLevel="0" collapsed="false">
      <c r="B234" s="125" t="str">
        <f aca="false">IF(223&gt;$I$4,"",223)</f>
        <v/>
      </c>
      <c r="C234" s="125" t="str">
        <f aca="false">IF($B234="","",INDEX('CARNET DE SOUDURE'!$B$7:$B$3006,MATCH(223,'CARNET DE SOUDURE'!$AV$7:$AV$3006,0)))</f>
        <v/>
      </c>
      <c r="D234" s="125" t="str">
        <f aca="false">IF($B234="","",INDEX('CARNET DE SOUDURE'!$E$7:$E$3006,MATCH(223,'CARNET DE SOUDURE'!$AV$7:$AV$3006,0)))</f>
        <v/>
      </c>
      <c r="E234" s="125" t="str">
        <f aca="false">IF($B234="","",INDEX('CARNET DE SOUDURE'!$R$7:$R$3006,MATCH(223,'CARNET DE SOUDURE'!$AV$7:$AV$3006,0))&amp;IF(INDEX('CARNET DE SOUDURE'!$S$7:$S$3006,MATCH(223,'CARNET DE SOUDURE'!$AV$7:$AV$3006,0))&lt;&gt;""," / "&amp;INDEX('CARNET DE SOUDURE'!$S$7:$S$3006,MATCH(223,'CARNET DE SOUDURE'!$AV$7:$AV$3006,0)),"")&amp;IF(INDEX('CARNET DE SOUDURE'!$T$7:$T$3006,MATCH(223,'CARNET DE SOUDURE'!$AV$7:$AV$3006,0))&lt;&gt;""," / "&amp;INDEX('CARNET DE SOUDURE'!$T$7:$T$3006,MATCH(223,'CARNET DE SOUDURE'!$AV$7:$AV$3006,0)),""))</f>
        <v/>
      </c>
      <c r="F234" s="126" t="str">
        <f aca="false">IF($B234="","",INDEX('CARNET DE SOUDURE'!$Y$7:$Y$3006,MATCH(223,'CARNET DE SOUDURE'!$AV$7:$AV$3006,0)))</f>
        <v/>
      </c>
      <c r="G234" s="125" t="str">
        <f aca="false">IF($B234="","",INDEX('CARNET DE SOUDURE'!$Z$7:$Z$3006,MATCH(223,'CARNET DE SOUDURE'!$AV$7:$AV$3006,0))&amp;"")</f>
        <v/>
      </c>
      <c r="H234" s="127" t="str">
        <f aca="false">IF($B234="","",INDEX('CARNET DE SOUDURE'!$AA$7:$AA$3006,MATCH(223,'CARNET DE SOUDURE'!$AV$7:$AV$3006,0)))</f>
        <v/>
      </c>
      <c r="I234" s="125" t="str">
        <f aca="false">IF($B234="","",INDEX('CARNET DE SOUDURE'!$AB$7:$AB$3006,MATCH(223,'CARNET DE SOUDURE'!$AV$7:$AV$3006,0))&amp;"")</f>
        <v/>
      </c>
      <c r="J234" s="125" t="str">
        <f aca="false">IF($B234="","",INDEX('CARNET DE SOUDURE'!$AC$7:$AC$3006,MATCH(223,'CARNET DE SOUDURE'!$AV$7:$AV$3006,0))&amp;IF(INDEX('CARNET DE SOUDURE'!$AH$7:$AH$3006,MATCH(223,'CARNET DE SOUDURE'!$AV$7:$AV$3006,0))&lt;&gt;""," / "&amp;INDEX('CARNET DE SOUDURE'!$AH$7:$AH$3006,MATCH(223,'CARNET DE SOUDURE'!$AV$7:$AV$3006,0)),""))</f>
        <v/>
      </c>
      <c r="K234" s="125" t="str">
        <f aca="false">IF($B234="","",INDEX('CARNET DE SOUDURE'!$AD$7:$AD$3006,MATCH(223,'CARNET DE SOUDURE'!$AV$7:$AV$3006,0))&amp;IF(INDEX('CARNET DE SOUDURE'!$AI$7:$AI$3006,MATCH(223,'CARNET DE SOUDURE'!$AV$7:$AV$3006,0))&lt;&gt;""," / "&amp;INDEX('CARNET DE SOUDURE'!$AI$7:$AI$3006,MATCH(223,'CARNET DE SOUDURE'!$AV$7:$AV$3006,0)),""))</f>
        <v/>
      </c>
      <c r="L234" s="125" t="str">
        <f aca="false">IF($B234="","",INDEX('CARNET DE SOUDURE'!$AG$7:$AG$3006,MATCH(223,'CARNET DE SOUDURE'!$AV$7:$AV$3006,0))&amp;IF(INDEX('CARNET DE SOUDURE'!$AL$7:$AL$3006,MATCH(223,'CARNET DE SOUDURE'!$AV$7:$AV$3006,0))&lt;&gt;""," / "&amp;INDEX('CARNET DE SOUDURE'!$AL$7:$AL$3006,MATCH(223,'CARNET DE SOUDURE'!$AV$7:$AV$3006,0)),""))</f>
        <v/>
      </c>
      <c r="M234" s="127" t="str">
        <f aca="false">IF($B234="","",INDEX('CARNET DE SOUDURE'!$AP$7:$AP$3006,MATCH(223,'CARNET DE SOUDURE'!$AV$7:$AV$3006,0)))</f>
        <v/>
      </c>
      <c r="N234" s="127" t="str">
        <f aca="false">IF($B234="","",INDEX('CARNET DE SOUDURE'!$AQ$7:$AQ$3006,MATCH(223,'CARNET DE SOUDURE'!$AV$7:$AV$3006,0)))</f>
        <v/>
      </c>
      <c r="O234" s="128" t="str">
        <f aca="false">IF($B234="","",INDEX('CARNET DE SOUDURE'!$AR$7:$AR$3006,MATCH(223,'CARNET DE SOUDURE'!$AV$7:$AV$3006,0)))</f>
        <v/>
      </c>
    </row>
    <row r="235" customFormat="false" ht="15" hidden="false" customHeight="false" outlineLevel="0" collapsed="false">
      <c r="B235" s="130" t="str">
        <f aca="false">IF(224&gt;$I$4,"",224)</f>
        <v/>
      </c>
      <c r="C235" s="130" t="str">
        <f aca="false">IF($B235="","",INDEX('CARNET DE SOUDURE'!$B$7:$B$3006,MATCH(224,'CARNET DE SOUDURE'!$AV$7:$AV$3006,0)))</f>
        <v/>
      </c>
      <c r="D235" s="130" t="str">
        <f aca="false">IF($B235="","",INDEX('CARNET DE SOUDURE'!$E$7:$E$3006,MATCH(224,'CARNET DE SOUDURE'!$AV$7:$AV$3006,0)))</f>
        <v/>
      </c>
      <c r="E235" s="130" t="str">
        <f aca="false">IF($B235="","",INDEX('CARNET DE SOUDURE'!$R$7:$R$3006,MATCH(224,'CARNET DE SOUDURE'!$AV$7:$AV$3006,0))&amp;IF(INDEX('CARNET DE SOUDURE'!$S$7:$S$3006,MATCH(224,'CARNET DE SOUDURE'!$AV$7:$AV$3006,0))&lt;&gt;""," / "&amp;INDEX('CARNET DE SOUDURE'!$S$7:$S$3006,MATCH(224,'CARNET DE SOUDURE'!$AV$7:$AV$3006,0)),"")&amp;IF(INDEX('CARNET DE SOUDURE'!$T$7:$T$3006,MATCH(224,'CARNET DE SOUDURE'!$AV$7:$AV$3006,0))&lt;&gt;""," / "&amp;INDEX('CARNET DE SOUDURE'!$T$7:$T$3006,MATCH(224,'CARNET DE SOUDURE'!$AV$7:$AV$3006,0)),""))</f>
        <v/>
      </c>
      <c r="F235" s="131" t="str">
        <f aca="false">IF($B235="","",INDEX('CARNET DE SOUDURE'!$Y$7:$Y$3006,MATCH(224,'CARNET DE SOUDURE'!$AV$7:$AV$3006,0)))</f>
        <v/>
      </c>
      <c r="G235" s="130" t="str">
        <f aca="false">IF($B235="","",INDEX('CARNET DE SOUDURE'!$Z$7:$Z$3006,MATCH(224,'CARNET DE SOUDURE'!$AV$7:$AV$3006,0))&amp;"")</f>
        <v/>
      </c>
      <c r="H235" s="132" t="str">
        <f aca="false">IF($B235="","",INDEX('CARNET DE SOUDURE'!$AA$7:$AA$3006,MATCH(224,'CARNET DE SOUDURE'!$AV$7:$AV$3006,0)))</f>
        <v/>
      </c>
      <c r="I235" s="130" t="str">
        <f aca="false">IF($B235="","",INDEX('CARNET DE SOUDURE'!$AB$7:$AB$3006,MATCH(224,'CARNET DE SOUDURE'!$AV$7:$AV$3006,0))&amp;"")</f>
        <v/>
      </c>
      <c r="J235" s="130" t="str">
        <f aca="false">IF($B235="","",INDEX('CARNET DE SOUDURE'!$AC$7:$AC$3006,MATCH(224,'CARNET DE SOUDURE'!$AV$7:$AV$3006,0))&amp;IF(INDEX('CARNET DE SOUDURE'!$AH$7:$AH$3006,MATCH(224,'CARNET DE SOUDURE'!$AV$7:$AV$3006,0))&lt;&gt;""," / "&amp;INDEX('CARNET DE SOUDURE'!$AH$7:$AH$3006,MATCH(224,'CARNET DE SOUDURE'!$AV$7:$AV$3006,0)),""))</f>
        <v/>
      </c>
      <c r="K235" s="130" t="str">
        <f aca="false">IF($B235="","",INDEX('CARNET DE SOUDURE'!$AD$7:$AD$3006,MATCH(224,'CARNET DE SOUDURE'!$AV$7:$AV$3006,0))&amp;IF(INDEX('CARNET DE SOUDURE'!$AI$7:$AI$3006,MATCH(224,'CARNET DE SOUDURE'!$AV$7:$AV$3006,0))&lt;&gt;""," / "&amp;INDEX('CARNET DE SOUDURE'!$AI$7:$AI$3006,MATCH(224,'CARNET DE SOUDURE'!$AV$7:$AV$3006,0)),""))</f>
        <v/>
      </c>
      <c r="L235" s="130" t="str">
        <f aca="false">IF($B235="","",INDEX('CARNET DE SOUDURE'!$AG$7:$AG$3006,MATCH(224,'CARNET DE SOUDURE'!$AV$7:$AV$3006,0))&amp;IF(INDEX('CARNET DE SOUDURE'!$AL$7:$AL$3006,MATCH(224,'CARNET DE SOUDURE'!$AV$7:$AV$3006,0))&lt;&gt;""," / "&amp;INDEX('CARNET DE SOUDURE'!$AL$7:$AL$3006,MATCH(224,'CARNET DE SOUDURE'!$AV$7:$AV$3006,0)),""))</f>
        <v/>
      </c>
      <c r="M235" s="132" t="str">
        <f aca="false">IF($B235="","",INDEX('CARNET DE SOUDURE'!$AP$7:$AP$3006,MATCH(224,'CARNET DE SOUDURE'!$AV$7:$AV$3006,0)))</f>
        <v/>
      </c>
      <c r="N235" s="132" t="str">
        <f aca="false">IF($B235="","",INDEX('CARNET DE SOUDURE'!$AQ$7:$AQ$3006,MATCH(224,'CARNET DE SOUDURE'!$AV$7:$AV$3006,0)))</f>
        <v/>
      </c>
      <c r="O235" s="133" t="str">
        <f aca="false">IF($B235="","",INDEX('CARNET DE SOUDURE'!$AR$7:$AR$3006,MATCH(224,'CARNET DE SOUDURE'!$AV$7:$AV$3006,0)))</f>
        <v/>
      </c>
    </row>
    <row r="236" customFormat="false" ht="15" hidden="false" customHeight="false" outlineLevel="0" collapsed="false">
      <c r="B236" s="125" t="str">
        <f aca="false">IF(225&gt;$I$4,"",225)</f>
        <v/>
      </c>
      <c r="C236" s="125" t="str">
        <f aca="false">IF($B236="","",INDEX('CARNET DE SOUDURE'!$B$7:$B$3006,MATCH(225,'CARNET DE SOUDURE'!$AV$7:$AV$3006,0)))</f>
        <v/>
      </c>
      <c r="D236" s="125" t="str">
        <f aca="false">IF($B236="","",INDEX('CARNET DE SOUDURE'!$E$7:$E$3006,MATCH(225,'CARNET DE SOUDURE'!$AV$7:$AV$3006,0)))</f>
        <v/>
      </c>
      <c r="E236" s="125" t="str">
        <f aca="false">IF($B236="","",INDEX('CARNET DE SOUDURE'!$R$7:$R$3006,MATCH(225,'CARNET DE SOUDURE'!$AV$7:$AV$3006,0))&amp;IF(INDEX('CARNET DE SOUDURE'!$S$7:$S$3006,MATCH(225,'CARNET DE SOUDURE'!$AV$7:$AV$3006,0))&lt;&gt;""," / "&amp;INDEX('CARNET DE SOUDURE'!$S$7:$S$3006,MATCH(225,'CARNET DE SOUDURE'!$AV$7:$AV$3006,0)),"")&amp;IF(INDEX('CARNET DE SOUDURE'!$T$7:$T$3006,MATCH(225,'CARNET DE SOUDURE'!$AV$7:$AV$3006,0))&lt;&gt;""," / "&amp;INDEX('CARNET DE SOUDURE'!$T$7:$T$3006,MATCH(225,'CARNET DE SOUDURE'!$AV$7:$AV$3006,0)),""))</f>
        <v/>
      </c>
      <c r="F236" s="126" t="str">
        <f aca="false">IF($B236="","",INDEX('CARNET DE SOUDURE'!$Y$7:$Y$3006,MATCH(225,'CARNET DE SOUDURE'!$AV$7:$AV$3006,0)))</f>
        <v/>
      </c>
      <c r="G236" s="125" t="str">
        <f aca="false">IF($B236="","",INDEX('CARNET DE SOUDURE'!$Z$7:$Z$3006,MATCH(225,'CARNET DE SOUDURE'!$AV$7:$AV$3006,0))&amp;"")</f>
        <v/>
      </c>
      <c r="H236" s="127" t="str">
        <f aca="false">IF($B236="","",INDEX('CARNET DE SOUDURE'!$AA$7:$AA$3006,MATCH(225,'CARNET DE SOUDURE'!$AV$7:$AV$3006,0)))</f>
        <v/>
      </c>
      <c r="I236" s="125" t="str">
        <f aca="false">IF($B236="","",INDEX('CARNET DE SOUDURE'!$AB$7:$AB$3006,MATCH(225,'CARNET DE SOUDURE'!$AV$7:$AV$3006,0))&amp;"")</f>
        <v/>
      </c>
      <c r="J236" s="125" t="str">
        <f aca="false">IF($B236="","",INDEX('CARNET DE SOUDURE'!$AC$7:$AC$3006,MATCH(225,'CARNET DE SOUDURE'!$AV$7:$AV$3006,0))&amp;IF(INDEX('CARNET DE SOUDURE'!$AH$7:$AH$3006,MATCH(225,'CARNET DE SOUDURE'!$AV$7:$AV$3006,0))&lt;&gt;""," / "&amp;INDEX('CARNET DE SOUDURE'!$AH$7:$AH$3006,MATCH(225,'CARNET DE SOUDURE'!$AV$7:$AV$3006,0)),""))</f>
        <v/>
      </c>
      <c r="K236" s="125" t="str">
        <f aca="false">IF($B236="","",INDEX('CARNET DE SOUDURE'!$AD$7:$AD$3006,MATCH(225,'CARNET DE SOUDURE'!$AV$7:$AV$3006,0))&amp;IF(INDEX('CARNET DE SOUDURE'!$AI$7:$AI$3006,MATCH(225,'CARNET DE SOUDURE'!$AV$7:$AV$3006,0))&lt;&gt;""," / "&amp;INDEX('CARNET DE SOUDURE'!$AI$7:$AI$3006,MATCH(225,'CARNET DE SOUDURE'!$AV$7:$AV$3006,0)),""))</f>
        <v/>
      </c>
      <c r="L236" s="125" t="str">
        <f aca="false">IF($B236="","",INDEX('CARNET DE SOUDURE'!$AG$7:$AG$3006,MATCH(225,'CARNET DE SOUDURE'!$AV$7:$AV$3006,0))&amp;IF(INDEX('CARNET DE SOUDURE'!$AL$7:$AL$3006,MATCH(225,'CARNET DE SOUDURE'!$AV$7:$AV$3006,0))&lt;&gt;""," / "&amp;INDEX('CARNET DE SOUDURE'!$AL$7:$AL$3006,MATCH(225,'CARNET DE SOUDURE'!$AV$7:$AV$3006,0)),""))</f>
        <v/>
      </c>
      <c r="M236" s="127" t="str">
        <f aca="false">IF($B236="","",INDEX('CARNET DE SOUDURE'!$AP$7:$AP$3006,MATCH(225,'CARNET DE SOUDURE'!$AV$7:$AV$3006,0)))</f>
        <v/>
      </c>
      <c r="N236" s="127" t="str">
        <f aca="false">IF($B236="","",INDEX('CARNET DE SOUDURE'!$AQ$7:$AQ$3006,MATCH(225,'CARNET DE SOUDURE'!$AV$7:$AV$3006,0)))</f>
        <v/>
      </c>
      <c r="O236" s="128" t="str">
        <f aca="false">IF($B236="","",INDEX('CARNET DE SOUDURE'!$AR$7:$AR$3006,MATCH(225,'CARNET DE SOUDURE'!$AV$7:$AV$3006,0)))</f>
        <v/>
      </c>
    </row>
    <row r="237" customFormat="false" ht="15" hidden="false" customHeight="false" outlineLevel="0" collapsed="false">
      <c r="B237" s="130" t="str">
        <f aca="false">IF(226&gt;$I$4,"",226)</f>
        <v/>
      </c>
      <c r="C237" s="130" t="str">
        <f aca="false">IF($B237="","",INDEX('CARNET DE SOUDURE'!$B$7:$B$3006,MATCH(226,'CARNET DE SOUDURE'!$AV$7:$AV$3006,0)))</f>
        <v/>
      </c>
      <c r="D237" s="130" t="str">
        <f aca="false">IF($B237="","",INDEX('CARNET DE SOUDURE'!$E$7:$E$3006,MATCH(226,'CARNET DE SOUDURE'!$AV$7:$AV$3006,0)))</f>
        <v/>
      </c>
      <c r="E237" s="130" t="str">
        <f aca="false">IF($B237="","",INDEX('CARNET DE SOUDURE'!$R$7:$R$3006,MATCH(226,'CARNET DE SOUDURE'!$AV$7:$AV$3006,0))&amp;IF(INDEX('CARNET DE SOUDURE'!$S$7:$S$3006,MATCH(226,'CARNET DE SOUDURE'!$AV$7:$AV$3006,0))&lt;&gt;""," / "&amp;INDEX('CARNET DE SOUDURE'!$S$7:$S$3006,MATCH(226,'CARNET DE SOUDURE'!$AV$7:$AV$3006,0)),"")&amp;IF(INDEX('CARNET DE SOUDURE'!$T$7:$T$3006,MATCH(226,'CARNET DE SOUDURE'!$AV$7:$AV$3006,0))&lt;&gt;""," / "&amp;INDEX('CARNET DE SOUDURE'!$T$7:$T$3006,MATCH(226,'CARNET DE SOUDURE'!$AV$7:$AV$3006,0)),""))</f>
        <v/>
      </c>
      <c r="F237" s="131" t="str">
        <f aca="false">IF($B237="","",INDEX('CARNET DE SOUDURE'!$Y$7:$Y$3006,MATCH(226,'CARNET DE SOUDURE'!$AV$7:$AV$3006,0)))</f>
        <v/>
      </c>
      <c r="G237" s="130" t="str">
        <f aca="false">IF($B237="","",INDEX('CARNET DE SOUDURE'!$Z$7:$Z$3006,MATCH(226,'CARNET DE SOUDURE'!$AV$7:$AV$3006,0))&amp;"")</f>
        <v/>
      </c>
      <c r="H237" s="132" t="str">
        <f aca="false">IF($B237="","",INDEX('CARNET DE SOUDURE'!$AA$7:$AA$3006,MATCH(226,'CARNET DE SOUDURE'!$AV$7:$AV$3006,0)))</f>
        <v/>
      </c>
      <c r="I237" s="130" t="str">
        <f aca="false">IF($B237="","",INDEX('CARNET DE SOUDURE'!$AB$7:$AB$3006,MATCH(226,'CARNET DE SOUDURE'!$AV$7:$AV$3006,0))&amp;"")</f>
        <v/>
      </c>
      <c r="J237" s="130" t="str">
        <f aca="false">IF($B237="","",INDEX('CARNET DE SOUDURE'!$AC$7:$AC$3006,MATCH(226,'CARNET DE SOUDURE'!$AV$7:$AV$3006,0))&amp;IF(INDEX('CARNET DE SOUDURE'!$AH$7:$AH$3006,MATCH(226,'CARNET DE SOUDURE'!$AV$7:$AV$3006,0))&lt;&gt;""," / "&amp;INDEX('CARNET DE SOUDURE'!$AH$7:$AH$3006,MATCH(226,'CARNET DE SOUDURE'!$AV$7:$AV$3006,0)),""))</f>
        <v/>
      </c>
      <c r="K237" s="130" t="str">
        <f aca="false">IF($B237="","",INDEX('CARNET DE SOUDURE'!$AD$7:$AD$3006,MATCH(226,'CARNET DE SOUDURE'!$AV$7:$AV$3006,0))&amp;IF(INDEX('CARNET DE SOUDURE'!$AI$7:$AI$3006,MATCH(226,'CARNET DE SOUDURE'!$AV$7:$AV$3006,0))&lt;&gt;""," / "&amp;INDEX('CARNET DE SOUDURE'!$AI$7:$AI$3006,MATCH(226,'CARNET DE SOUDURE'!$AV$7:$AV$3006,0)),""))</f>
        <v/>
      </c>
      <c r="L237" s="130" t="str">
        <f aca="false">IF($B237="","",INDEX('CARNET DE SOUDURE'!$AG$7:$AG$3006,MATCH(226,'CARNET DE SOUDURE'!$AV$7:$AV$3006,0))&amp;IF(INDEX('CARNET DE SOUDURE'!$AL$7:$AL$3006,MATCH(226,'CARNET DE SOUDURE'!$AV$7:$AV$3006,0))&lt;&gt;""," / "&amp;INDEX('CARNET DE SOUDURE'!$AL$7:$AL$3006,MATCH(226,'CARNET DE SOUDURE'!$AV$7:$AV$3006,0)),""))</f>
        <v/>
      </c>
      <c r="M237" s="132" t="str">
        <f aca="false">IF($B237="","",INDEX('CARNET DE SOUDURE'!$AP$7:$AP$3006,MATCH(226,'CARNET DE SOUDURE'!$AV$7:$AV$3006,0)))</f>
        <v/>
      </c>
      <c r="N237" s="132" t="str">
        <f aca="false">IF($B237="","",INDEX('CARNET DE SOUDURE'!$AQ$7:$AQ$3006,MATCH(226,'CARNET DE SOUDURE'!$AV$7:$AV$3006,0)))</f>
        <v/>
      </c>
      <c r="O237" s="133" t="str">
        <f aca="false">IF($B237="","",INDEX('CARNET DE SOUDURE'!$AR$7:$AR$3006,MATCH(226,'CARNET DE SOUDURE'!$AV$7:$AV$3006,0)))</f>
        <v/>
      </c>
    </row>
    <row r="238" customFormat="false" ht="15" hidden="false" customHeight="false" outlineLevel="0" collapsed="false">
      <c r="B238" s="125" t="str">
        <f aca="false">IF(227&gt;$I$4,"",227)</f>
        <v/>
      </c>
      <c r="C238" s="125" t="str">
        <f aca="false">IF($B238="","",INDEX('CARNET DE SOUDURE'!$B$7:$B$3006,MATCH(227,'CARNET DE SOUDURE'!$AV$7:$AV$3006,0)))</f>
        <v/>
      </c>
      <c r="D238" s="125" t="str">
        <f aca="false">IF($B238="","",INDEX('CARNET DE SOUDURE'!$E$7:$E$3006,MATCH(227,'CARNET DE SOUDURE'!$AV$7:$AV$3006,0)))</f>
        <v/>
      </c>
      <c r="E238" s="125" t="str">
        <f aca="false">IF($B238="","",INDEX('CARNET DE SOUDURE'!$R$7:$R$3006,MATCH(227,'CARNET DE SOUDURE'!$AV$7:$AV$3006,0))&amp;IF(INDEX('CARNET DE SOUDURE'!$S$7:$S$3006,MATCH(227,'CARNET DE SOUDURE'!$AV$7:$AV$3006,0))&lt;&gt;""," / "&amp;INDEX('CARNET DE SOUDURE'!$S$7:$S$3006,MATCH(227,'CARNET DE SOUDURE'!$AV$7:$AV$3006,0)),"")&amp;IF(INDEX('CARNET DE SOUDURE'!$T$7:$T$3006,MATCH(227,'CARNET DE SOUDURE'!$AV$7:$AV$3006,0))&lt;&gt;""," / "&amp;INDEX('CARNET DE SOUDURE'!$T$7:$T$3006,MATCH(227,'CARNET DE SOUDURE'!$AV$7:$AV$3006,0)),""))</f>
        <v/>
      </c>
      <c r="F238" s="126" t="str">
        <f aca="false">IF($B238="","",INDEX('CARNET DE SOUDURE'!$Y$7:$Y$3006,MATCH(227,'CARNET DE SOUDURE'!$AV$7:$AV$3006,0)))</f>
        <v/>
      </c>
      <c r="G238" s="125" t="str">
        <f aca="false">IF($B238="","",INDEX('CARNET DE SOUDURE'!$Z$7:$Z$3006,MATCH(227,'CARNET DE SOUDURE'!$AV$7:$AV$3006,0))&amp;"")</f>
        <v/>
      </c>
      <c r="H238" s="127" t="str">
        <f aca="false">IF($B238="","",INDEX('CARNET DE SOUDURE'!$AA$7:$AA$3006,MATCH(227,'CARNET DE SOUDURE'!$AV$7:$AV$3006,0)))</f>
        <v/>
      </c>
      <c r="I238" s="125" t="str">
        <f aca="false">IF($B238="","",INDEX('CARNET DE SOUDURE'!$AB$7:$AB$3006,MATCH(227,'CARNET DE SOUDURE'!$AV$7:$AV$3006,0))&amp;"")</f>
        <v/>
      </c>
      <c r="J238" s="125" t="str">
        <f aca="false">IF($B238="","",INDEX('CARNET DE SOUDURE'!$AC$7:$AC$3006,MATCH(227,'CARNET DE SOUDURE'!$AV$7:$AV$3006,0))&amp;IF(INDEX('CARNET DE SOUDURE'!$AH$7:$AH$3006,MATCH(227,'CARNET DE SOUDURE'!$AV$7:$AV$3006,0))&lt;&gt;""," / "&amp;INDEX('CARNET DE SOUDURE'!$AH$7:$AH$3006,MATCH(227,'CARNET DE SOUDURE'!$AV$7:$AV$3006,0)),""))</f>
        <v/>
      </c>
      <c r="K238" s="125" t="str">
        <f aca="false">IF($B238="","",INDEX('CARNET DE SOUDURE'!$AD$7:$AD$3006,MATCH(227,'CARNET DE SOUDURE'!$AV$7:$AV$3006,0))&amp;IF(INDEX('CARNET DE SOUDURE'!$AI$7:$AI$3006,MATCH(227,'CARNET DE SOUDURE'!$AV$7:$AV$3006,0))&lt;&gt;""," / "&amp;INDEX('CARNET DE SOUDURE'!$AI$7:$AI$3006,MATCH(227,'CARNET DE SOUDURE'!$AV$7:$AV$3006,0)),""))</f>
        <v/>
      </c>
      <c r="L238" s="125" t="str">
        <f aca="false">IF($B238="","",INDEX('CARNET DE SOUDURE'!$AG$7:$AG$3006,MATCH(227,'CARNET DE SOUDURE'!$AV$7:$AV$3006,0))&amp;IF(INDEX('CARNET DE SOUDURE'!$AL$7:$AL$3006,MATCH(227,'CARNET DE SOUDURE'!$AV$7:$AV$3006,0))&lt;&gt;""," / "&amp;INDEX('CARNET DE SOUDURE'!$AL$7:$AL$3006,MATCH(227,'CARNET DE SOUDURE'!$AV$7:$AV$3006,0)),""))</f>
        <v/>
      </c>
      <c r="M238" s="127" t="str">
        <f aca="false">IF($B238="","",INDEX('CARNET DE SOUDURE'!$AP$7:$AP$3006,MATCH(227,'CARNET DE SOUDURE'!$AV$7:$AV$3006,0)))</f>
        <v/>
      </c>
      <c r="N238" s="127" t="str">
        <f aca="false">IF($B238="","",INDEX('CARNET DE SOUDURE'!$AQ$7:$AQ$3006,MATCH(227,'CARNET DE SOUDURE'!$AV$7:$AV$3006,0)))</f>
        <v/>
      </c>
      <c r="O238" s="128" t="str">
        <f aca="false">IF($B238="","",INDEX('CARNET DE SOUDURE'!$AR$7:$AR$3006,MATCH(227,'CARNET DE SOUDURE'!$AV$7:$AV$3006,0)))</f>
        <v/>
      </c>
    </row>
    <row r="239" customFormat="false" ht="15" hidden="false" customHeight="false" outlineLevel="0" collapsed="false">
      <c r="B239" s="130" t="str">
        <f aca="false">IF(228&gt;$I$4,"",228)</f>
        <v/>
      </c>
      <c r="C239" s="130" t="str">
        <f aca="false">IF($B239="","",INDEX('CARNET DE SOUDURE'!$B$7:$B$3006,MATCH(228,'CARNET DE SOUDURE'!$AV$7:$AV$3006,0)))</f>
        <v/>
      </c>
      <c r="D239" s="130" t="str">
        <f aca="false">IF($B239="","",INDEX('CARNET DE SOUDURE'!$E$7:$E$3006,MATCH(228,'CARNET DE SOUDURE'!$AV$7:$AV$3006,0)))</f>
        <v/>
      </c>
      <c r="E239" s="130" t="str">
        <f aca="false">IF($B239="","",INDEX('CARNET DE SOUDURE'!$R$7:$R$3006,MATCH(228,'CARNET DE SOUDURE'!$AV$7:$AV$3006,0))&amp;IF(INDEX('CARNET DE SOUDURE'!$S$7:$S$3006,MATCH(228,'CARNET DE SOUDURE'!$AV$7:$AV$3006,0))&lt;&gt;""," / "&amp;INDEX('CARNET DE SOUDURE'!$S$7:$S$3006,MATCH(228,'CARNET DE SOUDURE'!$AV$7:$AV$3006,0)),"")&amp;IF(INDEX('CARNET DE SOUDURE'!$T$7:$T$3006,MATCH(228,'CARNET DE SOUDURE'!$AV$7:$AV$3006,0))&lt;&gt;""," / "&amp;INDEX('CARNET DE SOUDURE'!$T$7:$T$3006,MATCH(228,'CARNET DE SOUDURE'!$AV$7:$AV$3006,0)),""))</f>
        <v/>
      </c>
      <c r="F239" s="131" t="str">
        <f aca="false">IF($B239="","",INDEX('CARNET DE SOUDURE'!$Y$7:$Y$3006,MATCH(228,'CARNET DE SOUDURE'!$AV$7:$AV$3006,0)))</f>
        <v/>
      </c>
      <c r="G239" s="130" t="str">
        <f aca="false">IF($B239="","",INDEX('CARNET DE SOUDURE'!$Z$7:$Z$3006,MATCH(228,'CARNET DE SOUDURE'!$AV$7:$AV$3006,0))&amp;"")</f>
        <v/>
      </c>
      <c r="H239" s="132" t="str">
        <f aca="false">IF($B239="","",INDEX('CARNET DE SOUDURE'!$AA$7:$AA$3006,MATCH(228,'CARNET DE SOUDURE'!$AV$7:$AV$3006,0)))</f>
        <v/>
      </c>
      <c r="I239" s="130" t="str">
        <f aca="false">IF($B239="","",INDEX('CARNET DE SOUDURE'!$AB$7:$AB$3006,MATCH(228,'CARNET DE SOUDURE'!$AV$7:$AV$3006,0))&amp;"")</f>
        <v/>
      </c>
      <c r="J239" s="130" t="str">
        <f aca="false">IF($B239="","",INDEX('CARNET DE SOUDURE'!$AC$7:$AC$3006,MATCH(228,'CARNET DE SOUDURE'!$AV$7:$AV$3006,0))&amp;IF(INDEX('CARNET DE SOUDURE'!$AH$7:$AH$3006,MATCH(228,'CARNET DE SOUDURE'!$AV$7:$AV$3006,0))&lt;&gt;""," / "&amp;INDEX('CARNET DE SOUDURE'!$AH$7:$AH$3006,MATCH(228,'CARNET DE SOUDURE'!$AV$7:$AV$3006,0)),""))</f>
        <v/>
      </c>
      <c r="K239" s="130" t="str">
        <f aca="false">IF($B239="","",INDEX('CARNET DE SOUDURE'!$AD$7:$AD$3006,MATCH(228,'CARNET DE SOUDURE'!$AV$7:$AV$3006,0))&amp;IF(INDEX('CARNET DE SOUDURE'!$AI$7:$AI$3006,MATCH(228,'CARNET DE SOUDURE'!$AV$7:$AV$3006,0))&lt;&gt;""," / "&amp;INDEX('CARNET DE SOUDURE'!$AI$7:$AI$3006,MATCH(228,'CARNET DE SOUDURE'!$AV$7:$AV$3006,0)),""))</f>
        <v/>
      </c>
      <c r="L239" s="130" t="str">
        <f aca="false">IF($B239="","",INDEX('CARNET DE SOUDURE'!$AG$7:$AG$3006,MATCH(228,'CARNET DE SOUDURE'!$AV$7:$AV$3006,0))&amp;IF(INDEX('CARNET DE SOUDURE'!$AL$7:$AL$3006,MATCH(228,'CARNET DE SOUDURE'!$AV$7:$AV$3006,0))&lt;&gt;""," / "&amp;INDEX('CARNET DE SOUDURE'!$AL$7:$AL$3006,MATCH(228,'CARNET DE SOUDURE'!$AV$7:$AV$3006,0)),""))</f>
        <v/>
      </c>
      <c r="M239" s="132" t="str">
        <f aca="false">IF($B239="","",INDEX('CARNET DE SOUDURE'!$AP$7:$AP$3006,MATCH(228,'CARNET DE SOUDURE'!$AV$7:$AV$3006,0)))</f>
        <v/>
      </c>
      <c r="N239" s="132" t="str">
        <f aca="false">IF($B239="","",INDEX('CARNET DE SOUDURE'!$AQ$7:$AQ$3006,MATCH(228,'CARNET DE SOUDURE'!$AV$7:$AV$3006,0)))</f>
        <v/>
      </c>
      <c r="O239" s="133" t="str">
        <f aca="false">IF($B239="","",INDEX('CARNET DE SOUDURE'!$AR$7:$AR$3006,MATCH(228,'CARNET DE SOUDURE'!$AV$7:$AV$3006,0)))</f>
        <v/>
      </c>
    </row>
    <row r="240" customFormat="false" ht="15" hidden="false" customHeight="false" outlineLevel="0" collapsed="false">
      <c r="B240" s="125" t="str">
        <f aca="false">IF(229&gt;$I$4,"",229)</f>
        <v/>
      </c>
      <c r="C240" s="125" t="str">
        <f aca="false">IF($B240="","",INDEX('CARNET DE SOUDURE'!$B$7:$B$3006,MATCH(229,'CARNET DE SOUDURE'!$AV$7:$AV$3006,0)))</f>
        <v/>
      </c>
      <c r="D240" s="125" t="str">
        <f aca="false">IF($B240="","",INDEX('CARNET DE SOUDURE'!$E$7:$E$3006,MATCH(229,'CARNET DE SOUDURE'!$AV$7:$AV$3006,0)))</f>
        <v/>
      </c>
      <c r="E240" s="125" t="str">
        <f aca="false">IF($B240="","",INDEX('CARNET DE SOUDURE'!$R$7:$R$3006,MATCH(229,'CARNET DE SOUDURE'!$AV$7:$AV$3006,0))&amp;IF(INDEX('CARNET DE SOUDURE'!$S$7:$S$3006,MATCH(229,'CARNET DE SOUDURE'!$AV$7:$AV$3006,0))&lt;&gt;""," / "&amp;INDEX('CARNET DE SOUDURE'!$S$7:$S$3006,MATCH(229,'CARNET DE SOUDURE'!$AV$7:$AV$3006,0)),"")&amp;IF(INDEX('CARNET DE SOUDURE'!$T$7:$T$3006,MATCH(229,'CARNET DE SOUDURE'!$AV$7:$AV$3006,0))&lt;&gt;""," / "&amp;INDEX('CARNET DE SOUDURE'!$T$7:$T$3006,MATCH(229,'CARNET DE SOUDURE'!$AV$7:$AV$3006,0)),""))</f>
        <v/>
      </c>
      <c r="F240" s="126" t="str">
        <f aca="false">IF($B240="","",INDEX('CARNET DE SOUDURE'!$Y$7:$Y$3006,MATCH(229,'CARNET DE SOUDURE'!$AV$7:$AV$3006,0)))</f>
        <v/>
      </c>
      <c r="G240" s="125" t="str">
        <f aca="false">IF($B240="","",INDEX('CARNET DE SOUDURE'!$Z$7:$Z$3006,MATCH(229,'CARNET DE SOUDURE'!$AV$7:$AV$3006,0))&amp;"")</f>
        <v/>
      </c>
      <c r="H240" s="127" t="str">
        <f aca="false">IF($B240="","",INDEX('CARNET DE SOUDURE'!$AA$7:$AA$3006,MATCH(229,'CARNET DE SOUDURE'!$AV$7:$AV$3006,0)))</f>
        <v/>
      </c>
      <c r="I240" s="125" t="str">
        <f aca="false">IF($B240="","",INDEX('CARNET DE SOUDURE'!$AB$7:$AB$3006,MATCH(229,'CARNET DE SOUDURE'!$AV$7:$AV$3006,0))&amp;"")</f>
        <v/>
      </c>
      <c r="J240" s="125" t="str">
        <f aca="false">IF($B240="","",INDEX('CARNET DE SOUDURE'!$AC$7:$AC$3006,MATCH(229,'CARNET DE SOUDURE'!$AV$7:$AV$3006,0))&amp;IF(INDEX('CARNET DE SOUDURE'!$AH$7:$AH$3006,MATCH(229,'CARNET DE SOUDURE'!$AV$7:$AV$3006,0))&lt;&gt;""," / "&amp;INDEX('CARNET DE SOUDURE'!$AH$7:$AH$3006,MATCH(229,'CARNET DE SOUDURE'!$AV$7:$AV$3006,0)),""))</f>
        <v/>
      </c>
      <c r="K240" s="125" t="str">
        <f aca="false">IF($B240="","",INDEX('CARNET DE SOUDURE'!$AD$7:$AD$3006,MATCH(229,'CARNET DE SOUDURE'!$AV$7:$AV$3006,0))&amp;IF(INDEX('CARNET DE SOUDURE'!$AI$7:$AI$3006,MATCH(229,'CARNET DE SOUDURE'!$AV$7:$AV$3006,0))&lt;&gt;""," / "&amp;INDEX('CARNET DE SOUDURE'!$AI$7:$AI$3006,MATCH(229,'CARNET DE SOUDURE'!$AV$7:$AV$3006,0)),""))</f>
        <v/>
      </c>
      <c r="L240" s="125" t="str">
        <f aca="false">IF($B240="","",INDEX('CARNET DE SOUDURE'!$AG$7:$AG$3006,MATCH(229,'CARNET DE SOUDURE'!$AV$7:$AV$3006,0))&amp;IF(INDEX('CARNET DE SOUDURE'!$AL$7:$AL$3006,MATCH(229,'CARNET DE SOUDURE'!$AV$7:$AV$3006,0))&lt;&gt;""," / "&amp;INDEX('CARNET DE SOUDURE'!$AL$7:$AL$3006,MATCH(229,'CARNET DE SOUDURE'!$AV$7:$AV$3006,0)),""))</f>
        <v/>
      </c>
      <c r="M240" s="127" t="str">
        <f aca="false">IF($B240="","",INDEX('CARNET DE SOUDURE'!$AP$7:$AP$3006,MATCH(229,'CARNET DE SOUDURE'!$AV$7:$AV$3006,0)))</f>
        <v/>
      </c>
      <c r="N240" s="127" t="str">
        <f aca="false">IF($B240="","",INDEX('CARNET DE SOUDURE'!$AQ$7:$AQ$3006,MATCH(229,'CARNET DE SOUDURE'!$AV$7:$AV$3006,0)))</f>
        <v/>
      </c>
      <c r="O240" s="128" t="str">
        <f aca="false">IF($B240="","",INDEX('CARNET DE SOUDURE'!$AR$7:$AR$3006,MATCH(229,'CARNET DE SOUDURE'!$AV$7:$AV$3006,0)))</f>
        <v/>
      </c>
    </row>
    <row r="241" customFormat="false" ht="15" hidden="false" customHeight="false" outlineLevel="0" collapsed="false">
      <c r="B241" s="130" t="str">
        <f aca="false">IF(230&gt;$I$4,"",230)</f>
        <v/>
      </c>
      <c r="C241" s="130" t="str">
        <f aca="false">IF($B241="","",INDEX('CARNET DE SOUDURE'!$B$7:$B$3006,MATCH(230,'CARNET DE SOUDURE'!$AV$7:$AV$3006,0)))</f>
        <v/>
      </c>
      <c r="D241" s="130" t="str">
        <f aca="false">IF($B241="","",INDEX('CARNET DE SOUDURE'!$E$7:$E$3006,MATCH(230,'CARNET DE SOUDURE'!$AV$7:$AV$3006,0)))</f>
        <v/>
      </c>
      <c r="E241" s="130" t="str">
        <f aca="false">IF($B241="","",INDEX('CARNET DE SOUDURE'!$R$7:$R$3006,MATCH(230,'CARNET DE SOUDURE'!$AV$7:$AV$3006,0))&amp;IF(INDEX('CARNET DE SOUDURE'!$S$7:$S$3006,MATCH(230,'CARNET DE SOUDURE'!$AV$7:$AV$3006,0))&lt;&gt;""," / "&amp;INDEX('CARNET DE SOUDURE'!$S$7:$S$3006,MATCH(230,'CARNET DE SOUDURE'!$AV$7:$AV$3006,0)),"")&amp;IF(INDEX('CARNET DE SOUDURE'!$T$7:$T$3006,MATCH(230,'CARNET DE SOUDURE'!$AV$7:$AV$3006,0))&lt;&gt;""," / "&amp;INDEX('CARNET DE SOUDURE'!$T$7:$T$3006,MATCH(230,'CARNET DE SOUDURE'!$AV$7:$AV$3006,0)),""))</f>
        <v/>
      </c>
      <c r="F241" s="131" t="str">
        <f aca="false">IF($B241="","",INDEX('CARNET DE SOUDURE'!$Y$7:$Y$3006,MATCH(230,'CARNET DE SOUDURE'!$AV$7:$AV$3006,0)))</f>
        <v/>
      </c>
      <c r="G241" s="130" t="str">
        <f aca="false">IF($B241="","",INDEX('CARNET DE SOUDURE'!$Z$7:$Z$3006,MATCH(230,'CARNET DE SOUDURE'!$AV$7:$AV$3006,0))&amp;"")</f>
        <v/>
      </c>
      <c r="H241" s="132" t="str">
        <f aca="false">IF($B241="","",INDEX('CARNET DE SOUDURE'!$AA$7:$AA$3006,MATCH(230,'CARNET DE SOUDURE'!$AV$7:$AV$3006,0)))</f>
        <v/>
      </c>
      <c r="I241" s="130" t="str">
        <f aca="false">IF($B241="","",INDEX('CARNET DE SOUDURE'!$AB$7:$AB$3006,MATCH(230,'CARNET DE SOUDURE'!$AV$7:$AV$3006,0))&amp;"")</f>
        <v/>
      </c>
      <c r="J241" s="130" t="str">
        <f aca="false">IF($B241="","",INDEX('CARNET DE SOUDURE'!$AC$7:$AC$3006,MATCH(230,'CARNET DE SOUDURE'!$AV$7:$AV$3006,0))&amp;IF(INDEX('CARNET DE SOUDURE'!$AH$7:$AH$3006,MATCH(230,'CARNET DE SOUDURE'!$AV$7:$AV$3006,0))&lt;&gt;""," / "&amp;INDEX('CARNET DE SOUDURE'!$AH$7:$AH$3006,MATCH(230,'CARNET DE SOUDURE'!$AV$7:$AV$3006,0)),""))</f>
        <v/>
      </c>
      <c r="K241" s="130" t="str">
        <f aca="false">IF($B241="","",INDEX('CARNET DE SOUDURE'!$AD$7:$AD$3006,MATCH(230,'CARNET DE SOUDURE'!$AV$7:$AV$3006,0))&amp;IF(INDEX('CARNET DE SOUDURE'!$AI$7:$AI$3006,MATCH(230,'CARNET DE SOUDURE'!$AV$7:$AV$3006,0))&lt;&gt;""," / "&amp;INDEX('CARNET DE SOUDURE'!$AI$7:$AI$3006,MATCH(230,'CARNET DE SOUDURE'!$AV$7:$AV$3006,0)),""))</f>
        <v/>
      </c>
      <c r="L241" s="130" t="str">
        <f aca="false">IF($B241="","",INDEX('CARNET DE SOUDURE'!$AG$7:$AG$3006,MATCH(230,'CARNET DE SOUDURE'!$AV$7:$AV$3006,0))&amp;IF(INDEX('CARNET DE SOUDURE'!$AL$7:$AL$3006,MATCH(230,'CARNET DE SOUDURE'!$AV$7:$AV$3006,0))&lt;&gt;""," / "&amp;INDEX('CARNET DE SOUDURE'!$AL$7:$AL$3006,MATCH(230,'CARNET DE SOUDURE'!$AV$7:$AV$3006,0)),""))</f>
        <v/>
      </c>
      <c r="M241" s="132" t="str">
        <f aca="false">IF($B241="","",INDEX('CARNET DE SOUDURE'!$AP$7:$AP$3006,MATCH(230,'CARNET DE SOUDURE'!$AV$7:$AV$3006,0)))</f>
        <v/>
      </c>
      <c r="N241" s="132" t="str">
        <f aca="false">IF($B241="","",INDEX('CARNET DE SOUDURE'!$AQ$7:$AQ$3006,MATCH(230,'CARNET DE SOUDURE'!$AV$7:$AV$3006,0)))</f>
        <v/>
      </c>
      <c r="O241" s="133" t="str">
        <f aca="false">IF($B241="","",INDEX('CARNET DE SOUDURE'!$AR$7:$AR$3006,MATCH(230,'CARNET DE SOUDURE'!$AV$7:$AV$3006,0)))</f>
        <v/>
      </c>
    </row>
    <row r="242" customFormat="false" ht="15" hidden="false" customHeight="false" outlineLevel="0" collapsed="false">
      <c r="B242" s="125" t="str">
        <f aca="false">IF(231&gt;$I$4,"",231)</f>
        <v/>
      </c>
      <c r="C242" s="125" t="str">
        <f aca="false">IF($B242="","",INDEX('CARNET DE SOUDURE'!$B$7:$B$3006,MATCH(231,'CARNET DE SOUDURE'!$AV$7:$AV$3006,0)))</f>
        <v/>
      </c>
      <c r="D242" s="125" t="str">
        <f aca="false">IF($B242="","",INDEX('CARNET DE SOUDURE'!$E$7:$E$3006,MATCH(231,'CARNET DE SOUDURE'!$AV$7:$AV$3006,0)))</f>
        <v/>
      </c>
      <c r="E242" s="125" t="str">
        <f aca="false">IF($B242="","",INDEX('CARNET DE SOUDURE'!$R$7:$R$3006,MATCH(231,'CARNET DE SOUDURE'!$AV$7:$AV$3006,0))&amp;IF(INDEX('CARNET DE SOUDURE'!$S$7:$S$3006,MATCH(231,'CARNET DE SOUDURE'!$AV$7:$AV$3006,0))&lt;&gt;""," / "&amp;INDEX('CARNET DE SOUDURE'!$S$7:$S$3006,MATCH(231,'CARNET DE SOUDURE'!$AV$7:$AV$3006,0)),"")&amp;IF(INDEX('CARNET DE SOUDURE'!$T$7:$T$3006,MATCH(231,'CARNET DE SOUDURE'!$AV$7:$AV$3006,0))&lt;&gt;""," / "&amp;INDEX('CARNET DE SOUDURE'!$T$7:$T$3006,MATCH(231,'CARNET DE SOUDURE'!$AV$7:$AV$3006,0)),""))</f>
        <v/>
      </c>
      <c r="F242" s="126" t="str">
        <f aca="false">IF($B242="","",INDEX('CARNET DE SOUDURE'!$Y$7:$Y$3006,MATCH(231,'CARNET DE SOUDURE'!$AV$7:$AV$3006,0)))</f>
        <v/>
      </c>
      <c r="G242" s="125" t="str">
        <f aca="false">IF($B242="","",INDEX('CARNET DE SOUDURE'!$Z$7:$Z$3006,MATCH(231,'CARNET DE SOUDURE'!$AV$7:$AV$3006,0))&amp;"")</f>
        <v/>
      </c>
      <c r="H242" s="127" t="str">
        <f aca="false">IF($B242="","",INDEX('CARNET DE SOUDURE'!$AA$7:$AA$3006,MATCH(231,'CARNET DE SOUDURE'!$AV$7:$AV$3006,0)))</f>
        <v/>
      </c>
      <c r="I242" s="125" t="str">
        <f aca="false">IF($B242="","",INDEX('CARNET DE SOUDURE'!$AB$7:$AB$3006,MATCH(231,'CARNET DE SOUDURE'!$AV$7:$AV$3006,0))&amp;"")</f>
        <v/>
      </c>
      <c r="J242" s="125" t="str">
        <f aca="false">IF($B242="","",INDEX('CARNET DE SOUDURE'!$AC$7:$AC$3006,MATCH(231,'CARNET DE SOUDURE'!$AV$7:$AV$3006,0))&amp;IF(INDEX('CARNET DE SOUDURE'!$AH$7:$AH$3006,MATCH(231,'CARNET DE SOUDURE'!$AV$7:$AV$3006,0))&lt;&gt;""," / "&amp;INDEX('CARNET DE SOUDURE'!$AH$7:$AH$3006,MATCH(231,'CARNET DE SOUDURE'!$AV$7:$AV$3006,0)),""))</f>
        <v/>
      </c>
      <c r="K242" s="125" t="str">
        <f aca="false">IF($B242="","",INDEX('CARNET DE SOUDURE'!$AD$7:$AD$3006,MATCH(231,'CARNET DE SOUDURE'!$AV$7:$AV$3006,0))&amp;IF(INDEX('CARNET DE SOUDURE'!$AI$7:$AI$3006,MATCH(231,'CARNET DE SOUDURE'!$AV$7:$AV$3006,0))&lt;&gt;""," / "&amp;INDEX('CARNET DE SOUDURE'!$AI$7:$AI$3006,MATCH(231,'CARNET DE SOUDURE'!$AV$7:$AV$3006,0)),""))</f>
        <v/>
      </c>
      <c r="L242" s="125" t="str">
        <f aca="false">IF($B242="","",INDEX('CARNET DE SOUDURE'!$AG$7:$AG$3006,MATCH(231,'CARNET DE SOUDURE'!$AV$7:$AV$3006,0))&amp;IF(INDEX('CARNET DE SOUDURE'!$AL$7:$AL$3006,MATCH(231,'CARNET DE SOUDURE'!$AV$7:$AV$3006,0))&lt;&gt;""," / "&amp;INDEX('CARNET DE SOUDURE'!$AL$7:$AL$3006,MATCH(231,'CARNET DE SOUDURE'!$AV$7:$AV$3006,0)),""))</f>
        <v/>
      </c>
      <c r="M242" s="127" t="str">
        <f aca="false">IF($B242="","",INDEX('CARNET DE SOUDURE'!$AP$7:$AP$3006,MATCH(231,'CARNET DE SOUDURE'!$AV$7:$AV$3006,0)))</f>
        <v/>
      </c>
      <c r="N242" s="127" t="str">
        <f aca="false">IF($B242="","",INDEX('CARNET DE SOUDURE'!$AQ$7:$AQ$3006,MATCH(231,'CARNET DE SOUDURE'!$AV$7:$AV$3006,0)))</f>
        <v/>
      </c>
      <c r="O242" s="128" t="str">
        <f aca="false">IF($B242="","",INDEX('CARNET DE SOUDURE'!$AR$7:$AR$3006,MATCH(231,'CARNET DE SOUDURE'!$AV$7:$AV$3006,0)))</f>
        <v/>
      </c>
    </row>
    <row r="243" customFormat="false" ht="15" hidden="false" customHeight="false" outlineLevel="0" collapsed="false">
      <c r="B243" s="130" t="str">
        <f aca="false">IF(232&gt;$I$4,"",232)</f>
        <v/>
      </c>
      <c r="C243" s="130" t="str">
        <f aca="false">IF($B243="","",INDEX('CARNET DE SOUDURE'!$B$7:$B$3006,MATCH(232,'CARNET DE SOUDURE'!$AV$7:$AV$3006,0)))</f>
        <v/>
      </c>
      <c r="D243" s="130" t="str">
        <f aca="false">IF($B243="","",INDEX('CARNET DE SOUDURE'!$E$7:$E$3006,MATCH(232,'CARNET DE SOUDURE'!$AV$7:$AV$3006,0)))</f>
        <v/>
      </c>
      <c r="E243" s="130" t="str">
        <f aca="false">IF($B243="","",INDEX('CARNET DE SOUDURE'!$R$7:$R$3006,MATCH(232,'CARNET DE SOUDURE'!$AV$7:$AV$3006,0))&amp;IF(INDEX('CARNET DE SOUDURE'!$S$7:$S$3006,MATCH(232,'CARNET DE SOUDURE'!$AV$7:$AV$3006,0))&lt;&gt;""," / "&amp;INDEX('CARNET DE SOUDURE'!$S$7:$S$3006,MATCH(232,'CARNET DE SOUDURE'!$AV$7:$AV$3006,0)),"")&amp;IF(INDEX('CARNET DE SOUDURE'!$T$7:$T$3006,MATCH(232,'CARNET DE SOUDURE'!$AV$7:$AV$3006,0))&lt;&gt;""," / "&amp;INDEX('CARNET DE SOUDURE'!$T$7:$T$3006,MATCH(232,'CARNET DE SOUDURE'!$AV$7:$AV$3006,0)),""))</f>
        <v/>
      </c>
      <c r="F243" s="131" t="str">
        <f aca="false">IF($B243="","",INDEX('CARNET DE SOUDURE'!$Y$7:$Y$3006,MATCH(232,'CARNET DE SOUDURE'!$AV$7:$AV$3006,0)))</f>
        <v/>
      </c>
      <c r="G243" s="130" t="str">
        <f aca="false">IF($B243="","",INDEX('CARNET DE SOUDURE'!$Z$7:$Z$3006,MATCH(232,'CARNET DE SOUDURE'!$AV$7:$AV$3006,0))&amp;"")</f>
        <v/>
      </c>
      <c r="H243" s="132" t="str">
        <f aca="false">IF($B243="","",INDEX('CARNET DE SOUDURE'!$AA$7:$AA$3006,MATCH(232,'CARNET DE SOUDURE'!$AV$7:$AV$3006,0)))</f>
        <v/>
      </c>
      <c r="I243" s="130" t="str">
        <f aca="false">IF($B243="","",INDEX('CARNET DE SOUDURE'!$AB$7:$AB$3006,MATCH(232,'CARNET DE SOUDURE'!$AV$7:$AV$3006,0))&amp;"")</f>
        <v/>
      </c>
      <c r="J243" s="130" t="str">
        <f aca="false">IF($B243="","",INDEX('CARNET DE SOUDURE'!$AC$7:$AC$3006,MATCH(232,'CARNET DE SOUDURE'!$AV$7:$AV$3006,0))&amp;IF(INDEX('CARNET DE SOUDURE'!$AH$7:$AH$3006,MATCH(232,'CARNET DE SOUDURE'!$AV$7:$AV$3006,0))&lt;&gt;""," / "&amp;INDEX('CARNET DE SOUDURE'!$AH$7:$AH$3006,MATCH(232,'CARNET DE SOUDURE'!$AV$7:$AV$3006,0)),""))</f>
        <v/>
      </c>
      <c r="K243" s="130" t="str">
        <f aca="false">IF($B243="","",INDEX('CARNET DE SOUDURE'!$AD$7:$AD$3006,MATCH(232,'CARNET DE SOUDURE'!$AV$7:$AV$3006,0))&amp;IF(INDEX('CARNET DE SOUDURE'!$AI$7:$AI$3006,MATCH(232,'CARNET DE SOUDURE'!$AV$7:$AV$3006,0))&lt;&gt;""," / "&amp;INDEX('CARNET DE SOUDURE'!$AI$7:$AI$3006,MATCH(232,'CARNET DE SOUDURE'!$AV$7:$AV$3006,0)),""))</f>
        <v/>
      </c>
      <c r="L243" s="130" t="str">
        <f aca="false">IF($B243="","",INDEX('CARNET DE SOUDURE'!$AG$7:$AG$3006,MATCH(232,'CARNET DE SOUDURE'!$AV$7:$AV$3006,0))&amp;IF(INDEX('CARNET DE SOUDURE'!$AL$7:$AL$3006,MATCH(232,'CARNET DE SOUDURE'!$AV$7:$AV$3006,0))&lt;&gt;""," / "&amp;INDEX('CARNET DE SOUDURE'!$AL$7:$AL$3006,MATCH(232,'CARNET DE SOUDURE'!$AV$7:$AV$3006,0)),""))</f>
        <v/>
      </c>
      <c r="M243" s="132" t="str">
        <f aca="false">IF($B243="","",INDEX('CARNET DE SOUDURE'!$AP$7:$AP$3006,MATCH(232,'CARNET DE SOUDURE'!$AV$7:$AV$3006,0)))</f>
        <v/>
      </c>
      <c r="N243" s="132" t="str">
        <f aca="false">IF($B243="","",INDEX('CARNET DE SOUDURE'!$AQ$7:$AQ$3006,MATCH(232,'CARNET DE SOUDURE'!$AV$7:$AV$3006,0)))</f>
        <v/>
      </c>
      <c r="O243" s="133" t="str">
        <f aca="false">IF($B243="","",INDEX('CARNET DE SOUDURE'!$AR$7:$AR$3006,MATCH(232,'CARNET DE SOUDURE'!$AV$7:$AV$3006,0)))</f>
        <v/>
      </c>
    </row>
    <row r="244" customFormat="false" ht="15" hidden="false" customHeight="false" outlineLevel="0" collapsed="false">
      <c r="B244" s="125" t="str">
        <f aca="false">IF(233&gt;$I$4,"",233)</f>
        <v/>
      </c>
      <c r="C244" s="125" t="str">
        <f aca="false">IF($B244="","",INDEX('CARNET DE SOUDURE'!$B$7:$B$3006,MATCH(233,'CARNET DE SOUDURE'!$AV$7:$AV$3006,0)))</f>
        <v/>
      </c>
      <c r="D244" s="125" t="str">
        <f aca="false">IF($B244="","",INDEX('CARNET DE SOUDURE'!$E$7:$E$3006,MATCH(233,'CARNET DE SOUDURE'!$AV$7:$AV$3006,0)))</f>
        <v/>
      </c>
      <c r="E244" s="125" t="str">
        <f aca="false">IF($B244="","",INDEX('CARNET DE SOUDURE'!$R$7:$R$3006,MATCH(233,'CARNET DE SOUDURE'!$AV$7:$AV$3006,0))&amp;IF(INDEX('CARNET DE SOUDURE'!$S$7:$S$3006,MATCH(233,'CARNET DE SOUDURE'!$AV$7:$AV$3006,0))&lt;&gt;""," / "&amp;INDEX('CARNET DE SOUDURE'!$S$7:$S$3006,MATCH(233,'CARNET DE SOUDURE'!$AV$7:$AV$3006,0)),"")&amp;IF(INDEX('CARNET DE SOUDURE'!$T$7:$T$3006,MATCH(233,'CARNET DE SOUDURE'!$AV$7:$AV$3006,0))&lt;&gt;""," / "&amp;INDEX('CARNET DE SOUDURE'!$T$7:$T$3006,MATCH(233,'CARNET DE SOUDURE'!$AV$7:$AV$3006,0)),""))</f>
        <v/>
      </c>
      <c r="F244" s="126" t="str">
        <f aca="false">IF($B244="","",INDEX('CARNET DE SOUDURE'!$Y$7:$Y$3006,MATCH(233,'CARNET DE SOUDURE'!$AV$7:$AV$3006,0)))</f>
        <v/>
      </c>
      <c r="G244" s="125" t="str">
        <f aca="false">IF($B244="","",INDEX('CARNET DE SOUDURE'!$Z$7:$Z$3006,MATCH(233,'CARNET DE SOUDURE'!$AV$7:$AV$3006,0))&amp;"")</f>
        <v/>
      </c>
      <c r="H244" s="127" t="str">
        <f aca="false">IF($B244="","",INDEX('CARNET DE SOUDURE'!$AA$7:$AA$3006,MATCH(233,'CARNET DE SOUDURE'!$AV$7:$AV$3006,0)))</f>
        <v/>
      </c>
      <c r="I244" s="125" t="str">
        <f aca="false">IF($B244="","",INDEX('CARNET DE SOUDURE'!$AB$7:$AB$3006,MATCH(233,'CARNET DE SOUDURE'!$AV$7:$AV$3006,0))&amp;"")</f>
        <v/>
      </c>
      <c r="J244" s="125" t="str">
        <f aca="false">IF($B244="","",INDEX('CARNET DE SOUDURE'!$AC$7:$AC$3006,MATCH(233,'CARNET DE SOUDURE'!$AV$7:$AV$3006,0))&amp;IF(INDEX('CARNET DE SOUDURE'!$AH$7:$AH$3006,MATCH(233,'CARNET DE SOUDURE'!$AV$7:$AV$3006,0))&lt;&gt;""," / "&amp;INDEX('CARNET DE SOUDURE'!$AH$7:$AH$3006,MATCH(233,'CARNET DE SOUDURE'!$AV$7:$AV$3006,0)),""))</f>
        <v/>
      </c>
      <c r="K244" s="125" t="str">
        <f aca="false">IF($B244="","",INDEX('CARNET DE SOUDURE'!$AD$7:$AD$3006,MATCH(233,'CARNET DE SOUDURE'!$AV$7:$AV$3006,0))&amp;IF(INDEX('CARNET DE SOUDURE'!$AI$7:$AI$3006,MATCH(233,'CARNET DE SOUDURE'!$AV$7:$AV$3006,0))&lt;&gt;""," / "&amp;INDEX('CARNET DE SOUDURE'!$AI$7:$AI$3006,MATCH(233,'CARNET DE SOUDURE'!$AV$7:$AV$3006,0)),""))</f>
        <v/>
      </c>
      <c r="L244" s="125" t="str">
        <f aca="false">IF($B244="","",INDEX('CARNET DE SOUDURE'!$AG$7:$AG$3006,MATCH(233,'CARNET DE SOUDURE'!$AV$7:$AV$3006,0))&amp;IF(INDEX('CARNET DE SOUDURE'!$AL$7:$AL$3006,MATCH(233,'CARNET DE SOUDURE'!$AV$7:$AV$3006,0))&lt;&gt;""," / "&amp;INDEX('CARNET DE SOUDURE'!$AL$7:$AL$3006,MATCH(233,'CARNET DE SOUDURE'!$AV$7:$AV$3006,0)),""))</f>
        <v/>
      </c>
      <c r="M244" s="127" t="str">
        <f aca="false">IF($B244="","",INDEX('CARNET DE SOUDURE'!$AP$7:$AP$3006,MATCH(233,'CARNET DE SOUDURE'!$AV$7:$AV$3006,0)))</f>
        <v/>
      </c>
      <c r="N244" s="127" t="str">
        <f aca="false">IF($B244="","",INDEX('CARNET DE SOUDURE'!$AQ$7:$AQ$3006,MATCH(233,'CARNET DE SOUDURE'!$AV$7:$AV$3006,0)))</f>
        <v/>
      </c>
      <c r="O244" s="128" t="str">
        <f aca="false">IF($B244="","",INDEX('CARNET DE SOUDURE'!$AR$7:$AR$3006,MATCH(233,'CARNET DE SOUDURE'!$AV$7:$AV$3006,0)))</f>
        <v/>
      </c>
    </row>
    <row r="245" customFormat="false" ht="15" hidden="false" customHeight="false" outlineLevel="0" collapsed="false">
      <c r="B245" s="130" t="str">
        <f aca="false">IF(234&gt;$I$4,"",234)</f>
        <v/>
      </c>
      <c r="C245" s="130" t="str">
        <f aca="false">IF($B245="","",INDEX('CARNET DE SOUDURE'!$B$7:$B$3006,MATCH(234,'CARNET DE SOUDURE'!$AV$7:$AV$3006,0)))</f>
        <v/>
      </c>
      <c r="D245" s="130" t="str">
        <f aca="false">IF($B245="","",INDEX('CARNET DE SOUDURE'!$E$7:$E$3006,MATCH(234,'CARNET DE SOUDURE'!$AV$7:$AV$3006,0)))</f>
        <v/>
      </c>
      <c r="E245" s="130" t="str">
        <f aca="false">IF($B245="","",INDEX('CARNET DE SOUDURE'!$R$7:$R$3006,MATCH(234,'CARNET DE SOUDURE'!$AV$7:$AV$3006,0))&amp;IF(INDEX('CARNET DE SOUDURE'!$S$7:$S$3006,MATCH(234,'CARNET DE SOUDURE'!$AV$7:$AV$3006,0))&lt;&gt;""," / "&amp;INDEX('CARNET DE SOUDURE'!$S$7:$S$3006,MATCH(234,'CARNET DE SOUDURE'!$AV$7:$AV$3006,0)),"")&amp;IF(INDEX('CARNET DE SOUDURE'!$T$7:$T$3006,MATCH(234,'CARNET DE SOUDURE'!$AV$7:$AV$3006,0))&lt;&gt;""," / "&amp;INDEX('CARNET DE SOUDURE'!$T$7:$T$3006,MATCH(234,'CARNET DE SOUDURE'!$AV$7:$AV$3006,0)),""))</f>
        <v/>
      </c>
      <c r="F245" s="131" t="str">
        <f aca="false">IF($B245="","",INDEX('CARNET DE SOUDURE'!$Y$7:$Y$3006,MATCH(234,'CARNET DE SOUDURE'!$AV$7:$AV$3006,0)))</f>
        <v/>
      </c>
      <c r="G245" s="130" t="str">
        <f aca="false">IF($B245="","",INDEX('CARNET DE SOUDURE'!$Z$7:$Z$3006,MATCH(234,'CARNET DE SOUDURE'!$AV$7:$AV$3006,0))&amp;"")</f>
        <v/>
      </c>
      <c r="H245" s="132" t="str">
        <f aca="false">IF($B245="","",INDEX('CARNET DE SOUDURE'!$AA$7:$AA$3006,MATCH(234,'CARNET DE SOUDURE'!$AV$7:$AV$3006,0)))</f>
        <v/>
      </c>
      <c r="I245" s="130" t="str">
        <f aca="false">IF($B245="","",INDEX('CARNET DE SOUDURE'!$AB$7:$AB$3006,MATCH(234,'CARNET DE SOUDURE'!$AV$7:$AV$3006,0))&amp;"")</f>
        <v/>
      </c>
      <c r="J245" s="130" t="str">
        <f aca="false">IF($B245="","",INDEX('CARNET DE SOUDURE'!$AC$7:$AC$3006,MATCH(234,'CARNET DE SOUDURE'!$AV$7:$AV$3006,0))&amp;IF(INDEX('CARNET DE SOUDURE'!$AH$7:$AH$3006,MATCH(234,'CARNET DE SOUDURE'!$AV$7:$AV$3006,0))&lt;&gt;""," / "&amp;INDEX('CARNET DE SOUDURE'!$AH$7:$AH$3006,MATCH(234,'CARNET DE SOUDURE'!$AV$7:$AV$3006,0)),""))</f>
        <v/>
      </c>
      <c r="K245" s="130" t="str">
        <f aca="false">IF($B245="","",INDEX('CARNET DE SOUDURE'!$AD$7:$AD$3006,MATCH(234,'CARNET DE SOUDURE'!$AV$7:$AV$3006,0))&amp;IF(INDEX('CARNET DE SOUDURE'!$AI$7:$AI$3006,MATCH(234,'CARNET DE SOUDURE'!$AV$7:$AV$3006,0))&lt;&gt;""," / "&amp;INDEX('CARNET DE SOUDURE'!$AI$7:$AI$3006,MATCH(234,'CARNET DE SOUDURE'!$AV$7:$AV$3006,0)),""))</f>
        <v/>
      </c>
      <c r="L245" s="130" t="str">
        <f aca="false">IF($B245="","",INDEX('CARNET DE SOUDURE'!$AG$7:$AG$3006,MATCH(234,'CARNET DE SOUDURE'!$AV$7:$AV$3006,0))&amp;IF(INDEX('CARNET DE SOUDURE'!$AL$7:$AL$3006,MATCH(234,'CARNET DE SOUDURE'!$AV$7:$AV$3006,0))&lt;&gt;""," / "&amp;INDEX('CARNET DE SOUDURE'!$AL$7:$AL$3006,MATCH(234,'CARNET DE SOUDURE'!$AV$7:$AV$3006,0)),""))</f>
        <v/>
      </c>
      <c r="M245" s="132" t="str">
        <f aca="false">IF($B245="","",INDEX('CARNET DE SOUDURE'!$AP$7:$AP$3006,MATCH(234,'CARNET DE SOUDURE'!$AV$7:$AV$3006,0)))</f>
        <v/>
      </c>
      <c r="N245" s="132" t="str">
        <f aca="false">IF($B245="","",INDEX('CARNET DE SOUDURE'!$AQ$7:$AQ$3006,MATCH(234,'CARNET DE SOUDURE'!$AV$7:$AV$3006,0)))</f>
        <v/>
      </c>
      <c r="O245" s="133" t="str">
        <f aca="false">IF($B245="","",INDEX('CARNET DE SOUDURE'!$AR$7:$AR$3006,MATCH(234,'CARNET DE SOUDURE'!$AV$7:$AV$3006,0)))</f>
        <v/>
      </c>
    </row>
    <row r="246" customFormat="false" ht="15" hidden="false" customHeight="false" outlineLevel="0" collapsed="false">
      <c r="B246" s="125" t="str">
        <f aca="false">IF(235&gt;$I$4,"",235)</f>
        <v/>
      </c>
      <c r="C246" s="125" t="str">
        <f aca="false">IF($B246="","",INDEX('CARNET DE SOUDURE'!$B$7:$B$3006,MATCH(235,'CARNET DE SOUDURE'!$AV$7:$AV$3006,0)))</f>
        <v/>
      </c>
      <c r="D246" s="125" t="str">
        <f aca="false">IF($B246="","",INDEX('CARNET DE SOUDURE'!$E$7:$E$3006,MATCH(235,'CARNET DE SOUDURE'!$AV$7:$AV$3006,0)))</f>
        <v/>
      </c>
      <c r="E246" s="125" t="str">
        <f aca="false">IF($B246="","",INDEX('CARNET DE SOUDURE'!$R$7:$R$3006,MATCH(235,'CARNET DE SOUDURE'!$AV$7:$AV$3006,0))&amp;IF(INDEX('CARNET DE SOUDURE'!$S$7:$S$3006,MATCH(235,'CARNET DE SOUDURE'!$AV$7:$AV$3006,0))&lt;&gt;""," / "&amp;INDEX('CARNET DE SOUDURE'!$S$7:$S$3006,MATCH(235,'CARNET DE SOUDURE'!$AV$7:$AV$3006,0)),"")&amp;IF(INDEX('CARNET DE SOUDURE'!$T$7:$T$3006,MATCH(235,'CARNET DE SOUDURE'!$AV$7:$AV$3006,0))&lt;&gt;""," / "&amp;INDEX('CARNET DE SOUDURE'!$T$7:$T$3006,MATCH(235,'CARNET DE SOUDURE'!$AV$7:$AV$3006,0)),""))</f>
        <v/>
      </c>
      <c r="F246" s="126" t="str">
        <f aca="false">IF($B246="","",INDEX('CARNET DE SOUDURE'!$Y$7:$Y$3006,MATCH(235,'CARNET DE SOUDURE'!$AV$7:$AV$3006,0)))</f>
        <v/>
      </c>
      <c r="G246" s="125" t="str">
        <f aca="false">IF($B246="","",INDEX('CARNET DE SOUDURE'!$Z$7:$Z$3006,MATCH(235,'CARNET DE SOUDURE'!$AV$7:$AV$3006,0))&amp;"")</f>
        <v/>
      </c>
      <c r="H246" s="127" t="str">
        <f aca="false">IF($B246="","",INDEX('CARNET DE SOUDURE'!$AA$7:$AA$3006,MATCH(235,'CARNET DE SOUDURE'!$AV$7:$AV$3006,0)))</f>
        <v/>
      </c>
      <c r="I246" s="125" t="str">
        <f aca="false">IF($B246="","",INDEX('CARNET DE SOUDURE'!$AB$7:$AB$3006,MATCH(235,'CARNET DE SOUDURE'!$AV$7:$AV$3006,0))&amp;"")</f>
        <v/>
      </c>
      <c r="J246" s="125" t="str">
        <f aca="false">IF($B246="","",INDEX('CARNET DE SOUDURE'!$AC$7:$AC$3006,MATCH(235,'CARNET DE SOUDURE'!$AV$7:$AV$3006,0))&amp;IF(INDEX('CARNET DE SOUDURE'!$AH$7:$AH$3006,MATCH(235,'CARNET DE SOUDURE'!$AV$7:$AV$3006,0))&lt;&gt;""," / "&amp;INDEX('CARNET DE SOUDURE'!$AH$7:$AH$3006,MATCH(235,'CARNET DE SOUDURE'!$AV$7:$AV$3006,0)),""))</f>
        <v/>
      </c>
      <c r="K246" s="125" t="str">
        <f aca="false">IF($B246="","",INDEX('CARNET DE SOUDURE'!$AD$7:$AD$3006,MATCH(235,'CARNET DE SOUDURE'!$AV$7:$AV$3006,0))&amp;IF(INDEX('CARNET DE SOUDURE'!$AI$7:$AI$3006,MATCH(235,'CARNET DE SOUDURE'!$AV$7:$AV$3006,0))&lt;&gt;""," / "&amp;INDEX('CARNET DE SOUDURE'!$AI$7:$AI$3006,MATCH(235,'CARNET DE SOUDURE'!$AV$7:$AV$3006,0)),""))</f>
        <v/>
      </c>
      <c r="L246" s="125" t="str">
        <f aca="false">IF($B246="","",INDEX('CARNET DE SOUDURE'!$AG$7:$AG$3006,MATCH(235,'CARNET DE SOUDURE'!$AV$7:$AV$3006,0))&amp;IF(INDEX('CARNET DE SOUDURE'!$AL$7:$AL$3006,MATCH(235,'CARNET DE SOUDURE'!$AV$7:$AV$3006,0))&lt;&gt;""," / "&amp;INDEX('CARNET DE SOUDURE'!$AL$7:$AL$3006,MATCH(235,'CARNET DE SOUDURE'!$AV$7:$AV$3006,0)),""))</f>
        <v/>
      </c>
      <c r="M246" s="127" t="str">
        <f aca="false">IF($B246="","",INDEX('CARNET DE SOUDURE'!$AP$7:$AP$3006,MATCH(235,'CARNET DE SOUDURE'!$AV$7:$AV$3006,0)))</f>
        <v/>
      </c>
      <c r="N246" s="127" t="str">
        <f aca="false">IF($B246="","",INDEX('CARNET DE SOUDURE'!$AQ$7:$AQ$3006,MATCH(235,'CARNET DE SOUDURE'!$AV$7:$AV$3006,0)))</f>
        <v/>
      </c>
      <c r="O246" s="128" t="str">
        <f aca="false">IF($B246="","",INDEX('CARNET DE SOUDURE'!$AR$7:$AR$3006,MATCH(235,'CARNET DE SOUDURE'!$AV$7:$AV$3006,0)))</f>
        <v/>
      </c>
    </row>
    <row r="247" customFormat="false" ht="15" hidden="false" customHeight="false" outlineLevel="0" collapsed="false">
      <c r="B247" s="130" t="str">
        <f aca="false">IF(236&gt;$I$4,"",236)</f>
        <v/>
      </c>
      <c r="C247" s="130" t="str">
        <f aca="false">IF($B247="","",INDEX('CARNET DE SOUDURE'!$B$7:$B$3006,MATCH(236,'CARNET DE SOUDURE'!$AV$7:$AV$3006,0)))</f>
        <v/>
      </c>
      <c r="D247" s="130" t="str">
        <f aca="false">IF($B247="","",INDEX('CARNET DE SOUDURE'!$E$7:$E$3006,MATCH(236,'CARNET DE SOUDURE'!$AV$7:$AV$3006,0)))</f>
        <v/>
      </c>
      <c r="E247" s="130" t="str">
        <f aca="false">IF($B247="","",INDEX('CARNET DE SOUDURE'!$R$7:$R$3006,MATCH(236,'CARNET DE SOUDURE'!$AV$7:$AV$3006,0))&amp;IF(INDEX('CARNET DE SOUDURE'!$S$7:$S$3006,MATCH(236,'CARNET DE SOUDURE'!$AV$7:$AV$3006,0))&lt;&gt;""," / "&amp;INDEX('CARNET DE SOUDURE'!$S$7:$S$3006,MATCH(236,'CARNET DE SOUDURE'!$AV$7:$AV$3006,0)),"")&amp;IF(INDEX('CARNET DE SOUDURE'!$T$7:$T$3006,MATCH(236,'CARNET DE SOUDURE'!$AV$7:$AV$3006,0))&lt;&gt;""," / "&amp;INDEX('CARNET DE SOUDURE'!$T$7:$T$3006,MATCH(236,'CARNET DE SOUDURE'!$AV$7:$AV$3006,0)),""))</f>
        <v/>
      </c>
      <c r="F247" s="131" t="str">
        <f aca="false">IF($B247="","",INDEX('CARNET DE SOUDURE'!$Y$7:$Y$3006,MATCH(236,'CARNET DE SOUDURE'!$AV$7:$AV$3006,0)))</f>
        <v/>
      </c>
      <c r="G247" s="130" t="str">
        <f aca="false">IF($B247="","",INDEX('CARNET DE SOUDURE'!$Z$7:$Z$3006,MATCH(236,'CARNET DE SOUDURE'!$AV$7:$AV$3006,0))&amp;"")</f>
        <v/>
      </c>
      <c r="H247" s="132" t="str">
        <f aca="false">IF($B247="","",INDEX('CARNET DE SOUDURE'!$AA$7:$AA$3006,MATCH(236,'CARNET DE SOUDURE'!$AV$7:$AV$3006,0)))</f>
        <v/>
      </c>
      <c r="I247" s="130" t="str">
        <f aca="false">IF($B247="","",INDEX('CARNET DE SOUDURE'!$AB$7:$AB$3006,MATCH(236,'CARNET DE SOUDURE'!$AV$7:$AV$3006,0))&amp;"")</f>
        <v/>
      </c>
      <c r="J247" s="130" t="str">
        <f aca="false">IF($B247="","",INDEX('CARNET DE SOUDURE'!$AC$7:$AC$3006,MATCH(236,'CARNET DE SOUDURE'!$AV$7:$AV$3006,0))&amp;IF(INDEX('CARNET DE SOUDURE'!$AH$7:$AH$3006,MATCH(236,'CARNET DE SOUDURE'!$AV$7:$AV$3006,0))&lt;&gt;""," / "&amp;INDEX('CARNET DE SOUDURE'!$AH$7:$AH$3006,MATCH(236,'CARNET DE SOUDURE'!$AV$7:$AV$3006,0)),""))</f>
        <v/>
      </c>
      <c r="K247" s="130" t="str">
        <f aca="false">IF($B247="","",INDEX('CARNET DE SOUDURE'!$AD$7:$AD$3006,MATCH(236,'CARNET DE SOUDURE'!$AV$7:$AV$3006,0))&amp;IF(INDEX('CARNET DE SOUDURE'!$AI$7:$AI$3006,MATCH(236,'CARNET DE SOUDURE'!$AV$7:$AV$3006,0))&lt;&gt;""," / "&amp;INDEX('CARNET DE SOUDURE'!$AI$7:$AI$3006,MATCH(236,'CARNET DE SOUDURE'!$AV$7:$AV$3006,0)),""))</f>
        <v/>
      </c>
      <c r="L247" s="130" t="str">
        <f aca="false">IF($B247="","",INDEX('CARNET DE SOUDURE'!$AG$7:$AG$3006,MATCH(236,'CARNET DE SOUDURE'!$AV$7:$AV$3006,0))&amp;IF(INDEX('CARNET DE SOUDURE'!$AL$7:$AL$3006,MATCH(236,'CARNET DE SOUDURE'!$AV$7:$AV$3006,0))&lt;&gt;""," / "&amp;INDEX('CARNET DE SOUDURE'!$AL$7:$AL$3006,MATCH(236,'CARNET DE SOUDURE'!$AV$7:$AV$3006,0)),""))</f>
        <v/>
      </c>
      <c r="M247" s="132" t="str">
        <f aca="false">IF($B247="","",INDEX('CARNET DE SOUDURE'!$AP$7:$AP$3006,MATCH(236,'CARNET DE SOUDURE'!$AV$7:$AV$3006,0)))</f>
        <v/>
      </c>
      <c r="N247" s="132" t="str">
        <f aca="false">IF($B247="","",INDEX('CARNET DE SOUDURE'!$AQ$7:$AQ$3006,MATCH(236,'CARNET DE SOUDURE'!$AV$7:$AV$3006,0)))</f>
        <v/>
      </c>
      <c r="O247" s="133" t="str">
        <f aca="false">IF($B247="","",INDEX('CARNET DE SOUDURE'!$AR$7:$AR$3006,MATCH(236,'CARNET DE SOUDURE'!$AV$7:$AV$3006,0)))</f>
        <v/>
      </c>
    </row>
    <row r="248" customFormat="false" ht="15" hidden="false" customHeight="false" outlineLevel="0" collapsed="false">
      <c r="B248" s="125" t="str">
        <f aca="false">IF(237&gt;$I$4,"",237)</f>
        <v/>
      </c>
      <c r="C248" s="125" t="str">
        <f aca="false">IF($B248="","",INDEX('CARNET DE SOUDURE'!$B$7:$B$3006,MATCH(237,'CARNET DE SOUDURE'!$AV$7:$AV$3006,0)))</f>
        <v/>
      </c>
      <c r="D248" s="125" t="str">
        <f aca="false">IF($B248="","",INDEX('CARNET DE SOUDURE'!$E$7:$E$3006,MATCH(237,'CARNET DE SOUDURE'!$AV$7:$AV$3006,0)))</f>
        <v/>
      </c>
      <c r="E248" s="125" t="str">
        <f aca="false">IF($B248="","",INDEX('CARNET DE SOUDURE'!$R$7:$R$3006,MATCH(237,'CARNET DE SOUDURE'!$AV$7:$AV$3006,0))&amp;IF(INDEX('CARNET DE SOUDURE'!$S$7:$S$3006,MATCH(237,'CARNET DE SOUDURE'!$AV$7:$AV$3006,0))&lt;&gt;""," / "&amp;INDEX('CARNET DE SOUDURE'!$S$7:$S$3006,MATCH(237,'CARNET DE SOUDURE'!$AV$7:$AV$3006,0)),"")&amp;IF(INDEX('CARNET DE SOUDURE'!$T$7:$T$3006,MATCH(237,'CARNET DE SOUDURE'!$AV$7:$AV$3006,0))&lt;&gt;""," / "&amp;INDEX('CARNET DE SOUDURE'!$T$7:$T$3006,MATCH(237,'CARNET DE SOUDURE'!$AV$7:$AV$3006,0)),""))</f>
        <v/>
      </c>
      <c r="F248" s="126" t="str">
        <f aca="false">IF($B248="","",INDEX('CARNET DE SOUDURE'!$Y$7:$Y$3006,MATCH(237,'CARNET DE SOUDURE'!$AV$7:$AV$3006,0)))</f>
        <v/>
      </c>
      <c r="G248" s="125" t="str">
        <f aca="false">IF($B248="","",INDEX('CARNET DE SOUDURE'!$Z$7:$Z$3006,MATCH(237,'CARNET DE SOUDURE'!$AV$7:$AV$3006,0))&amp;"")</f>
        <v/>
      </c>
      <c r="H248" s="127" t="str">
        <f aca="false">IF($B248="","",INDEX('CARNET DE SOUDURE'!$AA$7:$AA$3006,MATCH(237,'CARNET DE SOUDURE'!$AV$7:$AV$3006,0)))</f>
        <v/>
      </c>
      <c r="I248" s="125" t="str">
        <f aca="false">IF($B248="","",INDEX('CARNET DE SOUDURE'!$AB$7:$AB$3006,MATCH(237,'CARNET DE SOUDURE'!$AV$7:$AV$3006,0))&amp;"")</f>
        <v/>
      </c>
      <c r="J248" s="125" t="str">
        <f aca="false">IF($B248="","",INDEX('CARNET DE SOUDURE'!$AC$7:$AC$3006,MATCH(237,'CARNET DE SOUDURE'!$AV$7:$AV$3006,0))&amp;IF(INDEX('CARNET DE SOUDURE'!$AH$7:$AH$3006,MATCH(237,'CARNET DE SOUDURE'!$AV$7:$AV$3006,0))&lt;&gt;""," / "&amp;INDEX('CARNET DE SOUDURE'!$AH$7:$AH$3006,MATCH(237,'CARNET DE SOUDURE'!$AV$7:$AV$3006,0)),""))</f>
        <v/>
      </c>
      <c r="K248" s="125" t="str">
        <f aca="false">IF($B248="","",INDEX('CARNET DE SOUDURE'!$AD$7:$AD$3006,MATCH(237,'CARNET DE SOUDURE'!$AV$7:$AV$3006,0))&amp;IF(INDEX('CARNET DE SOUDURE'!$AI$7:$AI$3006,MATCH(237,'CARNET DE SOUDURE'!$AV$7:$AV$3006,0))&lt;&gt;""," / "&amp;INDEX('CARNET DE SOUDURE'!$AI$7:$AI$3006,MATCH(237,'CARNET DE SOUDURE'!$AV$7:$AV$3006,0)),""))</f>
        <v/>
      </c>
      <c r="L248" s="125" t="str">
        <f aca="false">IF($B248="","",INDEX('CARNET DE SOUDURE'!$AG$7:$AG$3006,MATCH(237,'CARNET DE SOUDURE'!$AV$7:$AV$3006,0))&amp;IF(INDEX('CARNET DE SOUDURE'!$AL$7:$AL$3006,MATCH(237,'CARNET DE SOUDURE'!$AV$7:$AV$3006,0))&lt;&gt;""," / "&amp;INDEX('CARNET DE SOUDURE'!$AL$7:$AL$3006,MATCH(237,'CARNET DE SOUDURE'!$AV$7:$AV$3006,0)),""))</f>
        <v/>
      </c>
      <c r="M248" s="127" t="str">
        <f aca="false">IF($B248="","",INDEX('CARNET DE SOUDURE'!$AP$7:$AP$3006,MATCH(237,'CARNET DE SOUDURE'!$AV$7:$AV$3006,0)))</f>
        <v/>
      </c>
      <c r="N248" s="127" t="str">
        <f aca="false">IF($B248="","",INDEX('CARNET DE SOUDURE'!$AQ$7:$AQ$3006,MATCH(237,'CARNET DE SOUDURE'!$AV$7:$AV$3006,0)))</f>
        <v/>
      </c>
      <c r="O248" s="128" t="str">
        <f aca="false">IF($B248="","",INDEX('CARNET DE SOUDURE'!$AR$7:$AR$3006,MATCH(237,'CARNET DE SOUDURE'!$AV$7:$AV$3006,0)))</f>
        <v/>
      </c>
    </row>
    <row r="249" customFormat="false" ht="15" hidden="false" customHeight="false" outlineLevel="0" collapsed="false">
      <c r="B249" s="130" t="str">
        <f aca="false">IF(238&gt;$I$4,"",238)</f>
        <v/>
      </c>
      <c r="C249" s="130" t="str">
        <f aca="false">IF($B249="","",INDEX('CARNET DE SOUDURE'!$B$7:$B$3006,MATCH(238,'CARNET DE SOUDURE'!$AV$7:$AV$3006,0)))</f>
        <v/>
      </c>
      <c r="D249" s="130" t="str">
        <f aca="false">IF($B249="","",INDEX('CARNET DE SOUDURE'!$E$7:$E$3006,MATCH(238,'CARNET DE SOUDURE'!$AV$7:$AV$3006,0)))</f>
        <v/>
      </c>
      <c r="E249" s="130" t="str">
        <f aca="false">IF($B249="","",INDEX('CARNET DE SOUDURE'!$R$7:$R$3006,MATCH(238,'CARNET DE SOUDURE'!$AV$7:$AV$3006,0))&amp;IF(INDEX('CARNET DE SOUDURE'!$S$7:$S$3006,MATCH(238,'CARNET DE SOUDURE'!$AV$7:$AV$3006,0))&lt;&gt;""," / "&amp;INDEX('CARNET DE SOUDURE'!$S$7:$S$3006,MATCH(238,'CARNET DE SOUDURE'!$AV$7:$AV$3006,0)),"")&amp;IF(INDEX('CARNET DE SOUDURE'!$T$7:$T$3006,MATCH(238,'CARNET DE SOUDURE'!$AV$7:$AV$3006,0))&lt;&gt;""," / "&amp;INDEX('CARNET DE SOUDURE'!$T$7:$T$3006,MATCH(238,'CARNET DE SOUDURE'!$AV$7:$AV$3006,0)),""))</f>
        <v/>
      </c>
      <c r="F249" s="131" t="str">
        <f aca="false">IF($B249="","",INDEX('CARNET DE SOUDURE'!$Y$7:$Y$3006,MATCH(238,'CARNET DE SOUDURE'!$AV$7:$AV$3006,0)))</f>
        <v/>
      </c>
      <c r="G249" s="130" t="str">
        <f aca="false">IF($B249="","",INDEX('CARNET DE SOUDURE'!$Z$7:$Z$3006,MATCH(238,'CARNET DE SOUDURE'!$AV$7:$AV$3006,0))&amp;"")</f>
        <v/>
      </c>
      <c r="H249" s="132" t="str">
        <f aca="false">IF($B249="","",INDEX('CARNET DE SOUDURE'!$AA$7:$AA$3006,MATCH(238,'CARNET DE SOUDURE'!$AV$7:$AV$3006,0)))</f>
        <v/>
      </c>
      <c r="I249" s="130" t="str">
        <f aca="false">IF($B249="","",INDEX('CARNET DE SOUDURE'!$AB$7:$AB$3006,MATCH(238,'CARNET DE SOUDURE'!$AV$7:$AV$3006,0))&amp;"")</f>
        <v/>
      </c>
      <c r="J249" s="130" t="str">
        <f aca="false">IF($B249="","",INDEX('CARNET DE SOUDURE'!$AC$7:$AC$3006,MATCH(238,'CARNET DE SOUDURE'!$AV$7:$AV$3006,0))&amp;IF(INDEX('CARNET DE SOUDURE'!$AH$7:$AH$3006,MATCH(238,'CARNET DE SOUDURE'!$AV$7:$AV$3006,0))&lt;&gt;""," / "&amp;INDEX('CARNET DE SOUDURE'!$AH$7:$AH$3006,MATCH(238,'CARNET DE SOUDURE'!$AV$7:$AV$3006,0)),""))</f>
        <v/>
      </c>
      <c r="K249" s="130" t="str">
        <f aca="false">IF($B249="","",INDEX('CARNET DE SOUDURE'!$AD$7:$AD$3006,MATCH(238,'CARNET DE SOUDURE'!$AV$7:$AV$3006,0))&amp;IF(INDEX('CARNET DE SOUDURE'!$AI$7:$AI$3006,MATCH(238,'CARNET DE SOUDURE'!$AV$7:$AV$3006,0))&lt;&gt;""," / "&amp;INDEX('CARNET DE SOUDURE'!$AI$7:$AI$3006,MATCH(238,'CARNET DE SOUDURE'!$AV$7:$AV$3006,0)),""))</f>
        <v/>
      </c>
      <c r="L249" s="130" t="str">
        <f aca="false">IF($B249="","",INDEX('CARNET DE SOUDURE'!$AG$7:$AG$3006,MATCH(238,'CARNET DE SOUDURE'!$AV$7:$AV$3006,0))&amp;IF(INDEX('CARNET DE SOUDURE'!$AL$7:$AL$3006,MATCH(238,'CARNET DE SOUDURE'!$AV$7:$AV$3006,0))&lt;&gt;""," / "&amp;INDEX('CARNET DE SOUDURE'!$AL$7:$AL$3006,MATCH(238,'CARNET DE SOUDURE'!$AV$7:$AV$3006,0)),""))</f>
        <v/>
      </c>
      <c r="M249" s="132" t="str">
        <f aca="false">IF($B249="","",INDEX('CARNET DE SOUDURE'!$AP$7:$AP$3006,MATCH(238,'CARNET DE SOUDURE'!$AV$7:$AV$3006,0)))</f>
        <v/>
      </c>
      <c r="N249" s="132" t="str">
        <f aca="false">IF($B249="","",INDEX('CARNET DE SOUDURE'!$AQ$7:$AQ$3006,MATCH(238,'CARNET DE SOUDURE'!$AV$7:$AV$3006,0)))</f>
        <v/>
      </c>
      <c r="O249" s="133" t="str">
        <f aca="false">IF($B249="","",INDEX('CARNET DE SOUDURE'!$AR$7:$AR$3006,MATCH(238,'CARNET DE SOUDURE'!$AV$7:$AV$3006,0)))</f>
        <v/>
      </c>
    </row>
    <row r="250" customFormat="false" ht="15" hidden="false" customHeight="false" outlineLevel="0" collapsed="false">
      <c r="B250" s="125" t="str">
        <f aca="false">IF(239&gt;$I$4,"",239)</f>
        <v/>
      </c>
      <c r="C250" s="125" t="str">
        <f aca="false">IF($B250="","",INDEX('CARNET DE SOUDURE'!$B$7:$B$3006,MATCH(239,'CARNET DE SOUDURE'!$AV$7:$AV$3006,0)))</f>
        <v/>
      </c>
      <c r="D250" s="125" t="str">
        <f aca="false">IF($B250="","",INDEX('CARNET DE SOUDURE'!$E$7:$E$3006,MATCH(239,'CARNET DE SOUDURE'!$AV$7:$AV$3006,0)))</f>
        <v/>
      </c>
      <c r="E250" s="125" t="str">
        <f aca="false">IF($B250="","",INDEX('CARNET DE SOUDURE'!$R$7:$R$3006,MATCH(239,'CARNET DE SOUDURE'!$AV$7:$AV$3006,0))&amp;IF(INDEX('CARNET DE SOUDURE'!$S$7:$S$3006,MATCH(239,'CARNET DE SOUDURE'!$AV$7:$AV$3006,0))&lt;&gt;""," / "&amp;INDEX('CARNET DE SOUDURE'!$S$7:$S$3006,MATCH(239,'CARNET DE SOUDURE'!$AV$7:$AV$3006,0)),"")&amp;IF(INDEX('CARNET DE SOUDURE'!$T$7:$T$3006,MATCH(239,'CARNET DE SOUDURE'!$AV$7:$AV$3006,0))&lt;&gt;""," / "&amp;INDEX('CARNET DE SOUDURE'!$T$7:$T$3006,MATCH(239,'CARNET DE SOUDURE'!$AV$7:$AV$3006,0)),""))</f>
        <v/>
      </c>
      <c r="F250" s="126" t="str">
        <f aca="false">IF($B250="","",INDEX('CARNET DE SOUDURE'!$Y$7:$Y$3006,MATCH(239,'CARNET DE SOUDURE'!$AV$7:$AV$3006,0)))</f>
        <v/>
      </c>
      <c r="G250" s="125" t="str">
        <f aca="false">IF($B250="","",INDEX('CARNET DE SOUDURE'!$Z$7:$Z$3006,MATCH(239,'CARNET DE SOUDURE'!$AV$7:$AV$3006,0))&amp;"")</f>
        <v/>
      </c>
      <c r="H250" s="127" t="str">
        <f aca="false">IF($B250="","",INDEX('CARNET DE SOUDURE'!$AA$7:$AA$3006,MATCH(239,'CARNET DE SOUDURE'!$AV$7:$AV$3006,0)))</f>
        <v/>
      </c>
      <c r="I250" s="125" t="str">
        <f aca="false">IF($B250="","",INDEX('CARNET DE SOUDURE'!$AB$7:$AB$3006,MATCH(239,'CARNET DE SOUDURE'!$AV$7:$AV$3006,0))&amp;"")</f>
        <v/>
      </c>
      <c r="J250" s="125" t="str">
        <f aca="false">IF($B250="","",INDEX('CARNET DE SOUDURE'!$AC$7:$AC$3006,MATCH(239,'CARNET DE SOUDURE'!$AV$7:$AV$3006,0))&amp;IF(INDEX('CARNET DE SOUDURE'!$AH$7:$AH$3006,MATCH(239,'CARNET DE SOUDURE'!$AV$7:$AV$3006,0))&lt;&gt;""," / "&amp;INDEX('CARNET DE SOUDURE'!$AH$7:$AH$3006,MATCH(239,'CARNET DE SOUDURE'!$AV$7:$AV$3006,0)),""))</f>
        <v/>
      </c>
      <c r="K250" s="125" t="str">
        <f aca="false">IF($B250="","",INDEX('CARNET DE SOUDURE'!$AD$7:$AD$3006,MATCH(239,'CARNET DE SOUDURE'!$AV$7:$AV$3006,0))&amp;IF(INDEX('CARNET DE SOUDURE'!$AI$7:$AI$3006,MATCH(239,'CARNET DE SOUDURE'!$AV$7:$AV$3006,0))&lt;&gt;""," / "&amp;INDEX('CARNET DE SOUDURE'!$AI$7:$AI$3006,MATCH(239,'CARNET DE SOUDURE'!$AV$7:$AV$3006,0)),""))</f>
        <v/>
      </c>
      <c r="L250" s="125" t="str">
        <f aca="false">IF($B250="","",INDEX('CARNET DE SOUDURE'!$AG$7:$AG$3006,MATCH(239,'CARNET DE SOUDURE'!$AV$7:$AV$3006,0))&amp;IF(INDEX('CARNET DE SOUDURE'!$AL$7:$AL$3006,MATCH(239,'CARNET DE SOUDURE'!$AV$7:$AV$3006,0))&lt;&gt;""," / "&amp;INDEX('CARNET DE SOUDURE'!$AL$7:$AL$3006,MATCH(239,'CARNET DE SOUDURE'!$AV$7:$AV$3006,0)),""))</f>
        <v/>
      </c>
      <c r="M250" s="127" t="str">
        <f aca="false">IF($B250="","",INDEX('CARNET DE SOUDURE'!$AP$7:$AP$3006,MATCH(239,'CARNET DE SOUDURE'!$AV$7:$AV$3006,0)))</f>
        <v/>
      </c>
      <c r="N250" s="127" t="str">
        <f aca="false">IF($B250="","",INDEX('CARNET DE SOUDURE'!$AQ$7:$AQ$3006,MATCH(239,'CARNET DE SOUDURE'!$AV$7:$AV$3006,0)))</f>
        <v/>
      </c>
      <c r="O250" s="128" t="str">
        <f aca="false">IF($B250="","",INDEX('CARNET DE SOUDURE'!$AR$7:$AR$3006,MATCH(239,'CARNET DE SOUDURE'!$AV$7:$AV$3006,0)))</f>
        <v/>
      </c>
    </row>
    <row r="251" customFormat="false" ht="15" hidden="false" customHeight="false" outlineLevel="0" collapsed="false">
      <c r="B251" s="130" t="str">
        <f aca="false">IF(240&gt;$I$4,"",240)</f>
        <v/>
      </c>
      <c r="C251" s="130" t="str">
        <f aca="false">IF($B251="","",INDEX('CARNET DE SOUDURE'!$B$7:$B$3006,MATCH(240,'CARNET DE SOUDURE'!$AV$7:$AV$3006,0)))</f>
        <v/>
      </c>
      <c r="D251" s="130" t="str">
        <f aca="false">IF($B251="","",INDEX('CARNET DE SOUDURE'!$E$7:$E$3006,MATCH(240,'CARNET DE SOUDURE'!$AV$7:$AV$3006,0)))</f>
        <v/>
      </c>
      <c r="E251" s="130" t="str">
        <f aca="false">IF($B251="","",INDEX('CARNET DE SOUDURE'!$R$7:$R$3006,MATCH(240,'CARNET DE SOUDURE'!$AV$7:$AV$3006,0))&amp;IF(INDEX('CARNET DE SOUDURE'!$S$7:$S$3006,MATCH(240,'CARNET DE SOUDURE'!$AV$7:$AV$3006,0))&lt;&gt;""," / "&amp;INDEX('CARNET DE SOUDURE'!$S$7:$S$3006,MATCH(240,'CARNET DE SOUDURE'!$AV$7:$AV$3006,0)),"")&amp;IF(INDEX('CARNET DE SOUDURE'!$T$7:$T$3006,MATCH(240,'CARNET DE SOUDURE'!$AV$7:$AV$3006,0))&lt;&gt;""," / "&amp;INDEX('CARNET DE SOUDURE'!$T$7:$T$3006,MATCH(240,'CARNET DE SOUDURE'!$AV$7:$AV$3006,0)),""))</f>
        <v/>
      </c>
      <c r="F251" s="131" t="str">
        <f aca="false">IF($B251="","",INDEX('CARNET DE SOUDURE'!$Y$7:$Y$3006,MATCH(240,'CARNET DE SOUDURE'!$AV$7:$AV$3006,0)))</f>
        <v/>
      </c>
      <c r="G251" s="130" t="str">
        <f aca="false">IF($B251="","",INDEX('CARNET DE SOUDURE'!$Z$7:$Z$3006,MATCH(240,'CARNET DE SOUDURE'!$AV$7:$AV$3006,0))&amp;"")</f>
        <v/>
      </c>
      <c r="H251" s="132" t="str">
        <f aca="false">IF($B251="","",INDEX('CARNET DE SOUDURE'!$AA$7:$AA$3006,MATCH(240,'CARNET DE SOUDURE'!$AV$7:$AV$3006,0)))</f>
        <v/>
      </c>
      <c r="I251" s="130" t="str">
        <f aca="false">IF($B251="","",INDEX('CARNET DE SOUDURE'!$AB$7:$AB$3006,MATCH(240,'CARNET DE SOUDURE'!$AV$7:$AV$3006,0))&amp;"")</f>
        <v/>
      </c>
      <c r="J251" s="130" t="str">
        <f aca="false">IF($B251="","",INDEX('CARNET DE SOUDURE'!$AC$7:$AC$3006,MATCH(240,'CARNET DE SOUDURE'!$AV$7:$AV$3006,0))&amp;IF(INDEX('CARNET DE SOUDURE'!$AH$7:$AH$3006,MATCH(240,'CARNET DE SOUDURE'!$AV$7:$AV$3006,0))&lt;&gt;""," / "&amp;INDEX('CARNET DE SOUDURE'!$AH$7:$AH$3006,MATCH(240,'CARNET DE SOUDURE'!$AV$7:$AV$3006,0)),""))</f>
        <v/>
      </c>
      <c r="K251" s="130" t="str">
        <f aca="false">IF($B251="","",INDEX('CARNET DE SOUDURE'!$AD$7:$AD$3006,MATCH(240,'CARNET DE SOUDURE'!$AV$7:$AV$3006,0))&amp;IF(INDEX('CARNET DE SOUDURE'!$AI$7:$AI$3006,MATCH(240,'CARNET DE SOUDURE'!$AV$7:$AV$3006,0))&lt;&gt;""," / "&amp;INDEX('CARNET DE SOUDURE'!$AI$7:$AI$3006,MATCH(240,'CARNET DE SOUDURE'!$AV$7:$AV$3006,0)),""))</f>
        <v/>
      </c>
      <c r="L251" s="130" t="str">
        <f aca="false">IF($B251="","",INDEX('CARNET DE SOUDURE'!$AG$7:$AG$3006,MATCH(240,'CARNET DE SOUDURE'!$AV$7:$AV$3006,0))&amp;IF(INDEX('CARNET DE SOUDURE'!$AL$7:$AL$3006,MATCH(240,'CARNET DE SOUDURE'!$AV$7:$AV$3006,0))&lt;&gt;""," / "&amp;INDEX('CARNET DE SOUDURE'!$AL$7:$AL$3006,MATCH(240,'CARNET DE SOUDURE'!$AV$7:$AV$3006,0)),""))</f>
        <v/>
      </c>
      <c r="M251" s="132" t="str">
        <f aca="false">IF($B251="","",INDEX('CARNET DE SOUDURE'!$AP$7:$AP$3006,MATCH(240,'CARNET DE SOUDURE'!$AV$7:$AV$3006,0)))</f>
        <v/>
      </c>
      <c r="N251" s="132" t="str">
        <f aca="false">IF($B251="","",INDEX('CARNET DE SOUDURE'!$AQ$7:$AQ$3006,MATCH(240,'CARNET DE SOUDURE'!$AV$7:$AV$3006,0)))</f>
        <v/>
      </c>
      <c r="O251" s="133" t="str">
        <f aca="false">IF($B251="","",INDEX('CARNET DE SOUDURE'!$AR$7:$AR$3006,MATCH(240,'CARNET DE SOUDURE'!$AV$7:$AV$3006,0)))</f>
        <v/>
      </c>
    </row>
    <row r="252" customFormat="false" ht="15" hidden="false" customHeight="false" outlineLevel="0" collapsed="false">
      <c r="B252" s="125" t="str">
        <f aca="false">IF(241&gt;$I$4,"",241)</f>
        <v/>
      </c>
      <c r="C252" s="125" t="str">
        <f aca="false">IF($B252="","",INDEX('CARNET DE SOUDURE'!$B$7:$B$3006,MATCH(241,'CARNET DE SOUDURE'!$AV$7:$AV$3006,0)))</f>
        <v/>
      </c>
      <c r="D252" s="125" t="str">
        <f aca="false">IF($B252="","",INDEX('CARNET DE SOUDURE'!$E$7:$E$3006,MATCH(241,'CARNET DE SOUDURE'!$AV$7:$AV$3006,0)))</f>
        <v/>
      </c>
      <c r="E252" s="125" t="str">
        <f aca="false">IF($B252="","",INDEX('CARNET DE SOUDURE'!$R$7:$R$3006,MATCH(241,'CARNET DE SOUDURE'!$AV$7:$AV$3006,0))&amp;IF(INDEX('CARNET DE SOUDURE'!$S$7:$S$3006,MATCH(241,'CARNET DE SOUDURE'!$AV$7:$AV$3006,0))&lt;&gt;""," / "&amp;INDEX('CARNET DE SOUDURE'!$S$7:$S$3006,MATCH(241,'CARNET DE SOUDURE'!$AV$7:$AV$3006,0)),"")&amp;IF(INDEX('CARNET DE SOUDURE'!$T$7:$T$3006,MATCH(241,'CARNET DE SOUDURE'!$AV$7:$AV$3006,0))&lt;&gt;""," / "&amp;INDEX('CARNET DE SOUDURE'!$T$7:$T$3006,MATCH(241,'CARNET DE SOUDURE'!$AV$7:$AV$3006,0)),""))</f>
        <v/>
      </c>
      <c r="F252" s="126" t="str">
        <f aca="false">IF($B252="","",INDEX('CARNET DE SOUDURE'!$Y$7:$Y$3006,MATCH(241,'CARNET DE SOUDURE'!$AV$7:$AV$3006,0)))</f>
        <v/>
      </c>
      <c r="G252" s="125" t="str">
        <f aca="false">IF($B252="","",INDEX('CARNET DE SOUDURE'!$Z$7:$Z$3006,MATCH(241,'CARNET DE SOUDURE'!$AV$7:$AV$3006,0))&amp;"")</f>
        <v/>
      </c>
      <c r="H252" s="127" t="str">
        <f aca="false">IF($B252="","",INDEX('CARNET DE SOUDURE'!$AA$7:$AA$3006,MATCH(241,'CARNET DE SOUDURE'!$AV$7:$AV$3006,0)))</f>
        <v/>
      </c>
      <c r="I252" s="125" t="str">
        <f aca="false">IF($B252="","",INDEX('CARNET DE SOUDURE'!$AB$7:$AB$3006,MATCH(241,'CARNET DE SOUDURE'!$AV$7:$AV$3006,0))&amp;"")</f>
        <v/>
      </c>
      <c r="J252" s="125" t="str">
        <f aca="false">IF($B252="","",INDEX('CARNET DE SOUDURE'!$AC$7:$AC$3006,MATCH(241,'CARNET DE SOUDURE'!$AV$7:$AV$3006,0))&amp;IF(INDEX('CARNET DE SOUDURE'!$AH$7:$AH$3006,MATCH(241,'CARNET DE SOUDURE'!$AV$7:$AV$3006,0))&lt;&gt;""," / "&amp;INDEX('CARNET DE SOUDURE'!$AH$7:$AH$3006,MATCH(241,'CARNET DE SOUDURE'!$AV$7:$AV$3006,0)),""))</f>
        <v/>
      </c>
      <c r="K252" s="125" t="str">
        <f aca="false">IF($B252="","",INDEX('CARNET DE SOUDURE'!$AD$7:$AD$3006,MATCH(241,'CARNET DE SOUDURE'!$AV$7:$AV$3006,0))&amp;IF(INDEX('CARNET DE SOUDURE'!$AI$7:$AI$3006,MATCH(241,'CARNET DE SOUDURE'!$AV$7:$AV$3006,0))&lt;&gt;""," / "&amp;INDEX('CARNET DE SOUDURE'!$AI$7:$AI$3006,MATCH(241,'CARNET DE SOUDURE'!$AV$7:$AV$3006,0)),""))</f>
        <v/>
      </c>
      <c r="L252" s="125" t="str">
        <f aca="false">IF($B252="","",INDEX('CARNET DE SOUDURE'!$AG$7:$AG$3006,MATCH(241,'CARNET DE SOUDURE'!$AV$7:$AV$3006,0))&amp;IF(INDEX('CARNET DE SOUDURE'!$AL$7:$AL$3006,MATCH(241,'CARNET DE SOUDURE'!$AV$7:$AV$3006,0))&lt;&gt;""," / "&amp;INDEX('CARNET DE SOUDURE'!$AL$7:$AL$3006,MATCH(241,'CARNET DE SOUDURE'!$AV$7:$AV$3006,0)),""))</f>
        <v/>
      </c>
      <c r="M252" s="127" t="str">
        <f aca="false">IF($B252="","",INDEX('CARNET DE SOUDURE'!$AP$7:$AP$3006,MATCH(241,'CARNET DE SOUDURE'!$AV$7:$AV$3006,0)))</f>
        <v/>
      </c>
      <c r="N252" s="127" t="str">
        <f aca="false">IF($B252="","",INDEX('CARNET DE SOUDURE'!$AQ$7:$AQ$3006,MATCH(241,'CARNET DE SOUDURE'!$AV$7:$AV$3006,0)))</f>
        <v/>
      </c>
      <c r="O252" s="128" t="str">
        <f aca="false">IF($B252="","",INDEX('CARNET DE SOUDURE'!$AR$7:$AR$3006,MATCH(241,'CARNET DE SOUDURE'!$AV$7:$AV$3006,0)))</f>
        <v/>
      </c>
    </row>
    <row r="253" customFormat="false" ht="15" hidden="false" customHeight="false" outlineLevel="0" collapsed="false">
      <c r="B253" s="130" t="str">
        <f aca="false">IF(242&gt;$I$4,"",242)</f>
        <v/>
      </c>
      <c r="C253" s="130" t="str">
        <f aca="false">IF($B253="","",INDEX('CARNET DE SOUDURE'!$B$7:$B$3006,MATCH(242,'CARNET DE SOUDURE'!$AV$7:$AV$3006,0)))</f>
        <v/>
      </c>
      <c r="D253" s="130" t="str">
        <f aca="false">IF($B253="","",INDEX('CARNET DE SOUDURE'!$E$7:$E$3006,MATCH(242,'CARNET DE SOUDURE'!$AV$7:$AV$3006,0)))</f>
        <v/>
      </c>
      <c r="E253" s="130" t="str">
        <f aca="false">IF($B253="","",INDEX('CARNET DE SOUDURE'!$R$7:$R$3006,MATCH(242,'CARNET DE SOUDURE'!$AV$7:$AV$3006,0))&amp;IF(INDEX('CARNET DE SOUDURE'!$S$7:$S$3006,MATCH(242,'CARNET DE SOUDURE'!$AV$7:$AV$3006,0))&lt;&gt;""," / "&amp;INDEX('CARNET DE SOUDURE'!$S$7:$S$3006,MATCH(242,'CARNET DE SOUDURE'!$AV$7:$AV$3006,0)),"")&amp;IF(INDEX('CARNET DE SOUDURE'!$T$7:$T$3006,MATCH(242,'CARNET DE SOUDURE'!$AV$7:$AV$3006,0))&lt;&gt;""," / "&amp;INDEX('CARNET DE SOUDURE'!$T$7:$T$3006,MATCH(242,'CARNET DE SOUDURE'!$AV$7:$AV$3006,0)),""))</f>
        <v/>
      </c>
      <c r="F253" s="131" t="str">
        <f aca="false">IF($B253="","",INDEX('CARNET DE SOUDURE'!$Y$7:$Y$3006,MATCH(242,'CARNET DE SOUDURE'!$AV$7:$AV$3006,0)))</f>
        <v/>
      </c>
      <c r="G253" s="130" t="str">
        <f aca="false">IF($B253="","",INDEX('CARNET DE SOUDURE'!$Z$7:$Z$3006,MATCH(242,'CARNET DE SOUDURE'!$AV$7:$AV$3006,0))&amp;"")</f>
        <v/>
      </c>
      <c r="H253" s="132" t="str">
        <f aca="false">IF($B253="","",INDEX('CARNET DE SOUDURE'!$AA$7:$AA$3006,MATCH(242,'CARNET DE SOUDURE'!$AV$7:$AV$3006,0)))</f>
        <v/>
      </c>
      <c r="I253" s="130" t="str">
        <f aca="false">IF($B253="","",INDEX('CARNET DE SOUDURE'!$AB$7:$AB$3006,MATCH(242,'CARNET DE SOUDURE'!$AV$7:$AV$3006,0))&amp;"")</f>
        <v/>
      </c>
      <c r="J253" s="130" t="str">
        <f aca="false">IF($B253="","",INDEX('CARNET DE SOUDURE'!$AC$7:$AC$3006,MATCH(242,'CARNET DE SOUDURE'!$AV$7:$AV$3006,0))&amp;IF(INDEX('CARNET DE SOUDURE'!$AH$7:$AH$3006,MATCH(242,'CARNET DE SOUDURE'!$AV$7:$AV$3006,0))&lt;&gt;""," / "&amp;INDEX('CARNET DE SOUDURE'!$AH$7:$AH$3006,MATCH(242,'CARNET DE SOUDURE'!$AV$7:$AV$3006,0)),""))</f>
        <v/>
      </c>
      <c r="K253" s="130" t="str">
        <f aca="false">IF($B253="","",INDEX('CARNET DE SOUDURE'!$AD$7:$AD$3006,MATCH(242,'CARNET DE SOUDURE'!$AV$7:$AV$3006,0))&amp;IF(INDEX('CARNET DE SOUDURE'!$AI$7:$AI$3006,MATCH(242,'CARNET DE SOUDURE'!$AV$7:$AV$3006,0))&lt;&gt;""," / "&amp;INDEX('CARNET DE SOUDURE'!$AI$7:$AI$3006,MATCH(242,'CARNET DE SOUDURE'!$AV$7:$AV$3006,0)),""))</f>
        <v/>
      </c>
      <c r="L253" s="130" t="str">
        <f aca="false">IF($B253="","",INDEX('CARNET DE SOUDURE'!$AG$7:$AG$3006,MATCH(242,'CARNET DE SOUDURE'!$AV$7:$AV$3006,0))&amp;IF(INDEX('CARNET DE SOUDURE'!$AL$7:$AL$3006,MATCH(242,'CARNET DE SOUDURE'!$AV$7:$AV$3006,0))&lt;&gt;""," / "&amp;INDEX('CARNET DE SOUDURE'!$AL$7:$AL$3006,MATCH(242,'CARNET DE SOUDURE'!$AV$7:$AV$3006,0)),""))</f>
        <v/>
      </c>
      <c r="M253" s="132" t="str">
        <f aca="false">IF($B253="","",INDEX('CARNET DE SOUDURE'!$AP$7:$AP$3006,MATCH(242,'CARNET DE SOUDURE'!$AV$7:$AV$3006,0)))</f>
        <v/>
      </c>
      <c r="N253" s="132" t="str">
        <f aca="false">IF($B253="","",INDEX('CARNET DE SOUDURE'!$AQ$7:$AQ$3006,MATCH(242,'CARNET DE SOUDURE'!$AV$7:$AV$3006,0)))</f>
        <v/>
      </c>
      <c r="O253" s="133" t="str">
        <f aca="false">IF($B253="","",INDEX('CARNET DE SOUDURE'!$AR$7:$AR$3006,MATCH(242,'CARNET DE SOUDURE'!$AV$7:$AV$3006,0)))</f>
        <v/>
      </c>
    </row>
    <row r="254" customFormat="false" ht="15" hidden="false" customHeight="false" outlineLevel="0" collapsed="false">
      <c r="B254" s="125" t="str">
        <f aca="false">IF(243&gt;$I$4,"",243)</f>
        <v/>
      </c>
      <c r="C254" s="125" t="str">
        <f aca="false">IF($B254="","",INDEX('CARNET DE SOUDURE'!$B$7:$B$3006,MATCH(243,'CARNET DE SOUDURE'!$AV$7:$AV$3006,0)))</f>
        <v/>
      </c>
      <c r="D254" s="125" t="str">
        <f aca="false">IF($B254="","",INDEX('CARNET DE SOUDURE'!$E$7:$E$3006,MATCH(243,'CARNET DE SOUDURE'!$AV$7:$AV$3006,0)))</f>
        <v/>
      </c>
      <c r="E254" s="125" t="str">
        <f aca="false">IF($B254="","",INDEX('CARNET DE SOUDURE'!$R$7:$R$3006,MATCH(243,'CARNET DE SOUDURE'!$AV$7:$AV$3006,0))&amp;IF(INDEX('CARNET DE SOUDURE'!$S$7:$S$3006,MATCH(243,'CARNET DE SOUDURE'!$AV$7:$AV$3006,0))&lt;&gt;""," / "&amp;INDEX('CARNET DE SOUDURE'!$S$7:$S$3006,MATCH(243,'CARNET DE SOUDURE'!$AV$7:$AV$3006,0)),"")&amp;IF(INDEX('CARNET DE SOUDURE'!$T$7:$T$3006,MATCH(243,'CARNET DE SOUDURE'!$AV$7:$AV$3006,0))&lt;&gt;""," / "&amp;INDEX('CARNET DE SOUDURE'!$T$7:$T$3006,MATCH(243,'CARNET DE SOUDURE'!$AV$7:$AV$3006,0)),""))</f>
        <v/>
      </c>
      <c r="F254" s="126" t="str">
        <f aca="false">IF($B254="","",INDEX('CARNET DE SOUDURE'!$Y$7:$Y$3006,MATCH(243,'CARNET DE SOUDURE'!$AV$7:$AV$3006,0)))</f>
        <v/>
      </c>
      <c r="G254" s="125" t="str">
        <f aca="false">IF($B254="","",INDEX('CARNET DE SOUDURE'!$Z$7:$Z$3006,MATCH(243,'CARNET DE SOUDURE'!$AV$7:$AV$3006,0))&amp;"")</f>
        <v/>
      </c>
      <c r="H254" s="127" t="str">
        <f aca="false">IF($B254="","",INDEX('CARNET DE SOUDURE'!$AA$7:$AA$3006,MATCH(243,'CARNET DE SOUDURE'!$AV$7:$AV$3006,0)))</f>
        <v/>
      </c>
      <c r="I254" s="125" t="str">
        <f aca="false">IF($B254="","",INDEX('CARNET DE SOUDURE'!$AB$7:$AB$3006,MATCH(243,'CARNET DE SOUDURE'!$AV$7:$AV$3006,0))&amp;"")</f>
        <v/>
      </c>
      <c r="J254" s="125" t="str">
        <f aca="false">IF($B254="","",INDEX('CARNET DE SOUDURE'!$AC$7:$AC$3006,MATCH(243,'CARNET DE SOUDURE'!$AV$7:$AV$3006,0))&amp;IF(INDEX('CARNET DE SOUDURE'!$AH$7:$AH$3006,MATCH(243,'CARNET DE SOUDURE'!$AV$7:$AV$3006,0))&lt;&gt;""," / "&amp;INDEX('CARNET DE SOUDURE'!$AH$7:$AH$3006,MATCH(243,'CARNET DE SOUDURE'!$AV$7:$AV$3006,0)),""))</f>
        <v/>
      </c>
      <c r="K254" s="125" t="str">
        <f aca="false">IF($B254="","",INDEX('CARNET DE SOUDURE'!$AD$7:$AD$3006,MATCH(243,'CARNET DE SOUDURE'!$AV$7:$AV$3006,0))&amp;IF(INDEX('CARNET DE SOUDURE'!$AI$7:$AI$3006,MATCH(243,'CARNET DE SOUDURE'!$AV$7:$AV$3006,0))&lt;&gt;""," / "&amp;INDEX('CARNET DE SOUDURE'!$AI$7:$AI$3006,MATCH(243,'CARNET DE SOUDURE'!$AV$7:$AV$3006,0)),""))</f>
        <v/>
      </c>
      <c r="L254" s="125" t="str">
        <f aca="false">IF($B254="","",INDEX('CARNET DE SOUDURE'!$AG$7:$AG$3006,MATCH(243,'CARNET DE SOUDURE'!$AV$7:$AV$3006,0))&amp;IF(INDEX('CARNET DE SOUDURE'!$AL$7:$AL$3006,MATCH(243,'CARNET DE SOUDURE'!$AV$7:$AV$3006,0))&lt;&gt;""," / "&amp;INDEX('CARNET DE SOUDURE'!$AL$7:$AL$3006,MATCH(243,'CARNET DE SOUDURE'!$AV$7:$AV$3006,0)),""))</f>
        <v/>
      </c>
      <c r="M254" s="127" t="str">
        <f aca="false">IF($B254="","",INDEX('CARNET DE SOUDURE'!$AP$7:$AP$3006,MATCH(243,'CARNET DE SOUDURE'!$AV$7:$AV$3006,0)))</f>
        <v/>
      </c>
      <c r="N254" s="127" t="str">
        <f aca="false">IF($B254="","",INDEX('CARNET DE SOUDURE'!$AQ$7:$AQ$3006,MATCH(243,'CARNET DE SOUDURE'!$AV$7:$AV$3006,0)))</f>
        <v/>
      </c>
      <c r="O254" s="128" t="str">
        <f aca="false">IF($B254="","",INDEX('CARNET DE SOUDURE'!$AR$7:$AR$3006,MATCH(243,'CARNET DE SOUDURE'!$AV$7:$AV$3006,0)))</f>
        <v/>
      </c>
    </row>
    <row r="255" customFormat="false" ht="15" hidden="false" customHeight="false" outlineLevel="0" collapsed="false">
      <c r="B255" s="130" t="str">
        <f aca="false">IF(244&gt;$I$4,"",244)</f>
        <v/>
      </c>
      <c r="C255" s="130" t="str">
        <f aca="false">IF($B255="","",INDEX('CARNET DE SOUDURE'!$B$7:$B$3006,MATCH(244,'CARNET DE SOUDURE'!$AV$7:$AV$3006,0)))</f>
        <v/>
      </c>
      <c r="D255" s="130" t="str">
        <f aca="false">IF($B255="","",INDEX('CARNET DE SOUDURE'!$E$7:$E$3006,MATCH(244,'CARNET DE SOUDURE'!$AV$7:$AV$3006,0)))</f>
        <v/>
      </c>
      <c r="E255" s="130" t="str">
        <f aca="false">IF($B255="","",INDEX('CARNET DE SOUDURE'!$R$7:$R$3006,MATCH(244,'CARNET DE SOUDURE'!$AV$7:$AV$3006,0))&amp;IF(INDEX('CARNET DE SOUDURE'!$S$7:$S$3006,MATCH(244,'CARNET DE SOUDURE'!$AV$7:$AV$3006,0))&lt;&gt;""," / "&amp;INDEX('CARNET DE SOUDURE'!$S$7:$S$3006,MATCH(244,'CARNET DE SOUDURE'!$AV$7:$AV$3006,0)),"")&amp;IF(INDEX('CARNET DE SOUDURE'!$T$7:$T$3006,MATCH(244,'CARNET DE SOUDURE'!$AV$7:$AV$3006,0))&lt;&gt;""," / "&amp;INDEX('CARNET DE SOUDURE'!$T$7:$T$3006,MATCH(244,'CARNET DE SOUDURE'!$AV$7:$AV$3006,0)),""))</f>
        <v/>
      </c>
      <c r="F255" s="131" t="str">
        <f aca="false">IF($B255="","",INDEX('CARNET DE SOUDURE'!$Y$7:$Y$3006,MATCH(244,'CARNET DE SOUDURE'!$AV$7:$AV$3006,0)))</f>
        <v/>
      </c>
      <c r="G255" s="130" t="str">
        <f aca="false">IF($B255="","",INDEX('CARNET DE SOUDURE'!$Z$7:$Z$3006,MATCH(244,'CARNET DE SOUDURE'!$AV$7:$AV$3006,0))&amp;"")</f>
        <v/>
      </c>
      <c r="H255" s="132" t="str">
        <f aca="false">IF($B255="","",INDEX('CARNET DE SOUDURE'!$AA$7:$AA$3006,MATCH(244,'CARNET DE SOUDURE'!$AV$7:$AV$3006,0)))</f>
        <v/>
      </c>
      <c r="I255" s="130" t="str">
        <f aca="false">IF($B255="","",INDEX('CARNET DE SOUDURE'!$AB$7:$AB$3006,MATCH(244,'CARNET DE SOUDURE'!$AV$7:$AV$3006,0))&amp;"")</f>
        <v/>
      </c>
      <c r="J255" s="130" t="str">
        <f aca="false">IF($B255="","",INDEX('CARNET DE SOUDURE'!$AC$7:$AC$3006,MATCH(244,'CARNET DE SOUDURE'!$AV$7:$AV$3006,0))&amp;IF(INDEX('CARNET DE SOUDURE'!$AH$7:$AH$3006,MATCH(244,'CARNET DE SOUDURE'!$AV$7:$AV$3006,0))&lt;&gt;""," / "&amp;INDEX('CARNET DE SOUDURE'!$AH$7:$AH$3006,MATCH(244,'CARNET DE SOUDURE'!$AV$7:$AV$3006,0)),""))</f>
        <v/>
      </c>
      <c r="K255" s="130" t="str">
        <f aca="false">IF($B255="","",INDEX('CARNET DE SOUDURE'!$AD$7:$AD$3006,MATCH(244,'CARNET DE SOUDURE'!$AV$7:$AV$3006,0))&amp;IF(INDEX('CARNET DE SOUDURE'!$AI$7:$AI$3006,MATCH(244,'CARNET DE SOUDURE'!$AV$7:$AV$3006,0))&lt;&gt;""," / "&amp;INDEX('CARNET DE SOUDURE'!$AI$7:$AI$3006,MATCH(244,'CARNET DE SOUDURE'!$AV$7:$AV$3006,0)),""))</f>
        <v/>
      </c>
      <c r="L255" s="130" t="str">
        <f aca="false">IF($B255="","",INDEX('CARNET DE SOUDURE'!$AG$7:$AG$3006,MATCH(244,'CARNET DE SOUDURE'!$AV$7:$AV$3006,0))&amp;IF(INDEX('CARNET DE SOUDURE'!$AL$7:$AL$3006,MATCH(244,'CARNET DE SOUDURE'!$AV$7:$AV$3006,0))&lt;&gt;""," / "&amp;INDEX('CARNET DE SOUDURE'!$AL$7:$AL$3006,MATCH(244,'CARNET DE SOUDURE'!$AV$7:$AV$3006,0)),""))</f>
        <v/>
      </c>
      <c r="M255" s="132" t="str">
        <f aca="false">IF($B255="","",INDEX('CARNET DE SOUDURE'!$AP$7:$AP$3006,MATCH(244,'CARNET DE SOUDURE'!$AV$7:$AV$3006,0)))</f>
        <v/>
      </c>
      <c r="N255" s="132" t="str">
        <f aca="false">IF($B255="","",INDEX('CARNET DE SOUDURE'!$AQ$7:$AQ$3006,MATCH(244,'CARNET DE SOUDURE'!$AV$7:$AV$3006,0)))</f>
        <v/>
      </c>
      <c r="O255" s="133" t="str">
        <f aca="false">IF($B255="","",INDEX('CARNET DE SOUDURE'!$AR$7:$AR$3006,MATCH(244,'CARNET DE SOUDURE'!$AV$7:$AV$3006,0)))</f>
        <v/>
      </c>
    </row>
    <row r="256" customFormat="false" ht="15" hidden="false" customHeight="false" outlineLevel="0" collapsed="false">
      <c r="B256" s="125" t="str">
        <f aca="false">IF(245&gt;$I$4,"",245)</f>
        <v/>
      </c>
      <c r="C256" s="125" t="str">
        <f aca="false">IF($B256="","",INDEX('CARNET DE SOUDURE'!$B$7:$B$3006,MATCH(245,'CARNET DE SOUDURE'!$AV$7:$AV$3006,0)))</f>
        <v/>
      </c>
      <c r="D256" s="125" t="str">
        <f aca="false">IF($B256="","",INDEX('CARNET DE SOUDURE'!$E$7:$E$3006,MATCH(245,'CARNET DE SOUDURE'!$AV$7:$AV$3006,0)))</f>
        <v/>
      </c>
      <c r="E256" s="125" t="str">
        <f aca="false">IF($B256="","",INDEX('CARNET DE SOUDURE'!$R$7:$R$3006,MATCH(245,'CARNET DE SOUDURE'!$AV$7:$AV$3006,0))&amp;IF(INDEX('CARNET DE SOUDURE'!$S$7:$S$3006,MATCH(245,'CARNET DE SOUDURE'!$AV$7:$AV$3006,0))&lt;&gt;""," / "&amp;INDEX('CARNET DE SOUDURE'!$S$7:$S$3006,MATCH(245,'CARNET DE SOUDURE'!$AV$7:$AV$3006,0)),"")&amp;IF(INDEX('CARNET DE SOUDURE'!$T$7:$T$3006,MATCH(245,'CARNET DE SOUDURE'!$AV$7:$AV$3006,0))&lt;&gt;""," / "&amp;INDEX('CARNET DE SOUDURE'!$T$7:$T$3006,MATCH(245,'CARNET DE SOUDURE'!$AV$7:$AV$3006,0)),""))</f>
        <v/>
      </c>
      <c r="F256" s="126" t="str">
        <f aca="false">IF($B256="","",INDEX('CARNET DE SOUDURE'!$Y$7:$Y$3006,MATCH(245,'CARNET DE SOUDURE'!$AV$7:$AV$3006,0)))</f>
        <v/>
      </c>
      <c r="G256" s="125" t="str">
        <f aca="false">IF($B256="","",INDEX('CARNET DE SOUDURE'!$Z$7:$Z$3006,MATCH(245,'CARNET DE SOUDURE'!$AV$7:$AV$3006,0))&amp;"")</f>
        <v/>
      </c>
      <c r="H256" s="127" t="str">
        <f aca="false">IF($B256="","",INDEX('CARNET DE SOUDURE'!$AA$7:$AA$3006,MATCH(245,'CARNET DE SOUDURE'!$AV$7:$AV$3006,0)))</f>
        <v/>
      </c>
      <c r="I256" s="125" t="str">
        <f aca="false">IF($B256="","",INDEX('CARNET DE SOUDURE'!$AB$7:$AB$3006,MATCH(245,'CARNET DE SOUDURE'!$AV$7:$AV$3006,0))&amp;"")</f>
        <v/>
      </c>
      <c r="J256" s="125" t="str">
        <f aca="false">IF($B256="","",INDEX('CARNET DE SOUDURE'!$AC$7:$AC$3006,MATCH(245,'CARNET DE SOUDURE'!$AV$7:$AV$3006,0))&amp;IF(INDEX('CARNET DE SOUDURE'!$AH$7:$AH$3006,MATCH(245,'CARNET DE SOUDURE'!$AV$7:$AV$3006,0))&lt;&gt;""," / "&amp;INDEX('CARNET DE SOUDURE'!$AH$7:$AH$3006,MATCH(245,'CARNET DE SOUDURE'!$AV$7:$AV$3006,0)),""))</f>
        <v/>
      </c>
      <c r="K256" s="125" t="str">
        <f aca="false">IF($B256="","",INDEX('CARNET DE SOUDURE'!$AD$7:$AD$3006,MATCH(245,'CARNET DE SOUDURE'!$AV$7:$AV$3006,0))&amp;IF(INDEX('CARNET DE SOUDURE'!$AI$7:$AI$3006,MATCH(245,'CARNET DE SOUDURE'!$AV$7:$AV$3006,0))&lt;&gt;""," / "&amp;INDEX('CARNET DE SOUDURE'!$AI$7:$AI$3006,MATCH(245,'CARNET DE SOUDURE'!$AV$7:$AV$3006,0)),""))</f>
        <v/>
      </c>
      <c r="L256" s="125" t="str">
        <f aca="false">IF($B256="","",INDEX('CARNET DE SOUDURE'!$AG$7:$AG$3006,MATCH(245,'CARNET DE SOUDURE'!$AV$7:$AV$3006,0))&amp;IF(INDEX('CARNET DE SOUDURE'!$AL$7:$AL$3006,MATCH(245,'CARNET DE SOUDURE'!$AV$7:$AV$3006,0))&lt;&gt;""," / "&amp;INDEX('CARNET DE SOUDURE'!$AL$7:$AL$3006,MATCH(245,'CARNET DE SOUDURE'!$AV$7:$AV$3006,0)),""))</f>
        <v/>
      </c>
      <c r="M256" s="127" t="str">
        <f aca="false">IF($B256="","",INDEX('CARNET DE SOUDURE'!$AP$7:$AP$3006,MATCH(245,'CARNET DE SOUDURE'!$AV$7:$AV$3006,0)))</f>
        <v/>
      </c>
      <c r="N256" s="127" t="str">
        <f aca="false">IF($B256="","",INDEX('CARNET DE SOUDURE'!$AQ$7:$AQ$3006,MATCH(245,'CARNET DE SOUDURE'!$AV$7:$AV$3006,0)))</f>
        <v/>
      </c>
      <c r="O256" s="128" t="str">
        <f aca="false">IF($B256="","",INDEX('CARNET DE SOUDURE'!$AR$7:$AR$3006,MATCH(245,'CARNET DE SOUDURE'!$AV$7:$AV$3006,0)))</f>
        <v/>
      </c>
    </row>
    <row r="257" customFormat="false" ht="15" hidden="false" customHeight="false" outlineLevel="0" collapsed="false">
      <c r="B257" s="130" t="str">
        <f aca="false">IF(246&gt;$I$4,"",246)</f>
        <v/>
      </c>
      <c r="C257" s="130" t="str">
        <f aca="false">IF($B257="","",INDEX('CARNET DE SOUDURE'!$B$7:$B$3006,MATCH(246,'CARNET DE SOUDURE'!$AV$7:$AV$3006,0)))</f>
        <v/>
      </c>
      <c r="D257" s="130" t="str">
        <f aca="false">IF($B257="","",INDEX('CARNET DE SOUDURE'!$E$7:$E$3006,MATCH(246,'CARNET DE SOUDURE'!$AV$7:$AV$3006,0)))</f>
        <v/>
      </c>
      <c r="E257" s="130" t="str">
        <f aca="false">IF($B257="","",INDEX('CARNET DE SOUDURE'!$R$7:$R$3006,MATCH(246,'CARNET DE SOUDURE'!$AV$7:$AV$3006,0))&amp;IF(INDEX('CARNET DE SOUDURE'!$S$7:$S$3006,MATCH(246,'CARNET DE SOUDURE'!$AV$7:$AV$3006,0))&lt;&gt;""," / "&amp;INDEX('CARNET DE SOUDURE'!$S$7:$S$3006,MATCH(246,'CARNET DE SOUDURE'!$AV$7:$AV$3006,0)),"")&amp;IF(INDEX('CARNET DE SOUDURE'!$T$7:$T$3006,MATCH(246,'CARNET DE SOUDURE'!$AV$7:$AV$3006,0))&lt;&gt;""," / "&amp;INDEX('CARNET DE SOUDURE'!$T$7:$T$3006,MATCH(246,'CARNET DE SOUDURE'!$AV$7:$AV$3006,0)),""))</f>
        <v/>
      </c>
      <c r="F257" s="131" t="str">
        <f aca="false">IF($B257="","",INDEX('CARNET DE SOUDURE'!$Y$7:$Y$3006,MATCH(246,'CARNET DE SOUDURE'!$AV$7:$AV$3006,0)))</f>
        <v/>
      </c>
      <c r="G257" s="130" t="str">
        <f aca="false">IF($B257="","",INDEX('CARNET DE SOUDURE'!$Z$7:$Z$3006,MATCH(246,'CARNET DE SOUDURE'!$AV$7:$AV$3006,0))&amp;"")</f>
        <v/>
      </c>
      <c r="H257" s="132" t="str">
        <f aca="false">IF($B257="","",INDEX('CARNET DE SOUDURE'!$AA$7:$AA$3006,MATCH(246,'CARNET DE SOUDURE'!$AV$7:$AV$3006,0)))</f>
        <v/>
      </c>
      <c r="I257" s="130" t="str">
        <f aca="false">IF($B257="","",INDEX('CARNET DE SOUDURE'!$AB$7:$AB$3006,MATCH(246,'CARNET DE SOUDURE'!$AV$7:$AV$3006,0))&amp;"")</f>
        <v/>
      </c>
      <c r="J257" s="130" t="str">
        <f aca="false">IF($B257="","",INDEX('CARNET DE SOUDURE'!$AC$7:$AC$3006,MATCH(246,'CARNET DE SOUDURE'!$AV$7:$AV$3006,0))&amp;IF(INDEX('CARNET DE SOUDURE'!$AH$7:$AH$3006,MATCH(246,'CARNET DE SOUDURE'!$AV$7:$AV$3006,0))&lt;&gt;""," / "&amp;INDEX('CARNET DE SOUDURE'!$AH$7:$AH$3006,MATCH(246,'CARNET DE SOUDURE'!$AV$7:$AV$3006,0)),""))</f>
        <v/>
      </c>
      <c r="K257" s="130" t="str">
        <f aca="false">IF($B257="","",INDEX('CARNET DE SOUDURE'!$AD$7:$AD$3006,MATCH(246,'CARNET DE SOUDURE'!$AV$7:$AV$3006,0))&amp;IF(INDEX('CARNET DE SOUDURE'!$AI$7:$AI$3006,MATCH(246,'CARNET DE SOUDURE'!$AV$7:$AV$3006,0))&lt;&gt;""," / "&amp;INDEX('CARNET DE SOUDURE'!$AI$7:$AI$3006,MATCH(246,'CARNET DE SOUDURE'!$AV$7:$AV$3006,0)),""))</f>
        <v/>
      </c>
      <c r="L257" s="130" t="str">
        <f aca="false">IF($B257="","",INDEX('CARNET DE SOUDURE'!$AG$7:$AG$3006,MATCH(246,'CARNET DE SOUDURE'!$AV$7:$AV$3006,0))&amp;IF(INDEX('CARNET DE SOUDURE'!$AL$7:$AL$3006,MATCH(246,'CARNET DE SOUDURE'!$AV$7:$AV$3006,0))&lt;&gt;""," / "&amp;INDEX('CARNET DE SOUDURE'!$AL$7:$AL$3006,MATCH(246,'CARNET DE SOUDURE'!$AV$7:$AV$3006,0)),""))</f>
        <v/>
      </c>
      <c r="M257" s="132" t="str">
        <f aca="false">IF($B257="","",INDEX('CARNET DE SOUDURE'!$AP$7:$AP$3006,MATCH(246,'CARNET DE SOUDURE'!$AV$7:$AV$3006,0)))</f>
        <v/>
      </c>
      <c r="N257" s="132" t="str">
        <f aca="false">IF($B257="","",INDEX('CARNET DE SOUDURE'!$AQ$7:$AQ$3006,MATCH(246,'CARNET DE SOUDURE'!$AV$7:$AV$3006,0)))</f>
        <v/>
      </c>
      <c r="O257" s="133" t="str">
        <f aca="false">IF($B257="","",INDEX('CARNET DE SOUDURE'!$AR$7:$AR$3006,MATCH(246,'CARNET DE SOUDURE'!$AV$7:$AV$3006,0)))</f>
        <v/>
      </c>
    </row>
    <row r="258" customFormat="false" ht="15" hidden="false" customHeight="false" outlineLevel="0" collapsed="false">
      <c r="B258" s="125" t="str">
        <f aca="false">IF(247&gt;$I$4,"",247)</f>
        <v/>
      </c>
      <c r="C258" s="125" t="str">
        <f aca="false">IF($B258="","",INDEX('CARNET DE SOUDURE'!$B$7:$B$3006,MATCH(247,'CARNET DE SOUDURE'!$AV$7:$AV$3006,0)))</f>
        <v/>
      </c>
      <c r="D258" s="125" t="str">
        <f aca="false">IF($B258="","",INDEX('CARNET DE SOUDURE'!$E$7:$E$3006,MATCH(247,'CARNET DE SOUDURE'!$AV$7:$AV$3006,0)))</f>
        <v/>
      </c>
      <c r="E258" s="125" t="str">
        <f aca="false">IF($B258="","",INDEX('CARNET DE SOUDURE'!$R$7:$R$3006,MATCH(247,'CARNET DE SOUDURE'!$AV$7:$AV$3006,0))&amp;IF(INDEX('CARNET DE SOUDURE'!$S$7:$S$3006,MATCH(247,'CARNET DE SOUDURE'!$AV$7:$AV$3006,0))&lt;&gt;""," / "&amp;INDEX('CARNET DE SOUDURE'!$S$7:$S$3006,MATCH(247,'CARNET DE SOUDURE'!$AV$7:$AV$3006,0)),"")&amp;IF(INDEX('CARNET DE SOUDURE'!$T$7:$T$3006,MATCH(247,'CARNET DE SOUDURE'!$AV$7:$AV$3006,0))&lt;&gt;""," / "&amp;INDEX('CARNET DE SOUDURE'!$T$7:$T$3006,MATCH(247,'CARNET DE SOUDURE'!$AV$7:$AV$3006,0)),""))</f>
        <v/>
      </c>
      <c r="F258" s="126" t="str">
        <f aca="false">IF($B258="","",INDEX('CARNET DE SOUDURE'!$Y$7:$Y$3006,MATCH(247,'CARNET DE SOUDURE'!$AV$7:$AV$3006,0)))</f>
        <v/>
      </c>
      <c r="G258" s="125" t="str">
        <f aca="false">IF($B258="","",INDEX('CARNET DE SOUDURE'!$Z$7:$Z$3006,MATCH(247,'CARNET DE SOUDURE'!$AV$7:$AV$3006,0))&amp;"")</f>
        <v/>
      </c>
      <c r="H258" s="127" t="str">
        <f aca="false">IF($B258="","",INDEX('CARNET DE SOUDURE'!$AA$7:$AA$3006,MATCH(247,'CARNET DE SOUDURE'!$AV$7:$AV$3006,0)))</f>
        <v/>
      </c>
      <c r="I258" s="125" t="str">
        <f aca="false">IF($B258="","",INDEX('CARNET DE SOUDURE'!$AB$7:$AB$3006,MATCH(247,'CARNET DE SOUDURE'!$AV$7:$AV$3006,0))&amp;"")</f>
        <v/>
      </c>
      <c r="J258" s="125" t="str">
        <f aca="false">IF($B258="","",INDEX('CARNET DE SOUDURE'!$AC$7:$AC$3006,MATCH(247,'CARNET DE SOUDURE'!$AV$7:$AV$3006,0))&amp;IF(INDEX('CARNET DE SOUDURE'!$AH$7:$AH$3006,MATCH(247,'CARNET DE SOUDURE'!$AV$7:$AV$3006,0))&lt;&gt;""," / "&amp;INDEX('CARNET DE SOUDURE'!$AH$7:$AH$3006,MATCH(247,'CARNET DE SOUDURE'!$AV$7:$AV$3006,0)),""))</f>
        <v/>
      </c>
      <c r="K258" s="125" t="str">
        <f aca="false">IF($B258="","",INDEX('CARNET DE SOUDURE'!$AD$7:$AD$3006,MATCH(247,'CARNET DE SOUDURE'!$AV$7:$AV$3006,0))&amp;IF(INDEX('CARNET DE SOUDURE'!$AI$7:$AI$3006,MATCH(247,'CARNET DE SOUDURE'!$AV$7:$AV$3006,0))&lt;&gt;""," / "&amp;INDEX('CARNET DE SOUDURE'!$AI$7:$AI$3006,MATCH(247,'CARNET DE SOUDURE'!$AV$7:$AV$3006,0)),""))</f>
        <v/>
      </c>
      <c r="L258" s="125" t="str">
        <f aca="false">IF($B258="","",INDEX('CARNET DE SOUDURE'!$AG$7:$AG$3006,MATCH(247,'CARNET DE SOUDURE'!$AV$7:$AV$3006,0))&amp;IF(INDEX('CARNET DE SOUDURE'!$AL$7:$AL$3006,MATCH(247,'CARNET DE SOUDURE'!$AV$7:$AV$3006,0))&lt;&gt;""," / "&amp;INDEX('CARNET DE SOUDURE'!$AL$7:$AL$3006,MATCH(247,'CARNET DE SOUDURE'!$AV$7:$AV$3006,0)),""))</f>
        <v/>
      </c>
      <c r="M258" s="127" t="str">
        <f aca="false">IF($B258="","",INDEX('CARNET DE SOUDURE'!$AP$7:$AP$3006,MATCH(247,'CARNET DE SOUDURE'!$AV$7:$AV$3006,0)))</f>
        <v/>
      </c>
      <c r="N258" s="127" t="str">
        <f aca="false">IF($B258="","",INDEX('CARNET DE SOUDURE'!$AQ$7:$AQ$3006,MATCH(247,'CARNET DE SOUDURE'!$AV$7:$AV$3006,0)))</f>
        <v/>
      </c>
      <c r="O258" s="128" t="str">
        <f aca="false">IF($B258="","",INDEX('CARNET DE SOUDURE'!$AR$7:$AR$3006,MATCH(247,'CARNET DE SOUDURE'!$AV$7:$AV$3006,0)))</f>
        <v/>
      </c>
    </row>
    <row r="259" customFormat="false" ht="15" hidden="false" customHeight="false" outlineLevel="0" collapsed="false">
      <c r="B259" s="130" t="str">
        <f aca="false">IF(248&gt;$I$4,"",248)</f>
        <v/>
      </c>
      <c r="C259" s="130" t="str">
        <f aca="false">IF($B259="","",INDEX('CARNET DE SOUDURE'!$B$7:$B$3006,MATCH(248,'CARNET DE SOUDURE'!$AV$7:$AV$3006,0)))</f>
        <v/>
      </c>
      <c r="D259" s="130" t="str">
        <f aca="false">IF($B259="","",INDEX('CARNET DE SOUDURE'!$E$7:$E$3006,MATCH(248,'CARNET DE SOUDURE'!$AV$7:$AV$3006,0)))</f>
        <v/>
      </c>
      <c r="E259" s="130" t="str">
        <f aca="false">IF($B259="","",INDEX('CARNET DE SOUDURE'!$R$7:$R$3006,MATCH(248,'CARNET DE SOUDURE'!$AV$7:$AV$3006,0))&amp;IF(INDEX('CARNET DE SOUDURE'!$S$7:$S$3006,MATCH(248,'CARNET DE SOUDURE'!$AV$7:$AV$3006,0))&lt;&gt;""," / "&amp;INDEX('CARNET DE SOUDURE'!$S$7:$S$3006,MATCH(248,'CARNET DE SOUDURE'!$AV$7:$AV$3006,0)),"")&amp;IF(INDEX('CARNET DE SOUDURE'!$T$7:$T$3006,MATCH(248,'CARNET DE SOUDURE'!$AV$7:$AV$3006,0))&lt;&gt;""," / "&amp;INDEX('CARNET DE SOUDURE'!$T$7:$T$3006,MATCH(248,'CARNET DE SOUDURE'!$AV$7:$AV$3006,0)),""))</f>
        <v/>
      </c>
      <c r="F259" s="131" t="str">
        <f aca="false">IF($B259="","",INDEX('CARNET DE SOUDURE'!$Y$7:$Y$3006,MATCH(248,'CARNET DE SOUDURE'!$AV$7:$AV$3006,0)))</f>
        <v/>
      </c>
      <c r="G259" s="130" t="str">
        <f aca="false">IF($B259="","",INDEX('CARNET DE SOUDURE'!$Z$7:$Z$3006,MATCH(248,'CARNET DE SOUDURE'!$AV$7:$AV$3006,0))&amp;"")</f>
        <v/>
      </c>
      <c r="H259" s="132" t="str">
        <f aca="false">IF($B259="","",INDEX('CARNET DE SOUDURE'!$AA$7:$AA$3006,MATCH(248,'CARNET DE SOUDURE'!$AV$7:$AV$3006,0)))</f>
        <v/>
      </c>
      <c r="I259" s="130" t="str">
        <f aca="false">IF($B259="","",INDEX('CARNET DE SOUDURE'!$AB$7:$AB$3006,MATCH(248,'CARNET DE SOUDURE'!$AV$7:$AV$3006,0))&amp;"")</f>
        <v/>
      </c>
      <c r="J259" s="130" t="str">
        <f aca="false">IF($B259="","",INDEX('CARNET DE SOUDURE'!$AC$7:$AC$3006,MATCH(248,'CARNET DE SOUDURE'!$AV$7:$AV$3006,0))&amp;IF(INDEX('CARNET DE SOUDURE'!$AH$7:$AH$3006,MATCH(248,'CARNET DE SOUDURE'!$AV$7:$AV$3006,0))&lt;&gt;""," / "&amp;INDEX('CARNET DE SOUDURE'!$AH$7:$AH$3006,MATCH(248,'CARNET DE SOUDURE'!$AV$7:$AV$3006,0)),""))</f>
        <v/>
      </c>
      <c r="K259" s="130" t="str">
        <f aca="false">IF($B259="","",INDEX('CARNET DE SOUDURE'!$AD$7:$AD$3006,MATCH(248,'CARNET DE SOUDURE'!$AV$7:$AV$3006,0))&amp;IF(INDEX('CARNET DE SOUDURE'!$AI$7:$AI$3006,MATCH(248,'CARNET DE SOUDURE'!$AV$7:$AV$3006,0))&lt;&gt;""," / "&amp;INDEX('CARNET DE SOUDURE'!$AI$7:$AI$3006,MATCH(248,'CARNET DE SOUDURE'!$AV$7:$AV$3006,0)),""))</f>
        <v/>
      </c>
      <c r="L259" s="130" t="str">
        <f aca="false">IF($B259="","",INDEX('CARNET DE SOUDURE'!$AG$7:$AG$3006,MATCH(248,'CARNET DE SOUDURE'!$AV$7:$AV$3006,0))&amp;IF(INDEX('CARNET DE SOUDURE'!$AL$7:$AL$3006,MATCH(248,'CARNET DE SOUDURE'!$AV$7:$AV$3006,0))&lt;&gt;""," / "&amp;INDEX('CARNET DE SOUDURE'!$AL$7:$AL$3006,MATCH(248,'CARNET DE SOUDURE'!$AV$7:$AV$3006,0)),""))</f>
        <v/>
      </c>
      <c r="M259" s="132" t="str">
        <f aca="false">IF($B259="","",INDEX('CARNET DE SOUDURE'!$AP$7:$AP$3006,MATCH(248,'CARNET DE SOUDURE'!$AV$7:$AV$3006,0)))</f>
        <v/>
      </c>
      <c r="N259" s="132" t="str">
        <f aca="false">IF($B259="","",INDEX('CARNET DE SOUDURE'!$AQ$7:$AQ$3006,MATCH(248,'CARNET DE SOUDURE'!$AV$7:$AV$3006,0)))</f>
        <v/>
      </c>
      <c r="O259" s="133" t="str">
        <f aca="false">IF($B259="","",INDEX('CARNET DE SOUDURE'!$AR$7:$AR$3006,MATCH(248,'CARNET DE SOUDURE'!$AV$7:$AV$3006,0)))</f>
        <v/>
      </c>
    </row>
    <row r="260" customFormat="false" ht="15" hidden="false" customHeight="false" outlineLevel="0" collapsed="false">
      <c r="B260" s="125" t="str">
        <f aca="false">IF(249&gt;$I$4,"",249)</f>
        <v/>
      </c>
      <c r="C260" s="125" t="str">
        <f aca="false">IF($B260="","",INDEX('CARNET DE SOUDURE'!$B$7:$B$3006,MATCH(249,'CARNET DE SOUDURE'!$AV$7:$AV$3006,0)))</f>
        <v/>
      </c>
      <c r="D260" s="125" t="str">
        <f aca="false">IF($B260="","",INDEX('CARNET DE SOUDURE'!$E$7:$E$3006,MATCH(249,'CARNET DE SOUDURE'!$AV$7:$AV$3006,0)))</f>
        <v/>
      </c>
      <c r="E260" s="125" t="str">
        <f aca="false">IF($B260="","",INDEX('CARNET DE SOUDURE'!$R$7:$R$3006,MATCH(249,'CARNET DE SOUDURE'!$AV$7:$AV$3006,0))&amp;IF(INDEX('CARNET DE SOUDURE'!$S$7:$S$3006,MATCH(249,'CARNET DE SOUDURE'!$AV$7:$AV$3006,0))&lt;&gt;""," / "&amp;INDEX('CARNET DE SOUDURE'!$S$7:$S$3006,MATCH(249,'CARNET DE SOUDURE'!$AV$7:$AV$3006,0)),"")&amp;IF(INDEX('CARNET DE SOUDURE'!$T$7:$T$3006,MATCH(249,'CARNET DE SOUDURE'!$AV$7:$AV$3006,0))&lt;&gt;""," / "&amp;INDEX('CARNET DE SOUDURE'!$T$7:$T$3006,MATCH(249,'CARNET DE SOUDURE'!$AV$7:$AV$3006,0)),""))</f>
        <v/>
      </c>
      <c r="F260" s="126" t="str">
        <f aca="false">IF($B260="","",INDEX('CARNET DE SOUDURE'!$Y$7:$Y$3006,MATCH(249,'CARNET DE SOUDURE'!$AV$7:$AV$3006,0)))</f>
        <v/>
      </c>
      <c r="G260" s="125" t="str">
        <f aca="false">IF($B260="","",INDEX('CARNET DE SOUDURE'!$Z$7:$Z$3006,MATCH(249,'CARNET DE SOUDURE'!$AV$7:$AV$3006,0))&amp;"")</f>
        <v/>
      </c>
      <c r="H260" s="127" t="str">
        <f aca="false">IF($B260="","",INDEX('CARNET DE SOUDURE'!$AA$7:$AA$3006,MATCH(249,'CARNET DE SOUDURE'!$AV$7:$AV$3006,0)))</f>
        <v/>
      </c>
      <c r="I260" s="125" t="str">
        <f aca="false">IF($B260="","",INDEX('CARNET DE SOUDURE'!$AB$7:$AB$3006,MATCH(249,'CARNET DE SOUDURE'!$AV$7:$AV$3006,0))&amp;"")</f>
        <v/>
      </c>
      <c r="J260" s="125" t="str">
        <f aca="false">IF($B260="","",INDEX('CARNET DE SOUDURE'!$AC$7:$AC$3006,MATCH(249,'CARNET DE SOUDURE'!$AV$7:$AV$3006,0))&amp;IF(INDEX('CARNET DE SOUDURE'!$AH$7:$AH$3006,MATCH(249,'CARNET DE SOUDURE'!$AV$7:$AV$3006,0))&lt;&gt;""," / "&amp;INDEX('CARNET DE SOUDURE'!$AH$7:$AH$3006,MATCH(249,'CARNET DE SOUDURE'!$AV$7:$AV$3006,0)),""))</f>
        <v/>
      </c>
      <c r="K260" s="125" t="str">
        <f aca="false">IF($B260="","",INDEX('CARNET DE SOUDURE'!$AD$7:$AD$3006,MATCH(249,'CARNET DE SOUDURE'!$AV$7:$AV$3006,0))&amp;IF(INDEX('CARNET DE SOUDURE'!$AI$7:$AI$3006,MATCH(249,'CARNET DE SOUDURE'!$AV$7:$AV$3006,0))&lt;&gt;""," / "&amp;INDEX('CARNET DE SOUDURE'!$AI$7:$AI$3006,MATCH(249,'CARNET DE SOUDURE'!$AV$7:$AV$3006,0)),""))</f>
        <v/>
      </c>
      <c r="L260" s="125" t="str">
        <f aca="false">IF($B260="","",INDEX('CARNET DE SOUDURE'!$AG$7:$AG$3006,MATCH(249,'CARNET DE SOUDURE'!$AV$7:$AV$3006,0))&amp;IF(INDEX('CARNET DE SOUDURE'!$AL$7:$AL$3006,MATCH(249,'CARNET DE SOUDURE'!$AV$7:$AV$3006,0))&lt;&gt;""," / "&amp;INDEX('CARNET DE SOUDURE'!$AL$7:$AL$3006,MATCH(249,'CARNET DE SOUDURE'!$AV$7:$AV$3006,0)),""))</f>
        <v/>
      </c>
      <c r="M260" s="127" t="str">
        <f aca="false">IF($B260="","",INDEX('CARNET DE SOUDURE'!$AP$7:$AP$3006,MATCH(249,'CARNET DE SOUDURE'!$AV$7:$AV$3006,0)))</f>
        <v/>
      </c>
      <c r="N260" s="127" t="str">
        <f aca="false">IF($B260="","",INDEX('CARNET DE SOUDURE'!$AQ$7:$AQ$3006,MATCH(249,'CARNET DE SOUDURE'!$AV$7:$AV$3006,0)))</f>
        <v/>
      </c>
      <c r="O260" s="128" t="str">
        <f aca="false">IF($B260="","",INDEX('CARNET DE SOUDURE'!$AR$7:$AR$3006,MATCH(249,'CARNET DE SOUDURE'!$AV$7:$AV$3006,0)))</f>
        <v/>
      </c>
    </row>
    <row r="261" customFormat="false" ht="15" hidden="false" customHeight="false" outlineLevel="0" collapsed="false">
      <c r="B261" s="130" t="str">
        <f aca="false">IF(250&gt;$I$4,"",250)</f>
        <v/>
      </c>
      <c r="C261" s="130" t="str">
        <f aca="false">IF($B261="","",INDEX('CARNET DE SOUDURE'!$B$7:$B$3006,MATCH(250,'CARNET DE SOUDURE'!$AV$7:$AV$3006,0)))</f>
        <v/>
      </c>
      <c r="D261" s="130" t="str">
        <f aca="false">IF($B261="","",INDEX('CARNET DE SOUDURE'!$E$7:$E$3006,MATCH(250,'CARNET DE SOUDURE'!$AV$7:$AV$3006,0)))</f>
        <v/>
      </c>
      <c r="E261" s="130" t="str">
        <f aca="false">IF($B261="","",INDEX('CARNET DE SOUDURE'!$R$7:$R$3006,MATCH(250,'CARNET DE SOUDURE'!$AV$7:$AV$3006,0))&amp;IF(INDEX('CARNET DE SOUDURE'!$S$7:$S$3006,MATCH(250,'CARNET DE SOUDURE'!$AV$7:$AV$3006,0))&lt;&gt;""," / "&amp;INDEX('CARNET DE SOUDURE'!$S$7:$S$3006,MATCH(250,'CARNET DE SOUDURE'!$AV$7:$AV$3006,0)),"")&amp;IF(INDEX('CARNET DE SOUDURE'!$T$7:$T$3006,MATCH(250,'CARNET DE SOUDURE'!$AV$7:$AV$3006,0))&lt;&gt;""," / "&amp;INDEX('CARNET DE SOUDURE'!$T$7:$T$3006,MATCH(250,'CARNET DE SOUDURE'!$AV$7:$AV$3006,0)),""))</f>
        <v/>
      </c>
      <c r="F261" s="131" t="str">
        <f aca="false">IF($B261="","",INDEX('CARNET DE SOUDURE'!$Y$7:$Y$3006,MATCH(250,'CARNET DE SOUDURE'!$AV$7:$AV$3006,0)))</f>
        <v/>
      </c>
      <c r="G261" s="130" t="str">
        <f aca="false">IF($B261="","",INDEX('CARNET DE SOUDURE'!$Z$7:$Z$3006,MATCH(250,'CARNET DE SOUDURE'!$AV$7:$AV$3006,0))&amp;"")</f>
        <v/>
      </c>
      <c r="H261" s="132" t="str">
        <f aca="false">IF($B261="","",INDEX('CARNET DE SOUDURE'!$AA$7:$AA$3006,MATCH(250,'CARNET DE SOUDURE'!$AV$7:$AV$3006,0)))</f>
        <v/>
      </c>
      <c r="I261" s="130" t="str">
        <f aca="false">IF($B261="","",INDEX('CARNET DE SOUDURE'!$AB$7:$AB$3006,MATCH(250,'CARNET DE SOUDURE'!$AV$7:$AV$3006,0))&amp;"")</f>
        <v/>
      </c>
      <c r="J261" s="130" t="str">
        <f aca="false">IF($B261="","",INDEX('CARNET DE SOUDURE'!$AC$7:$AC$3006,MATCH(250,'CARNET DE SOUDURE'!$AV$7:$AV$3006,0))&amp;IF(INDEX('CARNET DE SOUDURE'!$AH$7:$AH$3006,MATCH(250,'CARNET DE SOUDURE'!$AV$7:$AV$3006,0))&lt;&gt;""," / "&amp;INDEX('CARNET DE SOUDURE'!$AH$7:$AH$3006,MATCH(250,'CARNET DE SOUDURE'!$AV$7:$AV$3006,0)),""))</f>
        <v/>
      </c>
      <c r="K261" s="130" t="str">
        <f aca="false">IF($B261="","",INDEX('CARNET DE SOUDURE'!$AD$7:$AD$3006,MATCH(250,'CARNET DE SOUDURE'!$AV$7:$AV$3006,0))&amp;IF(INDEX('CARNET DE SOUDURE'!$AI$7:$AI$3006,MATCH(250,'CARNET DE SOUDURE'!$AV$7:$AV$3006,0))&lt;&gt;""," / "&amp;INDEX('CARNET DE SOUDURE'!$AI$7:$AI$3006,MATCH(250,'CARNET DE SOUDURE'!$AV$7:$AV$3006,0)),""))</f>
        <v/>
      </c>
      <c r="L261" s="130" t="str">
        <f aca="false">IF($B261="","",INDEX('CARNET DE SOUDURE'!$AG$7:$AG$3006,MATCH(250,'CARNET DE SOUDURE'!$AV$7:$AV$3006,0))&amp;IF(INDEX('CARNET DE SOUDURE'!$AL$7:$AL$3006,MATCH(250,'CARNET DE SOUDURE'!$AV$7:$AV$3006,0))&lt;&gt;""," / "&amp;INDEX('CARNET DE SOUDURE'!$AL$7:$AL$3006,MATCH(250,'CARNET DE SOUDURE'!$AV$7:$AV$3006,0)),""))</f>
        <v/>
      </c>
      <c r="M261" s="132" t="str">
        <f aca="false">IF($B261="","",INDEX('CARNET DE SOUDURE'!$AP$7:$AP$3006,MATCH(250,'CARNET DE SOUDURE'!$AV$7:$AV$3006,0)))</f>
        <v/>
      </c>
      <c r="N261" s="132" t="str">
        <f aca="false">IF($B261="","",INDEX('CARNET DE SOUDURE'!$AQ$7:$AQ$3006,MATCH(250,'CARNET DE SOUDURE'!$AV$7:$AV$3006,0)))</f>
        <v/>
      </c>
      <c r="O261" s="133" t="str">
        <f aca="false">IF($B261="","",INDEX('CARNET DE SOUDURE'!$AR$7:$AR$3006,MATCH(250,'CARNET DE SOUDURE'!$AV$7:$AV$3006,0)))</f>
        <v/>
      </c>
    </row>
    <row r="262" customFormat="false" ht="15" hidden="false" customHeight="false" outlineLevel="0" collapsed="false">
      <c r="B262" s="125" t="str">
        <f aca="false">IF(251&gt;$I$4,"",251)</f>
        <v/>
      </c>
      <c r="C262" s="125" t="str">
        <f aca="false">IF($B262="","",INDEX('CARNET DE SOUDURE'!$B$7:$B$3006,MATCH(251,'CARNET DE SOUDURE'!$AV$7:$AV$3006,0)))</f>
        <v/>
      </c>
      <c r="D262" s="125" t="str">
        <f aca="false">IF($B262="","",INDEX('CARNET DE SOUDURE'!$E$7:$E$3006,MATCH(251,'CARNET DE SOUDURE'!$AV$7:$AV$3006,0)))</f>
        <v/>
      </c>
      <c r="E262" s="125" t="str">
        <f aca="false">IF($B262="","",INDEX('CARNET DE SOUDURE'!$R$7:$R$3006,MATCH(251,'CARNET DE SOUDURE'!$AV$7:$AV$3006,0))&amp;IF(INDEX('CARNET DE SOUDURE'!$S$7:$S$3006,MATCH(251,'CARNET DE SOUDURE'!$AV$7:$AV$3006,0))&lt;&gt;""," / "&amp;INDEX('CARNET DE SOUDURE'!$S$7:$S$3006,MATCH(251,'CARNET DE SOUDURE'!$AV$7:$AV$3006,0)),"")&amp;IF(INDEX('CARNET DE SOUDURE'!$T$7:$T$3006,MATCH(251,'CARNET DE SOUDURE'!$AV$7:$AV$3006,0))&lt;&gt;""," / "&amp;INDEX('CARNET DE SOUDURE'!$T$7:$T$3006,MATCH(251,'CARNET DE SOUDURE'!$AV$7:$AV$3006,0)),""))</f>
        <v/>
      </c>
      <c r="F262" s="126" t="str">
        <f aca="false">IF($B262="","",INDEX('CARNET DE SOUDURE'!$Y$7:$Y$3006,MATCH(251,'CARNET DE SOUDURE'!$AV$7:$AV$3006,0)))</f>
        <v/>
      </c>
      <c r="G262" s="125" t="str">
        <f aca="false">IF($B262="","",INDEX('CARNET DE SOUDURE'!$Z$7:$Z$3006,MATCH(251,'CARNET DE SOUDURE'!$AV$7:$AV$3006,0))&amp;"")</f>
        <v/>
      </c>
      <c r="H262" s="127" t="str">
        <f aca="false">IF($B262="","",INDEX('CARNET DE SOUDURE'!$AA$7:$AA$3006,MATCH(251,'CARNET DE SOUDURE'!$AV$7:$AV$3006,0)))</f>
        <v/>
      </c>
      <c r="I262" s="125" t="str">
        <f aca="false">IF($B262="","",INDEX('CARNET DE SOUDURE'!$AB$7:$AB$3006,MATCH(251,'CARNET DE SOUDURE'!$AV$7:$AV$3006,0))&amp;"")</f>
        <v/>
      </c>
      <c r="J262" s="125" t="str">
        <f aca="false">IF($B262="","",INDEX('CARNET DE SOUDURE'!$AC$7:$AC$3006,MATCH(251,'CARNET DE SOUDURE'!$AV$7:$AV$3006,0))&amp;IF(INDEX('CARNET DE SOUDURE'!$AH$7:$AH$3006,MATCH(251,'CARNET DE SOUDURE'!$AV$7:$AV$3006,0))&lt;&gt;""," / "&amp;INDEX('CARNET DE SOUDURE'!$AH$7:$AH$3006,MATCH(251,'CARNET DE SOUDURE'!$AV$7:$AV$3006,0)),""))</f>
        <v/>
      </c>
      <c r="K262" s="125" t="str">
        <f aca="false">IF($B262="","",INDEX('CARNET DE SOUDURE'!$AD$7:$AD$3006,MATCH(251,'CARNET DE SOUDURE'!$AV$7:$AV$3006,0))&amp;IF(INDEX('CARNET DE SOUDURE'!$AI$7:$AI$3006,MATCH(251,'CARNET DE SOUDURE'!$AV$7:$AV$3006,0))&lt;&gt;""," / "&amp;INDEX('CARNET DE SOUDURE'!$AI$7:$AI$3006,MATCH(251,'CARNET DE SOUDURE'!$AV$7:$AV$3006,0)),""))</f>
        <v/>
      </c>
      <c r="L262" s="125" t="str">
        <f aca="false">IF($B262="","",INDEX('CARNET DE SOUDURE'!$AG$7:$AG$3006,MATCH(251,'CARNET DE SOUDURE'!$AV$7:$AV$3006,0))&amp;IF(INDEX('CARNET DE SOUDURE'!$AL$7:$AL$3006,MATCH(251,'CARNET DE SOUDURE'!$AV$7:$AV$3006,0))&lt;&gt;""," / "&amp;INDEX('CARNET DE SOUDURE'!$AL$7:$AL$3006,MATCH(251,'CARNET DE SOUDURE'!$AV$7:$AV$3006,0)),""))</f>
        <v/>
      </c>
      <c r="M262" s="127" t="str">
        <f aca="false">IF($B262="","",INDEX('CARNET DE SOUDURE'!$AP$7:$AP$3006,MATCH(251,'CARNET DE SOUDURE'!$AV$7:$AV$3006,0)))</f>
        <v/>
      </c>
      <c r="N262" s="127" t="str">
        <f aca="false">IF($B262="","",INDEX('CARNET DE SOUDURE'!$AQ$7:$AQ$3006,MATCH(251,'CARNET DE SOUDURE'!$AV$7:$AV$3006,0)))</f>
        <v/>
      </c>
      <c r="O262" s="128" t="str">
        <f aca="false">IF($B262="","",INDEX('CARNET DE SOUDURE'!$AR$7:$AR$3006,MATCH(251,'CARNET DE SOUDURE'!$AV$7:$AV$3006,0)))</f>
        <v/>
      </c>
    </row>
    <row r="263" customFormat="false" ht="15" hidden="false" customHeight="false" outlineLevel="0" collapsed="false">
      <c r="B263" s="130" t="str">
        <f aca="false">IF(252&gt;$I$4,"",252)</f>
        <v/>
      </c>
      <c r="C263" s="130" t="str">
        <f aca="false">IF($B263="","",INDEX('CARNET DE SOUDURE'!$B$7:$B$3006,MATCH(252,'CARNET DE SOUDURE'!$AV$7:$AV$3006,0)))</f>
        <v/>
      </c>
      <c r="D263" s="130" t="str">
        <f aca="false">IF($B263="","",INDEX('CARNET DE SOUDURE'!$E$7:$E$3006,MATCH(252,'CARNET DE SOUDURE'!$AV$7:$AV$3006,0)))</f>
        <v/>
      </c>
      <c r="E263" s="130" t="str">
        <f aca="false">IF($B263="","",INDEX('CARNET DE SOUDURE'!$R$7:$R$3006,MATCH(252,'CARNET DE SOUDURE'!$AV$7:$AV$3006,0))&amp;IF(INDEX('CARNET DE SOUDURE'!$S$7:$S$3006,MATCH(252,'CARNET DE SOUDURE'!$AV$7:$AV$3006,0))&lt;&gt;""," / "&amp;INDEX('CARNET DE SOUDURE'!$S$7:$S$3006,MATCH(252,'CARNET DE SOUDURE'!$AV$7:$AV$3006,0)),"")&amp;IF(INDEX('CARNET DE SOUDURE'!$T$7:$T$3006,MATCH(252,'CARNET DE SOUDURE'!$AV$7:$AV$3006,0))&lt;&gt;""," / "&amp;INDEX('CARNET DE SOUDURE'!$T$7:$T$3006,MATCH(252,'CARNET DE SOUDURE'!$AV$7:$AV$3006,0)),""))</f>
        <v/>
      </c>
      <c r="F263" s="131" t="str">
        <f aca="false">IF($B263="","",INDEX('CARNET DE SOUDURE'!$Y$7:$Y$3006,MATCH(252,'CARNET DE SOUDURE'!$AV$7:$AV$3006,0)))</f>
        <v/>
      </c>
      <c r="G263" s="130" t="str">
        <f aca="false">IF($B263="","",INDEX('CARNET DE SOUDURE'!$Z$7:$Z$3006,MATCH(252,'CARNET DE SOUDURE'!$AV$7:$AV$3006,0))&amp;"")</f>
        <v/>
      </c>
      <c r="H263" s="132" t="str">
        <f aca="false">IF($B263="","",INDEX('CARNET DE SOUDURE'!$AA$7:$AA$3006,MATCH(252,'CARNET DE SOUDURE'!$AV$7:$AV$3006,0)))</f>
        <v/>
      </c>
      <c r="I263" s="130" t="str">
        <f aca="false">IF($B263="","",INDEX('CARNET DE SOUDURE'!$AB$7:$AB$3006,MATCH(252,'CARNET DE SOUDURE'!$AV$7:$AV$3006,0))&amp;"")</f>
        <v/>
      </c>
      <c r="J263" s="130" t="str">
        <f aca="false">IF($B263="","",INDEX('CARNET DE SOUDURE'!$AC$7:$AC$3006,MATCH(252,'CARNET DE SOUDURE'!$AV$7:$AV$3006,0))&amp;IF(INDEX('CARNET DE SOUDURE'!$AH$7:$AH$3006,MATCH(252,'CARNET DE SOUDURE'!$AV$7:$AV$3006,0))&lt;&gt;""," / "&amp;INDEX('CARNET DE SOUDURE'!$AH$7:$AH$3006,MATCH(252,'CARNET DE SOUDURE'!$AV$7:$AV$3006,0)),""))</f>
        <v/>
      </c>
      <c r="K263" s="130" t="str">
        <f aca="false">IF($B263="","",INDEX('CARNET DE SOUDURE'!$AD$7:$AD$3006,MATCH(252,'CARNET DE SOUDURE'!$AV$7:$AV$3006,0))&amp;IF(INDEX('CARNET DE SOUDURE'!$AI$7:$AI$3006,MATCH(252,'CARNET DE SOUDURE'!$AV$7:$AV$3006,0))&lt;&gt;""," / "&amp;INDEX('CARNET DE SOUDURE'!$AI$7:$AI$3006,MATCH(252,'CARNET DE SOUDURE'!$AV$7:$AV$3006,0)),""))</f>
        <v/>
      </c>
      <c r="L263" s="130" t="str">
        <f aca="false">IF($B263="","",INDEX('CARNET DE SOUDURE'!$AG$7:$AG$3006,MATCH(252,'CARNET DE SOUDURE'!$AV$7:$AV$3006,0))&amp;IF(INDEX('CARNET DE SOUDURE'!$AL$7:$AL$3006,MATCH(252,'CARNET DE SOUDURE'!$AV$7:$AV$3006,0))&lt;&gt;""," / "&amp;INDEX('CARNET DE SOUDURE'!$AL$7:$AL$3006,MATCH(252,'CARNET DE SOUDURE'!$AV$7:$AV$3006,0)),""))</f>
        <v/>
      </c>
      <c r="M263" s="132" t="str">
        <f aca="false">IF($B263="","",INDEX('CARNET DE SOUDURE'!$AP$7:$AP$3006,MATCH(252,'CARNET DE SOUDURE'!$AV$7:$AV$3006,0)))</f>
        <v/>
      </c>
      <c r="N263" s="132" t="str">
        <f aca="false">IF($B263="","",INDEX('CARNET DE SOUDURE'!$AQ$7:$AQ$3006,MATCH(252,'CARNET DE SOUDURE'!$AV$7:$AV$3006,0)))</f>
        <v/>
      </c>
      <c r="O263" s="133" t="str">
        <f aca="false">IF($B263="","",INDEX('CARNET DE SOUDURE'!$AR$7:$AR$3006,MATCH(252,'CARNET DE SOUDURE'!$AV$7:$AV$3006,0)))</f>
        <v/>
      </c>
    </row>
    <row r="264" customFormat="false" ht="15" hidden="false" customHeight="false" outlineLevel="0" collapsed="false">
      <c r="B264" s="125" t="str">
        <f aca="false">IF(253&gt;$I$4,"",253)</f>
        <v/>
      </c>
      <c r="C264" s="125" t="str">
        <f aca="false">IF($B264="","",INDEX('CARNET DE SOUDURE'!$B$7:$B$3006,MATCH(253,'CARNET DE SOUDURE'!$AV$7:$AV$3006,0)))</f>
        <v/>
      </c>
      <c r="D264" s="125" t="str">
        <f aca="false">IF($B264="","",INDEX('CARNET DE SOUDURE'!$E$7:$E$3006,MATCH(253,'CARNET DE SOUDURE'!$AV$7:$AV$3006,0)))</f>
        <v/>
      </c>
      <c r="E264" s="125" t="str">
        <f aca="false">IF($B264="","",INDEX('CARNET DE SOUDURE'!$R$7:$R$3006,MATCH(253,'CARNET DE SOUDURE'!$AV$7:$AV$3006,0))&amp;IF(INDEX('CARNET DE SOUDURE'!$S$7:$S$3006,MATCH(253,'CARNET DE SOUDURE'!$AV$7:$AV$3006,0))&lt;&gt;""," / "&amp;INDEX('CARNET DE SOUDURE'!$S$7:$S$3006,MATCH(253,'CARNET DE SOUDURE'!$AV$7:$AV$3006,0)),"")&amp;IF(INDEX('CARNET DE SOUDURE'!$T$7:$T$3006,MATCH(253,'CARNET DE SOUDURE'!$AV$7:$AV$3006,0))&lt;&gt;""," / "&amp;INDEX('CARNET DE SOUDURE'!$T$7:$T$3006,MATCH(253,'CARNET DE SOUDURE'!$AV$7:$AV$3006,0)),""))</f>
        <v/>
      </c>
      <c r="F264" s="126" t="str">
        <f aca="false">IF($B264="","",INDEX('CARNET DE SOUDURE'!$Y$7:$Y$3006,MATCH(253,'CARNET DE SOUDURE'!$AV$7:$AV$3006,0)))</f>
        <v/>
      </c>
      <c r="G264" s="125" t="str">
        <f aca="false">IF($B264="","",INDEX('CARNET DE SOUDURE'!$Z$7:$Z$3006,MATCH(253,'CARNET DE SOUDURE'!$AV$7:$AV$3006,0))&amp;"")</f>
        <v/>
      </c>
      <c r="H264" s="127" t="str">
        <f aca="false">IF($B264="","",INDEX('CARNET DE SOUDURE'!$AA$7:$AA$3006,MATCH(253,'CARNET DE SOUDURE'!$AV$7:$AV$3006,0)))</f>
        <v/>
      </c>
      <c r="I264" s="125" t="str">
        <f aca="false">IF($B264="","",INDEX('CARNET DE SOUDURE'!$AB$7:$AB$3006,MATCH(253,'CARNET DE SOUDURE'!$AV$7:$AV$3006,0))&amp;"")</f>
        <v/>
      </c>
      <c r="J264" s="125" t="str">
        <f aca="false">IF($B264="","",INDEX('CARNET DE SOUDURE'!$AC$7:$AC$3006,MATCH(253,'CARNET DE SOUDURE'!$AV$7:$AV$3006,0))&amp;IF(INDEX('CARNET DE SOUDURE'!$AH$7:$AH$3006,MATCH(253,'CARNET DE SOUDURE'!$AV$7:$AV$3006,0))&lt;&gt;""," / "&amp;INDEX('CARNET DE SOUDURE'!$AH$7:$AH$3006,MATCH(253,'CARNET DE SOUDURE'!$AV$7:$AV$3006,0)),""))</f>
        <v/>
      </c>
      <c r="K264" s="125" t="str">
        <f aca="false">IF($B264="","",INDEX('CARNET DE SOUDURE'!$AD$7:$AD$3006,MATCH(253,'CARNET DE SOUDURE'!$AV$7:$AV$3006,0))&amp;IF(INDEX('CARNET DE SOUDURE'!$AI$7:$AI$3006,MATCH(253,'CARNET DE SOUDURE'!$AV$7:$AV$3006,0))&lt;&gt;""," / "&amp;INDEX('CARNET DE SOUDURE'!$AI$7:$AI$3006,MATCH(253,'CARNET DE SOUDURE'!$AV$7:$AV$3006,0)),""))</f>
        <v/>
      </c>
      <c r="L264" s="125" t="str">
        <f aca="false">IF($B264="","",INDEX('CARNET DE SOUDURE'!$AG$7:$AG$3006,MATCH(253,'CARNET DE SOUDURE'!$AV$7:$AV$3006,0))&amp;IF(INDEX('CARNET DE SOUDURE'!$AL$7:$AL$3006,MATCH(253,'CARNET DE SOUDURE'!$AV$7:$AV$3006,0))&lt;&gt;""," / "&amp;INDEX('CARNET DE SOUDURE'!$AL$7:$AL$3006,MATCH(253,'CARNET DE SOUDURE'!$AV$7:$AV$3006,0)),""))</f>
        <v/>
      </c>
      <c r="M264" s="127" t="str">
        <f aca="false">IF($B264="","",INDEX('CARNET DE SOUDURE'!$AP$7:$AP$3006,MATCH(253,'CARNET DE SOUDURE'!$AV$7:$AV$3006,0)))</f>
        <v/>
      </c>
      <c r="N264" s="127" t="str">
        <f aca="false">IF($B264="","",INDEX('CARNET DE SOUDURE'!$AQ$7:$AQ$3006,MATCH(253,'CARNET DE SOUDURE'!$AV$7:$AV$3006,0)))</f>
        <v/>
      </c>
      <c r="O264" s="128" t="str">
        <f aca="false">IF($B264="","",INDEX('CARNET DE SOUDURE'!$AR$7:$AR$3006,MATCH(253,'CARNET DE SOUDURE'!$AV$7:$AV$3006,0)))</f>
        <v/>
      </c>
    </row>
    <row r="265" customFormat="false" ht="15" hidden="false" customHeight="false" outlineLevel="0" collapsed="false">
      <c r="B265" s="130" t="str">
        <f aca="false">IF(254&gt;$I$4,"",254)</f>
        <v/>
      </c>
      <c r="C265" s="130" t="str">
        <f aca="false">IF($B265="","",INDEX('CARNET DE SOUDURE'!$B$7:$B$3006,MATCH(254,'CARNET DE SOUDURE'!$AV$7:$AV$3006,0)))</f>
        <v/>
      </c>
      <c r="D265" s="130" t="str">
        <f aca="false">IF($B265="","",INDEX('CARNET DE SOUDURE'!$E$7:$E$3006,MATCH(254,'CARNET DE SOUDURE'!$AV$7:$AV$3006,0)))</f>
        <v/>
      </c>
      <c r="E265" s="130" t="str">
        <f aca="false">IF($B265="","",INDEX('CARNET DE SOUDURE'!$R$7:$R$3006,MATCH(254,'CARNET DE SOUDURE'!$AV$7:$AV$3006,0))&amp;IF(INDEX('CARNET DE SOUDURE'!$S$7:$S$3006,MATCH(254,'CARNET DE SOUDURE'!$AV$7:$AV$3006,0))&lt;&gt;""," / "&amp;INDEX('CARNET DE SOUDURE'!$S$7:$S$3006,MATCH(254,'CARNET DE SOUDURE'!$AV$7:$AV$3006,0)),"")&amp;IF(INDEX('CARNET DE SOUDURE'!$T$7:$T$3006,MATCH(254,'CARNET DE SOUDURE'!$AV$7:$AV$3006,0))&lt;&gt;""," / "&amp;INDEX('CARNET DE SOUDURE'!$T$7:$T$3006,MATCH(254,'CARNET DE SOUDURE'!$AV$7:$AV$3006,0)),""))</f>
        <v/>
      </c>
      <c r="F265" s="131" t="str">
        <f aca="false">IF($B265="","",INDEX('CARNET DE SOUDURE'!$Y$7:$Y$3006,MATCH(254,'CARNET DE SOUDURE'!$AV$7:$AV$3006,0)))</f>
        <v/>
      </c>
      <c r="G265" s="130" t="str">
        <f aca="false">IF($B265="","",INDEX('CARNET DE SOUDURE'!$Z$7:$Z$3006,MATCH(254,'CARNET DE SOUDURE'!$AV$7:$AV$3006,0))&amp;"")</f>
        <v/>
      </c>
      <c r="H265" s="132" t="str">
        <f aca="false">IF($B265="","",INDEX('CARNET DE SOUDURE'!$AA$7:$AA$3006,MATCH(254,'CARNET DE SOUDURE'!$AV$7:$AV$3006,0)))</f>
        <v/>
      </c>
      <c r="I265" s="130" t="str">
        <f aca="false">IF($B265="","",INDEX('CARNET DE SOUDURE'!$AB$7:$AB$3006,MATCH(254,'CARNET DE SOUDURE'!$AV$7:$AV$3006,0))&amp;"")</f>
        <v/>
      </c>
      <c r="J265" s="130" t="str">
        <f aca="false">IF($B265="","",INDEX('CARNET DE SOUDURE'!$AC$7:$AC$3006,MATCH(254,'CARNET DE SOUDURE'!$AV$7:$AV$3006,0))&amp;IF(INDEX('CARNET DE SOUDURE'!$AH$7:$AH$3006,MATCH(254,'CARNET DE SOUDURE'!$AV$7:$AV$3006,0))&lt;&gt;""," / "&amp;INDEX('CARNET DE SOUDURE'!$AH$7:$AH$3006,MATCH(254,'CARNET DE SOUDURE'!$AV$7:$AV$3006,0)),""))</f>
        <v/>
      </c>
      <c r="K265" s="130" t="str">
        <f aca="false">IF($B265="","",INDEX('CARNET DE SOUDURE'!$AD$7:$AD$3006,MATCH(254,'CARNET DE SOUDURE'!$AV$7:$AV$3006,0))&amp;IF(INDEX('CARNET DE SOUDURE'!$AI$7:$AI$3006,MATCH(254,'CARNET DE SOUDURE'!$AV$7:$AV$3006,0))&lt;&gt;""," / "&amp;INDEX('CARNET DE SOUDURE'!$AI$7:$AI$3006,MATCH(254,'CARNET DE SOUDURE'!$AV$7:$AV$3006,0)),""))</f>
        <v/>
      </c>
      <c r="L265" s="130" t="str">
        <f aca="false">IF($B265="","",INDEX('CARNET DE SOUDURE'!$AG$7:$AG$3006,MATCH(254,'CARNET DE SOUDURE'!$AV$7:$AV$3006,0))&amp;IF(INDEX('CARNET DE SOUDURE'!$AL$7:$AL$3006,MATCH(254,'CARNET DE SOUDURE'!$AV$7:$AV$3006,0))&lt;&gt;""," / "&amp;INDEX('CARNET DE SOUDURE'!$AL$7:$AL$3006,MATCH(254,'CARNET DE SOUDURE'!$AV$7:$AV$3006,0)),""))</f>
        <v/>
      </c>
      <c r="M265" s="132" t="str">
        <f aca="false">IF($B265="","",INDEX('CARNET DE SOUDURE'!$AP$7:$AP$3006,MATCH(254,'CARNET DE SOUDURE'!$AV$7:$AV$3006,0)))</f>
        <v/>
      </c>
      <c r="N265" s="132" t="str">
        <f aca="false">IF($B265="","",INDEX('CARNET DE SOUDURE'!$AQ$7:$AQ$3006,MATCH(254,'CARNET DE SOUDURE'!$AV$7:$AV$3006,0)))</f>
        <v/>
      </c>
      <c r="O265" s="133" t="str">
        <f aca="false">IF($B265="","",INDEX('CARNET DE SOUDURE'!$AR$7:$AR$3006,MATCH(254,'CARNET DE SOUDURE'!$AV$7:$AV$3006,0)))</f>
        <v/>
      </c>
    </row>
    <row r="266" customFormat="false" ht="15" hidden="false" customHeight="false" outlineLevel="0" collapsed="false">
      <c r="B266" s="125" t="str">
        <f aca="false">IF(255&gt;$I$4,"",255)</f>
        <v/>
      </c>
      <c r="C266" s="125" t="str">
        <f aca="false">IF($B266="","",INDEX('CARNET DE SOUDURE'!$B$7:$B$3006,MATCH(255,'CARNET DE SOUDURE'!$AV$7:$AV$3006,0)))</f>
        <v/>
      </c>
      <c r="D266" s="125" t="str">
        <f aca="false">IF($B266="","",INDEX('CARNET DE SOUDURE'!$E$7:$E$3006,MATCH(255,'CARNET DE SOUDURE'!$AV$7:$AV$3006,0)))</f>
        <v/>
      </c>
      <c r="E266" s="125" t="str">
        <f aca="false">IF($B266="","",INDEX('CARNET DE SOUDURE'!$R$7:$R$3006,MATCH(255,'CARNET DE SOUDURE'!$AV$7:$AV$3006,0))&amp;IF(INDEX('CARNET DE SOUDURE'!$S$7:$S$3006,MATCH(255,'CARNET DE SOUDURE'!$AV$7:$AV$3006,0))&lt;&gt;""," / "&amp;INDEX('CARNET DE SOUDURE'!$S$7:$S$3006,MATCH(255,'CARNET DE SOUDURE'!$AV$7:$AV$3006,0)),"")&amp;IF(INDEX('CARNET DE SOUDURE'!$T$7:$T$3006,MATCH(255,'CARNET DE SOUDURE'!$AV$7:$AV$3006,0))&lt;&gt;""," / "&amp;INDEX('CARNET DE SOUDURE'!$T$7:$T$3006,MATCH(255,'CARNET DE SOUDURE'!$AV$7:$AV$3006,0)),""))</f>
        <v/>
      </c>
      <c r="F266" s="126" t="str">
        <f aca="false">IF($B266="","",INDEX('CARNET DE SOUDURE'!$Y$7:$Y$3006,MATCH(255,'CARNET DE SOUDURE'!$AV$7:$AV$3006,0)))</f>
        <v/>
      </c>
      <c r="G266" s="125" t="str">
        <f aca="false">IF($B266="","",INDEX('CARNET DE SOUDURE'!$Z$7:$Z$3006,MATCH(255,'CARNET DE SOUDURE'!$AV$7:$AV$3006,0))&amp;"")</f>
        <v/>
      </c>
      <c r="H266" s="127" t="str">
        <f aca="false">IF($B266="","",INDEX('CARNET DE SOUDURE'!$AA$7:$AA$3006,MATCH(255,'CARNET DE SOUDURE'!$AV$7:$AV$3006,0)))</f>
        <v/>
      </c>
      <c r="I266" s="125" t="str">
        <f aca="false">IF($B266="","",INDEX('CARNET DE SOUDURE'!$AB$7:$AB$3006,MATCH(255,'CARNET DE SOUDURE'!$AV$7:$AV$3006,0))&amp;"")</f>
        <v/>
      </c>
      <c r="J266" s="125" t="str">
        <f aca="false">IF($B266="","",INDEX('CARNET DE SOUDURE'!$AC$7:$AC$3006,MATCH(255,'CARNET DE SOUDURE'!$AV$7:$AV$3006,0))&amp;IF(INDEX('CARNET DE SOUDURE'!$AH$7:$AH$3006,MATCH(255,'CARNET DE SOUDURE'!$AV$7:$AV$3006,0))&lt;&gt;""," / "&amp;INDEX('CARNET DE SOUDURE'!$AH$7:$AH$3006,MATCH(255,'CARNET DE SOUDURE'!$AV$7:$AV$3006,0)),""))</f>
        <v/>
      </c>
      <c r="K266" s="125" t="str">
        <f aca="false">IF($B266="","",INDEX('CARNET DE SOUDURE'!$AD$7:$AD$3006,MATCH(255,'CARNET DE SOUDURE'!$AV$7:$AV$3006,0))&amp;IF(INDEX('CARNET DE SOUDURE'!$AI$7:$AI$3006,MATCH(255,'CARNET DE SOUDURE'!$AV$7:$AV$3006,0))&lt;&gt;""," / "&amp;INDEX('CARNET DE SOUDURE'!$AI$7:$AI$3006,MATCH(255,'CARNET DE SOUDURE'!$AV$7:$AV$3006,0)),""))</f>
        <v/>
      </c>
      <c r="L266" s="125" t="str">
        <f aca="false">IF($B266="","",INDEX('CARNET DE SOUDURE'!$AG$7:$AG$3006,MATCH(255,'CARNET DE SOUDURE'!$AV$7:$AV$3006,0))&amp;IF(INDEX('CARNET DE SOUDURE'!$AL$7:$AL$3006,MATCH(255,'CARNET DE SOUDURE'!$AV$7:$AV$3006,0))&lt;&gt;""," / "&amp;INDEX('CARNET DE SOUDURE'!$AL$7:$AL$3006,MATCH(255,'CARNET DE SOUDURE'!$AV$7:$AV$3006,0)),""))</f>
        <v/>
      </c>
      <c r="M266" s="127" t="str">
        <f aca="false">IF($B266="","",INDEX('CARNET DE SOUDURE'!$AP$7:$AP$3006,MATCH(255,'CARNET DE SOUDURE'!$AV$7:$AV$3006,0)))</f>
        <v/>
      </c>
      <c r="N266" s="127" t="str">
        <f aca="false">IF($B266="","",INDEX('CARNET DE SOUDURE'!$AQ$7:$AQ$3006,MATCH(255,'CARNET DE SOUDURE'!$AV$7:$AV$3006,0)))</f>
        <v/>
      </c>
      <c r="O266" s="128" t="str">
        <f aca="false">IF($B266="","",INDEX('CARNET DE SOUDURE'!$AR$7:$AR$3006,MATCH(255,'CARNET DE SOUDURE'!$AV$7:$AV$3006,0)))</f>
        <v/>
      </c>
    </row>
    <row r="267" customFormat="false" ht="15" hidden="false" customHeight="false" outlineLevel="0" collapsed="false">
      <c r="B267" s="130" t="str">
        <f aca="false">IF(256&gt;$I$4,"",256)</f>
        <v/>
      </c>
      <c r="C267" s="130" t="str">
        <f aca="false">IF($B267="","",INDEX('CARNET DE SOUDURE'!$B$7:$B$3006,MATCH(256,'CARNET DE SOUDURE'!$AV$7:$AV$3006,0)))</f>
        <v/>
      </c>
      <c r="D267" s="130" t="str">
        <f aca="false">IF($B267="","",INDEX('CARNET DE SOUDURE'!$E$7:$E$3006,MATCH(256,'CARNET DE SOUDURE'!$AV$7:$AV$3006,0)))</f>
        <v/>
      </c>
      <c r="E267" s="130" t="str">
        <f aca="false">IF($B267="","",INDEX('CARNET DE SOUDURE'!$R$7:$R$3006,MATCH(256,'CARNET DE SOUDURE'!$AV$7:$AV$3006,0))&amp;IF(INDEX('CARNET DE SOUDURE'!$S$7:$S$3006,MATCH(256,'CARNET DE SOUDURE'!$AV$7:$AV$3006,0))&lt;&gt;""," / "&amp;INDEX('CARNET DE SOUDURE'!$S$7:$S$3006,MATCH(256,'CARNET DE SOUDURE'!$AV$7:$AV$3006,0)),"")&amp;IF(INDEX('CARNET DE SOUDURE'!$T$7:$T$3006,MATCH(256,'CARNET DE SOUDURE'!$AV$7:$AV$3006,0))&lt;&gt;""," / "&amp;INDEX('CARNET DE SOUDURE'!$T$7:$T$3006,MATCH(256,'CARNET DE SOUDURE'!$AV$7:$AV$3006,0)),""))</f>
        <v/>
      </c>
      <c r="F267" s="131" t="str">
        <f aca="false">IF($B267="","",INDEX('CARNET DE SOUDURE'!$Y$7:$Y$3006,MATCH(256,'CARNET DE SOUDURE'!$AV$7:$AV$3006,0)))</f>
        <v/>
      </c>
      <c r="G267" s="130" t="str">
        <f aca="false">IF($B267="","",INDEX('CARNET DE SOUDURE'!$Z$7:$Z$3006,MATCH(256,'CARNET DE SOUDURE'!$AV$7:$AV$3006,0))&amp;"")</f>
        <v/>
      </c>
      <c r="H267" s="132" t="str">
        <f aca="false">IF($B267="","",INDEX('CARNET DE SOUDURE'!$AA$7:$AA$3006,MATCH(256,'CARNET DE SOUDURE'!$AV$7:$AV$3006,0)))</f>
        <v/>
      </c>
      <c r="I267" s="130" t="str">
        <f aca="false">IF($B267="","",INDEX('CARNET DE SOUDURE'!$AB$7:$AB$3006,MATCH(256,'CARNET DE SOUDURE'!$AV$7:$AV$3006,0))&amp;"")</f>
        <v/>
      </c>
      <c r="J267" s="130" t="str">
        <f aca="false">IF($B267="","",INDEX('CARNET DE SOUDURE'!$AC$7:$AC$3006,MATCH(256,'CARNET DE SOUDURE'!$AV$7:$AV$3006,0))&amp;IF(INDEX('CARNET DE SOUDURE'!$AH$7:$AH$3006,MATCH(256,'CARNET DE SOUDURE'!$AV$7:$AV$3006,0))&lt;&gt;""," / "&amp;INDEX('CARNET DE SOUDURE'!$AH$7:$AH$3006,MATCH(256,'CARNET DE SOUDURE'!$AV$7:$AV$3006,0)),""))</f>
        <v/>
      </c>
      <c r="K267" s="130" t="str">
        <f aca="false">IF($B267="","",INDEX('CARNET DE SOUDURE'!$AD$7:$AD$3006,MATCH(256,'CARNET DE SOUDURE'!$AV$7:$AV$3006,0))&amp;IF(INDEX('CARNET DE SOUDURE'!$AI$7:$AI$3006,MATCH(256,'CARNET DE SOUDURE'!$AV$7:$AV$3006,0))&lt;&gt;""," / "&amp;INDEX('CARNET DE SOUDURE'!$AI$7:$AI$3006,MATCH(256,'CARNET DE SOUDURE'!$AV$7:$AV$3006,0)),""))</f>
        <v/>
      </c>
      <c r="L267" s="130" t="str">
        <f aca="false">IF($B267="","",INDEX('CARNET DE SOUDURE'!$AG$7:$AG$3006,MATCH(256,'CARNET DE SOUDURE'!$AV$7:$AV$3006,0))&amp;IF(INDEX('CARNET DE SOUDURE'!$AL$7:$AL$3006,MATCH(256,'CARNET DE SOUDURE'!$AV$7:$AV$3006,0))&lt;&gt;""," / "&amp;INDEX('CARNET DE SOUDURE'!$AL$7:$AL$3006,MATCH(256,'CARNET DE SOUDURE'!$AV$7:$AV$3006,0)),""))</f>
        <v/>
      </c>
      <c r="M267" s="132" t="str">
        <f aca="false">IF($B267="","",INDEX('CARNET DE SOUDURE'!$AP$7:$AP$3006,MATCH(256,'CARNET DE SOUDURE'!$AV$7:$AV$3006,0)))</f>
        <v/>
      </c>
      <c r="N267" s="132" t="str">
        <f aca="false">IF($B267="","",INDEX('CARNET DE SOUDURE'!$AQ$7:$AQ$3006,MATCH(256,'CARNET DE SOUDURE'!$AV$7:$AV$3006,0)))</f>
        <v/>
      </c>
      <c r="O267" s="133" t="str">
        <f aca="false">IF($B267="","",INDEX('CARNET DE SOUDURE'!$AR$7:$AR$3006,MATCH(256,'CARNET DE SOUDURE'!$AV$7:$AV$3006,0)))</f>
        <v/>
      </c>
    </row>
    <row r="268" customFormat="false" ht="15" hidden="false" customHeight="false" outlineLevel="0" collapsed="false">
      <c r="B268" s="125" t="str">
        <f aca="false">IF(257&gt;$I$4,"",257)</f>
        <v/>
      </c>
      <c r="C268" s="125" t="str">
        <f aca="false">IF($B268="","",INDEX('CARNET DE SOUDURE'!$B$7:$B$3006,MATCH(257,'CARNET DE SOUDURE'!$AV$7:$AV$3006,0)))</f>
        <v/>
      </c>
      <c r="D268" s="125" t="str">
        <f aca="false">IF($B268="","",INDEX('CARNET DE SOUDURE'!$E$7:$E$3006,MATCH(257,'CARNET DE SOUDURE'!$AV$7:$AV$3006,0)))</f>
        <v/>
      </c>
      <c r="E268" s="125" t="str">
        <f aca="false">IF($B268="","",INDEX('CARNET DE SOUDURE'!$R$7:$R$3006,MATCH(257,'CARNET DE SOUDURE'!$AV$7:$AV$3006,0))&amp;IF(INDEX('CARNET DE SOUDURE'!$S$7:$S$3006,MATCH(257,'CARNET DE SOUDURE'!$AV$7:$AV$3006,0))&lt;&gt;""," / "&amp;INDEX('CARNET DE SOUDURE'!$S$7:$S$3006,MATCH(257,'CARNET DE SOUDURE'!$AV$7:$AV$3006,0)),"")&amp;IF(INDEX('CARNET DE SOUDURE'!$T$7:$T$3006,MATCH(257,'CARNET DE SOUDURE'!$AV$7:$AV$3006,0))&lt;&gt;""," / "&amp;INDEX('CARNET DE SOUDURE'!$T$7:$T$3006,MATCH(257,'CARNET DE SOUDURE'!$AV$7:$AV$3006,0)),""))</f>
        <v/>
      </c>
      <c r="F268" s="126" t="str">
        <f aca="false">IF($B268="","",INDEX('CARNET DE SOUDURE'!$Y$7:$Y$3006,MATCH(257,'CARNET DE SOUDURE'!$AV$7:$AV$3006,0)))</f>
        <v/>
      </c>
      <c r="G268" s="125" t="str">
        <f aca="false">IF($B268="","",INDEX('CARNET DE SOUDURE'!$Z$7:$Z$3006,MATCH(257,'CARNET DE SOUDURE'!$AV$7:$AV$3006,0))&amp;"")</f>
        <v/>
      </c>
      <c r="H268" s="127" t="str">
        <f aca="false">IF($B268="","",INDEX('CARNET DE SOUDURE'!$AA$7:$AA$3006,MATCH(257,'CARNET DE SOUDURE'!$AV$7:$AV$3006,0)))</f>
        <v/>
      </c>
      <c r="I268" s="125" t="str">
        <f aca="false">IF($B268="","",INDEX('CARNET DE SOUDURE'!$AB$7:$AB$3006,MATCH(257,'CARNET DE SOUDURE'!$AV$7:$AV$3006,0))&amp;"")</f>
        <v/>
      </c>
      <c r="J268" s="125" t="str">
        <f aca="false">IF($B268="","",INDEX('CARNET DE SOUDURE'!$AC$7:$AC$3006,MATCH(257,'CARNET DE SOUDURE'!$AV$7:$AV$3006,0))&amp;IF(INDEX('CARNET DE SOUDURE'!$AH$7:$AH$3006,MATCH(257,'CARNET DE SOUDURE'!$AV$7:$AV$3006,0))&lt;&gt;""," / "&amp;INDEX('CARNET DE SOUDURE'!$AH$7:$AH$3006,MATCH(257,'CARNET DE SOUDURE'!$AV$7:$AV$3006,0)),""))</f>
        <v/>
      </c>
      <c r="K268" s="125" t="str">
        <f aca="false">IF($B268="","",INDEX('CARNET DE SOUDURE'!$AD$7:$AD$3006,MATCH(257,'CARNET DE SOUDURE'!$AV$7:$AV$3006,0))&amp;IF(INDEX('CARNET DE SOUDURE'!$AI$7:$AI$3006,MATCH(257,'CARNET DE SOUDURE'!$AV$7:$AV$3006,0))&lt;&gt;""," / "&amp;INDEX('CARNET DE SOUDURE'!$AI$7:$AI$3006,MATCH(257,'CARNET DE SOUDURE'!$AV$7:$AV$3006,0)),""))</f>
        <v/>
      </c>
      <c r="L268" s="125" t="str">
        <f aca="false">IF($B268="","",INDEX('CARNET DE SOUDURE'!$AG$7:$AG$3006,MATCH(257,'CARNET DE SOUDURE'!$AV$7:$AV$3006,0))&amp;IF(INDEX('CARNET DE SOUDURE'!$AL$7:$AL$3006,MATCH(257,'CARNET DE SOUDURE'!$AV$7:$AV$3006,0))&lt;&gt;""," / "&amp;INDEX('CARNET DE SOUDURE'!$AL$7:$AL$3006,MATCH(257,'CARNET DE SOUDURE'!$AV$7:$AV$3006,0)),""))</f>
        <v/>
      </c>
      <c r="M268" s="127" t="str">
        <f aca="false">IF($B268="","",INDEX('CARNET DE SOUDURE'!$AP$7:$AP$3006,MATCH(257,'CARNET DE SOUDURE'!$AV$7:$AV$3006,0)))</f>
        <v/>
      </c>
      <c r="N268" s="127" t="str">
        <f aca="false">IF($B268="","",INDEX('CARNET DE SOUDURE'!$AQ$7:$AQ$3006,MATCH(257,'CARNET DE SOUDURE'!$AV$7:$AV$3006,0)))</f>
        <v/>
      </c>
      <c r="O268" s="128" t="str">
        <f aca="false">IF($B268="","",INDEX('CARNET DE SOUDURE'!$AR$7:$AR$3006,MATCH(257,'CARNET DE SOUDURE'!$AV$7:$AV$3006,0)))</f>
        <v/>
      </c>
    </row>
    <row r="269" customFormat="false" ht="15" hidden="false" customHeight="false" outlineLevel="0" collapsed="false">
      <c r="B269" s="130" t="str">
        <f aca="false">IF(258&gt;$I$4,"",258)</f>
        <v/>
      </c>
      <c r="C269" s="130" t="str">
        <f aca="false">IF($B269="","",INDEX('CARNET DE SOUDURE'!$B$7:$B$3006,MATCH(258,'CARNET DE SOUDURE'!$AV$7:$AV$3006,0)))</f>
        <v/>
      </c>
      <c r="D269" s="130" t="str">
        <f aca="false">IF($B269="","",INDEX('CARNET DE SOUDURE'!$E$7:$E$3006,MATCH(258,'CARNET DE SOUDURE'!$AV$7:$AV$3006,0)))</f>
        <v/>
      </c>
      <c r="E269" s="130" t="str">
        <f aca="false">IF($B269="","",INDEX('CARNET DE SOUDURE'!$R$7:$R$3006,MATCH(258,'CARNET DE SOUDURE'!$AV$7:$AV$3006,0))&amp;IF(INDEX('CARNET DE SOUDURE'!$S$7:$S$3006,MATCH(258,'CARNET DE SOUDURE'!$AV$7:$AV$3006,0))&lt;&gt;""," / "&amp;INDEX('CARNET DE SOUDURE'!$S$7:$S$3006,MATCH(258,'CARNET DE SOUDURE'!$AV$7:$AV$3006,0)),"")&amp;IF(INDEX('CARNET DE SOUDURE'!$T$7:$T$3006,MATCH(258,'CARNET DE SOUDURE'!$AV$7:$AV$3006,0))&lt;&gt;""," / "&amp;INDEX('CARNET DE SOUDURE'!$T$7:$T$3006,MATCH(258,'CARNET DE SOUDURE'!$AV$7:$AV$3006,0)),""))</f>
        <v/>
      </c>
      <c r="F269" s="131" t="str">
        <f aca="false">IF($B269="","",INDEX('CARNET DE SOUDURE'!$Y$7:$Y$3006,MATCH(258,'CARNET DE SOUDURE'!$AV$7:$AV$3006,0)))</f>
        <v/>
      </c>
      <c r="G269" s="130" t="str">
        <f aca="false">IF($B269="","",INDEX('CARNET DE SOUDURE'!$Z$7:$Z$3006,MATCH(258,'CARNET DE SOUDURE'!$AV$7:$AV$3006,0))&amp;"")</f>
        <v/>
      </c>
      <c r="H269" s="132" t="str">
        <f aca="false">IF($B269="","",INDEX('CARNET DE SOUDURE'!$AA$7:$AA$3006,MATCH(258,'CARNET DE SOUDURE'!$AV$7:$AV$3006,0)))</f>
        <v/>
      </c>
      <c r="I269" s="130" t="str">
        <f aca="false">IF($B269="","",INDEX('CARNET DE SOUDURE'!$AB$7:$AB$3006,MATCH(258,'CARNET DE SOUDURE'!$AV$7:$AV$3006,0))&amp;"")</f>
        <v/>
      </c>
      <c r="J269" s="130" t="str">
        <f aca="false">IF($B269="","",INDEX('CARNET DE SOUDURE'!$AC$7:$AC$3006,MATCH(258,'CARNET DE SOUDURE'!$AV$7:$AV$3006,0))&amp;IF(INDEX('CARNET DE SOUDURE'!$AH$7:$AH$3006,MATCH(258,'CARNET DE SOUDURE'!$AV$7:$AV$3006,0))&lt;&gt;""," / "&amp;INDEX('CARNET DE SOUDURE'!$AH$7:$AH$3006,MATCH(258,'CARNET DE SOUDURE'!$AV$7:$AV$3006,0)),""))</f>
        <v/>
      </c>
      <c r="K269" s="130" t="str">
        <f aca="false">IF($B269="","",INDEX('CARNET DE SOUDURE'!$AD$7:$AD$3006,MATCH(258,'CARNET DE SOUDURE'!$AV$7:$AV$3006,0))&amp;IF(INDEX('CARNET DE SOUDURE'!$AI$7:$AI$3006,MATCH(258,'CARNET DE SOUDURE'!$AV$7:$AV$3006,0))&lt;&gt;""," / "&amp;INDEX('CARNET DE SOUDURE'!$AI$7:$AI$3006,MATCH(258,'CARNET DE SOUDURE'!$AV$7:$AV$3006,0)),""))</f>
        <v/>
      </c>
      <c r="L269" s="130" t="str">
        <f aca="false">IF($B269="","",INDEX('CARNET DE SOUDURE'!$AG$7:$AG$3006,MATCH(258,'CARNET DE SOUDURE'!$AV$7:$AV$3006,0))&amp;IF(INDEX('CARNET DE SOUDURE'!$AL$7:$AL$3006,MATCH(258,'CARNET DE SOUDURE'!$AV$7:$AV$3006,0))&lt;&gt;""," / "&amp;INDEX('CARNET DE SOUDURE'!$AL$7:$AL$3006,MATCH(258,'CARNET DE SOUDURE'!$AV$7:$AV$3006,0)),""))</f>
        <v/>
      </c>
      <c r="M269" s="132" t="str">
        <f aca="false">IF($B269="","",INDEX('CARNET DE SOUDURE'!$AP$7:$AP$3006,MATCH(258,'CARNET DE SOUDURE'!$AV$7:$AV$3006,0)))</f>
        <v/>
      </c>
      <c r="N269" s="132" t="str">
        <f aca="false">IF($B269="","",INDEX('CARNET DE SOUDURE'!$AQ$7:$AQ$3006,MATCH(258,'CARNET DE SOUDURE'!$AV$7:$AV$3006,0)))</f>
        <v/>
      </c>
      <c r="O269" s="133" t="str">
        <f aca="false">IF($B269="","",INDEX('CARNET DE SOUDURE'!$AR$7:$AR$3006,MATCH(258,'CARNET DE SOUDURE'!$AV$7:$AV$3006,0)))</f>
        <v/>
      </c>
    </row>
    <row r="270" customFormat="false" ht="15" hidden="false" customHeight="false" outlineLevel="0" collapsed="false">
      <c r="B270" s="125" t="str">
        <f aca="false">IF(259&gt;$I$4,"",259)</f>
        <v/>
      </c>
      <c r="C270" s="125" t="str">
        <f aca="false">IF($B270="","",INDEX('CARNET DE SOUDURE'!$B$7:$B$3006,MATCH(259,'CARNET DE SOUDURE'!$AV$7:$AV$3006,0)))</f>
        <v/>
      </c>
      <c r="D270" s="125" t="str">
        <f aca="false">IF($B270="","",INDEX('CARNET DE SOUDURE'!$E$7:$E$3006,MATCH(259,'CARNET DE SOUDURE'!$AV$7:$AV$3006,0)))</f>
        <v/>
      </c>
      <c r="E270" s="125" t="str">
        <f aca="false">IF($B270="","",INDEX('CARNET DE SOUDURE'!$R$7:$R$3006,MATCH(259,'CARNET DE SOUDURE'!$AV$7:$AV$3006,0))&amp;IF(INDEX('CARNET DE SOUDURE'!$S$7:$S$3006,MATCH(259,'CARNET DE SOUDURE'!$AV$7:$AV$3006,0))&lt;&gt;""," / "&amp;INDEX('CARNET DE SOUDURE'!$S$7:$S$3006,MATCH(259,'CARNET DE SOUDURE'!$AV$7:$AV$3006,0)),"")&amp;IF(INDEX('CARNET DE SOUDURE'!$T$7:$T$3006,MATCH(259,'CARNET DE SOUDURE'!$AV$7:$AV$3006,0))&lt;&gt;""," / "&amp;INDEX('CARNET DE SOUDURE'!$T$7:$T$3006,MATCH(259,'CARNET DE SOUDURE'!$AV$7:$AV$3006,0)),""))</f>
        <v/>
      </c>
      <c r="F270" s="126" t="str">
        <f aca="false">IF($B270="","",INDEX('CARNET DE SOUDURE'!$Y$7:$Y$3006,MATCH(259,'CARNET DE SOUDURE'!$AV$7:$AV$3006,0)))</f>
        <v/>
      </c>
      <c r="G270" s="125" t="str">
        <f aca="false">IF($B270="","",INDEX('CARNET DE SOUDURE'!$Z$7:$Z$3006,MATCH(259,'CARNET DE SOUDURE'!$AV$7:$AV$3006,0))&amp;"")</f>
        <v/>
      </c>
      <c r="H270" s="127" t="str">
        <f aca="false">IF($B270="","",INDEX('CARNET DE SOUDURE'!$AA$7:$AA$3006,MATCH(259,'CARNET DE SOUDURE'!$AV$7:$AV$3006,0)))</f>
        <v/>
      </c>
      <c r="I270" s="125" t="str">
        <f aca="false">IF($B270="","",INDEX('CARNET DE SOUDURE'!$AB$7:$AB$3006,MATCH(259,'CARNET DE SOUDURE'!$AV$7:$AV$3006,0))&amp;"")</f>
        <v/>
      </c>
      <c r="J270" s="125" t="str">
        <f aca="false">IF($B270="","",INDEX('CARNET DE SOUDURE'!$AC$7:$AC$3006,MATCH(259,'CARNET DE SOUDURE'!$AV$7:$AV$3006,0))&amp;IF(INDEX('CARNET DE SOUDURE'!$AH$7:$AH$3006,MATCH(259,'CARNET DE SOUDURE'!$AV$7:$AV$3006,0))&lt;&gt;""," / "&amp;INDEX('CARNET DE SOUDURE'!$AH$7:$AH$3006,MATCH(259,'CARNET DE SOUDURE'!$AV$7:$AV$3006,0)),""))</f>
        <v/>
      </c>
      <c r="K270" s="125" t="str">
        <f aca="false">IF($B270="","",INDEX('CARNET DE SOUDURE'!$AD$7:$AD$3006,MATCH(259,'CARNET DE SOUDURE'!$AV$7:$AV$3006,0))&amp;IF(INDEX('CARNET DE SOUDURE'!$AI$7:$AI$3006,MATCH(259,'CARNET DE SOUDURE'!$AV$7:$AV$3006,0))&lt;&gt;""," / "&amp;INDEX('CARNET DE SOUDURE'!$AI$7:$AI$3006,MATCH(259,'CARNET DE SOUDURE'!$AV$7:$AV$3006,0)),""))</f>
        <v/>
      </c>
      <c r="L270" s="125" t="str">
        <f aca="false">IF($B270="","",INDEX('CARNET DE SOUDURE'!$AG$7:$AG$3006,MATCH(259,'CARNET DE SOUDURE'!$AV$7:$AV$3006,0))&amp;IF(INDEX('CARNET DE SOUDURE'!$AL$7:$AL$3006,MATCH(259,'CARNET DE SOUDURE'!$AV$7:$AV$3006,0))&lt;&gt;""," / "&amp;INDEX('CARNET DE SOUDURE'!$AL$7:$AL$3006,MATCH(259,'CARNET DE SOUDURE'!$AV$7:$AV$3006,0)),""))</f>
        <v/>
      </c>
      <c r="M270" s="127" t="str">
        <f aca="false">IF($B270="","",INDEX('CARNET DE SOUDURE'!$AP$7:$AP$3006,MATCH(259,'CARNET DE SOUDURE'!$AV$7:$AV$3006,0)))</f>
        <v/>
      </c>
      <c r="N270" s="127" t="str">
        <f aca="false">IF($B270="","",INDEX('CARNET DE SOUDURE'!$AQ$7:$AQ$3006,MATCH(259,'CARNET DE SOUDURE'!$AV$7:$AV$3006,0)))</f>
        <v/>
      </c>
      <c r="O270" s="128" t="str">
        <f aca="false">IF($B270="","",INDEX('CARNET DE SOUDURE'!$AR$7:$AR$3006,MATCH(259,'CARNET DE SOUDURE'!$AV$7:$AV$3006,0)))</f>
        <v/>
      </c>
    </row>
    <row r="271" customFormat="false" ht="15" hidden="false" customHeight="false" outlineLevel="0" collapsed="false">
      <c r="B271" s="130" t="str">
        <f aca="false">IF(260&gt;$I$4,"",260)</f>
        <v/>
      </c>
      <c r="C271" s="130" t="str">
        <f aca="false">IF($B271="","",INDEX('CARNET DE SOUDURE'!$B$7:$B$3006,MATCH(260,'CARNET DE SOUDURE'!$AV$7:$AV$3006,0)))</f>
        <v/>
      </c>
      <c r="D271" s="130" t="str">
        <f aca="false">IF($B271="","",INDEX('CARNET DE SOUDURE'!$E$7:$E$3006,MATCH(260,'CARNET DE SOUDURE'!$AV$7:$AV$3006,0)))</f>
        <v/>
      </c>
      <c r="E271" s="130" t="str">
        <f aca="false">IF($B271="","",INDEX('CARNET DE SOUDURE'!$R$7:$R$3006,MATCH(260,'CARNET DE SOUDURE'!$AV$7:$AV$3006,0))&amp;IF(INDEX('CARNET DE SOUDURE'!$S$7:$S$3006,MATCH(260,'CARNET DE SOUDURE'!$AV$7:$AV$3006,0))&lt;&gt;""," / "&amp;INDEX('CARNET DE SOUDURE'!$S$7:$S$3006,MATCH(260,'CARNET DE SOUDURE'!$AV$7:$AV$3006,0)),"")&amp;IF(INDEX('CARNET DE SOUDURE'!$T$7:$T$3006,MATCH(260,'CARNET DE SOUDURE'!$AV$7:$AV$3006,0))&lt;&gt;""," / "&amp;INDEX('CARNET DE SOUDURE'!$T$7:$T$3006,MATCH(260,'CARNET DE SOUDURE'!$AV$7:$AV$3006,0)),""))</f>
        <v/>
      </c>
      <c r="F271" s="131" t="str">
        <f aca="false">IF($B271="","",INDEX('CARNET DE SOUDURE'!$Y$7:$Y$3006,MATCH(260,'CARNET DE SOUDURE'!$AV$7:$AV$3006,0)))</f>
        <v/>
      </c>
      <c r="G271" s="130" t="str">
        <f aca="false">IF($B271="","",INDEX('CARNET DE SOUDURE'!$Z$7:$Z$3006,MATCH(260,'CARNET DE SOUDURE'!$AV$7:$AV$3006,0))&amp;"")</f>
        <v/>
      </c>
      <c r="H271" s="132" t="str">
        <f aca="false">IF($B271="","",INDEX('CARNET DE SOUDURE'!$AA$7:$AA$3006,MATCH(260,'CARNET DE SOUDURE'!$AV$7:$AV$3006,0)))</f>
        <v/>
      </c>
      <c r="I271" s="130" t="str">
        <f aca="false">IF($B271="","",INDEX('CARNET DE SOUDURE'!$AB$7:$AB$3006,MATCH(260,'CARNET DE SOUDURE'!$AV$7:$AV$3006,0))&amp;"")</f>
        <v/>
      </c>
      <c r="J271" s="130" t="str">
        <f aca="false">IF($B271="","",INDEX('CARNET DE SOUDURE'!$AC$7:$AC$3006,MATCH(260,'CARNET DE SOUDURE'!$AV$7:$AV$3006,0))&amp;IF(INDEX('CARNET DE SOUDURE'!$AH$7:$AH$3006,MATCH(260,'CARNET DE SOUDURE'!$AV$7:$AV$3006,0))&lt;&gt;""," / "&amp;INDEX('CARNET DE SOUDURE'!$AH$7:$AH$3006,MATCH(260,'CARNET DE SOUDURE'!$AV$7:$AV$3006,0)),""))</f>
        <v/>
      </c>
      <c r="K271" s="130" t="str">
        <f aca="false">IF($B271="","",INDEX('CARNET DE SOUDURE'!$AD$7:$AD$3006,MATCH(260,'CARNET DE SOUDURE'!$AV$7:$AV$3006,0))&amp;IF(INDEX('CARNET DE SOUDURE'!$AI$7:$AI$3006,MATCH(260,'CARNET DE SOUDURE'!$AV$7:$AV$3006,0))&lt;&gt;""," / "&amp;INDEX('CARNET DE SOUDURE'!$AI$7:$AI$3006,MATCH(260,'CARNET DE SOUDURE'!$AV$7:$AV$3006,0)),""))</f>
        <v/>
      </c>
      <c r="L271" s="130" t="str">
        <f aca="false">IF($B271="","",INDEX('CARNET DE SOUDURE'!$AG$7:$AG$3006,MATCH(260,'CARNET DE SOUDURE'!$AV$7:$AV$3006,0))&amp;IF(INDEX('CARNET DE SOUDURE'!$AL$7:$AL$3006,MATCH(260,'CARNET DE SOUDURE'!$AV$7:$AV$3006,0))&lt;&gt;""," / "&amp;INDEX('CARNET DE SOUDURE'!$AL$7:$AL$3006,MATCH(260,'CARNET DE SOUDURE'!$AV$7:$AV$3006,0)),""))</f>
        <v/>
      </c>
      <c r="M271" s="132" t="str">
        <f aca="false">IF($B271="","",INDEX('CARNET DE SOUDURE'!$AP$7:$AP$3006,MATCH(260,'CARNET DE SOUDURE'!$AV$7:$AV$3006,0)))</f>
        <v/>
      </c>
      <c r="N271" s="132" t="str">
        <f aca="false">IF($B271="","",INDEX('CARNET DE SOUDURE'!$AQ$7:$AQ$3006,MATCH(260,'CARNET DE SOUDURE'!$AV$7:$AV$3006,0)))</f>
        <v/>
      </c>
      <c r="O271" s="133" t="str">
        <f aca="false">IF($B271="","",INDEX('CARNET DE SOUDURE'!$AR$7:$AR$3006,MATCH(260,'CARNET DE SOUDURE'!$AV$7:$AV$3006,0)))</f>
        <v/>
      </c>
    </row>
    <row r="272" customFormat="false" ht="15" hidden="false" customHeight="false" outlineLevel="0" collapsed="false">
      <c r="B272" s="125" t="str">
        <f aca="false">IF(261&gt;$I$4,"",261)</f>
        <v/>
      </c>
      <c r="C272" s="125" t="str">
        <f aca="false">IF($B272="","",INDEX('CARNET DE SOUDURE'!$B$7:$B$3006,MATCH(261,'CARNET DE SOUDURE'!$AV$7:$AV$3006,0)))</f>
        <v/>
      </c>
      <c r="D272" s="125" t="str">
        <f aca="false">IF($B272="","",INDEX('CARNET DE SOUDURE'!$E$7:$E$3006,MATCH(261,'CARNET DE SOUDURE'!$AV$7:$AV$3006,0)))</f>
        <v/>
      </c>
      <c r="E272" s="125" t="str">
        <f aca="false">IF($B272="","",INDEX('CARNET DE SOUDURE'!$R$7:$R$3006,MATCH(261,'CARNET DE SOUDURE'!$AV$7:$AV$3006,0))&amp;IF(INDEX('CARNET DE SOUDURE'!$S$7:$S$3006,MATCH(261,'CARNET DE SOUDURE'!$AV$7:$AV$3006,0))&lt;&gt;""," / "&amp;INDEX('CARNET DE SOUDURE'!$S$7:$S$3006,MATCH(261,'CARNET DE SOUDURE'!$AV$7:$AV$3006,0)),"")&amp;IF(INDEX('CARNET DE SOUDURE'!$T$7:$T$3006,MATCH(261,'CARNET DE SOUDURE'!$AV$7:$AV$3006,0))&lt;&gt;""," / "&amp;INDEX('CARNET DE SOUDURE'!$T$7:$T$3006,MATCH(261,'CARNET DE SOUDURE'!$AV$7:$AV$3006,0)),""))</f>
        <v/>
      </c>
      <c r="F272" s="126" t="str">
        <f aca="false">IF($B272="","",INDEX('CARNET DE SOUDURE'!$Y$7:$Y$3006,MATCH(261,'CARNET DE SOUDURE'!$AV$7:$AV$3006,0)))</f>
        <v/>
      </c>
      <c r="G272" s="125" t="str">
        <f aca="false">IF($B272="","",INDEX('CARNET DE SOUDURE'!$Z$7:$Z$3006,MATCH(261,'CARNET DE SOUDURE'!$AV$7:$AV$3006,0))&amp;"")</f>
        <v/>
      </c>
      <c r="H272" s="127" t="str">
        <f aca="false">IF($B272="","",INDEX('CARNET DE SOUDURE'!$AA$7:$AA$3006,MATCH(261,'CARNET DE SOUDURE'!$AV$7:$AV$3006,0)))</f>
        <v/>
      </c>
      <c r="I272" s="125" t="str">
        <f aca="false">IF($B272="","",INDEX('CARNET DE SOUDURE'!$AB$7:$AB$3006,MATCH(261,'CARNET DE SOUDURE'!$AV$7:$AV$3006,0))&amp;"")</f>
        <v/>
      </c>
      <c r="J272" s="125" t="str">
        <f aca="false">IF($B272="","",INDEX('CARNET DE SOUDURE'!$AC$7:$AC$3006,MATCH(261,'CARNET DE SOUDURE'!$AV$7:$AV$3006,0))&amp;IF(INDEX('CARNET DE SOUDURE'!$AH$7:$AH$3006,MATCH(261,'CARNET DE SOUDURE'!$AV$7:$AV$3006,0))&lt;&gt;""," / "&amp;INDEX('CARNET DE SOUDURE'!$AH$7:$AH$3006,MATCH(261,'CARNET DE SOUDURE'!$AV$7:$AV$3006,0)),""))</f>
        <v/>
      </c>
      <c r="K272" s="125" t="str">
        <f aca="false">IF($B272="","",INDEX('CARNET DE SOUDURE'!$AD$7:$AD$3006,MATCH(261,'CARNET DE SOUDURE'!$AV$7:$AV$3006,0))&amp;IF(INDEX('CARNET DE SOUDURE'!$AI$7:$AI$3006,MATCH(261,'CARNET DE SOUDURE'!$AV$7:$AV$3006,0))&lt;&gt;""," / "&amp;INDEX('CARNET DE SOUDURE'!$AI$7:$AI$3006,MATCH(261,'CARNET DE SOUDURE'!$AV$7:$AV$3006,0)),""))</f>
        <v/>
      </c>
      <c r="L272" s="125" t="str">
        <f aca="false">IF($B272="","",INDEX('CARNET DE SOUDURE'!$AG$7:$AG$3006,MATCH(261,'CARNET DE SOUDURE'!$AV$7:$AV$3006,0))&amp;IF(INDEX('CARNET DE SOUDURE'!$AL$7:$AL$3006,MATCH(261,'CARNET DE SOUDURE'!$AV$7:$AV$3006,0))&lt;&gt;""," / "&amp;INDEX('CARNET DE SOUDURE'!$AL$7:$AL$3006,MATCH(261,'CARNET DE SOUDURE'!$AV$7:$AV$3006,0)),""))</f>
        <v/>
      </c>
      <c r="M272" s="127" t="str">
        <f aca="false">IF($B272="","",INDEX('CARNET DE SOUDURE'!$AP$7:$AP$3006,MATCH(261,'CARNET DE SOUDURE'!$AV$7:$AV$3006,0)))</f>
        <v/>
      </c>
      <c r="N272" s="127" t="str">
        <f aca="false">IF($B272="","",INDEX('CARNET DE SOUDURE'!$AQ$7:$AQ$3006,MATCH(261,'CARNET DE SOUDURE'!$AV$7:$AV$3006,0)))</f>
        <v/>
      </c>
      <c r="O272" s="128" t="str">
        <f aca="false">IF($B272="","",INDEX('CARNET DE SOUDURE'!$AR$7:$AR$3006,MATCH(261,'CARNET DE SOUDURE'!$AV$7:$AV$3006,0)))</f>
        <v/>
      </c>
    </row>
    <row r="273" customFormat="false" ht="15" hidden="false" customHeight="false" outlineLevel="0" collapsed="false">
      <c r="B273" s="130" t="str">
        <f aca="false">IF(262&gt;$I$4,"",262)</f>
        <v/>
      </c>
      <c r="C273" s="130" t="str">
        <f aca="false">IF($B273="","",INDEX('CARNET DE SOUDURE'!$B$7:$B$3006,MATCH(262,'CARNET DE SOUDURE'!$AV$7:$AV$3006,0)))</f>
        <v/>
      </c>
      <c r="D273" s="130" t="str">
        <f aca="false">IF($B273="","",INDEX('CARNET DE SOUDURE'!$E$7:$E$3006,MATCH(262,'CARNET DE SOUDURE'!$AV$7:$AV$3006,0)))</f>
        <v/>
      </c>
      <c r="E273" s="130" t="str">
        <f aca="false">IF($B273="","",INDEX('CARNET DE SOUDURE'!$R$7:$R$3006,MATCH(262,'CARNET DE SOUDURE'!$AV$7:$AV$3006,0))&amp;IF(INDEX('CARNET DE SOUDURE'!$S$7:$S$3006,MATCH(262,'CARNET DE SOUDURE'!$AV$7:$AV$3006,0))&lt;&gt;""," / "&amp;INDEX('CARNET DE SOUDURE'!$S$7:$S$3006,MATCH(262,'CARNET DE SOUDURE'!$AV$7:$AV$3006,0)),"")&amp;IF(INDEX('CARNET DE SOUDURE'!$T$7:$T$3006,MATCH(262,'CARNET DE SOUDURE'!$AV$7:$AV$3006,0))&lt;&gt;""," / "&amp;INDEX('CARNET DE SOUDURE'!$T$7:$T$3006,MATCH(262,'CARNET DE SOUDURE'!$AV$7:$AV$3006,0)),""))</f>
        <v/>
      </c>
      <c r="F273" s="131" t="str">
        <f aca="false">IF($B273="","",INDEX('CARNET DE SOUDURE'!$Y$7:$Y$3006,MATCH(262,'CARNET DE SOUDURE'!$AV$7:$AV$3006,0)))</f>
        <v/>
      </c>
      <c r="G273" s="130" t="str">
        <f aca="false">IF($B273="","",INDEX('CARNET DE SOUDURE'!$Z$7:$Z$3006,MATCH(262,'CARNET DE SOUDURE'!$AV$7:$AV$3006,0))&amp;"")</f>
        <v/>
      </c>
      <c r="H273" s="132" t="str">
        <f aca="false">IF($B273="","",INDEX('CARNET DE SOUDURE'!$AA$7:$AA$3006,MATCH(262,'CARNET DE SOUDURE'!$AV$7:$AV$3006,0)))</f>
        <v/>
      </c>
      <c r="I273" s="130" t="str">
        <f aca="false">IF($B273="","",INDEX('CARNET DE SOUDURE'!$AB$7:$AB$3006,MATCH(262,'CARNET DE SOUDURE'!$AV$7:$AV$3006,0))&amp;"")</f>
        <v/>
      </c>
      <c r="J273" s="130" t="str">
        <f aca="false">IF($B273="","",INDEX('CARNET DE SOUDURE'!$AC$7:$AC$3006,MATCH(262,'CARNET DE SOUDURE'!$AV$7:$AV$3006,0))&amp;IF(INDEX('CARNET DE SOUDURE'!$AH$7:$AH$3006,MATCH(262,'CARNET DE SOUDURE'!$AV$7:$AV$3006,0))&lt;&gt;""," / "&amp;INDEX('CARNET DE SOUDURE'!$AH$7:$AH$3006,MATCH(262,'CARNET DE SOUDURE'!$AV$7:$AV$3006,0)),""))</f>
        <v/>
      </c>
      <c r="K273" s="130" t="str">
        <f aca="false">IF($B273="","",INDEX('CARNET DE SOUDURE'!$AD$7:$AD$3006,MATCH(262,'CARNET DE SOUDURE'!$AV$7:$AV$3006,0))&amp;IF(INDEX('CARNET DE SOUDURE'!$AI$7:$AI$3006,MATCH(262,'CARNET DE SOUDURE'!$AV$7:$AV$3006,0))&lt;&gt;""," / "&amp;INDEX('CARNET DE SOUDURE'!$AI$7:$AI$3006,MATCH(262,'CARNET DE SOUDURE'!$AV$7:$AV$3006,0)),""))</f>
        <v/>
      </c>
      <c r="L273" s="130" t="str">
        <f aca="false">IF($B273="","",INDEX('CARNET DE SOUDURE'!$AG$7:$AG$3006,MATCH(262,'CARNET DE SOUDURE'!$AV$7:$AV$3006,0))&amp;IF(INDEX('CARNET DE SOUDURE'!$AL$7:$AL$3006,MATCH(262,'CARNET DE SOUDURE'!$AV$7:$AV$3006,0))&lt;&gt;""," / "&amp;INDEX('CARNET DE SOUDURE'!$AL$7:$AL$3006,MATCH(262,'CARNET DE SOUDURE'!$AV$7:$AV$3006,0)),""))</f>
        <v/>
      </c>
      <c r="M273" s="132" t="str">
        <f aca="false">IF($B273="","",INDEX('CARNET DE SOUDURE'!$AP$7:$AP$3006,MATCH(262,'CARNET DE SOUDURE'!$AV$7:$AV$3006,0)))</f>
        <v/>
      </c>
      <c r="N273" s="132" t="str">
        <f aca="false">IF($B273="","",INDEX('CARNET DE SOUDURE'!$AQ$7:$AQ$3006,MATCH(262,'CARNET DE SOUDURE'!$AV$7:$AV$3006,0)))</f>
        <v/>
      </c>
      <c r="O273" s="133" t="str">
        <f aca="false">IF($B273="","",INDEX('CARNET DE SOUDURE'!$AR$7:$AR$3006,MATCH(262,'CARNET DE SOUDURE'!$AV$7:$AV$3006,0)))</f>
        <v/>
      </c>
    </row>
    <row r="274" customFormat="false" ht="15" hidden="false" customHeight="false" outlineLevel="0" collapsed="false">
      <c r="B274" s="125" t="str">
        <f aca="false">IF(263&gt;$I$4,"",263)</f>
        <v/>
      </c>
      <c r="C274" s="125" t="str">
        <f aca="false">IF($B274="","",INDEX('CARNET DE SOUDURE'!$B$7:$B$3006,MATCH(263,'CARNET DE SOUDURE'!$AV$7:$AV$3006,0)))</f>
        <v/>
      </c>
      <c r="D274" s="125" t="str">
        <f aca="false">IF($B274="","",INDEX('CARNET DE SOUDURE'!$E$7:$E$3006,MATCH(263,'CARNET DE SOUDURE'!$AV$7:$AV$3006,0)))</f>
        <v/>
      </c>
      <c r="E274" s="125" t="str">
        <f aca="false">IF($B274="","",INDEX('CARNET DE SOUDURE'!$R$7:$R$3006,MATCH(263,'CARNET DE SOUDURE'!$AV$7:$AV$3006,0))&amp;IF(INDEX('CARNET DE SOUDURE'!$S$7:$S$3006,MATCH(263,'CARNET DE SOUDURE'!$AV$7:$AV$3006,0))&lt;&gt;""," / "&amp;INDEX('CARNET DE SOUDURE'!$S$7:$S$3006,MATCH(263,'CARNET DE SOUDURE'!$AV$7:$AV$3006,0)),"")&amp;IF(INDEX('CARNET DE SOUDURE'!$T$7:$T$3006,MATCH(263,'CARNET DE SOUDURE'!$AV$7:$AV$3006,0))&lt;&gt;""," / "&amp;INDEX('CARNET DE SOUDURE'!$T$7:$T$3006,MATCH(263,'CARNET DE SOUDURE'!$AV$7:$AV$3006,0)),""))</f>
        <v/>
      </c>
      <c r="F274" s="126" t="str">
        <f aca="false">IF($B274="","",INDEX('CARNET DE SOUDURE'!$Y$7:$Y$3006,MATCH(263,'CARNET DE SOUDURE'!$AV$7:$AV$3006,0)))</f>
        <v/>
      </c>
      <c r="G274" s="125" t="str">
        <f aca="false">IF($B274="","",INDEX('CARNET DE SOUDURE'!$Z$7:$Z$3006,MATCH(263,'CARNET DE SOUDURE'!$AV$7:$AV$3006,0))&amp;"")</f>
        <v/>
      </c>
      <c r="H274" s="127" t="str">
        <f aca="false">IF($B274="","",INDEX('CARNET DE SOUDURE'!$AA$7:$AA$3006,MATCH(263,'CARNET DE SOUDURE'!$AV$7:$AV$3006,0)))</f>
        <v/>
      </c>
      <c r="I274" s="125" t="str">
        <f aca="false">IF($B274="","",INDEX('CARNET DE SOUDURE'!$AB$7:$AB$3006,MATCH(263,'CARNET DE SOUDURE'!$AV$7:$AV$3006,0))&amp;"")</f>
        <v/>
      </c>
      <c r="J274" s="125" t="str">
        <f aca="false">IF($B274="","",INDEX('CARNET DE SOUDURE'!$AC$7:$AC$3006,MATCH(263,'CARNET DE SOUDURE'!$AV$7:$AV$3006,0))&amp;IF(INDEX('CARNET DE SOUDURE'!$AH$7:$AH$3006,MATCH(263,'CARNET DE SOUDURE'!$AV$7:$AV$3006,0))&lt;&gt;""," / "&amp;INDEX('CARNET DE SOUDURE'!$AH$7:$AH$3006,MATCH(263,'CARNET DE SOUDURE'!$AV$7:$AV$3006,0)),""))</f>
        <v/>
      </c>
      <c r="K274" s="125" t="str">
        <f aca="false">IF($B274="","",INDEX('CARNET DE SOUDURE'!$AD$7:$AD$3006,MATCH(263,'CARNET DE SOUDURE'!$AV$7:$AV$3006,0))&amp;IF(INDEX('CARNET DE SOUDURE'!$AI$7:$AI$3006,MATCH(263,'CARNET DE SOUDURE'!$AV$7:$AV$3006,0))&lt;&gt;""," / "&amp;INDEX('CARNET DE SOUDURE'!$AI$7:$AI$3006,MATCH(263,'CARNET DE SOUDURE'!$AV$7:$AV$3006,0)),""))</f>
        <v/>
      </c>
      <c r="L274" s="125" t="str">
        <f aca="false">IF($B274="","",INDEX('CARNET DE SOUDURE'!$AG$7:$AG$3006,MATCH(263,'CARNET DE SOUDURE'!$AV$7:$AV$3006,0))&amp;IF(INDEX('CARNET DE SOUDURE'!$AL$7:$AL$3006,MATCH(263,'CARNET DE SOUDURE'!$AV$7:$AV$3006,0))&lt;&gt;""," / "&amp;INDEX('CARNET DE SOUDURE'!$AL$7:$AL$3006,MATCH(263,'CARNET DE SOUDURE'!$AV$7:$AV$3006,0)),""))</f>
        <v/>
      </c>
      <c r="M274" s="127" t="str">
        <f aca="false">IF($B274="","",INDEX('CARNET DE SOUDURE'!$AP$7:$AP$3006,MATCH(263,'CARNET DE SOUDURE'!$AV$7:$AV$3006,0)))</f>
        <v/>
      </c>
      <c r="N274" s="127" t="str">
        <f aca="false">IF($B274="","",INDEX('CARNET DE SOUDURE'!$AQ$7:$AQ$3006,MATCH(263,'CARNET DE SOUDURE'!$AV$7:$AV$3006,0)))</f>
        <v/>
      </c>
      <c r="O274" s="128" t="str">
        <f aca="false">IF($B274="","",INDEX('CARNET DE SOUDURE'!$AR$7:$AR$3006,MATCH(263,'CARNET DE SOUDURE'!$AV$7:$AV$3006,0)))</f>
        <v/>
      </c>
    </row>
    <row r="275" customFormat="false" ht="15" hidden="false" customHeight="false" outlineLevel="0" collapsed="false">
      <c r="B275" s="130" t="str">
        <f aca="false">IF(264&gt;$I$4,"",264)</f>
        <v/>
      </c>
      <c r="C275" s="130" t="str">
        <f aca="false">IF($B275="","",INDEX('CARNET DE SOUDURE'!$B$7:$B$3006,MATCH(264,'CARNET DE SOUDURE'!$AV$7:$AV$3006,0)))</f>
        <v/>
      </c>
      <c r="D275" s="130" t="str">
        <f aca="false">IF($B275="","",INDEX('CARNET DE SOUDURE'!$E$7:$E$3006,MATCH(264,'CARNET DE SOUDURE'!$AV$7:$AV$3006,0)))</f>
        <v/>
      </c>
      <c r="E275" s="130" t="str">
        <f aca="false">IF($B275="","",INDEX('CARNET DE SOUDURE'!$R$7:$R$3006,MATCH(264,'CARNET DE SOUDURE'!$AV$7:$AV$3006,0))&amp;IF(INDEX('CARNET DE SOUDURE'!$S$7:$S$3006,MATCH(264,'CARNET DE SOUDURE'!$AV$7:$AV$3006,0))&lt;&gt;""," / "&amp;INDEX('CARNET DE SOUDURE'!$S$7:$S$3006,MATCH(264,'CARNET DE SOUDURE'!$AV$7:$AV$3006,0)),"")&amp;IF(INDEX('CARNET DE SOUDURE'!$T$7:$T$3006,MATCH(264,'CARNET DE SOUDURE'!$AV$7:$AV$3006,0))&lt;&gt;""," / "&amp;INDEX('CARNET DE SOUDURE'!$T$7:$T$3006,MATCH(264,'CARNET DE SOUDURE'!$AV$7:$AV$3006,0)),""))</f>
        <v/>
      </c>
      <c r="F275" s="131" t="str">
        <f aca="false">IF($B275="","",INDEX('CARNET DE SOUDURE'!$Y$7:$Y$3006,MATCH(264,'CARNET DE SOUDURE'!$AV$7:$AV$3006,0)))</f>
        <v/>
      </c>
      <c r="G275" s="130" t="str">
        <f aca="false">IF($B275="","",INDEX('CARNET DE SOUDURE'!$Z$7:$Z$3006,MATCH(264,'CARNET DE SOUDURE'!$AV$7:$AV$3006,0))&amp;"")</f>
        <v/>
      </c>
      <c r="H275" s="132" t="str">
        <f aca="false">IF($B275="","",INDEX('CARNET DE SOUDURE'!$AA$7:$AA$3006,MATCH(264,'CARNET DE SOUDURE'!$AV$7:$AV$3006,0)))</f>
        <v/>
      </c>
      <c r="I275" s="130" t="str">
        <f aca="false">IF($B275="","",INDEX('CARNET DE SOUDURE'!$AB$7:$AB$3006,MATCH(264,'CARNET DE SOUDURE'!$AV$7:$AV$3006,0))&amp;"")</f>
        <v/>
      </c>
      <c r="J275" s="130" t="str">
        <f aca="false">IF($B275="","",INDEX('CARNET DE SOUDURE'!$AC$7:$AC$3006,MATCH(264,'CARNET DE SOUDURE'!$AV$7:$AV$3006,0))&amp;IF(INDEX('CARNET DE SOUDURE'!$AH$7:$AH$3006,MATCH(264,'CARNET DE SOUDURE'!$AV$7:$AV$3006,0))&lt;&gt;""," / "&amp;INDEX('CARNET DE SOUDURE'!$AH$7:$AH$3006,MATCH(264,'CARNET DE SOUDURE'!$AV$7:$AV$3006,0)),""))</f>
        <v/>
      </c>
      <c r="K275" s="130" t="str">
        <f aca="false">IF($B275="","",INDEX('CARNET DE SOUDURE'!$AD$7:$AD$3006,MATCH(264,'CARNET DE SOUDURE'!$AV$7:$AV$3006,0))&amp;IF(INDEX('CARNET DE SOUDURE'!$AI$7:$AI$3006,MATCH(264,'CARNET DE SOUDURE'!$AV$7:$AV$3006,0))&lt;&gt;""," / "&amp;INDEX('CARNET DE SOUDURE'!$AI$7:$AI$3006,MATCH(264,'CARNET DE SOUDURE'!$AV$7:$AV$3006,0)),""))</f>
        <v/>
      </c>
      <c r="L275" s="130" t="str">
        <f aca="false">IF($B275="","",INDEX('CARNET DE SOUDURE'!$AG$7:$AG$3006,MATCH(264,'CARNET DE SOUDURE'!$AV$7:$AV$3006,0))&amp;IF(INDEX('CARNET DE SOUDURE'!$AL$7:$AL$3006,MATCH(264,'CARNET DE SOUDURE'!$AV$7:$AV$3006,0))&lt;&gt;""," / "&amp;INDEX('CARNET DE SOUDURE'!$AL$7:$AL$3006,MATCH(264,'CARNET DE SOUDURE'!$AV$7:$AV$3006,0)),""))</f>
        <v/>
      </c>
      <c r="M275" s="132" t="str">
        <f aca="false">IF($B275="","",INDEX('CARNET DE SOUDURE'!$AP$7:$AP$3006,MATCH(264,'CARNET DE SOUDURE'!$AV$7:$AV$3006,0)))</f>
        <v/>
      </c>
      <c r="N275" s="132" t="str">
        <f aca="false">IF($B275="","",INDEX('CARNET DE SOUDURE'!$AQ$7:$AQ$3006,MATCH(264,'CARNET DE SOUDURE'!$AV$7:$AV$3006,0)))</f>
        <v/>
      </c>
      <c r="O275" s="133" t="str">
        <f aca="false">IF($B275="","",INDEX('CARNET DE SOUDURE'!$AR$7:$AR$3006,MATCH(264,'CARNET DE SOUDURE'!$AV$7:$AV$3006,0)))</f>
        <v/>
      </c>
    </row>
    <row r="276" customFormat="false" ht="15" hidden="false" customHeight="false" outlineLevel="0" collapsed="false">
      <c r="B276" s="125" t="str">
        <f aca="false">IF(265&gt;$I$4,"",265)</f>
        <v/>
      </c>
      <c r="C276" s="125" t="str">
        <f aca="false">IF($B276="","",INDEX('CARNET DE SOUDURE'!$B$7:$B$3006,MATCH(265,'CARNET DE SOUDURE'!$AV$7:$AV$3006,0)))</f>
        <v/>
      </c>
      <c r="D276" s="125" t="str">
        <f aca="false">IF($B276="","",INDEX('CARNET DE SOUDURE'!$E$7:$E$3006,MATCH(265,'CARNET DE SOUDURE'!$AV$7:$AV$3006,0)))</f>
        <v/>
      </c>
      <c r="E276" s="125" t="str">
        <f aca="false">IF($B276="","",INDEX('CARNET DE SOUDURE'!$R$7:$R$3006,MATCH(265,'CARNET DE SOUDURE'!$AV$7:$AV$3006,0))&amp;IF(INDEX('CARNET DE SOUDURE'!$S$7:$S$3006,MATCH(265,'CARNET DE SOUDURE'!$AV$7:$AV$3006,0))&lt;&gt;""," / "&amp;INDEX('CARNET DE SOUDURE'!$S$7:$S$3006,MATCH(265,'CARNET DE SOUDURE'!$AV$7:$AV$3006,0)),"")&amp;IF(INDEX('CARNET DE SOUDURE'!$T$7:$T$3006,MATCH(265,'CARNET DE SOUDURE'!$AV$7:$AV$3006,0))&lt;&gt;""," / "&amp;INDEX('CARNET DE SOUDURE'!$T$7:$T$3006,MATCH(265,'CARNET DE SOUDURE'!$AV$7:$AV$3006,0)),""))</f>
        <v/>
      </c>
      <c r="F276" s="126" t="str">
        <f aca="false">IF($B276="","",INDEX('CARNET DE SOUDURE'!$Y$7:$Y$3006,MATCH(265,'CARNET DE SOUDURE'!$AV$7:$AV$3006,0)))</f>
        <v/>
      </c>
      <c r="G276" s="125" t="str">
        <f aca="false">IF($B276="","",INDEX('CARNET DE SOUDURE'!$Z$7:$Z$3006,MATCH(265,'CARNET DE SOUDURE'!$AV$7:$AV$3006,0))&amp;"")</f>
        <v/>
      </c>
      <c r="H276" s="127" t="str">
        <f aca="false">IF($B276="","",INDEX('CARNET DE SOUDURE'!$AA$7:$AA$3006,MATCH(265,'CARNET DE SOUDURE'!$AV$7:$AV$3006,0)))</f>
        <v/>
      </c>
      <c r="I276" s="125" t="str">
        <f aca="false">IF($B276="","",INDEX('CARNET DE SOUDURE'!$AB$7:$AB$3006,MATCH(265,'CARNET DE SOUDURE'!$AV$7:$AV$3006,0))&amp;"")</f>
        <v/>
      </c>
      <c r="J276" s="125" t="str">
        <f aca="false">IF($B276="","",INDEX('CARNET DE SOUDURE'!$AC$7:$AC$3006,MATCH(265,'CARNET DE SOUDURE'!$AV$7:$AV$3006,0))&amp;IF(INDEX('CARNET DE SOUDURE'!$AH$7:$AH$3006,MATCH(265,'CARNET DE SOUDURE'!$AV$7:$AV$3006,0))&lt;&gt;""," / "&amp;INDEX('CARNET DE SOUDURE'!$AH$7:$AH$3006,MATCH(265,'CARNET DE SOUDURE'!$AV$7:$AV$3006,0)),""))</f>
        <v/>
      </c>
      <c r="K276" s="125" t="str">
        <f aca="false">IF($B276="","",INDEX('CARNET DE SOUDURE'!$AD$7:$AD$3006,MATCH(265,'CARNET DE SOUDURE'!$AV$7:$AV$3006,0))&amp;IF(INDEX('CARNET DE SOUDURE'!$AI$7:$AI$3006,MATCH(265,'CARNET DE SOUDURE'!$AV$7:$AV$3006,0))&lt;&gt;""," / "&amp;INDEX('CARNET DE SOUDURE'!$AI$7:$AI$3006,MATCH(265,'CARNET DE SOUDURE'!$AV$7:$AV$3006,0)),""))</f>
        <v/>
      </c>
      <c r="L276" s="125" t="str">
        <f aca="false">IF($B276="","",INDEX('CARNET DE SOUDURE'!$AG$7:$AG$3006,MATCH(265,'CARNET DE SOUDURE'!$AV$7:$AV$3006,0))&amp;IF(INDEX('CARNET DE SOUDURE'!$AL$7:$AL$3006,MATCH(265,'CARNET DE SOUDURE'!$AV$7:$AV$3006,0))&lt;&gt;""," / "&amp;INDEX('CARNET DE SOUDURE'!$AL$7:$AL$3006,MATCH(265,'CARNET DE SOUDURE'!$AV$7:$AV$3006,0)),""))</f>
        <v/>
      </c>
      <c r="M276" s="127" t="str">
        <f aca="false">IF($B276="","",INDEX('CARNET DE SOUDURE'!$AP$7:$AP$3006,MATCH(265,'CARNET DE SOUDURE'!$AV$7:$AV$3006,0)))</f>
        <v/>
      </c>
      <c r="N276" s="127" t="str">
        <f aca="false">IF($B276="","",INDEX('CARNET DE SOUDURE'!$AQ$7:$AQ$3006,MATCH(265,'CARNET DE SOUDURE'!$AV$7:$AV$3006,0)))</f>
        <v/>
      </c>
      <c r="O276" s="128" t="str">
        <f aca="false">IF($B276="","",INDEX('CARNET DE SOUDURE'!$AR$7:$AR$3006,MATCH(265,'CARNET DE SOUDURE'!$AV$7:$AV$3006,0)))</f>
        <v/>
      </c>
    </row>
    <row r="277" customFormat="false" ht="15" hidden="false" customHeight="false" outlineLevel="0" collapsed="false">
      <c r="B277" s="130" t="str">
        <f aca="false">IF(266&gt;$I$4,"",266)</f>
        <v/>
      </c>
      <c r="C277" s="130" t="str">
        <f aca="false">IF($B277="","",INDEX('CARNET DE SOUDURE'!$B$7:$B$3006,MATCH(266,'CARNET DE SOUDURE'!$AV$7:$AV$3006,0)))</f>
        <v/>
      </c>
      <c r="D277" s="130" t="str">
        <f aca="false">IF($B277="","",INDEX('CARNET DE SOUDURE'!$E$7:$E$3006,MATCH(266,'CARNET DE SOUDURE'!$AV$7:$AV$3006,0)))</f>
        <v/>
      </c>
      <c r="E277" s="130" t="str">
        <f aca="false">IF($B277="","",INDEX('CARNET DE SOUDURE'!$R$7:$R$3006,MATCH(266,'CARNET DE SOUDURE'!$AV$7:$AV$3006,0))&amp;IF(INDEX('CARNET DE SOUDURE'!$S$7:$S$3006,MATCH(266,'CARNET DE SOUDURE'!$AV$7:$AV$3006,0))&lt;&gt;""," / "&amp;INDEX('CARNET DE SOUDURE'!$S$7:$S$3006,MATCH(266,'CARNET DE SOUDURE'!$AV$7:$AV$3006,0)),"")&amp;IF(INDEX('CARNET DE SOUDURE'!$T$7:$T$3006,MATCH(266,'CARNET DE SOUDURE'!$AV$7:$AV$3006,0))&lt;&gt;""," / "&amp;INDEX('CARNET DE SOUDURE'!$T$7:$T$3006,MATCH(266,'CARNET DE SOUDURE'!$AV$7:$AV$3006,0)),""))</f>
        <v/>
      </c>
      <c r="F277" s="131" t="str">
        <f aca="false">IF($B277="","",INDEX('CARNET DE SOUDURE'!$Y$7:$Y$3006,MATCH(266,'CARNET DE SOUDURE'!$AV$7:$AV$3006,0)))</f>
        <v/>
      </c>
      <c r="G277" s="130" t="str">
        <f aca="false">IF($B277="","",INDEX('CARNET DE SOUDURE'!$Z$7:$Z$3006,MATCH(266,'CARNET DE SOUDURE'!$AV$7:$AV$3006,0))&amp;"")</f>
        <v/>
      </c>
      <c r="H277" s="132" t="str">
        <f aca="false">IF($B277="","",INDEX('CARNET DE SOUDURE'!$AA$7:$AA$3006,MATCH(266,'CARNET DE SOUDURE'!$AV$7:$AV$3006,0)))</f>
        <v/>
      </c>
      <c r="I277" s="130" t="str">
        <f aca="false">IF($B277="","",INDEX('CARNET DE SOUDURE'!$AB$7:$AB$3006,MATCH(266,'CARNET DE SOUDURE'!$AV$7:$AV$3006,0))&amp;"")</f>
        <v/>
      </c>
      <c r="J277" s="130" t="str">
        <f aca="false">IF($B277="","",INDEX('CARNET DE SOUDURE'!$AC$7:$AC$3006,MATCH(266,'CARNET DE SOUDURE'!$AV$7:$AV$3006,0))&amp;IF(INDEX('CARNET DE SOUDURE'!$AH$7:$AH$3006,MATCH(266,'CARNET DE SOUDURE'!$AV$7:$AV$3006,0))&lt;&gt;""," / "&amp;INDEX('CARNET DE SOUDURE'!$AH$7:$AH$3006,MATCH(266,'CARNET DE SOUDURE'!$AV$7:$AV$3006,0)),""))</f>
        <v/>
      </c>
      <c r="K277" s="130" t="str">
        <f aca="false">IF($B277="","",INDEX('CARNET DE SOUDURE'!$AD$7:$AD$3006,MATCH(266,'CARNET DE SOUDURE'!$AV$7:$AV$3006,0))&amp;IF(INDEX('CARNET DE SOUDURE'!$AI$7:$AI$3006,MATCH(266,'CARNET DE SOUDURE'!$AV$7:$AV$3006,0))&lt;&gt;""," / "&amp;INDEX('CARNET DE SOUDURE'!$AI$7:$AI$3006,MATCH(266,'CARNET DE SOUDURE'!$AV$7:$AV$3006,0)),""))</f>
        <v/>
      </c>
      <c r="L277" s="130" t="str">
        <f aca="false">IF($B277="","",INDEX('CARNET DE SOUDURE'!$AG$7:$AG$3006,MATCH(266,'CARNET DE SOUDURE'!$AV$7:$AV$3006,0))&amp;IF(INDEX('CARNET DE SOUDURE'!$AL$7:$AL$3006,MATCH(266,'CARNET DE SOUDURE'!$AV$7:$AV$3006,0))&lt;&gt;""," / "&amp;INDEX('CARNET DE SOUDURE'!$AL$7:$AL$3006,MATCH(266,'CARNET DE SOUDURE'!$AV$7:$AV$3006,0)),""))</f>
        <v/>
      </c>
      <c r="M277" s="132" t="str">
        <f aca="false">IF($B277="","",INDEX('CARNET DE SOUDURE'!$AP$7:$AP$3006,MATCH(266,'CARNET DE SOUDURE'!$AV$7:$AV$3006,0)))</f>
        <v/>
      </c>
      <c r="N277" s="132" t="str">
        <f aca="false">IF($B277="","",INDEX('CARNET DE SOUDURE'!$AQ$7:$AQ$3006,MATCH(266,'CARNET DE SOUDURE'!$AV$7:$AV$3006,0)))</f>
        <v/>
      </c>
      <c r="O277" s="133" t="str">
        <f aca="false">IF($B277="","",INDEX('CARNET DE SOUDURE'!$AR$7:$AR$3006,MATCH(266,'CARNET DE SOUDURE'!$AV$7:$AV$3006,0)))</f>
        <v/>
      </c>
    </row>
    <row r="278" customFormat="false" ht="15" hidden="false" customHeight="false" outlineLevel="0" collapsed="false">
      <c r="B278" s="125" t="str">
        <f aca="false">IF(267&gt;$I$4,"",267)</f>
        <v/>
      </c>
      <c r="C278" s="125" t="str">
        <f aca="false">IF($B278="","",INDEX('CARNET DE SOUDURE'!$B$7:$B$3006,MATCH(267,'CARNET DE SOUDURE'!$AV$7:$AV$3006,0)))</f>
        <v/>
      </c>
      <c r="D278" s="125" t="str">
        <f aca="false">IF($B278="","",INDEX('CARNET DE SOUDURE'!$E$7:$E$3006,MATCH(267,'CARNET DE SOUDURE'!$AV$7:$AV$3006,0)))</f>
        <v/>
      </c>
      <c r="E278" s="125" t="str">
        <f aca="false">IF($B278="","",INDEX('CARNET DE SOUDURE'!$R$7:$R$3006,MATCH(267,'CARNET DE SOUDURE'!$AV$7:$AV$3006,0))&amp;IF(INDEX('CARNET DE SOUDURE'!$S$7:$S$3006,MATCH(267,'CARNET DE SOUDURE'!$AV$7:$AV$3006,0))&lt;&gt;""," / "&amp;INDEX('CARNET DE SOUDURE'!$S$7:$S$3006,MATCH(267,'CARNET DE SOUDURE'!$AV$7:$AV$3006,0)),"")&amp;IF(INDEX('CARNET DE SOUDURE'!$T$7:$T$3006,MATCH(267,'CARNET DE SOUDURE'!$AV$7:$AV$3006,0))&lt;&gt;""," / "&amp;INDEX('CARNET DE SOUDURE'!$T$7:$T$3006,MATCH(267,'CARNET DE SOUDURE'!$AV$7:$AV$3006,0)),""))</f>
        <v/>
      </c>
      <c r="F278" s="126" t="str">
        <f aca="false">IF($B278="","",INDEX('CARNET DE SOUDURE'!$Y$7:$Y$3006,MATCH(267,'CARNET DE SOUDURE'!$AV$7:$AV$3006,0)))</f>
        <v/>
      </c>
      <c r="G278" s="125" t="str">
        <f aca="false">IF($B278="","",INDEX('CARNET DE SOUDURE'!$Z$7:$Z$3006,MATCH(267,'CARNET DE SOUDURE'!$AV$7:$AV$3006,0))&amp;"")</f>
        <v/>
      </c>
      <c r="H278" s="127" t="str">
        <f aca="false">IF($B278="","",INDEX('CARNET DE SOUDURE'!$AA$7:$AA$3006,MATCH(267,'CARNET DE SOUDURE'!$AV$7:$AV$3006,0)))</f>
        <v/>
      </c>
      <c r="I278" s="125" t="str">
        <f aca="false">IF($B278="","",INDEX('CARNET DE SOUDURE'!$AB$7:$AB$3006,MATCH(267,'CARNET DE SOUDURE'!$AV$7:$AV$3006,0))&amp;"")</f>
        <v/>
      </c>
      <c r="J278" s="125" t="str">
        <f aca="false">IF($B278="","",INDEX('CARNET DE SOUDURE'!$AC$7:$AC$3006,MATCH(267,'CARNET DE SOUDURE'!$AV$7:$AV$3006,0))&amp;IF(INDEX('CARNET DE SOUDURE'!$AH$7:$AH$3006,MATCH(267,'CARNET DE SOUDURE'!$AV$7:$AV$3006,0))&lt;&gt;""," / "&amp;INDEX('CARNET DE SOUDURE'!$AH$7:$AH$3006,MATCH(267,'CARNET DE SOUDURE'!$AV$7:$AV$3006,0)),""))</f>
        <v/>
      </c>
      <c r="K278" s="125" t="str">
        <f aca="false">IF($B278="","",INDEX('CARNET DE SOUDURE'!$AD$7:$AD$3006,MATCH(267,'CARNET DE SOUDURE'!$AV$7:$AV$3006,0))&amp;IF(INDEX('CARNET DE SOUDURE'!$AI$7:$AI$3006,MATCH(267,'CARNET DE SOUDURE'!$AV$7:$AV$3006,0))&lt;&gt;""," / "&amp;INDEX('CARNET DE SOUDURE'!$AI$7:$AI$3006,MATCH(267,'CARNET DE SOUDURE'!$AV$7:$AV$3006,0)),""))</f>
        <v/>
      </c>
      <c r="L278" s="125" t="str">
        <f aca="false">IF($B278="","",INDEX('CARNET DE SOUDURE'!$AG$7:$AG$3006,MATCH(267,'CARNET DE SOUDURE'!$AV$7:$AV$3006,0))&amp;IF(INDEX('CARNET DE SOUDURE'!$AL$7:$AL$3006,MATCH(267,'CARNET DE SOUDURE'!$AV$7:$AV$3006,0))&lt;&gt;""," / "&amp;INDEX('CARNET DE SOUDURE'!$AL$7:$AL$3006,MATCH(267,'CARNET DE SOUDURE'!$AV$7:$AV$3006,0)),""))</f>
        <v/>
      </c>
      <c r="M278" s="127" t="str">
        <f aca="false">IF($B278="","",INDEX('CARNET DE SOUDURE'!$AP$7:$AP$3006,MATCH(267,'CARNET DE SOUDURE'!$AV$7:$AV$3006,0)))</f>
        <v/>
      </c>
      <c r="N278" s="127" t="str">
        <f aca="false">IF($B278="","",INDEX('CARNET DE SOUDURE'!$AQ$7:$AQ$3006,MATCH(267,'CARNET DE SOUDURE'!$AV$7:$AV$3006,0)))</f>
        <v/>
      </c>
      <c r="O278" s="128" t="str">
        <f aca="false">IF($B278="","",INDEX('CARNET DE SOUDURE'!$AR$7:$AR$3006,MATCH(267,'CARNET DE SOUDURE'!$AV$7:$AV$3006,0)))</f>
        <v/>
      </c>
    </row>
    <row r="279" customFormat="false" ht="15" hidden="false" customHeight="false" outlineLevel="0" collapsed="false">
      <c r="B279" s="130" t="str">
        <f aca="false">IF(268&gt;$I$4,"",268)</f>
        <v/>
      </c>
      <c r="C279" s="130" t="str">
        <f aca="false">IF($B279="","",INDEX('CARNET DE SOUDURE'!$B$7:$B$3006,MATCH(268,'CARNET DE SOUDURE'!$AV$7:$AV$3006,0)))</f>
        <v/>
      </c>
      <c r="D279" s="130" t="str">
        <f aca="false">IF($B279="","",INDEX('CARNET DE SOUDURE'!$E$7:$E$3006,MATCH(268,'CARNET DE SOUDURE'!$AV$7:$AV$3006,0)))</f>
        <v/>
      </c>
      <c r="E279" s="130" t="str">
        <f aca="false">IF($B279="","",INDEX('CARNET DE SOUDURE'!$R$7:$R$3006,MATCH(268,'CARNET DE SOUDURE'!$AV$7:$AV$3006,0))&amp;IF(INDEX('CARNET DE SOUDURE'!$S$7:$S$3006,MATCH(268,'CARNET DE SOUDURE'!$AV$7:$AV$3006,0))&lt;&gt;""," / "&amp;INDEX('CARNET DE SOUDURE'!$S$7:$S$3006,MATCH(268,'CARNET DE SOUDURE'!$AV$7:$AV$3006,0)),"")&amp;IF(INDEX('CARNET DE SOUDURE'!$T$7:$T$3006,MATCH(268,'CARNET DE SOUDURE'!$AV$7:$AV$3006,0))&lt;&gt;""," / "&amp;INDEX('CARNET DE SOUDURE'!$T$7:$T$3006,MATCH(268,'CARNET DE SOUDURE'!$AV$7:$AV$3006,0)),""))</f>
        <v/>
      </c>
      <c r="F279" s="131" t="str">
        <f aca="false">IF($B279="","",INDEX('CARNET DE SOUDURE'!$Y$7:$Y$3006,MATCH(268,'CARNET DE SOUDURE'!$AV$7:$AV$3006,0)))</f>
        <v/>
      </c>
      <c r="G279" s="130" t="str">
        <f aca="false">IF($B279="","",INDEX('CARNET DE SOUDURE'!$Z$7:$Z$3006,MATCH(268,'CARNET DE SOUDURE'!$AV$7:$AV$3006,0))&amp;"")</f>
        <v/>
      </c>
      <c r="H279" s="132" t="str">
        <f aca="false">IF($B279="","",INDEX('CARNET DE SOUDURE'!$AA$7:$AA$3006,MATCH(268,'CARNET DE SOUDURE'!$AV$7:$AV$3006,0)))</f>
        <v/>
      </c>
      <c r="I279" s="130" t="str">
        <f aca="false">IF($B279="","",INDEX('CARNET DE SOUDURE'!$AB$7:$AB$3006,MATCH(268,'CARNET DE SOUDURE'!$AV$7:$AV$3006,0))&amp;"")</f>
        <v/>
      </c>
      <c r="J279" s="130" t="str">
        <f aca="false">IF($B279="","",INDEX('CARNET DE SOUDURE'!$AC$7:$AC$3006,MATCH(268,'CARNET DE SOUDURE'!$AV$7:$AV$3006,0))&amp;IF(INDEX('CARNET DE SOUDURE'!$AH$7:$AH$3006,MATCH(268,'CARNET DE SOUDURE'!$AV$7:$AV$3006,0))&lt;&gt;""," / "&amp;INDEX('CARNET DE SOUDURE'!$AH$7:$AH$3006,MATCH(268,'CARNET DE SOUDURE'!$AV$7:$AV$3006,0)),""))</f>
        <v/>
      </c>
      <c r="K279" s="130" t="str">
        <f aca="false">IF($B279="","",INDEX('CARNET DE SOUDURE'!$AD$7:$AD$3006,MATCH(268,'CARNET DE SOUDURE'!$AV$7:$AV$3006,0))&amp;IF(INDEX('CARNET DE SOUDURE'!$AI$7:$AI$3006,MATCH(268,'CARNET DE SOUDURE'!$AV$7:$AV$3006,0))&lt;&gt;""," / "&amp;INDEX('CARNET DE SOUDURE'!$AI$7:$AI$3006,MATCH(268,'CARNET DE SOUDURE'!$AV$7:$AV$3006,0)),""))</f>
        <v/>
      </c>
      <c r="L279" s="130" t="str">
        <f aca="false">IF($B279="","",INDEX('CARNET DE SOUDURE'!$AG$7:$AG$3006,MATCH(268,'CARNET DE SOUDURE'!$AV$7:$AV$3006,0))&amp;IF(INDEX('CARNET DE SOUDURE'!$AL$7:$AL$3006,MATCH(268,'CARNET DE SOUDURE'!$AV$7:$AV$3006,0))&lt;&gt;""," / "&amp;INDEX('CARNET DE SOUDURE'!$AL$7:$AL$3006,MATCH(268,'CARNET DE SOUDURE'!$AV$7:$AV$3006,0)),""))</f>
        <v/>
      </c>
      <c r="M279" s="132" t="str">
        <f aca="false">IF($B279="","",INDEX('CARNET DE SOUDURE'!$AP$7:$AP$3006,MATCH(268,'CARNET DE SOUDURE'!$AV$7:$AV$3006,0)))</f>
        <v/>
      </c>
      <c r="N279" s="132" t="str">
        <f aca="false">IF($B279="","",INDEX('CARNET DE SOUDURE'!$AQ$7:$AQ$3006,MATCH(268,'CARNET DE SOUDURE'!$AV$7:$AV$3006,0)))</f>
        <v/>
      </c>
      <c r="O279" s="133" t="str">
        <f aca="false">IF($B279="","",INDEX('CARNET DE SOUDURE'!$AR$7:$AR$3006,MATCH(268,'CARNET DE SOUDURE'!$AV$7:$AV$3006,0)))</f>
        <v/>
      </c>
    </row>
    <row r="280" customFormat="false" ht="15" hidden="false" customHeight="false" outlineLevel="0" collapsed="false">
      <c r="B280" s="125" t="str">
        <f aca="false">IF(269&gt;$I$4,"",269)</f>
        <v/>
      </c>
      <c r="C280" s="125" t="str">
        <f aca="false">IF($B280="","",INDEX('CARNET DE SOUDURE'!$B$7:$B$3006,MATCH(269,'CARNET DE SOUDURE'!$AV$7:$AV$3006,0)))</f>
        <v/>
      </c>
      <c r="D280" s="125" t="str">
        <f aca="false">IF($B280="","",INDEX('CARNET DE SOUDURE'!$E$7:$E$3006,MATCH(269,'CARNET DE SOUDURE'!$AV$7:$AV$3006,0)))</f>
        <v/>
      </c>
      <c r="E280" s="125" t="str">
        <f aca="false">IF($B280="","",INDEX('CARNET DE SOUDURE'!$R$7:$R$3006,MATCH(269,'CARNET DE SOUDURE'!$AV$7:$AV$3006,0))&amp;IF(INDEX('CARNET DE SOUDURE'!$S$7:$S$3006,MATCH(269,'CARNET DE SOUDURE'!$AV$7:$AV$3006,0))&lt;&gt;""," / "&amp;INDEX('CARNET DE SOUDURE'!$S$7:$S$3006,MATCH(269,'CARNET DE SOUDURE'!$AV$7:$AV$3006,0)),"")&amp;IF(INDEX('CARNET DE SOUDURE'!$T$7:$T$3006,MATCH(269,'CARNET DE SOUDURE'!$AV$7:$AV$3006,0))&lt;&gt;""," / "&amp;INDEX('CARNET DE SOUDURE'!$T$7:$T$3006,MATCH(269,'CARNET DE SOUDURE'!$AV$7:$AV$3006,0)),""))</f>
        <v/>
      </c>
      <c r="F280" s="126" t="str">
        <f aca="false">IF($B280="","",INDEX('CARNET DE SOUDURE'!$Y$7:$Y$3006,MATCH(269,'CARNET DE SOUDURE'!$AV$7:$AV$3006,0)))</f>
        <v/>
      </c>
      <c r="G280" s="125" t="str">
        <f aca="false">IF($B280="","",INDEX('CARNET DE SOUDURE'!$Z$7:$Z$3006,MATCH(269,'CARNET DE SOUDURE'!$AV$7:$AV$3006,0))&amp;"")</f>
        <v/>
      </c>
      <c r="H280" s="127" t="str">
        <f aca="false">IF($B280="","",INDEX('CARNET DE SOUDURE'!$AA$7:$AA$3006,MATCH(269,'CARNET DE SOUDURE'!$AV$7:$AV$3006,0)))</f>
        <v/>
      </c>
      <c r="I280" s="125" t="str">
        <f aca="false">IF($B280="","",INDEX('CARNET DE SOUDURE'!$AB$7:$AB$3006,MATCH(269,'CARNET DE SOUDURE'!$AV$7:$AV$3006,0))&amp;"")</f>
        <v/>
      </c>
      <c r="J280" s="125" t="str">
        <f aca="false">IF($B280="","",INDEX('CARNET DE SOUDURE'!$AC$7:$AC$3006,MATCH(269,'CARNET DE SOUDURE'!$AV$7:$AV$3006,0))&amp;IF(INDEX('CARNET DE SOUDURE'!$AH$7:$AH$3006,MATCH(269,'CARNET DE SOUDURE'!$AV$7:$AV$3006,0))&lt;&gt;""," / "&amp;INDEX('CARNET DE SOUDURE'!$AH$7:$AH$3006,MATCH(269,'CARNET DE SOUDURE'!$AV$7:$AV$3006,0)),""))</f>
        <v/>
      </c>
      <c r="K280" s="125" t="str">
        <f aca="false">IF($B280="","",INDEX('CARNET DE SOUDURE'!$AD$7:$AD$3006,MATCH(269,'CARNET DE SOUDURE'!$AV$7:$AV$3006,0))&amp;IF(INDEX('CARNET DE SOUDURE'!$AI$7:$AI$3006,MATCH(269,'CARNET DE SOUDURE'!$AV$7:$AV$3006,0))&lt;&gt;""," / "&amp;INDEX('CARNET DE SOUDURE'!$AI$7:$AI$3006,MATCH(269,'CARNET DE SOUDURE'!$AV$7:$AV$3006,0)),""))</f>
        <v/>
      </c>
      <c r="L280" s="125" t="str">
        <f aca="false">IF($B280="","",INDEX('CARNET DE SOUDURE'!$AG$7:$AG$3006,MATCH(269,'CARNET DE SOUDURE'!$AV$7:$AV$3006,0))&amp;IF(INDEX('CARNET DE SOUDURE'!$AL$7:$AL$3006,MATCH(269,'CARNET DE SOUDURE'!$AV$7:$AV$3006,0))&lt;&gt;""," / "&amp;INDEX('CARNET DE SOUDURE'!$AL$7:$AL$3006,MATCH(269,'CARNET DE SOUDURE'!$AV$7:$AV$3006,0)),""))</f>
        <v/>
      </c>
      <c r="M280" s="127" t="str">
        <f aca="false">IF($B280="","",INDEX('CARNET DE SOUDURE'!$AP$7:$AP$3006,MATCH(269,'CARNET DE SOUDURE'!$AV$7:$AV$3006,0)))</f>
        <v/>
      </c>
      <c r="N280" s="127" t="str">
        <f aca="false">IF($B280="","",INDEX('CARNET DE SOUDURE'!$AQ$7:$AQ$3006,MATCH(269,'CARNET DE SOUDURE'!$AV$7:$AV$3006,0)))</f>
        <v/>
      </c>
      <c r="O280" s="128" t="str">
        <f aca="false">IF($B280="","",INDEX('CARNET DE SOUDURE'!$AR$7:$AR$3006,MATCH(269,'CARNET DE SOUDURE'!$AV$7:$AV$3006,0)))</f>
        <v/>
      </c>
    </row>
    <row r="281" customFormat="false" ht="15" hidden="false" customHeight="false" outlineLevel="0" collapsed="false">
      <c r="B281" s="130" t="str">
        <f aca="false">IF(270&gt;$I$4,"",270)</f>
        <v/>
      </c>
      <c r="C281" s="130" t="str">
        <f aca="false">IF($B281="","",INDEX('CARNET DE SOUDURE'!$B$7:$B$3006,MATCH(270,'CARNET DE SOUDURE'!$AV$7:$AV$3006,0)))</f>
        <v/>
      </c>
      <c r="D281" s="130" t="str">
        <f aca="false">IF($B281="","",INDEX('CARNET DE SOUDURE'!$E$7:$E$3006,MATCH(270,'CARNET DE SOUDURE'!$AV$7:$AV$3006,0)))</f>
        <v/>
      </c>
      <c r="E281" s="130" t="str">
        <f aca="false">IF($B281="","",INDEX('CARNET DE SOUDURE'!$R$7:$R$3006,MATCH(270,'CARNET DE SOUDURE'!$AV$7:$AV$3006,0))&amp;IF(INDEX('CARNET DE SOUDURE'!$S$7:$S$3006,MATCH(270,'CARNET DE SOUDURE'!$AV$7:$AV$3006,0))&lt;&gt;""," / "&amp;INDEX('CARNET DE SOUDURE'!$S$7:$S$3006,MATCH(270,'CARNET DE SOUDURE'!$AV$7:$AV$3006,0)),"")&amp;IF(INDEX('CARNET DE SOUDURE'!$T$7:$T$3006,MATCH(270,'CARNET DE SOUDURE'!$AV$7:$AV$3006,0))&lt;&gt;""," / "&amp;INDEX('CARNET DE SOUDURE'!$T$7:$T$3006,MATCH(270,'CARNET DE SOUDURE'!$AV$7:$AV$3006,0)),""))</f>
        <v/>
      </c>
      <c r="F281" s="131" t="str">
        <f aca="false">IF($B281="","",INDEX('CARNET DE SOUDURE'!$Y$7:$Y$3006,MATCH(270,'CARNET DE SOUDURE'!$AV$7:$AV$3006,0)))</f>
        <v/>
      </c>
      <c r="G281" s="130" t="str">
        <f aca="false">IF($B281="","",INDEX('CARNET DE SOUDURE'!$Z$7:$Z$3006,MATCH(270,'CARNET DE SOUDURE'!$AV$7:$AV$3006,0))&amp;"")</f>
        <v/>
      </c>
      <c r="H281" s="132" t="str">
        <f aca="false">IF($B281="","",INDEX('CARNET DE SOUDURE'!$AA$7:$AA$3006,MATCH(270,'CARNET DE SOUDURE'!$AV$7:$AV$3006,0)))</f>
        <v/>
      </c>
      <c r="I281" s="130" t="str">
        <f aca="false">IF($B281="","",INDEX('CARNET DE SOUDURE'!$AB$7:$AB$3006,MATCH(270,'CARNET DE SOUDURE'!$AV$7:$AV$3006,0))&amp;"")</f>
        <v/>
      </c>
      <c r="J281" s="130" t="str">
        <f aca="false">IF($B281="","",INDEX('CARNET DE SOUDURE'!$AC$7:$AC$3006,MATCH(270,'CARNET DE SOUDURE'!$AV$7:$AV$3006,0))&amp;IF(INDEX('CARNET DE SOUDURE'!$AH$7:$AH$3006,MATCH(270,'CARNET DE SOUDURE'!$AV$7:$AV$3006,0))&lt;&gt;""," / "&amp;INDEX('CARNET DE SOUDURE'!$AH$7:$AH$3006,MATCH(270,'CARNET DE SOUDURE'!$AV$7:$AV$3006,0)),""))</f>
        <v/>
      </c>
      <c r="K281" s="130" t="str">
        <f aca="false">IF($B281="","",INDEX('CARNET DE SOUDURE'!$AD$7:$AD$3006,MATCH(270,'CARNET DE SOUDURE'!$AV$7:$AV$3006,0))&amp;IF(INDEX('CARNET DE SOUDURE'!$AI$7:$AI$3006,MATCH(270,'CARNET DE SOUDURE'!$AV$7:$AV$3006,0))&lt;&gt;""," / "&amp;INDEX('CARNET DE SOUDURE'!$AI$7:$AI$3006,MATCH(270,'CARNET DE SOUDURE'!$AV$7:$AV$3006,0)),""))</f>
        <v/>
      </c>
      <c r="L281" s="130" t="str">
        <f aca="false">IF($B281="","",INDEX('CARNET DE SOUDURE'!$AG$7:$AG$3006,MATCH(270,'CARNET DE SOUDURE'!$AV$7:$AV$3006,0))&amp;IF(INDEX('CARNET DE SOUDURE'!$AL$7:$AL$3006,MATCH(270,'CARNET DE SOUDURE'!$AV$7:$AV$3006,0))&lt;&gt;""," / "&amp;INDEX('CARNET DE SOUDURE'!$AL$7:$AL$3006,MATCH(270,'CARNET DE SOUDURE'!$AV$7:$AV$3006,0)),""))</f>
        <v/>
      </c>
      <c r="M281" s="132" t="str">
        <f aca="false">IF($B281="","",INDEX('CARNET DE SOUDURE'!$AP$7:$AP$3006,MATCH(270,'CARNET DE SOUDURE'!$AV$7:$AV$3006,0)))</f>
        <v/>
      </c>
      <c r="N281" s="132" t="str">
        <f aca="false">IF($B281="","",INDEX('CARNET DE SOUDURE'!$AQ$7:$AQ$3006,MATCH(270,'CARNET DE SOUDURE'!$AV$7:$AV$3006,0)))</f>
        <v/>
      </c>
      <c r="O281" s="133" t="str">
        <f aca="false">IF($B281="","",INDEX('CARNET DE SOUDURE'!$AR$7:$AR$3006,MATCH(270,'CARNET DE SOUDURE'!$AV$7:$AV$3006,0)))</f>
        <v/>
      </c>
    </row>
    <row r="282" customFormat="false" ht="15" hidden="false" customHeight="false" outlineLevel="0" collapsed="false">
      <c r="B282" s="125" t="str">
        <f aca="false">IF(271&gt;$I$4,"",271)</f>
        <v/>
      </c>
      <c r="C282" s="125" t="str">
        <f aca="false">IF($B282="","",INDEX('CARNET DE SOUDURE'!$B$7:$B$3006,MATCH(271,'CARNET DE SOUDURE'!$AV$7:$AV$3006,0)))</f>
        <v/>
      </c>
      <c r="D282" s="125" t="str">
        <f aca="false">IF($B282="","",INDEX('CARNET DE SOUDURE'!$E$7:$E$3006,MATCH(271,'CARNET DE SOUDURE'!$AV$7:$AV$3006,0)))</f>
        <v/>
      </c>
      <c r="E282" s="125" t="str">
        <f aca="false">IF($B282="","",INDEX('CARNET DE SOUDURE'!$R$7:$R$3006,MATCH(271,'CARNET DE SOUDURE'!$AV$7:$AV$3006,0))&amp;IF(INDEX('CARNET DE SOUDURE'!$S$7:$S$3006,MATCH(271,'CARNET DE SOUDURE'!$AV$7:$AV$3006,0))&lt;&gt;""," / "&amp;INDEX('CARNET DE SOUDURE'!$S$7:$S$3006,MATCH(271,'CARNET DE SOUDURE'!$AV$7:$AV$3006,0)),"")&amp;IF(INDEX('CARNET DE SOUDURE'!$T$7:$T$3006,MATCH(271,'CARNET DE SOUDURE'!$AV$7:$AV$3006,0))&lt;&gt;""," / "&amp;INDEX('CARNET DE SOUDURE'!$T$7:$T$3006,MATCH(271,'CARNET DE SOUDURE'!$AV$7:$AV$3006,0)),""))</f>
        <v/>
      </c>
      <c r="F282" s="126" t="str">
        <f aca="false">IF($B282="","",INDEX('CARNET DE SOUDURE'!$Y$7:$Y$3006,MATCH(271,'CARNET DE SOUDURE'!$AV$7:$AV$3006,0)))</f>
        <v/>
      </c>
      <c r="G282" s="125" t="str">
        <f aca="false">IF($B282="","",INDEX('CARNET DE SOUDURE'!$Z$7:$Z$3006,MATCH(271,'CARNET DE SOUDURE'!$AV$7:$AV$3006,0))&amp;"")</f>
        <v/>
      </c>
      <c r="H282" s="127" t="str">
        <f aca="false">IF($B282="","",INDEX('CARNET DE SOUDURE'!$AA$7:$AA$3006,MATCH(271,'CARNET DE SOUDURE'!$AV$7:$AV$3006,0)))</f>
        <v/>
      </c>
      <c r="I282" s="125" t="str">
        <f aca="false">IF($B282="","",INDEX('CARNET DE SOUDURE'!$AB$7:$AB$3006,MATCH(271,'CARNET DE SOUDURE'!$AV$7:$AV$3006,0))&amp;"")</f>
        <v/>
      </c>
      <c r="J282" s="125" t="str">
        <f aca="false">IF($B282="","",INDEX('CARNET DE SOUDURE'!$AC$7:$AC$3006,MATCH(271,'CARNET DE SOUDURE'!$AV$7:$AV$3006,0))&amp;IF(INDEX('CARNET DE SOUDURE'!$AH$7:$AH$3006,MATCH(271,'CARNET DE SOUDURE'!$AV$7:$AV$3006,0))&lt;&gt;""," / "&amp;INDEX('CARNET DE SOUDURE'!$AH$7:$AH$3006,MATCH(271,'CARNET DE SOUDURE'!$AV$7:$AV$3006,0)),""))</f>
        <v/>
      </c>
      <c r="K282" s="125" t="str">
        <f aca="false">IF($B282="","",INDEX('CARNET DE SOUDURE'!$AD$7:$AD$3006,MATCH(271,'CARNET DE SOUDURE'!$AV$7:$AV$3006,0))&amp;IF(INDEX('CARNET DE SOUDURE'!$AI$7:$AI$3006,MATCH(271,'CARNET DE SOUDURE'!$AV$7:$AV$3006,0))&lt;&gt;""," / "&amp;INDEX('CARNET DE SOUDURE'!$AI$7:$AI$3006,MATCH(271,'CARNET DE SOUDURE'!$AV$7:$AV$3006,0)),""))</f>
        <v/>
      </c>
      <c r="L282" s="125" t="str">
        <f aca="false">IF($B282="","",INDEX('CARNET DE SOUDURE'!$AG$7:$AG$3006,MATCH(271,'CARNET DE SOUDURE'!$AV$7:$AV$3006,0))&amp;IF(INDEX('CARNET DE SOUDURE'!$AL$7:$AL$3006,MATCH(271,'CARNET DE SOUDURE'!$AV$7:$AV$3006,0))&lt;&gt;""," / "&amp;INDEX('CARNET DE SOUDURE'!$AL$7:$AL$3006,MATCH(271,'CARNET DE SOUDURE'!$AV$7:$AV$3006,0)),""))</f>
        <v/>
      </c>
      <c r="M282" s="127" t="str">
        <f aca="false">IF($B282="","",INDEX('CARNET DE SOUDURE'!$AP$7:$AP$3006,MATCH(271,'CARNET DE SOUDURE'!$AV$7:$AV$3006,0)))</f>
        <v/>
      </c>
      <c r="N282" s="127" t="str">
        <f aca="false">IF($B282="","",INDEX('CARNET DE SOUDURE'!$AQ$7:$AQ$3006,MATCH(271,'CARNET DE SOUDURE'!$AV$7:$AV$3006,0)))</f>
        <v/>
      </c>
      <c r="O282" s="128" t="str">
        <f aca="false">IF($B282="","",INDEX('CARNET DE SOUDURE'!$AR$7:$AR$3006,MATCH(271,'CARNET DE SOUDURE'!$AV$7:$AV$3006,0)))</f>
        <v/>
      </c>
    </row>
    <row r="283" customFormat="false" ht="15" hidden="false" customHeight="false" outlineLevel="0" collapsed="false">
      <c r="B283" s="130" t="str">
        <f aca="false">IF(272&gt;$I$4,"",272)</f>
        <v/>
      </c>
      <c r="C283" s="130" t="str">
        <f aca="false">IF($B283="","",INDEX('CARNET DE SOUDURE'!$B$7:$B$3006,MATCH(272,'CARNET DE SOUDURE'!$AV$7:$AV$3006,0)))</f>
        <v/>
      </c>
      <c r="D283" s="130" t="str">
        <f aca="false">IF($B283="","",INDEX('CARNET DE SOUDURE'!$E$7:$E$3006,MATCH(272,'CARNET DE SOUDURE'!$AV$7:$AV$3006,0)))</f>
        <v/>
      </c>
      <c r="E283" s="130" t="str">
        <f aca="false">IF($B283="","",INDEX('CARNET DE SOUDURE'!$R$7:$R$3006,MATCH(272,'CARNET DE SOUDURE'!$AV$7:$AV$3006,0))&amp;IF(INDEX('CARNET DE SOUDURE'!$S$7:$S$3006,MATCH(272,'CARNET DE SOUDURE'!$AV$7:$AV$3006,0))&lt;&gt;""," / "&amp;INDEX('CARNET DE SOUDURE'!$S$7:$S$3006,MATCH(272,'CARNET DE SOUDURE'!$AV$7:$AV$3006,0)),"")&amp;IF(INDEX('CARNET DE SOUDURE'!$T$7:$T$3006,MATCH(272,'CARNET DE SOUDURE'!$AV$7:$AV$3006,0))&lt;&gt;""," / "&amp;INDEX('CARNET DE SOUDURE'!$T$7:$T$3006,MATCH(272,'CARNET DE SOUDURE'!$AV$7:$AV$3006,0)),""))</f>
        <v/>
      </c>
      <c r="F283" s="131" t="str">
        <f aca="false">IF($B283="","",INDEX('CARNET DE SOUDURE'!$Y$7:$Y$3006,MATCH(272,'CARNET DE SOUDURE'!$AV$7:$AV$3006,0)))</f>
        <v/>
      </c>
      <c r="G283" s="130" t="str">
        <f aca="false">IF($B283="","",INDEX('CARNET DE SOUDURE'!$Z$7:$Z$3006,MATCH(272,'CARNET DE SOUDURE'!$AV$7:$AV$3006,0))&amp;"")</f>
        <v/>
      </c>
      <c r="H283" s="132" t="str">
        <f aca="false">IF($B283="","",INDEX('CARNET DE SOUDURE'!$AA$7:$AA$3006,MATCH(272,'CARNET DE SOUDURE'!$AV$7:$AV$3006,0)))</f>
        <v/>
      </c>
      <c r="I283" s="130" t="str">
        <f aca="false">IF($B283="","",INDEX('CARNET DE SOUDURE'!$AB$7:$AB$3006,MATCH(272,'CARNET DE SOUDURE'!$AV$7:$AV$3006,0))&amp;"")</f>
        <v/>
      </c>
      <c r="J283" s="130" t="str">
        <f aca="false">IF($B283="","",INDEX('CARNET DE SOUDURE'!$AC$7:$AC$3006,MATCH(272,'CARNET DE SOUDURE'!$AV$7:$AV$3006,0))&amp;IF(INDEX('CARNET DE SOUDURE'!$AH$7:$AH$3006,MATCH(272,'CARNET DE SOUDURE'!$AV$7:$AV$3006,0))&lt;&gt;""," / "&amp;INDEX('CARNET DE SOUDURE'!$AH$7:$AH$3006,MATCH(272,'CARNET DE SOUDURE'!$AV$7:$AV$3006,0)),""))</f>
        <v/>
      </c>
      <c r="K283" s="130" t="str">
        <f aca="false">IF($B283="","",INDEX('CARNET DE SOUDURE'!$AD$7:$AD$3006,MATCH(272,'CARNET DE SOUDURE'!$AV$7:$AV$3006,0))&amp;IF(INDEX('CARNET DE SOUDURE'!$AI$7:$AI$3006,MATCH(272,'CARNET DE SOUDURE'!$AV$7:$AV$3006,0))&lt;&gt;""," / "&amp;INDEX('CARNET DE SOUDURE'!$AI$7:$AI$3006,MATCH(272,'CARNET DE SOUDURE'!$AV$7:$AV$3006,0)),""))</f>
        <v/>
      </c>
      <c r="L283" s="130" t="str">
        <f aca="false">IF($B283="","",INDEX('CARNET DE SOUDURE'!$AG$7:$AG$3006,MATCH(272,'CARNET DE SOUDURE'!$AV$7:$AV$3006,0))&amp;IF(INDEX('CARNET DE SOUDURE'!$AL$7:$AL$3006,MATCH(272,'CARNET DE SOUDURE'!$AV$7:$AV$3006,0))&lt;&gt;""," / "&amp;INDEX('CARNET DE SOUDURE'!$AL$7:$AL$3006,MATCH(272,'CARNET DE SOUDURE'!$AV$7:$AV$3006,0)),""))</f>
        <v/>
      </c>
      <c r="M283" s="132" t="str">
        <f aca="false">IF($B283="","",INDEX('CARNET DE SOUDURE'!$AP$7:$AP$3006,MATCH(272,'CARNET DE SOUDURE'!$AV$7:$AV$3006,0)))</f>
        <v/>
      </c>
      <c r="N283" s="132" t="str">
        <f aca="false">IF($B283="","",INDEX('CARNET DE SOUDURE'!$AQ$7:$AQ$3006,MATCH(272,'CARNET DE SOUDURE'!$AV$7:$AV$3006,0)))</f>
        <v/>
      </c>
      <c r="O283" s="133" t="str">
        <f aca="false">IF($B283="","",INDEX('CARNET DE SOUDURE'!$AR$7:$AR$3006,MATCH(272,'CARNET DE SOUDURE'!$AV$7:$AV$3006,0)))</f>
        <v/>
      </c>
    </row>
    <row r="284" customFormat="false" ht="15" hidden="false" customHeight="false" outlineLevel="0" collapsed="false">
      <c r="B284" s="125" t="str">
        <f aca="false">IF(273&gt;$I$4,"",273)</f>
        <v/>
      </c>
      <c r="C284" s="125" t="str">
        <f aca="false">IF($B284="","",INDEX('CARNET DE SOUDURE'!$B$7:$B$3006,MATCH(273,'CARNET DE SOUDURE'!$AV$7:$AV$3006,0)))</f>
        <v/>
      </c>
      <c r="D284" s="125" t="str">
        <f aca="false">IF($B284="","",INDEX('CARNET DE SOUDURE'!$E$7:$E$3006,MATCH(273,'CARNET DE SOUDURE'!$AV$7:$AV$3006,0)))</f>
        <v/>
      </c>
      <c r="E284" s="125" t="str">
        <f aca="false">IF($B284="","",INDEX('CARNET DE SOUDURE'!$R$7:$R$3006,MATCH(273,'CARNET DE SOUDURE'!$AV$7:$AV$3006,0))&amp;IF(INDEX('CARNET DE SOUDURE'!$S$7:$S$3006,MATCH(273,'CARNET DE SOUDURE'!$AV$7:$AV$3006,0))&lt;&gt;""," / "&amp;INDEX('CARNET DE SOUDURE'!$S$7:$S$3006,MATCH(273,'CARNET DE SOUDURE'!$AV$7:$AV$3006,0)),"")&amp;IF(INDEX('CARNET DE SOUDURE'!$T$7:$T$3006,MATCH(273,'CARNET DE SOUDURE'!$AV$7:$AV$3006,0))&lt;&gt;""," / "&amp;INDEX('CARNET DE SOUDURE'!$T$7:$T$3006,MATCH(273,'CARNET DE SOUDURE'!$AV$7:$AV$3006,0)),""))</f>
        <v/>
      </c>
      <c r="F284" s="126" t="str">
        <f aca="false">IF($B284="","",INDEX('CARNET DE SOUDURE'!$Y$7:$Y$3006,MATCH(273,'CARNET DE SOUDURE'!$AV$7:$AV$3006,0)))</f>
        <v/>
      </c>
      <c r="G284" s="125" t="str">
        <f aca="false">IF($B284="","",INDEX('CARNET DE SOUDURE'!$Z$7:$Z$3006,MATCH(273,'CARNET DE SOUDURE'!$AV$7:$AV$3006,0))&amp;"")</f>
        <v/>
      </c>
      <c r="H284" s="127" t="str">
        <f aca="false">IF($B284="","",INDEX('CARNET DE SOUDURE'!$AA$7:$AA$3006,MATCH(273,'CARNET DE SOUDURE'!$AV$7:$AV$3006,0)))</f>
        <v/>
      </c>
      <c r="I284" s="125" t="str">
        <f aca="false">IF($B284="","",INDEX('CARNET DE SOUDURE'!$AB$7:$AB$3006,MATCH(273,'CARNET DE SOUDURE'!$AV$7:$AV$3006,0))&amp;"")</f>
        <v/>
      </c>
      <c r="J284" s="125" t="str">
        <f aca="false">IF($B284="","",INDEX('CARNET DE SOUDURE'!$AC$7:$AC$3006,MATCH(273,'CARNET DE SOUDURE'!$AV$7:$AV$3006,0))&amp;IF(INDEX('CARNET DE SOUDURE'!$AH$7:$AH$3006,MATCH(273,'CARNET DE SOUDURE'!$AV$7:$AV$3006,0))&lt;&gt;""," / "&amp;INDEX('CARNET DE SOUDURE'!$AH$7:$AH$3006,MATCH(273,'CARNET DE SOUDURE'!$AV$7:$AV$3006,0)),""))</f>
        <v/>
      </c>
      <c r="K284" s="125" t="str">
        <f aca="false">IF($B284="","",INDEX('CARNET DE SOUDURE'!$AD$7:$AD$3006,MATCH(273,'CARNET DE SOUDURE'!$AV$7:$AV$3006,0))&amp;IF(INDEX('CARNET DE SOUDURE'!$AI$7:$AI$3006,MATCH(273,'CARNET DE SOUDURE'!$AV$7:$AV$3006,0))&lt;&gt;""," / "&amp;INDEX('CARNET DE SOUDURE'!$AI$7:$AI$3006,MATCH(273,'CARNET DE SOUDURE'!$AV$7:$AV$3006,0)),""))</f>
        <v/>
      </c>
      <c r="L284" s="125" t="str">
        <f aca="false">IF($B284="","",INDEX('CARNET DE SOUDURE'!$AG$7:$AG$3006,MATCH(273,'CARNET DE SOUDURE'!$AV$7:$AV$3006,0))&amp;IF(INDEX('CARNET DE SOUDURE'!$AL$7:$AL$3006,MATCH(273,'CARNET DE SOUDURE'!$AV$7:$AV$3006,0))&lt;&gt;""," / "&amp;INDEX('CARNET DE SOUDURE'!$AL$7:$AL$3006,MATCH(273,'CARNET DE SOUDURE'!$AV$7:$AV$3006,0)),""))</f>
        <v/>
      </c>
      <c r="M284" s="127" t="str">
        <f aca="false">IF($B284="","",INDEX('CARNET DE SOUDURE'!$AP$7:$AP$3006,MATCH(273,'CARNET DE SOUDURE'!$AV$7:$AV$3006,0)))</f>
        <v/>
      </c>
      <c r="N284" s="127" t="str">
        <f aca="false">IF($B284="","",INDEX('CARNET DE SOUDURE'!$AQ$7:$AQ$3006,MATCH(273,'CARNET DE SOUDURE'!$AV$7:$AV$3006,0)))</f>
        <v/>
      </c>
      <c r="O284" s="128" t="str">
        <f aca="false">IF($B284="","",INDEX('CARNET DE SOUDURE'!$AR$7:$AR$3006,MATCH(273,'CARNET DE SOUDURE'!$AV$7:$AV$3006,0)))</f>
        <v/>
      </c>
    </row>
    <row r="285" customFormat="false" ht="15" hidden="false" customHeight="false" outlineLevel="0" collapsed="false">
      <c r="B285" s="130" t="str">
        <f aca="false">IF(274&gt;$I$4,"",274)</f>
        <v/>
      </c>
      <c r="C285" s="130" t="str">
        <f aca="false">IF($B285="","",INDEX('CARNET DE SOUDURE'!$B$7:$B$3006,MATCH(274,'CARNET DE SOUDURE'!$AV$7:$AV$3006,0)))</f>
        <v/>
      </c>
      <c r="D285" s="130" t="str">
        <f aca="false">IF($B285="","",INDEX('CARNET DE SOUDURE'!$E$7:$E$3006,MATCH(274,'CARNET DE SOUDURE'!$AV$7:$AV$3006,0)))</f>
        <v/>
      </c>
      <c r="E285" s="130" t="str">
        <f aca="false">IF($B285="","",INDEX('CARNET DE SOUDURE'!$R$7:$R$3006,MATCH(274,'CARNET DE SOUDURE'!$AV$7:$AV$3006,0))&amp;IF(INDEX('CARNET DE SOUDURE'!$S$7:$S$3006,MATCH(274,'CARNET DE SOUDURE'!$AV$7:$AV$3006,0))&lt;&gt;""," / "&amp;INDEX('CARNET DE SOUDURE'!$S$7:$S$3006,MATCH(274,'CARNET DE SOUDURE'!$AV$7:$AV$3006,0)),"")&amp;IF(INDEX('CARNET DE SOUDURE'!$T$7:$T$3006,MATCH(274,'CARNET DE SOUDURE'!$AV$7:$AV$3006,0))&lt;&gt;""," / "&amp;INDEX('CARNET DE SOUDURE'!$T$7:$T$3006,MATCH(274,'CARNET DE SOUDURE'!$AV$7:$AV$3006,0)),""))</f>
        <v/>
      </c>
      <c r="F285" s="131" t="str">
        <f aca="false">IF($B285="","",INDEX('CARNET DE SOUDURE'!$Y$7:$Y$3006,MATCH(274,'CARNET DE SOUDURE'!$AV$7:$AV$3006,0)))</f>
        <v/>
      </c>
      <c r="G285" s="130" t="str">
        <f aca="false">IF($B285="","",INDEX('CARNET DE SOUDURE'!$Z$7:$Z$3006,MATCH(274,'CARNET DE SOUDURE'!$AV$7:$AV$3006,0))&amp;"")</f>
        <v/>
      </c>
      <c r="H285" s="132" t="str">
        <f aca="false">IF($B285="","",INDEX('CARNET DE SOUDURE'!$AA$7:$AA$3006,MATCH(274,'CARNET DE SOUDURE'!$AV$7:$AV$3006,0)))</f>
        <v/>
      </c>
      <c r="I285" s="130" t="str">
        <f aca="false">IF($B285="","",INDEX('CARNET DE SOUDURE'!$AB$7:$AB$3006,MATCH(274,'CARNET DE SOUDURE'!$AV$7:$AV$3006,0))&amp;"")</f>
        <v/>
      </c>
      <c r="J285" s="130" t="str">
        <f aca="false">IF($B285="","",INDEX('CARNET DE SOUDURE'!$AC$7:$AC$3006,MATCH(274,'CARNET DE SOUDURE'!$AV$7:$AV$3006,0))&amp;IF(INDEX('CARNET DE SOUDURE'!$AH$7:$AH$3006,MATCH(274,'CARNET DE SOUDURE'!$AV$7:$AV$3006,0))&lt;&gt;""," / "&amp;INDEX('CARNET DE SOUDURE'!$AH$7:$AH$3006,MATCH(274,'CARNET DE SOUDURE'!$AV$7:$AV$3006,0)),""))</f>
        <v/>
      </c>
      <c r="K285" s="130" t="str">
        <f aca="false">IF($B285="","",INDEX('CARNET DE SOUDURE'!$AD$7:$AD$3006,MATCH(274,'CARNET DE SOUDURE'!$AV$7:$AV$3006,0))&amp;IF(INDEX('CARNET DE SOUDURE'!$AI$7:$AI$3006,MATCH(274,'CARNET DE SOUDURE'!$AV$7:$AV$3006,0))&lt;&gt;""," / "&amp;INDEX('CARNET DE SOUDURE'!$AI$7:$AI$3006,MATCH(274,'CARNET DE SOUDURE'!$AV$7:$AV$3006,0)),""))</f>
        <v/>
      </c>
      <c r="L285" s="130" t="str">
        <f aca="false">IF($B285="","",INDEX('CARNET DE SOUDURE'!$AG$7:$AG$3006,MATCH(274,'CARNET DE SOUDURE'!$AV$7:$AV$3006,0))&amp;IF(INDEX('CARNET DE SOUDURE'!$AL$7:$AL$3006,MATCH(274,'CARNET DE SOUDURE'!$AV$7:$AV$3006,0))&lt;&gt;""," / "&amp;INDEX('CARNET DE SOUDURE'!$AL$7:$AL$3006,MATCH(274,'CARNET DE SOUDURE'!$AV$7:$AV$3006,0)),""))</f>
        <v/>
      </c>
      <c r="M285" s="132" t="str">
        <f aca="false">IF($B285="","",INDEX('CARNET DE SOUDURE'!$AP$7:$AP$3006,MATCH(274,'CARNET DE SOUDURE'!$AV$7:$AV$3006,0)))</f>
        <v/>
      </c>
      <c r="N285" s="132" t="str">
        <f aca="false">IF($B285="","",INDEX('CARNET DE SOUDURE'!$AQ$7:$AQ$3006,MATCH(274,'CARNET DE SOUDURE'!$AV$7:$AV$3006,0)))</f>
        <v/>
      </c>
      <c r="O285" s="133" t="str">
        <f aca="false">IF($B285="","",INDEX('CARNET DE SOUDURE'!$AR$7:$AR$3006,MATCH(274,'CARNET DE SOUDURE'!$AV$7:$AV$3006,0)))</f>
        <v/>
      </c>
    </row>
    <row r="286" customFormat="false" ht="15" hidden="false" customHeight="false" outlineLevel="0" collapsed="false">
      <c r="B286" s="125" t="str">
        <f aca="false">IF(275&gt;$I$4,"",275)</f>
        <v/>
      </c>
      <c r="C286" s="125" t="str">
        <f aca="false">IF($B286="","",INDEX('CARNET DE SOUDURE'!$B$7:$B$3006,MATCH(275,'CARNET DE SOUDURE'!$AV$7:$AV$3006,0)))</f>
        <v/>
      </c>
      <c r="D286" s="125" t="str">
        <f aca="false">IF($B286="","",INDEX('CARNET DE SOUDURE'!$E$7:$E$3006,MATCH(275,'CARNET DE SOUDURE'!$AV$7:$AV$3006,0)))</f>
        <v/>
      </c>
      <c r="E286" s="125" t="str">
        <f aca="false">IF($B286="","",INDEX('CARNET DE SOUDURE'!$R$7:$R$3006,MATCH(275,'CARNET DE SOUDURE'!$AV$7:$AV$3006,0))&amp;IF(INDEX('CARNET DE SOUDURE'!$S$7:$S$3006,MATCH(275,'CARNET DE SOUDURE'!$AV$7:$AV$3006,0))&lt;&gt;""," / "&amp;INDEX('CARNET DE SOUDURE'!$S$7:$S$3006,MATCH(275,'CARNET DE SOUDURE'!$AV$7:$AV$3006,0)),"")&amp;IF(INDEX('CARNET DE SOUDURE'!$T$7:$T$3006,MATCH(275,'CARNET DE SOUDURE'!$AV$7:$AV$3006,0))&lt;&gt;""," / "&amp;INDEX('CARNET DE SOUDURE'!$T$7:$T$3006,MATCH(275,'CARNET DE SOUDURE'!$AV$7:$AV$3006,0)),""))</f>
        <v/>
      </c>
      <c r="F286" s="126" t="str">
        <f aca="false">IF($B286="","",INDEX('CARNET DE SOUDURE'!$Y$7:$Y$3006,MATCH(275,'CARNET DE SOUDURE'!$AV$7:$AV$3006,0)))</f>
        <v/>
      </c>
      <c r="G286" s="125" t="str">
        <f aca="false">IF($B286="","",INDEX('CARNET DE SOUDURE'!$Z$7:$Z$3006,MATCH(275,'CARNET DE SOUDURE'!$AV$7:$AV$3006,0))&amp;"")</f>
        <v/>
      </c>
      <c r="H286" s="127" t="str">
        <f aca="false">IF($B286="","",INDEX('CARNET DE SOUDURE'!$AA$7:$AA$3006,MATCH(275,'CARNET DE SOUDURE'!$AV$7:$AV$3006,0)))</f>
        <v/>
      </c>
      <c r="I286" s="125" t="str">
        <f aca="false">IF($B286="","",INDEX('CARNET DE SOUDURE'!$AB$7:$AB$3006,MATCH(275,'CARNET DE SOUDURE'!$AV$7:$AV$3006,0))&amp;"")</f>
        <v/>
      </c>
      <c r="J286" s="125" t="str">
        <f aca="false">IF($B286="","",INDEX('CARNET DE SOUDURE'!$AC$7:$AC$3006,MATCH(275,'CARNET DE SOUDURE'!$AV$7:$AV$3006,0))&amp;IF(INDEX('CARNET DE SOUDURE'!$AH$7:$AH$3006,MATCH(275,'CARNET DE SOUDURE'!$AV$7:$AV$3006,0))&lt;&gt;""," / "&amp;INDEX('CARNET DE SOUDURE'!$AH$7:$AH$3006,MATCH(275,'CARNET DE SOUDURE'!$AV$7:$AV$3006,0)),""))</f>
        <v/>
      </c>
      <c r="K286" s="125" t="str">
        <f aca="false">IF($B286="","",INDEX('CARNET DE SOUDURE'!$AD$7:$AD$3006,MATCH(275,'CARNET DE SOUDURE'!$AV$7:$AV$3006,0))&amp;IF(INDEX('CARNET DE SOUDURE'!$AI$7:$AI$3006,MATCH(275,'CARNET DE SOUDURE'!$AV$7:$AV$3006,0))&lt;&gt;""," / "&amp;INDEX('CARNET DE SOUDURE'!$AI$7:$AI$3006,MATCH(275,'CARNET DE SOUDURE'!$AV$7:$AV$3006,0)),""))</f>
        <v/>
      </c>
      <c r="L286" s="125" t="str">
        <f aca="false">IF($B286="","",INDEX('CARNET DE SOUDURE'!$AG$7:$AG$3006,MATCH(275,'CARNET DE SOUDURE'!$AV$7:$AV$3006,0))&amp;IF(INDEX('CARNET DE SOUDURE'!$AL$7:$AL$3006,MATCH(275,'CARNET DE SOUDURE'!$AV$7:$AV$3006,0))&lt;&gt;""," / "&amp;INDEX('CARNET DE SOUDURE'!$AL$7:$AL$3006,MATCH(275,'CARNET DE SOUDURE'!$AV$7:$AV$3006,0)),""))</f>
        <v/>
      </c>
      <c r="M286" s="127" t="str">
        <f aca="false">IF($B286="","",INDEX('CARNET DE SOUDURE'!$AP$7:$AP$3006,MATCH(275,'CARNET DE SOUDURE'!$AV$7:$AV$3006,0)))</f>
        <v/>
      </c>
      <c r="N286" s="127" t="str">
        <f aca="false">IF($B286="","",INDEX('CARNET DE SOUDURE'!$AQ$7:$AQ$3006,MATCH(275,'CARNET DE SOUDURE'!$AV$7:$AV$3006,0)))</f>
        <v/>
      </c>
      <c r="O286" s="128" t="str">
        <f aca="false">IF($B286="","",INDEX('CARNET DE SOUDURE'!$AR$7:$AR$3006,MATCH(275,'CARNET DE SOUDURE'!$AV$7:$AV$3006,0)))</f>
        <v/>
      </c>
    </row>
    <row r="287" customFormat="false" ht="15" hidden="false" customHeight="false" outlineLevel="0" collapsed="false">
      <c r="B287" s="130" t="str">
        <f aca="false">IF(276&gt;$I$4,"",276)</f>
        <v/>
      </c>
      <c r="C287" s="130" t="str">
        <f aca="false">IF($B287="","",INDEX('CARNET DE SOUDURE'!$B$7:$B$3006,MATCH(276,'CARNET DE SOUDURE'!$AV$7:$AV$3006,0)))</f>
        <v/>
      </c>
      <c r="D287" s="130" t="str">
        <f aca="false">IF($B287="","",INDEX('CARNET DE SOUDURE'!$E$7:$E$3006,MATCH(276,'CARNET DE SOUDURE'!$AV$7:$AV$3006,0)))</f>
        <v/>
      </c>
      <c r="E287" s="130" t="str">
        <f aca="false">IF($B287="","",INDEX('CARNET DE SOUDURE'!$R$7:$R$3006,MATCH(276,'CARNET DE SOUDURE'!$AV$7:$AV$3006,0))&amp;IF(INDEX('CARNET DE SOUDURE'!$S$7:$S$3006,MATCH(276,'CARNET DE SOUDURE'!$AV$7:$AV$3006,0))&lt;&gt;""," / "&amp;INDEX('CARNET DE SOUDURE'!$S$7:$S$3006,MATCH(276,'CARNET DE SOUDURE'!$AV$7:$AV$3006,0)),"")&amp;IF(INDEX('CARNET DE SOUDURE'!$T$7:$T$3006,MATCH(276,'CARNET DE SOUDURE'!$AV$7:$AV$3006,0))&lt;&gt;""," / "&amp;INDEX('CARNET DE SOUDURE'!$T$7:$T$3006,MATCH(276,'CARNET DE SOUDURE'!$AV$7:$AV$3006,0)),""))</f>
        <v/>
      </c>
      <c r="F287" s="131" t="str">
        <f aca="false">IF($B287="","",INDEX('CARNET DE SOUDURE'!$Y$7:$Y$3006,MATCH(276,'CARNET DE SOUDURE'!$AV$7:$AV$3006,0)))</f>
        <v/>
      </c>
      <c r="G287" s="130" t="str">
        <f aca="false">IF($B287="","",INDEX('CARNET DE SOUDURE'!$Z$7:$Z$3006,MATCH(276,'CARNET DE SOUDURE'!$AV$7:$AV$3006,0))&amp;"")</f>
        <v/>
      </c>
      <c r="H287" s="132" t="str">
        <f aca="false">IF($B287="","",INDEX('CARNET DE SOUDURE'!$AA$7:$AA$3006,MATCH(276,'CARNET DE SOUDURE'!$AV$7:$AV$3006,0)))</f>
        <v/>
      </c>
      <c r="I287" s="130" t="str">
        <f aca="false">IF($B287="","",INDEX('CARNET DE SOUDURE'!$AB$7:$AB$3006,MATCH(276,'CARNET DE SOUDURE'!$AV$7:$AV$3006,0))&amp;"")</f>
        <v/>
      </c>
      <c r="J287" s="130" t="str">
        <f aca="false">IF($B287="","",INDEX('CARNET DE SOUDURE'!$AC$7:$AC$3006,MATCH(276,'CARNET DE SOUDURE'!$AV$7:$AV$3006,0))&amp;IF(INDEX('CARNET DE SOUDURE'!$AH$7:$AH$3006,MATCH(276,'CARNET DE SOUDURE'!$AV$7:$AV$3006,0))&lt;&gt;""," / "&amp;INDEX('CARNET DE SOUDURE'!$AH$7:$AH$3006,MATCH(276,'CARNET DE SOUDURE'!$AV$7:$AV$3006,0)),""))</f>
        <v/>
      </c>
      <c r="K287" s="130" t="str">
        <f aca="false">IF($B287="","",INDEX('CARNET DE SOUDURE'!$AD$7:$AD$3006,MATCH(276,'CARNET DE SOUDURE'!$AV$7:$AV$3006,0))&amp;IF(INDEX('CARNET DE SOUDURE'!$AI$7:$AI$3006,MATCH(276,'CARNET DE SOUDURE'!$AV$7:$AV$3006,0))&lt;&gt;""," / "&amp;INDEX('CARNET DE SOUDURE'!$AI$7:$AI$3006,MATCH(276,'CARNET DE SOUDURE'!$AV$7:$AV$3006,0)),""))</f>
        <v/>
      </c>
      <c r="L287" s="130" t="str">
        <f aca="false">IF($B287="","",INDEX('CARNET DE SOUDURE'!$AG$7:$AG$3006,MATCH(276,'CARNET DE SOUDURE'!$AV$7:$AV$3006,0))&amp;IF(INDEX('CARNET DE SOUDURE'!$AL$7:$AL$3006,MATCH(276,'CARNET DE SOUDURE'!$AV$7:$AV$3006,0))&lt;&gt;""," / "&amp;INDEX('CARNET DE SOUDURE'!$AL$7:$AL$3006,MATCH(276,'CARNET DE SOUDURE'!$AV$7:$AV$3006,0)),""))</f>
        <v/>
      </c>
      <c r="M287" s="132" t="str">
        <f aca="false">IF($B287="","",INDEX('CARNET DE SOUDURE'!$AP$7:$AP$3006,MATCH(276,'CARNET DE SOUDURE'!$AV$7:$AV$3006,0)))</f>
        <v/>
      </c>
      <c r="N287" s="132" t="str">
        <f aca="false">IF($B287="","",INDEX('CARNET DE SOUDURE'!$AQ$7:$AQ$3006,MATCH(276,'CARNET DE SOUDURE'!$AV$7:$AV$3006,0)))</f>
        <v/>
      </c>
      <c r="O287" s="133" t="str">
        <f aca="false">IF($B287="","",INDEX('CARNET DE SOUDURE'!$AR$7:$AR$3006,MATCH(276,'CARNET DE SOUDURE'!$AV$7:$AV$3006,0)))</f>
        <v/>
      </c>
    </row>
    <row r="288" customFormat="false" ht="15" hidden="false" customHeight="false" outlineLevel="0" collapsed="false">
      <c r="B288" s="125" t="str">
        <f aca="false">IF(277&gt;$I$4,"",277)</f>
        <v/>
      </c>
      <c r="C288" s="125" t="str">
        <f aca="false">IF($B288="","",INDEX('CARNET DE SOUDURE'!$B$7:$B$3006,MATCH(277,'CARNET DE SOUDURE'!$AV$7:$AV$3006,0)))</f>
        <v/>
      </c>
      <c r="D288" s="125" t="str">
        <f aca="false">IF($B288="","",INDEX('CARNET DE SOUDURE'!$E$7:$E$3006,MATCH(277,'CARNET DE SOUDURE'!$AV$7:$AV$3006,0)))</f>
        <v/>
      </c>
      <c r="E288" s="125" t="str">
        <f aca="false">IF($B288="","",INDEX('CARNET DE SOUDURE'!$R$7:$R$3006,MATCH(277,'CARNET DE SOUDURE'!$AV$7:$AV$3006,0))&amp;IF(INDEX('CARNET DE SOUDURE'!$S$7:$S$3006,MATCH(277,'CARNET DE SOUDURE'!$AV$7:$AV$3006,0))&lt;&gt;""," / "&amp;INDEX('CARNET DE SOUDURE'!$S$7:$S$3006,MATCH(277,'CARNET DE SOUDURE'!$AV$7:$AV$3006,0)),"")&amp;IF(INDEX('CARNET DE SOUDURE'!$T$7:$T$3006,MATCH(277,'CARNET DE SOUDURE'!$AV$7:$AV$3006,0))&lt;&gt;""," / "&amp;INDEX('CARNET DE SOUDURE'!$T$7:$T$3006,MATCH(277,'CARNET DE SOUDURE'!$AV$7:$AV$3006,0)),""))</f>
        <v/>
      </c>
      <c r="F288" s="126" t="str">
        <f aca="false">IF($B288="","",INDEX('CARNET DE SOUDURE'!$Y$7:$Y$3006,MATCH(277,'CARNET DE SOUDURE'!$AV$7:$AV$3006,0)))</f>
        <v/>
      </c>
      <c r="G288" s="125" t="str">
        <f aca="false">IF($B288="","",INDEX('CARNET DE SOUDURE'!$Z$7:$Z$3006,MATCH(277,'CARNET DE SOUDURE'!$AV$7:$AV$3006,0))&amp;"")</f>
        <v/>
      </c>
      <c r="H288" s="127" t="str">
        <f aca="false">IF($B288="","",INDEX('CARNET DE SOUDURE'!$AA$7:$AA$3006,MATCH(277,'CARNET DE SOUDURE'!$AV$7:$AV$3006,0)))</f>
        <v/>
      </c>
      <c r="I288" s="125" t="str">
        <f aca="false">IF($B288="","",INDEX('CARNET DE SOUDURE'!$AB$7:$AB$3006,MATCH(277,'CARNET DE SOUDURE'!$AV$7:$AV$3006,0))&amp;"")</f>
        <v/>
      </c>
      <c r="J288" s="125" t="str">
        <f aca="false">IF($B288="","",INDEX('CARNET DE SOUDURE'!$AC$7:$AC$3006,MATCH(277,'CARNET DE SOUDURE'!$AV$7:$AV$3006,0))&amp;IF(INDEX('CARNET DE SOUDURE'!$AH$7:$AH$3006,MATCH(277,'CARNET DE SOUDURE'!$AV$7:$AV$3006,0))&lt;&gt;""," / "&amp;INDEX('CARNET DE SOUDURE'!$AH$7:$AH$3006,MATCH(277,'CARNET DE SOUDURE'!$AV$7:$AV$3006,0)),""))</f>
        <v/>
      </c>
      <c r="K288" s="125" t="str">
        <f aca="false">IF($B288="","",INDEX('CARNET DE SOUDURE'!$AD$7:$AD$3006,MATCH(277,'CARNET DE SOUDURE'!$AV$7:$AV$3006,0))&amp;IF(INDEX('CARNET DE SOUDURE'!$AI$7:$AI$3006,MATCH(277,'CARNET DE SOUDURE'!$AV$7:$AV$3006,0))&lt;&gt;""," / "&amp;INDEX('CARNET DE SOUDURE'!$AI$7:$AI$3006,MATCH(277,'CARNET DE SOUDURE'!$AV$7:$AV$3006,0)),""))</f>
        <v/>
      </c>
      <c r="L288" s="125" t="str">
        <f aca="false">IF($B288="","",INDEX('CARNET DE SOUDURE'!$AG$7:$AG$3006,MATCH(277,'CARNET DE SOUDURE'!$AV$7:$AV$3006,0))&amp;IF(INDEX('CARNET DE SOUDURE'!$AL$7:$AL$3006,MATCH(277,'CARNET DE SOUDURE'!$AV$7:$AV$3006,0))&lt;&gt;""," / "&amp;INDEX('CARNET DE SOUDURE'!$AL$7:$AL$3006,MATCH(277,'CARNET DE SOUDURE'!$AV$7:$AV$3006,0)),""))</f>
        <v/>
      </c>
      <c r="M288" s="127" t="str">
        <f aca="false">IF($B288="","",INDEX('CARNET DE SOUDURE'!$AP$7:$AP$3006,MATCH(277,'CARNET DE SOUDURE'!$AV$7:$AV$3006,0)))</f>
        <v/>
      </c>
      <c r="N288" s="127" t="str">
        <f aca="false">IF($B288="","",INDEX('CARNET DE SOUDURE'!$AQ$7:$AQ$3006,MATCH(277,'CARNET DE SOUDURE'!$AV$7:$AV$3006,0)))</f>
        <v/>
      </c>
      <c r="O288" s="128" t="str">
        <f aca="false">IF($B288="","",INDEX('CARNET DE SOUDURE'!$AR$7:$AR$3006,MATCH(277,'CARNET DE SOUDURE'!$AV$7:$AV$3006,0)))</f>
        <v/>
      </c>
    </row>
    <row r="289" customFormat="false" ht="15" hidden="false" customHeight="false" outlineLevel="0" collapsed="false">
      <c r="B289" s="130" t="str">
        <f aca="false">IF(278&gt;$I$4,"",278)</f>
        <v/>
      </c>
      <c r="C289" s="130" t="str">
        <f aca="false">IF($B289="","",INDEX('CARNET DE SOUDURE'!$B$7:$B$3006,MATCH(278,'CARNET DE SOUDURE'!$AV$7:$AV$3006,0)))</f>
        <v/>
      </c>
      <c r="D289" s="130" t="str">
        <f aca="false">IF($B289="","",INDEX('CARNET DE SOUDURE'!$E$7:$E$3006,MATCH(278,'CARNET DE SOUDURE'!$AV$7:$AV$3006,0)))</f>
        <v/>
      </c>
      <c r="E289" s="130" t="str">
        <f aca="false">IF($B289="","",INDEX('CARNET DE SOUDURE'!$R$7:$R$3006,MATCH(278,'CARNET DE SOUDURE'!$AV$7:$AV$3006,0))&amp;IF(INDEX('CARNET DE SOUDURE'!$S$7:$S$3006,MATCH(278,'CARNET DE SOUDURE'!$AV$7:$AV$3006,0))&lt;&gt;""," / "&amp;INDEX('CARNET DE SOUDURE'!$S$7:$S$3006,MATCH(278,'CARNET DE SOUDURE'!$AV$7:$AV$3006,0)),"")&amp;IF(INDEX('CARNET DE SOUDURE'!$T$7:$T$3006,MATCH(278,'CARNET DE SOUDURE'!$AV$7:$AV$3006,0))&lt;&gt;""," / "&amp;INDEX('CARNET DE SOUDURE'!$T$7:$T$3006,MATCH(278,'CARNET DE SOUDURE'!$AV$7:$AV$3006,0)),""))</f>
        <v/>
      </c>
      <c r="F289" s="131" t="str">
        <f aca="false">IF($B289="","",INDEX('CARNET DE SOUDURE'!$Y$7:$Y$3006,MATCH(278,'CARNET DE SOUDURE'!$AV$7:$AV$3006,0)))</f>
        <v/>
      </c>
      <c r="G289" s="130" t="str">
        <f aca="false">IF($B289="","",INDEX('CARNET DE SOUDURE'!$Z$7:$Z$3006,MATCH(278,'CARNET DE SOUDURE'!$AV$7:$AV$3006,0))&amp;"")</f>
        <v/>
      </c>
      <c r="H289" s="132" t="str">
        <f aca="false">IF($B289="","",INDEX('CARNET DE SOUDURE'!$AA$7:$AA$3006,MATCH(278,'CARNET DE SOUDURE'!$AV$7:$AV$3006,0)))</f>
        <v/>
      </c>
      <c r="I289" s="130" t="str">
        <f aca="false">IF($B289="","",INDEX('CARNET DE SOUDURE'!$AB$7:$AB$3006,MATCH(278,'CARNET DE SOUDURE'!$AV$7:$AV$3006,0))&amp;"")</f>
        <v/>
      </c>
      <c r="J289" s="130" t="str">
        <f aca="false">IF($B289="","",INDEX('CARNET DE SOUDURE'!$AC$7:$AC$3006,MATCH(278,'CARNET DE SOUDURE'!$AV$7:$AV$3006,0))&amp;IF(INDEX('CARNET DE SOUDURE'!$AH$7:$AH$3006,MATCH(278,'CARNET DE SOUDURE'!$AV$7:$AV$3006,0))&lt;&gt;""," / "&amp;INDEX('CARNET DE SOUDURE'!$AH$7:$AH$3006,MATCH(278,'CARNET DE SOUDURE'!$AV$7:$AV$3006,0)),""))</f>
        <v/>
      </c>
      <c r="K289" s="130" t="str">
        <f aca="false">IF($B289="","",INDEX('CARNET DE SOUDURE'!$AD$7:$AD$3006,MATCH(278,'CARNET DE SOUDURE'!$AV$7:$AV$3006,0))&amp;IF(INDEX('CARNET DE SOUDURE'!$AI$7:$AI$3006,MATCH(278,'CARNET DE SOUDURE'!$AV$7:$AV$3006,0))&lt;&gt;""," / "&amp;INDEX('CARNET DE SOUDURE'!$AI$7:$AI$3006,MATCH(278,'CARNET DE SOUDURE'!$AV$7:$AV$3006,0)),""))</f>
        <v/>
      </c>
      <c r="L289" s="130" t="str">
        <f aca="false">IF($B289="","",INDEX('CARNET DE SOUDURE'!$AG$7:$AG$3006,MATCH(278,'CARNET DE SOUDURE'!$AV$7:$AV$3006,0))&amp;IF(INDEX('CARNET DE SOUDURE'!$AL$7:$AL$3006,MATCH(278,'CARNET DE SOUDURE'!$AV$7:$AV$3006,0))&lt;&gt;""," / "&amp;INDEX('CARNET DE SOUDURE'!$AL$7:$AL$3006,MATCH(278,'CARNET DE SOUDURE'!$AV$7:$AV$3006,0)),""))</f>
        <v/>
      </c>
      <c r="M289" s="132" t="str">
        <f aca="false">IF($B289="","",INDEX('CARNET DE SOUDURE'!$AP$7:$AP$3006,MATCH(278,'CARNET DE SOUDURE'!$AV$7:$AV$3006,0)))</f>
        <v/>
      </c>
      <c r="N289" s="132" t="str">
        <f aca="false">IF($B289="","",INDEX('CARNET DE SOUDURE'!$AQ$7:$AQ$3006,MATCH(278,'CARNET DE SOUDURE'!$AV$7:$AV$3006,0)))</f>
        <v/>
      </c>
      <c r="O289" s="133" t="str">
        <f aca="false">IF($B289="","",INDEX('CARNET DE SOUDURE'!$AR$7:$AR$3006,MATCH(278,'CARNET DE SOUDURE'!$AV$7:$AV$3006,0)))</f>
        <v/>
      </c>
    </row>
    <row r="290" customFormat="false" ht="15" hidden="false" customHeight="false" outlineLevel="0" collapsed="false">
      <c r="B290" s="125" t="str">
        <f aca="false">IF(279&gt;$I$4,"",279)</f>
        <v/>
      </c>
      <c r="C290" s="125" t="str">
        <f aca="false">IF($B290="","",INDEX('CARNET DE SOUDURE'!$B$7:$B$3006,MATCH(279,'CARNET DE SOUDURE'!$AV$7:$AV$3006,0)))</f>
        <v/>
      </c>
      <c r="D290" s="125" t="str">
        <f aca="false">IF($B290="","",INDEX('CARNET DE SOUDURE'!$E$7:$E$3006,MATCH(279,'CARNET DE SOUDURE'!$AV$7:$AV$3006,0)))</f>
        <v/>
      </c>
      <c r="E290" s="125" t="str">
        <f aca="false">IF($B290="","",INDEX('CARNET DE SOUDURE'!$R$7:$R$3006,MATCH(279,'CARNET DE SOUDURE'!$AV$7:$AV$3006,0))&amp;IF(INDEX('CARNET DE SOUDURE'!$S$7:$S$3006,MATCH(279,'CARNET DE SOUDURE'!$AV$7:$AV$3006,0))&lt;&gt;""," / "&amp;INDEX('CARNET DE SOUDURE'!$S$7:$S$3006,MATCH(279,'CARNET DE SOUDURE'!$AV$7:$AV$3006,0)),"")&amp;IF(INDEX('CARNET DE SOUDURE'!$T$7:$T$3006,MATCH(279,'CARNET DE SOUDURE'!$AV$7:$AV$3006,0))&lt;&gt;""," / "&amp;INDEX('CARNET DE SOUDURE'!$T$7:$T$3006,MATCH(279,'CARNET DE SOUDURE'!$AV$7:$AV$3006,0)),""))</f>
        <v/>
      </c>
      <c r="F290" s="126" t="str">
        <f aca="false">IF($B290="","",INDEX('CARNET DE SOUDURE'!$Y$7:$Y$3006,MATCH(279,'CARNET DE SOUDURE'!$AV$7:$AV$3006,0)))</f>
        <v/>
      </c>
      <c r="G290" s="125" t="str">
        <f aca="false">IF($B290="","",INDEX('CARNET DE SOUDURE'!$Z$7:$Z$3006,MATCH(279,'CARNET DE SOUDURE'!$AV$7:$AV$3006,0))&amp;"")</f>
        <v/>
      </c>
      <c r="H290" s="127" t="str">
        <f aca="false">IF($B290="","",INDEX('CARNET DE SOUDURE'!$AA$7:$AA$3006,MATCH(279,'CARNET DE SOUDURE'!$AV$7:$AV$3006,0)))</f>
        <v/>
      </c>
      <c r="I290" s="125" t="str">
        <f aca="false">IF($B290="","",INDEX('CARNET DE SOUDURE'!$AB$7:$AB$3006,MATCH(279,'CARNET DE SOUDURE'!$AV$7:$AV$3006,0))&amp;"")</f>
        <v/>
      </c>
      <c r="J290" s="125" t="str">
        <f aca="false">IF($B290="","",INDEX('CARNET DE SOUDURE'!$AC$7:$AC$3006,MATCH(279,'CARNET DE SOUDURE'!$AV$7:$AV$3006,0))&amp;IF(INDEX('CARNET DE SOUDURE'!$AH$7:$AH$3006,MATCH(279,'CARNET DE SOUDURE'!$AV$7:$AV$3006,0))&lt;&gt;""," / "&amp;INDEX('CARNET DE SOUDURE'!$AH$7:$AH$3006,MATCH(279,'CARNET DE SOUDURE'!$AV$7:$AV$3006,0)),""))</f>
        <v/>
      </c>
      <c r="K290" s="125" t="str">
        <f aca="false">IF($B290="","",INDEX('CARNET DE SOUDURE'!$AD$7:$AD$3006,MATCH(279,'CARNET DE SOUDURE'!$AV$7:$AV$3006,0))&amp;IF(INDEX('CARNET DE SOUDURE'!$AI$7:$AI$3006,MATCH(279,'CARNET DE SOUDURE'!$AV$7:$AV$3006,0))&lt;&gt;""," / "&amp;INDEX('CARNET DE SOUDURE'!$AI$7:$AI$3006,MATCH(279,'CARNET DE SOUDURE'!$AV$7:$AV$3006,0)),""))</f>
        <v/>
      </c>
      <c r="L290" s="125" t="str">
        <f aca="false">IF($B290="","",INDEX('CARNET DE SOUDURE'!$AG$7:$AG$3006,MATCH(279,'CARNET DE SOUDURE'!$AV$7:$AV$3006,0))&amp;IF(INDEX('CARNET DE SOUDURE'!$AL$7:$AL$3006,MATCH(279,'CARNET DE SOUDURE'!$AV$7:$AV$3006,0))&lt;&gt;""," / "&amp;INDEX('CARNET DE SOUDURE'!$AL$7:$AL$3006,MATCH(279,'CARNET DE SOUDURE'!$AV$7:$AV$3006,0)),""))</f>
        <v/>
      </c>
      <c r="M290" s="127" t="str">
        <f aca="false">IF($B290="","",INDEX('CARNET DE SOUDURE'!$AP$7:$AP$3006,MATCH(279,'CARNET DE SOUDURE'!$AV$7:$AV$3006,0)))</f>
        <v/>
      </c>
      <c r="N290" s="127" t="str">
        <f aca="false">IF($B290="","",INDEX('CARNET DE SOUDURE'!$AQ$7:$AQ$3006,MATCH(279,'CARNET DE SOUDURE'!$AV$7:$AV$3006,0)))</f>
        <v/>
      </c>
      <c r="O290" s="128" t="str">
        <f aca="false">IF($B290="","",INDEX('CARNET DE SOUDURE'!$AR$7:$AR$3006,MATCH(279,'CARNET DE SOUDURE'!$AV$7:$AV$3006,0)))</f>
        <v/>
      </c>
    </row>
    <row r="291" customFormat="false" ht="15" hidden="false" customHeight="false" outlineLevel="0" collapsed="false">
      <c r="B291" s="130" t="str">
        <f aca="false">IF(280&gt;$I$4,"",280)</f>
        <v/>
      </c>
      <c r="C291" s="130" t="str">
        <f aca="false">IF($B291="","",INDEX('CARNET DE SOUDURE'!$B$7:$B$3006,MATCH(280,'CARNET DE SOUDURE'!$AV$7:$AV$3006,0)))</f>
        <v/>
      </c>
      <c r="D291" s="130" t="str">
        <f aca="false">IF($B291="","",INDEX('CARNET DE SOUDURE'!$E$7:$E$3006,MATCH(280,'CARNET DE SOUDURE'!$AV$7:$AV$3006,0)))</f>
        <v/>
      </c>
      <c r="E291" s="130" t="str">
        <f aca="false">IF($B291="","",INDEX('CARNET DE SOUDURE'!$R$7:$R$3006,MATCH(280,'CARNET DE SOUDURE'!$AV$7:$AV$3006,0))&amp;IF(INDEX('CARNET DE SOUDURE'!$S$7:$S$3006,MATCH(280,'CARNET DE SOUDURE'!$AV$7:$AV$3006,0))&lt;&gt;""," / "&amp;INDEX('CARNET DE SOUDURE'!$S$7:$S$3006,MATCH(280,'CARNET DE SOUDURE'!$AV$7:$AV$3006,0)),"")&amp;IF(INDEX('CARNET DE SOUDURE'!$T$7:$T$3006,MATCH(280,'CARNET DE SOUDURE'!$AV$7:$AV$3006,0))&lt;&gt;""," / "&amp;INDEX('CARNET DE SOUDURE'!$T$7:$T$3006,MATCH(280,'CARNET DE SOUDURE'!$AV$7:$AV$3006,0)),""))</f>
        <v/>
      </c>
      <c r="F291" s="131" t="str">
        <f aca="false">IF($B291="","",INDEX('CARNET DE SOUDURE'!$Y$7:$Y$3006,MATCH(280,'CARNET DE SOUDURE'!$AV$7:$AV$3006,0)))</f>
        <v/>
      </c>
      <c r="G291" s="130" t="str">
        <f aca="false">IF($B291="","",INDEX('CARNET DE SOUDURE'!$Z$7:$Z$3006,MATCH(280,'CARNET DE SOUDURE'!$AV$7:$AV$3006,0))&amp;"")</f>
        <v/>
      </c>
      <c r="H291" s="132" t="str">
        <f aca="false">IF($B291="","",INDEX('CARNET DE SOUDURE'!$AA$7:$AA$3006,MATCH(280,'CARNET DE SOUDURE'!$AV$7:$AV$3006,0)))</f>
        <v/>
      </c>
      <c r="I291" s="130" t="str">
        <f aca="false">IF($B291="","",INDEX('CARNET DE SOUDURE'!$AB$7:$AB$3006,MATCH(280,'CARNET DE SOUDURE'!$AV$7:$AV$3006,0))&amp;"")</f>
        <v/>
      </c>
      <c r="J291" s="130" t="str">
        <f aca="false">IF($B291="","",INDEX('CARNET DE SOUDURE'!$AC$7:$AC$3006,MATCH(280,'CARNET DE SOUDURE'!$AV$7:$AV$3006,0))&amp;IF(INDEX('CARNET DE SOUDURE'!$AH$7:$AH$3006,MATCH(280,'CARNET DE SOUDURE'!$AV$7:$AV$3006,0))&lt;&gt;""," / "&amp;INDEX('CARNET DE SOUDURE'!$AH$7:$AH$3006,MATCH(280,'CARNET DE SOUDURE'!$AV$7:$AV$3006,0)),""))</f>
        <v/>
      </c>
      <c r="K291" s="130" t="str">
        <f aca="false">IF($B291="","",INDEX('CARNET DE SOUDURE'!$AD$7:$AD$3006,MATCH(280,'CARNET DE SOUDURE'!$AV$7:$AV$3006,0))&amp;IF(INDEX('CARNET DE SOUDURE'!$AI$7:$AI$3006,MATCH(280,'CARNET DE SOUDURE'!$AV$7:$AV$3006,0))&lt;&gt;""," / "&amp;INDEX('CARNET DE SOUDURE'!$AI$7:$AI$3006,MATCH(280,'CARNET DE SOUDURE'!$AV$7:$AV$3006,0)),""))</f>
        <v/>
      </c>
      <c r="L291" s="130" t="str">
        <f aca="false">IF($B291="","",INDEX('CARNET DE SOUDURE'!$AG$7:$AG$3006,MATCH(280,'CARNET DE SOUDURE'!$AV$7:$AV$3006,0))&amp;IF(INDEX('CARNET DE SOUDURE'!$AL$7:$AL$3006,MATCH(280,'CARNET DE SOUDURE'!$AV$7:$AV$3006,0))&lt;&gt;""," / "&amp;INDEX('CARNET DE SOUDURE'!$AL$7:$AL$3006,MATCH(280,'CARNET DE SOUDURE'!$AV$7:$AV$3006,0)),""))</f>
        <v/>
      </c>
      <c r="M291" s="132" t="str">
        <f aca="false">IF($B291="","",INDEX('CARNET DE SOUDURE'!$AP$7:$AP$3006,MATCH(280,'CARNET DE SOUDURE'!$AV$7:$AV$3006,0)))</f>
        <v/>
      </c>
      <c r="N291" s="132" t="str">
        <f aca="false">IF($B291="","",INDEX('CARNET DE SOUDURE'!$AQ$7:$AQ$3006,MATCH(280,'CARNET DE SOUDURE'!$AV$7:$AV$3006,0)))</f>
        <v/>
      </c>
      <c r="O291" s="133" t="str">
        <f aca="false">IF($B291="","",INDEX('CARNET DE SOUDURE'!$AR$7:$AR$3006,MATCH(280,'CARNET DE SOUDURE'!$AV$7:$AV$3006,0)))</f>
        <v/>
      </c>
    </row>
    <row r="292" customFormat="false" ht="15" hidden="false" customHeight="false" outlineLevel="0" collapsed="false">
      <c r="B292" s="125" t="str">
        <f aca="false">IF(281&gt;$I$4,"",281)</f>
        <v/>
      </c>
      <c r="C292" s="125" t="str">
        <f aca="false">IF($B292="","",INDEX('CARNET DE SOUDURE'!$B$7:$B$3006,MATCH(281,'CARNET DE SOUDURE'!$AV$7:$AV$3006,0)))</f>
        <v/>
      </c>
      <c r="D292" s="125" t="str">
        <f aca="false">IF($B292="","",INDEX('CARNET DE SOUDURE'!$E$7:$E$3006,MATCH(281,'CARNET DE SOUDURE'!$AV$7:$AV$3006,0)))</f>
        <v/>
      </c>
      <c r="E292" s="125" t="str">
        <f aca="false">IF($B292="","",INDEX('CARNET DE SOUDURE'!$R$7:$R$3006,MATCH(281,'CARNET DE SOUDURE'!$AV$7:$AV$3006,0))&amp;IF(INDEX('CARNET DE SOUDURE'!$S$7:$S$3006,MATCH(281,'CARNET DE SOUDURE'!$AV$7:$AV$3006,0))&lt;&gt;""," / "&amp;INDEX('CARNET DE SOUDURE'!$S$7:$S$3006,MATCH(281,'CARNET DE SOUDURE'!$AV$7:$AV$3006,0)),"")&amp;IF(INDEX('CARNET DE SOUDURE'!$T$7:$T$3006,MATCH(281,'CARNET DE SOUDURE'!$AV$7:$AV$3006,0))&lt;&gt;""," / "&amp;INDEX('CARNET DE SOUDURE'!$T$7:$T$3006,MATCH(281,'CARNET DE SOUDURE'!$AV$7:$AV$3006,0)),""))</f>
        <v/>
      </c>
      <c r="F292" s="126" t="str">
        <f aca="false">IF($B292="","",INDEX('CARNET DE SOUDURE'!$Y$7:$Y$3006,MATCH(281,'CARNET DE SOUDURE'!$AV$7:$AV$3006,0)))</f>
        <v/>
      </c>
      <c r="G292" s="125" t="str">
        <f aca="false">IF($B292="","",INDEX('CARNET DE SOUDURE'!$Z$7:$Z$3006,MATCH(281,'CARNET DE SOUDURE'!$AV$7:$AV$3006,0))&amp;"")</f>
        <v/>
      </c>
      <c r="H292" s="127" t="str">
        <f aca="false">IF($B292="","",INDEX('CARNET DE SOUDURE'!$AA$7:$AA$3006,MATCH(281,'CARNET DE SOUDURE'!$AV$7:$AV$3006,0)))</f>
        <v/>
      </c>
      <c r="I292" s="125" t="str">
        <f aca="false">IF($B292="","",INDEX('CARNET DE SOUDURE'!$AB$7:$AB$3006,MATCH(281,'CARNET DE SOUDURE'!$AV$7:$AV$3006,0))&amp;"")</f>
        <v/>
      </c>
      <c r="J292" s="125" t="str">
        <f aca="false">IF($B292="","",INDEX('CARNET DE SOUDURE'!$AC$7:$AC$3006,MATCH(281,'CARNET DE SOUDURE'!$AV$7:$AV$3006,0))&amp;IF(INDEX('CARNET DE SOUDURE'!$AH$7:$AH$3006,MATCH(281,'CARNET DE SOUDURE'!$AV$7:$AV$3006,0))&lt;&gt;""," / "&amp;INDEX('CARNET DE SOUDURE'!$AH$7:$AH$3006,MATCH(281,'CARNET DE SOUDURE'!$AV$7:$AV$3006,0)),""))</f>
        <v/>
      </c>
      <c r="K292" s="125" t="str">
        <f aca="false">IF($B292="","",INDEX('CARNET DE SOUDURE'!$AD$7:$AD$3006,MATCH(281,'CARNET DE SOUDURE'!$AV$7:$AV$3006,0))&amp;IF(INDEX('CARNET DE SOUDURE'!$AI$7:$AI$3006,MATCH(281,'CARNET DE SOUDURE'!$AV$7:$AV$3006,0))&lt;&gt;""," / "&amp;INDEX('CARNET DE SOUDURE'!$AI$7:$AI$3006,MATCH(281,'CARNET DE SOUDURE'!$AV$7:$AV$3006,0)),""))</f>
        <v/>
      </c>
      <c r="L292" s="125" t="str">
        <f aca="false">IF($B292="","",INDEX('CARNET DE SOUDURE'!$AG$7:$AG$3006,MATCH(281,'CARNET DE SOUDURE'!$AV$7:$AV$3006,0))&amp;IF(INDEX('CARNET DE SOUDURE'!$AL$7:$AL$3006,MATCH(281,'CARNET DE SOUDURE'!$AV$7:$AV$3006,0))&lt;&gt;""," / "&amp;INDEX('CARNET DE SOUDURE'!$AL$7:$AL$3006,MATCH(281,'CARNET DE SOUDURE'!$AV$7:$AV$3006,0)),""))</f>
        <v/>
      </c>
      <c r="M292" s="127" t="str">
        <f aca="false">IF($B292="","",INDEX('CARNET DE SOUDURE'!$AP$7:$AP$3006,MATCH(281,'CARNET DE SOUDURE'!$AV$7:$AV$3006,0)))</f>
        <v/>
      </c>
      <c r="N292" s="127" t="str">
        <f aca="false">IF($B292="","",INDEX('CARNET DE SOUDURE'!$AQ$7:$AQ$3006,MATCH(281,'CARNET DE SOUDURE'!$AV$7:$AV$3006,0)))</f>
        <v/>
      </c>
      <c r="O292" s="128" t="str">
        <f aca="false">IF($B292="","",INDEX('CARNET DE SOUDURE'!$AR$7:$AR$3006,MATCH(281,'CARNET DE SOUDURE'!$AV$7:$AV$3006,0)))</f>
        <v/>
      </c>
    </row>
    <row r="293" customFormat="false" ht="15" hidden="false" customHeight="false" outlineLevel="0" collapsed="false">
      <c r="B293" s="130" t="str">
        <f aca="false">IF(282&gt;$I$4,"",282)</f>
        <v/>
      </c>
      <c r="C293" s="130" t="str">
        <f aca="false">IF($B293="","",INDEX('CARNET DE SOUDURE'!$B$7:$B$3006,MATCH(282,'CARNET DE SOUDURE'!$AV$7:$AV$3006,0)))</f>
        <v/>
      </c>
      <c r="D293" s="130" t="str">
        <f aca="false">IF($B293="","",INDEX('CARNET DE SOUDURE'!$E$7:$E$3006,MATCH(282,'CARNET DE SOUDURE'!$AV$7:$AV$3006,0)))</f>
        <v/>
      </c>
      <c r="E293" s="130" t="str">
        <f aca="false">IF($B293="","",INDEX('CARNET DE SOUDURE'!$R$7:$R$3006,MATCH(282,'CARNET DE SOUDURE'!$AV$7:$AV$3006,0))&amp;IF(INDEX('CARNET DE SOUDURE'!$S$7:$S$3006,MATCH(282,'CARNET DE SOUDURE'!$AV$7:$AV$3006,0))&lt;&gt;""," / "&amp;INDEX('CARNET DE SOUDURE'!$S$7:$S$3006,MATCH(282,'CARNET DE SOUDURE'!$AV$7:$AV$3006,0)),"")&amp;IF(INDEX('CARNET DE SOUDURE'!$T$7:$T$3006,MATCH(282,'CARNET DE SOUDURE'!$AV$7:$AV$3006,0))&lt;&gt;""," / "&amp;INDEX('CARNET DE SOUDURE'!$T$7:$T$3006,MATCH(282,'CARNET DE SOUDURE'!$AV$7:$AV$3006,0)),""))</f>
        <v/>
      </c>
      <c r="F293" s="131" t="str">
        <f aca="false">IF($B293="","",INDEX('CARNET DE SOUDURE'!$Y$7:$Y$3006,MATCH(282,'CARNET DE SOUDURE'!$AV$7:$AV$3006,0)))</f>
        <v/>
      </c>
      <c r="G293" s="130" t="str">
        <f aca="false">IF($B293="","",INDEX('CARNET DE SOUDURE'!$Z$7:$Z$3006,MATCH(282,'CARNET DE SOUDURE'!$AV$7:$AV$3006,0))&amp;"")</f>
        <v/>
      </c>
      <c r="H293" s="132" t="str">
        <f aca="false">IF($B293="","",INDEX('CARNET DE SOUDURE'!$AA$7:$AA$3006,MATCH(282,'CARNET DE SOUDURE'!$AV$7:$AV$3006,0)))</f>
        <v/>
      </c>
      <c r="I293" s="130" t="str">
        <f aca="false">IF($B293="","",INDEX('CARNET DE SOUDURE'!$AB$7:$AB$3006,MATCH(282,'CARNET DE SOUDURE'!$AV$7:$AV$3006,0))&amp;"")</f>
        <v/>
      </c>
      <c r="J293" s="130" t="str">
        <f aca="false">IF($B293="","",INDEX('CARNET DE SOUDURE'!$AC$7:$AC$3006,MATCH(282,'CARNET DE SOUDURE'!$AV$7:$AV$3006,0))&amp;IF(INDEX('CARNET DE SOUDURE'!$AH$7:$AH$3006,MATCH(282,'CARNET DE SOUDURE'!$AV$7:$AV$3006,0))&lt;&gt;""," / "&amp;INDEX('CARNET DE SOUDURE'!$AH$7:$AH$3006,MATCH(282,'CARNET DE SOUDURE'!$AV$7:$AV$3006,0)),""))</f>
        <v/>
      </c>
      <c r="K293" s="130" t="str">
        <f aca="false">IF($B293="","",INDEX('CARNET DE SOUDURE'!$AD$7:$AD$3006,MATCH(282,'CARNET DE SOUDURE'!$AV$7:$AV$3006,0))&amp;IF(INDEX('CARNET DE SOUDURE'!$AI$7:$AI$3006,MATCH(282,'CARNET DE SOUDURE'!$AV$7:$AV$3006,0))&lt;&gt;""," / "&amp;INDEX('CARNET DE SOUDURE'!$AI$7:$AI$3006,MATCH(282,'CARNET DE SOUDURE'!$AV$7:$AV$3006,0)),""))</f>
        <v/>
      </c>
      <c r="L293" s="130" t="str">
        <f aca="false">IF($B293="","",INDEX('CARNET DE SOUDURE'!$AG$7:$AG$3006,MATCH(282,'CARNET DE SOUDURE'!$AV$7:$AV$3006,0))&amp;IF(INDEX('CARNET DE SOUDURE'!$AL$7:$AL$3006,MATCH(282,'CARNET DE SOUDURE'!$AV$7:$AV$3006,0))&lt;&gt;""," / "&amp;INDEX('CARNET DE SOUDURE'!$AL$7:$AL$3006,MATCH(282,'CARNET DE SOUDURE'!$AV$7:$AV$3006,0)),""))</f>
        <v/>
      </c>
      <c r="M293" s="132" t="str">
        <f aca="false">IF($B293="","",INDEX('CARNET DE SOUDURE'!$AP$7:$AP$3006,MATCH(282,'CARNET DE SOUDURE'!$AV$7:$AV$3006,0)))</f>
        <v/>
      </c>
      <c r="N293" s="132" t="str">
        <f aca="false">IF($B293="","",INDEX('CARNET DE SOUDURE'!$AQ$7:$AQ$3006,MATCH(282,'CARNET DE SOUDURE'!$AV$7:$AV$3006,0)))</f>
        <v/>
      </c>
      <c r="O293" s="133" t="str">
        <f aca="false">IF($B293="","",INDEX('CARNET DE SOUDURE'!$AR$7:$AR$3006,MATCH(282,'CARNET DE SOUDURE'!$AV$7:$AV$3006,0)))</f>
        <v/>
      </c>
    </row>
    <row r="294" customFormat="false" ht="15" hidden="false" customHeight="false" outlineLevel="0" collapsed="false">
      <c r="B294" s="125" t="str">
        <f aca="false">IF(283&gt;$I$4,"",283)</f>
        <v/>
      </c>
      <c r="C294" s="125" t="str">
        <f aca="false">IF($B294="","",INDEX('CARNET DE SOUDURE'!$B$7:$B$3006,MATCH(283,'CARNET DE SOUDURE'!$AV$7:$AV$3006,0)))</f>
        <v/>
      </c>
      <c r="D294" s="125" t="str">
        <f aca="false">IF($B294="","",INDEX('CARNET DE SOUDURE'!$E$7:$E$3006,MATCH(283,'CARNET DE SOUDURE'!$AV$7:$AV$3006,0)))</f>
        <v/>
      </c>
      <c r="E294" s="125" t="str">
        <f aca="false">IF($B294="","",INDEX('CARNET DE SOUDURE'!$R$7:$R$3006,MATCH(283,'CARNET DE SOUDURE'!$AV$7:$AV$3006,0))&amp;IF(INDEX('CARNET DE SOUDURE'!$S$7:$S$3006,MATCH(283,'CARNET DE SOUDURE'!$AV$7:$AV$3006,0))&lt;&gt;""," / "&amp;INDEX('CARNET DE SOUDURE'!$S$7:$S$3006,MATCH(283,'CARNET DE SOUDURE'!$AV$7:$AV$3006,0)),"")&amp;IF(INDEX('CARNET DE SOUDURE'!$T$7:$T$3006,MATCH(283,'CARNET DE SOUDURE'!$AV$7:$AV$3006,0))&lt;&gt;""," / "&amp;INDEX('CARNET DE SOUDURE'!$T$7:$T$3006,MATCH(283,'CARNET DE SOUDURE'!$AV$7:$AV$3006,0)),""))</f>
        <v/>
      </c>
      <c r="F294" s="126" t="str">
        <f aca="false">IF($B294="","",INDEX('CARNET DE SOUDURE'!$Y$7:$Y$3006,MATCH(283,'CARNET DE SOUDURE'!$AV$7:$AV$3006,0)))</f>
        <v/>
      </c>
      <c r="G294" s="125" t="str">
        <f aca="false">IF($B294="","",INDEX('CARNET DE SOUDURE'!$Z$7:$Z$3006,MATCH(283,'CARNET DE SOUDURE'!$AV$7:$AV$3006,0))&amp;"")</f>
        <v/>
      </c>
      <c r="H294" s="127" t="str">
        <f aca="false">IF($B294="","",INDEX('CARNET DE SOUDURE'!$AA$7:$AA$3006,MATCH(283,'CARNET DE SOUDURE'!$AV$7:$AV$3006,0)))</f>
        <v/>
      </c>
      <c r="I294" s="125" t="str">
        <f aca="false">IF($B294="","",INDEX('CARNET DE SOUDURE'!$AB$7:$AB$3006,MATCH(283,'CARNET DE SOUDURE'!$AV$7:$AV$3006,0))&amp;"")</f>
        <v/>
      </c>
      <c r="J294" s="125" t="str">
        <f aca="false">IF($B294="","",INDEX('CARNET DE SOUDURE'!$AC$7:$AC$3006,MATCH(283,'CARNET DE SOUDURE'!$AV$7:$AV$3006,0))&amp;IF(INDEX('CARNET DE SOUDURE'!$AH$7:$AH$3006,MATCH(283,'CARNET DE SOUDURE'!$AV$7:$AV$3006,0))&lt;&gt;""," / "&amp;INDEX('CARNET DE SOUDURE'!$AH$7:$AH$3006,MATCH(283,'CARNET DE SOUDURE'!$AV$7:$AV$3006,0)),""))</f>
        <v/>
      </c>
      <c r="K294" s="125" t="str">
        <f aca="false">IF($B294="","",INDEX('CARNET DE SOUDURE'!$AD$7:$AD$3006,MATCH(283,'CARNET DE SOUDURE'!$AV$7:$AV$3006,0))&amp;IF(INDEX('CARNET DE SOUDURE'!$AI$7:$AI$3006,MATCH(283,'CARNET DE SOUDURE'!$AV$7:$AV$3006,0))&lt;&gt;""," / "&amp;INDEX('CARNET DE SOUDURE'!$AI$7:$AI$3006,MATCH(283,'CARNET DE SOUDURE'!$AV$7:$AV$3006,0)),""))</f>
        <v/>
      </c>
      <c r="L294" s="125" t="str">
        <f aca="false">IF($B294="","",INDEX('CARNET DE SOUDURE'!$AG$7:$AG$3006,MATCH(283,'CARNET DE SOUDURE'!$AV$7:$AV$3006,0))&amp;IF(INDEX('CARNET DE SOUDURE'!$AL$7:$AL$3006,MATCH(283,'CARNET DE SOUDURE'!$AV$7:$AV$3006,0))&lt;&gt;""," / "&amp;INDEX('CARNET DE SOUDURE'!$AL$7:$AL$3006,MATCH(283,'CARNET DE SOUDURE'!$AV$7:$AV$3006,0)),""))</f>
        <v/>
      </c>
      <c r="M294" s="127" t="str">
        <f aca="false">IF($B294="","",INDEX('CARNET DE SOUDURE'!$AP$7:$AP$3006,MATCH(283,'CARNET DE SOUDURE'!$AV$7:$AV$3006,0)))</f>
        <v/>
      </c>
      <c r="N294" s="127" t="str">
        <f aca="false">IF($B294="","",INDEX('CARNET DE SOUDURE'!$AQ$7:$AQ$3006,MATCH(283,'CARNET DE SOUDURE'!$AV$7:$AV$3006,0)))</f>
        <v/>
      </c>
      <c r="O294" s="128" t="str">
        <f aca="false">IF($B294="","",INDEX('CARNET DE SOUDURE'!$AR$7:$AR$3006,MATCH(283,'CARNET DE SOUDURE'!$AV$7:$AV$3006,0)))</f>
        <v/>
      </c>
    </row>
    <row r="295" customFormat="false" ht="15" hidden="false" customHeight="false" outlineLevel="0" collapsed="false">
      <c r="B295" s="130" t="str">
        <f aca="false">IF(284&gt;$I$4,"",284)</f>
        <v/>
      </c>
      <c r="C295" s="130" t="str">
        <f aca="false">IF($B295="","",INDEX('CARNET DE SOUDURE'!$B$7:$B$3006,MATCH(284,'CARNET DE SOUDURE'!$AV$7:$AV$3006,0)))</f>
        <v/>
      </c>
      <c r="D295" s="130" t="str">
        <f aca="false">IF($B295="","",INDEX('CARNET DE SOUDURE'!$E$7:$E$3006,MATCH(284,'CARNET DE SOUDURE'!$AV$7:$AV$3006,0)))</f>
        <v/>
      </c>
      <c r="E295" s="130" t="str">
        <f aca="false">IF($B295="","",INDEX('CARNET DE SOUDURE'!$R$7:$R$3006,MATCH(284,'CARNET DE SOUDURE'!$AV$7:$AV$3006,0))&amp;IF(INDEX('CARNET DE SOUDURE'!$S$7:$S$3006,MATCH(284,'CARNET DE SOUDURE'!$AV$7:$AV$3006,0))&lt;&gt;""," / "&amp;INDEX('CARNET DE SOUDURE'!$S$7:$S$3006,MATCH(284,'CARNET DE SOUDURE'!$AV$7:$AV$3006,0)),"")&amp;IF(INDEX('CARNET DE SOUDURE'!$T$7:$T$3006,MATCH(284,'CARNET DE SOUDURE'!$AV$7:$AV$3006,0))&lt;&gt;""," / "&amp;INDEX('CARNET DE SOUDURE'!$T$7:$T$3006,MATCH(284,'CARNET DE SOUDURE'!$AV$7:$AV$3006,0)),""))</f>
        <v/>
      </c>
      <c r="F295" s="131" t="str">
        <f aca="false">IF($B295="","",INDEX('CARNET DE SOUDURE'!$Y$7:$Y$3006,MATCH(284,'CARNET DE SOUDURE'!$AV$7:$AV$3006,0)))</f>
        <v/>
      </c>
      <c r="G295" s="130" t="str">
        <f aca="false">IF($B295="","",INDEX('CARNET DE SOUDURE'!$Z$7:$Z$3006,MATCH(284,'CARNET DE SOUDURE'!$AV$7:$AV$3006,0))&amp;"")</f>
        <v/>
      </c>
      <c r="H295" s="132" t="str">
        <f aca="false">IF($B295="","",INDEX('CARNET DE SOUDURE'!$AA$7:$AA$3006,MATCH(284,'CARNET DE SOUDURE'!$AV$7:$AV$3006,0)))</f>
        <v/>
      </c>
      <c r="I295" s="130" t="str">
        <f aca="false">IF($B295="","",INDEX('CARNET DE SOUDURE'!$AB$7:$AB$3006,MATCH(284,'CARNET DE SOUDURE'!$AV$7:$AV$3006,0))&amp;"")</f>
        <v/>
      </c>
      <c r="J295" s="130" t="str">
        <f aca="false">IF($B295="","",INDEX('CARNET DE SOUDURE'!$AC$7:$AC$3006,MATCH(284,'CARNET DE SOUDURE'!$AV$7:$AV$3006,0))&amp;IF(INDEX('CARNET DE SOUDURE'!$AH$7:$AH$3006,MATCH(284,'CARNET DE SOUDURE'!$AV$7:$AV$3006,0))&lt;&gt;""," / "&amp;INDEX('CARNET DE SOUDURE'!$AH$7:$AH$3006,MATCH(284,'CARNET DE SOUDURE'!$AV$7:$AV$3006,0)),""))</f>
        <v/>
      </c>
      <c r="K295" s="130" t="str">
        <f aca="false">IF($B295="","",INDEX('CARNET DE SOUDURE'!$AD$7:$AD$3006,MATCH(284,'CARNET DE SOUDURE'!$AV$7:$AV$3006,0))&amp;IF(INDEX('CARNET DE SOUDURE'!$AI$7:$AI$3006,MATCH(284,'CARNET DE SOUDURE'!$AV$7:$AV$3006,0))&lt;&gt;""," / "&amp;INDEX('CARNET DE SOUDURE'!$AI$7:$AI$3006,MATCH(284,'CARNET DE SOUDURE'!$AV$7:$AV$3006,0)),""))</f>
        <v/>
      </c>
      <c r="L295" s="130" t="str">
        <f aca="false">IF($B295="","",INDEX('CARNET DE SOUDURE'!$AG$7:$AG$3006,MATCH(284,'CARNET DE SOUDURE'!$AV$7:$AV$3006,0))&amp;IF(INDEX('CARNET DE SOUDURE'!$AL$7:$AL$3006,MATCH(284,'CARNET DE SOUDURE'!$AV$7:$AV$3006,0))&lt;&gt;""," / "&amp;INDEX('CARNET DE SOUDURE'!$AL$7:$AL$3006,MATCH(284,'CARNET DE SOUDURE'!$AV$7:$AV$3006,0)),""))</f>
        <v/>
      </c>
      <c r="M295" s="132" t="str">
        <f aca="false">IF($B295="","",INDEX('CARNET DE SOUDURE'!$AP$7:$AP$3006,MATCH(284,'CARNET DE SOUDURE'!$AV$7:$AV$3006,0)))</f>
        <v/>
      </c>
      <c r="N295" s="132" t="str">
        <f aca="false">IF($B295="","",INDEX('CARNET DE SOUDURE'!$AQ$7:$AQ$3006,MATCH(284,'CARNET DE SOUDURE'!$AV$7:$AV$3006,0)))</f>
        <v/>
      </c>
      <c r="O295" s="133" t="str">
        <f aca="false">IF($B295="","",INDEX('CARNET DE SOUDURE'!$AR$7:$AR$3006,MATCH(284,'CARNET DE SOUDURE'!$AV$7:$AV$3006,0)))</f>
        <v/>
      </c>
    </row>
    <row r="296" customFormat="false" ht="15" hidden="false" customHeight="false" outlineLevel="0" collapsed="false">
      <c r="B296" s="125" t="str">
        <f aca="false">IF(285&gt;$I$4,"",285)</f>
        <v/>
      </c>
      <c r="C296" s="125" t="str">
        <f aca="false">IF($B296="","",INDEX('CARNET DE SOUDURE'!$B$7:$B$3006,MATCH(285,'CARNET DE SOUDURE'!$AV$7:$AV$3006,0)))</f>
        <v/>
      </c>
      <c r="D296" s="125" t="str">
        <f aca="false">IF($B296="","",INDEX('CARNET DE SOUDURE'!$E$7:$E$3006,MATCH(285,'CARNET DE SOUDURE'!$AV$7:$AV$3006,0)))</f>
        <v/>
      </c>
      <c r="E296" s="125" t="str">
        <f aca="false">IF($B296="","",INDEX('CARNET DE SOUDURE'!$R$7:$R$3006,MATCH(285,'CARNET DE SOUDURE'!$AV$7:$AV$3006,0))&amp;IF(INDEX('CARNET DE SOUDURE'!$S$7:$S$3006,MATCH(285,'CARNET DE SOUDURE'!$AV$7:$AV$3006,0))&lt;&gt;""," / "&amp;INDEX('CARNET DE SOUDURE'!$S$7:$S$3006,MATCH(285,'CARNET DE SOUDURE'!$AV$7:$AV$3006,0)),"")&amp;IF(INDEX('CARNET DE SOUDURE'!$T$7:$T$3006,MATCH(285,'CARNET DE SOUDURE'!$AV$7:$AV$3006,0))&lt;&gt;""," / "&amp;INDEX('CARNET DE SOUDURE'!$T$7:$T$3006,MATCH(285,'CARNET DE SOUDURE'!$AV$7:$AV$3006,0)),""))</f>
        <v/>
      </c>
      <c r="F296" s="126" t="str">
        <f aca="false">IF($B296="","",INDEX('CARNET DE SOUDURE'!$Y$7:$Y$3006,MATCH(285,'CARNET DE SOUDURE'!$AV$7:$AV$3006,0)))</f>
        <v/>
      </c>
      <c r="G296" s="125" t="str">
        <f aca="false">IF($B296="","",INDEX('CARNET DE SOUDURE'!$Z$7:$Z$3006,MATCH(285,'CARNET DE SOUDURE'!$AV$7:$AV$3006,0))&amp;"")</f>
        <v/>
      </c>
      <c r="H296" s="127" t="str">
        <f aca="false">IF($B296="","",INDEX('CARNET DE SOUDURE'!$AA$7:$AA$3006,MATCH(285,'CARNET DE SOUDURE'!$AV$7:$AV$3006,0)))</f>
        <v/>
      </c>
      <c r="I296" s="125" t="str">
        <f aca="false">IF($B296="","",INDEX('CARNET DE SOUDURE'!$AB$7:$AB$3006,MATCH(285,'CARNET DE SOUDURE'!$AV$7:$AV$3006,0))&amp;"")</f>
        <v/>
      </c>
      <c r="J296" s="125" t="str">
        <f aca="false">IF($B296="","",INDEX('CARNET DE SOUDURE'!$AC$7:$AC$3006,MATCH(285,'CARNET DE SOUDURE'!$AV$7:$AV$3006,0))&amp;IF(INDEX('CARNET DE SOUDURE'!$AH$7:$AH$3006,MATCH(285,'CARNET DE SOUDURE'!$AV$7:$AV$3006,0))&lt;&gt;""," / "&amp;INDEX('CARNET DE SOUDURE'!$AH$7:$AH$3006,MATCH(285,'CARNET DE SOUDURE'!$AV$7:$AV$3006,0)),""))</f>
        <v/>
      </c>
      <c r="K296" s="125" t="str">
        <f aca="false">IF($B296="","",INDEX('CARNET DE SOUDURE'!$AD$7:$AD$3006,MATCH(285,'CARNET DE SOUDURE'!$AV$7:$AV$3006,0))&amp;IF(INDEX('CARNET DE SOUDURE'!$AI$7:$AI$3006,MATCH(285,'CARNET DE SOUDURE'!$AV$7:$AV$3006,0))&lt;&gt;""," / "&amp;INDEX('CARNET DE SOUDURE'!$AI$7:$AI$3006,MATCH(285,'CARNET DE SOUDURE'!$AV$7:$AV$3006,0)),""))</f>
        <v/>
      </c>
      <c r="L296" s="125" t="str">
        <f aca="false">IF($B296="","",INDEX('CARNET DE SOUDURE'!$AG$7:$AG$3006,MATCH(285,'CARNET DE SOUDURE'!$AV$7:$AV$3006,0))&amp;IF(INDEX('CARNET DE SOUDURE'!$AL$7:$AL$3006,MATCH(285,'CARNET DE SOUDURE'!$AV$7:$AV$3006,0))&lt;&gt;""," / "&amp;INDEX('CARNET DE SOUDURE'!$AL$7:$AL$3006,MATCH(285,'CARNET DE SOUDURE'!$AV$7:$AV$3006,0)),""))</f>
        <v/>
      </c>
      <c r="M296" s="127" t="str">
        <f aca="false">IF($B296="","",INDEX('CARNET DE SOUDURE'!$AP$7:$AP$3006,MATCH(285,'CARNET DE SOUDURE'!$AV$7:$AV$3006,0)))</f>
        <v/>
      </c>
      <c r="N296" s="127" t="str">
        <f aca="false">IF($B296="","",INDEX('CARNET DE SOUDURE'!$AQ$7:$AQ$3006,MATCH(285,'CARNET DE SOUDURE'!$AV$7:$AV$3006,0)))</f>
        <v/>
      </c>
      <c r="O296" s="128" t="str">
        <f aca="false">IF($B296="","",INDEX('CARNET DE SOUDURE'!$AR$7:$AR$3006,MATCH(285,'CARNET DE SOUDURE'!$AV$7:$AV$3006,0)))</f>
        <v/>
      </c>
    </row>
    <row r="297" customFormat="false" ht="15" hidden="false" customHeight="false" outlineLevel="0" collapsed="false">
      <c r="B297" s="130" t="str">
        <f aca="false">IF(286&gt;$I$4,"",286)</f>
        <v/>
      </c>
      <c r="C297" s="130" t="str">
        <f aca="false">IF($B297="","",INDEX('CARNET DE SOUDURE'!$B$7:$B$3006,MATCH(286,'CARNET DE SOUDURE'!$AV$7:$AV$3006,0)))</f>
        <v/>
      </c>
      <c r="D297" s="130" t="str">
        <f aca="false">IF($B297="","",INDEX('CARNET DE SOUDURE'!$E$7:$E$3006,MATCH(286,'CARNET DE SOUDURE'!$AV$7:$AV$3006,0)))</f>
        <v/>
      </c>
      <c r="E297" s="130" t="str">
        <f aca="false">IF($B297="","",INDEX('CARNET DE SOUDURE'!$R$7:$R$3006,MATCH(286,'CARNET DE SOUDURE'!$AV$7:$AV$3006,0))&amp;IF(INDEX('CARNET DE SOUDURE'!$S$7:$S$3006,MATCH(286,'CARNET DE SOUDURE'!$AV$7:$AV$3006,0))&lt;&gt;""," / "&amp;INDEX('CARNET DE SOUDURE'!$S$7:$S$3006,MATCH(286,'CARNET DE SOUDURE'!$AV$7:$AV$3006,0)),"")&amp;IF(INDEX('CARNET DE SOUDURE'!$T$7:$T$3006,MATCH(286,'CARNET DE SOUDURE'!$AV$7:$AV$3006,0))&lt;&gt;""," / "&amp;INDEX('CARNET DE SOUDURE'!$T$7:$T$3006,MATCH(286,'CARNET DE SOUDURE'!$AV$7:$AV$3006,0)),""))</f>
        <v/>
      </c>
      <c r="F297" s="131" t="str">
        <f aca="false">IF($B297="","",INDEX('CARNET DE SOUDURE'!$Y$7:$Y$3006,MATCH(286,'CARNET DE SOUDURE'!$AV$7:$AV$3006,0)))</f>
        <v/>
      </c>
      <c r="G297" s="130" t="str">
        <f aca="false">IF($B297="","",INDEX('CARNET DE SOUDURE'!$Z$7:$Z$3006,MATCH(286,'CARNET DE SOUDURE'!$AV$7:$AV$3006,0))&amp;"")</f>
        <v/>
      </c>
      <c r="H297" s="132" t="str">
        <f aca="false">IF($B297="","",INDEX('CARNET DE SOUDURE'!$AA$7:$AA$3006,MATCH(286,'CARNET DE SOUDURE'!$AV$7:$AV$3006,0)))</f>
        <v/>
      </c>
      <c r="I297" s="130" t="str">
        <f aca="false">IF($B297="","",INDEX('CARNET DE SOUDURE'!$AB$7:$AB$3006,MATCH(286,'CARNET DE SOUDURE'!$AV$7:$AV$3006,0))&amp;"")</f>
        <v/>
      </c>
      <c r="J297" s="130" t="str">
        <f aca="false">IF($B297="","",INDEX('CARNET DE SOUDURE'!$AC$7:$AC$3006,MATCH(286,'CARNET DE SOUDURE'!$AV$7:$AV$3006,0))&amp;IF(INDEX('CARNET DE SOUDURE'!$AH$7:$AH$3006,MATCH(286,'CARNET DE SOUDURE'!$AV$7:$AV$3006,0))&lt;&gt;""," / "&amp;INDEX('CARNET DE SOUDURE'!$AH$7:$AH$3006,MATCH(286,'CARNET DE SOUDURE'!$AV$7:$AV$3006,0)),""))</f>
        <v/>
      </c>
      <c r="K297" s="130" t="str">
        <f aca="false">IF($B297="","",INDEX('CARNET DE SOUDURE'!$AD$7:$AD$3006,MATCH(286,'CARNET DE SOUDURE'!$AV$7:$AV$3006,0))&amp;IF(INDEX('CARNET DE SOUDURE'!$AI$7:$AI$3006,MATCH(286,'CARNET DE SOUDURE'!$AV$7:$AV$3006,0))&lt;&gt;""," / "&amp;INDEX('CARNET DE SOUDURE'!$AI$7:$AI$3006,MATCH(286,'CARNET DE SOUDURE'!$AV$7:$AV$3006,0)),""))</f>
        <v/>
      </c>
      <c r="L297" s="130" t="str">
        <f aca="false">IF($B297="","",INDEX('CARNET DE SOUDURE'!$AG$7:$AG$3006,MATCH(286,'CARNET DE SOUDURE'!$AV$7:$AV$3006,0))&amp;IF(INDEX('CARNET DE SOUDURE'!$AL$7:$AL$3006,MATCH(286,'CARNET DE SOUDURE'!$AV$7:$AV$3006,0))&lt;&gt;""," / "&amp;INDEX('CARNET DE SOUDURE'!$AL$7:$AL$3006,MATCH(286,'CARNET DE SOUDURE'!$AV$7:$AV$3006,0)),""))</f>
        <v/>
      </c>
      <c r="M297" s="132" t="str">
        <f aca="false">IF($B297="","",INDEX('CARNET DE SOUDURE'!$AP$7:$AP$3006,MATCH(286,'CARNET DE SOUDURE'!$AV$7:$AV$3006,0)))</f>
        <v/>
      </c>
      <c r="N297" s="132" t="str">
        <f aca="false">IF($B297="","",INDEX('CARNET DE SOUDURE'!$AQ$7:$AQ$3006,MATCH(286,'CARNET DE SOUDURE'!$AV$7:$AV$3006,0)))</f>
        <v/>
      </c>
      <c r="O297" s="133" t="str">
        <f aca="false">IF($B297="","",INDEX('CARNET DE SOUDURE'!$AR$7:$AR$3006,MATCH(286,'CARNET DE SOUDURE'!$AV$7:$AV$3006,0)))</f>
        <v/>
      </c>
    </row>
    <row r="298" customFormat="false" ht="15" hidden="false" customHeight="false" outlineLevel="0" collapsed="false">
      <c r="B298" s="125" t="str">
        <f aca="false">IF(287&gt;$I$4,"",287)</f>
        <v/>
      </c>
      <c r="C298" s="125" t="str">
        <f aca="false">IF($B298="","",INDEX('CARNET DE SOUDURE'!$B$7:$B$3006,MATCH(287,'CARNET DE SOUDURE'!$AV$7:$AV$3006,0)))</f>
        <v/>
      </c>
      <c r="D298" s="125" t="str">
        <f aca="false">IF($B298="","",INDEX('CARNET DE SOUDURE'!$E$7:$E$3006,MATCH(287,'CARNET DE SOUDURE'!$AV$7:$AV$3006,0)))</f>
        <v/>
      </c>
      <c r="E298" s="125" t="str">
        <f aca="false">IF($B298="","",INDEX('CARNET DE SOUDURE'!$R$7:$R$3006,MATCH(287,'CARNET DE SOUDURE'!$AV$7:$AV$3006,0))&amp;IF(INDEX('CARNET DE SOUDURE'!$S$7:$S$3006,MATCH(287,'CARNET DE SOUDURE'!$AV$7:$AV$3006,0))&lt;&gt;""," / "&amp;INDEX('CARNET DE SOUDURE'!$S$7:$S$3006,MATCH(287,'CARNET DE SOUDURE'!$AV$7:$AV$3006,0)),"")&amp;IF(INDEX('CARNET DE SOUDURE'!$T$7:$T$3006,MATCH(287,'CARNET DE SOUDURE'!$AV$7:$AV$3006,0))&lt;&gt;""," / "&amp;INDEX('CARNET DE SOUDURE'!$T$7:$T$3006,MATCH(287,'CARNET DE SOUDURE'!$AV$7:$AV$3006,0)),""))</f>
        <v/>
      </c>
      <c r="F298" s="126" t="str">
        <f aca="false">IF($B298="","",INDEX('CARNET DE SOUDURE'!$Y$7:$Y$3006,MATCH(287,'CARNET DE SOUDURE'!$AV$7:$AV$3006,0)))</f>
        <v/>
      </c>
      <c r="G298" s="125" t="str">
        <f aca="false">IF($B298="","",INDEX('CARNET DE SOUDURE'!$Z$7:$Z$3006,MATCH(287,'CARNET DE SOUDURE'!$AV$7:$AV$3006,0))&amp;"")</f>
        <v/>
      </c>
      <c r="H298" s="127" t="str">
        <f aca="false">IF($B298="","",INDEX('CARNET DE SOUDURE'!$AA$7:$AA$3006,MATCH(287,'CARNET DE SOUDURE'!$AV$7:$AV$3006,0)))</f>
        <v/>
      </c>
      <c r="I298" s="125" t="str">
        <f aca="false">IF($B298="","",INDEX('CARNET DE SOUDURE'!$AB$7:$AB$3006,MATCH(287,'CARNET DE SOUDURE'!$AV$7:$AV$3006,0))&amp;"")</f>
        <v/>
      </c>
      <c r="J298" s="125" t="str">
        <f aca="false">IF($B298="","",INDEX('CARNET DE SOUDURE'!$AC$7:$AC$3006,MATCH(287,'CARNET DE SOUDURE'!$AV$7:$AV$3006,0))&amp;IF(INDEX('CARNET DE SOUDURE'!$AH$7:$AH$3006,MATCH(287,'CARNET DE SOUDURE'!$AV$7:$AV$3006,0))&lt;&gt;""," / "&amp;INDEX('CARNET DE SOUDURE'!$AH$7:$AH$3006,MATCH(287,'CARNET DE SOUDURE'!$AV$7:$AV$3006,0)),""))</f>
        <v/>
      </c>
      <c r="K298" s="125" t="str">
        <f aca="false">IF($B298="","",INDEX('CARNET DE SOUDURE'!$AD$7:$AD$3006,MATCH(287,'CARNET DE SOUDURE'!$AV$7:$AV$3006,0))&amp;IF(INDEX('CARNET DE SOUDURE'!$AI$7:$AI$3006,MATCH(287,'CARNET DE SOUDURE'!$AV$7:$AV$3006,0))&lt;&gt;""," / "&amp;INDEX('CARNET DE SOUDURE'!$AI$7:$AI$3006,MATCH(287,'CARNET DE SOUDURE'!$AV$7:$AV$3006,0)),""))</f>
        <v/>
      </c>
      <c r="L298" s="125" t="str">
        <f aca="false">IF($B298="","",INDEX('CARNET DE SOUDURE'!$AG$7:$AG$3006,MATCH(287,'CARNET DE SOUDURE'!$AV$7:$AV$3006,0))&amp;IF(INDEX('CARNET DE SOUDURE'!$AL$7:$AL$3006,MATCH(287,'CARNET DE SOUDURE'!$AV$7:$AV$3006,0))&lt;&gt;""," / "&amp;INDEX('CARNET DE SOUDURE'!$AL$7:$AL$3006,MATCH(287,'CARNET DE SOUDURE'!$AV$7:$AV$3006,0)),""))</f>
        <v/>
      </c>
      <c r="M298" s="127" t="str">
        <f aca="false">IF($B298="","",INDEX('CARNET DE SOUDURE'!$AP$7:$AP$3006,MATCH(287,'CARNET DE SOUDURE'!$AV$7:$AV$3006,0)))</f>
        <v/>
      </c>
      <c r="N298" s="127" t="str">
        <f aca="false">IF($B298="","",INDEX('CARNET DE SOUDURE'!$AQ$7:$AQ$3006,MATCH(287,'CARNET DE SOUDURE'!$AV$7:$AV$3006,0)))</f>
        <v/>
      </c>
      <c r="O298" s="128" t="str">
        <f aca="false">IF($B298="","",INDEX('CARNET DE SOUDURE'!$AR$7:$AR$3006,MATCH(287,'CARNET DE SOUDURE'!$AV$7:$AV$3006,0)))</f>
        <v/>
      </c>
    </row>
    <row r="299" customFormat="false" ht="15" hidden="false" customHeight="false" outlineLevel="0" collapsed="false">
      <c r="B299" s="130" t="str">
        <f aca="false">IF(288&gt;$I$4,"",288)</f>
        <v/>
      </c>
      <c r="C299" s="130" t="str">
        <f aca="false">IF($B299="","",INDEX('CARNET DE SOUDURE'!$B$7:$B$3006,MATCH(288,'CARNET DE SOUDURE'!$AV$7:$AV$3006,0)))</f>
        <v/>
      </c>
      <c r="D299" s="130" t="str">
        <f aca="false">IF($B299="","",INDEX('CARNET DE SOUDURE'!$E$7:$E$3006,MATCH(288,'CARNET DE SOUDURE'!$AV$7:$AV$3006,0)))</f>
        <v/>
      </c>
      <c r="E299" s="130" t="str">
        <f aca="false">IF($B299="","",INDEX('CARNET DE SOUDURE'!$R$7:$R$3006,MATCH(288,'CARNET DE SOUDURE'!$AV$7:$AV$3006,0))&amp;IF(INDEX('CARNET DE SOUDURE'!$S$7:$S$3006,MATCH(288,'CARNET DE SOUDURE'!$AV$7:$AV$3006,0))&lt;&gt;""," / "&amp;INDEX('CARNET DE SOUDURE'!$S$7:$S$3006,MATCH(288,'CARNET DE SOUDURE'!$AV$7:$AV$3006,0)),"")&amp;IF(INDEX('CARNET DE SOUDURE'!$T$7:$T$3006,MATCH(288,'CARNET DE SOUDURE'!$AV$7:$AV$3006,0))&lt;&gt;""," / "&amp;INDEX('CARNET DE SOUDURE'!$T$7:$T$3006,MATCH(288,'CARNET DE SOUDURE'!$AV$7:$AV$3006,0)),""))</f>
        <v/>
      </c>
      <c r="F299" s="131" t="str">
        <f aca="false">IF($B299="","",INDEX('CARNET DE SOUDURE'!$Y$7:$Y$3006,MATCH(288,'CARNET DE SOUDURE'!$AV$7:$AV$3006,0)))</f>
        <v/>
      </c>
      <c r="G299" s="130" t="str">
        <f aca="false">IF($B299="","",INDEX('CARNET DE SOUDURE'!$Z$7:$Z$3006,MATCH(288,'CARNET DE SOUDURE'!$AV$7:$AV$3006,0))&amp;"")</f>
        <v/>
      </c>
      <c r="H299" s="132" t="str">
        <f aca="false">IF($B299="","",INDEX('CARNET DE SOUDURE'!$AA$7:$AA$3006,MATCH(288,'CARNET DE SOUDURE'!$AV$7:$AV$3006,0)))</f>
        <v/>
      </c>
      <c r="I299" s="130" t="str">
        <f aca="false">IF($B299="","",INDEX('CARNET DE SOUDURE'!$AB$7:$AB$3006,MATCH(288,'CARNET DE SOUDURE'!$AV$7:$AV$3006,0))&amp;"")</f>
        <v/>
      </c>
      <c r="J299" s="130" t="str">
        <f aca="false">IF($B299="","",INDEX('CARNET DE SOUDURE'!$AC$7:$AC$3006,MATCH(288,'CARNET DE SOUDURE'!$AV$7:$AV$3006,0))&amp;IF(INDEX('CARNET DE SOUDURE'!$AH$7:$AH$3006,MATCH(288,'CARNET DE SOUDURE'!$AV$7:$AV$3006,0))&lt;&gt;""," / "&amp;INDEX('CARNET DE SOUDURE'!$AH$7:$AH$3006,MATCH(288,'CARNET DE SOUDURE'!$AV$7:$AV$3006,0)),""))</f>
        <v/>
      </c>
      <c r="K299" s="130" t="str">
        <f aca="false">IF($B299="","",INDEX('CARNET DE SOUDURE'!$AD$7:$AD$3006,MATCH(288,'CARNET DE SOUDURE'!$AV$7:$AV$3006,0))&amp;IF(INDEX('CARNET DE SOUDURE'!$AI$7:$AI$3006,MATCH(288,'CARNET DE SOUDURE'!$AV$7:$AV$3006,0))&lt;&gt;""," / "&amp;INDEX('CARNET DE SOUDURE'!$AI$7:$AI$3006,MATCH(288,'CARNET DE SOUDURE'!$AV$7:$AV$3006,0)),""))</f>
        <v/>
      </c>
      <c r="L299" s="130" t="str">
        <f aca="false">IF($B299="","",INDEX('CARNET DE SOUDURE'!$AG$7:$AG$3006,MATCH(288,'CARNET DE SOUDURE'!$AV$7:$AV$3006,0))&amp;IF(INDEX('CARNET DE SOUDURE'!$AL$7:$AL$3006,MATCH(288,'CARNET DE SOUDURE'!$AV$7:$AV$3006,0))&lt;&gt;""," / "&amp;INDEX('CARNET DE SOUDURE'!$AL$7:$AL$3006,MATCH(288,'CARNET DE SOUDURE'!$AV$7:$AV$3006,0)),""))</f>
        <v/>
      </c>
      <c r="M299" s="132" t="str">
        <f aca="false">IF($B299="","",INDEX('CARNET DE SOUDURE'!$AP$7:$AP$3006,MATCH(288,'CARNET DE SOUDURE'!$AV$7:$AV$3006,0)))</f>
        <v/>
      </c>
      <c r="N299" s="132" t="str">
        <f aca="false">IF($B299="","",INDEX('CARNET DE SOUDURE'!$AQ$7:$AQ$3006,MATCH(288,'CARNET DE SOUDURE'!$AV$7:$AV$3006,0)))</f>
        <v/>
      </c>
      <c r="O299" s="133" t="str">
        <f aca="false">IF($B299="","",INDEX('CARNET DE SOUDURE'!$AR$7:$AR$3006,MATCH(288,'CARNET DE SOUDURE'!$AV$7:$AV$3006,0)))</f>
        <v/>
      </c>
    </row>
    <row r="300" customFormat="false" ht="15" hidden="false" customHeight="false" outlineLevel="0" collapsed="false">
      <c r="B300" s="125" t="str">
        <f aca="false">IF(289&gt;$I$4,"",289)</f>
        <v/>
      </c>
      <c r="C300" s="125" t="str">
        <f aca="false">IF($B300="","",INDEX('CARNET DE SOUDURE'!$B$7:$B$3006,MATCH(289,'CARNET DE SOUDURE'!$AV$7:$AV$3006,0)))</f>
        <v/>
      </c>
      <c r="D300" s="125" t="str">
        <f aca="false">IF($B300="","",INDEX('CARNET DE SOUDURE'!$E$7:$E$3006,MATCH(289,'CARNET DE SOUDURE'!$AV$7:$AV$3006,0)))</f>
        <v/>
      </c>
      <c r="E300" s="125" t="str">
        <f aca="false">IF($B300="","",INDEX('CARNET DE SOUDURE'!$R$7:$R$3006,MATCH(289,'CARNET DE SOUDURE'!$AV$7:$AV$3006,0))&amp;IF(INDEX('CARNET DE SOUDURE'!$S$7:$S$3006,MATCH(289,'CARNET DE SOUDURE'!$AV$7:$AV$3006,0))&lt;&gt;""," / "&amp;INDEX('CARNET DE SOUDURE'!$S$7:$S$3006,MATCH(289,'CARNET DE SOUDURE'!$AV$7:$AV$3006,0)),"")&amp;IF(INDEX('CARNET DE SOUDURE'!$T$7:$T$3006,MATCH(289,'CARNET DE SOUDURE'!$AV$7:$AV$3006,0))&lt;&gt;""," / "&amp;INDEX('CARNET DE SOUDURE'!$T$7:$T$3006,MATCH(289,'CARNET DE SOUDURE'!$AV$7:$AV$3006,0)),""))</f>
        <v/>
      </c>
      <c r="F300" s="126" t="str">
        <f aca="false">IF($B300="","",INDEX('CARNET DE SOUDURE'!$Y$7:$Y$3006,MATCH(289,'CARNET DE SOUDURE'!$AV$7:$AV$3006,0)))</f>
        <v/>
      </c>
      <c r="G300" s="125" t="str">
        <f aca="false">IF($B300="","",INDEX('CARNET DE SOUDURE'!$Z$7:$Z$3006,MATCH(289,'CARNET DE SOUDURE'!$AV$7:$AV$3006,0))&amp;"")</f>
        <v/>
      </c>
      <c r="H300" s="127" t="str">
        <f aca="false">IF($B300="","",INDEX('CARNET DE SOUDURE'!$AA$7:$AA$3006,MATCH(289,'CARNET DE SOUDURE'!$AV$7:$AV$3006,0)))</f>
        <v/>
      </c>
      <c r="I300" s="125" t="str">
        <f aca="false">IF($B300="","",INDEX('CARNET DE SOUDURE'!$AB$7:$AB$3006,MATCH(289,'CARNET DE SOUDURE'!$AV$7:$AV$3006,0))&amp;"")</f>
        <v/>
      </c>
      <c r="J300" s="125" t="str">
        <f aca="false">IF($B300="","",INDEX('CARNET DE SOUDURE'!$AC$7:$AC$3006,MATCH(289,'CARNET DE SOUDURE'!$AV$7:$AV$3006,0))&amp;IF(INDEX('CARNET DE SOUDURE'!$AH$7:$AH$3006,MATCH(289,'CARNET DE SOUDURE'!$AV$7:$AV$3006,0))&lt;&gt;""," / "&amp;INDEX('CARNET DE SOUDURE'!$AH$7:$AH$3006,MATCH(289,'CARNET DE SOUDURE'!$AV$7:$AV$3006,0)),""))</f>
        <v/>
      </c>
      <c r="K300" s="125" t="str">
        <f aca="false">IF($B300="","",INDEX('CARNET DE SOUDURE'!$AD$7:$AD$3006,MATCH(289,'CARNET DE SOUDURE'!$AV$7:$AV$3006,0))&amp;IF(INDEX('CARNET DE SOUDURE'!$AI$7:$AI$3006,MATCH(289,'CARNET DE SOUDURE'!$AV$7:$AV$3006,0))&lt;&gt;""," / "&amp;INDEX('CARNET DE SOUDURE'!$AI$7:$AI$3006,MATCH(289,'CARNET DE SOUDURE'!$AV$7:$AV$3006,0)),""))</f>
        <v/>
      </c>
      <c r="L300" s="125" t="str">
        <f aca="false">IF($B300="","",INDEX('CARNET DE SOUDURE'!$AG$7:$AG$3006,MATCH(289,'CARNET DE SOUDURE'!$AV$7:$AV$3006,0))&amp;IF(INDEX('CARNET DE SOUDURE'!$AL$7:$AL$3006,MATCH(289,'CARNET DE SOUDURE'!$AV$7:$AV$3006,0))&lt;&gt;""," / "&amp;INDEX('CARNET DE SOUDURE'!$AL$7:$AL$3006,MATCH(289,'CARNET DE SOUDURE'!$AV$7:$AV$3006,0)),""))</f>
        <v/>
      </c>
      <c r="M300" s="127" t="str">
        <f aca="false">IF($B300="","",INDEX('CARNET DE SOUDURE'!$AP$7:$AP$3006,MATCH(289,'CARNET DE SOUDURE'!$AV$7:$AV$3006,0)))</f>
        <v/>
      </c>
      <c r="N300" s="127" t="str">
        <f aca="false">IF($B300="","",INDEX('CARNET DE SOUDURE'!$AQ$7:$AQ$3006,MATCH(289,'CARNET DE SOUDURE'!$AV$7:$AV$3006,0)))</f>
        <v/>
      </c>
      <c r="O300" s="128" t="str">
        <f aca="false">IF($B300="","",INDEX('CARNET DE SOUDURE'!$AR$7:$AR$3006,MATCH(289,'CARNET DE SOUDURE'!$AV$7:$AV$3006,0)))</f>
        <v/>
      </c>
    </row>
    <row r="301" customFormat="false" ht="15" hidden="false" customHeight="false" outlineLevel="0" collapsed="false">
      <c r="B301" s="130" t="str">
        <f aca="false">IF(290&gt;$I$4,"",290)</f>
        <v/>
      </c>
      <c r="C301" s="130" t="str">
        <f aca="false">IF($B301="","",INDEX('CARNET DE SOUDURE'!$B$7:$B$3006,MATCH(290,'CARNET DE SOUDURE'!$AV$7:$AV$3006,0)))</f>
        <v/>
      </c>
      <c r="D301" s="130" t="str">
        <f aca="false">IF($B301="","",INDEX('CARNET DE SOUDURE'!$E$7:$E$3006,MATCH(290,'CARNET DE SOUDURE'!$AV$7:$AV$3006,0)))</f>
        <v/>
      </c>
      <c r="E301" s="130" t="str">
        <f aca="false">IF($B301="","",INDEX('CARNET DE SOUDURE'!$R$7:$R$3006,MATCH(290,'CARNET DE SOUDURE'!$AV$7:$AV$3006,0))&amp;IF(INDEX('CARNET DE SOUDURE'!$S$7:$S$3006,MATCH(290,'CARNET DE SOUDURE'!$AV$7:$AV$3006,0))&lt;&gt;""," / "&amp;INDEX('CARNET DE SOUDURE'!$S$7:$S$3006,MATCH(290,'CARNET DE SOUDURE'!$AV$7:$AV$3006,0)),"")&amp;IF(INDEX('CARNET DE SOUDURE'!$T$7:$T$3006,MATCH(290,'CARNET DE SOUDURE'!$AV$7:$AV$3006,0))&lt;&gt;""," / "&amp;INDEX('CARNET DE SOUDURE'!$T$7:$T$3006,MATCH(290,'CARNET DE SOUDURE'!$AV$7:$AV$3006,0)),""))</f>
        <v/>
      </c>
      <c r="F301" s="131" t="str">
        <f aca="false">IF($B301="","",INDEX('CARNET DE SOUDURE'!$Y$7:$Y$3006,MATCH(290,'CARNET DE SOUDURE'!$AV$7:$AV$3006,0)))</f>
        <v/>
      </c>
      <c r="G301" s="130" t="str">
        <f aca="false">IF($B301="","",INDEX('CARNET DE SOUDURE'!$Z$7:$Z$3006,MATCH(290,'CARNET DE SOUDURE'!$AV$7:$AV$3006,0))&amp;"")</f>
        <v/>
      </c>
      <c r="H301" s="132" t="str">
        <f aca="false">IF($B301="","",INDEX('CARNET DE SOUDURE'!$AA$7:$AA$3006,MATCH(290,'CARNET DE SOUDURE'!$AV$7:$AV$3006,0)))</f>
        <v/>
      </c>
      <c r="I301" s="130" t="str">
        <f aca="false">IF($B301="","",INDEX('CARNET DE SOUDURE'!$AB$7:$AB$3006,MATCH(290,'CARNET DE SOUDURE'!$AV$7:$AV$3006,0))&amp;"")</f>
        <v/>
      </c>
      <c r="J301" s="130" t="str">
        <f aca="false">IF($B301="","",INDEX('CARNET DE SOUDURE'!$AC$7:$AC$3006,MATCH(290,'CARNET DE SOUDURE'!$AV$7:$AV$3006,0))&amp;IF(INDEX('CARNET DE SOUDURE'!$AH$7:$AH$3006,MATCH(290,'CARNET DE SOUDURE'!$AV$7:$AV$3006,0))&lt;&gt;""," / "&amp;INDEX('CARNET DE SOUDURE'!$AH$7:$AH$3006,MATCH(290,'CARNET DE SOUDURE'!$AV$7:$AV$3006,0)),""))</f>
        <v/>
      </c>
      <c r="K301" s="130" t="str">
        <f aca="false">IF($B301="","",INDEX('CARNET DE SOUDURE'!$AD$7:$AD$3006,MATCH(290,'CARNET DE SOUDURE'!$AV$7:$AV$3006,0))&amp;IF(INDEX('CARNET DE SOUDURE'!$AI$7:$AI$3006,MATCH(290,'CARNET DE SOUDURE'!$AV$7:$AV$3006,0))&lt;&gt;""," / "&amp;INDEX('CARNET DE SOUDURE'!$AI$7:$AI$3006,MATCH(290,'CARNET DE SOUDURE'!$AV$7:$AV$3006,0)),""))</f>
        <v/>
      </c>
      <c r="L301" s="130" t="str">
        <f aca="false">IF($B301="","",INDEX('CARNET DE SOUDURE'!$AG$7:$AG$3006,MATCH(290,'CARNET DE SOUDURE'!$AV$7:$AV$3006,0))&amp;IF(INDEX('CARNET DE SOUDURE'!$AL$7:$AL$3006,MATCH(290,'CARNET DE SOUDURE'!$AV$7:$AV$3006,0))&lt;&gt;""," / "&amp;INDEX('CARNET DE SOUDURE'!$AL$7:$AL$3006,MATCH(290,'CARNET DE SOUDURE'!$AV$7:$AV$3006,0)),""))</f>
        <v/>
      </c>
      <c r="M301" s="132" t="str">
        <f aca="false">IF($B301="","",INDEX('CARNET DE SOUDURE'!$AP$7:$AP$3006,MATCH(290,'CARNET DE SOUDURE'!$AV$7:$AV$3006,0)))</f>
        <v/>
      </c>
      <c r="N301" s="132" t="str">
        <f aca="false">IF($B301="","",INDEX('CARNET DE SOUDURE'!$AQ$7:$AQ$3006,MATCH(290,'CARNET DE SOUDURE'!$AV$7:$AV$3006,0)))</f>
        <v/>
      </c>
      <c r="O301" s="133" t="str">
        <f aca="false">IF($B301="","",INDEX('CARNET DE SOUDURE'!$AR$7:$AR$3006,MATCH(290,'CARNET DE SOUDURE'!$AV$7:$AV$3006,0)))</f>
        <v/>
      </c>
    </row>
    <row r="302" customFormat="false" ht="15" hidden="false" customHeight="false" outlineLevel="0" collapsed="false">
      <c r="B302" s="125" t="str">
        <f aca="false">IF(291&gt;$I$4,"",291)</f>
        <v/>
      </c>
      <c r="C302" s="125" t="str">
        <f aca="false">IF($B302="","",INDEX('CARNET DE SOUDURE'!$B$7:$B$3006,MATCH(291,'CARNET DE SOUDURE'!$AV$7:$AV$3006,0)))</f>
        <v/>
      </c>
      <c r="D302" s="125" t="str">
        <f aca="false">IF($B302="","",INDEX('CARNET DE SOUDURE'!$E$7:$E$3006,MATCH(291,'CARNET DE SOUDURE'!$AV$7:$AV$3006,0)))</f>
        <v/>
      </c>
      <c r="E302" s="125" t="str">
        <f aca="false">IF($B302="","",INDEX('CARNET DE SOUDURE'!$R$7:$R$3006,MATCH(291,'CARNET DE SOUDURE'!$AV$7:$AV$3006,0))&amp;IF(INDEX('CARNET DE SOUDURE'!$S$7:$S$3006,MATCH(291,'CARNET DE SOUDURE'!$AV$7:$AV$3006,0))&lt;&gt;""," / "&amp;INDEX('CARNET DE SOUDURE'!$S$7:$S$3006,MATCH(291,'CARNET DE SOUDURE'!$AV$7:$AV$3006,0)),"")&amp;IF(INDEX('CARNET DE SOUDURE'!$T$7:$T$3006,MATCH(291,'CARNET DE SOUDURE'!$AV$7:$AV$3006,0))&lt;&gt;""," / "&amp;INDEX('CARNET DE SOUDURE'!$T$7:$T$3006,MATCH(291,'CARNET DE SOUDURE'!$AV$7:$AV$3006,0)),""))</f>
        <v/>
      </c>
      <c r="F302" s="126" t="str">
        <f aca="false">IF($B302="","",INDEX('CARNET DE SOUDURE'!$Y$7:$Y$3006,MATCH(291,'CARNET DE SOUDURE'!$AV$7:$AV$3006,0)))</f>
        <v/>
      </c>
      <c r="G302" s="125" t="str">
        <f aca="false">IF($B302="","",INDEX('CARNET DE SOUDURE'!$Z$7:$Z$3006,MATCH(291,'CARNET DE SOUDURE'!$AV$7:$AV$3006,0))&amp;"")</f>
        <v/>
      </c>
      <c r="H302" s="127" t="str">
        <f aca="false">IF($B302="","",INDEX('CARNET DE SOUDURE'!$AA$7:$AA$3006,MATCH(291,'CARNET DE SOUDURE'!$AV$7:$AV$3006,0)))</f>
        <v/>
      </c>
      <c r="I302" s="125" t="str">
        <f aca="false">IF($B302="","",INDEX('CARNET DE SOUDURE'!$AB$7:$AB$3006,MATCH(291,'CARNET DE SOUDURE'!$AV$7:$AV$3006,0))&amp;"")</f>
        <v/>
      </c>
      <c r="J302" s="125" t="str">
        <f aca="false">IF($B302="","",INDEX('CARNET DE SOUDURE'!$AC$7:$AC$3006,MATCH(291,'CARNET DE SOUDURE'!$AV$7:$AV$3006,0))&amp;IF(INDEX('CARNET DE SOUDURE'!$AH$7:$AH$3006,MATCH(291,'CARNET DE SOUDURE'!$AV$7:$AV$3006,0))&lt;&gt;""," / "&amp;INDEX('CARNET DE SOUDURE'!$AH$7:$AH$3006,MATCH(291,'CARNET DE SOUDURE'!$AV$7:$AV$3006,0)),""))</f>
        <v/>
      </c>
      <c r="K302" s="125" t="str">
        <f aca="false">IF($B302="","",INDEX('CARNET DE SOUDURE'!$AD$7:$AD$3006,MATCH(291,'CARNET DE SOUDURE'!$AV$7:$AV$3006,0))&amp;IF(INDEX('CARNET DE SOUDURE'!$AI$7:$AI$3006,MATCH(291,'CARNET DE SOUDURE'!$AV$7:$AV$3006,0))&lt;&gt;""," / "&amp;INDEX('CARNET DE SOUDURE'!$AI$7:$AI$3006,MATCH(291,'CARNET DE SOUDURE'!$AV$7:$AV$3006,0)),""))</f>
        <v/>
      </c>
      <c r="L302" s="125" t="str">
        <f aca="false">IF($B302="","",INDEX('CARNET DE SOUDURE'!$AG$7:$AG$3006,MATCH(291,'CARNET DE SOUDURE'!$AV$7:$AV$3006,0))&amp;IF(INDEX('CARNET DE SOUDURE'!$AL$7:$AL$3006,MATCH(291,'CARNET DE SOUDURE'!$AV$7:$AV$3006,0))&lt;&gt;""," / "&amp;INDEX('CARNET DE SOUDURE'!$AL$7:$AL$3006,MATCH(291,'CARNET DE SOUDURE'!$AV$7:$AV$3006,0)),""))</f>
        <v/>
      </c>
      <c r="M302" s="127" t="str">
        <f aca="false">IF($B302="","",INDEX('CARNET DE SOUDURE'!$AP$7:$AP$3006,MATCH(291,'CARNET DE SOUDURE'!$AV$7:$AV$3006,0)))</f>
        <v/>
      </c>
      <c r="N302" s="127" t="str">
        <f aca="false">IF($B302="","",INDEX('CARNET DE SOUDURE'!$AQ$7:$AQ$3006,MATCH(291,'CARNET DE SOUDURE'!$AV$7:$AV$3006,0)))</f>
        <v/>
      </c>
      <c r="O302" s="128" t="str">
        <f aca="false">IF($B302="","",INDEX('CARNET DE SOUDURE'!$AR$7:$AR$3006,MATCH(291,'CARNET DE SOUDURE'!$AV$7:$AV$3006,0)))</f>
        <v/>
      </c>
    </row>
    <row r="303" customFormat="false" ht="15" hidden="false" customHeight="false" outlineLevel="0" collapsed="false">
      <c r="B303" s="130" t="str">
        <f aca="false">IF(292&gt;$I$4,"",292)</f>
        <v/>
      </c>
      <c r="C303" s="130" t="str">
        <f aca="false">IF($B303="","",INDEX('CARNET DE SOUDURE'!$B$7:$B$3006,MATCH(292,'CARNET DE SOUDURE'!$AV$7:$AV$3006,0)))</f>
        <v/>
      </c>
      <c r="D303" s="130" t="str">
        <f aca="false">IF($B303="","",INDEX('CARNET DE SOUDURE'!$E$7:$E$3006,MATCH(292,'CARNET DE SOUDURE'!$AV$7:$AV$3006,0)))</f>
        <v/>
      </c>
      <c r="E303" s="130" t="str">
        <f aca="false">IF($B303="","",INDEX('CARNET DE SOUDURE'!$R$7:$R$3006,MATCH(292,'CARNET DE SOUDURE'!$AV$7:$AV$3006,0))&amp;IF(INDEX('CARNET DE SOUDURE'!$S$7:$S$3006,MATCH(292,'CARNET DE SOUDURE'!$AV$7:$AV$3006,0))&lt;&gt;""," / "&amp;INDEX('CARNET DE SOUDURE'!$S$7:$S$3006,MATCH(292,'CARNET DE SOUDURE'!$AV$7:$AV$3006,0)),"")&amp;IF(INDEX('CARNET DE SOUDURE'!$T$7:$T$3006,MATCH(292,'CARNET DE SOUDURE'!$AV$7:$AV$3006,0))&lt;&gt;""," / "&amp;INDEX('CARNET DE SOUDURE'!$T$7:$T$3006,MATCH(292,'CARNET DE SOUDURE'!$AV$7:$AV$3006,0)),""))</f>
        <v/>
      </c>
      <c r="F303" s="131" t="str">
        <f aca="false">IF($B303="","",INDEX('CARNET DE SOUDURE'!$Y$7:$Y$3006,MATCH(292,'CARNET DE SOUDURE'!$AV$7:$AV$3006,0)))</f>
        <v/>
      </c>
      <c r="G303" s="130" t="str">
        <f aca="false">IF($B303="","",INDEX('CARNET DE SOUDURE'!$Z$7:$Z$3006,MATCH(292,'CARNET DE SOUDURE'!$AV$7:$AV$3006,0))&amp;"")</f>
        <v/>
      </c>
      <c r="H303" s="132" t="str">
        <f aca="false">IF($B303="","",INDEX('CARNET DE SOUDURE'!$AA$7:$AA$3006,MATCH(292,'CARNET DE SOUDURE'!$AV$7:$AV$3006,0)))</f>
        <v/>
      </c>
      <c r="I303" s="130" t="str">
        <f aca="false">IF($B303="","",INDEX('CARNET DE SOUDURE'!$AB$7:$AB$3006,MATCH(292,'CARNET DE SOUDURE'!$AV$7:$AV$3006,0))&amp;"")</f>
        <v/>
      </c>
      <c r="J303" s="130" t="str">
        <f aca="false">IF($B303="","",INDEX('CARNET DE SOUDURE'!$AC$7:$AC$3006,MATCH(292,'CARNET DE SOUDURE'!$AV$7:$AV$3006,0))&amp;IF(INDEX('CARNET DE SOUDURE'!$AH$7:$AH$3006,MATCH(292,'CARNET DE SOUDURE'!$AV$7:$AV$3006,0))&lt;&gt;""," / "&amp;INDEX('CARNET DE SOUDURE'!$AH$7:$AH$3006,MATCH(292,'CARNET DE SOUDURE'!$AV$7:$AV$3006,0)),""))</f>
        <v/>
      </c>
      <c r="K303" s="130" t="str">
        <f aca="false">IF($B303="","",INDEX('CARNET DE SOUDURE'!$AD$7:$AD$3006,MATCH(292,'CARNET DE SOUDURE'!$AV$7:$AV$3006,0))&amp;IF(INDEX('CARNET DE SOUDURE'!$AI$7:$AI$3006,MATCH(292,'CARNET DE SOUDURE'!$AV$7:$AV$3006,0))&lt;&gt;""," / "&amp;INDEX('CARNET DE SOUDURE'!$AI$7:$AI$3006,MATCH(292,'CARNET DE SOUDURE'!$AV$7:$AV$3006,0)),""))</f>
        <v/>
      </c>
      <c r="L303" s="130" t="str">
        <f aca="false">IF($B303="","",INDEX('CARNET DE SOUDURE'!$AG$7:$AG$3006,MATCH(292,'CARNET DE SOUDURE'!$AV$7:$AV$3006,0))&amp;IF(INDEX('CARNET DE SOUDURE'!$AL$7:$AL$3006,MATCH(292,'CARNET DE SOUDURE'!$AV$7:$AV$3006,0))&lt;&gt;""," / "&amp;INDEX('CARNET DE SOUDURE'!$AL$7:$AL$3006,MATCH(292,'CARNET DE SOUDURE'!$AV$7:$AV$3006,0)),""))</f>
        <v/>
      </c>
      <c r="M303" s="132" t="str">
        <f aca="false">IF($B303="","",INDEX('CARNET DE SOUDURE'!$AP$7:$AP$3006,MATCH(292,'CARNET DE SOUDURE'!$AV$7:$AV$3006,0)))</f>
        <v/>
      </c>
      <c r="N303" s="132" t="str">
        <f aca="false">IF($B303="","",INDEX('CARNET DE SOUDURE'!$AQ$7:$AQ$3006,MATCH(292,'CARNET DE SOUDURE'!$AV$7:$AV$3006,0)))</f>
        <v/>
      </c>
      <c r="O303" s="133" t="str">
        <f aca="false">IF($B303="","",INDEX('CARNET DE SOUDURE'!$AR$7:$AR$3006,MATCH(292,'CARNET DE SOUDURE'!$AV$7:$AV$3006,0)))</f>
        <v/>
      </c>
    </row>
    <row r="304" customFormat="false" ht="15" hidden="false" customHeight="false" outlineLevel="0" collapsed="false">
      <c r="B304" s="125" t="str">
        <f aca="false">IF(293&gt;$I$4,"",293)</f>
        <v/>
      </c>
      <c r="C304" s="125" t="str">
        <f aca="false">IF($B304="","",INDEX('CARNET DE SOUDURE'!$B$7:$B$3006,MATCH(293,'CARNET DE SOUDURE'!$AV$7:$AV$3006,0)))</f>
        <v/>
      </c>
      <c r="D304" s="125" t="str">
        <f aca="false">IF($B304="","",INDEX('CARNET DE SOUDURE'!$E$7:$E$3006,MATCH(293,'CARNET DE SOUDURE'!$AV$7:$AV$3006,0)))</f>
        <v/>
      </c>
      <c r="E304" s="125" t="str">
        <f aca="false">IF($B304="","",INDEX('CARNET DE SOUDURE'!$R$7:$R$3006,MATCH(293,'CARNET DE SOUDURE'!$AV$7:$AV$3006,0))&amp;IF(INDEX('CARNET DE SOUDURE'!$S$7:$S$3006,MATCH(293,'CARNET DE SOUDURE'!$AV$7:$AV$3006,0))&lt;&gt;""," / "&amp;INDEX('CARNET DE SOUDURE'!$S$7:$S$3006,MATCH(293,'CARNET DE SOUDURE'!$AV$7:$AV$3006,0)),"")&amp;IF(INDEX('CARNET DE SOUDURE'!$T$7:$T$3006,MATCH(293,'CARNET DE SOUDURE'!$AV$7:$AV$3006,0))&lt;&gt;""," / "&amp;INDEX('CARNET DE SOUDURE'!$T$7:$T$3006,MATCH(293,'CARNET DE SOUDURE'!$AV$7:$AV$3006,0)),""))</f>
        <v/>
      </c>
      <c r="F304" s="126" t="str">
        <f aca="false">IF($B304="","",INDEX('CARNET DE SOUDURE'!$Y$7:$Y$3006,MATCH(293,'CARNET DE SOUDURE'!$AV$7:$AV$3006,0)))</f>
        <v/>
      </c>
      <c r="G304" s="125" t="str">
        <f aca="false">IF($B304="","",INDEX('CARNET DE SOUDURE'!$Z$7:$Z$3006,MATCH(293,'CARNET DE SOUDURE'!$AV$7:$AV$3006,0))&amp;"")</f>
        <v/>
      </c>
      <c r="H304" s="127" t="str">
        <f aca="false">IF($B304="","",INDEX('CARNET DE SOUDURE'!$AA$7:$AA$3006,MATCH(293,'CARNET DE SOUDURE'!$AV$7:$AV$3006,0)))</f>
        <v/>
      </c>
      <c r="I304" s="125" t="str">
        <f aca="false">IF($B304="","",INDEX('CARNET DE SOUDURE'!$AB$7:$AB$3006,MATCH(293,'CARNET DE SOUDURE'!$AV$7:$AV$3006,0))&amp;"")</f>
        <v/>
      </c>
      <c r="J304" s="125" t="str">
        <f aca="false">IF($B304="","",INDEX('CARNET DE SOUDURE'!$AC$7:$AC$3006,MATCH(293,'CARNET DE SOUDURE'!$AV$7:$AV$3006,0))&amp;IF(INDEX('CARNET DE SOUDURE'!$AH$7:$AH$3006,MATCH(293,'CARNET DE SOUDURE'!$AV$7:$AV$3006,0))&lt;&gt;""," / "&amp;INDEX('CARNET DE SOUDURE'!$AH$7:$AH$3006,MATCH(293,'CARNET DE SOUDURE'!$AV$7:$AV$3006,0)),""))</f>
        <v/>
      </c>
      <c r="K304" s="125" t="str">
        <f aca="false">IF($B304="","",INDEX('CARNET DE SOUDURE'!$AD$7:$AD$3006,MATCH(293,'CARNET DE SOUDURE'!$AV$7:$AV$3006,0))&amp;IF(INDEX('CARNET DE SOUDURE'!$AI$7:$AI$3006,MATCH(293,'CARNET DE SOUDURE'!$AV$7:$AV$3006,0))&lt;&gt;""," / "&amp;INDEX('CARNET DE SOUDURE'!$AI$7:$AI$3006,MATCH(293,'CARNET DE SOUDURE'!$AV$7:$AV$3006,0)),""))</f>
        <v/>
      </c>
      <c r="L304" s="125" t="str">
        <f aca="false">IF($B304="","",INDEX('CARNET DE SOUDURE'!$AG$7:$AG$3006,MATCH(293,'CARNET DE SOUDURE'!$AV$7:$AV$3006,0))&amp;IF(INDEX('CARNET DE SOUDURE'!$AL$7:$AL$3006,MATCH(293,'CARNET DE SOUDURE'!$AV$7:$AV$3006,0))&lt;&gt;""," / "&amp;INDEX('CARNET DE SOUDURE'!$AL$7:$AL$3006,MATCH(293,'CARNET DE SOUDURE'!$AV$7:$AV$3006,0)),""))</f>
        <v/>
      </c>
      <c r="M304" s="127" t="str">
        <f aca="false">IF($B304="","",INDEX('CARNET DE SOUDURE'!$AP$7:$AP$3006,MATCH(293,'CARNET DE SOUDURE'!$AV$7:$AV$3006,0)))</f>
        <v/>
      </c>
      <c r="N304" s="127" t="str">
        <f aca="false">IF($B304="","",INDEX('CARNET DE SOUDURE'!$AQ$7:$AQ$3006,MATCH(293,'CARNET DE SOUDURE'!$AV$7:$AV$3006,0)))</f>
        <v/>
      </c>
      <c r="O304" s="128" t="str">
        <f aca="false">IF($B304="","",INDEX('CARNET DE SOUDURE'!$AR$7:$AR$3006,MATCH(293,'CARNET DE SOUDURE'!$AV$7:$AV$3006,0)))</f>
        <v/>
      </c>
    </row>
    <row r="305" customFormat="false" ht="15" hidden="false" customHeight="false" outlineLevel="0" collapsed="false">
      <c r="B305" s="130" t="str">
        <f aca="false">IF(294&gt;$I$4,"",294)</f>
        <v/>
      </c>
      <c r="C305" s="130" t="str">
        <f aca="false">IF($B305="","",INDEX('CARNET DE SOUDURE'!$B$7:$B$3006,MATCH(294,'CARNET DE SOUDURE'!$AV$7:$AV$3006,0)))</f>
        <v/>
      </c>
      <c r="D305" s="130" t="str">
        <f aca="false">IF($B305="","",INDEX('CARNET DE SOUDURE'!$E$7:$E$3006,MATCH(294,'CARNET DE SOUDURE'!$AV$7:$AV$3006,0)))</f>
        <v/>
      </c>
      <c r="E305" s="130" t="str">
        <f aca="false">IF($B305="","",INDEX('CARNET DE SOUDURE'!$R$7:$R$3006,MATCH(294,'CARNET DE SOUDURE'!$AV$7:$AV$3006,0))&amp;IF(INDEX('CARNET DE SOUDURE'!$S$7:$S$3006,MATCH(294,'CARNET DE SOUDURE'!$AV$7:$AV$3006,0))&lt;&gt;""," / "&amp;INDEX('CARNET DE SOUDURE'!$S$7:$S$3006,MATCH(294,'CARNET DE SOUDURE'!$AV$7:$AV$3006,0)),"")&amp;IF(INDEX('CARNET DE SOUDURE'!$T$7:$T$3006,MATCH(294,'CARNET DE SOUDURE'!$AV$7:$AV$3006,0))&lt;&gt;""," / "&amp;INDEX('CARNET DE SOUDURE'!$T$7:$T$3006,MATCH(294,'CARNET DE SOUDURE'!$AV$7:$AV$3006,0)),""))</f>
        <v/>
      </c>
      <c r="F305" s="131" t="str">
        <f aca="false">IF($B305="","",INDEX('CARNET DE SOUDURE'!$Y$7:$Y$3006,MATCH(294,'CARNET DE SOUDURE'!$AV$7:$AV$3006,0)))</f>
        <v/>
      </c>
      <c r="G305" s="130" t="str">
        <f aca="false">IF($B305="","",INDEX('CARNET DE SOUDURE'!$Z$7:$Z$3006,MATCH(294,'CARNET DE SOUDURE'!$AV$7:$AV$3006,0))&amp;"")</f>
        <v/>
      </c>
      <c r="H305" s="132" t="str">
        <f aca="false">IF($B305="","",INDEX('CARNET DE SOUDURE'!$AA$7:$AA$3006,MATCH(294,'CARNET DE SOUDURE'!$AV$7:$AV$3006,0)))</f>
        <v/>
      </c>
      <c r="I305" s="130" t="str">
        <f aca="false">IF($B305="","",INDEX('CARNET DE SOUDURE'!$AB$7:$AB$3006,MATCH(294,'CARNET DE SOUDURE'!$AV$7:$AV$3006,0))&amp;"")</f>
        <v/>
      </c>
      <c r="J305" s="130" t="str">
        <f aca="false">IF($B305="","",INDEX('CARNET DE SOUDURE'!$AC$7:$AC$3006,MATCH(294,'CARNET DE SOUDURE'!$AV$7:$AV$3006,0))&amp;IF(INDEX('CARNET DE SOUDURE'!$AH$7:$AH$3006,MATCH(294,'CARNET DE SOUDURE'!$AV$7:$AV$3006,0))&lt;&gt;""," / "&amp;INDEX('CARNET DE SOUDURE'!$AH$7:$AH$3006,MATCH(294,'CARNET DE SOUDURE'!$AV$7:$AV$3006,0)),""))</f>
        <v/>
      </c>
      <c r="K305" s="130" t="str">
        <f aca="false">IF($B305="","",INDEX('CARNET DE SOUDURE'!$AD$7:$AD$3006,MATCH(294,'CARNET DE SOUDURE'!$AV$7:$AV$3006,0))&amp;IF(INDEX('CARNET DE SOUDURE'!$AI$7:$AI$3006,MATCH(294,'CARNET DE SOUDURE'!$AV$7:$AV$3006,0))&lt;&gt;""," / "&amp;INDEX('CARNET DE SOUDURE'!$AI$7:$AI$3006,MATCH(294,'CARNET DE SOUDURE'!$AV$7:$AV$3006,0)),""))</f>
        <v/>
      </c>
      <c r="L305" s="130" t="str">
        <f aca="false">IF($B305="","",INDEX('CARNET DE SOUDURE'!$AG$7:$AG$3006,MATCH(294,'CARNET DE SOUDURE'!$AV$7:$AV$3006,0))&amp;IF(INDEX('CARNET DE SOUDURE'!$AL$7:$AL$3006,MATCH(294,'CARNET DE SOUDURE'!$AV$7:$AV$3006,0))&lt;&gt;""," / "&amp;INDEX('CARNET DE SOUDURE'!$AL$7:$AL$3006,MATCH(294,'CARNET DE SOUDURE'!$AV$7:$AV$3006,0)),""))</f>
        <v/>
      </c>
      <c r="M305" s="132" t="str">
        <f aca="false">IF($B305="","",INDEX('CARNET DE SOUDURE'!$AP$7:$AP$3006,MATCH(294,'CARNET DE SOUDURE'!$AV$7:$AV$3006,0)))</f>
        <v/>
      </c>
      <c r="N305" s="132" t="str">
        <f aca="false">IF($B305="","",INDEX('CARNET DE SOUDURE'!$AQ$7:$AQ$3006,MATCH(294,'CARNET DE SOUDURE'!$AV$7:$AV$3006,0)))</f>
        <v/>
      </c>
      <c r="O305" s="133" t="str">
        <f aca="false">IF($B305="","",INDEX('CARNET DE SOUDURE'!$AR$7:$AR$3006,MATCH(294,'CARNET DE SOUDURE'!$AV$7:$AV$3006,0)))</f>
        <v/>
      </c>
    </row>
    <row r="306" customFormat="false" ht="15" hidden="false" customHeight="false" outlineLevel="0" collapsed="false">
      <c r="B306" s="125" t="str">
        <f aca="false">IF(295&gt;$I$4,"",295)</f>
        <v/>
      </c>
      <c r="C306" s="125" t="str">
        <f aca="false">IF($B306="","",INDEX('CARNET DE SOUDURE'!$B$7:$B$3006,MATCH(295,'CARNET DE SOUDURE'!$AV$7:$AV$3006,0)))</f>
        <v/>
      </c>
      <c r="D306" s="125" t="str">
        <f aca="false">IF($B306="","",INDEX('CARNET DE SOUDURE'!$E$7:$E$3006,MATCH(295,'CARNET DE SOUDURE'!$AV$7:$AV$3006,0)))</f>
        <v/>
      </c>
      <c r="E306" s="125" t="str">
        <f aca="false">IF($B306="","",INDEX('CARNET DE SOUDURE'!$R$7:$R$3006,MATCH(295,'CARNET DE SOUDURE'!$AV$7:$AV$3006,0))&amp;IF(INDEX('CARNET DE SOUDURE'!$S$7:$S$3006,MATCH(295,'CARNET DE SOUDURE'!$AV$7:$AV$3006,0))&lt;&gt;""," / "&amp;INDEX('CARNET DE SOUDURE'!$S$7:$S$3006,MATCH(295,'CARNET DE SOUDURE'!$AV$7:$AV$3006,0)),"")&amp;IF(INDEX('CARNET DE SOUDURE'!$T$7:$T$3006,MATCH(295,'CARNET DE SOUDURE'!$AV$7:$AV$3006,0))&lt;&gt;""," / "&amp;INDEX('CARNET DE SOUDURE'!$T$7:$T$3006,MATCH(295,'CARNET DE SOUDURE'!$AV$7:$AV$3006,0)),""))</f>
        <v/>
      </c>
      <c r="F306" s="126" t="str">
        <f aca="false">IF($B306="","",INDEX('CARNET DE SOUDURE'!$Y$7:$Y$3006,MATCH(295,'CARNET DE SOUDURE'!$AV$7:$AV$3006,0)))</f>
        <v/>
      </c>
      <c r="G306" s="125" t="str">
        <f aca="false">IF($B306="","",INDEX('CARNET DE SOUDURE'!$Z$7:$Z$3006,MATCH(295,'CARNET DE SOUDURE'!$AV$7:$AV$3006,0))&amp;"")</f>
        <v/>
      </c>
      <c r="H306" s="127" t="str">
        <f aca="false">IF($B306="","",INDEX('CARNET DE SOUDURE'!$AA$7:$AA$3006,MATCH(295,'CARNET DE SOUDURE'!$AV$7:$AV$3006,0)))</f>
        <v/>
      </c>
      <c r="I306" s="125" t="str">
        <f aca="false">IF($B306="","",INDEX('CARNET DE SOUDURE'!$AB$7:$AB$3006,MATCH(295,'CARNET DE SOUDURE'!$AV$7:$AV$3006,0))&amp;"")</f>
        <v/>
      </c>
      <c r="J306" s="125" t="str">
        <f aca="false">IF($B306="","",INDEX('CARNET DE SOUDURE'!$AC$7:$AC$3006,MATCH(295,'CARNET DE SOUDURE'!$AV$7:$AV$3006,0))&amp;IF(INDEX('CARNET DE SOUDURE'!$AH$7:$AH$3006,MATCH(295,'CARNET DE SOUDURE'!$AV$7:$AV$3006,0))&lt;&gt;""," / "&amp;INDEX('CARNET DE SOUDURE'!$AH$7:$AH$3006,MATCH(295,'CARNET DE SOUDURE'!$AV$7:$AV$3006,0)),""))</f>
        <v/>
      </c>
      <c r="K306" s="125" t="str">
        <f aca="false">IF($B306="","",INDEX('CARNET DE SOUDURE'!$AD$7:$AD$3006,MATCH(295,'CARNET DE SOUDURE'!$AV$7:$AV$3006,0))&amp;IF(INDEX('CARNET DE SOUDURE'!$AI$7:$AI$3006,MATCH(295,'CARNET DE SOUDURE'!$AV$7:$AV$3006,0))&lt;&gt;""," / "&amp;INDEX('CARNET DE SOUDURE'!$AI$7:$AI$3006,MATCH(295,'CARNET DE SOUDURE'!$AV$7:$AV$3006,0)),""))</f>
        <v/>
      </c>
      <c r="L306" s="125" t="str">
        <f aca="false">IF($B306="","",INDEX('CARNET DE SOUDURE'!$AG$7:$AG$3006,MATCH(295,'CARNET DE SOUDURE'!$AV$7:$AV$3006,0))&amp;IF(INDEX('CARNET DE SOUDURE'!$AL$7:$AL$3006,MATCH(295,'CARNET DE SOUDURE'!$AV$7:$AV$3006,0))&lt;&gt;""," / "&amp;INDEX('CARNET DE SOUDURE'!$AL$7:$AL$3006,MATCH(295,'CARNET DE SOUDURE'!$AV$7:$AV$3006,0)),""))</f>
        <v/>
      </c>
      <c r="M306" s="127" t="str">
        <f aca="false">IF($B306="","",INDEX('CARNET DE SOUDURE'!$AP$7:$AP$3006,MATCH(295,'CARNET DE SOUDURE'!$AV$7:$AV$3006,0)))</f>
        <v/>
      </c>
      <c r="N306" s="127" t="str">
        <f aca="false">IF($B306="","",INDEX('CARNET DE SOUDURE'!$AQ$7:$AQ$3006,MATCH(295,'CARNET DE SOUDURE'!$AV$7:$AV$3006,0)))</f>
        <v/>
      </c>
      <c r="O306" s="128" t="str">
        <f aca="false">IF($B306="","",INDEX('CARNET DE SOUDURE'!$AR$7:$AR$3006,MATCH(295,'CARNET DE SOUDURE'!$AV$7:$AV$3006,0)))</f>
        <v/>
      </c>
    </row>
    <row r="307" customFormat="false" ht="15" hidden="false" customHeight="false" outlineLevel="0" collapsed="false">
      <c r="B307" s="130" t="str">
        <f aca="false">IF(296&gt;$I$4,"",296)</f>
        <v/>
      </c>
      <c r="C307" s="130" t="str">
        <f aca="false">IF($B307="","",INDEX('CARNET DE SOUDURE'!$B$7:$B$3006,MATCH(296,'CARNET DE SOUDURE'!$AV$7:$AV$3006,0)))</f>
        <v/>
      </c>
      <c r="D307" s="130" t="str">
        <f aca="false">IF($B307="","",INDEX('CARNET DE SOUDURE'!$E$7:$E$3006,MATCH(296,'CARNET DE SOUDURE'!$AV$7:$AV$3006,0)))</f>
        <v/>
      </c>
      <c r="E307" s="130" t="str">
        <f aca="false">IF($B307="","",INDEX('CARNET DE SOUDURE'!$R$7:$R$3006,MATCH(296,'CARNET DE SOUDURE'!$AV$7:$AV$3006,0))&amp;IF(INDEX('CARNET DE SOUDURE'!$S$7:$S$3006,MATCH(296,'CARNET DE SOUDURE'!$AV$7:$AV$3006,0))&lt;&gt;""," / "&amp;INDEX('CARNET DE SOUDURE'!$S$7:$S$3006,MATCH(296,'CARNET DE SOUDURE'!$AV$7:$AV$3006,0)),"")&amp;IF(INDEX('CARNET DE SOUDURE'!$T$7:$T$3006,MATCH(296,'CARNET DE SOUDURE'!$AV$7:$AV$3006,0))&lt;&gt;""," / "&amp;INDEX('CARNET DE SOUDURE'!$T$7:$T$3006,MATCH(296,'CARNET DE SOUDURE'!$AV$7:$AV$3006,0)),""))</f>
        <v/>
      </c>
      <c r="F307" s="131" t="str">
        <f aca="false">IF($B307="","",INDEX('CARNET DE SOUDURE'!$Y$7:$Y$3006,MATCH(296,'CARNET DE SOUDURE'!$AV$7:$AV$3006,0)))</f>
        <v/>
      </c>
      <c r="G307" s="130" t="str">
        <f aca="false">IF($B307="","",INDEX('CARNET DE SOUDURE'!$Z$7:$Z$3006,MATCH(296,'CARNET DE SOUDURE'!$AV$7:$AV$3006,0))&amp;"")</f>
        <v/>
      </c>
      <c r="H307" s="132" t="str">
        <f aca="false">IF($B307="","",INDEX('CARNET DE SOUDURE'!$AA$7:$AA$3006,MATCH(296,'CARNET DE SOUDURE'!$AV$7:$AV$3006,0)))</f>
        <v/>
      </c>
      <c r="I307" s="130" t="str">
        <f aca="false">IF($B307="","",INDEX('CARNET DE SOUDURE'!$AB$7:$AB$3006,MATCH(296,'CARNET DE SOUDURE'!$AV$7:$AV$3006,0))&amp;"")</f>
        <v/>
      </c>
      <c r="J307" s="130" t="str">
        <f aca="false">IF($B307="","",INDEX('CARNET DE SOUDURE'!$AC$7:$AC$3006,MATCH(296,'CARNET DE SOUDURE'!$AV$7:$AV$3006,0))&amp;IF(INDEX('CARNET DE SOUDURE'!$AH$7:$AH$3006,MATCH(296,'CARNET DE SOUDURE'!$AV$7:$AV$3006,0))&lt;&gt;""," / "&amp;INDEX('CARNET DE SOUDURE'!$AH$7:$AH$3006,MATCH(296,'CARNET DE SOUDURE'!$AV$7:$AV$3006,0)),""))</f>
        <v/>
      </c>
      <c r="K307" s="130" t="str">
        <f aca="false">IF($B307="","",INDEX('CARNET DE SOUDURE'!$AD$7:$AD$3006,MATCH(296,'CARNET DE SOUDURE'!$AV$7:$AV$3006,0))&amp;IF(INDEX('CARNET DE SOUDURE'!$AI$7:$AI$3006,MATCH(296,'CARNET DE SOUDURE'!$AV$7:$AV$3006,0))&lt;&gt;""," / "&amp;INDEX('CARNET DE SOUDURE'!$AI$7:$AI$3006,MATCH(296,'CARNET DE SOUDURE'!$AV$7:$AV$3006,0)),""))</f>
        <v/>
      </c>
      <c r="L307" s="130" t="str">
        <f aca="false">IF($B307="","",INDEX('CARNET DE SOUDURE'!$AG$7:$AG$3006,MATCH(296,'CARNET DE SOUDURE'!$AV$7:$AV$3006,0))&amp;IF(INDEX('CARNET DE SOUDURE'!$AL$7:$AL$3006,MATCH(296,'CARNET DE SOUDURE'!$AV$7:$AV$3006,0))&lt;&gt;""," / "&amp;INDEX('CARNET DE SOUDURE'!$AL$7:$AL$3006,MATCH(296,'CARNET DE SOUDURE'!$AV$7:$AV$3006,0)),""))</f>
        <v/>
      </c>
      <c r="M307" s="132" t="str">
        <f aca="false">IF($B307="","",INDEX('CARNET DE SOUDURE'!$AP$7:$AP$3006,MATCH(296,'CARNET DE SOUDURE'!$AV$7:$AV$3006,0)))</f>
        <v/>
      </c>
      <c r="N307" s="132" t="str">
        <f aca="false">IF($B307="","",INDEX('CARNET DE SOUDURE'!$AQ$7:$AQ$3006,MATCH(296,'CARNET DE SOUDURE'!$AV$7:$AV$3006,0)))</f>
        <v/>
      </c>
      <c r="O307" s="133" t="str">
        <f aca="false">IF($B307="","",INDEX('CARNET DE SOUDURE'!$AR$7:$AR$3006,MATCH(296,'CARNET DE SOUDURE'!$AV$7:$AV$3006,0)))</f>
        <v/>
      </c>
    </row>
    <row r="308" customFormat="false" ht="15" hidden="false" customHeight="false" outlineLevel="0" collapsed="false">
      <c r="B308" s="125" t="str">
        <f aca="false">IF(297&gt;$I$4,"",297)</f>
        <v/>
      </c>
      <c r="C308" s="125" t="str">
        <f aca="false">IF($B308="","",INDEX('CARNET DE SOUDURE'!$B$7:$B$3006,MATCH(297,'CARNET DE SOUDURE'!$AV$7:$AV$3006,0)))</f>
        <v/>
      </c>
      <c r="D308" s="125" t="str">
        <f aca="false">IF($B308="","",INDEX('CARNET DE SOUDURE'!$E$7:$E$3006,MATCH(297,'CARNET DE SOUDURE'!$AV$7:$AV$3006,0)))</f>
        <v/>
      </c>
      <c r="E308" s="125" t="str">
        <f aca="false">IF($B308="","",INDEX('CARNET DE SOUDURE'!$R$7:$R$3006,MATCH(297,'CARNET DE SOUDURE'!$AV$7:$AV$3006,0))&amp;IF(INDEX('CARNET DE SOUDURE'!$S$7:$S$3006,MATCH(297,'CARNET DE SOUDURE'!$AV$7:$AV$3006,0))&lt;&gt;""," / "&amp;INDEX('CARNET DE SOUDURE'!$S$7:$S$3006,MATCH(297,'CARNET DE SOUDURE'!$AV$7:$AV$3006,0)),"")&amp;IF(INDEX('CARNET DE SOUDURE'!$T$7:$T$3006,MATCH(297,'CARNET DE SOUDURE'!$AV$7:$AV$3006,0))&lt;&gt;""," / "&amp;INDEX('CARNET DE SOUDURE'!$T$7:$T$3006,MATCH(297,'CARNET DE SOUDURE'!$AV$7:$AV$3006,0)),""))</f>
        <v/>
      </c>
      <c r="F308" s="126" t="str">
        <f aca="false">IF($B308="","",INDEX('CARNET DE SOUDURE'!$Y$7:$Y$3006,MATCH(297,'CARNET DE SOUDURE'!$AV$7:$AV$3006,0)))</f>
        <v/>
      </c>
      <c r="G308" s="125" t="str">
        <f aca="false">IF($B308="","",INDEX('CARNET DE SOUDURE'!$Z$7:$Z$3006,MATCH(297,'CARNET DE SOUDURE'!$AV$7:$AV$3006,0))&amp;"")</f>
        <v/>
      </c>
      <c r="H308" s="127" t="str">
        <f aca="false">IF($B308="","",INDEX('CARNET DE SOUDURE'!$AA$7:$AA$3006,MATCH(297,'CARNET DE SOUDURE'!$AV$7:$AV$3006,0)))</f>
        <v/>
      </c>
      <c r="I308" s="125" t="str">
        <f aca="false">IF($B308="","",INDEX('CARNET DE SOUDURE'!$AB$7:$AB$3006,MATCH(297,'CARNET DE SOUDURE'!$AV$7:$AV$3006,0))&amp;"")</f>
        <v/>
      </c>
      <c r="J308" s="125" t="str">
        <f aca="false">IF($B308="","",INDEX('CARNET DE SOUDURE'!$AC$7:$AC$3006,MATCH(297,'CARNET DE SOUDURE'!$AV$7:$AV$3006,0))&amp;IF(INDEX('CARNET DE SOUDURE'!$AH$7:$AH$3006,MATCH(297,'CARNET DE SOUDURE'!$AV$7:$AV$3006,0))&lt;&gt;""," / "&amp;INDEX('CARNET DE SOUDURE'!$AH$7:$AH$3006,MATCH(297,'CARNET DE SOUDURE'!$AV$7:$AV$3006,0)),""))</f>
        <v/>
      </c>
      <c r="K308" s="125" t="str">
        <f aca="false">IF($B308="","",INDEX('CARNET DE SOUDURE'!$AD$7:$AD$3006,MATCH(297,'CARNET DE SOUDURE'!$AV$7:$AV$3006,0))&amp;IF(INDEX('CARNET DE SOUDURE'!$AI$7:$AI$3006,MATCH(297,'CARNET DE SOUDURE'!$AV$7:$AV$3006,0))&lt;&gt;""," / "&amp;INDEX('CARNET DE SOUDURE'!$AI$7:$AI$3006,MATCH(297,'CARNET DE SOUDURE'!$AV$7:$AV$3006,0)),""))</f>
        <v/>
      </c>
      <c r="L308" s="125" t="str">
        <f aca="false">IF($B308="","",INDEX('CARNET DE SOUDURE'!$AG$7:$AG$3006,MATCH(297,'CARNET DE SOUDURE'!$AV$7:$AV$3006,0))&amp;IF(INDEX('CARNET DE SOUDURE'!$AL$7:$AL$3006,MATCH(297,'CARNET DE SOUDURE'!$AV$7:$AV$3006,0))&lt;&gt;""," / "&amp;INDEX('CARNET DE SOUDURE'!$AL$7:$AL$3006,MATCH(297,'CARNET DE SOUDURE'!$AV$7:$AV$3006,0)),""))</f>
        <v/>
      </c>
      <c r="M308" s="127" t="str">
        <f aca="false">IF($B308="","",INDEX('CARNET DE SOUDURE'!$AP$7:$AP$3006,MATCH(297,'CARNET DE SOUDURE'!$AV$7:$AV$3006,0)))</f>
        <v/>
      </c>
      <c r="N308" s="127" t="str">
        <f aca="false">IF($B308="","",INDEX('CARNET DE SOUDURE'!$AQ$7:$AQ$3006,MATCH(297,'CARNET DE SOUDURE'!$AV$7:$AV$3006,0)))</f>
        <v/>
      </c>
      <c r="O308" s="128" t="str">
        <f aca="false">IF($B308="","",INDEX('CARNET DE SOUDURE'!$AR$7:$AR$3006,MATCH(297,'CARNET DE SOUDURE'!$AV$7:$AV$3006,0)))</f>
        <v/>
      </c>
    </row>
    <row r="309" customFormat="false" ht="15" hidden="false" customHeight="false" outlineLevel="0" collapsed="false">
      <c r="B309" s="130" t="str">
        <f aca="false">IF(298&gt;$I$4,"",298)</f>
        <v/>
      </c>
      <c r="C309" s="130" t="str">
        <f aca="false">IF($B309="","",INDEX('CARNET DE SOUDURE'!$B$7:$B$3006,MATCH(298,'CARNET DE SOUDURE'!$AV$7:$AV$3006,0)))</f>
        <v/>
      </c>
      <c r="D309" s="130" t="str">
        <f aca="false">IF($B309="","",INDEX('CARNET DE SOUDURE'!$E$7:$E$3006,MATCH(298,'CARNET DE SOUDURE'!$AV$7:$AV$3006,0)))</f>
        <v/>
      </c>
      <c r="E309" s="130" t="str">
        <f aca="false">IF($B309="","",INDEX('CARNET DE SOUDURE'!$R$7:$R$3006,MATCH(298,'CARNET DE SOUDURE'!$AV$7:$AV$3006,0))&amp;IF(INDEX('CARNET DE SOUDURE'!$S$7:$S$3006,MATCH(298,'CARNET DE SOUDURE'!$AV$7:$AV$3006,0))&lt;&gt;""," / "&amp;INDEX('CARNET DE SOUDURE'!$S$7:$S$3006,MATCH(298,'CARNET DE SOUDURE'!$AV$7:$AV$3006,0)),"")&amp;IF(INDEX('CARNET DE SOUDURE'!$T$7:$T$3006,MATCH(298,'CARNET DE SOUDURE'!$AV$7:$AV$3006,0))&lt;&gt;""," / "&amp;INDEX('CARNET DE SOUDURE'!$T$7:$T$3006,MATCH(298,'CARNET DE SOUDURE'!$AV$7:$AV$3006,0)),""))</f>
        <v/>
      </c>
      <c r="F309" s="131" t="str">
        <f aca="false">IF($B309="","",INDEX('CARNET DE SOUDURE'!$Y$7:$Y$3006,MATCH(298,'CARNET DE SOUDURE'!$AV$7:$AV$3006,0)))</f>
        <v/>
      </c>
      <c r="G309" s="130" t="str">
        <f aca="false">IF($B309="","",INDEX('CARNET DE SOUDURE'!$Z$7:$Z$3006,MATCH(298,'CARNET DE SOUDURE'!$AV$7:$AV$3006,0))&amp;"")</f>
        <v/>
      </c>
      <c r="H309" s="132" t="str">
        <f aca="false">IF($B309="","",INDEX('CARNET DE SOUDURE'!$AA$7:$AA$3006,MATCH(298,'CARNET DE SOUDURE'!$AV$7:$AV$3006,0)))</f>
        <v/>
      </c>
      <c r="I309" s="130" t="str">
        <f aca="false">IF($B309="","",INDEX('CARNET DE SOUDURE'!$AB$7:$AB$3006,MATCH(298,'CARNET DE SOUDURE'!$AV$7:$AV$3006,0))&amp;"")</f>
        <v/>
      </c>
      <c r="J309" s="130" t="str">
        <f aca="false">IF($B309="","",INDEX('CARNET DE SOUDURE'!$AC$7:$AC$3006,MATCH(298,'CARNET DE SOUDURE'!$AV$7:$AV$3006,0))&amp;IF(INDEX('CARNET DE SOUDURE'!$AH$7:$AH$3006,MATCH(298,'CARNET DE SOUDURE'!$AV$7:$AV$3006,0))&lt;&gt;""," / "&amp;INDEX('CARNET DE SOUDURE'!$AH$7:$AH$3006,MATCH(298,'CARNET DE SOUDURE'!$AV$7:$AV$3006,0)),""))</f>
        <v/>
      </c>
      <c r="K309" s="130" t="str">
        <f aca="false">IF($B309="","",INDEX('CARNET DE SOUDURE'!$AD$7:$AD$3006,MATCH(298,'CARNET DE SOUDURE'!$AV$7:$AV$3006,0))&amp;IF(INDEX('CARNET DE SOUDURE'!$AI$7:$AI$3006,MATCH(298,'CARNET DE SOUDURE'!$AV$7:$AV$3006,0))&lt;&gt;""," / "&amp;INDEX('CARNET DE SOUDURE'!$AI$7:$AI$3006,MATCH(298,'CARNET DE SOUDURE'!$AV$7:$AV$3006,0)),""))</f>
        <v/>
      </c>
      <c r="L309" s="130" t="str">
        <f aca="false">IF($B309="","",INDEX('CARNET DE SOUDURE'!$AG$7:$AG$3006,MATCH(298,'CARNET DE SOUDURE'!$AV$7:$AV$3006,0))&amp;IF(INDEX('CARNET DE SOUDURE'!$AL$7:$AL$3006,MATCH(298,'CARNET DE SOUDURE'!$AV$7:$AV$3006,0))&lt;&gt;""," / "&amp;INDEX('CARNET DE SOUDURE'!$AL$7:$AL$3006,MATCH(298,'CARNET DE SOUDURE'!$AV$7:$AV$3006,0)),""))</f>
        <v/>
      </c>
      <c r="M309" s="132" t="str">
        <f aca="false">IF($B309="","",INDEX('CARNET DE SOUDURE'!$AP$7:$AP$3006,MATCH(298,'CARNET DE SOUDURE'!$AV$7:$AV$3006,0)))</f>
        <v/>
      </c>
      <c r="N309" s="132" t="str">
        <f aca="false">IF($B309="","",INDEX('CARNET DE SOUDURE'!$AQ$7:$AQ$3006,MATCH(298,'CARNET DE SOUDURE'!$AV$7:$AV$3006,0)))</f>
        <v/>
      </c>
      <c r="O309" s="133" t="str">
        <f aca="false">IF($B309="","",INDEX('CARNET DE SOUDURE'!$AR$7:$AR$3006,MATCH(298,'CARNET DE SOUDURE'!$AV$7:$AV$3006,0)))</f>
        <v/>
      </c>
    </row>
    <row r="310" customFormat="false" ht="15" hidden="false" customHeight="false" outlineLevel="0" collapsed="false">
      <c r="B310" s="125" t="str">
        <f aca="false">IF(299&gt;$I$4,"",299)</f>
        <v/>
      </c>
      <c r="C310" s="125" t="str">
        <f aca="false">IF($B310="","",INDEX('CARNET DE SOUDURE'!$B$7:$B$3006,MATCH(299,'CARNET DE SOUDURE'!$AV$7:$AV$3006,0)))</f>
        <v/>
      </c>
      <c r="D310" s="125" t="str">
        <f aca="false">IF($B310="","",INDEX('CARNET DE SOUDURE'!$E$7:$E$3006,MATCH(299,'CARNET DE SOUDURE'!$AV$7:$AV$3006,0)))</f>
        <v/>
      </c>
      <c r="E310" s="125" t="str">
        <f aca="false">IF($B310="","",INDEX('CARNET DE SOUDURE'!$R$7:$R$3006,MATCH(299,'CARNET DE SOUDURE'!$AV$7:$AV$3006,0))&amp;IF(INDEX('CARNET DE SOUDURE'!$S$7:$S$3006,MATCH(299,'CARNET DE SOUDURE'!$AV$7:$AV$3006,0))&lt;&gt;""," / "&amp;INDEX('CARNET DE SOUDURE'!$S$7:$S$3006,MATCH(299,'CARNET DE SOUDURE'!$AV$7:$AV$3006,0)),"")&amp;IF(INDEX('CARNET DE SOUDURE'!$T$7:$T$3006,MATCH(299,'CARNET DE SOUDURE'!$AV$7:$AV$3006,0))&lt;&gt;""," / "&amp;INDEX('CARNET DE SOUDURE'!$T$7:$T$3006,MATCH(299,'CARNET DE SOUDURE'!$AV$7:$AV$3006,0)),""))</f>
        <v/>
      </c>
      <c r="F310" s="126" t="str">
        <f aca="false">IF($B310="","",INDEX('CARNET DE SOUDURE'!$Y$7:$Y$3006,MATCH(299,'CARNET DE SOUDURE'!$AV$7:$AV$3006,0)))</f>
        <v/>
      </c>
      <c r="G310" s="125" t="str">
        <f aca="false">IF($B310="","",INDEX('CARNET DE SOUDURE'!$Z$7:$Z$3006,MATCH(299,'CARNET DE SOUDURE'!$AV$7:$AV$3006,0))&amp;"")</f>
        <v/>
      </c>
      <c r="H310" s="127" t="str">
        <f aca="false">IF($B310="","",INDEX('CARNET DE SOUDURE'!$AA$7:$AA$3006,MATCH(299,'CARNET DE SOUDURE'!$AV$7:$AV$3006,0)))</f>
        <v/>
      </c>
      <c r="I310" s="125" t="str">
        <f aca="false">IF($B310="","",INDEX('CARNET DE SOUDURE'!$AB$7:$AB$3006,MATCH(299,'CARNET DE SOUDURE'!$AV$7:$AV$3006,0))&amp;"")</f>
        <v/>
      </c>
      <c r="J310" s="125" t="str">
        <f aca="false">IF($B310="","",INDEX('CARNET DE SOUDURE'!$AC$7:$AC$3006,MATCH(299,'CARNET DE SOUDURE'!$AV$7:$AV$3006,0))&amp;IF(INDEX('CARNET DE SOUDURE'!$AH$7:$AH$3006,MATCH(299,'CARNET DE SOUDURE'!$AV$7:$AV$3006,0))&lt;&gt;""," / "&amp;INDEX('CARNET DE SOUDURE'!$AH$7:$AH$3006,MATCH(299,'CARNET DE SOUDURE'!$AV$7:$AV$3006,0)),""))</f>
        <v/>
      </c>
      <c r="K310" s="125" t="str">
        <f aca="false">IF($B310="","",INDEX('CARNET DE SOUDURE'!$AD$7:$AD$3006,MATCH(299,'CARNET DE SOUDURE'!$AV$7:$AV$3006,0))&amp;IF(INDEX('CARNET DE SOUDURE'!$AI$7:$AI$3006,MATCH(299,'CARNET DE SOUDURE'!$AV$7:$AV$3006,0))&lt;&gt;""," / "&amp;INDEX('CARNET DE SOUDURE'!$AI$7:$AI$3006,MATCH(299,'CARNET DE SOUDURE'!$AV$7:$AV$3006,0)),""))</f>
        <v/>
      </c>
      <c r="L310" s="125" t="str">
        <f aca="false">IF($B310="","",INDEX('CARNET DE SOUDURE'!$AG$7:$AG$3006,MATCH(299,'CARNET DE SOUDURE'!$AV$7:$AV$3006,0))&amp;IF(INDEX('CARNET DE SOUDURE'!$AL$7:$AL$3006,MATCH(299,'CARNET DE SOUDURE'!$AV$7:$AV$3006,0))&lt;&gt;""," / "&amp;INDEX('CARNET DE SOUDURE'!$AL$7:$AL$3006,MATCH(299,'CARNET DE SOUDURE'!$AV$7:$AV$3006,0)),""))</f>
        <v/>
      </c>
      <c r="M310" s="127" t="str">
        <f aca="false">IF($B310="","",INDEX('CARNET DE SOUDURE'!$AP$7:$AP$3006,MATCH(299,'CARNET DE SOUDURE'!$AV$7:$AV$3006,0)))</f>
        <v/>
      </c>
      <c r="N310" s="127" t="str">
        <f aca="false">IF($B310="","",INDEX('CARNET DE SOUDURE'!$AQ$7:$AQ$3006,MATCH(299,'CARNET DE SOUDURE'!$AV$7:$AV$3006,0)))</f>
        <v/>
      </c>
      <c r="O310" s="128" t="str">
        <f aca="false">IF($B310="","",INDEX('CARNET DE SOUDURE'!$AR$7:$AR$3006,MATCH(299,'CARNET DE SOUDURE'!$AV$7:$AV$3006,0)))</f>
        <v/>
      </c>
    </row>
    <row r="311" customFormat="false" ht="15" hidden="false" customHeight="false" outlineLevel="0" collapsed="false">
      <c r="B311" s="130" t="str">
        <f aca="false">IF(300&gt;$I$4,"",300)</f>
        <v/>
      </c>
      <c r="C311" s="130" t="str">
        <f aca="false">IF($B311="","",INDEX('CARNET DE SOUDURE'!$B$7:$B$3006,MATCH(300,'CARNET DE SOUDURE'!$AV$7:$AV$3006,0)))</f>
        <v/>
      </c>
      <c r="D311" s="130" t="str">
        <f aca="false">IF($B311="","",INDEX('CARNET DE SOUDURE'!$E$7:$E$3006,MATCH(300,'CARNET DE SOUDURE'!$AV$7:$AV$3006,0)))</f>
        <v/>
      </c>
      <c r="E311" s="130" t="str">
        <f aca="false">IF($B311="","",INDEX('CARNET DE SOUDURE'!$R$7:$R$3006,MATCH(300,'CARNET DE SOUDURE'!$AV$7:$AV$3006,0))&amp;IF(INDEX('CARNET DE SOUDURE'!$S$7:$S$3006,MATCH(300,'CARNET DE SOUDURE'!$AV$7:$AV$3006,0))&lt;&gt;""," / "&amp;INDEX('CARNET DE SOUDURE'!$S$7:$S$3006,MATCH(300,'CARNET DE SOUDURE'!$AV$7:$AV$3006,0)),"")&amp;IF(INDEX('CARNET DE SOUDURE'!$T$7:$T$3006,MATCH(300,'CARNET DE SOUDURE'!$AV$7:$AV$3006,0))&lt;&gt;""," / "&amp;INDEX('CARNET DE SOUDURE'!$T$7:$T$3006,MATCH(300,'CARNET DE SOUDURE'!$AV$7:$AV$3006,0)),""))</f>
        <v/>
      </c>
      <c r="F311" s="131" t="str">
        <f aca="false">IF($B311="","",INDEX('CARNET DE SOUDURE'!$Y$7:$Y$3006,MATCH(300,'CARNET DE SOUDURE'!$AV$7:$AV$3006,0)))</f>
        <v/>
      </c>
      <c r="G311" s="130" t="str">
        <f aca="false">IF($B311="","",INDEX('CARNET DE SOUDURE'!$Z$7:$Z$3006,MATCH(300,'CARNET DE SOUDURE'!$AV$7:$AV$3006,0))&amp;"")</f>
        <v/>
      </c>
      <c r="H311" s="132" t="str">
        <f aca="false">IF($B311="","",INDEX('CARNET DE SOUDURE'!$AA$7:$AA$3006,MATCH(300,'CARNET DE SOUDURE'!$AV$7:$AV$3006,0)))</f>
        <v/>
      </c>
      <c r="I311" s="130" t="str">
        <f aca="false">IF($B311="","",INDEX('CARNET DE SOUDURE'!$AB$7:$AB$3006,MATCH(300,'CARNET DE SOUDURE'!$AV$7:$AV$3006,0))&amp;"")</f>
        <v/>
      </c>
      <c r="J311" s="130" t="str">
        <f aca="false">IF($B311="","",INDEX('CARNET DE SOUDURE'!$AC$7:$AC$3006,MATCH(300,'CARNET DE SOUDURE'!$AV$7:$AV$3006,0))&amp;IF(INDEX('CARNET DE SOUDURE'!$AH$7:$AH$3006,MATCH(300,'CARNET DE SOUDURE'!$AV$7:$AV$3006,0))&lt;&gt;""," / "&amp;INDEX('CARNET DE SOUDURE'!$AH$7:$AH$3006,MATCH(300,'CARNET DE SOUDURE'!$AV$7:$AV$3006,0)),""))</f>
        <v/>
      </c>
      <c r="K311" s="130" t="str">
        <f aca="false">IF($B311="","",INDEX('CARNET DE SOUDURE'!$AD$7:$AD$3006,MATCH(300,'CARNET DE SOUDURE'!$AV$7:$AV$3006,0))&amp;IF(INDEX('CARNET DE SOUDURE'!$AI$7:$AI$3006,MATCH(300,'CARNET DE SOUDURE'!$AV$7:$AV$3006,0))&lt;&gt;""," / "&amp;INDEX('CARNET DE SOUDURE'!$AI$7:$AI$3006,MATCH(300,'CARNET DE SOUDURE'!$AV$7:$AV$3006,0)),""))</f>
        <v/>
      </c>
      <c r="L311" s="130" t="str">
        <f aca="false">IF($B311="","",INDEX('CARNET DE SOUDURE'!$AG$7:$AG$3006,MATCH(300,'CARNET DE SOUDURE'!$AV$7:$AV$3006,0))&amp;IF(INDEX('CARNET DE SOUDURE'!$AL$7:$AL$3006,MATCH(300,'CARNET DE SOUDURE'!$AV$7:$AV$3006,0))&lt;&gt;""," / "&amp;INDEX('CARNET DE SOUDURE'!$AL$7:$AL$3006,MATCH(300,'CARNET DE SOUDURE'!$AV$7:$AV$3006,0)),""))</f>
        <v/>
      </c>
      <c r="M311" s="132" t="str">
        <f aca="false">IF($B311="","",INDEX('CARNET DE SOUDURE'!$AP$7:$AP$3006,MATCH(300,'CARNET DE SOUDURE'!$AV$7:$AV$3006,0)))</f>
        <v/>
      </c>
      <c r="N311" s="132" t="str">
        <f aca="false">IF($B311="","",INDEX('CARNET DE SOUDURE'!$AQ$7:$AQ$3006,MATCH(300,'CARNET DE SOUDURE'!$AV$7:$AV$3006,0)))</f>
        <v/>
      </c>
      <c r="O311" s="133" t="str">
        <f aca="false">IF($B311="","",INDEX('CARNET DE SOUDURE'!$AR$7:$AR$3006,MATCH(300,'CARNET DE SOUDURE'!$AV$7:$AV$3006,0)))</f>
        <v/>
      </c>
    </row>
  </sheetData>
  <mergeCells count="16">
    <mergeCell ref="B2:O2"/>
    <mergeCell ref="D5:E5"/>
    <mergeCell ref="G5:L5"/>
    <mergeCell ref="B7:O7"/>
    <mergeCell ref="B8:C8"/>
    <mergeCell ref="D8:E8"/>
    <mergeCell ref="F8:G8"/>
    <mergeCell ref="H8:I8"/>
    <mergeCell ref="J8:K8"/>
    <mergeCell ref="L8:N8"/>
    <mergeCell ref="B9:C9"/>
    <mergeCell ref="D9:E9"/>
    <mergeCell ref="F9:G9"/>
    <mergeCell ref="H9:I9"/>
    <mergeCell ref="J9:K9"/>
    <mergeCell ref="L9:N9"/>
  </mergeCells>
  <conditionalFormatting sqref="N12:N311">
    <cfRule type="cellIs" priority="2" operator="equal" aboveAverage="0" equalAverage="0" bottom="0" percent="0" rank="0" text="" dxfId="1">
      <formula>"ACCEPTÉ"</formula>
    </cfRule>
    <cfRule type="cellIs" priority="3" operator="equal" aboveAverage="0" equalAverage="0" bottom="0" percent="0" rank="0" text="" dxfId="30">
      <formula>"À RADIOGRAPHIER"</formula>
    </cfRule>
    <cfRule type="cellIs" priority="4" operator="equal" aboveAverage="0" equalAverage="0" bottom="0" percent="0" rank="0" text="" dxfId="30">
      <formula>"RÉPARÉ – À RADIOGRAPHIER"</formula>
    </cfRule>
    <cfRule type="cellIs" priority="5" operator="equal" aboveAverage="0" equalAverage="0" bottom="0" percent="0" rank="0" text="" dxfId="27">
      <formula>"NX – RT À REFAIRE"</formula>
    </cfRule>
    <cfRule type="cellIs" priority="6" operator="equal" aboveAverage="0" equalAverage="0" bottom="0" percent="0" rank="0" text="" dxfId="0">
      <formula>"À RÉPARER"</formula>
    </cfRule>
    <cfRule type="cellIs" priority="7" operator="equal" aboveAverage="0" equalAverage="0" bottom="0" percent="0" rank="0" text="" dxfId="29">
      <formula>"COUPE – À RESOUDER"</formula>
    </cfRule>
    <cfRule type="cellIs" priority="8" operator="equal" aboveAverage="0" equalAverage="0" bottom="0" percent="0" rank="0" text="" dxfId="0">
      <formula>"VT REJETÉ – À REPRENDRE"</formula>
    </cfRule>
    <cfRule type="cellIs" priority="9" operator="equal" aboveAverage="0" equalAverage="0" bottom="0" percent="0" rank="0" text="" dxfId="31">
      <formula>"VT EN ATTENTE"</formula>
    </cfRule>
    <cfRule type="cellIs" priority="10" operator="equal" aboveAverage="0" equalAverage="0" bottom="0" percent="0" rank="0" text="" dxfId="32">
      <formula>"À SOUDER"</formula>
    </cfRule>
  </conditionalFormatting>
  <conditionalFormatting sqref="O12:O311">
    <cfRule type="expression" priority="11" aboveAverage="0" equalAverage="0" bottom="0" percent="0" rank="0" text="" dxfId="0">
      <formula>AND(ISNUMBER(O12),O12&gt;3)</formula>
    </cfRule>
  </conditionalFormatting>
  <conditionalFormatting sqref="H12:H311">
    <cfRule type="cellIs" priority="12" operator="equal" aboveAverage="0" equalAverage="0" bottom="0" percent="0" rank="0" text="" dxfId="1">
      <formula>"A"</formula>
    </cfRule>
    <cfRule type="cellIs" priority="13" operator="equal" aboveAverage="0" equalAverage="0" bottom="0" percent="0" rank="0" text="" dxfId="0">
      <formula>"R"</formula>
    </cfRule>
    <cfRule type="cellIs" priority="14" operator="equal" aboveAverage="0" equalAverage="0" bottom="0" percent="0" rank="0" text="" dxfId="27">
      <formula>"NX"</formula>
    </cfRule>
    <cfRule type="cellIs" priority="15" operator="equal" aboveAverage="0" equalAverage="0" bottom="0" percent="0" rank="0" text="" dxfId="28">
      <formula>"NT"</formula>
    </cfRule>
    <cfRule type="cellIs" priority="16" operator="equal" aboveAverage="0" equalAverage="0" bottom="0" percent="0" rank="0" text="" dxfId="29">
      <formula>"CO"</formula>
    </cfRule>
  </conditionalFormatting>
  <conditionalFormatting sqref="M12:M311">
    <cfRule type="cellIs" priority="17" operator="equal" aboveAverage="0" equalAverage="0" bottom="0" percent="0" rank="0" text="" dxfId="1">
      <formula>"A"</formula>
    </cfRule>
    <cfRule type="cellIs" priority="18" operator="equal" aboveAverage="0" equalAverage="0" bottom="0" percent="0" rank="0" text="" dxfId="0">
      <formula>"R"</formula>
    </cfRule>
    <cfRule type="cellIs" priority="19" operator="equal" aboveAverage="0" equalAverage="0" bottom="0" percent="0" rank="0" text="" dxfId="27">
      <formula>"NX"</formula>
    </cfRule>
    <cfRule type="cellIs" priority="20" operator="equal" aboveAverage="0" equalAverage="0" bottom="0" percent="0" rank="0" text="" dxfId="28">
      <formula>"NT"</formula>
    </cfRule>
    <cfRule type="cellIs" priority="21" operator="equal" aboveAverage="0" equalAverage="0" bottom="0" percent="0" rank="0" text="" dxfId="29">
      <formula>"CO"</formula>
    </cfRule>
  </conditionalFormatting>
  <dataValidations count="2">
    <dataValidation allowBlank="true" error="Choisir une ligne ou TOUTES" errorStyle="stop" errorTitle="Valeur non valide" operator="between" prompt="Choisir une ligne ou TOUTES" showDropDown="false" showErrorMessage="true" showInputMessage="true" sqref="D5" type="list">
      <formula1>PARAMÈTRES!$B$32:$B$40</formula1>
      <formula2>0</formula2>
    </dataValidation>
    <dataValidation allowBlank="true" error="TOUS ou EN COURS" errorStyle="stop" errorTitle="Valeur non valide" operator="between" prompt="TOUS ou EN COURS" showDropDown="false" showErrorMessage="true" showInputMessage="true" sqref="L4" type="list">
      <formula1>"TOUS,EN COURS"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6000"/>
    <pageSetUpPr fitToPage="true"/>
  </sheetPr>
  <dimension ref="A1:R25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13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12"/>
    <col collapsed="false" customWidth="true" hidden="false" outlineLevel="0" max="9" min="9" style="0" width="20"/>
    <col collapsed="false" customWidth="true" hidden="false" outlineLevel="0" max="11" min="10" style="0" width="12"/>
    <col collapsed="false" customWidth="true" hidden="false" outlineLevel="0" max="12" min="12" style="0" width="8"/>
    <col collapsed="false" customWidth="true" hidden="false" outlineLevel="0" max="13" min="13" style="0" width="16"/>
    <col collapsed="false" customWidth="true" hidden="false" outlineLevel="0" max="14" min="14" style="0" width="22"/>
  </cols>
  <sheetData>
    <row r="1" customFormat="false" ht="33.75" hidden="false" customHeight="true" outlineLevel="0" collapsed="false">
      <c r="A1" s="139" t="s">
        <v>3224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</row>
    <row r="2" customFormat="false" ht="15" hidden="false" customHeight="true" outlineLevel="0" collapsed="false">
      <c r="A2" s="61" t="s">
        <v>3225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</row>
    <row r="3" customFormat="false" ht="21.75" hidden="false" customHeight="true" outlineLevel="0" collapsed="false">
      <c r="A3" s="111" t="s">
        <v>3226</v>
      </c>
      <c r="B3" s="111"/>
      <c r="C3" s="140" t="n">
        <f aca="false">COUNTA(B7:B2506)</f>
        <v>1347</v>
      </c>
      <c r="D3" s="111" t="s">
        <v>3227</v>
      </c>
      <c r="E3" s="111"/>
      <c r="F3" s="141" t="n">
        <f aca="false">SUM(F7:F2506)</f>
        <v>16010.73</v>
      </c>
      <c r="G3" s="111" t="s">
        <v>3228</v>
      </c>
      <c r="H3" s="111"/>
      <c r="I3" s="140" t="n">
        <f aca="false">COUNTIF(M7:M2506,"POSÉ EN LIGNE")</f>
        <v>1347</v>
      </c>
      <c r="J3" s="111" t="s">
        <v>3229</v>
      </c>
      <c r="K3" s="111"/>
      <c r="L3" s="140" t="n">
        <f aca="false">COUNTIF(M7:M2506,"BARDÉ")</f>
        <v>0</v>
      </c>
      <c r="M3" s="111" t="s">
        <v>3230</v>
      </c>
      <c r="N3" s="111"/>
      <c r="O3" s="140" t="n">
        <f aca="false">COUNTIF(M7:M2506,"EN STOCK")</f>
        <v>0</v>
      </c>
      <c r="P3" s="142" t="s">
        <v>3231</v>
      </c>
      <c r="R3" s="143" t="n">
        <f aca="false">COUNTIF(E7:E2506,"⚠ DIFFÉRENTE")</f>
        <v>28</v>
      </c>
    </row>
    <row r="6" customFormat="false" ht="30" hidden="false" customHeight="true" outlineLevel="0" collapsed="false">
      <c r="A6" s="37" t="s">
        <v>61</v>
      </c>
      <c r="B6" s="144" t="s">
        <v>3023</v>
      </c>
      <c r="C6" s="144" t="s">
        <v>3024</v>
      </c>
      <c r="D6" s="144" t="s">
        <v>3025</v>
      </c>
      <c r="E6" s="37" t="s">
        <v>3232</v>
      </c>
      <c r="F6" s="144" t="s">
        <v>3026</v>
      </c>
      <c r="G6" s="144" t="s">
        <v>3233</v>
      </c>
      <c r="H6" s="144" t="s">
        <v>3234</v>
      </c>
      <c r="I6" s="37" t="s">
        <v>62</v>
      </c>
      <c r="J6" s="37" t="s">
        <v>3235</v>
      </c>
      <c r="K6" s="37" t="s">
        <v>3236</v>
      </c>
      <c r="L6" s="37" t="s">
        <v>64</v>
      </c>
      <c r="M6" s="37" t="s">
        <v>3237</v>
      </c>
      <c r="N6" s="144" t="s">
        <v>3030</v>
      </c>
    </row>
    <row r="7" customFormat="false" ht="15" hidden="false" customHeight="false" outlineLevel="0" collapsed="false">
      <c r="A7" s="82" t="n">
        <f aca="false">IF(B7="","",ROW()-6)</f>
        <v>1</v>
      </c>
      <c r="B7" s="145" t="n">
        <v>2091210</v>
      </c>
      <c r="C7" s="146" t="n">
        <v>15421109</v>
      </c>
      <c r="D7" s="146"/>
      <c r="E7" s="82" t="str">
        <f aca="false">IF(B7="","",IF(COUNTIFS('CARNET DE SOUDURE'!$L$7:$L$3006,B7,'CARNET DE SOUDURE'!$M$7:$M$3006,"&lt;&gt;"&amp;C7,'CARNET DE SOUDURE'!$M$7:$M$3006,"&lt;&gt;")+COUNTIFS('CARNET DE SOUDURE'!$O$7:$O$3006,B7,'CARNET DE SOUDURE'!$P$7:$P$3006,"&lt;&gt;"&amp;C7,'CARNET DE SOUDURE'!$P$7:$P$3006,"&lt;&gt;")&gt;0,"⚠ DIFFÉRENTE","OK"))</f>
        <v>OK</v>
      </c>
      <c r="F7" s="147" t="n">
        <v>11.94</v>
      </c>
      <c r="G7" s="80"/>
      <c r="H7" s="83"/>
      <c r="I7" s="148" t="str">
        <f aca="false">IF(B7="","",IFERROR(INDEX('CARNET DE SOUDURE'!$B$7:$B$3006,MATCH(B7,'CARNET DE SOUDURE'!$L$7:$L$3006,0)),IFERROR(INDEX('CARNET DE SOUDURE'!$B$7:$B$3006,MATCH(B7,'CARNET DE SOUDURE'!$O$7:$O$3006,0)),"")))</f>
        <v>MFD-ISW → MFD-CPF</v>
      </c>
      <c r="J7" s="82" t="str">
        <f aca="false">IF(B7="","",IFERROR(INDEX('CARNET DE SOUDURE'!$E$7:$E$3006,MATCH(B7,'CARNET DE SOUDURE'!$O$7:$O$3006,0)),""))</f>
        <v/>
      </c>
      <c r="K7" s="82" t="str">
        <f aca="false">IF(B7="","",IFERROR(INDEX('CARNET DE SOUDURE'!$E$7:$E$3006,MATCH(B7,'CARNET DE SOUDURE'!$L$7:$L$3006,0)),""))</f>
        <v>DJ°522</v>
      </c>
      <c r="L7" s="82" t="str">
        <f aca="false">IF(B7="","",IFERROR(INDEX('CARNET DE SOUDURE'!$D$7:$D$3006,MATCH(B7,'CARNET DE SOUDURE'!$L$7:$L$3006,0)),IFERROR(INDEX('CARNET DE SOUDURE'!$D$7:$D$3006,MATCH(B7,'CARNET DE SOUDURE'!$O$7:$O$3006,0)),"")))</f>
        <v>/</v>
      </c>
      <c r="M7" s="82" t="str">
        <f aca="false">IF(B7="","",IF(OR(J7&lt;&gt;"",K7&lt;&gt;""),"POSÉ EN LIGNE",IF(COUNTIF(BARDAGE!$C$1:$C$5000,B7)&gt;0,"BARDÉ","EN STOCK")))</f>
        <v>POSÉ EN LIGNE</v>
      </c>
      <c r="N7" s="80"/>
    </row>
    <row r="8" customFormat="false" ht="15" hidden="false" customHeight="false" outlineLevel="0" collapsed="false">
      <c r="A8" s="82" t="n">
        <f aca="false">IF(B8="","",ROW()-6)</f>
        <v>2</v>
      </c>
      <c r="B8" s="145" t="n">
        <v>2095480</v>
      </c>
      <c r="C8" s="146" t="n">
        <v>15421107</v>
      </c>
      <c r="D8" s="146"/>
      <c r="E8" s="82" t="str">
        <f aca="false">IF(B8="","",IF(COUNTIFS('CARNET DE SOUDURE'!$L$7:$L$3006,B8,'CARNET DE SOUDURE'!$M$7:$M$3006,"&lt;&gt;"&amp;C8,'CARNET DE SOUDURE'!$M$7:$M$3006,"&lt;&gt;")+COUNTIFS('CARNET DE SOUDURE'!$O$7:$O$3006,B8,'CARNET DE SOUDURE'!$P$7:$P$3006,"&lt;&gt;"&amp;C8,'CARNET DE SOUDURE'!$P$7:$P$3006,"&lt;&gt;")&gt;0,"⚠ DIFFÉRENTE","OK"))</f>
        <v>OK</v>
      </c>
      <c r="F8" s="147" t="n">
        <v>11.94</v>
      </c>
      <c r="G8" s="80"/>
      <c r="H8" s="83"/>
      <c r="I8" s="148" t="str">
        <f aca="false">IF(B8="","",IFERROR(INDEX('CARNET DE SOUDURE'!$B$7:$B$3006,MATCH(B8,'CARNET DE SOUDURE'!$L$7:$L$3006,0)),IFERROR(INDEX('CARNET DE SOUDURE'!$B$7:$B$3006,MATCH(B8,'CARNET DE SOUDURE'!$O$7:$O$3006,0)),"")))</f>
        <v>MFD-ISW → MFD-CPF</v>
      </c>
      <c r="J8" s="82" t="str">
        <f aca="false">IF(B8="","",IFERROR(INDEX('CARNET DE SOUDURE'!$E$7:$E$3006,MATCH(B8,'CARNET DE SOUDURE'!$O$7:$O$3006,0)),""))</f>
        <v>DJ°522</v>
      </c>
      <c r="K8" s="82" t="str">
        <f aca="false">IF(B8="","",IFERROR(INDEX('CARNET DE SOUDURE'!$E$7:$E$3006,MATCH(B8,'CARNET DE SOUDURE'!$L$7:$L$3006,0)),""))</f>
        <v>JN°758</v>
      </c>
      <c r="L8" s="82" t="n">
        <f aca="false">IF(B8="","",IFERROR(INDEX('CARNET DE SOUDURE'!$D$7:$D$3006,MATCH(B8,'CARNET DE SOUDURE'!$L$7:$L$3006,0)),IFERROR(INDEX('CARNET DE SOUDURE'!$D$7:$D$3006,MATCH(B8,'CARNET DE SOUDURE'!$O$7:$O$3006,0)),"")))</f>
        <v>4</v>
      </c>
      <c r="M8" s="82" t="str">
        <f aca="false">IF(B8="","",IF(OR(J8&lt;&gt;"",K8&lt;&gt;""),"POSÉ EN LIGNE",IF(COUNTIF(BARDAGE!$C$1:$C$5000,B8)&gt;0,"BARDÉ","EN STOCK")))</f>
        <v>POSÉ EN LIGNE</v>
      </c>
      <c r="N8" s="80"/>
    </row>
    <row r="9" customFormat="false" ht="15" hidden="false" customHeight="false" outlineLevel="0" collapsed="false">
      <c r="A9" s="82" t="n">
        <f aca="false">IF(B9="","",ROW()-6)</f>
        <v>3</v>
      </c>
      <c r="B9" s="145" t="n">
        <v>2084910</v>
      </c>
      <c r="C9" s="146" t="n">
        <v>15421106</v>
      </c>
      <c r="D9" s="146"/>
      <c r="E9" s="82" t="str">
        <f aca="false">IF(B9="","",IF(COUNTIFS('CARNET DE SOUDURE'!$L$7:$L$3006,B9,'CARNET DE SOUDURE'!$M$7:$M$3006,"&lt;&gt;"&amp;C9,'CARNET DE SOUDURE'!$M$7:$M$3006,"&lt;&gt;")+COUNTIFS('CARNET DE SOUDURE'!$O$7:$O$3006,B9,'CARNET DE SOUDURE'!$P$7:$P$3006,"&lt;&gt;"&amp;C9,'CARNET DE SOUDURE'!$P$7:$P$3006,"&lt;&gt;")&gt;0,"⚠ DIFFÉRENTE","OK"))</f>
        <v>OK</v>
      </c>
      <c r="F9" s="147" t="n">
        <v>11.94</v>
      </c>
      <c r="G9" s="80"/>
      <c r="H9" s="83"/>
      <c r="I9" s="148" t="str">
        <f aca="false">IF(B9="","",IFERROR(INDEX('CARNET DE SOUDURE'!$B$7:$B$3006,MATCH(B9,'CARNET DE SOUDURE'!$L$7:$L$3006,0)),IFERROR(INDEX('CARNET DE SOUDURE'!$B$7:$B$3006,MATCH(B9,'CARNET DE SOUDURE'!$O$7:$O$3006,0)),"")))</f>
        <v>MFD-ISW → MFD-CPF</v>
      </c>
      <c r="J9" s="82" t="str">
        <f aca="false">IF(B9="","",IFERROR(INDEX('CARNET DE SOUDURE'!$E$7:$E$3006,MATCH(B9,'CARNET DE SOUDURE'!$O$7:$O$3006,0)),""))</f>
        <v>JN°758</v>
      </c>
      <c r="K9" s="82" t="str">
        <f aca="false">IF(B9="","",IFERROR(INDEX('CARNET DE SOUDURE'!$E$7:$E$3006,MATCH(B9,'CARNET DE SOUDURE'!$L$7:$L$3006,0)),""))</f>
        <v>DJ°507</v>
      </c>
      <c r="L9" s="82" t="n">
        <f aca="false">IF(B9="","",IFERROR(INDEX('CARNET DE SOUDURE'!$D$7:$D$3006,MATCH(B9,'CARNET DE SOUDURE'!$L$7:$L$3006,0)),IFERROR(INDEX('CARNET DE SOUDURE'!$D$7:$D$3006,MATCH(B9,'CARNET DE SOUDURE'!$O$7:$O$3006,0)),"")))</f>
        <v>4</v>
      </c>
      <c r="M9" s="82" t="str">
        <f aca="false">IF(B9="","",IF(OR(J9&lt;&gt;"",K9&lt;&gt;""),"POSÉ EN LIGNE",IF(COUNTIF(BARDAGE!$C$1:$C$5000,B9)&gt;0,"BARDÉ","EN STOCK")))</f>
        <v>POSÉ EN LIGNE</v>
      </c>
      <c r="N9" s="80"/>
    </row>
    <row r="10" customFormat="false" ht="15" hidden="false" customHeight="false" outlineLevel="0" collapsed="false">
      <c r="A10" s="82" t="n">
        <f aca="false">IF(B10="","",ROW()-6)</f>
        <v>4</v>
      </c>
      <c r="B10" s="145" t="n">
        <v>2085870</v>
      </c>
      <c r="C10" s="146" t="n">
        <v>15421106</v>
      </c>
      <c r="D10" s="146"/>
      <c r="E10" s="82" t="str">
        <f aca="false">IF(B10="","",IF(COUNTIFS('CARNET DE SOUDURE'!$L$7:$L$3006,B10,'CARNET DE SOUDURE'!$M$7:$M$3006,"&lt;&gt;"&amp;C10,'CARNET DE SOUDURE'!$M$7:$M$3006,"&lt;&gt;")+COUNTIFS('CARNET DE SOUDURE'!$O$7:$O$3006,B10,'CARNET DE SOUDURE'!$P$7:$P$3006,"&lt;&gt;"&amp;C10,'CARNET DE SOUDURE'!$P$7:$P$3006,"&lt;&gt;")&gt;0,"⚠ DIFFÉRENTE","OK"))</f>
        <v>OK</v>
      </c>
      <c r="F10" s="147" t="n">
        <v>11.94</v>
      </c>
      <c r="G10" s="80"/>
      <c r="H10" s="83"/>
      <c r="I10" s="148" t="str">
        <f aca="false">IF(B10="","",IFERROR(INDEX('CARNET DE SOUDURE'!$B$7:$B$3006,MATCH(B10,'CARNET DE SOUDURE'!$L$7:$L$3006,0)),IFERROR(INDEX('CARNET DE SOUDURE'!$B$7:$B$3006,MATCH(B10,'CARNET DE SOUDURE'!$O$7:$O$3006,0)),"")))</f>
        <v>MFD-ISW → MFD-CPF</v>
      </c>
      <c r="J10" s="82" t="str">
        <f aca="false">IF(B10="","",IFERROR(INDEX('CARNET DE SOUDURE'!$E$7:$E$3006,MATCH(B10,'CARNET DE SOUDURE'!$O$7:$O$3006,0)),""))</f>
        <v>DJ°507</v>
      </c>
      <c r="K10" s="82" t="str">
        <f aca="false">IF(B10="","",IFERROR(INDEX('CARNET DE SOUDURE'!$E$7:$E$3006,MATCH(B10,'CARNET DE SOUDURE'!$L$7:$L$3006,0)),""))</f>
        <v>JN°759</v>
      </c>
      <c r="L10" s="82" t="n">
        <f aca="false">IF(B10="","",IFERROR(INDEX('CARNET DE SOUDURE'!$D$7:$D$3006,MATCH(B10,'CARNET DE SOUDURE'!$L$7:$L$3006,0)),IFERROR(INDEX('CARNET DE SOUDURE'!$D$7:$D$3006,MATCH(B10,'CARNET DE SOUDURE'!$O$7:$O$3006,0)),"")))</f>
        <v>4</v>
      </c>
      <c r="M10" s="82" t="str">
        <f aca="false">IF(B10="","",IF(OR(J10&lt;&gt;"",K10&lt;&gt;""),"POSÉ EN LIGNE",IF(COUNTIF(BARDAGE!$C$1:$C$5000,B10)&gt;0,"BARDÉ","EN STOCK")))</f>
        <v>POSÉ EN LIGNE</v>
      </c>
      <c r="N10" s="80"/>
    </row>
    <row r="11" customFormat="false" ht="15" hidden="false" customHeight="false" outlineLevel="0" collapsed="false">
      <c r="A11" s="82" t="n">
        <f aca="false">IF(B11="","",ROW()-6)</f>
        <v>5</v>
      </c>
      <c r="B11" s="145" t="n">
        <v>2089470</v>
      </c>
      <c r="C11" s="146" t="n">
        <v>15421109</v>
      </c>
      <c r="D11" s="146"/>
      <c r="E11" s="82" t="str">
        <f aca="false">IF(B11="","",IF(COUNTIFS('CARNET DE SOUDURE'!$L$7:$L$3006,B11,'CARNET DE SOUDURE'!$M$7:$M$3006,"&lt;&gt;"&amp;C11,'CARNET DE SOUDURE'!$M$7:$M$3006,"&lt;&gt;")+COUNTIFS('CARNET DE SOUDURE'!$O$7:$O$3006,B11,'CARNET DE SOUDURE'!$P$7:$P$3006,"&lt;&gt;"&amp;C11,'CARNET DE SOUDURE'!$P$7:$P$3006,"&lt;&gt;")&gt;0,"⚠ DIFFÉRENTE","OK"))</f>
        <v>OK</v>
      </c>
      <c r="F11" s="147" t="n">
        <v>11.94</v>
      </c>
      <c r="G11" s="80"/>
      <c r="H11" s="83"/>
      <c r="I11" s="148" t="str">
        <f aca="false">IF(B11="","",IFERROR(INDEX('CARNET DE SOUDURE'!$B$7:$B$3006,MATCH(B11,'CARNET DE SOUDURE'!$L$7:$L$3006,0)),IFERROR(INDEX('CARNET DE SOUDURE'!$B$7:$B$3006,MATCH(B11,'CARNET DE SOUDURE'!$O$7:$O$3006,0)),"")))</f>
        <v>MFD-ISW → MFD-CPF</v>
      </c>
      <c r="J11" s="82" t="str">
        <f aca="false">IF(B11="","",IFERROR(INDEX('CARNET DE SOUDURE'!$E$7:$E$3006,MATCH(B11,'CARNET DE SOUDURE'!$O$7:$O$3006,0)),""))</f>
        <v>JN°759</v>
      </c>
      <c r="K11" s="82" t="str">
        <f aca="false">IF(B11="","",IFERROR(INDEX('CARNET DE SOUDURE'!$E$7:$E$3006,MATCH(B11,'CARNET DE SOUDURE'!$L$7:$L$3006,0)),""))</f>
        <v>DJ°520</v>
      </c>
      <c r="L11" s="82" t="n">
        <f aca="false">IF(B11="","",IFERROR(INDEX('CARNET DE SOUDURE'!$D$7:$D$3006,MATCH(B11,'CARNET DE SOUDURE'!$L$7:$L$3006,0)),IFERROR(INDEX('CARNET DE SOUDURE'!$D$7:$D$3006,MATCH(B11,'CARNET DE SOUDURE'!$O$7:$O$3006,0)),"")))</f>
        <v>4</v>
      </c>
      <c r="M11" s="82" t="str">
        <f aca="false">IF(B11="","",IF(OR(J11&lt;&gt;"",K11&lt;&gt;""),"POSÉ EN LIGNE",IF(COUNTIF(BARDAGE!$C$1:$C$5000,B11)&gt;0,"BARDÉ","EN STOCK")))</f>
        <v>POSÉ EN LIGNE</v>
      </c>
      <c r="N11" s="80"/>
    </row>
    <row r="12" customFormat="false" ht="15" hidden="false" customHeight="false" outlineLevel="0" collapsed="false">
      <c r="A12" s="82" t="n">
        <f aca="false">IF(B12="","",ROW()-6)</f>
        <v>6</v>
      </c>
      <c r="B12" s="145" t="n">
        <v>2091760</v>
      </c>
      <c r="C12" s="146" t="n">
        <v>15421109</v>
      </c>
      <c r="D12" s="146"/>
      <c r="E12" s="82" t="str">
        <f aca="false">IF(B12="","",IF(COUNTIFS('CARNET DE SOUDURE'!$L$7:$L$3006,B12,'CARNET DE SOUDURE'!$M$7:$M$3006,"&lt;&gt;"&amp;C12,'CARNET DE SOUDURE'!$M$7:$M$3006,"&lt;&gt;")+COUNTIFS('CARNET DE SOUDURE'!$O$7:$O$3006,B12,'CARNET DE SOUDURE'!$P$7:$P$3006,"&lt;&gt;"&amp;C12,'CARNET DE SOUDURE'!$P$7:$P$3006,"&lt;&gt;")&gt;0,"⚠ DIFFÉRENTE","OK"))</f>
        <v>OK</v>
      </c>
      <c r="F12" s="147" t="n">
        <v>11.94</v>
      </c>
      <c r="G12" s="80"/>
      <c r="H12" s="83"/>
      <c r="I12" s="148" t="str">
        <f aca="false">IF(B12="","",IFERROR(INDEX('CARNET DE SOUDURE'!$B$7:$B$3006,MATCH(B12,'CARNET DE SOUDURE'!$L$7:$L$3006,0)),IFERROR(INDEX('CARNET DE SOUDURE'!$B$7:$B$3006,MATCH(B12,'CARNET DE SOUDURE'!$O$7:$O$3006,0)),"")))</f>
        <v>MFD-ISW → MFD-CPF</v>
      </c>
      <c r="J12" s="82" t="str">
        <f aca="false">IF(B12="","",IFERROR(INDEX('CARNET DE SOUDURE'!$E$7:$E$3006,MATCH(B12,'CARNET DE SOUDURE'!$O$7:$O$3006,0)),""))</f>
        <v>DJ°520</v>
      </c>
      <c r="K12" s="82" t="str">
        <f aca="false">IF(B12="","",IFERROR(INDEX('CARNET DE SOUDURE'!$E$7:$E$3006,MATCH(B12,'CARNET DE SOUDURE'!$L$7:$L$3006,0)),""))</f>
        <v>JN°760</v>
      </c>
      <c r="L12" s="82" t="n">
        <f aca="false">IF(B12="","",IFERROR(INDEX('CARNET DE SOUDURE'!$D$7:$D$3006,MATCH(B12,'CARNET DE SOUDURE'!$L$7:$L$3006,0)),IFERROR(INDEX('CARNET DE SOUDURE'!$D$7:$D$3006,MATCH(B12,'CARNET DE SOUDURE'!$O$7:$O$3006,0)),"")))</f>
        <v>4</v>
      </c>
      <c r="M12" s="82" t="str">
        <f aca="false">IF(B12="","",IF(OR(J12&lt;&gt;"",K12&lt;&gt;""),"POSÉ EN LIGNE",IF(COUNTIF(BARDAGE!$C$1:$C$5000,B12)&gt;0,"BARDÉ","EN STOCK")))</f>
        <v>POSÉ EN LIGNE</v>
      </c>
      <c r="N12" s="80"/>
    </row>
    <row r="13" customFormat="false" ht="15" hidden="false" customHeight="false" outlineLevel="0" collapsed="false">
      <c r="A13" s="82" t="n">
        <f aca="false">IF(B13="","",ROW()-6)</f>
        <v>7</v>
      </c>
      <c r="B13" s="145" t="n">
        <v>2085850</v>
      </c>
      <c r="C13" s="146" t="n">
        <v>15421107</v>
      </c>
      <c r="D13" s="146"/>
      <c r="E13" s="82" t="str">
        <f aca="false">IF(B13="","",IF(COUNTIFS('CARNET DE SOUDURE'!$L$7:$L$3006,B13,'CARNET DE SOUDURE'!$M$7:$M$3006,"&lt;&gt;"&amp;C13,'CARNET DE SOUDURE'!$M$7:$M$3006,"&lt;&gt;")+COUNTIFS('CARNET DE SOUDURE'!$O$7:$O$3006,B13,'CARNET DE SOUDURE'!$P$7:$P$3006,"&lt;&gt;"&amp;C13,'CARNET DE SOUDURE'!$P$7:$P$3006,"&lt;&gt;")&gt;0,"⚠ DIFFÉRENTE","OK"))</f>
        <v>OK</v>
      </c>
      <c r="F13" s="147" t="n">
        <v>11.94</v>
      </c>
      <c r="G13" s="80"/>
      <c r="H13" s="83"/>
      <c r="I13" s="148" t="str">
        <f aca="false">IF(B13="","",IFERROR(INDEX('CARNET DE SOUDURE'!$B$7:$B$3006,MATCH(B13,'CARNET DE SOUDURE'!$L$7:$L$3006,0)),IFERROR(INDEX('CARNET DE SOUDURE'!$B$7:$B$3006,MATCH(B13,'CARNET DE SOUDURE'!$O$7:$O$3006,0)),"")))</f>
        <v>MFD-ISW → MFD-CPF</v>
      </c>
      <c r="J13" s="82" t="str">
        <f aca="false">IF(B13="","",IFERROR(INDEX('CARNET DE SOUDURE'!$E$7:$E$3006,MATCH(B13,'CARNET DE SOUDURE'!$O$7:$O$3006,0)),""))</f>
        <v>JN°760</v>
      </c>
      <c r="K13" s="82" t="str">
        <f aca="false">IF(B13="","",IFERROR(INDEX('CARNET DE SOUDURE'!$E$7:$E$3006,MATCH(B13,'CARNET DE SOUDURE'!$L$7:$L$3006,0)),""))</f>
        <v>DJ°505</v>
      </c>
      <c r="L13" s="82" t="n">
        <f aca="false">IF(B13="","",IFERROR(INDEX('CARNET DE SOUDURE'!$D$7:$D$3006,MATCH(B13,'CARNET DE SOUDURE'!$L$7:$L$3006,0)),IFERROR(INDEX('CARNET DE SOUDURE'!$D$7:$D$3006,MATCH(B13,'CARNET DE SOUDURE'!$O$7:$O$3006,0)),"")))</f>
        <v>4</v>
      </c>
      <c r="M13" s="82" t="str">
        <f aca="false">IF(B13="","",IF(OR(J13&lt;&gt;"",K13&lt;&gt;""),"POSÉ EN LIGNE",IF(COUNTIF(BARDAGE!$C$1:$C$5000,B13)&gt;0,"BARDÉ","EN STOCK")))</f>
        <v>POSÉ EN LIGNE</v>
      </c>
      <c r="N13" s="80"/>
    </row>
    <row r="14" customFormat="false" ht="15" hidden="false" customHeight="false" outlineLevel="0" collapsed="false">
      <c r="A14" s="82" t="n">
        <f aca="false">IF(B14="","",ROW()-6)</f>
        <v>8</v>
      </c>
      <c r="B14" s="145" t="n">
        <v>2096300</v>
      </c>
      <c r="C14" s="146" t="n">
        <v>15421111</v>
      </c>
      <c r="D14" s="146"/>
      <c r="E14" s="82" t="str">
        <f aca="false">IF(B14="","",IF(COUNTIFS('CARNET DE SOUDURE'!$L$7:$L$3006,B14,'CARNET DE SOUDURE'!$M$7:$M$3006,"&lt;&gt;"&amp;C14,'CARNET DE SOUDURE'!$M$7:$M$3006,"&lt;&gt;")+COUNTIFS('CARNET DE SOUDURE'!$O$7:$O$3006,B14,'CARNET DE SOUDURE'!$P$7:$P$3006,"&lt;&gt;"&amp;C14,'CARNET DE SOUDURE'!$P$7:$P$3006,"&lt;&gt;")&gt;0,"⚠ DIFFÉRENTE","OK"))</f>
        <v>OK</v>
      </c>
      <c r="F14" s="147" t="n">
        <v>11.94</v>
      </c>
      <c r="G14" s="80"/>
      <c r="H14" s="83"/>
      <c r="I14" s="148" t="str">
        <f aca="false">IF(B14="","",IFERROR(INDEX('CARNET DE SOUDURE'!$B$7:$B$3006,MATCH(B14,'CARNET DE SOUDURE'!$L$7:$L$3006,0)),IFERROR(INDEX('CARNET DE SOUDURE'!$B$7:$B$3006,MATCH(B14,'CARNET DE SOUDURE'!$O$7:$O$3006,0)),"")))</f>
        <v>MFD-ISW → MFD-CPF</v>
      </c>
      <c r="J14" s="82" t="str">
        <f aca="false">IF(B14="","",IFERROR(INDEX('CARNET DE SOUDURE'!$E$7:$E$3006,MATCH(B14,'CARNET DE SOUDURE'!$O$7:$O$3006,0)),""))</f>
        <v>DJ°505</v>
      </c>
      <c r="K14" s="82" t="str">
        <f aca="false">IF(B14="","",IFERROR(INDEX('CARNET DE SOUDURE'!$E$7:$E$3006,MATCH(B14,'CARNET DE SOUDURE'!$L$7:$L$3006,0)),""))</f>
        <v>JN°761</v>
      </c>
      <c r="L14" s="82" t="n">
        <f aca="false">IF(B14="","",IFERROR(INDEX('CARNET DE SOUDURE'!$D$7:$D$3006,MATCH(B14,'CARNET DE SOUDURE'!$L$7:$L$3006,0)),IFERROR(INDEX('CARNET DE SOUDURE'!$D$7:$D$3006,MATCH(B14,'CARNET DE SOUDURE'!$O$7:$O$3006,0)),"")))</f>
        <v>4</v>
      </c>
      <c r="M14" s="82" t="str">
        <f aca="false">IF(B14="","",IF(OR(J14&lt;&gt;"",K14&lt;&gt;""),"POSÉ EN LIGNE",IF(COUNTIF(BARDAGE!$C$1:$C$5000,B14)&gt;0,"BARDÉ","EN STOCK")))</f>
        <v>POSÉ EN LIGNE</v>
      </c>
      <c r="N14" s="80"/>
    </row>
    <row r="15" customFormat="false" ht="15" hidden="false" customHeight="false" outlineLevel="0" collapsed="false">
      <c r="A15" s="82" t="n">
        <f aca="false">IF(B15="","",ROW()-6)</f>
        <v>9</v>
      </c>
      <c r="B15" s="145" t="n">
        <v>2092850</v>
      </c>
      <c r="C15" s="146" t="n">
        <v>15421110</v>
      </c>
      <c r="D15" s="146"/>
      <c r="E15" s="82" t="str">
        <f aca="false">IF(B15="","",IF(COUNTIFS('CARNET DE SOUDURE'!$L$7:$L$3006,B15,'CARNET DE SOUDURE'!$M$7:$M$3006,"&lt;&gt;"&amp;C15,'CARNET DE SOUDURE'!$M$7:$M$3006,"&lt;&gt;")+COUNTIFS('CARNET DE SOUDURE'!$O$7:$O$3006,B15,'CARNET DE SOUDURE'!$P$7:$P$3006,"&lt;&gt;"&amp;C15,'CARNET DE SOUDURE'!$P$7:$P$3006,"&lt;&gt;")&gt;0,"⚠ DIFFÉRENTE","OK"))</f>
        <v>OK</v>
      </c>
      <c r="F15" s="147" t="n">
        <v>11.94</v>
      </c>
      <c r="G15" s="80"/>
      <c r="H15" s="83"/>
      <c r="I15" s="148" t="str">
        <f aca="false">IF(B15="","",IFERROR(INDEX('CARNET DE SOUDURE'!$B$7:$B$3006,MATCH(B15,'CARNET DE SOUDURE'!$L$7:$L$3006,0)),IFERROR(INDEX('CARNET DE SOUDURE'!$B$7:$B$3006,MATCH(B15,'CARNET DE SOUDURE'!$O$7:$O$3006,0)),"")))</f>
        <v>MFD-ISW → MFD-CPF</v>
      </c>
      <c r="J15" s="82" t="str">
        <f aca="false">IF(B15="","",IFERROR(INDEX('CARNET DE SOUDURE'!$E$7:$E$3006,MATCH(B15,'CARNET DE SOUDURE'!$O$7:$O$3006,0)),""))</f>
        <v>JN°761</v>
      </c>
      <c r="K15" s="82" t="str">
        <f aca="false">IF(B15="","",IFERROR(INDEX('CARNET DE SOUDURE'!$E$7:$E$3006,MATCH(B15,'CARNET DE SOUDURE'!$L$7:$L$3006,0)),""))</f>
        <v>DJ°466</v>
      </c>
      <c r="L15" s="82" t="n">
        <f aca="false">IF(B15="","",IFERROR(INDEX('CARNET DE SOUDURE'!$D$7:$D$3006,MATCH(B15,'CARNET DE SOUDURE'!$L$7:$L$3006,0)),IFERROR(INDEX('CARNET DE SOUDURE'!$D$7:$D$3006,MATCH(B15,'CARNET DE SOUDURE'!$O$7:$O$3006,0)),"")))</f>
        <v>4</v>
      </c>
      <c r="M15" s="82" t="str">
        <f aca="false">IF(B15="","",IF(OR(J15&lt;&gt;"",K15&lt;&gt;""),"POSÉ EN LIGNE",IF(COUNTIF(BARDAGE!$C$1:$C$5000,B15)&gt;0,"BARDÉ","EN STOCK")))</f>
        <v>POSÉ EN LIGNE</v>
      </c>
      <c r="N15" s="80"/>
    </row>
    <row r="16" customFormat="false" ht="15" hidden="false" customHeight="false" outlineLevel="0" collapsed="false">
      <c r="A16" s="82" t="n">
        <f aca="false">IF(B16="","",ROW()-6)</f>
        <v>10</v>
      </c>
      <c r="B16" s="145" t="n">
        <v>2083450</v>
      </c>
      <c r="C16" s="146" t="n">
        <v>15421103</v>
      </c>
      <c r="D16" s="146"/>
      <c r="E16" s="82" t="str">
        <f aca="false">IF(B16="","",IF(COUNTIFS('CARNET DE SOUDURE'!$L$7:$L$3006,B16,'CARNET DE SOUDURE'!$M$7:$M$3006,"&lt;&gt;"&amp;C16,'CARNET DE SOUDURE'!$M$7:$M$3006,"&lt;&gt;")+COUNTIFS('CARNET DE SOUDURE'!$O$7:$O$3006,B16,'CARNET DE SOUDURE'!$P$7:$P$3006,"&lt;&gt;"&amp;C16,'CARNET DE SOUDURE'!$P$7:$P$3006,"&lt;&gt;")&gt;0,"⚠ DIFFÉRENTE","OK"))</f>
        <v>OK</v>
      </c>
      <c r="F16" s="147" t="n">
        <v>11.94</v>
      </c>
      <c r="G16" s="80"/>
      <c r="H16" s="83"/>
      <c r="I16" s="148" t="str">
        <f aca="false">IF(B16="","",IFERROR(INDEX('CARNET DE SOUDURE'!$B$7:$B$3006,MATCH(B16,'CARNET DE SOUDURE'!$L$7:$L$3006,0)),IFERROR(INDEX('CARNET DE SOUDURE'!$B$7:$B$3006,MATCH(B16,'CARNET DE SOUDURE'!$O$7:$O$3006,0)),"")))</f>
        <v>MFD-ISW → MFD-CPF</v>
      </c>
      <c r="J16" s="82" t="str">
        <f aca="false">IF(B16="","",IFERROR(INDEX('CARNET DE SOUDURE'!$E$7:$E$3006,MATCH(B16,'CARNET DE SOUDURE'!$O$7:$O$3006,0)),""))</f>
        <v>DJ°466</v>
      </c>
      <c r="K16" s="82" t="str">
        <f aca="false">IF(B16="","",IFERROR(INDEX('CARNET DE SOUDURE'!$E$7:$E$3006,MATCH(B16,'CARNET DE SOUDURE'!$L$7:$L$3006,0)),""))</f>
        <v>JN°762</v>
      </c>
      <c r="L16" s="82" t="n">
        <f aca="false">IF(B16="","",IFERROR(INDEX('CARNET DE SOUDURE'!$D$7:$D$3006,MATCH(B16,'CARNET DE SOUDURE'!$L$7:$L$3006,0)),IFERROR(INDEX('CARNET DE SOUDURE'!$D$7:$D$3006,MATCH(B16,'CARNET DE SOUDURE'!$O$7:$O$3006,0)),"")))</f>
        <v>4</v>
      </c>
      <c r="M16" s="82" t="str">
        <f aca="false">IF(B16="","",IF(OR(J16&lt;&gt;"",K16&lt;&gt;""),"POSÉ EN LIGNE",IF(COUNTIF(BARDAGE!$C$1:$C$5000,B16)&gt;0,"BARDÉ","EN STOCK")))</f>
        <v>POSÉ EN LIGNE</v>
      </c>
      <c r="N16" s="80"/>
    </row>
    <row r="17" customFormat="false" ht="15" hidden="false" customHeight="false" outlineLevel="0" collapsed="false">
      <c r="A17" s="82" t="n">
        <f aca="false">IF(B17="","",ROW()-6)</f>
        <v>11</v>
      </c>
      <c r="B17" s="145" t="n">
        <v>2093110</v>
      </c>
      <c r="C17" s="146" t="n">
        <v>15421110</v>
      </c>
      <c r="D17" s="146"/>
      <c r="E17" s="82" t="str">
        <f aca="false">IF(B17="","",IF(COUNTIFS('CARNET DE SOUDURE'!$L$7:$L$3006,B17,'CARNET DE SOUDURE'!$M$7:$M$3006,"&lt;&gt;"&amp;C17,'CARNET DE SOUDURE'!$M$7:$M$3006,"&lt;&gt;")+COUNTIFS('CARNET DE SOUDURE'!$O$7:$O$3006,B17,'CARNET DE SOUDURE'!$P$7:$P$3006,"&lt;&gt;"&amp;C17,'CARNET DE SOUDURE'!$P$7:$P$3006,"&lt;&gt;")&gt;0,"⚠ DIFFÉRENTE","OK"))</f>
        <v>OK</v>
      </c>
      <c r="F17" s="147" t="n">
        <v>11.94</v>
      </c>
      <c r="G17" s="80"/>
      <c r="H17" s="83"/>
      <c r="I17" s="148" t="str">
        <f aca="false">IF(B17="","",IFERROR(INDEX('CARNET DE SOUDURE'!$B$7:$B$3006,MATCH(B17,'CARNET DE SOUDURE'!$L$7:$L$3006,0)),IFERROR(INDEX('CARNET DE SOUDURE'!$B$7:$B$3006,MATCH(B17,'CARNET DE SOUDURE'!$O$7:$O$3006,0)),"")))</f>
        <v>MFD-ISW → MFD-CPF</v>
      </c>
      <c r="J17" s="82" t="str">
        <f aca="false">IF(B17="","",IFERROR(INDEX('CARNET DE SOUDURE'!$E$7:$E$3006,MATCH(B17,'CARNET DE SOUDURE'!$O$7:$O$3006,0)),""))</f>
        <v>JN°762</v>
      </c>
      <c r="K17" s="82" t="str">
        <f aca="false">IF(B17="","",IFERROR(INDEX('CARNET DE SOUDURE'!$E$7:$E$3006,MATCH(B17,'CARNET DE SOUDURE'!$L$7:$L$3006,0)),""))</f>
        <v>DJ°477</v>
      </c>
      <c r="L17" s="82" t="n">
        <f aca="false">IF(B17="","",IFERROR(INDEX('CARNET DE SOUDURE'!$D$7:$D$3006,MATCH(B17,'CARNET DE SOUDURE'!$L$7:$L$3006,0)),IFERROR(INDEX('CARNET DE SOUDURE'!$D$7:$D$3006,MATCH(B17,'CARNET DE SOUDURE'!$O$7:$O$3006,0)),"")))</f>
        <v>4</v>
      </c>
      <c r="M17" s="82" t="str">
        <f aca="false">IF(B17="","",IF(OR(J17&lt;&gt;"",K17&lt;&gt;""),"POSÉ EN LIGNE",IF(COUNTIF(BARDAGE!$C$1:$C$5000,B17)&gt;0,"BARDÉ","EN STOCK")))</f>
        <v>POSÉ EN LIGNE</v>
      </c>
      <c r="N17" s="80"/>
    </row>
    <row r="18" customFormat="false" ht="15" hidden="false" customHeight="false" outlineLevel="0" collapsed="false">
      <c r="A18" s="82" t="n">
        <f aca="false">IF(B18="","",ROW()-6)</f>
        <v>12</v>
      </c>
      <c r="B18" s="145" t="n">
        <v>2094210</v>
      </c>
      <c r="C18" s="146" t="n">
        <v>15421110</v>
      </c>
      <c r="D18" s="146"/>
      <c r="E18" s="82" t="str">
        <f aca="false">IF(B18="","",IF(COUNTIFS('CARNET DE SOUDURE'!$L$7:$L$3006,B18,'CARNET DE SOUDURE'!$M$7:$M$3006,"&lt;&gt;"&amp;C18,'CARNET DE SOUDURE'!$M$7:$M$3006,"&lt;&gt;")+COUNTIFS('CARNET DE SOUDURE'!$O$7:$O$3006,B18,'CARNET DE SOUDURE'!$P$7:$P$3006,"&lt;&gt;"&amp;C18,'CARNET DE SOUDURE'!$P$7:$P$3006,"&lt;&gt;")&gt;0,"⚠ DIFFÉRENTE","OK"))</f>
        <v>OK</v>
      </c>
      <c r="F18" s="147" t="n">
        <v>11.94</v>
      </c>
      <c r="G18" s="80"/>
      <c r="H18" s="83"/>
      <c r="I18" s="148" t="str">
        <f aca="false">IF(B18="","",IFERROR(INDEX('CARNET DE SOUDURE'!$B$7:$B$3006,MATCH(B18,'CARNET DE SOUDURE'!$L$7:$L$3006,0)),IFERROR(INDEX('CARNET DE SOUDURE'!$B$7:$B$3006,MATCH(B18,'CARNET DE SOUDURE'!$O$7:$O$3006,0)),"")))</f>
        <v>MFD-ISW → MFD-CPF</v>
      </c>
      <c r="J18" s="82" t="str">
        <f aca="false">IF(B18="","",IFERROR(INDEX('CARNET DE SOUDURE'!$E$7:$E$3006,MATCH(B18,'CARNET DE SOUDURE'!$O$7:$O$3006,0)),""))</f>
        <v>DJ°477</v>
      </c>
      <c r="K18" s="82" t="str">
        <f aca="false">IF(B18="","",IFERROR(INDEX('CARNET DE SOUDURE'!$E$7:$E$3006,MATCH(B18,'CARNET DE SOUDURE'!$L$7:$L$3006,0)),""))</f>
        <v/>
      </c>
      <c r="L18" s="82" t="n">
        <f aca="false">IF(B18="","",IFERROR(INDEX('CARNET DE SOUDURE'!$D$7:$D$3006,MATCH(B18,'CARNET DE SOUDURE'!$L$7:$L$3006,0)),IFERROR(INDEX('CARNET DE SOUDURE'!$D$7:$D$3006,MATCH(B18,'CARNET DE SOUDURE'!$O$7:$O$3006,0)),"")))</f>
        <v>4</v>
      </c>
      <c r="M18" s="82" t="str">
        <f aca="false">IF(B18="","",IF(OR(J18&lt;&gt;"",K18&lt;&gt;""),"POSÉ EN LIGNE",IF(COUNTIF(BARDAGE!$C$1:$C$5000,B18)&gt;0,"BARDÉ","EN STOCK")))</f>
        <v>POSÉ EN LIGNE</v>
      </c>
      <c r="N18" s="80"/>
    </row>
    <row r="19" customFormat="false" ht="15" hidden="false" customHeight="false" outlineLevel="0" collapsed="false">
      <c r="A19" s="82" t="n">
        <f aca="false">IF(B19="","",ROW()-6)</f>
        <v>13</v>
      </c>
      <c r="B19" s="145" t="n">
        <v>2078980</v>
      </c>
      <c r="C19" s="146" t="n">
        <v>15421102</v>
      </c>
      <c r="D19" s="146"/>
      <c r="E19" s="82" t="str">
        <f aca="false">IF(B19="","",IF(COUNTIFS('CARNET DE SOUDURE'!$L$7:$L$3006,B19,'CARNET DE SOUDURE'!$M$7:$M$3006,"&lt;&gt;"&amp;C19,'CARNET DE SOUDURE'!$M$7:$M$3006,"&lt;&gt;")+COUNTIFS('CARNET DE SOUDURE'!$O$7:$O$3006,B19,'CARNET DE SOUDURE'!$P$7:$P$3006,"&lt;&gt;"&amp;C19,'CARNET DE SOUDURE'!$P$7:$P$3006,"&lt;&gt;")&gt;0,"⚠ DIFFÉRENTE","OK"))</f>
        <v>OK</v>
      </c>
      <c r="F19" s="147" t="n">
        <v>11.94</v>
      </c>
      <c r="G19" s="80"/>
      <c r="H19" s="83"/>
      <c r="I19" s="148" t="str">
        <f aca="false">IF(B19="","",IFERROR(INDEX('CARNET DE SOUDURE'!$B$7:$B$3006,MATCH(B19,'CARNET DE SOUDURE'!$L$7:$L$3006,0)),IFERROR(INDEX('CARNET DE SOUDURE'!$B$7:$B$3006,MATCH(B19,'CARNET DE SOUDURE'!$O$7:$O$3006,0)),"")))</f>
        <v>MFD-ISW → MFD-CPF</v>
      </c>
      <c r="J19" s="82" t="str">
        <f aca="false">IF(B19="","",IFERROR(INDEX('CARNET DE SOUDURE'!$E$7:$E$3006,MATCH(B19,'CARNET DE SOUDURE'!$O$7:$O$3006,0)),""))</f>
        <v/>
      </c>
      <c r="K19" s="82" t="str">
        <f aca="false">IF(B19="","",IFERROR(INDEX('CARNET DE SOUDURE'!$E$7:$E$3006,MATCH(B19,'CARNET DE SOUDURE'!$L$7:$L$3006,0)),""))</f>
        <v>DJ°506</v>
      </c>
      <c r="L19" s="82" t="n">
        <f aca="false">IF(B19="","",IFERROR(INDEX('CARNET DE SOUDURE'!$D$7:$D$3006,MATCH(B19,'CARNET DE SOUDURE'!$L$7:$L$3006,0)),IFERROR(INDEX('CARNET DE SOUDURE'!$D$7:$D$3006,MATCH(B19,'CARNET DE SOUDURE'!$O$7:$O$3006,0)),"")))</f>
        <v>4</v>
      </c>
      <c r="M19" s="82" t="str">
        <f aca="false">IF(B19="","",IF(OR(J19&lt;&gt;"",K19&lt;&gt;""),"POSÉ EN LIGNE",IF(COUNTIF(BARDAGE!$C$1:$C$5000,B19)&gt;0,"BARDÉ","EN STOCK")))</f>
        <v>POSÉ EN LIGNE</v>
      </c>
      <c r="N19" s="80"/>
    </row>
    <row r="20" customFormat="false" ht="15" hidden="false" customHeight="false" outlineLevel="0" collapsed="false">
      <c r="A20" s="82" t="n">
        <f aca="false">IF(B20="","",ROW()-6)</f>
        <v>14</v>
      </c>
      <c r="B20" s="145" t="n">
        <v>2095190</v>
      </c>
      <c r="C20" s="146" t="n">
        <v>15421111</v>
      </c>
      <c r="D20" s="146"/>
      <c r="E20" s="82" t="str">
        <f aca="false">IF(B20="","",IF(COUNTIFS('CARNET DE SOUDURE'!$L$7:$L$3006,B20,'CARNET DE SOUDURE'!$M$7:$M$3006,"&lt;&gt;"&amp;C20,'CARNET DE SOUDURE'!$M$7:$M$3006,"&lt;&gt;")+COUNTIFS('CARNET DE SOUDURE'!$O$7:$O$3006,B20,'CARNET DE SOUDURE'!$P$7:$P$3006,"&lt;&gt;"&amp;C20,'CARNET DE SOUDURE'!$P$7:$P$3006,"&lt;&gt;")&gt;0,"⚠ DIFFÉRENTE","OK"))</f>
        <v>OK</v>
      </c>
      <c r="F20" s="147" t="n">
        <v>11.94</v>
      </c>
      <c r="G20" s="80"/>
      <c r="H20" s="83"/>
      <c r="I20" s="148" t="str">
        <f aca="false">IF(B20="","",IFERROR(INDEX('CARNET DE SOUDURE'!$B$7:$B$3006,MATCH(B20,'CARNET DE SOUDURE'!$L$7:$L$3006,0)),IFERROR(INDEX('CARNET DE SOUDURE'!$B$7:$B$3006,MATCH(B20,'CARNET DE SOUDURE'!$O$7:$O$3006,0)),"")))</f>
        <v>MFD-ISW → MFD-CPF</v>
      </c>
      <c r="J20" s="82" t="str">
        <f aca="false">IF(B20="","",IFERROR(INDEX('CARNET DE SOUDURE'!$E$7:$E$3006,MATCH(B20,'CARNET DE SOUDURE'!$O$7:$O$3006,0)),""))</f>
        <v>DJ°506</v>
      </c>
      <c r="K20" s="82" t="str">
        <f aca="false">IF(B20="","",IFERROR(INDEX('CARNET DE SOUDURE'!$E$7:$E$3006,MATCH(B20,'CARNET DE SOUDURE'!$L$7:$L$3006,0)),""))</f>
        <v>JN°765</v>
      </c>
      <c r="L20" s="82" t="n">
        <f aca="false">IF(B20="","",IFERROR(INDEX('CARNET DE SOUDURE'!$D$7:$D$3006,MATCH(B20,'CARNET DE SOUDURE'!$L$7:$L$3006,0)),IFERROR(INDEX('CARNET DE SOUDURE'!$D$7:$D$3006,MATCH(B20,'CARNET DE SOUDURE'!$O$7:$O$3006,0)),"")))</f>
        <v>4</v>
      </c>
      <c r="M20" s="82" t="str">
        <f aca="false">IF(B20="","",IF(OR(J20&lt;&gt;"",K20&lt;&gt;""),"POSÉ EN LIGNE",IF(COUNTIF(BARDAGE!$C$1:$C$5000,B20)&gt;0,"BARDÉ","EN STOCK")))</f>
        <v>POSÉ EN LIGNE</v>
      </c>
      <c r="N20" s="80"/>
    </row>
    <row r="21" customFormat="false" ht="15" hidden="false" customHeight="false" outlineLevel="0" collapsed="false">
      <c r="A21" s="82" t="n">
        <f aca="false">IF(B21="","",ROW()-6)</f>
        <v>15</v>
      </c>
      <c r="B21" s="145" t="n">
        <v>2092040</v>
      </c>
      <c r="C21" s="146" t="n">
        <v>15421109</v>
      </c>
      <c r="D21" s="146"/>
      <c r="E21" s="82" t="str">
        <f aca="false">IF(B21="","",IF(COUNTIFS('CARNET DE SOUDURE'!$L$7:$L$3006,B21,'CARNET DE SOUDURE'!$M$7:$M$3006,"&lt;&gt;"&amp;C21,'CARNET DE SOUDURE'!$M$7:$M$3006,"&lt;&gt;")+COUNTIFS('CARNET DE SOUDURE'!$O$7:$O$3006,B21,'CARNET DE SOUDURE'!$P$7:$P$3006,"&lt;&gt;"&amp;C21,'CARNET DE SOUDURE'!$P$7:$P$3006,"&lt;&gt;")&gt;0,"⚠ DIFFÉRENTE","OK"))</f>
        <v>OK</v>
      </c>
      <c r="F21" s="147" t="n">
        <v>11.94</v>
      </c>
      <c r="G21" s="80"/>
      <c r="H21" s="83"/>
      <c r="I21" s="148" t="str">
        <f aca="false">IF(B21="","",IFERROR(INDEX('CARNET DE SOUDURE'!$B$7:$B$3006,MATCH(B21,'CARNET DE SOUDURE'!$L$7:$L$3006,0)),IFERROR(INDEX('CARNET DE SOUDURE'!$B$7:$B$3006,MATCH(B21,'CARNET DE SOUDURE'!$O$7:$O$3006,0)),"")))</f>
        <v>MFD-ISW → MFD-CPF</v>
      </c>
      <c r="J21" s="82" t="str">
        <f aca="false">IF(B21="","",IFERROR(INDEX('CARNET DE SOUDURE'!$E$7:$E$3006,MATCH(B21,'CARNET DE SOUDURE'!$O$7:$O$3006,0)),""))</f>
        <v>JN°765</v>
      </c>
      <c r="K21" s="82" t="str">
        <f aca="false">IF(B21="","",IFERROR(INDEX('CARNET DE SOUDURE'!$E$7:$E$3006,MATCH(B21,'CARNET DE SOUDURE'!$L$7:$L$3006,0)),""))</f>
        <v>DJ°502</v>
      </c>
      <c r="L21" s="82" t="n">
        <f aca="false">IF(B21="","",IFERROR(INDEX('CARNET DE SOUDURE'!$D$7:$D$3006,MATCH(B21,'CARNET DE SOUDURE'!$L$7:$L$3006,0)),IFERROR(INDEX('CARNET DE SOUDURE'!$D$7:$D$3006,MATCH(B21,'CARNET DE SOUDURE'!$O$7:$O$3006,0)),"")))</f>
        <v>4</v>
      </c>
      <c r="M21" s="82" t="str">
        <f aca="false">IF(B21="","",IF(OR(J21&lt;&gt;"",K21&lt;&gt;""),"POSÉ EN LIGNE",IF(COUNTIF(BARDAGE!$C$1:$C$5000,B21)&gt;0,"BARDÉ","EN STOCK")))</f>
        <v>POSÉ EN LIGNE</v>
      </c>
      <c r="N21" s="80"/>
    </row>
    <row r="22" customFormat="false" ht="15" hidden="false" customHeight="false" outlineLevel="0" collapsed="false">
      <c r="A22" s="82" t="n">
        <f aca="false">IF(B22="","",ROW()-6)</f>
        <v>16</v>
      </c>
      <c r="B22" s="145" t="n">
        <v>2091970</v>
      </c>
      <c r="C22" s="146" t="n">
        <v>15421109</v>
      </c>
      <c r="D22" s="146"/>
      <c r="E22" s="82" t="str">
        <f aca="false">IF(B22="","",IF(COUNTIFS('CARNET DE SOUDURE'!$L$7:$L$3006,B22,'CARNET DE SOUDURE'!$M$7:$M$3006,"&lt;&gt;"&amp;C22,'CARNET DE SOUDURE'!$M$7:$M$3006,"&lt;&gt;")+COUNTIFS('CARNET DE SOUDURE'!$O$7:$O$3006,B22,'CARNET DE SOUDURE'!$P$7:$P$3006,"&lt;&gt;"&amp;C22,'CARNET DE SOUDURE'!$P$7:$P$3006,"&lt;&gt;")&gt;0,"⚠ DIFFÉRENTE","OK"))</f>
        <v>OK</v>
      </c>
      <c r="F22" s="147" t="n">
        <v>11.94</v>
      </c>
      <c r="G22" s="80"/>
      <c r="H22" s="83"/>
      <c r="I22" s="148" t="str">
        <f aca="false">IF(B22="","",IFERROR(INDEX('CARNET DE SOUDURE'!$B$7:$B$3006,MATCH(B22,'CARNET DE SOUDURE'!$L$7:$L$3006,0)),IFERROR(INDEX('CARNET DE SOUDURE'!$B$7:$B$3006,MATCH(B22,'CARNET DE SOUDURE'!$O$7:$O$3006,0)),"")))</f>
        <v>MFD-ISW → MFD-CPF</v>
      </c>
      <c r="J22" s="82" t="str">
        <f aca="false">IF(B22="","",IFERROR(INDEX('CARNET DE SOUDURE'!$E$7:$E$3006,MATCH(B22,'CARNET DE SOUDURE'!$O$7:$O$3006,0)),""))</f>
        <v>DJ°502</v>
      </c>
      <c r="K22" s="82" t="str">
        <f aca="false">IF(B22="","",IFERROR(INDEX('CARNET DE SOUDURE'!$E$7:$E$3006,MATCH(B22,'CARNET DE SOUDURE'!$L$7:$L$3006,0)),""))</f>
        <v>JN°766</v>
      </c>
      <c r="L22" s="82" t="n">
        <f aca="false">IF(B22="","",IFERROR(INDEX('CARNET DE SOUDURE'!$D$7:$D$3006,MATCH(B22,'CARNET DE SOUDURE'!$L$7:$L$3006,0)),IFERROR(INDEX('CARNET DE SOUDURE'!$D$7:$D$3006,MATCH(B22,'CARNET DE SOUDURE'!$O$7:$O$3006,0)),"")))</f>
        <v>4</v>
      </c>
      <c r="M22" s="82" t="str">
        <f aca="false">IF(B22="","",IF(OR(J22&lt;&gt;"",K22&lt;&gt;""),"POSÉ EN LIGNE",IF(COUNTIF(BARDAGE!$C$1:$C$5000,B22)&gt;0,"BARDÉ","EN STOCK")))</f>
        <v>POSÉ EN LIGNE</v>
      </c>
      <c r="N22" s="80"/>
    </row>
    <row r="23" customFormat="false" ht="15" hidden="false" customHeight="false" outlineLevel="0" collapsed="false">
      <c r="A23" s="82" t="n">
        <f aca="false">IF(B23="","",ROW()-6)</f>
        <v>17</v>
      </c>
      <c r="B23" s="145" t="n">
        <v>2082570</v>
      </c>
      <c r="C23" s="146" t="n">
        <v>15421104</v>
      </c>
      <c r="D23" s="146"/>
      <c r="E23" s="82" t="str">
        <f aca="false">IF(B23="","",IF(COUNTIFS('CARNET DE SOUDURE'!$L$7:$L$3006,B23,'CARNET DE SOUDURE'!$M$7:$M$3006,"&lt;&gt;"&amp;C23,'CARNET DE SOUDURE'!$M$7:$M$3006,"&lt;&gt;")+COUNTIFS('CARNET DE SOUDURE'!$O$7:$O$3006,B23,'CARNET DE SOUDURE'!$P$7:$P$3006,"&lt;&gt;"&amp;C23,'CARNET DE SOUDURE'!$P$7:$P$3006,"&lt;&gt;")&gt;0,"⚠ DIFFÉRENTE","OK"))</f>
        <v>OK</v>
      </c>
      <c r="F23" s="147" t="n">
        <v>11.94</v>
      </c>
      <c r="G23" s="80"/>
      <c r="H23" s="83"/>
      <c r="I23" s="148" t="str">
        <f aca="false">IF(B23="","",IFERROR(INDEX('CARNET DE SOUDURE'!$B$7:$B$3006,MATCH(B23,'CARNET DE SOUDURE'!$L$7:$L$3006,0)),IFERROR(INDEX('CARNET DE SOUDURE'!$B$7:$B$3006,MATCH(B23,'CARNET DE SOUDURE'!$O$7:$O$3006,0)),"")))</f>
        <v>MFD-ISW → MFD-CPF</v>
      </c>
      <c r="J23" s="82" t="str">
        <f aca="false">IF(B23="","",IFERROR(INDEX('CARNET DE SOUDURE'!$E$7:$E$3006,MATCH(B23,'CARNET DE SOUDURE'!$O$7:$O$3006,0)),""))</f>
        <v>JN°766</v>
      </c>
      <c r="K23" s="82" t="str">
        <f aca="false">IF(B23="","",IFERROR(INDEX('CARNET DE SOUDURE'!$E$7:$E$3006,MATCH(B23,'CARNET DE SOUDURE'!$L$7:$L$3006,0)),""))</f>
        <v>DJ°508</v>
      </c>
      <c r="L23" s="82" t="n">
        <f aca="false">IF(B23="","",IFERROR(INDEX('CARNET DE SOUDURE'!$D$7:$D$3006,MATCH(B23,'CARNET DE SOUDURE'!$L$7:$L$3006,0)),IFERROR(INDEX('CARNET DE SOUDURE'!$D$7:$D$3006,MATCH(B23,'CARNET DE SOUDURE'!$O$7:$O$3006,0)),"")))</f>
        <v>4</v>
      </c>
      <c r="M23" s="82" t="str">
        <f aca="false">IF(B23="","",IF(OR(J23&lt;&gt;"",K23&lt;&gt;""),"POSÉ EN LIGNE",IF(COUNTIF(BARDAGE!$C$1:$C$5000,B23)&gt;0,"BARDÉ","EN STOCK")))</f>
        <v>POSÉ EN LIGNE</v>
      </c>
      <c r="N23" s="80"/>
    </row>
    <row r="24" customFormat="false" ht="15" hidden="false" customHeight="false" outlineLevel="0" collapsed="false">
      <c r="A24" s="82" t="n">
        <f aca="false">IF(B24="","",ROW()-6)</f>
        <v>18</v>
      </c>
      <c r="B24" s="145" t="n">
        <v>2094190</v>
      </c>
      <c r="C24" s="146" t="n">
        <v>15421110</v>
      </c>
      <c r="D24" s="146"/>
      <c r="E24" s="82" t="str">
        <f aca="false">IF(B24="","",IF(COUNTIFS('CARNET DE SOUDURE'!$L$7:$L$3006,B24,'CARNET DE SOUDURE'!$M$7:$M$3006,"&lt;&gt;"&amp;C24,'CARNET DE SOUDURE'!$M$7:$M$3006,"&lt;&gt;")+COUNTIFS('CARNET DE SOUDURE'!$O$7:$O$3006,B24,'CARNET DE SOUDURE'!$P$7:$P$3006,"&lt;&gt;"&amp;C24,'CARNET DE SOUDURE'!$P$7:$P$3006,"&lt;&gt;")&gt;0,"⚠ DIFFÉRENTE","OK"))</f>
        <v>OK</v>
      </c>
      <c r="F24" s="147" t="n">
        <v>11.94</v>
      </c>
      <c r="G24" s="80"/>
      <c r="H24" s="83"/>
      <c r="I24" s="148" t="str">
        <f aca="false">IF(B24="","",IFERROR(INDEX('CARNET DE SOUDURE'!$B$7:$B$3006,MATCH(B24,'CARNET DE SOUDURE'!$L$7:$L$3006,0)),IFERROR(INDEX('CARNET DE SOUDURE'!$B$7:$B$3006,MATCH(B24,'CARNET DE SOUDURE'!$O$7:$O$3006,0)),"")))</f>
        <v>MFD-ISW → MFD-CPF</v>
      </c>
      <c r="J24" s="82" t="str">
        <f aca="false">IF(B24="","",IFERROR(INDEX('CARNET DE SOUDURE'!$E$7:$E$3006,MATCH(B24,'CARNET DE SOUDURE'!$O$7:$O$3006,0)),""))</f>
        <v>DJ°508</v>
      </c>
      <c r="K24" s="82" t="str">
        <f aca="false">IF(B24="","",IFERROR(INDEX('CARNET DE SOUDURE'!$E$7:$E$3006,MATCH(B24,'CARNET DE SOUDURE'!$L$7:$L$3006,0)),""))</f>
        <v>JN°767</v>
      </c>
      <c r="L24" s="82" t="n">
        <f aca="false">IF(B24="","",IFERROR(INDEX('CARNET DE SOUDURE'!$D$7:$D$3006,MATCH(B24,'CARNET DE SOUDURE'!$L$7:$L$3006,0)),IFERROR(INDEX('CARNET DE SOUDURE'!$D$7:$D$3006,MATCH(B24,'CARNET DE SOUDURE'!$O$7:$O$3006,0)),"")))</f>
        <v>4</v>
      </c>
      <c r="M24" s="82" t="str">
        <f aca="false">IF(B24="","",IF(OR(J24&lt;&gt;"",K24&lt;&gt;""),"POSÉ EN LIGNE",IF(COUNTIF(BARDAGE!$C$1:$C$5000,B24)&gt;0,"BARDÉ","EN STOCK")))</f>
        <v>POSÉ EN LIGNE</v>
      </c>
      <c r="N24" s="80"/>
    </row>
    <row r="25" customFormat="false" ht="15" hidden="false" customHeight="false" outlineLevel="0" collapsed="false">
      <c r="A25" s="82" t="n">
        <f aca="false">IF(B25="","",ROW()-6)</f>
        <v>19</v>
      </c>
      <c r="B25" s="145" t="n">
        <v>2081000</v>
      </c>
      <c r="C25" s="146" t="n">
        <v>15421109</v>
      </c>
      <c r="D25" s="146"/>
      <c r="E25" s="82" t="str">
        <f aca="false">IF(B25="","",IF(COUNTIFS('CARNET DE SOUDURE'!$L$7:$L$3006,B25,'CARNET DE SOUDURE'!$M$7:$M$3006,"&lt;&gt;"&amp;C25,'CARNET DE SOUDURE'!$M$7:$M$3006,"&lt;&gt;")+COUNTIFS('CARNET DE SOUDURE'!$O$7:$O$3006,B25,'CARNET DE SOUDURE'!$P$7:$P$3006,"&lt;&gt;"&amp;C25,'CARNET DE SOUDURE'!$P$7:$P$3006,"&lt;&gt;")&gt;0,"⚠ DIFFÉRENTE","OK"))</f>
        <v>OK</v>
      </c>
      <c r="F25" s="147" t="n">
        <v>11.94</v>
      </c>
      <c r="G25" s="80"/>
      <c r="H25" s="83"/>
      <c r="I25" s="148" t="str">
        <f aca="false">IF(B25="","",IFERROR(INDEX('CARNET DE SOUDURE'!$B$7:$B$3006,MATCH(B25,'CARNET DE SOUDURE'!$L$7:$L$3006,0)),IFERROR(INDEX('CARNET DE SOUDURE'!$B$7:$B$3006,MATCH(B25,'CARNET DE SOUDURE'!$O$7:$O$3006,0)),"")))</f>
        <v>MFD-ISW → MFD-CPF</v>
      </c>
      <c r="J25" s="82" t="str">
        <f aca="false">IF(B25="","",IFERROR(INDEX('CARNET DE SOUDURE'!$E$7:$E$3006,MATCH(B25,'CARNET DE SOUDURE'!$O$7:$O$3006,0)),""))</f>
        <v>JN°767</v>
      </c>
      <c r="K25" s="82" t="str">
        <f aca="false">IF(B25="","",IFERROR(INDEX('CARNET DE SOUDURE'!$E$7:$E$3006,MATCH(B25,'CARNET DE SOUDURE'!$L$7:$L$3006,0)),""))</f>
        <v>DJ°504</v>
      </c>
      <c r="L25" s="82" t="n">
        <f aca="false">IF(B25="","",IFERROR(INDEX('CARNET DE SOUDURE'!$D$7:$D$3006,MATCH(B25,'CARNET DE SOUDURE'!$L$7:$L$3006,0)),IFERROR(INDEX('CARNET DE SOUDURE'!$D$7:$D$3006,MATCH(B25,'CARNET DE SOUDURE'!$O$7:$O$3006,0)),"")))</f>
        <v>4</v>
      </c>
      <c r="M25" s="82" t="str">
        <f aca="false">IF(B25="","",IF(OR(J25&lt;&gt;"",K25&lt;&gt;""),"POSÉ EN LIGNE",IF(COUNTIF(BARDAGE!$C$1:$C$5000,B25)&gt;0,"BARDÉ","EN STOCK")))</f>
        <v>POSÉ EN LIGNE</v>
      </c>
      <c r="N25" s="80"/>
    </row>
    <row r="26" customFormat="false" ht="15" hidden="false" customHeight="false" outlineLevel="0" collapsed="false">
      <c r="A26" s="82" t="n">
        <f aca="false">IF(B26="","",ROW()-6)</f>
        <v>20</v>
      </c>
      <c r="B26" s="145" t="n">
        <v>2097230</v>
      </c>
      <c r="C26" s="146" t="n">
        <v>15421109</v>
      </c>
      <c r="D26" s="146"/>
      <c r="E26" s="82" t="str">
        <f aca="false">IF(B26="","",IF(COUNTIFS('CARNET DE SOUDURE'!$L$7:$L$3006,B26,'CARNET DE SOUDURE'!$M$7:$M$3006,"&lt;&gt;"&amp;C26,'CARNET DE SOUDURE'!$M$7:$M$3006,"&lt;&gt;")+COUNTIFS('CARNET DE SOUDURE'!$O$7:$O$3006,B26,'CARNET DE SOUDURE'!$P$7:$P$3006,"&lt;&gt;"&amp;C26,'CARNET DE SOUDURE'!$P$7:$P$3006,"&lt;&gt;")&gt;0,"⚠ DIFFÉRENTE","OK"))</f>
        <v>OK</v>
      </c>
      <c r="F26" s="147" t="n">
        <v>11.94</v>
      </c>
      <c r="G26" s="80"/>
      <c r="H26" s="83"/>
      <c r="I26" s="148" t="str">
        <f aca="false">IF(B26="","",IFERROR(INDEX('CARNET DE SOUDURE'!$B$7:$B$3006,MATCH(B26,'CARNET DE SOUDURE'!$L$7:$L$3006,0)),IFERROR(INDEX('CARNET DE SOUDURE'!$B$7:$B$3006,MATCH(B26,'CARNET DE SOUDURE'!$O$7:$O$3006,0)),"")))</f>
        <v>MFD-ISW → MFD-CPF</v>
      </c>
      <c r="J26" s="82" t="str">
        <f aca="false">IF(B26="","",IFERROR(INDEX('CARNET DE SOUDURE'!$E$7:$E$3006,MATCH(B26,'CARNET DE SOUDURE'!$O$7:$O$3006,0)),""))</f>
        <v>DJ°504</v>
      </c>
      <c r="K26" s="82" t="str">
        <f aca="false">IF(B26="","",IFERROR(INDEX('CARNET DE SOUDURE'!$E$7:$E$3006,MATCH(B26,'CARNET DE SOUDURE'!$L$7:$L$3006,0)),""))</f>
        <v>JN°768</v>
      </c>
      <c r="L26" s="82" t="n">
        <f aca="false">IF(B26="","",IFERROR(INDEX('CARNET DE SOUDURE'!$D$7:$D$3006,MATCH(B26,'CARNET DE SOUDURE'!$L$7:$L$3006,0)),IFERROR(INDEX('CARNET DE SOUDURE'!$D$7:$D$3006,MATCH(B26,'CARNET DE SOUDURE'!$O$7:$O$3006,0)),"")))</f>
        <v>4</v>
      </c>
      <c r="M26" s="82" t="str">
        <f aca="false">IF(B26="","",IF(OR(J26&lt;&gt;"",K26&lt;&gt;""),"POSÉ EN LIGNE",IF(COUNTIF(BARDAGE!$C$1:$C$5000,B26)&gt;0,"BARDÉ","EN STOCK")))</f>
        <v>POSÉ EN LIGNE</v>
      </c>
      <c r="N26" s="80"/>
    </row>
    <row r="27" customFormat="false" ht="15" hidden="false" customHeight="false" outlineLevel="0" collapsed="false">
      <c r="A27" s="82" t="n">
        <f aca="false">IF(B27="","",ROW()-6)</f>
        <v>21</v>
      </c>
      <c r="B27" s="145" t="n">
        <v>2085050</v>
      </c>
      <c r="C27" s="146" t="n">
        <v>15421106</v>
      </c>
      <c r="D27" s="146"/>
      <c r="E27" s="82" t="str">
        <f aca="false">IF(B27="","",IF(COUNTIFS('CARNET DE SOUDURE'!$L$7:$L$3006,B27,'CARNET DE SOUDURE'!$M$7:$M$3006,"&lt;&gt;"&amp;C27,'CARNET DE SOUDURE'!$M$7:$M$3006,"&lt;&gt;")+COUNTIFS('CARNET DE SOUDURE'!$O$7:$O$3006,B27,'CARNET DE SOUDURE'!$P$7:$P$3006,"&lt;&gt;"&amp;C27,'CARNET DE SOUDURE'!$P$7:$P$3006,"&lt;&gt;")&gt;0,"⚠ DIFFÉRENTE","OK"))</f>
        <v>OK</v>
      </c>
      <c r="F27" s="147" t="n">
        <v>11.94</v>
      </c>
      <c r="G27" s="80"/>
      <c r="H27" s="83"/>
      <c r="I27" s="148" t="str">
        <f aca="false">IF(B27="","",IFERROR(INDEX('CARNET DE SOUDURE'!$B$7:$B$3006,MATCH(B27,'CARNET DE SOUDURE'!$L$7:$L$3006,0)),IFERROR(INDEX('CARNET DE SOUDURE'!$B$7:$B$3006,MATCH(B27,'CARNET DE SOUDURE'!$O$7:$O$3006,0)),"")))</f>
        <v>MFD-ISW → MFD-CPF</v>
      </c>
      <c r="J27" s="82" t="str">
        <f aca="false">IF(B27="","",IFERROR(INDEX('CARNET DE SOUDURE'!$E$7:$E$3006,MATCH(B27,'CARNET DE SOUDURE'!$O$7:$O$3006,0)),""))</f>
        <v>JN°768</v>
      </c>
      <c r="K27" s="82" t="str">
        <f aca="false">IF(B27="","",IFERROR(INDEX('CARNET DE SOUDURE'!$E$7:$E$3006,MATCH(B27,'CARNET DE SOUDURE'!$L$7:$L$3006,0)),""))</f>
        <v>DJ°510</v>
      </c>
      <c r="L27" s="82" t="n">
        <f aca="false">IF(B27="","",IFERROR(INDEX('CARNET DE SOUDURE'!$D$7:$D$3006,MATCH(B27,'CARNET DE SOUDURE'!$L$7:$L$3006,0)),IFERROR(INDEX('CARNET DE SOUDURE'!$D$7:$D$3006,MATCH(B27,'CARNET DE SOUDURE'!$O$7:$O$3006,0)),"")))</f>
        <v>4</v>
      </c>
      <c r="M27" s="82" t="str">
        <f aca="false">IF(B27="","",IF(OR(J27&lt;&gt;"",K27&lt;&gt;""),"POSÉ EN LIGNE",IF(COUNTIF(BARDAGE!$C$1:$C$5000,B27)&gt;0,"BARDÉ","EN STOCK")))</f>
        <v>POSÉ EN LIGNE</v>
      </c>
      <c r="N27" s="80"/>
    </row>
    <row r="28" customFormat="false" ht="15" hidden="false" customHeight="false" outlineLevel="0" collapsed="false">
      <c r="A28" s="82" t="n">
        <f aca="false">IF(B28="","",ROW()-6)</f>
        <v>22</v>
      </c>
      <c r="B28" s="145" t="n">
        <v>2079150</v>
      </c>
      <c r="C28" s="146" t="n">
        <v>15421102</v>
      </c>
      <c r="D28" s="146"/>
      <c r="E28" s="82" t="str">
        <f aca="false">IF(B28="","",IF(COUNTIFS('CARNET DE SOUDURE'!$L$7:$L$3006,B28,'CARNET DE SOUDURE'!$M$7:$M$3006,"&lt;&gt;"&amp;C28,'CARNET DE SOUDURE'!$M$7:$M$3006,"&lt;&gt;")+COUNTIFS('CARNET DE SOUDURE'!$O$7:$O$3006,B28,'CARNET DE SOUDURE'!$P$7:$P$3006,"&lt;&gt;"&amp;C28,'CARNET DE SOUDURE'!$P$7:$P$3006,"&lt;&gt;")&gt;0,"⚠ DIFFÉRENTE","OK"))</f>
        <v>OK</v>
      </c>
      <c r="F28" s="147" t="n">
        <v>11.94</v>
      </c>
      <c r="G28" s="80"/>
      <c r="H28" s="83"/>
      <c r="I28" s="148" t="str">
        <f aca="false">IF(B28="","",IFERROR(INDEX('CARNET DE SOUDURE'!$B$7:$B$3006,MATCH(B28,'CARNET DE SOUDURE'!$L$7:$L$3006,0)),IFERROR(INDEX('CARNET DE SOUDURE'!$B$7:$B$3006,MATCH(B28,'CARNET DE SOUDURE'!$O$7:$O$3006,0)),"")))</f>
        <v>MFD-ISW → MFD-CPF</v>
      </c>
      <c r="J28" s="82" t="str">
        <f aca="false">IF(B28="","",IFERROR(INDEX('CARNET DE SOUDURE'!$E$7:$E$3006,MATCH(B28,'CARNET DE SOUDURE'!$O$7:$O$3006,0)),""))</f>
        <v>DJ°510</v>
      </c>
      <c r="K28" s="82" t="str">
        <f aca="false">IF(B28="","",IFERROR(INDEX('CARNET DE SOUDURE'!$E$7:$E$3006,MATCH(B28,'CARNET DE SOUDURE'!$L$7:$L$3006,0)),""))</f>
        <v>JN°769</v>
      </c>
      <c r="L28" s="82" t="n">
        <f aca="false">IF(B28="","",IFERROR(INDEX('CARNET DE SOUDURE'!$D$7:$D$3006,MATCH(B28,'CARNET DE SOUDURE'!$L$7:$L$3006,0)),IFERROR(INDEX('CARNET DE SOUDURE'!$D$7:$D$3006,MATCH(B28,'CARNET DE SOUDURE'!$O$7:$O$3006,0)),"")))</f>
        <v>4</v>
      </c>
      <c r="M28" s="82" t="str">
        <f aca="false">IF(B28="","",IF(OR(J28&lt;&gt;"",K28&lt;&gt;""),"POSÉ EN LIGNE",IF(COUNTIF(BARDAGE!$C$1:$C$5000,B28)&gt;0,"BARDÉ","EN STOCK")))</f>
        <v>POSÉ EN LIGNE</v>
      </c>
      <c r="N28" s="80"/>
    </row>
    <row r="29" customFormat="false" ht="15" hidden="false" customHeight="false" outlineLevel="0" collapsed="false">
      <c r="A29" s="82" t="n">
        <f aca="false">IF(B29="","",ROW()-6)</f>
        <v>23</v>
      </c>
      <c r="B29" s="145" t="n">
        <v>2089800</v>
      </c>
      <c r="C29" s="146" t="n">
        <v>15421108</v>
      </c>
      <c r="D29" s="146"/>
      <c r="E29" s="82" t="str">
        <f aca="false">IF(B29="","",IF(COUNTIFS('CARNET DE SOUDURE'!$L$7:$L$3006,B29,'CARNET DE SOUDURE'!$M$7:$M$3006,"&lt;&gt;"&amp;C29,'CARNET DE SOUDURE'!$M$7:$M$3006,"&lt;&gt;")+COUNTIFS('CARNET DE SOUDURE'!$O$7:$O$3006,B29,'CARNET DE SOUDURE'!$P$7:$P$3006,"&lt;&gt;"&amp;C29,'CARNET DE SOUDURE'!$P$7:$P$3006,"&lt;&gt;")&gt;0,"⚠ DIFFÉRENTE","OK"))</f>
        <v>⚠ DIFFÉRENTE</v>
      </c>
      <c r="F29" s="147" t="n">
        <v>11.94</v>
      </c>
      <c r="G29" s="80"/>
      <c r="H29" s="83"/>
      <c r="I29" s="148" t="str">
        <f aca="false">IF(B29="","",IFERROR(INDEX('CARNET DE SOUDURE'!$B$7:$B$3006,MATCH(B29,'CARNET DE SOUDURE'!$L$7:$L$3006,0)),IFERROR(INDEX('CARNET DE SOUDURE'!$B$7:$B$3006,MATCH(B29,'CARNET DE SOUDURE'!$O$7:$O$3006,0)),"")))</f>
        <v>MFD-ISW → MFD-CPF</v>
      </c>
      <c r="J29" s="82" t="str">
        <f aca="false">IF(B29="","",IFERROR(INDEX('CARNET DE SOUDURE'!$E$7:$E$3006,MATCH(B29,'CARNET DE SOUDURE'!$O$7:$O$3006,0)),""))</f>
        <v>JN°769</v>
      </c>
      <c r="K29" s="82" t="str">
        <f aca="false">IF(B29="","",IFERROR(INDEX('CARNET DE SOUDURE'!$E$7:$E$3006,MATCH(B29,'CARNET DE SOUDURE'!$L$7:$L$3006,0)),""))</f>
        <v>DJ°511</v>
      </c>
      <c r="L29" s="82" t="n">
        <f aca="false">IF(B29="","",IFERROR(INDEX('CARNET DE SOUDURE'!$D$7:$D$3006,MATCH(B29,'CARNET DE SOUDURE'!$L$7:$L$3006,0)),IFERROR(INDEX('CARNET DE SOUDURE'!$D$7:$D$3006,MATCH(B29,'CARNET DE SOUDURE'!$O$7:$O$3006,0)),"")))</f>
        <v>4</v>
      </c>
      <c r="M29" s="82" t="str">
        <f aca="false">IF(B29="","",IF(OR(J29&lt;&gt;"",K29&lt;&gt;""),"POSÉ EN LIGNE",IF(COUNTIF(BARDAGE!$C$1:$C$5000,B29)&gt;0,"BARDÉ","EN STOCK")))</f>
        <v>POSÉ EN LIGNE</v>
      </c>
      <c r="N29" s="80"/>
    </row>
    <row r="30" customFormat="false" ht="15" hidden="false" customHeight="false" outlineLevel="0" collapsed="false">
      <c r="A30" s="82" t="n">
        <f aca="false">IF(B30="","",ROW()-6)</f>
        <v>24</v>
      </c>
      <c r="B30" s="145" t="n">
        <v>2081110</v>
      </c>
      <c r="C30" s="146" t="n">
        <v>15421103</v>
      </c>
      <c r="D30" s="146"/>
      <c r="E30" s="82" t="str">
        <f aca="false">IF(B30="","",IF(COUNTIFS('CARNET DE SOUDURE'!$L$7:$L$3006,B30,'CARNET DE SOUDURE'!$M$7:$M$3006,"&lt;&gt;"&amp;C30,'CARNET DE SOUDURE'!$M$7:$M$3006,"&lt;&gt;")+COUNTIFS('CARNET DE SOUDURE'!$O$7:$O$3006,B30,'CARNET DE SOUDURE'!$P$7:$P$3006,"&lt;&gt;"&amp;C30,'CARNET DE SOUDURE'!$P$7:$P$3006,"&lt;&gt;")&gt;0,"⚠ DIFFÉRENTE","OK"))</f>
        <v>OK</v>
      </c>
      <c r="F30" s="147" t="n">
        <v>11.94</v>
      </c>
      <c r="G30" s="80"/>
      <c r="H30" s="83"/>
      <c r="I30" s="148" t="str">
        <f aca="false">IF(B30="","",IFERROR(INDEX('CARNET DE SOUDURE'!$B$7:$B$3006,MATCH(B30,'CARNET DE SOUDURE'!$L$7:$L$3006,0)),IFERROR(INDEX('CARNET DE SOUDURE'!$B$7:$B$3006,MATCH(B30,'CARNET DE SOUDURE'!$O$7:$O$3006,0)),"")))</f>
        <v>MFD-ISW → MFD-CPF</v>
      </c>
      <c r="J30" s="82" t="str">
        <f aca="false">IF(B30="","",IFERROR(INDEX('CARNET DE SOUDURE'!$E$7:$E$3006,MATCH(B30,'CARNET DE SOUDURE'!$O$7:$O$3006,0)),""))</f>
        <v>DJ°511</v>
      </c>
      <c r="K30" s="82" t="str">
        <f aca="false">IF(B30="","",IFERROR(INDEX('CARNET DE SOUDURE'!$E$7:$E$3006,MATCH(B30,'CARNET DE SOUDURE'!$L$7:$L$3006,0)),""))</f>
        <v>JN°770</v>
      </c>
      <c r="L30" s="82" t="n">
        <f aca="false">IF(B30="","",IFERROR(INDEX('CARNET DE SOUDURE'!$D$7:$D$3006,MATCH(B30,'CARNET DE SOUDURE'!$L$7:$L$3006,0)),IFERROR(INDEX('CARNET DE SOUDURE'!$D$7:$D$3006,MATCH(B30,'CARNET DE SOUDURE'!$O$7:$O$3006,0)),"")))</f>
        <v>4</v>
      </c>
      <c r="M30" s="82" t="str">
        <f aca="false">IF(B30="","",IF(OR(J30&lt;&gt;"",K30&lt;&gt;""),"POSÉ EN LIGNE",IF(COUNTIF(BARDAGE!$C$1:$C$5000,B30)&gt;0,"BARDÉ","EN STOCK")))</f>
        <v>POSÉ EN LIGNE</v>
      </c>
      <c r="N30" s="80"/>
    </row>
    <row r="31" customFormat="false" ht="15" hidden="false" customHeight="false" outlineLevel="0" collapsed="false">
      <c r="A31" s="82" t="n">
        <f aca="false">IF(B31="","",ROW()-6)</f>
        <v>25</v>
      </c>
      <c r="B31" s="145" t="n">
        <v>2085700</v>
      </c>
      <c r="C31" s="146" t="n">
        <v>15421107</v>
      </c>
      <c r="D31" s="146"/>
      <c r="E31" s="82" t="str">
        <f aca="false">IF(B31="","",IF(COUNTIFS('CARNET DE SOUDURE'!$L$7:$L$3006,B31,'CARNET DE SOUDURE'!$M$7:$M$3006,"&lt;&gt;"&amp;C31,'CARNET DE SOUDURE'!$M$7:$M$3006,"&lt;&gt;")+COUNTIFS('CARNET DE SOUDURE'!$O$7:$O$3006,B31,'CARNET DE SOUDURE'!$P$7:$P$3006,"&lt;&gt;"&amp;C31,'CARNET DE SOUDURE'!$P$7:$P$3006,"&lt;&gt;")&gt;0,"⚠ DIFFÉRENTE","OK"))</f>
        <v>OK</v>
      </c>
      <c r="F31" s="147" t="n">
        <v>11.94</v>
      </c>
      <c r="G31" s="80"/>
      <c r="H31" s="83"/>
      <c r="I31" s="148" t="str">
        <f aca="false">IF(B31="","",IFERROR(INDEX('CARNET DE SOUDURE'!$B$7:$B$3006,MATCH(B31,'CARNET DE SOUDURE'!$L$7:$L$3006,0)),IFERROR(INDEX('CARNET DE SOUDURE'!$B$7:$B$3006,MATCH(B31,'CARNET DE SOUDURE'!$O$7:$O$3006,0)),"")))</f>
        <v>MFD-ISW → MFD-CPF</v>
      </c>
      <c r="J31" s="82" t="str">
        <f aca="false">IF(B31="","",IFERROR(INDEX('CARNET DE SOUDURE'!$E$7:$E$3006,MATCH(B31,'CARNET DE SOUDURE'!$O$7:$O$3006,0)),""))</f>
        <v>JN°770</v>
      </c>
      <c r="K31" s="82" t="str">
        <f aca="false">IF(B31="","",IFERROR(INDEX('CARNET DE SOUDURE'!$E$7:$E$3006,MATCH(B31,'CARNET DE SOUDURE'!$L$7:$L$3006,0)),""))</f>
        <v>DJ°519</v>
      </c>
      <c r="L31" s="82" t="n">
        <f aca="false">IF(B31="","",IFERROR(INDEX('CARNET DE SOUDURE'!$D$7:$D$3006,MATCH(B31,'CARNET DE SOUDURE'!$L$7:$L$3006,0)),IFERROR(INDEX('CARNET DE SOUDURE'!$D$7:$D$3006,MATCH(B31,'CARNET DE SOUDURE'!$O$7:$O$3006,0)),"")))</f>
        <v>4</v>
      </c>
      <c r="M31" s="82" t="str">
        <f aca="false">IF(B31="","",IF(OR(J31&lt;&gt;"",K31&lt;&gt;""),"POSÉ EN LIGNE",IF(COUNTIF(BARDAGE!$C$1:$C$5000,B31)&gt;0,"BARDÉ","EN STOCK")))</f>
        <v>POSÉ EN LIGNE</v>
      </c>
      <c r="N31" s="80"/>
    </row>
    <row r="32" customFormat="false" ht="15" hidden="false" customHeight="false" outlineLevel="0" collapsed="false">
      <c r="A32" s="82" t="n">
        <f aca="false">IF(B32="","",ROW()-6)</f>
        <v>26</v>
      </c>
      <c r="B32" s="145" t="n">
        <v>2078860</v>
      </c>
      <c r="C32" s="146" t="n">
        <v>15421101</v>
      </c>
      <c r="D32" s="146"/>
      <c r="E32" s="82" t="str">
        <f aca="false">IF(B32="","",IF(COUNTIFS('CARNET DE SOUDURE'!$L$7:$L$3006,B32,'CARNET DE SOUDURE'!$M$7:$M$3006,"&lt;&gt;"&amp;C32,'CARNET DE SOUDURE'!$M$7:$M$3006,"&lt;&gt;")+COUNTIFS('CARNET DE SOUDURE'!$O$7:$O$3006,B32,'CARNET DE SOUDURE'!$P$7:$P$3006,"&lt;&gt;"&amp;C32,'CARNET DE SOUDURE'!$P$7:$P$3006,"&lt;&gt;")&gt;0,"⚠ DIFFÉRENTE","OK"))</f>
        <v>OK</v>
      </c>
      <c r="F32" s="147" t="n">
        <v>11.94</v>
      </c>
      <c r="G32" s="80"/>
      <c r="H32" s="83"/>
      <c r="I32" s="148" t="str">
        <f aca="false">IF(B32="","",IFERROR(INDEX('CARNET DE SOUDURE'!$B$7:$B$3006,MATCH(B32,'CARNET DE SOUDURE'!$L$7:$L$3006,0)),IFERROR(INDEX('CARNET DE SOUDURE'!$B$7:$B$3006,MATCH(B32,'CARNET DE SOUDURE'!$O$7:$O$3006,0)),"")))</f>
        <v>MFD-ISW → MFD-CPF</v>
      </c>
      <c r="J32" s="82" t="str">
        <f aca="false">IF(B32="","",IFERROR(INDEX('CARNET DE SOUDURE'!$E$7:$E$3006,MATCH(B32,'CARNET DE SOUDURE'!$O$7:$O$3006,0)),""))</f>
        <v>DJ°519</v>
      </c>
      <c r="K32" s="82" t="str">
        <f aca="false">IF(B32="","",IFERROR(INDEX('CARNET DE SOUDURE'!$E$7:$E$3006,MATCH(B32,'CARNET DE SOUDURE'!$L$7:$L$3006,0)),""))</f>
        <v>JN°771</v>
      </c>
      <c r="L32" s="82" t="n">
        <f aca="false">IF(B32="","",IFERROR(INDEX('CARNET DE SOUDURE'!$D$7:$D$3006,MATCH(B32,'CARNET DE SOUDURE'!$L$7:$L$3006,0)),IFERROR(INDEX('CARNET DE SOUDURE'!$D$7:$D$3006,MATCH(B32,'CARNET DE SOUDURE'!$O$7:$O$3006,0)),"")))</f>
        <v>4</v>
      </c>
      <c r="M32" s="82" t="str">
        <f aca="false">IF(B32="","",IF(OR(J32&lt;&gt;"",K32&lt;&gt;""),"POSÉ EN LIGNE",IF(COUNTIF(BARDAGE!$C$1:$C$5000,B32)&gt;0,"BARDÉ","EN STOCK")))</f>
        <v>POSÉ EN LIGNE</v>
      </c>
      <c r="N32" s="80"/>
    </row>
    <row r="33" customFormat="false" ht="15" hidden="false" customHeight="false" outlineLevel="0" collapsed="false">
      <c r="A33" s="82" t="n">
        <f aca="false">IF(B33="","",ROW()-6)</f>
        <v>27</v>
      </c>
      <c r="B33" s="145" t="n">
        <v>2093120</v>
      </c>
      <c r="C33" s="146" t="n">
        <v>15421104</v>
      </c>
      <c r="D33" s="146"/>
      <c r="E33" s="82" t="str">
        <f aca="false">IF(B33="","",IF(COUNTIFS('CARNET DE SOUDURE'!$L$7:$L$3006,B33,'CARNET DE SOUDURE'!$M$7:$M$3006,"&lt;&gt;"&amp;C33,'CARNET DE SOUDURE'!$M$7:$M$3006,"&lt;&gt;")+COUNTIFS('CARNET DE SOUDURE'!$O$7:$O$3006,B33,'CARNET DE SOUDURE'!$P$7:$P$3006,"&lt;&gt;"&amp;C33,'CARNET DE SOUDURE'!$P$7:$P$3006,"&lt;&gt;")&gt;0,"⚠ DIFFÉRENTE","OK"))</f>
        <v>OK</v>
      </c>
      <c r="F33" s="147" t="n">
        <v>11.94</v>
      </c>
      <c r="G33" s="80"/>
      <c r="H33" s="83"/>
      <c r="I33" s="148" t="str">
        <f aca="false">IF(B33="","",IFERROR(INDEX('CARNET DE SOUDURE'!$B$7:$B$3006,MATCH(B33,'CARNET DE SOUDURE'!$L$7:$L$3006,0)),IFERROR(INDEX('CARNET DE SOUDURE'!$B$7:$B$3006,MATCH(B33,'CARNET DE SOUDURE'!$O$7:$O$3006,0)),"")))</f>
        <v>MFD-ISW → MFD-CPF</v>
      </c>
      <c r="J33" s="82" t="str">
        <f aca="false">IF(B33="","",IFERROR(INDEX('CARNET DE SOUDURE'!$E$7:$E$3006,MATCH(B33,'CARNET DE SOUDURE'!$O$7:$O$3006,0)),""))</f>
        <v>JN°771</v>
      </c>
      <c r="K33" s="82" t="str">
        <f aca="false">IF(B33="","",IFERROR(INDEX('CARNET DE SOUDURE'!$E$7:$E$3006,MATCH(B33,'CARNET DE SOUDURE'!$L$7:$L$3006,0)),""))</f>
        <v>DJ°509</v>
      </c>
      <c r="L33" s="82" t="n">
        <f aca="false">IF(B33="","",IFERROR(INDEX('CARNET DE SOUDURE'!$D$7:$D$3006,MATCH(B33,'CARNET DE SOUDURE'!$L$7:$L$3006,0)),IFERROR(INDEX('CARNET DE SOUDURE'!$D$7:$D$3006,MATCH(B33,'CARNET DE SOUDURE'!$O$7:$O$3006,0)),"")))</f>
        <v>4</v>
      </c>
      <c r="M33" s="82" t="str">
        <f aca="false">IF(B33="","",IF(OR(J33&lt;&gt;"",K33&lt;&gt;""),"POSÉ EN LIGNE",IF(COUNTIF(BARDAGE!$C$1:$C$5000,B33)&gt;0,"BARDÉ","EN STOCK")))</f>
        <v>POSÉ EN LIGNE</v>
      </c>
      <c r="N33" s="80"/>
    </row>
    <row r="34" customFormat="false" ht="15" hidden="false" customHeight="false" outlineLevel="0" collapsed="false">
      <c r="A34" s="82" t="n">
        <f aca="false">IF(B34="","",ROW()-6)</f>
        <v>28</v>
      </c>
      <c r="B34" s="145" t="n">
        <v>2079630</v>
      </c>
      <c r="C34" s="146" t="n">
        <v>15421110</v>
      </c>
      <c r="D34" s="146"/>
      <c r="E34" s="82" t="str">
        <f aca="false">IF(B34="","",IF(COUNTIFS('CARNET DE SOUDURE'!$L$7:$L$3006,B34,'CARNET DE SOUDURE'!$M$7:$M$3006,"&lt;&gt;"&amp;C34,'CARNET DE SOUDURE'!$M$7:$M$3006,"&lt;&gt;")+COUNTIFS('CARNET DE SOUDURE'!$O$7:$O$3006,B34,'CARNET DE SOUDURE'!$P$7:$P$3006,"&lt;&gt;"&amp;C34,'CARNET DE SOUDURE'!$P$7:$P$3006,"&lt;&gt;")&gt;0,"⚠ DIFFÉRENTE","OK"))</f>
        <v>OK</v>
      </c>
      <c r="F34" s="147" t="n">
        <v>11.94</v>
      </c>
      <c r="G34" s="80"/>
      <c r="H34" s="83"/>
      <c r="I34" s="148" t="str">
        <f aca="false">IF(B34="","",IFERROR(INDEX('CARNET DE SOUDURE'!$B$7:$B$3006,MATCH(B34,'CARNET DE SOUDURE'!$L$7:$L$3006,0)),IFERROR(INDEX('CARNET DE SOUDURE'!$B$7:$B$3006,MATCH(B34,'CARNET DE SOUDURE'!$O$7:$O$3006,0)),"")))</f>
        <v>MFD-ISW → MFD-CPF</v>
      </c>
      <c r="J34" s="82" t="str">
        <f aca="false">IF(B34="","",IFERROR(INDEX('CARNET DE SOUDURE'!$E$7:$E$3006,MATCH(B34,'CARNET DE SOUDURE'!$O$7:$O$3006,0)),""))</f>
        <v>DJ°509</v>
      </c>
      <c r="K34" s="82" t="str">
        <f aca="false">IF(B34="","",IFERROR(INDEX('CARNET DE SOUDURE'!$E$7:$E$3006,MATCH(B34,'CARNET DE SOUDURE'!$L$7:$L$3006,0)),""))</f>
        <v>JN°772</v>
      </c>
      <c r="L34" s="82" t="n">
        <f aca="false">IF(B34="","",IFERROR(INDEX('CARNET DE SOUDURE'!$D$7:$D$3006,MATCH(B34,'CARNET DE SOUDURE'!$L$7:$L$3006,0)),IFERROR(INDEX('CARNET DE SOUDURE'!$D$7:$D$3006,MATCH(B34,'CARNET DE SOUDURE'!$O$7:$O$3006,0)),"")))</f>
        <v>4</v>
      </c>
      <c r="M34" s="82" t="str">
        <f aca="false">IF(B34="","",IF(OR(J34&lt;&gt;"",K34&lt;&gt;""),"POSÉ EN LIGNE",IF(COUNTIF(BARDAGE!$C$1:$C$5000,B34)&gt;0,"BARDÉ","EN STOCK")))</f>
        <v>POSÉ EN LIGNE</v>
      </c>
      <c r="N34" s="80"/>
    </row>
    <row r="35" customFormat="false" ht="15" hidden="false" customHeight="false" outlineLevel="0" collapsed="false">
      <c r="A35" s="82" t="n">
        <f aca="false">IF(B35="","",ROW()-6)</f>
        <v>29</v>
      </c>
      <c r="B35" s="145" t="n">
        <v>2081080</v>
      </c>
      <c r="C35" s="146" t="n">
        <v>15421103</v>
      </c>
      <c r="D35" s="146"/>
      <c r="E35" s="82" t="str">
        <f aca="false">IF(B35="","",IF(COUNTIFS('CARNET DE SOUDURE'!$L$7:$L$3006,B35,'CARNET DE SOUDURE'!$M$7:$M$3006,"&lt;&gt;"&amp;C35,'CARNET DE SOUDURE'!$M$7:$M$3006,"&lt;&gt;")+COUNTIFS('CARNET DE SOUDURE'!$O$7:$O$3006,B35,'CARNET DE SOUDURE'!$P$7:$P$3006,"&lt;&gt;"&amp;C35,'CARNET DE SOUDURE'!$P$7:$P$3006,"&lt;&gt;")&gt;0,"⚠ DIFFÉRENTE","OK"))</f>
        <v>OK</v>
      </c>
      <c r="F35" s="147" t="n">
        <v>11.94</v>
      </c>
      <c r="G35" s="80"/>
      <c r="H35" s="83"/>
      <c r="I35" s="148" t="str">
        <f aca="false">IF(B35="","",IFERROR(INDEX('CARNET DE SOUDURE'!$B$7:$B$3006,MATCH(B35,'CARNET DE SOUDURE'!$L$7:$L$3006,0)),IFERROR(INDEX('CARNET DE SOUDURE'!$B$7:$B$3006,MATCH(B35,'CARNET DE SOUDURE'!$O$7:$O$3006,0)),"")))</f>
        <v>MFD-ISW → MFD-CPF</v>
      </c>
      <c r="J35" s="82" t="str">
        <f aca="false">IF(B35="","",IFERROR(INDEX('CARNET DE SOUDURE'!$E$7:$E$3006,MATCH(B35,'CARNET DE SOUDURE'!$O$7:$O$3006,0)),""))</f>
        <v>JN°772</v>
      </c>
      <c r="K35" s="82" t="str">
        <f aca="false">IF(B35="","",IFERROR(INDEX('CARNET DE SOUDURE'!$E$7:$E$3006,MATCH(B35,'CARNET DE SOUDURE'!$L$7:$L$3006,0)),""))</f>
        <v>DJ°517</v>
      </c>
      <c r="L35" s="82" t="n">
        <f aca="false">IF(B35="","",IFERROR(INDEX('CARNET DE SOUDURE'!$D$7:$D$3006,MATCH(B35,'CARNET DE SOUDURE'!$L$7:$L$3006,0)),IFERROR(INDEX('CARNET DE SOUDURE'!$D$7:$D$3006,MATCH(B35,'CARNET DE SOUDURE'!$O$7:$O$3006,0)),"")))</f>
        <v>4</v>
      </c>
      <c r="M35" s="82" t="str">
        <f aca="false">IF(B35="","",IF(OR(J35&lt;&gt;"",K35&lt;&gt;""),"POSÉ EN LIGNE",IF(COUNTIF(BARDAGE!$C$1:$C$5000,B35)&gt;0,"BARDÉ","EN STOCK")))</f>
        <v>POSÉ EN LIGNE</v>
      </c>
      <c r="N35" s="80"/>
    </row>
    <row r="36" customFormat="false" ht="15" hidden="false" customHeight="false" outlineLevel="0" collapsed="false">
      <c r="A36" s="82" t="n">
        <f aca="false">IF(B36="","",ROW()-6)</f>
        <v>30</v>
      </c>
      <c r="B36" s="145" t="n">
        <v>2082730</v>
      </c>
      <c r="C36" s="146" t="n">
        <v>15421104</v>
      </c>
      <c r="D36" s="146"/>
      <c r="E36" s="82" t="str">
        <f aca="false">IF(B36="","",IF(COUNTIFS('CARNET DE SOUDURE'!$L$7:$L$3006,B36,'CARNET DE SOUDURE'!$M$7:$M$3006,"&lt;&gt;"&amp;C36,'CARNET DE SOUDURE'!$M$7:$M$3006,"&lt;&gt;")+COUNTIFS('CARNET DE SOUDURE'!$O$7:$O$3006,B36,'CARNET DE SOUDURE'!$P$7:$P$3006,"&lt;&gt;"&amp;C36,'CARNET DE SOUDURE'!$P$7:$P$3006,"&lt;&gt;")&gt;0,"⚠ DIFFÉRENTE","OK"))</f>
        <v>OK</v>
      </c>
      <c r="F36" s="147" t="n">
        <v>11.94</v>
      </c>
      <c r="G36" s="80"/>
      <c r="H36" s="83"/>
      <c r="I36" s="148" t="str">
        <f aca="false">IF(B36="","",IFERROR(INDEX('CARNET DE SOUDURE'!$B$7:$B$3006,MATCH(B36,'CARNET DE SOUDURE'!$L$7:$L$3006,0)),IFERROR(INDEX('CARNET DE SOUDURE'!$B$7:$B$3006,MATCH(B36,'CARNET DE SOUDURE'!$O$7:$O$3006,0)),"")))</f>
        <v>MFD-ISW → MFD-CPF</v>
      </c>
      <c r="J36" s="82" t="str">
        <f aca="false">IF(B36="","",IFERROR(INDEX('CARNET DE SOUDURE'!$E$7:$E$3006,MATCH(B36,'CARNET DE SOUDURE'!$O$7:$O$3006,0)),""))</f>
        <v>DJ°517</v>
      </c>
      <c r="K36" s="82" t="str">
        <f aca="false">IF(B36="","",IFERROR(INDEX('CARNET DE SOUDURE'!$E$7:$E$3006,MATCH(B36,'CARNET DE SOUDURE'!$L$7:$L$3006,0)),""))</f>
        <v>JN°773</v>
      </c>
      <c r="L36" s="82" t="n">
        <f aca="false">IF(B36="","",IFERROR(INDEX('CARNET DE SOUDURE'!$D$7:$D$3006,MATCH(B36,'CARNET DE SOUDURE'!$L$7:$L$3006,0)),IFERROR(INDEX('CARNET DE SOUDURE'!$D$7:$D$3006,MATCH(B36,'CARNET DE SOUDURE'!$O$7:$O$3006,0)),"")))</f>
        <v>4</v>
      </c>
      <c r="M36" s="82" t="str">
        <f aca="false">IF(B36="","",IF(OR(J36&lt;&gt;"",K36&lt;&gt;""),"POSÉ EN LIGNE",IF(COUNTIF(BARDAGE!$C$1:$C$5000,B36)&gt;0,"BARDÉ","EN STOCK")))</f>
        <v>POSÉ EN LIGNE</v>
      </c>
      <c r="N36" s="80"/>
    </row>
    <row r="37" customFormat="false" ht="15" hidden="false" customHeight="false" outlineLevel="0" collapsed="false">
      <c r="A37" s="82" t="n">
        <f aca="false">IF(B37="","",ROW()-6)</f>
        <v>31</v>
      </c>
      <c r="B37" s="145" t="n">
        <v>2089150</v>
      </c>
      <c r="C37" s="146" t="n">
        <v>15421108</v>
      </c>
      <c r="D37" s="146"/>
      <c r="E37" s="82" t="str">
        <f aca="false">IF(B37="","",IF(COUNTIFS('CARNET DE SOUDURE'!$L$7:$L$3006,B37,'CARNET DE SOUDURE'!$M$7:$M$3006,"&lt;&gt;"&amp;C37,'CARNET DE SOUDURE'!$M$7:$M$3006,"&lt;&gt;")+COUNTIFS('CARNET DE SOUDURE'!$O$7:$O$3006,B37,'CARNET DE SOUDURE'!$P$7:$P$3006,"&lt;&gt;"&amp;C37,'CARNET DE SOUDURE'!$P$7:$P$3006,"&lt;&gt;")&gt;0,"⚠ DIFFÉRENTE","OK"))</f>
        <v>OK</v>
      </c>
      <c r="F37" s="147" t="n">
        <v>11.94</v>
      </c>
      <c r="G37" s="80"/>
      <c r="H37" s="83"/>
      <c r="I37" s="148" t="str">
        <f aca="false">IF(B37="","",IFERROR(INDEX('CARNET DE SOUDURE'!$B$7:$B$3006,MATCH(B37,'CARNET DE SOUDURE'!$L$7:$L$3006,0)),IFERROR(INDEX('CARNET DE SOUDURE'!$B$7:$B$3006,MATCH(B37,'CARNET DE SOUDURE'!$O$7:$O$3006,0)),"")))</f>
        <v>MFD-ISW → MFD-CPF</v>
      </c>
      <c r="J37" s="82" t="str">
        <f aca="false">IF(B37="","",IFERROR(INDEX('CARNET DE SOUDURE'!$E$7:$E$3006,MATCH(B37,'CARNET DE SOUDURE'!$O$7:$O$3006,0)),""))</f>
        <v>JN°773</v>
      </c>
      <c r="K37" s="82" t="str">
        <f aca="false">IF(B37="","",IFERROR(INDEX('CARNET DE SOUDURE'!$E$7:$E$3006,MATCH(B37,'CARNET DE SOUDURE'!$L$7:$L$3006,0)),""))</f>
        <v>DJ°521</v>
      </c>
      <c r="L37" s="82" t="n">
        <f aca="false">IF(B37="","",IFERROR(INDEX('CARNET DE SOUDURE'!$D$7:$D$3006,MATCH(B37,'CARNET DE SOUDURE'!$L$7:$L$3006,0)),IFERROR(INDEX('CARNET DE SOUDURE'!$D$7:$D$3006,MATCH(B37,'CARNET DE SOUDURE'!$O$7:$O$3006,0)),"")))</f>
        <v>4</v>
      </c>
      <c r="M37" s="82" t="str">
        <f aca="false">IF(B37="","",IF(OR(J37&lt;&gt;"",K37&lt;&gt;""),"POSÉ EN LIGNE",IF(COUNTIF(BARDAGE!$C$1:$C$5000,B37)&gt;0,"BARDÉ","EN STOCK")))</f>
        <v>POSÉ EN LIGNE</v>
      </c>
      <c r="N37" s="80"/>
    </row>
    <row r="38" customFormat="false" ht="15" hidden="false" customHeight="false" outlineLevel="0" collapsed="false">
      <c r="A38" s="82" t="n">
        <f aca="false">IF(B38="","",ROW()-6)</f>
        <v>32</v>
      </c>
      <c r="B38" s="145" t="n">
        <v>2087120</v>
      </c>
      <c r="C38" s="146" t="n">
        <v>15421107</v>
      </c>
      <c r="D38" s="146"/>
      <c r="E38" s="82" t="str">
        <f aca="false">IF(B38="","",IF(COUNTIFS('CARNET DE SOUDURE'!$L$7:$L$3006,B38,'CARNET DE SOUDURE'!$M$7:$M$3006,"&lt;&gt;"&amp;C38,'CARNET DE SOUDURE'!$M$7:$M$3006,"&lt;&gt;")+COUNTIFS('CARNET DE SOUDURE'!$O$7:$O$3006,B38,'CARNET DE SOUDURE'!$P$7:$P$3006,"&lt;&gt;"&amp;C38,'CARNET DE SOUDURE'!$P$7:$P$3006,"&lt;&gt;")&gt;0,"⚠ DIFFÉRENTE","OK"))</f>
        <v>OK</v>
      </c>
      <c r="F38" s="147" t="n">
        <v>11.94</v>
      </c>
      <c r="G38" s="80"/>
      <c r="H38" s="83"/>
      <c r="I38" s="148" t="str">
        <f aca="false">IF(B38="","",IFERROR(INDEX('CARNET DE SOUDURE'!$B$7:$B$3006,MATCH(B38,'CARNET DE SOUDURE'!$L$7:$L$3006,0)),IFERROR(INDEX('CARNET DE SOUDURE'!$B$7:$B$3006,MATCH(B38,'CARNET DE SOUDURE'!$O$7:$O$3006,0)),"")))</f>
        <v>MFD-ISW → MFD-CPF</v>
      </c>
      <c r="J38" s="82" t="str">
        <f aca="false">IF(B38="","",IFERROR(INDEX('CARNET DE SOUDURE'!$E$7:$E$3006,MATCH(B38,'CARNET DE SOUDURE'!$O$7:$O$3006,0)),""))</f>
        <v>DJ°521</v>
      </c>
      <c r="K38" s="82" t="str">
        <f aca="false">IF(B38="","",IFERROR(INDEX('CARNET DE SOUDURE'!$E$7:$E$3006,MATCH(B38,'CARNET DE SOUDURE'!$L$7:$L$3006,0)),""))</f>
        <v>JN°774</v>
      </c>
      <c r="L38" s="82" t="n">
        <f aca="false">IF(B38="","",IFERROR(INDEX('CARNET DE SOUDURE'!$D$7:$D$3006,MATCH(B38,'CARNET DE SOUDURE'!$L$7:$L$3006,0)),IFERROR(INDEX('CARNET DE SOUDURE'!$D$7:$D$3006,MATCH(B38,'CARNET DE SOUDURE'!$O$7:$O$3006,0)),"")))</f>
        <v>4</v>
      </c>
      <c r="M38" s="82" t="str">
        <f aca="false">IF(B38="","",IF(OR(J38&lt;&gt;"",K38&lt;&gt;""),"POSÉ EN LIGNE",IF(COUNTIF(BARDAGE!$C$1:$C$5000,B38)&gt;0,"BARDÉ","EN STOCK")))</f>
        <v>POSÉ EN LIGNE</v>
      </c>
      <c r="N38" s="80"/>
    </row>
    <row r="39" customFormat="false" ht="15" hidden="false" customHeight="false" outlineLevel="0" collapsed="false">
      <c r="A39" s="82" t="n">
        <f aca="false">IF(B39="","",ROW()-6)</f>
        <v>33</v>
      </c>
      <c r="B39" s="145" t="n">
        <v>2089310</v>
      </c>
      <c r="C39" s="146" t="n">
        <v>15421108</v>
      </c>
      <c r="D39" s="146"/>
      <c r="E39" s="82" t="str">
        <f aca="false">IF(B39="","",IF(COUNTIFS('CARNET DE SOUDURE'!$L$7:$L$3006,B39,'CARNET DE SOUDURE'!$M$7:$M$3006,"&lt;&gt;"&amp;C39,'CARNET DE SOUDURE'!$M$7:$M$3006,"&lt;&gt;")+COUNTIFS('CARNET DE SOUDURE'!$O$7:$O$3006,B39,'CARNET DE SOUDURE'!$P$7:$P$3006,"&lt;&gt;"&amp;C39,'CARNET DE SOUDURE'!$P$7:$P$3006,"&lt;&gt;")&gt;0,"⚠ DIFFÉRENTE","OK"))</f>
        <v>OK</v>
      </c>
      <c r="F39" s="147" t="n">
        <v>11.94</v>
      </c>
      <c r="G39" s="80"/>
      <c r="H39" s="83"/>
      <c r="I39" s="148" t="str">
        <f aca="false">IF(B39="","",IFERROR(INDEX('CARNET DE SOUDURE'!$B$7:$B$3006,MATCH(B39,'CARNET DE SOUDURE'!$L$7:$L$3006,0)),IFERROR(INDEX('CARNET DE SOUDURE'!$B$7:$B$3006,MATCH(B39,'CARNET DE SOUDURE'!$O$7:$O$3006,0)),"")))</f>
        <v>MFD-ISW → MFD-CPF</v>
      </c>
      <c r="J39" s="82" t="str">
        <f aca="false">IF(B39="","",IFERROR(INDEX('CARNET DE SOUDURE'!$E$7:$E$3006,MATCH(B39,'CARNET DE SOUDURE'!$O$7:$O$3006,0)),""))</f>
        <v>JN°774</v>
      </c>
      <c r="K39" s="82" t="str">
        <f aca="false">IF(B39="","",IFERROR(INDEX('CARNET DE SOUDURE'!$E$7:$E$3006,MATCH(B39,'CARNET DE SOUDURE'!$L$7:$L$3006,0)),""))</f>
        <v>DJ°476</v>
      </c>
      <c r="L39" s="82" t="n">
        <f aca="false">IF(B39="","",IFERROR(INDEX('CARNET DE SOUDURE'!$D$7:$D$3006,MATCH(B39,'CARNET DE SOUDURE'!$L$7:$L$3006,0)),IFERROR(INDEX('CARNET DE SOUDURE'!$D$7:$D$3006,MATCH(B39,'CARNET DE SOUDURE'!$O$7:$O$3006,0)),"")))</f>
        <v>4</v>
      </c>
      <c r="M39" s="82" t="str">
        <f aca="false">IF(B39="","",IF(OR(J39&lt;&gt;"",K39&lt;&gt;""),"POSÉ EN LIGNE",IF(COUNTIF(BARDAGE!$C$1:$C$5000,B39)&gt;0,"BARDÉ","EN STOCK")))</f>
        <v>POSÉ EN LIGNE</v>
      </c>
      <c r="N39" s="80"/>
    </row>
    <row r="40" customFormat="false" ht="15" hidden="false" customHeight="false" outlineLevel="0" collapsed="false">
      <c r="A40" s="82" t="n">
        <f aca="false">IF(B40="","",ROW()-6)</f>
        <v>34</v>
      </c>
      <c r="B40" s="145" t="n">
        <v>2097900</v>
      </c>
      <c r="C40" s="146" t="n">
        <v>15421112</v>
      </c>
      <c r="D40" s="146"/>
      <c r="E40" s="82" t="str">
        <f aca="false">IF(B40="","",IF(COUNTIFS('CARNET DE SOUDURE'!$L$7:$L$3006,B40,'CARNET DE SOUDURE'!$M$7:$M$3006,"&lt;&gt;"&amp;C40,'CARNET DE SOUDURE'!$M$7:$M$3006,"&lt;&gt;")+COUNTIFS('CARNET DE SOUDURE'!$O$7:$O$3006,B40,'CARNET DE SOUDURE'!$P$7:$P$3006,"&lt;&gt;"&amp;C40,'CARNET DE SOUDURE'!$P$7:$P$3006,"&lt;&gt;")&gt;0,"⚠ DIFFÉRENTE","OK"))</f>
        <v>OK</v>
      </c>
      <c r="F40" s="147" t="n">
        <v>11.94</v>
      </c>
      <c r="G40" s="80"/>
      <c r="H40" s="83"/>
      <c r="I40" s="148" t="str">
        <f aca="false">IF(B40="","",IFERROR(INDEX('CARNET DE SOUDURE'!$B$7:$B$3006,MATCH(B40,'CARNET DE SOUDURE'!$L$7:$L$3006,0)),IFERROR(INDEX('CARNET DE SOUDURE'!$B$7:$B$3006,MATCH(B40,'CARNET DE SOUDURE'!$O$7:$O$3006,0)),"")))</f>
        <v>MFD-ISW → MFD-CPF</v>
      </c>
      <c r="J40" s="82" t="str">
        <f aca="false">IF(B40="","",IFERROR(INDEX('CARNET DE SOUDURE'!$E$7:$E$3006,MATCH(B40,'CARNET DE SOUDURE'!$O$7:$O$3006,0)),""))</f>
        <v>DJ°476</v>
      </c>
      <c r="K40" s="82" t="str">
        <f aca="false">IF(B40="","",IFERROR(INDEX('CARNET DE SOUDURE'!$E$7:$E$3006,MATCH(B40,'CARNET DE SOUDURE'!$L$7:$L$3006,0)),""))</f>
        <v>JN°775</v>
      </c>
      <c r="L40" s="82" t="n">
        <f aca="false">IF(B40="","",IFERROR(INDEX('CARNET DE SOUDURE'!$D$7:$D$3006,MATCH(B40,'CARNET DE SOUDURE'!$L$7:$L$3006,0)),IFERROR(INDEX('CARNET DE SOUDURE'!$D$7:$D$3006,MATCH(B40,'CARNET DE SOUDURE'!$O$7:$O$3006,0)),"")))</f>
        <v>4</v>
      </c>
      <c r="M40" s="82" t="str">
        <f aca="false">IF(B40="","",IF(OR(J40&lt;&gt;"",K40&lt;&gt;""),"POSÉ EN LIGNE",IF(COUNTIF(BARDAGE!$C$1:$C$5000,B40)&gt;0,"BARDÉ","EN STOCK")))</f>
        <v>POSÉ EN LIGNE</v>
      </c>
      <c r="N40" s="80"/>
    </row>
    <row r="41" customFormat="false" ht="15" hidden="false" customHeight="false" outlineLevel="0" collapsed="false">
      <c r="A41" s="82" t="n">
        <f aca="false">IF(B41="","",ROW()-6)</f>
        <v>35</v>
      </c>
      <c r="B41" s="145" t="n">
        <v>2088790</v>
      </c>
      <c r="C41" s="146" t="n">
        <v>15421108</v>
      </c>
      <c r="D41" s="146"/>
      <c r="E41" s="82" t="str">
        <f aca="false">IF(B41="","",IF(COUNTIFS('CARNET DE SOUDURE'!$L$7:$L$3006,B41,'CARNET DE SOUDURE'!$M$7:$M$3006,"&lt;&gt;"&amp;C41,'CARNET DE SOUDURE'!$M$7:$M$3006,"&lt;&gt;")+COUNTIFS('CARNET DE SOUDURE'!$O$7:$O$3006,B41,'CARNET DE SOUDURE'!$P$7:$P$3006,"&lt;&gt;"&amp;C41,'CARNET DE SOUDURE'!$P$7:$P$3006,"&lt;&gt;")&gt;0,"⚠ DIFFÉRENTE","OK"))</f>
        <v>OK</v>
      </c>
      <c r="F41" s="147" t="n">
        <v>11.94</v>
      </c>
      <c r="G41" s="80"/>
      <c r="H41" s="83"/>
      <c r="I41" s="148" t="str">
        <f aca="false">IF(B41="","",IFERROR(INDEX('CARNET DE SOUDURE'!$B$7:$B$3006,MATCH(B41,'CARNET DE SOUDURE'!$L$7:$L$3006,0)),IFERROR(INDEX('CARNET DE SOUDURE'!$B$7:$B$3006,MATCH(B41,'CARNET DE SOUDURE'!$O$7:$O$3006,0)),"")))</f>
        <v>MFD-ISW → MFD-CPF</v>
      </c>
      <c r="J41" s="82" t="str">
        <f aca="false">IF(B41="","",IFERROR(INDEX('CARNET DE SOUDURE'!$E$7:$E$3006,MATCH(B41,'CARNET DE SOUDURE'!$O$7:$O$3006,0)),""))</f>
        <v>JN°775</v>
      </c>
      <c r="K41" s="82" t="str">
        <f aca="false">IF(B41="","",IFERROR(INDEX('CARNET DE SOUDURE'!$E$7:$E$3006,MATCH(B41,'CARNET DE SOUDURE'!$L$7:$L$3006,0)),""))</f>
        <v>DJ°500</v>
      </c>
      <c r="L41" s="82" t="n">
        <f aca="false">IF(B41="","",IFERROR(INDEX('CARNET DE SOUDURE'!$D$7:$D$3006,MATCH(B41,'CARNET DE SOUDURE'!$L$7:$L$3006,0)),IFERROR(INDEX('CARNET DE SOUDURE'!$D$7:$D$3006,MATCH(B41,'CARNET DE SOUDURE'!$O$7:$O$3006,0)),"")))</f>
        <v>4</v>
      </c>
      <c r="M41" s="82" t="str">
        <f aca="false">IF(B41="","",IF(OR(J41&lt;&gt;"",K41&lt;&gt;""),"POSÉ EN LIGNE",IF(COUNTIF(BARDAGE!$C$1:$C$5000,B41)&gt;0,"BARDÉ","EN STOCK")))</f>
        <v>POSÉ EN LIGNE</v>
      </c>
      <c r="N41" s="80"/>
    </row>
    <row r="42" customFormat="false" ht="15" hidden="false" customHeight="false" outlineLevel="0" collapsed="false">
      <c r="A42" s="82" t="n">
        <f aca="false">IF(B42="","",ROW()-6)</f>
        <v>36</v>
      </c>
      <c r="B42" s="145" t="n">
        <v>2093150</v>
      </c>
      <c r="C42" s="146" t="n">
        <v>15421110</v>
      </c>
      <c r="D42" s="146"/>
      <c r="E42" s="82" t="str">
        <f aca="false">IF(B42="","",IF(COUNTIFS('CARNET DE SOUDURE'!$L$7:$L$3006,B42,'CARNET DE SOUDURE'!$M$7:$M$3006,"&lt;&gt;"&amp;C42,'CARNET DE SOUDURE'!$M$7:$M$3006,"&lt;&gt;")+COUNTIFS('CARNET DE SOUDURE'!$O$7:$O$3006,B42,'CARNET DE SOUDURE'!$P$7:$P$3006,"&lt;&gt;"&amp;C42,'CARNET DE SOUDURE'!$P$7:$P$3006,"&lt;&gt;")&gt;0,"⚠ DIFFÉRENTE","OK"))</f>
        <v>OK</v>
      </c>
      <c r="F42" s="147" t="n">
        <v>11.94</v>
      </c>
      <c r="G42" s="80"/>
      <c r="H42" s="83"/>
      <c r="I42" s="148" t="str">
        <f aca="false">IF(B42="","",IFERROR(INDEX('CARNET DE SOUDURE'!$B$7:$B$3006,MATCH(B42,'CARNET DE SOUDURE'!$L$7:$L$3006,0)),IFERROR(INDEX('CARNET DE SOUDURE'!$B$7:$B$3006,MATCH(B42,'CARNET DE SOUDURE'!$O$7:$O$3006,0)),"")))</f>
        <v>MFD-ISW → MFD-CPF</v>
      </c>
      <c r="J42" s="82" t="str">
        <f aca="false">IF(B42="","",IFERROR(INDEX('CARNET DE SOUDURE'!$E$7:$E$3006,MATCH(B42,'CARNET DE SOUDURE'!$O$7:$O$3006,0)),""))</f>
        <v>DJ°500</v>
      </c>
      <c r="K42" s="82" t="str">
        <f aca="false">IF(B42="","",IFERROR(INDEX('CARNET DE SOUDURE'!$E$7:$E$3006,MATCH(B42,'CARNET DE SOUDURE'!$L$7:$L$3006,0)),""))</f>
        <v/>
      </c>
      <c r="L42" s="82" t="n">
        <f aca="false">IF(B42="","",IFERROR(INDEX('CARNET DE SOUDURE'!$D$7:$D$3006,MATCH(B42,'CARNET DE SOUDURE'!$L$7:$L$3006,0)),IFERROR(INDEX('CARNET DE SOUDURE'!$D$7:$D$3006,MATCH(B42,'CARNET DE SOUDURE'!$O$7:$O$3006,0)),"")))</f>
        <v>4</v>
      </c>
      <c r="M42" s="82" t="str">
        <f aca="false">IF(B42="","",IF(OR(J42&lt;&gt;"",K42&lt;&gt;""),"POSÉ EN LIGNE",IF(COUNTIF(BARDAGE!$C$1:$C$5000,B42)&gt;0,"BARDÉ","EN STOCK")))</f>
        <v>POSÉ EN LIGNE</v>
      </c>
      <c r="N42" s="80"/>
    </row>
    <row r="43" customFormat="false" ht="15" hidden="false" customHeight="false" outlineLevel="0" collapsed="false">
      <c r="A43" s="82" t="n">
        <f aca="false">IF(B43="","",ROW()-6)</f>
        <v>37</v>
      </c>
      <c r="B43" s="145" t="n">
        <v>2093220</v>
      </c>
      <c r="C43" s="146" t="n">
        <v>15421110</v>
      </c>
      <c r="D43" s="146"/>
      <c r="E43" s="82" t="str">
        <f aca="false">IF(B43="","",IF(COUNTIFS('CARNET DE SOUDURE'!$L$7:$L$3006,B43,'CARNET DE SOUDURE'!$M$7:$M$3006,"&lt;&gt;"&amp;C43,'CARNET DE SOUDURE'!$M$7:$M$3006,"&lt;&gt;")+COUNTIFS('CARNET DE SOUDURE'!$O$7:$O$3006,B43,'CARNET DE SOUDURE'!$P$7:$P$3006,"&lt;&gt;"&amp;C43,'CARNET DE SOUDURE'!$P$7:$P$3006,"&lt;&gt;")&gt;0,"⚠ DIFFÉRENTE","OK"))</f>
        <v>OK</v>
      </c>
      <c r="F43" s="147" t="n">
        <v>11.94</v>
      </c>
      <c r="G43" s="80"/>
      <c r="H43" s="83"/>
      <c r="I43" s="148" t="str">
        <f aca="false">IF(B43="","",IFERROR(INDEX('CARNET DE SOUDURE'!$B$7:$B$3006,MATCH(B43,'CARNET DE SOUDURE'!$L$7:$L$3006,0)),IFERROR(INDEX('CARNET DE SOUDURE'!$B$7:$B$3006,MATCH(B43,'CARNET DE SOUDURE'!$O$7:$O$3006,0)),"")))</f>
        <v>MFD-ISW → MFD-CPF</v>
      </c>
      <c r="J43" s="82" t="str">
        <f aca="false">IF(B43="","",IFERROR(INDEX('CARNET DE SOUDURE'!$E$7:$E$3006,MATCH(B43,'CARNET DE SOUDURE'!$O$7:$O$3006,0)),""))</f>
        <v/>
      </c>
      <c r="K43" s="82" t="str">
        <f aca="false">IF(B43="","",IFERROR(INDEX('CARNET DE SOUDURE'!$E$7:$E$3006,MATCH(B43,'CARNET DE SOUDURE'!$L$7:$L$3006,0)),""))</f>
        <v>DJ°513</v>
      </c>
      <c r="L43" s="82" t="n">
        <f aca="false">IF(B43="","",IFERROR(INDEX('CARNET DE SOUDURE'!$D$7:$D$3006,MATCH(B43,'CARNET DE SOUDURE'!$L$7:$L$3006,0)),IFERROR(INDEX('CARNET DE SOUDURE'!$D$7:$D$3006,MATCH(B43,'CARNET DE SOUDURE'!$O$7:$O$3006,0)),"")))</f>
        <v>4</v>
      </c>
      <c r="M43" s="82" t="str">
        <f aca="false">IF(B43="","",IF(OR(J43&lt;&gt;"",K43&lt;&gt;""),"POSÉ EN LIGNE",IF(COUNTIF(BARDAGE!$C$1:$C$5000,B43)&gt;0,"BARDÉ","EN STOCK")))</f>
        <v>POSÉ EN LIGNE</v>
      </c>
      <c r="N43" s="80"/>
    </row>
    <row r="44" customFormat="false" ht="15" hidden="false" customHeight="false" outlineLevel="0" collapsed="false">
      <c r="A44" s="82" t="n">
        <f aca="false">IF(B44="","",ROW()-6)</f>
        <v>38</v>
      </c>
      <c r="B44" s="145" t="n">
        <v>2092840</v>
      </c>
      <c r="C44" s="146" t="n">
        <v>15421110</v>
      </c>
      <c r="D44" s="146"/>
      <c r="E44" s="82" t="str">
        <f aca="false">IF(B44="","",IF(COUNTIFS('CARNET DE SOUDURE'!$L$7:$L$3006,B44,'CARNET DE SOUDURE'!$M$7:$M$3006,"&lt;&gt;"&amp;C44,'CARNET DE SOUDURE'!$M$7:$M$3006,"&lt;&gt;")+COUNTIFS('CARNET DE SOUDURE'!$O$7:$O$3006,B44,'CARNET DE SOUDURE'!$P$7:$P$3006,"&lt;&gt;"&amp;C44,'CARNET DE SOUDURE'!$P$7:$P$3006,"&lt;&gt;")&gt;0,"⚠ DIFFÉRENTE","OK"))</f>
        <v>OK</v>
      </c>
      <c r="F44" s="147" t="n">
        <v>11.94</v>
      </c>
      <c r="G44" s="80"/>
      <c r="H44" s="83"/>
      <c r="I44" s="148" t="str">
        <f aca="false">IF(B44="","",IFERROR(INDEX('CARNET DE SOUDURE'!$B$7:$B$3006,MATCH(B44,'CARNET DE SOUDURE'!$L$7:$L$3006,0)),IFERROR(INDEX('CARNET DE SOUDURE'!$B$7:$B$3006,MATCH(B44,'CARNET DE SOUDURE'!$O$7:$O$3006,0)),"")))</f>
        <v>MFD-ISW → MFD-CPF</v>
      </c>
      <c r="J44" s="82" t="str">
        <f aca="false">IF(B44="","",IFERROR(INDEX('CARNET DE SOUDURE'!$E$7:$E$3006,MATCH(B44,'CARNET DE SOUDURE'!$O$7:$O$3006,0)),""))</f>
        <v>DJ°513</v>
      </c>
      <c r="K44" s="82" t="str">
        <f aca="false">IF(B44="","",IFERROR(INDEX('CARNET DE SOUDURE'!$E$7:$E$3006,MATCH(B44,'CARNET DE SOUDURE'!$L$7:$L$3006,0)),""))</f>
        <v>JN°778</v>
      </c>
      <c r="L44" s="82" t="n">
        <f aca="false">IF(B44="","",IFERROR(INDEX('CARNET DE SOUDURE'!$D$7:$D$3006,MATCH(B44,'CARNET DE SOUDURE'!$L$7:$L$3006,0)),IFERROR(INDEX('CARNET DE SOUDURE'!$D$7:$D$3006,MATCH(B44,'CARNET DE SOUDURE'!$O$7:$O$3006,0)),"")))</f>
        <v>4</v>
      </c>
      <c r="M44" s="82" t="str">
        <f aca="false">IF(B44="","",IF(OR(J44&lt;&gt;"",K44&lt;&gt;""),"POSÉ EN LIGNE",IF(COUNTIF(BARDAGE!$C$1:$C$5000,B44)&gt;0,"BARDÉ","EN STOCK")))</f>
        <v>POSÉ EN LIGNE</v>
      </c>
      <c r="N44" s="80"/>
    </row>
    <row r="45" customFormat="false" ht="15" hidden="false" customHeight="false" outlineLevel="0" collapsed="false">
      <c r="A45" s="82" t="n">
        <f aca="false">IF(B45="","",ROW()-6)</f>
        <v>39</v>
      </c>
      <c r="B45" s="145" t="n">
        <v>2079260</v>
      </c>
      <c r="C45" s="146" t="n">
        <v>15421102</v>
      </c>
      <c r="D45" s="146"/>
      <c r="E45" s="82" t="str">
        <f aca="false">IF(B45="","",IF(COUNTIFS('CARNET DE SOUDURE'!$L$7:$L$3006,B45,'CARNET DE SOUDURE'!$M$7:$M$3006,"&lt;&gt;"&amp;C45,'CARNET DE SOUDURE'!$M$7:$M$3006,"&lt;&gt;")+COUNTIFS('CARNET DE SOUDURE'!$O$7:$O$3006,B45,'CARNET DE SOUDURE'!$P$7:$P$3006,"&lt;&gt;"&amp;C45,'CARNET DE SOUDURE'!$P$7:$P$3006,"&lt;&gt;")&gt;0,"⚠ DIFFÉRENTE","OK"))</f>
        <v>OK</v>
      </c>
      <c r="F45" s="147" t="n">
        <v>11.94</v>
      </c>
      <c r="G45" s="80"/>
      <c r="H45" s="83"/>
      <c r="I45" s="148" t="str">
        <f aca="false">IF(B45="","",IFERROR(INDEX('CARNET DE SOUDURE'!$B$7:$B$3006,MATCH(B45,'CARNET DE SOUDURE'!$L$7:$L$3006,0)),IFERROR(INDEX('CARNET DE SOUDURE'!$B$7:$B$3006,MATCH(B45,'CARNET DE SOUDURE'!$O$7:$O$3006,0)),"")))</f>
        <v>MFD-ISW → MFD-CPF</v>
      </c>
      <c r="J45" s="82" t="str">
        <f aca="false">IF(B45="","",IFERROR(INDEX('CARNET DE SOUDURE'!$E$7:$E$3006,MATCH(B45,'CARNET DE SOUDURE'!$O$7:$O$3006,0)),""))</f>
        <v>JN°778</v>
      </c>
      <c r="K45" s="82" t="str">
        <f aca="false">IF(B45="","",IFERROR(INDEX('CARNET DE SOUDURE'!$E$7:$E$3006,MATCH(B45,'CARNET DE SOUDURE'!$L$7:$L$3006,0)),""))</f>
        <v>DJ°515</v>
      </c>
      <c r="L45" s="82" t="n">
        <f aca="false">IF(B45="","",IFERROR(INDEX('CARNET DE SOUDURE'!$D$7:$D$3006,MATCH(B45,'CARNET DE SOUDURE'!$L$7:$L$3006,0)),IFERROR(INDEX('CARNET DE SOUDURE'!$D$7:$D$3006,MATCH(B45,'CARNET DE SOUDURE'!$O$7:$O$3006,0)),"")))</f>
        <v>4</v>
      </c>
      <c r="M45" s="82" t="str">
        <f aca="false">IF(B45="","",IF(OR(J45&lt;&gt;"",K45&lt;&gt;""),"POSÉ EN LIGNE",IF(COUNTIF(BARDAGE!$C$1:$C$5000,B45)&gt;0,"BARDÉ","EN STOCK")))</f>
        <v>POSÉ EN LIGNE</v>
      </c>
      <c r="N45" s="80"/>
    </row>
    <row r="46" customFormat="false" ht="15" hidden="false" customHeight="false" outlineLevel="0" collapsed="false">
      <c r="A46" s="82" t="n">
        <f aca="false">IF(B46="","",ROW()-6)</f>
        <v>40</v>
      </c>
      <c r="B46" s="145" t="n">
        <v>2094120</v>
      </c>
      <c r="C46" s="146" t="n">
        <v>15421110</v>
      </c>
      <c r="D46" s="146"/>
      <c r="E46" s="82" t="str">
        <f aca="false">IF(B46="","",IF(COUNTIFS('CARNET DE SOUDURE'!$L$7:$L$3006,B46,'CARNET DE SOUDURE'!$M$7:$M$3006,"&lt;&gt;"&amp;C46,'CARNET DE SOUDURE'!$M$7:$M$3006,"&lt;&gt;")+COUNTIFS('CARNET DE SOUDURE'!$O$7:$O$3006,B46,'CARNET DE SOUDURE'!$P$7:$P$3006,"&lt;&gt;"&amp;C46,'CARNET DE SOUDURE'!$P$7:$P$3006,"&lt;&gt;")&gt;0,"⚠ DIFFÉRENTE","OK"))</f>
        <v>OK</v>
      </c>
      <c r="F46" s="147" t="n">
        <v>11.94</v>
      </c>
      <c r="G46" s="80"/>
      <c r="H46" s="83"/>
      <c r="I46" s="148" t="str">
        <f aca="false">IF(B46="","",IFERROR(INDEX('CARNET DE SOUDURE'!$B$7:$B$3006,MATCH(B46,'CARNET DE SOUDURE'!$L$7:$L$3006,0)),IFERROR(INDEX('CARNET DE SOUDURE'!$B$7:$B$3006,MATCH(B46,'CARNET DE SOUDURE'!$O$7:$O$3006,0)),"")))</f>
        <v>MFD-ISW → MFD-CPF</v>
      </c>
      <c r="J46" s="82" t="str">
        <f aca="false">IF(B46="","",IFERROR(INDEX('CARNET DE SOUDURE'!$E$7:$E$3006,MATCH(B46,'CARNET DE SOUDURE'!$O$7:$O$3006,0)),""))</f>
        <v>DJ°515</v>
      </c>
      <c r="K46" s="82" t="str">
        <f aca="false">IF(B46="","",IFERROR(INDEX('CARNET DE SOUDURE'!$E$7:$E$3006,MATCH(B46,'CARNET DE SOUDURE'!$L$7:$L$3006,0)),""))</f>
        <v>JN°779</v>
      </c>
      <c r="L46" s="82" t="n">
        <f aca="false">IF(B46="","",IFERROR(INDEX('CARNET DE SOUDURE'!$D$7:$D$3006,MATCH(B46,'CARNET DE SOUDURE'!$L$7:$L$3006,0)),IFERROR(INDEX('CARNET DE SOUDURE'!$D$7:$D$3006,MATCH(B46,'CARNET DE SOUDURE'!$O$7:$O$3006,0)),"")))</f>
        <v>4</v>
      </c>
      <c r="M46" s="82" t="str">
        <f aca="false">IF(B46="","",IF(OR(J46&lt;&gt;"",K46&lt;&gt;""),"POSÉ EN LIGNE",IF(COUNTIF(BARDAGE!$C$1:$C$5000,B46)&gt;0,"BARDÉ","EN STOCK")))</f>
        <v>POSÉ EN LIGNE</v>
      </c>
      <c r="N46" s="80"/>
    </row>
    <row r="47" customFormat="false" ht="15" hidden="false" customHeight="false" outlineLevel="0" collapsed="false">
      <c r="A47" s="82" t="n">
        <f aca="false">IF(B47="","",ROW()-6)</f>
        <v>41</v>
      </c>
      <c r="B47" s="145" t="n">
        <v>2091950</v>
      </c>
      <c r="C47" s="146" t="n">
        <v>15421109</v>
      </c>
      <c r="D47" s="146"/>
      <c r="E47" s="82" t="str">
        <f aca="false">IF(B47="","",IF(COUNTIFS('CARNET DE SOUDURE'!$L$7:$L$3006,B47,'CARNET DE SOUDURE'!$M$7:$M$3006,"&lt;&gt;"&amp;C47,'CARNET DE SOUDURE'!$M$7:$M$3006,"&lt;&gt;")+COUNTIFS('CARNET DE SOUDURE'!$O$7:$O$3006,B47,'CARNET DE SOUDURE'!$P$7:$P$3006,"&lt;&gt;"&amp;C47,'CARNET DE SOUDURE'!$P$7:$P$3006,"&lt;&gt;")&gt;0,"⚠ DIFFÉRENTE","OK"))</f>
        <v>OK</v>
      </c>
      <c r="F47" s="147" t="n">
        <v>11.94</v>
      </c>
      <c r="G47" s="80"/>
      <c r="H47" s="83"/>
      <c r="I47" s="148" t="str">
        <f aca="false">IF(B47="","",IFERROR(INDEX('CARNET DE SOUDURE'!$B$7:$B$3006,MATCH(B47,'CARNET DE SOUDURE'!$L$7:$L$3006,0)),IFERROR(INDEX('CARNET DE SOUDURE'!$B$7:$B$3006,MATCH(B47,'CARNET DE SOUDURE'!$O$7:$O$3006,0)),"")))</f>
        <v>MFD-ISW → MFD-CPF</v>
      </c>
      <c r="J47" s="82" t="str">
        <f aca="false">IF(B47="","",IFERROR(INDEX('CARNET DE SOUDURE'!$E$7:$E$3006,MATCH(B47,'CARNET DE SOUDURE'!$O$7:$O$3006,0)),""))</f>
        <v>JN°779</v>
      </c>
      <c r="K47" s="82" t="str">
        <f aca="false">IF(B47="","",IFERROR(INDEX('CARNET DE SOUDURE'!$E$7:$E$3006,MATCH(B47,'CARNET DE SOUDURE'!$L$7:$L$3006,0)),""))</f>
        <v>DJ°514</v>
      </c>
      <c r="L47" s="82" t="n">
        <f aca="false">IF(B47="","",IFERROR(INDEX('CARNET DE SOUDURE'!$D$7:$D$3006,MATCH(B47,'CARNET DE SOUDURE'!$L$7:$L$3006,0)),IFERROR(INDEX('CARNET DE SOUDURE'!$D$7:$D$3006,MATCH(B47,'CARNET DE SOUDURE'!$O$7:$O$3006,0)),"")))</f>
        <v>4</v>
      </c>
      <c r="M47" s="82" t="str">
        <f aca="false">IF(B47="","",IF(OR(J47&lt;&gt;"",K47&lt;&gt;""),"POSÉ EN LIGNE",IF(COUNTIF(BARDAGE!$C$1:$C$5000,B47)&gt;0,"BARDÉ","EN STOCK")))</f>
        <v>POSÉ EN LIGNE</v>
      </c>
      <c r="N47" s="80"/>
    </row>
    <row r="48" customFormat="false" ht="15" hidden="false" customHeight="false" outlineLevel="0" collapsed="false">
      <c r="A48" s="82" t="n">
        <f aca="false">IF(B48="","",ROW()-6)</f>
        <v>42</v>
      </c>
      <c r="B48" s="145" t="n">
        <v>2093350</v>
      </c>
      <c r="C48" s="146" t="n">
        <v>15421110</v>
      </c>
      <c r="D48" s="146"/>
      <c r="E48" s="82" t="str">
        <f aca="false">IF(B48="","",IF(COUNTIFS('CARNET DE SOUDURE'!$L$7:$L$3006,B48,'CARNET DE SOUDURE'!$M$7:$M$3006,"&lt;&gt;"&amp;C48,'CARNET DE SOUDURE'!$M$7:$M$3006,"&lt;&gt;")+COUNTIFS('CARNET DE SOUDURE'!$O$7:$O$3006,B48,'CARNET DE SOUDURE'!$P$7:$P$3006,"&lt;&gt;"&amp;C48,'CARNET DE SOUDURE'!$P$7:$P$3006,"&lt;&gt;")&gt;0,"⚠ DIFFÉRENTE","OK"))</f>
        <v>OK</v>
      </c>
      <c r="F48" s="147" t="n">
        <v>11.94</v>
      </c>
      <c r="G48" s="80"/>
      <c r="H48" s="83"/>
      <c r="I48" s="148" t="str">
        <f aca="false">IF(B48="","",IFERROR(INDEX('CARNET DE SOUDURE'!$B$7:$B$3006,MATCH(B48,'CARNET DE SOUDURE'!$L$7:$L$3006,0)),IFERROR(INDEX('CARNET DE SOUDURE'!$B$7:$B$3006,MATCH(B48,'CARNET DE SOUDURE'!$O$7:$O$3006,0)),"")))</f>
        <v>MFD-ISW → MFD-CPF</v>
      </c>
      <c r="J48" s="82" t="str">
        <f aca="false">IF(B48="","",IFERROR(INDEX('CARNET DE SOUDURE'!$E$7:$E$3006,MATCH(B48,'CARNET DE SOUDURE'!$O$7:$O$3006,0)),""))</f>
        <v>DJ°514</v>
      </c>
      <c r="K48" s="82" t="str">
        <f aca="false">IF(B48="","",IFERROR(INDEX('CARNET DE SOUDURE'!$E$7:$E$3006,MATCH(B48,'CARNET DE SOUDURE'!$L$7:$L$3006,0)),""))</f>
        <v>JN°780</v>
      </c>
      <c r="L48" s="82" t="n">
        <f aca="false">IF(B48="","",IFERROR(INDEX('CARNET DE SOUDURE'!$D$7:$D$3006,MATCH(B48,'CARNET DE SOUDURE'!$L$7:$L$3006,0)),IFERROR(INDEX('CARNET DE SOUDURE'!$D$7:$D$3006,MATCH(B48,'CARNET DE SOUDURE'!$O$7:$O$3006,0)),"")))</f>
        <v>4</v>
      </c>
      <c r="M48" s="82" t="str">
        <f aca="false">IF(B48="","",IF(OR(J48&lt;&gt;"",K48&lt;&gt;""),"POSÉ EN LIGNE",IF(COUNTIF(BARDAGE!$C$1:$C$5000,B48)&gt;0,"BARDÉ","EN STOCK")))</f>
        <v>POSÉ EN LIGNE</v>
      </c>
      <c r="N48" s="80"/>
    </row>
    <row r="49" customFormat="false" ht="15" hidden="false" customHeight="false" outlineLevel="0" collapsed="false">
      <c r="A49" s="82" t="n">
        <f aca="false">IF(B49="","",ROW()-6)</f>
        <v>43</v>
      </c>
      <c r="B49" s="145" t="n">
        <v>2087560</v>
      </c>
      <c r="C49" s="146" t="n">
        <v>15421107</v>
      </c>
      <c r="D49" s="146"/>
      <c r="E49" s="82" t="str">
        <f aca="false">IF(B49="","",IF(COUNTIFS('CARNET DE SOUDURE'!$L$7:$L$3006,B49,'CARNET DE SOUDURE'!$M$7:$M$3006,"&lt;&gt;"&amp;C49,'CARNET DE SOUDURE'!$M$7:$M$3006,"&lt;&gt;")+COUNTIFS('CARNET DE SOUDURE'!$O$7:$O$3006,B49,'CARNET DE SOUDURE'!$P$7:$P$3006,"&lt;&gt;"&amp;C49,'CARNET DE SOUDURE'!$P$7:$P$3006,"&lt;&gt;")&gt;0,"⚠ DIFFÉRENTE","OK"))</f>
        <v>OK</v>
      </c>
      <c r="F49" s="147" t="n">
        <v>11.94</v>
      </c>
      <c r="G49" s="80"/>
      <c r="H49" s="83"/>
      <c r="I49" s="148" t="str">
        <f aca="false">IF(B49="","",IFERROR(INDEX('CARNET DE SOUDURE'!$B$7:$B$3006,MATCH(B49,'CARNET DE SOUDURE'!$L$7:$L$3006,0)),IFERROR(INDEX('CARNET DE SOUDURE'!$B$7:$B$3006,MATCH(B49,'CARNET DE SOUDURE'!$O$7:$O$3006,0)),"")))</f>
        <v>MFD-ISW → MFD-CPF</v>
      </c>
      <c r="J49" s="82" t="str">
        <f aca="false">IF(B49="","",IFERROR(INDEX('CARNET DE SOUDURE'!$E$7:$E$3006,MATCH(B49,'CARNET DE SOUDURE'!$O$7:$O$3006,0)),""))</f>
        <v>JN°780</v>
      </c>
      <c r="K49" s="82" t="str">
        <f aca="false">IF(B49="","",IFERROR(INDEX('CARNET DE SOUDURE'!$E$7:$E$3006,MATCH(B49,'CARNET DE SOUDURE'!$L$7:$L$3006,0)),""))</f>
        <v>DJ°479</v>
      </c>
      <c r="L49" s="82" t="n">
        <f aca="false">IF(B49="","",IFERROR(INDEX('CARNET DE SOUDURE'!$D$7:$D$3006,MATCH(B49,'CARNET DE SOUDURE'!$L$7:$L$3006,0)),IFERROR(INDEX('CARNET DE SOUDURE'!$D$7:$D$3006,MATCH(B49,'CARNET DE SOUDURE'!$O$7:$O$3006,0)),"")))</f>
        <v>4</v>
      </c>
      <c r="M49" s="82" t="str">
        <f aca="false">IF(B49="","",IF(OR(J49&lt;&gt;"",K49&lt;&gt;""),"POSÉ EN LIGNE",IF(COUNTIF(BARDAGE!$C$1:$C$5000,B49)&gt;0,"BARDÉ","EN STOCK")))</f>
        <v>POSÉ EN LIGNE</v>
      </c>
      <c r="N49" s="80"/>
    </row>
    <row r="50" customFormat="false" ht="15" hidden="false" customHeight="false" outlineLevel="0" collapsed="false">
      <c r="A50" s="82" t="n">
        <f aca="false">IF(B50="","",ROW()-6)</f>
        <v>44</v>
      </c>
      <c r="B50" s="145" t="n">
        <v>2094130</v>
      </c>
      <c r="C50" s="146" t="n">
        <v>15421110</v>
      </c>
      <c r="D50" s="146"/>
      <c r="E50" s="82" t="str">
        <f aca="false">IF(B50="","",IF(COUNTIFS('CARNET DE SOUDURE'!$L$7:$L$3006,B50,'CARNET DE SOUDURE'!$M$7:$M$3006,"&lt;&gt;"&amp;C50,'CARNET DE SOUDURE'!$M$7:$M$3006,"&lt;&gt;")+COUNTIFS('CARNET DE SOUDURE'!$O$7:$O$3006,B50,'CARNET DE SOUDURE'!$P$7:$P$3006,"&lt;&gt;"&amp;C50,'CARNET DE SOUDURE'!$P$7:$P$3006,"&lt;&gt;")&gt;0,"⚠ DIFFÉRENTE","OK"))</f>
        <v>OK</v>
      </c>
      <c r="F50" s="147" t="n">
        <v>11.94</v>
      </c>
      <c r="G50" s="80"/>
      <c r="H50" s="83"/>
      <c r="I50" s="148" t="str">
        <f aca="false">IF(B50="","",IFERROR(INDEX('CARNET DE SOUDURE'!$B$7:$B$3006,MATCH(B50,'CARNET DE SOUDURE'!$L$7:$L$3006,0)),IFERROR(INDEX('CARNET DE SOUDURE'!$B$7:$B$3006,MATCH(B50,'CARNET DE SOUDURE'!$O$7:$O$3006,0)),"")))</f>
        <v>MFD-ISW → MFD-CPF</v>
      </c>
      <c r="J50" s="82" t="str">
        <f aca="false">IF(B50="","",IFERROR(INDEX('CARNET DE SOUDURE'!$E$7:$E$3006,MATCH(B50,'CARNET DE SOUDURE'!$O$7:$O$3006,0)),""))</f>
        <v>DJ°479</v>
      </c>
      <c r="K50" s="82" t="str">
        <f aca="false">IF(B50="","",IFERROR(INDEX('CARNET DE SOUDURE'!$E$7:$E$3006,MATCH(B50,'CARNET DE SOUDURE'!$L$7:$L$3006,0)),""))</f>
        <v>JN°781</v>
      </c>
      <c r="L50" s="82" t="n">
        <f aca="false">IF(B50="","",IFERROR(INDEX('CARNET DE SOUDURE'!$D$7:$D$3006,MATCH(B50,'CARNET DE SOUDURE'!$L$7:$L$3006,0)),IFERROR(INDEX('CARNET DE SOUDURE'!$D$7:$D$3006,MATCH(B50,'CARNET DE SOUDURE'!$O$7:$O$3006,0)),"")))</f>
        <v>4</v>
      </c>
      <c r="M50" s="82" t="str">
        <f aca="false">IF(B50="","",IF(OR(J50&lt;&gt;"",K50&lt;&gt;""),"POSÉ EN LIGNE",IF(COUNTIF(BARDAGE!$C$1:$C$5000,B50)&gt;0,"BARDÉ","EN STOCK")))</f>
        <v>POSÉ EN LIGNE</v>
      </c>
      <c r="N50" s="80"/>
    </row>
    <row r="51" customFormat="false" ht="15" hidden="false" customHeight="false" outlineLevel="0" collapsed="false">
      <c r="A51" s="82" t="n">
        <f aca="false">IF(B51="","",ROW()-6)</f>
        <v>45</v>
      </c>
      <c r="B51" s="145" t="n">
        <v>2095100</v>
      </c>
      <c r="C51" s="146" t="n">
        <v>15421102</v>
      </c>
      <c r="D51" s="146"/>
      <c r="E51" s="82" t="str">
        <f aca="false">IF(B51="","",IF(COUNTIFS('CARNET DE SOUDURE'!$L$7:$L$3006,B51,'CARNET DE SOUDURE'!$M$7:$M$3006,"&lt;&gt;"&amp;C51,'CARNET DE SOUDURE'!$M$7:$M$3006,"&lt;&gt;")+COUNTIFS('CARNET DE SOUDURE'!$O$7:$O$3006,B51,'CARNET DE SOUDURE'!$P$7:$P$3006,"&lt;&gt;"&amp;C51,'CARNET DE SOUDURE'!$P$7:$P$3006,"&lt;&gt;")&gt;0,"⚠ DIFFÉRENTE","OK"))</f>
        <v>OK</v>
      </c>
      <c r="F51" s="147" t="n">
        <v>11.94</v>
      </c>
      <c r="G51" s="80"/>
      <c r="H51" s="83"/>
      <c r="I51" s="148" t="str">
        <f aca="false">IF(B51="","",IFERROR(INDEX('CARNET DE SOUDURE'!$B$7:$B$3006,MATCH(B51,'CARNET DE SOUDURE'!$L$7:$L$3006,0)),IFERROR(INDEX('CARNET DE SOUDURE'!$B$7:$B$3006,MATCH(B51,'CARNET DE SOUDURE'!$O$7:$O$3006,0)),"")))</f>
        <v>MFD-ISW → MFD-CPF</v>
      </c>
      <c r="J51" s="82" t="str">
        <f aca="false">IF(B51="","",IFERROR(INDEX('CARNET DE SOUDURE'!$E$7:$E$3006,MATCH(B51,'CARNET DE SOUDURE'!$O$7:$O$3006,0)),""))</f>
        <v>JN°781</v>
      </c>
      <c r="K51" s="82" t="str">
        <f aca="false">IF(B51="","",IFERROR(INDEX('CARNET DE SOUDURE'!$E$7:$E$3006,MATCH(B51,'CARNET DE SOUDURE'!$L$7:$L$3006,0)),""))</f>
        <v>DJ°516</v>
      </c>
      <c r="L51" s="82" t="n">
        <f aca="false">IF(B51="","",IFERROR(INDEX('CARNET DE SOUDURE'!$D$7:$D$3006,MATCH(B51,'CARNET DE SOUDURE'!$L$7:$L$3006,0)),IFERROR(INDEX('CARNET DE SOUDURE'!$D$7:$D$3006,MATCH(B51,'CARNET DE SOUDURE'!$O$7:$O$3006,0)),"")))</f>
        <v>4</v>
      </c>
      <c r="M51" s="82" t="str">
        <f aca="false">IF(B51="","",IF(OR(J51&lt;&gt;"",K51&lt;&gt;""),"POSÉ EN LIGNE",IF(COUNTIF(BARDAGE!$C$1:$C$5000,B51)&gt;0,"BARDÉ","EN STOCK")))</f>
        <v>POSÉ EN LIGNE</v>
      </c>
      <c r="N51" s="80"/>
    </row>
    <row r="52" customFormat="false" ht="15" hidden="false" customHeight="false" outlineLevel="0" collapsed="false">
      <c r="A52" s="82" t="n">
        <f aca="false">IF(B52="","",ROW()-6)</f>
        <v>46</v>
      </c>
      <c r="B52" s="145" t="n">
        <v>2083750</v>
      </c>
      <c r="C52" s="146" t="n">
        <v>15421105</v>
      </c>
      <c r="D52" s="146"/>
      <c r="E52" s="82" t="str">
        <f aca="false">IF(B52="","",IF(COUNTIFS('CARNET DE SOUDURE'!$L$7:$L$3006,B52,'CARNET DE SOUDURE'!$M$7:$M$3006,"&lt;&gt;"&amp;C52,'CARNET DE SOUDURE'!$M$7:$M$3006,"&lt;&gt;")+COUNTIFS('CARNET DE SOUDURE'!$O$7:$O$3006,B52,'CARNET DE SOUDURE'!$P$7:$P$3006,"&lt;&gt;"&amp;C52,'CARNET DE SOUDURE'!$P$7:$P$3006,"&lt;&gt;")&gt;0,"⚠ DIFFÉRENTE","OK"))</f>
        <v>OK</v>
      </c>
      <c r="F52" s="147" t="n">
        <v>11.94</v>
      </c>
      <c r="G52" s="80"/>
      <c r="H52" s="83"/>
      <c r="I52" s="148" t="str">
        <f aca="false">IF(B52="","",IFERROR(INDEX('CARNET DE SOUDURE'!$B$7:$B$3006,MATCH(B52,'CARNET DE SOUDURE'!$L$7:$L$3006,0)),IFERROR(INDEX('CARNET DE SOUDURE'!$B$7:$B$3006,MATCH(B52,'CARNET DE SOUDURE'!$O$7:$O$3006,0)),"")))</f>
        <v>MFD-ISW → MFD-CPF</v>
      </c>
      <c r="J52" s="82" t="str">
        <f aca="false">IF(B52="","",IFERROR(INDEX('CARNET DE SOUDURE'!$E$7:$E$3006,MATCH(B52,'CARNET DE SOUDURE'!$O$7:$O$3006,0)),""))</f>
        <v>DJ°516</v>
      </c>
      <c r="K52" s="82" t="str">
        <f aca="false">IF(B52="","",IFERROR(INDEX('CARNET DE SOUDURE'!$E$7:$E$3006,MATCH(B52,'CARNET DE SOUDURE'!$L$7:$L$3006,0)),""))</f>
        <v>JN°782</v>
      </c>
      <c r="L52" s="82" t="n">
        <f aca="false">IF(B52="","",IFERROR(INDEX('CARNET DE SOUDURE'!$D$7:$D$3006,MATCH(B52,'CARNET DE SOUDURE'!$L$7:$L$3006,0)),IFERROR(INDEX('CARNET DE SOUDURE'!$D$7:$D$3006,MATCH(B52,'CARNET DE SOUDURE'!$O$7:$O$3006,0)),"")))</f>
        <v>4</v>
      </c>
      <c r="M52" s="82" t="str">
        <f aca="false">IF(B52="","",IF(OR(J52&lt;&gt;"",K52&lt;&gt;""),"POSÉ EN LIGNE",IF(COUNTIF(BARDAGE!$C$1:$C$5000,B52)&gt;0,"BARDÉ","EN STOCK")))</f>
        <v>POSÉ EN LIGNE</v>
      </c>
      <c r="N52" s="80"/>
    </row>
    <row r="53" customFormat="false" ht="15" hidden="false" customHeight="false" outlineLevel="0" collapsed="false">
      <c r="A53" s="82" t="n">
        <f aca="false">IF(B53="","",ROW()-6)</f>
        <v>47</v>
      </c>
      <c r="B53" s="145" t="n">
        <v>2097330</v>
      </c>
      <c r="C53" s="146" t="n">
        <v>15421112</v>
      </c>
      <c r="D53" s="146"/>
      <c r="E53" s="82" t="str">
        <f aca="false">IF(B53="","",IF(COUNTIFS('CARNET DE SOUDURE'!$L$7:$L$3006,B53,'CARNET DE SOUDURE'!$M$7:$M$3006,"&lt;&gt;"&amp;C53,'CARNET DE SOUDURE'!$M$7:$M$3006,"&lt;&gt;")+COUNTIFS('CARNET DE SOUDURE'!$O$7:$O$3006,B53,'CARNET DE SOUDURE'!$P$7:$P$3006,"&lt;&gt;"&amp;C53,'CARNET DE SOUDURE'!$P$7:$P$3006,"&lt;&gt;")&gt;0,"⚠ DIFFÉRENTE","OK"))</f>
        <v>OK</v>
      </c>
      <c r="F53" s="147" t="n">
        <v>11.94</v>
      </c>
      <c r="G53" s="80"/>
      <c r="H53" s="83"/>
      <c r="I53" s="148" t="str">
        <f aca="false">IF(B53="","",IFERROR(INDEX('CARNET DE SOUDURE'!$B$7:$B$3006,MATCH(B53,'CARNET DE SOUDURE'!$L$7:$L$3006,0)),IFERROR(INDEX('CARNET DE SOUDURE'!$B$7:$B$3006,MATCH(B53,'CARNET DE SOUDURE'!$O$7:$O$3006,0)),"")))</f>
        <v>MFD-ISW → MFD-CPF</v>
      </c>
      <c r="J53" s="82" t="str">
        <f aca="false">IF(B53="","",IFERROR(INDEX('CARNET DE SOUDURE'!$E$7:$E$3006,MATCH(B53,'CARNET DE SOUDURE'!$O$7:$O$3006,0)),""))</f>
        <v>JN°782</v>
      </c>
      <c r="K53" s="82" t="str">
        <f aca="false">IF(B53="","",IFERROR(INDEX('CARNET DE SOUDURE'!$E$7:$E$3006,MATCH(B53,'CARNET DE SOUDURE'!$L$7:$L$3006,0)),""))</f>
        <v>DJ°501</v>
      </c>
      <c r="L53" s="82" t="n">
        <f aca="false">IF(B53="","",IFERROR(INDEX('CARNET DE SOUDURE'!$D$7:$D$3006,MATCH(B53,'CARNET DE SOUDURE'!$L$7:$L$3006,0)),IFERROR(INDEX('CARNET DE SOUDURE'!$D$7:$D$3006,MATCH(B53,'CARNET DE SOUDURE'!$O$7:$O$3006,0)),"")))</f>
        <v>4</v>
      </c>
      <c r="M53" s="82" t="str">
        <f aca="false">IF(B53="","",IF(OR(J53&lt;&gt;"",K53&lt;&gt;""),"POSÉ EN LIGNE",IF(COUNTIF(BARDAGE!$C$1:$C$5000,B53)&gt;0,"BARDÉ","EN STOCK")))</f>
        <v>POSÉ EN LIGNE</v>
      </c>
      <c r="N53" s="80"/>
    </row>
    <row r="54" customFormat="false" ht="15" hidden="false" customHeight="false" outlineLevel="0" collapsed="false">
      <c r="A54" s="82" t="n">
        <f aca="false">IF(B54="","",ROW()-6)</f>
        <v>48</v>
      </c>
      <c r="B54" s="145" t="n">
        <v>2094260</v>
      </c>
      <c r="C54" s="146" t="n">
        <v>15421111</v>
      </c>
      <c r="D54" s="146"/>
      <c r="E54" s="82" t="str">
        <f aca="false">IF(B54="","",IF(COUNTIFS('CARNET DE SOUDURE'!$L$7:$L$3006,B54,'CARNET DE SOUDURE'!$M$7:$M$3006,"&lt;&gt;"&amp;C54,'CARNET DE SOUDURE'!$M$7:$M$3006,"&lt;&gt;")+COUNTIFS('CARNET DE SOUDURE'!$O$7:$O$3006,B54,'CARNET DE SOUDURE'!$P$7:$P$3006,"&lt;&gt;"&amp;C54,'CARNET DE SOUDURE'!$P$7:$P$3006,"&lt;&gt;")&gt;0,"⚠ DIFFÉRENTE","OK"))</f>
        <v>OK</v>
      </c>
      <c r="F54" s="147" t="n">
        <v>11.94</v>
      </c>
      <c r="G54" s="80"/>
      <c r="H54" s="83"/>
      <c r="I54" s="148" t="str">
        <f aca="false">IF(B54="","",IFERROR(INDEX('CARNET DE SOUDURE'!$B$7:$B$3006,MATCH(B54,'CARNET DE SOUDURE'!$L$7:$L$3006,0)),IFERROR(INDEX('CARNET DE SOUDURE'!$B$7:$B$3006,MATCH(B54,'CARNET DE SOUDURE'!$O$7:$O$3006,0)),"")))</f>
        <v>MFD-ISW → MFD-CPF</v>
      </c>
      <c r="J54" s="82" t="str">
        <f aca="false">IF(B54="","",IFERROR(INDEX('CARNET DE SOUDURE'!$E$7:$E$3006,MATCH(B54,'CARNET DE SOUDURE'!$O$7:$O$3006,0)),""))</f>
        <v>DJ°501</v>
      </c>
      <c r="K54" s="82" t="str">
        <f aca="false">IF(B54="","",IFERROR(INDEX('CARNET DE SOUDURE'!$E$7:$E$3006,MATCH(B54,'CARNET DE SOUDURE'!$L$7:$L$3006,0)),""))</f>
        <v>JN°783</v>
      </c>
      <c r="L54" s="82" t="n">
        <f aca="false">IF(B54="","",IFERROR(INDEX('CARNET DE SOUDURE'!$D$7:$D$3006,MATCH(B54,'CARNET DE SOUDURE'!$L$7:$L$3006,0)),IFERROR(INDEX('CARNET DE SOUDURE'!$D$7:$D$3006,MATCH(B54,'CARNET DE SOUDURE'!$O$7:$O$3006,0)),"")))</f>
        <v>4</v>
      </c>
      <c r="M54" s="82" t="str">
        <f aca="false">IF(B54="","",IF(OR(J54&lt;&gt;"",K54&lt;&gt;""),"POSÉ EN LIGNE",IF(COUNTIF(BARDAGE!$C$1:$C$5000,B54)&gt;0,"BARDÉ","EN STOCK")))</f>
        <v>POSÉ EN LIGNE</v>
      </c>
      <c r="N54" s="80"/>
    </row>
    <row r="55" customFormat="false" ht="15" hidden="false" customHeight="false" outlineLevel="0" collapsed="false">
      <c r="A55" s="82" t="n">
        <f aca="false">IF(B55="","",ROW()-6)</f>
        <v>49</v>
      </c>
      <c r="B55" s="145" t="n">
        <v>2087450</v>
      </c>
      <c r="C55" s="146" t="n">
        <v>15421110</v>
      </c>
      <c r="D55" s="146"/>
      <c r="E55" s="82" t="str">
        <f aca="false">IF(B55="","",IF(COUNTIFS('CARNET DE SOUDURE'!$L$7:$L$3006,B55,'CARNET DE SOUDURE'!$M$7:$M$3006,"&lt;&gt;"&amp;C55,'CARNET DE SOUDURE'!$M$7:$M$3006,"&lt;&gt;")+COUNTIFS('CARNET DE SOUDURE'!$O$7:$O$3006,B55,'CARNET DE SOUDURE'!$P$7:$P$3006,"&lt;&gt;"&amp;C55,'CARNET DE SOUDURE'!$P$7:$P$3006,"&lt;&gt;")&gt;0,"⚠ DIFFÉRENTE","OK"))</f>
        <v>OK</v>
      </c>
      <c r="F55" s="147" t="n">
        <v>11.94</v>
      </c>
      <c r="G55" s="80"/>
      <c r="H55" s="83"/>
      <c r="I55" s="148" t="str">
        <f aca="false">IF(B55="","",IFERROR(INDEX('CARNET DE SOUDURE'!$B$7:$B$3006,MATCH(B55,'CARNET DE SOUDURE'!$L$7:$L$3006,0)),IFERROR(INDEX('CARNET DE SOUDURE'!$B$7:$B$3006,MATCH(B55,'CARNET DE SOUDURE'!$O$7:$O$3006,0)),"")))</f>
        <v>MFD-ISW → MFD-CPF</v>
      </c>
      <c r="J55" s="82" t="str">
        <f aca="false">IF(B55="","",IFERROR(INDEX('CARNET DE SOUDURE'!$E$7:$E$3006,MATCH(B55,'CARNET DE SOUDURE'!$O$7:$O$3006,0)),""))</f>
        <v>JN°783</v>
      </c>
      <c r="K55" s="82" t="str">
        <f aca="false">IF(B55="","",IFERROR(INDEX('CARNET DE SOUDURE'!$E$7:$E$3006,MATCH(B55,'CARNET DE SOUDURE'!$L$7:$L$3006,0)),""))</f>
        <v>DJ°494</v>
      </c>
      <c r="L55" s="82" t="n">
        <f aca="false">IF(B55="","",IFERROR(INDEX('CARNET DE SOUDURE'!$D$7:$D$3006,MATCH(B55,'CARNET DE SOUDURE'!$L$7:$L$3006,0)),IFERROR(INDEX('CARNET DE SOUDURE'!$D$7:$D$3006,MATCH(B55,'CARNET DE SOUDURE'!$O$7:$O$3006,0)),"")))</f>
        <v>4</v>
      </c>
      <c r="M55" s="82" t="str">
        <f aca="false">IF(B55="","",IF(OR(J55&lt;&gt;"",K55&lt;&gt;""),"POSÉ EN LIGNE",IF(COUNTIF(BARDAGE!$C$1:$C$5000,B55)&gt;0,"BARDÉ","EN STOCK")))</f>
        <v>POSÉ EN LIGNE</v>
      </c>
      <c r="N55" s="80"/>
    </row>
    <row r="56" customFormat="false" ht="15" hidden="false" customHeight="false" outlineLevel="0" collapsed="false">
      <c r="A56" s="82" t="n">
        <f aca="false">IF(B56="","",ROW()-6)</f>
        <v>50</v>
      </c>
      <c r="B56" s="145" t="n">
        <v>2080970</v>
      </c>
      <c r="C56" s="146" t="n">
        <v>15421109</v>
      </c>
      <c r="D56" s="146"/>
      <c r="E56" s="82" t="str">
        <f aca="false">IF(B56="","",IF(COUNTIFS('CARNET DE SOUDURE'!$L$7:$L$3006,B56,'CARNET DE SOUDURE'!$M$7:$M$3006,"&lt;&gt;"&amp;C56,'CARNET DE SOUDURE'!$M$7:$M$3006,"&lt;&gt;")+COUNTIFS('CARNET DE SOUDURE'!$O$7:$O$3006,B56,'CARNET DE SOUDURE'!$P$7:$P$3006,"&lt;&gt;"&amp;C56,'CARNET DE SOUDURE'!$P$7:$P$3006,"&lt;&gt;")&gt;0,"⚠ DIFFÉRENTE","OK"))</f>
        <v>OK</v>
      </c>
      <c r="F56" s="147" t="n">
        <v>11.94</v>
      </c>
      <c r="G56" s="80"/>
      <c r="H56" s="83"/>
      <c r="I56" s="148" t="str">
        <f aca="false">IF(B56="","",IFERROR(INDEX('CARNET DE SOUDURE'!$B$7:$B$3006,MATCH(B56,'CARNET DE SOUDURE'!$L$7:$L$3006,0)),IFERROR(INDEX('CARNET DE SOUDURE'!$B$7:$B$3006,MATCH(B56,'CARNET DE SOUDURE'!$O$7:$O$3006,0)),"")))</f>
        <v>MFD-ISW → MFD-CPF</v>
      </c>
      <c r="J56" s="82" t="str">
        <f aca="false">IF(B56="","",IFERROR(INDEX('CARNET DE SOUDURE'!$E$7:$E$3006,MATCH(B56,'CARNET DE SOUDURE'!$O$7:$O$3006,0)),""))</f>
        <v>DJ°494</v>
      </c>
      <c r="K56" s="82" t="str">
        <f aca="false">IF(B56="","",IFERROR(INDEX('CARNET DE SOUDURE'!$E$7:$E$3006,MATCH(B56,'CARNET DE SOUDURE'!$L$7:$L$3006,0)),""))</f>
        <v>JN°784</v>
      </c>
      <c r="L56" s="82" t="n">
        <f aca="false">IF(B56="","",IFERROR(INDEX('CARNET DE SOUDURE'!$D$7:$D$3006,MATCH(B56,'CARNET DE SOUDURE'!$L$7:$L$3006,0)),IFERROR(INDEX('CARNET DE SOUDURE'!$D$7:$D$3006,MATCH(B56,'CARNET DE SOUDURE'!$O$7:$O$3006,0)),"")))</f>
        <v>4</v>
      </c>
      <c r="M56" s="82" t="str">
        <f aca="false">IF(B56="","",IF(OR(J56&lt;&gt;"",K56&lt;&gt;""),"POSÉ EN LIGNE",IF(COUNTIF(BARDAGE!$C$1:$C$5000,B56)&gt;0,"BARDÉ","EN STOCK")))</f>
        <v>POSÉ EN LIGNE</v>
      </c>
      <c r="N56" s="80"/>
    </row>
    <row r="57" customFormat="false" ht="15" hidden="false" customHeight="false" outlineLevel="0" collapsed="false">
      <c r="A57" s="82" t="n">
        <f aca="false">IF(B57="","",ROW()-6)</f>
        <v>51</v>
      </c>
      <c r="B57" s="145" t="n">
        <v>2080960</v>
      </c>
      <c r="C57" s="146" t="n">
        <v>15421103</v>
      </c>
      <c r="D57" s="146"/>
      <c r="E57" s="82" t="str">
        <f aca="false">IF(B57="","",IF(COUNTIFS('CARNET DE SOUDURE'!$L$7:$L$3006,B57,'CARNET DE SOUDURE'!$M$7:$M$3006,"&lt;&gt;"&amp;C57,'CARNET DE SOUDURE'!$M$7:$M$3006,"&lt;&gt;")+COUNTIFS('CARNET DE SOUDURE'!$O$7:$O$3006,B57,'CARNET DE SOUDURE'!$P$7:$P$3006,"&lt;&gt;"&amp;C57,'CARNET DE SOUDURE'!$P$7:$P$3006,"&lt;&gt;")&gt;0,"⚠ DIFFÉRENTE","OK"))</f>
        <v>OK</v>
      </c>
      <c r="F57" s="147" t="n">
        <v>11.94</v>
      </c>
      <c r="G57" s="80"/>
      <c r="H57" s="83"/>
      <c r="I57" s="148" t="str">
        <f aca="false">IF(B57="","",IFERROR(INDEX('CARNET DE SOUDURE'!$B$7:$B$3006,MATCH(B57,'CARNET DE SOUDURE'!$L$7:$L$3006,0)),IFERROR(INDEX('CARNET DE SOUDURE'!$B$7:$B$3006,MATCH(B57,'CARNET DE SOUDURE'!$O$7:$O$3006,0)),"")))</f>
        <v>MFD-ISW → MFD-CPF</v>
      </c>
      <c r="J57" s="82" t="str">
        <f aca="false">IF(B57="","",IFERROR(INDEX('CARNET DE SOUDURE'!$E$7:$E$3006,MATCH(B57,'CARNET DE SOUDURE'!$O$7:$O$3006,0)),""))</f>
        <v>JN°784</v>
      </c>
      <c r="K57" s="82" t="str">
        <f aca="false">IF(B57="","",IFERROR(INDEX('CARNET DE SOUDURE'!$E$7:$E$3006,MATCH(B57,'CARNET DE SOUDURE'!$L$7:$L$3006,0)),""))</f>
        <v>DJ°499</v>
      </c>
      <c r="L57" s="82" t="n">
        <f aca="false">IF(B57="","",IFERROR(INDEX('CARNET DE SOUDURE'!$D$7:$D$3006,MATCH(B57,'CARNET DE SOUDURE'!$L$7:$L$3006,0)),IFERROR(INDEX('CARNET DE SOUDURE'!$D$7:$D$3006,MATCH(B57,'CARNET DE SOUDURE'!$O$7:$O$3006,0)),"")))</f>
        <v>4</v>
      </c>
      <c r="M57" s="82" t="str">
        <f aca="false">IF(B57="","",IF(OR(J57&lt;&gt;"",K57&lt;&gt;""),"POSÉ EN LIGNE",IF(COUNTIF(BARDAGE!$C$1:$C$5000,B57)&gt;0,"BARDÉ","EN STOCK")))</f>
        <v>POSÉ EN LIGNE</v>
      </c>
      <c r="N57" s="80"/>
    </row>
    <row r="58" customFormat="false" ht="15" hidden="false" customHeight="false" outlineLevel="0" collapsed="false">
      <c r="A58" s="82" t="n">
        <f aca="false">IF(B58="","",ROW()-6)</f>
        <v>52</v>
      </c>
      <c r="B58" s="145" t="n">
        <v>2094270</v>
      </c>
      <c r="C58" s="146" t="n">
        <v>15421110</v>
      </c>
      <c r="D58" s="146"/>
      <c r="E58" s="82" t="str">
        <f aca="false">IF(B58="","",IF(COUNTIFS('CARNET DE SOUDURE'!$L$7:$L$3006,B58,'CARNET DE SOUDURE'!$M$7:$M$3006,"&lt;&gt;"&amp;C58,'CARNET DE SOUDURE'!$M$7:$M$3006,"&lt;&gt;")+COUNTIFS('CARNET DE SOUDURE'!$O$7:$O$3006,B58,'CARNET DE SOUDURE'!$P$7:$P$3006,"&lt;&gt;"&amp;C58,'CARNET DE SOUDURE'!$P$7:$P$3006,"&lt;&gt;")&gt;0,"⚠ DIFFÉRENTE","OK"))</f>
        <v>OK</v>
      </c>
      <c r="F58" s="147" t="n">
        <v>11.94</v>
      </c>
      <c r="G58" s="80"/>
      <c r="H58" s="83"/>
      <c r="I58" s="148" t="str">
        <f aca="false">IF(B58="","",IFERROR(INDEX('CARNET DE SOUDURE'!$B$7:$B$3006,MATCH(B58,'CARNET DE SOUDURE'!$L$7:$L$3006,0)),IFERROR(INDEX('CARNET DE SOUDURE'!$B$7:$B$3006,MATCH(B58,'CARNET DE SOUDURE'!$O$7:$O$3006,0)),"")))</f>
        <v>MFD-ISW → MFD-CPF</v>
      </c>
      <c r="J58" s="82" t="str">
        <f aca="false">IF(B58="","",IFERROR(INDEX('CARNET DE SOUDURE'!$E$7:$E$3006,MATCH(B58,'CARNET DE SOUDURE'!$O$7:$O$3006,0)),""))</f>
        <v>DJ°499</v>
      </c>
      <c r="K58" s="82" t="str">
        <f aca="false">IF(B58="","",IFERROR(INDEX('CARNET DE SOUDURE'!$E$7:$E$3006,MATCH(B58,'CARNET DE SOUDURE'!$L$7:$L$3006,0)),""))</f>
        <v>JN°785</v>
      </c>
      <c r="L58" s="82" t="n">
        <f aca="false">IF(B58="","",IFERROR(INDEX('CARNET DE SOUDURE'!$D$7:$D$3006,MATCH(B58,'CARNET DE SOUDURE'!$L$7:$L$3006,0)),IFERROR(INDEX('CARNET DE SOUDURE'!$D$7:$D$3006,MATCH(B58,'CARNET DE SOUDURE'!$O$7:$O$3006,0)),"")))</f>
        <v>4</v>
      </c>
      <c r="M58" s="82" t="str">
        <f aca="false">IF(B58="","",IF(OR(J58&lt;&gt;"",K58&lt;&gt;""),"POSÉ EN LIGNE",IF(COUNTIF(BARDAGE!$C$1:$C$5000,B58)&gt;0,"BARDÉ","EN STOCK")))</f>
        <v>POSÉ EN LIGNE</v>
      </c>
      <c r="N58" s="80"/>
    </row>
    <row r="59" customFormat="false" ht="15" hidden="false" customHeight="false" outlineLevel="0" collapsed="false">
      <c r="A59" s="82" t="n">
        <f aca="false">IF(B59="","",ROW()-6)</f>
        <v>53</v>
      </c>
      <c r="B59" s="145" t="n">
        <v>2090350</v>
      </c>
      <c r="C59" s="146" t="n">
        <v>15421109</v>
      </c>
      <c r="D59" s="146"/>
      <c r="E59" s="82" t="str">
        <f aca="false">IF(B59="","",IF(COUNTIFS('CARNET DE SOUDURE'!$L$7:$L$3006,B59,'CARNET DE SOUDURE'!$M$7:$M$3006,"&lt;&gt;"&amp;C59,'CARNET DE SOUDURE'!$M$7:$M$3006,"&lt;&gt;")+COUNTIFS('CARNET DE SOUDURE'!$O$7:$O$3006,B59,'CARNET DE SOUDURE'!$P$7:$P$3006,"&lt;&gt;"&amp;C59,'CARNET DE SOUDURE'!$P$7:$P$3006,"&lt;&gt;")&gt;0,"⚠ DIFFÉRENTE","OK"))</f>
        <v>OK</v>
      </c>
      <c r="F59" s="147" t="n">
        <v>11.94</v>
      </c>
      <c r="G59" s="80"/>
      <c r="H59" s="83"/>
      <c r="I59" s="148" t="str">
        <f aca="false">IF(B59="","",IFERROR(INDEX('CARNET DE SOUDURE'!$B$7:$B$3006,MATCH(B59,'CARNET DE SOUDURE'!$L$7:$L$3006,0)),IFERROR(INDEX('CARNET DE SOUDURE'!$B$7:$B$3006,MATCH(B59,'CARNET DE SOUDURE'!$O$7:$O$3006,0)),"")))</f>
        <v>MFD-ISW → MFD-CPF</v>
      </c>
      <c r="J59" s="82" t="str">
        <f aca="false">IF(B59="","",IFERROR(INDEX('CARNET DE SOUDURE'!$E$7:$E$3006,MATCH(B59,'CARNET DE SOUDURE'!$O$7:$O$3006,0)),""))</f>
        <v>JN°785</v>
      </c>
      <c r="K59" s="82" t="str">
        <f aca="false">IF(B59="","",IFERROR(INDEX('CARNET DE SOUDURE'!$E$7:$E$3006,MATCH(B59,'CARNET DE SOUDURE'!$L$7:$L$3006,0)),""))</f>
        <v>DJ°496</v>
      </c>
      <c r="L59" s="82" t="n">
        <f aca="false">IF(B59="","",IFERROR(INDEX('CARNET DE SOUDURE'!$D$7:$D$3006,MATCH(B59,'CARNET DE SOUDURE'!$L$7:$L$3006,0)),IFERROR(INDEX('CARNET DE SOUDURE'!$D$7:$D$3006,MATCH(B59,'CARNET DE SOUDURE'!$O$7:$O$3006,0)),"")))</f>
        <v>4</v>
      </c>
      <c r="M59" s="82" t="str">
        <f aca="false">IF(B59="","",IF(OR(J59&lt;&gt;"",K59&lt;&gt;""),"POSÉ EN LIGNE",IF(COUNTIF(BARDAGE!$C$1:$C$5000,B59)&gt;0,"BARDÉ","EN STOCK")))</f>
        <v>POSÉ EN LIGNE</v>
      </c>
      <c r="N59" s="80"/>
    </row>
    <row r="60" customFormat="false" ht="15" hidden="false" customHeight="false" outlineLevel="0" collapsed="false">
      <c r="A60" s="82" t="n">
        <f aca="false">IF(B60="","",ROW()-6)</f>
        <v>54</v>
      </c>
      <c r="B60" s="145" t="n">
        <v>2090250</v>
      </c>
      <c r="C60" s="146" t="n">
        <v>15421109</v>
      </c>
      <c r="D60" s="146"/>
      <c r="E60" s="82" t="str">
        <f aca="false">IF(B60="","",IF(COUNTIFS('CARNET DE SOUDURE'!$L$7:$L$3006,B60,'CARNET DE SOUDURE'!$M$7:$M$3006,"&lt;&gt;"&amp;C60,'CARNET DE SOUDURE'!$M$7:$M$3006,"&lt;&gt;")+COUNTIFS('CARNET DE SOUDURE'!$O$7:$O$3006,B60,'CARNET DE SOUDURE'!$P$7:$P$3006,"&lt;&gt;"&amp;C60,'CARNET DE SOUDURE'!$P$7:$P$3006,"&lt;&gt;")&gt;0,"⚠ DIFFÉRENTE","OK"))</f>
        <v>OK</v>
      </c>
      <c r="F60" s="147" t="n">
        <v>11.94</v>
      </c>
      <c r="G60" s="80"/>
      <c r="H60" s="83"/>
      <c r="I60" s="148" t="str">
        <f aca="false">IF(B60="","",IFERROR(INDEX('CARNET DE SOUDURE'!$B$7:$B$3006,MATCH(B60,'CARNET DE SOUDURE'!$L$7:$L$3006,0)),IFERROR(INDEX('CARNET DE SOUDURE'!$B$7:$B$3006,MATCH(B60,'CARNET DE SOUDURE'!$O$7:$O$3006,0)),"")))</f>
        <v>MFD-ISW → MFD-CPF</v>
      </c>
      <c r="J60" s="82" t="str">
        <f aca="false">IF(B60="","",IFERROR(INDEX('CARNET DE SOUDURE'!$E$7:$E$3006,MATCH(B60,'CARNET DE SOUDURE'!$O$7:$O$3006,0)),""))</f>
        <v>DJ°496</v>
      </c>
      <c r="K60" s="82" t="str">
        <f aca="false">IF(B60="","",IFERROR(INDEX('CARNET DE SOUDURE'!$E$7:$E$3006,MATCH(B60,'CARNET DE SOUDURE'!$L$7:$L$3006,0)),""))</f>
        <v>JN°786</v>
      </c>
      <c r="L60" s="82" t="n">
        <f aca="false">IF(B60="","",IFERROR(INDEX('CARNET DE SOUDURE'!$D$7:$D$3006,MATCH(B60,'CARNET DE SOUDURE'!$L$7:$L$3006,0)),IFERROR(INDEX('CARNET DE SOUDURE'!$D$7:$D$3006,MATCH(B60,'CARNET DE SOUDURE'!$O$7:$O$3006,0)),"")))</f>
        <v>4</v>
      </c>
      <c r="M60" s="82" t="str">
        <f aca="false">IF(B60="","",IF(OR(J60&lt;&gt;"",K60&lt;&gt;""),"POSÉ EN LIGNE",IF(COUNTIF(BARDAGE!$C$1:$C$5000,B60)&gt;0,"BARDÉ","EN STOCK")))</f>
        <v>POSÉ EN LIGNE</v>
      </c>
      <c r="N60" s="80"/>
    </row>
    <row r="61" customFormat="false" ht="15" hidden="false" customHeight="false" outlineLevel="0" collapsed="false">
      <c r="A61" s="82" t="n">
        <f aca="false">IF(B61="","",ROW()-6)</f>
        <v>55</v>
      </c>
      <c r="B61" s="145" t="n">
        <v>2094000</v>
      </c>
      <c r="C61" s="146" t="n">
        <v>15421110</v>
      </c>
      <c r="D61" s="146"/>
      <c r="E61" s="82" t="str">
        <f aca="false">IF(B61="","",IF(COUNTIFS('CARNET DE SOUDURE'!$L$7:$L$3006,B61,'CARNET DE SOUDURE'!$M$7:$M$3006,"&lt;&gt;"&amp;C61,'CARNET DE SOUDURE'!$M$7:$M$3006,"&lt;&gt;")+COUNTIFS('CARNET DE SOUDURE'!$O$7:$O$3006,B61,'CARNET DE SOUDURE'!$P$7:$P$3006,"&lt;&gt;"&amp;C61,'CARNET DE SOUDURE'!$P$7:$P$3006,"&lt;&gt;")&gt;0,"⚠ DIFFÉRENTE","OK"))</f>
        <v>OK</v>
      </c>
      <c r="F61" s="147" t="n">
        <v>11.95</v>
      </c>
      <c r="G61" s="80"/>
      <c r="H61" s="83"/>
      <c r="I61" s="148" t="str">
        <f aca="false">IF(B61="","",IFERROR(INDEX('CARNET DE SOUDURE'!$B$7:$B$3006,MATCH(B61,'CARNET DE SOUDURE'!$L$7:$L$3006,0)),IFERROR(INDEX('CARNET DE SOUDURE'!$B$7:$B$3006,MATCH(B61,'CARNET DE SOUDURE'!$O$7:$O$3006,0)),"")))</f>
        <v>MFD-ISW → MFD-CPF</v>
      </c>
      <c r="J61" s="82" t="str">
        <f aca="false">IF(B61="","",IFERROR(INDEX('CARNET DE SOUDURE'!$E$7:$E$3006,MATCH(B61,'CARNET DE SOUDURE'!$O$7:$O$3006,0)),""))</f>
        <v>JN°786</v>
      </c>
      <c r="K61" s="82" t="str">
        <f aca="false">IF(B61="","",IFERROR(INDEX('CARNET DE SOUDURE'!$E$7:$E$3006,MATCH(B61,'CARNET DE SOUDURE'!$L$7:$L$3006,0)),""))</f>
        <v>DJ°493</v>
      </c>
      <c r="L61" s="82" t="n">
        <f aca="false">IF(B61="","",IFERROR(INDEX('CARNET DE SOUDURE'!$D$7:$D$3006,MATCH(B61,'CARNET DE SOUDURE'!$L$7:$L$3006,0)),IFERROR(INDEX('CARNET DE SOUDURE'!$D$7:$D$3006,MATCH(B61,'CARNET DE SOUDURE'!$O$7:$O$3006,0)),"")))</f>
        <v>4</v>
      </c>
      <c r="M61" s="82" t="str">
        <f aca="false">IF(B61="","",IF(OR(J61&lt;&gt;"",K61&lt;&gt;""),"POSÉ EN LIGNE",IF(COUNTIF(BARDAGE!$C$1:$C$5000,B61)&gt;0,"BARDÉ","EN STOCK")))</f>
        <v>POSÉ EN LIGNE</v>
      </c>
      <c r="N61" s="80"/>
    </row>
    <row r="62" customFormat="false" ht="15" hidden="false" customHeight="false" outlineLevel="0" collapsed="false">
      <c r="A62" s="82" t="n">
        <f aca="false">IF(B62="","",ROW()-6)</f>
        <v>56</v>
      </c>
      <c r="B62" s="145" t="n">
        <v>2095740</v>
      </c>
      <c r="C62" s="146" t="n">
        <v>15421111</v>
      </c>
      <c r="D62" s="146"/>
      <c r="E62" s="82" t="str">
        <f aca="false">IF(B62="","",IF(COUNTIFS('CARNET DE SOUDURE'!$L$7:$L$3006,B62,'CARNET DE SOUDURE'!$M$7:$M$3006,"&lt;&gt;"&amp;C62,'CARNET DE SOUDURE'!$M$7:$M$3006,"&lt;&gt;")+COUNTIFS('CARNET DE SOUDURE'!$O$7:$O$3006,B62,'CARNET DE SOUDURE'!$P$7:$P$3006,"&lt;&gt;"&amp;C62,'CARNET DE SOUDURE'!$P$7:$P$3006,"&lt;&gt;")&gt;0,"⚠ DIFFÉRENTE","OK"))</f>
        <v>OK</v>
      </c>
      <c r="F62" s="147" t="n">
        <v>11.95</v>
      </c>
      <c r="G62" s="80"/>
      <c r="H62" s="83"/>
      <c r="I62" s="148" t="str">
        <f aca="false">IF(B62="","",IFERROR(INDEX('CARNET DE SOUDURE'!$B$7:$B$3006,MATCH(B62,'CARNET DE SOUDURE'!$L$7:$L$3006,0)),IFERROR(INDEX('CARNET DE SOUDURE'!$B$7:$B$3006,MATCH(B62,'CARNET DE SOUDURE'!$O$7:$O$3006,0)),"")))</f>
        <v>MFD-ISW → MFD-CPF</v>
      </c>
      <c r="J62" s="82" t="str">
        <f aca="false">IF(B62="","",IFERROR(INDEX('CARNET DE SOUDURE'!$E$7:$E$3006,MATCH(B62,'CARNET DE SOUDURE'!$O$7:$O$3006,0)),""))</f>
        <v>DJ°493</v>
      </c>
      <c r="K62" s="82" t="str">
        <f aca="false">IF(B62="","",IFERROR(INDEX('CARNET DE SOUDURE'!$E$7:$E$3006,MATCH(B62,'CARNET DE SOUDURE'!$L$7:$L$3006,0)),""))</f>
        <v/>
      </c>
      <c r="L62" s="82" t="n">
        <f aca="false">IF(B62="","",IFERROR(INDEX('CARNET DE SOUDURE'!$D$7:$D$3006,MATCH(B62,'CARNET DE SOUDURE'!$L$7:$L$3006,0)),IFERROR(INDEX('CARNET DE SOUDURE'!$D$7:$D$3006,MATCH(B62,'CARNET DE SOUDURE'!$O$7:$O$3006,0)),"")))</f>
        <v>4</v>
      </c>
      <c r="M62" s="82" t="str">
        <f aca="false">IF(B62="","",IF(OR(J62&lt;&gt;"",K62&lt;&gt;""),"POSÉ EN LIGNE",IF(COUNTIF(BARDAGE!$C$1:$C$5000,B62)&gt;0,"BARDÉ","EN STOCK")))</f>
        <v>POSÉ EN LIGNE</v>
      </c>
      <c r="N62" s="80"/>
    </row>
    <row r="63" customFormat="false" ht="15" hidden="false" customHeight="false" outlineLevel="0" collapsed="false">
      <c r="A63" s="82" t="n">
        <f aca="false">IF(B63="","",ROW()-6)</f>
        <v>57</v>
      </c>
      <c r="B63" s="145" t="n">
        <v>2082890</v>
      </c>
      <c r="C63" s="146" t="n">
        <v>15421105</v>
      </c>
      <c r="D63" s="146"/>
      <c r="E63" s="82" t="str">
        <f aca="false">IF(B63="","",IF(COUNTIFS('CARNET DE SOUDURE'!$L$7:$L$3006,B63,'CARNET DE SOUDURE'!$M$7:$M$3006,"&lt;&gt;"&amp;C63,'CARNET DE SOUDURE'!$M$7:$M$3006,"&lt;&gt;")+COUNTIFS('CARNET DE SOUDURE'!$O$7:$O$3006,B63,'CARNET DE SOUDURE'!$P$7:$P$3006,"&lt;&gt;"&amp;C63,'CARNET DE SOUDURE'!$P$7:$P$3006,"&lt;&gt;")&gt;0,"⚠ DIFFÉRENTE","OK"))</f>
        <v>OK</v>
      </c>
      <c r="F63" s="147" t="n">
        <v>11.94</v>
      </c>
      <c r="G63" s="80"/>
      <c r="H63" s="83"/>
      <c r="I63" s="148" t="str">
        <f aca="false">IF(B63="","",IFERROR(INDEX('CARNET DE SOUDURE'!$B$7:$B$3006,MATCH(B63,'CARNET DE SOUDURE'!$L$7:$L$3006,0)),IFERROR(INDEX('CARNET DE SOUDURE'!$B$7:$B$3006,MATCH(B63,'CARNET DE SOUDURE'!$O$7:$O$3006,0)),"")))</f>
        <v>MFD-ISW → MFD-CPF</v>
      </c>
      <c r="J63" s="82" t="str">
        <f aca="false">IF(B63="","",IFERROR(INDEX('CARNET DE SOUDURE'!$E$7:$E$3006,MATCH(B63,'CARNET DE SOUDURE'!$O$7:$O$3006,0)),""))</f>
        <v>DJ°438</v>
      </c>
      <c r="K63" s="82" t="str">
        <f aca="false">IF(B63="","",IFERROR(INDEX('CARNET DE SOUDURE'!$E$7:$E$3006,MATCH(B63,'CARNET DE SOUDURE'!$L$7:$L$3006,0)),""))</f>
        <v>DJ°438</v>
      </c>
      <c r="L63" s="82" t="n">
        <f aca="false">IF(B63="","",IFERROR(INDEX('CARNET DE SOUDURE'!$D$7:$D$3006,MATCH(B63,'CARNET DE SOUDURE'!$L$7:$L$3006,0)),IFERROR(INDEX('CARNET DE SOUDURE'!$D$7:$D$3006,MATCH(B63,'CARNET DE SOUDURE'!$O$7:$O$3006,0)),"")))</f>
        <v>4</v>
      </c>
      <c r="M63" s="82" t="str">
        <f aca="false">IF(B63="","",IF(OR(J63&lt;&gt;"",K63&lt;&gt;""),"POSÉ EN LIGNE",IF(COUNTIF(BARDAGE!$C$1:$C$5000,B63)&gt;0,"BARDÉ","EN STOCK")))</f>
        <v>POSÉ EN LIGNE</v>
      </c>
      <c r="N63" s="80"/>
    </row>
    <row r="64" customFormat="false" ht="15" hidden="false" customHeight="false" outlineLevel="0" collapsed="false">
      <c r="A64" s="82" t="n">
        <f aca="false">IF(B64="","",ROW()-6)</f>
        <v>58</v>
      </c>
      <c r="B64" s="145" t="n">
        <v>2084800</v>
      </c>
      <c r="C64" s="146" t="n">
        <v>15421106</v>
      </c>
      <c r="D64" s="146"/>
      <c r="E64" s="82" t="str">
        <f aca="false">IF(B64="","",IF(COUNTIFS('CARNET DE SOUDURE'!$L$7:$L$3006,B64,'CARNET DE SOUDURE'!$M$7:$M$3006,"&lt;&gt;"&amp;C64,'CARNET DE SOUDURE'!$M$7:$M$3006,"&lt;&gt;")+COUNTIFS('CARNET DE SOUDURE'!$O$7:$O$3006,B64,'CARNET DE SOUDURE'!$P$7:$P$3006,"&lt;&gt;"&amp;C64,'CARNET DE SOUDURE'!$P$7:$P$3006,"&lt;&gt;")&gt;0,"⚠ DIFFÉRENTE","OK"))</f>
        <v>OK</v>
      </c>
      <c r="F64" s="147" t="n">
        <v>11.94</v>
      </c>
      <c r="G64" s="80"/>
      <c r="H64" s="83"/>
      <c r="I64" s="148" t="str">
        <f aca="false">IF(B64="","",IFERROR(INDEX('CARNET DE SOUDURE'!$B$7:$B$3006,MATCH(B64,'CARNET DE SOUDURE'!$L$7:$L$3006,0)),IFERROR(INDEX('CARNET DE SOUDURE'!$B$7:$B$3006,MATCH(B64,'CARNET DE SOUDURE'!$O$7:$O$3006,0)),"")))</f>
        <v>MFD-ISW → MFD-CPF</v>
      </c>
      <c r="J64" s="82" t="str">
        <f aca="false">IF(B64="","",IFERROR(INDEX('CARNET DE SOUDURE'!$E$7:$E$3006,MATCH(B64,'CARNET DE SOUDURE'!$O$7:$O$3006,0)),""))</f>
        <v>DJ°438</v>
      </c>
      <c r="K64" s="82" t="str">
        <f aca="false">IF(B64="","",IFERROR(INDEX('CARNET DE SOUDURE'!$E$7:$E$3006,MATCH(B64,'CARNET DE SOUDURE'!$L$7:$L$3006,0)),""))</f>
        <v>JN°790</v>
      </c>
      <c r="L64" s="82" t="n">
        <f aca="false">IF(B64="","",IFERROR(INDEX('CARNET DE SOUDURE'!$D$7:$D$3006,MATCH(B64,'CARNET DE SOUDURE'!$L$7:$L$3006,0)),IFERROR(INDEX('CARNET DE SOUDURE'!$D$7:$D$3006,MATCH(B64,'CARNET DE SOUDURE'!$O$7:$O$3006,0)),"")))</f>
        <v>4</v>
      </c>
      <c r="M64" s="82" t="str">
        <f aca="false">IF(B64="","",IF(OR(J64&lt;&gt;"",K64&lt;&gt;""),"POSÉ EN LIGNE",IF(COUNTIF(BARDAGE!$C$1:$C$5000,B64)&gt;0,"BARDÉ","EN STOCK")))</f>
        <v>POSÉ EN LIGNE</v>
      </c>
      <c r="N64" s="80"/>
    </row>
    <row r="65" customFormat="false" ht="15" hidden="false" customHeight="false" outlineLevel="0" collapsed="false">
      <c r="A65" s="82" t="n">
        <f aca="false">IF(B65="","",ROW()-6)</f>
        <v>59</v>
      </c>
      <c r="B65" s="145" t="n">
        <v>2088770</v>
      </c>
      <c r="C65" s="146" t="n">
        <v>15421105</v>
      </c>
      <c r="D65" s="146"/>
      <c r="E65" s="82" t="str">
        <f aca="false">IF(B65="","",IF(COUNTIFS('CARNET DE SOUDURE'!$L$7:$L$3006,B65,'CARNET DE SOUDURE'!$M$7:$M$3006,"&lt;&gt;"&amp;C65,'CARNET DE SOUDURE'!$M$7:$M$3006,"&lt;&gt;")+COUNTIFS('CARNET DE SOUDURE'!$O$7:$O$3006,B65,'CARNET DE SOUDURE'!$P$7:$P$3006,"&lt;&gt;"&amp;C65,'CARNET DE SOUDURE'!$P$7:$P$3006,"&lt;&gt;")&gt;0,"⚠ DIFFÉRENTE","OK"))</f>
        <v>OK</v>
      </c>
      <c r="F65" s="147" t="n">
        <v>11.94</v>
      </c>
      <c r="G65" s="80"/>
      <c r="H65" s="83"/>
      <c r="I65" s="148" t="str">
        <f aca="false">IF(B65="","",IFERROR(INDEX('CARNET DE SOUDURE'!$B$7:$B$3006,MATCH(B65,'CARNET DE SOUDURE'!$L$7:$L$3006,0)),IFERROR(INDEX('CARNET DE SOUDURE'!$B$7:$B$3006,MATCH(B65,'CARNET DE SOUDURE'!$O$7:$O$3006,0)),"")))</f>
        <v>MFD-ISW → MFD-CPF</v>
      </c>
      <c r="J65" s="82" t="str">
        <f aca="false">IF(B65="","",IFERROR(INDEX('CARNET DE SOUDURE'!$E$7:$E$3006,MATCH(B65,'CARNET DE SOUDURE'!$O$7:$O$3006,0)),""))</f>
        <v>JN°790</v>
      </c>
      <c r="K65" s="82" t="str">
        <f aca="false">IF(B65="","",IFERROR(INDEX('CARNET DE SOUDURE'!$E$7:$E$3006,MATCH(B65,'CARNET DE SOUDURE'!$L$7:$L$3006,0)),""))</f>
        <v>DJ°497</v>
      </c>
      <c r="L65" s="82" t="n">
        <f aca="false">IF(B65="","",IFERROR(INDEX('CARNET DE SOUDURE'!$D$7:$D$3006,MATCH(B65,'CARNET DE SOUDURE'!$L$7:$L$3006,0)),IFERROR(INDEX('CARNET DE SOUDURE'!$D$7:$D$3006,MATCH(B65,'CARNET DE SOUDURE'!$O$7:$O$3006,0)),"")))</f>
        <v>5</v>
      </c>
      <c r="M65" s="82" t="str">
        <f aca="false">IF(B65="","",IF(OR(J65&lt;&gt;"",K65&lt;&gt;""),"POSÉ EN LIGNE",IF(COUNTIF(BARDAGE!$C$1:$C$5000,B65)&gt;0,"BARDÉ","EN STOCK")))</f>
        <v>POSÉ EN LIGNE</v>
      </c>
      <c r="N65" s="80"/>
    </row>
    <row r="66" customFormat="false" ht="15" hidden="false" customHeight="false" outlineLevel="0" collapsed="false">
      <c r="A66" s="82" t="n">
        <f aca="false">IF(B66="","",ROW()-6)</f>
        <v>60</v>
      </c>
      <c r="B66" s="145" t="n">
        <v>2094150</v>
      </c>
      <c r="C66" s="146" t="n">
        <v>15421109</v>
      </c>
      <c r="D66" s="146"/>
      <c r="E66" s="82" t="str">
        <f aca="false">IF(B66="","",IF(COUNTIFS('CARNET DE SOUDURE'!$L$7:$L$3006,B66,'CARNET DE SOUDURE'!$M$7:$M$3006,"&lt;&gt;"&amp;C66,'CARNET DE SOUDURE'!$M$7:$M$3006,"&lt;&gt;")+COUNTIFS('CARNET DE SOUDURE'!$O$7:$O$3006,B66,'CARNET DE SOUDURE'!$P$7:$P$3006,"&lt;&gt;"&amp;C66,'CARNET DE SOUDURE'!$P$7:$P$3006,"&lt;&gt;")&gt;0,"⚠ DIFFÉRENTE","OK"))</f>
        <v>OK</v>
      </c>
      <c r="F66" s="147" t="n">
        <v>11.94</v>
      </c>
      <c r="G66" s="80"/>
      <c r="H66" s="83"/>
      <c r="I66" s="148" t="str">
        <f aca="false">IF(B66="","",IFERROR(INDEX('CARNET DE SOUDURE'!$B$7:$B$3006,MATCH(B66,'CARNET DE SOUDURE'!$L$7:$L$3006,0)),IFERROR(INDEX('CARNET DE SOUDURE'!$B$7:$B$3006,MATCH(B66,'CARNET DE SOUDURE'!$O$7:$O$3006,0)),"")))</f>
        <v>MFD-ISW → MFD-CPF</v>
      </c>
      <c r="J66" s="82" t="str">
        <f aca="false">IF(B66="","",IFERROR(INDEX('CARNET DE SOUDURE'!$E$7:$E$3006,MATCH(B66,'CARNET DE SOUDURE'!$O$7:$O$3006,0)),""))</f>
        <v>DJ°497</v>
      </c>
      <c r="K66" s="82" t="str">
        <f aca="false">IF(B66="","",IFERROR(INDEX('CARNET DE SOUDURE'!$E$7:$E$3006,MATCH(B66,'CARNET DE SOUDURE'!$L$7:$L$3006,0)),""))</f>
        <v>JN°791</v>
      </c>
      <c r="L66" s="82" t="n">
        <f aca="false">IF(B66="","",IFERROR(INDEX('CARNET DE SOUDURE'!$D$7:$D$3006,MATCH(B66,'CARNET DE SOUDURE'!$L$7:$L$3006,0)),IFERROR(INDEX('CARNET DE SOUDURE'!$D$7:$D$3006,MATCH(B66,'CARNET DE SOUDURE'!$O$7:$O$3006,0)),"")))</f>
        <v>5</v>
      </c>
      <c r="M66" s="82" t="str">
        <f aca="false">IF(B66="","",IF(OR(J66&lt;&gt;"",K66&lt;&gt;""),"POSÉ EN LIGNE",IF(COUNTIF(BARDAGE!$C$1:$C$5000,B66)&gt;0,"BARDÉ","EN STOCK")))</f>
        <v>POSÉ EN LIGNE</v>
      </c>
      <c r="N66" s="80"/>
    </row>
    <row r="67" customFormat="false" ht="15" hidden="false" customHeight="false" outlineLevel="0" collapsed="false">
      <c r="A67" s="82" t="n">
        <f aca="false">IF(B67="","",ROW()-6)</f>
        <v>61</v>
      </c>
      <c r="B67" s="145" t="n">
        <v>2095360</v>
      </c>
      <c r="C67" s="146" t="n">
        <v>15421111</v>
      </c>
      <c r="D67" s="146"/>
      <c r="E67" s="82" t="str">
        <f aca="false">IF(B67="","",IF(COUNTIFS('CARNET DE SOUDURE'!$L$7:$L$3006,B67,'CARNET DE SOUDURE'!$M$7:$M$3006,"&lt;&gt;"&amp;C67,'CARNET DE SOUDURE'!$M$7:$M$3006,"&lt;&gt;")+COUNTIFS('CARNET DE SOUDURE'!$O$7:$O$3006,B67,'CARNET DE SOUDURE'!$P$7:$P$3006,"&lt;&gt;"&amp;C67,'CARNET DE SOUDURE'!$P$7:$P$3006,"&lt;&gt;")&gt;0,"⚠ DIFFÉRENTE","OK"))</f>
        <v>OK</v>
      </c>
      <c r="F67" s="147" t="n">
        <v>11.94</v>
      </c>
      <c r="G67" s="80"/>
      <c r="H67" s="83"/>
      <c r="I67" s="148" t="str">
        <f aca="false">IF(B67="","",IFERROR(INDEX('CARNET DE SOUDURE'!$B$7:$B$3006,MATCH(B67,'CARNET DE SOUDURE'!$L$7:$L$3006,0)),IFERROR(INDEX('CARNET DE SOUDURE'!$B$7:$B$3006,MATCH(B67,'CARNET DE SOUDURE'!$O$7:$O$3006,0)),"")))</f>
        <v>MFD-ISW → MFD-CPF</v>
      </c>
      <c r="J67" s="82" t="str">
        <f aca="false">IF(B67="","",IFERROR(INDEX('CARNET DE SOUDURE'!$E$7:$E$3006,MATCH(B67,'CARNET DE SOUDURE'!$O$7:$O$3006,0)),""))</f>
        <v>JN°791</v>
      </c>
      <c r="K67" s="82" t="str">
        <f aca="false">IF(B67="","",IFERROR(INDEX('CARNET DE SOUDURE'!$E$7:$E$3006,MATCH(B67,'CARNET DE SOUDURE'!$L$7:$L$3006,0)),""))</f>
        <v>DJ°480</v>
      </c>
      <c r="L67" s="82" t="n">
        <f aca="false">IF(B67="","",IFERROR(INDEX('CARNET DE SOUDURE'!$D$7:$D$3006,MATCH(B67,'CARNET DE SOUDURE'!$L$7:$L$3006,0)),IFERROR(INDEX('CARNET DE SOUDURE'!$D$7:$D$3006,MATCH(B67,'CARNET DE SOUDURE'!$O$7:$O$3006,0)),"")))</f>
        <v>5</v>
      </c>
      <c r="M67" s="82" t="str">
        <f aca="false">IF(B67="","",IF(OR(J67&lt;&gt;"",K67&lt;&gt;""),"POSÉ EN LIGNE",IF(COUNTIF(BARDAGE!$C$1:$C$5000,B67)&gt;0,"BARDÉ","EN STOCK")))</f>
        <v>POSÉ EN LIGNE</v>
      </c>
      <c r="N67" s="80"/>
    </row>
    <row r="68" customFormat="false" ht="15" hidden="false" customHeight="false" outlineLevel="0" collapsed="false">
      <c r="A68" s="82" t="n">
        <f aca="false">IF(B68="","",ROW()-6)</f>
        <v>62</v>
      </c>
      <c r="B68" s="145" t="n">
        <v>2095330</v>
      </c>
      <c r="C68" s="146" t="n">
        <v>15421111</v>
      </c>
      <c r="D68" s="146"/>
      <c r="E68" s="82" t="str">
        <f aca="false">IF(B68="","",IF(COUNTIFS('CARNET DE SOUDURE'!$L$7:$L$3006,B68,'CARNET DE SOUDURE'!$M$7:$M$3006,"&lt;&gt;"&amp;C68,'CARNET DE SOUDURE'!$M$7:$M$3006,"&lt;&gt;")+COUNTIFS('CARNET DE SOUDURE'!$O$7:$O$3006,B68,'CARNET DE SOUDURE'!$P$7:$P$3006,"&lt;&gt;"&amp;C68,'CARNET DE SOUDURE'!$P$7:$P$3006,"&lt;&gt;")&gt;0,"⚠ DIFFÉRENTE","OK"))</f>
        <v>OK</v>
      </c>
      <c r="F68" s="147" t="n">
        <v>11.94</v>
      </c>
      <c r="G68" s="80"/>
      <c r="H68" s="83"/>
      <c r="I68" s="148" t="str">
        <f aca="false">IF(B68="","",IFERROR(INDEX('CARNET DE SOUDURE'!$B$7:$B$3006,MATCH(B68,'CARNET DE SOUDURE'!$L$7:$L$3006,0)),IFERROR(INDEX('CARNET DE SOUDURE'!$B$7:$B$3006,MATCH(B68,'CARNET DE SOUDURE'!$O$7:$O$3006,0)),"")))</f>
        <v>MFD-ISW → MFD-CPF</v>
      </c>
      <c r="J68" s="82" t="str">
        <f aca="false">IF(B68="","",IFERROR(INDEX('CARNET DE SOUDURE'!$E$7:$E$3006,MATCH(B68,'CARNET DE SOUDURE'!$O$7:$O$3006,0)),""))</f>
        <v>DJ°480</v>
      </c>
      <c r="K68" s="82" t="str">
        <f aca="false">IF(B68="","",IFERROR(INDEX('CARNET DE SOUDURE'!$E$7:$E$3006,MATCH(B68,'CARNET DE SOUDURE'!$L$7:$L$3006,0)),""))</f>
        <v>JN°792</v>
      </c>
      <c r="L68" s="82" t="n">
        <f aca="false">IF(B68="","",IFERROR(INDEX('CARNET DE SOUDURE'!$D$7:$D$3006,MATCH(B68,'CARNET DE SOUDURE'!$L$7:$L$3006,0)),IFERROR(INDEX('CARNET DE SOUDURE'!$D$7:$D$3006,MATCH(B68,'CARNET DE SOUDURE'!$O$7:$O$3006,0)),"")))</f>
        <v>5</v>
      </c>
      <c r="M68" s="82" t="str">
        <f aca="false">IF(B68="","",IF(OR(J68&lt;&gt;"",K68&lt;&gt;""),"POSÉ EN LIGNE",IF(COUNTIF(BARDAGE!$C$1:$C$5000,B68)&gt;0,"BARDÉ","EN STOCK")))</f>
        <v>POSÉ EN LIGNE</v>
      </c>
      <c r="N68" s="80"/>
    </row>
    <row r="69" customFormat="false" ht="15" hidden="false" customHeight="false" outlineLevel="0" collapsed="false">
      <c r="A69" s="82" t="n">
        <f aca="false">IF(B69="","",ROW()-6)</f>
        <v>63</v>
      </c>
      <c r="B69" s="145" t="n">
        <v>2096130</v>
      </c>
      <c r="C69" s="146" t="n">
        <v>15421110</v>
      </c>
      <c r="D69" s="146"/>
      <c r="E69" s="82" t="str">
        <f aca="false">IF(B69="","",IF(COUNTIFS('CARNET DE SOUDURE'!$L$7:$L$3006,B69,'CARNET DE SOUDURE'!$M$7:$M$3006,"&lt;&gt;"&amp;C69,'CARNET DE SOUDURE'!$M$7:$M$3006,"&lt;&gt;")+COUNTIFS('CARNET DE SOUDURE'!$O$7:$O$3006,B69,'CARNET DE SOUDURE'!$P$7:$P$3006,"&lt;&gt;"&amp;C69,'CARNET DE SOUDURE'!$P$7:$P$3006,"&lt;&gt;")&gt;0,"⚠ DIFFÉRENTE","OK"))</f>
        <v>OK</v>
      </c>
      <c r="F69" s="147" t="n">
        <v>11.94</v>
      </c>
      <c r="G69" s="80"/>
      <c r="H69" s="83"/>
      <c r="I69" s="148" t="str">
        <f aca="false">IF(B69="","",IFERROR(INDEX('CARNET DE SOUDURE'!$B$7:$B$3006,MATCH(B69,'CARNET DE SOUDURE'!$L$7:$L$3006,0)),IFERROR(INDEX('CARNET DE SOUDURE'!$B$7:$B$3006,MATCH(B69,'CARNET DE SOUDURE'!$O$7:$O$3006,0)),"")))</f>
        <v>MFD-ISW → MFD-CPF</v>
      </c>
      <c r="J69" s="82" t="str">
        <f aca="false">IF(B69="","",IFERROR(INDEX('CARNET DE SOUDURE'!$E$7:$E$3006,MATCH(B69,'CARNET DE SOUDURE'!$O$7:$O$3006,0)),""))</f>
        <v>JN°792</v>
      </c>
      <c r="K69" s="82" t="str">
        <f aca="false">IF(B69="","",IFERROR(INDEX('CARNET DE SOUDURE'!$E$7:$E$3006,MATCH(B69,'CARNET DE SOUDURE'!$L$7:$L$3006,0)),""))</f>
        <v>DJ°495</v>
      </c>
      <c r="L69" s="82" t="n">
        <f aca="false">IF(B69="","",IFERROR(INDEX('CARNET DE SOUDURE'!$D$7:$D$3006,MATCH(B69,'CARNET DE SOUDURE'!$L$7:$L$3006,0)),IFERROR(INDEX('CARNET DE SOUDURE'!$D$7:$D$3006,MATCH(B69,'CARNET DE SOUDURE'!$O$7:$O$3006,0)),"")))</f>
        <v>5</v>
      </c>
      <c r="M69" s="82" t="str">
        <f aca="false">IF(B69="","",IF(OR(J69&lt;&gt;"",K69&lt;&gt;""),"POSÉ EN LIGNE",IF(COUNTIF(BARDAGE!$C$1:$C$5000,B69)&gt;0,"BARDÉ","EN STOCK")))</f>
        <v>POSÉ EN LIGNE</v>
      </c>
      <c r="N69" s="80"/>
    </row>
    <row r="70" customFormat="false" ht="15" hidden="false" customHeight="false" outlineLevel="0" collapsed="false">
      <c r="A70" s="82" t="n">
        <f aca="false">IF(B70="","",ROW()-6)</f>
        <v>64</v>
      </c>
      <c r="B70" s="145" t="n">
        <v>2082340</v>
      </c>
      <c r="C70" s="146" t="n">
        <v>15421104</v>
      </c>
      <c r="D70" s="146"/>
      <c r="E70" s="82" t="str">
        <f aca="false">IF(B70="","",IF(COUNTIFS('CARNET DE SOUDURE'!$L$7:$L$3006,B70,'CARNET DE SOUDURE'!$M$7:$M$3006,"&lt;&gt;"&amp;C70,'CARNET DE SOUDURE'!$M$7:$M$3006,"&lt;&gt;")+COUNTIFS('CARNET DE SOUDURE'!$O$7:$O$3006,B70,'CARNET DE SOUDURE'!$P$7:$P$3006,"&lt;&gt;"&amp;C70,'CARNET DE SOUDURE'!$P$7:$P$3006,"&lt;&gt;")&gt;0,"⚠ DIFFÉRENTE","OK"))</f>
        <v>⚠ DIFFÉRENTE</v>
      </c>
      <c r="F70" s="147" t="n">
        <v>11.94</v>
      </c>
      <c r="G70" s="80"/>
      <c r="H70" s="83"/>
      <c r="I70" s="148" t="str">
        <f aca="false">IF(B70="","",IFERROR(INDEX('CARNET DE SOUDURE'!$B$7:$B$3006,MATCH(B70,'CARNET DE SOUDURE'!$L$7:$L$3006,0)),IFERROR(INDEX('CARNET DE SOUDURE'!$B$7:$B$3006,MATCH(B70,'CARNET DE SOUDURE'!$O$7:$O$3006,0)),"")))</f>
        <v>MFD-ISW → MFD-CPF</v>
      </c>
      <c r="J70" s="82" t="str">
        <f aca="false">IF(B70="","",IFERROR(INDEX('CARNET DE SOUDURE'!$E$7:$E$3006,MATCH(B70,'CARNET DE SOUDURE'!$O$7:$O$3006,0)),""))</f>
        <v>DJ°495</v>
      </c>
      <c r="K70" s="82" t="str">
        <f aca="false">IF(B70="","",IFERROR(INDEX('CARNET DE SOUDURE'!$E$7:$E$3006,MATCH(B70,'CARNET DE SOUDURE'!$L$7:$L$3006,0)),""))</f>
        <v>JN°793</v>
      </c>
      <c r="L70" s="82" t="n">
        <f aca="false">IF(B70="","",IFERROR(INDEX('CARNET DE SOUDURE'!$D$7:$D$3006,MATCH(B70,'CARNET DE SOUDURE'!$L$7:$L$3006,0)),IFERROR(INDEX('CARNET DE SOUDURE'!$D$7:$D$3006,MATCH(B70,'CARNET DE SOUDURE'!$O$7:$O$3006,0)),"")))</f>
        <v>5</v>
      </c>
      <c r="M70" s="82" t="str">
        <f aca="false">IF(B70="","",IF(OR(J70&lt;&gt;"",K70&lt;&gt;""),"POSÉ EN LIGNE",IF(COUNTIF(BARDAGE!$C$1:$C$5000,B70)&gt;0,"BARDÉ","EN STOCK")))</f>
        <v>POSÉ EN LIGNE</v>
      </c>
      <c r="N70" s="80"/>
    </row>
    <row r="71" customFormat="false" ht="15" hidden="false" customHeight="false" outlineLevel="0" collapsed="false">
      <c r="A71" s="82" t="n">
        <f aca="false">IF(B71="","",ROW()-6)</f>
        <v>65</v>
      </c>
      <c r="B71" s="145" t="n">
        <v>2084860</v>
      </c>
      <c r="C71" s="146" t="n">
        <v>15421106</v>
      </c>
      <c r="D71" s="146"/>
      <c r="E71" s="82" t="str">
        <f aca="false">IF(B71="","",IF(COUNTIFS('CARNET DE SOUDURE'!$L$7:$L$3006,B71,'CARNET DE SOUDURE'!$M$7:$M$3006,"&lt;&gt;"&amp;C71,'CARNET DE SOUDURE'!$M$7:$M$3006,"&lt;&gt;")+COUNTIFS('CARNET DE SOUDURE'!$O$7:$O$3006,B71,'CARNET DE SOUDURE'!$P$7:$P$3006,"&lt;&gt;"&amp;C71,'CARNET DE SOUDURE'!$P$7:$P$3006,"&lt;&gt;")&gt;0,"⚠ DIFFÉRENTE","OK"))</f>
        <v>OK</v>
      </c>
      <c r="F71" s="147" t="n">
        <v>11.94</v>
      </c>
      <c r="G71" s="80"/>
      <c r="H71" s="83"/>
      <c r="I71" s="148" t="str">
        <f aca="false">IF(B71="","",IFERROR(INDEX('CARNET DE SOUDURE'!$B$7:$B$3006,MATCH(B71,'CARNET DE SOUDURE'!$L$7:$L$3006,0)),IFERROR(INDEX('CARNET DE SOUDURE'!$B$7:$B$3006,MATCH(B71,'CARNET DE SOUDURE'!$O$7:$O$3006,0)),"")))</f>
        <v>MFD-ISW → MFD-CPF</v>
      </c>
      <c r="J71" s="82" t="str">
        <f aca="false">IF(B71="","",IFERROR(INDEX('CARNET DE SOUDURE'!$E$7:$E$3006,MATCH(B71,'CARNET DE SOUDURE'!$O$7:$O$3006,0)),""))</f>
        <v>JN°793</v>
      </c>
      <c r="K71" s="82" t="str">
        <f aca="false">IF(B71="","",IFERROR(INDEX('CARNET DE SOUDURE'!$E$7:$E$3006,MATCH(B71,'CARNET DE SOUDURE'!$L$7:$L$3006,0)),""))</f>
        <v>DJ°482</v>
      </c>
      <c r="L71" s="82" t="n">
        <f aca="false">IF(B71="","",IFERROR(INDEX('CARNET DE SOUDURE'!$D$7:$D$3006,MATCH(B71,'CARNET DE SOUDURE'!$L$7:$L$3006,0)),IFERROR(INDEX('CARNET DE SOUDURE'!$D$7:$D$3006,MATCH(B71,'CARNET DE SOUDURE'!$O$7:$O$3006,0)),"")))</f>
        <v>5</v>
      </c>
      <c r="M71" s="82" t="str">
        <f aca="false">IF(B71="","",IF(OR(J71&lt;&gt;"",K71&lt;&gt;""),"POSÉ EN LIGNE",IF(COUNTIF(BARDAGE!$C$1:$C$5000,B71)&gt;0,"BARDÉ","EN STOCK")))</f>
        <v>POSÉ EN LIGNE</v>
      </c>
      <c r="N71" s="80"/>
    </row>
    <row r="72" customFormat="false" ht="15" hidden="false" customHeight="false" outlineLevel="0" collapsed="false">
      <c r="A72" s="82" t="n">
        <f aca="false">IF(B72="","",ROW()-6)</f>
        <v>66</v>
      </c>
      <c r="B72" s="145" t="n">
        <v>2088960</v>
      </c>
      <c r="C72" s="146" t="n">
        <v>15421108</v>
      </c>
      <c r="D72" s="146"/>
      <c r="E72" s="82" t="str">
        <f aca="false">IF(B72="","",IF(COUNTIFS('CARNET DE SOUDURE'!$L$7:$L$3006,B72,'CARNET DE SOUDURE'!$M$7:$M$3006,"&lt;&gt;"&amp;C72,'CARNET DE SOUDURE'!$M$7:$M$3006,"&lt;&gt;")+COUNTIFS('CARNET DE SOUDURE'!$O$7:$O$3006,B72,'CARNET DE SOUDURE'!$P$7:$P$3006,"&lt;&gt;"&amp;C72,'CARNET DE SOUDURE'!$P$7:$P$3006,"&lt;&gt;")&gt;0,"⚠ DIFFÉRENTE","OK"))</f>
        <v>OK</v>
      </c>
      <c r="F72" s="147" t="n">
        <v>11.94</v>
      </c>
      <c r="G72" s="80"/>
      <c r="H72" s="83"/>
      <c r="I72" s="148" t="str">
        <f aca="false">IF(B72="","",IFERROR(INDEX('CARNET DE SOUDURE'!$B$7:$B$3006,MATCH(B72,'CARNET DE SOUDURE'!$L$7:$L$3006,0)),IFERROR(INDEX('CARNET DE SOUDURE'!$B$7:$B$3006,MATCH(B72,'CARNET DE SOUDURE'!$O$7:$O$3006,0)),"")))</f>
        <v>MFD-ISW → MFD-CPF</v>
      </c>
      <c r="J72" s="82" t="str">
        <f aca="false">IF(B72="","",IFERROR(INDEX('CARNET DE SOUDURE'!$E$7:$E$3006,MATCH(B72,'CARNET DE SOUDURE'!$O$7:$O$3006,0)),""))</f>
        <v>DJ°482</v>
      </c>
      <c r="K72" s="82" t="str">
        <f aca="false">IF(B72="","",IFERROR(INDEX('CARNET DE SOUDURE'!$E$7:$E$3006,MATCH(B72,'CARNET DE SOUDURE'!$L$7:$L$3006,0)),""))</f>
        <v>JN°794</v>
      </c>
      <c r="L72" s="82" t="n">
        <f aca="false">IF(B72="","",IFERROR(INDEX('CARNET DE SOUDURE'!$D$7:$D$3006,MATCH(B72,'CARNET DE SOUDURE'!$L$7:$L$3006,0)),IFERROR(INDEX('CARNET DE SOUDURE'!$D$7:$D$3006,MATCH(B72,'CARNET DE SOUDURE'!$O$7:$O$3006,0)),"")))</f>
        <v>5</v>
      </c>
      <c r="M72" s="82" t="str">
        <f aca="false">IF(B72="","",IF(OR(J72&lt;&gt;"",K72&lt;&gt;""),"POSÉ EN LIGNE",IF(COUNTIF(BARDAGE!$C$1:$C$5000,B72)&gt;0,"BARDÉ","EN STOCK")))</f>
        <v>POSÉ EN LIGNE</v>
      </c>
      <c r="N72" s="80"/>
    </row>
    <row r="73" customFormat="false" ht="15" hidden="false" customHeight="false" outlineLevel="0" collapsed="false">
      <c r="A73" s="82" t="n">
        <f aca="false">IF(B73="","",ROW()-6)</f>
        <v>67</v>
      </c>
      <c r="B73" s="145" t="n">
        <v>2090090</v>
      </c>
      <c r="C73" s="146" t="n">
        <v>15421109</v>
      </c>
      <c r="D73" s="146"/>
      <c r="E73" s="82" t="str">
        <f aca="false">IF(B73="","",IF(COUNTIFS('CARNET DE SOUDURE'!$L$7:$L$3006,B73,'CARNET DE SOUDURE'!$M$7:$M$3006,"&lt;&gt;"&amp;C73,'CARNET DE SOUDURE'!$M$7:$M$3006,"&lt;&gt;")+COUNTIFS('CARNET DE SOUDURE'!$O$7:$O$3006,B73,'CARNET DE SOUDURE'!$P$7:$P$3006,"&lt;&gt;"&amp;C73,'CARNET DE SOUDURE'!$P$7:$P$3006,"&lt;&gt;")&gt;0,"⚠ DIFFÉRENTE","OK"))</f>
        <v>OK</v>
      </c>
      <c r="F73" s="147" t="n">
        <v>11.94</v>
      </c>
      <c r="G73" s="80"/>
      <c r="H73" s="83"/>
      <c r="I73" s="148" t="str">
        <f aca="false">IF(B73="","",IFERROR(INDEX('CARNET DE SOUDURE'!$B$7:$B$3006,MATCH(B73,'CARNET DE SOUDURE'!$L$7:$L$3006,0)),IFERROR(INDEX('CARNET DE SOUDURE'!$B$7:$B$3006,MATCH(B73,'CARNET DE SOUDURE'!$O$7:$O$3006,0)),"")))</f>
        <v>MFD-ISW → MFD-CPF</v>
      </c>
      <c r="J73" s="82" t="str">
        <f aca="false">IF(B73="","",IFERROR(INDEX('CARNET DE SOUDURE'!$E$7:$E$3006,MATCH(B73,'CARNET DE SOUDURE'!$O$7:$O$3006,0)),""))</f>
        <v>JN°794</v>
      </c>
      <c r="K73" s="82" t="str">
        <f aca="false">IF(B73="","",IFERROR(INDEX('CARNET DE SOUDURE'!$E$7:$E$3006,MATCH(B73,'CARNET DE SOUDURE'!$L$7:$L$3006,0)),""))</f>
        <v>DJ°481</v>
      </c>
      <c r="L73" s="82" t="n">
        <f aca="false">IF(B73="","",IFERROR(INDEX('CARNET DE SOUDURE'!$D$7:$D$3006,MATCH(B73,'CARNET DE SOUDURE'!$L$7:$L$3006,0)),IFERROR(INDEX('CARNET DE SOUDURE'!$D$7:$D$3006,MATCH(B73,'CARNET DE SOUDURE'!$O$7:$O$3006,0)),"")))</f>
        <v>5</v>
      </c>
      <c r="M73" s="82" t="str">
        <f aca="false">IF(B73="","",IF(OR(J73&lt;&gt;"",K73&lt;&gt;""),"POSÉ EN LIGNE",IF(COUNTIF(BARDAGE!$C$1:$C$5000,B73)&gt;0,"BARDÉ","EN STOCK")))</f>
        <v>POSÉ EN LIGNE</v>
      </c>
      <c r="N73" s="80"/>
    </row>
    <row r="74" customFormat="false" ht="15" hidden="false" customHeight="false" outlineLevel="0" collapsed="false">
      <c r="A74" s="82" t="n">
        <f aca="false">IF(B74="","",ROW()-6)</f>
        <v>68</v>
      </c>
      <c r="B74" s="145" t="n">
        <v>2090740</v>
      </c>
      <c r="C74" s="146" t="n">
        <v>15421109</v>
      </c>
      <c r="D74" s="146"/>
      <c r="E74" s="82" t="str">
        <f aca="false">IF(B74="","",IF(COUNTIFS('CARNET DE SOUDURE'!$L$7:$L$3006,B74,'CARNET DE SOUDURE'!$M$7:$M$3006,"&lt;&gt;"&amp;C74,'CARNET DE SOUDURE'!$M$7:$M$3006,"&lt;&gt;")+COUNTIFS('CARNET DE SOUDURE'!$O$7:$O$3006,B74,'CARNET DE SOUDURE'!$P$7:$P$3006,"&lt;&gt;"&amp;C74,'CARNET DE SOUDURE'!$P$7:$P$3006,"&lt;&gt;")&gt;0,"⚠ DIFFÉRENTE","OK"))</f>
        <v>OK</v>
      </c>
      <c r="F74" s="147" t="n">
        <v>11.94</v>
      </c>
      <c r="G74" s="80"/>
      <c r="H74" s="83"/>
      <c r="I74" s="148" t="str">
        <f aca="false">IF(B74="","",IFERROR(INDEX('CARNET DE SOUDURE'!$B$7:$B$3006,MATCH(B74,'CARNET DE SOUDURE'!$L$7:$L$3006,0)),IFERROR(INDEX('CARNET DE SOUDURE'!$B$7:$B$3006,MATCH(B74,'CARNET DE SOUDURE'!$O$7:$O$3006,0)),"")))</f>
        <v>MFD-ISW → MFD-CPF</v>
      </c>
      <c r="J74" s="82" t="str">
        <f aca="false">IF(B74="","",IFERROR(INDEX('CARNET DE SOUDURE'!$E$7:$E$3006,MATCH(B74,'CARNET DE SOUDURE'!$O$7:$O$3006,0)),""))</f>
        <v>DJ°481</v>
      </c>
      <c r="K74" s="82" t="str">
        <f aca="false">IF(B74="","",IFERROR(INDEX('CARNET DE SOUDURE'!$E$7:$E$3006,MATCH(B74,'CARNET DE SOUDURE'!$L$7:$L$3006,0)),""))</f>
        <v>JN°795</v>
      </c>
      <c r="L74" s="82" t="n">
        <f aca="false">IF(B74="","",IFERROR(INDEX('CARNET DE SOUDURE'!$D$7:$D$3006,MATCH(B74,'CARNET DE SOUDURE'!$L$7:$L$3006,0)),IFERROR(INDEX('CARNET DE SOUDURE'!$D$7:$D$3006,MATCH(B74,'CARNET DE SOUDURE'!$O$7:$O$3006,0)),"")))</f>
        <v>5</v>
      </c>
      <c r="M74" s="82" t="str">
        <f aca="false">IF(B74="","",IF(OR(J74&lt;&gt;"",K74&lt;&gt;""),"POSÉ EN LIGNE",IF(COUNTIF(BARDAGE!$C$1:$C$5000,B74)&gt;0,"BARDÉ","EN STOCK")))</f>
        <v>POSÉ EN LIGNE</v>
      </c>
      <c r="N74" s="80"/>
    </row>
    <row r="75" customFormat="false" ht="15" hidden="false" customHeight="false" outlineLevel="0" collapsed="false">
      <c r="A75" s="82" t="n">
        <f aca="false">IF(B75="","",ROW()-6)</f>
        <v>69</v>
      </c>
      <c r="B75" s="145" t="n">
        <v>2096590</v>
      </c>
      <c r="C75" s="146" t="n">
        <v>15421108</v>
      </c>
      <c r="D75" s="146"/>
      <c r="E75" s="82" t="str">
        <f aca="false">IF(B75="","",IF(COUNTIFS('CARNET DE SOUDURE'!$L$7:$L$3006,B75,'CARNET DE SOUDURE'!$M$7:$M$3006,"&lt;&gt;"&amp;C75,'CARNET DE SOUDURE'!$M$7:$M$3006,"&lt;&gt;")+COUNTIFS('CARNET DE SOUDURE'!$O$7:$O$3006,B75,'CARNET DE SOUDURE'!$P$7:$P$3006,"&lt;&gt;"&amp;C75,'CARNET DE SOUDURE'!$P$7:$P$3006,"&lt;&gt;")&gt;0,"⚠ DIFFÉRENTE","OK"))</f>
        <v>OK</v>
      </c>
      <c r="F75" s="147" t="n">
        <v>11.94</v>
      </c>
      <c r="G75" s="80"/>
      <c r="H75" s="83"/>
      <c r="I75" s="148" t="str">
        <f aca="false">IF(B75="","",IFERROR(INDEX('CARNET DE SOUDURE'!$B$7:$B$3006,MATCH(B75,'CARNET DE SOUDURE'!$L$7:$L$3006,0)),IFERROR(INDEX('CARNET DE SOUDURE'!$B$7:$B$3006,MATCH(B75,'CARNET DE SOUDURE'!$O$7:$O$3006,0)),"")))</f>
        <v>MFD-ISW → MFD-CPF</v>
      </c>
      <c r="J75" s="82" t="str">
        <f aca="false">IF(B75="","",IFERROR(INDEX('CARNET DE SOUDURE'!$E$7:$E$3006,MATCH(B75,'CARNET DE SOUDURE'!$O$7:$O$3006,0)),""))</f>
        <v>JN°795</v>
      </c>
      <c r="K75" s="82" t="str">
        <f aca="false">IF(B75="","",IFERROR(INDEX('CARNET DE SOUDURE'!$E$7:$E$3006,MATCH(B75,'CARNET DE SOUDURE'!$L$7:$L$3006,0)),""))</f>
        <v>DJ°484</v>
      </c>
      <c r="L75" s="82" t="n">
        <f aca="false">IF(B75="","",IFERROR(INDEX('CARNET DE SOUDURE'!$D$7:$D$3006,MATCH(B75,'CARNET DE SOUDURE'!$L$7:$L$3006,0)),IFERROR(INDEX('CARNET DE SOUDURE'!$D$7:$D$3006,MATCH(B75,'CARNET DE SOUDURE'!$O$7:$O$3006,0)),"")))</f>
        <v>5</v>
      </c>
      <c r="M75" s="82" t="str">
        <f aca="false">IF(B75="","",IF(OR(J75&lt;&gt;"",K75&lt;&gt;""),"POSÉ EN LIGNE",IF(COUNTIF(BARDAGE!$C$1:$C$5000,B75)&gt;0,"BARDÉ","EN STOCK")))</f>
        <v>POSÉ EN LIGNE</v>
      </c>
      <c r="N75" s="80"/>
    </row>
    <row r="76" customFormat="false" ht="15" hidden="false" customHeight="false" outlineLevel="0" collapsed="false">
      <c r="A76" s="82" t="n">
        <f aca="false">IF(B76="","",ROW()-6)</f>
        <v>70</v>
      </c>
      <c r="B76" s="145" t="n">
        <v>2097840</v>
      </c>
      <c r="C76" s="146" t="n">
        <v>15421109</v>
      </c>
      <c r="D76" s="146"/>
      <c r="E76" s="82" t="str">
        <f aca="false">IF(B76="","",IF(COUNTIFS('CARNET DE SOUDURE'!$L$7:$L$3006,B76,'CARNET DE SOUDURE'!$M$7:$M$3006,"&lt;&gt;"&amp;C76,'CARNET DE SOUDURE'!$M$7:$M$3006,"&lt;&gt;")+COUNTIFS('CARNET DE SOUDURE'!$O$7:$O$3006,B76,'CARNET DE SOUDURE'!$P$7:$P$3006,"&lt;&gt;"&amp;C76,'CARNET DE SOUDURE'!$P$7:$P$3006,"&lt;&gt;")&gt;0,"⚠ DIFFÉRENTE","OK"))</f>
        <v>OK</v>
      </c>
      <c r="F76" s="147" t="n">
        <v>11.94</v>
      </c>
      <c r="G76" s="80"/>
      <c r="H76" s="83"/>
      <c r="I76" s="148" t="str">
        <f aca="false">IF(B76="","",IFERROR(INDEX('CARNET DE SOUDURE'!$B$7:$B$3006,MATCH(B76,'CARNET DE SOUDURE'!$L$7:$L$3006,0)),IFERROR(INDEX('CARNET DE SOUDURE'!$B$7:$B$3006,MATCH(B76,'CARNET DE SOUDURE'!$O$7:$O$3006,0)),"")))</f>
        <v>MFD-ISW → MFD-CPF</v>
      </c>
      <c r="J76" s="82" t="str">
        <f aca="false">IF(B76="","",IFERROR(INDEX('CARNET DE SOUDURE'!$E$7:$E$3006,MATCH(B76,'CARNET DE SOUDURE'!$O$7:$O$3006,0)),""))</f>
        <v>DJ°484</v>
      </c>
      <c r="K76" s="82" t="str">
        <f aca="false">IF(B76="","",IFERROR(INDEX('CARNET DE SOUDURE'!$E$7:$E$3006,MATCH(B76,'CARNET DE SOUDURE'!$L$7:$L$3006,0)),""))</f>
        <v>JN°796</v>
      </c>
      <c r="L76" s="82" t="n">
        <f aca="false">IF(B76="","",IFERROR(INDEX('CARNET DE SOUDURE'!$D$7:$D$3006,MATCH(B76,'CARNET DE SOUDURE'!$L$7:$L$3006,0)),IFERROR(INDEX('CARNET DE SOUDURE'!$D$7:$D$3006,MATCH(B76,'CARNET DE SOUDURE'!$O$7:$O$3006,0)),"")))</f>
        <v>5</v>
      </c>
      <c r="M76" s="82" t="str">
        <f aca="false">IF(B76="","",IF(OR(J76&lt;&gt;"",K76&lt;&gt;""),"POSÉ EN LIGNE",IF(COUNTIF(BARDAGE!$C$1:$C$5000,B76)&gt;0,"BARDÉ","EN STOCK")))</f>
        <v>POSÉ EN LIGNE</v>
      </c>
      <c r="N76" s="80"/>
    </row>
    <row r="77" customFormat="false" ht="15" hidden="false" customHeight="false" outlineLevel="0" collapsed="false">
      <c r="A77" s="82" t="n">
        <f aca="false">IF(B77="","",ROW()-6)</f>
        <v>71</v>
      </c>
      <c r="B77" s="145" t="n">
        <v>2087970</v>
      </c>
      <c r="C77" s="146" t="n">
        <v>15421108</v>
      </c>
      <c r="D77" s="146"/>
      <c r="E77" s="82" t="str">
        <f aca="false">IF(B77="","",IF(COUNTIFS('CARNET DE SOUDURE'!$L$7:$L$3006,B77,'CARNET DE SOUDURE'!$M$7:$M$3006,"&lt;&gt;"&amp;C77,'CARNET DE SOUDURE'!$M$7:$M$3006,"&lt;&gt;")+COUNTIFS('CARNET DE SOUDURE'!$O$7:$O$3006,B77,'CARNET DE SOUDURE'!$P$7:$P$3006,"&lt;&gt;"&amp;C77,'CARNET DE SOUDURE'!$P$7:$P$3006,"&lt;&gt;")&gt;0,"⚠ DIFFÉRENTE","OK"))</f>
        <v>OK</v>
      </c>
      <c r="F77" s="147" t="n">
        <v>11.94</v>
      </c>
      <c r="G77" s="80"/>
      <c r="H77" s="83"/>
      <c r="I77" s="148" t="str">
        <f aca="false">IF(B77="","",IFERROR(INDEX('CARNET DE SOUDURE'!$B$7:$B$3006,MATCH(B77,'CARNET DE SOUDURE'!$L$7:$L$3006,0)),IFERROR(INDEX('CARNET DE SOUDURE'!$B$7:$B$3006,MATCH(B77,'CARNET DE SOUDURE'!$O$7:$O$3006,0)),"")))</f>
        <v>MFD-ISW → MFD-CPF</v>
      </c>
      <c r="J77" s="82" t="str">
        <f aca="false">IF(B77="","",IFERROR(INDEX('CARNET DE SOUDURE'!$E$7:$E$3006,MATCH(B77,'CARNET DE SOUDURE'!$O$7:$O$3006,0)),""))</f>
        <v>JN°796</v>
      </c>
      <c r="K77" s="82" t="str">
        <f aca="false">IF(B77="","",IFERROR(INDEX('CARNET DE SOUDURE'!$E$7:$E$3006,MATCH(B77,'CARNET DE SOUDURE'!$L$7:$L$3006,0)),""))</f>
        <v>DJ°483</v>
      </c>
      <c r="L77" s="82" t="n">
        <f aca="false">IF(B77="","",IFERROR(INDEX('CARNET DE SOUDURE'!$D$7:$D$3006,MATCH(B77,'CARNET DE SOUDURE'!$L$7:$L$3006,0)),IFERROR(INDEX('CARNET DE SOUDURE'!$D$7:$D$3006,MATCH(B77,'CARNET DE SOUDURE'!$O$7:$O$3006,0)),"")))</f>
        <v>5</v>
      </c>
      <c r="M77" s="82" t="str">
        <f aca="false">IF(B77="","",IF(OR(J77&lt;&gt;"",K77&lt;&gt;""),"POSÉ EN LIGNE",IF(COUNTIF(BARDAGE!$C$1:$C$5000,B77)&gt;0,"BARDÉ","EN STOCK")))</f>
        <v>POSÉ EN LIGNE</v>
      </c>
      <c r="N77" s="80"/>
    </row>
    <row r="78" customFormat="false" ht="15" hidden="false" customHeight="false" outlineLevel="0" collapsed="false">
      <c r="A78" s="82" t="n">
        <f aca="false">IF(B78="","",ROW()-6)</f>
        <v>72</v>
      </c>
      <c r="B78" s="145" t="n">
        <v>2096150</v>
      </c>
      <c r="C78" s="146" t="n">
        <v>15421108</v>
      </c>
      <c r="D78" s="146"/>
      <c r="E78" s="82" t="str">
        <f aca="false">IF(B78="","",IF(COUNTIFS('CARNET DE SOUDURE'!$L$7:$L$3006,B78,'CARNET DE SOUDURE'!$M$7:$M$3006,"&lt;&gt;"&amp;C78,'CARNET DE SOUDURE'!$M$7:$M$3006,"&lt;&gt;")+COUNTIFS('CARNET DE SOUDURE'!$O$7:$O$3006,B78,'CARNET DE SOUDURE'!$P$7:$P$3006,"&lt;&gt;"&amp;C78,'CARNET DE SOUDURE'!$P$7:$P$3006,"&lt;&gt;")&gt;0,"⚠ DIFFÉRENTE","OK"))</f>
        <v>OK</v>
      </c>
      <c r="F78" s="147" t="n">
        <v>11.94</v>
      </c>
      <c r="G78" s="80"/>
      <c r="H78" s="83"/>
      <c r="I78" s="148" t="str">
        <f aca="false">IF(B78="","",IFERROR(INDEX('CARNET DE SOUDURE'!$B$7:$B$3006,MATCH(B78,'CARNET DE SOUDURE'!$L$7:$L$3006,0)),IFERROR(INDEX('CARNET DE SOUDURE'!$B$7:$B$3006,MATCH(B78,'CARNET DE SOUDURE'!$O$7:$O$3006,0)),"")))</f>
        <v>MFD-ISW → MFD-CPF</v>
      </c>
      <c r="J78" s="82" t="str">
        <f aca="false">IF(B78="","",IFERROR(INDEX('CARNET DE SOUDURE'!$E$7:$E$3006,MATCH(B78,'CARNET DE SOUDURE'!$O$7:$O$3006,0)),""))</f>
        <v>DJ°483</v>
      </c>
      <c r="K78" s="82" t="str">
        <f aca="false">IF(B78="","",IFERROR(INDEX('CARNET DE SOUDURE'!$E$7:$E$3006,MATCH(B78,'CARNET DE SOUDURE'!$L$7:$L$3006,0)),""))</f>
        <v>JN°797</v>
      </c>
      <c r="L78" s="82" t="n">
        <f aca="false">IF(B78="","",IFERROR(INDEX('CARNET DE SOUDURE'!$D$7:$D$3006,MATCH(B78,'CARNET DE SOUDURE'!$L$7:$L$3006,0)),IFERROR(INDEX('CARNET DE SOUDURE'!$D$7:$D$3006,MATCH(B78,'CARNET DE SOUDURE'!$O$7:$O$3006,0)),"")))</f>
        <v>5</v>
      </c>
      <c r="M78" s="82" t="str">
        <f aca="false">IF(B78="","",IF(OR(J78&lt;&gt;"",K78&lt;&gt;""),"POSÉ EN LIGNE",IF(COUNTIF(BARDAGE!$C$1:$C$5000,B78)&gt;0,"BARDÉ","EN STOCK")))</f>
        <v>POSÉ EN LIGNE</v>
      </c>
      <c r="N78" s="80"/>
    </row>
    <row r="79" customFormat="false" ht="15" hidden="false" customHeight="false" outlineLevel="0" collapsed="false">
      <c r="A79" s="82" t="n">
        <f aca="false">IF(B79="","",ROW()-6)</f>
        <v>73</v>
      </c>
      <c r="B79" s="145" t="n">
        <v>2096040</v>
      </c>
      <c r="C79" s="146" t="n">
        <v>15421109</v>
      </c>
      <c r="D79" s="146"/>
      <c r="E79" s="82" t="str">
        <f aca="false">IF(B79="","",IF(COUNTIFS('CARNET DE SOUDURE'!$L$7:$L$3006,B79,'CARNET DE SOUDURE'!$M$7:$M$3006,"&lt;&gt;"&amp;C79,'CARNET DE SOUDURE'!$M$7:$M$3006,"&lt;&gt;")+COUNTIFS('CARNET DE SOUDURE'!$O$7:$O$3006,B79,'CARNET DE SOUDURE'!$P$7:$P$3006,"&lt;&gt;"&amp;C79,'CARNET DE SOUDURE'!$P$7:$P$3006,"&lt;&gt;")&gt;0,"⚠ DIFFÉRENTE","OK"))</f>
        <v>OK</v>
      </c>
      <c r="F79" s="147" t="n">
        <v>11.94</v>
      </c>
      <c r="G79" s="80"/>
      <c r="H79" s="83"/>
      <c r="I79" s="148" t="str">
        <f aca="false">IF(B79="","",IFERROR(INDEX('CARNET DE SOUDURE'!$B$7:$B$3006,MATCH(B79,'CARNET DE SOUDURE'!$L$7:$L$3006,0)),IFERROR(INDEX('CARNET DE SOUDURE'!$B$7:$B$3006,MATCH(B79,'CARNET DE SOUDURE'!$O$7:$O$3006,0)),"")))</f>
        <v>MFD-ISW → MFD-CPF</v>
      </c>
      <c r="J79" s="82" t="str">
        <f aca="false">IF(B79="","",IFERROR(INDEX('CARNET DE SOUDURE'!$E$7:$E$3006,MATCH(B79,'CARNET DE SOUDURE'!$O$7:$O$3006,0)),""))</f>
        <v>JN°797</v>
      </c>
      <c r="K79" s="82" t="str">
        <f aca="false">IF(B79="","",IFERROR(INDEX('CARNET DE SOUDURE'!$E$7:$E$3006,MATCH(B79,'CARNET DE SOUDURE'!$L$7:$L$3006,0)),""))</f>
        <v>DJ°486</v>
      </c>
      <c r="L79" s="82" t="n">
        <f aca="false">IF(B79="","",IFERROR(INDEX('CARNET DE SOUDURE'!$D$7:$D$3006,MATCH(B79,'CARNET DE SOUDURE'!$L$7:$L$3006,0)),IFERROR(INDEX('CARNET DE SOUDURE'!$D$7:$D$3006,MATCH(B79,'CARNET DE SOUDURE'!$O$7:$O$3006,0)),"")))</f>
        <v>5</v>
      </c>
      <c r="M79" s="82" t="str">
        <f aca="false">IF(B79="","",IF(OR(J79&lt;&gt;"",K79&lt;&gt;""),"POSÉ EN LIGNE",IF(COUNTIF(BARDAGE!$C$1:$C$5000,B79)&gt;0,"BARDÉ","EN STOCK")))</f>
        <v>POSÉ EN LIGNE</v>
      </c>
      <c r="N79" s="80"/>
    </row>
    <row r="80" customFormat="false" ht="15" hidden="false" customHeight="false" outlineLevel="0" collapsed="false">
      <c r="A80" s="82" t="n">
        <f aca="false">IF(B80="","",ROW()-6)</f>
        <v>74</v>
      </c>
      <c r="B80" s="145" t="n">
        <v>2097200</v>
      </c>
      <c r="C80" s="146" t="n">
        <v>15421102</v>
      </c>
      <c r="D80" s="146"/>
      <c r="E80" s="82" t="str">
        <f aca="false">IF(B80="","",IF(COUNTIFS('CARNET DE SOUDURE'!$L$7:$L$3006,B80,'CARNET DE SOUDURE'!$M$7:$M$3006,"&lt;&gt;"&amp;C80,'CARNET DE SOUDURE'!$M$7:$M$3006,"&lt;&gt;")+COUNTIFS('CARNET DE SOUDURE'!$O$7:$O$3006,B80,'CARNET DE SOUDURE'!$P$7:$P$3006,"&lt;&gt;"&amp;C80,'CARNET DE SOUDURE'!$P$7:$P$3006,"&lt;&gt;")&gt;0,"⚠ DIFFÉRENTE","OK"))</f>
        <v>OK</v>
      </c>
      <c r="F80" s="147" t="n">
        <v>11.94</v>
      </c>
      <c r="G80" s="80"/>
      <c r="H80" s="83"/>
      <c r="I80" s="148" t="str">
        <f aca="false">IF(B80="","",IFERROR(INDEX('CARNET DE SOUDURE'!$B$7:$B$3006,MATCH(B80,'CARNET DE SOUDURE'!$L$7:$L$3006,0)),IFERROR(INDEX('CARNET DE SOUDURE'!$B$7:$B$3006,MATCH(B80,'CARNET DE SOUDURE'!$O$7:$O$3006,0)),"")))</f>
        <v>MFD-ISW → MFD-CPF</v>
      </c>
      <c r="J80" s="82" t="str">
        <f aca="false">IF(B80="","",IFERROR(INDEX('CARNET DE SOUDURE'!$E$7:$E$3006,MATCH(B80,'CARNET DE SOUDURE'!$O$7:$O$3006,0)),""))</f>
        <v>DJ°486</v>
      </c>
      <c r="K80" s="82" t="str">
        <f aca="false">IF(B80="","",IFERROR(INDEX('CARNET DE SOUDURE'!$E$7:$E$3006,MATCH(B80,'CARNET DE SOUDURE'!$L$7:$L$3006,0)),""))</f>
        <v>JN°798</v>
      </c>
      <c r="L80" s="82" t="n">
        <f aca="false">IF(B80="","",IFERROR(INDEX('CARNET DE SOUDURE'!$D$7:$D$3006,MATCH(B80,'CARNET DE SOUDURE'!$L$7:$L$3006,0)),IFERROR(INDEX('CARNET DE SOUDURE'!$D$7:$D$3006,MATCH(B80,'CARNET DE SOUDURE'!$O$7:$O$3006,0)),"")))</f>
        <v>5</v>
      </c>
      <c r="M80" s="82" t="str">
        <f aca="false">IF(B80="","",IF(OR(J80&lt;&gt;"",K80&lt;&gt;""),"POSÉ EN LIGNE",IF(COUNTIF(BARDAGE!$C$1:$C$5000,B80)&gt;0,"BARDÉ","EN STOCK")))</f>
        <v>POSÉ EN LIGNE</v>
      </c>
      <c r="N80" s="80"/>
    </row>
    <row r="81" customFormat="false" ht="15" hidden="false" customHeight="false" outlineLevel="0" collapsed="false">
      <c r="A81" s="82" t="n">
        <f aca="false">IF(B81="","",ROW()-6)</f>
        <v>75</v>
      </c>
      <c r="B81" s="145" t="n">
        <v>2084880</v>
      </c>
      <c r="C81" s="146" t="n">
        <v>15421106</v>
      </c>
      <c r="D81" s="146"/>
      <c r="E81" s="82" t="str">
        <f aca="false">IF(B81="","",IF(COUNTIFS('CARNET DE SOUDURE'!$L$7:$L$3006,B81,'CARNET DE SOUDURE'!$M$7:$M$3006,"&lt;&gt;"&amp;C81,'CARNET DE SOUDURE'!$M$7:$M$3006,"&lt;&gt;")+COUNTIFS('CARNET DE SOUDURE'!$O$7:$O$3006,B81,'CARNET DE SOUDURE'!$P$7:$P$3006,"&lt;&gt;"&amp;C81,'CARNET DE SOUDURE'!$P$7:$P$3006,"&lt;&gt;")&gt;0,"⚠ DIFFÉRENTE","OK"))</f>
        <v>OK</v>
      </c>
      <c r="F81" s="147" t="n">
        <v>11.94</v>
      </c>
      <c r="G81" s="80"/>
      <c r="H81" s="83"/>
      <c r="I81" s="148" t="str">
        <f aca="false">IF(B81="","",IFERROR(INDEX('CARNET DE SOUDURE'!$B$7:$B$3006,MATCH(B81,'CARNET DE SOUDURE'!$L$7:$L$3006,0)),IFERROR(INDEX('CARNET DE SOUDURE'!$B$7:$B$3006,MATCH(B81,'CARNET DE SOUDURE'!$O$7:$O$3006,0)),"")))</f>
        <v>MFD-ISW → MFD-CPF</v>
      </c>
      <c r="J81" s="82" t="str">
        <f aca="false">IF(B81="","",IFERROR(INDEX('CARNET DE SOUDURE'!$E$7:$E$3006,MATCH(B81,'CARNET DE SOUDURE'!$O$7:$O$3006,0)),""))</f>
        <v>JN°798</v>
      </c>
      <c r="K81" s="82" t="str">
        <f aca="false">IF(B81="","",IFERROR(INDEX('CARNET DE SOUDURE'!$E$7:$E$3006,MATCH(B81,'CARNET DE SOUDURE'!$L$7:$L$3006,0)),""))</f>
        <v>DJ°488</v>
      </c>
      <c r="L81" s="82" t="n">
        <f aca="false">IF(B81="","",IFERROR(INDEX('CARNET DE SOUDURE'!$D$7:$D$3006,MATCH(B81,'CARNET DE SOUDURE'!$L$7:$L$3006,0)),IFERROR(INDEX('CARNET DE SOUDURE'!$D$7:$D$3006,MATCH(B81,'CARNET DE SOUDURE'!$O$7:$O$3006,0)),"")))</f>
        <v>5</v>
      </c>
      <c r="M81" s="82" t="str">
        <f aca="false">IF(B81="","",IF(OR(J81&lt;&gt;"",K81&lt;&gt;""),"POSÉ EN LIGNE",IF(COUNTIF(BARDAGE!$C$1:$C$5000,B81)&gt;0,"BARDÉ","EN STOCK")))</f>
        <v>POSÉ EN LIGNE</v>
      </c>
      <c r="N81" s="80"/>
    </row>
    <row r="82" customFormat="false" ht="15" hidden="false" customHeight="false" outlineLevel="0" collapsed="false">
      <c r="A82" s="82" t="n">
        <f aca="false">IF(B82="","",ROW()-6)</f>
        <v>76</v>
      </c>
      <c r="B82" s="145" t="n">
        <v>2092950</v>
      </c>
      <c r="C82" s="146" t="n">
        <v>15421110</v>
      </c>
      <c r="D82" s="146"/>
      <c r="E82" s="82" t="str">
        <f aca="false">IF(B82="","",IF(COUNTIFS('CARNET DE SOUDURE'!$L$7:$L$3006,B82,'CARNET DE SOUDURE'!$M$7:$M$3006,"&lt;&gt;"&amp;C82,'CARNET DE SOUDURE'!$M$7:$M$3006,"&lt;&gt;")+COUNTIFS('CARNET DE SOUDURE'!$O$7:$O$3006,B82,'CARNET DE SOUDURE'!$P$7:$P$3006,"&lt;&gt;"&amp;C82,'CARNET DE SOUDURE'!$P$7:$P$3006,"&lt;&gt;")&gt;0,"⚠ DIFFÉRENTE","OK"))</f>
        <v>OK</v>
      </c>
      <c r="F82" s="147" t="n">
        <v>11.94</v>
      </c>
      <c r="G82" s="80"/>
      <c r="H82" s="83"/>
      <c r="I82" s="148" t="str">
        <f aca="false">IF(B82="","",IFERROR(INDEX('CARNET DE SOUDURE'!$B$7:$B$3006,MATCH(B82,'CARNET DE SOUDURE'!$L$7:$L$3006,0)),IFERROR(INDEX('CARNET DE SOUDURE'!$B$7:$B$3006,MATCH(B82,'CARNET DE SOUDURE'!$O$7:$O$3006,0)),"")))</f>
        <v>MFD-ISW → MFD-CPF</v>
      </c>
      <c r="J82" s="82" t="str">
        <f aca="false">IF(B82="","",IFERROR(INDEX('CARNET DE SOUDURE'!$E$7:$E$3006,MATCH(B82,'CARNET DE SOUDURE'!$O$7:$O$3006,0)),""))</f>
        <v>DJ°488</v>
      </c>
      <c r="K82" s="82" t="str">
        <f aca="false">IF(B82="","",IFERROR(INDEX('CARNET DE SOUDURE'!$E$7:$E$3006,MATCH(B82,'CARNET DE SOUDURE'!$L$7:$L$3006,0)),""))</f>
        <v>JN°799</v>
      </c>
      <c r="L82" s="82" t="n">
        <f aca="false">IF(B82="","",IFERROR(INDEX('CARNET DE SOUDURE'!$D$7:$D$3006,MATCH(B82,'CARNET DE SOUDURE'!$L$7:$L$3006,0)),IFERROR(INDEX('CARNET DE SOUDURE'!$D$7:$D$3006,MATCH(B82,'CARNET DE SOUDURE'!$O$7:$O$3006,0)),"")))</f>
        <v>5</v>
      </c>
      <c r="M82" s="82" t="str">
        <f aca="false">IF(B82="","",IF(OR(J82&lt;&gt;"",K82&lt;&gt;""),"POSÉ EN LIGNE",IF(COUNTIF(BARDAGE!$C$1:$C$5000,B82)&gt;0,"BARDÉ","EN STOCK")))</f>
        <v>POSÉ EN LIGNE</v>
      </c>
      <c r="N82" s="80"/>
    </row>
    <row r="83" customFormat="false" ht="15" hidden="false" customHeight="false" outlineLevel="0" collapsed="false">
      <c r="A83" s="82" t="n">
        <f aca="false">IF(B83="","",ROW()-6)</f>
        <v>77</v>
      </c>
      <c r="B83" s="145" t="n">
        <v>2094220</v>
      </c>
      <c r="C83" s="146" t="n">
        <v>15421110</v>
      </c>
      <c r="D83" s="146"/>
      <c r="E83" s="82" t="str">
        <f aca="false">IF(B83="","",IF(COUNTIFS('CARNET DE SOUDURE'!$L$7:$L$3006,B83,'CARNET DE SOUDURE'!$M$7:$M$3006,"&lt;&gt;"&amp;C83,'CARNET DE SOUDURE'!$M$7:$M$3006,"&lt;&gt;")+COUNTIFS('CARNET DE SOUDURE'!$O$7:$O$3006,B83,'CARNET DE SOUDURE'!$P$7:$P$3006,"&lt;&gt;"&amp;C83,'CARNET DE SOUDURE'!$P$7:$P$3006,"&lt;&gt;")&gt;0,"⚠ DIFFÉRENTE","OK"))</f>
        <v>OK</v>
      </c>
      <c r="F83" s="147" t="n">
        <v>11.94</v>
      </c>
      <c r="G83" s="80"/>
      <c r="H83" s="83"/>
      <c r="I83" s="148" t="str">
        <f aca="false">IF(B83="","",IFERROR(INDEX('CARNET DE SOUDURE'!$B$7:$B$3006,MATCH(B83,'CARNET DE SOUDURE'!$L$7:$L$3006,0)),IFERROR(INDEX('CARNET DE SOUDURE'!$B$7:$B$3006,MATCH(B83,'CARNET DE SOUDURE'!$O$7:$O$3006,0)),"")))</f>
        <v>MFD-ISW → MFD-CPF</v>
      </c>
      <c r="J83" s="82" t="str">
        <f aca="false">IF(B83="","",IFERROR(INDEX('CARNET DE SOUDURE'!$E$7:$E$3006,MATCH(B83,'CARNET DE SOUDURE'!$O$7:$O$3006,0)),""))</f>
        <v>JN°799</v>
      </c>
      <c r="K83" s="82" t="str">
        <f aca="false">IF(B83="","",IFERROR(INDEX('CARNET DE SOUDURE'!$E$7:$E$3006,MATCH(B83,'CARNET DE SOUDURE'!$L$7:$L$3006,0)),""))</f>
        <v>DJ°478</v>
      </c>
      <c r="L83" s="82" t="n">
        <f aca="false">IF(B83="","",IFERROR(INDEX('CARNET DE SOUDURE'!$D$7:$D$3006,MATCH(B83,'CARNET DE SOUDURE'!$L$7:$L$3006,0)),IFERROR(INDEX('CARNET DE SOUDURE'!$D$7:$D$3006,MATCH(B83,'CARNET DE SOUDURE'!$O$7:$O$3006,0)),"")))</f>
        <v>5</v>
      </c>
      <c r="M83" s="82" t="str">
        <f aca="false">IF(B83="","",IF(OR(J83&lt;&gt;"",K83&lt;&gt;""),"POSÉ EN LIGNE",IF(COUNTIF(BARDAGE!$C$1:$C$5000,B83)&gt;0,"BARDÉ","EN STOCK")))</f>
        <v>POSÉ EN LIGNE</v>
      </c>
      <c r="N83" s="80"/>
    </row>
    <row r="84" customFormat="false" ht="15" hidden="false" customHeight="false" outlineLevel="0" collapsed="false">
      <c r="A84" s="82" t="n">
        <f aca="false">IF(B84="","",ROW()-6)</f>
        <v>78</v>
      </c>
      <c r="B84" s="145" t="n">
        <v>2094200</v>
      </c>
      <c r="C84" s="146" t="n">
        <v>15421110</v>
      </c>
      <c r="D84" s="146"/>
      <c r="E84" s="82" t="str">
        <f aca="false">IF(B84="","",IF(COUNTIFS('CARNET DE SOUDURE'!$L$7:$L$3006,B84,'CARNET DE SOUDURE'!$M$7:$M$3006,"&lt;&gt;"&amp;C84,'CARNET DE SOUDURE'!$M$7:$M$3006,"&lt;&gt;")+COUNTIFS('CARNET DE SOUDURE'!$O$7:$O$3006,B84,'CARNET DE SOUDURE'!$P$7:$P$3006,"&lt;&gt;"&amp;C84,'CARNET DE SOUDURE'!$P$7:$P$3006,"&lt;&gt;")&gt;0,"⚠ DIFFÉRENTE","OK"))</f>
        <v>OK</v>
      </c>
      <c r="F84" s="147" t="n">
        <v>11.94</v>
      </c>
      <c r="G84" s="80"/>
      <c r="H84" s="83"/>
      <c r="I84" s="148" t="str">
        <f aca="false">IF(B84="","",IFERROR(INDEX('CARNET DE SOUDURE'!$B$7:$B$3006,MATCH(B84,'CARNET DE SOUDURE'!$L$7:$L$3006,0)),IFERROR(INDEX('CARNET DE SOUDURE'!$B$7:$B$3006,MATCH(B84,'CARNET DE SOUDURE'!$O$7:$O$3006,0)),"")))</f>
        <v>MFD-ISW → MFD-CPF</v>
      </c>
      <c r="J84" s="82" t="str">
        <f aca="false">IF(B84="","",IFERROR(INDEX('CARNET DE SOUDURE'!$E$7:$E$3006,MATCH(B84,'CARNET DE SOUDURE'!$O$7:$O$3006,0)),""))</f>
        <v>DJ°478</v>
      </c>
      <c r="K84" s="82" t="str">
        <f aca="false">IF(B84="","",IFERROR(INDEX('CARNET DE SOUDURE'!$E$7:$E$3006,MATCH(B84,'CARNET DE SOUDURE'!$L$7:$L$3006,0)),""))</f>
        <v>JN°800</v>
      </c>
      <c r="L84" s="82" t="n">
        <f aca="false">IF(B84="","",IFERROR(INDEX('CARNET DE SOUDURE'!$D$7:$D$3006,MATCH(B84,'CARNET DE SOUDURE'!$L$7:$L$3006,0)),IFERROR(INDEX('CARNET DE SOUDURE'!$D$7:$D$3006,MATCH(B84,'CARNET DE SOUDURE'!$O$7:$O$3006,0)),"")))</f>
        <v>5</v>
      </c>
      <c r="M84" s="82" t="str">
        <f aca="false">IF(B84="","",IF(OR(J84&lt;&gt;"",K84&lt;&gt;""),"POSÉ EN LIGNE",IF(COUNTIF(BARDAGE!$C$1:$C$5000,B84)&gt;0,"BARDÉ","EN STOCK")))</f>
        <v>POSÉ EN LIGNE</v>
      </c>
      <c r="N84" s="80"/>
    </row>
    <row r="85" customFormat="false" ht="15" hidden="false" customHeight="false" outlineLevel="0" collapsed="false">
      <c r="A85" s="82" t="n">
        <f aca="false">IF(B85="","",ROW()-6)</f>
        <v>79</v>
      </c>
      <c r="B85" s="145" t="n">
        <v>2092010</v>
      </c>
      <c r="C85" s="146" t="n">
        <v>15421109</v>
      </c>
      <c r="D85" s="146"/>
      <c r="E85" s="82" t="str">
        <f aca="false">IF(B85="","",IF(COUNTIFS('CARNET DE SOUDURE'!$L$7:$L$3006,B85,'CARNET DE SOUDURE'!$M$7:$M$3006,"&lt;&gt;"&amp;C85,'CARNET DE SOUDURE'!$M$7:$M$3006,"&lt;&gt;")+COUNTIFS('CARNET DE SOUDURE'!$O$7:$O$3006,B85,'CARNET DE SOUDURE'!$P$7:$P$3006,"&lt;&gt;"&amp;C85,'CARNET DE SOUDURE'!$P$7:$P$3006,"&lt;&gt;")&gt;0,"⚠ DIFFÉRENTE","OK"))</f>
        <v>OK</v>
      </c>
      <c r="F85" s="147" t="n">
        <v>11.94</v>
      </c>
      <c r="G85" s="80"/>
      <c r="H85" s="83"/>
      <c r="I85" s="148" t="str">
        <f aca="false">IF(B85="","",IFERROR(INDEX('CARNET DE SOUDURE'!$B$7:$B$3006,MATCH(B85,'CARNET DE SOUDURE'!$L$7:$L$3006,0)),IFERROR(INDEX('CARNET DE SOUDURE'!$B$7:$B$3006,MATCH(B85,'CARNET DE SOUDURE'!$O$7:$O$3006,0)),"")))</f>
        <v>MFD-ISW → MFD-CPF</v>
      </c>
      <c r="J85" s="82" t="str">
        <f aca="false">IF(B85="","",IFERROR(INDEX('CARNET DE SOUDURE'!$E$7:$E$3006,MATCH(B85,'CARNET DE SOUDURE'!$O$7:$O$3006,0)),""))</f>
        <v>JN°800</v>
      </c>
      <c r="K85" s="82" t="str">
        <f aca="false">IF(B85="","",IFERROR(INDEX('CARNET DE SOUDURE'!$E$7:$E$3006,MATCH(B85,'CARNET DE SOUDURE'!$L$7:$L$3006,0)),""))</f>
        <v>DJ°485</v>
      </c>
      <c r="L85" s="82" t="n">
        <f aca="false">IF(B85="","",IFERROR(INDEX('CARNET DE SOUDURE'!$D$7:$D$3006,MATCH(B85,'CARNET DE SOUDURE'!$L$7:$L$3006,0)),IFERROR(INDEX('CARNET DE SOUDURE'!$D$7:$D$3006,MATCH(B85,'CARNET DE SOUDURE'!$O$7:$O$3006,0)),"")))</f>
        <v>5</v>
      </c>
      <c r="M85" s="82" t="str">
        <f aca="false">IF(B85="","",IF(OR(J85&lt;&gt;"",K85&lt;&gt;""),"POSÉ EN LIGNE",IF(COUNTIF(BARDAGE!$C$1:$C$5000,B85)&gt;0,"BARDÉ","EN STOCK")))</f>
        <v>POSÉ EN LIGNE</v>
      </c>
      <c r="N85" s="80"/>
    </row>
    <row r="86" customFormat="false" ht="15" hidden="false" customHeight="false" outlineLevel="0" collapsed="false">
      <c r="A86" s="82" t="n">
        <f aca="false">IF(B86="","",ROW()-6)</f>
        <v>80</v>
      </c>
      <c r="B86" s="145" t="n">
        <v>2083410</v>
      </c>
      <c r="C86" s="146" t="n">
        <v>15421105</v>
      </c>
      <c r="D86" s="146"/>
      <c r="E86" s="82" t="str">
        <f aca="false">IF(B86="","",IF(COUNTIFS('CARNET DE SOUDURE'!$L$7:$L$3006,B86,'CARNET DE SOUDURE'!$M$7:$M$3006,"&lt;&gt;"&amp;C86,'CARNET DE SOUDURE'!$M$7:$M$3006,"&lt;&gt;")+COUNTIFS('CARNET DE SOUDURE'!$O$7:$O$3006,B86,'CARNET DE SOUDURE'!$P$7:$P$3006,"&lt;&gt;"&amp;C86,'CARNET DE SOUDURE'!$P$7:$P$3006,"&lt;&gt;")&gt;0,"⚠ DIFFÉRENTE","OK"))</f>
        <v>OK</v>
      </c>
      <c r="F86" s="147" t="n">
        <v>11.94</v>
      </c>
      <c r="G86" s="80"/>
      <c r="H86" s="83"/>
      <c r="I86" s="148" t="str">
        <f aca="false">IF(B86="","",IFERROR(INDEX('CARNET DE SOUDURE'!$B$7:$B$3006,MATCH(B86,'CARNET DE SOUDURE'!$L$7:$L$3006,0)),IFERROR(INDEX('CARNET DE SOUDURE'!$B$7:$B$3006,MATCH(B86,'CARNET DE SOUDURE'!$O$7:$O$3006,0)),"")))</f>
        <v>MFD-ISW → MFD-CPF</v>
      </c>
      <c r="J86" s="82" t="str">
        <f aca="false">IF(B86="","",IFERROR(INDEX('CARNET DE SOUDURE'!$E$7:$E$3006,MATCH(B86,'CARNET DE SOUDURE'!$O$7:$O$3006,0)),""))</f>
        <v>DJ°485</v>
      </c>
      <c r="K86" s="82" t="str">
        <f aca="false">IF(B86="","",IFERROR(INDEX('CARNET DE SOUDURE'!$E$7:$E$3006,MATCH(B86,'CARNET DE SOUDURE'!$L$7:$L$3006,0)),""))</f>
        <v>JN°801</v>
      </c>
      <c r="L86" s="82" t="n">
        <f aca="false">IF(B86="","",IFERROR(INDEX('CARNET DE SOUDURE'!$D$7:$D$3006,MATCH(B86,'CARNET DE SOUDURE'!$L$7:$L$3006,0)),IFERROR(INDEX('CARNET DE SOUDURE'!$D$7:$D$3006,MATCH(B86,'CARNET DE SOUDURE'!$O$7:$O$3006,0)),"")))</f>
        <v>5</v>
      </c>
      <c r="M86" s="82" t="str">
        <f aca="false">IF(B86="","",IF(OR(J86&lt;&gt;"",K86&lt;&gt;""),"POSÉ EN LIGNE",IF(COUNTIF(BARDAGE!$C$1:$C$5000,B86)&gt;0,"BARDÉ","EN STOCK")))</f>
        <v>POSÉ EN LIGNE</v>
      </c>
      <c r="N86" s="80"/>
    </row>
    <row r="87" customFormat="false" ht="15" hidden="false" customHeight="false" outlineLevel="0" collapsed="false">
      <c r="A87" s="82" t="n">
        <f aca="false">IF(B87="","",ROW()-6)</f>
        <v>81</v>
      </c>
      <c r="B87" s="145" t="n">
        <v>2088140</v>
      </c>
      <c r="C87" s="146" t="n">
        <v>15421108</v>
      </c>
      <c r="D87" s="146"/>
      <c r="E87" s="82" t="str">
        <f aca="false">IF(B87="","",IF(COUNTIFS('CARNET DE SOUDURE'!$L$7:$L$3006,B87,'CARNET DE SOUDURE'!$M$7:$M$3006,"&lt;&gt;"&amp;C87,'CARNET DE SOUDURE'!$M$7:$M$3006,"&lt;&gt;")+COUNTIFS('CARNET DE SOUDURE'!$O$7:$O$3006,B87,'CARNET DE SOUDURE'!$P$7:$P$3006,"&lt;&gt;"&amp;C87,'CARNET DE SOUDURE'!$P$7:$P$3006,"&lt;&gt;")&gt;0,"⚠ DIFFÉRENTE","OK"))</f>
        <v>OK</v>
      </c>
      <c r="F87" s="147" t="n">
        <v>11.94</v>
      </c>
      <c r="G87" s="80"/>
      <c r="H87" s="83"/>
      <c r="I87" s="148" t="str">
        <f aca="false">IF(B87="","",IFERROR(INDEX('CARNET DE SOUDURE'!$B$7:$B$3006,MATCH(B87,'CARNET DE SOUDURE'!$L$7:$L$3006,0)),IFERROR(INDEX('CARNET DE SOUDURE'!$B$7:$B$3006,MATCH(B87,'CARNET DE SOUDURE'!$O$7:$O$3006,0)),"")))</f>
        <v>MFD-ISW → MFD-CPF</v>
      </c>
      <c r="J87" s="82" t="str">
        <f aca="false">IF(B87="","",IFERROR(INDEX('CARNET DE SOUDURE'!$E$7:$E$3006,MATCH(B87,'CARNET DE SOUDURE'!$O$7:$O$3006,0)),""))</f>
        <v>JN°801</v>
      </c>
      <c r="K87" s="82" t="str">
        <f aca="false">IF(B87="","",IFERROR(INDEX('CARNET DE SOUDURE'!$E$7:$E$3006,MATCH(B87,'CARNET DE SOUDURE'!$L$7:$L$3006,0)),""))</f>
        <v>DJ°490</v>
      </c>
      <c r="L87" s="82" t="str">
        <f aca="false">IF(B87="","",IFERROR(INDEX('CARNET DE SOUDURE'!$D$7:$D$3006,MATCH(B87,'CARNET DE SOUDURE'!$L$7:$L$3006,0)),IFERROR(INDEX('CARNET DE SOUDURE'!$D$7:$D$3006,MATCH(B87,'CARNET DE SOUDURE'!$O$7:$O$3006,0)),"")))</f>
        <v>/</v>
      </c>
      <c r="M87" s="82" t="str">
        <f aca="false">IF(B87="","",IF(OR(J87&lt;&gt;"",K87&lt;&gt;""),"POSÉ EN LIGNE",IF(COUNTIF(BARDAGE!$C$1:$C$5000,B87)&gt;0,"BARDÉ","EN STOCK")))</f>
        <v>POSÉ EN LIGNE</v>
      </c>
      <c r="N87" s="80"/>
    </row>
    <row r="88" customFormat="false" ht="15" hidden="false" customHeight="false" outlineLevel="0" collapsed="false">
      <c r="A88" s="82" t="n">
        <f aca="false">IF(B88="","",ROW()-6)</f>
        <v>82</v>
      </c>
      <c r="B88" s="145" t="n">
        <v>2094590</v>
      </c>
      <c r="C88" s="146" t="n">
        <v>15421108</v>
      </c>
      <c r="D88" s="146"/>
      <c r="E88" s="82" t="str">
        <f aca="false">IF(B88="","",IF(COUNTIFS('CARNET DE SOUDURE'!$L$7:$L$3006,B88,'CARNET DE SOUDURE'!$M$7:$M$3006,"&lt;&gt;"&amp;C88,'CARNET DE SOUDURE'!$M$7:$M$3006,"&lt;&gt;")+COUNTIFS('CARNET DE SOUDURE'!$O$7:$O$3006,B88,'CARNET DE SOUDURE'!$P$7:$P$3006,"&lt;&gt;"&amp;C88,'CARNET DE SOUDURE'!$P$7:$P$3006,"&lt;&gt;")&gt;0,"⚠ DIFFÉRENTE","OK"))</f>
        <v>OK</v>
      </c>
      <c r="F88" s="147" t="n">
        <v>11.94</v>
      </c>
      <c r="G88" s="80"/>
      <c r="H88" s="83"/>
      <c r="I88" s="148" t="str">
        <f aca="false">IF(B88="","",IFERROR(INDEX('CARNET DE SOUDURE'!$B$7:$B$3006,MATCH(B88,'CARNET DE SOUDURE'!$L$7:$L$3006,0)),IFERROR(INDEX('CARNET DE SOUDURE'!$B$7:$B$3006,MATCH(B88,'CARNET DE SOUDURE'!$O$7:$O$3006,0)),"")))</f>
        <v>MFD-ISW → MFD-CPF</v>
      </c>
      <c r="J88" s="82" t="str">
        <f aca="false">IF(B88="","",IFERROR(INDEX('CARNET DE SOUDURE'!$E$7:$E$3006,MATCH(B88,'CARNET DE SOUDURE'!$O$7:$O$3006,0)),""))</f>
        <v>DJ°490</v>
      </c>
      <c r="K88" s="82" t="str">
        <f aca="false">IF(B88="","",IFERROR(INDEX('CARNET DE SOUDURE'!$E$7:$E$3006,MATCH(B88,'CARNET DE SOUDURE'!$L$7:$L$3006,0)),""))</f>
        <v>JN°802</v>
      </c>
      <c r="L88" s="82" t="n">
        <f aca="false">IF(B88="","",IFERROR(INDEX('CARNET DE SOUDURE'!$D$7:$D$3006,MATCH(B88,'CARNET DE SOUDURE'!$L$7:$L$3006,0)),IFERROR(INDEX('CARNET DE SOUDURE'!$D$7:$D$3006,MATCH(B88,'CARNET DE SOUDURE'!$O$7:$O$3006,0)),"")))</f>
        <v>5</v>
      </c>
      <c r="M88" s="82" t="str">
        <f aca="false">IF(B88="","",IF(OR(J88&lt;&gt;"",K88&lt;&gt;""),"POSÉ EN LIGNE",IF(COUNTIF(BARDAGE!$C$1:$C$5000,B88)&gt;0,"BARDÉ","EN STOCK")))</f>
        <v>POSÉ EN LIGNE</v>
      </c>
      <c r="N88" s="80"/>
    </row>
    <row r="89" customFormat="false" ht="15" hidden="false" customHeight="false" outlineLevel="0" collapsed="false">
      <c r="A89" s="82" t="n">
        <f aca="false">IF(B89="","",ROW()-6)</f>
        <v>83</v>
      </c>
      <c r="B89" s="145" t="n">
        <v>2081240</v>
      </c>
      <c r="C89" s="146" t="n">
        <v>15421109</v>
      </c>
      <c r="D89" s="146"/>
      <c r="E89" s="82" t="str">
        <f aca="false">IF(B89="","",IF(COUNTIFS('CARNET DE SOUDURE'!$L$7:$L$3006,B89,'CARNET DE SOUDURE'!$M$7:$M$3006,"&lt;&gt;"&amp;C89,'CARNET DE SOUDURE'!$M$7:$M$3006,"&lt;&gt;")+COUNTIFS('CARNET DE SOUDURE'!$O$7:$O$3006,B89,'CARNET DE SOUDURE'!$P$7:$P$3006,"&lt;&gt;"&amp;C89,'CARNET DE SOUDURE'!$P$7:$P$3006,"&lt;&gt;")&gt;0,"⚠ DIFFÉRENTE","OK"))</f>
        <v>OK</v>
      </c>
      <c r="F89" s="147" t="n">
        <v>11.94</v>
      </c>
      <c r="G89" s="80"/>
      <c r="H89" s="83"/>
      <c r="I89" s="148" t="str">
        <f aca="false">IF(B89="","",IFERROR(INDEX('CARNET DE SOUDURE'!$B$7:$B$3006,MATCH(B89,'CARNET DE SOUDURE'!$L$7:$L$3006,0)),IFERROR(INDEX('CARNET DE SOUDURE'!$B$7:$B$3006,MATCH(B89,'CARNET DE SOUDURE'!$O$7:$O$3006,0)),"")))</f>
        <v>MFD-ISW → MFD-CPF</v>
      </c>
      <c r="J89" s="82" t="str">
        <f aca="false">IF(B89="","",IFERROR(INDEX('CARNET DE SOUDURE'!$E$7:$E$3006,MATCH(B89,'CARNET DE SOUDURE'!$O$7:$O$3006,0)),""))</f>
        <v>JN°802</v>
      </c>
      <c r="K89" s="82" t="str">
        <f aca="false">IF(B89="","",IFERROR(INDEX('CARNET DE SOUDURE'!$E$7:$E$3006,MATCH(B89,'CARNET DE SOUDURE'!$L$7:$L$3006,0)),""))</f>
        <v>DJ°463</v>
      </c>
      <c r="L89" s="82" t="n">
        <f aca="false">IF(B89="","",IFERROR(INDEX('CARNET DE SOUDURE'!$D$7:$D$3006,MATCH(B89,'CARNET DE SOUDURE'!$L$7:$L$3006,0)),IFERROR(INDEX('CARNET DE SOUDURE'!$D$7:$D$3006,MATCH(B89,'CARNET DE SOUDURE'!$O$7:$O$3006,0)),"")))</f>
        <v>5</v>
      </c>
      <c r="M89" s="82" t="str">
        <f aca="false">IF(B89="","",IF(OR(J89&lt;&gt;"",K89&lt;&gt;""),"POSÉ EN LIGNE",IF(COUNTIF(BARDAGE!$C$1:$C$5000,B89)&gt;0,"BARDÉ","EN STOCK")))</f>
        <v>POSÉ EN LIGNE</v>
      </c>
      <c r="N89" s="80"/>
    </row>
    <row r="90" customFormat="false" ht="15" hidden="false" customHeight="false" outlineLevel="0" collapsed="false">
      <c r="A90" s="82" t="n">
        <f aca="false">IF(B90="","",ROW()-6)</f>
        <v>84</v>
      </c>
      <c r="B90" s="145" t="n">
        <v>2082550</v>
      </c>
      <c r="C90" s="146" t="n">
        <v>15421104</v>
      </c>
      <c r="D90" s="146"/>
      <c r="E90" s="82" t="str">
        <f aca="false">IF(B90="","",IF(COUNTIFS('CARNET DE SOUDURE'!$L$7:$L$3006,B90,'CARNET DE SOUDURE'!$M$7:$M$3006,"&lt;&gt;"&amp;C90,'CARNET DE SOUDURE'!$M$7:$M$3006,"&lt;&gt;")+COUNTIFS('CARNET DE SOUDURE'!$O$7:$O$3006,B90,'CARNET DE SOUDURE'!$P$7:$P$3006,"&lt;&gt;"&amp;C90,'CARNET DE SOUDURE'!$P$7:$P$3006,"&lt;&gt;")&gt;0,"⚠ DIFFÉRENTE","OK"))</f>
        <v>OK</v>
      </c>
      <c r="F90" s="147" t="n">
        <v>11.94</v>
      </c>
      <c r="G90" s="80"/>
      <c r="H90" s="83"/>
      <c r="I90" s="148" t="str">
        <f aca="false">IF(B90="","",IFERROR(INDEX('CARNET DE SOUDURE'!$B$7:$B$3006,MATCH(B90,'CARNET DE SOUDURE'!$L$7:$L$3006,0)),IFERROR(INDEX('CARNET DE SOUDURE'!$B$7:$B$3006,MATCH(B90,'CARNET DE SOUDURE'!$O$7:$O$3006,0)),"")))</f>
        <v>MFD-ISW → MFD-CPF</v>
      </c>
      <c r="J90" s="82" t="str">
        <f aca="false">IF(B90="","",IFERROR(INDEX('CARNET DE SOUDURE'!$E$7:$E$3006,MATCH(B90,'CARNET DE SOUDURE'!$O$7:$O$3006,0)),""))</f>
        <v>DJ°463</v>
      </c>
      <c r="K90" s="82" t="str">
        <f aca="false">IF(B90="","",IFERROR(INDEX('CARNET DE SOUDURE'!$E$7:$E$3006,MATCH(B90,'CARNET DE SOUDURE'!$L$7:$L$3006,0)),""))</f>
        <v>JN°803</v>
      </c>
      <c r="L90" s="82" t="n">
        <f aca="false">IF(B90="","",IFERROR(INDEX('CARNET DE SOUDURE'!$D$7:$D$3006,MATCH(B90,'CARNET DE SOUDURE'!$L$7:$L$3006,0)),IFERROR(INDEX('CARNET DE SOUDURE'!$D$7:$D$3006,MATCH(B90,'CARNET DE SOUDURE'!$O$7:$O$3006,0)),"")))</f>
        <v>5</v>
      </c>
      <c r="M90" s="82" t="str">
        <f aca="false">IF(B90="","",IF(OR(J90&lt;&gt;"",K90&lt;&gt;""),"POSÉ EN LIGNE",IF(COUNTIF(BARDAGE!$C$1:$C$5000,B90)&gt;0,"BARDÉ","EN STOCK")))</f>
        <v>POSÉ EN LIGNE</v>
      </c>
      <c r="N90" s="80"/>
    </row>
    <row r="91" customFormat="false" ht="15" hidden="false" customHeight="false" outlineLevel="0" collapsed="false">
      <c r="A91" s="82" t="n">
        <f aca="false">IF(B91="","",ROW()-6)</f>
        <v>85</v>
      </c>
      <c r="B91" s="145" t="n">
        <v>2089770</v>
      </c>
      <c r="C91" s="146" t="n">
        <v>15421109</v>
      </c>
      <c r="D91" s="146"/>
      <c r="E91" s="82" t="str">
        <f aca="false">IF(B91="","",IF(COUNTIFS('CARNET DE SOUDURE'!$L$7:$L$3006,B91,'CARNET DE SOUDURE'!$M$7:$M$3006,"&lt;&gt;"&amp;C91,'CARNET DE SOUDURE'!$M$7:$M$3006,"&lt;&gt;")+COUNTIFS('CARNET DE SOUDURE'!$O$7:$O$3006,B91,'CARNET DE SOUDURE'!$P$7:$P$3006,"&lt;&gt;"&amp;C91,'CARNET DE SOUDURE'!$P$7:$P$3006,"&lt;&gt;")&gt;0,"⚠ DIFFÉRENTE","OK"))</f>
        <v>OK</v>
      </c>
      <c r="F91" s="147" t="n">
        <v>11.94</v>
      </c>
      <c r="G91" s="80"/>
      <c r="H91" s="83"/>
      <c r="I91" s="148" t="str">
        <f aca="false">IF(B91="","",IFERROR(INDEX('CARNET DE SOUDURE'!$B$7:$B$3006,MATCH(B91,'CARNET DE SOUDURE'!$L$7:$L$3006,0)),IFERROR(INDEX('CARNET DE SOUDURE'!$B$7:$B$3006,MATCH(B91,'CARNET DE SOUDURE'!$O$7:$O$3006,0)),"")))</f>
        <v>MFD-ISW → MFD-CPF</v>
      </c>
      <c r="J91" s="82" t="str">
        <f aca="false">IF(B91="","",IFERROR(INDEX('CARNET DE SOUDURE'!$E$7:$E$3006,MATCH(B91,'CARNET DE SOUDURE'!$O$7:$O$3006,0)),""))</f>
        <v>JN°803</v>
      </c>
      <c r="K91" s="82" t="str">
        <f aca="false">IF(B91="","",IFERROR(INDEX('CARNET DE SOUDURE'!$E$7:$E$3006,MATCH(B91,'CARNET DE SOUDURE'!$L$7:$L$3006,0)),""))</f>
        <v>DJ°491</v>
      </c>
      <c r="L91" s="82" t="str">
        <f aca="false">IF(B91="","",IFERROR(INDEX('CARNET DE SOUDURE'!$D$7:$D$3006,MATCH(B91,'CARNET DE SOUDURE'!$L$7:$L$3006,0)),IFERROR(INDEX('CARNET DE SOUDURE'!$D$7:$D$3006,MATCH(B91,'CARNET DE SOUDURE'!$O$7:$O$3006,0)),"")))</f>
        <v>/</v>
      </c>
      <c r="M91" s="82" t="str">
        <f aca="false">IF(B91="","",IF(OR(J91&lt;&gt;"",K91&lt;&gt;""),"POSÉ EN LIGNE",IF(COUNTIF(BARDAGE!$C$1:$C$5000,B91)&gt;0,"BARDÉ","EN STOCK")))</f>
        <v>POSÉ EN LIGNE</v>
      </c>
      <c r="N91" s="80"/>
    </row>
    <row r="92" customFormat="false" ht="15" hidden="false" customHeight="false" outlineLevel="0" collapsed="false">
      <c r="A92" s="82" t="n">
        <f aca="false">IF(B92="","",ROW()-6)</f>
        <v>86</v>
      </c>
      <c r="B92" s="145" t="n">
        <v>2081340</v>
      </c>
      <c r="C92" s="146" t="n">
        <v>15421103</v>
      </c>
      <c r="D92" s="146"/>
      <c r="E92" s="82" t="str">
        <f aca="false">IF(B92="","",IF(COUNTIFS('CARNET DE SOUDURE'!$L$7:$L$3006,B92,'CARNET DE SOUDURE'!$M$7:$M$3006,"&lt;&gt;"&amp;C92,'CARNET DE SOUDURE'!$M$7:$M$3006,"&lt;&gt;")+COUNTIFS('CARNET DE SOUDURE'!$O$7:$O$3006,B92,'CARNET DE SOUDURE'!$P$7:$P$3006,"&lt;&gt;"&amp;C92,'CARNET DE SOUDURE'!$P$7:$P$3006,"&lt;&gt;")&gt;0,"⚠ DIFFÉRENTE","OK"))</f>
        <v>OK</v>
      </c>
      <c r="F92" s="147" t="n">
        <v>11.94</v>
      </c>
      <c r="G92" s="80"/>
      <c r="H92" s="83"/>
      <c r="I92" s="148" t="str">
        <f aca="false">IF(B92="","",IFERROR(INDEX('CARNET DE SOUDURE'!$B$7:$B$3006,MATCH(B92,'CARNET DE SOUDURE'!$L$7:$L$3006,0)),IFERROR(INDEX('CARNET DE SOUDURE'!$B$7:$B$3006,MATCH(B92,'CARNET DE SOUDURE'!$O$7:$O$3006,0)),"")))</f>
        <v>MFD-ISW → MFD-CPF</v>
      </c>
      <c r="J92" s="82" t="str">
        <f aca="false">IF(B92="","",IFERROR(INDEX('CARNET DE SOUDURE'!$E$7:$E$3006,MATCH(B92,'CARNET DE SOUDURE'!$O$7:$O$3006,0)),""))</f>
        <v>DJ°491</v>
      </c>
      <c r="K92" s="82" t="str">
        <f aca="false">IF(B92="","",IFERROR(INDEX('CARNET DE SOUDURE'!$E$7:$E$3006,MATCH(B92,'CARNET DE SOUDURE'!$L$7:$L$3006,0)),""))</f>
        <v>JN°804</v>
      </c>
      <c r="L92" s="82" t="n">
        <f aca="false">IF(B92="","",IFERROR(INDEX('CARNET DE SOUDURE'!$D$7:$D$3006,MATCH(B92,'CARNET DE SOUDURE'!$L$7:$L$3006,0)),IFERROR(INDEX('CARNET DE SOUDURE'!$D$7:$D$3006,MATCH(B92,'CARNET DE SOUDURE'!$O$7:$O$3006,0)),"")))</f>
        <v>5</v>
      </c>
      <c r="M92" s="82" t="str">
        <f aca="false">IF(B92="","",IF(OR(J92&lt;&gt;"",K92&lt;&gt;""),"POSÉ EN LIGNE",IF(COUNTIF(BARDAGE!$C$1:$C$5000,B92)&gt;0,"BARDÉ","EN STOCK")))</f>
        <v>POSÉ EN LIGNE</v>
      </c>
      <c r="N92" s="80"/>
    </row>
    <row r="93" customFormat="false" ht="15" hidden="false" customHeight="false" outlineLevel="0" collapsed="false">
      <c r="A93" s="82" t="n">
        <f aca="false">IF(B93="","",ROW()-6)</f>
        <v>87</v>
      </c>
      <c r="B93" s="145" t="n">
        <v>2096720</v>
      </c>
      <c r="C93" s="146" t="n">
        <v>2096850</v>
      </c>
      <c r="D93" s="146"/>
      <c r="E93" s="82" t="str">
        <f aca="false">IF(B93="","",IF(COUNTIFS('CARNET DE SOUDURE'!$L$7:$L$3006,B93,'CARNET DE SOUDURE'!$M$7:$M$3006,"&lt;&gt;"&amp;C93,'CARNET DE SOUDURE'!$M$7:$M$3006,"&lt;&gt;")+COUNTIFS('CARNET DE SOUDURE'!$O$7:$O$3006,B93,'CARNET DE SOUDURE'!$P$7:$P$3006,"&lt;&gt;"&amp;C93,'CARNET DE SOUDURE'!$P$7:$P$3006,"&lt;&gt;")&gt;0,"⚠ DIFFÉRENTE","OK"))</f>
        <v>OK</v>
      </c>
      <c r="F93" s="147" t="n">
        <v>11.94</v>
      </c>
      <c r="G93" s="80"/>
      <c r="H93" s="83"/>
      <c r="I93" s="148" t="str">
        <f aca="false">IF(B93="","",IFERROR(INDEX('CARNET DE SOUDURE'!$B$7:$B$3006,MATCH(B93,'CARNET DE SOUDURE'!$L$7:$L$3006,0)),IFERROR(INDEX('CARNET DE SOUDURE'!$B$7:$B$3006,MATCH(B93,'CARNET DE SOUDURE'!$O$7:$O$3006,0)),"")))</f>
        <v>MFD-ISW → MFD-CPF</v>
      </c>
      <c r="J93" s="82" t="str">
        <f aca="false">IF(B93="","",IFERROR(INDEX('CARNET DE SOUDURE'!$E$7:$E$3006,MATCH(B93,'CARNET DE SOUDURE'!$O$7:$O$3006,0)),""))</f>
        <v>JN°804</v>
      </c>
      <c r="K93" s="82" t="str">
        <f aca="false">IF(B93="","",IFERROR(INDEX('CARNET DE SOUDURE'!$E$7:$E$3006,MATCH(B93,'CARNET DE SOUDURE'!$L$7:$L$3006,0)),""))</f>
        <v>DJ°462</v>
      </c>
      <c r="L93" s="82" t="n">
        <f aca="false">IF(B93="","",IFERROR(INDEX('CARNET DE SOUDURE'!$D$7:$D$3006,MATCH(B93,'CARNET DE SOUDURE'!$L$7:$L$3006,0)),IFERROR(INDEX('CARNET DE SOUDURE'!$D$7:$D$3006,MATCH(B93,'CARNET DE SOUDURE'!$O$7:$O$3006,0)),"")))</f>
        <v>5</v>
      </c>
      <c r="M93" s="82" t="str">
        <f aca="false">IF(B93="","",IF(OR(J93&lt;&gt;"",K93&lt;&gt;""),"POSÉ EN LIGNE",IF(COUNTIF(BARDAGE!$C$1:$C$5000,B93)&gt;0,"BARDÉ","EN STOCK")))</f>
        <v>POSÉ EN LIGNE</v>
      </c>
      <c r="N93" s="80"/>
    </row>
    <row r="94" customFormat="false" ht="15" hidden="false" customHeight="false" outlineLevel="0" collapsed="false">
      <c r="A94" s="82" t="n">
        <f aca="false">IF(B94="","",ROW()-6)</f>
        <v>88</v>
      </c>
      <c r="B94" s="145" t="n">
        <v>2096850</v>
      </c>
      <c r="C94" s="146" t="n">
        <v>15421111</v>
      </c>
      <c r="D94" s="146"/>
      <c r="E94" s="82" t="str">
        <f aca="false">IF(B94="","",IF(COUNTIFS('CARNET DE SOUDURE'!$L$7:$L$3006,B94,'CARNET DE SOUDURE'!$M$7:$M$3006,"&lt;&gt;"&amp;C94,'CARNET DE SOUDURE'!$M$7:$M$3006,"&lt;&gt;")+COUNTIFS('CARNET DE SOUDURE'!$O$7:$O$3006,B94,'CARNET DE SOUDURE'!$P$7:$P$3006,"&lt;&gt;"&amp;C94,'CARNET DE SOUDURE'!$P$7:$P$3006,"&lt;&gt;")&gt;0,"⚠ DIFFÉRENTE","OK"))</f>
        <v>OK</v>
      </c>
      <c r="F94" s="147" t="n">
        <v>11.94</v>
      </c>
      <c r="G94" s="80"/>
      <c r="H94" s="83"/>
      <c r="I94" s="148" t="str">
        <f aca="false">IF(B94="","",IFERROR(INDEX('CARNET DE SOUDURE'!$B$7:$B$3006,MATCH(B94,'CARNET DE SOUDURE'!$L$7:$L$3006,0)),IFERROR(INDEX('CARNET DE SOUDURE'!$B$7:$B$3006,MATCH(B94,'CARNET DE SOUDURE'!$O$7:$O$3006,0)),"")))</f>
        <v>MFD-ISW → MFD-CPF</v>
      </c>
      <c r="J94" s="82" t="str">
        <f aca="false">IF(B94="","",IFERROR(INDEX('CARNET DE SOUDURE'!$E$7:$E$3006,MATCH(B94,'CARNET DE SOUDURE'!$O$7:$O$3006,0)),""))</f>
        <v>DJ°462</v>
      </c>
      <c r="K94" s="82" t="str">
        <f aca="false">IF(B94="","",IFERROR(INDEX('CARNET DE SOUDURE'!$E$7:$E$3006,MATCH(B94,'CARNET DE SOUDURE'!$L$7:$L$3006,0)),""))</f>
        <v>JN°805</v>
      </c>
      <c r="L94" s="82" t="n">
        <f aca="false">IF(B94="","",IFERROR(INDEX('CARNET DE SOUDURE'!$D$7:$D$3006,MATCH(B94,'CARNET DE SOUDURE'!$L$7:$L$3006,0)),IFERROR(INDEX('CARNET DE SOUDURE'!$D$7:$D$3006,MATCH(B94,'CARNET DE SOUDURE'!$O$7:$O$3006,0)),"")))</f>
        <v>5</v>
      </c>
      <c r="M94" s="82" t="str">
        <f aca="false">IF(B94="","",IF(OR(J94&lt;&gt;"",K94&lt;&gt;""),"POSÉ EN LIGNE",IF(COUNTIF(BARDAGE!$C$1:$C$5000,B94)&gt;0,"BARDÉ","EN STOCK")))</f>
        <v>POSÉ EN LIGNE</v>
      </c>
      <c r="N94" s="80"/>
    </row>
    <row r="95" customFormat="false" ht="15" hidden="false" customHeight="false" outlineLevel="0" collapsed="false">
      <c r="A95" s="82" t="n">
        <f aca="false">IF(B95="","",ROW()-6)</f>
        <v>89</v>
      </c>
      <c r="B95" s="145" t="n">
        <v>2094170</v>
      </c>
      <c r="C95" s="146" t="n">
        <v>15421106</v>
      </c>
      <c r="D95" s="146"/>
      <c r="E95" s="82" t="str">
        <f aca="false">IF(B95="","",IF(COUNTIFS('CARNET DE SOUDURE'!$L$7:$L$3006,B95,'CARNET DE SOUDURE'!$M$7:$M$3006,"&lt;&gt;"&amp;C95,'CARNET DE SOUDURE'!$M$7:$M$3006,"&lt;&gt;")+COUNTIFS('CARNET DE SOUDURE'!$O$7:$O$3006,B95,'CARNET DE SOUDURE'!$P$7:$P$3006,"&lt;&gt;"&amp;C95,'CARNET DE SOUDURE'!$P$7:$P$3006,"&lt;&gt;")&gt;0,"⚠ DIFFÉRENTE","OK"))</f>
        <v>OK</v>
      </c>
      <c r="F95" s="147" t="n">
        <v>11.94</v>
      </c>
      <c r="G95" s="80"/>
      <c r="H95" s="83"/>
      <c r="I95" s="148" t="str">
        <f aca="false">IF(B95="","",IFERROR(INDEX('CARNET DE SOUDURE'!$B$7:$B$3006,MATCH(B95,'CARNET DE SOUDURE'!$L$7:$L$3006,0)),IFERROR(INDEX('CARNET DE SOUDURE'!$B$7:$B$3006,MATCH(B95,'CARNET DE SOUDURE'!$O$7:$O$3006,0)),"")))</f>
        <v>MFD-ISW → MFD-CPF</v>
      </c>
      <c r="J95" s="82" t="str">
        <f aca="false">IF(B95="","",IFERROR(INDEX('CARNET DE SOUDURE'!$E$7:$E$3006,MATCH(B95,'CARNET DE SOUDURE'!$O$7:$O$3006,0)),""))</f>
        <v>JN°805</v>
      </c>
      <c r="K95" s="82" t="str">
        <f aca="false">IF(B95="","",IFERROR(INDEX('CARNET DE SOUDURE'!$E$7:$E$3006,MATCH(B95,'CARNET DE SOUDURE'!$L$7:$L$3006,0)),""))</f>
        <v>DJ°489</v>
      </c>
      <c r="L95" s="82" t="n">
        <f aca="false">IF(B95="","",IFERROR(INDEX('CARNET DE SOUDURE'!$D$7:$D$3006,MATCH(B95,'CARNET DE SOUDURE'!$L$7:$L$3006,0)),IFERROR(INDEX('CARNET DE SOUDURE'!$D$7:$D$3006,MATCH(B95,'CARNET DE SOUDURE'!$O$7:$O$3006,0)),"")))</f>
        <v>5</v>
      </c>
      <c r="M95" s="82" t="str">
        <f aca="false">IF(B95="","",IF(OR(J95&lt;&gt;"",K95&lt;&gt;""),"POSÉ EN LIGNE",IF(COUNTIF(BARDAGE!$C$1:$C$5000,B95)&gt;0,"BARDÉ","EN STOCK")))</f>
        <v>POSÉ EN LIGNE</v>
      </c>
      <c r="N95" s="80"/>
    </row>
    <row r="96" customFormat="false" ht="15" hidden="false" customHeight="false" outlineLevel="0" collapsed="false">
      <c r="A96" s="82" t="n">
        <f aca="false">IF(B96="","",ROW()-6)</f>
        <v>90</v>
      </c>
      <c r="B96" s="145" t="n">
        <v>2089030</v>
      </c>
      <c r="C96" s="146" t="n">
        <v>15421108</v>
      </c>
      <c r="D96" s="146"/>
      <c r="E96" s="82" t="str">
        <f aca="false">IF(B96="","",IF(COUNTIFS('CARNET DE SOUDURE'!$L$7:$L$3006,B96,'CARNET DE SOUDURE'!$M$7:$M$3006,"&lt;&gt;"&amp;C96,'CARNET DE SOUDURE'!$M$7:$M$3006,"&lt;&gt;")+COUNTIFS('CARNET DE SOUDURE'!$O$7:$O$3006,B96,'CARNET DE SOUDURE'!$P$7:$P$3006,"&lt;&gt;"&amp;C96,'CARNET DE SOUDURE'!$P$7:$P$3006,"&lt;&gt;")&gt;0,"⚠ DIFFÉRENTE","OK"))</f>
        <v>OK</v>
      </c>
      <c r="F96" s="147" t="n">
        <v>11.94</v>
      </c>
      <c r="G96" s="80"/>
      <c r="H96" s="83"/>
      <c r="I96" s="148" t="str">
        <f aca="false">IF(B96="","",IFERROR(INDEX('CARNET DE SOUDURE'!$B$7:$B$3006,MATCH(B96,'CARNET DE SOUDURE'!$L$7:$L$3006,0)),IFERROR(INDEX('CARNET DE SOUDURE'!$B$7:$B$3006,MATCH(B96,'CARNET DE SOUDURE'!$O$7:$O$3006,0)),"")))</f>
        <v>MFD-ISW → MFD-CPF</v>
      </c>
      <c r="J96" s="82" t="str">
        <f aca="false">IF(B96="","",IFERROR(INDEX('CARNET DE SOUDURE'!$E$7:$E$3006,MATCH(B96,'CARNET DE SOUDURE'!$O$7:$O$3006,0)),""))</f>
        <v>DJ°489</v>
      </c>
      <c r="K96" s="82" t="str">
        <f aca="false">IF(B96="","",IFERROR(INDEX('CARNET DE SOUDURE'!$E$7:$E$3006,MATCH(B96,'CARNET DE SOUDURE'!$L$7:$L$3006,0)),""))</f>
        <v>JN°806</v>
      </c>
      <c r="L96" s="82" t="n">
        <f aca="false">IF(B96="","",IFERROR(INDEX('CARNET DE SOUDURE'!$D$7:$D$3006,MATCH(B96,'CARNET DE SOUDURE'!$L$7:$L$3006,0)),IFERROR(INDEX('CARNET DE SOUDURE'!$D$7:$D$3006,MATCH(B96,'CARNET DE SOUDURE'!$O$7:$O$3006,0)),"")))</f>
        <v>5</v>
      </c>
      <c r="M96" s="82" t="str">
        <f aca="false">IF(B96="","",IF(OR(J96&lt;&gt;"",K96&lt;&gt;""),"POSÉ EN LIGNE",IF(COUNTIF(BARDAGE!$C$1:$C$5000,B96)&gt;0,"BARDÉ","EN STOCK")))</f>
        <v>POSÉ EN LIGNE</v>
      </c>
      <c r="N96" s="80"/>
    </row>
    <row r="97" customFormat="false" ht="15" hidden="false" customHeight="false" outlineLevel="0" collapsed="false">
      <c r="A97" s="82" t="n">
        <f aca="false">IF(B97="","",ROW()-6)</f>
        <v>91</v>
      </c>
      <c r="B97" s="145" t="n">
        <v>2085340</v>
      </c>
      <c r="C97" s="146" t="n">
        <v>15421106</v>
      </c>
      <c r="D97" s="146"/>
      <c r="E97" s="82" t="str">
        <f aca="false">IF(B97="","",IF(COUNTIFS('CARNET DE SOUDURE'!$L$7:$L$3006,B97,'CARNET DE SOUDURE'!$M$7:$M$3006,"&lt;&gt;"&amp;C97,'CARNET DE SOUDURE'!$M$7:$M$3006,"&lt;&gt;")+COUNTIFS('CARNET DE SOUDURE'!$O$7:$O$3006,B97,'CARNET DE SOUDURE'!$P$7:$P$3006,"&lt;&gt;"&amp;C97,'CARNET DE SOUDURE'!$P$7:$P$3006,"&lt;&gt;")&gt;0,"⚠ DIFFÉRENTE","OK"))</f>
        <v>OK</v>
      </c>
      <c r="F97" s="147" t="n">
        <v>11.94</v>
      </c>
      <c r="G97" s="80"/>
      <c r="H97" s="83"/>
      <c r="I97" s="148" t="str">
        <f aca="false">IF(B97="","",IFERROR(INDEX('CARNET DE SOUDURE'!$B$7:$B$3006,MATCH(B97,'CARNET DE SOUDURE'!$L$7:$L$3006,0)),IFERROR(INDEX('CARNET DE SOUDURE'!$B$7:$B$3006,MATCH(B97,'CARNET DE SOUDURE'!$O$7:$O$3006,0)),"")))</f>
        <v>MFD-ISW → MFD-CPF</v>
      </c>
      <c r="J97" s="82" t="str">
        <f aca="false">IF(B97="","",IFERROR(INDEX('CARNET DE SOUDURE'!$E$7:$E$3006,MATCH(B97,'CARNET DE SOUDURE'!$O$7:$O$3006,0)),""))</f>
        <v>JN°806</v>
      </c>
      <c r="K97" s="82" t="str">
        <f aca="false">IF(B97="","",IFERROR(INDEX('CARNET DE SOUDURE'!$E$7:$E$3006,MATCH(B97,'CARNET DE SOUDURE'!$L$7:$L$3006,0)),""))</f>
        <v>DJ°464</v>
      </c>
      <c r="L97" s="82" t="n">
        <f aca="false">IF(B97="","",IFERROR(INDEX('CARNET DE SOUDURE'!$D$7:$D$3006,MATCH(B97,'CARNET DE SOUDURE'!$L$7:$L$3006,0)),IFERROR(INDEX('CARNET DE SOUDURE'!$D$7:$D$3006,MATCH(B97,'CARNET DE SOUDURE'!$O$7:$O$3006,0)),"")))</f>
        <v>5</v>
      </c>
      <c r="M97" s="82" t="str">
        <f aca="false">IF(B97="","",IF(OR(J97&lt;&gt;"",K97&lt;&gt;""),"POSÉ EN LIGNE",IF(COUNTIF(BARDAGE!$C$1:$C$5000,B97)&gt;0,"BARDÉ","EN STOCK")))</f>
        <v>POSÉ EN LIGNE</v>
      </c>
      <c r="N97" s="80"/>
    </row>
    <row r="98" customFormat="false" ht="15" hidden="false" customHeight="false" outlineLevel="0" collapsed="false">
      <c r="A98" s="82" t="n">
        <f aca="false">IF(B98="","",ROW()-6)</f>
        <v>92</v>
      </c>
      <c r="B98" s="145" t="n">
        <v>2080270</v>
      </c>
      <c r="C98" s="146" t="n">
        <v>15421108</v>
      </c>
      <c r="D98" s="146"/>
      <c r="E98" s="82" t="str">
        <f aca="false">IF(B98="","",IF(COUNTIFS('CARNET DE SOUDURE'!$L$7:$L$3006,B98,'CARNET DE SOUDURE'!$M$7:$M$3006,"&lt;&gt;"&amp;C98,'CARNET DE SOUDURE'!$M$7:$M$3006,"&lt;&gt;")+COUNTIFS('CARNET DE SOUDURE'!$O$7:$O$3006,B98,'CARNET DE SOUDURE'!$P$7:$P$3006,"&lt;&gt;"&amp;C98,'CARNET DE SOUDURE'!$P$7:$P$3006,"&lt;&gt;")&gt;0,"⚠ DIFFÉRENTE","OK"))</f>
        <v>OK</v>
      </c>
      <c r="F98" s="147" t="n">
        <v>11.94</v>
      </c>
      <c r="G98" s="80"/>
      <c r="H98" s="83"/>
      <c r="I98" s="148" t="str">
        <f aca="false">IF(B98="","",IFERROR(INDEX('CARNET DE SOUDURE'!$B$7:$B$3006,MATCH(B98,'CARNET DE SOUDURE'!$L$7:$L$3006,0)),IFERROR(INDEX('CARNET DE SOUDURE'!$B$7:$B$3006,MATCH(B98,'CARNET DE SOUDURE'!$O$7:$O$3006,0)),"")))</f>
        <v>MFD-ISW → MFD-CPF</v>
      </c>
      <c r="J98" s="82" t="str">
        <f aca="false">IF(B98="","",IFERROR(INDEX('CARNET DE SOUDURE'!$E$7:$E$3006,MATCH(B98,'CARNET DE SOUDURE'!$O$7:$O$3006,0)),""))</f>
        <v>DJ°464</v>
      </c>
      <c r="K98" s="82" t="str">
        <f aca="false">IF(B98="","",IFERROR(INDEX('CARNET DE SOUDURE'!$E$7:$E$3006,MATCH(B98,'CARNET DE SOUDURE'!$L$7:$L$3006,0)),""))</f>
        <v>JN°807</v>
      </c>
      <c r="L98" s="82" t="n">
        <f aca="false">IF(B98="","",IFERROR(INDEX('CARNET DE SOUDURE'!$D$7:$D$3006,MATCH(B98,'CARNET DE SOUDURE'!$L$7:$L$3006,0)),IFERROR(INDEX('CARNET DE SOUDURE'!$D$7:$D$3006,MATCH(B98,'CARNET DE SOUDURE'!$O$7:$O$3006,0)),"")))</f>
        <v>5</v>
      </c>
      <c r="M98" s="82" t="str">
        <f aca="false">IF(B98="","",IF(OR(J98&lt;&gt;"",K98&lt;&gt;""),"POSÉ EN LIGNE",IF(COUNTIF(BARDAGE!$C$1:$C$5000,B98)&gt;0,"BARDÉ","EN STOCK")))</f>
        <v>POSÉ EN LIGNE</v>
      </c>
      <c r="N98" s="80"/>
    </row>
    <row r="99" customFormat="false" ht="15" hidden="false" customHeight="false" outlineLevel="0" collapsed="false">
      <c r="A99" s="82" t="n">
        <f aca="false">IF(B99="","",ROW()-6)</f>
        <v>93</v>
      </c>
      <c r="B99" s="145" t="n">
        <v>2080650</v>
      </c>
      <c r="C99" s="146" t="n">
        <v>15421103</v>
      </c>
      <c r="D99" s="146"/>
      <c r="E99" s="82" t="str">
        <f aca="false">IF(B99="","",IF(COUNTIFS('CARNET DE SOUDURE'!$L$7:$L$3006,B99,'CARNET DE SOUDURE'!$M$7:$M$3006,"&lt;&gt;"&amp;C99,'CARNET DE SOUDURE'!$M$7:$M$3006,"&lt;&gt;")+COUNTIFS('CARNET DE SOUDURE'!$O$7:$O$3006,B99,'CARNET DE SOUDURE'!$P$7:$P$3006,"&lt;&gt;"&amp;C99,'CARNET DE SOUDURE'!$P$7:$P$3006,"&lt;&gt;")&gt;0,"⚠ DIFFÉRENTE","OK"))</f>
        <v>OK</v>
      </c>
      <c r="F99" s="147" t="n">
        <v>11.94</v>
      </c>
      <c r="G99" s="80"/>
      <c r="H99" s="83"/>
      <c r="I99" s="148" t="str">
        <f aca="false">IF(B99="","",IFERROR(INDEX('CARNET DE SOUDURE'!$B$7:$B$3006,MATCH(B99,'CARNET DE SOUDURE'!$L$7:$L$3006,0)),IFERROR(INDEX('CARNET DE SOUDURE'!$B$7:$B$3006,MATCH(B99,'CARNET DE SOUDURE'!$O$7:$O$3006,0)),"")))</f>
        <v>MFD-ISW → MFD-CPF</v>
      </c>
      <c r="J99" s="82" t="str">
        <f aca="false">IF(B99="","",IFERROR(INDEX('CARNET DE SOUDURE'!$E$7:$E$3006,MATCH(B99,'CARNET DE SOUDURE'!$O$7:$O$3006,0)),""))</f>
        <v>JN°807</v>
      </c>
      <c r="K99" s="82" t="str">
        <f aca="false">IF(B99="","",IFERROR(INDEX('CARNET DE SOUDURE'!$E$7:$E$3006,MATCH(B99,'CARNET DE SOUDURE'!$L$7:$L$3006,0)),""))</f>
        <v>DJ°465</v>
      </c>
      <c r="L99" s="82" t="n">
        <f aca="false">IF(B99="","",IFERROR(INDEX('CARNET DE SOUDURE'!$D$7:$D$3006,MATCH(B99,'CARNET DE SOUDURE'!$L$7:$L$3006,0)),IFERROR(INDEX('CARNET DE SOUDURE'!$D$7:$D$3006,MATCH(B99,'CARNET DE SOUDURE'!$O$7:$O$3006,0)),"")))</f>
        <v>5</v>
      </c>
      <c r="M99" s="82" t="str">
        <f aca="false">IF(B99="","",IF(OR(J99&lt;&gt;"",K99&lt;&gt;""),"POSÉ EN LIGNE",IF(COUNTIF(BARDAGE!$C$1:$C$5000,B99)&gt;0,"BARDÉ","EN STOCK")))</f>
        <v>POSÉ EN LIGNE</v>
      </c>
      <c r="N99" s="80"/>
    </row>
    <row r="100" customFormat="false" ht="15" hidden="false" customHeight="false" outlineLevel="0" collapsed="false">
      <c r="A100" s="82" t="n">
        <f aca="false">IF(B100="","",ROW()-6)</f>
        <v>94</v>
      </c>
      <c r="B100" s="145" t="n">
        <v>2082030</v>
      </c>
      <c r="C100" s="146" t="n">
        <v>15421104</v>
      </c>
      <c r="D100" s="146"/>
      <c r="E100" s="82" t="str">
        <f aca="false">IF(B100="","",IF(COUNTIFS('CARNET DE SOUDURE'!$L$7:$L$3006,B100,'CARNET DE SOUDURE'!$M$7:$M$3006,"&lt;&gt;"&amp;C100,'CARNET DE SOUDURE'!$M$7:$M$3006,"&lt;&gt;")+COUNTIFS('CARNET DE SOUDURE'!$O$7:$O$3006,B100,'CARNET DE SOUDURE'!$P$7:$P$3006,"&lt;&gt;"&amp;C100,'CARNET DE SOUDURE'!$P$7:$P$3006,"&lt;&gt;")&gt;0,"⚠ DIFFÉRENTE","OK"))</f>
        <v>OK</v>
      </c>
      <c r="F100" s="147" t="n">
        <v>11.94</v>
      </c>
      <c r="G100" s="80"/>
      <c r="H100" s="83"/>
      <c r="I100" s="148" t="str">
        <f aca="false">IF(B100="","",IFERROR(INDEX('CARNET DE SOUDURE'!$B$7:$B$3006,MATCH(B100,'CARNET DE SOUDURE'!$L$7:$L$3006,0)),IFERROR(INDEX('CARNET DE SOUDURE'!$B$7:$B$3006,MATCH(B100,'CARNET DE SOUDURE'!$O$7:$O$3006,0)),"")))</f>
        <v>MFD-ISW → MFD-CPF</v>
      </c>
      <c r="J100" s="82" t="str">
        <f aca="false">IF(B100="","",IFERROR(INDEX('CARNET DE SOUDURE'!$E$7:$E$3006,MATCH(B100,'CARNET DE SOUDURE'!$O$7:$O$3006,0)),""))</f>
        <v>DJ°465</v>
      </c>
      <c r="K100" s="82" t="str">
        <f aca="false">IF(B100="","",IFERROR(INDEX('CARNET DE SOUDURE'!$E$7:$E$3006,MATCH(B100,'CARNET DE SOUDURE'!$L$7:$L$3006,0)),""))</f>
        <v>JN°808</v>
      </c>
      <c r="L100" s="82" t="n">
        <f aca="false">IF(B100="","",IFERROR(INDEX('CARNET DE SOUDURE'!$D$7:$D$3006,MATCH(B100,'CARNET DE SOUDURE'!$L$7:$L$3006,0)),IFERROR(INDEX('CARNET DE SOUDURE'!$D$7:$D$3006,MATCH(B100,'CARNET DE SOUDURE'!$O$7:$O$3006,0)),"")))</f>
        <v>5</v>
      </c>
      <c r="M100" s="82" t="str">
        <f aca="false">IF(B100="","",IF(OR(J100&lt;&gt;"",K100&lt;&gt;""),"POSÉ EN LIGNE",IF(COUNTIF(BARDAGE!$C$1:$C$5000,B100)&gt;0,"BARDÉ","EN STOCK")))</f>
        <v>POSÉ EN LIGNE</v>
      </c>
      <c r="N100" s="80"/>
    </row>
    <row r="101" customFormat="false" ht="15" hidden="false" customHeight="false" outlineLevel="0" collapsed="false">
      <c r="A101" s="82" t="n">
        <f aca="false">IF(B101="","",ROW()-6)</f>
        <v>95</v>
      </c>
      <c r="B101" s="145" t="n">
        <v>2093090</v>
      </c>
      <c r="C101" s="146" t="n">
        <v>15421110</v>
      </c>
      <c r="D101" s="146"/>
      <c r="E101" s="82" t="str">
        <f aca="false">IF(B101="","",IF(COUNTIFS('CARNET DE SOUDURE'!$L$7:$L$3006,B101,'CARNET DE SOUDURE'!$M$7:$M$3006,"&lt;&gt;"&amp;C101,'CARNET DE SOUDURE'!$M$7:$M$3006,"&lt;&gt;")+COUNTIFS('CARNET DE SOUDURE'!$O$7:$O$3006,B101,'CARNET DE SOUDURE'!$P$7:$P$3006,"&lt;&gt;"&amp;C101,'CARNET DE SOUDURE'!$P$7:$P$3006,"&lt;&gt;")&gt;0,"⚠ DIFFÉRENTE","OK"))</f>
        <v>OK</v>
      </c>
      <c r="F101" s="147" t="n">
        <v>11.94</v>
      </c>
      <c r="G101" s="80"/>
      <c r="H101" s="83"/>
      <c r="I101" s="148" t="str">
        <f aca="false">IF(B101="","",IFERROR(INDEX('CARNET DE SOUDURE'!$B$7:$B$3006,MATCH(B101,'CARNET DE SOUDURE'!$L$7:$L$3006,0)),IFERROR(INDEX('CARNET DE SOUDURE'!$B$7:$B$3006,MATCH(B101,'CARNET DE SOUDURE'!$O$7:$O$3006,0)),"")))</f>
        <v>MFD-ISW → MFD-CPF</v>
      </c>
      <c r="J101" s="82" t="str">
        <f aca="false">IF(B101="","",IFERROR(INDEX('CARNET DE SOUDURE'!$E$7:$E$3006,MATCH(B101,'CARNET DE SOUDURE'!$O$7:$O$3006,0)),""))</f>
        <v>JN°808</v>
      </c>
      <c r="K101" s="82" t="str">
        <f aca="false">IF(B101="","",IFERROR(INDEX('CARNET DE SOUDURE'!$E$7:$E$3006,MATCH(B101,'CARNET DE SOUDURE'!$L$7:$L$3006,0)),""))</f>
        <v>DJ°492</v>
      </c>
      <c r="L101" s="82" t="n">
        <f aca="false">IF(B101="","",IFERROR(INDEX('CARNET DE SOUDURE'!$D$7:$D$3006,MATCH(B101,'CARNET DE SOUDURE'!$L$7:$L$3006,0)),IFERROR(INDEX('CARNET DE SOUDURE'!$D$7:$D$3006,MATCH(B101,'CARNET DE SOUDURE'!$O$7:$O$3006,0)),"")))</f>
        <v>5</v>
      </c>
      <c r="M101" s="82" t="str">
        <f aca="false">IF(B101="","",IF(OR(J101&lt;&gt;"",K101&lt;&gt;""),"POSÉ EN LIGNE",IF(COUNTIF(BARDAGE!$C$1:$C$5000,B101)&gt;0,"BARDÉ","EN STOCK")))</f>
        <v>POSÉ EN LIGNE</v>
      </c>
      <c r="N101" s="80"/>
    </row>
    <row r="102" customFormat="false" ht="15" hidden="false" customHeight="false" outlineLevel="0" collapsed="false">
      <c r="A102" s="82" t="n">
        <f aca="false">IF(B102="","",ROW()-6)</f>
        <v>96</v>
      </c>
      <c r="B102" s="145" t="n">
        <v>2092910</v>
      </c>
      <c r="C102" s="146" t="n">
        <v>15421103</v>
      </c>
      <c r="D102" s="146"/>
      <c r="E102" s="82" t="str">
        <f aca="false">IF(B102="","",IF(COUNTIFS('CARNET DE SOUDURE'!$L$7:$L$3006,B102,'CARNET DE SOUDURE'!$M$7:$M$3006,"&lt;&gt;"&amp;C102,'CARNET DE SOUDURE'!$M$7:$M$3006,"&lt;&gt;")+COUNTIFS('CARNET DE SOUDURE'!$O$7:$O$3006,B102,'CARNET DE SOUDURE'!$P$7:$P$3006,"&lt;&gt;"&amp;C102,'CARNET DE SOUDURE'!$P$7:$P$3006,"&lt;&gt;")&gt;0,"⚠ DIFFÉRENTE","OK"))</f>
        <v>OK</v>
      </c>
      <c r="F102" s="147" t="n">
        <v>11.94</v>
      </c>
      <c r="G102" s="80"/>
      <c r="H102" s="83"/>
      <c r="I102" s="148" t="str">
        <f aca="false">IF(B102="","",IFERROR(INDEX('CARNET DE SOUDURE'!$B$7:$B$3006,MATCH(B102,'CARNET DE SOUDURE'!$L$7:$L$3006,0)),IFERROR(INDEX('CARNET DE SOUDURE'!$B$7:$B$3006,MATCH(B102,'CARNET DE SOUDURE'!$O$7:$O$3006,0)),"")))</f>
        <v>MFD-ISW → MFD-CPF</v>
      </c>
      <c r="J102" s="82" t="str">
        <f aca="false">IF(B102="","",IFERROR(INDEX('CARNET DE SOUDURE'!$E$7:$E$3006,MATCH(B102,'CARNET DE SOUDURE'!$O$7:$O$3006,0)),""))</f>
        <v>DJ°492</v>
      </c>
      <c r="K102" s="82" t="str">
        <f aca="false">IF(B102="","",IFERROR(INDEX('CARNET DE SOUDURE'!$E$7:$E$3006,MATCH(B102,'CARNET DE SOUDURE'!$L$7:$L$3006,0)),""))</f>
        <v>JN°809</v>
      </c>
      <c r="L102" s="82" t="n">
        <f aca="false">IF(B102="","",IFERROR(INDEX('CARNET DE SOUDURE'!$D$7:$D$3006,MATCH(B102,'CARNET DE SOUDURE'!$L$7:$L$3006,0)),IFERROR(INDEX('CARNET DE SOUDURE'!$D$7:$D$3006,MATCH(B102,'CARNET DE SOUDURE'!$O$7:$O$3006,0)),"")))</f>
        <v>5</v>
      </c>
      <c r="M102" s="82" t="str">
        <f aca="false">IF(B102="","",IF(OR(J102&lt;&gt;"",K102&lt;&gt;""),"POSÉ EN LIGNE",IF(COUNTIF(BARDAGE!$C$1:$C$5000,B102)&gt;0,"BARDÉ","EN STOCK")))</f>
        <v>POSÉ EN LIGNE</v>
      </c>
      <c r="N102" s="80"/>
    </row>
    <row r="103" customFormat="false" ht="15" hidden="false" customHeight="false" outlineLevel="0" collapsed="false">
      <c r="A103" s="82" t="n">
        <f aca="false">IF(B103="","",ROW()-6)</f>
        <v>97</v>
      </c>
      <c r="B103" s="145" t="n">
        <v>2081470</v>
      </c>
      <c r="C103" s="146" t="n">
        <v>15421103</v>
      </c>
      <c r="D103" s="146"/>
      <c r="E103" s="82" t="str">
        <f aca="false">IF(B103="","",IF(COUNTIFS('CARNET DE SOUDURE'!$L$7:$L$3006,B103,'CARNET DE SOUDURE'!$M$7:$M$3006,"&lt;&gt;"&amp;C103,'CARNET DE SOUDURE'!$M$7:$M$3006,"&lt;&gt;")+COUNTIFS('CARNET DE SOUDURE'!$O$7:$O$3006,B103,'CARNET DE SOUDURE'!$P$7:$P$3006,"&lt;&gt;"&amp;C103,'CARNET DE SOUDURE'!$P$7:$P$3006,"&lt;&gt;")&gt;0,"⚠ DIFFÉRENTE","OK"))</f>
        <v>OK</v>
      </c>
      <c r="F103" s="147" t="n">
        <v>11.94</v>
      </c>
      <c r="G103" s="80"/>
      <c r="H103" s="83"/>
      <c r="I103" s="148" t="str">
        <f aca="false">IF(B103="","",IFERROR(INDEX('CARNET DE SOUDURE'!$B$7:$B$3006,MATCH(B103,'CARNET DE SOUDURE'!$L$7:$L$3006,0)),IFERROR(INDEX('CARNET DE SOUDURE'!$B$7:$B$3006,MATCH(B103,'CARNET DE SOUDURE'!$O$7:$O$3006,0)),"")))</f>
        <v>MFD-ISW → MFD-CPF</v>
      </c>
      <c r="J103" s="82" t="str">
        <f aca="false">IF(B103="","",IFERROR(INDEX('CARNET DE SOUDURE'!$E$7:$E$3006,MATCH(B103,'CARNET DE SOUDURE'!$O$7:$O$3006,0)),""))</f>
        <v>JN°809</v>
      </c>
      <c r="K103" s="82" t="str">
        <f aca="false">IF(B103="","",IFERROR(INDEX('CARNET DE SOUDURE'!$E$7:$E$3006,MATCH(B103,'CARNET DE SOUDURE'!$L$7:$L$3006,0)),""))</f>
        <v>DJ°474</v>
      </c>
      <c r="L103" s="82" t="n">
        <f aca="false">IF(B103="","",IFERROR(INDEX('CARNET DE SOUDURE'!$D$7:$D$3006,MATCH(B103,'CARNET DE SOUDURE'!$L$7:$L$3006,0)),IFERROR(INDEX('CARNET DE SOUDURE'!$D$7:$D$3006,MATCH(B103,'CARNET DE SOUDURE'!$O$7:$O$3006,0)),"")))</f>
        <v>5</v>
      </c>
      <c r="M103" s="82" t="str">
        <f aca="false">IF(B103="","",IF(OR(J103&lt;&gt;"",K103&lt;&gt;""),"POSÉ EN LIGNE",IF(COUNTIF(BARDAGE!$C$1:$C$5000,B103)&gt;0,"BARDÉ","EN STOCK")))</f>
        <v>POSÉ EN LIGNE</v>
      </c>
      <c r="N103" s="80"/>
    </row>
    <row r="104" customFormat="false" ht="15" hidden="false" customHeight="false" outlineLevel="0" collapsed="false">
      <c r="A104" s="82" t="n">
        <f aca="false">IF(B104="","",ROW()-6)</f>
        <v>98</v>
      </c>
      <c r="B104" s="145" t="n">
        <v>2082040</v>
      </c>
      <c r="C104" s="146" t="n">
        <v>15421104</v>
      </c>
      <c r="D104" s="146"/>
      <c r="E104" s="82" t="str">
        <f aca="false">IF(B104="","",IF(COUNTIFS('CARNET DE SOUDURE'!$L$7:$L$3006,B104,'CARNET DE SOUDURE'!$M$7:$M$3006,"&lt;&gt;"&amp;C104,'CARNET DE SOUDURE'!$M$7:$M$3006,"&lt;&gt;")+COUNTIFS('CARNET DE SOUDURE'!$O$7:$O$3006,B104,'CARNET DE SOUDURE'!$P$7:$P$3006,"&lt;&gt;"&amp;C104,'CARNET DE SOUDURE'!$P$7:$P$3006,"&lt;&gt;")&gt;0,"⚠ DIFFÉRENTE","OK"))</f>
        <v>OK</v>
      </c>
      <c r="F104" s="147" t="n">
        <v>11.94</v>
      </c>
      <c r="G104" s="80"/>
      <c r="H104" s="83"/>
      <c r="I104" s="148" t="str">
        <f aca="false">IF(B104="","",IFERROR(INDEX('CARNET DE SOUDURE'!$B$7:$B$3006,MATCH(B104,'CARNET DE SOUDURE'!$L$7:$L$3006,0)),IFERROR(INDEX('CARNET DE SOUDURE'!$B$7:$B$3006,MATCH(B104,'CARNET DE SOUDURE'!$O$7:$O$3006,0)),"")))</f>
        <v>MFD-ISW → MFD-CPF</v>
      </c>
      <c r="J104" s="82" t="str">
        <f aca="false">IF(B104="","",IFERROR(INDEX('CARNET DE SOUDURE'!$E$7:$E$3006,MATCH(B104,'CARNET DE SOUDURE'!$O$7:$O$3006,0)),""))</f>
        <v>DJ°474</v>
      </c>
      <c r="K104" s="82" t="str">
        <f aca="false">IF(B104="","",IFERROR(INDEX('CARNET DE SOUDURE'!$E$7:$E$3006,MATCH(B104,'CARNET DE SOUDURE'!$L$7:$L$3006,0)),""))</f>
        <v>JN°810</v>
      </c>
      <c r="L104" s="82" t="n">
        <f aca="false">IF(B104="","",IFERROR(INDEX('CARNET DE SOUDURE'!$D$7:$D$3006,MATCH(B104,'CARNET DE SOUDURE'!$L$7:$L$3006,0)),IFERROR(INDEX('CARNET DE SOUDURE'!$D$7:$D$3006,MATCH(B104,'CARNET DE SOUDURE'!$O$7:$O$3006,0)),"")))</f>
        <v>5</v>
      </c>
      <c r="M104" s="82" t="str">
        <f aca="false">IF(B104="","",IF(OR(J104&lt;&gt;"",K104&lt;&gt;""),"POSÉ EN LIGNE",IF(COUNTIF(BARDAGE!$C$1:$C$5000,B104)&gt;0,"BARDÉ","EN STOCK")))</f>
        <v>POSÉ EN LIGNE</v>
      </c>
      <c r="N104" s="80"/>
    </row>
    <row r="105" customFormat="false" ht="15" hidden="false" customHeight="false" outlineLevel="0" collapsed="false">
      <c r="A105" s="82" t="n">
        <f aca="false">IF(B105="","",ROW()-6)</f>
        <v>99</v>
      </c>
      <c r="B105" s="145" t="n">
        <v>2090570</v>
      </c>
      <c r="C105" s="146" t="n">
        <v>15421109</v>
      </c>
      <c r="D105" s="146"/>
      <c r="E105" s="82" t="str">
        <f aca="false">IF(B105="","",IF(COUNTIFS('CARNET DE SOUDURE'!$L$7:$L$3006,B105,'CARNET DE SOUDURE'!$M$7:$M$3006,"&lt;&gt;"&amp;C105,'CARNET DE SOUDURE'!$M$7:$M$3006,"&lt;&gt;")+COUNTIFS('CARNET DE SOUDURE'!$O$7:$O$3006,B105,'CARNET DE SOUDURE'!$P$7:$P$3006,"&lt;&gt;"&amp;C105,'CARNET DE SOUDURE'!$P$7:$P$3006,"&lt;&gt;")&gt;0,"⚠ DIFFÉRENTE","OK"))</f>
        <v>OK</v>
      </c>
      <c r="F105" s="147" t="n">
        <v>11.94</v>
      </c>
      <c r="G105" s="80"/>
      <c r="H105" s="83"/>
      <c r="I105" s="148" t="str">
        <f aca="false">IF(B105="","",IFERROR(INDEX('CARNET DE SOUDURE'!$B$7:$B$3006,MATCH(B105,'CARNET DE SOUDURE'!$L$7:$L$3006,0)),IFERROR(INDEX('CARNET DE SOUDURE'!$B$7:$B$3006,MATCH(B105,'CARNET DE SOUDURE'!$O$7:$O$3006,0)),"")))</f>
        <v>MFD-ISW → MFD-CPF</v>
      </c>
      <c r="J105" s="82" t="str">
        <f aca="false">IF(B105="","",IFERROR(INDEX('CARNET DE SOUDURE'!$E$7:$E$3006,MATCH(B105,'CARNET DE SOUDURE'!$O$7:$O$3006,0)),""))</f>
        <v>JN°810</v>
      </c>
      <c r="K105" s="82" t="str">
        <f aca="false">IF(B105="","",IFERROR(INDEX('CARNET DE SOUDURE'!$E$7:$E$3006,MATCH(B105,'CARNET DE SOUDURE'!$L$7:$L$3006,0)),""))</f>
        <v>DJ°469</v>
      </c>
      <c r="L105" s="82" t="n">
        <f aca="false">IF(B105="","",IFERROR(INDEX('CARNET DE SOUDURE'!$D$7:$D$3006,MATCH(B105,'CARNET DE SOUDURE'!$L$7:$L$3006,0)),IFERROR(INDEX('CARNET DE SOUDURE'!$D$7:$D$3006,MATCH(B105,'CARNET DE SOUDURE'!$O$7:$O$3006,0)),"")))</f>
        <v>5</v>
      </c>
      <c r="M105" s="82" t="str">
        <f aca="false">IF(B105="","",IF(OR(J105&lt;&gt;"",K105&lt;&gt;""),"POSÉ EN LIGNE",IF(COUNTIF(BARDAGE!$C$1:$C$5000,B105)&gt;0,"BARDÉ","EN STOCK")))</f>
        <v>POSÉ EN LIGNE</v>
      </c>
      <c r="N105" s="80"/>
    </row>
    <row r="106" customFormat="false" ht="15" hidden="false" customHeight="false" outlineLevel="0" collapsed="false">
      <c r="A106" s="82" t="n">
        <f aca="false">IF(B106="","",ROW()-6)</f>
        <v>100</v>
      </c>
      <c r="B106" s="145" t="n">
        <v>2079320</v>
      </c>
      <c r="C106" s="146" t="n">
        <v>15421102</v>
      </c>
      <c r="D106" s="146"/>
      <c r="E106" s="82" t="str">
        <f aca="false">IF(B106="","",IF(COUNTIFS('CARNET DE SOUDURE'!$L$7:$L$3006,B106,'CARNET DE SOUDURE'!$M$7:$M$3006,"&lt;&gt;"&amp;C106,'CARNET DE SOUDURE'!$M$7:$M$3006,"&lt;&gt;")+COUNTIFS('CARNET DE SOUDURE'!$O$7:$O$3006,B106,'CARNET DE SOUDURE'!$P$7:$P$3006,"&lt;&gt;"&amp;C106,'CARNET DE SOUDURE'!$P$7:$P$3006,"&lt;&gt;")&gt;0,"⚠ DIFFÉRENTE","OK"))</f>
        <v>OK</v>
      </c>
      <c r="F106" s="147" t="n">
        <v>11.94</v>
      </c>
      <c r="G106" s="80"/>
      <c r="H106" s="83"/>
      <c r="I106" s="148" t="str">
        <f aca="false">IF(B106="","",IFERROR(INDEX('CARNET DE SOUDURE'!$B$7:$B$3006,MATCH(B106,'CARNET DE SOUDURE'!$L$7:$L$3006,0)),IFERROR(INDEX('CARNET DE SOUDURE'!$B$7:$B$3006,MATCH(B106,'CARNET DE SOUDURE'!$O$7:$O$3006,0)),"")))</f>
        <v>MFD-ISW → MFD-CPF</v>
      </c>
      <c r="J106" s="82" t="str">
        <f aca="false">IF(B106="","",IFERROR(INDEX('CARNET DE SOUDURE'!$E$7:$E$3006,MATCH(B106,'CARNET DE SOUDURE'!$O$7:$O$3006,0)),""))</f>
        <v>DJ°469</v>
      </c>
      <c r="K106" s="82" t="str">
        <f aca="false">IF(B106="","",IFERROR(INDEX('CARNET DE SOUDURE'!$E$7:$E$3006,MATCH(B106,'CARNET DE SOUDURE'!$L$7:$L$3006,0)),""))</f>
        <v>JN°811</v>
      </c>
      <c r="L106" s="82" t="n">
        <f aca="false">IF(B106="","",IFERROR(INDEX('CARNET DE SOUDURE'!$D$7:$D$3006,MATCH(B106,'CARNET DE SOUDURE'!$L$7:$L$3006,0)),IFERROR(INDEX('CARNET DE SOUDURE'!$D$7:$D$3006,MATCH(B106,'CARNET DE SOUDURE'!$O$7:$O$3006,0)),"")))</f>
        <v>5</v>
      </c>
      <c r="M106" s="82" t="str">
        <f aca="false">IF(B106="","",IF(OR(J106&lt;&gt;"",K106&lt;&gt;""),"POSÉ EN LIGNE",IF(COUNTIF(BARDAGE!$C$1:$C$5000,B106)&gt;0,"BARDÉ","EN STOCK")))</f>
        <v>POSÉ EN LIGNE</v>
      </c>
      <c r="N106" s="80"/>
    </row>
    <row r="107" customFormat="false" ht="15" hidden="false" customHeight="false" outlineLevel="0" collapsed="false">
      <c r="A107" s="82" t="n">
        <f aca="false">IF(B107="","",ROW()-6)</f>
        <v>101</v>
      </c>
      <c r="B107" s="145" t="n">
        <v>2098380</v>
      </c>
      <c r="C107" s="146" t="n">
        <v>15421112</v>
      </c>
      <c r="D107" s="146"/>
      <c r="E107" s="82" t="str">
        <f aca="false">IF(B107="","",IF(COUNTIFS('CARNET DE SOUDURE'!$L$7:$L$3006,B107,'CARNET DE SOUDURE'!$M$7:$M$3006,"&lt;&gt;"&amp;C107,'CARNET DE SOUDURE'!$M$7:$M$3006,"&lt;&gt;")+COUNTIFS('CARNET DE SOUDURE'!$O$7:$O$3006,B107,'CARNET DE SOUDURE'!$P$7:$P$3006,"&lt;&gt;"&amp;C107,'CARNET DE SOUDURE'!$P$7:$P$3006,"&lt;&gt;")&gt;0,"⚠ DIFFÉRENTE","OK"))</f>
        <v>OK</v>
      </c>
      <c r="F107" s="147" t="n">
        <v>11.94</v>
      </c>
      <c r="G107" s="80"/>
      <c r="H107" s="83"/>
      <c r="I107" s="148" t="str">
        <f aca="false">IF(B107="","",IFERROR(INDEX('CARNET DE SOUDURE'!$B$7:$B$3006,MATCH(B107,'CARNET DE SOUDURE'!$L$7:$L$3006,0)),IFERROR(INDEX('CARNET DE SOUDURE'!$B$7:$B$3006,MATCH(B107,'CARNET DE SOUDURE'!$O$7:$O$3006,0)),"")))</f>
        <v>MFD-ISW → MFD-CPF</v>
      </c>
      <c r="J107" s="82" t="str">
        <f aca="false">IF(B107="","",IFERROR(INDEX('CARNET DE SOUDURE'!$E$7:$E$3006,MATCH(B107,'CARNET DE SOUDURE'!$O$7:$O$3006,0)),""))</f>
        <v>JN°811</v>
      </c>
      <c r="K107" s="82" t="str">
        <f aca="false">IF(B107="","",IFERROR(INDEX('CARNET DE SOUDURE'!$E$7:$E$3006,MATCH(B107,'CARNET DE SOUDURE'!$L$7:$L$3006,0)),""))</f>
        <v>DJ°472</v>
      </c>
      <c r="L107" s="82" t="n">
        <f aca="false">IF(B107="","",IFERROR(INDEX('CARNET DE SOUDURE'!$D$7:$D$3006,MATCH(B107,'CARNET DE SOUDURE'!$L$7:$L$3006,0)),IFERROR(INDEX('CARNET DE SOUDURE'!$D$7:$D$3006,MATCH(B107,'CARNET DE SOUDURE'!$O$7:$O$3006,0)),"")))</f>
        <v>5</v>
      </c>
      <c r="M107" s="82" t="str">
        <f aca="false">IF(B107="","",IF(OR(J107&lt;&gt;"",K107&lt;&gt;""),"POSÉ EN LIGNE",IF(COUNTIF(BARDAGE!$C$1:$C$5000,B107)&gt;0,"BARDÉ","EN STOCK")))</f>
        <v>POSÉ EN LIGNE</v>
      </c>
      <c r="N107" s="80"/>
    </row>
    <row r="108" customFormat="false" ht="15" hidden="false" customHeight="false" outlineLevel="0" collapsed="false">
      <c r="A108" s="82" t="n">
        <f aca="false">IF(B108="","",ROW()-6)</f>
        <v>102</v>
      </c>
      <c r="B108" s="145" t="n">
        <v>2089890</v>
      </c>
      <c r="C108" s="146" t="n">
        <v>15421109</v>
      </c>
      <c r="D108" s="146"/>
      <c r="E108" s="82" t="str">
        <f aca="false">IF(B108="","",IF(COUNTIFS('CARNET DE SOUDURE'!$L$7:$L$3006,B108,'CARNET DE SOUDURE'!$M$7:$M$3006,"&lt;&gt;"&amp;C108,'CARNET DE SOUDURE'!$M$7:$M$3006,"&lt;&gt;")+COUNTIFS('CARNET DE SOUDURE'!$O$7:$O$3006,B108,'CARNET DE SOUDURE'!$P$7:$P$3006,"&lt;&gt;"&amp;C108,'CARNET DE SOUDURE'!$P$7:$P$3006,"&lt;&gt;")&gt;0,"⚠ DIFFÉRENTE","OK"))</f>
        <v>OK</v>
      </c>
      <c r="F108" s="147" t="n">
        <v>11.94</v>
      </c>
      <c r="G108" s="80"/>
      <c r="H108" s="83"/>
      <c r="I108" s="148" t="str">
        <f aca="false">IF(B108="","",IFERROR(INDEX('CARNET DE SOUDURE'!$B$7:$B$3006,MATCH(B108,'CARNET DE SOUDURE'!$L$7:$L$3006,0)),IFERROR(INDEX('CARNET DE SOUDURE'!$B$7:$B$3006,MATCH(B108,'CARNET DE SOUDURE'!$O$7:$O$3006,0)),"")))</f>
        <v>MFD-ISW → MFD-CPF</v>
      </c>
      <c r="J108" s="82" t="str">
        <f aca="false">IF(B108="","",IFERROR(INDEX('CARNET DE SOUDURE'!$E$7:$E$3006,MATCH(B108,'CARNET DE SOUDURE'!$O$7:$O$3006,0)),""))</f>
        <v>DJ°472</v>
      </c>
      <c r="K108" s="82" t="str">
        <f aca="false">IF(B108="","",IFERROR(INDEX('CARNET DE SOUDURE'!$E$7:$E$3006,MATCH(B108,'CARNET DE SOUDURE'!$L$7:$L$3006,0)),""))</f>
        <v>JN°812</v>
      </c>
      <c r="L108" s="82" t="n">
        <f aca="false">IF(B108="","",IFERROR(INDEX('CARNET DE SOUDURE'!$D$7:$D$3006,MATCH(B108,'CARNET DE SOUDURE'!$L$7:$L$3006,0)),IFERROR(INDEX('CARNET DE SOUDURE'!$D$7:$D$3006,MATCH(B108,'CARNET DE SOUDURE'!$O$7:$O$3006,0)),"")))</f>
        <v>5</v>
      </c>
      <c r="M108" s="82" t="str">
        <f aca="false">IF(B108="","",IF(OR(J108&lt;&gt;"",K108&lt;&gt;""),"POSÉ EN LIGNE",IF(COUNTIF(BARDAGE!$C$1:$C$5000,B108)&gt;0,"BARDÉ","EN STOCK")))</f>
        <v>POSÉ EN LIGNE</v>
      </c>
      <c r="N108" s="80"/>
    </row>
    <row r="109" customFormat="false" ht="15" hidden="false" customHeight="false" outlineLevel="0" collapsed="false">
      <c r="A109" s="82" t="n">
        <f aca="false">IF(B109="","",ROW()-6)</f>
        <v>103</v>
      </c>
      <c r="B109" s="145" t="n">
        <v>2082390</v>
      </c>
      <c r="C109" s="146" t="n">
        <v>15421110</v>
      </c>
      <c r="D109" s="146"/>
      <c r="E109" s="82" t="str">
        <f aca="false">IF(B109="","",IF(COUNTIFS('CARNET DE SOUDURE'!$L$7:$L$3006,B109,'CARNET DE SOUDURE'!$M$7:$M$3006,"&lt;&gt;"&amp;C109,'CARNET DE SOUDURE'!$M$7:$M$3006,"&lt;&gt;")+COUNTIFS('CARNET DE SOUDURE'!$O$7:$O$3006,B109,'CARNET DE SOUDURE'!$P$7:$P$3006,"&lt;&gt;"&amp;C109,'CARNET DE SOUDURE'!$P$7:$P$3006,"&lt;&gt;")&gt;0,"⚠ DIFFÉRENTE","OK"))</f>
        <v>OK</v>
      </c>
      <c r="F109" s="147" t="n">
        <v>11.94</v>
      </c>
      <c r="G109" s="80"/>
      <c r="H109" s="83"/>
      <c r="I109" s="148" t="str">
        <f aca="false">IF(B109="","",IFERROR(INDEX('CARNET DE SOUDURE'!$B$7:$B$3006,MATCH(B109,'CARNET DE SOUDURE'!$L$7:$L$3006,0)),IFERROR(INDEX('CARNET DE SOUDURE'!$B$7:$B$3006,MATCH(B109,'CARNET DE SOUDURE'!$O$7:$O$3006,0)),"")))</f>
        <v>MFD-ISW → MFD-CPF</v>
      </c>
      <c r="J109" s="82" t="str">
        <f aca="false">IF(B109="","",IFERROR(INDEX('CARNET DE SOUDURE'!$E$7:$E$3006,MATCH(B109,'CARNET DE SOUDURE'!$O$7:$O$3006,0)),""))</f>
        <v>JN°812</v>
      </c>
      <c r="K109" s="82" t="str">
        <f aca="false">IF(B109="","",IFERROR(INDEX('CARNET DE SOUDURE'!$E$7:$E$3006,MATCH(B109,'CARNET DE SOUDURE'!$L$7:$L$3006,0)),""))</f>
        <v>DJ°467</v>
      </c>
      <c r="L109" s="82" t="n">
        <f aca="false">IF(B109="","",IFERROR(INDEX('CARNET DE SOUDURE'!$D$7:$D$3006,MATCH(B109,'CARNET DE SOUDURE'!$L$7:$L$3006,0)),IFERROR(INDEX('CARNET DE SOUDURE'!$D$7:$D$3006,MATCH(B109,'CARNET DE SOUDURE'!$O$7:$O$3006,0)),"")))</f>
        <v>5</v>
      </c>
      <c r="M109" s="82" t="str">
        <f aca="false">IF(B109="","",IF(OR(J109&lt;&gt;"",K109&lt;&gt;""),"POSÉ EN LIGNE",IF(COUNTIF(BARDAGE!$C$1:$C$5000,B109)&gt;0,"BARDÉ","EN STOCK")))</f>
        <v>POSÉ EN LIGNE</v>
      </c>
      <c r="N109" s="80"/>
    </row>
    <row r="110" customFormat="false" ht="15" hidden="false" customHeight="false" outlineLevel="0" collapsed="false">
      <c r="A110" s="82" t="n">
        <f aca="false">IF(B110="","",ROW()-6)</f>
        <v>104</v>
      </c>
      <c r="B110" s="145" t="n">
        <v>2078870</v>
      </c>
      <c r="C110" s="146" t="n">
        <v>15421101</v>
      </c>
      <c r="D110" s="146"/>
      <c r="E110" s="82" t="str">
        <f aca="false">IF(B110="","",IF(COUNTIFS('CARNET DE SOUDURE'!$L$7:$L$3006,B110,'CARNET DE SOUDURE'!$M$7:$M$3006,"&lt;&gt;"&amp;C110,'CARNET DE SOUDURE'!$M$7:$M$3006,"&lt;&gt;")+COUNTIFS('CARNET DE SOUDURE'!$O$7:$O$3006,B110,'CARNET DE SOUDURE'!$P$7:$P$3006,"&lt;&gt;"&amp;C110,'CARNET DE SOUDURE'!$P$7:$P$3006,"&lt;&gt;")&gt;0,"⚠ DIFFÉRENTE","OK"))</f>
        <v>OK</v>
      </c>
      <c r="F110" s="147" t="n">
        <v>11.94</v>
      </c>
      <c r="G110" s="80"/>
      <c r="H110" s="83"/>
      <c r="I110" s="148" t="str">
        <f aca="false">IF(B110="","",IFERROR(INDEX('CARNET DE SOUDURE'!$B$7:$B$3006,MATCH(B110,'CARNET DE SOUDURE'!$L$7:$L$3006,0)),IFERROR(INDEX('CARNET DE SOUDURE'!$B$7:$B$3006,MATCH(B110,'CARNET DE SOUDURE'!$O$7:$O$3006,0)),"")))</f>
        <v>MFD-ISW → MFD-CPF</v>
      </c>
      <c r="J110" s="82" t="str">
        <f aca="false">IF(B110="","",IFERROR(INDEX('CARNET DE SOUDURE'!$E$7:$E$3006,MATCH(B110,'CARNET DE SOUDURE'!$O$7:$O$3006,0)),""))</f>
        <v>DJ°467</v>
      </c>
      <c r="K110" s="82" t="str">
        <f aca="false">IF(B110="","",IFERROR(INDEX('CARNET DE SOUDURE'!$E$7:$E$3006,MATCH(B110,'CARNET DE SOUDURE'!$L$7:$L$3006,0)),""))</f>
        <v>JN°813</v>
      </c>
      <c r="L110" s="82" t="n">
        <f aca="false">IF(B110="","",IFERROR(INDEX('CARNET DE SOUDURE'!$D$7:$D$3006,MATCH(B110,'CARNET DE SOUDURE'!$L$7:$L$3006,0)),IFERROR(INDEX('CARNET DE SOUDURE'!$D$7:$D$3006,MATCH(B110,'CARNET DE SOUDURE'!$O$7:$O$3006,0)),"")))</f>
        <v>5</v>
      </c>
      <c r="M110" s="82" t="str">
        <f aca="false">IF(B110="","",IF(OR(J110&lt;&gt;"",K110&lt;&gt;""),"POSÉ EN LIGNE",IF(COUNTIF(BARDAGE!$C$1:$C$5000,B110)&gt;0,"BARDÉ","EN STOCK")))</f>
        <v>POSÉ EN LIGNE</v>
      </c>
      <c r="N110" s="80"/>
    </row>
    <row r="111" customFormat="false" ht="15" hidden="false" customHeight="false" outlineLevel="0" collapsed="false">
      <c r="A111" s="82" t="n">
        <f aca="false">IF(B111="","",ROW()-6)</f>
        <v>105</v>
      </c>
      <c r="B111" s="145" t="n">
        <v>2083670</v>
      </c>
      <c r="C111" s="146" t="n">
        <v>15421105</v>
      </c>
      <c r="D111" s="146"/>
      <c r="E111" s="82" t="str">
        <f aca="false">IF(B111="","",IF(COUNTIFS('CARNET DE SOUDURE'!$L$7:$L$3006,B111,'CARNET DE SOUDURE'!$M$7:$M$3006,"&lt;&gt;"&amp;C111,'CARNET DE SOUDURE'!$M$7:$M$3006,"&lt;&gt;")+COUNTIFS('CARNET DE SOUDURE'!$O$7:$O$3006,B111,'CARNET DE SOUDURE'!$P$7:$P$3006,"&lt;&gt;"&amp;C111,'CARNET DE SOUDURE'!$P$7:$P$3006,"&lt;&gt;")&gt;0,"⚠ DIFFÉRENTE","OK"))</f>
        <v>OK</v>
      </c>
      <c r="F111" s="147" t="n">
        <v>11.94</v>
      </c>
      <c r="G111" s="80"/>
      <c r="H111" s="83"/>
      <c r="I111" s="148" t="str">
        <f aca="false">IF(B111="","",IFERROR(INDEX('CARNET DE SOUDURE'!$B$7:$B$3006,MATCH(B111,'CARNET DE SOUDURE'!$L$7:$L$3006,0)),IFERROR(INDEX('CARNET DE SOUDURE'!$B$7:$B$3006,MATCH(B111,'CARNET DE SOUDURE'!$O$7:$O$3006,0)),"")))</f>
        <v>MFD-ISW → MFD-CPF</v>
      </c>
      <c r="J111" s="82" t="str">
        <f aca="false">IF(B111="","",IFERROR(INDEX('CARNET DE SOUDURE'!$E$7:$E$3006,MATCH(B111,'CARNET DE SOUDURE'!$O$7:$O$3006,0)),""))</f>
        <v>JN°813</v>
      </c>
      <c r="K111" s="82" t="str">
        <f aca="false">IF(B111="","",IFERROR(INDEX('CARNET DE SOUDURE'!$E$7:$E$3006,MATCH(B111,'CARNET DE SOUDURE'!$L$7:$L$3006,0)),""))</f>
        <v>DJ°468</v>
      </c>
      <c r="L111" s="82" t="n">
        <f aca="false">IF(B111="","",IFERROR(INDEX('CARNET DE SOUDURE'!$D$7:$D$3006,MATCH(B111,'CARNET DE SOUDURE'!$L$7:$L$3006,0)),IFERROR(INDEX('CARNET DE SOUDURE'!$D$7:$D$3006,MATCH(B111,'CARNET DE SOUDURE'!$O$7:$O$3006,0)),"")))</f>
        <v>5</v>
      </c>
      <c r="M111" s="82" t="str">
        <f aca="false">IF(B111="","",IF(OR(J111&lt;&gt;"",K111&lt;&gt;""),"POSÉ EN LIGNE",IF(COUNTIF(BARDAGE!$C$1:$C$5000,B111)&gt;0,"BARDÉ","EN STOCK")))</f>
        <v>POSÉ EN LIGNE</v>
      </c>
      <c r="N111" s="80"/>
    </row>
    <row r="112" customFormat="false" ht="15" hidden="false" customHeight="false" outlineLevel="0" collapsed="false">
      <c r="A112" s="82" t="n">
        <f aca="false">IF(B112="","",ROW()-6)</f>
        <v>106</v>
      </c>
      <c r="B112" s="145" t="n">
        <v>2085440</v>
      </c>
      <c r="C112" s="146" t="n">
        <v>15421106</v>
      </c>
      <c r="D112" s="146"/>
      <c r="E112" s="82" t="str">
        <f aca="false">IF(B112="","",IF(COUNTIFS('CARNET DE SOUDURE'!$L$7:$L$3006,B112,'CARNET DE SOUDURE'!$M$7:$M$3006,"&lt;&gt;"&amp;C112,'CARNET DE SOUDURE'!$M$7:$M$3006,"&lt;&gt;")+COUNTIFS('CARNET DE SOUDURE'!$O$7:$O$3006,B112,'CARNET DE SOUDURE'!$P$7:$P$3006,"&lt;&gt;"&amp;C112,'CARNET DE SOUDURE'!$P$7:$P$3006,"&lt;&gt;")&gt;0,"⚠ DIFFÉRENTE","OK"))</f>
        <v>OK</v>
      </c>
      <c r="F112" s="147" t="n">
        <v>11.94</v>
      </c>
      <c r="G112" s="80"/>
      <c r="H112" s="83"/>
      <c r="I112" s="148" t="str">
        <f aca="false">IF(B112="","",IFERROR(INDEX('CARNET DE SOUDURE'!$B$7:$B$3006,MATCH(B112,'CARNET DE SOUDURE'!$L$7:$L$3006,0)),IFERROR(INDEX('CARNET DE SOUDURE'!$B$7:$B$3006,MATCH(B112,'CARNET DE SOUDURE'!$O$7:$O$3006,0)),"")))</f>
        <v>MFD-ISW → MFD-CPF</v>
      </c>
      <c r="J112" s="82" t="str">
        <f aca="false">IF(B112="","",IFERROR(INDEX('CARNET DE SOUDURE'!$E$7:$E$3006,MATCH(B112,'CARNET DE SOUDURE'!$O$7:$O$3006,0)),""))</f>
        <v>DJ°468</v>
      </c>
      <c r="K112" s="82" t="str">
        <f aca="false">IF(B112="","",IFERROR(INDEX('CARNET DE SOUDURE'!$E$7:$E$3006,MATCH(B112,'CARNET DE SOUDURE'!$L$7:$L$3006,0)),""))</f>
        <v>JN°814</v>
      </c>
      <c r="L112" s="82" t="n">
        <f aca="false">IF(B112="","",IFERROR(INDEX('CARNET DE SOUDURE'!$D$7:$D$3006,MATCH(B112,'CARNET DE SOUDURE'!$L$7:$L$3006,0)),IFERROR(INDEX('CARNET DE SOUDURE'!$D$7:$D$3006,MATCH(B112,'CARNET DE SOUDURE'!$O$7:$O$3006,0)),"")))</f>
        <v>5</v>
      </c>
      <c r="M112" s="82" t="str">
        <f aca="false">IF(B112="","",IF(OR(J112&lt;&gt;"",K112&lt;&gt;""),"POSÉ EN LIGNE",IF(COUNTIF(BARDAGE!$C$1:$C$5000,B112)&gt;0,"BARDÉ","EN STOCK")))</f>
        <v>POSÉ EN LIGNE</v>
      </c>
      <c r="N112" s="80"/>
    </row>
    <row r="113" customFormat="false" ht="15" hidden="false" customHeight="false" outlineLevel="0" collapsed="false">
      <c r="A113" s="82" t="n">
        <f aca="false">IF(B113="","",ROW()-6)</f>
        <v>107</v>
      </c>
      <c r="B113" s="145" t="n">
        <v>2081310</v>
      </c>
      <c r="C113" s="146" t="n">
        <v>15421103</v>
      </c>
      <c r="D113" s="146"/>
      <c r="E113" s="82" t="str">
        <f aca="false">IF(B113="","",IF(COUNTIFS('CARNET DE SOUDURE'!$L$7:$L$3006,B113,'CARNET DE SOUDURE'!$M$7:$M$3006,"&lt;&gt;"&amp;C113,'CARNET DE SOUDURE'!$M$7:$M$3006,"&lt;&gt;")+COUNTIFS('CARNET DE SOUDURE'!$O$7:$O$3006,B113,'CARNET DE SOUDURE'!$P$7:$P$3006,"&lt;&gt;"&amp;C113,'CARNET DE SOUDURE'!$P$7:$P$3006,"&lt;&gt;")&gt;0,"⚠ DIFFÉRENTE","OK"))</f>
        <v>OK</v>
      </c>
      <c r="F113" s="147" t="n">
        <v>11.94</v>
      </c>
      <c r="G113" s="80"/>
      <c r="H113" s="83"/>
      <c r="I113" s="148" t="str">
        <f aca="false">IF(B113="","",IFERROR(INDEX('CARNET DE SOUDURE'!$B$7:$B$3006,MATCH(B113,'CARNET DE SOUDURE'!$L$7:$L$3006,0)),IFERROR(INDEX('CARNET DE SOUDURE'!$B$7:$B$3006,MATCH(B113,'CARNET DE SOUDURE'!$O$7:$O$3006,0)),"")))</f>
        <v>MFD-ISW → MFD-CPF</v>
      </c>
      <c r="J113" s="82" t="str">
        <f aca="false">IF(B113="","",IFERROR(INDEX('CARNET DE SOUDURE'!$E$7:$E$3006,MATCH(B113,'CARNET DE SOUDURE'!$O$7:$O$3006,0)),""))</f>
        <v>JN°814</v>
      </c>
      <c r="K113" s="82" t="str">
        <f aca="false">IF(B113="","",IFERROR(INDEX('CARNET DE SOUDURE'!$E$7:$E$3006,MATCH(B113,'CARNET DE SOUDURE'!$L$7:$L$3006,0)),""))</f>
        <v>DJ°475</v>
      </c>
      <c r="L113" s="82" t="n">
        <f aca="false">IF(B113="","",IFERROR(INDEX('CARNET DE SOUDURE'!$D$7:$D$3006,MATCH(B113,'CARNET DE SOUDURE'!$L$7:$L$3006,0)),IFERROR(INDEX('CARNET DE SOUDURE'!$D$7:$D$3006,MATCH(B113,'CARNET DE SOUDURE'!$O$7:$O$3006,0)),"")))</f>
        <v>5</v>
      </c>
      <c r="M113" s="82" t="str">
        <f aca="false">IF(B113="","",IF(OR(J113&lt;&gt;"",K113&lt;&gt;""),"POSÉ EN LIGNE",IF(COUNTIF(BARDAGE!$C$1:$C$5000,B113)&gt;0,"BARDÉ","EN STOCK")))</f>
        <v>POSÉ EN LIGNE</v>
      </c>
      <c r="N113" s="80"/>
    </row>
    <row r="114" customFormat="false" ht="15" hidden="false" customHeight="false" outlineLevel="0" collapsed="false">
      <c r="A114" s="82" t="n">
        <f aca="false">IF(B114="","",ROW()-6)</f>
        <v>108</v>
      </c>
      <c r="B114" s="145" t="n">
        <v>2087430</v>
      </c>
      <c r="C114" s="146" t="n">
        <v>15421107</v>
      </c>
      <c r="D114" s="146"/>
      <c r="E114" s="82" t="str">
        <f aca="false">IF(B114="","",IF(COUNTIFS('CARNET DE SOUDURE'!$L$7:$L$3006,B114,'CARNET DE SOUDURE'!$M$7:$M$3006,"&lt;&gt;"&amp;C114,'CARNET DE SOUDURE'!$M$7:$M$3006,"&lt;&gt;")+COUNTIFS('CARNET DE SOUDURE'!$O$7:$O$3006,B114,'CARNET DE SOUDURE'!$P$7:$P$3006,"&lt;&gt;"&amp;C114,'CARNET DE SOUDURE'!$P$7:$P$3006,"&lt;&gt;")&gt;0,"⚠ DIFFÉRENTE","OK"))</f>
        <v>OK</v>
      </c>
      <c r="F114" s="147" t="n">
        <v>11.94</v>
      </c>
      <c r="G114" s="80"/>
      <c r="H114" s="83"/>
      <c r="I114" s="148" t="str">
        <f aca="false">IF(B114="","",IFERROR(INDEX('CARNET DE SOUDURE'!$B$7:$B$3006,MATCH(B114,'CARNET DE SOUDURE'!$L$7:$L$3006,0)),IFERROR(INDEX('CARNET DE SOUDURE'!$B$7:$B$3006,MATCH(B114,'CARNET DE SOUDURE'!$O$7:$O$3006,0)),"")))</f>
        <v>MFD-ISW → MFD-CPF</v>
      </c>
      <c r="J114" s="82" t="str">
        <f aca="false">IF(B114="","",IFERROR(INDEX('CARNET DE SOUDURE'!$E$7:$E$3006,MATCH(B114,'CARNET DE SOUDURE'!$O$7:$O$3006,0)),""))</f>
        <v>DJ°475</v>
      </c>
      <c r="K114" s="82" t="str">
        <f aca="false">IF(B114="","",IFERROR(INDEX('CARNET DE SOUDURE'!$E$7:$E$3006,MATCH(B114,'CARNET DE SOUDURE'!$L$7:$L$3006,0)),""))</f>
        <v>JN°815</v>
      </c>
      <c r="L114" s="82" t="n">
        <f aca="false">IF(B114="","",IFERROR(INDEX('CARNET DE SOUDURE'!$D$7:$D$3006,MATCH(B114,'CARNET DE SOUDURE'!$L$7:$L$3006,0)),IFERROR(INDEX('CARNET DE SOUDURE'!$D$7:$D$3006,MATCH(B114,'CARNET DE SOUDURE'!$O$7:$O$3006,0)),"")))</f>
        <v>5</v>
      </c>
      <c r="M114" s="82" t="str">
        <f aca="false">IF(B114="","",IF(OR(J114&lt;&gt;"",K114&lt;&gt;""),"POSÉ EN LIGNE",IF(COUNTIF(BARDAGE!$C$1:$C$5000,B114)&gt;0,"BARDÉ","EN STOCK")))</f>
        <v>POSÉ EN LIGNE</v>
      </c>
      <c r="N114" s="80"/>
    </row>
    <row r="115" customFormat="false" ht="15" hidden="false" customHeight="false" outlineLevel="0" collapsed="false">
      <c r="A115" s="82" t="n">
        <f aca="false">IF(B115="","",ROW()-6)</f>
        <v>109</v>
      </c>
      <c r="B115" s="145" t="n">
        <v>2087280</v>
      </c>
      <c r="C115" s="146" t="n">
        <v>15421107</v>
      </c>
      <c r="D115" s="146"/>
      <c r="E115" s="82" t="str">
        <f aca="false">IF(B115="","",IF(COUNTIFS('CARNET DE SOUDURE'!$L$7:$L$3006,B115,'CARNET DE SOUDURE'!$M$7:$M$3006,"&lt;&gt;"&amp;C115,'CARNET DE SOUDURE'!$M$7:$M$3006,"&lt;&gt;")+COUNTIFS('CARNET DE SOUDURE'!$O$7:$O$3006,B115,'CARNET DE SOUDURE'!$P$7:$P$3006,"&lt;&gt;"&amp;C115,'CARNET DE SOUDURE'!$P$7:$P$3006,"&lt;&gt;")&gt;0,"⚠ DIFFÉRENTE","OK"))</f>
        <v>OK</v>
      </c>
      <c r="F115" s="147" t="n">
        <v>11.94</v>
      </c>
      <c r="G115" s="80"/>
      <c r="H115" s="83"/>
      <c r="I115" s="148" t="str">
        <f aca="false">IF(B115="","",IFERROR(INDEX('CARNET DE SOUDURE'!$B$7:$B$3006,MATCH(B115,'CARNET DE SOUDURE'!$L$7:$L$3006,0)),IFERROR(INDEX('CARNET DE SOUDURE'!$B$7:$B$3006,MATCH(B115,'CARNET DE SOUDURE'!$O$7:$O$3006,0)),"")))</f>
        <v>MFD-ISW → MFD-CPF</v>
      </c>
      <c r="J115" s="82" t="str">
        <f aca="false">IF(B115="","",IFERROR(INDEX('CARNET DE SOUDURE'!$E$7:$E$3006,MATCH(B115,'CARNET DE SOUDURE'!$O$7:$O$3006,0)),""))</f>
        <v>JN°815</v>
      </c>
      <c r="K115" s="82" t="str">
        <f aca="false">IF(B115="","",IFERROR(INDEX('CARNET DE SOUDURE'!$E$7:$E$3006,MATCH(B115,'CARNET DE SOUDURE'!$L$7:$L$3006,0)),""))</f>
        <v>DJ°470</v>
      </c>
      <c r="L115" s="82" t="n">
        <f aca="false">IF(B115="","",IFERROR(INDEX('CARNET DE SOUDURE'!$D$7:$D$3006,MATCH(B115,'CARNET DE SOUDURE'!$L$7:$L$3006,0)),IFERROR(INDEX('CARNET DE SOUDURE'!$D$7:$D$3006,MATCH(B115,'CARNET DE SOUDURE'!$O$7:$O$3006,0)),"")))</f>
        <v>5</v>
      </c>
      <c r="M115" s="82" t="str">
        <f aca="false">IF(B115="","",IF(OR(J115&lt;&gt;"",K115&lt;&gt;""),"POSÉ EN LIGNE",IF(COUNTIF(BARDAGE!$C$1:$C$5000,B115)&gt;0,"BARDÉ","EN STOCK")))</f>
        <v>POSÉ EN LIGNE</v>
      </c>
      <c r="N115" s="80"/>
    </row>
    <row r="116" customFormat="false" ht="15" hidden="false" customHeight="false" outlineLevel="0" collapsed="false">
      <c r="A116" s="82" t="n">
        <f aca="false">IF(B116="","",ROW()-6)</f>
        <v>110</v>
      </c>
      <c r="B116" s="145" t="n">
        <v>2089170</v>
      </c>
      <c r="C116" s="146" t="n">
        <v>15421108</v>
      </c>
      <c r="D116" s="146"/>
      <c r="E116" s="82" t="str">
        <f aca="false">IF(B116="","",IF(COUNTIFS('CARNET DE SOUDURE'!$L$7:$L$3006,B116,'CARNET DE SOUDURE'!$M$7:$M$3006,"&lt;&gt;"&amp;C116,'CARNET DE SOUDURE'!$M$7:$M$3006,"&lt;&gt;")+COUNTIFS('CARNET DE SOUDURE'!$O$7:$O$3006,B116,'CARNET DE SOUDURE'!$P$7:$P$3006,"&lt;&gt;"&amp;C116,'CARNET DE SOUDURE'!$P$7:$P$3006,"&lt;&gt;")&gt;0,"⚠ DIFFÉRENTE","OK"))</f>
        <v>OK</v>
      </c>
      <c r="F116" s="147" t="n">
        <v>11.94</v>
      </c>
      <c r="G116" s="80"/>
      <c r="H116" s="83"/>
      <c r="I116" s="148" t="str">
        <f aca="false">IF(B116="","",IFERROR(INDEX('CARNET DE SOUDURE'!$B$7:$B$3006,MATCH(B116,'CARNET DE SOUDURE'!$L$7:$L$3006,0)),IFERROR(INDEX('CARNET DE SOUDURE'!$B$7:$B$3006,MATCH(B116,'CARNET DE SOUDURE'!$O$7:$O$3006,0)),"")))</f>
        <v>MFD-ISW → MFD-CPF</v>
      </c>
      <c r="J116" s="82" t="str">
        <f aca="false">IF(B116="","",IFERROR(INDEX('CARNET DE SOUDURE'!$E$7:$E$3006,MATCH(B116,'CARNET DE SOUDURE'!$O$7:$O$3006,0)),""))</f>
        <v>DJ°470</v>
      </c>
      <c r="K116" s="82" t="str">
        <f aca="false">IF(B116="","",IFERROR(INDEX('CARNET DE SOUDURE'!$E$7:$E$3006,MATCH(B116,'CARNET DE SOUDURE'!$L$7:$L$3006,0)),""))</f>
        <v>JN°816</v>
      </c>
      <c r="L116" s="82" t="n">
        <f aca="false">IF(B116="","",IFERROR(INDEX('CARNET DE SOUDURE'!$D$7:$D$3006,MATCH(B116,'CARNET DE SOUDURE'!$L$7:$L$3006,0)),IFERROR(INDEX('CARNET DE SOUDURE'!$D$7:$D$3006,MATCH(B116,'CARNET DE SOUDURE'!$O$7:$O$3006,0)),"")))</f>
        <v>5</v>
      </c>
      <c r="M116" s="82" t="str">
        <f aca="false">IF(B116="","",IF(OR(J116&lt;&gt;"",K116&lt;&gt;""),"POSÉ EN LIGNE",IF(COUNTIF(BARDAGE!$C$1:$C$5000,B116)&gt;0,"BARDÉ","EN STOCK")))</f>
        <v>POSÉ EN LIGNE</v>
      </c>
      <c r="N116" s="80"/>
    </row>
    <row r="117" customFormat="false" ht="15" hidden="false" customHeight="false" outlineLevel="0" collapsed="false">
      <c r="A117" s="82" t="n">
        <f aca="false">IF(B117="","",ROW()-6)</f>
        <v>111</v>
      </c>
      <c r="B117" s="145" t="n">
        <v>2079050</v>
      </c>
      <c r="C117" s="146" t="n">
        <v>15421102</v>
      </c>
      <c r="D117" s="146"/>
      <c r="E117" s="82" t="str">
        <f aca="false">IF(B117="","",IF(COUNTIFS('CARNET DE SOUDURE'!$L$7:$L$3006,B117,'CARNET DE SOUDURE'!$M$7:$M$3006,"&lt;&gt;"&amp;C117,'CARNET DE SOUDURE'!$M$7:$M$3006,"&lt;&gt;")+COUNTIFS('CARNET DE SOUDURE'!$O$7:$O$3006,B117,'CARNET DE SOUDURE'!$P$7:$P$3006,"&lt;&gt;"&amp;C117,'CARNET DE SOUDURE'!$P$7:$P$3006,"&lt;&gt;")&gt;0,"⚠ DIFFÉRENTE","OK"))</f>
        <v>OK</v>
      </c>
      <c r="F117" s="147" t="n">
        <v>11.94</v>
      </c>
      <c r="G117" s="80"/>
      <c r="H117" s="83"/>
      <c r="I117" s="148" t="str">
        <f aca="false">IF(B117="","",IFERROR(INDEX('CARNET DE SOUDURE'!$B$7:$B$3006,MATCH(B117,'CARNET DE SOUDURE'!$L$7:$L$3006,0)),IFERROR(INDEX('CARNET DE SOUDURE'!$B$7:$B$3006,MATCH(B117,'CARNET DE SOUDURE'!$O$7:$O$3006,0)),"")))</f>
        <v>MFD-ISW → MFD-CPF</v>
      </c>
      <c r="J117" s="82" t="str">
        <f aca="false">IF(B117="","",IFERROR(INDEX('CARNET DE SOUDURE'!$E$7:$E$3006,MATCH(B117,'CARNET DE SOUDURE'!$O$7:$O$3006,0)),""))</f>
        <v>JN°816</v>
      </c>
      <c r="K117" s="82" t="str">
        <f aca="false">IF(B117="","",IFERROR(INDEX('CARNET DE SOUDURE'!$E$7:$E$3006,MATCH(B117,'CARNET DE SOUDURE'!$L$7:$L$3006,0)),""))</f>
        <v>DJ°473</v>
      </c>
      <c r="L117" s="82" t="n">
        <f aca="false">IF(B117="","",IFERROR(INDEX('CARNET DE SOUDURE'!$D$7:$D$3006,MATCH(B117,'CARNET DE SOUDURE'!$L$7:$L$3006,0)),IFERROR(INDEX('CARNET DE SOUDURE'!$D$7:$D$3006,MATCH(B117,'CARNET DE SOUDURE'!$O$7:$O$3006,0)),"")))</f>
        <v>5</v>
      </c>
      <c r="M117" s="82" t="str">
        <f aca="false">IF(B117="","",IF(OR(J117&lt;&gt;"",K117&lt;&gt;""),"POSÉ EN LIGNE",IF(COUNTIF(BARDAGE!$C$1:$C$5000,B117)&gt;0,"BARDÉ","EN STOCK")))</f>
        <v>POSÉ EN LIGNE</v>
      </c>
      <c r="N117" s="80"/>
    </row>
    <row r="118" customFormat="false" ht="15" hidden="false" customHeight="false" outlineLevel="0" collapsed="false">
      <c r="A118" s="82" t="n">
        <f aca="false">IF(B118="","",ROW()-6)</f>
        <v>112</v>
      </c>
      <c r="B118" s="145" t="n">
        <v>2095460</v>
      </c>
      <c r="C118" s="146" t="n">
        <v>15421109</v>
      </c>
      <c r="D118" s="146"/>
      <c r="E118" s="82" t="str">
        <f aca="false">IF(B118="","",IF(COUNTIFS('CARNET DE SOUDURE'!$L$7:$L$3006,B118,'CARNET DE SOUDURE'!$M$7:$M$3006,"&lt;&gt;"&amp;C118,'CARNET DE SOUDURE'!$M$7:$M$3006,"&lt;&gt;")+COUNTIFS('CARNET DE SOUDURE'!$O$7:$O$3006,B118,'CARNET DE SOUDURE'!$P$7:$P$3006,"&lt;&gt;"&amp;C118,'CARNET DE SOUDURE'!$P$7:$P$3006,"&lt;&gt;")&gt;0,"⚠ DIFFÉRENTE","OK"))</f>
        <v>OK</v>
      </c>
      <c r="F118" s="147" t="n">
        <v>11.94</v>
      </c>
      <c r="G118" s="80"/>
      <c r="H118" s="83"/>
      <c r="I118" s="148" t="str">
        <f aca="false">IF(B118="","",IFERROR(INDEX('CARNET DE SOUDURE'!$B$7:$B$3006,MATCH(B118,'CARNET DE SOUDURE'!$L$7:$L$3006,0)),IFERROR(INDEX('CARNET DE SOUDURE'!$B$7:$B$3006,MATCH(B118,'CARNET DE SOUDURE'!$O$7:$O$3006,0)),"")))</f>
        <v>MFD-ISW → MFD-CPF</v>
      </c>
      <c r="J118" s="82" t="str">
        <f aca="false">IF(B118="","",IFERROR(INDEX('CARNET DE SOUDURE'!$E$7:$E$3006,MATCH(B118,'CARNET DE SOUDURE'!$O$7:$O$3006,0)),""))</f>
        <v>DJ°473</v>
      </c>
      <c r="K118" s="82" t="str">
        <f aca="false">IF(B118="","",IFERROR(INDEX('CARNET DE SOUDURE'!$E$7:$E$3006,MATCH(B118,'CARNET DE SOUDURE'!$L$7:$L$3006,0)),""))</f>
        <v/>
      </c>
      <c r="L118" s="82" t="n">
        <f aca="false">IF(B118="","",IFERROR(INDEX('CARNET DE SOUDURE'!$D$7:$D$3006,MATCH(B118,'CARNET DE SOUDURE'!$L$7:$L$3006,0)),IFERROR(INDEX('CARNET DE SOUDURE'!$D$7:$D$3006,MATCH(B118,'CARNET DE SOUDURE'!$O$7:$O$3006,0)),"")))</f>
        <v>5</v>
      </c>
      <c r="M118" s="82" t="str">
        <f aca="false">IF(B118="","",IF(OR(J118&lt;&gt;"",K118&lt;&gt;""),"POSÉ EN LIGNE",IF(COUNTIF(BARDAGE!$C$1:$C$5000,B118)&gt;0,"BARDÉ","EN STOCK")))</f>
        <v>POSÉ EN LIGNE</v>
      </c>
      <c r="N118" s="80"/>
    </row>
    <row r="119" customFormat="false" ht="15" hidden="false" customHeight="false" outlineLevel="0" collapsed="false">
      <c r="A119" s="82" t="n">
        <f aca="false">IF(B119="","",ROW()-6)</f>
        <v>113</v>
      </c>
      <c r="B119" s="145" t="n">
        <v>2091440</v>
      </c>
      <c r="C119" s="146" t="n">
        <v>15421110</v>
      </c>
      <c r="D119" s="146"/>
      <c r="E119" s="82" t="str">
        <f aca="false">IF(B119="","",IF(COUNTIFS('CARNET DE SOUDURE'!$L$7:$L$3006,B119,'CARNET DE SOUDURE'!$M$7:$M$3006,"&lt;&gt;"&amp;C119,'CARNET DE SOUDURE'!$M$7:$M$3006,"&lt;&gt;")+COUNTIFS('CARNET DE SOUDURE'!$O$7:$O$3006,B119,'CARNET DE SOUDURE'!$P$7:$P$3006,"&lt;&gt;"&amp;C119,'CARNET DE SOUDURE'!$P$7:$P$3006,"&lt;&gt;")&gt;0,"⚠ DIFFÉRENTE","OK"))</f>
        <v>⚠ DIFFÉRENTE</v>
      </c>
      <c r="F119" s="147" t="n">
        <v>11.94</v>
      </c>
      <c r="G119" s="80"/>
      <c r="H119" s="83"/>
      <c r="I119" s="148" t="str">
        <f aca="false">IF(B119="","",IFERROR(INDEX('CARNET DE SOUDURE'!$B$7:$B$3006,MATCH(B119,'CARNET DE SOUDURE'!$L$7:$L$3006,0)),IFERROR(INDEX('CARNET DE SOUDURE'!$B$7:$B$3006,MATCH(B119,'CARNET DE SOUDURE'!$O$7:$O$3006,0)),"")))</f>
        <v>MFD-ISW → MFD-CPF</v>
      </c>
      <c r="J119" s="82" t="str">
        <f aca="false">IF(B119="","",IFERROR(INDEX('CARNET DE SOUDURE'!$E$7:$E$3006,MATCH(B119,'CARNET DE SOUDURE'!$O$7:$O$3006,0)),""))</f>
        <v>DJ°399</v>
      </c>
      <c r="K119" s="82" t="str">
        <f aca="false">IF(B119="","",IFERROR(INDEX('CARNET DE SOUDURE'!$E$7:$E$3006,MATCH(B119,'CARNET DE SOUDURE'!$L$7:$L$3006,0)),""))</f>
        <v>DJ°453</v>
      </c>
      <c r="L119" s="82" t="n">
        <f aca="false">IF(B119="","",IFERROR(INDEX('CARNET DE SOUDURE'!$D$7:$D$3006,MATCH(B119,'CARNET DE SOUDURE'!$L$7:$L$3006,0)),IFERROR(INDEX('CARNET DE SOUDURE'!$D$7:$D$3006,MATCH(B119,'CARNET DE SOUDURE'!$O$7:$O$3006,0)),"")))</f>
        <v>5</v>
      </c>
      <c r="M119" s="82" t="str">
        <f aca="false">IF(B119="","",IF(OR(J119&lt;&gt;"",K119&lt;&gt;""),"POSÉ EN LIGNE",IF(COUNTIF(BARDAGE!$C$1:$C$5000,B119)&gt;0,"BARDÉ","EN STOCK")))</f>
        <v>POSÉ EN LIGNE</v>
      </c>
      <c r="N119" s="80"/>
    </row>
    <row r="120" customFormat="false" ht="15" hidden="false" customHeight="false" outlineLevel="0" collapsed="false">
      <c r="A120" s="82" t="n">
        <f aca="false">IF(B120="","",ROW()-6)</f>
        <v>114</v>
      </c>
      <c r="B120" s="145" t="n">
        <v>2094010</v>
      </c>
      <c r="C120" s="146" t="n">
        <v>15421110</v>
      </c>
      <c r="D120" s="146"/>
      <c r="E120" s="82" t="str">
        <f aca="false">IF(B120="","",IF(COUNTIFS('CARNET DE SOUDURE'!$L$7:$L$3006,B120,'CARNET DE SOUDURE'!$M$7:$M$3006,"&lt;&gt;"&amp;C120,'CARNET DE SOUDURE'!$M$7:$M$3006,"&lt;&gt;")+COUNTIFS('CARNET DE SOUDURE'!$O$7:$O$3006,B120,'CARNET DE SOUDURE'!$P$7:$P$3006,"&lt;&gt;"&amp;C120,'CARNET DE SOUDURE'!$P$7:$P$3006,"&lt;&gt;")&gt;0,"⚠ DIFFÉRENTE","OK"))</f>
        <v>OK</v>
      </c>
      <c r="F120" s="147" t="n">
        <v>11.94</v>
      </c>
      <c r="G120" s="80"/>
      <c r="H120" s="83"/>
      <c r="I120" s="148" t="str">
        <f aca="false">IF(B120="","",IFERROR(INDEX('CARNET DE SOUDURE'!$B$7:$B$3006,MATCH(B120,'CARNET DE SOUDURE'!$L$7:$L$3006,0)),IFERROR(INDEX('CARNET DE SOUDURE'!$B$7:$B$3006,MATCH(B120,'CARNET DE SOUDURE'!$O$7:$O$3006,0)),"")))</f>
        <v>MFD-ISW → MFD-CPF</v>
      </c>
      <c r="J120" s="82" t="str">
        <f aca="false">IF(B120="","",IFERROR(INDEX('CARNET DE SOUDURE'!$E$7:$E$3006,MATCH(B120,'CARNET DE SOUDURE'!$O$7:$O$3006,0)),""))</f>
        <v>DJ°453</v>
      </c>
      <c r="K120" s="82" t="str">
        <f aca="false">IF(B120="","",IFERROR(INDEX('CARNET DE SOUDURE'!$E$7:$E$3006,MATCH(B120,'CARNET DE SOUDURE'!$L$7:$L$3006,0)),""))</f>
        <v>JN°819</v>
      </c>
      <c r="L120" s="82" t="n">
        <f aca="false">IF(B120="","",IFERROR(INDEX('CARNET DE SOUDURE'!$D$7:$D$3006,MATCH(B120,'CARNET DE SOUDURE'!$L$7:$L$3006,0)),IFERROR(INDEX('CARNET DE SOUDURE'!$D$7:$D$3006,MATCH(B120,'CARNET DE SOUDURE'!$O$7:$O$3006,0)),"")))</f>
        <v>5</v>
      </c>
      <c r="M120" s="82" t="str">
        <f aca="false">IF(B120="","",IF(OR(J120&lt;&gt;"",K120&lt;&gt;""),"POSÉ EN LIGNE",IF(COUNTIF(BARDAGE!$C$1:$C$5000,B120)&gt;0,"BARDÉ","EN STOCK")))</f>
        <v>POSÉ EN LIGNE</v>
      </c>
      <c r="N120" s="80"/>
    </row>
    <row r="121" customFormat="false" ht="15" hidden="false" customHeight="false" outlineLevel="0" collapsed="false">
      <c r="A121" s="82" t="n">
        <f aca="false">IF(B121="","",ROW()-6)</f>
        <v>115</v>
      </c>
      <c r="B121" s="145" t="n">
        <v>2094560</v>
      </c>
      <c r="C121" s="146" t="n">
        <v>15421111</v>
      </c>
      <c r="D121" s="146"/>
      <c r="E121" s="82" t="str">
        <f aca="false">IF(B121="","",IF(COUNTIFS('CARNET DE SOUDURE'!$L$7:$L$3006,B121,'CARNET DE SOUDURE'!$M$7:$M$3006,"&lt;&gt;"&amp;C121,'CARNET DE SOUDURE'!$M$7:$M$3006,"&lt;&gt;")+COUNTIFS('CARNET DE SOUDURE'!$O$7:$O$3006,B121,'CARNET DE SOUDURE'!$P$7:$P$3006,"&lt;&gt;"&amp;C121,'CARNET DE SOUDURE'!$P$7:$P$3006,"&lt;&gt;")&gt;0,"⚠ DIFFÉRENTE","OK"))</f>
        <v>OK</v>
      </c>
      <c r="F121" s="147" t="n">
        <v>11.94</v>
      </c>
      <c r="G121" s="80"/>
      <c r="H121" s="83"/>
      <c r="I121" s="148" t="str">
        <f aca="false">IF(B121="","",IFERROR(INDEX('CARNET DE SOUDURE'!$B$7:$B$3006,MATCH(B121,'CARNET DE SOUDURE'!$L$7:$L$3006,0)),IFERROR(INDEX('CARNET DE SOUDURE'!$B$7:$B$3006,MATCH(B121,'CARNET DE SOUDURE'!$O$7:$O$3006,0)),"")))</f>
        <v>MFD-ISW → MFD-CPF</v>
      </c>
      <c r="J121" s="82" t="str">
        <f aca="false">IF(B121="","",IFERROR(INDEX('CARNET DE SOUDURE'!$E$7:$E$3006,MATCH(B121,'CARNET DE SOUDURE'!$O$7:$O$3006,0)),""))</f>
        <v>JN°819</v>
      </c>
      <c r="K121" s="82" t="str">
        <f aca="false">IF(B121="","",IFERROR(INDEX('CARNET DE SOUDURE'!$E$7:$E$3006,MATCH(B121,'CARNET DE SOUDURE'!$L$7:$L$3006,0)),""))</f>
        <v>DJ°455</v>
      </c>
      <c r="L121" s="82" t="n">
        <f aca="false">IF(B121="","",IFERROR(INDEX('CARNET DE SOUDURE'!$D$7:$D$3006,MATCH(B121,'CARNET DE SOUDURE'!$L$7:$L$3006,0)),IFERROR(INDEX('CARNET DE SOUDURE'!$D$7:$D$3006,MATCH(B121,'CARNET DE SOUDURE'!$O$7:$O$3006,0)),"")))</f>
        <v>5</v>
      </c>
      <c r="M121" s="82" t="str">
        <f aca="false">IF(B121="","",IF(OR(J121&lt;&gt;"",K121&lt;&gt;""),"POSÉ EN LIGNE",IF(COUNTIF(BARDAGE!$C$1:$C$5000,B121)&gt;0,"BARDÉ","EN STOCK")))</f>
        <v>POSÉ EN LIGNE</v>
      </c>
      <c r="N121" s="80"/>
    </row>
    <row r="122" customFormat="false" ht="15" hidden="false" customHeight="false" outlineLevel="0" collapsed="false">
      <c r="A122" s="82" t="n">
        <f aca="false">IF(B122="","",ROW()-6)</f>
        <v>116</v>
      </c>
      <c r="B122" s="145" t="n">
        <v>2084980</v>
      </c>
      <c r="C122" s="146" t="n">
        <v>15421106</v>
      </c>
      <c r="D122" s="146"/>
      <c r="E122" s="82" t="str">
        <f aca="false">IF(B122="","",IF(COUNTIFS('CARNET DE SOUDURE'!$L$7:$L$3006,B122,'CARNET DE SOUDURE'!$M$7:$M$3006,"&lt;&gt;"&amp;C122,'CARNET DE SOUDURE'!$M$7:$M$3006,"&lt;&gt;")+COUNTIFS('CARNET DE SOUDURE'!$O$7:$O$3006,B122,'CARNET DE SOUDURE'!$P$7:$P$3006,"&lt;&gt;"&amp;C122,'CARNET DE SOUDURE'!$P$7:$P$3006,"&lt;&gt;")&gt;0,"⚠ DIFFÉRENTE","OK"))</f>
        <v>OK</v>
      </c>
      <c r="F122" s="147" t="n">
        <v>11.94</v>
      </c>
      <c r="G122" s="80"/>
      <c r="H122" s="83"/>
      <c r="I122" s="148" t="str">
        <f aca="false">IF(B122="","",IFERROR(INDEX('CARNET DE SOUDURE'!$B$7:$B$3006,MATCH(B122,'CARNET DE SOUDURE'!$L$7:$L$3006,0)),IFERROR(INDEX('CARNET DE SOUDURE'!$B$7:$B$3006,MATCH(B122,'CARNET DE SOUDURE'!$O$7:$O$3006,0)),"")))</f>
        <v>MFD-ISW → MFD-CPF</v>
      </c>
      <c r="J122" s="82" t="str">
        <f aca="false">IF(B122="","",IFERROR(INDEX('CARNET DE SOUDURE'!$E$7:$E$3006,MATCH(B122,'CARNET DE SOUDURE'!$O$7:$O$3006,0)),""))</f>
        <v>DJ°455</v>
      </c>
      <c r="K122" s="82" t="str">
        <f aca="false">IF(B122="","",IFERROR(INDEX('CARNET DE SOUDURE'!$E$7:$E$3006,MATCH(B122,'CARNET DE SOUDURE'!$L$7:$L$3006,0)),""))</f>
        <v>JN°820</v>
      </c>
      <c r="L122" s="82" t="n">
        <f aca="false">IF(B122="","",IFERROR(INDEX('CARNET DE SOUDURE'!$D$7:$D$3006,MATCH(B122,'CARNET DE SOUDURE'!$L$7:$L$3006,0)),IFERROR(INDEX('CARNET DE SOUDURE'!$D$7:$D$3006,MATCH(B122,'CARNET DE SOUDURE'!$O$7:$O$3006,0)),"")))</f>
        <v>5</v>
      </c>
      <c r="M122" s="82" t="str">
        <f aca="false">IF(B122="","",IF(OR(J122&lt;&gt;"",K122&lt;&gt;""),"POSÉ EN LIGNE",IF(COUNTIF(BARDAGE!$C$1:$C$5000,B122)&gt;0,"BARDÉ","EN STOCK")))</f>
        <v>POSÉ EN LIGNE</v>
      </c>
      <c r="N122" s="80"/>
    </row>
    <row r="123" customFormat="false" ht="15" hidden="false" customHeight="false" outlineLevel="0" collapsed="false">
      <c r="A123" s="82" t="n">
        <f aca="false">IF(B123="","",ROW()-6)</f>
        <v>117</v>
      </c>
      <c r="B123" s="145" t="n">
        <v>2086230</v>
      </c>
      <c r="C123" s="146" t="n">
        <v>15421107</v>
      </c>
      <c r="D123" s="146"/>
      <c r="E123" s="82" t="str">
        <f aca="false">IF(B123="","",IF(COUNTIFS('CARNET DE SOUDURE'!$L$7:$L$3006,B123,'CARNET DE SOUDURE'!$M$7:$M$3006,"&lt;&gt;"&amp;C123,'CARNET DE SOUDURE'!$M$7:$M$3006,"&lt;&gt;")+COUNTIFS('CARNET DE SOUDURE'!$O$7:$O$3006,B123,'CARNET DE SOUDURE'!$P$7:$P$3006,"&lt;&gt;"&amp;C123,'CARNET DE SOUDURE'!$P$7:$P$3006,"&lt;&gt;")&gt;0,"⚠ DIFFÉRENTE","OK"))</f>
        <v>OK</v>
      </c>
      <c r="F123" s="147" t="n">
        <v>11.94</v>
      </c>
      <c r="G123" s="80"/>
      <c r="H123" s="83"/>
      <c r="I123" s="148" t="str">
        <f aca="false">IF(B123="","",IFERROR(INDEX('CARNET DE SOUDURE'!$B$7:$B$3006,MATCH(B123,'CARNET DE SOUDURE'!$L$7:$L$3006,0)),IFERROR(INDEX('CARNET DE SOUDURE'!$B$7:$B$3006,MATCH(B123,'CARNET DE SOUDURE'!$O$7:$O$3006,0)),"")))</f>
        <v>MFD-ISW → MFD-CPF</v>
      </c>
      <c r="J123" s="82" t="str">
        <f aca="false">IF(B123="","",IFERROR(INDEX('CARNET DE SOUDURE'!$E$7:$E$3006,MATCH(B123,'CARNET DE SOUDURE'!$O$7:$O$3006,0)),""))</f>
        <v>JN°820</v>
      </c>
      <c r="K123" s="82" t="str">
        <f aca="false">IF(B123="","",IFERROR(INDEX('CARNET DE SOUDURE'!$E$7:$E$3006,MATCH(B123,'CARNET DE SOUDURE'!$L$7:$L$3006,0)),""))</f>
        <v>DJ°447</v>
      </c>
      <c r="L123" s="82" t="n">
        <f aca="false">IF(B123="","",IFERROR(INDEX('CARNET DE SOUDURE'!$D$7:$D$3006,MATCH(B123,'CARNET DE SOUDURE'!$L$7:$L$3006,0)),IFERROR(INDEX('CARNET DE SOUDURE'!$D$7:$D$3006,MATCH(B123,'CARNET DE SOUDURE'!$O$7:$O$3006,0)),"")))</f>
        <v>5</v>
      </c>
      <c r="M123" s="82" t="str">
        <f aca="false">IF(B123="","",IF(OR(J123&lt;&gt;"",K123&lt;&gt;""),"POSÉ EN LIGNE",IF(COUNTIF(BARDAGE!$C$1:$C$5000,B123)&gt;0,"BARDÉ","EN STOCK")))</f>
        <v>POSÉ EN LIGNE</v>
      </c>
      <c r="N123" s="80"/>
    </row>
    <row r="124" customFormat="false" ht="15" hidden="false" customHeight="false" outlineLevel="0" collapsed="false">
      <c r="A124" s="82" t="n">
        <f aca="false">IF(B124="","",ROW()-6)</f>
        <v>118</v>
      </c>
      <c r="B124" s="145" t="n">
        <v>2078620</v>
      </c>
      <c r="C124" s="146" t="n">
        <v>15421101</v>
      </c>
      <c r="D124" s="146"/>
      <c r="E124" s="82" t="str">
        <f aca="false">IF(B124="","",IF(COUNTIFS('CARNET DE SOUDURE'!$L$7:$L$3006,B124,'CARNET DE SOUDURE'!$M$7:$M$3006,"&lt;&gt;"&amp;C124,'CARNET DE SOUDURE'!$M$7:$M$3006,"&lt;&gt;")+COUNTIFS('CARNET DE SOUDURE'!$O$7:$O$3006,B124,'CARNET DE SOUDURE'!$P$7:$P$3006,"&lt;&gt;"&amp;C124,'CARNET DE SOUDURE'!$P$7:$P$3006,"&lt;&gt;")&gt;0,"⚠ DIFFÉRENTE","OK"))</f>
        <v>OK</v>
      </c>
      <c r="F124" s="147" t="n">
        <v>11.94</v>
      </c>
      <c r="G124" s="80"/>
      <c r="H124" s="83"/>
      <c r="I124" s="148" t="str">
        <f aca="false">IF(B124="","",IFERROR(INDEX('CARNET DE SOUDURE'!$B$7:$B$3006,MATCH(B124,'CARNET DE SOUDURE'!$L$7:$L$3006,0)),IFERROR(INDEX('CARNET DE SOUDURE'!$B$7:$B$3006,MATCH(B124,'CARNET DE SOUDURE'!$O$7:$O$3006,0)),"")))</f>
        <v>MFD-ISW → MFD-CPF</v>
      </c>
      <c r="J124" s="82" t="str">
        <f aca="false">IF(B124="","",IFERROR(INDEX('CARNET DE SOUDURE'!$E$7:$E$3006,MATCH(B124,'CARNET DE SOUDURE'!$O$7:$O$3006,0)),""))</f>
        <v>DJ°447</v>
      </c>
      <c r="K124" s="82" t="str">
        <f aca="false">IF(B124="","",IFERROR(INDEX('CARNET DE SOUDURE'!$E$7:$E$3006,MATCH(B124,'CARNET DE SOUDURE'!$L$7:$L$3006,0)),""))</f>
        <v>JN°821</v>
      </c>
      <c r="L124" s="82" t="n">
        <f aca="false">IF(B124="","",IFERROR(INDEX('CARNET DE SOUDURE'!$D$7:$D$3006,MATCH(B124,'CARNET DE SOUDURE'!$L$7:$L$3006,0)),IFERROR(INDEX('CARNET DE SOUDURE'!$D$7:$D$3006,MATCH(B124,'CARNET DE SOUDURE'!$O$7:$O$3006,0)),"")))</f>
        <v>5</v>
      </c>
      <c r="M124" s="82" t="str">
        <f aca="false">IF(B124="","",IF(OR(J124&lt;&gt;"",K124&lt;&gt;""),"POSÉ EN LIGNE",IF(COUNTIF(BARDAGE!$C$1:$C$5000,B124)&gt;0,"BARDÉ","EN STOCK")))</f>
        <v>POSÉ EN LIGNE</v>
      </c>
      <c r="N124" s="80"/>
    </row>
    <row r="125" customFormat="false" ht="15" hidden="false" customHeight="false" outlineLevel="0" collapsed="false">
      <c r="A125" s="82" t="n">
        <f aca="false">IF(B125="","",ROW()-6)</f>
        <v>119</v>
      </c>
      <c r="B125" s="145" t="n">
        <v>2085020</v>
      </c>
      <c r="C125" s="146" t="n">
        <v>15421106</v>
      </c>
      <c r="D125" s="146"/>
      <c r="E125" s="82" t="str">
        <f aca="false">IF(B125="","",IF(COUNTIFS('CARNET DE SOUDURE'!$L$7:$L$3006,B125,'CARNET DE SOUDURE'!$M$7:$M$3006,"&lt;&gt;"&amp;C125,'CARNET DE SOUDURE'!$M$7:$M$3006,"&lt;&gt;")+COUNTIFS('CARNET DE SOUDURE'!$O$7:$O$3006,B125,'CARNET DE SOUDURE'!$P$7:$P$3006,"&lt;&gt;"&amp;C125,'CARNET DE SOUDURE'!$P$7:$P$3006,"&lt;&gt;")&gt;0,"⚠ DIFFÉRENTE","OK"))</f>
        <v>OK</v>
      </c>
      <c r="F125" s="147" t="n">
        <v>11.94</v>
      </c>
      <c r="G125" s="80"/>
      <c r="H125" s="83"/>
      <c r="I125" s="148" t="str">
        <f aca="false">IF(B125="","",IFERROR(INDEX('CARNET DE SOUDURE'!$B$7:$B$3006,MATCH(B125,'CARNET DE SOUDURE'!$L$7:$L$3006,0)),IFERROR(INDEX('CARNET DE SOUDURE'!$B$7:$B$3006,MATCH(B125,'CARNET DE SOUDURE'!$O$7:$O$3006,0)),"")))</f>
        <v>MFD-ISW → MFD-CPF</v>
      </c>
      <c r="J125" s="82" t="str">
        <f aca="false">IF(B125="","",IFERROR(INDEX('CARNET DE SOUDURE'!$E$7:$E$3006,MATCH(B125,'CARNET DE SOUDURE'!$O$7:$O$3006,0)),""))</f>
        <v>JN°821</v>
      </c>
      <c r="K125" s="82" t="str">
        <f aca="false">IF(B125="","",IFERROR(INDEX('CARNET DE SOUDURE'!$E$7:$E$3006,MATCH(B125,'CARNET DE SOUDURE'!$L$7:$L$3006,0)),""))</f>
        <v>DJ°445</v>
      </c>
      <c r="L125" s="82" t="n">
        <f aca="false">IF(B125="","",IFERROR(INDEX('CARNET DE SOUDURE'!$D$7:$D$3006,MATCH(B125,'CARNET DE SOUDURE'!$L$7:$L$3006,0)),IFERROR(INDEX('CARNET DE SOUDURE'!$D$7:$D$3006,MATCH(B125,'CARNET DE SOUDURE'!$O$7:$O$3006,0)),"")))</f>
        <v>5</v>
      </c>
      <c r="M125" s="82" t="str">
        <f aca="false">IF(B125="","",IF(OR(J125&lt;&gt;"",K125&lt;&gt;""),"POSÉ EN LIGNE",IF(COUNTIF(BARDAGE!$C$1:$C$5000,B125)&gt;0,"BARDÉ","EN STOCK")))</f>
        <v>POSÉ EN LIGNE</v>
      </c>
      <c r="N125" s="80"/>
    </row>
    <row r="126" customFormat="false" ht="15" hidden="false" customHeight="false" outlineLevel="0" collapsed="false">
      <c r="A126" s="82" t="n">
        <f aca="false">IF(B126="","",ROW()-6)</f>
        <v>120</v>
      </c>
      <c r="B126" s="145" t="n">
        <v>2054520</v>
      </c>
      <c r="C126" s="146" t="n">
        <v>15421111</v>
      </c>
      <c r="D126" s="146"/>
      <c r="E126" s="82" t="str">
        <f aca="false">IF(B126="","",IF(COUNTIFS('CARNET DE SOUDURE'!$L$7:$L$3006,B126,'CARNET DE SOUDURE'!$M$7:$M$3006,"&lt;&gt;"&amp;C126,'CARNET DE SOUDURE'!$M$7:$M$3006,"&lt;&gt;")+COUNTIFS('CARNET DE SOUDURE'!$O$7:$O$3006,B126,'CARNET DE SOUDURE'!$P$7:$P$3006,"&lt;&gt;"&amp;C126,'CARNET DE SOUDURE'!$P$7:$P$3006,"&lt;&gt;")&gt;0,"⚠ DIFFÉRENTE","OK"))</f>
        <v>OK</v>
      </c>
      <c r="F126" s="147" t="n">
        <v>11.94</v>
      </c>
      <c r="G126" s="80"/>
      <c r="H126" s="83"/>
      <c r="I126" s="148" t="str">
        <f aca="false">IF(B126="","",IFERROR(INDEX('CARNET DE SOUDURE'!$B$7:$B$3006,MATCH(B126,'CARNET DE SOUDURE'!$L$7:$L$3006,0)),IFERROR(INDEX('CARNET DE SOUDURE'!$B$7:$B$3006,MATCH(B126,'CARNET DE SOUDURE'!$O$7:$O$3006,0)),"")))</f>
        <v>MFD-ISW → MFD-CPF</v>
      </c>
      <c r="J126" s="82" t="str">
        <f aca="false">IF(B126="","",IFERROR(INDEX('CARNET DE SOUDURE'!$E$7:$E$3006,MATCH(B126,'CARNET DE SOUDURE'!$O$7:$O$3006,0)),""))</f>
        <v>DJ°445</v>
      </c>
      <c r="K126" s="82" t="str">
        <f aca="false">IF(B126="","",IFERROR(INDEX('CARNET DE SOUDURE'!$E$7:$E$3006,MATCH(B126,'CARNET DE SOUDURE'!$L$7:$L$3006,0)),""))</f>
        <v>JN°822</v>
      </c>
      <c r="L126" s="82" t="n">
        <f aca="false">IF(B126="","",IFERROR(INDEX('CARNET DE SOUDURE'!$D$7:$D$3006,MATCH(B126,'CARNET DE SOUDURE'!$L$7:$L$3006,0)),IFERROR(INDEX('CARNET DE SOUDURE'!$D$7:$D$3006,MATCH(B126,'CARNET DE SOUDURE'!$O$7:$O$3006,0)),"")))</f>
        <v>5</v>
      </c>
      <c r="M126" s="82" t="str">
        <f aca="false">IF(B126="","",IF(OR(J126&lt;&gt;"",K126&lt;&gt;""),"POSÉ EN LIGNE",IF(COUNTIF(BARDAGE!$C$1:$C$5000,B126)&gt;0,"BARDÉ","EN STOCK")))</f>
        <v>POSÉ EN LIGNE</v>
      </c>
      <c r="N126" s="80"/>
    </row>
    <row r="127" customFormat="false" ht="15" hidden="false" customHeight="false" outlineLevel="0" collapsed="false">
      <c r="A127" s="82" t="n">
        <f aca="false">IF(B127="","",ROW()-6)</f>
        <v>121</v>
      </c>
      <c r="B127" s="145" t="n">
        <v>2086030</v>
      </c>
      <c r="C127" s="146" t="n">
        <v>15421107</v>
      </c>
      <c r="D127" s="146"/>
      <c r="E127" s="82" t="str">
        <f aca="false">IF(B127="","",IF(COUNTIFS('CARNET DE SOUDURE'!$L$7:$L$3006,B127,'CARNET DE SOUDURE'!$M$7:$M$3006,"&lt;&gt;"&amp;C127,'CARNET DE SOUDURE'!$M$7:$M$3006,"&lt;&gt;")+COUNTIFS('CARNET DE SOUDURE'!$O$7:$O$3006,B127,'CARNET DE SOUDURE'!$P$7:$P$3006,"&lt;&gt;"&amp;C127,'CARNET DE SOUDURE'!$P$7:$P$3006,"&lt;&gt;")&gt;0,"⚠ DIFFÉRENTE","OK"))</f>
        <v>⚠ DIFFÉRENTE</v>
      </c>
      <c r="F127" s="147" t="n">
        <v>11.95</v>
      </c>
      <c r="G127" s="80"/>
      <c r="H127" s="83"/>
      <c r="I127" s="148" t="str">
        <f aca="false">IF(B127="","",IFERROR(INDEX('CARNET DE SOUDURE'!$B$7:$B$3006,MATCH(B127,'CARNET DE SOUDURE'!$L$7:$L$3006,0)),IFERROR(INDEX('CARNET DE SOUDURE'!$B$7:$B$3006,MATCH(B127,'CARNET DE SOUDURE'!$O$7:$O$3006,0)),"")))</f>
        <v>MFD-ISW → MFD-CPF</v>
      </c>
      <c r="J127" s="82" t="str">
        <f aca="false">IF(B127="","",IFERROR(INDEX('CARNET DE SOUDURE'!$E$7:$E$3006,MATCH(B127,'CARNET DE SOUDURE'!$O$7:$O$3006,0)),""))</f>
        <v>JN°822</v>
      </c>
      <c r="K127" s="82" t="str">
        <f aca="false">IF(B127="","",IFERROR(INDEX('CARNET DE SOUDURE'!$E$7:$E$3006,MATCH(B127,'CARNET DE SOUDURE'!$L$7:$L$3006,0)),""))</f>
        <v>DJ°427</v>
      </c>
      <c r="L127" s="82" t="n">
        <f aca="false">IF(B127="","",IFERROR(INDEX('CARNET DE SOUDURE'!$D$7:$D$3006,MATCH(B127,'CARNET DE SOUDURE'!$L$7:$L$3006,0)),IFERROR(INDEX('CARNET DE SOUDURE'!$D$7:$D$3006,MATCH(B127,'CARNET DE SOUDURE'!$O$7:$O$3006,0)),"")))</f>
        <v>5</v>
      </c>
      <c r="M127" s="82" t="str">
        <f aca="false">IF(B127="","",IF(OR(J127&lt;&gt;"",K127&lt;&gt;""),"POSÉ EN LIGNE",IF(COUNTIF(BARDAGE!$C$1:$C$5000,B127)&gt;0,"BARDÉ","EN STOCK")))</f>
        <v>POSÉ EN LIGNE</v>
      </c>
      <c r="N127" s="80"/>
    </row>
    <row r="128" customFormat="false" ht="15" hidden="false" customHeight="false" outlineLevel="0" collapsed="false">
      <c r="A128" s="82" t="n">
        <f aca="false">IF(B128="","",ROW()-6)</f>
        <v>122</v>
      </c>
      <c r="B128" s="145" t="n">
        <v>2083090</v>
      </c>
      <c r="C128" s="146" t="n">
        <v>15421106</v>
      </c>
      <c r="D128" s="146"/>
      <c r="E128" s="82" t="str">
        <f aca="false">IF(B128="","",IF(COUNTIFS('CARNET DE SOUDURE'!$L$7:$L$3006,B128,'CARNET DE SOUDURE'!$M$7:$M$3006,"&lt;&gt;"&amp;C128,'CARNET DE SOUDURE'!$M$7:$M$3006,"&lt;&gt;")+COUNTIFS('CARNET DE SOUDURE'!$O$7:$O$3006,B128,'CARNET DE SOUDURE'!$P$7:$P$3006,"&lt;&gt;"&amp;C128,'CARNET DE SOUDURE'!$P$7:$P$3006,"&lt;&gt;")&gt;0,"⚠ DIFFÉRENTE","OK"))</f>
        <v>OK</v>
      </c>
      <c r="F128" s="147" t="n">
        <v>11.94</v>
      </c>
      <c r="G128" s="80"/>
      <c r="H128" s="83"/>
      <c r="I128" s="148" t="str">
        <f aca="false">IF(B128="","",IFERROR(INDEX('CARNET DE SOUDURE'!$B$7:$B$3006,MATCH(B128,'CARNET DE SOUDURE'!$L$7:$L$3006,0)),IFERROR(INDEX('CARNET DE SOUDURE'!$B$7:$B$3006,MATCH(B128,'CARNET DE SOUDURE'!$O$7:$O$3006,0)),"")))</f>
        <v>MFD-ISW → MFD-CPF</v>
      </c>
      <c r="J128" s="82" t="str">
        <f aca="false">IF(B128="","",IFERROR(INDEX('CARNET DE SOUDURE'!$E$7:$E$3006,MATCH(B128,'CARNET DE SOUDURE'!$O$7:$O$3006,0)),""))</f>
        <v>DJ°427</v>
      </c>
      <c r="K128" s="82" t="str">
        <f aca="false">IF(B128="","",IFERROR(INDEX('CARNET DE SOUDURE'!$E$7:$E$3006,MATCH(B128,'CARNET DE SOUDURE'!$L$7:$L$3006,0)),""))</f>
        <v>JN°823</v>
      </c>
      <c r="L128" s="82" t="n">
        <f aca="false">IF(B128="","",IFERROR(INDEX('CARNET DE SOUDURE'!$D$7:$D$3006,MATCH(B128,'CARNET DE SOUDURE'!$L$7:$L$3006,0)),IFERROR(INDEX('CARNET DE SOUDURE'!$D$7:$D$3006,MATCH(B128,'CARNET DE SOUDURE'!$O$7:$O$3006,0)),"")))</f>
        <v>5</v>
      </c>
      <c r="M128" s="82" t="str">
        <f aca="false">IF(B128="","",IF(OR(J128&lt;&gt;"",K128&lt;&gt;""),"POSÉ EN LIGNE",IF(COUNTIF(BARDAGE!$C$1:$C$5000,B128)&gt;0,"BARDÉ","EN STOCK")))</f>
        <v>POSÉ EN LIGNE</v>
      </c>
      <c r="N128" s="80"/>
    </row>
    <row r="129" customFormat="false" ht="15" hidden="false" customHeight="false" outlineLevel="0" collapsed="false">
      <c r="A129" s="82" t="n">
        <f aca="false">IF(B129="","",ROW()-6)</f>
        <v>123</v>
      </c>
      <c r="B129" s="145" t="n">
        <v>2078840</v>
      </c>
      <c r="C129" s="146" t="n">
        <v>15421101</v>
      </c>
      <c r="D129" s="146"/>
      <c r="E129" s="82" t="str">
        <f aca="false">IF(B129="","",IF(COUNTIFS('CARNET DE SOUDURE'!$L$7:$L$3006,B129,'CARNET DE SOUDURE'!$M$7:$M$3006,"&lt;&gt;"&amp;C129,'CARNET DE SOUDURE'!$M$7:$M$3006,"&lt;&gt;")+COUNTIFS('CARNET DE SOUDURE'!$O$7:$O$3006,B129,'CARNET DE SOUDURE'!$P$7:$P$3006,"&lt;&gt;"&amp;C129,'CARNET DE SOUDURE'!$P$7:$P$3006,"&lt;&gt;")&gt;0,"⚠ DIFFÉRENTE","OK"))</f>
        <v>OK</v>
      </c>
      <c r="F129" s="147" t="n">
        <v>11.94</v>
      </c>
      <c r="G129" s="80"/>
      <c r="H129" s="83"/>
      <c r="I129" s="148" t="str">
        <f aca="false">IF(B129="","",IFERROR(INDEX('CARNET DE SOUDURE'!$B$7:$B$3006,MATCH(B129,'CARNET DE SOUDURE'!$L$7:$L$3006,0)),IFERROR(INDEX('CARNET DE SOUDURE'!$B$7:$B$3006,MATCH(B129,'CARNET DE SOUDURE'!$O$7:$O$3006,0)),"")))</f>
        <v>MFD-ISW → MFD-CPF</v>
      </c>
      <c r="J129" s="82" t="str">
        <f aca="false">IF(B129="","",IFERROR(INDEX('CARNET DE SOUDURE'!$E$7:$E$3006,MATCH(B129,'CARNET DE SOUDURE'!$O$7:$O$3006,0)),""))</f>
        <v>JN°823</v>
      </c>
      <c r="K129" s="82" t="str">
        <f aca="false">IF(B129="","",IFERROR(INDEX('CARNET DE SOUDURE'!$E$7:$E$3006,MATCH(B129,'CARNET DE SOUDURE'!$L$7:$L$3006,0)),""))</f>
        <v>DJ°448</v>
      </c>
      <c r="L129" s="82" t="n">
        <f aca="false">IF(B129="","",IFERROR(INDEX('CARNET DE SOUDURE'!$D$7:$D$3006,MATCH(B129,'CARNET DE SOUDURE'!$L$7:$L$3006,0)),IFERROR(INDEX('CARNET DE SOUDURE'!$D$7:$D$3006,MATCH(B129,'CARNET DE SOUDURE'!$O$7:$O$3006,0)),"")))</f>
        <v>5</v>
      </c>
      <c r="M129" s="82" t="str">
        <f aca="false">IF(B129="","",IF(OR(J129&lt;&gt;"",K129&lt;&gt;""),"POSÉ EN LIGNE",IF(COUNTIF(BARDAGE!$C$1:$C$5000,B129)&gt;0,"BARDÉ","EN STOCK")))</f>
        <v>POSÉ EN LIGNE</v>
      </c>
      <c r="N129" s="80"/>
    </row>
    <row r="130" customFormat="false" ht="15" hidden="false" customHeight="false" outlineLevel="0" collapsed="false">
      <c r="A130" s="82" t="n">
        <f aca="false">IF(B130="","",ROW()-6)</f>
        <v>124</v>
      </c>
      <c r="B130" s="145" t="n">
        <v>2092570</v>
      </c>
      <c r="C130" s="146" t="n">
        <v>15421110</v>
      </c>
      <c r="D130" s="146"/>
      <c r="E130" s="82" t="str">
        <f aca="false">IF(B130="","",IF(COUNTIFS('CARNET DE SOUDURE'!$L$7:$L$3006,B130,'CARNET DE SOUDURE'!$M$7:$M$3006,"&lt;&gt;"&amp;C130,'CARNET DE SOUDURE'!$M$7:$M$3006,"&lt;&gt;")+COUNTIFS('CARNET DE SOUDURE'!$O$7:$O$3006,B130,'CARNET DE SOUDURE'!$P$7:$P$3006,"&lt;&gt;"&amp;C130,'CARNET DE SOUDURE'!$P$7:$P$3006,"&lt;&gt;")&gt;0,"⚠ DIFFÉRENTE","OK"))</f>
        <v>OK</v>
      </c>
      <c r="F130" s="147" t="n">
        <v>11.94</v>
      </c>
      <c r="G130" s="80"/>
      <c r="H130" s="83"/>
      <c r="I130" s="148" t="str">
        <f aca="false">IF(B130="","",IFERROR(INDEX('CARNET DE SOUDURE'!$B$7:$B$3006,MATCH(B130,'CARNET DE SOUDURE'!$L$7:$L$3006,0)),IFERROR(INDEX('CARNET DE SOUDURE'!$B$7:$B$3006,MATCH(B130,'CARNET DE SOUDURE'!$O$7:$O$3006,0)),"")))</f>
        <v>MFD-ISW → MFD-CPF</v>
      </c>
      <c r="J130" s="82" t="str">
        <f aca="false">IF(B130="","",IFERROR(INDEX('CARNET DE SOUDURE'!$E$7:$E$3006,MATCH(B130,'CARNET DE SOUDURE'!$O$7:$O$3006,0)),""))</f>
        <v>DJ°448</v>
      </c>
      <c r="K130" s="82" t="str">
        <f aca="false">IF(B130="","",IFERROR(INDEX('CARNET DE SOUDURE'!$E$7:$E$3006,MATCH(B130,'CARNET DE SOUDURE'!$L$7:$L$3006,0)),""))</f>
        <v>JN°824</v>
      </c>
      <c r="L130" s="82" t="n">
        <f aca="false">IF(B130="","",IFERROR(INDEX('CARNET DE SOUDURE'!$D$7:$D$3006,MATCH(B130,'CARNET DE SOUDURE'!$L$7:$L$3006,0)),IFERROR(INDEX('CARNET DE SOUDURE'!$D$7:$D$3006,MATCH(B130,'CARNET DE SOUDURE'!$O$7:$O$3006,0)),"")))</f>
        <v>5</v>
      </c>
      <c r="M130" s="82" t="str">
        <f aca="false">IF(B130="","",IF(OR(J130&lt;&gt;"",K130&lt;&gt;""),"POSÉ EN LIGNE",IF(COUNTIF(BARDAGE!$C$1:$C$5000,B130)&gt;0,"BARDÉ","EN STOCK")))</f>
        <v>POSÉ EN LIGNE</v>
      </c>
      <c r="N130" s="80"/>
    </row>
    <row r="131" customFormat="false" ht="15" hidden="false" customHeight="false" outlineLevel="0" collapsed="false">
      <c r="A131" s="82" t="n">
        <f aca="false">IF(B131="","",ROW()-6)</f>
        <v>125</v>
      </c>
      <c r="B131" s="145" t="n">
        <v>2086220</v>
      </c>
      <c r="C131" s="146" t="n">
        <v>15421107</v>
      </c>
      <c r="D131" s="146"/>
      <c r="E131" s="82" t="str">
        <f aca="false">IF(B131="","",IF(COUNTIFS('CARNET DE SOUDURE'!$L$7:$L$3006,B131,'CARNET DE SOUDURE'!$M$7:$M$3006,"&lt;&gt;"&amp;C131,'CARNET DE SOUDURE'!$M$7:$M$3006,"&lt;&gt;")+COUNTIFS('CARNET DE SOUDURE'!$O$7:$O$3006,B131,'CARNET DE SOUDURE'!$P$7:$P$3006,"&lt;&gt;"&amp;C131,'CARNET DE SOUDURE'!$P$7:$P$3006,"&lt;&gt;")&gt;0,"⚠ DIFFÉRENTE","OK"))</f>
        <v>OK</v>
      </c>
      <c r="F131" s="147" t="n">
        <v>11.94</v>
      </c>
      <c r="G131" s="80"/>
      <c r="H131" s="83"/>
      <c r="I131" s="148" t="str">
        <f aca="false">IF(B131="","",IFERROR(INDEX('CARNET DE SOUDURE'!$B$7:$B$3006,MATCH(B131,'CARNET DE SOUDURE'!$L$7:$L$3006,0)),IFERROR(INDEX('CARNET DE SOUDURE'!$B$7:$B$3006,MATCH(B131,'CARNET DE SOUDURE'!$O$7:$O$3006,0)),"")))</f>
        <v>MFD-ISW → MFD-CPF</v>
      </c>
      <c r="J131" s="82" t="str">
        <f aca="false">IF(B131="","",IFERROR(INDEX('CARNET DE SOUDURE'!$E$7:$E$3006,MATCH(B131,'CARNET DE SOUDURE'!$O$7:$O$3006,0)),""))</f>
        <v>JN°824</v>
      </c>
      <c r="K131" s="82" t="str">
        <f aca="false">IF(B131="","",IFERROR(INDEX('CARNET DE SOUDURE'!$E$7:$E$3006,MATCH(B131,'CARNET DE SOUDURE'!$L$7:$L$3006,0)),""))</f>
        <v>DJ°446</v>
      </c>
      <c r="L131" s="82" t="n">
        <f aca="false">IF(B131="","",IFERROR(INDEX('CARNET DE SOUDURE'!$D$7:$D$3006,MATCH(B131,'CARNET DE SOUDURE'!$L$7:$L$3006,0)),IFERROR(INDEX('CARNET DE SOUDURE'!$D$7:$D$3006,MATCH(B131,'CARNET DE SOUDURE'!$O$7:$O$3006,0)),"")))</f>
        <v>5</v>
      </c>
      <c r="M131" s="82" t="str">
        <f aca="false">IF(B131="","",IF(OR(J131&lt;&gt;"",K131&lt;&gt;""),"POSÉ EN LIGNE",IF(COUNTIF(BARDAGE!$C$1:$C$5000,B131)&gt;0,"BARDÉ","EN STOCK")))</f>
        <v>POSÉ EN LIGNE</v>
      </c>
      <c r="N131" s="80"/>
    </row>
    <row r="132" customFormat="false" ht="15" hidden="false" customHeight="false" outlineLevel="0" collapsed="false">
      <c r="A132" s="82" t="n">
        <f aca="false">IF(B132="","",ROW()-6)</f>
        <v>126</v>
      </c>
      <c r="B132" s="145" t="n">
        <v>2092020</v>
      </c>
      <c r="C132" s="146" t="n">
        <v>15421109</v>
      </c>
      <c r="D132" s="146"/>
      <c r="E132" s="82" t="str">
        <f aca="false">IF(B132="","",IF(COUNTIFS('CARNET DE SOUDURE'!$L$7:$L$3006,B132,'CARNET DE SOUDURE'!$M$7:$M$3006,"&lt;&gt;"&amp;C132,'CARNET DE SOUDURE'!$M$7:$M$3006,"&lt;&gt;")+COUNTIFS('CARNET DE SOUDURE'!$O$7:$O$3006,B132,'CARNET DE SOUDURE'!$P$7:$P$3006,"&lt;&gt;"&amp;C132,'CARNET DE SOUDURE'!$P$7:$P$3006,"&lt;&gt;")&gt;0,"⚠ DIFFÉRENTE","OK"))</f>
        <v>OK</v>
      </c>
      <c r="F132" s="147" t="n">
        <v>11.94</v>
      </c>
      <c r="G132" s="80"/>
      <c r="H132" s="83"/>
      <c r="I132" s="148" t="str">
        <f aca="false">IF(B132="","",IFERROR(INDEX('CARNET DE SOUDURE'!$B$7:$B$3006,MATCH(B132,'CARNET DE SOUDURE'!$L$7:$L$3006,0)),IFERROR(INDEX('CARNET DE SOUDURE'!$B$7:$B$3006,MATCH(B132,'CARNET DE SOUDURE'!$O$7:$O$3006,0)),"")))</f>
        <v>MFD-ISW → MFD-CPF</v>
      </c>
      <c r="J132" s="82" t="str">
        <f aca="false">IF(B132="","",IFERROR(INDEX('CARNET DE SOUDURE'!$E$7:$E$3006,MATCH(B132,'CARNET DE SOUDURE'!$O$7:$O$3006,0)),""))</f>
        <v>DJ°446</v>
      </c>
      <c r="K132" s="82" t="str">
        <f aca="false">IF(B132="","",IFERROR(INDEX('CARNET DE SOUDURE'!$E$7:$E$3006,MATCH(B132,'CARNET DE SOUDURE'!$L$7:$L$3006,0)),""))</f>
        <v>JN°825</v>
      </c>
      <c r="L132" s="82" t="n">
        <f aca="false">IF(B132="","",IFERROR(INDEX('CARNET DE SOUDURE'!$D$7:$D$3006,MATCH(B132,'CARNET DE SOUDURE'!$L$7:$L$3006,0)),IFERROR(INDEX('CARNET DE SOUDURE'!$D$7:$D$3006,MATCH(B132,'CARNET DE SOUDURE'!$O$7:$O$3006,0)),"")))</f>
        <v>5</v>
      </c>
      <c r="M132" s="82" t="str">
        <f aca="false">IF(B132="","",IF(OR(J132&lt;&gt;"",K132&lt;&gt;""),"POSÉ EN LIGNE",IF(COUNTIF(BARDAGE!$C$1:$C$5000,B132)&gt;0,"BARDÉ","EN STOCK")))</f>
        <v>POSÉ EN LIGNE</v>
      </c>
      <c r="N132" s="80"/>
    </row>
    <row r="133" customFormat="false" ht="15" hidden="false" customHeight="false" outlineLevel="0" collapsed="false">
      <c r="A133" s="82" t="n">
        <f aca="false">IF(B133="","",ROW()-6)</f>
        <v>127</v>
      </c>
      <c r="B133" s="145" t="n">
        <v>2086150</v>
      </c>
      <c r="C133" s="146" t="n">
        <v>15421107</v>
      </c>
      <c r="D133" s="146"/>
      <c r="E133" s="82" t="str">
        <f aca="false">IF(B133="","",IF(COUNTIFS('CARNET DE SOUDURE'!$L$7:$L$3006,B133,'CARNET DE SOUDURE'!$M$7:$M$3006,"&lt;&gt;"&amp;C133,'CARNET DE SOUDURE'!$M$7:$M$3006,"&lt;&gt;")+COUNTIFS('CARNET DE SOUDURE'!$O$7:$O$3006,B133,'CARNET DE SOUDURE'!$P$7:$P$3006,"&lt;&gt;"&amp;C133,'CARNET DE SOUDURE'!$P$7:$P$3006,"&lt;&gt;")&gt;0,"⚠ DIFFÉRENTE","OK"))</f>
        <v>OK</v>
      </c>
      <c r="F133" s="147" t="n">
        <v>11.94</v>
      </c>
      <c r="G133" s="80"/>
      <c r="H133" s="83"/>
      <c r="I133" s="148" t="str">
        <f aca="false">IF(B133="","",IFERROR(INDEX('CARNET DE SOUDURE'!$B$7:$B$3006,MATCH(B133,'CARNET DE SOUDURE'!$L$7:$L$3006,0)),IFERROR(INDEX('CARNET DE SOUDURE'!$B$7:$B$3006,MATCH(B133,'CARNET DE SOUDURE'!$O$7:$O$3006,0)),"")))</f>
        <v>MFD-ISW → MFD-CPF</v>
      </c>
      <c r="J133" s="82" t="str">
        <f aca="false">IF(B133="","",IFERROR(INDEX('CARNET DE SOUDURE'!$E$7:$E$3006,MATCH(B133,'CARNET DE SOUDURE'!$O$7:$O$3006,0)),""))</f>
        <v>JN°825</v>
      </c>
      <c r="K133" s="82" t="str">
        <f aca="false">IF(B133="","",IFERROR(INDEX('CARNET DE SOUDURE'!$E$7:$E$3006,MATCH(B133,'CARNET DE SOUDURE'!$L$7:$L$3006,0)),""))</f>
        <v>DJ°450</v>
      </c>
      <c r="L133" s="82" t="n">
        <f aca="false">IF(B133="","",IFERROR(INDEX('CARNET DE SOUDURE'!$D$7:$D$3006,MATCH(B133,'CARNET DE SOUDURE'!$L$7:$L$3006,0)),IFERROR(INDEX('CARNET DE SOUDURE'!$D$7:$D$3006,MATCH(B133,'CARNET DE SOUDURE'!$O$7:$O$3006,0)),"")))</f>
        <v>5</v>
      </c>
      <c r="M133" s="82" t="str">
        <f aca="false">IF(B133="","",IF(OR(J133&lt;&gt;"",K133&lt;&gt;""),"POSÉ EN LIGNE",IF(COUNTIF(BARDAGE!$C$1:$C$5000,B133)&gt;0,"BARDÉ","EN STOCK")))</f>
        <v>POSÉ EN LIGNE</v>
      </c>
      <c r="N133" s="80"/>
    </row>
    <row r="134" customFormat="false" ht="15" hidden="false" customHeight="false" outlineLevel="0" collapsed="false">
      <c r="A134" s="82" t="n">
        <f aca="false">IF(B134="","",ROW()-6)</f>
        <v>128</v>
      </c>
      <c r="B134" s="145" t="n">
        <v>2092170</v>
      </c>
      <c r="C134" s="146" t="n">
        <v>15421110</v>
      </c>
      <c r="D134" s="146"/>
      <c r="E134" s="82" t="str">
        <f aca="false">IF(B134="","",IF(COUNTIFS('CARNET DE SOUDURE'!$L$7:$L$3006,B134,'CARNET DE SOUDURE'!$M$7:$M$3006,"&lt;&gt;"&amp;C134,'CARNET DE SOUDURE'!$M$7:$M$3006,"&lt;&gt;")+COUNTIFS('CARNET DE SOUDURE'!$O$7:$O$3006,B134,'CARNET DE SOUDURE'!$P$7:$P$3006,"&lt;&gt;"&amp;C134,'CARNET DE SOUDURE'!$P$7:$P$3006,"&lt;&gt;")&gt;0,"⚠ DIFFÉRENTE","OK"))</f>
        <v>OK</v>
      </c>
      <c r="F134" s="147" t="n">
        <v>11.94</v>
      </c>
      <c r="G134" s="80"/>
      <c r="H134" s="83"/>
      <c r="I134" s="148" t="str">
        <f aca="false">IF(B134="","",IFERROR(INDEX('CARNET DE SOUDURE'!$B$7:$B$3006,MATCH(B134,'CARNET DE SOUDURE'!$L$7:$L$3006,0)),IFERROR(INDEX('CARNET DE SOUDURE'!$B$7:$B$3006,MATCH(B134,'CARNET DE SOUDURE'!$O$7:$O$3006,0)),"")))</f>
        <v>MFD-ISW → MFD-CPF</v>
      </c>
      <c r="J134" s="82" t="str">
        <f aca="false">IF(B134="","",IFERROR(INDEX('CARNET DE SOUDURE'!$E$7:$E$3006,MATCH(B134,'CARNET DE SOUDURE'!$O$7:$O$3006,0)),""))</f>
        <v>DJ°450</v>
      </c>
      <c r="K134" s="82" t="str">
        <f aca="false">IF(B134="","",IFERROR(INDEX('CARNET DE SOUDURE'!$E$7:$E$3006,MATCH(B134,'CARNET DE SOUDURE'!$L$7:$L$3006,0)),""))</f>
        <v>JN°826</v>
      </c>
      <c r="L134" s="82" t="n">
        <f aca="false">IF(B134="","",IFERROR(INDEX('CARNET DE SOUDURE'!$D$7:$D$3006,MATCH(B134,'CARNET DE SOUDURE'!$L$7:$L$3006,0)),IFERROR(INDEX('CARNET DE SOUDURE'!$D$7:$D$3006,MATCH(B134,'CARNET DE SOUDURE'!$O$7:$O$3006,0)),"")))</f>
        <v>5</v>
      </c>
      <c r="M134" s="82" t="str">
        <f aca="false">IF(B134="","",IF(OR(J134&lt;&gt;"",K134&lt;&gt;""),"POSÉ EN LIGNE",IF(COUNTIF(BARDAGE!$C$1:$C$5000,B134)&gt;0,"BARDÉ","EN STOCK")))</f>
        <v>POSÉ EN LIGNE</v>
      </c>
      <c r="N134" s="80"/>
    </row>
    <row r="135" customFormat="false" ht="15" hidden="false" customHeight="false" outlineLevel="0" collapsed="false">
      <c r="A135" s="82" t="n">
        <f aca="false">IF(B135="","",ROW()-6)</f>
        <v>129</v>
      </c>
      <c r="B135" s="145" t="n">
        <v>2092550</v>
      </c>
      <c r="C135" s="146" t="n">
        <v>15421110</v>
      </c>
      <c r="D135" s="146"/>
      <c r="E135" s="82" t="str">
        <f aca="false">IF(B135="","",IF(COUNTIFS('CARNET DE SOUDURE'!$L$7:$L$3006,B135,'CARNET DE SOUDURE'!$M$7:$M$3006,"&lt;&gt;"&amp;C135,'CARNET DE SOUDURE'!$M$7:$M$3006,"&lt;&gt;")+COUNTIFS('CARNET DE SOUDURE'!$O$7:$O$3006,B135,'CARNET DE SOUDURE'!$P$7:$P$3006,"&lt;&gt;"&amp;C135,'CARNET DE SOUDURE'!$P$7:$P$3006,"&lt;&gt;")&gt;0,"⚠ DIFFÉRENTE","OK"))</f>
        <v>OK</v>
      </c>
      <c r="F135" s="147" t="n">
        <v>11.94</v>
      </c>
      <c r="G135" s="80"/>
      <c r="H135" s="83"/>
      <c r="I135" s="148" t="str">
        <f aca="false">IF(B135="","",IFERROR(INDEX('CARNET DE SOUDURE'!$B$7:$B$3006,MATCH(B135,'CARNET DE SOUDURE'!$L$7:$L$3006,0)),IFERROR(INDEX('CARNET DE SOUDURE'!$B$7:$B$3006,MATCH(B135,'CARNET DE SOUDURE'!$O$7:$O$3006,0)),"")))</f>
        <v>MFD-ISW → MFD-CPF</v>
      </c>
      <c r="J135" s="82" t="str">
        <f aca="false">IF(B135="","",IFERROR(INDEX('CARNET DE SOUDURE'!$E$7:$E$3006,MATCH(B135,'CARNET DE SOUDURE'!$O$7:$O$3006,0)),""))</f>
        <v>JN°826</v>
      </c>
      <c r="K135" s="82" t="str">
        <f aca="false">IF(B135="","",IFERROR(INDEX('CARNET DE SOUDURE'!$E$7:$E$3006,MATCH(B135,'CARNET DE SOUDURE'!$L$7:$L$3006,0)),""))</f>
        <v>DJ°451</v>
      </c>
      <c r="L135" s="82" t="n">
        <f aca="false">IF(B135="","",IFERROR(INDEX('CARNET DE SOUDURE'!$D$7:$D$3006,MATCH(B135,'CARNET DE SOUDURE'!$L$7:$L$3006,0)),IFERROR(INDEX('CARNET DE SOUDURE'!$D$7:$D$3006,MATCH(B135,'CARNET DE SOUDURE'!$O$7:$O$3006,0)),"")))</f>
        <v>5</v>
      </c>
      <c r="M135" s="82" t="str">
        <f aca="false">IF(B135="","",IF(OR(J135&lt;&gt;"",K135&lt;&gt;""),"POSÉ EN LIGNE",IF(COUNTIF(BARDAGE!$C$1:$C$5000,B135)&gt;0,"BARDÉ","EN STOCK")))</f>
        <v>POSÉ EN LIGNE</v>
      </c>
      <c r="N135" s="80"/>
    </row>
    <row r="136" customFormat="false" ht="15" hidden="false" customHeight="false" outlineLevel="0" collapsed="false">
      <c r="A136" s="82" t="n">
        <f aca="false">IF(B136="","",ROW()-6)</f>
        <v>130</v>
      </c>
      <c r="B136" s="145" t="n">
        <v>2090370</v>
      </c>
      <c r="C136" s="146" t="n">
        <v>15421109</v>
      </c>
      <c r="D136" s="146"/>
      <c r="E136" s="82" t="str">
        <f aca="false">IF(B136="","",IF(COUNTIFS('CARNET DE SOUDURE'!$L$7:$L$3006,B136,'CARNET DE SOUDURE'!$M$7:$M$3006,"&lt;&gt;"&amp;C136,'CARNET DE SOUDURE'!$M$7:$M$3006,"&lt;&gt;")+COUNTIFS('CARNET DE SOUDURE'!$O$7:$O$3006,B136,'CARNET DE SOUDURE'!$P$7:$P$3006,"&lt;&gt;"&amp;C136,'CARNET DE SOUDURE'!$P$7:$P$3006,"&lt;&gt;")&gt;0,"⚠ DIFFÉRENTE","OK"))</f>
        <v>OK</v>
      </c>
      <c r="F136" s="147" t="n">
        <v>11.94</v>
      </c>
      <c r="G136" s="80"/>
      <c r="H136" s="83"/>
      <c r="I136" s="148" t="str">
        <f aca="false">IF(B136="","",IFERROR(INDEX('CARNET DE SOUDURE'!$B$7:$B$3006,MATCH(B136,'CARNET DE SOUDURE'!$L$7:$L$3006,0)),IFERROR(INDEX('CARNET DE SOUDURE'!$B$7:$B$3006,MATCH(B136,'CARNET DE SOUDURE'!$O$7:$O$3006,0)),"")))</f>
        <v>MFD-ISW → MFD-CPF</v>
      </c>
      <c r="J136" s="82" t="str">
        <f aca="false">IF(B136="","",IFERROR(INDEX('CARNET DE SOUDURE'!$E$7:$E$3006,MATCH(B136,'CARNET DE SOUDURE'!$O$7:$O$3006,0)),""))</f>
        <v>DJ°451</v>
      </c>
      <c r="K136" s="82" t="str">
        <f aca="false">IF(B136="","",IFERROR(INDEX('CARNET DE SOUDURE'!$E$7:$E$3006,MATCH(B136,'CARNET DE SOUDURE'!$L$7:$L$3006,0)),""))</f>
        <v>JN°827</v>
      </c>
      <c r="L136" s="82" t="n">
        <f aca="false">IF(B136="","",IFERROR(INDEX('CARNET DE SOUDURE'!$D$7:$D$3006,MATCH(B136,'CARNET DE SOUDURE'!$L$7:$L$3006,0)),IFERROR(INDEX('CARNET DE SOUDURE'!$D$7:$D$3006,MATCH(B136,'CARNET DE SOUDURE'!$O$7:$O$3006,0)),"")))</f>
        <v>5</v>
      </c>
      <c r="M136" s="82" t="str">
        <f aca="false">IF(B136="","",IF(OR(J136&lt;&gt;"",K136&lt;&gt;""),"POSÉ EN LIGNE",IF(COUNTIF(BARDAGE!$C$1:$C$5000,B136)&gt;0,"BARDÉ","EN STOCK")))</f>
        <v>POSÉ EN LIGNE</v>
      </c>
      <c r="N136" s="80"/>
    </row>
    <row r="137" customFormat="false" ht="15" hidden="false" customHeight="false" outlineLevel="0" collapsed="false">
      <c r="A137" s="82" t="n">
        <f aca="false">IF(B137="","",ROW()-6)</f>
        <v>131</v>
      </c>
      <c r="B137" s="145" t="n">
        <v>2085670</v>
      </c>
      <c r="C137" s="146" t="n">
        <v>15421107</v>
      </c>
      <c r="D137" s="146"/>
      <c r="E137" s="82" t="str">
        <f aca="false">IF(B137="","",IF(COUNTIFS('CARNET DE SOUDURE'!$L$7:$L$3006,B137,'CARNET DE SOUDURE'!$M$7:$M$3006,"&lt;&gt;"&amp;C137,'CARNET DE SOUDURE'!$M$7:$M$3006,"&lt;&gt;")+COUNTIFS('CARNET DE SOUDURE'!$O$7:$O$3006,B137,'CARNET DE SOUDURE'!$P$7:$P$3006,"&lt;&gt;"&amp;C137,'CARNET DE SOUDURE'!$P$7:$P$3006,"&lt;&gt;")&gt;0,"⚠ DIFFÉRENTE","OK"))</f>
        <v>OK</v>
      </c>
      <c r="F137" s="147" t="n">
        <v>11.94</v>
      </c>
      <c r="G137" s="80"/>
      <c r="H137" s="83"/>
      <c r="I137" s="148" t="str">
        <f aca="false">IF(B137="","",IFERROR(INDEX('CARNET DE SOUDURE'!$B$7:$B$3006,MATCH(B137,'CARNET DE SOUDURE'!$L$7:$L$3006,0)),IFERROR(INDEX('CARNET DE SOUDURE'!$B$7:$B$3006,MATCH(B137,'CARNET DE SOUDURE'!$O$7:$O$3006,0)),"")))</f>
        <v>MFD-ISW → MFD-CPF</v>
      </c>
      <c r="J137" s="82" t="str">
        <f aca="false">IF(B137="","",IFERROR(INDEX('CARNET DE SOUDURE'!$E$7:$E$3006,MATCH(B137,'CARNET DE SOUDURE'!$O$7:$O$3006,0)),""))</f>
        <v>JN°827</v>
      </c>
      <c r="K137" s="82" t="str">
        <f aca="false">IF(B137="","",IFERROR(INDEX('CARNET DE SOUDURE'!$E$7:$E$3006,MATCH(B137,'CARNET DE SOUDURE'!$L$7:$L$3006,0)),""))</f>
        <v>DJ°452</v>
      </c>
      <c r="L137" s="82" t="n">
        <f aca="false">IF(B137="","",IFERROR(INDEX('CARNET DE SOUDURE'!$D$7:$D$3006,MATCH(B137,'CARNET DE SOUDURE'!$L$7:$L$3006,0)),IFERROR(INDEX('CARNET DE SOUDURE'!$D$7:$D$3006,MATCH(B137,'CARNET DE SOUDURE'!$O$7:$O$3006,0)),"")))</f>
        <v>5</v>
      </c>
      <c r="M137" s="82" t="str">
        <f aca="false">IF(B137="","",IF(OR(J137&lt;&gt;"",K137&lt;&gt;""),"POSÉ EN LIGNE",IF(COUNTIF(BARDAGE!$C$1:$C$5000,B137)&gt;0,"BARDÉ","EN STOCK")))</f>
        <v>POSÉ EN LIGNE</v>
      </c>
      <c r="N137" s="80"/>
    </row>
    <row r="138" customFormat="false" ht="15" hidden="false" customHeight="false" outlineLevel="0" collapsed="false">
      <c r="A138" s="82" t="n">
        <f aca="false">IF(B138="","",ROW()-6)</f>
        <v>132</v>
      </c>
      <c r="B138" s="145" t="n">
        <v>2091530</v>
      </c>
      <c r="C138" s="146" t="n">
        <v>15421111</v>
      </c>
      <c r="D138" s="146"/>
      <c r="E138" s="82" t="str">
        <f aca="false">IF(B138="","",IF(COUNTIFS('CARNET DE SOUDURE'!$L$7:$L$3006,B138,'CARNET DE SOUDURE'!$M$7:$M$3006,"&lt;&gt;"&amp;C138,'CARNET DE SOUDURE'!$M$7:$M$3006,"&lt;&gt;")+COUNTIFS('CARNET DE SOUDURE'!$O$7:$O$3006,B138,'CARNET DE SOUDURE'!$P$7:$P$3006,"&lt;&gt;"&amp;C138,'CARNET DE SOUDURE'!$P$7:$P$3006,"&lt;&gt;")&gt;0,"⚠ DIFFÉRENTE","OK"))</f>
        <v>OK</v>
      </c>
      <c r="F138" s="147" t="n">
        <v>11.94</v>
      </c>
      <c r="G138" s="80"/>
      <c r="H138" s="83"/>
      <c r="I138" s="148" t="str">
        <f aca="false">IF(B138="","",IFERROR(INDEX('CARNET DE SOUDURE'!$B$7:$B$3006,MATCH(B138,'CARNET DE SOUDURE'!$L$7:$L$3006,0)),IFERROR(INDEX('CARNET DE SOUDURE'!$B$7:$B$3006,MATCH(B138,'CARNET DE SOUDURE'!$O$7:$O$3006,0)),"")))</f>
        <v>MFD-ISW → MFD-CPF</v>
      </c>
      <c r="J138" s="82" t="str">
        <f aca="false">IF(B138="","",IFERROR(INDEX('CARNET DE SOUDURE'!$E$7:$E$3006,MATCH(B138,'CARNET DE SOUDURE'!$O$7:$O$3006,0)),""))</f>
        <v>DJ°452</v>
      </c>
      <c r="K138" s="82" t="str">
        <f aca="false">IF(B138="","",IFERROR(INDEX('CARNET DE SOUDURE'!$E$7:$E$3006,MATCH(B138,'CARNET DE SOUDURE'!$L$7:$L$3006,0)),""))</f>
        <v>JN°828</v>
      </c>
      <c r="L138" s="82" t="n">
        <f aca="false">IF(B138="","",IFERROR(INDEX('CARNET DE SOUDURE'!$D$7:$D$3006,MATCH(B138,'CARNET DE SOUDURE'!$L$7:$L$3006,0)),IFERROR(INDEX('CARNET DE SOUDURE'!$D$7:$D$3006,MATCH(B138,'CARNET DE SOUDURE'!$O$7:$O$3006,0)),"")))</f>
        <v>5</v>
      </c>
      <c r="M138" s="82" t="str">
        <f aca="false">IF(B138="","",IF(OR(J138&lt;&gt;"",K138&lt;&gt;""),"POSÉ EN LIGNE",IF(COUNTIF(BARDAGE!$C$1:$C$5000,B138)&gt;0,"BARDÉ","EN STOCK")))</f>
        <v>POSÉ EN LIGNE</v>
      </c>
      <c r="N138" s="80"/>
    </row>
    <row r="139" customFormat="false" ht="15" hidden="false" customHeight="false" outlineLevel="0" collapsed="false">
      <c r="A139" s="82" t="n">
        <f aca="false">IF(B139="","",ROW()-6)</f>
        <v>133</v>
      </c>
      <c r="B139" s="145" t="n">
        <v>2087620</v>
      </c>
      <c r="C139" s="146" t="n">
        <v>15421110</v>
      </c>
      <c r="D139" s="146"/>
      <c r="E139" s="82" t="str">
        <f aca="false">IF(B139="","",IF(COUNTIFS('CARNET DE SOUDURE'!$L$7:$L$3006,B139,'CARNET DE SOUDURE'!$M$7:$M$3006,"&lt;&gt;"&amp;C139,'CARNET DE SOUDURE'!$M$7:$M$3006,"&lt;&gt;")+COUNTIFS('CARNET DE SOUDURE'!$O$7:$O$3006,B139,'CARNET DE SOUDURE'!$P$7:$P$3006,"&lt;&gt;"&amp;C139,'CARNET DE SOUDURE'!$P$7:$P$3006,"&lt;&gt;")&gt;0,"⚠ DIFFÉRENTE","OK"))</f>
        <v>OK</v>
      </c>
      <c r="F139" s="147" t="n">
        <v>11.94</v>
      </c>
      <c r="G139" s="80"/>
      <c r="H139" s="83"/>
      <c r="I139" s="148" t="str">
        <f aca="false">IF(B139="","",IFERROR(INDEX('CARNET DE SOUDURE'!$B$7:$B$3006,MATCH(B139,'CARNET DE SOUDURE'!$L$7:$L$3006,0)),IFERROR(INDEX('CARNET DE SOUDURE'!$B$7:$B$3006,MATCH(B139,'CARNET DE SOUDURE'!$O$7:$O$3006,0)),"")))</f>
        <v>MFD-ISW → MFD-CPF</v>
      </c>
      <c r="J139" s="82" t="str">
        <f aca="false">IF(B139="","",IFERROR(INDEX('CARNET DE SOUDURE'!$E$7:$E$3006,MATCH(B139,'CARNET DE SOUDURE'!$O$7:$O$3006,0)),""))</f>
        <v>JN°828</v>
      </c>
      <c r="K139" s="82" t="str">
        <f aca="false">IF(B139="","",IFERROR(INDEX('CARNET DE SOUDURE'!$E$7:$E$3006,MATCH(B139,'CARNET DE SOUDURE'!$L$7:$L$3006,0)),""))</f>
        <v>DJ°449</v>
      </c>
      <c r="L139" s="82" t="n">
        <f aca="false">IF(B139="","",IFERROR(INDEX('CARNET DE SOUDURE'!$D$7:$D$3006,MATCH(B139,'CARNET DE SOUDURE'!$L$7:$L$3006,0)),IFERROR(INDEX('CARNET DE SOUDURE'!$D$7:$D$3006,MATCH(B139,'CARNET DE SOUDURE'!$O$7:$O$3006,0)),"")))</f>
        <v>5</v>
      </c>
      <c r="M139" s="82" t="str">
        <f aca="false">IF(B139="","",IF(OR(J139&lt;&gt;"",K139&lt;&gt;""),"POSÉ EN LIGNE",IF(COUNTIF(BARDAGE!$C$1:$C$5000,B139)&gt;0,"BARDÉ","EN STOCK")))</f>
        <v>POSÉ EN LIGNE</v>
      </c>
      <c r="N139" s="80"/>
    </row>
    <row r="140" customFormat="false" ht="15" hidden="false" customHeight="false" outlineLevel="0" collapsed="false">
      <c r="A140" s="82" t="n">
        <f aca="false">IF(B140="","",ROW()-6)</f>
        <v>134</v>
      </c>
      <c r="B140" s="145" t="n">
        <v>2095320</v>
      </c>
      <c r="C140" s="146" t="n">
        <v>15421111</v>
      </c>
      <c r="D140" s="146"/>
      <c r="E140" s="82" t="str">
        <f aca="false">IF(B140="","",IF(COUNTIFS('CARNET DE SOUDURE'!$L$7:$L$3006,B140,'CARNET DE SOUDURE'!$M$7:$M$3006,"&lt;&gt;"&amp;C140,'CARNET DE SOUDURE'!$M$7:$M$3006,"&lt;&gt;")+COUNTIFS('CARNET DE SOUDURE'!$O$7:$O$3006,B140,'CARNET DE SOUDURE'!$P$7:$P$3006,"&lt;&gt;"&amp;C140,'CARNET DE SOUDURE'!$P$7:$P$3006,"&lt;&gt;")&gt;0,"⚠ DIFFÉRENTE","OK"))</f>
        <v>OK</v>
      </c>
      <c r="F140" s="147" t="n">
        <v>11.94</v>
      </c>
      <c r="G140" s="80"/>
      <c r="H140" s="83"/>
      <c r="I140" s="148" t="str">
        <f aca="false">IF(B140="","",IFERROR(INDEX('CARNET DE SOUDURE'!$B$7:$B$3006,MATCH(B140,'CARNET DE SOUDURE'!$L$7:$L$3006,0)),IFERROR(INDEX('CARNET DE SOUDURE'!$B$7:$B$3006,MATCH(B140,'CARNET DE SOUDURE'!$O$7:$O$3006,0)),"")))</f>
        <v>MFD-ISW → MFD-CPF</v>
      </c>
      <c r="J140" s="82" t="str">
        <f aca="false">IF(B140="","",IFERROR(INDEX('CARNET DE SOUDURE'!$E$7:$E$3006,MATCH(B140,'CARNET DE SOUDURE'!$O$7:$O$3006,0)),""))</f>
        <v>DJ°449</v>
      </c>
      <c r="K140" s="82" t="str">
        <f aca="false">IF(B140="","",IFERROR(INDEX('CARNET DE SOUDURE'!$E$7:$E$3006,MATCH(B140,'CARNET DE SOUDURE'!$L$7:$L$3006,0)),""))</f>
        <v>JN°829</v>
      </c>
      <c r="L140" s="82" t="n">
        <f aca="false">IF(B140="","",IFERROR(INDEX('CARNET DE SOUDURE'!$D$7:$D$3006,MATCH(B140,'CARNET DE SOUDURE'!$L$7:$L$3006,0)),IFERROR(INDEX('CARNET DE SOUDURE'!$D$7:$D$3006,MATCH(B140,'CARNET DE SOUDURE'!$O$7:$O$3006,0)),"")))</f>
        <v>5</v>
      </c>
      <c r="M140" s="82" t="str">
        <f aca="false">IF(B140="","",IF(OR(J140&lt;&gt;"",K140&lt;&gt;""),"POSÉ EN LIGNE",IF(COUNTIF(BARDAGE!$C$1:$C$5000,B140)&gt;0,"BARDÉ","EN STOCK")))</f>
        <v>POSÉ EN LIGNE</v>
      </c>
      <c r="N140" s="80"/>
    </row>
    <row r="141" customFormat="false" ht="15" hidden="false" customHeight="false" outlineLevel="0" collapsed="false">
      <c r="A141" s="82" t="n">
        <f aca="false">IF(B141="","",ROW()-6)</f>
        <v>135</v>
      </c>
      <c r="B141" s="145" t="n">
        <v>2086330</v>
      </c>
      <c r="C141" s="146" t="n">
        <v>15421107</v>
      </c>
      <c r="D141" s="146"/>
      <c r="E141" s="82" t="str">
        <f aca="false">IF(B141="","",IF(COUNTIFS('CARNET DE SOUDURE'!$L$7:$L$3006,B141,'CARNET DE SOUDURE'!$M$7:$M$3006,"&lt;&gt;"&amp;C141,'CARNET DE SOUDURE'!$M$7:$M$3006,"&lt;&gt;")+COUNTIFS('CARNET DE SOUDURE'!$O$7:$O$3006,B141,'CARNET DE SOUDURE'!$P$7:$P$3006,"&lt;&gt;"&amp;C141,'CARNET DE SOUDURE'!$P$7:$P$3006,"&lt;&gt;")&gt;0,"⚠ DIFFÉRENTE","OK"))</f>
        <v>OK</v>
      </c>
      <c r="F141" s="147" t="n">
        <v>11.94</v>
      </c>
      <c r="G141" s="80"/>
      <c r="H141" s="83"/>
      <c r="I141" s="148" t="str">
        <f aca="false">IF(B141="","",IFERROR(INDEX('CARNET DE SOUDURE'!$B$7:$B$3006,MATCH(B141,'CARNET DE SOUDURE'!$L$7:$L$3006,0)),IFERROR(INDEX('CARNET DE SOUDURE'!$B$7:$B$3006,MATCH(B141,'CARNET DE SOUDURE'!$O$7:$O$3006,0)),"")))</f>
        <v>MFD-ISW → MFD-CPF</v>
      </c>
      <c r="J141" s="82" t="str">
        <f aca="false">IF(B141="","",IFERROR(INDEX('CARNET DE SOUDURE'!$E$7:$E$3006,MATCH(B141,'CARNET DE SOUDURE'!$O$7:$O$3006,0)),""))</f>
        <v>JN°829</v>
      </c>
      <c r="K141" s="82" t="str">
        <f aca="false">IF(B141="","",IFERROR(INDEX('CARNET DE SOUDURE'!$E$7:$E$3006,MATCH(B141,'CARNET DE SOUDURE'!$L$7:$L$3006,0)),""))</f>
        <v>DJ°430</v>
      </c>
      <c r="L141" s="82" t="n">
        <f aca="false">IF(B141="","",IFERROR(INDEX('CARNET DE SOUDURE'!$D$7:$D$3006,MATCH(B141,'CARNET DE SOUDURE'!$L$7:$L$3006,0)),IFERROR(INDEX('CARNET DE SOUDURE'!$D$7:$D$3006,MATCH(B141,'CARNET DE SOUDURE'!$O$7:$O$3006,0)),"")))</f>
        <v>5</v>
      </c>
      <c r="M141" s="82" t="str">
        <f aca="false">IF(B141="","",IF(OR(J141&lt;&gt;"",K141&lt;&gt;""),"POSÉ EN LIGNE",IF(COUNTIF(BARDAGE!$C$1:$C$5000,B141)&gt;0,"BARDÉ","EN STOCK")))</f>
        <v>POSÉ EN LIGNE</v>
      </c>
      <c r="N141" s="80"/>
    </row>
    <row r="142" customFormat="false" ht="15" hidden="false" customHeight="false" outlineLevel="0" collapsed="false">
      <c r="A142" s="82" t="n">
        <f aca="false">IF(B142="","",ROW()-6)</f>
        <v>136</v>
      </c>
      <c r="B142" s="145" t="n">
        <v>2082300</v>
      </c>
      <c r="C142" s="146" t="n">
        <v>15421105</v>
      </c>
      <c r="D142" s="146"/>
      <c r="E142" s="82" t="str">
        <f aca="false">IF(B142="","",IF(COUNTIFS('CARNET DE SOUDURE'!$L$7:$L$3006,B142,'CARNET DE SOUDURE'!$M$7:$M$3006,"&lt;&gt;"&amp;C142,'CARNET DE SOUDURE'!$M$7:$M$3006,"&lt;&gt;")+COUNTIFS('CARNET DE SOUDURE'!$O$7:$O$3006,B142,'CARNET DE SOUDURE'!$P$7:$P$3006,"&lt;&gt;"&amp;C142,'CARNET DE SOUDURE'!$P$7:$P$3006,"&lt;&gt;")&gt;0,"⚠ DIFFÉRENTE","OK"))</f>
        <v>OK</v>
      </c>
      <c r="F142" s="147" t="n">
        <v>11.94</v>
      </c>
      <c r="G142" s="80"/>
      <c r="H142" s="83"/>
      <c r="I142" s="148" t="str">
        <f aca="false">IF(B142="","",IFERROR(INDEX('CARNET DE SOUDURE'!$B$7:$B$3006,MATCH(B142,'CARNET DE SOUDURE'!$L$7:$L$3006,0)),IFERROR(INDEX('CARNET DE SOUDURE'!$B$7:$B$3006,MATCH(B142,'CARNET DE SOUDURE'!$O$7:$O$3006,0)),"")))</f>
        <v>MFD-ISW → MFD-CPF</v>
      </c>
      <c r="J142" s="82" t="str">
        <f aca="false">IF(B142="","",IFERROR(INDEX('CARNET DE SOUDURE'!$E$7:$E$3006,MATCH(B142,'CARNET DE SOUDURE'!$O$7:$O$3006,0)),""))</f>
        <v>DJ°430</v>
      </c>
      <c r="K142" s="82" t="str">
        <f aca="false">IF(B142="","",IFERROR(INDEX('CARNET DE SOUDURE'!$E$7:$E$3006,MATCH(B142,'CARNET DE SOUDURE'!$L$7:$L$3006,0)),""))</f>
        <v>JN°830</v>
      </c>
      <c r="L142" s="82" t="n">
        <f aca="false">IF(B142="","",IFERROR(INDEX('CARNET DE SOUDURE'!$D$7:$D$3006,MATCH(B142,'CARNET DE SOUDURE'!$L$7:$L$3006,0)),IFERROR(INDEX('CARNET DE SOUDURE'!$D$7:$D$3006,MATCH(B142,'CARNET DE SOUDURE'!$O$7:$O$3006,0)),"")))</f>
        <v>5</v>
      </c>
      <c r="M142" s="82" t="str">
        <f aca="false">IF(B142="","",IF(OR(J142&lt;&gt;"",K142&lt;&gt;""),"POSÉ EN LIGNE",IF(COUNTIF(BARDAGE!$C$1:$C$5000,B142)&gt;0,"BARDÉ","EN STOCK")))</f>
        <v>POSÉ EN LIGNE</v>
      </c>
      <c r="N142" s="80"/>
    </row>
    <row r="143" customFormat="false" ht="15" hidden="false" customHeight="false" outlineLevel="0" collapsed="false">
      <c r="A143" s="82" t="n">
        <f aca="false">IF(B143="","",ROW()-6)</f>
        <v>137</v>
      </c>
      <c r="B143" s="145" t="n">
        <v>2097970</v>
      </c>
      <c r="C143" s="146" t="n">
        <v>15421112</v>
      </c>
      <c r="D143" s="146"/>
      <c r="E143" s="82" t="str">
        <f aca="false">IF(B143="","",IF(COUNTIFS('CARNET DE SOUDURE'!$L$7:$L$3006,B143,'CARNET DE SOUDURE'!$M$7:$M$3006,"&lt;&gt;"&amp;C143,'CARNET DE SOUDURE'!$M$7:$M$3006,"&lt;&gt;")+COUNTIFS('CARNET DE SOUDURE'!$O$7:$O$3006,B143,'CARNET DE SOUDURE'!$P$7:$P$3006,"&lt;&gt;"&amp;C143,'CARNET DE SOUDURE'!$P$7:$P$3006,"&lt;&gt;")&gt;0,"⚠ DIFFÉRENTE","OK"))</f>
        <v>OK</v>
      </c>
      <c r="F143" s="147" t="n">
        <v>11.94</v>
      </c>
      <c r="G143" s="80"/>
      <c r="H143" s="83"/>
      <c r="I143" s="148" t="str">
        <f aca="false">IF(B143="","",IFERROR(INDEX('CARNET DE SOUDURE'!$B$7:$B$3006,MATCH(B143,'CARNET DE SOUDURE'!$L$7:$L$3006,0)),IFERROR(INDEX('CARNET DE SOUDURE'!$B$7:$B$3006,MATCH(B143,'CARNET DE SOUDURE'!$O$7:$O$3006,0)),"")))</f>
        <v>MFD-ISW → MFD-CPF</v>
      </c>
      <c r="J143" s="82" t="str">
        <f aca="false">IF(B143="","",IFERROR(INDEX('CARNET DE SOUDURE'!$E$7:$E$3006,MATCH(B143,'CARNET DE SOUDURE'!$O$7:$O$3006,0)),""))</f>
        <v>JN°830</v>
      </c>
      <c r="K143" s="82" t="str">
        <f aca="false">IF(B143="","",IFERROR(INDEX('CARNET DE SOUDURE'!$E$7:$E$3006,MATCH(B143,'CARNET DE SOUDURE'!$L$7:$L$3006,0)),""))</f>
        <v>DJ°456</v>
      </c>
      <c r="L143" s="82" t="n">
        <f aca="false">IF(B143="","",IFERROR(INDEX('CARNET DE SOUDURE'!$D$7:$D$3006,MATCH(B143,'CARNET DE SOUDURE'!$L$7:$L$3006,0)),IFERROR(INDEX('CARNET DE SOUDURE'!$D$7:$D$3006,MATCH(B143,'CARNET DE SOUDURE'!$O$7:$O$3006,0)),"")))</f>
        <v>5</v>
      </c>
      <c r="M143" s="82" t="str">
        <f aca="false">IF(B143="","",IF(OR(J143&lt;&gt;"",K143&lt;&gt;""),"POSÉ EN LIGNE",IF(COUNTIF(BARDAGE!$C$1:$C$5000,B143)&gt;0,"BARDÉ","EN STOCK")))</f>
        <v>POSÉ EN LIGNE</v>
      </c>
      <c r="N143" s="80"/>
    </row>
    <row r="144" customFormat="false" ht="15" hidden="false" customHeight="false" outlineLevel="0" collapsed="false">
      <c r="A144" s="82" t="n">
        <f aca="false">IF(B144="","",ROW()-6)</f>
        <v>138</v>
      </c>
      <c r="B144" s="145" t="n">
        <v>2085950</v>
      </c>
      <c r="C144" s="146" t="n">
        <v>15421107</v>
      </c>
      <c r="D144" s="146"/>
      <c r="E144" s="82" t="str">
        <f aca="false">IF(B144="","",IF(COUNTIFS('CARNET DE SOUDURE'!$L$7:$L$3006,B144,'CARNET DE SOUDURE'!$M$7:$M$3006,"&lt;&gt;"&amp;C144,'CARNET DE SOUDURE'!$M$7:$M$3006,"&lt;&gt;")+COUNTIFS('CARNET DE SOUDURE'!$O$7:$O$3006,B144,'CARNET DE SOUDURE'!$P$7:$P$3006,"&lt;&gt;"&amp;C144,'CARNET DE SOUDURE'!$P$7:$P$3006,"&lt;&gt;")&gt;0,"⚠ DIFFÉRENTE","OK"))</f>
        <v>⚠ DIFFÉRENTE</v>
      </c>
      <c r="F144" s="147" t="n">
        <v>11.94</v>
      </c>
      <c r="G144" s="80"/>
      <c r="H144" s="83"/>
      <c r="I144" s="148" t="str">
        <f aca="false">IF(B144="","",IFERROR(INDEX('CARNET DE SOUDURE'!$B$7:$B$3006,MATCH(B144,'CARNET DE SOUDURE'!$L$7:$L$3006,0)),IFERROR(INDEX('CARNET DE SOUDURE'!$B$7:$B$3006,MATCH(B144,'CARNET DE SOUDURE'!$O$7:$O$3006,0)),"")))</f>
        <v>MFD-ISW → MFD-CPF</v>
      </c>
      <c r="J144" s="82" t="str">
        <f aca="false">IF(B144="","",IFERROR(INDEX('CARNET DE SOUDURE'!$E$7:$E$3006,MATCH(B144,'CARNET DE SOUDURE'!$O$7:$O$3006,0)),""))</f>
        <v>DJ°456</v>
      </c>
      <c r="K144" s="82" t="str">
        <f aca="false">IF(B144="","",IFERROR(INDEX('CARNET DE SOUDURE'!$E$7:$E$3006,MATCH(B144,'CARNET DE SOUDURE'!$L$7:$L$3006,0)),""))</f>
        <v>JN°831</v>
      </c>
      <c r="L144" s="82" t="n">
        <f aca="false">IF(B144="","",IFERROR(INDEX('CARNET DE SOUDURE'!$D$7:$D$3006,MATCH(B144,'CARNET DE SOUDURE'!$L$7:$L$3006,0)),IFERROR(INDEX('CARNET DE SOUDURE'!$D$7:$D$3006,MATCH(B144,'CARNET DE SOUDURE'!$O$7:$O$3006,0)),"")))</f>
        <v>5</v>
      </c>
      <c r="M144" s="82" t="str">
        <f aca="false">IF(B144="","",IF(OR(J144&lt;&gt;"",K144&lt;&gt;""),"POSÉ EN LIGNE",IF(COUNTIF(BARDAGE!$C$1:$C$5000,B144)&gt;0,"BARDÉ","EN STOCK")))</f>
        <v>POSÉ EN LIGNE</v>
      </c>
      <c r="N144" s="80"/>
    </row>
    <row r="145" customFormat="false" ht="15" hidden="false" customHeight="false" outlineLevel="0" collapsed="false">
      <c r="A145" s="82" t="n">
        <f aca="false">IF(B145="","",ROW()-6)</f>
        <v>139</v>
      </c>
      <c r="B145" s="145" t="n">
        <v>2085330</v>
      </c>
      <c r="C145" s="146" t="n">
        <v>15421106</v>
      </c>
      <c r="D145" s="146"/>
      <c r="E145" s="82" t="str">
        <f aca="false">IF(B145="","",IF(COUNTIFS('CARNET DE SOUDURE'!$L$7:$L$3006,B145,'CARNET DE SOUDURE'!$M$7:$M$3006,"&lt;&gt;"&amp;C145,'CARNET DE SOUDURE'!$M$7:$M$3006,"&lt;&gt;")+COUNTIFS('CARNET DE SOUDURE'!$O$7:$O$3006,B145,'CARNET DE SOUDURE'!$P$7:$P$3006,"&lt;&gt;"&amp;C145,'CARNET DE SOUDURE'!$P$7:$P$3006,"&lt;&gt;")&gt;0,"⚠ DIFFÉRENTE","OK"))</f>
        <v>OK</v>
      </c>
      <c r="F145" s="147" t="n">
        <v>11.94</v>
      </c>
      <c r="G145" s="80"/>
      <c r="H145" s="83"/>
      <c r="I145" s="148" t="str">
        <f aca="false">IF(B145="","",IFERROR(INDEX('CARNET DE SOUDURE'!$B$7:$B$3006,MATCH(B145,'CARNET DE SOUDURE'!$L$7:$L$3006,0)),IFERROR(INDEX('CARNET DE SOUDURE'!$B$7:$B$3006,MATCH(B145,'CARNET DE SOUDURE'!$O$7:$O$3006,0)),"")))</f>
        <v>MFD-ISW → MFD-CPF</v>
      </c>
      <c r="J145" s="82" t="str">
        <f aca="false">IF(B145="","",IFERROR(INDEX('CARNET DE SOUDURE'!$E$7:$E$3006,MATCH(B145,'CARNET DE SOUDURE'!$O$7:$O$3006,0)),""))</f>
        <v>JN°831</v>
      </c>
      <c r="K145" s="82" t="str">
        <f aca="false">IF(B145="","",IFERROR(INDEX('CARNET DE SOUDURE'!$E$7:$E$3006,MATCH(B145,'CARNET DE SOUDURE'!$L$7:$L$3006,0)),""))</f>
        <v>DJ°459</v>
      </c>
      <c r="L145" s="82" t="n">
        <f aca="false">IF(B145="","",IFERROR(INDEX('CARNET DE SOUDURE'!$D$7:$D$3006,MATCH(B145,'CARNET DE SOUDURE'!$L$7:$L$3006,0)),IFERROR(INDEX('CARNET DE SOUDURE'!$D$7:$D$3006,MATCH(B145,'CARNET DE SOUDURE'!$O$7:$O$3006,0)),"")))</f>
        <v>5</v>
      </c>
      <c r="M145" s="82" t="str">
        <f aca="false">IF(B145="","",IF(OR(J145&lt;&gt;"",K145&lt;&gt;""),"POSÉ EN LIGNE",IF(COUNTIF(BARDAGE!$C$1:$C$5000,B145)&gt;0,"BARDÉ","EN STOCK")))</f>
        <v>POSÉ EN LIGNE</v>
      </c>
      <c r="N145" s="80"/>
    </row>
    <row r="146" customFormat="false" ht="15" hidden="false" customHeight="false" outlineLevel="0" collapsed="false">
      <c r="A146" s="82" t="n">
        <f aca="false">IF(B146="","",ROW()-6)</f>
        <v>140</v>
      </c>
      <c r="B146" s="145" t="n">
        <v>2090030</v>
      </c>
      <c r="C146" s="146" t="n">
        <v>15421109</v>
      </c>
      <c r="D146" s="146"/>
      <c r="E146" s="82" t="str">
        <f aca="false">IF(B146="","",IF(COUNTIFS('CARNET DE SOUDURE'!$L$7:$L$3006,B146,'CARNET DE SOUDURE'!$M$7:$M$3006,"&lt;&gt;"&amp;C146,'CARNET DE SOUDURE'!$M$7:$M$3006,"&lt;&gt;")+COUNTIFS('CARNET DE SOUDURE'!$O$7:$O$3006,B146,'CARNET DE SOUDURE'!$P$7:$P$3006,"&lt;&gt;"&amp;C146,'CARNET DE SOUDURE'!$P$7:$P$3006,"&lt;&gt;")&gt;0,"⚠ DIFFÉRENTE","OK"))</f>
        <v>OK</v>
      </c>
      <c r="F146" s="147" t="n">
        <v>11.94</v>
      </c>
      <c r="G146" s="80"/>
      <c r="H146" s="83"/>
      <c r="I146" s="148" t="str">
        <f aca="false">IF(B146="","",IFERROR(INDEX('CARNET DE SOUDURE'!$B$7:$B$3006,MATCH(B146,'CARNET DE SOUDURE'!$L$7:$L$3006,0)),IFERROR(INDEX('CARNET DE SOUDURE'!$B$7:$B$3006,MATCH(B146,'CARNET DE SOUDURE'!$O$7:$O$3006,0)),"")))</f>
        <v>MFD-ISW → MFD-CPF</v>
      </c>
      <c r="J146" s="82" t="str">
        <f aca="false">IF(B146="","",IFERROR(INDEX('CARNET DE SOUDURE'!$E$7:$E$3006,MATCH(B146,'CARNET DE SOUDURE'!$O$7:$O$3006,0)),""))</f>
        <v>DJ°459</v>
      </c>
      <c r="K146" s="82" t="str">
        <f aca="false">IF(B146="","",IFERROR(INDEX('CARNET DE SOUDURE'!$E$7:$E$3006,MATCH(B146,'CARNET DE SOUDURE'!$L$7:$L$3006,0)),""))</f>
        <v/>
      </c>
      <c r="L146" s="82" t="n">
        <f aca="false">IF(B146="","",IFERROR(INDEX('CARNET DE SOUDURE'!$D$7:$D$3006,MATCH(B146,'CARNET DE SOUDURE'!$L$7:$L$3006,0)),IFERROR(INDEX('CARNET DE SOUDURE'!$D$7:$D$3006,MATCH(B146,'CARNET DE SOUDURE'!$O$7:$O$3006,0)),"")))</f>
        <v>5</v>
      </c>
      <c r="M146" s="82" t="str">
        <f aca="false">IF(B146="","",IF(OR(J146&lt;&gt;"",K146&lt;&gt;""),"POSÉ EN LIGNE",IF(COUNTIF(BARDAGE!$C$1:$C$5000,B146)&gt;0,"BARDÉ","EN STOCK")))</f>
        <v>POSÉ EN LIGNE</v>
      </c>
      <c r="N146" s="80"/>
    </row>
    <row r="147" customFormat="false" ht="15" hidden="false" customHeight="false" outlineLevel="0" collapsed="false">
      <c r="A147" s="82" t="n">
        <f aca="false">IF(B147="","",ROW()-6)</f>
        <v>141</v>
      </c>
      <c r="B147" s="145" t="n">
        <v>2085260</v>
      </c>
      <c r="C147" s="146" t="n">
        <v>15421106</v>
      </c>
      <c r="D147" s="146"/>
      <c r="E147" s="82" t="str">
        <f aca="false">IF(B147="","",IF(COUNTIFS('CARNET DE SOUDURE'!$L$7:$L$3006,B147,'CARNET DE SOUDURE'!$M$7:$M$3006,"&lt;&gt;"&amp;C147,'CARNET DE SOUDURE'!$M$7:$M$3006,"&lt;&gt;")+COUNTIFS('CARNET DE SOUDURE'!$O$7:$O$3006,B147,'CARNET DE SOUDURE'!$P$7:$P$3006,"&lt;&gt;"&amp;C147,'CARNET DE SOUDURE'!$P$7:$P$3006,"&lt;&gt;")&gt;0,"⚠ DIFFÉRENTE","OK"))</f>
        <v>⚠ DIFFÉRENTE</v>
      </c>
      <c r="F147" s="147" t="n">
        <v>11.94</v>
      </c>
      <c r="G147" s="80"/>
      <c r="H147" s="83"/>
      <c r="I147" s="148" t="str">
        <f aca="false">IF(B147="","",IFERROR(INDEX('CARNET DE SOUDURE'!$B$7:$B$3006,MATCH(B147,'CARNET DE SOUDURE'!$L$7:$L$3006,0)),IFERROR(INDEX('CARNET DE SOUDURE'!$B$7:$B$3006,MATCH(B147,'CARNET DE SOUDURE'!$O$7:$O$3006,0)),"")))</f>
        <v>MFD-ISW → MFD-CPF</v>
      </c>
      <c r="J147" s="82" t="str">
        <f aca="false">IF(B147="","",IFERROR(INDEX('CARNET DE SOUDURE'!$E$7:$E$3006,MATCH(B147,'CARNET DE SOUDURE'!$O$7:$O$3006,0)),""))</f>
        <v>JN°1002</v>
      </c>
      <c r="K147" s="82" t="str">
        <f aca="false">IF(B147="","",IFERROR(INDEX('CARNET DE SOUDURE'!$E$7:$E$3006,MATCH(B147,'CARNET DE SOUDURE'!$L$7:$L$3006,0)),""))</f>
        <v>DJ°458</v>
      </c>
      <c r="L147" s="82" t="n">
        <f aca="false">IF(B147="","",IFERROR(INDEX('CARNET DE SOUDURE'!$D$7:$D$3006,MATCH(B147,'CARNET DE SOUDURE'!$L$7:$L$3006,0)),IFERROR(INDEX('CARNET DE SOUDURE'!$D$7:$D$3006,MATCH(B147,'CARNET DE SOUDURE'!$O$7:$O$3006,0)),"")))</f>
        <v>6</v>
      </c>
      <c r="M147" s="82" t="str">
        <f aca="false">IF(B147="","",IF(OR(J147&lt;&gt;"",K147&lt;&gt;""),"POSÉ EN LIGNE",IF(COUNTIF(BARDAGE!$C$1:$C$5000,B147)&gt;0,"BARDÉ","EN STOCK")))</f>
        <v>POSÉ EN LIGNE</v>
      </c>
      <c r="N147" s="80"/>
    </row>
    <row r="148" customFormat="false" ht="15" hidden="false" customHeight="false" outlineLevel="0" collapsed="false">
      <c r="A148" s="82" t="n">
        <f aca="false">IF(B148="","",ROW()-6)</f>
        <v>142</v>
      </c>
      <c r="B148" s="145" t="n">
        <v>2095810</v>
      </c>
      <c r="C148" s="146" t="n">
        <v>15421111</v>
      </c>
      <c r="D148" s="146"/>
      <c r="E148" s="82" t="str">
        <f aca="false">IF(B148="","",IF(COUNTIFS('CARNET DE SOUDURE'!$L$7:$L$3006,B148,'CARNET DE SOUDURE'!$M$7:$M$3006,"&lt;&gt;"&amp;C148,'CARNET DE SOUDURE'!$M$7:$M$3006,"&lt;&gt;")+COUNTIFS('CARNET DE SOUDURE'!$O$7:$O$3006,B148,'CARNET DE SOUDURE'!$P$7:$P$3006,"&lt;&gt;"&amp;C148,'CARNET DE SOUDURE'!$P$7:$P$3006,"&lt;&gt;")&gt;0,"⚠ DIFFÉRENTE","OK"))</f>
        <v>OK</v>
      </c>
      <c r="F148" s="147" t="n">
        <v>11.94</v>
      </c>
      <c r="G148" s="80"/>
      <c r="H148" s="83"/>
      <c r="I148" s="148" t="str">
        <f aca="false">IF(B148="","",IFERROR(INDEX('CARNET DE SOUDURE'!$B$7:$B$3006,MATCH(B148,'CARNET DE SOUDURE'!$L$7:$L$3006,0)),IFERROR(INDEX('CARNET DE SOUDURE'!$B$7:$B$3006,MATCH(B148,'CARNET DE SOUDURE'!$O$7:$O$3006,0)),"")))</f>
        <v>MFD-ISW → MFD-CPF</v>
      </c>
      <c r="J148" s="82" t="str">
        <f aca="false">IF(B148="","",IFERROR(INDEX('CARNET DE SOUDURE'!$E$7:$E$3006,MATCH(B148,'CARNET DE SOUDURE'!$O$7:$O$3006,0)),""))</f>
        <v>DJ°458</v>
      </c>
      <c r="K148" s="82" t="str">
        <f aca="false">IF(B148="","",IFERROR(INDEX('CARNET DE SOUDURE'!$E$7:$E$3006,MATCH(B148,'CARNET DE SOUDURE'!$L$7:$L$3006,0)),""))</f>
        <v>JN°833</v>
      </c>
      <c r="L148" s="82" t="n">
        <f aca="false">IF(B148="","",IFERROR(INDEX('CARNET DE SOUDURE'!$D$7:$D$3006,MATCH(B148,'CARNET DE SOUDURE'!$L$7:$L$3006,0)),IFERROR(INDEX('CARNET DE SOUDURE'!$D$7:$D$3006,MATCH(B148,'CARNET DE SOUDURE'!$O$7:$O$3006,0)),"")))</f>
        <v>6</v>
      </c>
      <c r="M148" s="82" t="str">
        <f aca="false">IF(B148="","",IF(OR(J148&lt;&gt;"",K148&lt;&gt;""),"POSÉ EN LIGNE",IF(COUNTIF(BARDAGE!$C$1:$C$5000,B148)&gt;0,"BARDÉ","EN STOCK")))</f>
        <v>POSÉ EN LIGNE</v>
      </c>
      <c r="N148" s="80"/>
    </row>
    <row r="149" customFormat="false" ht="15" hidden="false" customHeight="false" outlineLevel="0" collapsed="false">
      <c r="A149" s="82" t="n">
        <f aca="false">IF(B149="","",ROW()-6)</f>
        <v>143</v>
      </c>
      <c r="B149" s="145" t="n">
        <v>2083220</v>
      </c>
      <c r="C149" s="146" t="n">
        <v>15421105</v>
      </c>
      <c r="D149" s="146"/>
      <c r="E149" s="82" t="str">
        <f aca="false">IF(B149="","",IF(COUNTIFS('CARNET DE SOUDURE'!$L$7:$L$3006,B149,'CARNET DE SOUDURE'!$M$7:$M$3006,"&lt;&gt;"&amp;C149,'CARNET DE SOUDURE'!$M$7:$M$3006,"&lt;&gt;")+COUNTIFS('CARNET DE SOUDURE'!$O$7:$O$3006,B149,'CARNET DE SOUDURE'!$P$7:$P$3006,"&lt;&gt;"&amp;C149,'CARNET DE SOUDURE'!$P$7:$P$3006,"&lt;&gt;")&gt;0,"⚠ DIFFÉRENTE","OK"))</f>
        <v>OK</v>
      </c>
      <c r="F149" s="147" t="n">
        <v>11.94</v>
      </c>
      <c r="G149" s="80"/>
      <c r="H149" s="83"/>
      <c r="I149" s="148" t="str">
        <f aca="false">IF(B149="","",IFERROR(INDEX('CARNET DE SOUDURE'!$B$7:$B$3006,MATCH(B149,'CARNET DE SOUDURE'!$L$7:$L$3006,0)),IFERROR(INDEX('CARNET DE SOUDURE'!$B$7:$B$3006,MATCH(B149,'CARNET DE SOUDURE'!$O$7:$O$3006,0)),"")))</f>
        <v>MFD-ISW → MFD-CPF</v>
      </c>
      <c r="J149" s="82" t="str">
        <f aca="false">IF(B149="","",IFERROR(INDEX('CARNET DE SOUDURE'!$E$7:$E$3006,MATCH(B149,'CARNET DE SOUDURE'!$O$7:$O$3006,0)),""))</f>
        <v>JN°833</v>
      </c>
      <c r="K149" s="82" t="str">
        <f aca="false">IF(B149="","",IFERROR(INDEX('CARNET DE SOUDURE'!$E$7:$E$3006,MATCH(B149,'CARNET DE SOUDURE'!$L$7:$L$3006,0)),""))</f>
        <v>DJ°457</v>
      </c>
      <c r="L149" s="82" t="n">
        <f aca="false">IF(B149="","",IFERROR(INDEX('CARNET DE SOUDURE'!$D$7:$D$3006,MATCH(B149,'CARNET DE SOUDURE'!$L$7:$L$3006,0)),IFERROR(INDEX('CARNET DE SOUDURE'!$D$7:$D$3006,MATCH(B149,'CARNET DE SOUDURE'!$O$7:$O$3006,0)),"")))</f>
        <v>6</v>
      </c>
      <c r="M149" s="82" t="str">
        <f aca="false">IF(B149="","",IF(OR(J149&lt;&gt;"",K149&lt;&gt;""),"POSÉ EN LIGNE",IF(COUNTIF(BARDAGE!$C$1:$C$5000,B149)&gt;0,"BARDÉ","EN STOCK")))</f>
        <v>POSÉ EN LIGNE</v>
      </c>
      <c r="N149" s="80"/>
    </row>
    <row r="150" customFormat="false" ht="15" hidden="false" customHeight="false" outlineLevel="0" collapsed="false">
      <c r="A150" s="82" t="n">
        <f aca="false">IF(B150="","",ROW()-6)</f>
        <v>144</v>
      </c>
      <c r="B150" s="145" t="n">
        <v>2087520</v>
      </c>
      <c r="C150" s="146" t="n">
        <v>15421107</v>
      </c>
      <c r="D150" s="146"/>
      <c r="E150" s="82" t="str">
        <f aca="false">IF(B150="","",IF(COUNTIFS('CARNET DE SOUDURE'!$L$7:$L$3006,B150,'CARNET DE SOUDURE'!$M$7:$M$3006,"&lt;&gt;"&amp;C150,'CARNET DE SOUDURE'!$M$7:$M$3006,"&lt;&gt;")+COUNTIFS('CARNET DE SOUDURE'!$O$7:$O$3006,B150,'CARNET DE SOUDURE'!$P$7:$P$3006,"&lt;&gt;"&amp;C150,'CARNET DE SOUDURE'!$P$7:$P$3006,"&lt;&gt;")&gt;0,"⚠ DIFFÉRENTE","OK"))</f>
        <v>OK</v>
      </c>
      <c r="F150" s="147" t="n">
        <v>11.94</v>
      </c>
      <c r="G150" s="80"/>
      <c r="H150" s="83"/>
      <c r="I150" s="148" t="str">
        <f aca="false">IF(B150="","",IFERROR(INDEX('CARNET DE SOUDURE'!$B$7:$B$3006,MATCH(B150,'CARNET DE SOUDURE'!$L$7:$L$3006,0)),IFERROR(INDEX('CARNET DE SOUDURE'!$B$7:$B$3006,MATCH(B150,'CARNET DE SOUDURE'!$O$7:$O$3006,0)),"")))</f>
        <v>MFD-ISW → MFD-CPF</v>
      </c>
      <c r="J150" s="82" t="str">
        <f aca="false">IF(B150="","",IFERROR(INDEX('CARNET DE SOUDURE'!$E$7:$E$3006,MATCH(B150,'CARNET DE SOUDURE'!$O$7:$O$3006,0)),""))</f>
        <v>DJ°457</v>
      </c>
      <c r="K150" s="82" t="str">
        <f aca="false">IF(B150="","",IFERROR(INDEX('CARNET DE SOUDURE'!$E$7:$E$3006,MATCH(B150,'CARNET DE SOUDURE'!$L$7:$L$3006,0)),""))</f>
        <v>JN°834</v>
      </c>
      <c r="L150" s="82" t="n">
        <f aca="false">IF(B150="","",IFERROR(INDEX('CARNET DE SOUDURE'!$D$7:$D$3006,MATCH(B150,'CARNET DE SOUDURE'!$L$7:$L$3006,0)),IFERROR(INDEX('CARNET DE SOUDURE'!$D$7:$D$3006,MATCH(B150,'CARNET DE SOUDURE'!$O$7:$O$3006,0)),"")))</f>
        <v>6</v>
      </c>
      <c r="M150" s="82" t="str">
        <f aca="false">IF(B150="","",IF(OR(J150&lt;&gt;"",K150&lt;&gt;""),"POSÉ EN LIGNE",IF(COUNTIF(BARDAGE!$C$1:$C$5000,B150)&gt;0,"BARDÉ","EN STOCK")))</f>
        <v>POSÉ EN LIGNE</v>
      </c>
      <c r="N150" s="80"/>
    </row>
    <row r="151" customFormat="false" ht="15" hidden="false" customHeight="false" outlineLevel="0" collapsed="false">
      <c r="A151" s="82" t="n">
        <f aca="false">IF(B151="","",ROW()-6)</f>
        <v>145</v>
      </c>
      <c r="B151" s="145" t="n">
        <v>2096940</v>
      </c>
      <c r="C151" s="146" t="n">
        <v>15421111</v>
      </c>
      <c r="D151" s="146"/>
      <c r="E151" s="82" t="str">
        <f aca="false">IF(B151="","",IF(COUNTIFS('CARNET DE SOUDURE'!$L$7:$L$3006,B151,'CARNET DE SOUDURE'!$M$7:$M$3006,"&lt;&gt;"&amp;C151,'CARNET DE SOUDURE'!$M$7:$M$3006,"&lt;&gt;")+COUNTIFS('CARNET DE SOUDURE'!$O$7:$O$3006,B151,'CARNET DE SOUDURE'!$P$7:$P$3006,"&lt;&gt;"&amp;C151,'CARNET DE SOUDURE'!$P$7:$P$3006,"&lt;&gt;")&gt;0,"⚠ DIFFÉRENTE","OK"))</f>
        <v>OK</v>
      </c>
      <c r="F151" s="147" t="n">
        <v>11.94</v>
      </c>
      <c r="G151" s="80"/>
      <c r="H151" s="83"/>
      <c r="I151" s="148" t="str">
        <f aca="false">IF(B151="","",IFERROR(INDEX('CARNET DE SOUDURE'!$B$7:$B$3006,MATCH(B151,'CARNET DE SOUDURE'!$L$7:$L$3006,0)),IFERROR(INDEX('CARNET DE SOUDURE'!$B$7:$B$3006,MATCH(B151,'CARNET DE SOUDURE'!$O$7:$O$3006,0)),"")))</f>
        <v>MFD-ISW → MFD-CPF</v>
      </c>
      <c r="J151" s="82" t="str">
        <f aca="false">IF(B151="","",IFERROR(INDEX('CARNET DE SOUDURE'!$E$7:$E$3006,MATCH(B151,'CARNET DE SOUDURE'!$O$7:$O$3006,0)),""))</f>
        <v>JN°834</v>
      </c>
      <c r="K151" s="82" t="str">
        <f aca="false">IF(B151="","",IFERROR(INDEX('CARNET DE SOUDURE'!$E$7:$E$3006,MATCH(B151,'CARNET DE SOUDURE'!$L$7:$L$3006,0)),""))</f>
        <v>DJ°454</v>
      </c>
      <c r="L151" s="82" t="n">
        <f aca="false">IF(B151="","",IFERROR(INDEX('CARNET DE SOUDURE'!$D$7:$D$3006,MATCH(B151,'CARNET DE SOUDURE'!$L$7:$L$3006,0)),IFERROR(INDEX('CARNET DE SOUDURE'!$D$7:$D$3006,MATCH(B151,'CARNET DE SOUDURE'!$O$7:$O$3006,0)),"")))</f>
        <v>6</v>
      </c>
      <c r="M151" s="82" t="str">
        <f aca="false">IF(B151="","",IF(OR(J151&lt;&gt;"",K151&lt;&gt;""),"POSÉ EN LIGNE",IF(COUNTIF(BARDAGE!$C$1:$C$5000,B151)&gt;0,"BARDÉ","EN STOCK")))</f>
        <v>POSÉ EN LIGNE</v>
      </c>
      <c r="N151" s="80"/>
    </row>
    <row r="152" customFormat="false" ht="15" hidden="false" customHeight="false" outlineLevel="0" collapsed="false">
      <c r="A152" s="82" t="n">
        <f aca="false">IF(B152="","",ROW()-6)</f>
        <v>146</v>
      </c>
      <c r="B152" s="145" t="n">
        <v>2084770</v>
      </c>
      <c r="C152" s="146" t="n">
        <v>15421106</v>
      </c>
      <c r="D152" s="146"/>
      <c r="E152" s="82" t="str">
        <f aca="false">IF(B152="","",IF(COUNTIFS('CARNET DE SOUDURE'!$L$7:$L$3006,B152,'CARNET DE SOUDURE'!$M$7:$M$3006,"&lt;&gt;"&amp;C152,'CARNET DE SOUDURE'!$M$7:$M$3006,"&lt;&gt;")+COUNTIFS('CARNET DE SOUDURE'!$O$7:$O$3006,B152,'CARNET DE SOUDURE'!$P$7:$P$3006,"&lt;&gt;"&amp;C152,'CARNET DE SOUDURE'!$P$7:$P$3006,"&lt;&gt;")&gt;0,"⚠ DIFFÉRENTE","OK"))</f>
        <v>OK</v>
      </c>
      <c r="F152" s="147" t="n">
        <v>11.94</v>
      </c>
      <c r="G152" s="80"/>
      <c r="H152" s="83"/>
      <c r="I152" s="148" t="str">
        <f aca="false">IF(B152="","",IFERROR(INDEX('CARNET DE SOUDURE'!$B$7:$B$3006,MATCH(B152,'CARNET DE SOUDURE'!$L$7:$L$3006,0)),IFERROR(INDEX('CARNET DE SOUDURE'!$B$7:$B$3006,MATCH(B152,'CARNET DE SOUDURE'!$O$7:$O$3006,0)),"")))</f>
        <v>MFD-ISW → MFD-CPF</v>
      </c>
      <c r="J152" s="82" t="str">
        <f aca="false">IF(B152="","",IFERROR(INDEX('CARNET DE SOUDURE'!$E$7:$E$3006,MATCH(B152,'CARNET DE SOUDURE'!$O$7:$O$3006,0)),""))</f>
        <v>DJ°454</v>
      </c>
      <c r="K152" s="82" t="str">
        <f aca="false">IF(B152="","",IFERROR(INDEX('CARNET DE SOUDURE'!$E$7:$E$3006,MATCH(B152,'CARNET DE SOUDURE'!$L$7:$L$3006,0)),""))</f>
        <v>JN°835</v>
      </c>
      <c r="L152" s="82" t="n">
        <f aca="false">IF(B152="","",IFERROR(INDEX('CARNET DE SOUDURE'!$D$7:$D$3006,MATCH(B152,'CARNET DE SOUDURE'!$L$7:$L$3006,0)),IFERROR(INDEX('CARNET DE SOUDURE'!$D$7:$D$3006,MATCH(B152,'CARNET DE SOUDURE'!$O$7:$O$3006,0)),"")))</f>
        <v>6</v>
      </c>
      <c r="M152" s="82" t="str">
        <f aca="false">IF(B152="","",IF(OR(J152&lt;&gt;"",K152&lt;&gt;""),"POSÉ EN LIGNE",IF(COUNTIF(BARDAGE!$C$1:$C$5000,B152)&gt;0,"BARDÉ","EN STOCK")))</f>
        <v>POSÉ EN LIGNE</v>
      </c>
      <c r="N152" s="80"/>
    </row>
    <row r="153" customFormat="false" ht="15" hidden="false" customHeight="false" outlineLevel="0" collapsed="false">
      <c r="A153" s="82" t="n">
        <f aca="false">IF(B153="","",ROW()-6)</f>
        <v>147</v>
      </c>
      <c r="B153" s="145" t="n">
        <v>2084780</v>
      </c>
      <c r="C153" s="146" t="n">
        <v>15421106</v>
      </c>
      <c r="D153" s="146"/>
      <c r="E153" s="82" t="str">
        <f aca="false">IF(B153="","",IF(COUNTIFS('CARNET DE SOUDURE'!$L$7:$L$3006,B153,'CARNET DE SOUDURE'!$M$7:$M$3006,"&lt;&gt;"&amp;C153,'CARNET DE SOUDURE'!$M$7:$M$3006,"&lt;&gt;")+COUNTIFS('CARNET DE SOUDURE'!$O$7:$O$3006,B153,'CARNET DE SOUDURE'!$P$7:$P$3006,"&lt;&gt;"&amp;C153,'CARNET DE SOUDURE'!$P$7:$P$3006,"&lt;&gt;")&gt;0,"⚠ DIFFÉRENTE","OK"))</f>
        <v>OK</v>
      </c>
      <c r="F153" s="147" t="n">
        <v>11.94</v>
      </c>
      <c r="G153" s="80"/>
      <c r="H153" s="83"/>
      <c r="I153" s="148" t="str">
        <f aca="false">IF(B153="","",IFERROR(INDEX('CARNET DE SOUDURE'!$B$7:$B$3006,MATCH(B153,'CARNET DE SOUDURE'!$L$7:$L$3006,0)),IFERROR(INDEX('CARNET DE SOUDURE'!$B$7:$B$3006,MATCH(B153,'CARNET DE SOUDURE'!$O$7:$O$3006,0)),"")))</f>
        <v>MFD-ISW → MFD-CPF</v>
      </c>
      <c r="J153" s="82" t="str">
        <f aca="false">IF(B153="","",IFERROR(INDEX('CARNET DE SOUDURE'!$E$7:$E$3006,MATCH(B153,'CARNET DE SOUDURE'!$O$7:$O$3006,0)),""))</f>
        <v>JN°835</v>
      </c>
      <c r="K153" s="82" t="str">
        <f aca="false">IF(B153="","",IFERROR(INDEX('CARNET DE SOUDURE'!$E$7:$E$3006,MATCH(B153,'CARNET DE SOUDURE'!$L$7:$L$3006,0)),""))</f>
        <v>DJ°432</v>
      </c>
      <c r="L153" s="82" t="n">
        <f aca="false">IF(B153="","",IFERROR(INDEX('CARNET DE SOUDURE'!$D$7:$D$3006,MATCH(B153,'CARNET DE SOUDURE'!$L$7:$L$3006,0)),IFERROR(INDEX('CARNET DE SOUDURE'!$D$7:$D$3006,MATCH(B153,'CARNET DE SOUDURE'!$O$7:$O$3006,0)),"")))</f>
        <v>6</v>
      </c>
      <c r="M153" s="82" t="str">
        <f aca="false">IF(B153="","",IF(OR(J153&lt;&gt;"",K153&lt;&gt;""),"POSÉ EN LIGNE",IF(COUNTIF(BARDAGE!$C$1:$C$5000,B153)&gt;0,"BARDÉ","EN STOCK")))</f>
        <v>POSÉ EN LIGNE</v>
      </c>
      <c r="N153" s="80"/>
    </row>
    <row r="154" customFormat="false" ht="15" hidden="false" customHeight="false" outlineLevel="0" collapsed="false">
      <c r="A154" s="82" t="n">
        <f aca="false">IF(B154="","",ROW()-6)</f>
        <v>148</v>
      </c>
      <c r="B154" s="145" t="n">
        <v>2085760</v>
      </c>
      <c r="C154" s="146" t="n">
        <v>15421107</v>
      </c>
      <c r="D154" s="146"/>
      <c r="E154" s="82" t="str">
        <f aca="false">IF(B154="","",IF(COUNTIFS('CARNET DE SOUDURE'!$L$7:$L$3006,B154,'CARNET DE SOUDURE'!$M$7:$M$3006,"&lt;&gt;"&amp;C154,'CARNET DE SOUDURE'!$M$7:$M$3006,"&lt;&gt;")+COUNTIFS('CARNET DE SOUDURE'!$O$7:$O$3006,B154,'CARNET DE SOUDURE'!$P$7:$P$3006,"&lt;&gt;"&amp;C154,'CARNET DE SOUDURE'!$P$7:$P$3006,"&lt;&gt;")&gt;0,"⚠ DIFFÉRENTE","OK"))</f>
        <v>OK</v>
      </c>
      <c r="F154" s="147" t="n">
        <v>11.94</v>
      </c>
      <c r="G154" s="80"/>
      <c r="H154" s="83"/>
      <c r="I154" s="148" t="str">
        <f aca="false">IF(B154="","",IFERROR(INDEX('CARNET DE SOUDURE'!$B$7:$B$3006,MATCH(B154,'CARNET DE SOUDURE'!$L$7:$L$3006,0)),IFERROR(INDEX('CARNET DE SOUDURE'!$B$7:$B$3006,MATCH(B154,'CARNET DE SOUDURE'!$O$7:$O$3006,0)),"")))</f>
        <v>MFD-ISW → MFD-CPF</v>
      </c>
      <c r="J154" s="82" t="str">
        <f aca="false">IF(B154="","",IFERROR(INDEX('CARNET DE SOUDURE'!$E$7:$E$3006,MATCH(B154,'CARNET DE SOUDURE'!$O$7:$O$3006,0)),""))</f>
        <v>DJ°432</v>
      </c>
      <c r="K154" s="82" t="str">
        <f aca="false">IF(B154="","",IFERROR(INDEX('CARNET DE SOUDURE'!$E$7:$E$3006,MATCH(B154,'CARNET DE SOUDURE'!$L$7:$L$3006,0)),""))</f>
        <v>JN°836</v>
      </c>
      <c r="L154" s="82" t="n">
        <f aca="false">IF(B154="","",IFERROR(INDEX('CARNET DE SOUDURE'!$D$7:$D$3006,MATCH(B154,'CARNET DE SOUDURE'!$L$7:$L$3006,0)),IFERROR(INDEX('CARNET DE SOUDURE'!$D$7:$D$3006,MATCH(B154,'CARNET DE SOUDURE'!$O$7:$O$3006,0)),"")))</f>
        <v>6</v>
      </c>
      <c r="M154" s="82" t="str">
        <f aca="false">IF(B154="","",IF(OR(J154&lt;&gt;"",K154&lt;&gt;""),"POSÉ EN LIGNE",IF(COUNTIF(BARDAGE!$C$1:$C$5000,B154)&gt;0,"BARDÉ","EN STOCK")))</f>
        <v>POSÉ EN LIGNE</v>
      </c>
      <c r="N154" s="80"/>
    </row>
    <row r="155" customFormat="false" ht="15" hidden="false" customHeight="false" outlineLevel="0" collapsed="false">
      <c r="A155" s="82" t="n">
        <f aca="false">IF(B155="","",ROW()-6)</f>
        <v>149</v>
      </c>
      <c r="B155" s="145" t="n">
        <v>2085740</v>
      </c>
      <c r="C155" s="146" t="n">
        <v>15421107</v>
      </c>
      <c r="D155" s="146"/>
      <c r="E155" s="82" t="str">
        <f aca="false">IF(B155="","",IF(COUNTIFS('CARNET DE SOUDURE'!$L$7:$L$3006,B155,'CARNET DE SOUDURE'!$M$7:$M$3006,"&lt;&gt;"&amp;C155,'CARNET DE SOUDURE'!$M$7:$M$3006,"&lt;&gt;")+COUNTIFS('CARNET DE SOUDURE'!$O$7:$O$3006,B155,'CARNET DE SOUDURE'!$P$7:$P$3006,"&lt;&gt;"&amp;C155,'CARNET DE SOUDURE'!$P$7:$P$3006,"&lt;&gt;")&gt;0,"⚠ DIFFÉRENTE","OK"))</f>
        <v>OK</v>
      </c>
      <c r="F155" s="147" t="n">
        <v>11.94</v>
      </c>
      <c r="G155" s="80"/>
      <c r="H155" s="83"/>
      <c r="I155" s="148" t="str">
        <f aca="false">IF(B155="","",IFERROR(INDEX('CARNET DE SOUDURE'!$B$7:$B$3006,MATCH(B155,'CARNET DE SOUDURE'!$L$7:$L$3006,0)),IFERROR(INDEX('CARNET DE SOUDURE'!$B$7:$B$3006,MATCH(B155,'CARNET DE SOUDURE'!$O$7:$O$3006,0)),"")))</f>
        <v>MFD-ISW → MFD-CPF</v>
      </c>
      <c r="J155" s="82" t="str">
        <f aca="false">IF(B155="","",IFERROR(INDEX('CARNET DE SOUDURE'!$E$7:$E$3006,MATCH(B155,'CARNET DE SOUDURE'!$O$7:$O$3006,0)),""))</f>
        <v>JN°836</v>
      </c>
      <c r="K155" s="82" t="str">
        <f aca="false">IF(B155="","",IFERROR(INDEX('CARNET DE SOUDURE'!$E$7:$E$3006,MATCH(B155,'CARNET DE SOUDURE'!$L$7:$L$3006,0)),""))</f>
        <v>DJ°429</v>
      </c>
      <c r="L155" s="82" t="n">
        <f aca="false">IF(B155="","",IFERROR(INDEX('CARNET DE SOUDURE'!$D$7:$D$3006,MATCH(B155,'CARNET DE SOUDURE'!$L$7:$L$3006,0)),IFERROR(INDEX('CARNET DE SOUDURE'!$D$7:$D$3006,MATCH(B155,'CARNET DE SOUDURE'!$O$7:$O$3006,0)),"")))</f>
        <v>6</v>
      </c>
      <c r="M155" s="82" t="str">
        <f aca="false">IF(B155="","",IF(OR(J155&lt;&gt;"",K155&lt;&gt;""),"POSÉ EN LIGNE",IF(COUNTIF(BARDAGE!$C$1:$C$5000,B155)&gt;0,"BARDÉ","EN STOCK")))</f>
        <v>POSÉ EN LIGNE</v>
      </c>
      <c r="N155" s="80"/>
    </row>
    <row r="156" customFormat="false" ht="15" hidden="false" customHeight="false" outlineLevel="0" collapsed="false">
      <c r="A156" s="82" t="n">
        <f aca="false">IF(B156="","",ROW()-6)</f>
        <v>150</v>
      </c>
      <c r="B156" s="145" t="n">
        <v>2083780</v>
      </c>
      <c r="C156" s="146" t="n">
        <v>15421105</v>
      </c>
      <c r="D156" s="146"/>
      <c r="E156" s="82" t="str">
        <f aca="false">IF(B156="","",IF(COUNTIFS('CARNET DE SOUDURE'!$L$7:$L$3006,B156,'CARNET DE SOUDURE'!$M$7:$M$3006,"&lt;&gt;"&amp;C156,'CARNET DE SOUDURE'!$M$7:$M$3006,"&lt;&gt;")+COUNTIFS('CARNET DE SOUDURE'!$O$7:$O$3006,B156,'CARNET DE SOUDURE'!$P$7:$P$3006,"&lt;&gt;"&amp;C156,'CARNET DE SOUDURE'!$P$7:$P$3006,"&lt;&gt;")&gt;0,"⚠ DIFFÉRENTE","OK"))</f>
        <v>OK</v>
      </c>
      <c r="F156" s="147" t="n">
        <v>11.94</v>
      </c>
      <c r="G156" s="80"/>
      <c r="H156" s="83"/>
      <c r="I156" s="148" t="str">
        <f aca="false">IF(B156="","",IFERROR(INDEX('CARNET DE SOUDURE'!$B$7:$B$3006,MATCH(B156,'CARNET DE SOUDURE'!$L$7:$L$3006,0)),IFERROR(INDEX('CARNET DE SOUDURE'!$B$7:$B$3006,MATCH(B156,'CARNET DE SOUDURE'!$O$7:$O$3006,0)),"")))</f>
        <v>MFD-ISW → MFD-CPF</v>
      </c>
      <c r="J156" s="82" t="str">
        <f aca="false">IF(B156="","",IFERROR(INDEX('CARNET DE SOUDURE'!$E$7:$E$3006,MATCH(B156,'CARNET DE SOUDURE'!$O$7:$O$3006,0)),""))</f>
        <v>DJ°429</v>
      </c>
      <c r="K156" s="82" t="str">
        <f aca="false">IF(B156="","",IFERROR(INDEX('CARNET DE SOUDURE'!$E$7:$E$3006,MATCH(B156,'CARNET DE SOUDURE'!$L$7:$L$3006,0)),""))</f>
        <v>JN°837</v>
      </c>
      <c r="L156" s="82" t="n">
        <f aca="false">IF(B156="","",IFERROR(INDEX('CARNET DE SOUDURE'!$D$7:$D$3006,MATCH(B156,'CARNET DE SOUDURE'!$L$7:$L$3006,0)),IFERROR(INDEX('CARNET DE SOUDURE'!$D$7:$D$3006,MATCH(B156,'CARNET DE SOUDURE'!$O$7:$O$3006,0)),"")))</f>
        <v>6</v>
      </c>
      <c r="M156" s="82" t="str">
        <f aca="false">IF(B156="","",IF(OR(J156&lt;&gt;"",K156&lt;&gt;""),"POSÉ EN LIGNE",IF(COUNTIF(BARDAGE!$C$1:$C$5000,B156)&gt;0,"BARDÉ","EN STOCK")))</f>
        <v>POSÉ EN LIGNE</v>
      </c>
      <c r="N156" s="80"/>
    </row>
    <row r="157" customFormat="false" ht="15" hidden="false" customHeight="false" outlineLevel="0" collapsed="false">
      <c r="A157" s="82" t="n">
        <f aca="false">IF(B157="","",ROW()-6)</f>
        <v>151</v>
      </c>
      <c r="B157" s="145" t="n">
        <v>2095180</v>
      </c>
      <c r="C157" s="146" t="n">
        <v>15421111</v>
      </c>
      <c r="D157" s="146"/>
      <c r="E157" s="82" t="str">
        <f aca="false">IF(B157="","",IF(COUNTIFS('CARNET DE SOUDURE'!$L$7:$L$3006,B157,'CARNET DE SOUDURE'!$M$7:$M$3006,"&lt;&gt;"&amp;C157,'CARNET DE SOUDURE'!$M$7:$M$3006,"&lt;&gt;")+COUNTIFS('CARNET DE SOUDURE'!$O$7:$O$3006,B157,'CARNET DE SOUDURE'!$P$7:$P$3006,"&lt;&gt;"&amp;C157,'CARNET DE SOUDURE'!$P$7:$P$3006,"&lt;&gt;")&gt;0,"⚠ DIFFÉRENTE","OK"))</f>
        <v>OK</v>
      </c>
      <c r="F157" s="147" t="n">
        <v>11.94</v>
      </c>
      <c r="G157" s="80"/>
      <c r="H157" s="83"/>
      <c r="I157" s="148" t="str">
        <f aca="false">IF(B157="","",IFERROR(INDEX('CARNET DE SOUDURE'!$B$7:$B$3006,MATCH(B157,'CARNET DE SOUDURE'!$L$7:$L$3006,0)),IFERROR(INDEX('CARNET DE SOUDURE'!$B$7:$B$3006,MATCH(B157,'CARNET DE SOUDURE'!$O$7:$O$3006,0)),"")))</f>
        <v>MFD-ISW → MFD-CPF</v>
      </c>
      <c r="J157" s="82" t="str">
        <f aca="false">IF(B157="","",IFERROR(INDEX('CARNET DE SOUDURE'!$E$7:$E$3006,MATCH(B157,'CARNET DE SOUDURE'!$O$7:$O$3006,0)),""))</f>
        <v>JN°837</v>
      </c>
      <c r="K157" s="82" t="str">
        <f aca="false">IF(B157="","",IFERROR(INDEX('CARNET DE SOUDURE'!$E$7:$E$3006,MATCH(B157,'CARNET DE SOUDURE'!$L$7:$L$3006,0)),""))</f>
        <v>DJ°431</v>
      </c>
      <c r="L157" s="82" t="n">
        <f aca="false">IF(B157="","",IFERROR(INDEX('CARNET DE SOUDURE'!$D$7:$D$3006,MATCH(B157,'CARNET DE SOUDURE'!$L$7:$L$3006,0)),IFERROR(INDEX('CARNET DE SOUDURE'!$D$7:$D$3006,MATCH(B157,'CARNET DE SOUDURE'!$O$7:$O$3006,0)),"")))</f>
        <v>6</v>
      </c>
      <c r="M157" s="82" t="str">
        <f aca="false">IF(B157="","",IF(OR(J157&lt;&gt;"",K157&lt;&gt;""),"POSÉ EN LIGNE",IF(COUNTIF(BARDAGE!$C$1:$C$5000,B157)&gt;0,"BARDÉ","EN STOCK")))</f>
        <v>POSÉ EN LIGNE</v>
      </c>
      <c r="N157" s="80"/>
    </row>
    <row r="158" customFormat="false" ht="15" hidden="false" customHeight="false" outlineLevel="0" collapsed="false">
      <c r="A158" s="82" t="n">
        <f aca="false">IF(B158="","",ROW()-6)</f>
        <v>152</v>
      </c>
      <c r="B158" s="145" t="n">
        <v>2092430</v>
      </c>
      <c r="C158" s="146" t="n">
        <v>15421110</v>
      </c>
      <c r="D158" s="146"/>
      <c r="E158" s="82" t="str">
        <f aca="false">IF(B158="","",IF(COUNTIFS('CARNET DE SOUDURE'!$L$7:$L$3006,B158,'CARNET DE SOUDURE'!$M$7:$M$3006,"&lt;&gt;"&amp;C158,'CARNET DE SOUDURE'!$M$7:$M$3006,"&lt;&gt;")+COUNTIFS('CARNET DE SOUDURE'!$O$7:$O$3006,B158,'CARNET DE SOUDURE'!$P$7:$P$3006,"&lt;&gt;"&amp;C158,'CARNET DE SOUDURE'!$P$7:$P$3006,"&lt;&gt;")&gt;0,"⚠ DIFFÉRENTE","OK"))</f>
        <v>OK</v>
      </c>
      <c r="F158" s="147" t="n">
        <v>11.94</v>
      </c>
      <c r="G158" s="80"/>
      <c r="H158" s="83"/>
      <c r="I158" s="148" t="str">
        <f aca="false">IF(B158="","",IFERROR(INDEX('CARNET DE SOUDURE'!$B$7:$B$3006,MATCH(B158,'CARNET DE SOUDURE'!$L$7:$L$3006,0)),IFERROR(INDEX('CARNET DE SOUDURE'!$B$7:$B$3006,MATCH(B158,'CARNET DE SOUDURE'!$O$7:$O$3006,0)),"")))</f>
        <v>MFD-ISW → MFD-CPF</v>
      </c>
      <c r="J158" s="82" t="str">
        <f aca="false">IF(B158="","",IFERROR(INDEX('CARNET DE SOUDURE'!$E$7:$E$3006,MATCH(B158,'CARNET DE SOUDURE'!$O$7:$O$3006,0)),""))</f>
        <v>DJ°431</v>
      </c>
      <c r="K158" s="82" t="str">
        <f aca="false">IF(B158="","",IFERROR(INDEX('CARNET DE SOUDURE'!$E$7:$E$3006,MATCH(B158,'CARNET DE SOUDURE'!$L$7:$L$3006,0)),""))</f>
        <v>JN°838</v>
      </c>
      <c r="L158" s="82" t="n">
        <f aca="false">IF(B158="","",IFERROR(INDEX('CARNET DE SOUDURE'!$D$7:$D$3006,MATCH(B158,'CARNET DE SOUDURE'!$L$7:$L$3006,0)),IFERROR(INDEX('CARNET DE SOUDURE'!$D$7:$D$3006,MATCH(B158,'CARNET DE SOUDURE'!$O$7:$O$3006,0)),"")))</f>
        <v>6</v>
      </c>
      <c r="M158" s="82" t="str">
        <f aca="false">IF(B158="","",IF(OR(J158&lt;&gt;"",K158&lt;&gt;""),"POSÉ EN LIGNE",IF(COUNTIF(BARDAGE!$C$1:$C$5000,B158)&gt;0,"BARDÉ","EN STOCK")))</f>
        <v>POSÉ EN LIGNE</v>
      </c>
      <c r="N158" s="80"/>
    </row>
    <row r="159" customFormat="false" ht="15" hidden="false" customHeight="false" outlineLevel="0" collapsed="false">
      <c r="A159" s="82" t="n">
        <f aca="false">IF(B159="","",ROW()-6)</f>
        <v>153</v>
      </c>
      <c r="B159" s="145" t="n">
        <v>2095710</v>
      </c>
      <c r="C159" s="146" t="n">
        <v>15421111</v>
      </c>
      <c r="D159" s="146"/>
      <c r="E159" s="82" t="str">
        <f aca="false">IF(B159="","",IF(COUNTIFS('CARNET DE SOUDURE'!$L$7:$L$3006,B159,'CARNET DE SOUDURE'!$M$7:$M$3006,"&lt;&gt;"&amp;C159,'CARNET DE SOUDURE'!$M$7:$M$3006,"&lt;&gt;")+COUNTIFS('CARNET DE SOUDURE'!$O$7:$O$3006,B159,'CARNET DE SOUDURE'!$P$7:$P$3006,"&lt;&gt;"&amp;C159,'CARNET DE SOUDURE'!$P$7:$P$3006,"&lt;&gt;")&gt;0,"⚠ DIFFÉRENTE","OK"))</f>
        <v>OK</v>
      </c>
      <c r="F159" s="147" t="n">
        <v>11.94</v>
      </c>
      <c r="G159" s="80"/>
      <c r="H159" s="83"/>
      <c r="I159" s="148" t="str">
        <f aca="false">IF(B159="","",IFERROR(INDEX('CARNET DE SOUDURE'!$B$7:$B$3006,MATCH(B159,'CARNET DE SOUDURE'!$L$7:$L$3006,0)),IFERROR(INDEX('CARNET DE SOUDURE'!$B$7:$B$3006,MATCH(B159,'CARNET DE SOUDURE'!$O$7:$O$3006,0)),"")))</f>
        <v>MFD-ISW → MFD-CPF</v>
      </c>
      <c r="J159" s="82" t="str">
        <f aca="false">IF(B159="","",IFERROR(INDEX('CARNET DE SOUDURE'!$E$7:$E$3006,MATCH(B159,'CARNET DE SOUDURE'!$O$7:$O$3006,0)),""))</f>
        <v>JN°838</v>
      </c>
      <c r="K159" s="82" t="str">
        <f aca="false">IF(B159="","",IFERROR(INDEX('CARNET DE SOUDURE'!$E$7:$E$3006,MATCH(B159,'CARNET DE SOUDURE'!$L$7:$L$3006,0)),""))</f>
        <v>DJ°443</v>
      </c>
      <c r="L159" s="82" t="n">
        <f aca="false">IF(B159="","",IFERROR(INDEX('CARNET DE SOUDURE'!$D$7:$D$3006,MATCH(B159,'CARNET DE SOUDURE'!$L$7:$L$3006,0)),IFERROR(INDEX('CARNET DE SOUDURE'!$D$7:$D$3006,MATCH(B159,'CARNET DE SOUDURE'!$O$7:$O$3006,0)),"")))</f>
        <v>6</v>
      </c>
      <c r="M159" s="82" t="str">
        <f aca="false">IF(B159="","",IF(OR(J159&lt;&gt;"",K159&lt;&gt;""),"POSÉ EN LIGNE",IF(COUNTIF(BARDAGE!$C$1:$C$5000,B159)&gt;0,"BARDÉ","EN STOCK")))</f>
        <v>POSÉ EN LIGNE</v>
      </c>
      <c r="N159" s="80"/>
    </row>
    <row r="160" customFormat="false" ht="15" hidden="false" customHeight="false" outlineLevel="0" collapsed="false">
      <c r="A160" s="82" t="n">
        <f aca="false">IF(B160="","",ROW()-6)</f>
        <v>154</v>
      </c>
      <c r="B160" s="145" t="n">
        <v>2084850</v>
      </c>
      <c r="C160" s="146" t="n">
        <v>15421106</v>
      </c>
      <c r="D160" s="146"/>
      <c r="E160" s="82" t="str">
        <f aca="false">IF(B160="","",IF(COUNTIFS('CARNET DE SOUDURE'!$L$7:$L$3006,B160,'CARNET DE SOUDURE'!$M$7:$M$3006,"&lt;&gt;"&amp;C160,'CARNET DE SOUDURE'!$M$7:$M$3006,"&lt;&gt;")+COUNTIFS('CARNET DE SOUDURE'!$O$7:$O$3006,B160,'CARNET DE SOUDURE'!$P$7:$P$3006,"&lt;&gt;"&amp;C160,'CARNET DE SOUDURE'!$P$7:$P$3006,"&lt;&gt;")&gt;0,"⚠ DIFFÉRENTE","OK"))</f>
        <v>OK</v>
      </c>
      <c r="F160" s="147" t="n">
        <v>11.94</v>
      </c>
      <c r="G160" s="80"/>
      <c r="H160" s="83"/>
      <c r="I160" s="148" t="str">
        <f aca="false">IF(B160="","",IFERROR(INDEX('CARNET DE SOUDURE'!$B$7:$B$3006,MATCH(B160,'CARNET DE SOUDURE'!$L$7:$L$3006,0)),IFERROR(INDEX('CARNET DE SOUDURE'!$B$7:$B$3006,MATCH(B160,'CARNET DE SOUDURE'!$O$7:$O$3006,0)),"")))</f>
        <v>MFD-ISW → MFD-CPF</v>
      </c>
      <c r="J160" s="82" t="str">
        <f aca="false">IF(B160="","",IFERROR(INDEX('CARNET DE SOUDURE'!$E$7:$E$3006,MATCH(B160,'CARNET DE SOUDURE'!$O$7:$O$3006,0)),""))</f>
        <v>DJ°443</v>
      </c>
      <c r="K160" s="82" t="str">
        <f aca="false">IF(B160="","",IFERROR(INDEX('CARNET DE SOUDURE'!$E$7:$E$3006,MATCH(B160,'CARNET DE SOUDURE'!$L$7:$L$3006,0)),""))</f>
        <v>JN°839</v>
      </c>
      <c r="L160" s="82" t="n">
        <f aca="false">IF(B160="","",IFERROR(INDEX('CARNET DE SOUDURE'!$D$7:$D$3006,MATCH(B160,'CARNET DE SOUDURE'!$L$7:$L$3006,0)),IFERROR(INDEX('CARNET DE SOUDURE'!$D$7:$D$3006,MATCH(B160,'CARNET DE SOUDURE'!$O$7:$O$3006,0)),"")))</f>
        <v>6</v>
      </c>
      <c r="M160" s="82" t="str">
        <f aca="false">IF(B160="","",IF(OR(J160&lt;&gt;"",K160&lt;&gt;""),"POSÉ EN LIGNE",IF(COUNTIF(BARDAGE!$C$1:$C$5000,B160)&gt;0,"BARDÉ","EN STOCK")))</f>
        <v>POSÉ EN LIGNE</v>
      </c>
      <c r="N160" s="80"/>
    </row>
    <row r="161" customFormat="false" ht="15" hidden="false" customHeight="false" outlineLevel="0" collapsed="false">
      <c r="A161" s="82" t="n">
        <f aca="false">IF(B161="","",ROW()-6)</f>
        <v>155</v>
      </c>
      <c r="B161" s="145" t="n">
        <v>2082020</v>
      </c>
      <c r="C161" s="146" t="n">
        <v>15421104</v>
      </c>
      <c r="D161" s="146"/>
      <c r="E161" s="82" t="str">
        <f aca="false">IF(B161="","",IF(COUNTIFS('CARNET DE SOUDURE'!$L$7:$L$3006,B161,'CARNET DE SOUDURE'!$M$7:$M$3006,"&lt;&gt;"&amp;C161,'CARNET DE SOUDURE'!$M$7:$M$3006,"&lt;&gt;")+COUNTIFS('CARNET DE SOUDURE'!$O$7:$O$3006,B161,'CARNET DE SOUDURE'!$P$7:$P$3006,"&lt;&gt;"&amp;C161,'CARNET DE SOUDURE'!$P$7:$P$3006,"&lt;&gt;")&gt;0,"⚠ DIFFÉRENTE","OK"))</f>
        <v>OK</v>
      </c>
      <c r="F161" s="147" t="n">
        <v>11.94</v>
      </c>
      <c r="G161" s="80"/>
      <c r="H161" s="83"/>
      <c r="I161" s="148" t="str">
        <f aca="false">IF(B161="","",IFERROR(INDEX('CARNET DE SOUDURE'!$B$7:$B$3006,MATCH(B161,'CARNET DE SOUDURE'!$L$7:$L$3006,0)),IFERROR(INDEX('CARNET DE SOUDURE'!$B$7:$B$3006,MATCH(B161,'CARNET DE SOUDURE'!$O$7:$O$3006,0)),"")))</f>
        <v>MFD-ISW → MFD-CPF</v>
      </c>
      <c r="J161" s="82" t="str">
        <f aca="false">IF(B161="","",IFERROR(INDEX('CARNET DE SOUDURE'!$E$7:$E$3006,MATCH(B161,'CARNET DE SOUDURE'!$O$7:$O$3006,0)),""))</f>
        <v>JN°839</v>
      </c>
      <c r="K161" s="82" t="str">
        <f aca="false">IF(B161="","",IFERROR(INDEX('CARNET DE SOUDURE'!$E$7:$E$3006,MATCH(B161,'CARNET DE SOUDURE'!$L$7:$L$3006,0)),""))</f>
        <v>DJ°420</v>
      </c>
      <c r="L161" s="82" t="n">
        <f aca="false">IF(B161="","",IFERROR(INDEX('CARNET DE SOUDURE'!$D$7:$D$3006,MATCH(B161,'CARNET DE SOUDURE'!$L$7:$L$3006,0)),IFERROR(INDEX('CARNET DE SOUDURE'!$D$7:$D$3006,MATCH(B161,'CARNET DE SOUDURE'!$O$7:$O$3006,0)),"")))</f>
        <v>6</v>
      </c>
      <c r="M161" s="82" t="str">
        <f aca="false">IF(B161="","",IF(OR(J161&lt;&gt;"",K161&lt;&gt;""),"POSÉ EN LIGNE",IF(COUNTIF(BARDAGE!$C$1:$C$5000,B161)&gt;0,"BARDÉ","EN STOCK")))</f>
        <v>POSÉ EN LIGNE</v>
      </c>
      <c r="N161" s="80"/>
    </row>
    <row r="162" customFormat="false" ht="15" hidden="false" customHeight="false" outlineLevel="0" collapsed="false">
      <c r="A162" s="82" t="n">
        <f aca="false">IF(B162="","",ROW()-6)</f>
        <v>156</v>
      </c>
      <c r="B162" s="145" t="n">
        <v>2098570</v>
      </c>
      <c r="C162" s="146" t="n">
        <v>15421112</v>
      </c>
      <c r="D162" s="146"/>
      <c r="E162" s="82" t="str">
        <f aca="false">IF(B162="","",IF(COUNTIFS('CARNET DE SOUDURE'!$L$7:$L$3006,B162,'CARNET DE SOUDURE'!$M$7:$M$3006,"&lt;&gt;"&amp;C162,'CARNET DE SOUDURE'!$M$7:$M$3006,"&lt;&gt;")+COUNTIFS('CARNET DE SOUDURE'!$O$7:$O$3006,B162,'CARNET DE SOUDURE'!$P$7:$P$3006,"&lt;&gt;"&amp;C162,'CARNET DE SOUDURE'!$P$7:$P$3006,"&lt;&gt;")&gt;0,"⚠ DIFFÉRENTE","OK"))</f>
        <v>OK</v>
      </c>
      <c r="F162" s="147" t="n">
        <v>11.94</v>
      </c>
      <c r="G162" s="80"/>
      <c r="H162" s="83"/>
      <c r="I162" s="148" t="str">
        <f aca="false">IF(B162="","",IFERROR(INDEX('CARNET DE SOUDURE'!$B$7:$B$3006,MATCH(B162,'CARNET DE SOUDURE'!$L$7:$L$3006,0)),IFERROR(INDEX('CARNET DE SOUDURE'!$B$7:$B$3006,MATCH(B162,'CARNET DE SOUDURE'!$O$7:$O$3006,0)),"")))</f>
        <v>MFD-ISW → MFD-CPF</v>
      </c>
      <c r="J162" s="82" t="str">
        <f aca="false">IF(B162="","",IFERROR(INDEX('CARNET DE SOUDURE'!$E$7:$E$3006,MATCH(B162,'CARNET DE SOUDURE'!$O$7:$O$3006,0)),""))</f>
        <v>DJ°420</v>
      </c>
      <c r="K162" s="82" t="str">
        <f aca="false">IF(B162="","",IFERROR(INDEX('CARNET DE SOUDURE'!$E$7:$E$3006,MATCH(B162,'CARNET DE SOUDURE'!$L$7:$L$3006,0)),""))</f>
        <v>JN°840</v>
      </c>
      <c r="L162" s="82" t="n">
        <f aca="false">IF(B162="","",IFERROR(INDEX('CARNET DE SOUDURE'!$D$7:$D$3006,MATCH(B162,'CARNET DE SOUDURE'!$L$7:$L$3006,0)),IFERROR(INDEX('CARNET DE SOUDURE'!$D$7:$D$3006,MATCH(B162,'CARNET DE SOUDURE'!$O$7:$O$3006,0)),"")))</f>
        <v>6</v>
      </c>
      <c r="M162" s="82" t="str">
        <f aca="false">IF(B162="","",IF(OR(J162&lt;&gt;"",K162&lt;&gt;""),"POSÉ EN LIGNE",IF(COUNTIF(BARDAGE!$C$1:$C$5000,B162)&gt;0,"BARDÉ","EN STOCK")))</f>
        <v>POSÉ EN LIGNE</v>
      </c>
      <c r="N162" s="80"/>
    </row>
    <row r="163" customFormat="false" ht="15" hidden="false" customHeight="false" outlineLevel="0" collapsed="false">
      <c r="A163" s="82" t="n">
        <f aca="false">IF(B163="","",ROW()-6)</f>
        <v>157</v>
      </c>
      <c r="B163" s="145" t="n">
        <v>2084460</v>
      </c>
      <c r="C163" s="146" t="n">
        <v>15421106</v>
      </c>
      <c r="D163" s="146"/>
      <c r="E163" s="82" t="str">
        <f aca="false">IF(B163="","",IF(COUNTIFS('CARNET DE SOUDURE'!$L$7:$L$3006,B163,'CARNET DE SOUDURE'!$M$7:$M$3006,"&lt;&gt;"&amp;C163,'CARNET DE SOUDURE'!$M$7:$M$3006,"&lt;&gt;")+COUNTIFS('CARNET DE SOUDURE'!$O$7:$O$3006,B163,'CARNET DE SOUDURE'!$P$7:$P$3006,"&lt;&gt;"&amp;C163,'CARNET DE SOUDURE'!$P$7:$P$3006,"&lt;&gt;")&gt;0,"⚠ DIFFÉRENTE","OK"))</f>
        <v>OK</v>
      </c>
      <c r="F163" s="147" t="n">
        <v>11.94</v>
      </c>
      <c r="G163" s="80"/>
      <c r="H163" s="83"/>
      <c r="I163" s="148" t="str">
        <f aca="false">IF(B163="","",IFERROR(INDEX('CARNET DE SOUDURE'!$B$7:$B$3006,MATCH(B163,'CARNET DE SOUDURE'!$L$7:$L$3006,0)),IFERROR(INDEX('CARNET DE SOUDURE'!$B$7:$B$3006,MATCH(B163,'CARNET DE SOUDURE'!$O$7:$O$3006,0)),"")))</f>
        <v>MFD-ISW → MFD-CPF</v>
      </c>
      <c r="J163" s="82" t="str">
        <f aca="false">IF(B163="","",IFERROR(INDEX('CARNET DE SOUDURE'!$E$7:$E$3006,MATCH(B163,'CARNET DE SOUDURE'!$O$7:$O$3006,0)),""))</f>
        <v>JN°840</v>
      </c>
      <c r="K163" s="82" t="str">
        <f aca="false">IF(B163="","",IFERROR(INDEX('CARNET DE SOUDURE'!$E$7:$E$3006,MATCH(B163,'CARNET DE SOUDURE'!$L$7:$L$3006,0)),""))</f>
        <v>DJ°433</v>
      </c>
      <c r="L163" s="82" t="n">
        <f aca="false">IF(B163="","",IFERROR(INDEX('CARNET DE SOUDURE'!$D$7:$D$3006,MATCH(B163,'CARNET DE SOUDURE'!$L$7:$L$3006,0)),IFERROR(INDEX('CARNET DE SOUDURE'!$D$7:$D$3006,MATCH(B163,'CARNET DE SOUDURE'!$O$7:$O$3006,0)),"")))</f>
        <v>6</v>
      </c>
      <c r="M163" s="82" t="str">
        <f aca="false">IF(B163="","",IF(OR(J163&lt;&gt;"",K163&lt;&gt;""),"POSÉ EN LIGNE",IF(COUNTIF(BARDAGE!$C$1:$C$5000,B163)&gt;0,"BARDÉ","EN STOCK")))</f>
        <v>POSÉ EN LIGNE</v>
      </c>
      <c r="N163" s="80"/>
    </row>
    <row r="164" customFormat="false" ht="15" hidden="false" customHeight="false" outlineLevel="0" collapsed="false">
      <c r="A164" s="82" t="n">
        <f aca="false">IF(B164="","",ROW()-6)</f>
        <v>158</v>
      </c>
      <c r="B164" s="145" t="n">
        <v>2080300</v>
      </c>
      <c r="C164" s="146" t="n">
        <v>15421107</v>
      </c>
      <c r="D164" s="146"/>
      <c r="E164" s="82" t="str">
        <f aca="false">IF(B164="","",IF(COUNTIFS('CARNET DE SOUDURE'!$L$7:$L$3006,B164,'CARNET DE SOUDURE'!$M$7:$M$3006,"&lt;&gt;"&amp;C164,'CARNET DE SOUDURE'!$M$7:$M$3006,"&lt;&gt;")+COUNTIFS('CARNET DE SOUDURE'!$O$7:$O$3006,B164,'CARNET DE SOUDURE'!$P$7:$P$3006,"&lt;&gt;"&amp;C164,'CARNET DE SOUDURE'!$P$7:$P$3006,"&lt;&gt;")&gt;0,"⚠ DIFFÉRENTE","OK"))</f>
        <v>OK</v>
      </c>
      <c r="F164" s="147" t="n">
        <v>11.94</v>
      </c>
      <c r="G164" s="80"/>
      <c r="H164" s="83"/>
      <c r="I164" s="148" t="str">
        <f aca="false">IF(B164="","",IFERROR(INDEX('CARNET DE SOUDURE'!$B$7:$B$3006,MATCH(B164,'CARNET DE SOUDURE'!$L$7:$L$3006,0)),IFERROR(INDEX('CARNET DE SOUDURE'!$B$7:$B$3006,MATCH(B164,'CARNET DE SOUDURE'!$O$7:$O$3006,0)),"")))</f>
        <v>MFD-ISW → MFD-CPF</v>
      </c>
      <c r="J164" s="82" t="str">
        <f aca="false">IF(B164="","",IFERROR(INDEX('CARNET DE SOUDURE'!$E$7:$E$3006,MATCH(B164,'CARNET DE SOUDURE'!$O$7:$O$3006,0)),""))</f>
        <v>DJ°433</v>
      </c>
      <c r="K164" s="82" t="str">
        <f aca="false">IF(B164="","",IFERROR(INDEX('CARNET DE SOUDURE'!$E$7:$E$3006,MATCH(B164,'CARNET DE SOUDURE'!$L$7:$L$3006,0)),""))</f>
        <v>JN°841</v>
      </c>
      <c r="L164" s="82" t="n">
        <f aca="false">IF(B164="","",IFERROR(INDEX('CARNET DE SOUDURE'!$D$7:$D$3006,MATCH(B164,'CARNET DE SOUDURE'!$L$7:$L$3006,0)),IFERROR(INDEX('CARNET DE SOUDURE'!$D$7:$D$3006,MATCH(B164,'CARNET DE SOUDURE'!$O$7:$O$3006,0)),"")))</f>
        <v>6</v>
      </c>
      <c r="M164" s="82" t="str">
        <f aca="false">IF(B164="","",IF(OR(J164&lt;&gt;"",K164&lt;&gt;""),"POSÉ EN LIGNE",IF(COUNTIF(BARDAGE!$C$1:$C$5000,B164)&gt;0,"BARDÉ","EN STOCK")))</f>
        <v>POSÉ EN LIGNE</v>
      </c>
      <c r="N164" s="80"/>
    </row>
    <row r="165" customFormat="false" ht="15" hidden="false" customHeight="false" outlineLevel="0" collapsed="false">
      <c r="A165" s="82" t="n">
        <f aca="false">IF(B165="","",ROW()-6)</f>
        <v>159</v>
      </c>
      <c r="B165" s="145" t="n">
        <v>2086320</v>
      </c>
      <c r="C165" s="146" t="n">
        <v>15421107</v>
      </c>
      <c r="D165" s="146"/>
      <c r="E165" s="82" t="str">
        <f aca="false">IF(B165="","",IF(COUNTIFS('CARNET DE SOUDURE'!$L$7:$L$3006,B165,'CARNET DE SOUDURE'!$M$7:$M$3006,"&lt;&gt;"&amp;C165,'CARNET DE SOUDURE'!$M$7:$M$3006,"&lt;&gt;")+COUNTIFS('CARNET DE SOUDURE'!$O$7:$O$3006,B165,'CARNET DE SOUDURE'!$P$7:$P$3006,"&lt;&gt;"&amp;C165,'CARNET DE SOUDURE'!$P$7:$P$3006,"&lt;&gt;")&gt;0,"⚠ DIFFÉRENTE","OK"))</f>
        <v>OK</v>
      </c>
      <c r="F165" s="147" t="n">
        <v>11.94</v>
      </c>
      <c r="G165" s="80"/>
      <c r="H165" s="83"/>
      <c r="I165" s="148" t="str">
        <f aca="false">IF(B165="","",IFERROR(INDEX('CARNET DE SOUDURE'!$B$7:$B$3006,MATCH(B165,'CARNET DE SOUDURE'!$L$7:$L$3006,0)),IFERROR(INDEX('CARNET DE SOUDURE'!$B$7:$B$3006,MATCH(B165,'CARNET DE SOUDURE'!$O$7:$O$3006,0)),"")))</f>
        <v>MFD-ISW → MFD-CPF</v>
      </c>
      <c r="J165" s="82" t="str">
        <f aca="false">IF(B165="","",IFERROR(INDEX('CARNET DE SOUDURE'!$E$7:$E$3006,MATCH(B165,'CARNET DE SOUDURE'!$O$7:$O$3006,0)),""))</f>
        <v>JN°841</v>
      </c>
      <c r="K165" s="82" t="str">
        <f aca="false">IF(B165="","",IFERROR(INDEX('CARNET DE SOUDURE'!$E$7:$E$3006,MATCH(B165,'CARNET DE SOUDURE'!$L$7:$L$3006,0)),""))</f>
        <v>DJ°422</v>
      </c>
      <c r="L165" s="82" t="n">
        <f aca="false">IF(B165="","",IFERROR(INDEX('CARNET DE SOUDURE'!$D$7:$D$3006,MATCH(B165,'CARNET DE SOUDURE'!$L$7:$L$3006,0)),IFERROR(INDEX('CARNET DE SOUDURE'!$D$7:$D$3006,MATCH(B165,'CARNET DE SOUDURE'!$O$7:$O$3006,0)),"")))</f>
        <v>6</v>
      </c>
      <c r="M165" s="82" t="str">
        <f aca="false">IF(B165="","",IF(OR(J165&lt;&gt;"",K165&lt;&gt;""),"POSÉ EN LIGNE",IF(COUNTIF(BARDAGE!$C$1:$C$5000,B165)&gt;0,"BARDÉ","EN STOCK")))</f>
        <v>POSÉ EN LIGNE</v>
      </c>
      <c r="N165" s="80"/>
    </row>
    <row r="166" customFormat="false" ht="15" hidden="false" customHeight="false" outlineLevel="0" collapsed="false">
      <c r="A166" s="82" t="n">
        <f aca="false">IF(B166="","",ROW()-6)</f>
        <v>160</v>
      </c>
      <c r="B166" s="145" t="n">
        <v>2080520</v>
      </c>
      <c r="C166" s="146" t="n">
        <v>15421103</v>
      </c>
      <c r="D166" s="146"/>
      <c r="E166" s="82" t="str">
        <f aca="false">IF(B166="","",IF(COUNTIFS('CARNET DE SOUDURE'!$L$7:$L$3006,B166,'CARNET DE SOUDURE'!$M$7:$M$3006,"&lt;&gt;"&amp;C166,'CARNET DE SOUDURE'!$M$7:$M$3006,"&lt;&gt;")+COUNTIFS('CARNET DE SOUDURE'!$O$7:$O$3006,B166,'CARNET DE SOUDURE'!$P$7:$P$3006,"&lt;&gt;"&amp;C166,'CARNET DE SOUDURE'!$P$7:$P$3006,"&lt;&gt;")&gt;0,"⚠ DIFFÉRENTE","OK"))</f>
        <v>OK</v>
      </c>
      <c r="F166" s="147" t="n">
        <v>11.94</v>
      </c>
      <c r="G166" s="80"/>
      <c r="H166" s="83"/>
      <c r="I166" s="148" t="str">
        <f aca="false">IF(B166="","",IFERROR(INDEX('CARNET DE SOUDURE'!$B$7:$B$3006,MATCH(B166,'CARNET DE SOUDURE'!$L$7:$L$3006,0)),IFERROR(INDEX('CARNET DE SOUDURE'!$B$7:$B$3006,MATCH(B166,'CARNET DE SOUDURE'!$O$7:$O$3006,0)),"")))</f>
        <v>MFD-ISW → MFD-CPF</v>
      </c>
      <c r="J166" s="82" t="str">
        <f aca="false">IF(B166="","",IFERROR(INDEX('CARNET DE SOUDURE'!$E$7:$E$3006,MATCH(B166,'CARNET DE SOUDURE'!$O$7:$O$3006,0)),""))</f>
        <v>DJ°422</v>
      </c>
      <c r="K166" s="82" t="str">
        <f aca="false">IF(B166="","",IFERROR(INDEX('CARNET DE SOUDURE'!$E$7:$E$3006,MATCH(B166,'CARNET DE SOUDURE'!$L$7:$L$3006,0)),""))</f>
        <v>JN°842</v>
      </c>
      <c r="L166" s="82" t="n">
        <f aca="false">IF(B166="","",IFERROR(INDEX('CARNET DE SOUDURE'!$D$7:$D$3006,MATCH(B166,'CARNET DE SOUDURE'!$L$7:$L$3006,0)),IFERROR(INDEX('CARNET DE SOUDURE'!$D$7:$D$3006,MATCH(B166,'CARNET DE SOUDURE'!$O$7:$O$3006,0)),"")))</f>
        <v>6</v>
      </c>
      <c r="M166" s="82" t="str">
        <f aca="false">IF(B166="","",IF(OR(J166&lt;&gt;"",K166&lt;&gt;""),"POSÉ EN LIGNE",IF(COUNTIF(BARDAGE!$C$1:$C$5000,B166)&gt;0,"BARDÉ","EN STOCK")))</f>
        <v>POSÉ EN LIGNE</v>
      </c>
      <c r="N166" s="80"/>
    </row>
    <row r="167" customFormat="false" ht="15" hidden="false" customHeight="false" outlineLevel="0" collapsed="false">
      <c r="A167" s="82" t="n">
        <f aca="false">IF(B167="","",ROW()-6)</f>
        <v>161</v>
      </c>
      <c r="B167" s="145" t="n">
        <v>2084740</v>
      </c>
      <c r="C167" s="146" t="n">
        <v>15421106</v>
      </c>
      <c r="D167" s="146"/>
      <c r="E167" s="82" t="str">
        <f aca="false">IF(B167="","",IF(COUNTIFS('CARNET DE SOUDURE'!$L$7:$L$3006,B167,'CARNET DE SOUDURE'!$M$7:$M$3006,"&lt;&gt;"&amp;C167,'CARNET DE SOUDURE'!$M$7:$M$3006,"&lt;&gt;")+COUNTIFS('CARNET DE SOUDURE'!$O$7:$O$3006,B167,'CARNET DE SOUDURE'!$P$7:$P$3006,"&lt;&gt;"&amp;C167,'CARNET DE SOUDURE'!$P$7:$P$3006,"&lt;&gt;")&gt;0,"⚠ DIFFÉRENTE","OK"))</f>
        <v>OK</v>
      </c>
      <c r="F167" s="147" t="n">
        <v>11.94</v>
      </c>
      <c r="G167" s="80"/>
      <c r="H167" s="83"/>
      <c r="I167" s="148" t="str">
        <f aca="false">IF(B167="","",IFERROR(INDEX('CARNET DE SOUDURE'!$B$7:$B$3006,MATCH(B167,'CARNET DE SOUDURE'!$L$7:$L$3006,0)),IFERROR(INDEX('CARNET DE SOUDURE'!$B$7:$B$3006,MATCH(B167,'CARNET DE SOUDURE'!$O$7:$O$3006,0)),"")))</f>
        <v>MFD-ISW → MFD-CPF</v>
      </c>
      <c r="J167" s="82" t="str">
        <f aca="false">IF(B167="","",IFERROR(INDEX('CARNET DE SOUDURE'!$E$7:$E$3006,MATCH(B167,'CARNET DE SOUDURE'!$O$7:$O$3006,0)),""))</f>
        <v>JN°842</v>
      </c>
      <c r="K167" s="82" t="str">
        <f aca="false">IF(B167="","",IFERROR(INDEX('CARNET DE SOUDURE'!$E$7:$E$3006,MATCH(B167,'CARNET DE SOUDURE'!$L$7:$L$3006,0)),""))</f>
        <v>DJ°442</v>
      </c>
      <c r="L167" s="82" t="n">
        <f aca="false">IF(B167="","",IFERROR(INDEX('CARNET DE SOUDURE'!$D$7:$D$3006,MATCH(B167,'CARNET DE SOUDURE'!$L$7:$L$3006,0)),IFERROR(INDEX('CARNET DE SOUDURE'!$D$7:$D$3006,MATCH(B167,'CARNET DE SOUDURE'!$O$7:$O$3006,0)),"")))</f>
        <v>6</v>
      </c>
      <c r="M167" s="82" t="str">
        <f aca="false">IF(B167="","",IF(OR(J167&lt;&gt;"",K167&lt;&gt;""),"POSÉ EN LIGNE",IF(COUNTIF(BARDAGE!$C$1:$C$5000,B167)&gt;0,"BARDÉ","EN STOCK")))</f>
        <v>POSÉ EN LIGNE</v>
      </c>
      <c r="N167" s="80"/>
    </row>
    <row r="168" customFormat="false" ht="15" hidden="false" customHeight="false" outlineLevel="0" collapsed="false">
      <c r="A168" s="82" t="n">
        <f aca="false">IF(B168="","",ROW()-6)</f>
        <v>162</v>
      </c>
      <c r="B168" s="145" t="n">
        <v>2078640</v>
      </c>
      <c r="C168" s="146" t="n">
        <v>15421101</v>
      </c>
      <c r="D168" s="146"/>
      <c r="E168" s="82" t="str">
        <f aca="false">IF(B168="","",IF(COUNTIFS('CARNET DE SOUDURE'!$L$7:$L$3006,B168,'CARNET DE SOUDURE'!$M$7:$M$3006,"&lt;&gt;"&amp;C168,'CARNET DE SOUDURE'!$M$7:$M$3006,"&lt;&gt;")+COUNTIFS('CARNET DE SOUDURE'!$O$7:$O$3006,B168,'CARNET DE SOUDURE'!$P$7:$P$3006,"&lt;&gt;"&amp;C168,'CARNET DE SOUDURE'!$P$7:$P$3006,"&lt;&gt;")&gt;0,"⚠ DIFFÉRENTE","OK"))</f>
        <v>OK</v>
      </c>
      <c r="F168" s="147" t="n">
        <v>11.94</v>
      </c>
      <c r="G168" s="80"/>
      <c r="H168" s="83"/>
      <c r="I168" s="148" t="str">
        <f aca="false">IF(B168="","",IFERROR(INDEX('CARNET DE SOUDURE'!$B$7:$B$3006,MATCH(B168,'CARNET DE SOUDURE'!$L$7:$L$3006,0)),IFERROR(INDEX('CARNET DE SOUDURE'!$B$7:$B$3006,MATCH(B168,'CARNET DE SOUDURE'!$O$7:$O$3006,0)),"")))</f>
        <v>MFD-ISW → MFD-CPF</v>
      </c>
      <c r="J168" s="82" t="str">
        <f aca="false">IF(B168="","",IFERROR(INDEX('CARNET DE SOUDURE'!$E$7:$E$3006,MATCH(B168,'CARNET DE SOUDURE'!$O$7:$O$3006,0)),""))</f>
        <v>DJ°442</v>
      </c>
      <c r="K168" s="82" t="str">
        <f aca="false">IF(B168="","",IFERROR(INDEX('CARNET DE SOUDURE'!$E$7:$E$3006,MATCH(B168,'CARNET DE SOUDURE'!$L$7:$L$3006,0)),""))</f>
        <v>JN°843</v>
      </c>
      <c r="L168" s="82" t="n">
        <f aca="false">IF(B168="","",IFERROR(INDEX('CARNET DE SOUDURE'!$D$7:$D$3006,MATCH(B168,'CARNET DE SOUDURE'!$L$7:$L$3006,0)),IFERROR(INDEX('CARNET DE SOUDURE'!$D$7:$D$3006,MATCH(B168,'CARNET DE SOUDURE'!$O$7:$O$3006,0)),"")))</f>
        <v>6</v>
      </c>
      <c r="M168" s="82" t="str">
        <f aca="false">IF(B168="","",IF(OR(J168&lt;&gt;"",K168&lt;&gt;""),"POSÉ EN LIGNE",IF(COUNTIF(BARDAGE!$C$1:$C$5000,B168)&gt;0,"BARDÉ","EN STOCK")))</f>
        <v>POSÉ EN LIGNE</v>
      </c>
      <c r="N168" s="80"/>
    </row>
    <row r="169" customFormat="false" ht="15" hidden="false" customHeight="false" outlineLevel="0" collapsed="false">
      <c r="A169" s="82" t="n">
        <f aca="false">IF(B169="","",ROW()-6)</f>
        <v>163</v>
      </c>
      <c r="B169" s="145" t="n">
        <v>2098580</v>
      </c>
      <c r="C169" s="146" t="n">
        <v>15421112</v>
      </c>
      <c r="D169" s="146"/>
      <c r="E169" s="82" t="str">
        <f aca="false">IF(B169="","",IF(COUNTIFS('CARNET DE SOUDURE'!$L$7:$L$3006,B169,'CARNET DE SOUDURE'!$M$7:$M$3006,"&lt;&gt;"&amp;C169,'CARNET DE SOUDURE'!$M$7:$M$3006,"&lt;&gt;")+COUNTIFS('CARNET DE SOUDURE'!$O$7:$O$3006,B169,'CARNET DE SOUDURE'!$P$7:$P$3006,"&lt;&gt;"&amp;C169,'CARNET DE SOUDURE'!$P$7:$P$3006,"&lt;&gt;")&gt;0,"⚠ DIFFÉRENTE","OK"))</f>
        <v>OK</v>
      </c>
      <c r="F169" s="147" t="n">
        <v>11.94</v>
      </c>
      <c r="G169" s="80"/>
      <c r="H169" s="83"/>
      <c r="I169" s="148" t="str">
        <f aca="false">IF(B169="","",IFERROR(INDEX('CARNET DE SOUDURE'!$B$7:$B$3006,MATCH(B169,'CARNET DE SOUDURE'!$L$7:$L$3006,0)),IFERROR(INDEX('CARNET DE SOUDURE'!$B$7:$B$3006,MATCH(B169,'CARNET DE SOUDURE'!$O$7:$O$3006,0)),"")))</f>
        <v>MFD-ISW → MFD-CPF</v>
      </c>
      <c r="J169" s="82" t="str">
        <f aca="false">IF(B169="","",IFERROR(INDEX('CARNET DE SOUDURE'!$E$7:$E$3006,MATCH(B169,'CARNET DE SOUDURE'!$O$7:$O$3006,0)),""))</f>
        <v>JN°843</v>
      </c>
      <c r="K169" s="82" t="str">
        <f aca="false">IF(B169="","",IFERROR(INDEX('CARNET DE SOUDURE'!$E$7:$E$3006,MATCH(B169,'CARNET DE SOUDURE'!$L$7:$L$3006,0)),""))</f>
        <v>DJ°421</v>
      </c>
      <c r="L169" s="82" t="n">
        <f aca="false">IF(B169="","",IFERROR(INDEX('CARNET DE SOUDURE'!$D$7:$D$3006,MATCH(B169,'CARNET DE SOUDURE'!$L$7:$L$3006,0)),IFERROR(INDEX('CARNET DE SOUDURE'!$D$7:$D$3006,MATCH(B169,'CARNET DE SOUDURE'!$O$7:$O$3006,0)),"")))</f>
        <v>6</v>
      </c>
      <c r="M169" s="82" t="str">
        <f aca="false">IF(B169="","",IF(OR(J169&lt;&gt;"",K169&lt;&gt;""),"POSÉ EN LIGNE",IF(COUNTIF(BARDAGE!$C$1:$C$5000,B169)&gt;0,"BARDÉ","EN STOCK")))</f>
        <v>POSÉ EN LIGNE</v>
      </c>
      <c r="N169" s="80"/>
    </row>
    <row r="170" customFormat="false" ht="15" hidden="false" customHeight="false" outlineLevel="0" collapsed="false">
      <c r="A170" s="82" t="n">
        <f aca="false">IF(B170="","",ROW()-6)</f>
        <v>164</v>
      </c>
      <c r="B170" s="145" t="n">
        <v>2086110</v>
      </c>
      <c r="C170" s="146" t="n">
        <v>15421107</v>
      </c>
      <c r="D170" s="146"/>
      <c r="E170" s="82" t="str">
        <f aca="false">IF(B170="","",IF(COUNTIFS('CARNET DE SOUDURE'!$L$7:$L$3006,B170,'CARNET DE SOUDURE'!$M$7:$M$3006,"&lt;&gt;"&amp;C170,'CARNET DE SOUDURE'!$M$7:$M$3006,"&lt;&gt;")+COUNTIFS('CARNET DE SOUDURE'!$O$7:$O$3006,B170,'CARNET DE SOUDURE'!$P$7:$P$3006,"&lt;&gt;"&amp;C170,'CARNET DE SOUDURE'!$P$7:$P$3006,"&lt;&gt;")&gt;0,"⚠ DIFFÉRENTE","OK"))</f>
        <v>OK</v>
      </c>
      <c r="F170" s="147" t="n">
        <v>11.94</v>
      </c>
      <c r="G170" s="80"/>
      <c r="H170" s="83"/>
      <c r="I170" s="148" t="str">
        <f aca="false">IF(B170="","",IFERROR(INDEX('CARNET DE SOUDURE'!$B$7:$B$3006,MATCH(B170,'CARNET DE SOUDURE'!$L$7:$L$3006,0)),IFERROR(INDEX('CARNET DE SOUDURE'!$B$7:$B$3006,MATCH(B170,'CARNET DE SOUDURE'!$O$7:$O$3006,0)),"")))</f>
        <v>MFD-ISW → MFD-CPF</v>
      </c>
      <c r="J170" s="82" t="str">
        <f aca="false">IF(B170="","",IFERROR(INDEX('CARNET DE SOUDURE'!$E$7:$E$3006,MATCH(B170,'CARNET DE SOUDURE'!$O$7:$O$3006,0)),""))</f>
        <v>DJ°421</v>
      </c>
      <c r="K170" s="82" t="str">
        <f aca="false">IF(B170="","",IFERROR(INDEX('CARNET DE SOUDURE'!$E$7:$E$3006,MATCH(B170,'CARNET DE SOUDURE'!$L$7:$L$3006,0)),""))</f>
        <v>JN°844</v>
      </c>
      <c r="L170" s="82" t="n">
        <f aca="false">IF(B170="","",IFERROR(INDEX('CARNET DE SOUDURE'!$D$7:$D$3006,MATCH(B170,'CARNET DE SOUDURE'!$L$7:$L$3006,0)),IFERROR(INDEX('CARNET DE SOUDURE'!$D$7:$D$3006,MATCH(B170,'CARNET DE SOUDURE'!$O$7:$O$3006,0)),"")))</f>
        <v>6</v>
      </c>
      <c r="M170" s="82" t="str">
        <f aca="false">IF(B170="","",IF(OR(J170&lt;&gt;"",K170&lt;&gt;""),"POSÉ EN LIGNE",IF(COUNTIF(BARDAGE!$C$1:$C$5000,B170)&gt;0,"BARDÉ","EN STOCK")))</f>
        <v>POSÉ EN LIGNE</v>
      </c>
      <c r="N170" s="80"/>
    </row>
    <row r="171" customFormat="false" ht="15" hidden="false" customHeight="false" outlineLevel="0" collapsed="false">
      <c r="A171" s="82" t="n">
        <f aca="false">IF(B171="","",ROW()-6)</f>
        <v>165</v>
      </c>
      <c r="B171" s="145" t="n">
        <v>2092440</v>
      </c>
      <c r="C171" s="146" t="n">
        <v>15421110</v>
      </c>
      <c r="D171" s="146"/>
      <c r="E171" s="82" t="str">
        <f aca="false">IF(B171="","",IF(COUNTIFS('CARNET DE SOUDURE'!$L$7:$L$3006,B171,'CARNET DE SOUDURE'!$M$7:$M$3006,"&lt;&gt;"&amp;C171,'CARNET DE SOUDURE'!$M$7:$M$3006,"&lt;&gt;")+COUNTIFS('CARNET DE SOUDURE'!$O$7:$O$3006,B171,'CARNET DE SOUDURE'!$P$7:$P$3006,"&lt;&gt;"&amp;C171,'CARNET DE SOUDURE'!$P$7:$P$3006,"&lt;&gt;")&gt;0,"⚠ DIFFÉRENTE","OK"))</f>
        <v>OK</v>
      </c>
      <c r="F171" s="147" t="n">
        <v>11.94</v>
      </c>
      <c r="G171" s="80"/>
      <c r="H171" s="83"/>
      <c r="I171" s="148" t="str">
        <f aca="false">IF(B171="","",IFERROR(INDEX('CARNET DE SOUDURE'!$B$7:$B$3006,MATCH(B171,'CARNET DE SOUDURE'!$L$7:$L$3006,0)),IFERROR(INDEX('CARNET DE SOUDURE'!$B$7:$B$3006,MATCH(B171,'CARNET DE SOUDURE'!$O$7:$O$3006,0)),"")))</f>
        <v>MFD-ISW → MFD-CPF</v>
      </c>
      <c r="J171" s="82" t="str">
        <f aca="false">IF(B171="","",IFERROR(INDEX('CARNET DE SOUDURE'!$E$7:$E$3006,MATCH(B171,'CARNET DE SOUDURE'!$O$7:$O$3006,0)),""))</f>
        <v>JN°844</v>
      </c>
      <c r="K171" s="82" t="str">
        <f aca="false">IF(B171="","",IFERROR(INDEX('CARNET DE SOUDURE'!$E$7:$E$3006,MATCH(B171,'CARNET DE SOUDURE'!$L$7:$L$3006,0)),""))</f>
        <v>DJ°408</v>
      </c>
      <c r="L171" s="82" t="n">
        <f aca="false">IF(B171="","",IFERROR(INDEX('CARNET DE SOUDURE'!$D$7:$D$3006,MATCH(B171,'CARNET DE SOUDURE'!$L$7:$L$3006,0)),IFERROR(INDEX('CARNET DE SOUDURE'!$D$7:$D$3006,MATCH(B171,'CARNET DE SOUDURE'!$O$7:$O$3006,0)),"")))</f>
        <v>6</v>
      </c>
      <c r="M171" s="82" t="str">
        <f aca="false">IF(B171="","",IF(OR(J171&lt;&gt;"",K171&lt;&gt;""),"POSÉ EN LIGNE",IF(COUNTIF(BARDAGE!$C$1:$C$5000,B171)&gt;0,"BARDÉ","EN STOCK")))</f>
        <v>POSÉ EN LIGNE</v>
      </c>
      <c r="N171" s="80"/>
    </row>
    <row r="172" customFormat="false" ht="15" hidden="false" customHeight="false" outlineLevel="0" collapsed="false">
      <c r="A172" s="82" t="n">
        <f aca="false">IF(B172="","",ROW()-6)</f>
        <v>166</v>
      </c>
      <c r="B172" s="145" t="n">
        <v>2085890</v>
      </c>
      <c r="C172" s="146" t="n">
        <v>15421107</v>
      </c>
      <c r="D172" s="146"/>
      <c r="E172" s="82" t="str">
        <f aca="false">IF(B172="","",IF(COUNTIFS('CARNET DE SOUDURE'!$L$7:$L$3006,B172,'CARNET DE SOUDURE'!$M$7:$M$3006,"&lt;&gt;"&amp;C172,'CARNET DE SOUDURE'!$M$7:$M$3006,"&lt;&gt;")+COUNTIFS('CARNET DE SOUDURE'!$O$7:$O$3006,B172,'CARNET DE SOUDURE'!$P$7:$P$3006,"&lt;&gt;"&amp;C172,'CARNET DE SOUDURE'!$P$7:$P$3006,"&lt;&gt;")&gt;0,"⚠ DIFFÉRENTE","OK"))</f>
        <v>OK</v>
      </c>
      <c r="F172" s="147" t="n">
        <v>11.94</v>
      </c>
      <c r="G172" s="80"/>
      <c r="H172" s="83"/>
      <c r="I172" s="148" t="str">
        <f aca="false">IF(B172="","",IFERROR(INDEX('CARNET DE SOUDURE'!$B$7:$B$3006,MATCH(B172,'CARNET DE SOUDURE'!$L$7:$L$3006,0)),IFERROR(INDEX('CARNET DE SOUDURE'!$B$7:$B$3006,MATCH(B172,'CARNET DE SOUDURE'!$O$7:$O$3006,0)),"")))</f>
        <v>MFD-ISW → MFD-CPF</v>
      </c>
      <c r="J172" s="82" t="str">
        <f aca="false">IF(B172="","",IFERROR(INDEX('CARNET DE SOUDURE'!$E$7:$E$3006,MATCH(B172,'CARNET DE SOUDURE'!$O$7:$O$3006,0)),""))</f>
        <v>DJ°408</v>
      </c>
      <c r="K172" s="82" t="str">
        <f aca="false">IF(B172="","",IFERROR(INDEX('CARNET DE SOUDURE'!$E$7:$E$3006,MATCH(B172,'CARNET DE SOUDURE'!$L$7:$L$3006,0)),""))</f>
        <v>JN°845</v>
      </c>
      <c r="L172" s="82" t="n">
        <f aca="false">IF(B172="","",IFERROR(INDEX('CARNET DE SOUDURE'!$D$7:$D$3006,MATCH(B172,'CARNET DE SOUDURE'!$L$7:$L$3006,0)),IFERROR(INDEX('CARNET DE SOUDURE'!$D$7:$D$3006,MATCH(B172,'CARNET DE SOUDURE'!$O$7:$O$3006,0)),"")))</f>
        <v>6</v>
      </c>
      <c r="M172" s="82" t="str">
        <f aca="false">IF(B172="","",IF(OR(J172&lt;&gt;"",K172&lt;&gt;""),"POSÉ EN LIGNE",IF(COUNTIF(BARDAGE!$C$1:$C$5000,B172)&gt;0,"BARDÉ","EN STOCK")))</f>
        <v>POSÉ EN LIGNE</v>
      </c>
      <c r="N172" s="80"/>
    </row>
    <row r="173" customFormat="false" ht="15" hidden="false" customHeight="false" outlineLevel="0" collapsed="false">
      <c r="A173" s="82" t="n">
        <f aca="false">IF(B173="","",ROW()-6)</f>
        <v>167</v>
      </c>
      <c r="B173" s="145" t="n">
        <v>2089560</v>
      </c>
      <c r="C173" s="146" t="n">
        <v>15421109</v>
      </c>
      <c r="D173" s="146"/>
      <c r="E173" s="82" t="str">
        <f aca="false">IF(B173="","",IF(COUNTIFS('CARNET DE SOUDURE'!$L$7:$L$3006,B173,'CARNET DE SOUDURE'!$M$7:$M$3006,"&lt;&gt;"&amp;C173,'CARNET DE SOUDURE'!$M$7:$M$3006,"&lt;&gt;")+COUNTIFS('CARNET DE SOUDURE'!$O$7:$O$3006,B173,'CARNET DE SOUDURE'!$P$7:$P$3006,"&lt;&gt;"&amp;C173,'CARNET DE SOUDURE'!$P$7:$P$3006,"&lt;&gt;")&gt;0,"⚠ DIFFÉRENTE","OK"))</f>
        <v>OK</v>
      </c>
      <c r="F173" s="147" t="n">
        <v>11.94</v>
      </c>
      <c r="G173" s="80"/>
      <c r="H173" s="83"/>
      <c r="I173" s="148" t="str">
        <f aca="false">IF(B173="","",IFERROR(INDEX('CARNET DE SOUDURE'!$B$7:$B$3006,MATCH(B173,'CARNET DE SOUDURE'!$L$7:$L$3006,0)),IFERROR(INDEX('CARNET DE SOUDURE'!$B$7:$B$3006,MATCH(B173,'CARNET DE SOUDURE'!$O$7:$O$3006,0)),"")))</f>
        <v>MFD-ISW → MFD-CPF</v>
      </c>
      <c r="J173" s="82" t="str">
        <f aca="false">IF(B173="","",IFERROR(INDEX('CARNET DE SOUDURE'!$E$7:$E$3006,MATCH(B173,'CARNET DE SOUDURE'!$O$7:$O$3006,0)),""))</f>
        <v>JN°845</v>
      </c>
      <c r="K173" s="82" t="str">
        <f aca="false">IF(B173="","",IFERROR(INDEX('CARNET DE SOUDURE'!$E$7:$E$3006,MATCH(B173,'CARNET DE SOUDURE'!$L$7:$L$3006,0)),""))</f>
        <v>DJ°409</v>
      </c>
      <c r="L173" s="82" t="n">
        <f aca="false">IF(B173="","",IFERROR(INDEX('CARNET DE SOUDURE'!$D$7:$D$3006,MATCH(B173,'CARNET DE SOUDURE'!$L$7:$L$3006,0)),IFERROR(INDEX('CARNET DE SOUDURE'!$D$7:$D$3006,MATCH(B173,'CARNET DE SOUDURE'!$O$7:$O$3006,0)),"")))</f>
        <v>6</v>
      </c>
      <c r="M173" s="82" t="str">
        <f aca="false">IF(B173="","",IF(OR(J173&lt;&gt;"",K173&lt;&gt;""),"POSÉ EN LIGNE",IF(COUNTIF(BARDAGE!$C$1:$C$5000,B173)&gt;0,"BARDÉ","EN STOCK")))</f>
        <v>POSÉ EN LIGNE</v>
      </c>
      <c r="N173" s="80"/>
    </row>
    <row r="174" customFormat="false" ht="15" hidden="false" customHeight="false" outlineLevel="0" collapsed="false">
      <c r="A174" s="82" t="n">
        <f aca="false">IF(B174="","",ROW()-6)</f>
        <v>168</v>
      </c>
      <c r="B174" s="145" t="n">
        <v>2088640</v>
      </c>
      <c r="C174" s="146" t="n">
        <v>15421108</v>
      </c>
      <c r="D174" s="146"/>
      <c r="E174" s="82" t="str">
        <f aca="false">IF(B174="","",IF(COUNTIFS('CARNET DE SOUDURE'!$L$7:$L$3006,B174,'CARNET DE SOUDURE'!$M$7:$M$3006,"&lt;&gt;"&amp;C174,'CARNET DE SOUDURE'!$M$7:$M$3006,"&lt;&gt;")+COUNTIFS('CARNET DE SOUDURE'!$O$7:$O$3006,B174,'CARNET DE SOUDURE'!$P$7:$P$3006,"&lt;&gt;"&amp;C174,'CARNET DE SOUDURE'!$P$7:$P$3006,"&lt;&gt;")&gt;0,"⚠ DIFFÉRENTE","OK"))</f>
        <v>OK</v>
      </c>
      <c r="F174" s="147" t="n">
        <v>11.94</v>
      </c>
      <c r="G174" s="80"/>
      <c r="H174" s="83"/>
      <c r="I174" s="148" t="str">
        <f aca="false">IF(B174="","",IFERROR(INDEX('CARNET DE SOUDURE'!$B$7:$B$3006,MATCH(B174,'CARNET DE SOUDURE'!$L$7:$L$3006,0)),IFERROR(INDEX('CARNET DE SOUDURE'!$B$7:$B$3006,MATCH(B174,'CARNET DE SOUDURE'!$O$7:$O$3006,0)),"")))</f>
        <v>MFD-ISW → MFD-CPF</v>
      </c>
      <c r="J174" s="82" t="str">
        <f aca="false">IF(B174="","",IFERROR(INDEX('CARNET DE SOUDURE'!$E$7:$E$3006,MATCH(B174,'CARNET DE SOUDURE'!$O$7:$O$3006,0)),""))</f>
        <v>DJ°409</v>
      </c>
      <c r="K174" s="82" t="str">
        <f aca="false">IF(B174="","",IFERROR(INDEX('CARNET DE SOUDURE'!$E$7:$E$3006,MATCH(B174,'CARNET DE SOUDURE'!$L$7:$L$3006,0)),""))</f>
        <v>JN°846</v>
      </c>
      <c r="L174" s="82" t="n">
        <f aca="false">IF(B174="","",IFERROR(INDEX('CARNET DE SOUDURE'!$D$7:$D$3006,MATCH(B174,'CARNET DE SOUDURE'!$L$7:$L$3006,0)),IFERROR(INDEX('CARNET DE SOUDURE'!$D$7:$D$3006,MATCH(B174,'CARNET DE SOUDURE'!$O$7:$O$3006,0)),"")))</f>
        <v>6</v>
      </c>
      <c r="M174" s="82" t="str">
        <f aca="false">IF(B174="","",IF(OR(J174&lt;&gt;"",K174&lt;&gt;""),"POSÉ EN LIGNE",IF(COUNTIF(BARDAGE!$C$1:$C$5000,B174)&gt;0,"BARDÉ","EN STOCK")))</f>
        <v>POSÉ EN LIGNE</v>
      </c>
      <c r="N174" s="80"/>
    </row>
    <row r="175" customFormat="false" ht="15" hidden="false" customHeight="false" outlineLevel="0" collapsed="false">
      <c r="A175" s="82" t="n">
        <f aca="false">IF(B175="","",ROW()-6)</f>
        <v>169</v>
      </c>
      <c r="B175" s="145" t="n">
        <v>2085720</v>
      </c>
      <c r="C175" s="146" t="n">
        <v>15421107</v>
      </c>
      <c r="D175" s="146"/>
      <c r="E175" s="82" t="str">
        <f aca="false">IF(B175="","",IF(COUNTIFS('CARNET DE SOUDURE'!$L$7:$L$3006,B175,'CARNET DE SOUDURE'!$M$7:$M$3006,"&lt;&gt;"&amp;C175,'CARNET DE SOUDURE'!$M$7:$M$3006,"&lt;&gt;")+COUNTIFS('CARNET DE SOUDURE'!$O$7:$O$3006,B175,'CARNET DE SOUDURE'!$P$7:$P$3006,"&lt;&gt;"&amp;C175,'CARNET DE SOUDURE'!$P$7:$P$3006,"&lt;&gt;")&gt;0,"⚠ DIFFÉRENTE","OK"))</f>
        <v>OK</v>
      </c>
      <c r="F175" s="147" t="n">
        <v>11.94</v>
      </c>
      <c r="G175" s="80"/>
      <c r="H175" s="83"/>
      <c r="I175" s="148" t="str">
        <f aca="false">IF(B175="","",IFERROR(INDEX('CARNET DE SOUDURE'!$B$7:$B$3006,MATCH(B175,'CARNET DE SOUDURE'!$L$7:$L$3006,0)),IFERROR(INDEX('CARNET DE SOUDURE'!$B$7:$B$3006,MATCH(B175,'CARNET DE SOUDURE'!$O$7:$O$3006,0)),"")))</f>
        <v>MFD-ISW → MFD-CPF</v>
      </c>
      <c r="J175" s="82" t="str">
        <f aca="false">IF(B175="","",IFERROR(INDEX('CARNET DE SOUDURE'!$E$7:$E$3006,MATCH(B175,'CARNET DE SOUDURE'!$O$7:$O$3006,0)),""))</f>
        <v>JN°846</v>
      </c>
      <c r="K175" s="82" t="str">
        <f aca="false">IF(B175="","",IFERROR(INDEX('CARNET DE SOUDURE'!$E$7:$E$3006,MATCH(B175,'CARNET DE SOUDURE'!$L$7:$L$3006,0)),""))</f>
        <v>DJ°436</v>
      </c>
      <c r="L175" s="82" t="n">
        <f aca="false">IF(B175="","",IFERROR(INDEX('CARNET DE SOUDURE'!$D$7:$D$3006,MATCH(B175,'CARNET DE SOUDURE'!$L$7:$L$3006,0)),IFERROR(INDEX('CARNET DE SOUDURE'!$D$7:$D$3006,MATCH(B175,'CARNET DE SOUDURE'!$O$7:$O$3006,0)),"")))</f>
        <v>6</v>
      </c>
      <c r="M175" s="82" t="str">
        <f aca="false">IF(B175="","",IF(OR(J175&lt;&gt;"",K175&lt;&gt;""),"POSÉ EN LIGNE",IF(COUNTIF(BARDAGE!$C$1:$C$5000,B175)&gt;0,"BARDÉ","EN STOCK")))</f>
        <v>POSÉ EN LIGNE</v>
      </c>
      <c r="N175" s="80"/>
    </row>
    <row r="176" customFormat="false" ht="15" hidden="false" customHeight="false" outlineLevel="0" collapsed="false">
      <c r="A176" s="82" t="n">
        <f aca="false">IF(B176="","",ROW()-6)</f>
        <v>170</v>
      </c>
      <c r="B176" s="145" t="n">
        <v>2098250</v>
      </c>
      <c r="C176" s="146" t="n">
        <v>15421112</v>
      </c>
      <c r="D176" s="146"/>
      <c r="E176" s="82" t="str">
        <f aca="false">IF(B176="","",IF(COUNTIFS('CARNET DE SOUDURE'!$L$7:$L$3006,B176,'CARNET DE SOUDURE'!$M$7:$M$3006,"&lt;&gt;"&amp;C176,'CARNET DE SOUDURE'!$M$7:$M$3006,"&lt;&gt;")+COUNTIFS('CARNET DE SOUDURE'!$O$7:$O$3006,B176,'CARNET DE SOUDURE'!$P$7:$P$3006,"&lt;&gt;"&amp;C176,'CARNET DE SOUDURE'!$P$7:$P$3006,"&lt;&gt;")&gt;0,"⚠ DIFFÉRENTE","OK"))</f>
        <v>OK</v>
      </c>
      <c r="F176" s="147" t="n">
        <v>11.94</v>
      </c>
      <c r="G176" s="80"/>
      <c r="H176" s="83"/>
      <c r="I176" s="148" t="str">
        <f aca="false">IF(B176="","",IFERROR(INDEX('CARNET DE SOUDURE'!$B$7:$B$3006,MATCH(B176,'CARNET DE SOUDURE'!$L$7:$L$3006,0)),IFERROR(INDEX('CARNET DE SOUDURE'!$B$7:$B$3006,MATCH(B176,'CARNET DE SOUDURE'!$O$7:$O$3006,0)),"")))</f>
        <v>MFD-ISW → MFD-CPF</v>
      </c>
      <c r="J176" s="82" t="str">
        <f aca="false">IF(B176="","",IFERROR(INDEX('CARNET DE SOUDURE'!$E$7:$E$3006,MATCH(B176,'CARNET DE SOUDURE'!$O$7:$O$3006,0)),""))</f>
        <v>DJ°436</v>
      </c>
      <c r="K176" s="82" t="str">
        <f aca="false">IF(B176="","",IFERROR(INDEX('CARNET DE SOUDURE'!$E$7:$E$3006,MATCH(B176,'CARNET DE SOUDURE'!$L$7:$L$3006,0)),""))</f>
        <v>JN°847</v>
      </c>
      <c r="L176" s="82" t="n">
        <f aca="false">IF(B176="","",IFERROR(INDEX('CARNET DE SOUDURE'!$D$7:$D$3006,MATCH(B176,'CARNET DE SOUDURE'!$L$7:$L$3006,0)),IFERROR(INDEX('CARNET DE SOUDURE'!$D$7:$D$3006,MATCH(B176,'CARNET DE SOUDURE'!$O$7:$O$3006,0)),"")))</f>
        <v>6</v>
      </c>
      <c r="M176" s="82" t="str">
        <f aca="false">IF(B176="","",IF(OR(J176&lt;&gt;"",K176&lt;&gt;""),"POSÉ EN LIGNE",IF(COUNTIF(BARDAGE!$C$1:$C$5000,B176)&gt;0,"BARDÉ","EN STOCK")))</f>
        <v>POSÉ EN LIGNE</v>
      </c>
      <c r="N176" s="80"/>
    </row>
    <row r="177" customFormat="false" ht="15" hidden="false" customHeight="false" outlineLevel="0" collapsed="false">
      <c r="A177" s="82" t="n">
        <f aca="false">IF(B177="","",ROW()-6)</f>
        <v>171</v>
      </c>
      <c r="B177" s="145" t="n">
        <v>2085270</v>
      </c>
      <c r="C177" s="146" t="n">
        <v>15421106</v>
      </c>
      <c r="D177" s="146"/>
      <c r="E177" s="82" t="str">
        <f aca="false">IF(B177="","",IF(COUNTIFS('CARNET DE SOUDURE'!$L$7:$L$3006,B177,'CARNET DE SOUDURE'!$M$7:$M$3006,"&lt;&gt;"&amp;C177,'CARNET DE SOUDURE'!$M$7:$M$3006,"&lt;&gt;")+COUNTIFS('CARNET DE SOUDURE'!$O$7:$O$3006,B177,'CARNET DE SOUDURE'!$P$7:$P$3006,"&lt;&gt;"&amp;C177,'CARNET DE SOUDURE'!$P$7:$P$3006,"&lt;&gt;")&gt;0,"⚠ DIFFÉRENTE","OK"))</f>
        <v>OK</v>
      </c>
      <c r="F177" s="147" t="n">
        <v>11.94</v>
      </c>
      <c r="G177" s="80"/>
      <c r="H177" s="83"/>
      <c r="I177" s="148" t="str">
        <f aca="false">IF(B177="","",IFERROR(INDEX('CARNET DE SOUDURE'!$B$7:$B$3006,MATCH(B177,'CARNET DE SOUDURE'!$L$7:$L$3006,0)),IFERROR(INDEX('CARNET DE SOUDURE'!$B$7:$B$3006,MATCH(B177,'CARNET DE SOUDURE'!$O$7:$O$3006,0)),"")))</f>
        <v>MFD-ISW → MFD-CPF</v>
      </c>
      <c r="J177" s="82" t="str">
        <f aca="false">IF(B177="","",IFERROR(INDEX('CARNET DE SOUDURE'!$E$7:$E$3006,MATCH(B177,'CARNET DE SOUDURE'!$O$7:$O$3006,0)),""))</f>
        <v>JN°847</v>
      </c>
      <c r="K177" s="82" t="str">
        <f aca="false">IF(B177="","",IFERROR(INDEX('CARNET DE SOUDURE'!$E$7:$E$3006,MATCH(B177,'CARNET DE SOUDURE'!$L$7:$L$3006,0)),""))</f>
        <v>DJ°437</v>
      </c>
      <c r="L177" s="82" t="n">
        <f aca="false">IF(B177="","",IFERROR(INDEX('CARNET DE SOUDURE'!$D$7:$D$3006,MATCH(B177,'CARNET DE SOUDURE'!$L$7:$L$3006,0)),IFERROR(INDEX('CARNET DE SOUDURE'!$D$7:$D$3006,MATCH(B177,'CARNET DE SOUDURE'!$O$7:$O$3006,0)),"")))</f>
        <v>6</v>
      </c>
      <c r="M177" s="82" t="str">
        <f aca="false">IF(B177="","",IF(OR(J177&lt;&gt;"",K177&lt;&gt;""),"POSÉ EN LIGNE",IF(COUNTIF(BARDAGE!$C$1:$C$5000,B177)&gt;0,"BARDÉ","EN STOCK")))</f>
        <v>POSÉ EN LIGNE</v>
      </c>
      <c r="N177" s="80"/>
    </row>
    <row r="178" customFormat="false" ht="15" hidden="false" customHeight="false" outlineLevel="0" collapsed="false">
      <c r="A178" s="82" t="n">
        <f aca="false">IF(B178="","",ROW()-6)</f>
        <v>172</v>
      </c>
      <c r="B178" s="145" t="n">
        <v>2097600</v>
      </c>
      <c r="C178" s="146" t="n">
        <v>15421106</v>
      </c>
      <c r="D178" s="146"/>
      <c r="E178" s="82" t="str">
        <f aca="false">IF(B178="","",IF(COUNTIFS('CARNET DE SOUDURE'!$L$7:$L$3006,B178,'CARNET DE SOUDURE'!$M$7:$M$3006,"&lt;&gt;"&amp;C178,'CARNET DE SOUDURE'!$M$7:$M$3006,"&lt;&gt;")+COUNTIFS('CARNET DE SOUDURE'!$O$7:$O$3006,B178,'CARNET DE SOUDURE'!$P$7:$P$3006,"&lt;&gt;"&amp;C178,'CARNET DE SOUDURE'!$P$7:$P$3006,"&lt;&gt;")&gt;0,"⚠ DIFFÉRENTE","OK"))</f>
        <v>OK</v>
      </c>
      <c r="F178" s="147" t="n">
        <v>11.94</v>
      </c>
      <c r="G178" s="80"/>
      <c r="H178" s="83"/>
      <c r="I178" s="148" t="str">
        <f aca="false">IF(B178="","",IFERROR(INDEX('CARNET DE SOUDURE'!$B$7:$B$3006,MATCH(B178,'CARNET DE SOUDURE'!$L$7:$L$3006,0)),IFERROR(INDEX('CARNET DE SOUDURE'!$B$7:$B$3006,MATCH(B178,'CARNET DE SOUDURE'!$O$7:$O$3006,0)),"")))</f>
        <v>MFD-ISW → MFD-CPF</v>
      </c>
      <c r="J178" s="82" t="str">
        <f aca="false">IF(B178="","",IFERROR(INDEX('CARNET DE SOUDURE'!$E$7:$E$3006,MATCH(B178,'CARNET DE SOUDURE'!$O$7:$O$3006,0)),""))</f>
        <v>DJ°437</v>
      </c>
      <c r="K178" s="82" t="str">
        <f aca="false">IF(B178="","",IFERROR(INDEX('CARNET DE SOUDURE'!$E$7:$E$3006,MATCH(B178,'CARNET DE SOUDURE'!$L$7:$L$3006,0)),""))</f>
        <v>JN°848</v>
      </c>
      <c r="L178" s="82" t="n">
        <f aca="false">IF(B178="","",IFERROR(INDEX('CARNET DE SOUDURE'!$D$7:$D$3006,MATCH(B178,'CARNET DE SOUDURE'!$L$7:$L$3006,0)),IFERROR(INDEX('CARNET DE SOUDURE'!$D$7:$D$3006,MATCH(B178,'CARNET DE SOUDURE'!$O$7:$O$3006,0)),"")))</f>
        <v>6</v>
      </c>
      <c r="M178" s="82" t="str">
        <f aca="false">IF(B178="","",IF(OR(J178&lt;&gt;"",K178&lt;&gt;""),"POSÉ EN LIGNE",IF(COUNTIF(BARDAGE!$C$1:$C$5000,B178)&gt;0,"BARDÉ","EN STOCK")))</f>
        <v>POSÉ EN LIGNE</v>
      </c>
      <c r="N178" s="80"/>
    </row>
    <row r="179" customFormat="false" ht="15" hidden="false" customHeight="false" outlineLevel="0" collapsed="false">
      <c r="A179" s="82" t="n">
        <f aca="false">IF(B179="","",ROW()-6)</f>
        <v>173</v>
      </c>
      <c r="B179" s="145" t="n">
        <v>2098600</v>
      </c>
      <c r="C179" s="146" t="n">
        <v>15421112</v>
      </c>
      <c r="D179" s="146"/>
      <c r="E179" s="82" t="str">
        <f aca="false">IF(B179="","",IF(COUNTIFS('CARNET DE SOUDURE'!$L$7:$L$3006,B179,'CARNET DE SOUDURE'!$M$7:$M$3006,"&lt;&gt;"&amp;C179,'CARNET DE SOUDURE'!$M$7:$M$3006,"&lt;&gt;")+COUNTIFS('CARNET DE SOUDURE'!$O$7:$O$3006,B179,'CARNET DE SOUDURE'!$P$7:$P$3006,"&lt;&gt;"&amp;C179,'CARNET DE SOUDURE'!$P$7:$P$3006,"&lt;&gt;")&gt;0,"⚠ DIFFÉRENTE","OK"))</f>
        <v>OK</v>
      </c>
      <c r="F179" s="147" t="n">
        <v>11.94</v>
      </c>
      <c r="G179" s="80"/>
      <c r="H179" s="83"/>
      <c r="I179" s="148" t="str">
        <f aca="false">IF(B179="","",IFERROR(INDEX('CARNET DE SOUDURE'!$B$7:$B$3006,MATCH(B179,'CARNET DE SOUDURE'!$L$7:$L$3006,0)),IFERROR(INDEX('CARNET DE SOUDURE'!$B$7:$B$3006,MATCH(B179,'CARNET DE SOUDURE'!$O$7:$O$3006,0)),"")))</f>
        <v>MFD-ISW → MFD-CPF</v>
      </c>
      <c r="J179" s="82" t="str">
        <f aca="false">IF(B179="","",IFERROR(INDEX('CARNET DE SOUDURE'!$E$7:$E$3006,MATCH(B179,'CARNET DE SOUDURE'!$O$7:$O$3006,0)),""))</f>
        <v>JN°848</v>
      </c>
      <c r="K179" s="82" t="str">
        <f aca="false">IF(B179="","",IFERROR(INDEX('CARNET DE SOUDURE'!$E$7:$E$3006,MATCH(B179,'CARNET DE SOUDURE'!$L$7:$L$3006,0)),""))</f>
        <v>DJ°435</v>
      </c>
      <c r="L179" s="82" t="n">
        <f aca="false">IF(B179="","",IFERROR(INDEX('CARNET DE SOUDURE'!$D$7:$D$3006,MATCH(B179,'CARNET DE SOUDURE'!$L$7:$L$3006,0)),IFERROR(INDEX('CARNET DE SOUDURE'!$D$7:$D$3006,MATCH(B179,'CARNET DE SOUDURE'!$O$7:$O$3006,0)),"")))</f>
        <v>6</v>
      </c>
      <c r="M179" s="82" t="str">
        <f aca="false">IF(B179="","",IF(OR(J179&lt;&gt;"",K179&lt;&gt;""),"POSÉ EN LIGNE",IF(COUNTIF(BARDAGE!$C$1:$C$5000,B179)&gt;0,"BARDÉ","EN STOCK")))</f>
        <v>POSÉ EN LIGNE</v>
      </c>
      <c r="N179" s="80"/>
    </row>
    <row r="180" customFormat="false" ht="15" hidden="false" customHeight="false" outlineLevel="0" collapsed="false">
      <c r="A180" s="82" t="n">
        <f aca="false">IF(B180="","",ROW()-6)</f>
        <v>174</v>
      </c>
      <c r="B180" s="145" t="n">
        <v>2091830</v>
      </c>
      <c r="C180" s="146" t="n">
        <v>15421109</v>
      </c>
      <c r="D180" s="146"/>
      <c r="E180" s="82" t="str">
        <f aca="false">IF(B180="","",IF(COUNTIFS('CARNET DE SOUDURE'!$L$7:$L$3006,B180,'CARNET DE SOUDURE'!$M$7:$M$3006,"&lt;&gt;"&amp;C180,'CARNET DE SOUDURE'!$M$7:$M$3006,"&lt;&gt;")+COUNTIFS('CARNET DE SOUDURE'!$O$7:$O$3006,B180,'CARNET DE SOUDURE'!$P$7:$P$3006,"&lt;&gt;"&amp;C180,'CARNET DE SOUDURE'!$P$7:$P$3006,"&lt;&gt;")&gt;0,"⚠ DIFFÉRENTE","OK"))</f>
        <v>OK</v>
      </c>
      <c r="F180" s="147" t="n">
        <v>11.94</v>
      </c>
      <c r="G180" s="80"/>
      <c r="H180" s="83"/>
      <c r="I180" s="148" t="str">
        <f aca="false">IF(B180="","",IFERROR(INDEX('CARNET DE SOUDURE'!$B$7:$B$3006,MATCH(B180,'CARNET DE SOUDURE'!$L$7:$L$3006,0)),IFERROR(INDEX('CARNET DE SOUDURE'!$B$7:$B$3006,MATCH(B180,'CARNET DE SOUDURE'!$O$7:$O$3006,0)),"")))</f>
        <v>MFD-ISW → MFD-CPF</v>
      </c>
      <c r="J180" s="82" t="str">
        <f aca="false">IF(B180="","",IFERROR(INDEX('CARNET DE SOUDURE'!$E$7:$E$3006,MATCH(B180,'CARNET DE SOUDURE'!$O$7:$O$3006,0)),""))</f>
        <v>DJ°435</v>
      </c>
      <c r="K180" s="82" t="str">
        <f aca="false">IF(B180="","",IFERROR(INDEX('CARNET DE SOUDURE'!$E$7:$E$3006,MATCH(B180,'CARNET DE SOUDURE'!$L$7:$L$3006,0)),""))</f>
        <v>JN°849</v>
      </c>
      <c r="L180" s="82" t="n">
        <f aca="false">IF(B180="","",IFERROR(INDEX('CARNET DE SOUDURE'!$D$7:$D$3006,MATCH(B180,'CARNET DE SOUDURE'!$L$7:$L$3006,0)),IFERROR(INDEX('CARNET DE SOUDURE'!$D$7:$D$3006,MATCH(B180,'CARNET DE SOUDURE'!$O$7:$O$3006,0)),"")))</f>
        <v>6</v>
      </c>
      <c r="M180" s="82" t="str">
        <f aca="false">IF(B180="","",IF(OR(J180&lt;&gt;"",K180&lt;&gt;""),"POSÉ EN LIGNE",IF(COUNTIF(BARDAGE!$C$1:$C$5000,B180)&gt;0,"BARDÉ","EN STOCK")))</f>
        <v>POSÉ EN LIGNE</v>
      </c>
      <c r="N180" s="80"/>
    </row>
    <row r="181" customFormat="false" ht="15" hidden="false" customHeight="false" outlineLevel="0" collapsed="false">
      <c r="A181" s="82" t="n">
        <f aca="false">IF(B181="","",ROW()-6)</f>
        <v>175</v>
      </c>
      <c r="B181" s="145" t="n">
        <v>2085000</v>
      </c>
      <c r="C181" s="146" t="n">
        <v>15421106</v>
      </c>
      <c r="D181" s="146"/>
      <c r="E181" s="82" t="str">
        <f aca="false">IF(B181="","",IF(COUNTIFS('CARNET DE SOUDURE'!$L$7:$L$3006,B181,'CARNET DE SOUDURE'!$M$7:$M$3006,"&lt;&gt;"&amp;C181,'CARNET DE SOUDURE'!$M$7:$M$3006,"&lt;&gt;")+COUNTIFS('CARNET DE SOUDURE'!$O$7:$O$3006,B181,'CARNET DE SOUDURE'!$P$7:$P$3006,"&lt;&gt;"&amp;C181,'CARNET DE SOUDURE'!$P$7:$P$3006,"&lt;&gt;")&gt;0,"⚠ DIFFÉRENTE","OK"))</f>
        <v>OK</v>
      </c>
      <c r="F181" s="147" t="n">
        <v>11.94</v>
      </c>
      <c r="G181" s="80"/>
      <c r="H181" s="83"/>
      <c r="I181" s="148" t="str">
        <f aca="false">IF(B181="","",IFERROR(INDEX('CARNET DE SOUDURE'!$B$7:$B$3006,MATCH(B181,'CARNET DE SOUDURE'!$L$7:$L$3006,0)),IFERROR(INDEX('CARNET DE SOUDURE'!$B$7:$B$3006,MATCH(B181,'CARNET DE SOUDURE'!$O$7:$O$3006,0)),"")))</f>
        <v>MFD-ISW → MFD-CPF</v>
      </c>
      <c r="J181" s="82" t="str">
        <f aca="false">IF(B181="","",IFERROR(INDEX('CARNET DE SOUDURE'!$E$7:$E$3006,MATCH(B181,'CARNET DE SOUDURE'!$O$7:$O$3006,0)),""))</f>
        <v>JN°849</v>
      </c>
      <c r="K181" s="82" t="str">
        <f aca="false">IF(B181="","",IFERROR(INDEX('CARNET DE SOUDURE'!$E$7:$E$3006,MATCH(B181,'CARNET DE SOUDURE'!$L$7:$L$3006,0)),""))</f>
        <v>DJ°440</v>
      </c>
      <c r="L181" s="82" t="n">
        <f aca="false">IF(B181="","",IFERROR(INDEX('CARNET DE SOUDURE'!$D$7:$D$3006,MATCH(B181,'CARNET DE SOUDURE'!$L$7:$L$3006,0)),IFERROR(INDEX('CARNET DE SOUDURE'!$D$7:$D$3006,MATCH(B181,'CARNET DE SOUDURE'!$O$7:$O$3006,0)),"")))</f>
        <v>6</v>
      </c>
      <c r="M181" s="82" t="str">
        <f aca="false">IF(B181="","",IF(OR(J181&lt;&gt;"",K181&lt;&gt;""),"POSÉ EN LIGNE",IF(COUNTIF(BARDAGE!$C$1:$C$5000,B181)&gt;0,"BARDÉ","EN STOCK")))</f>
        <v>POSÉ EN LIGNE</v>
      </c>
      <c r="N181" s="80"/>
    </row>
    <row r="182" customFormat="false" ht="15" hidden="false" customHeight="false" outlineLevel="0" collapsed="false">
      <c r="A182" s="82" t="n">
        <f aca="false">IF(B182="","",ROW()-6)</f>
        <v>176</v>
      </c>
      <c r="B182" s="145" t="n">
        <v>2080150</v>
      </c>
      <c r="C182" s="146" t="n">
        <v>15421102</v>
      </c>
      <c r="D182" s="146"/>
      <c r="E182" s="82" t="str">
        <f aca="false">IF(B182="","",IF(COUNTIFS('CARNET DE SOUDURE'!$L$7:$L$3006,B182,'CARNET DE SOUDURE'!$M$7:$M$3006,"&lt;&gt;"&amp;C182,'CARNET DE SOUDURE'!$M$7:$M$3006,"&lt;&gt;")+COUNTIFS('CARNET DE SOUDURE'!$O$7:$O$3006,B182,'CARNET DE SOUDURE'!$P$7:$P$3006,"&lt;&gt;"&amp;C182,'CARNET DE SOUDURE'!$P$7:$P$3006,"&lt;&gt;")&gt;0,"⚠ DIFFÉRENTE","OK"))</f>
        <v>OK</v>
      </c>
      <c r="F182" s="147" t="n">
        <v>11.94</v>
      </c>
      <c r="G182" s="80"/>
      <c r="H182" s="83"/>
      <c r="I182" s="148" t="str">
        <f aca="false">IF(B182="","",IFERROR(INDEX('CARNET DE SOUDURE'!$B$7:$B$3006,MATCH(B182,'CARNET DE SOUDURE'!$L$7:$L$3006,0)),IFERROR(INDEX('CARNET DE SOUDURE'!$B$7:$B$3006,MATCH(B182,'CARNET DE SOUDURE'!$O$7:$O$3006,0)),"")))</f>
        <v>MFD-ISW → MFD-CPF</v>
      </c>
      <c r="J182" s="82" t="str">
        <f aca="false">IF(B182="","",IFERROR(INDEX('CARNET DE SOUDURE'!$E$7:$E$3006,MATCH(B182,'CARNET DE SOUDURE'!$O$7:$O$3006,0)),""))</f>
        <v>DJ°440</v>
      </c>
      <c r="K182" s="82" t="str">
        <f aca="false">IF(B182="","",IFERROR(INDEX('CARNET DE SOUDURE'!$E$7:$E$3006,MATCH(B182,'CARNET DE SOUDURE'!$L$7:$L$3006,0)),""))</f>
        <v>JN°850</v>
      </c>
      <c r="L182" s="82" t="n">
        <f aca="false">IF(B182="","",IFERROR(INDEX('CARNET DE SOUDURE'!$D$7:$D$3006,MATCH(B182,'CARNET DE SOUDURE'!$L$7:$L$3006,0)),IFERROR(INDEX('CARNET DE SOUDURE'!$D$7:$D$3006,MATCH(B182,'CARNET DE SOUDURE'!$O$7:$O$3006,0)),"")))</f>
        <v>6</v>
      </c>
      <c r="M182" s="82" t="str">
        <f aca="false">IF(B182="","",IF(OR(J182&lt;&gt;"",K182&lt;&gt;""),"POSÉ EN LIGNE",IF(COUNTIF(BARDAGE!$C$1:$C$5000,B182)&gt;0,"BARDÉ","EN STOCK")))</f>
        <v>POSÉ EN LIGNE</v>
      </c>
      <c r="N182" s="80"/>
    </row>
    <row r="183" customFormat="false" ht="15" hidden="false" customHeight="false" outlineLevel="0" collapsed="false">
      <c r="A183" s="82" t="n">
        <f aca="false">IF(B183="","",ROW()-6)</f>
        <v>177</v>
      </c>
      <c r="B183" s="145" t="n">
        <v>2093550</v>
      </c>
      <c r="C183" s="146" t="n">
        <v>15421110</v>
      </c>
      <c r="D183" s="146"/>
      <c r="E183" s="82" t="str">
        <f aca="false">IF(B183="","",IF(COUNTIFS('CARNET DE SOUDURE'!$L$7:$L$3006,B183,'CARNET DE SOUDURE'!$M$7:$M$3006,"&lt;&gt;"&amp;C183,'CARNET DE SOUDURE'!$M$7:$M$3006,"&lt;&gt;")+COUNTIFS('CARNET DE SOUDURE'!$O$7:$O$3006,B183,'CARNET DE SOUDURE'!$P$7:$P$3006,"&lt;&gt;"&amp;C183,'CARNET DE SOUDURE'!$P$7:$P$3006,"&lt;&gt;")&gt;0,"⚠ DIFFÉRENTE","OK"))</f>
        <v>OK</v>
      </c>
      <c r="F183" s="147" t="n">
        <v>11.94</v>
      </c>
      <c r="G183" s="80"/>
      <c r="H183" s="83"/>
      <c r="I183" s="148" t="str">
        <f aca="false">IF(B183="","",IFERROR(INDEX('CARNET DE SOUDURE'!$B$7:$B$3006,MATCH(B183,'CARNET DE SOUDURE'!$L$7:$L$3006,0)),IFERROR(INDEX('CARNET DE SOUDURE'!$B$7:$B$3006,MATCH(B183,'CARNET DE SOUDURE'!$O$7:$O$3006,0)),"")))</f>
        <v>MFD-ISW → MFD-CPF</v>
      </c>
      <c r="J183" s="82" t="str">
        <f aca="false">IF(B183="","",IFERROR(INDEX('CARNET DE SOUDURE'!$E$7:$E$3006,MATCH(B183,'CARNET DE SOUDURE'!$O$7:$O$3006,0)),""))</f>
        <v>JN°850</v>
      </c>
      <c r="K183" s="82" t="str">
        <f aca="false">IF(B183="","",IFERROR(INDEX('CARNET DE SOUDURE'!$E$7:$E$3006,MATCH(B183,'CARNET DE SOUDURE'!$L$7:$L$3006,0)),""))</f>
        <v>DJ°439</v>
      </c>
      <c r="L183" s="82" t="n">
        <f aca="false">IF(B183="","",IFERROR(INDEX('CARNET DE SOUDURE'!$D$7:$D$3006,MATCH(B183,'CARNET DE SOUDURE'!$L$7:$L$3006,0)),IFERROR(INDEX('CARNET DE SOUDURE'!$D$7:$D$3006,MATCH(B183,'CARNET DE SOUDURE'!$O$7:$O$3006,0)),"")))</f>
        <v>6</v>
      </c>
      <c r="M183" s="82" t="str">
        <f aca="false">IF(B183="","",IF(OR(J183&lt;&gt;"",K183&lt;&gt;""),"POSÉ EN LIGNE",IF(COUNTIF(BARDAGE!$C$1:$C$5000,B183)&gt;0,"BARDÉ","EN STOCK")))</f>
        <v>POSÉ EN LIGNE</v>
      </c>
      <c r="N183" s="80"/>
    </row>
    <row r="184" customFormat="false" ht="15" hidden="false" customHeight="false" outlineLevel="0" collapsed="false">
      <c r="A184" s="82" t="n">
        <f aca="false">IF(B184="","",ROW()-6)</f>
        <v>178</v>
      </c>
      <c r="B184" s="145" t="n">
        <v>2078810</v>
      </c>
      <c r="C184" s="146" t="n">
        <v>15421101</v>
      </c>
      <c r="D184" s="146"/>
      <c r="E184" s="82" t="str">
        <f aca="false">IF(B184="","",IF(COUNTIFS('CARNET DE SOUDURE'!$L$7:$L$3006,B184,'CARNET DE SOUDURE'!$M$7:$M$3006,"&lt;&gt;"&amp;C184,'CARNET DE SOUDURE'!$M$7:$M$3006,"&lt;&gt;")+COUNTIFS('CARNET DE SOUDURE'!$O$7:$O$3006,B184,'CARNET DE SOUDURE'!$P$7:$P$3006,"&lt;&gt;"&amp;C184,'CARNET DE SOUDURE'!$P$7:$P$3006,"&lt;&gt;")&gt;0,"⚠ DIFFÉRENTE","OK"))</f>
        <v>OK</v>
      </c>
      <c r="F184" s="147" t="n">
        <v>11.94</v>
      </c>
      <c r="G184" s="80"/>
      <c r="H184" s="83"/>
      <c r="I184" s="148" t="str">
        <f aca="false">IF(B184="","",IFERROR(INDEX('CARNET DE SOUDURE'!$B$7:$B$3006,MATCH(B184,'CARNET DE SOUDURE'!$L$7:$L$3006,0)),IFERROR(INDEX('CARNET DE SOUDURE'!$B$7:$B$3006,MATCH(B184,'CARNET DE SOUDURE'!$O$7:$O$3006,0)),"")))</f>
        <v>MFD-ISW → MFD-CPF</v>
      </c>
      <c r="J184" s="82" t="str">
        <f aca="false">IF(B184="","",IFERROR(INDEX('CARNET DE SOUDURE'!$E$7:$E$3006,MATCH(B184,'CARNET DE SOUDURE'!$O$7:$O$3006,0)),""))</f>
        <v>DJ°439</v>
      </c>
      <c r="K184" s="82" t="str">
        <f aca="false">IF(B184="","",IFERROR(INDEX('CARNET DE SOUDURE'!$E$7:$E$3006,MATCH(B184,'CARNET DE SOUDURE'!$L$7:$L$3006,0)),""))</f>
        <v>JN°851</v>
      </c>
      <c r="L184" s="82" t="n">
        <f aca="false">IF(B184="","",IFERROR(INDEX('CARNET DE SOUDURE'!$D$7:$D$3006,MATCH(B184,'CARNET DE SOUDURE'!$L$7:$L$3006,0)),IFERROR(INDEX('CARNET DE SOUDURE'!$D$7:$D$3006,MATCH(B184,'CARNET DE SOUDURE'!$O$7:$O$3006,0)),"")))</f>
        <v>6</v>
      </c>
      <c r="M184" s="82" t="str">
        <f aca="false">IF(B184="","",IF(OR(J184&lt;&gt;"",K184&lt;&gt;""),"POSÉ EN LIGNE",IF(COUNTIF(BARDAGE!$C$1:$C$5000,B184)&gt;0,"BARDÉ","EN STOCK")))</f>
        <v>POSÉ EN LIGNE</v>
      </c>
      <c r="N184" s="80"/>
    </row>
    <row r="185" customFormat="false" ht="15" hidden="false" customHeight="false" outlineLevel="0" collapsed="false">
      <c r="A185" s="82" t="n">
        <f aca="false">IF(B185="","",ROW()-6)</f>
        <v>179</v>
      </c>
      <c r="B185" s="145" t="n">
        <v>2083330</v>
      </c>
      <c r="C185" s="146" t="n">
        <v>15421105</v>
      </c>
      <c r="D185" s="146"/>
      <c r="E185" s="82" t="str">
        <f aca="false">IF(B185="","",IF(COUNTIFS('CARNET DE SOUDURE'!$L$7:$L$3006,B185,'CARNET DE SOUDURE'!$M$7:$M$3006,"&lt;&gt;"&amp;C185,'CARNET DE SOUDURE'!$M$7:$M$3006,"&lt;&gt;")+COUNTIFS('CARNET DE SOUDURE'!$O$7:$O$3006,B185,'CARNET DE SOUDURE'!$P$7:$P$3006,"&lt;&gt;"&amp;C185,'CARNET DE SOUDURE'!$P$7:$P$3006,"&lt;&gt;")&gt;0,"⚠ DIFFÉRENTE","OK"))</f>
        <v>OK</v>
      </c>
      <c r="F185" s="147" t="n">
        <v>11.94</v>
      </c>
      <c r="G185" s="80"/>
      <c r="H185" s="83"/>
      <c r="I185" s="148" t="str">
        <f aca="false">IF(B185="","",IFERROR(INDEX('CARNET DE SOUDURE'!$B$7:$B$3006,MATCH(B185,'CARNET DE SOUDURE'!$L$7:$L$3006,0)),IFERROR(INDEX('CARNET DE SOUDURE'!$B$7:$B$3006,MATCH(B185,'CARNET DE SOUDURE'!$O$7:$O$3006,0)),"")))</f>
        <v>MFD-ISW → MFD-CPF</v>
      </c>
      <c r="J185" s="82" t="str">
        <f aca="false">IF(B185="","",IFERROR(INDEX('CARNET DE SOUDURE'!$E$7:$E$3006,MATCH(B185,'CARNET DE SOUDURE'!$O$7:$O$3006,0)),""))</f>
        <v>JN°851</v>
      </c>
      <c r="K185" s="82" t="str">
        <f aca="false">IF(B185="","",IFERROR(INDEX('CARNET DE SOUDURE'!$E$7:$E$3006,MATCH(B185,'CARNET DE SOUDURE'!$L$7:$L$3006,0)),""))</f>
        <v>DJ°441</v>
      </c>
      <c r="L185" s="82" t="n">
        <f aca="false">IF(B185="","",IFERROR(INDEX('CARNET DE SOUDURE'!$D$7:$D$3006,MATCH(B185,'CARNET DE SOUDURE'!$L$7:$L$3006,0)),IFERROR(INDEX('CARNET DE SOUDURE'!$D$7:$D$3006,MATCH(B185,'CARNET DE SOUDURE'!$O$7:$O$3006,0)),"")))</f>
        <v>6</v>
      </c>
      <c r="M185" s="82" t="str">
        <f aca="false">IF(B185="","",IF(OR(J185&lt;&gt;"",K185&lt;&gt;""),"POSÉ EN LIGNE",IF(COUNTIF(BARDAGE!$C$1:$C$5000,B185)&gt;0,"BARDÉ","EN STOCK")))</f>
        <v>POSÉ EN LIGNE</v>
      </c>
      <c r="N185" s="80"/>
    </row>
    <row r="186" customFormat="false" ht="15" hidden="false" customHeight="false" outlineLevel="0" collapsed="false">
      <c r="A186" s="82" t="n">
        <f aca="false">IF(B186="","",ROW()-6)</f>
        <v>180</v>
      </c>
      <c r="B186" s="145" t="n">
        <v>2080740</v>
      </c>
      <c r="C186" s="146" t="n">
        <v>15421103</v>
      </c>
      <c r="D186" s="146"/>
      <c r="E186" s="82" t="str">
        <f aca="false">IF(B186="","",IF(COUNTIFS('CARNET DE SOUDURE'!$L$7:$L$3006,B186,'CARNET DE SOUDURE'!$M$7:$M$3006,"&lt;&gt;"&amp;C186,'CARNET DE SOUDURE'!$M$7:$M$3006,"&lt;&gt;")+COUNTIFS('CARNET DE SOUDURE'!$O$7:$O$3006,B186,'CARNET DE SOUDURE'!$P$7:$P$3006,"&lt;&gt;"&amp;C186,'CARNET DE SOUDURE'!$P$7:$P$3006,"&lt;&gt;")&gt;0,"⚠ DIFFÉRENTE","OK"))</f>
        <v>OK</v>
      </c>
      <c r="F186" s="147" t="n">
        <v>11.94</v>
      </c>
      <c r="G186" s="80"/>
      <c r="H186" s="83"/>
      <c r="I186" s="148" t="str">
        <f aca="false">IF(B186="","",IFERROR(INDEX('CARNET DE SOUDURE'!$B$7:$B$3006,MATCH(B186,'CARNET DE SOUDURE'!$L$7:$L$3006,0)),IFERROR(INDEX('CARNET DE SOUDURE'!$B$7:$B$3006,MATCH(B186,'CARNET DE SOUDURE'!$O$7:$O$3006,0)),"")))</f>
        <v>MFD-ISW → MFD-CPF</v>
      </c>
      <c r="J186" s="82" t="str">
        <f aca="false">IF(B186="","",IFERROR(INDEX('CARNET DE SOUDURE'!$E$7:$E$3006,MATCH(B186,'CARNET DE SOUDURE'!$O$7:$O$3006,0)),""))</f>
        <v>DJ°441</v>
      </c>
      <c r="K186" s="82" t="str">
        <f aca="false">IF(B186="","",IFERROR(INDEX('CARNET DE SOUDURE'!$E$7:$E$3006,MATCH(B186,'CARNET DE SOUDURE'!$L$7:$L$3006,0)),""))</f>
        <v>JN°852</v>
      </c>
      <c r="L186" s="82" t="n">
        <f aca="false">IF(B186="","",IFERROR(INDEX('CARNET DE SOUDURE'!$D$7:$D$3006,MATCH(B186,'CARNET DE SOUDURE'!$L$7:$L$3006,0)),IFERROR(INDEX('CARNET DE SOUDURE'!$D$7:$D$3006,MATCH(B186,'CARNET DE SOUDURE'!$O$7:$O$3006,0)),"")))</f>
        <v>6</v>
      </c>
      <c r="M186" s="82" t="str">
        <f aca="false">IF(B186="","",IF(OR(J186&lt;&gt;"",K186&lt;&gt;""),"POSÉ EN LIGNE",IF(COUNTIF(BARDAGE!$C$1:$C$5000,B186)&gt;0,"BARDÉ","EN STOCK")))</f>
        <v>POSÉ EN LIGNE</v>
      </c>
      <c r="N186" s="80"/>
    </row>
    <row r="187" customFormat="false" ht="15" hidden="false" customHeight="false" outlineLevel="0" collapsed="false">
      <c r="A187" s="82" t="n">
        <f aca="false">IF(B187="","",ROW()-6)</f>
        <v>181</v>
      </c>
      <c r="B187" s="145" t="n">
        <v>2092050</v>
      </c>
      <c r="C187" s="146" t="n">
        <v>15421105</v>
      </c>
      <c r="D187" s="146"/>
      <c r="E187" s="82" t="str">
        <f aca="false">IF(B187="","",IF(COUNTIFS('CARNET DE SOUDURE'!$L$7:$L$3006,B187,'CARNET DE SOUDURE'!$M$7:$M$3006,"&lt;&gt;"&amp;C187,'CARNET DE SOUDURE'!$M$7:$M$3006,"&lt;&gt;")+COUNTIFS('CARNET DE SOUDURE'!$O$7:$O$3006,B187,'CARNET DE SOUDURE'!$P$7:$P$3006,"&lt;&gt;"&amp;C187,'CARNET DE SOUDURE'!$P$7:$P$3006,"&lt;&gt;")&gt;0,"⚠ DIFFÉRENTE","OK"))</f>
        <v>OK</v>
      </c>
      <c r="F187" s="147" t="n">
        <v>11.94</v>
      </c>
      <c r="G187" s="80"/>
      <c r="H187" s="83"/>
      <c r="I187" s="148" t="str">
        <f aca="false">IF(B187="","",IFERROR(INDEX('CARNET DE SOUDURE'!$B$7:$B$3006,MATCH(B187,'CARNET DE SOUDURE'!$L$7:$L$3006,0)),IFERROR(INDEX('CARNET DE SOUDURE'!$B$7:$B$3006,MATCH(B187,'CARNET DE SOUDURE'!$O$7:$O$3006,0)),"")))</f>
        <v>MFD-ISW → MFD-CPF</v>
      </c>
      <c r="J187" s="82" t="str">
        <f aca="false">IF(B187="","",IFERROR(INDEX('CARNET DE SOUDURE'!$E$7:$E$3006,MATCH(B187,'CARNET DE SOUDURE'!$O$7:$O$3006,0)),""))</f>
        <v>JN°853</v>
      </c>
      <c r="K187" s="82" t="str">
        <f aca="false">IF(B187="","",IFERROR(INDEX('CARNET DE SOUDURE'!$E$7:$E$3006,MATCH(B187,'CARNET DE SOUDURE'!$L$7:$L$3006,0)),""))</f>
        <v>DJ°434</v>
      </c>
      <c r="L187" s="82" t="n">
        <f aca="false">IF(B187="","",IFERROR(INDEX('CARNET DE SOUDURE'!$D$7:$D$3006,MATCH(B187,'CARNET DE SOUDURE'!$L$7:$L$3006,0)),IFERROR(INDEX('CARNET DE SOUDURE'!$D$7:$D$3006,MATCH(B187,'CARNET DE SOUDURE'!$O$7:$O$3006,0)),"")))</f>
        <v>6</v>
      </c>
      <c r="M187" s="82" t="str">
        <f aca="false">IF(B187="","",IF(OR(J187&lt;&gt;"",K187&lt;&gt;""),"POSÉ EN LIGNE",IF(COUNTIF(BARDAGE!$C$1:$C$5000,B187)&gt;0,"BARDÉ","EN STOCK")))</f>
        <v>POSÉ EN LIGNE</v>
      </c>
      <c r="N187" s="80"/>
    </row>
    <row r="188" customFormat="false" ht="15" hidden="false" customHeight="false" outlineLevel="0" collapsed="false">
      <c r="A188" s="82" t="n">
        <f aca="false">IF(B188="","",ROW()-6)</f>
        <v>182</v>
      </c>
      <c r="B188" s="145" t="n">
        <v>2086340</v>
      </c>
      <c r="C188" s="146" t="n">
        <v>15421107</v>
      </c>
      <c r="D188" s="146"/>
      <c r="E188" s="82" t="str">
        <f aca="false">IF(B188="","",IF(COUNTIFS('CARNET DE SOUDURE'!$L$7:$L$3006,B188,'CARNET DE SOUDURE'!$M$7:$M$3006,"&lt;&gt;"&amp;C188,'CARNET DE SOUDURE'!$M$7:$M$3006,"&lt;&gt;")+COUNTIFS('CARNET DE SOUDURE'!$O$7:$O$3006,B188,'CARNET DE SOUDURE'!$P$7:$P$3006,"&lt;&gt;"&amp;C188,'CARNET DE SOUDURE'!$P$7:$P$3006,"&lt;&gt;")&gt;0,"⚠ DIFFÉRENTE","OK"))</f>
        <v>OK</v>
      </c>
      <c r="F188" s="147" t="n">
        <v>11.94</v>
      </c>
      <c r="G188" s="80"/>
      <c r="H188" s="83"/>
      <c r="I188" s="148" t="str">
        <f aca="false">IF(B188="","",IFERROR(INDEX('CARNET DE SOUDURE'!$B$7:$B$3006,MATCH(B188,'CARNET DE SOUDURE'!$L$7:$L$3006,0)),IFERROR(INDEX('CARNET DE SOUDURE'!$B$7:$B$3006,MATCH(B188,'CARNET DE SOUDURE'!$O$7:$O$3006,0)),"")))</f>
        <v>MFD-ISW → MFD-CPF</v>
      </c>
      <c r="J188" s="82" t="str">
        <f aca="false">IF(B188="","",IFERROR(INDEX('CARNET DE SOUDURE'!$E$7:$E$3006,MATCH(B188,'CARNET DE SOUDURE'!$O$7:$O$3006,0)),""))</f>
        <v>DJ°434</v>
      </c>
      <c r="K188" s="82" t="str">
        <f aca="false">IF(B188="","",IFERROR(INDEX('CARNET DE SOUDURE'!$E$7:$E$3006,MATCH(B188,'CARNET DE SOUDURE'!$L$7:$L$3006,0)),""))</f>
        <v>JN°854</v>
      </c>
      <c r="L188" s="82" t="n">
        <f aca="false">IF(B188="","",IFERROR(INDEX('CARNET DE SOUDURE'!$D$7:$D$3006,MATCH(B188,'CARNET DE SOUDURE'!$L$7:$L$3006,0)),IFERROR(INDEX('CARNET DE SOUDURE'!$D$7:$D$3006,MATCH(B188,'CARNET DE SOUDURE'!$O$7:$O$3006,0)),"")))</f>
        <v>6</v>
      </c>
      <c r="M188" s="82" t="str">
        <f aca="false">IF(B188="","",IF(OR(J188&lt;&gt;"",K188&lt;&gt;""),"POSÉ EN LIGNE",IF(COUNTIF(BARDAGE!$C$1:$C$5000,B188)&gt;0,"BARDÉ","EN STOCK")))</f>
        <v>POSÉ EN LIGNE</v>
      </c>
      <c r="N188" s="80"/>
    </row>
    <row r="189" customFormat="false" ht="15" hidden="false" customHeight="false" outlineLevel="0" collapsed="false">
      <c r="A189" s="82" t="n">
        <f aca="false">IF(B189="","",ROW()-6)</f>
        <v>183</v>
      </c>
      <c r="B189" s="145" t="n">
        <v>2082100</v>
      </c>
      <c r="C189" s="146" t="n">
        <v>15421104</v>
      </c>
      <c r="D189" s="146"/>
      <c r="E189" s="82" t="str">
        <f aca="false">IF(B189="","",IF(COUNTIFS('CARNET DE SOUDURE'!$L$7:$L$3006,B189,'CARNET DE SOUDURE'!$M$7:$M$3006,"&lt;&gt;"&amp;C189,'CARNET DE SOUDURE'!$M$7:$M$3006,"&lt;&gt;")+COUNTIFS('CARNET DE SOUDURE'!$O$7:$O$3006,B189,'CARNET DE SOUDURE'!$P$7:$P$3006,"&lt;&gt;"&amp;C189,'CARNET DE SOUDURE'!$P$7:$P$3006,"&lt;&gt;")&gt;0,"⚠ DIFFÉRENTE","OK"))</f>
        <v>OK</v>
      </c>
      <c r="F189" s="147" t="n">
        <v>11.94</v>
      </c>
      <c r="G189" s="80"/>
      <c r="H189" s="83"/>
      <c r="I189" s="148" t="str">
        <f aca="false">IF(B189="","",IFERROR(INDEX('CARNET DE SOUDURE'!$B$7:$B$3006,MATCH(B189,'CARNET DE SOUDURE'!$L$7:$L$3006,0)),IFERROR(INDEX('CARNET DE SOUDURE'!$B$7:$B$3006,MATCH(B189,'CARNET DE SOUDURE'!$O$7:$O$3006,0)),"")))</f>
        <v>MFD-ISW → MFD-CPF</v>
      </c>
      <c r="J189" s="82" t="str">
        <f aca="false">IF(B189="","",IFERROR(INDEX('CARNET DE SOUDURE'!$E$7:$E$3006,MATCH(B189,'CARNET DE SOUDURE'!$O$7:$O$3006,0)),""))</f>
        <v>JN°854</v>
      </c>
      <c r="K189" s="82" t="str">
        <f aca="false">IF(B189="","",IFERROR(INDEX('CARNET DE SOUDURE'!$E$7:$E$3006,MATCH(B189,'CARNET DE SOUDURE'!$L$7:$L$3006,0)),""))</f>
        <v>DJ°416</v>
      </c>
      <c r="L189" s="82" t="n">
        <f aca="false">IF(B189="","",IFERROR(INDEX('CARNET DE SOUDURE'!$D$7:$D$3006,MATCH(B189,'CARNET DE SOUDURE'!$L$7:$L$3006,0)),IFERROR(INDEX('CARNET DE SOUDURE'!$D$7:$D$3006,MATCH(B189,'CARNET DE SOUDURE'!$O$7:$O$3006,0)),"")))</f>
        <v>6</v>
      </c>
      <c r="M189" s="82" t="str">
        <f aca="false">IF(B189="","",IF(OR(J189&lt;&gt;"",K189&lt;&gt;""),"POSÉ EN LIGNE",IF(COUNTIF(BARDAGE!$C$1:$C$5000,B189)&gt;0,"BARDÉ","EN STOCK")))</f>
        <v>POSÉ EN LIGNE</v>
      </c>
      <c r="N189" s="80"/>
    </row>
    <row r="190" customFormat="false" ht="15" hidden="false" customHeight="false" outlineLevel="0" collapsed="false">
      <c r="A190" s="82" t="n">
        <f aca="false">IF(B190="","",ROW()-6)</f>
        <v>184</v>
      </c>
      <c r="B190" s="145" t="n">
        <v>2082420</v>
      </c>
      <c r="C190" s="146" t="n">
        <v>15421104</v>
      </c>
      <c r="D190" s="146"/>
      <c r="E190" s="82" t="str">
        <f aca="false">IF(B190="","",IF(COUNTIFS('CARNET DE SOUDURE'!$L$7:$L$3006,B190,'CARNET DE SOUDURE'!$M$7:$M$3006,"&lt;&gt;"&amp;C190,'CARNET DE SOUDURE'!$M$7:$M$3006,"&lt;&gt;")+COUNTIFS('CARNET DE SOUDURE'!$O$7:$O$3006,B190,'CARNET DE SOUDURE'!$P$7:$P$3006,"&lt;&gt;"&amp;C190,'CARNET DE SOUDURE'!$P$7:$P$3006,"&lt;&gt;")&gt;0,"⚠ DIFFÉRENTE","OK"))</f>
        <v>OK</v>
      </c>
      <c r="F190" s="147" t="n">
        <v>11.94</v>
      </c>
      <c r="G190" s="80"/>
      <c r="H190" s="83"/>
      <c r="I190" s="148" t="str">
        <f aca="false">IF(B190="","",IFERROR(INDEX('CARNET DE SOUDURE'!$B$7:$B$3006,MATCH(B190,'CARNET DE SOUDURE'!$L$7:$L$3006,0)),IFERROR(INDEX('CARNET DE SOUDURE'!$B$7:$B$3006,MATCH(B190,'CARNET DE SOUDURE'!$O$7:$O$3006,0)),"")))</f>
        <v>MFD-ISW → MFD-CPF</v>
      </c>
      <c r="J190" s="82" t="str">
        <f aca="false">IF(B190="","",IFERROR(INDEX('CARNET DE SOUDURE'!$E$7:$E$3006,MATCH(B190,'CARNET DE SOUDURE'!$O$7:$O$3006,0)),""))</f>
        <v>DJ°416</v>
      </c>
      <c r="K190" s="82" t="str">
        <f aca="false">IF(B190="","",IFERROR(INDEX('CARNET DE SOUDURE'!$E$7:$E$3006,MATCH(B190,'CARNET DE SOUDURE'!$L$7:$L$3006,0)),""))</f>
        <v>JN°855</v>
      </c>
      <c r="L190" s="82" t="n">
        <f aca="false">IF(B190="","",IFERROR(INDEX('CARNET DE SOUDURE'!$D$7:$D$3006,MATCH(B190,'CARNET DE SOUDURE'!$L$7:$L$3006,0)),IFERROR(INDEX('CARNET DE SOUDURE'!$D$7:$D$3006,MATCH(B190,'CARNET DE SOUDURE'!$O$7:$O$3006,0)),"")))</f>
        <v>6</v>
      </c>
      <c r="M190" s="82" t="str">
        <f aca="false">IF(B190="","",IF(OR(J190&lt;&gt;"",K190&lt;&gt;""),"POSÉ EN LIGNE",IF(COUNTIF(BARDAGE!$C$1:$C$5000,B190)&gt;0,"BARDÉ","EN STOCK")))</f>
        <v>POSÉ EN LIGNE</v>
      </c>
      <c r="N190" s="80"/>
    </row>
    <row r="191" customFormat="false" ht="15" hidden="false" customHeight="false" outlineLevel="0" collapsed="false">
      <c r="A191" s="82" t="n">
        <f aca="false">IF(B191="","",ROW()-6)</f>
        <v>185</v>
      </c>
      <c r="B191" s="145" t="n">
        <v>2080750</v>
      </c>
      <c r="C191" s="146" t="n">
        <v>15421103</v>
      </c>
      <c r="D191" s="146"/>
      <c r="E191" s="82" t="str">
        <f aca="false">IF(B191="","",IF(COUNTIFS('CARNET DE SOUDURE'!$L$7:$L$3006,B191,'CARNET DE SOUDURE'!$M$7:$M$3006,"&lt;&gt;"&amp;C191,'CARNET DE SOUDURE'!$M$7:$M$3006,"&lt;&gt;")+COUNTIFS('CARNET DE SOUDURE'!$O$7:$O$3006,B191,'CARNET DE SOUDURE'!$P$7:$P$3006,"&lt;&gt;"&amp;C191,'CARNET DE SOUDURE'!$P$7:$P$3006,"&lt;&gt;")&gt;0,"⚠ DIFFÉRENTE","OK"))</f>
        <v>OK</v>
      </c>
      <c r="F191" s="147" t="n">
        <v>11.94</v>
      </c>
      <c r="G191" s="80"/>
      <c r="H191" s="83"/>
      <c r="I191" s="148" t="str">
        <f aca="false">IF(B191="","",IFERROR(INDEX('CARNET DE SOUDURE'!$B$7:$B$3006,MATCH(B191,'CARNET DE SOUDURE'!$L$7:$L$3006,0)),IFERROR(INDEX('CARNET DE SOUDURE'!$B$7:$B$3006,MATCH(B191,'CARNET DE SOUDURE'!$O$7:$O$3006,0)),"")))</f>
        <v>MFD-ISW → MFD-CPF</v>
      </c>
      <c r="J191" s="82" t="str">
        <f aca="false">IF(B191="","",IFERROR(INDEX('CARNET DE SOUDURE'!$E$7:$E$3006,MATCH(B191,'CARNET DE SOUDURE'!$O$7:$O$3006,0)),""))</f>
        <v>JN°855</v>
      </c>
      <c r="K191" s="82" t="str">
        <f aca="false">IF(B191="","",IFERROR(INDEX('CARNET DE SOUDURE'!$E$7:$E$3006,MATCH(B191,'CARNET DE SOUDURE'!$L$7:$L$3006,0)),""))</f>
        <v>DJ°424</v>
      </c>
      <c r="L191" s="82" t="n">
        <f aca="false">IF(B191="","",IFERROR(INDEX('CARNET DE SOUDURE'!$D$7:$D$3006,MATCH(B191,'CARNET DE SOUDURE'!$L$7:$L$3006,0)),IFERROR(INDEX('CARNET DE SOUDURE'!$D$7:$D$3006,MATCH(B191,'CARNET DE SOUDURE'!$O$7:$O$3006,0)),"")))</f>
        <v>6</v>
      </c>
      <c r="M191" s="82" t="str">
        <f aca="false">IF(B191="","",IF(OR(J191&lt;&gt;"",K191&lt;&gt;""),"POSÉ EN LIGNE",IF(COUNTIF(BARDAGE!$C$1:$C$5000,B191)&gt;0,"BARDÉ","EN STOCK")))</f>
        <v>POSÉ EN LIGNE</v>
      </c>
      <c r="N191" s="80"/>
    </row>
    <row r="192" customFormat="false" ht="15" hidden="false" customHeight="false" outlineLevel="0" collapsed="false">
      <c r="A192" s="82" t="n">
        <f aca="false">IF(B192="","",ROW()-6)</f>
        <v>186</v>
      </c>
      <c r="B192" s="145" t="n">
        <v>2093230</v>
      </c>
      <c r="C192" s="146" t="n">
        <v>15421110</v>
      </c>
      <c r="D192" s="146"/>
      <c r="E192" s="82" t="str">
        <f aca="false">IF(B192="","",IF(COUNTIFS('CARNET DE SOUDURE'!$L$7:$L$3006,B192,'CARNET DE SOUDURE'!$M$7:$M$3006,"&lt;&gt;"&amp;C192,'CARNET DE SOUDURE'!$M$7:$M$3006,"&lt;&gt;")+COUNTIFS('CARNET DE SOUDURE'!$O$7:$O$3006,B192,'CARNET DE SOUDURE'!$P$7:$P$3006,"&lt;&gt;"&amp;C192,'CARNET DE SOUDURE'!$P$7:$P$3006,"&lt;&gt;")&gt;0,"⚠ DIFFÉRENTE","OK"))</f>
        <v>OK</v>
      </c>
      <c r="F192" s="147" t="n">
        <v>11.94</v>
      </c>
      <c r="G192" s="80"/>
      <c r="H192" s="83"/>
      <c r="I192" s="148" t="str">
        <f aca="false">IF(B192="","",IFERROR(INDEX('CARNET DE SOUDURE'!$B$7:$B$3006,MATCH(B192,'CARNET DE SOUDURE'!$L$7:$L$3006,0)),IFERROR(INDEX('CARNET DE SOUDURE'!$B$7:$B$3006,MATCH(B192,'CARNET DE SOUDURE'!$O$7:$O$3006,0)),"")))</f>
        <v>MFD-ISW → MFD-CPF</v>
      </c>
      <c r="J192" s="82" t="str">
        <f aca="false">IF(B192="","",IFERROR(INDEX('CARNET DE SOUDURE'!$E$7:$E$3006,MATCH(B192,'CARNET DE SOUDURE'!$O$7:$O$3006,0)),""))</f>
        <v>DJ°424</v>
      </c>
      <c r="K192" s="82" t="str">
        <f aca="false">IF(B192="","",IFERROR(INDEX('CARNET DE SOUDURE'!$E$7:$E$3006,MATCH(B192,'CARNET DE SOUDURE'!$L$7:$L$3006,0)),""))</f>
        <v>JN°856</v>
      </c>
      <c r="L192" s="82" t="n">
        <f aca="false">IF(B192="","",IFERROR(INDEX('CARNET DE SOUDURE'!$D$7:$D$3006,MATCH(B192,'CARNET DE SOUDURE'!$L$7:$L$3006,0)),IFERROR(INDEX('CARNET DE SOUDURE'!$D$7:$D$3006,MATCH(B192,'CARNET DE SOUDURE'!$O$7:$O$3006,0)),"")))</f>
        <v>6</v>
      </c>
      <c r="M192" s="82" t="str">
        <f aca="false">IF(B192="","",IF(OR(J192&lt;&gt;"",K192&lt;&gt;""),"POSÉ EN LIGNE",IF(COUNTIF(BARDAGE!$C$1:$C$5000,B192)&gt;0,"BARDÉ","EN STOCK")))</f>
        <v>POSÉ EN LIGNE</v>
      </c>
      <c r="N192" s="80"/>
    </row>
    <row r="193" customFormat="false" ht="15" hidden="false" customHeight="false" outlineLevel="0" collapsed="false">
      <c r="A193" s="82" t="n">
        <f aca="false">IF(B193="","",ROW()-6)</f>
        <v>187</v>
      </c>
      <c r="B193" s="145" t="n">
        <v>2079500</v>
      </c>
      <c r="C193" s="146" t="n">
        <v>15421102</v>
      </c>
      <c r="D193" s="146"/>
      <c r="E193" s="82" t="str">
        <f aca="false">IF(B193="","",IF(COUNTIFS('CARNET DE SOUDURE'!$L$7:$L$3006,B193,'CARNET DE SOUDURE'!$M$7:$M$3006,"&lt;&gt;"&amp;C193,'CARNET DE SOUDURE'!$M$7:$M$3006,"&lt;&gt;")+COUNTIFS('CARNET DE SOUDURE'!$O$7:$O$3006,B193,'CARNET DE SOUDURE'!$P$7:$P$3006,"&lt;&gt;"&amp;C193,'CARNET DE SOUDURE'!$P$7:$P$3006,"&lt;&gt;")&gt;0,"⚠ DIFFÉRENTE","OK"))</f>
        <v>OK</v>
      </c>
      <c r="F193" s="147" t="n">
        <v>11.94</v>
      </c>
      <c r="G193" s="80"/>
      <c r="H193" s="83"/>
      <c r="I193" s="148" t="str">
        <f aca="false">IF(B193="","",IFERROR(INDEX('CARNET DE SOUDURE'!$B$7:$B$3006,MATCH(B193,'CARNET DE SOUDURE'!$L$7:$L$3006,0)),IFERROR(INDEX('CARNET DE SOUDURE'!$B$7:$B$3006,MATCH(B193,'CARNET DE SOUDURE'!$O$7:$O$3006,0)),"")))</f>
        <v>MFD-ISW → MFD-CPF</v>
      </c>
      <c r="J193" s="82" t="str">
        <f aca="false">IF(B193="","",IFERROR(INDEX('CARNET DE SOUDURE'!$E$7:$E$3006,MATCH(B193,'CARNET DE SOUDURE'!$O$7:$O$3006,0)),""))</f>
        <v>JN°856</v>
      </c>
      <c r="K193" s="82" t="str">
        <f aca="false">IF(B193="","",IFERROR(INDEX('CARNET DE SOUDURE'!$E$7:$E$3006,MATCH(B193,'CARNET DE SOUDURE'!$L$7:$L$3006,0)),""))</f>
        <v>DJ°415</v>
      </c>
      <c r="L193" s="82" t="n">
        <f aca="false">IF(B193="","",IFERROR(INDEX('CARNET DE SOUDURE'!$D$7:$D$3006,MATCH(B193,'CARNET DE SOUDURE'!$L$7:$L$3006,0)),IFERROR(INDEX('CARNET DE SOUDURE'!$D$7:$D$3006,MATCH(B193,'CARNET DE SOUDURE'!$O$7:$O$3006,0)),"")))</f>
        <v>6</v>
      </c>
      <c r="M193" s="82" t="str">
        <f aca="false">IF(B193="","",IF(OR(J193&lt;&gt;"",K193&lt;&gt;""),"POSÉ EN LIGNE",IF(COUNTIF(BARDAGE!$C$1:$C$5000,B193)&gt;0,"BARDÉ","EN STOCK")))</f>
        <v>POSÉ EN LIGNE</v>
      </c>
      <c r="N193" s="80"/>
    </row>
    <row r="194" customFormat="false" ht="15" hidden="false" customHeight="false" outlineLevel="0" collapsed="false">
      <c r="A194" s="82" t="n">
        <f aca="false">IF(B194="","",ROW()-6)</f>
        <v>188</v>
      </c>
      <c r="B194" s="145" t="n">
        <v>2097980</v>
      </c>
      <c r="C194" s="146" t="n">
        <v>15421112</v>
      </c>
      <c r="D194" s="146"/>
      <c r="E194" s="82" t="str">
        <f aca="false">IF(B194="","",IF(COUNTIFS('CARNET DE SOUDURE'!$L$7:$L$3006,B194,'CARNET DE SOUDURE'!$M$7:$M$3006,"&lt;&gt;"&amp;C194,'CARNET DE SOUDURE'!$M$7:$M$3006,"&lt;&gt;")+COUNTIFS('CARNET DE SOUDURE'!$O$7:$O$3006,B194,'CARNET DE SOUDURE'!$P$7:$P$3006,"&lt;&gt;"&amp;C194,'CARNET DE SOUDURE'!$P$7:$P$3006,"&lt;&gt;")&gt;0,"⚠ DIFFÉRENTE","OK"))</f>
        <v>OK</v>
      </c>
      <c r="F194" s="147" t="n">
        <v>11.94</v>
      </c>
      <c r="G194" s="80"/>
      <c r="H194" s="83"/>
      <c r="I194" s="148" t="str">
        <f aca="false">IF(B194="","",IFERROR(INDEX('CARNET DE SOUDURE'!$B$7:$B$3006,MATCH(B194,'CARNET DE SOUDURE'!$L$7:$L$3006,0)),IFERROR(INDEX('CARNET DE SOUDURE'!$B$7:$B$3006,MATCH(B194,'CARNET DE SOUDURE'!$O$7:$O$3006,0)),"")))</f>
        <v>MFD-ISW → MFD-CPF</v>
      </c>
      <c r="J194" s="82" t="str">
        <f aca="false">IF(B194="","",IFERROR(INDEX('CARNET DE SOUDURE'!$E$7:$E$3006,MATCH(B194,'CARNET DE SOUDURE'!$O$7:$O$3006,0)),""))</f>
        <v>DJ°415</v>
      </c>
      <c r="K194" s="82" t="str">
        <f aca="false">IF(B194="","",IFERROR(INDEX('CARNET DE SOUDURE'!$E$7:$E$3006,MATCH(B194,'CARNET DE SOUDURE'!$L$7:$L$3006,0)),""))</f>
        <v>JN°857</v>
      </c>
      <c r="L194" s="82" t="n">
        <f aca="false">IF(B194="","",IFERROR(INDEX('CARNET DE SOUDURE'!$D$7:$D$3006,MATCH(B194,'CARNET DE SOUDURE'!$L$7:$L$3006,0)),IFERROR(INDEX('CARNET DE SOUDURE'!$D$7:$D$3006,MATCH(B194,'CARNET DE SOUDURE'!$O$7:$O$3006,0)),"")))</f>
        <v>6</v>
      </c>
      <c r="M194" s="82" t="str">
        <f aca="false">IF(B194="","",IF(OR(J194&lt;&gt;"",K194&lt;&gt;""),"POSÉ EN LIGNE",IF(COUNTIF(BARDAGE!$C$1:$C$5000,B194)&gt;0,"BARDÉ","EN STOCK")))</f>
        <v>POSÉ EN LIGNE</v>
      </c>
      <c r="N194" s="80"/>
    </row>
    <row r="195" customFormat="false" ht="15" hidden="false" customHeight="false" outlineLevel="0" collapsed="false">
      <c r="A195" s="82" t="n">
        <f aca="false">IF(B195="","",ROW()-6)</f>
        <v>189</v>
      </c>
      <c r="B195" s="145" t="n">
        <v>2095850</v>
      </c>
      <c r="C195" s="146" t="n">
        <v>15421111</v>
      </c>
      <c r="D195" s="146"/>
      <c r="E195" s="82" t="str">
        <f aca="false">IF(B195="","",IF(COUNTIFS('CARNET DE SOUDURE'!$L$7:$L$3006,B195,'CARNET DE SOUDURE'!$M$7:$M$3006,"&lt;&gt;"&amp;C195,'CARNET DE SOUDURE'!$M$7:$M$3006,"&lt;&gt;")+COUNTIFS('CARNET DE SOUDURE'!$O$7:$O$3006,B195,'CARNET DE SOUDURE'!$P$7:$P$3006,"&lt;&gt;"&amp;C195,'CARNET DE SOUDURE'!$P$7:$P$3006,"&lt;&gt;")&gt;0,"⚠ DIFFÉRENTE","OK"))</f>
        <v>OK</v>
      </c>
      <c r="F195" s="147" t="n">
        <v>11.94</v>
      </c>
      <c r="G195" s="80"/>
      <c r="H195" s="83"/>
      <c r="I195" s="148" t="str">
        <f aca="false">IF(B195="","",IFERROR(INDEX('CARNET DE SOUDURE'!$B$7:$B$3006,MATCH(B195,'CARNET DE SOUDURE'!$L$7:$L$3006,0)),IFERROR(INDEX('CARNET DE SOUDURE'!$B$7:$B$3006,MATCH(B195,'CARNET DE SOUDURE'!$O$7:$O$3006,0)),"")))</f>
        <v>MFD-ISW → MFD-CPF</v>
      </c>
      <c r="J195" s="82" t="str">
        <f aca="false">IF(B195="","",IFERROR(INDEX('CARNET DE SOUDURE'!$E$7:$E$3006,MATCH(B195,'CARNET DE SOUDURE'!$O$7:$O$3006,0)),""))</f>
        <v>JN°857</v>
      </c>
      <c r="K195" s="82" t="str">
        <f aca="false">IF(B195="","",IFERROR(INDEX('CARNET DE SOUDURE'!$E$7:$E$3006,MATCH(B195,'CARNET DE SOUDURE'!$L$7:$L$3006,0)),""))</f>
        <v>DJ°419</v>
      </c>
      <c r="L195" s="82" t="n">
        <f aca="false">IF(B195="","",IFERROR(INDEX('CARNET DE SOUDURE'!$D$7:$D$3006,MATCH(B195,'CARNET DE SOUDURE'!$L$7:$L$3006,0)),IFERROR(INDEX('CARNET DE SOUDURE'!$D$7:$D$3006,MATCH(B195,'CARNET DE SOUDURE'!$O$7:$O$3006,0)),"")))</f>
        <v>6</v>
      </c>
      <c r="M195" s="82" t="str">
        <f aca="false">IF(B195="","",IF(OR(J195&lt;&gt;"",K195&lt;&gt;""),"POSÉ EN LIGNE",IF(COUNTIF(BARDAGE!$C$1:$C$5000,B195)&gt;0,"BARDÉ","EN STOCK")))</f>
        <v>POSÉ EN LIGNE</v>
      </c>
      <c r="N195" s="80"/>
    </row>
    <row r="196" customFormat="false" ht="15" hidden="false" customHeight="false" outlineLevel="0" collapsed="false">
      <c r="A196" s="82" t="n">
        <f aca="false">IF(B196="","",ROW()-6)</f>
        <v>190</v>
      </c>
      <c r="B196" s="145" t="n">
        <v>2084990</v>
      </c>
      <c r="C196" s="146" t="n">
        <v>15421106</v>
      </c>
      <c r="D196" s="146"/>
      <c r="E196" s="82" t="str">
        <f aca="false">IF(B196="","",IF(COUNTIFS('CARNET DE SOUDURE'!$L$7:$L$3006,B196,'CARNET DE SOUDURE'!$M$7:$M$3006,"&lt;&gt;"&amp;C196,'CARNET DE SOUDURE'!$M$7:$M$3006,"&lt;&gt;")+COUNTIFS('CARNET DE SOUDURE'!$O$7:$O$3006,B196,'CARNET DE SOUDURE'!$P$7:$P$3006,"&lt;&gt;"&amp;C196,'CARNET DE SOUDURE'!$P$7:$P$3006,"&lt;&gt;")&gt;0,"⚠ DIFFÉRENTE","OK"))</f>
        <v>OK</v>
      </c>
      <c r="F196" s="147" t="n">
        <v>11.94</v>
      </c>
      <c r="G196" s="80"/>
      <c r="H196" s="83"/>
      <c r="I196" s="148" t="str">
        <f aca="false">IF(B196="","",IFERROR(INDEX('CARNET DE SOUDURE'!$B$7:$B$3006,MATCH(B196,'CARNET DE SOUDURE'!$L$7:$L$3006,0)),IFERROR(INDEX('CARNET DE SOUDURE'!$B$7:$B$3006,MATCH(B196,'CARNET DE SOUDURE'!$O$7:$O$3006,0)),"")))</f>
        <v>MFD-ISW → MFD-CPF</v>
      </c>
      <c r="J196" s="82" t="str">
        <f aca="false">IF(B196="","",IFERROR(INDEX('CARNET DE SOUDURE'!$E$7:$E$3006,MATCH(B196,'CARNET DE SOUDURE'!$O$7:$O$3006,0)),""))</f>
        <v>DJ°419</v>
      </c>
      <c r="K196" s="82" t="str">
        <f aca="false">IF(B196="","",IFERROR(INDEX('CARNET DE SOUDURE'!$E$7:$E$3006,MATCH(B196,'CARNET DE SOUDURE'!$L$7:$L$3006,0)),""))</f>
        <v>JN°858</v>
      </c>
      <c r="L196" s="82" t="n">
        <f aca="false">IF(B196="","",IFERROR(INDEX('CARNET DE SOUDURE'!$D$7:$D$3006,MATCH(B196,'CARNET DE SOUDURE'!$L$7:$L$3006,0)),IFERROR(INDEX('CARNET DE SOUDURE'!$D$7:$D$3006,MATCH(B196,'CARNET DE SOUDURE'!$O$7:$O$3006,0)),"")))</f>
        <v>6</v>
      </c>
      <c r="M196" s="82" t="str">
        <f aca="false">IF(B196="","",IF(OR(J196&lt;&gt;"",K196&lt;&gt;""),"POSÉ EN LIGNE",IF(COUNTIF(BARDAGE!$C$1:$C$5000,B196)&gt;0,"BARDÉ","EN STOCK")))</f>
        <v>POSÉ EN LIGNE</v>
      </c>
      <c r="N196" s="80"/>
    </row>
    <row r="197" customFormat="false" ht="15" hidden="false" customHeight="false" outlineLevel="0" collapsed="false">
      <c r="A197" s="82" t="n">
        <f aca="false">IF(B197="","",ROW()-6)</f>
        <v>191</v>
      </c>
      <c r="B197" s="145" t="n">
        <v>2082880</v>
      </c>
      <c r="C197" s="146" t="n">
        <v>15421105</v>
      </c>
      <c r="D197" s="146"/>
      <c r="E197" s="82" t="str">
        <f aca="false">IF(B197="","",IF(COUNTIFS('CARNET DE SOUDURE'!$L$7:$L$3006,B197,'CARNET DE SOUDURE'!$M$7:$M$3006,"&lt;&gt;"&amp;C197,'CARNET DE SOUDURE'!$M$7:$M$3006,"&lt;&gt;")+COUNTIFS('CARNET DE SOUDURE'!$O$7:$O$3006,B197,'CARNET DE SOUDURE'!$P$7:$P$3006,"&lt;&gt;"&amp;C197,'CARNET DE SOUDURE'!$P$7:$P$3006,"&lt;&gt;")&gt;0,"⚠ DIFFÉRENTE","OK"))</f>
        <v>OK</v>
      </c>
      <c r="F197" s="147" t="n">
        <v>11.94</v>
      </c>
      <c r="G197" s="80"/>
      <c r="H197" s="83"/>
      <c r="I197" s="148" t="str">
        <f aca="false">IF(B197="","",IFERROR(INDEX('CARNET DE SOUDURE'!$B$7:$B$3006,MATCH(B197,'CARNET DE SOUDURE'!$L$7:$L$3006,0)),IFERROR(INDEX('CARNET DE SOUDURE'!$B$7:$B$3006,MATCH(B197,'CARNET DE SOUDURE'!$O$7:$O$3006,0)),"")))</f>
        <v>MFD-ISW → MFD-CPF</v>
      </c>
      <c r="J197" s="82" t="str">
        <f aca="false">IF(B197="","",IFERROR(INDEX('CARNET DE SOUDURE'!$E$7:$E$3006,MATCH(B197,'CARNET DE SOUDURE'!$O$7:$O$3006,0)),""))</f>
        <v>JN°858</v>
      </c>
      <c r="K197" s="82" t="str">
        <f aca="false">IF(B197="","",IFERROR(INDEX('CARNET DE SOUDURE'!$E$7:$E$3006,MATCH(B197,'CARNET DE SOUDURE'!$L$7:$L$3006,0)),""))</f>
        <v>DJ°418</v>
      </c>
      <c r="L197" s="82" t="n">
        <f aca="false">IF(B197="","",IFERROR(INDEX('CARNET DE SOUDURE'!$D$7:$D$3006,MATCH(B197,'CARNET DE SOUDURE'!$L$7:$L$3006,0)),IFERROR(INDEX('CARNET DE SOUDURE'!$D$7:$D$3006,MATCH(B197,'CARNET DE SOUDURE'!$O$7:$O$3006,0)),"")))</f>
        <v>6</v>
      </c>
      <c r="M197" s="82" t="str">
        <f aca="false">IF(B197="","",IF(OR(J197&lt;&gt;"",K197&lt;&gt;""),"POSÉ EN LIGNE",IF(COUNTIF(BARDAGE!$C$1:$C$5000,B197)&gt;0,"BARDÉ","EN STOCK")))</f>
        <v>POSÉ EN LIGNE</v>
      </c>
      <c r="N197" s="80"/>
    </row>
    <row r="198" customFormat="false" ht="15" hidden="false" customHeight="false" outlineLevel="0" collapsed="false">
      <c r="A198" s="82" t="n">
        <f aca="false">IF(B198="","",ROW()-6)</f>
        <v>192</v>
      </c>
      <c r="B198" s="145" t="n">
        <v>2083540</v>
      </c>
      <c r="C198" s="146" t="n">
        <v>15421105</v>
      </c>
      <c r="D198" s="146"/>
      <c r="E198" s="82" t="str">
        <f aca="false">IF(B198="","",IF(COUNTIFS('CARNET DE SOUDURE'!$L$7:$L$3006,B198,'CARNET DE SOUDURE'!$M$7:$M$3006,"&lt;&gt;"&amp;C198,'CARNET DE SOUDURE'!$M$7:$M$3006,"&lt;&gt;")+COUNTIFS('CARNET DE SOUDURE'!$O$7:$O$3006,B198,'CARNET DE SOUDURE'!$P$7:$P$3006,"&lt;&gt;"&amp;C198,'CARNET DE SOUDURE'!$P$7:$P$3006,"&lt;&gt;")&gt;0,"⚠ DIFFÉRENTE","OK"))</f>
        <v>OK</v>
      </c>
      <c r="F198" s="147" t="n">
        <v>11.94</v>
      </c>
      <c r="G198" s="80"/>
      <c r="H198" s="83"/>
      <c r="I198" s="148" t="str">
        <f aca="false">IF(B198="","",IFERROR(INDEX('CARNET DE SOUDURE'!$B$7:$B$3006,MATCH(B198,'CARNET DE SOUDURE'!$L$7:$L$3006,0)),IFERROR(INDEX('CARNET DE SOUDURE'!$B$7:$B$3006,MATCH(B198,'CARNET DE SOUDURE'!$O$7:$O$3006,0)),"")))</f>
        <v>MFD-ISW → MFD-CPF</v>
      </c>
      <c r="J198" s="82" t="str">
        <f aca="false">IF(B198="","",IFERROR(INDEX('CARNET DE SOUDURE'!$E$7:$E$3006,MATCH(B198,'CARNET DE SOUDURE'!$O$7:$O$3006,0)),""))</f>
        <v>DJ°418</v>
      </c>
      <c r="K198" s="82" t="str">
        <f aca="false">IF(B198="","",IFERROR(INDEX('CARNET DE SOUDURE'!$E$7:$E$3006,MATCH(B198,'CARNET DE SOUDURE'!$L$7:$L$3006,0)),""))</f>
        <v>JN°859</v>
      </c>
      <c r="L198" s="82" t="n">
        <f aca="false">IF(B198="","",IFERROR(INDEX('CARNET DE SOUDURE'!$D$7:$D$3006,MATCH(B198,'CARNET DE SOUDURE'!$L$7:$L$3006,0)),IFERROR(INDEX('CARNET DE SOUDURE'!$D$7:$D$3006,MATCH(B198,'CARNET DE SOUDURE'!$O$7:$O$3006,0)),"")))</f>
        <v>6</v>
      </c>
      <c r="M198" s="82" t="str">
        <f aca="false">IF(B198="","",IF(OR(J198&lt;&gt;"",K198&lt;&gt;""),"POSÉ EN LIGNE",IF(COUNTIF(BARDAGE!$C$1:$C$5000,B198)&gt;0,"BARDÉ","EN STOCK")))</f>
        <v>POSÉ EN LIGNE</v>
      </c>
      <c r="N198" s="80"/>
    </row>
    <row r="199" customFormat="false" ht="15" hidden="false" customHeight="false" outlineLevel="0" collapsed="false">
      <c r="A199" s="82" t="n">
        <f aca="false">IF(B199="","",ROW()-6)</f>
        <v>193</v>
      </c>
      <c r="B199" s="145" t="n">
        <v>2087730</v>
      </c>
      <c r="C199" s="146" t="n">
        <v>15421108</v>
      </c>
      <c r="D199" s="146"/>
      <c r="E199" s="82" t="str">
        <f aca="false">IF(B199="","",IF(COUNTIFS('CARNET DE SOUDURE'!$L$7:$L$3006,B199,'CARNET DE SOUDURE'!$M$7:$M$3006,"&lt;&gt;"&amp;C199,'CARNET DE SOUDURE'!$M$7:$M$3006,"&lt;&gt;")+COUNTIFS('CARNET DE SOUDURE'!$O$7:$O$3006,B199,'CARNET DE SOUDURE'!$P$7:$P$3006,"&lt;&gt;"&amp;C199,'CARNET DE SOUDURE'!$P$7:$P$3006,"&lt;&gt;")&gt;0,"⚠ DIFFÉRENTE","OK"))</f>
        <v>OK</v>
      </c>
      <c r="F199" s="147" t="n">
        <v>11.94</v>
      </c>
      <c r="G199" s="80"/>
      <c r="H199" s="83"/>
      <c r="I199" s="148" t="str">
        <f aca="false">IF(B199="","",IFERROR(INDEX('CARNET DE SOUDURE'!$B$7:$B$3006,MATCH(B199,'CARNET DE SOUDURE'!$L$7:$L$3006,0)),IFERROR(INDEX('CARNET DE SOUDURE'!$B$7:$B$3006,MATCH(B199,'CARNET DE SOUDURE'!$O$7:$O$3006,0)),"")))</f>
        <v>MFD-ISW → MFD-CPF</v>
      </c>
      <c r="J199" s="82" t="str">
        <f aca="false">IF(B199="","",IFERROR(INDEX('CARNET DE SOUDURE'!$E$7:$E$3006,MATCH(B199,'CARNET DE SOUDURE'!$O$7:$O$3006,0)),""))</f>
        <v>JN°859</v>
      </c>
      <c r="K199" s="82" t="str">
        <f aca="false">IF(B199="","",IFERROR(INDEX('CARNET DE SOUDURE'!$E$7:$E$3006,MATCH(B199,'CARNET DE SOUDURE'!$L$7:$L$3006,0)),""))</f>
        <v>DJ°423</v>
      </c>
      <c r="L199" s="82" t="n">
        <f aca="false">IF(B199="","",IFERROR(INDEX('CARNET DE SOUDURE'!$D$7:$D$3006,MATCH(B199,'CARNET DE SOUDURE'!$L$7:$L$3006,0)),IFERROR(INDEX('CARNET DE SOUDURE'!$D$7:$D$3006,MATCH(B199,'CARNET DE SOUDURE'!$O$7:$O$3006,0)),"")))</f>
        <v>6</v>
      </c>
      <c r="M199" s="82" t="str">
        <f aca="false">IF(B199="","",IF(OR(J199&lt;&gt;"",K199&lt;&gt;""),"POSÉ EN LIGNE",IF(COUNTIF(BARDAGE!$C$1:$C$5000,B199)&gt;0,"BARDÉ","EN STOCK")))</f>
        <v>POSÉ EN LIGNE</v>
      </c>
      <c r="N199" s="80"/>
    </row>
    <row r="200" customFormat="false" ht="15" hidden="false" customHeight="false" outlineLevel="0" collapsed="false">
      <c r="A200" s="82" t="n">
        <f aca="false">IF(B200="","",ROW()-6)</f>
        <v>194</v>
      </c>
      <c r="B200" s="145" t="n">
        <v>2084920</v>
      </c>
      <c r="C200" s="146" t="n">
        <v>15421106</v>
      </c>
      <c r="D200" s="146"/>
      <c r="E200" s="82" t="str">
        <f aca="false">IF(B200="","",IF(COUNTIFS('CARNET DE SOUDURE'!$L$7:$L$3006,B200,'CARNET DE SOUDURE'!$M$7:$M$3006,"&lt;&gt;"&amp;C200,'CARNET DE SOUDURE'!$M$7:$M$3006,"&lt;&gt;")+COUNTIFS('CARNET DE SOUDURE'!$O$7:$O$3006,B200,'CARNET DE SOUDURE'!$P$7:$P$3006,"&lt;&gt;"&amp;C200,'CARNET DE SOUDURE'!$P$7:$P$3006,"&lt;&gt;")&gt;0,"⚠ DIFFÉRENTE","OK"))</f>
        <v>OK</v>
      </c>
      <c r="F200" s="147" t="n">
        <v>11.94</v>
      </c>
      <c r="G200" s="80"/>
      <c r="H200" s="83"/>
      <c r="I200" s="148" t="str">
        <f aca="false">IF(B200="","",IFERROR(INDEX('CARNET DE SOUDURE'!$B$7:$B$3006,MATCH(B200,'CARNET DE SOUDURE'!$L$7:$L$3006,0)),IFERROR(INDEX('CARNET DE SOUDURE'!$B$7:$B$3006,MATCH(B200,'CARNET DE SOUDURE'!$O$7:$O$3006,0)),"")))</f>
        <v>MFD-ISW → MFD-CPF</v>
      </c>
      <c r="J200" s="82" t="str">
        <f aca="false">IF(B200="","",IFERROR(INDEX('CARNET DE SOUDURE'!$E$7:$E$3006,MATCH(B200,'CARNET DE SOUDURE'!$O$7:$O$3006,0)),""))</f>
        <v>DJ°423</v>
      </c>
      <c r="K200" s="82" t="str">
        <f aca="false">IF(B200="","",IFERROR(INDEX('CARNET DE SOUDURE'!$E$7:$E$3006,MATCH(B200,'CARNET DE SOUDURE'!$L$7:$L$3006,0)),""))</f>
        <v>JN°860</v>
      </c>
      <c r="L200" s="82" t="n">
        <f aca="false">IF(B200="","",IFERROR(INDEX('CARNET DE SOUDURE'!$D$7:$D$3006,MATCH(B200,'CARNET DE SOUDURE'!$L$7:$L$3006,0)),IFERROR(INDEX('CARNET DE SOUDURE'!$D$7:$D$3006,MATCH(B200,'CARNET DE SOUDURE'!$O$7:$O$3006,0)),"")))</f>
        <v>6</v>
      </c>
      <c r="M200" s="82" t="str">
        <f aca="false">IF(B200="","",IF(OR(J200&lt;&gt;"",K200&lt;&gt;""),"POSÉ EN LIGNE",IF(COUNTIF(BARDAGE!$C$1:$C$5000,B200)&gt;0,"BARDÉ","EN STOCK")))</f>
        <v>POSÉ EN LIGNE</v>
      </c>
      <c r="N200" s="80"/>
    </row>
    <row r="201" customFormat="false" ht="15" hidden="false" customHeight="false" outlineLevel="0" collapsed="false">
      <c r="A201" s="82" t="n">
        <f aca="false">IF(B201="","",ROW()-6)</f>
        <v>195</v>
      </c>
      <c r="B201" s="145" t="n">
        <v>2093330</v>
      </c>
      <c r="C201" s="146" t="n">
        <v>15421110</v>
      </c>
      <c r="D201" s="146"/>
      <c r="E201" s="82" t="str">
        <f aca="false">IF(B201="","",IF(COUNTIFS('CARNET DE SOUDURE'!$L$7:$L$3006,B201,'CARNET DE SOUDURE'!$M$7:$M$3006,"&lt;&gt;"&amp;C201,'CARNET DE SOUDURE'!$M$7:$M$3006,"&lt;&gt;")+COUNTIFS('CARNET DE SOUDURE'!$O$7:$O$3006,B201,'CARNET DE SOUDURE'!$P$7:$P$3006,"&lt;&gt;"&amp;C201,'CARNET DE SOUDURE'!$P$7:$P$3006,"&lt;&gt;")&gt;0,"⚠ DIFFÉRENTE","OK"))</f>
        <v>OK</v>
      </c>
      <c r="F201" s="147" t="n">
        <v>11.94</v>
      </c>
      <c r="G201" s="80"/>
      <c r="H201" s="83"/>
      <c r="I201" s="148" t="str">
        <f aca="false">IF(B201="","",IFERROR(INDEX('CARNET DE SOUDURE'!$B$7:$B$3006,MATCH(B201,'CARNET DE SOUDURE'!$L$7:$L$3006,0)),IFERROR(INDEX('CARNET DE SOUDURE'!$B$7:$B$3006,MATCH(B201,'CARNET DE SOUDURE'!$O$7:$O$3006,0)),"")))</f>
        <v>MFD-ISW → MFD-CPF</v>
      </c>
      <c r="J201" s="82" t="str">
        <f aca="false">IF(B201="","",IFERROR(INDEX('CARNET DE SOUDURE'!$E$7:$E$3006,MATCH(B201,'CARNET DE SOUDURE'!$O$7:$O$3006,0)),""))</f>
        <v>JN°860</v>
      </c>
      <c r="K201" s="82" t="str">
        <f aca="false">IF(B201="","",IFERROR(INDEX('CARNET DE SOUDURE'!$E$7:$E$3006,MATCH(B201,'CARNET DE SOUDURE'!$L$7:$L$3006,0)),""))</f>
        <v>DJ°417</v>
      </c>
      <c r="L201" s="82" t="n">
        <f aca="false">IF(B201="","",IFERROR(INDEX('CARNET DE SOUDURE'!$D$7:$D$3006,MATCH(B201,'CARNET DE SOUDURE'!$L$7:$L$3006,0)),IFERROR(INDEX('CARNET DE SOUDURE'!$D$7:$D$3006,MATCH(B201,'CARNET DE SOUDURE'!$O$7:$O$3006,0)),"")))</f>
        <v>6</v>
      </c>
      <c r="M201" s="82" t="str">
        <f aca="false">IF(B201="","",IF(OR(J201&lt;&gt;"",K201&lt;&gt;""),"POSÉ EN LIGNE",IF(COUNTIF(BARDAGE!$C$1:$C$5000,B201)&gt;0,"BARDÉ","EN STOCK")))</f>
        <v>POSÉ EN LIGNE</v>
      </c>
      <c r="N201" s="80"/>
    </row>
    <row r="202" customFormat="false" ht="15" hidden="false" customHeight="false" outlineLevel="0" collapsed="false">
      <c r="A202" s="82" t="n">
        <f aca="false">IF(B202="","",ROW()-6)</f>
        <v>196</v>
      </c>
      <c r="B202" s="145" t="n">
        <v>2078890</v>
      </c>
      <c r="C202" s="146" t="n">
        <v>15421110</v>
      </c>
      <c r="D202" s="146"/>
      <c r="E202" s="82" t="str">
        <f aca="false">IF(B202="","",IF(COUNTIFS('CARNET DE SOUDURE'!$L$7:$L$3006,B202,'CARNET DE SOUDURE'!$M$7:$M$3006,"&lt;&gt;"&amp;C202,'CARNET DE SOUDURE'!$M$7:$M$3006,"&lt;&gt;")+COUNTIFS('CARNET DE SOUDURE'!$O$7:$O$3006,B202,'CARNET DE SOUDURE'!$P$7:$P$3006,"&lt;&gt;"&amp;C202,'CARNET DE SOUDURE'!$P$7:$P$3006,"&lt;&gt;")&gt;0,"⚠ DIFFÉRENTE","OK"))</f>
        <v>OK</v>
      </c>
      <c r="F202" s="147" t="n">
        <v>11.94</v>
      </c>
      <c r="G202" s="80"/>
      <c r="H202" s="83"/>
      <c r="I202" s="148" t="str">
        <f aca="false">IF(B202="","",IFERROR(INDEX('CARNET DE SOUDURE'!$B$7:$B$3006,MATCH(B202,'CARNET DE SOUDURE'!$L$7:$L$3006,0)),IFERROR(INDEX('CARNET DE SOUDURE'!$B$7:$B$3006,MATCH(B202,'CARNET DE SOUDURE'!$O$7:$O$3006,0)),"")))</f>
        <v>MFD-ISW → MFD-CPF</v>
      </c>
      <c r="J202" s="82" t="str">
        <f aca="false">IF(B202="","",IFERROR(INDEX('CARNET DE SOUDURE'!$E$7:$E$3006,MATCH(B202,'CARNET DE SOUDURE'!$O$7:$O$3006,0)),""))</f>
        <v>DJ°417</v>
      </c>
      <c r="K202" s="82" t="str">
        <f aca="false">IF(B202="","",IFERROR(INDEX('CARNET DE SOUDURE'!$E$7:$E$3006,MATCH(B202,'CARNET DE SOUDURE'!$L$7:$L$3006,0)),""))</f>
        <v>JN°861</v>
      </c>
      <c r="L202" s="82" t="n">
        <f aca="false">IF(B202="","",IFERROR(INDEX('CARNET DE SOUDURE'!$D$7:$D$3006,MATCH(B202,'CARNET DE SOUDURE'!$L$7:$L$3006,0)),IFERROR(INDEX('CARNET DE SOUDURE'!$D$7:$D$3006,MATCH(B202,'CARNET DE SOUDURE'!$O$7:$O$3006,0)),"")))</f>
        <v>6</v>
      </c>
      <c r="M202" s="82" t="str">
        <f aca="false">IF(B202="","",IF(OR(J202&lt;&gt;"",K202&lt;&gt;""),"POSÉ EN LIGNE",IF(COUNTIF(BARDAGE!$C$1:$C$5000,B202)&gt;0,"BARDÉ","EN STOCK")))</f>
        <v>POSÉ EN LIGNE</v>
      </c>
      <c r="N202" s="80"/>
    </row>
    <row r="203" customFormat="false" ht="15" hidden="false" customHeight="false" outlineLevel="0" collapsed="false">
      <c r="A203" s="82" t="n">
        <f aca="false">IF(B203="","",ROW()-6)</f>
        <v>197</v>
      </c>
      <c r="B203" s="145" t="n">
        <v>2078910</v>
      </c>
      <c r="C203" s="146" t="n">
        <v>15421101</v>
      </c>
      <c r="D203" s="146"/>
      <c r="E203" s="82" t="str">
        <f aca="false">IF(B203="","",IF(COUNTIFS('CARNET DE SOUDURE'!$L$7:$L$3006,B203,'CARNET DE SOUDURE'!$M$7:$M$3006,"&lt;&gt;"&amp;C203,'CARNET DE SOUDURE'!$M$7:$M$3006,"&lt;&gt;")+COUNTIFS('CARNET DE SOUDURE'!$O$7:$O$3006,B203,'CARNET DE SOUDURE'!$P$7:$P$3006,"&lt;&gt;"&amp;C203,'CARNET DE SOUDURE'!$P$7:$P$3006,"&lt;&gt;")&gt;0,"⚠ DIFFÉRENTE","OK"))</f>
        <v>OK</v>
      </c>
      <c r="F203" s="147" t="n">
        <v>11.94</v>
      </c>
      <c r="G203" s="80"/>
      <c r="H203" s="83"/>
      <c r="I203" s="148" t="str">
        <f aca="false">IF(B203="","",IFERROR(INDEX('CARNET DE SOUDURE'!$B$7:$B$3006,MATCH(B203,'CARNET DE SOUDURE'!$L$7:$L$3006,0)),IFERROR(INDEX('CARNET DE SOUDURE'!$B$7:$B$3006,MATCH(B203,'CARNET DE SOUDURE'!$O$7:$O$3006,0)),"")))</f>
        <v>MFD-ISW → MFD-CPF</v>
      </c>
      <c r="J203" s="82" t="str">
        <f aca="false">IF(B203="","",IFERROR(INDEX('CARNET DE SOUDURE'!$E$7:$E$3006,MATCH(B203,'CARNET DE SOUDURE'!$O$7:$O$3006,0)),""))</f>
        <v>JN°861</v>
      </c>
      <c r="K203" s="82" t="str">
        <f aca="false">IF(B203="","",IFERROR(INDEX('CARNET DE SOUDURE'!$E$7:$E$3006,MATCH(B203,'CARNET DE SOUDURE'!$L$7:$L$3006,0)),""))</f>
        <v>DJ°411</v>
      </c>
      <c r="L203" s="82" t="n">
        <f aca="false">IF(B203="","",IFERROR(INDEX('CARNET DE SOUDURE'!$D$7:$D$3006,MATCH(B203,'CARNET DE SOUDURE'!$L$7:$L$3006,0)),IFERROR(INDEX('CARNET DE SOUDURE'!$D$7:$D$3006,MATCH(B203,'CARNET DE SOUDURE'!$O$7:$O$3006,0)),"")))</f>
        <v>6</v>
      </c>
      <c r="M203" s="82" t="str">
        <f aca="false">IF(B203="","",IF(OR(J203&lt;&gt;"",K203&lt;&gt;""),"POSÉ EN LIGNE",IF(COUNTIF(BARDAGE!$C$1:$C$5000,B203)&gt;0,"BARDÉ","EN STOCK")))</f>
        <v>POSÉ EN LIGNE</v>
      </c>
      <c r="N203" s="80"/>
    </row>
    <row r="204" customFormat="false" ht="15" hidden="false" customHeight="false" outlineLevel="0" collapsed="false">
      <c r="A204" s="82" t="n">
        <f aca="false">IF(B204="","",ROW()-6)</f>
        <v>198</v>
      </c>
      <c r="B204" s="145" t="n">
        <v>2086710</v>
      </c>
      <c r="C204" s="146" t="n">
        <v>15421107</v>
      </c>
      <c r="D204" s="146"/>
      <c r="E204" s="82" t="str">
        <f aca="false">IF(B204="","",IF(COUNTIFS('CARNET DE SOUDURE'!$L$7:$L$3006,B204,'CARNET DE SOUDURE'!$M$7:$M$3006,"&lt;&gt;"&amp;C204,'CARNET DE SOUDURE'!$M$7:$M$3006,"&lt;&gt;")+COUNTIFS('CARNET DE SOUDURE'!$O$7:$O$3006,B204,'CARNET DE SOUDURE'!$P$7:$P$3006,"&lt;&gt;"&amp;C204,'CARNET DE SOUDURE'!$P$7:$P$3006,"&lt;&gt;")&gt;0,"⚠ DIFFÉRENTE","OK"))</f>
        <v>OK</v>
      </c>
      <c r="F204" s="147" t="n">
        <v>11.94</v>
      </c>
      <c r="G204" s="80"/>
      <c r="H204" s="83"/>
      <c r="I204" s="148" t="str">
        <f aca="false">IF(B204="","",IFERROR(INDEX('CARNET DE SOUDURE'!$B$7:$B$3006,MATCH(B204,'CARNET DE SOUDURE'!$L$7:$L$3006,0)),IFERROR(INDEX('CARNET DE SOUDURE'!$B$7:$B$3006,MATCH(B204,'CARNET DE SOUDURE'!$O$7:$O$3006,0)),"")))</f>
        <v>MFD-ISW → MFD-CPF</v>
      </c>
      <c r="J204" s="82" t="str">
        <f aca="false">IF(B204="","",IFERROR(INDEX('CARNET DE SOUDURE'!$E$7:$E$3006,MATCH(B204,'CARNET DE SOUDURE'!$O$7:$O$3006,0)),""))</f>
        <v>DJ°411</v>
      </c>
      <c r="K204" s="82" t="str">
        <f aca="false">IF(B204="","",IFERROR(INDEX('CARNET DE SOUDURE'!$E$7:$E$3006,MATCH(B204,'CARNET DE SOUDURE'!$L$7:$L$3006,0)),""))</f>
        <v>JN°862</v>
      </c>
      <c r="L204" s="82" t="n">
        <f aca="false">IF(B204="","",IFERROR(INDEX('CARNET DE SOUDURE'!$D$7:$D$3006,MATCH(B204,'CARNET DE SOUDURE'!$L$7:$L$3006,0)),IFERROR(INDEX('CARNET DE SOUDURE'!$D$7:$D$3006,MATCH(B204,'CARNET DE SOUDURE'!$O$7:$O$3006,0)),"")))</f>
        <v>6</v>
      </c>
      <c r="M204" s="82" t="str">
        <f aca="false">IF(B204="","",IF(OR(J204&lt;&gt;"",K204&lt;&gt;""),"POSÉ EN LIGNE",IF(COUNTIF(BARDAGE!$C$1:$C$5000,B204)&gt;0,"BARDÉ","EN STOCK")))</f>
        <v>POSÉ EN LIGNE</v>
      </c>
      <c r="N204" s="80"/>
    </row>
    <row r="205" customFormat="false" ht="15" hidden="false" customHeight="false" outlineLevel="0" collapsed="false">
      <c r="A205" s="82" t="n">
        <f aca="false">IF(B205="","",ROW()-6)</f>
        <v>199</v>
      </c>
      <c r="B205" s="145" t="n">
        <v>2093140</v>
      </c>
      <c r="C205" s="146" t="n">
        <v>15421110</v>
      </c>
      <c r="D205" s="146"/>
      <c r="E205" s="82" t="str">
        <f aca="false">IF(B205="","",IF(COUNTIFS('CARNET DE SOUDURE'!$L$7:$L$3006,B205,'CARNET DE SOUDURE'!$M$7:$M$3006,"&lt;&gt;"&amp;C205,'CARNET DE SOUDURE'!$M$7:$M$3006,"&lt;&gt;")+COUNTIFS('CARNET DE SOUDURE'!$O$7:$O$3006,B205,'CARNET DE SOUDURE'!$P$7:$P$3006,"&lt;&gt;"&amp;C205,'CARNET DE SOUDURE'!$P$7:$P$3006,"&lt;&gt;")&gt;0,"⚠ DIFFÉRENTE","OK"))</f>
        <v>OK</v>
      </c>
      <c r="F205" s="147" t="n">
        <v>11.94</v>
      </c>
      <c r="G205" s="80"/>
      <c r="H205" s="83"/>
      <c r="I205" s="148" t="str">
        <f aca="false">IF(B205="","",IFERROR(INDEX('CARNET DE SOUDURE'!$B$7:$B$3006,MATCH(B205,'CARNET DE SOUDURE'!$L$7:$L$3006,0)),IFERROR(INDEX('CARNET DE SOUDURE'!$B$7:$B$3006,MATCH(B205,'CARNET DE SOUDURE'!$O$7:$O$3006,0)),"")))</f>
        <v>MFD-ISW → MFD-CPF</v>
      </c>
      <c r="J205" s="82" t="str">
        <f aca="false">IF(B205="","",IFERROR(INDEX('CARNET DE SOUDURE'!$E$7:$E$3006,MATCH(B205,'CARNET DE SOUDURE'!$O$7:$O$3006,0)),""))</f>
        <v>JN°862</v>
      </c>
      <c r="K205" s="82" t="str">
        <f aca="false">IF(B205="","",IFERROR(INDEX('CARNET DE SOUDURE'!$E$7:$E$3006,MATCH(B205,'CARNET DE SOUDURE'!$L$7:$L$3006,0)),""))</f>
        <v>DJ°360</v>
      </c>
      <c r="L205" s="82" t="n">
        <f aca="false">IF(B205="","",IFERROR(INDEX('CARNET DE SOUDURE'!$D$7:$D$3006,MATCH(B205,'CARNET DE SOUDURE'!$L$7:$L$3006,0)),IFERROR(INDEX('CARNET DE SOUDURE'!$D$7:$D$3006,MATCH(B205,'CARNET DE SOUDURE'!$O$7:$O$3006,0)),"")))</f>
        <v>6</v>
      </c>
      <c r="M205" s="82" t="str">
        <f aca="false">IF(B205="","",IF(OR(J205&lt;&gt;"",K205&lt;&gt;""),"POSÉ EN LIGNE",IF(COUNTIF(BARDAGE!$C$1:$C$5000,B205)&gt;0,"BARDÉ","EN STOCK")))</f>
        <v>POSÉ EN LIGNE</v>
      </c>
      <c r="N205" s="80"/>
    </row>
    <row r="206" customFormat="false" ht="15" hidden="false" customHeight="false" outlineLevel="0" collapsed="false">
      <c r="A206" s="82" t="n">
        <f aca="false">IF(B206="","",ROW()-6)</f>
        <v>200</v>
      </c>
      <c r="B206" s="145" t="n">
        <v>2094740</v>
      </c>
      <c r="C206" s="146" t="n">
        <v>15421111</v>
      </c>
      <c r="D206" s="146"/>
      <c r="E206" s="82" t="str">
        <f aca="false">IF(B206="","",IF(COUNTIFS('CARNET DE SOUDURE'!$L$7:$L$3006,B206,'CARNET DE SOUDURE'!$M$7:$M$3006,"&lt;&gt;"&amp;C206,'CARNET DE SOUDURE'!$M$7:$M$3006,"&lt;&gt;")+COUNTIFS('CARNET DE SOUDURE'!$O$7:$O$3006,B206,'CARNET DE SOUDURE'!$P$7:$P$3006,"&lt;&gt;"&amp;C206,'CARNET DE SOUDURE'!$P$7:$P$3006,"&lt;&gt;")&gt;0,"⚠ DIFFÉRENTE","OK"))</f>
        <v>OK</v>
      </c>
      <c r="F206" s="147" t="n">
        <v>11.94</v>
      </c>
      <c r="G206" s="80"/>
      <c r="H206" s="83"/>
      <c r="I206" s="148" t="str">
        <f aca="false">IF(B206="","",IFERROR(INDEX('CARNET DE SOUDURE'!$B$7:$B$3006,MATCH(B206,'CARNET DE SOUDURE'!$L$7:$L$3006,0)),IFERROR(INDEX('CARNET DE SOUDURE'!$B$7:$B$3006,MATCH(B206,'CARNET DE SOUDURE'!$O$7:$O$3006,0)),"")))</f>
        <v>MFD-ISW → MFD-CPF</v>
      </c>
      <c r="J206" s="82" t="str">
        <f aca="false">IF(B206="","",IFERROR(INDEX('CARNET DE SOUDURE'!$E$7:$E$3006,MATCH(B206,'CARNET DE SOUDURE'!$O$7:$O$3006,0)),""))</f>
        <v>DJ°360</v>
      </c>
      <c r="K206" s="82" t="str">
        <f aca="false">IF(B206="","",IFERROR(INDEX('CARNET DE SOUDURE'!$E$7:$E$3006,MATCH(B206,'CARNET DE SOUDURE'!$L$7:$L$3006,0)),""))</f>
        <v>JN°863</v>
      </c>
      <c r="L206" s="82" t="n">
        <f aca="false">IF(B206="","",IFERROR(INDEX('CARNET DE SOUDURE'!$D$7:$D$3006,MATCH(B206,'CARNET DE SOUDURE'!$L$7:$L$3006,0)),IFERROR(INDEX('CARNET DE SOUDURE'!$D$7:$D$3006,MATCH(B206,'CARNET DE SOUDURE'!$O$7:$O$3006,0)),"")))</f>
        <v>6</v>
      </c>
      <c r="M206" s="82" t="str">
        <f aca="false">IF(B206="","",IF(OR(J206&lt;&gt;"",K206&lt;&gt;""),"POSÉ EN LIGNE",IF(COUNTIF(BARDAGE!$C$1:$C$5000,B206)&gt;0,"BARDÉ","EN STOCK")))</f>
        <v>POSÉ EN LIGNE</v>
      </c>
      <c r="N206" s="80"/>
    </row>
    <row r="207" customFormat="false" ht="15" hidden="false" customHeight="false" outlineLevel="0" collapsed="false">
      <c r="A207" s="82" t="n">
        <f aca="false">IF(B207="","",ROW()-6)</f>
        <v>201</v>
      </c>
      <c r="B207" s="145" t="n">
        <v>2094510</v>
      </c>
      <c r="C207" s="146" t="n">
        <v>15421111</v>
      </c>
      <c r="D207" s="146"/>
      <c r="E207" s="82" t="str">
        <f aca="false">IF(B207="","",IF(COUNTIFS('CARNET DE SOUDURE'!$L$7:$L$3006,B207,'CARNET DE SOUDURE'!$M$7:$M$3006,"&lt;&gt;"&amp;C207,'CARNET DE SOUDURE'!$M$7:$M$3006,"&lt;&gt;")+COUNTIFS('CARNET DE SOUDURE'!$O$7:$O$3006,B207,'CARNET DE SOUDURE'!$P$7:$P$3006,"&lt;&gt;"&amp;C207,'CARNET DE SOUDURE'!$P$7:$P$3006,"&lt;&gt;")&gt;0,"⚠ DIFFÉRENTE","OK"))</f>
        <v>OK</v>
      </c>
      <c r="F207" s="147" t="n">
        <v>11.94</v>
      </c>
      <c r="G207" s="80"/>
      <c r="H207" s="83"/>
      <c r="I207" s="148" t="str">
        <f aca="false">IF(B207="","",IFERROR(INDEX('CARNET DE SOUDURE'!$B$7:$B$3006,MATCH(B207,'CARNET DE SOUDURE'!$L$7:$L$3006,0)),IFERROR(INDEX('CARNET DE SOUDURE'!$B$7:$B$3006,MATCH(B207,'CARNET DE SOUDURE'!$O$7:$O$3006,0)),"")))</f>
        <v>MFD-ISW → MFD-CPF</v>
      </c>
      <c r="J207" s="82" t="str">
        <f aca="false">IF(B207="","",IFERROR(INDEX('CARNET DE SOUDURE'!$E$7:$E$3006,MATCH(B207,'CARNET DE SOUDURE'!$O$7:$O$3006,0)),""))</f>
        <v>JN°863</v>
      </c>
      <c r="K207" s="82" t="str">
        <f aca="false">IF(B207="","",IFERROR(INDEX('CARNET DE SOUDURE'!$E$7:$E$3006,MATCH(B207,'CARNET DE SOUDURE'!$L$7:$L$3006,0)),""))</f>
        <v>DJ°414</v>
      </c>
      <c r="L207" s="82" t="n">
        <f aca="false">IF(B207="","",IFERROR(INDEX('CARNET DE SOUDURE'!$D$7:$D$3006,MATCH(B207,'CARNET DE SOUDURE'!$L$7:$L$3006,0)),IFERROR(INDEX('CARNET DE SOUDURE'!$D$7:$D$3006,MATCH(B207,'CARNET DE SOUDURE'!$O$7:$O$3006,0)),"")))</f>
        <v>6</v>
      </c>
      <c r="M207" s="82" t="str">
        <f aca="false">IF(B207="","",IF(OR(J207&lt;&gt;"",K207&lt;&gt;""),"POSÉ EN LIGNE",IF(COUNTIF(BARDAGE!$C$1:$C$5000,B207)&gt;0,"BARDÉ","EN STOCK")))</f>
        <v>POSÉ EN LIGNE</v>
      </c>
      <c r="N207" s="80"/>
    </row>
    <row r="208" customFormat="false" ht="15" hidden="false" customHeight="false" outlineLevel="0" collapsed="false">
      <c r="A208" s="82" t="n">
        <f aca="false">IF(B208="","",ROW()-6)</f>
        <v>202</v>
      </c>
      <c r="B208" s="145" t="n">
        <v>2089690</v>
      </c>
      <c r="C208" s="146" t="n">
        <v>15421109</v>
      </c>
      <c r="D208" s="146"/>
      <c r="E208" s="82" t="str">
        <f aca="false">IF(B208="","",IF(COUNTIFS('CARNET DE SOUDURE'!$L$7:$L$3006,B208,'CARNET DE SOUDURE'!$M$7:$M$3006,"&lt;&gt;"&amp;C208,'CARNET DE SOUDURE'!$M$7:$M$3006,"&lt;&gt;")+COUNTIFS('CARNET DE SOUDURE'!$O$7:$O$3006,B208,'CARNET DE SOUDURE'!$P$7:$P$3006,"&lt;&gt;"&amp;C208,'CARNET DE SOUDURE'!$P$7:$P$3006,"&lt;&gt;")&gt;0,"⚠ DIFFÉRENTE","OK"))</f>
        <v>OK</v>
      </c>
      <c r="F208" s="147" t="n">
        <v>11.94</v>
      </c>
      <c r="G208" s="80"/>
      <c r="H208" s="83"/>
      <c r="I208" s="148" t="str">
        <f aca="false">IF(B208="","",IFERROR(INDEX('CARNET DE SOUDURE'!$B$7:$B$3006,MATCH(B208,'CARNET DE SOUDURE'!$L$7:$L$3006,0)),IFERROR(INDEX('CARNET DE SOUDURE'!$B$7:$B$3006,MATCH(B208,'CARNET DE SOUDURE'!$O$7:$O$3006,0)),"")))</f>
        <v>MFD-ISW → MFD-CPF</v>
      </c>
      <c r="J208" s="82" t="str">
        <f aca="false">IF(B208="","",IFERROR(INDEX('CARNET DE SOUDURE'!$E$7:$E$3006,MATCH(B208,'CARNET DE SOUDURE'!$O$7:$O$3006,0)),""))</f>
        <v>DJ°414</v>
      </c>
      <c r="K208" s="82" t="str">
        <f aca="false">IF(B208="","",IFERROR(INDEX('CARNET DE SOUDURE'!$E$7:$E$3006,MATCH(B208,'CARNET DE SOUDURE'!$L$7:$L$3006,0)),""))</f>
        <v>JN°864</v>
      </c>
      <c r="L208" s="82" t="n">
        <f aca="false">IF(B208="","",IFERROR(INDEX('CARNET DE SOUDURE'!$D$7:$D$3006,MATCH(B208,'CARNET DE SOUDURE'!$L$7:$L$3006,0)),IFERROR(INDEX('CARNET DE SOUDURE'!$D$7:$D$3006,MATCH(B208,'CARNET DE SOUDURE'!$O$7:$O$3006,0)),"")))</f>
        <v>6</v>
      </c>
      <c r="M208" s="82" t="str">
        <f aca="false">IF(B208="","",IF(OR(J208&lt;&gt;"",K208&lt;&gt;""),"POSÉ EN LIGNE",IF(COUNTIF(BARDAGE!$C$1:$C$5000,B208)&gt;0,"BARDÉ","EN STOCK")))</f>
        <v>POSÉ EN LIGNE</v>
      </c>
      <c r="N208" s="80"/>
    </row>
    <row r="209" customFormat="false" ht="15" hidden="false" customHeight="false" outlineLevel="0" collapsed="false">
      <c r="A209" s="82" t="n">
        <f aca="false">IF(B209="","",ROW()-6)</f>
        <v>203</v>
      </c>
      <c r="B209" s="145" t="n">
        <v>2083800</v>
      </c>
      <c r="C209" s="146" t="n">
        <v>15421105</v>
      </c>
      <c r="D209" s="146"/>
      <c r="E209" s="82" t="str">
        <f aca="false">IF(B209="","",IF(COUNTIFS('CARNET DE SOUDURE'!$L$7:$L$3006,B209,'CARNET DE SOUDURE'!$M$7:$M$3006,"&lt;&gt;"&amp;C209,'CARNET DE SOUDURE'!$M$7:$M$3006,"&lt;&gt;")+COUNTIFS('CARNET DE SOUDURE'!$O$7:$O$3006,B209,'CARNET DE SOUDURE'!$P$7:$P$3006,"&lt;&gt;"&amp;C209,'CARNET DE SOUDURE'!$P$7:$P$3006,"&lt;&gt;")&gt;0,"⚠ DIFFÉRENTE","OK"))</f>
        <v>OK</v>
      </c>
      <c r="F209" s="147" t="n">
        <v>11.94</v>
      </c>
      <c r="G209" s="80"/>
      <c r="H209" s="83"/>
      <c r="I209" s="148" t="str">
        <f aca="false">IF(B209="","",IFERROR(INDEX('CARNET DE SOUDURE'!$B$7:$B$3006,MATCH(B209,'CARNET DE SOUDURE'!$L$7:$L$3006,0)),IFERROR(INDEX('CARNET DE SOUDURE'!$B$7:$B$3006,MATCH(B209,'CARNET DE SOUDURE'!$O$7:$O$3006,0)),"")))</f>
        <v>MFD-ISW → MFD-CPF</v>
      </c>
      <c r="J209" s="82" t="str">
        <f aca="false">IF(B209="","",IFERROR(INDEX('CARNET DE SOUDURE'!$E$7:$E$3006,MATCH(B209,'CARNET DE SOUDURE'!$O$7:$O$3006,0)),""))</f>
        <v>JN°864</v>
      </c>
      <c r="K209" s="82" t="str">
        <f aca="false">IF(B209="","",IFERROR(INDEX('CARNET DE SOUDURE'!$E$7:$E$3006,MATCH(B209,'CARNET DE SOUDURE'!$L$7:$L$3006,0)),""))</f>
        <v>DJ°426</v>
      </c>
      <c r="L209" s="82" t="n">
        <f aca="false">IF(B209="","",IFERROR(INDEX('CARNET DE SOUDURE'!$D$7:$D$3006,MATCH(B209,'CARNET DE SOUDURE'!$L$7:$L$3006,0)),IFERROR(INDEX('CARNET DE SOUDURE'!$D$7:$D$3006,MATCH(B209,'CARNET DE SOUDURE'!$O$7:$O$3006,0)),"")))</f>
        <v>6</v>
      </c>
      <c r="M209" s="82" t="str">
        <f aca="false">IF(B209="","",IF(OR(J209&lt;&gt;"",K209&lt;&gt;""),"POSÉ EN LIGNE",IF(COUNTIF(BARDAGE!$C$1:$C$5000,B209)&gt;0,"BARDÉ","EN STOCK")))</f>
        <v>POSÉ EN LIGNE</v>
      </c>
      <c r="N209" s="80"/>
    </row>
    <row r="210" customFormat="false" ht="15" hidden="false" customHeight="false" outlineLevel="0" collapsed="false">
      <c r="A210" s="82" t="n">
        <f aca="false">IF(B210="","",ROW()-6)</f>
        <v>204</v>
      </c>
      <c r="B210" s="145" t="n">
        <v>2085370</v>
      </c>
      <c r="C210" s="146" t="n">
        <v>15421106</v>
      </c>
      <c r="D210" s="146"/>
      <c r="E210" s="82" t="str">
        <f aca="false">IF(B210="","",IF(COUNTIFS('CARNET DE SOUDURE'!$L$7:$L$3006,B210,'CARNET DE SOUDURE'!$M$7:$M$3006,"&lt;&gt;"&amp;C210,'CARNET DE SOUDURE'!$M$7:$M$3006,"&lt;&gt;")+COUNTIFS('CARNET DE SOUDURE'!$O$7:$O$3006,B210,'CARNET DE SOUDURE'!$P$7:$P$3006,"&lt;&gt;"&amp;C210,'CARNET DE SOUDURE'!$P$7:$P$3006,"&lt;&gt;")&gt;0,"⚠ DIFFÉRENTE","OK"))</f>
        <v>OK</v>
      </c>
      <c r="F210" s="147" t="n">
        <v>11.94</v>
      </c>
      <c r="G210" s="80"/>
      <c r="H210" s="83"/>
      <c r="I210" s="148" t="str">
        <f aca="false">IF(B210="","",IFERROR(INDEX('CARNET DE SOUDURE'!$B$7:$B$3006,MATCH(B210,'CARNET DE SOUDURE'!$L$7:$L$3006,0)),IFERROR(INDEX('CARNET DE SOUDURE'!$B$7:$B$3006,MATCH(B210,'CARNET DE SOUDURE'!$O$7:$O$3006,0)),"")))</f>
        <v>MFD-ISW → MFD-CPF</v>
      </c>
      <c r="J210" s="82" t="str">
        <f aca="false">IF(B210="","",IFERROR(INDEX('CARNET DE SOUDURE'!$E$7:$E$3006,MATCH(B210,'CARNET DE SOUDURE'!$O$7:$O$3006,0)),""))</f>
        <v>DJ°426</v>
      </c>
      <c r="K210" s="82" t="str">
        <f aca="false">IF(B210="","",IFERROR(INDEX('CARNET DE SOUDURE'!$E$7:$E$3006,MATCH(B210,'CARNET DE SOUDURE'!$L$7:$L$3006,0)),""))</f>
        <v>JN°865</v>
      </c>
      <c r="L210" s="82" t="n">
        <f aca="false">IF(B210="","",IFERROR(INDEX('CARNET DE SOUDURE'!$D$7:$D$3006,MATCH(B210,'CARNET DE SOUDURE'!$L$7:$L$3006,0)),IFERROR(INDEX('CARNET DE SOUDURE'!$D$7:$D$3006,MATCH(B210,'CARNET DE SOUDURE'!$O$7:$O$3006,0)),"")))</f>
        <v>6</v>
      </c>
      <c r="M210" s="82" t="str">
        <f aca="false">IF(B210="","",IF(OR(J210&lt;&gt;"",K210&lt;&gt;""),"POSÉ EN LIGNE",IF(COUNTIF(BARDAGE!$C$1:$C$5000,B210)&gt;0,"BARDÉ","EN STOCK")))</f>
        <v>POSÉ EN LIGNE</v>
      </c>
      <c r="N210" s="80"/>
    </row>
    <row r="211" customFormat="false" ht="15" hidden="false" customHeight="false" outlineLevel="0" collapsed="false">
      <c r="A211" s="82" t="n">
        <f aca="false">IF(B211="","",ROW()-6)</f>
        <v>205</v>
      </c>
      <c r="B211" s="145" t="n">
        <v>2086720</v>
      </c>
      <c r="C211" s="146" t="n">
        <v>15421107</v>
      </c>
      <c r="D211" s="146"/>
      <c r="E211" s="82" t="str">
        <f aca="false">IF(B211="","",IF(COUNTIFS('CARNET DE SOUDURE'!$L$7:$L$3006,B211,'CARNET DE SOUDURE'!$M$7:$M$3006,"&lt;&gt;"&amp;C211,'CARNET DE SOUDURE'!$M$7:$M$3006,"&lt;&gt;")+COUNTIFS('CARNET DE SOUDURE'!$O$7:$O$3006,B211,'CARNET DE SOUDURE'!$P$7:$P$3006,"&lt;&gt;"&amp;C211,'CARNET DE SOUDURE'!$P$7:$P$3006,"&lt;&gt;")&gt;0,"⚠ DIFFÉRENTE","OK"))</f>
        <v>OK</v>
      </c>
      <c r="F211" s="147" t="n">
        <v>11.94</v>
      </c>
      <c r="G211" s="80"/>
      <c r="H211" s="83"/>
      <c r="I211" s="148" t="str">
        <f aca="false">IF(B211="","",IFERROR(INDEX('CARNET DE SOUDURE'!$B$7:$B$3006,MATCH(B211,'CARNET DE SOUDURE'!$L$7:$L$3006,0)),IFERROR(INDEX('CARNET DE SOUDURE'!$B$7:$B$3006,MATCH(B211,'CARNET DE SOUDURE'!$O$7:$O$3006,0)),"")))</f>
        <v>MFD-ISW → MFD-CPF</v>
      </c>
      <c r="J211" s="82" t="str">
        <f aca="false">IF(B211="","",IFERROR(INDEX('CARNET DE SOUDURE'!$E$7:$E$3006,MATCH(B211,'CARNET DE SOUDURE'!$O$7:$O$3006,0)),""))</f>
        <v>JN°865</v>
      </c>
      <c r="K211" s="82" t="str">
        <f aca="false">IF(B211="","",IFERROR(INDEX('CARNET DE SOUDURE'!$E$7:$E$3006,MATCH(B211,'CARNET DE SOUDURE'!$L$7:$L$3006,0)),""))</f>
        <v>DJ°413</v>
      </c>
      <c r="L211" s="82" t="n">
        <f aca="false">IF(B211="","",IFERROR(INDEX('CARNET DE SOUDURE'!$D$7:$D$3006,MATCH(B211,'CARNET DE SOUDURE'!$L$7:$L$3006,0)),IFERROR(INDEX('CARNET DE SOUDURE'!$D$7:$D$3006,MATCH(B211,'CARNET DE SOUDURE'!$O$7:$O$3006,0)),"")))</f>
        <v>6</v>
      </c>
      <c r="M211" s="82" t="str">
        <f aca="false">IF(B211="","",IF(OR(J211&lt;&gt;"",K211&lt;&gt;""),"POSÉ EN LIGNE",IF(COUNTIF(BARDAGE!$C$1:$C$5000,B211)&gt;0,"BARDÉ","EN STOCK")))</f>
        <v>POSÉ EN LIGNE</v>
      </c>
      <c r="N211" s="80"/>
    </row>
    <row r="212" customFormat="false" ht="15" hidden="false" customHeight="false" outlineLevel="0" collapsed="false">
      <c r="A212" s="82" t="n">
        <f aca="false">IF(B212="","",ROW()-6)</f>
        <v>206</v>
      </c>
      <c r="B212" s="145" t="n">
        <v>2090100</v>
      </c>
      <c r="C212" s="146" t="n">
        <v>15421109</v>
      </c>
      <c r="D212" s="146"/>
      <c r="E212" s="82" t="str">
        <f aca="false">IF(B212="","",IF(COUNTIFS('CARNET DE SOUDURE'!$L$7:$L$3006,B212,'CARNET DE SOUDURE'!$M$7:$M$3006,"&lt;&gt;"&amp;C212,'CARNET DE SOUDURE'!$M$7:$M$3006,"&lt;&gt;")+COUNTIFS('CARNET DE SOUDURE'!$O$7:$O$3006,B212,'CARNET DE SOUDURE'!$P$7:$P$3006,"&lt;&gt;"&amp;C212,'CARNET DE SOUDURE'!$P$7:$P$3006,"&lt;&gt;")&gt;0,"⚠ DIFFÉRENTE","OK"))</f>
        <v>OK</v>
      </c>
      <c r="F212" s="147" t="n">
        <v>11.94</v>
      </c>
      <c r="G212" s="80"/>
      <c r="H212" s="83"/>
      <c r="I212" s="148" t="str">
        <f aca="false">IF(B212="","",IFERROR(INDEX('CARNET DE SOUDURE'!$B$7:$B$3006,MATCH(B212,'CARNET DE SOUDURE'!$L$7:$L$3006,0)),IFERROR(INDEX('CARNET DE SOUDURE'!$B$7:$B$3006,MATCH(B212,'CARNET DE SOUDURE'!$O$7:$O$3006,0)),"")))</f>
        <v>MFD-ISW → MFD-CPF</v>
      </c>
      <c r="J212" s="82" t="str">
        <f aca="false">IF(B212="","",IFERROR(INDEX('CARNET DE SOUDURE'!$E$7:$E$3006,MATCH(B212,'CARNET DE SOUDURE'!$O$7:$O$3006,0)),""))</f>
        <v>DJ°413</v>
      </c>
      <c r="K212" s="82" t="str">
        <f aca="false">IF(B212="","",IFERROR(INDEX('CARNET DE SOUDURE'!$E$7:$E$3006,MATCH(B212,'CARNET DE SOUDURE'!$L$7:$L$3006,0)),""))</f>
        <v>JN°866</v>
      </c>
      <c r="L212" s="82" t="n">
        <f aca="false">IF(B212="","",IFERROR(INDEX('CARNET DE SOUDURE'!$D$7:$D$3006,MATCH(B212,'CARNET DE SOUDURE'!$L$7:$L$3006,0)),IFERROR(INDEX('CARNET DE SOUDURE'!$D$7:$D$3006,MATCH(B212,'CARNET DE SOUDURE'!$O$7:$O$3006,0)),"")))</f>
        <v>6</v>
      </c>
      <c r="M212" s="82" t="str">
        <f aca="false">IF(B212="","",IF(OR(J212&lt;&gt;"",K212&lt;&gt;""),"POSÉ EN LIGNE",IF(COUNTIF(BARDAGE!$C$1:$C$5000,B212)&gt;0,"BARDÉ","EN STOCK")))</f>
        <v>POSÉ EN LIGNE</v>
      </c>
      <c r="N212" s="80"/>
    </row>
    <row r="213" customFormat="false" ht="15" hidden="false" customHeight="false" outlineLevel="0" collapsed="false">
      <c r="A213" s="82" t="n">
        <f aca="false">IF(B213="","",ROW()-6)</f>
        <v>207</v>
      </c>
      <c r="B213" s="145" t="n">
        <v>2078940</v>
      </c>
      <c r="C213" s="146" t="n">
        <v>15421101</v>
      </c>
      <c r="D213" s="146"/>
      <c r="E213" s="82" t="str">
        <f aca="false">IF(B213="","",IF(COUNTIFS('CARNET DE SOUDURE'!$L$7:$L$3006,B213,'CARNET DE SOUDURE'!$M$7:$M$3006,"&lt;&gt;"&amp;C213,'CARNET DE SOUDURE'!$M$7:$M$3006,"&lt;&gt;")+COUNTIFS('CARNET DE SOUDURE'!$O$7:$O$3006,B213,'CARNET DE SOUDURE'!$P$7:$P$3006,"&lt;&gt;"&amp;C213,'CARNET DE SOUDURE'!$P$7:$P$3006,"&lt;&gt;")&gt;0,"⚠ DIFFÉRENTE","OK"))</f>
        <v>⚠ DIFFÉRENTE</v>
      </c>
      <c r="F213" s="147" t="n">
        <v>11.94</v>
      </c>
      <c r="G213" s="80"/>
      <c r="H213" s="83"/>
      <c r="I213" s="148" t="str">
        <f aca="false">IF(B213="","",IFERROR(INDEX('CARNET DE SOUDURE'!$B$7:$B$3006,MATCH(B213,'CARNET DE SOUDURE'!$L$7:$L$3006,0)),IFERROR(INDEX('CARNET DE SOUDURE'!$B$7:$B$3006,MATCH(B213,'CARNET DE SOUDURE'!$O$7:$O$3006,0)),"")))</f>
        <v>MFD-ISW → MFD-CPF</v>
      </c>
      <c r="J213" s="82" t="str">
        <f aca="false">IF(B213="","",IFERROR(INDEX('CARNET DE SOUDURE'!$E$7:$E$3006,MATCH(B213,'CARNET DE SOUDURE'!$O$7:$O$3006,0)),""))</f>
        <v>JN°866</v>
      </c>
      <c r="K213" s="82" t="str">
        <f aca="false">IF(B213="","",IFERROR(INDEX('CARNET DE SOUDURE'!$E$7:$E$3006,MATCH(B213,'CARNET DE SOUDURE'!$L$7:$L$3006,0)),""))</f>
        <v>DJ°341</v>
      </c>
      <c r="L213" s="82" t="n">
        <f aca="false">IF(B213="","",IFERROR(INDEX('CARNET DE SOUDURE'!$D$7:$D$3006,MATCH(B213,'CARNET DE SOUDURE'!$L$7:$L$3006,0)),IFERROR(INDEX('CARNET DE SOUDURE'!$D$7:$D$3006,MATCH(B213,'CARNET DE SOUDURE'!$O$7:$O$3006,0)),"")))</f>
        <v>6</v>
      </c>
      <c r="M213" s="82" t="str">
        <f aca="false">IF(B213="","",IF(OR(J213&lt;&gt;"",K213&lt;&gt;""),"POSÉ EN LIGNE",IF(COUNTIF(BARDAGE!$C$1:$C$5000,B213)&gt;0,"BARDÉ","EN STOCK")))</f>
        <v>POSÉ EN LIGNE</v>
      </c>
      <c r="N213" s="80"/>
    </row>
    <row r="214" customFormat="false" ht="15" hidden="false" customHeight="false" outlineLevel="0" collapsed="false">
      <c r="A214" s="82" t="n">
        <f aca="false">IF(B214="","",ROW()-6)</f>
        <v>208</v>
      </c>
      <c r="B214" s="145" t="n">
        <v>2086410</v>
      </c>
      <c r="C214" s="146" t="n">
        <v>15421107</v>
      </c>
      <c r="D214" s="146"/>
      <c r="E214" s="82" t="str">
        <f aca="false">IF(B214="","",IF(COUNTIFS('CARNET DE SOUDURE'!$L$7:$L$3006,B214,'CARNET DE SOUDURE'!$M$7:$M$3006,"&lt;&gt;"&amp;C214,'CARNET DE SOUDURE'!$M$7:$M$3006,"&lt;&gt;")+COUNTIFS('CARNET DE SOUDURE'!$O$7:$O$3006,B214,'CARNET DE SOUDURE'!$P$7:$P$3006,"&lt;&gt;"&amp;C214,'CARNET DE SOUDURE'!$P$7:$P$3006,"&lt;&gt;")&gt;0,"⚠ DIFFÉRENTE","OK"))</f>
        <v>OK</v>
      </c>
      <c r="F214" s="147" t="n">
        <v>11.94</v>
      </c>
      <c r="G214" s="80"/>
      <c r="H214" s="83"/>
      <c r="I214" s="148" t="str">
        <f aca="false">IF(B214="","",IFERROR(INDEX('CARNET DE SOUDURE'!$B$7:$B$3006,MATCH(B214,'CARNET DE SOUDURE'!$L$7:$L$3006,0)),IFERROR(INDEX('CARNET DE SOUDURE'!$B$7:$B$3006,MATCH(B214,'CARNET DE SOUDURE'!$O$7:$O$3006,0)),"")))</f>
        <v>MFD-ISW → MFD-CPF</v>
      </c>
      <c r="J214" s="82" t="str">
        <f aca="false">IF(B214="","",IFERROR(INDEX('CARNET DE SOUDURE'!$E$7:$E$3006,MATCH(B214,'CARNET DE SOUDURE'!$O$7:$O$3006,0)),""))</f>
        <v>DJ°341</v>
      </c>
      <c r="K214" s="82" t="str">
        <f aca="false">IF(B214="","",IFERROR(INDEX('CARNET DE SOUDURE'!$E$7:$E$3006,MATCH(B214,'CARNET DE SOUDURE'!$L$7:$L$3006,0)),""))</f>
        <v>JN°867</v>
      </c>
      <c r="L214" s="82" t="n">
        <f aca="false">IF(B214="","",IFERROR(INDEX('CARNET DE SOUDURE'!$D$7:$D$3006,MATCH(B214,'CARNET DE SOUDURE'!$L$7:$L$3006,0)),IFERROR(INDEX('CARNET DE SOUDURE'!$D$7:$D$3006,MATCH(B214,'CARNET DE SOUDURE'!$O$7:$O$3006,0)),"")))</f>
        <v>6</v>
      </c>
      <c r="M214" s="82" t="str">
        <f aca="false">IF(B214="","",IF(OR(J214&lt;&gt;"",K214&lt;&gt;""),"POSÉ EN LIGNE",IF(COUNTIF(BARDAGE!$C$1:$C$5000,B214)&gt;0,"BARDÉ","EN STOCK")))</f>
        <v>POSÉ EN LIGNE</v>
      </c>
      <c r="N214" s="80"/>
    </row>
    <row r="215" customFormat="false" ht="15" hidden="false" customHeight="false" outlineLevel="0" collapsed="false">
      <c r="A215" s="82" t="n">
        <f aca="false">IF(B215="","",ROW()-6)</f>
        <v>209</v>
      </c>
      <c r="B215" s="145" t="n">
        <v>2081780</v>
      </c>
      <c r="C215" s="146" t="n">
        <v>15421106</v>
      </c>
      <c r="D215" s="146"/>
      <c r="E215" s="82" t="str">
        <f aca="false">IF(B215="","",IF(COUNTIFS('CARNET DE SOUDURE'!$L$7:$L$3006,B215,'CARNET DE SOUDURE'!$M$7:$M$3006,"&lt;&gt;"&amp;C215,'CARNET DE SOUDURE'!$M$7:$M$3006,"&lt;&gt;")+COUNTIFS('CARNET DE SOUDURE'!$O$7:$O$3006,B215,'CARNET DE SOUDURE'!$P$7:$P$3006,"&lt;&gt;"&amp;C215,'CARNET DE SOUDURE'!$P$7:$P$3006,"&lt;&gt;")&gt;0,"⚠ DIFFÉRENTE","OK"))</f>
        <v>OK</v>
      </c>
      <c r="F215" s="147" t="n">
        <v>11.94</v>
      </c>
      <c r="G215" s="80"/>
      <c r="H215" s="83"/>
      <c r="I215" s="148" t="str">
        <f aca="false">IF(B215="","",IFERROR(INDEX('CARNET DE SOUDURE'!$B$7:$B$3006,MATCH(B215,'CARNET DE SOUDURE'!$L$7:$L$3006,0)),IFERROR(INDEX('CARNET DE SOUDURE'!$B$7:$B$3006,MATCH(B215,'CARNET DE SOUDURE'!$O$7:$O$3006,0)),"")))</f>
        <v>MFD-ISW → MFD-CPF</v>
      </c>
      <c r="J215" s="82" t="str">
        <f aca="false">IF(B215="","",IFERROR(INDEX('CARNET DE SOUDURE'!$E$7:$E$3006,MATCH(B215,'CARNET DE SOUDURE'!$O$7:$O$3006,0)),""))</f>
        <v>JN°867</v>
      </c>
      <c r="K215" s="82" t="str">
        <f aca="false">IF(B215="","",IFERROR(INDEX('CARNET DE SOUDURE'!$E$7:$E$3006,MATCH(B215,'CARNET DE SOUDURE'!$L$7:$L$3006,0)),""))</f>
        <v>DJ°410</v>
      </c>
      <c r="L215" s="82" t="n">
        <f aca="false">IF(B215="","",IFERROR(INDEX('CARNET DE SOUDURE'!$D$7:$D$3006,MATCH(B215,'CARNET DE SOUDURE'!$L$7:$L$3006,0)),IFERROR(INDEX('CARNET DE SOUDURE'!$D$7:$D$3006,MATCH(B215,'CARNET DE SOUDURE'!$O$7:$O$3006,0)),"")))</f>
        <v>6</v>
      </c>
      <c r="M215" s="82" t="str">
        <f aca="false">IF(B215="","",IF(OR(J215&lt;&gt;"",K215&lt;&gt;""),"POSÉ EN LIGNE",IF(COUNTIF(BARDAGE!$C$1:$C$5000,B215)&gt;0,"BARDÉ","EN STOCK")))</f>
        <v>POSÉ EN LIGNE</v>
      </c>
      <c r="N215" s="80"/>
    </row>
    <row r="216" customFormat="false" ht="15" hidden="false" customHeight="false" outlineLevel="0" collapsed="false">
      <c r="A216" s="82" t="n">
        <f aca="false">IF(B216="","",ROW()-6)</f>
        <v>210</v>
      </c>
      <c r="B216" s="145" t="n">
        <v>2088710</v>
      </c>
      <c r="C216" s="146" t="n">
        <v>1542408</v>
      </c>
      <c r="D216" s="146"/>
      <c r="E216" s="82" t="str">
        <f aca="false">IF(B216="","",IF(COUNTIFS('CARNET DE SOUDURE'!$L$7:$L$3006,B216,'CARNET DE SOUDURE'!$M$7:$M$3006,"&lt;&gt;"&amp;C216,'CARNET DE SOUDURE'!$M$7:$M$3006,"&lt;&gt;")+COUNTIFS('CARNET DE SOUDURE'!$O$7:$O$3006,B216,'CARNET DE SOUDURE'!$P$7:$P$3006,"&lt;&gt;"&amp;C216,'CARNET DE SOUDURE'!$P$7:$P$3006,"&lt;&gt;")&gt;0,"⚠ DIFFÉRENTE","OK"))</f>
        <v>OK</v>
      </c>
      <c r="F216" s="147" t="n">
        <v>11.94</v>
      </c>
      <c r="G216" s="80"/>
      <c r="H216" s="83"/>
      <c r="I216" s="148" t="str">
        <f aca="false">IF(B216="","",IFERROR(INDEX('CARNET DE SOUDURE'!$B$7:$B$3006,MATCH(B216,'CARNET DE SOUDURE'!$L$7:$L$3006,0)),IFERROR(INDEX('CARNET DE SOUDURE'!$B$7:$B$3006,MATCH(B216,'CARNET DE SOUDURE'!$O$7:$O$3006,0)),"")))</f>
        <v>MFD-ISW → MFD-CPF</v>
      </c>
      <c r="J216" s="82" t="str">
        <f aca="false">IF(B216="","",IFERROR(INDEX('CARNET DE SOUDURE'!$E$7:$E$3006,MATCH(B216,'CARNET DE SOUDURE'!$O$7:$O$3006,0)),""))</f>
        <v>DJ°410</v>
      </c>
      <c r="K216" s="82" t="str">
        <f aca="false">IF(B216="","",IFERROR(INDEX('CARNET DE SOUDURE'!$E$7:$E$3006,MATCH(B216,'CARNET DE SOUDURE'!$L$7:$L$3006,0)),""))</f>
        <v>JN°868</v>
      </c>
      <c r="L216" s="82" t="n">
        <f aca="false">IF(B216="","",IFERROR(INDEX('CARNET DE SOUDURE'!$D$7:$D$3006,MATCH(B216,'CARNET DE SOUDURE'!$L$7:$L$3006,0)),IFERROR(INDEX('CARNET DE SOUDURE'!$D$7:$D$3006,MATCH(B216,'CARNET DE SOUDURE'!$O$7:$O$3006,0)),"")))</f>
        <v>6</v>
      </c>
      <c r="M216" s="82" t="str">
        <f aca="false">IF(B216="","",IF(OR(J216&lt;&gt;"",K216&lt;&gt;""),"POSÉ EN LIGNE",IF(COUNTIF(BARDAGE!$C$1:$C$5000,B216)&gt;0,"BARDÉ","EN STOCK")))</f>
        <v>POSÉ EN LIGNE</v>
      </c>
      <c r="N216" s="80"/>
    </row>
    <row r="217" customFormat="false" ht="15" hidden="false" customHeight="false" outlineLevel="0" collapsed="false">
      <c r="A217" s="82" t="n">
        <f aca="false">IF(B217="","",ROW()-6)</f>
        <v>211</v>
      </c>
      <c r="B217" s="145" t="n">
        <v>2085070</v>
      </c>
      <c r="C217" s="146" t="n">
        <v>15421106</v>
      </c>
      <c r="D217" s="146"/>
      <c r="E217" s="82" t="str">
        <f aca="false">IF(B217="","",IF(COUNTIFS('CARNET DE SOUDURE'!$L$7:$L$3006,B217,'CARNET DE SOUDURE'!$M$7:$M$3006,"&lt;&gt;"&amp;C217,'CARNET DE SOUDURE'!$M$7:$M$3006,"&lt;&gt;")+COUNTIFS('CARNET DE SOUDURE'!$O$7:$O$3006,B217,'CARNET DE SOUDURE'!$P$7:$P$3006,"&lt;&gt;"&amp;C217,'CARNET DE SOUDURE'!$P$7:$P$3006,"&lt;&gt;")&gt;0,"⚠ DIFFÉRENTE","OK"))</f>
        <v>OK</v>
      </c>
      <c r="F217" s="147" t="n">
        <v>11.94</v>
      </c>
      <c r="G217" s="80"/>
      <c r="H217" s="83"/>
      <c r="I217" s="148" t="str">
        <f aca="false">IF(B217="","",IFERROR(INDEX('CARNET DE SOUDURE'!$B$7:$B$3006,MATCH(B217,'CARNET DE SOUDURE'!$L$7:$L$3006,0)),IFERROR(INDEX('CARNET DE SOUDURE'!$B$7:$B$3006,MATCH(B217,'CARNET DE SOUDURE'!$O$7:$O$3006,0)),"")))</f>
        <v>MFD-ISW → MFD-CPF</v>
      </c>
      <c r="J217" s="82" t="str">
        <f aca="false">IF(B217="","",IFERROR(INDEX('CARNET DE SOUDURE'!$E$7:$E$3006,MATCH(B217,'CARNET DE SOUDURE'!$O$7:$O$3006,0)),""))</f>
        <v>JN°868</v>
      </c>
      <c r="K217" s="82" t="str">
        <f aca="false">IF(B217="","",IFERROR(INDEX('CARNET DE SOUDURE'!$E$7:$E$3006,MATCH(B217,'CARNET DE SOUDURE'!$L$7:$L$3006,0)),""))</f>
        <v>DJ°412</v>
      </c>
      <c r="L217" s="82" t="n">
        <f aca="false">IF(B217="","",IFERROR(INDEX('CARNET DE SOUDURE'!$D$7:$D$3006,MATCH(B217,'CARNET DE SOUDURE'!$L$7:$L$3006,0)),IFERROR(INDEX('CARNET DE SOUDURE'!$D$7:$D$3006,MATCH(B217,'CARNET DE SOUDURE'!$O$7:$O$3006,0)),"")))</f>
        <v>6</v>
      </c>
      <c r="M217" s="82" t="str">
        <f aca="false">IF(B217="","",IF(OR(J217&lt;&gt;"",K217&lt;&gt;""),"POSÉ EN LIGNE",IF(COUNTIF(BARDAGE!$C$1:$C$5000,B217)&gt;0,"BARDÉ","EN STOCK")))</f>
        <v>POSÉ EN LIGNE</v>
      </c>
      <c r="N217" s="80"/>
    </row>
    <row r="218" customFormat="false" ht="15" hidden="false" customHeight="false" outlineLevel="0" collapsed="false">
      <c r="A218" s="82" t="n">
        <f aca="false">IF(B218="","",ROW()-6)</f>
        <v>212</v>
      </c>
      <c r="B218" s="145" t="n">
        <v>2082260</v>
      </c>
      <c r="C218" s="146" t="n">
        <v>15421104</v>
      </c>
      <c r="D218" s="146"/>
      <c r="E218" s="82" t="str">
        <f aca="false">IF(B218="","",IF(COUNTIFS('CARNET DE SOUDURE'!$L$7:$L$3006,B218,'CARNET DE SOUDURE'!$M$7:$M$3006,"&lt;&gt;"&amp;C218,'CARNET DE SOUDURE'!$M$7:$M$3006,"&lt;&gt;")+COUNTIFS('CARNET DE SOUDURE'!$O$7:$O$3006,B218,'CARNET DE SOUDURE'!$P$7:$P$3006,"&lt;&gt;"&amp;C218,'CARNET DE SOUDURE'!$P$7:$P$3006,"&lt;&gt;")&gt;0,"⚠ DIFFÉRENTE","OK"))</f>
        <v>OK</v>
      </c>
      <c r="F218" s="147" t="n">
        <v>11.94</v>
      </c>
      <c r="G218" s="80"/>
      <c r="H218" s="83"/>
      <c r="I218" s="148" t="str">
        <f aca="false">IF(B218="","",IFERROR(INDEX('CARNET DE SOUDURE'!$B$7:$B$3006,MATCH(B218,'CARNET DE SOUDURE'!$L$7:$L$3006,0)),IFERROR(INDEX('CARNET DE SOUDURE'!$B$7:$B$3006,MATCH(B218,'CARNET DE SOUDURE'!$O$7:$O$3006,0)),"")))</f>
        <v>MFD-ISW → MFD-CPF</v>
      </c>
      <c r="J218" s="82" t="str">
        <f aca="false">IF(B218="","",IFERROR(INDEX('CARNET DE SOUDURE'!$E$7:$E$3006,MATCH(B218,'CARNET DE SOUDURE'!$O$7:$O$3006,0)),""))</f>
        <v>DJ°412</v>
      </c>
      <c r="K218" s="82" t="str">
        <f aca="false">IF(B218="","",IFERROR(INDEX('CARNET DE SOUDURE'!$E$7:$E$3006,MATCH(B218,'CARNET DE SOUDURE'!$L$7:$L$3006,0)),""))</f>
        <v>JN°869</v>
      </c>
      <c r="L218" s="82" t="n">
        <f aca="false">IF(B218="","",IFERROR(INDEX('CARNET DE SOUDURE'!$D$7:$D$3006,MATCH(B218,'CARNET DE SOUDURE'!$L$7:$L$3006,0)),IFERROR(INDEX('CARNET DE SOUDURE'!$D$7:$D$3006,MATCH(B218,'CARNET DE SOUDURE'!$O$7:$O$3006,0)),"")))</f>
        <v>6</v>
      </c>
      <c r="M218" s="82" t="str">
        <f aca="false">IF(B218="","",IF(OR(J218&lt;&gt;"",K218&lt;&gt;""),"POSÉ EN LIGNE",IF(COUNTIF(BARDAGE!$C$1:$C$5000,B218)&gt;0,"BARDÉ","EN STOCK")))</f>
        <v>POSÉ EN LIGNE</v>
      </c>
      <c r="N218" s="80"/>
    </row>
    <row r="219" customFormat="false" ht="15" hidden="false" customHeight="false" outlineLevel="0" collapsed="false">
      <c r="A219" s="82" t="n">
        <f aca="false">IF(B219="","",ROW()-6)</f>
        <v>213</v>
      </c>
      <c r="B219" s="145" t="n">
        <v>2098110</v>
      </c>
      <c r="C219" s="146" t="n">
        <v>15421109</v>
      </c>
      <c r="D219" s="146"/>
      <c r="E219" s="82" t="str">
        <f aca="false">IF(B219="","",IF(COUNTIFS('CARNET DE SOUDURE'!$L$7:$L$3006,B219,'CARNET DE SOUDURE'!$M$7:$M$3006,"&lt;&gt;"&amp;C219,'CARNET DE SOUDURE'!$M$7:$M$3006,"&lt;&gt;")+COUNTIFS('CARNET DE SOUDURE'!$O$7:$O$3006,B219,'CARNET DE SOUDURE'!$P$7:$P$3006,"&lt;&gt;"&amp;C219,'CARNET DE SOUDURE'!$P$7:$P$3006,"&lt;&gt;")&gt;0,"⚠ DIFFÉRENTE","OK"))</f>
        <v>OK</v>
      </c>
      <c r="F219" s="147" t="n">
        <v>11.94</v>
      </c>
      <c r="G219" s="80"/>
      <c r="H219" s="83"/>
      <c r="I219" s="148" t="str">
        <f aca="false">IF(B219="","",IFERROR(INDEX('CARNET DE SOUDURE'!$B$7:$B$3006,MATCH(B219,'CARNET DE SOUDURE'!$L$7:$L$3006,0)),IFERROR(INDEX('CARNET DE SOUDURE'!$B$7:$B$3006,MATCH(B219,'CARNET DE SOUDURE'!$O$7:$O$3006,0)),"")))</f>
        <v>MFD-ISW → MFD-CPF</v>
      </c>
      <c r="J219" s="82" t="str">
        <f aca="false">IF(B219="","",IFERROR(INDEX('CARNET DE SOUDURE'!$E$7:$E$3006,MATCH(B219,'CARNET DE SOUDURE'!$O$7:$O$3006,0)),""))</f>
        <v>JN°869</v>
      </c>
      <c r="K219" s="82" t="str">
        <f aca="false">IF(B219="","",IFERROR(INDEX('CARNET DE SOUDURE'!$E$7:$E$3006,MATCH(B219,'CARNET DE SOUDURE'!$L$7:$L$3006,0)),""))</f>
        <v>JN°870</v>
      </c>
      <c r="L219" s="82" t="n">
        <f aca="false">IF(B219="","",IFERROR(INDEX('CARNET DE SOUDURE'!$D$7:$D$3006,MATCH(B219,'CARNET DE SOUDURE'!$L$7:$L$3006,0)),IFERROR(INDEX('CARNET DE SOUDURE'!$D$7:$D$3006,MATCH(B219,'CARNET DE SOUDURE'!$O$7:$O$3006,0)),"")))</f>
        <v>6</v>
      </c>
      <c r="M219" s="82" t="str">
        <f aca="false">IF(B219="","",IF(OR(J219&lt;&gt;"",K219&lt;&gt;""),"POSÉ EN LIGNE",IF(COUNTIF(BARDAGE!$C$1:$C$5000,B219)&gt;0,"BARDÉ","EN STOCK")))</f>
        <v>POSÉ EN LIGNE</v>
      </c>
      <c r="N219" s="80"/>
    </row>
    <row r="220" customFormat="false" ht="15" hidden="false" customHeight="false" outlineLevel="0" collapsed="false">
      <c r="A220" s="82" t="n">
        <f aca="false">IF(B220="","",ROW()-6)</f>
        <v>214</v>
      </c>
      <c r="B220" s="145" t="n">
        <v>2095860</v>
      </c>
      <c r="C220" s="146" t="n">
        <v>15421104</v>
      </c>
      <c r="D220" s="146"/>
      <c r="E220" s="82" t="str">
        <f aca="false">IF(B220="","",IF(COUNTIFS('CARNET DE SOUDURE'!$L$7:$L$3006,B220,'CARNET DE SOUDURE'!$M$7:$M$3006,"&lt;&gt;"&amp;C220,'CARNET DE SOUDURE'!$M$7:$M$3006,"&lt;&gt;")+COUNTIFS('CARNET DE SOUDURE'!$O$7:$O$3006,B220,'CARNET DE SOUDURE'!$P$7:$P$3006,"&lt;&gt;"&amp;C220,'CARNET DE SOUDURE'!$P$7:$P$3006,"&lt;&gt;")&gt;0,"⚠ DIFFÉRENTE","OK"))</f>
        <v>OK</v>
      </c>
      <c r="F220" s="147" t="n">
        <v>11.94</v>
      </c>
      <c r="G220" s="80"/>
      <c r="H220" s="83"/>
      <c r="I220" s="148" t="str">
        <f aca="false">IF(B220="","",IFERROR(INDEX('CARNET DE SOUDURE'!$B$7:$B$3006,MATCH(B220,'CARNET DE SOUDURE'!$L$7:$L$3006,0)),IFERROR(INDEX('CARNET DE SOUDURE'!$B$7:$B$3006,MATCH(B220,'CARNET DE SOUDURE'!$O$7:$O$3006,0)),"")))</f>
        <v>MFD-ISW → MFD-CPF</v>
      </c>
      <c r="J220" s="82" t="str">
        <f aca="false">IF(B220="","",IFERROR(INDEX('CARNET DE SOUDURE'!$E$7:$E$3006,MATCH(B220,'CARNET DE SOUDURE'!$O$7:$O$3006,0)),""))</f>
        <v>JN°870</v>
      </c>
      <c r="K220" s="82" t="str">
        <f aca="false">IF(B220="","",IFERROR(INDEX('CARNET DE SOUDURE'!$E$7:$E$3006,MATCH(B220,'CARNET DE SOUDURE'!$L$7:$L$3006,0)),""))</f>
        <v>JN°871</v>
      </c>
      <c r="L220" s="82" t="n">
        <f aca="false">IF(B220="","",IFERROR(INDEX('CARNET DE SOUDURE'!$D$7:$D$3006,MATCH(B220,'CARNET DE SOUDURE'!$L$7:$L$3006,0)),IFERROR(INDEX('CARNET DE SOUDURE'!$D$7:$D$3006,MATCH(B220,'CARNET DE SOUDURE'!$O$7:$O$3006,0)),"")))</f>
        <v>6</v>
      </c>
      <c r="M220" s="82" t="str">
        <f aca="false">IF(B220="","",IF(OR(J220&lt;&gt;"",K220&lt;&gt;""),"POSÉ EN LIGNE",IF(COUNTIF(BARDAGE!$C$1:$C$5000,B220)&gt;0,"BARDÉ","EN STOCK")))</f>
        <v>POSÉ EN LIGNE</v>
      </c>
      <c r="N220" s="80"/>
    </row>
    <row r="221" customFormat="false" ht="15" hidden="false" customHeight="false" outlineLevel="0" collapsed="false">
      <c r="A221" s="82" t="n">
        <f aca="false">IF(B221="","",ROW()-6)</f>
        <v>215</v>
      </c>
      <c r="B221" s="145" t="n">
        <v>2097920</v>
      </c>
      <c r="C221" s="146" t="n">
        <v>15421112</v>
      </c>
      <c r="D221" s="146"/>
      <c r="E221" s="82" t="str">
        <f aca="false">IF(B221="","",IF(COUNTIFS('CARNET DE SOUDURE'!$L$7:$L$3006,B221,'CARNET DE SOUDURE'!$M$7:$M$3006,"&lt;&gt;"&amp;C221,'CARNET DE SOUDURE'!$M$7:$M$3006,"&lt;&gt;")+COUNTIFS('CARNET DE SOUDURE'!$O$7:$O$3006,B221,'CARNET DE SOUDURE'!$P$7:$P$3006,"&lt;&gt;"&amp;C221,'CARNET DE SOUDURE'!$P$7:$P$3006,"&lt;&gt;")&gt;0,"⚠ DIFFÉRENTE","OK"))</f>
        <v>OK</v>
      </c>
      <c r="F221" s="147" t="n">
        <v>11.94</v>
      </c>
      <c r="G221" s="80"/>
      <c r="H221" s="83"/>
      <c r="I221" s="148" t="str">
        <f aca="false">IF(B221="","",IFERROR(INDEX('CARNET DE SOUDURE'!$B$7:$B$3006,MATCH(B221,'CARNET DE SOUDURE'!$L$7:$L$3006,0)),IFERROR(INDEX('CARNET DE SOUDURE'!$B$7:$B$3006,MATCH(B221,'CARNET DE SOUDURE'!$O$7:$O$3006,0)),"")))</f>
        <v>MFD-ISW → MFD-CPF</v>
      </c>
      <c r="J221" s="82" t="str">
        <f aca="false">IF(B221="","",IFERROR(INDEX('CARNET DE SOUDURE'!$E$7:$E$3006,MATCH(B221,'CARNET DE SOUDURE'!$O$7:$O$3006,0)),""))</f>
        <v>JN°871</v>
      </c>
      <c r="K221" s="82" t="str">
        <f aca="false">IF(B221="","",IFERROR(INDEX('CARNET DE SOUDURE'!$E$7:$E$3006,MATCH(B221,'CARNET DE SOUDURE'!$L$7:$L$3006,0)),""))</f>
        <v>JN°872</v>
      </c>
      <c r="L221" s="82" t="n">
        <f aca="false">IF(B221="","",IFERROR(INDEX('CARNET DE SOUDURE'!$D$7:$D$3006,MATCH(B221,'CARNET DE SOUDURE'!$L$7:$L$3006,0)),IFERROR(INDEX('CARNET DE SOUDURE'!$D$7:$D$3006,MATCH(B221,'CARNET DE SOUDURE'!$O$7:$O$3006,0)),"")))</f>
        <v>6</v>
      </c>
      <c r="M221" s="82" t="str">
        <f aca="false">IF(B221="","",IF(OR(J221&lt;&gt;"",K221&lt;&gt;""),"POSÉ EN LIGNE",IF(COUNTIF(BARDAGE!$C$1:$C$5000,B221)&gt;0,"BARDÉ","EN STOCK")))</f>
        <v>POSÉ EN LIGNE</v>
      </c>
      <c r="N221" s="80"/>
    </row>
    <row r="222" customFormat="false" ht="15" hidden="false" customHeight="false" outlineLevel="0" collapsed="false">
      <c r="A222" s="82" t="n">
        <f aca="false">IF(B222="","",ROW()-6)</f>
        <v>216</v>
      </c>
      <c r="B222" s="145" t="n">
        <v>2098260</v>
      </c>
      <c r="C222" s="146" t="n">
        <v>15421111</v>
      </c>
      <c r="D222" s="146"/>
      <c r="E222" s="82" t="str">
        <f aca="false">IF(B222="","",IF(COUNTIFS('CARNET DE SOUDURE'!$L$7:$L$3006,B222,'CARNET DE SOUDURE'!$M$7:$M$3006,"&lt;&gt;"&amp;C222,'CARNET DE SOUDURE'!$M$7:$M$3006,"&lt;&gt;")+COUNTIFS('CARNET DE SOUDURE'!$O$7:$O$3006,B222,'CARNET DE SOUDURE'!$P$7:$P$3006,"&lt;&gt;"&amp;C222,'CARNET DE SOUDURE'!$P$7:$P$3006,"&lt;&gt;")&gt;0,"⚠ DIFFÉRENTE","OK"))</f>
        <v>OK</v>
      </c>
      <c r="F222" s="147" t="n">
        <v>11.94</v>
      </c>
      <c r="G222" s="80"/>
      <c r="H222" s="83"/>
      <c r="I222" s="148" t="str">
        <f aca="false">IF(B222="","",IFERROR(INDEX('CARNET DE SOUDURE'!$B$7:$B$3006,MATCH(B222,'CARNET DE SOUDURE'!$L$7:$L$3006,0)),IFERROR(INDEX('CARNET DE SOUDURE'!$B$7:$B$3006,MATCH(B222,'CARNET DE SOUDURE'!$O$7:$O$3006,0)),"")))</f>
        <v>MFD-ISW → MFD-CPF</v>
      </c>
      <c r="J222" s="82" t="str">
        <f aca="false">IF(B222="","",IFERROR(INDEX('CARNET DE SOUDURE'!$E$7:$E$3006,MATCH(B222,'CARNET DE SOUDURE'!$O$7:$O$3006,0)),""))</f>
        <v>JN°872</v>
      </c>
      <c r="K222" s="82" t="str">
        <f aca="false">IF(B222="","",IFERROR(INDEX('CARNET DE SOUDURE'!$E$7:$E$3006,MATCH(B222,'CARNET DE SOUDURE'!$L$7:$L$3006,0)),""))</f>
        <v>JN°873</v>
      </c>
      <c r="L222" s="82" t="n">
        <f aca="false">IF(B222="","",IFERROR(INDEX('CARNET DE SOUDURE'!$D$7:$D$3006,MATCH(B222,'CARNET DE SOUDURE'!$L$7:$L$3006,0)),IFERROR(INDEX('CARNET DE SOUDURE'!$D$7:$D$3006,MATCH(B222,'CARNET DE SOUDURE'!$O$7:$O$3006,0)),"")))</f>
        <v>6</v>
      </c>
      <c r="M222" s="82" t="str">
        <f aca="false">IF(B222="","",IF(OR(J222&lt;&gt;"",K222&lt;&gt;""),"POSÉ EN LIGNE",IF(COUNTIF(BARDAGE!$C$1:$C$5000,B222)&gt;0,"BARDÉ","EN STOCK")))</f>
        <v>POSÉ EN LIGNE</v>
      </c>
      <c r="N222" s="80"/>
    </row>
    <row r="223" customFormat="false" ht="15" hidden="false" customHeight="false" outlineLevel="0" collapsed="false">
      <c r="A223" s="82" t="n">
        <f aca="false">IF(B223="","",ROW()-6)</f>
        <v>217</v>
      </c>
      <c r="B223" s="145" t="n">
        <v>2094820</v>
      </c>
      <c r="C223" s="146" t="n">
        <v>15421111</v>
      </c>
      <c r="D223" s="146"/>
      <c r="E223" s="82" t="str">
        <f aca="false">IF(B223="","",IF(COUNTIFS('CARNET DE SOUDURE'!$L$7:$L$3006,B223,'CARNET DE SOUDURE'!$M$7:$M$3006,"&lt;&gt;"&amp;C223,'CARNET DE SOUDURE'!$M$7:$M$3006,"&lt;&gt;")+COUNTIFS('CARNET DE SOUDURE'!$O$7:$O$3006,B223,'CARNET DE SOUDURE'!$P$7:$P$3006,"&lt;&gt;"&amp;C223,'CARNET DE SOUDURE'!$P$7:$P$3006,"&lt;&gt;")&gt;0,"⚠ DIFFÉRENTE","OK"))</f>
        <v>OK</v>
      </c>
      <c r="F223" s="147" t="n">
        <v>11.94</v>
      </c>
      <c r="G223" s="80"/>
      <c r="H223" s="83"/>
      <c r="I223" s="148" t="str">
        <f aca="false">IF(B223="","",IFERROR(INDEX('CARNET DE SOUDURE'!$B$7:$B$3006,MATCH(B223,'CARNET DE SOUDURE'!$L$7:$L$3006,0)),IFERROR(INDEX('CARNET DE SOUDURE'!$B$7:$B$3006,MATCH(B223,'CARNET DE SOUDURE'!$O$7:$O$3006,0)),"")))</f>
        <v>MFD-ISW → MFD-CPF</v>
      </c>
      <c r="J223" s="82" t="str">
        <f aca="false">IF(B223="","",IFERROR(INDEX('CARNET DE SOUDURE'!$E$7:$E$3006,MATCH(B223,'CARNET DE SOUDURE'!$O$7:$O$3006,0)),""))</f>
        <v>JN°873</v>
      </c>
      <c r="K223" s="82" t="str">
        <f aca="false">IF(B223="","",IFERROR(INDEX('CARNET DE SOUDURE'!$E$7:$E$3006,MATCH(B223,'CARNET DE SOUDURE'!$L$7:$L$3006,0)),""))</f>
        <v>JN°874</v>
      </c>
      <c r="L223" s="82" t="n">
        <f aca="false">IF(B223="","",IFERROR(INDEX('CARNET DE SOUDURE'!$D$7:$D$3006,MATCH(B223,'CARNET DE SOUDURE'!$L$7:$L$3006,0)),IFERROR(INDEX('CARNET DE SOUDURE'!$D$7:$D$3006,MATCH(B223,'CARNET DE SOUDURE'!$O$7:$O$3006,0)),"")))</f>
        <v>6</v>
      </c>
      <c r="M223" s="82" t="str">
        <f aca="false">IF(B223="","",IF(OR(J223&lt;&gt;"",K223&lt;&gt;""),"POSÉ EN LIGNE",IF(COUNTIF(BARDAGE!$C$1:$C$5000,B223)&gt;0,"BARDÉ","EN STOCK")))</f>
        <v>POSÉ EN LIGNE</v>
      </c>
      <c r="N223" s="80"/>
    </row>
    <row r="224" customFormat="false" ht="15" hidden="false" customHeight="false" outlineLevel="0" collapsed="false">
      <c r="A224" s="82" t="n">
        <f aca="false">IF(B224="","",ROW()-6)</f>
        <v>218</v>
      </c>
      <c r="B224" s="145" t="n">
        <v>2087610</v>
      </c>
      <c r="C224" s="146" t="n">
        <v>15421107</v>
      </c>
      <c r="D224" s="146"/>
      <c r="E224" s="82" t="str">
        <f aca="false">IF(B224="","",IF(COUNTIFS('CARNET DE SOUDURE'!$L$7:$L$3006,B224,'CARNET DE SOUDURE'!$M$7:$M$3006,"&lt;&gt;"&amp;C224,'CARNET DE SOUDURE'!$M$7:$M$3006,"&lt;&gt;")+COUNTIFS('CARNET DE SOUDURE'!$O$7:$O$3006,B224,'CARNET DE SOUDURE'!$P$7:$P$3006,"&lt;&gt;"&amp;C224,'CARNET DE SOUDURE'!$P$7:$P$3006,"&lt;&gt;")&gt;0,"⚠ DIFFÉRENTE","OK"))</f>
        <v>OK</v>
      </c>
      <c r="F224" s="147" t="n">
        <v>11.94</v>
      </c>
      <c r="G224" s="80"/>
      <c r="H224" s="83"/>
      <c r="I224" s="148" t="str">
        <f aca="false">IF(B224="","",IFERROR(INDEX('CARNET DE SOUDURE'!$B$7:$B$3006,MATCH(B224,'CARNET DE SOUDURE'!$L$7:$L$3006,0)),IFERROR(INDEX('CARNET DE SOUDURE'!$B$7:$B$3006,MATCH(B224,'CARNET DE SOUDURE'!$O$7:$O$3006,0)),"")))</f>
        <v>MFD-ISW → MFD-CPF</v>
      </c>
      <c r="J224" s="82" t="str">
        <f aca="false">IF(B224="","",IFERROR(INDEX('CARNET DE SOUDURE'!$E$7:$E$3006,MATCH(B224,'CARNET DE SOUDURE'!$O$7:$O$3006,0)),""))</f>
        <v>JN°874</v>
      </c>
      <c r="K224" s="82" t="str">
        <f aca="false">IF(B224="","",IFERROR(INDEX('CARNET DE SOUDURE'!$E$7:$E$3006,MATCH(B224,'CARNET DE SOUDURE'!$L$7:$L$3006,0)),""))</f>
        <v>JN°875</v>
      </c>
      <c r="L224" s="82" t="n">
        <f aca="false">IF(B224="","",IFERROR(INDEX('CARNET DE SOUDURE'!$D$7:$D$3006,MATCH(B224,'CARNET DE SOUDURE'!$L$7:$L$3006,0)),IFERROR(INDEX('CARNET DE SOUDURE'!$D$7:$D$3006,MATCH(B224,'CARNET DE SOUDURE'!$O$7:$O$3006,0)),"")))</f>
        <v>6</v>
      </c>
      <c r="M224" s="82" t="str">
        <f aca="false">IF(B224="","",IF(OR(J224&lt;&gt;"",K224&lt;&gt;""),"POSÉ EN LIGNE",IF(COUNTIF(BARDAGE!$C$1:$C$5000,B224)&gt;0,"BARDÉ","EN STOCK")))</f>
        <v>POSÉ EN LIGNE</v>
      </c>
      <c r="N224" s="80"/>
    </row>
    <row r="225" customFormat="false" ht="15" hidden="false" customHeight="false" outlineLevel="0" collapsed="false">
      <c r="A225" s="82" t="n">
        <f aca="false">IF(B225="","",ROW()-6)</f>
        <v>219</v>
      </c>
      <c r="B225" s="145" t="n">
        <v>2084930</v>
      </c>
      <c r="C225" s="146" t="n">
        <v>15421106</v>
      </c>
      <c r="D225" s="146"/>
      <c r="E225" s="82" t="str">
        <f aca="false">IF(B225="","",IF(COUNTIFS('CARNET DE SOUDURE'!$L$7:$L$3006,B225,'CARNET DE SOUDURE'!$M$7:$M$3006,"&lt;&gt;"&amp;C225,'CARNET DE SOUDURE'!$M$7:$M$3006,"&lt;&gt;")+COUNTIFS('CARNET DE SOUDURE'!$O$7:$O$3006,B225,'CARNET DE SOUDURE'!$P$7:$P$3006,"&lt;&gt;"&amp;C225,'CARNET DE SOUDURE'!$P$7:$P$3006,"&lt;&gt;")&gt;0,"⚠ DIFFÉRENTE","OK"))</f>
        <v>OK</v>
      </c>
      <c r="F225" s="147" t="n">
        <v>11.94</v>
      </c>
      <c r="G225" s="80"/>
      <c r="H225" s="83"/>
      <c r="I225" s="148" t="str">
        <f aca="false">IF(B225="","",IFERROR(INDEX('CARNET DE SOUDURE'!$B$7:$B$3006,MATCH(B225,'CARNET DE SOUDURE'!$L$7:$L$3006,0)),IFERROR(INDEX('CARNET DE SOUDURE'!$B$7:$B$3006,MATCH(B225,'CARNET DE SOUDURE'!$O$7:$O$3006,0)),"")))</f>
        <v>MFD-ISW → MFD-CPF</v>
      </c>
      <c r="J225" s="82" t="str">
        <f aca="false">IF(B225="","",IFERROR(INDEX('CARNET DE SOUDURE'!$E$7:$E$3006,MATCH(B225,'CARNET DE SOUDURE'!$O$7:$O$3006,0)),""))</f>
        <v>JN°875</v>
      </c>
      <c r="K225" s="82" t="str">
        <f aca="false">IF(B225="","",IFERROR(INDEX('CARNET DE SOUDURE'!$E$7:$E$3006,MATCH(B225,'CARNET DE SOUDURE'!$L$7:$L$3006,0)),""))</f>
        <v/>
      </c>
      <c r="L225" s="82" t="n">
        <f aca="false">IF(B225="","",IFERROR(INDEX('CARNET DE SOUDURE'!$D$7:$D$3006,MATCH(B225,'CARNET DE SOUDURE'!$L$7:$L$3006,0)),IFERROR(INDEX('CARNET DE SOUDURE'!$D$7:$D$3006,MATCH(B225,'CARNET DE SOUDURE'!$O$7:$O$3006,0)),"")))</f>
        <v>6</v>
      </c>
      <c r="M225" s="82" t="str">
        <f aca="false">IF(B225="","",IF(OR(J225&lt;&gt;"",K225&lt;&gt;""),"POSÉ EN LIGNE",IF(COUNTIF(BARDAGE!$C$1:$C$5000,B225)&gt;0,"BARDÉ","EN STOCK")))</f>
        <v>POSÉ EN LIGNE</v>
      </c>
      <c r="N225" s="80"/>
    </row>
    <row r="226" customFormat="false" ht="15" hidden="false" customHeight="false" outlineLevel="0" collapsed="false">
      <c r="A226" s="82" t="n">
        <f aca="false">IF(B226="","",ROW()-6)</f>
        <v>220</v>
      </c>
      <c r="B226" s="145" t="n">
        <v>2095880</v>
      </c>
      <c r="C226" s="146" t="n">
        <v>15421111</v>
      </c>
      <c r="D226" s="146"/>
      <c r="E226" s="82" t="str">
        <f aca="false">IF(B226="","",IF(COUNTIFS('CARNET DE SOUDURE'!$L$7:$L$3006,B226,'CARNET DE SOUDURE'!$M$7:$M$3006,"&lt;&gt;"&amp;C226,'CARNET DE SOUDURE'!$M$7:$M$3006,"&lt;&gt;")+COUNTIFS('CARNET DE SOUDURE'!$O$7:$O$3006,B226,'CARNET DE SOUDURE'!$P$7:$P$3006,"&lt;&gt;"&amp;C226,'CARNET DE SOUDURE'!$P$7:$P$3006,"&lt;&gt;")&gt;0,"⚠ DIFFÉRENTE","OK"))</f>
        <v>OK</v>
      </c>
      <c r="F226" s="147" t="n">
        <v>11.94</v>
      </c>
      <c r="G226" s="80"/>
      <c r="H226" s="83"/>
      <c r="I226" s="148" t="str">
        <f aca="false">IF(B226="","",IFERROR(INDEX('CARNET DE SOUDURE'!$B$7:$B$3006,MATCH(B226,'CARNET DE SOUDURE'!$L$7:$L$3006,0)),IFERROR(INDEX('CARNET DE SOUDURE'!$B$7:$B$3006,MATCH(B226,'CARNET DE SOUDURE'!$O$7:$O$3006,0)),"")))</f>
        <v>MFD-ISW → MFD-CPF</v>
      </c>
      <c r="J226" s="82" t="str">
        <f aca="false">IF(B226="","",IFERROR(INDEX('CARNET DE SOUDURE'!$E$7:$E$3006,MATCH(B226,'CARNET DE SOUDURE'!$O$7:$O$3006,0)),""))</f>
        <v/>
      </c>
      <c r="K226" s="82" t="str">
        <f aca="false">IF(B226="","",IFERROR(INDEX('CARNET DE SOUDURE'!$E$7:$E$3006,MATCH(B226,'CARNET DE SOUDURE'!$L$7:$L$3006,0)),""))</f>
        <v>JN°880</v>
      </c>
      <c r="L226" s="82" t="n">
        <f aca="false">IF(B226="","",IFERROR(INDEX('CARNET DE SOUDURE'!$D$7:$D$3006,MATCH(B226,'CARNET DE SOUDURE'!$L$7:$L$3006,0)),IFERROR(INDEX('CARNET DE SOUDURE'!$D$7:$D$3006,MATCH(B226,'CARNET DE SOUDURE'!$O$7:$O$3006,0)),"")))</f>
        <v>6</v>
      </c>
      <c r="M226" s="82" t="str">
        <f aca="false">IF(B226="","",IF(OR(J226&lt;&gt;"",K226&lt;&gt;""),"POSÉ EN LIGNE",IF(COUNTIF(BARDAGE!$C$1:$C$5000,B226)&gt;0,"BARDÉ","EN STOCK")))</f>
        <v>POSÉ EN LIGNE</v>
      </c>
      <c r="N226" s="80"/>
    </row>
    <row r="227" customFormat="false" ht="15" hidden="false" customHeight="false" outlineLevel="0" collapsed="false">
      <c r="A227" s="82" t="n">
        <f aca="false">IF(B227="","",ROW()-6)</f>
        <v>221</v>
      </c>
      <c r="B227" s="145" t="n">
        <v>2097910</v>
      </c>
      <c r="C227" s="146" t="n">
        <v>15421112</v>
      </c>
      <c r="D227" s="146"/>
      <c r="E227" s="82" t="str">
        <f aca="false">IF(B227="","",IF(COUNTIFS('CARNET DE SOUDURE'!$L$7:$L$3006,B227,'CARNET DE SOUDURE'!$M$7:$M$3006,"&lt;&gt;"&amp;C227,'CARNET DE SOUDURE'!$M$7:$M$3006,"&lt;&gt;")+COUNTIFS('CARNET DE SOUDURE'!$O$7:$O$3006,B227,'CARNET DE SOUDURE'!$P$7:$P$3006,"&lt;&gt;"&amp;C227,'CARNET DE SOUDURE'!$P$7:$P$3006,"&lt;&gt;")&gt;0,"⚠ DIFFÉRENTE","OK"))</f>
        <v>OK</v>
      </c>
      <c r="F227" s="147" t="n">
        <v>11.94</v>
      </c>
      <c r="G227" s="80"/>
      <c r="H227" s="83"/>
      <c r="I227" s="148" t="str">
        <f aca="false">IF(B227="","",IFERROR(INDEX('CARNET DE SOUDURE'!$B$7:$B$3006,MATCH(B227,'CARNET DE SOUDURE'!$L$7:$L$3006,0)),IFERROR(INDEX('CARNET DE SOUDURE'!$B$7:$B$3006,MATCH(B227,'CARNET DE SOUDURE'!$O$7:$O$3006,0)),"")))</f>
        <v>MFD-ISW → MFD-CPF</v>
      </c>
      <c r="J227" s="82" t="str">
        <f aca="false">IF(B227="","",IFERROR(INDEX('CARNET DE SOUDURE'!$E$7:$E$3006,MATCH(B227,'CARNET DE SOUDURE'!$O$7:$O$3006,0)),""))</f>
        <v>JN°880</v>
      </c>
      <c r="K227" s="82" t="str">
        <f aca="false">IF(B227="","",IFERROR(INDEX('CARNET DE SOUDURE'!$E$7:$E$3006,MATCH(B227,'CARNET DE SOUDURE'!$L$7:$L$3006,0)),""))</f>
        <v>JN°881</v>
      </c>
      <c r="L227" s="82" t="n">
        <f aca="false">IF(B227="","",IFERROR(INDEX('CARNET DE SOUDURE'!$D$7:$D$3006,MATCH(B227,'CARNET DE SOUDURE'!$L$7:$L$3006,0)),IFERROR(INDEX('CARNET DE SOUDURE'!$D$7:$D$3006,MATCH(B227,'CARNET DE SOUDURE'!$O$7:$O$3006,0)),"")))</f>
        <v>6</v>
      </c>
      <c r="M227" s="82" t="str">
        <f aca="false">IF(B227="","",IF(OR(J227&lt;&gt;"",K227&lt;&gt;""),"POSÉ EN LIGNE",IF(COUNTIF(BARDAGE!$C$1:$C$5000,B227)&gt;0,"BARDÉ","EN STOCK")))</f>
        <v>POSÉ EN LIGNE</v>
      </c>
      <c r="N227" s="80"/>
    </row>
    <row r="228" customFormat="false" ht="15" hidden="false" customHeight="false" outlineLevel="0" collapsed="false">
      <c r="A228" s="82" t="n">
        <f aca="false">IF(B228="","",ROW()-6)</f>
        <v>222</v>
      </c>
      <c r="B228" s="145" t="n">
        <v>2094420</v>
      </c>
      <c r="C228" s="146" t="n">
        <v>15421111</v>
      </c>
      <c r="D228" s="146"/>
      <c r="E228" s="82" t="str">
        <f aca="false">IF(B228="","",IF(COUNTIFS('CARNET DE SOUDURE'!$L$7:$L$3006,B228,'CARNET DE SOUDURE'!$M$7:$M$3006,"&lt;&gt;"&amp;C228,'CARNET DE SOUDURE'!$M$7:$M$3006,"&lt;&gt;")+COUNTIFS('CARNET DE SOUDURE'!$O$7:$O$3006,B228,'CARNET DE SOUDURE'!$P$7:$P$3006,"&lt;&gt;"&amp;C228,'CARNET DE SOUDURE'!$P$7:$P$3006,"&lt;&gt;")&gt;0,"⚠ DIFFÉRENTE","OK"))</f>
        <v>OK</v>
      </c>
      <c r="F228" s="147" t="n">
        <v>11.94</v>
      </c>
      <c r="G228" s="80"/>
      <c r="H228" s="83"/>
      <c r="I228" s="148" t="str">
        <f aca="false">IF(B228="","",IFERROR(INDEX('CARNET DE SOUDURE'!$B$7:$B$3006,MATCH(B228,'CARNET DE SOUDURE'!$L$7:$L$3006,0)),IFERROR(INDEX('CARNET DE SOUDURE'!$B$7:$B$3006,MATCH(B228,'CARNET DE SOUDURE'!$O$7:$O$3006,0)),"")))</f>
        <v>MFD-ISW → MFD-CPF</v>
      </c>
      <c r="J228" s="82" t="str">
        <f aca="false">IF(B228="","",IFERROR(INDEX('CARNET DE SOUDURE'!$E$7:$E$3006,MATCH(B228,'CARNET DE SOUDURE'!$O$7:$O$3006,0)),""))</f>
        <v>JN°881</v>
      </c>
      <c r="K228" s="82" t="str">
        <f aca="false">IF(B228="","",IFERROR(INDEX('CARNET DE SOUDURE'!$E$7:$E$3006,MATCH(B228,'CARNET DE SOUDURE'!$L$7:$L$3006,0)),""))</f>
        <v>JN°882</v>
      </c>
      <c r="L228" s="82" t="n">
        <f aca="false">IF(B228="","",IFERROR(INDEX('CARNET DE SOUDURE'!$D$7:$D$3006,MATCH(B228,'CARNET DE SOUDURE'!$L$7:$L$3006,0)),IFERROR(INDEX('CARNET DE SOUDURE'!$D$7:$D$3006,MATCH(B228,'CARNET DE SOUDURE'!$O$7:$O$3006,0)),"")))</f>
        <v>6</v>
      </c>
      <c r="M228" s="82" t="str">
        <f aca="false">IF(B228="","",IF(OR(J228&lt;&gt;"",K228&lt;&gt;""),"POSÉ EN LIGNE",IF(COUNTIF(BARDAGE!$C$1:$C$5000,B228)&gt;0,"BARDÉ","EN STOCK")))</f>
        <v>POSÉ EN LIGNE</v>
      </c>
      <c r="N228" s="80"/>
    </row>
    <row r="229" customFormat="false" ht="15" hidden="false" customHeight="false" outlineLevel="0" collapsed="false">
      <c r="A229" s="82" t="n">
        <f aca="false">IF(B229="","",ROW()-6)</f>
        <v>223</v>
      </c>
      <c r="B229" s="145" t="n">
        <v>2086490</v>
      </c>
      <c r="C229" s="146" t="n">
        <v>15421107</v>
      </c>
      <c r="D229" s="146"/>
      <c r="E229" s="82" t="str">
        <f aca="false">IF(B229="","",IF(COUNTIFS('CARNET DE SOUDURE'!$L$7:$L$3006,B229,'CARNET DE SOUDURE'!$M$7:$M$3006,"&lt;&gt;"&amp;C229,'CARNET DE SOUDURE'!$M$7:$M$3006,"&lt;&gt;")+COUNTIFS('CARNET DE SOUDURE'!$O$7:$O$3006,B229,'CARNET DE SOUDURE'!$P$7:$P$3006,"&lt;&gt;"&amp;C229,'CARNET DE SOUDURE'!$P$7:$P$3006,"&lt;&gt;")&gt;0,"⚠ DIFFÉRENTE","OK"))</f>
        <v>OK</v>
      </c>
      <c r="F229" s="147" t="n">
        <v>11.94</v>
      </c>
      <c r="G229" s="80"/>
      <c r="H229" s="83"/>
      <c r="I229" s="148" t="str">
        <f aca="false">IF(B229="","",IFERROR(INDEX('CARNET DE SOUDURE'!$B$7:$B$3006,MATCH(B229,'CARNET DE SOUDURE'!$L$7:$L$3006,0)),IFERROR(INDEX('CARNET DE SOUDURE'!$B$7:$B$3006,MATCH(B229,'CARNET DE SOUDURE'!$O$7:$O$3006,0)),"")))</f>
        <v>MFD-ISW → MFD-CPF</v>
      </c>
      <c r="J229" s="82" t="str">
        <f aca="false">IF(B229="","",IFERROR(INDEX('CARNET DE SOUDURE'!$E$7:$E$3006,MATCH(B229,'CARNET DE SOUDURE'!$O$7:$O$3006,0)),""))</f>
        <v>JN°882</v>
      </c>
      <c r="K229" s="82" t="str">
        <f aca="false">IF(B229="","",IFERROR(INDEX('CARNET DE SOUDURE'!$E$7:$E$3006,MATCH(B229,'CARNET DE SOUDURE'!$L$7:$L$3006,0)),""))</f>
        <v/>
      </c>
      <c r="L229" s="82" t="n">
        <f aca="false">IF(B229="","",IFERROR(INDEX('CARNET DE SOUDURE'!$D$7:$D$3006,MATCH(B229,'CARNET DE SOUDURE'!$L$7:$L$3006,0)),IFERROR(INDEX('CARNET DE SOUDURE'!$D$7:$D$3006,MATCH(B229,'CARNET DE SOUDURE'!$O$7:$O$3006,0)),"")))</f>
        <v>6</v>
      </c>
      <c r="M229" s="82" t="str">
        <f aca="false">IF(B229="","",IF(OR(J229&lt;&gt;"",K229&lt;&gt;""),"POSÉ EN LIGNE",IF(COUNTIF(BARDAGE!$C$1:$C$5000,B229)&gt;0,"BARDÉ","EN STOCK")))</f>
        <v>POSÉ EN LIGNE</v>
      </c>
      <c r="N229" s="80"/>
    </row>
    <row r="230" customFormat="false" ht="15" hidden="false" customHeight="false" outlineLevel="0" collapsed="false">
      <c r="A230" s="82" t="n">
        <f aca="false">IF(B230="","",ROW()-6)</f>
        <v>224</v>
      </c>
      <c r="B230" s="145" t="n">
        <v>2079570</v>
      </c>
      <c r="C230" s="146" t="n">
        <v>15421102</v>
      </c>
      <c r="D230" s="146"/>
      <c r="E230" s="82" t="str">
        <f aca="false">IF(B230="","",IF(COUNTIFS('CARNET DE SOUDURE'!$L$7:$L$3006,B230,'CARNET DE SOUDURE'!$M$7:$M$3006,"&lt;&gt;"&amp;C230,'CARNET DE SOUDURE'!$M$7:$M$3006,"&lt;&gt;")+COUNTIFS('CARNET DE SOUDURE'!$O$7:$O$3006,B230,'CARNET DE SOUDURE'!$P$7:$P$3006,"&lt;&gt;"&amp;C230,'CARNET DE SOUDURE'!$P$7:$P$3006,"&lt;&gt;")&gt;0,"⚠ DIFFÉRENTE","OK"))</f>
        <v>OK</v>
      </c>
      <c r="F230" s="147" t="n">
        <v>11.94</v>
      </c>
      <c r="G230" s="80"/>
      <c r="H230" s="83"/>
      <c r="I230" s="148" t="str">
        <f aca="false">IF(B230="","",IFERROR(INDEX('CARNET DE SOUDURE'!$B$7:$B$3006,MATCH(B230,'CARNET DE SOUDURE'!$L$7:$L$3006,0)),IFERROR(INDEX('CARNET DE SOUDURE'!$B$7:$B$3006,MATCH(B230,'CARNET DE SOUDURE'!$O$7:$O$3006,0)),"")))</f>
        <v>MFD-ISW → MFD-CPF</v>
      </c>
      <c r="J230" s="82" t="str">
        <f aca="false">IF(B230="","",IFERROR(INDEX('CARNET DE SOUDURE'!$E$7:$E$3006,MATCH(B230,'CARNET DE SOUDURE'!$O$7:$O$3006,0)),""))</f>
        <v>JN°909</v>
      </c>
      <c r="K230" s="82" t="str">
        <f aca="false">IF(B230="","",IFERROR(INDEX('CARNET DE SOUDURE'!$E$7:$E$3006,MATCH(B230,'CARNET DE SOUDURE'!$L$7:$L$3006,0)),""))</f>
        <v>JN°910</v>
      </c>
      <c r="L230" s="82" t="n">
        <f aca="false">IF(B230="","",IFERROR(INDEX('CARNET DE SOUDURE'!$D$7:$D$3006,MATCH(B230,'CARNET DE SOUDURE'!$L$7:$L$3006,0)),IFERROR(INDEX('CARNET DE SOUDURE'!$D$7:$D$3006,MATCH(B230,'CARNET DE SOUDURE'!$O$7:$O$3006,0)),"")))</f>
        <v>7</v>
      </c>
      <c r="M230" s="82" t="str">
        <f aca="false">IF(B230="","",IF(OR(J230&lt;&gt;"",K230&lt;&gt;""),"POSÉ EN LIGNE",IF(COUNTIF(BARDAGE!$C$1:$C$5000,B230)&gt;0,"BARDÉ","EN STOCK")))</f>
        <v>POSÉ EN LIGNE</v>
      </c>
      <c r="N230" s="80"/>
    </row>
    <row r="231" customFormat="false" ht="15" hidden="false" customHeight="false" outlineLevel="0" collapsed="false">
      <c r="A231" s="82" t="n">
        <f aca="false">IF(B231="","",ROW()-6)</f>
        <v>225</v>
      </c>
      <c r="B231" s="145" t="n">
        <v>2098240</v>
      </c>
      <c r="C231" s="146" t="n">
        <v>15421112</v>
      </c>
      <c r="D231" s="146"/>
      <c r="E231" s="82" t="str">
        <f aca="false">IF(B231="","",IF(COUNTIFS('CARNET DE SOUDURE'!$L$7:$L$3006,B231,'CARNET DE SOUDURE'!$M$7:$M$3006,"&lt;&gt;"&amp;C231,'CARNET DE SOUDURE'!$M$7:$M$3006,"&lt;&gt;")+COUNTIFS('CARNET DE SOUDURE'!$O$7:$O$3006,B231,'CARNET DE SOUDURE'!$P$7:$P$3006,"&lt;&gt;"&amp;C231,'CARNET DE SOUDURE'!$P$7:$P$3006,"&lt;&gt;")&gt;0,"⚠ DIFFÉRENTE","OK"))</f>
        <v>OK</v>
      </c>
      <c r="F231" s="147" t="n">
        <v>11.94</v>
      </c>
      <c r="G231" s="80"/>
      <c r="H231" s="83"/>
      <c r="I231" s="148" t="str">
        <f aca="false">IF(B231="","",IFERROR(INDEX('CARNET DE SOUDURE'!$B$7:$B$3006,MATCH(B231,'CARNET DE SOUDURE'!$L$7:$L$3006,0)),IFERROR(INDEX('CARNET DE SOUDURE'!$B$7:$B$3006,MATCH(B231,'CARNET DE SOUDURE'!$O$7:$O$3006,0)),"")))</f>
        <v>MFD-ISW → MFD-CPF</v>
      </c>
      <c r="J231" s="82" t="str">
        <f aca="false">IF(B231="","",IFERROR(INDEX('CARNET DE SOUDURE'!$E$7:$E$3006,MATCH(B231,'CARNET DE SOUDURE'!$O$7:$O$3006,0)),""))</f>
        <v>JN°910</v>
      </c>
      <c r="K231" s="82" t="str">
        <f aca="false">IF(B231="","",IFERROR(INDEX('CARNET DE SOUDURE'!$E$7:$E$3006,MATCH(B231,'CARNET DE SOUDURE'!$L$7:$L$3006,0)),""))</f>
        <v>JN°911</v>
      </c>
      <c r="L231" s="82" t="n">
        <f aca="false">IF(B231="","",IFERROR(INDEX('CARNET DE SOUDURE'!$D$7:$D$3006,MATCH(B231,'CARNET DE SOUDURE'!$L$7:$L$3006,0)),IFERROR(INDEX('CARNET DE SOUDURE'!$D$7:$D$3006,MATCH(B231,'CARNET DE SOUDURE'!$O$7:$O$3006,0)),"")))</f>
        <v>7</v>
      </c>
      <c r="M231" s="82" t="str">
        <f aca="false">IF(B231="","",IF(OR(J231&lt;&gt;"",K231&lt;&gt;""),"POSÉ EN LIGNE",IF(COUNTIF(BARDAGE!$C$1:$C$5000,B231)&gt;0,"BARDÉ","EN STOCK")))</f>
        <v>POSÉ EN LIGNE</v>
      </c>
      <c r="N231" s="80"/>
    </row>
    <row r="232" customFormat="false" ht="15" hidden="false" customHeight="false" outlineLevel="0" collapsed="false">
      <c r="A232" s="82" t="n">
        <f aca="false">IF(B232="","",ROW()-6)</f>
        <v>226</v>
      </c>
      <c r="B232" s="145" t="n">
        <v>2080190</v>
      </c>
      <c r="C232" s="146" t="n">
        <v>15421102</v>
      </c>
      <c r="D232" s="146"/>
      <c r="E232" s="82" t="str">
        <f aca="false">IF(B232="","",IF(COUNTIFS('CARNET DE SOUDURE'!$L$7:$L$3006,B232,'CARNET DE SOUDURE'!$M$7:$M$3006,"&lt;&gt;"&amp;C232,'CARNET DE SOUDURE'!$M$7:$M$3006,"&lt;&gt;")+COUNTIFS('CARNET DE SOUDURE'!$O$7:$O$3006,B232,'CARNET DE SOUDURE'!$P$7:$P$3006,"&lt;&gt;"&amp;C232,'CARNET DE SOUDURE'!$P$7:$P$3006,"&lt;&gt;")&gt;0,"⚠ DIFFÉRENTE","OK"))</f>
        <v>OK</v>
      </c>
      <c r="F232" s="147" t="n">
        <v>11.94</v>
      </c>
      <c r="G232" s="80"/>
      <c r="H232" s="83"/>
      <c r="I232" s="148" t="str">
        <f aca="false">IF(B232="","",IFERROR(INDEX('CARNET DE SOUDURE'!$B$7:$B$3006,MATCH(B232,'CARNET DE SOUDURE'!$L$7:$L$3006,0)),IFERROR(INDEX('CARNET DE SOUDURE'!$B$7:$B$3006,MATCH(B232,'CARNET DE SOUDURE'!$O$7:$O$3006,0)),"")))</f>
        <v>MFD-ISW → MFD-CPF</v>
      </c>
      <c r="J232" s="82" t="str">
        <f aca="false">IF(B232="","",IFERROR(INDEX('CARNET DE SOUDURE'!$E$7:$E$3006,MATCH(B232,'CARNET DE SOUDURE'!$O$7:$O$3006,0)),""))</f>
        <v>JN°911</v>
      </c>
      <c r="K232" s="82" t="str">
        <f aca="false">IF(B232="","",IFERROR(INDEX('CARNET DE SOUDURE'!$E$7:$E$3006,MATCH(B232,'CARNET DE SOUDURE'!$L$7:$L$3006,0)),""))</f>
        <v>JN°912</v>
      </c>
      <c r="L232" s="82" t="n">
        <f aca="false">IF(B232="","",IFERROR(INDEX('CARNET DE SOUDURE'!$D$7:$D$3006,MATCH(B232,'CARNET DE SOUDURE'!$L$7:$L$3006,0)),IFERROR(INDEX('CARNET DE SOUDURE'!$D$7:$D$3006,MATCH(B232,'CARNET DE SOUDURE'!$O$7:$O$3006,0)),"")))</f>
        <v>7</v>
      </c>
      <c r="M232" s="82" t="str">
        <f aca="false">IF(B232="","",IF(OR(J232&lt;&gt;"",K232&lt;&gt;""),"POSÉ EN LIGNE",IF(COUNTIF(BARDAGE!$C$1:$C$5000,B232)&gt;0,"BARDÉ","EN STOCK")))</f>
        <v>POSÉ EN LIGNE</v>
      </c>
      <c r="N232" s="80"/>
    </row>
    <row r="233" customFormat="false" ht="15" hidden="false" customHeight="false" outlineLevel="0" collapsed="false">
      <c r="A233" s="82" t="n">
        <f aca="false">IF(B233="","",ROW()-6)</f>
        <v>227</v>
      </c>
      <c r="B233" s="145" t="n">
        <v>2085230</v>
      </c>
      <c r="C233" s="146" t="n">
        <v>15421106</v>
      </c>
      <c r="D233" s="146"/>
      <c r="E233" s="82" t="str">
        <f aca="false">IF(B233="","",IF(COUNTIFS('CARNET DE SOUDURE'!$L$7:$L$3006,B233,'CARNET DE SOUDURE'!$M$7:$M$3006,"&lt;&gt;"&amp;C233,'CARNET DE SOUDURE'!$M$7:$M$3006,"&lt;&gt;")+COUNTIFS('CARNET DE SOUDURE'!$O$7:$O$3006,B233,'CARNET DE SOUDURE'!$P$7:$P$3006,"&lt;&gt;"&amp;C233,'CARNET DE SOUDURE'!$P$7:$P$3006,"&lt;&gt;")&gt;0,"⚠ DIFFÉRENTE","OK"))</f>
        <v>OK</v>
      </c>
      <c r="F233" s="147" t="n">
        <v>11.94</v>
      </c>
      <c r="G233" s="80"/>
      <c r="H233" s="83"/>
      <c r="I233" s="148" t="str">
        <f aca="false">IF(B233="","",IFERROR(INDEX('CARNET DE SOUDURE'!$B$7:$B$3006,MATCH(B233,'CARNET DE SOUDURE'!$L$7:$L$3006,0)),IFERROR(INDEX('CARNET DE SOUDURE'!$B$7:$B$3006,MATCH(B233,'CARNET DE SOUDURE'!$O$7:$O$3006,0)),"")))</f>
        <v>MFD-ISW → MFD-CPF</v>
      </c>
      <c r="J233" s="82" t="str">
        <f aca="false">IF(B233="","",IFERROR(INDEX('CARNET DE SOUDURE'!$E$7:$E$3006,MATCH(B233,'CARNET DE SOUDURE'!$O$7:$O$3006,0)),""))</f>
        <v>JN°912</v>
      </c>
      <c r="K233" s="82" t="str">
        <f aca="false">IF(B233="","",IFERROR(INDEX('CARNET DE SOUDURE'!$E$7:$E$3006,MATCH(B233,'CARNET DE SOUDURE'!$L$7:$L$3006,0)),""))</f>
        <v>JN°913</v>
      </c>
      <c r="L233" s="82" t="n">
        <f aca="false">IF(B233="","",IFERROR(INDEX('CARNET DE SOUDURE'!$D$7:$D$3006,MATCH(B233,'CARNET DE SOUDURE'!$L$7:$L$3006,0)),IFERROR(INDEX('CARNET DE SOUDURE'!$D$7:$D$3006,MATCH(B233,'CARNET DE SOUDURE'!$O$7:$O$3006,0)),"")))</f>
        <v>7</v>
      </c>
      <c r="M233" s="82" t="str">
        <f aca="false">IF(B233="","",IF(OR(J233&lt;&gt;"",K233&lt;&gt;""),"POSÉ EN LIGNE",IF(COUNTIF(BARDAGE!$C$1:$C$5000,B233)&gt;0,"BARDÉ","EN STOCK")))</f>
        <v>POSÉ EN LIGNE</v>
      </c>
      <c r="N233" s="80"/>
    </row>
    <row r="234" customFormat="false" ht="15" hidden="false" customHeight="false" outlineLevel="0" collapsed="false">
      <c r="A234" s="82" t="n">
        <f aca="false">IF(B234="","",ROW()-6)</f>
        <v>228</v>
      </c>
      <c r="B234" s="145" t="n">
        <v>2087250</v>
      </c>
      <c r="C234" s="146" t="n">
        <v>15421107</v>
      </c>
      <c r="D234" s="146"/>
      <c r="E234" s="82" t="str">
        <f aca="false">IF(B234="","",IF(COUNTIFS('CARNET DE SOUDURE'!$L$7:$L$3006,B234,'CARNET DE SOUDURE'!$M$7:$M$3006,"&lt;&gt;"&amp;C234,'CARNET DE SOUDURE'!$M$7:$M$3006,"&lt;&gt;")+COUNTIFS('CARNET DE SOUDURE'!$O$7:$O$3006,B234,'CARNET DE SOUDURE'!$P$7:$P$3006,"&lt;&gt;"&amp;C234,'CARNET DE SOUDURE'!$P$7:$P$3006,"&lt;&gt;")&gt;0,"⚠ DIFFÉRENTE","OK"))</f>
        <v>OK</v>
      </c>
      <c r="F234" s="147" t="n">
        <v>11.94</v>
      </c>
      <c r="G234" s="80"/>
      <c r="H234" s="83"/>
      <c r="I234" s="148" t="str">
        <f aca="false">IF(B234="","",IFERROR(INDEX('CARNET DE SOUDURE'!$B$7:$B$3006,MATCH(B234,'CARNET DE SOUDURE'!$L$7:$L$3006,0)),IFERROR(INDEX('CARNET DE SOUDURE'!$B$7:$B$3006,MATCH(B234,'CARNET DE SOUDURE'!$O$7:$O$3006,0)),"")))</f>
        <v>MFD-ISW → MFD-CPF</v>
      </c>
      <c r="J234" s="82" t="str">
        <f aca="false">IF(B234="","",IFERROR(INDEX('CARNET DE SOUDURE'!$E$7:$E$3006,MATCH(B234,'CARNET DE SOUDURE'!$O$7:$O$3006,0)),""))</f>
        <v>JN°913</v>
      </c>
      <c r="K234" s="82" t="str">
        <f aca="false">IF(B234="","",IFERROR(INDEX('CARNET DE SOUDURE'!$E$7:$E$3006,MATCH(B234,'CARNET DE SOUDURE'!$L$7:$L$3006,0)),""))</f>
        <v>JN°914</v>
      </c>
      <c r="L234" s="82" t="n">
        <f aca="false">IF(B234="","",IFERROR(INDEX('CARNET DE SOUDURE'!$D$7:$D$3006,MATCH(B234,'CARNET DE SOUDURE'!$L$7:$L$3006,0)),IFERROR(INDEX('CARNET DE SOUDURE'!$D$7:$D$3006,MATCH(B234,'CARNET DE SOUDURE'!$O$7:$O$3006,0)),"")))</f>
        <v>7</v>
      </c>
      <c r="M234" s="82" t="str">
        <f aca="false">IF(B234="","",IF(OR(J234&lt;&gt;"",K234&lt;&gt;""),"POSÉ EN LIGNE",IF(COUNTIF(BARDAGE!$C$1:$C$5000,B234)&gt;0,"BARDÉ","EN STOCK")))</f>
        <v>POSÉ EN LIGNE</v>
      </c>
      <c r="N234" s="80"/>
    </row>
    <row r="235" customFormat="false" ht="15" hidden="false" customHeight="false" outlineLevel="0" collapsed="false">
      <c r="A235" s="82" t="n">
        <f aca="false">IF(B235="","",ROW()-6)</f>
        <v>229</v>
      </c>
      <c r="B235" s="145" t="n">
        <v>2080040</v>
      </c>
      <c r="C235" s="146" t="n">
        <v>15421102</v>
      </c>
      <c r="D235" s="146"/>
      <c r="E235" s="82" t="str">
        <f aca="false">IF(B235="","",IF(COUNTIFS('CARNET DE SOUDURE'!$L$7:$L$3006,B235,'CARNET DE SOUDURE'!$M$7:$M$3006,"&lt;&gt;"&amp;C235,'CARNET DE SOUDURE'!$M$7:$M$3006,"&lt;&gt;")+COUNTIFS('CARNET DE SOUDURE'!$O$7:$O$3006,B235,'CARNET DE SOUDURE'!$P$7:$P$3006,"&lt;&gt;"&amp;C235,'CARNET DE SOUDURE'!$P$7:$P$3006,"&lt;&gt;")&gt;0,"⚠ DIFFÉRENTE","OK"))</f>
        <v>OK</v>
      </c>
      <c r="F235" s="147" t="n">
        <v>11.94</v>
      </c>
      <c r="G235" s="80"/>
      <c r="H235" s="83"/>
      <c r="I235" s="148" t="str">
        <f aca="false">IF(B235="","",IFERROR(INDEX('CARNET DE SOUDURE'!$B$7:$B$3006,MATCH(B235,'CARNET DE SOUDURE'!$L$7:$L$3006,0)),IFERROR(INDEX('CARNET DE SOUDURE'!$B$7:$B$3006,MATCH(B235,'CARNET DE SOUDURE'!$O$7:$O$3006,0)),"")))</f>
        <v>MFD-ISW → MFD-CPF</v>
      </c>
      <c r="J235" s="82" t="str">
        <f aca="false">IF(B235="","",IFERROR(INDEX('CARNET DE SOUDURE'!$E$7:$E$3006,MATCH(B235,'CARNET DE SOUDURE'!$O$7:$O$3006,0)),""))</f>
        <v>JN°914</v>
      </c>
      <c r="K235" s="82" t="str">
        <f aca="false">IF(B235="","",IFERROR(INDEX('CARNET DE SOUDURE'!$E$7:$E$3006,MATCH(B235,'CARNET DE SOUDURE'!$L$7:$L$3006,0)),""))</f>
        <v>JN°915</v>
      </c>
      <c r="L235" s="82" t="n">
        <f aca="false">IF(B235="","",IFERROR(INDEX('CARNET DE SOUDURE'!$D$7:$D$3006,MATCH(B235,'CARNET DE SOUDURE'!$L$7:$L$3006,0)),IFERROR(INDEX('CARNET DE SOUDURE'!$D$7:$D$3006,MATCH(B235,'CARNET DE SOUDURE'!$O$7:$O$3006,0)),"")))</f>
        <v>7</v>
      </c>
      <c r="M235" s="82" t="str">
        <f aca="false">IF(B235="","",IF(OR(J235&lt;&gt;"",K235&lt;&gt;""),"POSÉ EN LIGNE",IF(COUNTIF(BARDAGE!$C$1:$C$5000,B235)&gt;0,"BARDÉ","EN STOCK")))</f>
        <v>POSÉ EN LIGNE</v>
      </c>
      <c r="N235" s="80"/>
    </row>
    <row r="236" customFormat="false" ht="15" hidden="false" customHeight="false" outlineLevel="0" collapsed="false">
      <c r="A236" s="82" t="n">
        <f aca="false">IF(B236="","",ROW()-6)</f>
        <v>230</v>
      </c>
      <c r="B236" s="145" t="n">
        <v>2090020</v>
      </c>
      <c r="C236" s="146" t="n">
        <v>15421110</v>
      </c>
      <c r="D236" s="146"/>
      <c r="E236" s="82" t="str">
        <f aca="false">IF(B236="","",IF(COUNTIFS('CARNET DE SOUDURE'!$L$7:$L$3006,B236,'CARNET DE SOUDURE'!$M$7:$M$3006,"&lt;&gt;"&amp;C236,'CARNET DE SOUDURE'!$M$7:$M$3006,"&lt;&gt;")+COUNTIFS('CARNET DE SOUDURE'!$O$7:$O$3006,B236,'CARNET DE SOUDURE'!$P$7:$P$3006,"&lt;&gt;"&amp;C236,'CARNET DE SOUDURE'!$P$7:$P$3006,"&lt;&gt;")&gt;0,"⚠ DIFFÉRENTE","OK"))</f>
        <v>OK</v>
      </c>
      <c r="F236" s="147" t="n">
        <v>11.94</v>
      </c>
      <c r="G236" s="80"/>
      <c r="H236" s="83"/>
      <c r="I236" s="148" t="str">
        <f aca="false">IF(B236="","",IFERROR(INDEX('CARNET DE SOUDURE'!$B$7:$B$3006,MATCH(B236,'CARNET DE SOUDURE'!$L$7:$L$3006,0)),IFERROR(INDEX('CARNET DE SOUDURE'!$B$7:$B$3006,MATCH(B236,'CARNET DE SOUDURE'!$O$7:$O$3006,0)),"")))</f>
        <v>MFD-ISW → MFD-CPF</v>
      </c>
      <c r="J236" s="82" t="str">
        <f aca="false">IF(B236="","",IFERROR(INDEX('CARNET DE SOUDURE'!$E$7:$E$3006,MATCH(B236,'CARNET DE SOUDURE'!$O$7:$O$3006,0)),""))</f>
        <v>JN°915</v>
      </c>
      <c r="K236" s="82" t="str">
        <f aca="false">IF(B236="","",IFERROR(INDEX('CARNET DE SOUDURE'!$E$7:$E$3006,MATCH(B236,'CARNET DE SOUDURE'!$L$7:$L$3006,0)),""))</f>
        <v>JN°916</v>
      </c>
      <c r="L236" s="82" t="n">
        <f aca="false">IF(B236="","",IFERROR(INDEX('CARNET DE SOUDURE'!$D$7:$D$3006,MATCH(B236,'CARNET DE SOUDURE'!$L$7:$L$3006,0)),IFERROR(INDEX('CARNET DE SOUDURE'!$D$7:$D$3006,MATCH(B236,'CARNET DE SOUDURE'!$O$7:$O$3006,0)),"")))</f>
        <v>7</v>
      </c>
      <c r="M236" s="82" t="str">
        <f aca="false">IF(B236="","",IF(OR(J236&lt;&gt;"",K236&lt;&gt;""),"POSÉ EN LIGNE",IF(COUNTIF(BARDAGE!$C$1:$C$5000,B236)&gt;0,"BARDÉ","EN STOCK")))</f>
        <v>POSÉ EN LIGNE</v>
      </c>
      <c r="N236" s="80"/>
    </row>
    <row r="237" customFormat="false" ht="15" hidden="false" customHeight="false" outlineLevel="0" collapsed="false">
      <c r="A237" s="82" t="n">
        <f aca="false">IF(B237="","",ROW()-6)</f>
        <v>231</v>
      </c>
      <c r="B237" s="145" t="n">
        <v>2080180</v>
      </c>
      <c r="C237" s="146" t="n">
        <v>15421102</v>
      </c>
      <c r="D237" s="146"/>
      <c r="E237" s="82" t="str">
        <f aca="false">IF(B237="","",IF(COUNTIFS('CARNET DE SOUDURE'!$L$7:$L$3006,B237,'CARNET DE SOUDURE'!$M$7:$M$3006,"&lt;&gt;"&amp;C237,'CARNET DE SOUDURE'!$M$7:$M$3006,"&lt;&gt;")+COUNTIFS('CARNET DE SOUDURE'!$O$7:$O$3006,B237,'CARNET DE SOUDURE'!$P$7:$P$3006,"&lt;&gt;"&amp;C237,'CARNET DE SOUDURE'!$P$7:$P$3006,"&lt;&gt;")&gt;0,"⚠ DIFFÉRENTE","OK"))</f>
        <v>OK</v>
      </c>
      <c r="F237" s="147" t="n">
        <v>11.94</v>
      </c>
      <c r="G237" s="80"/>
      <c r="H237" s="83"/>
      <c r="I237" s="148" t="str">
        <f aca="false">IF(B237="","",IFERROR(INDEX('CARNET DE SOUDURE'!$B$7:$B$3006,MATCH(B237,'CARNET DE SOUDURE'!$L$7:$L$3006,0)),IFERROR(INDEX('CARNET DE SOUDURE'!$B$7:$B$3006,MATCH(B237,'CARNET DE SOUDURE'!$O$7:$O$3006,0)),"")))</f>
        <v>MFD-ISW → MFD-CPF</v>
      </c>
      <c r="J237" s="82" t="str">
        <f aca="false">IF(B237="","",IFERROR(INDEX('CARNET DE SOUDURE'!$E$7:$E$3006,MATCH(B237,'CARNET DE SOUDURE'!$O$7:$O$3006,0)),""))</f>
        <v>JN°916</v>
      </c>
      <c r="K237" s="82" t="str">
        <f aca="false">IF(B237="","",IFERROR(INDEX('CARNET DE SOUDURE'!$E$7:$E$3006,MATCH(B237,'CARNET DE SOUDURE'!$L$7:$L$3006,0)),""))</f>
        <v>JN°917</v>
      </c>
      <c r="L237" s="82" t="n">
        <f aca="false">IF(B237="","",IFERROR(INDEX('CARNET DE SOUDURE'!$D$7:$D$3006,MATCH(B237,'CARNET DE SOUDURE'!$L$7:$L$3006,0)),IFERROR(INDEX('CARNET DE SOUDURE'!$D$7:$D$3006,MATCH(B237,'CARNET DE SOUDURE'!$O$7:$O$3006,0)),"")))</f>
        <v>7</v>
      </c>
      <c r="M237" s="82" t="str">
        <f aca="false">IF(B237="","",IF(OR(J237&lt;&gt;"",K237&lt;&gt;""),"POSÉ EN LIGNE",IF(COUNTIF(BARDAGE!$C$1:$C$5000,B237)&gt;0,"BARDÉ","EN STOCK")))</f>
        <v>POSÉ EN LIGNE</v>
      </c>
      <c r="N237" s="80"/>
    </row>
    <row r="238" customFormat="false" ht="15" hidden="false" customHeight="false" outlineLevel="0" collapsed="false">
      <c r="A238" s="82" t="n">
        <f aca="false">IF(B238="","",ROW()-6)</f>
        <v>232</v>
      </c>
      <c r="B238" s="145" t="n">
        <v>2091100</v>
      </c>
      <c r="C238" s="146" t="n">
        <v>15421109</v>
      </c>
      <c r="D238" s="146"/>
      <c r="E238" s="82" t="str">
        <f aca="false">IF(B238="","",IF(COUNTIFS('CARNET DE SOUDURE'!$L$7:$L$3006,B238,'CARNET DE SOUDURE'!$M$7:$M$3006,"&lt;&gt;"&amp;C238,'CARNET DE SOUDURE'!$M$7:$M$3006,"&lt;&gt;")+COUNTIFS('CARNET DE SOUDURE'!$O$7:$O$3006,B238,'CARNET DE SOUDURE'!$P$7:$P$3006,"&lt;&gt;"&amp;C238,'CARNET DE SOUDURE'!$P$7:$P$3006,"&lt;&gt;")&gt;0,"⚠ DIFFÉRENTE","OK"))</f>
        <v>OK</v>
      </c>
      <c r="F238" s="147" t="n">
        <v>11.94</v>
      </c>
      <c r="G238" s="80"/>
      <c r="H238" s="83"/>
      <c r="I238" s="148" t="str">
        <f aca="false">IF(B238="","",IFERROR(INDEX('CARNET DE SOUDURE'!$B$7:$B$3006,MATCH(B238,'CARNET DE SOUDURE'!$L$7:$L$3006,0)),IFERROR(INDEX('CARNET DE SOUDURE'!$B$7:$B$3006,MATCH(B238,'CARNET DE SOUDURE'!$O$7:$O$3006,0)),"")))</f>
        <v>MFD-ISW → MFD-CPF</v>
      </c>
      <c r="J238" s="82" t="str">
        <f aca="false">IF(B238="","",IFERROR(INDEX('CARNET DE SOUDURE'!$E$7:$E$3006,MATCH(B238,'CARNET DE SOUDURE'!$O$7:$O$3006,0)),""))</f>
        <v>JN°917</v>
      </c>
      <c r="K238" s="82" t="str">
        <f aca="false">IF(B238="","",IFERROR(INDEX('CARNET DE SOUDURE'!$E$7:$E$3006,MATCH(B238,'CARNET DE SOUDURE'!$L$7:$L$3006,0)),""))</f>
        <v>DJ°401</v>
      </c>
      <c r="L238" s="82" t="n">
        <f aca="false">IF(B238="","",IFERROR(INDEX('CARNET DE SOUDURE'!$D$7:$D$3006,MATCH(B238,'CARNET DE SOUDURE'!$L$7:$L$3006,0)),IFERROR(INDEX('CARNET DE SOUDURE'!$D$7:$D$3006,MATCH(B238,'CARNET DE SOUDURE'!$O$7:$O$3006,0)),"")))</f>
        <v>7</v>
      </c>
      <c r="M238" s="82" t="str">
        <f aca="false">IF(B238="","",IF(OR(J238&lt;&gt;"",K238&lt;&gt;""),"POSÉ EN LIGNE",IF(COUNTIF(BARDAGE!$C$1:$C$5000,B238)&gt;0,"BARDÉ","EN STOCK")))</f>
        <v>POSÉ EN LIGNE</v>
      </c>
      <c r="N238" s="80"/>
    </row>
    <row r="239" customFormat="false" ht="15" hidden="false" customHeight="false" outlineLevel="0" collapsed="false">
      <c r="A239" s="82" t="n">
        <f aca="false">IF(B239="","",ROW()-6)</f>
        <v>233</v>
      </c>
      <c r="B239" s="145" t="n">
        <v>2088800</v>
      </c>
      <c r="C239" s="146" t="n">
        <v>15421108</v>
      </c>
      <c r="D239" s="146"/>
      <c r="E239" s="82" t="str">
        <f aca="false">IF(B239="","",IF(COUNTIFS('CARNET DE SOUDURE'!$L$7:$L$3006,B239,'CARNET DE SOUDURE'!$M$7:$M$3006,"&lt;&gt;"&amp;C239,'CARNET DE SOUDURE'!$M$7:$M$3006,"&lt;&gt;")+COUNTIFS('CARNET DE SOUDURE'!$O$7:$O$3006,B239,'CARNET DE SOUDURE'!$P$7:$P$3006,"&lt;&gt;"&amp;C239,'CARNET DE SOUDURE'!$P$7:$P$3006,"&lt;&gt;")&gt;0,"⚠ DIFFÉRENTE","OK"))</f>
        <v>OK</v>
      </c>
      <c r="F239" s="147" t="n">
        <v>11.94</v>
      </c>
      <c r="G239" s="80"/>
      <c r="H239" s="83"/>
      <c r="I239" s="148" t="str">
        <f aca="false">IF(B239="","",IFERROR(INDEX('CARNET DE SOUDURE'!$B$7:$B$3006,MATCH(B239,'CARNET DE SOUDURE'!$L$7:$L$3006,0)),IFERROR(INDEX('CARNET DE SOUDURE'!$B$7:$B$3006,MATCH(B239,'CARNET DE SOUDURE'!$O$7:$O$3006,0)),"")))</f>
        <v>MFD-ISW → MFD-CPF</v>
      </c>
      <c r="J239" s="82" t="str">
        <f aca="false">IF(B239="","",IFERROR(INDEX('CARNET DE SOUDURE'!$E$7:$E$3006,MATCH(B239,'CARNET DE SOUDURE'!$O$7:$O$3006,0)),""))</f>
        <v>DJ°401</v>
      </c>
      <c r="K239" s="82" t="str">
        <f aca="false">IF(B239="","",IFERROR(INDEX('CARNET DE SOUDURE'!$E$7:$E$3006,MATCH(B239,'CARNET DE SOUDURE'!$L$7:$L$3006,0)),""))</f>
        <v>JN°918</v>
      </c>
      <c r="L239" s="82" t="n">
        <f aca="false">IF(B239="","",IFERROR(INDEX('CARNET DE SOUDURE'!$D$7:$D$3006,MATCH(B239,'CARNET DE SOUDURE'!$L$7:$L$3006,0)),IFERROR(INDEX('CARNET DE SOUDURE'!$D$7:$D$3006,MATCH(B239,'CARNET DE SOUDURE'!$O$7:$O$3006,0)),"")))</f>
        <v>7</v>
      </c>
      <c r="M239" s="82" t="str">
        <f aca="false">IF(B239="","",IF(OR(J239&lt;&gt;"",K239&lt;&gt;""),"POSÉ EN LIGNE",IF(COUNTIF(BARDAGE!$C$1:$C$5000,B239)&gt;0,"BARDÉ","EN STOCK")))</f>
        <v>POSÉ EN LIGNE</v>
      </c>
      <c r="N239" s="80"/>
    </row>
    <row r="240" customFormat="false" ht="15" hidden="false" customHeight="false" outlineLevel="0" collapsed="false">
      <c r="A240" s="82" t="n">
        <f aca="false">IF(B240="","",ROW()-6)</f>
        <v>234</v>
      </c>
      <c r="B240" s="145" t="n">
        <v>2081840</v>
      </c>
      <c r="C240" s="146" t="n">
        <v>15421104</v>
      </c>
      <c r="D240" s="146"/>
      <c r="E240" s="82" t="str">
        <f aca="false">IF(B240="","",IF(COUNTIFS('CARNET DE SOUDURE'!$L$7:$L$3006,B240,'CARNET DE SOUDURE'!$M$7:$M$3006,"&lt;&gt;"&amp;C240,'CARNET DE SOUDURE'!$M$7:$M$3006,"&lt;&gt;")+COUNTIFS('CARNET DE SOUDURE'!$O$7:$O$3006,B240,'CARNET DE SOUDURE'!$P$7:$P$3006,"&lt;&gt;"&amp;C240,'CARNET DE SOUDURE'!$P$7:$P$3006,"&lt;&gt;")&gt;0,"⚠ DIFFÉRENTE","OK"))</f>
        <v>OK</v>
      </c>
      <c r="F240" s="147" t="n">
        <v>11.94</v>
      </c>
      <c r="G240" s="80"/>
      <c r="H240" s="83"/>
      <c r="I240" s="148" t="str">
        <f aca="false">IF(B240="","",IFERROR(INDEX('CARNET DE SOUDURE'!$B$7:$B$3006,MATCH(B240,'CARNET DE SOUDURE'!$L$7:$L$3006,0)),IFERROR(INDEX('CARNET DE SOUDURE'!$B$7:$B$3006,MATCH(B240,'CARNET DE SOUDURE'!$O$7:$O$3006,0)),"")))</f>
        <v>MFD-ISW → MFD-CPF</v>
      </c>
      <c r="J240" s="82" t="str">
        <f aca="false">IF(B240="","",IFERROR(INDEX('CARNET DE SOUDURE'!$E$7:$E$3006,MATCH(B240,'CARNET DE SOUDURE'!$O$7:$O$3006,0)),""))</f>
        <v>JN°918</v>
      </c>
      <c r="K240" s="82" t="str">
        <f aca="false">IF(B240="","",IFERROR(INDEX('CARNET DE SOUDURE'!$E$7:$E$3006,MATCH(B240,'CARNET DE SOUDURE'!$L$7:$L$3006,0)),""))</f>
        <v>DJ°397</v>
      </c>
      <c r="L240" s="82" t="n">
        <f aca="false">IF(B240="","",IFERROR(INDEX('CARNET DE SOUDURE'!$D$7:$D$3006,MATCH(B240,'CARNET DE SOUDURE'!$L$7:$L$3006,0)),IFERROR(INDEX('CARNET DE SOUDURE'!$D$7:$D$3006,MATCH(B240,'CARNET DE SOUDURE'!$O$7:$O$3006,0)),"")))</f>
        <v>7</v>
      </c>
      <c r="M240" s="82" t="str">
        <f aca="false">IF(B240="","",IF(OR(J240&lt;&gt;"",K240&lt;&gt;""),"POSÉ EN LIGNE",IF(COUNTIF(BARDAGE!$C$1:$C$5000,B240)&gt;0,"BARDÉ","EN STOCK")))</f>
        <v>POSÉ EN LIGNE</v>
      </c>
      <c r="N240" s="80"/>
    </row>
    <row r="241" customFormat="false" ht="15" hidden="false" customHeight="false" outlineLevel="0" collapsed="false">
      <c r="A241" s="82" t="n">
        <f aca="false">IF(B241="","",ROW()-6)</f>
        <v>235</v>
      </c>
      <c r="B241" s="145" t="n">
        <v>2084530</v>
      </c>
      <c r="C241" s="146" t="n">
        <v>15421106</v>
      </c>
      <c r="D241" s="146"/>
      <c r="E241" s="82" t="str">
        <f aca="false">IF(B241="","",IF(COUNTIFS('CARNET DE SOUDURE'!$L$7:$L$3006,B241,'CARNET DE SOUDURE'!$M$7:$M$3006,"&lt;&gt;"&amp;C241,'CARNET DE SOUDURE'!$M$7:$M$3006,"&lt;&gt;")+COUNTIFS('CARNET DE SOUDURE'!$O$7:$O$3006,B241,'CARNET DE SOUDURE'!$P$7:$P$3006,"&lt;&gt;"&amp;C241,'CARNET DE SOUDURE'!$P$7:$P$3006,"&lt;&gt;")&gt;0,"⚠ DIFFÉRENTE","OK"))</f>
        <v>OK</v>
      </c>
      <c r="F241" s="147" t="n">
        <v>11.94</v>
      </c>
      <c r="G241" s="80"/>
      <c r="H241" s="83"/>
      <c r="I241" s="148" t="str">
        <f aca="false">IF(B241="","",IFERROR(INDEX('CARNET DE SOUDURE'!$B$7:$B$3006,MATCH(B241,'CARNET DE SOUDURE'!$L$7:$L$3006,0)),IFERROR(INDEX('CARNET DE SOUDURE'!$B$7:$B$3006,MATCH(B241,'CARNET DE SOUDURE'!$O$7:$O$3006,0)),"")))</f>
        <v>MFD-ISW → MFD-CPF</v>
      </c>
      <c r="J241" s="82" t="str">
        <f aca="false">IF(B241="","",IFERROR(INDEX('CARNET DE SOUDURE'!$E$7:$E$3006,MATCH(B241,'CARNET DE SOUDURE'!$O$7:$O$3006,0)),""))</f>
        <v>DJ°397</v>
      </c>
      <c r="K241" s="82" t="str">
        <f aca="false">IF(B241="","",IFERROR(INDEX('CARNET DE SOUDURE'!$E$7:$E$3006,MATCH(B241,'CARNET DE SOUDURE'!$L$7:$L$3006,0)),""))</f>
        <v>JN°919</v>
      </c>
      <c r="L241" s="82" t="n">
        <f aca="false">IF(B241="","",IFERROR(INDEX('CARNET DE SOUDURE'!$D$7:$D$3006,MATCH(B241,'CARNET DE SOUDURE'!$L$7:$L$3006,0)),IFERROR(INDEX('CARNET DE SOUDURE'!$D$7:$D$3006,MATCH(B241,'CARNET DE SOUDURE'!$O$7:$O$3006,0)),"")))</f>
        <v>7</v>
      </c>
      <c r="M241" s="82" t="str">
        <f aca="false">IF(B241="","",IF(OR(J241&lt;&gt;"",K241&lt;&gt;""),"POSÉ EN LIGNE",IF(COUNTIF(BARDAGE!$C$1:$C$5000,B241)&gt;0,"BARDÉ","EN STOCK")))</f>
        <v>POSÉ EN LIGNE</v>
      </c>
      <c r="N241" s="80"/>
    </row>
    <row r="242" customFormat="false" ht="15" hidden="false" customHeight="false" outlineLevel="0" collapsed="false">
      <c r="A242" s="82" t="n">
        <f aca="false">IF(B242="","",ROW()-6)</f>
        <v>236</v>
      </c>
      <c r="B242" s="145" t="n">
        <v>2089530</v>
      </c>
      <c r="C242" s="146" t="n">
        <v>15421109</v>
      </c>
      <c r="D242" s="146"/>
      <c r="E242" s="82" t="str">
        <f aca="false">IF(B242="","",IF(COUNTIFS('CARNET DE SOUDURE'!$L$7:$L$3006,B242,'CARNET DE SOUDURE'!$M$7:$M$3006,"&lt;&gt;"&amp;C242,'CARNET DE SOUDURE'!$M$7:$M$3006,"&lt;&gt;")+COUNTIFS('CARNET DE SOUDURE'!$O$7:$O$3006,B242,'CARNET DE SOUDURE'!$P$7:$P$3006,"&lt;&gt;"&amp;C242,'CARNET DE SOUDURE'!$P$7:$P$3006,"&lt;&gt;")&gt;0,"⚠ DIFFÉRENTE","OK"))</f>
        <v>OK</v>
      </c>
      <c r="F242" s="147" t="n">
        <v>11.94</v>
      </c>
      <c r="G242" s="80"/>
      <c r="H242" s="83"/>
      <c r="I242" s="148" t="str">
        <f aca="false">IF(B242="","",IFERROR(INDEX('CARNET DE SOUDURE'!$B$7:$B$3006,MATCH(B242,'CARNET DE SOUDURE'!$L$7:$L$3006,0)),IFERROR(INDEX('CARNET DE SOUDURE'!$B$7:$B$3006,MATCH(B242,'CARNET DE SOUDURE'!$O$7:$O$3006,0)),"")))</f>
        <v>MFD-ISW → MFD-CPF</v>
      </c>
      <c r="J242" s="82" t="str">
        <f aca="false">IF(B242="","",IFERROR(INDEX('CARNET DE SOUDURE'!$E$7:$E$3006,MATCH(B242,'CARNET DE SOUDURE'!$O$7:$O$3006,0)),""))</f>
        <v>JN°919</v>
      </c>
      <c r="K242" s="82" t="str">
        <f aca="false">IF(B242="","",IFERROR(INDEX('CARNET DE SOUDURE'!$E$7:$E$3006,MATCH(B242,'CARNET DE SOUDURE'!$L$7:$L$3006,0)),""))</f>
        <v>DJ°392</v>
      </c>
      <c r="L242" s="82" t="n">
        <f aca="false">IF(B242="","",IFERROR(INDEX('CARNET DE SOUDURE'!$D$7:$D$3006,MATCH(B242,'CARNET DE SOUDURE'!$L$7:$L$3006,0)),IFERROR(INDEX('CARNET DE SOUDURE'!$D$7:$D$3006,MATCH(B242,'CARNET DE SOUDURE'!$O$7:$O$3006,0)),"")))</f>
        <v>7</v>
      </c>
      <c r="M242" s="82" t="str">
        <f aca="false">IF(B242="","",IF(OR(J242&lt;&gt;"",K242&lt;&gt;""),"POSÉ EN LIGNE",IF(COUNTIF(BARDAGE!$C$1:$C$5000,B242)&gt;0,"BARDÉ","EN STOCK")))</f>
        <v>POSÉ EN LIGNE</v>
      </c>
      <c r="N242" s="80"/>
    </row>
    <row r="243" customFormat="false" ht="15" hidden="false" customHeight="false" outlineLevel="0" collapsed="false">
      <c r="A243" s="82" t="n">
        <f aca="false">IF(B243="","",ROW()-6)</f>
        <v>237</v>
      </c>
      <c r="B243" s="145" t="n">
        <v>2088750</v>
      </c>
      <c r="C243" s="146" t="n">
        <v>15421108</v>
      </c>
      <c r="D243" s="146"/>
      <c r="E243" s="82" t="str">
        <f aca="false">IF(B243="","",IF(COUNTIFS('CARNET DE SOUDURE'!$L$7:$L$3006,B243,'CARNET DE SOUDURE'!$M$7:$M$3006,"&lt;&gt;"&amp;C243,'CARNET DE SOUDURE'!$M$7:$M$3006,"&lt;&gt;")+COUNTIFS('CARNET DE SOUDURE'!$O$7:$O$3006,B243,'CARNET DE SOUDURE'!$P$7:$P$3006,"&lt;&gt;"&amp;C243,'CARNET DE SOUDURE'!$P$7:$P$3006,"&lt;&gt;")&gt;0,"⚠ DIFFÉRENTE","OK"))</f>
        <v>OK</v>
      </c>
      <c r="F243" s="147" t="n">
        <v>11.94</v>
      </c>
      <c r="G243" s="80"/>
      <c r="H243" s="83"/>
      <c r="I243" s="148" t="str">
        <f aca="false">IF(B243="","",IFERROR(INDEX('CARNET DE SOUDURE'!$B$7:$B$3006,MATCH(B243,'CARNET DE SOUDURE'!$L$7:$L$3006,0)),IFERROR(INDEX('CARNET DE SOUDURE'!$B$7:$B$3006,MATCH(B243,'CARNET DE SOUDURE'!$O$7:$O$3006,0)),"")))</f>
        <v>MFD-ISW → MFD-CPF</v>
      </c>
      <c r="J243" s="82" t="str">
        <f aca="false">IF(B243="","",IFERROR(INDEX('CARNET DE SOUDURE'!$E$7:$E$3006,MATCH(B243,'CARNET DE SOUDURE'!$O$7:$O$3006,0)),""))</f>
        <v>DJ°392</v>
      </c>
      <c r="K243" s="82" t="str">
        <f aca="false">IF(B243="","",IFERROR(INDEX('CARNET DE SOUDURE'!$E$7:$E$3006,MATCH(B243,'CARNET DE SOUDURE'!$L$7:$L$3006,0)),""))</f>
        <v>JN°920</v>
      </c>
      <c r="L243" s="82" t="n">
        <f aca="false">IF(B243="","",IFERROR(INDEX('CARNET DE SOUDURE'!$D$7:$D$3006,MATCH(B243,'CARNET DE SOUDURE'!$L$7:$L$3006,0)),IFERROR(INDEX('CARNET DE SOUDURE'!$D$7:$D$3006,MATCH(B243,'CARNET DE SOUDURE'!$O$7:$O$3006,0)),"")))</f>
        <v>7</v>
      </c>
      <c r="M243" s="82" t="str">
        <f aca="false">IF(B243="","",IF(OR(J243&lt;&gt;"",K243&lt;&gt;""),"POSÉ EN LIGNE",IF(COUNTIF(BARDAGE!$C$1:$C$5000,B243)&gt;0,"BARDÉ","EN STOCK")))</f>
        <v>POSÉ EN LIGNE</v>
      </c>
      <c r="N243" s="80"/>
    </row>
    <row r="244" customFormat="false" ht="15" hidden="false" customHeight="false" outlineLevel="0" collapsed="false">
      <c r="A244" s="82" t="n">
        <f aca="false">IF(B244="","",ROW()-6)</f>
        <v>238</v>
      </c>
      <c r="B244" s="145" t="n">
        <v>2089850</v>
      </c>
      <c r="C244" s="146" t="n">
        <v>15421109</v>
      </c>
      <c r="D244" s="146"/>
      <c r="E244" s="82" t="str">
        <f aca="false">IF(B244="","",IF(COUNTIFS('CARNET DE SOUDURE'!$L$7:$L$3006,B244,'CARNET DE SOUDURE'!$M$7:$M$3006,"&lt;&gt;"&amp;C244,'CARNET DE SOUDURE'!$M$7:$M$3006,"&lt;&gt;")+COUNTIFS('CARNET DE SOUDURE'!$O$7:$O$3006,B244,'CARNET DE SOUDURE'!$P$7:$P$3006,"&lt;&gt;"&amp;C244,'CARNET DE SOUDURE'!$P$7:$P$3006,"&lt;&gt;")&gt;0,"⚠ DIFFÉRENTE","OK"))</f>
        <v>⚠ DIFFÉRENTE</v>
      </c>
      <c r="F244" s="147" t="n">
        <v>11.94</v>
      </c>
      <c r="G244" s="80"/>
      <c r="H244" s="83"/>
      <c r="I244" s="148" t="str">
        <f aca="false">IF(B244="","",IFERROR(INDEX('CARNET DE SOUDURE'!$B$7:$B$3006,MATCH(B244,'CARNET DE SOUDURE'!$L$7:$L$3006,0)),IFERROR(INDEX('CARNET DE SOUDURE'!$B$7:$B$3006,MATCH(B244,'CARNET DE SOUDURE'!$O$7:$O$3006,0)),"")))</f>
        <v>MFD-ISW → MFD-CPF</v>
      </c>
      <c r="J244" s="82" t="str">
        <f aca="false">IF(B244="","",IFERROR(INDEX('CARNET DE SOUDURE'!$E$7:$E$3006,MATCH(B244,'CARNET DE SOUDURE'!$O$7:$O$3006,0)),""))</f>
        <v>JN°920</v>
      </c>
      <c r="K244" s="82" t="str">
        <f aca="false">IF(B244="","",IFERROR(INDEX('CARNET DE SOUDURE'!$E$7:$E$3006,MATCH(B244,'CARNET DE SOUDURE'!$L$7:$L$3006,0)),""))</f>
        <v>DJ°406</v>
      </c>
      <c r="L244" s="82" t="n">
        <f aca="false">IF(B244="","",IFERROR(INDEX('CARNET DE SOUDURE'!$D$7:$D$3006,MATCH(B244,'CARNET DE SOUDURE'!$L$7:$L$3006,0)),IFERROR(INDEX('CARNET DE SOUDURE'!$D$7:$D$3006,MATCH(B244,'CARNET DE SOUDURE'!$O$7:$O$3006,0)),"")))</f>
        <v>7</v>
      </c>
      <c r="M244" s="82" t="str">
        <f aca="false">IF(B244="","",IF(OR(J244&lt;&gt;"",K244&lt;&gt;""),"POSÉ EN LIGNE",IF(COUNTIF(BARDAGE!$C$1:$C$5000,B244)&gt;0,"BARDÉ","EN STOCK")))</f>
        <v>POSÉ EN LIGNE</v>
      </c>
      <c r="N244" s="80"/>
    </row>
    <row r="245" customFormat="false" ht="15" hidden="false" customHeight="false" outlineLevel="0" collapsed="false">
      <c r="A245" s="82" t="n">
        <f aca="false">IF(B245="","",ROW()-6)</f>
        <v>239</v>
      </c>
      <c r="B245" s="145" t="n">
        <v>2086310</v>
      </c>
      <c r="C245" s="146" t="n">
        <v>15421107</v>
      </c>
      <c r="D245" s="146"/>
      <c r="E245" s="82" t="str">
        <f aca="false">IF(B245="","",IF(COUNTIFS('CARNET DE SOUDURE'!$L$7:$L$3006,B245,'CARNET DE SOUDURE'!$M$7:$M$3006,"&lt;&gt;"&amp;C245,'CARNET DE SOUDURE'!$M$7:$M$3006,"&lt;&gt;")+COUNTIFS('CARNET DE SOUDURE'!$O$7:$O$3006,B245,'CARNET DE SOUDURE'!$P$7:$P$3006,"&lt;&gt;"&amp;C245,'CARNET DE SOUDURE'!$P$7:$P$3006,"&lt;&gt;")&gt;0,"⚠ DIFFÉRENTE","OK"))</f>
        <v>OK</v>
      </c>
      <c r="F245" s="147" t="n">
        <v>11.94</v>
      </c>
      <c r="G245" s="80"/>
      <c r="H245" s="83"/>
      <c r="I245" s="148" t="str">
        <f aca="false">IF(B245="","",IFERROR(INDEX('CARNET DE SOUDURE'!$B$7:$B$3006,MATCH(B245,'CARNET DE SOUDURE'!$L$7:$L$3006,0)),IFERROR(INDEX('CARNET DE SOUDURE'!$B$7:$B$3006,MATCH(B245,'CARNET DE SOUDURE'!$O$7:$O$3006,0)),"")))</f>
        <v>MFD-ISW → MFD-CPF</v>
      </c>
      <c r="J245" s="82" t="str">
        <f aca="false">IF(B245="","",IFERROR(INDEX('CARNET DE SOUDURE'!$E$7:$E$3006,MATCH(B245,'CARNET DE SOUDURE'!$O$7:$O$3006,0)),""))</f>
        <v>DJ°406</v>
      </c>
      <c r="K245" s="82" t="str">
        <f aca="false">IF(B245="","",IFERROR(INDEX('CARNET DE SOUDURE'!$E$7:$E$3006,MATCH(B245,'CARNET DE SOUDURE'!$L$7:$L$3006,0)),""))</f>
        <v>JN°921</v>
      </c>
      <c r="L245" s="82" t="n">
        <f aca="false">IF(B245="","",IFERROR(INDEX('CARNET DE SOUDURE'!$D$7:$D$3006,MATCH(B245,'CARNET DE SOUDURE'!$L$7:$L$3006,0)),IFERROR(INDEX('CARNET DE SOUDURE'!$D$7:$D$3006,MATCH(B245,'CARNET DE SOUDURE'!$O$7:$O$3006,0)),"")))</f>
        <v>7</v>
      </c>
      <c r="M245" s="82" t="str">
        <f aca="false">IF(B245="","",IF(OR(J245&lt;&gt;"",K245&lt;&gt;""),"POSÉ EN LIGNE",IF(COUNTIF(BARDAGE!$C$1:$C$5000,B245)&gt;0,"BARDÉ","EN STOCK")))</f>
        <v>POSÉ EN LIGNE</v>
      </c>
      <c r="N245" s="80"/>
    </row>
    <row r="246" customFormat="false" ht="15" hidden="false" customHeight="false" outlineLevel="0" collapsed="false">
      <c r="A246" s="82" t="n">
        <f aca="false">IF(B246="","",ROW()-6)</f>
        <v>240</v>
      </c>
      <c r="B246" s="145" t="n">
        <v>2079230</v>
      </c>
      <c r="C246" s="146" t="n">
        <v>15421102</v>
      </c>
      <c r="D246" s="146"/>
      <c r="E246" s="82" t="str">
        <f aca="false">IF(B246="","",IF(COUNTIFS('CARNET DE SOUDURE'!$L$7:$L$3006,B246,'CARNET DE SOUDURE'!$M$7:$M$3006,"&lt;&gt;"&amp;C246,'CARNET DE SOUDURE'!$M$7:$M$3006,"&lt;&gt;")+COUNTIFS('CARNET DE SOUDURE'!$O$7:$O$3006,B246,'CARNET DE SOUDURE'!$P$7:$P$3006,"&lt;&gt;"&amp;C246,'CARNET DE SOUDURE'!$P$7:$P$3006,"&lt;&gt;")&gt;0,"⚠ DIFFÉRENTE","OK"))</f>
        <v>OK</v>
      </c>
      <c r="F246" s="147" t="n">
        <v>11.94</v>
      </c>
      <c r="G246" s="80"/>
      <c r="H246" s="83"/>
      <c r="I246" s="148" t="str">
        <f aca="false">IF(B246="","",IFERROR(INDEX('CARNET DE SOUDURE'!$B$7:$B$3006,MATCH(B246,'CARNET DE SOUDURE'!$L$7:$L$3006,0)),IFERROR(INDEX('CARNET DE SOUDURE'!$B$7:$B$3006,MATCH(B246,'CARNET DE SOUDURE'!$O$7:$O$3006,0)),"")))</f>
        <v>MFD-ISW → MFD-CPF</v>
      </c>
      <c r="J246" s="82" t="str">
        <f aca="false">IF(B246="","",IFERROR(INDEX('CARNET DE SOUDURE'!$E$7:$E$3006,MATCH(B246,'CARNET DE SOUDURE'!$O$7:$O$3006,0)),""))</f>
        <v>JN°921</v>
      </c>
      <c r="K246" s="82" t="str">
        <f aca="false">IF(B246="","",IFERROR(INDEX('CARNET DE SOUDURE'!$E$7:$E$3006,MATCH(B246,'CARNET DE SOUDURE'!$L$7:$L$3006,0)),""))</f>
        <v>DJ°388</v>
      </c>
      <c r="L246" s="82" t="n">
        <f aca="false">IF(B246="","",IFERROR(INDEX('CARNET DE SOUDURE'!$D$7:$D$3006,MATCH(B246,'CARNET DE SOUDURE'!$L$7:$L$3006,0)),IFERROR(INDEX('CARNET DE SOUDURE'!$D$7:$D$3006,MATCH(B246,'CARNET DE SOUDURE'!$O$7:$O$3006,0)),"")))</f>
        <v>7</v>
      </c>
      <c r="M246" s="82" t="str">
        <f aca="false">IF(B246="","",IF(OR(J246&lt;&gt;"",K246&lt;&gt;""),"POSÉ EN LIGNE",IF(COUNTIF(BARDAGE!$C$1:$C$5000,B246)&gt;0,"BARDÉ","EN STOCK")))</f>
        <v>POSÉ EN LIGNE</v>
      </c>
      <c r="N246" s="80"/>
    </row>
    <row r="247" customFormat="false" ht="15" hidden="false" customHeight="false" outlineLevel="0" collapsed="false">
      <c r="A247" s="82" t="n">
        <f aca="false">IF(B247="","",ROW()-6)</f>
        <v>241</v>
      </c>
      <c r="B247" s="145" t="n">
        <v>2087590</v>
      </c>
      <c r="C247" s="146" t="n">
        <v>15421107</v>
      </c>
      <c r="D247" s="146"/>
      <c r="E247" s="82" t="str">
        <f aca="false">IF(B247="","",IF(COUNTIFS('CARNET DE SOUDURE'!$L$7:$L$3006,B247,'CARNET DE SOUDURE'!$M$7:$M$3006,"&lt;&gt;"&amp;C247,'CARNET DE SOUDURE'!$M$7:$M$3006,"&lt;&gt;")+COUNTIFS('CARNET DE SOUDURE'!$O$7:$O$3006,B247,'CARNET DE SOUDURE'!$P$7:$P$3006,"&lt;&gt;"&amp;C247,'CARNET DE SOUDURE'!$P$7:$P$3006,"&lt;&gt;")&gt;0,"⚠ DIFFÉRENTE","OK"))</f>
        <v>OK</v>
      </c>
      <c r="F247" s="147" t="n">
        <v>11.94</v>
      </c>
      <c r="G247" s="80"/>
      <c r="H247" s="83"/>
      <c r="I247" s="148" t="str">
        <f aca="false">IF(B247="","",IFERROR(INDEX('CARNET DE SOUDURE'!$B$7:$B$3006,MATCH(B247,'CARNET DE SOUDURE'!$L$7:$L$3006,0)),IFERROR(INDEX('CARNET DE SOUDURE'!$B$7:$B$3006,MATCH(B247,'CARNET DE SOUDURE'!$O$7:$O$3006,0)),"")))</f>
        <v>MFD-ISW → MFD-CPF</v>
      </c>
      <c r="J247" s="82" t="str">
        <f aca="false">IF(B247="","",IFERROR(INDEX('CARNET DE SOUDURE'!$E$7:$E$3006,MATCH(B247,'CARNET DE SOUDURE'!$O$7:$O$3006,0)),""))</f>
        <v>DJ°388</v>
      </c>
      <c r="K247" s="82" t="str">
        <f aca="false">IF(B247="","",IFERROR(INDEX('CARNET DE SOUDURE'!$E$7:$E$3006,MATCH(B247,'CARNET DE SOUDURE'!$L$7:$L$3006,0)),""))</f>
        <v>JN°922</v>
      </c>
      <c r="L247" s="82" t="n">
        <f aca="false">IF(B247="","",IFERROR(INDEX('CARNET DE SOUDURE'!$D$7:$D$3006,MATCH(B247,'CARNET DE SOUDURE'!$L$7:$L$3006,0)),IFERROR(INDEX('CARNET DE SOUDURE'!$D$7:$D$3006,MATCH(B247,'CARNET DE SOUDURE'!$O$7:$O$3006,0)),"")))</f>
        <v>7</v>
      </c>
      <c r="M247" s="82" t="str">
        <f aca="false">IF(B247="","",IF(OR(J247&lt;&gt;"",K247&lt;&gt;""),"POSÉ EN LIGNE",IF(COUNTIF(BARDAGE!$C$1:$C$5000,B247)&gt;0,"BARDÉ","EN STOCK")))</f>
        <v>POSÉ EN LIGNE</v>
      </c>
      <c r="N247" s="80"/>
    </row>
    <row r="248" customFormat="false" ht="15" hidden="false" customHeight="false" outlineLevel="0" collapsed="false">
      <c r="A248" s="82" t="n">
        <f aca="false">IF(B248="","",ROW()-6)</f>
        <v>242</v>
      </c>
      <c r="B248" s="145" t="n">
        <v>2086880</v>
      </c>
      <c r="C248" s="146" t="n">
        <v>15421107</v>
      </c>
      <c r="D248" s="146"/>
      <c r="E248" s="82" t="str">
        <f aca="false">IF(B248="","",IF(COUNTIFS('CARNET DE SOUDURE'!$L$7:$L$3006,B248,'CARNET DE SOUDURE'!$M$7:$M$3006,"&lt;&gt;"&amp;C248,'CARNET DE SOUDURE'!$M$7:$M$3006,"&lt;&gt;")+COUNTIFS('CARNET DE SOUDURE'!$O$7:$O$3006,B248,'CARNET DE SOUDURE'!$P$7:$P$3006,"&lt;&gt;"&amp;C248,'CARNET DE SOUDURE'!$P$7:$P$3006,"&lt;&gt;")&gt;0,"⚠ DIFFÉRENTE","OK"))</f>
        <v>OK</v>
      </c>
      <c r="F248" s="147" t="n">
        <v>11.94</v>
      </c>
      <c r="G248" s="80"/>
      <c r="H248" s="83"/>
      <c r="I248" s="148" t="str">
        <f aca="false">IF(B248="","",IFERROR(INDEX('CARNET DE SOUDURE'!$B$7:$B$3006,MATCH(B248,'CARNET DE SOUDURE'!$L$7:$L$3006,0)),IFERROR(INDEX('CARNET DE SOUDURE'!$B$7:$B$3006,MATCH(B248,'CARNET DE SOUDURE'!$O$7:$O$3006,0)),"")))</f>
        <v>MFD-ISW → MFD-CPF</v>
      </c>
      <c r="J248" s="82" t="str">
        <f aca="false">IF(B248="","",IFERROR(INDEX('CARNET DE SOUDURE'!$E$7:$E$3006,MATCH(B248,'CARNET DE SOUDURE'!$O$7:$O$3006,0)),""))</f>
        <v>JN°922</v>
      </c>
      <c r="K248" s="82" t="str">
        <f aca="false">IF(B248="","",IFERROR(INDEX('CARNET DE SOUDURE'!$E$7:$E$3006,MATCH(B248,'CARNET DE SOUDURE'!$L$7:$L$3006,0)),""))</f>
        <v>DJ°386</v>
      </c>
      <c r="L248" s="82" t="n">
        <f aca="false">IF(B248="","",IFERROR(INDEX('CARNET DE SOUDURE'!$D$7:$D$3006,MATCH(B248,'CARNET DE SOUDURE'!$L$7:$L$3006,0)),IFERROR(INDEX('CARNET DE SOUDURE'!$D$7:$D$3006,MATCH(B248,'CARNET DE SOUDURE'!$O$7:$O$3006,0)),"")))</f>
        <v>7</v>
      </c>
      <c r="M248" s="82" t="str">
        <f aca="false">IF(B248="","",IF(OR(J248&lt;&gt;"",K248&lt;&gt;""),"POSÉ EN LIGNE",IF(COUNTIF(BARDAGE!$C$1:$C$5000,B248)&gt;0,"BARDÉ","EN STOCK")))</f>
        <v>POSÉ EN LIGNE</v>
      </c>
      <c r="N248" s="80"/>
    </row>
    <row r="249" customFormat="false" ht="15" hidden="false" customHeight="false" outlineLevel="0" collapsed="false">
      <c r="A249" s="82" t="n">
        <f aca="false">IF(B249="","",ROW()-6)</f>
        <v>243</v>
      </c>
      <c r="B249" s="145" t="n">
        <v>2086950</v>
      </c>
      <c r="C249" s="146" t="n">
        <v>15421107</v>
      </c>
      <c r="D249" s="146"/>
      <c r="E249" s="82" t="str">
        <f aca="false">IF(B249="","",IF(COUNTIFS('CARNET DE SOUDURE'!$L$7:$L$3006,B249,'CARNET DE SOUDURE'!$M$7:$M$3006,"&lt;&gt;"&amp;C249,'CARNET DE SOUDURE'!$M$7:$M$3006,"&lt;&gt;")+COUNTIFS('CARNET DE SOUDURE'!$O$7:$O$3006,B249,'CARNET DE SOUDURE'!$P$7:$P$3006,"&lt;&gt;"&amp;C249,'CARNET DE SOUDURE'!$P$7:$P$3006,"&lt;&gt;")&gt;0,"⚠ DIFFÉRENTE","OK"))</f>
        <v>⚠ DIFFÉRENTE</v>
      </c>
      <c r="F249" s="147" t="n">
        <v>11.94</v>
      </c>
      <c r="G249" s="80"/>
      <c r="H249" s="83"/>
      <c r="I249" s="148" t="str">
        <f aca="false">IF(B249="","",IFERROR(INDEX('CARNET DE SOUDURE'!$B$7:$B$3006,MATCH(B249,'CARNET DE SOUDURE'!$L$7:$L$3006,0)),IFERROR(INDEX('CARNET DE SOUDURE'!$B$7:$B$3006,MATCH(B249,'CARNET DE SOUDURE'!$O$7:$O$3006,0)),"")))</f>
        <v>MFD-ISW → MFD-CPF</v>
      </c>
      <c r="J249" s="82" t="str">
        <f aca="false">IF(B249="","",IFERROR(INDEX('CARNET DE SOUDURE'!$E$7:$E$3006,MATCH(B249,'CARNET DE SOUDURE'!$O$7:$O$3006,0)),""))</f>
        <v>DJ°386</v>
      </c>
      <c r="K249" s="82" t="str">
        <f aca="false">IF(B249="","",IFERROR(INDEX('CARNET DE SOUDURE'!$E$7:$E$3006,MATCH(B249,'CARNET DE SOUDURE'!$L$7:$L$3006,0)),""))</f>
        <v>JN°923</v>
      </c>
      <c r="L249" s="82" t="n">
        <f aca="false">IF(B249="","",IFERROR(INDEX('CARNET DE SOUDURE'!$D$7:$D$3006,MATCH(B249,'CARNET DE SOUDURE'!$L$7:$L$3006,0)),IFERROR(INDEX('CARNET DE SOUDURE'!$D$7:$D$3006,MATCH(B249,'CARNET DE SOUDURE'!$O$7:$O$3006,0)),"")))</f>
        <v>7</v>
      </c>
      <c r="M249" s="82" t="str">
        <f aca="false">IF(B249="","",IF(OR(J249&lt;&gt;"",K249&lt;&gt;""),"POSÉ EN LIGNE",IF(COUNTIF(BARDAGE!$C$1:$C$5000,B249)&gt;0,"BARDÉ","EN STOCK")))</f>
        <v>POSÉ EN LIGNE</v>
      </c>
      <c r="N249" s="80"/>
    </row>
    <row r="250" customFormat="false" ht="15" hidden="false" customHeight="false" outlineLevel="0" collapsed="false">
      <c r="A250" s="82" t="n">
        <f aca="false">IF(B250="","",ROW()-6)</f>
        <v>244</v>
      </c>
      <c r="B250" s="145" t="n">
        <v>2084540</v>
      </c>
      <c r="C250" s="146" t="n">
        <v>15421106</v>
      </c>
      <c r="D250" s="146"/>
      <c r="E250" s="82" t="str">
        <f aca="false">IF(B250="","",IF(COUNTIFS('CARNET DE SOUDURE'!$L$7:$L$3006,B250,'CARNET DE SOUDURE'!$M$7:$M$3006,"&lt;&gt;"&amp;C250,'CARNET DE SOUDURE'!$M$7:$M$3006,"&lt;&gt;")+COUNTIFS('CARNET DE SOUDURE'!$O$7:$O$3006,B250,'CARNET DE SOUDURE'!$P$7:$P$3006,"&lt;&gt;"&amp;C250,'CARNET DE SOUDURE'!$P$7:$P$3006,"&lt;&gt;")&gt;0,"⚠ DIFFÉRENTE","OK"))</f>
        <v>⚠ DIFFÉRENTE</v>
      </c>
      <c r="F250" s="147" t="n">
        <v>11.94</v>
      </c>
      <c r="G250" s="80"/>
      <c r="H250" s="83"/>
      <c r="I250" s="148" t="str">
        <f aca="false">IF(B250="","",IFERROR(INDEX('CARNET DE SOUDURE'!$B$7:$B$3006,MATCH(B250,'CARNET DE SOUDURE'!$L$7:$L$3006,0)),IFERROR(INDEX('CARNET DE SOUDURE'!$B$7:$B$3006,MATCH(B250,'CARNET DE SOUDURE'!$O$7:$O$3006,0)),"")))</f>
        <v>MFD-ISW → MFD-CPF</v>
      </c>
      <c r="J250" s="82" t="str">
        <f aca="false">IF(B250="","",IFERROR(INDEX('CARNET DE SOUDURE'!$E$7:$E$3006,MATCH(B250,'CARNET DE SOUDURE'!$O$7:$O$3006,0)),""))</f>
        <v>JN°923</v>
      </c>
      <c r="K250" s="82" t="str">
        <f aca="false">IF(B250="","",IFERROR(INDEX('CARNET DE SOUDURE'!$E$7:$E$3006,MATCH(B250,'CARNET DE SOUDURE'!$L$7:$L$3006,0)),""))</f>
        <v>DJ°407</v>
      </c>
      <c r="L250" s="82" t="n">
        <f aca="false">IF(B250="","",IFERROR(INDEX('CARNET DE SOUDURE'!$D$7:$D$3006,MATCH(B250,'CARNET DE SOUDURE'!$L$7:$L$3006,0)),IFERROR(INDEX('CARNET DE SOUDURE'!$D$7:$D$3006,MATCH(B250,'CARNET DE SOUDURE'!$O$7:$O$3006,0)),"")))</f>
        <v>7</v>
      </c>
      <c r="M250" s="82" t="str">
        <f aca="false">IF(B250="","",IF(OR(J250&lt;&gt;"",K250&lt;&gt;""),"POSÉ EN LIGNE",IF(COUNTIF(BARDAGE!$C$1:$C$5000,B250)&gt;0,"BARDÉ","EN STOCK")))</f>
        <v>POSÉ EN LIGNE</v>
      </c>
      <c r="N250" s="80"/>
    </row>
    <row r="251" customFormat="false" ht="15" hidden="false" customHeight="false" outlineLevel="0" collapsed="false">
      <c r="A251" s="82" t="n">
        <f aca="false">IF(B251="","",ROW()-6)</f>
        <v>245</v>
      </c>
      <c r="B251" s="145" t="n">
        <v>2086440</v>
      </c>
      <c r="C251" s="146" t="n">
        <v>15421107</v>
      </c>
      <c r="D251" s="146"/>
      <c r="E251" s="82" t="str">
        <f aca="false">IF(B251="","",IF(COUNTIFS('CARNET DE SOUDURE'!$L$7:$L$3006,B251,'CARNET DE SOUDURE'!$M$7:$M$3006,"&lt;&gt;"&amp;C251,'CARNET DE SOUDURE'!$M$7:$M$3006,"&lt;&gt;")+COUNTIFS('CARNET DE SOUDURE'!$O$7:$O$3006,B251,'CARNET DE SOUDURE'!$P$7:$P$3006,"&lt;&gt;"&amp;C251,'CARNET DE SOUDURE'!$P$7:$P$3006,"&lt;&gt;")&gt;0,"⚠ DIFFÉRENTE","OK"))</f>
        <v>OK</v>
      </c>
      <c r="F251" s="147" t="n">
        <v>11.94</v>
      </c>
      <c r="G251" s="80"/>
      <c r="H251" s="83"/>
      <c r="I251" s="148" t="str">
        <f aca="false">IF(B251="","",IFERROR(INDEX('CARNET DE SOUDURE'!$B$7:$B$3006,MATCH(B251,'CARNET DE SOUDURE'!$L$7:$L$3006,0)),IFERROR(INDEX('CARNET DE SOUDURE'!$B$7:$B$3006,MATCH(B251,'CARNET DE SOUDURE'!$O$7:$O$3006,0)),"")))</f>
        <v>MFD-ISW → MFD-CPF</v>
      </c>
      <c r="J251" s="82" t="str">
        <f aca="false">IF(B251="","",IFERROR(INDEX('CARNET DE SOUDURE'!$E$7:$E$3006,MATCH(B251,'CARNET DE SOUDURE'!$O$7:$O$3006,0)),""))</f>
        <v>DJ°407</v>
      </c>
      <c r="K251" s="82" t="str">
        <f aca="false">IF(B251="","",IFERROR(INDEX('CARNET DE SOUDURE'!$E$7:$E$3006,MATCH(B251,'CARNET DE SOUDURE'!$L$7:$L$3006,0)),""))</f>
        <v>JN°924</v>
      </c>
      <c r="L251" s="82" t="n">
        <f aca="false">IF(B251="","",IFERROR(INDEX('CARNET DE SOUDURE'!$D$7:$D$3006,MATCH(B251,'CARNET DE SOUDURE'!$L$7:$L$3006,0)),IFERROR(INDEX('CARNET DE SOUDURE'!$D$7:$D$3006,MATCH(B251,'CARNET DE SOUDURE'!$O$7:$O$3006,0)),"")))</f>
        <v>7</v>
      </c>
      <c r="M251" s="82" t="str">
        <f aca="false">IF(B251="","",IF(OR(J251&lt;&gt;"",K251&lt;&gt;""),"POSÉ EN LIGNE",IF(COUNTIF(BARDAGE!$C$1:$C$5000,B251)&gt;0,"BARDÉ","EN STOCK")))</f>
        <v>POSÉ EN LIGNE</v>
      </c>
      <c r="N251" s="80"/>
    </row>
    <row r="252" customFormat="false" ht="15" hidden="false" customHeight="false" outlineLevel="0" collapsed="false">
      <c r="A252" s="82" t="n">
        <f aca="false">IF(B252="","",ROW()-6)</f>
        <v>246</v>
      </c>
      <c r="B252" s="145" t="n">
        <v>2087470</v>
      </c>
      <c r="C252" s="146" t="n">
        <v>15421107</v>
      </c>
      <c r="D252" s="146"/>
      <c r="E252" s="82" t="str">
        <f aca="false">IF(B252="","",IF(COUNTIFS('CARNET DE SOUDURE'!$L$7:$L$3006,B252,'CARNET DE SOUDURE'!$M$7:$M$3006,"&lt;&gt;"&amp;C252,'CARNET DE SOUDURE'!$M$7:$M$3006,"&lt;&gt;")+COUNTIFS('CARNET DE SOUDURE'!$O$7:$O$3006,B252,'CARNET DE SOUDURE'!$P$7:$P$3006,"&lt;&gt;"&amp;C252,'CARNET DE SOUDURE'!$P$7:$P$3006,"&lt;&gt;")&gt;0,"⚠ DIFFÉRENTE","OK"))</f>
        <v>⚠ DIFFÉRENTE</v>
      </c>
      <c r="F252" s="147" t="n">
        <v>11.94</v>
      </c>
      <c r="G252" s="80"/>
      <c r="H252" s="83"/>
      <c r="I252" s="148" t="str">
        <f aca="false">IF(B252="","",IFERROR(INDEX('CARNET DE SOUDURE'!$B$7:$B$3006,MATCH(B252,'CARNET DE SOUDURE'!$L$7:$L$3006,0)),IFERROR(INDEX('CARNET DE SOUDURE'!$B$7:$B$3006,MATCH(B252,'CARNET DE SOUDURE'!$O$7:$O$3006,0)),"")))</f>
        <v>MFD-ISW → MFD-CPF</v>
      </c>
      <c r="J252" s="82" t="str">
        <f aca="false">IF(B252="","",IFERROR(INDEX('CARNET DE SOUDURE'!$E$7:$E$3006,MATCH(B252,'CARNET DE SOUDURE'!$O$7:$O$3006,0)),""))</f>
        <v>JN°924</v>
      </c>
      <c r="K252" s="82" t="str">
        <f aca="false">IF(B252="","",IFERROR(INDEX('CARNET DE SOUDURE'!$E$7:$E$3006,MATCH(B252,'CARNET DE SOUDURE'!$L$7:$L$3006,0)),""))</f>
        <v>DJ°403</v>
      </c>
      <c r="L252" s="82" t="n">
        <f aca="false">IF(B252="","",IFERROR(INDEX('CARNET DE SOUDURE'!$D$7:$D$3006,MATCH(B252,'CARNET DE SOUDURE'!$L$7:$L$3006,0)),IFERROR(INDEX('CARNET DE SOUDURE'!$D$7:$D$3006,MATCH(B252,'CARNET DE SOUDURE'!$O$7:$O$3006,0)),"")))</f>
        <v>7</v>
      </c>
      <c r="M252" s="82" t="str">
        <f aca="false">IF(B252="","",IF(OR(J252&lt;&gt;"",K252&lt;&gt;""),"POSÉ EN LIGNE",IF(COUNTIF(BARDAGE!$C$1:$C$5000,B252)&gt;0,"BARDÉ","EN STOCK")))</f>
        <v>POSÉ EN LIGNE</v>
      </c>
      <c r="N252" s="80"/>
    </row>
    <row r="253" customFormat="false" ht="15" hidden="false" customHeight="false" outlineLevel="0" collapsed="false">
      <c r="A253" s="82" t="n">
        <f aca="false">IF(B253="","",ROW()-6)</f>
        <v>247</v>
      </c>
      <c r="B253" s="145" t="n">
        <v>2087790</v>
      </c>
      <c r="C253" s="146" t="n">
        <v>15421108</v>
      </c>
      <c r="D253" s="146"/>
      <c r="E253" s="82" t="str">
        <f aca="false">IF(B253="","",IF(COUNTIFS('CARNET DE SOUDURE'!$L$7:$L$3006,B253,'CARNET DE SOUDURE'!$M$7:$M$3006,"&lt;&gt;"&amp;C253,'CARNET DE SOUDURE'!$M$7:$M$3006,"&lt;&gt;")+COUNTIFS('CARNET DE SOUDURE'!$O$7:$O$3006,B253,'CARNET DE SOUDURE'!$P$7:$P$3006,"&lt;&gt;"&amp;C253,'CARNET DE SOUDURE'!$P$7:$P$3006,"&lt;&gt;")&gt;0,"⚠ DIFFÉRENTE","OK"))</f>
        <v>OK</v>
      </c>
      <c r="F253" s="147" t="n">
        <v>11.94</v>
      </c>
      <c r="G253" s="80"/>
      <c r="H253" s="83"/>
      <c r="I253" s="148" t="str">
        <f aca="false">IF(B253="","",IFERROR(INDEX('CARNET DE SOUDURE'!$B$7:$B$3006,MATCH(B253,'CARNET DE SOUDURE'!$L$7:$L$3006,0)),IFERROR(INDEX('CARNET DE SOUDURE'!$B$7:$B$3006,MATCH(B253,'CARNET DE SOUDURE'!$O$7:$O$3006,0)),"")))</f>
        <v>MFD-ISW → MFD-CPF</v>
      </c>
      <c r="J253" s="82" t="str">
        <f aca="false">IF(B253="","",IFERROR(INDEX('CARNET DE SOUDURE'!$E$7:$E$3006,MATCH(B253,'CARNET DE SOUDURE'!$O$7:$O$3006,0)),""))</f>
        <v>DJ°403</v>
      </c>
      <c r="K253" s="82" t="str">
        <f aca="false">IF(B253="","",IFERROR(INDEX('CARNET DE SOUDURE'!$E$7:$E$3006,MATCH(B253,'CARNET DE SOUDURE'!$L$7:$L$3006,0)),""))</f>
        <v>JN°925</v>
      </c>
      <c r="L253" s="82" t="n">
        <f aca="false">IF(B253="","",IFERROR(INDEX('CARNET DE SOUDURE'!$D$7:$D$3006,MATCH(B253,'CARNET DE SOUDURE'!$L$7:$L$3006,0)),IFERROR(INDEX('CARNET DE SOUDURE'!$D$7:$D$3006,MATCH(B253,'CARNET DE SOUDURE'!$O$7:$O$3006,0)),"")))</f>
        <v>7</v>
      </c>
      <c r="M253" s="82" t="str">
        <f aca="false">IF(B253="","",IF(OR(J253&lt;&gt;"",K253&lt;&gt;""),"POSÉ EN LIGNE",IF(COUNTIF(BARDAGE!$C$1:$C$5000,B253)&gt;0,"BARDÉ","EN STOCK")))</f>
        <v>POSÉ EN LIGNE</v>
      </c>
      <c r="N253" s="80"/>
    </row>
    <row r="254" customFormat="false" ht="15" hidden="false" customHeight="false" outlineLevel="0" collapsed="false">
      <c r="A254" s="82" t="n">
        <f aca="false">IF(B254="","",ROW()-6)</f>
        <v>248</v>
      </c>
      <c r="B254" s="145" t="n">
        <v>2081880</v>
      </c>
      <c r="C254" s="146" t="n">
        <v>15421104</v>
      </c>
      <c r="D254" s="146"/>
      <c r="E254" s="82" t="str">
        <f aca="false">IF(B254="","",IF(COUNTIFS('CARNET DE SOUDURE'!$L$7:$L$3006,B254,'CARNET DE SOUDURE'!$M$7:$M$3006,"&lt;&gt;"&amp;C254,'CARNET DE SOUDURE'!$M$7:$M$3006,"&lt;&gt;")+COUNTIFS('CARNET DE SOUDURE'!$O$7:$O$3006,B254,'CARNET DE SOUDURE'!$P$7:$P$3006,"&lt;&gt;"&amp;C254,'CARNET DE SOUDURE'!$P$7:$P$3006,"&lt;&gt;")&gt;0,"⚠ DIFFÉRENTE","OK"))</f>
        <v>OK</v>
      </c>
      <c r="F254" s="147" t="n">
        <v>11.94</v>
      </c>
      <c r="G254" s="80"/>
      <c r="H254" s="83"/>
      <c r="I254" s="148" t="str">
        <f aca="false">IF(B254="","",IFERROR(INDEX('CARNET DE SOUDURE'!$B$7:$B$3006,MATCH(B254,'CARNET DE SOUDURE'!$L$7:$L$3006,0)),IFERROR(INDEX('CARNET DE SOUDURE'!$B$7:$B$3006,MATCH(B254,'CARNET DE SOUDURE'!$O$7:$O$3006,0)),"")))</f>
        <v>MFD-ISW → MFD-CPF</v>
      </c>
      <c r="J254" s="82" t="str">
        <f aca="false">IF(B254="","",IFERROR(INDEX('CARNET DE SOUDURE'!$E$7:$E$3006,MATCH(B254,'CARNET DE SOUDURE'!$O$7:$O$3006,0)),""))</f>
        <v>JN°925</v>
      </c>
      <c r="K254" s="82" t="str">
        <f aca="false">IF(B254="","",IFERROR(INDEX('CARNET DE SOUDURE'!$E$7:$E$3006,MATCH(B254,'CARNET DE SOUDURE'!$L$7:$L$3006,0)),""))</f>
        <v>DJ°404</v>
      </c>
      <c r="L254" s="82" t="n">
        <f aca="false">IF(B254="","",IFERROR(INDEX('CARNET DE SOUDURE'!$D$7:$D$3006,MATCH(B254,'CARNET DE SOUDURE'!$L$7:$L$3006,0)),IFERROR(INDEX('CARNET DE SOUDURE'!$D$7:$D$3006,MATCH(B254,'CARNET DE SOUDURE'!$O$7:$O$3006,0)),"")))</f>
        <v>7</v>
      </c>
      <c r="M254" s="82" t="str">
        <f aca="false">IF(B254="","",IF(OR(J254&lt;&gt;"",K254&lt;&gt;""),"POSÉ EN LIGNE",IF(COUNTIF(BARDAGE!$C$1:$C$5000,B254)&gt;0,"BARDÉ","EN STOCK")))</f>
        <v>POSÉ EN LIGNE</v>
      </c>
      <c r="N254" s="80"/>
    </row>
    <row r="255" customFormat="false" ht="15" hidden="false" customHeight="false" outlineLevel="0" collapsed="false">
      <c r="A255" s="82" t="n">
        <f aca="false">IF(B255="","",ROW()-6)</f>
        <v>249</v>
      </c>
      <c r="B255" s="145" t="n">
        <v>2095680</v>
      </c>
      <c r="C255" s="146" t="n">
        <v>15421111</v>
      </c>
      <c r="D255" s="146"/>
      <c r="E255" s="82" t="str">
        <f aca="false">IF(B255="","",IF(COUNTIFS('CARNET DE SOUDURE'!$L$7:$L$3006,B255,'CARNET DE SOUDURE'!$M$7:$M$3006,"&lt;&gt;"&amp;C255,'CARNET DE SOUDURE'!$M$7:$M$3006,"&lt;&gt;")+COUNTIFS('CARNET DE SOUDURE'!$O$7:$O$3006,B255,'CARNET DE SOUDURE'!$P$7:$P$3006,"&lt;&gt;"&amp;C255,'CARNET DE SOUDURE'!$P$7:$P$3006,"&lt;&gt;")&gt;0,"⚠ DIFFÉRENTE","OK"))</f>
        <v>OK</v>
      </c>
      <c r="F255" s="147" t="n">
        <v>11.94</v>
      </c>
      <c r="G255" s="80"/>
      <c r="H255" s="83"/>
      <c r="I255" s="148" t="str">
        <f aca="false">IF(B255="","",IFERROR(INDEX('CARNET DE SOUDURE'!$B$7:$B$3006,MATCH(B255,'CARNET DE SOUDURE'!$L$7:$L$3006,0)),IFERROR(INDEX('CARNET DE SOUDURE'!$B$7:$B$3006,MATCH(B255,'CARNET DE SOUDURE'!$O$7:$O$3006,0)),"")))</f>
        <v>MFD-ISW → MFD-CPF</v>
      </c>
      <c r="J255" s="82" t="str">
        <f aca="false">IF(B255="","",IFERROR(INDEX('CARNET DE SOUDURE'!$E$7:$E$3006,MATCH(B255,'CARNET DE SOUDURE'!$O$7:$O$3006,0)),""))</f>
        <v>DJ°404</v>
      </c>
      <c r="K255" s="82" t="str">
        <f aca="false">IF(B255="","",IFERROR(INDEX('CARNET DE SOUDURE'!$E$7:$E$3006,MATCH(B255,'CARNET DE SOUDURE'!$L$7:$L$3006,0)),""))</f>
        <v>JN°926</v>
      </c>
      <c r="L255" s="82" t="n">
        <f aca="false">IF(B255="","",IFERROR(INDEX('CARNET DE SOUDURE'!$D$7:$D$3006,MATCH(B255,'CARNET DE SOUDURE'!$L$7:$L$3006,0)),IFERROR(INDEX('CARNET DE SOUDURE'!$D$7:$D$3006,MATCH(B255,'CARNET DE SOUDURE'!$O$7:$O$3006,0)),"")))</f>
        <v>7</v>
      </c>
      <c r="M255" s="82" t="str">
        <f aca="false">IF(B255="","",IF(OR(J255&lt;&gt;"",K255&lt;&gt;""),"POSÉ EN LIGNE",IF(COUNTIF(BARDAGE!$C$1:$C$5000,B255)&gt;0,"BARDÉ","EN STOCK")))</f>
        <v>POSÉ EN LIGNE</v>
      </c>
      <c r="N255" s="80"/>
    </row>
    <row r="256" customFormat="false" ht="15" hidden="false" customHeight="false" outlineLevel="0" collapsed="false">
      <c r="A256" s="82" t="n">
        <f aca="false">IF(B256="","",ROW()-6)</f>
        <v>250</v>
      </c>
      <c r="B256" s="145" t="n">
        <v>2088480</v>
      </c>
      <c r="C256" s="146" t="n">
        <v>15421108</v>
      </c>
      <c r="D256" s="146"/>
      <c r="E256" s="82" t="str">
        <f aca="false">IF(B256="","",IF(COUNTIFS('CARNET DE SOUDURE'!$L$7:$L$3006,B256,'CARNET DE SOUDURE'!$M$7:$M$3006,"&lt;&gt;"&amp;C256,'CARNET DE SOUDURE'!$M$7:$M$3006,"&lt;&gt;")+COUNTIFS('CARNET DE SOUDURE'!$O$7:$O$3006,B256,'CARNET DE SOUDURE'!$P$7:$P$3006,"&lt;&gt;"&amp;C256,'CARNET DE SOUDURE'!$P$7:$P$3006,"&lt;&gt;")&gt;0,"⚠ DIFFÉRENTE","OK"))</f>
        <v>OK</v>
      </c>
      <c r="F256" s="147" t="n">
        <v>11.94</v>
      </c>
      <c r="G256" s="80"/>
      <c r="H256" s="83"/>
      <c r="I256" s="148" t="str">
        <f aca="false">IF(B256="","",IFERROR(INDEX('CARNET DE SOUDURE'!$B$7:$B$3006,MATCH(B256,'CARNET DE SOUDURE'!$L$7:$L$3006,0)),IFERROR(INDEX('CARNET DE SOUDURE'!$B$7:$B$3006,MATCH(B256,'CARNET DE SOUDURE'!$O$7:$O$3006,0)),"")))</f>
        <v>MFD-ISW → MFD-CPF</v>
      </c>
      <c r="J256" s="82" t="str">
        <f aca="false">IF(B256="","",IFERROR(INDEX('CARNET DE SOUDURE'!$E$7:$E$3006,MATCH(B256,'CARNET DE SOUDURE'!$O$7:$O$3006,0)),""))</f>
        <v>JN°926</v>
      </c>
      <c r="K256" s="82" t="str">
        <f aca="false">IF(B256="","",IFERROR(INDEX('CARNET DE SOUDURE'!$E$7:$E$3006,MATCH(B256,'CARNET DE SOUDURE'!$L$7:$L$3006,0)),""))</f>
        <v>DJ°405</v>
      </c>
      <c r="L256" s="82" t="n">
        <f aca="false">IF(B256="","",IFERROR(INDEX('CARNET DE SOUDURE'!$D$7:$D$3006,MATCH(B256,'CARNET DE SOUDURE'!$L$7:$L$3006,0)),IFERROR(INDEX('CARNET DE SOUDURE'!$D$7:$D$3006,MATCH(B256,'CARNET DE SOUDURE'!$O$7:$O$3006,0)),"")))</f>
        <v>7</v>
      </c>
      <c r="M256" s="82" t="str">
        <f aca="false">IF(B256="","",IF(OR(J256&lt;&gt;"",K256&lt;&gt;""),"POSÉ EN LIGNE",IF(COUNTIF(BARDAGE!$C$1:$C$5000,B256)&gt;0,"BARDÉ","EN STOCK")))</f>
        <v>POSÉ EN LIGNE</v>
      </c>
      <c r="N256" s="80"/>
    </row>
    <row r="257" customFormat="false" ht="15" hidden="false" customHeight="false" outlineLevel="0" collapsed="false">
      <c r="A257" s="82" t="n">
        <f aca="false">IF(B257="","",ROW()-6)</f>
        <v>251</v>
      </c>
      <c r="B257" s="145" t="n">
        <v>2097010</v>
      </c>
      <c r="C257" s="146" t="n">
        <v>15421111</v>
      </c>
      <c r="D257" s="146"/>
      <c r="E257" s="82" t="str">
        <f aca="false">IF(B257="","",IF(COUNTIFS('CARNET DE SOUDURE'!$L$7:$L$3006,B257,'CARNET DE SOUDURE'!$M$7:$M$3006,"&lt;&gt;"&amp;C257,'CARNET DE SOUDURE'!$M$7:$M$3006,"&lt;&gt;")+COUNTIFS('CARNET DE SOUDURE'!$O$7:$O$3006,B257,'CARNET DE SOUDURE'!$P$7:$P$3006,"&lt;&gt;"&amp;C257,'CARNET DE SOUDURE'!$P$7:$P$3006,"&lt;&gt;")&gt;0,"⚠ DIFFÉRENTE","OK"))</f>
        <v>OK</v>
      </c>
      <c r="F257" s="147" t="n">
        <v>11.94</v>
      </c>
      <c r="G257" s="80"/>
      <c r="H257" s="83"/>
      <c r="I257" s="148" t="str">
        <f aca="false">IF(B257="","",IFERROR(INDEX('CARNET DE SOUDURE'!$B$7:$B$3006,MATCH(B257,'CARNET DE SOUDURE'!$L$7:$L$3006,0)),IFERROR(INDEX('CARNET DE SOUDURE'!$B$7:$B$3006,MATCH(B257,'CARNET DE SOUDURE'!$O$7:$O$3006,0)),"")))</f>
        <v>MFD-ISW → MFD-CPF</v>
      </c>
      <c r="J257" s="82" t="str">
        <f aca="false">IF(B257="","",IFERROR(INDEX('CARNET DE SOUDURE'!$E$7:$E$3006,MATCH(B257,'CARNET DE SOUDURE'!$O$7:$O$3006,0)),""))</f>
        <v>DJ°405</v>
      </c>
      <c r="K257" s="82" t="str">
        <f aca="false">IF(B257="","",IFERROR(INDEX('CARNET DE SOUDURE'!$E$7:$E$3006,MATCH(B257,'CARNET DE SOUDURE'!$L$7:$L$3006,0)),""))</f>
        <v>JN°927</v>
      </c>
      <c r="L257" s="82" t="n">
        <f aca="false">IF(B257="","",IFERROR(INDEX('CARNET DE SOUDURE'!$D$7:$D$3006,MATCH(B257,'CARNET DE SOUDURE'!$L$7:$L$3006,0)),IFERROR(INDEX('CARNET DE SOUDURE'!$D$7:$D$3006,MATCH(B257,'CARNET DE SOUDURE'!$O$7:$O$3006,0)),"")))</f>
        <v>7</v>
      </c>
      <c r="M257" s="82" t="str">
        <f aca="false">IF(B257="","",IF(OR(J257&lt;&gt;"",K257&lt;&gt;""),"POSÉ EN LIGNE",IF(COUNTIF(BARDAGE!$C$1:$C$5000,B257)&gt;0,"BARDÉ","EN STOCK")))</f>
        <v>POSÉ EN LIGNE</v>
      </c>
      <c r="N257" s="80"/>
    </row>
    <row r="258" customFormat="false" ht="15" hidden="false" customHeight="false" outlineLevel="0" collapsed="false">
      <c r="A258" s="82" t="n">
        <f aca="false">IF(B258="","",ROW()-6)</f>
        <v>252</v>
      </c>
      <c r="B258" s="145" t="n">
        <v>2087300</v>
      </c>
      <c r="C258" s="146" t="n">
        <v>15421107</v>
      </c>
      <c r="D258" s="146"/>
      <c r="E258" s="82" t="str">
        <f aca="false">IF(B258="","",IF(COUNTIFS('CARNET DE SOUDURE'!$L$7:$L$3006,B258,'CARNET DE SOUDURE'!$M$7:$M$3006,"&lt;&gt;"&amp;C258,'CARNET DE SOUDURE'!$M$7:$M$3006,"&lt;&gt;")+COUNTIFS('CARNET DE SOUDURE'!$O$7:$O$3006,B258,'CARNET DE SOUDURE'!$P$7:$P$3006,"&lt;&gt;"&amp;C258,'CARNET DE SOUDURE'!$P$7:$P$3006,"&lt;&gt;")&gt;0,"⚠ DIFFÉRENTE","OK"))</f>
        <v>OK</v>
      </c>
      <c r="F258" s="147" t="n">
        <v>11.94</v>
      </c>
      <c r="G258" s="80"/>
      <c r="H258" s="83"/>
      <c r="I258" s="148" t="str">
        <f aca="false">IF(B258="","",IFERROR(INDEX('CARNET DE SOUDURE'!$B$7:$B$3006,MATCH(B258,'CARNET DE SOUDURE'!$L$7:$L$3006,0)),IFERROR(INDEX('CARNET DE SOUDURE'!$B$7:$B$3006,MATCH(B258,'CARNET DE SOUDURE'!$O$7:$O$3006,0)),"")))</f>
        <v>MFD-ISW → MFD-CPF</v>
      </c>
      <c r="J258" s="82" t="str">
        <f aca="false">IF(B258="","",IFERROR(INDEX('CARNET DE SOUDURE'!$E$7:$E$3006,MATCH(B258,'CARNET DE SOUDURE'!$O$7:$O$3006,0)),""))</f>
        <v>JN°927</v>
      </c>
      <c r="K258" s="82" t="str">
        <f aca="false">IF(B258="","",IFERROR(INDEX('CARNET DE SOUDURE'!$E$7:$E$3006,MATCH(B258,'CARNET DE SOUDURE'!$L$7:$L$3006,0)),""))</f>
        <v>DJ°399</v>
      </c>
      <c r="L258" s="82" t="n">
        <f aca="false">IF(B258="","",IFERROR(INDEX('CARNET DE SOUDURE'!$D$7:$D$3006,MATCH(B258,'CARNET DE SOUDURE'!$L$7:$L$3006,0)),IFERROR(INDEX('CARNET DE SOUDURE'!$D$7:$D$3006,MATCH(B258,'CARNET DE SOUDURE'!$O$7:$O$3006,0)),"")))</f>
        <v>7</v>
      </c>
      <c r="M258" s="82" t="str">
        <f aca="false">IF(B258="","",IF(OR(J258&lt;&gt;"",K258&lt;&gt;""),"POSÉ EN LIGNE",IF(COUNTIF(BARDAGE!$C$1:$C$5000,B258)&gt;0,"BARDÉ","EN STOCK")))</f>
        <v>POSÉ EN LIGNE</v>
      </c>
      <c r="N258" s="80"/>
    </row>
    <row r="259" customFormat="false" ht="15" hidden="false" customHeight="false" outlineLevel="0" collapsed="false">
      <c r="A259" s="82" t="n">
        <f aca="false">IF(B259="","",ROW()-6)</f>
        <v>253</v>
      </c>
      <c r="B259" s="145" t="n">
        <v>2097830</v>
      </c>
      <c r="C259" s="146" t="n">
        <v>15421112</v>
      </c>
      <c r="D259" s="146"/>
      <c r="E259" s="82" t="str">
        <f aca="false">IF(B259="","",IF(COUNTIFS('CARNET DE SOUDURE'!$L$7:$L$3006,B259,'CARNET DE SOUDURE'!$M$7:$M$3006,"&lt;&gt;"&amp;C259,'CARNET DE SOUDURE'!$M$7:$M$3006,"&lt;&gt;")+COUNTIFS('CARNET DE SOUDURE'!$O$7:$O$3006,B259,'CARNET DE SOUDURE'!$P$7:$P$3006,"&lt;&gt;"&amp;C259,'CARNET DE SOUDURE'!$P$7:$P$3006,"&lt;&gt;")&gt;0,"⚠ DIFFÉRENTE","OK"))</f>
        <v>OK</v>
      </c>
      <c r="F259" s="147" t="n">
        <v>11.94</v>
      </c>
      <c r="G259" s="80"/>
      <c r="H259" s="83"/>
      <c r="I259" s="148" t="str">
        <f aca="false">IF(B259="","",IFERROR(INDEX('CARNET DE SOUDURE'!$B$7:$B$3006,MATCH(B259,'CARNET DE SOUDURE'!$L$7:$L$3006,0)),IFERROR(INDEX('CARNET DE SOUDURE'!$B$7:$B$3006,MATCH(B259,'CARNET DE SOUDURE'!$O$7:$O$3006,0)),"")))</f>
        <v>MFD-ISW → MFD-CPF</v>
      </c>
      <c r="J259" s="82" t="str">
        <f aca="false">IF(B259="","",IFERROR(INDEX('CARNET DE SOUDURE'!$E$7:$E$3006,MATCH(B259,'CARNET DE SOUDURE'!$O$7:$O$3006,0)),""))</f>
        <v>JN°928</v>
      </c>
      <c r="K259" s="82" t="str">
        <f aca="false">IF(B259="","",IFERROR(INDEX('CARNET DE SOUDURE'!$E$7:$E$3006,MATCH(B259,'CARNET DE SOUDURE'!$L$7:$L$3006,0)),""))</f>
        <v>DJ°400</v>
      </c>
      <c r="L259" s="82" t="n">
        <f aca="false">IF(B259="","",IFERROR(INDEX('CARNET DE SOUDURE'!$D$7:$D$3006,MATCH(B259,'CARNET DE SOUDURE'!$L$7:$L$3006,0)),IFERROR(INDEX('CARNET DE SOUDURE'!$D$7:$D$3006,MATCH(B259,'CARNET DE SOUDURE'!$O$7:$O$3006,0)),"")))</f>
        <v>7</v>
      </c>
      <c r="M259" s="82" t="str">
        <f aca="false">IF(B259="","",IF(OR(J259&lt;&gt;"",K259&lt;&gt;""),"POSÉ EN LIGNE",IF(COUNTIF(BARDAGE!$C$1:$C$5000,B259)&gt;0,"BARDÉ","EN STOCK")))</f>
        <v>POSÉ EN LIGNE</v>
      </c>
      <c r="N259" s="80"/>
    </row>
    <row r="260" customFormat="false" ht="15" hidden="false" customHeight="false" outlineLevel="0" collapsed="false">
      <c r="A260" s="82" t="n">
        <f aca="false">IF(B260="","",ROW()-6)</f>
        <v>254</v>
      </c>
      <c r="B260" s="145" t="n">
        <v>2094710</v>
      </c>
      <c r="C260" s="146" t="n">
        <v>15421111</v>
      </c>
      <c r="D260" s="146"/>
      <c r="E260" s="82" t="str">
        <f aca="false">IF(B260="","",IF(COUNTIFS('CARNET DE SOUDURE'!$L$7:$L$3006,B260,'CARNET DE SOUDURE'!$M$7:$M$3006,"&lt;&gt;"&amp;C260,'CARNET DE SOUDURE'!$M$7:$M$3006,"&lt;&gt;")+COUNTIFS('CARNET DE SOUDURE'!$O$7:$O$3006,B260,'CARNET DE SOUDURE'!$P$7:$P$3006,"&lt;&gt;"&amp;C260,'CARNET DE SOUDURE'!$P$7:$P$3006,"&lt;&gt;")&gt;0,"⚠ DIFFÉRENTE","OK"))</f>
        <v>OK</v>
      </c>
      <c r="F260" s="147" t="n">
        <v>11.94</v>
      </c>
      <c r="G260" s="80"/>
      <c r="H260" s="83"/>
      <c r="I260" s="148" t="str">
        <f aca="false">IF(B260="","",IFERROR(INDEX('CARNET DE SOUDURE'!$B$7:$B$3006,MATCH(B260,'CARNET DE SOUDURE'!$L$7:$L$3006,0)),IFERROR(INDEX('CARNET DE SOUDURE'!$B$7:$B$3006,MATCH(B260,'CARNET DE SOUDURE'!$O$7:$O$3006,0)),"")))</f>
        <v>MFD-ISW → MFD-CPF</v>
      </c>
      <c r="J260" s="82" t="str">
        <f aca="false">IF(B260="","",IFERROR(INDEX('CARNET DE SOUDURE'!$E$7:$E$3006,MATCH(B260,'CARNET DE SOUDURE'!$O$7:$O$3006,0)),""))</f>
        <v>DJ°400</v>
      </c>
      <c r="K260" s="82" t="str">
        <f aca="false">IF(B260="","",IFERROR(INDEX('CARNET DE SOUDURE'!$E$7:$E$3006,MATCH(B260,'CARNET DE SOUDURE'!$L$7:$L$3006,0)),""))</f>
        <v>JN°929</v>
      </c>
      <c r="L260" s="82" t="n">
        <f aca="false">IF(B260="","",IFERROR(INDEX('CARNET DE SOUDURE'!$D$7:$D$3006,MATCH(B260,'CARNET DE SOUDURE'!$L$7:$L$3006,0)),IFERROR(INDEX('CARNET DE SOUDURE'!$D$7:$D$3006,MATCH(B260,'CARNET DE SOUDURE'!$O$7:$O$3006,0)),"")))</f>
        <v>7</v>
      </c>
      <c r="M260" s="82" t="str">
        <f aca="false">IF(B260="","",IF(OR(J260&lt;&gt;"",K260&lt;&gt;""),"POSÉ EN LIGNE",IF(COUNTIF(BARDAGE!$C$1:$C$5000,B260)&gt;0,"BARDÉ","EN STOCK")))</f>
        <v>POSÉ EN LIGNE</v>
      </c>
      <c r="N260" s="80"/>
    </row>
    <row r="261" customFormat="false" ht="15" hidden="false" customHeight="false" outlineLevel="0" collapsed="false">
      <c r="A261" s="82" t="n">
        <f aca="false">IF(B261="","",ROW()-6)</f>
        <v>255</v>
      </c>
      <c r="B261" s="145" t="n">
        <v>2096800</v>
      </c>
      <c r="C261" s="146" t="n">
        <v>15421111</v>
      </c>
      <c r="D261" s="146"/>
      <c r="E261" s="82" t="str">
        <f aca="false">IF(B261="","",IF(COUNTIFS('CARNET DE SOUDURE'!$L$7:$L$3006,B261,'CARNET DE SOUDURE'!$M$7:$M$3006,"&lt;&gt;"&amp;C261,'CARNET DE SOUDURE'!$M$7:$M$3006,"&lt;&gt;")+COUNTIFS('CARNET DE SOUDURE'!$O$7:$O$3006,B261,'CARNET DE SOUDURE'!$P$7:$P$3006,"&lt;&gt;"&amp;C261,'CARNET DE SOUDURE'!$P$7:$P$3006,"&lt;&gt;")&gt;0,"⚠ DIFFÉRENTE","OK"))</f>
        <v>OK</v>
      </c>
      <c r="F261" s="147" t="n">
        <v>11.94</v>
      </c>
      <c r="G261" s="80"/>
      <c r="H261" s="83"/>
      <c r="I261" s="148" t="str">
        <f aca="false">IF(B261="","",IFERROR(INDEX('CARNET DE SOUDURE'!$B$7:$B$3006,MATCH(B261,'CARNET DE SOUDURE'!$L$7:$L$3006,0)),IFERROR(INDEX('CARNET DE SOUDURE'!$B$7:$B$3006,MATCH(B261,'CARNET DE SOUDURE'!$O$7:$O$3006,0)),"")))</f>
        <v>MFD-ISW → MFD-CPF</v>
      </c>
      <c r="J261" s="82" t="str">
        <f aca="false">IF(B261="","",IFERROR(INDEX('CARNET DE SOUDURE'!$E$7:$E$3006,MATCH(B261,'CARNET DE SOUDURE'!$O$7:$O$3006,0)),""))</f>
        <v>JN°929</v>
      </c>
      <c r="K261" s="82" t="str">
        <f aca="false">IF(B261="","",IFERROR(INDEX('CARNET DE SOUDURE'!$E$7:$E$3006,MATCH(B261,'CARNET DE SOUDURE'!$L$7:$L$3006,0)),""))</f>
        <v>DJ°398</v>
      </c>
      <c r="L261" s="82" t="n">
        <f aca="false">IF(B261="","",IFERROR(INDEX('CARNET DE SOUDURE'!$D$7:$D$3006,MATCH(B261,'CARNET DE SOUDURE'!$L$7:$L$3006,0)),IFERROR(INDEX('CARNET DE SOUDURE'!$D$7:$D$3006,MATCH(B261,'CARNET DE SOUDURE'!$O$7:$O$3006,0)),"")))</f>
        <v>7</v>
      </c>
      <c r="M261" s="82" t="str">
        <f aca="false">IF(B261="","",IF(OR(J261&lt;&gt;"",K261&lt;&gt;""),"POSÉ EN LIGNE",IF(COUNTIF(BARDAGE!$C$1:$C$5000,B261)&gt;0,"BARDÉ","EN STOCK")))</f>
        <v>POSÉ EN LIGNE</v>
      </c>
      <c r="N261" s="80"/>
    </row>
    <row r="262" customFormat="false" ht="15" hidden="false" customHeight="false" outlineLevel="0" collapsed="false">
      <c r="A262" s="82" t="n">
        <f aca="false">IF(B262="","",ROW()-6)</f>
        <v>256</v>
      </c>
      <c r="B262" s="145" t="n">
        <v>2096420</v>
      </c>
      <c r="C262" s="146" t="n">
        <v>15421111</v>
      </c>
      <c r="D262" s="146"/>
      <c r="E262" s="82" t="str">
        <f aca="false">IF(B262="","",IF(COUNTIFS('CARNET DE SOUDURE'!$L$7:$L$3006,B262,'CARNET DE SOUDURE'!$M$7:$M$3006,"&lt;&gt;"&amp;C262,'CARNET DE SOUDURE'!$M$7:$M$3006,"&lt;&gt;")+COUNTIFS('CARNET DE SOUDURE'!$O$7:$O$3006,B262,'CARNET DE SOUDURE'!$P$7:$P$3006,"&lt;&gt;"&amp;C262,'CARNET DE SOUDURE'!$P$7:$P$3006,"&lt;&gt;")&gt;0,"⚠ DIFFÉRENTE","OK"))</f>
        <v>OK</v>
      </c>
      <c r="F262" s="147" t="n">
        <v>11.94</v>
      </c>
      <c r="G262" s="80"/>
      <c r="H262" s="83"/>
      <c r="I262" s="148" t="str">
        <f aca="false">IF(B262="","",IFERROR(INDEX('CARNET DE SOUDURE'!$B$7:$B$3006,MATCH(B262,'CARNET DE SOUDURE'!$L$7:$L$3006,0)),IFERROR(INDEX('CARNET DE SOUDURE'!$B$7:$B$3006,MATCH(B262,'CARNET DE SOUDURE'!$O$7:$O$3006,0)),"")))</f>
        <v>MFD-ISW → MFD-CPF</v>
      </c>
      <c r="J262" s="82" t="str">
        <f aca="false">IF(B262="","",IFERROR(INDEX('CARNET DE SOUDURE'!$E$7:$E$3006,MATCH(B262,'CARNET DE SOUDURE'!$O$7:$O$3006,0)),""))</f>
        <v>DJ°398</v>
      </c>
      <c r="K262" s="82" t="str">
        <f aca="false">IF(B262="","",IFERROR(INDEX('CARNET DE SOUDURE'!$E$7:$E$3006,MATCH(B262,'CARNET DE SOUDURE'!$L$7:$L$3006,0)),""))</f>
        <v>JN°930</v>
      </c>
      <c r="L262" s="82" t="n">
        <f aca="false">IF(B262="","",IFERROR(INDEX('CARNET DE SOUDURE'!$D$7:$D$3006,MATCH(B262,'CARNET DE SOUDURE'!$L$7:$L$3006,0)),IFERROR(INDEX('CARNET DE SOUDURE'!$D$7:$D$3006,MATCH(B262,'CARNET DE SOUDURE'!$O$7:$O$3006,0)),"")))</f>
        <v>7</v>
      </c>
      <c r="M262" s="82" t="str">
        <f aca="false">IF(B262="","",IF(OR(J262&lt;&gt;"",K262&lt;&gt;""),"POSÉ EN LIGNE",IF(COUNTIF(BARDAGE!$C$1:$C$5000,B262)&gt;0,"BARDÉ","EN STOCK")))</f>
        <v>POSÉ EN LIGNE</v>
      </c>
      <c r="N262" s="80"/>
    </row>
    <row r="263" customFormat="false" ht="15" hidden="false" customHeight="false" outlineLevel="0" collapsed="false">
      <c r="A263" s="82" t="n">
        <f aca="false">IF(B263="","",ROW()-6)</f>
        <v>257</v>
      </c>
      <c r="B263" s="145" t="n">
        <v>2083570</v>
      </c>
      <c r="C263" s="146" t="n">
        <v>15421105</v>
      </c>
      <c r="D263" s="146"/>
      <c r="E263" s="82" t="str">
        <f aca="false">IF(B263="","",IF(COUNTIFS('CARNET DE SOUDURE'!$L$7:$L$3006,B263,'CARNET DE SOUDURE'!$M$7:$M$3006,"&lt;&gt;"&amp;C263,'CARNET DE SOUDURE'!$M$7:$M$3006,"&lt;&gt;")+COUNTIFS('CARNET DE SOUDURE'!$O$7:$O$3006,B263,'CARNET DE SOUDURE'!$P$7:$P$3006,"&lt;&gt;"&amp;C263,'CARNET DE SOUDURE'!$P$7:$P$3006,"&lt;&gt;")&gt;0,"⚠ DIFFÉRENTE","OK"))</f>
        <v>OK</v>
      </c>
      <c r="F263" s="147" t="n">
        <v>11.94</v>
      </c>
      <c r="G263" s="80"/>
      <c r="H263" s="83"/>
      <c r="I263" s="148" t="str">
        <f aca="false">IF(B263="","",IFERROR(INDEX('CARNET DE SOUDURE'!$B$7:$B$3006,MATCH(B263,'CARNET DE SOUDURE'!$L$7:$L$3006,0)),IFERROR(INDEX('CARNET DE SOUDURE'!$B$7:$B$3006,MATCH(B263,'CARNET DE SOUDURE'!$O$7:$O$3006,0)),"")))</f>
        <v>MFD-ISW → MFD-CPF</v>
      </c>
      <c r="J263" s="82" t="str">
        <f aca="false">IF(B263="","",IFERROR(INDEX('CARNET DE SOUDURE'!$E$7:$E$3006,MATCH(B263,'CARNET DE SOUDURE'!$O$7:$O$3006,0)),""))</f>
        <v>JN°930</v>
      </c>
      <c r="K263" s="82" t="str">
        <f aca="false">IF(B263="","",IFERROR(INDEX('CARNET DE SOUDURE'!$E$7:$E$3006,MATCH(B263,'CARNET DE SOUDURE'!$L$7:$L$3006,0)),""))</f>
        <v>DJ°396</v>
      </c>
      <c r="L263" s="82" t="n">
        <f aca="false">IF(B263="","",IFERROR(INDEX('CARNET DE SOUDURE'!$D$7:$D$3006,MATCH(B263,'CARNET DE SOUDURE'!$L$7:$L$3006,0)),IFERROR(INDEX('CARNET DE SOUDURE'!$D$7:$D$3006,MATCH(B263,'CARNET DE SOUDURE'!$O$7:$O$3006,0)),"")))</f>
        <v>7</v>
      </c>
      <c r="M263" s="82" t="str">
        <f aca="false">IF(B263="","",IF(OR(J263&lt;&gt;"",K263&lt;&gt;""),"POSÉ EN LIGNE",IF(COUNTIF(BARDAGE!$C$1:$C$5000,B263)&gt;0,"BARDÉ","EN STOCK")))</f>
        <v>POSÉ EN LIGNE</v>
      </c>
      <c r="N263" s="80"/>
    </row>
    <row r="264" customFormat="false" ht="15" hidden="false" customHeight="false" outlineLevel="0" collapsed="false">
      <c r="A264" s="82" t="n">
        <f aca="false">IF(B264="","",ROW()-6)</f>
        <v>258</v>
      </c>
      <c r="B264" s="145" t="n">
        <v>2079460</v>
      </c>
      <c r="C264" s="146" t="n">
        <v>15421102</v>
      </c>
      <c r="D264" s="146"/>
      <c r="E264" s="82" t="str">
        <f aca="false">IF(B264="","",IF(COUNTIFS('CARNET DE SOUDURE'!$L$7:$L$3006,B264,'CARNET DE SOUDURE'!$M$7:$M$3006,"&lt;&gt;"&amp;C264,'CARNET DE SOUDURE'!$M$7:$M$3006,"&lt;&gt;")+COUNTIFS('CARNET DE SOUDURE'!$O$7:$O$3006,B264,'CARNET DE SOUDURE'!$P$7:$P$3006,"&lt;&gt;"&amp;C264,'CARNET DE SOUDURE'!$P$7:$P$3006,"&lt;&gt;")&gt;0,"⚠ DIFFÉRENTE","OK"))</f>
        <v>OK</v>
      </c>
      <c r="F264" s="147" t="n">
        <v>11.94</v>
      </c>
      <c r="G264" s="80"/>
      <c r="H264" s="83"/>
      <c r="I264" s="148" t="str">
        <f aca="false">IF(B264="","",IFERROR(INDEX('CARNET DE SOUDURE'!$B$7:$B$3006,MATCH(B264,'CARNET DE SOUDURE'!$L$7:$L$3006,0)),IFERROR(INDEX('CARNET DE SOUDURE'!$B$7:$B$3006,MATCH(B264,'CARNET DE SOUDURE'!$O$7:$O$3006,0)),"")))</f>
        <v>MFD-ISW → MFD-CPF</v>
      </c>
      <c r="J264" s="82" t="str">
        <f aca="false">IF(B264="","",IFERROR(INDEX('CARNET DE SOUDURE'!$E$7:$E$3006,MATCH(B264,'CARNET DE SOUDURE'!$O$7:$O$3006,0)),""))</f>
        <v>DJ°396</v>
      </c>
      <c r="K264" s="82" t="str">
        <f aca="false">IF(B264="","",IFERROR(INDEX('CARNET DE SOUDURE'!$E$7:$E$3006,MATCH(B264,'CARNET DE SOUDURE'!$L$7:$L$3006,0)),""))</f>
        <v>JN°931</v>
      </c>
      <c r="L264" s="82" t="n">
        <f aca="false">IF(B264="","",IFERROR(INDEX('CARNET DE SOUDURE'!$D$7:$D$3006,MATCH(B264,'CARNET DE SOUDURE'!$L$7:$L$3006,0)),IFERROR(INDEX('CARNET DE SOUDURE'!$D$7:$D$3006,MATCH(B264,'CARNET DE SOUDURE'!$O$7:$O$3006,0)),"")))</f>
        <v>7</v>
      </c>
      <c r="M264" s="82" t="str">
        <f aca="false">IF(B264="","",IF(OR(J264&lt;&gt;"",K264&lt;&gt;""),"POSÉ EN LIGNE",IF(COUNTIF(BARDAGE!$C$1:$C$5000,B264)&gt;0,"BARDÉ","EN STOCK")))</f>
        <v>POSÉ EN LIGNE</v>
      </c>
      <c r="N264" s="80"/>
    </row>
    <row r="265" customFormat="false" ht="15" hidden="false" customHeight="false" outlineLevel="0" collapsed="false">
      <c r="A265" s="82" t="n">
        <f aca="false">IF(B265="","",ROW()-6)</f>
        <v>259</v>
      </c>
      <c r="B265" s="145" t="n">
        <v>2083080</v>
      </c>
      <c r="C265" s="146" t="n">
        <v>15421105</v>
      </c>
      <c r="D265" s="146"/>
      <c r="E265" s="82" t="str">
        <f aca="false">IF(B265="","",IF(COUNTIFS('CARNET DE SOUDURE'!$L$7:$L$3006,B265,'CARNET DE SOUDURE'!$M$7:$M$3006,"&lt;&gt;"&amp;C265,'CARNET DE SOUDURE'!$M$7:$M$3006,"&lt;&gt;")+COUNTIFS('CARNET DE SOUDURE'!$O$7:$O$3006,B265,'CARNET DE SOUDURE'!$P$7:$P$3006,"&lt;&gt;"&amp;C265,'CARNET DE SOUDURE'!$P$7:$P$3006,"&lt;&gt;")&gt;0,"⚠ DIFFÉRENTE","OK"))</f>
        <v>OK</v>
      </c>
      <c r="F265" s="147" t="n">
        <v>11.94</v>
      </c>
      <c r="G265" s="80"/>
      <c r="H265" s="83"/>
      <c r="I265" s="148" t="str">
        <f aca="false">IF(B265="","",IFERROR(INDEX('CARNET DE SOUDURE'!$B$7:$B$3006,MATCH(B265,'CARNET DE SOUDURE'!$L$7:$L$3006,0)),IFERROR(INDEX('CARNET DE SOUDURE'!$B$7:$B$3006,MATCH(B265,'CARNET DE SOUDURE'!$O$7:$O$3006,0)),"")))</f>
        <v>MFD-ISW → MFD-CPF</v>
      </c>
      <c r="J265" s="82" t="str">
        <f aca="false">IF(B265="","",IFERROR(INDEX('CARNET DE SOUDURE'!$E$7:$E$3006,MATCH(B265,'CARNET DE SOUDURE'!$O$7:$O$3006,0)),""))</f>
        <v>JN°931</v>
      </c>
      <c r="K265" s="82" t="str">
        <f aca="false">IF(B265="","",IFERROR(INDEX('CARNET DE SOUDURE'!$E$7:$E$3006,MATCH(B265,'CARNET DE SOUDURE'!$L$7:$L$3006,0)),""))</f>
        <v>DJ°395</v>
      </c>
      <c r="L265" s="82" t="n">
        <f aca="false">IF(B265="","",IFERROR(INDEX('CARNET DE SOUDURE'!$D$7:$D$3006,MATCH(B265,'CARNET DE SOUDURE'!$L$7:$L$3006,0)),IFERROR(INDEX('CARNET DE SOUDURE'!$D$7:$D$3006,MATCH(B265,'CARNET DE SOUDURE'!$O$7:$O$3006,0)),"")))</f>
        <v>7</v>
      </c>
      <c r="M265" s="82" t="str">
        <f aca="false">IF(B265="","",IF(OR(J265&lt;&gt;"",K265&lt;&gt;""),"POSÉ EN LIGNE",IF(COUNTIF(BARDAGE!$C$1:$C$5000,B265)&gt;0,"BARDÉ","EN STOCK")))</f>
        <v>POSÉ EN LIGNE</v>
      </c>
      <c r="N265" s="80"/>
    </row>
    <row r="266" customFormat="false" ht="15" hidden="false" customHeight="false" outlineLevel="0" collapsed="false">
      <c r="A266" s="82" t="n">
        <f aca="false">IF(B266="","",ROW()-6)</f>
        <v>260</v>
      </c>
      <c r="B266" s="145" t="n">
        <v>2084550</v>
      </c>
      <c r="C266" s="146" t="n">
        <v>15421106</v>
      </c>
      <c r="D266" s="146"/>
      <c r="E266" s="82" t="str">
        <f aca="false">IF(B266="","",IF(COUNTIFS('CARNET DE SOUDURE'!$L$7:$L$3006,B266,'CARNET DE SOUDURE'!$M$7:$M$3006,"&lt;&gt;"&amp;C266,'CARNET DE SOUDURE'!$M$7:$M$3006,"&lt;&gt;")+COUNTIFS('CARNET DE SOUDURE'!$O$7:$O$3006,B266,'CARNET DE SOUDURE'!$P$7:$P$3006,"&lt;&gt;"&amp;C266,'CARNET DE SOUDURE'!$P$7:$P$3006,"&lt;&gt;")&gt;0,"⚠ DIFFÉRENTE","OK"))</f>
        <v>OK</v>
      </c>
      <c r="F266" s="147" t="n">
        <v>11.94</v>
      </c>
      <c r="G266" s="80"/>
      <c r="H266" s="83"/>
      <c r="I266" s="148" t="str">
        <f aca="false">IF(B266="","",IFERROR(INDEX('CARNET DE SOUDURE'!$B$7:$B$3006,MATCH(B266,'CARNET DE SOUDURE'!$L$7:$L$3006,0)),IFERROR(INDEX('CARNET DE SOUDURE'!$B$7:$B$3006,MATCH(B266,'CARNET DE SOUDURE'!$O$7:$O$3006,0)),"")))</f>
        <v>MFD-ISW → MFD-CPF</v>
      </c>
      <c r="J266" s="82" t="str">
        <f aca="false">IF(B266="","",IFERROR(INDEX('CARNET DE SOUDURE'!$E$7:$E$3006,MATCH(B266,'CARNET DE SOUDURE'!$O$7:$O$3006,0)),""))</f>
        <v>DJ°395</v>
      </c>
      <c r="K266" s="82" t="str">
        <f aca="false">IF(B266="","",IFERROR(INDEX('CARNET DE SOUDURE'!$E$7:$E$3006,MATCH(B266,'CARNET DE SOUDURE'!$L$7:$L$3006,0)),""))</f>
        <v>JN°932</v>
      </c>
      <c r="L266" s="82" t="n">
        <f aca="false">IF(B266="","",IFERROR(INDEX('CARNET DE SOUDURE'!$D$7:$D$3006,MATCH(B266,'CARNET DE SOUDURE'!$L$7:$L$3006,0)),IFERROR(INDEX('CARNET DE SOUDURE'!$D$7:$D$3006,MATCH(B266,'CARNET DE SOUDURE'!$O$7:$O$3006,0)),"")))</f>
        <v>7</v>
      </c>
      <c r="M266" s="82" t="str">
        <f aca="false">IF(B266="","",IF(OR(J266&lt;&gt;"",K266&lt;&gt;""),"POSÉ EN LIGNE",IF(COUNTIF(BARDAGE!$C$1:$C$5000,B266)&gt;0,"BARDÉ","EN STOCK")))</f>
        <v>POSÉ EN LIGNE</v>
      </c>
      <c r="N266" s="80"/>
    </row>
    <row r="267" customFormat="false" ht="15" hidden="false" customHeight="false" outlineLevel="0" collapsed="false">
      <c r="A267" s="82" t="n">
        <f aca="false">IF(B267="","",ROW()-6)</f>
        <v>261</v>
      </c>
      <c r="B267" s="145" t="n">
        <v>2087670</v>
      </c>
      <c r="C267" s="146" t="n">
        <v>15421108</v>
      </c>
      <c r="D267" s="146"/>
      <c r="E267" s="82" t="str">
        <f aca="false">IF(B267="","",IF(COUNTIFS('CARNET DE SOUDURE'!$L$7:$L$3006,B267,'CARNET DE SOUDURE'!$M$7:$M$3006,"&lt;&gt;"&amp;C267,'CARNET DE SOUDURE'!$M$7:$M$3006,"&lt;&gt;")+COUNTIFS('CARNET DE SOUDURE'!$O$7:$O$3006,B267,'CARNET DE SOUDURE'!$P$7:$P$3006,"&lt;&gt;"&amp;C267,'CARNET DE SOUDURE'!$P$7:$P$3006,"&lt;&gt;")&gt;0,"⚠ DIFFÉRENTE","OK"))</f>
        <v>OK</v>
      </c>
      <c r="F267" s="147" t="n">
        <v>11.94</v>
      </c>
      <c r="G267" s="80"/>
      <c r="H267" s="83"/>
      <c r="I267" s="148" t="str">
        <f aca="false">IF(B267="","",IFERROR(INDEX('CARNET DE SOUDURE'!$B$7:$B$3006,MATCH(B267,'CARNET DE SOUDURE'!$L$7:$L$3006,0)),IFERROR(INDEX('CARNET DE SOUDURE'!$B$7:$B$3006,MATCH(B267,'CARNET DE SOUDURE'!$O$7:$O$3006,0)),"")))</f>
        <v>MFD-ISW → MFD-CPF</v>
      </c>
      <c r="J267" s="82" t="str">
        <f aca="false">IF(B267="","",IFERROR(INDEX('CARNET DE SOUDURE'!$E$7:$E$3006,MATCH(B267,'CARNET DE SOUDURE'!$O$7:$O$3006,0)),""))</f>
        <v>JN°932</v>
      </c>
      <c r="K267" s="82" t="str">
        <f aca="false">IF(B267="","",IFERROR(INDEX('CARNET DE SOUDURE'!$E$7:$E$3006,MATCH(B267,'CARNET DE SOUDURE'!$L$7:$L$3006,0)),""))</f>
        <v>DJ°393</v>
      </c>
      <c r="L267" s="82" t="n">
        <f aca="false">IF(B267="","",IFERROR(INDEX('CARNET DE SOUDURE'!$D$7:$D$3006,MATCH(B267,'CARNET DE SOUDURE'!$L$7:$L$3006,0)),IFERROR(INDEX('CARNET DE SOUDURE'!$D$7:$D$3006,MATCH(B267,'CARNET DE SOUDURE'!$O$7:$O$3006,0)),"")))</f>
        <v>7</v>
      </c>
      <c r="M267" s="82" t="str">
        <f aca="false">IF(B267="","",IF(OR(J267&lt;&gt;"",K267&lt;&gt;""),"POSÉ EN LIGNE",IF(COUNTIF(BARDAGE!$C$1:$C$5000,B267)&gt;0,"BARDÉ","EN STOCK")))</f>
        <v>POSÉ EN LIGNE</v>
      </c>
      <c r="N267" s="80"/>
    </row>
    <row r="268" customFormat="false" ht="15" hidden="false" customHeight="false" outlineLevel="0" collapsed="false">
      <c r="A268" s="82" t="n">
        <f aca="false">IF(B268="","",ROW()-6)</f>
        <v>262</v>
      </c>
      <c r="B268" s="145" t="n">
        <v>2087310</v>
      </c>
      <c r="C268" s="146" t="n">
        <v>15421107</v>
      </c>
      <c r="D268" s="146"/>
      <c r="E268" s="82" t="str">
        <f aca="false">IF(B268="","",IF(COUNTIFS('CARNET DE SOUDURE'!$L$7:$L$3006,B268,'CARNET DE SOUDURE'!$M$7:$M$3006,"&lt;&gt;"&amp;C268,'CARNET DE SOUDURE'!$M$7:$M$3006,"&lt;&gt;")+COUNTIFS('CARNET DE SOUDURE'!$O$7:$O$3006,B268,'CARNET DE SOUDURE'!$P$7:$P$3006,"&lt;&gt;"&amp;C268,'CARNET DE SOUDURE'!$P$7:$P$3006,"&lt;&gt;")&gt;0,"⚠ DIFFÉRENTE","OK"))</f>
        <v>OK</v>
      </c>
      <c r="F268" s="147" t="n">
        <v>11.94</v>
      </c>
      <c r="G268" s="80"/>
      <c r="H268" s="83"/>
      <c r="I268" s="148" t="str">
        <f aca="false">IF(B268="","",IFERROR(INDEX('CARNET DE SOUDURE'!$B$7:$B$3006,MATCH(B268,'CARNET DE SOUDURE'!$L$7:$L$3006,0)),IFERROR(INDEX('CARNET DE SOUDURE'!$B$7:$B$3006,MATCH(B268,'CARNET DE SOUDURE'!$O$7:$O$3006,0)),"")))</f>
        <v>MFD-ISW → MFD-CPF</v>
      </c>
      <c r="J268" s="82" t="str">
        <f aca="false">IF(B268="","",IFERROR(INDEX('CARNET DE SOUDURE'!$E$7:$E$3006,MATCH(B268,'CARNET DE SOUDURE'!$O$7:$O$3006,0)),""))</f>
        <v>DJ°393</v>
      </c>
      <c r="K268" s="82" t="str">
        <f aca="false">IF(B268="","",IFERROR(INDEX('CARNET DE SOUDURE'!$E$7:$E$3006,MATCH(B268,'CARNET DE SOUDURE'!$L$7:$L$3006,0)),""))</f>
        <v>JN°933</v>
      </c>
      <c r="L268" s="82" t="n">
        <f aca="false">IF(B268="","",IFERROR(INDEX('CARNET DE SOUDURE'!$D$7:$D$3006,MATCH(B268,'CARNET DE SOUDURE'!$L$7:$L$3006,0)),IFERROR(INDEX('CARNET DE SOUDURE'!$D$7:$D$3006,MATCH(B268,'CARNET DE SOUDURE'!$O$7:$O$3006,0)),"")))</f>
        <v>7</v>
      </c>
      <c r="M268" s="82" t="str">
        <f aca="false">IF(B268="","",IF(OR(J268&lt;&gt;"",K268&lt;&gt;""),"POSÉ EN LIGNE",IF(COUNTIF(BARDAGE!$C$1:$C$5000,B268)&gt;0,"BARDÉ","EN STOCK")))</f>
        <v>POSÉ EN LIGNE</v>
      </c>
      <c r="N268" s="80"/>
    </row>
    <row r="269" customFormat="false" ht="15" hidden="false" customHeight="false" outlineLevel="0" collapsed="false">
      <c r="A269" s="82" t="n">
        <f aca="false">IF(B269="","",ROW()-6)</f>
        <v>263</v>
      </c>
      <c r="B269" s="145" t="n">
        <v>2093880</v>
      </c>
      <c r="C269" s="146" t="n">
        <v>15421110</v>
      </c>
      <c r="D269" s="146"/>
      <c r="E269" s="82" t="str">
        <f aca="false">IF(B269="","",IF(COUNTIFS('CARNET DE SOUDURE'!$L$7:$L$3006,B269,'CARNET DE SOUDURE'!$M$7:$M$3006,"&lt;&gt;"&amp;C269,'CARNET DE SOUDURE'!$M$7:$M$3006,"&lt;&gt;")+COUNTIFS('CARNET DE SOUDURE'!$O$7:$O$3006,B269,'CARNET DE SOUDURE'!$P$7:$P$3006,"&lt;&gt;"&amp;C269,'CARNET DE SOUDURE'!$P$7:$P$3006,"&lt;&gt;")&gt;0,"⚠ DIFFÉRENTE","OK"))</f>
        <v>OK</v>
      </c>
      <c r="F269" s="147" t="n">
        <v>11.94</v>
      </c>
      <c r="G269" s="80"/>
      <c r="H269" s="83"/>
      <c r="I269" s="148" t="str">
        <f aca="false">IF(B269="","",IFERROR(INDEX('CARNET DE SOUDURE'!$B$7:$B$3006,MATCH(B269,'CARNET DE SOUDURE'!$L$7:$L$3006,0)),IFERROR(INDEX('CARNET DE SOUDURE'!$B$7:$B$3006,MATCH(B269,'CARNET DE SOUDURE'!$O$7:$O$3006,0)),"")))</f>
        <v>MFD-ISW → MFD-CPF</v>
      </c>
      <c r="J269" s="82" t="str">
        <f aca="false">IF(B269="","",IFERROR(INDEX('CARNET DE SOUDURE'!$E$7:$E$3006,MATCH(B269,'CARNET DE SOUDURE'!$O$7:$O$3006,0)),""))</f>
        <v>JN°933</v>
      </c>
      <c r="K269" s="82" t="str">
        <f aca="false">IF(B269="","",IFERROR(INDEX('CARNET DE SOUDURE'!$E$7:$E$3006,MATCH(B269,'CARNET DE SOUDURE'!$L$7:$L$3006,0)),""))</f>
        <v>JN°934</v>
      </c>
      <c r="L269" s="82" t="n">
        <f aca="false">IF(B269="","",IFERROR(INDEX('CARNET DE SOUDURE'!$D$7:$D$3006,MATCH(B269,'CARNET DE SOUDURE'!$L$7:$L$3006,0)),IFERROR(INDEX('CARNET DE SOUDURE'!$D$7:$D$3006,MATCH(B269,'CARNET DE SOUDURE'!$O$7:$O$3006,0)),"")))</f>
        <v>7</v>
      </c>
      <c r="M269" s="82" t="str">
        <f aca="false">IF(B269="","",IF(OR(J269&lt;&gt;"",K269&lt;&gt;""),"POSÉ EN LIGNE",IF(COUNTIF(BARDAGE!$C$1:$C$5000,B269)&gt;0,"BARDÉ","EN STOCK")))</f>
        <v>POSÉ EN LIGNE</v>
      </c>
      <c r="N269" s="80"/>
    </row>
    <row r="270" customFormat="false" ht="15" hidden="false" customHeight="false" outlineLevel="0" collapsed="false">
      <c r="A270" s="82" t="n">
        <f aca="false">IF(B270="","",ROW()-6)</f>
        <v>264</v>
      </c>
      <c r="B270" s="145" t="n">
        <v>2080450</v>
      </c>
      <c r="C270" s="146" t="n">
        <v>15421102</v>
      </c>
      <c r="D270" s="146"/>
      <c r="E270" s="82" t="str">
        <f aca="false">IF(B270="","",IF(COUNTIFS('CARNET DE SOUDURE'!$L$7:$L$3006,B270,'CARNET DE SOUDURE'!$M$7:$M$3006,"&lt;&gt;"&amp;C270,'CARNET DE SOUDURE'!$M$7:$M$3006,"&lt;&gt;")+COUNTIFS('CARNET DE SOUDURE'!$O$7:$O$3006,B270,'CARNET DE SOUDURE'!$P$7:$P$3006,"&lt;&gt;"&amp;C270,'CARNET DE SOUDURE'!$P$7:$P$3006,"&lt;&gt;")&gt;0,"⚠ DIFFÉRENTE","OK"))</f>
        <v>OK</v>
      </c>
      <c r="F270" s="147" t="n">
        <v>11.94</v>
      </c>
      <c r="G270" s="80"/>
      <c r="H270" s="83"/>
      <c r="I270" s="148" t="str">
        <f aca="false">IF(B270="","",IFERROR(INDEX('CARNET DE SOUDURE'!$B$7:$B$3006,MATCH(B270,'CARNET DE SOUDURE'!$L$7:$L$3006,0)),IFERROR(INDEX('CARNET DE SOUDURE'!$B$7:$B$3006,MATCH(B270,'CARNET DE SOUDURE'!$O$7:$O$3006,0)),"")))</f>
        <v>MFD-ISW → MFD-CPF</v>
      </c>
      <c r="J270" s="82" t="str">
        <f aca="false">IF(B270="","",IFERROR(INDEX('CARNET DE SOUDURE'!$E$7:$E$3006,MATCH(B270,'CARNET DE SOUDURE'!$O$7:$O$3006,0)),""))</f>
        <v>JN°934</v>
      </c>
      <c r="K270" s="82" t="str">
        <f aca="false">IF(B270="","",IFERROR(INDEX('CARNET DE SOUDURE'!$E$7:$E$3006,MATCH(B270,'CARNET DE SOUDURE'!$L$7:$L$3006,0)),""))</f>
        <v>JN°935</v>
      </c>
      <c r="L270" s="82" t="n">
        <f aca="false">IF(B270="","",IFERROR(INDEX('CARNET DE SOUDURE'!$D$7:$D$3006,MATCH(B270,'CARNET DE SOUDURE'!$L$7:$L$3006,0)),IFERROR(INDEX('CARNET DE SOUDURE'!$D$7:$D$3006,MATCH(B270,'CARNET DE SOUDURE'!$O$7:$O$3006,0)),"")))</f>
        <v>7</v>
      </c>
      <c r="M270" s="82" t="str">
        <f aca="false">IF(B270="","",IF(OR(J270&lt;&gt;"",K270&lt;&gt;""),"POSÉ EN LIGNE",IF(COUNTIF(BARDAGE!$C$1:$C$5000,B270)&gt;0,"BARDÉ","EN STOCK")))</f>
        <v>POSÉ EN LIGNE</v>
      </c>
      <c r="N270" s="80"/>
    </row>
    <row r="271" customFormat="false" ht="15" hidden="false" customHeight="false" outlineLevel="0" collapsed="false">
      <c r="A271" s="82" t="n">
        <f aca="false">IF(B271="","",ROW()-6)</f>
        <v>265</v>
      </c>
      <c r="B271" s="145" t="n">
        <v>2080090</v>
      </c>
      <c r="C271" s="146" t="n">
        <v>15421102</v>
      </c>
      <c r="D271" s="146"/>
      <c r="E271" s="82" t="str">
        <f aca="false">IF(B271="","",IF(COUNTIFS('CARNET DE SOUDURE'!$L$7:$L$3006,B271,'CARNET DE SOUDURE'!$M$7:$M$3006,"&lt;&gt;"&amp;C271,'CARNET DE SOUDURE'!$M$7:$M$3006,"&lt;&gt;")+COUNTIFS('CARNET DE SOUDURE'!$O$7:$O$3006,B271,'CARNET DE SOUDURE'!$P$7:$P$3006,"&lt;&gt;"&amp;C271,'CARNET DE SOUDURE'!$P$7:$P$3006,"&lt;&gt;")&gt;0,"⚠ DIFFÉRENTE","OK"))</f>
        <v>OK</v>
      </c>
      <c r="F271" s="147" t="n">
        <v>11.94</v>
      </c>
      <c r="G271" s="80"/>
      <c r="H271" s="83"/>
      <c r="I271" s="148" t="str">
        <f aca="false">IF(B271="","",IFERROR(INDEX('CARNET DE SOUDURE'!$B$7:$B$3006,MATCH(B271,'CARNET DE SOUDURE'!$L$7:$L$3006,0)),IFERROR(INDEX('CARNET DE SOUDURE'!$B$7:$B$3006,MATCH(B271,'CARNET DE SOUDURE'!$O$7:$O$3006,0)),"")))</f>
        <v>MFD-ISW → MFD-CPF</v>
      </c>
      <c r="J271" s="82" t="str">
        <f aca="false">IF(B271="","",IFERROR(INDEX('CARNET DE SOUDURE'!$E$7:$E$3006,MATCH(B271,'CARNET DE SOUDURE'!$O$7:$O$3006,0)),""))</f>
        <v>JN°935</v>
      </c>
      <c r="K271" s="82" t="str">
        <f aca="false">IF(B271="","",IFERROR(INDEX('CARNET DE SOUDURE'!$E$7:$E$3006,MATCH(B271,'CARNET DE SOUDURE'!$L$7:$L$3006,0)),""))</f>
        <v>JN°936</v>
      </c>
      <c r="L271" s="82" t="n">
        <f aca="false">IF(B271="","",IFERROR(INDEX('CARNET DE SOUDURE'!$D$7:$D$3006,MATCH(B271,'CARNET DE SOUDURE'!$L$7:$L$3006,0)),IFERROR(INDEX('CARNET DE SOUDURE'!$D$7:$D$3006,MATCH(B271,'CARNET DE SOUDURE'!$O$7:$O$3006,0)),"")))</f>
        <v>7</v>
      </c>
      <c r="M271" s="82" t="str">
        <f aca="false">IF(B271="","",IF(OR(J271&lt;&gt;"",K271&lt;&gt;""),"POSÉ EN LIGNE",IF(COUNTIF(BARDAGE!$C$1:$C$5000,B271)&gt;0,"BARDÉ","EN STOCK")))</f>
        <v>POSÉ EN LIGNE</v>
      </c>
      <c r="N271" s="80"/>
    </row>
    <row r="272" customFormat="false" ht="15" hidden="false" customHeight="false" outlineLevel="0" collapsed="false">
      <c r="A272" s="82" t="n">
        <f aca="false">IF(B272="","",ROW()-6)</f>
        <v>266</v>
      </c>
      <c r="B272" s="145" t="n">
        <v>20866550</v>
      </c>
      <c r="C272" s="146" t="n">
        <v>15421107</v>
      </c>
      <c r="D272" s="146"/>
      <c r="E272" s="82" t="str">
        <f aca="false">IF(B272="","",IF(COUNTIFS('CARNET DE SOUDURE'!$L$7:$L$3006,B272,'CARNET DE SOUDURE'!$M$7:$M$3006,"&lt;&gt;"&amp;C272,'CARNET DE SOUDURE'!$M$7:$M$3006,"&lt;&gt;")+COUNTIFS('CARNET DE SOUDURE'!$O$7:$O$3006,B272,'CARNET DE SOUDURE'!$P$7:$P$3006,"&lt;&gt;"&amp;C272,'CARNET DE SOUDURE'!$P$7:$P$3006,"&lt;&gt;")&gt;0,"⚠ DIFFÉRENTE","OK"))</f>
        <v>OK</v>
      </c>
      <c r="F272" s="147" t="n">
        <v>11.94</v>
      </c>
      <c r="G272" s="80"/>
      <c r="H272" s="83"/>
      <c r="I272" s="148" t="str">
        <f aca="false">IF(B272="","",IFERROR(INDEX('CARNET DE SOUDURE'!$B$7:$B$3006,MATCH(B272,'CARNET DE SOUDURE'!$L$7:$L$3006,0)),IFERROR(INDEX('CARNET DE SOUDURE'!$B$7:$B$3006,MATCH(B272,'CARNET DE SOUDURE'!$O$7:$O$3006,0)),"")))</f>
        <v>MFD-ISW → MFD-CPF</v>
      </c>
      <c r="J272" s="82" t="str">
        <f aca="false">IF(B272="","",IFERROR(INDEX('CARNET DE SOUDURE'!$E$7:$E$3006,MATCH(B272,'CARNET DE SOUDURE'!$O$7:$O$3006,0)),""))</f>
        <v>JN°936</v>
      </c>
      <c r="K272" s="82" t="str">
        <f aca="false">IF(B272="","",IFERROR(INDEX('CARNET DE SOUDURE'!$E$7:$E$3006,MATCH(B272,'CARNET DE SOUDURE'!$L$7:$L$3006,0)),""))</f>
        <v>JN°937</v>
      </c>
      <c r="L272" s="82" t="n">
        <f aca="false">IF(B272="","",IFERROR(INDEX('CARNET DE SOUDURE'!$D$7:$D$3006,MATCH(B272,'CARNET DE SOUDURE'!$L$7:$L$3006,0)),IFERROR(INDEX('CARNET DE SOUDURE'!$D$7:$D$3006,MATCH(B272,'CARNET DE SOUDURE'!$O$7:$O$3006,0)),"")))</f>
        <v>7</v>
      </c>
      <c r="M272" s="82" t="str">
        <f aca="false">IF(B272="","",IF(OR(J272&lt;&gt;"",K272&lt;&gt;""),"POSÉ EN LIGNE",IF(COUNTIF(BARDAGE!$C$1:$C$5000,B272)&gt;0,"BARDÉ","EN STOCK")))</f>
        <v>POSÉ EN LIGNE</v>
      </c>
      <c r="N272" s="80"/>
    </row>
    <row r="273" customFormat="false" ht="15" hidden="false" customHeight="false" outlineLevel="0" collapsed="false">
      <c r="A273" s="82" t="n">
        <f aca="false">IF(B273="","",ROW()-6)</f>
        <v>267</v>
      </c>
      <c r="B273" s="145" t="n">
        <v>2098330</v>
      </c>
      <c r="C273" s="146" t="n">
        <v>15421112</v>
      </c>
      <c r="D273" s="146"/>
      <c r="E273" s="82" t="str">
        <f aca="false">IF(B273="","",IF(COUNTIFS('CARNET DE SOUDURE'!$L$7:$L$3006,B273,'CARNET DE SOUDURE'!$M$7:$M$3006,"&lt;&gt;"&amp;C273,'CARNET DE SOUDURE'!$M$7:$M$3006,"&lt;&gt;")+COUNTIFS('CARNET DE SOUDURE'!$O$7:$O$3006,B273,'CARNET DE SOUDURE'!$P$7:$P$3006,"&lt;&gt;"&amp;C273,'CARNET DE SOUDURE'!$P$7:$P$3006,"&lt;&gt;")&gt;0,"⚠ DIFFÉRENTE","OK"))</f>
        <v>OK</v>
      </c>
      <c r="F273" s="147" t="n">
        <v>11.94</v>
      </c>
      <c r="G273" s="80"/>
      <c r="H273" s="83"/>
      <c r="I273" s="148" t="str">
        <f aca="false">IF(B273="","",IFERROR(INDEX('CARNET DE SOUDURE'!$B$7:$B$3006,MATCH(B273,'CARNET DE SOUDURE'!$L$7:$L$3006,0)),IFERROR(INDEX('CARNET DE SOUDURE'!$B$7:$B$3006,MATCH(B273,'CARNET DE SOUDURE'!$O$7:$O$3006,0)),"")))</f>
        <v>MFD-ISW → MFD-CPF</v>
      </c>
      <c r="J273" s="82" t="str">
        <f aca="false">IF(B273="","",IFERROR(INDEX('CARNET DE SOUDURE'!$E$7:$E$3006,MATCH(B273,'CARNET DE SOUDURE'!$O$7:$O$3006,0)),""))</f>
        <v>JN°937</v>
      </c>
      <c r="K273" s="82" t="str">
        <f aca="false">IF(B273="","",IFERROR(INDEX('CARNET DE SOUDURE'!$E$7:$E$3006,MATCH(B273,'CARNET DE SOUDURE'!$L$7:$L$3006,0)),""))</f>
        <v>JN°938</v>
      </c>
      <c r="L273" s="82" t="n">
        <f aca="false">IF(B273="","",IFERROR(INDEX('CARNET DE SOUDURE'!$D$7:$D$3006,MATCH(B273,'CARNET DE SOUDURE'!$L$7:$L$3006,0)),IFERROR(INDEX('CARNET DE SOUDURE'!$D$7:$D$3006,MATCH(B273,'CARNET DE SOUDURE'!$O$7:$O$3006,0)),"")))</f>
        <v>0</v>
      </c>
      <c r="M273" s="82" t="str">
        <f aca="false">IF(B273="","",IF(OR(J273&lt;&gt;"",K273&lt;&gt;""),"POSÉ EN LIGNE",IF(COUNTIF(BARDAGE!$C$1:$C$5000,B273)&gt;0,"BARDÉ","EN STOCK")))</f>
        <v>POSÉ EN LIGNE</v>
      </c>
      <c r="N273" s="80"/>
    </row>
    <row r="274" customFormat="false" ht="15" hidden="false" customHeight="false" outlineLevel="0" collapsed="false">
      <c r="A274" s="82" t="n">
        <f aca="false">IF(B274="","",ROW()-6)</f>
        <v>268</v>
      </c>
      <c r="B274" s="145" t="s">
        <v>1268</v>
      </c>
      <c r="C274" s="146"/>
      <c r="D274" s="146"/>
      <c r="E274" s="82" t="str">
        <f aca="false">IF(B274="","",IF(COUNTIFS('CARNET DE SOUDURE'!$L$7:$L$3006,B274,'CARNET DE SOUDURE'!$M$7:$M$3006,"&lt;&gt;"&amp;C274,'CARNET DE SOUDURE'!$M$7:$M$3006,"&lt;&gt;")+COUNTIFS('CARNET DE SOUDURE'!$O$7:$O$3006,B274,'CARNET DE SOUDURE'!$P$7:$P$3006,"&lt;&gt;"&amp;C274,'CARNET DE SOUDURE'!$P$7:$P$3006,"&lt;&gt;")&gt;0,"⚠ DIFFÉRENTE","OK"))</f>
        <v>OK</v>
      </c>
      <c r="F274" s="147"/>
      <c r="G274" s="80"/>
      <c r="H274" s="83"/>
      <c r="I274" s="148" t="str">
        <f aca="false">IF(B274="","",IFERROR(INDEX('CARNET DE SOUDURE'!$B$7:$B$3006,MATCH(B274,'CARNET DE SOUDURE'!$L$7:$L$3006,0)),IFERROR(INDEX('CARNET DE SOUDURE'!$B$7:$B$3006,MATCH(B274,'CARNET DE SOUDURE'!$O$7:$O$3006,0)),"")))</f>
        <v>MFD-ISW → MFD-CPF</v>
      </c>
      <c r="J274" s="82" t="str">
        <f aca="false">IF(B274="","",IFERROR(INDEX('CARNET DE SOUDURE'!$E$7:$E$3006,MATCH(B274,'CARNET DE SOUDURE'!$O$7:$O$3006,0)),""))</f>
        <v>JN°938</v>
      </c>
      <c r="K274" s="82" t="str">
        <f aca="false">IF(B274="","",IFERROR(INDEX('CARNET DE SOUDURE'!$E$7:$E$3006,MATCH(B274,'CARNET DE SOUDURE'!$L$7:$L$3006,0)),""))</f>
        <v>JN°939</v>
      </c>
      <c r="L274" s="82" t="n">
        <f aca="false">IF(B274="","",IFERROR(INDEX('CARNET DE SOUDURE'!$D$7:$D$3006,MATCH(B274,'CARNET DE SOUDURE'!$L$7:$L$3006,0)),IFERROR(INDEX('CARNET DE SOUDURE'!$D$7:$D$3006,MATCH(B274,'CARNET DE SOUDURE'!$O$7:$O$3006,0)),"")))</f>
        <v>0</v>
      </c>
      <c r="M274" s="82" t="str">
        <f aca="false">IF(B274="","",IF(OR(J274&lt;&gt;"",K274&lt;&gt;""),"POSÉ EN LIGNE",IF(COUNTIF(BARDAGE!$C$1:$C$5000,B274)&gt;0,"BARDÉ","EN STOCK")))</f>
        <v>POSÉ EN LIGNE</v>
      </c>
      <c r="N274" s="80"/>
    </row>
    <row r="275" customFormat="false" ht="15" hidden="false" customHeight="false" outlineLevel="0" collapsed="false">
      <c r="A275" s="82" t="n">
        <f aca="false">IF(B275="","",ROW()-6)</f>
        <v>269</v>
      </c>
      <c r="B275" s="145" t="s">
        <v>1270</v>
      </c>
      <c r="C275" s="146"/>
      <c r="D275" s="146"/>
      <c r="E275" s="82" t="str">
        <f aca="false">IF(B275="","",IF(COUNTIFS('CARNET DE SOUDURE'!$L$7:$L$3006,B275,'CARNET DE SOUDURE'!$M$7:$M$3006,"&lt;&gt;"&amp;C275,'CARNET DE SOUDURE'!$M$7:$M$3006,"&lt;&gt;")+COUNTIFS('CARNET DE SOUDURE'!$O$7:$O$3006,B275,'CARNET DE SOUDURE'!$P$7:$P$3006,"&lt;&gt;"&amp;C275,'CARNET DE SOUDURE'!$P$7:$P$3006,"&lt;&gt;")&gt;0,"⚠ DIFFÉRENTE","OK"))</f>
        <v>OK</v>
      </c>
      <c r="F275" s="147"/>
      <c r="G275" s="80"/>
      <c r="H275" s="83"/>
      <c r="I275" s="148" t="str">
        <f aca="false">IF(B275="","",IFERROR(INDEX('CARNET DE SOUDURE'!$B$7:$B$3006,MATCH(B275,'CARNET DE SOUDURE'!$L$7:$L$3006,0)),IFERROR(INDEX('CARNET DE SOUDURE'!$B$7:$B$3006,MATCH(B275,'CARNET DE SOUDURE'!$O$7:$O$3006,0)),"")))</f>
        <v>MFD-ISW → MFD-CPF</v>
      </c>
      <c r="J275" s="82" t="str">
        <f aca="false">IF(B275="","",IFERROR(INDEX('CARNET DE SOUDURE'!$E$7:$E$3006,MATCH(B275,'CARNET DE SOUDURE'!$O$7:$O$3006,0)),""))</f>
        <v>JN°939</v>
      </c>
      <c r="K275" s="82" t="str">
        <f aca="false">IF(B275="","",IFERROR(INDEX('CARNET DE SOUDURE'!$E$7:$E$3006,MATCH(B275,'CARNET DE SOUDURE'!$L$7:$L$3006,0)),""))</f>
        <v>JN°940</v>
      </c>
      <c r="L275" s="82" t="n">
        <f aca="false">IF(B275="","",IFERROR(INDEX('CARNET DE SOUDURE'!$D$7:$D$3006,MATCH(B275,'CARNET DE SOUDURE'!$L$7:$L$3006,0)),IFERROR(INDEX('CARNET DE SOUDURE'!$D$7:$D$3006,MATCH(B275,'CARNET DE SOUDURE'!$O$7:$O$3006,0)),"")))</f>
        <v>0</v>
      </c>
      <c r="M275" s="82" t="str">
        <f aca="false">IF(B275="","",IF(OR(J275&lt;&gt;"",K275&lt;&gt;""),"POSÉ EN LIGNE",IF(COUNTIF(BARDAGE!$C$1:$C$5000,B275)&gt;0,"BARDÉ","EN STOCK")))</f>
        <v>POSÉ EN LIGNE</v>
      </c>
      <c r="N275" s="80"/>
    </row>
    <row r="276" customFormat="false" ht="15" hidden="false" customHeight="false" outlineLevel="0" collapsed="false">
      <c r="A276" s="82" t="n">
        <f aca="false">IF(B276="","",ROW()-6)</f>
        <v>270</v>
      </c>
      <c r="B276" s="145" t="n">
        <v>2086960</v>
      </c>
      <c r="C276" s="146" t="n">
        <v>15421107</v>
      </c>
      <c r="D276" s="146"/>
      <c r="E276" s="82" t="str">
        <f aca="false">IF(B276="","",IF(COUNTIFS('CARNET DE SOUDURE'!$L$7:$L$3006,B276,'CARNET DE SOUDURE'!$M$7:$M$3006,"&lt;&gt;"&amp;C276,'CARNET DE SOUDURE'!$M$7:$M$3006,"&lt;&gt;")+COUNTIFS('CARNET DE SOUDURE'!$O$7:$O$3006,B276,'CARNET DE SOUDURE'!$P$7:$P$3006,"&lt;&gt;"&amp;C276,'CARNET DE SOUDURE'!$P$7:$P$3006,"&lt;&gt;")&gt;0,"⚠ DIFFÉRENTE","OK"))</f>
        <v>OK</v>
      </c>
      <c r="F276" s="147" t="n">
        <v>11.94</v>
      </c>
      <c r="G276" s="80"/>
      <c r="H276" s="83"/>
      <c r="I276" s="148" t="str">
        <f aca="false">IF(B276="","",IFERROR(INDEX('CARNET DE SOUDURE'!$B$7:$B$3006,MATCH(B276,'CARNET DE SOUDURE'!$L$7:$L$3006,0)),IFERROR(INDEX('CARNET DE SOUDURE'!$B$7:$B$3006,MATCH(B276,'CARNET DE SOUDURE'!$O$7:$O$3006,0)),"")))</f>
        <v>MFD-ISW → MFD-CPF</v>
      </c>
      <c r="J276" s="82" t="str">
        <f aca="false">IF(B276="","",IFERROR(INDEX('CARNET DE SOUDURE'!$E$7:$E$3006,MATCH(B276,'CARNET DE SOUDURE'!$O$7:$O$3006,0)),""))</f>
        <v>JN°953</v>
      </c>
      <c r="K276" s="82" t="str">
        <f aca="false">IF(B276="","",IFERROR(INDEX('CARNET DE SOUDURE'!$E$7:$E$3006,MATCH(B276,'CARNET DE SOUDURE'!$L$7:$L$3006,0)),""))</f>
        <v>JN°954</v>
      </c>
      <c r="L276" s="82" t="n">
        <f aca="false">IF(B276="","",IFERROR(INDEX('CARNET DE SOUDURE'!$D$7:$D$3006,MATCH(B276,'CARNET DE SOUDURE'!$L$7:$L$3006,0)),IFERROR(INDEX('CARNET DE SOUDURE'!$D$7:$D$3006,MATCH(B276,'CARNET DE SOUDURE'!$O$7:$O$3006,0)),"")))</f>
        <v>8</v>
      </c>
      <c r="M276" s="82" t="str">
        <f aca="false">IF(B276="","",IF(OR(J276&lt;&gt;"",K276&lt;&gt;""),"POSÉ EN LIGNE",IF(COUNTIF(BARDAGE!$C$1:$C$5000,B276)&gt;0,"BARDÉ","EN STOCK")))</f>
        <v>POSÉ EN LIGNE</v>
      </c>
      <c r="N276" s="80"/>
    </row>
    <row r="277" customFormat="false" ht="15" hidden="false" customHeight="false" outlineLevel="0" collapsed="false">
      <c r="A277" s="82" t="n">
        <f aca="false">IF(B277="","",ROW()-6)</f>
        <v>271</v>
      </c>
      <c r="B277" s="145" t="n">
        <v>2081210</v>
      </c>
      <c r="C277" s="146" t="n">
        <v>15421103</v>
      </c>
      <c r="D277" s="146"/>
      <c r="E277" s="82" t="str">
        <f aca="false">IF(B277="","",IF(COUNTIFS('CARNET DE SOUDURE'!$L$7:$L$3006,B277,'CARNET DE SOUDURE'!$M$7:$M$3006,"&lt;&gt;"&amp;C277,'CARNET DE SOUDURE'!$M$7:$M$3006,"&lt;&gt;")+COUNTIFS('CARNET DE SOUDURE'!$O$7:$O$3006,B277,'CARNET DE SOUDURE'!$P$7:$P$3006,"&lt;&gt;"&amp;C277,'CARNET DE SOUDURE'!$P$7:$P$3006,"&lt;&gt;")&gt;0,"⚠ DIFFÉRENTE","OK"))</f>
        <v>OK</v>
      </c>
      <c r="F277" s="147" t="n">
        <v>11.94</v>
      </c>
      <c r="G277" s="80"/>
      <c r="H277" s="83"/>
      <c r="I277" s="148" t="str">
        <f aca="false">IF(B277="","",IFERROR(INDEX('CARNET DE SOUDURE'!$B$7:$B$3006,MATCH(B277,'CARNET DE SOUDURE'!$L$7:$L$3006,0)),IFERROR(INDEX('CARNET DE SOUDURE'!$B$7:$B$3006,MATCH(B277,'CARNET DE SOUDURE'!$O$7:$O$3006,0)),"")))</f>
        <v>MFD-ISW → MFD-CPF</v>
      </c>
      <c r="J277" s="82" t="str">
        <f aca="false">IF(B277="","",IFERROR(INDEX('CARNET DE SOUDURE'!$E$7:$E$3006,MATCH(B277,'CARNET DE SOUDURE'!$O$7:$O$3006,0)),""))</f>
        <v>JN°954</v>
      </c>
      <c r="K277" s="82" t="str">
        <f aca="false">IF(B277="","",IFERROR(INDEX('CARNET DE SOUDURE'!$E$7:$E$3006,MATCH(B277,'CARNET DE SOUDURE'!$L$7:$L$3006,0)),""))</f>
        <v>JN°955</v>
      </c>
      <c r="L277" s="82" t="n">
        <f aca="false">IF(B277="","",IFERROR(INDEX('CARNET DE SOUDURE'!$D$7:$D$3006,MATCH(B277,'CARNET DE SOUDURE'!$L$7:$L$3006,0)),IFERROR(INDEX('CARNET DE SOUDURE'!$D$7:$D$3006,MATCH(B277,'CARNET DE SOUDURE'!$O$7:$O$3006,0)),"")))</f>
        <v>8</v>
      </c>
      <c r="M277" s="82" t="str">
        <f aca="false">IF(B277="","",IF(OR(J277&lt;&gt;"",K277&lt;&gt;""),"POSÉ EN LIGNE",IF(COUNTIF(BARDAGE!$C$1:$C$5000,B277)&gt;0,"BARDÉ","EN STOCK")))</f>
        <v>POSÉ EN LIGNE</v>
      </c>
      <c r="N277" s="80"/>
    </row>
    <row r="278" customFormat="false" ht="15" hidden="false" customHeight="false" outlineLevel="0" collapsed="false">
      <c r="A278" s="82" t="n">
        <f aca="false">IF(B278="","",ROW()-6)</f>
        <v>272</v>
      </c>
      <c r="B278" s="145" t="n">
        <v>2086270</v>
      </c>
      <c r="C278" s="146" t="n">
        <v>15421107</v>
      </c>
      <c r="D278" s="146"/>
      <c r="E278" s="82" t="str">
        <f aca="false">IF(B278="","",IF(COUNTIFS('CARNET DE SOUDURE'!$L$7:$L$3006,B278,'CARNET DE SOUDURE'!$M$7:$M$3006,"&lt;&gt;"&amp;C278,'CARNET DE SOUDURE'!$M$7:$M$3006,"&lt;&gt;")+COUNTIFS('CARNET DE SOUDURE'!$O$7:$O$3006,B278,'CARNET DE SOUDURE'!$P$7:$P$3006,"&lt;&gt;"&amp;C278,'CARNET DE SOUDURE'!$P$7:$P$3006,"&lt;&gt;")&gt;0,"⚠ DIFFÉRENTE","OK"))</f>
        <v>OK</v>
      </c>
      <c r="F278" s="147" t="n">
        <v>11.94</v>
      </c>
      <c r="G278" s="80"/>
      <c r="H278" s="83"/>
      <c r="I278" s="148" t="str">
        <f aca="false">IF(B278="","",IFERROR(INDEX('CARNET DE SOUDURE'!$B$7:$B$3006,MATCH(B278,'CARNET DE SOUDURE'!$L$7:$L$3006,0)),IFERROR(INDEX('CARNET DE SOUDURE'!$B$7:$B$3006,MATCH(B278,'CARNET DE SOUDURE'!$O$7:$O$3006,0)),"")))</f>
        <v>MFD-ISW → MFD-CPF</v>
      </c>
      <c r="J278" s="82" t="str">
        <f aca="false">IF(B278="","",IFERROR(INDEX('CARNET DE SOUDURE'!$E$7:$E$3006,MATCH(B278,'CARNET DE SOUDURE'!$O$7:$O$3006,0)),""))</f>
        <v>JN°955</v>
      </c>
      <c r="K278" s="82" t="str">
        <f aca="false">IF(B278="","",IFERROR(INDEX('CARNET DE SOUDURE'!$E$7:$E$3006,MATCH(B278,'CARNET DE SOUDURE'!$L$7:$L$3006,0)),""))</f>
        <v>JN°956</v>
      </c>
      <c r="L278" s="82" t="n">
        <f aca="false">IF(B278="","",IFERROR(INDEX('CARNET DE SOUDURE'!$D$7:$D$3006,MATCH(B278,'CARNET DE SOUDURE'!$L$7:$L$3006,0)),IFERROR(INDEX('CARNET DE SOUDURE'!$D$7:$D$3006,MATCH(B278,'CARNET DE SOUDURE'!$O$7:$O$3006,0)),"")))</f>
        <v>8</v>
      </c>
      <c r="M278" s="82" t="str">
        <f aca="false">IF(B278="","",IF(OR(J278&lt;&gt;"",K278&lt;&gt;""),"POSÉ EN LIGNE",IF(COUNTIF(BARDAGE!$C$1:$C$5000,B278)&gt;0,"BARDÉ","EN STOCK")))</f>
        <v>POSÉ EN LIGNE</v>
      </c>
      <c r="N278" s="80"/>
    </row>
    <row r="279" customFormat="false" ht="15" hidden="false" customHeight="false" outlineLevel="0" collapsed="false">
      <c r="A279" s="82" t="n">
        <f aca="false">IF(B279="","",ROW()-6)</f>
        <v>273</v>
      </c>
      <c r="B279" s="145" t="n">
        <v>2078800</v>
      </c>
      <c r="C279" s="146" t="n">
        <v>15421101</v>
      </c>
      <c r="D279" s="146"/>
      <c r="E279" s="82" t="str">
        <f aca="false">IF(B279="","",IF(COUNTIFS('CARNET DE SOUDURE'!$L$7:$L$3006,B279,'CARNET DE SOUDURE'!$M$7:$M$3006,"&lt;&gt;"&amp;C279,'CARNET DE SOUDURE'!$M$7:$M$3006,"&lt;&gt;")+COUNTIFS('CARNET DE SOUDURE'!$O$7:$O$3006,B279,'CARNET DE SOUDURE'!$P$7:$P$3006,"&lt;&gt;"&amp;C279,'CARNET DE SOUDURE'!$P$7:$P$3006,"&lt;&gt;")&gt;0,"⚠ DIFFÉRENTE","OK"))</f>
        <v>OK</v>
      </c>
      <c r="F279" s="147" t="n">
        <v>11.94</v>
      </c>
      <c r="G279" s="80"/>
      <c r="H279" s="83"/>
      <c r="I279" s="148" t="str">
        <f aca="false">IF(B279="","",IFERROR(INDEX('CARNET DE SOUDURE'!$B$7:$B$3006,MATCH(B279,'CARNET DE SOUDURE'!$L$7:$L$3006,0)),IFERROR(INDEX('CARNET DE SOUDURE'!$B$7:$B$3006,MATCH(B279,'CARNET DE SOUDURE'!$O$7:$O$3006,0)),"")))</f>
        <v>MFD-ISW → MFD-CPF</v>
      </c>
      <c r="J279" s="82" t="str">
        <f aca="false">IF(B279="","",IFERROR(INDEX('CARNET DE SOUDURE'!$E$7:$E$3006,MATCH(B279,'CARNET DE SOUDURE'!$O$7:$O$3006,0)),""))</f>
        <v>JN°956</v>
      </c>
      <c r="K279" s="82" t="str">
        <f aca="false">IF(B279="","",IFERROR(INDEX('CARNET DE SOUDURE'!$E$7:$E$3006,MATCH(B279,'CARNET DE SOUDURE'!$L$7:$L$3006,0)),""))</f>
        <v>JN°957</v>
      </c>
      <c r="L279" s="82" t="n">
        <f aca="false">IF(B279="","",IFERROR(INDEX('CARNET DE SOUDURE'!$D$7:$D$3006,MATCH(B279,'CARNET DE SOUDURE'!$L$7:$L$3006,0)),IFERROR(INDEX('CARNET DE SOUDURE'!$D$7:$D$3006,MATCH(B279,'CARNET DE SOUDURE'!$O$7:$O$3006,0)),"")))</f>
        <v>8</v>
      </c>
      <c r="M279" s="82" t="str">
        <f aca="false">IF(B279="","",IF(OR(J279&lt;&gt;"",K279&lt;&gt;""),"POSÉ EN LIGNE",IF(COUNTIF(BARDAGE!$C$1:$C$5000,B279)&gt;0,"BARDÉ","EN STOCK")))</f>
        <v>POSÉ EN LIGNE</v>
      </c>
      <c r="N279" s="80"/>
    </row>
    <row r="280" customFormat="false" ht="15" hidden="false" customHeight="false" outlineLevel="0" collapsed="false">
      <c r="A280" s="82" t="n">
        <f aca="false">IF(B280="","",ROW()-6)</f>
        <v>274</v>
      </c>
      <c r="B280" s="145" t="n">
        <v>2086300</v>
      </c>
      <c r="C280" s="146" t="n">
        <v>15421107</v>
      </c>
      <c r="D280" s="146"/>
      <c r="E280" s="82" t="str">
        <f aca="false">IF(B280="","",IF(COUNTIFS('CARNET DE SOUDURE'!$L$7:$L$3006,B280,'CARNET DE SOUDURE'!$M$7:$M$3006,"&lt;&gt;"&amp;C280,'CARNET DE SOUDURE'!$M$7:$M$3006,"&lt;&gt;")+COUNTIFS('CARNET DE SOUDURE'!$O$7:$O$3006,B280,'CARNET DE SOUDURE'!$P$7:$P$3006,"&lt;&gt;"&amp;C280,'CARNET DE SOUDURE'!$P$7:$P$3006,"&lt;&gt;")&gt;0,"⚠ DIFFÉRENTE","OK"))</f>
        <v>OK</v>
      </c>
      <c r="F280" s="147" t="n">
        <v>11.94</v>
      </c>
      <c r="G280" s="80"/>
      <c r="H280" s="83"/>
      <c r="I280" s="148" t="str">
        <f aca="false">IF(B280="","",IFERROR(INDEX('CARNET DE SOUDURE'!$B$7:$B$3006,MATCH(B280,'CARNET DE SOUDURE'!$L$7:$L$3006,0)),IFERROR(INDEX('CARNET DE SOUDURE'!$B$7:$B$3006,MATCH(B280,'CARNET DE SOUDURE'!$O$7:$O$3006,0)),"")))</f>
        <v>MFD-ISW → MFD-CPF</v>
      </c>
      <c r="J280" s="82" t="str">
        <f aca="false">IF(B280="","",IFERROR(INDEX('CARNET DE SOUDURE'!$E$7:$E$3006,MATCH(B280,'CARNET DE SOUDURE'!$O$7:$O$3006,0)),""))</f>
        <v>JN°957</v>
      </c>
      <c r="K280" s="82" t="str">
        <f aca="false">IF(B280="","",IFERROR(INDEX('CARNET DE SOUDURE'!$E$7:$E$3006,MATCH(B280,'CARNET DE SOUDURE'!$L$7:$L$3006,0)),""))</f>
        <v>JN°958</v>
      </c>
      <c r="L280" s="82" t="n">
        <f aca="false">IF(B280="","",IFERROR(INDEX('CARNET DE SOUDURE'!$D$7:$D$3006,MATCH(B280,'CARNET DE SOUDURE'!$L$7:$L$3006,0)),IFERROR(INDEX('CARNET DE SOUDURE'!$D$7:$D$3006,MATCH(B280,'CARNET DE SOUDURE'!$O$7:$O$3006,0)),"")))</f>
        <v>8</v>
      </c>
      <c r="M280" s="82" t="str">
        <f aca="false">IF(B280="","",IF(OR(J280&lt;&gt;"",K280&lt;&gt;""),"POSÉ EN LIGNE",IF(COUNTIF(BARDAGE!$C$1:$C$5000,B280)&gt;0,"BARDÉ","EN STOCK")))</f>
        <v>POSÉ EN LIGNE</v>
      </c>
      <c r="N280" s="80"/>
    </row>
    <row r="281" customFormat="false" ht="15" hidden="false" customHeight="false" outlineLevel="0" collapsed="false">
      <c r="A281" s="82" t="n">
        <f aca="false">IF(B281="","",ROW()-6)</f>
        <v>275</v>
      </c>
      <c r="B281" s="145" t="n">
        <v>2097140</v>
      </c>
      <c r="C281" s="146" t="n">
        <v>15421112</v>
      </c>
      <c r="D281" s="146"/>
      <c r="E281" s="82" t="str">
        <f aca="false">IF(B281="","",IF(COUNTIFS('CARNET DE SOUDURE'!$L$7:$L$3006,B281,'CARNET DE SOUDURE'!$M$7:$M$3006,"&lt;&gt;"&amp;C281,'CARNET DE SOUDURE'!$M$7:$M$3006,"&lt;&gt;")+COUNTIFS('CARNET DE SOUDURE'!$O$7:$O$3006,B281,'CARNET DE SOUDURE'!$P$7:$P$3006,"&lt;&gt;"&amp;C281,'CARNET DE SOUDURE'!$P$7:$P$3006,"&lt;&gt;")&gt;0,"⚠ DIFFÉRENTE","OK"))</f>
        <v>OK</v>
      </c>
      <c r="F281" s="147" t="n">
        <v>11.94</v>
      </c>
      <c r="G281" s="80"/>
      <c r="H281" s="83"/>
      <c r="I281" s="148" t="str">
        <f aca="false">IF(B281="","",IFERROR(INDEX('CARNET DE SOUDURE'!$B$7:$B$3006,MATCH(B281,'CARNET DE SOUDURE'!$L$7:$L$3006,0)),IFERROR(INDEX('CARNET DE SOUDURE'!$B$7:$B$3006,MATCH(B281,'CARNET DE SOUDURE'!$O$7:$O$3006,0)),"")))</f>
        <v>MFD-ISW → MFD-CPF</v>
      </c>
      <c r="J281" s="82" t="str">
        <f aca="false">IF(B281="","",IFERROR(INDEX('CARNET DE SOUDURE'!$E$7:$E$3006,MATCH(B281,'CARNET DE SOUDURE'!$O$7:$O$3006,0)),""))</f>
        <v>JN°958</v>
      </c>
      <c r="K281" s="82" t="str">
        <f aca="false">IF(B281="","",IFERROR(INDEX('CARNET DE SOUDURE'!$E$7:$E$3006,MATCH(B281,'CARNET DE SOUDURE'!$L$7:$L$3006,0)),""))</f>
        <v>JN°959</v>
      </c>
      <c r="L281" s="82" t="n">
        <f aca="false">IF(B281="","",IFERROR(INDEX('CARNET DE SOUDURE'!$D$7:$D$3006,MATCH(B281,'CARNET DE SOUDURE'!$L$7:$L$3006,0)),IFERROR(INDEX('CARNET DE SOUDURE'!$D$7:$D$3006,MATCH(B281,'CARNET DE SOUDURE'!$O$7:$O$3006,0)),"")))</f>
        <v>8</v>
      </c>
      <c r="M281" s="82" t="str">
        <f aca="false">IF(B281="","",IF(OR(J281&lt;&gt;"",K281&lt;&gt;""),"POSÉ EN LIGNE",IF(COUNTIF(BARDAGE!$C$1:$C$5000,B281)&gt;0,"BARDÉ","EN STOCK")))</f>
        <v>POSÉ EN LIGNE</v>
      </c>
      <c r="N281" s="80"/>
    </row>
    <row r="282" customFormat="false" ht="15" hidden="false" customHeight="false" outlineLevel="0" collapsed="false">
      <c r="A282" s="82" t="n">
        <f aca="false">IF(B282="","",ROW()-6)</f>
        <v>276</v>
      </c>
      <c r="B282" s="145" t="n">
        <v>2086600</v>
      </c>
      <c r="C282" s="146" t="n">
        <v>15421105</v>
      </c>
      <c r="D282" s="146"/>
      <c r="E282" s="82" t="str">
        <f aca="false">IF(B282="","",IF(COUNTIFS('CARNET DE SOUDURE'!$L$7:$L$3006,B282,'CARNET DE SOUDURE'!$M$7:$M$3006,"&lt;&gt;"&amp;C282,'CARNET DE SOUDURE'!$M$7:$M$3006,"&lt;&gt;")+COUNTIFS('CARNET DE SOUDURE'!$O$7:$O$3006,B282,'CARNET DE SOUDURE'!$P$7:$P$3006,"&lt;&gt;"&amp;C282,'CARNET DE SOUDURE'!$P$7:$P$3006,"&lt;&gt;")&gt;0,"⚠ DIFFÉRENTE","OK"))</f>
        <v>OK</v>
      </c>
      <c r="F282" s="147" t="n">
        <v>11.94</v>
      </c>
      <c r="G282" s="80"/>
      <c r="H282" s="83"/>
      <c r="I282" s="148" t="str">
        <f aca="false">IF(B282="","",IFERROR(INDEX('CARNET DE SOUDURE'!$B$7:$B$3006,MATCH(B282,'CARNET DE SOUDURE'!$L$7:$L$3006,0)),IFERROR(INDEX('CARNET DE SOUDURE'!$B$7:$B$3006,MATCH(B282,'CARNET DE SOUDURE'!$O$7:$O$3006,0)),"")))</f>
        <v>MFD-ISW → MFD-CPF</v>
      </c>
      <c r="J282" s="82" t="str">
        <f aca="false">IF(B282="","",IFERROR(INDEX('CARNET DE SOUDURE'!$E$7:$E$3006,MATCH(B282,'CARNET DE SOUDURE'!$O$7:$O$3006,0)),""))</f>
        <v>JN°959</v>
      </c>
      <c r="K282" s="82" t="str">
        <f aca="false">IF(B282="","",IFERROR(INDEX('CARNET DE SOUDURE'!$E$7:$E$3006,MATCH(B282,'CARNET DE SOUDURE'!$L$7:$L$3006,0)),""))</f>
        <v>JN°960</v>
      </c>
      <c r="L282" s="82" t="n">
        <f aca="false">IF(B282="","",IFERROR(INDEX('CARNET DE SOUDURE'!$D$7:$D$3006,MATCH(B282,'CARNET DE SOUDURE'!$L$7:$L$3006,0)),IFERROR(INDEX('CARNET DE SOUDURE'!$D$7:$D$3006,MATCH(B282,'CARNET DE SOUDURE'!$O$7:$O$3006,0)),"")))</f>
        <v>8</v>
      </c>
      <c r="M282" s="82" t="str">
        <f aca="false">IF(B282="","",IF(OR(J282&lt;&gt;"",K282&lt;&gt;""),"POSÉ EN LIGNE",IF(COUNTIF(BARDAGE!$C$1:$C$5000,B282)&gt;0,"BARDÉ","EN STOCK")))</f>
        <v>POSÉ EN LIGNE</v>
      </c>
      <c r="N282" s="80"/>
    </row>
    <row r="283" customFormat="false" ht="15" hidden="false" customHeight="false" outlineLevel="0" collapsed="false">
      <c r="A283" s="82" t="n">
        <f aca="false">IF(B283="","",ROW()-6)</f>
        <v>277</v>
      </c>
      <c r="B283" s="145" t="n">
        <v>2083060</v>
      </c>
      <c r="C283" s="146" t="n">
        <v>15421105</v>
      </c>
      <c r="D283" s="146"/>
      <c r="E283" s="82" t="str">
        <f aca="false">IF(B283="","",IF(COUNTIFS('CARNET DE SOUDURE'!$L$7:$L$3006,B283,'CARNET DE SOUDURE'!$M$7:$M$3006,"&lt;&gt;"&amp;C283,'CARNET DE SOUDURE'!$M$7:$M$3006,"&lt;&gt;")+COUNTIFS('CARNET DE SOUDURE'!$O$7:$O$3006,B283,'CARNET DE SOUDURE'!$P$7:$P$3006,"&lt;&gt;"&amp;C283,'CARNET DE SOUDURE'!$P$7:$P$3006,"&lt;&gt;")&gt;0,"⚠ DIFFÉRENTE","OK"))</f>
        <v>OK</v>
      </c>
      <c r="F283" s="147" t="n">
        <v>11.94</v>
      </c>
      <c r="G283" s="80"/>
      <c r="H283" s="83"/>
      <c r="I283" s="148" t="str">
        <f aca="false">IF(B283="","",IFERROR(INDEX('CARNET DE SOUDURE'!$B$7:$B$3006,MATCH(B283,'CARNET DE SOUDURE'!$L$7:$L$3006,0)),IFERROR(INDEX('CARNET DE SOUDURE'!$B$7:$B$3006,MATCH(B283,'CARNET DE SOUDURE'!$O$7:$O$3006,0)),"")))</f>
        <v>MFD-ISW → MFD-CPF</v>
      </c>
      <c r="J283" s="82" t="str">
        <f aca="false">IF(B283="","",IFERROR(INDEX('CARNET DE SOUDURE'!$E$7:$E$3006,MATCH(B283,'CARNET DE SOUDURE'!$O$7:$O$3006,0)),""))</f>
        <v>JN°960</v>
      </c>
      <c r="K283" s="82" t="str">
        <f aca="false">IF(B283="","",IFERROR(INDEX('CARNET DE SOUDURE'!$E$7:$E$3006,MATCH(B283,'CARNET DE SOUDURE'!$L$7:$L$3006,0)),""))</f>
        <v>JN°961</v>
      </c>
      <c r="L283" s="82" t="n">
        <f aca="false">IF(B283="","",IFERROR(INDEX('CARNET DE SOUDURE'!$D$7:$D$3006,MATCH(B283,'CARNET DE SOUDURE'!$L$7:$L$3006,0)),IFERROR(INDEX('CARNET DE SOUDURE'!$D$7:$D$3006,MATCH(B283,'CARNET DE SOUDURE'!$O$7:$O$3006,0)),"")))</f>
        <v>8</v>
      </c>
      <c r="M283" s="82" t="str">
        <f aca="false">IF(B283="","",IF(OR(J283&lt;&gt;"",K283&lt;&gt;""),"POSÉ EN LIGNE",IF(COUNTIF(BARDAGE!$C$1:$C$5000,B283)&gt;0,"BARDÉ","EN STOCK")))</f>
        <v>POSÉ EN LIGNE</v>
      </c>
      <c r="N283" s="80"/>
    </row>
    <row r="284" customFormat="false" ht="15" hidden="false" customHeight="false" outlineLevel="0" collapsed="false">
      <c r="A284" s="82" t="n">
        <f aca="false">IF(B284="","",ROW()-6)</f>
        <v>278</v>
      </c>
      <c r="B284" s="145" t="n">
        <v>2081770</v>
      </c>
      <c r="C284" s="146" t="n">
        <v>15421103</v>
      </c>
      <c r="D284" s="146"/>
      <c r="E284" s="82" t="str">
        <f aca="false">IF(B284="","",IF(COUNTIFS('CARNET DE SOUDURE'!$L$7:$L$3006,B284,'CARNET DE SOUDURE'!$M$7:$M$3006,"&lt;&gt;"&amp;C284,'CARNET DE SOUDURE'!$M$7:$M$3006,"&lt;&gt;")+COUNTIFS('CARNET DE SOUDURE'!$O$7:$O$3006,B284,'CARNET DE SOUDURE'!$P$7:$P$3006,"&lt;&gt;"&amp;C284,'CARNET DE SOUDURE'!$P$7:$P$3006,"&lt;&gt;")&gt;0,"⚠ DIFFÉRENTE","OK"))</f>
        <v>OK</v>
      </c>
      <c r="F284" s="147" t="n">
        <v>11.94</v>
      </c>
      <c r="G284" s="80"/>
      <c r="H284" s="83"/>
      <c r="I284" s="148" t="str">
        <f aca="false">IF(B284="","",IFERROR(INDEX('CARNET DE SOUDURE'!$B$7:$B$3006,MATCH(B284,'CARNET DE SOUDURE'!$L$7:$L$3006,0)),IFERROR(INDEX('CARNET DE SOUDURE'!$B$7:$B$3006,MATCH(B284,'CARNET DE SOUDURE'!$O$7:$O$3006,0)),"")))</f>
        <v>MFD-ISW → MFD-CPF</v>
      </c>
      <c r="J284" s="82" t="str">
        <f aca="false">IF(B284="","",IFERROR(INDEX('CARNET DE SOUDURE'!$E$7:$E$3006,MATCH(B284,'CARNET DE SOUDURE'!$O$7:$O$3006,0)),""))</f>
        <v>JN°961</v>
      </c>
      <c r="K284" s="82" t="str">
        <f aca="false">IF(B284="","",IFERROR(INDEX('CARNET DE SOUDURE'!$E$7:$E$3006,MATCH(B284,'CARNET DE SOUDURE'!$L$7:$L$3006,0)),""))</f>
        <v>JN°962</v>
      </c>
      <c r="L284" s="82" t="n">
        <f aca="false">IF(B284="","",IFERROR(INDEX('CARNET DE SOUDURE'!$D$7:$D$3006,MATCH(B284,'CARNET DE SOUDURE'!$L$7:$L$3006,0)),IFERROR(INDEX('CARNET DE SOUDURE'!$D$7:$D$3006,MATCH(B284,'CARNET DE SOUDURE'!$O$7:$O$3006,0)),"")))</f>
        <v>8</v>
      </c>
      <c r="M284" s="82" t="str">
        <f aca="false">IF(B284="","",IF(OR(J284&lt;&gt;"",K284&lt;&gt;""),"POSÉ EN LIGNE",IF(COUNTIF(BARDAGE!$C$1:$C$5000,B284)&gt;0,"BARDÉ","EN STOCK")))</f>
        <v>POSÉ EN LIGNE</v>
      </c>
      <c r="N284" s="80"/>
    </row>
    <row r="285" customFormat="false" ht="15" hidden="false" customHeight="false" outlineLevel="0" collapsed="false">
      <c r="A285" s="82" t="n">
        <f aca="false">IF(B285="","",ROW()-6)</f>
        <v>279</v>
      </c>
      <c r="B285" s="145" t="n">
        <v>2086740</v>
      </c>
      <c r="C285" s="146" t="n">
        <v>15421107</v>
      </c>
      <c r="D285" s="146"/>
      <c r="E285" s="82" t="str">
        <f aca="false">IF(B285="","",IF(COUNTIFS('CARNET DE SOUDURE'!$L$7:$L$3006,B285,'CARNET DE SOUDURE'!$M$7:$M$3006,"&lt;&gt;"&amp;C285,'CARNET DE SOUDURE'!$M$7:$M$3006,"&lt;&gt;")+COUNTIFS('CARNET DE SOUDURE'!$O$7:$O$3006,B285,'CARNET DE SOUDURE'!$P$7:$P$3006,"&lt;&gt;"&amp;C285,'CARNET DE SOUDURE'!$P$7:$P$3006,"&lt;&gt;")&gt;0,"⚠ DIFFÉRENTE","OK"))</f>
        <v>OK</v>
      </c>
      <c r="F285" s="147" t="n">
        <v>11.94</v>
      </c>
      <c r="G285" s="80"/>
      <c r="H285" s="83"/>
      <c r="I285" s="148" t="str">
        <f aca="false">IF(B285="","",IFERROR(INDEX('CARNET DE SOUDURE'!$B$7:$B$3006,MATCH(B285,'CARNET DE SOUDURE'!$L$7:$L$3006,0)),IFERROR(INDEX('CARNET DE SOUDURE'!$B$7:$B$3006,MATCH(B285,'CARNET DE SOUDURE'!$O$7:$O$3006,0)),"")))</f>
        <v>MFD-ISW → MFD-CPF</v>
      </c>
      <c r="J285" s="82" t="str">
        <f aca="false">IF(B285="","",IFERROR(INDEX('CARNET DE SOUDURE'!$E$7:$E$3006,MATCH(B285,'CARNET DE SOUDURE'!$O$7:$O$3006,0)),""))</f>
        <v>JN°962</v>
      </c>
      <c r="K285" s="82" t="str">
        <f aca="false">IF(B285="","",IFERROR(INDEX('CARNET DE SOUDURE'!$E$7:$E$3006,MATCH(B285,'CARNET DE SOUDURE'!$L$7:$L$3006,0)),""))</f>
        <v>JN°963</v>
      </c>
      <c r="L285" s="82" t="n">
        <f aca="false">IF(B285="","",IFERROR(INDEX('CARNET DE SOUDURE'!$D$7:$D$3006,MATCH(B285,'CARNET DE SOUDURE'!$L$7:$L$3006,0)),IFERROR(INDEX('CARNET DE SOUDURE'!$D$7:$D$3006,MATCH(B285,'CARNET DE SOUDURE'!$O$7:$O$3006,0)),"")))</f>
        <v>8</v>
      </c>
      <c r="M285" s="82" t="str">
        <f aca="false">IF(B285="","",IF(OR(J285&lt;&gt;"",K285&lt;&gt;""),"POSÉ EN LIGNE",IF(COUNTIF(BARDAGE!$C$1:$C$5000,B285)&gt;0,"BARDÉ","EN STOCK")))</f>
        <v>POSÉ EN LIGNE</v>
      </c>
      <c r="N285" s="80"/>
    </row>
    <row r="286" customFormat="false" ht="15" hidden="false" customHeight="false" outlineLevel="0" collapsed="false">
      <c r="A286" s="82" t="n">
        <f aca="false">IF(B286="","",ROW()-6)</f>
        <v>280</v>
      </c>
      <c r="B286" s="145" t="n">
        <v>2096490</v>
      </c>
      <c r="C286" s="146" t="n">
        <v>15421111</v>
      </c>
      <c r="D286" s="146"/>
      <c r="E286" s="82" t="str">
        <f aca="false">IF(B286="","",IF(COUNTIFS('CARNET DE SOUDURE'!$L$7:$L$3006,B286,'CARNET DE SOUDURE'!$M$7:$M$3006,"&lt;&gt;"&amp;C286,'CARNET DE SOUDURE'!$M$7:$M$3006,"&lt;&gt;")+COUNTIFS('CARNET DE SOUDURE'!$O$7:$O$3006,B286,'CARNET DE SOUDURE'!$P$7:$P$3006,"&lt;&gt;"&amp;C286,'CARNET DE SOUDURE'!$P$7:$P$3006,"&lt;&gt;")&gt;0,"⚠ DIFFÉRENTE","OK"))</f>
        <v>OK</v>
      </c>
      <c r="F286" s="147" t="n">
        <v>11.94</v>
      </c>
      <c r="G286" s="80"/>
      <c r="H286" s="83"/>
      <c r="I286" s="148" t="str">
        <f aca="false">IF(B286="","",IFERROR(INDEX('CARNET DE SOUDURE'!$B$7:$B$3006,MATCH(B286,'CARNET DE SOUDURE'!$L$7:$L$3006,0)),IFERROR(INDEX('CARNET DE SOUDURE'!$B$7:$B$3006,MATCH(B286,'CARNET DE SOUDURE'!$O$7:$O$3006,0)),"")))</f>
        <v>MFD-ISW → MFD-CPF</v>
      </c>
      <c r="J286" s="82" t="str">
        <f aca="false">IF(B286="","",IFERROR(INDEX('CARNET DE SOUDURE'!$E$7:$E$3006,MATCH(B286,'CARNET DE SOUDURE'!$O$7:$O$3006,0)),""))</f>
        <v>JN°963</v>
      </c>
      <c r="K286" s="82" t="str">
        <f aca="false">IF(B286="","",IFERROR(INDEX('CARNET DE SOUDURE'!$E$7:$E$3006,MATCH(B286,'CARNET DE SOUDURE'!$L$7:$L$3006,0)),""))</f>
        <v>JN°964</v>
      </c>
      <c r="L286" s="82" t="n">
        <f aca="false">IF(B286="","",IFERROR(INDEX('CARNET DE SOUDURE'!$D$7:$D$3006,MATCH(B286,'CARNET DE SOUDURE'!$L$7:$L$3006,0)),IFERROR(INDEX('CARNET DE SOUDURE'!$D$7:$D$3006,MATCH(B286,'CARNET DE SOUDURE'!$O$7:$O$3006,0)),"")))</f>
        <v>8</v>
      </c>
      <c r="M286" s="82" t="str">
        <f aca="false">IF(B286="","",IF(OR(J286&lt;&gt;"",K286&lt;&gt;""),"POSÉ EN LIGNE",IF(COUNTIF(BARDAGE!$C$1:$C$5000,B286)&gt;0,"BARDÉ","EN STOCK")))</f>
        <v>POSÉ EN LIGNE</v>
      </c>
      <c r="N286" s="80"/>
    </row>
    <row r="287" customFormat="false" ht="15" hidden="false" customHeight="false" outlineLevel="0" collapsed="false">
      <c r="A287" s="82" t="n">
        <f aca="false">IF(B287="","",ROW()-6)</f>
        <v>281</v>
      </c>
      <c r="B287" s="145" t="n">
        <v>2094340</v>
      </c>
      <c r="C287" s="146" t="n">
        <v>15421110</v>
      </c>
      <c r="D287" s="146"/>
      <c r="E287" s="82" t="str">
        <f aca="false">IF(B287="","",IF(COUNTIFS('CARNET DE SOUDURE'!$L$7:$L$3006,B287,'CARNET DE SOUDURE'!$M$7:$M$3006,"&lt;&gt;"&amp;C287,'CARNET DE SOUDURE'!$M$7:$M$3006,"&lt;&gt;")+COUNTIFS('CARNET DE SOUDURE'!$O$7:$O$3006,B287,'CARNET DE SOUDURE'!$P$7:$P$3006,"&lt;&gt;"&amp;C287,'CARNET DE SOUDURE'!$P$7:$P$3006,"&lt;&gt;")&gt;0,"⚠ DIFFÉRENTE","OK"))</f>
        <v>OK</v>
      </c>
      <c r="F287" s="147" t="n">
        <v>11.94</v>
      </c>
      <c r="G287" s="80"/>
      <c r="H287" s="83"/>
      <c r="I287" s="148" t="str">
        <f aca="false">IF(B287="","",IFERROR(INDEX('CARNET DE SOUDURE'!$B$7:$B$3006,MATCH(B287,'CARNET DE SOUDURE'!$L$7:$L$3006,0)),IFERROR(INDEX('CARNET DE SOUDURE'!$B$7:$B$3006,MATCH(B287,'CARNET DE SOUDURE'!$O$7:$O$3006,0)),"")))</f>
        <v>MFD-ISW → MFD-CPF</v>
      </c>
      <c r="J287" s="82" t="str">
        <f aca="false">IF(B287="","",IFERROR(INDEX('CARNET DE SOUDURE'!$E$7:$E$3006,MATCH(B287,'CARNET DE SOUDURE'!$O$7:$O$3006,0)),""))</f>
        <v>JN°964</v>
      </c>
      <c r="K287" s="82" t="str">
        <f aca="false">IF(B287="","",IFERROR(INDEX('CARNET DE SOUDURE'!$E$7:$E$3006,MATCH(B287,'CARNET DE SOUDURE'!$L$7:$L$3006,0)),""))</f>
        <v>JN°965</v>
      </c>
      <c r="L287" s="82" t="n">
        <f aca="false">IF(B287="","",IFERROR(INDEX('CARNET DE SOUDURE'!$D$7:$D$3006,MATCH(B287,'CARNET DE SOUDURE'!$L$7:$L$3006,0)),IFERROR(INDEX('CARNET DE SOUDURE'!$D$7:$D$3006,MATCH(B287,'CARNET DE SOUDURE'!$O$7:$O$3006,0)),"")))</f>
        <v>8</v>
      </c>
      <c r="M287" s="82" t="str">
        <f aca="false">IF(B287="","",IF(OR(J287&lt;&gt;"",K287&lt;&gt;""),"POSÉ EN LIGNE",IF(COUNTIF(BARDAGE!$C$1:$C$5000,B287)&gt;0,"BARDÉ","EN STOCK")))</f>
        <v>POSÉ EN LIGNE</v>
      </c>
      <c r="N287" s="80"/>
    </row>
    <row r="288" customFormat="false" ht="15" hidden="false" customHeight="false" outlineLevel="0" collapsed="false">
      <c r="A288" s="82" t="n">
        <f aca="false">IF(B288="","",ROW()-6)</f>
        <v>282</v>
      </c>
      <c r="B288" s="145" t="n">
        <v>2098010</v>
      </c>
      <c r="C288" s="146" t="n">
        <v>15421111</v>
      </c>
      <c r="D288" s="146"/>
      <c r="E288" s="82" t="str">
        <f aca="false">IF(B288="","",IF(COUNTIFS('CARNET DE SOUDURE'!$L$7:$L$3006,B288,'CARNET DE SOUDURE'!$M$7:$M$3006,"&lt;&gt;"&amp;C288,'CARNET DE SOUDURE'!$M$7:$M$3006,"&lt;&gt;")+COUNTIFS('CARNET DE SOUDURE'!$O$7:$O$3006,B288,'CARNET DE SOUDURE'!$P$7:$P$3006,"&lt;&gt;"&amp;C288,'CARNET DE SOUDURE'!$P$7:$P$3006,"&lt;&gt;")&gt;0,"⚠ DIFFÉRENTE","OK"))</f>
        <v>OK</v>
      </c>
      <c r="F288" s="147" t="n">
        <v>11.94</v>
      </c>
      <c r="G288" s="80"/>
      <c r="H288" s="83"/>
      <c r="I288" s="148" t="str">
        <f aca="false">IF(B288="","",IFERROR(INDEX('CARNET DE SOUDURE'!$B$7:$B$3006,MATCH(B288,'CARNET DE SOUDURE'!$L$7:$L$3006,0)),IFERROR(INDEX('CARNET DE SOUDURE'!$B$7:$B$3006,MATCH(B288,'CARNET DE SOUDURE'!$O$7:$O$3006,0)),"")))</f>
        <v>MFD-ISW → MFD-CPF</v>
      </c>
      <c r="J288" s="82" t="str">
        <f aca="false">IF(B288="","",IFERROR(INDEX('CARNET DE SOUDURE'!$E$7:$E$3006,MATCH(B288,'CARNET DE SOUDURE'!$O$7:$O$3006,0)),""))</f>
        <v>JN°965</v>
      </c>
      <c r="K288" s="82" t="str">
        <f aca="false">IF(B288="","",IFERROR(INDEX('CARNET DE SOUDURE'!$E$7:$E$3006,MATCH(B288,'CARNET DE SOUDURE'!$L$7:$L$3006,0)),""))</f>
        <v>JN°966</v>
      </c>
      <c r="L288" s="82" t="n">
        <f aca="false">IF(B288="","",IFERROR(INDEX('CARNET DE SOUDURE'!$D$7:$D$3006,MATCH(B288,'CARNET DE SOUDURE'!$L$7:$L$3006,0)),IFERROR(INDEX('CARNET DE SOUDURE'!$D$7:$D$3006,MATCH(B288,'CARNET DE SOUDURE'!$O$7:$O$3006,0)),"")))</f>
        <v>8</v>
      </c>
      <c r="M288" s="82" t="str">
        <f aca="false">IF(B288="","",IF(OR(J288&lt;&gt;"",K288&lt;&gt;""),"POSÉ EN LIGNE",IF(COUNTIF(BARDAGE!$C$1:$C$5000,B288)&gt;0,"BARDÉ","EN STOCK")))</f>
        <v>POSÉ EN LIGNE</v>
      </c>
      <c r="N288" s="80"/>
    </row>
    <row r="289" customFormat="false" ht="15" hidden="false" customHeight="false" outlineLevel="0" collapsed="false">
      <c r="A289" s="82" t="n">
        <f aca="false">IF(B289="","",ROW()-6)</f>
        <v>283</v>
      </c>
      <c r="B289" s="145" t="n">
        <v>2092700</v>
      </c>
      <c r="C289" s="146" t="n">
        <v>15421110</v>
      </c>
      <c r="D289" s="146"/>
      <c r="E289" s="82" t="str">
        <f aca="false">IF(B289="","",IF(COUNTIFS('CARNET DE SOUDURE'!$L$7:$L$3006,B289,'CARNET DE SOUDURE'!$M$7:$M$3006,"&lt;&gt;"&amp;C289,'CARNET DE SOUDURE'!$M$7:$M$3006,"&lt;&gt;")+COUNTIFS('CARNET DE SOUDURE'!$O$7:$O$3006,B289,'CARNET DE SOUDURE'!$P$7:$P$3006,"&lt;&gt;"&amp;C289,'CARNET DE SOUDURE'!$P$7:$P$3006,"&lt;&gt;")&gt;0,"⚠ DIFFÉRENTE","OK"))</f>
        <v>OK</v>
      </c>
      <c r="F289" s="147" t="n">
        <v>11.94</v>
      </c>
      <c r="G289" s="80"/>
      <c r="H289" s="83"/>
      <c r="I289" s="148" t="str">
        <f aca="false">IF(B289="","",IFERROR(INDEX('CARNET DE SOUDURE'!$B$7:$B$3006,MATCH(B289,'CARNET DE SOUDURE'!$L$7:$L$3006,0)),IFERROR(INDEX('CARNET DE SOUDURE'!$B$7:$B$3006,MATCH(B289,'CARNET DE SOUDURE'!$O$7:$O$3006,0)),"")))</f>
        <v>MFD-ISW → MFD-CPF</v>
      </c>
      <c r="J289" s="82" t="str">
        <f aca="false">IF(B289="","",IFERROR(INDEX('CARNET DE SOUDURE'!$E$7:$E$3006,MATCH(B289,'CARNET DE SOUDURE'!$O$7:$O$3006,0)),""))</f>
        <v>JN°967</v>
      </c>
      <c r="K289" s="82" t="str">
        <f aca="false">IF(B289="","",IFERROR(INDEX('CARNET DE SOUDURE'!$E$7:$E$3006,MATCH(B289,'CARNET DE SOUDURE'!$L$7:$L$3006,0)),""))</f>
        <v>JN°968</v>
      </c>
      <c r="L289" s="82" t="n">
        <f aca="false">IF(B289="","",IFERROR(INDEX('CARNET DE SOUDURE'!$D$7:$D$3006,MATCH(B289,'CARNET DE SOUDURE'!$L$7:$L$3006,0)),IFERROR(INDEX('CARNET DE SOUDURE'!$D$7:$D$3006,MATCH(B289,'CARNET DE SOUDURE'!$O$7:$O$3006,0)),"")))</f>
        <v>8</v>
      </c>
      <c r="M289" s="82" t="str">
        <f aca="false">IF(B289="","",IF(OR(J289&lt;&gt;"",K289&lt;&gt;""),"POSÉ EN LIGNE",IF(COUNTIF(BARDAGE!$C$1:$C$5000,B289)&gt;0,"BARDÉ","EN STOCK")))</f>
        <v>POSÉ EN LIGNE</v>
      </c>
      <c r="N289" s="80"/>
    </row>
    <row r="290" customFormat="false" ht="15" hidden="false" customHeight="false" outlineLevel="0" collapsed="false">
      <c r="A290" s="82" t="n">
        <f aca="false">IF(B290="","",ROW()-6)</f>
        <v>284</v>
      </c>
      <c r="B290" s="145" t="n">
        <v>2078490</v>
      </c>
      <c r="C290" s="146" t="n">
        <v>15421101</v>
      </c>
      <c r="D290" s="146"/>
      <c r="E290" s="82" t="str">
        <f aca="false">IF(B290="","",IF(COUNTIFS('CARNET DE SOUDURE'!$L$7:$L$3006,B290,'CARNET DE SOUDURE'!$M$7:$M$3006,"&lt;&gt;"&amp;C290,'CARNET DE SOUDURE'!$M$7:$M$3006,"&lt;&gt;")+COUNTIFS('CARNET DE SOUDURE'!$O$7:$O$3006,B290,'CARNET DE SOUDURE'!$P$7:$P$3006,"&lt;&gt;"&amp;C290,'CARNET DE SOUDURE'!$P$7:$P$3006,"&lt;&gt;")&gt;0,"⚠ DIFFÉRENTE","OK"))</f>
        <v>OK</v>
      </c>
      <c r="F290" s="147" t="n">
        <v>11.94</v>
      </c>
      <c r="G290" s="80"/>
      <c r="H290" s="83"/>
      <c r="I290" s="148" t="str">
        <f aca="false">IF(B290="","",IFERROR(INDEX('CARNET DE SOUDURE'!$B$7:$B$3006,MATCH(B290,'CARNET DE SOUDURE'!$L$7:$L$3006,0)),IFERROR(INDEX('CARNET DE SOUDURE'!$B$7:$B$3006,MATCH(B290,'CARNET DE SOUDURE'!$O$7:$O$3006,0)),"")))</f>
        <v>MFD-ISW → MFD-CPF</v>
      </c>
      <c r="J290" s="82" t="str">
        <f aca="false">IF(B290="","",IFERROR(INDEX('CARNET DE SOUDURE'!$E$7:$E$3006,MATCH(B290,'CARNET DE SOUDURE'!$O$7:$O$3006,0)),""))</f>
        <v>JN°968</v>
      </c>
      <c r="K290" s="82" t="str">
        <f aca="false">IF(B290="","",IFERROR(INDEX('CARNET DE SOUDURE'!$E$7:$E$3006,MATCH(B290,'CARNET DE SOUDURE'!$L$7:$L$3006,0)),""))</f>
        <v>DJ°381</v>
      </c>
      <c r="L290" s="82" t="n">
        <f aca="false">IF(B290="","",IFERROR(INDEX('CARNET DE SOUDURE'!$D$7:$D$3006,MATCH(B290,'CARNET DE SOUDURE'!$L$7:$L$3006,0)),IFERROR(INDEX('CARNET DE SOUDURE'!$D$7:$D$3006,MATCH(B290,'CARNET DE SOUDURE'!$O$7:$O$3006,0)),"")))</f>
        <v>8</v>
      </c>
      <c r="M290" s="82" t="str">
        <f aca="false">IF(B290="","",IF(OR(J290&lt;&gt;"",K290&lt;&gt;""),"POSÉ EN LIGNE",IF(COUNTIF(BARDAGE!$C$1:$C$5000,B290)&gt;0,"BARDÉ","EN STOCK")))</f>
        <v>POSÉ EN LIGNE</v>
      </c>
      <c r="N290" s="80"/>
    </row>
    <row r="291" customFormat="false" ht="15" hidden="false" customHeight="false" outlineLevel="0" collapsed="false">
      <c r="A291" s="82" t="n">
        <f aca="false">IF(B291="","",ROW()-6)</f>
        <v>285</v>
      </c>
      <c r="B291" s="145" t="n">
        <v>2080220</v>
      </c>
      <c r="C291" s="146" t="n">
        <v>15421102</v>
      </c>
      <c r="D291" s="146"/>
      <c r="E291" s="82" t="str">
        <f aca="false">IF(B291="","",IF(COUNTIFS('CARNET DE SOUDURE'!$L$7:$L$3006,B291,'CARNET DE SOUDURE'!$M$7:$M$3006,"&lt;&gt;"&amp;C291,'CARNET DE SOUDURE'!$M$7:$M$3006,"&lt;&gt;")+COUNTIFS('CARNET DE SOUDURE'!$O$7:$O$3006,B291,'CARNET DE SOUDURE'!$P$7:$P$3006,"&lt;&gt;"&amp;C291,'CARNET DE SOUDURE'!$P$7:$P$3006,"&lt;&gt;")&gt;0,"⚠ DIFFÉRENTE","OK"))</f>
        <v>OK</v>
      </c>
      <c r="F291" s="147" t="n">
        <v>11.94</v>
      </c>
      <c r="G291" s="80"/>
      <c r="H291" s="83"/>
      <c r="I291" s="148" t="str">
        <f aca="false">IF(B291="","",IFERROR(INDEX('CARNET DE SOUDURE'!$B$7:$B$3006,MATCH(B291,'CARNET DE SOUDURE'!$L$7:$L$3006,0)),IFERROR(INDEX('CARNET DE SOUDURE'!$B$7:$B$3006,MATCH(B291,'CARNET DE SOUDURE'!$O$7:$O$3006,0)),"")))</f>
        <v>MFD-ISW → MFD-CPF</v>
      </c>
      <c r="J291" s="82" t="str">
        <f aca="false">IF(B291="","",IFERROR(INDEX('CARNET DE SOUDURE'!$E$7:$E$3006,MATCH(B291,'CARNET DE SOUDURE'!$O$7:$O$3006,0)),""))</f>
        <v>DJ°381</v>
      </c>
      <c r="K291" s="82" t="str">
        <f aca="false">IF(B291="","",IFERROR(INDEX('CARNET DE SOUDURE'!$E$7:$E$3006,MATCH(B291,'CARNET DE SOUDURE'!$L$7:$L$3006,0)),""))</f>
        <v>JN°969</v>
      </c>
      <c r="L291" s="82" t="n">
        <f aca="false">IF(B291="","",IFERROR(INDEX('CARNET DE SOUDURE'!$D$7:$D$3006,MATCH(B291,'CARNET DE SOUDURE'!$L$7:$L$3006,0)),IFERROR(INDEX('CARNET DE SOUDURE'!$D$7:$D$3006,MATCH(B291,'CARNET DE SOUDURE'!$O$7:$O$3006,0)),"")))</f>
        <v>8</v>
      </c>
      <c r="M291" s="82" t="str">
        <f aca="false">IF(B291="","",IF(OR(J291&lt;&gt;"",K291&lt;&gt;""),"POSÉ EN LIGNE",IF(COUNTIF(BARDAGE!$C$1:$C$5000,B291)&gt;0,"BARDÉ","EN STOCK")))</f>
        <v>POSÉ EN LIGNE</v>
      </c>
      <c r="N291" s="80"/>
    </row>
    <row r="292" customFormat="false" ht="15" hidden="false" customHeight="false" outlineLevel="0" collapsed="false">
      <c r="A292" s="82" t="n">
        <f aca="false">IF(B292="","",ROW()-6)</f>
        <v>286</v>
      </c>
      <c r="B292" s="145" t="n">
        <v>2083560</v>
      </c>
      <c r="C292" s="146" t="n">
        <v>15421105</v>
      </c>
      <c r="D292" s="146"/>
      <c r="E292" s="82" t="str">
        <f aca="false">IF(B292="","",IF(COUNTIFS('CARNET DE SOUDURE'!$L$7:$L$3006,B292,'CARNET DE SOUDURE'!$M$7:$M$3006,"&lt;&gt;"&amp;C292,'CARNET DE SOUDURE'!$M$7:$M$3006,"&lt;&gt;")+COUNTIFS('CARNET DE SOUDURE'!$O$7:$O$3006,B292,'CARNET DE SOUDURE'!$P$7:$P$3006,"&lt;&gt;"&amp;C292,'CARNET DE SOUDURE'!$P$7:$P$3006,"&lt;&gt;")&gt;0,"⚠ DIFFÉRENTE","OK"))</f>
        <v>OK</v>
      </c>
      <c r="F292" s="147" t="n">
        <v>11.94</v>
      </c>
      <c r="G292" s="80"/>
      <c r="H292" s="83"/>
      <c r="I292" s="148" t="str">
        <f aca="false">IF(B292="","",IFERROR(INDEX('CARNET DE SOUDURE'!$B$7:$B$3006,MATCH(B292,'CARNET DE SOUDURE'!$L$7:$L$3006,0)),IFERROR(INDEX('CARNET DE SOUDURE'!$B$7:$B$3006,MATCH(B292,'CARNET DE SOUDURE'!$O$7:$O$3006,0)),"")))</f>
        <v>MFD-ISW → MFD-CPF</v>
      </c>
      <c r="J292" s="82" t="str">
        <f aca="false">IF(B292="","",IFERROR(INDEX('CARNET DE SOUDURE'!$E$7:$E$3006,MATCH(B292,'CARNET DE SOUDURE'!$O$7:$O$3006,0)),""))</f>
        <v>JN°969</v>
      </c>
      <c r="K292" s="82" t="str">
        <f aca="false">IF(B292="","",IFERROR(INDEX('CARNET DE SOUDURE'!$E$7:$E$3006,MATCH(B292,'CARNET DE SOUDURE'!$L$7:$L$3006,0)),""))</f>
        <v>DJ°382</v>
      </c>
      <c r="L292" s="82" t="n">
        <f aca="false">IF(B292="","",IFERROR(INDEX('CARNET DE SOUDURE'!$D$7:$D$3006,MATCH(B292,'CARNET DE SOUDURE'!$L$7:$L$3006,0)),IFERROR(INDEX('CARNET DE SOUDURE'!$D$7:$D$3006,MATCH(B292,'CARNET DE SOUDURE'!$O$7:$O$3006,0)),"")))</f>
        <v>8</v>
      </c>
      <c r="M292" s="82" t="str">
        <f aca="false">IF(B292="","",IF(OR(J292&lt;&gt;"",K292&lt;&gt;""),"POSÉ EN LIGNE",IF(COUNTIF(BARDAGE!$C$1:$C$5000,B292)&gt;0,"BARDÉ","EN STOCK")))</f>
        <v>POSÉ EN LIGNE</v>
      </c>
      <c r="N292" s="80"/>
    </row>
    <row r="293" customFormat="false" ht="15" hidden="false" customHeight="false" outlineLevel="0" collapsed="false">
      <c r="A293" s="82" t="n">
        <f aca="false">IF(B293="","",ROW()-6)</f>
        <v>287</v>
      </c>
      <c r="B293" s="145" t="n">
        <v>2087150</v>
      </c>
      <c r="C293" s="146" t="n">
        <v>15421107</v>
      </c>
      <c r="D293" s="146"/>
      <c r="E293" s="82" t="str">
        <f aca="false">IF(B293="","",IF(COUNTIFS('CARNET DE SOUDURE'!$L$7:$L$3006,B293,'CARNET DE SOUDURE'!$M$7:$M$3006,"&lt;&gt;"&amp;C293,'CARNET DE SOUDURE'!$M$7:$M$3006,"&lt;&gt;")+COUNTIFS('CARNET DE SOUDURE'!$O$7:$O$3006,B293,'CARNET DE SOUDURE'!$P$7:$P$3006,"&lt;&gt;"&amp;C293,'CARNET DE SOUDURE'!$P$7:$P$3006,"&lt;&gt;")&gt;0,"⚠ DIFFÉRENTE","OK"))</f>
        <v>OK</v>
      </c>
      <c r="F293" s="147" t="n">
        <v>11.94</v>
      </c>
      <c r="G293" s="80"/>
      <c r="H293" s="83"/>
      <c r="I293" s="148" t="str">
        <f aca="false">IF(B293="","",IFERROR(INDEX('CARNET DE SOUDURE'!$B$7:$B$3006,MATCH(B293,'CARNET DE SOUDURE'!$L$7:$L$3006,0)),IFERROR(INDEX('CARNET DE SOUDURE'!$B$7:$B$3006,MATCH(B293,'CARNET DE SOUDURE'!$O$7:$O$3006,0)),"")))</f>
        <v>MFD-ISW → MFD-CPF</v>
      </c>
      <c r="J293" s="82" t="str">
        <f aca="false">IF(B293="","",IFERROR(INDEX('CARNET DE SOUDURE'!$E$7:$E$3006,MATCH(B293,'CARNET DE SOUDURE'!$O$7:$O$3006,0)),""))</f>
        <v>DJ°382</v>
      </c>
      <c r="K293" s="82" t="str">
        <f aca="false">IF(B293="","",IFERROR(INDEX('CARNET DE SOUDURE'!$E$7:$E$3006,MATCH(B293,'CARNET DE SOUDURE'!$L$7:$L$3006,0)),""))</f>
        <v>JN°970</v>
      </c>
      <c r="L293" s="82" t="n">
        <f aca="false">IF(B293="","",IFERROR(INDEX('CARNET DE SOUDURE'!$D$7:$D$3006,MATCH(B293,'CARNET DE SOUDURE'!$L$7:$L$3006,0)),IFERROR(INDEX('CARNET DE SOUDURE'!$D$7:$D$3006,MATCH(B293,'CARNET DE SOUDURE'!$O$7:$O$3006,0)),"")))</f>
        <v>8</v>
      </c>
      <c r="M293" s="82" t="str">
        <f aca="false">IF(B293="","",IF(OR(J293&lt;&gt;"",K293&lt;&gt;""),"POSÉ EN LIGNE",IF(COUNTIF(BARDAGE!$C$1:$C$5000,B293)&gt;0,"BARDÉ","EN STOCK")))</f>
        <v>POSÉ EN LIGNE</v>
      </c>
      <c r="N293" s="80"/>
    </row>
    <row r="294" customFormat="false" ht="15" hidden="false" customHeight="false" outlineLevel="0" collapsed="false">
      <c r="A294" s="82" t="n">
        <f aca="false">IF(B294="","",ROW()-6)</f>
        <v>288</v>
      </c>
      <c r="B294" s="145" t="n">
        <v>2081740</v>
      </c>
      <c r="C294" s="146" t="n">
        <v>15421103</v>
      </c>
      <c r="D294" s="146"/>
      <c r="E294" s="82" t="str">
        <f aca="false">IF(B294="","",IF(COUNTIFS('CARNET DE SOUDURE'!$L$7:$L$3006,B294,'CARNET DE SOUDURE'!$M$7:$M$3006,"&lt;&gt;"&amp;C294,'CARNET DE SOUDURE'!$M$7:$M$3006,"&lt;&gt;")+COUNTIFS('CARNET DE SOUDURE'!$O$7:$O$3006,B294,'CARNET DE SOUDURE'!$P$7:$P$3006,"&lt;&gt;"&amp;C294,'CARNET DE SOUDURE'!$P$7:$P$3006,"&lt;&gt;")&gt;0,"⚠ DIFFÉRENTE","OK"))</f>
        <v>OK</v>
      </c>
      <c r="F294" s="147" t="n">
        <v>11.94</v>
      </c>
      <c r="G294" s="80"/>
      <c r="H294" s="83"/>
      <c r="I294" s="148" t="str">
        <f aca="false">IF(B294="","",IFERROR(INDEX('CARNET DE SOUDURE'!$B$7:$B$3006,MATCH(B294,'CARNET DE SOUDURE'!$L$7:$L$3006,0)),IFERROR(INDEX('CARNET DE SOUDURE'!$B$7:$B$3006,MATCH(B294,'CARNET DE SOUDURE'!$O$7:$O$3006,0)),"")))</f>
        <v>MFD-ISW → MFD-CPF</v>
      </c>
      <c r="J294" s="82" t="str">
        <f aca="false">IF(B294="","",IFERROR(INDEX('CARNET DE SOUDURE'!$E$7:$E$3006,MATCH(B294,'CARNET DE SOUDURE'!$O$7:$O$3006,0)),""))</f>
        <v>JN°970</v>
      </c>
      <c r="K294" s="82" t="str">
        <f aca="false">IF(B294="","",IFERROR(INDEX('CARNET DE SOUDURE'!$E$7:$E$3006,MATCH(B294,'CARNET DE SOUDURE'!$L$7:$L$3006,0)),""))</f>
        <v>DJ°391</v>
      </c>
      <c r="L294" s="82" t="n">
        <f aca="false">IF(B294="","",IFERROR(INDEX('CARNET DE SOUDURE'!$D$7:$D$3006,MATCH(B294,'CARNET DE SOUDURE'!$L$7:$L$3006,0)),IFERROR(INDEX('CARNET DE SOUDURE'!$D$7:$D$3006,MATCH(B294,'CARNET DE SOUDURE'!$O$7:$O$3006,0)),"")))</f>
        <v>8</v>
      </c>
      <c r="M294" s="82" t="str">
        <f aca="false">IF(B294="","",IF(OR(J294&lt;&gt;"",K294&lt;&gt;""),"POSÉ EN LIGNE",IF(COUNTIF(BARDAGE!$C$1:$C$5000,B294)&gt;0,"BARDÉ","EN STOCK")))</f>
        <v>POSÉ EN LIGNE</v>
      </c>
      <c r="N294" s="80"/>
    </row>
    <row r="295" customFormat="false" ht="15" hidden="false" customHeight="false" outlineLevel="0" collapsed="false">
      <c r="A295" s="82" t="n">
        <f aca="false">IF(B295="","",ROW()-6)</f>
        <v>289</v>
      </c>
      <c r="B295" s="145" t="n">
        <v>2094760</v>
      </c>
      <c r="C295" s="146" t="n">
        <v>15421111</v>
      </c>
      <c r="D295" s="146"/>
      <c r="E295" s="82" t="str">
        <f aca="false">IF(B295="","",IF(COUNTIFS('CARNET DE SOUDURE'!$L$7:$L$3006,B295,'CARNET DE SOUDURE'!$M$7:$M$3006,"&lt;&gt;"&amp;C295,'CARNET DE SOUDURE'!$M$7:$M$3006,"&lt;&gt;")+COUNTIFS('CARNET DE SOUDURE'!$O$7:$O$3006,B295,'CARNET DE SOUDURE'!$P$7:$P$3006,"&lt;&gt;"&amp;C295,'CARNET DE SOUDURE'!$P$7:$P$3006,"&lt;&gt;")&gt;0,"⚠ DIFFÉRENTE","OK"))</f>
        <v>OK</v>
      </c>
      <c r="F295" s="147" t="n">
        <v>11.94</v>
      </c>
      <c r="G295" s="80"/>
      <c r="H295" s="83"/>
      <c r="I295" s="148" t="str">
        <f aca="false">IF(B295="","",IFERROR(INDEX('CARNET DE SOUDURE'!$B$7:$B$3006,MATCH(B295,'CARNET DE SOUDURE'!$L$7:$L$3006,0)),IFERROR(INDEX('CARNET DE SOUDURE'!$B$7:$B$3006,MATCH(B295,'CARNET DE SOUDURE'!$O$7:$O$3006,0)),"")))</f>
        <v>MFD-ISW → MFD-CPF</v>
      </c>
      <c r="J295" s="82" t="str">
        <f aca="false">IF(B295="","",IFERROR(INDEX('CARNET DE SOUDURE'!$E$7:$E$3006,MATCH(B295,'CARNET DE SOUDURE'!$O$7:$O$3006,0)),""))</f>
        <v>DJ°391</v>
      </c>
      <c r="K295" s="82" t="str">
        <f aca="false">IF(B295="","",IFERROR(INDEX('CARNET DE SOUDURE'!$E$7:$E$3006,MATCH(B295,'CARNET DE SOUDURE'!$L$7:$L$3006,0)),""))</f>
        <v>JN°971</v>
      </c>
      <c r="L295" s="82" t="n">
        <f aca="false">IF(B295="","",IFERROR(INDEX('CARNET DE SOUDURE'!$D$7:$D$3006,MATCH(B295,'CARNET DE SOUDURE'!$L$7:$L$3006,0)),IFERROR(INDEX('CARNET DE SOUDURE'!$D$7:$D$3006,MATCH(B295,'CARNET DE SOUDURE'!$O$7:$O$3006,0)),"")))</f>
        <v>8</v>
      </c>
      <c r="M295" s="82" t="str">
        <f aca="false">IF(B295="","",IF(OR(J295&lt;&gt;"",K295&lt;&gt;""),"POSÉ EN LIGNE",IF(COUNTIF(BARDAGE!$C$1:$C$5000,B295)&gt;0,"BARDÉ","EN STOCK")))</f>
        <v>POSÉ EN LIGNE</v>
      </c>
      <c r="N295" s="80"/>
    </row>
    <row r="296" customFormat="false" ht="15" hidden="false" customHeight="false" outlineLevel="0" collapsed="false">
      <c r="A296" s="82" t="n">
        <f aca="false">IF(B296="","",ROW()-6)</f>
        <v>290</v>
      </c>
      <c r="B296" s="145" t="n">
        <v>2087760</v>
      </c>
      <c r="C296" s="146" t="n">
        <v>15421108</v>
      </c>
      <c r="D296" s="146"/>
      <c r="E296" s="82" t="str">
        <f aca="false">IF(B296="","",IF(COUNTIFS('CARNET DE SOUDURE'!$L$7:$L$3006,B296,'CARNET DE SOUDURE'!$M$7:$M$3006,"&lt;&gt;"&amp;C296,'CARNET DE SOUDURE'!$M$7:$M$3006,"&lt;&gt;")+COUNTIFS('CARNET DE SOUDURE'!$O$7:$O$3006,B296,'CARNET DE SOUDURE'!$P$7:$P$3006,"&lt;&gt;"&amp;C296,'CARNET DE SOUDURE'!$P$7:$P$3006,"&lt;&gt;")&gt;0,"⚠ DIFFÉRENTE","OK"))</f>
        <v>OK</v>
      </c>
      <c r="F296" s="147" t="n">
        <v>11.94</v>
      </c>
      <c r="G296" s="80"/>
      <c r="H296" s="83"/>
      <c r="I296" s="148" t="str">
        <f aca="false">IF(B296="","",IFERROR(INDEX('CARNET DE SOUDURE'!$B$7:$B$3006,MATCH(B296,'CARNET DE SOUDURE'!$L$7:$L$3006,0)),IFERROR(INDEX('CARNET DE SOUDURE'!$B$7:$B$3006,MATCH(B296,'CARNET DE SOUDURE'!$O$7:$O$3006,0)),"")))</f>
        <v>MFD-ISW → MFD-CPF</v>
      </c>
      <c r="J296" s="82" t="str">
        <f aca="false">IF(B296="","",IFERROR(INDEX('CARNET DE SOUDURE'!$E$7:$E$3006,MATCH(B296,'CARNET DE SOUDURE'!$O$7:$O$3006,0)),""))</f>
        <v>JN°971</v>
      </c>
      <c r="K296" s="82" t="str">
        <f aca="false">IF(B296="","",IFERROR(INDEX('CARNET DE SOUDURE'!$E$7:$E$3006,MATCH(B296,'CARNET DE SOUDURE'!$L$7:$L$3006,0)),""))</f>
        <v>DJ°390</v>
      </c>
      <c r="L296" s="82" t="n">
        <f aca="false">IF(B296="","",IFERROR(INDEX('CARNET DE SOUDURE'!$D$7:$D$3006,MATCH(B296,'CARNET DE SOUDURE'!$L$7:$L$3006,0)),IFERROR(INDEX('CARNET DE SOUDURE'!$D$7:$D$3006,MATCH(B296,'CARNET DE SOUDURE'!$O$7:$O$3006,0)),"")))</f>
        <v>8</v>
      </c>
      <c r="M296" s="82" t="str">
        <f aca="false">IF(B296="","",IF(OR(J296&lt;&gt;"",K296&lt;&gt;""),"POSÉ EN LIGNE",IF(COUNTIF(BARDAGE!$C$1:$C$5000,B296)&gt;0,"BARDÉ","EN STOCK")))</f>
        <v>POSÉ EN LIGNE</v>
      </c>
      <c r="N296" s="80"/>
    </row>
    <row r="297" customFormat="false" ht="15" hidden="false" customHeight="false" outlineLevel="0" collapsed="false">
      <c r="A297" s="82" t="n">
        <f aca="false">IF(B297="","",ROW()-6)</f>
        <v>291</v>
      </c>
      <c r="B297" s="145" t="n">
        <v>2096840</v>
      </c>
      <c r="C297" s="146" t="n">
        <v>15421112</v>
      </c>
      <c r="D297" s="146"/>
      <c r="E297" s="82" t="str">
        <f aca="false">IF(B297="","",IF(COUNTIFS('CARNET DE SOUDURE'!$L$7:$L$3006,B297,'CARNET DE SOUDURE'!$M$7:$M$3006,"&lt;&gt;"&amp;C297,'CARNET DE SOUDURE'!$M$7:$M$3006,"&lt;&gt;")+COUNTIFS('CARNET DE SOUDURE'!$O$7:$O$3006,B297,'CARNET DE SOUDURE'!$P$7:$P$3006,"&lt;&gt;"&amp;C297,'CARNET DE SOUDURE'!$P$7:$P$3006,"&lt;&gt;")&gt;0,"⚠ DIFFÉRENTE","OK"))</f>
        <v>OK</v>
      </c>
      <c r="F297" s="147" t="n">
        <v>11.94</v>
      </c>
      <c r="G297" s="80"/>
      <c r="H297" s="83"/>
      <c r="I297" s="148" t="str">
        <f aca="false">IF(B297="","",IFERROR(INDEX('CARNET DE SOUDURE'!$B$7:$B$3006,MATCH(B297,'CARNET DE SOUDURE'!$L$7:$L$3006,0)),IFERROR(INDEX('CARNET DE SOUDURE'!$B$7:$B$3006,MATCH(B297,'CARNET DE SOUDURE'!$O$7:$O$3006,0)),"")))</f>
        <v>MFD-ISW → MFD-CPF</v>
      </c>
      <c r="J297" s="82" t="str">
        <f aca="false">IF(B297="","",IFERROR(INDEX('CARNET DE SOUDURE'!$E$7:$E$3006,MATCH(B297,'CARNET DE SOUDURE'!$O$7:$O$3006,0)),""))</f>
        <v>DJ°390</v>
      </c>
      <c r="K297" s="82" t="str">
        <f aca="false">IF(B297="","",IFERROR(INDEX('CARNET DE SOUDURE'!$E$7:$E$3006,MATCH(B297,'CARNET DE SOUDURE'!$L$7:$L$3006,0)),""))</f>
        <v>JN°972</v>
      </c>
      <c r="L297" s="82" t="n">
        <f aca="false">IF(B297="","",IFERROR(INDEX('CARNET DE SOUDURE'!$D$7:$D$3006,MATCH(B297,'CARNET DE SOUDURE'!$L$7:$L$3006,0)),IFERROR(INDEX('CARNET DE SOUDURE'!$D$7:$D$3006,MATCH(B297,'CARNET DE SOUDURE'!$O$7:$O$3006,0)),"")))</f>
        <v>8</v>
      </c>
      <c r="M297" s="82" t="str">
        <f aca="false">IF(B297="","",IF(OR(J297&lt;&gt;"",K297&lt;&gt;""),"POSÉ EN LIGNE",IF(COUNTIF(BARDAGE!$C$1:$C$5000,B297)&gt;0,"BARDÉ","EN STOCK")))</f>
        <v>POSÉ EN LIGNE</v>
      </c>
      <c r="N297" s="80"/>
    </row>
    <row r="298" customFormat="false" ht="15" hidden="false" customHeight="false" outlineLevel="0" collapsed="false">
      <c r="A298" s="82" t="n">
        <f aca="false">IF(B298="","",ROW()-6)</f>
        <v>292</v>
      </c>
      <c r="B298" s="145" t="n">
        <v>2095840</v>
      </c>
      <c r="C298" s="146" t="n">
        <v>15421112</v>
      </c>
      <c r="D298" s="146"/>
      <c r="E298" s="82" t="str">
        <f aca="false">IF(B298="","",IF(COUNTIFS('CARNET DE SOUDURE'!$L$7:$L$3006,B298,'CARNET DE SOUDURE'!$M$7:$M$3006,"&lt;&gt;"&amp;C298,'CARNET DE SOUDURE'!$M$7:$M$3006,"&lt;&gt;")+COUNTIFS('CARNET DE SOUDURE'!$O$7:$O$3006,B298,'CARNET DE SOUDURE'!$P$7:$P$3006,"&lt;&gt;"&amp;C298,'CARNET DE SOUDURE'!$P$7:$P$3006,"&lt;&gt;")&gt;0,"⚠ DIFFÉRENTE","OK"))</f>
        <v>OK</v>
      </c>
      <c r="F298" s="147" t="n">
        <v>11.94</v>
      </c>
      <c r="G298" s="80"/>
      <c r="H298" s="83"/>
      <c r="I298" s="148" t="str">
        <f aca="false">IF(B298="","",IFERROR(INDEX('CARNET DE SOUDURE'!$B$7:$B$3006,MATCH(B298,'CARNET DE SOUDURE'!$L$7:$L$3006,0)),IFERROR(INDEX('CARNET DE SOUDURE'!$B$7:$B$3006,MATCH(B298,'CARNET DE SOUDURE'!$O$7:$O$3006,0)),"")))</f>
        <v>MFD-ISW → MFD-CPF</v>
      </c>
      <c r="J298" s="82" t="str">
        <f aca="false">IF(B298="","",IFERROR(INDEX('CARNET DE SOUDURE'!$E$7:$E$3006,MATCH(B298,'CARNET DE SOUDURE'!$O$7:$O$3006,0)),""))</f>
        <v>JN°972</v>
      </c>
      <c r="K298" s="82" t="str">
        <f aca="false">IF(B298="","",IFERROR(INDEX('CARNET DE SOUDURE'!$E$7:$E$3006,MATCH(B298,'CARNET DE SOUDURE'!$L$7:$L$3006,0)),""))</f>
        <v>DJ°389</v>
      </c>
      <c r="L298" s="82" t="n">
        <f aca="false">IF(B298="","",IFERROR(INDEX('CARNET DE SOUDURE'!$D$7:$D$3006,MATCH(B298,'CARNET DE SOUDURE'!$L$7:$L$3006,0)),IFERROR(INDEX('CARNET DE SOUDURE'!$D$7:$D$3006,MATCH(B298,'CARNET DE SOUDURE'!$O$7:$O$3006,0)),"")))</f>
        <v>8</v>
      </c>
      <c r="M298" s="82" t="str">
        <f aca="false">IF(B298="","",IF(OR(J298&lt;&gt;"",K298&lt;&gt;""),"POSÉ EN LIGNE",IF(COUNTIF(BARDAGE!$C$1:$C$5000,B298)&gt;0,"BARDÉ","EN STOCK")))</f>
        <v>POSÉ EN LIGNE</v>
      </c>
      <c r="N298" s="80"/>
    </row>
    <row r="299" customFormat="false" ht="15" hidden="false" customHeight="false" outlineLevel="0" collapsed="false">
      <c r="A299" s="82" t="n">
        <f aca="false">IF(B299="","",ROW()-6)</f>
        <v>293</v>
      </c>
      <c r="B299" s="145" t="n">
        <v>2083510</v>
      </c>
      <c r="C299" s="146" t="n">
        <v>15421105</v>
      </c>
      <c r="D299" s="146"/>
      <c r="E299" s="82" t="str">
        <f aca="false">IF(B299="","",IF(COUNTIFS('CARNET DE SOUDURE'!$L$7:$L$3006,B299,'CARNET DE SOUDURE'!$M$7:$M$3006,"&lt;&gt;"&amp;C299,'CARNET DE SOUDURE'!$M$7:$M$3006,"&lt;&gt;")+COUNTIFS('CARNET DE SOUDURE'!$O$7:$O$3006,B299,'CARNET DE SOUDURE'!$P$7:$P$3006,"&lt;&gt;"&amp;C299,'CARNET DE SOUDURE'!$P$7:$P$3006,"&lt;&gt;")&gt;0,"⚠ DIFFÉRENTE","OK"))</f>
        <v>OK</v>
      </c>
      <c r="F299" s="147" t="n">
        <v>11.94</v>
      </c>
      <c r="G299" s="80"/>
      <c r="H299" s="83"/>
      <c r="I299" s="148" t="str">
        <f aca="false">IF(B299="","",IFERROR(INDEX('CARNET DE SOUDURE'!$B$7:$B$3006,MATCH(B299,'CARNET DE SOUDURE'!$L$7:$L$3006,0)),IFERROR(INDEX('CARNET DE SOUDURE'!$B$7:$B$3006,MATCH(B299,'CARNET DE SOUDURE'!$O$7:$O$3006,0)),"")))</f>
        <v>MFD-ISW → MFD-CPF</v>
      </c>
      <c r="J299" s="82" t="str">
        <f aca="false">IF(B299="","",IFERROR(INDEX('CARNET DE SOUDURE'!$E$7:$E$3006,MATCH(B299,'CARNET DE SOUDURE'!$O$7:$O$3006,0)),""))</f>
        <v>DJ°389</v>
      </c>
      <c r="K299" s="82" t="str">
        <f aca="false">IF(B299="","",IFERROR(INDEX('CARNET DE SOUDURE'!$E$7:$E$3006,MATCH(B299,'CARNET DE SOUDURE'!$L$7:$L$3006,0)),""))</f>
        <v>JN°973</v>
      </c>
      <c r="L299" s="82" t="n">
        <f aca="false">IF(B299="","",IFERROR(INDEX('CARNET DE SOUDURE'!$D$7:$D$3006,MATCH(B299,'CARNET DE SOUDURE'!$L$7:$L$3006,0)),IFERROR(INDEX('CARNET DE SOUDURE'!$D$7:$D$3006,MATCH(B299,'CARNET DE SOUDURE'!$O$7:$O$3006,0)),"")))</f>
        <v>8</v>
      </c>
      <c r="M299" s="82" t="str">
        <f aca="false">IF(B299="","",IF(OR(J299&lt;&gt;"",K299&lt;&gt;""),"POSÉ EN LIGNE",IF(COUNTIF(BARDAGE!$C$1:$C$5000,B299)&gt;0,"BARDÉ","EN STOCK")))</f>
        <v>POSÉ EN LIGNE</v>
      </c>
      <c r="N299" s="80"/>
    </row>
    <row r="300" customFormat="false" ht="15" hidden="false" customHeight="false" outlineLevel="0" collapsed="false">
      <c r="A300" s="82" t="n">
        <f aca="false">IF(B300="","",ROW()-6)</f>
        <v>294</v>
      </c>
      <c r="B300" s="145" t="n">
        <v>2087540</v>
      </c>
      <c r="C300" s="146" t="n">
        <v>15421107</v>
      </c>
      <c r="D300" s="146"/>
      <c r="E300" s="82" t="str">
        <f aca="false">IF(B300="","",IF(COUNTIFS('CARNET DE SOUDURE'!$L$7:$L$3006,B300,'CARNET DE SOUDURE'!$M$7:$M$3006,"&lt;&gt;"&amp;C300,'CARNET DE SOUDURE'!$M$7:$M$3006,"&lt;&gt;")+COUNTIFS('CARNET DE SOUDURE'!$O$7:$O$3006,B300,'CARNET DE SOUDURE'!$P$7:$P$3006,"&lt;&gt;"&amp;C300,'CARNET DE SOUDURE'!$P$7:$P$3006,"&lt;&gt;")&gt;0,"⚠ DIFFÉRENTE","OK"))</f>
        <v>OK</v>
      </c>
      <c r="F300" s="147" t="n">
        <v>11.94</v>
      </c>
      <c r="G300" s="80"/>
      <c r="H300" s="83"/>
      <c r="I300" s="148" t="str">
        <f aca="false">IF(B300="","",IFERROR(INDEX('CARNET DE SOUDURE'!$B$7:$B$3006,MATCH(B300,'CARNET DE SOUDURE'!$L$7:$L$3006,0)),IFERROR(INDEX('CARNET DE SOUDURE'!$B$7:$B$3006,MATCH(B300,'CARNET DE SOUDURE'!$O$7:$O$3006,0)),"")))</f>
        <v>MFD-ISW → MFD-CPF</v>
      </c>
      <c r="J300" s="82" t="str">
        <f aca="false">IF(B300="","",IFERROR(INDEX('CARNET DE SOUDURE'!$E$7:$E$3006,MATCH(B300,'CARNET DE SOUDURE'!$O$7:$O$3006,0)),""))</f>
        <v>JN°973</v>
      </c>
      <c r="K300" s="82" t="str">
        <f aca="false">IF(B300="","",IFERROR(INDEX('CARNET DE SOUDURE'!$E$7:$E$3006,MATCH(B300,'CARNET DE SOUDURE'!$L$7:$L$3006,0)),""))</f>
        <v>DJ°383</v>
      </c>
      <c r="L300" s="82" t="n">
        <f aca="false">IF(B300="","",IFERROR(INDEX('CARNET DE SOUDURE'!$D$7:$D$3006,MATCH(B300,'CARNET DE SOUDURE'!$L$7:$L$3006,0)),IFERROR(INDEX('CARNET DE SOUDURE'!$D$7:$D$3006,MATCH(B300,'CARNET DE SOUDURE'!$O$7:$O$3006,0)),"")))</f>
        <v>8</v>
      </c>
      <c r="M300" s="82" t="str">
        <f aca="false">IF(B300="","",IF(OR(J300&lt;&gt;"",K300&lt;&gt;""),"POSÉ EN LIGNE",IF(COUNTIF(BARDAGE!$C$1:$C$5000,B300)&gt;0,"BARDÉ","EN STOCK")))</f>
        <v>POSÉ EN LIGNE</v>
      </c>
      <c r="N300" s="80"/>
    </row>
    <row r="301" customFormat="false" ht="15" hidden="false" customHeight="false" outlineLevel="0" collapsed="false">
      <c r="A301" s="82" t="n">
        <f aca="false">IF(B301="","",ROW()-6)</f>
        <v>295</v>
      </c>
      <c r="B301" s="145" t="n">
        <v>2084360</v>
      </c>
      <c r="C301" s="146" t="n">
        <v>15421106</v>
      </c>
      <c r="D301" s="146"/>
      <c r="E301" s="82" t="str">
        <f aca="false">IF(B301="","",IF(COUNTIFS('CARNET DE SOUDURE'!$L$7:$L$3006,B301,'CARNET DE SOUDURE'!$M$7:$M$3006,"&lt;&gt;"&amp;C301,'CARNET DE SOUDURE'!$M$7:$M$3006,"&lt;&gt;")+COUNTIFS('CARNET DE SOUDURE'!$O$7:$O$3006,B301,'CARNET DE SOUDURE'!$P$7:$P$3006,"&lt;&gt;"&amp;C301,'CARNET DE SOUDURE'!$P$7:$P$3006,"&lt;&gt;")&gt;0,"⚠ DIFFÉRENTE","OK"))</f>
        <v>OK</v>
      </c>
      <c r="F301" s="147" t="n">
        <v>11.94</v>
      </c>
      <c r="G301" s="80"/>
      <c r="H301" s="83"/>
      <c r="I301" s="148" t="str">
        <f aca="false">IF(B301="","",IFERROR(INDEX('CARNET DE SOUDURE'!$B$7:$B$3006,MATCH(B301,'CARNET DE SOUDURE'!$L$7:$L$3006,0)),IFERROR(INDEX('CARNET DE SOUDURE'!$B$7:$B$3006,MATCH(B301,'CARNET DE SOUDURE'!$O$7:$O$3006,0)),"")))</f>
        <v>MFD-ISW → MFD-CPF</v>
      </c>
      <c r="J301" s="82" t="str">
        <f aca="false">IF(B301="","",IFERROR(INDEX('CARNET DE SOUDURE'!$E$7:$E$3006,MATCH(B301,'CARNET DE SOUDURE'!$O$7:$O$3006,0)),""))</f>
        <v>DJ°383</v>
      </c>
      <c r="K301" s="82" t="str">
        <f aca="false">IF(B301="","",IFERROR(INDEX('CARNET DE SOUDURE'!$E$7:$E$3006,MATCH(B301,'CARNET DE SOUDURE'!$L$7:$L$3006,0)),""))</f>
        <v>JN°974</v>
      </c>
      <c r="L301" s="82" t="n">
        <f aca="false">IF(B301="","",IFERROR(INDEX('CARNET DE SOUDURE'!$D$7:$D$3006,MATCH(B301,'CARNET DE SOUDURE'!$L$7:$L$3006,0)),IFERROR(INDEX('CARNET DE SOUDURE'!$D$7:$D$3006,MATCH(B301,'CARNET DE SOUDURE'!$O$7:$O$3006,0)),"")))</f>
        <v>8</v>
      </c>
      <c r="M301" s="82" t="str">
        <f aca="false">IF(B301="","",IF(OR(J301&lt;&gt;"",K301&lt;&gt;""),"POSÉ EN LIGNE",IF(COUNTIF(BARDAGE!$C$1:$C$5000,B301)&gt;0,"BARDÉ","EN STOCK")))</f>
        <v>POSÉ EN LIGNE</v>
      </c>
      <c r="N301" s="80"/>
    </row>
    <row r="302" customFormat="false" ht="15" hidden="false" customHeight="false" outlineLevel="0" collapsed="false">
      <c r="A302" s="82" t="n">
        <f aca="false">IF(B302="","",ROW()-6)</f>
        <v>296</v>
      </c>
      <c r="B302" s="145" t="n">
        <v>2088040</v>
      </c>
      <c r="C302" s="146" t="n">
        <v>15421112</v>
      </c>
      <c r="D302" s="146"/>
      <c r="E302" s="82" t="str">
        <f aca="false">IF(B302="","",IF(COUNTIFS('CARNET DE SOUDURE'!$L$7:$L$3006,B302,'CARNET DE SOUDURE'!$M$7:$M$3006,"&lt;&gt;"&amp;C302,'CARNET DE SOUDURE'!$M$7:$M$3006,"&lt;&gt;")+COUNTIFS('CARNET DE SOUDURE'!$O$7:$O$3006,B302,'CARNET DE SOUDURE'!$P$7:$P$3006,"&lt;&gt;"&amp;C302,'CARNET DE SOUDURE'!$P$7:$P$3006,"&lt;&gt;")&gt;0,"⚠ DIFFÉRENTE","OK"))</f>
        <v>OK</v>
      </c>
      <c r="F302" s="147" t="n">
        <v>11.94</v>
      </c>
      <c r="G302" s="80"/>
      <c r="H302" s="83"/>
      <c r="I302" s="148" t="str">
        <f aca="false">IF(B302="","",IFERROR(INDEX('CARNET DE SOUDURE'!$B$7:$B$3006,MATCH(B302,'CARNET DE SOUDURE'!$L$7:$L$3006,0)),IFERROR(INDEX('CARNET DE SOUDURE'!$B$7:$B$3006,MATCH(B302,'CARNET DE SOUDURE'!$O$7:$O$3006,0)),"")))</f>
        <v>MFD-ISW → MFD-CPF</v>
      </c>
      <c r="J302" s="82" t="str">
        <f aca="false">IF(B302="","",IFERROR(INDEX('CARNET DE SOUDURE'!$E$7:$E$3006,MATCH(B302,'CARNET DE SOUDURE'!$O$7:$O$3006,0)),""))</f>
        <v>JN°974</v>
      </c>
      <c r="K302" s="82" t="str">
        <f aca="false">IF(B302="","",IFERROR(INDEX('CARNET DE SOUDURE'!$E$7:$E$3006,MATCH(B302,'CARNET DE SOUDURE'!$L$7:$L$3006,0)),""))</f>
        <v>DJ°384</v>
      </c>
      <c r="L302" s="82" t="n">
        <f aca="false">IF(B302="","",IFERROR(INDEX('CARNET DE SOUDURE'!$D$7:$D$3006,MATCH(B302,'CARNET DE SOUDURE'!$L$7:$L$3006,0)),IFERROR(INDEX('CARNET DE SOUDURE'!$D$7:$D$3006,MATCH(B302,'CARNET DE SOUDURE'!$O$7:$O$3006,0)),"")))</f>
        <v>8</v>
      </c>
      <c r="M302" s="82" t="str">
        <f aca="false">IF(B302="","",IF(OR(J302&lt;&gt;"",K302&lt;&gt;""),"POSÉ EN LIGNE",IF(COUNTIF(BARDAGE!$C$1:$C$5000,B302)&gt;0,"BARDÉ","EN STOCK")))</f>
        <v>POSÉ EN LIGNE</v>
      </c>
      <c r="N302" s="80"/>
    </row>
    <row r="303" customFormat="false" ht="15" hidden="false" customHeight="false" outlineLevel="0" collapsed="false">
      <c r="A303" s="82" t="n">
        <f aca="false">IF(B303="","",ROW()-6)</f>
        <v>297</v>
      </c>
      <c r="B303" s="145" t="n">
        <v>2078680</v>
      </c>
      <c r="C303" s="146" t="n">
        <v>15421101</v>
      </c>
      <c r="D303" s="146"/>
      <c r="E303" s="82" t="str">
        <f aca="false">IF(B303="","",IF(COUNTIFS('CARNET DE SOUDURE'!$L$7:$L$3006,B303,'CARNET DE SOUDURE'!$M$7:$M$3006,"&lt;&gt;"&amp;C303,'CARNET DE SOUDURE'!$M$7:$M$3006,"&lt;&gt;")+COUNTIFS('CARNET DE SOUDURE'!$O$7:$O$3006,B303,'CARNET DE SOUDURE'!$P$7:$P$3006,"&lt;&gt;"&amp;C303,'CARNET DE SOUDURE'!$P$7:$P$3006,"&lt;&gt;")&gt;0,"⚠ DIFFÉRENTE","OK"))</f>
        <v>OK</v>
      </c>
      <c r="F303" s="147" t="n">
        <v>11.94</v>
      </c>
      <c r="G303" s="80"/>
      <c r="H303" s="83"/>
      <c r="I303" s="148" t="str">
        <f aca="false">IF(B303="","",IFERROR(INDEX('CARNET DE SOUDURE'!$B$7:$B$3006,MATCH(B303,'CARNET DE SOUDURE'!$L$7:$L$3006,0)),IFERROR(INDEX('CARNET DE SOUDURE'!$B$7:$B$3006,MATCH(B303,'CARNET DE SOUDURE'!$O$7:$O$3006,0)),"")))</f>
        <v>MFD-ISW → MFD-CPF</v>
      </c>
      <c r="J303" s="82" t="str">
        <f aca="false">IF(B303="","",IFERROR(INDEX('CARNET DE SOUDURE'!$E$7:$E$3006,MATCH(B303,'CARNET DE SOUDURE'!$O$7:$O$3006,0)),""))</f>
        <v>DJ°384</v>
      </c>
      <c r="K303" s="82" t="str">
        <f aca="false">IF(B303="","",IFERROR(INDEX('CARNET DE SOUDURE'!$E$7:$E$3006,MATCH(B303,'CARNET DE SOUDURE'!$L$7:$L$3006,0)),""))</f>
        <v>JN°975</v>
      </c>
      <c r="L303" s="82" t="n">
        <f aca="false">IF(B303="","",IFERROR(INDEX('CARNET DE SOUDURE'!$D$7:$D$3006,MATCH(B303,'CARNET DE SOUDURE'!$L$7:$L$3006,0)),IFERROR(INDEX('CARNET DE SOUDURE'!$D$7:$D$3006,MATCH(B303,'CARNET DE SOUDURE'!$O$7:$O$3006,0)),"")))</f>
        <v>8</v>
      </c>
      <c r="M303" s="82" t="str">
        <f aca="false">IF(B303="","",IF(OR(J303&lt;&gt;"",K303&lt;&gt;""),"POSÉ EN LIGNE",IF(COUNTIF(BARDAGE!$C$1:$C$5000,B303)&gt;0,"BARDÉ","EN STOCK")))</f>
        <v>POSÉ EN LIGNE</v>
      </c>
      <c r="N303" s="80"/>
    </row>
    <row r="304" customFormat="false" ht="15" hidden="false" customHeight="false" outlineLevel="0" collapsed="false">
      <c r="A304" s="82" t="n">
        <f aca="false">IF(B304="","",ROW()-6)</f>
        <v>298</v>
      </c>
      <c r="B304" s="145" t="n">
        <v>2078780</v>
      </c>
      <c r="C304" s="146" t="n">
        <v>15421101</v>
      </c>
      <c r="D304" s="146"/>
      <c r="E304" s="82" t="str">
        <f aca="false">IF(B304="","",IF(COUNTIFS('CARNET DE SOUDURE'!$L$7:$L$3006,B304,'CARNET DE SOUDURE'!$M$7:$M$3006,"&lt;&gt;"&amp;C304,'CARNET DE SOUDURE'!$M$7:$M$3006,"&lt;&gt;")+COUNTIFS('CARNET DE SOUDURE'!$O$7:$O$3006,B304,'CARNET DE SOUDURE'!$P$7:$P$3006,"&lt;&gt;"&amp;C304,'CARNET DE SOUDURE'!$P$7:$P$3006,"&lt;&gt;")&gt;0,"⚠ DIFFÉRENTE","OK"))</f>
        <v>OK</v>
      </c>
      <c r="F304" s="147" t="n">
        <v>11.94</v>
      </c>
      <c r="G304" s="80"/>
      <c r="H304" s="83"/>
      <c r="I304" s="148" t="str">
        <f aca="false">IF(B304="","",IFERROR(INDEX('CARNET DE SOUDURE'!$B$7:$B$3006,MATCH(B304,'CARNET DE SOUDURE'!$L$7:$L$3006,0)),IFERROR(INDEX('CARNET DE SOUDURE'!$B$7:$B$3006,MATCH(B304,'CARNET DE SOUDURE'!$O$7:$O$3006,0)),"")))</f>
        <v>MFD-ISW → MFD-CPF</v>
      </c>
      <c r="J304" s="82" t="str">
        <f aca="false">IF(B304="","",IFERROR(INDEX('CARNET DE SOUDURE'!$E$7:$E$3006,MATCH(B304,'CARNET DE SOUDURE'!$O$7:$O$3006,0)),""))</f>
        <v>JN°975</v>
      </c>
      <c r="K304" s="82" t="str">
        <f aca="false">IF(B304="","",IFERROR(INDEX('CARNET DE SOUDURE'!$E$7:$E$3006,MATCH(B304,'CARNET DE SOUDURE'!$L$7:$L$3006,0)),""))</f>
        <v>DJ°385</v>
      </c>
      <c r="L304" s="82" t="n">
        <f aca="false">IF(B304="","",IFERROR(INDEX('CARNET DE SOUDURE'!$D$7:$D$3006,MATCH(B304,'CARNET DE SOUDURE'!$L$7:$L$3006,0)),IFERROR(INDEX('CARNET DE SOUDURE'!$D$7:$D$3006,MATCH(B304,'CARNET DE SOUDURE'!$O$7:$O$3006,0)),"")))</f>
        <v>8</v>
      </c>
      <c r="M304" s="82" t="str">
        <f aca="false">IF(B304="","",IF(OR(J304&lt;&gt;"",K304&lt;&gt;""),"POSÉ EN LIGNE",IF(COUNTIF(BARDAGE!$C$1:$C$5000,B304)&gt;0,"BARDÉ","EN STOCK")))</f>
        <v>POSÉ EN LIGNE</v>
      </c>
      <c r="N304" s="80"/>
    </row>
    <row r="305" customFormat="false" ht="15" hidden="false" customHeight="false" outlineLevel="0" collapsed="false">
      <c r="A305" s="82" t="n">
        <f aca="false">IF(B305="","",ROW()-6)</f>
        <v>299</v>
      </c>
      <c r="B305" s="145" t="n">
        <v>2086180</v>
      </c>
      <c r="C305" s="146" t="n">
        <v>15421107</v>
      </c>
      <c r="D305" s="146"/>
      <c r="E305" s="82" t="str">
        <f aca="false">IF(B305="","",IF(COUNTIFS('CARNET DE SOUDURE'!$L$7:$L$3006,B305,'CARNET DE SOUDURE'!$M$7:$M$3006,"&lt;&gt;"&amp;C305,'CARNET DE SOUDURE'!$M$7:$M$3006,"&lt;&gt;")+COUNTIFS('CARNET DE SOUDURE'!$O$7:$O$3006,B305,'CARNET DE SOUDURE'!$P$7:$P$3006,"&lt;&gt;"&amp;C305,'CARNET DE SOUDURE'!$P$7:$P$3006,"&lt;&gt;")&gt;0,"⚠ DIFFÉRENTE","OK"))</f>
        <v>OK</v>
      </c>
      <c r="F305" s="147" t="n">
        <v>11.94</v>
      </c>
      <c r="G305" s="80"/>
      <c r="H305" s="83"/>
      <c r="I305" s="148" t="str">
        <f aca="false">IF(B305="","",IFERROR(INDEX('CARNET DE SOUDURE'!$B$7:$B$3006,MATCH(B305,'CARNET DE SOUDURE'!$L$7:$L$3006,0)),IFERROR(INDEX('CARNET DE SOUDURE'!$B$7:$B$3006,MATCH(B305,'CARNET DE SOUDURE'!$O$7:$O$3006,0)),"")))</f>
        <v>MFD-ISW → MFD-CPF</v>
      </c>
      <c r="J305" s="82" t="str">
        <f aca="false">IF(B305="","",IFERROR(INDEX('CARNET DE SOUDURE'!$E$7:$E$3006,MATCH(B305,'CARNET DE SOUDURE'!$O$7:$O$3006,0)),""))</f>
        <v>DJ°385</v>
      </c>
      <c r="K305" s="82" t="str">
        <f aca="false">IF(B305="","",IFERROR(INDEX('CARNET DE SOUDURE'!$E$7:$E$3006,MATCH(B305,'CARNET DE SOUDURE'!$L$7:$L$3006,0)),""))</f>
        <v>JN°976</v>
      </c>
      <c r="L305" s="82" t="n">
        <f aca="false">IF(B305="","",IFERROR(INDEX('CARNET DE SOUDURE'!$D$7:$D$3006,MATCH(B305,'CARNET DE SOUDURE'!$L$7:$L$3006,0)),IFERROR(INDEX('CARNET DE SOUDURE'!$D$7:$D$3006,MATCH(B305,'CARNET DE SOUDURE'!$O$7:$O$3006,0)),"")))</f>
        <v>8</v>
      </c>
      <c r="M305" s="82" t="str">
        <f aca="false">IF(B305="","",IF(OR(J305&lt;&gt;"",K305&lt;&gt;""),"POSÉ EN LIGNE",IF(COUNTIF(BARDAGE!$C$1:$C$5000,B305)&gt;0,"BARDÉ","EN STOCK")))</f>
        <v>POSÉ EN LIGNE</v>
      </c>
      <c r="N305" s="80"/>
    </row>
    <row r="306" customFormat="false" ht="15" hidden="false" customHeight="false" outlineLevel="0" collapsed="false">
      <c r="A306" s="82" t="n">
        <f aca="false">IF(B306="","",ROW()-6)</f>
        <v>300</v>
      </c>
      <c r="B306" s="145" t="n">
        <v>2091010</v>
      </c>
      <c r="C306" s="146" t="n">
        <v>15421109</v>
      </c>
      <c r="D306" s="146"/>
      <c r="E306" s="82" t="str">
        <f aca="false">IF(B306="","",IF(COUNTIFS('CARNET DE SOUDURE'!$L$7:$L$3006,B306,'CARNET DE SOUDURE'!$M$7:$M$3006,"&lt;&gt;"&amp;C306,'CARNET DE SOUDURE'!$M$7:$M$3006,"&lt;&gt;")+COUNTIFS('CARNET DE SOUDURE'!$O$7:$O$3006,B306,'CARNET DE SOUDURE'!$P$7:$P$3006,"&lt;&gt;"&amp;C306,'CARNET DE SOUDURE'!$P$7:$P$3006,"&lt;&gt;")&gt;0,"⚠ DIFFÉRENTE","OK"))</f>
        <v>OK</v>
      </c>
      <c r="F306" s="147" t="n">
        <v>11.94</v>
      </c>
      <c r="G306" s="80"/>
      <c r="H306" s="83"/>
      <c r="I306" s="148" t="str">
        <f aca="false">IF(B306="","",IFERROR(INDEX('CARNET DE SOUDURE'!$B$7:$B$3006,MATCH(B306,'CARNET DE SOUDURE'!$L$7:$L$3006,0)),IFERROR(INDEX('CARNET DE SOUDURE'!$B$7:$B$3006,MATCH(B306,'CARNET DE SOUDURE'!$O$7:$O$3006,0)),"")))</f>
        <v>MFD-ISW → MFD-CPF</v>
      </c>
      <c r="J306" s="82" t="str">
        <f aca="false">IF(B306="","",IFERROR(INDEX('CARNET DE SOUDURE'!$E$7:$E$3006,MATCH(B306,'CARNET DE SOUDURE'!$O$7:$O$3006,0)),""))</f>
        <v>JN°976</v>
      </c>
      <c r="K306" s="82" t="str">
        <f aca="false">IF(B306="","",IFERROR(INDEX('CARNET DE SOUDURE'!$E$7:$E$3006,MATCH(B306,'CARNET DE SOUDURE'!$L$7:$L$3006,0)),""))</f>
        <v>DJ°374</v>
      </c>
      <c r="L306" s="82" t="n">
        <f aca="false">IF(B306="","",IFERROR(INDEX('CARNET DE SOUDURE'!$D$7:$D$3006,MATCH(B306,'CARNET DE SOUDURE'!$L$7:$L$3006,0)),IFERROR(INDEX('CARNET DE SOUDURE'!$D$7:$D$3006,MATCH(B306,'CARNET DE SOUDURE'!$O$7:$O$3006,0)),"")))</f>
        <v>8</v>
      </c>
      <c r="M306" s="82" t="str">
        <f aca="false">IF(B306="","",IF(OR(J306&lt;&gt;"",K306&lt;&gt;""),"POSÉ EN LIGNE",IF(COUNTIF(BARDAGE!$C$1:$C$5000,B306)&gt;0,"BARDÉ","EN STOCK")))</f>
        <v>POSÉ EN LIGNE</v>
      </c>
      <c r="N306" s="80"/>
    </row>
    <row r="307" customFormat="false" ht="15" hidden="false" customHeight="false" outlineLevel="0" collapsed="false">
      <c r="A307" s="82" t="n">
        <f aca="false">IF(B307="","",ROW()-6)</f>
        <v>301</v>
      </c>
      <c r="B307" s="145" t="n">
        <v>2094880</v>
      </c>
      <c r="C307" s="146" t="n">
        <v>15421111</v>
      </c>
      <c r="D307" s="146"/>
      <c r="E307" s="82" t="str">
        <f aca="false">IF(B307="","",IF(COUNTIFS('CARNET DE SOUDURE'!$L$7:$L$3006,B307,'CARNET DE SOUDURE'!$M$7:$M$3006,"&lt;&gt;"&amp;C307,'CARNET DE SOUDURE'!$M$7:$M$3006,"&lt;&gt;")+COUNTIFS('CARNET DE SOUDURE'!$O$7:$O$3006,B307,'CARNET DE SOUDURE'!$P$7:$P$3006,"&lt;&gt;"&amp;C307,'CARNET DE SOUDURE'!$P$7:$P$3006,"&lt;&gt;")&gt;0,"⚠ DIFFÉRENTE","OK"))</f>
        <v>OK</v>
      </c>
      <c r="F307" s="147" t="n">
        <v>11.94</v>
      </c>
      <c r="G307" s="80"/>
      <c r="H307" s="83"/>
      <c r="I307" s="148" t="str">
        <f aca="false">IF(B307="","",IFERROR(INDEX('CARNET DE SOUDURE'!$B$7:$B$3006,MATCH(B307,'CARNET DE SOUDURE'!$L$7:$L$3006,0)),IFERROR(INDEX('CARNET DE SOUDURE'!$B$7:$B$3006,MATCH(B307,'CARNET DE SOUDURE'!$O$7:$O$3006,0)),"")))</f>
        <v>MFD-ISW → MFD-CPF</v>
      </c>
      <c r="J307" s="82" t="str">
        <f aca="false">IF(B307="","",IFERROR(INDEX('CARNET DE SOUDURE'!$E$7:$E$3006,MATCH(B307,'CARNET DE SOUDURE'!$O$7:$O$3006,0)),""))</f>
        <v>DJ°374</v>
      </c>
      <c r="K307" s="82" t="str">
        <f aca="false">IF(B307="","",IFERROR(INDEX('CARNET DE SOUDURE'!$E$7:$E$3006,MATCH(B307,'CARNET DE SOUDURE'!$L$7:$L$3006,0)),""))</f>
        <v>JN°977</v>
      </c>
      <c r="L307" s="82" t="n">
        <f aca="false">IF(B307="","",IFERROR(INDEX('CARNET DE SOUDURE'!$D$7:$D$3006,MATCH(B307,'CARNET DE SOUDURE'!$L$7:$L$3006,0)),IFERROR(INDEX('CARNET DE SOUDURE'!$D$7:$D$3006,MATCH(B307,'CARNET DE SOUDURE'!$O$7:$O$3006,0)),"")))</f>
        <v>8</v>
      </c>
      <c r="M307" s="82" t="str">
        <f aca="false">IF(B307="","",IF(OR(J307&lt;&gt;"",K307&lt;&gt;""),"POSÉ EN LIGNE",IF(COUNTIF(BARDAGE!$C$1:$C$5000,B307)&gt;0,"BARDÉ","EN STOCK")))</f>
        <v>POSÉ EN LIGNE</v>
      </c>
      <c r="N307" s="80"/>
    </row>
    <row r="308" customFormat="false" ht="15" hidden="false" customHeight="false" outlineLevel="0" collapsed="false">
      <c r="A308" s="82" t="n">
        <f aca="false">IF(B308="","",ROW()-6)</f>
        <v>302</v>
      </c>
      <c r="B308" s="145" t="n">
        <v>2091660</v>
      </c>
      <c r="C308" s="146" t="n">
        <v>15421112</v>
      </c>
      <c r="D308" s="146"/>
      <c r="E308" s="82" t="str">
        <f aca="false">IF(B308="","",IF(COUNTIFS('CARNET DE SOUDURE'!$L$7:$L$3006,B308,'CARNET DE SOUDURE'!$M$7:$M$3006,"&lt;&gt;"&amp;C308,'CARNET DE SOUDURE'!$M$7:$M$3006,"&lt;&gt;")+COUNTIFS('CARNET DE SOUDURE'!$O$7:$O$3006,B308,'CARNET DE SOUDURE'!$P$7:$P$3006,"&lt;&gt;"&amp;C308,'CARNET DE SOUDURE'!$P$7:$P$3006,"&lt;&gt;")&gt;0,"⚠ DIFFÉRENTE","OK"))</f>
        <v>OK</v>
      </c>
      <c r="F308" s="147" t="n">
        <v>11.94</v>
      </c>
      <c r="G308" s="80"/>
      <c r="H308" s="83"/>
      <c r="I308" s="148" t="str">
        <f aca="false">IF(B308="","",IFERROR(INDEX('CARNET DE SOUDURE'!$B$7:$B$3006,MATCH(B308,'CARNET DE SOUDURE'!$L$7:$L$3006,0)),IFERROR(INDEX('CARNET DE SOUDURE'!$B$7:$B$3006,MATCH(B308,'CARNET DE SOUDURE'!$O$7:$O$3006,0)),"")))</f>
        <v>MFD-ISW → MFD-CPF</v>
      </c>
      <c r="J308" s="82" t="str">
        <f aca="false">IF(B308="","",IFERROR(INDEX('CARNET DE SOUDURE'!$E$7:$E$3006,MATCH(B308,'CARNET DE SOUDURE'!$O$7:$O$3006,0)),""))</f>
        <v>JN°977</v>
      </c>
      <c r="K308" s="82" t="str">
        <f aca="false">IF(B308="","",IFERROR(INDEX('CARNET DE SOUDURE'!$E$7:$E$3006,MATCH(B308,'CARNET DE SOUDURE'!$L$7:$L$3006,0)),""))</f>
        <v>DJ°377</v>
      </c>
      <c r="L308" s="82" t="n">
        <f aca="false">IF(B308="","",IFERROR(INDEX('CARNET DE SOUDURE'!$D$7:$D$3006,MATCH(B308,'CARNET DE SOUDURE'!$L$7:$L$3006,0)),IFERROR(INDEX('CARNET DE SOUDURE'!$D$7:$D$3006,MATCH(B308,'CARNET DE SOUDURE'!$O$7:$O$3006,0)),"")))</f>
        <v>8</v>
      </c>
      <c r="M308" s="82" t="str">
        <f aca="false">IF(B308="","",IF(OR(J308&lt;&gt;"",K308&lt;&gt;""),"POSÉ EN LIGNE",IF(COUNTIF(BARDAGE!$C$1:$C$5000,B308)&gt;0,"BARDÉ","EN STOCK")))</f>
        <v>POSÉ EN LIGNE</v>
      </c>
      <c r="N308" s="80"/>
    </row>
    <row r="309" customFormat="false" ht="15" hidden="false" customHeight="false" outlineLevel="0" collapsed="false">
      <c r="A309" s="82" t="n">
        <f aca="false">IF(B309="","",ROW()-6)</f>
        <v>303</v>
      </c>
      <c r="B309" s="145" t="n">
        <v>2086850</v>
      </c>
      <c r="C309" s="146" t="n">
        <v>15421107</v>
      </c>
      <c r="D309" s="146"/>
      <c r="E309" s="82" t="str">
        <f aca="false">IF(B309="","",IF(COUNTIFS('CARNET DE SOUDURE'!$L$7:$L$3006,B309,'CARNET DE SOUDURE'!$M$7:$M$3006,"&lt;&gt;"&amp;C309,'CARNET DE SOUDURE'!$M$7:$M$3006,"&lt;&gt;")+COUNTIFS('CARNET DE SOUDURE'!$O$7:$O$3006,B309,'CARNET DE SOUDURE'!$P$7:$P$3006,"&lt;&gt;"&amp;C309,'CARNET DE SOUDURE'!$P$7:$P$3006,"&lt;&gt;")&gt;0,"⚠ DIFFÉRENTE","OK"))</f>
        <v>OK</v>
      </c>
      <c r="F309" s="147" t="n">
        <v>11.94</v>
      </c>
      <c r="G309" s="80"/>
      <c r="H309" s="83"/>
      <c r="I309" s="148" t="str">
        <f aca="false">IF(B309="","",IFERROR(INDEX('CARNET DE SOUDURE'!$B$7:$B$3006,MATCH(B309,'CARNET DE SOUDURE'!$L$7:$L$3006,0)),IFERROR(INDEX('CARNET DE SOUDURE'!$B$7:$B$3006,MATCH(B309,'CARNET DE SOUDURE'!$O$7:$O$3006,0)),"")))</f>
        <v>MFD-ISW → MFD-CPF</v>
      </c>
      <c r="J309" s="82" t="str">
        <f aca="false">IF(B309="","",IFERROR(INDEX('CARNET DE SOUDURE'!$E$7:$E$3006,MATCH(B309,'CARNET DE SOUDURE'!$O$7:$O$3006,0)),""))</f>
        <v>DJ°377</v>
      </c>
      <c r="K309" s="82" t="str">
        <f aca="false">IF(B309="","",IFERROR(INDEX('CARNET DE SOUDURE'!$E$7:$E$3006,MATCH(B309,'CARNET DE SOUDURE'!$L$7:$L$3006,0)),""))</f>
        <v>JN°978</v>
      </c>
      <c r="L309" s="82" t="n">
        <f aca="false">IF(B309="","",IFERROR(INDEX('CARNET DE SOUDURE'!$D$7:$D$3006,MATCH(B309,'CARNET DE SOUDURE'!$L$7:$L$3006,0)),IFERROR(INDEX('CARNET DE SOUDURE'!$D$7:$D$3006,MATCH(B309,'CARNET DE SOUDURE'!$O$7:$O$3006,0)),"")))</f>
        <v>8</v>
      </c>
      <c r="M309" s="82" t="str">
        <f aca="false">IF(B309="","",IF(OR(J309&lt;&gt;"",K309&lt;&gt;""),"POSÉ EN LIGNE",IF(COUNTIF(BARDAGE!$C$1:$C$5000,B309)&gt;0,"BARDÉ","EN STOCK")))</f>
        <v>POSÉ EN LIGNE</v>
      </c>
      <c r="N309" s="80"/>
    </row>
    <row r="310" customFormat="false" ht="15" hidden="false" customHeight="false" outlineLevel="0" collapsed="false">
      <c r="A310" s="82" t="n">
        <f aca="false">IF(B310="","",ROW()-6)</f>
        <v>304</v>
      </c>
      <c r="B310" s="145" t="n">
        <v>2083630</v>
      </c>
      <c r="C310" s="146" t="n">
        <v>15421110</v>
      </c>
      <c r="D310" s="146"/>
      <c r="E310" s="82" t="str">
        <f aca="false">IF(B310="","",IF(COUNTIFS('CARNET DE SOUDURE'!$L$7:$L$3006,B310,'CARNET DE SOUDURE'!$M$7:$M$3006,"&lt;&gt;"&amp;C310,'CARNET DE SOUDURE'!$M$7:$M$3006,"&lt;&gt;")+COUNTIFS('CARNET DE SOUDURE'!$O$7:$O$3006,B310,'CARNET DE SOUDURE'!$P$7:$P$3006,"&lt;&gt;"&amp;C310,'CARNET DE SOUDURE'!$P$7:$P$3006,"&lt;&gt;")&gt;0,"⚠ DIFFÉRENTE","OK"))</f>
        <v>OK</v>
      </c>
      <c r="F310" s="147" t="n">
        <v>11.94</v>
      </c>
      <c r="G310" s="80"/>
      <c r="H310" s="83"/>
      <c r="I310" s="148" t="str">
        <f aca="false">IF(B310="","",IFERROR(INDEX('CARNET DE SOUDURE'!$B$7:$B$3006,MATCH(B310,'CARNET DE SOUDURE'!$L$7:$L$3006,0)),IFERROR(INDEX('CARNET DE SOUDURE'!$B$7:$B$3006,MATCH(B310,'CARNET DE SOUDURE'!$O$7:$O$3006,0)),"")))</f>
        <v>MFD-ISW → MFD-CPF</v>
      </c>
      <c r="J310" s="82" t="str">
        <f aca="false">IF(B310="","",IFERROR(INDEX('CARNET DE SOUDURE'!$E$7:$E$3006,MATCH(B310,'CARNET DE SOUDURE'!$O$7:$O$3006,0)),""))</f>
        <v>JN°978</v>
      </c>
      <c r="K310" s="82" t="str">
        <f aca="false">IF(B310="","",IFERROR(INDEX('CARNET DE SOUDURE'!$E$7:$E$3006,MATCH(B310,'CARNET DE SOUDURE'!$L$7:$L$3006,0)),""))</f>
        <v>DJ°373</v>
      </c>
      <c r="L310" s="82" t="n">
        <f aca="false">IF(B310="","",IFERROR(INDEX('CARNET DE SOUDURE'!$D$7:$D$3006,MATCH(B310,'CARNET DE SOUDURE'!$L$7:$L$3006,0)),IFERROR(INDEX('CARNET DE SOUDURE'!$D$7:$D$3006,MATCH(B310,'CARNET DE SOUDURE'!$O$7:$O$3006,0)),"")))</f>
        <v>8</v>
      </c>
      <c r="M310" s="82" t="str">
        <f aca="false">IF(B310="","",IF(OR(J310&lt;&gt;"",K310&lt;&gt;""),"POSÉ EN LIGNE",IF(COUNTIF(BARDAGE!$C$1:$C$5000,B310)&gt;0,"BARDÉ","EN STOCK")))</f>
        <v>POSÉ EN LIGNE</v>
      </c>
      <c r="N310" s="80"/>
    </row>
    <row r="311" customFormat="false" ht="15" hidden="false" customHeight="false" outlineLevel="0" collapsed="false">
      <c r="A311" s="82" t="n">
        <f aca="false">IF(B311="","",ROW()-6)</f>
        <v>305</v>
      </c>
      <c r="B311" s="145" t="n">
        <v>2085460</v>
      </c>
      <c r="C311" s="146" t="n">
        <v>15421107</v>
      </c>
      <c r="D311" s="146"/>
      <c r="E311" s="82" t="str">
        <f aca="false">IF(B311="","",IF(COUNTIFS('CARNET DE SOUDURE'!$L$7:$L$3006,B311,'CARNET DE SOUDURE'!$M$7:$M$3006,"&lt;&gt;"&amp;C311,'CARNET DE SOUDURE'!$M$7:$M$3006,"&lt;&gt;")+COUNTIFS('CARNET DE SOUDURE'!$O$7:$O$3006,B311,'CARNET DE SOUDURE'!$P$7:$P$3006,"&lt;&gt;"&amp;C311,'CARNET DE SOUDURE'!$P$7:$P$3006,"&lt;&gt;")&gt;0,"⚠ DIFFÉRENTE","OK"))</f>
        <v>OK</v>
      </c>
      <c r="F311" s="147" t="n">
        <v>11.94</v>
      </c>
      <c r="G311" s="80"/>
      <c r="H311" s="83"/>
      <c r="I311" s="148" t="str">
        <f aca="false">IF(B311="","",IFERROR(INDEX('CARNET DE SOUDURE'!$B$7:$B$3006,MATCH(B311,'CARNET DE SOUDURE'!$L$7:$L$3006,0)),IFERROR(INDEX('CARNET DE SOUDURE'!$B$7:$B$3006,MATCH(B311,'CARNET DE SOUDURE'!$O$7:$O$3006,0)),"")))</f>
        <v>MFD-ISW → MFD-CPF</v>
      </c>
      <c r="J311" s="82" t="str">
        <f aca="false">IF(B311="","",IFERROR(INDEX('CARNET DE SOUDURE'!$E$7:$E$3006,MATCH(B311,'CARNET DE SOUDURE'!$O$7:$O$3006,0)),""))</f>
        <v>DJ°373</v>
      </c>
      <c r="K311" s="82" t="str">
        <f aca="false">IF(B311="","",IFERROR(INDEX('CARNET DE SOUDURE'!$E$7:$E$3006,MATCH(B311,'CARNET DE SOUDURE'!$L$7:$L$3006,0)),""))</f>
        <v>JN°979</v>
      </c>
      <c r="L311" s="82" t="n">
        <f aca="false">IF(B311="","",IFERROR(INDEX('CARNET DE SOUDURE'!$D$7:$D$3006,MATCH(B311,'CARNET DE SOUDURE'!$L$7:$L$3006,0)),IFERROR(INDEX('CARNET DE SOUDURE'!$D$7:$D$3006,MATCH(B311,'CARNET DE SOUDURE'!$O$7:$O$3006,0)),"")))</f>
        <v>8</v>
      </c>
      <c r="M311" s="82" t="str">
        <f aca="false">IF(B311="","",IF(OR(J311&lt;&gt;"",K311&lt;&gt;""),"POSÉ EN LIGNE",IF(COUNTIF(BARDAGE!$C$1:$C$5000,B311)&gt;0,"BARDÉ","EN STOCK")))</f>
        <v>POSÉ EN LIGNE</v>
      </c>
      <c r="N311" s="80"/>
    </row>
    <row r="312" customFormat="false" ht="15" hidden="false" customHeight="false" outlineLevel="0" collapsed="false">
      <c r="A312" s="82" t="n">
        <f aca="false">IF(B312="","",ROW()-6)</f>
        <v>306</v>
      </c>
      <c r="B312" s="145" t="n">
        <v>2078670</v>
      </c>
      <c r="C312" s="146" t="n">
        <v>15421101</v>
      </c>
      <c r="D312" s="146"/>
      <c r="E312" s="82" t="str">
        <f aca="false">IF(B312="","",IF(COUNTIFS('CARNET DE SOUDURE'!$L$7:$L$3006,B312,'CARNET DE SOUDURE'!$M$7:$M$3006,"&lt;&gt;"&amp;C312,'CARNET DE SOUDURE'!$M$7:$M$3006,"&lt;&gt;")+COUNTIFS('CARNET DE SOUDURE'!$O$7:$O$3006,B312,'CARNET DE SOUDURE'!$P$7:$P$3006,"&lt;&gt;"&amp;C312,'CARNET DE SOUDURE'!$P$7:$P$3006,"&lt;&gt;")&gt;0,"⚠ DIFFÉRENTE","OK"))</f>
        <v>OK</v>
      </c>
      <c r="F312" s="147" t="n">
        <v>11.94</v>
      </c>
      <c r="G312" s="80"/>
      <c r="H312" s="83"/>
      <c r="I312" s="148" t="str">
        <f aca="false">IF(B312="","",IFERROR(INDEX('CARNET DE SOUDURE'!$B$7:$B$3006,MATCH(B312,'CARNET DE SOUDURE'!$L$7:$L$3006,0)),IFERROR(INDEX('CARNET DE SOUDURE'!$B$7:$B$3006,MATCH(B312,'CARNET DE SOUDURE'!$O$7:$O$3006,0)),"")))</f>
        <v>MFD-ISW → MFD-CPF</v>
      </c>
      <c r="J312" s="82" t="str">
        <f aca="false">IF(B312="","",IFERROR(INDEX('CARNET DE SOUDURE'!$E$7:$E$3006,MATCH(B312,'CARNET DE SOUDURE'!$O$7:$O$3006,0)),""))</f>
        <v>JN°982</v>
      </c>
      <c r="K312" s="82" t="str">
        <f aca="false">IF(B312="","",IFERROR(INDEX('CARNET DE SOUDURE'!$E$7:$E$3006,MATCH(B312,'CARNET DE SOUDURE'!$L$7:$L$3006,0)),""))</f>
        <v>DJ°378</v>
      </c>
      <c r="L312" s="82" t="n">
        <f aca="false">IF(B312="","",IFERROR(INDEX('CARNET DE SOUDURE'!$D$7:$D$3006,MATCH(B312,'CARNET DE SOUDURE'!$L$7:$L$3006,0)),IFERROR(INDEX('CARNET DE SOUDURE'!$D$7:$D$3006,MATCH(B312,'CARNET DE SOUDURE'!$O$7:$O$3006,0)),"")))</f>
        <v>8</v>
      </c>
      <c r="M312" s="82" t="str">
        <f aca="false">IF(B312="","",IF(OR(J312&lt;&gt;"",K312&lt;&gt;""),"POSÉ EN LIGNE",IF(COUNTIF(BARDAGE!$C$1:$C$5000,B312)&gt;0,"BARDÉ","EN STOCK")))</f>
        <v>POSÉ EN LIGNE</v>
      </c>
      <c r="N312" s="80"/>
    </row>
    <row r="313" customFormat="false" ht="15" hidden="false" customHeight="false" outlineLevel="0" collapsed="false">
      <c r="A313" s="82" t="n">
        <f aca="false">IF(B313="","",ROW()-6)</f>
        <v>307</v>
      </c>
      <c r="B313" s="145" t="n">
        <v>2093560</v>
      </c>
      <c r="C313" s="146" t="n">
        <v>15421110</v>
      </c>
      <c r="D313" s="146"/>
      <c r="E313" s="82" t="str">
        <f aca="false">IF(B313="","",IF(COUNTIFS('CARNET DE SOUDURE'!$L$7:$L$3006,B313,'CARNET DE SOUDURE'!$M$7:$M$3006,"&lt;&gt;"&amp;C313,'CARNET DE SOUDURE'!$M$7:$M$3006,"&lt;&gt;")+COUNTIFS('CARNET DE SOUDURE'!$O$7:$O$3006,B313,'CARNET DE SOUDURE'!$P$7:$P$3006,"&lt;&gt;"&amp;C313,'CARNET DE SOUDURE'!$P$7:$P$3006,"&lt;&gt;")&gt;0,"⚠ DIFFÉRENTE","OK"))</f>
        <v>OK</v>
      </c>
      <c r="F313" s="147" t="n">
        <v>11.94</v>
      </c>
      <c r="G313" s="80"/>
      <c r="H313" s="83"/>
      <c r="I313" s="148" t="str">
        <f aca="false">IF(B313="","",IFERROR(INDEX('CARNET DE SOUDURE'!$B$7:$B$3006,MATCH(B313,'CARNET DE SOUDURE'!$L$7:$L$3006,0)),IFERROR(INDEX('CARNET DE SOUDURE'!$B$7:$B$3006,MATCH(B313,'CARNET DE SOUDURE'!$O$7:$O$3006,0)),"")))</f>
        <v>MFD-ISW → MFD-CPF</v>
      </c>
      <c r="J313" s="82" t="str">
        <f aca="false">IF(B313="","",IFERROR(INDEX('CARNET DE SOUDURE'!$E$7:$E$3006,MATCH(B313,'CARNET DE SOUDURE'!$O$7:$O$3006,0)),""))</f>
        <v>DJ°378</v>
      </c>
      <c r="K313" s="82" t="str">
        <f aca="false">IF(B313="","",IFERROR(INDEX('CARNET DE SOUDURE'!$E$7:$E$3006,MATCH(B313,'CARNET DE SOUDURE'!$L$7:$L$3006,0)),""))</f>
        <v>JN°983</v>
      </c>
      <c r="L313" s="82" t="n">
        <f aca="false">IF(B313="","",IFERROR(INDEX('CARNET DE SOUDURE'!$D$7:$D$3006,MATCH(B313,'CARNET DE SOUDURE'!$L$7:$L$3006,0)),IFERROR(INDEX('CARNET DE SOUDURE'!$D$7:$D$3006,MATCH(B313,'CARNET DE SOUDURE'!$O$7:$O$3006,0)),"")))</f>
        <v>8</v>
      </c>
      <c r="M313" s="82" t="str">
        <f aca="false">IF(B313="","",IF(OR(J313&lt;&gt;"",K313&lt;&gt;""),"POSÉ EN LIGNE",IF(COUNTIF(BARDAGE!$C$1:$C$5000,B313)&gt;0,"BARDÉ","EN STOCK")))</f>
        <v>POSÉ EN LIGNE</v>
      </c>
      <c r="N313" s="80"/>
    </row>
    <row r="314" customFormat="false" ht="15" hidden="false" customHeight="false" outlineLevel="0" collapsed="false">
      <c r="A314" s="82" t="n">
        <f aca="false">IF(B314="","",ROW()-6)</f>
        <v>308</v>
      </c>
      <c r="B314" s="145" t="n">
        <v>2088310</v>
      </c>
      <c r="C314" s="146" t="n">
        <v>15421108</v>
      </c>
      <c r="D314" s="146"/>
      <c r="E314" s="82" t="str">
        <f aca="false">IF(B314="","",IF(COUNTIFS('CARNET DE SOUDURE'!$L$7:$L$3006,B314,'CARNET DE SOUDURE'!$M$7:$M$3006,"&lt;&gt;"&amp;C314,'CARNET DE SOUDURE'!$M$7:$M$3006,"&lt;&gt;")+COUNTIFS('CARNET DE SOUDURE'!$O$7:$O$3006,B314,'CARNET DE SOUDURE'!$P$7:$P$3006,"&lt;&gt;"&amp;C314,'CARNET DE SOUDURE'!$P$7:$P$3006,"&lt;&gt;")&gt;0,"⚠ DIFFÉRENTE","OK"))</f>
        <v>OK</v>
      </c>
      <c r="F314" s="147" t="n">
        <v>11.94</v>
      </c>
      <c r="G314" s="80"/>
      <c r="H314" s="83"/>
      <c r="I314" s="148" t="str">
        <f aca="false">IF(B314="","",IFERROR(INDEX('CARNET DE SOUDURE'!$B$7:$B$3006,MATCH(B314,'CARNET DE SOUDURE'!$L$7:$L$3006,0)),IFERROR(INDEX('CARNET DE SOUDURE'!$B$7:$B$3006,MATCH(B314,'CARNET DE SOUDURE'!$O$7:$O$3006,0)),"")))</f>
        <v>MFD-ISW → MFD-CPF</v>
      </c>
      <c r="J314" s="82" t="str">
        <f aca="false">IF(B314="","",IFERROR(INDEX('CARNET DE SOUDURE'!$E$7:$E$3006,MATCH(B314,'CARNET DE SOUDURE'!$O$7:$O$3006,0)),""))</f>
        <v>JN°983</v>
      </c>
      <c r="K314" s="82" t="str">
        <f aca="false">IF(B314="","",IFERROR(INDEX('CARNET DE SOUDURE'!$E$7:$E$3006,MATCH(B314,'CARNET DE SOUDURE'!$L$7:$L$3006,0)),""))</f>
        <v>DJ°375</v>
      </c>
      <c r="L314" s="82" t="n">
        <f aca="false">IF(B314="","",IFERROR(INDEX('CARNET DE SOUDURE'!$D$7:$D$3006,MATCH(B314,'CARNET DE SOUDURE'!$L$7:$L$3006,0)),IFERROR(INDEX('CARNET DE SOUDURE'!$D$7:$D$3006,MATCH(B314,'CARNET DE SOUDURE'!$O$7:$O$3006,0)),"")))</f>
        <v>8</v>
      </c>
      <c r="M314" s="82" t="str">
        <f aca="false">IF(B314="","",IF(OR(J314&lt;&gt;"",K314&lt;&gt;""),"POSÉ EN LIGNE",IF(COUNTIF(BARDAGE!$C$1:$C$5000,B314)&gt;0,"BARDÉ","EN STOCK")))</f>
        <v>POSÉ EN LIGNE</v>
      </c>
      <c r="N314" s="80"/>
    </row>
    <row r="315" customFormat="false" ht="15" hidden="false" customHeight="false" outlineLevel="0" collapsed="false">
      <c r="A315" s="82" t="n">
        <f aca="false">IF(B315="","",ROW()-6)</f>
        <v>309</v>
      </c>
      <c r="B315" s="145" t="n">
        <v>2086170</v>
      </c>
      <c r="C315" s="146" t="n">
        <v>15421107</v>
      </c>
      <c r="D315" s="146"/>
      <c r="E315" s="82" t="str">
        <f aca="false">IF(B315="","",IF(COUNTIFS('CARNET DE SOUDURE'!$L$7:$L$3006,B315,'CARNET DE SOUDURE'!$M$7:$M$3006,"&lt;&gt;"&amp;C315,'CARNET DE SOUDURE'!$M$7:$M$3006,"&lt;&gt;")+COUNTIFS('CARNET DE SOUDURE'!$O$7:$O$3006,B315,'CARNET DE SOUDURE'!$P$7:$P$3006,"&lt;&gt;"&amp;C315,'CARNET DE SOUDURE'!$P$7:$P$3006,"&lt;&gt;")&gt;0,"⚠ DIFFÉRENTE","OK"))</f>
        <v>OK</v>
      </c>
      <c r="F315" s="147" t="n">
        <v>11.94</v>
      </c>
      <c r="G315" s="80"/>
      <c r="H315" s="83"/>
      <c r="I315" s="148" t="str">
        <f aca="false">IF(B315="","",IFERROR(INDEX('CARNET DE SOUDURE'!$B$7:$B$3006,MATCH(B315,'CARNET DE SOUDURE'!$L$7:$L$3006,0)),IFERROR(INDEX('CARNET DE SOUDURE'!$B$7:$B$3006,MATCH(B315,'CARNET DE SOUDURE'!$O$7:$O$3006,0)),"")))</f>
        <v>MFD-ISW → MFD-CPF</v>
      </c>
      <c r="J315" s="82" t="str">
        <f aca="false">IF(B315="","",IFERROR(INDEX('CARNET DE SOUDURE'!$E$7:$E$3006,MATCH(B315,'CARNET DE SOUDURE'!$O$7:$O$3006,0)),""))</f>
        <v>DJ°375</v>
      </c>
      <c r="K315" s="82" t="str">
        <f aca="false">IF(B315="","",IFERROR(INDEX('CARNET DE SOUDURE'!$E$7:$E$3006,MATCH(B315,'CARNET DE SOUDURE'!$L$7:$L$3006,0)),""))</f>
        <v>JN°984</v>
      </c>
      <c r="L315" s="82" t="n">
        <f aca="false">IF(B315="","",IFERROR(INDEX('CARNET DE SOUDURE'!$D$7:$D$3006,MATCH(B315,'CARNET DE SOUDURE'!$L$7:$L$3006,0)),IFERROR(INDEX('CARNET DE SOUDURE'!$D$7:$D$3006,MATCH(B315,'CARNET DE SOUDURE'!$O$7:$O$3006,0)),"")))</f>
        <v>8</v>
      </c>
      <c r="M315" s="82" t="str">
        <f aca="false">IF(B315="","",IF(OR(J315&lt;&gt;"",K315&lt;&gt;""),"POSÉ EN LIGNE",IF(COUNTIF(BARDAGE!$C$1:$C$5000,B315)&gt;0,"BARDÉ","EN STOCK")))</f>
        <v>POSÉ EN LIGNE</v>
      </c>
      <c r="N315" s="80"/>
    </row>
    <row r="316" customFormat="false" ht="15" hidden="false" customHeight="false" outlineLevel="0" collapsed="false">
      <c r="A316" s="82" t="n">
        <f aca="false">IF(B316="","",ROW()-6)</f>
        <v>310</v>
      </c>
      <c r="B316" s="145" t="n">
        <v>2096520</v>
      </c>
      <c r="C316" s="146" t="n">
        <v>15421111</v>
      </c>
      <c r="D316" s="146"/>
      <c r="E316" s="82" t="str">
        <f aca="false">IF(B316="","",IF(COUNTIFS('CARNET DE SOUDURE'!$L$7:$L$3006,B316,'CARNET DE SOUDURE'!$M$7:$M$3006,"&lt;&gt;"&amp;C316,'CARNET DE SOUDURE'!$M$7:$M$3006,"&lt;&gt;")+COUNTIFS('CARNET DE SOUDURE'!$O$7:$O$3006,B316,'CARNET DE SOUDURE'!$P$7:$P$3006,"&lt;&gt;"&amp;C316,'CARNET DE SOUDURE'!$P$7:$P$3006,"&lt;&gt;")&gt;0,"⚠ DIFFÉRENTE","OK"))</f>
        <v>OK</v>
      </c>
      <c r="F316" s="147" t="n">
        <v>11.94</v>
      </c>
      <c r="G316" s="80"/>
      <c r="H316" s="83"/>
      <c r="I316" s="148" t="str">
        <f aca="false">IF(B316="","",IFERROR(INDEX('CARNET DE SOUDURE'!$B$7:$B$3006,MATCH(B316,'CARNET DE SOUDURE'!$L$7:$L$3006,0)),IFERROR(INDEX('CARNET DE SOUDURE'!$B$7:$B$3006,MATCH(B316,'CARNET DE SOUDURE'!$O$7:$O$3006,0)),"")))</f>
        <v>MFD-ISW → MFD-CPF</v>
      </c>
      <c r="J316" s="82" t="str">
        <f aca="false">IF(B316="","",IFERROR(INDEX('CARNET DE SOUDURE'!$E$7:$E$3006,MATCH(B316,'CARNET DE SOUDURE'!$O$7:$O$3006,0)),""))</f>
        <v>JN°984</v>
      </c>
      <c r="K316" s="82" t="str">
        <f aca="false">IF(B316="","",IFERROR(INDEX('CARNET DE SOUDURE'!$E$7:$E$3006,MATCH(B316,'CARNET DE SOUDURE'!$L$7:$L$3006,0)),""))</f>
        <v>DJ°379</v>
      </c>
      <c r="L316" s="82" t="n">
        <f aca="false">IF(B316="","",IFERROR(INDEX('CARNET DE SOUDURE'!$D$7:$D$3006,MATCH(B316,'CARNET DE SOUDURE'!$L$7:$L$3006,0)),IFERROR(INDEX('CARNET DE SOUDURE'!$D$7:$D$3006,MATCH(B316,'CARNET DE SOUDURE'!$O$7:$O$3006,0)),"")))</f>
        <v>8</v>
      </c>
      <c r="M316" s="82" t="str">
        <f aca="false">IF(B316="","",IF(OR(J316&lt;&gt;"",K316&lt;&gt;""),"POSÉ EN LIGNE",IF(COUNTIF(BARDAGE!$C$1:$C$5000,B316)&gt;0,"BARDÉ","EN STOCK")))</f>
        <v>POSÉ EN LIGNE</v>
      </c>
      <c r="N316" s="80"/>
    </row>
    <row r="317" customFormat="false" ht="15" hidden="false" customHeight="false" outlineLevel="0" collapsed="false">
      <c r="A317" s="82" t="n">
        <f aca="false">IF(B317="","",ROW()-6)</f>
        <v>311</v>
      </c>
      <c r="B317" s="145" t="n">
        <v>2088660</v>
      </c>
      <c r="C317" s="146" t="n">
        <v>15421108</v>
      </c>
      <c r="D317" s="146"/>
      <c r="E317" s="82" t="str">
        <f aca="false">IF(B317="","",IF(COUNTIFS('CARNET DE SOUDURE'!$L$7:$L$3006,B317,'CARNET DE SOUDURE'!$M$7:$M$3006,"&lt;&gt;"&amp;C317,'CARNET DE SOUDURE'!$M$7:$M$3006,"&lt;&gt;")+COUNTIFS('CARNET DE SOUDURE'!$O$7:$O$3006,B317,'CARNET DE SOUDURE'!$P$7:$P$3006,"&lt;&gt;"&amp;C317,'CARNET DE SOUDURE'!$P$7:$P$3006,"&lt;&gt;")&gt;0,"⚠ DIFFÉRENTE","OK"))</f>
        <v>OK</v>
      </c>
      <c r="F317" s="147" t="n">
        <v>11.94</v>
      </c>
      <c r="G317" s="80"/>
      <c r="H317" s="83"/>
      <c r="I317" s="148" t="str">
        <f aca="false">IF(B317="","",IFERROR(INDEX('CARNET DE SOUDURE'!$B$7:$B$3006,MATCH(B317,'CARNET DE SOUDURE'!$L$7:$L$3006,0)),IFERROR(INDEX('CARNET DE SOUDURE'!$B$7:$B$3006,MATCH(B317,'CARNET DE SOUDURE'!$O$7:$O$3006,0)),"")))</f>
        <v>MFD-ISW → MFD-CPF</v>
      </c>
      <c r="J317" s="82" t="str">
        <f aca="false">IF(B317="","",IFERROR(INDEX('CARNET DE SOUDURE'!$E$7:$E$3006,MATCH(B317,'CARNET DE SOUDURE'!$O$7:$O$3006,0)),""))</f>
        <v>JN°985</v>
      </c>
      <c r="K317" s="82" t="str">
        <f aca="false">IF(B317="","",IFERROR(INDEX('CARNET DE SOUDURE'!$E$7:$E$3006,MATCH(B317,'CARNET DE SOUDURE'!$L$7:$L$3006,0)),""))</f>
        <v>DJ°376</v>
      </c>
      <c r="L317" s="82" t="n">
        <f aca="false">IF(B317="","",IFERROR(INDEX('CARNET DE SOUDURE'!$D$7:$D$3006,MATCH(B317,'CARNET DE SOUDURE'!$L$7:$L$3006,0)),IFERROR(INDEX('CARNET DE SOUDURE'!$D$7:$D$3006,MATCH(B317,'CARNET DE SOUDURE'!$O$7:$O$3006,0)),"")))</f>
        <v>8</v>
      </c>
      <c r="M317" s="82" t="str">
        <f aca="false">IF(B317="","",IF(OR(J317&lt;&gt;"",K317&lt;&gt;""),"POSÉ EN LIGNE",IF(COUNTIF(BARDAGE!$C$1:$C$5000,B317)&gt;0,"BARDÉ","EN STOCK")))</f>
        <v>POSÉ EN LIGNE</v>
      </c>
      <c r="N317" s="80"/>
    </row>
    <row r="318" customFormat="false" ht="15" hidden="false" customHeight="false" outlineLevel="0" collapsed="false">
      <c r="A318" s="82" t="n">
        <f aca="false">IF(B318="","",ROW()-6)</f>
        <v>312</v>
      </c>
      <c r="B318" s="145" t="n">
        <v>2098400</v>
      </c>
      <c r="C318" s="146" t="n">
        <v>15421112</v>
      </c>
      <c r="D318" s="146"/>
      <c r="E318" s="82" t="str">
        <f aca="false">IF(B318="","",IF(COUNTIFS('CARNET DE SOUDURE'!$L$7:$L$3006,B318,'CARNET DE SOUDURE'!$M$7:$M$3006,"&lt;&gt;"&amp;C318,'CARNET DE SOUDURE'!$M$7:$M$3006,"&lt;&gt;")+COUNTIFS('CARNET DE SOUDURE'!$O$7:$O$3006,B318,'CARNET DE SOUDURE'!$P$7:$P$3006,"&lt;&gt;"&amp;C318,'CARNET DE SOUDURE'!$P$7:$P$3006,"&lt;&gt;")&gt;0,"⚠ DIFFÉRENTE","OK"))</f>
        <v>OK</v>
      </c>
      <c r="F318" s="147" t="n">
        <v>11.94</v>
      </c>
      <c r="G318" s="80"/>
      <c r="H318" s="83"/>
      <c r="I318" s="148" t="str">
        <f aca="false">IF(B318="","",IFERROR(INDEX('CARNET DE SOUDURE'!$B$7:$B$3006,MATCH(B318,'CARNET DE SOUDURE'!$L$7:$L$3006,0)),IFERROR(INDEX('CARNET DE SOUDURE'!$B$7:$B$3006,MATCH(B318,'CARNET DE SOUDURE'!$O$7:$O$3006,0)),"")))</f>
        <v>MFD-ISW → MFD-CPF</v>
      </c>
      <c r="J318" s="82" t="str">
        <f aca="false">IF(B318="","",IFERROR(INDEX('CARNET DE SOUDURE'!$E$7:$E$3006,MATCH(B318,'CARNET DE SOUDURE'!$O$7:$O$3006,0)),""))</f>
        <v>DJ°376</v>
      </c>
      <c r="K318" s="82" t="str">
        <f aca="false">IF(B318="","",IFERROR(INDEX('CARNET DE SOUDURE'!$E$7:$E$3006,MATCH(B318,'CARNET DE SOUDURE'!$L$7:$L$3006,0)),""))</f>
        <v>JN°986</v>
      </c>
      <c r="L318" s="82" t="n">
        <f aca="false">IF(B318="","",IFERROR(INDEX('CARNET DE SOUDURE'!$D$7:$D$3006,MATCH(B318,'CARNET DE SOUDURE'!$L$7:$L$3006,0)),IFERROR(INDEX('CARNET DE SOUDURE'!$D$7:$D$3006,MATCH(B318,'CARNET DE SOUDURE'!$O$7:$O$3006,0)),"")))</f>
        <v>8</v>
      </c>
      <c r="M318" s="82" t="str">
        <f aca="false">IF(B318="","",IF(OR(J318&lt;&gt;"",K318&lt;&gt;""),"POSÉ EN LIGNE",IF(COUNTIF(BARDAGE!$C$1:$C$5000,B318)&gt;0,"BARDÉ","EN STOCK")))</f>
        <v>POSÉ EN LIGNE</v>
      </c>
      <c r="N318" s="80"/>
    </row>
    <row r="319" customFormat="false" ht="15" hidden="false" customHeight="false" outlineLevel="0" collapsed="false">
      <c r="A319" s="82" t="n">
        <f aca="false">IF(B319="","",ROW()-6)</f>
        <v>313</v>
      </c>
      <c r="B319" s="145" t="n">
        <v>2097040</v>
      </c>
      <c r="C319" s="146" t="n">
        <v>15421111</v>
      </c>
      <c r="D319" s="146"/>
      <c r="E319" s="82" t="str">
        <f aca="false">IF(B319="","",IF(COUNTIFS('CARNET DE SOUDURE'!$L$7:$L$3006,B319,'CARNET DE SOUDURE'!$M$7:$M$3006,"&lt;&gt;"&amp;C319,'CARNET DE SOUDURE'!$M$7:$M$3006,"&lt;&gt;")+COUNTIFS('CARNET DE SOUDURE'!$O$7:$O$3006,B319,'CARNET DE SOUDURE'!$P$7:$P$3006,"&lt;&gt;"&amp;C319,'CARNET DE SOUDURE'!$P$7:$P$3006,"&lt;&gt;")&gt;0,"⚠ DIFFÉRENTE","OK"))</f>
        <v>OK</v>
      </c>
      <c r="F319" s="147" t="n">
        <v>11.94</v>
      </c>
      <c r="G319" s="80"/>
      <c r="H319" s="83"/>
      <c r="I319" s="148" t="str">
        <f aca="false">IF(B319="","",IFERROR(INDEX('CARNET DE SOUDURE'!$B$7:$B$3006,MATCH(B319,'CARNET DE SOUDURE'!$L$7:$L$3006,0)),IFERROR(INDEX('CARNET DE SOUDURE'!$B$7:$B$3006,MATCH(B319,'CARNET DE SOUDURE'!$O$7:$O$3006,0)),"")))</f>
        <v>MFD-ISW → MFD-CPF</v>
      </c>
      <c r="J319" s="82" t="str">
        <f aca="false">IF(B319="","",IFERROR(INDEX('CARNET DE SOUDURE'!$E$7:$E$3006,MATCH(B319,'CARNET DE SOUDURE'!$O$7:$O$3006,0)),""))</f>
        <v>JN°989</v>
      </c>
      <c r="K319" s="82" t="str">
        <f aca="false">IF(B319="","",IFERROR(INDEX('CARNET DE SOUDURE'!$E$7:$E$3006,MATCH(B319,'CARNET DE SOUDURE'!$L$7:$L$3006,0)),""))</f>
        <v>JN°990</v>
      </c>
      <c r="L319" s="82" t="n">
        <f aca="false">IF(B319="","",IFERROR(INDEX('CARNET DE SOUDURE'!$D$7:$D$3006,MATCH(B319,'CARNET DE SOUDURE'!$L$7:$L$3006,0)),IFERROR(INDEX('CARNET DE SOUDURE'!$D$7:$D$3006,MATCH(B319,'CARNET DE SOUDURE'!$O$7:$O$3006,0)),"")))</f>
        <v>8</v>
      </c>
      <c r="M319" s="82" t="str">
        <f aca="false">IF(B319="","",IF(OR(J319&lt;&gt;"",K319&lt;&gt;""),"POSÉ EN LIGNE",IF(COUNTIF(BARDAGE!$C$1:$C$5000,B319)&gt;0,"BARDÉ","EN STOCK")))</f>
        <v>POSÉ EN LIGNE</v>
      </c>
      <c r="N319" s="80"/>
    </row>
    <row r="320" customFormat="false" ht="15" hidden="false" customHeight="false" outlineLevel="0" collapsed="false">
      <c r="A320" s="82" t="n">
        <f aca="false">IF(B320="","",ROW()-6)</f>
        <v>314</v>
      </c>
      <c r="B320" s="145" t="n">
        <v>2082540</v>
      </c>
      <c r="C320" s="146" t="n">
        <v>15421104</v>
      </c>
      <c r="D320" s="146"/>
      <c r="E320" s="82" t="str">
        <f aca="false">IF(B320="","",IF(COUNTIFS('CARNET DE SOUDURE'!$L$7:$L$3006,B320,'CARNET DE SOUDURE'!$M$7:$M$3006,"&lt;&gt;"&amp;C320,'CARNET DE SOUDURE'!$M$7:$M$3006,"&lt;&gt;")+COUNTIFS('CARNET DE SOUDURE'!$O$7:$O$3006,B320,'CARNET DE SOUDURE'!$P$7:$P$3006,"&lt;&gt;"&amp;C320,'CARNET DE SOUDURE'!$P$7:$P$3006,"&lt;&gt;")&gt;0,"⚠ DIFFÉRENTE","OK"))</f>
        <v>OK</v>
      </c>
      <c r="F320" s="147" t="n">
        <v>11.94</v>
      </c>
      <c r="G320" s="80"/>
      <c r="H320" s="83"/>
      <c r="I320" s="148" t="str">
        <f aca="false">IF(B320="","",IFERROR(INDEX('CARNET DE SOUDURE'!$B$7:$B$3006,MATCH(B320,'CARNET DE SOUDURE'!$L$7:$L$3006,0)),IFERROR(INDEX('CARNET DE SOUDURE'!$B$7:$B$3006,MATCH(B320,'CARNET DE SOUDURE'!$O$7:$O$3006,0)),"")))</f>
        <v>MFD-ISW → MFD-CPF</v>
      </c>
      <c r="J320" s="82" t="str">
        <f aca="false">IF(B320="","",IFERROR(INDEX('CARNET DE SOUDURE'!$E$7:$E$3006,MATCH(B320,'CARNET DE SOUDURE'!$O$7:$O$3006,0)),""))</f>
        <v>JN°990</v>
      </c>
      <c r="K320" s="82" t="str">
        <f aca="false">IF(B320="","",IFERROR(INDEX('CARNET DE SOUDURE'!$E$7:$E$3006,MATCH(B320,'CARNET DE SOUDURE'!$L$7:$L$3006,0)),""))</f>
        <v>JN°991</v>
      </c>
      <c r="L320" s="82" t="n">
        <f aca="false">IF(B320="","",IFERROR(INDEX('CARNET DE SOUDURE'!$D$7:$D$3006,MATCH(B320,'CARNET DE SOUDURE'!$L$7:$L$3006,0)),IFERROR(INDEX('CARNET DE SOUDURE'!$D$7:$D$3006,MATCH(B320,'CARNET DE SOUDURE'!$O$7:$O$3006,0)),"")))</f>
        <v>8</v>
      </c>
      <c r="M320" s="82" t="str">
        <f aca="false">IF(B320="","",IF(OR(J320&lt;&gt;"",K320&lt;&gt;""),"POSÉ EN LIGNE",IF(COUNTIF(BARDAGE!$C$1:$C$5000,B320)&gt;0,"BARDÉ","EN STOCK")))</f>
        <v>POSÉ EN LIGNE</v>
      </c>
      <c r="N320" s="80"/>
    </row>
    <row r="321" customFormat="false" ht="15" hidden="false" customHeight="false" outlineLevel="0" collapsed="false">
      <c r="A321" s="82" t="n">
        <f aca="false">IF(B321="","",ROW()-6)</f>
        <v>315</v>
      </c>
      <c r="B321" s="145" t="n">
        <v>2092190</v>
      </c>
      <c r="C321" s="146" t="n">
        <v>15421110</v>
      </c>
      <c r="D321" s="146"/>
      <c r="E321" s="82" t="str">
        <f aca="false">IF(B321="","",IF(COUNTIFS('CARNET DE SOUDURE'!$L$7:$L$3006,B321,'CARNET DE SOUDURE'!$M$7:$M$3006,"&lt;&gt;"&amp;C321,'CARNET DE SOUDURE'!$M$7:$M$3006,"&lt;&gt;")+COUNTIFS('CARNET DE SOUDURE'!$O$7:$O$3006,B321,'CARNET DE SOUDURE'!$P$7:$P$3006,"&lt;&gt;"&amp;C321,'CARNET DE SOUDURE'!$P$7:$P$3006,"&lt;&gt;")&gt;0,"⚠ DIFFÉRENTE","OK"))</f>
        <v>OK</v>
      </c>
      <c r="F321" s="147" t="n">
        <v>11.94</v>
      </c>
      <c r="G321" s="80"/>
      <c r="H321" s="83"/>
      <c r="I321" s="148" t="str">
        <f aca="false">IF(B321="","",IFERROR(INDEX('CARNET DE SOUDURE'!$B$7:$B$3006,MATCH(B321,'CARNET DE SOUDURE'!$L$7:$L$3006,0)),IFERROR(INDEX('CARNET DE SOUDURE'!$B$7:$B$3006,MATCH(B321,'CARNET DE SOUDURE'!$O$7:$O$3006,0)),"")))</f>
        <v>MFD-ISW → MFD-CPF</v>
      </c>
      <c r="J321" s="82" t="str">
        <f aca="false">IF(B321="","",IFERROR(INDEX('CARNET DE SOUDURE'!$E$7:$E$3006,MATCH(B321,'CARNET DE SOUDURE'!$O$7:$O$3006,0)),""))</f>
        <v>JN°991</v>
      </c>
      <c r="K321" s="82" t="str">
        <f aca="false">IF(B321="","",IFERROR(INDEX('CARNET DE SOUDURE'!$E$7:$E$3006,MATCH(B321,'CARNET DE SOUDURE'!$L$7:$L$3006,0)),""))</f>
        <v>JN°992</v>
      </c>
      <c r="L321" s="82" t="n">
        <f aca="false">IF(B321="","",IFERROR(INDEX('CARNET DE SOUDURE'!$D$7:$D$3006,MATCH(B321,'CARNET DE SOUDURE'!$L$7:$L$3006,0)),IFERROR(INDEX('CARNET DE SOUDURE'!$D$7:$D$3006,MATCH(B321,'CARNET DE SOUDURE'!$O$7:$O$3006,0)),"")))</f>
        <v>8</v>
      </c>
      <c r="M321" s="82" t="str">
        <f aca="false">IF(B321="","",IF(OR(J321&lt;&gt;"",K321&lt;&gt;""),"POSÉ EN LIGNE",IF(COUNTIF(BARDAGE!$C$1:$C$5000,B321)&gt;0,"BARDÉ","EN STOCK")))</f>
        <v>POSÉ EN LIGNE</v>
      </c>
      <c r="N321" s="80"/>
    </row>
    <row r="322" customFormat="false" ht="15" hidden="false" customHeight="false" outlineLevel="0" collapsed="false">
      <c r="A322" s="82" t="n">
        <f aca="false">IF(B322="","",ROW()-6)</f>
        <v>316</v>
      </c>
      <c r="B322" s="145" t="n">
        <v>2080380</v>
      </c>
      <c r="C322" s="146" t="n">
        <v>15421103</v>
      </c>
      <c r="D322" s="146"/>
      <c r="E322" s="82" t="str">
        <f aca="false">IF(B322="","",IF(COUNTIFS('CARNET DE SOUDURE'!$L$7:$L$3006,B322,'CARNET DE SOUDURE'!$M$7:$M$3006,"&lt;&gt;"&amp;C322,'CARNET DE SOUDURE'!$M$7:$M$3006,"&lt;&gt;")+COUNTIFS('CARNET DE SOUDURE'!$O$7:$O$3006,B322,'CARNET DE SOUDURE'!$P$7:$P$3006,"&lt;&gt;"&amp;C322,'CARNET DE SOUDURE'!$P$7:$P$3006,"&lt;&gt;")&gt;0,"⚠ DIFFÉRENTE","OK"))</f>
        <v>OK</v>
      </c>
      <c r="F322" s="147" t="n">
        <v>11.94</v>
      </c>
      <c r="G322" s="80"/>
      <c r="H322" s="83"/>
      <c r="I322" s="148" t="str">
        <f aca="false">IF(B322="","",IFERROR(INDEX('CARNET DE SOUDURE'!$B$7:$B$3006,MATCH(B322,'CARNET DE SOUDURE'!$L$7:$L$3006,0)),IFERROR(INDEX('CARNET DE SOUDURE'!$B$7:$B$3006,MATCH(B322,'CARNET DE SOUDURE'!$O$7:$O$3006,0)),"")))</f>
        <v>MFD-ISW → MFD-CPF</v>
      </c>
      <c r="J322" s="82" t="str">
        <f aca="false">IF(B322="","",IFERROR(INDEX('CARNET DE SOUDURE'!$E$7:$E$3006,MATCH(B322,'CARNET DE SOUDURE'!$O$7:$O$3006,0)),""))</f>
        <v>JN°992</v>
      </c>
      <c r="K322" s="82" t="str">
        <f aca="false">IF(B322="","",IFERROR(INDEX('CARNET DE SOUDURE'!$E$7:$E$3006,MATCH(B322,'CARNET DE SOUDURE'!$L$7:$L$3006,0)),""))</f>
        <v>JN°993</v>
      </c>
      <c r="L322" s="82" t="n">
        <f aca="false">IF(B322="","",IFERROR(INDEX('CARNET DE SOUDURE'!$D$7:$D$3006,MATCH(B322,'CARNET DE SOUDURE'!$L$7:$L$3006,0)),IFERROR(INDEX('CARNET DE SOUDURE'!$D$7:$D$3006,MATCH(B322,'CARNET DE SOUDURE'!$O$7:$O$3006,0)),"")))</f>
        <v>8</v>
      </c>
      <c r="M322" s="82" t="str">
        <f aca="false">IF(B322="","",IF(OR(J322&lt;&gt;"",K322&lt;&gt;""),"POSÉ EN LIGNE",IF(COUNTIF(BARDAGE!$C$1:$C$5000,B322)&gt;0,"BARDÉ","EN STOCK")))</f>
        <v>POSÉ EN LIGNE</v>
      </c>
      <c r="N322" s="80"/>
    </row>
    <row r="323" customFormat="false" ht="15" hidden="false" customHeight="false" outlineLevel="0" collapsed="false">
      <c r="A323" s="82" t="n">
        <f aca="false">IF(B323="","",ROW()-6)</f>
        <v>317</v>
      </c>
      <c r="B323" s="145" t="n">
        <v>2087480</v>
      </c>
      <c r="C323" s="146" t="n">
        <v>15421107</v>
      </c>
      <c r="D323" s="146"/>
      <c r="E323" s="82" t="str">
        <f aca="false">IF(B323="","",IF(COUNTIFS('CARNET DE SOUDURE'!$L$7:$L$3006,B323,'CARNET DE SOUDURE'!$M$7:$M$3006,"&lt;&gt;"&amp;C323,'CARNET DE SOUDURE'!$M$7:$M$3006,"&lt;&gt;")+COUNTIFS('CARNET DE SOUDURE'!$O$7:$O$3006,B323,'CARNET DE SOUDURE'!$P$7:$P$3006,"&lt;&gt;"&amp;C323,'CARNET DE SOUDURE'!$P$7:$P$3006,"&lt;&gt;")&gt;0,"⚠ DIFFÉRENTE","OK"))</f>
        <v>OK</v>
      </c>
      <c r="F323" s="147" t="n">
        <v>11.94</v>
      </c>
      <c r="G323" s="80"/>
      <c r="H323" s="83"/>
      <c r="I323" s="148" t="str">
        <f aca="false">IF(B323="","",IFERROR(INDEX('CARNET DE SOUDURE'!$B$7:$B$3006,MATCH(B323,'CARNET DE SOUDURE'!$L$7:$L$3006,0)),IFERROR(INDEX('CARNET DE SOUDURE'!$B$7:$B$3006,MATCH(B323,'CARNET DE SOUDURE'!$O$7:$O$3006,0)),"")))</f>
        <v>MFD-ISW → MFD-CPF</v>
      </c>
      <c r="J323" s="82" t="str">
        <f aca="false">IF(B323="","",IFERROR(INDEX('CARNET DE SOUDURE'!$E$7:$E$3006,MATCH(B323,'CARNET DE SOUDURE'!$O$7:$O$3006,0)),""))</f>
        <v>JN°993</v>
      </c>
      <c r="K323" s="82" t="str">
        <f aca="false">IF(B323="","",IFERROR(INDEX('CARNET DE SOUDURE'!$E$7:$E$3006,MATCH(B323,'CARNET DE SOUDURE'!$L$7:$L$3006,0)),""))</f>
        <v>JN°994</v>
      </c>
      <c r="L323" s="82" t="n">
        <f aca="false">IF(B323="","",IFERROR(INDEX('CARNET DE SOUDURE'!$D$7:$D$3006,MATCH(B323,'CARNET DE SOUDURE'!$L$7:$L$3006,0)),IFERROR(INDEX('CARNET DE SOUDURE'!$D$7:$D$3006,MATCH(B323,'CARNET DE SOUDURE'!$O$7:$O$3006,0)),"")))</f>
        <v>8</v>
      </c>
      <c r="M323" s="82" t="str">
        <f aca="false">IF(B323="","",IF(OR(J323&lt;&gt;"",K323&lt;&gt;""),"POSÉ EN LIGNE",IF(COUNTIF(BARDAGE!$C$1:$C$5000,B323)&gt;0,"BARDÉ","EN STOCK")))</f>
        <v>POSÉ EN LIGNE</v>
      </c>
      <c r="N323" s="80"/>
    </row>
    <row r="324" customFormat="false" ht="15" hidden="false" customHeight="false" outlineLevel="0" collapsed="false">
      <c r="A324" s="82" t="n">
        <f aca="false">IF(B324="","",ROW()-6)</f>
        <v>318</v>
      </c>
      <c r="B324" s="145" t="n">
        <v>2080790</v>
      </c>
      <c r="C324" s="146" t="n">
        <v>15421103</v>
      </c>
      <c r="D324" s="146"/>
      <c r="E324" s="82" t="str">
        <f aca="false">IF(B324="","",IF(COUNTIFS('CARNET DE SOUDURE'!$L$7:$L$3006,B324,'CARNET DE SOUDURE'!$M$7:$M$3006,"&lt;&gt;"&amp;C324,'CARNET DE SOUDURE'!$M$7:$M$3006,"&lt;&gt;")+COUNTIFS('CARNET DE SOUDURE'!$O$7:$O$3006,B324,'CARNET DE SOUDURE'!$P$7:$P$3006,"&lt;&gt;"&amp;C324,'CARNET DE SOUDURE'!$P$7:$P$3006,"&lt;&gt;")&gt;0,"⚠ DIFFÉRENTE","OK"))</f>
        <v>OK</v>
      </c>
      <c r="F324" s="147" t="n">
        <v>11.94</v>
      </c>
      <c r="G324" s="80"/>
      <c r="H324" s="83"/>
      <c r="I324" s="148" t="str">
        <f aca="false">IF(B324="","",IFERROR(INDEX('CARNET DE SOUDURE'!$B$7:$B$3006,MATCH(B324,'CARNET DE SOUDURE'!$L$7:$L$3006,0)),IFERROR(INDEX('CARNET DE SOUDURE'!$B$7:$B$3006,MATCH(B324,'CARNET DE SOUDURE'!$O$7:$O$3006,0)),"")))</f>
        <v>MFD-ISW → MFD-CPF</v>
      </c>
      <c r="J324" s="82" t="str">
        <f aca="false">IF(B324="","",IFERROR(INDEX('CARNET DE SOUDURE'!$E$7:$E$3006,MATCH(B324,'CARNET DE SOUDURE'!$O$7:$O$3006,0)),""))</f>
        <v>JN°994</v>
      </c>
      <c r="K324" s="82" t="str">
        <f aca="false">IF(B324="","",IFERROR(INDEX('CARNET DE SOUDURE'!$E$7:$E$3006,MATCH(B324,'CARNET DE SOUDURE'!$L$7:$L$3006,0)),""))</f>
        <v>DJ°380</v>
      </c>
      <c r="L324" s="82" t="n">
        <f aca="false">IF(B324="","",IFERROR(INDEX('CARNET DE SOUDURE'!$D$7:$D$3006,MATCH(B324,'CARNET DE SOUDURE'!$L$7:$L$3006,0)),IFERROR(INDEX('CARNET DE SOUDURE'!$D$7:$D$3006,MATCH(B324,'CARNET DE SOUDURE'!$O$7:$O$3006,0)),"")))</f>
        <v>8</v>
      </c>
      <c r="M324" s="82" t="str">
        <f aca="false">IF(B324="","",IF(OR(J324&lt;&gt;"",K324&lt;&gt;""),"POSÉ EN LIGNE",IF(COUNTIF(BARDAGE!$C$1:$C$5000,B324)&gt;0,"BARDÉ","EN STOCK")))</f>
        <v>POSÉ EN LIGNE</v>
      </c>
      <c r="N324" s="80"/>
    </row>
    <row r="325" customFormat="false" ht="15" hidden="false" customHeight="false" outlineLevel="0" collapsed="false">
      <c r="A325" s="82" t="n">
        <f aca="false">IF(B325="","",ROW()-6)</f>
        <v>319</v>
      </c>
      <c r="B325" s="145" t="n">
        <v>2079180</v>
      </c>
      <c r="C325" s="146" t="n">
        <v>15421102</v>
      </c>
      <c r="D325" s="146"/>
      <c r="E325" s="82" t="str">
        <f aca="false">IF(B325="","",IF(COUNTIFS('CARNET DE SOUDURE'!$L$7:$L$3006,B325,'CARNET DE SOUDURE'!$M$7:$M$3006,"&lt;&gt;"&amp;C325,'CARNET DE SOUDURE'!$M$7:$M$3006,"&lt;&gt;")+COUNTIFS('CARNET DE SOUDURE'!$O$7:$O$3006,B325,'CARNET DE SOUDURE'!$P$7:$P$3006,"&lt;&gt;"&amp;C325,'CARNET DE SOUDURE'!$P$7:$P$3006,"&lt;&gt;")&gt;0,"⚠ DIFFÉRENTE","OK"))</f>
        <v>OK</v>
      </c>
      <c r="F325" s="147" t="n">
        <v>11.94</v>
      </c>
      <c r="G325" s="80"/>
      <c r="H325" s="83"/>
      <c r="I325" s="148" t="str">
        <f aca="false">IF(B325="","",IFERROR(INDEX('CARNET DE SOUDURE'!$B$7:$B$3006,MATCH(B325,'CARNET DE SOUDURE'!$L$7:$L$3006,0)),IFERROR(INDEX('CARNET DE SOUDURE'!$B$7:$B$3006,MATCH(B325,'CARNET DE SOUDURE'!$O$7:$O$3006,0)),"")))</f>
        <v>MFD-ISW → MFD-CPF</v>
      </c>
      <c r="J325" s="82" t="str">
        <f aca="false">IF(B325="","",IFERROR(INDEX('CARNET DE SOUDURE'!$E$7:$E$3006,MATCH(B325,'CARNET DE SOUDURE'!$O$7:$O$3006,0)),""))</f>
        <v>DJ°380</v>
      </c>
      <c r="K325" s="82" t="str">
        <f aca="false">IF(B325="","",IFERROR(INDEX('CARNET DE SOUDURE'!$E$7:$E$3006,MATCH(B325,'CARNET DE SOUDURE'!$L$7:$L$3006,0)),""))</f>
        <v>JN°995</v>
      </c>
      <c r="L325" s="82" t="n">
        <f aca="false">IF(B325="","",IFERROR(INDEX('CARNET DE SOUDURE'!$D$7:$D$3006,MATCH(B325,'CARNET DE SOUDURE'!$L$7:$L$3006,0)),IFERROR(INDEX('CARNET DE SOUDURE'!$D$7:$D$3006,MATCH(B325,'CARNET DE SOUDURE'!$O$7:$O$3006,0)),"")))</f>
        <v>8</v>
      </c>
      <c r="M325" s="82" t="str">
        <f aca="false">IF(B325="","",IF(OR(J325&lt;&gt;"",K325&lt;&gt;""),"POSÉ EN LIGNE",IF(COUNTIF(BARDAGE!$C$1:$C$5000,B325)&gt;0,"BARDÉ","EN STOCK")))</f>
        <v>POSÉ EN LIGNE</v>
      </c>
      <c r="N325" s="80"/>
    </row>
    <row r="326" customFormat="false" ht="15" hidden="false" customHeight="false" outlineLevel="0" collapsed="false">
      <c r="A326" s="82" t="n">
        <f aca="false">IF(B326="","",ROW()-6)</f>
        <v>320</v>
      </c>
      <c r="B326" s="145" t="n">
        <v>2082860</v>
      </c>
      <c r="C326" s="146" t="n">
        <v>15421105</v>
      </c>
      <c r="D326" s="146"/>
      <c r="E326" s="82" t="str">
        <f aca="false">IF(B326="","",IF(COUNTIFS('CARNET DE SOUDURE'!$L$7:$L$3006,B326,'CARNET DE SOUDURE'!$M$7:$M$3006,"&lt;&gt;"&amp;C326,'CARNET DE SOUDURE'!$M$7:$M$3006,"&lt;&gt;")+COUNTIFS('CARNET DE SOUDURE'!$O$7:$O$3006,B326,'CARNET DE SOUDURE'!$P$7:$P$3006,"&lt;&gt;"&amp;C326,'CARNET DE SOUDURE'!$P$7:$P$3006,"&lt;&gt;")&gt;0,"⚠ DIFFÉRENTE","OK"))</f>
        <v>OK</v>
      </c>
      <c r="F326" s="147" t="n">
        <v>11.94</v>
      </c>
      <c r="G326" s="80"/>
      <c r="H326" s="83"/>
      <c r="I326" s="148" t="str">
        <f aca="false">IF(B326="","",IFERROR(INDEX('CARNET DE SOUDURE'!$B$7:$B$3006,MATCH(B326,'CARNET DE SOUDURE'!$L$7:$L$3006,0)),IFERROR(INDEX('CARNET DE SOUDURE'!$B$7:$B$3006,MATCH(B326,'CARNET DE SOUDURE'!$O$7:$O$3006,0)),"")))</f>
        <v>MFD-ISW → MFD-CPF</v>
      </c>
      <c r="J326" s="82" t="str">
        <f aca="false">IF(B326="","",IFERROR(INDEX('CARNET DE SOUDURE'!$E$7:$E$3006,MATCH(B326,'CARNET DE SOUDURE'!$O$7:$O$3006,0)),""))</f>
        <v>JN°995</v>
      </c>
      <c r="K326" s="82" t="str">
        <f aca="false">IF(B326="","",IFERROR(INDEX('CARNET DE SOUDURE'!$E$7:$E$3006,MATCH(B326,'CARNET DE SOUDURE'!$L$7:$L$3006,0)),""))</f>
        <v>JN°996</v>
      </c>
      <c r="L326" s="82" t="n">
        <f aca="false">IF(B326="","",IFERROR(INDEX('CARNET DE SOUDURE'!$D$7:$D$3006,MATCH(B326,'CARNET DE SOUDURE'!$L$7:$L$3006,0)),IFERROR(INDEX('CARNET DE SOUDURE'!$D$7:$D$3006,MATCH(B326,'CARNET DE SOUDURE'!$O$7:$O$3006,0)),"")))</f>
        <v>8</v>
      </c>
      <c r="M326" s="82" t="str">
        <f aca="false">IF(B326="","",IF(OR(J326&lt;&gt;"",K326&lt;&gt;""),"POSÉ EN LIGNE",IF(COUNTIF(BARDAGE!$C$1:$C$5000,B326)&gt;0,"BARDÉ","EN STOCK")))</f>
        <v>POSÉ EN LIGNE</v>
      </c>
      <c r="N326" s="80"/>
    </row>
    <row r="327" customFormat="false" ht="15" hidden="false" customHeight="false" outlineLevel="0" collapsed="false">
      <c r="A327" s="82" t="n">
        <f aca="false">IF(B327="","",ROW()-6)</f>
        <v>321</v>
      </c>
      <c r="B327" s="145" t="n">
        <v>2079430</v>
      </c>
      <c r="C327" s="146" t="n">
        <v>15421102</v>
      </c>
      <c r="D327" s="146"/>
      <c r="E327" s="82" t="str">
        <f aca="false">IF(B327="","",IF(COUNTIFS('CARNET DE SOUDURE'!$L$7:$L$3006,B327,'CARNET DE SOUDURE'!$M$7:$M$3006,"&lt;&gt;"&amp;C327,'CARNET DE SOUDURE'!$M$7:$M$3006,"&lt;&gt;")+COUNTIFS('CARNET DE SOUDURE'!$O$7:$O$3006,B327,'CARNET DE SOUDURE'!$P$7:$P$3006,"&lt;&gt;"&amp;C327,'CARNET DE SOUDURE'!$P$7:$P$3006,"&lt;&gt;")&gt;0,"⚠ DIFFÉRENTE","OK"))</f>
        <v>OK</v>
      </c>
      <c r="F327" s="147" t="n">
        <v>11.94</v>
      </c>
      <c r="G327" s="80"/>
      <c r="H327" s="83"/>
      <c r="I327" s="148" t="str">
        <f aca="false">IF(B327="","",IFERROR(INDEX('CARNET DE SOUDURE'!$B$7:$B$3006,MATCH(B327,'CARNET DE SOUDURE'!$L$7:$L$3006,0)),IFERROR(INDEX('CARNET DE SOUDURE'!$B$7:$B$3006,MATCH(B327,'CARNET DE SOUDURE'!$O$7:$O$3006,0)),"")))</f>
        <v>MFD-ISW → MFD-CPF</v>
      </c>
      <c r="J327" s="82" t="str">
        <f aca="false">IF(B327="","",IFERROR(INDEX('CARNET DE SOUDURE'!$E$7:$E$3006,MATCH(B327,'CARNET DE SOUDURE'!$O$7:$O$3006,0)),""))</f>
        <v>JN°996</v>
      </c>
      <c r="K327" s="82" t="str">
        <f aca="false">IF(B327="","",IFERROR(INDEX('CARNET DE SOUDURE'!$E$7:$E$3006,MATCH(B327,'CARNET DE SOUDURE'!$L$7:$L$3006,0)),""))</f>
        <v>JN°997</v>
      </c>
      <c r="L327" s="82" t="n">
        <f aca="false">IF(B327="","",IFERROR(INDEX('CARNET DE SOUDURE'!$D$7:$D$3006,MATCH(B327,'CARNET DE SOUDURE'!$L$7:$L$3006,0)),IFERROR(INDEX('CARNET DE SOUDURE'!$D$7:$D$3006,MATCH(B327,'CARNET DE SOUDURE'!$O$7:$O$3006,0)),"")))</f>
        <v>8</v>
      </c>
      <c r="M327" s="82" t="str">
        <f aca="false">IF(B327="","",IF(OR(J327&lt;&gt;"",K327&lt;&gt;""),"POSÉ EN LIGNE",IF(COUNTIF(BARDAGE!$C$1:$C$5000,B327)&gt;0,"BARDÉ","EN STOCK")))</f>
        <v>POSÉ EN LIGNE</v>
      </c>
      <c r="N327" s="80"/>
    </row>
    <row r="328" customFormat="false" ht="15" hidden="false" customHeight="false" outlineLevel="0" collapsed="false">
      <c r="A328" s="82" t="n">
        <f aca="false">IF(B328="","",ROW()-6)</f>
        <v>322</v>
      </c>
      <c r="B328" s="145" t="n">
        <v>2097360</v>
      </c>
      <c r="C328" s="146" t="n">
        <v>15421112</v>
      </c>
      <c r="D328" s="146"/>
      <c r="E328" s="82" t="str">
        <f aca="false">IF(B328="","",IF(COUNTIFS('CARNET DE SOUDURE'!$L$7:$L$3006,B328,'CARNET DE SOUDURE'!$M$7:$M$3006,"&lt;&gt;"&amp;C328,'CARNET DE SOUDURE'!$M$7:$M$3006,"&lt;&gt;")+COUNTIFS('CARNET DE SOUDURE'!$O$7:$O$3006,B328,'CARNET DE SOUDURE'!$P$7:$P$3006,"&lt;&gt;"&amp;C328,'CARNET DE SOUDURE'!$P$7:$P$3006,"&lt;&gt;")&gt;0,"⚠ DIFFÉRENTE","OK"))</f>
        <v>OK</v>
      </c>
      <c r="F328" s="147" t="n">
        <v>11.94</v>
      </c>
      <c r="G328" s="80"/>
      <c r="H328" s="83"/>
      <c r="I328" s="148" t="str">
        <f aca="false">IF(B328="","",IFERROR(INDEX('CARNET DE SOUDURE'!$B$7:$B$3006,MATCH(B328,'CARNET DE SOUDURE'!$L$7:$L$3006,0)),IFERROR(INDEX('CARNET DE SOUDURE'!$B$7:$B$3006,MATCH(B328,'CARNET DE SOUDURE'!$O$7:$O$3006,0)),"")))</f>
        <v>MFD-ISW → MFD-CPF</v>
      </c>
      <c r="J328" s="82" t="str">
        <f aca="false">IF(B328="","",IFERROR(INDEX('CARNET DE SOUDURE'!$E$7:$E$3006,MATCH(B328,'CARNET DE SOUDURE'!$O$7:$O$3006,0)),""))</f>
        <v>JN°997</v>
      </c>
      <c r="K328" s="82" t="str">
        <f aca="false">IF(B328="","",IFERROR(INDEX('CARNET DE SOUDURE'!$E$7:$E$3006,MATCH(B328,'CARNET DE SOUDURE'!$L$7:$L$3006,0)),""))</f>
        <v>JN°998</v>
      </c>
      <c r="L328" s="82" t="n">
        <f aca="false">IF(B328="","",IFERROR(INDEX('CARNET DE SOUDURE'!$D$7:$D$3006,MATCH(B328,'CARNET DE SOUDURE'!$L$7:$L$3006,0)),IFERROR(INDEX('CARNET DE SOUDURE'!$D$7:$D$3006,MATCH(B328,'CARNET DE SOUDURE'!$O$7:$O$3006,0)),"")))</f>
        <v>8</v>
      </c>
      <c r="M328" s="82" t="str">
        <f aca="false">IF(B328="","",IF(OR(J328&lt;&gt;"",K328&lt;&gt;""),"POSÉ EN LIGNE",IF(COUNTIF(BARDAGE!$C$1:$C$5000,B328)&gt;0,"BARDÉ","EN STOCK")))</f>
        <v>POSÉ EN LIGNE</v>
      </c>
      <c r="N328" s="80"/>
    </row>
    <row r="329" customFormat="false" ht="15" hidden="false" customHeight="false" outlineLevel="0" collapsed="false">
      <c r="A329" s="82" t="n">
        <f aca="false">IF(B329="","",ROW()-6)</f>
        <v>323</v>
      </c>
      <c r="B329" s="145" t="n">
        <v>2094350</v>
      </c>
      <c r="C329" s="146" t="n">
        <v>15421110</v>
      </c>
      <c r="D329" s="146"/>
      <c r="E329" s="82" t="str">
        <f aca="false">IF(B329="","",IF(COUNTIFS('CARNET DE SOUDURE'!$L$7:$L$3006,B329,'CARNET DE SOUDURE'!$M$7:$M$3006,"&lt;&gt;"&amp;C329,'CARNET DE SOUDURE'!$M$7:$M$3006,"&lt;&gt;")+COUNTIFS('CARNET DE SOUDURE'!$O$7:$O$3006,B329,'CARNET DE SOUDURE'!$P$7:$P$3006,"&lt;&gt;"&amp;C329,'CARNET DE SOUDURE'!$P$7:$P$3006,"&lt;&gt;")&gt;0,"⚠ DIFFÉRENTE","OK"))</f>
        <v>OK</v>
      </c>
      <c r="F329" s="147" t="n">
        <v>11.94</v>
      </c>
      <c r="G329" s="80"/>
      <c r="H329" s="83"/>
      <c r="I329" s="148" t="str">
        <f aca="false">IF(B329="","",IFERROR(INDEX('CARNET DE SOUDURE'!$B$7:$B$3006,MATCH(B329,'CARNET DE SOUDURE'!$L$7:$L$3006,0)),IFERROR(INDEX('CARNET DE SOUDURE'!$B$7:$B$3006,MATCH(B329,'CARNET DE SOUDURE'!$O$7:$O$3006,0)),"")))</f>
        <v>MFD-ISW → MFD-CPF</v>
      </c>
      <c r="J329" s="82" t="str">
        <f aca="false">IF(B329="","",IFERROR(INDEX('CARNET DE SOUDURE'!$E$7:$E$3006,MATCH(B329,'CARNET DE SOUDURE'!$O$7:$O$3006,0)),""))</f>
        <v>JN°998</v>
      </c>
      <c r="K329" s="82" t="str">
        <f aca="false">IF(B329="","",IFERROR(INDEX('CARNET DE SOUDURE'!$E$7:$E$3006,MATCH(B329,'CARNET DE SOUDURE'!$L$7:$L$3006,0)),""))</f>
        <v>JN°999</v>
      </c>
      <c r="L329" s="82" t="n">
        <f aca="false">IF(B329="","",IFERROR(INDEX('CARNET DE SOUDURE'!$D$7:$D$3006,MATCH(B329,'CARNET DE SOUDURE'!$L$7:$L$3006,0)),IFERROR(INDEX('CARNET DE SOUDURE'!$D$7:$D$3006,MATCH(B329,'CARNET DE SOUDURE'!$O$7:$O$3006,0)),"")))</f>
        <v>8</v>
      </c>
      <c r="M329" s="82" t="str">
        <f aca="false">IF(B329="","",IF(OR(J329&lt;&gt;"",K329&lt;&gt;""),"POSÉ EN LIGNE",IF(COUNTIF(BARDAGE!$C$1:$C$5000,B329)&gt;0,"BARDÉ","EN STOCK")))</f>
        <v>POSÉ EN LIGNE</v>
      </c>
      <c r="N329" s="80"/>
    </row>
    <row r="330" customFormat="false" ht="15" hidden="false" customHeight="false" outlineLevel="0" collapsed="false">
      <c r="A330" s="82" t="n">
        <f aca="false">IF(B330="","",ROW()-6)</f>
        <v>324</v>
      </c>
      <c r="B330" s="145" t="n">
        <v>2097300</v>
      </c>
      <c r="C330" s="146" t="n">
        <v>15421111</v>
      </c>
      <c r="D330" s="146"/>
      <c r="E330" s="82" t="str">
        <f aca="false">IF(B330="","",IF(COUNTIFS('CARNET DE SOUDURE'!$L$7:$L$3006,B330,'CARNET DE SOUDURE'!$M$7:$M$3006,"&lt;&gt;"&amp;C330,'CARNET DE SOUDURE'!$M$7:$M$3006,"&lt;&gt;")+COUNTIFS('CARNET DE SOUDURE'!$O$7:$O$3006,B330,'CARNET DE SOUDURE'!$P$7:$P$3006,"&lt;&gt;"&amp;C330,'CARNET DE SOUDURE'!$P$7:$P$3006,"&lt;&gt;")&gt;0,"⚠ DIFFÉRENTE","OK"))</f>
        <v>OK</v>
      </c>
      <c r="F330" s="147" t="n">
        <v>11.94</v>
      </c>
      <c r="G330" s="80"/>
      <c r="H330" s="83"/>
      <c r="I330" s="148" t="str">
        <f aca="false">IF(B330="","",IFERROR(INDEX('CARNET DE SOUDURE'!$B$7:$B$3006,MATCH(B330,'CARNET DE SOUDURE'!$L$7:$L$3006,0)),IFERROR(INDEX('CARNET DE SOUDURE'!$B$7:$B$3006,MATCH(B330,'CARNET DE SOUDURE'!$O$7:$O$3006,0)),"")))</f>
        <v>MFD-ISW → MFD-CPF</v>
      </c>
      <c r="J330" s="82" t="str">
        <f aca="false">IF(B330="","",IFERROR(INDEX('CARNET DE SOUDURE'!$E$7:$E$3006,MATCH(B330,'CARNET DE SOUDURE'!$O$7:$O$3006,0)),""))</f>
        <v>JN°999</v>
      </c>
      <c r="K330" s="82" t="str">
        <f aca="false">IF(B330="","",IFERROR(INDEX('CARNET DE SOUDURE'!$E$7:$E$3006,MATCH(B330,'CARNET DE SOUDURE'!$L$7:$L$3006,0)),""))</f>
        <v>JN°1000</v>
      </c>
      <c r="L330" s="82" t="n">
        <f aca="false">IF(B330="","",IFERROR(INDEX('CARNET DE SOUDURE'!$D$7:$D$3006,MATCH(B330,'CARNET DE SOUDURE'!$L$7:$L$3006,0)),IFERROR(INDEX('CARNET DE SOUDURE'!$D$7:$D$3006,MATCH(B330,'CARNET DE SOUDURE'!$O$7:$O$3006,0)),"")))</f>
        <v>8</v>
      </c>
      <c r="M330" s="82" t="str">
        <f aca="false">IF(B330="","",IF(OR(J330&lt;&gt;"",K330&lt;&gt;""),"POSÉ EN LIGNE",IF(COUNTIF(BARDAGE!$C$1:$C$5000,B330)&gt;0,"BARDÉ","EN STOCK")))</f>
        <v>POSÉ EN LIGNE</v>
      </c>
      <c r="N330" s="80"/>
    </row>
    <row r="331" customFormat="false" ht="15" hidden="false" customHeight="false" outlineLevel="0" collapsed="false">
      <c r="A331" s="82" t="n">
        <f aca="false">IF(B331="","",ROW()-6)</f>
        <v>325</v>
      </c>
      <c r="B331" s="145" t="n">
        <v>2079890</v>
      </c>
      <c r="C331" s="146" t="n">
        <v>15421102</v>
      </c>
      <c r="D331" s="146"/>
      <c r="E331" s="82" t="str">
        <f aca="false">IF(B331="","",IF(COUNTIFS('CARNET DE SOUDURE'!$L$7:$L$3006,B331,'CARNET DE SOUDURE'!$M$7:$M$3006,"&lt;&gt;"&amp;C331,'CARNET DE SOUDURE'!$M$7:$M$3006,"&lt;&gt;")+COUNTIFS('CARNET DE SOUDURE'!$O$7:$O$3006,B331,'CARNET DE SOUDURE'!$P$7:$P$3006,"&lt;&gt;"&amp;C331,'CARNET DE SOUDURE'!$P$7:$P$3006,"&lt;&gt;")&gt;0,"⚠ DIFFÉRENTE","OK"))</f>
        <v>OK</v>
      </c>
      <c r="F331" s="147" t="n">
        <v>11.94</v>
      </c>
      <c r="G331" s="80"/>
      <c r="H331" s="83"/>
      <c r="I331" s="148" t="str">
        <f aca="false">IF(B331="","",IFERROR(INDEX('CARNET DE SOUDURE'!$B$7:$B$3006,MATCH(B331,'CARNET DE SOUDURE'!$L$7:$L$3006,0)),IFERROR(INDEX('CARNET DE SOUDURE'!$B$7:$B$3006,MATCH(B331,'CARNET DE SOUDURE'!$O$7:$O$3006,0)),"")))</f>
        <v>MFD-ISW → MFD-CPF</v>
      </c>
      <c r="J331" s="82" t="str">
        <f aca="false">IF(B331="","",IFERROR(INDEX('CARNET DE SOUDURE'!$E$7:$E$3006,MATCH(B331,'CARNET DE SOUDURE'!$O$7:$O$3006,0)),""))</f>
        <v>JN°1000</v>
      </c>
      <c r="K331" s="82" t="str">
        <f aca="false">IF(B331="","",IFERROR(INDEX('CARNET DE SOUDURE'!$E$7:$E$3006,MATCH(B331,'CARNET DE SOUDURE'!$L$7:$L$3006,0)),""))</f>
        <v>JN°1001</v>
      </c>
      <c r="L331" s="82" t="n">
        <f aca="false">IF(B331="","",IFERROR(INDEX('CARNET DE SOUDURE'!$D$7:$D$3006,MATCH(B331,'CARNET DE SOUDURE'!$L$7:$L$3006,0)),IFERROR(INDEX('CARNET DE SOUDURE'!$D$7:$D$3006,MATCH(B331,'CARNET DE SOUDURE'!$O$7:$O$3006,0)),"")))</f>
        <v>8</v>
      </c>
      <c r="M331" s="82" t="str">
        <f aca="false">IF(B331="","",IF(OR(J331&lt;&gt;"",K331&lt;&gt;""),"POSÉ EN LIGNE",IF(COUNTIF(BARDAGE!$C$1:$C$5000,B331)&gt;0,"BARDÉ","EN STOCK")))</f>
        <v>POSÉ EN LIGNE</v>
      </c>
      <c r="N331" s="80"/>
    </row>
    <row r="332" customFormat="false" ht="15" hidden="false" customHeight="false" outlineLevel="0" collapsed="false">
      <c r="A332" s="82" t="n">
        <f aca="false">IF(B332="","",ROW()-6)</f>
        <v>326</v>
      </c>
      <c r="B332" s="145" t="n">
        <v>2094700</v>
      </c>
      <c r="C332" s="146" t="n">
        <v>15421111</v>
      </c>
      <c r="D332" s="146"/>
      <c r="E332" s="82" t="str">
        <f aca="false">IF(B332="","",IF(COUNTIFS('CARNET DE SOUDURE'!$L$7:$L$3006,B332,'CARNET DE SOUDURE'!$M$7:$M$3006,"&lt;&gt;"&amp;C332,'CARNET DE SOUDURE'!$M$7:$M$3006,"&lt;&gt;")+COUNTIFS('CARNET DE SOUDURE'!$O$7:$O$3006,B332,'CARNET DE SOUDURE'!$P$7:$P$3006,"&lt;&gt;"&amp;C332,'CARNET DE SOUDURE'!$P$7:$P$3006,"&lt;&gt;")&gt;0,"⚠ DIFFÉRENTE","OK"))</f>
        <v>OK</v>
      </c>
      <c r="F332" s="147" t="n">
        <v>11.94</v>
      </c>
      <c r="G332" s="80"/>
      <c r="H332" s="83"/>
      <c r="I332" s="148" t="str">
        <f aca="false">IF(B332="","",IFERROR(INDEX('CARNET DE SOUDURE'!$B$7:$B$3006,MATCH(B332,'CARNET DE SOUDURE'!$L$7:$L$3006,0)),IFERROR(INDEX('CARNET DE SOUDURE'!$B$7:$B$3006,MATCH(B332,'CARNET DE SOUDURE'!$O$7:$O$3006,0)),"")))</f>
        <v>MFD-ISW → MFD-CPF</v>
      </c>
      <c r="J332" s="82" t="str">
        <f aca="false">IF(B332="","",IFERROR(INDEX('CARNET DE SOUDURE'!$E$7:$E$3006,MATCH(B332,'CARNET DE SOUDURE'!$O$7:$O$3006,0)),""))</f>
        <v>JN°1001</v>
      </c>
      <c r="K332" s="82" t="str">
        <f aca="false">IF(B332="","",IFERROR(INDEX('CARNET DE SOUDURE'!$E$7:$E$3006,MATCH(B332,'CARNET DE SOUDURE'!$L$7:$L$3006,0)),""))</f>
        <v>DJ°372</v>
      </c>
      <c r="L332" s="82" t="n">
        <f aca="false">IF(B332="","",IFERROR(INDEX('CARNET DE SOUDURE'!$D$7:$D$3006,MATCH(B332,'CARNET DE SOUDURE'!$L$7:$L$3006,0)),IFERROR(INDEX('CARNET DE SOUDURE'!$D$7:$D$3006,MATCH(B332,'CARNET DE SOUDURE'!$O$7:$O$3006,0)),"")))</f>
        <v>8</v>
      </c>
      <c r="M332" s="82" t="str">
        <f aca="false">IF(B332="","",IF(OR(J332&lt;&gt;"",K332&lt;&gt;""),"POSÉ EN LIGNE",IF(COUNTIF(BARDAGE!$C$1:$C$5000,B332)&gt;0,"BARDÉ","EN STOCK")))</f>
        <v>POSÉ EN LIGNE</v>
      </c>
      <c r="N332" s="80"/>
    </row>
    <row r="333" customFormat="false" ht="15" hidden="false" customHeight="false" outlineLevel="0" collapsed="false">
      <c r="A333" s="82" t="n">
        <f aca="false">IF(B333="","",ROW()-6)</f>
        <v>327</v>
      </c>
      <c r="B333" s="145" t="n">
        <v>2082510</v>
      </c>
      <c r="C333" s="146" t="n">
        <v>15421104</v>
      </c>
      <c r="D333" s="146"/>
      <c r="E333" s="82" t="str">
        <f aca="false">IF(B333="","",IF(COUNTIFS('CARNET DE SOUDURE'!$L$7:$L$3006,B333,'CARNET DE SOUDURE'!$M$7:$M$3006,"&lt;&gt;"&amp;C333,'CARNET DE SOUDURE'!$M$7:$M$3006,"&lt;&gt;")+COUNTIFS('CARNET DE SOUDURE'!$O$7:$O$3006,B333,'CARNET DE SOUDURE'!$P$7:$P$3006,"&lt;&gt;"&amp;C333,'CARNET DE SOUDURE'!$P$7:$P$3006,"&lt;&gt;")&gt;0,"⚠ DIFFÉRENTE","OK"))</f>
        <v>OK</v>
      </c>
      <c r="F333" s="147" t="n">
        <v>11.94</v>
      </c>
      <c r="G333" s="80"/>
      <c r="H333" s="83"/>
      <c r="I333" s="148" t="str">
        <f aca="false">IF(B333="","",IFERROR(INDEX('CARNET DE SOUDURE'!$B$7:$B$3006,MATCH(B333,'CARNET DE SOUDURE'!$L$7:$L$3006,0)),IFERROR(INDEX('CARNET DE SOUDURE'!$B$7:$B$3006,MATCH(B333,'CARNET DE SOUDURE'!$O$7:$O$3006,0)),"")))</f>
        <v>MFD-ISW → MFD-CPF</v>
      </c>
      <c r="J333" s="82" t="str">
        <f aca="false">IF(B333="","",IFERROR(INDEX('CARNET DE SOUDURE'!$E$7:$E$3006,MATCH(B333,'CARNET DE SOUDURE'!$O$7:$O$3006,0)),""))</f>
        <v>DJ°372</v>
      </c>
      <c r="K333" s="82" t="str">
        <f aca="false">IF(B333="","",IFERROR(INDEX('CARNET DE SOUDURE'!$E$7:$E$3006,MATCH(B333,'CARNET DE SOUDURE'!$L$7:$L$3006,0)),""))</f>
        <v>JN°1002</v>
      </c>
      <c r="L333" s="82" t="n">
        <f aca="false">IF(B333="","",IFERROR(INDEX('CARNET DE SOUDURE'!$D$7:$D$3006,MATCH(B333,'CARNET DE SOUDURE'!$L$7:$L$3006,0)),IFERROR(INDEX('CARNET DE SOUDURE'!$D$7:$D$3006,MATCH(B333,'CARNET DE SOUDURE'!$O$7:$O$3006,0)),"")))</f>
        <v>8</v>
      </c>
      <c r="M333" s="82" t="str">
        <f aca="false">IF(B333="","",IF(OR(J333&lt;&gt;"",K333&lt;&gt;""),"POSÉ EN LIGNE",IF(COUNTIF(BARDAGE!$C$1:$C$5000,B333)&gt;0,"BARDÉ","EN STOCK")))</f>
        <v>POSÉ EN LIGNE</v>
      </c>
      <c r="N333" s="80"/>
    </row>
    <row r="334" customFormat="false" ht="15" hidden="false" customHeight="false" outlineLevel="0" collapsed="false">
      <c r="A334" s="82" t="n">
        <f aca="false">IF(B334="","",ROW()-6)</f>
        <v>328</v>
      </c>
      <c r="B334" s="145" t="n">
        <v>2083020</v>
      </c>
      <c r="C334" s="146" t="n">
        <v>15421105</v>
      </c>
      <c r="D334" s="146"/>
      <c r="E334" s="82" t="str">
        <f aca="false">IF(B334="","",IF(COUNTIFS('CARNET DE SOUDURE'!$L$7:$L$3006,B334,'CARNET DE SOUDURE'!$M$7:$M$3006,"&lt;&gt;"&amp;C334,'CARNET DE SOUDURE'!$M$7:$M$3006,"&lt;&gt;")+COUNTIFS('CARNET DE SOUDURE'!$O$7:$O$3006,B334,'CARNET DE SOUDURE'!$P$7:$P$3006,"&lt;&gt;"&amp;C334,'CARNET DE SOUDURE'!$P$7:$P$3006,"&lt;&gt;")&gt;0,"⚠ DIFFÉRENTE","OK"))</f>
        <v>OK</v>
      </c>
      <c r="F334" s="147" t="n">
        <v>11.94</v>
      </c>
      <c r="G334" s="80"/>
      <c r="H334" s="83"/>
      <c r="I334" s="148" t="str">
        <f aca="false">IF(B334="","",IFERROR(INDEX('CARNET DE SOUDURE'!$B$7:$B$3006,MATCH(B334,'CARNET DE SOUDURE'!$L$7:$L$3006,0)),IFERROR(INDEX('CARNET DE SOUDURE'!$B$7:$B$3006,MATCH(B334,'CARNET DE SOUDURE'!$O$7:$O$3006,0)),"")))</f>
        <v>MFD-ISW → MFD-CPF</v>
      </c>
      <c r="J334" s="82" t="str">
        <f aca="false">IF(B334="","",IFERROR(INDEX('CARNET DE SOUDURE'!$E$7:$E$3006,MATCH(B334,'CARNET DE SOUDURE'!$O$7:$O$3006,0)),""))</f>
        <v>DJ°370</v>
      </c>
      <c r="K334" s="82" t="str">
        <f aca="false">IF(B334="","",IFERROR(INDEX('CARNET DE SOUDURE'!$E$7:$E$3006,MATCH(B334,'CARNET DE SOUDURE'!$L$7:$L$3006,0)),""))</f>
        <v>JN°1003</v>
      </c>
      <c r="L334" s="82" t="n">
        <f aca="false">IF(B334="","",IFERROR(INDEX('CARNET DE SOUDURE'!$D$7:$D$3006,MATCH(B334,'CARNET DE SOUDURE'!$L$7:$L$3006,0)),IFERROR(INDEX('CARNET DE SOUDURE'!$D$7:$D$3006,MATCH(B334,'CARNET DE SOUDURE'!$O$7:$O$3006,0)),"")))</f>
        <v>8</v>
      </c>
      <c r="M334" s="82" t="str">
        <f aca="false">IF(B334="","",IF(OR(J334&lt;&gt;"",K334&lt;&gt;""),"POSÉ EN LIGNE",IF(COUNTIF(BARDAGE!$C$1:$C$5000,B334)&gt;0,"BARDÉ","EN STOCK")))</f>
        <v>POSÉ EN LIGNE</v>
      </c>
      <c r="N334" s="80"/>
    </row>
    <row r="335" customFormat="false" ht="15" hidden="false" customHeight="false" outlineLevel="0" collapsed="false">
      <c r="A335" s="82" t="n">
        <f aca="false">IF(B335="","",ROW()-6)</f>
        <v>329</v>
      </c>
      <c r="B335" s="145" t="n">
        <v>2090130</v>
      </c>
      <c r="C335" s="146" t="n">
        <v>15421109</v>
      </c>
      <c r="D335" s="146"/>
      <c r="E335" s="82" t="str">
        <f aca="false">IF(B335="","",IF(COUNTIFS('CARNET DE SOUDURE'!$L$7:$L$3006,B335,'CARNET DE SOUDURE'!$M$7:$M$3006,"&lt;&gt;"&amp;C335,'CARNET DE SOUDURE'!$M$7:$M$3006,"&lt;&gt;")+COUNTIFS('CARNET DE SOUDURE'!$O$7:$O$3006,B335,'CARNET DE SOUDURE'!$P$7:$P$3006,"&lt;&gt;"&amp;C335,'CARNET DE SOUDURE'!$P$7:$P$3006,"&lt;&gt;")&gt;0,"⚠ DIFFÉRENTE","OK"))</f>
        <v>OK</v>
      </c>
      <c r="F335" s="147" t="n">
        <v>11.94</v>
      </c>
      <c r="G335" s="80"/>
      <c r="H335" s="83"/>
      <c r="I335" s="148" t="str">
        <f aca="false">IF(B335="","",IFERROR(INDEX('CARNET DE SOUDURE'!$B$7:$B$3006,MATCH(B335,'CARNET DE SOUDURE'!$L$7:$L$3006,0)),IFERROR(INDEX('CARNET DE SOUDURE'!$B$7:$B$3006,MATCH(B335,'CARNET DE SOUDURE'!$O$7:$O$3006,0)),"")))</f>
        <v>MFD-ISW → MFD-CPF</v>
      </c>
      <c r="J335" s="82" t="str">
        <f aca="false">IF(B335="","",IFERROR(INDEX('CARNET DE SOUDURE'!$E$7:$E$3006,MATCH(B335,'CARNET DE SOUDURE'!$O$7:$O$3006,0)),""))</f>
        <v>JN°1003</v>
      </c>
      <c r="K335" s="82" t="str">
        <f aca="false">IF(B335="","",IFERROR(INDEX('CARNET DE SOUDURE'!$E$7:$E$3006,MATCH(B335,'CARNET DE SOUDURE'!$L$7:$L$3006,0)),""))</f>
        <v>DJ°371</v>
      </c>
      <c r="L335" s="82" t="n">
        <f aca="false">IF(B335="","",IFERROR(INDEX('CARNET DE SOUDURE'!$D$7:$D$3006,MATCH(B335,'CARNET DE SOUDURE'!$L$7:$L$3006,0)),IFERROR(INDEX('CARNET DE SOUDURE'!$D$7:$D$3006,MATCH(B335,'CARNET DE SOUDURE'!$O$7:$O$3006,0)),"")))</f>
        <v>8</v>
      </c>
      <c r="M335" s="82" t="str">
        <f aca="false">IF(B335="","",IF(OR(J335&lt;&gt;"",K335&lt;&gt;""),"POSÉ EN LIGNE",IF(COUNTIF(BARDAGE!$C$1:$C$5000,B335)&gt;0,"BARDÉ","EN STOCK")))</f>
        <v>POSÉ EN LIGNE</v>
      </c>
      <c r="N335" s="80"/>
    </row>
    <row r="336" customFormat="false" ht="15" hidden="false" customHeight="false" outlineLevel="0" collapsed="false">
      <c r="A336" s="82" t="n">
        <f aca="false">IF(B336="","",ROW()-6)</f>
        <v>330</v>
      </c>
      <c r="B336" s="145" t="n">
        <v>2086480</v>
      </c>
      <c r="C336" s="146" t="n">
        <v>15421107</v>
      </c>
      <c r="D336" s="146"/>
      <c r="E336" s="82" t="str">
        <f aca="false">IF(B336="","",IF(COUNTIFS('CARNET DE SOUDURE'!$L$7:$L$3006,B336,'CARNET DE SOUDURE'!$M$7:$M$3006,"&lt;&gt;"&amp;C336,'CARNET DE SOUDURE'!$M$7:$M$3006,"&lt;&gt;")+COUNTIFS('CARNET DE SOUDURE'!$O$7:$O$3006,B336,'CARNET DE SOUDURE'!$P$7:$P$3006,"&lt;&gt;"&amp;C336,'CARNET DE SOUDURE'!$P$7:$P$3006,"&lt;&gt;")&gt;0,"⚠ DIFFÉRENTE","OK"))</f>
        <v>OK</v>
      </c>
      <c r="F336" s="147" t="n">
        <v>11.94</v>
      </c>
      <c r="G336" s="80"/>
      <c r="H336" s="83"/>
      <c r="I336" s="148" t="str">
        <f aca="false">IF(B336="","",IFERROR(INDEX('CARNET DE SOUDURE'!$B$7:$B$3006,MATCH(B336,'CARNET DE SOUDURE'!$L$7:$L$3006,0)),IFERROR(INDEX('CARNET DE SOUDURE'!$B$7:$B$3006,MATCH(B336,'CARNET DE SOUDURE'!$O$7:$O$3006,0)),"")))</f>
        <v>MFD-ISW → MFD-CPF</v>
      </c>
      <c r="J336" s="82" t="str">
        <f aca="false">IF(B336="","",IFERROR(INDEX('CARNET DE SOUDURE'!$E$7:$E$3006,MATCH(B336,'CARNET DE SOUDURE'!$O$7:$O$3006,0)),""))</f>
        <v>DJ°371</v>
      </c>
      <c r="K336" s="82" t="str">
        <f aca="false">IF(B336="","",IFERROR(INDEX('CARNET DE SOUDURE'!$E$7:$E$3006,MATCH(B336,'CARNET DE SOUDURE'!$L$7:$L$3006,0)),""))</f>
        <v>JN°1004</v>
      </c>
      <c r="L336" s="82" t="n">
        <f aca="false">IF(B336="","",IFERROR(INDEX('CARNET DE SOUDURE'!$D$7:$D$3006,MATCH(B336,'CARNET DE SOUDURE'!$L$7:$L$3006,0)),IFERROR(INDEX('CARNET DE SOUDURE'!$D$7:$D$3006,MATCH(B336,'CARNET DE SOUDURE'!$O$7:$O$3006,0)),"")))</f>
        <v>8</v>
      </c>
      <c r="M336" s="82" t="str">
        <f aca="false">IF(B336="","",IF(OR(J336&lt;&gt;"",K336&lt;&gt;""),"POSÉ EN LIGNE",IF(COUNTIF(BARDAGE!$C$1:$C$5000,B336)&gt;0,"BARDÉ","EN STOCK")))</f>
        <v>POSÉ EN LIGNE</v>
      </c>
      <c r="N336" s="80"/>
    </row>
    <row r="337" customFormat="false" ht="15" hidden="false" customHeight="false" outlineLevel="0" collapsed="false">
      <c r="A337" s="82" t="n">
        <f aca="false">IF(B337="","",ROW()-6)</f>
        <v>331</v>
      </c>
      <c r="B337" s="145" t="n">
        <v>2098120</v>
      </c>
      <c r="C337" s="146" t="n">
        <v>15421112</v>
      </c>
      <c r="D337" s="146"/>
      <c r="E337" s="82" t="str">
        <f aca="false">IF(B337="","",IF(COUNTIFS('CARNET DE SOUDURE'!$L$7:$L$3006,B337,'CARNET DE SOUDURE'!$M$7:$M$3006,"&lt;&gt;"&amp;C337,'CARNET DE SOUDURE'!$M$7:$M$3006,"&lt;&gt;")+COUNTIFS('CARNET DE SOUDURE'!$O$7:$O$3006,B337,'CARNET DE SOUDURE'!$P$7:$P$3006,"&lt;&gt;"&amp;C337,'CARNET DE SOUDURE'!$P$7:$P$3006,"&lt;&gt;")&gt;0,"⚠ DIFFÉRENTE","OK"))</f>
        <v>OK</v>
      </c>
      <c r="F337" s="147" t="n">
        <v>11.94</v>
      </c>
      <c r="G337" s="80"/>
      <c r="H337" s="83"/>
      <c r="I337" s="148" t="str">
        <f aca="false">IF(B337="","",IFERROR(INDEX('CARNET DE SOUDURE'!$B$7:$B$3006,MATCH(B337,'CARNET DE SOUDURE'!$L$7:$L$3006,0)),IFERROR(INDEX('CARNET DE SOUDURE'!$B$7:$B$3006,MATCH(B337,'CARNET DE SOUDURE'!$O$7:$O$3006,0)),"")))</f>
        <v>MFD-ISW → MFD-CPF</v>
      </c>
      <c r="J337" s="82" t="str">
        <f aca="false">IF(B337="","",IFERROR(INDEX('CARNET DE SOUDURE'!$E$7:$E$3006,MATCH(B337,'CARNET DE SOUDURE'!$O$7:$O$3006,0)),""))</f>
        <v>JN°1004</v>
      </c>
      <c r="K337" s="82" t="str">
        <f aca="false">IF(B337="","",IFERROR(INDEX('CARNET DE SOUDURE'!$E$7:$E$3006,MATCH(B337,'CARNET DE SOUDURE'!$L$7:$L$3006,0)),""))</f>
        <v>DJ°365</v>
      </c>
      <c r="L337" s="82" t="n">
        <f aca="false">IF(B337="","",IFERROR(INDEX('CARNET DE SOUDURE'!$D$7:$D$3006,MATCH(B337,'CARNET DE SOUDURE'!$L$7:$L$3006,0)),IFERROR(INDEX('CARNET DE SOUDURE'!$D$7:$D$3006,MATCH(B337,'CARNET DE SOUDURE'!$O$7:$O$3006,0)),"")))</f>
        <v>8</v>
      </c>
      <c r="M337" s="82" t="str">
        <f aca="false">IF(B337="","",IF(OR(J337&lt;&gt;"",K337&lt;&gt;""),"POSÉ EN LIGNE",IF(COUNTIF(BARDAGE!$C$1:$C$5000,B337)&gt;0,"BARDÉ","EN STOCK")))</f>
        <v>POSÉ EN LIGNE</v>
      </c>
      <c r="N337" s="80"/>
    </row>
    <row r="338" customFormat="false" ht="15" hidden="false" customHeight="false" outlineLevel="0" collapsed="false">
      <c r="A338" s="82" t="n">
        <f aca="false">IF(B338="","",ROW()-6)</f>
        <v>332</v>
      </c>
      <c r="B338" s="145" t="n">
        <v>2084560</v>
      </c>
      <c r="C338" s="146" t="n">
        <v>15421106</v>
      </c>
      <c r="D338" s="146"/>
      <c r="E338" s="82" t="str">
        <f aca="false">IF(B338="","",IF(COUNTIFS('CARNET DE SOUDURE'!$L$7:$L$3006,B338,'CARNET DE SOUDURE'!$M$7:$M$3006,"&lt;&gt;"&amp;C338,'CARNET DE SOUDURE'!$M$7:$M$3006,"&lt;&gt;")+COUNTIFS('CARNET DE SOUDURE'!$O$7:$O$3006,B338,'CARNET DE SOUDURE'!$P$7:$P$3006,"&lt;&gt;"&amp;C338,'CARNET DE SOUDURE'!$P$7:$P$3006,"&lt;&gt;")&gt;0,"⚠ DIFFÉRENTE","OK"))</f>
        <v>OK</v>
      </c>
      <c r="F338" s="147" t="n">
        <v>11.94</v>
      </c>
      <c r="G338" s="80"/>
      <c r="H338" s="83"/>
      <c r="I338" s="148" t="str">
        <f aca="false">IF(B338="","",IFERROR(INDEX('CARNET DE SOUDURE'!$B$7:$B$3006,MATCH(B338,'CARNET DE SOUDURE'!$L$7:$L$3006,0)),IFERROR(INDEX('CARNET DE SOUDURE'!$B$7:$B$3006,MATCH(B338,'CARNET DE SOUDURE'!$O$7:$O$3006,0)),"")))</f>
        <v>MFD-ISW → MFD-CPF</v>
      </c>
      <c r="J338" s="82" t="str">
        <f aca="false">IF(B338="","",IFERROR(INDEX('CARNET DE SOUDURE'!$E$7:$E$3006,MATCH(B338,'CARNET DE SOUDURE'!$O$7:$O$3006,0)),""))</f>
        <v>DJ°365</v>
      </c>
      <c r="K338" s="82" t="str">
        <f aca="false">IF(B338="","",IFERROR(INDEX('CARNET DE SOUDURE'!$E$7:$E$3006,MATCH(B338,'CARNET DE SOUDURE'!$L$7:$L$3006,0)),""))</f>
        <v>JN°1005</v>
      </c>
      <c r="L338" s="82" t="n">
        <f aca="false">IF(B338="","",IFERROR(INDEX('CARNET DE SOUDURE'!$D$7:$D$3006,MATCH(B338,'CARNET DE SOUDURE'!$L$7:$L$3006,0)),IFERROR(INDEX('CARNET DE SOUDURE'!$D$7:$D$3006,MATCH(B338,'CARNET DE SOUDURE'!$O$7:$O$3006,0)),"")))</f>
        <v>8</v>
      </c>
      <c r="M338" s="82" t="str">
        <f aca="false">IF(B338="","",IF(OR(J338&lt;&gt;"",K338&lt;&gt;""),"POSÉ EN LIGNE",IF(COUNTIF(BARDAGE!$C$1:$C$5000,B338)&gt;0,"BARDÉ","EN STOCK")))</f>
        <v>POSÉ EN LIGNE</v>
      </c>
      <c r="N338" s="80"/>
    </row>
    <row r="339" customFormat="false" ht="15" hidden="false" customHeight="false" outlineLevel="0" collapsed="false">
      <c r="A339" s="82" t="n">
        <f aca="false">IF(B339="","",ROW()-6)</f>
        <v>333</v>
      </c>
      <c r="B339" s="145" t="n">
        <v>2097590</v>
      </c>
      <c r="C339" s="146" t="n">
        <v>15421112</v>
      </c>
      <c r="D339" s="146"/>
      <c r="E339" s="82" t="str">
        <f aca="false">IF(B339="","",IF(COUNTIFS('CARNET DE SOUDURE'!$L$7:$L$3006,B339,'CARNET DE SOUDURE'!$M$7:$M$3006,"&lt;&gt;"&amp;C339,'CARNET DE SOUDURE'!$M$7:$M$3006,"&lt;&gt;")+COUNTIFS('CARNET DE SOUDURE'!$O$7:$O$3006,B339,'CARNET DE SOUDURE'!$P$7:$P$3006,"&lt;&gt;"&amp;C339,'CARNET DE SOUDURE'!$P$7:$P$3006,"&lt;&gt;")&gt;0,"⚠ DIFFÉRENTE","OK"))</f>
        <v>OK</v>
      </c>
      <c r="F339" s="147" t="n">
        <v>11.94</v>
      </c>
      <c r="G339" s="80"/>
      <c r="H339" s="83"/>
      <c r="I339" s="148" t="str">
        <f aca="false">IF(B339="","",IFERROR(INDEX('CARNET DE SOUDURE'!$B$7:$B$3006,MATCH(B339,'CARNET DE SOUDURE'!$L$7:$L$3006,0)),IFERROR(INDEX('CARNET DE SOUDURE'!$B$7:$B$3006,MATCH(B339,'CARNET DE SOUDURE'!$O$7:$O$3006,0)),"")))</f>
        <v>MFD-ISW → MFD-CPF</v>
      </c>
      <c r="J339" s="82" t="str">
        <f aca="false">IF(B339="","",IFERROR(INDEX('CARNET DE SOUDURE'!$E$7:$E$3006,MATCH(B339,'CARNET DE SOUDURE'!$O$7:$O$3006,0)),""))</f>
        <v>JN°1005</v>
      </c>
      <c r="K339" s="82" t="str">
        <f aca="false">IF(B339="","",IFERROR(INDEX('CARNET DE SOUDURE'!$E$7:$E$3006,MATCH(B339,'CARNET DE SOUDURE'!$L$7:$L$3006,0)),""))</f>
        <v>DJ°366</v>
      </c>
      <c r="L339" s="82" t="n">
        <f aca="false">IF(B339="","",IFERROR(INDEX('CARNET DE SOUDURE'!$D$7:$D$3006,MATCH(B339,'CARNET DE SOUDURE'!$L$7:$L$3006,0)),IFERROR(INDEX('CARNET DE SOUDURE'!$D$7:$D$3006,MATCH(B339,'CARNET DE SOUDURE'!$O$7:$O$3006,0)),"")))</f>
        <v>8</v>
      </c>
      <c r="M339" s="82" t="str">
        <f aca="false">IF(B339="","",IF(OR(J339&lt;&gt;"",K339&lt;&gt;""),"POSÉ EN LIGNE",IF(COUNTIF(BARDAGE!$C$1:$C$5000,B339)&gt;0,"BARDÉ","EN STOCK")))</f>
        <v>POSÉ EN LIGNE</v>
      </c>
      <c r="N339" s="80"/>
    </row>
    <row r="340" customFormat="false" ht="15" hidden="false" customHeight="false" outlineLevel="0" collapsed="false">
      <c r="A340" s="82" t="n">
        <f aca="false">IF(B340="","",ROW()-6)</f>
        <v>334</v>
      </c>
      <c r="B340" s="145" t="n">
        <v>2086280</v>
      </c>
      <c r="C340" s="146" t="n">
        <v>15421107</v>
      </c>
      <c r="D340" s="146"/>
      <c r="E340" s="82" t="str">
        <f aca="false">IF(B340="","",IF(COUNTIFS('CARNET DE SOUDURE'!$L$7:$L$3006,B340,'CARNET DE SOUDURE'!$M$7:$M$3006,"&lt;&gt;"&amp;C340,'CARNET DE SOUDURE'!$M$7:$M$3006,"&lt;&gt;")+COUNTIFS('CARNET DE SOUDURE'!$O$7:$O$3006,B340,'CARNET DE SOUDURE'!$P$7:$P$3006,"&lt;&gt;"&amp;C340,'CARNET DE SOUDURE'!$P$7:$P$3006,"&lt;&gt;")&gt;0,"⚠ DIFFÉRENTE","OK"))</f>
        <v>OK</v>
      </c>
      <c r="F340" s="147" t="n">
        <v>11.94</v>
      </c>
      <c r="G340" s="80"/>
      <c r="H340" s="83"/>
      <c r="I340" s="148" t="str">
        <f aca="false">IF(B340="","",IFERROR(INDEX('CARNET DE SOUDURE'!$B$7:$B$3006,MATCH(B340,'CARNET DE SOUDURE'!$L$7:$L$3006,0)),IFERROR(INDEX('CARNET DE SOUDURE'!$B$7:$B$3006,MATCH(B340,'CARNET DE SOUDURE'!$O$7:$O$3006,0)),"")))</f>
        <v>MFD-ISW → MFD-CPF</v>
      </c>
      <c r="J340" s="82" t="str">
        <f aca="false">IF(B340="","",IFERROR(INDEX('CARNET DE SOUDURE'!$E$7:$E$3006,MATCH(B340,'CARNET DE SOUDURE'!$O$7:$O$3006,0)),""))</f>
        <v>DJ°366</v>
      </c>
      <c r="K340" s="82" t="str">
        <f aca="false">IF(B340="","",IFERROR(INDEX('CARNET DE SOUDURE'!$E$7:$E$3006,MATCH(B340,'CARNET DE SOUDURE'!$L$7:$L$3006,0)),""))</f>
        <v>JN°1006</v>
      </c>
      <c r="L340" s="82" t="n">
        <f aca="false">IF(B340="","",IFERROR(INDEX('CARNET DE SOUDURE'!$D$7:$D$3006,MATCH(B340,'CARNET DE SOUDURE'!$L$7:$L$3006,0)),IFERROR(INDEX('CARNET DE SOUDURE'!$D$7:$D$3006,MATCH(B340,'CARNET DE SOUDURE'!$O$7:$O$3006,0)),"")))</f>
        <v>8</v>
      </c>
      <c r="M340" s="82" t="str">
        <f aca="false">IF(B340="","",IF(OR(J340&lt;&gt;"",K340&lt;&gt;""),"POSÉ EN LIGNE",IF(COUNTIF(BARDAGE!$C$1:$C$5000,B340)&gt;0,"BARDÉ","EN STOCK")))</f>
        <v>POSÉ EN LIGNE</v>
      </c>
      <c r="N340" s="80"/>
    </row>
    <row r="341" customFormat="false" ht="15" hidden="false" customHeight="false" outlineLevel="0" collapsed="false">
      <c r="A341" s="82" t="n">
        <f aca="false">IF(B341="","",ROW()-6)</f>
        <v>335</v>
      </c>
      <c r="B341" s="145" t="n">
        <v>2098080</v>
      </c>
      <c r="C341" s="146" t="n">
        <v>15421112</v>
      </c>
      <c r="D341" s="146"/>
      <c r="E341" s="82" t="str">
        <f aca="false">IF(B341="","",IF(COUNTIFS('CARNET DE SOUDURE'!$L$7:$L$3006,B341,'CARNET DE SOUDURE'!$M$7:$M$3006,"&lt;&gt;"&amp;C341,'CARNET DE SOUDURE'!$M$7:$M$3006,"&lt;&gt;")+COUNTIFS('CARNET DE SOUDURE'!$O$7:$O$3006,B341,'CARNET DE SOUDURE'!$P$7:$P$3006,"&lt;&gt;"&amp;C341,'CARNET DE SOUDURE'!$P$7:$P$3006,"&lt;&gt;")&gt;0,"⚠ DIFFÉRENTE","OK"))</f>
        <v>OK</v>
      </c>
      <c r="F341" s="147" t="n">
        <v>11.94</v>
      </c>
      <c r="G341" s="80"/>
      <c r="H341" s="83"/>
      <c r="I341" s="148" t="str">
        <f aca="false">IF(B341="","",IFERROR(INDEX('CARNET DE SOUDURE'!$B$7:$B$3006,MATCH(B341,'CARNET DE SOUDURE'!$L$7:$L$3006,0)),IFERROR(INDEX('CARNET DE SOUDURE'!$B$7:$B$3006,MATCH(B341,'CARNET DE SOUDURE'!$O$7:$O$3006,0)),"")))</f>
        <v>MFD-ISW → MFD-CPF</v>
      </c>
      <c r="J341" s="82" t="str">
        <f aca="false">IF(B341="","",IFERROR(INDEX('CARNET DE SOUDURE'!$E$7:$E$3006,MATCH(B341,'CARNET DE SOUDURE'!$O$7:$O$3006,0)),""))</f>
        <v>JN°1006</v>
      </c>
      <c r="K341" s="82" t="str">
        <f aca="false">IF(B341="","",IFERROR(INDEX('CARNET DE SOUDURE'!$E$7:$E$3006,MATCH(B341,'CARNET DE SOUDURE'!$L$7:$L$3006,0)),""))</f>
        <v>DJ°369</v>
      </c>
      <c r="L341" s="82" t="n">
        <f aca="false">IF(B341="","",IFERROR(INDEX('CARNET DE SOUDURE'!$D$7:$D$3006,MATCH(B341,'CARNET DE SOUDURE'!$L$7:$L$3006,0)),IFERROR(INDEX('CARNET DE SOUDURE'!$D$7:$D$3006,MATCH(B341,'CARNET DE SOUDURE'!$O$7:$O$3006,0)),"")))</f>
        <v>8</v>
      </c>
      <c r="M341" s="82" t="str">
        <f aca="false">IF(B341="","",IF(OR(J341&lt;&gt;"",K341&lt;&gt;""),"POSÉ EN LIGNE",IF(COUNTIF(BARDAGE!$C$1:$C$5000,B341)&gt;0,"BARDÉ","EN STOCK")))</f>
        <v>POSÉ EN LIGNE</v>
      </c>
      <c r="N341" s="80"/>
    </row>
    <row r="342" customFormat="false" ht="15" hidden="false" customHeight="false" outlineLevel="0" collapsed="false">
      <c r="A342" s="82" t="n">
        <f aca="false">IF(B342="","",ROW()-6)</f>
        <v>336</v>
      </c>
      <c r="B342" s="145" t="n">
        <v>2083890</v>
      </c>
      <c r="C342" s="146" t="n">
        <v>15421106</v>
      </c>
      <c r="D342" s="146"/>
      <c r="E342" s="82" t="str">
        <f aca="false">IF(B342="","",IF(COUNTIFS('CARNET DE SOUDURE'!$L$7:$L$3006,B342,'CARNET DE SOUDURE'!$M$7:$M$3006,"&lt;&gt;"&amp;C342,'CARNET DE SOUDURE'!$M$7:$M$3006,"&lt;&gt;")+COUNTIFS('CARNET DE SOUDURE'!$O$7:$O$3006,B342,'CARNET DE SOUDURE'!$P$7:$P$3006,"&lt;&gt;"&amp;C342,'CARNET DE SOUDURE'!$P$7:$P$3006,"&lt;&gt;")&gt;0,"⚠ DIFFÉRENTE","OK"))</f>
        <v>OK</v>
      </c>
      <c r="F342" s="147" t="n">
        <v>11.94</v>
      </c>
      <c r="G342" s="80"/>
      <c r="H342" s="83"/>
      <c r="I342" s="148" t="str">
        <f aca="false">IF(B342="","",IFERROR(INDEX('CARNET DE SOUDURE'!$B$7:$B$3006,MATCH(B342,'CARNET DE SOUDURE'!$L$7:$L$3006,0)),IFERROR(INDEX('CARNET DE SOUDURE'!$B$7:$B$3006,MATCH(B342,'CARNET DE SOUDURE'!$O$7:$O$3006,0)),"")))</f>
        <v>MFD-ISW → MFD-CPF</v>
      </c>
      <c r="J342" s="82" t="str">
        <f aca="false">IF(B342="","",IFERROR(INDEX('CARNET DE SOUDURE'!$E$7:$E$3006,MATCH(B342,'CARNET DE SOUDURE'!$O$7:$O$3006,0)),""))</f>
        <v>DJ°369</v>
      </c>
      <c r="K342" s="82" t="str">
        <f aca="false">IF(B342="","",IFERROR(INDEX('CARNET DE SOUDURE'!$E$7:$E$3006,MATCH(B342,'CARNET DE SOUDURE'!$L$7:$L$3006,0)),""))</f>
        <v>JN°1007</v>
      </c>
      <c r="L342" s="82" t="n">
        <f aca="false">IF(B342="","",IFERROR(INDEX('CARNET DE SOUDURE'!$D$7:$D$3006,MATCH(B342,'CARNET DE SOUDURE'!$L$7:$L$3006,0)),IFERROR(INDEX('CARNET DE SOUDURE'!$D$7:$D$3006,MATCH(B342,'CARNET DE SOUDURE'!$O$7:$O$3006,0)),"")))</f>
        <v>8</v>
      </c>
      <c r="M342" s="82" t="str">
        <f aca="false">IF(B342="","",IF(OR(J342&lt;&gt;"",K342&lt;&gt;""),"POSÉ EN LIGNE",IF(COUNTIF(BARDAGE!$C$1:$C$5000,B342)&gt;0,"BARDÉ","EN STOCK")))</f>
        <v>POSÉ EN LIGNE</v>
      </c>
      <c r="N342" s="80"/>
    </row>
    <row r="343" customFormat="false" ht="15" hidden="false" customHeight="false" outlineLevel="0" collapsed="false">
      <c r="A343" s="82" t="n">
        <f aca="false">IF(B343="","",ROW()-6)</f>
        <v>337</v>
      </c>
      <c r="B343" s="145" t="n">
        <v>2092340</v>
      </c>
      <c r="C343" s="146" t="n">
        <v>15421110</v>
      </c>
      <c r="D343" s="146"/>
      <c r="E343" s="82" t="str">
        <f aca="false">IF(B343="","",IF(COUNTIFS('CARNET DE SOUDURE'!$L$7:$L$3006,B343,'CARNET DE SOUDURE'!$M$7:$M$3006,"&lt;&gt;"&amp;C343,'CARNET DE SOUDURE'!$M$7:$M$3006,"&lt;&gt;")+COUNTIFS('CARNET DE SOUDURE'!$O$7:$O$3006,B343,'CARNET DE SOUDURE'!$P$7:$P$3006,"&lt;&gt;"&amp;C343,'CARNET DE SOUDURE'!$P$7:$P$3006,"&lt;&gt;")&gt;0,"⚠ DIFFÉRENTE","OK"))</f>
        <v>OK</v>
      </c>
      <c r="F343" s="147" t="n">
        <v>11.94</v>
      </c>
      <c r="G343" s="80"/>
      <c r="H343" s="83"/>
      <c r="I343" s="148" t="str">
        <f aca="false">IF(B343="","",IFERROR(INDEX('CARNET DE SOUDURE'!$B$7:$B$3006,MATCH(B343,'CARNET DE SOUDURE'!$L$7:$L$3006,0)),IFERROR(INDEX('CARNET DE SOUDURE'!$B$7:$B$3006,MATCH(B343,'CARNET DE SOUDURE'!$O$7:$O$3006,0)),"")))</f>
        <v>MFD-ISW → MFD-CPF</v>
      </c>
      <c r="J343" s="82" t="str">
        <f aca="false">IF(B343="","",IFERROR(INDEX('CARNET DE SOUDURE'!$E$7:$E$3006,MATCH(B343,'CARNET DE SOUDURE'!$O$7:$O$3006,0)),""))</f>
        <v>JN°1007</v>
      </c>
      <c r="K343" s="82" t="str">
        <f aca="false">IF(B343="","",IFERROR(INDEX('CARNET DE SOUDURE'!$E$7:$E$3006,MATCH(B343,'CARNET DE SOUDURE'!$L$7:$L$3006,0)),""))</f>
        <v>DJ°360</v>
      </c>
      <c r="L343" s="82" t="n">
        <f aca="false">IF(B343="","",IFERROR(INDEX('CARNET DE SOUDURE'!$D$7:$D$3006,MATCH(B343,'CARNET DE SOUDURE'!$L$7:$L$3006,0)),IFERROR(INDEX('CARNET DE SOUDURE'!$D$7:$D$3006,MATCH(B343,'CARNET DE SOUDURE'!$O$7:$O$3006,0)),"")))</f>
        <v>9</v>
      </c>
      <c r="M343" s="82" t="str">
        <f aca="false">IF(B343="","",IF(OR(J343&lt;&gt;"",K343&lt;&gt;""),"POSÉ EN LIGNE",IF(COUNTIF(BARDAGE!$C$1:$C$5000,B343)&gt;0,"BARDÉ","EN STOCK")))</f>
        <v>POSÉ EN LIGNE</v>
      </c>
      <c r="N343" s="80"/>
    </row>
    <row r="344" customFormat="false" ht="15" hidden="false" customHeight="false" outlineLevel="0" collapsed="false">
      <c r="A344" s="82" t="n">
        <f aca="false">IF(B344="","",ROW()-6)</f>
        <v>338</v>
      </c>
      <c r="B344" s="145" t="n">
        <v>2080080</v>
      </c>
      <c r="C344" s="146" t="n">
        <v>15421102</v>
      </c>
      <c r="D344" s="146"/>
      <c r="E344" s="82" t="str">
        <f aca="false">IF(B344="","",IF(COUNTIFS('CARNET DE SOUDURE'!$L$7:$L$3006,B344,'CARNET DE SOUDURE'!$M$7:$M$3006,"&lt;&gt;"&amp;C344,'CARNET DE SOUDURE'!$M$7:$M$3006,"&lt;&gt;")+COUNTIFS('CARNET DE SOUDURE'!$O$7:$O$3006,B344,'CARNET DE SOUDURE'!$P$7:$P$3006,"&lt;&gt;"&amp;C344,'CARNET DE SOUDURE'!$P$7:$P$3006,"&lt;&gt;")&gt;0,"⚠ DIFFÉRENTE","OK"))</f>
        <v>OK</v>
      </c>
      <c r="F344" s="147" t="n">
        <v>11.94</v>
      </c>
      <c r="G344" s="80"/>
      <c r="H344" s="83"/>
      <c r="I344" s="148" t="str">
        <f aca="false">IF(B344="","",IFERROR(INDEX('CARNET DE SOUDURE'!$B$7:$B$3006,MATCH(B344,'CARNET DE SOUDURE'!$L$7:$L$3006,0)),IFERROR(INDEX('CARNET DE SOUDURE'!$B$7:$B$3006,MATCH(B344,'CARNET DE SOUDURE'!$O$7:$O$3006,0)),"")))</f>
        <v>MFD-ISW → MFD-CPF</v>
      </c>
      <c r="J344" s="82" t="str">
        <f aca="false">IF(B344="","",IFERROR(INDEX('CARNET DE SOUDURE'!$E$7:$E$3006,MATCH(B344,'CARNET DE SOUDURE'!$O$7:$O$3006,0)),""))</f>
        <v>DJ°360</v>
      </c>
      <c r="K344" s="82" t="str">
        <f aca="false">IF(B344="","",IFERROR(INDEX('CARNET DE SOUDURE'!$E$7:$E$3006,MATCH(B344,'CARNET DE SOUDURE'!$L$7:$L$3006,0)),""))</f>
        <v>JN°1008</v>
      </c>
      <c r="L344" s="82" t="n">
        <f aca="false">IF(B344="","",IFERROR(INDEX('CARNET DE SOUDURE'!$D$7:$D$3006,MATCH(B344,'CARNET DE SOUDURE'!$L$7:$L$3006,0)),IFERROR(INDEX('CARNET DE SOUDURE'!$D$7:$D$3006,MATCH(B344,'CARNET DE SOUDURE'!$O$7:$O$3006,0)),"")))</f>
        <v>9</v>
      </c>
      <c r="M344" s="82" t="str">
        <f aca="false">IF(B344="","",IF(OR(J344&lt;&gt;"",K344&lt;&gt;""),"POSÉ EN LIGNE",IF(COUNTIF(BARDAGE!$C$1:$C$5000,B344)&gt;0,"BARDÉ","EN STOCK")))</f>
        <v>POSÉ EN LIGNE</v>
      </c>
      <c r="N344" s="80"/>
    </row>
    <row r="345" customFormat="false" ht="15" hidden="false" customHeight="false" outlineLevel="0" collapsed="false">
      <c r="A345" s="82" t="n">
        <f aca="false">IF(B345="","",ROW()-6)</f>
        <v>339</v>
      </c>
      <c r="B345" s="145" t="n">
        <v>2086970</v>
      </c>
      <c r="C345" s="146" t="n">
        <v>15421107</v>
      </c>
      <c r="D345" s="146"/>
      <c r="E345" s="82" t="str">
        <f aca="false">IF(B345="","",IF(COUNTIFS('CARNET DE SOUDURE'!$L$7:$L$3006,B345,'CARNET DE SOUDURE'!$M$7:$M$3006,"&lt;&gt;"&amp;C345,'CARNET DE SOUDURE'!$M$7:$M$3006,"&lt;&gt;")+COUNTIFS('CARNET DE SOUDURE'!$O$7:$O$3006,B345,'CARNET DE SOUDURE'!$P$7:$P$3006,"&lt;&gt;"&amp;C345,'CARNET DE SOUDURE'!$P$7:$P$3006,"&lt;&gt;")&gt;0,"⚠ DIFFÉRENTE","OK"))</f>
        <v>OK</v>
      </c>
      <c r="F345" s="147" t="n">
        <v>11.94</v>
      </c>
      <c r="G345" s="80"/>
      <c r="H345" s="83"/>
      <c r="I345" s="148" t="str">
        <f aca="false">IF(B345="","",IFERROR(INDEX('CARNET DE SOUDURE'!$B$7:$B$3006,MATCH(B345,'CARNET DE SOUDURE'!$L$7:$L$3006,0)),IFERROR(INDEX('CARNET DE SOUDURE'!$B$7:$B$3006,MATCH(B345,'CARNET DE SOUDURE'!$O$7:$O$3006,0)),"")))</f>
        <v>MFD-ISW → MFD-CPF</v>
      </c>
      <c r="J345" s="82" t="str">
        <f aca="false">IF(B345="","",IFERROR(INDEX('CARNET DE SOUDURE'!$E$7:$E$3006,MATCH(B345,'CARNET DE SOUDURE'!$O$7:$O$3006,0)),""))</f>
        <v>JN°1008</v>
      </c>
      <c r="K345" s="82" t="str">
        <f aca="false">IF(B345="","",IFERROR(INDEX('CARNET DE SOUDURE'!$E$7:$E$3006,MATCH(B345,'CARNET DE SOUDURE'!$L$7:$L$3006,0)),""))</f>
        <v>DJ°358</v>
      </c>
      <c r="L345" s="82" t="n">
        <f aca="false">IF(B345="","",IFERROR(INDEX('CARNET DE SOUDURE'!$D$7:$D$3006,MATCH(B345,'CARNET DE SOUDURE'!$L$7:$L$3006,0)),IFERROR(INDEX('CARNET DE SOUDURE'!$D$7:$D$3006,MATCH(B345,'CARNET DE SOUDURE'!$O$7:$O$3006,0)),"")))</f>
        <v>9</v>
      </c>
      <c r="M345" s="82" t="str">
        <f aca="false">IF(B345="","",IF(OR(J345&lt;&gt;"",K345&lt;&gt;""),"POSÉ EN LIGNE",IF(COUNTIF(BARDAGE!$C$1:$C$5000,B345)&gt;0,"BARDÉ","EN STOCK")))</f>
        <v>POSÉ EN LIGNE</v>
      </c>
      <c r="N345" s="80"/>
    </row>
    <row r="346" customFormat="false" ht="15" hidden="false" customHeight="false" outlineLevel="0" collapsed="false">
      <c r="A346" s="82" t="n">
        <f aca="false">IF(B346="","",ROW()-6)</f>
        <v>340</v>
      </c>
      <c r="B346" s="145" t="n">
        <v>2083070</v>
      </c>
      <c r="C346" s="146" t="n">
        <v>15421105</v>
      </c>
      <c r="D346" s="146"/>
      <c r="E346" s="82" t="str">
        <f aca="false">IF(B346="","",IF(COUNTIFS('CARNET DE SOUDURE'!$L$7:$L$3006,B346,'CARNET DE SOUDURE'!$M$7:$M$3006,"&lt;&gt;"&amp;C346,'CARNET DE SOUDURE'!$M$7:$M$3006,"&lt;&gt;")+COUNTIFS('CARNET DE SOUDURE'!$O$7:$O$3006,B346,'CARNET DE SOUDURE'!$P$7:$P$3006,"&lt;&gt;"&amp;C346,'CARNET DE SOUDURE'!$P$7:$P$3006,"&lt;&gt;")&gt;0,"⚠ DIFFÉRENTE","OK"))</f>
        <v>OK</v>
      </c>
      <c r="F346" s="147" t="n">
        <v>11.94</v>
      </c>
      <c r="G346" s="80"/>
      <c r="H346" s="83"/>
      <c r="I346" s="148" t="str">
        <f aca="false">IF(B346="","",IFERROR(INDEX('CARNET DE SOUDURE'!$B$7:$B$3006,MATCH(B346,'CARNET DE SOUDURE'!$L$7:$L$3006,0)),IFERROR(INDEX('CARNET DE SOUDURE'!$B$7:$B$3006,MATCH(B346,'CARNET DE SOUDURE'!$O$7:$O$3006,0)),"")))</f>
        <v>MFD-ISW → MFD-CPF</v>
      </c>
      <c r="J346" s="82" t="str">
        <f aca="false">IF(B346="","",IFERROR(INDEX('CARNET DE SOUDURE'!$E$7:$E$3006,MATCH(B346,'CARNET DE SOUDURE'!$O$7:$O$3006,0)),""))</f>
        <v>DJ°358</v>
      </c>
      <c r="K346" s="82" t="str">
        <f aca="false">IF(B346="","",IFERROR(INDEX('CARNET DE SOUDURE'!$E$7:$E$3006,MATCH(B346,'CARNET DE SOUDURE'!$L$7:$L$3006,0)),""))</f>
        <v>JN°1009</v>
      </c>
      <c r="L346" s="82" t="n">
        <f aca="false">IF(B346="","",IFERROR(INDEX('CARNET DE SOUDURE'!$D$7:$D$3006,MATCH(B346,'CARNET DE SOUDURE'!$L$7:$L$3006,0)),IFERROR(INDEX('CARNET DE SOUDURE'!$D$7:$D$3006,MATCH(B346,'CARNET DE SOUDURE'!$O$7:$O$3006,0)),"")))</f>
        <v>9</v>
      </c>
      <c r="M346" s="82" t="str">
        <f aca="false">IF(B346="","",IF(OR(J346&lt;&gt;"",K346&lt;&gt;""),"POSÉ EN LIGNE",IF(COUNTIF(BARDAGE!$C$1:$C$5000,B346)&gt;0,"BARDÉ","EN STOCK")))</f>
        <v>POSÉ EN LIGNE</v>
      </c>
      <c r="N346" s="80"/>
    </row>
    <row r="347" customFormat="false" ht="15" hidden="false" customHeight="false" outlineLevel="0" collapsed="false">
      <c r="A347" s="82" t="n">
        <f aca="false">IF(B347="","",ROW()-6)</f>
        <v>341</v>
      </c>
      <c r="B347" s="145" t="n">
        <v>2085380</v>
      </c>
      <c r="C347" s="146" t="n">
        <v>15421106</v>
      </c>
      <c r="D347" s="146"/>
      <c r="E347" s="82" t="str">
        <f aca="false">IF(B347="","",IF(COUNTIFS('CARNET DE SOUDURE'!$L$7:$L$3006,B347,'CARNET DE SOUDURE'!$M$7:$M$3006,"&lt;&gt;"&amp;C347,'CARNET DE SOUDURE'!$M$7:$M$3006,"&lt;&gt;")+COUNTIFS('CARNET DE SOUDURE'!$O$7:$O$3006,B347,'CARNET DE SOUDURE'!$P$7:$P$3006,"&lt;&gt;"&amp;C347,'CARNET DE SOUDURE'!$P$7:$P$3006,"&lt;&gt;")&gt;0,"⚠ DIFFÉRENTE","OK"))</f>
        <v>OK</v>
      </c>
      <c r="F347" s="147" t="n">
        <v>11.94</v>
      </c>
      <c r="G347" s="80"/>
      <c r="H347" s="83"/>
      <c r="I347" s="148" t="str">
        <f aca="false">IF(B347="","",IFERROR(INDEX('CARNET DE SOUDURE'!$B$7:$B$3006,MATCH(B347,'CARNET DE SOUDURE'!$L$7:$L$3006,0)),IFERROR(INDEX('CARNET DE SOUDURE'!$B$7:$B$3006,MATCH(B347,'CARNET DE SOUDURE'!$O$7:$O$3006,0)),"")))</f>
        <v>MFD-ISW → MFD-CPF</v>
      </c>
      <c r="J347" s="82" t="str">
        <f aca="false">IF(B347="","",IFERROR(INDEX('CARNET DE SOUDURE'!$E$7:$E$3006,MATCH(B347,'CARNET DE SOUDURE'!$O$7:$O$3006,0)),""))</f>
        <v>JN°1009</v>
      </c>
      <c r="K347" s="82" t="str">
        <f aca="false">IF(B347="","",IFERROR(INDEX('CARNET DE SOUDURE'!$E$7:$E$3006,MATCH(B347,'CARNET DE SOUDURE'!$L$7:$L$3006,0)),""))</f>
        <v>DJ°357</v>
      </c>
      <c r="L347" s="82" t="n">
        <f aca="false">IF(B347="","",IFERROR(INDEX('CARNET DE SOUDURE'!$D$7:$D$3006,MATCH(B347,'CARNET DE SOUDURE'!$L$7:$L$3006,0)),IFERROR(INDEX('CARNET DE SOUDURE'!$D$7:$D$3006,MATCH(B347,'CARNET DE SOUDURE'!$O$7:$O$3006,0)),"")))</f>
        <v>9</v>
      </c>
      <c r="M347" s="82" t="str">
        <f aca="false">IF(B347="","",IF(OR(J347&lt;&gt;"",K347&lt;&gt;""),"POSÉ EN LIGNE",IF(COUNTIF(BARDAGE!$C$1:$C$5000,B347)&gt;0,"BARDÉ","EN STOCK")))</f>
        <v>POSÉ EN LIGNE</v>
      </c>
      <c r="N347" s="80"/>
    </row>
    <row r="348" customFormat="false" ht="15" hidden="false" customHeight="false" outlineLevel="0" collapsed="false">
      <c r="A348" s="82" t="n">
        <f aca="false">IF(B348="","",ROW()-6)</f>
        <v>342</v>
      </c>
      <c r="B348" s="145" t="n">
        <v>2086210</v>
      </c>
      <c r="C348" s="146" t="n">
        <v>15421107</v>
      </c>
      <c r="D348" s="146"/>
      <c r="E348" s="82" t="str">
        <f aca="false">IF(B348="","",IF(COUNTIFS('CARNET DE SOUDURE'!$L$7:$L$3006,B348,'CARNET DE SOUDURE'!$M$7:$M$3006,"&lt;&gt;"&amp;C348,'CARNET DE SOUDURE'!$M$7:$M$3006,"&lt;&gt;")+COUNTIFS('CARNET DE SOUDURE'!$O$7:$O$3006,B348,'CARNET DE SOUDURE'!$P$7:$P$3006,"&lt;&gt;"&amp;C348,'CARNET DE SOUDURE'!$P$7:$P$3006,"&lt;&gt;")&gt;0,"⚠ DIFFÉRENTE","OK"))</f>
        <v>OK</v>
      </c>
      <c r="F348" s="147" t="n">
        <v>11.94</v>
      </c>
      <c r="G348" s="80"/>
      <c r="H348" s="83"/>
      <c r="I348" s="148" t="str">
        <f aca="false">IF(B348="","",IFERROR(INDEX('CARNET DE SOUDURE'!$B$7:$B$3006,MATCH(B348,'CARNET DE SOUDURE'!$L$7:$L$3006,0)),IFERROR(INDEX('CARNET DE SOUDURE'!$B$7:$B$3006,MATCH(B348,'CARNET DE SOUDURE'!$O$7:$O$3006,0)),"")))</f>
        <v>MFD-ISW → MFD-CPF</v>
      </c>
      <c r="J348" s="82" t="str">
        <f aca="false">IF(B348="","",IFERROR(INDEX('CARNET DE SOUDURE'!$E$7:$E$3006,MATCH(B348,'CARNET DE SOUDURE'!$O$7:$O$3006,0)),""))</f>
        <v>DJ°357</v>
      </c>
      <c r="K348" s="82" t="str">
        <f aca="false">IF(B348="","",IFERROR(INDEX('CARNET DE SOUDURE'!$E$7:$E$3006,MATCH(B348,'CARNET DE SOUDURE'!$L$7:$L$3006,0)),""))</f>
        <v>JN°1010</v>
      </c>
      <c r="L348" s="82" t="n">
        <f aca="false">IF(B348="","",IFERROR(INDEX('CARNET DE SOUDURE'!$D$7:$D$3006,MATCH(B348,'CARNET DE SOUDURE'!$L$7:$L$3006,0)),IFERROR(INDEX('CARNET DE SOUDURE'!$D$7:$D$3006,MATCH(B348,'CARNET DE SOUDURE'!$O$7:$O$3006,0)),"")))</f>
        <v>9</v>
      </c>
      <c r="M348" s="82" t="str">
        <f aca="false">IF(B348="","",IF(OR(J348&lt;&gt;"",K348&lt;&gt;""),"POSÉ EN LIGNE",IF(COUNTIF(BARDAGE!$C$1:$C$5000,B348)&gt;0,"BARDÉ","EN STOCK")))</f>
        <v>POSÉ EN LIGNE</v>
      </c>
      <c r="N348" s="80"/>
    </row>
    <row r="349" customFormat="false" ht="15" hidden="false" customHeight="false" outlineLevel="0" collapsed="false">
      <c r="A349" s="82" t="n">
        <f aca="false">IF(B349="","",ROW()-6)</f>
        <v>343</v>
      </c>
      <c r="B349" s="145" t="s">
        <v>1391</v>
      </c>
      <c r="C349" s="146"/>
      <c r="D349" s="146"/>
      <c r="E349" s="82" t="str">
        <f aca="false">IF(B349="","",IF(COUNTIFS('CARNET DE SOUDURE'!$L$7:$L$3006,B349,'CARNET DE SOUDURE'!$M$7:$M$3006,"&lt;&gt;"&amp;C349,'CARNET DE SOUDURE'!$M$7:$M$3006,"&lt;&gt;")+COUNTIFS('CARNET DE SOUDURE'!$O$7:$O$3006,B349,'CARNET DE SOUDURE'!$P$7:$P$3006,"&lt;&gt;"&amp;C349,'CARNET DE SOUDURE'!$P$7:$P$3006,"&lt;&gt;")&gt;0,"⚠ DIFFÉRENTE","OK"))</f>
        <v>OK</v>
      </c>
      <c r="F349" s="147"/>
      <c r="G349" s="80"/>
      <c r="H349" s="83"/>
      <c r="I349" s="148" t="str">
        <f aca="false">IF(B349="","",IFERROR(INDEX('CARNET DE SOUDURE'!$B$7:$B$3006,MATCH(B349,'CARNET DE SOUDURE'!$L$7:$L$3006,0)),IFERROR(INDEX('CARNET DE SOUDURE'!$B$7:$B$3006,MATCH(B349,'CARNET DE SOUDURE'!$O$7:$O$3006,0)),"")))</f>
        <v>MFD-ISW → MFD-CPF</v>
      </c>
      <c r="J349" s="82" t="str">
        <f aca="false">IF(B349="","",IFERROR(INDEX('CARNET DE SOUDURE'!$E$7:$E$3006,MATCH(B349,'CARNET DE SOUDURE'!$O$7:$O$3006,0)),""))</f>
        <v>JN°1010</v>
      </c>
      <c r="K349" s="82" t="str">
        <f aca="false">IF(B349="","",IFERROR(INDEX('CARNET DE SOUDURE'!$E$7:$E$3006,MATCH(B349,'CARNET DE SOUDURE'!$L$7:$L$3006,0)),""))</f>
        <v>JN°1011</v>
      </c>
      <c r="L349" s="82" t="n">
        <f aca="false">IF(B349="","",IFERROR(INDEX('CARNET DE SOUDURE'!$D$7:$D$3006,MATCH(B349,'CARNET DE SOUDURE'!$L$7:$L$3006,0)),IFERROR(INDEX('CARNET DE SOUDURE'!$D$7:$D$3006,MATCH(B349,'CARNET DE SOUDURE'!$O$7:$O$3006,0)),"")))</f>
        <v>9</v>
      </c>
      <c r="M349" s="82" t="str">
        <f aca="false">IF(B349="","",IF(OR(J349&lt;&gt;"",K349&lt;&gt;""),"POSÉ EN LIGNE",IF(COUNTIF(BARDAGE!$C$1:$C$5000,B349)&gt;0,"BARDÉ","EN STOCK")))</f>
        <v>POSÉ EN LIGNE</v>
      </c>
      <c r="N349" s="80"/>
    </row>
    <row r="350" customFormat="false" ht="15" hidden="false" customHeight="false" outlineLevel="0" collapsed="false">
      <c r="A350" s="82" t="n">
        <f aca="false">IF(B350="","",ROW()-6)</f>
        <v>344</v>
      </c>
      <c r="B350" s="145" t="n">
        <v>2080290</v>
      </c>
      <c r="C350" s="146" t="n">
        <v>15421102</v>
      </c>
      <c r="D350" s="146"/>
      <c r="E350" s="82" t="str">
        <f aca="false">IF(B350="","",IF(COUNTIFS('CARNET DE SOUDURE'!$L$7:$L$3006,B350,'CARNET DE SOUDURE'!$M$7:$M$3006,"&lt;&gt;"&amp;C350,'CARNET DE SOUDURE'!$M$7:$M$3006,"&lt;&gt;")+COUNTIFS('CARNET DE SOUDURE'!$O$7:$O$3006,B350,'CARNET DE SOUDURE'!$P$7:$P$3006,"&lt;&gt;"&amp;C350,'CARNET DE SOUDURE'!$P$7:$P$3006,"&lt;&gt;")&gt;0,"⚠ DIFFÉRENTE","OK"))</f>
        <v>OK</v>
      </c>
      <c r="F350" s="147" t="n">
        <v>11.94</v>
      </c>
      <c r="G350" s="80"/>
      <c r="H350" s="83"/>
      <c r="I350" s="148" t="str">
        <f aca="false">IF(B350="","",IFERROR(INDEX('CARNET DE SOUDURE'!$B$7:$B$3006,MATCH(B350,'CARNET DE SOUDURE'!$L$7:$L$3006,0)),IFERROR(INDEX('CARNET DE SOUDURE'!$B$7:$B$3006,MATCH(B350,'CARNET DE SOUDURE'!$O$7:$O$3006,0)),"")))</f>
        <v>MFD-ISW → MFD-CPF</v>
      </c>
      <c r="J350" s="82" t="str">
        <f aca="false">IF(B350="","",IFERROR(INDEX('CARNET DE SOUDURE'!$E$7:$E$3006,MATCH(B350,'CARNET DE SOUDURE'!$O$7:$O$3006,0)),""))</f>
        <v>JN°1022</v>
      </c>
      <c r="K350" s="82" t="str">
        <f aca="false">IF(B350="","",IFERROR(INDEX('CARNET DE SOUDURE'!$E$7:$E$3006,MATCH(B350,'CARNET DE SOUDURE'!$L$7:$L$3006,0)),""))</f>
        <v>DJ°363</v>
      </c>
      <c r="L350" s="82" t="n">
        <f aca="false">IF(B350="","",IFERROR(INDEX('CARNET DE SOUDURE'!$D$7:$D$3006,MATCH(B350,'CARNET DE SOUDURE'!$L$7:$L$3006,0)),IFERROR(INDEX('CARNET DE SOUDURE'!$D$7:$D$3006,MATCH(B350,'CARNET DE SOUDURE'!$O$7:$O$3006,0)),"")))</f>
        <v>9</v>
      </c>
      <c r="M350" s="82" t="str">
        <f aca="false">IF(B350="","",IF(OR(J350&lt;&gt;"",K350&lt;&gt;""),"POSÉ EN LIGNE",IF(COUNTIF(BARDAGE!$C$1:$C$5000,B350)&gt;0,"BARDÉ","EN STOCK")))</f>
        <v>POSÉ EN LIGNE</v>
      </c>
      <c r="N350" s="80"/>
    </row>
    <row r="351" customFormat="false" ht="15" hidden="false" customHeight="false" outlineLevel="0" collapsed="false">
      <c r="A351" s="82" t="n">
        <f aca="false">IF(B351="","",ROW()-6)</f>
        <v>345</v>
      </c>
      <c r="B351" s="145" t="n">
        <v>2079352</v>
      </c>
      <c r="C351" s="146" t="n">
        <v>15421102</v>
      </c>
      <c r="D351" s="146"/>
      <c r="E351" s="82" t="str">
        <f aca="false">IF(B351="","",IF(COUNTIFS('CARNET DE SOUDURE'!$L$7:$L$3006,B351,'CARNET DE SOUDURE'!$M$7:$M$3006,"&lt;&gt;"&amp;C351,'CARNET DE SOUDURE'!$M$7:$M$3006,"&lt;&gt;")+COUNTIFS('CARNET DE SOUDURE'!$O$7:$O$3006,B351,'CARNET DE SOUDURE'!$P$7:$P$3006,"&lt;&gt;"&amp;C351,'CARNET DE SOUDURE'!$P$7:$P$3006,"&lt;&gt;")&gt;0,"⚠ DIFFÉRENTE","OK"))</f>
        <v>OK</v>
      </c>
      <c r="F351" s="147" t="n">
        <v>11.94</v>
      </c>
      <c r="G351" s="80"/>
      <c r="H351" s="83"/>
      <c r="I351" s="148" t="str">
        <f aca="false">IF(B351="","",IFERROR(INDEX('CARNET DE SOUDURE'!$B$7:$B$3006,MATCH(B351,'CARNET DE SOUDURE'!$L$7:$L$3006,0)),IFERROR(INDEX('CARNET DE SOUDURE'!$B$7:$B$3006,MATCH(B351,'CARNET DE SOUDURE'!$O$7:$O$3006,0)),"")))</f>
        <v>MFD-ISW → MFD-CPF</v>
      </c>
      <c r="J351" s="82" t="str">
        <f aca="false">IF(B351="","",IFERROR(INDEX('CARNET DE SOUDURE'!$E$7:$E$3006,MATCH(B351,'CARNET DE SOUDURE'!$O$7:$O$3006,0)),""))</f>
        <v>DJ°363</v>
      </c>
      <c r="K351" s="82" t="str">
        <f aca="false">IF(B351="","",IFERROR(INDEX('CARNET DE SOUDURE'!$E$7:$E$3006,MATCH(B351,'CARNET DE SOUDURE'!$L$7:$L$3006,0)),""))</f>
        <v>JN°1023</v>
      </c>
      <c r="L351" s="82" t="n">
        <f aca="false">IF(B351="","",IFERROR(INDEX('CARNET DE SOUDURE'!$D$7:$D$3006,MATCH(B351,'CARNET DE SOUDURE'!$L$7:$L$3006,0)),IFERROR(INDEX('CARNET DE SOUDURE'!$D$7:$D$3006,MATCH(B351,'CARNET DE SOUDURE'!$O$7:$O$3006,0)),"")))</f>
        <v>9</v>
      </c>
      <c r="M351" s="82" t="str">
        <f aca="false">IF(B351="","",IF(OR(J351&lt;&gt;"",K351&lt;&gt;""),"POSÉ EN LIGNE",IF(COUNTIF(BARDAGE!$C$1:$C$5000,B351)&gt;0,"BARDÉ","EN STOCK")))</f>
        <v>POSÉ EN LIGNE</v>
      </c>
      <c r="N351" s="80"/>
    </row>
    <row r="352" customFormat="false" ht="15" hidden="false" customHeight="false" outlineLevel="0" collapsed="false">
      <c r="A352" s="82" t="n">
        <f aca="false">IF(B352="","",ROW()-6)</f>
        <v>346</v>
      </c>
      <c r="B352" s="145" t="n">
        <v>2098630</v>
      </c>
      <c r="C352" s="146" t="n">
        <v>15421112</v>
      </c>
      <c r="D352" s="146"/>
      <c r="E352" s="82" t="str">
        <f aca="false">IF(B352="","",IF(COUNTIFS('CARNET DE SOUDURE'!$L$7:$L$3006,B352,'CARNET DE SOUDURE'!$M$7:$M$3006,"&lt;&gt;"&amp;C352,'CARNET DE SOUDURE'!$M$7:$M$3006,"&lt;&gt;")+COUNTIFS('CARNET DE SOUDURE'!$O$7:$O$3006,B352,'CARNET DE SOUDURE'!$P$7:$P$3006,"&lt;&gt;"&amp;C352,'CARNET DE SOUDURE'!$P$7:$P$3006,"&lt;&gt;")&gt;0,"⚠ DIFFÉRENTE","OK"))</f>
        <v>OK</v>
      </c>
      <c r="F352" s="147" t="n">
        <v>11.94</v>
      </c>
      <c r="G352" s="80"/>
      <c r="H352" s="83"/>
      <c r="I352" s="148" t="str">
        <f aca="false">IF(B352="","",IFERROR(INDEX('CARNET DE SOUDURE'!$B$7:$B$3006,MATCH(B352,'CARNET DE SOUDURE'!$L$7:$L$3006,0)),IFERROR(INDEX('CARNET DE SOUDURE'!$B$7:$B$3006,MATCH(B352,'CARNET DE SOUDURE'!$O$7:$O$3006,0)),"")))</f>
        <v>MFD-ISW → MFD-CPF</v>
      </c>
      <c r="J352" s="82" t="str">
        <f aca="false">IF(B352="","",IFERROR(INDEX('CARNET DE SOUDURE'!$E$7:$E$3006,MATCH(B352,'CARNET DE SOUDURE'!$O$7:$O$3006,0)),""))</f>
        <v>JN°1023</v>
      </c>
      <c r="K352" s="82" t="str">
        <f aca="false">IF(B352="","",IFERROR(INDEX('CARNET DE SOUDURE'!$E$7:$E$3006,MATCH(B352,'CARNET DE SOUDURE'!$L$7:$L$3006,0)),""))</f>
        <v>DJ°364</v>
      </c>
      <c r="L352" s="82" t="n">
        <f aca="false">IF(B352="","",IFERROR(INDEX('CARNET DE SOUDURE'!$D$7:$D$3006,MATCH(B352,'CARNET DE SOUDURE'!$L$7:$L$3006,0)),IFERROR(INDEX('CARNET DE SOUDURE'!$D$7:$D$3006,MATCH(B352,'CARNET DE SOUDURE'!$O$7:$O$3006,0)),"")))</f>
        <v>9</v>
      </c>
      <c r="M352" s="82" t="str">
        <f aca="false">IF(B352="","",IF(OR(J352&lt;&gt;"",K352&lt;&gt;""),"POSÉ EN LIGNE",IF(COUNTIF(BARDAGE!$C$1:$C$5000,B352)&gt;0,"BARDÉ","EN STOCK")))</f>
        <v>POSÉ EN LIGNE</v>
      </c>
      <c r="N352" s="80"/>
    </row>
    <row r="353" customFormat="false" ht="15" hidden="false" customHeight="false" outlineLevel="0" collapsed="false">
      <c r="A353" s="82" t="n">
        <f aca="false">IF(B353="","",ROW()-6)</f>
        <v>347</v>
      </c>
      <c r="B353" s="145" t="n">
        <v>2087530</v>
      </c>
      <c r="C353" s="146" t="n">
        <v>15421107</v>
      </c>
      <c r="D353" s="146"/>
      <c r="E353" s="82" t="str">
        <f aca="false">IF(B353="","",IF(COUNTIFS('CARNET DE SOUDURE'!$L$7:$L$3006,B353,'CARNET DE SOUDURE'!$M$7:$M$3006,"&lt;&gt;"&amp;C353,'CARNET DE SOUDURE'!$M$7:$M$3006,"&lt;&gt;")+COUNTIFS('CARNET DE SOUDURE'!$O$7:$O$3006,B353,'CARNET DE SOUDURE'!$P$7:$P$3006,"&lt;&gt;"&amp;C353,'CARNET DE SOUDURE'!$P$7:$P$3006,"&lt;&gt;")&gt;0,"⚠ DIFFÉRENTE","OK"))</f>
        <v>OK</v>
      </c>
      <c r="F353" s="147" t="n">
        <v>11.94</v>
      </c>
      <c r="G353" s="80"/>
      <c r="H353" s="83"/>
      <c r="I353" s="148" t="str">
        <f aca="false">IF(B353="","",IFERROR(INDEX('CARNET DE SOUDURE'!$B$7:$B$3006,MATCH(B353,'CARNET DE SOUDURE'!$L$7:$L$3006,0)),IFERROR(INDEX('CARNET DE SOUDURE'!$B$7:$B$3006,MATCH(B353,'CARNET DE SOUDURE'!$O$7:$O$3006,0)),"")))</f>
        <v>MFD-ISW → MFD-CPF</v>
      </c>
      <c r="J353" s="82" t="str">
        <f aca="false">IF(B353="","",IFERROR(INDEX('CARNET DE SOUDURE'!$E$7:$E$3006,MATCH(B353,'CARNET DE SOUDURE'!$O$7:$O$3006,0)),""))</f>
        <v>DJ°364</v>
      </c>
      <c r="K353" s="82" t="str">
        <f aca="false">IF(B353="","",IFERROR(INDEX('CARNET DE SOUDURE'!$E$7:$E$3006,MATCH(B353,'CARNET DE SOUDURE'!$L$7:$L$3006,0)),""))</f>
        <v>JN°1024</v>
      </c>
      <c r="L353" s="82" t="n">
        <f aca="false">IF(B353="","",IFERROR(INDEX('CARNET DE SOUDURE'!$D$7:$D$3006,MATCH(B353,'CARNET DE SOUDURE'!$L$7:$L$3006,0)),IFERROR(INDEX('CARNET DE SOUDURE'!$D$7:$D$3006,MATCH(B353,'CARNET DE SOUDURE'!$O$7:$O$3006,0)),"")))</f>
        <v>9</v>
      </c>
      <c r="M353" s="82" t="str">
        <f aca="false">IF(B353="","",IF(OR(J353&lt;&gt;"",K353&lt;&gt;""),"POSÉ EN LIGNE",IF(COUNTIF(BARDAGE!$C$1:$C$5000,B353)&gt;0,"BARDÉ","EN STOCK")))</f>
        <v>POSÉ EN LIGNE</v>
      </c>
      <c r="N353" s="80"/>
    </row>
    <row r="354" customFormat="false" ht="15" hidden="false" customHeight="false" outlineLevel="0" collapsed="false">
      <c r="A354" s="82" t="n">
        <f aca="false">IF(B354="","",ROW()-6)</f>
        <v>348</v>
      </c>
      <c r="B354" s="145" t="n">
        <v>2087080</v>
      </c>
      <c r="C354" s="146" t="n">
        <v>15421105</v>
      </c>
      <c r="D354" s="146"/>
      <c r="E354" s="82" t="str">
        <f aca="false">IF(B354="","",IF(COUNTIFS('CARNET DE SOUDURE'!$L$7:$L$3006,B354,'CARNET DE SOUDURE'!$M$7:$M$3006,"&lt;&gt;"&amp;C354,'CARNET DE SOUDURE'!$M$7:$M$3006,"&lt;&gt;")+COUNTIFS('CARNET DE SOUDURE'!$O$7:$O$3006,B354,'CARNET DE SOUDURE'!$P$7:$P$3006,"&lt;&gt;"&amp;C354,'CARNET DE SOUDURE'!$P$7:$P$3006,"&lt;&gt;")&gt;0,"⚠ DIFFÉRENTE","OK"))</f>
        <v>OK</v>
      </c>
      <c r="F354" s="147" t="n">
        <v>11.94</v>
      </c>
      <c r="G354" s="80"/>
      <c r="H354" s="83"/>
      <c r="I354" s="148" t="str">
        <f aca="false">IF(B354="","",IFERROR(INDEX('CARNET DE SOUDURE'!$B$7:$B$3006,MATCH(B354,'CARNET DE SOUDURE'!$L$7:$L$3006,0)),IFERROR(INDEX('CARNET DE SOUDURE'!$B$7:$B$3006,MATCH(B354,'CARNET DE SOUDURE'!$O$7:$O$3006,0)),"")))</f>
        <v>MFD-ISW → MFD-CPF</v>
      </c>
      <c r="J354" s="82" t="str">
        <f aca="false">IF(B354="","",IFERROR(INDEX('CARNET DE SOUDURE'!$E$7:$E$3006,MATCH(B354,'CARNET DE SOUDURE'!$O$7:$O$3006,0)),""))</f>
        <v>JN°1024</v>
      </c>
      <c r="K354" s="82" t="str">
        <f aca="false">IF(B354="","",IFERROR(INDEX('CARNET DE SOUDURE'!$E$7:$E$3006,MATCH(B354,'CARNET DE SOUDURE'!$L$7:$L$3006,0)),""))</f>
        <v>DJ°359</v>
      </c>
      <c r="L354" s="82" t="n">
        <f aca="false">IF(B354="","",IFERROR(INDEX('CARNET DE SOUDURE'!$D$7:$D$3006,MATCH(B354,'CARNET DE SOUDURE'!$L$7:$L$3006,0)),IFERROR(INDEX('CARNET DE SOUDURE'!$D$7:$D$3006,MATCH(B354,'CARNET DE SOUDURE'!$O$7:$O$3006,0)),"")))</f>
        <v>9</v>
      </c>
      <c r="M354" s="82" t="str">
        <f aca="false">IF(B354="","",IF(OR(J354&lt;&gt;"",K354&lt;&gt;""),"POSÉ EN LIGNE",IF(COUNTIF(BARDAGE!$C$1:$C$5000,B354)&gt;0,"BARDÉ","EN STOCK")))</f>
        <v>POSÉ EN LIGNE</v>
      </c>
      <c r="N354" s="80"/>
    </row>
    <row r="355" customFormat="false" ht="15" hidden="false" customHeight="false" outlineLevel="0" collapsed="false">
      <c r="A355" s="82" t="n">
        <f aca="false">IF(B355="","",ROW()-6)</f>
        <v>349</v>
      </c>
      <c r="B355" s="145" t="n">
        <v>2083420</v>
      </c>
      <c r="C355" s="146" t="n">
        <v>15421106</v>
      </c>
      <c r="D355" s="146"/>
      <c r="E355" s="82" t="str">
        <f aca="false">IF(B355="","",IF(COUNTIFS('CARNET DE SOUDURE'!$L$7:$L$3006,B355,'CARNET DE SOUDURE'!$M$7:$M$3006,"&lt;&gt;"&amp;C355,'CARNET DE SOUDURE'!$M$7:$M$3006,"&lt;&gt;")+COUNTIFS('CARNET DE SOUDURE'!$O$7:$O$3006,B355,'CARNET DE SOUDURE'!$P$7:$P$3006,"&lt;&gt;"&amp;C355,'CARNET DE SOUDURE'!$P$7:$P$3006,"&lt;&gt;")&gt;0,"⚠ DIFFÉRENTE","OK"))</f>
        <v>OK</v>
      </c>
      <c r="F355" s="147" t="n">
        <v>11.94</v>
      </c>
      <c r="G355" s="80"/>
      <c r="H355" s="83"/>
      <c r="I355" s="148" t="str">
        <f aca="false">IF(B355="","",IFERROR(INDEX('CARNET DE SOUDURE'!$B$7:$B$3006,MATCH(B355,'CARNET DE SOUDURE'!$L$7:$L$3006,0)),IFERROR(INDEX('CARNET DE SOUDURE'!$B$7:$B$3006,MATCH(B355,'CARNET DE SOUDURE'!$O$7:$O$3006,0)),"")))</f>
        <v>MFD-ISW → MFD-CPF</v>
      </c>
      <c r="J355" s="82" t="str">
        <f aca="false">IF(B355="","",IFERROR(INDEX('CARNET DE SOUDURE'!$E$7:$E$3006,MATCH(B355,'CARNET DE SOUDURE'!$O$7:$O$3006,0)),""))</f>
        <v>DJ°359</v>
      </c>
      <c r="K355" s="82" t="str">
        <f aca="false">IF(B355="","",IFERROR(INDEX('CARNET DE SOUDURE'!$E$7:$E$3006,MATCH(B355,'CARNET DE SOUDURE'!$L$7:$L$3006,0)),""))</f>
        <v>JN°1025</v>
      </c>
      <c r="L355" s="82" t="n">
        <f aca="false">IF(B355="","",IFERROR(INDEX('CARNET DE SOUDURE'!$D$7:$D$3006,MATCH(B355,'CARNET DE SOUDURE'!$L$7:$L$3006,0)),IFERROR(INDEX('CARNET DE SOUDURE'!$D$7:$D$3006,MATCH(B355,'CARNET DE SOUDURE'!$O$7:$O$3006,0)),"")))</f>
        <v>9</v>
      </c>
      <c r="M355" s="82" t="str">
        <f aca="false">IF(B355="","",IF(OR(J355&lt;&gt;"",K355&lt;&gt;""),"POSÉ EN LIGNE",IF(COUNTIF(BARDAGE!$C$1:$C$5000,B355)&gt;0,"BARDÉ","EN STOCK")))</f>
        <v>POSÉ EN LIGNE</v>
      </c>
      <c r="N355" s="80"/>
    </row>
    <row r="356" customFormat="false" ht="15" hidden="false" customHeight="false" outlineLevel="0" collapsed="false">
      <c r="A356" s="82" t="n">
        <f aca="false">IF(B356="","",ROW()-6)</f>
        <v>350</v>
      </c>
      <c r="B356" s="145" t="n">
        <v>2093610</v>
      </c>
      <c r="C356" s="146" t="n">
        <v>15421110</v>
      </c>
      <c r="D356" s="146"/>
      <c r="E356" s="82" t="str">
        <f aca="false">IF(B356="","",IF(COUNTIFS('CARNET DE SOUDURE'!$L$7:$L$3006,B356,'CARNET DE SOUDURE'!$M$7:$M$3006,"&lt;&gt;"&amp;C356,'CARNET DE SOUDURE'!$M$7:$M$3006,"&lt;&gt;")+COUNTIFS('CARNET DE SOUDURE'!$O$7:$O$3006,B356,'CARNET DE SOUDURE'!$P$7:$P$3006,"&lt;&gt;"&amp;C356,'CARNET DE SOUDURE'!$P$7:$P$3006,"&lt;&gt;")&gt;0,"⚠ DIFFÉRENTE","OK"))</f>
        <v>OK</v>
      </c>
      <c r="F356" s="147" t="n">
        <v>11.94</v>
      </c>
      <c r="G356" s="80"/>
      <c r="H356" s="83"/>
      <c r="I356" s="148" t="str">
        <f aca="false">IF(B356="","",IFERROR(INDEX('CARNET DE SOUDURE'!$B$7:$B$3006,MATCH(B356,'CARNET DE SOUDURE'!$L$7:$L$3006,0)),IFERROR(INDEX('CARNET DE SOUDURE'!$B$7:$B$3006,MATCH(B356,'CARNET DE SOUDURE'!$O$7:$O$3006,0)),"")))</f>
        <v>MFD-ISW → MFD-CPF</v>
      </c>
      <c r="J356" s="82" t="str">
        <f aca="false">IF(B356="","",IFERROR(INDEX('CARNET DE SOUDURE'!$E$7:$E$3006,MATCH(B356,'CARNET DE SOUDURE'!$O$7:$O$3006,0)),""))</f>
        <v>JN°1025</v>
      </c>
      <c r="K356" s="82" t="str">
        <f aca="false">IF(B356="","",IFERROR(INDEX('CARNET DE SOUDURE'!$E$7:$E$3006,MATCH(B356,'CARNET DE SOUDURE'!$L$7:$L$3006,0)),""))</f>
        <v>DJ°356</v>
      </c>
      <c r="L356" s="82" t="n">
        <f aca="false">IF(B356="","",IFERROR(INDEX('CARNET DE SOUDURE'!$D$7:$D$3006,MATCH(B356,'CARNET DE SOUDURE'!$L$7:$L$3006,0)),IFERROR(INDEX('CARNET DE SOUDURE'!$D$7:$D$3006,MATCH(B356,'CARNET DE SOUDURE'!$O$7:$O$3006,0)),"")))</f>
        <v>9</v>
      </c>
      <c r="M356" s="82" t="str">
        <f aca="false">IF(B356="","",IF(OR(J356&lt;&gt;"",K356&lt;&gt;""),"POSÉ EN LIGNE",IF(COUNTIF(BARDAGE!$C$1:$C$5000,B356)&gt;0,"BARDÉ","EN STOCK")))</f>
        <v>POSÉ EN LIGNE</v>
      </c>
      <c r="N356" s="80"/>
    </row>
    <row r="357" customFormat="false" ht="15" hidden="false" customHeight="false" outlineLevel="0" collapsed="false">
      <c r="A357" s="82" t="n">
        <f aca="false">IF(B357="","",ROW()-6)</f>
        <v>351</v>
      </c>
      <c r="B357" s="145" t="n">
        <v>2086810</v>
      </c>
      <c r="C357" s="146" t="n">
        <v>15421107</v>
      </c>
      <c r="D357" s="146"/>
      <c r="E357" s="82" t="str">
        <f aca="false">IF(B357="","",IF(COUNTIFS('CARNET DE SOUDURE'!$L$7:$L$3006,B357,'CARNET DE SOUDURE'!$M$7:$M$3006,"&lt;&gt;"&amp;C357,'CARNET DE SOUDURE'!$M$7:$M$3006,"&lt;&gt;")+COUNTIFS('CARNET DE SOUDURE'!$O$7:$O$3006,B357,'CARNET DE SOUDURE'!$P$7:$P$3006,"&lt;&gt;"&amp;C357,'CARNET DE SOUDURE'!$P$7:$P$3006,"&lt;&gt;")&gt;0,"⚠ DIFFÉRENTE","OK"))</f>
        <v>OK</v>
      </c>
      <c r="F357" s="147" t="n">
        <v>11.94</v>
      </c>
      <c r="G357" s="80"/>
      <c r="H357" s="83"/>
      <c r="I357" s="148" t="str">
        <f aca="false">IF(B357="","",IFERROR(INDEX('CARNET DE SOUDURE'!$B$7:$B$3006,MATCH(B357,'CARNET DE SOUDURE'!$L$7:$L$3006,0)),IFERROR(INDEX('CARNET DE SOUDURE'!$B$7:$B$3006,MATCH(B357,'CARNET DE SOUDURE'!$O$7:$O$3006,0)),"")))</f>
        <v>MFD-ISW → MFD-CPF</v>
      </c>
      <c r="J357" s="82" t="str">
        <f aca="false">IF(B357="","",IFERROR(INDEX('CARNET DE SOUDURE'!$E$7:$E$3006,MATCH(B357,'CARNET DE SOUDURE'!$O$7:$O$3006,0)),""))</f>
        <v>DJ°356</v>
      </c>
      <c r="K357" s="82" t="str">
        <f aca="false">IF(B357="","",IFERROR(INDEX('CARNET DE SOUDURE'!$E$7:$E$3006,MATCH(B357,'CARNET DE SOUDURE'!$L$7:$L$3006,0)),""))</f>
        <v>JN°1026</v>
      </c>
      <c r="L357" s="82" t="n">
        <f aca="false">IF(B357="","",IFERROR(INDEX('CARNET DE SOUDURE'!$D$7:$D$3006,MATCH(B357,'CARNET DE SOUDURE'!$L$7:$L$3006,0)),IFERROR(INDEX('CARNET DE SOUDURE'!$D$7:$D$3006,MATCH(B357,'CARNET DE SOUDURE'!$O$7:$O$3006,0)),"")))</f>
        <v>9</v>
      </c>
      <c r="M357" s="82" t="str">
        <f aca="false">IF(B357="","",IF(OR(J357&lt;&gt;"",K357&lt;&gt;""),"POSÉ EN LIGNE",IF(COUNTIF(BARDAGE!$C$1:$C$5000,B357)&gt;0,"BARDÉ","EN STOCK")))</f>
        <v>POSÉ EN LIGNE</v>
      </c>
      <c r="N357" s="80"/>
    </row>
    <row r="358" customFormat="false" ht="15" hidden="false" customHeight="false" outlineLevel="0" collapsed="false">
      <c r="A358" s="82" t="n">
        <f aca="false">IF(B358="","",ROW()-6)</f>
        <v>352</v>
      </c>
      <c r="B358" s="145" t="n">
        <v>2083550</v>
      </c>
      <c r="C358" s="146" t="n">
        <v>15421105</v>
      </c>
      <c r="D358" s="146"/>
      <c r="E358" s="82" t="str">
        <f aca="false">IF(B358="","",IF(COUNTIFS('CARNET DE SOUDURE'!$L$7:$L$3006,B358,'CARNET DE SOUDURE'!$M$7:$M$3006,"&lt;&gt;"&amp;C358,'CARNET DE SOUDURE'!$M$7:$M$3006,"&lt;&gt;")+COUNTIFS('CARNET DE SOUDURE'!$O$7:$O$3006,B358,'CARNET DE SOUDURE'!$P$7:$P$3006,"&lt;&gt;"&amp;C358,'CARNET DE SOUDURE'!$P$7:$P$3006,"&lt;&gt;")&gt;0,"⚠ DIFFÉRENTE","OK"))</f>
        <v>OK</v>
      </c>
      <c r="F358" s="147" t="n">
        <v>11.94</v>
      </c>
      <c r="G358" s="80"/>
      <c r="H358" s="83"/>
      <c r="I358" s="148" t="str">
        <f aca="false">IF(B358="","",IFERROR(INDEX('CARNET DE SOUDURE'!$B$7:$B$3006,MATCH(B358,'CARNET DE SOUDURE'!$L$7:$L$3006,0)),IFERROR(INDEX('CARNET DE SOUDURE'!$B$7:$B$3006,MATCH(B358,'CARNET DE SOUDURE'!$O$7:$O$3006,0)),"")))</f>
        <v>MFD-ISW → MFD-CPF</v>
      </c>
      <c r="J358" s="82" t="str">
        <f aca="false">IF(B358="","",IFERROR(INDEX('CARNET DE SOUDURE'!$E$7:$E$3006,MATCH(B358,'CARNET DE SOUDURE'!$O$7:$O$3006,0)),""))</f>
        <v>JN°1026</v>
      </c>
      <c r="K358" s="82" t="str">
        <f aca="false">IF(B358="","",IFERROR(INDEX('CARNET DE SOUDURE'!$E$7:$E$3006,MATCH(B358,'CARNET DE SOUDURE'!$L$7:$L$3006,0)),""))</f>
        <v>DJ°362</v>
      </c>
      <c r="L358" s="82" t="n">
        <f aca="false">IF(B358="","",IFERROR(INDEX('CARNET DE SOUDURE'!$D$7:$D$3006,MATCH(B358,'CARNET DE SOUDURE'!$L$7:$L$3006,0)),IFERROR(INDEX('CARNET DE SOUDURE'!$D$7:$D$3006,MATCH(B358,'CARNET DE SOUDURE'!$O$7:$O$3006,0)),"")))</f>
        <v>9</v>
      </c>
      <c r="M358" s="82" t="str">
        <f aca="false">IF(B358="","",IF(OR(J358&lt;&gt;"",K358&lt;&gt;""),"POSÉ EN LIGNE",IF(COUNTIF(BARDAGE!$C$1:$C$5000,B358)&gt;0,"BARDÉ","EN STOCK")))</f>
        <v>POSÉ EN LIGNE</v>
      </c>
      <c r="N358" s="80"/>
    </row>
    <row r="359" customFormat="false" ht="15" hidden="false" customHeight="false" outlineLevel="0" collapsed="false">
      <c r="A359" s="82" t="n">
        <f aca="false">IF(B359="","",ROW()-6)</f>
        <v>353</v>
      </c>
      <c r="B359" s="145" t="n">
        <v>2081590</v>
      </c>
      <c r="C359" s="146" t="n">
        <v>15421103</v>
      </c>
      <c r="D359" s="146"/>
      <c r="E359" s="82" t="str">
        <f aca="false">IF(B359="","",IF(COUNTIFS('CARNET DE SOUDURE'!$L$7:$L$3006,B359,'CARNET DE SOUDURE'!$M$7:$M$3006,"&lt;&gt;"&amp;C359,'CARNET DE SOUDURE'!$M$7:$M$3006,"&lt;&gt;")+COUNTIFS('CARNET DE SOUDURE'!$O$7:$O$3006,B359,'CARNET DE SOUDURE'!$P$7:$P$3006,"&lt;&gt;"&amp;C359,'CARNET DE SOUDURE'!$P$7:$P$3006,"&lt;&gt;")&gt;0,"⚠ DIFFÉRENTE","OK"))</f>
        <v>OK</v>
      </c>
      <c r="F359" s="147" t="n">
        <v>11.94</v>
      </c>
      <c r="G359" s="80"/>
      <c r="H359" s="83"/>
      <c r="I359" s="148" t="str">
        <f aca="false">IF(B359="","",IFERROR(INDEX('CARNET DE SOUDURE'!$B$7:$B$3006,MATCH(B359,'CARNET DE SOUDURE'!$L$7:$L$3006,0)),IFERROR(INDEX('CARNET DE SOUDURE'!$B$7:$B$3006,MATCH(B359,'CARNET DE SOUDURE'!$O$7:$O$3006,0)),"")))</f>
        <v>MFD-ISW → MFD-CPF</v>
      </c>
      <c r="J359" s="82" t="str">
        <f aca="false">IF(B359="","",IFERROR(INDEX('CARNET DE SOUDURE'!$E$7:$E$3006,MATCH(B359,'CARNET DE SOUDURE'!$O$7:$O$3006,0)),""))</f>
        <v>DJ°362</v>
      </c>
      <c r="K359" s="82" t="str">
        <f aca="false">IF(B359="","",IFERROR(INDEX('CARNET DE SOUDURE'!$E$7:$E$3006,MATCH(B359,'CARNET DE SOUDURE'!$L$7:$L$3006,0)),""))</f>
        <v>JN°1027</v>
      </c>
      <c r="L359" s="82" t="n">
        <f aca="false">IF(B359="","",IFERROR(INDEX('CARNET DE SOUDURE'!$D$7:$D$3006,MATCH(B359,'CARNET DE SOUDURE'!$L$7:$L$3006,0)),IFERROR(INDEX('CARNET DE SOUDURE'!$D$7:$D$3006,MATCH(B359,'CARNET DE SOUDURE'!$O$7:$O$3006,0)),"")))</f>
        <v>9</v>
      </c>
      <c r="M359" s="82" t="str">
        <f aca="false">IF(B359="","",IF(OR(J359&lt;&gt;"",K359&lt;&gt;""),"POSÉ EN LIGNE",IF(COUNTIF(BARDAGE!$C$1:$C$5000,B359)&gt;0,"BARDÉ","EN STOCK")))</f>
        <v>POSÉ EN LIGNE</v>
      </c>
      <c r="N359" s="80"/>
    </row>
    <row r="360" customFormat="false" ht="15" hidden="false" customHeight="false" outlineLevel="0" collapsed="false">
      <c r="A360" s="82" t="n">
        <f aca="false">IF(B360="","",ROW()-6)</f>
        <v>354</v>
      </c>
      <c r="B360" s="145" t="n">
        <v>2082080</v>
      </c>
      <c r="C360" s="146" t="n">
        <v>15421104</v>
      </c>
      <c r="D360" s="146"/>
      <c r="E360" s="82" t="str">
        <f aca="false">IF(B360="","",IF(COUNTIFS('CARNET DE SOUDURE'!$L$7:$L$3006,B360,'CARNET DE SOUDURE'!$M$7:$M$3006,"&lt;&gt;"&amp;C360,'CARNET DE SOUDURE'!$M$7:$M$3006,"&lt;&gt;")+COUNTIFS('CARNET DE SOUDURE'!$O$7:$O$3006,B360,'CARNET DE SOUDURE'!$P$7:$P$3006,"&lt;&gt;"&amp;C360,'CARNET DE SOUDURE'!$P$7:$P$3006,"&lt;&gt;")&gt;0,"⚠ DIFFÉRENTE","OK"))</f>
        <v>OK</v>
      </c>
      <c r="F360" s="147" t="n">
        <v>11.94</v>
      </c>
      <c r="G360" s="80"/>
      <c r="H360" s="83"/>
      <c r="I360" s="148" t="str">
        <f aca="false">IF(B360="","",IFERROR(INDEX('CARNET DE SOUDURE'!$B$7:$B$3006,MATCH(B360,'CARNET DE SOUDURE'!$L$7:$L$3006,0)),IFERROR(INDEX('CARNET DE SOUDURE'!$B$7:$B$3006,MATCH(B360,'CARNET DE SOUDURE'!$O$7:$O$3006,0)),"")))</f>
        <v>MFD-ISW → MFD-CPF</v>
      </c>
      <c r="J360" s="82" t="str">
        <f aca="false">IF(B360="","",IFERROR(INDEX('CARNET DE SOUDURE'!$E$7:$E$3006,MATCH(B360,'CARNET DE SOUDURE'!$O$7:$O$3006,0)),""))</f>
        <v>JN°1029</v>
      </c>
      <c r="K360" s="82" t="str">
        <f aca="false">IF(B360="","",IFERROR(INDEX('CARNET DE SOUDURE'!$E$7:$E$3006,MATCH(B360,'CARNET DE SOUDURE'!$L$7:$L$3006,0)),""))</f>
        <v>DJ°361</v>
      </c>
      <c r="L360" s="82" t="n">
        <f aca="false">IF(B360="","",IFERROR(INDEX('CARNET DE SOUDURE'!$D$7:$D$3006,MATCH(B360,'CARNET DE SOUDURE'!$L$7:$L$3006,0)),IFERROR(INDEX('CARNET DE SOUDURE'!$D$7:$D$3006,MATCH(B360,'CARNET DE SOUDURE'!$O$7:$O$3006,0)),"")))</f>
        <v>9</v>
      </c>
      <c r="M360" s="82" t="str">
        <f aca="false">IF(B360="","",IF(OR(J360&lt;&gt;"",K360&lt;&gt;""),"POSÉ EN LIGNE",IF(COUNTIF(BARDAGE!$C$1:$C$5000,B360)&gt;0,"BARDÉ","EN STOCK")))</f>
        <v>POSÉ EN LIGNE</v>
      </c>
      <c r="N360" s="80"/>
    </row>
    <row r="361" customFormat="false" ht="15" hidden="false" customHeight="false" outlineLevel="0" collapsed="false">
      <c r="A361" s="82" t="n">
        <f aca="false">IF(B361="","",ROW()-6)</f>
        <v>355</v>
      </c>
      <c r="B361" s="145" t="n">
        <v>2081980</v>
      </c>
      <c r="C361" s="146" t="n">
        <v>15421104</v>
      </c>
      <c r="D361" s="146"/>
      <c r="E361" s="82" t="str">
        <f aca="false">IF(B361="","",IF(COUNTIFS('CARNET DE SOUDURE'!$L$7:$L$3006,B361,'CARNET DE SOUDURE'!$M$7:$M$3006,"&lt;&gt;"&amp;C361,'CARNET DE SOUDURE'!$M$7:$M$3006,"&lt;&gt;")+COUNTIFS('CARNET DE SOUDURE'!$O$7:$O$3006,B361,'CARNET DE SOUDURE'!$P$7:$P$3006,"&lt;&gt;"&amp;C361,'CARNET DE SOUDURE'!$P$7:$P$3006,"&lt;&gt;")&gt;0,"⚠ DIFFÉRENTE","OK"))</f>
        <v>OK</v>
      </c>
      <c r="F361" s="147" t="n">
        <v>11.94</v>
      </c>
      <c r="G361" s="80"/>
      <c r="H361" s="83"/>
      <c r="I361" s="148" t="str">
        <f aca="false">IF(B361="","",IFERROR(INDEX('CARNET DE SOUDURE'!$B$7:$B$3006,MATCH(B361,'CARNET DE SOUDURE'!$L$7:$L$3006,0)),IFERROR(INDEX('CARNET DE SOUDURE'!$B$7:$B$3006,MATCH(B361,'CARNET DE SOUDURE'!$O$7:$O$3006,0)),"")))</f>
        <v>MFD-ISW → MFD-CPF</v>
      </c>
      <c r="J361" s="82" t="str">
        <f aca="false">IF(B361="","",IFERROR(INDEX('CARNET DE SOUDURE'!$E$7:$E$3006,MATCH(B361,'CARNET DE SOUDURE'!$O$7:$O$3006,0)),""))</f>
        <v>DJ°361</v>
      </c>
      <c r="K361" s="82" t="str">
        <f aca="false">IF(B361="","",IFERROR(INDEX('CARNET DE SOUDURE'!$E$7:$E$3006,MATCH(B361,'CARNET DE SOUDURE'!$L$7:$L$3006,0)),""))</f>
        <v>JN°1030</v>
      </c>
      <c r="L361" s="82" t="n">
        <f aca="false">IF(B361="","",IFERROR(INDEX('CARNET DE SOUDURE'!$D$7:$D$3006,MATCH(B361,'CARNET DE SOUDURE'!$L$7:$L$3006,0)),IFERROR(INDEX('CARNET DE SOUDURE'!$D$7:$D$3006,MATCH(B361,'CARNET DE SOUDURE'!$O$7:$O$3006,0)),"")))</f>
        <v>9</v>
      </c>
      <c r="M361" s="82" t="str">
        <f aca="false">IF(B361="","",IF(OR(J361&lt;&gt;"",K361&lt;&gt;""),"POSÉ EN LIGNE",IF(COUNTIF(BARDAGE!$C$1:$C$5000,B361)&gt;0,"BARDÉ","EN STOCK")))</f>
        <v>POSÉ EN LIGNE</v>
      </c>
      <c r="N361" s="80"/>
    </row>
    <row r="362" customFormat="false" ht="15" hidden="false" customHeight="false" outlineLevel="0" collapsed="false">
      <c r="A362" s="82" t="n">
        <f aca="false">IF(B362="","",ROW()-6)</f>
        <v>356</v>
      </c>
      <c r="B362" s="145" t="n">
        <v>2087130</v>
      </c>
      <c r="C362" s="146" t="n">
        <v>15421107</v>
      </c>
      <c r="D362" s="146"/>
      <c r="E362" s="82" t="str">
        <f aca="false">IF(B362="","",IF(COUNTIFS('CARNET DE SOUDURE'!$L$7:$L$3006,B362,'CARNET DE SOUDURE'!$M$7:$M$3006,"&lt;&gt;"&amp;C362,'CARNET DE SOUDURE'!$M$7:$M$3006,"&lt;&gt;")+COUNTIFS('CARNET DE SOUDURE'!$O$7:$O$3006,B362,'CARNET DE SOUDURE'!$P$7:$P$3006,"&lt;&gt;"&amp;C362,'CARNET DE SOUDURE'!$P$7:$P$3006,"&lt;&gt;")&gt;0,"⚠ DIFFÉRENTE","OK"))</f>
        <v>OK</v>
      </c>
      <c r="F362" s="147" t="n">
        <v>11.94</v>
      </c>
      <c r="G362" s="80"/>
      <c r="H362" s="83"/>
      <c r="I362" s="148" t="str">
        <f aca="false">IF(B362="","",IFERROR(INDEX('CARNET DE SOUDURE'!$B$7:$B$3006,MATCH(B362,'CARNET DE SOUDURE'!$L$7:$L$3006,0)),IFERROR(INDEX('CARNET DE SOUDURE'!$B$7:$B$3006,MATCH(B362,'CARNET DE SOUDURE'!$O$7:$O$3006,0)),"")))</f>
        <v>MFD-ISW → MFD-CPF</v>
      </c>
      <c r="J362" s="82" t="str">
        <f aca="false">IF(B362="","",IFERROR(INDEX('CARNET DE SOUDURE'!$E$7:$E$3006,MATCH(B362,'CARNET DE SOUDURE'!$O$7:$O$3006,0)),""))</f>
        <v>JN°1030</v>
      </c>
      <c r="K362" s="82" t="str">
        <f aca="false">IF(B362="","",IFERROR(INDEX('CARNET DE SOUDURE'!$E$7:$E$3006,MATCH(B362,'CARNET DE SOUDURE'!$L$7:$L$3006,0)),""))</f>
        <v>DJ°355</v>
      </c>
      <c r="L362" s="82" t="n">
        <f aca="false">IF(B362="","",IFERROR(INDEX('CARNET DE SOUDURE'!$D$7:$D$3006,MATCH(B362,'CARNET DE SOUDURE'!$L$7:$L$3006,0)),IFERROR(INDEX('CARNET DE SOUDURE'!$D$7:$D$3006,MATCH(B362,'CARNET DE SOUDURE'!$O$7:$O$3006,0)),"")))</f>
        <v>9</v>
      </c>
      <c r="M362" s="82" t="str">
        <f aca="false">IF(B362="","",IF(OR(J362&lt;&gt;"",K362&lt;&gt;""),"POSÉ EN LIGNE",IF(COUNTIF(BARDAGE!$C$1:$C$5000,B362)&gt;0,"BARDÉ","EN STOCK")))</f>
        <v>POSÉ EN LIGNE</v>
      </c>
      <c r="N362" s="80"/>
    </row>
    <row r="363" customFormat="false" ht="15" hidden="false" customHeight="false" outlineLevel="0" collapsed="false">
      <c r="A363" s="82" t="n">
        <f aca="false">IF(B363="","",ROW()-6)</f>
        <v>357</v>
      </c>
      <c r="B363" s="145" t="n">
        <v>2087870</v>
      </c>
      <c r="C363" s="146" t="n">
        <v>15421108</v>
      </c>
      <c r="D363" s="146"/>
      <c r="E363" s="82" t="str">
        <f aca="false">IF(B363="","",IF(COUNTIFS('CARNET DE SOUDURE'!$L$7:$L$3006,B363,'CARNET DE SOUDURE'!$M$7:$M$3006,"&lt;&gt;"&amp;C363,'CARNET DE SOUDURE'!$M$7:$M$3006,"&lt;&gt;")+COUNTIFS('CARNET DE SOUDURE'!$O$7:$O$3006,B363,'CARNET DE SOUDURE'!$P$7:$P$3006,"&lt;&gt;"&amp;C363,'CARNET DE SOUDURE'!$P$7:$P$3006,"&lt;&gt;")&gt;0,"⚠ DIFFÉRENTE","OK"))</f>
        <v>OK</v>
      </c>
      <c r="F363" s="147" t="n">
        <v>11.94</v>
      </c>
      <c r="G363" s="80"/>
      <c r="H363" s="83"/>
      <c r="I363" s="148" t="str">
        <f aca="false">IF(B363="","",IFERROR(INDEX('CARNET DE SOUDURE'!$B$7:$B$3006,MATCH(B363,'CARNET DE SOUDURE'!$L$7:$L$3006,0)),IFERROR(INDEX('CARNET DE SOUDURE'!$B$7:$B$3006,MATCH(B363,'CARNET DE SOUDURE'!$O$7:$O$3006,0)),"")))</f>
        <v>MFD-ISW → MFD-CPF</v>
      </c>
      <c r="J363" s="82" t="str">
        <f aca="false">IF(B363="","",IFERROR(INDEX('CARNET DE SOUDURE'!$E$7:$E$3006,MATCH(B363,'CARNET DE SOUDURE'!$O$7:$O$3006,0)),""))</f>
        <v>DJ°355</v>
      </c>
      <c r="K363" s="82" t="str">
        <f aca="false">IF(B363="","",IFERROR(INDEX('CARNET DE SOUDURE'!$E$7:$E$3006,MATCH(B363,'CARNET DE SOUDURE'!$L$7:$L$3006,0)),""))</f>
        <v>JN°1031</v>
      </c>
      <c r="L363" s="82" t="n">
        <f aca="false">IF(B363="","",IFERROR(INDEX('CARNET DE SOUDURE'!$D$7:$D$3006,MATCH(B363,'CARNET DE SOUDURE'!$L$7:$L$3006,0)),IFERROR(INDEX('CARNET DE SOUDURE'!$D$7:$D$3006,MATCH(B363,'CARNET DE SOUDURE'!$O$7:$O$3006,0)),"")))</f>
        <v>9</v>
      </c>
      <c r="M363" s="82" t="str">
        <f aca="false">IF(B363="","",IF(OR(J363&lt;&gt;"",K363&lt;&gt;""),"POSÉ EN LIGNE",IF(COUNTIF(BARDAGE!$C$1:$C$5000,B363)&gt;0,"BARDÉ","EN STOCK")))</f>
        <v>POSÉ EN LIGNE</v>
      </c>
      <c r="N363" s="80"/>
    </row>
    <row r="364" customFormat="false" ht="15" hidden="false" customHeight="false" outlineLevel="0" collapsed="false">
      <c r="A364" s="82" t="n">
        <f aca="false">IF(B364="","",ROW()-6)</f>
        <v>358</v>
      </c>
      <c r="B364" s="145" t="n">
        <v>2080480</v>
      </c>
      <c r="C364" s="146" t="n">
        <v>15421102</v>
      </c>
      <c r="D364" s="146"/>
      <c r="E364" s="82" t="str">
        <f aca="false">IF(B364="","",IF(COUNTIFS('CARNET DE SOUDURE'!$L$7:$L$3006,B364,'CARNET DE SOUDURE'!$M$7:$M$3006,"&lt;&gt;"&amp;C364,'CARNET DE SOUDURE'!$M$7:$M$3006,"&lt;&gt;")+COUNTIFS('CARNET DE SOUDURE'!$O$7:$O$3006,B364,'CARNET DE SOUDURE'!$P$7:$P$3006,"&lt;&gt;"&amp;C364,'CARNET DE SOUDURE'!$P$7:$P$3006,"&lt;&gt;")&gt;0,"⚠ DIFFÉRENTE","OK"))</f>
        <v>OK</v>
      </c>
      <c r="F364" s="147" t="n">
        <v>11.94</v>
      </c>
      <c r="G364" s="80"/>
      <c r="H364" s="83"/>
      <c r="I364" s="148" t="str">
        <f aca="false">IF(B364="","",IFERROR(INDEX('CARNET DE SOUDURE'!$B$7:$B$3006,MATCH(B364,'CARNET DE SOUDURE'!$L$7:$L$3006,0)),IFERROR(INDEX('CARNET DE SOUDURE'!$B$7:$B$3006,MATCH(B364,'CARNET DE SOUDURE'!$O$7:$O$3006,0)),"")))</f>
        <v>MFD-ISW → MFD-CPF</v>
      </c>
      <c r="J364" s="82" t="str">
        <f aca="false">IF(B364="","",IFERROR(INDEX('CARNET DE SOUDURE'!$E$7:$E$3006,MATCH(B364,'CARNET DE SOUDURE'!$O$7:$O$3006,0)),""))</f>
        <v>JN°1031</v>
      </c>
      <c r="K364" s="82" t="str">
        <f aca="false">IF(B364="","",IFERROR(INDEX('CARNET DE SOUDURE'!$E$7:$E$3006,MATCH(B364,'CARNET DE SOUDURE'!$L$7:$L$3006,0)),""))</f>
        <v>DJ°347</v>
      </c>
      <c r="L364" s="82" t="n">
        <f aca="false">IF(B364="","",IFERROR(INDEX('CARNET DE SOUDURE'!$D$7:$D$3006,MATCH(B364,'CARNET DE SOUDURE'!$L$7:$L$3006,0)),IFERROR(INDEX('CARNET DE SOUDURE'!$D$7:$D$3006,MATCH(B364,'CARNET DE SOUDURE'!$O$7:$O$3006,0)),"")))</f>
        <v>9</v>
      </c>
      <c r="M364" s="82" t="str">
        <f aca="false">IF(B364="","",IF(OR(J364&lt;&gt;"",K364&lt;&gt;""),"POSÉ EN LIGNE",IF(COUNTIF(BARDAGE!$C$1:$C$5000,B364)&gt;0,"BARDÉ","EN STOCK")))</f>
        <v>POSÉ EN LIGNE</v>
      </c>
      <c r="N364" s="80"/>
    </row>
    <row r="365" customFormat="false" ht="15" hidden="false" customHeight="false" outlineLevel="0" collapsed="false">
      <c r="A365" s="82" t="n">
        <f aca="false">IF(B365="","",ROW()-6)</f>
        <v>359</v>
      </c>
      <c r="B365" s="145" t="n">
        <v>2083520</v>
      </c>
      <c r="C365" s="146" t="n">
        <v>15421103</v>
      </c>
      <c r="D365" s="146"/>
      <c r="E365" s="82" t="str">
        <f aca="false">IF(B365="","",IF(COUNTIFS('CARNET DE SOUDURE'!$L$7:$L$3006,B365,'CARNET DE SOUDURE'!$M$7:$M$3006,"&lt;&gt;"&amp;C365,'CARNET DE SOUDURE'!$M$7:$M$3006,"&lt;&gt;")+COUNTIFS('CARNET DE SOUDURE'!$O$7:$O$3006,B365,'CARNET DE SOUDURE'!$P$7:$P$3006,"&lt;&gt;"&amp;C365,'CARNET DE SOUDURE'!$P$7:$P$3006,"&lt;&gt;")&gt;0,"⚠ DIFFÉRENTE","OK"))</f>
        <v>OK</v>
      </c>
      <c r="F365" s="147" t="n">
        <v>11.94</v>
      </c>
      <c r="G365" s="80"/>
      <c r="H365" s="83"/>
      <c r="I365" s="148" t="str">
        <f aca="false">IF(B365="","",IFERROR(INDEX('CARNET DE SOUDURE'!$B$7:$B$3006,MATCH(B365,'CARNET DE SOUDURE'!$L$7:$L$3006,0)),IFERROR(INDEX('CARNET DE SOUDURE'!$B$7:$B$3006,MATCH(B365,'CARNET DE SOUDURE'!$O$7:$O$3006,0)),"")))</f>
        <v>MFD-ISW → MFD-CPF</v>
      </c>
      <c r="J365" s="82" t="str">
        <f aca="false">IF(B365="","",IFERROR(INDEX('CARNET DE SOUDURE'!$E$7:$E$3006,MATCH(B365,'CARNET DE SOUDURE'!$O$7:$O$3006,0)),""))</f>
        <v>DJ°347</v>
      </c>
      <c r="K365" s="82" t="str">
        <f aca="false">IF(B365="","",IFERROR(INDEX('CARNET DE SOUDURE'!$E$7:$E$3006,MATCH(B365,'CARNET DE SOUDURE'!$L$7:$L$3006,0)),""))</f>
        <v>JN°1032</v>
      </c>
      <c r="L365" s="82" t="n">
        <f aca="false">IF(B365="","",IFERROR(INDEX('CARNET DE SOUDURE'!$D$7:$D$3006,MATCH(B365,'CARNET DE SOUDURE'!$L$7:$L$3006,0)),IFERROR(INDEX('CARNET DE SOUDURE'!$D$7:$D$3006,MATCH(B365,'CARNET DE SOUDURE'!$O$7:$O$3006,0)),"")))</f>
        <v>9</v>
      </c>
      <c r="M365" s="82" t="str">
        <f aca="false">IF(B365="","",IF(OR(J365&lt;&gt;"",K365&lt;&gt;""),"POSÉ EN LIGNE",IF(COUNTIF(BARDAGE!$C$1:$C$5000,B365)&gt;0,"BARDÉ","EN STOCK")))</f>
        <v>POSÉ EN LIGNE</v>
      </c>
      <c r="N365" s="80"/>
    </row>
    <row r="366" customFormat="false" ht="15" hidden="false" customHeight="false" outlineLevel="0" collapsed="false">
      <c r="A366" s="82" t="n">
        <f aca="false">IF(B366="","",ROW()-6)</f>
        <v>360</v>
      </c>
      <c r="B366" s="145" t="n">
        <v>2094780</v>
      </c>
      <c r="C366" s="146" t="n">
        <v>15421111</v>
      </c>
      <c r="D366" s="146"/>
      <c r="E366" s="82" t="str">
        <f aca="false">IF(B366="","",IF(COUNTIFS('CARNET DE SOUDURE'!$L$7:$L$3006,B366,'CARNET DE SOUDURE'!$M$7:$M$3006,"&lt;&gt;"&amp;C366,'CARNET DE SOUDURE'!$M$7:$M$3006,"&lt;&gt;")+COUNTIFS('CARNET DE SOUDURE'!$O$7:$O$3006,B366,'CARNET DE SOUDURE'!$P$7:$P$3006,"&lt;&gt;"&amp;C366,'CARNET DE SOUDURE'!$P$7:$P$3006,"&lt;&gt;")&gt;0,"⚠ DIFFÉRENTE","OK"))</f>
        <v>OK</v>
      </c>
      <c r="F366" s="147" t="n">
        <v>11.94</v>
      </c>
      <c r="G366" s="80"/>
      <c r="H366" s="83"/>
      <c r="I366" s="148" t="str">
        <f aca="false">IF(B366="","",IFERROR(INDEX('CARNET DE SOUDURE'!$B$7:$B$3006,MATCH(B366,'CARNET DE SOUDURE'!$L$7:$L$3006,0)),IFERROR(INDEX('CARNET DE SOUDURE'!$B$7:$B$3006,MATCH(B366,'CARNET DE SOUDURE'!$O$7:$O$3006,0)),"")))</f>
        <v>MFD-ISW → MFD-CPF</v>
      </c>
      <c r="J366" s="82" t="str">
        <f aca="false">IF(B366="","",IFERROR(INDEX('CARNET DE SOUDURE'!$E$7:$E$3006,MATCH(B366,'CARNET DE SOUDURE'!$O$7:$O$3006,0)),""))</f>
        <v>JN°1032</v>
      </c>
      <c r="K366" s="82" t="str">
        <f aca="false">IF(B366="","",IFERROR(INDEX('CARNET DE SOUDURE'!$E$7:$E$3006,MATCH(B366,'CARNET DE SOUDURE'!$L$7:$L$3006,0)),""))</f>
        <v>DJ°349</v>
      </c>
      <c r="L366" s="82" t="n">
        <f aca="false">IF(B366="","",IFERROR(INDEX('CARNET DE SOUDURE'!$D$7:$D$3006,MATCH(B366,'CARNET DE SOUDURE'!$L$7:$L$3006,0)),IFERROR(INDEX('CARNET DE SOUDURE'!$D$7:$D$3006,MATCH(B366,'CARNET DE SOUDURE'!$O$7:$O$3006,0)),"")))</f>
        <v>9</v>
      </c>
      <c r="M366" s="82" t="str">
        <f aca="false">IF(B366="","",IF(OR(J366&lt;&gt;"",K366&lt;&gt;""),"POSÉ EN LIGNE",IF(COUNTIF(BARDAGE!$C$1:$C$5000,B366)&gt;0,"BARDÉ","EN STOCK")))</f>
        <v>POSÉ EN LIGNE</v>
      </c>
      <c r="N366" s="80"/>
    </row>
    <row r="367" customFormat="false" ht="15" hidden="false" customHeight="false" outlineLevel="0" collapsed="false">
      <c r="A367" s="82" t="n">
        <f aca="false">IF(B367="","",ROW()-6)</f>
        <v>361</v>
      </c>
      <c r="B367" s="145" t="n">
        <v>2086430</v>
      </c>
      <c r="C367" s="146" t="n">
        <v>15421107</v>
      </c>
      <c r="D367" s="146"/>
      <c r="E367" s="82" t="str">
        <f aca="false">IF(B367="","",IF(COUNTIFS('CARNET DE SOUDURE'!$L$7:$L$3006,B367,'CARNET DE SOUDURE'!$M$7:$M$3006,"&lt;&gt;"&amp;C367,'CARNET DE SOUDURE'!$M$7:$M$3006,"&lt;&gt;")+COUNTIFS('CARNET DE SOUDURE'!$O$7:$O$3006,B367,'CARNET DE SOUDURE'!$P$7:$P$3006,"&lt;&gt;"&amp;C367,'CARNET DE SOUDURE'!$P$7:$P$3006,"&lt;&gt;")&gt;0,"⚠ DIFFÉRENTE","OK"))</f>
        <v>OK</v>
      </c>
      <c r="F367" s="147" t="n">
        <v>11.94</v>
      </c>
      <c r="G367" s="80"/>
      <c r="H367" s="83"/>
      <c r="I367" s="148" t="str">
        <f aca="false">IF(B367="","",IFERROR(INDEX('CARNET DE SOUDURE'!$B$7:$B$3006,MATCH(B367,'CARNET DE SOUDURE'!$L$7:$L$3006,0)),IFERROR(INDEX('CARNET DE SOUDURE'!$B$7:$B$3006,MATCH(B367,'CARNET DE SOUDURE'!$O$7:$O$3006,0)),"")))</f>
        <v>MFD-ISW → MFD-CPF</v>
      </c>
      <c r="J367" s="82" t="str">
        <f aca="false">IF(B367="","",IFERROR(INDEX('CARNET DE SOUDURE'!$E$7:$E$3006,MATCH(B367,'CARNET DE SOUDURE'!$O$7:$O$3006,0)),""))</f>
        <v>DJ°349</v>
      </c>
      <c r="K367" s="82" t="str">
        <f aca="false">IF(B367="","",IFERROR(INDEX('CARNET DE SOUDURE'!$E$7:$E$3006,MATCH(B367,'CARNET DE SOUDURE'!$L$7:$L$3006,0)),""))</f>
        <v>JN°1033</v>
      </c>
      <c r="L367" s="82" t="n">
        <f aca="false">IF(B367="","",IFERROR(INDEX('CARNET DE SOUDURE'!$D$7:$D$3006,MATCH(B367,'CARNET DE SOUDURE'!$L$7:$L$3006,0)),IFERROR(INDEX('CARNET DE SOUDURE'!$D$7:$D$3006,MATCH(B367,'CARNET DE SOUDURE'!$O$7:$O$3006,0)),"")))</f>
        <v>9</v>
      </c>
      <c r="M367" s="82" t="str">
        <f aca="false">IF(B367="","",IF(OR(J367&lt;&gt;"",K367&lt;&gt;""),"POSÉ EN LIGNE",IF(COUNTIF(BARDAGE!$C$1:$C$5000,B367)&gt;0,"BARDÉ","EN STOCK")))</f>
        <v>POSÉ EN LIGNE</v>
      </c>
      <c r="N367" s="80"/>
    </row>
    <row r="368" customFormat="false" ht="15" hidden="false" customHeight="false" outlineLevel="0" collapsed="false">
      <c r="A368" s="82" t="n">
        <f aca="false">IF(B368="","",ROW()-6)</f>
        <v>362</v>
      </c>
      <c r="B368" s="145" t="n">
        <v>2096560</v>
      </c>
      <c r="C368" s="146" t="n">
        <v>15421111</v>
      </c>
      <c r="D368" s="146"/>
      <c r="E368" s="82" t="str">
        <f aca="false">IF(B368="","",IF(COUNTIFS('CARNET DE SOUDURE'!$L$7:$L$3006,B368,'CARNET DE SOUDURE'!$M$7:$M$3006,"&lt;&gt;"&amp;C368,'CARNET DE SOUDURE'!$M$7:$M$3006,"&lt;&gt;")+COUNTIFS('CARNET DE SOUDURE'!$O$7:$O$3006,B368,'CARNET DE SOUDURE'!$P$7:$P$3006,"&lt;&gt;"&amp;C368,'CARNET DE SOUDURE'!$P$7:$P$3006,"&lt;&gt;")&gt;0,"⚠ DIFFÉRENTE","OK"))</f>
        <v>OK</v>
      </c>
      <c r="F368" s="147" t="n">
        <v>11.94</v>
      </c>
      <c r="G368" s="80"/>
      <c r="H368" s="83"/>
      <c r="I368" s="148" t="str">
        <f aca="false">IF(B368="","",IFERROR(INDEX('CARNET DE SOUDURE'!$B$7:$B$3006,MATCH(B368,'CARNET DE SOUDURE'!$L$7:$L$3006,0)),IFERROR(INDEX('CARNET DE SOUDURE'!$B$7:$B$3006,MATCH(B368,'CARNET DE SOUDURE'!$O$7:$O$3006,0)),"")))</f>
        <v>MFD-ISW → MFD-CPF</v>
      </c>
      <c r="J368" s="82" t="str">
        <f aca="false">IF(B368="","",IFERROR(INDEX('CARNET DE SOUDURE'!$E$7:$E$3006,MATCH(B368,'CARNET DE SOUDURE'!$O$7:$O$3006,0)),""))</f>
        <v>JN°1033</v>
      </c>
      <c r="K368" s="82" t="str">
        <f aca="false">IF(B368="","",IFERROR(INDEX('CARNET DE SOUDURE'!$E$7:$E$3006,MATCH(B368,'CARNET DE SOUDURE'!$L$7:$L$3006,0)),""))</f>
        <v>DJ°340</v>
      </c>
      <c r="L368" s="82" t="n">
        <f aca="false">IF(B368="","",IFERROR(INDEX('CARNET DE SOUDURE'!$D$7:$D$3006,MATCH(B368,'CARNET DE SOUDURE'!$L$7:$L$3006,0)),IFERROR(INDEX('CARNET DE SOUDURE'!$D$7:$D$3006,MATCH(B368,'CARNET DE SOUDURE'!$O$7:$O$3006,0)),"")))</f>
        <v>9</v>
      </c>
      <c r="M368" s="82" t="str">
        <f aca="false">IF(B368="","",IF(OR(J368&lt;&gt;"",K368&lt;&gt;""),"POSÉ EN LIGNE",IF(COUNTIF(BARDAGE!$C$1:$C$5000,B368)&gt;0,"BARDÉ","EN STOCK")))</f>
        <v>POSÉ EN LIGNE</v>
      </c>
      <c r="N368" s="80"/>
    </row>
    <row r="369" customFormat="false" ht="15" hidden="false" customHeight="false" outlineLevel="0" collapsed="false">
      <c r="A369" s="82" t="n">
        <f aca="false">IF(B369="","",ROW()-6)</f>
        <v>363</v>
      </c>
      <c r="B369" s="145" t="n">
        <v>2081670</v>
      </c>
      <c r="C369" s="146" t="n">
        <v>15421103</v>
      </c>
      <c r="D369" s="146"/>
      <c r="E369" s="82" t="str">
        <f aca="false">IF(B369="","",IF(COUNTIFS('CARNET DE SOUDURE'!$L$7:$L$3006,B369,'CARNET DE SOUDURE'!$M$7:$M$3006,"&lt;&gt;"&amp;C369,'CARNET DE SOUDURE'!$M$7:$M$3006,"&lt;&gt;")+COUNTIFS('CARNET DE SOUDURE'!$O$7:$O$3006,B369,'CARNET DE SOUDURE'!$P$7:$P$3006,"&lt;&gt;"&amp;C369,'CARNET DE SOUDURE'!$P$7:$P$3006,"&lt;&gt;")&gt;0,"⚠ DIFFÉRENTE","OK"))</f>
        <v>OK</v>
      </c>
      <c r="F369" s="147" t="n">
        <v>11.94</v>
      </c>
      <c r="G369" s="80"/>
      <c r="H369" s="83"/>
      <c r="I369" s="148" t="str">
        <f aca="false">IF(B369="","",IFERROR(INDEX('CARNET DE SOUDURE'!$B$7:$B$3006,MATCH(B369,'CARNET DE SOUDURE'!$L$7:$L$3006,0)),IFERROR(INDEX('CARNET DE SOUDURE'!$B$7:$B$3006,MATCH(B369,'CARNET DE SOUDURE'!$O$7:$O$3006,0)),"")))</f>
        <v>MFD-ISW → MFD-CPF</v>
      </c>
      <c r="J369" s="82" t="str">
        <f aca="false">IF(B369="","",IFERROR(INDEX('CARNET DE SOUDURE'!$E$7:$E$3006,MATCH(B369,'CARNET DE SOUDURE'!$O$7:$O$3006,0)),""))</f>
        <v>DJ°340</v>
      </c>
      <c r="K369" s="82" t="str">
        <f aca="false">IF(B369="","",IFERROR(INDEX('CARNET DE SOUDURE'!$E$7:$E$3006,MATCH(B369,'CARNET DE SOUDURE'!$L$7:$L$3006,0)),""))</f>
        <v>JN°1034</v>
      </c>
      <c r="L369" s="82" t="n">
        <f aca="false">IF(B369="","",IFERROR(INDEX('CARNET DE SOUDURE'!$D$7:$D$3006,MATCH(B369,'CARNET DE SOUDURE'!$L$7:$L$3006,0)),IFERROR(INDEX('CARNET DE SOUDURE'!$D$7:$D$3006,MATCH(B369,'CARNET DE SOUDURE'!$O$7:$O$3006,0)),"")))</f>
        <v>9</v>
      </c>
      <c r="M369" s="82" t="str">
        <f aca="false">IF(B369="","",IF(OR(J369&lt;&gt;"",K369&lt;&gt;""),"POSÉ EN LIGNE",IF(COUNTIF(BARDAGE!$C$1:$C$5000,B369)&gt;0,"BARDÉ","EN STOCK")))</f>
        <v>POSÉ EN LIGNE</v>
      </c>
      <c r="N369" s="80"/>
    </row>
    <row r="370" customFormat="false" ht="15" hidden="false" customHeight="false" outlineLevel="0" collapsed="false">
      <c r="A370" s="82" t="n">
        <f aca="false">IF(B370="","",ROW()-6)</f>
        <v>364</v>
      </c>
      <c r="B370" s="145" t="n">
        <v>2088470</v>
      </c>
      <c r="C370" s="146" t="n">
        <v>15421108</v>
      </c>
      <c r="D370" s="146"/>
      <c r="E370" s="82" t="str">
        <f aca="false">IF(B370="","",IF(COUNTIFS('CARNET DE SOUDURE'!$L$7:$L$3006,B370,'CARNET DE SOUDURE'!$M$7:$M$3006,"&lt;&gt;"&amp;C370,'CARNET DE SOUDURE'!$M$7:$M$3006,"&lt;&gt;")+COUNTIFS('CARNET DE SOUDURE'!$O$7:$O$3006,B370,'CARNET DE SOUDURE'!$P$7:$P$3006,"&lt;&gt;"&amp;C370,'CARNET DE SOUDURE'!$P$7:$P$3006,"&lt;&gt;")&gt;0,"⚠ DIFFÉRENTE","OK"))</f>
        <v>OK</v>
      </c>
      <c r="F370" s="147" t="n">
        <v>11.94</v>
      </c>
      <c r="G370" s="80"/>
      <c r="H370" s="83"/>
      <c r="I370" s="148" t="str">
        <f aca="false">IF(B370="","",IFERROR(INDEX('CARNET DE SOUDURE'!$B$7:$B$3006,MATCH(B370,'CARNET DE SOUDURE'!$L$7:$L$3006,0)),IFERROR(INDEX('CARNET DE SOUDURE'!$B$7:$B$3006,MATCH(B370,'CARNET DE SOUDURE'!$O$7:$O$3006,0)),"")))</f>
        <v>MFD-ISW → MFD-CPF</v>
      </c>
      <c r="J370" s="82" t="str">
        <f aca="false">IF(B370="","",IFERROR(INDEX('CARNET DE SOUDURE'!$E$7:$E$3006,MATCH(B370,'CARNET DE SOUDURE'!$O$7:$O$3006,0)),""))</f>
        <v>JN°1034</v>
      </c>
      <c r="K370" s="82" t="str">
        <f aca="false">IF(B370="","",IFERROR(INDEX('CARNET DE SOUDURE'!$E$7:$E$3006,MATCH(B370,'CARNET DE SOUDURE'!$L$7:$L$3006,0)),""))</f>
        <v>DJ°346</v>
      </c>
      <c r="L370" s="82" t="n">
        <f aca="false">IF(B370="","",IFERROR(INDEX('CARNET DE SOUDURE'!$D$7:$D$3006,MATCH(B370,'CARNET DE SOUDURE'!$L$7:$L$3006,0)),IFERROR(INDEX('CARNET DE SOUDURE'!$D$7:$D$3006,MATCH(B370,'CARNET DE SOUDURE'!$O$7:$O$3006,0)),"")))</f>
        <v>9</v>
      </c>
      <c r="M370" s="82" t="str">
        <f aca="false">IF(B370="","",IF(OR(J370&lt;&gt;"",K370&lt;&gt;""),"POSÉ EN LIGNE",IF(COUNTIF(BARDAGE!$C$1:$C$5000,B370)&gt;0,"BARDÉ","EN STOCK")))</f>
        <v>POSÉ EN LIGNE</v>
      </c>
      <c r="N370" s="80"/>
    </row>
    <row r="371" customFormat="false" ht="15" hidden="false" customHeight="false" outlineLevel="0" collapsed="false">
      <c r="A371" s="82" t="n">
        <f aca="false">IF(B371="","",ROW()-6)</f>
        <v>365</v>
      </c>
      <c r="B371" s="145" t="n">
        <v>2082630</v>
      </c>
      <c r="C371" s="146" t="n">
        <v>15421104</v>
      </c>
      <c r="D371" s="146"/>
      <c r="E371" s="82" t="str">
        <f aca="false">IF(B371="","",IF(COUNTIFS('CARNET DE SOUDURE'!$L$7:$L$3006,B371,'CARNET DE SOUDURE'!$M$7:$M$3006,"&lt;&gt;"&amp;C371,'CARNET DE SOUDURE'!$M$7:$M$3006,"&lt;&gt;")+COUNTIFS('CARNET DE SOUDURE'!$O$7:$O$3006,B371,'CARNET DE SOUDURE'!$P$7:$P$3006,"&lt;&gt;"&amp;C371,'CARNET DE SOUDURE'!$P$7:$P$3006,"&lt;&gt;")&gt;0,"⚠ DIFFÉRENTE","OK"))</f>
        <v>OK</v>
      </c>
      <c r="F371" s="147" t="n">
        <v>11.94</v>
      </c>
      <c r="G371" s="80"/>
      <c r="H371" s="83"/>
      <c r="I371" s="148" t="str">
        <f aca="false">IF(B371="","",IFERROR(INDEX('CARNET DE SOUDURE'!$B$7:$B$3006,MATCH(B371,'CARNET DE SOUDURE'!$L$7:$L$3006,0)),IFERROR(INDEX('CARNET DE SOUDURE'!$B$7:$B$3006,MATCH(B371,'CARNET DE SOUDURE'!$O$7:$O$3006,0)),"")))</f>
        <v>MFD-ISW → MFD-CPF</v>
      </c>
      <c r="J371" s="82" t="str">
        <f aca="false">IF(B371="","",IFERROR(INDEX('CARNET DE SOUDURE'!$E$7:$E$3006,MATCH(B371,'CARNET DE SOUDURE'!$O$7:$O$3006,0)),""))</f>
        <v>DJ°346</v>
      </c>
      <c r="K371" s="82" t="str">
        <f aca="false">IF(B371="","",IFERROR(INDEX('CARNET DE SOUDURE'!$E$7:$E$3006,MATCH(B371,'CARNET DE SOUDURE'!$L$7:$L$3006,0)),""))</f>
        <v>JN°1035</v>
      </c>
      <c r="L371" s="82" t="n">
        <f aca="false">IF(B371="","",IFERROR(INDEX('CARNET DE SOUDURE'!$D$7:$D$3006,MATCH(B371,'CARNET DE SOUDURE'!$L$7:$L$3006,0)),IFERROR(INDEX('CARNET DE SOUDURE'!$D$7:$D$3006,MATCH(B371,'CARNET DE SOUDURE'!$O$7:$O$3006,0)),"")))</f>
        <v>9</v>
      </c>
      <c r="M371" s="82" t="str">
        <f aca="false">IF(B371="","",IF(OR(J371&lt;&gt;"",K371&lt;&gt;""),"POSÉ EN LIGNE",IF(COUNTIF(BARDAGE!$C$1:$C$5000,B371)&gt;0,"BARDÉ","EN STOCK")))</f>
        <v>POSÉ EN LIGNE</v>
      </c>
      <c r="N371" s="80"/>
    </row>
    <row r="372" customFormat="false" ht="15" hidden="false" customHeight="false" outlineLevel="0" collapsed="false">
      <c r="A372" s="82" t="n">
        <f aca="false">IF(B372="","",ROW()-6)</f>
        <v>366</v>
      </c>
      <c r="B372" s="145" t="n">
        <v>2087100</v>
      </c>
      <c r="C372" s="146" t="n">
        <v>15421107</v>
      </c>
      <c r="D372" s="146"/>
      <c r="E372" s="82" t="str">
        <f aca="false">IF(B372="","",IF(COUNTIFS('CARNET DE SOUDURE'!$L$7:$L$3006,B372,'CARNET DE SOUDURE'!$M$7:$M$3006,"&lt;&gt;"&amp;C372,'CARNET DE SOUDURE'!$M$7:$M$3006,"&lt;&gt;")+COUNTIFS('CARNET DE SOUDURE'!$O$7:$O$3006,B372,'CARNET DE SOUDURE'!$P$7:$P$3006,"&lt;&gt;"&amp;C372,'CARNET DE SOUDURE'!$P$7:$P$3006,"&lt;&gt;")&gt;0,"⚠ DIFFÉRENTE","OK"))</f>
        <v>OK</v>
      </c>
      <c r="F372" s="147" t="n">
        <v>11.94</v>
      </c>
      <c r="G372" s="80"/>
      <c r="H372" s="83"/>
      <c r="I372" s="148" t="str">
        <f aca="false">IF(B372="","",IFERROR(INDEX('CARNET DE SOUDURE'!$B$7:$B$3006,MATCH(B372,'CARNET DE SOUDURE'!$L$7:$L$3006,0)),IFERROR(INDEX('CARNET DE SOUDURE'!$B$7:$B$3006,MATCH(B372,'CARNET DE SOUDURE'!$O$7:$O$3006,0)),"")))</f>
        <v>MFD-ISW → MFD-CPF</v>
      </c>
      <c r="J372" s="82" t="str">
        <f aca="false">IF(B372="","",IFERROR(INDEX('CARNET DE SOUDURE'!$E$7:$E$3006,MATCH(B372,'CARNET DE SOUDURE'!$O$7:$O$3006,0)),""))</f>
        <v>JN°1035</v>
      </c>
      <c r="K372" s="82" t="str">
        <f aca="false">IF(B372="","",IFERROR(INDEX('CARNET DE SOUDURE'!$E$7:$E$3006,MATCH(B372,'CARNET DE SOUDURE'!$L$7:$L$3006,0)),""))</f>
        <v>DJ°350</v>
      </c>
      <c r="L372" s="82" t="n">
        <f aca="false">IF(B372="","",IFERROR(INDEX('CARNET DE SOUDURE'!$D$7:$D$3006,MATCH(B372,'CARNET DE SOUDURE'!$L$7:$L$3006,0)),IFERROR(INDEX('CARNET DE SOUDURE'!$D$7:$D$3006,MATCH(B372,'CARNET DE SOUDURE'!$O$7:$O$3006,0)),"")))</f>
        <v>9</v>
      </c>
      <c r="M372" s="82" t="str">
        <f aca="false">IF(B372="","",IF(OR(J372&lt;&gt;"",K372&lt;&gt;""),"POSÉ EN LIGNE",IF(COUNTIF(BARDAGE!$C$1:$C$5000,B372)&gt;0,"BARDÉ","EN STOCK")))</f>
        <v>POSÉ EN LIGNE</v>
      </c>
      <c r="N372" s="80"/>
    </row>
    <row r="373" customFormat="false" ht="15" hidden="false" customHeight="false" outlineLevel="0" collapsed="false">
      <c r="A373" s="82" t="n">
        <f aca="false">IF(B373="","",ROW()-6)</f>
        <v>367</v>
      </c>
      <c r="B373" s="145" t="n">
        <v>2080070</v>
      </c>
      <c r="C373" s="146" t="n">
        <v>15421102</v>
      </c>
      <c r="D373" s="146"/>
      <c r="E373" s="82" t="str">
        <f aca="false">IF(B373="","",IF(COUNTIFS('CARNET DE SOUDURE'!$L$7:$L$3006,B373,'CARNET DE SOUDURE'!$M$7:$M$3006,"&lt;&gt;"&amp;C373,'CARNET DE SOUDURE'!$M$7:$M$3006,"&lt;&gt;")+COUNTIFS('CARNET DE SOUDURE'!$O$7:$O$3006,B373,'CARNET DE SOUDURE'!$P$7:$P$3006,"&lt;&gt;"&amp;C373,'CARNET DE SOUDURE'!$P$7:$P$3006,"&lt;&gt;")&gt;0,"⚠ DIFFÉRENTE","OK"))</f>
        <v>⚠ DIFFÉRENTE</v>
      </c>
      <c r="F373" s="147" t="n">
        <v>11.94</v>
      </c>
      <c r="G373" s="80"/>
      <c r="H373" s="83"/>
      <c r="I373" s="148" t="str">
        <f aca="false">IF(B373="","",IFERROR(INDEX('CARNET DE SOUDURE'!$B$7:$B$3006,MATCH(B373,'CARNET DE SOUDURE'!$L$7:$L$3006,0)),IFERROR(INDEX('CARNET DE SOUDURE'!$B$7:$B$3006,MATCH(B373,'CARNET DE SOUDURE'!$O$7:$O$3006,0)),"")))</f>
        <v>MFD-ISW → MFD-CPF</v>
      </c>
      <c r="J373" s="82" t="str">
        <f aca="false">IF(B373="","",IFERROR(INDEX('CARNET DE SOUDURE'!$E$7:$E$3006,MATCH(B373,'CARNET DE SOUDURE'!$O$7:$O$3006,0)),""))</f>
        <v>DJ°350</v>
      </c>
      <c r="K373" s="82" t="str">
        <f aca="false">IF(B373="","",IFERROR(INDEX('CARNET DE SOUDURE'!$E$7:$E$3006,MATCH(B373,'CARNET DE SOUDURE'!$L$7:$L$3006,0)),""))</f>
        <v>JN°1036</v>
      </c>
      <c r="L373" s="82" t="n">
        <f aca="false">IF(B373="","",IFERROR(INDEX('CARNET DE SOUDURE'!$D$7:$D$3006,MATCH(B373,'CARNET DE SOUDURE'!$L$7:$L$3006,0)),IFERROR(INDEX('CARNET DE SOUDURE'!$D$7:$D$3006,MATCH(B373,'CARNET DE SOUDURE'!$O$7:$O$3006,0)),"")))</f>
        <v>9</v>
      </c>
      <c r="M373" s="82" t="str">
        <f aca="false">IF(B373="","",IF(OR(J373&lt;&gt;"",K373&lt;&gt;""),"POSÉ EN LIGNE",IF(COUNTIF(BARDAGE!$C$1:$C$5000,B373)&gt;0,"BARDÉ","EN STOCK")))</f>
        <v>POSÉ EN LIGNE</v>
      </c>
      <c r="N373" s="80"/>
    </row>
    <row r="374" customFormat="false" ht="15" hidden="false" customHeight="false" outlineLevel="0" collapsed="false">
      <c r="A374" s="82" t="n">
        <f aca="false">IF(B374="","",ROW()-6)</f>
        <v>368</v>
      </c>
      <c r="B374" s="145" t="n">
        <v>2092330</v>
      </c>
      <c r="C374" s="146" t="n">
        <v>15421110</v>
      </c>
      <c r="D374" s="146"/>
      <c r="E374" s="82" t="str">
        <f aca="false">IF(B374="","",IF(COUNTIFS('CARNET DE SOUDURE'!$L$7:$L$3006,B374,'CARNET DE SOUDURE'!$M$7:$M$3006,"&lt;&gt;"&amp;C374,'CARNET DE SOUDURE'!$M$7:$M$3006,"&lt;&gt;")+COUNTIFS('CARNET DE SOUDURE'!$O$7:$O$3006,B374,'CARNET DE SOUDURE'!$P$7:$P$3006,"&lt;&gt;"&amp;C374,'CARNET DE SOUDURE'!$P$7:$P$3006,"&lt;&gt;")&gt;0,"⚠ DIFFÉRENTE","OK"))</f>
        <v>OK</v>
      </c>
      <c r="F374" s="147" t="n">
        <v>11.94</v>
      </c>
      <c r="G374" s="80"/>
      <c r="H374" s="83"/>
      <c r="I374" s="148" t="str">
        <f aca="false">IF(B374="","",IFERROR(INDEX('CARNET DE SOUDURE'!$B$7:$B$3006,MATCH(B374,'CARNET DE SOUDURE'!$L$7:$L$3006,0)),IFERROR(INDEX('CARNET DE SOUDURE'!$B$7:$B$3006,MATCH(B374,'CARNET DE SOUDURE'!$O$7:$O$3006,0)),"")))</f>
        <v>MFD-ISW → MFD-CPF</v>
      </c>
      <c r="J374" s="82" t="str">
        <f aca="false">IF(B374="","",IFERROR(INDEX('CARNET DE SOUDURE'!$E$7:$E$3006,MATCH(B374,'CARNET DE SOUDURE'!$O$7:$O$3006,0)),""))</f>
        <v>JN°1036</v>
      </c>
      <c r="K374" s="82" t="str">
        <f aca="false">IF(B374="","",IFERROR(INDEX('CARNET DE SOUDURE'!$E$7:$E$3006,MATCH(B374,'CARNET DE SOUDURE'!$L$7:$L$3006,0)),""))</f>
        <v>DJ°351</v>
      </c>
      <c r="L374" s="82" t="n">
        <f aca="false">IF(B374="","",IFERROR(INDEX('CARNET DE SOUDURE'!$D$7:$D$3006,MATCH(B374,'CARNET DE SOUDURE'!$L$7:$L$3006,0)),IFERROR(INDEX('CARNET DE SOUDURE'!$D$7:$D$3006,MATCH(B374,'CARNET DE SOUDURE'!$O$7:$O$3006,0)),"")))</f>
        <v>9</v>
      </c>
      <c r="M374" s="82" t="str">
        <f aca="false">IF(B374="","",IF(OR(J374&lt;&gt;"",K374&lt;&gt;""),"POSÉ EN LIGNE",IF(COUNTIF(BARDAGE!$C$1:$C$5000,B374)&gt;0,"BARDÉ","EN STOCK")))</f>
        <v>POSÉ EN LIGNE</v>
      </c>
      <c r="N374" s="80"/>
    </row>
    <row r="375" customFormat="false" ht="15" hidden="false" customHeight="false" outlineLevel="0" collapsed="false">
      <c r="A375" s="82" t="n">
        <f aca="false">IF(B375="","",ROW()-6)</f>
        <v>369</v>
      </c>
      <c r="B375" s="145" t="n">
        <v>2097560</v>
      </c>
      <c r="C375" s="146" t="n">
        <v>15421112</v>
      </c>
      <c r="D375" s="146"/>
      <c r="E375" s="82" t="str">
        <f aca="false">IF(B375="","",IF(COUNTIFS('CARNET DE SOUDURE'!$L$7:$L$3006,B375,'CARNET DE SOUDURE'!$M$7:$M$3006,"&lt;&gt;"&amp;C375,'CARNET DE SOUDURE'!$M$7:$M$3006,"&lt;&gt;")+COUNTIFS('CARNET DE SOUDURE'!$O$7:$O$3006,B375,'CARNET DE SOUDURE'!$P$7:$P$3006,"&lt;&gt;"&amp;C375,'CARNET DE SOUDURE'!$P$7:$P$3006,"&lt;&gt;")&gt;0,"⚠ DIFFÉRENTE","OK"))</f>
        <v>OK</v>
      </c>
      <c r="F375" s="147" t="n">
        <v>11.94</v>
      </c>
      <c r="G375" s="80"/>
      <c r="H375" s="83"/>
      <c r="I375" s="148" t="str">
        <f aca="false">IF(B375="","",IFERROR(INDEX('CARNET DE SOUDURE'!$B$7:$B$3006,MATCH(B375,'CARNET DE SOUDURE'!$L$7:$L$3006,0)),IFERROR(INDEX('CARNET DE SOUDURE'!$B$7:$B$3006,MATCH(B375,'CARNET DE SOUDURE'!$O$7:$O$3006,0)),"")))</f>
        <v>MFD-ISW → MFD-CPF</v>
      </c>
      <c r="J375" s="82" t="str">
        <f aca="false">IF(B375="","",IFERROR(INDEX('CARNET DE SOUDURE'!$E$7:$E$3006,MATCH(B375,'CARNET DE SOUDURE'!$O$7:$O$3006,0)),""))</f>
        <v>DJ°351</v>
      </c>
      <c r="K375" s="82" t="str">
        <f aca="false">IF(B375="","",IFERROR(INDEX('CARNET DE SOUDURE'!$E$7:$E$3006,MATCH(B375,'CARNET DE SOUDURE'!$L$7:$L$3006,0)),""))</f>
        <v>JN°1037</v>
      </c>
      <c r="L375" s="82" t="n">
        <f aca="false">IF(B375="","",IFERROR(INDEX('CARNET DE SOUDURE'!$D$7:$D$3006,MATCH(B375,'CARNET DE SOUDURE'!$L$7:$L$3006,0)),IFERROR(INDEX('CARNET DE SOUDURE'!$D$7:$D$3006,MATCH(B375,'CARNET DE SOUDURE'!$O$7:$O$3006,0)),"")))</f>
        <v>9</v>
      </c>
      <c r="M375" s="82" t="str">
        <f aca="false">IF(B375="","",IF(OR(J375&lt;&gt;"",K375&lt;&gt;""),"POSÉ EN LIGNE",IF(COUNTIF(BARDAGE!$C$1:$C$5000,B375)&gt;0,"BARDÉ","EN STOCK")))</f>
        <v>POSÉ EN LIGNE</v>
      </c>
      <c r="N375" s="80"/>
    </row>
    <row r="376" customFormat="false" ht="15" hidden="false" customHeight="false" outlineLevel="0" collapsed="false">
      <c r="A376" s="82" t="n">
        <f aca="false">IF(B376="","",ROW()-6)</f>
        <v>370</v>
      </c>
      <c r="B376" s="145" t="n">
        <v>2083180</v>
      </c>
      <c r="C376" s="146" t="n">
        <v>15421105</v>
      </c>
      <c r="D376" s="146"/>
      <c r="E376" s="82" t="str">
        <f aca="false">IF(B376="","",IF(COUNTIFS('CARNET DE SOUDURE'!$L$7:$L$3006,B376,'CARNET DE SOUDURE'!$M$7:$M$3006,"&lt;&gt;"&amp;C376,'CARNET DE SOUDURE'!$M$7:$M$3006,"&lt;&gt;")+COUNTIFS('CARNET DE SOUDURE'!$O$7:$O$3006,B376,'CARNET DE SOUDURE'!$P$7:$P$3006,"&lt;&gt;"&amp;C376,'CARNET DE SOUDURE'!$P$7:$P$3006,"&lt;&gt;")&gt;0,"⚠ DIFFÉRENTE","OK"))</f>
        <v>OK</v>
      </c>
      <c r="F376" s="147" t="n">
        <v>11.94</v>
      </c>
      <c r="G376" s="80"/>
      <c r="H376" s="83"/>
      <c r="I376" s="148" t="str">
        <f aca="false">IF(B376="","",IFERROR(INDEX('CARNET DE SOUDURE'!$B$7:$B$3006,MATCH(B376,'CARNET DE SOUDURE'!$L$7:$L$3006,0)),IFERROR(INDEX('CARNET DE SOUDURE'!$B$7:$B$3006,MATCH(B376,'CARNET DE SOUDURE'!$O$7:$O$3006,0)),"")))</f>
        <v>MFD-ISW → MFD-CPF</v>
      </c>
      <c r="J376" s="82" t="str">
        <f aca="false">IF(B376="","",IFERROR(INDEX('CARNET DE SOUDURE'!$E$7:$E$3006,MATCH(B376,'CARNET DE SOUDURE'!$O$7:$O$3006,0)),""))</f>
        <v>JN°1037</v>
      </c>
      <c r="K376" s="82" t="str">
        <f aca="false">IF(B376="","",IFERROR(INDEX('CARNET DE SOUDURE'!$E$7:$E$3006,MATCH(B376,'CARNET DE SOUDURE'!$L$7:$L$3006,0)),""))</f>
        <v>DJ°354</v>
      </c>
      <c r="L376" s="82" t="n">
        <f aca="false">IF(B376="","",IFERROR(INDEX('CARNET DE SOUDURE'!$D$7:$D$3006,MATCH(B376,'CARNET DE SOUDURE'!$L$7:$L$3006,0)),IFERROR(INDEX('CARNET DE SOUDURE'!$D$7:$D$3006,MATCH(B376,'CARNET DE SOUDURE'!$O$7:$O$3006,0)),"")))</f>
        <v>9</v>
      </c>
      <c r="M376" s="82" t="str">
        <f aca="false">IF(B376="","",IF(OR(J376&lt;&gt;"",K376&lt;&gt;""),"POSÉ EN LIGNE",IF(COUNTIF(BARDAGE!$C$1:$C$5000,B376)&gt;0,"BARDÉ","EN STOCK")))</f>
        <v>POSÉ EN LIGNE</v>
      </c>
      <c r="N376" s="80"/>
    </row>
    <row r="377" customFormat="false" ht="15" hidden="false" customHeight="false" outlineLevel="0" collapsed="false">
      <c r="A377" s="82" t="n">
        <f aca="false">IF(B377="","",ROW()-6)</f>
        <v>371</v>
      </c>
      <c r="B377" s="145" t="n">
        <v>2087460</v>
      </c>
      <c r="C377" s="146" t="n">
        <v>15421107</v>
      </c>
      <c r="D377" s="146"/>
      <c r="E377" s="82" t="str">
        <f aca="false">IF(B377="","",IF(COUNTIFS('CARNET DE SOUDURE'!$L$7:$L$3006,B377,'CARNET DE SOUDURE'!$M$7:$M$3006,"&lt;&gt;"&amp;C377,'CARNET DE SOUDURE'!$M$7:$M$3006,"&lt;&gt;")+COUNTIFS('CARNET DE SOUDURE'!$O$7:$O$3006,B377,'CARNET DE SOUDURE'!$P$7:$P$3006,"&lt;&gt;"&amp;C377,'CARNET DE SOUDURE'!$P$7:$P$3006,"&lt;&gt;")&gt;0,"⚠ DIFFÉRENTE","OK"))</f>
        <v>OK</v>
      </c>
      <c r="F377" s="147" t="n">
        <v>11.94</v>
      </c>
      <c r="G377" s="80"/>
      <c r="H377" s="83"/>
      <c r="I377" s="148" t="str">
        <f aca="false">IF(B377="","",IFERROR(INDEX('CARNET DE SOUDURE'!$B$7:$B$3006,MATCH(B377,'CARNET DE SOUDURE'!$L$7:$L$3006,0)),IFERROR(INDEX('CARNET DE SOUDURE'!$B$7:$B$3006,MATCH(B377,'CARNET DE SOUDURE'!$O$7:$O$3006,0)),"")))</f>
        <v>MFD-ISW → MFD-CPF</v>
      </c>
      <c r="J377" s="82" t="str">
        <f aca="false">IF(B377="","",IFERROR(INDEX('CARNET DE SOUDURE'!$E$7:$E$3006,MATCH(B377,'CARNET DE SOUDURE'!$O$7:$O$3006,0)),""))</f>
        <v>DJ°354</v>
      </c>
      <c r="K377" s="82" t="str">
        <f aca="false">IF(B377="","",IFERROR(INDEX('CARNET DE SOUDURE'!$E$7:$E$3006,MATCH(B377,'CARNET DE SOUDURE'!$L$7:$L$3006,0)),""))</f>
        <v>JN°1038</v>
      </c>
      <c r="L377" s="82" t="n">
        <f aca="false">IF(B377="","",IFERROR(INDEX('CARNET DE SOUDURE'!$D$7:$D$3006,MATCH(B377,'CARNET DE SOUDURE'!$L$7:$L$3006,0)),IFERROR(INDEX('CARNET DE SOUDURE'!$D$7:$D$3006,MATCH(B377,'CARNET DE SOUDURE'!$O$7:$O$3006,0)),"")))</f>
        <v>9</v>
      </c>
      <c r="M377" s="82" t="str">
        <f aca="false">IF(B377="","",IF(OR(J377&lt;&gt;"",K377&lt;&gt;""),"POSÉ EN LIGNE",IF(COUNTIF(BARDAGE!$C$1:$C$5000,B377)&gt;0,"BARDÉ","EN STOCK")))</f>
        <v>POSÉ EN LIGNE</v>
      </c>
      <c r="N377" s="80"/>
    </row>
    <row r="378" customFormat="false" ht="15" hidden="false" customHeight="false" outlineLevel="0" collapsed="false">
      <c r="A378" s="82" t="n">
        <f aca="false">IF(B378="","",ROW()-6)</f>
        <v>372</v>
      </c>
      <c r="B378" s="145" t="n">
        <v>2097290</v>
      </c>
      <c r="C378" s="146" t="n">
        <v>15421112</v>
      </c>
      <c r="D378" s="146"/>
      <c r="E378" s="82" t="str">
        <f aca="false">IF(B378="","",IF(COUNTIFS('CARNET DE SOUDURE'!$L$7:$L$3006,B378,'CARNET DE SOUDURE'!$M$7:$M$3006,"&lt;&gt;"&amp;C378,'CARNET DE SOUDURE'!$M$7:$M$3006,"&lt;&gt;")+COUNTIFS('CARNET DE SOUDURE'!$O$7:$O$3006,B378,'CARNET DE SOUDURE'!$P$7:$P$3006,"&lt;&gt;"&amp;C378,'CARNET DE SOUDURE'!$P$7:$P$3006,"&lt;&gt;")&gt;0,"⚠ DIFFÉRENTE","OK"))</f>
        <v>OK</v>
      </c>
      <c r="F378" s="147" t="n">
        <v>11.94</v>
      </c>
      <c r="G378" s="80"/>
      <c r="H378" s="83"/>
      <c r="I378" s="148" t="str">
        <f aca="false">IF(B378="","",IFERROR(INDEX('CARNET DE SOUDURE'!$B$7:$B$3006,MATCH(B378,'CARNET DE SOUDURE'!$L$7:$L$3006,0)),IFERROR(INDEX('CARNET DE SOUDURE'!$B$7:$B$3006,MATCH(B378,'CARNET DE SOUDURE'!$O$7:$O$3006,0)),"")))</f>
        <v>MFD-ISW → MFD-CPF</v>
      </c>
      <c r="J378" s="82" t="str">
        <f aca="false">IF(B378="","",IFERROR(INDEX('CARNET DE SOUDURE'!$E$7:$E$3006,MATCH(B378,'CARNET DE SOUDURE'!$O$7:$O$3006,0)),""))</f>
        <v>JN°1038</v>
      </c>
      <c r="K378" s="82" t="str">
        <f aca="false">IF(B378="","",IFERROR(INDEX('CARNET DE SOUDURE'!$E$7:$E$3006,MATCH(B378,'CARNET DE SOUDURE'!$L$7:$L$3006,0)),""))</f>
        <v>DJ°348</v>
      </c>
      <c r="L378" s="82" t="n">
        <f aca="false">IF(B378="","",IFERROR(INDEX('CARNET DE SOUDURE'!$D$7:$D$3006,MATCH(B378,'CARNET DE SOUDURE'!$L$7:$L$3006,0)),IFERROR(INDEX('CARNET DE SOUDURE'!$D$7:$D$3006,MATCH(B378,'CARNET DE SOUDURE'!$O$7:$O$3006,0)),"")))</f>
        <v>9</v>
      </c>
      <c r="M378" s="82" t="str">
        <f aca="false">IF(B378="","",IF(OR(J378&lt;&gt;"",K378&lt;&gt;""),"POSÉ EN LIGNE",IF(COUNTIF(BARDAGE!$C$1:$C$5000,B378)&gt;0,"BARDÉ","EN STOCK")))</f>
        <v>POSÉ EN LIGNE</v>
      </c>
      <c r="N378" s="80"/>
    </row>
    <row r="379" customFormat="false" ht="15" hidden="false" customHeight="false" outlineLevel="0" collapsed="false">
      <c r="A379" s="82" t="n">
        <f aca="false">IF(B379="","",ROW()-6)</f>
        <v>373</v>
      </c>
      <c r="B379" s="145" t="n">
        <v>2087050</v>
      </c>
      <c r="C379" s="146" t="n">
        <v>15421103</v>
      </c>
      <c r="D379" s="146"/>
      <c r="E379" s="82" t="str">
        <f aca="false">IF(B379="","",IF(COUNTIFS('CARNET DE SOUDURE'!$L$7:$L$3006,B379,'CARNET DE SOUDURE'!$M$7:$M$3006,"&lt;&gt;"&amp;C379,'CARNET DE SOUDURE'!$M$7:$M$3006,"&lt;&gt;")+COUNTIFS('CARNET DE SOUDURE'!$O$7:$O$3006,B379,'CARNET DE SOUDURE'!$P$7:$P$3006,"&lt;&gt;"&amp;C379,'CARNET DE SOUDURE'!$P$7:$P$3006,"&lt;&gt;")&gt;0,"⚠ DIFFÉRENTE","OK"))</f>
        <v>OK</v>
      </c>
      <c r="F379" s="147" t="n">
        <v>11.94</v>
      </c>
      <c r="G379" s="80"/>
      <c r="H379" s="83"/>
      <c r="I379" s="148" t="str">
        <f aca="false">IF(B379="","",IFERROR(INDEX('CARNET DE SOUDURE'!$B$7:$B$3006,MATCH(B379,'CARNET DE SOUDURE'!$L$7:$L$3006,0)),IFERROR(INDEX('CARNET DE SOUDURE'!$B$7:$B$3006,MATCH(B379,'CARNET DE SOUDURE'!$O$7:$O$3006,0)),"")))</f>
        <v>MFD-ISW → MFD-CPF</v>
      </c>
      <c r="J379" s="82" t="str">
        <f aca="false">IF(B379="","",IFERROR(INDEX('CARNET DE SOUDURE'!$E$7:$E$3006,MATCH(B379,'CARNET DE SOUDURE'!$O$7:$O$3006,0)),""))</f>
        <v>DJ°348</v>
      </c>
      <c r="K379" s="82" t="str">
        <f aca="false">IF(B379="","",IFERROR(INDEX('CARNET DE SOUDURE'!$E$7:$E$3006,MATCH(B379,'CARNET DE SOUDURE'!$L$7:$L$3006,0)),""))</f>
        <v>JN°1039</v>
      </c>
      <c r="L379" s="82" t="n">
        <f aca="false">IF(B379="","",IFERROR(INDEX('CARNET DE SOUDURE'!$D$7:$D$3006,MATCH(B379,'CARNET DE SOUDURE'!$L$7:$L$3006,0)),IFERROR(INDEX('CARNET DE SOUDURE'!$D$7:$D$3006,MATCH(B379,'CARNET DE SOUDURE'!$O$7:$O$3006,0)),"")))</f>
        <v>9</v>
      </c>
      <c r="M379" s="82" t="str">
        <f aca="false">IF(B379="","",IF(OR(J379&lt;&gt;"",K379&lt;&gt;""),"POSÉ EN LIGNE",IF(COUNTIF(BARDAGE!$C$1:$C$5000,B379)&gt;0,"BARDÉ","EN STOCK")))</f>
        <v>POSÉ EN LIGNE</v>
      </c>
      <c r="N379" s="80"/>
    </row>
    <row r="380" customFormat="false" ht="15" hidden="false" customHeight="false" outlineLevel="0" collapsed="false">
      <c r="A380" s="82" t="n">
        <f aca="false">IF(B380="","",ROW()-6)</f>
        <v>374</v>
      </c>
      <c r="B380" s="145" t="n">
        <v>2081100</v>
      </c>
      <c r="C380" s="146" t="n">
        <v>15421103</v>
      </c>
      <c r="D380" s="146"/>
      <c r="E380" s="82" t="str">
        <f aca="false">IF(B380="","",IF(COUNTIFS('CARNET DE SOUDURE'!$L$7:$L$3006,B380,'CARNET DE SOUDURE'!$M$7:$M$3006,"&lt;&gt;"&amp;C380,'CARNET DE SOUDURE'!$M$7:$M$3006,"&lt;&gt;")+COUNTIFS('CARNET DE SOUDURE'!$O$7:$O$3006,B380,'CARNET DE SOUDURE'!$P$7:$P$3006,"&lt;&gt;"&amp;C380,'CARNET DE SOUDURE'!$P$7:$P$3006,"&lt;&gt;")&gt;0,"⚠ DIFFÉRENTE","OK"))</f>
        <v>OK</v>
      </c>
      <c r="F380" s="147" t="n">
        <v>11.94</v>
      </c>
      <c r="G380" s="80"/>
      <c r="H380" s="83"/>
      <c r="I380" s="148" t="str">
        <f aca="false">IF(B380="","",IFERROR(INDEX('CARNET DE SOUDURE'!$B$7:$B$3006,MATCH(B380,'CARNET DE SOUDURE'!$L$7:$L$3006,0)),IFERROR(INDEX('CARNET DE SOUDURE'!$B$7:$B$3006,MATCH(B380,'CARNET DE SOUDURE'!$O$7:$O$3006,0)),"")))</f>
        <v>MFD-ISW → MFD-CPF</v>
      </c>
      <c r="J380" s="82" t="str">
        <f aca="false">IF(B380="","",IFERROR(INDEX('CARNET DE SOUDURE'!$E$7:$E$3006,MATCH(B380,'CARNET DE SOUDURE'!$O$7:$O$3006,0)),""))</f>
        <v>JN°1039</v>
      </c>
      <c r="K380" s="82" t="str">
        <f aca="false">IF(B380="","",IFERROR(INDEX('CARNET DE SOUDURE'!$E$7:$E$3006,MATCH(B380,'CARNET DE SOUDURE'!$L$7:$L$3006,0)),""))</f>
        <v>DJ°278</v>
      </c>
      <c r="L380" s="82" t="n">
        <f aca="false">IF(B380="","",IFERROR(INDEX('CARNET DE SOUDURE'!$D$7:$D$3006,MATCH(B380,'CARNET DE SOUDURE'!$L$7:$L$3006,0)),IFERROR(INDEX('CARNET DE SOUDURE'!$D$7:$D$3006,MATCH(B380,'CARNET DE SOUDURE'!$O$7:$O$3006,0)),"")))</f>
        <v>9</v>
      </c>
      <c r="M380" s="82" t="str">
        <f aca="false">IF(B380="","",IF(OR(J380&lt;&gt;"",K380&lt;&gt;""),"POSÉ EN LIGNE",IF(COUNTIF(BARDAGE!$C$1:$C$5000,B380)&gt;0,"BARDÉ","EN STOCK")))</f>
        <v>POSÉ EN LIGNE</v>
      </c>
      <c r="N380" s="80"/>
    </row>
    <row r="381" customFormat="false" ht="15" hidden="false" customHeight="false" outlineLevel="0" collapsed="false">
      <c r="A381" s="82" t="n">
        <f aca="false">IF(B381="","",ROW()-6)</f>
        <v>375</v>
      </c>
      <c r="B381" s="145" t="n">
        <v>2098410</v>
      </c>
      <c r="C381" s="146" t="n">
        <v>15421112</v>
      </c>
      <c r="D381" s="146"/>
      <c r="E381" s="82" t="str">
        <f aca="false">IF(B381="","",IF(COUNTIFS('CARNET DE SOUDURE'!$L$7:$L$3006,B381,'CARNET DE SOUDURE'!$M$7:$M$3006,"&lt;&gt;"&amp;C381,'CARNET DE SOUDURE'!$M$7:$M$3006,"&lt;&gt;")+COUNTIFS('CARNET DE SOUDURE'!$O$7:$O$3006,B381,'CARNET DE SOUDURE'!$P$7:$P$3006,"&lt;&gt;"&amp;C381,'CARNET DE SOUDURE'!$P$7:$P$3006,"&lt;&gt;")&gt;0,"⚠ DIFFÉRENTE","OK"))</f>
        <v>OK</v>
      </c>
      <c r="F381" s="147" t="n">
        <v>11.94</v>
      </c>
      <c r="G381" s="80"/>
      <c r="H381" s="83"/>
      <c r="I381" s="148" t="str">
        <f aca="false">IF(B381="","",IFERROR(INDEX('CARNET DE SOUDURE'!$B$7:$B$3006,MATCH(B381,'CARNET DE SOUDURE'!$L$7:$L$3006,0)),IFERROR(INDEX('CARNET DE SOUDURE'!$B$7:$B$3006,MATCH(B381,'CARNET DE SOUDURE'!$O$7:$O$3006,0)),"")))</f>
        <v>MFD-ISW → MFD-CPF</v>
      </c>
      <c r="J381" s="82" t="str">
        <f aca="false">IF(B381="","",IFERROR(INDEX('CARNET DE SOUDURE'!$E$7:$E$3006,MATCH(B381,'CARNET DE SOUDURE'!$O$7:$O$3006,0)),""))</f>
        <v>DJ°278</v>
      </c>
      <c r="K381" s="82" t="str">
        <f aca="false">IF(B381="","",IFERROR(INDEX('CARNET DE SOUDURE'!$E$7:$E$3006,MATCH(B381,'CARNET DE SOUDURE'!$L$7:$L$3006,0)),""))</f>
        <v>JN°1040</v>
      </c>
      <c r="L381" s="82" t="n">
        <f aca="false">IF(B381="","",IFERROR(INDEX('CARNET DE SOUDURE'!$D$7:$D$3006,MATCH(B381,'CARNET DE SOUDURE'!$L$7:$L$3006,0)),IFERROR(INDEX('CARNET DE SOUDURE'!$D$7:$D$3006,MATCH(B381,'CARNET DE SOUDURE'!$O$7:$O$3006,0)),"")))</f>
        <v>9</v>
      </c>
      <c r="M381" s="82" t="str">
        <f aca="false">IF(B381="","",IF(OR(J381&lt;&gt;"",K381&lt;&gt;""),"POSÉ EN LIGNE",IF(COUNTIF(BARDAGE!$C$1:$C$5000,B381)&gt;0,"BARDÉ","EN STOCK")))</f>
        <v>POSÉ EN LIGNE</v>
      </c>
      <c r="N381" s="80"/>
    </row>
    <row r="382" customFormat="false" ht="15" hidden="false" customHeight="false" outlineLevel="0" collapsed="false">
      <c r="A382" s="82" t="n">
        <f aca="false">IF(B382="","",ROW()-6)</f>
        <v>376</v>
      </c>
      <c r="B382" s="145" t="n">
        <v>2083860</v>
      </c>
      <c r="C382" s="146" t="n">
        <v>15421105</v>
      </c>
      <c r="D382" s="146"/>
      <c r="E382" s="82" t="str">
        <f aca="false">IF(B382="","",IF(COUNTIFS('CARNET DE SOUDURE'!$L$7:$L$3006,B382,'CARNET DE SOUDURE'!$M$7:$M$3006,"&lt;&gt;"&amp;C382,'CARNET DE SOUDURE'!$M$7:$M$3006,"&lt;&gt;")+COUNTIFS('CARNET DE SOUDURE'!$O$7:$O$3006,B382,'CARNET DE SOUDURE'!$P$7:$P$3006,"&lt;&gt;"&amp;C382,'CARNET DE SOUDURE'!$P$7:$P$3006,"&lt;&gt;")&gt;0,"⚠ DIFFÉRENTE","OK"))</f>
        <v>OK</v>
      </c>
      <c r="F382" s="147" t="n">
        <v>11.94</v>
      </c>
      <c r="G382" s="80"/>
      <c r="H382" s="83"/>
      <c r="I382" s="148" t="str">
        <f aca="false">IF(B382="","",IFERROR(INDEX('CARNET DE SOUDURE'!$B$7:$B$3006,MATCH(B382,'CARNET DE SOUDURE'!$L$7:$L$3006,0)),IFERROR(INDEX('CARNET DE SOUDURE'!$B$7:$B$3006,MATCH(B382,'CARNET DE SOUDURE'!$O$7:$O$3006,0)),"")))</f>
        <v>MFD-ISW → MFD-CPF</v>
      </c>
      <c r="J382" s="82" t="str">
        <f aca="false">IF(B382="","",IFERROR(INDEX('CARNET DE SOUDURE'!$E$7:$E$3006,MATCH(B382,'CARNET DE SOUDURE'!$O$7:$O$3006,0)),""))</f>
        <v>JN°1040</v>
      </c>
      <c r="K382" s="82" t="str">
        <f aca="false">IF(B382="","",IFERROR(INDEX('CARNET DE SOUDURE'!$E$7:$E$3006,MATCH(B382,'CARNET DE SOUDURE'!$L$7:$L$3006,0)),""))</f>
        <v>DJ°343</v>
      </c>
      <c r="L382" s="82" t="n">
        <f aca="false">IF(B382="","",IFERROR(INDEX('CARNET DE SOUDURE'!$D$7:$D$3006,MATCH(B382,'CARNET DE SOUDURE'!$L$7:$L$3006,0)),IFERROR(INDEX('CARNET DE SOUDURE'!$D$7:$D$3006,MATCH(B382,'CARNET DE SOUDURE'!$O$7:$O$3006,0)),"")))</f>
        <v>9</v>
      </c>
      <c r="M382" s="82" t="str">
        <f aca="false">IF(B382="","",IF(OR(J382&lt;&gt;"",K382&lt;&gt;""),"POSÉ EN LIGNE",IF(COUNTIF(BARDAGE!$C$1:$C$5000,B382)&gt;0,"BARDÉ","EN STOCK")))</f>
        <v>POSÉ EN LIGNE</v>
      </c>
      <c r="N382" s="80"/>
    </row>
    <row r="383" customFormat="false" ht="15" hidden="false" customHeight="false" outlineLevel="0" collapsed="false">
      <c r="A383" s="82" t="n">
        <f aca="false">IF(B383="","",ROW()-6)</f>
        <v>377</v>
      </c>
      <c r="B383" s="145" t="n">
        <v>2086820</v>
      </c>
      <c r="C383" s="146" t="n">
        <v>15421107</v>
      </c>
      <c r="D383" s="146"/>
      <c r="E383" s="82" t="str">
        <f aca="false">IF(B383="","",IF(COUNTIFS('CARNET DE SOUDURE'!$L$7:$L$3006,B383,'CARNET DE SOUDURE'!$M$7:$M$3006,"&lt;&gt;"&amp;C383,'CARNET DE SOUDURE'!$M$7:$M$3006,"&lt;&gt;")+COUNTIFS('CARNET DE SOUDURE'!$O$7:$O$3006,B383,'CARNET DE SOUDURE'!$P$7:$P$3006,"&lt;&gt;"&amp;C383,'CARNET DE SOUDURE'!$P$7:$P$3006,"&lt;&gt;")&gt;0,"⚠ DIFFÉRENTE","OK"))</f>
        <v>OK</v>
      </c>
      <c r="F383" s="147" t="n">
        <v>11.94</v>
      </c>
      <c r="G383" s="80"/>
      <c r="H383" s="83"/>
      <c r="I383" s="148" t="str">
        <f aca="false">IF(B383="","",IFERROR(INDEX('CARNET DE SOUDURE'!$B$7:$B$3006,MATCH(B383,'CARNET DE SOUDURE'!$L$7:$L$3006,0)),IFERROR(INDEX('CARNET DE SOUDURE'!$B$7:$B$3006,MATCH(B383,'CARNET DE SOUDURE'!$O$7:$O$3006,0)),"")))</f>
        <v>MFD-ISW → MFD-CPF</v>
      </c>
      <c r="J383" s="82" t="str">
        <f aca="false">IF(B383="","",IFERROR(INDEX('CARNET DE SOUDURE'!$E$7:$E$3006,MATCH(B383,'CARNET DE SOUDURE'!$O$7:$O$3006,0)),""))</f>
        <v>DJ°343</v>
      </c>
      <c r="K383" s="82" t="str">
        <f aca="false">IF(B383="","",IFERROR(INDEX('CARNET DE SOUDURE'!$E$7:$E$3006,MATCH(B383,'CARNET DE SOUDURE'!$L$7:$L$3006,0)),""))</f>
        <v>JN°1041</v>
      </c>
      <c r="L383" s="82" t="n">
        <f aca="false">IF(B383="","",IFERROR(INDEX('CARNET DE SOUDURE'!$D$7:$D$3006,MATCH(B383,'CARNET DE SOUDURE'!$L$7:$L$3006,0)),IFERROR(INDEX('CARNET DE SOUDURE'!$D$7:$D$3006,MATCH(B383,'CARNET DE SOUDURE'!$O$7:$O$3006,0)),"")))</f>
        <v>9</v>
      </c>
      <c r="M383" s="82" t="str">
        <f aca="false">IF(B383="","",IF(OR(J383&lt;&gt;"",K383&lt;&gt;""),"POSÉ EN LIGNE",IF(COUNTIF(BARDAGE!$C$1:$C$5000,B383)&gt;0,"BARDÉ","EN STOCK")))</f>
        <v>POSÉ EN LIGNE</v>
      </c>
      <c r="N383" s="80"/>
    </row>
    <row r="384" customFormat="false" ht="15" hidden="false" customHeight="false" outlineLevel="0" collapsed="false">
      <c r="A384" s="82" t="n">
        <f aca="false">IF(B384="","",ROW()-6)</f>
        <v>378</v>
      </c>
      <c r="B384" s="145" t="n">
        <v>2078580</v>
      </c>
      <c r="C384" s="146" t="n">
        <v>15421101</v>
      </c>
      <c r="D384" s="146"/>
      <c r="E384" s="82" t="str">
        <f aca="false">IF(B384="","",IF(COUNTIFS('CARNET DE SOUDURE'!$L$7:$L$3006,B384,'CARNET DE SOUDURE'!$M$7:$M$3006,"&lt;&gt;"&amp;C384,'CARNET DE SOUDURE'!$M$7:$M$3006,"&lt;&gt;")+COUNTIFS('CARNET DE SOUDURE'!$O$7:$O$3006,B384,'CARNET DE SOUDURE'!$P$7:$P$3006,"&lt;&gt;"&amp;C384,'CARNET DE SOUDURE'!$P$7:$P$3006,"&lt;&gt;")&gt;0,"⚠ DIFFÉRENTE","OK"))</f>
        <v>OK</v>
      </c>
      <c r="F384" s="147" t="n">
        <v>11.94</v>
      </c>
      <c r="G384" s="80"/>
      <c r="H384" s="83"/>
      <c r="I384" s="148" t="str">
        <f aca="false">IF(B384="","",IFERROR(INDEX('CARNET DE SOUDURE'!$B$7:$B$3006,MATCH(B384,'CARNET DE SOUDURE'!$L$7:$L$3006,0)),IFERROR(INDEX('CARNET DE SOUDURE'!$B$7:$B$3006,MATCH(B384,'CARNET DE SOUDURE'!$O$7:$O$3006,0)),"")))</f>
        <v>MFD-ISW → MFD-CPF</v>
      </c>
      <c r="J384" s="82" t="str">
        <f aca="false">IF(B384="","",IFERROR(INDEX('CARNET DE SOUDURE'!$E$7:$E$3006,MATCH(B384,'CARNET DE SOUDURE'!$O$7:$O$3006,0)),""))</f>
        <v>JN°1041</v>
      </c>
      <c r="K384" s="82" t="str">
        <f aca="false">IF(B384="","",IFERROR(INDEX('CARNET DE SOUDURE'!$E$7:$E$3006,MATCH(B384,'CARNET DE SOUDURE'!$L$7:$L$3006,0)),""))</f>
        <v>DJ°338</v>
      </c>
      <c r="L384" s="82" t="n">
        <f aca="false">IF(B384="","",IFERROR(INDEX('CARNET DE SOUDURE'!$D$7:$D$3006,MATCH(B384,'CARNET DE SOUDURE'!$L$7:$L$3006,0)),IFERROR(INDEX('CARNET DE SOUDURE'!$D$7:$D$3006,MATCH(B384,'CARNET DE SOUDURE'!$O$7:$O$3006,0)),"")))</f>
        <v>9</v>
      </c>
      <c r="M384" s="82" t="str">
        <f aca="false">IF(B384="","",IF(OR(J384&lt;&gt;"",K384&lt;&gt;""),"POSÉ EN LIGNE",IF(COUNTIF(BARDAGE!$C$1:$C$5000,B384)&gt;0,"BARDÉ","EN STOCK")))</f>
        <v>POSÉ EN LIGNE</v>
      </c>
      <c r="N384" s="80"/>
    </row>
    <row r="385" customFormat="false" ht="15" hidden="false" customHeight="false" outlineLevel="0" collapsed="false">
      <c r="A385" s="82" t="n">
        <f aca="false">IF(B385="","",ROW()-6)</f>
        <v>379</v>
      </c>
      <c r="B385" s="145" t="n">
        <v>2087350</v>
      </c>
      <c r="C385" s="146" t="n">
        <v>15421102</v>
      </c>
      <c r="D385" s="146"/>
      <c r="E385" s="82" t="str">
        <f aca="false">IF(B385="","",IF(COUNTIFS('CARNET DE SOUDURE'!$L$7:$L$3006,B385,'CARNET DE SOUDURE'!$M$7:$M$3006,"&lt;&gt;"&amp;C385,'CARNET DE SOUDURE'!$M$7:$M$3006,"&lt;&gt;")+COUNTIFS('CARNET DE SOUDURE'!$O$7:$O$3006,B385,'CARNET DE SOUDURE'!$P$7:$P$3006,"&lt;&gt;"&amp;C385,'CARNET DE SOUDURE'!$P$7:$P$3006,"&lt;&gt;")&gt;0,"⚠ DIFFÉRENTE","OK"))</f>
        <v>OK</v>
      </c>
      <c r="F385" s="147" t="n">
        <v>11.94</v>
      </c>
      <c r="G385" s="80"/>
      <c r="H385" s="83"/>
      <c r="I385" s="148" t="str">
        <f aca="false">IF(B385="","",IFERROR(INDEX('CARNET DE SOUDURE'!$B$7:$B$3006,MATCH(B385,'CARNET DE SOUDURE'!$L$7:$L$3006,0)),IFERROR(INDEX('CARNET DE SOUDURE'!$B$7:$B$3006,MATCH(B385,'CARNET DE SOUDURE'!$O$7:$O$3006,0)),"")))</f>
        <v>MFD-ISW → MFD-CPF</v>
      </c>
      <c r="J385" s="82" t="str">
        <f aca="false">IF(B385="","",IFERROR(INDEX('CARNET DE SOUDURE'!$E$7:$E$3006,MATCH(B385,'CARNET DE SOUDURE'!$O$7:$O$3006,0)),""))</f>
        <v>DJ°338</v>
      </c>
      <c r="K385" s="82" t="str">
        <f aca="false">IF(B385="","",IFERROR(INDEX('CARNET DE SOUDURE'!$E$7:$E$3006,MATCH(B385,'CARNET DE SOUDURE'!$L$7:$L$3006,0)),""))</f>
        <v>JN°1042</v>
      </c>
      <c r="L385" s="82" t="n">
        <f aca="false">IF(B385="","",IFERROR(INDEX('CARNET DE SOUDURE'!$D$7:$D$3006,MATCH(B385,'CARNET DE SOUDURE'!$L$7:$L$3006,0)),IFERROR(INDEX('CARNET DE SOUDURE'!$D$7:$D$3006,MATCH(B385,'CARNET DE SOUDURE'!$O$7:$O$3006,0)),"")))</f>
        <v>9</v>
      </c>
      <c r="M385" s="82" t="str">
        <f aca="false">IF(B385="","",IF(OR(J385&lt;&gt;"",K385&lt;&gt;""),"POSÉ EN LIGNE",IF(COUNTIF(BARDAGE!$C$1:$C$5000,B385)&gt;0,"BARDÉ","EN STOCK")))</f>
        <v>POSÉ EN LIGNE</v>
      </c>
      <c r="N385" s="80"/>
    </row>
    <row r="386" customFormat="false" ht="15" hidden="false" customHeight="false" outlineLevel="0" collapsed="false">
      <c r="A386" s="82" t="n">
        <f aca="false">IF(B386="","",ROW()-6)</f>
        <v>380</v>
      </c>
      <c r="B386" s="145" t="n">
        <v>2079840</v>
      </c>
      <c r="C386" s="146" t="n">
        <v>15421102</v>
      </c>
      <c r="D386" s="146"/>
      <c r="E386" s="82" t="str">
        <f aca="false">IF(B386="","",IF(COUNTIFS('CARNET DE SOUDURE'!$L$7:$L$3006,B386,'CARNET DE SOUDURE'!$M$7:$M$3006,"&lt;&gt;"&amp;C386,'CARNET DE SOUDURE'!$M$7:$M$3006,"&lt;&gt;")+COUNTIFS('CARNET DE SOUDURE'!$O$7:$O$3006,B386,'CARNET DE SOUDURE'!$P$7:$P$3006,"&lt;&gt;"&amp;C386,'CARNET DE SOUDURE'!$P$7:$P$3006,"&lt;&gt;")&gt;0,"⚠ DIFFÉRENTE","OK"))</f>
        <v>OK</v>
      </c>
      <c r="F386" s="147" t="n">
        <v>11.94</v>
      </c>
      <c r="G386" s="80"/>
      <c r="H386" s="83"/>
      <c r="I386" s="148" t="str">
        <f aca="false">IF(B386="","",IFERROR(INDEX('CARNET DE SOUDURE'!$B$7:$B$3006,MATCH(B386,'CARNET DE SOUDURE'!$L$7:$L$3006,0)),IFERROR(INDEX('CARNET DE SOUDURE'!$B$7:$B$3006,MATCH(B386,'CARNET DE SOUDURE'!$O$7:$O$3006,0)),"")))</f>
        <v>MFD-ISW → MFD-CPF</v>
      </c>
      <c r="J386" s="82" t="str">
        <f aca="false">IF(B386="","",IFERROR(INDEX('CARNET DE SOUDURE'!$E$7:$E$3006,MATCH(B386,'CARNET DE SOUDURE'!$O$7:$O$3006,0)),""))</f>
        <v>JN°1042</v>
      </c>
      <c r="K386" s="82" t="str">
        <f aca="false">IF(B386="","",IFERROR(INDEX('CARNET DE SOUDURE'!$E$7:$E$3006,MATCH(B386,'CARNET DE SOUDURE'!$L$7:$L$3006,0)),""))</f>
        <v>DJ°336</v>
      </c>
      <c r="L386" s="82" t="n">
        <f aca="false">IF(B386="","",IFERROR(INDEX('CARNET DE SOUDURE'!$D$7:$D$3006,MATCH(B386,'CARNET DE SOUDURE'!$L$7:$L$3006,0)),IFERROR(INDEX('CARNET DE SOUDURE'!$D$7:$D$3006,MATCH(B386,'CARNET DE SOUDURE'!$O$7:$O$3006,0)),"")))</f>
        <v>9</v>
      </c>
      <c r="M386" s="82" t="str">
        <f aca="false">IF(B386="","",IF(OR(J386&lt;&gt;"",K386&lt;&gt;""),"POSÉ EN LIGNE",IF(COUNTIF(BARDAGE!$C$1:$C$5000,B386)&gt;0,"BARDÉ","EN STOCK")))</f>
        <v>POSÉ EN LIGNE</v>
      </c>
      <c r="N386" s="80"/>
    </row>
    <row r="387" customFormat="false" ht="15" hidden="false" customHeight="false" outlineLevel="0" collapsed="false">
      <c r="A387" s="82" t="n">
        <f aca="false">IF(B387="","",ROW()-6)</f>
        <v>381</v>
      </c>
      <c r="B387" s="145" t="n">
        <v>2079830</v>
      </c>
      <c r="C387" s="146" t="n">
        <v>15421102</v>
      </c>
      <c r="D387" s="146"/>
      <c r="E387" s="82" t="str">
        <f aca="false">IF(B387="","",IF(COUNTIFS('CARNET DE SOUDURE'!$L$7:$L$3006,B387,'CARNET DE SOUDURE'!$M$7:$M$3006,"&lt;&gt;"&amp;C387,'CARNET DE SOUDURE'!$M$7:$M$3006,"&lt;&gt;")+COUNTIFS('CARNET DE SOUDURE'!$O$7:$O$3006,B387,'CARNET DE SOUDURE'!$P$7:$P$3006,"&lt;&gt;"&amp;C387,'CARNET DE SOUDURE'!$P$7:$P$3006,"&lt;&gt;")&gt;0,"⚠ DIFFÉRENTE","OK"))</f>
        <v>OK</v>
      </c>
      <c r="F387" s="147" t="n">
        <v>11.94</v>
      </c>
      <c r="G387" s="80"/>
      <c r="H387" s="83"/>
      <c r="I387" s="148" t="str">
        <f aca="false">IF(B387="","",IFERROR(INDEX('CARNET DE SOUDURE'!$B$7:$B$3006,MATCH(B387,'CARNET DE SOUDURE'!$L$7:$L$3006,0)),IFERROR(INDEX('CARNET DE SOUDURE'!$B$7:$B$3006,MATCH(B387,'CARNET DE SOUDURE'!$O$7:$O$3006,0)),"")))</f>
        <v>MFD-ISW → MFD-CPF</v>
      </c>
      <c r="J387" s="82" t="str">
        <f aca="false">IF(B387="","",IFERROR(INDEX('CARNET DE SOUDURE'!$E$7:$E$3006,MATCH(B387,'CARNET DE SOUDURE'!$O$7:$O$3006,0)),""))</f>
        <v>DJ°336</v>
      </c>
      <c r="K387" s="82" t="str">
        <f aca="false">IF(B387="","",IFERROR(INDEX('CARNET DE SOUDURE'!$E$7:$E$3006,MATCH(B387,'CARNET DE SOUDURE'!$L$7:$L$3006,0)),""))</f>
        <v>JN°1043</v>
      </c>
      <c r="L387" s="82" t="n">
        <f aca="false">IF(B387="","",IFERROR(INDEX('CARNET DE SOUDURE'!$D$7:$D$3006,MATCH(B387,'CARNET DE SOUDURE'!$L$7:$L$3006,0)),IFERROR(INDEX('CARNET DE SOUDURE'!$D$7:$D$3006,MATCH(B387,'CARNET DE SOUDURE'!$O$7:$O$3006,0)),"")))</f>
        <v>9</v>
      </c>
      <c r="M387" s="82" t="str">
        <f aca="false">IF(B387="","",IF(OR(J387&lt;&gt;"",K387&lt;&gt;""),"POSÉ EN LIGNE",IF(COUNTIF(BARDAGE!$C$1:$C$5000,B387)&gt;0,"BARDÉ","EN STOCK")))</f>
        <v>POSÉ EN LIGNE</v>
      </c>
      <c r="N387" s="80"/>
    </row>
    <row r="388" customFormat="false" ht="15" hidden="false" customHeight="false" outlineLevel="0" collapsed="false">
      <c r="A388" s="82" t="n">
        <f aca="false">IF(B388="","",ROW()-6)</f>
        <v>382</v>
      </c>
      <c r="B388" s="145" t="n">
        <v>2086670</v>
      </c>
      <c r="C388" s="146" t="n">
        <v>15421107</v>
      </c>
      <c r="D388" s="146"/>
      <c r="E388" s="82" t="str">
        <f aca="false">IF(B388="","",IF(COUNTIFS('CARNET DE SOUDURE'!$L$7:$L$3006,B388,'CARNET DE SOUDURE'!$M$7:$M$3006,"&lt;&gt;"&amp;C388,'CARNET DE SOUDURE'!$M$7:$M$3006,"&lt;&gt;")+COUNTIFS('CARNET DE SOUDURE'!$O$7:$O$3006,B388,'CARNET DE SOUDURE'!$P$7:$P$3006,"&lt;&gt;"&amp;C388,'CARNET DE SOUDURE'!$P$7:$P$3006,"&lt;&gt;")&gt;0,"⚠ DIFFÉRENTE","OK"))</f>
        <v>OK</v>
      </c>
      <c r="F388" s="147" t="n">
        <v>11.94</v>
      </c>
      <c r="G388" s="80"/>
      <c r="H388" s="83"/>
      <c r="I388" s="148" t="str">
        <f aca="false">IF(B388="","",IFERROR(INDEX('CARNET DE SOUDURE'!$B$7:$B$3006,MATCH(B388,'CARNET DE SOUDURE'!$L$7:$L$3006,0)),IFERROR(INDEX('CARNET DE SOUDURE'!$B$7:$B$3006,MATCH(B388,'CARNET DE SOUDURE'!$O$7:$O$3006,0)),"")))</f>
        <v>MFD-ISW → MFD-CPF</v>
      </c>
      <c r="J388" s="82" t="str">
        <f aca="false">IF(B388="","",IFERROR(INDEX('CARNET DE SOUDURE'!$E$7:$E$3006,MATCH(B388,'CARNET DE SOUDURE'!$O$7:$O$3006,0)),""))</f>
        <v>JN°1043</v>
      </c>
      <c r="K388" s="82" t="str">
        <f aca="false">IF(B388="","",IFERROR(INDEX('CARNET DE SOUDURE'!$E$7:$E$3006,MATCH(B388,'CARNET DE SOUDURE'!$L$7:$L$3006,0)),""))</f>
        <v>DJ°337</v>
      </c>
      <c r="L388" s="82" t="n">
        <f aca="false">IF(B388="","",IFERROR(INDEX('CARNET DE SOUDURE'!$D$7:$D$3006,MATCH(B388,'CARNET DE SOUDURE'!$L$7:$L$3006,0)),IFERROR(INDEX('CARNET DE SOUDURE'!$D$7:$D$3006,MATCH(B388,'CARNET DE SOUDURE'!$O$7:$O$3006,0)),"")))</f>
        <v>9</v>
      </c>
      <c r="M388" s="82" t="str">
        <f aca="false">IF(B388="","",IF(OR(J388&lt;&gt;"",K388&lt;&gt;""),"POSÉ EN LIGNE",IF(COUNTIF(BARDAGE!$C$1:$C$5000,B388)&gt;0,"BARDÉ","EN STOCK")))</f>
        <v>POSÉ EN LIGNE</v>
      </c>
      <c r="N388" s="80"/>
    </row>
    <row r="389" customFormat="false" ht="15" hidden="false" customHeight="false" outlineLevel="0" collapsed="false">
      <c r="A389" s="82" t="n">
        <f aca="false">IF(B389="","",ROW()-6)</f>
        <v>383</v>
      </c>
      <c r="B389" s="145" t="n">
        <v>2092180</v>
      </c>
      <c r="C389" s="146" t="n">
        <v>15421110</v>
      </c>
      <c r="D389" s="146"/>
      <c r="E389" s="82" t="str">
        <f aca="false">IF(B389="","",IF(COUNTIFS('CARNET DE SOUDURE'!$L$7:$L$3006,B389,'CARNET DE SOUDURE'!$M$7:$M$3006,"&lt;&gt;"&amp;C389,'CARNET DE SOUDURE'!$M$7:$M$3006,"&lt;&gt;")+COUNTIFS('CARNET DE SOUDURE'!$O$7:$O$3006,B389,'CARNET DE SOUDURE'!$P$7:$P$3006,"&lt;&gt;"&amp;C389,'CARNET DE SOUDURE'!$P$7:$P$3006,"&lt;&gt;")&gt;0,"⚠ DIFFÉRENTE","OK"))</f>
        <v>OK</v>
      </c>
      <c r="F389" s="147" t="n">
        <v>11.94</v>
      </c>
      <c r="G389" s="80"/>
      <c r="H389" s="83"/>
      <c r="I389" s="148" t="str">
        <f aca="false">IF(B389="","",IFERROR(INDEX('CARNET DE SOUDURE'!$B$7:$B$3006,MATCH(B389,'CARNET DE SOUDURE'!$L$7:$L$3006,0)),IFERROR(INDEX('CARNET DE SOUDURE'!$B$7:$B$3006,MATCH(B389,'CARNET DE SOUDURE'!$O$7:$O$3006,0)),"")))</f>
        <v>MFD-ISW → MFD-CPF</v>
      </c>
      <c r="J389" s="82" t="str">
        <f aca="false">IF(B389="","",IFERROR(INDEX('CARNET DE SOUDURE'!$E$7:$E$3006,MATCH(B389,'CARNET DE SOUDURE'!$O$7:$O$3006,0)),""))</f>
        <v>DJ°337</v>
      </c>
      <c r="K389" s="82" t="str">
        <f aca="false">IF(B389="","",IFERROR(INDEX('CARNET DE SOUDURE'!$E$7:$E$3006,MATCH(B389,'CARNET DE SOUDURE'!$L$7:$L$3006,0)),""))</f>
        <v>JN°1044</v>
      </c>
      <c r="L389" s="82" t="n">
        <f aca="false">IF(B389="","",IFERROR(INDEX('CARNET DE SOUDURE'!$D$7:$D$3006,MATCH(B389,'CARNET DE SOUDURE'!$L$7:$L$3006,0)),IFERROR(INDEX('CARNET DE SOUDURE'!$D$7:$D$3006,MATCH(B389,'CARNET DE SOUDURE'!$O$7:$O$3006,0)),"")))</f>
        <v>9</v>
      </c>
      <c r="M389" s="82" t="str">
        <f aca="false">IF(B389="","",IF(OR(J389&lt;&gt;"",K389&lt;&gt;""),"POSÉ EN LIGNE",IF(COUNTIF(BARDAGE!$C$1:$C$5000,B389)&gt;0,"BARDÉ","EN STOCK")))</f>
        <v>POSÉ EN LIGNE</v>
      </c>
      <c r="N389" s="80"/>
    </row>
    <row r="390" customFormat="false" ht="15" hidden="false" customHeight="false" outlineLevel="0" collapsed="false">
      <c r="A390" s="82" t="n">
        <f aca="false">IF(B390="","",ROW()-6)</f>
        <v>384</v>
      </c>
      <c r="B390" s="145" t="n">
        <v>2086870</v>
      </c>
      <c r="C390" s="146" t="n">
        <v>15421107</v>
      </c>
      <c r="D390" s="146"/>
      <c r="E390" s="82" t="str">
        <f aca="false">IF(B390="","",IF(COUNTIFS('CARNET DE SOUDURE'!$L$7:$L$3006,B390,'CARNET DE SOUDURE'!$M$7:$M$3006,"&lt;&gt;"&amp;C390,'CARNET DE SOUDURE'!$M$7:$M$3006,"&lt;&gt;")+COUNTIFS('CARNET DE SOUDURE'!$O$7:$O$3006,B390,'CARNET DE SOUDURE'!$P$7:$P$3006,"&lt;&gt;"&amp;C390,'CARNET DE SOUDURE'!$P$7:$P$3006,"&lt;&gt;")&gt;0,"⚠ DIFFÉRENTE","OK"))</f>
        <v>OK</v>
      </c>
      <c r="F390" s="147" t="n">
        <v>11.94</v>
      </c>
      <c r="G390" s="80"/>
      <c r="H390" s="83"/>
      <c r="I390" s="148" t="str">
        <f aca="false">IF(B390="","",IFERROR(INDEX('CARNET DE SOUDURE'!$B$7:$B$3006,MATCH(B390,'CARNET DE SOUDURE'!$L$7:$L$3006,0)),IFERROR(INDEX('CARNET DE SOUDURE'!$B$7:$B$3006,MATCH(B390,'CARNET DE SOUDURE'!$O$7:$O$3006,0)),"")))</f>
        <v>MFD-ISW → MFD-CPF</v>
      </c>
      <c r="J390" s="82" t="str">
        <f aca="false">IF(B390="","",IFERROR(INDEX('CARNET DE SOUDURE'!$E$7:$E$3006,MATCH(B390,'CARNET DE SOUDURE'!$O$7:$O$3006,0)),""))</f>
        <v>JN°1044</v>
      </c>
      <c r="K390" s="82" t="str">
        <f aca="false">IF(B390="","",IFERROR(INDEX('CARNET DE SOUDURE'!$E$7:$E$3006,MATCH(B390,'CARNET DE SOUDURE'!$L$7:$L$3006,0)),""))</f>
        <v>DJ°344</v>
      </c>
      <c r="L390" s="82" t="n">
        <f aca="false">IF(B390="","",IFERROR(INDEX('CARNET DE SOUDURE'!$D$7:$D$3006,MATCH(B390,'CARNET DE SOUDURE'!$L$7:$L$3006,0)),IFERROR(INDEX('CARNET DE SOUDURE'!$D$7:$D$3006,MATCH(B390,'CARNET DE SOUDURE'!$O$7:$O$3006,0)),"")))</f>
        <v>9</v>
      </c>
      <c r="M390" s="82" t="str">
        <f aca="false">IF(B390="","",IF(OR(J390&lt;&gt;"",K390&lt;&gt;""),"POSÉ EN LIGNE",IF(COUNTIF(BARDAGE!$C$1:$C$5000,B390)&gt;0,"BARDÉ","EN STOCK")))</f>
        <v>POSÉ EN LIGNE</v>
      </c>
      <c r="N390" s="80"/>
    </row>
    <row r="391" customFormat="false" ht="15" hidden="false" customHeight="false" outlineLevel="0" collapsed="false">
      <c r="A391" s="82" t="n">
        <f aca="false">IF(B391="","",ROW()-6)</f>
        <v>385</v>
      </c>
      <c r="B391" s="145" t="n">
        <v>2096400</v>
      </c>
      <c r="C391" s="146" t="n">
        <v>15421111</v>
      </c>
      <c r="D391" s="146"/>
      <c r="E391" s="82" t="str">
        <f aca="false">IF(B391="","",IF(COUNTIFS('CARNET DE SOUDURE'!$L$7:$L$3006,B391,'CARNET DE SOUDURE'!$M$7:$M$3006,"&lt;&gt;"&amp;C391,'CARNET DE SOUDURE'!$M$7:$M$3006,"&lt;&gt;")+COUNTIFS('CARNET DE SOUDURE'!$O$7:$O$3006,B391,'CARNET DE SOUDURE'!$P$7:$P$3006,"&lt;&gt;"&amp;C391,'CARNET DE SOUDURE'!$P$7:$P$3006,"&lt;&gt;")&gt;0,"⚠ DIFFÉRENTE","OK"))</f>
        <v>OK</v>
      </c>
      <c r="F391" s="147" t="n">
        <v>11.94</v>
      </c>
      <c r="G391" s="80"/>
      <c r="H391" s="83"/>
      <c r="I391" s="148" t="str">
        <f aca="false">IF(B391="","",IFERROR(INDEX('CARNET DE SOUDURE'!$B$7:$B$3006,MATCH(B391,'CARNET DE SOUDURE'!$L$7:$L$3006,0)),IFERROR(INDEX('CARNET DE SOUDURE'!$B$7:$B$3006,MATCH(B391,'CARNET DE SOUDURE'!$O$7:$O$3006,0)),"")))</f>
        <v>MFD-ISW → MFD-CPF</v>
      </c>
      <c r="J391" s="82" t="str">
        <f aca="false">IF(B391="","",IFERROR(INDEX('CARNET DE SOUDURE'!$E$7:$E$3006,MATCH(B391,'CARNET DE SOUDURE'!$O$7:$O$3006,0)),""))</f>
        <v>DJ°344</v>
      </c>
      <c r="K391" s="82" t="str">
        <f aca="false">IF(B391="","",IFERROR(INDEX('CARNET DE SOUDURE'!$E$7:$E$3006,MATCH(B391,'CARNET DE SOUDURE'!$L$7:$L$3006,0)),""))</f>
        <v>JN°1045</v>
      </c>
      <c r="L391" s="82" t="n">
        <f aca="false">IF(B391="","",IFERROR(INDEX('CARNET DE SOUDURE'!$D$7:$D$3006,MATCH(B391,'CARNET DE SOUDURE'!$L$7:$L$3006,0)),IFERROR(INDEX('CARNET DE SOUDURE'!$D$7:$D$3006,MATCH(B391,'CARNET DE SOUDURE'!$O$7:$O$3006,0)),"")))</f>
        <v>9</v>
      </c>
      <c r="M391" s="82" t="str">
        <f aca="false">IF(B391="","",IF(OR(J391&lt;&gt;"",K391&lt;&gt;""),"POSÉ EN LIGNE",IF(COUNTIF(BARDAGE!$C$1:$C$5000,B391)&gt;0,"BARDÉ","EN STOCK")))</f>
        <v>POSÉ EN LIGNE</v>
      </c>
      <c r="N391" s="80"/>
    </row>
    <row r="392" customFormat="false" ht="15" hidden="false" customHeight="false" outlineLevel="0" collapsed="false">
      <c r="A392" s="82" t="n">
        <f aca="false">IF(B392="","",ROW()-6)</f>
        <v>386</v>
      </c>
      <c r="B392" s="145" t="n">
        <v>2083600</v>
      </c>
      <c r="C392" s="146" t="n">
        <v>15421105</v>
      </c>
      <c r="D392" s="146"/>
      <c r="E392" s="82" t="str">
        <f aca="false">IF(B392="","",IF(COUNTIFS('CARNET DE SOUDURE'!$L$7:$L$3006,B392,'CARNET DE SOUDURE'!$M$7:$M$3006,"&lt;&gt;"&amp;C392,'CARNET DE SOUDURE'!$M$7:$M$3006,"&lt;&gt;")+COUNTIFS('CARNET DE SOUDURE'!$O$7:$O$3006,B392,'CARNET DE SOUDURE'!$P$7:$P$3006,"&lt;&gt;"&amp;C392,'CARNET DE SOUDURE'!$P$7:$P$3006,"&lt;&gt;")&gt;0,"⚠ DIFFÉRENTE","OK"))</f>
        <v>OK</v>
      </c>
      <c r="F392" s="147" t="n">
        <v>11.94</v>
      </c>
      <c r="G392" s="80"/>
      <c r="H392" s="83"/>
      <c r="I392" s="148" t="str">
        <f aca="false">IF(B392="","",IFERROR(INDEX('CARNET DE SOUDURE'!$B$7:$B$3006,MATCH(B392,'CARNET DE SOUDURE'!$L$7:$L$3006,0)),IFERROR(INDEX('CARNET DE SOUDURE'!$B$7:$B$3006,MATCH(B392,'CARNET DE SOUDURE'!$O$7:$O$3006,0)),"")))</f>
        <v>MFD-ISW → MFD-CPF</v>
      </c>
      <c r="J392" s="82" t="str">
        <f aca="false">IF(B392="","",IFERROR(INDEX('CARNET DE SOUDURE'!$E$7:$E$3006,MATCH(B392,'CARNET DE SOUDURE'!$O$7:$O$3006,0)),""))</f>
        <v>JN°1057</v>
      </c>
      <c r="K392" s="82" t="str">
        <f aca="false">IF(B392="","",IFERROR(INDEX('CARNET DE SOUDURE'!$E$7:$E$3006,MATCH(B392,'CARNET DE SOUDURE'!$L$7:$L$3006,0)),""))</f>
        <v>DJ°342</v>
      </c>
      <c r="L392" s="82" t="n">
        <f aca="false">IF(B392="","",IFERROR(INDEX('CARNET DE SOUDURE'!$D$7:$D$3006,MATCH(B392,'CARNET DE SOUDURE'!$L$7:$L$3006,0)),IFERROR(INDEX('CARNET DE SOUDURE'!$D$7:$D$3006,MATCH(B392,'CARNET DE SOUDURE'!$O$7:$O$3006,0)),"")))</f>
        <v>9</v>
      </c>
      <c r="M392" s="82" t="str">
        <f aca="false">IF(B392="","",IF(OR(J392&lt;&gt;"",K392&lt;&gt;""),"POSÉ EN LIGNE",IF(COUNTIF(BARDAGE!$C$1:$C$5000,B392)&gt;0,"BARDÉ","EN STOCK")))</f>
        <v>POSÉ EN LIGNE</v>
      </c>
      <c r="N392" s="80"/>
    </row>
    <row r="393" customFormat="false" ht="15" hidden="false" customHeight="false" outlineLevel="0" collapsed="false">
      <c r="A393" s="82" t="n">
        <f aca="false">IF(B393="","",ROW()-6)</f>
        <v>387</v>
      </c>
      <c r="B393" s="145" t="n">
        <v>2088420</v>
      </c>
      <c r="C393" s="146" t="n">
        <v>15421108</v>
      </c>
      <c r="D393" s="146"/>
      <c r="E393" s="82" t="str">
        <f aca="false">IF(B393="","",IF(COUNTIFS('CARNET DE SOUDURE'!$L$7:$L$3006,B393,'CARNET DE SOUDURE'!$M$7:$M$3006,"&lt;&gt;"&amp;C393,'CARNET DE SOUDURE'!$M$7:$M$3006,"&lt;&gt;")+COUNTIFS('CARNET DE SOUDURE'!$O$7:$O$3006,B393,'CARNET DE SOUDURE'!$P$7:$P$3006,"&lt;&gt;"&amp;C393,'CARNET DE SOUDURE'!$P$7:$P$3006,"&lt;&gt;")&gt;0,"⚠ DIFFÉRENTE","OK"))</f>
        <v>OK</v>
      </c>
      <c r="F393" s="147" t="n">
        <v>11.94</v>
      </c>
      <c r="G393" s="80"/>
      <c r="H393" s="83"/>
      <c r="I393" s="148" t="str">
        <f aca="false">IF(B393="","",IFERROR(INDEX('CARNET DE SOUDURE'!$B$7:$B$3006,MATCH(B393,'CARNET DE SOUDURE'!$L$7:$L$3006,0)),IFERROR(INDEX('CARNET DE SOUDURE'!$B$7:$B$3006,MATCH(B393,'CARNET DE SOUDURE'!$O$7:$O$3006,0)),"")))</f>
        <v>MFD-ISW → MFD-CPF</v>
      </c>
      <c r="J393" s="82" t="str">
        <f aca="false">IF(B393="","",IFERROR(INDEX('CARNET DE SOUDURE'!$E$7:$E$3006,MATCH(B393,'CARNET DE SOUDURE'!$O$7:$O$3006,0)),""))</f>
        <v>DJ°342</v>
      </c>
      <c r="K393" s="82" t="str">
        <f aca="false">IF(B393="","",IFERROR(INDEX('CARNET DE SOUDURE'!$E$7:$E$3006,MATCH(B393,'CARNET DE SOUDURE'!$L$7:$L$3006,0)),""))</f>
        <v>JN°1058</v>
      </c>
      <c r="L393" s="82" t="n">
        <f aca="false">IF(B393="","",IFERROR(INDEX('CARNET DE SOUDURE'!$D$7:$D$3006,MATCH(B393,'CARNET DE SOUDURE'!$L$7:$L$3006,0)),IFERROR(INDEX('CARNET DE SOUDURE'!$D$7:$D$3006,MATCH(B393,'CARNET DE SOUDURE'!$O$7:$O$3006,0)),"")))</f>
        <v>9</v>
      </c>
      <c r="M393" s="82" t="str">
        <f aca="false">IF(B393="","",IF(OR(J393&lt;&gt;"",K393&lt;&gt;""),"POSÉ EN LIGNE",IF(COUNTIF(BARDAGE!$C$1:$C$5000,B393)&gt;0,"BARDÉ","EN STOCK")))</f>
        <v>POSÉ EN LIGNE</v>
      </c>
      <c r="N393" s="80"/>
    </row>
    <row r="394" customFormat="false" ht="15" hidden="false" customHeight="false" outlineLevel="0" collapsed="false">
      <c r="A394" s="82" t="n">
        <f aca="false">IF(B394="","",ROW()-6)</f>
        <v>388</v>
      </c>
      <c r="B394" s="145" t="n">
        <v>2087260</v>
      </c>
      <c r="C394" s="146" t="n">
        <v>15421107</v>
      </c>
      <c r="D394" s="146"/>
      <c r="E394" s="82" t="str">
        <f aca="false">IF(B394="","",IF(COUNTIFS('CARNET DE SOUDURE'!$L$7:$L$3006,B394,'CARNET DE SOUDURE'!$M$7:$M$3006,"&lt;&gt;"&amp;C394,'CARNET DE SOUDURE'!$M$7:$M$3006,"&lt;&gt;")+COUNTIFS('CARNET DE SOUDURE'!$O$7:$O$3006,B394,'CARNET DE SOUDURE'!$P$7:$P$3006,"&lt;&gt;"&amp;C394,'CARNET DE SOUDURE'!$P$7:$P$3006,"&lt;&gt;")&gt;0,"⚠ DIFFÉRENTE","OK"))</f>
        <v>OK</v>
      </c>
      <c r="F394" s="147" t="n">
        <v>11.94</v>
      </c>
      <c r="G394" s="80"/>
      <c r="H394" s="83"/>
      <c r="I394" s="148" t="str">
        <f aca="false">IF(B394="","",IFERROR(INDEX('CARNET DE SOUDURE'!$B$7:$B$3006,MATCH(B394,'CARNET DE SOUDURE'!$L$7:$L$3006,0)),IFERROR(INDEX('CARNET DE SOUDURE'!$B$7:$B$3006,MATCH(B394,'CARNET DE SOUDURE'!$O$7:$O$3006,0)),"")))</f>
        <v>MFD-ISW → MFD-CPF</v>
      </c>
      <c r="J394" s="82" t="str">
        <f aca="false">IF(B394="","",IFERROR(INDEX('CARNET DE SOUDURE'!$E$7:$E$3006,MATCH(B394,'CARNET DE SOUDURE'!$O$7:$O$3006,0)),""))</f>
        <v>JN°1058</v>
      </c>
      <c r="K394" s="82" t="str">
        <f aca="false">IF(B394="","",IFERROR(INDEX('CARNET DE SOUDURE'!$E$7:$E$3006,MATCH(B394,'CARNET DE SOUDURE'!$L$7:$L$3006,0)),""))</f>
        <v>DJ°329</v>
      </c>
      <c r="L394" s="82" t="n">
        <f aca="false">IF(B394="","",IFERROR(INDEX('CARNET DE SOUDURE'!$D$7:$D$3006,MATCH(B394,'CARNET DE SOUDURE'!$L$7:$L$3006,0)),IFERROR(INDEX('CARNET DE SOUDURE'!$D$7:$D$3006,MATCH(B394,'CARNET DE SOUDURE'!$O$7:$O$3006,0)),"")))</f>
        <v>9</v>
      </c>
      <c r="M394" s="82" t="str">
        <f aca="false">IF(B394="","",IF(OR(J394&lt;&gt;"",K394&lt;&gt;""),"POSÉ EN LIGNE",IF(COUNTIF(BARDAGE!$C$1:$C$5000,B394)&gt;0,"BARDÉ","EN STOCK")))</f>
        <v>POSÉ EN LIGNE</v>
      </c>
      <c r="N394" s="80"/>
    </row>
    <row r="395" customFormat="false" ht="15" hidden="false" customHeight="false" outlineLevel="0" collapsed="false">
      <c r="A395" s="82" t="n">
        <f aca="false">IF(B395="","",ROW()-6)</f>
        <v>389</v>
      </c>
      <c r="B395" s="145" t="n">
        <v>2097260</v>
      </c>
      <c r="C395" s="146" t="n">
        <v>15421112</v>
      </c>
      <c r="D395" s="146"/>
      <c r="E395" s="82" t="str">
        <f aca="false">IF(B395="","",IF(COUNTIFS('CARNET DE SOUDURE'!$L$7:$L$3006,B395,'CARNET DE SOUDURE'!$M$7:$M$3006,"&lt;&gt;"&amp;C395,'CARNET DE SOUDURE'!$M$7:$M$3006,"&lt;&gt;")+COUNTIFS('CARNET DE SOUDURE'!$O$7:$O$3006,B395,'CARNET DE SOUDURE'!$P$7:$P$3006,"&lt;&gt;"&amp;C395,'CARNET DE SOUDURE'!$P$7:$P$3006,"&lt;&gt;")&gt;0,"⚠ DIFFÉRENTE","OK"))</f>
        <v>OK</v>
      </c>
      <c r="F395" s="147" t="n">
        <v>11.94</v>
      </c>
      <c r="G395" s="80"/>
      <c r="H395" s="83"/>
      <c r="I395" s="148" t="str">
        <f aca="false">IF(B395="","",IFERROR(INDEX('CARNET DE SOUDURE'!$B$7:$B$3006,MATCH(B395,'CARNET DE SOUDURE'!$L$7:$L$3006,0)),IFERROR(INDEX('CARNET DE SOUDURE'!$B$7:$B$3006,MATCH(B395,'CARNET DE SOUDURE'!$O$7:$O$3006,0)),"")))</f>
        <v>MFD-ISW → MFD-CPF</v>
      </c>
      <c r="J395" s="82" t="str">
        <f aca="false">IF(B395="","",IFERROR(INDEX('CARNET DE SOUDURE'!$E$7:$E$3006,MATCH(B395,'CARNET DE SOUDURE'!$O$7:$O$3006,0)),""))</f>
        <v>DJ°329</v>
      </c>
      <c r="K395" s="82" t="str">
        <f aca="false">IF(B395="","",IFERROR(INDEX('CARNET DE SOUDURE'!$E$7:$E$3006,MATCH(B395,'CARNET DE SOUDURE'!$L$7:$L$3006,0)),""))</f>
        <v>JN°1059</v>
      </c>
      <c r="L395" s="82" t="n">
        <f aca="false">IF(B395="","",IFERROR(INDEX('CARNET DE SOUDURE'!$D$7:$D$3006,MATCH(B395,'CARNET DE SOUDURE'!$L$7:$L$3006,0)),IFERROR(INDEX('CARNET DE SOUDURE'!$D$7:$D$3006,MATCH(B395,'CARNET DE SOUDURE'!$O$7:$O$3006,0)),"")))</f>
        <v>9</v>
      </c>
      <c r="M395" s="82" t="str">
        <f aca="false">IF(B395="","",IF(OR(J395&lt;&gt;"",K395&lt;&gt;""),"POSÉ EN LIGNE",IF(COUNTIF(BARDAGE!$C$1:$C$5000,B395)&gt;0,"BARDÉ","EN STOCK")))</f>
        <v>POSÉ EN LIGNE</v>
      </c>
      <c r="N395" s="80"/>
    </row>
    <row r="396" customFormat="false" ht="15" hidden="false" customHeight="false" outlineLevel="0" collapsed="false">
      <c r="A396" s="82" t="n">
        <f aca="false">IF(B396="","",ROW()-6)</f>
        <v>390</v>
      </c>
      <c r="B396" s="145" t="n">
        <v>2080490</v>
      </c>
      <c r="C396" s="146" t="n">
        <v>15421102</v>
      </c>
      <c r="D396" s="146"/>
      <c r="E396" s="82" t="str">
        <f aca="false">IF(B396="","",IF(COUNTIFS('CARNET DE SOUDURE'!$L$7:$L$3006,B396,'CARNET DE SOUDURE'!$M$7:$M$3006,"&lt;&gt;"&amp;C396,'CARNET DE SOUDURE'!$M$7:$M$3006,"&lt;&gt;")+COUNTIFS('CARNET DE SOUDURE'!$O$7:$O$3006,B396,'CARNET DE SOUDURE'!$P$7:$P$3006,"&lt;&gt;"&amp;C396,'CARNET DE SOUDURE'!$P$7:$P$3006,"&lt;&gt;")&gt;0,"⚠ DIFFÉRENTE","OK"))</f>
        <v>OK</v>
      </c>
      <c r="F396" s="147" t="n">
        <v>11.94</v>
      </c>
      <c r="G396" s="80"/>
      <c r="H396" s="83"/>
      <c r="I396" s="148" t="str">
        <f aca="false">IF(B396="","",IFERROR(INDEX('CARNET DE SOUDURE'!$B$7:$B$3006,MATCH(B396,'CARNET DE SOUDURE'!$L$7:$L$3006,0)),IFERROR(INDEX('CARNET DE SOUDURE'!$B$7:$B$3006,MATCH(B396,'CARNET DE SOUDURE'!$O$7:$O$3006,0)),"")))</f>
        <v>MFD-ISW → MFD-CPF</v>
      </c>
      <c r="J396" s="82" t="str">
        <f aca="false">IF(B396="","",IFERROR(INDEX('CARNET DE SOUDURE'!$E$7:$E$3006,MATCH(B396,'CARNET DE SOUDURE'!$O$7:$O$3006,0)),""))</f>
        <v>JN°1059</v>
      </c>
      <c r="K396" s="82" t="str">
        <f aca="false">IF(B396="","",IFERROR(INDEX('CARNET DE SOUDURE'!$E$7:$E$3006,MATCH(B396,'CARNET DE SOUDURE'!$L$7:$L$3006,0)),""))</f>
        <v>DJ°330</v>
      </c>
      <c r="L396" s="82" t="n">
        <f aca="false">IF(B396="","",IFERROR(INDEX('CARNET DE SOUDURE'!$D$7:$D$3006,MATCH(B396,'CARNET DE SOUDURE'!$L$7:$L$3006,0)),IFERROR(INDEX('CARNET DE SOUDURE'!$D$7:$D$3006,MATCH(B396,'CARNET DE SOUDURE'!$O$7:$O$3006,0)),"")))</f>
        <v>9</v>
      </c>
      <c r="M396" s="82" t="str">
        <f aca="false">IF(B396="","",IF(OR(J396&lt;&gt;"",K396&lt;&gt;""),"POSÉ EN LIGNE",IF(COUNTIF(BARDAGE!$C$1:$C$5000,B396)&gt;0,"BARDÉ","EN STOCK")))</f>
        <v>POSÉ EN LIGNE</v>
      </c>
      <c r="N396" s="80"/>
    </row>
    <row r="397" customFormat="false" ht="15" hidden="false" customHeight="false" outlineLevel="0" collapsed="false">
      <c r="A397" s="82" t="n">
        <f aca="false">IF(B397="","",ROW()-6)</f>
        <v>391</v>
      </c>
      <c r="B397" s="145" t="n">
        <v>2082380</v>
      </c>
      <c r="C397" s="146" t="n">
        <v>15421101</v>
      </c>
      <c r="D397" s="146"/>
      <c r="E397" s="82" t="str">
        <f aca="false">IF(B397="","",IF(COUNTIFS('CARNET DE SOUDURE'!$L$7:$L$3006,B397,'CARNET DE SOUDURE'!$M$7:$M$3006,"&lt;&gt;"&amp;C397,'CARNET DE SOUDURE'!$M$7:$M$3006,"&lt;&gt;")+COUNTIFS('CARNET DE SOUDURE'!$O$7:$O$3006,B397,'CARNET DE SOUDURE'!$P$7:$P$3006,"&lt;&gt;"&amp;C397,'CARNET DE SOUDURE'!$P$7:$P$3006,"&lt;&gt;")&gt;0,"⚠ DIFFÉRENTE","OK"))</f>
        <v>OK</v>
      </c>
      <c r="F397" s="147" t="n">
        <v>11.94</v>
      </c>
      <c r="G397" s="80"/>
      <c r="H397" s="83"/>
      <c r="I397" s="148" t="str">
        <f aca="false">IF(B397="","",IFERROR(INDEX('CARNET DE SOUDURE'!$B$7:$B$3006,MATCH(B397,'CARNET DE SOUDURE'!$L$7:$L$3006,0)),IFERROR(INDEX('CARNET DE SOUDURE'!$B$7:$B$3006,MATCH(B397,'CARNET DE SOUDURE'!$O$7:$O$3006,0)),"")))</f>
        <v>MFD-ISW → MFD-CPF</v>
      </c>
      <c r="J397" s="82" t="str">
        <f aca="false">IF(B397="","",IFERROR(INDEX('CARNET DE SOUDURE'!$E$7:$E$3006,MATCH(B397,'CARNET DE SOUDURE'!$O$7:$O$3006,0)),""))</f>
        <v>DJ°330</v>
      </c>
      <c r="K397" s="82" t="str">
        <f aca="false">IF(B397="","",IFERROR(INDEX('CARNET DE SOUDURE'!$E$7:$E$3006,MATCH(B397,'CARNET DE SOUDURE'!$L$7:$L$3006,0)),""))</f>
        <v>JN°1060</v>
      </c>
      <c r="L397" s="82" t="n">
        <f aca="false">IF(B397="","",IFERROR(INDEX('CARNET DE SOUDURE'!$D$7:$D$3006,MATCH(B397,'CARNET DE SOUDURE'!$L$7:$L$3006,0)),IFERROR(INDEX('CARNET DE SOUDURE'!$D$7:$D$3006,MATCH(B397,'CARNET DE SOUDURE'!$O$7:$O$3006,0)),"")))</f>
        <v>9</v>
      </c>
      <c r="M397" s="82" t="str">
        <f aca="false">IF(B397="","",IF(OR(J397&lt;&gt;"",K397&lt;&gt;""),"POSÉ EN LIGNE",IF(COUNTIF(BARDAGE!$C$1:$C$5000,B397)&gt;0,"BARDÉ","EN STOCK")))</f>
        <v>POSÉ EN LIGNE</v>
      </c>
      <c r="N397" s="80"/>
    </row>
    <row r="398" customFormat="false" ht="15" hidden="false" customHeight="false" outlineLevel="0" collapsed="false">
      <c r="A398" s="82" t="n">
        <f aca="false">IF(B398="","",ROW()-6)</f>
        <v>392</v>
      </c>
      <c r="B398" s="145" t="n">
        <v>2087650</v>
      </c>
      <c r="C398" s="146" t="n">
        <v>15421108</v>
      </c>
      <c r="D398" s="146"/>
      <c r="E398" s="82" t="str">
        <f aca="false">IF(B398="","",IF(COUNTIFS('CARNET DE SOUDURE'!$L$7:$L$3006,B398,'CARNET DE SOUDURE'!$M$7:$M$3006,"&lt;&gt;"&amp;C398,'CARNET DE SOUDURE'!$M$7:$M$3006,"&lt;&gt;")+COUNTIFS('CARNET DE SOUDURE'!$O$7:$O$3006,B398,'CARNET DE SOUDURE'!$P$7:$P$3006,"&lt;&gt;"&amp;C398,'CARNET DE SOUDURE'!$P$7:$P$3006,"&lt;&gt;")&gt;0,"⚠ DIFFÉRENTE","OK"))</f>
        <v>OK</v>
      </c>
      <c r="F398" s="147" t="n">
        <v>11.94</v>
      </c>
      <c r="G398" s="80"/>
      <c r="H398" s="83"/>
      <c r="I398" s="148" t="str">
        <f aca="false">IF(B398="","",IFERROR(INDEX('CARNET DE SOUDURE'!$B$7:$B$3006,MATCH(B398,'CARNET DE SOUDURE'!$L$7:$L$3006,0)),IFERROR(INDEX('CARNET DE SOUDURE'!$B$7:$B$3006,MATCH(B398,'CARNET DE SOUDURE'!$O$7:$O$3006,0)),"")))</f>
        <v>MFD-ISW → MFD-CPF</v>
      </c>
      <c r="J398" s="82" t="str">
        <f aca="false">IF(B398="","",IFERROR(INDEX('CARNET DE SOUDURE'!$E$7:$E$3006,MATCH(B398,'CARNET DE SOUDURE'!$O$7:$O$3006,0)),""))</f>
        <v>JN°1060</v>
      </c>
      <c r="K398" s="82" t="str">
        <f aca="false">IF(B398="","",IFERROR(INDEX('CARNET DE SOUDURE'!$E$7:$E$3006,MATCH(B398,'CARNET DE SOUDURE'!$L$7:$L$3006,0)),""))</f>
        <v>DJ°328</v>
      </c>
      <c r="L398" s="82" t="n">
        <f aca="false">IF(B398="","",IFERROR(INDEX('CARNET DE SOUDURE'!$D$7:$D$3006,MATCH(B398,'CARNET DE SOUDURE'!$L$7:$L$3006,0)),IFERROR(INDEX('CARNET DE SOUDURE'!$D$7:$D$3006,MATCH(B398,'CARNET DE SOUDURE'!$O$7:$O$3006,0)),"")))</f>
        <v>10</v>
      </c>
      <c r="M398" s="82" t="str">
        <f aca="false">IF(B398="","",IF(OR(J398&lt;&gt;"",K398&lt;&gt;""),"POSÉ EN LIGNE",IF(COUNTIF(BARDAGE!$C$1:$C$5000,B398)&gt;0,"BARDÉ","EN STOCK")))</f>
        <v>POSÉ EN LIGNE</v>
      </c>
      <c r="N398" s="80"/>
    </row>
    <row r="399" customFormat="false" ht="15" hidden="false" customHeight="false" outlineLevel="0" collapsed="false">
      <c r="A399" s="82" t="n">
        <f aca="false">IF(B399="","",ROW()-6)</f>
        <v>393</v>
      </c>
      <c r="B399" s="145" t="n">
        <v>2084500</v>
      </c>
      <c r="C399" s="146" t="n">
        <v>15421106</v>
      </c>
      <c r="D399" s="146"/>
      <c r="E399" s="82" t="str">
        <f aca="false">IF(B399="","",IF(COUNTIFS('CARNET DE SOUDURE'!$L$7:$L$3006,B399,'CARNET DE SOUDURE'!$M$7:$M$3006,"&lt;&gt;"&amp;C399,'CARNET DE SOUDURE'!$M$7:$M$3006,"&lt;&gt;")+COUNTIFS('CARNET DE SOUDURE'!$O$7:$O$3006,B399,'CARNET DE SOUDURE'!$P$7:$P$3006,"&lt;&gt;"&amp;C399,'CARNET DE SOUDURE'!$P$7:$P$3006,"&lt;&gt;")&gt;0,"⚠ DIFFÉRENTE","OK"))</f>
        <v>OK</v>
      </c>
      <c r="F399" s="147" t="n">
        <v>11.94</v>
      </c>
      <c r="G399" s="80"/>
      <c r="H399" s="83"/>
      <c r="I399" s="148" t="str">
        <f aca="false">IF(B399="","",IFERROR(INDEX('CARNET DE SOUDURE'!$B$7:$B$3006,MATCH(B399,'CARNET DE SOUDURE'!$L$7:$L$3006,0)),IFERROR(INDEX('CARNET DE SOUDURE'!$B$7:$B$3006,MATCH(B399,'CARNET DE SOUDURE'!$O$7:$O$3006,0)),"")))</f>
        <v>MFD-ISW → MFD-CPF</v>
      </c>
      <c r="J399" s="82" t="str">
        <f aca="false">IF(B399="","",IFERROR(INDEX('CARNET DE SOUDURE'!$E$7:$E$3006,MATCH(B399,'CARNET DE SOUDURE'!$O$7:$O$3006,0)),""))</f>
        <v>DJ°328</v>
      </c>
      <c r="K399" s="82" t="str">
        <f aca="false">IF(B399="","",IFERROR(INDEX('CARNET DE SOUDURE'!$E$7:$E$3006,MATCH(B399,'CARNET DE SOUDURE'!$L$7:$L$3006,0)),""))</f>
        <v>JN°1061</v>
      </c>
      <c r="L399" s="82" t="n">
        <f aca="false">IF(B399="","",IFERROR(INDEX('CARNET DE SOUDURE'!$D$7:$D$3006,MATCH(B399,'CARNET DE SOUDURE'!$L$7:$L$3006,0)),IFERROR(INDEX('CARNET DE SOUDURE'!$D$7:$D$3006,MATCH(B399,'CARNET DE SOUDURE'!$O$7:$O$3006,0)),"")))</f>
        <v>10</v>
      </c>
      <c r="M399" s="82" t="str">
        <f aca="false">IF(B399="","",IF(OR(J399&lt;&gt;"",K399&lt;&gt;""),"POSÉ EN LIGNE",IF(COUNTIF(BARDAGE!$C$1:$C$5000,B399)&gt;0,"BARDÉ","EN STOCK")))</f>
        <v>POSÉ EN LIGNE</v>
      </c>
      <c r="N399" s="80"/>
    </row>
    <row r="400" customFormat="false" ht="15" hidden="false" customHeight="false" outlineLevel="0" collapsed="false">
      <c r="A400" s="82" t="n">
        <f aca="false">IF(B400="","",ROW()-6)</f>
        <v>394</v>
      </c>
      <c r="B400" s="145" t="n">
        <v>2082560</v>
      </c>
      <c r="C400" s="146" t="n">
        <v>15421104</v>
      </c>
      <c r="D400" s="146"/>
      <c r="E400" s="82" t="str">
        <f aca="false">IF(B400="","",IF(COUNTIFS('CARNET DE SOUDURE'!$L$7:$L$3006,B400,'CARNET DE SOUDURE'!$M$7:$M$3006,"&lt;&gt;"&amp;C400,'CARNET DE SOUDURE'!$M$7:$M$3006,"&lt;&gt;")+COUNTIFS('CARNET DE SOUDURE'!$O$7:$O$3006,B400,'CARNET DE SOUDURE'!$P$7:$P$3006,"&lt;&gt;"&amp;C400,'CARNET DE SOUDURE'!$P$7:$P$3006,"&lt;&gt;")&gt;0,"⚠ DIFFÉRENTE","OK"))</f>
        <v>OK</v>
      </c>
      <c r="F400" s="147" t="n">
        <v>11.94</v>
      </c>
      <c r="G400" s="80"/>
      <c r="H400" s="83"/>
      <c r="I400" s="148" t="str">
        <f aca="false">IF(B400="","",IFERROR(INDEX('CARNET DE SOUDURE'!$B$7:$B$3006,MATCH(B400,'CARNET DE SOUDURE'!$L$7:$L$3006,0)),IFERROR(INDEX('CARNET DE SOUDURE'!$B$7:$B$3006,MATCH(B400,'CARNET DE SOUDURE'!$O$7:$O$3006,0)),"")))</f>
        <v>MFD-ISW → MFD-CPF</v>
      </c>
      <c r="J400" s="82" t="str">
        <f aca="false">IF(B400="","",IFERROR(INDEX('CARNET DE SOUDURE'!$E$7:$E$3006,MATCH(B400,'CARNET DE SOUDURE'!$O$7:$O$3006,0)),""))</f>
        <v>JN°1061</v>
      </c>
      <c r="K400" s="82" t="str">
        <f aca="false">IF(B400="","",IFERROR(INDEX('CARNET DE SOUDURE'!$E$7:$E$3006,MATCH(B400,'CARNET DE SOUDURE'!$L$7:$L$3006,0)),""))</f>
        <v>DJ°331</v>
      </c>
      <c r="L400" s="82" t="n">
        <f aca="false">IF(B400="","",IFERROR(INDEX('CARNET DE SOUDURE'!$D$7:$D$3006,MATCH(B400,'CARNET DE SOUDURE'!$L$7:$L$3006,0)),IFERROR(INDEX('CARNET DE SOUDURE'!$D$7:$D$3006,MATCH(B400,'CARNET DE SOUDURE'!$O$7:$O$3006,0)),"")))</f>
        <v>10</v>
      </c>
      <c r="M400" s="82" t="str">
        <f aca="false">IF(B400="","",IF(OR(J400&lt;&gt;"",K400&lt;&gt;""),"POSÉ EN LIGNE",IF(COUNTIF(BARDAGE!$C$1:$C$5000,B400)&gt;0,"BARDÉ","EN STOCK")))</f>
        <v>POSÉ EN LIGNE</v>
      </c>
      <c r="N400" s="80"/>
    </row>
    <row r="401" customFormat="false" ht="15" hidden="false" customHeight="false" outlineLevel="0" collapsed="false">
      <c r="A401" s="82" t="n">
        <f aca="false">IF(B401="","",ROW()-6)</f>
        <v>395</v>
      </c>
      <c r="B401" s="145" t="n">
        <v>2095820</v>
      </c>
      <c r="C401" s="146" t="n">
        <v>15421101</v>
      </c>
      <c r="D401" s="146"/>
      <c r="E401" s="82" t="str">
        <f aca="false">IF(B401="","",IF(COUNTIFS('CARNET DE SOUDURE'!$L$7:$L$3006,B401,'CARNET DE SOUDURE'!$M$7:$M$3006,"&lt;&gt;"&amp;C401,'CARNET DE SOUDURE'!$M$7:$M$3006,"&lt;&gt;")+COUNTIFS('CARNET DE SOUDURE'!$O$7:$O$3006,B401,'CARNET DE SOUDURE'!$P$7:$P$3006,"&lt;&gt;"&amp;C401,'CARNET DE SOUDURE'!$P$7:$P$3006,"&lt;&gt;")&gt;0,"⚠ DIFFÉRENTE","OK"))</f>
        <v>OK</v>
      </c>
      <c r="F401" s="147" t="n">
        <v>11.94</v>
      </c>
      <c r="G401" s="80"/>
      <c r="H401" s="83"/>
      <c r="I401" s="148" t="str">
        <f aca="false">IF(B401="","",IFERROR(INDEX('CARNET DE SOUDURE'!$B$7:$B$3006,MATCH(B401,'CARNET DE SOUDURE'!$L$7:$L$3006,0)),IFERROR(INDEX('CARNET DE SOUDURE'!$B$7:$B$3006,MATCH(B401,'CARNET DE SOUDURE'!$O$7:$O$3006,0)),"")))</f>
        <v>MFD-ISW → MFD-CPF</v>
      </c>
      <c r="J401" s="82" t="str">
        <f aca="false">IF(B401="","",IFERROR(INDEX('CARNET DE SOUDURE'!$E$7:$E$3006,MATCH(B401,'CARNET DE SOUDURE'!$O$7:$O$3006,0)),""))</f>
        <v>DJ°331</v>
      </c>
      <c r="K401" s="82" t="str">
        <f aca="false">IF(B401="","",IFERROR(INDEX('CARNET DE SOUDURE'!$E$7:$E$3006,MATCH(B401,'CARNET DE SOUDURE'!$L$7:$L$3006,0)),""))</f>
        <v>JN°1062</v>
      </c>
      <c r="L401" s="82" t="n">
        <f aca="false">IF(B401="","",IFERROR(INDEX('CARNET DE SOUDURE'!$D$7:$D$3006,MATCH(B401,'CARNET DE SOUDURE'!$L$7:$L$3006,0)),IFERROR(INDEX('CARNET DE SOUDURE'!$D$7:$D$3006,MATCH(B401,'CARNET DE SOUDURE'!$O$7:$O$3006,0)),"")))</f>
        <v>10</v>
      </c>
      <c r="M401" s="82" t="str">
        <f aca="false">IF(B401="","",IF(OR(J401&lt;&gt;"",K401&lt;&gt;""),"POSÉ EN LIGNE",IF(COUNTIF(BARDAGE!$C$1:$C$5000,B401)&gt;0,"BARDÉ","EN STOCK")))</f>
        <v>POSÉ EN LIGNE</v>
      </c>
      <c r="N401" s="80"/>
    </row>
    <row r="402" customFormat="false" ht="15" hidden="false" customHeight="false" outlineLevel="0" collapsed="false">
      <c r="A402" s="82" t="n">
        <f aca="false">IF(B402="","",ROW()-6)</f>
        <v>396</v>
      </c>
      <c r="B402" s="145" t="n">
        <v>2086590</v>
      </c>
      <c r="C402" s="146" t="n">
        <v>15421107</v>
      </c>
      <c r="D402" s="146"/>
      <c r="E402" s="82" t="str">
        <f aca="false">IF(B402="","",IF(COUNTIFS('CARNET DE SOUDURE'!$L$7:$L$3006,B402,'CARNET DE SOUDURE'!$M$7:$M$3006,"&lt;&gt;"&amp;C402,'CARNET DE SOUDURE'!$M$7:$M$3006,"&lt;&gt;")+COUNTIFS('CARNET DE SOUDURE'!$O$7:$O$3006,B402,'CARNET DE SOUDURE'!$P$7:$P$3006,"&lt;&gt;"&amp;C402,'CARNET DE SOUDURE'!$P$7:$P$3006,"&lt;&gt;")&gt;0,"⚠ DIFFÉRENTE","OK"))</f>
        <v>OK</v>
      </c>
      <c r="F402" s="147" t="n">
        <v>11.94</v>
      </c>
      <c r="G402" s="80"/>
      <c r="H402" s="83"/>
      <c r="I402" s="148" t="str">
        <f aca="false">IF(B402="","",IFERROR(INDEX('CARNET DE SOUDURE'!$B$7:$B$3006,MATCH(B402,'CARNET DE SOUDURE'!$L$7:$L$3006,0)),IFERROR(INDEX('CARNET DE SOUDURE'!$B$7:$B$3006,MATCH(B402,'CARNET DE SOUDURE'!$O$7:$O$3006,0)),"")))</f>
        <v>MFD-ISW → MFD-CPF</v>
      </c>
      <c r="J402" s="82" t="str">
        <f aca="false">IF(B402="","",IFERROR(INDEX('CARNET DE SOUDURE'!$E$7:$E$3006,MATCH(B402,'CARNET DE SOUDURE'!$O$7:$O$3006,0)),""))</f>
        <v>JN°1062</v>
      </c>
      <c r="K402" s="82" t="str">
        <f aca="false">IF(B402="","",IFERROR(INDEX('CARNET DE SOUDURE'!$E$7:$E$3006,MATCH(B402,'CARNET DE SOUDURE'!$L$7:$L$3006,0)),""))</f>
        <v>DJ°327</v>
      </c>
      <c r="L402" s="82" t="n">
        <f aca="false">IF(B402="","",IFERROR(INDEX('CARNET DE SOUDURE'!$D$7:$D$3006,MATCH(B402,'CARNET DE SOUDURE'!$L$7:$L$3006,0)),IFERROR(INDEX('CARNET DE SOUDURE'!$D$7:$D$3006,MATCH(B402,'CARNET DE SOUDURE'!$O$7:$O$3006,0)),"")))</f>
        <v>10</v>
      </c>
      <c r="M402" s="82" t="str">
        <f aca="false">IF(B402="","",IF(OR(J402&lt;&gt;"",K402&lt;&gt;""),"POSÉ EN LIGNE",IF(COUNTIF(BARDAGE!$C$1:$C$5000,B402)&gt;0,"BARDÉ","EN STOCK")))</f>
        <v>POSÉ EN LIGNE</v>
      </c>
      <c r="N402" s="80"/>
    </row>
    <row r="403" customFormat="false" ht="15" hidden="false" customHeight="false" outlineLevel="0" collapsed="false">
      <c r="A403" s="82" t="n">
        <f aca="false">IF(B403="","",ROW()-6)</f>
        <v>397</v>
      </c>
      <c r="B403" s="145" t="n">
        <v>2080260</v>
      </c>
      <c r="C403" s="146" t="n">
        <v>15421101</v>
      </c>
      <c r="D403" s="146"/>
      <c r="E403" s="82" t="str">
        <f aca="false">IF(B403="","",IF(COUNTIFS('CARNET DE SOUDURE'!$L$7:$L$3006,B403,'CARNET DE SOUDURE'!$M$7:$M$3006,"&lt;&gt;"&amp;C403,'CARNET DE SOUDURE'!$M$7:$M$3006,"&lt;&gt;")+COUNTIFS('CARNET DE SOUDURE'!$O$7:$O$3006,B403,'CARNET DE SOUDURE'!$P$7:$P$3006,"&lt;&gt;"&amp;C403,'CARNET DE SOUDURE'!$P$7:$P$3006,"&lt;&gt;")&gt;0,"⚠ DIFFÉRENTE","OK"))</f>
        <v>OK</v>
      </c>
      <c r="F403" s="147" t="n">
        <v>11.94</v>
      </c>
      <c r="G403" s="80"/>
      <c r="H403" s="83"/>
      <c r="I403" s="148" t="str">
        <f aca="false">IF(B403="","",IFERROR(INDEX('CARNET DE SOUDURE'!$B$7:$B$3006,MATCH(B403,'CARNET DE SOUDURE'!$L$7:$L$3006,0)),IFERROR(INDEX('CARNET DE SOUDURE'!$B$7:$B$3006,MATCH(B403,'CARNET DE SOUDURE'!$O$7:$O$3006,0)),"")))</f>
        <v>MFD-ISW → MFD-CPF</v>
      </c>
      <c r="J403" s="82" t="str">
        <f aca="false">IF(B403="","",IFERROR(INDEX('CARNET DE SOUDURE'!$E$7:$E$3006,MATCH(B403,'CARNET DE SOUDURE'!$O$7:$O$3006,0)),""))</f>
        <v>DJ°327</v>
      </c>
      <c r="K403" s="82" t="str">
        <f aca="false">IF(B403="","",IFERROR(INDEX('CARNET DE SOUDURE'!$E$7:$E$3006,MATCH(B403,'CARNET DE SOUDURE'!$L$7:$L$3006,0)),""))</f>
        <v>JN°1063</v>
      </c>
      <c r="L403" s="82" t="n">
        <f aca="false">IF(B403="","",IFERROR(INDEX('CARNET DE SOUDURE'!$D$7:$D$3006,MATCH(B403,'CARNET DE SOUDURE'!$L$7:$L$3006,0)),IFERROR(INDEX('CARNET DE SOUDURE'!$D$7:$D$3006,MATCH(B403,'CARNET DE SOUDURE'!$O$7:$O$3006,0)),"")))</f>
        <v>10</v>
      </c>
      <c r="M403" s="82" t="str">
        <f aca="false">IF(B403="","",IF(OR(J403&lt;&gt;"",K403&lt;&gt;""),"POSÉ EN LIGNE",IF(COUNTIF(BARDAGE!$C$1:$C$5000,B403)&gt;0,"BARDÉ","EN STOCK")))</f>
        <v>POSÉ EN LIGNE</v>
      </c>
      <c r="N403" s="80"/>
    </row>
    <row r="404" customFormat="false" ht="15" hidden="false" customHeight="false" outlineLevel="0" collapsed="false">
      <c r="A404" s="82" t="n">
        <f aca="false">IF(B404="","",ROW()-6)</f>
        <v>398</v>
      </c>
      <c r="B404" s="145" t="n">
        <v>2086910</v>
      </c>
      <c r="C404" s="146" t="n">
        <v>15421101</v>
      </c>
      <c r="D404" s="146"/>
      <c r="E404" s="82" t="str">
        <f aca="false">IF(B404="","",IF(COUNTIFS('CARNET DE SOUDURE'!$L$7:$L$3006,B404,'CARNET DE SOUDURE'!$M$7:$M$3006,"&lt;&gt;"&amp;C404,'CARNET DE SOUDURE'!$M$7:$M$3006,"&lt;&gt;")+COUNTIFS('CARNET DE SOUDURE'!$O$7:$O$3006,B404,'CARNET DE SOUDURE'!$P$7:$P$3006,"&lt;&gt;"&amp;C404,'CARNET DE SOUDURE'!$P$7:$P$3006,"&lt;&gt;")&gt;0,"⚠ DIFFÉRENTE","OK"))</f>
        <v>OK</v>
      </c>
      <c r="F404" s="147" t="n">
        <v>11.94</v>
      </c>
      <c r="G404" s="80"/>
      <c r="H404" s="83"/>
      <c r="I404" s="148" t="str">
        <f aca="false">IF(B404="","",IFERROR(INDEX('CARNET DE SOUDURE'!$B$7:$B$3006,MATCH(B404,'CARNET DE SOUDURE'!$L$7:$L$3006,0)),IFERROR(INDEX('CARNET DE SOUDURE'!$B$7:$B$3006,MATCH(B404,'CARNET DE SOUDURE'!$O$7:$O$3006,0)),"")))</f>
        <v>MFD-ISW → MFD-CPF</v>
      </c>
      <c r="J404" s="82" t="str">
        <f aca="false">IF(B404="","",IFERROR(INDEX('CARNET DE SOUDURE'!$E$7:$E$3006,MATCH(B404,'CARNET DE SOUDURE'!$O$7:$O$3006,0)),""))</f>
        <v>JN°1063</v>
      </c>
      <c r="K404" s="82" t="str">
        <f aca="false">IF(B404="","",IFERROR(INDEX('CARNET DE SOUDURE'!$E$7:$E$3006,MATCH(B404,'CARNET DE SOUDURE'!$L$7:$L$3006,0)),""))</f>
        <v>DJ°334</v>
      </c>
      <c r="L404" s="82" t="n">
        <f aca="false">IF(B404="","",IFERROR(INDEX('CARNET DE SOUDURE'!$D$7:$D$3006,MATCH(B404,'CARNET DE SOUDURE'!$L$7:$L$3006,0)),IFERROR(INDEX('CARNET DE SOUDURE'!$D$7:$D$3006,MATCH(B404,'CARNET DE SOUDURE'!$O$7:$O$3006,0)),"")))</f>
        <v>10</v>
      </c>
      <c r="M404" s="82" t="str">
        <f aca="false">IF(B404="","",IF(OR(J404&lt;&gt;"",K404&lt;&gt;""),"POSÉ EN LIGNE",IF(COUNTIF(BARDAGE!$C$1:$C$5000,B404)&gt;0,"BARDÉ","EN STOCK")))</f>
        <v>POSÉ EN LIGNE</v>
      </c>
      <c r="N404" s="80"/>
    </row>
    <row r="405" customFormat="false" ht="15" hidden="false" customHeight="false" outlineLevel="0" collapsed="false">
      <c r="A405" s="82" t="n">
        <f aca="false">IF(B405="","",ROW()-6)</f>
        <v>399</v>
      </c>
      <c r="B405" s="145" t="n">
        <v>2094050</v>
      </c>
      <c r="C405" s="146" t="n">
        <v>15421110</v>
      </c>
      <c r="D405" s="146"/>
      <c r="E405" s="82" t="str">
        <f aca="false">IF(B405="","",IF(COUNTIFS('CARNET DE SOUDURE'!$L$7:$L$3006,B405,'CARNET DE SOUDURE'!$M$7:$M$3006,"&lt;&gt;"&amp;C405,'CARNET DE SOUDURE'!$M$7:$M$3006,"&lt;&gt;")+COUNTIFS('CARNET DE SOUDURE'!$O$7:$O$3006,B405,'CARNET DE SOUDURE'!$P$7:$P$3006,"&lt;&gt;"&amp;C405,'CARNET DE SOUDURE'!$P$7:$P$3006,"&lt;&gt;")&gt;0,"⚠ DIFFÉRENTE","OK"))</f>
        <v>OK</v>
      </c>
      <c r="F405" s="147" t="n">
        <v>11.94</v>
      </c>
      <c r="G405" s="80"/>
      <c r="H405" s="83"/>
      <c r="I405" s="148" t="str">
        <f aca="false">IF(B405="","",IFERROR(INDEX('CARNET DE SOUDURE'!$B$7:$B$3006,MATCH(B405,'CARNET DE SOUDURE'!$L$7:$L$3006,0)),IFERROR(INDEX('CARNET DE SOUDURE'!$B$7:$B$3006,MATCH(B405,'CARNET DE SOUDURE'!$O$7:$O$3006,0)),"")))</f>
        <v>MFD-ISW → MFD-CPF</v>
      </c>
      <c r="J405" s="82" t="str">
        <f aca="false">IF(B405="","",IFERROR(INDEX('CARNET DE SOUDURE'!$E$7:$E$3006,MATCH(B405,'CARNET DE SOUDURE'!$O$7:$O$3006,0)),""))</f>
        <v>DJ°334</v>
      </c>
      <c r="K405" s="82" t="str">
        <f aca="false">IF(B405="","",IFERROR(INDEX('CARNET DE SOUDURE'!$E$7:$E$3006,MATCH(B405,'CARNET DE SOUDURE'!$L$7:$L$3006,0)),""))</f>
        <v>JN°1064</v>
      </c>
      <c r="L405" s="82" t="n">
        <f aca="false">IF(B405="","",IFERROR(INDEX('CARNET DE SOUDURE'!$D$7:$D$3006,MATCH(B405,'CARNET DE SOUDURE'!$L$7:$L$3006,0)),IFERROR(INDEX('CARNET DE SOUDURE'!$D$7:$D$3006,MATCH(B405,'CARNET DE SOUDURE'!$O$7:$O$3006,0)),"")))</f>
        <v>10</v>
      </c>
      <c r="M405" s="82" t="str">
        <f aca="false">IF(B405="","",IF(OR(J405&lt;&gt;"",K405&lt;&gt;""),"POSÉ EN LIGNE",IF(COUNTIF(BARDAGE!$C$1:$C$5000,B405)&gt;0,"BARDÉ","EN STOCK")))</f>
        <v>POSÉ EN LIGNE</v>
      </c>
      <c r="N405" s="80"/>
    </row>
    <row r="406" customFormat="false" ht="15" hidden="false" customHeight="false" outlineLevel="0" collapsed="false">
      <c r="A406" s="82" t="n">
        <f aca="false">IF(B406="","",ROW()-6)</f>
        <v>400</v>
      </c>
      <c r="B406" s="145" t="n">
        <v>2086460</v>
      </c>
      <c r="C406" s="146" t="n">
        <v>15421107</v>
      </c>
      <c r="D406" s="146"/>
      <c r="E406" s="82" t="str">
        <f aca="false">IF(B406="","",IF(COUNTIFS('CARNET DE SOUDURE'!$L$7:$L$3006,B406,'CARNET DE SOUDURE'!$M$7:$M$3006,"&lt;&gt;"&amp;C406,'CARNET DE SOUDURE'!$M$7:$M$3006,"&lt;&gt;")+COUNTIFS('CARNET DE SOUDURE'!$O$7:$O$3006,B406,'CARNET DE SOUDURE'!$P$7:$P$3006,"&lt;&gt;"&amp;C406,'CARNET DE SOUDURE'!$P$7:$P$3006,"&lt;&gt;")&gt;0,"⚠ DIFFÉRENTE","OK"))</f>
        <v>OK</v>
      </c>
      <c r="F406" s="147" t="n">
        <v>11.94</v>
      </c>
      <c r="G406" s="80"/>
      <c r="H406" s="83"/>
      <c r="I406" s="148" t="str">
        <f aca="false">IF(B406="","",IFERROR(INDEX('CARNET DE SOUDURE'!$B$7:$B$3006,MATCH(B406,'CARNET DE SOUDURE'!$L$7:$L$3006,0)),IFERROR(INDEX('CARNET DE SOUDURE'!$B$7:$B$3006,MATCH(B406,'CARNET DE SOUDURE'!$O$7:$O$3006,0)),"")))</f>
        <v>MFD-ISW → MFD-CPF</v>
      </c>
      <c r="J406" s="82" t="str">
        <f aca="false">IF(B406="","",IFERROR(INDEX('CARNET DE SOUDURE'!$E$7:$E$3006,MATCH(B406,'CARNET DE SOUDURE'!$O$7:$O$3006,0)),""))</f>
        <v>JN°1064</v>
      </c>
      <c r="K406" s="82" t="str">
        <f aca="false">IF(B406="","",IFERROR(INDEX('CARNET DE SOUDURE'!$E$7:$E$3006,MATCH(B406,'CARNET DE SOUDURE'!$L$7:$L$3006,0)),""))</f>
        <v>DJ°332</v>
      </c>
      <c r="L406" s="82" t="n">
        <f aca="false">IF(B406="","",IFERROR(INDEX('CARNET DE SOUDURE'!$D$7:$D$3006,MATCH(B406,'CARNET DE SOUDURE'!$L$7:$L$3006,0)),IFERROR(INDEX('CARNET DE SOUDURE'!$D$7:$D$3006,MATCH(B406,'CARNET DE SOUDURE'!$O$7:$O$3006,0)),"")))</f>
        <v>10</v>
      </c>
      <c r="M406" s="82" t="str">
        <f aca="false">IF(B406="","",IF(OR(J406&lt;&gt;"",K406&lt;&gt;""),"POSÉ EN LIGNE",IF(COUNTIF(BARDAGE!$C$1:$C$5000,B406)&gt;0,"BARDÉ","EN STOCK")))</f>
        <v>POSÉ EN LIGNE</v>
      </c>
      <c r="N406" s="80"/>
    </row>
    <row r="407" customFormat="false" ht="15" hidden="false" customHeight="false" outlineLevel="0" collapsed="false">
      <c r="A407" s="82" t="n">
        <f aca="false">IF(B407="","",ROW()-6)</f>
        <v>401</v>
      </c>
      <c r="B407" s="145" t="n">
        <v>2093910</v>
      </c>
      <c r="C407" s="146" t="n">
        <v>15421110</v>
      </c>
      <c r="D407" s="146"/>
      <c r="E407" s="82" t="str">
        <f aca="false">IF(B407="","",IF(COUNTIFS('CARNET DE SOUDURE'!$L$7:$L$3006,B407,'CARNET DE SOUDURE'!$M$7:$M$3006,"&lt;&gt;"&amp;C407,'CARNET DE SOUDURE'!$M$7:$M$3006,"&lt;&gt;")+COUNTIFS('CARNET DE SOUDURE'!$O$7:$O$3006,B407,'CARNET DE SOUDURE'!$P$7:$P$3006,"&lt;&gt;"&amp;C407,'CARNET DE SOUDURE'!$P$7:$P$3006,"&lt;&gt;")&gt;0,"⚠ DIFFÉRENTE","OK"))</f>
        <v>OK</v>
      </c>
      <c r="F407" s="147" t="n">
        <v>11.94</v>
      </c>
      <c r="G407" s="80"/>
      <c r="H407" s="83"/>
      <c r="I407" s="148" t="str">
        <f aca="false">IF(B407="","",IFERROR(INDEX('CARNET DE SOUDURE'!$B$7:$B$3006,MATCH(B407,'CARNET DE SOUDURE'!$L$7:$L$3006,0)),IFERROR(INDEX('CARNET DE SOUDURE'!$B$7:$B$3006,MATCH(B407,'CARNET DE SOUDURE'!$O$7:$O$3006,0)),"")))</f>
        <v>MFD-ISW → MFD-CPF</v>
      </c>
      <c r="J407" s="82" t="str">
        <f aca="false">IF(B407="","",IFERROR(INDEX('CARNET DE SOUDURE'!$E$7:$E$3006,MATCH(B407,'CARNET DE SOUDURE'!$O$7:$O$3006,0)),""))</f>
        <v>DJ°332</v>
      </c>
      <c r="K407" s="82" t="str">
        <f aca="false">IF(B407="","",IFERROR(INDEX('CARNET DE SOUDURE'!$E$7:$E$3006,MATCH(B407,'CARNET DE SOUDURE'!$L$7:$L$3006,0)),""))</f>
        <v>JN°1065</v>
      </c>
      <c r="L407" s="82" t="n">
        <f aca="false">IF(B407="","",IFERROR(INDEX('CARNET DE SOUDURE'!$D$7:$D$3006,MATCH(B407,'CARNET DE SOUDURE'!$L$7:$L$3006,0)),IFERROR(INDEX('CARNET DE SOUDURE'!$D$7:$D$3006,MATCH(B407,'CARNET DE SOUDURE'!$O$7:$O$3006,0)),"")))</f>
        <v>10</v>
      </c>
      <c r="M407" s="82" t="str">
        <f aca="false">IF(B407="","",IF(OR(J407&lt;&gt;"",K407&lt;&gt;""),"POSÉ EN LIGNE",IF(COUNTIF(BARDAGE!$C$1:$C$5000,B407)&gt;0,"BARDÉ","EN STOCK")))</f>
        <v>POSÉ EN LIGNE</v>
      </c>
      <c r="N407" s="80"/>
    </row>
    <row r="408" customFormat="false" ht="15" hidden="false" customHeight="false" outlineLevel="0" collapsed="false">
      <c r="A408" s="82" t="n">
        <f aca="false">IF(B408="","",ROW()-6)</f>
        <v>402</v>
      </c>
      <c r="B408" s="145" t="n">
        <v>2084040</v>
      </c>
      <c r="C408" s="146" t="n">
        <v>15421101</v>
      </c>
      <c r="D408" s="146"/>
      <c r="E408" s="82" t="str">
        <f aca="false">IF(B408="","",IF(COUNTIFS('CARNET DE SOUDURE'!$L$7:$L$3006,B408,'CARNET DE SOUDURE'!$M$7:$M$3006,"&lt;&gt;"&amp;C408,'CARNET DE SOUDURE'!$M$7:$M$3006,"&lt;&gt;")+COUNTIFS('CARNET DE SOUDURE'!$O$7:$O$3006,B408,'CARNET DE SOUDURE'!$P$7:$P$3006,"&lt;&gt;"&amp;C408,'CARNET DE SOUDURE'!$P$7:$P$3006,"&lt;&gt;")&gt;0,"⚠ DIFFÉRENTE","OK"))</f>
        <v>OK</v>
      </c>
      <c r="F408" s="147" t="n">
        <v>11.94</v>
      </c>
      <c r="G408" s="80"/>
      <c r="H408" s="83"/>
      <c r="I408" s="148" t="str">
        <f aca="false">IF(B408="","",IFERROR(INDEX('CARNET DE SOUDURE'!$B$7:$B$3006,MATCH(B408,'CARNET DE SOUDURE'!$L$7:$L$3006,0)),IFERROR(INDEX('CARNET DE SOUDURE'!$B$7:$B$3006,MATCH(B408,'CARNET DE SOUDURE'!$O$7:$O$3006,0)),"")))</f>
        <v>MFD-ISW → MFD-CPF</v>
      </c>
      <c r="J408" s="82" t="str">
        <f aca="false">IF(B408="","",IFERROR(INDEX('CARNET DE SOUDURE'!$E$7:$E$3006,MATCH(B408,'CARNET DE SOUDURE'!$O$7:$O$3006,0)),""))</f>
        <v>JN°1065</v>
      </c>
      <c r="K408" s="82" t="str">
        <f aca="false">IF(B408="","",IFERROR(INDEX('CARNET DE SOUDURE'!$E$7:$E$3006,MATCH(B408,'CARNET DE SOUDURE'!$L$7:$L$3006,0)),""))</f>
        <v>DJ°326</v>
      </c>
      <c r="L408" s="82" t="n">
        <f aca="false">IF(B408="","",IFERROR(INDEX('CARNET DE SOUDURE'!$D$7:$D$3006,MATCH(B408,'CARNET DE SOUDURE'!$L$7:$L$3006,0)),IFERROR(INDEX('CARNET DE SOUDURE'!$D$7:$D$3006,MATCH(B408,'CARNET DE SOUDURE'!$O$7:$O$3006,0)),"")))</f>
        <v>10</v>
      </c>
      <c r="M408" s="82" t="str">
        <f aca="false">IF(B408="","",IF(OR(J408&lt;&gt;"",K408&lt;&gt;""),"POSÉ EN LIGNE",IF(COUNTIF(BARDAGE!$C$1:$C$5000,B408)&gt;0,"BARDÉ","EN STOCK")))</f>
        <v>POSÉ EN LIGNE</v>
      </c>
      <c r="N408" s="80"/>
    </row>
    <row r="409" customFormat="false" ht="15" hidden="false" customHeight="false" outlineLevel="0" collapsed="false">
      <c r="A409" s="82" t="n">
        <f aca="false">IF(B409="","",ROW()-6)</f>
        <v>403</v>
      </c>
      <c r="B409" s="145" t="n">
        <v>2085560</v>
      </c>
      <c r="C409" s="146" t="n">
        <v>15421110</v>
      </c>
      <c r="D409" s="146"/>
      <c r="E409" s="82" t="str">
        <f aca="false">IF(B409="","",IF(COUNTIFS('CARNET DE SOUDURE'!$L$7:$L$3006,B409,'CARNET DE SOUDURE'!$M$7:$M$3006,"&lt;&gt;"&amp;C409,'CARNET DE SOUDURE'!$M$7:$M$3006,"&lt;&gt;")+COUNTIFS('CARNET DE SOUDURE'!$O$7:$O$3006,B409,'CARNET DE SOUDURE'!$P$7:$P$3006,"&lt;&gt;"&amp;C409,'CARNET DE SOUDURE'!$P$7:$P$3006,"&lt;&gt;")&gt;0,"⚠ DIFFÉRENTE","OK"))</f>
        <v>⚠ DIFFÉRENTE</v>
      </c>
      <c r="F409" s="147" t="n">
        <v>11.94</v>
      </c>
      <c r="G409" s="80"/>
      <c r="H409" s="83"/>
      <c r="I409" s="148" t="str">
        <f aca="false">IF(B409="","",IFERROR(INDEX('CARNET DE SOUDURE'!$B$7:$B$3006,MATCH(B409,'CARNET DE SOUDURE'!$L$7:$L$3006,0)),IFERROR(INDEX('CARNET DE SOUDURE'!$B$7:$B$3006,MATCH(B409,'CARNET DE SOUDURE'!$O$7:$O$3006,0)),"")))</f>
        <v>MFD-ISW → MFD-CPF</v>
      </c>
      <c r="J409" s="82" t="str">
        <f aca="false">IF(B409="","",IFERROR(INDEX('CARNET DE SOUDURE'!$E$7:$E$3006,MATCH(B409,'CARNET DE SOUDURE'!$O$7:$O$3006,0)),""))</f>
        <v>DJ°326</v>
      </c>
      <c r="K409" s="82" t="str">
        <f aca="false">IF(B409="","",IFERROR(INDEX('CARNET DE SOUDURE'!$E$7:$E$3006,MATCH(B409,'CARNET DE SOUDURE'!$L$7:$L$3006,0)),""))</f>
        <v>JN°1066</v>
      </c>
      <c r="L409" s="82" t="n">
        <f aca="false">IF(B409="","",IFERROR(INDEX('CARNET DE SOUDURE'!$D$7:$D$3006,MATCH(B409,'CARNET DE SOUDURE'!$L$7:$L$3006,0)),IFERROR(INDEX('CARNET DE SOUDURE'!$D$7:$D$3006,MATCH(B409,'CARNET DE SOUDURE'!$O$7:$O$3006,0)),"")))</f>
        <v>10</v>
      </c>
      <c r="M409" s="82" t="str">
        <f aca="false">IF(B409="","",IF(OR(J409&lt;&gt;"",K409&lt;&gt;""),"POSÉ EN LIGNE",IF(COUNTIF(BARDAGE!$C$1:$C$5000,B409)&gt;0,"BARDÉ","EN STOCK")))</f>
        <v>POSÉ EN LIGNE</v>
      </c>
      <c r="N409" s="80"/>
    </row>
    <row r="410" customFormat="false" ht="15" hidden="false" customHeight="false" outlineLevel="0" collapsed="false">
      <c r="A410" s="82" t="n">
        <f aca="false">IF(B410="","",ROW()-6)</f>
        <v>404</v>
      </c>
      <c r="B410" s="145" t="n">
        <v>2086560</v>
      </c>
      <c r="C410" s="146" t="n">
        <v>15421107</v>
      </c>
      <c r="D410" s="146"/>
      <c r="E410" s="82" t="str">
        <f aca="false">IF(B410="","",IF(COUNTIFS('CARNET DE SOUDURE'!$L$7:$L$3006,B410,'CARNET DE SOUDURE'!$M$7:$M$3006,"&lt;&gt;"&amp;C410,'CARNET DE SOUDURE'!$M$7:$M$3006,"&lt;&gt;")+COUNTIFS('CARNET DE SOUDURE'!$O$7:$O$3006,B410,'CARNET DE SOUDURE'!$P$7:$P$3006,"&lt;&gt;"&amp;C410,'CARNET DE SOUDURE'!$P$7:$P$3006,"&lt;&gt;")&gt;0,"⚠ DIFFÉRENTE","OK"))</f>
        <v>OK</v>
      </c>
      <c r="F410" s="147" t="n">
        <v>11.94</v>
      </c>
      <c r="G410" s="80"/>
      <c r="H410" s="83"/>
      <c r="I410" s="148" t="str">
        <f aca="false">IF(B410="","",IFERROR(INDEX('CARNET DE SOUDURE'!$B$7:$B$3006,MATCH(B410,'CARNET DE SOUDURE'!$L$7:$L$3006,0)),IFERROR(INDEX('CARNET DE SOUDURE'!$B$7:$B$3006,MATCH(B410,'CARNET DE SOUDURE'!$O$7:$O$3006,0)),"")))</f>
        <v>MFD-ISW → MFD-CPF</v>
      </c>
      <c r="J410" s="82" t="str">
        <f aca="false">IF(B410="","",IFERROR(INDEX('CARNET DE SOUDURE'!$E$7:$E$3006,MATCH(B410,'CARNET DE SOUDURE'!$O$7:$O$3006,0)),""))</f>
        <v>JN°1066</v>
      </c>
      <c r="K410" s="82" t="str">
        <f aca="false">IF(B410="","",IFERROR(INDEX('CARNET DE SOUDURE'!$E$7:$E$3006,MATCH(B410,'CARNET DE SOUDURE'!$L$7:$L$3006,0)),""))</f>
        <v>DJ°323</v>
      </c>
      <c r="L410" s="82" t="n">
        <f aca="false">IF(B410="","",IFERROR(INDEX('CARNET DE SOUDURE'!$D$7:$D$3006,MATCH(B410,'CARNET DE SOUDURE'!$L$7:$L$3006,0)),IFERROR(INDEX('CARNET DE SOUDURE'!$D$7:$D$3006,MATCH(B410,'CARNET DE SOUDURE'!$O$7:$O$3006,0)),"")))</f>
        <v>10</v>
      </c>
      <c r="M410" s="82" t="str">
        <f aca="false">IF(B410="","",IF(OR(J410&lt;&gt;"",K410&lt;&gt;""),"POSÉ EN LIGNE",IF(COUNTIF(BARDAGE!$C$1:$C$5000,B410)&gt;0,"BARDÉ","EN STOCK")))</f>
        <v>POSÉ EN LIGNE</v>
      </c>
      <c r="N410" s="80"/>
    </row>
    <row r="411" customFormat="false" ht="15" hidden="false" customHeight="false" outlineLevel="0" collapsed="false">
      <c r="A411" s="82" t="n">
        <f aca="false">IF(B411="","",ROW()-6)</f>
        <v>405</v>
      </c>
      <c r="B411" s="145" t="n">
        <v>2087010</v>
      </c>
      <c r="C411" s="146" t="n">
        <v>15421107</v>
      </c>
      <c r="D411" s="146"/>
      <c r="E411" s="82" t="str">
        <f aca="false">IF(B411="","",IF(COUNTIFS('CARNET DE SOUDURE'!$L$7:$L$3006,B411,'CARNET DE SOUDURE'!$M$7:$M$3006,"&lt;&gt;"&amp;C411,'CARNET DE SOUDURE'!$M$7:$M$3006,"&lt;&gt;")+COUNTIFS('CARNET DE SOUDURE'!$O$7:$O$3006,B411,'CARNET DE SOUDURE'!$P$7:$P$3006,"&lt;&gt;"&amp;C411,'CARNET DE SOUDURE'!$P$7:$P$3006,"&lt;&gt;")&gt;0,"⚠ DIFFÉRENTE","OK"))</f>
        <v>OK</v>
      </c>
      <c r="F411" s="147" t="n">
        <v>11.94</v>
      </c>
      <c r="G411" s="80"/>
      <c r="H411" s="83"/>
      <c r="I411" s="148" t="str">
        <f aca="false">IF(B411="","",IFERROR(INDEX('CARNET DE SOUDURE'!$B$7:$B$3006,MATCH(B411,'CARNET DE SOUDURE'!$L$7:$L$3006,0)),IFERROR(INDEX('CARNET DE SOUDURE'!$B$7:$B$3006,MATCH(B411,'CARNET DE SOUDURE'!$O$7:$O$3006,0)),"")))</f>
        <v>MFD-ISW → MFD-CPF</v>
      </c>
      <c r="J411" s="82" t="str">
        <f aca="false">IF(B411="","",IFERROR(INDEX('CARNET DE SOUDURE'!$E$7:$E$3006,MATCH(B411,'CARNET DE SOUDURE'!$O$7:$O$3006,0)),""))</f>
        <v>DJ°323</v>
      </c>
      <c r="K411" s="82" t="str">
        <f aca="false">IF(B411="","",IFERROR(INDEX('CARNET DE SOUDURE'!$E$7:$E$3006,MATCH(B411,'CARNET DE SOUDURE'!$L$7:$L$3006,0)),""))</f>
        <v>JN°1067</v>
      </c>
      <c r="L411" s="82" t="n">
        <f aca="false">IF(B411="","",IFERROR(INDEX('CARNET DE SOUDURE'!$D$7:$D$3006,MATCH(B411,'CARNET DE SOUDURE'!$L$7:$L$3006,0)),IFERROR(INDEX('CARNET DE SOUDURE'!$D$7:$D$3006,MATCH(B411,'CARNET DE SOUDURE'!$O$7:$O$3006,0)),"")))</f>
        <v>10</v>
      </c>
      <c r="M411" s="82" t="str">
        <f aca="false">IF(B411="","",IF(OR(J411&lt;&gt;"",K411&lt;&gt;""),"POSÉ EN LIGNE",IF(COUNTIF(BARDAGE!$C$1:$C$5000,B411)&gt;0,"BARDÉ","EN STOCK")))</f>
        <v>POSÉ EN LIGNE</v>
      </c>
      <c r="N411" s="80"/>
    </row>
    <row r="412" customFormat="false" ht="15" hidden="false" customHeight="false" outlineLevel="0" collapsed="false">
      <c r="A412" s="82" t="n">
        <f aca="false">IF(B412="","",ROW()-6)</f>
        <v>406</v>
      </c>
      <c r="B412" s="145" t="n">
        <v>2081090</v>
      </c>
      <c r="C412" s="146" t="n">
        <v>15421103</v>
      </c>
      <c r="D412" s="146"/>
      <c r="E412" s="82" t="str">
        <f aca="false">IF(B412="","",IF(COUNTIFS('CARNET DE SOUDURE'!$L$7:$L$3006,B412,'CARNET DE SOUDURE'!$M$7:$M$3006,"&lt;&gt;"&amp;C412,'CARNET DE SOUDURE'!$M$7:$M$3006,"&lt;&gt;")+COUNTIFS('CARNET DE SOUDURE'!$O$7:$O$3006,B412,'CARNET DE SOUDURE'!$P$7:$P$3006,"&lt;&gt;"&amp;C412,'CARNET DE SOUDURE'!$P$7:$P$3006,"&lt;&gt;")&gt;0,"⚠ DIFFÉRENTE","OK"))</f>
        <v>OK</v>
      </c>
      <c r="F412" s="147" t="n">
        <v>11.94</v>
      </c>
      <c r="G412" s="80"/>
      <c r="H412" s="83"/>
      <c r="I412" s="148" t="str">
        <f aca="false">IF(B412="","",IFERROR(INDEX('CARNET DE SOUDURE'!$B$7:$B$3006,MATCH(B412,'CARNET DE SOUDURE'!$L$7:$L$3006,0)),IFERROR(INDEX('CARNET DE SOUDURE'!$B$7:$B$3006,MATCH(B412,'CARNET DE SOUDURE'!$O$7:$O$3006,0)),"")))</f>
        <v>MFD-ISW → MFD-CPF</v>
      </c>
      <c r="J412" s="82" t="str">
        <f aca="false">IF(B412="","",IFERROR(INDEX('CARNET DE SOUDURE'!$E$7:$E$3006,MATCH(B412,'CARNET DE SOUDURE'!$O$7:$O$3006,0)),""))</f>
        <v>JN°1067</v>
      </c>
      <c r="K412" s="82" t="str">
        <f aca="false">IF(B412="","",IFERROR(INDEX('CARNET DE SOUDURE'!$E$7:$E$3006,MATCH(B412,'CARNET DE SOUDURE'!$L$7:$L$3006,0)),""))</f>
        <v>DJ°320</v>
      </c>
      <c r="L412" s="82" t="n">
        <f aca="false">IF(B412="","",IFERROR(INDEX('CARNET DE SOUDURE'!$D$7:$D$3006,MATCH(B412,'CARNET DE SOUDURE'!$L$7:$L$3006,0)),IFERROR(INDEX('CARNET DE SOUDURE'!$D$7:$D$3006,MATCH(B412,'CARNET DE SOUDURE'!$O$7:$O$3006,0)),"")))</f>
        <v>10</v>
      </c>
      <c r="M412" s="82" t="str">
        <f aca="false">IF(B412="","",IF(OR(J412&lt;&gt;"",K412&lt;&gt;""),"POSÉ EN LIGNE",IF(COUNTIF(BARDAGE!$C$1:$C$5000,B412)&gt;0,"BARDÉ","EN STOCK")))</f>
        <v>POSÉ EN LIGNE</v>
      </c>
      <c r="N412" s="80"/>
    </row>
    <row r="413" customFormat="false" ht="15" hidden="false" customHeight="false" outlineLevel="0" collapsed="false">
      <c r="A413" s="82" t="n">
        <f aca="false">IF(B413="","",ROW()-6)</f>
        <v>407</v>
      </c>
      <c r="B413" s="145" t="n">
        <v>2080530</v>
      </c>
      <c r="C413" s="146" t="n">
        <v>15421103</v>
      </c>
      <c r="D413" s="146"/>
      <c r="E413" s="82" t="str">
        <f aca="false">IF(B413="","",IF(COUNTIFS('CARNET DE SOUDURE'!$L$7:$L$3006,B413,'CARNET DE SOUDURE'!$M$7:$M$3006,"&lt;&gt;"&amp;C413,'CARNET DE SOUDURE'!$M$7:$M$3006,"&lt;&gt;")+COUNTIFS('CARNET DE SOUDURE'!$O$7:$O$3006,B413,'CARNET DE SOUDURE'!$P$7:$P$3006,"&lt;&gt;"&amp;C413,'CARNET DE SOUDURE'!$P$7:$P$3006,"&lt;&gt;")&gt;0,"⚠ DIFFÉRENTE","OK"))</f>
        <v>OK</v>
      </c>
      <c r="F413" s="147" t="n">
        <v>11.94</v>
      </c>
      <c r="G413" s="80"/>
      <c r="H413" s="83"/>
      <c r="I413" s="148" t="str">
        <f aca="false">IF(B413="","",IFERROR(INDEX('CARNET DE SOUDURE'!$B$7:$B$3006,MATCH(B413,'CARNET DE SOUDURE'!$L$7:$L$3006,0)),IFERROR(INDEX('CARNET DE SOUDURE'!$B$7:$B$3006,MATCH(B413,'CARNET DE SOUDURE'!$O$7:$O$3006,0)),"")))</f>
        <v>MFD-ISW → MFD-CPF</v>
      </c>
      <c r="J413" s="82" t="str">
        <f aca="false">IF(B413="","",IFERROR(INDEX('CARNET DE SOUDURE'!$E$7:$E$3006,MATCH(B413,'CARNET DE SOUDURE'!$O$7:$O$3006,0)),""))</f>
        <v>DJ°320</v>
      </c>
      <c r="K413" s="82" t="str">
        <f aca="false">IF(B413="","",IFERROR(INDEX('CARNET DE SOUDURE'!$E$7:$E$3006,MATCH(B413,'CARNET DE SOUDURE'!$L$7:$L$3006,0)),""))</f>
        <v>JN°1068</v>
      </c>
      <c r="L413" s="82" t="n">
        <f aca="false">IF(B413="","",IFERROR(INDEX('CARNET DE SOUDURE'!$D$7:$D$3006,MATCH(B413,'CARNET DE SOUDURE'!$L$7:$L$3006,0)),IFERROR(INDEX('CARNET DE SOUDURE'!$D$7:$D$3006,MATCH(B413,'CARNET DE SOUDURE'!$O$7:$O$3006,0)),"")))</f>
        <v>10</v>
      </c>
      <c r="M413" s="82" t="str">
        <f aca="false">IF(B413="","",IF(OR(J413&lt;&gt;"",K413&lt;&gt;""),"POSÉ EN LIGNE",IF(COUNTIF(BARDAGE!$C$1:$C$5000,B413)&gt;0,"BARDÉ","EN STOCK")))</f>
        <v>POSÉ EN LIGNE</v>
      </c>
      <c r="N413" s="80"/>
    </row>
    <row r="414" customFormat="false" ht="15" hidden="false" customHeight="false" outlineLevel="0" collapsed="false">
      <c r="A414" s="82" t="n">
        <f aca="false">IF(B414="","",ROW()-6)</f>
        <v>408</v>
      </c>
      <c r="B414" s="145" t="n">
        <v>2091940</v>
      </c>
      <c r="C414" s="146" t="n">
        <v>15421109</v>
      </c>
      <c r="D414" s="146"/>
      <c r="E414" s="82" t="str">
        <f aca="false">IF(B414="","",IF(COUNTIFS('CARNET DE SOUDURE'!$L$7:$L$3006,B414,'CARNET DE SOUDURE'!$M$7:$M$3006,"&lt;&gt;"&amp;C414,'CARNET DE SOUDURE'!$M$7:$M$3006,"&lt;&gt;")+COUNTIFS('CARNET DE SOUDURE'!$O$7:$O$3006,B414,'CARNET DE SOUDURE'!$P$7:$P$3006,"&lt;&gt;"&amp;C414,'CARNET DE SOUDURE'!$P$7:$P$3006,"&lt;&gt;")&gt;0,"⚠ DIFFÉRENTE","OK"))</f>
        <v>OK</v>
      </c>
      <c r="F414" s="147" t="n">
        <v>11.94</v>
      </c>
      <c r="G414" s="80"/>
      <c r="H414" s="83"/>
      <c r="I414" s="148" t="str">
        <f aca="false">IF(B414="","",IFERROR(INDEX('CARNET DE SOUDURE'!$B$7:$B$3006,MATCH(B414,'CARNET DE SOUDURE'!$L$7:$L$3006,0)),IFERROR(INDEX('CARNET DE SOUDURE'!$B$7:$B$3006,MATCH(B414,'CARNET DE SOUDURE'!$O$7:$O$3006,0)),"")))</f>
        <v>MFD-ISW → MFD-CPF</v>
      </c>
      <c r="J414" s="82" t="str">
        <f aca="false">IF(B414="","",IFERROR(INDEX('CARNET DE SOUDURE'!$E$7:$E$3006,MATCH(B414,'CARNET DE SOUDURE'!$O$7:$O$3006,0)),""))</f>
        <v>JN°1068</v>
      </c>
      <c r="K414" s="82" t="str">
        <f aca="false">IF(B414="","",IFERROR(INDEX('CARNET DE SOUDURE'!$E$7:$E$3006,MATCH(B414,'CARNET DE SOUDURE'!$L$7:$L$3006,0)),""))</f>
        <v>DJ°321</v>
      </c>
      <c r="L414" s="82" t="n">
        <f aca="false">IF(B414="","",IFERROR(INDEX('CARNET DE SOUDURE'!$D$7:$D$3006,MATCH(B414,'CARNET DE SOUDURE'!$L$7:$L$3006,0)),IFERROR(INDEX('CARNET DE SOUDURE'!$D$7:$D$3006,MATCH(B414,'CARNET DE SOUDURE'!$O$7:$O$3006,0)),"")))</f>
        <v>10</v>
      </c>
      <c r="M414" s="82" t="str">
        <f aca="false">IF(B414="","",IF(OR(J414&lt;&gt;"",K414&lt;&gt;""),"POSÉ EN LIGNE",IF(COUNTIF(BARDAGE!$C$1:$C$5000,B414)&gt;0,"BARDÉ","EN STOCK")))</f>
        <v>POSÉ EN LIGNE</v>
      </c>
      <c r="N414" s="80"/>
    </row>
    <row r="415" customFormat="false" ht="15" hidden="false" customHeight="false" outlineLevel="0" collapsed="false">
      <c r="A415" s="82" t="n">
        <f aca="false">IF(B415="","",ROW()-6)</f>
        <v>409</v>
      </c>
      <c r="B415" s="145" t="n">
        <v>2090760</v>
      </c>
      <c r="C415" s="146" t="n">
        <v>15421109</v>
      </c>
      <c r="D415" s="146"/>
      <c r="E415" s="82" t="str">
        <f aca="false">IF(B415="","",IF(COUNTIFS('CARNET DE SOUDURE'!$L$7:$L$3006,B415,'CARNET DE SOUDURE'!$M$7:$M$3006,"&lt;&gt;"&amp;C415,'CARNET DE SOUDURE'!$M$7:$M$3006,"&lt;&gt;")+COUNTIFS('CARNET DE SOUDURE'!$O$7:$O$3006,B415,'CARNET DE SOUDURE'!$P$7:$P$3006,"&lt;&gt;"&amp;C415,'CARNET DE SOUDURE'!$P$7:$P$3006,"&lt;&gt;")&gt;0,"⚠ DIFFÉRENTE","OK"))</f>
        <v>OK</v>
      </c>
      <c r="F415" s="147" t="n">
        <v>11.94</v>
      </c>
      <c r="G415" s="80"/>
      <c r="H415" s="83"/>
      <c r="I415" s="148" t="str">
        <f aca="false">IF(B415="","",IFERROR(INDEX('CARNET DE SOUDURE'!$B$7:$B$3006,MATCH(B415,'CARNET DE SOUDURE'!$L$7:$L$3006,0)),IFERROR(INDEX('CARNET DE SOUDURE'!$B$7:$B$3006,MATCH(B415,'CARNET DE SOUDURE'!$O$7:$O$3006,0)),"")))</f>
        <v>MFD-ISW → MFD-CPF</v>
      </c>
      <c r="J415" s="82" t="str">
        <f aca="false">IF(B415="","",IFERROR(INDEX('CARNET DE SOUDURE'!$E$7:$E$3006,MATCH(B415,'CARNET DE SOUDURE'!$O$7:$O$3006,0)),""))</f>
        <v>DJ°321</v>
      </c>
      <c r="K415" s="82" t="str">
        <f aca="false">IF(B415="","",IFERROR(INDEX('CARNET DE SOUDURE'!$E$7:$E$3006,MATCH(B415,'CARNET DE SOUDURE'!$L$7:$L$3006,0)),""))</f>
        <v>JN°1069</v>
      </c>
      <c r="L415" s="82" t="n">
        <f aca="false">IF(B415="","",IFERROR(INDEX('CARNET DE SOUDURE'!$D$7:$D$3006,MATCH(B415,'CARNET DE SOUDURE'!$L$7:$L$3006,0)),IFERROR(INDEX('CARNET DE SOUDURE'!$D$7:$D$3006,MATCH(B415,'CARNET DE SOUDURE'!$O$7:$O$3006,0)),"")))</f>
        <v>10</v>
      </c>
      <c r="M415" s="82" t="str">
        <f aca="false">IF(B415="","",IF(OR(J415&lt;&gt;"",K415&lt;&gt;""),"POSÉ EN LIGNE",IF(COUNTIF(BARDAGE!$C$1:$C$5000,B415)&gt;0,"BARDÉ","EN STOCK")))</f>
        <v>POSÉ EN LIGNE</v>
      </c>
      <c r="N415" s="80"/>
    </row>
    <row r="416" customFormat="false" ht="15" hidden="false" customHeight="false" outlineLevel="0" collapsed="false">
      <c r="A416" s="82" t="n">
        <f aca="false">IF(B416="","",ROW()-6)</f>
        <v>410</v>
      </c>
      <c r="B416" s="145" t="n">
        <v>2086240</v>
      </c>
      <c r="C416" s="146" t="n">
        <v>15421107</v>
      </c>
      <c r="D416" s="146"/>
      <c r="E416" s="82" t="str">
        <f aca="false">IF(B416="","",IF(COUNTIFS('CARNET DE SOUDURE'!$L$7:$L$3006,B416,'CARNET DE SOUDURE'!$M$7:$M$3006,"&lt;&gt;"&amp;C416,'CARNET DE SOUDURE'!$M$7:$M$3006,"&lt;&gt;")+COUNTIFS('CARNET DE SOUDURE'!$O$7:$O$3006,B416,'CARNET DE SOUDURE'!$P$7:$P$3006,"&lt;&gt;"&amp;C416,'CARNET DE SOUDURE'!$P$7:$P$3006,"&lt;&gt;")&gt;0,"⚠ DIFFÉRENTE","OK"))</f>
        <v>OK</v>
      </c>
      <c r="F416" s="147" t="n">
        <v>11.94</v>
      </c>
      <c r="G416" s="80"/>
      <c r="H416" s="83"/>
      <c r="I416" s="148" t="str">
        <f aca="false">IF(B416="","",IFERROR(INDEX('CARNET DE SOUDURE'!$B$7:$B$3006,MATCH(B416,'CARNET DE SOUDURE'!$L$7:$L$3006,0)),IFERROR(INDEX('CARNET DE SOUDURE'!$B$7:$B$3006,MATCH(B416,'CARNET DE SOUDURE'!$O$7:$O$3006,0)),"")))</f>
        <v>MFD-ISW → MFD-CPF</v>
      </c>
      <c r="J416" s="82" t="str">
        <f aca="false">IF(B416="","",IFERROR(INDEX('CARNET DE SOUDURE'!$E$7:$E$3006,MATCH(B416,'CARNET DE SOUDURE'!$O$7:$O$3006,0)),""))</f>
        <v>JN°1069</v>
      </c>
      <c r="K416" s="82" t="str">
        <f aca="false">IF(B416="","",IFERROR(INDEX('CARNET DE SOUDURE'!$E$7:$E$3006,MATCH(B416,'CARNET DE SOUDURE'!$L$7:$L$3006,0)),""))</f>
        <v>DJ°322</v>
      </c>
      <c r="L416" s="82" t="n">
        <f aca="false">IF(B416="","",IFERROR(INDEX('CARNET DE SOUDURE'!$D$7:$D$3006,MATCH(B416,'CARNET DE SOUDURE'!$L$7:$L$3006,0)),IFERROR(INDEX('CARNET DE SOUDURE'!$D$7:$D$3006,MATCH(B416,'CARNET DE SOUDURE'!$O$7:$O$3006,0)),"")))</f>
        <v>10</v>
      </c>
      <c r="M416" s="82" t="str">
        <f aca="false">IF(B416="","",IF(OR(J416&lt;&gt;"",K416&lt;&gt;""),"POSÉ EN LIGNE",IF(COUNTIF(BARDAGE!$C$1:$C$5000,B416)&gt;0,"BARDÉ","EN STOCK")))</f>
        <v>POSÉ EN LIGNE</v>
      </c>
      <c r="N416" s="80"/>
    </row>
    <row r="417" customFormat="false" ht="15" hidden="false" customHeight="false" outlineLevel="0" collapsed="false">
      <c r="A417" s="82" t="n">
        <f aca="false">IF(B417="","",ROW()-6)</f>
        <v>411</v>
      </c>
      <c r="B417" s="145" t="n">
        <v>2085640</v>
      </c>
      <c r="C417" s="146" t="n">
        <v>15421107</v>
      </c>
      <c r="D417" s="146"/>
      <c r="E417" s="82" t="str">
        <f aca="false">IF(B417="","",IF(COUNTIFS('CARNET DE SOUDURE'!$L$7:$L$3006,B417,'CARNET DE SOUDURE'!$M$7:$M$3006,"&lt;&gt;"&amp;C417,'CARNET DE SOUDURE'!$M$7:$M$3006,"&lt;&gt;")+COUNTIFS('CARNET DE SOUDURE'!$O$7:$O$3006,B417,'CARNET DE SOUDURE'!$P$7:$P$3006,"&lt;&gt;"&amp;C417,'CARNET DE SOUDURE'!$P$7:$P$3006,"&lt;&gt;")&gt;0,"⚠ DIFFÉRENTE","OK"))</f>
        <v>OK</v>
      </c>
      <c r="F417" s="147" t="n">
        <v>11.94</v>
      </c>
      <c r="G417" s="80"/>
      <c r="H417" s="83"/>
      <c r="I417" s="148" t="str">
        <f aca="false">IF(B417="","",IFERROR(INDEX('CARNET DE SOUDURE'!$B$7:$B$3006,MATCH(B417,'CARNET DE SOUDURE'!$L$7:$L$3006,0)),IFERROR(INDEX('CARNET DE SOUDURE'!$B$7:$B$3006,MATCH(B417,'CARNET DE SOUDURE'!$O$7:$O$3006,0)),"")))</f>
        <v>MFD-ISW → MFD-CPF</v>
      </c>
      <c r="J417" s="82" t="str">
        <f aca="false">IF(B417="","",IFERROR(INDEX('CARNET DE SOUDURE'!$E$7:$E$3006,MATCH(B417,'CARNET DE SOUDURE'!$O$7:$O$3006,0)),""))</f>
        <v>DJ°322</v>
      </c>
      <c r="K417" s="82" t="str">
        <f aca="false">IF(B417="","",IFERROR(INDEX('CARNET DE SOUDURE'!$E$7:$E$3006,MATCH(B417,'CARNET DE SOUDURE'!$L$7:$L$3006,0)),""))</f>
        <v>JN°1070</v>
      </c>
      <c r="L417" s="82" t="n">
        <f aca="false">IF(B417="","",IFERROR(INDEX('CARNET DE SOUDURE'!$D$7:$D$3006,MATCH(B417,'CARNET DE SOUDURE'!$L$7:$L$3006,0)),IFERROR(INDEX('CARNET DE SOUDURE'!$D$7:$D$3006,MATCH(B417,'CARNET DE SOUDURE'!$O$7:$O$3006,0)),"")))</f>
        <v>10</v>
      </c>
      <c r="M417" s="82" t="str">
        <f aca="false">IF(B417="","",IF(OR(J417&lt;&gt;"",K417&lt;&gt;""),"POSÉ EN LIGNE",IF(COUNTIF(BARDAGE!$C$1:$C$5000,B417)&gt;0,"BARDÉ","EN STOCK")))</f>
        <v>POSÉ EN LIGNE</v>
      </c>
      <c r="N417" s="80"/>
    </row>
    <row r="418" customFormat="false" ht="15" hidden="false" customHeight="false" outlineLevel="0" collapsed="false">
      <c r="A418" s="82" t="n">
        <f aca="false">IF(B418="","",ROW()-6)</f>
        <v>412</v>
      </c>
      <c r="B418" s="145" t="n">
        <v>2087020</v>
      </c>
      <c r="C418" s="146" t="n">
        <v>15421107</v>
      </c>
      <c r="D418" s="146"/>
      <c r="E418" s="82" t="str">
        <f aca="false">IF(B418="","",IF(COUNTIFS('CARNET DE SOUDURE'!$L$7:$L$3006,B418,'CARNET DE SOUDURE'!$M$7:$M$3006,"&lt;&gt;"&amp;C418,'CARNET DE SOUDURE'!$M$7:$M$3006,"&lt;&gt;")+COUNTIFS('CARNET DE SOUDURE'!$O$7:$O$3006,B418,'CARNET DE SOUDURE'!$P$7:$P$3006,"&lt;&gt;"&amp;C418,'CARNET DE SOUDURE'!$P$7:$P$3006,"&lt;&gt;")&gt;0,"⚠ DIFFÉRENTE","OK"))</f>
        <v>OK</v>
      </c>
      <c r="F418" s="147" t="n">
        <v>11.94</v>
      </c>
      <c r="G418" s="80"/>
      <c r="H418" s="83"/>
      <c r="I418" s="148" t="str">
        <f aca="false">IF(B418="","",IFERROR(INDEX('CARNET DE SOUDURE'!$B$7:$B$3006,MATCH(B418,'CARNET DE SOUDURE'!$L$7:$L$3006,0)),IFERROR(INDEX('CARNET DE SOUDURE'!$B$7:$B$3006,MATCH(B418,'CARNET DE SOUDURE'!$O$7:$O$3006,0)),"")))</f>
        <v>MFD-ISW → MFD-CPF</v>
      </c>
      <c r="J418" s="82" t="str">
        <f aca="false">IF(B418="","",IFERROR(INDEX('CARNET DE SOUDURE'!$E$7:$E$3006,MATCH(B418,'CARNET DE SOUDURE'!$O$7:$O$3006,0)),""))</f>
        <v>JN°1070</v>
      </c>
      <c r="K418" s="82" t="str">
        <f aca="false">IF(B418="","",IFERROR(INDEX('CARNET DE SOUDURE'!$E$7:$E$3006,MATCH(B418,'CARNET DE SOUDURE'!$L$7:$L$3006,0)),""))</f>
        <v>DJ°324</v>
      </c>
      <c r="L418" s="82" t="n">
        <f aca="false">IF(B418="","",IFERROR(INDEX('CARNET DE SOUDURE'!$D$7:$D$3006,MATCH(B418,'CARNET DE SOUDURE'!$L$7:$L$3006,0)),IFERROR(INDEX('CARNET DE SOUDURE'!$D$7:$D$3006,MATCH(B418,'CARNET DE SOUDURE'!$O$7:$O$3006,0)),"")))</f>
        <v>10</v>
      </c>
      <c r="M418" s="82" t="str">
        <f aca="false">IF(B418="","",IF(OR(J418&lt;&gt;"",K418&lt;&gt;""),"POSÉ EN LIGNE",IF(COUNTIF(BARDAGE!$C$1:$C$5000,B418)&gt;0,"BARDÉ","EN STOCK")))</f>
        <v>POSÉ EN LIGNE</v>
      </c>
      <c r="N418" s="80"/>
    </row>
    <row r="419" customFormat="false" ht="15" hidden="false" customHeight="false" outlineLevel="0" collapsed="false">
      <c r="A419" s="82" t="n">
        <f aca="false">IF(B419="","",ROW()-6)</f>
        <v>413</v>
      </c>
      <c r="B419" s="145" t="n">
        <v>2079330</v>
      </c>
      <c r="C419" s="146" t="n">
        <v>15421102</v>
      </c>
      <c r="D419" s="146"/>
      <c r="E419" s="82" t="str">
        <f aca="false">IF(B419="","",IF(COUNTIFS('CARNET DE SOUDURE'!$L$7:$L$3006,B419,'CARNET DE SOUDURE'!$M$7:$M$3006,"&lt;&gt;"&amp;C419,'CARNET DE SOUDURE'!$M$7:$M$3006,"&lt;&gt;")+COUNTIFS('CARNET DE SOUDURE'!$O$7:$O$3006,B419,'CARNET DE SOUDURE'!$P$7:$P$3006,"&lt;&gt;"&amp;C419,'CARNET DE SOUDURE'!$P$7:$P$3006,"&lt;&gt;")&gt;0,"⚠ DIFFÉRENTE","OK"))</f>
        <v>OK</v>
      </c>
      <c r="F419" s="147" t="n">
        <v>11.94</v>
      </c>
      <c r="G419" s="80"/>
      <c r="H419" s="83"/>
      <c r="I419" s="148" t="str">
        <f aca="false">IF(B419="","",IFERROR(INDEX('CARNET DE SOUDURE'!$B$7:$B$3006,MATCH(B419,'CARNET DE SOUDURE'!$L$7:$L$3006,0)),IFERROR(INDEX('CARNET DE SOUDURE'!$B$7:$B$3006,MATCH(B419,'CARNET DE SOUDURE'!$O$7:$O$3006,0)),"")))</f>
        <v>MFD-ISW → MFD-CPF</v>
      </c>
      <c r="J419" s="82" t="str">
        <f aca="false">IF(B419="","",IFERROR(INDEX('CARNET DE SOUDURE'!$E$7:$E$3006,MATCH(B419,'CARNET DE SOUDURE'!$O$7:$O$3006,0)),""))</f>
        <v>DJ°324</v>
      </c>
      <c r="K419" s="82" t="str">
        <f aca="false">IF(B419="","",IFERROR(INDEX('CARNET DE SOUDURE'!$E$7:$E$3006,MATCH(B419,'CARNET DE SOUDURE'!$L$7:$L$3006,0)),""))</f>
        <v>JN°1071</v>
      </c>
      <c r="L419" s="82" t="n">
        <f aca="false">IF(B419="","",IFERROR(INDEX('CARNET DE SOUDURE'!$D$7:$D$3006,MATCH(B419,'CARNET DE SOUDURE'!$L$7:$L$3006,0)),IFERROR(INDEX('CARNET DE SOUDURE'!$D$7:$D$3006,MATCH(B419,'CARNET DE SOUDURE'!$O$7:$O$3006,0)),"")))</f>
        <v>10</v>
      </c>
      <c r="M419" s="82" t="str">
        <f aca="false">IF(B419="","",IF(OR(J419&lt;&gt;"",K419&lt;&gt;""),"POSÉ EN LIGNE",IF(COUNTIF(BARDAGE!$C$1:$C$5000,B419)&gt;0,"BARDÉ","EN STOCK")))</f>
        <v>POSÉ EN LIGNE</v>
      </c>
      <c r="N419" s="80"/>
    </row>
    <row r="420" customFormat="false" ht="15" hidden="false" customHeight="false" outlineLevel="0" collapsed="false">
      <c r="A420" s="82" t="n">
        <f aca="false">IF(B420="","",ROW()-6)</f>
        <v>414</v>
      </c>
      <c r="B420" s="145" t="n">
        <v>2086700</v>
      </c>
      <c r="C420" s="146" t="n">
        <v>15421107</v>
      </c>
      <c r="D420" s="146"/>
      <c r="E420" s="82" t="str">
        <f aca="false">IF(B420="","",IF(COUNTIFS('CARNET DE SOUDURE'!$L$7:$L$3006,B420,'CARNET DE SOUDURE'!$M$7:$M$3006,"&lt;&gt;"&amp;C420,'CARNET DE SOUDURE'!$M$7:$M$3006,"&lt;&gt;")+COUNTIFS('CARNET DE SOUDURE'!$O$7:$O$3006,B420,'CARNET DE SOUDURE'!$P$7:$P$3006,"&lt;&gt;"&amp;C420,'CARNET DE SOUDURE'!$P$7:$P$3006,"&lt;&gt;")&gt;0,"⚠ DIFFÉRENTE","OK"))</f>
        <v>OK</v>
      </c>
      <c r="F420" s="147" t="n">
        <v>11.94</v>
      </c>
      <c r="G420" s="80"/>
      <c r="H420" s="83"/>
      <c r="I420" s="148" t="str">
        <f aca="false">IF(B420="","",IFERROR(INDEX('CARNET DE SOUDURE'!$B$7:$B$3006,MATCH(B420,'CARNET DE SOUDURE'!$L$7:$L$3006,0)),IFERROR(INDEX('CARNET DE SOUDURE'!$B$7:$B$3006,MATCH(B420,'CARNET DE SOUDURE'!$O$7:$O$3006,0)),"")))</f>
        <v>MFD-ISW → MFD-CPF</v>
      </c>
      <c r="J420" s="82" t="str">
        <f aca="false">IF(B420="","",IFERROR(INDEX('CARNET DE SOUDURE'!$E$7:$E$3006,MATCH(B420,'CARNET DE SOUDURE'!$O$7:$O$3006,0)),""))</f>
        <v>JN°1071</v>
      </c>
      <c r="K420" s="82" t="str">
        <f aca="false">IF(B420="","",IFERROR(INDEX('CARNET DE SOUDURE'!$E$7:$E$3006,MATCH(B420,'CARNET DE SOUDURE'!$L$7:$L$3006,0)),""))</f>
        <v>DJ°325</v>
      </c>
      <c r="L420" s="82" t="n">
        <f aca="false">IF(B420="","",IFERROR(INDEX('CARNET DE SOUDURE'!$D$7:$D$3006,MATCH(B420,'CARNET DE SOUDURE'!$L$7:$L$3006,0)),IFERROR(INDEX('CARNET DE SOUDURE'!$D$7:$D$3006,MATCH(B420,'CARNET DE SOUDURE'!$O$7:$O$3006,0)),"")))</f>
        <v>10</v>
      </c>
      <c r="M420" s="82" t="str">
        <f aca="false">IF(B420="","",IF(OR(J420&lt;&gt;"",K420&lt;&gt;""),"POSÉ EN LIGNE",IF(COUNTIF(BARDAGE!$C$1:$C$5000,B420)&gt;0,"BARDÉ","EN STOCK")))</f>
        <v>POSÉ EN LIGNE</v>
      </c>
      <c r="N420" s="80"/>
    </row>
    <row r="421" customFormat="false" ht="15" hidden="false" customHeight="false" outlineLevel="0" collapsed="false">
      <c r="A421" s="82" t="n">
        <f aca="false">IF(B421="","",ROW()-6)</f>
        <v>415</v>
      </c>
      <c r="B421" s="145" t="n">
        <v>2086250</v>
      </c>
      <c r="C421" s="146" t="n">
        <v>15421107</v>
      </c>
      <c r="D421" s="146"/>
      <c r="E421" s="82" t="str">
        <f aca="false">IF(B421="","",IF(COUNTIFS('CARNET DE SOUDURE'!$L$7:$L$3006,B421,'CARNET DE SOUDURE'!$M$7:$M$3006,"&lt;&gt;"&amp;C421,'CARNET DE SOUDURE'!$M$7:$M$3006,"&lt;&gt;")+COUNTIFS('CARNET DE SOUDURE'!$O$7:$O$3006,B421,'CARNET DE SOUDURE'!$P$7:$P$3006,"&lt;&gt;"&amp;C421,'CARNET DE SOUDURE'!$P$7:$P$3006,"&lt;&gt;")&gt;0,"⚠ DIFFÉRENTE","OK"))</f>
        <v>OK</v>
      </c>
      <c r="F421" s="147" t="n">
        <v>11.94</v>
      </c>
      <c r="G421" s="80"/>
      <c r="H421" s="83"/>
      <c r="I421" s="148" t="str">
        <f aca="false">IF(B421="","",IFERROR(INDEX('CARNET DE SOUDURE'!$B$7:$B$3006,MATCH(B421,'CARNET DE SOUDURE'!$L$7:$L$3006,0)),IFERROR(INDEX('CARNET DE SOUDURE'!$B$7:$B$3006,MATCH(B421,'CARNET DE SOUDURE'!$O$7:$O$3006,0)),"")))</f>
        <v>MFD-ISW → MFD-CPF</v>
      </c>
      <c r="J421" s="82" t="str">
        <f aca="false">IF(B421="","",IFERROR(INDEX('CARNET DE SOUDURE'!$E$7:$E$3006,MATCH(B421,'CARNET DE SOUDURE'!$O$7:$O$3006,0)),""))</f>
        <v>DJ°325</v>
      </c>
      <c r="K421" s="82" t="str">
        <f aca="false">IF(B421="","",IFERROR(INDEX('CARNET DE SOUDURE'!$E$7:$E$3006,MATCH(B421,'CARNET DE SOUDURE'!$L$7:$L$3006,0)),""))</f>
        <v>JN°1072</v>
      </c>
      <c r="L421" s="82" t="n">
        <f aca="false">IF(B421="","",IFERROR(INDEX('CARNET DE SOUDURE'!$D$7:$D$3006,MATCH(B421,'CARNET DE SOUDURE'!$L$7:$L$3006,0)),IFERROR(INDEX('CARNET DE SOUDURE'!$D$7:$D$3006,MATCH(B421,'CARNET DE SOUDURE'!$O$7:$O$3006,0)),"")))</f>
        <v>10</v>
      </c>
      <c r="M421" s="82" t="str">
        <f aca="false">IF(B421="","",IF(OR(J421&lt;&gt;"",K421&lt;&gt;""),"POSÉ EN LIGNE",IF(COUNTIF(BARDAGE!$C$1:$C$5000,B421)&gt;0,"BARDÉ","EN STOCK")))</f>
        <v>POSÉ EN LIGNE</v>
      </c>
      <c r="N421" s="80"/>
    </row>
    <row r="422" customFormat="false" ht="15" hidden="false" customHeight="false" outlineLevel="0" collapsed="false">
      <c r="A422" s="82" t="n">
        <f aca="false">IF(B422="","",ROW()-6)</f>
        <v>416</v>
      </c>
      <c r="B422" s="145" t="n">
        <v>2089000</v>
      </c>
      <c r="C422" s="146" t="n">
        <v>15421102</v>
      </c>
      <c r="D422" s="146"/>
      <c r="E422" s="82" t="str">
        <f aca="false">IF(B422="","",IF(COUNTIFS('CARNET DE SOUDURE'!$L$7:$L$3006,B422,'CARNET DE SOUDURE'!$M$7:$M$3006,"&lt;&gt;"&amp;C422,'CARNET DE SOUDURE'!$M$7:$M$3006,"&lt;&gt;")+COUNTIFS('CARNET DE SOUDURE'!$O$7:$O$3006,B422,'CARNET DE SOUDURE'!$P$7:$P$3006,"&lt;&gt;"&amp;C422,'CARNET DE SOUDURE'!$P$7:$P$3006,"&lt;&gt;")&gt;0,"⚠ DIFFÉRENTE","OK"))</f>
        <v>OK</v>
      </c>
      <c r="F422" s="147" t="n">
        <v>11.94</v>
      </c>
      <c r="G422" s="80"/>
      <c r="H422" s="83"/>
      <c r="I422" s="148" t="str">
        <f aca="false">IF(B422="","",IFERROR(INDEX('CARNET DE SOUDURE'!$B$7:$B$3006,MATCH(B422,'CARNET DE SOUDURE'!$L$7:$L$3006,0)),IFERROR(INDEX('CARNET DE SOUDURE'!$B$7:$B$3006,MATCH(B422,'CARNET DE SOUDURE'!$O$7:$O$3006,0)),"")))</f>
        <v>MFD-ISW → MFD-CPF</v>
      </c>
      <c r="J422" s="82" t="str">
        <f aca="false">IF(B422="","",IFERROR(INDEX('CARNET DE SOUDURE'!$E$7:$E$3006,MATCH(B422,'CARNET DE SOUDURE'!$O$7:$O$3006,0)),""))</f>
        <v>JN°1072</v>
      </c>
      <c r="K422" s="82" t="str">
        <f aca="false">IF(B422="","",IFERROR(INDEX('CARNET DE SOUDURE'!$E$7:$E$3006,MATCH(B422,'CARNET DE SOUDURE'!$L$7:$L$3006,0)),""))</f>
        <v>DJ°319</v>
      </c>
      <c r="L422" s="82" t="n">
        <f aca="false">IF(B422="","",IFERROR(INDEX('CARNET DE SOUDURE'!$D$7:$D$3006,MATCH(B422,'CARNET DE SOUDURE'!$L$7:$L$3006,0)),IFERROR(INDEX('CARNET DE SOUDURE'!$D$7:$D$3006,MATCH(B422,'CARNET DE SOUDURE'!$O$7:$O$3006,0)),"")))</f>
        <v>10</v>
      </c>
      <c r="M422" s="82" t="str">
        <f aca="false">IF(B422="","",IF(OR(J422&lt;&gt;"",K422&lt;&gt;""),"POSÉ EN LIGNE",IF(COUNTIF(BARDAGE!$C$1:$C$5000,B422)&gt;0,"BARDÉ","EN STOCK")))</f>
        <v>POSÉ EN LIGNE</v>
      </c>
      <c r="N422" s="80"/>
    </row>
    <row r="423" customFormat="false" ht="15" hidden="false" customHeight="false" outlineLevel="0" collapsed="false">
      <c r="A423" s="82" t="n">
        <f aca="false">IF(B423="","",ROW()-6)</f>
        <v>417</v>
      </c>
      <c r="B423" s="145" t="n">
        <v>2089460</v>
      </c>
      <c r="C423" s="146" t="n">
        <v>15421109</v>
      </c>
      <c r="D423" s="146"/>
      <c r="E423" s="82" t="str">
        <f aca="false">IF(B423="","",IF(COUNTIFS('CARNET DE SOUDURE'!$L$7:$L$3006,B423,'CARNET DE SOUDURE'!$M$7:$M$3006,"&lt;&gt;"&amp;C423,'CARNET DE SOUDURE'!$M$7:$M$3006,"&lt;&gt;")+COUNTIFS('CARNET DE SOUDURE'!$O$7:$O$3006,B423,'CARNET DE SOUDURE'!$P$7:$P$3006,"&lt;&gt;"&amp;C423,'CARNET DE SOUDURE'!$P$7:$P$3006,"&lt;&gt;")&gt;0,"⚠ DIFFÉRENTE","OK"))</f>
        <v>OK</v>
      </c>
      <c r="F423" s="147" t="n">
        <v>11.94</v>
      </c>
      <c r="G423" s="80"/>
      <c r="H423" s="83"/>
      <c r="I423" s="148" t="str">
        <f aca="false">IF(B423="","",IFERROR(INDEX('CARNET DE SOUDURE'!$B$7:$B$3006,MATCH(B423,'CARNET DE SOUDURE'!$L$7:$L$3006,0)),IFERROR(INDEX('CARNET DE SOUDURE'!$B$7:$B$3006,MATCH(B423,'CARNET DE SOUDURE'!$O$7:$O$3006,0)),"")))</f>
        <v>MFD-ISW → MFD-CPF</v>
      </c>
      <c r="J423" s="82" t="str">
        <f aca="false">IF(B423="","",IFERROR(INDEX('CARNET DE SOUDURE'!$E$7:$E$3006,MATCH(B423,'CARNET DE SOUDURE'!$O$7:$O$3006,0)),""))</f>
        <v>DJ°319</v>
      </c>
      <c r="K423" s="82" t="str">
        <f aca="false">IF(B423="","",IFERROR(INDEX('CARNET DE SOUDURE'!$E$7:$E$3006,MATCH(B423,'CARNET DE SOUDURE'!$L$7:$L$3006,0)),""))</f>
        <v>JN°1073</v>
      </c>
      <c r="L423" s="82" t="n">
        <f aca="false">IF(B423="","",IFERROR(INDEX('CARNET DE SOUDURE'!$D$7:$D$3006,MATCH(B423,'CARNET DE SOUDURE'!$L$7:$L$3006,0)),IFERROR(INDEX('CARNET DE SOUDURE'!$D$7:$D$3006,MATCH(B423,'CARNET DE SOUDURE'!$O$7:$O$3006,0)),"")))</f>
        <v>10</v>
      </c>
      <c r="M423" s="82" t="str">
        <f aca="false">IF(B423="","",IF(OR(J423&lt;&gt;"",K423&lt;&gt;""),"POSÉ EN LIGNE",IF(COUNTIF(BARDAGE!$C$1:$C$5000,B423)&gt;0,"BARDÉ","EN STOCK")))</f>
        <v>POSÉ EN LIGNE</v>
      </c>
      <c r="N423" s="80"/>
    </row>
    <row r="424" customFormat="false" ht="15" hidden="false" customHeight="false" outlineLevel="0" collapsed="false">
      <c r="A424" s="82" t="n">
        <f aca="false">IF(B424="","",ROW()-6)</f>
        <v>418</v>
      </c>
      <c r="B424" s="145" t="n">
        <v>2088850</v>
      </c>
      <c r="C424" s="146" t="n">
        <v>15421108</v>
      </c>
      <c r="D424" s="146"/>
      <c r="E424" s="82" t="str">
        <f aca="false">IF(B424="","",IF(COUNTIFS('CARNET DE SOUDURE'!$L$7:$L$3006,B424,'CARNET DE SOUDURE'!$M$7:$M$3006,"&lt;&gt;"&amp;C424,'CARNET DE SOUDURE'!$M$7:$M$3006,"&lt;&gt;")+COUNTIFS('CARNET DE SOUDURE'!$O$7:$O$3006,B424,'CARNET DE SOUDURE'!$P$7:$P$3006,"&lt;&gt;"&amp;C424,'CARNET DE SOUDURE'!$P$7:$P$3006,"&lt;&gt;")&gt;0,"⚠ DIFFÉRENTE","OK"))</f>
        <v>OK</v>
      </c>
      <c r="F424" s="147" t="n">
        <v>11.94</v>
      </c>
      <c r="G424" s="80"/>
      <c r="H424" s="83"/>
      <c r="I424" s="148" t="str">
        <f aca="false">IF(B424="","",IFERROR(INDEX('CARNET DE SOUDURE'!$B$7:$B$3006,MATCH(B424,'CARNET DE SOUDURE'!$L$7:$L$3006,0)),IFERROR(INDEX('CARNET DE SOUDURE'!$B$7:$B$3006,MATCH(B424,'CARNET DE SOUDURE'!$O$7:$O$3006,0)),"")))</f>
        <v>MFD-ISW → MFD-CPF</v>
      </c>
      <c r="J424" s="82" t="str">
        <f aca="false">IF(B424="","",IFERROR(INDEX('CARNET DE SOUDURE'!$E$7:$E$3006,MATCH(B424,'CARNET DE SOUDURE'!$O$7:$O$3006,0)),""))</f>
        <v>JN°1073</v>
      </c>
      <c r="K424" s="82" t="str">
        <f aca="false">IF(B424="","",IFERROR(INDEX('CARNET DE SOUDURE'!$E$7:$E$3006,MATCH(B424,'CARNET DE SOUDURE'!$L$7:$L$3006,0)),""))</f>
        <v>DJ°318</v>
      </c>
      <c r="L424" s="82" t="n">
        <f aca="false">IF(B424="","",IFERROR(INDEX('CARNET DE SOUDURE'!$D$7:$D$3006,MATCH(B424,'CARNET DE SOUDURE'!$L$7:$L$3006,0)),IFERROR(INDEX('CARNET DE SOUDURE'!$D$7:$D$3006,MATCH(B424,'CARNET DE SOUDURE'!$O$7:$O$3006,0)),"")))</f>
        <v>10</v>
      </c>
      <c r="M424" s="82" t="str">
        <f aca="false">IF(B424="","",IF(OR(J424&lt;&gt;"",K424&lt;&gt;""),"POSÉ EN LIGNE",IF(COUNTIF(BARDAGE!$C$1:$C$5000,B424)&gt;0,"BARDÉ","EN STOCK")))</f>
        <v>POSÉ EN LIGNE</v>
      </c>
      <c r="N424" s="80"/>
    </row>
    <row r="425" customFormat="false" ht="15" hidden="false" customHeight="false" outlineLevel="0" collapsed="false">
      <c r="A425" s="82" t="n">
        <f aca="false">IF(B425="","",ROW()-6)</f>
        <v>419</v>
      </c>
      <c r="B425" s="145" t="n">
        <v>2086500</v>
      </c>
      <c r="C425" s="146" t="n">
        <v>15421111</v>
      </c>
      <c r="D425" s="146"/>
      <c r="E425" s="82" t="str">
        <f aca="false">IF(B425="","",IF(COUNTIFS('CARNET DE SOUDURE'!$L$7:$L$3006,B425,'CARNET DE SOUDURE'!$M$7:$M$3006,"&lt;&gt;"&amp;C425,'CARNET DE SOUDURE'!$M$7:$M$3006,"&lt;&gt;")+COUNTIFS('CARNET DE SOUDURE'!$O$7:$O$3006,B425,'CARNET DE SOUDURE'!$P$7:$P$3006,"&lt;&gt;"&amp;C425,'CARNET DE SOUDURE'!$P$7:$P$3006,"&lt;&gt;")&gt;0,"⚠ DIFFÉRENTE","OK"))</f>
        <v>OK</v>
      </c>
      <c r="F425" s="147" t="n">
        <v>11.94</v>
      </c>
      <c r="G425" s="80"/>
      <c r="H425" s="83"/>
      <c r="I425" s="148" t="str">
        <f aca="false">IF(B425="","",IFERROR(INDEX('CARNET DE SOUDURE'!$B$7:$B$3006,MATCH(B425,'CARNET DE SOUDURE'!$L$7:$L$3006,0)),IFERROR(INDEX('CARNET DE SOUDURE'!$B$7:$B$3006,MATCH(B425,'CARNET DE SOUDURE'!$O$7:$O$3006,0)),"")))</f>
        <v>MFD-ISW → MFD-CPF</v>
      </c>
      <c r="J425" s="82" t="str">
        <f aca="false">IF(B425="","",IFERROR(INDEX('CARNET DE SOUDURE'!$E$7:$E$3006,MATCH(B425,'CARNET DE SOUDURE'!$O$7:$O$3006,0)),""))</f>
        <v>DJ°318</v>
      </c>
      <c r="K425" s="82" t="str">
        <f aca="false">IF(B425="","",IFERROR(INDEX('CARNET DE SOUDURE'!$E$7:$E$3006,MATCH(B425,'CARNET DE SOUDURE'!$L$7:$L$3006,0)),""))</f>
        <v>JN°1074</v>
      </c>
      <c r="L425" s="82" t="n">
        <f aca="false">IF(B425="","",IFERROR(INDEX('CARNET DE SOUDURE'!$D$7:$D$3006,MATCH(B425,'CARNET DE SOUDURE'!$L$7:$L$3006,0)),IFERROR(INDEX('CARNET DE SOUDURE'!$D$7:$D$3006,MATCH(B425,'CARNET DE SOUDURE'!$O$7:$O$3006,0)),"")))</f>
        <v>10</v>
      </c>
      <c r="M425" s="82" t="str">
        <f aca="false">IF(B425="","",IF(OR(J425&lt;&gt;"",K425&lt;&gt;""),"POSÉ EN LIGNE",IF(COUNTIF(BARDAGE!$C$1:$C$5000,B425)&gt;0,"BARDÉ","EN STOCK")))</f>
        <v>POSÉ EN LIGNE</v>
      </c>
      <c r="N425" s="80"/>
    </row>
    <row r="426" customFormat="false" ht="15" hidden="false" customHeight="false" outlineLevel="0" collapsed="false">
      <c r="A426" s="82" t="n">
        <f aca="false">IF(B426="","",ROW()-6)</f>
        <v>420</v>
      </c>
      <c r="B426" s="145" t="n">
        <v>2079210</v>
      </c>
      <c r="C426" s="146" t="n">
        <v>15421102</v>
      </c>
      <c r="D426" s="146"/>
      <c r="E426" s="82" t="str">
        <f aca="false">IF(B426="","",IF(COUNTIFS('CARNET DE SOUDURE'!$L$7:$L$3006,B426,'CARNET DE SOUDURE'!$M$7:$M$3006,"&lt;&gt;"&amp;C426,'CARNET DE SOUDURE'!$M$7:$M$3006,"&lt;&gt;")+COUNTIFS('CARNET DE SOUDURE'!$O$7:$O$3006,B426,'CARNET DE SOUDURE'!$P$7:$P$3006,"&lt;&gt;"&amp;C426,'CARNET DE SOUDURE'!$P$7:$P$3006,"&lt;&gt;")&gt;0,"⚠ DIFFÉRENTE","OK"))</f>
        <v>OK</v>
      </c>
      <c r="F426" s="147" t="n">
        <v>11.94</v>
      </c>
      <c r="G426" s="80"/>
      <c r="H426" s="83"/>
      <c r="I426" s="148" t="str">
        <f aca="false">IF(B426="","",IFERROR(INDEX('CARNET DE SOUDURE'!$B$7:$B$3006,MATCH(B426,'CARNET DE SOUDURE'!$L$7:$L$3006,0)),IFERROR(INDEX('CARNET DE SOUDURE'!$B$7:$B$3006,MATCH(B426,'CARNET DE SOUDURE'!$O$7:$O$3006,0)),"")))</f>
        <v>MFD-ISW → MFD-CPF</v>
      </c>
      <c r="J426" s="82" t="str">
        <f aca="false">IF(B426="","",IFERROR(INDEX('CARNET DE SOUDURE'!$E$7:$E$3006,MATCH(B426,'CARNET DE SOUDURE'!$O$7:$O$3006,0)),""))</f>
        <v>JN°1074</v>
      </c>
      <c r="K426" s="82" t="str">
        <f aca="false">IF(B426="","",IFERROR(INDEX('CARNET DE SOUDURE'!$E$7:$E$3006,MATCH(B426,'CARNET DE SOUDURE'!$L$7:$L$3006,0)),""))</f>
        <v>DJ°308</v>
      </c>
      <c r="L426" s="82" t="n">
        <f aca="false">IF(B426="","",IFERROR(INDEX('CARNET DE SOUDURE'!$D$7:$D$3006,MATCH(B426,'CARNET DE SOUDURE'!$L$7:$L$3006,0)),IFERROR(INDEX('CARNET DE SOUDURE'!$D$7:$D$3006,MATCH(B426,'CARNET DE SOUDURE'!$O$7:$O$3006,0)),"")))</f>
        <v>10</v>
      </c>
      <c r="M426" s="82" t="str">
        <f aca="false">IF(B426="","",IF(OR(J426&lt;&gt;"",K426&lt;&gt;""),"POSÉ EN LIGNE",IF(COUNTIF(BARDAGE!$C$1:$C$5000,B426)&gt;0,"BARDÉ","EN STOCK")))</f>
        <v>POSÉ EN LIGNE</v>
      </c>
      <c r="N426" s="80"/>
    </row>
    <row r="427" customFormat="false" ht="15" hidden="false" customHeight="false" outlineLevel="0" collapsed="false">
      <c r="A427" s="82" t="n">
        <f aca="false">IF(B427="","",ROW()-6)</f>
        <v>421</v>
      </c>
      <c r="B427" s="145" t="n">
        <v>2080910</v>
      </c>
      <c r="C427" s="146" t="n">
        <v>15421103</v>
      </c>
      <c r="D427" s="146"/>
      <c r="E427" s="82" t="str">
        <f aca="false">IF(B427="","",IF(COUNTIFS('CARNET DE SOUDURE'!$L$7:$L$3006,B427,'CARNET DE SOUDURE'!$M$7:$M$3006,"&lt;&gt;"&amp;C427,'CARNET DE SOUDURE'!$M$7:$M$3006,"&lt;&gt;")+COUNTIFS('CARNET DE SOUDURE'!$O$7:$O$3006,B427,'CARNET DE SOUDURE'!$P$7:$P$3006,"&lt;&gt;"&amp;C427,'CARNET DE SOUDURE'!$P$7:$P$3006,"&lt;&gt;")&gt;0,"⚠ DIFFÉRENTE","OK"))</f>
        <v>OK</v>
      </c>
      <c r="F427" s="147" t="n">
        <v>11.94</v>
      </c>
      <c r="G427" s="80"/>
      <c r="H427" s="83"/>
      <c r="I427" s="148" t="str">
        <f aca="false">IF(B427="","",IFERROR(INDEX('CARNET DE SOUDURE'!$B$7:$B$3006,MATCH(B427,'CARNET DE SOUDURE'!$L$7:$L$3006,0)),IFERROR(INDEX('CARNET DE SOUDURE'!$B$7:$B$3006,MATCH(B427,'CARNET DE SOUDURE'!$O$7:$O$3006,0)),"")))</f>
        <v>MFD-ISW → MFD-CPF</v>
      </c>
      <c r="J427" s="82" t="str">
        <f aca="false">IF(B427="","",IFERROR(INDEX('CARNET DE SOUDURE'!$E$7:$E$3006,MATCH(B427,'CARNET DE SOUDURE'!$O$7:$O$3006,0)),""))</f>
        <v>DJ°308</v>
      </c>
      <c r="K427" s="82" t="str">
        <f aca="false">IF(B427="","",IFERROR(INDEX('CARNET DE SOUDURE'!$E$7:$E$3006,MATCH(B427,'CARNET DE SOUDURE'!$L$7:$L$3006,0)),""))</f>
        <v>JN°1075</v>
      </c>
      <c r="L427" s="82" t="n">
        <f aca="false">IF(B427="","",IFERROR(INDEX('CARNET DE SOUDURE'!$D$7:$D$3006,MATCH(B427,'CARNET DE SOUDURE'!$L$7:$L$3006,0)),IFERROR(INDEX('CARNET DE SOUDURE'!$D$7:$D$3006,MATCH(B427,'CARNET DE SOUDURE'!$O$7:$O$3006,0)),"")))</f>
        <v>10</v>
      </c>
      <c r="M427" s="82" t="str">
        <f aca="false">IF(B427="","",IF(OR(J427&lt;&gt;"",K427&lt;&gt;""),"POSÉ EN LIGNE",IF(COUNTIF(BARDAGE!$C$1:$C$5000,B427)&gt;0,"BARDÉ","EN STOCK")))</f>
        <v>POSÉ EN LIGNE</v>
      </c>
      <c r="N427" s="80"/>
    </row>
    <row r="428" customFormat="false" ht="15" hidden="false" customHeight="false" outlineLevel="0" collapsed="false">
      <c r="A428" s="82" t="n">
        <f aca="false">IF(B428="","",ROW()-6)</f>
        <v>422</v>
      </c>
      <c r="B428" s="145" t="n">
        <v>2084070</v>
      </c>
      <c r="C428" s="146" t="n">
        <v>15421106</v>
      </c>
      <c r="D428" s="146"/>
      <c r="E428" s="82" t="str">
        <f aca="false">IF(B428="","",IF(COUNTIFS('CARNET DE SOUDURE'!$L$7:$L$3006,B428,'CARNET DE SOUDURE'!$M$7:$M$3006,"&lt;&gt;"&amp;C428,'CARNET DE SOUDURE'!$M$7:$M$3006,"&lt;&gt;")+COUNTIFS('CARNET DE SOUDURE'!$O$7:$O$3006,B428,'CARNET DE SOUDURE'!$P$7:$P$3006,"&lt;&gt;"&amp;C428,'CARNET DE SOUDURE'!$P$7:$P$3006,"&lt;&gt;")&gt;0,"⚠ DIFFÉRENTE","OK"))</f>
        <v>OK</v>
      </c>
      <c r="F428" s="147" t="n">
        <v>11.94</v>
      </c>
      <c r="G428" s="80"/>
      <c r="H428" s="83"/>
      <c r="I428" s="148" t="str">
        <f aca="false">IF(B428="","",IFERROR(INDEX('CARNET DE SOUDURE'!$B$7:$B$3006,MATCH(B428,'CARNET DE SOUDURE'!$L$7:$L$3006,0)),IFERROR(INDEX('CARNET DE SOUDURE'!$B$7:$B$3006,MATCH(B428,'CARNET DE SOUDURE'!$O$7:$O$3006,0)),"")))</f>
        <v>MFD-ISW → MFD-CPF</v>
      </c>
      <c r="J428" s="82" t="str">
        <f aca="false">IF(B428="","",IFERROR(INDEX('CARNET DE SOUDURE'!$E$7:$E$3006,MATCH(B428,'CARNET DE SOUDURE'!$O$7:$O$3006,0)),""))</f>
        <v>JN°1075</v>
      </c>
      <c r="K428" s="82" t="str">
        <f aca="false">IF(B428="","",IFERROR(INDEX('CARNET DE SOUDURE'!$E$7:$E$3006,MATCH(B428,'CARNET DE SOUDURE'!$L$7:$L$3006,0)),""))</f>
        <v>DJ°311</v>
      </c>
      <c r="L428" s="82" t="n">
        <f aca="false">IF(B428="","",IFERROR(INDEX('CARNET DE SOUDURE'!$D$7:$D$3006,MATCH(B428,'CARNET DE SOUDURE'!$L$7:$L$3006,0)),IFERROR(INDEX('CARNET DE SOUDURE'!$D$7:$D$3006,MATCH(B428,'CARNET DE SOUDURE'!$O$7:$O$3006,0)),"")))</f>
        <v>10</v>
      </c>
      <c r="M428" s="82" t="str">
        <f aca="false">IF(B428="","",IF(OR(J428&lt;&gt;"",K428&lt;&gt;""),"POSÉ EN LIGNE",IF(COUNTIF(BARDAGE!$C$1:$C$5000,B428)&gt;0,"BARDÉ","EN STOCK")))</f>
        <v>POSÉ EN LIGNE</v>
      </c>
      <c r="N428" s="80"/>
    </row>
    <row r="429" customFormat="false" ht="15" hidden="false" customHeight="false" outlineLevel="0" collapsed="false">
      <c r="A429" s="82" t="n">
        <f aca="false">IF(B429="","",ROW()-6)</f>
        <v>423</v>
      </c>
      <c r="B429" s="145" t="n">
        <v>2089540</v>
      </c>
      <c r="C429" s="146" t="n">
        <v>15421109</v>
      </c>
      <c r="D429" s="146"/>
      <c r="E429" s="82" t="str">
        <f aca="false">IF(B429="","",IF(COUNTIFS('CARNET DE SOUDURE'!$L$7:$L$3006,B429,'CARNET DE SOUDURE'!$M$7:$M$3006,"&lt;&gt;"&amp;C429,'CARNET DE SOUDURE'!$M$7:$M$3006,"&lt;&gt;")+COUNTIFS('CARNET DE SOUDURE'!$O$7:$O$3006,B429,'CARNET DE SOUDURE'!$P$7:$P$3006,"&lt;&gt;"&amp;C429,'CARNET DE SOUDURE'!$P$7:$P$3006,"&lt;&gt;")&gt;0,"⚠ DIFFÉRENTE","OK"))</f>
        <v>OK</v>
      </c>
      <c r="F429" s="147" t="n">
        <v>11.94</v>
      </c>
      <c r="G429" s="80"/>
      <c r="H429" s="83"/>
      <c r="I429" s="148" t="str">
        <f aca="false">IF(B429="","",IFERROR(INDEX('CARNET DE SOUDURE'!$B$7:$B$3006,MATCH(B429,'CARNET DE SOUDURE'!$L$7:$L$3006,0)),IFERROR(INDEX('CARNET DE SOUDURE'!$B$7:$B$3006,MATCH(B429,'CARNET DE SOUDURE'!$O$7:$O$3006,0)),"")))</f>
        <v>MFD-ISW → MFD-CPF</v>
      </c>
      <c r="J429" s="82" t="str">
        <f aca="false">IF(B429="","",IFERROR(INDEX('CARNET DE SOUDURE'!$E$7:$E$3006,MATCH(B429,'CARNET DE SOUDURE'!$O$7:$O$3006,0)),""))</f>
        <v>DJ°311</v>
      </c>
      <c r="K429" s="82" t="str">
        <f aca="false">IF(B429="","",IFERROR(INDEX('CARNET DE SOUDURE'!$E$7:$E$3006,MATCH(B429,'CARNET DE SOUDURE'!$L$7:$L$3006,0)),""))</f>
        <v>JN°1076</v>
      </c>
      <c r="L429" s="82" t="n">
        <f aca="false">IF(B429="","",IFERROR(INDEX('CARNET DE SOUDURE'!$D$7:$D$3006,MATCH(B429,'CARNET DE SOUDURE'!$L$7:$L$3006,0)),IFERROR(INDEX('CARNET DE SOUDURE'!$D$7:$D$3006,MATCH(B429,'CARNET DE SOUDURE'!$O$7:$O$3006,0)),"")))</f>
        <v>10</v>
      </c>
      <c r="M429" s="82" t="str">
        <f aca="false">IF(B429="","",IF(OR(J429&lt;&gt;"",K429&lt;&gt;""),"POSÉ EN LIGNE",IF(COUNTIF(BARDAGE!$C$1:$C$5000,B429)&gt;0,"BARDÉ","EN STOCK")))</f>
        <v>POSÉ EN LIGNE</v>
      </c>
      <c r="N429" s="80"/>
    </row>
    <row r="430" customFormat="false" ht="15" hidden="false" customHeight="false" outlineLevel="0" collapsed="false">
      <c r="A430" s="82" t="n">
        <f aca="false">IF(B430="","",ROW()-6)</f>
        <v>424</v>
      </c>
      <c r="B430" s="145" t="n">
        <v>2090260</v>
      </c>
      <c r="C430" s="146" t="n">
        <v>15421109</v>
      </c>
      <c r="D430" s="146"/>
      <c r="E430" s="82" t="str">
        <f aca="false">IF(B430="","",IF(COUNTIFS('CARNET DE SOUDURE'!$L$7:$L$3006,B430,'CARNET DE SOUDURE'!$M$7:$M$3006,"&lt;&gt;"&amp;C430,'CARNET DE SOUDURE'!$M$7:$M$3006,"&lt;&gt;")+COUNTIFS('CARNET DE SOUDURE'!$O$7:$O$3006,B430,'CARNET DE SOUDURE'!$P$7:$P$3006,"&lt;&gt;"&amp;C430,'CARNET DE SOUDURE'!$P$7:$P$3006,"&lt;&gt;")&gt;0,"⚠ DIFFÉRENTE","OK"))</f>
        <v>OK</v>
      </c>
      <c r="F430" s="147" t="n">
        <v>11.94</v>
      </c>
      <c r="G430" s="80"/>
      <c r="H430" s="83"/>
      <c r="I430" s="148" t="str">
        <f aca="false">IF(B430="","",IFERROR(INDEX('CARNET DE SOUDURE'!$B$7:$B$3006,MATCH(B430,'CARNET DE SOUDURE'!$L$7:$L$3006,0)),IFERROR(INDEX('CARNET DE SOUDURE'!$B$7:$B$3006,MATCH(B430,'CARNET DE SOUDURE'!$O$7:$O$3006,0)),"")))</f>
        <v>MFD-ISW → MFD-CPF</v>
      </c>
      <c r="J430" s="82" t="str">
        <f aca="false">IF(B430="","",IFERROR(INDEX('CARNET DE SOUDURE'!$E$7:$E$3006,MATCH(B430,'CARNET DE SOUDURE'!$O$7:$O$3006,0)),""))</f>
        <v>JN°1076</v>
      </c>
      <c r="K430" s="82" t="str">
        <f aca="false">IF(B430="","",IFERROR(INDEX('CARNET DE SOUDURE'!$E$7:$E$3006,MATCH(B430,'CARNET DE SOUDURE'!$L$7:$L$3006,0)),""))</f>
        <v>DJ°309</v>
      </c>
      <c r="L430" s="82" t="n">
        <f aca="false">IF(B430="","",IFERROR(INDEX('CARNET DE SOUDURE'!$D$7:$D$3006,MATCH(B430,'CARNET DE SOUDURE'!$L$7:$L$3006,0)),IFERROR(INDEX('CARNET DE SOUDURE'!$D$7:$D$3006,MATCH(B430,'CARNET DE SOUDURE'!$O$7:$O$3006,0)),"")))</f>
        <v>10</v>
      </c>
      <c r="M430" s="82" t="str">
        <f aca="false">IF(B430="","",IF(OR(J430&lt;&gt;"",K430&lt;&gt;""),"POSÉ EN LIGNE",IF(COUNTIF(BARDAGE!$C$1:$C$5000,B430)&gt;0,"BARDÉ","EN STOCK")))</f>
        <v>POSÉ EN LIGNE</v>
      </c>
      <c r="N430" s="80"/>
    </row>
    <row r="431" customFormat="false" ht="15" hidden="false" customHeight="false" outlineLevel="0" collapsed="false">
      <c r="A431" s="82" t="n">
        <f aca="false">IF(B431="","",ROW()-6)</f>
        <v>425</v>
      </c>
      <c r="B431" s="145" t="n">
        <v>2090330</v>
      </c>
      <c r="C431" s="146" t="n">
        <v>15421109</v>
      </c>
      <c r="D431" s="146"/>
      <c r="E431" s="82" t="str">
        <f aca="false">IF(B431="","",IF(COUNTIFS('CARNET DE SOUDURE'!$L$7:$L$3006,B431,'CARNET DE SOUDURE'!$M$7:$M$3006,"&lt;&gt;"&amp;C431,'CARNET DE SOUDURE'!$M$7:$M$3006,"&lt;&gt;")+COUNTIFS('CARNET DE SOUDURE'!$O$7:$O$3006,B431,'CARNET DE SOUDURE'!$P$7:$P$3006,"&lt;&gt;"&amp;C431,'CARNET DE SOUDURE'!$P$7:$P$3006,"&lt;&gt;")&gt;0,"⚠ DIFFÉRENTE","OK"))</f>
        <v>OK</v>
      </c>
      <c r="F431" s="147" t="n">
        <v>11.94</v>
      </c>
      <c r="G431" s="80"/>
      <c r="H431" s="83"/>
      <c r="I431" s="148" t="str">
        <f aca="false">IF(B431="","",IFERROR(INDEX('CARNET DE SOUDURE'!$B$7:$B$3006,MATCH(B431,'CARNET DE SOUDURE'!$L$7:$L$3006,0)),IFERROR(INDEX('CARNET DE SOUDURE'!$B$7:$B$3006,MATCH(B431,'CARNET DE SOUDURE'!$O$7:$O$3006,0)),"")))</f>
        <v>MFD-ISW → MFD-CPF</v>
      </c>
      <c r="J431" s="82" t="str">
        <f aca="false">IF(B431="","",IFERROR(INDEX('CARNET DE SOUDURE'!$E$7:$E$3006,MATCH(B431,'CARNET DE SOUDURE'!$O$7:$O$3006,0)),""))</f>
        <v>DJ°309</v>
      </c>
      <c r="K431" s="82" t="str">
        <f aca="false">IF(B431="","",IFERROR(INDEX('CARNET DE SOUDURE'!$E$7:$E$3006,MATCH(B431,'CARNET DE SOUDURE'!$L$7:$L$3006,0)),""))</f>
        <v>JN°1077</v>
      </c>
      <c r="L431" s="82" t="n">
        <f aca="false">IF(B431="","",IFERROR(INDEX('CARNET DE SOUDURE'!$D$7:$D$3006,MATCH(B431,'CARNET DE SOUDURE'!$L$7:$L$3006,0)),IFERROR(INDEX('CARNET DE SOUDURE'!$D$7:$D$3006,MATCH(B431,'CARNET DE SOUDURE'!$O$7:$O$3006,0)),"")))</f>
        <v>10</v>
      </c>
      <c r="M431" s="82" t="str">
        <f aca="false">IF(B431="","",IF(OR(J431&lt;&gt;"",K431&lt;&gt;""),"POSÉ EN LIGNE",IF(COUNTIF(BARDAGE!$C$1:$C$5000,B431)&gt;0,"BARDÉ","EN STOCK")))</f>
        <v>POSÉ EN LIGNE</v>
      </c>
      <c r="N431" s="80"/>
    </row>
    <row r="432" customFormat="false" ht="15" hidden="false" customHeight="false" outlineLevel="0" collapsed="false">
      <c r="A432" s="82" t="n">
        <f aca="false">IF(B432="","",ROW()-6)</f>
        <v>426</v>
      </c>
      <c r="B432" s="145" t="n">
        <v>2078520</v>
      </c>
      <c r="C432" s="146" t="n">
        <v>15421101</v>
      </c>
      <c r="D432" s="146"/>
      <c r="E432" s="82" t="str">
        <f aca="false">IF(B432="","",IF(COUNTIFS('CARNET DE SOUDURE'!$L$7:$L$3006,B432,'CARNET DE SOUDURE'!$M$7:$M$3006,"&lt;&gt;"&amp;C432,'CARNET DE SOUDURE'!$M$7:$M$3006,"&lt;&gt;")+COUNTIFS('CARNET DE SOUDURE'!$O$7:$O$3006,B432,'CARNET DE SOUDURE'!$P$7:$P$3006,"&lt;&gt;"&amp;C432,'CARNET DE SOUDURE'!$P$7:$P$3006,"&lt;&gt;")&gt;0,"⚠ DIFFÉRENTE","OK"))</f>
        <v>OK</v>
      </c>
      <c r="F432" s="147" t="n">
        <v>11.94</v>
      </c>
      <c r="G432" s="80"/>
      <c r="H432" s="83"/>
      <c r="I432" s="148" t="str">
        <f aca="false">IF(B432="","",IFERROR(INDEX('CARNET DE SOUDURE'!$B$7:$B$3006,MATCH(B432,'CARNET DE SOUDURE'!$L$7:$L$3006,0)),IFERROR(INDEX('CARNET DE SOUDURE'!$B$7:$B$3006,MATCH(B432,'CARNET DE SOUDURE'!$O$7:$O$3006,0)),"")))</f>
        <v>MFD-ISW → MFD-CPF</v>
      </c>
      <c r="J432" s="82" t="str">
        <f aca="false">IF(B432="","",IFERROR(INDEX('CARNET DE SOUDURE'!$E$7:$E$3006,MATCH(B432,'CARNET DE SOUDURE'!$O$7:$O$3006,0)),""))</f>
        <v>JN°1079</v>
      </c>
      <c r="K432" s="82" t="str">
        <f aca="false">IF(B432="","",IFERROR(INDEX('CARNET DE SOUDURE'!$E$7:$E$3006,MATCH(B432,'CARNET DE SOUDURE'!$L$7:$L$3006,0)),""))</f>
        <v>DJ°312</v>
      </c>
      <c r="L432" s="82" t="n">
        <f aca="false">IF(B432="","",IFERROR(INDEX('CARNET DE SOUDURE'!$D$7:$D$3006,MATCH(B432,'CARNET DE SOUDURE'!$L$7:$L$3006,0)),IFERROR(INDEX('CARNET DE SOUDURE'!$D$7:$D$3006,MATCH(B432,'CARNET DE SOUDURE'!$O$7:$O$3006,0)),"")))</f>
        <v>10</v>
      </c>
      <c r="M432" s="82" t="str">
        <f aca="false">IF(B432="","",IF(OR(J432&lt;&gt;"",K432&lt;&gt;""),"POSÉ EN LIGNE",IF(COUNTIF(BARDAGE!$C$1:$C$5000,B432)&gt;0,"BARDÉ","EN STOCK")))</f>
        <v>POSÉ EN LIGNE</v>
      </c>
      <c r="N432" s="80"/>
    </row>
    <row r="433" customFormat="false" ht="15" hidden="false" customHeight="false" outlineLevel="0" collapsed="false">
      <c r="A433" s="82" t="n">
        <f aca="false">IF(B433="","",ROW()-6)</f>
        <v>427</v>
      </c>
      <c r="B433" s="145" t="n">
        <v>2090960</v>
      </c>
      <c r="C433" s="146" t="n">
        <v>15421104</v>
      </c>
      <c r="D433" s="146"/>
      <c r="E433" s="82" t="str">
        <f aca="false">IF(B433="","",IF(COUNTIFS('CARNET DE SOUDURE'!$L$7:$L$3006,B433,'CARNET DE SOUDURE'!$M$7:$M$3006,"&lt;&gt;"&amp;C433,'CARNET DE SOUDURE'!$M$7:$M$3006,"&lt;&gt;")+COUNTIFS('CARNET DE SOUDURE'!$O$7:$O$3006,B433,'CARNET DE SOUDURE'!$P$7:$P$3006,"&lt;&gt;"&amp;C433,'CARNET DE SOUDURE'!$P$7:$P$3006,"&lt;&gt;")&gt;0,"⚠ DIFFÉRENTE","OK"))</f>
        <v>OK</v>
      </c>
      <c r="F433" s="147" t="n">
        <v>11.94</v>
      </c>
      <c r="G433" s="80"/>
      <c r="H433" s="83"/>
      <c r="I433" s="148" t="str">
        <f aca="false">IF(B433="","",IFERROR(INDEX('CARNET DE SOUDURE'!$B$7:$B$3006,MATCH(B433,'CARNET DE SOUDURE'!$L$7:$L$3006,0)),IFERROR(INDEX('CARNET DE SOUDURE'!$B$7:$B$3006,MATCH(B433,'CARNET DE SOUDURE'!$O$7:$O$3006,0)),"")))</f>
        <v>MFD-ISW → MFD-CPF</v>
      </c>
      <c r="J433" s="82" t="str">
        <f aca="false">IF(B433="","",IFERROR(INDEX('CARNET DE SOUDURE'!$E$7:$E$3006,MATCH(B433,'CARNET DE SOUDURE'!$O$7:$O$3006,0)),""))</f>
        <v>DJ°312</v>
      </c>
      <c r="K433" s="82" t="str">
        <f aca="false">IF(B433="","",IFERROR(INDEX('CARNET DE SOUDURE'!$E$7:$E$3006,MATCH(B433,'CARNET DE SOUDURE'!$L$7:$L$3006,0)),""))</f>
        <v>JN°1080</v>
      </c>
      <c r="L433" s="82" t="n">
        <f aca="false">IF(B433="","",IFERROR(INDEX('CARNET DE SOUDURE'!$D$7:$D$3006,MATCH(B433,'CARNET DE SOUDURE'!$L$7:$L$3006,0)),IFERROR(INDEX('CARNET DE SOUDURE'!$D$7:$D$3006,MATCH(B433,'CARNET DE SOUDURE'!$O$7:$O$3006,0)),"")))</f>
        <v>10</v>
      </c>
      <c r="M433" s="82" t="str">
        <f aca="false">IF(B433="","",IF(OR(J433&lt;&gt;"",K433&lt;&gt;""),"POSÉ EN LIGNE",IF(COUNTIF(BARDAGE!$C$1:$C$5000,B433)&gt;0,"BARDÉ","EN STOCK")))</f>
        <v>POSÉ EN LIGNE</v>
      </c>
      <c r="N433" s="80"/>
    </row>
    <row r="434" customFormat="false" ht="15" hidden="false" customHeight="false" outlineLevel="0" collapsed="false">
      <c r="A434" s="82" t="n">
        <f aca="false">IF(B434="","",ROW()-6)</f>
        <v>428</v>
      </c>
      <c r="B434" s="145" t="n">
        <v>2084330</v>
      </c>
      <c r="C434" s="146" t="n">
        <v>15421106</v>
      </c>
      <c r="D434" s="146"/>
      <c r="E434" s="82" t="str">
        <f aca="false">IF(B434="","",IF(COUNTIFS('CARNET DE SOUDURE'!$L$7:$L$3006,B434,'CARNET DE SOUDURE'!$M$7:$M$3006,"&lt;&gt;"&amp;C434,'CARNET DE SOUDURE'!$M$7:$M$3006,"&lt;&gt;")+COUNTIFS('CARNET DE SOUDURE'!$O$7:$O$3006,B434,'CARNET DE SOUDURE'!$P$7:$P$3006,"&lt;&gt;"&amp;C434,'CARNET DE SOUDURE'!$P$7:$P$3006,"&lt;&gt;")&gt;0,"⚠ DIFFÉRENTE","OK"))</f>
        <v>OK</v>
      </c>
      <c r="F434" s="147" t="n">
        <v>11.94</v>
      </c>
      <c r="G434" s="80"/>
      <c r="H434" s="83"/>
      <c r="I434" s="148" t="str">
        <f aca="false">IF(B434="","",IFERROR(INDEX('CARNET DE SOUDURE'!$B$7:$B$3006,MATCH(B434,'CARNET DE SOUDURE'!$L$7:$L$3006,0)),IFERROR(INDEX('CARNET DE SOUDURE'!$B$7:$B$3006,MATCH(B434,'CARNET DE SOUDURE'!$O$7:$O$3006,0)),"")))</f>
        <v>MFD-ISW → MFD-CPF</v>
      </c>
      <c r="J434" s="82" t="str">
        <f aca="false">IF(B434="","",IFERROR(INDEX('CARNET DE SOUDURE'!$E$7:$E$3006,MATCH(B434,'CARNET DE SOUDURE'!$O$7:$O$3006,0)),""))</f>
        <v>JN°1080</v>
      </c>
      <c r="K434" s="82" t="str">
        <f aca="false">IF(B434="","",IFERROR(INDEX('CARNET DE SOUDURE'!$E$7:$E$3006,MATCH(B434,'CARNET DE SOUDURE'!$L$7:$L$3006,0)),""))</f>
        <v>DJ°310</v>
      </c>
      <c r="L434" s="82" t="n">
        <f aca="false">IF(B434="","",IFERROR(INDEX('CARNET DE SOUDURE'!$D$7:$D$3006,MATCH(B434,'CARNET DE SOUDURE'!$L$7:$L$3006,0)),IFERROR(INDEX('CARNET DE SOUDURE'!$D$7:$D$3006,MATCH(B434,'CARNET DE SOUDURE'!$O$7:$O$3006,0)),"")))</f>
        <v>10</v>
      </c>
      <c r="M434" s="82" t="str">
        <f aca="false">IF(B434="","",IF(OR(J434&lt;&gt;"",K434&lt;&gt;""),"POSÉ EN LIGNE",IF(COUNTIF(BARDAGE!$C$1:$C$5000,B434)&gt;0,"BARDÉ","EN STOCK")))</f>
        <v>POSÉ EN LIGNE</v>
      </c>
      <c r="N434" s="80"/>
    </row>
    <row r="435" customFormat="false" ht="15" hidden="false" customHeight="false" outlineLevel="0" collapsed="false">
      <c r="A435" s="82" t="n">
        <f aca="false">IF(B435="","",ROW()-6)</f>
        <v>429</v>
      </c>
      <c r="B435" s="145" t="n">
        <v>2078630</v>
      </c>
      <c r="C435" s="146" t="n">
        <v>15421101</v>
      </c>
      <c r="D435" s="146"/>
      <c r="E435" s="82" t="str">
        <f aca="false">IF(B435="","",IF(COUNTIFS('CARNET DE SOUDURE'!$L$7:$L$3006,B435,'CARNET DE SOUDURE'!$M$7:$M$3006,"&lt;&gt;"&amp;C435,'CARNET DE SOUDURE'!$M$7:$M$3006,"&lt;&gt;")+COUNTIFS('CARNET DE SOUDURE'!$O$7:$O$3006,B435,'CARNET DE SOUDURE'!$P$7:$P$3006,"&lt;&gt;"&amp;C435,'CARNET DE SOUDURE'!$P$7:$P$3006,"&lt;&gt;")&gt;0,"⚠ DIFFÉRENTE","OK"))</f>
        <v>OK</v>
      </c>
      <c r="F435" s="147" t="n">
        <v>11.94</v>
      </c>
      <c r="G435" s="80"/>
      <c r="H435" s="83"/>
      <c r="I435" s="148" t="str">
        <f aca="false">IF(B435="","",IFERROR(INDEX('CARNET DE SOUDURE'!$B$7:$B$3006,MATCH(B435,'CARNET DE SOUDURE'!$L$7:$L$3006,0)),IFERROR(INDEX('CARNET DE SOUDURE'!$B$7:$B$3006,MATCH(B435,'CARNET DE SOUDURE'!$O$7:$O$3006,0)),"")))</f>
        <v>MFD-ISW → MFD-CPF</v>
      </c>
      <c r="J435" s="82" t="str">
        <f aca="false">IF(B435="","",IFERROR(INDEX('CARNET DE SOUDURE'!$E$7:$E$3006,MATCH(B435,'CARNET DE SOUDURE'!$O$7:$O$3006,0)),""))</f>
        <v>DJ°310</v>
      </c>
      <c r="K435" s="82" t="str">
        <f aca="false">IF(B435="","",IFERROR(INDEX('CARNET DE SOUDURE'!$E$7:$E$3006,MATCH(B435,'CARNET DE SOUDURE'!$L$7:$L$3006,0)),""))</f>
        <v>JN°1081</v>
      </c>
      <c r="L435" s="82" t="n">
        <f aca="false">IF(B435="","",IFERROR(INDEX('CARNET DE SOUDURE'!$D$7:$D$3006,MATCH(B435,'CARNET DE SOUDURE'!$L$7:$L$3006,0)),IFERROR(INDEX('CARNET DE SOUDURE'!$D$7:$D$3006,MATCH(B435,'CARNET DE SOUDURE'!$O$7:$O$3006,0)),"")))</f>
        <v>10</v>
      </c>
      <c r="M435" s="82" t="str">
        <f aca="false">IF(B435="","",IF(OR(J435&lt;&gt;"",K435&lt;&gt;""),"POSÉ EN LIGNE",IF(COUNTIF(BARDAGE!$C$1:$C$5000,B435)&gt;0,"BARDÉ","EN STOCK")))</f>
        <v>POSÉ EN LIGNE</v>
      </c>
      <c r="N435" s="80"/>
    </row>
    <row r="436" customFormat="false" ht="15" hidden="false" customHeight="false" outlineLevel="0" collapsed="false">
      <c r="A436" s="82" t="n">
        <f aca="false">IF(B436="","",ROW()-6)</f>
        <v>430</v>
      </c>
      <c r="B436" s="145" t="n">
        <v>2082130</v>
      </c>
      <c r="C436" s="146" t="n">
        <v>15421104</v>
      </c>
      <c r="D436" s="146"/>
      <c r="E436" s="82" t="str">
        <f aca="false">IF(B436="","",IF(COUNTIFS('CARNET DE SOUDURE'!$L$7:$L$3006,B436,'CARNET DE SOUDURE'!$M$7:$M$3006,"&lt;&gt;"&amp;C436,'CARNET DE SOUDURE'!$M$7:$M$3006,"&lt;&gt;")+COUNTIFS('CARNET DE SOUDURE'!$O$7:$O$3006,B436,'CARNET DE SOUDURE'!$P$7:$P$3006,"&lt;&gt;"&amp;C436,'CARNET DE SOUDURE'!$P$7:$P$3006,"&lt;&gt;")&gt;0,"⚠ DIFFÉRENTE","OK"))</f>
        <v>OK</v>
      </c>
      <c r="F436" s="147" t="n">
        <v>11.94</v>
      </c>
      <c r="G436" s="80"/>
      <c r="H436" s="83"/>
      <c r="I436" s="148" t="str">
        <f aca="false">IF(B436="","",IFERROR(INDEX('CARNET DE SOUDURE'!$B$7:$B$3006,MATCH(B436,'CARNET DE SOUDURE'!$L$7:$L$3006,0)),IFERROR(INDEX('CARNET DE SOUDURE'!$B$7:$B$3006,MATCH(B436,'CARNET DE SOUDURE'!$O$7:$O$3006,0)),"")))</f>
        <v>MFD-ISW → MFD-CPF</v>
      </c>
      <c r="J436" s="82" t="str">
        <f aca="false">IF(B436="","",IFERROR(INDEX('CARNET DE SOUDURE'!$E$7:$E$3006,MATCH(B436,'CARNET DE SOUDURE'!$O$7:$O$3006,0)),""))</f>
        <v>JN°1081</v>
      </c>
      <c r="K436" s="82" t="str">
        <f aca="false">IF(B436="","",IFERROR(INDEX('CARNET DE SOUDURE'!$E$7:$E$3006,MATCH(B436,'CARNET DE SOUDURE'!$L$7:$L$3006,0)),""))</f>
        <v>DJ°304</v>
      </c>
      <c r="L436" s="82" t="n">
        <f aca="false">IF(B436="","",IFERROR(INDEX('CARNET DE SOUDURE'!$D$7:$D$3006,MATCH(B436,'CARNET DE SOUDURE'!$L$7:$L$3006,0)),IFERROR(INDEX('CARNET DE SOUDURE'!$D$7:$D$3006,MATCH(B436,'CARNET DE SOUDURE'!$O$7:$O$3006,0)),"")))</f>
        <v>10</v>
      </c>
      <c r="M436" s="82" t="str">
        <f aca="false">IF(B436="","",IF(OR(J436&lt;&gt;"",K436&lt;&gt;""),"POSÉ EN LIGNE",IF(COUNTIF(BARDAGE!$C$1:$C$5000,B436)&gt;0,"BARDÉ","EN STOCK")))</f>
        <v>POSÉ EN LIGNE</v>
      </c>
      <c r="N436" s="80"/>
    </row>
    <row r="437" customFormat="false" ht="15" hidden="false" customHeight="false" outlineLevel="0" collapsed="false">
      <c r="A437" s="82" t="n">
        <f aca="false">IF(B437="","",ROW()-6)</f>
        <v>431</v>
      </c>
      <c r="B437" s="145" t="n">
        <v>2091810</v>
      </c>
      <c r="C437" s="146" t="n">
        <v>15421109</v>
      </c>
      <c r="D437" s="146"/>
      <c r="E437" s="82" t="str">
        <f aca="false">IF(B437="","",IF(COUNTIFS('CARNET DE SOUDURE'!$L$7:$L$3006,B437,'CARNET DE SOUDURE'!$M$7:$M$3006,"&lt;&gt;"&amp;C437,'CARNET DE SOUDURE'!$M$7:$M$3006,"&lt;&gt;")+COUNTIFS('CARNET DE SOUDURE'!$O$7:$O$3006,B437,'CARNET DE SOUDURE'!$P$7:$P$3006,"&lt;&gt;"&amp;C437,'CARNET DE SOUDURE'!$P$7:$P$3006,"&lt;&gt;")&gt;0,"⚠ DIFFÉRENTE","OK"))</f>
        <v>OK</v>
      </c>
      <c r="F437" s="147" t="n">
        <v>11.94</v>
      </c>
      <c r="G437" s="80"/>
      <c r="H437" s="83"/>
      <c r="I437" s="148" t="str">
        <f aca="false">IF(B437="","",IFERROR(INDEX('CARNET DE SOUDURE'!$B$7:$B$3006,MATCH(B437,'CARNET DE SOUDURE'!$L$7:$L$3006,0)),IFERROR(INDEX('CARNET DE SOUDURE'!$B$7:$B$3006,MATCH(B437,'CARNET DE SOUDURE'!$O$7:$O$3006,0)),"")))</f>
        <v>MFD-ISW → MFD-CPF</v>
      </c>
      <c r="J437" s="82" t="str">
        <f aca="false">IF(B437="","",IFERROR(INDEX('CARNET DE SOUDURE'!$E$7:$E$3006,MATCH(B437,'CARNET DE SOUDURE'!$O$7:$O$3006,0)),""))</f>
        <v>DJ°304</v>
      </c>
      <c r="K437" s="82" t="str">
        <f aca="false">IF(B437="","",IFERROR(INDEX('CARNET DE SOUDURE'!$E$7:$E$3006,MATCH(B437,'CARNET DE SOUDURE'!$L$7:$L$3006,0)),""))</f>
        <v>JN°1082</v>
      </c>
      <c r="L437" s="82" t="n">
        <f aca="false">IF(B437="","",IFERROR(INDEX('CARNET DE SOUDURE'!$D$7:$D$3006,MATCH(B437,'CARNET DE SOUDURE'!$L$7:$L$3006,0)),IFERROR(INDEX('CARNET DE SOUDURE'!$D$7:$D$3006,MATCH(B437,'CARNET DE SOUDURE'!$O$7:$O$3006,0)),"")))</f>
        <v>10</v>
      </c>
      <c r="M437" s="82" t="str">
        <f aca="false">IF(B437="","",IF(OR(J437&lt;&gt;"",K437&lt;&gt;""),"POSÉ EN LIGNE",IF(COUNTIF(BARDAGE!$C$1:$C$5000,B437)&gt;0,"BARDÉ","EN STOCK")))</f>
        <v>POSÉ EN LIGNE</v>
      </c>
      <c r="N437" s="80"/>
    </row>
    <row r="438" customFormat="false" ht="15" hidden="false" customHeight="false" outlineLevel="0" collapsed="false">
      <c r="A438" s="82" t="n">
        <f aca="false">IF(B438="","",ROW()-6)</f>
        <v>432</v>
      </c>
      <c r="B438" s="145" t="n">
        <v>2089650</v>
      </c>
      <c r="C438" s="146" t="n">
        <v>15421105</v>
      </c>
      <c r="D438" s="146"/>
      <c r="E438" s="82" t="str">
        <f aca="false">IF(B438="","",IF(COUNTIFS('CARNET DE SOUDURE'!$L$7:$L$3006,B438,'CARNET DE SOUDURE'!$M$7:$M$3006,"&lt;&gt;"&amp;C438,'CARNET DE SOUDURE'!$M$7:$M$3006,"&lt;&gt;")+COUNTIFS('CARNET DE SOUDURE'!$O$7:$O$3006,B438,'CARNET DE SOUDURE'!$P$7:$P$3006,"&lt;&gt;"&amp;C438,'CARNET DE SOUDURE'!$P$7:$P$3006,"&lt;&gt;")&gt;0,"⚠ DIFFÉRENTE","OK"))</f>
        <v>OK</v>
      </c>
      <c r="F438" s="147" t="n">
        <v>11.94</v>
      </c>
      <c r="G438" s="80"/>
      <c r="H438" s="83"/>
      <c r="I438" s="148" t="str">
        <f aca="false">IF(B438="","",IFERROR(INDEX('CARNET DE SOUDURE'!$B$7:$B$3006,MATCH(B438,'CARNET DE SOUDURE'!$L$7:$L$3006,0)),IFERROR(INDEX('CARNET DE SOUDURE'!$B$7:$B$3006,MATCH(B438,'CARNET DE SOUDURE'!$O$7:$O$3006,0)),"")))</f>
        <v>MFD-ISW → MFD-CPF</v>
      </c>
      <c r="J438" s="82" t="str">
        <f aca="false">IF(B438="","",IFERROR(INDEX('CARNET DE SOUDURE'!$E$7:$E$3006,MATCH(B438,'CARNET DE SOUDURE'!$O$7:$O$3006,0)),""))</f>
        <v>JN°1082</v>
      </c>
      <c r="K438" s="82" t="str">
        <f aca="false">IF(B438="","",IFERROR(INDEX('CARNET DE SOUDURE'!$E$7:$E$3006,MATCH(B438,'CARNET DE SOUDURE'!$L$7:$L$3006,0)),""))</f>
        <v>DJ°305</v>
      </c>
      <c r="L438" s="82" t="n">
        <f aca="false">IF(B438="","",IFERROR(INDEX('CARNET DE SOUDURE'!$D$7:$D$3006,MATCH(B438,'CARNET DE SOUDURE'!$L$7:$L$3006,0)),IFERROR(INDEX('CARNET DE SOUDURE'!$D$7:$D$3006,MATCH(B438,'CARNET DE SOUDURE'!$O$7:$O$3006,0)),"")))</f>
        <v>10</v>
      </c>
      <c r="M438" s="82" t="str">
        <f aca="false">IF(B438="","",IF(OR(J438&lt;&gt;"",K438&lt;&gt;""),"POSÉ EN LIGNE",IF(COUNTIF(BARDAGE!$C$1:$C$5000,B438)&gt;0,"BARDÉ","EN STOCK")))</f>
        <v>POSÉ EN LIGNE</v>
      </c>
      <c r="N438" s="80"/>
    </row>
    <row r="439" customFormat="false" ht="15" hidden="false" customHeight="false" outlineLevel="0" collapsed="false">
      <c r="A439" s="82" t="n">
        <f aca="false">IF(B439="","",ROW()-6)</f>
        <v>433</v>
      </c>
      <c r="B439" s="145" t="n">
        <v>2080680</v>
      </c>
      <c r="C439" s="146" t="n">
        <v>15421109</v>
      </c>
      <c r="D439" s="146"/>
      <c r="E439" s="82" t="str">
        <f aca="false">IF(B439="","",IF(COUNTIFS('CARNET DE SOUDURE'!$L$7:$L$3006,B439,'CARNET DE SOUDURE'!$M$7:$M$3006,"&lt;&gt;"&amp;C439,'CARNET DE SOUDURE'!$M$7:$M$3006,"&lt;&gt;")+COUNTIFS('CARNET DE SOUDURE'!$O$7:$O$3006,B439,'CARNET DE SOUDURE'!$P$7:$P$3006,"&lt;&gt;"&amp;C439,'CARNET DE SOUDURE'!$P$7:$P$3006,"&lt;&gt;")&gt;0,"⚠ DIFFÉRENTE","OK"))</f>
        <v>OK</v>
      </c>
      <c r="F439" s="147" t="n">
        <v>11.94</v>
      </c>
      <c r="G439" s="80"/>
      <c r="H439" s="83"/>
      <c r="I439" s="148" t="str">
        <f aca="false">IF(B439="","",IFERROR(INDEX('CARNET DE SOUDURE'!$B$7:$B$3006,MATCH(B439,'CARNET DE SOUDURE'!$L$7:$L$3006,0)),IFERROR(INDEX('CARNET DE SOUDURE'!$B$7:$B$3006,MATCH(B439,'CARNET DE SOUDURE'!$O$7:$O$3006,0)),"")))</f>
        <v>MFD-ISW → MFD-CPF</v>
      </c>
      <c r="J439" s="82" t="str">
        <f aca="false">IF(B439="","",IFERROR(INDEX('CARNET DE SOUDURE'!$E$7:$E$3006,MATCH(B439,'CARNET DE SOUDURE'!$O$7:$O$3006,0)),""))</f>
        <v>DJ°305</v>
      </c>
      <c r="K439" s="82" t="str">
        <f aca="false">IF(B439="","",IFERROR(INDEX('CARNET DE SOUDURE'!$E$7:$E$3006,MATCH(B439,'CARNET DE SOUDURE'!$L$7:$L$3006,0)),""))</f>
        <v>JN°1083</v>
      </c>
      <c r="L439" s="82" t="n">
        <f aca="false">IF(B439="","",IFERROR(INDEX('CARNET DE SOUDURE'!$D$7:$D$3006,MATCH(B439,'CARNET DE SOUDURE'!$L$7:$L$3006,0)),IFERROR(INDEX('CARNET DE SOUDURE'!$D$7:$D$3006,MATCH(B439,'CARNET DE SOUDURE'!$O$7:$O$3006,0)),"")))</f>
        <v>10</v>
      </c>
      <c r="M439" s="82" t="str">
        <f aca="false">IF(B439="","",IF(OR(J439&lt;&gt;"",K439&lt;&gt;""),"POSÉ EN LIGNE",IF(COUNTIF(BARDAGE!$C$1:$C$5000,B439)&gt;0,"BARDÉ","EN STOCK")))</f>
        <v>POSÉ EN LIGNE</v>
      </c>
      <c r="N439" s="80"/>
    </row>
    <row r="440" customFormat="false" ht="15" hidden="false" customHeight="false" outlineLevel="0" collapsed="false">
      <c r="A440" s="82" t="n">
        <f aca="false">IF(B440="","",ROW()-6)</f>
        <v>434</v>
      </c>
      <c r="B440" s="145" t="n">
        <v>2090180</v>
      </c>
      <c r="C440" s="146" t="n">
        <v>15421109</v>
      </c>
      <c r="D440" s="146"/>
      <c r="E440" s="82" t="str">
        <f aca="false">IF(B440="","",IF(COUNTIFS('CARNET DE SOUDURE'!$L$7:$L$3006,B440,'CARNET DE SOUDURE'!$M$7:$M$3006,"&lt;&gt;"&amp;C440,'CARNET DE SOUDURE'!$M$7:$M$3006,"&lt;&gt;")+COUNTIFS('CARNET DE SOUDURE'!$O$7:$O$3006,B440,'CARNET DE SOUDURE'!$P$7:$P$3006,"&lt;&gt;"&amp;C440,'CARNET DE SOUDURE'!$P$7:$P$3006,"&lt;&gt;")&gt;0,"⚠ DIFFÉRENTE","OK"))</f>
        <v>OK</v>
      </c>
      <c r="F440" s="147" t="n">
        <v>11.94</v>
      </c>
      <c r="G440" s="80"/>
      <c r="H440" s="83"/>
      <c r="I440" s="148" t="str">
        <f aca="false">IF(B440="","",IFERROR(INDEX('CARNET DE SOUDURE'!$B$7:$B$3006,MATCH(B440,'CARNET DE SOUDURE'!$L$7:$L$3006,0)),IFERROR(INDEX('CARNET DE SOUDURE'!$B$7:$B$3006,MATCH(B440,'CARNET DE SOUDURE'!$O$7:$O$3006,0)),"")))</f>
        <v>MFD-ISW → MFD-CPF</v>
      </c>
      <c r="J440" s="82" t="str">
        <f aca="false">IF(B440="","",IFERROR(INDEX('CARNET DE SOUDURE'!$E$7:$E$3006,MATCH(B440,'CARNET DE SOUDURE'!$O$7:$O$3006,0)),""))</f>
        <v>JN°1083</v>
      </c>
      <c r="K440" s="82" t="str">
        <f aca="false">IF(B440="","",IFERROR(INDEX('CARNET DE SOUDURE'!$E$7:$E$3006,MATCH(B440,'CARNET DE SOUDURE'!$L$7:$L$3006,0)),""))</f>
        <v>DJ°296</v>
      </c>
      <c r="L440" s="82" t="n">
        <f aca="false">IF(B440="","",IFERROR(INDEX('CARNET DE SOUDURE'!$D$7:$D$3006,MATCH(B440,'CARNET DE SOUDURE'!$L$7:$L$3006,0)),IFERROR(INDEX('CARNET DE SOUDURE'!$D$7:$D$3006,MATCH(B440,'CARNET DE SOUDURE'!$O$7:$O$3006,0)),"")))</f>
        <v>10</v>
      </c>
      <c r="M440" s="82" t="str">
        <f aca="false">IF(B440="","",IF(OR(J440&lt;&gt;"",K440&lt;&gt;""),"POSÉ EN LIGNE",IF(COUNTIF(BARDAGE!$C$1:$C$5000,B440)&gt;0,"BARDÉ","EN STOCK")))</f>
        <v>POSÉ EN LIGNE</v>
      </c>
      <c r="N440" s="80"/>
    </row>
    <row r="441" customFormat="false" ht="15" hidden="false" customHeight="false" outlineLevel="0" collapsed="false">
      <c r="A441" s="82" t="n">
        <f aca="false">IF(B441="","",ROW()-6)</f>
        <v>435</v>
      </c>
      <c r="B441" s="145" t="n">
        <v>2087750</v>
      </c>
      <c r="C441" s="146" t="n">
        <v>15421108</v>
      </c>
      <c r="D441" s="146"/>
      <c r="E441" s="82" t="str">
        <f aca="false">IF(B441="","",IF(COUNTIFS('CARNET DE SOUDURE'!$L$7:$L$3006,B441,'CARNET DE SOUDURE'!$M$7:$M$3006,"&lt;&gt;"&amp;C441,'CARNET DE SOUDURE'!$M$7:$M$3006,"&lt;&gt;")+COUNTIFS('CARNET DE SOUDURE'!$O$7:$O$3006,B441,'CARNET DE SOUDURE'!$P$7:$P$3006,"&lt;&gt;"&amp;C441,'CARNET DE SOUDURE'!$P$7:$P$3006,"&lt;&gt;")&gt;0,"⚠ DIFFÉRENTE","OK"))</f>
        <v>OK</v>
      </c>
      <c r="F441" s="147" t="n">
        <v>11.94</v>
      </c>
      <c r="G441" s="80"/>
      <c r="H441" s="83"/>
      <c r="I441" s="148" t="str">
        <f aca="false">IF(B441="","",IFERROR(INDEX('CARNET DE SOUDURE'!$B$7:$B$3006,MATCH(B441,'CARNET DE SOUDURE'!$L$7:$L$3006,0)),IFERROR(INDEX('CARNET DE SOUDURE'!$B$7:$B$3006,MATCH(B441,'CARNET DE SOUDURE'!$O$7:$O$3006,0)),"")))</f>
        <v>MFD-ISW → MFD-CPF</v>
      </c>
      <c r="J441" s="82" t="str">
        <f aca="false">IF(B441="","",IFERROR(INDEX('CARNET DE SOUDURE'!$E$7:$E$3006,MATCH(B441,'CARNET DE SOUDURE'!$O$7:$O$3006,0)),""))</f>
        <v>DJ°296</v>
      </c>
      <c r="K441" s="82" t="str">
        <f aca="false">IF(B441="","",IFERROR(INDEX('CARNET DE SOUDURE'!$E$7:$E$3006,MATCH(B441,'CARNET DE SOUDURE'!$L$7:$L$3006,0)),""))</f>
        <v>JN°1084</v>
      </c>
      <c r="L441" s="82" t="n">
        <f aca="false">IF(B441="","",IFERROR(INDEX('CARNET DE SOUDURE'!$D$7:$D$3006,MATCH(B441,'CARNET DE SOUDURE'!$L$7:$L$3006,0)),IFERROR(INDEX('CARNET DE SOUDURE'!$D$7:$D$3006,MATCH(B441,'CARNET DE SOUDURE'!$O$7:$O$3006,0)),"")))</f>
        <v>10</v>
      </c>
      <c r="M441" s="82" t="str">
        <f aca="false">IF(B441="","",IF(OR(J441&lt;&gt;"",K441&lt;&gt;""),"POSÉ EN LIGNE",IF(COUNTIF(BARDAGE!$C$1:$C$5000,B441)&gt;0,"BARDÉ","EN STOCK")))</f>
        <v>POSÉ EN LIGNE</v>
      </c>
      <c r="N441" s="80"/>
    </row>
    <row r="442" customFormat="false" ht="15" hidden="false" customHeight="false" outlineLevel="0" collapsed="false">
      <c r="A442" s="82" t="n">
        <f aca="false">IF(B442="","",ROW()-6)</f>
        <v>436</v>
      </c>
      <c r="B442" s="145" t="n">
        <v>2094940</v>
      </c>
      <c r="C442" s="146" t="n">
        <v>15421111</v>
      </c>
      <c r="D442" s="146"/>
      <c r="E442" s="82" t="str">
        <f aca="false">IF(B442="","",IF(COUNTIFS('CARNET DE SOUDURE'!$L$7:$L$3006,B442,'CARNET DE SOUDURE'!$M$7:$M$3006,"&lt;&gt;"&amp;C442,'CARNET DE SOUDURE'!$M$7:$M$3006,"&lt;&gt;")+COUNTIFS('CARNET DE SOUDURE'!$O$7:$O$3006,B442,'CARNET DE SOUDURE'!$P$7:$P$3006,"&lt;&gt;"&amp;C442,'CARNET DE SOUDURE'!$P$7:$P$3006,"&lt;&gt;")&gt;0,"⚠ DIFFÉRENTE","OK"))</f>
        <v>OK</v>
      </c>
      <c r="F442" s="147" t="n">
        <v>11.94</v>
      </c>
      <c r="G442" s="80"/>
      <c r="H442" s="83"/>
      <c r="I442" s="148" t="str">
        <f aca="false">IF(B442="","",IFERROR(INDEX('CARNET DE SOUDURE'!$B$7:$B$3006,MATCH(B442,'CARNET DE SOUDURE'!$L$7:$L$3006,0)),IFERROR(INDEX('CARNET DE SOUDURE'!$B$7:$B$3006,MATCH(B442,'CARNET DE SOUDURE'!$O$7:$O$3006,0)),"")))</f>
        <v>MFD-ISW → MFD-CPF</v>
      </c>
      <c r="J442" s="82" t="str">
        <f aca="false">IF(B442="","",IFERROR(INDEX('CARNET DE SOUDURE'!$E$7:$E$3006,MATCH(B442,'CARNET DE SOUDURE'!$O$7:$O$3006,0)),""))</f>
        <v>JN°1084</v>
      </c>
      <c r="K442" s="82" t="str">
        <f aca="false">IF(B442="","",IFERROR(INDEX('CARNET DE SOUDURE'!$E$7:$E$3006,MATCH(B442,'CARNET DE SOUDURE'!$L$7:$L$3006,0)),""))</f>
        <v>DJ°317</v>
      </c>
      <c r="L442" s="82" t="n">
        <f aca="false">IF(B442="","",IFERROR(INDEX('CARNET DE SOUDURE'!$D$7:$D$3006,MATCH(B442,'CARNET DE SOUDURE'!$L$7:$L$3006,0)),IFERROR(INDEX('CARNET DE SOUDURE'!$D$7:$D$3006,MATCH(B442,'CARNET DE SOUDURE'!$O$7:$O$3006,0)),"")))</f>
        <v>10</v>
      </c>
      <c r="M442" s="82" t="str">
        <f aca="false">IF(B442="","",IF(OR(J442&lt;&gt;"",K442&lt;&gt;""),"POSÉ EN LIGNE",IF(COUNTIF(BARDAGE!$C$1:$C$5000,B442)&gt;0,"BARDÉ","EN STOCK")))</f>
        <v>POSÉ EN LIGNE</v>
      </c>
      <c r="N442" s="80"/>
    </row>
    <row r="443" customFormat="false" ht="15" hidden="false" customHeight="false" outlineLevel="0" collapsed="false">
      <c r="A443" s="82" t="n">
        <f aca="false">IF(B443="","",ROW()-6)</f>
        <v>437</v>
      </c>
      <c r="B443" s="145" t="n">
        <v>2096510</v>
      </c>
      <c r="C443" s="146" t="n">
        <v>15421111</v>
      </c>
      <c r="D443" s="146"/>
      <c r="E443" s="82" t="str">
        <f aca="false">IF(B443="","",IF(COUNTIFS('CARNET DE SOUDURE'!$L$7:$L$3006,B443,'CARNET DE SOUDURE'!$M$7:$M$3006,"&lt;&gt;"&amp;C443,'CARNET DE SOUDURE'!$M$7:$M$3006,"&lt;&gt;")+COUNTIFS('CARNET DE SOUDURE'!$O$7:$O$3006,B443,'CARNET DE SOUDURE'!$P$7:$P$3006,"&lt;&gt;"&amp;C443,'CARNET DE SOUDURE'!$P$7:$P$3006,"&lt;&gt;")&gt;0,"⚠ DIFFÉRENTE","OK"))</f>
        <v>OK</v>
      </c>
      <c r="F443" s="147" t="n">
        <v>11.94</v>
      </c>
      <c r="G443" s="80"/>
      <c r="H443" s="83"/>
      <c r="I443" s="148" t="str">
        <f aca="false">IF(B443="","",IFERROR(INDEX('CARNET DE SOUDURE'!$B$7:$B$3006,MATCH(B443,'CARNET DE SOUDURE'!$L$7:$L$3006,0)),IFERROR(INDEX('CARNET DE SOUDURE'!$B$7:$B$3006,MATCH(B443,'CARNET DE SOUDURE'!$O$7:$O$3006,0)),"")))</f>
        <v>MFD-ISW → MFD-CPF</v>
      </c>
      <c r="J443" s="82" t="str">
        <f aca="false">IF(B443="","",IFERROR(INDEX('CARNET DE SOUDURE'!$E$7:$E$3006,MATCH(B443,'CARNET DE SOUDURE'!$O$7:$O$3006,0)),""))</f>
        <v>DJ°317</v>
      </c>
      <c r="K443" s="82" t="str">
        <f aca="false">IF(B443="","",IFERROR(INDEX('CARNET DE SOUDURE'!$E$7:$E$3006,MATCH(B443,'CARNET DE SOUDURE'!$L$7:$L$3006,0)),""))</f>
        <v>JN°1085</v>
      </c>
      <c r="L443" s="82" t="n">
        <f aca="false">IF(B443="","",IFERROR(INDEX('CARNET DE SOUDURE'!$D$7:$D$3006,MATCH(B443,'CARNET DE SOUDURE'!$L$7:$L$3006,0)),IFERROR(INDEX('CARNET DE SOUDURE'!$D$7:$D$3006,MATCH(B443,'CARNET DE SOUDURE'!$O$7:$O$3006,0)),"")))</f>
        <v>10</v>
      </c>
      <c r="M443" s="82" t="str">
        <f aca="false">IF(B443="","",IF(OR(J443&lt;&gt;"",K443&lt;&gt;""),"POSÉ EN LIGNE",IF(COUNTIF(BARDAGE!$C$1:$C$5000,B443)&gt;0,"BARDÉ","EN STOCK")))</f>
        <v>POSÉ EN LIGNE</v>
      </c>
      <c r="N443" s="80"/>
    </row>
    <row r="444" customFormat="false" ht="15" hidden="false" customHeight="false" outlineLevel="0" collapsed="false">
      <c r="A444" s="82" t="n">
        <f aca="false">IF(B444="","",ROW()-6)</f>
        <v>438</v>
      </c>
      <c r="B444" s="145" t="n">
        <v>2093200</v>
      </c>
      <c r="C444" s="146" t="n">
        <v>15421110</v>
      </c>
      <c r="D444" s="146"/>
      <c r="E444" s="82" t="str">
        <f aca="false">IF(B444="","",IF(COUNTIFS('CARNET DE SOUDURE'!$L$7:$L$3006,B444,'CARNET DE SOUDURE'!$M$7:$M$3006,"&lt;&gt;"&amp;C444,'CARNET DE SOUDURE'!$M$7:$M$3006,"&lt;&gt;")+COUNTIFS('CARNET DE SOUDURE'!$O$7:$O$3006,B444,'CARNET DE SOUDURE'!$P$7:$P$3006,"&lt;&gt;"&amp;C444,'CARNET DE SOUDURE'!$P$7:$P$3006,"&lt;&gt;")&gt;0,"⚠ DIFFÉRENTE","OK"))</f>
        <v>OK</v>
      </c>
      <c r="F444" s="147" t="n">
        <v>11.94</v>
      </c>
      <c r="G444" s="80"/>
      <c r="H444" s="83"/>
      <c r="I444" s="148" t="str">
        <f aca="false">IF(B444="","",IFERROR(INDEX('CARNET DE SOUDURE'!$B$7:$B$3006,MATCH(B444,'CARNET DE SOUDURE'!$L$7:$L$3006,0)),IFERROR(INDEX('CARNET DE SOUDURE'!$B$7:$B$3006,MATCH(B444,'CARNET DE SOUDURE'!$O$7:$O$3006,0)),"")))</f>
        <v>MFD-ISW → MFD-CPF</v>
      </c>
      <c r="J444" s="82" t="str">
        <f aca="false">IF(B444="","",IFERROR(INDEX('CARNET DE SOUDURE'!$E$7:$E$3006,MATCH(B444,'CARNET DE SOUDURE'!$O$7:$O$3006,0)),""))</f>
        <v>JN°1085</v>
      </c>
      <c r="K444" s="82" t="str">
        <f aca="false">IF(B444="","",IFERROR(INDEX('CARNET DE SOUDURE'!$E$7:$E$3006,MATCH(B444,'CARNET DE SOUDURE'!$L$7:$L$3006,0)),""))</f>
        <v>DJ°291</v>
      </c>
      <c r="L444" s="82" t="n">
        <f aca="false">IF(B444="","",IFERROR(INDEX('CARNET DE SOUDURE'!$D$7:$D$3006,MATCH(B444,'CARNET DE SOUDURE'!$L$7:$L$3006,0)),IFERROR(INDEX('CARNET DE SOUDURE'!$D$7:$D$3006,MATCH(B444,'CARNET DE SOUDURE'!$O$7:$O$3006,0)),"")))</f>
        <v>10</v>
      </c>
      <c r="M444" s="82" t="str">
        <f aca="false">IF(B444="","",IF(OR(J444&lt;&gt;"",K444&lt;&gt;""),"POSÉ EN LIGNE",IF(COUNTIF(BARDAGE!$C$1:$C$5000,B444)&gt;0,"BARDÉ","EN STOCK")))</f>
        <v>POSÉ EN LIGNE</v>
      </c>
      <c r="N444" s="80"/>
    </row>
    <row r="445" customFormat="false" ht="15" hidden="false" customHeight="false" outlineLevel="0" collapsed="false">
      <c r="A445" s="82" t="n">
        <f aca="false">IF(B445="","",ROW()-6)</f>
        <v>439</v>
      </c>
      <c r="B445" s="145" t="n">
        <v>2089680</v>
      </c>
      <c r="C445" s="146" t="n">
        <v>15421109</v>
      </c>
      <c r="D445" s="146"/>
      <c r="E445" s="82" t="str">
        <f aca="false">IF(B445="","",IF(COUNTIFS('CARNET DE SOUDURE'!$L$7:$L$3006,B445,'CARNET DE SOUDURE'!$M$7:$M$3006,"&lt;&gt;"&amp;C445,'CARNET DE SOUDURE'!$M$7:$M$3006,"&lt;&gt;")+COUNTIFS('CARNET DE SOUDURE'!$O$7:$O$3006,B445,'CARNET DE SOUDURE'!$P$7:$P$3006,"&lt;&gt;"&amp;C445,'CARNET DE SOUDURE'!$P$7:$P$3006,"&lt;&gt;")&gt;0,"⚠ DIFFÉRENTE","OK"))</f>
        <v>OK</v>
      </c>
      <c r="F445" s="147" t="n">
        <v>11.94</v>
      </c>
      <c r="G445" s="80"/>
      <c r="H445" s="83"/>
      <c r="I445" s="148" t="str">
        <f aca="false">IF(B445="","",IFERROR(INDEX('CARNET DE SOUDURE'!$B$7:$B$3006,MATCH(B445,'CARNET DE SOUDURE'!$L$7:$L$3006,0)),IFERROR(INDEX('CARNET DE SOUDURE'!$B$7:$B$3006,MATCH(B445,'CARNET DE SOUDURE'!$O$7:$O$3006,0)),"")))</f>
        <v>MFD-ISW → MFD-CPF</v>
      </c>
      <c r="J445" s="82" t="str">
        <f aca="false">IF(B445="","",IFERROR(INDEX('CARNET DE SOUDURE'!$E$7:$E$3006,MATCH(B445,'CARNET DE SOUDURE'!$O$7:$O$3006,0)),""))</f>
        <v>DJ°291</v>
      </c>
      <c r="K445" s="82" t="str">
        <f aca="false">IF(B445="","",IFERROR(INDEX('CARNET DE SOUDURE'!$E$7:$E$3006,MATCH(B445,'CARNET DE SOUDURE'!$L$7:$L$3006,0)),""))</f>
        <v>JN°1086</v>
      </c>
      <c r="L445" s="82" t="n">
        <f aca="false">IF(B445="","",IFERROR(INDEX('CARNET DE SOUDURE'!$D$7:$D$3006,MATCH(B445,'CARNET DE SOUDURE'!$L$7:$L$3006,0)),IFERROR(INDEX('CARNET DE SOUDURE'!$D$7:$D$3006,MATCH(B445,'CARNET DE SOUDURE'!$O$7:$O$3006,0)),"")))</f>
        <v>10</v>
      </c>
      <c r="M445" s="82" t="str">
        <f aca="false">IF(B445="","",IF(OR(J445&lt;&gt;"",K445&lt;&gt;""),"POSÉ EN LIGNE",IF(COUNTIF(BARDAGE!$C$1:$C$5000,B445)&gt;0,"BARDÉ","EN STOCK")))</f>
        <v>POSÉ EN LIGNE</v>
      </c>
      <c r="N445" s="80"/>
    </row>
    <row r="446" customFormat="false" ht="15" hidden="false" customHeight="false" outlineLevel="0" collapsed="false">
      <c r="A446" s="82" t="n">
        <f aca="false">IF(B446="","",ROW()-6)</f>
        <v>440</v>
      </c>
      <c r="B446" s="145" t="n">
        <v>2080930</v>
      </c>
      <c r="C446" s="146" t="n">
        <v>15421103</v>
      </c>
      <c r="D446" s="146"/>
      <c r="E446" s="82" t="str">
        <f aca="false">IF(B446="","",IF(COUNTIFS('CARNET DE SOUDURE'!$L$7:$L$3006,B446,'CARNET DE SOUDURE'!$M$7:$M$3006,"&lt;&gt;"&amp;C446,'CARNET DE SOUDURE'!$M$7:$M$3006,"&lt;&gt;")+COUNTIFS('CARNET DE SOUDURE'!$O$7:$O$3006,B446,'CARNET DE SOUDURE'!$P$7:$P$3006,"&lt;&gt;"&amp;C446,'CARNET DE SOUDURE'!$P$7:$P$3006,"&lt;&gt;")&gt;0,"⚠ DIFFÉRENTE","OK"))</f>
        <v>OK</v>
      </c>
      <c r="F446" s="147" t="n">
        <v>11.94</v>
      </c>
      <c r="G446" s="80"/>
      <c r="H446" s="83"/>
      <c r="I446" s="148" t="str">
        <f aca="false">IF(B446="","",IFERROR(INDEX('CARNET DE SOUDURE'!$B$7:$B$3006,MATCH(B446,'CARNET DE SOUDURE'!$L$7:$L$3006,0)),IFERROR(INDEX('CARNET DE SOUDURE'!$B$7:$B$3006,MATCH(B446,'CARNET DE SOUDURE'!$O$7:$O$3006,0)),"")))</f>
        <v>MFD-ISW → MFD-CPF</v>
      </c>
      <c r="J446" s="82" t="str">
        <f aca="false">IF(B446="","",IFERROR(INDEX('CARNET DE SOUDURE'!$E$7:$E$3006,MATCH(B446,'CARNET DE SOUDURE'!$O$7:$O$3006,0)),""))</f>
        <v>JN°1086</v>
      </c>
      <c r="K446" s="82" t="str">
        <f aca="false">IF(B446="","",IFERROR(INDEX('CARNET DE SOUDURE'!$E$7:$E$3006,MATCH(B446,'CARNET DE SOUDURE'!$L$7:$L$3006,0)),""))</f>
        <v>DJ°314</v>
      </c>
      <c r="L446" s="82" t="n">
        <f aca="false">IF(B446="","",IFERROR(INDEX('CARNET DE SOUDURE'!$D$7:$D$3006,MATCH(B446,'CARNET DE SOUDURE'!$L$7:$L$3006,0)),IFERROR(INDEX('CARNET DE SOUDURE'!$D$7:$D$3006,MATCH(B446,'CARNET DE SOUDURE'!$O$7:$O$3006,0)),"")))</f>
        <v>10</v>
      </c>
      <c r="M446" s="82" t="str">
        <f aca="false">IF(B446="","",IF(OR(J446&lt;&gt;"",K446&lt;&gt;""),"POSÉ EN LIGNE",IF(COUNTIF(BARDAGE!$C$1:$C$5000,B446)&gt;0,"BARDÉ","EN STOCK")))</f>
        <v>POSÉ EN LIGNE</v>
      </c>
      <c r="N446" s="80"/>
    </row>
    <row r="447" customFormat="false" ht="15" hidden="false" customHeight="false" outlineLevel="0" collapsed="false">
      <c r="A447" s="82" t="n">
        <f aca="false">IF(B447="","",ROW()-6)</f>
        <v>441</v>
      </c>
      <c r="B447" s="145" t="n">
        <v>2090230</v>
      </c>
      <c r="C447" s="146" t="n">
        <v>15421109</v>
      </c>
      <c r="D447" s="146"/>
      <c r="E447" s="82" t="str">
        <f aca="false">IF(B447="","",IF(COUNTIFS('CARNET DE SOUDURE'!$L$7:$L$3006,B447,'CARNET DE SOUDURE'!$M$7:$M$3006,"&lt;&gt;"&amp;C447,'CARNET DE SOUDURE'!$M$7:$M$3006,"&lt;&gt;")+COUNTIFS('CARNET DE SOUDURE'!$O$7:$O$3006,B447,'CARNET DE SOUDURE'!$P$7:$P$3006,"&lt;&gt;"&amp;C447,'CARNET DE SOUDURE'!$P$7:$P$3006,"&lt;&gt;")&gt;0,"⚠ DIFFÉRENTE","OK"))</f>
        <v>OK</v>
      </c>
      <c r="F447" s="147" t="n">
        <v>11.94</v>
      </c>
      <c r="G447" s="80"/>
      <c r="H447" s="83"/>
      <c r="I447" s="148" t="str">
        <f aca="false">IF(B447="","",IFERROR(INDEX('CARNET DE SOUDURE'!$B$7:$B$3006,MATCH(B447,'CARNET DE SOUDURE'!$L$7:$L$3006,0)),IFERROR(INDEX('CARNET DE SOUDURE'!$B$7:$B$3006,MATCH(B447,'CARNET DE SOUDURE'!$O$7:$O$3006,0)),"")))</f>
        <v>MFD-ISW → MFD-CPF</v>
      </c>
      <c r="J447" s="82" t="str">
        <f aca="false">IF(B447="","",IFERROR(INDEX('CARNET DE SOUDURE'!$E$7:$E$3006,MATCH(B447,'CARNET DE SOUDURE'!$O$7:$O$3006,0)),""))</f>
        <v>DJ°314</v>
      </c>
      <c r="K447" s="82" t="str">
        <f aca="false">IF(B447="","",IFERROR(INDEX('CARNET DE SOUDURE'!$E$7:$E$3006,MATCH(B447,'CARNET DE SOUDURE'!$L$7:$L$3006,0)),""))</f>
        <v>JN°1087</v>
      </c>
      <c r="L447" s="82" t="n">
        <f aca="false">IF(B447="","",IFERROR(INDEX('CARNET DE SOUDURE'!$D$7:$D$3006,MATCH(B447,'CARNET DE SOUDURE'!$L$7:$L$3006,0)),IFERROR(INDEX('CARNET DE SOUDURE'!$D$7:$D$3006,MATCH(B447,'CARNET DE SOUDURE'!$O$7:$O$3006,0)),"")))</f>
        <v>10</v>
      </c>
      <c r="M447" s="82" t="str">
        <f aca="false">IF(B447="","",IF(OR(J447&lt;&gt;"",K447&lt;&gt;""),"POSÉ EN LIGNE",IF(COUNTIF(BARDAGE!$C$1:$C$5000,B447)&gt;0,"BARDÉ","EN STOCK")))</f>
        <v>POSÉ EN LIGNE</v>
      </c>
      <c r="N447" s="80"/>
    </row>
    <row r="448" customFormat="false" ht="15" hidden="false" customHeight="false" outlineLevel="0" collapsed="false">
      <c r="A448" s="82" t="n">
        <f aca="false">IF(B448="","",ROW()-6)</f>
        <v>442</v>
      </c>
      <c r="B448" s="145" t="n">
        <v>2083130</v>
      </c>
      <c r="C448" s="146" t="n">
        <v>15421105</v>
      </c>
      <c r="D448" s="146"/>
      <c r="E448" s="82" t="str">
        <f aca="false">IF(B448="","",IF(COUNTIFS('CARNET DE SOUDURE'!$L$7:$L$3006,B448,'CARNET DE SOUDURE'!$M$7:$M$3006,"&lt;&gt;"&amp;C448,'CARNET DE SOUDURE'!$M$7:$M$3006,"&lt;&gt;")+COUNTIFS('CARNET DE SOUDURE'!$O$7:$O$3006,B448,'CARNET DE SOUDURE'!$P$7:$P$3006,"&lt;&gt;"&amp;C448,'CARNET DE SOUDURE'!$P$7:$P$3006,"&lt;&gt;")&gt;0,"⚠ DIFFÉRENTE","OK"))</f>
        <v>OK</v>
      </c>
      <c r="F448" s="147" t="n">
        <v>11.94</v>
      </c>
      <c r="G448" s="80"/>
      <c r="H448" s="83"/>
      <c r="I448" s="148" t="str">
        <f aca="false">IF(B448="","",IFERROR(INDEX('CARNET DE SOUDURE'!$B$7:$B$3006,MATCH(B448,'CARNET DE SOUDURE'!$L$7:$L$3006,0)),IFERROR(INDEX('CARNET DE SOUDURE'!$B$7:$B$3006,MATCH(B448,'CARNET DE SOUDURE'!$O$7:$O$3006,0)),"")))</f>
        <v>MFD-ISW → MFD-CPF</v>
      </c>
      <c r="J448" s="82" t="str">
        <f aca="false">IF(B448="","",IFERROR(INDEX('CARNET DE SOUDURE'!$E$7:$E$3006,MATCH(B448,'CARNET DE SOUDURE'!$O$7:$O$3006,0)),""))</f>
        <v>JN°1087</v>
      </c>
      <c r="K448" s="82" t="str">
        <f aca="false">IF(B448="","",IFERROR(INDEX('CARNET DE SOUDURE'!$E$7:$E$3006,MATCH(B448,'CARNET DE SOUDURE'!$L$7:$L$3006,0)),""))</f>
        <v>DJ°316</v>
      </c>
      <c r="L448" s="82" t="n">
        <f aca="false">IF(B448="","",IFERROR(INDEX('CARNET DE SOUDURE'!$D$7:$D$3006,MATCH(B448,'CARNET DE SOUDURE'!$L$7:$L$3006,0)),IFERROR(INDEX('CARNET DE SOUDURE'!$D$7:$D$3006,MATCH(B448,'CARNET DE SOUDURE'!$O$7:$O$3006,0)),"")))</f>
        <v>10</v>
      </c>
      <c r="M448" s="82" t="str">
        <f aca="false">IF(B448="","",IF(OR(J448&lt;&gt;"",K448&lt;&gt;""),"POSÉ EN LIGNE",IF(COUNTIF(BARDAGE!$C$1:$C$5000,B448)&gt;0,"BARDÉ","EN STOCK")))</f>
        <v>POSÉ EN LIGNE</v>
      </c>
      <c r="N448" s="80"/>
    </row>
    <row r="449" customFormat="false" ht="15" hidden="false" customHeight="false" outlineLevel="0" collapsed="false">
      <c r="A449" s="82" t="n">
        <f aca="false">IF(B449="","",ROW()-6)</f>
        <v>443</v>
      </c>
      <c r="B449" s="145" t="n">
        <v>2098450</v>
      </c>
      <c r="C449" s="146" t="n">
        <v>15421112</v>
      </c>
      <c r="D449" s="146"/>
      <c r="E449" s="82" t="str">
        <f aca="false">IF(B449="","",IF(COUNTIFS('CARNET DE SOUDURE'!$L$7:$L$3006,B449,'CARNET DE SOUDURE'!$M$7:$M$3006,"&lt;&gt;"&amp;C449,'CARNET DE SOUDURE'!$M$7:$M$3006,"&lt;&gt;")+COUNTIFS('CARNET DE SOUDURE'!$O$7:$O$3006,B449,'CARNET DE SOUDURE'!$P$7:$P$3006,"&lt;&gt;"&amp;C449,'CARNET DE SOUDURE'!$P$7:$P$3006,"&lt;&gt;")&gt;0,"⚠ DIFFÉRENTE","OK"))</f>
        <v>OK</v>
      </c>
      <c r="F449" s="147" t="n">
        <v>11.94</v>
      </c>
      <c r="G449" s="80"/>
      <c r="H449" s="83"/>
      <c r="I449" s="148" t="str">
        <f aca="false">IF(B449="","",IFERROR(INDEX('CARNET DE SOUDURE'!$B$7:$B$3006,MATCH(B449,'CARNET DE SOUDURE'!$L$7:$L$3006,0)),IFERROR(INDEX('CARNET DE SOUDURE'!$B$7:$B$3006,MATCH(B449,'CARNET DE SOUDURE'!$O$7:$O$3006,0)),"")))</f>
        <v>MFD-ISW → MFD-CPF</v>
      </c>
      <c r="J449" s="82" t="str">
        <f aca="false">IF(B449="","",IFERROR(INDEX('CARNET DE SOUDURE'!$E$7:$E$3006,MATCH(B449,'CARNET DE SOUDURE'!$O$7:$O$3006,0)),""))</f>
        <v>DJ°316</v>
      </c>
      <c r="K449" s="82" t="str">
        <f aca="false">IF(B449="","",IFERROR(INDEX('CARNET DE SOUDURE'!$E$7:$E$3006,MATCH(B449,'CARNET DE SOUDURE'!$L$7:$L$3006,0)),""))</f>
        <v>JN°1088</v>
      </c>
      <c r="L449" s="82" t="n">
        <f aca="false">IF(B449="","",IFERROR(INDEX('CARNET DE SOUDURE'!$D$7:$D$3006,MATCH(B449,'CARNET DE SOUDURE'!$L$7:$L$3006,0)),IFERROR(INDEX('CARNET DE SOUDURE'!$D$7:$D$3006,MATCH(B449,'CARNET DE SOUDURE'!$O$7:$O$3006,0)),"")))</f>
        <v>10</v>
      </c>
      <c r="M449" s="82" t="str">
        <f aca="false">IF(B449="","",IF(OR(J449&lt;&gt;"",K449&lt;&gt;""),"POSÉ EN LIGNE",IF(COUNTIF(BARDAGE!$C$1:$C$5000,B449)&gt;0,"BARDÉ","EN STOCK")))</f>
        <v>POSÉ EN LIGNE</v>
      </c>
      <c r="N449" s="80"/>
    </row>
    <row r="450" customFormat="false" ht="15" hidden="false" customHeight="false" outlineLevel="0" collapsed="false">
      <c r="A450" s="82" t="n">
        <f aca="false">IF(B450="","",ROW()-6)</f>
        <v>444</v>
      </c>
      <c r="B450" s="145" t="n">
        <v>2080880</v>
      </c>
      <c r="C450" s="146" t="n">
        <v>15421103</v>
      </c>
      <c r="D450" s="146"/>
      <c r="E450" s="82" t="str">
        <f aca="false">IF(B450="","",IF(COUNTIFS('CARNET DE SOUDURE'!$L$7:$L$3006,B450,'CARNET DE SOUDURE'!$M$7:$M$3006,"&lt;&gt;"&amp;C450,'CARNET DE SOUDURE'!$M$7:$M$3006,"&lt;&gt;")+COUNTIFS('CARNET DE SOUDURE'!$O$7:$O$3006,B450,'CARNET DE SOUDURE'!$P$7:$P$3006,"&lt;&gt;"&amp;C450,'CARNET DE SOUDURE'!$P$7:$P$3006,"&lt;&gt;")&gt;0,"⚠ DIFFÉRENTE","OK"))</f>
        <v>OK</v>
      </c>
      <c r="F450" s="147" t="n">
        <v>11.94</v>
      </c>
      <c r="G450" s="80"/>
      <c r="H450" s="83"/>
      <c r="I450" s="148" t="str">
        <f aca="false">IF(B450="","",IFERROR(INDEX('CARNET DE SOUDURE'!$B$7:$B$3006,MATCH(B450,'CARNET DE SOUDURE'!$L$7:$L$3006,0)),IFERROR(INDEX('CARNET DE SOUDURE'!$B$7:$B$3006,MATCH(B450,'CARNET DE SOUDURE'!$O$7:$O$3006,0)),"")))</f>
        <v>MFD-ISW → MFD-CPF</v>
      </c>
      <c r="J450" s="82" t="str">
        <f aca="false">IF(B450="","",IFERROR(INDEX('CARNET DE SOUDURE'!$E$7:$E$3006,MATCH(B450,'CARNET DE SOUDURE'!$O$7:$O$3006,0)),""))</f>
        <v>JN°1088</v>
      </c>
      <c r="K450" s="82" t="str">
        <f aca="false">IF(B450="","",IFERROR(INDEX('CARNET DE SOUDURE'!$E$7:$E$3006,MATCH(B450,'CARNET DE SOUDURE'!$L$7:$L$3006,0)),""))</f>
        <v>DJ°315</v>
      </c>
      <c r="L450" s="82" t="n">
        <f aca="false">IF(B450="","",IFERROR(INDEX('CARNET DE SOUDURE'!$D$7:$D$3006,MATCH(B450,'CARNET DE SOUDURE'!$L$7:$L$3006,0)),IFERROR(INDEX('CARNET DE SOUDURE'!$D$7:$D$3006,MATCH(B450,'CARNET DE SOUDURE'!$O$7:$O$3006,0)),"")))</f>
        <v>10</v>
      </c>
      <c r="M450" s="82" t="str">
        <f aca="false">IF(B450="","",IF(OR(J450&lt;&gt;"",K450&lt;&gt;""),"POSÉ EN LIGNE",IF(COUNTIF(BARDAGE!$C$1:$C$5000,B450)&gt;0,"BARDÉ","EN STOCK")))</f>
        <v>POSÉ EN LIGNE</v>
      </c>
      <c r="N450" s="80"/>
    </row>
    <row r="451" customFormat="false" ht="15" hidden="false" customHeight="false" outlineLevel="0" collapsed="false">
      <c r="A451" s="82" t="n">
        <f aca="false">IF(B451="","",ROW()-6)</f>
        <v>445</v>
      </c>
      <c r="B451" s="145" t="n">
        <v>2080710</v>
      </c>
      <c r="C451" s="146" t="n">
        <v>15421103</v>
      </c>
      <c r="D451" s="146"/>
      <c r="E451" s="82" t="str">
        <f aca="false">IF(B451="","",IF(COUNTIFS('CARNET DE SOUDURE'!$L$7:$L$3006,B451,'CARNET DE SOUDURE'!$M$7:$M$3006,"&lt;&gt;"&amp;C451,'CARNET DE SOUDURE'!$M$7:$M$3006,"&lt;&gt;")+COUNTIFS('CARNET DE SOUDURE'!$O$7:$O$3006,B451,'CARNET DE SOUDURE'!$P$7:$P$3006,"&lt;&gt;"&amp;C451,'CARNET DE SOUDURE'!$P$7:$P$3006,"&lt;&gt;")&gt;0,"⚠ DIFFÉRENTE","OK"))</f>
        <v>OK</v>
      </c>
      <c r="F451" s="147" t="n">
        <v>11.94</v>
      </c>
      <c r="G451" s="80"/>
      <c r="H451" s="83"/>
      <c r="I451" s="148" t="str">
        <f aca="false">IF(B451="","",IFERROR(INDEX('CARNET DE SOUDURE'!$B$7:$B$3006,MATCH(B451,'CARNET DE SOUDURE'!$L$7:$L$3006,0)),IFERROR(INDEX('CARNET DE SOUDURE'!$B$7:$B$3006,MATCH(B451,'CARNET DE SOUDURE'!$O$7:$O$3006,0)),"")))</f>
        <v>MFD-ISW → MFD-CPF</v>
      </c>
      <c r="J451" s="82" t="str">
        <f aca="false">IF(B451="","",IFERROR(INDEX('CARNET DE SOUDURE'!$E$7:$E$3006,MATCH(B451,'CARNET DE SOUDURE'!$O$7:$O$3006,0)),""))</f>
        <v>DJ°315</v>
      </c>
      <c r="K451" s="82" t="str">
        <f aca="false">IF(B451="","",IFERROR(INDEX('CARNET DE SOUDURE'!$E$7:$E$3006,MATCH(B451,'CARNET DE SOUDURE'!$L$7:$L$3006,0)),""))</f>
        <v>JN°1089</v>
      </c>
      <c r="L451" s="82" t="n">
        <f aca="false">IF(B451="","",IFERROR(INDEX('CARNET DE SOUDURE'!$D$7:$D$3006,MATCH(B451,'CARNET DE SOUDURE'!$L$7:$L$3006,0)),IFERROR(INDEX('CARNET DE SOUDURE'!$D$7:$D$3006,MATCH(B451,'CARNET DE SOUDURE'!$O$7:$O$3006,0)),"")))</f>
        <v>10</v>
      </c>
      <c r="M451" s="82" t="str">
        <f aca="false">IF(B451="","",IF(OR(J451&lt;&gt;"",K451&lt;&gt;""),"POSÉ EN LIGNE",IF(COUNTIF(BARDAGE!$C$1:$C$5000,B451)&gt;0,"BARDÉ","EN STOCK")))</f>
        <v>POSÉ EN LIGNE</v>
      </c>
      <c r="N451" s="80"/>
    </row>
    <row r="452" customFormat="false" ht="15" hidden="false" customHeight="false" outlineLevel="0" collapsed="false">
      <c r="A452" s="82" t="n">
        <f aca="false">IF(B452="","",ROW()-6)</f>
        <v>446</v>
      </c>
      <c r="B452" s="145" t="n">
        <v>2092780</v>
      </c>
      <c r="C452" s="146" t="n">
        <v>15421110</v>
      </c>
      <c r="D452" s="146"/>
      <c r="E452" s="82" t="str">
        <f aca="false">IF(B452="","",IF(COUNTIFS('CARNET DE SOUDURE'!$L$7:$L$3006,B452,'CARNET DE SOUDURE'!$M$7:$M$3006,"&lt;&gt;"&amp;C452,'CARNET DE SOUDURE'!$M$7:$M$3006,"&lt;&gt;")+COUNTIFS('CARNET DE SOUDURE'!$O$7:$O$3006,B452,'CARNET DE SOUDURE'!$P$7:$P$3006,"&lt;&gt;"&amp;C452,'CARNET DE SOUDURE'!$P$7:$P$3006,"&lt;&gt;")&gt;0,"⚠ DIFFÉRENTE","OK"))</f>
        <v>OK</v>
      </c>
      <c r="F452" s="147" t="n">
        <v>11.94</v>
      </c>
      <c r="G452" s="80"/>
      <c r="H452" s="83"/>
      <c r="I452" s="148" t="str">
        <f aca="false">IF(B452="","",IFERROR(INDEX('CARNET DE SOUDURE'!$B$7:$B$3006,MATCH(B452,'CARNET DE SOUDURE'!$L$7:$L$3006,0)),IFERROR(INDEX('CARNET DE SOUDURE'!$B$7:$B$3006,MATCH(B452,'CARNET DE SOUDURE'!$O$7:$O$3006,0)),"")))</f>
        <v>MFD-ISW → MFD-CPF</v>
      </c>
      <c r="J452" s="82" t="str">
        <f aca="false">IF(B452="","",IFERROR(INDEX('CARNET DE SOUDURE'!$E$7:$E$3006,MATCH(B452,'CARNET DE SOUDURE'!$O$7:$O$3006,0)),""))</f>
        <v>JN°1089</v>
      </c>
      <c r="K452" s="82" t="str">
        <f aca="false">IF(B452="","",IFERROR(INDEX('CARNET DE SOUDURE'!$E$7:$E$3006,MATCH(B452,'CARNET DE SOUDURE'!$L$7:$L$3006,0)),""))</f>
        <v>DJ°299</v>
      </c>
      <c r="L452" s="82" t="n">
        <f aca="false">IF(B452="","",IFERROR(INDEX('CARNET DE SOUDURE'!$D$7:$D$3006,MATCH(B452,'CARNET DE SOUDURE'!$L$7:$L$3006,0)),IFERROR(INDEX('CARNET DE SOUDURE'!$D$7:$D$3006,MATCH(B452,'CARNET DE SOUDURE'!$O$7:$O$3006,0)),"")))</f>
        <v>10</v>
      </c>
      <c r="M452" s="82" t="str">
        <f aca="false">IF(B452="","",IF(OR(J452&lt;&gt;"",K452&lt;&gt;""),"POSÉ EN LIGNE",IF(COUNTIF(BARDAGE!$C$1:$C$5000,B452)&gt;0,"BARDÉ","EN STOCK")))</f>
        <v>POSÉ EN LIGNE</v>
      </c>
      <c r="N452" s="80"/>
    </row>
    <row r="453" customFormat="false" ht="15" hidden="false" customHeight="false" outlineLevel="0" collapsed="false">
      <c r="A453" s="82" t="n">
        <f aca="false">IF(B453="","",ROW()-6)</f>
        <v>447</v>
      </c>
      <c r="B453" s="145" t="n">
        <v>2090870</v>
      </c>
      <c r="C453" s="146" t="n">
        <v>15421109</v>
      </c>
      <c r="D453" s="146"/>
      <c r="E453" s="82" t="str">
        <f aca="false">IF(B453="","",IF(COUNTIFS('CARNET DE SOUDURE'!$L$7:$L$3006,B453,'CARNET DE SOUDURE'!$M$7:$M$3006,"&lt;&gt;"&amp;C453,'CARNET DE SOUDURE'!$M$7:$M$3006,"&lt;&gt;")+COUNTIFS('CARNET DE SOUDURE'!$O$7:$O$3006,B453,'CARNET DE SOUDURE'!$P$7:$P$3006,"&lt;&gt;"&amp;C453,'CARNET DE SOUDURE'!$P$7:$P$3006,"&lt;&gt;")&gt;0,"⚠ DIFFÉRENTE","OK"))</f>
        <v>OK</v>
      </c>
      <c r="F453" s="147" t="n">
        <v>11.94</v>
      </c>
      <c r="G453" s="80"/>
      <c r="H453" s="83"/>
      <c r="I453" s="148" t="str">
        <f aca="false">IF(B453="","",IFERROR(INDEX('CARNET DE SOUDURE'!$B$7:$B$3006,MATCH(B453,'CARNET DE SOUDURE'!$L$7:$L$3006,0)),IFERROR(INDEX('CARNET DE SOUDURE'!$B$7:$B$3006,MATCH(B453,'CARNET DE SOUDURE'!$O$7:$O$3006,0)),"")))</f>
        <v>MFD-ISW → MFD-CPF</v>
      </c>
      <c r="J453" s="82" t="str">
        <f aca="false">IF(B453="","",IFERROR(INDEX('CARNET DE SOUDURE'!$E$7:$E$3006,MATCH(B453,'CARNET DE SOUDURE'!$O$7:$O$3006,0)),""))</f>
        <v>DJ°299</v>
      </c>
      <c r="K453" s="82" t="str">
        <f aca="false">IF(B453="","",IFERROR(INDEX('CARNET DE SOUDURE'!$E$7:$E$3006,MATCH(B453,'CARNET DE SOUDURE'!$L$7:$L$3006,0)),""))</f>
        <v>JN°1090</v>
      </c>
      <c r="L453" s="82" t="n">
        <f aca="false">IF(B453="","",IFERROR(INDEX('CARNET DE SOUDURE'!$D$7:$D$3006,MATCH(B453,'CARNET DE SOUDURE'!$L$7:$L$3006,0)),IFERROR(INDEX('CARNET DE SOUDURE'!$D$7:$D$3006,MATCH(B453,'CARNET DE SOUDURE'!$O$7:$O$3006,0)),"")))</f>
        <v>10</v>
      </c>
      <c r="M453" s="82" t="str">
        <f aca="false">IF(B453="","",IF(OR(J453&lt;&gt;"",K453&lt;&gt;""),"POSÉ EN LIGNE",IF(COUNTIF(BARDAGE!$C$1:$C$5000,B453)&gt;0,"BARDÉ","EN STOCK")))</f>
        <v>POSÉ EN LIGNE</v>
      </c>
      <c r="N453" s="80"/>
    </row>
    <row r="454" customFormat="false" ht="15" hidden="false" customHeight="false" outlineLevel="0" collapsed="false">
      <c r="A454" s="82" t="n">
        <f aca="false">IF(B454="","",ROW()-6)</f>
        <v>448</v>
      </c>
      <c r="B454" s="145" t="n">
        <v>2086800</v>
      </c>
      <c r="C454" s="146" t="n">
        <v>15421107</v>
      </c>
      <c r="D454" s="146"/>
      <c r="E454" s="82" t="str">
        <f aca="false">IF(B454="","",IF(COUNTIFS('CARNET DE SOUDURE'!$L$7:$L$3006,B454,'CARNET DE SOUDURE'!$M$7:$M$3006,"&lt;&gt;"&amp;C454,'CARNET DE SOUDURE'!$M$7:$M$3006,"&lt;&gt;")+COUNTIFS('CARNET DE SOUDURE'!$O$7:$O$3006,B454,'CARNET DE SOUDURE'!$P$7:$P$3006,"&lt;&gt;"&amp;C454,'CARNET DE SOUDURE'!$P$7:$P$3006,"&lt;&gt;")&gt;0,"⚠ DIFFÉRENTE","OK"))</f>
        <v>OK</v>
      </c>
      <c r="F454" s="147" t="n">
        <v>11.94</v>
      </c>
      <c r="G454" s="80"/>
      <c r="H454" s="83"/>
      <c r="I454" s="148" t="str">
        <f aca="false">IF(B454="","",IFERROR(INDEX('CARNET DE SOUDURE'!$B$7:$B$3006,MATCH(B454,'CARNET DE SOUDURE'!$L$7:$L$3006,0)),IFERROR(INDEX('CARNET DE SOUDURE'!$B$7:$B$3006,MATCH(B454,'CARNET DE SOUDURE'!$O$7:$O$3006,0)),"")))</f>
        <v>MFD-ISW → MFD-CPF</v>
      </c>
      <c r="J454" s="82" t="str">
        <f aca="false">IF(B454="","",IFERROR(INDEX('CARNET DE SOUDURE'!$E$7:$E$3006,MATCH(B454,'CARNET DE SOUDURE'!$O$7:$O$3006,0)),""))</f>
        <v>JN°1090</v>
      </c>
      <c r="K454" s="82" t="str">
        <f aca="false">IF(B454="","",IFERROR(INDEX('CARNET DE SOUDURE'!$E$7:$E$3006,MATCH(B454,'CARNET DE SOUDURE'!$L$7:$L$3006,0)),""))</f>
        <v>DJ°103</v>
      </c>
      <c r="L454" s="82" t="n">
        <f aca="false">IF(B454="","",IFERROR(INDEX('CARNET DE SOUDURE'!$D$7:$D$3006,MATCH(B454,'CARNET DE SOUDURE'!$L$7:$L$3006,0)),IFERROR(INDEX('CARNET DE SOUDURE'!$D$7:$D$3006,MATCH(B454,'CARNET DE SOUDURE'!$O$7:$O$3006,0)),"")))</f>
        <v>10</v>
      </c>
      <c r="M454" s="82" t="str">
        <f aca="false">IF(B454="","",IF(OR(J454&lt;&gt;"",K454&lt;&gt;""),"POSÉ EN LIGNE",IF(COUNTIF(BARDAGE!$C$1:$C$5000,B454)&gt;0,"BARDÉ","EN STOCK")))</f>
        <v>POSÉ EN LIGNE</v>
      </c>
      <c r="N454" s="80"/>
    </row>
    <row r="455" customFormat="false" ht="15" hidden="false" customHeight="false" outlineLevel="0" collapsed="false">
      <c r="A455" s="82" t="n">
        <f aca="false">IF(B455="","",ROW()-6)</f>
        <v>449</v>
      </c>
      <c r="B455" s="145" t="n">
        <v>2086790</v>
      </c>
      <c r="C455" s="146" t="n">
        <v>15421107</v>
      </c>
      <c r="D455" s="146"/>
      <c r="E455" s="82" t="str">
        <f aca="false">IF(B455="","",IF(COUNTIFS('CARNET DE SOUDURE'!$L$7:$L$3006,B455,'CARNET DE SOUDURE'!$M$7:$M$3006,"&lt;&gt;"&amp;C455,'CARNET DE SOUDURE'!$M$7:$M$3006,"&lt;&gt;")+COUNTIFS('CARNET DE SOUDURE'!$O$7:$O$3006,B455,'CARNET DE SOUDURE'!$P$7:$P$3006,"&lt;&gt;"&amp;C455,'CARNET DE SOUDURE'!$P$7:$P$3006,"&lt;&gt;")&gt;0,"⚠ DIFFÉRENTE","OK"))</f>
        <v>OK</v>
      </c>
      <c r="F455" s="147" t="n">
        <v>11.94</v>
      </c>
      <c r="G455" s="80"/>
      <c r="H455" s="83"/>
      <c r="I455" s="148" t="str">
        <f aca="false">IF(B455="","",IFERROR(INDEX('CARNET DE SOUDURE'!$B$7:$B$3006,MATCH(B455,'CARNET DE SOUDURE'!$L$7:$L$3006,0)),IFERROR(INDEX('CARNET DE SOUDURE'!$B$7:$B$3006,MATCH(B455,'CARNET DE SOUDURE'!$O$7:$O$3006,0)),"")))</f>
        <v>MFD-ISW → MFD-CPF</v>
      </c>
      <c r="J455" s="82" t="str">
        <f aca="false">IF(B455="","",IFERROR(INDEX('CARNET DE SOUDURE'!$E$7:$E$3006,MATCH(B455,'CARNET DE SOUDURE'!$O$7:$O$3006,0)),""))</f>
        <v>DJ°103</v>
      </c>
      <c r="K455" s="82" t="str">
        <f aca="false">IF(B455="","",IFERROR(INDEX('CARNET DE SOUDURE'!$E$7:$E$3006,MATCH(B455,'CARNET DE SOUDURE'!$L$7:$L$3006,0)),""))</f>
        <v>JN°1091</v>
      </c>
      <c r="L455" s="82" t="n">
        <f aca="false">IF(B455="","",IFERROR(INDEX('CARNET DE SOUDURE'!$D$7:$D$3006,MATCH(B455,'CARNET DE SOUDURE'!$L$7:$L$3006,0)),IFERROR(INDEX('CARNET DE SOUDURE'!$D$7:$D$3006,MATCH(B455,'CARNET DE SOUDURE'!$O$7:$O$3006,0)),"")))</f>
        <v>10</v>
      </c>
      <c r="M455" s="82" t="str">
        <f aca="false">IF(B455="","",IF(OR(J455&lt;&gt;"",K455&lt;&gt;""),"POSÉ EN LIGNE",IF(COUNTIF(BARDAGE!$C$1:$C$5000,B455)&gt;0,"BARDÉ","EN STOCK")))</f>
        <v>POSÉ EN LIGNE</v>
      </c>
      <c r="N455" s="80"/>
    </row>
    <row r="456" customFormat="false" ht="15" hidden="false" customHeight="false" outlineLevel="0" collapsed="false">
      <c r="A456" s="82" t="n">
        <f aca="false">IF(B456="","",ROW()-6)</f>
        <v>450</v>
      </c>
      <c r="B456" s="145" t="n">
        <v>2095720</v>
      </c>
      <c r="C456" s="146" t="n">
        <v>15421111</v>
      </c>
      <c r="D456" s="146"/>
      <c r="E456" s="82" t="str">
        <f aca="false">IF(B456="","",IF(COUNTIFS('CARNET DE SOUDURE'!$L$7:$L$3006,B456,'CARNET DE SOUDURE'!$M$7:$M$3006,"&lt;&gt;"&amp;C456,'CARNET DE SOUDURE'!$M$7:$M$3006,"&lt;&gt;")+COUNTIFS('CARNET DE SOUDURE'!$O$7:$O$3006,B456,'CARNET DE SOUDURE'!$P$7:$P$3006,"&lt;&gt;"&amp;C456,'CARNET DE SOUDURE'!$P$7:$P$3006,"&lt;&gt;")&gt;0,"⚠ DIFFÉRENTE","OK"))</f>
        <v>OK</v>
      </c>
      <c r="F456" s="147" t="n">
        <v>11.94</v>
      </c>
      <c r="G456" s="80"/>
      <c r="H456" s="83"/>
      <c r="I456" s="148" t="str">
        <f aca="false">IF(B456="","",IFERROR(INDEX('CARNET DE SOUDURE'!$B$7:$B$3006,MATCH(B456,'CARNET DE SOUDURE'!$L$7:$L$3006,0)),IFERROR(INDEX('CARNET DE SOUDURE'!$B$7:$B$3006,MATCH(B456,'CARNET DE SOUDURE'!$O$7:$O$3006,0)),"")))</f>
        <v>MFD-ISW → MFD-CPF</v>
      </c>
      <c r="J456" s="82" t="str">
        <f aca="false">IF(B456="","",IFERROR(INDEX('CARNET DE SOUDURE'!$E$7:$E$3006,MATCH(B456,'CARNET DE SOUDURE'!$O$7:$O$3006,0)),""))</f>
        <v>JN°1091</v>
      </c>
      <c r="K456" s="82" t="str">
        <f aca="false">IF(B456="","",IFERROR(INDEX('CARNET DE SOUDURE'!$E$7:$E$3006,MATCH(B456,'CARNET DE SOUDURE'!$L$7:$L$3006,0)),""))</f>
        <v>DJ°090</v>
      </c>
      <c r="L456" s="82" t="n">
        <f aca="false">IF(B456="","",IFERROR(INDEX('CARNET DE SOUDURE'!$D$7:$D$3006,MATCH(B456,'CARNET DE SOUDURE'!$L$7:$L$3006,0)),IFERROR(INDEX('CARNET DE SOUDURE'!$D$7:$D$3006,MATCH(B456,'CARNET DE SOUDURE'!$O$7:$O$3006,0)),"")))</f>
        <v>10</v>
      </c>
      <c r="M456" s="82" t="str">
        <f aca="false">IF(B456="","",IF(OR(J456&lt;&gt;"",K456&lt;&gt;""),"POSÉ EN LIGNE",IF(COUNTIF(BARDAGE!$C$1:$C$5000,B456)&gt;0,"BARDÉ","EN STOCK")))</f>
        <v>POSÉ EN LIGNE</v>
      </c>
      <c r="N456" s="80"/>
    </row>
    <row r="457" customFormat="false" ht="15" hidden="false" customHeight="false" outlineLevel="0" collapsed="false">
      <c r="A457" s="82" t="n">
        <f aca="false">IF(B457="","",ROW()-6)</f>
        <v>451</v>
      </c>
      <c r="B457" s="145" t="n">
        <v>2087030</v>
      </c>
      <c r="C457" s="146" t="n">
        <v>15421107</v>
      </c>
      <c r="D457" s="146"/>
      <c r="E457" s="82" t="str">
        <f aca="false">IF(B457="","",IF(COUNTIFS('CARNET DE SOUDURE'!$L$7:$L$3006,B457,'CARNET DE SOUDURE'!$M$7:$M$3006,"&lt;&gt;"&amp;C457,'CARNET DE SOUDURE'!$M$7:$M$3006,"&lt;&gt;")+COUNTIFS('CARNET DE SOUDURE'!$O$7:$O$3006,B457,'CARNET DE SOUDURE'!$P$7:$P$3006,"&lt;&gt;"&amp;C457,'CARNET DE SOUDURE'!$P$7:$P$3006,"&lt;&gt;")&gt;0,"⚠ DIFFÉRENTE","OK"))</f>
        <v>OK</v>
      </c>
      <c r="F457" s="147" t="n">
        <v>11.94</v>
      </c>
      <c r="G457" s="80"/>
      <c r="H457" s="83"/>
      <c r="I457" s="148" t="str">
        <f aca="false">IF(B457="","",IFERROR(INDEX('CARNET DE SOUDURE'!$B$7:$B$3006,MATCH(B457,'CARNET DE SOUDURE'!$L$7:$L$3006,0)),IFERROR(INDEX('CARNET DE SOUDURE'!$B$7:$B$3006,MATCH(B457,'CARNET DE SOUDURE'!$O$7:$O$3006,0)),"")))</f>
        <v>MFD-ISW → MFD-CPF</v>
      </c>
      <c r="J457" s="82" t="str">
        <f aca="false">IF(B457="","",IFERROR(INDEX('CARNET DE SOUDURE'!$E$7:$E$3006,MATCH(B457,'CARNET DE SOUDURE'!$O$7:$O$3006,0)),""))</f>
        <v>DJ°090</v>
      </c>
      <c r="K457" s="82" t="str">
        <f aca="false">IF(B457="","",IFERROR(INDEX('CARNET DE SOUDURE'!$E$7:$E$3006,MATCH(B457,'CARNET DE SOUDURE'!$L$7:$L$3006,0)),""))</f>
        <v>JN°1092</v>
      </c>
      <c r="L457" s="82" t="n">
        <f aca="false">IF(B457="","",IFERROR(INDEX('CARNET DE SOUDURE'!$D$7:$D$3006,MATCH(B457,'CARNET DE SOUDURE'!$L$7:$L$3006,0)),IFERROR(INDEX('CARNET DE SOUDURE'!$D$7:$D$3006,MATCH(B457,'CARNET DE SOUDURE'!$O$7:$O$3006,0)),"")))</f>
        <v>10</v>
      </c>
      <c r="M457" s="82" t="str">
        <f aca="false">IF(B457="","",IF(OR(J457&lt;&gt;"",K457&lt;&gt;""),"POSÉ EN LIGNE",IF(COUNTIF(BARDAGE!$C$1:$C$5000,B457)&gt;0,"BARDÉ","EN STOCK")))</f>
        <v>POSÉ EN LIGNE</v>
      </c>
      <c r="N457" s="80"/>
    </row>
    <row r="458" customFormat="false" ht="15" hidden="false" customHeight="false" outlineLevel="0" collapsed="false">
      <c r="A458" s="82" t="n">
        <f aca="false">IF(B458="","",ROW()-6)</f>
        <v>452</v>
      </c>
      <c r="B458" s="145" t="n">
        <v>2093490</v>
      </c>
      <c r="C458" s="146" t="n">
        <v>15421110</v>
      </c>
      <c r="D458" s="146"/>
      <c r="E458" s="82" t="str">
        <f aca="false">IF(B458="","",IF(COUNTIFS('CARNET DE SOUDURE'!$L$7:$L$3006,B458,'CARNET DE SOUDURE'!$M$7:$M$3006,"&lt;&gt;"&amp;C458,'CARNET DE SOUDURE'!$M$7:$M$3006,"&lt;&gt;")+COUNTIFS('CARNET DE SOUDURE'!$O$7:$O$3006,B458,'CARNET DE SOUDURE'!$P$7:$P$3006,"&lt;&gt;"&amp;C458,'CARNET DE SOUDURE'!$P$7:$P$3006,"&lt;&gt;")&gt;0,"⚠ DIFFÉRENTE","OK"))</f>
        <v>OK</v>
      </c>
      <c r="F458" s="147" t="n">
        <v>11.94</v>
      </c>
      <c r="G458" s="80"/>
      <c r="H458" s="83"/>
      <c r="I458" s="148" t="str">
        <f aca="false">IF(B458="","",IFERROR(INDEX('CARNET DE SOUDURE'!$B$7:$B$3006,MATCH(B458,'CARNET DE SOUDURE'!$L$7:$L$3006,0)),IFERROR(INDEX('CARNET DE SOUDURE'!$B$7:$B$3006,MATCH(B458,'CARNET DE SOUDURE'!$O$7:$O$3006,0)),"")))</f>
        <v>MFD-ISW → MFD-CPF</v>
      </c>
      <c r="J458" s="82" t="str">
        <f aca="false">IF(B458="","",IFERROR(INDEX('CARNET DE SOUDURE'!$E$7:$E$3006,MATCH(B458,'CARNET DE SOUDURE'!$O$7:$O$3006,0)),""))</f>
        <v>JN°1092</v>
      </c>
      <c r="K458" s="82" t="str">
        <f aca="false">IF(B458="","",IFERROR(INDEX('CARNET DE SOUDURE'!$E$7:$E$3006,MATCH(B458,'CARNET DE SOUDURE'!$L$7:$L$3006,0)),""))</f>
        <v>DJ°093</v>
      </c>
      <c r="L458" s="82" t="n">
        <f aca="false">IF(B458="","",IFERROR(INDEX('CARNET DE SOUDURE'!$D$7:$D$3006,MATCH(B458,'CARNET DE SOUDURE'!$L$7:$L$3006,0)),IFERROR(INDEX('CARNET DE SOUDURE'!$D$7:$D$3006,MATCH(B458,'CARNET DE SOUDURE'!$O$7:$O$3006,0)),"")))</f>
        <v>10</v>
      </c>
      <c r="M458" s="82" t="str">
        <f aca="false">IF(B458="","",IF(OR(J458&lt;&gt;"",K458&lt;&gt;""),"POSÉ EN LIGNE",IF(COUNTIF(BARDAGE!$C$1:$C$5000,B458)&gt;0,"BARDÉ","EN STOCK")))</f>
        <v>POSÉ EN LIGNE</v>
      </c>
      <c r="N458" s="80"/>
    </row>
    <row r="459" customFormat="false" ht="15" hidden="false" customHeight="false" outlineLevel="0" collapsed="false">
      <c r="A459" s="82" t="n">
        <f aca="false">IF(B459="","",ROW()-6)</f>
        <v>453</v>
      </c>
      <c r="B459" s="145" t="n">
        <v>2084730</v>
      </c>
      <c r="C459" s="146" t="n">
        <v>15421106</v>
      </c>
      <c r="D459" s="146"/>
      <c r="E459" s="82" t="str">
        <f aca="false">IF(B459="","",IF(COUNTIFS('CARNET DE SOUDURE'!$L$7:$L$3006,B459,'CARNET DE SOUDURE'!$M$7:$M$3006,"&lt;&gt;"&amp;C459,'CARNET DE SOUDURE'!$M$7:$M$3006,"&lt;&gt;")+COUNTIFS('CARNET DE SOUDURE'!$O$7:$O$3006,B459,'CARNET DE SOUDURE'!$P$7:$P$3006,"&lt;&gt;"&amp;C459,'CARNET DE SOUDURE'!$P$7:$P$3006,"&lt;&gt;")&gt;0,"⚠ DIFFÉRENTE","OK"))</f>
        <v>OK</v>
      </c>
      <c r="F459" s="147" t="n">
        <v>11.94</v>
      </c>
      <c r="G459" s="80"/>
      <c r="H459" s="83"/>
      <c r="I459" s="148" t="str">
        <f aca="false">IF(B459="","",IFERROR(INDEX('CARNET DE SOUDURE'!$B$7:$B$3006,MATCH(B459,'CARNET DE SOUDURE'!$L$7:$L$3006,0)),IFERROR(INDEX('CARNET DE SOUDURE'!$B$7:$B$3006,MATCH(B459,'CARNET DE SOUDURE'!$O$7:$O$3006,0)),"")))</f>
        <v>MFD-ISW → MFD-CPF</v>
      </c>
      <c r="J459" s="82" t="str">
        <f aca="false">IF(B459="","",IFERROR(INDEX('CARNET DE SOUDURE'!$E$7:$E$3006,MATCH(B459,'CARNET DE SOUDURE'!$O$7:$O$3006,0)),""))</f>
        <v>DJ°093</v>
      </c>
      <c r="K459" s="82" t="str">
        <f aca="false">IF(B459="","",IFERROR(INDEX('CARNET DE SOUDURE'!$E$7:$E$3006,MATCH(B459,'CARNET DE SOUDURE'!$L$7:$L$3006,0)),""))</f>
        <v>JN°1093</v>
      </c>
      <c r="L459" s="82" t="n">
        <f aca="false">IF(B459="","",IFERROR(INDEX('CARNET DE SOUDURE'!$D$7:$D$3006,MATCH(B459,'CARNET DE SOUDURE'!$L$7:$L$3006,0)),IFERROR(INDEX('CARNET DE SOUDURE'!$D$7:$D$3006,MATCH(B459,'CARNET DE SOUDURE'!$O$7:$O$3006,0)),"")))</f>
        <v>10</v>
      </c>
      <c r="M459" s="82" t="str">
        <f aca="false">IF(B459="","",IF(OR(J459&lt;&gt;"",K459&lt;&gt;""),"POSÉ EN LIGNE",IF(COUNTIF(BARDAGE!$C$1:$C$5000,B459)&gt;0,"BARDÉ","EN STOCK")))</f>
        <v>POSÉ EN LIGNE</v>
      </c>
      <c r="N459" s="80"/>
    </row>
    <row r="460" customFormat="false" ht="15" hidden="false" customHeight="false" outlineLevel="0" collapsed="false">
      <c r="A460" s="82" t="n">
        <f aca="false">IF(B460="","",ROW()-6)</f>
        <v>454</v>
      </c>
      <c r="B460" s="145" t="n">
        <v>2084020</v>
      </c>
      <c r="C460" s="146" t="n">
        <v>15421111</v>
      </c>
      <c r="D460" s="146"/>
      <c r="E460" s="82" t="str">
        <f aca="false">IF(B460="","",IF(COUNTIFS('CARNET DE SOUDURE'!$L$7:$L$3006,B460,'CARNET DE SOUDURE'!$M$7:$M$3006,"&lt;&gt;"&amp;C460,'CARNET DE SOUDURE'!$M$7:$M$3006,"&lt;&gt;")+COUNTIFS('CARNET DE SOUDURE'!$O$7:$O$3006,B460,'CARNET DE SOUDURE'!$P$7:$P$3006,"&lt;&gt;"&amp;C460,'CARNET DE SOUDURE'!$P$7:$P$3006,"&lt;&gt;")&gt;0,"⚠ DIFFÉRENTE","OK"))</f>
        <v>OK</v>
      </c>
      <c r="F460" s="147" t="n">
        <v>11.94</v>
      </c>
      <c r="G460" s="80"/>
      <c r="H460" s="83"/>
      <c r="I460" s="148" t="str">
        <f aca="false">IF(B460="","",IFERROR(INDEX('CARNET DE SOUDURE'!$B$7:$B$3006,MATCH(B460,'CARNET DE SOUDURE'!$L$7:$L$3006,0)),IFERROR(INDEX('CARNET DE SOUDURE'!$B$7:$B$3006,MATCH(B460,'CARNET DE SOUDURE'!$O$7:$O$3006,0)),"")))</f>
        <v>MFD-ISW → MFD-CPF</v>
      </c>
      <c r="J460" s="82" t="str">
        <f aca="false">IF(B460="","",IFERROR(INDEX('CARNET DE SOUDURE'!$E$7:$E$3006,MATCH(B460,'CARNET DE SOUDURE'!$O$7:$O$3006,0)),""))</f>
        <v>JN°1093</v>
      </c>
      <c r="K460" s="82" t="str">
        <f aca="false">IF(B460="","",IFERROR(INDEX('CARNET DE SOUDURE'!$E$7:$E$3006,MATCH(B460,'CARNET DE SOUDURE'!$L$7:$L$3006,0)),""))</f>
        <v>DJ°086</v>
      </c>
      <c r="L460" s="82" t="n">
        <f aca="false">IF(B460="","",IFERROR(INDEX('CARNET DE SOUDURE'!$D$7:$D$3006,MATCH(B460,'CARNET DE SOUDURE'!$L$7:$L$3006,0)),IFERROR(INDEX('CARNET DE SOUDURE'!$D$7:$D$3006,MATCH(B460,'CARNET DE SOUDURE'!$O$7:$O$3006,0)),"")))</f>
        <v>10</v>
      </c>
      <c r="M460" s="82" t="str">
        <f aca="false">IF(B460="","",IF(OR(J460&lt;&gt;"",K460&lt;&gt;""),"POSÉ EN LIGNE",IF(COUNTIF(BARDAGE!$C$1:$C$5000,B460)&gt;0,"BARDÉ","EN STOCK")))</f>
        <v>POSÉ EN LIGNE</v>
      </c>
      <c r="N460" s="80"/>
    </row>
    <row r="461" customFormat="false" ht="15" hidden="false" customHeight="false" outlineLevel="0" collapsed="false">
      <c r="A461" s="82" t="n">
        <f aca="false">IF(B461="","",ROW()-6)</f>
        <v>455</v>
      </c>
      <c r="B461" s="145" t="n">
        <v>2096100</v>
      </c>
      <c r="C461" s="146" t="n">
        <v>15421111</v>
      </c>
      <c r="D461" s="146"/>
      <c r="E461" s="82" t="str">
        <f aca="false">IF(B461="","",IF(COUNTIFS('CARNET DE SOUDURE'!$L$7:$L$3006,B461,'CARNET DE SOUDURE'!$M$7:$M$3006,"&lt;&gt;"&amp;C461,'CARNET DE SOUDURE'!$M$7:$M$3006,"&lt;&gt;")+COUNTIFS('CARNET DE SOUDURE'!$O$7:$O$3006,B461,'CARNET DE SOUDURE'!$P$7:$P$3006,"&lt;&gt;"&amp;C461,'CARNET DE SOUDURE'!$P$7:$P$3006,"&lt;&gt;")&gt;0,"⚠ DIFFÉRENTE","OK"))</f>
        <v>OK</v>
      </c>
      <c r="F461" s="147" t="n">
        <v>11.94</v>
      </c>
      <c r="G461" s="80"/>
      <c r="H461" s="83"/>
      <c r="I461" s="148" t="str">
        <f aca="false">IF(B461="","",IFERROR(INDEX('CARNET DE SOUDURE'!$B$7:$B$3006,MATCH(B461,'CARNET DE SOUDURE'!$L$7:$L$3006,0)),IFERROR(INDEX('CARNET DE SOUDURE'!$B$7:$B$3006,MATCH(B461,'CARNET DE SOUDURE'!$O$7:$O$3006,0)),"")))</f>
        <v>MFD-ISW → MFD-CPF</v>
      </c>
      <c r="J461" s="82" t="str">
        <f aca="false">IF(B461="","",IFERROR(INDEX('CARNET DE SOUDURE'!$E$7:$E$3006,MATCH(B461,'CARNET DE SOUDURE'!$O$7:$O$3006,0)),""))</f>
        <v>DJ°086</v>
      </c>
      <c r="K461" s="82" t="str">
        <f aca="false">IF(B461="","",IFERROR(INDEX('CARNET DE SOUDURE'!$E$7:$E$3006,MATCH(B461,'CARNET DE SOUDURE'!$L$7:$L$3006,0)),""))</f>
        <v>JN°1094</v>
      </c>
      <c r="L461" s="82" t="n">
        <f aca="false">IF(B461="","",IFERROR(INDEX('CARNET DE SOUDURE'!$D$7:$D$3006,MATCH(B461,'CARNET DE SOUDURE'!$L$7:$L$3006,0)),IFERROR(INDEX('CARNET DE SOUDURE'!$D$7:$D$3006,MATCH(B461,'CARNET DE SOUDURE'!$O$7:$O$3006,0)),"")))</f>
        <v>10</v>
      </c>
      <c r="M461" s="82" t="str">
        <f aca="false">IF(B461="","",IF(OR(J461&lt;&gt;"",K461&lt;&gt;""),"POSÉ EN LIGNE",IF(COUNTIF(BARDAGE!$C$1:$C$5000,B461)&gt;0,"BARDÉ","EN STOCK")))</f>
        <v>POSÉ EN LIGNE</v>
      </c>
      <c r="N461" s="80"/>
    </row>
    <row r="462" customFormat="false" ht="15" hidden="false" customHeight="false" outlineLevel="0" collapsed="false">
      <c r="A462" s="82" t="n">
        <f aca="false">IF(B462="","",ROW()-6)</f>
        <v>456</v>
      </c>
      <c r="B462" s="145" t="n">
        <v>2093470</v>
      </c>
      <c r="C462" s="146" t="n">
        <v>15421101</v>
      </c>
      <c r="D462" s="146"/>
      <c r="E462" s="82" t="str">
        <f aca="false">IF(B462="","",IF(COUNTIFS('CARNET DE SOUDURE'!$L$7:$L$3006,B462,'CARNET DE SOUDURE'!$M$7:$M$3006,"&lt;&gt;"&amp;C462,'CARNET DE SOUDURE'!$M$7:$M$3006,"&lt;&gt;")+COUNTIFS('CARNET DE SOUDURE'!$O$7:$O$3006,B462,'CARNET DE SOUDURE'!$P$7:$P$3006,"&lt;&gt;"&amp;C462,'CARNET DE SOUDURE'!$P$7:$P$3006,"&lt;&gt;")&gt;0,"⚠ DIFFÉRENTE","OK"))</f>
        <v>OK</v>
      </c>
      <c r="F462" s="147" t="n">
        <v>11.94</v>
      </c>
      <c r="G462" s="80"/>
      <c r="H462" s="83"/>
      <c r="I462" s="148" t="str">
        <f aca="false">IF(B462="","",IFERROR(INDEX('CARNET DE SOUDURE'!$B$7:$B$3006,MATCH(B462,'CARNET DE SOUDURE'!$L$7:$L$3006,0)),IFERROR(INDEX('CARNET DE SOUDURE'!$B$7:$B$3006,MATCH(B462,'CARNET DE SOUDURE'!$O$7:$O$3006,0)),"")))</f>
        <v>MFD-ISW → MFD-CPF</v>
      </c>
      <c r="J462" s="82" t="str">
        <f aca="false">IF(B462="","",IFERROR(INDEX('CARNET DE SOUDURE'!$E$7:$E$3006,MATCH(B462,'CARNET DE SOUDURE'!$O$7:$O$3006,0)),""))</f>
        <v>JN°1094</v>
      </c>
      <c r="K462" s="82" t="str">
        <f aca="false">IF(B462="","",IFERROR(INDEX('CARNET DE SOUDURE'!$E$7:$E$3006,MATCH(B462,'CARNET DE SOUDURE'!$L$7:$L$3006,0)),""))</f>
        <v>DJ°087</v>
      </c>
      <c r="L462" s="82" t="n">
        <f aca="false">IF(B462="","",IFERROR(INDEX('CARNET DE SOUDURE'!$D$7:$D$3006,MATCH(B462,'CARNET DE SOUDURE'!$L$7:$L$3006,0)),IFERROR(INDEX('CARNET DE SOUDURE'!$D$7:$D$3006,MATCH(B462,'CARNET DE SOUDURE'!$O$7:$O$3006,0)),"")))</f>
        <v>10</v>
      </c>
      <c r="M462" s="82" t="str">
        <f aca="false">IF(B462="","",IF(OR(J462&lt;&gt;"",K462&lt;&gt;""),"POSÉ EN LIGNE",IF(COUNTIF(BARDAGE!$C$1:$C$5000,B462)&gt;0,"BARDÉ","EN STOCK")))</f>
        <v>POSÉ EN LIGNE</v>
      </c>
      <c r="N462" s="80"/>
    </row>
    <row r="463" customFormat="false" ht="15" hidden="false" customHeight="false" outlineLevel="0" collapsed="false">
      <c r="A463" s="82" t="n">
        <f aca="false">IF(B463="","",ROW()-6)</f>
        <v>457</v>
      </c>
      <c r="B463" s="145" t="n">
        <v>2079030</v>
      </c>
      <c r="C463" s="146" t="n">
        <v>15421102</v>
      </c>
      <c r="D463" s="146"/>
      <c r="E463" s="82" t="str">
        <f aca="false">IF(B463="","",IF(COUNTIFS('CARNET DE SOUDURE'!$L$7:$L$3006,B463,'CARNET DE SOUDURE'!$M$7:$M$3006,"&lt;&gt;"&amp;C463,'CARNET DE SOUDURE'!$M$7:$M$3006,"&lt;&gt;")+COUNTIFS('CARNET DE SOUDURE'!$O$7:$O$3006,B463,'CARNET DE SOUDURE'!$P$7:$P$3006,"&lt;&gt;"&amp;C463,'CARNET DE SOUDURE'!$P$7:$P$3006,"&lt;&gt;")&gt;0,"⚠ DIFFÉRENTE","OK"))</f>
        <v>OK</v>
      </c>
      <c r="F463" s="147" t="n">
        <v>11.94</v>
      </c>
      <c r="G463" s="80"/>
      <c r="H463" s="83"/>
      <c r="I463" s="148" t="str">
        <f aca="false">IF(B463="","",IFERROR(INDEX('CARNET DE SOUDURE'!$B$7:$B$3006,MATCH(B463,'CARNET DE SOUDURE'!$L$7:$L$3006,0)),IFERROR(INDEX('CARNET DE SOUDURE'!$B$7:$B$3006,MATCH(B463,'CARNET DE SOUDURE'!$O$7:$O$3006,0)),"")))</f>
        <v>MFD-ISW → MFD-CPF</v>
      </c>
      <c r="J463" s="82" t="str">
        <f aca="false">IF(B463="","",IFERROR(INDEX('CARNET DE SOUDURE'!$E$7:$E$3006,MATCH(B463,'CARNET DE SOUDURE'!$O$7:$O$3006,0)),""))</f>
        <v>DJ°087</v>
      </c>
      <c r="K463" s="82" t="str">
        <f aca="false">IF(B463="","",IFERROR(INDEX('CARNET DE SOUDURE'!$E$7:$E$3006,MATCH(B463,'CARNET DE SOUDURE'!$L$7:$L$3006,0)),""))</f>
        <v>JN°1095</v>
      </c>
      <c r="L463" s="82" t="n">
        <f aca="false">IF(B463="","",IFERROR(INDEX('CARNET DE SOUDURE'!$D$7:$D$3006,MATCH(B463,'CARNET DE SOUDURE'!$L$7:$L$3006,0)),IFERROR(INDEX('CARNET DE SOUDURE'!$D$7:$D$3006,MATCH(B463,'CARNET DE SOUDURE'!$O$7:$O$3006,0)),"")))</f>
        <v>10</v>
      </c>
      <c r="M463" s="82" t="str">
        <f aca="false">IF(B463="","",IF(OR(J463&lt;&gt;"",K463&lt;&gt;""),"POSÉ EN LIGNE",IF(COUNTIF(BARDAGE!$C$1:$C$5000,B463)&gt;0,"BARDÉ","EN STOCK")))</f>
        <v>POSÉ EN LIGNE</v>
      </c>
      <c r="N463" s="80"/>
    </row>
    <row r="464" customFormat="false" ht="15" hidden="false" customHeight="false" outlineLevel="0" collapsed="false">
      <c r="A464" s="82" t="n">
        <f aca="false">IF(B464="","",ROW()-6)</f>
        <v>458</v>
      </c>
      <c r="B464" s="145" t="n">
        <v>2096610</v>
      </c>
      <c r="C464" s="146" t="n">
        <v>15421111</v>
      </c>
      <c r="D464" s="146"/>
      <c r="E464" s="82" t="str">
        <f aca="false">IF(B464="","",IF(COUNTIFS('CARNET DE SOUDURE'!$L$7:$L$3006,B464,'CARNET DE SOUDURE'!$M$7:$M$3006,"&lt;&gt;"&amp;C464,'CARNET DE SOUDURE'!$M$7:$M$3006,"&lt;&gt;")+COUNTIFS('CARNET DE SOUDURE'!$O$7:$O$3006,B464,'CARNET DE SOUDURE'!$P$7:$P$3006,"&lt;&gt;"&amp;C464,'CARNET DE SOUDURE'!$P$7:$P$3006,"&lt;&gt;")&gt;0,"⚠ DIFFÉRENTE","OK"))</f>
        <v>OK</v>
      </c>
      <c r="F464" s="147" t="n">
        <v>11.94</v>
      </c>
      <c r="G464" s="80"/>
      <c r="H464" s="83"/>
      <c r="I464" s="148" t="str">
        <f aca="false">IF(B464="","",IFERROR(INDEX('CARNET DE SOUDURE'!$B$7:$B$3006,MATCH(B464,'CARNET DE SOUDURE'!$L$7:$L$3006,0)),IFERROR(INDEX('CARNET DE SOUDURE'!$B$7:$B$3006,MATCH(B464,'CARNET DE SOUDURE'!$O$7:$O$3006,0)),"")))</f>
        <v>MFD-ISW → MFD-CPF</v>
      </c>
      <c r="J464" s="82" t="str">
        <f aca="false">IF(B464="","",IFERROR(INDEX('CARNET DE SOUDURE'!$E$7:$E$3006,MATCH(B464,'CARNET DE SOUDURE'!$O$7:$O$3006,0)),""))</f>
        <v>JN°1095</v>
      </c>
      <c r="K464" s="82" t="str">
        <f aca="false">IF(B464="","",IFERROR(INDEX('CARNET DE SOUDURE'!$E$7:$E$3006,MATCH(B464,'CARNET DE SOUDURE'!$L$7:$L$3006,0)),""))</f>
        <v>DJ°085</v>
      </c>
      <c r="L464" s="82" t="n">
        <f aca="false">IF(B464="","",IFERROR(INDEX('CARNET DE SOUDURE'!$D$7:$D$3006,MATCH(B464,'CARNET DE SOUDURE'!$L$7:$L$3006,0)),IFERROR(INDEX('CARNET DE SOUDURE'!$D$7:$D$3006,MATCH(B464,'CARNET DE SOUDURE'!$O$7:$O$3006,0)),"")))</f>
        <v>10</v>
      </c>
      <c r="M464" s="82" t="str">
        <f aca="false">IF(B464="","",IF(OR(J464&lt;&gt;"",K464&lt;&gt;""),"POSÉ EN LIGNE",IF(COUNTIF(BARDAGE!$C$1:$C$5000,B464)&gt;0,"BARDÉ","EN STOCK")))</f>
        <v>POSÉ EN LIGNE</v>
      </c>
      <c r="N464" s="80"/>
    </row>
    <row r="465" customFormat="false" ht="15" hidden="false" customHeight="false" outlineLevel="0" collapsed="false">
      <c r="A465" s="82" t="n">
        <f aca="false">IF(B465="","",ROW()-6)</f>
        <v>459</v>
      </c>
      <c r="B465" s="145" t="n">
        <v>2091040</v>
      </c>
      <c r="C465" s="146" t="n">
        <v>15421109</v>
      </c>
      <c r="D465" s="146"/>
      <c r="E465" s="82" t="str">
        <f aca="false">IF(B465="","",IF(COUNTIFS('CARNET DE SOUDURE'!$L$7:$L$3006,B465,'CARNET DE SOUDURE'!$M$7:$M$3006,"&lt;&gt;"&amp;C465,'CARNET DE SOUDURE'!$M$7:$M$3006,"&lt;&gt;")+COUNTIFS('CARNET DE SOUDURE'!$O$7:$O$3006,B465,'CARNET DE SOUDURE'!$P$7:$P$3006,"&lt;&gt;"&amp;C465,'CARNET DE SOUDURE'!$P$7:$P$3006,"&lt;&gt;")&gt;0,"⚠ DIFFÉRENTE","OK"))</f>
        <v>OK</v>
      </c>
      <c r="F465" s="147" t="n">
        <v>11.94</v>
      </c>
      <c r="G465" s="80"/>
      <c r="H465" s="83"/>
      <c r="I465" s="148" t="str">
        <f aca="false">IF(B465="","",IFERROR(INDEX('CARNET DE SOUDURE'!$B$7:$B$3006,MATCH(B465,'CARNET DE SOUDURE'!$L$7:$L$3006,0)),IFERROR(INDEX('CARNET DE SOUDURE'!$B$7:$B$3006,MATCH(B465,'CARNET DE SOUDURE'!$O$7:$O$3006,0)),"")))</f>
        <v>MFD-ISW → MFD-CPF</v>
      </c>
      <c r="J465" s="82" t="str">
        <f aca="false">IF(B465="","",IFERROR(INDEX('CARNET DE SOUDURE'!$E$7:$E$3006,MATCH(B465,'CARNET DE SOUDURE'!$O$7:$O$3006,0)),""))</f>
        <v>DJ°085</v>
      </c>
      <c r="K465" s="82" t="str">
        <f aca="false">IF(B465="","",IFERROR(INDEX('CARNET DE SOUDURE'!$E$7:$E$3006,MATCH(B465,'CARNET DE SOUDURE'!$L$7:$L$3006,0)),""))</f>
        <v>JN°1096</v>
      </c>
      <c r="L465" s="82" t="n">
        <f aca="false">IF(B465="","",IFERROR(INDEX('CARNET DE SOUDURE'!$D$7:$D$3006,MATCH(B465,'CARNET DE SOUDURE'!$L$7:$L$3006,0)),IFERROR(INDEX('CARNET DE SOUDURE'!$D$7:$D$3006,MATCH(B465,'CARNET DE SOUDURE'!$O$7:$O$3006,0)),"")))</f>
        <v>10</v>
      </c>
      <c r="M465" s="82" t="str">
        <f aca="false">IF(B465="","",IF(OR(J465&lt;&gt;"",K465&lt;&gt;""),"POSÉ EN LIGNE",IF(COUNTIF(BARDAGE!$C$1:$C$5000,B465)&gt;0,"BARDÉ","EN STOCK")))</f>
        <v>POSÉ EN LIGNE</v>
      </c>
      <c r="N465" s="80"/>
    </row>
    <row r="466" customFormat="false" ht="15" hidden="false" customHeight="false" outlineLevel="0" collapsed="false">
      <c r="A466" s="82" t="n">
        <f aca="false">IF(B466="","",ROW()-6)</f>
        <v>460</v>
      </c>
      <c r="B466" s="145" t="n">
        <v>2070950</v>
      </c>
      <c r="C466" s="146" t="n">
        <v>15421109</v>
      </c>
      <c r="D466" s="146"/>
      <c r="E466" s="82" t="str">
        <f aca="false">IF(B466="","",IF(COUNTIFS('CARNET DE SOUDURE'!$L$7:$L$3006,B466,'CARNET DE SOUDURE'!$M$7:$M$3006,"&lt;&gt;"&amp;C466,'CARNET DE SOUDURE'!$M$7:$M$3006,"&lt;&gt;")+COUNTIFS('CARNET DE SOUDURE'!$O$7:$O$3006,B466,'CARNET DE SOUDURE'!$P$7:$P$3006,"&lt;&gt;"&amp;C466,'CARNET DE SOUDURE'!$P$7:$P$3006,"&lt;&gt;")&gt;0,"⚠ DIFFÉRENTE","OK"))</f>
        <v>OK</v>
      </c>
      <c r="F466" s="147" t="n">
        <v>11.94</v>
      </c>
      <c r="G466" s="80"/>
      <c r="H466" s="83"/>
      <c r="I466" s="148" t="str">
        <f aca="false">IF(B466="","",IFERROR(INDEX('CARNET DE SOUDURE'!$B$7:$B$3006,MATCH(B466,'CARNET DE SOUDURE'!$L$7:$L$3006,0)),IFERROR(INDEX('CARNET DE SOUDURE'!$B$7:$B$3006,MATCH(B466,'CARNET DE SOUDURE'!$O$7:$O$3006,0)),"")))</f>
        <v>MFD-ISW → MFD-CPF</v>
      </c>
      <c r="J466" s="82" t="str">
        <f aca="false">IF(B466="","",IFERROR(INDEX('CARNET DE SOUDURE'!$E$7:$E$3006,MATCH(B466,'CARNET DE SOUDURE'!$O$7:$O$3006,0)),""))</f>
        <v>JN°1096</v>
      </c>
      <c r="K466" s="82" t="str">
        <f aca="false">IF(B466="","",IFERROR(INDEX('CARNET DE SOUDURE'!$E$7:$E$3006,MATCH(B466,'CARNET DE SOUDURE'!$L$7:$L$3006,0)),""))</f>
        <v>DJ°073</v>
      </c>
      <c r="L466" s="82" t="n">
        <f aca="false">IF(B466="","",IFERROR(INDEX('CARNET DE SOUDURE'!$D$7:$D$3006,MATCH(B466,'CARNET DE SOUDURE'!$L$7:$L$3006,0)),IFERROR(INDEX('CARNET DE SOUDURE'!$D$7:$D$3006,MATCH(B466,'CARNET DE SOUDURE'!$O$7:$O$3006,0)),"")))</f>
        <v>10</v>
      </c>
      <c r="M466" s="82" t="str">
        <f aca="false">IF(B466="","",IF(OR(J466&lt;&gt;"",K466&lt;&gt;""),"POSÉ EN LIGNE",IF(COUNTIF(BARDAGE!$C$1:$C$5000,B466)&gt;0,"BARDÉ","EN STOCK")))</f>
        <v>POSÉ EN LIGNE</v>
      </c>
      <c r="N466" s="80"/>
    </row>
    <row r="467" customFormat="false" ht="15" hidden="false" customHeight="false" outlineLevel="0" collapsed="false">
      <c r="A467" s="82" t="n">
        <f aca="false">IF(B467="","",ROW()-6)</f>
        <v>461</v>
      </c>
      <c r="B467" s="145" t="n">
        <v>2087220</v>
      </c>
      <c r="C467" s="146" t="n">
        <v>15421107</v>
      </c>
      <c r="D467" s="146"/>
      <c r="E467" s="82" t="str">
        <f aca="false">IF(B467="","",IF(COUNTIFS('CARNET DE SOUDURE'!$L$7:$L$3006,B467,'CARNET DE SOUDURE'!$M$7:$M$3006,"&lt;&gt;"&amp;C467,'CARNET DE SOUDURE'!$M$7:$M$3006,"&lt;&gt;")+COUNTIFS('CARNET DE SOUDURE'!$O$7:$O$3006,B467,'CARNET DE SOUDURE'!$P$7:$P$3006,"&lt;&gt;"&amp;C467,'CARNET DE SOUDURE'!$P$7:$P$3006,"&lt;&gt;")&gt;0,"⚠ DIFFÉRENTE","OK"))</f>
        <v>OK</v>
      </c>
      <c r="F467" s="147" t="n">
        <v>11.94</v>
      </c>
      <c r="G467" s="80"/>
      <c r="H467" s="83"/>
      <c r="I467" s="148" t="str">
        <f aca="false">IF(B467="","",IFERROR(INDEX('CARNET DE SOUDURE'!$B$7:$B$3006,MATCH(B467,'CARNET DE SOUDURE'!$L$7:$L$3006,0)),IFERROR(INDEX('CARNET DE SOUDURE'!$B$7:$B$3006,MATCH(B467,'CARNET DE SOUDURE'!$O$7:$O$3006,0)),"")))</f>
        <v>MFD-ISW → MFD-CPF</v>
      </c>
      <c r="J467" s="82" t="str">
        <f aca="false">IF(B467="","",IFERROR(INDEX('CARNET DE SOUDURE'!$E$7:$E$3006,MATCH(B467,'CARNET DE SOUDURE'!$O$7:$O$3006,0)),""))</f>
        <v>DJ°073</v>
      </c>
      <c r="K467" s="82" t="str">
        <f aca="false">IF(B467="","",IFERROR(INDEX('CARNET DE SOUDURE'!$E$7:$E$3006,MATCH(B467,'CARNET DE SOUDURE'!$L$7:$L$3006,0)),""))</f>
        <v/>
      </c>
      <c r="L467" s="82" t="n">
        <f aca="false">IF(B467="","",IFERROR(INDEX('CARNET DE SOUDURE'!$D$7:$D$3006,MATCH(B467,'CARNET DE SOUDURE'!$L$7:$L$3006,0)),IFERROR(INDEX('CARNET DE SOUDURE'!$D$7:$D$3006,MATCH(B467,'CARNET DE SOUDURE'!$O$7:$O$3006,0)),"")))</f>
        <v>10</v>
      </c>
      <c r="M467" s="82" t="str">
        <f aca="false">IF(B467="","",IF(OR(J467&lt;&gt;"",K467&lt;&gt;""),"POSÉ EN LIGNE",IF(COUNTIF(BARDAGE!$C$1:$C$5000,B467)&gt;0,"BARDÉ","EN STOCK")))</f>
        <v>POSÉ EN LIGNE</v>
      </c>
      <c r="N467" s="80"/>
    </row>
    <row r="468" customFormat="false" ht="15" hidden="false" customHeight="false" outlineLevel="0" collapsed="false">
      <c r="A468" s="82" t="n">
        <f aca="false">IF(B468="","",ROW()-6)</f>
        <v>462</v>
      </c>
      <c r="B468" s="145" t="n">
        <v>2088920</v>
      </c>
      <c r="C468" s="146" t="n">
        <v>15421108</v>
      </c>
      <c r="D468" s="146"/>
      <c r="E468" s="82" t="str">
        <f aca="false">IF(B468="","",IF(COUNTIFS('CARNET DE SOUDURE'!$L$7:$L$3006,B468,'CARNET DE SOUDURE'!$M$7:$M$3006,"&lt;&gt;"&amp;C468,'CARNET DE SOUDURE'!$M$7:$M$3006,"&lt;&gt;")+COUNTIFS('CARNET DE SOUDURE'!$O$7:$O$3006,B468,'CARNET DE SOUDURE'!$P$7:$P$3006,"&lt;&gt;"&amp;C468,'CARNET DE SOUDURE'!$P$7:$P$3006,"&lt;&gt;")&gt;0,"⚠ DIFFÉRENTE","OK"))</f>
        <v>OK</v>
      </c>
      <c r="F468" s="147" t="n">
        <v>11.94</v>
      </c>
      <c r="G468" s="80"/>
      <c r="H468" s="83"/>
      <c r="I468" s="148" t="str">
        <f aca="false">IF(B468="","",IFERROR(INDEX('CARNET DE SOUDURE'!$B$7:$B$3006,MATCH(B468,'CARNET DE SOUDURE'!$L$7:$L$3006,0)),IFERROR(INDEX('CARNET DE SOUDURE'!$B$7:$B$3006,MATCH(B468,'CARNET DE SOUDURE'!$O$7:$O$3006,0)),"")))</f>
        <v>MFD-ISW → MFD-CPF</v>
      </c>
      <c r="J468" s="82" t="str">
        <f aca="false">IF(B468="","",IFERROR(INDEX('CARNET DE SOUDURE'!$E$7:$E$3006,MATCH(B468,'CARNET DE SOUDURE'!$O$7:$O$3006,0)),""))</f>
        <v>JN°1104</v>
      </c>
      <c r="K468" s="82" t="str">
        <f aca="false">IF(B468="","",IFERROR(INDEX('CARNET DE SOUDURE'!$E$7:$E$3006,MATCH(B468,'CARNET DE SOUDURE'!$L$7:$L$3006,0)),""))</f>
        <v>DJ°094</v>
      </c>
      <c r="L468" s="82" t="n">
        <f aca="false">IF(B468="","",IFERROR(INDEX('CARNET DE SOUDURE'!$D$7:$D$3006,MATCH(B468,'CARNET DE SOUDURE'!$L$7:$L$3006,0)),IFERROR(INDEX('CARNET DE SOUDURE'!$D$7:$D$3006,MATCH(B468,'CARNET DE SOUDURE'!$O$7:$O$3006,0)),"")))</f>
        <v>10</v>
      </c>
      <c r="M468" s="82" t="str">
        <f aca="false">IF(B468="","",IF(OR(J468&lt;&gt;"",K468&lt;&gt;""),"POSÉ EN LIGNE",IF(COUNTIF(BARDAGE!$C$1:$C$5000,B468)&gt;0,"BARDÉ","EN STOCK")))</f>
        <v>POSÉ EN LIGNE</v>
      </c>
      <c r="N468" s="80"/>
    </row>
    <row r="469" customFormat="false" ht="15" hidden="false" customHeight="false" outlineLevel="0" collapsed="false">
      <c r="A469" s="82" t="n">
        <f aca="false">IF(B469="","",ROW()-6)</f>
        <v>463</v>
      </c>
      <c r="B469" s="145" t="n">
        <v>2092940</v>
      </c>
      <c r="C469" s="146" t="n">
        <v>15421110</v>
      </c>
      <c r="D469" s="146"/>
      <c r="E469" s="82" t="str">
        <f aca="false">IF(B469="","",IF(COUNTIFS('CARNET DE SOUDURE'!$L$7:$L$3006,B469,'CARNET DE SOUDURE'!$M$7:$M$3006,"&lt;&gt;"&amp;C469,'CARNET DE SOUDURE'!$M$7:$M$3006,"&lt;&gt;")+COUNTIFS('CARNET DE SOUDURE'!$O$7:$O$3006,B469,'CARNET DE SOUDURE'!$P$7:$P$3006,"&lt;&gt;"&amp;C469,'CARNET DE SOUDURE'!$P$7:$P$3006,"&lt;&gt;")&gt;0,"⚠ DIFFÉRENTE","OK"))</f>
        <v>OK</v>
      </c>
      <c r="F469" s="147" t="n">
        <v>11.94</v>
      </c>
      <c r="G469" s="80"/>
      <c r="H469" s="83"/>
      <c r="I469" s="148" t="str">
        <f aca="false">IF(B469="","",IFERROR(INDEX('CARNET DE SOUDURE'!$B$7:$B$3006,MATCH(B469,'CARNET DE SOUDURE'!$L$7:$L$3006,0)),IFERROR(INDEX('CARNET DE SOUDURE'!$B$7:$B$3006,MATCH(B469,'CARNET DE SOUDURE'!$O$7:$O$3006,0)),"")))</f>
        <v>MFD-ISW → MFD-CPF</v>
      </c>
      <c r="J469" s="82" t="str">
        <f aca="false">IF(B469="","",IFERROR(INDEX('CARNET DE SOUDURE'!$E$7:$E$3006,MATCH(B469,'CARNET DE SOUDURE'!$O$7:$O$3006,0)),""))</f>
        <v>DJ°094</v>
      </c>
      <c r="K469" s="82" t="str">
        <f aca="false">IF(B469="","",IFERROR(INDEX('CARNET DE SOUDURE'!$E$7:$E$3006,MATCH(B469,'CARNET DE SOUDURE'!$L$7:$L$3006,0)),""))</f>
        <v>JN°1105</v>
      </c>
      <c r="L469" s="82" t="n">
        <f aca="false">IF(B469="","",IFERROR(INDEX('CARNET DE SOUDURE'!$D$7:$D$3006,MATCH(B469,'CARNET DE SOUDURE'!$L$7:$L$3006,0)),IFERROR(INDEX('CARNET DE SOUDURE'!$D$7:$D$3006,MATCH(B469,'CARNET DE SOUDURE'!$O$7:$O$3006,0)),"")))</f>
        <v>10</v>
      </c>
      <c r="M469" s="82" t="str">
        <f aca="false">IF(B469="","",IF(OR(J469&lt;&gt;"",K469&lt;&gt;""),"POSÉ EN LIGNE",IF(COUNTIF(BARDAGE!$C$1:$C$5000,B469)&gt;0,"BARDÉ","EN STOCK")))</f>
        <v>POSÉ EN LIGNE</v>
      </c>
      <c r="N469" s="80"/>
    </row>
    <row r="470" customFormat="false" ht="15" hidden="false" customHeight="false" outlineLevel="0" collapsed="false">
      <c r="A470" s="82" t="n">
        <f aca="false">IF(B470="","",ROW()-6)</f>
        <v>464</v>
      </c>
      <c r="B470" s="145" t="n">
        <v>2091330</v>
      </c>
      <c r="C470" s="146" t="n">
        <v>15421109</v>
      </c>
      <c r="D470" s="146"/>
      <c r="E470" s="82" t="str">
        <f aca="false">IF(B470="","",IF(COUNTIFS('CARNET DE SOUDURE'!$L$7:$L$3006,B470,'CARNET DE SOUDURE'!$M$7:$M$3006,"&lt;&gt;"&amp;C470,'CARNET DE SOUDURE'!$M$7:$M$3006,"&lt;&gt;")+COUNTIFS('CARNET DE SOUDURE'!$O$7:$O$3006,B470,'CARNET DE SOUDURE'!$P$7:$P$3006,"&lt;&gt;"&amp;C470,'CARNET DE SOUDURE'!$P$7:$P$3006,"&lt;&gt;")&gt;0,"⚠ DIFFÉRENTE","OK"))</f>
        <v>OK</v>
      </c>
      <c r="F470" s="147" t="n">
        <v>11.94</v>
      </c>
      <c r="G470" s="80"/>
      <c r="H470" s="83"/>
      <c r="I470" s="148" t="str">
        <f aca="false">IF(B470="","",IFERROR(INDEX('CARNET DE SOUDURE'!$B$7:$B$3006,MATCH(B470,'CARNET DE SOUDURE'!$L$7:$L$3006,0)),IFERROR(INDEX('CARNET DE SOUDURE'!$B$7:$B$3006,MATCH(B470,'CARNET DE SOUDURE'!$O$7:$O$3006,0)),"")))</f>
        <v>MFD-ISW → MFD-CPF</v>
      </c>
      <c r="J470" s="82" t="str">
        <f aca="false">IF(B470="","",IFERROR(INDEX('CARNET DE SOUDURE'!$E$7:$E$3006,MATCH(B470,'CARNET DE SOUDURE'!$O$7:$O$3006,0)),""))</f>
        <v>JN°1105</v>
      </c>
      <c r="K470" s="82" t="str">
        <f aca="false">IF(B470="","",IFERROR(INDEX('CARNET DE SOUDURE'!$E$7:$E$3006,MATCH(B470,'CARNET DE SOUDURE'!$L$7:$L$3006,0)),""))</f>
        <v>DJ°091</v>
      </c>
      <c r="L470" s="82" t="n">
        <f aca="false">IF(B470="","",IFERROR(INDEX('CARNET DE SOUDURE'!$D$7:$D$3006,MATCH(B470,'CARNET DE SOUDURE'!$L$7:$L$3006,0)),IFERROR(INDEX('CARNET DE SOUDURE'!$D$7:$D$3006,MATCH(B470,'CARNET DE SOUDURE'!$O$7:$O$3006,0)),"")))</f>
        <v>11</v>
      </c>
      <c r="M470" s="82" t="str">
        <f aca="false">IF(B470="","",IF(OR(J470&lt;&gt;"",K470&lt;&gt;""),"POSÉ EN LIGNE",IF(COUNTIF(BARDAGE!$C$1:$C$5000,B470)&gt;0,"BARDÉ","EN STOCK")))</f>
        <v>POSÉ EN LIGNE</v>
      </c>
      <c r="N470" s="80"/>
    </row>
    <row r="471" customFormat="false" ht="15" hidden="false" customHeight="false" outlineLevel="0" collapsed="false">
      <c r="A471" s="82" t="n">
        <f aca="false">IF(B471="","",ROW()-6)</f>
        <v>465</v>
      </c>
      <c r="B471" s="145" t="n">
        <v>2083660</v>
      </c>
      <c r="C471" s="146" t="n">
        <v>15421105</v>
      </c>
      <c r="D471" s="146"/>
      <c r="E471" s="82" t="str">
        <f aca="false">IF(B471="","",IF(COUNTIFS('CARNET DE SOUDURE'!$L$7:$L$3006,B471,'CARNET DE SOUDURE'!$M$7:$M$3006,"&lt;&gt;"&amp;C471,'CARNET DE SOUDURE'!$M$7:$M$3006,"&lt;&gt;")+COUNTIFS('CARNET DE SOUDURE'!$O$7:$O$3006,B471,'CARNET DE SOUDURE'!$P$7:$P$3006,"&lt;&gt;"&amp;C471,'CARNET DE SOUDURE'!$P$7:$P$3006,"&lt;&gt;")&gt;0,"⚠ DIFFÉRENTE","OK"))</f>
        <v>OK</v>
      </c>
      <c r="F471" s="147" t="n">
        <v>11.94</v>
      </c>
      <c r="G471" s="80"/>
      <c r="H471" s="83"/>
      <c r="I471" s="148" t="str">
        <f aca="false">IF(B471="","",IFERROR(INDEX('CARNET DE SOUDURE'!$B$7:$B$3006,MATCH(B471,'CARNET DE SOUDURE'!$L$7:$L$3006,0)),IFERROR(INDEX('CARNET DE SOUDURE'!$B$7:$B$3006,MATCH(B471,'CARNET DE SOUDURE'!$O$7:$O$3006,0)),"")))</f>
        <v>MFD-ISW → MFD-CPF</v>
      </c>
      <c r="J471" s="82" t="str">
        <f aca="false">IF(B471="","",IFERROR(INDEX('CARNET DE SOUDURE'!$E$7:$E$3006,MATCH(B471,'CARNET DE SOUDURE'!$O$7:$O$3006,0)),""))</f>
        <v>DJ°091</v>
      </c>
      <c r="K471" s="82" t="str">
        <f aca="false">IF(B471="","",IFERROR(INDEX('CARNET DE SOUDURE'!$E$7:$E$3006,MATCH(B471,'CARNET DE SOUDURE'!$L$7:$L$3006,0)),""))</f>
        <v>JN°1106</v>
      </c>
      <c r="L471" s="82" t="n">
        <f aca="false">IF(B471="","",IFERROR(INDEX('CARNET DE SOUDURE'!$D$7:$D$3006,MATCH(B471,'CARNET DE SOUDURE'!$L$7:$L$3006,0)),IFERROR(INDEX('CARNET DE SOUDURE'!$D$7:$D$3006,MATCH(B471,'CARNET DE SOUDURE'!$O$7:$O$3006,0)),"")))</f>
        <v>11</v>
      </c>
      <c r="M471" s="82" t="str">
        <f aca="false">IF(B471="","",IF(OR(J471&lt;&gt;"",K471&lt;&gt;""),"POSÉ EN LIGNE",IF(COUNTIF(BARDAGE!$C$1:$C$5000,B471)&gt;0,"BARDÉ","EN STOCK")))</f>
        <v>POSÉ EN LIGNE</v>
      </c>
      <c r="N471" s="80"/>
    </row>
    <row r="472" customFormat="false" ht="15" hidden="false" customHeight="false" outlineLevel="0" collapsed="false">
      <c r="A472" s="82" t="n">
        <f aca="false">IF(B472="","",ROW()-6)</f>
        <v>466</v>
      </c>
      <c r="B472" s="145" t="n">
        <v>2093860</v>
      </c>
      <c r="C472" s="146" t="n">
        <v>15421110</v>
      </c>
      <c r="D472" s="146"/>
      <c r="E472" s="82" t="str">
        <f aca="false">IF(B472="","",IF(COUNTIFS('CARNET DE SOUDURE'!$L$7:$L$3006,B472,'CARNET DE SOUDURE'!$M$7:$M$3006,"&lt;&gt;"&amp;C472,'CARNET DE SOUDURE'!$M$7:$M$3006,"&lt;&gt;")+COUNTIFS('CARNET DE SOUDURE'!$O$7:$O$3006,B472,'CARNET DE SOUDURE'!$P$7:$P$3006,"&lt;&gt;"&amp;C472,'CARNET DE SOUDURE'!$P$7:$P$3006,"&lt;&gt;")&gt;0,"⚠ DIFFÉRENTE","OK"))</f>
        <v>OK</v>
      </c>
      <c r="F472" s="147" t="n">
        <v>11.94</v>
      </c>
      <c r="G472" s="80"/>
      <c r="H472" s="83"/>
      <c r="I472" s="148" t="str">
        <f aca="false">IF(B472="","",IFERROR(INDEX('CARNET DE SOUDURE'!$B$7:$B$3006,MATCH(B472,'CARNET DE SOUDURE'!$L$7:$L$3006,0)),IFERROR(INDEX('CARNET DE SOUDURE'!$B$7:$B$3006,MATCH(B472,'CARNET DE SOUDURE'!$O$7:$O$3006,0)),"")))</f>
        <v>MFD-ISW → MFD-CPF</v>
      </c>
      <c r="J472" s="82" t="str">
        <f aca="false">IF(B472="","",IFERROR(INDEX('CARNET DE SOUDURE'!$E$7:$E$3006,MATCH(B472,'CARNET DE SOUDURE'!$O$7:$O$3006,0)),""))</f>
        <v>JN°1106</v>
      </c>
      <c r="K472" s="82" t="str">
        <f aca="false">IF(B472="","",IFERROR(INDEX('CARNET DE SOUDURE'!$E$7:$E$3006,MATCH(B472,'CARNET DE SOUDURE'!$L$7:$L$3006,0)),""))</f>
        <v>DJ°302</v>
      </c>
      <c r="L472" s="82" t="n">
        <f aca="false">IF(B472="","",IFERROR(INDEX('CARNET DE SOUDURE'!$D$7:$D$3006,MATCH(B472,'CARNET DE SOUDURE'!$L$7:$L$3006,0)),IFERROR(INDEX('CARNET DE SOUDURE'!$D$7:$D$3006,MATCH(B472,'CARNET DE SOUDURE'!$O$7:$O$3006,0)),"")))</f>
        <v>11</v>
      </c>
      <c r="M472" s="82" t="str">
        <f aca="false">IF(B472="","",IF(OR(J472&lt;&gt;"",K472&lt;&gt;""),"POSÉ EN LIGNE",IF(COUNTIF(BARDAGE!$C$1:$C$5000,B472)&gt;0,"BARDÉ","EN STOCK")))</f>
        <v>POSÉ EN LIGNE</v>
      </c>
      <c r="N472" s="80"/>
    </row>
    <row r="473" customFormat="false" ht="15" hidden="false" customHeight="false" outlineLevel="0" collapsed="false">
      <c r="A473" s="82" t="n">
        <f aca="false">IF(B473="","",ROW()-6)</f>
        <v>467</v>
      </c>
      <c r="B473" s="145" t="n">
        <v>2084200</v>
      </c>
      <c r="C473" s="146" t="n">
        <v>15421106</v>
      </c>
      <c r="D473" s="146"/>
      <c r="E473" s="82" t="str">
        <f aca="false">IF(B473="","",IF(COUNTIFS('CARNET DE SOUDURE'!$L$7:$L$3006,B473,'CARNET DE SOUDURE'!$M$7:$M$3006,"&lt;&gt;"&amp;C473,'CARNET DE SOUDURE'!$M$7:$M$3006,"&lt;&gt;")+COUNTIFS('CARNET DE SOUDURE'!$O$7:$O$3006,B473,'CARNET DE SOUDURE'!$P$7:$P$3006,"&lt;&gt;"&amp;C473,'CARNET DE SOUDURE'!$P$7:$P$3006,"&lt;&gt;")&gt;0,"⚠ DIFFÉRENTE","OK"))</f>
        <v>OK</v>
      </c>
      <c r="F473" s="147" t="n">
        <v>11.94</v>
      </c>
      <c r="G473" s="80"/>
      <c r="H473" s="83"/>
      <c r="I473" s="148" t="str">
        <f aca="false">IF(B473="","",IFERROR(INDEX('CARNET DE SOUDURE'!$B$7:$B$3006,MATCH(B473,'CARNET DE SOUDURE'!$L$7:$L$3006,0)),IFERROR(INDEX('CARNET DE SOUDURE'!$B$7:$B$3006,MATCH(B473,'CARNET DE SOUDURE'!$O$7:$O$3006,0)),"")))</f>
        <v>MFD-ISW → MFD-CPF</v>
      </c>
      <c r="J473" s="82" t="str">
        <f aca="false">IF(B473="","",IFERROR(INDEX('CARNET DE SOUDURE'!$E$7:$E$3006,MATCH(B473,'CARNET DE SOUDURE'!$O$7:$O$3006,0)),""))</f>
        <v>DJ°302</v>
      </c>
      <c r="K473" s="82" t="str">
        <f aca="false">IF(B473="","",IFERROR(INDEX('CARNET DE SOUDURE'!$E$7:$E$3006,MATCH(B473,'CARNET DE SOUDURE'!$L$7:$L$3006,0)),""))</f>
        <v>JN°1107</v>
      </c>
      <c r="L473" s="82" t="n">
        <f aca="false">IF(B473="","",IFERROR(INDEX('CARNET DE SOUDURE'!$D$7:$D$3006,MATCH(B473,'CARNET DE SOUDURE'!$L$7:$L$3006,0)),IFERROR(INDEX('CARNET DE SOUDURE'!$D$7:$D$3006,MATCH(B473,'CARNET DE SOUDURE'!$O$7:$O$3006,0)),"")))</f>
        <v>11</v>
      </c>
      <c r="M473" s="82" t="str">
        <f aca="false">IF(B473="","",IF(OR(J473&lt;&gt;"",K473&lt;&gt;""),"POSÉ EN LIGNE",IF(COUNTIF(BARDAGE!$C$1:$C$5000,B473)&gt;0,"BARDÉ","EN STOCK")))</f>
        <v>POSÉ EN LIGNE</v>
      </c>
      <c r="N473" s="80"/>
    </row>
    <row r="474" customFormat="false" ht="15" hidden="false" customHeight="false" outlineLevel="0" collapsed="false">
      <c r="A474" s="82" t="n">
        <f aca="false">IF(B474="","",ROW()-6)</f>
        <v>468</v>
      </c>
      <c r="B474" s="145" t="n">
        <v>2096240</v>
      </c>
      <c r="C474" s="146" t="n">
        <v>15421111</v>
      </c>
      <c r="D474" s="146"/>
      <c r="E474" s="82" t="str">
        <f aca="false">IF(B474="","",IF(COUNTIFS('CARNET DE SOUDURE'!$L$7:$L$3006,B474,'CARNET DE SOUDURE'!$M$7:$M$3006,"&lt;&gt;"&amp;C474,'CARNET DE SOUDURE'!$M$7:$M$3006,"&lt;&gt;")+COUNTIFS('CARNET DE SOUDURE'!$O$7:$O$3006,B474,'CARNET DE SOUDURE'!$P$7:$P$3006,"&lt;&gt;"&amp;C474,'CARNET DE SOUDURE'!$P$7:$P$3006,"&lt;&gt;")&gt;0,"⚠ DIFFÉRENTE","OK"))</f>
        <v>OK</v>
      </c>
      <c r="F474" s="147" t="n">
        <v>11.94</v>
      </c>
      <c r="G474" s="80"/>
      <c r="H474" s="83"/>
      <c r="I474" s="148" t="str">
        <f aca="false">IF(B474="","",IFERROR(INDEX('CARNET DE SOUDURE'!$B$7:$B$3006,MATCH(B474,'CARNET DE SOUDURE'!$L$7:$L$3006,0)),IFERROR(INDEX('CARNET DE SOUDURE'!$B$7:$B$3006,MATCH(B474,'CARNET DE SOUDURE'!$O$7:$O$3006,0)),"")))</f>
        <v>MFD-ISW → MFD-CPF</v>
      </c>
      <c r="J474" s="82" t="str">
        <f aca="false">IF(B474="","",IFERROR(INDEX('CARNET DE SOUDURE'!$E$7:$E$3006,MATCH(B474,'CARNET DE SOUDURE'!$O$7:$O$3006,0)),""))</f>
        <v>JN°1107</v>
      </c>
      <c r="K474" s="82" t="str">
        <f aca="false">IF(B474="","",IFERROR(INDEX('CARNET DE SOUDURE'!$E$7:$E$3006,MATCH(B474,'CARNET DE SOUDURE'!$L$7:$L$3006,0)),""))</f>
        <v>DJ°293</v>
      </c>
      <c r="L474" s="82" t="n">
        <f aca="false">IF(B474="","",IFERROR(INDEX('CARNET DE SOUDURE'!$D$7:$D$3006,MATCH(B474,'CARNET DE SOUDURE'!$L$7:$L$3006,0)),IFERROR(INDEX('CARNET DE SOUDURE'!$D$7:$D$3006,MATCH(B474,'CARNET DE SOUDURE'!$O$7:$O$3006,0)),"")))</f>
        <v>11</v>
      </c>
      <c r="M474" s="82" t="str">
        <f aca="false">IF(B474="","",IF(OR(J474&lt;&gt;"",K474&lt;&gt;""),"POSÉ EN LIGNE",IF(COUNTIF(BARDAGE!$C$1:$C$5000,B474)&gt;0,"BARDÉ","EN STOCK")))</f>
        <v>POSÉ EN LIGNE</v>
      </c>
      <c r="N474" s="80"/>
    </row>
    <row r="475" customFormat="false" ht="15" hidden="false" customHeight="false" outlineLevel="0" collapsed="false">
      <c r="A475" s="82" t="n">
        <f aca="false">IF(B475="","",ROW()-6)</f>
        <v>469</v>
      </c>
      <c r="B475" s="145" t="n">
        <v>2080670</v>
      </c>
      <c r="C475" s="146" t="n">
        <v>15421109</v>
      </c>
      <c r="D475" s="146"/>
      <c r="E475" s="82" t="str">
        <f aca="false">IF(B475="","",IF(COUNTIFS('CARNET DE SOUDURE'!$L$7:$L$3006,B475,'CARNET DE SOUDURE'!$M$7:$M$3006,"&lt;&gt;"&amp;C475,'CARNET DE SOUDURE'!$M$7:$M$3006,"&lt;&gt;")+COUNTIFS('CARNET DE SOUDURE'!$O$7:$O$3006,B475,'CARNET DE SOUDURE'!$P$7:$P$3006,"&lt;&gt;"&amp;C475,'CARNET DE SOUDURE'!$P$7:$P$3006,"&lt;&gt;")&gt;0,"⚠ DIFFÉRENTE","OK"))</f>
        <v>OK</v>
      </c>
      <c r="F475" s="147" t="n">
        <v>11.94</v>
      </c>
      <c r="G475" s="80"/>
      <c r="H475" s="83"/>
      <c r="I475" s="148" t="str">
        <f aca="false">IF(B475="","",IFERROR(INDEX('CARNET DE SOUDURE'!$B$7:$B$3006,MATCH(B475,'CARNET DE SOUDURE'!$L$7:$L$3006,0)),IFERROR(INDEX('CARNET DE SOUDURE'!$B$7:$B$3006,MATCH(B475,'CARNET DE SOUDURE'!$O$7:$O$3006,0)),"")))</f>
        <v>MFD-ISW → MFD-CPF</v>
      </c>
      <c r="J475" s="82" t="str">
        <f aca="false">IF(B475="","",IFERROR(INDEX('CARNET DE SOUDURE'!$E$7:$E$3006,MATCH(B475,'CARNET DE SOUDURE'!$O$7:$O$3006,0)),""))</f>
        <v>DJ°293</v>
      </c>
      <c r="K475" s="82" t="str">
        <f aca="false">IF(B475="","",IFERROR(INDEX('CARNET DE SOUDURE'!$E$7:$E$3006,MATCH(B475,'CARNET DE SOUDURE'!$L$7:$L$3006,0)),""))</f>
        <v>JN°1108</v>
      </c>
      <c r="L475" s="82" t="n">
        <f aca="false">IF(B475="","",IFERROR(INDEX('CARNET DE SOUDURE'!$D$7:$D$3006,MATCH(B475,'CARNET DE SOUDURE'!$L$7:$L$3006,0)),IFERROR(INDEX('CARNET DE SOUDURE'!$D$7:$D$3006,MATCH(B475,'CARNET DE SOUDURE'!$O$7:$O$3006,0)),"")))</f>
        <v>11</v>
      </c>
      <c r="M475" s="82" t="str">
        <f aca="false">IF(B475="","",IF(OR(J475&lt;&gt;"",K475&lt;&gt;""),"POSÉ EN LIGNE",IF(COUNTIF(BARDAGE!$C$1:$C$5000,B475)&gt;0,"BARDÉ","EN STOCK")))</f>
        <v>POSÉ EN LIGNE</v>
      </c>
      <c r="N475" s="80"/>
    </row>
    <row r="476" customFormat="false" ht="15" hidden="false" customHeight="false" outlineLevel="0" collapsed="false">
      <c r="A476" s="82" t="n">
        <f aca="false">IF(B476="","",ROW()-6)</f>
        <v>470</v>
      </c>
      <c r="B476" s="145" t="n">
        <v>2088100</v>
      </c>
      <c r="C476" s="146" t="n">
        <v>15421108</v>
      </c>
      <c r="D476" s="146"/>
      <c r="E476" s="82" t="str">
        <f aca="false">IF(B476="","",IF(COUNTIFS('CARNET DE SOUDURE'!$L$7:$L$3006,B476,'CARNET DE SOUDURE'!$M$7:$M$3006,"&lt;&gt;"&amp;C476,'CARNET DE SOUDURE'!$M$7:$M$3006,"&lt;&gt;")+COUNTIFS('CARNET DE SOUDURE'!$O$7:$O$3006,B476,'CARNET DE SOUDURE'!$P$7:$P$3006,"&lt;&gt;"&amp;C476,'CARNET DE SOUDURE'!$P$7:$P$3006,"&lt;&gt;")&gt;0,"⚠ DIFFÉRENTE","OK"))</f>
        <v>OK</v>
      </c>
      <c r="F476" s="147" t="n">
        <v>11.94</v>
      </c>
      <c r="G476" s="80"/>
      <c r="H476" s="83"/>
      <c r="I476" s="148" t="str">
        <f aca="false">IF(B476="","",IFERROR(INDEX('CARNET DE SOUDURE'!$B$7:$B$3006,MATCH(B476,'CARNET DE SOUDURE'!$L$7:$L$3006,0)),IFERROR(INDEX('CARNET DE SOUDURE'!$B$7:$B$3006,MATCH(B476,'CARNET DE SOUDURE'!$O$7:$O$3006,0)),"")))</f>
        <v>MFD-ISW → MFD-CPF</v>
      </c>
      <c r="J476" s="82" t="str">
        <f aca="false">IF(B476="","",IFERROR(INDEX('CARNET DE SOUDURE'!$E$7:$E$3006,MATCH(B476,'CARNET DE SOUDURE'!$O$7:$O$3006,0)),""))</f>
        <v>JN°1108</v>
      </c>
      <c r="K476" s="82" t="str">
        <f aca="false">IF(B476="","",IFERROR(INDEX('CARNET DE SOUDURE'!$E$7:$E$3006,MATCH(B476,'CARNET DE SOUDURE'!$L$7:$L$3006,0)),""))</f>
        <v>DJ°289</v>
      </c>
      <c r="L476" s="82" t="n">
        <f aca="false">IF(B476="","",IFERROR(INDEX('CARNET DE SOUDURE'!$D$7:$D$3006,MATCH(B476,'CARNET DE SOUDURE'!$L$7:$L$3006,0)),IFERROR(INDEX('CARNET DE SOUDURE'!$D$7:$D$3006,MATCH(B476,'CARNET DE SOUDURE'!$O$7:$O$3006,0)),"")))</f>
        <v>11</v>
      </c>
      <c r="M476" s="82" t="str">
        <f aca="false">IF(B476="","",IF(OR(J476&lt;&gt;"",K476&lt;&gt;""),"POSÉ EN LIGNE",IF(COUNTIF(BARDAGE!$C$1:$C$5000,B476)&gt;0,"BARDÉ","EN STOCK")))</f>
        <v>POSÉ EN LIGNE</v>
      </c>
      <c r="N476" s="80"/>
    </row>
    <row r="477" customFormat="false" ht="15" hidden="false" customHeight="false" outlineLevel="0" collapsed="false">
      <c r="A477" s="82" t="n">
        <f aca="false">IF(B477="","",ROW()-6)</f>
        <v>471</v>
      </c>
      <c r="B477" s="145" t="n">
        <v>2090320</v>
      </c>
      <c r="C477" s="146" t="n">
        <v>15421109</v>
      </c>
      <c r="D477" s="146"/>
      <c r="E477" s="82" t="str">
        <f aca="false">IF(B477="","",IF(COUNTIFS('CARNET DE SOUDURE'!$L$7:$L$3006,B477,'CARNET DE SOUDURE'!$M$7:$M$3006,"&lt;&gt;"&amp;C477,'CARNET DE SOUDURE'!$M$7:$M$3006,"&lt;&gt;")+COUNTIFS('CARNET DE SOUDURE'!$O$7:$O$3006,B477,'CARNET DE SOUDURE'!$P$7:$P$3006,"&lt;&gt;"&amp;C477,'CARNET DE SOUDURE'!$P$7:$P$3006,"&lt;&gt;")&gt;0,"⚠ DIFFÉRENTE","OK"))</f>
        <v>OK</v>
      </c>
      <c r="F477" s="147" t="n">
        <v>11.94</v>
      </c>
      <c r="G477" s="80"/>
      <c r="H477" s="83"/>
      <c r="I477" s="148" t="str">
        <f aca="false">IF(B477="","",IFERROR(INDEX('CARNET DE SOUDURE'!$B$7:$B$3006,MATCH(B477,'CARNET DE SOUDURE'!$L$7:$L$3006,0)),IFERROR(INDEX('CARNET DE SOUDURE'!$B$7:$B$3006,MATCH(B477,'CARNET DE SOUDURE'!$O$7:$O$3006,0)),"")))</f>
        <v>MFD-ISW → MFD-CPF</v>
      </c>
      <c r="J477" s="82" t="str">
        <f aca="false">IF(B477="","",IFERROR(INDEX('CARNET DE SOUDURE'!$E$7:$E$3006,MATCH(B477,'CARNET DE SOUDURE'!$O$7:$O$3006,0)),""))</f>
        <v>DJ°289</v>
      </c>
      <c r="K477" s="82" t="str">
        <f aca="false">IF(B477="","",IFERROR(INDEX('CARNET DE SOUDURE'!$E$7:$E$3006,MATCH(B477,'CARNET DE SOUDURE'!$L$7:$L$3006,0)),""))</f>
        <v>JN°1109</v>
      </c>
      <c r="L477" s="82" t="n">
        <f aca="false">IF(B477="","",IFERROR(INDEX('CARNET DE SOUDURE'!$D$7:$D$3006,MATCH(B477,'CARNET DE SOUDURE'!$L$7:$L$3006,0)),IFERROR(INDEX('CARNET DE SOUDURE'!$D$7:$D$3006,MATCH(B477,'CARNET DE SOUDURE'!$O$7:$O$3006,0)),"")))</f>
        <v>11</v>
      </c>
      <c r="M477" s="82" t="str">
        <f aca="false">IF(B477="","",IF(OR(J477&lt;&gt;"",K477&lt;&gt;""),"POSÉ EN LIGNE",IF(COUNTIF(BARDAGE!$C$1:$C$5000,B477)&gt;0,"BARDÉ","EN STOCK")))</f>
        <v>POSÉ EN LIGNE</v>
      </c>
      <c r="N477" s="80"/>
    </row>
    <row r="478" customFormat="false" ht="15" hidden="false" customHeight="false" outlineLevel="0" collapsed="false">
      <c r="A478" s="82" t="n">
        <f aca="false">IF(B478="","",ROW()-6)</f>
        <v>472</v>
      </c>
      <c r="B478" s="145" t="n">
        <v>2089600</v>
      </c>
      <c r="C478" s="146" t="n">
        <v>15421109</v>
      </c>
      <c r="D478" s="146"/>
      <c r="E478" s="82" t="str">
        <f aca="false">IF(B478="","",IF(COUNTIFS('CARNET DE SOUDURE'!$L$7:$L$3006,B478,'CARNET DE SOUDURE'!$M$7:$M$3006,"&lt;&gt;"&amp;C478,'CARNET DE SOUDURE'!$M$7:$M$3006,"&lt;&gt;")+COUNTIFS('CARNET DE SOUDURE'!$O$7:$O$3006,B478,'CARNET DE SOUDURE'!$P$7:$P$3006,"&lt;&gt;"&amp;C478,'CARNET DE SOUDURE'!$P$7:$P$3006,"&lt;&gt;")&gt;0,"⚠ DIFFÉRENTE","OK"))</f>
        <v>OK</v>
      </c>
      <c r="F478" s="147" t="n">
        <v>11.94</v>
      </c>
      <c r="G478" s="80"/>
      <c r="H478" s="83"/>
      <c r="I478" s="148" t="str">
        <f aca="false">IF(B478="","",IFERROR(INDEX('CARNET DE SOUDURE'!$B$7:$B$3006,MATCH(B478,'CARNET DE SOUDURE'!$L$7:$L$3006,0)),IFERROR(INDEX('CARNET DE SOUDURE'!$B$7:$B$3006,MATCH(B478,'CARNET DE SOUDURE'!$O$7:$O$3006,0)),"")))</f>
        <v>MFD-ISW → MFD-CPF</v>
      </c>
      <c r="J478" s="82" t="str">
        <f aca="false">IF(B478="","",IFERROR(INDEX('CARNET DE SOUDURE'!$E$7:$E$3006,MATCH(B478,'CARNET DE SOUDURE'!$O$7:$O$3006,0)),""))</f>
        <v>JN°1109</v>
      </c>
      <c r="K478" s="82" t="str">
        <f aca="false">IF(B478="","",IFERROR(INDEX('CARNET DE SOUDURE'!$E$7:$E$3006,MATCH(B478,'CARNET DE SOUDURE'!$L$7:$L$3006,0)),""))</f>
        <v>DJ°277</v>
      </c>
      <c r="L478" s="82" t="n">
        <f aca="false">IF(B478="","",IFERROR(INDEX('CARNET DE SOUDURE'!$D$7:$D$3006,MATCH(B478,'CARNET DE SOUDURE'!$L$7:$L$3006,0)),IFERROR(INDEX('CARNET DE SOUDURE'!$D$7:$D$3006,MATCH(B478,'CARNET DE SOUDURE'!$O$7:$O$3006,0)),"")))</f>
        <v>11</v>
      </c>
      <c r="M478" s="82" t="str">
        <f aca="false">IF(B478="","",IF(OR(J478&lt;&gt;"",K478&lt;&gt;""),"POSÉ EN LIGNE",IF(COUNTIF(BARDAGE!$C$1:$C$5000,B478)&gt;0,"BARDÉ","EN STOCK")))</f>
        <v>POSÉ EN LIGNE</v>
      </c>
      <c r="N478" s="80"/>
    </row>
    <row r="479" customFormat="false" ht="15" hidden="false" customHeight="false" outlineLevel="0" collapsed="false">
      <c r="A479" s="82" t="n">
        <f aca="false">IF(B479="","",ROW()-6)</f>
        <v>473</v>
      </c>
      <c r="B479" s="145" t="n">
        <v>2087500</v>
      </c>
      <c r="C479" s="146" t="n">
        <v>15421112</v>
      </c>
      <c r="D479" s="146"/>
      <c r="E479" s="82" t="str">
        <f aca="false">IF(B479="","",IF(COUNTIFS('CARNET DE SOUDURE'!$L$7:$L$3006,B479,'CARNET DE SOUDURE'!$M$7:$M$3006,"&lt;&gt;"&amp;C479,'CARNET DE SOUDURE'!$M$7:$M$3006,"&lt;&gt;")+COUNTIFS('CARNET DE SOUDURE'!$O$7:$O$3006,B479,'CARNET DE SOUDURE'!$P$7:$P$3006,"&lt;&gt;"&amp;C479,'CARNET DE SOUDURE'!$P$7:$P$3006,"&lt;&gt;")&gt;0,"⚠ DIFFÉRENTE","OK"))</f>
        <v>OK</v>
      </c>
      <c r="F479" s="147" t="n">
        <v>11.94</v>
      </c>
      <c r="G479" s="80"/>
      <c r="H479" s="83"/>
      <c r="I479" s="148" t="str">
        <f aca="false">IF(B479="","",IFERROR(INDEX('CARNET DE SOUDURE'!$B$7:$B$3006,MATCH(B479,'CARNET DE SOUDURE'!$L$7:$L$3006,0)),IFERROR(INDEX('CARNET DE SOUDURE'!$B$7:$B$3006,MATCH(B479,'CARNET DE SOUDURE'!$O$7:$O$3006,0)),"")))</f>
        <v>MFD-ISW → MFD-CPF</v>
      </c>
      <c r="J479" s="82" t="str">
        <f aca="false">IF(B479="","",IFERROR(INDEX('CARNET DE SOUDURE'!$E$7:$E$3006,MATCH(B479,'CARNET DE SOUDURE'!$O$7:$O$3006,0)),""))</f>
        <v>DJ°277</v>
      </c>
      <c r="K479" s="82" t="str">
        <f aca="false">IF(B479="","",IFERROR(INDEX('CARNET DE SOUDURE'!$E$7:$E$3006,MATCH(B479,'CARNET DE SOUDURE'!$L$7:$L$3006,0)),""))</f>
        <v>JN°1110</v>
      </c>
      <c r="L479" s="82" t="n">
        <f aca="false">IF(B479="","",IFERROR(INDEX('CARNET DE SOUDURE'!$D$7:$D$3006,MATCH(B479,'CARNET DE SOUDURE'!$L$7:$L$3006,0)),IFERROR(INDEX('CARNET DE SOUDURE'!$D$7:$D$3006,MATCH(B479,'CARNET DE SOUDURE'!$O$7:$O$3006,0)),"")))</f>
        <v>11</v>
      </c>
      <c r="M479" s="82" t="str">
        <f aca="false">IF(B479="","",IF(OR(J479&lt;&gt;"",K479&lt;&gt;""),"POSÉ EN LIGNE",IF(COUNTIF(BARDAGE!$C$1:$C$5000,B479)&gt;0,"BARDÉ","EN STOCK")))</f>
        <v>POSÉ EN LIGNE</v>
      </c>
      <c r="N479" s="80"/>
    </row>
    <row r="480" customFormat="false" ht="15" hidden="false" customHeight="false" outlineLevel="0" collapsed="false">
      <c r="A480" s="82" t="n">
        <f aca="false">IF(B480="","",ROW()-6)</f>
        <v>474</v>
      </c>
      <c r="B480" s="145" t="n">
        <v>2080230</v>
      </c>
      <c r="C480" s="146" t="n">
        <v>15421102</v>
      </c>
      <c r="D480" s="146"/>
      <c r="E480" s="82" t="str">
        <f aca="false">IF(B480="","",IF(COUNTIFS('CARNET DE SOUDURE'!$L$7:$L$3006,B480,'CARNET DE SOUDURE'!$M$7:$M$3006,"&lt;&gt;"&amp;C480,'CARNET DE SOUDURE'!$M$7:$M$3006,"&lt;&gt;")+COUNTIFS('CARNET DE SOUDURE'!$O$7:$O$3006,B480,'CARNET DE SOUDURE'!$P$7:$P$3006,"&lt;&gt;"&amp;C480,'CARNET DE SOUDURE'!$P$7:$P$3006,"&lt;&gt;")&gt;0,"⚠ DIFFÉRENTE","OK"))</f>
        <v>OK</v>
      </c>
      <c r="F480" s="147" t="n">
        <v>11.94</v>
      </c>
      <c r="G480" s="80"/>
      <c r="H480" s="83"/>
      <c r="I480" s="148" t="str">
        <f aca="false">IF(B480="","",IFERROR(INDEX('CARNET DE SOUDURE'!$B$7:$B$3006,MATCH(B480,'CARNET DE SOUDURE'!$L$7:$L$3006,0)),IFERROR(INDEX('CARNET DE SOUDURE'!$B$7:$B$3006,MATCH(B480,'CARNET DE SOUDURE'!$O$7:$O$3006,0)),"")))</f>
        <v>MFD-ISW → MFD-CPF</v>
      </c>
      <c r="J480" s="82" t="str">
        <f aca="false">IF(B480="","",IFERROR(INDEX('CARNET DE SOUDURE'!$E$7:$E$3006,MATCH(B480,'CARNET DE SOUDURE'!$O$7:$O$3006,0)),""))</f>
        <v>JN°1110</v>
      </c>
      <c r="K480" s="82" t="str">
        <f aca="false">IF(B480="","",IFERROR(INDEX('CARNET DE SOUDURE'!$E$7:$E$3006,MATCH(B480,'CARNET DE SOUDURE'!$L$7:$L$3006,0)),""))</f>
        <v>DJ°290</v>
      </c>
      <c r="L480" s="82" t="n">
        <f aca="false">IF(B480="","",IFERROR(INDEX('CARNET DE SOUDURE'!$D$7:$D$3006,MATCH(B480,'CARNET DE SOUDURE'!$L$7:$L$3006,0)),IFERROR(INDEX('CARNET DE SOUDURE'!$D$7:$D$3006,MATCH(B480,'CARNET DE SOUDURE'!$O$7:$O$3006,0)),"")))</f>
        <v>11</v>
      </c>
      <c r="M480" s="82" t="str">
        <f aca="false">IF(B480="","",IF(OR(J480&lt;&gt;"",K480&lt;&gt;""),"POSÉ EN LIGNE",IF(COUNTIF(BARDAGE!$C$1:$C$5000,B480)&gt;0,"BARDÉ","EN STOCK")))</f>
        <v>POSÉ EN LIGNE</v>
      </c>
      <c r="N480" s="80"/>
    </row>
    <row r="481" customFormat="false" ht="15" hidden="false" customHeight="false" outlineLevel="0" collapsed="false">
      <c r="A481" s="82" t="n">
        <f aca="false">IF(B481="","",ROW()-6)</f>
        <v>475</v>
      </c>
      <c r="B481" s="145" t="n">
        <v>2085820</v>
      </c>
      <c r="C481" s="146" t="n">
        <v>15421107</v>
      </c>
      <c r="D481" s="146"/>
      <c r="E481" s="82" t="str">
        <f aca="false">IF(B481="","",IF(COUNTIFS('CARNET DE SOUDURE'!$L$7:$L$3006,B481,'CARNET DE SOUDURE'!$M$7:$M$3006,"&lt;&gt;"&amp;C481,'CARNET DE SOUDURE'!$M$7:$M$3006,"&lt;&gt;")+COUNTIFS('CARNET DE SOUDURE'!$O$7:$O$3006,B481,'CARNET DE SOUDURE'!$P$7:$P$3006,"&lt;&gt;"&amp;C481,'CARNET DE SOUDURE'!$P$7:$P$3006,"&lt;&gt;")&gt;0,"⚠ DIFFÉRENTE","OK"))</f>
        <v>OK</v>
      </c>
      <c r="F481" s="147" t="n">
        <v>11.94</v>
      </c>
      <c r="G481" s="80"/>
      <c r="H481" s="83"/>
      <c r="I481" s="148" t="str">
        <f aca="false">IF(B481="","",IFERROR(INDEX('CARNET DE SOUDURE'!$B$7:$B$3006,MATCH(B481,'CARNET DE SOUDURE'!$L$7:$L$3006,0)),IFERROR(INDEX('CARNET DE SOUDURE'!$B$7:$B$3006,MATCH(B481,'CARNET DE SOUDURE'!$O$7:$O$3006,0)),"")))</f>
        <v>MFD-ISW → MFD-CPF</v>
      </c>
      <c r="J481" s="82" t="str">
        <f aca="false">IF(B481="","",IFERROR(INDEX('CARNET DE SOUDURE'!$E$7:$E$3006,MATCH(B481,'CARNET DE SOUDURE'!$O$7:$O$3006,0)),""))</f>
        <v>DJ°290</v>
      </c>
      <c r="K481" s="82" t="str">
        <f aca="false">IF(B481="","",IFERROR(INDEX('CARNET DE SOUDURE'!$E$7:$E$3006,MATCH(B481,'CARNET DE SOUDURE'!$L$7:$L$3006,0)),""))</f>
        <v>JN°1111</v>
      </c>
      <c r="L481" s="82" t="n">
        <f aca="false">IF(B481="","",IFERROR(INDEX('CARNET DE SOUDURE'!$D$7:$D$3006,MATCH(B481,'CARNET DE SOUDURE'!$L$7:$L$3006,0)),IFERROR(INDEX('CARNET DE SOUDURE'!$D$7:$D$3006,MATCH(B481,'CARNET DE SOUDURE'!$O$7:$O$3006,0)),"")))</f>
        <v>11</v>
      </c>
      <c r="M481" s="82" t="str">
        <f aca="false">IF(B481="","",IF(OR(J481&lt;&gt;"",K481&lt;&gt;""),"POSÉ EN LIGNE",IF(COUNTIF(BARDAGE!$C$1:$C$5000,B481)&gt;0,"BARDÉ","EN STOCK")))</f>
        <v>POSÉ EN LIGNE</v>
      </c>
      <c r="N481" s="80"/>
    </row>
    <row r="482" customFormat="false" ht="15" hidden="false" customHeight="false" outlineLevel="0" collapsed="false">
      <c r="A482" s="82" t="n">
        <f aca="false">IF(B482="","",ROW()-6)</f>
        <v>476</v>
      </c>
      <c r="B482" s="145" t="n">
        <v>2098540</v>
      </c>
      <c r="C482" s="146" t="n">
        <v>15421112</v>
      </c>
      <c r="D482" s="146"/>
      <c r="E482" s="82" t="str">
        <f aca="false">IF(B482="","",IF(COUNTIFS('CARNET DE SOUDURE'!$L$7:$L$3006,B482,'CARNET DE SOUDURE'!$M$7:$M$3006,"&lt;&gt;"&amp;C482,'CARNET DE SOUDURE'!$M$7:$M$3006,"&lt;&gt;")+COUNTIFS('CARNET DE SOUDURE'!$O$7:$O$3006,B482,'CARNET DE SOUDURE'!$P$7:$P$3006,"&lt;&gt;"&amp;C482,'CARNET DE SOUDURE'!$P$7:$P$3006,"&lt;&gt;")&gt;0,"⚠ DIFFÉRENTE","OK"))</f>
        <v>OK</v>
      </c>
      <c r="F482" s="147" t="n">
        <v>11.94</v>
      </c>
      <c r="G482" s="80"/>
      <c r="H482" s="83"/>
      <c r="I482" s="148" t="str">
        <f aca="false">IF(B482="","",IFERROR(INDEX('CARNET DE SOUDURE'!$B$7:$B$3006,MATCH(B482,'CARNET DE SOUDURE'!$L$7:$L$3006,0)),IFERROR(INDEX('CARNET DE SOUDURE'!$B$7:$B$3006,MATCH(B482,'CARNET DE SOUDURE'!$O$7:$O$3006,0)),"")))</f>
        <v>MFD-ISW → MFD-CPF</v>
      </c>
      <c r="J482" s="82" t="str">
        <f aca="false">IF(B482="","",IFERROR(INDEX('CARNET DE SOUDURE'!$E$7:$E$3006,MATCH(B482,'CARNET DE SOUDURE'!$O$7:$O$3006,0)),""))</f>
        <v>JN°1111</v>
      </c>
      <c r="K482" s="82" t="str">
        <f aca="false">IF(B482="","",IFERROR(INDEX('CARNET DE SOUDURE'!$E$7:$E$3006,MATCH(B482,'CARNET DE SOUDURE'!$L$7:$L$3006,0)),""))</f>
        <v>DJ°274</v>
      </c>
      <c r="L482" s="82" t="n">
        <f aca="false">IF(B482="","",IFERROR(INDEX('CARNET DE SOUDURE'!$D$7:$D$3006,MATCH(B482,'CARNET DE SOUDURE'!$L$7:$L$3006,0)),IFERROR(INDEX('CARNET DE SOUDURE'!$D$7:$D$3006,MATCH(B482,'CARNET DE SOUDURE'!$O$7:$O$3006,0)),"")))</f>
        <v>11</v>
      </c>
      <c r="M482" s="82" t="str">
        <f aca="false">IF(B482="","",IF(OR(J482&lt;&gt;"",K482&lt;&gt;""),"POSÉ EN LIGNE",IF(COUNTIF(BARDAGE!$C$1:$C$5000,B482)&gt;0,"BARDÉ","EN STOCK")))</f>
        <v>POSÉ EN LIGNE</v>
      </c>
      <c r="N482" s="80"/>
    </row>
    <row r="483" customFormat="false" ht="15" hidden="false" customHeight="false" outlineLevel="0" collapsed="false">
      <c r="A483" s="82" t="n">
        <f aca="false">IF(B483="","",ROW()-6)</f>
        <v>477</v>
      </c>
      <c r="B483" s="145" t="n">
        <v>2084720</v>
      </c>
      <c r="C483" s="146" t="n">
        <v>15421106</v>
      </c>
      <c r="D483" s="146"/>
      <c r="E483" s="82" t="str">
        <f aca="false">IF(B483="","",IF(COUNTIFS('CARNET DE SOUDURE'!$L$7:$L$3006,B483,'CARNET DE SOUDURE'!$M$7:$M$3006,"&lt;&gt;"&amp;C483,'CARNET DE SOUDURE'!$M$7:$M$3006,"&lt;&gt;")+COUNTIFS('CARNET DE SOUDURE'!$O$7:$O$3006,B483,'CARNET DE SOUDURE'!$P$7:$P$3006,"&lt;&gt;"&amp;C483,'CARNET DE SOUDURE'!$P$7:$P$3006,"&lt;&gt;")&gt;0,"⚠ DIFFÉRENTE","OK"))</f>
        <v>OK</v>
      </c>
      <c r="F483" s="147" t="n">
        <v>11.94</v>
      </c>
      <c r="G483" s="80"/>
      <c r="H483" s="83"/>
      <c r="I483" s="148" t="str">
        <f aca="false">IF(B483="","",IFERROR(INDEX('CARNET DE SOUDURE'!$B$7:$B$3006,MATCH(B483,'CARNET DE SOUDURE'!$L$7:$L$3006,0)),IFERROR(INDEX('CARNET DE SOUDURE'!$B$7:$B$3006,MATCH(B483,'CARNET DE SOUDURE'!$O$7:$O$3006,0)),"")))</f>
        <v>MFD-ISW → MFD-CPF</v>
      </c>
      <c r="J483" s="82" t="str">
        <f aca="false">IF(B483="","",IFERROR(INDEX('CARNET DE SOUDURE'!$E$7:$E$3006,MATCH(B483,'CARNET DE SOUDURE'!$O$7:$O$3006,0)),""))</f>
        <v>DJ°274</v>
      </c>
      <c r="K483" s="82" t="str">
        <f aca="false">IF(B483="","",IFERROR(INDEX('CARNET DE SOUDURE'!$E$7:$E$3006,MATCH(B483,'CARNET DE SOUDURE'!$L$7:$L$3006,0)),""))</f>
        <v/>
      </c>
      <c r="L483" s="82" t="n">
        <f aca="false">IF(B483="","",IFERROR(INDEX('CARNET DE SOUDURE'!$D$7:$D$3006,MATCH(B483,'CARNET DE SOUDURE'!$L$7:$L$3006,0)),IFERROR(INDEX('CARNET DE SOUDURE'!$D$7:$D$3006,MATCH(B483,'CARNET DE SOUDURE'!$O$7:$O$3006,0)),"")))</f>
        <v>11</v>
      </c>
      <c r="M483" s="82" t="str">
        <f aca="false">IF(B483="","",IF(OR(J483&lt;&gt;"",K483&lt;&gt;""),"POSÉ EN LIGNE",IF(COUNTIF(BARDAGE!$C$1:$C$5000,B483)&gt;0,"BARDÉ","EN STOCK")))</f>
        <v>POSÉ EN LIGNE</v>
      </c>
      <c r="N483" s="80"/>
    </row>
    <row r="484" customFormat="false" ht="15" hidden="false" customHeight="false" outlineLevel="0" collapsed="false">
      <c r="A484" s="82" t="n">
        <f aca="false">IF(B484="","",ROW()-6)</f>
        <v>478</v>
      </c>
      <c r="B484" s="145" t="n">
        <v>2095920</v>
      </c>
      <c r="C484" s="146" t="n">
        <v>15421111</v>
      </c>
      <c r="D484" s="146"/>
      <c r="E484" s="82" t="str">
        <f aca="false">IF(B484="","",IF(COUNTIFS('CARNET DE SOUDURE'!$L$7:$L$3006,B484,'CARNET DE SOUDURE'!$M$7:$M$3006,"&lt;&gt;"&amp;C484,'CARNET DE SOUDURE'!$M$7:$M$3006,"&lt;&gt;")+COUNTIFS('CARNET DE SOUDURE'!$O$7:$O$3006,B484,'CARNET DE SOUDURE'!$P$7:$P$3006,"&lt;&gt;"&amp;C484,'CARNET DE SOUDURE'!$P$7:$P$3006,"&lt;&gt;")&gt;0,"⚠ DIFFÉRENTE","OK"))</f>
        <v>OK</v>
      </c>
      <c r="F484" s="147" t="n">
        <v>11.94</v>
      </c>
      <c r="G484" s="80"/>
      <c r="H484" s="83"/>
      <c r="I484" s="148" t="str">
        <f aca="false">IF(B484="","",IFERROR(INDEX('CARNET DE SOUDURE'!$B$7:$B$3006,MATCH(B484,'CARNET DE SOUDURE'!$L$7:$L$3006,0)),IFERROR(INDEX('CARNET DE SOUDURE'!$B$7:$B$3006,MATCH(B484,'CARNET DE SOUDURE'!$O$7:$O$3006,0)),"")))</f>
        <v>MFD-ISW → MFD-CPF</v>
      </c>
      <c r="J484" s="82" t="str">
        <f aca="false">IF(B484="","",IFERROR(INDEX('CARNET DE SOUDURE'!$E$7:$E$3006,MATCH(B484,'CARNET DE SOUDURE'!$O$7:$O$3006,0)),""))</f>
        <v>JN°1113</v>
      </c>
      <c r="K484" s="82" t="str">
        <f aca="false">IF(B484="","",IFERROR(INDEX('CARNET DE SOUDURE'!$E$7:$E$3006,MATCH(B484,'CARNET DE SOUDURE'!$L$7:$L$3006,0)),""))</f>
        <v>DJ°295</v>
      </c>
      <c r="L484" s="82" t="n">
        <f aca="false">IF(B484="","",IFERROR(INDEX('CARNET DE SOUDURE'!$D$7:$D$3006,MATCH(B484,'CARNET DE SOUDURE'!$L$7:$L$3006,0)),IFERROR(INDEX('CARNET DE SOUDURE'!$D$7:$D$3006,MATCH(B484,'CARNET DE SOUDURE'!$O$7:$O$3006,0)),"")))</f>
        <v>11</v>
      </c>
      <c r="M484" s="82" t="str">
        <f aca="false">IF(B484="","",IF(OR(J484&lt;&gt;"",K484&lt;&gt;""),"POSÉ EN LIGNE",IF(COUNTIF(BARDAGE!$C$1:$C$5000,B484)&gt;0,"BARDÉ","EN STOCK")))</f>
        <v>POSÉ EN LIGNE</v>
      </c>
      <c r="N484" s="80"/>
    </row>
    <row r="485" customFormat="false" ht="15" hidden="false" customHeight="false" outlineLevel="0" collapsed="false">
      <c r="A485" s="82" t="n">
        <f aca="false">IF(B485="","",ROW()-6)</f>
        <v>479</v>
      </c>
      <c r="B485" s="145" t="n">
        <v>2091150</v>
      </c>
      <c r="C485" s="146" t="n">
        <v>15421109</v>
      </c>
      <c r="D485" s="146"/>
      <c r="E485" s="82" t="str">
        <f aca="false">IF(B485="","",IF(COUNTIFS('CARNET DE SOUDURE'!$L$7:$L$3006,B485,'CARNET DE SOUDURE'!$M$7:$M$3006,"&lt;&gt;"&amp;C485,'CARNET DE SOUDURE'!$M$7:$M$3006,"&lt;&gt;")+COUNTIFS('CARNET DE SOUDURE'!$O$7:$O$3006,B485,'CARNET DE SOUDURE'!$P$7:$P$3006,"&lt;&gt;"&amp;C485,'CARNET DE SOUDURE'!$P$7:$P$3006,"&lt;&gt;")&gt;0,"⚠ DIFFÉRENTE","OK"))</f>
        <v>OK</v>
      </c>
      <c r="F485" s="147" t="n">
        <v>11.94</v>
      </c>
      <c r="G485" s="80"/>
      <c r="H485" s="83"/>
      <c r="I485" s="148" t="str">
        <f aca="false">IF(B485="","",IFERROR(INDEX('CARNET DE SOUDURE'!$B$7:$B$3006,MATCH(B485,'CARNET DE SOUDURE'!$L$7:$L$3006,0)),IFERROR(INDEX('CARNET DE SOUDURE'!$B$7:$B$3006,MATCH(B485,'CARNET DE SOUDURE'!$O$7:$O$3006,0)),"")))</f>
        <v>MFD-ISW → MFD-CPF</v>
      </c>
      <c r="J485" s="82" t="str">
        <f aca="false">IF(B485="","",IFERROR(INDEX('CARNET DE SOUDURE'!$E$7:$E$3006,MATCH(B485,'CARNET DE SOUDURE'!$O$7:$O$3006,0)),""))</f>
        <v>DJ°295</v>
      </c>
      <c r="K485" s="82" t="str">
        <f aca="false">IF(B485="","",IFERROR(INDEX('CARNET DE SOUDURE'!$E$7:$E$3006,MATCH(B485,'CARNET DE SOUDURE'!$L$7:$L$3006,0)),""))</f>
        <v>JN°1114</v>
      </c>
      <c r="L485" s="82" t="n">
        <f aca="false">IF(B485="","",IFERROR(INDEX('CARNET DE SOUDURE'!$D$7:$D$3006,MATCH(B485,'CARNET DE SOUDURE'!$L$7:$L$3006,0)),IFERROR(INDEX('CARNET DE SOUDURE'!$D$7:$D$3006,MATCH(B485,'CARNET DE SOUDURE'!$O$7:$O$3006,0)),"")))</f>
        <v>11</v>
      </c>
      <c r="M485" s="82" t="str">
        <f aca="false">IF(B485="","",IF(OR(J485&lt;&gt;"",K485&lt;&gt;""),"POSÉ EN LIGNE",IF(COUNTIF(BARDAGE!$C$1:$C$5000,B485)&gt;0,"BARDÉ","EN STOCK")))</f>
        <v>POSÉ EN LIGNE</v>
      </c>
      <c r="N485" s="80"/>
    </row>
    <row r="486" customFormat="false" ht="15" hidden="false" customHeight="false" outlineLevel="0" collapsed="false">
      <c r="A486" s="82" t="n">
        <f aca="false">IF(B486="","",ROW()-6)</f>
        <v>480</v>
      </c>
      <c r="B486" s="145" t="n">
        <v>2084960</v>
      </c>
      <c r="C486" s="146" t="n">
        <v>15421106</v>
      </c>
      <c r="D486" s="146"/>
      <c r="E486" s="82" t="str">
        <f aca="false">IF(B486="","",IF(COUNTIFS('CARNET DE SOUDURE'!$L$7:$L$3006,B486,'CARNET DE SOUDURE'!$M$7:$M$3006,"&lt;&gt;"&amp;C486,'CARNET DE SOUDURE'!$M$7:$M$3006,"&lt;&gt;")+COUNTIFS('CARNET DE SOUDURE'!$O$7:$O$3006,B486,'CARNET DE SOUDURE'!$P$7:$P$3006,"&lt;&gt;"&amp;C486,'CARNET DE SOUDURE'!$P$7:$P$3006,"&lt;&gt;")&gt;0,"⚠ DIFFÉRENTE","OK"))</f>
        <v>OK</v>
      </c>
      <c r="F486" s="147" t="n">
        <v>11.94</v>
      </c>
      <c r="G486" s="80"/>
      <c r="H486" s="83"/>
      <c r="I486" s="148" t="str">
        <f aca="false">IF(B486="","",IFERROR(INDEX('CARNET DE SOUDURE'!$B$7:$B$3006,MATCH(B486,'CARNET DE SOUDURE'!$L$7:$L$3006,0)),IFERROR(INDEX('CARNET DE SOUDURE'!$B$7:$B$3006,MATCH(B486,'CARNET DE SOUDURE'!$O$7:$O$3006,0)),"")))</f>
        <v>MFD-ISW → MFD-CPF</v>
      </c>
      <c r="J486" s="82" t="str">
        <f aca="false">IF(B486="","",IFERROR(INDEX('CARNET DE SOUDURE'!$E$7:$E$3006,MATCH(B486,'CARNET DE SOUDURE'!$O$7:$O$3006,0)),""))</f>
        <v>JN°1114</v>
      </c>
      <c r="K486" s="82" t="str">
        <f aca="false">IF(B486="","",IFERROR(INDEX('CARNET DE SOUDURE'!$E$7:$E$3006,MATCH(B486,'CARNET DE SOUDURE'!$L$7:$L$3006,0)),""))</f>
        <v>DJ°303</v>
      </c>
      <c r="L486" s="82" t="n">
        <f aca="false">IF(B486="","",IFERROR(INDEX('CARNET DE SOUDURE'!$D$7:$D$3006,MATCH(B486,'CARNET DE SOUDURE'!$L$7:$L$3006,0)),IFERROR(INDEX('CARNET DE SOUDURE'!$D$7:$D$3006,MATCH(B486,'CARNET DE SOUDURE'!$O$7:$O$3006,0)),"")))</f>
        <v>11</v>
      </c>
      <c r="M486" s="82" t="str">
        <f aca="false">IF(B486="","",IF(OR(J486&lt;&gt;"",K486&lt;&gt;""),"POSÉ EN LIGNE",IF(COUNTIF(BARDAGE!$C$1:$C$5000,B486)&gt;0,"BARDÉ","EN STOCK")))</f>
        <v>POSÉ EN LIGNE</v>
      </c>
      <c r="N486" s="80"/>
    </row>
    <row r="487" customFormat="false" ht="15" hidden="false" customHeight="false" outlineLevel="0" collapsed="false">
      <c r="A487" s="82" t="n">
        <f aca="false">IF(B487="","",ROW()-6)</f>
        <v>481</v>
      </c>
      <c r="B487" s="145" t="n">
        <v>2090940</v>
      </c>
      <c r="C487" s="146" t="n">
        <v>15421106</v>
      </c>
      <c r="D487" s="146"/>
      <c r="E487" s="82" t="str">
        <f aca="false">IF(B487="","",IF(COUNTIFS('CARNET DE SOUDURE'!$L$7:$L$3006,B487,'CARNET DE SOUDURE'!$M$7:$M$3006,"&lt;&gt;"&amp;C487,'CARNET DE SOUDURE'!$M$7:$M$3006,"&lt;&gt;")+COUNTIFS('CARNET DE SOUDURE'!$O$7:$O$3006,B487,'CARNET DE SOUDURE'!$P$7:$P$3006,"&lt;&gt;"&amp;C487,'CARNET DE SOUDURE'!$P$7:$P$3006,"&lt;&gt;")&gt;0,"⚠ DIFFÉRENTE","OK"))</f>
        <v>OK</v>
      </c>
      <c r="F487" s="147" t="n">
        <v>11.94</v>
      </c>
      <c r="G487" s="80"/>
      <c r="H487" s="83"/>
      <c r="I487" s="148" t="str">
        <f aca="false">IF(B487="","",IFERROR(INDEX('CARNET DE SOUDURE'!$B$7:$B$3006,MATCH(B487,'CARNET DE SOUDURE'!$L$7:$L$3006,0)),IFERROR(INDEX('CARNET DE SOUDURE'!$B$7:$B$3006,MATCH(B487,'CARNET DE SOUDURE'!$O$7:$O$3006,0)),"")))</f>
        <v>MFD-ISW → MFD-CPF</v>
      </c>
      <c r="J487" s="82" t="str">
        <f aca="false">IF(B487="","",IFERROR(INDEX('CARNET DE SOUDURE'!$E$7:$E$3006,MATCH(B487,'CARNET DE SOUDURE'!$O$7:$O$3006,0)),""))</f>
        <v>DJ°303</v>
      </c>
      <c r="K487" s="82" t="str">
        <f aca="false">IF(B487="","",IFERROR(INDEX('CARNET DE SOUDURE'!$E$7:$E$3006,MATCH(B487,'CARNET DE SOUDURE'!$L$7:$L$3006,0)),""))</f>
        <v>JN°1115</v>
      </c>
      <c r="L487" s="82" t="n">
        <f aca="false">IF(B487="","",IFERROR(INDEX('CARNET DE SOUDURE'!$D$7:$D$3006,MATCH(B487,'CARNET DE SOUDURE'!$L$7:$L$3006,0)),IFERROR(INDEX('CARNET DE SOUDURE'!$D$7:$D$3006,MATCH(B487,'CARNET DE SOUDURE'!$O$7:$O$3006,0)),"")))</f>
        <v>11</v>
      </c>
      <c r="M487" s="82" t="str">
        <f aca="false">IF(B487="","",IF(OR(J487&lt;&gt;"",K487&lt;&gt;""),"POSÉ EN LIGNE",IF(COUNTIF(BARDAGE!$C$1:$C$5000,B487)&gt;0,"BARDÉ","EN STOCK")))</f>
        <v>POSÉ EN LIGNE</v>
      </c>
      <c r="N487" s="80"/>
    </row>
    <row r="488" customFormat="false" ht="15" hidden="false" customHeight="false" outlineLevel="0" collapsed="false">
      <c r="A488" s="82" t="n">
        <f aca="false">IF(B488="","",ROW()-6)</f>
        <v>482</v>
      </c>
      <c r="B488" s="145" t="n">
        <v>2082484</v>
      </c>
      <c r="C488" s="146" t="n">
        <v>15421104</v>
      </c>
      <c r="D488" s="146"/>
      <c r="E488" s="82" t="str">
        <f aca="false">IF(B488="","",IF(COUNTIFS('CARNET DE SOUDURE'!$L$7:$L$3006,B488,'CARNET DE SOUDURE'!$M$7:$M$3006,"&lt;&gt;"&amp;C488,'CARNET DE SOUDURE'!$M$7:$M$3006,"&lt;&gt;")+COUNTIFS('CARNET DE SOUDURE'!$O$7:$O$3006,B488,'CARNET DE SOUDURE'!$P$7:$P$3006,"&lt;&gt;"&amp;C488,'CARNET DE SOUDURE'!$P$7:$P$3006,"&lt;&gt;")&gt;0,"⚠ DIFFÉRENTE","OK"))</f>
        <v>OK</v>
      </c>
      <c r="F488" s="147" t="n">
        <v>11.94</v>
      </c>
      <c r="G488" s="80"/>
      <c r="H488" s="83"/>
      <c r="I488" s="148" t="str">
        <f aca="false">IF(B488="","",IFERROR(INDEX('CARNET DE SOUDURE'!$B$7:$B$3006,MATCH(B488,'CARNET DE SOUDURE'!$L$7:$L$3006,0)),IFERROR(INDEX('CARNET DE SOUDURE'!$B$7:$B$3006,MATCH(B488,'CARNET DE SOUDURE'!$O$7:$O$3006,0)),"")))</f>
        <v>MFD-ISW → MFD-CPF</v>
      </c>
      <c r="J488" s="82" t="str">
        <f aca="false">IF(B488="","",IFERROR(INDEX('CARNET DE SOUDURE'!$E$7:$E$3006,MATCH(B488,'CARNET DE SOUDURE'!$O$7:$O$3006,0)),""))</f>
        <v>JN°1115</v>
      </c>
      <c r="K488" s="82" t="str">
        <f aca="false">IF(B488="","",IFERROR(INDEX('CARNET DE SOUDURE'!$E$7:$E$3006,MATCH(B488,'CARNET DE SOUDURE'!$L$7:$L$3006,0)),""))</f>
        <v>DJ°297</v>
      </c>
      <c r="L488" s="82" t="n">
        <f aca="false">IF(B488="","",IFERROR(INDEX('CARNET DE SOUDURE'!$D$7:$D$3006,MATCH(B488,'CARNET DE SOUDURE'!$L$7:$L$3006,0)),IFERROR(INDEX('CARNET DE SOUDURE'!$D$7:$D$3006,MATCH(B488,'CARNET DE SOUDURE'!$O$7:$O$3006,0)),"")))</f>
        <v>11</v>
      </c>
      <c r="M488" s="82" t="str">
        <f aca="false">IF(B488="","",IF(OR(J488&lt;&gt;"",K488&lt;&gt;""),"POSÉ EN LIGNE",IF(COUNTIF(BARDAGE!$C$1:$C$5000,B488)&gt;0,"BARDÉ","EN STOCK")))</f>
        <v>POSÉ EN LIGNE</v>
      </c>
      <c r="N488" s="80"/>
    </row>
    <row r="489" customFormat="false" ht="15" hidden="false" customHeight="false" outlineLevel="0" collapsed="false">
      <c r="A489" s="82" t="n">
        <f aca="false">IF(B489="","",ROW()-6)</f>
        <v>483</v>
      </c>
      <c r="B489" s="145" t="n">
        <v>2090190</v>
      </c>
      <c r="C489" s="146" t="n">
        <v>15421109</v>
      </c>
      <c r="D489" s="146"/>
      <c r="E489" s="82" t="str">
        <f aca="false">IF(B489="","",IF(COUNTIFS('CARNET DE SOUDURE'!$L$7:$L$3006,B489,'CARNET DE SOUDURE'!$M$7:$M$3006,"&lt;&gt;"&amp;C489,'CARNET DE SOUDURE'!$M$7:$M$3006,"&lt;&gt;")+COUNTIFS('CARNET DE SOUDURE'!$O$7:$O$3006,B489,'CARNET DE SOUDURE'!$P$7:$P$3006,"&lt;&gt;"&amp;C489,'CARNET DE SOUDURE'!$P$7:$P$3006,"&lt;&gt;")&gt;0,"⚠ DIFFÉRENTE","OK"))</f>
        <v>OK</v>
      </c>
      <c r="F489" s="147" t="n">
        <v>11.94</v>
      </c>
      <c r="G489" s="80"/>
      <c r="H489" s="83"/>
      <c r="I489" s="148" t="str">
        <f aca="false">IF(B489="","",IFERROR(INDEX('CARNET DE SOUDURE'!$B$7:$B$3006,MATCH(B489,'CARNET DE SOUDURE'!$L$7:$L$3006,0)),IFERROR(INDEX('CARNET DE SOUDURE'!$B$7:$B$3006,MATCH(B489,'CARNET DE SOUDURE'!$O$7:$O$3006,0)),"")))</f>
        <v>MFD-ISW → MFD-CPF</v>
      </c>
      <c r="J489" s="82" t="str">
        <f aca="false">IF(B489="","",IFERROR(INDEX('CARNET DE SOUDURE'!$E$7:$E$3006,MATCH(B489,'CARNET DE SOUDURE'!$O$7:$O$3006,0)),""))</f>
        <v>DJ°297</v>
      </c>
      <c r="K489" s="82" t="str">
        <f aca="false">IF(B489="","",IFERROR(INDEX('CARNET DE SOUDURE'!$E$7:$E$3006,MATCH(B489,'CARNET DE SOUDURE'!$L$7:$L$3006,0)),""))</f>
        <v>JN°1116</v>
      </c>
      <c r="L489" s="82" t="n">
        <f aca="false">IF(B489="","",IFERROR(INDEX('CARNET DE SOUDURE'!$D$7:$D$3006,MATCH(B489,'CARNET DE SOUDURE'!$L$7:$L$3006,0)),IFERROR(INDEX('CARNET DE SOUDURE'!$D$7:$D$3006,MATCH(B489,'CARNET DE SOUDURE'!$O$7:$O$3006,0)),"")))</f>
        <v>11</v>
      </c>
      <c r="M489" s="82" t="str">
        <f aca="false">IF(B489="","",IF(OR(J489&lt;&gt;"",K489&lt;&gt;""),"POSÉ EN LIGNE",IF(COUNTIF(BARDAGE!$C$1:$C$5000,B489)&gt;0,"BARDÉ","EN STOCK")))</f>
        <v>POSÉ EN LIGNE</v>
      </c>
      <c r="N489" s="80"/>
    </row>
    <row r="490" customFormat="false" ht="15" hidden="false" customHeight="false" outlineLevel="0" collapsed="false">
      <c r="A490" s="82" t="n">
        <f aca="false">IF(B490="","",ROW()-6)</f>
        <v>484</v>
      </c>
      <c r="B490" s="145" t="n">
        <v>2089480</v>
      </c>
      <c r="C490" s="146" t="n">
        <v>15421109</v>
      </c>
      <c r="D490" s="146"/>
      <c r="E490" s="82" t="str">
        <f aca="false">IF(B490="","",IF(COUNTIFS('CARNET DE SOUDURE'!$L$7:$L$3006,B490,'CARNET DE SOUDURE'!$M$7:$M$3006,"&lt;&gt;"&amp;C490,'CARNET DE SOUDURE'!$M$7:$M$3006,"&lt;&gt;")+COUNTIFS('CARNET DE SOUDURE'!$O$7:$O$3006,B490,'CARNET DE SOUDURE'!$P$7:$P$3006,"&lt;&gt;"&amp;C490,'CARNET DE SOUDURE'!$P$7:$P$3006,"&lt;&gt;")&gt;0,"⚠ DIFFÉRENTE","OK"))</f>
        <v>OK</v>
      </c>
      <c r="F490" s="147" t="n">
        <v>11.94</v>
      </c>
      <c r="G490" s="80"/>
      <c r="H490" s="83"/>
      <c r="I490" s="148" t="str">
        <f aca="false">IF(B490="","",IFERROR(INDEX('CARNET DE SOUDURE'!$B$7:$B$3006,MATCH(B490,'CARNET DE SOUDURE'!$L$7:$L$3006,0)),IFERROR(INDEX('CARNET DE SOUDURE'!$B$7:$B$3006,MATCH(B490,'CARNET DE SOUDURE'!$O$7:$O$3006,0)),"")))</f>
        <v>MFD-ISW → MFD-CPF</v>
      </c>
      <c r="J490" s="82" t="str">
        <f aca="false">IF(B490="","",IFERROR(INDEX('CARNET DE SOUDURE'!$E$7:$E$3006,MATCH(B490,'CARNET DE SOUDURE'!$O$7:$O$3006,0)),""))</f>
        <v>JN°1116</v>
      </c>
      <c r="K490" s="82" t="str">
        <f aca="false">IF(B490="","",IFERROR(INDEX('CARNET DE SOUDURE'!$E$7:$E$3006,MATCH(B490,'CARNET DE SOUDURE'!$L$7:$L$3006,0)),""))</f>
        <v>DJ°300</v>
      </c>
      <c r="L490" s="82" t="n">
        <f aca="false">IF(B490="","",IFERROR(INDEX('CARNET DE SOUDURE'!$D$7:$D$3006,MATCH(B490,'CARNET DE SOUDURE'!$L$7:$L$3006,0)),IFERROR(INDEX('CARNET DE SOUDURE'!$D$7:$D$3006,MATCH(B490,'CARNET DE SOUDURE'!$O$7:$O$3006,0)),"")))</f>
        <v>11</v>
      </c>
      <c r="M490" s="82" t="str">
        <f aca="false">IF(B490="","",IF(OR(J490&lt;&gt;"",K490&lt;&gt;""),"POSÉ EN LIGNE",IF(COUNTIF(BARDAGE!$C$1:$C$5000,B490)&gt;0,"BARDÉ","EN STOCK")))</f>
        <v>POSÉ EN LIGNE</v>
      </c>
      <c r="N490" s="80"/>
    </row>
    <row r="491" customFormat="false" ht="15" hidden="false" customHeight="false" outlineLevel="0" collapsed="false">
      <c r="A491" s="82" t="n">
        <f aca="false">IF(B491="","",ROW()-6)</f>
        <v>485</v>
      </c>
      <c r="B491" s="145" t="n">
        <v>2080800</v>
      </c>
      <c r="C491" s="146" t="n">
        <v>15421103</v>
      </c>
      <c r="D491" s="146"/>
      <c r="E491" s="82" t="str">
        <f aca="false">IF(B491="","",IF(COUNTIFS('CARNET DE SOUDURE'!$L$7:$L$3006,B491,'CARNET DE SOUDURE'!$M$7:$M$3006,"&lt;&gt;"&amp;C491,'CARNET DE SOUDURE'!$M$7:$M$3006,"&lt;&gt;")+COUNTIFS('CARNET DE SOUDURE'!$O$7:$O$3006,B491,'CARNET DE SOUDURE'!$P$7:$P$3006,"&lt;&gt;"&amp;C491,'CARNET DE SOUDURE'!$P$7:$P$3006,"&lt;&gt;")&gt;0,"⚠ DIFFÉRENTE","OK"))</f>
        <v>OK</v>
      </c>
      <c r="F491" s="147" t="n">
        <v>11.94</v>
      </c>
      <c r="G491" s="80"/>
      <c r="H491" s="83"/>
      <c r="I491" s="148" t="str">
        <f aca="false">IF(B491="","",IFERROR(INDEX('CARNET DE SOUDURE'!$B$7:$B$3006,MATCH(B491,'CARNET DE SOUDURE'!$L$7:$L$3006,0)),IFERROR(INDEX('CARNET DE SOUDURE'!$B$7:$B$3006,MATCH(B491,'CARNET DE SOUDURE'!$O$7:$O$3006,0)),"")))</f>
        <v>MFD-ISW → MFD-CPF</v>
      </c>
      <c r="J491" s="82" t="str">
        <f aca="false">IF(B491="","",IFERROR(INDEX('CARNET DE SOUDURE'!$E$7:$E$3006,MATCH(B491,'CARNET DE SOUDURE'!$O$7:$O$3006,0)),""))</f>
        <v>DJ°300</v>
      </c>
      <c r="K491" s="82" t="str">
        <f aca="false">IF(B491="","",IFERROR(INDEX('CARNET DE SOUDURE'!$E$7:$E$3006,MATCH(B491,'CARNET DE SOUDURE'!$L$7:$L$3006,0)),""))</f>
        <v>JN°1117</v>
      </c>
      <c r="L491" s="82" t="n">
        <f aca="false">IF(B491="","",IFERROR(INDEX('CARNET DE SOUDURE'!$D$7:$D$3006,MATCH(B491,'CARNET DE SOUDURE'!$L$7:$L$3006,0)),IFERROR(INDEX('CARNET DE SOUDURE'!$D$7:$D$3006,MATCH(B491,'CARNET DE SOUDURE'!$O$7:$O$3006,0)),"")))</f>
        <v>11</v>
      </c>
      <c r="M491" s="82" t="str">
        <f aca="false">IF(B491="","",IF(OR(J491&lt;&gt;"",K491&lt;&gt;""),"POSÉ EN LIGNE",IF(COUNTIF(BARDAGE!$C$1:$C$5000,B491)&gt;0,"BARDÉ","EN STOCK")))</f>
        <v>POSÉ EN LIGNE</v>
      </c>
      <c r="N491" s="80"/>
    </row>
    <row r="492" customFormat="false" ht="15" hidden="false" customHeight="false" outlineLevel="0" collapsed="false">
      <c r="A492" s="82" t="n">
        <f aca="false">IF(B492="","",ROW()-6)</f>
        <v>486</v>
      </c>
      <c r="B492" s="145" t="n">
        <v>2081950</v>
      </c>
      <c r="C492" s="146" t="n">
        <v>15421104</v>
      </c>
      <c r="D492" s="146"/>
      <c r="E492" s="82" t="str">
        <f aca="false">IF(B492="","",IF(COUNTIFS('CARNET DE SOUDURE'!$L$7:$L$3006,B492,'CARNET DE SOUDURE'!$M$7:$M$3006,"&lt;&gt;"&amp;C492,'CARNET DE SOUDURE'!$M$7:$M$3006,"&lt;&gt;")+COUNTIFS('CARNET DE SOUDURE'!$O$7:$O$3006,B492,'CARNET DE SOUDURE'!$P$7:$P$3006,"&lt;&gt;"&amp;C492,'CARNET DE SOUDURE'!$P$7:$P$3006,"&lt;&gt;")&gt;0,"⚠ DIFFÉRENTE","OK"))</f>
        <v>OK</v>
      </c>
      <c r="F492" s="147" t="n">
        <v>11.94</v>
      </c>
      <c r="G492" s="80"/>
      <c r="H492" s="83"/>
      <c r="I492" s="148" t="str">
        <f aca="false">IF(B492="","",IFERROR(INDEX('CARNET DE SOUDURE'!$B$7:$B$3006,MATCH(B492,'CARNET DE SOUDURE'!$L$7:$L$3006,0)),IFERROR(INDEX('CARNET DE SOUDURE'!$B$7:$B$3006,MATCH(B492,'CARNET DE SOUDURE'!$O$7:$O$3006,0)),"")))</f>
        <v>MFD-ISW → MFD-CPF</v>
      </c>
      <c r="J492" s="82" t="str">
        <f aca="false">IF(B492="","",IFERROR(INDEX('CARNET DE SOUDURE'!$E$7:$E$3006,MATCH(B492,'CARNET DE SOUDURE'!$O$7:$O$3006,0)),""))</f>
        <v>JN°1117</v>
      </c>
      <c r="K492" s="82" t="str">
        <f aca="false">IF(B492="","",IFERROR(INDEX('CARNET DE SOUDURE'!$E$7:$E$3006,MATCH(B492,'CARNET DE SOUDURE'!$L$7:$L$3006,0)),""))</f>
        <v>DJ°288</v>
      </c>
      <c r="L492" s="82" t="n">
        <f aca="false">IF(B492="","",IFERROR(INDEX('CARNET DE SOUDURE'!$D$7:$D$3006,MATCH(B492,'CARNET DE SOUDURE'!$L$7:$L$3006,0)),IFERROR(INDEX('CARNET DE SOUDURE'!$D$7:$D$3006,MATCH(B492,'CARNET DE SOUDURE'!$O$7:$O$3006,0)),"")))</f>
        <v>11</v>
      </c>
      <c r="M492" s="82" t="str">
        <f aca="false">IF(B492="","",IF(OR(J492&lt;&gt;"",K492&lt;&gt;""),"POSÉ EN LIGNE",IF(COUNTIF(BARDAGE!$C$1:$C$5000,B492)&gt;0,"BARDÉ","EN STOCK")))</f>
        <v>POSÉ EN LIGNE</v>
      </c>
      <c r="N492" s="80"/>
    </row>
    <row r="493" customFormat="false" ht="15" hidden="false" customHeight="false" outlineLevel="0" collapsed="false">
      <c r="A493" s="82" t="n">
        <f aca="false">IF(B493="","",ROW()-6)</f>
        <v>487</v>
      </c>
      <c r="B493" s="145" t="n">
        <v>2084050</v>
      </c>
      <c r="C493" s="146" t="n">
        <v>15421106</v>
      </c>
      <c r="D493" s="146"/>
      <c r="E493" s="82" t="str">
        <f aca="false">IF(B493="","",IF(COUNTIFS('CARNET DE SOUDURE'!$L$7:$L$3006,B493,'CARNET DE SOUDURE'!$M$7:$M$3006,"&lt;&gt;"&amp;C493,'CARNET DE SOUDURE'!$M$7:$M$3006,"&lt;&gt;")+COUNTIFS('CARNET DE SOUDURE'!$O$7:$O$3006,B493,'CARNET DE SOUDURE'!$P$7:$P$3006,"&lt;&gt;"&amp;C493,'CARNET DE SOUDURE'!$P$7:$P$3006,"&lt;&gt;")&gt;0,"⚠ DIFFÉRENTE","OK"))</f>
        <v>OK</v>
      </c>
      <c r="F493" s="147" t="n">
        <v>11.94</v>
      </c>
      <c r="G493" s="80"/>
      <c r="H493" s="83"/>
      <c r="I493" s="148" t="str">
        <f aca="false">IF(B493="","",IFERROR(INDEX('CARNET DE SOUDURE'!$B$7:$B$3006,MATCH(B493,'CARNET DE SOUDURE'!$L$7:$L$3006,0)),IFERROR(INDEX('CARNET DE SOUDURE'!$B$7:$B$3006,MATCH(B493,'CARNET DE SOUDURE'!$O$7:$O$3006,0)),"")))</f>
        <v>MFD-ISW → MFD-CPF</v>
      </c>
      <c r="J493" s="82" t="str">
        <f aca="false">IF(B493="","",IFERROR(INDEX('CARNET DE SOUDURE'!$E$7:$E$3006,MATCH(B493,'CARNET DE SOUDURE'!$O$7:$O$3006,0)),""))</f>
        <v>DJ°288</v>
      </c>
      <c r="K493" s="82" t="str">
        <f aca="false">IF(B493="","",IFERROR(INDEX('CARNET DE SOUDURE'!$E$7:$E$3006,MATCH(B493,'CARNET DE SOUDURE'!$L$7:$L$3006,0)),""))</f>
        <v/>
      </c>
      <c r="L493" s="82" t="n">
        <f aca="false">IF(B493="","",IFERROR(INDEX('CARNET DE SOUDURE'!$D$7:$D$3006,MATCH(B493,'CARNET DE SOUDURE'!$L$7:$L$3006,0)),IFERROR(INDEX('CARNET DE SOUDURE'!$D$7:$D$3006,MATCH(B493,'CARNET DE SOUDURE'!$O$7:$O$3006,0)),"")))</f>
        <v>11</v>
      </c>
      <c r="M493" s="82" t="str">
        <f aca="false">IF(B493="","",IF(OR(J493&lt;&gt;"",K493&lt;&gt;""),"POSÉ EN LIGNE",IF(COUNTIF(BARDAGE!$C$1:$C$5000,B493)&gt;0,"BARDÉ","EN STOCK")))</f>
        <v>POSÉ EN LIGNE</v>
      </c>
      <c r="N493" s="80"/>
    </row>
    <row r="494" customFormat="false" ht="15" hidden="false" customHeight="false" outlineLevel="0" collapsed="false">
      <c r="A494" s="82" t="n">
        <f aca="false">IF(B494="","",ROW()-6)</f>
        <v>488</v>
      </c>
      <c r="B494" s="145" t="n">
        <v>2080720</v>
      </c>
      <c r="C494" s="146" t="n">
        <v>15421103</v>
      </c>
      <c r="D494" s="146"/>
      <c r="E494" s="82" t="str">
        <f aca="false">IF(B494="","",IF(COUNTIFS('CARNET DE SOUDURE'!$L$7:$L$3006,B494,'CARNET DE SOUDURE'!$M$7:$M$3006,"&lt;&gt;"&amp;C494,'CARNET DE SOUDURE'!$M$7:$M$3006,"&lt;&gt;")+COUNTIFS('CARNET DE SOUDURE'!$O$7:$O$3006,B494,'CARNET DE SOUDURE'!$P$7:$P$3006,"&lt;&gt;"&amp;C494,'CARNET DE SOUDURE'!$P$7:$P$3006,"&lt;&gt;")&gt;0,"⚠ DIFFÉRENTE","OK"))</f>
        <v>OK</v>
      </c>
      <c r="F494" s="147" t="n">
        <v>11.94</v>
      </c>
      <c r="G494" s="80"/>
      <c r="H494" s="83"/>
      <c r="I494" s="148" t="str">
        <f aca="false">IF(B494="","",IFERROR(INDEX('CARNET DE SOUDURE'!$B$7:$B$3006,MATCH(B494,'CARNET DE SOUDURE'!$L$7:$L$3006,0)),IFERROR(INDEX('CARNET DE SOUDURE'!$B$7:$B$3006,MATCH(B494,'CARNET DE SOUDURE'!$O$7:$O$3006,0)),"")))</f>
        <v>MFD-ISW → MFD-CPF</v>
      </c>
      <c r="J494" s="82" t="str">
        <f aca="false">IF(B494="","",IFERROR(INDEX('CARNET DE SOUDURE'!$E$7:$E$3006,MATCH(B494,'CARNET DE SOUDURE'!$O$7:$O$3006,0)),""))</f>
        <v>JN°1121</v>
      </c>
      <c r="K494" s="82" t="str">
        <f aca="false">IF(B494="","",IFERROR(INDEX('CARNET DE SOUDURE'!$E$7:$E$3006,MATCH(B494,'CARNET DE SOUDURE'!$L$7:$L$3006,0)),""))</f>
        <v>DJ°287</v>
      </c>
      <c r="L494" s="82" t="n">
        <f aca="false">IF(B494="","",IFERROR(INDEX('CARNET DE SOUDURE'!$D$7:$D$3006,MATCH(B494,'CARNET DE SOUDURE'!$L$7:$L$3006,0)),IFERROR(INDEX('CARNET DE SOUDURE'!$D$7:$D$3006,MATCH(B494,'CARNET DE SOUDURE'!$O$7:$O$3006,0)),"")))</f>
        <v>11</v>
      </c>
      <c r="M494" s="82" t="str">
        <f aca="false">IF(B494="","",IF(OR(J494&lt;&gt;"",K494&lt;&gt;""),"POSÉ EN LIGNE",IF(COUNTIF(BARDAGE!$C$1:$C$5000,B494)&gt;0,"BARDÉ","EN STOCK")))</f>
        <v>POSÉ EN LIGNE</v>
      </c>
      <c r="N494" s="80"/>
    </row>
    <row r="495" customFormat="false" ht="15" hidden="false" customHeight="false" outlineLevel="0" collapsed="false">
      <c r="A495" s="82" t="n">
        <f aca="false">IF(B495="","",ROW()-6)</f>
        <v>489</v>
      </c>
      <c r="B495" s="145" t="n">
        <v>2096220</v>
      </c>
      <c r="C495" s="146" t="n">
        <v>15421111</v>
      </c>
      <c r="D495" s="146"/>
      <c r="E495" s="82" t="str">
        <f aca="false">IF(B495="","",IF(COUNTIFS('CARNET DE SOUDURE'!$L$7:$L$3006,B495,'CARNET DE SOUDURE'!$M$7:$M$3006,"&lt;&gt;"&amp;C495,'CARNET DE SOUDURE'!$M$7:$M$3006,"&lt;&gt;")+COUNTIFS('CARNET DE SOUDURE'!$O$7:$O$3006,B495,'CARNET DE SOUDURE'!$P$7:$P$3006,"&lt;&gt;"&amp;C495,'CARNET DE SOUDURE'!$P$7:$P$3006,"&lt;&gt;")&gt;0,"⚠ DIFFÉRENTE","OK"))</f>
        <v>OK</v>
      </c>
      <c r="F495" s="147" t="n">
        <v>11.94</v>
      </c>
      <c r="G495" s="80"/>
      <c r="H495" s="83"/>
      <c r="I495" s="148" t="str">
        <f aca="false">IF(B495="","",IFERROR(INDEX('CARNET DE SOUDURE'!$B$7:$B$3006,MATCH(B495,'CARNET DE SOUDURE'!$L$7:$L$3006,0)),IFERROR(INDEX('CARNET DE SOUDURE'!$B$7:$B$3006,MATCH(B495,'CARNET DE SOUDURE'!$O$7:$O$3006,0)),"")))</f>
        <v>MFD-ISW → MFD-CPF</v>
      </c>
      <c r="J495" s="82" t="str">
        <f aca="false">IF(B495="","",IFERROR(INDEX('CARNET DE SOUDURE'!$E$7:$E$3006,MATCH(B495,'CARNET DE SOUDURE'!$O$7:$O$3006,0)),""))</f>
        <v>DJ°287</v>
      </c>
      <c r="K495" s="82" t="str">
        <f aca="false">IF(B495="","",IFERROR(INDEX('CARNET DE SOUDURE'!$E$7:$E$3006,MATCH(B495,'CARNET DE SOUDURE'!$L$7:$L$3006,0)),""))</f>
        <v>JN°1122</v>
      </c>
      <c r="L495" s="82" t="n">
        <f aca="false">IF(B495="","",IFERROR(INDEX('CARNET DE SOUDURE'!$D$7:$D$3006,MATCH(B495,'CARNET DE SOUDURE'!$L$7:$L$3006,0)),IFERROR(INDEX('CARNET DE SOUDURE'!$D$7:$D$3006,MATCH(B495,'CARNET DE SOUDURE'!$O$7:$O$3006,0)),"")))</f>
        <v>11</v>
      </c>
      <c r="M495" s="82" t="str">
        <f aca="false">IF(B495="","",IF(OR(J495&lt;&gt;"",K495&lt;&gt;""),"POSÉ EN LIGNE",IF(COUNTIF(BARDAGE!$C$1:$C$5000,B495)&gt;0,"BARDÉ","EN STOCK")))</f>
        <v>POSÉ EN LIGNE</v>
      </c>
      <c r="N495" s="80"/>
    </row>
    <row r="496" customFormat="false" ht="15" hidden="false" customHeight="false" outlineLevel="0" collapsed="false">
      <c r="A496" s="82" t="n">
        <f aca="false">IF(B496="","",ROW()-6)</f>
        <v>490</v>
      </c>
      <c r="B496" s="145" t="n">
        <v>2093410</v>
      </c>
      <c r="C496" s="146" t="n">
        <v>1542110</v>
      </c>
      <c r="D496" s="146"/>
      <c r="E496" s="82" t="str">
        <f aca="false">IF(B496="","",IF(COUNTIFS('CARNET DE SOUDURE'!$L$7:$L$3006,B496,'CARNET DE SOUDURE'!$M$7:$M$3006,"&lt;&gt;"&amp;C496,'CARNET DE SOUDURE'!$M$7:$M$3006,"&lt;&gt;")+COUNTIFS('CARNET DE SOUDURE'!$O$7:$O$3006,B496,'CARNET DE SOUDURE'!$P$7:$P$3006,"&lt;&gt;"&amp;C496,'CARNET DE SOUDURE'!$P$7:$P$3006,"&lt;&gt;")&gt;0,"⚠ DIFFÉRENTE","OK"))</f>
        <v>OK</v>
      </c>
      <c r="F496" s="147" t="n">
        <v>11.94</v>
      </c>
      <c r="G496" s="80"/>
      <c r="H496" s="83"/>
      <c r="I496" s="148" t="str">
        <f aca="false">IF(B496="","",IFERROR(INDEX('CARNET DE SOUDURE'!$B$7:$B$3006,MATCH(B496,'CARNET DE SOUDURE'!$L$7:$L$3006,0)),IFERROR(INDEX('CARNET DE SOUDURE'!$B$7:$B$3006,MATCH(B496,'CARNET DE SOUDURE'!$O$7:$O$3006,0)),"")))</f>
        <v>MFD-ISW → MFD-CPF</v>
      </c>
      <c r="J496" s="82" t="str">
        <f aca="false">IF(B496="","",IFERROR(INDEX('CARNET DE SOUDURE'!$E$7:$E$3006,MATCH(B496,'CARNET DE SOUDURE'!$O$7:$O$3006,0)),""))</f>
        <v>JN°1122</v>
      </c>
      <c r="K496" s="82" t="str">
        <f aca="false">IF(B496="","",IFERROR(INDEX('CARNET DE SOUDURE'!$E$7:$E$3006,MATCH(B496,'CARNET DE SOUDURE'!$L$7:$L$3006,0)),""))</f>
        <v>DJ°279</v>
      </c>
      <c r="L496" s="82" t="n">
        <f aca="false">IF(B496="","",IFERROR(INDEX('CARNET DE SOUDURE'!$D$7:$D$3006,MATCH(B496,'CARNET DE SOUDURE'!$L$7:$L$3006,0)),IFERROR(INDEX('CARNET DE SOUDURE'!$D$7:$D$3006,MATCH(B496,'CARNET DE SOUDURE'!$O$7:$O$3006,0)),"")))</f>
        <v>11</v>
      </c>
      <c r="M496" s="82" t="str">
        <f aca="false">IF(B496="","",IF(OR(J496&lt;&gt;"",K496&lt;&gt;""),"POSÉ EN LIGNE",IF(COUNTIF(BARDAGE!$C$1:$C$5000,B496)&gt;0,"BARDÉ","EN STOCK")))</f>
        <v>POSÉ EN LIGNE</v>
      </c>
      <c r="N496" s="80"/>
    </row>
    <row r="497" customFormat="false" ht="15" hidden="false" customHeight="false" outlineLevel="0" collapsed="false">
      <c r="A497" s="82" t="n">
        <f aca="false">IF(B497="","",ROW()-6)</f>
        <v>491</v>
      </c>
      <c r="B497" s="145" t="n">
        <v>2081400</v>
      </c>
      <c r="C497" s="146" t="n">
        <v>15421103</v>
      </c>
      <c r="D497" s="146"/>
      <c r="E497" s="82" t="str">
        <f aca="false">IF(B497="","",IF(COUNTIFS('CARNET DE SOUDURE'!$L$7:$L$3006,B497,'CARNET DE SOUDURE'!$M$7:$M$3006,"&lt;&gt;"&amp;C497,'CARNET DE SOUDURE'!$M$7:$M$3006,"&lt;&gt;")+COUNTIFS('CARNET DE SOUDURE'!$O$7:$O$3006,B497,'CARNET DE SOUDURE'!$P$7:$P$3006,"&lt;&gt;"&amp;C497,'CARNET DE SOUDURE'!$P$7:$P$3006,"&lt;&gt;")&gt;0,"⚠ DIFFÉRENTE","OK"))</f>
        <v>OK</v>
      </c>
      <c r="F497" s="147" t="n">
        <v>11.94</v>
      </c>
      <c r="G497" s="80"/>
      <c r="H497" s="83"/>
      <c r="I497" s="148" t="str">
        <f aca="false">IF(B497="","",IFERROR(INDEX('CARNET DE SOUDURE'!$B$7:$B$3006,MATCH(B497,'CARNET DE SOUDURE'!$L$7:$L$3006,0)),IFERROR(INDEX('CARNET DE SOUDURE'!$B$7:$B$3006,MATCH(B497,'CARNET DE SOUDURE'!$O$7:$O$3006,0)),"")))</f>
        <v>MFD-ISW → MFD-CPF</v>
      </c>
      <c r="J497" s="82" t="str">
        <f aca="false">IF(B497="","",IFERROR(INDEX('CARNET DE SOUDURE'!$E$7:$E$3006,MATCH(B497,'CARNET DE SOUDURE'!$O$7:$O$3006,0)),""))</f>
        <v>DJ°279</v>
      </c>
      <c r="K497" s="82" t="str">
        <f aca="false">IF(B497="","",IFERROR(INDEX('CARNET DE SOUDURE'!$E$7:$E$3006,MATCH(B497,'CARNET DE SOUDURE'!$L$7:$L$3006,0)),""))</f>
        <v>JN°1123</v>
      </c>
      <c r="L497" s="82" t="n">
        <f aca="false">IF(B497="","",IFERROR(INDEX('CARNET DE SOUDURE'!$D$7:$D$3006,MATCH(B497,'CARNET DE SOUDURE'!$L$7:$L$3006,0)),IFERROR(INDEX('CARNET DE SOUDURE'!$D$7:$D$3006,MATCH(B497,'CARNET DE SOUDURE'!$O$7:$O$3006,0)),"")))</f>
        <v>11</v>
      </c>
      <c r="M497" s="82" t="str">
        <f aca="false">IF(B497="","",IF(OR(J497&lt;&gt;"",K497&lt;&gt;""),"POSÉ EN LIGNE",IF(COUNTIF(BARDAGE!$C$1:$C$5000,B497)&gt;0,"BARDÉ","EN STOCK")))</f>
        <v>POSÉ EN LIGNE</v>
      </c>
      <c r="N497" s="80"/>
    </row>
    <row r="498" customFormat="false" ht="15" hidden="false" customHeight="false" outlineLevel="0" collapsed="false">
      <c r="A498" s="82" t="n">
        <f aca="false">IF(B498="","",ROW()-6)</f>
        <v>492</v>
      </c>
      <c r="B498" s="145" t="n">
        <v>2081910</v>
      </c>
      <c r="C498" s="146" t="n">
        <v>15421104</v>
      </c>
      <c r="D498" s="146"/>
      <c r="E498" s="82" t="str">
        <f aca="false">IF(B498="","",IF(COUNTIFS('CARNET DE SOUDURE'!$L$7:$L$3006,B498,'CARNET DE SOUDURE'!$M$7:$M$3006,"&lt;&gt;"&amp;C498,'CARNET DE SOUDURE'!$M$7:$M$3006,"&lt;&gt;")+COUNTIFS('CARNET DE SOUDURE'!$O$7:$O$3006,B498,'CARNET DE SOUDURE'!$P$7:$P$3006,"&lt;&gt;"&amp;C498,'CARNET DE SOUDURE'!$P$7:$P$3006,"&lt;&gt;")&gt;0,"⚠ DIFFÉRENTE","OK"))</f>
        <v>OK</v>
      </c>
      <c r="F498" s="147" t="n">
        <v>11.94</v>
      </c>
      <c r="G498" s="80"/>
      <c r="H498" s="83"/>
      <c r="I498" s="148" t="str">
        <f aca="false">IF(B498="","",IFERROR(INDEX('CARNET DE SOUDURE'!$B$7:$B$3006,MATCH(B498,'CARNET DE SOUDURE'!$L$7:$L$3006,0)),IFERROR(INDEX('CARNET DE SOUDURE'!$B$7:$B$3006,MATCH(B498,'CARNET DE SOUDURE'!$O$7:$O$3006,0)),"")))</f>
        <v>MFD-ISW → MFD-CPF</v>
      </c>
      <c r="J498" s="82" t="str">
        <f aca="false">IF(B498="","",IFERROR(INDEX('CARNET DE SOUDURE'!$E$7:$E$3006,MATCH(B498,'CARNET DE SOUDURE'!$O$7:$O$3006,0)),""))</f>
        <v>JN°1123</v>
      </c>
      <c r="K498" s="82" t="str">
        <f aca="false">IF(B498="","",IFERROR(INDEX('CARNET DE SOUDURE'!$E$7:$E$3006,MATCH(B498,'CARNET DE SOUDURE'!$L$7:$L$3006,0)),""))</f>
        <v>DJ°306</v>
      </c>
      <c r="L498" s="82" t="n">
        <f aca="false">IF(B498="","",IFERROR(INDEX('CARNET DE SOUDURE'!$D$7:$D$3006,MATCH(B498,'CARNET DE SOUDURE'!$L$7:$L$3006,0)),IFERROR(INDEX('CARNET DE SOUDURE'!$D$7:$D$3006,MATCH(B498,'CARNET DE SOUDURE'!$O$7:$O$3006,0)),"")))</f>
        <v>11</v>
      </c>
      <c r="M498" s="82" t="str">
        <f aca="false">IF(B498="","",IF(OR(J498&lt;&gt;"",K498&lt;&gt;""),"POSÉ EN LIGNE",IF(COUNTIF(BARDAGE!$C$1:$C$5000,B498)&gt;0,"BARDÉ","EN STOCK")))</f>
        <v>POSÉ EN LIGNE</v>
      </c>
      <c r="N498" s="80"/>
    </row>
    <row r="499" customFormat="false" ht="15" hidden="false" customHeight="false" outlineLevel="0" collapsed="false">
      <c r="A499" s="82" t="n">
        <f aca="false">IF(B499="","",ROW()-6)</f>
        <v>493</v>
      </c>
      <c r="B499" s="145" t="n">
        <v>2088010</v>
      </c>
      <c r="C499" s="146" t="n">
        <v>15421108</v>
      </c>
      <c r="D499" s="146"/>
      <c r="E499" s="82" t="str">
        <f aca="false">IF(B499="","",IF(COUNTIFS('CARNET DE SOUDURE'!$L$7:$L$3006,B499,'CARNET DE SOUDURE'!$M$7:$M$3006,"&lt;&gt;"&amp;C499,'CARNET DE SOUDURE'!$M$7:$M$3006,"&lt;&gt;")+COUNTIFS('CARNET DE SOUDURE'!$O$7:$O$3006,B499,'CARNET DE SOUDURE'!$P$7:$P$3006,"&lt;&gt;"&amp;C499,'CARNET DE SOUDURE'!$P$7:$P$3006,"&lt;&gt;")&gt;0,"⚠ DIFFÉRENTE","OK"))</f>
        <v>OK</v>
      </c>
      <c r="F499" s="147" t="n">
        <v>11.94</v>
      </c>
      <c r="G499" s="80"/>
      <c r="H499" s="83"/>
      <c r="I499" s="148" t="str">
        <f aca="false">IF(B499="","",IFERROR(INDEX('CARNET DE SOUDURE'!$B$7:$B$3006,MATCH(B499,'CARNET DE SOUDURE'!$L$7:$L$3006,0)),IFERROR(INDEX('CARNET DE SOUDURE'!$B$7:$B$3006,MATCH(B499,'CARNET DE SOUDURE'!$O$7:$O$3006,0)),"")))</f>
        <v>MFD-ISW → MFD-CPF</v>
      </c>
      <c r="J499" s="82" t="str">
        <f aca="false">IF(B499="","",IFERROR(INDEX('CARNET DE SOUDURE'!$E$7:$E$3006,MATCH(B499,'CARNET DE SOUDURE'!$O$7:$O$3006,0)),""))</f>
        <v>DJ°306</v>
      </c>
      <c r="K499" s="82" t="str">
        <f aca="false">IF(B499="","",IFERROR(INDEX('CARNET DE SOUDURE'!$E$7:$E$3006,MATCH(B499,'CARNET DE SOUDURE'!$L$7:$L$3006,0)),""))</f>
        <v>JN°1124</v>
      </c>
      <c r="L499" s="82" t="n">
        <f aca="false">IF(B499="","",IFERROR(INDEX('CARNET DE SOUDURE'!$D$7:$D$3006,MATCH(B499,'CARNET DE SOUDURE'!$L$7:$L$3006,0)),IFERROR(INDEX('CARNET DE SOUDURE'!$D$7:$D$3006,MATCH(B499,'CARNET DE SOUDURE'!$O$7:$O$3006,0)),"")))</f>
        <v>11</v>
      </c>
      <c r="M499" s="82" t="str">
        <f aca="false">IF(B499="","",IF(OR(J499&lt;&gt;"",K499&lt;&gt;""),"POSÉ EN LIGNE",IF(COUNTIF(BARDAGE!$C$1:$C$5000,B499)&gt;0,"BARDÉ","EN STOCK")))</f>
        <v>POSÉ EN LIGNE</v>
      </c>
      <c r="N499" s="80"/>
    </row>
    <row r="500" customFormat="false" ht="15" hidden="false" customHeight="false" outlineLevel="0" collapsed="false">
      <c r="A500" s="82" t="n">
        <f aca="false">IF(B500="","",ROW()-6)</f>
        <v>494</v>
      </c>
      <c r="B500" s="145" t="n">
        <v>2087820</v>
      </c>
      <c r="C500" s="146" t="n">
        <v>15421108</v>
      </c>
      <c r="D500" s="146"/>
      <c r="E500" s="82" t="str">
        <f aca="false">IF(B500="","",IF(COUNTIFS('CARNET DE SOUDURE'!$L$7:$L$3006,B500,'CARNET DE SOUDURE'!$M$7:$M$3006,"&lt;&gt;"&amp;C500,'CARNET DE SOUDURE'!$M$7:$M$3006,"&lt;&gt;")+COUNTIFS('CARNET DE SOUDURE'!$O$7:$O$3006,B500,'CARNET DE SOUDURE'!$P$7:$P$3006,"&lt;&gt;"&amp;C500,'CARNET DE SOUDURE'!$P$7:$P$3006,"&lt;&gt;")&gt;0,"⚠ DIFFÉRENTE","OK"))</f>
        <v>OK</v>
      </c>
      <c r="F500" s="147" t="n">
        <v>11.94</v>
      </c>
      <c r="G500" s="80"/>
      <c r="H500" s="83"/>
      <c r="I500" s="148" t="str">
        <f aca="false">IF(B500="","",IFERROR(INDEX('CARNET DE SOUDURE'!$B$7:$B$3006,MATCH(B500,'CARNET DE SOUDURE'!$L$7:$L$3006,0)),IFERROR(INDEX('CARNET DE SOUDURE'!$B$7:$B$3006,MATCH(B500,'CARNET DE SOUDURE'!$O$7:$O$3006,0)),"")))</f>
        <v>MFD-ISW → MFD-CPF</v>
      </c>
      <c r="J500" s="82" t="str">
        <f aca="false">IF(B500="","",IFERROR(INDEX('CARNET DE SOUDURE'!$E$7:$E$3006,MATCH(B500,'CARNET DE SOUDURE'!$O$7:$O$3006,0)),""))</f>
        <v>JN°1124</v>
      </c>
      <c r="K500" s="82" t="str">
        <f aca="false">IF(B500="","",IFERROR(INDEX('CARNET DE SOUDURE'!$E$7:$E$3006,MATCH(B500,'CARNET DE SOUDURE'!$L$7:$L$3006,0)),""))</f>
        <v>DJ°294</v>
      </c>
      <c r="L500" s="82" t="n">
        <f aca="false">IF(B500="","",IFERROR(INDEX('CARNET DE SOUDURE'!$D$7:$D$3006,MATCH(B500,'CARNET DE SOUDURE'!$L$7:$L$3006,0)),IFERROR(INDEX('CARNET DE SOUDURE'!$D$7:$D$3006,MATCH(B500,'CARNET DE SOUDURE'!$O$7:$O$3006,0)),"")))</f>
        <v>11</v>
      </c>
      <c r="M500" s="82" t="str">
        <f aca="false">IF(B500="","",IF(OR(J500&lt;&gt;"",K500&lt;&gt;""),"POSÉ EN LIGNE",IF(COUNTIF(BARDAGE!$C$1:$C$5000,B500)&gt;0,"BARDÉ","EN STOCK")))</f>
        <v>POSÉ EN LIGNE</v>
      </c>
      <c r="N500" s="80"/>
    </row>
    <row r="501" customFormat="false" ht="15" hidden="false" customHeight="false" outlineLevel="0" collapsed="false">
      <c r="A501" s="82" t="n">
        <f aca="false">IF(B501="","",ROW()-6)</f>
        <v>495</v>
      </c>
      <c r="B501" s="145" t="n">
        <v>2088000</v>
      </c>
      <c r="C501" s="146" t="n">
        <v>15421108</v>
      </c>
      <c r="D501" s="146"/>
      <c r="E501" s="82" t="str">
        <f aca="false">IF(B501="","",IF(COUNTIFS('CARNET DE SOUDURE'!$L$7:$L$3006,B501,'CARNET DE SOUDURE'!$M$7:$M$3006,"&lt;&gt;"&amp;C501,'CARNET DE SOUDURE'!$M$7:$M$3006,"&lt;&gt;")+COUNTIFS('CARNET DE SOUDURE'!$O$7:$O$3006,B501,'CARNET DE SOUDURE'!$P$7:$P$3006,"&lt;&gt;"&amp;C501,'CARNET DE SOUDURE'!$P$7:$P$3006,"&lt;&gt;")&gt;0,"⚠ DIFFÉRENTE","OK"))</f>
        <v>OK</v>
      </c>
      <c r="F501" s="147" t="n">
        <v>11.94</v>
      </c>
      <c r="G501" s="80"/>
      <c r="H501" s="83"/>
      <c r="I501" s="148" t="str">
        <f aca="false">IF(B501="","",IFERROR(INDEX('CARNET DE SOUDURE'!$B$7:$B$3006,MATCH(B501,'CARNET DE SOUDURE'!$L$7:$L$3006,0)),IFERROR(INDEX('CARNET DE SOUDURE'!$B$7:$B$3006,MATCH(B501,'CARNET DE SOUDURE'!$O$7:$O$3006,0)),"")))</f>
        <v>MFD-ISW → MFD-CPF</v>
      </c>
      <c r="J501" s="82" t="str">
        <f aca="false">IF(B501="","",IFERROR(INDEX('CARNET DE SOUDURE'!$E$7:$E$3006,MATCH(B501,'CARNET DE SOUDURE'!$O$7:$O$3006,0)),""))</f>
        <v>DJ°294</v>
      </c>
      <c r="K501" s="82" t="str">
        <f aca="false">IF(B501="","",IFERROR(INDEX('CARNET DE SOUDURE'!$E$7:$E$3006,MATCH(B501,'CARNET DE SOUDURE'!$L$7:$L$3006,0)),""))</f>
        <v/>
      </c>
      <c r="L501" s="82" t="n">
        <f aca="false">IF(B501="","",IFERROR(INDEX('CARNET DE SOUDURE'!$D$7:$D$3006,MATCH(B501,'CARNET DE SOUDURE'!$L$7:$L$3006,0)),IFERROR(INDEX('CARNET DE SOUDURE'!$D$7:$D$3006,MATCH(B501,'CARNET DE SOUDURE'!$O$7:$O$3006,0)),"")))</f>
        <v>11</v>
      </c>
      <c r="M501" s="82" t="str">
        <f aca="false">IF(B501="","",IF(OR(J501&lt;&gt;"",K501&lt;&gt;""),"POSÉ EN LIGNE",IF(COUNTIF(BARDAGE!$C$1:$C$5000,B501)&gt;0,"BARDÉ","EN STOCK")))</f>
        <v>POSÉ EN LIGNE</v>
      </c>
      <c r="N501" s="80"/>
    </row>
    <row r="502" customFormat="false" ht="15" hidden="false" customHeight="false" outlineLevel="0" collapsed="false">
      <c r="A502" s="82" t="n">
        <f aca="false">IF(B502="","",ROW()-6)</f>
        <v>496</v>
      </c>
      <c r="B502" s="145" t="n">
        <v>2081410</v>
      </c>
      <c r="C502" s="146" t="n">
        <v>15421103</v>
      </c>
      <c r="D502" s="146"/>
      <c r="E502" s="82" t="str">
        <f aca="false">IF(B502="","",IF(COUNTIFS('CARNET DE SOUDURE'!$L$7:$L$3006,B502,'CARNET DE SOUDURE'!$M$7:$M$3006,"&lt;&gt;"&amp;C502,'CARNET DE SOUDURE'!$M$7:$M$3006,"&lt;&gt;")+COUNTIFS('CARNET DE SOUDURE'!$O$7:$O$3006,B502,'CARNET DE SOUDURE'!$P$7:$P$3006,"&lt;&gt;"&amp;C502,'CARNET DE SOUDURE'!$P$7:$P$3006,"&lt;&gt;")&gt;0,"⚠ DIFFÉRENTE","OK"))</f>
        <v>OK</v>
      </c>
      <c r="F502" s="147" t="n">
        <v>11.94</v>
      </c>
      <c r="G502" s="80"/>
      <c r="H502" s="83"/>
      <c r="I502" s="148" t="str">
        <f aca="false">IF(B502="","",IFERROR(INDEX('CARNET DE SOUDURE'!$B$7:$B$3006,MATCH(B502,'CARNET DE SOUDURE'!$L$7:$L$3006,0)),IFERROR(INDEX('CARNET DE SOUDURE'!$B$7:$B$3006,MATCH(B502,'CARNET DE SOUDURE'!$O$7:$O$3006,0)),"")))</f>
        <v>MFD-ISW → MFD-CPF</v>
      </c>
      <c r="J502" s="82" t="str">
        <f aca="false">IF(B502="","",IFERROR(INDEX('CARNET DE SOUDURE'!$E$7:$E$3006,MATCH(B502,'CARNET DE SOUDURE'!$O$7:$O$3006,0)),""))</f>
        <v>JN°1137</v>
      </c>
      <c r="K502" s="82" t="str">
        <f aca="false">IF(B502="","",IFERROR(INDEX('CARNET DE SOUDURE'!$E$7:$E$3006,MATCH(B502,'CARNET DE SOUDURE'!$L$7:$L$3006,0)),""))</f>
        <v>DJ°301</v>
      </c>
      <c r="L502" s="82" t="n">
        <f aca="false">IF(B502="","",IFERROR(INDEX('CARNET DE SOUDURE'!$D$7:$D$3006,MATCH(B502,'CARNET DE SOUDURE'!$L$7:$L$3006,0)),IFERROR(INDEX('CARNET DE SOUDURE'!$D$7:$D$3006,MATCH(B502,'CARNET DE SOUDURE'!$O$7:$O$3006,0)),"")))</f>
        <v>11</v>
      </c>
      <c r="M502" s="82" t="str">
        <f aca="false">IF(B502="","",IF(OR(J502&lt;&gt;"",K502&lt;&gt;""),"POSÉ EN LIGNE",IF(COUNTIF(BARDAGE!$C$1:$C$5000,B502)&gt;0,"BARDÉ","EN STOCK")))</f>
        <v>POSÉ EN LIGNE</v>
      </c>
      <c r="N502" s="80"/>
    </row>
    <row r="503" customFormat="false" ht="15" hidden="false" customHeight="false" outlineLevel="0" collapsed="false">
      <c r="A503" s="82" t="n">
        <f aca="false">IF(B503="","",ROW()-6)</f>
        <v>497</v>
      </c>
      <c r="B503" s="145" t="n">
        <v>2079140</v>
      </c>
      <c r="C503" s="146" t="n">
        <v>15421102</v>
      </c>
      <c r="D503" s="146"/>
      <c r="E503" s="82" t="str">
        <f aca="false">IF(B503="","",IF(COUNTIFS('CARNET DE SOUDURE'!$L$7:$L$3006,B503,'CARNET DE SOUDURE'!$M$7:$M$3006,"&lt;&gt;"&amp;C503,'CARNET DE SOUDURE'!$M$7:$M$3006,"&lt;&gt;")+COUNTIFS('CARNET DE SOUDURE'!$O$7:$O$3006,B503,'CARNET DE SOUDURE'!$P$7:$P$3006,"&lt;&gt;"&amp;C503,'CARNET DE SOUDURE'!$P$7:$P$3006,"&lt;&gt;")&gt;0,"⚠ DIFFÉRENTE","OK"))</f>
        <v>OK</v>
      </c>
      <c r="F503" s="147" t="n">
        <v>11.94</v>
      </c>
      <c r="G503" s="80"/>
      <c r="H503" s="83"/>
      <c r="I503" s="148" t="str">
        <f aca="false">IF(B503="","",IFERROR(INDEX('CARNET DE SOUDURE'!$B$7:$B$3006,MATCH(B503,'CARNET DE SOUDURE'!$L$7:$L$3006,0)),IFERROR(INDEX('CARNET DE SOUDURE'!$B$7:$B$3006,MATCH(B503,'CARNET DE SOUDURE'!$O$7:$O$3006,0)),"")))</f>
        <v>MFD-ISW → MFD-CPF</v>
      </c>
      <c r="J503" s="82" t="str">
        <f aca="false">IF(B503="","",IFERROR(INDEX('CARNET DE SOUDURE'!$E$7:$E$3006,MATCH(B503,'CARNET DE SOUDURE'!$O$7:$O$3006,0)),""))</f>
        <v>DJ°301</v>
      </c>
      <c r="K503" s="82" t="str">
        <f aca="false">IF(B503="","",IFERROR(INDEX('CARNET DE SOUDURE'!$E$7:$E$3006,MATCH(B503,'CARNET DE SOUDURE'!$L$7:$L$3006,0)),""))</f>
        <v>JN°1138</v>
      </c>
      <c r="L503" s="82" t="n">
        <f aca="false">IF(B503="","",IFERROR(INDEX('CARNET DE SOUDURE'!$D$7:$D$3006,MATCH(B503,'CARNET DE SOUDURE'!$L$7:$L$3006,0)),IFERROR(INDEX('CARNET DE SOUDURE'!$D$7:$D$3006,MATCH(B503,'CARNET DE SOUDURE'!$O$7:$O$3006,0)),"")))</f>
        <v>11</v>
      </c>
      <c r="M503" s="82" t="str">
        <f aca="false">IF(B503="","",IF(OR(J503&lt;&gt;"",K503&lt;&gt;""),"POSÉ EN LIGNE",IF(COUNTIF(BARDAGE!$C$1:$C$5000,B503)&gt;0,"BARDÉ","EN STOCK")))</f>
        <v>POSÉ EN LIGNE</v>
      </c>
      <c r="N503" s="80"/>
    </row>
    <row r="504" customFormat="false" ht="15" hidden="false" customHeight="false" outlineLevel="0" collapsed="false">
      <c r="A504" s="82" t="n">
        <f aca="false">IF(B504="","",ROW()-6)</f>
        <v>498</v>
      </c>
      <c r="B504" s="145" t="n">
        <v>2096540</v>
      </c>
      <c r="C504" s="146" t="n">
        <v>15421111</v>
      </c>
      <c r="D504" s="146"/>
      <c r="E504" s="82" t="str">
        <f aca="false">IF(B504="","",IF(COUNTIFS('CARNET DE SOUDURE'!$L$7:$L$3006,B504,'CARNET DE SOUDURE'!$M$7:$M$3006,"&lt;&gt;"&amp;C504,'CARNET DE SOUDURE'!$M$7:$M$3006,"&lt;&gt;")+COUNTIFS('CARNET DE SOUDURE'!$O$7:$O$3006,B504,'CARNET DE SOUDURE'!$P$7:$P$3006,"&lt;&gt;"&amp;C504,'CARNET DE SOUDURE'!$P$7:$P$3006,"&lt;&gt;")&gt;0,"⚠ DIFFÉRENTE","OK"))</f>
        <v>OK</v>
      </c>
      <c r="F504" s="147" t="n">
        <v>11.94</v>
      </c>
      <c r="G504" s="80"/>
      <c r="H504" s="83"/>
      <c r="I504" s="148" t="str">
        <f aca="false">IF(B504="","",IFERROR(INDEX('CARNET DE SOUDURE'!$B$7:$B$3006,MATCH(B504,'CARNET DE SOUDURE'!$L$7:$L$3006,0)),IFERROR(INDEX('CARNET DE SOUDURE'!$B$7:$B$3006,MATCH(B504,'CARNET DE SOUDURE'!$O$7:$O$3006,0)),"")))</f>
        <v>MFD-ISW → MFD-CPF</v>
      </c>
      <c r="J504" s="82" t="str">
        <f aca="false">IF(B504="","",IFERROR(INDEX('CARNET DE SOUDURE'!$E$7:$E$3006,MATCH(B504,'CARNET DE SOUDURE'!$O$7:$O$3006,0)),""))</f>
        <v>JN°1138</v>
      </c>
      <c r="K504" s="82" t="str">
        <f aca="false">IF(B504="","",IFERROR(INDEX('CARNET DE SOUDURE'!$E$7:$E$3006,MATCH(B504,'CARNET DE SOUDURE'!$L$7:$L$3006,0)),""))</f>
        <v>DJ°292</v>
      </c>
      <c r="L504" s="82" t="n">
        <f aca="false">IF(B504="","",IFERROR(INDEX('CARNET DE SOUDURE'!$D$7:$D$3006,MATCH(B504,'CARNET DE SOUDURE'!$L$7:$L$3006,0)),IFERROR(INDEX('CARNET DE SOUDURE'!$D$7:$D$3006,MATCH(B504,'CARNET DE SOUDURE'!$O$7:$O$3006,0)),"")))</f>
        <v>11</v>
      </c>
      <c r="M504" s="82" t="str">
        <f aca="false">IF(B504="","",IF(OR(J504&lt;&gt;"",K504&lt;&gt;""),"POSÉ EN LIGNE",IF(COUNTIF(BARDAGE!$C$1:$C$5000,B504)&gt;0,"BARDÉ","EN STOCK")))</f>
        <v>POSÉ EN LIGNE</v>
      </c>
      <c r="N504" s="80"/>
    </row>
    <row r="505" customFormat="false" ht="15" hidden="false" customHeight="false" outlineLevel="0" collapsed="false">
      <c r="A505" s="82" t="n">
        <f aca="false">IF(B505="","",ROW()-6)</f>
        <v>499</v>
      </c>
      <c r="B505" s="145" t="n">
        <v>2095650</v>
      </c>
      <c r="C505" s="146" t="n">
        <v>15421111</v>
      </c>
      <c r="D505" s="146"/>
      <c r="E505" s="82" t="str">
        <f aca="false">IF(B505="","",IF(COUNTIFS('CARNET DE SOUDURE'!$L$7:$L$3006,B505,'CARNET DE SOUDURE'!$M$7:$M$3006,"&lt;&gt;"&amp;C505,'CARNET DE SOUDURE'!$M$7:$M$3006,"&lt;&gt;")+COUNTIFS('CARNET DE SOUDURE'!$O$7:$O$3006,B505,'CARNET DE SOUDURE'!$P$7:$P$3006,"&lt;&gt;"&amp;C505,'CARNET DE SOUDURE'!$P$7:$P$3006,"&lt;&gt;")&gt;0,"⚠ DIFFÉRENTE","OK"))</f>
        <v>OK</v>
      </c>
      <c r="F505" s="147" t="n">
        <v>11.94</v>
      </c>
      <c r="G505" s="80"/>
      <c r="H505" s="83"/>
      <c r="I505" s="148" t="str">
        <f aca="false">IF(B505="","",IFERROR(INDEX('CARNET DE SOUDURE'!$B$7:$B$3006,MATCH(B505,'CARNET DE SOUDURE'!$L$7:$L$3006,0)),IFERROR(INDEX('CARNET DE SOUDURE'!$B$7:$B$3006,MATCH(B505,'CARNET DE SOUDURE'!$O$7:$O$3006,0)),"")))</f>
        <v>MFD-ISW → MFD-CPF</v>
      </c>
      <c r="J505" s="82" t="str">
        <f aca="false">IF(B505="","",IFERROR(INDEX('CARNET DE SOUDURE'!$E$7:$E$3006,MATCH(B505,'CARNET DE SOUDURE'!$O$7:$O$3006,0)),""))</f>
        <v>DJ°292</v>
      </c>
      <c r="K505" s="82" t="str">
        <f aca="false">IF(B505="","",IFERROR(INDEX('CARNET DE SOUDURE'!$E$7:$E$3006,MATCH(B505,'CARNET DE SOUDURE'!$L$7:$L$3006,0)),""))</f>
        <v>JN°1139</v>
      </c>
      <c r="L505" s="82" t="n">
        <f aca="false">IF(B505="","",IFERROR(INDEX('CARNET DE SOUDURE'!$D$7:$D$3006,MATCH(B505,'CARNET DE SOUDURE'!$L$7:$L$3006,0)),IFERROR(INDEX('CARNET DE SOUDURE'!$D$7:$D$3006,MATCH(B505,'CARNET DE SOUDURE'!$O$7:$O$3006,0)),"")))</f>
        <v>11</v>
      </c>
      <c r="M505" s="82" t="str">
        <f aca="false">IF(B505="","",IF(OR(J505&lt;&gt;"",K505&lt;&gt;""),"POSÉ EN LIGNE",IF(COUNTIF(BARDAGE!$C$1:$C$5000,B505)&gt;0,"BARDÉ","EN STOCK")))</f>
        <v>POSÉ EN LIGNE</v>
      </c>
      <c r="N505" s="80"/>
    </row>
    <row r="506" customFormat="false" ht="15" hidden="false" customHeight="false" outlineLevel="0" collapsed="false">
      <c r="A506" s="82" t="n">
        <f aca="false">IF(B506="","",ROW()-6)</f>
        <v>500</v>
      </c>
      <c r="B506" s="145" t="n">
        <v>2082820</v>
      </c>
      <c r="C506" s="146" t="n">
        <v>15421104</v>
      </c>
      <c r="D506" s="146"/>
      <c r="E506" s="82" t="str">
        <f aca="false">IF(B506="","",IF(COUNTIFS('CARNET DE SOUDURE'!$L$7:$L$3006,B506,'CARNET DE SOUDURE'!$M$7:$M$3006,"&lt;&gt;"&amp;C506,'CARNET DE SOUDURE'!$M$7:$M$3006,"&lt;&gt;")+COUNTIFS('CARNET DE SOUDURE'!$O$7:$O$3006,B506,'CARNET DE SOUDURE'!$P$7:$P$3006,"&lt;&gt;"&amp;C506,'CARNET DE SOUDURE'!$P$7:$P$3006,"&lt;&gt;")&gt;0,"⚠ DIFFÉRENTE","OK"))</f>
        <v>OK</v>
      </c>
      <c r="F506" s="147" t="n">
        <v>11.94</v>
      </c>
      <c r="G506" s="80"/>
      <c r="H506" s="83"/>
      <c r="I506" s="148" t="str">
        <f aca="false">IF(B506="","",IFERROR(INDEX('CARNET DE SOUDURE'!$B$7:$B$3006,MATCH(B506,'CARNET DE SOUDURE'!$L$7:$L$3006,0)),IFERROR(INDEX('CARNET DE SOUDURE'!$B$7:$B$3006,MATCH(B506,'CARNET DE SOUDURE'!$O$7:$O$3006,0)),"")))</f>
        <v>MFD-ISW → MFD-CPF</v>
      </c>
      <c r="J506" s="82" t="str">
        <f aca="false">IF(B506="","",IFERROR(INDEX('CARNET DE SOUDURE'!$E$7:$E$3006,MATCH(B506,'CARNET DE SOUDURE'!$O$7:$O$3006,0)),""))</f>
        <v>JN°1139</v>
      </c>
      <c r="K506" s="82" t="str">
        <f aca="false">IF(B506="","",IFERROR(INDEX('CARNET DE SOUDURE'!$E$7:$E$3006,MATCH(B506,'CARNET DE SOUDURE'!$L$7:$L$3006,0)),""))</f>
        <v>DJ°286</v>
      </c>
      <c r="L506" s="82" t="n">
        <f aca="false">IF(B506="","",IFERROR(INDEX('CARNET DE SOUDURE'!$D$7:$D$3006,MATCH(B506,'CARNET DE SOUDURE'!$L$7:$L$3006,0)),IFERROR(INDEX('CARNET DE SOUDURE'!$D$7:$D$3006,MATCH(B506,'CARNET DE SOUDURE'!$O$7:$O$3006,0)),"")))</f>
        <v>11</v>
      </c>
      <c r="M506" s="82" t="str">
        <f aca="false">IF(B506="","",IF(OR(J506&lt;&gt;"",K506&lt;&gt;""),"POSÉ EN LIGNE",IF(COUNTIF(BARDAGE!$C$1:$C$5000,B506)&gt;0,"BARDÉ","EN STOCK")))</f>
        <v>POSÉ EN LIGNE</v>
      </c>
      <c r="N506" s="80"/>
    </row>
    <row r="507" customFormat="false" ht="15" hidden="false" customHeight="false" outlineLevel="0" collapsed="false">
      <c r="A507" s="82" t="n">
        <f aca="false">IF(B507="","",ROW()-6)</f>
        <v>501</v>
      </c>
      <c r="B507" s="145" t="n">
        <v>2093060</v>
      </c>
      <c r="C507" s="146" t="n">
        <v>15421110</v>
      </c>
      <c r="D507" s="146"/>
      <c r="E507" s="82" t="str">
        <f aca="false">IF(B507="","",IF(COUNTIFS('CARNET DE SOUDURE'!$L$7:$L$3006,B507,'CARNET DE SOUDURE'!$M$7:$M$3006,"&lt;&gt;"&amp;C507,'CARNET DE SOUDURE'!$M$7:$M$3006,"&lt;&gt;")+COUNTIFS('CARNET DE SOUDURE'!$O$7:$O$3006,B507,'CARNET DE SOUDURE'!$P$7:$P$3006,"&lt;&gt;"&amp;C507,'CARNET DE SOUDURE'!$P$7:$P$3006,"&lt;&gt;")&gt;0,"⚠ DIFFÉRENTE","OK"))</f>
        <v>OK</v>
      </c>
      <c r="F507" s="147" t="n">
        <v>11.94</v>
      </c>
      <c r="G507" s="80"/>
      <c r="H507" s="83"/>
      <c r="I507" s="148" t="str">
        <f aca="false">IF(B507="","",IFERROR(INDEX('CARNET DE SOUDURE'!$B$7:$B$3006,MATCH(B507,'CARNET DE SOUDURE'!$L$7:$L$3006,0)),IFERROR(INDEX('CARNET DE SOUDURE'!$B$7:$B$3006,MATCH(B507,'CARNET DE SOUDURE'!$O$7:$O$3006,0)),"")))</f>
        <v>MFD-ISW → MFD-CPF</v>
      </c>
      <c r="J507" s="82" t="str">
        <f aca="false">IF(B507="","",IFERROR(INDEX('CARNET DE SOUDURE'!$E$7:$E$3006,MATCH(B507,'CARNET DE SOUDURE'!$O$7:$O$3006,0)),""))</f>
        <v>DJ°286</v>
      </c>
      <c r="K507" s="82" t="str">
        <f aca="false">IF(B507="","",IFERROR(INDEX('CARNET DE SOUDURE'!$E$7:$E$3006,MATCH(B507,'CARNET DE SOUDURE'!$L$7:$L$3006,0)),""))</f>
        <v>JN°1140</v>
      </c>
      <c r="L507" s="82" t="n">
        <f aca="false">IF(B507="","",IFERROR(INDEX('CARNET DE SOUDURE'!$D$7:$D$3006,MATCH(B507,'CARNET DE SOUDURE'!$L$7:$L$3006,0)),IFERROR(INDEX('CARNET DE SOUDURE'!$D$7:$D$3006,MATCH(B507,'CARNET DE SOUDURE'!$O$7:$O$3006,0)),"")))</f>
        <v>11</v>
      </c>
      <c r="M507" s="82" t="str">
        <f aca="false">IF(B507="","",IF(OR(J507&lt;&gt;"",K507&lt;&gt;""),"POSÉ EN LIGNE",IF(COUNTIF(BARDAGE!$C$1:$C$5000,B507)&gt;0,"BARDÉ","EN STOCK")))</f>
        <v>POSÉ EN LIGNE</v>
      </c>
      <c r="N507" s="80"/>
    </row>
    <row r="508" customFormat="false" ht="15" hidden="false" customHeight="false" outlineLevel="0" collapsed="false">
      <c r="A508" s="82" t="n">
        <f aca="false">IF(B508="","",ROW()-6)</f>
        <v>502</v>
      </c>
      <c r="B508" s="145" t="n">
        <v>2092730</v>
      </c>
      <c r="C508" s="146" t="n">
        <v>15421110</v>
      </c>
      <c r="D508" s="146"/>
      <c r="E508" s="82" t="str">
        <f aca="false">IF(B508="","",IF(COUNTIFS('CARNET DE SOUDURE'!$L$7:$L$3006,B508,'CARNET DE SOUDURE'!$M$7:$M$3006,"&lt;&gt;"&amp;C508,'CARNET DE SOUDURE'!$M$7:$M$3006,"&lt;&gt;")+COUNTIFS('CARNET DE SOUDURE'!$O$7:$O$3006,B508,'CARNET DE SOUDURE'!$P$7:$P$3006,"&lt;&gt;"&amp;C508,'CARNET DE SOUDURE'!$P$7:$P$3006,"&lt;&gt;")&gt;0,"⚠ DIFFÉRENTE","OK"))</f>
        <v>OK</v>
      </c>
      <c r="F508" s="147" t="n">
        <v>11.94</v>
      </c>
      <c r="G508" s="80"/>
      <c r="H508" s="83"/>
      <c r="I508" s="148" t="str">
        <f aca="false">IF(B508="","",IFERROR(INDEX('CARNET DE SOUDURE'!$B$7:$B$3006,MATCH(B508,'CARNET DE SOUDURE'!$L$7:$L$3006,0)),IFERROR(INDEX('CARNET DE SOUDURE'!$B$7:$B$3006,MATCH(B508,'CARNET DE SOUDURE'!$O$7:$O$3006,0)),"")))</f>
        <v>MFD-ISW → MFD-CPF</v>
      </c>
      <c r="J508" s="82" t="str">
        <f aca="false">IF(B508="","",IFERROR(INDEX('CARNET DE SOUDURE'!$E$7:$E$3006,MATCH(B508,'CARNET DE SOUDURE'!$O$7:$O$3006,0)),""))</f>
        <v>JN°1140</v>
      </c>
      <c r="K508" s="82" t="str">
        <f aca="false">IF(B508="","",IFERROR(INDEX('CARNET DE SOUDURE'!$E$7:$E$3006,MATCH(B508,'CARNET DE SOUDURE'!$L$7:$L$3006,0)),""))</f>
        <v>DJ°280</v>
      </c>
      <c r="L508" s="82" t="n">
        <f aca="false">IF(B508="","",IFERROR(INDEX('CARNET DE SOUDURE'!$D$7:$D$3006,MATCH(B508,'CARNET DE SOUDURE'!$L$7:$L$3006,0)),IFERROR(INDEX('CARNET DE SOUDURE'!$D$7:$D$3006,MATCH(B508,'CARNET DE SOUDURE'!$O$7:$O$3006,0)),"")))</f>
        <v>11</v>
      </c>
      <c r="M508" s="82" t="str">
        <f aca="false">IF(B508="","",IF(OR(J508&lt;&gt;"",K508&lt;&gt;""),"POSÉ EN LIGNE",IF(COUNTIF(BARDAGE!$C$1:$C$5000,B508)&gt;0,"BARDÉ","EN STOCK")))</f>
        <v>POSÉ EN LIGNE</v>
      </c>
      <c r="N508" s="80"/>
    </row>
    <row r="509" customFormat="false" ht="15" hidden="false" customHeight="false" outlineLevel="0" collapsed="false">
      <c r="A509" s="82" t="n">
        <f aca="false">IF(B509="","",ROW()-6)</f>
        <v>503</v>
      </c>
      <c r="B509" s="145" t="n">
        <v>2079520</v>
      </c>
      <c r="C509" s="146" t="n">
        <v>15421102</v>
      </c>
      <c r="D509" s="146"/>
      <c r="E509" s="82" t="str">
        <f aca="false">IF(B509="","",IF(COUNTIFS('CARNET DE SOUDURE'!$L$7:$L$3006,B509,'CARNET DE SOUDURE'!$M$7:$M$3006,"&lt;&gt;"&amp;C509,'CARNET DE SOUDURE'!$M$7:$M$3006,"&lt;&gt;")+COUNTIFS('CARNET DE SOUDURE'!$O$7:$O$3006,B509,'CARNET DE SOUDURE'!$P$7:$P$3006,"&lt;&gt;"&amp;C509,'CARNET DE SOUDURE'!$P$7:$P$3006,"&lt;&gt;")&gt;0,"⚠ DIFFÉRENTE","OK"))</f>
        <v>OK</v>
      </c>
      <c r="F509" s="147" t="n">
        <v>11.94</v>
      </c>
      <c r="G509" s="80"/>
      <c r="H509" s="83"/>
      <c r="I509" s="148" t="str">
        <f aca="false">IF(B509="","",IFERROR(INDEX('CARNET DE SOUDURE'!$B$7:$B$3006,MATCH(B509,'CARNET DE SOUDURE'!$L$7:$L$3006,0)),IFERROR(INDEX('CARNET DE SOUDURE'!$B$7:$B$3006,MATCH(B509,'CARNET DE SOUDURE'!$O$7:$O$3006,0)),"")))</f>
        <v>MFD-ISW → MFD-CPF</v>
      </c>
      <c r="J509" s="82" t="str">
        <f aca="false">IF(B509="","",IFERROR(INDEX('CARNET DE SOUDURE'!$E$7:$E$3006,MATCH(B509,'CARNET DE SOUDURE'!$O$7:$O$3006,0)),""))</f>
        <v>DJ°280</v>
      </c>
      <c r="K509" s="82" t="str">
        <f aca="false">IF(B509="","",IFERROR(INDEX('CARNET DE SOUDURE'!$E$7:$E$3006,MATCH(B509,'CARNET DE SOUDURE'!$L$7:$L$3006,0)),""))</f>
        <v>JN°1141</v>
      </c>
      <c r="L509" s="82" t="n">
        <f aca="false">IF(B509="","",IFERROR(INDEX('CARNET DE SOUDURE'!$D$7:$D$3006,MATCH(B509,'CARNET DE SOUDURE'!$L$7:$L$3006,0)),IFERROR(INDEX('CARNET DE SOUDURE'!$D$7:$D$3006,MATCH(B509,'CARNET DE SOUDURE'!$O$7:$O$3006,0)),"")))</f>
        <v>11</v>
      </c>
      <c r="M509" s="82" t="str">
        <f aca="false">IF(B509="","",IF(OR(J509&lt;&gt;"",K509&lt;&gt;""),"POSÉ EN LIGNE",IF(COUNTIF(BARDAGE!$C$1:$C$5000,B509)&gt;0,"BARDÉ","EN STOCK")))</f>
        <v>POSÉ EN LIGNE</v>
      </c>
      <c r="N509" s="80"/>
    </row>
    <row r="510" customFormat="false" ht="15" hidden="false" customHeight="false" outlineLevel="0" collapsed="false">
      <c r="A510" s="82" t="n">
        <f aca="false">IF(B510="","",ROW()-6)</f>
        <v>504</v>
      </c>
      <c r="B510" s="145" t="n">
        <v>2085910</v>
      </c>
      <c r="C510" s="146" t="n">
        <v>15421107</v>
      </c>
      <c r="D510" s="146"/>
      <c r="E510" s="82" t="str">
        <f aca="false">IF(B510="","",IF(COUNTIFS('CARNET DE SOUDURE'!$L$7:$L$3006,B510,'CARNET DE SOUDURE'!$M$7:$M$3006,"&lt;&gt;"&amp;C510,'CARNET DE SOUDURE'!$M$7:$M$3006,"&lt;&gt;")+COUNTIFS('CARNET DE SOUDURE'!$O$7:$O$3006,B510,'CARNET DE SOUDURE'!$P$7:$P$3006,"&lt;&gt;"&amp;C510,'CARNET DE SOUDURE'!$P$7:$P$3006,"&lt;&gt;")&gt;0,"⚠ DIFFÉRENTE","OK"))</f>
        <v>OK</v>
      </c>
      <c r="F510" s="147" t="n">
        <v>11.94</v>
      </c>
      <c r="G510" s="80"/>
      <c r="H510" s="83"/>
      <c r="I510" s="148" t="str">
        <f aca="false">IF(B510="","",IFERROR(INDEX('CARNET DE SOUDURE'!$B$7:$B$3006,MATCH(B510,'CARNET DE SOUDURE'!$L$7:$L$3006,0)),IFERROR(INDEX('CARNET DE SOUDURE'!$B$7:$B$3006,MATCH(B510,'CARNET DE SOUDURE'!$O$7:$O$3006,0)),"")))</f>
        <v>MFD-ISW → MFD-CPF</v>
      </c>
      <c r="J510" s="82" t="str">
        <f aca="false">IF(B510="","",IFERROR(INDEX('CARNET DE SOUDURE'!$E$7:$E$3006,MATCH(B510,'CARNET DE SOUDURE'!$O$7:$O$3006,0)),""))</f>
        <v>DJ°281</v>
      </c>
      <c r="K510" s="82" t="str">
        <f aca="false">IF(B510="","",IFERROR(INDEX('CARNET DE SOUDURE'!$E$7:$E$3006,MATCH(B510,'CARNET DE SOUDURE'!$L$7:$L$3006,0)),""))</f>
        <v/>
      </c>
      <c r="L510" s="82" t="n">
        <f aca="false">IF(B510="","",IFERROR(INDEX('CARNET DE SOUDURE'!$D$7:$D$3006,MATCH(B510,'CARNET DE SOUDURE'!$L$7:$L$3006,0)),IFERROR(INDEX('CARNET DE SOUDURE'!$D$7:$D$3006,MATCH(B510,'CARNET DE SOUDURE'!$O$7:$O$3006,0)),"")))</f>
        <v>11</v>
      </c>
      <c r="M510" s="82" t="str">
        <f aca="false">IF(B510="","",IF(OR(J510&lt;&gt;"",K510&lt;&gt;""),"POSÉ EN LIGNE",IF(COUNTIF(BARDAGE!$C$1:$C$5000,B510)&gt;0,"BARDÉ","EN STOCK")))</f>
        <v>POSÉ EN LIGNE</v>
      </c>
      <c r="N510" s="80"/>
    </row>
    <row r="511" customFormat="false" ht="15" hidden="false" customHeight="false" outlineLevel="0" collapsed="false">
      <c r="A511" s="82" t="n">
        <f aca="false">IF(B511="","",ROW()-6)</f>
        <v>505</v>
      </c>
      <c r="B511" s="145" t="n">
        <v>2095640</v>
      </c>
      <c r="C511" s="146" t="n">
        <v>15421111</v>
      </c>
      <c r="D511" s="146"/>
      <c r="E511" s="82" t="str">
        <f aca="false">IF(B511="","",IF(COUNTIFS('CARNET DE SOUDURE'!$L$7:$L$3006,B511,'CARNET DE SOUDURE'!$M$7:$M$3006,"&lt;&gt;"&amp;C511,'CARNET DE SOUDURE'!$M$7:$M$3006,"&lt;&gt;")+COUNTIFS('CARNET DE SOUDURE'!$O$7:$O$3006,B511,'CARNET DE SOUDURE'!$P$7:$P$3006,"&lt;&gt;"&amp;C511,'CARNET DE SOUDURE'!$P$7:$P$3006,"&lt;&gt;")&gt;0,"⚠ DIFFÉRENTE","OK"))</f>
        <v>OK</v>
      </c>
      <c r="F511" s="147" t="n">
        <v>11.94</v>
      </c>
      <c r="G511" s="80"/>
      <c r="H511" s="83"/>
      <c r="I511" s="148" t="str">
        <f aca="false">IF(B511="","",IFERROR(INDEX('CARNET DE SOUDURE'!$B$7:$B$3006,MATCH(B511,'CARNET DE SOUDURE'!$L$7:$L$3006,0)),IFERROR(INDEX('CARNET DE SOUDURE'!$B$7:$B$3006,MATCH(B511,'CARNET DE SOUDURE'!$O$7:$O$3006,0)),"")))</f>
        <v>MFD-ISW → MFD-CPF</v>
      </c>
      <c r="J511" s="82" t="str">
        <f aca="false">IF(B511="","",IFERROR(INDEX('CARNET DE SOUDURE'!$E$7:$E$3006,MATCH(B511,'CARNET DE SOUDURE'!$O$7:$O$3006,0)),""))</f>
        <v>DJ°282</v>
      </c>
      <c r="K511" s="82" t="str">
        <f aca="false">IF(B511="","",IFERROR(INDEX('CARNET DE SOUDURE'!$E$7:$E$3006,MATCH(B511,'CARNET DE SOUDURE'!$L$7:$L$3006,0)),""))</f>
        <v>JN°1144</v>
      </c>
      <c r="L511" s="82" t="n">
        <f aca="false">IF(B511="","",IFERROR(INDEX('CARNET DE SOUDURE'!$D$7:$D$3006,MATCH(B511,'CARNET DE SOUDURE'!$L$7:$L$3006,0)),IFERROR(INDEX('CARNET DE SOUDURE'!$D$7:$D$3006,MATCH(B511,'CARNET DE SOUDURE'!$O$7:$O$3006,0)),"")))</f>
        <v>11</v>
      </c>
      <c r="M511" s="82" t="str">
        <f aca="false">IF(B511="","",IF(OR(J511&lt;&gt;"",K511&lt;&gt;""),"POSÉ EN LIGNE",IF(COUNTIF(BARDAGE!$C$1:$C$5000,B511)&gt;0,"BARDÉ","EN STOCK")))</f>
        <v>POSÉ EN LIGNE</v>
      </c>
      <c r="N511" s="80"/>
    </row>
    <row r="512" customFormat="false" ht="15" hidden="false" customHeight="false" outlineLevel="0" collapsed="false">
      <c r="A512" s="82" t="n">
        <f aca="false">IF(B512="","",ROW()-6)</f>
        <v>506</v>
      </c>
      <c r="B512" s="145" t="n">
        <v>2094020</v>
      </c>
      <c r="C512" s="146" t="n">
        <v>15421110</v>
      </c>
      <c r="D512" s="146"/>
      <c r="E512" s="82" t="str">
        <f aca="false">IF(B512="","",IF(COUNTIFS('CARNET DE SOUDURE'!$L$7:$L$3006,B512,'CARNET DE SOUDURE'!$M$7:$M$3006,"&lt;&gt;"&amp;C512,'CARNET DE SOUDURE'!$M$7:$M$3006,"&lt;&gt;")+COUNTIFS('CARNET DE SOUDURE'!$O$7:$O$3006,B512,'CARNET DE SOUDURE'!$P$7:$P$3006,"&lt;&gt;"&amp;C512,'CARNET DE SOUDURE'!$P$7:$P$3006,"&lt;&gt;")&gt;0,"⚠ DIFFÉRENTE","OK"))</f>
        <v>OK</v>
      </c>
      <c r="F512" s="147" t="n">
        <v>11.94</v>
      </c>
      <c r="G512" s="80"/>
      <c r="H512" s="83"/>
      <c r="I512" s="148" t="str">
        <f aca="false">IF(B512="","",IFERROR(INDEX('CARNET DE SOUDURE'!$B$7:$B$3006,MATCH(B512,'CARNET DE SOUDURE'!$L$7:$L$3006,0)),IFERROR(INDEX('CARNET DE SOUDURE'!$B$7:$B$3006,MATCH(B512,'CARNET DE SOUDURE'!$O$7:$O$3006,0)),"")))</f>
        <v>MFD-ISW → MFD-CPF</v>
      </c>
      <c r="J512" s="82" t="str">
        <f aca="false">IF(B512="","",IFERROR(INDEX('CARNET DE SOUDURE'!$E$7:$E$3006,MATCH(B512,'CARNET DE SOUDURE'!$O$7:$O$3006,0)),""))</f>
        <v>JN°1144</v>
      </c>
      <c r="K512" s="82" t="str">
        <f aca="false">IF(B512="","",IFERROR(INDEX('CARNET DE SOUDURE'!$E$7:$E$3006,MATCH(B512,'CARNET DE SOUDURE'!$L$7:$L$3006,0)),""))</f>
        <v>DJ°285</v>
      </c>
      <c r="L512" s="82" t="n">
        <f aca="false">IF(B512="","",IFERROR(INDEX('CARNET DE SOUDURE'!$D$7:$D$3006,MATCH(B512,'CARNET DE SOUDURE'!$L$7:$L$3006,0)),IFERROR(INDEX('CARNET DE SOUDURE'!$D$7:$D$3006,MATCH(B512,'CARNET DE SOUDURE'!$O$7:$O$3006,0)),"")))</f>
        <v>11</v>
      </c>
      <c r="M512" s="82" t="str">
        <f aca="false">IF(B512="","",IF(OR(J512&lt;&gt;"",K512&lt;&gt;""),"POSÉ EN LIGNE",IF(COUNTIF(BARDAGE!$C$1:$C$5000,B512)&gt;0,"BARDÉ","EN STOCK")))</f>
        <v>POSÉ EN LIGNE</v>
      </c>
      <c r="N512" s="80"/>
    </row>
    <row r="513" customFormat="false" ht="15" hidden="false" customHeight="false" outlineLevel="0" collapsed="false">
      <c r="A513" s="82" t="n">
        <f aca="false">IF(B513="","",ROW()-6)</f>
        <v>507</v>
      </c>
      <c r="B513" s="145" t="n">
        <v>2091300</v>
      </c>
      <c r="C513" s="146" t="n">
        <v>15421109</v>
      </c>
      <c r="D513" s="146"/>
      <c r="E513" s="82" t="str">
        <f aca="false">IF(B513="","",IF(COUNTIFS('CARNET DE SOUDURE'!$L$7:$L$3006,B513,'CARNET DE SOUDURE'!$M$7:$M$3006,"&lt;&gt;"&amp;C513,'CARNET DE SOUDURE'!$M$7:$M$3006,"&lt;&gt;")+COUNTIFS('CARNET DE SOUDURE'!$O$7:$O$3006,B513,'CARNET DE SOUDURE'!$P$7:$P$3006,"&lt;&gt;"&amp;C513,'CARNET DE SOUDURE'!$P$7:$P$3006,"&lt;&gt;")&gt;0,"⚠ DIFFÉRENTE","OK"))</f>
        <v>OK</v>
      </c>
      <c r="F513" s="147" t="n">
        <v>11.94</v>
      </c>
      <c r="G513" s="80"/>
      <c r="H513" s="83"/>
      <c r="I513" s="148" t="str">
        <f aca="false">IF(B513="","",IFERROR(INDEX('CARNET DE SOUDURE'!$B$7:$B$3006,MATCH(B513,'CARNET DE SOUDURE'!$L$7:$L$3006,0)),IFERROR(INDEX('CARNET DE SOUDURE'!$B$7:$B$3006,MATCH(B513,'CARNET DE SOUDURE'!$O$7:$O$3006,0)),"")))</f>
        <v>MFD-ISW → MFD-CPF</v>
      </c>
      <c r="J513" s="82" t="str">
        <f aca="false">IF(B513="","",IFERROR(INDEX('CARNET DE SOUDURE'!$E$7:$E$3006,MATCH(B513,'CARNET DE SOUDURE'!$O$7:$O$3006,0)),""))</f>
        <v>DJ°285</v>
      </c>
      <c r="K513" s="82" t="str">
        <f aca="false">IF(B513="","",IFERROR(INDEX('CARNET DE SOUDURE'!$E$7:$E$3006,MATCH(B513,'CARNET DE SOUDURE'!$L$7:$L$3006,0)),""))</f>
        <v>JN°1145</v>
      </c>
      <c r="L513" s="82" t="n">
        <f aca="false">IF(B513="","",IFERROR(INDEX('CARNET DE SOUDURE'!$D$7:$D$3006,MATCH(B513,'CARNET DE SOUDURE'!$L$7:$L$3006,0)),IFERROR(INDEX('CARNET DE SOUDURE'!$D$7:$D$3006,MATCH(B513,'CARNET DE SOUDURE'!$O$7:$O$3006,0)),"")))</f>
        <v>11</v>
      </c>
      <c r="M513" s="82" t="str">
        <f aca="false">IF(B513="","",IF(OR(J513&lt;&gt;"",K513&lt;&gt;""),"POSÉ EN LIGNE",IF(COUNTIF(BARDAGE!$C$1:$C$5000,B513)&gt;0,"BARDÉ","EN STOCK")))</f>
        <v>POSÉ EN LIGNE</v>
      </c>
      <c r="N513" s="80"/>
    </row>
    <row r="514" customFormat="false" ht="15" hidden="false" customHeight="false" outlineLevel="0" collapsed="false">
      <c r="A514" s="82" t="n">
        <f aca="false">IF(B514="","",ROW()-6)</f>
        <v>508</v>
      </c>
      <c r="B514" s="145" t="n">
        <v>2083400</v>
      </c>
      <c r="C514" s="146" t="n">
        <v>15421105</v>
      </c>
      <c r="D514" s="146"/>
      <c r="E514" s="82" t="str">
        <f aca="false">IF(B514="","",IF(COUNTIFS('CARNET DE SOUDURE'!$L$7:$L$3006,B514,'CARNET DE SOUDURE'!$M$7:$M$3006,"&lt;&gt;"&amp;C514,'CARNET DE SOUDURE'!$M$7:$M$3006,"&lt;&gt;")+COUNTIFS('CARNET DE SOUDURE'!$O$7:$O$3006,B514,'CARNET DE SOUDURE'!$P$7:$P$3006,"&lt;&gt;"&amp;C514,'CARNET DE SOUDURE'!$P$7:$P$3006,"&lt;&gt;")&gt;0,"⚠ DIFFÉRENTE","OK"))</f>
        <v>OK</v>
      </c>
      <c r="F514" s="147" t="n">
        <v>11.94</v>
      </c>
      <c r="G514" s="80"/>
      <c r="H514" s="83"/>
      <c r="I514" s="148" t="str">
        <f aca="false">IF(B514="","",IFERROR(INDEX('CARNET DE SOUDURE'!$B$7:$B$3006,MATCH(B514,'CARNET DE SOUDURE'!$L$7:$L$3006,0)),IFERROR(INDEX('CARNET DE SOUDURE'!$B$7:$B$3006,MATCH(B514,'CARNET DE SOUDURE'!$O$7:$O$3006,0)),"")))</f>
        <v>MFD-ISW → MFD-CPF</v>
      </c>
      <c r="J514" s="82" t="str">
        <f aca="false">IF(B514="","",IFERROR(INDEX('CARNET DE SOUDURE'!$E$7:$E$3006,MATCH(B514,'CARNET DE SOUDURE'!$O$7:$O$3006,0)),""))</f>
        <v>JN°1145</v>
      </c>
      <c r="K514" s="82" t="str">
        <f aca="false">IF(B514="","",IFERROR(INDEX('CARNET DE SOUDURE'!$E$7:$E$3006,MATCH(B514,'CARNET DE SOUDURE'!$L$7:$L$3006,0)),""))</f>
        <v>DJ°275</v>
      </c>
      <c r="L514" s="82" t="n">
        <f aca="false">IF(B514="","",IFERROR(INDEX('CARNET DE SOUDURE'!$D$7:$D$3006,MATCH(B514,'CARNET DE SOUDURE'!$L$7:$L$3006,0)),IFERROR(INDEX('CARNET DE SOUDURE'!$D$7:$D$3006,MATCH(B514,'CARNET DE SOUDURE'!$O$7:$O$3006,0)),"")))</f>
        <v>11</v>
      </c>
      <c r="M514" s="82" t="str">
        <f aca="false">IF(B514="","",IF(OR(J514&lt;&gt;"",K514&lt;&gt;""),"POSÉ EN LIGNE",IF(COUNTIF(BARDAGE!$C$1:$C$5000,B514)&gt;0,"BARDÉ","EN STOCK")))</f>
        <v>POSÉ EN LIGNE</v>
      </c>
      <c r="N514" s="80"/>
    </row>
    <row r="515" customFormat="false" ht="15" hidden="false" customHeight="false" outlineLevel="0" collapsed="false">
      <c r="A515" s="82" t="n">
        <f aca="false">IF(B515="","",ROW()-6)</f>
        <v>509</v>
      </c>
      <c r="B515" s="145" t="n">
        <v>2082350</v>
      </c>
      <c r="C515" s="146" t="n">
        <v>15421104</v>
      </c>
      <c r="D515" s="146"/>
      <c r="E515" s="82" t="str">
        <f aca="false">IF(B515="","",IF(COUNTIFS('CARNET DE SOUDURE'!$L$7:$L$3006,B515,'CARNET DE SOUDURE'!$M$7:$M$3006,"&lt;&gt;"&amp;C515,'CARNET DE SOUDURE'!$M$7:$M$3006,"&lt;&gt;")+COUNTIFS('CARNET DE SOUDURE'!$O$7:$O$3006,B515,'CARNET DE SOUDURE'!$P$7:$P$3006,"&lt;&gt;"&amp;C515,'CARNET DE SOUDURE'!$P$7:$P$3006,"&lt;&gt;")&gt;0,"⚠ DIFFÉRENTE","OK"))</f>
        <v>OK</v>
      </c>
      <c r="F515" s="147" t="n">
        <v>11.94</v>
      </c>
      <c r="G515" s="80"/>
      <c r="H515" s="83"/>
      <c r="I515" s="148" t="str">
        <f aca="false">IF(B515="","",IFERROR(INDEX('CARNET DE SOUDURE'!$B$7:$B$3006,MATCH(B515,'CARNET DE SOUDURE'!$L$7:$L$3006,0)),IFERROR(INDEX('CARNET DE SOUDURE'!$B$7:$B$3006,MATCH(B515,'CARNET DE SOUDURE'!$O$7:$O$3006,0)),"")))</f>
        <v>MFD-ISW → MFD-CPF</v>
      </c>
      <c r="J515" s="82" t="str">
        <f aca="false">IF(B515="","",IFERROR(INDEX('CARNET DE SOUDURE'!$E$7:$E$3006,MATCH(B515,'CARNET DE SOUDURE'!$O$7:$O$3006,0)),""))</f>
        <v>DJ°275</v>
      </c>
      <c r="K515" s="82" t="str">
        <f aca="false">IF(B515="","",IFERROR(INDEX('CARNET DE SOUDURE'!$E$7:$E$3006,MATCH(B515,'CARNET DE SOUDURE'!$L$7:$L$3006,0)),""))</f>
        <v>JN°1146</v>
      </c>
      <c r="L515" s="82" t="n">
        <f aca="false">IF(B515="","",IFERROR(INDEX('CARNET DE SOUDURE'!$D$7:$D$3006,MATCH(B515,'CARNET DE SOUDURE'!$L$7:$L$3006,0)),IFERROR(INDEX('CARNET DE SOUDURE'!$D$7:$D$3006,MATCH(B515,'CARNET DE SOUDURE'!$O$7:$O$3006,0)),"")))</f>
        <v>11</v>
      </c>
      <c r="M515" s="82" t="str">
        <f aca="false">IF(B515="","",IF(OR(J515&lt;&gt;"",K515&lt;&gt;""),"POSÉ EN LIGNE",IF(COUNTIF(BARDAGE!$C$1:$C$5000,B515)&gt;0,"BARDÉ","EN STOCK")))</f>
        <v>POSÉ EN LIGNE</v>
      </c>
      <c r="N515" s="80"/>
    </row>
    <row r="516" customFormat="false" ht="15" hidden="false" customHeight="false" outlineLevel="0" collapsed="false">
      <c r="A516" s="82" t="n">
        <f aca="false">IF(B516="","",ROW()-6)</f>
        <v>510</v>
      </c>
      <c r="B516" s="145" t="n">
        <v>2089260</v>
      </c>
      <c r="C516" s="146" t="n">
        <v>15421108</v>
      </c>
      <c r="D516" s="146"/>
      <c r="E516" s="82" t="str">
        <f aca="false">IF(B516="","",IF(COUNTIFS('CARNET DE SOUDURE'!$L$7:$L$3006,B516,'CARNET DE SOUDURE'!$M$7:$M$3006,"&lt;&gt;"&amp;C516,'CARNET DE SOUDURE'!$M$7:$M$3006,"&lt;&gt;")+COUNTIFS('CARNET DE SOUDURE'!$O$7:$O$3006,B516,'CARNET DE SOUDURE'!$P$7:$P$3006,"&lt;&gt;"&amp;C516,'CARNET DE SOUDURE'!$P$7:$P$3006,"&lt;&gt;")&gt;0,"⚠ DIFFÉRENTE","OK"))</f>
        <v>OK</v>
      </c>
      <c r="F516" s="147" t="n">
        <v>11.94</v>
      </c>
      <c r="G516" s="80"/>
      <c r="H516" s="83"/>
      <c r="I516" s="148" t="str">
        <f aca="false">IF(B516="","",IFERROR(INDEX('CARNET DE SOUDURE'!$B$7:$B$3006,MATCH(B516,'CARNET DE SOUDURE'!$L$7:$L$3006,0)),IFERROR(INDEX('CARNET DE SOUDURE'!$B$7:$B$3006,MATCH(B516,'CARNET DE SOUDURE'!$O$7:$O$3006,0)),"")))</f>
        <v>MFD-ISW → MFD-CPF</v>
      </c>
      <c r="J516" s="82" t="str">
        <f aca="false">IF(B516="","",IFERROR(INDEX('CARNET DE SOUDURE'!$E$7:$E$3006,MATCH(B516,'CARNET DE SOUDURE'!$O$7:$O$3006,0)),""))</f>
        <v>JN°1146</v>
      </c>
      <c r="K516" s="82" t="str">
        <f aca="false">IF(B516="","",IFERROR(INDEX('CARNET DE SOUDURE'!$E$7:$E$3006,MATCH(B516,'CARNET DE SOUDURE'!$L$7:$L$3006,0)),""))</f>
        <v>DJ°283</v>
      </c>
      <c r="L516" s="82" t="n">
        <f aca="false">IF(B516="","",IFERROR(INDEX('CARNET DE SOUDURE'!$D$7:$D$3006,MATCH(B516,'CARNET DE SOUDURE'!$L$7:$L$3006,0)),IFERROR(INDEX('CARNET DE SOUDURE'!$D$7:$D$3006,MATCH(B516,'CARNET DE SOUDURE'!$O$7:$O$3006,0)),"")))</f>
        <v>11</v>
      </c>
      <c r="M516" s="82" t="str">
        <f aca="false">IF(B516="","",IF(OR(J516&lt;&gt;"",K516&lt;&gt;""),"POSÉ EN LIGNE",IF(COUNTIF(BARDAGE!$C$1:$C$5000,B516)&gt;0,"BARDÉ","EN STOCK")))</f>
        <v>POSÉ EN LIGNE</v>
      </c>
      <c r="N516" s="80"/>
    </row>
    <row r="517" customFormat="false" ht="15" hidden="false" customHeight="false" outlineLevel="0" collapsed="false">
      <c r="A517" s="82" t="n">
        <f aca="false">IF(B517="","",ROW()-6)</f>
        <v>511</v>
      </c>
      <c r="B517" s="145" t="n">
        <v>2082490</v>
      </c>
      <c r="C517" s="146" t="n">
        <v>15421105</v>
      </c>
      <c r="D517" s="146"/>
      <c r="E517" s="82" t="str">
        <f aca="false">IF(B517="","",IF(COUNTIFS('CARNET DE SOUDURE'!$L$7:$L$3006,B517,'CARNET DE SOUDURE'!$M$7:$M$3006,"&lt;&gt;"&amp;C517,'CARNET DE SOUDURE'!$M$7:$M$3006,"&lt;&gt;")+COUNTIFS('CARNET DE SOUDURE'!$O$7:$O$3006,B517,'CARNET DE SOUDURE'!$P$7:$P$3006,"&lt;&gt;"&amp;C517,'CARNET DE SOUDURE'!$P$7:$P$3006,"&lt;&gt;")&gt;0,"⚠ DIFFÉRENTE","OK"))</f>
        <v>⚠ DIFFÉRENTE</v>
      </c>
      <c r="F517" s="147" t="n">
        <v>11.94</v>
      </c>
      <c r="G517" s="80"/>
      <c r="H517" s="83"/>
      <c r="I517" s="148" t="str">
        <f aca="false">IF(B517="","",IFERROR(INDEX('CARNET DE SOUDURE'!$B$7:$B$3006,MATCH(B517,'CARNET DE SOUDURE'!$L$7:$L$3006,0)),IFERROR(INDEX('CARNET DE SOUDURE'!$B$7:$B$3006,MATCH(B517,'CARNET DE SOUDURE'!$O$7:$O$3006,0)),"")))</f>
        <v>MFD-ISW → MFD-CPF</v>
      </c>
      <c r="J517" s="82" t="str">
        <f aca="false">IF(B517="","",IFERROR(INDEX('CARNET DE SOUDURE'!$E$7:$E$3006,MATCH(B517,'CARNET DE SOUDURE'!$O$7:$O$3006,0)),""))</f>
        <v>DJ°283</v>
      </c>
      <c r="K517" s="82" t="str">
        <f aca="false">IF(B517="","",IFERROR(INDEX('CARNET DE SOUDURE'!$E$7:$E$3006,MATCH(B517,'CARNET DE SOUDURE'!$L$7:$L$3006,0)),""))</f>
        <v>JN°1147</v>
      </c>
      <c r="L517" s="82" t="n">
        <f aca="false">IF(B517="","",IFERROR(INDEX('CARNET DE SOUDURE'!$D$7:$D$3006,MATCH(B517,'CARNET DE SOUDURE'!$L$7:$L$3006,0)),IFERROR(INDEX('CARNET DE SOUDURE'!$D$7:$D$3006,MATCH(B517,'CARNET DE SOUDURE'!$O$7:$O$3006,0)),"")))</f>
        <v>11</v>
      </c>
      <c r="M517" s="82" t="str">
        <f aca="false">IF(B517="","",IF(OR(J517&lt;&gt;"",K517&lt;&gt;""),"POSÉ EN LIGNE",IF(COUNTIF(BARDAGE!$C$1:$C$5000,B517)&gt;0,"BARDÉ","EN STOCK")))</f>
        <v>POSÉ EN LIGNE</v>
      </c>
      <c r="N517" s="80"/>
    </row>
    <row r="518" customFormat="false" ht="15" hidden="false" customHeight="false" outlineLevel="0" collapsed="false">
      <c r="A518" s="82" t="n">
        <f aca="false">IF(B518="","",ROW()-6)</f>
        <v>512</v>
      </c>
      <c r="B518" s="145" t="n">
        <v>2084390</v>
      </c>
      <c r="C518" s="146" t="n">
        <v>15421106</v>
      </c>
      <c r="D518" s="146"/>
      <c r="E518" s="82" t="str">
        <f aca="false">IF(B518="","",IF(COUNTIFS('CARNET DE SOUDURE'!$L$7:$L$3006,B518,'CARNET DE SOUDURE'!$M$7:$M$3006,"&lt;&gt;"&amp;C518,'CARNET DE SOUDURE'!$M$7:$M$3006,"&lt;&gt;")+COUNTIFS('CARNET DE SOUDURE'!$O$7:$O$3006,B518,'CARNET DE SOUDURE'!$P$7:$P$3006,"&lt;&gt;"&amp;C518,'CARNET DE SOUDURE'!$P$7:$P$3006,"&lt;&gt;")&gt;0,"⚠ DIFFÉRENTE","OK"))</f>
        <v>OK</v>
      </c>
      <c r="F518" s="147" t="n">
        <v>11.94</v>
      </c>
      <c r="G518" s="80"/>
      <c r="H518" s="83"/>
      <c r="I518" s="148" t="str">
        <f aca="false">IF(B518="","",IFERROR(INDEX('CARNET DE SOUDURE'!$B$7:$B$3006,MATCH(B518,'CARNET DE SOUDURE'!$L$7:$L$3006,0)),IFERROR(INDEX('CARNET DE SOUDURE'!$B$7:$B$3006,MATCH(B518,'CARNET DE SOUDURE'!$O$7:$O$3006,0)),"")))</f>
        <v>MFD-ISW → MFD-CPF</v>
      </c>
      <c r="J518" s="82" t="str">
        <f aca="false">IF(B518="","",IFERROR(INDEX('CARNET DE SOUDURE'!$E$7:$E$3006,MATCH(B518,'CARNET DE SOUDURE'!$O$7:$O$3006,0)),""))</f>
        <v>JN°1147</v>
      </c>
      <c r="K518" s="82" t="str">
        <f aca="false">IF(B518="","",IFERROR(INDEX('CARNET DE SOUDURE'!$E$7:$E$3006,MATCH(B518,'CARNET DE SOUDURE'!$L$7:$L$3006,0)),""))</f>
        <v>DJ°284</v>
      </c>
      <c r="L518" s="82" t="n">
        <f aca="false">IF(B518="","",IFERROR(INDEX('CARNET DE SOUDURE'!$D$7:$D$3006,MATCH(B518,'CARNET DE SOUDURE'!$L$7:$L$3006,0)),IFERROR(INDEX('CARNET DE SOUDURE'!$D$7:$D$3006,MATCH(B518,'CARNET DE SOUDURE'!$O$7:$O$3006,0)),"")))</f>
        <v>11</v>
      </c>
      <c r="M518" s="82" t="str">
        <f aca="false">IF(B518="","",IF(OR(J518&lt;&gt;"",K518&lt;&gt;""),"POSÉ EN LIGNE",IF(COUNTIF(BARDAGE!$C$1:$C$5000,B518)&gt;0,"BARDÉ","EN STOCK")))</f>
        <v>POSÉ EN LIGNE</v>
      </c>
      <c r="N518" s="80"/>
    </row>
    <row r="519" customFormat="false" ht="15" hidden="false" customHeight="false" outlineLevel="0" collapsed="false">
      <c r="A519" s="82" t="n">
        <f aca="false">IF(B519="","",ROW()-6)</f>
        <v>513</v>
      </c>
      <c r="B519" s="145" t="n">
        <v>2090380</v>
      </c>
      <c r="C519" s="146" t="n">
        <v>15421109</v>
      </c>
      <c r="D519" s="146"/>
      <c r="E519" s="82" t="str">
        <f aca="false">IF(B519="","",IF(COUNTIFS('CARNET DE SOUDURE'!$L$7:$L$3006,B519,'CARNET DE SOUDURE'!$M$7:$M$3006,"&lt;&gt;"&amp;C519,'CARNET DE SOUDURE'!$M$7:$M$3006,"&lt;&gt;")+COUNTIFS('CARNET DE SOUDURE'!$O$7:$O$3006,B519,'CARNET DE SOUDURE'!$P$7:$P$3006,"&lt;&gt;"&amp;C519,'CARNET DE SOUDURE'!$P$7:$P$3006,"&lt;&gt;")&gt;0,"⚠ DIFFÉRENTE","OK"))</f>
        <v>OK</v>
      </c>
      <c r="F519" s="147" t="n">
        <v>11.94</v>
      </c>
      <c r="G519" s="80"/>
      <c r="H519" s="83"/>
      <c r="I519" s="148" t="str">
        <f aca="false">IF(B519="","",IFERROR(INDEX('CARNET DE SOUDURE'!$B$7:$B$3006,MATCH(B519,'CARNET DE SOUDURE'!$L$7:$L$3006,0)),IFERROR(INDEX('CARNET DE SOUDURE'!$B$7:$B$3006,MATCH(B519,'CARNET DE SOUDURE'!$O$7:$O$3006,0)),"")))</f>
        <v>MFD-ISW → MFD-CPF</v>
      </c>
      <c r="J519" s="82" t="str">
        <f aca="false">IF(B519="","",IFERROR(INDEX('CARNET DE SOUDURE'!$E$7:$E$3006,MATCH(B519,'CARNET DE SOUDURE'!$O$7:$O$3006,0)),""))</f>
        <v>DJ°284</v>
      </c>
      <c r="K519" s="82" t="str">
        <f aca="false">IF(B519="","",IFERROR(INDEX('CARNET DE SOUDURE'!$E$7:$E$3006,MATCH(B519,'CARNET DE SOUDURE'!$L$7:$L$3006,0)),""))</f>
        <v/>
      </c>
      <c r="L519" s="82" t="n">
        <f aca="false">IF(B519="","",IFERROR(INDEX('CARNET DE SOUDURE'!$D$7:$D$3006,MATCH(B519,'CARNET DE SOUDURE'!$L$7:$L$3006,0)),IFERROR(INDEX('CARNET DE SOUDURE'!$D$7:$D$3006,MATCH(B519,'CARNET DE SOUDURE'!$O$7:$O$3006,0)),"")))</f>
        <v>11</v>
      </c>
      <c r="M519" s="82" t="str">
        <f aca="false">IF(B519="","",IF(OR(J519&lt;&gt;"",K519&lt;&gt;""),"POSÉ EN LIGNE",IF(COUNTIF(BARDAGE!$C$1:$C$5000,B519)&gt;0,"BARDÉ","EN STOCK")))</f>
        <v>POSÉ EN LIGNE</v>
      </c>
      <c r="N519" s="80"/>
    </row>
    <row r="520" customFormat="false" ht="15" hidden="false" customHeight="false" outlineLevel="0" collapsed="false">
      <c r="A520" s="82" t="n">
        <f aca="false">IF(B520="","",ROW()-6)</f>
        <v>514</v>
      </c>
      <c r="B520" s="145" t="s">
        <v>1671</v>
      </c>
      <c r="C520" s="146"/>
      <c r="D520" s="146"/>
      <c r="E520" s="82" t="str">
        <f aca="false">IF(B520="","",IF(COUNTIFS('CARNET DE SOUDURE'!$L$7:$L$3006,B520,'CARNET DE SOUDURE'!$M$7:$M$3006,"&lt;&gt;"&amp;C520,'CARNET DE SOUDURE'!$M$7:$M$3006,"&lt;&gt;")+COUNTIFS('CARNET DE SOUDURE'!$O$7:$O$3006,B520,'CARNET DE SOUDURE'!$P$7:$P$3006,"&lt;&gt;"&amp;C520,'CARNET DE SOUDURE'!$P$7:$P$3006,"&lt;&gt;")&gt;0,"⚠ DIFFÉRENTE","OK"))</f>
        <v>OK</v>
      </c>
      <c r="F520" s="147"/>
      <c r="G520" s="80"/>
      <c r="H520" s="83"/>
      <c r="I520" s="148" t="str">
        <f aca="false">IF(B520="","",IFERROR(INDEX('CARNET DE SOUDURE'!$B$7:$B$3006,MATCH(B520,'CARNET DE SOUDURE'!$L$7:$L$3006,0)),IFERROR(INDEX('CARNET DE SOUDURE'!$B$7:$B$3006,MATCH(B520,'CARNET DE SOUDURE'!$O$7:$O$3006,0)),"")))</f>
        <v>MFD-ISW → MFD-CPF</v>
      </c>
      <c r="J520" s="82" t="str">
        <f aca="false">IF(B520="","",IFERROR(INDEX('CARNET DE SOUDURE'!$E$7:$E$3006,MATCH(B520,'CARNET DE SOUDURE'!$O$7:$O$3006,0)),""))</f>
        <v/>
      </c>
      <c r="K520" s="82" t="str">
        <f aca="false">IF(B520="","",IFERROR(INDEX('CARNET DE SOUDURE'!$E$7:$E$3006,MATCH(B520,'CARNET DE SOUDURE'!$L$7:$L$3006,0)),""))</f>
        <v>JN°1148</v>
      </c>
      <c r="L520" s="82" t="n">
        <f aca="false">IF(B520="","",IFERROR(INDEX('CARNET DE SOUDURE'!$D$7:$D$3006,MATCH(B520,'CARNET DE SOUDURE'!$L$7:$L$3006,0)),IFERROR(INDEX('CARNET DE SOUDURE'!$D$7:$D$3006,MATCH(B520,'CARNET DE SOUDURE'!$O$7:$O$3006,0)),"")))</f>
        <v>12</v>
      </c>
      <c r="M520" s="82" t="str">
        <f aca="false">IF(B520="","",IF(OR(J520&lt;&gt;"",K520&lt;&gt;""),"POSÉ EN LIGNE",IF(COUNTIF(BARDAGE!$C$1:$C$5000,B520)&gt;0,"BARDÉ","EN STOCK")))</f>
        <v>POSÉ EN LIGNE</v>
      </c>
      <c r="N520" s="80"/>
    </row>
    <row r="521" customFormat="false" ht="15" hidden="false" customHeight="false" outlineLevel="0" collapsed="false">
      <c r="A521" s="82" t="n">
        <f aca="false">IF(B521="","",ROW()-6)</f>
        <v>515</v>
      </c>
      <c r="B521" s="145" t="n">
        <v>2089700</v>
      </c>
      <c r="C521" s="146" t="n">
        <v>15421109</v>
      </c>
      <c r="D521" s="146"/>
      <c r="E521" s="82" t="str">
        <f aca="false">IF(B521="","",IF(COUNTIFS('CARNET DE SOUDURE'!$L$7:$L$3006,B521,'CARNET DE SOUDURE'!$M$7:$M$3006,"&lt;&gt;"&amp;C521,'CARNET DE SOUDURE'!$M$7:$M$3006,"&lt;&gt;")+COUNTIFS('CARNET DE SOUDURE'!$O$7:$O$3006,B521,'CARNET DE SOUDURE'!$P$7:$P$3006,"&lt;&gt;"&amp;C521,'CARNET DE SOUDURE'!$P$7:$P$3006,"&lt;&gt;")&gt;0,"⚠ DIFFÉRENTE","OK"))</f>
        <v>OK</v>
      </c>
      <c r="F521" s="147" t="n">
        <v>11.94</v>
      </c>
      <c r="G521" s="80"/>
      <c r="H521" s="83"/>
      <c r="I521" s="148" t="str">
        <f aca="false">IF(B521="","",IFERROR(INDEX('CARNET DE SOUDURE'!$B$7:$B$3006,MATCH(B521,'CARNET DE SOUDURE'!$L$7:$L$3006,0)),IFERROR(INDEX('CARNET DE SOUDURE'!$B$7:$B$3006,MATCH(B521,'CARNET DE SOUDURE'!$O$7:$O$3006,0)),"")))</f>
        <v>MFD-ISW → MFD-CPF</v>
      </c>
      <c r="J521" s="82" t="str">
        <f aca="false">IF(B521="","",IFERROR(INDEX('CARNET DE SOUDURE'!$E$7:$E$3006,MATCH(B521,'CARNET DE SOUDURE'!$O$7:$O$3006,0)),""))</f>
        <v>JN°1224</v>
      </c>
      <c r="K521" s="82" t="str">
        <f aca="false">IF(B521="","",IFERROR(INDEX('CARNET DE SOUDURE'!$E$7:$E$3006,MATCH(B521,'CARNET DE SOUDURE'!$L$7:$L$3006,0)),""))</f>
        <v>DJ°276</v>
      </c>
      <c r="L521" s="82" t="n">
        <f aca="false">IF(B521="","",IFERROR(INDEX('CARNET DE SOUDURE'!$D$7:$D$3006,MATCH(B521,'CARNET DE SOUDURE'!$L$7:$L$3006,0)),IFERROR(INDEX('CARNET DE SOUDURE'!$D$7:$D$3006,MATCH(B521,'CARNET DE SOUDURE'!$O$7:$O$3006,0)),"")))</f>
        <v>13</v>
      </c>
      <c r="M521" s="82" t="str">
        <f aca="false">IF(B521="","",IF(OR(J521&lt;&gt;"",K521&lt;&gt;""),"POSÉ EN LIGNE",IF(COUNTIF(BARDAGE!$C$1:$C$5000,B521)&gt;0,"BARDÉ","EN STOCK")))</f>
        <v>POSÉ EN LIGNE</v>
      </c>
      <c r="N521" s="80"/>
    </row>
    <row r="522" customFormat="false" ht="15" hidden="false" customHeight="false" outlineLevel="0" collapsed="false">
      <c r="A522" s="82" t="n">
        <f aca="false">IF(B522="","",ROW()-6)</f>
        <v>516</v>
      </c>
      <c r="B522" s="145" t="n">
        <v>2085980</v>
      </c>
      <c r="C522" s="146" t="n">
        <v>15421107</v>
      </c>
      <c r="D522" s="146"/>
      <c r="E522" s="82" t="str">
        <f aca="false">IF(B522="","",IF(COUNTIFS('CARNET DE SOUDURE'!$L$7:$L$3006,B522,'CARNET DE SOUDURE'!$M$7:$M$3006,"&lt;&gt;"&amp;C522,'CARNET DE SOUDURE'!$M$7:$M$3006,"&lt;&gt;")+COUNTIFS('CARNET DE SOUDURE'!$O$7:$O$3006,B522,'CARNET DE SOUDURE'!$P$7:$P$3006,"&lt;&gt;"&amp;C522,'CARNET DE SOUDURE'!$P$7:$P$3006,"&lt;&gt;")&gt;0,"⚠ DIFFÉRENTE","OK"))</f>
        <v>OK</v>
      </c>
      <c r="F522" s="147" t="n">
        <v>11.94</v>
      </c>
      <c r="G522" s="80"/>
      <c r="H522" s="83"/>
      <c r="I522" s="148" t="str">
        <f aca="false">IF(B522="","",IFERROR(INDEX('CARNET DE SOUDURE'!$B$7:$B$3006,MATCH(B522,'CARNET DE SOUDURE'!$L$7:$L$3006,0)),IFERROR(INDEX('CARNET DE SOUDURE'!$B$7:$B$3006,MATCH(B522,'CARNET DE SOUDURE'!$O$7:$O$3006,0)),"")))</f>
        <v>MFD-ISW → MFD-CPF</v>
      </c>
      <c r="J522" s="82" t="str">
        <f aca="false">IF(B522="","",IFERROR(INDEX('CARNET DE SOUDURE'!$E$7:$E$3006,MATCH(B522,'CARNET DE SOUDURE'!$O$7:$O$3006,0)),""))</f>
        <v>DJ°276</v>
      </c>
      <c r="K522" s="82" t="str">
        <f aca="false">IF(B522="","",IFERROR(INDEX('CARNET DE SOUDURE'!$E$7:$E$3006,MATCH(B522,'CARNET DE SOUDURE'!$L$7:$L$3006,0)),""))</f>
        <v>JN°1225</v>
      </c>
      <c r="L522" s="82" t="n">
        <f aca="false">IF(B522="","",IFERROR(INDEX('CARNET DE SOUDURE'!$D$7:$D$3006,MATCH(B522,'CARNET DE SOUDURE'!$L$7:$L$3006,0)),IFERROR(INDEX('CARNET DE SOUDURE'!$D$7:$D$3006,MATCH(B522,'CARNET DE SOUDURE'!$O$7:$O$3006,0)),"")))</f>
        <v>13</v>
      </c>
      <c r="M522" s="82" t="str">
        <f aca="false">IF(B522="","",IF(OR(J522&lt;&gt;"",K522&lt;&gt;""),"POSÉ EN LIGNE",IF(COUNTIF(BARDAGE!$C$1:$C$5000,B522)&gt;0,"BARDÉ","EN STOCK")))</f>
        <v>POSÉ EN LIGNE</v>
      </c>
      <c r="N522" s="80"/>
    </row>
    <row r="523" customFormat="false" ht="15" hidden="false" customHeight="false" outlineLevel="0" collapsed="false">
      <c r="A523" s="82" t="n">
        <f aca="false">IF(B523="","",ROW()-6)</f>
        <v>517</v>
      </c>
      <c r="B523" s="145" t="n">
        <v>2090900</v>
      </c>
      <c r="C523" s="146" t="n">
        <v>15421109</v>
      </c>
      <c r="D523" s="146"/>
      <c r="E523" s="82" t="str">
        <f aca="false">IF(B523="","",IF(COUNTIFS('CARNET DE SOUDURE'!$L$7:$L$3006,B523,'CARNET DE SOUDURE'!$M$7:$M$3006,"&lt;&gt;"&amp;C523,'CARNET DE SOUDURE'!$M$7:$M$3006,"&lt;&gt;")+COUNTIFS('CARNET DE SOUDURE'!$O$7:$O$3006,B523,'CARNET DE SOUDURE'!$P$7:$P$3006,"&lt;&gt;"&amp;C523,'CARNET DE SOUDURE'!$P$7:$P$3006,"&lt;&gt;")&gt;0,"⚠ DIFFÉRENTE","OK"))</f>
        <v>OK</v>
      </c>
      <c r="F523" s="147" t="n">
        <v>11.94</v>
      </c>
      <c r="G523" s="80"/>
      <c r="H523" s="83"/>
      <c r="I523" s="148" t="str">
        <f aca="false">IF(B523="","",IFERROR(INDEX('CARNET DE SOUDURE'!$B$7:$B$3006,MATCH(B523,'CARNET DE SOUDURE'!$L$7:$L$3006,0)),IFERROR(INDEX('CARNET DE SOUDURE'!$B$7:$B$3006,MATCH(B523,'CARNET DE SOUDURE'!$O$7:$O$3006,0)),"")))</f>
        <v>MFD-ISW → MFD-CPF</v>
      </c>
      <c r="J523" s="82" t="str">
        <f aca="false">IF(B523="","",IFERROR(INDEX('CARNET DE SOUDURE'!$E$7:$E$3006,MATCH(B523,'CARNET DE SOUDURE'!$O$7:$O$3006,0)),""))</f>
        <v>JN°1225</v>
      </c>
      <c r="K523" s="82" t="str">
        <f aca="false">IF(B523="","",IFERROR(INDEX('CARNET DE SOUDURE'!$E$7:$E$3006,MATCH(B523,'CARNET DE SOUDURE'!$L$7:$L$3006,0)),""))</f>
        <v>DJ°231</v>
      </c>
      <c r="L523" s="82" t="n">
        <f aca="false">IF(B523="","",IFERROR(INDEX('CARNET DE SOUDURE'!$D$7:$D$3006,MATCH(B523,'CARNET DE SOUDURE'!$L$7:$L$3006,0)),IFERROR(INDEX('CARNET DE SOUDURE'!$D$7:$D$3006,MATCH(B523,'CARNET DE SOUDURE'!$O$7:$O$3006,0)),"")))</f>
        <v>13</v>
      </c>
      <c r="M523" s="82" t="str">
        <f aca="false">IF(B523="","",IF(OR(J523&lt;&gt;"",K523&lt;&gt;""),"POSÉ EN LIGNE",IF(COUNTIF(BARDAGE!$C$1:$C$5000,B523)&gt;0,"BARDÉ","EN STOCK")))</f>
        <v>POSÉ EN LIGNE</v>
      </c>
      <c r="N523" s="80"/>
    </row>
    <row r="524" customFormat="false" ht="15" hidden="false" customHeight="false" outlineLevel="0" collapsed="false">
      <c r="A524" s="82" t="n">
        <f aca="false">IF(B524="","",ROW()-6)</f>
        <v>518</v>
      </c>
      <c r="B524" s="145" t="n">
        <v>2089590</v>
      </c>
      <c r="C524" s="146" t="n">
        <v>15421109</v>
      </c>
      <c r="D524" s="146"/>
      <c r="E524" s="82" t="str">
        <f aca="false">IF(B524="","",IF(COUNTIFS('CARNET DE SOUDURE'!$L$7:$L$3006,B524,'CARNET DE SOUDURE'!$M$7:$M$3006,"&lt;&gt;"&amp;C524,'CARNET DE SOUDURE'!$M$7:$M$3006,"&lt;&gt;")+COUNTIFS('CARNET DE SOUDURE'!$O$7:$O$3006,B524,'CARNET DE SOUDURE'!$P$7:$P$3006,"&lt;&gt;"&amp;C524,'CARNET DE SOUDURE'!$P$7:$P$3006,"&lt;&gt;")&gt;0,"⚠ DIFFÉRENTE","OK"))</f>
        <v>OK</v>
      </c>
      <c r="F524" s="147" t="n">
        <v>11.94</v>
      </c>
      <c r="G524" s="80"/>
      <c r="H524" s="83"/>
      <c r="I524" s="148" t="str">
        <f aca="false">IF(B524="","",IFERROR(INDEX('CARNET DE SOUDURE'!$B$7:$B$3006,MATCH(B524,'CARNET DE SOUDURE'!$L$7:$L$3006,0)),IFERROR(INDEX('CARNET DE SOUDURE'!$B$7:$B$3006,MATCH(B524,'CARNET DE SOUDURE'!$O$7:$O$3006,0)),"")))</f>
        <v>MFD-ISW → MFD-CPF</v>
      </c>
      <c r="J524" s="82" t="str">
        <f aca="false">IF(B524="","",IFERROR(INDEX('CARNET DE SOUDURE'!$E$7:$E$3006,MATCH(B524,'CARNET DE SOUDURE'!$O$7:$O$3006,0)),""))</f>
        <v>DJ°231</v>
      </c>
      <c r="K524" s="82" t="str">
        <f aca="false">IF(B524="","",IFERROR(INDEX('CARNET DE SOUDURE'!$E$7:$E$3006,MATCH(B524,'CARNET DE SOUDURE'!$L$7:$L$3006,0)),""))</f>
        <v>JN°1226</v>
      </c>
      <c r="L524" s="82" t="n">
        <f aca="false">IF(B524="","",IFERROR(INDEX('CARNET DE SOUDURE'!$D$7:$D$3006,MATCH(B524,'CARNET DE SOUDURE'!$L$7:$L$3006,0)),IFERROR(INDEX('CARNET DE SOUDURE'!$D$7:$D$3006,MATCH(B524,'CARNET DE SOUDURE'!$O$7:$O$3006,0)),"")))</f>
        <v>13</v>
      </c>
      <c r="M524" s="82" t="str">
        <f aca="false">IF(B524="","",IF(OR(J524&lt;&gt;"",K524&lt;&gt;""),"POSÉ EN LIGNE",IF(COUNTIF(BARDAGE!$C$1:$C$5000,B524)&gt;0,"BARDÉ","EN STOCK")))</f>
        <v>POSÉ EN LIGNE</v>
      </c>
      <c r="N524" s="80"/>
    </row>
    <row r="525" customFormat="false" ht="15" hidden="false" customHeight="false" outlineLevel="0" collapsed="false">
      <c r="A525" s="82" t="n">
        <f aca="false">IF(B525="","",ROW()-6)</f>
        <v>519</v>
      </c>
      <c r="B525" s="145" t="n">
        <v>2096180</v>
      </c>
      <c r="C525" s="146" t="n">
        <v>15421111</v>
      </c>
      <c r="D525" s="146"/>
      <c r="E525" s="82" t="str">
        <f aca="false">IF(B525="","",IF(COUNTIFS('CARNET DE SOUDURE'!$L$7:$L$3006,B525,'CARNET DE SOUDURE'!$M$7:$M$3006,"&lt;&gt;"&amp;C525,'CARNET DE SOUDURE'!$M$7:$M$3006,"&lt;&gt;")+COUNTIFS('CARNET DE SOUDURE'!$O$7:$O$3006,B525,'CARNET DE SOUDURE'!$P$7:$P$3006,"&lt;&gt;"&amp;C525,'CARNET DE SOUDURE'!$P$7:$P$3006,"&lt;&gt;")&gt;0,"⚠ DIFFÉRENTE","OK"))</f>
        <v>OK</v>
      </c>
      <c r="F525" s="147" t="n">
        <v>11.94</v>
      </c>
      <c r="G525" s="80"/>
      <c r="H525" s="83"/>
      <c r="I525" s="148" t="str">
        <f aca="false">IF(B525="","",IFERROR(INDEX('CARNET DE SOUDURE'!$B$7:$B$3006,MATCH(B525,'CARNET DE SOUDURE'!$L$7:$L$3006,0)),IFERROR(INDEX('CARNET DE SOUDURE'!$B$7:$B$3006,MATCH(B525,'CARNET DE SOUDURE'!$O$7:$O$3006,0)),"")))</f>
        <v>MFD-ISW → MFD-CPF</v>
      </c>
      <c r="J525" s="82" t="str">
        <f aca="false">IF(B525="","",IFERROR(INDEX('CARNET DE SOUDURE'!$E$7:$E$3006,MATCH(B525,'CARNET DE SOUDURE'!$O$7:$O$3006,0)),""))</f>
        <v>JN°1226</v>
      </c>
      <c r="K525" s="82" t="str">
        <f aca="false">IF(B525="","",IFERROR(INDEX('CARNET DE SOUDURE'!$E$7:$E$3006,MATCH(B525,'CARNET DE SOUDURE'!$L$7:$L$3006,0)),""))</f>
        <v>DJ°272</v>
      </c>
      <c r="L525" s="82" t="n">
        <f aca="false">IF(B525="","",IFERROR(INDEX('CARNET DE SOUDURE'!$D$7:$D$3006,MATCH(B525,'CARNET DE SOUDURE'!$L$7:$L$3006,0)),IFERROR(INDEX('CARNET DE SOUDURE'!$D$7:$D$3006,MATCH(B525,'CARNET DE SOUDURE'!$O$7:$O$3006,0)),"")))</f>
        <v>13</v>
      </c>
      <c r="M525" s="82" t="str">
        <f aca="false">IF(B525="","",IF(OR(J525&lt;&gt;"",K525&lt;&gt;""),"POSÉ EN LIGNE",IF(COUNTIF(BARDAGE!$C$1:$C$5000,B525)&gt;0,"BARDÉ","EN STOCK")))</f>
        <v>POSÉ EN LIGNE</v>
      </c>
      <c r="N525" s="80"/>
    </row>
    <row r="526" customFormat="false" ht="15" hidden="false" customHeight="false" outlineLevel="0" collapsed="false">
      <c r="A526" s="82" t="n">
        <f aca="false">IF(B526="","",ROW()-6)</f>
        <v>520</v>
      </c>
      <c r="B526" s="145" t="n">
        <v>2085970</v>
      </c>
      <c r="C526" s="146" t="n">
        <v>15421107</v>
      </c>
      <c r="D526" s="146"/>
      <c r="E526" s="82" t="str">
        <f aca="false">IF(B526="","",IF(COUNTIFS('CARNET DE SOUDURE'!$L$7:$L$3006,B526,'CARNET DE SOUDURE'!$M$7:$M$3006,"&lt;&gt;"&amp;C526,'CARNET DE SOUDURE'!$M$7:$M$3006,"&lt;&gt;")+COUNTIFS('CARNET DE SOUDURE'!$O$7:$O$3006,B526,'CARNET DE SOUDURE'!$P$7:$P$3006,"&lt;&gt;"&amp;C526,'CARNET DE SOUDURE'!$P$7:$P$3006,"&lt;&gt;")&gt;0,"⚠ DIFFÉRENTE","OK"))</f>
        <v>OK</v>
      </c>
      <c r="F526" s="147" t="n">
        <v>11.94</v>
      </c>
      <c r="G526" s="80"/>
      <c r="H526" s="83"/>
      <c r="I526" s="148" t="str">
        <f aca="false">IF(B526="","",IFERROR(INDEX('CARNET DE SOUDURE'!$B$7:$B$3006,MATCH(B526,'CARNET DE SOUDURE'!$L$7:$L$3006,0)),IFERROR(INDEX('CARNET DE SOUDURE'!$B$7:$B$3006,MATCH(B526,'CARNET DE SOUDURE'!$O$7:$O$3006,0)),"")))</f>
        <v>MFD-ISW → MFD-CPF</v>
      </c>
      <c r="J526" s="82" t="str">
        <f aca="false">IF(B526="","",IFERROR(INDEX('CARNET DE SOUDURE'!$E$7:$E$3006,MATCH(B526,'CARNET DE SOUDURE'!$O$7:$O$3006,0)),""))</f>
        <v>DJ°272</v>
      </c>
      <c r="K526" s="82" t="str">
        <f aca="false">IF(B526="","",IFERROR(INDEX('CARNET DE SOUDURE'!$E$7:$E$3006,MATCH(B526,'CARNET DE SOUDURE'!$L$7:$L$3006,0)),""))</f>
        <v>JN°1227</v>
      </c>
      <c r="L526" s="82" t="n">
        <f aca="false">IF(B526="","",IFERROR(INDEX('CARNET DE SOUDURE'!$D$7:$D$3006,MATCH(B526,'CARNET DE SOUDURE'!$L$7:$L$3006,0)),IFERROR(INDEX('CARNET DE SOUDURE'!$D$7:$D$3006,MATCH(B526,'CARNET DE SOUDURE'!$O$7:$O$3006,0)),"")))</f>
        <v>13</v>
      </c>
      <c r="M526" s="82" t="str">
        <f aca="false">IF(B526="","",IF(OR(J526&lt;&gt;"",K526&lt;&gt;""),"POSÉ EN LIGNE",IF(COUNTIF(BARDAGE!$C$1:$C$5000,B526)&gt;0,"BARDÉ","EN STOCK")))</f>
        <v>POSÉ EN LIGNE</v>
      </c>
      <c r="N526" s="80"/>
    </row>
    <row r="527" customFormat="false" ht="15" hidden="false" customHeight="false" outlineLevel="0" collapsed="false">
      <c r="A527" s="82" t="n">
        <f aca="false">IF(B527="","",ROW()-6)</f>
        <v>521</v>
      </c>
      <c r="B527" s="145" t="n">
        <v>2094550</v>
      </c>
      <c r="C527" s="146" t="n">
        <v>145421111</v>
      </c>
      <c r="D527" s="146"/>
      <c r="E527" s="82" t="str">
        <f aca="false">IF(B527="","",IF(COUNTIFS('CARNET DE SOUDURE'!$L$7:$L$3006,B527,'CARNET DE SOUDURE'!$M$7:$M$3006,"&lt;&gt;"&amp;C527,'CARNET DE SOUDURE'!$M$7:$M$3006,"&lt;&gt;")+COUNTIFS('CARNET DE SOUDURE'!$O$7:$O$3006,B527,'CARNET DE SOUDURE'!$P$7:$P$3006,"&lt;&gt;"&amp;C527,'CARNET DE SOUDURE'!$P$7:$P$3006,"&lt;&gt;")&gt;0,"⚠ DIFFÉRENTE","OK"))</f>
        <v>OK</v>
      </c>
      <c r="F527" s="147" t="n">
        <v>11.94</v>
      </c>
      <c r="G527" s="80"/>
      <c r="H527" s="83"/>
      <c r="I527" s="148" t="str">
        <f aca="false">IF(B527="","",IFERROR(INDEX('CARNET DE SOUDURE'!$B$7:$B$3006,MATCH(B527,'CARNET DE SOUDURE'!$L$7:$L$3006,0)),IFERROR(INDEX('CARNET DE SOUDURE'!$B$7:$B$3006,MATCH(B527,'CARNET DE SOUDURE'!$O$7:$O$3006,0)),"")))</f>
        <v>MFD-ISW → MFD-CPF</v>
      </c>
      <c r="J527" s="82" t="str">
        <f aca="false">IF(B527="","",IFERROR(INDEX('CARNET DE SOUDURE'!$E$7:$E$3006,MATCH(B527,'CARNET DE SOUDURE'!$O$7:$O$3006,0)),""))</f>
        <v>JN°1227</v>
      </c>
      <c r="K527" s="82" t="str">
        <f aca="false">IF(B527="","",IFERROR(INDEX('CARNET DE SOUDURE'!$E$7:$E$3006,MATCH(B527,'CARNET DE SOUDURE'!$L$7:$L$3006,0)),""))</f>
        <v>DJ°247</v>
      </c>
      <c r="L527" s="82" t="n">
        <f aca="false">IF(B527="","",IFERROR(INDEX('CARNET DE SOUDURE'!$D$7:$D$3006,MATCH(B527,'CARNET DE SOUDURE'!$L$7:$L$3006,0)),IFERROR(INDEX('CARNET DE SOUDURE'!$D$7:$D$3006,MATCH(B527,'CARNET DE SOUDURE'!$O$7:$O$3006,0)),"")))</f>
        <v>13</v>
      </c>
      <c r="M527" s="82" t="str">
        <f aca="false">IF(B527="","",IF(OR(J527&lt;&gt;"",K527&lt;&gt;""),"POSÉ EN LIGNE",IF(COUNTIF(BARDAGE!$C$1:$C$5000,B527)&gt;0,"BARDÉ","EN STOCK")))</f>
        <v>POSÉ EN LIGNE</v>
      </c>
      <c r="N527" s="80"/>
    </row>
    <row r="528" customFormat="false" ht="15" hidden="false" customHeight="false" outlineLevel="0" collapsed="false">
      <c r="A528" s="82" t="n">
        <f aca="false">IF(B528="","",ROW()-6)</f>
        <v>522</v>
      </c>
      <c r="B528" s="145" t="n">
        <v>2090060</v>
      </c>
      <c r="C528" s="146" t="n">
        <v>15421109</v>
      </c>
      <c r="D528" s="146"/>
      <c r="E528" s="82" t="str">
        <f aca="false">IF(B528="","",IF(COUNTIFS('CARNET DE SOUDURE'!$L$7:$L$3006,B528,'CARNET DE SOUDURE'!$M$7:$M$3006,"&lt;&gt;"&amp;C528,'CARNET DE SOUDURE'!$M$7:$M$3006,"&lt;&gt;")+COUNTIFS('CARNET DE SOUDURE'!$O$7:$O$3006,B528,'CARNET DE SOUDURE'!$P$7:$P$3006,"&lt;&gt;"&amp;C528,'CARNET DE SOUDURE'!$P$7:$P$3006,"&lt;&gt;")&gt;0,"⚠ DIFFÉRENTE","OK"))</f>
        <v>OK</v>
      </c>
      <c r="F528" s="147" t="n">
        <v>11.94</v>
      </c>
      <c r="G528" s="80"/>
      <c r="H528" s="83"/>
      <c r="I528" s="148" t="str">
        <f aca="false">IF(B528="","",IFERROR(INDEX('CARNET DE SOUDURE'!$B$7:$B$3006,MATCH(B528,'CARNET DE SOUDURE'!$L$7:$L$3006,0)),IFERROR(INDEX('CARNET DE SOUDURE'!$B$7:$B$3006,MATCH(B528,'CARNET DE SOUDURE'!$O$7:$O$3006,0)),"")))</f>
        <v>MFD-ISW → MFD-CPF</v>
      </c>
      <c r="J528" s="82" t="str">
        <f aca="false">IF(B528="","",IFERROR(INDEX('CARNET DE SOUDURE'!$E$7:$E$3006,MATCH(B528,'CARNET DE SOUDURE'!$O$7:$O$3006,0)),""))</f>
        <v>DJ°247</v>
      </c>
      <c r="K528" s="82" t="str">
        <f aca="false">IF(B528="","",IFERROR(INDEX('CARNET DE SOUDURE'!$E$7:$E$3006,MATCH(B528,'CARNET DE SOUDURE'!$L$7:$L$3006,0)),""))</f>
        <v>JN°1228</v>
      </c>
      <c r="L528" s="82" t="n">
        <f aca="false">IF(B528="","",IFERROR(INDEX('CARNET DE SOUDURE'!$D$7:$D$3006,MATCH(B528,'CARNET DE SOUDURE'!$L$7:$L$3006,0)),IFERROR(INDEX('CARNET DE SOUDURE'!$D$7:$D$3006,MATCH(B528,'CARNET DE SOUDURE'!$O$7:$O$3006,0)),"")))</f>
        <v>13</v>
      </c>
      <c r="M528" s="82" t="str">
        <f aca="false">IF(B528="","",IF(OR(J528&lt;&gt;"",K528&lt;&gt;""),"POSÉ EN LIGNE",IF(COUNTIF(BARDAGE!$C$1:$C$5000,B528)&gt;0,"BARDÉ","EN STOCK")))</f>
        <v>POSÉ EN LIGNE</v>
      </c>
      <c r="N528" s="80"/>
    </row>
    <row r="529" customFormat="false" ht="15" hidden="false" customHeight="false" outlineLevel="0" collapsed="false">
      <c r="A529" s="82" t="n">
        <f aca="false">IF(B529="","",ROW()-6)</f>
        <v>523</v>
      </c>
      <c r="B529" s="145" t="n">
        <v>2085690</v>
      </c>
      <c r="C529" s="146" t="n">
        <v>15421107</v>
      </c>
      <c r="D529" s="146"/>
      <c r="E529" s="82" t="str">
        <f aca="false">IF(B529="","",IF(COUNTIFS('CARNET DE SOUDURE'!$L$7:$L$3006,B529,'CARNET DE SOUDURE'!$M$7:$M$3006,"&lt;&gt;"&amp;C529,'CARNET DE SOUDURE'!$M$7:$M$3006,"&lt;&gt;")+COUNTIFS('CARNET DE SOUDURE'!$O$7:$O$3006,B529,'CARNET DE SOUDURE'!$P$7:$P$3006,"&lt;&gt;"&amp;C529,'CARNET DE SOUDURE'!$P$7:$P$3006,"&lt;&gt;")&gt;0,"⚠ DIFFÉRENTE","OK"))</f>
        <v>OK</v>
      </c>
      <c r="F529" s="147" t="n">
        <v>11.94</v>
      </c>
      <c r="G529" s="80"/>
      <c r="H529" s="83"/>
      <c r="I529" s="148" t="str">
        <f aca="false">IF(B529="","",IFERROR(INDEX('CARNET DE SOUDURE'!$B$7:$B$3006,MATCH(B529,'CARNET DE SOUDURE'!$L$7:$L$3006,0)),IFERROR(INDEX('CARNET DE SOUDURE'!$B$7:$B$3006,MATCH(B529,'CARNET DE SOUDURE'!$O$7:$O$3006,0)),"")))</f>
        <v>MFD-ISW → MFD-CPF</v>
      </c>
      <c r="J529" s="82" t="str">
        <f aca="false">IF(B529="","",IFERROR(INDEX('CARNET DE SOUDURE'!$E$7:$E$3006,MATCH(B529,'CARNET DE SOUDURE'!$O$7:$O$3006,0)),""))</f>
        <v>JN°1228</v>
      </c>
      <c r="K529" s="82" t="str">
        <f aca="false">IF(B529="","",IFERROR(INDEX('CARNET DE SOUDURE'!$E$7:$E$3006,MATCH(B529,'CARNET DE SOUDURE'!$L$7:$L$3006,0)),""))</f>
        <v>DJ°267</v>
      </c>
      <c r="L529" s="82" t="n">
        <f aca="false">IF(B529="","",IFERROR(INDEX('CARNET DE SOUDURE'!$D$7:$D$3006,MATCH(B529,'CARNET DE SOUDURE'!$L$7:$L$3006,0)),IFERROR(INDEX('CARNET DE SOUDURE'!$D$7:$D$3006,MATCH(B529,'CARNET DE SOUDURE'!$O$7:$O$3006,0)),"")))</f>
        <v>13</v>
      </c>
      <c r="M529" s="82" t="str">
        <f aca="false">IF(B529="","",IF(OR(J529&lt;&gt;"",K529&lt;&gt;""),"POSÉ EN LIGNE",IF(COUNTIF(BARDAGE!$C$1:$C$5000,B529)&gt;0,"BARDÉ","EN STOCK")))</f>
        <v>POSÉ EN LIGNE</v>
      </c>
      <c r="N529" s="80"/>
    </row>
    <row r="530" customFormat="false" ht="15" hidden="false" customHeight="false" outlineLevel="0" collapsed="false">
      <c r="A530" s="82" t="n">
        <f aca="false">IF(B530="","",ROW()-6)</f>
        <v>524</v>
      </c>
      <c r="B530" s="145" t="n">
        <v>2087700</v>
      </c>
      <c r="C530" s="146" t="n">
        <v>15421108</v>
      </c>
      <c r="D530" s="146"/>
      <c r="E530" s="82" t="str">
        <f aca="false">IF(B530="","",IF(COUNTIFS('CARNET DE SOUDURE'!$L$7:$L$3006,B530,'CARNET DE SOUDURE'!$M$7:$M$3006,"&lt;&gt;"&amp;C530,'CARNET DE SOUDURE'!$M$7:$M$3006,"&lt;&gt;")+COUNTIFS('CARNET DE SOUDURE'!$O$7:$O$3006,B530,'CARNET DE SOUDURE'!$P$7:$P$3006,"&lt;&gt;"&amp;C530,'CARNET DE SOUDURE'!$P$7:$P$3006,"&lt;&gt;")&gt;0,"⚠ DIFFÉRENTE","OK"))</f>
        <v>OK</v>
      </c>
      <c r="F530" s="147" t="n">
        <v>11.94</v>
      </c>
      <c r="G530" s="80"/>
      <c r="H530" s="83"/>
      <c r="I530" s="148" t="str">
        <f aca="false">IF(B530="","",IFERROR(INDEX('CARNET DE SOUDURE'!$B$7:$B$3006,MATCH(B530,'CARNET DE SOUDURE'!$L$7:$L$3006,0)),IFERROR(INDEX('CARNET DE SOUDURE'!$B$7:$B$3006,MATCH(B530,'CARNET DE SOUDURE'!$O$7:$O$3006,0)),"")))</f>
        <v>MFD-ISW → MFD-CPF</v>
      </c>
      <c r="J530" s="82" t="str">
        <f aca="false">IF(B530="","",IFERROR(INDEX('CARNET DE SOUDURE'!$E$7:$E$3006,MATCH(B530,'CARNET DE SOUDURE'!$O$7:$O$3006,0)),""))</f>
        <v>DJ°267</v>
      </c>
      <c r="K530" s="82" t="str">
        <f aca="false">IF(B530="","",IFERROR(INDEX('CARNET DE SOUDURE'!$E$7:$E$3006,MATCH(B530,'CARNET DE SOUDURE'!$L$7:$L$3006,0)),""))</f>
        <v>JN°1229</v>
      </c>
      <c r="L530" s="82" t="n">
        <f aca="false">IF(B530="","",IFERROR(INDEX('CARNET DE SOUDURE'!$D$7:$D$3006,MATCH(B530,'CARNET DE SOUDURE'!$L$7:$L$3006,0)),IFERROR(INDEX('CARNET DE SOUDURE'!$D$7:$D$3006,MATCH(B530,'CARNET DE SOUDURE'!$O$7:$O$3006,0)),"")))</f>
        <v>13</v>
      </c>
      <c r="M530" s="82" t="str">
        <f aca="false">IF(B530="","",IF(OR(J530&lt;&gt;"",K530&lt;&gt;""),"POSÉ EN LIGNE",IF(COUNTIF(BARDAGE!$C$1:$C$5000,B530)&gt;0,"BARDÉ","EN STOCK")))</f>
        <v>POSÉ EN LIGNE</v>
      </c>
      <c r="N530" s="80"/>
    </row>
    <row r="531" customFormat="false" ht="15" hidden="false" customHeight="false" outlineLevel="0" collapsed="false">
      <c r="A531" s="82" t="n">
        <f aca="false">IF(B531="","",ROW()-6)</f>
        <v>525</v>
      </c>
      <c r="B531" s="145" t="n">
        <v>2079970</v>
      </c>
      <c r="C531" s="146" t="n">
        <v>15421102</v>
      </c>
      <c r="D531" s="146"/>
      <c r="E531" s="82" t="str">
        <f aca="false">IF(B531="","",IF(COUNTIFS('CARNET DE SOUDURE'!$L$7:$L$3006,B531,'CARNET DE SOUDURE'!$M$7:$M$3006,"&lt;&gt;"&amp;C531,'CARNET DE SOUDURE'!$M$7:$M$3006,"&lt;&gt;")+COUNTIFS('CARNET DE SOUDURE'!$O$7:$O$3006,B531,'CARNET DE SOUDURE'!$P$7:$P$3006,"&lt;&gt;"&amp;C531,'CARNET DE SOUDURE'!$P$7:$P$3006,"&lt;&gt;")&gt;0,"⚠ DIFFÉRENTE","OK"))</f>
        <v>OK</v>
      </c>
      <c r="F531" s="147" t="n">
        <v>11.94</v>
      </c>
      <c r="G531" s="80"/>
      <c r="H531" s="83"/>
      <c r="I531" s="148" t="str">
        <f aca="false">IF(B531="","",IFERROR(INDEX('CARNET DE SOUDURE'!$B$7:$B$3006,MATCH(B531,'CARNET DE SOUDURE'!$L$7:$L$3006,0)),IFERROR(INDEX('CARNET DE SOUDURE'!$B$7:$B$3006,MATCH(B531,'CARNET DE SOUDURE'!$O$7:$O$3006,0)),"")))</f>
        <v>MFD-ISW → MFD-CPF</v>
      </c>
      <c r="J531" s="82" t="str">
        <f aca="false">IF(B531="","",IFERROR(INDEX('CARNET DE SOUDURE'!$E$7:$E$3006,MATCH(B531,'CARNET DE SOUDURE'!$O$7:$O$3006,0)),""))</f>
        <v>JN°1229</v>
      </c>
      <c r="K531" s="82" t="str">
        <f aca="false">IF(B531="","",IFERROR(INDEX('CARNET DE SOUDURE'!$E$7:$E$3006,MATCH(B531,'CARNET DE SOUDURE'!$L$7:$L$3006,0)),""))</f>
        <v>DJ°237</v>
      </c>
      <c r="L531" s="82" t="n">
        <f aca="false">IF(B531="","",IFERROR(INDEX('CARNET DE SOUDURE'!$D$7:$D$3006,MATCH(B531,'CARNET DE SOUDURE'!$L$7:$L$3006,0)),IFERROR(INDEX('CARNET DE SOUDURE'!$D$7:$D$3006,MATCH(B531,'CARNET DE SOUDURE'!$O$7:$O$3006,0)),"")))</f>
        <v>13</v>
      </c>
      <c r="M531" s="82" t="str">
        <f aca="false">IF(B531="","",IF(OR(J531&lt;&gt;"",K531&lt;&gt;""),"POSÉ EN LIGNE",IF(COUNTIF(BARDAGE!$C$1:$C$5000,B531)&gt;0,"BARDÉ","EN STOCK")))</f>
        <v>POSÉ EN LIGNE</v>
      </c>
      <c r="N531" s="80"/>
    </row>
    <row r="532" customFormat="false" ht="15" hidden="false" customHeight="false" outlineLevel="0" collapsed="false">
      <c r="A532" s="82" t="n">
        <f aca="false">IF(B532="","",ROW()-6)</f>
        <v>526</v>
      </c>
      <c r="B532" s="145" t="n">
        <v>2079650</v>
      </c>
      <c r="C532" s="146" t="n">
        <v>15421102</v>
      </c>
      <c r="D532" s="146"/>
      <c r="E532" s="82" t="str">
        <f aca="false">IF(B532="","",IF(COUNTIFS('CARNET DE SOUDURE'!$L$7:$L$3006,B532,'CARNET DE SOUDURE'!$M$7:$M$3006,"&lt;&gt;"&amp;C532,'CARNET DE SOUDURE'!$M$7:$M$3006,"&lt;&gt;")+COUNTIFS('CARNET DE SOUDURE'!$O$7:$O$3006,B532,'CARNET DE SOUDURE'!$P$7:$P$3006,"&lt;&gt;"&amp;C532,'CARNET DE SOUDURE'!$P$7:$P$3006,"&lt;&gt;")&gt;0,"⚠ DIFFÉRENTE","OK"))</f>
        <v>OK</v>
      </c>
      <c r="F532" s="147" t="n">
        <v>11.94</v>
      </c>
      <c r="G532" s="80"/>
      <c r="H532" s="83"/>
      <c r="I532" s="148" t="str">
        <f aca="false">IF(B532="","",IFERROR(INDEX('CARNET DE SOUDURE'!$B$7:$B$3006,MATCH(B532,'CARNET DE SOUDURE'!$L$7:$L$3006,0)),IFERROR(INDEX('CARNET DE SOUDURE'!$B$7:$B$3006,MATCH(B532,'CARNET DE SOUDURE'!$O$7:$O$3006,0)),"")))</f>
        <v>MFD-ISW → MFD-CPF</v>
      </c>
      <c r="J532" s="82" t="str">
        <f aca="false">IF(B532="","",IFERROR(INDEX('CARNET DE SOUDURE'!$E$7:$E$3006,MATCH(B532,'CARNET DE SOUDURE'!$O$7:$O$3006,0)),""))</f>
        <v>DJ°237</v>
      </c>
      <c r="K532" s="82" t="str">
        <f aca="false">IF(B532="","",IFERROR(INDEX('CARNET DE SOUDURE'!$E$7:$E$3006,MATCH(B532,'CARNET DE SOUDURE'!$L$7:$L$3006,0)),""))</f>
        <v>JN°1230</v>
      </c>
      <c r="L532" s="82" t="n">
        <f aca="false">IF(B532="","",IFERROR(INDEX('CARNET DE SOUDURE'!$D$7:$D$3006,MATCH(B532,'CARNET DE SOUDURE'!$L$7:$L$3006,0)),IFERROR(INDEX('CARNET DE SOUDURE'!$D$7:$D$3006,MATCH(B532,'CARNET DE SOUDURE'!$O$7:$O$3006,0)),"")))</f>
        <v>13</v>
      </c>
      <c r="M532" s="82" t="str">
        <f aca="false">IF(B532="","",IF(OR(J532&lt;&gt;"",K532&lt;&gt;""),"POSÉ EN LIGNE",IF(COUNTIF(BARDAGE!$C$1:$C$5000,B532)&gt;0,"BARDÉ","EN STOCK")))</f>
        <v>POSÉ EN LIGNE</v>
      </c>
      <c r="N532" s="80"/>
    </row>
    <row r="533" customFormat="false" ht="15" hidden="false" customHeight="false" outlineLevel="0" collapsed="false">
      <c r="A533" s="82" t="n">
        <f aca="false">IF(B533="","",ROW()-6)</f>
        <v>527</v>
      </c>
      <c r="B533" s="145" t="n">
        <v>2092540</v>
      </c>
      <c r="C533" s="146" t="n">
        <v>15421110</v>
      </c>
      <c r="D533" s="146"/>
      <c r="E533" s="82" t="str">
        <f aca="false">IF(B533="","",IF(COUNTIFS('CARNET DE SOUDURE'!$L$7:$L$3006,B533,'CARNET DE SOUDURE'!$M$7:$M$3006,"&lt;&gt;"&amp;C533,'CARNET DE SOUDURE'!$M$7:$M$3006,"&lt;&gt;")+COUNTIFS('CARNET DE SOUDURE'!$O$7:$O$3006,B533,'CARNET DE SOUDURE'!$P$7:$P$3006,"&lt;&gt;"&amp;C533,'CARNET DE SOUDURE'!$P$7:$P$3006,"&lt;&gt;")&gt;0,"⚠ DIFFÉRENTE","OK"))</f>
        <v>OK</v>
      </c>
      <c r="F533" s="147" t="n">
        <v>11.94</v>
      </c>
      <c r="G533" s="80"/>
      <c r="H533" s="83"/>
      <c r="I533" s="148" t="str">
        <f aca="false">IF(B533="","",IFERROR(INDEX('CARNET DE SOUDURE'!$B$7:$B$3006,MATCH(B533,'CARNET DE SOUDURE'!$L$7:$L$3006,0)),IFERROR(INDEX('CARNET DE SOUDURE'!$B$7:$B$3006,MATCH(B533,'CARNET DE SOUDURE'!$O$7:$O$3006,0)),"")))</f>
        <v>MFD-ISW → MFD-CPF</v>
      </c>
      <c r="J533" s="82" t="str">
        <f aca="false">IF(B533="","",IFERROR(INDEX('CARNET DE SOUDURE'!$E$7:$E$3006,MATCH(B533,'CARNET DE SOUDURE'!$O$7:$O$3006,0)),""))</f>
        <v>JN°1230</v>
      </c>
      <c r="K533" s="82" t="str">
        <f aca="false">IF(B533="","",IFERROR(INDEX('CARNET DE SOUDURE'!$E$7:$E$3006,MATCH(B533,'CARNET DE SOUDURE'!$L$7:$L$3006,0)),""))</f>
        <v>DJ°244</v>
      </c>
      <c r="L533" s="82" t="n">
        <f aca="false">IF(B533="","",IFERROR(INDEX('CARNET DE SOUDURE'!$D$7:$D$3006,MATCH(B533,'CARNET DE SOUDURE'!$L$7:$L$3006,0)),IFERROR(INDEX('CARNET DE SOUDURE'!$D$7:$D$3006,MATCH(B533,'CARNET DE SOUDURE'!$O$7:$O$3006,0)),"")))</f>
        <v>13</v>
      </c>
      <c r="M533" s="82" t="str">
        <f aca="false">IF(B533="","",IF(OR(J533&lt;&gt;"",K533&lt;&gt;""),"POSÉ EN LIGNE",IF(COUNTIF(BARDAGE!$C$1:$C$5000,B533)&gt;0,"BARDÉ","EN STOCK")))</f>
        <v>POSÉ EN LIGNE</v>
      </c>
      <c r="N533" s="80"/>
    </row>
    <row r="534" customFormat="false" ht="15" hidden="false" customHeight="false" outlineLevel="0" collapsed="false">
      <c r="A534" s="82" t="n">
        <f aca="false">IF(B534="","",ROW()-6)</f>
        <v>528</v>
      </c>
      <c r="B534" s="145" t="n">
        <v>2094910</v>
      </c>
      <c r="C534" s="146" t="n">
        <v>15421111</v>
      </c>
      <c r="D534" s="146"/>
      <c r="E534" s="82" t="str">
        <f aca="false">IF(B534="","",IF(COUNTIFS('CARNET DE SOUDURE'!$L$7:$L$3006,B534,'CARNET DE SOUDURE'!$M$7:$M$3006,"&lt;&gt;"&amp;C534,'CARNET DE SOUDURE'!$M$7:$M$3006,"&lt;&gt;")+COUNTIFS('CARNET DE SOUDURE'!$O$7:$O$3006,B534,'CARNET DE SOUDURE'!$P$7:$P$3006,"&lt;&gt;"&amp;C534,'CARNET DE SOUDURE'!$P$7:$P$3006,"&lt;&gt;")&gt;0,"⚠ DIFFÉRENTE","OK"))</f>
        <v>OK</v>
      </c>
      <c r="F534" s="147" t="n">
        <v>11.94</v>
      </c>
      <c r="G534" s="80"/>
      <c r="H534" s="83"/>
      <c r="I534" s="148" t="str">
        <f aca="false">IF(B534="","",IFERROR(INDEX('CARNET DE SOUDURE'!$B$7:$B$3006,MATCH(B534,'CARNET DE SOUDURE'!$L$7:$L$3006,0)),IFERROR(INDEX('CARNET DE SOUDURE'!$B$7:$B$3006,MATCH(B534,'CARNET DE SOUDURE'!$O$7:$O$3006,0)),"")))</f>
        <v>MFD-ISW → MFD-CPF</v>
      </c>
      <c r="J534" s="82" t="str">
        <f aca="false">IF(B534="","",IFERROR(INDEX('CARNET DE SOUDURE'!$E$7:$E$3006,MATCH(B534,'CARNET DE SOUDURE'!$O$7:$O$3006,0)),""))</f>
        <v>DJ°244</v>
      </c>
      <c r="K534" s="82" t="str">
        <f aca="false">IF(B534="","",IFERROR(INDEX('CARNET DE SOUDURE'!$E$7:$E$3006,MATCH(B534,'CARNET DE SOUDURE'!$L$7:$L$3006,0)),""))</f>
        <v>JN°1231</v>
      </c>
      <c r="L534" s="82" t="n">
        <f aca="false">IF(B534="","",IFERROR(INDEX('CARNET DE SOUDURE'!$D$7:$D$3006,MATCH(B534,'CARNET DE SOUDURE'!$L$7:$L$3006,0)),IFERROR(INDEX('CARNET DE SOUDURE'!$D$7:$D$3006,MATCH(B534,'CARNET DE SOUDURE'!$O$7:$O$3006,0)),"")))</f>
        <v>13</v>
      </c>
      <c r="M534" s="82" t="str">
        <f aca="false">IF(B534="","",IF(OR(J534&lt;&gt;"",K534&lt;&gt;""),"POSÉ EN LIGNE",IF(COUNTIF(BARDAGE!$C$1:$C$5000,B534)&gt;0,"BARDÉ","EN STOCK")))</f>
        <v>POSÉ EN LIGNE</v>
      </c>
      <c r="N534" s="80"/>
    </row>
    <row r="535" customFormat="false" ht="15" hidden="false" customHeight="false" outlineLevel="0" collapsed="false">
      <c r="A535" s="82" t="n">
        <f aca="false">IF(B535="","",ROW()-6)</f>
        <v>529</v>
      </c>
      <c r="B535" s="145" t="n">
        <v>2081580</v>
      </c>
      <c r="C535" s="146" t="n">
        <v>15421103</v>
      </c>
      <c r="D535" s="146"/>
      <c r="E535" s="82" t="str">
        <f aca="false">IF(B535="","",IF(COUNTIFS('CARNET DE SOUDURE'!$L$7:$L$3006,B535,'CARNET DE SOUDURE'!$M$7:$M$3006,"&lt;&gt;"&amp;C535,'CARNET DE SOUDURE'!$M$7:$M$3006,"&lt;&gt;")+COUNTIFS('CARNET DE SOUDURE'!$O$7:$O$3006,B535,'CARNET DE SOUDURE'!$P$7:$P$3006,"&lt;&gt;"&amp;C535,'CARNET DE SOUDURE'!$P$7:$P$3006,"&lt;&gt;")&gt;0,"⚠ DIFFÉRENTE","OK"))</f>
        <v>⚠ DIFFÉRENTE</v>
      </c>
      <c r="F535" s="147" t="n">
        <v>11.94</v>
      </c>
      <c r="G535" s="80"/>
      <c r="H535" s="83"/>
      <c r="I535" s="148" t="str">
        <f aca="false">IF(B535="","",IFERROR(INDEX('CARNET DE SOUDURE'!$B$7:$B$3006,MATCH(B535,'CARNET DE SOUDURE'!$L$7:$L$3006,0)),IFERROR(INDEX('CARNET DE SOUDURE'!$B$7:$B$3006,MATCH(B535,'CARNET DE SOUDURE'!$O$7:$O$3006,0)),"")))</f>
        <v>MFD-ISW → MFD-CPF</v>
      </c>
      <c r="J535" s="82" t="str">
        <f aca="false">IF(B535="","",IFERROR(INDEX('CARNET DE SOUDURE'!$E$7:$E$3006,MATCH(B535,'CARNET DE SOUDURE'!$O$7:$O$3006,0)),""))</f>
        <v>JN°1231</v>
      </c>
      <c r="K535" s="82" t="str">
        <f aca="false">IF(B535="","",IFERROR(INDEX('CARNET DE SOUDURE'!$E$7:$E$3006,MATCH(B535,'CARNET DE SOUDURE'!$L$7:$L$3006,0)),""))</f>
        <v>DJ°262</v>
      </c>
      <c r="L535" s="82" t="n">
        <f aca="false">IF(B535="","",IFERROR(INDEX('CARNET DE SOUDURE'!$D$7:$D$3006,MATCH(B535,'CARNET DE SOUDURE'!$L$7:$L$3006,0)),IFERROR(INDEX('CARNET DE SOUDURE'!$D$7:$D$3006,MATCH(B535,'CARNET DE SOUDURE'!$O$7:$O$3006,0)),"")))</f>
        <v>13</v>
      </c>
      <c r="M535" s="82" t="str">
        <f aca="false">IF(B535="","",IF(OR(J535&lt;&gt;"",K535&lt;&gt;""),"POSÉ EN LIGNE",IF(COUNTIF(BARDAGE!$C$1:$C$5000,B535)&gt;0,"BARDÉ","EN STOCK")))</f>
        <v>POSÉ EN LIGNE</v>
      </c>
      <c r="N535" s="80"/>
    </row>
    <row r="536" customFormat="false" ht="15" hidden="false" customHeight="false" outlineLevel="0" collapsed="false">
      <c r="A536" s="82" t="n">
        <f aca="false">IF(B536="","",ROW()-6)</f>
        <v>530</v>
      </c>
      <c r="B536" s="145" t="n">
        <v>2085810</v>
      </c>
      <c r="C536" s="146" t="n">
        <v>15421107</v>
      </c>
      <c r="D536" s="146"/>
      <c r="E536" s="82" t="str">
        <f aca="false">IF(B536="","",IF(COUNTIFS('CARNET DE SOUDURE'!$L$7:$L$3006,B536,'CARNET DE SOUDURE'!$M$7:$M$3006,"&lt;&gt;"&amp;C536,'CARNET DE SOUDURE'!$M$7:$M$3006,"&lt;&gt;")+COUNTIFS('CARNET DE SOUDURE'!$O$7:$O$3006,B536,'CARNET DE SOUDURE'!$P$7:$P$3006,"&lt;&gt;"&amp;C536,'CARNET DE SOUDURE'!$P$7:$P$3006,"&lt;&gt;")&gt;0,"⚠ DIFFÉRENTE","OK"))</f>
        <v>OK</v>
      </c>
      <c r="F536" s="147" t="n">
        <v>11.94</v>
      </c>
      <c r="G536" s="80"/>
      <c r="H536" s="83"/>
      <c r="I536" s="148" t="str">
        <f aca="false">IF(B536="","",IFERROR(INDEX('CARNET DE SOUDURE'!$B$7:$B$3006,MATCH(B536,'CARNET DE SOUDURE'!$L$7:$L$3006,0)),IFERROR(INDEX('CARNET DE SOUDURE'!$B$7:$B$3006,MATCH(B536,'CARNET DE SOUDURE'!$O$7:$O$3006,0)),"")))</f>
        <v>MFD-ISW → MFD-CPF</v>
      </c>
      <c r="J536" s="82" t="str">
        <f aca="false">IF(B536="","",IFERROR(INDEX('CARNET DE SOUDURE'!$E$7:$E$3006,MATCH(B536,'CARNET DE SOUDURE'!$O$7:$O$3006,0)),""))</f>
        <v>DJ°262</v>
      </c>
      <c r="K536" s="82" t="str">
        <f aca="false">IF(B536="","",IFERROR(INDEX('CARNET DE SOUDURE'!$E$7:$E$3006,MATCH(B536,'CARNET DE SOUDURE'!$L$7:$L$3006,0)),""))</f>
        <v>JN°1232</v>
      </c>
      <c r="L536" s="82" t="n">
        <f aca="false">IF(B536="","",IFERROR(INDEX('CARNET DE SOUDURE'!$D$7:$D$3006,MATCH(B536,'CARNET DE SOUDURE'!$L$7:$L$3006,0)),IFERROR(INDEX('CARNET DE SOUDURE'!$D$7:$D$3006,MATCH(B536,'CARNET DE SOUDURE'!$O$7:$O$3006,0)),"")))</f>
        <v>13</v>
      </c>
      <c r="M536" s="82" t="str">
        <f aca="false">IF(B536="","",IF(OR(J536&lt;&gt;"",K536&lt;&gt;""),"POSÉ EN LIGNE",IF(COUNTIF(BARDAGE!$C$1:$C$5000,B536)&gt;0,"BARDÉ","EN STOCK")))</f>
        <v>POSÉ EN LIGNE</v>
      </c>
      <c r="N536" s="80"/>
    </row>
    <row r="537" customFormat="false" ht="15" hidden="false" customHeight="false" outlineLevel="0" collapsed="false">
      <c r="A537" s="82" t="n">
        <f aca="false">IF(B537="","",ROW()-6)</f>
        <v>531</v>
      </c>
      <c r="B537" s="145" t="n">
        <v>2092960</v>
      </c>
      <c r="C537" s="146" t="n">
        <v>15421110</v>
      </c>
      <c r="D537" s="146"/>
      <c r="E537" s="82" t="str">
        <f aca="false">IF(B537="","",IF(COUNTIFS('CARNET DE SOUDURE'!$L$7:$L$3006,B537,'CARNET DE SOUDURE'!$M$7:$M$3006,"&lt;&gt;"&amp;C537,'CARNET DE SOUDURE'!$M$7:$M$3006,"&lt;&gt;")+COUNTIFS('CARNET DE SOUDURE'!$O$7:$O$3006,B537,'CARNET DE SOUDURE'!$P$7:$P$3006,"&lt;&gt;"&amp;C537,'CARNET DE SOUDURE'!$P$7:$P$3006,"&lt;&gt;")&gt;0,"⚠ DIFFÉRENTE","OK"))</f>
        <v>OK</v>
      </c>
      <c r="F537" s="147" t="n">
        <v>11.94</v>
      </c>
      <c r="G537" s="80"/>
      <c r="H537" s="83"/>
      <c r="I537" s="148" t="str">
        <f aca="false">IF(B537="","",IFERROR(INDEX('CARNET DE SOUDURE'!$B$7:$B$3006,MATCH(B537,'CARNET DE SOUDURE'!$L$7:$L$3006,0)),IFERROR(INDEX('CARNET DE SOUDURE'!$B$7:$B$3006,MATCH(B537,'CARNET DE SOUDURE'!$O$7:$O$3006,0)),"")))</f>
        <v>MFD-ISW → MFD-CPF</v>
      </c>
      <c r="J537" s="82" t="str">
        <f aca="false">IF(B537="","",IFERROR(INDEX('CARNET DE SOUDURE'!$E$7:$E$3006,MATCH(B537,'CARNET DE SOUDURE'!$O$7:$O$3006,0)),""))</f>
        <v>JN°1232</v>
      </c>
      <c r="K537" s="82" t="str">
        <f aca="false">IF(B537="","",IFERROR(INDEX('CARNET DE SOUDURE'!$E$7:$E$3006,MATCH(B537,'CARNET DE SOUDURE'!$L$7:$L$3006,0)),""))</f>
        <v>DJ°261</v>
      </c>
      <c r="L537" s="82" t="n">
        <f aca="false">IF(B537="","",IFERROR(INDEX('CARNET DE SOUDURE'!$D$7:$D$3006,MATCH(B537,'CARNET DE SOUDURE'!$L$7:$L$3006,0)),IFERROR(INDEX('CARNET DE SOUDURE'!$D$7:$D$3006,MATCH(B537,'CARNET DE SOUDURE'!$O$7:$O$3006,0)),"")))</f>
        <v>13</v>
      </c>
      <c r="M537" s="82" t="str">
        <f aca="false">IF(B537="","",IF(OR(J537&lt;&gt;"",K537&lt;&gt;""),"POSÉ EN LIGNE",IF(COUNTIF(BARDAGE!$C$1:$C$5000,B537)&gt;0,"BARDÉ","EN STOCK")))</f>
        <v>POSÉ EN LIGNE</v>
      </c>
      <c r="N537" s="80"/>
    </row>
    <row r="538" customFormat="false" ht="15" hidden="false" customHeight="false" outlineLevel="0" collapsed="false">
      <c r="A538" s="82" t="n">
        <f aca="false">IF(B538="","",ROW()-6)</f>
        <v>532</v>
      </c>
      <c r="B538" s="145" t="n">
        <v>2086010</v>
      </c>
      <c r="C538" s="146" t="n">
        <v>15421107</v>
      </c>
      <c r="D538" s="146"/>
      <c r="E538" s="82" t="str">
        <f aca="false">IF(B538="","",IF(COUNTIFS('CARNET DE SOUDURE'!$L$7:$L$3006,B538,'CARNET DE SOUDURE'!$M$7:$M$3006,"&lt;&gt;"&amp;C538,'CARNET DE SOUDURE'!$M$7:$M$3006,"&lt;&gt;")+COUNTIFS('CARNET DE SOUDURE'!$O$7:$O$3006,B538,'CARNET DE SOUDURE'!$P$7:$P$3006,"&lt;&gt;"&amp;C538,'CARNET DE SOUDURE'!$P$7:$P$3006,"&lt;&gt;")&gt;0,"⚠ DIFFÉRENTE","OK"))</f>
        <v>OK</v>
      </c>
      <c r="F538" s="147" t="n">
        <v>11.94</v>
      </c>
      <c r="G538" s="80"/>
      <c r="H538" s="83"/>
      <c r="I538" s="148" t="str">
        <f aca="false">IF(B538="","",IFERROR(INDEX('CARNET DE SOUDURE'!$B$7:$B$3006,MATCH(B538,'CARNET DE SOUDURE'!$L$7:$L$3006,0)),IFERROR(INDEX('CARNET DE SOUDURE'!$B$7:$B$3006,MATCH(B538,'CARNET DE SOUDURE'!$O$7:$O$3006,0)),"")))</f>
        <v>MFD-ISW → MFD-CPF</v>
      </c>
      <c r="J538" s="82" t="str">
        <f aca="false">IF(B538="","",IFERROR(INDEX('CARNET DE SOUDURE'!$E$7:$E$3006,MATCH(B538,'CARNET DE SOUDURE'!$O$7:$O$3006,0)),""))</f>
        <v>DJ°261</v>
      </c>
      <c r="K538" s="82" t="str">
        <f aca="false">IF(B538="","",IFERROR(INDEX('CARNET DE SOUDURE'!$E$7:$E$3006,MATCH(B538,'CARNET DE SOUDURE'!$L$7:$L$3006,0)),""))</f>
        <v>JN°1233</v>
      </c>
      <c r="L538" s="82" t="n">
        <f aca="false">IF(B538="","",IFERROR(INDEX('CARNET DE SOUDURE'!$D$7:$D$3006,MATCH(B538,'CARNET DE SOUDURE'!$L$7:$L$3006,0)),IFERROR(INDEX('CARNET DE SOUDURE'!$D$7:$D$3006,MATCH(B538,'CARNET DE SOUDURE'!$O$7:$O$3006,0)),"")))</f>
        <v>13</v>
      </c>
      <c r="M538" s="82" t="str">
        <f aca="false">IF(B538="","",IF(OR(J538&lt;&gt;"",K538&lt;&gt;""),"POSÉ EN LIGNE",IF(COUNTIF(BARDAGE!$C$1:$C$5000,B538)&gt;0,"BARDÉ","EN STOCK")))</f>
        <v>POSÉ EN LIGNE</v>
      </c>
      <c r="N538" s="80"/>
    </row>
    <row r="539" customFormat="false" ht="15" hidden="false" customHeight="false" outlineLevel="0" collapsed="false">
      <c r="A539" s="82" t="n">
        <f aca="false">IF(B539="","",ROW()-6)</f>
        <v>533</v>
      </c>
      <c r="B539" s="145" t="n">
        <v>2061130</v>
      </c>
      <c r="C539" s="146" t="n">
        <v>15421103</v>
      </c>
      <c r="D539" s="146"/>
      <c r="E539" s="82" t="str">
        <f aca="false">IF(B539="","",IF(COUNTIFS('CARNET DE SOUDURE'!$L$7:$L$3006,B539,'CARNET DE SOUDURE'!$M$7:$M$3006,"&lt;&gt;"&amp;C539,'CARNET DE SOUDURE'!$M$7:$M$3006,"&lt;&gt;")+COUNTIFS('CARNET DE SOUDURE'!$O$7:$O$3006,B539,'CARNET DE SOUDURE'!$P$7:$P$3006,"&lt;&gt;"&amp;C539,'CARNET DE SOUDURE'!$P$7:$P$3006,"&lt;&gt;")&gt;0,"⚠ DIFFÉRENTE","OK"))</f>
        <v>OK</v>
      </c>
      <c r="F539" s="147" t="n">
        <v>11.94</v>
      </c>
      <c r="G539" s="80"/>
      <c r="H539" s="83"/>
      <c r="I539" s="148" t="str">
        <f aca="false">IF(B539="","",IFERROR(INDEX('CARNET DE SOUDURE'!$B$7:$B$3006,MATCH(B539,'CARNET DE SOUDURE'!$L$7:$L$3006,0)),IFERROR(INDEX('CARNET DE SOUDURE'!$B$7:$B$3006,MATCH(B539,'CARNET DE SOUDURE'!$O$7:$O$3006,0)),"")))</f>
        <v>MFD-ISW → MFD-CPF</v>
      </c>
      <c r="J539" s="82" t="str">
        <f aca="false">IF(B539="","",IFERROR(INDEX('CARNET DE SOUDURE'!$E$7:$E$3006,MATCH(B539,'CARNET DE SOUDURE'!$O$7:$O$3006,0)),""))</f>
        <v>JN°1233</v>
      </c>
      <c r="K539" s="82" t="str">
        <f aca="false">IF(B539="","",IFERROR(INDEX('CARNET DE SOUDURE'!$E$7:$E$3006,MATCH(B539,'CARNET DE SOUDURE'!$L$7:$L$3006,0)),""))</f>
        <v>DJ°235</v>
      </c>
      <c r="L539" s="82" t="n">
        <f aca="false">IF(B539="","",IFERROR(INDEX('CARNET DE SOUDURE'!$D$7:$D$3006,MATCH(B539,'CARNET DE SOUDURE'!$L$7:$L$3006,0)),IFERROR(INDEX('CARNET DE SOUDURE'!$D$7:$D$3006,MATCH(B539,'CARNET DE SOUDURE'!$O$7:$O$3006,0)),"")))</f>
        <v>13</v>
      </c>
      <c r="M539" s="82" t="str">
        <f aca="false">IF(B539="","",IF(OR(J539&lt;&gt;"",K539&lt;&gt;""),"POSÉ EN LIGNE",IF(COUNTIF(BARDAGE!$C$1:$C$5000,B539)&gt;0,"BARDÉ","EN STOCK")))</f>
        <v>POSÉ EN LIGNE</v>
      </c>
      <c r="N539" s="80"/>
    </row>
    <row r="540" customFormat="false" ht="15" hidden="false" customHeight="false" outlineLevel="0" collapsed="false">
      <c r="A540" s="82" t="n">
        <f aca="false">IF(B540="","",ROW()-6)</f>
        <v>534</v>
      </c>
      <c r="B540" s="145" t="n">
        <v>2084260</v>
      </c>
      <c r="C540" s="146" t="n">
        <v>15421111</v>
      </c>
      <c r="D540" s="146"/>
      <c r="E540" s="82" t="str">
        <f aca="false">IF(B540="","",IF(COUNTIFS('CARNET DE SOUDURE'!$L$7:$L$3006,B540,'CARNET DE SOUDURE'!$M$7:$M$3006,"&lt;&gt;"&amp;C540,'CARNET DE SOUDURE'!$M$7:$M$3006,"&lt;&gt;")+COUNTIFS('CARNET DE SOUDURE'!$O$7:$O$3006,B540,'CARNET DE SOUDURE'!$P$7:$P$3006,"&lt;&gt;"&amp;C540,'CARNET DE SOUDURE'!$P$7:$P$3006,"&lt;&gt;")&gt;0,"⚠ DIFFÉRENTE","OK"))</f>
        <v>OK</v>
      </c>
      <c r="F540" s="147" t="n">
        <v>11.94</v>
      </c>
      <c r="G540" s="80"/>
      <c r="H540" s="83"/>
      <c r="I540" s="148" t="str">
        <f aca="false">IF(B540="","",IFERROR(INDEX('CARNET DE SOUDURE'!$B$7:$B$3006,MATCH(B540,'CARNET DE SOUDURE'!$L$7:$L$3006,0)),IFERROR(INDEX('CARNET DE SOUDURE'!$B$7:$B$3006,MATCH(B540,'CARNET DE SOUDURE'!$O$7:$O$3006,0)),"")))</f>
        <v>MFD-ISW → MFD-CPF</v>
      </c>
      <c r="J540" s="82" t="str">
        <f aca="false">IF(B540="","",IFERROR(INDEX('CARNET DE SOUDURE'!$E$7:$E$3006,MATCH(B540,'CARNET DE SOUDURE'!$O$7:$O$3006,0)),""))</f>
        <v>DJ°235</v>
      </c>
      <c r="K540" s="82" t="str">
        <f aca="false">IF(B540="","",IFERROR(INDEX('CARNET DE SOUDURE'!$E$7:$E$3006,MATCH(B540,'CARNET DE SOUDURE'!$L$7:$L$3006,0)),""))</f>
        <v>JN°1234</v>
      </c>
      <c r="L540" s="82" t="n">
        <f aca="false">IF(B540="","",IFERROR(INDEX('CARNET DE SOUDURE'!$D$7:$D$3006,MATCH(B540,'CARNET DE SOUDURE'!$L$7:$L$3006,0)),IFERROR(INDEX('CARNET DE SOUDURE'!$D$7:$D$3006,MATCH(B540,'CARNET DE SOUDURE'!$O$7:$O$3006,0)),"")))</f>
        <v>13</v>
      </c>
      <c r="M540" s="82" t="str">
        <f aca="false">IF(B540="","",IF(OR(J540&lt;&gt;"",K540&lt;&gt;""),"POSÉ EN LIGNE",IF(COUNTIF(BARDAGE!$C$1:$C$5000,B540)&gt;0,"BARDÉ","EN STOCK")))</f>
        <v>POSÉ EN LIGNE</v>
      </c>
      <c r="N540" s="80"/>
    </row>
    <row r="541" customFormat="false" ht="15" hidden="false" customHeight="false" outlineLevel="0" collapsed="false">
      <c r="A541" s="82" t="n">
        <f aca="false">IF(B541="","",ROW()-6)</f>
        <v>535</v>
      </c>
      <c r="B541" s="145" t="n">
        <v>2090270</v>
      </c>
      <c r="C541" s="146" t="n">
        <v>15421109</v>
      </c>
      <c r="D541" s="146"/>
      <c r="E541" s="82" t="str">
        <f aca="false">IF(B541="","",IF(COUNTIFS('CARNET DE SOUDURE'!$L$7:$L$3006,B541,'CARNET DE SOUDURE'!$M$7:$M$3006,"&lt;&gt;"&amp;C541,'CARNET DE SOUDURE'!$M$7:$M$3006,"&lt;&gt;")+COUNTIFS('CARNET DE SOUDURE'!$O$7:$O$3006,B541,'CARNET DE SOUDURE'!$P$7:$P$3006,"&lt;&gt;"&amp;C541,'CARNET DE SOUDURE'!$P$7:$P$3006,"&lt;&gt;")&gt;0,"⚠ DIFFÉRENTE","OK"))</f>
        <v>OK</v>
      </c>
      <c r="F541" s="147" t="n">
        <v>11.94</v>
      </c>
      <c r="G541" s="80"/>
      <c r="H541" s="83"/>
      <c r="I541" s="148" t="str">
        <f aca="false">IF(B541="","",IFERROR(INDEX('CARNET DE SOUDURE'!$B$7:$B$3006,MATCH(B541,'CARNET DE SOUDURE'!$L$7:$L$3006,0)),IFERROR(INDEX('CARNET DE SOUDURE'!$B$7:$B$3006,MATCH(B541,'CARNET DE SOUDURE'!$O$7:$O$3006,0)),"")))</f>
        <v>MFD-ISW → MFD-CPF</v>
      </c>
      <c r="J541" s="82" t="str">
        <f aca="false">IF(B541="","",IFERROR(INDEX('CARNET DE SOUDURE'!$E$7:$E$3006,MATCH(B541,'CARNET DE SOUDURE'!$O$7:$O$3006,0)),""))</f>
        <v>JN°1234</v>
      </c>
      <c r="K541" s="82" t="str">
        <f aca="false">IF(B541="","",IFERROR(INDEX('CARNET DE SOUDURE'!$E$7:$E$3006,MATCH(B541,'CARNET DE SOUDURE'!$L$7:$L$3006,0)),""))</f>
        <v>DJ°270</v>
      </c>
      <c r="L541" s="82" t="n">
        <f aca="false">IF(B541="","",IFERROR(INDEX('CARNET DE SOUDURE'!$D$7:$D$3006,MATCH(B541,'CARNET DE SOUDURE'!$L$7:$L$3006,0)),IFERROR(INDEX('CARNET DE SOUDURE'!$D$7:$D$3006,MATCH(B541,'CARNET DE SOUDURE'!$O$7:$O$3006,0)),"")))</f>
        <v>13</v>
      </c>
      <c r="M541" s="82" t="str">
        <f aca="false">IF(B541="","",IF(OR(J541&lt;&gt;"",K541&lt;&gt;""),"POSÉ EN LIGNE",IF(COUNTIF(BARDAGE!$C$1:$C$5000,B541)&gt;0,"BARDÉ","EN STOCK")))</f>
        <v>POSÉ EN LIGNE</v>
      </c>
      <c r="N541" s="80"/>
    </row>
    <row r="542" customFormat="false" ht="15" hidden="false" customHeight="false" outlineLevel="0" collapsed="false">
      <c r="A542" s="82" t="n">
        <f aca="false">IF(B542="","",ROW()-6)</f>
        <v>536</v>
      </c>
      <c r="B542" s="145" t="n">
        <v>2098490</v>
      </c>
      <c r="C542" s="146" t="n">
        <v>15421102</v>
      </c>
      <c r="D542" s="146"/>
      <c r="E542" s="82" t="str">
        <f aca="false">IF(B542="","",IF(COUNTIFS('CARNET DE SOUDURE'!$L$7:$L$3006,B542,'CARNET DE SOUDURE'!$M$7:$M$3006,"&lt;&gt;"&amp;C542,'CARNET DE SOUDURE'!$M$7:$M$3006,"&lt;&gt;")+COUNTIFS('CARNET DE SOUDURE'!$O$7:$O$3006,B542,'CARNET DE SOUDURE'!$P$7:$P$3006,"&lt;&gt;"&amp;C542,'CARNET DE SOUDURE'!$P$7:$P$3006,"&lt;&gt;")&gt;0,"⚠ DIFFÉRENTE","OK"))</f>
        <v>OK</v>
      </c>
      <c r="F542" s="147" t="n">
        <v>11.94</v>
      </c>
      <c r="G542" s="80"/>
      <c r="H542" s="83"/>
      <c r="I542" s="148" t="str">
        <f aca="false">IF(B542="","",IFERROR(INDEX('CARNET DE SOUDURE'!$B$7:$B$3006,MATCH(B542,'CARNET DE SOUDURE'!$L$7:$L$3006,0)),IFERROR(INDEX('CARNET DE SOUDURE'!$B$7:$B$3006,MATCH(B542,'CARNET DE SOUDURE'!$O$7:$O$3006,0)),"")))</f>
        <v>MFD-ISW → MFD-CPF</v>
      </c>
      <c r="J542" s="82" t="str">
        <f aca="false">IF(B542="","",IFERROR(INDEX('CARNET DE SOUDURE'!$E$7:$E$3006,MATCH(B542,'CARNET DE SOUDURE'!$O$7:$O$3006,0)),""))</f>
        <v>JN°1235</v>
      </c>
      <c r="K542" s="82" t="str">
        <f aca="false">IF(B542="","",IFERROR(INDEX('CARNET DE SOUDURE'!$E$7:$E$3006,MATCH(B542,'CARNET DE SOUDURE'!$L$7:$L$3006,0)),""))</f>
        <v>DJ°250</v>
      </c>
      <c r="L542" s="82" t="str">
        <f aca="false">IF(B542="","",IFERROR(INDEX('CARNET DE SOUDURE'!$D$7:$D$3006,MATCH(B542,'CARNET DE SOUDURE'!$L$7:$L$3006,0)),IFERROR(INDEX('CARNET DE SOUDURE'!$D$7:$D$3006,MATCH(B542,'CARNET DE SOUDURE'!$O$7:$O$3006,0)),"")))</f>
        <v>/</v>
      </c>
      <c r="M542" s="82" t="str">
        <f aca="false">IF(B542="","",IF(OR(J542&lt;&gt;"",K542&lt;&gt;""),"POSÉ EN LIGNE",IF(COUNTIF(BARDAGE!$C$1:$C$5000,B542)&gt;0,"BARDÉ","EN STOCK")))</f>
        <v>POSÉ EN LIGNE</v>
      </c>
      <c r="N542" s="80"/>
    </row>
    <row r="543" customFormat="false" ht="15" hidden="false" customHeight="false" outlineLevel="0" collapsed="false">
      <c r="A543" s="82" t="n">
        <f aca="false">IF(B543="","",ROW()-6)</f>
        <v>537</v>
      </c>
      <c r="B543" s="145" t="n">
        <v>2094660</v>
      </c>
      <c r="C543" s="146" t="n">
        <v>15421111</v>
      </c>
      <c r="D543" s="146"/>
      <c r="E543" s="82" t="str">
        <f aca="false">IF(B543="","",IF(COUNTIFS('CARNET DE SOUDURE'!$L$7:$L$3006,B543,'CARNET DE SOUDURE'!$M$7:$M$3006,"&lt;&gt;"&amp;C543,'CARNET DE SOUDURE'!$M$7:$M$3006,"&lt;&gt;")+COUNTIFS('CARNET DE SOUDURE'!$O$7:$O$3006,B543,'CARNET DE SOUDURE'!$P$7:$P$3006,"&lt;&gt;"&amp;C543,'CARNET DE SOUDURE'!$P$7:$P$3006,"&lt;&gt;")&gt;0,"⚠ DIFFÉRENTE","OK"))</f>
        <v>OK</v>
      </c>
      <c r="F543" s="147" t="n">
        <v>11.94</v>
      </c>
      <c r="G543" s="80"/>
      <c r="H543" s="83"/>
      <c r="I543" s="148" t="str">
        <f aca="false">IF(B543="","",IFERROR(INDEX('CARNET DE SOUDURE'!$B$7:$B$3006,MATCH(B543,'CARNET DE SOUDURE'!$L$7:$L$3006,0)),IFERROR(INDEX('CARNET DE SOUDURE'!$B$7:$B$3006,MATCH(B543,'CARNET DE SOUDURE'!$O$7:$O$3006,0)),"")))</f>
        <v>MFD-ISW → MFD-CPF</v>
      </c>
      <c r="J543" s="82" t="str">
        <f aca="false">IF(B543="","",IFERROR(INDEX('CARNET DE SOUDURE'!$E$7:$E$3006,MATCH(B543,'CARNET DE SOUDURE'!$O$7:$O$3006,0)),""))</f>
        <v>DJ°250</v>
      </c>
      <c r="K543" s="82" t="str">
        <f aca="false">IF(B543="","",IFERROR(INDEX('CARNET DE SOUDURE'!$E$7:$E$3006,MATCH(B543,'CARNET DE SOUDURE'!$L$7:$L$3006,0)),""))</f>
        <v>JN°1236</v>
      </c>
      <c r="L543" s="82" t="n">
        <f aca="false">IF(B543="","",IFERROR(INDEX('CARNET DE SOUDURE'!$D$7:$D$3006,MATCH(B543,'CARNET DE SOUDURE'!$L$7:$L$3006,0)),IFERROR(INDEX('CARNET DE SOUDURE'!$D$7:$D$3006,MATCH(B543,'CARNET DE SOUDURE'!$O$7:$O$3006,0)),"")))</f>
        <v>13</v>
      </c>
      <c r="M543" s="82" t="str">
        <f aca="false">IF(B543="","",IF(OR(J543&lt;&gt;"",K543&lt;&gt;""),"POSÉ EN LIGNE",IF(COUNTIF(BARDAGE!$C$1:$C$5000,B543)&gt;0,"BARDÉ","EN STOCK")))</f>
        <v>POSÉ EN LIGNE</v>
      </c>
      <c r="N543" s="80"/>
    </row>
    <row r="544" customFormat="false" ht="15" hidden="false" customHeight="false" outlineLevel="0" collapsed="false">
      <c r="A544" s="82" t="n">
        <f aca="false">IF(B544="","",ROW()-6)</f>
        <v>538</v>
      </c>
      <c r="B544" s="145" t="n">
        <v>2096430</v>
      </c>
      <c r="C544" s="146" t="n">
        <v>15421111</v>
      </c>
      <c r="D544" s="146"/>
      <c r="E544" s="82" t="str">
        <f aca="false">IF(B544="","",IF(COUNTIFS('CARNET DE SOUDURE'!$L$7:$L$3006,B544,'CARNET DE SOUDURE'!$M$7:$M$3006,"&lt;&gt;"&amp;C544,'CARNET DE SOUDURE'!$M$7:$M$3006,"&lt;&gt;")+COUNTIFS('CARNET DE SOUDURE'!$O$7:$O$3006,B544,'CARNET DE SOUDURE'!$P$7:$P$3006,"&lt;&gt;"&amp;C544,'CARNET DE SOUDURE'!$P$7:$P$3006,"&lt;&gt;")&gt;0,"⚠ DIFFÉRENTE","OK"))</f>
        <v>OK</v>
      </c>
      <c r="F544" s="147" t="n">
        <v>11.94</v>
      </c>
      <c r="G544" s="80"/>
      <c r="H544" s="83"/>
      <c r="I544" s="148" t="str">
        <f aca="false">IF(B544="","",IFERROR(INDEX('CARNET DE SOUDURE'!$B$7:$B$3006,MATCH(B544,'CARNET DE SOUDURE'!$L$7:$L$3006,0)),IFERROR(INDEX('CARNET DE SOUDURE'!$B$7:$B$3006,MATCH(B544,'CARNET DE SOUDURE'!$O$7:$O$3006,0)),"")))</f>
        <v>MFD-ISW → MFD-CPF</v>
      </c>
      <c r="J544" s="82" t="str">
        <f aca="false">IF(B544="","",IFERROR(INDEX('CARNET DE SOUDURE'!$E$7:$E$3006,MATCH(B544,'CARNET DE SOUDURE'!$O$7:$O$3006,0)),""))</f>
        <v>JN°1236</v>
      </c>
      <c r="K544" s="82" t="str">
        <f aca="false">IF(B544="","",IFERROR(INDEX('CARNET DE SOUDURE'!$E$7:$E$3006,MATCH(B544,'CARNET DE SOUDURE'!$L$7:$L$3006,0)),""))</f>
        <v>DJ°246</v>
      </c>
      <c r="L544" s="82" t="str">
        <f aca="false">IF(B544="","",IFERROR(INDEX('CARNET DE SOUDURE'!$D$7:$D$3006,MATCH(B544,'CARNET DE SOUDURE'!$L$7:$L$3006,0)),IFERROR(INDEX('CARNET DE SOUDURE'!$D$7:$D$3006,MATCH(B544,'CARNET DE SOUDURE'!$O$7:$O$3006,0)),"")))</f>
        <v>/</v>
      </c>
      <c r="M544" s="82" t="str">
        <f aca="false">IF(B544="","",IF(OR(J544&lt;&gt;"",K544&lt;&gt;""),"POSÉ EN LIGNE",IF(COUNTIF(BARDAGE!$C$1:$C$5000,B544)&gt;0,"BARDÉ","EN STOCK")))</f>
        <v>POSÉ EN LIGNE</v>
      </c>
      <c r="N544" s="80"/>
    </row>
    <row r="545" customFormat="false" ht="15" hidden="false" customHeight="false" outlineLevel="0" collapsed="false">
      <c r="A545" s="82" t="n">
        <f aca="false">IF(B545="","",ROW()-6)</f>
        <v>539</v>
      </c>
      <c r="B545" s="145" t="n">
        <v>2079750</v>
      </c>
      <c r="C545" s="146" t="n">
        <v>15421102</v>
      </c>
      <c r="D545" s="146"/>
      <c r="E545" s="82" t="str">
        <f aca="false">IF(B545="","",IF(COUNTIFS('CARNET DE SOUDURE'!$L$7:$L$3006,B545,'CARNET DE SOUDURE'!$M$7:$M$3006,"&lt;&gt;"&amp;C545,'CARNET DE SOUDURE'!$M$7:$M$3006,"&lt;&gt;")+COUNTIFS('CARNET DE SOUDURE'!$O$7:$O$3006,B545,'CARNET DE SOUDURE'!$P$7:$P$3006,"&lt;&gt;"&amp;C545,'CARNET DE SOUDURE'!$P$7:$P$3006,"&lt;&gt;")&gt;0,"⚠ DIFFÉRENTE","OK"))</f>
        <v>OK</v>
      </c>
      <c r="F545" s="147" t="n">
        <v>11.94</v>
      </c>
      <c r="G545" s="80"/>
      <c r="H545" s="83"/>
      <c r="I545" s="148" t="str">
        <f aca="false">IF(B545="","",IFERROR(INDEX('CARNET DE SOUDURE'!$B$7:$B$3006,MATCH(B545,'CARNET DE SOUDURE'!$L$7:$L$3006,0)),IFERROR(INDEX('CARNET DE SOUDURE'!$B$7:$B$3006,MATCH(B545,'CARNET DE SOUDURE'!$O$7:$O$3006,0)),"")))</f>
        <v>MFD-ISW → MFD-CPF</v>
      </c>
      <c r="J545" s="82" t="str">
        <f aca="false">IF(B545="","",IFERROR(INDEX('CARNET DE SOUDURE'!$E$7:$E$3006,MATCH(B545,'CARNET DE SOUDURE'!$O$7:$O$3006,0)),""))</f>
        <v>DJ°246</v>
      </c>
      <c r="K545" s="82" t="str">
        <f aca="false">IF(B545="","",IFERROR(INDEX('CARNET DE SOUDURE'!$E$7:$E$3006,MATCH(B545,'CARNET DE SOUDURE'!$L$7:$L$3006,0)),""))</f>
        <v>JN°1237</v>
      </c>
      <c r="L545" s="82" t="n">
        <f aca="false">IF(B545="","",IFERROR(INDEX('CARNET DE SOUDURE'!$D$7:$D$3006,MATCH(B545,'CARNET DE SOUDURE'!$L$7:$L$3006,0)),IFERROR(INDEX('CARNET DE SOUDURE'!$D$7:$D$3006,MATCH(B545,'CARNET DE SOUDURE'!$O$7:$O$3006,0)),"")))</f>
        <v>13</v>
      </c>
      <c r="M545" s="82" t="str">
        <f aca="false">IF(B545="","",IF(OR(J545&lt;&gt;"",K545&lt;&gt;""),"POSÉ EN LIGNE",IF(COUNTIF(BARDAGE!$C$1:$C$5000,B545)&gt;0,"BARDÉ","EN STOCK")))</f>
        <v>POSÉ EN LIGNE</v>
      </c>
      <c r="N545" s="80"/>
    </row>
    <row r="546" customFormat="false" ht="15" hidden="false" customHeight="false" outlineLevel="0" collapsed="false">
      <c r="A546" s="82" t="n">
        <f aca="false">IF(B546="","",ROW()-6)</f>
        <v>540</v>
      </c>
      <c r="B546" s="145" t="n">
        <v>2090450</v>
      </c>
      <c r="C546" s="146" t="n">
        <v>15421109</v>
      </c>
      <c r="D546" s="146"/>
      <c r="E546" s="82" t="str">
        <f aca="false">IF(B546="","",IF(COUNTIFS('CARNET DE SOUDURE'!$L$7:$L$3006,B546,'CARNET DE SOUDURE'!$M$7:$M$3006,"&lt;&gt;"&amp;C546,'CARNET DE SOUDURE'!$M$7:$M$3006,"&lt;&gt;")+COUNTIFS('CARNET DE SOUDURE'!$O$7:$O$3006,B546,'CARNET DE SOUDURE'!$P$7:$P$3006,"&lt;&gt;"&amp;C546,'CARNET DE SOUDURE'!$P$7:$P$3006,"&lt;&gt;")&gt;0,"⚠ DIFFÉRENTE","OK"))</f>
        <v>OK</v>
      </c>
      <c r="F546" s="147" t="n">
        <v>11.94</v>
      </c>
      <c r="G546" s="80"/>
      <c r="H546" s="83"/>
      <c r="I546" s="148" t="str">
        <f aca="false">IF(B546="","",IFERROR(INDEX('CARNET DE SOUDURE'!$B$7:$B$3006,MATCH(B546,'CARNET DE SOUDURE'!$L$7:$L$3006,0)),IFERROR(INDEX('CARNET DE SOUDURE'!$B$7:$B$3006,MATCH(B546,'CARNET DE SOUDURE'!$O$7:$O$3006,0)),"")))</f>
        <v>MFD-ISW → MFD-CPF</v>
      </c>
      <c r="J546" s="82" t="str">
        <f aca="false">IF(B546="","",IFERROR(INDEX('CARNET DE SOUDURE'!$E$7:$E$3006,MATCH(B546,'CARNET DE SOUDURE'!$O$7:$O$3006,0)),""))</f>
        <v>DJ°268</v>
      </c>
      <c r="K546" s="82" t="str">
        <f aca="false">IF(B546="","",IFERROR(INDEX('CARNET DE SOUDURE'!$E$7:$E$3006,MATCH(B546,'CARNET DE SOUDURE'!$L$7:$L$3006,0)),""))</f>
        <v>JN°1241</v>
      </c>
      <c r="L546" s="82" t="n">
        <f aca="false">IF(B546="","",IFERROR(INDEX('CARNET DE SOUDURE'!$D$7:$D$3006,MATCH(B546,'CARNET DE SOUDURE'!$L$7:$L$3006,0)),IFERROR(INDEX('CARNET DE SOUDURE'!$D$7:$D$3006,MATCH(B546,'CARNET DE SOUDURE'!$O$7:$O$3006,0)),"")))</f>
        <v>13</v>
      </c>
      <c r="M546" s="82" t="str">
        <f aca="false">IF(B546="","",IF(OR(J546&lt;&gt;"",K546&lt;&gt;""),"POSÉ EN LIGNE",IF(COUNTIF(BARDAGE!$C$1:$C$5000,B546)&gt;0,"BARDÉ","EN STOCK")))</f>
        <v>POSÉ EN LIGNE</v>
      </c>
      <c r="N546" s="80"/>
    </row>
    <row r="547" customFormat="false" ht="15" hidden="false" customHeight="false" outlineLevel="0" collapsed="false">
      <c r="A547" s="82" t="n">
        <f aca="false">IF(B547="","",ROW()-6)</f>
        <v>541</v>
      </c>
      <c r="B547" s="145" t="n">
        <v>2086770</v>
      </c>
      <c r="C547" s="146" t="n">
        <v>15421107</v>
      </c>
      <c r="D547" s="146"/>
      <c r="E547" s="82" t="str">
        <f aca="false">IF(B547="","",IF(COUNTIFS('CARNET DE SOUDURE'!$L$7:$L$3006,B547,'CARNET DE SOUDURE'!$M$7:$M$3006,"&lt;&gt;"&amp;C547,'CARNET DE SOUDURE'!$M$7:$M$3006,"&lt;&gt;")+COUNTIFS('CARNET DE SOUDURE'!$O$7:$O$3006,B547,'CARNET DE SOUDURE'!$P$7:$P$3006,"&lt;&gt;"&amp;C547,'CARNET DE SOUDURE'!$P$7:$P$3006,"&lt;&gt;")&gt;0,"⚠ DIFFÉRENTE","OK"))</f>
        <v>OK</v>
      </c>
      <c r="F547" s="147" t="n">
        <v>11.94</v>
      </c>
      <c r="G547" s="80"/>
      <c r="H547" s="83"/>
      <c r="I547" s="148" t="str">
        <f aca="false">IF(B547="","",IFERROR(INDEX('CARNET DE SOUDURE'!$B$7:$B$3006,MATCH(B547,'CARNET DE SOUDURE'!$L$7:$L$3006,0)),IFERROR(INDEX('CARNET DE SOUDURE'!$B$7:$B$3006,MATCH(B547,'CARNET DE SOUDURE'!$O$7:$O$3006,0)),"")))</f>
        <v>MFD-ISW → MFD-CPF</v>
      </c>
      <c r="J547" s="82" t="str">
        <f aca="false">IF(B547="","",IFERROR(INDEX('CARNET DE SOUDURE'!$E$7:$E$3006,MATCH(B547,'CARNET DE SOUDURE'!$O$7:$O$3006,0)),""))</f>
        <v>JN°1241</v>
      </c>
      <c r="K547" s="82" t="str">
        <f aca="false">IF(B547="","",IFERROR(INDEX('CARNET DE SOUDURE'!$E$7:$E$3006,MATCH(B547,'CARNET DE SOUDURE'!$L$7:$L$3006,0)),""))</f>
        <v>DJ°269</v>
      </c>
      <c r="L547" s="82" t="n">
        <f aca="false">IF(B547="","",IFERROR(INDEX('CARNET DE SOUDURE'!$D$7:$D$3006,MATCH(B547,'CARNET DE SOUDURE'!$L$7:$L$3006,0)),IFERROR(INDEX('CARNET DE SOUDURE'!$D$7:$D$3006,MATCH(B547,'CARNET DE SOUDURE'!$O$7:$O$3006,0)),"")))</f>
        <v>13</v>
      </c>
      <c r="M547" s="82" t="str">
        <f aca="false">IF(B547="","",IF(OR(J547&lt;&gt;"",K547&lt;&gt;""),"POSÉ EN LIGNE",IF(COUNTIF(BARDAGE!$C$1:$C$5000,B547)&gt;0,"BARDÉ","EN STOCK")))</f>
        <v>POSÉ EN LIGNE</v>
      </c>
      <c r="N547" s="80"/>
    </row>
    <row r="548" customFormat="false" ht="15" hidden="false" customHeight="false" outlineLevel="0" collapsed="false">
      <c r="A548" s="82" t="n">
        <f aca="false">IF(B548="","",ROW()-6)</f>
        <v>542</v>
      </c>
      <c r="B548" s="145" t="n">
        <v>2087920</v>
      </c>
      <c r="C548" s="146" t="n">
        <v>15421108</v>
      </c>
      <c r="D548" s="146"/>
      <c r="E548" s="82" t="str">
        <f aca="false">IF(B548="","",IF(COUNTIFS('CARNET DE SOUDURE'!$L$7:$L$3006,B548,'CARNET DE SOUDURE'!$M$7:$M$3006,"&lt;&gt;"&amp;C548,'CARNET DE SOUDURE'!$M$7:$M$3006,"&lt;&gt;")+COUNTIFS('CARNET DE SOUDURE'!$O$7:$O$3006,B548,'CARNET DE SOUDURE'!$P$7:$P$3006,"&lt;&gt;"&amp;C548,'CARNET DE SOUDURE'!$P$7:$P$3006,"&lt;&gt;")&gt;0,"⚠ DIFFÉRENTE","OK"))</f>
        <v>OK</v>
      </c>
      <c r="F548" s="147" t="n">
        <v>11.94</v>
      </c>
      <c r="G548" s="80"/>
      <c r="H548" s="83"/>
      <c r="I548" s="148" t="str">
        <f aca="false">IF(B548="","",IFERROR(INDEX('CARNET DE SOUDURE'!$B$7:$B$3006,MATCH(B548,'CARNET DE SOUDURE'!$L$7:$L$3006,0)),IFERROR(INDEX('CARNET DE SOUDURE'!$B$7:$B$3006,MATCH(B548,'CARNET DE SOUDURE'!$O$7:$O$3006,0)),"")))</f>
        <v>MFD-ISW → MFD-CPF</v>
      </c>
      <c r="J548" s="82" t="str">
        <f aca="false">IF(B548="","",IFERROR(INDEX('CARNET DE SOUDURE'!$E$7:$E$3006,MATCH(B548,'CARNET DE SOUDURE'!$O$7:$O$3006,0)),""))</f>
        <v>DJ°269</v>
      </c>
      <c r="K548" s="82" t="str">
        <f aca="false">IF(B548="","",IFERROR(INDEX('CARNET DE SOUDURE'!$E$7:$E$3006,MATCH(B548,'CARNET DE SOUDURE'!$L$7:$L$3006,0)),""))</f>
        <v>JN°1242</v>
      </c>
      <c r="L548" s="82" t="n">
        <f aca="false">IF(B548="","",IFERROR(INDEX('CARNET DE SOUDURE'!$D$7:$D$3006,MATCH(B548,'CARNET DE SOUDURE'!$L$7:$L$3006,0)),IFERROR(INDEX('CARNET DE SOUDURE'!$D$7:$D$3006,MATCH(B548,'CARNET DE SOUDURE'!$O$7:$O$3006,0)),"")))</f>
        <v>13</v>
      </c>
      <c r="M548" s="82" t="str">
        <f aca="false">IF(B548="","",IF(OR(J548&lt;&gt;"",K548&lt;&gt;""),"POSÉ EN LIGNE",IF(COUNTIF(BARDAGE!$C$1:$C$5000,B548)&gt;0,"BARDÉ","EN STOCK")))</f>
        <v>POSÉ EN LIGNE</v>
      </c>
      <c r="N548" s="80"/>
    </row>
    <row r="549" customFormat="false" ht="15" hidden="false" customHeight="false" outlineLevel="0" collapsed="false">
      <c r="A549" s="82" t="n">
        <f aca="false">IF(B549="","",ROW()-6)</f>
        <v>543</v>
      </c>
      <c r="B549" s="145" t="n">
        <v>2098510</v>
      </c>
      <c r="C549" s="146" t="n">
        <v>15421112</v>
      </c>
      <c r="D549" s="146"/>
      <c r="E549" s="82" t="str">
        <f aca="false">IF(B549="","",IF(COUNTIFS('CARNET DE SOUDURE'!$L$7:$L$3006,B549,'CARNET DE SOUDURE'!$M$7:$M$3006,"&lt;&gt;"&amp;C549,'CARNET DE SOUDURE'!$M$7:$M$3006,"&lt;&gt;")+COUNTIFS('CARNET DE SOUDURE'!$O$7:$O$3006,B549,'CARNET DE SOUDURE'!$P$7:$P$3006,"&lt;&gt;"&amp;C549,'CARNET DE SOUDURE'!$P$7:$P$3006,"&lt;&gt;")&gt;0,"⚠ DIFFÉRENTE","OK"))</f>
        <v>OK</v>
      </c>
      <c r="F549" s="147" t="n">
        <v>11.94</v>
      </c>
      <c r="G549" s="80"/>
      <c r="H549" s="83"/>
      <c r="I549" s="148" t="str">
        <f aca="false">IF(B549="","",IFERROR(INDEX('CARNET DE SOUDURE'!$B$7:$B$3006,MATCH(B549,'CARNET DE SOUDURE'!$L$7:$L$3006,0)),IFERROR(INDEX('CARNET DE SOUDURE'!$B$7:$B$3006,MATCH(B549,'CARNET DE SOUDURE'!$O$7:$O$3006,0)),"")))</f>
        <v>MFD-ISW → MFD-CPF</v>
      </c>
      <c r="J549" s="82" t="str">
        <f aca="false">IF(B549="","",IFERROR(INDEX('CARNET DE SOUDURE'!$E$7:$E$3006,MATCH(B549,'CARNET DE SOUDURE'!$O$7:$O$3006,0)),""))</f>
        <v>JN°1242</v>
      </c>
      <c r="K549" s="82" t="str">
        <f aca="false">IF(B549="","",IFERROR(INDEX('CARNET DE SOUDURE'!$E$7:$E$3006,MATCH(B549,'CARNET DE SOUDURE'!$L$7:$L$3006,0)),""))</f>
        <v>DJ°271</v>
      </c>
      <c r="L549" s="82" t="str">
        <f aca="false">IF(B549="","",IFERROR(INDEX('CARNET DE SOUDURE'!$D$7:$D$3006,MATCH(B549,'CARNET DE SOUDURE'!$L$7:$L$3006,0)),IFERROR(INDEX('CARNET DE SOUDURE'!$D$7:$D$3006,MATCH(B549,'CARNET DE SOUDURE'!$O$7:$O$3006,0)),"")))</f>
        <v>/</v>
      </c>
      <c r="M549" s="82" t="str">
        <f aca="false">IF(B549="","",IF(OR(J549&lt;&gt;"",K549&lt;&gt;""),"POSÉ EN LIGNE",IF(COUNTIF(BARDAGE!$C$1:$C$5000,B549)&gt;0,"BARDÉ","EN STOCK")))</f>
        <v>POSÉ EN LIGNE</v>
      </c>
      <c r="N549" s="80"/>
    </row>
    <row r="550" customFormat="false" ht="15" hidden="false" customHeight="false" outlineLevel="0" collapsed="false">
      <c r="A550" s="82" t="n">
        <f aca="false">IF(B550="","",ROW()-6)</f>
        <v>544</v>
      </c>
      <c r="B550" s="145" t="n">
        <v>2090050</v>
      </c>
      <c r="C550" s="146" t="n">
        <v>15421109</v>
      </c>
      <c r="D550" s="146"/>
      <c r="E550" s="82" t="str">
        <f aca="false">IF(B550="","",IF(COUNTIFS('CARNET DE SOUDURE'!$L$7:$L$3006,B550,'CARNET DE SOUDURE'!$M$7:$M$3006,"&lt;&gt;"&amp;C550,'CARNET DE SOUDURE'!$M$7:$M$3006,"&lt;&gt;")+COUNTIFS('CARNET DE SOUDURE'!$O$7:$O$3006,B550,'CARNET DE SOUDURE'!$P$7:$P$3006,"&lt;&gt;"&amp;C550,'CARNET DE SOUDURE'!$P$7:$P$3006,"&lt;&gt;")&gt;0,"⚠ DIFFÉRENTE","OK"))</f>
        <v>⚠ DIFFÉRENTE</v>
      </c>
      <c r="F550" s="147" t="n">
        <v>11.94</v>
      </c>
      <c r="G550" s="80"/>
      <c r="H550" s="83"/>
      <c r="I550" s="148" t="str">
        <f aca="false">IF(B550="","",IFERROR(INDEX('CARNET DE SOUDURE'!$B$7:$B$3006,MATCH(B550,'CARNET DE SOUDURE'!$L$7:$L$3006,0)),IFERROR(INDEX('CARNET DE SOUDURE'!$B$7:$B$3006,MATCH(B550,'CARNET DE SOUDURE'!$O$7:$O$3006,0)),"")))</f>
        <v>MFD-ISW → MFD-CPF</v>
      </c>
      <c r="J550" s="82" t="str">
        <f aca="false">IF(B550="","",IFERROR(INDEX('CARNET DE SOUDURE'!$E$7:$E$3006,MATCH(B550,'CARNET DE SOUDURE'!$O$7:$O$3006,0)),""))</f>
        <v>DJ°271</v>
      </c>
      <c r="K550" s="82" t="str">
        <f aca="false">IF(B550="","",IFERROR(INDEX('CARNET DE SOUDURE'!$E$7:$E$3006,MATCH(B550,'CARNET DE SOUDURE'!$L$7:$L$3006,0)),""))</f>
        <v>JN°1243</v>
      </c>
      <c r="L550" s="82" t="n">
        <f aca="false">IF(B550="","",IFERROR(INDEX('CARNET DE SOUDURE'!$D$7:$D$3006,MATCH(B550,'CARNET DE SOUDURE'!$L$7:$L$3006,0)),IFERROR(INDEX('CARNET DE SOUDURE'!$D$7:$D$3006,MATCH(B550,'CARNET DE SOUDURE'!$O$7:$O$3006,0)),"")))</f>
        <v>13</v>
      </c>
      <c r="M550" s="82" t="str">
        <f aca="false">IF(B550="","",IF(OR(J550&lt;&gt;"",K550&lt;&gt;""),"POSÉ EN LIGNE",IF(COUNTIF(BARDAGE!$C$1:$C$5000,B550)&gt;0,"BARDÉ","EN STOCK")))</f>
        <v>POSÉ EN LIGNE</v>
      </c>
      <c r="N550" s="80"/>
    </row>
    <row r="551" customFormat="false" ht="15" hidden="false" customHeight="false" outlineLevel="0" collapsed="false">
      <c r="A551" s="82" t="n">
        <f aca="false">IF(B551="","",ROW()-6)</f>
        <v>545</v>
      </c>
      <c r="B551" s="145" t="n">
        <v>2081330</v>
      </c>
      <c r="C551" s="146" t="n">
        <v>15421103</v>
      </c>
      <c r="D551" s="146"/>
      <c r="E551" s="82" t="str">
        <f aca="false">IF(B551="","",IF(COUNTIFS('CARNET DE SOUDURE'!$L$7:$L$3006,B551,'CARNET DE SOUDURE'!$M$7:$M$3006,"&lt;&gt;"&amp;C551,'CARNET DE SOUDURE'!$M$7:$M$3006,"&lt;&gt;")+COUNTIFS('CARNET DE SOUDURE'!$O$7:$O$3006,B551,'CARNET DE SOUDURE'!$P$7:$P$3006,"&lt;&gt;"&amp;C551,'CARNET DE SOUDURE'!$P$7:$P$3006,"&lt;&gt;")&gt;0,"⚠ DIFFÉRENTE","OK"))</f>
        <v>OK</v>
      </c>
      <c r="F551" s="147" t="n">
        <v>11.94</v>
      </c>
      <c r="G551" s="80"/>
      <c r="H551" s="83"/>
      <c r="I551" s="148" t="str">
        <f aca="false">IF(B551="","",IFERROR(INDEX('CARNET DE SOUDURE'!$B$7:$B$3006,MATCH(B551,'CARNET DE SOUDURE'!$L$7:$L$3006,0)),IFERROR(INDEX('CARNET DE SOUDURE'!$B$7:$B$3006,MATCH(B551,'CARNET DE SOUDURE'!$O$7:$O$3006,0)),"")))</f>
        <v>MFD-ISW → MFD-CPF</v>
      </c>
      <c r="J551" s="82" t="str">
        <f aca="false">IF(B551="","",IFERROR(INDEX('CARNET DE SOUDURE'!$E$7:$E$3006,MATCH(B551,'CARNET DE SOUDURE'!$O$7:$O$3006,0)),""))</f>
        <v>JN°1243</v>
      </c>
      <c r="K551" s="82" t="str">
        <f aca="false">IF(B551="","",IFERROR(INDEX('CARNET DE SOUDURE'!$E$7:$E$3006,MATCH(B551,'CARNET DE SOUDURE'!$L$7:$L$3006,0)),""))</f>
        <v>DJ°273</v>
      </c>
      <c r="L551" s="82" t="n">
        <f aca="false">IF(B551="","",IFERROR(INDEX('CARNET DE SOUDURE'!$D$7:$D$3006,MATCH(B551,'CARNET DE SOUDURE'!$L$7:$L$3006,0)),IFERROR(INDEX('CARNET DE SOUDURE'!$D$7:$D$3006,MATCH(B551,'CARNET DE SOUDURE'!$O$7:$O$3006,0)),"")))</f>
        <v>13</v>
      </c>
      <c r="M551" s="82" t="str">
        <f aca="false">IF(B551="","",IF(OR(J551&lt;&gt;"",K551&lt;&gt;""),"POSÉ EN LIGNE",IF(COUNTIF(BARDAGE!$C$1:$C$5000,B551)&gt;0,"BARDÉ","EN STOCK")))</f>
        <v>POSÉ EN LIGNE</v>
      </c>
      <c r="N551" s="80"/>
    </row>
    <row r="552" customFormat="false" ht="15" hidden="false" customHeight="false" outlineLevel="0" collapsed="false">
      <c r="A552" s="82" t="n">
        <f aca="false">IF(B552="","",ROW()-6)</f>
        <v>546</v>
      </c>
      <c r="B552" s="145" t="n">
        <v>2094920</v>
      </c>
      <c r="C552" s="146" t="n">
        <v>15421111</v>
      </c>
      <c r="D552" s="146"/>
      <c r="E552" s="82" t="str">
        <f aca="false">IF(B552="","",IF(COUNTIFS('CARNET DE SOUDURE'!$L$7:$L$3006,B552,'CARNET DE SOUDURE'!$M$7:$M$3006,"&lt;&gt;"&amp;C552,'CARNET DE SOUDURE'!$M$7:$M$3006,"&lt;&gt;")+COUNTIFS('CARNET DE SOUDURE'!$O$7:$O$3006,B552,'CARNET DE SOUDURE'!$P$7:$P$3006,"&lt;&gt;"&amp;C552,'CARNET DE SOUDURE'!$P$7:$P$3006,"&lt;&gt;")&gt;0,"⚠ DIFFÉRENTE","OK"))</f>
        <v>OK</v>
      </c>
      <c r="F552" s="147" t="n">
        <v>11.94</v>
      </c>
      <c r="G552" s="80"/>
      <c r="H552" s="83"/>
      <c r="I552" s="148" t="str">
        <f aca="false">IF(B552="","",IFERROR(INDEX('CARNET DE SOUDURE'!$B$7:$B$3006,MATCH(B552,'CARNET DE SOUDURE'!$L$7:$L$3006,0)),IFERROR(INDEX('CARNET DE SOUDURE'!$B$7:$B$3006,MATCH(B552,'CARNET DE SOUDURE'!$O$7:$O$3006,0)),"")))</f>
        <v>MFD-ISW → MFD-CPF</v>
      </c>
      <c r="J552" s="82" t="str">
        <f aca="false">IF(B552="","",IFERROR(INDEX('CARNET DE SOUDURE'!$E$7:$E$3006,MATCH(B552,'CARNET DE SOUDURE'!$O$7:$O$3006,0)),""))</f>
        <v>DJ°273</v>
      </c>
      <c r="K552" s="82" t="str">
        <f aca="false">IF(B552="","",IFERROR(INDEX('CARNET DE SOUDURE'!$E$7:$E$3006,MATCH(B552,'CARNET DE SOUDURE'!$L$7:$L$3006,0)),""))</f>
        <v>JN°1244</v>
      </c>
      <c r="L552" s="82" t="n">
        <f aca="false">IF(B552="","",IFERROR(INDEX('CARNET DE SOUDURE'!$D$7:$D$3006,MATCH(B552,'CARNET DE SOUDURE'!$L$7:$L$3006,0)),IFERROR(INDEX('CARNET DE SOUDURE'!$D$7:$D$3006,MATCH(B552,'CARNET DE SOUDURE'!$O$7:$O$3006,0)),"")))</f>
        <v>13</v>
      </c>
      <c r="M552" s="82" t="str">
        <f aca="false">IF(B552="","",IF(OR(J552&lt;&gt;"",K552&lt;&gt;""),"POSÉ EN LIGNE",IF(COUNTIF(BARDAGE!$C$1:$C$5000,B552)&gt;0,"BARDÉ","EN STOCK")))</f>
        <v>POSÉ EN LIGNE</v>
      </c>
      <c r="N552" s="80"/>
    </row>
    <row r="553" customFormat="false" ht="15" hidden="false" customHeight="false" outlineLevel="0" collapsed="false">
      <c r="A553" s="82" t="n">
        <f aca="false">IF(B553="","",ROW()-6)</f>
        <v>547</v>
      </c>
      <c r="B553" s="145" t="n">
        <v>2086380</v>
      </c>
      <c r="C553" s="146" t="n">
        <v>15421107</v>
      </c>
      <c r="D553" s="146"/>
      <c r="E553" s="82" t="str">
        <f aca="false">IF(B553="","",IF(COUNTIFS('CARNET DE SOUDURE'!$L$7:$L$3006,B553,'CARNET DE SOUDURE'!$M$7:$M$3006,"&lt;&gt;"&amp;C553,'CARNET DE SOUDURE'!$M$7:$M$3006,"&lt;&gt;")+COUNTIFS('CARNET DE SOUDURE'!$O$7:$O$3006,B553,'CARNET DE SOUDURE'!$P$7:$P$3006,"&lt;&gt;"&amp;C553,'CARNET DE SOUDURE'!$P$7:$P$3006,"&lt;&gt;")&gt;0,"⚠ DIFFÉRENTE","OK"))</f>
        <v>OK</v>
      </c>
      <c r="F553" s="147" t="n">
        <v>11.94</v>
      </c>
      <c r="G553" s="80"/>
      <c r="H553" s="83"/>
      <c r="I553" s="148" t="str">
        <f aca="false">IF(B553="","",IFERROR(INDEX('CARNET DE SOUDURE'!$B$7:$B$3006,MATCH(B553,'CARNET DE SOUDURE'!$L$7:$L$3006,0)),IFERROR(INDEX('CARNET DE SOUDURE'!$B$7:$B$3006,MATCH(B553,'CARNET DE SOUDURE'!$O$7:$O$3006,0)),"")))</f>
        <v>MFD-ISW → MFD-CPF</v>
      </c>
      <c r="J553" s="82" t="str">
        <f aca="false">IF(B553="","",IFERROR(INDEX('CARNET DE SOUDURE'!$E$7:$E$3006,MATCH(B553,'CARNET DE SOUDURE'!$O$7:$O$3006,0)),""))</f>
        <v>JN°1244</v>
      </c>
      <c r="K553" s="82" t="str">
        <f aca="false">IF(B553="","",IFERROR(INDEX('CARNET DE SOUDURE'!$E$7:$E$3006,MATCH(B553,'CARNET DE SOUDURE'!$L$7:$L$3006,0)),""))</f>
        <v>DJ°242</v>
      </c>
      <c r="L553" s="82" t="n">
        <f aca="false">IF(B553="","",IFERROR(INDEX('CARNET DE SOUDURE'!$D$7:$D$3006,MATCH(B553,'CARNET DE SOUDURE'!$L$7:$L$3006,0)),IFERROR(INDEX('CARNET DE SOUDURE'!$D$7:$D$3006,MATCH(B553,'CARNET DE SOUDURE'!$O$7:$O$3006,0)),"")))</f>
        <v>13</v>
      </c>
      <c r="M553" s="82" t="str">
        <f aca="false">IF(B553="","",IF(OR(J553&lt;&gt;"",K553&lt;&gt;""),"POSÉ EN LIGNE",IF(COUNTIF(BARDAGE!$C$1:$C$5000,B553)&gt;0,"BARDÉ","EN STOCK")))</f>
        <v>POSÉ EN LIGNE</v>
      </c>
      <c r="N553" s="80"/>
    </row>
    <row r="554" customFormat="false" ht="15" hidden="false" customHeight="false" outlineLevel="0" collapsed="false">
      <c r="A554" s="82" t="n">
        <f aca="false">IF(B554="","",ROW()-6)</f>
        <v>548</v>
      </c>
      <c r="B554" s="145" t="n">
        <v>2081040</v>
      </c>
      <c r="C554" s="146" t="n">
        <v>15421103</v>
      </c>
      <c r="D554" s="146"/>
      <c r="E554" s="82" t="str">
        <f aca="false">IF(B554="","",IF(COUNTIFS('CARNET DE SOUDURE'!$L$7:$L$3006,B554,'CARNET DE SOUDURE'!$M$7:$M$3006,"&lt;&gt;"&amp;C554,'CARNET DE SOUDURE'!$M$7:$M$3006,"&lt;&gt;")+COUNTIFS('CARNET DE SOUDURE'!$O$7:$O$3006,B554,'CARNET DE SOUDURE'!$P$7:$P$3006,"&lt;&gt;"&amp;C554,'CARNET DE SOUDURE'!$P$7:$P$3006,"&lt;&gt;")&gt;0,"⚠ DIFFÉRENTE","OK"))</f>
        <v>OK</v>
      </c>
      <c r="F554" s="147" t="n">
        <v>11.94</v>
      </c>
      <c r="G554" s="80"/>
      <c r="H554" s="83"/>
      <c r="I554" s="148" t="str">
        <f aca="false">IF(B554="","",IFERROR(INDEX('CARNET DE SOUDURE'!$B$7:$B$3006,MATCH(B554,'CARNET DE SOUDURE'!$L$7:$L$3006,0)),IFERROR(INDEX('CARNET DE SOUDURE'!$B$7:$B$3006,MATCH(B554,'CARNET DE SOUDURE'!$O$7:$O$3006,0)),"")))</f>
        <v>MFD-ISW → MFD-CPF</v>
      </c>
      <c r="J554" s="82" t="str">
        <f aca="false">IF(B554="","",IFERROR(INDEX('CARNET DE SOUDURE'!$E$7:$E$3006,MATCH(B554,'CARNET DE SOUDURE'!$O$7:$O$3006,0)),""))</f>
        <v>DJ°242</v>
      </c>
      <c r="K554" s="82" t="str">
        <f aca="false">IF(B554="","",IFERROR(INDEX('CARNET DE SOUDURE'!$E$7:$E$3006,MATCH(B554,'CARNET DE SOUDURE'!$L$7:$L$3006,0)),""))</f>
        <v>JN°1245</v>
      </c>
      <c r="L554" s="82" t="n">
        <f aca="false">IF(B554="","",IFERROR(INDEX('CARNET DE SOUDURE'!$D$7:$D$3006,MATCH(B554,'CARNET DE SOUDURE'!$L$7:$L$3006,0)),IFERROR(INDEX('CARNET DE SOUDURE'!$D$7:$D$3006,MATCH(B554,'CARNET DE SOUDURE'!$O$7:$O$3006,0)),"")))</f>
        <v>13</v>
      </c>
      <c r="M554" s="82" t="str">
        <f aca="false">IF(B554="","",IF(OR(J554&lt;&gt;"",K554&lt;&gt;""),"POSÉ EN LIGNE",IF(COUNTIF(BARDAGE!$C$1:$C$5000,B554)&gt;0,"BARDÉ","EN STOCK")))</f>
        <v>POSÉ EN LIGNE</v>
      </c>
      <c r="N554" s="80"/>
    </row>
    <row r="555" customFormat="false" ht="15" hidden="false" customHeight="false" outlineLevel="0" collapsed="false">
      <c r="A555" s="82" t="n">
        <f aca="false">IF(B555="","",ROW()-6)</f>
        <v>549</v>
      </c>
      <c r="B555" s="145" t="n">
        <v>2097440</v>
      </c>
      <c r="C555" s="146" t="n">
        <v>15421112</v>
      </c>
      <c r="D555" s="146"/>
      <c r="E555" s="82" t="str">
        <f aca="false">IF(B555="","",IF(COUNTIFS('CARNET DE SOUDURE'!$L$7:$L$3006,B555,'CARNET DE SOUDURE'!$M$7:$M$3006,"&lt;&gt;"&amp;C555,'CARNET DE SOUDURE'!$M$7:$M$3006,"&lt;&gt;")+COUNTIFS('CARNET DE SOUDURE'!$O$7:$O$3006,B555,'CARNET DE SOUDURE'!$P$7:$P$3006,"&lt;&gt;"&amp;C555,'CARNET DE SOUDURE'!$P$7:$P$3006,"&lt;&gt;")&gt;0,"⚠ DIFFÉRENTE","OK"))</f>
        <v>OK</v>
      </c>
      <c r="F555" s="147" t="n">
        <v>11.94</v>
      </c>
      <c r="G555" s="80"/>
      <c r="H555" s="83"/>
      <c r="I555" s="148" t="str">
        <f aca="false">IF(B555="","",IFERROR(INDEX('CARNET DE SOUDURE'!$B$7:$B$3006,MATCH(B555,'CARNET DE SOUDURE'!$L$7:$L$3006,0)),IFERROR(INDEX('CARNET DE SOUDURE'!$B$7:$B$3006,MATCH(B555,'CARNET DE SOUDURE'!$O$7:$O$3006,0)),"")))</f>
        <v>MFD-ISW → MFD-CPF</v>
      </c>
      <c r="J555" s="82" t="str">
        <f aca="false">IF(B555="","",IFERROR(INDEX('CARNET DE SOUDURE'!$E$7:$E$3006,MATCH(B555,'CARNET DE SOUDURE'!$O$7:$O$3006,0)),""))</f>
        <v>JN°1245</v>
      </c>
      <c r="K555" s="82" t="str">
        <f aca="false">IF(B555="","",IFERROR(INDEX('CARNET DE SOUDURE'!$E$7:$E$3006,MATCH(B555,'CARNET DE SOUDURE'!$L$7:$L$3006,0)),""))</f>
        <v>DJ°236</v>
      </c>
      <c r="L555" s="82" t="n">
        <f aca="false">IF(B555="","",IFERROR(INDEX('CARNET DE SOUDURE'!$D$7:$D$3006,MATCH(B555,'CARNET DE SOUDURE'!$L$7:$L$3006,0)),IFERROR(INDEX('CARNET DE SOUDURE'!$D$7:$D$3006,MATCH(B555,'CARNET DE SOUDURE'!$O$7:$O$3006,0)),"")))</f>
        <v>13</v>
      </c>
      <c r="M555" s="82" t="str">
        <f aca="false">IF(B555="","",IF(OR(J555&lt;&gt;"",K555&lt;&gt;""),"POSÉ EN LIGNE",IF(COUNTIF(BARDAGE!$C$1:$C$5000,B555)&gt;0,"BARDÉ","EN STOCK")))</f>
        <v>POSÉ EN LIGNE</v>
      </c>
      <c r="N555" s="80"/>
    </row>
    <row r="556" customFormat="false" ht="15" hidden="false" customHeight="false" outlineLevel="0" collapsed="false">
      <c r="A556" s="82" t="n">
        <f aca="false">IF(B556="","",ROW()-6)</f>
        <v>550</v>
      </c>
      <c r="B556" s="145" t="n">
        <v>2097410</v>
      </c>
      <c r="C556" s="146" t="n">
        <v>15421112</v>
      </c>
      <c r="D556" s="146"/>
      <c r="E556" s="82" t="str">
        <f aca="false">IF(B556="","",IF(COUNTIFS('CARNET DE SOUDURE'!$L$7:$L$3006,B556,'CARNET DE SOUDURE'!$M$7:$M$3006,"&lt;&gt;"&amp;C556,'CARNET DE SOUDURE'!$M$7:$M$3006,"&lt;&gt;")+COUNTIFS('CARNET DE SOUDURE'!$O$7:$O$3006,B556,'CARNET DE SOUDURE'!$P$7:$P$3006,"&lt;&gt;"&amp;C556,'CARNET DE SOUDURE'!$P$7:$P$3006,"&lt;&gt;")&gt;0,"⚠ DIFFÉRENTE","OK"))</f>
        <v>OK</v>
      </c>
      <c r="F556" s="147" t="n">
        <v>11.94</v>
      </c>
      <c r="G556" s="80"/>
      <c r="H556" s="83"/>
      <c r="I556" s="148" t="str">
        <f aca="false">IF(B556="","",IFERROR(INDEX('CARNET DE SOUDURE'!$B$7:$B$3006,MATCH(B556,'CARNET DE SOUDURE'!$L$7:$L$3006,0)),IFERROR(INDEX('CARNET DE SOUDURE'!$B$7:$B$3006,MATCH(B556,'CARNET DE SOUDURE'!$O$7:$O$3006,0)),"")))</f>
        <v>MFD-ISW → MFD-CPF</v>
      </c>
      <c r="J556" s="82" t="str">
        <f aca="false">IF(B556="","",IFERROR(INDEX('CARNET DE SOUDURE'!$E$7:$E$3006,MATCH(B556,'CARNET DE SOUDURE'!$O$7:$O$3006,0)),""))</f>
        <v>DJ°236</v>
      </c>
      <c r="K556" s="82" t="str">
        <f aca="false">IF(B556="","",IFERROR(INDEX('CARNET DE SOUDURE'!$E$7:$E$3006,MATCH(B556,'CARNET DE SOUDURE'!$L$7:$L$3006,0)),""))</f>
        <v>JN°1246</v>
      </c>
      <c r="L556" s="82" t="n">
        <f aca="false">IF(B556="","",IFERROR(INDEX('CARNET DE SOUDURE'!$D$7:$D$3006,MATCH(B556,'CARNET DE SOUDURE'!$L$7:$L$3006,0)),IFERROR(INDEX('CARNET DE SOUDURE'!$D$7:$D$3006,MATCH(B556,'CARNET DE SOUDURE'!$O$7:$O$3006,0)),"")))</f>
        <v>13</v>
      </c>
      <c r="M556" s="82" t="str">
        <f aca="false">IF(B556="","",IF(OR(J556&lt;&gt;"",K556&lt;&gt;""),"POSÉ EN LIGNE",IF(COUNTIF(BARDAGE!$C$1:$C$5000,B556)&gt;0,"BARDÉ","EN STOCK")))</f>
        <v>POSÉ EN LIGNE</v>
      </c>
      <c r="N556" s="80"/>
    </row>
    <row r="557" customFormat="false" ht="15" hidden="false" customHeight="false" outlineLevel="0" collapsed="false">
      <c r="A557" s="82" t="n">
        <f aca="false">IF(B557="","",ROW()-6)</f>
        <v>551</v>
      </c>
      <c r="B557" s="145" t="n">
        <v>2082120</v>
      </c>
      <c r="C557" s="146" t="n">
        <v>15421104</v>
      </c>
      <c r="D557" s="146"/>
      <c r="E557" s="82" t="str">
        <f aca="false">IF(B557="","",IF(COUNTIFS('CARNET DE SOUDURE'!$L$7:$L$3006,B557,'CARNET DE SOUDURE'!$M$7:$M$3006,"&lt;&gt;"&amp;C557,'CARNET DE SOUDURE'!$M$7:$M$3006,"&lt;&gt;")+COUNTIFS('CARNET DE SOUDURE'!$O$7:$O$3006,B557,'CARNET DE SOUDURE'!$P$7:$P$3006,"&lt;&gt;"&amp;C557,'CARNET DE SOUDURE'!$P$7:$P$3006,"&lt;&gt;")&gt;0,"⚠ DIFFÉRENTE","OK"))</f>
        <v>OK</v>
      </c>
      <c r="F557" s="147" t="n">
        <v>11.94</v>
      </c>
      <c r="G557" s="80"/>
      <c r="H557" s="83"/>
      <c r="I557" s="148" t="str">
        <f aca="false">IF(B557="","",IFERROR(INDEX('CARNET DE SOUDURE'!$B$7:$B$3006,MATCH(B557,'CARNET DE SOUDURE'!$L$7:$L$3006,0)),IFERROR(INDEX('CARNET DE SOUDURE'!$B$7:$B$3006,MATCH(B557,'CARNET DE SOUDURE'!$O$7:$O$3006,0)),"")))</f>
        <v>MFD-ISW → MFD-CPF</v>
      </c>
      <c r="J557" s="82" t="str">
        <f aca="false">IF(B557="","",IFERROR(INDEX('CARNET DE SOUDURE'!$E$7:$E$3006,MATCH(B557,'CARNET DE SOUDURE'!$O$7:$O$3006,0)),""))</f>
        <v>JN°1246</v>
      </c>
      <c r="K557" s="82" t="str">
        <f aca="false">IF(B557="","",IFERROR(INDEX('CARNET DE SOUDURE'!$E$7:$E$3006,MATCH(B557,'CARNET DE SOUDURE'!$L$7:$L$3006,0)),""))</f>
        <v>DJ°255</v>
      </c>
      <c r="L557" s="82" t="n">
        <f aca="false">IF(B557="","",IFERROR(INDEX('CARNET DE SOUDURE'!$D$7:$D$3006,MATCH(B557,'CARNET DE SOUDURE'!$L$7:$L$3006,0)),IFERROR(INDEX('CARNET DE SOUDURE'!$D$7:$D$3006,MATCH(B557,'CARNET DE SOUDURE'!$O$7:$O$3006,0)),"")))</f>
        <v>13</v>
      </c>
      <c r="M557" s="82" t="str">
        <f aca="false">IF(B557="","",IF(OR(J557&lt;&gt;"",K557&lt;&gt;""),"POSÉ EN LIGNE",IF(COUNTIF(BARDAGE!$C$1:$C$5000,B557)&gt;0,"BARDÉ","EN STOCK")))</f>
        <v>POSÉ EN LIGNE</v>
      </c>
      <c r="N557" s="80"/>
    </row>
    <row r="558" customFormat="false" ht="15" hidden="false" customHeight="false" outlineLevel="0" collapsed="false">
      <c r="A558" s="82" t="n">
        <f aca="false">IF(B558="","",ROW()-6)</f>
        <v>552</v>
      </c>
      <c r="B558" s="145" t="n">
        <v>2080370</v>
      </c>
      <c r="C558" s="146" t="n">
        <v>15421102</v>
      </c>
      <c r="D558" s="146"/>
      <c r="E558" s="82" t="str">
        <f aca="false">IF(B558="","",IF(COUNTIFS('CARNET DE SOUDURE'!$L$7:$L$3006,B558,'CARNET DE SOUDURE'!$M$7:$M$3006,"&lt;&gt;"&amp;C558,'CARNET DE SOUDURE'!$M$7:$M$3006,"&lt;&gt;")+COUNTIFS('CARNET DE SOUDURE'!$O$7:$O$3006,B558,'CARNET DE SOUDURE'!$P$7:$P$3006,"&lt;&gt;"&amp;C558,'CARNET DE SOUDURE'!$P$7:$P$3006,"&lt;&gt;")&gt;0,"⚠ DIFFÉRENTE","OK"))</f>
        <v>OK</v>
      </c>
      <c r="F558" s="147" t="n">
        <v>11.94</v>
      </c>
      <c r="G558" s="80"/>
      <c r="H558" s="83"/>
      <c r="I558" s="148" t="str">
        <f aca="false">IF(B558="","",IFERROR(INDEX('CARNET DE SOUDURE'!$B$7:$B$3006,MATCH(B558,'CARNET DE SOUDURE'!$L$7:$L$3006,0)),IFERROR(INDEX('CARNET DE SOUDURE'!$B$7:$B$3006,MATCH(B558,'CARNET DE SOUDURE'!$O$7:$O$3006,0)),"")))</f>
        <v>MFD-ISW → MFD-CPF</v>
      </c>
      <c r="J558" s="82" t="str">
        <f aca="false">IF(B558="","",IFERROR(INDEX('CARNET DE SOUDURE'!$E$7:$E$3006,MATCH(B558,'CARNET DE SOUDURE'!$O$7:$O$3006,0)),""))</f>
        <v>DJ°255</v>
      </c>
      <c r="K558" s="82" t="str">
        <f aca="false">IF(B558="","",IFERROR(INDEX('CARNET DE SOUDURE'!$E$7:$E$3006,MATCH(B558,'CARNET DE SOUDURE'!$L$7:$L$3006,0)),""))</f>
        <v>JN°1247</v>
      </c>
      <c r="L558" s="82" t="n">
        <f aca="false">IF(B558="","",IFERROR(INDEX('CARNET DE SOUDURE'!$D$7:$D$3006,MATCH(B558,'CARNET DE SOUDURE'!$L$7:$L$3006,0)),IFERROR(INDEX('CARNET DE SOUDURE'!$D$7:$D$3006,MATCH(B558,'CARNET DE SOUDURE'!$O$7:$O$3006,0)),"")))</f>
        <v>13</v>
      </c>
      <c r="M558" s="82" t="str">
        <f aca="false">IF(B558="","",IF(OR(J558&lt;&gt;"",K558&lt;&gt;""),"POSÉ EN LIGNE",IF(COUNTIF(BARDAGE!$C$1:$C$5000,B558)&gt;0,"BARDÉ","EN STOCK")))</f>
        <v>POSÉ EN LIGNE</v>
      </c>
      <c r="N558" s="80"/>
    </row>
    <row r="559" customFormat="false" ht="15" hidden="false" customHeight="false" outlineLevel="0" collapsed="false">
      <c r="A559" s="82" t="n">
        <f aca="false">IF(B559="","",ROW()-6)</f>
        <v>553</v>
      </c>
      <c r="B559" s="145" t="n">
        <v>2081260</v>
      </c>
      <c r="C559" s="146" t="n">
        <v>15421103</v>
      </c>
      <c r="D559" s="146"/>
      <c r="E559" s="82" t="str">
        <f aca="false">IF(B559="","",IF(COUNTIFS('CARNET DE SOUDURE'!$L$7:$L$3006,B559,'CARNET DE SOUDURE'!$M$7:$M$3006,"&lt;&gt;"&amp;C559,'CARNET DE SOUDURE'!$M$7:$M$3006,"&lt;&gt;")+COUNTIFS('CARNET DE SOUDURE'!$O$7:$O$3006,B559,'CARNET DE SOUDURE'!$P$7:$P$3006,"&lt;&gt;"&amp;C559,'CARNET DE SOUDURE'!$P$7:$P$3006,"&lt;&gt;")&gt;0,"⚠ DIFFÉRENTE","OK"))</f>
        <v>OK</v>
      </c>
      <c r="F559" s="147" t="n">
        <v>11.94</v>
      </c>
      <c r="G559" s="80"/>
      <c r="H559" s="83"/>
      <c r="I559" s="148" t="str">
        <f aca="false">IF(B559="","",IFERROR(INDEX('CARNET DE SOUDURE'!$B$7:$B$3006,MATCH(B559,'CARNET DE SOUDURE'!$L$7:$L$3006,0)),IFERROR(INDEX('CARNET DE SOUDURE'!$B$7:$B$3006,MATCH(B559,'CARNET DE SOUDURE'!$O$7:$O$3006,0)),"")))</f>
        <v>MFD-ISW → MFD-CPF</v>
      </c>
      <c r="J559" s="82" t="str">
        <f aca="false">IF(B559="","",IFERROR(INDEX('CARNET DE SOUDURE'!$E$7:$E$3006,MATCH(B559,'CARNET DE SOUDURE'!$O$7:$O$3006,0)),""))</f>
        <v>JN°1247</v>
      </c>
      <c r="K559" s="82" t="str">
        <f aca="false">IF(B559="","",IFERROR(INDEX('CARNET DE SOUDURE'!$E$7:$E$3006,MATCH(B559,'CARNET DE SOUDURE'!$L$7:$L$3006,0)),""))</f>
        <v>DJ°256</v>
      </c>
      <c r="L559" s="82" t="n">
        <f aca="false">IF(B559="","",IFERROR(INDEX('CARNET DE SOUDURE'!$D$7:$D$3006,MATCH(B559,'CARNET DE SOUDURE'!$L$7:$L$3006,0)),IFERROR(INDEX('CARNET DE SOUDURE'!$D$7:$D$3006,MATCH(B559,'CARNET DE SOUDURE'!$O$7:$O$3006,0)),"")))</f>
        <v>13</v>
      </c>
      <c r="M559" s="82" t="str">
        <f aca="false">IF(B559="","",IF(OR(J559&lt;&gt;"",K559&lt;&gt;""),"POSÉ EN LIGNE",IF(COUNTIF(BARDAGE!$C$1:$C$5000,B559)&gt;0,"BARDÉ","EN STOCK")))</f>
        <v>POSÉ EN LIGNE</v>
      </c>
      <c r="N559" s="80"/>
    </row>
    <row r="560" customFormat="false" ht="15" hidden="false" customHeight="false" outlineLevel="0" collapsed="false">
      <c r="A560" s="82" t="n">
        <f aca="false">IF(B560="","",ROW()-6)</f>
        <v>554</v>
      </c>
      <c r="B560" s="145" t="n">
        <v>2083030</v>
      </c>
      <c r="C560" s="146" t="n">
        <v>15421105</v>
      </c>
      <c r="D560" s="146"/>
      <c r="E560" s="82" t="str">
        <f aca="false">IF(B560="","",IF(COUNTIFS('CARNET DE SOUDURE'!$L$7:$L$3006,B560,'CARNET DE SOUDURE'!$M$7:$M$3006,"&lt;&gt;"&amp;C560,'CARNET DE SOUDURE'!$M$7:$M$3006,"&lt;&gt;")+COUNTIFS('CARNET DE SOUDURE'!$O$7:$O$3006,B560,'CARNET DE SOUDURE'!$P$7:$P$3006,"&lt;&gt;"&amp;C560,'CARNET DE SOUDURE'!$P$7:$P$3006,"&lt;&gt;")&gt;0,"⚠ DIFFÉRENTE","OK"))</f>
        <v>OK</v>
      </c>
      <c r="F560" s="147" t="n">
        <v>11.94</v>
      </c>
      <c r="G560" s="80"/>
      <c r="H560" s="83"/>
      <c r="I560" s="148" t="str">
        <f aca="false">IF(B560="","",IFERROR(INDEX('CARNET DE SOUDURE'!$B$7:$B$3006,MATCH(B560,'CARNET DE SOUDURE'!$L$7:$L$3006,0)),IFERROR(INDEX('CARNET DE SOUDURE'!$B$7:$B$3006,MATCH(B560,'CARNET DE SOUDURE'!$O$7:$O$3006,0)),"")))</f>
        <v>MFD-ISW → MFD-CPF</v>
      </c>
      <c r="J560" s="82" t="str">
        <f aca="false">IF(B560="","",IFERROR(INDEX('CARNET DE SOUDURE'!$E$7:$E$3006,MATCH(B560,'CARNET DE SOUDURE'!$O$7:$O$3006,0)),""))</f>
        <v>DJ°256</v>
      </c>
      <c r="K560" s="82" t="str">
        <f aca="false">IF(B560="","",IFERROR(INDEX('CARNET DE SOUDURE'!$E$7:$E$3006,MATCH(B560,'CARNET DE SOUDURE'!$L$7:$L$3006,0)),""))</f>
        <v>JN°1248</v>
      </c>
      <c r="L560" s="82" t="n">
        <f aca="false">IF(B560="","",IFERROR(INDEX('CARNET DE SOUDURE'!$D$7:$D$3006,MATCH(B560,'CARNET DE SOUDURE'!$L$7:$L$3006,0)),IFERROR(INDEX('CARNET DE SOUDURE'!$D$7:$D$3006,MATCH(B560,'CARNET DE SOUDURE'!$O$7:$O$3006,0)),"")))</f>
        <v>13</v>
      </c>
      <c r="M560" s="82" t="str">
        <f aca="false">IF(B560="","",IF(OR(J560&lt;&gt;"",K560&lt;&gt;""),"POSÉ EN LIGNE",IF(COUNTIF(BARDAGE!$C$1:$C$5000,B560)&gt;0,"BARDÉ","EN STOCK")))</f>
        <v>POSÉ EN LIGNE</v>
      </c>
      <c r="N560" s="80"/>
    </row>
    <row r="561" customFormat="false" ht="15" hidden="false" customHeight="false" outlineLevel="0" collapsed="false">
      <c r="A561" s="82" t="n">
        <f aca="false">IF(B561="","",ROW()-6)</f>
        <v>555</v>
      </c>
      <c r="B561" s="145" t="n">
        <v>2093240</v>
      </c>
      <c r="C561" s="146" t="n">
        <v>15421110</v>
      </c>
      <c r="D561" s="146"/>
      <c r="E561" s="82" t="str">
        <f aca="false">IF(B561="","",IF(COUNTIFS('CARNET DE SOUDURE'!$L$7:$L$3006,B561,'CARNET DE SOUDURE'!$M$7:$M$3006,"&lt;&gt;"&amp;C561,'CARNET DE SOUDURE'!$M$7:$M$3006,"&lt;&gt;")+COUNTIFS('CARNET DE SOUDURE'!$O$7:$O$3006,B561,'CARNET DE SOUDURE'!$P$7:$P$3006,"&lt;&gt;"&amp;C561,'CARNET DE SOUDURE'!$P$7:$P$3006,"&lt;&gt;")&gt;0,"⚠ DIFFÉRENTE","OK"))</f>
        <v>OK</v>
      </c>
      <c r="F561" s="147" t="n">
        <v>11.94</v>
      </c>
      <c r="G561" s="80"/>
      <c r="H561" s="83"/>
      <c r="I561" s="148" t="str">
        <f aca="false">IF(B561="","",IFERROR(INDEX('CARNET DE SOUDURE'!$B$7:$B$3006,MATCH(B561,'CARNET DE SOUDURE'!$L$7:$L$3006,0)),IFERROR(INDEX('CARNET DE SOUDURE'!$B$7:$B$3006,MATCH(B561,'CARNET DE SOUDURE'!$O$7:$O$3006,0)),"")))</f>
        <v>MFD-ISW → MFD-CPF</v>
      </c>
      <c r="J561" s="82" t="str">
        <f aca="false">IF(B561="","",IFERROR(INDEX('CARNET DE SOUDURE'!$E$7:$E$3006,MATCH(B561,'CARNET DE SOUDURE'!$O$7:$O$3006,0)),""))</f>
        <v>JN°1259</v>
      </c>
      <c r="K561" s="82" t="str">
        <f aca="false">IF(B561="","",IFERROR(INDEX('CARNET DE SOUDURE'!$E$7:$E$3006,MATCH(B561,'CARNET DE SOUDURE'!$L$7:$L$3006,0)),""))</f>
        <v>DJ°258</v>
      </c>
      <c r="L561" s="82" t="n">
        <f aca="false">IF(B561="","",IFERROR(INDEX('CARNET DE SOUDURE'!$D$7:$D$3006,MATCH(B561,'CARNET DE SOUDURE'!$L$7:$L$3006,0)),IFERROR(INDEX('CARNET DE SOUDURE'!$D$7:$D$3006,MATCH(B561,'CARNET DE SOUDURE'!$O$7:$O$3006,0)),"")))</f>
        <v>13</v>
      </c>
      <c r="M561" s="82" t="str">
        <f aca="false">IF(B561="","",IF(OR(J561&lt;&gt;"",K561&lt;&gt;""),"POSÉ EN LIGNE",IF(COUNTIF(BARDAGE!$C$1:$C$5000,B561)&gt;0,"BARDÉ","EN STOCK")))</f>
        <v>POSÉ EN LIGNE</v>
      </c>
      <c r="N561" s="80"/>
    </row>
    <row r="562" customFormat="false" ht="15" hidden="false" customHeight="false" outlineLevel="0" collapsed="false">
      <c r="A562" s="82" t="n">
        <f aca="false">IF(B562="","",ROW()-6)</f>
        <v>556</v>
      </c>
      <c r="B562" s="145" t="n">
        <v>2094950</v>
      </c>
      <c r="C562" s="146" t="n">
        <v>15421111</v>
      </c>
      <c r="D562" s="146"/>
      <c r="E562" s="82" t="str">
        <f aca="false">IF(B562="","",IF(COUNTIFS('CARNET DE SOUDURE'!$L$7:$L$3006,B562,'CARNET DE SOUDURE'!$M$7:$M$3006,"&lt;&gt;"&amp;C562,'CARNET DE SOUDURE'!$M$7:$M$3006,"&lt;&gt;")+COUNTIFS('CARNET DE SOUDURE'!$O$7:$O$3006,B562,'CARNET DE SOUDURE'!$P$7:$P$3006,"&lt;&gt;"&amp;C562,'CARNET DE SOUDURE'!$P$7:$P$3006,"&lt;&gt;")&gt;0,"⚠ DIFFÉRENTE","OK"))</f>
        <v>OK</v>
      </c>
      <c r="F562" s="147" t="n">
        <v>11.94</v>
      </c>
      <c r="G562" s="80"/>
      <c r="H562" s="83"/>
      <c r="I562" s="148" t="str">
        <f aca="false">IF(B562="","",IFERROR(INDEX('CARNET DE SOUDURE'!$B$7:$B$3006,MATCH(B562,'CARNET DE SOUDURE'!$L$7:$L$3006,0)),IFERROR(INDEX('CARNET DE SOUDURE'!$B$7:$B$3006,MATCH(B562,'CARNET DE SOUDURE'!$O$7:$O$3006,0)),"")))</f>
        <v>MFD-ISW → MFD-CPF</v>
      </c>
      <c r="J562" s="82" t="str">
        <f aca="false">IF(B562="","",IFERROR(INDEX('CARNET DE SOUDURE'!$E$7:$E$3006,MATCH(B562,'CARNET DE SOUDURE'!$O$7:$O$3006,0)),""))</f>
        <v>DJ°258</v>
      </c>
      <c r="K562" s="82" t="str">
        <f aca="false">IF(B562="","",IFERROR(INDEX('CARNET DE SOUDURE'!$E$7:$E$3006,MATCH(B562,'CARNET DE SOUDURE'!$L$7:$L$3006,0)),""))</f>
        <v>JN°1260</v>
      </c>
      <c r="L562" s="82" t="n">
        <f aca="false">IF(B562="","",IFERROR(INDEX('CARNET DE SOUDURE'!$D$7:$D$3006,MATCH(B562,'CARNET DE SOUDURE'!$L$7:$L$3006,0)),IFERROR(INDEX('CARNET DE SOUDURE'!$D$7:$D$3006,MATCH(B562,'CARNET DE SOUDURE'!$O$7:$O$3006,0)),"")))</f>
        <v>13</v>
      </c>
      <c r="M562" s="82" t="str">
        <f aca="false">IF(B562="","",IF(OR(J562&lt;&gt;"",K562&lt;&gt;""),"POSÉ EN LIGNE",IF(COUNTIF(BARDAGE!$C$1:$C$5000,B562)&gt;0,"BARDÉ","EN STOCK")))</f>
        <v>POSÉ EN LIGNE</v>
      </c>
      <c r="N562" s="80"/>
    </row>
    <row r="563" customFormat="false" ht="15" hidden="false" customHeight="false" outlineLevel="0" collapsed="false">
      <c r="A563" s="82" t="n">
        <f aca="false">IF(B563="","",ROW()-6)</f>
        <v>557</v>
      </c>
      <c r="B563" s="145" t="n">
        <v>2082180</v>
      </c>
      <c r="C563" s="146" t="n">
        <v>15421111</v>
      </c>
      <c r="D563" s="146"/>
      <c r="E563" s="82" t="str">
        <f aca="false">IF(B563="","",IF(COUNTIFS('CARNET DE SOUDURE'!$L$7:$L$3006,B563,'CARNET DE SOUDURE'!$M$7:$M$3006,"&lt;&gt;"&amp;C563,'CARNET DE SOUDURE'!$M$7:$M$3006,"&lt;&gt;")+COUNTIFS('CARNET DE SOUDURE'!$O$7:$O$3006,B563,'CARNET DE SOUDURE'!$P$7:$P$3006,"&lt;&gt;"&amp;C563,'CARNET DE SOUDURE'!$P$7:$P$3006,"&lt;&gt;")&gt;0,"⚠ DIFFÉRENTE","OK"))</f>
        <v>OK</v>
      </c>
      <c r="F563" s="147" t="n">
        <v>11.94</v>
      </c>
      <c r="G563" s="80"/>
      <c r="H563" s="83"/>
      <c r="I563" s="148" t="str">
        <f aca="false">IF(B563="","",IFERROR(INDEX('CARNET DE SOUDURE'!$B$7:$B$3006,MATCH(B563,'CARNET DE SOUDURE'!$L$7:$L$3006,0)),IFERROR(INDEX('CARNET DE SOUDURE'!$B$7:$B$3006,MATCH(B563,'CARNET DE SOUDURE'!$O$7:$O$3006,0)),"")))</f>
        <v>MFD-ISW → MFD-CPF</v>
      </c>
      <c r="J563" s="82" t="str">
        <f aca="false">IF(B563="","",IFERROR(INDEX('CARNET DE SOUDURE'!$E$7:$E$3006,MATCH(B563,'CARNET DE SOUDURE'!$O$7:$O$3006,0)),""))</f>
        <v>JN°1260</v>
      </c>
      <c r="K563" s="82" t="str">
        <f aca="false">IF(B563="","",IFERROR(INDEX('CARNET DE SOUDURE'!$E$7:$E$3006,MATCH(B563,'CARNET DE SOUDURE'!$L$7:$L$3006,0)),""))</f>
        <v>DJ°259</v>
      </c>
      <c r="L563" s="82" t="n">
        <f aca="false">IF(B563="","",IFERROR(INDEX('CARNET DE SOUDURE'!$D$7:$D$3006,MATCH(B563,'CARNET DE SOUDURE'!$L$7:$L$3006,0)),IFERROR(INDEX('CARNET DE SOUDURE'!$D$7:$D$3006,MATCH(B563,'CARNET DE SOUDURE'!$O$7:$O$3006,0)),"")))</f>
        <v>13</v>
      </c>
      <c r="M563" s="82" t="str">
        <f aca="false">IF(B563="","",IF(OR(J563&lt;&gt;"",K563&lt;&gt;""),"POSÉ EN LIGNE",IF(COUNTIF(BARDAGE!$C$1:$C$5000,B563)&gt;0,"BARDÉ","EN STOCK")))</f>
        <v>POSÉ EN LIGNE</v>
      </c>
      <c r="N563" s="80"/>
    </row>
    <row r="564" customFormat="false" ht="15" hidden="false" customHeight="false" outlineLevel="0" collapsed="false">
      <c r="A564" s="82" t="n">
        <f aca="false">IF(B564="","",ROW()-6)</f>
        <v>558</v>
      </c>
      <c r="B564" s="145" t="n">
        <v>2080130</v>
      </c>
      <c r="C564" s="146" t="n">
        <v>15421102</v>
      </c>
      <c r="D564" s="146"/>
      <c r="E564" s="82" t="str">
        <f aca="false">IF(B564="","",IF(COUNTIFS('CARNET DE SOUDURE'!$L$7:$L$3006,B564,'CARNET DE SOUDURE'!$M$7:$M$3006,"&lt;&gt;"&amp;C564,'CARNET DE SOUDURE'!$M$7:$M$3006,"&lt;&gt;")+COUNTIFS('CARNET DE SOUDURE'!$O$7:$O$3006,B564,'CARNET DE SOUDURE'!$P$7:$P$3006,"&lt;&gt;"&amp;C564,'CARNET DE SOUDURE'!$P$7:$P$3006,"&lt;&gt;")&gt;0,"⚠ DIFFÉRENTE","OK"))</f>
        <v>OK</v>
      </c>
      <c r="F564" s="147" t="n">
        <v>11.94</v>
      </c>
      <c r="G564" s="80"/>
      <c r="H564" s="83"/>
      <c r="I564" s="148" t="str">
        <f aca="false">IF(B564="","",IFERROR(INDEX('CARNET DE SOUDURE'!$B$7:$B$3006,MATCH(B564,'CARNET DE SOUDURE'!$L$7:$L$3006,0)),IFERROR(INDEX('CARNET DE SOUDURE'!$B$7:$B$3006,MATCH(B564,'CARNET DE SOUDURE'!$O$7:$O$3006,0)),"")))</f>
        <v>MFD-ISW → MFD-CPF</v>
      </c>
      <c r="J564" s="82" t="str">
        <f aca="false">IF(B564="","",IFERROR(INDEX('CARNET DE SOUDURE'!$E$7:$E$3006,MATCH(B564,'CARNET DE SOUDURE'!$O$7:$O$3006,0)),""))</f>
        <v>DJ°259</v>
      </c>
      <c r="K564" s="82" t="str">
        <f aca="false">IF(B564="","",IFERROR(INDEX('CARNET DE SOUDURE'!$E$7:$E$3006,MATCH(B564,'CARNET DE SOUDURE'!$L$7:$L$3006,0)),""))</f>
        <v>JN°1261</v>
      </c>
      <c r="L564" s="82" t="n">
        <f aca="false">IF(B564="","",IFERROR(INDEX('CARNET DE SOUDURE'!$D$7:$D$3006,MATCH(B564,'CARNET DE SOUDURE'!$L$7:$L$3006,0)),IFERROR(INDEX('CARNET DE SOUDURE'!$D$7:$D$3006,MATCH(B564,'CARNET DE SOUDURE'!$O$7:$O$3006,0)),"")))</f>
        <v>13</v>
      </c>
      <c r="M564" s="82" t="str">
        <f aca="false">IF(B564="","",IF(OR(J564&lt;&gt;"",K564&lt;&gt;""),"POSÉ EN LIGNE",IF(COUNTIF(BARDAGE!$C$1:$C$5000,B564)&gt;0,"BARDÉ","EN STOCK")))</f>
        <v>POSÉ EN LIGNE</v>
      </c>
      <c r="N564" s="80"/>
    </row>
    <row r="565" customFormat="false" ht="15" hidden="false" customHeight="false" outlineLevel="0" collapsed="false">
      <c r="A565" s="82" t="n">
        <f aca="false">IF(B565="","",ROW()-6)</f>
        <v>559</v>
      </c>
      <c r="B565" s="145" t="n">
        <v>2096530</v>
      </c>
      <c r="C565" s="146" t="n">
        <v>15421111</v>
      </c>
      <c r="D565" s="146"/>
      <c r="E565" s="82" t="str">
        <f aca="false">IF(B565="","",IF(COUNTIFS('CARNET DE SOUDURE'!$L$7:$L$3006,B565,'CARNET DE SOUDURE'!$M$7:$M$3006,"&lt;&gt;"&amp;C565,'CARNET DE SOUDURE'!$M$7:$M$3006,"&lt;&gt;")+COUNTIFS('CARNET DE SOUDURE'!$O$7:$O$3006,B565,'CARNET DE SOUDURE'!$P$7:$P$3006,"&lt;&gt;"&amp;C565,'CARNET DE SOUDURE'!$P$7:$P$3006,"&lt;&gt;")&gt;0,"⚠ DIFFÉRENTE","OK"))</f>
        <v>OK</v>
      </c>
      <c r="F565" s="147" t="n">
        <v>11.94</v>
      </c>
      <c r="G565" s="80"/>
      <c r="H565" s="83"/>
      <c r="I565" s="148" t="str">
        <f aca="false">IF(B565="","",IFERROR(INDEX('CARNET DE SOUDURE'!$B$7:$B$3006,MATCH(B565,'CARNET DE SOUDURE'!$L$7:$L$3006,0)),IFERROR(INDEX('CARNET DE SOUDURE'!$B$7:$B$3006,MATCH(B565,'CARNET DE SOUDURE'!$O$7:$O$3006,0)),"")))</f>
        <v>MFD-ISW → MFD-CPF</v>
      </c>
      <c r="J565" s="82" t="str">
        <f aca="false">IF(B565="","",IFERROR(INDEX('CARNET DE SOUDURE'!$E$7:$E$3006,MATCH(B565,'CARNET DE SOUDURE'!$O$7:$O$3006,0)),""))</f>
        <v>JN°1261</v>
      </c>
      <c r="K565" s="82" t="str">
        <f aca="false">IF(B565="","",IFERROR(INDEX('CARNET DE SOUDURE'!$E$7:$E$3006,MATCH(B565,'CARNET DE SOUDURE'!$L$7:$L$3006,0)),""))</f>
        <v/>
      </c>
      <c r="L565" s="82" t="n">
        <f aca="false">IF(B565="","",IFERROR(INDEX('CARNET DE SOUDURE'!$D$7:$D$3006,MATCH(B565,'CARNET DE SOUDURE'!$L$7:$L$3006,0)),IFERROR(INDEX('CARNET DE SOUDURE'!$D$7:$D$3006,MATCH(B565,'CARNET DE SOUDURE'!$O$7:$O$3006,0)),"")))</f>
        <v>13</v>
      </c>
      <c r="M565" s="82" t="str">
        <f aca="false">IF(B565="","",IF(OR(J565&lt;&gt;"",K565&lt;&gt;""),"POSÉ EN LIGNE",IF(COUNTIF(BARDAGE!$C$1:$C$5000,B565)&gt;0,"BARDÉ","EN STOCK")))</f>
        <v>POSÉ EN LIGNE</v>
      </c>
      <c r="N565" s="80"/>
    </row>
    <row r="566" customFormat="false" ht="15" hidden="false" customHeight="false" outlineLevel="0" collapsed="false">
      <c r="A566" s="82" t="n">
        <f aca="false">IF(B566="","",ROW()-6)</f>
        <v>560</v>
      </c>
      <c r="B566" s="145" t="n">
        <v>2098500</v>
      </c>
      <c r="C566" s="146" t="n">
        <v>15421112</v>
      </c>
      <c r="D566" s="146"/>
      <c r="E566" s="82" t="str">
        <f aca="false">IF(B566="","",IF(COUNTIFS('CARNET DE SOUDURE'!$L$7:$L$3006,B566,'CARNET DE SOUDURE'!$M$7:$M$3006,"&lt;&gt;"&amp;C566,'CARNET DE SOUDURE'!$M$7:$M$3006,"&lt;&gt;")+COUNTIFS('CARNET DE SOUDURE'!$O$7:$O$3006,B566,'CARNET DE SOUDURE'!$P$7:$P$3006,"&lt;&gt;"&amp;C566,'CARNET DE SOUDURE'!$P$7:$P$3006,"&lt;&gt;")&gt;0,"⚠ DIFFÉRENTE","OK"))</f>
        <v>OK</v>
      </c>
      <c r="F566" s="147" t="n">
        <v>11.94</v>
      </c>
      <c r="G566" s="80"/>
      <c r="H566" s="83"/>
      <c r="I566" s="148" t="str">
        <f aca="false">IF(B566="","",IFERROR(INDEX('CARNET DE SOUDURE'!$B$7:$B$3006,MATCH(B566,'CARNET DE SOUDURE'!$L$7:$L$3006,0)),IFERROR(INDEX('CARNET DE SOUDURE'!$B$7:$B$3006,MATCH(B566,'CARNET DE SOUDURE'!$O$7:$O$3006,0)),"")))</f>
        <v>MFD-ISW → MFD-CPF</v>
      </c>
      <c r="J566" s="82" t="str">
        <f aca="false">IF(B566="","",IFERROR(INDEX('CARNET DE SOUDURE'!$E$7:$E$3006,MATCH(B566,'CARNET DE SOUDURE'!$O$7:$O$3006,0)),""))</f>
        <v>JN°1274</v>
      </c>
      <c r="K566" s="82" t="str">
        <f aca="false">IF(B566="","",IFERROR(INDEX('CARNET DE SOUDURE'!$E$7:$E$3006,MATCH(B566,'CARNET DE SOUDURE'!$L$7:$L$3006,0)),""))</f>
        <v>DJ°252</v>
      </c>
      <c r="L566" s="82" t="n">
        <f aca="false">IF(B566="","",IFERROR(INDEX('CARNET DE SOUDURE'!$D$7:$D$3006,MATCH(B566,'CARNET DE SOUDURE'!$L$7:$L$3006,0)),IFERROR(INDEX('CARNET DE SOUDURE'!$D$7:$D$3006,MATCH(B566,'CARNET DE SOUDURE'!$O$7:$O$3006,0)),"")))</f>
        <v>13</v>
      </c>
      <c r="M566" s="82" t="str">
        <f aca="false">IF(B566="","",IF(OR(J566&lt;&gt;"",K566&lt;&gt;""),"POSÉ EN LIGNE",IF(COUNTIF(BARDAGE!$C$1:$C$5000,B566)&gt;0,"BARDÉ","EN STOCK")))</f>
        <v>POSÉ EN LIGNE</v>
      </c>
      <c r="N566" s="80"/>
    </row>
    <row r="567" customFormat="false" ht="15" hidden="false" customHeight="false" outlineLevel="0" collapsed="false">
      <c r="A567" s="82" t="n">
        <f aca="false">IF(B567="","",ROW()-6)</f>
        <v>561</v>
      </c>
      <c r="B567" s="145" t="n">
        <v>2098870</v>
      </c>
      <c r="C567" s="146" t="n">
        <v>15421102</v>
      </c>
      <c r="D567" s="146"/>
      <c r="E567" s="82" t="str">
        <f aca="false">IF(B567="","",IF(COUNTIFS('CARNET DE SOUDURE'!$L$7:$L$3006,B567,'CARNET DE SOUDURE'!$M$7:$M$3006,"&lt;&gt;"&amp;C567,'CARNET DE SOUDURE'!$M$7:$M$3006,"&lt;&gt;")+COUNTIFS('CARNET DE SOUDURE'!$O$7:$O$3006,B567,'CARNET DE SOUDURE'!$P$7:$P$3006,"&lt;&gt;"&amp;C567,'CARNET DE SOUDURE'!$P$7:$P$3006,"&lt;&gt;")&gt;0,"⚠ DIFFÉRENTE","OK"))</f>
        <v>OK</v>
      </c>
      <c r="F567" s="147" t="n">
        <v>11.94</v>
      </c>
      <c r="G567" s="80"/>
      <c r="H567" s="83"/>
      <c r="I567" s="148" t="str">
        <f aca="false">IF(B567="","",IFERROR(INDEX('CARNET DE SOUDURE'!$B$7:$B$3006,MATCH(B567,'CARNET DE SOUDURE'!$L$7:$L$3006,0)),IFERROR(INDEX('CARNET DE SOUDURE'!$B$7:$B$3006,MATCH(B567,'CARNET DE SOUDURE'!$O$7:$O$3006,0)),"")))</f>
        <v>MFD-ISW → MFD-CPF</v>
      </c>
      <c r="J567" s="82" t="str">
        <f aca="false">IF(B567="","",IFERROR(INDEX('CARNET DE SOUDURE'!$E$7:$E$3006,MATCH(B567,'CARNET DE SOUDURE'!$O$7:$O$3006,0)),""))</f>
        <v>DJ°252</v>
      </c>
      <c r="K567" s="82" t="str">
        <f aca="false">IF(B567="","",IFERROR(INDEX('CARNET DE SOUDURE'!$E$7:$E$3006,MATCH(B567,'CARNET DE SOUDURE'!$L$7:$L$3006,0)),""))</f>
        <v>JN°1275</v>
      </c>
      <c r="L567" s="82" t="n">
        <f aca="false">IF(B567="","",IFERROR(INDEX('CARNET DE SOUDURE'!$D$7:$D$3006,MATCH(B567,'CARNET DE SOUDURE'!$L$7:$L$3006,0)),IFERROR(INDEX('CARNET DE SOUDURE'!$D$7:$D$3006,MATCH(B567,'CARNET DE SOUDURE'!$O$7:$O$3006,0)),"")))</f>
        <v>13</v>
      </c>
      <c r="M567" s="82" t="str">
        <f aca="false">IF(B567="","",IF(OR(J567&lt;&gt;"",K567&lt;&gt;""),"POSÉ EN LIGNE",IF(COUNTIF(BARDAGE!$C$1:$C$5000,B567)&gt;0,"BARDÉ","EN STOCK")))</f>
        <v>POSÉ EN LIGNE</v>
      </c>
      <c r="N567" s="80"/>
    </row>
    <row r="568" customFormat="false" ht="15" hidden="false" customHeight="false" outlineLevel="0" collapsed="false">
      <c r="A568" s="82" t="n">
        <f aca="false">IF(B568="","",ROW()-6)</f>
        <v>562</v>
      </c>
      <c r="B568" s="145" t="n">
        <v>2081850</v>
      </c>
      <c r="C568" s="146" t="n">
        <v>15421104</v>
      </c>
      <c r="D568" s="146"/>
      <c r="E568" s="82" t="str">
        <f aca="false">IF(B568="","",IF(COUNTIFS('CARNET DE SOUDURE'!$L$7:$L$3006,B568,'CARNET DE SOUDURE'!$M$7:$M$3006,"&lt;&gt;"&amp;C568,'CARNET DE SOUDURE'!$M$7:$M$3006,"&lt;&gt;")+COUNTIFS('CARNET DE SOUDURE'!$O$7:$O$3006,B568,'CARNET DE SOUDURE'!$P$7:$P$3006,"&lt;&gt;"&amp;C568,'CARNET DE SOUDURE'!$P$7:$P$3006,"&lt;&gt;")&gt;0,"⚠ DIFFÉRENTE","OK"))</f>
        <v>OK</v>
      </c>
      <c r="F568" s="147" t="n">
        <v>11.94</v>
      </c>
      <c r="G568" s="80"/>
      <c r="H568" s="83"/>
      <c r="I568" s="148" t="str">
        <f aca="false">IF(B568="","",IFERROR(INDEX('CARNET DE SOUDURE'!$B$7:$B$3006,MATCH(B568,'CARNET DE SOUDURE'!$L$7:$L$3006,0)),IFERROR(INDEX('CARNET DE SOUDURE'!$B$7:$B$3006,MATCH(B568,'CARNET DE SOUDURE'!$O$7:$O$3006,0)),"")))</f>
        <v>MFD-ISW → MFD-CPF</v>
      </c>
      <c r="J568" s="82" t="str">
        <f aca="false">IF(B568="","",IFERROR(INDEX('CARNET DE SOUDURE'!$E$7:$E$3006,MATCH(B568,'CARNET DE SOUDURE'!$O$7:$O$3006,0)),""))</f>
        <v>JN°1275</v>
      </c>
      <c r="K568" s="82" t="str">
        <f aca="false">IF(B568="","",IFERROR(INDEX('CARNET DE SOUDURE'!$E$7:$E$3006,MATCH(B568,'CARNET DE SOUDURE'!$L$7:$L$3006,0)),""))</f>
        <v>DJ°251</v>
      </c>
      <c r="L568" s="82" t="n">
        <f aca="false">IF(B568="","",IFERROR(INDEX('CARNET DE SOUDURE'!$D$7:$D$3006,MATCH(B568,'CARNET DE SOUDURE'!$L$7:$L$3006,0)),IFERROR(INDEX('CARNET DE SOUDURE'!$D$7:$D$3006,MATCH(B568,'CARNET DE SOUDURE'!$O$7:$O$3006,0)),"")))</f>
        <v>13</v>
      </c>
      <c r="M568" s="82" t="str">
        <f aca="false">IF(B568="","",IF(OR(J568&lt;&gt;"",K568&lt;&gt;""),"POSÉ EN LIGNE",IF(COUNTIF(BARDAGE!$C$1:$C$5000,B568)&gt;0,"BARDÉ","EN STOCK")))</f>
        <v>POSÉ EN LIGNE</v>
      </c>
      <c r="N568" s="80"/>
    </row>
    <row r="569" customFormat="false" ht="15" hidden="false" customHeight="false" outlineLevel="0" collapsed="false">
      <c r="A569" s="82" t="n">
        <f aca="false">IF(B569="","",ROW()-6)</f>
        <v>563</v>
      </c>
      <c r="B569" s="145" t="n">
        <v>2091700</v>
      </c>
      <c r="C569" s="146" t="n">
        <v>15421109</v>
      </c>
      <c r="D569" s="146"/>
      <c r="E569" s="82" t="str">
        <f aca="false">IF(B569="","",IF(COUNTIFS('CARNET DE SOUDURE'!$L$7:$L$3006,B569,'CARNET DE SOUDURE'!$M$7:$M$3006,"&lt;&gt;"&amp;C569,'CARNET DE SOUDURE'!$M$7:$M$3006,"&lt;&gt;")+COUNTIFS('CARNET DE SOUDURE'!$O$7:$O$3006,B569,'CARNET DE SOUDURE'!$P$7:$P$3006,"&lt;&gt;"&amp;C569,'CARNET DE SOUDURE'!$P$7:$P$3006,"&lt;&gt;")&gt;0,"⚠ DIFFÉRENTE","OK"))</f>
        <v>OK</v>
      </c>
      <c r="F569" s="147" t="n">
        <v>11.09</v>
      </c>
      <c r="G569" s="80"/>
      <c r="H569" s="83"/>
      <c r="I569" s="148" t="str">
        <f aca="false">IF(B569="","",IFERROR(INDEX('CARNET DE SOUDURE'!$B$7:$B$3006,MATCH(B569,'CARNET DE SOUDURE'!$L$7:$L$3006,0)),IFERROR(INDEX('CARNET DE SOUDURE'!$B$7:$B$3006,MATCH(B569,'CARNET DE SOUDURE'!$O$7:$O$3006,0)),"")))</f>
        <v>MFD-ISW → MFD-CPF</v>
      </c>
      <c r="J569" s="82" t="str">
        <f aca="false">IF(B569="","",IFERROR(INDEX('CARNET DE SOUDURE'!$E$7:$E$3006,MATCH(B569,'CARNET DE SOUDURE'!$O$7:$O$3006,0)),""))</f>
        <v>DJ°251</v>
      </c>
      <c r="K569" s="82" t="str">
        <f aca="false">IF(B569="","",IFERROR(INDEX('CARNET DE SOUDURE'!$E$7:$E$3006,MATCH(B569,'CARNET DE SOUDURE'!$L$7:$L$3006,0)),""))</f>
        <v>JN°1276</v>
      </c>
      <c r="L569" s="82" t="n">
        <f aca="false">IF(B569="","",IFERROR(INDEX('CARNET DE SOUDURE'!$D$7:$D$3006,MATCH(B569,'CARNET DE SOUDURE'!$L$7:$L$3006,0)),IFERROR(INDEX('CARNET DE SOUDURE'!$D$7:$D$3006,MATCH(B569,'CARNET DE SOUDURE'!$O$7:$O$3006,0)),"")))</f>
        <v>13</v>
      </c>
      <c r="M569" s="82" t="str">
        <f aca="false">IF(B569="","",IF(OR(J569&lt;&gt;"",K569&lt;&gt;""),"POSÉ EN LIGNE",IF(COUNTIF(BARDAGE!$C$1:$C$5000,B569)&gt;0,"BARDÉ","EN STOCK")))</f>
        <v>POSÉ EN LIGNE</v>
      </c>
      <c r="N569" s="80"/>
    </row>
    <row r="570" customFormat="false" ht="15" hidden="false" customHeight="false" outlineLevel="0" collapsed="false">
      <c r="A570" s="82" t="n">
        <f aca="false">IF(B570="","",ROW()-6)</f>
        <v>564</v>
      </c>
      <c r="B570" s="145" t="n">
        <v>2082160</v>
      </c>
      <c r="C570" s="146" t="n">
        <v>15421104</v>
      </c>
      <c r="D570" s="146"/>
      <c r="E570" s="82" t="str">
        <f aca="false">IF(B570="","",IF(COUNTIFS('CARNET DE SOUDURE'!$L$7:$L$3006,B570,'CARNET DE SOUDURE'!$M$7:$M$3006,"&lt;&gt;"&amp;C570,'CARNET DE SOUDURE'!$M$7:$M$3006,"&lt;&gt;")+COUNTIFS('CARNET DE SOUDURE'!$O$7:$O$3006,B570,'CARNET DE SOUDURE'!$P$7:$P$3006,"&lt;&gt;"&amp;C570,'CARNET DE SOUDURE'!$P$7:$P$3006,"&lt;&gt;")&gt;0,"⚠ DIFFÉRENTE","OK"))</f>
        <v>OK</v>
      </c>
      <c r="F570" s="147" t="n">
        <v>11.94</v>
      </c>
      <c r="G570" s="80"/>
      <c r="H570" s="83"/>
      <c r="I570" s="148" t="str">
        <f aca="false">IF(B570="","",IFERROR(INDEX('CARNET DE SOUDURE'!$B$7:$B$3006,MATCH(B570,'CARNET DE SOUDURE'!$L$7:$L$3006,0)),IFERROR(INDEX('CARNET DE SOUDURE'!$B$7:$B$3006,MATCH(B570,'CARNET DE SOUDURE'!$O$7:$O$3006,0)),"")))</f>
        <v>MFD-ISW → MFD-CPF</v>
      </c>
      <c r="J570" s="82" t="str">
        <f aca="false">IF(B570="","",IFERROR(INDEX('CARNET DE SOUDURE'!$E$7:$E$3006,MATCH(B570,'CARNET DE SOUDURE'!$O$7:$O$3006,0)),""))</f>
        <v>JN°1276</v>
      </c>
      <c r="K570" s="82" t="str">
        <f aca="false">IF(B570="","",IFERROR(INDEX('CARNET DE SOUDURE'!$E$7:$E$3006,MATCH(B570,'CARNET DE SOUDURE'!$L$7:$L$3006,0)),""))</f>
        <v>DJ°266</v>
      </c>
      <c r="L570" s="82" t="n">
        <f aca="false">IF(B570="","",IFERROR(INDEX('CARNET DE SOUDURE'!$D$7:$D$3006,MATCH(B570,'CARNET DE SOUDURE'!$L$7:$L$3006,0)),IFERROR(INDEX('CARNET DE SOUDURE'!$D$7:$D$3006,MATCH(B570,'CARNET DE SOUDURE'!$O$7:$O$3006,0)),"")))</f>
        <v>13</v>
      </c>
      <c r="M570" s="82" t="str">
        <f aca="false">IF(B570="","",IF(OR(J570&lt;&gt;"",K570&lt;&gt;""),"POSÉ EN LIGNE",IF(COUNTIF(BARDAGE!$C$1:$C$5000,B570)&gt;0,"BARDÉ","EN STOCK")))</f>
        <v>POSÉ EN LIGNE</v>
      </c>
      <c r="N570" s="80"/>
    </row>
    <row r="571" customFormat="false" ht="15" hidden="false" customHeight="false" outlineLevel="0" collapsed="false">
      <c r="A571" s="82" t="n">
        <f aca="false">IF(B571="","",ROW()-6)</f>
        <v>565</v>
      </c>
      <c r="B571" s="145" t="n">
        <v>2082050</v>
      </c>
      <c r="C571" s="146" t="n">
        <v>1542050</v>
      </c>
      <c r="D571" s="146"/>
      <c r="E571" s="82" t="str">
        <f aca="false">IF(B571="","",IF(COUNTIFS('CARNET DE SOUDURE'!$L$7:$L$3006,B571,'CARNET DE SOUDURE'!$M$7:$M$3006,"&lt;&gt;"&amp;C571,'CARNET DE SOUDURE'!$M$7:$M$3006,"&lt;&gt;")+COUNTIFS('CARNET DE SOUDURE'!$O$7:$O$3006,B571,'CARNET DE SOUDURE'!$P$7:$P$3006,"&lt;&gt;"&amp;C571,'CARNET DE SOUDURE'!$P$7:$P$3006,"&lt;&gt;")&gt;0,"⚠ DIFFÉRENTE","OK"))</f>
        <v>OK</v>
      </c>
      <c r="F571" s="147" t="n">
        <v>11.94</v>
      </c>
      <c r="G571" s="80"/>
      <c r="H571" s="83"/>
      <c r="I571" s="148" t="str">
        <f aca="false">IF(B571="","",IFERROR(INDEX('CARNET DE SOUDURE'!$B$7:$B$3006,MATCH(B571,'CARNET DE SOUDURE'!$L$7:$L$3006,0)),IFERROR(INDEX('CARNET DE SOUDURE'!$B$7:$B$3006,MATCH(B571,'CARNET DE SOUDURE'!$O$7:$O$3006,0)),"")))</f>
        <v>MFD-ISW → MFD-CPF</v>
      </c>
      <c r="J571" s="82" t="str">
        <f aca="false">IF(B571="","",IFERROR(INDEX('CARNET DE SOUDURE'!$E$7:$E$3006,MATCH(B571,'CARNET DE SOUDURE'!$O$7:$O$3006,0)),""))</f>
        <v>DJ°266</v>
      </c>
      <c r="K571" s="82" t="str">
        <f aca="false">IF(B571="","",IFERROR(INDEX('CARNET DE SOUDURE'!$E$7:$E$3006,MATCH(B571,'CARNET DE SOUDURE'!$L$7:$L$3006,0)),""))</f>
        <v>JN°1277</v>
      </c>
      <c r="L571" s="82" t="n">
        <f aca="false">IF(B571="","",IFERROR(INDEX('CARNET DE SOUDURE'!$D$7:$D$3006,MATCH(B571,'CARNET DE SOUDURE'!$L$7:$L$3006,0)),IFERROR(INDEX('CARNET DE SOUDURE'!$D$7:$D$3006,MATCH(B571,'CARNET DE SOUDURE'!$O$7:$O$3006,0)),"")))</f>
        <v>13</v>
      </c>
      <c r="M571" s="82" t="str">
        <f aca="false">IF(B571="","",IF(OR(J571&lt;&gt;"",K571&lt;&gt;""),"POSÉ EN LIGNE",IF(COUNTIF(BARDAGE!$C$1:$C$5000,B571)&gt;0,"BARDÉ","EN STOCK")))</f>
        <v>POSÉ EN LIGNE</v>
      </c>
      <c r="N571" s="80"/>
    </row>
    <row r="572" customFormat="false" ht="15" hidden="false" customHeight="false" outlineLevel="0" collapsed="false">
      <c r="A572" s="82" t="n">
        <f aca="false">IF(B572="","",ROW()-6)</f>
        <v>566</v>
      </c>
      <c r="B572" s="145" t="n">
        <v>2081570</v>
      </c>
      <c r="C572" s="146" t="n">
        <v>15421103</v>
      </c>
      <c r="D572" s="146"/>
      <c r="E572" s="82" t="str">
        <f aca="false">IF(B572="","",IF(COUNTIFS('CARNET DE SOUDURE'!$L$7:$L$3006,B572,'CARNET DE SOUDURE'!$M$7:$M$3006,"&lt;&gt;"&amp;C572,'CARNET DE SOUDURE'!$M$7:$M$3006,"&lt;&gt;")+COUNTIFS('CARNET DE SOUDURE'!$O$7:$O$3006,B572,'CARNET DE SOUDURE'!$P$7:$P$3006,"&lt;&gt;"&amp;C572,'CARNET DE SOUDURE'!$P$7:$P$3006,"&lt;&gt;")&gt;0,"⚠ DIFFÉRENTE","OK"))</f>
        <v>OK</v>
      </c>
      <c r="F572" s="147" t="n">
        <v>11.94</v>
      </c>
      <c r="G572" s="80"/>
      <c r="H572" s="83"/>
      <c r="I572" s="148" t="str">
        <f aca="false">IF(B572="","",IFERROR(INDEX('CARNET DE SOUDURE'!$B$7:$B$3006,MATCH(B572,'CARNET DE SOUDURE'!$L$7:$L$3006,0)),IFERROR(INDEX('CARNET DE SOUDURE'!$B$7:$B$3006,MATCH(B572,'CARNET DE SOUDURE'!$O$7:$O$3006,0)),"")))</f>
        <v>MFD-ISW → MFD-CPF</v>
      </c>
      <c r="J572" s="82" t="str">
        <f aca="false">IF(B572="","",IFERROR(INDEX('CARNET DE SOUDURE'!$E$7:$E$3006,MATCH(B572,'CARNET DE SOUDURE'!$O$7:$O$3006,0)),""))</f>
        <v>JN°1277</v>
      </c>
      <c r="K572" s="82" t="str">
        <f aca="false">IF(B572="","",IFERROR(INDEX('CARNET DE SOUDURE'!$E$7:$E$3006,MATCH(B572,'CARNET DE SOUDURE'!$L$7:$L$3006,0)),""))</f>
        <v>DJ°260</v>
      </c>
      <c r="L572" s="82" t="n">
        <f aca="false">IF(B572="","",IFERROR(INDEX('CARNET DE SOUDURE'!$D$7:$D$3006,MATCH(B572,'CARNET DE SOUDURE'!$L$7:$L$3006,0)),IFERROR(INDEX('CARNET DE SOUDURE'!$D$7:$D$3006,MATCH(B572,'CARNET DE SOUDURE'!$O$7:$O$3006,0)),"")))</f>
        <v>13</v>
      </c>
      <c r="M572" s="82" t="str">
        <f aca="false">IF(B572="","",IF(OR(J572&lt;&gt;"",K572&lt;&gt;""),"POSÉ EN LIGNE",IF(COUNTIF(BARDAGE!$C$1:$C$5000,B572)&gt;0,"BARDÉ","EN STOCK")))</f>
        <v>POSÉ EN LIGNE</v>
      </c>
      <c r="N572" s="80"/>
    </row>
    <row r="573" customFormat="false" ht="15" hidden="false" customHeight="false" outlineLevel="0" collapsed="false">
      <c r="A573" s="82" t="n">
        <f aca="false">IF(B573="","",ROW()-6)</f>
        <v>567</v>
      </c>
      <c r="B573" s="145" t="n">
        <v>2094370</v>
      </c>
      <c r="C573" s="146" t="n">
        <v>15421111</v>
      </c>
      <c r="D573" s="146"/>
      <c r="E573" s="82" t="str">
        <f aca="false">IF(B573="","",IF(COUNTIFS('CARNET DE SOUDURE'!$L$7:$L$3006,B573,'CARNET DE SOUDURE'!$M$7:$M$3006,"&lt;&gt;"&amp;C573,'CARNET DE SOUDURE'!$M$7:$M$3006,"&lt;&gt;")+COUNTIFS('CARNET DE SOUDURE'!$O$7:$O$3006,B573,'CARNET DE SOUDURE'!$P$7:$P$3006,"&lt;&gt;"&amp;C573,'CARNET DE SOUDURE'!$P$7:$P$3006,"&lt;&gt;")&gt;0,"⚠ DIFFÉRENTE","OK"))</f>
        <v>OK</v>
      </c>
      <c r="F573" s="147" t="n">
        <v>11.94</v>
      </c>
      <c r="G573" s="80"/>
      <c r="H573" s="83"/>
      <c r="I573" s="148" t="str">
        <f aca="false">IF(B573="","",IFERROR(INDEX('CARNET DE SOUDURE'!$B$7:$B$3006,MATCH(B573,'CARNET DE SOUDURE'!$L$7:$L$3006,0)),IFERROR(INDEX('CARNET DE SOUDURE'!$B$7:$B$3006,MATCH(B573,'CARNET DE SOUDURE'!$O$7:$O$3006,0)),"")))</f>
        <v>MFD-ISW → MFD-CPF</v>
      </c>
      <c r="J573" s="82" t="str">
        <f aca="false">IF(B573="","",IFERROR(INDEX('CARNET DE SOUDURE'!$E$7:$E$3006,MATCH(B573,'CARNET DE SOUDURE'!$O$7:$O$3006,0)),""))</f>
        <v>DJ°260</v>
      </c>
      <c r="K573" s="82" t="str">
        <f aca="false">IF(B573="","",IFERROR(INDEX('CARNET DE SOUDURE'!$E$7:$E$3006,MATCH(B573,'CARNET DE SOUDURE'!$L$7:$L$3006,0)),""))</f>
        <v>JN°1278</v>
      </c>
      <c r="L573" s="82" t="n">
        <f aca="false">IF(B573="","",IFERROR(INDEX('CARNET DE SOUDURE'!$D$7:$D$3006,MATCH(B573,'CARNET DE SOUDURE'!$L$7:$L$3006,0)),IFERROR(INDEX('CARNET DE SOUDURE'!$D$7:$D$3006,MATCH(B573,'CARNET DE SOUDURE'!$O$7:$O$3006,0)),"")))</f>
        <v>13</v>
      </c>
      <c r="M573" s="82" t="str">
        <f aca="false">IF(B573="","",IF(OR(J573&lt;&gt;"",K573&lt;&gt;""),"POSÉ EN LIGNE",IF(COUNTIF(BARDAGE!$C$1:$C$5000,B573)&gt;0,"BARDÉ","EN STOCK")))</f>
        <v>POSÉ EN LIGNE</v>
      </c>
      <c r="N573" s="80"/>
    </row>
    <row r="574" customFormat="false" ht="15" hidden="false" customHeight="false" outlineLevel="0" collapsed="false">
      <c r="A574" s="82" t="n">
        <f aca="false">IF(B574="","",ROW()-6)</f>
        <v>568</v>
      </c>
      <c r="B574" s="145" t="n">
        <v>2081430</v>
      </c>
      <c r="C574" s="146" t="n">
        <v>15421103</v>
      </c>
      <c r="D574" s="146"/>
      <c r="E574" s="82" t="str">
        <f aca="false">IF(B574="","",IF(COUNTIFS('CARNET DE SOUDURE'!$L$7:$L$3006,B574,'CARNET DE SOUDURE'!$M$7:$M$3006,"&lt;&gt;"&amp;C574,'CARNET DE SOUDURE'!$M$7:$M$3006,"&lt;&gt;")+COUNTIFS('CARNET DE SOUDURE'!$O$7:$O$3006,B574,'CARNET DE SOUDURE'!$P$7:$P$3006,"&lt;&gt;"&amp;C574,'CARNET DE SOUDURE'!$P$7:$P$3006,"&lt;&gt;")&gt;0,"⚠ DIFFÉRENTE","OK"))</f>
        <v>OK</v>
      </c>
      <c r="F574" s="147" t="n">
        <v>11.94</v>
      </c>
      <c r="G574" s="80"/>
      <c r="H574" s="83"/>
      <c r="I574" s="148" t="str">
        <f aca="false">IF(B574="","",IFERROR(INDEX('CARNET DE SOUDURE'!$B$7:$B$3006,MATCH(B574,'CARNET DE SOUDURE'!$L$7:$L$3006,0)),IFERROR(INDEX('CARNET DE SOUDURE'!$B$7:$B$3006,MATCH(B574,'CARNET DE SOUDURE'!$O$7:$O$3006,0)),"")))</f>
        <v>MFD-ISW → MFD-CPF</v>
      </c>
      <c r="J574" s="82" t="str">
        <f aca="false">IF(B574="","",IFERROR(INDEX('CARNET DE SOUDURE'!$E$7:$E$3006,MATCH(B574,'CARNET DE SOUDURE'!$O$7:$O$3006,0)),""))</f>
        <v>JN°1278</v>
      </c>
      <c r="K574" s="82" t="str">
        <f aca="false">IF(B574="","",IFERROR(INDEX('CARNET DE SOUDURE'!$E$7:$E$3006,MATCH(B574,'CARNET DE SOUDURE'!$L$7:$L$3006,0)),""))</f>
        <v>DJ°253</v>
      </c>
      <c r="L574" s="82" t="n">
        <f aca="false">IF(B574="","",IFERROR(INDEX('CARNET DE SOUDURE'!$D$7:$D$3006,MATCH(B574,'CARNET DE SOUDURE'!$L$7:$L$3006,0)),IFERROR(INDEX('CARNET DE SOUDURE'!$D$7:$D$3006,MATCH(B574,'CARNET DE SOUDURE'!$O$7:$O$3006,0)),"")))</f>
        <v>13</v>
      </c>
      <c r="M574" s="82" t="str">
        <f aca="false">IF(B574="","",IF(OR(J574&lt;&gt;"",K574&lt;&gt;""),"POSÉ EN LIGNE",IF(COUNTIF(BARDAGE!$C$1:$C$5000,B574)&gt;0,"BARDÉ","EN STOCK")))</f>
        <v>POSÉ EN LIGNE</v>
      </c>
      <c r="N574" s="80"/>
    </row>
    <row r="575" customFormat="false" ht="15" hidden="false" customHeight="false" outlineLevel="0" collapsed="false">
      <c r="A575" s="82" t="n">
        <f aca="false">IF(B575="","",ROW()-6)</f>
        <v>569</v>
      </c>
      <c r="B575" s="145" t="n">
        <v>2089710</v>
      </c>
      <c r="C575" s="146" t="n">
        <v>15421104</v>
      </c>
      <c r="D575" s="146"/>
      <c r="E575" s="82" t="str">
        <f aca="false">IF(B575="","",IF(COUNTIFS('CARNET DE SOUDURE'!$L$7:$L$3006,B575,'CARNET DE SOUDURE'!$M$7:$M$3006,"&lt;&gt;"&amp;C575,'CARNET DE SOUDURE'!$M$7:$M$3006,"&lt;&gt;")+COUNTIFS('CARNET DE SOUDURE'!$O$7:$O$3006,B575,'CARNET DE SOUDURE'!$P$7:$P$3006,"&lt;&gt;"&amp;C575,'CARNET DE SOUDURE'!$P$7:$P$3006,"&lt;&gt;")&gt;0,"⚠ DIFFÉRENTE","OK"))</f>
        <v>OK</v>
      </c>
      <c r="F575" s="147" t="n">
        <v>11.94</v>
      </c>
      <c r="G575" s="80"/>
      <c r="H575" s="83"/>
      <c r="I575" s="148" t="str">
        <f aca="false">IF(B575="","",IFERROR(INDEX('CARNET DE SOUDURE'!$B$7:$B$3006,MATCH(B575,'CARNET DE SOUDURE'!$L$7:$L$3006,0)),IFERROR(INDEX('CARNET DE SOUDURE'!$B$7:$B$3006,MATCH(B575,'CARNET DE SOUDURE'!$O$7:$O$3006,0)),"")))</f>
        <v>MFD-ISW → MFD-CPF</v>
      </c>
      <c r="J575" s="82" t="str">
        <f aca="false">IF(B575="","",IFERROR(INDEX('CARNET DE SOUDURE'!$E$7:$E$3006,MATCH(B575,'CARNET DE SOUDURE'!$O$7:$O$3006,0)),""))</f>
        <v>DJ°253</v>
      </c>
      <c r="K575" s="82" t="str">
        <f aca="false">IF(B575="","",IFERROR(INDEX('CARNET DE SOUDURE'!$E$7:$E$3006,MATCH(B575,'CARNET DE SOUDURE'!$L$7:$L$3006,0)),""))</f>
        <v>JN°1279</v>
      </c>
      <c r="L575" s="82" t="n">
        <f aca="false">IF(B575="","",IFERROR(INDEX('CARNET DE SOUDURE'!$D$7:$D$3006,MATCH(B575,'CARNET DE SOUDURE'!$L$7:$L$3006,0)),IFERROR(INDEX('CARNET DE SOUDURE'!$D$7:$D$3006,MATCH(B575,'CARNET DE SOUDURE'!$O$7:$O$3006,0)),"")))</f>
        <v>13</v>
      </c>
      <c r="M575" s="82" t="str">
        <f aca="false">IF(B575="","",IF(OR(J575&lt;&gt;"",K575&lt;&gt;""),"POSÉ EN LIGNE",IF(COUNTIF(BARDAGE!$C$1:$C$5000,B575)&gt;0,"BARDÉ","EN STOCK")))</f>
        <v>POSÉ EN LIGNE</v>
      </c>
      <c r="N575" s="80"/>
    </row>
    <row r="576" customFormat="false" ht="15" hidden="false" customHeight="false" outlineLevel="0" collapsed="false">
      <c r="A576" s="82" t="n">
        <f aca="false">IF(B576="","",ROW()-6)</f>
        <v>570</v>
      </c>
      <c r="B576" s="145" t="n">
        <v>2095600</v>
      </c>
      <c r="C576" s="146" t="n">
        <v>15421111</v>
      </c>
      <c r="D576" s="146"/>
      <c r="E576" s="82" t="str">
        <f aca="false">IF(B576="","",IF(COUNTIFS('CARNET DE SOUDURE'!$L$7:$L$3006,B576,'CARNET DE SOUDURE'!$M$7:$M$3006,"&lt;&gt;"&amp;C576,'CARNET DE SOUDURE'!$M$7:$M$3006,"&lt;&gt;")+COUNTIFS('CARNET DE SOUDURE'!$O$7:$O$3006,B576,'CARNET DE SOUDURE'!$P$7:$P$3006,"&lt;&gt;"&amp;C576,'CARNET DE SOUDURE'!$P$7:$P$3006,"&lt;&gt;")&gt;0,"⚠ DIFFÉRENTE","OK"))</f>
        <v>OK</v>
      </c>
      <c r="F576" s="147" t="n">
        <v>11.94</v>
      </c>
      <c r="G576" s="80"/>
      <c r="H576" s="83"/>
      <c r="I576" s="148" t="str">
        <f aca="false">IF(B576="","",IFERROR(INDEX('CARNET DE SOUDURE'!$B$7:$B$3006,MATCH(B576,'CARNET DE SOUDURE'!$L$7:$L$3006,0)),IFERROR(INDEX('CARNET DE SOUDURE'!$B$7:$B$3006,MATCH(B576,'CARNET DE SOUDURE'!$O$7:$O$3006,0)),"")))</f>
        <v>MFD-ISW → MFD-CPF</v>
      </c>
      <c r="J576" s="82" t="str">
        <f aca="false">IF(B576="","",IFERROR(INDEX('CARNET DE SOUDURE'!$E$7:$E$3006,MATCH(B576,'CARNET DE SOUDURE'!$O$7:$O$3006,0)),""))</f>
        <v>JN°1279</v>
      </c>
      <c r="K576" s="82" t="str">
        <f aca="false">IF(B576="","",IFERROR(INDEX('CARNET DE SOUDURE'!$E$7:$E$3006,MATCH(B576,'CARNET DE SOUDURE'!$L$7:$L$3006,0)),""))</f>
        <v>DJ°263</v>
      </c>
      <c r="L576" s="82" t="n">
        <f aca="false">IF(B576="","",IFERROR(INDEX('CARNET DE SOUDURE'!$D$7:$D$3006,MATCH(B576,'CARNET DE SOUDURE'!$L$7:$L$3006,0)),IFERROR(INDEX('CARNET DE SOUDURE'!$D$7:$D$3006,MATCH(B576,'CARNET DE SOUDURE'!$O$7:$O$3006,0)),"")))</f>
        <v>13</v>
      </c>
      <c r="M576" s="82" t="str">
        <f aca="false">IF(B576="","",IF(OR(J576&lt;&gt;"",K576&lt;&gt;""),"POSÉ EN LIGNE",IF(COUNTIF(BARDAGE!$C$1:$C$5000,B576)&gt;0,"BARDÉ","EN STOCK")))</f>
        <v>POSÉ EN LIGNE</v>
      </c>
      <c r="N576" s="80"/>
    </row>
    <row r="577" customFormat="false" ht="15" hidden="false" customHeight="false" outlineLevel="0" collapsed="false">
      <c r="A577" s="82" t="n">
        <f aca="false">IF(B577="","",ROW()-6)</f>
        <v>571</v>
      </c>
      <c r="B577" s="145" t="n">
        <v>2098520</v>
      </c>
      <c r="C577" s="146" t="n">
        <v>15421112</v>
      </c>
      <c r="D577" s="146"/>
      <c r="E577" s="82" t="str">
        <f aca="false">IF(B577="","",IF(COUNTIFS('CARNET DE SOUDURE'!$L$7:$L$3006,B577,'CARNET DE SOUDURE'!$M$7:$M$3006,"&lt;&gt;"&amp;C577,'CARNET DE SOUDURE'!$M$7:$M$3006,"&lt;&gt;")+COUNTIFS('CARNET DE SOUDURE'!$O$7:$O$3006,B577,'CARNET DE SOUDURE'!$P$7:$P$3006,"&lt;&gt;"&amp;C577,'CARNET DE SOUDURE'!$P$7:$P$3006,"&lt;&gt;")&gt;0,"⚠ DIFFÉRENTE","OK"))</f>
        <v>OK</v>
      </c>
      <c r="F577" s="147" t="n">
        <v>11.94</v>
      </c>
      <c r="G577" s="80"/>
      <c r="H577" s="83"/>
      <c r="I577" s="148" t="str">
        <f aca="false">IF(B577="","",IFERROR(INDEX('CARNET DE SOUDURE'!$B$7:$B$3006,MATCH(B577,'CARNET DE SOUDURE'!$L$7:$L$3006,0)),IFERROR(INDEX('CARNET DE SOUDURE'!$B$7:$B$3006,MATCH(B577,'CARNET DE SOUDURE'!$O$7:$O$3006,0)),"")))</f>
        <v>MFD-ISW → MFD-CPF</v>
      </c>
      <c r="J577" s="82" t="str">
        <f aca="false">IF(B577="","",IFERROR(INDEX('CARNET DE SOUDURE'!$E$7:$E$3006,MATCH(B577,'CARNET DE SOUDURE'!$O$7:$O$3006,0)),""))</f>
        <v>DJ°263</v>
      </c>
      <c r="K577" s="82" t="str">
        <f aca="false">IF(B577="","",IFERROR(INDEX('CARNET DE SOUDURE'!$E$7:$E$3006,MATCH(B577,'CARNET DE SOUDURE'!$L$7:$L$3006,0)),""))</f>
        <v>JN°1280</v>
      </c>
      <c r="L577" s="82" t="n">
        <f aca="false">IF(B577="","",IFERROR(INDEX('CARNET DE SOUDURE'!$D$7:$D$3006,MATCH(B577,'CARNET DE SOUDURE'!$L$7:$L$3006,0)),IFERROR(INDEX('CARNET DE SOUDURE'!$D$7:$D$3006,MATCH(B577,'CARNET DE SOUDURE'!$O$7:$O$3006,0)),"")))</f>
        <v>13</v>
      </c>
      <c r="M577" s="82" t="str">
        <f aca="false">IF(B577="","",IF(OR(J577&lt;&gt;"",K577&lt;&gt;""),"POSÉ EN LIGNE",IF(COUNTIF(BARDAGE!$C$1:$C$5000,B577)&gt;0,"BARDÉ","EN STOCK")))</f>
        <v>POSÉ EN LIGNE</v>
      </c>
      <c r="N577" s="80"/>
    </row>
    <row r="578" customFormat="false" ht="15" hidden="false" customHeight="false" outlineLevel="0" collapsed="false">
      <c r="A578" s="82" t="n">
        <f aca="false">IF(B578="","",ROW()-6)</f>
        <v>572</v>
      </c>
      <c r="B578" s="145" t="n">
        <v>2089290</v>
      </c>
      <c r="C578" s="146" t="n">
        <v>15421109</v>
      </c>
      <c r="D578" s="146"/>
      <c r="E578" s="82" t="str">
        <f aca="false">IF(B578="","",IF(COUNTIFS('CARNET DE SOUDURE'!$L$7:$L$3006,B578,'CARNET DE SOUDURE'!$M$7:$M$3006,"&lt;&gt;"&amp;C578,'CARNET DE SOUDURE'!$M$7:$M$3006,"&lt;&gt;")+COUNTIFS('CARNET DE SOUDURE'!$O$7:$O$3006,B578,'CARNET DE SOUDURE'!$P$7:$P$3006,"&lt;&gt;"&amp;C578,'CARNET DE SOUDURE'!$P$7:$P$3006,"&lt;&gt;")&gt;0,"⚠ DIFFÉRENTE","OK"))</f>
        <v>⚠ DIFFÉRENTE</v>
      </c>
      <c r="F578" s="147" t="n">
        <v>11.94</v>
      </c>
      <c r="G578" s="80"/>
      <c r="H578" s="83"/>
      <c r="I578" s="148" t="str">
        <f aca="false">IF(B578="","",IFERROR(INDEX('CARNET DE SOUDURE'!$B$7:$B$3006,MATCH(B578,'CARNET DE SOUDURE'!$L$7:$L$3006,0)),IFERROR(INDEX('CARNET DE SOUDURE'!$B$7:$B$3006,MATCH(B578,'CARNET DE SOUDURE'!$O$7:$O$3006,0)),"")))</f>
        <v>MFD-ISW → MFD-CPF</v>
      </c>
      <c r="J578" s="82" t="str">
        <f aca="false">IF(B578="","",IFERROR(INDEX('CARNET DE SOUDURE'!$E$7:$E$3006,MATCH(B578,'CARNET DE SOUDURE'!$O$7:$O$3006,0)),""))</f>
        <v>JN°1280</v>
      </c>
      <c r="K578" s="82" t="str">
        <f aca="false">IF(B578="","",IFERROR(INDEX('CARNET DE SOUDURE'!$E$7:$E$3006,MATCH(B578,'CARNET DE SOUDURE'!$L$7:$L$3006,0)),""))</f>
        <v>DJ°257</v>
      </c>
      <c r="L578" s="82" t="n">
        <f aca="false">IF(B578="","",IFERROR(INDEX('CARNET DE SOUDURE'!$D$7:$D$3006,MATCH(B578,'CARNET DE SOUDURE'!$L$7:$L$3006,0)),IFERROR(INDEX('CARNET DE SOUDURE'!$D$7:$D$3006,MATCH(B578,'CARNET DE SOUDURE'!$O$7:$O$3006,0)),"")))</f>
        <v>13</v>
      </c>
      <c r="M578" s="82" t="str">
        <f aca="false">IF(B578="","",IF(OR(J578&lt;&gt;"",K578&lt;&gt;""),"POSÉ EN LIGNE",IF(COUNTIF(BARDAGE!$C$1:$C$5000,B578)&gt;0,"BARDÉ","EN STOCK")))</f>
        <v>POSÉ EN LIGNE</v>
      </c>
      <c r="N578" s="80"/>
    </row>
    <row r="579" customFormat="false" ht="15" hidden="false" customHeight="false" outlineLevel="0" collapsed="false">
      <c r="A579" s="82" t="n">
        <f aca="false">IF(B579="","",ROW()-6)</f>
        <v>573</v>
      </c>
      <c r="B579" s="145" t="n">
        <v>2082640</v>
      </c>
      <c r="C579" s="146" t="n">
        <v>15421104</v>
      </c>
      <c r="D579" s="146"/>
      <c r="E579" s="82" t="str">
        <f aca="false">IF(B579="","",IF(COUNTIFS('CARNET DE SOUDURE'!$L$7:$L$3006,B579,'CARNET DE SOUDURE'!$M$7:$M$3006,"&lt;&gt;"&amp;C579,'CARNET DE SOUDURE'!$M$7:$M$3006,"&lt;&gt;")+COUNTIFS('CARNET DE SOUDURE'!$O$7:$O$3006,B579,'CARNET DE SOUDURE'!$P$7:$P$3006,"&lt;&gt;"&amp;C579,'CARNET DE SOUDURE'!$P$7:$P$3006,"&lt;&gt;")&gt;0,"⚠ DIFFÉRENTE","OK"))</f>
        <v>OK</v>
      </c>
      <c r="F579" s="147" t="n">
        <v>11.94</v>
      </c>
      <c r="G579" s="80"/>
      <c r="H579" s="83"/>
      <c r="I579" s="148" t="str">
        <f aca="false">IF(B579="","",IFERROR(INDEX('CARNET DE SOUDURE'!$B$7:$B$3006,MATCH(B579,'CARNET DE SOUDURE'!$L$7:$L$3006,0)),IFERROR(INDEX('CARNET DE SOUDURE'!$B$7:$B$3006,MATCH(B579,'CARNET DE SOUDURE'!$O$7:$O$3006,0)),"")))</f>
        <v>MFD-ISW → MFD-CPF</v>
      </c>
      <c r="J579" s="82" t="str">
        <f aca="false">IF(B579="","",IFERROR(INDEX('CARNET DE SOUDURE'!$E$7:$E$3006,MATCH(B579,'CARNET DE SOUDURE'!$O$7:$O$3006,0)),""))</f>
        <v>DJ°257</v>
      </c>
      <c r="K579" s="82" t="str">
        <f aca="false">IF(B579="","",IFERROR(INDEX('CARNET DE SOUDURE'!$E$7:$E$3006,MATCH(B579,'CARNET DE SOUDURE'!$L$7:$L$3006,0)),""))</f>
        <v>JN°1281</v>
      </c>
      <c r="L579" s="82" t="n">
        <f aca="false">IF(B579="","",IFERROR(INDEX('CARNET DE SOUDURE'!$D$7:$D$3006,MATCH(B579,'CARNET DE SOUDURE'!$L$7:$L$3006,0)),IFERROR(INDEX('CARNET DE SOUDURE'!$D$7:$D$3006,MATCH(B579,'CARNET DE SOUDURE'!$O$7:$O$3006,0)),"")))</f>
        <v>13</v>
      </c>
      <c r="M579" s="82" t="str">
        <f aca="false">IF(B579="","",IF(OR(J579&lt;&gt;"",K579&lt;&gt;""),"POSÉ EN LIGNE",IF(COUNTIF(BARDAGE!$C$1:$C$5000,B579)&gt;0,"BARDÉ","EN STOCK")))</f>
        <v>POSÉ EN LIGNE</v>
      </c>
      <c r="N579" s="80"/>
    </row>
    <row r="580" customFormat="false" ht="15" hidden="false" customHeight="false" outlineLevel="0" collapsed="false">
      <c r="A580" s="82" t="n">
        <f aca="false">IF(B580="","",ROW()-6)</f>
        <v>574</v>
      </c>
      <c r="B580" s="145" t="n">
        <v>2098440</v>
      </c>
      <c r="C580" s="146" t="n">
        <v>15421102</v>
      </c>
      <c r="D580" s="146"/>
      <c r="E580" s="82" t="str">
        <f aca="false">IF(B580="","",IF(COUNTIFS('CARNET DE SOUDURE'!$L$7:$L$3006,B580,'CARNET DE SOUDURE'!$M$7:$M$3006,"&lt;&gt;"&amp;C580,'CARNET DE SOUDURE'!$M$7:$M$3006,"&lt;&gt;")+COUNTIFS('CARNET DE SOUDURE'!$O$7:$O$3006,B580,'CARNET DE SOUDURE'!$P$7:$P$3006,"&lt;&gt;"&amp;C580,'CARNET DE SOUDURE'!$P$7:$P$3006,"&lt;&gt;")&gt;0,"⚠ DIFFÉRENTE","OK"))</f>
        <v>OK</v>
      </c>
      <c r="F580" s="147" t="n">
        <v>11.94</v>
      </c>
      <c r="G580" s="80"/>
      <c r="H580" s="83"/>
      <c r="I580" s="148" t="str">
        <f aca="false">IF(B580="","",IFERROR(INDEX('CARNET DE SOUDURE'!$B$7:$B$3006,MATCH(B580,'CARNET DE SOUDURE'!$L$7:$L$3006,0)),IFERROR(INDEX('CARNET DE SOUDURE'!$B$7:$B$3006,MATCH(B580,'CARNET DE SOUDURE'!$O$7:$O$3006,0)),"")))</f>
        <v>MFD-ISW → MFD-CPF</v>
      </c>
      <c r="J580" s="82" t="str">
        <f aca="false">IF(B580="","",IFERROR(INDEX('CARNET DE SOUDURE'!$E$7:$E$3006,MATCH(B580,'CARNET DE SOUDURE'!$O$7:$O$3006,0)),""))</f>
        <v>JN°1281</v>
      </c>
      <c r="K580" s="82" t="str">
        <f aca="false">IF(B580="","",IFERROR(INDEX('CARNET DE SOUDURE'!$E$7:$E$3006,MATCH(B580,'CARNET DE SOUDURE'!$L$7:$L$3006,0)),""))</f>
        <v>DJ°254</v>
      </c>
      <c r="L580" s="82" t="n">
        <f aca="false">IF(B580="","",IFERROR(INDEX('CARNET DE SOUDURE'!$D$7:$D$3006,MATCH(B580,'CARNET DE SOUDURE'!$L$7:$L$3006,0)),IFERROR(INDEX('CARNET DE SOUDURE'!$D$7:$D$3006,MATCH(B580,'CARNET DE SOUDURE'!$O$7:$O$3006,0)),"")))</f>
        <v>13</v>
      </c>
      <c r="M580" s="82" t="str">
        <f aca="false">IF(B580="","",IF(OR(J580&lt;&gt;"",K580&lt;&gt;""),"POSÉ EN LIGNE",IF(COUNTIF(BARDAGE!$C$1:$C$5000,B580)&gt;0,"BARDÉ","EN STOCK")))</f>
        <v>POSÉ EN LIGNE</v>
      </c>
      <c r="N580" s="80"/>
    </row>
    <row r="581" customFormat="false" ht="15" hidden="false" customHeight="false" outlineLevel="0" collapsed="false">
      <c r="A581" s="82" t="n">
        <f aca="false">IF(B581="","",ROW()-6)</f>
        <v>575</v>
      </c>
      <c r="B581" s="145" t="n">
        <v>2079590</v>
      </c>
      <c r="C581" s="146" t="n">
        <v>15421102</v>
      </c>
      <c r="D581" s="146"/>
      <c r="E581" s="82" t="str">
        <f aca="false">IF(B581="","",IF(COUNTIFS('CARNET DE SOUDURE'!$L$7:$L$3006,B581,'CARNET DE SOUDURE'!$M$7:$M$3006,"&lt;&gt;"&amp;C581,'CARNET DE SOUDURE'!$M$7:$M$3006,"&lt;&gt;")+COUNTIFS('CARNET DE SOUDURE'!$O$7:$O$3006,B581,'CARNET DE SOUDURE'!$P$7:$P$3006,"&lt;&gt;"&amp;C581,'CARNET DE SOUDURE'!$P$7:$P$3006,"&lt;&gt;")&gt;0,"⚠ DIFFÉRENTE","OK"))</f>
        <v>OK</v>
      </c>
      <c r="F581" s="147" t="n">
        <v>11.94</v>
      </c>
      <c r="G581" s="80"/>
      <c r="H581" s="83"/>
      <c r="I581" s="148" t="str">
        <f aca="false">IF(B581="","",IFERROR(INDEX('CARNET DE SOUDURE'!$B$7:$B$3006,MATCH(B581,'CARNET DE SOUDURE'!$L$7:$L$3006,0)),IFERROR(INDEX('CARNET DE SOUDURE'!$B$7:$B$3006,MATCH(B581,'CARNET DE SOUDURE'!$O$7:$O$3006,0)),"")))</f>
        <v>MFD-ISW → MFD-CPF</v>
      </c>
      <c r="J581" s="82" t="str">
        <f aca="false">IF(B581="","",IFERROR(INDEX('CARNET DE SOUDURE'!$E$7:$E$3006,MATCH(B581,'CARNET DE SOUDURE'!$O$7:$O$3006,0)),""))</f>
        <v>DJ°254</v>
      </c>
      <c r="K581" s="82" t="str">
        <f aca="false">IF(B581="","",IFERROR(INDEX('CARNET DE SOUDURE'!$E$7:$E$3006,MATCH(B581,'CARNET DE SOUDURE'!$L$7:$L$3006,0)),""))</f>
        <v>JN°1282R</v>
      </c>
      <c r="L581" s="82" t="n">
        <f aca="false">IF(B581="","",IFERROR(INDEX('CARNET DE SOUDURE'!$D$7:$D$3006,MATCH(B581,'CARNET DE SOUDURE'!$L$7:$L$3006,0)),IFERROR(INDEX('CARNET DE SOUDURE'!$D$7:$D$3006,MATCH(B581,'CARNET DE SOUDURE'!$O$7:$O$3006,0)),"")))</f>
        <v>13</v>
      </c>
      <c r="M581" s="82" t="str">
        <f aca="false">IF(B581="","",IF(OR(J581&lt;&gt;"",K581&lt;&gt;""),"POSÉ EN LIGNE",IF(COUNTIF(BARDAGE!$C$1:$C$5000,B581)&gt;0,"BARDÉ","EN STOCK")))</f>
        <v>POSÉ EN LIGNE</v>
      </c>
      <c r="N581" s="80"/>
    </row>
    <row r="582" customFormat="false" ht="15" hidden="false" customHeight="false" outlineLevel="0" collapsed="false">
      <c r="A582" s="82" t="n">
        <f aca="false">IF(B582="","",ROW()-6)</f>
        <v>576</v>
      </c>
      <c r="B582" s="145" t="n">
        <v>2079550</v>
      </c>
      <c r="C582" s="146" t="n">
        <v>15421102</v>
      </c>
      <c r="D582" s="146"/>
      <c r="E582" s="82" t="str">
        <f aca="false">IF(B582="","",IF(COUNTIFS('CARNET DE SOUDURE'!$L$7:$L$3006,B582,'CARNET DE SOUDURE'!$M$7:$M$3006,"&lt;&gt;"&amp;C582,'CARNET DE SOUDURE'!$M$7:$M$3006,"&lt;&gt;")+COUNTIFS('CARNET DE SOUDURE'!$O$7:$O$3006,B582,'CARNET DE SOUDURE'!$P$7:$P$3006,"&lt;&gt;"&amp;C582,'CARNET DE SOUDURE'!$P$7:$P$3006,"&lt;&gt;")&gt;0,"⚠ DIFFÉRENTE","OK"))</f>
        <v>OK</v>
      </c>
      <c r="F582" s="147" t="n">
        <v>11.94</v>
      </c>
      <c r="G582" s="80"/>
      <c r="H582" s="83"/>
      <c r="I582" s="148" t="str">
        <f aca="false">IF(B582="","",IFERROR(INDEX('CARNET DE SOUDURE'!$B$7:$B$3006,MATCH(B582,'CARNET DE SOUDURE'!$L$7:$L$3006,0)),IFERROR(INDEX('CARNET DE SOUDURE'!$B$7:$B$3006,MATCH(B582,'CARNET DE SOUDURE'!$O$7:$O$3006,0)),"")))</f>
        <v>MFD-ISW → MFD-CPF</v>
      </c>
      <c r="J582" s="82" t="str">
        <f aca="false">IF(B582="","",IFERROR(INDEX('CARNET DE SOUDURE'!$E$7:$E$3006,MATCH(B582,'CARNET DE SOUDURE'!$O$7:$O$3006,0)),""))</f>
        <v>JN°1282R</v>
      </c>
      <c r="K582" s="82" t="str">
        <f aca="false">IF(B582="","",IFERROR(INDEX('CARNET DE SOUDURE'!$E$7:$E$3006,MATCH(B582,'CARNET DE SOUDURE'!$L$7:$L$3006,0)),""))</f>
        <v>DJ°265</v>
      </c>
      <c r="L582" s="82" t="n">
        <f aca="false">IF(B582="","",IFERROR(INDEX('CARNET DE SOUDURE'!$D$7:$D$3006,MATCH(B582,'CARNET DE SOUDURE'!$L$7:$L$3006,0)),IFERROR(INDEX('CARNET DE SOUDURE'!$D$7:$D$3006,MATCH(B582,'CARNET DE SOUDURE'!$O$7:$O$3006,0)),"")))</f>
        <v>13</v>
      </c>
      <c r="M582" s="82" t="str">
        <f aca="false">IF(B582="","",IF(OR(J582&lt;&gt;"",K582&lt;&gt;""),"POSÉ EN LIGNE",IF(COUNTIF(BARDAGE!$C$1:$C$5000,B582)&gt;0,"BARDÉ","EN STOCK")))</f>
        <v>POSÉ EN LIGNE</v>
      </c>
      <c r="N582" s="80"/>
    </row>
    <row r="583" customFormat="false" ht="15" hidden="false" customHeight="false" outlineLevel="0" collapsed="false">
      <c r="A583" s="82" t="n">
        <f aca="false">IF(B583="","",ROW()-6)</f>
        <v>577</v>
      </c>
      <c r="B583" s="145" t="n">
        <v>2079620</v>
      </c>
      <c r="C583" s="146" t="n">
        <v>15421102</v>
      </c>
      <c r="D583" s="146"/>
      <c r="E583" s="82" t="str">
        <f aca="false">IF(B583="","",IF(COUNTIFS('CARNET DE SOUDURE'!$L$7:$L$3006,B583,'CARNET DE SOUDURE'!$M$7:$M$3006,"&lt;&gt;"&amp;C583,'CARNET DE SOUDURE'!$M$7:$M$3006,"&lt;&gt;")+COUNTIFS('CARNET DE SOUDURE'!$O$7:$O$3006,B583,'CARNET DE SOUDURE'!$P$7:$P$3006,"&lt;&gt;"&amp;C583,'CARNET DE SOUDURE'!$P$7:$P$3006,"&lt;&gt;")&gt;0,"⚠ DIFFÉRENTE","OK"))</f>
        <v>OK</v>
      </c>
      <c r="F583" s="147" t="n">
        <v>11.94</v>
      </c>
      <c r="G583" s="80"/>
      <c r="H583" s="83"/>
      <c r="I583" s="148" t="str">
        <f aca="false">IF(B583="","",IFERROR(INDEX('CARNET DE SOUDURE'!$B$7:$B$3006,MATCH(B583,'CARNET DE SOUDURE'!$L$7:$L$3006,0)),IFERROR(INDEX('CARNET DE SOUDURE'!$B$7:$B$3006,MATCH(B583,'CARNET DE SOUDURE'!$O$7:$O$3006,0)),"")))</f>
        <v>MFD-ISW → MFD-CPF</v>
      </c>
      <c r="J583" s="82" t="str">
        <f aca="false">IF(B583="","",IFERROR(INDEX('CARNET DE SOUDURE'!$E$7:$E$3006,MATCH(B583,'CARNET DE SOUDURE'!$O$7:$O$3006,0)),""))</f>
        <v>DJ°265</v>
      </c>
      <c r="K583" s="82" t="str">
        <f aca="false">IF(B583="","",IFERROR(INDEX('CARNET DE SOUDURE'!$E$7:$E$3006,MATCH(B583,'CARNET DE SOUDURE'!$L$7:$L$3006,0)),""))</f>
        <v>JN°1283</v>
      </c>
      <c r="L583" s="82" t="n">
        <f aca="false">IF(B583="","",IFERROR(INDEX('CARNET DE SOUDURE'!$D$7:$D$3006,MATCH(B583,'CARNET DE SOUDURE'!$L$7:$L$3006,0)),IFERROR(INDEX('CARNET DE SOUDURE'!$D$7:$D$3006,MATCH(B583,'CARNET DE SOUDURE'!$O$7:$O$3006,0)),"")))</f>
        <v>13</v>
      </c>
      <c r="M583" s="82" t="str">
        <f aca="false">IF(B583="","",IF(OR(J583&lt;&gt;"",K583&lt;&gt;""),"POSÉ EN LIGNE",IF(COUNTIF(BARDAGE!$C$1:$C$5000,B583)&gt;0,"BARDÉ","EN STOCK")))</f>
        <v>POSÉ EN LIGNE</v>
      </c>
      <c r="N583" s="80"/>
    </row>
    <row r="584" customFormat="false" ht="15" hidden="false" customHeight="false" outlineLevel="0" collapsed="false">
      <c r="A584" s="82" t="n">
        <f aca="false">IF(B584="","",ROW()-6)</f>
        <v>578</v>
      </c>
      <c r="B584" s="145" t="n">
        <v>2080340</v>
      </c>
      <c r="C584" s="146" t="n">
        <v>15421102</v>
      </c>
      <c r="D584" s="146"/>
      <c r="E584" s="82" t="str">
        <f aca="false">IF(B584="","",IF(COUNTIFS('CARNET DE SOUDURE'!$L$7:$L$3006,B584,'CARNET DE SOUDURE'!$M$7:$M$3006,"&lt;&gt;"&amp;C584,'CARNET DE SOUDURE'!$M$7:$M$3006,"&lt;&gt;")+COUNTIFS('CARNET DE SOUDURE'!$O$7:$O$3006,B584,'CARNET DE SOUDURE'!$P$7:$P$3006,"&lt;&gt;"&amp;C584,'CARNET DE SOUDURE'!$P$7:$P$3006,"&lt;&gt;")&gt;0,"⚠ DIFFÉRENTE","OK"))</f>
        <v>OK</v>
      </c>
      <c r="F584" s="147" t="n">
        <v>11.94</v>
      </c>
      <c r="G584" s="80"/>
      <c r="H584" s="83"/>
      <c r="I584" s="148" t="str">
        <f aca="false">IF(B584="","",IFERROR(INDEX('CARNET DE SOUDURE'!$B$7:$B$3006,MATCH(B584,'CARNET DE SOUDURE'!$L$7:$L$3006,0)),IFERROR(INDEX('CARNET DE SOUDURE'!$B$7:$B$3006,MATCH(B584,'CARNET DE SOUDURE'!$O$7:$O$3006,0)),"")))</f>
        <v>MFD-ISW → MFD-CPF</v>
      </c>
      <c r="J584" s="82" t="str">
        <f aca="false">IF(B584="","",IFERROR(INDEX('CARNET DE SOUDURE'!$E$7:$E$3006,MATCH(B584,'CARNET DE SOUDURE'!$O$7:$O$3006,0)),""))</f>
        <v>JN°1283</v>
      </c>
      <c r="K584" s="82" t="str">
        <f aca="false">IF(B584="","",IFERROR(INDEX('CARNET DE SOUDURE'!$E$7:$E$3006,MATCH(B584,'CARNET DE SOUDURE'!$L$7:$L$3006,0)),""))</f>
        <v>DJ°264</v>
      </c>
      <c r="L584" s="82" t="n">
        <f aca="false">IF(B584="","",IFERROR(INDEX('CARNET DE SOUDURE'!$D$7:$D$3006,MATCH(B584,'CARNET DE SOUDURE'!$L$7:$L$3006,0)),IFERROR(INDEX('CARNET DE SOUDURE'!$D$7:$D$3006,MATCH(B584,'CARNET DE SOUDURE'!$O$7:$O$3006,0)),"")))</f>
        <v>13</v>
      </c>
      <c r="M584" s="82" t="str">
        <f aca="false">IF(B584="","",IF(OR(J584&lt;&gt;"",K584&lt;&gt;""),"POSÉ EN LIGNE",IF(COUNTIF(BARDAGE!$C$1:$C$5000,B584)&gt;0,"BARDÉ","EN STOCK")))</f>
        <v>POSÉ EN LIGNE</v>
      </c>
      <c r="N584" s="80"/>
    </row>
    <row r="585" customFormat="false" ht="15" hidden="false" customHeight="false" outlineLevel="0" collapsed="false">
      <c r="A585" s="82" t="n">
        <f aca="false">IF(B585="","",ROW()-6)</f>
        <v>579</v>
      </c>
      <c r="B585" s="145" t="n">
        <v>2094310</v>
      </c>
      <c r="C585" s="146" t="n">
        <v>15421110</v>
      </c>
      <c r="D585" s="146"/>
      <c r="E585" s="82" t="str">
        <f aca="false">IF(B585="","",IF(COUNTIFS('CARNET DE SOUDURE'!$L$7:$L$3006,B585,'CARNET DE SOUDURE'!$M$7:$M$3006,"&lt;&gt;"&amp;C585,'CARNET DE SOUDURE'!$M$7:$M$3006,"&lt;&gt;")+COUNTIFS('CARNET DE SOUDURE'!$O$7:$O$3006,B585,'CARNET DE SOUDURE'!$P$7:$P$3006,"&lt;&gt;"&amp;C585,'CARNET DE SOUDURE'!$P$7:$P$3006,"&lt;&gt;")&gt;0,"⚠ DIFFÉRENTE","OK"))</f>
        <v>OK</v>
      </c>
      <c r="F585" s="147" t="n">
        <v>11.94</v>
      </c>
      <c r="G585" s="80"/>
      <c r="H585" s="83"/>
      <c r="I585" s="148" t="str">
        <f aca="false">IF(B585="","",IFERROR(INDEX('CARNET DE SOUDURE'!$B$7:$B$3006,MATCH(B585,'CARNET DE SOUDURE'!$L$7:$L$3006,0)),IFERROR(INDEX('CARNET DE SOUDURE'!$B$7:$B$3006,MATCH(B585,'CARNET DE SOUDURE'!$O$7:$O$3006,0)),"")))</f>
        <v>MFD-ISW → MFD-CPF</v>
      </c>
      <c r="J585" s="82" t="str">
        <f aca="false">IF(B585="","",IFERROR(INDEX('CARNET DE SOUDURE'!$E$7:$E$3006,MATCH(B585,'CARNET DE SOUDURE'!$O$7:$O$3006,0)),""))</f>
        <v>DJ°264</v>
      </c>
      <c r="K585" s="82" t="str">
        <f aca="false">IF(B585="","",IFERROR(INDEX('CARNET DE SOUDURE'!$E$7:$E$3006,MATCH(B585,'CARNET DE SOUDURE'!$L$7:$L$3006,0)),""))</f>
        <v>JN°1284R</v>
      </c>
      <c r="L585" s="82" t="n">
        <f aca="false">IF(B585="","",IFERROR(INDEX('CARNET DE SOUDURE'!$D$7:$D$3006,MATCH(B585,'CARNET DE SOUDURE'!$L$7:$L$3006,0)),IFERROR(INDEX('CARNET DE SOUDURE'!$D$7:$D$3006,MATCH(B585,'CARNET DE SOUDURE'!$O$7:$O$3006,0)),"")))</f>
        <v>13</v>
      </c>
      <c r="M585" s="82" t="str">
        <f aca="false">IF(B585="","",IF(OR(J585&lt;&gt;"",K585&lt;&gt;""),"POSÉ EN LIGNE",IF(COUNTIF(BARDAGE!$C$1:$C$5000,B585)&gt;0,"BARDÉ","EN STOCK")))</f>
        <v>POSÉ EN LIGNE</v>
      </c>
      <c r="N585" s="80"/>
    </row>
    <row r="586" customFormat="false" ht="15" hidden="false" customHeight="false" outlineLevel="0" collapsed="false">
      <c r="A586" s="82" t="n">
        <f aca="false">IF(B586="","",ROW()-6)</f>
        <v>580</v>
      </c>
      <c r="B586" s="145" t="n">
        <v>2079580</v>
      </c>
      <c r="C586" s="146" t="n">
        <v>15421102</v>
      </c>
      <c r="D586" s="146"/>
      <c r="E586" s="82" t="str">
        <f aca="false">IF(B586="","",IF(COUNTIFS('CARNET DE SOUDURE'!$L$7:$L$3006,B586,'CARNET DE SOUDURE'!$M$7:$M$3006,"&lt;&gt;"&amp;C586,'CARNET DE SOUDURE'!$M$7:$M$3006,"&lt;&gt;")+COUNTIFS('CARNET DE SOUDURE'!$O$7:$O$3006,B586,'CARNET DE SOUDURE'!$P$7:$P$3006,"&lt;&gt;"&amp;C586,'CARNET DE SOUDURE'!$P$7:$P$3006,"&lt;&gt;")&gt;0,"⚠ DIFFÉRENTE","OK"))</f>
        <v>OK</v>
      </c>
      <c r="F586" s="147" t="n">
        <v>11.94</v>
      </c>
      <c r="G586" s="80"/>
      <c r="H586" s="83"/>
      <c r="I586" s="148" t="str">
        <f aca="false">IF(B586="","",IFERROR(INDEX('CARNET DE SOUDURE'!$B$7:$B$3006,MATCH(B586,'CARNET DE SOUDURE'!$L$7:$L$3006,0)),IFERROR(INDEX('CARNET DE SOUDURE'!$B$7:$B$3006,MATCH(B586,'CARNET DE SOUDURE'!$O$7:$O$3006,0)),"")))</f>
        <v>MFD-ISW → MFD-CPF</v>
      </c>
      <c r="J586" s="82" t="str">
        <f aca="false">IF(B586="","",IFERROR(INDEX('CARNET DE SOUDURE'!$E$7:$E$3006,MATCH(B586,'CARNET DE SOUDURE'!$O$7:$O$3006,0)),""))</f>
        <v>JN°1284R</v>
      </c>
      <c r="K586" s="82" t="str">
        <f aca="false">IF(B586="","",IFERROR(INDEX('CARNET DE SOUDURE'!$E$7:$E$3006,MATCH(B586,'CARNET DE SOUDURE'!$L$7:$L$3006,0)),""))</f>
        <v>DJ°238</v>
      </c>
      <c r="L586" s="82" t="n">
        <f aca="false">IF(B586="","",IFERROR(INDEX('CARNET DE SOUDURE'!$D$7:$D$3006,MATCH(B586,'CARNET DE SOUDURE'!$L$7:$L$3006,0)),IFERROR(INDEX('CARNET DE SOUDURE'!$D$7:$D$3006,MATCH(B586,'CARNET DE SOUDURE'!$O$7:$O$3006,0)),"")))</f>
        <v>13</v>
      </c>
      <c r="M586" s="82" t="str">
        <f aca="false">IF(B586="","",IF(OR(J586&lt;&gt;"",K586&lt;&gt;""),"POSÉ EN LIGNE",IF(COUNTIF(BARDAGE!$C$1:$C$5000,B586)&gt;0,"BARDÉ","EN STOCK")))</f>
        <v>POSÉ EN LIGNE</v>
      </c>
      <c r="N586" s="80"/>
    </row>
    <row r="587" customFormat="false" ht="15" hidden="false" customHeight="false" outlineLevel="0" collapsed="false">
      <c r="A587" s="82" t="n">
        <f aca="false">IF(B587="","",ROW()-6)</f>
        <v>581</v>
      </c>
      <c r="B587" s="145" t="n">
        <v>2081680</v>
      </c>
      <c r="C587" s="146" t="n">
        <v>15421102</v>
      </c>
      <c r="D587" s="146"/>
      <c r="E587" s="82" t="str">
        <f aca="false">IF(B587="","",IF(COUNTIFS('CARNET DE SOUDURE'!$L$7:$L$3006,B587,'CARNET DE SOUDURE'!$M$7:$M$3006,"&lt;&gt;"&amp;C587,'CARNET DE SOUDURE'!$M$7:$M$3006,"&lt;&gt;")+COUNTIFS('CARNET DE SOUDURE'!$O$7:$O$3006,B587,'CARNET DE SOUDURE'!$P$7:$P$3006,"&lt;&gt;"&amp;C587,'CARNET DE SOUDURE'!$P$7:$P$3006,"&lt;&gt;")&gt;0,"⚠ DIFFÉRENTE","OK"))</f>
        <v>OK</v>
      </c>
      <c r="F587" s="147" t="n">
        <v>11.94</v>
      </c>
      <c r="G587" s="80"/>
      <c r="H587" s="83"/>
      <c r="I587" s="148" t="str">
        <f aca="false">IF(B587="","",IFERROR(INDEX('CARNET DE SOUDURE'!$B$7:$B$3006,MATCH(B587,'CARNET DE SOUDURE'!$L$7:$L$3006,0)),IFERROR(INDEX('CARNET DE SOUDURE'!$B$7:$B$3006,MATCH(B587,'CARNET DE SOUDURE'!$O$7:$O$3006,0)),"")))</f>
        <v>MFD-ISW → MFD-CPF</v>
      </c>
      <c r="J587" s="82" t="str">
        <f aca="false">IF(B587="","",IFERROR(INDEX('CARNET DE SOUDURE'!$E$7:$E$3006,MATCH(B587,'CARNET DE SOUDURE'!$O$7:$O$3006,0)),""))</f>
        <v>DJ°238</v>
      </c>
      <c r="K587" s="82" t="str">
        <f aca="false">IF(B587="","",IFERROR(INDEX('CARNET DE SOUDURE'!$E$7:$E$3006,MATCH(B587,'CARNET DE SOUDURE'!$L$7:$L$3006,0)),""))</f>
        <v>JN°1285</v>
      </c>
      <c r="L587" s="82" t="n">
        <f aca="false">IF(B587="","",IFERROR(INDEX('CARNET DE SOUDURE'!$D$7:$D$3006,MATCH(B587,'CARNET DE SOUDURE'!$L$7:$L$3006,0)),IFERROR(INDEX('CARNET DE SOUDURE'!$D$7:$D$3006,MATCH(B587,'CARNET DE SOUDURE'!$O$7:$O$3006,0)),"")))</f>
        <v>13</v>
      </c>
      <c r="M587" s="82" t="str">
        <f aca="false">IF(B587="","",IF(OR(J587&lt;&gt;"",K587&lt;&gt;""),"POSÉ EN LIGNE",IF(COUNTIF(BARDAGE!$C$1:$C$5000,B587)&gt;0,"BARDÉ","EN STOCK")))</f>
        <v>POSÉ EN LIGNE</v>
      </c>
      <c r="N587" s="80"/>
    </row>
    <row r="588" customFormat="false" ht="15" hidden="false" customHeight="false" outlineLevel="0" collapsed="false">
      <c r="A588" s="82" t="n">
        <f aca="false">IF(B588="","",ROW()-6)</f>
        <v>582</v>
      </c>
      <c r="B588" s="145" t="n">
        <v>2079860</v>
      </c>
      <c r="C588" s="146" t="n">
        <v>15421103</v>
      </c>
      <c r="D588" s="146"/>
      <c r="E588" s="82" t="str">
        <f aca="false">IF(B588="","",IF(COUNTIFS('CARNET DE SOUDURE'!$L$7:$L$3006,B588,'CARNET DE SOUDURE'!$M$7:$M$3006,"&lt;&gt;"&amp;C588,'CARNET DE SOUDURE'!$M$7:$M$3006,"&lt;&gt;")+COUNTIFS('CARNET DE SOUDURE'!$O$7:$O$3006,B588,'CARNET DE SOUDURE'!$P$7:$P$3006,"&lt;&gt;"&amp;C588,'CARNET DE SOUDURE'!$P$7:$P$3006,"&lt;&gt;")&gt;0,"⚠ DIFFÉRENTE","OK"))</f>
        <v>OK</v>
      </c>
      <c r="F588" s="147" t="n">
        <v>11.94</v>
      </c>
      <c r="G588" s="80"/>
      <c r="H588" s="83"/>
      <c r="I588" s="148" t="str">
        <f aca="false">IF(B588="","",IFERROR(INDEX('CARNET DE SOUDURE'!$B$7:$B$3006,MATCH(B588,'CARNET DE SOUDURE'!$L$7:$L$3006,0)),IFERROR(INDEX('CARNET DE SOUDURE'!$B$7:$B$3006,MATCH(B588,'CARNET DE SOUDURE'!$O$7:$O$3006,0)),"")))</f>
        <v>MFD-ISW → MFD-CPF</v>
      </c>
      <c r="J588" s="82" t="str">
        <f aca="false">IF(B588="","",IFERROR(INDEX('CARNET DE SOUDURE'!$E$7:$E$3006,MATCH(B588,'CARNET DE SOUDURE'!$O$7:$O$3006,0)),""))</f>
        <v>JN°1285</v>
      </c>
      <c r="K588" s="82" t="str">
        <f aca="false">IF(B588="","",IFERROR(INDEX('CARNET DE SOUDURE'!$E$7:$E$3006,MATCH(B588,'CARNET DE SOUDURE'!$L$7:$L$3006,0)),""))</f>
        <v>DJ°249</v>
      </c>
      <c r="L588" s="82" t="n">
        <f aca="false">IF(B588="","",IFERROR(INDEX('CARNET DE SOUDURE'!$D$7:$D$3006,MATCH(B588,'CARNET DE SOUDURE'!$L$7:$L$3006,0)),IFERROR(INDEX('CARNET DE SOUDURE'!$D$7:$D$3006,MATCH(B588,'CARNET DE SOUDURE'!$O$7:$O$3006,0)),"")))</f>
        <v>13</v>
      </c>
      <c r="M588" s="82" t="str">
        <f aca="false">IF(B588="","",IF(OR(J588&lt;&gt;"",K588&lt;&gt;""),"POSÉ EN LIGNE",IF(COUNTIF(BARDAGE!$C$1:$C$5000,B588)&gt;0,"BARDÉ","EN STOCK")))</f>
        <v>POSÉ EN LIGNE</v>
      </c>
      <c r="N588" s="80"/>
    </row>
    <row r="589" customFormat="false" ht="15" hidden="false" customHeight="false" outlineLevel="0" collapsed="false">
      <c r="A589" s="82" t="n">
        <f aca="false">IF(B589="","",ROW()-6)</f>
        <v>583</v>
      </c>
      <c r="B589" s="145" t="n">
        <v>2086690</v>
      </c>
      <c r="C589" s="146" t="n">
        <v>15421102</v>
      </c>
      <c r="D589" s="146"/>
      <c r="E589" s="82" t="str">
        <f aca="false">IF(B589="","",IF(COUNTIFS('CARNET DE SOUDURE'!$L$7:$L$3006,B589,'CARNET DE SOUDURE'!$M$7:$M$3006,"&lt;&gt;"&amp;C589,'CARNET DE SOUDURE'!$M$7:$M$3006,"&lt;&gt;")+COUNTIFS('CARNET DE SOUDURE'!$O$7:$O$3006,B589,'CARNET DE SOUDURE'!$P$7:$P$3006,"&lt;&gt;"&amp;C589,'CARNET DE SOUDURE'!$P$7:$P$3006,"&lt;&gt;")&gt;0,"⚠ DIFFÉRENTE","OK"))</f>
        <v>⚠ DIFFÉRENTE</v>
      </c>
      <c r="F589" s="147" t="n">
        <v>11.94</v>
      </c>
      <c r="G589" s="80"/>
      <c r="H589" s="83"/>
      <c r="I589" s="148" t="str">
        <f aca="false">IF(B589="","",IFERROR(INDEX('CARNET DE SOUDURE'!$B$7:$B$3006,MATCH(B589,'CARNET DE SOUDURE'!$L$7:$L$3006,0)),IFERROR(INDEX('CARNET DE SOUDURE'!$B$7:$B$3006,MATCH(B589,'CARNET DE SOUDURE'!$O$7:$O$3006,0)),"")))</f>
        <v>MFD-ISW → MFD-CPF</v>
      </c>
      <c r="J589" s="82" t="str">
        <f aca="false">IF(B589="","",IFERROR(INDEX('CARNET DE SOUDURE'!$E$7:$E$3006,MATCH(B589,'CARNET DE SOUDURE'!$O$7:$O$3006,0)),""))</f>
        <v>DJ°249</v>
      </c>
      <c r="K589" s="82" t="str">
        <f aca="false">IF(B589="","",IFERROR(INDEX('CARNET DE SOUDURE'!$E$7:$E$3006,MATCH(B589,'CARNET DE SOUDURE'!$L$7:$L$3006,0)),""))</f>
        <v>JN°1286</v>
      </c>
      <c r="L589" s="82" t="n">
        <f aca="false">IF(B589="","",IFERROR(INDEX('CARNET DE SOUDURE'!$D$7:$D$3006,MATCH(B589,'CARNET DE SOUDURE'!$L$7:$L$3006,0)),IFERROR(INDEX('CARNET DE SOUDURE'!$D$7:$D$3006,MATCH(B589,'CARNET DE SOUDURE'!$O$7:$O$3006,0)),"")))</f>
        <v>13</v>
      </c>
      <c r="M589" s="82" t="str">
        <f aca="false">IF(B589="","",IF(OR(J589&lt;&gt;"",K589&lt;&gt;""),"POSÉ EN LIGNE",IF(COUNTIF(BARDAGE!$C$1:$C$5000,B589)&gt;0,"BARDÉ","EN STOCK")))</f>
        <v>POSÉ EN LIGNE</v>
      </c>
      <c r="N589" s="80"/>
    </row>
    <row r="590" customFormat="false" ht="15" hidden="false" customHeight="false" outlineLevel="0" collapsed="false">
      <c r="A590" s="82" t="n">
        <f aca="false">IF(B590="","",ROW()-6)</f>
        <v>584</v>
      </c>
      <c r="B590" s="145" t="n">
        <v>2086990</v>
      </c>
      <c r="C590" s="146" t="n">
        <v>15421110</v>
      </c>
      <c r="D590" s="146"/>
      <c r="E590" s="82" t="str">
        <f aca="false">IF(B590="","",IF(COUNTIFS('CARNET DE SOUDURE'!$L$7:$L$3006,B590,'CARNET DE SOUDURE'!$M$7:$M$3006,"&lt;&gt;"&amp;C590,'CARNET DE SOUDURE'!$M$7:$M$3006,"&lt;&gt;")+COUNTIFS('CARNET DE SOUDURE'!$O$7:$O$3006,B590,'CARNET DE SOUDURE'!$P$7:$P$3006,"&lt;&gt;"&amp;C590,'CARNET DE SOUDURE'!$P$7:$P$3006,"&lt;&gt;")&gt;0,"⚠ DIFFÉRENTE","OK"))</f>
        <v>OK</v>
      </c>
      <c r="F590" s="147" t="n">
        <v>11.94</v>
      </c>
      <c r="G590" s="80"/>
      <c r="H590" s="83"/>
      <c r="I590" s="148" t="str">
        <f aca="false">IF(B590="","",IFERROR(INDEX('CARNET DE SOUDURE'!$B$7:$B$3006,MATCH(B590,'CARNET DE SOUDURE'!$L$7:$L$3006,0)),IFERROR(INDEX('CARNET DE SOUDURE'!$B$7:$B$3006,MATCH(B590,'CARNET DE SOUDURE'!$O$7:$O$3006,0)),"")))</f>
        <v>MFD-ISW → MFD-CPF</v>
      </c>
      <c r="J590" s="82" t="str">
        <f aca="false">IF(B590="","",IFERROR(INDEX('CARNET DE SOUDURE'!$E$7:$E$3006,MATCH(B590,'CARNET DE SOUDURE'!$O$7:$O$3006,0)),""))</f>
        <v>JN°1286</v>
      </c>
      <c r="K590" s="82" t="str">
        <f aca="false">IF(B590="","",IFERROR(INDEX('CARNET DE SOUDURE'!$E$7:$E$3006,MATCH(B590,'CARNET DE SOUDURE'!$L$7:$L$3006,0)),""))</f>
        <v/>
      </c>
      <c r="L590" s="82" t="n">
        <f aca="false">IF(B590="","",IFERROR(INDEX('CARNET DE SOUDURE'!$D$7:$D$3006,MATCH(B590,'CARNET DE SOUDURE'!$L$7:$L$3006,0)),IFERROR(INDEX('CARNET DE SOUDURE'!$D$7:$D$3006,MATCH(B590,'CARNET DE SOUDURE'!$O$7:$O$3006,0)),"")))</f>
        <v>13</v>
      </c>
      <c r="M590" s="82" t="str">
        <f aca="false">IF(B590="","",IF(OR(J590&lt;&gt;"",K590&lt;&gt;""),"POSÉ EN LIGNE",IF(COUNTIF(BARDAGE!$C$1:$C$5000,B590)&gt;0,"BARDÉ","EN STOCK")))</f>
        <v>POSÉ EN LIGNE</v>
      </c>
      <c r="N590" s="80"/>
    </row>
    <row r="591" customFormat="false" ht="15" hidden="false" customHeight="false" outlineLevel="0" collapsed="false">
      <c r="A591" s="82" t="n">
        <f aca="false">IF(B591="","",ROW()-6)</f>
        <v>585</v>
      </c>
      <c r="B591" s="145" t="n">
        <v>2089520</v>
      </c>
      <c r="C591" s="146" t="n">
        <v>15421109</v>
      </c>
      <c r="D591" s="146"/>
      <c r="E591" s="82" t="str">
        <f aca="false">IF(B591="","",IF(COUNTIFS('CARNET DE SOUDURE'!$L$7:$L$3006,B591,'CARNET DE SOUDURE'!$M$7:$M$3006,"&lt;&gt;"&amp;C591,'CARNET DE SOUDURE'!$M$7:$M$3006,"&lt;&gt;")+COUNTIFS('CARNET DE SOUDURE'!$O$7:$O$3006,B591,'CARNET DE SOUDURE'!$P$7:$P$3006,"&lt;&gt;"&amp;C591,'CARNET DE SOUDURE'!$P$7:$P$3006,"&lt;&gt;")&gt;0,"⚠ DIFFÉRENTE","OK"))</f>
        <v>OK</v>
      </c>
      <c r="F591" s="147" t="n">
        <v>11.94</v>
      </c>
      <c r="G591" s="80"/>
      <c r="H591" s="83"/>
      <c r="I591" s="148" t="str">
        <f aca="false">IF(B591="","",IFERROR(INDEX('CARNET DE SOUDURE'!$B$7:$B$3006,MATCH(B591,'CARNET DE SOUDURE'!$L$7:$L$3006,0)),IFERROR(INDEX('CARNET DE SOUDURE'!$B$7:$B$3006,MATCH(B591,'CARNET DE SOUDURE'!$O$7:$O$3006,0)),"")))</f>
        <v>MFD-ISW → MFD-CPF</v>
      </c>
      <c r="J591" s="82" t="str">
        <f aca="false">IF(B591="","",IFERROR(INDEX('CARNET DE SOUDURE'!$E$7:$E$3006,MATCH(B591,'CARNET DE SOUDURE'!$O$7:$O$3006,0)),""))</f>
        <v/>
      </c>
      <c r="K591" s="82" t="str">
        <f aca="false">IF(B591="","",IFERROR(INDEX('CARNET DE SOUDURE'!$E$7:$E$3006,MATCH(B591,'CARNET DE SOUDURE'!$L$7:$L$3006,0)),""))</f>
        <v>DJ°243</v>
      </c>
      <c r="L591" s="82" t="n">
        <f aca="false">IF(B591="","",IFERROR(INDEX('CARNET DE SOUDURE'!$D$7:$D$3006,MATCH(B591,'CARNET DE SOUDURE'!$L$7:$L$3006,0)),IFERROR(INDEX('CARNET DE SOUDURE'!$D$7:$D$3006,MATCH(B591,'CARNET DE SOUDURE'!$O$7:$O$3006,0)),"")))</f>
        <v>13</v>
      </c>
      <c r="M591" s="82" t="str">
        <f aca="false">IF(B591="","",IF(OR(J591&lt;&gt;"",K591&lt;&gt;""),"POSÉ EN LIGNE",IF(COUNTIF(BARDAGE!$C$1:$C$5000,B591)&gt;0,"BARDÉ","EN STOCK")))</f>
        <v>POSÉ EN LIGNE</v>
      </c>
      <c r="N591" s="80"/>
    </row>
    <row r="592" customFormat="false" ht="15" hidden="false" customHeight="false" outlineLevel="0" collapsed="false">
      <c r="A592" s="82" t="n">
        <f aca="false">IF(B592="","",ROW()-6)</f>
        <v>586</v>
      </c>
      <c r="B592" s="145" t="n">
        <v>2080600</v>
      </c>
      <c r="C592" s="146" t="n">
        <v>15421103</v>
      </c>
      <c r="D592" s="146"/>
      <c r="E592" s="82" t="str">
        <f aca="false">IF(B592="","",IF(COUNTIFS('CARNET DE SOUDURE'!$L$7:$L$3006,B592,'CARNET DE SOUDURE'!$M$7:$M$3006,"&lt;&gt;"&amp;C592,'CARNET DE SOUDURE'!$M$7:$M$3006,"&lt;&gt;")+COUNTIFS('CARNET DE SOUDURE'!$O$7:$O$3006,B592,'CARNET DE SOUDURE'!$P$7:$P$3006,"&lt;&gt;"&amp;C592,'CARNET DE SOUDURE'!$P$7:$P$3006,"&lt;&gt;")&gt;0,"⚠ DIFFÉRENTE","OK"))</f>
        <v>OK</v>
      </c>
      <c r="F592" s="147" t="n">
        <v>11.94</v>
      </c>
      <c r="G592" s="80"/>
      <c r="H592" s="83"/>
      <c r="I592" s="148" t="str">
        <f aca="false">IF(B592="","",IFERROR(INDEX('CARNET DE SOUDURE'!$B$7:$B$3006,MATCH(B592,'CARNET DE SOUDURE'!$L$7:$L$3006,0)),IFERROR(INDEX('CARNET DE SOUDURE'!$B$7:$B$3006,MATCH(B592,'CARNET DE SOUDURE'!$O$7:$O$3006,0)),"")))</f>
        <v>MFD-ISW → MFD-CPF</v>
      </c>
      <c r="J592" s="82" t="str">
        <f aca="false">IF(B592="","",IFERROR(INDEX('CARNET DE SOUDURE'!$E$7:$E$3006,MATCH(B592,'CARNET DE SOUDURE'!$O$7:$O$3006,0)),""))</f>
        <v/>
      </c>
      <c r="K592" s="82" t="str">
        <f aca="false">IF(B592="","",IFERROR(INDEX('CARNET DE SOUDURE'!$E$7:$E$3006,MATCH(B592,'CARNET DE SOUDURE'!$L$7:$L$3006,0)),""))</f>
        <v>DJ°245</v>
      </c>
      <c r="L592" s="82" t="n">
        <f aca="false">IF(B592="","",IFERROR(INDEX('CARNET DE SOUDURE'!$D$7:$D$3006,MATCH(B592,'CARNET DE SOUDURE'!$L$7:$L$3006,0)),IFERROR(INDEX('CARNET DE SOUDURE'!$D$7:$D$3006,MATCH(B592,'CARNET DE SOUDURE'!$O$7:$O$3006,0)),"")))</f>
        <v>13</v>
      </c>
      <c r="M592" s="82" t="str">
        <f aca="false">IF(B592="","",IF(OR(J592&lt;&gt;"",K592&lt;&gt;""),"POSÉ EN LIGNE",IF(COUNTIF(BARDAGE!$C$1:$C$5000,B592)&gt;0,"BARDÉ","EN STOCK")))</f>
        <v>POSÉ EN LIGNE</v>
      </c>
      <c r="N592" s="80"/>
    </row>
    <row r="593" customFormat="false" ht="15" hidden="false" customHeight="false" outlineLevel="0" collapsed="false">
      <c r="A593" s="82" t="n">
        <f aca="false">IF(B593="","",ROW()-6)</f>
        <v>587</v>
      </c>
      <c r="B593" s="145" t="n">
        <v>2079850</v>
      </c>
      <c r="C593" s="146" t="n">
        <v>15421102</v>
      </c>
      <c r="D593" s="146"/>
      <c r="E593" s="82" t="str">
        <f aca="false">IF(B593="","",IF(COUNTIFS('CARNET DE SOUDURE'!$L$7:$L$3006,B593,'CARNET DE SOUDURE'!$M$7:$M$3006,"&lt;&gt;"&amp;C593,'CARNET DE SOUDURE'!$M$7:$M$3006,"&lt;&gt;")+COUNTIFS('CARNET DE SOUDURE'!$O$7:$O$3006,B593,'CARNET DE SOUDURE'!$P$7:$P$3006,"&lt;&gt;"&amp;C593,'CARNET DE SOUDURE'!$P$7:$P$3006,"&lt;&gt;")&gt;0,"⚠ DIFFÉRENTE","OK"))</f>
        <v>OK</v>
      </c>
      <c r="F593" s="147" t="n">
        <v>11.94</v>
      </c>
      <c r="G593" s="80"/>
      <c r="H593" s="83"/>
      <c r="I593" s="148" t="str">
        <f aca="false">IF(B593="","",IFERROR(INDEX('CARNET DE SOUDURE'!$B$7:$B$3006,MATCH(B593,'CARNET DE SOUDURE'!$L$7:$L$3006,0)),IFERROR(INDEX('CARNET DE SOUDURE'!$B$7:$B$3006,MATCH(B593,'CARNET DE SOUDURE'!$O$7:$O$3006,0)),"")))</f>
        <v>MFD-ISW → MFD-CPF</v>
      </c>
      <c r="J593" s="82" t="str">
        <f aca="false">IF(B593="","",IFERROR(INDEX('CARNET DE SOUDURE'!$E$7:$E$3006,MATCH(B593,'CARNET DE SOUDURE'!$O$7:$O$3006,0)),""))</f>
        <v>DJ°245</v>
      </c>
      <c r="K593" s="82" t="str">
        <f aca="false">IF(B593="","",IFERROR(INDEX('CARNET DE SOUDURE'!$E$7:$E$3006,MATCH(B593,'CARNET DE SOUDURE'!$L$7:$L$3006,0)),""))</f>
        <v/>
      </c>
      <c r="L593" s="82" t="n">
        <f aca="false">IF(B593="","",IFERROR(INDEX('CARNET DE SOUDURE'!$D$7:$D$3006,MATCH(B593,'CARNET DE SOUDURE'!$L$7:$L$3006,0)),IFERROR(INDEX('CARNET DE SOUDURE'!$D$7:$D$3006,MATCH(B593,'CARNET DE SOUDURE'!$O$7:$O$3006,0)),"")))</f>
        <v>13</v>
      </c>
      <c r="M593" s="82" t="str">
        <f aca="false">IF(B593="","",IF(OR(J593&lt;&gt;"",K593&lt;&gt;""),"POSÉ EN LIGNE",IF(COUNTIF(BARDAGE!$C$1:$C$5000,B593)&gt;0,"BARDÉ","EN STOCK")))</f>
        <v>POSÉ EN LIGNE</v>
      </c>
      <c r="N593" s="80"/>
    </row>
    <row r="594" customFormat="false" ht="15" hidden="false" customHeight="false" outlineLevel="0" collapsed="false">
      <c r="A594" s="82" t="n">
        <f aca="false">IF(B594="","",ROW()-6)</f>
        <v>588</v>
      </c>
      <c r="B594" s="145" t="n">
        <v>2090070</v>
      </c>
      <c r="C594" s="146" t="n">
        <v>15421109</v>
      </c>
      <c r="D594" s="146"/>
      <c r="E594" s="82" t="str">
        <f aca="false">IF(B594="","",IF(COUNTIFS('CARNET DE SOUDURE'!$L$7:$L$3006,B594,'CARNET DE SOUDURE'!$M$7:$M$3006,"&lt;&gt;"&amp;C594,'CARNET DE SOUDURE'!$M$7:$M$3006,"&lt;&gt;")+COUNTIFS('CARNET DE SOUDURE'!$O$7:$O$3006,B594,'CARNET DE SOUDURE'!$P$7:$P$3006,"&lt;&gt;"&amp;C594,'CARNET DE SOUDURE'!$P$7:$P$3006,"&lt;&gt;")&gt;0,"⚠ DIFFÉRENTE","OK"))</f>
        <v>OK</v>
      </c>
      <c r="F594" s="147" t="n">
        <v>11.94</v>
      </c>
      <c r="G594" s="80"/>
      <c r="H594" s="83"/>
      <c r="I594" s="148" t="str">
        <f aca="false">IF(B594="","",IFERROR(INDEX('CARNET DE SOUDURE'!$B$7:$B$3006,MATCH(B594,'CARNET DE SOUDURE'!$L$7:$L$3006,0)),IFERROR(INDEX('CARNET DE SOUDURE'!$B$7:$B$3006,MATCH(B594,'CARNET DE SOUDURE'!$O$7:$O$3006,0)),"")))</f>
        <v>MFD-ISW → MFD-CPF</v>
      </c>
      <c r="J594" s="82" t="str">
        <f aca="false">IF(B594="","",IFERROR(INDEX('CARNET DE SOUDURE'!$E$7:$E$3006,MATCH(B594,'CARNET DE SOUDURE'!$O$7:$O$3006,0)),""))</f>
        <v>JN°1288R</v>
      </c>
      <c r="K594" s="82" t="str">
        <f aca="false">IF(B594="","",IFERROR(INDEX('CARNET DE SOUDURE'!$E$7:$E$3006,MATCH(B594,'CARNET DE SOUDURE'!$L$7:$L$3006,0)),""))</f>
        <v>DJ°240</v>
      </c>
      <c r="L594" s="82" t="n">
        <f aca="false">IF(B594="","",IFERROR(INDEX('CARNET DE SOUDURE'!$D$7:$D$3006,MATCH(B594,'CARNET DE SOUDURE'!$L$7:$L$3006,0)),IFERROR(INDEX('CARNET DE SOUDURE'!$D$7:$D$3006,MATCH(B594,'CARNET DE SOUDURE'!$O$7:$O$3006,0)),"")))</f>
        <v>13</v>
      </c>
      <c r="M594" s="82" t="str">
        <f aca="false">IF(B594="","",IF(OR(J594&lt;&gt;"",K594&lt;&gt;""),"POSÉ EN LIGNE",IF(COUNTIF(BARDAGE!$C$1:$C$5000,B594)&gt;0,"BARDÉ","EN STOCK")))</f>
        <v>POSÉ EN LIGNE</v>
      </c>
      <c r="N594" s="80"/>
    </row>
    <row r="595" customFormat="false" ht="15" hidden="false" customHeight="false" outlineLevel="0" collapsed="false">
      <c r="A595" s="82" t="n">
        <f aca="false">IF(B595="","",ROW()-6)</f>
        <v>589</v>
      </c>
      <c r="B595" s="145" t="n">
        <v>2078950</v>
      </c>
      <c r="C595" s="146" t="n">
        <v>15421101</v>
      </c>
      <c r="D595" s="146"/>
      <c r="E595" s="82" t="str">
        <f aca="false">IF(B595="","",IF(COUNTIFS('CARNET DE SOUDURE'!$L$7:$L$3006,B595,'CARNET DE SOUDURE'!$M$7:$M$3006,"&lt;&gt;"&amp;C595,'CARNET DE SOUDURE'!$M$7:$M$3006,"&lt;&gt;")+COUNTIFS('CARNET DE SOUDURE'!$O$7:$O$3006,B595,'CARNET DE SOUDURE'!$P$7:$P$3006,"&lt;&gt;"&amp;C595,'CARNET DE SOUDURE'!$P$7:$P$3006,"&lt;&gt;")&gt;0,"⚠ DIFFÉRENTE","OK"))</f>
        <v>OK</v>
      </c>
      <c r="F595" s="147" t="n">
        <v>11.94</v>
      </c>
      <c r="G595" s="80"/>
      <c r="H595" s="83"/>
      <c r="I595" s="148" t="str">
        <f aca="false">IF(B595="","",IFERROR(INDEX('CARNET DE SOUDURE'!$B$7:$B$3006,MATCH(B595,'CARNET DE SOUDURE'!$L$7:$L$3006,0)),IFERROR(INDEX('CARNET DE SOUDURE'!$B$7:$B$3006,MATCH(B595,'CARNET DE SOUDURE'!$O$7:$O$3006,0)),"")))</f>
        <v>MFD-ISW → MFD-CPF</v>
      </c>
      <c r="J595" s="82" t="str">
        <f aca="false">IF(B595="","",IFERROR(INDEX('CARNET DE SOUDURE'!$E$7:$E$3006,MATCH(B595,'CARNET DE SOUDURE'!$O$7:$O$3006,0)),""))</f>
        <v>DJ°240</v>
      </c>
      <c r="K595" s="82" t="str">
        <f aca="false">IF(B595="","",IFERROR(INDEX('CARNET DE SOUDURE'!$E$7:$E$3006,MATCH(B595,'CARNET DE SOUDURE'!$L$7:$L$3006,0)),""))</f>
        <v>JN°1289</v>
      </c>
      <c r="L595" s="82" t="n">
        <f aca="false">IF(B595="","",IFERROR(INDEX('CARNET DE SOUDURE'!$D$7:$D$3006,MATCH(B595,'CARNET DE SOUDURE'!$L$7:$L$3006,0)),IFERROR(INDEX('CARNET DE SOUDURE'!$D$7:$D$3006,MATCH(B595,'CARNET DE SOUDURE'!$O$7:$O$3006,0)),"")))</f>
        <v>13</v>
      </c>
      <c r="M595" s="82" t="str">
        <f aca="false">IF(B595="","",IF(OR(J595&lt;&gt;"",K595&lt;&gt;""),"POSÉ EN LIGNE",IF(COUNTIF(BARDAGE!$C$1:$C$5000,B595)&gt;0,"BARDÉ","EN STOCK")))</f>
        <v>POSÉ EN LIGNE</v>
      </c>
      <c r="N595" s="80"/>
    </row>
    <row r="596" customFormat="false" ht="15" hidden="false" customHeight="false" outlineLevel="0" collapsed="false">
      <c r="A596" s="82" t="n">
        <f aca="false">IF(B596="","",ROW()-6)</f>
        <v>590</v>
      </c>
      <c r="B596" s="145" t="n">
        <v>2098530</v>
      </c>
      <c r="C596" s="146" t="n">
        <v>15421112</v>
      </c>
      <c r="D596" s="146"/>
      <c r="E596" s="82" t="str">
        <f aca="false">IF(B596="","",IF(COUNTIFS('CARNET DE SOUDURE'!$L$7:$L$3006,B596,'CARNET DE SOUDURE'!$M$7:$M$3006,"&lt;&gt;"&amp;C596,'CARNET DE SOUDURE'!$M$7:$M$3006,"&lt;&gt;")+COUNTIFS('CARNET DE SOUDURE'!$O$7:$O$3006,B596,'CARNET DE SOUDURE'!$P$7:$P$3006,"&lt;&gt;"&amp;C596,'CARNET DE SOUDURE'!$P$7:$P$3006,"&lt;&gt;")&gt;0,"⚠ DIFFÉRENTE","OK"))</f>
        <v>OK</v>
      </c>
      <c r="F596" s="147" t="n">
        <v>11.94</v>
      </c>
      <c r="G596" s="80"/>
      <c r="H596" s="83"/>
      <c r="I596" s="148" t="str">
        <f aca="false">IF(B596="","",IFERROR(INDEX('CARNET DE SOUDURE'!$B$7:$B$3006,MATCH(B596,'CARNET DE SOUDURE'!$L$7:$L$3006,0)),IFERROR(INDEX('CARNET DE SOUDURE'!$B$7:$B$3006,MATCH(B596,'CARNET DE SOUDURE'!$O$7:$O$3006,0)),"")))</f>
        <v>MFD-ISW → MFD-CPF</v>
      </c>
      <c r="J596" s="82" t="str">
        <f aca="false">IF(B596="","",IFERROR(INDEX('CARNET DE SOUDURE'!$E$7:$E$3006,MATCH(B596,'CARNET DE SOUDURE'!$O$7:$O$3006,0)),""))</f>
        <v>JN°1289</v>
      </c>
      <c r="K596" s="82" t="str">
        <f aca="false">IF(B596="","",IFERROR(INDEX('CARNET DE SOUDURE'!$E$7:$E$3006,MATCH(B596,'CARNET DE SOUDURE'!$L$7:$L$3006,0)),""))</f>
        <v>DJ°248</v>
      </c>
      <c r="L596" s="82" t="n">
        <f aca="false">IF(B596="","",IFERROR(INDEX('CARNET DE SOUDURE'!$D$7:$D$3006,MATCH(B596,'CARNET DE SOUDURE'!$L$7:$L$3006,0)),IFERROR(INDEX('CARNET DE SOUDURE'!$D$7:$D$3006,MATCH(B596,'CARNET DE SOUDURE'!$O$7:$O$3006,0)),"")))</f>
        <v>13</v>
      </c>
      <c r="M596" s="82" t="str">
        <f aca="false">IF(B596="","",IF(OR(J596&lt;&gt;"",K596&lt;&gt;""),"POSÉ EN LIGNE",IF(COUNTIF(BARDAGE!$C$1:$C$5000,B596)&gt;0,"BARDÉ","EN STOCK")))</f>
        <v>POSÉ EN LIGNE</v>
      </c>
      <c r="N596" s="80"/>
    </row>
    <row r="597" customFormat="false" ht="15" hidden="false" customHeight="false" outlineLevel="0" collapsed="false">
      <c r="A597" s="82" t="n">
        <f aca="false">IF(B597="","",ROW()-6)</f>
        <v>591</v>
      </c>
      <c r="B597" s="145" t="n">
        <v>2083210</v>
      </c>
      <c r="C597" s="146" t="n">
        <v>15421105</v>
      </c>
      <c r="D597" s="146"/>
      <c r="E597" s="82" t="str">
        <f aca="false">IF(B597="","",IF(COUNTIFS('CARNET DE SOUDURE'!$L$7:$L$3006,B597,'CARNET DE SOUDURE'!$M$7:$M$3006,"&lt;&gt;"&amp;C597,'CARNET DE SOUDURE'!$M$7:$M$3006,"&lt;&gt;")+COUNTIFS('CARNET DE SOUDURE'!$O$7:$O$3006,B597,'CARNET DE SOUDURE'!$P$7:$P$3006,"&lt;&gt;"&amp;C597,'CARNET DE SOUDURE'!$P$7:$P$3006,"&lt;&gt;")&gt;0,"⚠ DIFFÉRENTE","OK"))</f>
        <v>OK</v>
      </c>
      <c r="F597" s="147" t="n">
        <v>11.94</v>
      </c>
      <c r="G597" s="80"/>
      <c r="H597" s="83"/>
      <c r="I597" s="148" t="str">
        <f aca="false">IF(B597="","",IFERROR(INDEX('CARNET DE SOUDURE'!$B$7:$B$3006,MATCH(B597,'CARNET DE SOUDURE'!$L$7:$L$3006,0)),IFERROR(INDEX('CARNET DE SOUDURE'!$B$7:$B$3006,MATCH(B597,'CARNET DE SOUDURE'!$O$7:$O$3006,0)),"")))</f>
        <v>MFD-ISW → MFD-CPF</v>
      </c>
      <c r="J597" s="82" t="str">
        <f aca="false">IF(B597="","",IFERROR(INDEX('CARNET DE SOUDURE'!$E$7:$E$3006,MATCH(B597,'CARNET DE SOUDURE'!$O$7:$O$3006,0)),""))</f>
        <v>DJ°248</v>
      </c>
      <c r="K597" s="82" t="str">
        <f aca="false">IF(B597="","",IFERROR(INDEX('CARNET DE SOUDURE'!$E$7:$E$3006,MATCH(B597,'CARNET DE SOUDURE'!$L$7:$L$3006,0)),""))</f>
        <v>JN°1290R</v>
      </c>
      <c r="L597" s="82" t="n">
        <f aca="false">IF(B597="","",IFERROR(INDEX('CARNET DE SOUDURE'!$D$7:$D$3006,MATCH(B597,'CARNET DE SOUDURE'!$L$7:$L$3006,0)),IFERROR(INDEX('CARNET DE SOUDURE'!$D$7:$D$3006,MATCH(B597,'CARNET DE SOUDURE'!$O$7:$O$3006,0)),"")))</f>
        <v>13</v>
      </c>
      <c r="M597" s="82" t="str">
        <f aca="false">IF(B597="","",IF(OR(J597&lt;&gt;"",K597&lt;&gt;""),"POSÉ EN LIGNE",IF(COUNTIF(BARDAGE!$C$1:$C$5000,B597)&gt;0,"BARDÉ","EN STOCK")))</f>
        <v>POSÉ EN LIGNE</v>
      </c>
      <c r="N597" s="80"/>
    </row>
    <row r="598" customFormat="false" ht="15" hidden="false" customHeight="false" outlineLevel="0" collapsed="false">
      <c r="A598" s="82" t="n">
        <f aca="false">IF(B598="","",ROW()-6)</f>
        <v>592</v>
      </c>
      <c r="B598" s="145" t="n">
        <v>2091160</v>
      </c>
      <c r="C598" s="146" t="n">
        <v>15421109</v>
      </c>
      <c r="D598" s="146"/>
      <c r="E598" s="82" t="str">
        <f aca="false">IF(B598="","",IF(COUNTIFS('CARNET DE SOUDURE'!$L$7:$L$3006,B598,'CARNET DE SOUDURE'!$M$7:$M$3006,"&lt;&gt;"&amp;C598,'CARNET DE SOUDURE'!$M$7:$M$3006,"&lt;&gt;")+COUNTIFS('CARNET DE SOUDURE'!$O$7:$O$3006,B598,'CARNET DE SOUDURE'!$P$7:$P$3006,"&lt;&gt;"&amp;C598,'CARNET DE SOUDURE'!$P$7:$P$3006,"&lt;&gt;")&gt;0,"⚠ DIFFÉRENTE","OK"))</f>
        <v>OK</v>
      </c>
      <c r="F598" s="147" t="n">
        <v>11.94</v>
      </c>
      <c r="G598" s="80"/>
      <c r="H598" s="83"/>
      <c r="I598" s="148" t="str">
        <f aca="false">IF(B598="","",IFERROR(INDEX('CARNET DE SOUDURE'!$B$7:$B$3006,MATCH(B598,'CARNET DE SOUDURE'!$L$7:$L$3006,0)),IFERROR(INDEX('CARNET DE SOUDURE'!$B$7:$B$3006,MATCH(B598,'CARNET DE SOUDURE'!$O$7:$O$3006,0)),"")))</f>
        <v>MFD-ISW → MFD-CPF</v>
      </c>
      <c r="J598" s="82" t="str">
        <f aca="false">IF(B598="","",IFERROR(INDEX('CARNET DE SOUDURE'!$E$7:$E$3006,MATCH(B598,'CARNET DE SOUDURE'!$O$7:$O$3006,0)),""))</f>
        <v>JN°1290R</v>
      </c>
      <c r="K598" s="82" t="str">
        <f aca="false">IF(B598="","",IFERROR(INDEX('CARNET DE SOUDURE'!$E$7:$E$3006,MATCH(B598,'CARNET DE SOUDURE'!$L$7:$L$3006,0)),""))</f>
        <v>DJ°241</v>
      </c>
      <c r="L598" s="82" t="n">
        <f aca="false">IF(B598="","",IFERROR(INDEX('CARNET DE SOUDURE'!$D$7:$D$3006,MATCH(B598,'CARNET DE SOUDURE'!$L$7:$L$3006,0)),IFERROR(INDEX('CARNET DE SOUDURE'!$D$7:$D$3006,MATCH(B598,'CARNET DE SOUDURE'!$O$7:$O$3006,0)),"")))</f>
        <v>13</v>
      </c>
      <c r="M598" s="82" t="str">
        <f aca="false">IF(B598="","",IF(OR(J598&lt;&gt;"",K598&lt;&gt;""),"POSÉ EN LIGNE",IF(COUNTIF(BARDAGE!$C$1:$C$5000,B598)&gt;0,"BARDÉ","EN STOCK")))</f>
        <v>POSÉ EN LIGNE</v>
      </c>
      <c r="N598" s="80"/>
    </row>
    <row r="599" customFormat="false" ht="15" hidden="false" customHeight="false" outlineLevel="0" collapsed="false">
      <c r="A599" s="82" t="n">
        <f aca="false">IF(B599="","",ROW()-6)</f>
        <v>593</v>
      </c>
      <c r="B599" s="145" t="n">
        <v>2088670</v>
      </c>
      <c r="C599" s="146" t="n">
        <v>154211008</v>
      </c>
      <c r="D599" s="146"/>
      <c r="E599" s="82" t="str">
        <f aca="false">IF(B599="","",IF(COUNTIFS('CARNET DE SOUDURE'!$L$7:$L$3006,B599,'CARNET DE SOUDURE'!$M$7:$M$3006,"&lt;&gt;"&amp;C599,'CARNET DE SOUDURE'!$M$7:$M$3006,"&lt;&gt;")+COUNTIFS('CARNET DE SOUDURE'!$O$7:$O$3006,B599,'CARNET DE SOUDURE'!$P$7:$P$3006,"&lt;&gt;"&amp;C599,'CARNET DE SOUDURE'!$P$7:$P$3006,"&lt;&gt;")&gt;0,"⚠ DIFFÉRENTE","OK"))</f>
        <v>OK</v>
      </c>
      <c r="F599" s="147" t="n">
        <v>11.94</v>
      </c>
      <c r="G599" s="80"/>
      <c r="H599" s="83"/>
      <c r="I599" s="148" t="str">
        <f aca="false">IF(B599="","",IFERROR(INDEX('CARNET DE SOUDURE'!$B$7:$B$3006,MATCH(B599,'CARNET DE SOUDURE'!$L$7:$L$3006,0)),IFERROR(INDEX('CARNET DE SOUDURE'!$B$7:$B$3006,MATCH(B599,'CARNET DE SOUDURE'!$O$7:$O$3006,0)),"")))</f>
        <v>MFD-ISW → MFD-CPF</v>
      </c>
      <c r="J599" s="82" t="str">
        <f aca="false">IF(B599="","",IFERROR(INDEX('CARNET DE SOUDURE'!$E$7:$E$3006,MATCH(B599,'CARNET DE SOUDURE'!$O$7:$O$3006,0)),""))</f>
        <v>DJ°241</v>
      </c>
      <c r="K599" s="82" t="str">
        <f aca="false">IF(B599="","",IFERROR(INDEX('CARNET DE SOUDURE'!$E$7:$E$3006,MATCH(B599,'CARNET DE SOUDURE'!$L$7:$L$3006,0)),""))</f>
        <v>JN°1291</v>
      </c>
      <c r="L599" s="82" t="n">
        <f aca="false">IF(B599="","",IFERROR(INDEX('CARNET DE SOUDURE'!$D$7:$D$3006,MATCH(B599,'CARNET DE SOUDURE'!$L$7:$L$3006,0)),IFERROR(INDEX('CARNET DE SOUDURE'!$D$7:$D$3006,MATCH(B599,'CARNET DE SOUDURE'!$O$7:$O$3006,0)),"")))</f>
        <v>13</v>
      </c>
      <c r="M599" s="82" t="str">
        <f aca="false">IF(B599="","",IF(OR(J599&lt;&gt;"",K599&lt;&gt;""),"POSÉ EN LIGNE",IF(COUNTIF(BARDAGE!$C$1:$C$5000,B599)&gt;0,"BARDÉ","EN STOCK")))</f>
        <v>POSÉ EN LIGNE</v>
      </c>
      <c r="N599" s="80"/>
    </row>
    <row r="600" customFormat="false" ht="15" hidden="false" customHeight="false" outlineLevel="0" collapsed="false">
      <c r="A600" s="82" t="n">
        <f aca="false">IF(B600="","",ROW()-6)</f>
        <v>594</v>
      </c>
      <c r="B600" s="145" t="n">
        <v>2084430</v>
      </c>
      <c r="C600" s="146" t="n">
        <v>15421106</v>
      </c>
      <c r="D600" s="146"/>
      <c r="E600" s="82" t="str">
        <f aca="false">IF(B600="","",IF(COUNTIFS('CARNET DE SOUDURE'!$L$7:$L$3006,B600,'CARNET DE SOUDURE'!$M$7:$M$3006,"&lt;&gt;"&amp;C600,'CARNET DE SOUDURE'!$M$7:$M$3006,"&lt;&gt;")+COUNTIFS('CARNET DE SOUDURE'!$O$7:$O$3006,B600,'CARNET DE SOUDURE'!$P$7:$P$3006,"&lt;&gt;"&amp;C600,'CARNET DE SOUDURE'!$P$7:$P$3006,"&lt;&gt;")&gt;0,"⚠ DIFFÉRENTE","OK"))</f>
        <v>OK</v>
      </c>
      <c r="F600" s="147" t="n">
        <v>11.94</v>
      </c>
      <c r="G600" s="80"/>
      <c r="H600" s="83"/>
      <c r="I600" s="148" t="str">
        <f aca="false">IF(B600="","",IFERROR(INDEX('CARNET DE SOUDURE'!$B$7:$B$3006,MATCH(B600,'CARNET DE SOUDURE'!$L$7:$L$3006,0)),IFERROR(INDEX('CARNET DE SOUDURE'!$B$7:$B$3006,MATCH(B600,'CARNET DE SOUDURE'!$O$7:$O$3006,0)),"")))</f>
        <v>MFD-ISW → MFD-CPF</v>
      </c>
      <c r="J600" s="82" t="str">
        <f aca="false">IF(B600="","",IFERROR(INDEX('CARNET DE SOUDURE'!$E$7:$E$3006,MATCH(B600,'CARNET DE SOUDURE'!$O$7:$O$3006,0)),""))</f>
        <v>JN°1291</v>
      </c>
      <c r="K600" s="82" t="str">
        <f aca="false">IF(B600="","",IFERROR(INDEX('CARNET DE SOUDURE'!$E$7:$E$3006,MATCH(B600,'CARNET DE SOUDURE'!$L$7:$L$3006,0)),""))</f>
        <v>DJ°239</v>
      </c>
      <c r="L600" s="82" t="n">
        <f aca="false">IF(B600="","",IFERROR(INDEX('CARNET DE SOUDURE'!$D$7:$D$3006,MATCH(B600,'CARNET DE SOUDURE'!$L$7:$L$3006,0)),IFERROR(INDEX('CARNET DE SOUDURE'!$D$7:$D$3006,MATCH(B600,'CARNET DE SOUDURE'!$O$7:$O$3006,0)),"")))</f>
        <v>13</v>
      </c>
      <c r="M600" s="82" t="str">
        <f aca="false">IF(B600="","",IF(OR(J600&lt;&gt;"",K600&lt;&gt;""),"POSÉ EN LIGNE",IF(COUNTIF(BARDAGE!$C$1:$C$5000,B600)&gt;0,"BARDÉ","EN STOCK")))</f>
        <v>POSÉ EN LIGNE</v>
      </c>
      <c r="N600" s="80"/>
    </row>
    <row r="601" customFormat="false" ht="15" hidden="false" customHeight="false" outlineLevel="0" collapsed="false">
      <c r="A601" s="82" t="n">
        <f aca="false">IF(B601="","",ROW()-6)</f>
        <v>595</v>
      </c>
      <c r="B601" s="145" t="n">
        <v>2088170</v>
      </c>
      <c r="C601" s="146" t="n">
        <v>15421108</v>
      </c>
      <c r="D601" s="146"/>
      <c r="E601" s="82" t="str">
        <f aca="false">IF(B601="","",IF(COUNTIFS('CARNET DE SOUDURE'!$L$7:$L$3006,B601,'CARNET DE SOUDURE'!$M$7:$M$3006,"&lt;&gt;"&amp;C601,'CARNET DE SOUDURE'!$M$7:$M$3006,"&lt;&gt;")+COUNTIFS('CARNET DE SOUDURE'!$O$7:$O$3006,B601,'CARNET DE SOUDURE'!$P$7:$P$3006,"&lt;&gt;"&amp;C601,'CARNET DE SOUDURE'!$P$7:$P$3006,"&lt;&gt;")&gt;0,"⚠ DIFFÉRENTE","OK"))</f>
        <v>OK</v>
      </c>
      <c r="F601" s="147" t="n">
        <v>11.94</v>
      </c>
      <c r="G601" s="80"/>
      <c r="H601" s="83"/>
      <c r="I601" s="148" t="str">
        <f aca="false">IF(B601="","",IFERROR(INDEX('CARNET DE SOUDURE'!$B$7:$B$3006,MATCH(B601,'CARNET DE SOUDURE'!$L$7:$L$3006,0)),IFERROR(INDEX('CARNET DE SOUDURE'!$B$7:$B$3006,MATCH(B601,'CARNET DE SOUDURE'!$O$7:$O$3006,0)),"")))</f>
        <v>MFD-ISW → MFD-CPF</v>
      </c>
      <c r="J601" s="82" t="str">
        <f aca="false">IF(B601="","",IFERROR(INDEX('CARNET DE SOUDURE'!$E$7:$E$3006,MATCH(B601,'CARNET DE SOUDURE'!$O$7:$O$3006,0)),""))</f>
        <v>DJ°239</v>
      </c>
      <c r="K601" s="82" t="str">
        <f aca="false">IF(B601="","",IFERROR(INDEX('CARNET DE SOUDURE'!$E$7:$E$3006,MATCH(B601,'CARNET DE SOUDURE'!$L$7:$L$3006,0)),""))</f>
        <v>JN°1292</v>
      </c>
      <c r="L601" s="82" t="n">
        <f aca="false">IF(B601="","",IFERROR(INDEX('CARNET DE SOUDURE'!$D$7:$D$3006,MATCH(B601,'CARNET DE SOUDURE'!$L$7:$L$3006,0)),IFERROR(INDEX('CARNET DE SOUDURE'!$D$7:$D$3006,MATCH(B601,'CARNET DE SOUDURE'!$O$7:$O$3006,0)),"")))</f>
        <v>13</v>
      </c>
      <c r="M601" s="82" t="str">
        <f aca="false">IF(B601="","",IF(OR(J601&lt;&gt;"",K601&lt;&gt;""),"POSÉ EN LIGNE",IF(COUNTIF(BARDAGE!$C$1:$C$5000,B601)&gt;0,"BARDÉ","EN STOCK")))</f>
        <v>POSÉ EN LIGNE</v>
      </c>
      <c r="N601" s="80"/>
    </row>
    <row r="602" customFormat="false" ht="15" hidden="false" customHeight="false" outlineLevel="0" collapsed="false">
      <c r="A602" s="82" t="n">
        <f aca="false">IF(B602="","",ROW()-6)</f>
        <v>596</v>
      </c>
      <c r="B602" s="145" t="n">
        <v>2096210</v>
      </c>
      <c r="C602" s="146" t="n">
        <v>15421111</v>
      </c>
      <c r="D602" s="146"/>
      <c r="E602" s="82" t="str">
        <f aca="false">IF(B602="","",IF(COUNTIFS('CARNET DE SOUDURE'!$L$7:$L$3006,B602,'CARNET DE SOUDURE'!$M$7:$M$3006,"&lt;&gt;"&amp;C602,'CARNET DE SOUDURE'!$M$7:$M$3006,"&lt;&gt;")+COUNTIFS('CARNET DE SOUDURE'!$O$7:$O$3006,B602,'CARNET DE SOUDURE'!$P$7:$P$3006,"&lt;&gt;"&amp;C602,'CARNET DE SOUDURE'!$P$7:$P$3006,"&lt;&gt;")&gt;0,"⚠ DIFFÉRENTE","OK"))</f>
        <v>OK</v>
      </c>
      <c r="F602" s="147" t="n">
        <v>11.94</v>
      </c>
      <c r="G602" s="80"/>
      <c r="H602" s="83"/>
      <c r="I602" s="148" t="str">
        <f aca="false">IF(B602="","",IFERROR(INDEX('CARNET DE SOUDURE'!$B$7:$B$3006,MATCH(B602,'CARNET DE SOUDURE'!$L$7:$L$3006,0)),IFERROR(INDEX('CARNET DE SOUDURE'!$B$7:$B$3006,MATCH(B602,'CARNET DE SOUDURE'!$O$7:$O$3006,0)),"")))</f>
        <v>MFD-ISW → MFD-CPF</v>
      </c>
      <c r="J602" s="82" t="str">
        <f aca="false">IF(B602="","",IFERROR(INDEX('CARNET DE SOUDURE'!$E$7:$E$3006,MATCH(B602,'CARNET DE SOUDURE'!$O$7:$O$3006,0)),""))</f>
        <v>JN°1292</v>
      </c>
      <c r="K602" s="82" t="str">
        <f aca="false">IF(B602="","",IFERROR(INDEX('CARNET DE SOUDURE'!$E$7:$E$3006,MATCH(B602,'CARNET DE SOUDURE'!$L$7:$L$3006,0)),""))</f>
        <v>DJ°217</v>
      </c>
      <c r="L602" s="82" t="n">
        <f aca="false">IF(B602="","",IFERROR(INDEX('CARNET DE SOUDURE'!$D$7:$D$3006,MATCH(B602,'CARNET DE SOUDURE'!$L$7:$L$3006,0)),IFERROR(INDEX('CARNET DE SOUDURE'!$D$7:$D$3006,MATCH(B602,'CARNET DE SOUDURE'!$O$7:$O$3006,0)),"")))</f>
        <v>13</v>
      </c>
      <c r="M602" s="82" t="str">
        <f aca="false">IF(B602="","",IF(OR(J602&lt;&gt;"",K602&lt;&gt;""),"POSÉ EN LIGNE",IF(COUNTIF(BARDAGE!$C$1:$C$5000,B602)&gt;0,"BARDÉ","EN STOCK")))</f>
        <v>POSÉ EN LIGNE</v>
      </c>
      <c r="N602" s="80"/>
    </row>
    <row r="603" customFormat="false" ht="15" hidden="false" customHeight="false" outlineLevel="0" collapsed="false">
      <c r="A603" s="82" t="n">
        <f aca="false">IF(B603="","",ROW()-6)</f>
        <v>597</v>
      </c>
      <c r="B603" s="145" t="n">
        <v>2079980</v>
      </c>
      <c r="C603" s="146" t="n">
        <v>15421102</v>
      </c>
      <c r="D603" s="146"/>
      <c r="E603" s="82" t="str">
        <f aca="false">IF(B603="","",IF(COUNTIFS('CARNET DE SOUDURE'!$L$7:$L$3006,B603,'CARNET DE SOUDURE'!$M$7:$M$3006,"&lt;&gt;"&amp;C603,'CARNET DE SOUDURE'!$M$7:$M$3006,"&lt;&gt;")+COUNTIFS('CARNET DE SOUDURE'!$O$7:$O$3006,B603,'CARNET DE SOUDURE'!$P$7:$P$3006,"&lt;&gt;"&amp;C603,'CARNET DE SOUDURE'!$P$7:$P$3006,"&lt;&gt;")&gt;0,"⚠ DIFFÉRENTE","OK"))</f>
        <v>OK</v>
      </c>
      <c r="F603" s="147" t="n">
        <v>11.94</v>
      </c>
      <c r="G603" s="80"/>
      <c r="H603" s="83"/>
      <c r="I603" s="148" t="str">
        <f aca="false">IF(B603="","",IFERROR(INDEX('CARNET DE SOUDURE'!$B$7:$B$3006,MATCH(B603,'CARNET DE SOUDURE'!$L$7:$L$3006,0)),IFERROR(INDEX('CARNET DE SOUDURE'!$B$7:$B$3006,MATCH(B603,'CARNET DE SOUDURE'!$O$7:$O$3006,0)),"")))</f>
        <v>MFD-ISW → MFD-CPF</v>
      </c>
      <c r="J603" s="82" t="str">
        <f aca="false">IF(B603="","",IFERROR(INDEX('CARNET DE SOUDURE'!$E$7:$E$3006,MATCH(B603,'CARNET DE SOUDURE'!$O$7:$O$3006,0)),""))</f>
        <v>DJ°217</v>
      </c>
      <c r="K603" s="82" t="str">
        <f aca="false">IF(B603="","",IFERROR(INDEX('CARNET DE SOUDURE'!$E$7:$E$3006,MATCH(B603,'CARNET DE SOUDURE'!$L$7:$L$3006,0)),""))</f>
        <v>JN°1293R</v>
      </c>
      <c r="L603" s="82" t="n">
        <f aca="false">IF(B603="","",IFERROR(INDEX('CARNET DE SOUDURE'!$D$7:$D$3006,MATCH(B603,'CARNET DE SOUDURE'!$L$7:$L$3006,0)),IFERROR(INDEX('CARNET DE SOUDURE'!$D$7:$D$3006,MATCH(B603,'CARNET DE SOUDURE'!$O$7:$O$3006,0)),"")))</f>
        <v>13</v>
      </c>
      <c r="M603" s="82" t="str">
        <f aca="false">IF(B603="","",IF(OR(J603&lt;&gt;"",K603&lt;&gt;""),"POSÉ EN LIGNE",IF(COUNTIF(BARDAGE!$C$1:$C$5000,B603)&gt;0,"BARDÉ","EN STOCK")))</f>
        <v>POSÉ EN LIGNE</v>
      </c>
      <c r="N603" s="80"/>
    </row>
    <row r="604" customFormat="false" ht="15" hidden="false" customHeight="false" outlineLevel="0" collapsed="false">
      <c r="A604" s="82" t="n">
        <f aca="false">IF(B604="","",ROW()-6)</f>
        <v>598</v>
      </c>
      <c r="B604" s="145" t="n">
        <v>2085030</v>
      </c>
      <c r="C604" s="146" t="n">
        <v>15421105</v>
      </c>
      <c r="D604" s="146"/>
      <c r="E604" s="82" t="str">
        <f aca="false">IF(B604="","",IF(COUNTIFS('CARNET DE SOUDURE'!$L$7:$L$3006,B604,'CARNET DE SOUDURE'!$M$7:$M$3006,"&lt;&gt;"&amp;C604,'CARNET DE SOUDURE'!$M$7:$M$3006,"&lt;&gt;")+COUNTIFS('CARNET DE SOUDURE'!$O$7:$O$3006,B604,'CARNET DE SOUDURE'!$P$7:$P$3006,"&lt;&gt;"&amp;C604,'CARNET DE SOUDURE'!$P$7:$P$3006,"&lt;&gt;")&gt;0,"⚠ DIFFÉRENTE","OK"))</f>
        <v>OK</v>
      </c>
      <c r="F604" s="147" t="n">
        <v>11.94</v>
      </c>
      <c r="G604" s="80"/>
      <c r="H604" s="83"/>
      <c r="I604" s="148" t="str">
        <f aca="false">IF(B604="","",IFERROR(INDEX('CARNET DE SOUDURE'!$B$7:$B$3006,MATCH(B604,'CARNET DE SOUDURE'!$L$7:$L$3006,0)),IFERROR(INDEX('CARNET DE SOUDURE'!$B$7:$B$3006,MATCH(B604,'CARNET DE SOUDURE'!$O$7:$O$3006,0)),"")))</f>
        <v>MFD-ISW → MFD-CPF</v>
      </c>
      <c r="J604" s="82" t="str">
        <f aca="false">IF(B604="","",IFERROR(INDEX('CARNET DE SOUDURE'!$E$7:$E$3006,MATCH(B604,'CARNET DE SOUDURE'!$O$7:$O$3006,0)),""))</f>
        <v>JN°1293R</v>
      </c>
      <c r="K604" s="82" t="str">
        <f aca="false">IF(B604="","",IFERROR(INDEX('CARNET DE SOUDURE'!$E$7:$E$3006,MATCH(B604,'CARNET DE SOUDURE'!$L$7:$L$3006,0)),""))</f>
        <v>DJ°199</v>
      </c>
      <c r="L604" s="82" t="n">
        <f aca="false">IF(B604="","",IFERROR(INDEX('CARNET DE SOUDURE'!$D$7:$D$3006,MATCH(B604,'CARNET DE SOUDURE'!$L$7:$L$3006,0)),IFERROR(INDEX('CARNET DE SOUDURE'!$D$7:$D$3006,MATCH(B604,'CARNET DE SOUDURE'!$O$7:$O$3006,0)),"")))</f>
        <v>13</v>
      </c>
      <c r="M604" s="82" t="str">
        <f aca="false">IF(B604="","",IF(OR(J604&lt;&gt;"",K604&lt;&gt;""),"POSÉ EN LIGNE",IF(COUNTIF(BARDAGE!$C$1:$C$5000,B604)&gt;0,"BARDÉ","EN STOCK")))</f>
        <v>POSÉ EN LIGNE</v>
      </c>
      <c r="N604" s="80"/>
    </row>
    <row r="605" customFormat="false" ht="15" hidden="false" customHeight="false" outlineLevel="0" collapsed="false">
      <c r="A605" s="82" t="n">
        <f aca="false">IF(B605="","",ROW()-6)</f>
        <v>599</v>
      </c>
      <c r="B605" s="145" t="n">
        <v>2080200</v>
      </c>
      <c r="C605" s="146" t="n">
        <v>15421102</v>
      </c>
      <c r="D605" s="146"/>
      <c r="E605" s="82" t="str">
        <f aca="false">IF(B605="","",IF(COUNTIFS('CARNET DE SOUDURE'!$L$7:$L$3006,B605,'CARNET DE SOUDURE'!$M$7:$M$3006,"&lt;&gt;"&amp;C605,'CARNET DE SOUDURE'!$M$7:$M$3006,"&lt;&gt;")+COUNTIFS('CARNET DE SOUDURE'!$O$7:$O$3006,B605,'CARNET DE SOUDURE'!$P$7:$P$3006,"&lt;&gt;"&amp;C605,'CARNET DE SOUDURE'!$P$7:$P$3006,"&lt;&gt;")&gt;0,"⚠ DIFFÉRENTE","OK"))</f>
        <v>OK</v>
      </c>
      <c r="F605" s="147" t="n">
        <v>11.94</v>
      </c>
      <c r="G605" s="80"/>
      <c r="H605" s="83"/>
      <c r="I605" s="148" t="str">
        <f aca="false">IF(B605="","",IFERROR(INDEX('CARNET DE SOUDURE'!$B$7:$B$3006,MATCH(B605,'CARNET DE SOUDURE'!$L$7:$L$3006,0)),IFERROR(INDEX('CARNET DE SOUDURE'!$B$7:$B$3006,MATCH(B605,'CARNET DE SOUDURE'!$O$7:$O$3006,0)),"")))</f>
        <v>MFD-ISW → MFD-CPF</v>
      </c>
      <c r="J605" s="82" t="str">
        <f aca="false">IF(B605="","",IFERROR(INDEX('CARNET DE SOUDURE'!$E$7:$E$3006,MATCH(B605,'CARNET DE SOUDURE'!$O$7:$O$3006,0)),""))</f>
        <v>DJ°199</v>
      </c>
      <c r="K605" s="82" t="str">
        <f aca="false">IF(B605="","",IFERROR(INDEX('CARNET DE SOUDURE'!$E$7:$E$3006,MATCH(B605,'CARNET DE SOUDURE'!$L$7:$L$3006,0)),""))</f>
        <v>JN°1294R</v>
      </c>
      <c r="L605" s="82" t="n">
        <f aca="false">IF(B605="","",IFERROR(INDEX('CARNET DE SOUDURE'!$D$7:$D$3006,MATCH(B605,'CARNET DE SOUDURE'!$L$7:$L$3006,0)),IFERROR(INDEX('CARNET DE SOUDURE'!$D$7:$D$3006,MATCH(B605,'CARNET DE SOUDURE'!$O$7:$O$3006,0)),"")))</f>
        <v>13</v>
      </c>
      <c r="M605" s="82" t="str">
        <f aca="false">IF(B605="","",IF(OR(J605&lt;&gt;"",K605&lt;&gt;""),"POSÉ EN LIGNE",IF(COUNTIF(BARDAGE!$C$1:$C$5000,B605)&gt;0,"BARDÉ","EN STOCK")))</f>
        <v>POSÉ EN LIGNE</v>
      </c>
      <c r="N605" s="80"/>
    </row>
    <row r="606" customFormat="false" ht="15" hidden="false" customHeight="false" outlineLevel="0" collapsed="false">
      <c r="A606" s="82" t="n">
        <f aca="false">IF(B606="","",ROW()-6)</f>
        <v>600</v>
      </c>
      <c r="B606" s="145" t="n">
        <v>2088290</v>
      </c>
      <c r="C606" s="146" t="n">
        <v>15421108</v>
      </c>
      <c r="D606" s="146"/>
      <c r="E606" s="82" t="str">
        <f aca="false">IF(B606="","",IF(COUNTIFS('CARNET DE SOUDURE'!$L$7:$L$3006,B606,'CARNET DE SOUDURE'!$M$7:$M$3006,"&lt;&gt;"&amp;C606,'CARNET DE SOUDURE'!$M$7:$M$3006,"&lt;&gt;")+COUNTIFS('CARNET DE SOUDURE'!$O$7:$O$3006,B606,'CARNET DE SOUDURE'!$P$7:$P$3006,"&lt;&gt;"&amp;C606,'CARNET DE SOUDURE'!$P$7:$P$3006,"&lt;&gt;")&gt;0,"⚠ DIFFÉRENTE","OK"))</f>
        <v>OK</v>
      </c>
      <c r="F606" s="147" t="n">
        <v>11.94</v>
      </c>
      <c r="G606" s="80"/>
      <c r="H606" s="83"/>
      <c r="I606" s="148" t="str">
        <f aca="false">IF(B606="","",IFERROR(INDEX('CARNET DE SOUDURE'!$B$7:$B$3006,MATCH(B606,'CARNET DE SOUDURE'!$L$7:$L$3006,0)),IFERROR(INDEX('CARNET DE SOUDURE'!$B$7:$B$3006,MATCH(B606,'CARNET DE SOUDURE'!$O$7:$O$3006,0)),"")))</f>
        <v>MFD-ISW → MFD-CPF</v>
      </c>
      <c r="J606" s="82" t="str">
        <f aca="false">IF(B606="","",IFERROR(INDEX('CARNET DE SOUDURE'!$E$7:$E$3006,MATCH(B606,'CARNET DE SOUDURE'!$O$7:$O$3006,0)),""))</f>
        <v>JN°1294R</v>
      </c>
      <c r="K606" s="82" t="str">
        <f aca="false">IF(B606="","",IFERROR(INDEX('CARNET DE SOUDURE'!$E$7:$E$3006,MATCH(B606,'CARNET DE SOUDURE'!$L$7:$L$3006,0)),""))</f>
        <v>DJ°232</v>
      </c>
      <c r="L606" s="82" t="n">
        <f aca="false">IF(B606="","",IFERROR(INDEX('CARNET DE SOUDURE'!$D$7:$D$3006,MATCH(B606,'CARNET DE SOUDURE'!$L$7:$L$3006,0)),IFERROR(INDEX('CARNET DE SOUDURE'!$D$7:$D$3006,MATCH(B606,'CARNET DE SOUDURE'!$O$7:$O$3006,0)),"")))</f>
        <v>13</v>
      </c>
      <c r="M606" s="82" t="str">
        <f aca="false">IF(B606="","",IF(OR(J606&lt;&gt;"",K606&lt;&gt;""),"POSÉ EN LIGNE",IF(COUNTIF(BARDAGE!$C$1:$C$5000,B606)&gt;0,"BARDÉ","EN STOCK")))</f>
        <v>POSÉ EN LIGNE</v>
      </c>
      <c r="N606" s="80"/>
    </row>
    <row r="607" customFormat="false" ht="15" hidden="false" customHeight="false" outlineLevel="0" collapsed="false">
      <c r="A607" s="82" t="n">
        <f aca="false">IF(B607="","",ROW()-6)</f>
        <v>601</v>
      </c>
      <c r="B607" s="145" t="n">
        <v>2082500</v>
      </c>
      <c r="C607" s="146" t="n">
        <v>15421104</v>
      </c>
      <c r="D607" s="146"/>
      <c r="E607" s="82" t="str">
        <f aca="false">IF(B607="","",IF(COUNTIFS('CARNET DE SOUDURE'!$L$7:$L$3006,B607,'CARNET DE SOUDURE'!$M$7:$M$3006,"&lt;&gt;"&amp;C607,'CARNET DE SOUDURE'!$M$7:$M$3006,"&lt;&gt;")+COUNTIFS('CARNET DE SOUDURE'!$O$7:$O$3006,B607,'CARNET DE SOUDURE'!$P$7:$P$3006,"&lt;&gt;"&amp;C607,'CARNET DE SOUDURE'!$P$7:$P$3006,"&lt;&gt;")&gt;0,"⚠ DIFFÉRENTE","OK"))</f>
        <v>OK</v>
      </c>
      <c r="F607" s="147" t="n">
        <v>11.94</v>
      </c>
      <c r="G607" s="80"/>
      <c r="H607" s="83"/>
      <c r="I607" s="148" t="str">
        <f aca="false">IF(B607="","",IFERROR(INDEX('CARNET DE SOUDURE'!$B$7:$B$3006,MATCH(B607,'CARNET DE SOUDURE'!$L$7:$L$3006,0)),IFERROR(INDEX('CARNET DE SOUDURE'!$B$7:$B$3006,MATCH(B607,'CARNET DE SOUDURE'!$O$7:$O$3006,0)),"")))</f>
        <v>MFD-ISW → MFD-CPF</v>
      </c>
      <c r="J607" s="82" t="str">
        <f aca="false">IF(B607="","",IFERROR(INDEX('CARNET DE SOUDURE'!$E$7:$E$3006,MATCH(B607,'CARNET DE SOUDURE'!$O$7:$O$3006,0)),""))</f>
        <v>DJ°232</v>
      </c>
      <c r="K607" s="82" t="str">
        <f aca="false">IF(B607="","",IFERROR(INDEX('CARNET DE SOUDURE'!$E$7:$E$3006,MATCH(B607,'CARNET DE SOUDURE'!$L$7:$L$3006,0)),""))</f>
        <v>JN°1295</v>
      </c>
      <c r="L607" s="82" t="n">
        <f aca="false">IF(B607="","",IFERROR(INDEX('CARNET DE SOUDURE'!$D$7:$D$3006,MATCH(B607,'CARNET DE SOUDURE'!$L$7:$L$3006,0)),IFERROR(INDEX('CARNET DE SOUDURE'!$D$7:$D$3006,MATCH(B607,'CARNET DE SOUDURE'!$O$7:$O$3006,0)),"")))</f>
        <v>13</v>
      </c>
      <c r="M607" s="82" t="str">
        <f aca="false">IF(B607="","",IF(OR(J607&lt;&gt;"",K607&lt;&gt;""),"POSÉ EN LIGNE",IF(COUNTIF(BARDAGE!$C$1:$C$5000,B607)&gt;0,"BARDÉ","EN STOCK")))</f>
        <v>POSÉ EN LIGNE</v>
      </c>
      <c r="N607" s="80"/>
    </row>
    <row r="608" customFormat="false" ht="15" hidden="false" customHeight="false" outlineLevel="0" collapsed="false">
      <c r="A608" s="82" t="n">
        <f aca="false">IF(B608="","",ROW()-6)</f>
        <v>602</v>
      </c>
      <c r="B608" s="145" t="n">
        <v>2087170</v>
      </c>
      <c r="C608" s="146" t="n">
        <v>15421107</v>
      </c>
      <c r="D608" s="146"/>
      <c r="E608" s="82" t="str">
        <f aca="false">IF(B608="","",IF(COUNTIFS('CARNET DE SOUDURE'!$L$7:$L$3006,B608,'CARNET DE SOUDURE'!$M$7:$M$3006,"&lt;&gt;"&amp;C608,'CARNET DE SOUDURE'!$M$7:$M$3006,"&lt;&gt;")+COUNTIFS('CARNET DE SOUDURE'!$O$7:$O$3006,B608,'CARNET DE SOUDURE'!$P$7:$P$3006,"&lt;&gt;"&amp;C608,'CARNET DE SOUDURE'!$P$7:$P$3006,"&lt;&gt;")&gt;0,"⚠ DIFFÉRENTE","OK"))</f>
        <v>OK</v>
      </c>
      <c r="F608" s="147" t="n">
        <v>11.94</v>
      </c>
      <c r="G608" s="80"/>
      <c r="H608" s="83"/>
      <c r="I608" s="148" t="str">
        <f aca="false">IF(B608="","",IFERROR(INDEX('CARNET DE SOUDURE'!$B$7:$B$3006,MATCH(B608,'CARNET DE SOUDURE'!$L$7:$L$3006,0)),IFERROR(INDEX('CARNET DE SOUDURE'!$B$7:$B$3006,MATCH(B608,'CARNET DE SOUDURE'!$O$7:$O$3006,0)),"")))</f>
        <v>MFD-ISW → MFD-CPF</v>
      </c>
      <c r="J608" s="82" t="str">
        <f aca="false">IF(B608="","",IFERROR(INDEX('CARNET DE SOUDURE'!$E$7:$E$3006,MATCH(B608,'CARNET DE SOUDURE'!$O$7:$O$3006,0)),""))</f>
        <v>JN°1295</v>
      </c>
      <c r="K608" s="82" t="str">
        <f aca="false">IF(B608="","",IFERROR(INDEX('CARNET DE SOUDURE'!$E$7:$E$3006,MATCH(B608,'CARNET DE SOUDURE'!$L$7:$L$3006,0)),""))</f>
        <v>DJ°233</v>
      </c>
      <c r="L608" s="82" t="n">
        <f aca="false">IF(B608="","",IFERROR(INDEX('CARNET DE SOUDURE'!$D$7:$D$3006,MATCH(B608,'CARNET DE SOUDURE'!$L$7:$L$3006,0)),IFERROR(INDEX('CARNET DE SOUDURE'!$D$7:$D$3006,MATCH(B608,'CARNET DE SOUDURE'!$O$7:$O$3006,0)),"")))</f>
        <v>13</v>
      </c>
      <c r="M608" s="82" t="str">
        <f aca="false">IF(B608="","",IF(OR(J608&lt;&gt;"",K608&lt;&gt;""),"POSÉ EN LIGNE",IF(COUNTIF(BARDAGE!$C$1:$C$5000,B608)&gt;0,"BARDÉ","EN STOCK")))</f>
        <v>POSÉ EN LIGNE</v>
      </c>
      <c r="N608" s="80"/>
    </row>
    <row r="609" customFormat="false" ht="15" hidden="false" customHeight="false" outlineLevel="0" collapsed="false">
      <c r="A609" s="82" t="n">
        <f aca="false">IF(B609="","",ROW()-6)</f>
        <v>603</v>
      </c>
      <c r="B609" s="145" t="n">
        <v>2079390</v>
      </c>
      <c r="C609" s="146" t="n">
        <v>15421102</v>
      </c>
      <c r="D609" s="146"/>
      <c r="E609" s="82" t="str">
        <f aca="false">IF(B609="","",IF(COUNTIFS('CARNET DE SOUDURE'!$L$7:$L$3006,B609,'CARNET DE SOUDURE'!$M$7:$M$3006,"&lt;&gt;"&amp;C609,'CARNET DE SOUDURE'!$M$7:$M$3006,"&lt;&gt;")+COUNTIFS('CARNET DE SOUDURE'!$O$7:$O$3006,B609,'CARNET DE SOUDURE'!$P$7:$P$3006,"&lt;&gt;"&amp;C609,'CARNET DE SOUDURE'!$P$7:$P$3006,"&lt;&gt;")&gt;0,"⚠ DIFFÉRENTE","OK"))</f>
        <v>OK</v>
      </c>
      <c r="F609" s="147" t="n">
        <v>11.94</v>
      </c>
      <c r="G609" s="80"/>
      <c r="H609" s="83"/>
      <c r="I609" s="148" t="str">
        <f aca="false">IF(B609="","",IFERROR(INDEX('CARNET DE SOUDURE'!$B$7:$B$3006,MATCH(B609,'CARNET DE SOUDURE'!$L$7:$L$3006,0)),IFERROR(INDEX('CARNET DE SOUDURE'!$B$7:$B$3006,MATCH(B609,'CARNET DE SOUDURE'!$O$7:$O$3006,0)),"")))</f>
        <v>MFD-ISW → MFD-CPF</v>
      </c>
      <c r="J609" s="82" t="str">
        <f aca="false">IF(B609="","",IFERROR(INDEX('CARNET DE SOUDURE'!$E$7:$E$3006,MATCH(B609,'CARNET DE SOUDURE'!$O$7:$O$3006,0)),""))</f>
        <v>DJ°233</v>
      </c>
      <c r="K609" s="82" t="str">
        <f aca="false">IF(B609="","",IFERROR(INDEX('CARNET DE SOUDURE'!$E$7:$E$3006,MATCH(B609,'CARNET DE SOUDURE'!$L$7:$L$3006,0)),""))</f>
        <v>JN°1296</v>
      </c>
      <c r="L609" s="82" t="n">
        <f aca="false">IF(B609="","",IFERROR(INDEX('CARNET DE SOUDURE'!$D$7:$D$3006,MATCH(B609,'CARNET DE SOUDURE'!$L$7:$L$3006,0)),IFERROR(INDEX('CARNET DE SOUDURE'!$D$7:$D$3006,MATCH(B609,'CARNET DE SOUDURE'!$O$7:$O$3006,0)),"")))</f>
        <v>13</v>
      </c>
      <c r="M609" s="82" t="str">
        <f aca="false">IF(B609="","",IF(OR(J609&lt;&gt;"",K609&lt;&gt;""),"POSÉ EN LIGNE",IF(COUNTIF(BARDAGE!$C$1:$C$5000,B609)&gt;0,"BARDÉ","EN STOCK")))</f>
        <v>POSÉ EN LIGNE</v>
      </c>
      <c r="N609" s="80"/>
    </row>
    <row r="610" customFormat="false" ht="15" hidden="false" customHeight="false" outlineLevel="0" collapsed="false">
      <c r="A610" s="82" t="n">
        <f aca="false">IF(B610="","",ROW()-6)</f>
        <v>604</v>
      </c>
      <c r="B610" s="145" t="n">
        <v>2095420</v>
      </c>
      <c r="C610" s="146" t="n">
        <v>15421111</v>
      </c>
      <c r="D610" s="146"/>
      <c r="E610" s="82" t="str">
        <f aca="false">IF(B610="","",IF(COUNTIFS('CARNET DE SOUDURE'!$L$7:$L$3006,B610,'CARNET DE SOUDURE'!$M$7:$M$3006,"&lt;&gt;"&amp;C610,'CARNET DE SOUDURE'!$M$7:$M$3006,"&lt;&gt;")+COUNTIFS('CARNET DE SOUDURE'!$O$7:$O$3006,B610,'CARNET DE SOUDURE'!$P$7:$P$3006,"&lt;&gt;"&amp;C610,'CARNET DE SOUDURE'!$P$7:$P$3006,"&lt;&gt;")&gt;0,"⚠ DIFFÉRENTE","OK"))</f>
        <v>OK</v>
      </c>
      <c r="F610" s="147" t="n">
        <v>11.94</v>
      </c>
      <c r="G610" s="80"/>
      <c r="H610" s="83"/>
      <c r="I610" s="148" t="str">
        <f aca="false">IF(B610="","",IFERROR(INDEX('CARNET DE SOUDURE'!$B$7:$B$3006,MATCH(B610,'CARNET DE SOUDURE'!$L$7:$L$3006,0)),IFERROR(INDEX('CARNET DE SOUDURE'!$B$7:$B$3006,MATCH(B610,'CARNET DE SOUDURE'!$O$7:$O$3006,0)),"")))</f>
        <v>MFD-ISW → MFD-CPF</v>
      </c>
      <c r="J610" s="82" t="str">
        <f aca="false">IF(B610="","",IFERROR(INDEX('CARNET DE SOUDURE'!$E$7:$E$3006,MATCH(B610,'CARNET DE SOUDURE'!$O$7:$O$3006,0)),""))</f>
        <v>JN°1296</v>
      </c>
      <c r="K610" s="82" t="str">
        <f aca="false">IF(B610="","",IFERROR(INDEX('CARNET DE SOUDURE'!$E$7:$E$3006,MATCH(B610,'CARNET DE SOUDURE'!$L$7:$L$3006,0)),""))</f>
        <v>DJ°234</v>
      </c>
      <c r="L610" s="82" t="n">
        <f aca="false">IF(B610="","",IFERROR(INDEX('CARNET DE SOUDURE'!$D$7:$D$3006,MATCH(B610,'CARNET DE SOUDURE'!$L$7:$L$3006,0)),IFERROR(INDEX('CARNET DE SOUDURE'!$D$7:$D$3006,MATCH(B610,'CARNET DE SOUDURE'!$O$7:$O$3006,0)),"")))</f>
        <v>13</v>
      </c>
      <c r="M610" s="82" t="str">
        <f aca="false">IF(B610="","",IF(OR(J610&lt;&gt;"",K610&lt;&gt;""),"POSÉ EN LIGNE",IF(COUNTIF(BARDAGE!$C$1:$C$5000,B610)&gt;0,"BARDÉ","EN STOCK")))</f>
        <v>POSÉ EN LIGNE</v>
      </c>
      <c r="N610" s="80"/>
    </row>
    <row r="611" customFormat="false" ht="15" hidden="false" customHeight="false" outlineLevel="0" collapsed="false">
      <c r="A611" s="82" t="n">
        <f aca="false">IF(B611="","",ROW()-6)</f>
        <v>605</v>
      </c>
      <c r="B611" s="145" t="n">
        <v>2081510</v>
      </c>
      <c r="C611" s="146" t="n">
        <v>15421105</v>
      </c>
      <c r="D611" s="146"/>
      <c r="E611" s="82" t="str">
        <f aca="false">IF(B611="","",IF(COUNTIFS('CARNET DE SOUDURE'!$L$7:$L$3006,B611,'CARNET DE SOUDURE'!$M$7:$M$3006,"&lt;&gt;"&amp;C611,'CARNET DE SOUDURE'!$M$7:$M$3006,"&lt;&gt;")+COUNTIFS('CARNET DE SOUDURE'!$O$7:$O$3006,B611,'CARNET DE SOUDURE'!$P$7:$P$3006,"&lt;&gt;"&amp;C611,'CARNET DE SOUDURE'!$P$7:$P$3006,"&lt;&gt;")&gt;0,"⚠ DIFFÉRENTE","OK"))</f>
        <v>OK</v>
      </c>
      <c r="F611" s="147" t="n">
        <v>11.94</v>
      </c>
      <c r="G611" s="80"/>
      <c r="H611" s="83"/>
      <c r="I611" s="148" t="str">
        <f aca="false">IF(B611="","",IFERROR(INDEX('CARNET DE SOUDURE'!$B$7:$B$3006,MATCH(B611,'CARNET DE SOUDURE'!$L$7:$L$3006,0)),IFERROR(INDEX('CARNET DE SOUDURE'!$B$7:$B$3006,MATCH(B611,'CARNET DE SOUDURE'!$O$7:$O$3006,0)),"")))</f>
        <v>MFD-ISW → MFD-CPF</v>
      </c>
      <c r="J611" s="82" t="str">
        <f aca="false">IF(B611="","",IFERROR(INDEX('CARNET DE SOUDURE'!$E$7:$E$3006,MATCH(B611,'CARNET DE SOUDURE'!$O$7:$O$3006,0)),""))</f>
        <v>DJ°234</v>
      </c>
      <c r="K611" s="82" t="str">
        <f aca="false">IF(B611="","",IFERROR(INDEX('CARNET DE SOUDURE'!$E$7:$E$3006,MATCH(B611,'CARNET DE SOUDURE'!$L$7:$L$3006,0)),""))</f>
        <v>JN°1297R</v>
      </c>
      <c r="L611" s="82" t="n">
        <f aca="false">IF(B611="","",IFERROR(INDEX('CARNET DE SOUDURE'!$D$7:$D$3006,MATCH(B611,'CARNET DE SOUDURE'!$L$7:$L$3006,0)),IFERROR(INDEX('CARNET DE SOUDURE'!$D$7:$D$3006,MATCH(B611,'CARNET DE SOUDURE'!$O$7:$O$3006,0)),"")))</f>
        <v>13</v>
      </c>
      <c r="M611" s="82" t="str">
        <f aca="false">IF(B611="","",IF(OR(J611&lt;&gt;"",K611&lt;&gt;""),"POSÉ EN LIGNE",IF(COUNTIF(BARDAGE!$C$1:$C$5000,B611)&gt;0,"BARDÉ","EN STOCK")))</f>
        <v>POSÉ EN LIGNE</v>
      </c>
      <c r="N611" s="80"/>
    </row>
    <row r="612" customFormat="false" ht="15" hidden="false" customHeight="false" outlineLevel="0" collapsed="false">
      <c r="A612" s="82" t="n">
        <f aca="false">IF(B612="","",ROW()-6)</f>
        <v>606</v>
      </c>
      <c r="B612" s="145" t="n">
        <v>2082220</v>
      </c>
      <c r="C612" s="146" t="n">
        <v>15421104</v>
      </c>
      <c r="D612" s="146"/>
      <c r="E612" s="82" t="str">
        <f aca="false">IF(B612="","",IF(COUNTIFS('CARNET DE SOUDURE'!$L$7:$L$3006,B612,'CARNET DE SOUDURE'!$M$7:$M$3006,"&lt;&gt;"&amp;C612,'CARNET DE SOUDURE'!$M$7:$M$3006,"&lt;&gt;")+COUNTIFS('CARNET DE SOUDURE'!$O$7:$O$3006,B612,'CARNET DE SOUDURE'!$P$7:$P$3006,"&lt;&gt;"&amp;C612,'CARNET DE SOUDURE'!$P$7:$P$3006,"&lt;&gt;")&gt;0,"⚠ DIFFÉRENTE","OK"))</f>
        <v>OK</v>
      </c>
      <c r="F612" s="147" t="n">
        <v>11.94</v>
      </c>
      <c r="G612" s="80"/>
      <c r="H612" s="83"/>
      <c r="I612" s="148" t="str">
        <f aca="false">IF(B612="","",IFERROR(INDEX('CARNET DE SOUDURE'!$B$7:$B$3006,MATCH(B612,'CARNET DE SOUDURE'!$L$7:$L$3006,0)),IFERROR(INDEX('CARNET DE SOUDURE'!$B$7:$B$3006,MATCH(B612,'CARNET DE SOUDURE'!$O$7:$O$3006,0)),"")))</f>
        <v>MFD-ISW → MFD-CPF</v>
      </c>
      <c r="J612" s="82" t="str">
        <f aca="false">IF(B612="","",IFERROR(INDEX('CARNET DE SOUDURE'!$E$7:$E$3006,MATCH(B612,'CARNET DE SOUDURE'!$O$7:$O$3006,0)),""))</f>
        <v>JN°1297R</v>
      </c>
      <c r="K612" s="82" t="str">
        <f aca="false">IF(B612="","",IFERROR(INDEX('CARNET DE SOUDURE'!$E$7:$E$3006,MATCH(B612,'CARNET DE SOUDURE'!$L$7:$L$3006,0)),""))</f>
        <v>DJ°230</v>
      </c>
      <c r="L612" s="82" t="n">
        <f aca="false">IF(B612="","",IFERROR(INDEX('CARNET DE SOUDURE'!$D$7:$D$3006,MATCH(B612,'CARNET DE SOUDURE'!$L$7:$L$3006,0)),IFERROR(INDEX('CARNET DE SOUDURE'!$D$7:$D$3006,MATCH(B612,'CARNET DE SOUDURE'!$O$7:$O$3006,0)),"")))</f>
        <v>13</v>
      </c>
      <c r="M612" s="82" t="str">
        <f aca="false">IF(B612="","",IF(OR(J612&lt;&gt;"",K612&lt;&gt;""),"POSÉ EN LIGNE",IF(COUNTIF(BARDAGE!$C$1:$C$5000,B612)&gt;0,"BARDÉ","EN STOCK")))</f>
        <v>POSÉ EN LIGNE</v>
      </c>
      <c r="N612" s="80"/>
    </row>
    <row r="613" customFormat="false" ht="15" hidden="false" customHeight="false" outlineLevel="0" collapsed="false">
      <c r="A613" s="82" t="n">
        <f aca="false">IF(B613="","",ROW()-6)</f>
        <v>607</v>
      </c>
      <c r="B613" s="145" t="n">
        <v>2081620</v>
      </c>
      <c r="C613" s="146" t="n">
        <v>15421109</v>
      </c>
      <c r="D613" s="146"/>
      <c r="E613" s="82" t="str">
        <f aca="false">IF(B613="","",IF(COUNTIFS('CARNET DE SOUDURE'!$L$7:$L$3006,B613,'CARNET DE SOUDURE'!$M$7:$M$3006,"&lt;&gt;"&amp;C613,'CARNET DE SOUDURE'!$M$7:$M$3006,"&lt;&gt;")+COUNTIFS('CARNET DE SOUDURE'!$O$7:$O$3006,B613,'CARNET DE SOUDURE'!$P$7:$P$3006,"&lt;&gt;"&amp;C613,'CARNET DE SOUDURE'!$P$7:$P$3006,"&lt;&gt;")&gt;0,"⚠ DIFFÉRENTE","OK"))</f>
        <v>OK</v>
      </c>
      <c r="F613" s="147" t="n">
        <v>11.94</v>
      </c>
      <c r="G613" s="80"/>
      <c r="H613" s="83"/>
      <c r="I613" s="148" t="str">
        <f aca="false">IF(B613="","",IFERROR(INDEX('CARNET DE SOUDURE'!$B$7:$B$3006,MATCH(B613,'CARNET DE SOUDURE'!$L$7:$L$3006,0)),IFERROR(INDEX('CARNET DE SOUDURE'!$B$7:$B$3006,MATCH(B613,'CARNET DE SOUDURE'!$O$7:$O$3006,0)),"")))</f>
        <v>MFD-ISW → MFD-CPF</v>
      </c>
      <c r="J613" s="82" t="str">
        <f aca="false">IF(B613="","",IFERROR(INDEX('CARNET DE SOUDURE'!$E$7:$E$3006,MATCH(B613,'CARNET DE SOUDURE'!$O$7:$O$3006,0)),""))</f>
        <v>DJ°230</v>
      </c>
      <c r="K613" s="82" t="str">
        <f aca="false">IF(B613="","",IFERROR(INDEX('CARNET DE SOUDURE'!$E$7:$E$3006,MATCH(B613,'CARNET DE SOUDURE'!$L$7:$L$3006,0)),""))</f>
        <v>JN°1298R</v>
      </c>
      <c r="L613" s="82" t="n">
        <f aca="false">IF(B613="","",IFERROR(INDEX('CARNET DE SOUDURE'!$D$7:$D$3006,MATCH(B613,'CARNET DE SOUDURE'!$L$7:$L$3006,0)),IFERROR(INDEX('CARNET DE SOUDURE'!$D$7:$D$3006,MATCH(B613,'CARNET DE SOUDURE'!$O$7:$O$3006,0)),"")))</f>
        <v>13</v>
      </c>
      <c r="M613" s="82" t="str">
        <f aca="false">IF(B613="","",IF(OR(J613&lt;&gt;"",K613&lt;&gt;""),"POSÉ EN LIGNE",IF(COUNTIF(BARDAGE!$C$1:$C$5000,B613)&gt;0,"BARDÉ","EN STOCK")))</f>
        <v>POSÉ EN LIGNE</v>
      </c>
      <c r="N613" s="80"/>
    </row>
    <row r="614" customFormat="false" ht="15" hidden="false" customHeight="false" outlineLevel="0" collapsed="false">
      <c r="A614" s="82" t="n">
        <f aca="false">IF(B614="","",ROW()-6)</f>
        <v>608</v>
      </c>
      <c r="B614" s="145" t="n">
        <v>2095890</v>
      </c>
      <c r="C614" s="146" t="n">
        <v>15421111</v>
      </c>
      <c r="D614" s="146"/>
      <c r="E614" s="82" t="str">
        <f aca="false">IF(B614="","",IF(COUNTIFS('CARNET DE SOUDURE'!$L$7:$L$3006,B614,'CARNET DE SOUDURE'!$M$7:$M$3006,"&lt;&gt;"&amp;C614,'CARNET DE SOUDURE'!$M$7:$M$3006,"&lt;&gt;")+COUNTIFS('CARNET DE SOUDURE'!$O$7:$O$3006,B614,'CARNET DE SOUDURE'!$P$7:$P$3006,"&lt;&gt;"&amp;C614,'CARNET DE SOUDURE'!$P$7:$P$3006,"&lt;&gt;")&gt;0,"⚠ DIFFÉRENTE","OK"))</f>
        <v>OK</v>
      </c>
      <c r="F614" s="147" t="n">
        <v>11.94</v>
      </c>
      <c r="G614" s="80"/>
      <c r="H614" s="83"/>
      <c r="I614" s="148" t="str">
        <f aca="false">IF(B614="","",IFERROR(INDEX('CARNET DE SOUDURE'!$B$7:$B$3006,MATCH(B614,'CARNET DE SOUDURE'!$L$7:$L$3006,0)),IFERROR(INDEX('CARNET DE SOUDURE'!$B$7:$B$3006,MATCH(B614,'CARNET DE SOUDURE'!$O$7:$O$3006,0)),"")))</f>
        <v>MFD-ISW → MFD-CPF</v>
      </c>
      <c r="J614" s="82" t="str">
        <f aca="false">IF(B614="","",IFERROR(INDEX('CARNET DE SOUDURE'!$E$7:$E$3006,MATCH(B614,'CARNET DE SOUDURE'!$O$7:$O$3006,0)),""))</f>
        <v>JN°1298R</v>
      </c>
      <c r="K614" s="82" t="str">
        <f aca="false">IF(B614="","",IFERROR(INDEX('CARNET DE SOUDURE'!$E$7:$E$3006,MATCH(B614,'CARNET DE SOUDURE'!$L$7:$L$3006,0)),""))</f>
        <v>DJ°215</v>
      </c>
      <c r="L614" s="82" t="n">
        <f aca="false">IF(B614="","",IFERROR(INDEX('CARNET DE SOUDURE'!$D$7:$D$3006,MATCH(B614,'CARNET DE SOUDURE'!$L$7:$L$3006,0)),IFERROR(INDEX('CARNET DE SOUDURE'!$D$7:$D$3006,MATCH(B614,'CARNET DE SOUDURE'!$O$7:$O$3006,0)),"")))</f>
        <v>13</v>
      </c>
      <c r="M614" s="82" t="str">
        <f aca="false">IF(B614="","",IF(OR(J614&lt;&gt;"",K614&lt;&gt;""),"POSÉ EN LIGNE",IF(COUNTIF(BARDAGE!$C$1:$C$5000,B614)&gt;0,"BARDÉ","EN STOCK")))</f>
        <v>POSÉ EN LIGNE</v>
      </c>
      <c r="N614" s="80"/>
    </row>
    <row r="615" customFormat="false" ht="15" hidden="false" customHeight="false" outlineLevel="0" collapsed="false">
      <c r="A615" s="82" t="n">
        <f aca="false">IF(B615="","",ROW()-6)</f>
        <v>609</v>
      </c>
      <c r="B615" s="145" t="n">
        <v>2097810</v>
      </c>
      <c r="C615" s="146" t="n">
        <v>15421112</v>
      </c>
      <c r="D615" s="146"/>
      <c r="E615" s="82" t="str">
        <f aca="false">IF(B615="","",IF(COUNTIFS('CARNET DE SOUDURE'!$L$7:$L$3006,B615,'CARNET DE SOUDURE'!$M$7:$M$3006,"&lt;&gt;"&amp;C615,'CARNET DE SOUDURE'!$M$7:$M$3006,"&lt;&gt;")+COUNTIFS('CARNET DE SOUDURE'!$O$7:$O$3006,B615,'CARNET DE SOUDURE'!$P$7:$P$3006,"&lt;&gt;"&amp;C615,'CARNET DE SOUDURE'!$P$7:$P$3006,"&lt;&gt;")&gt;0,"⚠ DIFFÉRENTE","OK"))</f>
        <v>OK</v>
      </c>
      <c r="F615" s="147" t="n">
        <v>11.94</v>
      </c>
      <c r="G615" s="80"/>
      <c r="H615" s="83"/>
      <c r="I615" s="148" t="str">
        <f aca="false">IF(B615="","",IFERROR(INDEX('CARNET DE SOUDURE'!$B$7:$B$3006,MATCH(B615,'CARNET DE SOUDURE'!$L$7:$L$3006,0)),IFERROR(INDEX('CARNET DE SOUDURE'!$B$7:$B$3006,MATCH(B615,'CARNET DE SOUDURE'!$O$7:$O$3006,0)),"")))</f>
        <v>MFD-ISW → MFD-CPF</v>
      </c>
      <c r="J615" s="82" t="str">
        <f aca="false">IF(B615="","",IFERROR(INDEX('CARNET DE SOUDURE'!$E$7:$E$3006,MATCH(B615,'CARNET DE SOUDURE'!$O$7:$O$3006,0)),""))</f>
        <v>DJ°215</v>
      </c>
      <c r="K615" s="82" t="str">
        <f aca="false">IF(B615="","",IFERROR(INDEX('CARNET DE SOUDURE'!$E$7:$E$3006,MATCH(B615,'CARNET DE SOUDURE'!$L$7:$L$3006,0)),""))</f>
        <v>JN°1299</v>
      </c>
      <c r="L615" s="82" t="n">
        <f aca="false">IF(B615="","",IFERROR(INDEX('CARNET DE SOUDURE'!$D$7:$D$3006,MATCH(B615,'CARNET DE SOUDURE'!$L$7:$L$3006,0)),IFERROR(INDEX('CARNET DE SOUDURE'!$D$7:$D$3006,MATCH(B615,'CARNET DE SOUDURE'!$O$7:$O$3006,0)),"")))</f>
        <v>13</v>
      </c>
      <c r="M615" s="82" t="str">
        <f aca="false">IF(B615="","",IF(OR(J615&lt;&gt;"",K615&lt;&gt;""),"POSÉ EN LIGNE",IF(COUNTIF(BARDAGE!$C$1:$C$5000,B615)&gt;0,"BARDÉ","EN STOCK")))</f>
        <v>POSÉ EN LIGNE</v>
      </c>
      <c r="N615" s="80"/>
    </row>
    <row r="616" customFormat="false" ht="15" hidden="false" customHeight="false" outlineLevel="0" collapsed="false">
      <c r="A616" s="82" t="n">
        <f aca="false">IF(B616="","",ROW()-6)</f>
        <v>610</v>
      </c>
      <c r="B616" s="145" t="n">
        <v>2092660</v>
      </c>
      <c r="C616" s="146" t="n">
        <v>15421110</v>
      </c>
      <c r="D616" s="146"/>
      <c r="E616" s="82" t="str">
        <f aca="false">IF(B616="","",IF(COUNTIFS('CARNET DE SOUDURE'!$L$7:$L$3006,B616,'CARNET DE SOUDURE'!$M$7:$M$3006,"&lt;&gt;"&amp;C616,'CARNET DE SOUDURE'!$M$7:$M$3006,"&lt;&gt;")+COUNTIFS('CARNET DE SOUDURE'!$O$7:$O$3006,B616,'CARNET DE SOUDURE'!$P$7:$P$3006,"&lt;&gt;"&amp;C616,'CARNET DE SOUDURE'!$P$7:$P$3006,"&lt;&gt;")&gt;0,"⚠ DIFFÉRENTE","OK"))</f>
        <v>OK</v>
      </c>
      <c r="F616" s="147" t="n">
        <v>11.94</v>
      </c>
      <c r="G616" s="80"/>
      <c r="H616" s="83"/>
      <c r="I616" s="148" t="str">
        <f aca="false">IF(B616="","",IFERROR(INDEX('CARNET DE SOUDURE'!$B$7:$B$3006,MATCH(B616,'CARNET DE SOUDURE'!$L$7:$L$3006,0)),IFERROR(INDEX('CARNET DE SOUDURE'!$B$7:$B$3006,MATCH(B616,'CARNET DE SOUDURE'!$O$7:$O$3006,0)),"")))</f>
        <v>MFD-ISW → MFD-CPF</v>
      </c>
      <c r="J616" s="82" t="str">
        <f aca="false">IF(B616="","",IFERROR(INDEX('CARNET DE SOUDURE'!$E$7:$E$3006,MATCH(B616,'CARNET DE SOUDURE'!$O$7:$O$3006,0)),""))</f>
        <v>JN°1299</v>
      </c>
      <c r="K616" s="82" t="str">
        <f aca="false">IF(B616="","",IFERROR(INDEX('CARNET DE SOUDURE'!$E$7:$E$3006,MATCH(B616,'CARNET DE SOUDURE'!$L$7:$L$3006,0)),""))</f>
        <v>DJ°229</v>
      </c>
      <c r="L616" s="82" t="n">
        <f aca="false">IF(B616="","",IFERROR(INDEX('CARNET DE SOUDURE'!$D$7:$D$3006,MATCH(B616,'CARNET DE SOUDURE'!$L$7:$L$3006,0)),IFERROR(INDEX('CARNET DE SOUDURE'!$D$7:$D$3006,MATCH(B616,'CARNET DE SOUDURE'!$O$7:$O$3006,0)),"")))</f>
        <v>13</v>
      </c>
      <c r="M616" s="82" t="str">
        <f aca="false">IF(B616="","",IF(OR(J616&lt;&gt;"",K616&lt;&gt;""),"POSÉ EN LIGNE",IF(COUNTIF(BARDAGE!$C$1:$C$5000,B616)&gt;0,"BARDÉ","EN STOCK")))</f>
        <v>POSÉ EN LIGNE</v>
      </c>
      <c r="N616" s="80"/>
    </row>
    <row r="617" customFormat="false" ht="15" hidden="false" customHeight="false" outlineLevel="0" collapsed="false">
      <c r="A617" s="82" t="n">
        <f aca="false">IF(B617="","",ROW()-6)</f>
        <v>611</v>
      </c>
      <c r="B617" s="145" t="n">
        <v>2090110</v>
      </c>
      <c r="C617" s="146" t="n">
        <v>15421109</v>
      </c>
      <c r="D617" s="146"/>
      <c r="E617" s="82" t="str">
        <f aca="false">IF(B617="","",IF(COUNTIFS('CARNET DE SOUDURE'!$L$7:$L$3006,B617,'CARNET DE SOUDURE'!$M$7:$M$3006,"&lt;&gt;"&amp;C617,'CARNET DE SOUDURE'!$M$7:$M$3006,"&lt;&gt;")+COUNTIFS('CARNET DE SOUDURE'!$O$7:$O$3006,B617,'CARNET DE SOUDURE'!$P$7:$P$3006,"&lt;&gt;"&amp;C617,'CARNET DE SOUDURE'!$P$7:$P$3006,"&lt;&gt;")&gt;0,"⚠ DIFFÉRENTE","OK"))</f>
        <v>OK</v>
      </c>
      <c r="F617" s="147" t="n">
        <v>11.94</v>
      </c>
      <c r="G617" s="80"/>
      <c r="H617" s="83"/>
      <c r="I617" s="148" t="str">
        <f aca="false">IF(B617="","",IFERROR(INDEX('CARNET DE SOUDURE'!$B$7:$B$3006,MATCH(B617,'CARNET DE SOUDURE'!$L$7:$L$3006,0)),IFERROR(INDEX('CARNET DE SOUDURE'!$B$7:$B$3006,MATCH(B617,'CARNET DE SOUDURE'!$O$7:$O$3006,0)),"")))</f>
        <v>MFD-ISW → MFD-CPF</v>
      </c>
      <c r="J617" s="82" t="str">
        <f aca="false">IF(B617="","",IFERROR(INDEX('CARNET DE SOUDURE'!$E$7:$E$3006,MATCH(B617,'CARNET DE SOUDURE'!$O$7:$O$3006,0)),""))</f>
        <v>DJ°229</v>
      </c>
      <c r="K617" s="82" t="str">
        <f aca="false">IF(B617="","",IFERROR(INDEX('CARNET DE SOUDURE'!$E$7:$E$3006,MATCH(B617,'CARNET DE SOUDURE'!$L$7:$L$3006,0)),""))</f>
        <v>JN°1300</v>
      </c>
      <c r="L617" s="82" t="n">
        <f aca="false">IF(B617="","",IFERROR(INDEX('CARNET DE SOUDURE'!$D$7:$D$3006,MATCH(B617,'CARNET DE SOUDURE'!$L$7:$L$3006,0)),IFERROR(INDEX('CARNET DE SOUDURE'!$D$7:$D$3006,MATCH(B617,'CARNET DE SOUDURE'!$O$7:$O$3006,0)),"")))</f>
        <v>13</v>
      </c>
      <c r="M617" s="82" t="str">
        <f aca="false">IF(B617="","",IF(OR(J617&lt;&gt;"",K617&lt;&gt;""),"POSÉ EN LIGNE",IF(COUNTIF(BARDAGE!$C$1:$C$5000,B617)&gt;0,"BARDÉ","EN STOCK")))</f>
        <v>POSÉ EN LIGNE</v>
      </c>
      <c r="N617" s="80"/>
    </row>
    <row r="618" customFormat="false" ht="15" hidden="false" customHeight="false" outlineLevel="0" collapsed="false">
      <c r="A618" s="82" t="n">
        <f aca="false">IF(B618="","",ROW()-6)</f>
        <v>612</v>
      </c>
      <c r="B618" s="145" t="n">
        <v>2095750</v>
      </c>
      <c r="C618" s="146" t="n">
        <v>15421111</v>
      </c>
      <c r="D618" s="146"/>
      <c r="E618" s="82" t="str">
        <f aca="false">IF(B618="","",IF(COUNTIFS('CARNET DE SOUDURE'!$L$7:$L$3006,B618,'CARNET DE SOUDURE'!$M$7:$M$3006,"&lt;&gt;"&amp;C618,'CARNET DE SOUDURE'!$M$7:$M$3006,"&lt;&gt;")+COUNTIFS('CARNET DE SOUDURE'!$O$7:$O$3006,B618,'CARNET DE SOUDURE'!$P$7:$P$3006,"&lt;&gt;"&amp;C618,'CARNET DE SOUDURE'!$P$7:$P$3006,"&lt;&gt;")&gt;0,"⚠ DIFFÉRENTE","OK"))</f>
        <v>OK</v>
      </c>
      <c r="F618" s="147" t="n">
        <v>11.94</v>
      </c>
      <c r="G618" s="80"/>
      <c r="H618" s="83"/>
      <c r="I618" s="148" t="str">
        <f aca="false">IF(B618="","",IFERROR(INDEX('CARNET DE SOUDURE'!$B$7:$B$3006,MATCH(B618,'CARNET DE SOUDURE'!$L$7:$L$3006,0)),IFERROR(INDEX('CARNET DE SOUDURE'!$B$7:$B$3006,MATCH(B618,'CARNET DE SOUDURE'!$O$7:$O$3006,0)),"")))</f>
        <v>MFD-ISW → MFD-CPF</v>
      </c>
      <c r="J618" s="82" t="str">
        <f aca="false">IF(B618="","",IFERROR(INDEX('CARNET DE SOUDURE'!$E$7:$E$3006,MATCH(B618,'CARNET DE SOUDURE'!$O$7:$O$3006,0)),""))</f>
        <v>JN°1302</v>
      </c>
      <c r="K618" s="82" t="str">
        <f aca="false">IF(B618="","",IFERROR(INDEX('CARNET DE SOUDURE'!$E$7:$E$3006,MATCH(B618,'CARNET DE SOUDURE'!$L$7:$L$3006,0)),""))</f>
        <v>DJ°213</v>
      </c>
      <c r="L618" s="82" t="n">
        <f aca="false">IF(B618="","",IFERROR(INDEX('CARNET DE SOUDURE'!$D$7:$D$3006,MATCH(B618,'CARNET DE SOUDURE'!$L$7:$L$3006,0)),IFERROR(INDEX('CARNET DE SOUDURE'!$D$7:$D$3006,MATCH(B618,'CARNET DE SOUDURE'!$O$7:$O$3006,0)),"")))</f>
        <v>13</v>
      </c>
      <c r="M618" s="82" t="str">
        <f aca="false">IF(B618="","",IF(OR(J618&lt;&gt;"",K618&lt;&gt;""),"POSÉ EN LIGNE",IF(COUNTIF(BARDAGE!$C$1:$C$5000,B618)&gt;0,"BARDÉ","EN STOCK")))</f>
        <v>POSÉ EN LIGNE</v>
      </c>
      <c r="N618" s="80"/>
    </row>
    <row r="619" customFormat="false" ht="15" hidden="false" customHeight="false" outlineLevel="0" collapsed="false">
      <c r="A619" s="82" t="n">
        <f aca="false">IF(B619="","",ROW()-6)</f>
        <v>613</v>
      </c>
      <c r="B619" s="145" t="n">
        <v>2094580</v>
      </c>
      <c r="C619" s="146" t="n">
        <v>15421111</v>
      </c>
      <c r="D619" s="146"/>
      <c r="E619" s="82" t="str">
        <f aca="false">IF(B619="","",IF(COUNTIFS('CARNET DE SOUDURE'!$L$7:$L$3006,B619,'CARNET DE SOUDURE'!$M$7:$M$3006,"&lt;&gt;"&amp;C619,'CARNET DE SOUDURE'!$M$7:$M$3006,"&lt;&gt;")+COUNTIFS('CARNET DE SOUDURE'!$O$7:$O$3006,B619,'CARNET DE SOUDURE'!$P$7:$P$3006,"&lt;&gt;"&amp;C619,'CARNET DE SOUDURE'!$P$7:$P$3006,"&lt;&gt;")&gt;0,"⚠ DIFFÉRENTE","OK"))</f>
        <v>OK</v>
      </c>
      <c r="F619" s="147" t="n">
        <v>11.94</v>
      </c>
      <c r="G619" s="80"/>
      <c r="H619" s="83"/>
      <c r="I619" s="148" t="str">
        <f aca="false">IF(B619="","",IFERROR(INDEX('CARNET DE SOUDURE'!$B$7:$B$3006,MATCH(B619,'CARNET DE SOUDURE'!$L$7:$L$3006,0)),IFERROR(INDEX('CARNET DE SOUDURE'!$B$7:$B$3006,MATCH(B619,'CARNET DE SOUDURE'!$O$7:$O$3006,0)),"")))</f>
        <v>MFD-ISW → MFD-CPF</v>
      </c>
      <c r="J619" s="82" t="str">
        <f aca="false">IF(B619="","",IFERROR(INDEX('CARNET DE SOUDURE'!$E$7:$E$3006,MATCH(B619,'CARNET DE SOUDURE'!$O$7:$O$3006,0)),""))</f>
        <v>DJ°213</v>
      </c>
      <c r="K619" s="82" t="str">
        <f aca="false">IF(B619="","",IFERROR(INDEX('CARNET DE SOUDURE'!$E$7:$E$3006,MATCH(B619,'CARNET DE SOUDURE'!$L$7:$L$3006,0)),""))</f>
        <v>JN°1303</v>
      </c>
      <c r="L619" s="82" t="n">
        <f aca="false">IF(B619="","",IFERROR(INDEX('CARNET DE SOUDURE'!$D$7:$D$3006,MATCH(B619,'CARNET DE SOUDURE'!$L$7:$L$3006,0)),IFERROR(INDEX('CARNET DE SOUDURE'!$D$7:$D$3006,MATCH(B619,'CARNET DE SOUDURE'!$O$7:$O$3006,0)),"")))</f>
        <v>13</v>
      </c>
      <c r="M619" s="82" t="str">
        <f aca="false">IF(B619="","",IF(OR(J619&lt;&gt;"",K619&lt;&gt;""),"POSÉ EN LIGNE",IF(COUNTIF(BARDAGE!$C$1:$C$5000,B619)&gt;0,"BARDÉ","EN STOCK")))</f>
        <v>POSÉ EN LIGNE</v>
      </c>
      <c r="N619" s="80"/>
    </row>
    <row r="620" customFormat="false" ht="15" hidden="false" customHeight="false" outlineLevel="0" collapsed="false">
      <c r="A620" s="82" t="n">
        <f aca="false">IF(B620="","",ROW()-6)</f>
        <v>614</v>
      </c>
      <c r="B620" s="145" t="n">
        <v>2087320</v>
      </c>
      <c r="C620" s="146" t="n">
        <v>15421107</v>
      </c>
      <c r="D620" s="146"/>
      <c r="E620" s="82" t="str">
        <f aca="false">IF(B620="","",IF(COUNTIFS('CARNET DE SOUDURE'!$L$7:$L$3006,B620,'CARNET DE SOUDURE'!$M$7:$M$3006,"&lt;&gt;"&amp;C620,'CARNET DE SOUDURE'!$M$7:$M$3006,"&lt;&gt;")+COUNTIFS('CARNET DE SOUDURE'!$O$7:$O$3006,B620,'CARNET DE SOUDURE'!$P$7:$P$3006,"&lt;&gt;"&amp;C620,'CARNET DE SOUDURE'!$P$7:$P$3006,"&lt;&gt;")&gt;0,"⚠ DIFFÉRENTE","OK"))</f>
        <v>OK</v>
      </c>
      <c r="F620" s="147" t="n">
        <v>11.94</v>
      </c>
      <c r="G620" s="80"/>
      <c r="H620" s="83"/>
      <c r="I620" s="148" t="str">
        <f aca="false">IF(B620="","",IFERROR(INDEX('CARNET DE SOUDURE'!$B$7:$B$3006,MATCH(B620,'CARNET DE SOUDURE'!$L$7:$L$3006,0)),IFERROR(INDEX('CARNET DE SOUDURE'!$B$7:$B$3006,MATCH(B620,'CARNET DE SOUDURE'!$O$7:$O$3006,0)),"")))</f>
        <v>MFD-ISW → MFD-CPF</v>
      </c>
      <c r="J620" s="82" t="str">
        <f aca="false">IF(B620="","",IFERROR(INDEX('CARNET DE SOUDURE'!$E$7:$E$3006,MATCH(B620,'CARNET DE SOUDURE'!$O$7:$O$3006,0)),""))</f>
        <v>JN°1303</v>
      </c>
      <c r="K620" s="82" t="str">
        <f aca="false">IF(B620="","",IFERROR(INDEX('CARNET DE SOUDURE'!$E$7:$E$3006,MATCH(B620,'CARNET DE SOUDURE'!$L$7:$L$3006,0)),""))</f>
        <v>DJ°187</v>
      </c>
      <c r="L620" s="82" t="n">
        <f aca="false">IF(B620="","",IFERROR(INDEX('CARNET DE SOUDURE'!$D$7:$D$3006,MATCH(B620,'CARNET DE SOUDURE'!$L$7:$L$3006,0)),IFERROR(INDEX('CARNET DE SOUDURE'!$D$7:$D$3006,MATCH(B620,'CARNET DE SOUDURE'!$O$7:$O$3006,0)),"")))</f>
        <v>13</v>
      </c>
      <c r="M620" s="82" t="str">
        <f aca="false">IF(B620="","",IF(OR(J620&lt;&gt;"",K620&lt;&gt;""),"POSÉ EN LIGNE",IF(COUNTIF(BARDAGE!$C$1:$C$5000,B620)&gt;0,"BARDÉ","EN STOCK")))</f>
        <v>POSÉ EN LIGNE</v>
      </c>
      <c r="N620" s="80"/>
    </row>
    <row r="621" customFormat="false" ht="15" hidden="false" customHeight="false" outlineLevel="0" collapsed="false">
      <c r="A621" s="82" t="n">
        <f aca="false">IF(B621="","",ROW()-6)</f>
        <v>615</v>
      </c>
      <c r="B621" s="145" t="n">
        <v>2082670</v>
      </c>
      <c r="C621" s="146" t="n">
        <v>15421104</v>
      </c>
      <c r="D621" s="146"/>
      <c r="E621" s="82" t="str">
        <f aca="false">IF(B621="","",IF(COUNTIFS('CARNET DE SOUDURE'!$L$7:$L$3006,B621,'CARNET DE SOUDURE'!$M$7:$M$3006,"&lt;&gt;"&amp;C621,'CARNET DE SOUDURE'!$M$7:$M$3006,"&lt;&gt;")+COUNTIFS('CARNET DE SOUDURE'!$O$7:$O$3006,B621,'CARNET DE SOUDURE'!$P$7:$P$3006,"&lt;&gt;"&amp;C621,'CARNET DE SOUDURE'!$P$7:$P$3006,"&lt;&gt;")&gt;0,"⚠ DIFFÉRENTE","OK"))</f>
        <v>OK</v>
      </c>
      <c r="F621" s="147" t="n">
        <v>11.94</v>
      </c>
      <c r="G621" s="80"/>
      <c r="H621" s="83"/>
      <c r="I621" s="148" t="str">
        <f aca="false">IF(B621="","",IFERROR(INDEX('CARNET DE SOUDURE'!$B$7:$B$3006,MATCH(B621,'CARNET DE SOUDURE'!$L$7:$L$3006,0)),IFERROR(INDEX('CARNET DE SOUDURE'!$B$7:$B$3006,MATCH(B621,'CARNET DE SOUDURE'!$O$7:$O$3006,0)),"")))</f>
        <v>MFD-ISW → MFD-CPF</v>
      </c>
      <c r="J621" s="82" t="str">
        <f aca="false">IF(B621="","",IFERROR(INDEX('CARNET DE SOUDURE'!$E$7:$E$3006,MATCH(B621,'CARNET DE SOUDURE'!$O$7:$O$3006,0)),""))</f>
        <v>DJ°187</v>
      </c>
      <c r="K621" s="82" t="str">
        <f aca="false">IF(B621="","",IFERROR(INDEX('CARNET DE SOUDURE'!$E$7:$E$3006,MATCH(B621,'CARNET DE SOUDURE'!$L$7:$L$3006,0)),""))</f>
        <v>JN°1304</v>
      </c>
      <c r="L621" s="82" t="n">
        <f aca="false">IF(B621="","",IFERROR(INDEX('CARNET DE SOUDURE'!$D$7:$D$3006,MATCH(B621,'CARNET DE SOUDURE'!$L$7:$L$3006,0)),IFERROR(INDEX('CARNET DE SOUDURE'!$D$7:$D$3006,MATCH(B621,'CARNET DE SOUDURE'!$O$7:$O$3006,0)),"")))</f>
        <v>13</v>
      </c>
      <c r="M621" s="82" t="str">
        <f aca="false">IF(B621="","",IF(OR(J621&lt;&gt;"",K621&lt;&gt;""),"POSÉ EN LIGNE",IF(COUNTIF(BARDAGE!$C$1:$C$5000,B621)&gt;0,"BARDÉ","EN STOCK")))</f>
        <v>POSÉ EN LIGNE</v>
      </c>
      <c r="N621" s="80"/>
    </row>
    <row r="622" customFormat="false" ht="15" hidden="false" customHeight="false" outlineLevel="0" collapsed="false">
      <c r="A622" s="82" t="n">
        <f aca="false">IF(B622="","",ROW()-6)</f>
        <v>616</v>
      </c>
      <c r="B622" s="145" t="n">
        <v>2091870</v>
      </c>
      <c r="C622" s="146" t="n">
        <v>15421112</v>
      </c>
      <c r="D622" s="146"/>
      <c r="E622" s="82" t="str">
        <f aca="false">IF(B622="","",IF(COUNTIFS('CARNET DE SOUDURE'!$L$7:$L$3006,B622,'CARNET DE SOUDURE'!$M$7:$M$3006,"&lt;&gt;"&amp;C622,'CARNET DE SOUDURE'!$M$7:$M$3006,"&lt;&gt;")+COUNTIFS('CARNET DE SOUDURE'!$O$7:$O$3006,B622,'CARNET DE SOUDURE'!$P$7:$P$3006,"&lt;&gt;"&amp;C622,'CARNET DE SOUDURE'!$P$7:$P$3006,"&lt;&gt;")&gt;0,"⚠ DIFFÉRENTE","OK"))</f>
        <v>OK</v>
      </c>
      <c r="F622" s="147" t="n">
        <v>11.94</v>
      </c>
      <c r="G622" s="80"/>
      <c r="H622" s="83"/>
      <c r="I622" s="148" t="str">
        <f aca="false">IF(B622="","",IFERROR(INDEX('CARNET DE SOUDURE'!$B$7:$B$3006,MATCH(B622,'CARNET DE SOUDURE'!$L$7:$L$3006,0)),IFERROR(INDEX('CARNET DE SOUDURE'!$B$7:$B$3006,MATCH(B622,'CARNET DE SOUDURE'!$O$7:$O$3006,0)),"")))</f>
        <v>MFD-ISW → MFD-CPF</v>
      </c>
      <c r="J622" s="82" t="str">
        <f aca="false">IF(B622="","",IFERROR(INDEX('CARNET DE SOUDURE'!$E$7:$E$3006,MATCH(B622,'CARNET DE SOUDURE'!$O$7:$O$3006,0)),""))</f>
        <v>JN°1304</v>
      </c>
      <c r="K622" s="82" t="str">
        <f aca="false">IF(B622="","",IFERROR(INDEX('CARNET DE SOUDURE'!$E$7:$E$3006,MATCH(B622,'CARNET DE SOUDURE'!$L$7:$L$3006,0)),""))</f>
        <v>DJ°221</v>
      </c>
      <c r="L622" s="82" t="n">
        <f aca="false">IF(B622="","",IFERROR(INDEX('CARNET DE SOUDURE'!$D$7:$D$3006,MATCH(B622,'CARNET DE SOUDURE'!$L$7:$L$3006,0)),IFERROR(INDEX('CARNET DE SOUDURE'!$D$7:$D$3006,MATCH(B622,'CARNET DE SOUDURE'!$O$7:$O$3006,0)),"")))</f>
        <v>14</v>
      </c>
      <c r="M622" s="82" t="str">
        <f aca="false">IF(B622="","",IF(OR(J622&lt;&gt;"",K622&lt;&gt;""),"POSÉ EN LIGNE",IF(COUNTIF(BARDAGE!$C$1:$C$5000,B622)&gt;0,"BARDÉ","EN STOCK")))</f>
        <v>POSÉ EN LIGNE</v>
      </c>
      <c r="N622" s="80"/>
    </row>
    <row r="623" customFormat="false" ht="15" hidden="false" customHeight="false" outlineLevel="0" collapsed="false">
      <c r="A623" s="82" t="n">
        <f aca="false">IF(B623="","",ROW()-6)</f>
        <v>617</v>
      </c>
      <c r="B623" s="145" t="n">
        <v>2078610</v>
      </c>
      <c r="C623" s="146" t="n">
        <v>15421101</v>
      </c>
      <c r="D623" s="146"/>
      <c r="E623" s="82" t="str">
        <f aca="false">IF(B623="","",IF(COUNTIFS('CARNET DE SOUDURE'!$L$7:$L$3006,B623,'CARNET DE SOUDURE'!$M$7:$M$3006,"&lt;&gt;"&amp;C623,'CARNET DE SOUDURE'!$M$7:$M$3006,"&lt;&gt;")+COUNTIFS('CARNET DE SOUDURE'!$O$7:$O$3006,B623,'CARNET DE SOUDURE'!$P$7:$P$3006,"&lt;&gt;"&amp;C623,'CARNET DE SOUDURE'!$P$7:$P$3006,"&lt;&gt;")&gt;0,"⚠ DIFFÉRENTE","OK"))</f>
        <v>OK</v>
      </c>
      <c r="F623" s="147" t="n">
        <v>11.94</v>
      </c>
      <c r="G623" s="80"/>
      <c r="H623" s="83"/>
      <c r="I623" s="148" t="str">
        <f aca="false">IF(B623="","",IFERROR(INDEX('CARNET DE SOUDURE'!$B$7:$B$3006,MATCH(B623,'CARNET DE SOUDURE'!$L$7:$L$3006,0)),IFERROR(INDEX('CARNET DE SOUDURE'!$B$7:$B$3006,MATCH(B623,'CARNET DE SOUDURE'!$O$7:$O$3006,0)),"")))</f>
        <v>MFD-ISW → MFD-CPF</v>
      </c>
      <c r="J623" s="82" t="str">
        <f aca="false">IF(B623="","",IFERROR(INDEX('CARNET DE SOUDURE'!$E$7:$E$3006,MATCH(B623,'CARNET DE SOUDURE'!$O$7:$O$3006,0)),""))</f>
        <v>DJ°221</v>
      </c>
      <c r="K623" s="82" t="str">
        <f aca="false">IF(B623="","",IFERROR(INDEX('CARNET DE SOUDURE'!$E$7:$E$3006,MATCH(B623,'CARNET DE SOUDURE'!$L$7:$L$3006,0)),""))</f>
        <v>JN°1305</v>
      </c>
      <c r="L623" s="82" t="n">
        <f aca="false">IF(B623="","",IFERROR(INDEX('CARNET DE SOUDURE'!$D$7:$D$3006,MATCH(B623,'CARNET DE SOUDURE'!$L$7:$L$3006,0)),IFERROR(INDEX('CARNET DE SOUDURE'!$D$7:$D$3006,MATCH(B623,'CARNET DE SOUDURE'!$O$7:$O$3006,0)),"")))</f>
        <v>14</v>
      </c>
      <c r="M623" s="82" t="str">
        <f aca="false">IF(B623="","",IF(OR(J623&lt;&gt;"",K623&lt;&gt;""),"POSÉ EN LIGNE",IF(COUNTIF(BARDAGE!$C$1:$C$5000,B623)&gt;0,"BARDÉ","EN STOCK")))</f>
        <v>POSÉ EN LIGNE</v>
      </c>
      <c r="N623" s="80"/>
    </row>
    <row r="624" customFormat="false" ht="15" hidden="false" customHeight="false" outlineLevel="0" collapsed="false">
      <c r="A624" s="82" t="n">
        <f aca="false">IF(B624="","",ROW()-6)</f>
        <v>618</v>
      </c>
      <c r="B624" s="145" t="n">
        <v>2079470</v>
      </c>
      <c r="C624" s="146" t="n">
        <v>15421112</v>
      </c>
      <c r="D624" s="146"/>
      <c r="E624" s="82" t="str">
        <f aca="false">IF(B624="","",IF(COUNTIFS('CARNET DE SOUDURE'!$L$7:$L$3006,B624,'CARNET DE SOUDURE'!$M$7:$M$3006,"&lt;&gt;"&amp;C624,'CARNET DE SOUDURE'!$M$7:$M$3006,"&lt;&gt;")+COUNTIFS('CARNET DE SOUDURE'!$O$7:$O$3006,B624,'CARNET DE SOUDURE'!$P$7:$P$3006,"&lt;&gt;"&amp;C624,'CARNET DE SOUDURE'!$P$7:$P$3006,"&lt;&gt;")&gt;0,"⚠ DIFFÉRENTE","OK"))</f>
        <v>OK</v>
      </c>
      <c r="F624" s="147" t="n">
        <v>11.94</v>
      </c>
      <c r="G624" s="80"/>
      <c r="H624" s="83"/>
      <c r="I624" s="148" t="str">
        <f aca="false">IF(B624="","",IFERROR(INDEX('CARNET DE SOUDURE'!$B$7:$B$3006,MATCH(B624,'CARNET DE SOUDURE'!$L$7:$L$3006,0)),IFERROR(INDEX('CARNET DE SOUDURE'!$B$7:$B$3006,MATCH(B624,'CARNET DE SOUDURE'!$O$7:$O$3006,0)),"")))</f>
        <v>MFD-ISW → MFD-CPF</v>
      </c>
      <c r="J624" s="82" t="str">
        <f aca="false">IF(B624="","",IFERROR(INDEX('CARNET DE SOUDURE'!$E$7:$E$3006,MATCH(B624,'CARNET DE SOUDURE'!$O$7:$O$3006,0)),""))</f>
        <v>JN°1305</v>
      </c>
      <c r="K624" s="82" t="str">
        <f aca="false">IF(B624="","",IFERROR(INDEX('CARNET DE SOUDURE'!$E$7:$E$3006,MATCH(B624,'CARNET DE SOUDURE'!$L$7:$L$3006,0)),""))</f>
        <v>DJ°224</v>
      </c>
      <c r="L624" s="82" t="n">
        <f aca="false">IF(B624="","",IFERROR(INDEX('CARNET DE SOUDURE'!$D$7:$D$3006,MATCH(B624,'CARNET DE SOUDURE'!$L$7:$L$3006,0)),IFERROR(INDEX('CARNET DE SOUDURE'!$D$7:$D$3006,MATCH(B624,'CARNET DE SOUDURE'!$O$7:$O$3006,0)),"")))</f>
        <v>14</v>
      </c>
      <c r="M624" s="82" t="str">
        <f aca="false">IF(B624="","",IF(OR(J624&lt;&gt;"",K624&lt;&gt;""),"POSÉ EN LIGNE",IF(COUNTIF(BARDAGE!$C$1:$C$5000,B624)&gt;0,"BARDÉ","EN STOCK")))</f>
        <v>POSÉ EN LIGNE</v>
      </c>
      <c r="N624" s="80"/>
    </row>
    <row r="625" customFormat="false" ht="15" hidden="false" customHeight="false" outlineLevel="0" collapsed="false">
      <c r="A625" s="82" t="n">
        <f aca="false">IF(B625="","",ROW()-6)</f>
        <v>619</v>
      </c>
      <c r="B625" s="145" t="n">
        <v>2097270</v>
      </c>
      <c r="C625" s="146" t="n">
        <v>15421112</v>
      </c>
      <c r="D625" s="146"/>
      <c r="E625" s="82" t="str">
        <f aca="false">IF(B625="","",IF(COUNTIFS('CARNET DE SOUDURE'!$L$7:$L$3006,B625,'CARNET DE SOUDURE'!$M$7:$M$3006,"&lt;&gt;"&amp;C625,'CARNET DE SOUDURE'!$M$7:$M$3006,"&lt;&gt;")+COUNTIFS('CARNET DE SOUDURE'!$O$7:$O$3006,B625,'CARNET DE SOUDURE'!$P$7:$P$3006,"&lt;&gt;"&amp;C625,'CARNET DE SOUDURE'!$P$7:$P$3006,"&lt;&gt;")&gt;0,"⚠ DIFFÉRENTE","OK"))</f>
        <v>OK</v>
      </c>
      <c r="F625" s="147" t="n">
        <v>11.94</v>
      </c>
      <c r="G625" s="80"/>
      <c r="H625" s="83"/>
      <c r="I625" s="148" t="str">
        <f aca="false">IF(B625="","",IFERROR(INDEX('CARNET DE SOUDURE'!$B$7:$B$3006,MATCH(B625,'CARNET DE SOUDURE'!$L$7:$L$3006,0)),IFERROR(INDEX('CARNET DE SOUDURE'!$B$7:$B$3006,MATCH(B625,'CARNET DE SOUDURE'!$O$7:$O$3006,0)),"")))</f>
        <v>MFD-ISW → MFD-CPF</v>
      </c>
      <c r="J625" s="82" t="str">
        <f aca="false">IF(B625="","",IFERROR(INDEX('CARNET DE SOUDURE'!$E$7:$E$3006,MATCH(B625,'CARNET DE SOUDURE'!$O$7:$O$3006,0)),""))</f>
        <v>DJ°224</v>
      </c>
      <c r="K625" s="82" t="str">
        <f aca="false">IF(B625="","",IFERROR(INDEX('CARNET DE SOUDURE'!$E$7:$E$3006,MATCH(B625,'CARNET DE SOUDURE'!$L$7:$L$3006,0)),""))</f>
        <v>JN°1306</v>
      </c>
      <c r="L625" s="82" t="n">
        <f aca="false">IF(B625="","",IFERROR(INDEX('CARNET DE SOUDURE'!$D$7:$D$3006,MATCH(B625,'CARNET DE SOUDURE'!$L$7:$L$3006,0)),IFERROR(INDEX('CARNET DE SOUDURE'!$D$7:$D$3006,MATCH(B625,'CARNET DE SOUDURE'!$O$7:$O$3006,0)),"")))</f>
        <v>14</v>
      </c>
      <c r="M625" s="82" t="str">
        <f aca="false">IF(B625="","",IF(OR(J625&lt;&gt;"",K625&lt;&gt;""),"POSÉ EN LIGNE",IF(COUNTIF(BARDAGE!$C$1:$C$5000,B625)&gt;0,"BARDÉ","EN STOCK")))</f>
        <v>POSÉ EN LIGNE</v>
      </c>
      <c r="N625" s="80"/>
    </row>
    <row r="626" customFormat="false" ht="15" hidden="false" customHeight="false" outlineLevel="0" collapsed="false">
      <c r="A626" s="82" t="n">
        <f aca="false">IF(B626="","",ROW()-6)</f>
        <v>620</v>
      </c>
      <c r="B626" s="145" t="n">
        <v>2095670</v>
      </c>
      <c r="C626" s="146" t="n">
        <v>15421111</v>
      </c>
      <c r="D626" s="146"/>
      <c r="E626" s="82" t="str">
        <f aca="false">IF(B626="","",IF(COUNTIFS('CARNET DE SOUDURE'!$L$7:$L$3006,B626,'CARNET DE SOUDURE'!$M$7:$M$3006,"&lt;&gt;"&amp;C626,'CARNET DE SOUDURE'!$M$7:$M$3006,"&lt;&gt;")+COUNTIFS('CARNET DE SOUDURE'!$O$7:$O$3006,B626,'CARNET DE SOUDURE'!$P$7:$P$3006,"&lt;&gt;"&amp;C626,'CARNET DE SOUDURE'!$P$7:$P$3006,"&lt;&gt;")&gt;0,"⚠ DIFFÉRENTE","OK"))</f>
        <v>OK</v>
      </c>
      <c r="F626" s="147" t="n">
        <v>11.94</v>
      </c>
      <c r="G626" s="80"/>
      <c r="H626" s="83"/>
      <c r="I626" s="148" t="str">
        <f aca="false">IF(B626="","",IFERROR(INDEX('CARNET DE SOUDURE'!$B$7:$B$3006,MATCH(B626,'CARNET DE SOUDURE'!$L$7:$L$3006,0)),IFERROR(INDEX('CARNET DE SOUDURE'!$B$7:$B$3006,MATCH(B626,'CARNET DE SOUDURE'!$O$7:$O$3006,0)),"")))</f>
        <v>MFD-ISW → MFD-CPF</v>
      </c>
      <c r="J626" s="82" t="str">
        <f aca="false">IF(B626="","",IFERROR(INDEX('CARNET DE SOUDURE'!$E$7:$E$3006,MATCH(B626,'CARNET DE SOUDURE'!$O$7:$O$3006,0)),""))</f>
        <v>JN°1306</v>
      </c>
      <c r="K626" s="82" t="str">
        <f aca="false">IF(B626="","",IFERROR(INDEX('CARNET DE SOUDURE'!$E$7:$E$3006,MATCH(B626,'CARNET DE SOUDURE'!$L$7:$L$3006,0)),""))</f>
        <v>DJ°181</v>
      </c>
      <c r="L626" s="82" t="n">
        <f aca="false">IF(B626="","",IFERROR(INDEX('CARNET DE SOUDURE'!$D$7:$D$3006,MATCH(B626,'CARNET DE SOUDURE'!$L$7:$L$3006,0)),IFERROR(INDEX('CARNET DE SOUDURE'!$D$7:$D$3006,MATCH(B626,'CARNET DE SOUDURE'!$O$7:$O$3006,0)),"")))</f>
        <v>14</v>
      </c>
      <c r="M626" s="82" t="str">
        <f aca="false">IF(B626="","",IF(OR(J626&lt;&gt;"",K626&lt;&gt;""),"POSÉ EN LIGNE",IF(COUNTIF(BARDAGE!$C$1:$C$5000,B626)&gt;0,"BARDÉ","EN STOCK")))</f>
        <v>POSÉ EN LIGNE</v>
      </c>
      <c r="N626" s="80"/>
    </row>
    <row r="627" customFormat="false" ht="15" hidden="false" customHeight="false" outlineLevel="0" collapsed="false">
      <c r="A627" s="82" t="n">
        <f aca="false">IF(B627="","",ROW()-6)</f>
        <v>621</v>
      </c>
      <c r="B627" s="145" t="n">
        <v>2097170</v>
      </c>
      <c r="C627" s="146" t="n">
        <v>15421112</v>
      </c>
      <c r="D627" s="146"/>
      <c r="E627" s="82" t="str">
        <f aca="false">IF(B627="","",IF(COUNTIFS('CARNET DE SOUDURE'!$L$7:$L$3006,B627,'CARNET DE SOUDURE'!$M$7:$M$3006,"&lt;&gt;"&amp;C627,'CARNET DE SOUDURE'!$M$7:$M$3006,"&lt;&gt;")+COUNTIFS('CARNET DE SOUDURE'!$O$7:$O$3006,B627,'CARNET DE SOUDURE'!$P$7:$P$3006,"&lt;&gt;"&amp;C627,'CARNET DE SOUDURE'!$P$7:$P$3006,"&lt;&gt;")&gt;0,"⚠ DIFFÉRENTE","OK"))</f>
        <v>OK</v>
      </c>
      <c r="F627" s="147" t="n">
        <v>11.94</v>
      </c>
      <c r="G627" s="80"/>
      <c r="H627" s="83"/>
      <c r="I627" s="148" t="str">
        <f aca="false">IF(B627="","",IFERROR(INDEX('CARNET DE SOUDURE'!$B$7:$B$3006,MATCH(B627,'CARNET DE SOUDURE'!$L$7:$L$3006,0)),IFERROR(INDEX('CARNET DE SOUDURE'!$B$7:$B$3006,MATCH(B627,'CARNET DE SOUDURE'!$O$7:$O$3006,0)),"")))</f>
        <v>MFD-ISW → MFD-CPF</v>
      </c>
      <c r="J627" s="82" t="str">
        <f aca="false">IF(B627="","",IFERROR(INDEX('CARNET DE SOUDURE'!$E$7:$E$3006,MATCH(B627,'CARNET DE SOUDURE'!$O$7:$O$3006,0)),""))</f>
        <v>DJ°181</v>
      </c>
      <c r="K627" s="82" t="str">
        <f aca="false">IF(B627="","",IFERROR(INDEX('CARNET DE SOUDURE'!$E$7:$E$3006,MATCH(B627,'CARNET DE SOUDURE'!$L$7:$L$3006,0)),""))</f>
        <v>JN°1307R</v>
      </c>
      <c r="L627" s="82" t="n">
        <f aca="false">IF(B627="","",IFERROR(INDEX('CARNET DE SOUDURE'!$D$7:$D$3006,MATCH(B627,'CARNET DE SOUDURE'!$L$7:$L$3006,0)),IFERROR(INDEX('CARNET DE SOUDURE'!$D$7:$D$3006,MATCH(B627,'CARNET DE SOUDURE'!$O$7:$O$3006,0)),"")))</f>
        <v>14</v>
      </c>
      <c r="M627" s="82" t="str">
        <f aca="false">IF(B627="","",IF(OR(J627&lt;&gt;"",K627&lt;&gt;""),"POSÉ EN LIGNE",IF(COUNTIF(BARDAGE!$C$1:$C$5000,B627)&gt;0,"BARDÉ","EN STOCK")))</f>
        <v>POSÉ EN LIGNE</v>
      </c>
      <c r="N627" s="80"/>
    </row>
    <row r="628" customFormat="false" ht="15" hidden="false" customHeight="false" outlineLevel="0" collapsed="false">
      <c r="A628" s="82" t="n">
        <f aca="false">IF(B628="","",ROW()-6)</f>
        <v>622</v>
      </c>
      <c r="B628" s="145" t="n">
        <v>2094480</v>
      </c>
      <c r="C628" s="146" t="n">
        <v>15421111</v>
      </c>
      <c r="D628" s="146"/>
      <c r="E628" s="82" t="str">
        <f aca="false">IF(B628="","",IF(COUNTIFS('CARNET DE SOUDURE'!$L$7:$L$3006,B628,'CARNET DE SOUDURE'!$M$7:$M$3006,"&lt;&gt;"&amp;C628,'CARNET DE SOUDURE'!$M$7:$M$3006,"&lt;&gt;")+COUNTIFS('CARNET DE SOUDURE'!$O$7:$O$3006,B628,'CARNET DE SOUDURE'!$P$7:$P$3006,"&lt;&gt;"&amp;C628,'CARNET DE SOUDURE'!$P$7:$P$3006,"&lt;&gt;")&gt;0,"⚠ DIFFÉRENTE","OK"))</f>
        <v>OK</v>
      </c>
      <c r="F628" s="147" t="n">
        <v>11.94</v>
      </c>
      <c r="G628" s="80"/>
      <c r="H628" s="83"/>
      <c r="I628" s="148" t="str">
        <f aca="false">IF(B628="","",IFERROR(INDEX('CARNET DE SOUDURE'!$B$7:$B$3006,MATCH(B628,'CARNET DE SOUDURE'!$L$7:$L$3006,0)),IFERROR(INDEX('CARNET DE SOUDURE'!$B$7:$B$3006,MATCH(B628,'CARNET DE SOUDURE'!$O$7:$O$3006,0)),"")))</f>
        <v>MFD-ISW → MFD-CPF</v>
      </c>
      <c r="J628" s="82" t="str">
        <f aca="false">IF(B628="","",IFERROR(INDEX('CARNET DE SOUDURE'!$E$7:$E$3006,MATCH(B628,'CARNET DE SOUDURE'!$O$7:$O$3006,0)),""))</f>
        <v>JN°1307R</v>
      </c>
      <c r="K628" s="82" t="str">
        <f aca="false">IF(B628="","",IFERROR(INDEX('CARNET DE SOUDURE'!$E$7:$E$3006,MATCH(B628,'CARNET DE SOUDURE'!$L$7:$L$3006,0)),""))</f>
        <v>DJ°223</v>
      </c>
      <c r="L628" s="82" t="n">
        <f aca="false">IF(B628="","",IFERROR(INDEX('CARNET DE SOUDURE'!$D$7:$D$3006,MATCH(B628,'CARNET DE SOUDURE'!$L$7:$L$3006,0)),IFERROR(INDEX('CARNET DE SOUDURE'!$D$7:$D$3006,MATCH(B628,'CARNET DE SOUDURE'!$O$7:$O$3006,0)),"")))</f>
        <v>14</v>
      </c>
      <c r="M628" s="82" t="str">
        <f aca="false">IF(B628="","",IF(OR(J628&lt;&gt;"",K628&lt;&gt;""),"POSÉ EN LIGNE",IF(COUNTIF(BARDAGE!$C$1:$C$5000,B628)&gt;0,"BARDÉ","EN STOCK")))</f>
        <v>POSÉ EN LIGNE</v>
      </c>
      <c r="N628" s="80"/>
    </row>
    <row r="629" customFormat="false" ht="15" hidden="false" customHeight="false" outlineLevel="0" collapsed="false">
      <c r="A629" s="82" t="n">
        <f aca="false">IF(B629="","",ROW()-6)</f>
        <v>623</v>
      </c>
      <c r="B629" s="145" t="n">
        <v>2080020</v>
      </c>
      <c r="C629" s="146" t="n">
        <v>15421102</v>
      </c>
      <c r="D629" s="146"/>
      <c r="E629" s="82" t="str">
        <f aca="false">IF(B629="","",IF(COUNTIFS('CARNET DE SOUDURE'!$L$7:$L$3006,B629,'CARNET DE SOUDURE'!$M$7:$M$3006,"&lt;&gt;"&amp;C629,'CARNET DE SOUDURE'!$M$7:$M$3006,"&lt;&gt;")+COUNTIFS('CARNET DE SOUDURE'!$O$7:$O$3006,B629,'CARNET DE SOUDURE'!$P$7:$P$3006,"&lt;&gt;"&amp;C629,'CARNET DE SOUDURE'!$P$7:$P$3006,"&lt;&gt;")&gt;0,"⚠ DIFFÉRENTE","OK"))</f>
        <v>OK</v>
      </c>
      <c r="F629" s="147" t="n">
        <v>11.94</v>
      </c>
      <c r="G629" s="80"/>
      <c r="H629" s="83"/>
      <c r="I629" s="148" t="str">
        <f aca="false">IF(B629="","",IFERROR(INDEX('CARNET DE SOUDURE'!$B$7:$B$3006,MATCH(B629,'CARNET DE SOUDURE'!$L$7:$L$3006,0)),IFERROR(INDEX('CARNET DE SOUDURE'!$B$7:$B$3006,MATCH(B629,'CARNET DE SOUDURE'!$O$7:$O$3006,0)),"")))</f>
        <v>MFD-ISW → MFD-CPF</v>
      </c>
      <c r="J629" s="82" t="str">
        <f aca="false">IF(B629="","",IFERROR(INDEX('CARNET DE SOUDURE'!$E$7:$E$3006,MATCH(B629,'CARNET DE SOUDURE'!$O$7:$O$3006,0)),""))</f>
        <v>DJ°223</v>
      </c>
      <c r="K629" s="82" t="str">
        <f aca="false">IF(B629="","",IFERROR(INDEX('CARNET DE SOUDURE'!$E$7:$E$3006,MATCH(B629,'CARNET DE SOUDURE'!$L$7:$L$3006,0)),""))</f>
        <v>JN°1308R</v>
      </c>
      <c r="L629" s="82" t="n">
        <f aca="false">IF(B629="","",IFERROR(INDEX('CARNET DE SOUDURE'!$D$7:$D$3006,MATCH(B629,'CARNET DE SOUDURE'!$L$7:$L$3006,0)),IFERROR(INDEX('CARNET DE SOUDURE'!$D$7:$D$3006,MATCH(B629,'CARNET DE SOUDURE'!$O$7:$O$3006,0)),"")))</f>
        <v>14</v>
      </c>
      <c r="M629" s="82" t="str">
        <f aca="false">IF(B629="","",IF(OR(J629&lt;&gt;"",K629&lt;&gt;""),"POSÉ EN LIGNE",IF(COUNTIF(BARDAGE!$C$1:$C$5000,B629)&gt;0,"BARDÉ","EN STOCK")))</f>
        <v>POSÉ EN LIGNE</v>
      </c>
      <c r="N629" s="80"/>
    </row>
    <row r="630" customFormat="false" ht="15" hidden="false" customHeight="false" outlineLevel="0" collapsed="false">
      <c r="A630" s="82" t="n">
        <f aca="false">IF(B630="","",ROW()-6)</f>
        <v>624</v>
      </c>
      <c r="B630" s="145" t="n">
        <v>2096390</v>
      </c>
      <c r="C630" s="146" t="n">
        <v>15421111</v>
      </c>
      <c r="D630" s="146"/>
      <c r="E630" s="82" t="str">
        <f aca="false">IF(B630="","",IF(COUNTIFS('CARNET DE SOUDURE'!$L$7:$L$3006,B630,'CARNET DE SOUDURE'!$M$7:$M$3006,"&lt;&gt;"&amp;C630,'CARNET DE SOUDURE'!$M$7:$M$3006,"&lt;&gt;")+COUNTIFS('CARNET DE SOUDURE'!$O$7:$O$3006,B630,'CARNET DE SOUDURE'!$P$7:$P$3006,"&lt;&gt;"&amp;C630,'CARNET DE SOUDURE'!$P$7:$P$3006,"&lt;&gt;")&gt;0,"⚠ DIFFÉRENTE","OK"))</f>
        <v>OK</v>
      </c>
      <c r="F630" s="147" t="n">
        <v>11.94</v>
      </c>
      <c r="G630" s="80"/>
      <c r="H630" s="83"/>
      <c r="I630" s="148" t="str">
        <f aca="false">IF(B630="","",IFERROR(INDEX('CARNET DE SOUDURE'!$B$7:$B$3006,MATCH(B630,'CARNET DE SOUDURE'!$L$7:$L$3006,0)),IFERROR(INDEX('CARNET DE SOUDURE'!$B$7:$B$3006,MATCH(B630,'CARNET DE SOUDURE'!$O$7:$O$3006,0)),"")))</f>
        <v>MFD-ISW → MFD-CPF</v>
      </c>
      <c r="J630" s="82" t="str">
        <f aca="false">IF(B630="","",IFERROR(INDEX('CARNET DE SOUDURE'!$E$7:$E$3006,MATCH(B630,'CARNET DE SOUDURE'!$O$7:$O$3006,0)),""))</f>
        <v>JN°1308R</v>
      </c>
      <c r="K630" s="82" t="str">
        <f aca="false">IF(B630="","",IFERROR(INDEX('CARNET DE SOUDURE'!$E$7:$E$3006,MATCH(B630,'CARNET DE SOUDURE'!$L$7:$L$3006,0)),""))</f>
        <v>DJ°179</v>
      </c>
      <c r="L630" s="82" t="n">
        <f aca="false">IF(B630="","",IFERROR(INDEX('CARNET DE SOUDURE'!$D$7:$D$3006,MATCH(B630,'CARNET DE SOUDURE'!$L$7:$L$3006,0)),IFERROR(INDEX('CARNET DE SOUDURE'!$D$7:$D$3006,MATCH(B630,'CARNET DE SOUDURE'!$O$7:$O$3006,0)),"")))</f>
        <v>14</v>
      </c>
      <c r="M630" s="82" t="str">
        <f aca="false">IF(B630="","",IF(OR(J630&lt;&gt;"",K630&lt;&gt;""),"POSÉ EN LIGNE",IF(COUNTIF(BARDAGE!$C$1:$C$5000,B630)&gt;0,"BARDÉ","EN STOCK")))</f>
        <v>POSÉ EN LIGNE</v>
      </c>
      <c r="N630" s="80"/>
    </row>
    <row r="631" customFormat="false" ht="15" hidden="false" customHeight="false" outlineLevel="0" collapsed="false">
      <c r="A631" s="82" t="n">
        <f aca="false">IF(B631="","",ROW()-6)</f>
        <v>625</v>
      </c>
      <c r="B631" s="145" t="n">
        <v>2082470</v>
      </c>
      <c r="C631" s="146" t="n">
        <v>15421104</v>
      </c>
      <c r="D631" s="146"/>
      <c r="E631" s="82" t="str">
        <f aca="false">IF(B631="","",IF(COUNTIFS('CARNET DE SOUDURE'!$L$7:$L$3006,B631,'CARNET DE SOUDURE'!$M$7:$M$3006,"&lt;&gt;"&amp;C631,'CARNET DE SOUDURE'!$M$7:$M$3006,"&lt;&gt;")+COUNTIFS('CARNET DE SOUDURE'!$O$7:$O$3006,B631,'CARNET DE SOUDURE'!$P$7:$P$3006,"&lt;&gt;"&amp;C631,'CARNET DE SOUDURE'!$P$7:$P$3006,"&lt;&gt;")&gt;0,"⚠ DIFFÉRENTE","OK"))</f>
        <v>OK</v>
      </c>
      <c r="F631" s="147" t="n">
        <v>11.94</v>
      </c>
      <c r="G631" s="80"/>
      <c r="H631" s="83"/>
      <c r="I631" s="148" t="str">
        <f aca="false">IF(B631="","",IFERROR(INDEX('CARNET DE SOUDURE'!$B$7:$B$3006,MATCH(B631,'CARNET DE SOUDURE'!$L$7:$L$3006,0)),IFERROR(INDEX('CARNET DE SOUDURE'!$B$7:$B$3006,MATCH(B631,'CARNET DE SOUDURE'!$O$7:$O$3006,0)),"")))</f>
        <v>MFD-ISW → MFD-CPF</v>
      </c>
      <c r="J631" s="82" t="str">
        <f aca="false">IF(B631="","",IFERROR(INDEX('CARNET DE SOUDURE'!$E$7:$E$3006,MATCH(B631,'CARNET DE SOUDURE'!$O$7:$O$3006,0)),""))</f>
        <v>DJ°179</v>
      </c>
      <c r="K631" s="82" t="str">
        <f aca="false">IF(B631="","",IFERROR(INDEX('CARNET DE SOUDURE'!$E$7:$E$3006,MATCH(B631,'CARNET DE SOUDURE'!$L$7:$L$3006,0)),""))</f>
        <v>JN°1309</v>
      </c>
      <c r="L631" s="82" t="n">
        <f aca="false">IF(B631="","",IFERROR(INDEX('CARNET DE SOUDURE'!$D$7:$D$3006,MATCH(B631,'CARNET DE SOUDURE'!$L$7:$L$3006,0)),IFERROR(INDEX('CARNET DE SOUDURE'!$D$7:$D$3006,MATCH(B631,'CARNET DE SOUDURE'!$O$7:$O$3006,0)),"")))</f>
        <v>14</v>
      </c>
      <c r="M631" s="82" t="str">
        <f aca="false">IF(B631="","",IF(OR(J631&lt;&gt;"",K631&lt;&gt;""),"POSÉ EN LIGNE",IF(COUNTIF(BARDAGE!$C$1:$C$5000,B631)&gt;0,"BARDÉ","EN STOCK")))</f>
        <v>POSÉ EN LIGNE</v>
      </c>
      <c r="N631" s="80"/>
    </row>
    <row r="632" customFormat="false" ht="15" hidden="false" customHeight="false" outlineLevel="0" collapsed="false">
      <c r="A632" s="82" t="n">
        <f aca="false">IF(B632="","",ROW()-6)</f>
        <v>626</v>
      </c>
      <c r="B632" s="145" t="n">
        <v>2079880</v>
      </c>
      <c r="C632" s="146" t="n">
        <v>15421102</v>
      </c>
      <c r="D632" s="146"/>
      <c r="E632" s="82" t="str">
        <f aca="false">IF(B632="","",IF(COUNTIFS('CARNET DE SOUDURE'!$L$7:$L$3006,B632,'CARNET DE SOUDURE'!$M$7:$M$3006,"&lt;&gt;"&amp;C632,'CARNET DE SOUDURE'!$M$7:$M$3006,"&lt;&gt;")+COUNTIFS('CARNET DE SOUDURE'!$O$7:$O$3006,B632,'CARNET DE SOUDURE'!$P$7:$P$3006,"&lt;&gt;"&amp;C632,'CARNET DE SOUDURE'!$P$7:$P$3006,"&lt;&gt;")&gt;0,"⚠ DIFFÉRENTE","OK"))</f>
        <v>OK</v>
      </c>
      <c r="F632" s="147" t="n">
        <v>11.94</v>
      </c>
      <c r="G632" s="80"/>
      <c r="H632" s="83"/>
      <c r="I632" s="148" t="str">
        <f aca="false">IF(B632="","",IFERROR(INDEX('CARNET DE SOUDURE'!$B$7:$B$3006,MATCH(B632,'CARNET DE SOUDURE'!$L$7:$L$3006,0)),IFERROR(INDEX('CARNET DE SOUDURE'!$B$7:$B$3006,MATCH(B632,'CARNET DE SOUDURE'!$O$7:$O$3006,0)),"")))</f>
        <v>MFD-ISW → MFD-CPF</v>
      </c>
      <c r="J632" s="82" t="str">
        <f aca="false">IF(B632="","",IFERROR(INDEX('CARNET DE SOUDURE'!$E$7:$E$3006,MATCH(B632,'CARNET DE SOUDURE'!$O$7:$O$3006,0)),""))</f>
        <v>JN°1309</v>
      </c>
      <c r="K632" s="82" t="str">
        <f aca="false">IF(B632="","",IFERROR(INDEX('CARNET DE SOUDURE'!$E$7:$E$3006,MATCH(B632,'CARNET DE SOUDURE'!$L$7:$L$3006,0)),""))</f>
        <v>DJ°212</v>
      </c>
      <c r="L632" s="82" t="n">
        <f aca="false">IF(B632="","",IFERROR(INDEX('CARNET DE SOUDURE'!$D$7:$D$3006,MATCH(B632,'CARNET DE SOUDURE'!$L$7:$L$3006,0)),IFERROR(INDEX('CARNET DE SOUDURE'!$D$7:$D$3006,MATCH(B632,'CARNET DE SOUDURE'!$O$7:$O$3006,0)),"")))</f>
        <v>14</v>
      </c>
      <c r="M632" s="82" t="str">
        <f aca="false">IF(B632="","",IF(OR(J632&lt;&gt;"",K632&lt;&gt;""),"POSÉ EN LIGNE",IF(COUNTIF(BARDAGE!$C$1:$C$5000,B632)&gt;0,"BARDÉ","EN STOCK")))</f>
        <v>POSÉ EN LIGNE</v>
      </c>
      <c r="N632" s="80"/>
    </row>
    <row r="633" customFormat="false" ht="15" hidden="false" customHeight="false" outlineLevel="0" collapsed="false">
      <c r="A633" s="82" t="n">
        <f aca="false">IF(B633="","",ROW()-6)</f>
        <v>627</v>
      </c>
      <c r="B633" s="145" t="n">
        <v>2097160</v>
      </c>
      <c r="C633" s="146" t="n">
        <v>15421112</v>
      </c>
      <c r="D633" s="146"/>
      <c r="E633" s="82" t="str">
        <f aca="false">IF(B633="","",IF(COUNTIFS('CARNET DE SOUDURE'!$L$7:$L$3006,B633,'CARNET DE SOUDURE'!$M$7:$M$3006,"&lt;&gt;"&amp;C633,'CARNET DE SOUDURE'!$M$7:$M$3006,"&lt;&gt;")+COUNTIFS('CARNET DE SOUDURE'!$O$7:$O$3006,B633,'CARNET DE SOUDURE'!$P$7:$P$3006,"&lt;&gt;"&amp;C633,'CARNET DE SOUDURE'!$P$7:$P$3006,"&lt;&gt;")&gt;0,"⚠ DIFFÉRENTE","OK"))</f>
        <v>OK</v>
      </c>
      <c r="F633" s="147" t="n">
        <v>11.94</v>
      </c>
      <c r="G633" s="80"/>
      <c r="H633" s="83"/>
      <c r="I633" s="148" t="str">
        <f aca="false">IF(B633="","",IFERROR(INDEX('CARNET DE SOUDURE'!$B$7:$B$3006,MATCH(B633,'CARNET DE SOUDURE'!$L$7:$L$3006,0)),IFERROR(INDEX('CARNET DE SOUDURE'!$B$7:$B$3006,MATCH(B633,'CARNET DE SOUDURE'!$O$7:$O$3006,0)),"")))</f>
        <v>MFD-ISW → MFD-CPF</v>
      </c>
      <c r="J633" s="82" t="str">
        <f aca="false">IF(B633="","",IFERROR(INDEX('CARNET DE SOUDURE'!$E$7:$E$3006,MATCH(B633,'CARNET DE SOUDURE'!$O$7:$O$3006,0)),""))</f>
        <v>DJ°212</v>
      </c>
      <c r="K633" s="82" t="str">
        <f aca="false">IF(B633="","",IFERROR(INDEX('CARNET DE SOUDURE'!$E$7:$E$3006,MATCH(B633,'CARNET DE SOUDURE'!$L$7:$L$3006,0)),""))</f>
        <v>JN°1310</v>
      </c>
      <c r="L633" s="82" t="n">
        <f aca="false">IF(B633="","",IFERROR(INDEX('CARNET DE SOUDURE'!$D$7:$D$3006,MATCH(B633,'CARNET DE SOUDURE'!$L$7:$L$3006,0)),IFERROR(INDEX('CARNET DE SOUDURE'!$D$7:$D$3006,MATCH(B633,'CARNET DE SOUDURE'!$O$7:$O$3006,0)),"")))</f>
        <v>14</v>
      </c>
      <c r="M633" s="82" t="str">
        <f aca="false">IF(B633="","",IF(OR(J633&lt;&gt;"",K633&lt;&gt;""),"POSÉ EN LIGNE",IF(COUNTIF(BARDAGE!$C$1:$C$5000,B633)&gt;0,"BARDÉ","EN STOCK")))</f>
        <v>POSÉ EN LIGNE</v>
      </c>
      <c r="N633" s="80"/>
    </row>
    <row r="634" customFormat="false" ht="15" hidden="false" customHeight="false" outlineLevel="0" collapsed="false">
      <c r="A634" s="82" t="n">
        <f aca="false">IF(B634="","",ROW()-6)</f>
        <v>628</v>
      </c>
      <c r="B634" s="145" t="n">
        <v>2096660</v>
      </c>
      <c r="C634" s="146" t="n">
        <v>15421111</v>
      </c>
      <c r="D634" s="146"/>
      <c r="E634" s="82" t="str">
        <f aca="false">IF(B634="","",IF(COUNTIFS('CARNET DE SOUDURE'!$L$7:$L$3006,B634,'CARNET DE SOUDURE'!$M$7:$M$3006,"&lt;&gt;"&amp;C634,'CARNET DE SOUDURE'!$M$7:$M$3006,"&lt;&gt;")+COUNTIFS('CARNET DE SOUDURE'!$O$7:$O$3006,B634,'CARNET DE SOUDURE'!$P$7:$P$3006,"&lt;&gt;"&amp;C634,'CARNET DE SOUDURE'!$P$7:$P$3006,"&lt;&gt;")&gt;0,"⚠ DIFFÉRENTE","OK"))</f>
        <v>OK</v>
      </c>
      <c r="F634" s="147" t="n">
        <v>11.94</v>
      </c>
      <c r="G634" s="80"/>
      <c r="H634" s="83"/>
      <c r="I634" s="148" t="str">
        <f aca="false">IF(B634="","",IFERROR(INDEX('CARNET DE SOUDURE'!$B$7:$B$3006,MATCH(B634,'CARNET DE SOUDURE'!$L$7:$L$3006,0)),IFERROR(INDEX('CARNET DE SOUDURE'!$B$7:$B$3006,MATCH(B634,'CARNET DE SOUDURE'!$O$7:$O$3006,0)),"")))</f>
        <v>MFD-ISW → MFD-CPF</v>
      </c>
      <c r="J634" s="82" t="str">
        <f aca="false">IF(B634="","",IFERROR(INDEX('CARNET DE SOUDURE'!$E$7:$E$3006,MATCH(B634,'CARNET DE SOUDURE'!$O$7:$O$3006,0)),""))</f>
        <v>JN°1310</v>
      </c>
      <c r="K634" s="82" t="str">
        <f aca="false">IF(B634="","",IFERROR(INDEX('CARNET DE SOUDURE'!$E$7:$E$3006,MATCH(B634,'CARNET DE SOUDURE'!$L$7:$L$3006,0)),""))</f>
        <v>DJ°218</v>
      </c>
      <c r="L634" s="82" t="n">
        <f aca="false">IF(B634="","",IFERROR(INDEX('CARNET DE SOUDURE'!$D$7:$D$3006,MATCH(B634,'CARNET DE SOUDURE'!$L$7:$L$3006,0)),IFERROR(INDEX('CARNET DE SOUDURE'!$D$7:$D$3006,MATCH(B634,'CARNET DE SOUDURE'!$O$7:$O$3006,0)),"")))</f>
        <v>14</v>
      </c>
      <c r="M634" s="82" t="str">
        <f aca="false">IF(B634="","",IF(OR(J634&lt;&gt;"",K634&lt;&gt;""),"POSÉ EN LIGNE",IF(COUNTIF(BARDAGE!$C$1:$C$5000,B634)&gt;0,"BARDÉ","EN STOCK")))</f>
        <v>POSÉ EN LIGNE</v>
      </c>
      <c r="N634" s="80"/>
    </row>
    <row r="635" customFormat="false" ht="15" hidden="false" customHeight="false" outlineLevel="0" collapsed="false">
      <c r="A635" s="82" t="n">
        <f aca="false">IF(B635="","",ROW()-6)</f>
        <v>629</v>
      </c>
      <c r="B635" s="145" t="n">
        <v>2093800</v>
      </c>
      <c r="C635" s="146" t="n">
        <v>15421110</v>
      </c>
      <c r="D635" s="146"/>
      <c r="E635" s="82" t="str">
        <f aca="false">IF(B635="","",IF(COUNTIFS('CARNET DE SOUDURE'!$L$7:$L$3006,B635,'CARNET DE SOUDURE'!$M$7:$M$3006,"&lt;&gt;"&amp;C635,'CARNET DE SOUDURE'!$M$7:$M$3006,"&lt;&gt;")+COUNTIFS('CARNET DE SOUDURE'!$O$7:$O$3006,B635,'CARNET DE SOUDURE'!$P$7:$P$3006,"&lt;&gt;"&amp;C635,'CARNET DE SOUDURE'!$P$7:$P$3006,"&lt;&gt;")&gt;0,"⚠ DIFFÉRENTE","OK"))</f>
        <v>OK</v>
      </c>
      <c r="F635" s="147" t="n">
        <v>11.94</v>
      </c>
      <c r="G635" s="80"/>
      <c r="H635" s="83"/>
      <c r="I635" s="148" t="str">
        <f aca="false">IF(B635="","",IFERROR(INDEX('CARNET DE SOUDURE'!$B$7:$B$3006,MATCH(B635,'CARNET DE SOUDURE'!$L$7:$L$3006,0)),IFERROR(INDEX('CARNET DE SOUDURE'!$B$7:$B$3006,MATCH(B635,'CARNET DE SOUDURE'!$O$7:$O$3006,0)),"")))</f>
        <v>MFD-ISW → MFD-CPF</v>
      </c>
      <c r="J635" s="82" t="str">
        <f aca="false">IF(B635="","",IFERROR(INDEX('CARNET DE SOUDURE'!$E$7:$E$3006,MATCH(B635,'CARNET DE SOUDURE'!$O$7:$O$3006,0)),""))</f>
        <v>DJ°218</v>
      </c>
      <c r="K635" s="82" t="str">
        <f aca="false">IF(B635="","",IFERROR(INDEX('CARNET DE SOUDURE'!$E$7:$E$3006,MATCH(B635,'CARNET DE SOUDURE'!$L$7:$L$3006,0)),""))</f>
        <v>JN°1311R</v>
      </c>
      <c r="L635" s="82" t="n">
        <f aca="false">IF(B635="","",IFERROR(INDEX('CARNET DE SOUDURE'!$D$7:$D$3006,MATCH(B635,'CARNET DE SOUDURE'!$L$7:$L$3006,0)),IFERROR(INDEX('CARNET DE SOUDURE'!$D$7:$D$3006,MATCH(B635,'CARNET DE SOUDURE'!$O$7:$O$3006,0)),"")))</f>
        <v>14</v>
      </c>
      <c r="M635" s="82" t="str">
        <f aca="false">IF(B635="","",IF(OR(J635&lt;&gt;"",K635&lt;&gt;""),"POSÉ EN LIGNE",IF(COUNTIF(BARDAGE!$C$1:$C$5000,B635)&gt;0,"BARDÉ","EN STOCK")))</f>
        <v>POSÉ EN LIGNE</v>
      </c>
      <c r="N635" s="80"/>
    </row>
    <row r="636" customFormat="false" ht="15" hidden="false" customHeight="false" outlineLevel="0" collapsed="false">
      <c r="A636" s="82" t="n">
        <f aca="false">IF(B636="","",ROW()-6)</f>
        <v>630</v>
      </c>
      <c r="B636" s="145" t="n">
        <v>2092480</v>
      </c>
      <c r="C636" s="146" t="n">
        <v>15421110</v>
      </c>
      <c r="D636" s="146"/>
      <c r="E636" s="82" t="str">
        <f aca="false">IF(B636="","",IF(COUNTIFS('CARNET DE SOUDURE'!$L$7:$L$3006,B636,'CARNET DE SOUDURE'!$M$7:$M$3006,"&lt;&gt;"&amp;C636,'CARNET DE SOUDURE'!$M$7:$M$3006,"&lt;&gt;")+COUNTIFS('CARNET DE SOUDURE'!$O$7:$O$3006,B636,'CARNET DE SOUDURE'!$P$7:$P$3006,"&lt;&gt;"&amp;C636,'CARNET DE SOUDURE'!$P$7:$P$3006,"&lt;&gt;")&gt;0,"⚠ DIFFÉRENTE","OK"))</f>
        <v>OK</v>
      </c>
      <c r="F636" s="147" t="n">
        <v>11.94</v>
      </c>
      <c r="G636" s="80"/>
      <c r="H636" s="83"/>
      <c r="I636" s="148" t="str">
        <f aca="false">IF(B636="","",IFERROR(INDEX('CARNET DE SOUDURE'!$B$7:$B$3006,MATCH(B636,'CARNET DE SOUDURE'!$L$7:$L$3006,0)),IFERROR(INDEX('CARNET DE SOUDURE'!$B$7:$B$3006,MATCH(B636,'CARNET DE SOUDURE'!$O$7:$O$3006,0)),"")))</f>
        <v>MFD-ISW → MFD-CPF</v>
      </c>
      <c r="J636" s="82" t="str">
        <f aca="false">IF(B636="","",IFERROR(INDEX('CARNET DE SOUDURE'!$E$7:$E$3006,MATCH(B636,'CARNET DE SOUDURE'!$O$7:$O$3006,0)),""))</f>
        <v>JN°1311R</v>
      </c>
      <c r="K636" s="82" t="str">
        <f aca="false">IF(B636="","",IFERROR(INDEX('CARNET DE SOUDURE'!$E$7:$E$3006,MATCH(B636,'CARNET DE SOUDURE'!$L$7:$L$3006,0)),""))</f>
        <v>DJ°210</v>
      </c>
      <c r="L636" s="82" t="n">
        <f aca="false">IF(B636="","",IFERROR(INDEX('CARNET DE SOUDURE'!$D$7:$D$3006,MATCH(B636,'CARNET DE SOUDURE'!$L$7:$L$3006,0)),IFERROR(INDEX('CARNET DE SOUDURE'!$D$7:$D$3006,MATCH(B636,'CARNET DE SOUDURE'!$O$7:$O$3006,0)),"")))</f>
        <v>14</v>
      </c>
      <c r="M636" s="82" t="str">
        <f aca="false">IF(B636="","",IF(OR(J636&lt;&gt;"",K636&lt;&gt;""),"POSÉ EN LIGNE",IF(COUNTIF(BARDAGE!$C$1:$C$5000,B636)&gt;0,"BARDÉ","EN STOCK")))</f>
        <v>POSÉ EN LIGNE</v>
      </c>
      <c r="N636" s="80"/>
    </row>
    <row r="637" customFormat="false" ht="15" hidden="false" customHeight="false" outlineLevel="0" collapsed="false">
      <c r="A637" s="82" t="n">
        <f aca="false">IF(B637="","",ROW()-6)</f>
        <v>631</v>
      </c>
      <c r="B637" s="145" t="n">
        <v>2088990</v>
      </c>
      <c r="C637" s="146" t="n">
        <v>15421108</v>
      </c>
      <c r="D637" s="146"/>
      <c r="E637" s="82" t="str">
        <f aca="false">IF(B637="","",IF(COUNTIFS('CARNET DE SOUDURE'!$L$7:$L$3006,B637,'CARNET DE SOUDURE'!$M$7:$M$3006,"&lt;&gt;"&amp;C637,'CARNET DE SOUDURE'!$M$7:$M$3006,"&lt;&gt;")+COUNTIFS('CARNET DE SOUDURE'!$O$7:$O$3006,B637,'CARNET DE SOUDURE'!$P$7:$P$3006,"&lt;&gt;"&amp;C637,'CARNET DE SOUDURE'!$P$7:$P$3006,"&lt;&gt;")&gt;0,"⚠ DIFFÉRENTE","OK"))</f>
        <v>OK</v>
      </c>
      <c r="F637" s="147" t="n">
        <v>11.94</v>
      </c>
      <c r="G637" s="80"/>
      <c r="H637" s="83"/>
      <c r="I637" s="148" t="str">
        <f aca="false">IF(B637="","",IFERROR(INDEX('CARNET DE SOUDURE'!$B$7:$B$3006,MATCH(B637,'CARNET DE SOUDURE'!$L$7:$L$3006,0)),IFERROR(INDEX('CARNET DE SOUDURE'!$B$7:$B$3006,MATCH(B637,'CARNET DE SOUDURE'!$O$7:$O$3006,0)),"")))</f>
        <v>MFD-ISW → MFD-CPF</v>
      </c>
      <c r="J637" s="82" t="str">
        <f aca="false">IF(B637="","",IFERROR(INDEX('CARNET DE SOUDURE'!$E$7:$E$3006,MATCH(B637,'CARNET DE SOUDURE'!$O$7:$O$3006,0)),""))</f>
        <v>DJ°210</v>
      </c>
      <c r="K637" s="82" t="str">
        <f aca="false">IF(B637="","",IFERROR(INDEX('CARNET DE SOUDURE'!$E$7:$E$3006,MATCH(B637,'CARNET DE SOUDURE'!$L$7:$L$3006,0)),""))</f>
        <v>JN°1312</v>
      </c>
      <c r="L637" s="82" t="n">
        <f aca="false">IF(B637="","",IFERROR(INDEX('CARNET DE SOUDURE'!$D$7:$D$3006,MATCH(B637,'CARNET DE SOUDURE'!$L$7:$L$3006,0)),IFERROR(INDEX('CARNET DE SOUDURE'!$D$7:$D$3006,MATCH(B637,'CARNET DE SOUDURE'!$O$7:$O$3006,0)),"")))</f>
        <v>14</v>
      </c>
      <c r="M637" s="82" t="str">
        <f aca="false">IF(B637="","",IF(OR(J637&lt;&gt;"",K637&lt;&gt;""),"POSÉ EN LIGNE",IF(COUNTIF(BARDAGE!$C$1:$C$5000,B637)&gt;0,"BARDÉ","EN STOCK")))</f>
        <v>POSÉ EN LIGNE</v>
      </c>
      <c r="N637" s="80"/>
    </row>
    <row r="638" customFormat="false" ht="15" hidden="false" customHeight="false" outlineLevel="0" collapsed="false">
      <c r="A638" s="82" t="n">
        <f aca="false">IF(B638="","",ROW()-6)</f>
        <v>632</v>
      </c>
      <c r="B638" s="145" t="n">
        <v>2085040</v>
      </c>
      <c r="C638" s="146" t="n">
        <v>15421106</v>
      </c>
      <c r="D638" s="146"/>
      <c r="E638" s="82" t="str">
        <f aca="false">IF(B638="","",IF(COUNTIFS('CARNET DE SOUDURE'!$L$7:$L$3006,B638,'CARNET DE SOUDURE'!$M$7:$M$3006,"&lt;&gt;"&amp;C638,'CARNET DE SOUDURE'!$M$7:$M$3006,"&lt;&gt;")+COUNTIFS('CARNET DE SOUDURE'!$O$7:$O$3006,B638,'CARNET DE SOUDURE'!$P$7:$P$3006,"&lt;&gt;"&amp;C638,'CARNET DE SOUDURE'!$P$7:$P$3006,"&lt;&gt;")&gt;0,"⚠ DIFFÉRENTE","OK"))</f>
        <v>OK</v>
      </c>
      <c r="F638" s="147" t="n">
        <v>11.94</v>
      </c>
      <c r="G638" s="80"/>
      <c r="H638" s="83"/>
      <c r="I638" s="148" t="str">
        <f aca="false">IF(B638="","",IFERROR(INDEX('CARNET DE SOUDURE'!$B$7:$B$3006,MATCH(B638,'CARNET DE SOUDURE'!$L$7:$L$3006,0)),IFERROR(INDEX('CARNET DE SOUDURE'!$B$7:$B$3006,MATCH(B638,'CARNET DE SOUDURE'!$O$7:$O$3006,0)),"")))</f>
        <v>MFD-ISW → MFD-CPF</v>
      </c>
      <c r="J638" s="82" t="str">
        <f aca="false">IF(B638="","",IFERROR(INDEX('CARNET DE SOUDURE'!$E$7:$E$3006,MATCH(B638,'CARNET DE SOUDURE'!$O$7:$O$3006,0)),""))</f>
        <v>JN°1312</v>
      </c>
      <c r="K638" s="82" t="str">
        <f aca="false">IF(B638="","",IFERROR(INDEX('CARNET DE SOUDURE'!$E$7:$E$3006,MATCH(B638,'CARNET DE SOUDURE'!$L$7:$L$3006,0)),""))</f>
        <v>DJ°222</v>
      </c>
      <c r="L638" s="82" t="n">
        <f aca="false">IF(B638="","",IFERROR(INDEX('CARNET DE SOUDURE'!$D$7:$D$3006,MATCH(B638,'CARNET DE SOUDURE'!$L$7:$L$3006,0)),IFERROR(INDEX('CARNET DE SOUDURE'!$D$7:$D$3006,MATCH(B638,'CARNET DE SOUDURE'!$O$7:$O$3006,0)),"")))</f>
        <v>14</v>
      </c>
      <c r="M638" s="82" t="str">
        <f aca="false">IF(B638="","",IF(OR(J638&lt;&gt;"",K638&lt;&gt;""),"POSÉ EN LIGNE",IF(COUNTIF(BARDAGE!$C$1:$C$5000,B638)&gt;0,"BARDÉ","EN STOCK")))</f>
        <v>POSÉ EN LIGNE</v>
      </c>
      <c r="N638" s="80"/>
    </row>
    <row r="639" customFormat="false" ht="15" hidden="false" customHeight="false" outlineLevel="0" collapsed="false">
      <c r="A639" s="82" t="n">
        <f aca="false">IF(B639="","",ROW()-6)</f>
        <v>633</v>
      </c>
      <c r="B639" s="145" t="n">
        <v>2081990</v>
      </c>
      <c r="C639" s="146" t="n">
        <v>15421104</v>
      </c>
      <c r="D639" s="146"/>
      <c r="E639" s="82" t="str">
        <f aca="false">IF(B639="","",IF(COUNTIFS('CARNET DE SOUDURE'!$L$7:$L$3006,B639,'CARNET DE SOUDURE'!$M$7:$M$3006,"&lt;&gt;"&amp;C639,'CARNET DE SOUDURE'!$M$7:$M$3006,"&lt;&gt;")+COUNTIFS('CARNET DE SOUDURE'!$O$7:$O$3006,B639,'CARNET DE SOUDURE'!$P$7:$P$3006,"&lt;&gt;"&amp;C639,'CARNET DE SOUDURE'!$P$7:$P$3006,"&lt;&gt;")&gt;0,"⚠ DIFFÉRENTE","OK"))</f>
        <v>OK</v>
      </c>
      <c r="F639" s="147" t="n">
        <v>11.94</v>
      </c>
      <c r="G639" s="80"/>
      <c r="H639" s="83"/>
      <c r="I639" s="148" t="str">
        <f aca="false">IF(B639="","",IFERROR(INDEX('CARNET DE SOUDURE'!$B$7:$B$3006,MATCH(B639,'CARNET DE SOUDURE'!$L$7:$L$3006,0)),IFERROR(INDEX('CARNET DE SOUDURE'!$B$7:$B$3006,MATCH(B639,'CARNET DE SOUDURE'!$O$7:$O$3006,0)),"")))</f>
        <v>MFD-ISW → MFD-CPF</v>
      </c>
      <c r="J639" s="82" t="str">
        <f aca="false">IF(B639="","",IFERROR(INDEX('CARNET DE SOUDURE'!$E$7:$E$3006,MATCH(B639,'CARNET DE SOUDURE'!$O$7:$O$3006,0)),""))</f>
        <v>DJ°222</v>
      </c>
      <c r="K639" s="82" t="str">
        <f aca="false">IF(B639="","",IFERROR(INDEX('CARNET DE SOUDURE'!$E$7:$E$3006,MATCH(B639,'CARNET DE SOUDURE'!$L$7:$L$3006,0)),""))</f>
        <v>JN°1313</v>
      </c>
      <c r="L639" s="82" t="n">
        <f aca="false">IF(B639="","",IFERROR(INDEX('CARNET DE SOUDURE'!$D$7:$D$3006,MATCH(B639,'CARNET DE SOUDURE'!$L$7:$L$3006,0)),IFERROR(INDEX('CARNET DE SOUDURE'!$D$7:$D$3006,MATCH(B639,'CARNET DE SOUDURE'!$O$7:$O$3006,0)),"")))</f>
        <v>14</v>
      </c>
      <c r="M639" s="82" t="str">
        <f aca="false">IF(B639="","",IF(OR(J639&lt;&gt;"",K639&lt;&gt;""),"POSÉ EN LIGNE",IF(COUNTIF(BARDAGE!$C$1:$C$5000,B639)&gt;0,"BARDÉ","EN STOCK")))</f>
        <v>POSÉ EN LIGNE</v>
      </c>
      <c r="N639" s="80"/>
    </row>
    <row r="640" customFormat="false" ht="15" hidden="false" customHeight="false" outlineLevel="0" collapsed="false">
      <c r="A640" s="82" t="n">
        <f aca="false">IF(B640="","",ROW()-6)</f>
        <v>634</v>
      </c>
      <c r="B640" s="145" t="n">
        <v>2094250</v>
      </c>
      <c r="C640" s="146" t="n">
        <v>15421110</v>
      </c>
      <c r="D640" s="146"/>
      <c r="E640" s="82" t="str">
        <f aca="false">IF(B640="","",IF(COUNTIFS('CARNET DE SOUDURE'!$L$7:$L$3006,B640,'CARNET DE SOUDURE'!$M$7:$M$3006,"&lt;&gt;"&amp;C640,'CARNET DE SOUDURE'!$M$7:$M$3006,"&lt;&gt;")+COUNTIFS('CARNET DE SOUDURE'!$O$7:$O$3006,B640,'CARNET DE SOUDURE'!$P$7:$P$3006,"&lt;&gt;"&amp;C640,'CARNET DE SOUDURE'!$P$7:$P$3006,"&lt;&gt;")&gt;0,"⚠ DIFFÉRENTE","OK"))</f>
        <v>OK</v>
      </c>
      <c r="F640" s="147" t="n">
        <v>11.94</v>
      </c>
      <c r="G640" s="80"/>
      <c r="H640" s="83"/>
      <c r="I640" s="148" t="str">
        <f aca="false">IF(B640="","",IFERROR(INDEX('CARNET DE SOUDURE'!$B$7:$B$3006,MATCH(B640,'CARNET DE SOUDURE'!$L$7:$L$3006,0)),IFERROR(INDEX('CARNET DE SOUDURE'!$B$7:$B$3006,MATCH(B640,'CARNET DE SOUDURE'!$O$7:$O$3006,0)),"")))</f>
        <v>MFD-ISW → MFD-CPF</v>
      </c>
      <c r="J640" s="82" t="str">
        <f aca="false">IF(B640="","",IFERROR(INDEX('CARNET DE SOUDURE'!$E$7:$E$3006,MATCH(B640,'CARNET DE SOUDURE'!$O$7:$O$3006,0)),""))</f>
        <v>JN°1313</v>
      </c>
      <c r="K640" s="82" t="str">
        <f aca="false">IF(B640="","",IFERROR(INDEX('CARNET DE SOUDURE'!$E$7:$E$3006,MATCH(B640,'CARNET DE SOUDURE'!$L$7:$L$3006,0)),""))</f>
        <v>DJ°204</v>
      </c>
      <c r="L640" s="82" t="n">
        <f aca="false">IF(B640="","",IFERROR(INDEX('CARNET DE SOUDURE'!$D$7:$D$3006,MATCH(B640,'CARNET DE SOUDURE'!$L$7:$L$3006,0)),IFERROR(INDEX('CARNET DE SOUDURE'!$D$7:$D$3006,MATCH(B640,'CARNET DE SOUDURE'!$O$7:$O$3006,0)),"")))</f>
        <v>14</v>
      </c>
      <c r="M640" s="82" t="str">
        <f aca="false">IF(B640="","",IF(OR(J640&lt;&gt;"",K640&lt;&gt;""),"POSÉ EN LIGNE",IF(COUNTIF(BARDAGE!$C$1:$C$5000,B640)&gt;0,"BARDÉ","EN STOCK")))</f>
        <v>POSÉ EN LIGNE</v>
      </c>
      <c r="N640" s="80"/>
    </row>
    <row r="641" customFormat="false" ht="15" hidden="false" customHeight="false" outlineLevel="0" collapsed="false">
      <c r="A641" s="82" t="n">
        <f aca="false">IF(B641="","",ROW()-6)</f>
        <v>635</v>
      </c>
      <c r="B641" s="145" t="n">
        <v>2097490</v>
      </c>
      <c r="C641" s="146" t="n">
        <v>15421112</v>
      </c>
      <c r="D641" s="146"/>
      <c r="E641" s="82" t="str">
        <f aca="false">IF(B641="","",IF(COUNTIFS('CARNET DE SOUDURE'!$L$7:$L$3006,B641,'CARNET DE SOUDURE'!$M$7:$M$3006,"&lt;&gt;"&amp;C641,'CARNET DE SOUDURE'!$M$7:$M$3006,"&lt;&gt;")+COUNTIFS('CARNET DE SOUDURE'!$O$7:$O$3006,B641,'CARNET DE SOUDURE'!$P$7:$P$3006,"&lt;&gt;"&amp;C641,'CARNET DE SOUDURE'!$P$7:$P$3006,"&lt;&gt;")&gt;0,"⚠ DIFFÉRENTE","OK"))</f>
        <v>OK</v>
      </c>
      <c r="F641" s="147" t="n">
        <v>11.94</v>
      </c>
      <c r="G641" s="80"/>
      <c r="H641" s="83"/>
      <c r="I641" s="148" t="str">
        <f aca="false">IF(B641="","",IFERROR(INDEX('CARNET DE SOUDURE'!$B$7:$B$3006,MATCH(B641,'CARNET DE SOUDURE'!$L$7:$L$3006,0)),IFERROR(INDEX('CARNET DE SOUDURE'!$B$7:$B$3006,MATCH(B641,'CARNET DE SOUDURE'!$O$7:$O$3006,0)),"")))</f>
        <v>MFD-ISW → MFD-CPF</v>
      </c>
      <c r="J641" s="82" t="str">
        <f aca="false">IF(B641="","",IFERROR(INDEX('CARNET DE SOUDURE'!$E$7:$E$3006,MATCH(B641,'CARNET DE SOUDURE'!$O$7:$O$3006,0)),""))</f>
        <v>DJ°204</v>
      </c>
      <c r="K641" s="82" t="str">
        <f aca="false">IF(B641="","",IFERROR(INDEX('CARNET DE SOUDURE'!$E$7:$E$3006,MATCH(B641,'CARNET DE SOUDURE'!$L$7:$L$3006,0)),""))</f>
        <v>JN°1314</v>
      </c>
      <c r="L641" s="82" t="n">
        <f aca="false">IF(B641="","",IFERROR(INDEX('CARNET DE SOUDURE'!$D$7:$D$3006,MATCH(B641,'CARNET DE SOUDURE'!$L$7:$L$3006,0)),IFERROR(INDEX('CARNET DE SOUDURE'!$D$7:$D$3006,MATCH(B641,'CARNET DE SOUDURE'!$O$7:$O$3006,0)),"")))</f>
        <v>14</v>
      </c>
      <c r="M641" s="82" t="str">
        <f aca="false">IF(B641="","",IF(OR(J641&lt;&gt;"",K641&lt;&gt;""),"POSÉ EN LIGNE",IF(COUNTIF(BARDAGE!$C$1:$C$5000,B641)&gt;0,"BARDÉ","EN STOCK")))</f>
        <v>POSÉ EN LIGNE</v>
      </c>
      <c r="N641" s="80"/>
    </row>
    <row r="642" customFormat="false" ht="15" hidden="false" customHeight="false" outlineLevel="0" collapsed="false">
      <c r="A642" s="82" t="n">
        <f aca="false">IF(B642="","",ROW()-6)</f>
        <v>636</v>
      </c>
      <c r="B642" s="145" t="n">
        <v>2095440</v>
      </c>
      <c r="C642" s="146" t="n">
        <v>15421111</v>
      </c>
      <c r="D642" s="146"/>
      <c r="E642" s="82" t="str">
        <f aca="false">IF(B642="","",IF(COUNTIFS('CARNET DE SOUDURE'!$L$7:$L$3006,B642,'CARNET DE SOUDURE'!$M$7:$M$3006,"&lt;&gt;"&amp;C642,'CARNET DE SOUDURE'!$M$7:$M$3006,"&lt;&gt;")+COUNTIFS('CARNET DE SOUDURE'!$O$7:$O$3006,B642,'CARNET DE SOUDURE'!$P$7:$P$3006,"&lt;&gt;"&amp;C642,'CARNET DE SOUDURE'!$P$7:$P$3006,"&lt;&gt;")&gt;0,"⚠ DIFFÉRENTE","OK"))</f>
        <v>OK</v>
      </c>
      <c r="F642" s="147" t="n">
        <v>11.94</v>
      </c>
      <c r="G642" s="80"/>
      <c r="H642" s="83"/>
      <c r="I642" s="148" t="str">
        <f aca="false">IF(B642="","",IFERROR(INDEX('CARNET DE SOUDURE'!$B$7:$B$3006,MATCH(B642,'CARNET DE SOUDURE'!$L$7:$L$3006,0)),IFERROR(INDEX('CARNET DE SOUDURE'!$B$7:$B$3006,MATCH(B642,'CARNET DE SOUDURE'!$O$7:$O$3006,0)),"")))</f>
        <v>MFD-ISW → MFD-CPF</v>
      </c>
      <c r="J642" s="82" t="str">
        <f aca="false">IF(B642="","",IFERROR(INDEX('CARNET DE SOUDURE'!$E$7:$E$3006,MATCH(B642,'CARNET DE SOUDURE'!$O$7:$O$3006,0)),""))</f>
        <v>JN°1314</v>
      </c>
      <c r="K642" s="82" t="str">
        <f aca="false">IF(B642="","",IFERROR(INDEX('CARNET DE SOUDURE'!$E$7:$E$3006,MATCH(B642,'CARNET DE SOUDURE'!$L$7:$L$3006,0)),""))</f>
        <v>DJ°164</v>
      </c>
      <c r="L642" s="82" t="n">
        <f aca="false">IF(B642="","",IFERROR(INDEX('CARNET DE SOUDURE'!$D$7:$D$3006,MATCH(B642,'CARNET DE SOUDURE'!$L$7:$L$3006,0)),IFERROR(INDEX('CARNET DE SOUDURE'!$D$7:$D$3006,MATCH(B642,'CARNET DE SOUDURE'!$O$7:$O$3006,0)),"")))</f>
        <v>14</v>
      </c>
      <c r="M642" s="82" t="str">
        <f aca="false">IF(B642="","",IF(OR(J642&lt;&gt;"",K642&lt;&gt;""),"POSÉ EN LIGNE",IF(COUNTIF(BARDAGE!$C$1:$C$5000,B642)&gt;0,"BARDÉ","EN STOCK")))</f>
        <v>POSÉ EN LIGNE</v>
      </c>
      <c r="N642" s="80"/>
    </row>
    <row r="643" customFormat="false" ht="15" hidden="false" customHeight="false" outlineLevel="0" collapsed="false">
      <c r="A643" s="82" t="n">
        <f aca="false">IF(B643="","",ROW()-6)</f>
        <v>637</v>
      </c>
      <c r="B643" s="145" t="n">
        <v>2079800</v>
      </c>
      <c r="C643" s="146" t="n">
        <v>15421102</v>
      </c>
      <c r="D643" s="146"/>
      <c r="E643" s="82" t="str">
        <f aca="false">IF(B643="","",IF(COUNTIFS('CARNET DE SOUDURE'!$L$7:$L$3006,B643,'CARNET DE SOUDURE'!$M$7:$M$3006,"&lt;&gt;"&amp;C643,'CARNET DE SOUDURE'!$M$7:$M$3006,"&lt;&gt;")+COUNTIFS('CARNET DE SOUDURE'!$O$7:$O$3006,B643,'CARNET DE SOUDURE'!$P$7:$P$3006,"&lt;&gt;"&amp;C643,'CARNET DE SOUDURE'!$P$7:$P$3006,"&lt;&gt;")&gt;0,"⚠ DIFFÉRENTE","OK"))</f>
        <v>OK</v>
      </c>
      <c r="F643" s="147" t="n">
        <v>11.94</v>
      </c>
      <c r="G643" s="80"/>
      <c r="H643" s="83"/>
      <c r="I643" s="148" t="str">
        <f aca="false">IF(B643="","",IFERROR(INDEX('CARNET DE SOUDURE'!$B$7:$B$3006,MATCH(B643,'CARNET DE SOUDURE'!$L$7:$L$3006,0)),IFERROR(INDEX('CARNET DE SOUDURE'!$B$7:$B$3006,MATCH(B643,'CARNET DE SOUDURE'!$O$7:$O$3006,0)),"")))</f>
        <v>MFD-ISW → MFD-CPF</v>
      </c>
      <c r="J643" s="82" t="str">
        <f aca="false">IF(B643="","",IFERROR(INDEX('CARNET DE SOUDURE'!$E$7:$E$3006,MATCH(B643,'CARNET DE SOUDURE'!$O$7:$O$3006,0)),""))</f>
        <v>DJ°164</v>
      </c>
      <c r="K643" s="82" t="str">
        <f aca="false">IF(B643="","",IFERROR(INDEX('CARNET DE SOUDURE'!$E$7:$E$3006,MATCH(B643,'CARNET DE SOUDURE'!$L$7:$L$3006,0)),""))</f>
        <v>JN°1315R</v>
      </c>
      <c r="L643" s="82" t="n">
        <f aca="false">IF(B643="","",IFERROR(INDEX('CARNET DE SOUDURE'!$D$7:$D$3006,MATCH(B643,'CARNET DE SOUDURE'!$L$7:$L$3006,0)),IFERROR(INDEX('CARNET DE SOUDURE'!$D$7:$D$3006,MATCH(B643,'CARNET DE SOUDURE'!$O$7:$O$3006,0)),"")))</f>
        <v>14</v>
      </c>
      <c r="M643" s="82" t="str">
        <f aca="false">IF(B643="","",IF(OR(J643&lt;&gt;"",K643&lt;&gt;""),"POSÉ EN LIGNE",IF(COUNTIF(BARDAGE!$C$1:$C$5000,B643)&gt;0,"BARDÉ","EN STOCK")))</f>
        <v>POSÉ EN LIGNE</v>
      </c>
      <c r="N643" s="80"/>
    </row>
    <row r="644" customFormat="false" ht="15" hidden="false" customHeight="false" outlineLevel="0" collapsed="false">
      <c r="A644" s="82" t="n">
        <f aca="false">IF(B644="","",ROW()-6)</f>
        <v>638</v>
      </c>
      <c r="B644" s="145" t="n">
        <v>2088830</v>
      </c>
      <c r="C644" s="146" t="n">
        <v>15421108</v>
      </c>
      <c r="D644" s="146"/>
      <c r="E644" s="82" t="str">
        <f aca="false">IF(B644="","",IF(COUNTIFS('CARNET DE SOUDURE'!$L$7:$L$3006,B644,'CARNET DE SOUDURE'!$M$7:$M$3006,"&lt;&gt;"&amp;C644,'CARNET DE SOUDURE'!$M$7:$M$3006,"&lt;&gt;")+COUNTIFS('CARNET DE SOUDURE'!$O$7:$O$3006,B644,'CARNET DE SOUDURE'!$P$7:$P$3006,"&lt;&gt;"&amp;C644,'CARNET DE SOUDURE'!$P$7:$P$3006,"&lt;&gt;")&gt;0,"⚠ DIFFÉRENTE","OK"))</f>
        <v>OK</v>
      </c>
      <c r="F644" s="147" t="n">
        <v>11.94</v>
      </c>
      <c r="G644" s="80"/>
      <c r="H644" s="83"/>
      <c r="I644" s="148" t="str">
        <f aca="false">IF(B644="","",IFERROR(INDEX('CARNET DE SOUDURE'!$B$7:$B$3006,MATCH(B644,'CARNET DE SOUDURE'!$L$7:$L$3006,0)),IFERROR(INDEX('CARNET DE SOUDURE'!$B$7:$B$3006,MATCH(B644,'CARNET DE SOUDURE'!$O$7:$O$3006,0)),"")))</f>
        <v>MFD-ISW → MFD-CPF</v>
      </c>
      <c r="J644" s="82" t="str">
        <f aca="false">IF(B644="","",IFERROR(INDEX('CARNET DE SOUDURE'!$E$7:$E$3006,MATCH(B644,'CARNET DE SOUDURE'!$O$7:$O$3006,0)),""))</f>
        <v>JN°1315R</v>
      </c>
      <c r="K644" s="82" t="str">
        <f aca="false">IF(B644="","",IFERROR(INDEX('CARNET DE SOUDURE'!$E$7:$E$3006,MATCH(B644,'CARNET DE SOUDURE'!$L$7:$L$3006,0)),""))</f>
        <v>DJ°219</v>
      </c>
      <c r="L644" s="82" t="n">
        <f aca="false">IF(B644="","",IFERROR(INDEX('CARNET DE SOUDURE'!$D$7:$D$3006,MATCH(B644,'CARNET DE SOUDURE'!$L$7:$L$3006,0)),IFERROR(INDEX('CARNET DE SOUDURE'!$D$7:$D$3006,MATCH(B644,'CARNET DE SOUDURE'!$O$7:$O$3006,0)),"")))</f>
        <v>14</v>
      </c>
      <c r="M644" s="82" t="str">
        <f aca="false">IF(B644="","",IF(OR(J644&lt;&gt;"",K644&lt;&gt;""),"POSÉ EN LIGNE",IF(COUNTIF(BARDAGE!$C$1:$C$5000,B644)&gt;0,"BARDÉ","EN STOCK")))</f>
        <v>POSÉ EN LIGNE</v>
      </c>
      <c r="N644" s="80"/>
    </row>
    <row r="645" customFormat="false" ht="15" hidden="false" customHeight="false" outlineLevel="0" collapsed="false">
      <c r="A645" s="82" t="n">
        <f aca="false">IF(B645="","",ROW()-6)</f>
        <v>639</v>
      </c>
      <c r="B645" s="145" t="n">
        <v>2096340</v>
      </c>
      <c r="C645" s="146" t="n">
        <v>15421111</v>
      </c>
      <c r="D645" s="146"/>
      <c r="E645" s="82" t="str">
        <f aca="false">IF(B645="","",IF(COUNTIFS('CARNET DE SOUDURE'!$L$7:$L$3006,B645,'CARNET DE SOUDURE'!$M$7:$M$3006,"&lt;&gt;"&amp;C645,'CARNET DE SOUDURE'!$M$7:$M$3006,"&lt;&gt;")+COUNTIFS('CARNET DE SOUDURE'!$O$7:$O$3006,B645,'CARNET DE SOUDURE'!$P$7:$P$3006,"&lt;&gt;"&amp;C645,'CARNET DE SOUDURE'!$P$7:$P$3006,"&lt;&gt;")&gt;0,"⚠ DIFFÉRENTE","OK"))</f>
        <v>OK</v>
      </c>
      <c r="F645" s="147" t="n">
        <v>11.94</v>
      </c>
      <c r="G645" s="80"/>
      <c r="H645" s="83"/>
      <c r="I645" s="148" t="str">
        <f aca="false">IF(B645="","",IFERROR(INDEX('CARNET DE SOUDURE'!$B$7:$B$3006,MATCH(B645,'CARNET DE SOUDURE'!$L$7:$L$3006,0)),IFERROR(INDEX('CARNET DE SOUDURE'!$B$7:$B$3006,MATCH(B645,'CARNET DE SOUDURE'!$O$7:$O$3006,0)),"")))</f>
        <v>MFD-ISW → MFD-CPF</v>
      </c>
      <c r="J645" s="82" t="str">
        <f aca="false">IF(B645="","",IFERROR(INDEX('CARNET DE SOUDURE'!$E$7:$E$3006,MATCH(B645,'CARNET DE SOUDURE'!$O$7:$O$3006,0)),""))</f>
        <v>DJ°219</v>
      </c>
      <c r="K645" s="82" t="str">
        <f aca="false">IF(B645="","",IFERROR(INDEX('CARNET DE SOUDURE'!$E$7:$E$3006,MATCH(B645,'CARNET DE SOUDURE'!$L$7:$L$3006,0)),""))</f>
        <v>JN°1316R</v>
      </c>
      <c r="L645" s="82" t="n">
        <f aca="false">IF(B645="","",IFERROR(INDEX('CARNET DE SOUDURE'!$D$7:$D$3006,MATCH(B645,'CARNET DE SOUDURE'!$L$7:$L$3006,0)),IFERROR(INDEX('CARNET DE SOUDURE'!$D$7:$D$3006,MATCH(B645,'CARNET DE SOUDURE'!$O$7:$O$3006,0)),"")))</f>
        <v>14</v>
      </c>
      <c r="M645" s="82" t="str">
        <f aca="false">IF(B645="","",IF(OR(J645&lt;&gt;"",K645&lt;&gt;""),"POSÉ EN LIGNE",IF(COUNTIF(BARDAGE!$C$1:$C$5000,B645)&gt;0,"BARDÉ","EN STOCK")))</f>
        <v>POSÉ EN LIGNE</v>
      </c>
      <c r="N645" s="80"/>
    </row>
    <row r="646" customFormat="false" ht="15" hidden="false" customHeight="false" outlineLevel="0" collapsed="false">
      <c r="A646" s="82" t="n">
        <f aca="false">IF(B646="","",ROW()-6)</f>
        <v>640</v>
      </c>
      <c r="B646" s="145" t="n">
        <v>2091020</v>
      </c>
      <c r="C646" s="146" t="n">
        <v>15421109</v>
      </c>
      <c r="D646" s="146"/>
      <c r="E646" s="82" t="str">
        <f aca="false">IF(B646="","",IF(COUNTIFS('CARNET DE SOUDURE'!$L$7:$L$3006,B646,'CARNET DE SOUDURE'!$M$7:$M$3006,"&lt;&gt;"&amp;C646,'CARNET DE SOUDURE'!$M$7:$M$3006,"&lt;&gt;")+COUNTIFS('CARNET DE SOUDURE'!$O$7:$O$3006,B646,'CARNET DE SOUDURE'!$P$7:$P$3006,"&lt;&gt;"&amp;C646,'CARNET DE SOUDURE'!$P$7:$P$3006,"&lt;&gt;")&gt;0,"⚠ DIFFÉRENTE","OK"))</f>
        <v>OK</v>
      </c>
      <c r="F646" s="147" t="n">
        <v>11.94</v>
      </c>
      <c r="G646" s="80"/>
      <c r="H646" s="83"/>
      <c r="I646" s="148" t="str">
        <f aca="false">IF(B646="","",IFERROR(INDEX('CARNET DE SOUDURE'!$B$7:$B$3006,MATCH(B646,'CARNET DE SOUDURE'!$L$7:$L$3006,0)),IFERROR(INDEX('CARNET DE SOUDURE'!$B$7:$B$3006,MATCH(B646,'CARNET DE SOUDURE'!$O$7:$O$3006,0)),"")))</f>
        <v>MFD-ISW → MFD-CPF</v>
      </c>
      <c r="J646" s="82" t="str">
        <f aca="false">IF(B646="","",IFERROR(INDEX('CARNET DE SOUDURE'!$E$7:$E$3006,MATCH(B646,'CARNET DE SOUDURE'!$O$7:$O$3006,0)),""))</f>
        <v>JN°1316R</v>
      </c>
      <c r="K646" s="82" t="str">
        <f aca="false">IF(B646="","",IFERROR(INDEX('CARNET DE SOUDURE'!$E$7:$E$3006,MATCH(B646,'CARNET DE SOUDURE'!$L$7:$L$3006,0)),""))</f>
        <v>DJ°226</v>
      </c>
      <c r="L646" s="82" t="n">
        <f aca="false">IF(B646="","",IFERROR(INDEX('CARNET DE SOUDURE'!$D$7:$D$3006,MATCH(B646,'CARNET DE SOUDURE'!$L$7:$L$3006,0)),IFERROR(INDEX('CARNET DE SOUDURE'!$D$7:$D$3006,MATCH(B646,'CARNET DE SOUDURE'!$O$7:$O$3006,0)),"")))</f>
        <v>14</v>
      </c>
      <c r="M646" s="82" t="str">
        <f aca="false">IF(B646="","",IF(OR(J646&lt;&gt;"",K646&lt;&gt;""),"POSÉ EN LIGNE",IF(COUNTIF(BARDAGE!$C$1:$C$5000,B646)&gt;0,"BARDÉ","EN STOCK")))</f>
        <v>POSÉ EN LIGNE</v>
      </c>
      <c r="N646" s="80"/>
    </row>
    <row r="647" customFormat="false" ht="15" hidden="false" customHeight="false" outlineLevel="0" collapsed="false">
      <c r="A647" s="82" t="n">
        <f aca="false">IF(B647="","",ROW()-6)</f>
        <v>641</v>
      </c>
      <c r="B647" s="145" t="n">
        <v>2079070</v>
      </c>
      <c r="C647" s="146" t="n">
        <v>15421102</v>
      </c>
      <c r="D647" s="146"/>
      <c r="E647" s="82" t="str">
        <f aca="false">IF(B647="","",IF(COUNTIFS('CARNET DE SOUDURE'!$L$7:$L$3006,B647,'CARNET DE SOUDURE'!$M$7:$M$3006,"&lt;&gt;"&amp;C647,'CARNET DE SOUDURE'!$M$7:$M$3006,"&lt;&gt;")+COUNTIFS('CARNET DE SOUDURE'!$O$7:$O$3006,B647,'CARNET DE SOUDURE'!$P$7:$P$3006,"&lt;&gt;"&amp;C647,'CARNET DE SOUDURE'!$P$7:$P$3006,"&lt;&gt;")&gt;0,"⚠ DIFFÉRENTE","OK"))</f>
        <v>OK</v>
      </c>
      <c r="F647" s="147" t="n">
        <v>11.94</v>
      </c>
      <c r="G647" s="80"/>
      <c r="H647" s="83"/>
      <c r="I647" s="148" t="str">
        <f aca="false">IF(B647="","",IFERROR(INDEX('CARNET DE SOUDURE'!$B$7:$B$3006,MATCH(B647,'CARNET DE SOUDURE'!$L$7:$L$3006,0)),IFERROR(INDEX('CARNET DE SOUDURE'!$B$7:$B$3006,MATCH(B647,'CARNET DE SOUDURE'!$O$7:$O$3006,0)),"")))</f>
        <v>MFD-ISW → MFD-CPF</v>
      </c>
      <c r="J647" s="82" t="str">
        <f aca="false">IF(B647="","",IFERROR(INDEX('CARNET DE SOUDURE'!$E$7:$E$3006,MATCH(B647,'CARNET DE SOUDURE'!$O$7:$O$3006,0)),""))</f>
        <v>DJ°226</v>
      </c>
      <c r="K647" s="82" t="str">
        <f aca="false">IF(B647="","",IFERROR(INDEX('CARNET DE SOUDURE'!$E$7:$E$3006,MATCH(B647,'CARNET DE SOUDURE'!$L$7:$L$3006,0)),""))</f>
        <v>JN°1317</v>
      </c>
      <c r="L647" s="82" t="n">
        <f aca="false">IF(B647="","",IFERROR(INDEX('CARNET DE SOUDURE'!$D$7:$D$3006,MATCH(B647,'CARNET DE SOUDURE'!$L$7:$L$3006,0)),IFERROR(INDEX('CARNET DE SOUDURE'!$D$7:$D$3006,MATCH(B647,'CARNET DE SOUDURE'!$O$7:$O$3006,0)),"")))</f>
        <v>14</v>
      </c>
      <c r="M647" s="82" t="str">
        <f aca="false">IF(B647="","",IF(OR(J647&lt;&gt;"",K647&lt;&gt;""),"POSÉ EN LIGNE",IF(COUNTIF(BARDAGE!$C$1:$C$5000,B647)&gt;0,"BARDÉ","EN STOCK")))</f>
        <v>POSÉ EN LIGNE</v>
      </c>
      <c r="N647" s="80"/>
    </row>
    <row r="648" customFormat="false" ht="15" hidden="false" customHeight="false" outlineLevel="0" collapsed="false">
      <c r="A648" s="82" t="n">
        <f aca="false">IF(B648="","",ROW()-6)</f>
        <v>642</v>
      </c>
      <c r="B648" s="145" t="n">
        <v>2088360</v>
      </c>
      <c r="C648" s="146" t="n">
        <v>15421108</v>
      </c>
      <c r="D648" s="146"/>
      <c r="E648" s="82" t="str">
        <f aca="false">IF(B648="","",IF(COUNTIFS('CARNET DE SOUDURE'!$L$7:$L$3006,B648,'CARNET DE SOUDURE'!$M$7:$M$3006,"&lt;&gt;"&amp;C648,'CARNET DE SOUDURE'!$M$7:$M$3006,"&lt;&gt;")+COUNTIFS('CARNET DE SOUDURE'!$O$7:$O$3006,B648,'CARNET DE SOUDURE'!$P$7:$P$3006,"&lt;&gt;"&amp;C648,'CARNET DE SOUDURE'!$P$7:$P$3006,"&lt;&gt;")&gt;0,"⚠ DIFFÉRENTE","OK"))</f>
        <v>OK</v>
      </c>
      <c r="F648" s="147" t="n">
        <v>11.94</v>
      </c>
      <c r="G648" s="80"/>
      <c r="H648" s="83"/>
      <c r="I648" s="148" t="str">
        <f aca="false">IF(B648="","",IFERROR(INDEX('CARNET DE SOUDURE'!$B$7:$B$3006,MATCH(B648,'CARNET DE SOUDURE'!$L$7:$L$3006,0)),IFERROR(INDEX('CARNET DE SOUDURE'!$B$7:$B$3006,MATCH(B648,'CARNET DE SOUDURE'!$O$7:$O$3006,0)),"")))</f>
        <v>MFD-ISW → MFD-CPF</v>
      </c>
      <c r="J648" s="82" t="str">
        <f aca="false">IF(B648="","",IFERROR(INDEX('CARNET DE SOUDURE'!$E$7:$E$3006,MATCH(B648,'CARNET DE SOUDURE'!$O$7:$O$3006,0)),""))</f>
        <v>JN°1317</v>
      </c>
      <c r="K648" s="82" t="str">
        <f aca="false">IF(B648="","",IFERROR(INDEX('CARNET DE SOUDURE'!$E$7:$E$3006,MATCH(B648,'CARNET DE SOUDURE'!$L$7:$L$3006,0)),""))</f>
        <v>DJ°220</v>
      </c>
      <c r="L648" s="82" t="n">
        <f aca="false">IF(B648="","",IFERROR(INDEX('CARNET DE SOUDURE'!$D$7:$D$3006,MATCH(B648,'CARNET DE SOUDURE'!$L$7:$L$3006,0)),IFERROR(INDEX('CARNET DE SOUDURE'!$D$7:$D$3006,MATCH(B648,'CARNET DE SOUDURE'!$O$7:$O$3006,0)),"")))</f>
        <v>14</v>
      </c>
      <c r="M648" s="82" t="str">
        <f aca="false">IF(B648="","",IF(OR(J648&lt;&gt;"",K648&lt;&gt;""),"POSÉ EN LIGNE",IF(COUNTIF(BARDAGE!$C$1:$C$5000,B648)&gt;0,"BARDÉ","EN STOCK")))</f>
        <v>POSÉ EN LIGNE</v>
      </c>
      <c r="N648" s="80"/>
    </row>
    <row r="649" customFormat="false" ht="15" hidden="false" customHeight="false" outlineLevel="0" collapsed="false">
      <c r="A649" s="82" t="n">
        <f aca="false">IF(B649="","",ROW()-6)</f>
        <v>643</v>
      </c>
      <c r="B649" s="145" t="n">
        <v>2093210</v>
      </c>
      <c r="C649" s="146" t="n">
        <v>15421110</v>
      </c>
      <c r="D649" s="146"/>
      <c r="E649" s="82" t="str">
        <f aca="false">IF(B649="","",IF(COUNTIFS('CARNET DE SOUDURE'!$L$7:$L$3006,B649,'CARNET DE SOUDURE'!$M$7:$M$3006,"&lt;&gt;"&amp;C649,'CARNET DE SOUDURE'!$M$7:$M$3006,"&lt;&gt;")+COUNTIFS('CARNET DE SOUDURE'!$O$7:$O$3006,B649,'CARNET DE SOUDURE'!$P$7:$P$3006,"&lt;&gt;"&amp;C649,'CARNET DE SOUDURE'!$P$7:$P$3006,"&lt;&gt;")&gt;0,"⚠ DIFFÉRENTE","OK"))</f>
        <v>OK</v>
      </c>
      <c r="F649" s="147" t="n">
        <v>11.94</v>
      </c>
      <c r="G649" s="80"/>
      <c r="H649" s="83"/>
      <c r="I649" s="148" t="str">
        <f aca="false">IF(B649="","",IFERROR(INDEX('CARNET DE SOUDURE'!$B$7:$B$3006,MATCH(B649,'CARNET DE SOUDURE'!$L$7:$L$3006,0)),IFERROR(INDEX('CARNET DE SOUDURE'!$B$7:$B$3006,MATCH(B649,'CARNET DE SOUDURE'!$O$7:$O$3006,0)),"")))</f>
        <v>MFD-ISW → MFD-CPF</v>
      </c>
      <c r="J649" s="82" t="str">
        <f aca="false">IF(B649="","",IFERROR(INDEX('CARNET DE SOUDURE'!$E$7:$E$3006,MATCH(B649,'CARNET DE SOUDURE'!$O$7:$O$3006,0)),""))</f>
        <v>DJ°220</v>
      </c>
      <c r="K649" s="82" t="str">
        <f aca="false">IF(B649="","",IFERROR(INDEX('CARNET DE SOUDURE'!$E$7:$E$3006,MATCH(B649,'CARNET DE SOUDURE'!$L$7:$L$3006,0)),""))</f>
        <v>JN°1318</v>
      </c>
      <c r="L649" s="82" t="n">
        <f aca="false">IF(B649="","",IFERROR(INDEX('CARNET DE SOUDURE'!$D$7:$D$3006,MATCH(B649,'CARNET DE SOUDURE'!$L$7:$L$3006,0)),IFERROR(INDEX('CARNET DE SOUDURE'!$D$7:$D$3006,MATCH(B649,'CARNET DE SOUDURE'!$O$7:$O$3006,0)),"")))</f>
        <v>14</v>
      </c>
      <c r="M649" s="82" t="str">
        <f aca="false">IF(B649="","",IF(OR(J649&lt;&gt;"",K649&lt;&gt;""),"POSÉ EN LIGNE",IF(COUNTIF(BARDAGE!$C$1:$C$5000,B649)&gt;0,"BARDÉ","EN STOCK")))</f>
        <v>POSÉ EN LIGNE</v>
      </c>
      <c r="N649" s="80"/>
    </row>
    <row r="650" customFormat="false" ht="15" hidden="false" customHeight="false" outlineLevel="0" collapsed="false">
      <c r="A650" s="82" t="n">
        <f aca="false">IF(B650="","",ROW()-6)</f>
        <v>644</v>
      </c>
      <c r="B650" s="145" t="n">
        <v>2095760</v>
      </c>
      <c r="C650" s="146" t="n">
        <v>15421111</v>
      </c>
      <c r="D650" s="146"/>
      <c r="E650" s="82" t="str">
        <f aca="false">IF(B650="","",IF(COUNTIFS('CARNET DE SOUDURE'!$L$7:$L$3006,B650,'CARNET DE SOUDURE'!$M$7:$M$3006,"&lt;&gt;"&amp;C650,'CARNET DE SOUDURE'!$M$7:$M$3006,"&lt;&gt;")+COUNTIFS('CARNET DE SOUDURE'!$O$7:$O$3006,B650,'CARNET DE SOUDURE'!$P$7:$P$3006,"&lt;&gt;"&amp;C650,'CARNET DE SOUDURE'!$P$7:$P$3006,"&lt;&gt;")&gt;0,"⚠ DIFFÉRENTE","OK"))</f>
        <v>OK</v>
      </c>
      <c r="F650" s="147" t="n">
        <v>11.94</v>
      </c>
      <c r="G650" s="80"/>
      <c r="H650" s="83"/>
      <c r="I650" s="148" t="str">
        <f aca="false">IF(B650="","",IFERROR(INDEX('CARNET DE SOUDURE'!$B$7:$B$3006,MATCH(B650,'CARNET DE SOUDURE'!$L$7:$L$3006,0)),IFERROR(INDEX('CARNET DE SOUDURE'!$B$7:$B$3006,MATCH(B650,'CARNET DE SOUDURE'!$O$7:$O$3006,0)),"")))</f>
        <v>MFD-ISW → MFD-CPF</v>
      </c>
      <c r="J650" s="82" t="str">
        <f aca="false">IF(B650="","",IFERROR(INDEX('CARNET DE SOUDURE'!$E$7:$E$3006,MATCH(B650,'CARNET DE SOUDURE'!$O$7:$O$3006,0)),""))</f>
        <v>JN°1318</v>
      </c>
      <c r="K650" s="82" t="str">
        <f aca="false">IF(B650="","",IFERROR(INDEX('CARNET DE SOUDURE'!$E$7:$E$3006,MATCH(B650,'CARNET DE SOUDURE'!$L$7:$L$3006,0)),""))</f>
        <v>DJ°211</v>
      </c>
      <c r="L650" s="82" t="n">
        <f aca="false">IF(B650="","",IFERROR(INDEX('CARNET DE SOUDURE'!$D$7:$D$3006,MATCH(B650,'CARNET DE SOUDURE'!$L$7:$L$3006,0)),IFERROR(INDEX('CARNET DE SOUDURE'!$D$7:$D$3006,MATCH(B650,'CARNET DE SOUDURE'!$O$7:$O$3006,0)),"")))</f>
        <v>14</v>
      </c>
      <c r="M650" s="82" t="str">
        <f aca="false">IF(B650="","",IF(OR(J650&lt;&gt;"",K650&lt;&gt;""),"POSÉ EN LIGNE",IF(COUNTIF(BARDAGE!$C$1:$C$5000,B650)&gt;0,"BARDÉ","EN STOCK")))</f>
        <v>POSÉ EN LIGNE</v>
      </c>
      <c r="N650" s="80"/>
    </row>
    <row r="651" customFormat="false" ht="15" hidden="false" customHeight="false" outlineLevel="0" collapsed="false">
      <c r="A651" s="82" t="n">
        <f aca="false">IF(B651="","",ROW()-6)</f>
        <v>645</v>
      </c>
      <c r="B651" s="145" t="n">
        <v>2088590</v>
      </c>
      <c r="C651" s="146" t="n">
        <v>15421108</v>
      </c>
      <c r="D651" s="146"/>
      <c r="E651" s="82" t="str">
        <f aca="false">IF(B651="","",IF(COUNTIFS('CARNET DE SOUDURE'!$L$7:$L$3006,B651,'CARNET DE SOUDURE'!$M$7:$M$3006,"&lt;&gt;"&amp;C651,'CARNET DE SOUDURE'!$M$7:$M$3006,"&lt;&gt;")+COUNTIFS('CARNET DE SOUDURE'!$O$7:$O$3006,B651,'CARNET DE SOUDURE'!$P$7:$P$3006,"&lt;&gt;"&amp;C651,'CARNET DE SOUDURE'!$P$7:$P$3006,"&lt;&gt;")&gt;0,"⚠ DIFFÉRENTE","OK"))</f>
        <v>OK</v>
      </c>
      <c r="F651" s="147" t="n">
        <v>11.94</v>
      </c>
      <c r="G651" s="80"/>
      <c r="H651" s="83"/>
      <c r="I651" s="148" t="str">
        <f aca="false">IF(B651="","",IFERROR(INDEX('CARNET DE SOUDURE'!$B$7:$B$3006,MATCH(B651,'CARNET DE SOUDURE'!$L$7:$L$3006,0)),IFERROR(INDEX('CARNET DE SOUDURE'!$B$7:$B$3006,MATCH(B651,'CARNET DE SOUDURE'!$O$7:$O$3006,0)),"")))</f>
        <v>MFD-ISW → MFD-CPF</v>
      </c>
      <c r="J651" s="82" t="str">
        <f aca="false">IF(B651="","",IFERROR(INDEX('CARNET DE SOUDURE'!$E$7:$E$3006,MATCH(B651,'CARNET DE SOUDURE'!$O$7:$O$3006,0)),""))</f>
        <v>DJ°211</v>
      </c>
      <c r="K651" s="82" t="str">
        <f aca="false">IF(B651="","",IFERROR(INDEX('CARNET DE SOUDURE'!$E$7:$E$3006,MATCH(B651,'CARNET DE SOUDURE'!$L$7:$L$3006,0)),""))</f>
        <v>JN°1319</v>
      </c>
      <c r="L651" s="82" t="n">
        <f aca="false">IF(B651="","",IFERROR(INDEX('CARNET DE SOUDURE'!$D$7:$D$3006,MATCH(B651,'CARNET DE SOUDURE'!$L$7:$L$3006,0)),IFERROR(INDEX('CARNET DE SOUDURE'!$D$7:$D$3006,MATCH(B651,'CARNET DE SOUDURE'!$O$7:$O$3006,0)),"")))</f>
        <v>14</v>
      </c>
      <c r="M651" s="82" t="str">
        <f aca="false">IF(B651="","",IF(OR(J651&lt;&gt;"",K651&lt;&gt;""),"POSÉ EN LIGNE",IF(COUNTIF(BARDAGE!$C$1:$C$5000,B651)&gt;0,"BARDÉ","EN STOCK")))</f>
        <v>POSÉ EN LIGNE</v>
      </c>
      <c r="N651" s="80"/>
    </row>
    <row r="652" customFormat="false" ht="15" hidden="false" customHeight="false" outlineLevel="0" collapsed="false">
      <c r="A652" s="82" t="n">
        <f aca="false">IF(B652="","",ROW()-6)</f>
        <v>646</v>
      </c>
      <c r="B652" s="145" t="n">
        <v>2081830</v>
      </c>
      <c r="C652" s="146" t="n">
        <v>15421104</v>
      </c>
      <c r="D652" s="146"/>
      <c r="E652" s="82" t="str">
        <f aca="false">IF(B652="","",IF(COUNTIFS('CARNET DE SOUDURE'!$L$7:$L$3006,B652,'CARNET DE SOUDURE'!$M$7:$M$3006,"&lt;&gt;"&amp;C652,'CARNET DE SOUDURE'!$M$7:$M$3006,"&lt;&gt;")+COUNTIFS('CARNET DE SOUDURE'!$O$7:$O$3006,B652,'CARNET DE SOUDURE'!$P$7:$P$3006,"&lt;&gt;"&amp;C652,'CARNET DE SOUDURE'!$P$7:$P$3006,"&lt;&gt;")&gt;0,"⚠ DIFFÉRENTE","OK"))</f>
        <v>OK</v>
      </c>
      <c r="F652" s="147" t="n">
        <v>11.94</v>
      </c>
      <c r="G652" s="80"/>
      <c r="H652" s="83"/>
      <c r="I652" s="148" t="str">
        <f aca="false">IF(B652="","",IFERROR(INDEX('CARNET DE SOUDURE'!$B$7:$B$3006,MATCH(B652,'CARNET DE SOUDURE'!$L$7:$L$3006,0)),IFERROR(INDEX('CARNET DE SOUDURE'!$B$7:$B$3006,MATCH(B652,'CARNET DE SOUDURE'!$O$7:$O$3006,0)),"")))</f>
        <v>MFD-ISW → MFD-CPF</v>
      </c>
      <c r="J652" s="82" t="str">
        <f aca="false">IF(B652="","",IFERROR(INDEX('CARNET DE SOUDURE'!$E$7:$E$3006,MATCH(B652,'CARNET DE SOUDURE'!$O$7:$O$3006,0)),""))</f>
        <v>JN°1319</v>
      </c>
      <c r="K652" s="82" t="str">
        <f aca="false">IF(B652="","",IFERROR(INDEX('CARNET DE SOUDURE'!$E$7:$E$3006,MATCH(B652,'CARNET DE SOUDURE'!$L$7:$L$3006,0)),""))</f>
        <v>DJ°205</v>
      </c>
      <c r="L652" s="82" t="n">
        <f aca="false">IF(B652="","",IFERROR(INDEX('CARNET DE SOUDURE'!$D$7:$D$3006,MATCH(B652,'CARNET DE SOUDURE'!$L$7:$L$3006,0)),IFERROR(INDEX('CARNET DE SOUDURE'!$D$7:$D$3006,MATCH(B652,'CARNET DE SOUDURE'!$O$7:$O$3006,0)),"")))</f>
        <v>14</v>
      </c>
      <c r="M652" s="82" t="str">
        <f aca="false">IF(B652="","",IF(OR(J652&lt;&gt;"",K652&lt;&gt;""),"POSÉ EN LIGNE",IF(COUNTIF(BARDAGE!$C$1:$C$5000,B652)&gt;0,"BARDÉ","EN STOCK")))</f>
        <v>POSÉ EN LIGNE</v>
      </c>
      <c r="N652" s="80"/>
    </row>
    <row r="653" customFormat="false" ht="15" hidden="false" customHeight="false" outlineLevel="0" collapsed="false">
      <c r="A653" s="82" t="n">
        <f aca="false">IF(B653="","",ROW()-6)</f>
        <v>647</v>
      </c>
      <c r="B653" s="145" t="n">
        <v>2093340</v>
      </c>
      <c r="C653" s="146" t="n">
        <v>15421110</v>
      </c>
      <c r="D653" s="146"/>
      <c r="E653" s="82" t="str">
        <f aca="false">IF(B653="","",IF(COUNTIFS('CARNET DE SOUDURE'!$L$7:$L$3006,B653,'CARNET DE SOUDURE'!$M$7:$M$3006,"&lt;&gt;"&amp;C653,'CARNET DE SOUDURE'!$M$7:$M$3006,"&lt;&gt;")+COUNTIFS('CARNET DE SOUDURE'!$O$7:$O$3006,B653,'CARNET DE SOUDURE'!$P$7:$P$3006,"&lt;&gt;"&amp;C653,'CARNET DE SOUDURE'!$P$7:$P$3006,"&lt;&gt;")&gt;0,"⚠ DIFFÉRENTE","OK"))</f>
        <v>OK</v>
      </c>
      <c r="F653" s="147" t="n">
        <v>11.94</v>
      </c>
      <c r="G653" s="80"/>
      <c r="H653" s="83"/>
      <c r="I653" s="148" t="str">
        <f aca="false">IF(B653="","",IFERROR(INDEX('CARNET DE SOUDURE'!$B$7:$B$3006,MATCH(B653,'CARNET DE SOUDURE'!$L$7:$L$3006,0)),IFERROR(INDEX('CARNET DE SOUDURE'!$B$7:$B$3006,MATCH(B653,'CARNET DE SOUDURE'!$O$7:$O$3006,0)),"")))</f>
        <v>MFD-ISW → MFD-CPF</v>
      </c>
      <c r="J653" s="82" t="str">
        <f aca="false">IF(B653="","",IFERROR(INDEX('CARNET DE SOUDURE'!$E$7:$E$3006,MATCH(B653,'CARNET DE SOUDURE'!$O$7:$O$3006,0)),""))</f>
        <v>DJ°205</v>
      </c>
      <c r="K653" s="82" t="str">
        <f aca="false">IF(B653="","",IFERROR(INDEX('CARNET DE SOUDURE'!$E$7:$E$3006,MATCH(B653,'CARNET DE SOUDURE'!$L$7:$L$3006,0)),""))</f>
        <v>JN°1320</v>
      </c>
      <c r="L653" s="82" t="n">
        <f aca="false">IF(B653="","",IFERROR(INDEX('CARNET DE SOUDURE'!$D$7:$D$3006,MATCH(B653,'CARNET DE SOUDURE'!$L$7:$L$3006,0)),IFERROR(INDEX('CARNET DE SOUDURE'!$D$7:$D$3006,MATCH(B653,'CARNET DE SOUDURE'!$O$7:$O$3006,0)),"")))</f>
        <v>14</v>
      </c>
      <c r="M653" s="82" t="str">
        <f aca="false">IF(B653="","",IF(OR(J653&lt;&gt;"",K653&lt;&gt;""),"POSÉ EN LIGNE",IF(COUNTIF(BARDAGE!$C$1:$C$5000,B653)&gt;0,"BARDÉ","EN STOCK")))</f>
        <v>POSÉ EN LIGNE</v>
      </c>
      <c r="N653" s="80"/>
    </row>
    <row r="654" customFormat="false" ht="15" hidden="false" customHeight="false" outlineLevel="0" collapsed="false">
      <c r="A654" s="82" t="n">
        <f aca="false">IF(B654="","",ROW()-6)</f>
        <v>648</v>
      </c>
      <c r="B654" s="145" t="n">
        <v>2096930</v>
      </c>
      <c r="C654" s="146" t="n">
        <v>15421111</v>
      </c>
      <c r="D654" s="146"/>
      <c r="E654" s="82" t="str">
        <f aca="false">IF(B654="","",IF(COUNTIFS('CARNET DE SOUDURE'!$L$7:$L$3006,B654,'CARNET DE SOUDURE'!$M$7:$M$3006,"&lt;&gt;"&amp;C654,'CARNET DE SOUDURE'!$M$7:$M$3006,"&lt;&gt;")+COUNTIFS('CARNET DE SOUDURE'!$O$7:$O$3006,B654,'CARNET DE SOUDURE'!$P$7:$P$3006,"&lt;&gt;"&amp;C654,'CARNET DE SOUDURE'!$P$7:$P$3006,"&lt;&gt;")&gt;0,"⚠ DIFFÉRENTE","OK"))</f>
        <v>OK</v>
      </c>
      <c r="F654" s="147" t="n">
        <v>11.94</v>
      </c>
      <c r="G654" s="80"/>
      <c r="H654" s="83"/>
      <c r="I654" s="148" t="str">
        <f aca="false">IF(B654="","",IFERROR(INDEX('CARNET DE SOUDURE'!$B$7:$B$3006,MATCH(B654,'CARNET DE SOUDURE'!$L$7:$L$3006,0)),IFERROR(INDEX('CARNET DE SOUDURE'!$B$7:$B$3006,MATCH(B654,'CARNET DE SOUDURE'!$O$7:$O$3006,0)),"")))</f>
        <v>MFD-ISW → MFD-CPF</v>
      </c>
      <c r="J654" s="82" t="str">
        <f aca="false">IF(B654="","",IFERROR(INDEX('CARNET DE SOUDURE'!$E$7:$E$3006,MATCH(B654,'CARNET DE SOUDURE'!$O$7:$O$3006,0)),""))</f>
        <v>JN°1321</v>
      </c>
      <c r="K654" s="82" t="str">
        <f aca="false">IF(B654="","",IFERROR(INDEX('CARNET DE SOUDURE'!$E$7:$E$3006,MATCH(B654,'CARNET DE SOUDURE'!$L$7:$L$3006,0)),""))</f>
        <v>DJ°214</v>
      </c>
      <c r="L654" s="82" t="n">
        <f aca="false">IF(B654="","",IFERROR(INDEX('CARNET DE SOUDURE'!$D$7:$D$3006,MATCH(B654,'CARNET DE SOUDURE'!$L$7:$L$3006,0)),IFERROR(INDEX('CARNET DE SOUDURE'!$D$7:$D$3006,MATCH(B654,'CARNET DE SOUDURE'!$O$7:$O$3006,0)),"")))</f>
        <v>14</v>
      </c>
      <c r="M654" s="82" t="str">
        <f aca="false">IF(B654="","",IF(OR(J654&lt;&gt;"",K654&lt;&gt;""),"POSÉ EN LIGNE",IF(COUNTIF(BARDAGE!$C$1:$C$5000,B654)&gt;0,"BARDÉ","EN STOCK")))</f>
        <v>POSÉ EN LIGNE</v>
      </c>
      <c r="N654" s="80"/>
    </row>
    <row r="655" customFormat="false" ht="15" hidden="false" customHeight="false" outlineLevel="0" collapsed="false">
      <c r="A655" s="82" t="n">
        <f aca="false">IF(B655="","",ROW()-6)</f>
        <v>649</v>
      </c>
      <c r="B655" s="145" t="n">
        <v>2091260</v>
      </c>
      <c r="C655" s="146" t="n">
        <v>15421109</v>
      </c>
      <c r="D655" s="146"/>
      <c r="E655" s="82" t="str">
        <f aca="false">IF(B655="","",IF(COUNTIFS('CARNET DE SOUDURE'!$L$7:$L$3006,B655,'CARNET DE SOUDURE'!$M$7:$M$3006,"&lt;&gt;"&amp;C655,'CARNET DE SOUDURE'!$M$7:$M$3006,"&lt;&gt;")+COUNTIFS('CARNET DE SOUDURE'!$O$7:$O$3006,B655,'CARNET DE SOUDURE'!$P$7:$P$3006,"&lt;&gt;"&amp;C655,'CARNET DE SOUDURE'!$P$7:$P$3006,"&lt;&gt;")&gt;0,"⚠ DIFFÉRENTE","OK"))</f>
        <v>OK</v>
      </c>
      <c r="F655" s="147" t="n">
        <v>11.94</v>
      </c>
      <c r="G655" s="80"/>
      <c r="H655" s="83"/>
      <c r="I655" s="148" t="str">
        <f aca="false">IF(B655="","",IFERROR(INDEX('CARNET DE SOUDURE'!$B$7:$B$3006,MATCH(B655,'CARNET DE SOUDURE'!$L$7:$L$3006,0)),IFERROR(INDEX('CARNET DE SOUDURE'!$B$7:$B$3006,MATCH(B655,'CARNET DE SOUDURE'!$O$7:$O$3006,0)),"")))</f>
        <v>MFD-ISW → MFD-CPF</v>
      </c>
      <c r="J655" s="82" t="str">
        <f aca="false">IF(B655="","",IFERROR(INDEX('CARNET DE SOUDURE'!$E$7:$E$3006,MATCH(B655,'CARNET DE SOUDURE'!$O$7:$O$3006,0)),""))</f>
        <v>DJ°214</v>
      </c>
      <c r="K655" s="82" t="str">
        <f aca="false">IF(B655="","",IFERROR(INDEX('CARNET DE SOUDURE'!$E$7:$E$3006,MATCH(B655,'CARNET DE SOUDURE'!$L$7:$L$3006,0)),""))</f>
        <v>JN°1322</v>
      </c>
      <c r="L655" s="82" t="n">
        <f aca="false">IF(B655="","",IFERROR(INDEX('CARNET DE SOUDURE'!$D$7:$D$3006,MATCH(B655,'CARNET DE SOUDURE'!$L$7:$L$3006,0)),IFERROR(INDEX('CARNET DE SOUDURE'!$D$7:$D$3006,MATCH(B655,'CARNET DE SOUDURE'!$O$7:$O$3006,0)),"")))</f>
        <v>14</v>
      </c>
      <c r="M655" s="82" t="str">
        <f aca="false">IF(B655="","",IF(OR(J655&lt;&gt;"",K655&lt;&gt;""),"POSÉ EN LIGNE",IF(COUNTIF(BARDAGE!$C$1:$C$5000,B655)&gt;0,"BARDÉ","EN STOCK")))</f>
        <v>POSÉ EN LIGNE</v>
      </c>
      <c r="N655" s="80"/>
    </row>
    <row r="656" customFormat="false" ht="15" hidden="false" customHeight="false" outlineLevel="0" collapsed="false">
      <c r="A656" s="82" t="n">
        <f aca="false">IF(B656="","",ROW()-6)</f>
        <v>650</v>
      </c>
      <c r="B656" s="145" t="n">
        <v>2088050</v>
      </c>
      <c r="C656" s="146" t="n">
        <v>15421108</v>
      </c>
      <c r="D656" s="146"/>
      <c r="E656" s="82" t="str">
        <f aca="false">IF(B656="","",IF(COUNTIFS('CARNET DE SOUDURE'!$L$7:$L$3006,B656,'CARNET DE SOUDURE'!$M$7:$M$3006,"&lt;&gt;"&amp;C656,'CARNET DE SOUDURE'!$M$7:$M$3006,"&lt;&gt;")+COUNTIFS('CARNET DE SOUDURE'!$O$7:$O$3006,B656,'CARNET DE SOUDURE'!$P$7:$P$3006,"&lt;&gt;"&amp;C656,'CARNET DE SOUDURE'!$P$7:$P$3006,"&lt;&gt;")&gt;0,"⚠ DIFFÉRENTE","OK"))</f>
        <v>OK</v>
      </c>
      <c r="F656" s="147" t="n">
        <v>11.94</v>
      </c>
      <c r="G656" s="80"/>
      <c r="H656" s="83"/>
      <c r="I656" s="148" t="str">
        <f aca="false">IF(B656="","",IFERROR(INDEX('CARNET DE SOUDURE'!$B$7:$B$3006,MATCH(B656,'CARNET DE SOUDURE'!$L$7:$L$3006,0)),IFERROR(INDEX('CARNET DE SOUDURE'!$B$7:$B$3006,MATCH(B656,'CARNET DE SOUDURE'!$O$7:$O$3006,0)),"")))</f>
        <v>MFD-ISW → MFD-CPF</v>
      </c>
      <c r="J656" s="82" t="str">
        <f aca="false">IF(B656="","",IFERROR(INDEX('CARNET DE SOUDURE'!$E$7:$E$3006,MATCH(B656,'CARNET DE SOUDURE'!$O$7:$O$3006,0)),""))</f>
        <v>JN°1322</v>
      </c>
      <c r="K656" s="82" t="str">
        <f aca="false">IF(B656="","",IFERROR(INDEX('CARNET DE SOUDURE'!$E$7:$E$3006,MATCH(B656,'CARNET DE SOUDURE'!$L$7:$L$3006,0)),""))</f>
        <v>DJ°225</v>
      </c>
      <c r="L656" s="82" t="n">
        <f aca="false">IF(B656="","",IFERROR(INDEX('CARNET DE SOUDURE'!$D$7:$D$3006,MATCH(B656,'CARNET DE SOUDURE'!$L$7:$L$3006,0)),IFERROR(INDEX('CARNET DE SOUDURE'!$D$7:$D$3006,MATCH(B656,'CARNET DE SOUDURE'!$O$7:$O$3006,0)),"")))</f>
        <v>14</v>
      </c>
      <c r="M656" s="82" t="str">
        <f aca="false">IF(B656="","",IF(OR(J656&lt;&gt;"",K656&lt;&gt;""),"POSÉ EN LIGNE",IF(COUNTIF(BARDAGE!$C$1:$C$5000,B656)&gt;0,"BARDÉ","EN STOCK")))</f>
        <v>POSÉ EN LIGNE</v>
      </c>
      <c r="N656" s="80"/>
    </row>
    <row r="657" customFormat="false" ht="15" hidden="false" customHeight="false" outlineLevel="0" collapsed="false">
      <c r="A657" s="82" t="n">
        <f aca="false">IF(B657="","",ROW()-6)</f>
        <v>651</v>
      </c>
      <c r="B657" s="145" t="n">
        <v>2093810</v>
      </c>
      <c r="C657" s="146" t="n">
        <v>15421110</v>
      </c>
      <c r="D657" s="146"/>
      <c r="E657" s="82" t="str">
        <f aca="false">IF(B657="","",IF(COUNTIFS('CARNET DE SOUDURE'!$L$7:$L$3006,B657,'CARNET DE SOUDURE'!$M$7:$M$3006,"&lt;&gt;"&amp;C657,'CARNET DE SOUDURE'!$M$7:$M$3006,"&lt;&gt;")+COUNTIFS('CARNET DE SOUDURE'!$O$7:$O$3006,B657,'CARNET DE SOUDURE'!$P$7:$P$3006,"&lt;&gt;"&amp;C657,'CARNET DE SOUDURE'!$P$7:$P$3006,"&lt;&gt;")&gt;0,"⚠ DIFFÉRENTE","OK"))</f>
        <v>OK</v>
      </c>
      <c r="F657" s="147" t="n">
        <v>11.94</v>
      </c>
      <c r="G657" s="80"/>
      <c r="H657" s="83"/>
      <c r="I657" s="148" t="str">
        <f aca="false">IF(B657="","",IFERROR(INDEX('CARNET DE SOUDURE'!$B$7:$B$3006,MATCH(B657,'CARNET DE SOUDURE'!$L$7:$L$3006,0)),IFERROR(INDEX('CARNET DE SOUDURE'!$B$7:$B$3006,MATCH(B657,'CARNET DE SOUDURE'!$O$7:$O$3006,0)),"")))</f>
        <v>MFD-ISW → MFD-CPF</v>
      </c>
      <c r="J657" s="82" t="str">
        <f aca="false">IF(B657="","",IFERROR(INDEX('CARNET DE SOUDURE'!$E$7:$E$3006,MATCH(B657,'CARNET DE SOUDURE'!$O$7:$O$3006,0)),""))</f>
        <v>DJ°225</v>
      </c>
      <c r="K657" s="82" t="str">
        <f aca="false">IF(B657="","",IFERROR(INDEX('CARNET DE SOUDURE'!$E$7:$E$3006,MATCH(B657,'CARNET DE SOUDURE'!$L$7:$L$3006,0)),""))</f>
        <v>JN°1323</v>
      </c>
      <c r="L657" s="82" t="n">
        <f aca="false">IF(B657="","",IFERROR(INDEX('CARNET DE SOUDURE'!$D$7:$D$3006,MATCH(B657,'CARNET DE SOUDURE'!$L$7:$L$3006,0)),IFERROR(INDEX('CARNET DE SOUDURE'!$D$7:$D$3006,MATCH(B657,'CARNET DE SOUDURE'!$O$7:$O$3006,0)),"")))</f>
        <v>14</v>
      </c>
      <c r="M657" s="82" t="str">
        <f aca="false">IF(B657="","",IF(OR(J657&lt;&gt;"",K657&lt;&gt;""),"POSÉ EN LIGNE",IF(COUNTIF(BARDAGE!$C$1:$C$5000,B657)&gt;0,"BARDÉ","EN STOCK")))</f>
        <v>POSÉ EN LIGNE</v>
      </c>
      <c r="N657" s="80"/>
    </row>
    <row r="658" customFormat="false" ht="15" hidden="false" customHeight="false" outlineLevel="0" collapsed="false">
      <c r="A658" s="82" t="n">
        <f aca="false">IF(B658="","",ROW()-6)</f>
        <v>652</v>
      </c>
      <c r="B658" s="145" t="n">
        <v>2088840</v>
      </c>
      <c r="C658" s="146" t="n">
        <v>15421108</v>
      </c>
      <c r="D658" s="146"/>
      <c r="E658" s="82" t="str">
        <f aca="false">IF(B658="","",IF(COUNTIFS('CARNET DE SOUDURE'!$L$7:$L$3006,B658,'CARNET DE SOUDURE'!$M$7:$M$3006,"&lt;&gt;"&amp;C658,'CARNET DE SOUDURE'!$M$7:$M$3006,"&lt;&gt;")+COUNTIFS('CARNET DE SOUDURE'!$O$7:$O$3006,B658,'CARNET DE SOUDURE'!$P$7:$P$3006,"&lt;&gt;"&amp;C658,'CARNET DE SOUDURE'!$P$7:$P$3006,"&lt;&gt;")&gt;0,"⚠ DIFFÉRENTE","OK"))</f>
        <v>OK</v>
      </c>
      <c r="F658" s="147" t="n">
        <v>11.94</v>
      </c>
      <c r="G658" s="80"/>
      <c r="H658" s="83"/>
      <c r="I658" s="148" t="str">
        <f aca="false">IF(B658="","",IFERROR(INDEX('CARNET DE SOUDURE'!$B$7:$B$3006,MATCH(B658,'CARNET DE SOUDURE'!$L$7:$L$3006,0)),IFERROR(INDEX('CARNET DE SOUDURE'!$B$7:$B$3006,MATCH(B658,'CARNET DE SOUDURE'!$O$7:$O$3006,0)),"")))</f>
        <v>MFD-ISW → MFD-CPF</v>
      </c>
      <c r="J658" s="82" t="str">
        <f aca="false">IF(B658="","",IFERROR(INDEX('CARNET DE SOUDURE'!$E$7:$E$3006,MATCH(B658,'CARNET DE SOUDURE'!$O$7:$O$3006,0)),""))</f>
        <v>JN°1323</v>
      </c>
      <c r="K658" s="82" t="str">
        <f aca="false">IF(B658="","",IFERROR(INDEX('CARNET DE SOUDURE'!$E$7:$E$3006,MATCH(B658,'CARNET DE SOUDURE'!$L$7:$L$3006,0)),""))</f>
        <v>DJ°208</v>
      </c>
      <c r="L658" s="82" t="n">
        <f aca="false">IF(B658="","",IFERROR(INDEX('CARNET DE SOUDURE'!$D$7:$D$3006,MATCH(B658,'CARNET DE SOUDURE'!$L$7:$L$3006,0)),IFERROR(INDEX('CARNET DE SOUDURE'!$D$7:$D$3006,MATCH(B658,'CARNET DE SOUDURE'!$O$7:$O$3006,0)),"")))</f>
        <v>14</v>
      </c>
      <c r="M658" s="82" t="str">
        <f aca="false">IF(B658="","",IF(OR(J658&lt;&gt;"",K658&lt;&gt;""),"POSÉ EN LIGNE",IF(COUNTIF(BARDAGE!$C$1:$C$5000,B658)&gt;0,"BARDÉ","EN STOCK")))</f>
        <v>POSÉ EN LIGNE</v>
      </c>
      <c r="N658" s="80"/>
    </row>
    <row r="659" customFormat="false" ht="15" hidden="false" customHeight="false" outlineLevel="0" collapsed="false">
      <c r="A659" s="82" t="n">
        <f aca="false">IF(B659="","",ROW()-6)</f>
        <v>653</v>
      </c>
      <c r="B659" s="145" t="n">
        <v>2089620</v>
      </c>
      <c r="C659" s="146" t="n">
        <v>15421109</v>
      </c>
      <c r="D659" s="146"/>
      <c r="E659" s="82" t="str">
        <f aca="false">IF(B659="","",IF(COUNTIFS('CARNET DE SOUDURE'!$L$7:$L$3006,B659,'CARNET DE SOUDURE'!$M$7:$M$3006,"&lt;&gt;"&amp;C659,'CARNET DE SOUDURE'!$M$7:$M$3006,"&lt;&gt;")+COUNTIFS('CARNET DE SOUDURE'!$O$7:$O$3006,B659,'CARNET DE SOUDURE'!$P$7:$P$3006,"&lt;&gt;"&amp;C659,'CARNET DE SOUDURE'!$P$7:$P$3006,"&lt;&gt;")&gt;0,"⚠ DIFFÉRENTE","OK"))</f>
        <v>OK</v>
      </c>
      <c r="F659" s="147" t="n">
        <v>11.94</v>
      </c>
      <c r="G659" s="80"/>
      <c r="H659" s="83"/>
      <c r="I659" s="148" t="str">
        <f aca="false">IF(B659="","",IFERROR(INDEX('CARNET DE SOUDURE'!$B$7:$B$3006,MATCH(B659,'CARNET DE SOUDURE'!$L$7:$L$3006,0)),IFERROR(INDEX('CARNET DE SOUDURE'!$B$7:$B$3006,MATCH(B659,'CARNET DE SOUDURE'!$O$7:$O$3006,0)),"")))</f>
        <v>MFD-ISW → MFD-CPF</v>
      </c>
      <c r="J659" s="82" t="str">
        <f aca="false">IF(B659="","",IFERROR(INDEX('CARNET DE SOUDURE'!$E$7:$E$3006,MATCH(B659,'CARNET DE SOUDURE'!$O$7:$O$3006,0)),""))</f>
        <v>DJ°208</v>
      </c>
      <c r="K659" s="82" t="str">
        <f aca="false">IF(B659="","",IFERROR(INDEX('CARNET DE SOUDURE'!$E$7:$E$3006,MATCH(B659,'CARNET DE SOUDURE'!$L$7:$L$3006,0)),""))</f>
        <v>JN°1324R</v>
      </c>
      <c r="L659" s="82" t="n">
        <f aca="false">IF(B659="","",IFERROR(INDEX('CARNET DE SOUDURE'!$D$7:$D$3006,MATCH(B659,'CARNET DE SOUDURE'!$L$7:$L$3006,0)),IFERROR(INDEX('CARNET DE SOUDURE'!$D$7:$D$3006,MATCH(B659,'CARNET DE SOUDURE'!$O$7:$O$3006,0)),"")))</f>
        <v>14</v>
      </c>
      <c r="M659" s="82" t="str">
        <f aca="false">IF(B659="","",IF(OR(J659&lt;&gt;"",K659&lt;&gt;""),"POSÉ EN LIGNE",IF(COUNTIF(BARDAGE!$C$1:$C$5000,B659)&gt;0,"BARDÉ","EN STOCK")))</f>
        <v>POSÉ EN LIGNE</v>
      </c>
      <c r="N659" s="80"/>
    </row>
    <row r="660" customFormat="false" ht="15" hidden="false" customHeight="false" outlineLevel="0" collapsed="false">
      <c r="A660" s="82" t="n">
        <f aca="false">IF(B660="","",ROW()-6)</f>
        <v>654</v>
      </c>
      <c r="B660" s="145" t="n">
        <v>2091920</v>
      </c>
      <c r="C660" s="146" t="n">
        <v>15421109</v>
      </c>
      <c r="D660" s="146"/>
      <c r="E660" s="82" t="str">
        <f aca="false">IF(B660="","",IF(COUNTIFS('CARNET DE SOUDURE'!$L$7:$L$3006,B660,'CARNET DE SOUDURE'!$M$7:$M$3006,"&lt;&gt;"&amp;C660,'CARNET DE SOUDURE'!$M$7:$M$3006,"&lt;&gt;")+COUNTIFS('CARNET DE SOUDURE'!$O$7:$O$3006,B660,'CARNET DE SOUDURE'!$P$7:$P$3006,"&lt;&gt;"&amp;C660,'CARNET DE SOUDURE'!$P$7:$P$3006,"&lt;&gt;")&gt;0,"⚠ DIFFÉRENTE","OK"))</f>
        <v>OK</v>
      </c>
      <c r="F660" s="147" t="n">
        <v>11.94</v>
      </c>
      <c r="G660" s="80"/>
      <c r="H660" s="83"/>
      <c r="I660" s="148" t="str">
        <f aca="false">IF(B660="","",IFERROR(INDEX('CARNET DE SOUDURE'!$B$7:$B$3006,MATCH(B660,'CARNET DE SOUDURE'!$L$7:$L$3006,0)),IFERROR(INDEX('CARNET DE SOUDURE'!$B$7:$B$3006,MATCH(B660,'CARNET DE SOUDURE'!$O$7:$O$3006,0)),"")))</f>
        <v>MFD-ISW → MFD-CPF</v>
      </c>
      <c r="J660" s="82" t="str">
        <f aca="false">IF(B660="","",IFERROR(INDEX('CARNET DE SOUDURE'!$E$7:$E$3006,MATCH(B660,'CARNET DE SOUDURE'!$O$7:$O$3006,0)),""))</f>
        <v>JN°1324R</v>
      </c>
      <c r="K660" s="82" t="str">
        <f aca="false">IF(B660="","",IFERROR(INDEX('CARNET DE SOUDURE'!$E$7:$E$3006,MATCH(B660,'CARNET DE SOUDURE'!$L$7:$L$3006,0)),""))</f>
        <v>DJ°201</v>
      </c>
      <c r="L660" s="82" t="n">
        <f aca="false">IF(B660="","",IFERROR(INDEX('CARNET DE SOUDURE'!$D$7:$D$3006,MATCH(B660,'CARNET DE SOUDURE'!$L$7:$L$3006,0)),IFERROR(INDEX('CARNET DE SOUDURE'!$D$7:$D$3006,MATCH(B660,'CARNET DE SOUDURE'!$O$7:$O$3006,0)),"")))</f>
        <v>14</v>
      </c>
      <c r="M660" s="82" t="str">
        <f aca="false">IF(B660="","",IF(OR(J660&lt;&gt;"",K660&lt;&gt;""),"POSÉ EN LIGNE",IF(COUNTIF(BARDAGE!$C$1:$C$5000,B660)&gt;0,"BARDÉ","EN STOCK")))</f>
        <v>POSÉ EN LIGNE</v>
      </c>
      <c r="N660" s="80"/>
    </row>
    <row r="661" customFormat="false" ht="15" hidden="false" customHeight="false" outlineLevel="0" collapsed="false">
      <c r="A661" s="82" t="n">
        <f aca="false">IF(B661="","",ROW()-6)</f>
        <v>655</v>
      </c>
      <c r="B661" s="145" t="n">
        <v>2090420</v>
      </c>
      <c r="C661" s="146" t="n">
        <v>15421109</v>
      </c>
      <c r="D661" s="146"/>
      <c r="E661" s="82" t="str">
        <f aca="false">IF(B661="","",IF(COUNTIFS('CARNET DE SOUDURE'!$L$7:$L$3006,B661,'CARNET DE SOUDURE'!$M$7:$M$3006,"&lt;&gt;"&amp;C661,'CARNET DE SOUDURE'!$M$7:$M$3006,"&lt;&gt;")+COUNTIFS('CARNET DE SOUDURE'!$O$7:$O$3006,B661,'CARNET DE SOUDURE'!$P$7:$P$3006,"&lt;&gt;"&amp;C661,'CARNET DE SOUDURE'!$P$7:$P$3006,"&lt;&gt;")&gt;0,"⚠ DIFFÉRENTE","OK"))</f>
        <v>OK</v>
      </c>
      <c r="F661" s="147" t="n">
        <v>11.94</v>
      </c>
      <c r="G661" s="80"/>
      <c r="H661" s="83"/>
      <c r="I661" s="148" t="str">
        <f aca="false">IF(B661="","",IFERROR(INDEX('CARNET DE SOUDURE'!$B$7:$B$3006,MATCH(B661,'CARNET DE SOUDURE'!$L$7:$L$3006,0)),IFERROR(INDEX('CARNET DE SOUDURE'!$B$7:$B$3006,MATCH(B661,'CARNET DE SOUDURE'!$O$7:$O$3006,0)),"")))</f>
        <v>MFD-ISW → MFD-CPF</v>
      </c>
      <c r="J661" s="82" t="str">
        <f aca="false">IF(B661="","",IFERROR(INDEX('CARNET DE SOUDURE'!$E$7:$E$3006,MATCH(B661,'CARNET DE SOUDURE'!$O$7:$O$3006,0)),""))</f>
        <v>DJ°201</v>
      </c>
      <c r="K661" s="82" t="str">
        <f aca="false">IF(B661="","",IFERROR(INDEX('CARNET DE SOUDURE'!$E$7:$E$3006,MATCH(B661,'CARNET DE SOUDURE'!$L$7:$L$3006,0)),""))</f>
        <v>JN°1325R</v>
      </c>
      <c r="L661" s="82" t="n">
        <f aca="false">IF(B661="","",IFERROR(INDEX('CARNET DE SOUDURE'!$D$7:$D$3006,MATCH(B661,'CARNET DE SOUDURE'!$L$7:$L$3006,0)),IFERROR(INDEX('CARNET DE SOUDURE'!$D$7:$D$3006,MATCH(B661,'CARNET DE SOUDURE'!$O$7:$O$3006,0)),"")))</f>
        <v>14</v>
      </c>
      <c r="M661" s="82" t="str">
        <f aca="false">IF(B661="","",IF(OR(J661&lt;&gt;"",K661&lt;&gt;""),"POSÉ EN LIGNE",IF(COUNTIF(BARDAGE!$C$1:$C$5000,B661)&gt;0,"BARDÉ","EN STOCK")))</f>
        <v>POSÉ EN LIGNE</v>
      </c>
      <c r="N661" s="80"/>
    </row>
    <row r="662" customFormat="false" ht="15" hidden="false" customHeight="false" outlineLevel="0" collapsed="false">
      <c r="A662" s="82" t="n">
        <f aca="false">IF(B662="","",ROW()-6)</f>
        <v>656</v>
      </c>
      <c r="B662" s="145" t="n">
        <v>2083840</v>
      </c>
      <c r="C662" s="146" t="n">
        <v>15421105</v>
      </c>
      <c r="D662" s="146"/>
      <c r="E662" s="82" t="str">
        <f aca="false">IF(B662="","",IF(COUNTIFS('CARNET DE SOUDURE'!$L$7:$L$3006,B662,'CARNET DE SOUDURE'!$M$7:$M$3006,"&lt;&gt;"&amp;C662,'CARNET DE SOUDURE'!$M$7:$M$3006,"&lt;&gt;")+COUNTIFS('CARNET DE SOUDURE'!$O$7:$O$3006,B662,'CARNET DE SOUDURE'!$P$7:$P$3006,"&lt;&gt;"&amp;C662,'CARNET DE SOUDURE'!$P$7:$P$3006,"&lt;&gt;")&gt;0,"⚠ DIFFÉRENTE","OK"))</f>
        <v>OK</v>
      </c>
      <c r="F662" s="147" t="n">
        <v>11.94</v>
      </c>
      <c r="G662" s="80"/>
      <c r="H662" s="83"/>
      <c r="I662" s="148" t="str">
        <f aca="false">IF(B662="","",IFERROR(INDEX('CARNET DE SOUDURE'!$B$7:$B$3006,MATCH(B662,'CARNET DE SOUDURE'!$L$7:$L$3006,0)),IFERROR(INDEX('CARNET DE SOUDURE'!$B$7:$B$3006,MATCH(B662,'CARNET DE SOUDURE'!$O$7:$O$3006,0)),"")))</f>
        <v>MFD-ISW → MFD-CPF</v>
      </c>
      <c r="J662" s="82" t="str">
        <f aca="false">IF(B662="","",IFERROR(INDEX('CARNET DE SOUDURE'!$E$7:$E$3006,MATCH(B662,'CARNET DE SOUDURE'!$O$7:$O$3006,0)),""))</f>
        <v>JN°1325R</v>
      </c>
      <c r="K662" s="82" t="str">
        <f aca="false">IF(B662="","",IFERROR(INDEX('CARNET DE SOUDURE'!$E$7:$E$3006,MATCH(B662,'CARNET DE SOUDURE'!$L$7:$L$3006,0)),""))</f>
        <v>DJ°196</v>
      </c>
      <c r="L662" s="82" t="n">
        <f aca="false">IF(B662="","",IFERROR(INDEX('CARNET DE SOUDURE'!$D$7:$D$3006,MATCH(B662,'CARNET DE SOUDURE'!$L$7:$L$3006,0)),IFERROR(INDEX('CARNET DE SOUDURE'!$D$7:$D$3006,MATCH(B662,'CARNET DE SOUDURE'!$O$7:$O$3006,0)),"")))</f>
        <v>14</v>
      </c>
      <c r="M662" s="82" t="str">
        <f aca="false">IF(B662="","",IF(OR(J662&lt;&gt;"",K662&lt;&gt;""),"POSÉ EN LIGNE",IF(COUNTIF(BARDAGE!$C$1:$C$5000,B662)&gt;0,"BARDÉ","EN STOCK")))</f>
        <v>POSÉ EN LIGNE</v>
      </c>
      <c r="N662" s="80"/>
    </row>
    <row r="663" customFormat="false" ht="15" hidden="false" customHeight="false" outlineLevel="0" collapsed="false">
      <c r="A663" s="82" t="n">
        <f aca="false">IF(B663="","",ROW()-6)</f>
        <v>657</v>
      </c>
      <c r="B663" s="145" t="n">
        <v>2080830</v>
      </c>
      <c r="C663" s="146" t="n">
        <v>15421103</v>
      </c>
      <c r="D663" s="146"/>
      <c r="E663" s="82" t="str">
        <f aca="false">IF(B663="","",IF(COUNTIFS('CARNET DE SOUDURE'!$L$7:$L$3006,B663,'CARNET DE SOUDURE'!$M$7:$M$3006,"&lt;&gt;"&amp;C663,'CARNET DE SOUDURE'!$M$7:$M$3006,"&lt;&gt;")+COUNTIFS('CARNET DE SOUDURE'!$O$7:$O$3006,B663,'CARNET DE SOUDURE'!$P$7:$P$3006,"&lt;&gt;"&amp;C663,'CARNET DE SOUDURE'!$P$7:$P$3006,"&lt;&gt;")&gt;0,"⚠ DIFFÉRENTE","OK"))</f>
        <v>OK</v>
      </c>
      <c r="F663" s="147" t="n">
        <v>11.94</v>
      </c>
      <c r="G663" s="80"/>
      <c r="H663" s="83"/>
      <c r="I663" s="148" t="str">
        <f aca="false">IF(B663="","",IFERROR(INDEX('CARNET DE SOUDURE'!$B$7:$B$3006,MATCH(B663,'CARNET DE SOUDURE'!$L$7:$L$3006,0)),IFERROR(INDEX('CARNET DE SOUDURE'!$B$7:$B$3006,MATCH(B663,'CARNET DE SOUDURE'!$O$7:$O$3006,0)),"")))</f>
        <v>MFD-ISW → MFD-CPF</v>
      </c>
      <c r="J663" s="82" t="str">
        <f aca="false">IF(B663="","",IFERROR(INDEX('CARNET DE SOUDURE'!$E$7:$E$3006,MATCH(B663,'CARNET DE SOUDURE'!$O$7:$O$3006,0)),""))</f>
        <v>DJ°196</v>
      </c>
      <c r="K663" s="82" t="str">
        <f aca="false">IF(B663="","",IFERROR(INDEX('CARNET DE SOUDURE'!$E$7:$E$3006,MATCH(B663,'CARNET DE SOUDURE'!$L$7:$L$3006,0)),""))</f>
        <v>JN°1326R</v>
      </c>
      <c r="L663" s="82" t="n">
        <f aca="false">IF(B663="","",IFERROR(INDEX('CARNET DE SOUDURE'!$D$7:$D$3006,MATCH(B663,'CARNET DE SOUDURE'!$L$7:$L$3006,0)),IFERROR(INDEX('CARNET DE SOUDURE'!$D$7:$D$3006,MATCH(B663,'CARNET DE SOUDURE'!$O$7:$O$3006,0)),"")))</f>
        <v>14</v>
      </c>
      <c r="M663" s="82" t="str">
        <f aca="false">IF(B663="","",IF(OR(J663&lt;&gt;"",K663&lt;&gt;""),"POSÉ EN LIGNE",IF(COUNTIF(BARDAGE!$C$1:$C$5000,B663)&gt;0,"BARDÉ","EN STOCK")))</f>
        <v>POSÉ EN LIGNE</v>
      </c>
      <c r="N663" s="80"/>
    </row>
    <row r="664" customFormat="false" ht="15" hidden="false" customHeight="false" outlineLevel="0" collapsed="false">
      <c r="A664" s="82" t="n">
        <f aca="false">IF(B664="","",ROW()-6)</f>
        <v>658</v>
      </c>
      <c r="B664" s="145" t="n">
        <v>2088760</v>
      </c>
      <c r="C664" s="146" t="n">
        <v>15421108</v>
      </c>
      <c r="D664" s="146"/>
      <c r="E664" s="82" t="str">
        <f aca="false">IF(B664="","",IF(COUNTIFS('CARNET DE SOUDURE'!$L$7:$L$3006,B664,'CARNET DE SOUDURE'!$M$7:$M$3006,"&lt;&gt;"&amp;C664,'CARNET DE SOUDURE'!$M$7:$M$3006,"&lt;&gt;")+COUNTIFS('CARNET DE SOUDURE'!$O$7:$O$3006,B664,'CARNET DE SOUDURE'!$P$7:$P$3006,"&lt;&gt;"&amp;C664,'CARNET DE SOUDURE'!$P$7:$P$3006,"&lt;&gt;")&gt;0,"⚠ DIFFÉRENTE","OK"))</f>
        <v>OK</v>
      </c>
      <c r="F664" s="147" t="n">
        <v>11.94</v>
      </c>
      <c r="G664" s="80"/>
      <c r="H664" s="83"/>
      <c r="I664" s="148" t="str">
        <f aca="false">IF(B664="","",IFERROR(INDEX('CARNET DE SOUDURE'!$B$7:$B$3006,MATCH(B664,'CARNET DE SOUDURE'!$L$7:$L$3006,0)),IFERROR(INDEX('CARNET DE SOUDURE'!$B$7:$B$3006,MATCH(B664,'CARNET DE SOUDURE'!$O$7:$O$3006,0)),"")))</f>
        <v>MFD-ISW → MFD-CPF</v>
      </c>
      <c r="J664" s="82" t="str">
        <f aca="false">IF(B664="","",IFERROR(INDEX('CARNET DE SOUDURE'!$E$7:$E$3006,MATCH(B664,'CARNET DE SOUDURE'!$O$7:$O$3006,0)),""))</f>
        <v>JN°1326R</v>
      </c>
      <c r="K664" s="82" t="str">
        <f aca="false">IF(B664="","",IFERROR(INDEX('CARNET DE SOUDURE'!$E$7:$E$3006,MATCH(B664,'CARNET DE SOUDURE'!$L$7:$L$3006,0)),""))</f>
        <v>DJ°174</v>
      </c>
      <c r="L664" s="82" t="n">
        <f aca="false">IF(B664="","",IFERROR(INDEX('CARNET DE SOUDURE'!$D$7:$D$3006,MATCH(B664,'CARNET DE SOUDURE'!$L$7:$L$3006,0)),IFERROR(INDEX('CARNET DE SOUDURE'!$D$7:$D$3006,MATCH(B664,'CARNET DE SOUDURE'!$O$7:$O$3006,0)),"")))</f>
        <v>14</v>
      </c>
      <c r="M664" s="82" t="str">
        <f aca="false">IF(B664="","",IF(OR(J664&lt;&gt;"",K664&lt;&gt;""),"POSÉ EN LIGNE",IF(COUNTIF(BARDAGE!$C$1:$C$5000,B664)&gt;0,"BARDÉ","EN STOCK")))</f>
        <v>POSÉ EN LIGNE</v>
      </c>
      <c r="N664" s="80"/>
    </row>
    <row r="665" customFormat="false" ht="15" hidden="false" customHeight="false" outlineLevel="0" collapsed="false">
      <c r="A665" s="82" t="n">
        <f aca="false">IF(B665="","",ROW()-6)</f>
        <v>659</v>
      </c>
      <c r="B665" s="145" t="n">
        <v>2091540</v>
      </c>
      <c r="C665" s="146" t="n">
        <v>15421109</v>
      </c>
      <c r="D665" s="146"/>
      <c r="E665" s="82" t="str">
        <f aca="false">IF(B665="","",IF(COUNTIFS('CARNET DE SOUDURE'!$L$7:$L$3006,B665,'CARNET DE SOUDURE'!$M$7:$M$3006,"&lt;&gt;"&amp;C665,'CARNET DE SOUDURE'!$M$7:$M$3006,"&lt;&gt;")+COUNTIFS('CARNET DE SOUDURE'!$O$7:$O$3006,B665,'CARNET DE SOUDURE'!$P$7:$P$3006,"&lt;&gt;"&amp;C665,'CARNET DE SOUDURE'!$P$7:$P$3006,"&lt;&gt;")&gt;0,"⚠ DIFFÉRENTE","OK"))</f>
        <v>OK</v>
      </c>
      <c r="F665" s="147" t="n">
        <v>11.94</v>
      </c>
      <c r="G665" s="80"/>
      <c r="H665" s="83"/>
      <c r="I665" s="148" t="str">
        <f aca="false">IF(B665="","",IFERROR(INDEX('CARNET DE SOUDURE'!$B$7:$B$3006,MATCH(B665,'CARNET DE SOUDURE'!$L$7:$L$3006,0)),IFERROR(INDEX('CARNET DE SOUDURE'!$B$7:$B$3006,MATCH(B665,'CARNET DE SOUDURE'!$O$7:$O$3006,0)),"")))</f>
        <v>MFD-ISW → MFD-CPF</v>
      </c>
      <c r="J665" s="82" t="str">
        <f aca="false">IF(B665="","",IFERROR(INDEX('CARNET DE SOUDURE'!$E$7:$E$3006,MATCH(B665,'CARNET DE SOUDURE'!$O$7:$O$3006,0)),""))</f>
        <v>DJ°174</v>
      </c>
      <c r="K665" s="82" t="str">
        <f aca="false">IF(B665="","",IFERROR(INDEX('CARNET DE SOUDURE'!$E$7:$E$3006,MATCH(B665,'CARNET DE SOUDURE'!$L$7:$L$3006,0)),""))</f>
        <v>JN°1327R</v>
      </c>
      <c r="L665" s="82" t="n">
        <f aca="false">IF(B665="","",IFERROR(INDEX('CARNET DE SOUDURE'!$D$7:$D$3006,MATCH(B665,'CARNET DE SOUDURE'!$L$7:$L$3006,0)),IFERROR(INDEX('CARNET DE SOUDURE'!$D$7:$D$3006,MATCH(B665,'CARNET DE SOUDURE'!$O$7:$O$3006,0)),"")))</f>
        <v>14</v>
      </c>
      <c r="M665" s="82" t="str">
        <f aca="false">IF(B665="","",IF(OR(J665&lt;&gt;"",K665&lt;&gt;""),"POSÉ EN LIGNE",IF(COUNTIF(BARDAGE!$C$1:$C$5000,B665)&gt;0,"BARDÉ","EN STOCK")))</f>
        <v>POSÉ EN LIGNE</v>
      </c>
      <c r="N665" s="80"/>
    </row>
    <row r="666" customFormat="false" ht="15" hidden="false" customHeight="false" outlineLevel="0" collapsed="false">
      <c r="A666" s="82" t="n">
        <f aca="false">IF(B666="","",ROW()-6)</f>
        <v>660</v>
      </c>
      <c r="B666" s="145" t="n">
        <v>2081940</v>
      </c>
      <c r="C666" s="146" t="n">
        <v>15421104</v>
      </c>
      <c r="D666" s="146"/>
      <c r="E666" s="82" t="str">
        <f aca="false">IF(B666="","",IF(COUNTIFS('CARNET DE SOUDURE'!$L$7:$L$3006,B666,'CARNET DE SOUDURE'!$M$7:$M$3006,"&lt;&gt;"&amp;C666,'CARNET DE SOUDURE'!$M$7:$M$3006,"&lt;&gt;")+COUNTIFS('CARNET DE SOUDURE'!$O$7:$O$3006,B666,'CARNET DE SOUDURE'!$P$7:$P$3006,"&lt;&gt;"&amp;C666,'CARNET DE SOUDURE'!$P$7:$P$3006,"&lt;&gt;")&gt;0,"⚠ DIFFÉRENTE","OK"))</f>
        <v>OK</v>
      </c>
      <c r="F666" s="147" t="n">
        <v>11.94</v>
      </c>
      <c r="G666" s="80"/>
      <c r="H666" s="83"/>
      <c r="I666" s="148" t="str">
        <f aca="false">IF(B666="","",IFERROR(INDEX('CARNET DE SOUDURE'!$B$7:$B$3006,MATCH(B666,'CARNET DE SOUDURE'!$L$7:$L$3006,0)),IFERROR(INDEX('CARNET DE SOUDURE'!$B$7:$B$3006,MATCH(B666,'CARNET DE SOUDURE'!$O$7:$O$3006,0)),"")))</f>
        <v>MFD-ISW → MFD-CPF</v>
      </c>
      <c r="J666" s="82" t="str">
        <f aca="false">IF(B666="","",IFERROR(INDEX('CARNET DE SOUDURE'!$E$7:$E$3006,MATCH(B666,'CARNET DE SOUDURE'!$O$7:$O$3006,0)),""))</f>
        <v>JN°1327R</v>
      </c>
      <c r="K666" s="82" t="str">
        <f aca="false">IF(B666="","",IFERROR(INDEX('CARNET DE SOUDURE'!$E$7:$E$3006,MATCH(B666,'CARNET DE SOUDURE'!$L$7:$L$3006,0)),""))</f>
        <v>DJ°171</v>
      </c>
      <c r="L666" s="82" t="n">
        <f aca="false">IF(B666="","",IFERROR(INDEX('CARNET DE SOUDURE'!$D$7:$D$3006,MATCH(B666,'CARNET DE SOUDURE'!$L$7:$L$3006,0)),IFERROR(INDEX('CARNET DE SOUDURE'!$D$7:$D$3006,MATCH(B666,'CARNET DE SOUDURE'!$O$7:$O$3006,0)),"")))</f>
        <v>14</v>
      </c>
      <c r="M666" s="82" t="str">
        <f aca="false">IF(B666="","",IF(OR(J666&lt;&gt;"",K666&lt;&gt;""),"POSÉ EN LIGNE",IF(COUNTIF(BARDAGE!$C$1:$C$5000,B666)&gt;0,"BARDÉ","EN STOCK")))</f>
        <v>POSÉ EN LIGNE</v>
      </c>
      <c r="N666" s="80"/>
    </row>
    <row r="667" customFormat="false" ht="15" hidden="false" customHeight="false" outlineLevel="0" collapsed="false">
      <c r="A667" s="82" t="n">
        <f aca="false">IF(B667="","",ROW()-6)</f>
        <v>661</v>
      </c>
      <c r="B667" s="145" t="n">
        <v>2094800</v>
      </c>
      <c r="C667" s="146" t="n">
        <v>15421111</v>
      </c>
      <c r="D667" s="146"/>
      <c r="E667" s="82" t="str">
        <f aca="false">IF(B667="","",IF(COUNTIFS('CARNET DE SOUDURE'!$L$7:$L$3006,B667,'CARNET DE SOUDURE'!$M$7:$M$3006,"&lt;&gt;"&amp;C667,'CARNET DE SOUDURE'!$M$7:$M$3006,"&lt;&gt;")+COUNTIFS('CARNET DE SOUDURE'!$O$7:$O$3006,B667,'CARNET DE SOUDURE'!$P$7:$P$3006,"&lt;&gt;"&amp;C667,'CARNET DE SOUDURE'!$P$7:$P$3006,"&lt;&gt;")&gt;0,"⚠ DIFFÉRENTE","OK"))</f>
        <v>OK</v>
      </c>
      <c r="F667" s="147" t="n">
        <v>11.94</v>
      </c>
      <c r="G667" s="80"/>
      <c r="H667" s="83"/>
      <c r="I667" s="148" t="str">
        <f aca="false">IF(B667="","",IFERROR(INDEX('CARNET DE SOUDURE'!$B$7:$B$3006,MATCH(B667,'CARNET DE SOUDURE'!$L$7:$L$3006,0)),IFERROR(INDEX('CARNET DE SOUDURE'!$B$7:$B$3006,MATCH(B667,'CARNET DE SOUDURE'!$O$7:$O$3006,0)),"")))</f>
        <v>MFD-ISW → MFD-CPF</v>
      </c>
      <c r="J667" s="82" t="str">
        <f aca="false">IF(B667="","",IFERROR(INDEX('CARNET DE SOUDURE'!$E$7:$E$3006,MATCH(B667,'CARNET DE SOUDURE'!$O$7:$O$3006,0)),""))</f>
        <v>DJ°171</v>
      </c>
      <c r="K667" s="82" t="str">
        <f aca="false">IF(B667="","",IFERROR(INDEX('CARNET DE SOUDURE'!$E$7:$E$3006,MATCH(B667,'CARNET DE SOUDURE'!$L$7:$L$3006,0)),""))</f>
        <v>JN°1328</v>
      </c>
      <c r="L667" s="82" t="n">
        <f aca="false">IF(B667="","",IFERROR(INDEX('CARNET DE SOUDURE'!$D$7:$D$3006,MATCH(B667,'CARNET DE SOUDURE'!$L$7:$L$3006,0)),IFERROR(INDEX('CARNET DE SOUDURE'!$D$7:$D$3006,MATCH(B667,'CARNET DE SOUDURE'!$O$7:$O$3006,0)),"")))</f>
        <v>14</v>
      </c>
      <c r="M667" s="82" t="str">
        <f aca="false">IF(B667="","",IF(OR(J667&lt;&gt;"",K667&lt;&gt;""),"POSÉ EN LIGNE",IF(COUNTIF(BARDAGE!$C$1:$C$5000,B667)&gt;0,"BARDÉ","EN STOCK")))</f>
        <v>POSÉ EN LIGNE</v>
      </c>
      <c r="N667" s="80"/>
    </row>
    <row r="668" customFormat="false" ht="15" hidden="false" customHeight="false" outlineLevel="0" collapsed="false">
      <c r="A668" s="82" t="n">
        <f aca="false">IF(B668="","",ROW()-6)</f>
        <v>662</v>
      </c>
      <c r="B668" s="145" t="n">
        <v>2086060</v>
      </c>
      <c r="C668" s="146" t="n">
        <v>15421107</v>
      </c>
      <c r="D668" s="146"/>
      <c r="E668" s="82" t="str">
        <f aca="false">IF(B668="","",IF(COUNTIFS('CARNET DE SOUDURE'!$L$7:$L$3006,B668,'CARNET DE SOUDURE'!$M$7:$M$3006,"&lt;&gt;"&amp;C668,'CARNET DE SOUDURE'!$M$7:$M$3006,"&lt;&gt;")+COUNTIFS('CARNET DE SOUDURE'!$O$7:$O$3006,B668,'CARNET DE SOUDURE'!$P$7:$P$3006,"&lt;&gt;"&amp;C668,'CARNET DE SOUDURE'!$P$7:$P$3006,"&lt;&gt;")&gt;0,"⚠ DIFFÉRENTE","OK"))</f>
        <v>OK</v>
      </c>
      <c r="F668" s="147" t="n">
        <v>11.94</v>
      </c>
      <c r="G668" s="80"/>
      <c r="H668" s="83"/>
      <c r="I668" s="148" t="str">
        <f aca="false">IF(B668="","",IFERROR(INDEX('CARNET DE SOUDURE'!$B$7:$B$3006,MATCH(B668,'CARNET DE SOUDURE'!$L$7:$L$3006,0)),IFERROR(INDEX('CARNET DE SOUDURE'!$B$7:$B$3006,MATCH(B668,'CARNET DE SOUDURE'!$O$7:$O$3006,0)),"")))</f>
        <v>MFD-ISW → MFD-CPF</v>
      </c>
      <c r="J668" s="82" t="str">
        <f aca="false">IF(B668="","",IFERROR(INDEX('CARNET DE SOUDURE'!$E$7:$E$3006,MATCH(B668,'CARNET DE SOUDURE'!$O$7:$O$3006,0)),""))</f>
        <v>JN°1328</v>
      </c>
      <c r="K668" s="82" t="str">
        <f aca="false">IF(B668="","",IFERROR(INDEX('CARNET DE SOUDURE'!$E$7:$E$3006,MATCH(B668,'CARNET DE SOUDURE'!$L$7:$L$3006,0)),""))</f>
        <v>DJ°177</v>
      </c>
      <c r="L668" s="82" t="n">
        <f aca="false">IF(B668="","",IFERROR(INDEX('CARNET DE SOUDURE'!$D$7:$D$3006,MATCH(B668,'CARNET DE SOUDURE'!$L$7:$L$3006,0)),IFERROR(INDEX('CARNET DE SOUDURE'!$D$7:$D$3006,MATCH(B668,'CARNET DE SOUDURE'!$O$7:$O$3006,0)),"")))</f>
        <v>14</v>
      </c>
      <c r="M668" s="82" t="str">
        <f aca="false">IF(B668="","",IF(OR(J668&lt;&gt;"",K668&lt;&gt;""),"POSÉ EN LIGNE",IF(COUNTIF(BARDAGE!$C$1:$C$5000,B668)&gt;0,"BARDÉ","EN STOCK")))</f>
        <v>POSÉ EN LIGNE</v>
      </c>
      <c r="N668" s="80"/>
    </row>
    <row r="669" customFormat="false" ht="15" hidden="false" customHeight="false" outlineLevel="0" collapsed="false">
      <c r="A669" s="82" t="n">
        <f aca="false">IF(B669="","",ROW()-6)</f>
        <v>663</v>
      </c>
      <c r="B669" s="145" t="n">
        <v>2089880</v>
      </c>
      <c r="C669" s="146" t="n">
        <v>15421111</v>
      </c>
      <c r="D669" s="146"/>
      <c r="E669" s="82" t="str">
        <f aca="false">IF(B669="","",IF(COUNTIFS('CARNET DE SOUDURE'!$L$7:$L$3006,B669,'CARNET DE SOUDURE'!$M$7:$M$3006,"&lt;&gt;"&amp;C669,'CARNET DE SOUDURE'!$M$7:$M$3006,"&lt;&gt;")+COUNTIFS('CARNET DE SOUDURE'!$O$7:$O$3006,B669,'CARNET DE SOUDURE'!$P$7:$P$3006,"&lt;&gt;"&amp;C669,'CARNET DE SOUDURE'!$P$7:$P$3006,"&lt;&gt;")&gt;0,"⚠ DIFFÉRENTE","OK"))</f>
        <v>OK</v>
      </c>
      <c r="F669" s="147" t="n">
        <v>11.94</v>
      </c>
      <c r="G669" s="80"/>
      <c r="H669" s="83"/>
      <c r="I669" s="148" t="str">
        <f aca="false">IF(B669="","",IFERROR(INDEX('CARNET DE SOUDURE'!$B$7:$B$3006,MATCH(B669,'CARNET DE SOUDURE'!$L$7:$L$3006,0)),IFERROR(INDEX('CARNET DE SOUDURE'!$B$7:$B$3006,MATCH(B669,'CARNET DE SOUDURE'!$O$7:$O$3006,0)),"")))</f>
        <v>MFD-ISW → MFD-CPF</v>
      </c>
      <c r="J669" s="82" t="str">
        <f aca="false">IF(B669="","",IFERROR(INDEX('CARNET DE SOUDURE'!$E$7:$E$3006,MATCH(B669,'CARNET DE SOUDURE'!$O$7:$O$3006,0)),""))</f>
        <v>DJ°177</v>
      </c>
      <c r="K669" s="82" t="str">
        <f aca="false">IF(B669="","",IFERROR(INDEX('CARNET DE SOUDURE'!$E$7:$E$3006,MATCH(B669,'CARNET DE SOUDURE'!$L$7:$L$3006,0)),""))</f>
        <v>JN°1329</v>
      </c>
      <c r="L669" s="82" t="n">
        <f aca="false">IF(B669="","",IFERROR(INDEX('CARNET DE SOUDURE'!$D$7:$D$3006,MATCH(B669,'CARNET DE SOUDURE'!$L$7:$L$3006,0)),IFERROR(INDEX('CARNET DE SOUDURE'!$D$7:$D$3006,MATCH(B669,'CARNET DE SOUDURE'!$O$7:$O$3006,0)),"")))</f>
        <v>14</v>
      </c>
      <c r="M669" s="82" t="str">
        <f aca="false">IF(B669="","",IF(OR(J669&lt;&gt;"",K669&lt;&gt;""),"POSÉ EN LIGNE",IF(COUNTIF(BARDAGE!$C$1:$C$5000,B669)&gt;0,"BARDÉ","EN STOCK")))</f>
        <v>POSÉ EN LIGNE</v>
      </c>
      <c r="N669" s="80"/>
    </row>
    <row r="670" customFormat="false" ht="15" hidden="false" customHeight="false" outlineLevel="0" collapsed="false">
      <c r="A670" s="82" t="n">
        <f aca="false">IF(B670="","",ROW()-6)</f>
        <v>664</v>
      </c>
      <c r="B670" s="145" t="n">
        <v>2080410</v>
      </c>
      <c r="C670" s="146" t="n">
        <v>15421102</v>
      </c>
      <c r="D670" s="146"/>
      <c r="E670" s="82" t="str">
        <f aca="false">IF(B670="","",IF(COUNTIFS('CARNET DE SOUDURE'!$L$7:$L$3006,B670,'CARNET DE SOUDURE'!$M$7:$M$3006,"&lt;&gt;"&amp;C670,'CARNET DE SOUDURE'!$M$7:$M$3006,"&lt;&gt;")+COUNTIFS('CARNET DE SOUDURE'!$O$7:$O$3006,B670,'CARNET DE SOUDURE'!$P$7:$P$3006,"&lt;&gt;"&amp;C670,'CARNET DE SOUDURE'!$P$7:$P$3006,"&lt;&gt;")&gt;0,"⚠ DIFFÉRENTE","OK"))</f>
        <v>OK</v>
      </c>
      <c r="F670" s="147" t="n">
        <v>11.94</v>
      </c>
      <c r="G670" s="80"/>
      <c r="H670" s="83"/>
      <c r="I670" s="148" t="str">
        <f aca="false">IF(B670="","",IFERROR(INDEX('CARNET DE SOUDURE'!$B$7:$B$3006,MATCH(B670,'CARNET DE SOUDURE'!$L$7:$L$3006,0)),IFERROR(INDEX('CARNET DE SOUDURE'!$B$7:$B$3006,MATCH(B670,'CARNET DE SOUDURE'!$O$7:$O$3006,0)),"")))</f>
        <v>MFD-ISW → MFD-CPF</v>
      </c>
      <c r="J670" s="82" t="str">
        <f aca="false">IF(B670="","",IFERROR(INDEX('CARNET DE SOUDURE'!$E$7:$E$3006,MATCH(B670,'CARNET DE SOUDURE'!$O$7:$O$3006,0)),""))</f>
        <v>JN°1329</v>
      </c>
      <c r="K670" s="82" t="str">
        <f aca="false">IF(B670="","",IFERROR(INDEX('CARNET DE SOUDURE'!$E$7:$E$3006,MATCH(B670,'CARNET DE SOUDURE'!$L$7:$L$3006,0)),""))</f>
        <v>DJ°166</v>
      </c>
      <c r="L670" s="82" t="n">
        <f aca="false">IF(B670="","",IFERROR(INDEX('CARNET DE SOUDURE'!$D$7:$D$3006,MATCH(B670,'CARNET DE SOUDURE'!$L$7:$L$3006,0)),IFERROR(INDEX('CARNET DE SOUDURE'!$D$7:$D$3006,MATCH(B670,'CARNET DE SOUDURE'!$O$7:$O$3006,0)),"")))</f>
        <v>14</v>
      </c>
      <c r="M670" s="82" t="str">
        <f aca="false">IF(B670="","",IF(OR(J670&lt;&gt;"",K670&lt;&gt;""),"POSÉ EN LIGNE",IF(COUNTIF(BARDAGE!$C$1:$C$5000,B670)&gt;0,"BARDÉ","EN STOCK")))</f>
        <v>POSÉ EN LIGNE</v>
      </c>
      <c r="N670" s="80"/>
    </row>
    <row r="671" customFormat="false" ht="15" hidden="false" customHeight="false" outlineLevel="0" collapsed="false">
      <c r="A671" s="82" t="n">
        <f aca="false">IF(B671="","",ROW()-6)</f>
        <v>665</v>
      </c>
      <c r="B671" s="145" t="n">
        <v>2094240</v>
      </c>
      <c r="C671" s="146" t="n">
        <v>15421110</v>
      </c>
      <c r="D671" s="146"/>
      <c r="E671" s="82" t="str">
        <f aca="false">IF(B671="","",IF(COUNTIFS('CARNET DE SOUDURE'!$L$7:$L$3006,B671,'CARNET DE SOUDURE'!$M$7:$M$3006,"&lt;&gt;"&amp;C671,'CARNET DE SOUDURE'!$M$7:$M$3006,"&lt;&gt;")+COUNTIFS('CARNET DE SOUDURE'!$O$7:$O$3006,B671,'CARNET DE SOUDURE'!$P$7:$P$3006,"&lt;&gt;"&amp;C671,'CARNET DE SOUDURE'!$P$7:$P$3006,"&lt;&gt;")&gt;0,"⚠ DIFFÉRENTE","OK"))</f>
        <v>OK</v>
      </c>
      <c r="F671" s="147" t="n">
        <v>11.94</v>
      </c>
      <c r="G671" s="80"/>
      <c r="H671" s="83"/>
      <c r="I671" s="148" t="str">
        <f aca="false">IF(B671="","",IFERROR(INDEX('CARNET DE SOUDURE'!$B$7:$B$3006,MATCH(B671,'CARNET DE SOUDURE'!$L$7:$L$3006,0)),IFERROR(INDEX('CARNET DE SOUDURE'!$B$7:$B$3006,MATCH(B671,'CARNET DE SOUDURE'!$O$7:$O$3006,0)),"")))</f>
        <v>MFD-ISW → MFD-CPF</v>
      </c>
      <c r="J671" s="82" t="str">
        <f aca="false">IF(B671="","",IFERROR(INDEX('CARNET DE SOUDURE'!$E$7:$E$3006,MATCH(B671,'CARNET DE SOUDURE'!$O$7:$O$3006,0)),""))</f>
        <v>DJ°166</v>
      </c>
      <c r="K671" s="82" t="str">
        <f aca="false">IF(B671="","",IFERROR(INDEX('CARNET DE SOUDURE'!$E$7:$E$3006,MATCH(B671,'CARNET DE SOUDURE'!$L$7:$L$3006,0)),""))</f>
        <v>JN°1330</v>
      </c>
      <c r="L671" s="82" t="n">
        <f aca="false">IF(B671="","",IFERROR(INDEX('CARNET DE SOUDURE'!$D$7:$D$3006,MATCH(B671,'CARNET DE SOUDURE'!$L$7:$L$3006,0)),IFERROR(INDEX('CARNET DE SOUDURE'!$D$7:$D$3006,MATCH(B671,'CARNET DE SOUDURE'!$O$7:$O$3006,0)),"")))</f>
        <v>14</v>
      </c>
      <c r="M671" s="82" t="str">
        <f aca="false">IF(B671="","",IF(OR(J671&lt;&gt;"",K671&lt;&gt;""),"POSÉ EN LIGNE",IF(COUNTIF(BARDAGE!$C$1:$C$5000,B671)&gt;0,"BARDÉ","EN STOCK")))</f>
        <v>POSÉ EN LIGNE</v>
      </c>
      <c r="N671" s="80"/>
    </row>
    <row r="672" customFormat="false" ht="15" hidden="false" customHeight="false" outlineLevel="0" collapsed="false">
      <c r="A672" s="82" t="n">
        <f aca="false">IF(B672="","",ROW()-6)</f>
        <v>666</v>
      </c>
      <c r="B672" s="145" t="n">
        <v>2079760</v>
      </c>
      <c r="C672" s="146" t="n">
        <v>15421112</v>
      </c>
      <c r="D672" s="146"/>
      <c r="E672" s="82" t="str">
        <f aca="false">IF(B672="","",IF(COUNTIFS('CARNET DE SOUDURE'!$L$7:$L$3006,B672,'CARNET DE SOUDURE'!$M$7:$M$3006,"&lt;&gt;"&amp;C672,'CARNET DE SOUDURE'!$M$7:$M$3006,"&lt;&gt;")+COUNTIFS('CARNET DE SOUDURE'!$O$7:$O$3006,B672,'CARNET DE SOUDURE'!$P$7:$P$3006,"&lt;&gt;"&amp;C672,'CARNET DE SOUDURE'!$P$7:$P$3006,"&lt;&gt;")&gt;0,"⚠ DIFFÉRENTE","OK"))</f>
        <v>OK</v>
      </c>
      <c r="F672" s="147" t="n">
        <v>11.94</v>
      </c>
      <c r="G672" s="80"/>
      <c r="H672" s="83"/>
      <c r="I672" s="148" t="str">
        <f aca="false">IF(B672="","",IFERROR(INDEX('CARNET DE SOUDURE'!$B$7:$B$3006,MATCH(B672,'CARNET DE SOUDURE'!$L$7:$L$3006,0)),IFERROR(INDEX('CARNET DE SOUDURE'!$B$7:$B$3006,MATCH(B672,'CARNET DE SOUDURE'!$O$7:$O$3006,0)),"")))</f>
        <v>MFD-ISW → MFD-CPF</v>
      </c>
      <c r="J672" s="82" t="str">
        <f aca="false">IF(B672="","",IFERROR(INDEX('CARNET DE SOUDURE'!$E$7:$E$3006,MATCH(B672,'CARNET DE SOUDURE'!$O$7:$O$3006,0)),""))</f>
        <v>JN°1330</v>
      </c>
      <c r="K672" s="82" t="str">
        <f aca="false">IF(B672="","",IFERROR(INDEX('CARNET DE SOUDURE'!$E$7:$E$3006,MATCH(B672,'CARNET DE SOUDURE'!$L$7:$L$3006,0)),""))</f>
        <v>DJ°207</v>
      </c>
      <c r="L672" s="82" t="n">
        <f aca="false">IF(B672="","",IFERROR(INDEX('CARNET DE SOUDURE'!$D$7:$D$3006,MATCH(B672,'CARNET DE SOUDURE'!$L$7:$L$3006,0)),IFERROR(INDEX('CARNET DE SOUDURE'!$D$7:$D$3006,MATCH(B672,'CARNET DE SOUDURE'!$O$7:$O$3006,0)),"")))</f>
        <v>14</v>
      </c>
      <c r="M672" s="82" t="str">
        <f aca="false">IF(B672="","",IF(OR(J672&lt;&gt;"",K672&lt;&gt;""),"POSÉ EN LIGNE",IF(COUNTIF(BARDAGE!$C$1:$C$5000,B672)&gt;0,"BARDÉ","EN STOCK")))</f>
        <v>POSÉ EN LIGNE</v>
      </c>
      <c r="N672" s="80"/>
    </row>
    <row r="673" customFormat="false" ht="15" hidden="false" customHeight="false" outlineLevel="0" collapsed="false">
      <c r="A673" s="82" t="n">
        <f aca="false">IF(B673="","",ROW()-6)</f>
        <v>667</v>
      </c>
      <c r="B673" s="145" t="n">
        <v>2096170</v>
      </c>
      <c r="C673" s="146" t="n">
        <v>15421111</v>
      </c>
      <c r="D673" s="146"/>
      <c r="E673" s="82" t="str">
        <f aca="false">IF(B673="","",IF(COUNTIFS('CARNET DE SOUDURE'!$L$7:$L$3006,B673,'CARNET DE SOUDURE'!$M$7:$M$3006,"&lt;&gt;"&amp;C673,'CARNET DE SOUDURE'!$M$7:$M$3006,"&lt;&gt;")+COUNTIFS('CARNET DE SOUDURE'!$O$7:$O$3006,B673,'CARNET DE SOUDURE'!$P$7:$P$3006,"&lt;&gt;"&amp;C673,'CARNET DE SOUDURE'!$P$7:$P$3006,"&lt;&gt;")&gt;0,"⚠ DIFFÉRENTE","OK"))</f>
        <v>OK</v>
      </c>
      <c r="F673" s="147" t="n">
        <v>11.94</v>
      </c>
      <c r="G673" s="80"/>
      <c r="H673" s="83"/>
      <c r="I673" s="148" t="str">
        <f aca="false">IF(B673="","",IFERROR(INDEX('CARNET DE SOUDURE'!$B$7:$B$3006,MATCH(B673,'CARNET DE SOUDURE'!$L$7:$L$3006,0)),IFERROR(INDEX('CARNET DE SOUDURE'!$B$7:$B$3006,MATCH(B673,'CARNET DE SOUDURE'!$O$7:$O$3006,0)),"")))</f>
        <v>MFD-ISW → MFD-CPF</v>
      </c>
      <c r="J673" s="82" t="str">
        <f aca="false">IF(B673="","",IFERROR(INDEX('CARNET DE SOUDURE'!$E$7:$E$3006,MATCH(B673,'CARNET DE SOUDURE'!$O$7:$O$3006,0)),""))</f>
        <v>DJ°207</v>
      </c>
      <c r="K673" s="82" t="str">
        <f aca="false">IF(B673="","",IFERROR(INDEX('CARNET DE SOUDURE'!$E$7:$E$3006,MATCH(B673,'CARNET DE SOUDURE'!$L$7:$L$3006,0)),""))</f>
        <v>JN°1331</v>
      </c>
      <c r="L673" s="82" t="n">
        <f aca="false">IF(B673="","",IFERROR(INDEX('CARNET DE SOUDURE'!$D$7:$D$3006,MATCH(B673,'CARNET DE SOUDURE'!$L$7:$L$3006,0)),IFERROR(INDEX('CARNET DE SOUDURE'!$D$7:$D$3006,MATCH(B673,'CARNET DE SOUDURE'!$O$7:$O$3006,0)),"")))</f>
        <v>14</v>
      </c>
      <c r="M673" s="82" t="str">
        <f aca="false">IF(B673="","",IF(OR(J673&lt;&gt;"",K673&lt;&gt;""),"POSÉ EN LIGNE",IF(COUNTIF(BARDAGE!$C$1:$C$5000,B673)&gt;0,"BARDÉ","EN STOCK")))</f>
        <v>POSÉ EN LIGNE</v>
      </c>
      <c r="N673" s="80"/>
    </row>
    <row r="674" customFormat="false" ht="15" hidden="false" customHeight="false" outlineLevel="0" collapsed="false">
      <c r="A674" s="82" t="n">
        <f aca="false">IF(B674="","",ROW()-6)</f>
        <v>668</v>
      </c>
      <c r="B674" s="145" t="n">
        <v>2092510</v>
      </c>
      <c r="C674" s="146" t="n">
        <v>15421110</v>
      </c>
      <c r="D674" s="146"/>
      <c r="E674" s="82" t="str">
        <f aca="false">IF(B674="","",IF(COUNTIFS('CARNET DE SOUDURE'!$L$7:$L$3006,B674,'CARNET DE SOUDURE'!$M$7:$M$3006,"&lt;&gt;"&amp;C674,'CARNET DE SOUDURE'!$M$7:$M$3006,"&lt;&gt;")+COUNTIFS('CARNET DE SOUDURE'!$O$7:$O$3006,B674,'CARNET DE SOUDURE'!$P$7:$P$3006,"&lt;&gt;"&amp;C674,'CARNET DE SOUDURE'!$P$7:$P$3006,"&lt;&gt;")&gt;0,"⚠ DIFFÉRENTE","OK"))</f>
        <v>OK</v>
      </c>
      <c r="F674" s="147" t="n">
        <v>11.94</v>
      </c>
      <c r="G674" s="80"/>
      <c r="H674" s="83"/>
      <c r="I674" s="148" t="str">
        <f aca="false">IF(B674="","",IFERROR(INDEX('CARNET DE SOUDURE'!$B$7:$B$3006,MATCH(B674,'CARNET DE SOUDURE'!$L$7:$L$3006,0)),IFERROR(INDEX('CARNET DE SOUDURE'!$B$7:$B$3006,MATCH(B674,'CARNET DE SOUDURE'!$O$7:$O$3006,0)),"")))</f>
        <v>MFD-ISW → MFD-CPF</v>
      </c>
      <c r="J674" s="82" t="str">
        <f aca="false">IF(B674="","",IFERROR(INDEX('CARNET DE SOUDURE'!$E$7:$E$3006,MATCH(B674,'CARNET DE SOUDURE'!$O$7:$O$3006,0)),""))</f>
        <v>JN°1331</v>
      </c>
      <c r="K674" s="82" t="str">
        <f aca="false">IF(B674="","",IFERROR(INDEX('CARNET DE SOUDURE'!$E$7:$E$3006,MATCH(B674,'CARNET DE SOUDURE'!$L$7:$L$3006,0)),""))</f>
        <v>DJ°203</v>
      </c>
      <c r="L674" s="82" t="n">
        <f aca="false">IF(B674="","",IFERROR(INDEX('CARNET DE SOUDURE'!$D$7:$D$3006,MATCH(B674,'CARNET DE SOUDURE'!$L$7:$L$3006,0)),IFERROR(INDEX('CARNET DE SOUDURE'!$D$7:$D$3006,MATCH(B674,'CARNET DE SOUDURE'!$O$7:$O$3006,0)),"")))</f>
        <v>14</v>
      </c>
      <c r="M674" s="82" t="str">
        <f aca="false">IF(B674="","",IF(OR(J674&lt;&gt;"",K674&lt;&gt;""),"POSÉ EN LIGNE",IF(COUNTIF(BARDAGE!$C$1:$C$5000,B674)&gt;0,"BARDÉ","EN STOCK")))</f>
        <v>POSÉ EN LIGNE</v>
      </c>
      <c r="N674" s="80"/>
    </row>
    <row r="675" customFormat="false" ht="15" hidden="false" customHeight="false" outlineLevel="0" collapsed="false">
      <c r="A675" s="82" t="n">
        <f aca="false">IF(B675="","",ROW()-6)</f>
        <v>669</v>
      </c>
      <c r="B675" s="145" t="n">
        <v>2098560</v>
      </c>
      <c r="C675" s="146" t="n">
        <v>15421112</v>
      </c>
      <c r="D675" s="146"/>
      <c r="E675" s="82" t="str">
        <f aca="false">IF(B675="","",IF(COUNTIFS('CARNET DE SOUDURE'!$L$7:$L$3006,B675,'CARNET DE SOUDURE'!$M$7:$M$3006,"&lt;&gt;"&amp;C675,'CARNET DE SOUDURE'!$M$7:$M$3006,"&lt;&gt;")+COUNTIFS('CARNET DE SOUDURE'!$O$7:$O$3006,B675,'CARNET DE SOUDURE'!$P$7:$P$3006,"&lt;&gt;"&amp;C675,'CARNET DE SOUDURE'!$P$7:$P$3006,"&lt;&gt;")&gt;0,"⚠ DIFFÉRENTE","OK"))</f>
        <v>OK</v>
      </c>
      <c r="F675" s="147" t="n">
        <v>11.94</v>
      </c>
      <c r="G675" s="80"/>
      <c r="H675" s="83"/>
      <c r="I675" s="148" t="str">
        <f aca="false">IF(B675="","",IFERROR(INDEX('CARNET DE SOUDURE'!$B$7:$B$3006,MATCH(B675,'CARNET DE SOUDURE'!$L$7:$L$3006,0)),IFERROR(INDEX('CARNET DE SOUDURE'!$B$7:$B$3006,MATCH(B675,'CARNET DE SOUDURE'!$O$7:$O$3006,0)),"")))</f>
        <v>MFD-ISW → MFD-CPF</v>
      </c>
      <c r="J675" s="82" t="str">
        <f aca="false">IF(B675="","",IFERROR(INDEX('CARNET DE SOUDURE'!$E$7:$E$3006,MATCH(B675,'CARNET DE SOUDURE'!$O$7:$O$3006,0)),""))</f>
        <v>DJ°203</v>
      </c>
      <c r="K675" s="82" t="str">
        <f aca="false">IF(B675="","",IFERROR(INDEX('CARNET DE SOUDURE'!$E$7:$E$3006,MATCH(B675,'CARNET DE SOUDURE'!$L$7:$L$3006,0)),""))</f>
        <v>JN°1332R</v>
      </c>
      <c r="L675" s="82" t="n">
        <f aca="false">IF(B675="","",IFERROR(INDEX('CARNET DE SOUDURE'!$D$7:$D$3006,MATCH(B675,'CARNET DE SOUDURE'!$L$7:$L$3006,0)),IFERROR(INDEX('CARNET DE SOUDURE'!$D$7:$D$3006,MATCH(B675,'CARNET DE SOUDURE'!$O$7:$O$3006,0)),"")))</f>
        <v>14</v>
      </c>
      <c r="M675" s="82" t="str">
        <f aca="false">IF(B675="","",IF(OR(J675&lt;&gt;"",K675&lt;&gt;""),"POSÉ EN LIGNE",IF(COUNTIF(BARDAGE!$C$1:$C$5000,B675)&gt;0,"BARDÉ","EN STOCK")))</f>
        <v>POSÉ EN LIGNE</v>
      </c>
      <c r="N675" s="80"/>
    </row>
    <row r="676" customFormat="false" ht="15" hidden="false" customHeight="false" outlineLevel="0" collapsed="false">
      <c r="A676" s="82" t="n">
        <f aca="false">IF(B676="","",ROW()-6)</f>
        <v>670</v>
      </c>
      <c r="B676" s="145" t="n">
        <v>2092490</v>
      </c>
      <c r="C676" s="146" t="n">
        <v>15421110</v>
      </c>
      <c r="D676" s="146"/>
      <c r="E676" s="82" t="str">
        <f aca="false">IF(B676="","",IF(COUNTIFS('CARNET DE SOUDURE'!$L$7:$L$3006,B676,'CARNET DE SOUDURE'!$M$7:$M$3006,"&lt;&gt;"&amp;C676,'CARNET DE SOUDURE'!$M$7:$M$3006,"&lt;&gt;")+COUNTIFS('CARNET DE SOUDURE'!$O$7:$O$3006,B676,'CARNET DE SOUDURE'!$P$7:$P$3006,"&lt;&gt;"&amp;C676,'CARNET DE SOUDURE'!$P$7:$P$3006,"&lt;&gt;")&gt;0,"⚠ DIFFÉRENTE","OK"))</f>
        <v>OK</v>
      </c>
      <c r="F676" s="147" t="n">
        <v>11.94</v>
      </c>
      <c r="G676" s="80"/>
      <c r="H676" s="83"/>
      <c r="I676" s="148" t="str">
        <f aca="false">IF(B676="","",IFERROR(INDEX('CARNET DE SOUDURE'!$B$7:$B$3006,MATCH(B676,'CARNET DE SOUDURE'!$L$7:$L$3006,0)),IFERROR(INDEX('CARNET DE SOUDURE'!$B$7:$B$3006,MATCH(B676,'CARNET DE SOUDURE'!$O$7:$O$3006,0)),"")))</f>
        <v>MFD-ISW → MFD-CPF</v>
      </c>
      <c r="J676" s="82" t="str">
        <f aca="false">IF(B676="","",IFERROR(INDEX('CARNET DE SOUDURE'!$E$7:$E$3006,MATCH(B676,'CARNET DE SOUDURE'!$O$7:$O$3006,0)),""))</f>
        <v>JN°1332R</v>
      </c>
      <c r="K676" s="82" t="str">
        <f aca="false">IF(B676="","",IFERROR(INDEX('CARNET DE SOUDURE'!$E$7:$E$3006,MATCH(B676,'CARNET DE SOUDURE'!$L$7:$L$3006,0)),""))</f>
        <v>DJ°206</v>
      </c>
      <c r="L676" s="82" t="n">
        <f aca="false">IF(B676="","",IFERROR(INDEX('CARNET DE SOUDURE'!$D$7:$D$3006,MATCH(B676,'CARNET DE SOUDURE'!$L$7:$L$3006,0)),IFERROR(INDEX('CARNET DE SOUDURE'!$D$7:$D$3006,MATCH(B676,'CARNET DE SOUDURE'!$O$7:$O$3006,0)),"")))</f>
        <v>14</v>
      </c>
      <c r="M676" s="82" t="str">
        <f aca="false">IF(B676="","",IF(OR(J676&lt;&gt;"",K676&lt;&gt;""),"POSÉ EN LIGNE",IF(COUNTIF(BARDAGE!$C$1:$C$5000,B676)&gt;0,"BARDÉ","EN STOCK")))</f>
        <v>POSÉ EN LIGNE</v>
      </c>
      <c r="N676" s="80"/>
    </row>
    <row r="677" customFormat="false" ht="15" hidden="false" customHeight="false" outlineLevel="0" collapsed="false">
      <c r="A677" s="82" t="n">
        <f aca="false">IF(B677="","",ROW()-6)</f>
        <v>671</v>
      </c>
      <c r="B677" s="145" t="n">
        <v>2098770</v>
      </c>
      <c r="C677" s="146" t="n">
        <v>15421112</v>
      </c>
      <c r="D677" s="146"/>
      <c r="E677" s="82" t="str">
        <f aca="false">IF(B677="","",IF(COUNTIFS('CARNET DE SOUDURE'!$L$7:$L$3006,B677,'CARNET DE SOUDURE'!$M$7:$M$3006,"&lt;&gt;"&amp;C677,'CARNET DE SOUDURE'!$M$7:$M$3006,"&lt;&gt;")+COUNTIFS('CARNET DE SOUDURE'!$O$7:$O$3006,B677,'CARNET DE SOUDURE'!$P$7:$P$3006,"&lt;&gt;"&amp;C677,'CARNET DE SOUDURE'!$P$7:$P$3006,"&lt;&gt;")&gt;0,"⚠ DIFFÉRENTE","OK"))</f>
        <v>OK</v>
      </c>
      <c r="F677" s="147" t="n">
        <v>11.94</v>
      </c>
      <c r="G677" s="80"/>
      <c r="H677" s="83"/>
      <c r="I677" s="148" t="str">
        <f aca="false">IF(B677="","",IFERROR(INDEX('CARNET DE SOUDURE'!$B$7:$B$3006,MATCH(B677,'CARNET DE SOUDURE'!$L$7:$L$3006,0)),IFERROR(INDEX('CARNET DE SOUDURE'!$B$7:$B$3006,MATCH(B677,'CARNET DE SOUDURE'!$O$7:$O$3006,0)),"")))</f>
        <v>MFD-ISW → MFD-CPF</v>
      </c>
      <c r="J677" s="82" t="str">
        <f aca="false">IF(B677="","",IFERROR(INDEX('CARNET DE SOUDURE'!$E$7:$E$3006,MATCH(B677,'CARNET DE SOUDURE'!$O$7:$O$3006,0)),""))</f>
        <v>DJ°206</v>
      </c>
      <c r="K677" s="82" t="str">
        <f aca="false">IF(B677="","",IFERROR(INDEX('CARNET DE SOUDURE'!$E$7:$E$3006,MATCH(B677,'CARNET DE SOUDURE'!$L$7:$L$3006,0)),""))</f>
        <v>JN°1333</v>
      </c>
      <c r="L677" s="82" t="n">
        <f aca="false">IF(B677="","",IFERROR(INDEX('CARNET DE SOUDURE'!$D$7:$D$3006,MATCH(B677,'CARNET DE SOUDURE'!$L$7:$L$3006,0)),IFERROR(INDEX('CARNET DE SOUDURE'!$D$7:$D$3006,MATCH(B677,'CARNET DE SOUDURE'!$O$7:$O$3006,0)),"")))</f>
        <v>14</v>
      </c>
      <c r="M677" s="82" t="str">
        <f aca="false">IF(B677="","",IF(OR(J677&lt;&gt;"",K677&lt;&gt;""),"POSÉ EN LIGNE",IF(COUNTIF(BARDAGE!$C$1:$C$5000,B677)&gt;0,"BARDÉ","EN STOCK")))</f>
        <v>POSÉ EN LIGNE</v>
      </c>
      <c r="N677" s="80"/>
    </row>
    <row r="678" customFormat="false" ht="15" hidden="false" customHeight="false" outlineLevel="0" collapsed="false">
      <c r="A678" s="82" t="n">
        <f aca="false">IF(B678="","",ROW()-6)</f>
        <v>672</v>
      </c>
      <c r="B678" s="145" t="n">
        <v>2083480</v>
      </c>
      <c r="C678" s="146" t="n">
        <v>15421105</v>
      </c>
      <c r="D678" s="146"/>
      <c r="E678" s="82" t="str">
        <f aca="false">IF(B678="","",IF(COUNTIFS('CARNET DE SOUDURE'!$L$7:$L$3006,B678,'CARNET DE SOUDURE'!$M$7:$M$3006,"&lt;&gt;"&amp;C678,'CARNET DE SOUDURE'!$M$7:$M$3006,"&lt;&gt;")+COUNTIFS('CARNET DE SOUDURE'!$O$7:$O$3006,B678,'CARNET DE SOUDURE'!$P$7:$P$3006,"&lt;&gt;"&amp;C678,'CARNET DE SOUDURE'!$P$7:$P$3006,"&lt;&gt;")&gt;0,"⚠ DIFFÉRENTE","OK"))</f>
        <v>OK</v>
      </c>
      <c r="F678" s="147" t="n">
        <v>11.94</v>
      </c>
      <c r="G678" s="80"/>
      <c r="H678" s="83"/>
      <c r="I678" s="148" t="str">
        <f aca="false">IF(B678="","",IFERROR(INDEX('CARNET DE SOUDURE'!$B$7:$B$3006,MATCH(B678,'CARNET DE SOUDURE'!$L$7:$L$3006,0)),IFERROR(INDEX('CARNET DE SOUDURE'!$B$7:$B$3006,MATCH(B678,'CARNET DE SOUDURE'!$O$7:$O$3006,0)),"")))</f>
        <v>MFD-ISW → MFD-CPF</v>
      </c>
      <c r="J678" s="82" t="str">
        <f aca="false">IF(B678="","",IFERROR(INDEX('CARNET DE SOUDURE'!$E$7:$E$3006,MATCH(B678,'CARNET DE SOUDURE'!$O$7:$O$3006,0)),""))</f>
        <v>JN°1333</v>
      </c>
      <c r="K678" s="82" t="str">
        <f aca="false">IF(B678="","",IFERROR(INDEX('CARNET DE SOUDURE'!$E$7:$E$3006,MATCH(B678,'CARNET DE SOUDURE'!$L$7:$L$3006,0)),""))</f>
        <v>DJ°197</v>
      </c>
      <c r="L678" s="82" t="n">
        <f aca="false">IF(B678="","",IFERROR(INDEX('CARNET DE SOUDURE'!$D$7:$D$3006,MATCH(B678,'CARNET DE SOUDURE'!$L$7:$L$3006,0)),IFERROR(INDEX('CARNET DE SOUDURE'!$D$7:$D$3006,MATCH(B678,'CARNET DE SOUDURE'!$O$7:$O$3006,0)),"")))</f>
        <v>14</v>
      </c>
      <c r="M678" s="82" t="str">
        <f aca="false">IF(B678="","",IF(OR(J678&lt;&gt;"",K678&lt;&gt;""),"POSÉ EN LIGNE",IF(COUNTIF(BARDAGE!$C$1:$C$5000,B678)&gt;0,"BARDÉ","EN STOCK")))</f>
        <v>POSÉ EN LIGNE</v>
      </c>
      <c r="N678" s="80"/>
    </row>
    <row r="679" customFormat="false" ht="15" hidden="false" customHeight="false" outlineLevel="0" collapsed="false">
      <c r="A679" s="82" t="n">
        <f aca="false">IF(B679="","",ROW()-6)</f>
        <v>673</v>
      </c>
      <c r="B679" s="145" t="n">
        <v>2091800</v>
      </c>
      <c r="C679" s="146" t="n">
        <v>15421109</v>
      </c>
      <c r="D679" s="146"/>
      <c r="E679" s="82" t="str">
        <f aca="false">IF(B679="","",IF(COUNTIFS('CARNET DE SOUDURE'!$L$7:$L$3006,B679,'CARNET DE SOUDURE'!$M$7:$M$3006,"&lt;&gt;"&amp;C679,'CARNET DE SOUDURE'!$M$7:$M$3006,"&lt;&gt;")+COUNTIFS('CARNET DE SOUDURE'!$O$7:$O$3006,B679,'CARNET DE SOUDURE'!$P$7:$P$3006,"&lt;&gt;"&amp;C679,'CARNET DE SOUDURE'!$P$7:$P$3006,"&lt;&gt;")&gt;0,"⚠ DIFFÉRENTE","OK"))</f>
        <v>⚠ DIFFÉRENTE</v>
      </c>
      <c r="F679" s="147" t="n">
        <v>11.94</v>
      </c>
      <c r="G679" s="80"/>
      <c r="H679" s="83"/>
      <c r="I679" s="148" t="str">
        <f aca="false">IF(B679="","",IFERROR(INDEX('CARNET DE SOUDURE'!$B$7:$B$3006,MATCH(B679,'CARNET DE SOUDURE'!$L$7:$L$3006,0)),IFERROR(INDEX('CARNET DE SOUDURE'!$B$7:$B$3006,MATCH(B679,'CARNET DE SOUDURE'!$O$7:$O$3006,0)),"")))</f>
        <v>MFD-ISW → MFD-CPF</v>
      </c>
      <c r="J679" s="82" t="str">
        <f aca="false">IF(B679="","",IFERROR(INDEX('CARNET DE SOUDURE'!$E$7:$E$3006,MATCH(B679,'CARNET DE SOUDURE'!$O$7:$O$3006,0)),""))</f>
        <v>DJ°197</v>
      </c>
      <c r="K679" s="82" t="str">
        <f aca="false">IF(B679="","",IFERROR(INDEX('CARNET DE SOUDURE'!$E$7:$E$3006,MATCH(B679,'CARNET DE SOUDURE'!$L$7:$L$3006,0)),""))</f>
        <v>JN°1334</v>
      </c>
      <c r="L679" s="82" t="n">
        <f aca="false">IF(B679="","",IFERROR(INDEX('CARNET DE SOUDURE'!$D$7:$D$3006,MATCH(B679,'CARNET DE SOUDURE'!$L$7:$L$3006,0)),IFERROR(INDEX('CARNET DE SOUDURE'!$D$7:$D$3006,MATCH(B679,'CARNET DE SOUDURE'!$O$7:$O$3006,0)),"")))</f>
        <v>14</v>
      </c>
      <c r="M679" s="82" t="str">
        <f aca="false">IF(B679="","",IF(OR(J679&lt;&gt;"",K679&lt;&gt;""),"POSÉ EN LIGNE",IF(COUNTIF(BARDAGE!$C$1:$C$5000,B679)&gt;0,"BARDÉ","EN STOCK")))</f>
        <v>POSÉ EN LIGNE</v>
      </c>
      <c r="N679" s="80"/>
    </row>
    <row r="680" customFormat="false" ht="15" hidden="false" customHeight="false" outlineLevel="0" collapsed="false">
      <c r="A680" s="82" t="n">
        <f aca="false">IF(B680="","",ROW()-6)</f>
        <v>674</v>
      </c>
      <c r="B680" s="145" t="n">
        <v>2082700</v>
      </c>
      <c r="C680" s="146" t="n">
        <v>15421104</v>
      </c>
      <c r="D680" s="146"/>
      <c r="E680" s="82" t="str">
        <f aca="false">IF(B680="","",IF(COUNTIFS('CARNET DE SOUDURE'!$L$7:$L$3006,B680,'CARNET DE SOUDURE'!$M$7:$M$3006,"&lt;&gt;"&amp;C680,'CARNET DE SOUDURE'!$M$7:$M$3006,"&lt;&gt;")+COUNTIFS('CARNET DE SOUDURE'!$O$7:$O$3006,B680,'CARNET DE SOUDURE'!$P$7:$P$3006,"&lt;&gt;"&amp;C680,'CARNET DE SOUDURE'!$P$7:$P$3006,"&lt;&gt;")&gt;0,"⚠ DIFFÉRENTE","OK"))</f>
        <v>OK</v>
      </c>
      <c r="F680" s="147" t="n">
        <v>11.94</v>
      </c>
      <c r="G680" s="80"/>
      <c r="H680" s="83"/>
      <c r="I680" s="148" t="str">
        <f aca="false">IF(B680="","",IFERROR(INDEX('CARNET DE SOUDURE'!$B$7:$B$3006,MATCH(B680,'CARNET DE SOUDURE'!$L$7:$L$3006,0)),IFERROR(INDEX('CARNET DE SOUDURE'!$B$7:$B$3006,MATCH(B680,'CARNET DE SOUDURE'!$O$7:$O$3006,0)),"")))</f>
        <v>MFD-ISW → MFD-CPF</v>
      </c>
      <c r="J680" s="82" t="str">
        <f aca="false">IF(B680="","",IFERROR(INDEX('CARNET DE SOUDURE'!$E$7:$E$3006,MATCH(B680,'CARNET DE SOUDURE'!$O$7:$O$3006,0)),""))</f>
        <v>JN°1345</v>
      </c>
      <c r="K680" s="82" t="str">
        <f aca="false">IF(B680="","",IFERROR(INDEX('CARNET DE SOUDURE'!$E$7:$E$3006,MATCH(B680,'CARNET DE SOUDURE'!$L$7:$L$3006,0)),""))</f>
        <v>DJ°200</v>
      </c>
      <c r="L680" s="82" t="n">
        <f aca="false">IF(B680="","",IFERROR(INDEX('CARNET DE SOUDURE'!$D$7:$D$3006,MATCH(B680,'CARNET DE SOUDURE'!$L$7:$L$3006,0)),IFERROR(INDEX('CARNET DE SOUDURE'!$D$7:$D$3006,MATCH(B680,'CARNET DE SOUDURE'!$O$7:$O$3006,0)),"")))</f>
        <v>14</v>
      </c>
      <c r="M680" s="82" t="str">
        <f aca="false">IF(B680="","",IF(OR(J680&lt;&gt;"",K680&lt;&gt;""),"POSÉ EN LIGNE",IF(COUNTIF(BARDAGE!$C$1:$C$5000,B680)&gt;0,"BARDÉ","EN STOCK")))</f>
        <v>POSÉ EN LIGNE</v>
      </c>
      <c r="N680" s="80"/>
    </row>
    <row r="681" customFormat="false" ht="15" hidden="false" customHeight="false" outlineLevel="0" collapsed="false">
      <c r="A681" s="82" t="n">
        <f aca="false">IF(B681="","",ROW()-6)</f>
        <v>675</v>
      </c>
      <c r="B681" s="145" t="n">
        <v>2082690</v>
      </c>
      <c r="C681" s="146" t="n">
        <v>15421104</v>
      </c>
      <c r="D681" s="146"/>
      <c r="E681" s="82" t="str">
        <f aca="false">IF(B681="","",IF(COUNTIFS('CARNET DE SOUDURE'!$L$7:$L$3006,B681,'CARNET DE SOUDURE'!$M$7:$M$3006,"&lt;&gt;"&amp;C681,'CARNET DE SOUDURE'!$M$7:$M$3006,"&lt;&gt;")+COUNTIFS('CARNET DE SOUDURE'!$O$7:$O$3006,B681,'CARNET DE SOUDURE'!$P$7:$P$3006,"&lt;&gt;"&amp;C681,'CARNET DE SOUDURE'!$P$7:$P$3006,"&lt;&gt;")&gt;0,"⚠ DIFFÉRENTE","OK"))</f>
        <v>OK</v>
      </c>
      <c r="F681" s="147" t="n">
        <v>11.94</v>
      </c>
      <c r="G681" s="80"/>
      <c r="H681" s="83"/>
      <c r="I681" s="148" t="str">
        <f aca="false">IF(B681="","",IFERROR(INDEX('CARNET DE SOUDURE'!$B$7:$B$3006,MATCH(B681,'CARNET DE SOUDURE'!$L$7:$L$3006,0)),IFERROR(INDEX('CARNET DE SOUDURE'!$B$7:$B$3006,MATCH(B681,'CARNET DE SOUDURE'!$O$7:$O$3006,0)),"")))</f>
        <v>MFD-ISW → MFD-CPF</v>
      </c>
      <c r="J681" s="82" t="str">
        <f aca="false">IF(B681="","",IFERROR(INDEX('CARNET DE SOUDURE'!$E$7:$E$3006,MATCH(B681,'CARNET DE SOUDURE'!$O$7:$O$3006,0)),""))</f>
        <v>DJ°200</v>
      </c>
      <c r="K681" s="82" t="str">
        <f aca="false">IF(B681="","",IFERROR(INDEX('CARNET DE SOUDURE'!$E$7:$E$3006,MATCH(B681,'CARNET DE SOUDURE'!$L$7:$L$3006,0)),""))</f>
        <v>JN°1346</v>
      </c>
      <c r="L681" s="82" t="n">
        <f aca="false">IF(B681="","",IFERROR(INDEX('CARNET DE SOUDURE'!$D$7:$D$3006,MATCH(B681,'CARNET DE SOUDURE'!$L$7:$L$3006,0)),IFERROR(INDEX('CARNET DE SOUDURE'!$D$7:$D$3006,MATCH(B681,'CARNET DE SOUDURE'!$O$7:$O$3006,0)),"")))</f>
        <v>14</v>
      </c>
      <c r="M681" s="82" t="str">
        <f aca="false">IF(B681="","",IF(OR(J681&lt;&gt;"",K681&lt;&gt;""),"POSÉ EN LIGNE",IF(COUNTIF(BARDAGE!$C$1:$C$5000,B681)&gt;0,"BARDÉ","EN STOCK")))</f>
        <v>POSÉ EN LIGNE</v>
      </c>
      <c r="N681" s="80"/>
    </row>
    <row r="682" customFormat="false" ht="15" hidden="false" customHeight="false" outlineLevel="0" collapsed="false">
      <c r="A682" s="82" t="n">
        <f aca="false">IF(B682="","",ROW()-6)</f>
        <v>676</v>
      </c>
      <c r="B682" s="145" t="n">
        <v>2082720</v>
      </c>
      <c r="C682" s="146" t="n">
        <v>15421104</v>
      </c>
      <c r="D682" s="146"/>
      <c r="E682" s="82" t="str">
        <f aca="false">IF(B682="","",IF(COUNTIFS('CARNET DE SOUDURE'!$L$7:$L$3006,B682,'CARNET DE SOUDURE'!$M$7:$M$3006,"&lt;&gt;"&amp;C682,'CARNET DE SOUDURE'!$M$7:$M$3006,"&lt;&gt;")+COUNTIFS('CARNET DE SOUDURE'!$O$7:$O$3006,B682,'CARNET DE SOUDURE'!$P$7:$P$3006,"&lt;&gt;"&amp;C682,'CARNET DE SOUDURE'!$P$7:$P$3006,"&lt;&gt;")&gt;0,"⚠ DIFFÉRENTE","OK"))</f>
        <v>OK</v>
      </c>
      <c r="F682" s="147" t="n">
        <v>11.94</v>
      </c>
      <c r="G682" s="80"/>
      <c r="H682" s="83"/>
      <c r="I682" s="148" t="str">
        <f aca="false">IF(B682="","",IFERROR(INDEX('CARNET DE SOUDURE'!$B$7:$B$3006,MATCH(B682,'CARNET DE SOUDURE'!$L$7:$L$3006,0)),IFERROR(INDEX('CARNET DE SOUDURE'!$B$7:$B$3006,MATCH(B682,'CARNET DE SOUDURE'!$O$7:$O$3006,0)),"")))</f>
        <v>MFD-ISW → MFD-CPF</v>
      </c>
      <c r="J682" s="82" t="str">
        <f aca="false">IF(B682="","",IFERROR(INDEX('CARNET DE SOUDURE'!$E$7:$E$3006,MATCH(B682,'CARNET DE SOUDURE'!$O$7:$O$3006,0)),""))</f>
        <v>JN°1346</v>
      </c>
      <c r="K682" s="82" t="str">
        <f aca="false">IF(B682="","",IFERROR(INDEX('CARNET DE SOUDURE'!$E$7:$E$3006,MATCH(B682,'CARNET DE SOUDURE'!$L$7:$L$3006,0)),""))</f>
        <v>DJ°202</v>
      </c>
      <c r="L682" s="82" t="n">
        <f aca="false">IF(B682="","",IFERROR(INDEX('CARNET DE SOUDURE'!$D$7:$D$3006,MATCH(B682,'CARNET DE SOUDURE'!$L$7:$L$3006,0)),IFERROR(INDEX('CARNET DE SOUDURE'!$D$7:$D$3006,MATCH(B682,'CARNET DE SOUDURE'!$O$7:$O$3006,0)),"")))</f>
        <v>14</v>
      </c>
      <c r="M682" s="82" t="str">
        <f aca="false">IF(B682="","",IF(OR(J682&lt;&gt;"",K682&lt;&gt;""),"POSÉ EN LIGNE",IF(COUNTIF(BARDAGE!$C$1:$C$5000,B682)&gt;0,"BARDÉ","EN STOCK")))</f>
        <v>POSÉ EN LIGNE</v>
      </c>
      <c r="N682" s="80"/>
    </row>
    <row r="683" customFormat="false" ht="15" hidden="false" customHeight="false" outlineLevel="0" collapsed="false">
      <c r="A683" s="82" t="n">
        <f aca="false">IF(B683="","",ROW()-6)</f>
        <v>677</v>
      </c>
      <c r="B683" s="145" t="n">
        <v>2096640</v>
      </c>
      <c r="C683" s="146" t="n">
        <v>15421111</v>
      </c>
      <c r="D683" s="146"/>
      <c r="E683" s="82" t="str">
        <f aca="false">IF(B683="","",IF(COUNTIFS('CARNET DE SOUDURE'!$L$7:$L$3006,B683,'CARNET DE SOUDURE'!$M$7:$M$3006,"&lt;&gt;"&amp;C683,'CARNET DE SOUDURE'!$M$7:$M$3006,"&lt;&gt;")+COUNTIFS('CARNET DE SOUDURE'!$O$7:$O$3006,B683,'CARNET DE SOUDURE'!$P$7:$P$3006,"&lt;&gt;"&amp;C683,'CARNET DE SOUDURE'!$P$7:$P$3006,"&lt;&gt;")&gt;0,"⚠ DIFFÉRENTE","OK"))</f>
        <v>OK</v>
      </c>
      <c r="F683" s="147" t="n">
        <v>11.94</v>
      </c>
      <c r="G683" s="80"/>
      <c r="H683" s="83"/>
      <c r="I683" s="148" t="str">
        <f aca="false">IF(B683="","",IFERROR(INDEX('CARNET DE SOUDURE'!$B$7:$B$3006,MATCH(B683,'CARNET DE SOUDURE'!$L$7:$L$3006,0)),IFERROR(INDEX('CARNET DE SOUDURE'!$B$7:$B$3006,MATCH(B683,'CARNET DE SOUDURE'!$O$7:$O$3006,0)),"")))</f>
        <v>MFD-ISW → MFD-CPF</v>
      </c>
      <c r="J683" s="82" t="str">
        <f aca="false">IF(B683="","",IFERROR(INDEX('CARNET DE SOUDURE'!$E$7:$E$3006,MATCH(B683,'CARNET DE SOUDURE'!$O$7:$O$3006,0)),""))</f>
        <v>DJ°202</v>
      </c>
      <c r="K683" s="82" t="str">
        <f aca="false">IF(B683="","",IFERROR(INDEX('CARNET DE SOUDURE'!$E$7:$E$3006,MATCH(B683,'CARNET DE SOUDURE'!$L$7:$L$3006,0)),""))</f>
        <v>JN°1347R</v>
      </c>
      <c r="L683" s="82" t="n">
        <f aca="false">IF(B683="","",IFERROR(INDEX('CARNET DE SOUDURE'!$D$7:$D$3006,MATCH(B683,'CARNET DE SOUDURE'!$L$7:$L$3006,0)),IFERROR(INDEX('CARNET DE SOUDURE'!$D$7:$D$3006,MATCH(B683,'CARNET DE SOUDURE'!$O$7:$O$3006,0)),"")))</f>
        <v>14</v>
      </c>
      <c r="M683" s="82" t="str">
        <f aca="false">IF(B683="","",IF(OR(J683&lt;&gt;"",K683&lt;&gt;""),"POSÉ EN LIGNE",IF(COUNTIF(BARDAGE!$C$1:$C$5000,B683)&gt;0,"BARDÉ","EN STOCK")))</f>
        <v>POSÉ EN LIGNE</v>
      </c>
      <c r="N683" s="80"/>
    </row>
    <row r="684" customFormat="false" ht="15" hidden="false" customHeight="false" outlineLevel="0" collapsed="false">
      <c r="A684" s="82" t="n">
        <f aca="false">IF(B684="","",ROW()-6)</f>
        <v>678</v>
      </c>
      <c r="B684" s="145" t="n">
        <v>2081690</v>
      </c>
      <c r="C684" s="146" t="n">
        <v>15421103</v>
      </c>
      <c r="D684" s="146"/>
      <c r="E684" s="82" t="str">
        <f aca="false">IF(B684="","",IF(COUNTIFS('CARNET DE SOUDURE'!$L$7:$L$3006,B684,'CARNET DE SOUDURE'!$M$7:$M$3006,"&lt;&gt;"&amp;C684,'CARNET DE SOUDURE'!$M$7:$M$3006,"&lt;&gt;")+COUNTIFS('CARNET DE SOUDURE'!$O$7:$O$3006,B684,'CARNET DE SOUDURE'!$P$7:$P$3006,"&lt;&gt;"&amp;C684,'CARNET DE SOUDURE'!$P$7:$P$3006,"&lt;&gt;")&gt;0,"⚠ DIFFÉRENTE","OK"))</f>
        <v>OK</v>
      </c>
      <c r="F684" s="147" t="n">
        <v>11.94</v>
      </c>
      <c r="G684" s="80"/>
      <c r="H684" s="83"/>
      <c r="I684" s="148" t="str">
        <f aca="false">IF(B684="","",IFERROR(INDEX('CARNET DE SOUDURE'!$B$7:$B$3006,MATCH(B684,'CARNET DE SOUDURE'!$L$7:$L$3006,0)),IFERROR(INDEX('CARNET DE SOUDURE'!$B$7:$B$3006,MATCH(B684,'CARNET DE SOUDURE'!$O$7:$O$3006,0)),"")))</f>
        <v>MFD-ISW → MFD-CPF</v>
      </c>
      <c r="J684" s="82" t="str">
        <f aca="false">IF(B684="","",IFERROR(INDEX('CARNET DE SOUDURE'!$E$7:$E$3006,MATCH(B684,'CARNET DE SOUDURE'!$O$7:$O$3006,0)),""))</f>
        <v>JN°1347R</v>
      </c>
      <c r="K684" s="82" t="str">
        <f aca="false">IF(B684="","",IFERROR(INDEX('CARNET DE SOUDURE'!$E$7:$E$3006,MATCH(B684,'CARNET DE SOUDURE'!$L$7:$L$3006,0)),""))</f>
        <v>DJ°194</v>
      </c>
      <c r="L684" s="82" t="n">
        <f aca="false">IF(B684="","",IFERROR(INDEX('CARNET DE SOUDURE'!$D$7:$D$3006,MATCH(B684,'CARNET DE SOUDURE'!$L$7:$L$3006,0)),IFERROR(INDEX('CARNET DE SOUDURE'!$D$7:$D$3006,MATCH(B684,'CARNET DE SOUDURE'!$O$7:$O$3006,0)),"")))</f>
        <v>14</v>
      </c>
      <c r="M684" s="82" t="str">
        <f aca="false">IF(B684="","",IF(OR(J684&lt;&gt;"",K684&lt;&gt;""),"POSÉ EN LIGNE",IF(COUNTIF(BARDAGE!$C$1:$C$5000,B684)&gt;0,"BARDÉ","EN STOCK")))</f>
        <v>POSÉ EN LIGNE</v>
      </c>
      <c r="N684" s="80"/>
    </row>
    <row r="685" customFormat="false" ht="15" hidden="false" customHeight="false" outlineLevel="0" collapsed="false">
      <c r="A685" s="82" t="n">
        <f aca="false">IF(B685="","",ROW()-6)</f>
        <v>679</v>
      </c>
      <c r="B685" s="145" t="n">
        <v>2095290</v>
      </c>
      <c r="C685" s="146" t="n">
        <v>15421111</v>
      </c>
      <c r="D685" s="146"/>
      <c r="E685" s="82" t="str">
        <f aca="false">IF(B685="","",IF(COUNTIFS('CARNET DE SOUDURE'!$L$7:$L$3006,B685,'CARNET DE SOUDURE'!$M$7:$M$3006,"&lt;&gt;"&amp;C685,'CARNET DE SOUDURE'!$M$7:$M$3006,"&lt;&gt;")+COUNTIFS('CARNET DE SOUDURE'!$O$7:$O$3006,B685,'CARNET DE SOUDURE'!$P$7:$P$3006,"&lt;&gt;"&amp;C685,'CARNET DE SOUDURE'!$P$7:$P$3006,"&lt;&gt;")&gt;0,"⚠ DIFFÉRENTE","OK"))</f>
        <v>OK</v>
      </c>
      <c r="F685" s="147" t="n">
        <v>11.94</v>
      </c>
      <c r="G685" s="80"/>
      <c r="H685" s="83"/>
      <c r="I685" s="148" t="str">
        <f aca="false">IF(B685="","",IFERROR(INDEX('CARNET DE SOUDURE'!$B$7:$B$3006,MATCH(B685,'CARNET DE SOUDURE'!$L$7:$L$3006,0)),IFERROR(INDEX('CARNET DE SOUDURE'!$B$7:$B$3006,MATCH(B685,'CARNET DE SOUDURE'!$O$7:$O$3006,0)),"")))</f>
        <v>MFD-ISW → MFD-CPF</v>
      </c>
      <c r="J685" s="82" t="str">
        <f aca="false">IF(B685="","",IFERROR(INDEX('CARNET DE SOUDURE'!$E$7:$E$3006,MATCH(B685,'CARNET DE SOUDURE'!$O$7:$O$3006,0)),""))</f>
        <v>DJ°194</v>
      </c>
      <c r="K685" s="82" t="str">
        <f aca="false">IF(B685="","",IFERROR(INDEX('CARNET DE SOUDURE'!$E$7:$E$3006,MATCH(B685,'CARNET DE SOUDURE'!$L$7:$L$3006,0)),""))</f>
        <v>JN°1348</v>
      </c>
      <c r="L685" s="82" t="n">
        <f aca="false">IF(B685="","",IFERROR(INDEX('CARNET DE SOUDURE'!$D$7:$D$3006,MATCH(B685,'CARNET DE SOUDURE'!$L$7:$L$3006,0)),IFERROR(INDEX('CARNET DE SOUDURE'!$D$7:$D$3006,MATCH(B685,'CARNET DE SOUDURE'!$O$7:$O$3006,0)),"")))</f>
        <v>14</v>
      </c>
      <c r="M685" s="82" t="str">
        <f aca="false">IF(B685="","",IF(OR(J685&lt;&gt;"",K685&lt;&gt;""),"POSÉ EN LIGNE",IF(COUNTIF(BARDAGE!$C$1:$C$5000,B685)&gt;0,"BARDÉ","EN STOCK")))</f>
        <v>POSÉ EN LIGNE</v>
      </c>
      <c r="N685" s="80"/>
    </row>
    <row r="686" customFormat="false" ht="15" hidden="false" customHeight="false" outlineLevel="0" collapsed="false">
      <c r="A686" s="82" t="n">
        <f aca="false">IF(B686="","",ROW()-6)</f>
        <v>680</v>
      </c>
      <c r="B686" s="145" t="n">
        <v>2096010</v>
      </c>
      <c r="C686" s="146" t="n">
        <v>15421111</v>
      </c>
      <c r="D686" s="146"/>
      <c r="E686" s="82" t="str">
        <f aca="false">IF(B686="","",IF(COUNTIFS('CARNET DE SOUDURE'!$L$7:$L$3006,B686,'CARNET DE SOUDURE'!$M$7:$M$3006,"&lt;&gt;"&amp;C686,'CARNET DE SOUDURE'!$M$7:$M$3006,"&lt;&gt;")+COUNTIFS('CARNET DE SOUDURE'!$O$7:$O$3006,B686,'CARNET DE SOUDURE'!$P$7:$P$3006,"&lt;&gt;"&amp;C686,'CARNET DE SOUDURE'!$P$7:$P$3006,"&lt;&gt;")&gt;0,"⚠ DIFFÉRENTE","OK"))</f>
        <v>OK</v>
      </c>
      <c r="F686" s="147" t="n">
        <v>11.94</v>
      </c>
      <c r="G686" s="80"/>
      <c r="H686" s="83"/>
      <c r="I686" s="148" t="str">
        <f aca="false">IF(B686="","",IFERROR(INDEX('CARNET DE SOUDURE'!$B$7:$B$3006,MATCH(B686,'CARNET DE SOUDURE'!$L$7:$L$3006,0)),IFERROR(INDEX('CARNET DE SOUDURE'!$B$7:$B$3006,MATCH(B686,'CARNET DE SOUDURE'!$O$7:$O$3006,0)),"")))</f>
        <v>MFD-ISW → MFD-CPF</v>
      </c>
      <c r="J686" s="82" t="str">
        <f aca="false">IF(B686="","",IFERROR(INDEX('CARNET DE SOUDURE'!$E$7:$E$3006,MATCH(B686,'CARNET DE SOUDURE'!$O$7:$O$3006,0)),""))</f>
        <v>JN°1348</v>
      </c>
      <c r="K686" s="82" t="str">
        <f aca="false">IF(B686="","",IFERROR(INDEX('CARNET DE SOUDURE'!$E$7:$E$3006,MATCH(B686,'CARNET DE SOUDURE'!$L$7:$L$3006,0)),""))</f>
        <v>DJ°198</v>
      </c>
      <c r="L686" s="82" t="n">
        <f aca="false">IF(B686="","",IFERROR(INDEX('CARNET DE SOUDURE'!$D$7:$D$3006,MATCH(B686,'CARNET DE SOUDURE'!$L$7:$L$3006,0)),IFERROR(INDEX('CARNET DE SOUDURE'!$D$7:$D$3006,MATCH(B686,'CARNET DE SOUDURE'!$O$7:$O$3006,0)),"")))</f>
        <v>14</v>
      </c>
      <c r="M686" s="82" t="str">
        <f aca="false">IF(B686="","",IF(OR(J686&lt;&gt;"",K686&lt;&gt;""),"POSÉ EN LIGNE",IF(COUNTIF(BARDAGE!$C$1:$C$5000,B686)&gt;0,"BARDÉ","EN STOCK")))</f>
        <v>POSÉ EN LIGNE</v>
      </c>
      <c r="N686" s="80"/>
    </row>
    <row r="687" customFormat="false" ht="15" hidden="false" customHeight="false" outlineLevel="0" collapsed="false">
      <c r="A687" s="82" t="n">
        <f aca="false">IF(B687="","",ROW()-6)</f>
        <v>681</v>
      </c>
      <c r="B687" s="145" t="n">
        <v>2098290</v>
      </c>
      <c r="C687" s="146" t="n">
        <v>15421112</v>
      </c>
      <c r="D687" s="146"/>
      <c r="E687" s="82" t="str">
        <f aca="false">IF(B687="","",IF(COUNTIFS('CARNET DE SOUDURE'!$L$7:$L$3006,B687,'CARNET DE SOUDURE'!$M$7:$M$3006,"&lt;&gt;"&amp;C687,'CARNET DE SOUDURE'!$M$7:$M$3006,"&lt;&gt;")+COUNTIFS('CARNET DE SOUDURE'!$O$7:$O$3006,B687,'CARNET DE SOUDURE'!$P$7:$P$3006,"&lt;&gt;"&amp;C687,'CARNET DE SOUDURE'!$P$7:$P$3006,"&lt;&gt;")&gt;0,"⚠ DIFFÉRENTE","OK"))</f>
        <v>OK</v>
      </c>
      <c r="F687" s="147" t="n">
        <v>11.94</v>
      </c>
      <c r="G687" s="80"/>
      <c r="H687" s="83"/>
      <c r="I687" s="148" t="str">
        <f aca="false">IF(B687="","",IFERROR(INDEX('CARNET DE SOUDURE'!$B$7:$B$3006,MATCH(B687,'CARNET DE SOUDURE'!$L$7:$L$3006,0)),IFERROR(INDEX('CARNET DE SOUDURE'!$B$7:$B$3006,MATCH(B687,'CARNET DE SOUDURE'!$O$7:$O$3006,0)),"")))</f>
        <v>MFD-ISW → MFD-CPF</v>
      </c>
      <c r="J687" s="82" t="str">
        <f aca="false">IF(B687="","",IFERROR(INDEX('CARNET DE SOUDURE'!$E$7:$E$3006,MATCH(B687,'CARNET DE SOUDURE'!$O$7:$O$3006,0)),""))</f>
        <v>DJ°198</v>
      </c>
      <c r="K687" s="82" t="str">
        <f aca="false">IF(B687="","",IFERROR(INDEX('CARNET DE SOUDURE'!$E$7:$E$3006,MATCH(B687,'CARNET DE SOUDURE'!$L$7:$L$3006,0)),""))</f>
        <v>JN°1349</v>
      </c>
      <c r="L687" s="82" t="n">
        <f aca="false">IF(B687="","",IFERROR(INDEX('CARNET DE SOUDURE'!$D$7:$D$3006,MATCH(B687,'CARNET DE SOUDURE'!$L$7:$L$3006,0)),IFERROR(INDEX('CARNET DE SOUDURE'!$D$7:$D$3006,MATCH(B687,'CARNET DE SOUDURE'!$O$7:$O$3006,0)),"")))</f>
        <v>14</v>
      </c>
      <c r="M687" s="82" t="str">
        <f aca="false">IF(B687="","",IF(OR(J687&lt;&gt;"",K687&lt;&gt;""),"POSÉ EN LIGNE",IF(COUNTIF(BARDAGE!$C$1:$C$5000,B687)&gt;0,"BARDÉ","EN STOCK")))</f>
        <v>POSÉ EN LIGNE</v>
      </c>
      <c r="N687" s="80"/>
    </row>
    <row r="688" customFormat="false" ht="15" hidden="false" customHeight="false" outlineLevel="0" collapsed="false">
      <c r="A688" s="82" t="n">
        <f aca="false">IF(B688="","",ROW()-6)</f>
        <v>682</v>
      </c>
      <c r="B688" s="145" t="n">
        <v>2089020</v>
      </c>
      <c r="C688" s="146" t="n">
        <v>15421108</v>
      </c>
      <c r="D688" s="146"/>
      <c r="E688" s="82" t="str">
        <f aca="false">IF(B688="","",IF(COUNTIFS('CARNET DE SOUDURE'!$L$7:$L$3006,B688,'CARNET DE SOUDURE'!$M$7:$M$3006,"&lt;&gt;"&amp;C688,'CARNET DE SOUDURE'!$M$7:$M$3006,"&lt;&gt;")+COUNTIFS('CARNET DE SOUDURE'!$O$7:$O$3006,B688,'CARNET DE SOUDURE'!$P$7:$P$3006,"&lt;&gt;"&amp;C688,'CARNET DE SOUDURE'!$P$7:$P$3006,"&lt;&gt;")&gt;0,"⚠ DIFFÉRENTE","OK"))</f>
        <v>OK</v>
      </c>
      <c r="F688" s="147" t="n">
        <v>11.94</v>
      </c>
      <c r="G688" s="80"/>
      <c r="H688" s="83"/>
      <c r="I688" s="148" t="str">
        <f aca="false">IF(B688="","",IFERROR(INDEX('CARNET DE SOUDURE'!$B$7:$B$3006,MATCH(B688,'CARNET DE SOUDURE'!$L$7:$L$3006,0)),IFERROR(INDEX('CARNET DE SOUDURE'!$B$7:$B$3006,MATCH(B688,'CARNET DE SOUDURE'!$O$7:$O$3006,0)),"")))</f>
        <v>MFD-ISW → MFD-CPF</v>
      </c>
      <c r="J688" s="82" t="str">
        <f aca="false">IF(B688="","",IFERROR(INDEX('CARNET DE SOUDURE'!$E$7:$E$3006,MATCH(B688,'CARNET DE SOUDURE'!$O$7:$O$3006,0)),""))</f>
        <v>JN°1349</v>
      </c>
      <c r="K688" s="82" t="str">
        <f aca="false">IF(B688="","",IFERROR(INDEX('CARNET DE SOUDURE'!$E$7:$E$3006,MATCH(B688,'CARNET DE SOUDURE'!$L$7:$L$3006,0)),""))</f>
        <v>DJ°193</v>
      </c>
      <c r="L688" s="82" t="n">
        <f aca="false">IF(B688="","",IFERROR(INDEX('CARNET DE SOUDURE'!$D$7:$D$3006,MATCH(B688,'CARNET DE SOUDURE'!$L$7:$L$3006,0)),IFERROR(INDEX('CARNET DE SOUDURE'!$D$7:$D$3006,MATCH(B688,'CARNET DE SOUDURE'!$O$7:$O$3006,0)),"")))</f>
        <v>14</v>
      </c>
      <c r="M688" s="82" t="str">
        <f aca="false">IF(B688="","",IF(OR(J688&lt;&gt;"",K688&lt;&gt;""),"POSÉ EN LIGNE",IF(COUNTIF(BARDAGE!$C$1:$C$5000,B688)&gt;0,"BARDÉ","EN STOCK")))</f>
        <v>POSÉ EN LIGNE</v>
      </c>
      <c r="N688" s="80"/>
    </row>
    <row r="689" customFormat="false" ht="15" hidden="false" customHeight="false" outlineLevel="0" collapsed="false">
      <c r="A689" s="82" t="n">
        <f aca="false">IF(B689="","",ROW()-6)</f>
        <v>683</v>
      </c>
      <c r="B689" s="145" t="n">
        <v>2096810</v>
      </c>
      <c r="C689" s="146" t="n">
        <v>15421111</v>
      </c>
      <c r="D689" s="146"/>
      <c r="E689" s="82" t="str">
        <f aca="false">IF(B689="","",IF(COUNTIFS('CARNET DE SOUDURE'!$L$7:$L$3006,B689,'CARNET DE SOUDURE'!$M$7:$M$3006,"&lt;&gt;"&amp;C689,'CARNET DE SOUDURE'!$M$7:$M$3006,"&lt;&gt;")+COUNTIFS('CARNET DE SOUDURE'!$O$7:$O$3006,B689,'CARNET DE SOUDURE'!$P$7:$P$3006,"&lt;&gt;"&amp;C689,'CARNET DE SOUDURE'!$P$7:$P$3006,"&lt;&gt;")&gt;0,"⚠ DIFFÉRENTE","OK"))</f>
        <v>OK</v>
      </c>
      <c r="F689" s="147" t="n">
        <v>11.94</v>
      </c>
      <c r="G689" s="80"/>
      <c r="H689" s="83"/>
      <c r="I689" s="148" t="str">
        <f aca="false">IF(B689="","",IFERROR(INDEX('CARNET DE SOUDURE'!$B$7:$B$3006,MATCH(B689,'CARNET DE SOUDURE'!$L$7:$L$3006,0)),IFERROR(INDEX('CARNET DE SOUDURE'!$B$7:$B$3006,MATCH(B689,'CARNET DE SOUDURE'!$O$7:$O$3006,0)),"")))</f>
        <v>MFD-ISW → MFD-CPF</v>
      </c>
      <c r="J689" s="82" t="str">
        <f aca="false">IF(B689="","",IFERROR(INDEX('CARNET DE SOUDURE'!$E$7:$E$3006,MATCH(B689,'CARNET DE SOUDURE'!$O$7:$O$3006,0)),""))</f>
        <v>DJ°193</v>
      </c>
      <c r="K689" s="82" t="str">
        <f aca="false">IF(B689="","",IFERROR(INDEX('CARNET DE SOUDURE'!$E$7:$E$3006,MATCH(B689,'CARNET DE SOUDURE'!$L$7:$L$3006,0)),""))</f>
        <v>JN°1350</v>
      </c>
      <c r="L689" s="82" t="n">
        <f aca="false">IF(B689="","",IFERROR(INDEX('CARNET DE SOUDURE'!$D$7:$D$3006,MATCH(B689,'CARNET DE SOUDURE'!$L$7:$L$3006,0)),IFERROR(INDEX('CARNET DE SOUDURE'!$D$7:$D$3006,MATCH(B689,'CARNET DE SOUDURE'!$O$7:$O$3006,0)),"")))</f>
        <v>14</v>
      </c>
      <c r="M689" s="82" t="str">
        <f aca="false">IF(B689="","",IF(OR(J689&lt;&gt;"",K689&lt;&gt;""),"POSÉ EN LIGNE",IF(COUNTIF(BARDAGE!$C$1:$C$5000,B689)&gt;0,"BARDÉ","EN STOCK")))</f>
        <v>POSÉ EN LIGNE</v>
      </c>
      <c r="N689" s="80"/>
    </row>
    <row r="690" customFormat="false" ht="15" hidden="false" customHeight="false" outlineLevel="0" collapsed="false">
      <c r="A690" s="82" t="n">
        <f aca="false">IF(B690="","",ROW()-6)</f>
        <v>684</v>
      </c>
      <c r="B690" s="145" t="n">
        <v>2080010</v>
      </c>
      <c r="C690" s="146" t="n">
        <v>15421102</v>
      </c>
      <c r="D690" s="146"/>
      <c r="E690" s="82" t="str">
        <f aca="false">IF(B690="","",IF(COUNTIFS('CARNET DE SOUDURE'!$L$7:$L$3006,B690,'CARNET DE SOUDURE'!$M$7:$M$3006,"&lt;&gt;"&amp;C690,'CARNET DE SOUDURE'!$M$7:$M$3006,"&lt;&gt;")+COUNTIFS('CARNET DE SOUDURE'!$O$7:$O$3006,B690,'CARNET DE SOUDURE'!$P$7:$P$3006,"&lt;&gt;"&amp;C690,'CARNET DE SOUDURE'!$P$7:$P$3006,"&lt;&gt;")&gt;0,"⚠ DIFFÉRENTE","OK"))</f>
        <v>OK</v>
      </c>
      <c r="F690" s="147" t="n">
        <v>11.94</v>
      </c>
      <c r="G690" s="80"/>
      <c r="H690" s="83"/>
      <c r="I690" s="148" t="str">
        <f aca="false">IF(B690="","",IFERROR(INDEX('CARNET DE SOUDURE'!$B$7:$B$3006,MATCH(B690,'CARNET DE SOUDURE'!$L$7:$L$3006,0)),IFERROR(INDEX('CARNET DE SOUDURE'!$B$7:$B$3006,MATCH(B690,'CARNET DE SOUDURE'!$O$7:$O$3006,0)),"")))</f>
        <v>MFD-ISW → MFD-CPF</v>
      </c>
      <c r="J690" s="82" t="str">
        <f aca="false">IF(B690="","",IFERROR(INDEX('CARNET DE SOUDURE'!$E$7:$E$3006,MATCH(B690,'CARNET DE SOUDURE'!$O$7:$O$3006,0)),""))</f>
        <v>JN°1350</v>
      </c>
      <c r="K690" s="82" t="str">
        <f aca="false">IF(B690="","",IFERROR(INDEX('CARNET DE SOUDURE'!$E$7:$E$3006,MATCH(B690,'CARNET DE SOUDURE'!$L$7:$L$3006,0)),""))</f>
        <v>DJ°162</v>
      </c>
      <c r="L690" s="82" t="n">
        <f aca="false">IF(B690="","",IFERROR(INDEX('CARNET DE SOUDURE'!$D$7:$D$3006,MATCH(B690,'CARNET DE SOUDURE'!$L$7:$L$3006,0)),IFERROR(INDEX('CARNET DE SOUDURE'!$D$7:$D$3006,MATCH(B690,'CARNET DE SOUDURE'!$O$7:$O$3006,0)),"")))</f>
        <v>14</v>
      </c>
      <c r="M690" s="82" t="str">
        <f aca="false">IF(B690="","",IF(OR(J690&lt;&gt;"",K690&lt;&gt;""),"POSÉ EN LIGNE",IF(COUNTIF(BARDAGE!$C$1:$C$5000,B690)&gt;0,"BARDÉ","EN STOCK")))</f>
        <v>POSÉ EN LIGNE</v>
      </c>
      <c r="N690" s="80"/>
    </row>
    <row r="691" customFormat="false" ht="15" hidden="false" customHeight="false" outlineLevel="0" collapsed="false">
      <c r="A691" s="82" t="n">
        <f aca="false">IF(B691="","",ROW()-6)</f>
        <v>685</v>
      </c>
      <c r="B691" s="145" t="n">
        <v>2091070</v>
      </c>
      <c r="C691" s="146" t="n">
        <v>15421109</v>
      </c>
      <c r="D691" s="146"/>
      <c r="E691" s="82" t="str">
        <f aca="false">IF(B691="","",IF(COUNTIFS('CARNET DE SOUDURE'!$L$7:$L$3006,B691,'CARNET DE SOUDURE'!$M$7:$M$3006,"&lt;&gt;"&amp;C691,'CARNET DE SOUDURE'!$M$7:$M$3006,"&lt;&gt;")+COUNTIFS('CARNET DE SOUDURE'!$O$7:$O$3006,B691,'CARNET DE SOUDURE'!$P$7:$P$3006,"&lt;&gt;"&amp;C691,'CARNET DE SOUDURE'!$P$7:$P$3006,"&lt;&gt;")&gt;0,"⚠ DIFFÉRENTE","OK"))</f>
        <v>OK</v>
      </c>
      <c r="F691" s="147" t="n">
        <v>11.94</v>
      </c>
      <c r="G691" s="80"/>
      <c r="H691" s="83"/>
      <c r="I691" s="148" t="str">
        <f aca="false">IF(B691="","",IFERROR(INDEX('CARNET DE SOUDURE'!$B$7:$B$3006,MATCH(B691,'CARNET DE SOUDURE'!$L$7:$L$3006,0)),IFERROR(INDEX('CARNET DE SOUDURE'!$B$7:$B$3006,MATCH(B691,'CARNET DE SOUDURE'!$O$7:$O$3006,0)),"")))</f>
        <v>MFD-ISW → MFD-CPF</v>
      </c>
      <c r="J691" s="82" t="str">
        <f aca="false">IF(B691="","",IFERROR(INDEX('CARNET DE SOUDURE'!$E$7:$E$3006,MATCH(B691,'CARNET DE SOUDURE'!$O$7:$O$3006,0)),""))</f>
        <v>DJ°162</v>
      </c>
      <c r="K691" s="82" t="str">
        <f aca="false">IF(B691="","",IFERROR(INDEX('CARNET DE SOUDURE'!$E$7:$E$3006,MATCH(B691,'CARNET DE SOUDURE'!$L$7:$L$3006,0)),""))</f>
        <v>JN°1351</v>
      </c>
      <c r="L691" s="82" t="n">
        <f aca="false">IF(B691="","",IFERROR(INDEX('CARNET DE SOUDURE'!$D$7:$D$3006,MATCH(B691,'CARNET DE SOUDURE'!$L$7:$L$3006,0)),IFERROR(INDEX('CARNET DE SOUDURE'!$D$7:$D$3006,MATCH(B691,'CARNET DE SOUDURE'!$O$7:$O$3006,0)),"")))</f>
        <v>14</v>
      </c>
      <c r="M691" s="82" t="str">
        <f aca="false">IF(B691="","",IF(OR(J691&lt;&gt;"",K691&lt;&gt;""),"POSÉ EN LIGNE",IF(COUNTIF(BARDAGE!$C$1:$C$5000,B691)&gt;0,"BARDÉ","EN STOCK")))</f>
        <v>POSÉ EN LIGNE</v>
      </c>
      <c r="N691" s="80"/>
    </row>
    <row r="692" customFormat="false" ht="15" hidden="false" customHeight="false" outlineLevel="0" collapsed="false">
      <c r="A692" s="82" t="n">
        <f aca="false">IF(B692="","",ROW()-6)</f>
        <v>686</v>
      </c>
      <c r="B692" s="145" t="n">
        <v>2083390</v>
      </c>
      <c r="C692" s="146" t="n">
        <v>15421105</v>
      </c>
      <c r="D692" s="146"/>
      <c r="E692" s="82" t="str">
        <f aca="false">IF(B692="","",IF(COUNTIFS('CARNET DE SOUDURE'!$L$7:$L$3006,B692,'CARNET DE SOUDURE'!$M$7:$M$3006,"&lt;&gt;"&amp;C692,'CARNET DE SOUDURE'!$M$7:$M$3006,"&lt;&gt;")+COUNTIFS('CARNET DE SOUDURE'!$O$7:$O$3006,B692,'CARNET DE SOUDURE'!$P$7:$P$3006,"&lt;&gt;"&amp;C692,'CARNET DE SOUDURE'!$P$7:$P$3006,"&lt;&gt;")&gt;0,"⚠ DIFFÉRENTE","OK"))</f>
        <v>OK</v>
      </c>
      <c r="F692" s="147" t="n">
        <v>11.94</v>
      </c>
      <c r="G692" s="80"/>
      <c r="H692" s="83"/>
      <c r="I692" s="148" t="str">
        <f aca="false">IF(B692="","",IFERROR(INDEX('CARNET DE SOUDURE'!$B$7:$B$3006,MATCH(B692,'CARNET DE SOUDURE'!$L$7:$L$3006,0)),IFERROR(INDEX('CARNET DE SOUDURE'!$B$7:$B$3006,MATCH(B692,'CARNET DE SOUDURE'!$O$7:$O$3006,0)),"")))</f>
        <v>MFD-ISW → MFD-CPF</v>
      </c>
      <c r="J692" s="82" t="str">
        <f aca="false">IF(B692="","",IFERROR(INDEX('CARNET DE SOUDURE'!$E$7:$E$3006,MATCH(B692,'CARNET DE SOUDURE'!$O$7:$O$3006,0)),""))</f>
        <v>JN°1354</v>
      </c>
      <c r="K692" s="82" t="str">
        <f aca="false">IF(B692="","",IFERROR(INDEX('CARNET DE SOUDURE'!$E$7:$E$3006,MATCH(B692,'CARNET DE SOUDURE'!$L$7:$L$3006,0)),""))</f>
        <v>DJ°180</v>
      </c>
      <c r="L692" s="82" t="n">
        <f aca="false">IF(B692="","",IFERROR(INDEX('CARNET DE SOUDURE'!$D$7:$D$3006,MATCH(B692,'CARNET DE SOUDURE'!$L$7:$L$3006,0)),IFERROR(INDEX('CARNET DE SOUDURE'!$D$7:$D$3006,MATCH(B692,'CARNET DE SOUDURE'!$O$7:$O$3006,0)),"")))</f>
        <v>15</v>
      </c>
      <c r="M692" s="82" t="str">
        <f aca="false">IF(B692="","",IF(OR(J692&lt;&gt;"",K692&lt;&gt;""),"POSÉ EN LIGNE",IF(COUNTIF(BARDAGE!$C$1:$C$5000,B692)&gt;0,"BARDÉ","EN STOCK")))</f>
        <v>POSÉ EN LIGNE</v>
      </c>
      <c r="N692" s="80"/>
    </row>
    <row r="693" customFormat="false" ht="15" hidden="false" customHeight="false" outlineLevel="0" collapsed="false">
      <c r="A693" s="82" t="n">
        <f aca="false">IF(B693="","",ROW()-6)</f>
        <v>687</v>
      </c>
      <c r="B693" s="145" t="n">
        <v>2097060</v>
      </c>
      <c r="C693" s="146" t="n">
        <v>15421111</v>
      </c>
      <c r="D693" s="146"/>
      <c r="E693" s="82" t="str">
        <f aca="false">IF(B693="","",IF(COUNTIFS('CARNET DE SOUDURE'!$L$7:$L$3006,B693,'CARNET DE SOUDURE'!$M$7:$M$3006,"&lt;&gt;"&amp;C693,'CARNET DE SOUDURE'!$M$7:$M$3006,"&lt;&gt;")+COUNTIFS('CARNET DE SOUDURE'!$O$7:$O$3006,B693,'CARNET DE SOUDURE'!$P$7:$P$3006,"&lt;&gt;"&amp;C693,'CARNET DE SOUDURE'!$P$7:$P$3006,"&lt;&gt;")&gt;0,"⚠ DIFFÉRENTE","OK"))</f>
        <v>OK</v>
      </c>
      <c r="F693" s="147" t="n">
        <v>11.94</v>
      </c>
      <c r="G693" s="80"/>
      <c r="H693" s="83"/>
      <c r="I693" s="148" t="str">
        <f aca="false">IF(B693="","",IFERROR(INDEX('CARNET DE SOUDURE'!$B$7:$B$3006,MATCH(B693,'CARNET DE SOUDURE'!$L$7:$L$3006,0)),IFERROR(INDEX('CARNET DE SOUDURE'!$B$7:$B$3006,MATCH(B693,'CARNET DE SOUDURE'!$O$7:$O$3006,0)),"")))</f>
        <v>MFD-ISW → MFD-CPF</v>
      </c>
      <c r="J693" s="82" t="str">
        <f aca="false">IF(B693="","",IFERROR(INDEX('CARNET DE SOUDURE'!$E$7:$E$3006,MATCH(B693,'CARNET DE SOUDURE'!$O$7:$O$3006,0)),""))</f>
        <v>DJ°180</v>
      </c>
      <c r="K693" s="82" t="str">
        <f aca="false">IF(B693="","",IFERROR(INDEX('CARNET DE SOUDURE'!$E$7:$E$3006,MATCH(B693,'CARNET DE SOUDURE'!$L$7:$L$3006,0)),""))</f>
        <v>JN°1355</v>
      </c>
      <c r="L693" s="82" t="n">
        <f aca="false">IF(B693="","",IFERROR(INDEX('CARNET DE SOUDURE'!$D$7:$D$3006,MATCH(B693,'CARNET DE SOUDURE'!$L$7:$L$3006,0)),IFERROR(INDEX('CARNET DE SOUDURE'!$D$7:$D$3006,MATCH(B693,'CARNET DE SOUDURE'!$O$7:$O$3006,0)),"")))</f>
        <v>15</v>
      </c>
      <c r="M693" s="82" t="str">
        <f aca="false">IF(B693="","",IF(OR(J693&lt;&gt;"",K693&lt;&gt;""),"POSÉ EN LIGNE",IF(COUNTIF(BARDAGE!$C$1:$C$5000,B693)&gt;0,"BARDÉ","EN STOCK")))</f>
        <v>POSÉ EN LIGNE</v>
      </c>
      <c r="N693" s="80"/>
    </row>
    <row r="694" customFormat="false" ht="15" hidden="false" customHeight="false" outlineLevel="0" collapsed="false">
      <c r="A694" s="82" t="n">
        <f aca="false">IF(B694="","",ROW()-6)</f>
        <v>688</v>
      </c>
      <c r="B694" s="145" t="n">
        <v>2080000</v>
      </c>
      <c r="C694" s="146" t="n">
        <v>15421102</v>
      </c>
      <c r="D694" s="146"/>
      <c r="E694" s="82" t="str">
        <f aca="false">IF(B694="","",IF(COUNTIFS('CARNET DE SOUDURE'!$L$7:$L$3006,B694,'CARNET DE SOUDURE'!$M$7:$M$3006,"&lt;&gt;"&amp;C694,'CARNET DE SOUDURE'!$M$7:$M$3006,"&lt;&gt;")+COUNTIFS('CARNET DE SOUDURE'!$O$7:$O$3006,B694,'CARNET DE SOUDURE'!$P$7:$P$3006,"&lt;&gt;"&amp;C694,'CARNET DE SOUDURE'!$P$7:$P$3006,"&lt;&gt;")&gt;0,"⚠ DIFFÉRENTE","OK"))</f>
        <v>OK</v>
      </c>
      <c r="F694" s="147" t="n">
        <v>11.94</v>
      </c>
      <c r="G694" s="80"/>
      <c r="H694" s="83"/>
      <c r="I694" s="148" t="str">
        <f aca="false">IF(B694="","",IFERROR(INDEX('CARNET DE SOUDURE'!$B$7:$B$3006,MATCH(B694,'CARNET DE SOUDURE'!$L$7:$L$3006,0)),IFERROR(INDEX('CARNET DE SOUDURE'!$B$7:$B$3006,MATCH(B694,'CARNET DE SOUDURE'!$O$7:$O$3006,0)),"")))</f>
        <v>MFD-ISW → MFD-CPF</v>
      </c>
      <c r="J694" s="82" t="str">
        <f aca="false">IF(B694="","",IFERROR(INDEX('CARNET DE SOUDURE'!$E$7:$E$3006,MATCH(B694,'CARNET DE SOUDURE'!$O$7:$O$3006,0)),""))</f>
        <v>DJ°189</v>
      </c>
      <c r="K694" s="82" t="str">
        <f aca="false">IF(B694="","",IFERROR(INDEX('CARNET DE SOUDURE'!$E$7:$E$3006,MATCH(B694,'CARNET DE SOUDURE'!$L$7:$L$3006,0)),""))</f>
        <v>JN°1356</v>
      </c>
      <c r="L694" s="82" t="n">
        <f aca="false">IF(B694="","",IFERROR(INDEX('CARNET DE SOUDURE'!$D$7:$D$3006,MATCH(B694,'CARNET DE SOUDURE'!$L$7:$L$3006,0)),IFERROR(INDEX('CARNET DE SOUDURE'!$D$7:$D$3006,MATCH(B694,'CARNET DE SOUDURE'!$O$7:$O$3006,0)),"")))</f>
        <v>15</v>
      </c>
      <c r="M694" s="82" t="str">
        <f aca="false">IF(B694="","",IF(OR(J694&lt;&gt;"",K694&lt;&gt;""),"POSÉ EN LIGNE",IF(COUNTIF(BARDAGE!$C$1:$C$5000,B694)&gt;0,"BARDÉ","EN STOCK")))</f>
        <v>POSÉ EN LIGNE</v>
      </c>
      <c r="N694" s="80"/>
    </row>
    <row r="695" customFormat="false" ht="15" hidden="false" customHeight="false" outlineLevel="0" collapsed="false">
      <c r="A695" s="82" t="n">
        <f aca="false">IF(B695="","",ROW()-6)</f>
        <v>689</v>
      </c>
      <c r="B695" s="145" t="n">
        <v>2079510</v>
      </c>
      <c r="C695" s="146" t="n">
        <v>15421102</v>
      </c>
      <c r="D695" s="146"/>
      <c r="E695" s="82" t="str">
        <f aca="false">IF(B695="","",IF(COUNTIFS('CARNET DE SOUDURE'!$L$7:$L$3006,B695,'CARNET DE SOUDURE'!$M$7:$M$3006,"&lt;&gt;"&amp;C695,'CARNET DE SOUDURE'!$M$7:$M$3006,"&lt;&gt;")+COUNTIFS('CARNET DE SOUDURE'!$O$7:$O$3006,B695,'CARNET DE SOUDURE'!$P$7:$P$3006,"&lt;&gt;"&amp;C695,'CARNET DE SOUDURE'!$P$7:$P$3006,"&lt;&gt;")&gt;0,"⚠ DIFFÉRENTE","OK"))</f>
        <v>OK</v>
      </c>
      <c r="F695" s="147" t="n">
        <v>11.94</v>
      </c>
      <c r="G695" s="80"/>
      <c r="H695" s="83"/>
      <c r="I695" s="148" t="str">
        <f aca="false">IF(B695="","",IFERROR(INDEX('CARNET DE SOUDURE'!$B$7:$B$3006,MATCH(B695,'CARNET DE SOUDURE'!$L$7:$L$3006,0)),IFERROR(INDEX('CARNET DE SOUDURE'!$B$7:$B$3006,MATCH(B695,'CARNET DE SOUDURE'!$O$7:$O$3006,0)),"")))</f>
        <v>MFD-ISW → MFD-CPF</v>
      </c>
      <c r="J695" s="82" t="str">
        <f aca="false">IF(B695="","",IFERROR(INDEX('CARNET DE SOUDURE'!$E$7:$E$3006,MATCH(B695,'CARNET DE SOUDURE'!$O$7:$O$3006,0)),""))</f>
        <v>JN°1356</v>
      </c>
      <c r="K695" s="82" t="str">
        <f aca="false">IF(B695="","",IFERROR(INDEX('CARNET DE SOUDURE'!$E$7:$E$3006,MATCH(B695,'CARNET DE SOUDURE'!$L$7:$L$3006,0)),""))</f>
        <v>DJ°173</v>
      </c>
      <c r="L695" s="82" t="n">
        <f aca="false">IF(B695="","",IFERROR(INDEX('CARNET DE SOUDURE'!$D$7:$D$3006,MATCH(B695,'CARNET DE SOUDURE'!$L$7:$L$3006,0)),IFERROR(INDEX('CARNET DE SOUDURE'!$D$7:$D$3006,MATCH(B695,'CARNET DE SOUDURE'!$O$7:$O$3006,0)),"")))</f>
        <v>15</v>
      </c>
      <c r="M695" s="82" t="str">
        <f aca="false">IF(B695="","",IF(OR(J695&lt;&gt;"",K695&lt;&gt;""),"POSÉ EN LIGNE",IF(COUNTIF(BARDAGE!$C$1:$C$5000,B695)&gt;0,"BARDÉ","EN STOCK")))</f>
        <v>POSÉ EN LIGNE</v>
      </c>
      <c r="N695" s="80"/>
    </row>
    <row r="696" customFormat="false" ht="15" hidden="false" customHeight="false" outlineLevel="0" collapsed="false">
      <c r="A696" s="82" t="n">
        <f aca="false">IF(B696="","",ROW()-6)</f>
        <v>690</v>
      </c>
      <c r="B696" s="145" t="n">
        <v>2089910</v>
      </c>
      <c r="C696" s="146" t="n">
        <v>15421109</v>
      </c>
      <c r="D696" s="146"/>
      <c r="E696" s="82" t="str">
        <f aca="false">IF(B696="","",IF(COUNTIFS('CARNET DE SOUDURE'!$L$7:$L$3006,B696,'CARNET DE SOUDURE'!$M$7:$M$3006,"&lt;&gt;"&amp;C696,'CARNET DE SOUDURE'!$M$7:$M$3006,"&lt;&gt;")+COUNTIFS('CARNET DE SOUDURE'!$O$7:$O$3006,B696,'CARNET DE SOUDURE'!$P$7:$P$3006,"&lt;&gt;"&amp;C696,'CARNET DE SOUDURE'!$P$7:$P$3006,"&lt;&gt;")&gt;0,"⚠ DIFFÉRENTE","OK"))</f>
        <v>OK</v>
      </c>
      <c r="F696" s="147" t="n">
        <v>11.94</v>
      </c>
      <c r="G696" s="80"/>
      <c r="H696" s="83"/>
      <c r="I696" s="148" t="str">
        <f aca="false">IF(B696="","",IFERROR(INDEX('CARNET DE SOUDURE'!$B$7:$B$3006,MATCH(B696,'CARNET DE SOUDURE'!$L$7:$L$3006,0)),IFERROR(INDEX('CARNET DE SOUDURE'!$B$7:$B$3006,MATCH(B696,'CARNET DE SOUDURE'!$O$7:$O$3006,0)),"")))</f>
        <v>MFD-ISW → MFD-CPF</v>
      </c>
      <c r="J696" s="82" t="str">
        <f aca="false">IF(B696="","",IFERROR(INDEX('CARNET DE SOUDURE'!$E$7:$E$3006,MATCH(B696,'CARNET DE SOUDURE'!$O$7:$O$3006,0)),""))</f>
        <v>DJ°173</v>
      </c>
      <c r="K696" s="82" t="str">
        <f aca="false">IF(B696="","",IFERROR(INDEX('CARNET DE SOUDURE'!$E$7:$E$3006,MATCH(B696,'CARNET DE SOUDURE'!$L$7:$L$3006,0)),""))</f>
        <v>JN°1357</v>
      </c>
      <c r="L696" s="82" t="n">
        <f aca="false">IF(B696="","",IFERROR(INDEX('CARNET DE SOUDURE'!$D$7:$D$3006,MATCH(B696,'CARNET DE SOUDURE'!$L$7:$L$3006,0)),IFERROR(INDEX('CARNET DE SOUDURE'!$D$7:$D$3006,MATCH(B696,'CARNET DE SOUDURE'!$O$7:$O$3006,0)),"")))</f>
        <v>15</v>
      </c>
      <c r="M696" s="82" t="str">
        <f aca="false">IF(B696="","",IF(OR(J696&lt;&gt;"",K696&lt;&gt;""),"POSÉ EN LIGNE",IF(COUNTIF(BARDAGE!$C$1:$C$5000,B696)&gt;0,"BARDÉ","EN STOCK")))</f>
        <v>POSÉ EN LIGNE</v>
      </c>
      <c r="N696" s="80"/>
    </row>
    <row r="697" customFormat="false" ht="15" hidden="false" customHeight="false" outlineLevel="0" collapsed="false">
      <c r="A697" s="82" t="n">
        <f aca="false">IF(B697="","",ROW()-6)</f>
        <v>691</v>
      </c>
      <c r="B697" s="145" t="n">
        <v>2079940</v>
      </c>
      <c r="C697" s="146" t="n">
        <v>15421102</v>
      </c>
      <c r="D697" s="146"/>
      <c r="E697" s="82" t="str">
        <f aca="false">IF(B697="","",IF(COUNTIFS('CARNET DE SOUDURE'!$L$7:$L$3006,B697,'CARNET DE SOUDURE'!$M$7:$M$3006,"&lt;&gt;"&amp;C697,'CARNET DE SOUDURE'!$M$7:$M$3006,"&lt;&gt;")+COUNTIFS('CARNET DE SOUDURE'!$O$7:$O$3006,B697,'CARNET DE SOUDURE'!$P$7:$P$3006,"&lt;&gt;"&amp;C697,'CARNET DE SOUDURE'!$P$7:$P$3006,"&lt;&gt;")&gt;0,"⚠ DIFFÉRENTE","OK"))</f>
        <v>OK</v>
      </c>
      <c r="F697" s="147" t="n">
        <v>11.94</v>
      </c>
      <c r="G697" s="80"/>
      <c r="H697" s="83"/>
      <c r="I697" s="148" t="str">
        <f aca="false">IF(B697="","",IFERROR(INDEX('CARNET DE SOUDURE'!$B$7:$B$3006,MATCH(B697,'CARNET DE SOUDURE'!$L$7:$L$3006,0)),IFERROR(INDEX('CARNET DE SOUDURE'!$B$7:$B$3006,MATCH(B697,'CARNET DE SOUDURE'!$O$7:$O$3006,0)),"")))</f>
        <v>MFD-ISW → MFD-CPF</v>
      </c>
      <c r="J697" s="82" t="str">
        <f aca="false">IF(B697="","",IFERROR(INDEX('CARNET DE SOUDURE'!$E$7:$E$3006,MATCH(B697,'CARNET DE SOUDURE'!$O$7:$O$3006,0)),""))</f>
        <v>JN°1357</v>
      </c>
      <c r="K697" s="82" t="str">
        <f aca="false">IF(B697="","",IFERROR(INDEX('CARNET DE SOUDURE'!$E$7:$E$3006,MATCH(B697,'CARNET DE SOUDURE'!$L$7:$L$3006,0)),""))</f>
        <v>DJ°178</v>
      </c>
      <c r="L697" s="82" t="n">
        <f aca="false">IF(B697="","",IFERROR(INDEX('CARNET DE SOUDURE'!$D$7:$D$3006,MATCH(B697,'CARNET DE SOUDURE'!$L$7:$L$3006,0)),IFERROR(INDEX('CARNET DE SOUDURE'!$D$7:$D$3006,MATCH(B697,'CARNET DE SOUDURE'!$O$7:$O$3006,0)),"")))</f>
        <v>15</v>
      </c>
      <c r="M697" s="82" t="str">
        <f aca="false">IF(B697="","",IF(OR(J697&lt;&gt;"",K697&lt;&gt;""),"POSÉ EN LIGNE",IF(COUNTIF(BARDAGE!$C$1:$C$5000,B697)&gt;0,"BARDÉ","EN STOCK")))</f>
        <v>POSÉ EN LIGNE</v>
      </c>
      <c r="N697" s="80"/>
    </row>
    <row r="698" customFormat="false" ht="15" hidden="false" customHeight="false" outlineLevel="0" collapsed="false">
      <c r="A698" s="82" t="n">
        <f aca="false">IF(B698="","",ROW()-6)</f>
        <v>692</v>
      </c>
      <c r="B698" s="145" t="n">
        <v>2095660</v>
      </c>
      <c r="C698" s="146" t="n">
        <v>154211</v>
      </c>
      <c r="D698" s="146"/>
      <c r="E698" s="82" t="str">
        <f aca="false">IF(B698="","",IF(COUNTIFS('CARNET DE SOUDURE'!$L$7:$L$3006,B698,'CARNET DE SOUDURE'!$M$7:$M$3006,"&lt;&gt;"&amp;C698,'CARNET DE SOUDURE'!$M$7:$M$3006,"&lt;&gt;")+COUNTIFS('CARNET DE SOUDURE'!$O$7:$O$3006,B698,'CARNET DE SOUDURE'!$P$7:$P$3006,"&lt;&gt;"&amp;C698,'CARNET DE SOUDURE'!$P$7:$P$3006,"&lt;&gt;")&gt;0,"⚠ DIFFÉRENTE","OK"))</f>
        <v>OK</v>
      </c>
      <c r="F698" s="147" t="n">
        <v>11.94</v>
      </c>
      <c r="G698" s="80"/>
      <c r="H698" s="83"/>
      <c r="I698" s="148" t="str">
        <f aca="false">IF(B698="","",IFERROR(INDEX('CARNET DE SOUDURE'!$B$7:$B$3006,MATCH(B698,'CARNET DE SOUDURE'!$L$7:$L$3006,0)),IFERROR(INDEX('CARNET DE SOUDURE'!$B$7:$B$3006,MATCH(B698,'CARNET DE SOUDURE'!$O$7:$O$3006,0)),"")))</f>
        <v>MFD-ISW → MFD-CPF</v>
      </c>
      <c r="J698" s="82" t="str">
        <f aca="false">IF(B698="","",IFERROR(INDEX('CARNET DE SOUDURE'!$E$7:$E$3006,MATCH(B698,'CARNET DE SOUDURE'!$O$7:$O$3006,0)),""))</f>
        <v>DJ°178</v>
      </c>
      <c r="K698" s="82" t="str">
        <f aca="false">IF(B698="","",IFERROR(INDEX('CARNET DE SOUDURE'!$E$7:$E$3006,MATCH(B698,'CARNET DE SOUDURE'!$L$7:$L$3006,0)),""))</f>
        <v>JN°1358</v>
      </c>
      <c r="L698" s="82" t="n">
        <f aca="false">IF(B698="","",IFERROR(INDEX('CARNET DE SOUDURE'!$D$7:$D$3006,MATCH(B698,'CARNET DE SOUDURE'!$L$7:$L$3006,0)),IFERROR(INDEX('CARNET DE SOUDURE'!$D$7:$D$3006,MATCH(B698,'CARNET DE SOUDURE'!$O$7:$O$3006,0)),"")))</f>
        <v>15</v>
      </c>
      <c r="M698" s="82" t="str">
        <f aca="false">IF(B698="","",IF(OR(J698&lt;&gt;"",K698&lt;&gt;""),"POSÉ EN LIGNE",IF(COUNTIF(BARDAGE!$C$1:$C$5000,B698)&gt;0,"BARDÉ","EN STOCK")))</f>
        <v>POSÉ EN LIGNE</v>
      </c>
      <c r="N698" s="80"/>
    </row>
    <row r="699" customFormat="false" ht="15" hidden="false" customHeight="false" outlineLevel="0" collapsed="false">
      <c r="A699" s="82" t="n">
        <f aca="false">IF(B699="","",ROW()-6)</f>
        <v>693</v>
      </c>
      <c r="B699" s="145" t="n">
        <v>2089080</v>
      </c>
      <c r="C699" s="146" t="n">
        <v>15421108</v>
      </c>
      <c r="D699" s="146"/>
      <c r="E699" s="82" t="str">
        <f aca="false">IF(B699="","",IF(COUNTIFS('CARNET DE SOUDURE'!$L$7:$L$3006,B699,'CARNET DE SOUDURE'!$M$7:$M$3006,"&lt;&gt;"&amp;C699,'CARNET DE SOUDURE'!$M$7:$M$3006,"&lt;&gt;")+COUNTIFS('CARNET DE SOUDURE'!$O$7:$O$3006,B699,'CARNET DE SOUDURE'!$P$7:$P$3006,"&lt;&gt;"&amp;C699,'CARNET DE SOUDURE'!$P$7:$P$3006,"&lt;&gt;")&gt;0,"⚠ DIFFÉRENTE","OK"))</f>
        <v>OK</v>
      </c>
      <c r="F699" s="147" t="n">
        <v>11.94</v>
      </c>
      <c r="G699" s="80"/>
      <c r="H699" s="83"/>
      <c r="I699" s="148" t="str">
        <f aca="false">IF(B699="","",IFERROR(INDEX('CARNET DE SOUDURE'!$B$7:$B$3006,MATCH(B699,'CARNET DE SOUDURE'!$L$7:$L$3006,0)),IFERROR(INDEX('CARNET DE SOUDURE'!$B$7:$B$3006,MATCH(B699,'CARNET DE SOUDURE'!$O$7:$O$3006,0)),"")))</f>
        <v>MFD-ISW → MFD-CPF</v>
      </c>
      <c r="J699" s="82" t="str">
        <f aca="false">IF(B699="","",IFERROR(INDEX('CARNET DE SOUDURE'!$E$7:$E$3006,MATCH(B699,'CARNET DE SOUDURE'!$O$7:$O$3006,0)),""))</f>
        <v>JN°1358</v>
      </c>
      <c r="K699" s="82" t="str">
        <f aca="false">IF(B699="","",IFERROR(INDEX('CARNET DE SOUDURE'!$E$7:$E$3006,MATCH(B699,'CARNET DE SOUDURE'!$L$7:$L$3006,0)),""))</f>
        <v>DJ°183</v>
      </c>
      <c r="L699" s="82" t="n">
        <f aca="false">IF(B699="","",IFERROR(INDEX('CARNET DE SOUDURE'!$D$7:$D$3006,MATCH(B699,'CARNET DE SOUDURE'!$L$7:$L$3006,0)),IFERROR(INDEX('CARNET DE SOUDURE'!$D$7:$D$3006,MATCH(B699,'CARNET DE SOUDURE'!$O$7:$O$3006,0)),"")))</f>
        <v>15</v>
      </c>
      <c r="M699" s="82" t="str">
        <f aca="false">IF(B699="","",IF(OR(J699&lt;&gt;"",K699&lt;&gt;""),"POSÉ EN LIGNE",IF(COUNTIF(BARDAGE!$C$1:$C$5000,B699)&gt;0,"BARDÉ","EN STOCK")))</f>
        <v>POSÉ EN LIGNE</v>
      </c>
      <c r="N699" s="80"/>
    </row>
    <row r="700" customFormat="false" ht="15" hidden="false" customHeight="false" outlineLevel="0" collapsed="false">
      <c r="A700" s="82" t="n">
        <f aca="false">IF(B700="","",ROW()-6)</f>
        <v>694</v>
      </c>
      <c r="B700" s="145" t="n">
        <v>2098300</v>
      </c>
      <c r="C700" s="146" t="n">
        <v>15421112</v>
      </c>
      <c r="D700" s="146"/>
      <c r="E700" s="82" t="str">
        <f aca="false">IF(B700="","",IF(COUNTIFS('CARNET DE SOUDURE'!$L$7:$L$3006,B700,'CARNET DE SOUDURE'!$M$7:$M$3006,"&lt;&gt;"&amp;C700,'CARNET DE SOUDURE'!$M$7:$M$3006,"&lt;&gt;")+COUNTIFS('CARNET DE SOUDURE'!$O$7:$O$3006,B700,'CARNET DE SOUDURE'!$P$7:$P$3006,"&lt;&gt;"&amp;C700,'CARNET DE SOUDURE'!$P$7:$P$3006,"&lt;&gt;")&gt;0,"⚠ DIFFÉRENTE","OK"))</f>
        <v>OK</v>
      </c>
      <c r="F700" s="147" t="n">
        <v>11.94</v>
      </c>
      <c r="G700" s="80"/>
      <c r="H700" s="83"/>
      <c r="I700" s="148" t="str">
        <f aca="false">IF(B700="","",IFERROR(INDEX('CARNET DE SOUDURE'!$B$7:$B$3006,MATCH(B700,'CARNET DE SOUDURE'!$L$7:$L$3006,0)),IFERROR(INDEX('CARNET DE SOUDURE'!$B$7:$B$3006,MATCH(B700,'CARNET DE SOUDURE'!$O$7:$O$3006,0)),"")))</f>
        <v>MFD-ISW → MFD-CPF</v>
      </c>
      <c r="J700" s="82" t="str">
        <f aca="false">IF(B700="","",IFERROR(INDEX('CARNET DE SOUDURE'!$E$7:$E$3006,MATCH(B700,'CARNET DE SOUDURE'!$O$7:$O$3006,0)),""))</f>
        <v>DJ°183</v>
      </c>
      <c r="K700" s="82" t="str">
        <f aca="false">IF(B700="","",IFERROR(INDEX('CARNET DE SOUDURE'!$E$7:$E$3006,MATCH(B700,'CARNET DE SOUDURE'!$L$7:$L$3006,0)),""))</f>
        <v>JN°1359</v>
      </c>
      <c r="L700" s="82" t="n">
        <f aca="false">IF(B700="","",IFERROR(INDEX('CARNET DE SOUDURE'!$D$7:$D$3006,MATCH(B700,'CARNET DE SOUDURE'!$L$7:$L$3006,0)),IFERROR(INDEX('CARNET DE SOUDURE'!$D$7:$D$3006,MATCH(B700,'CARNET DE SOUDURE'!$O$7:$O$3006,0)),"")))</f>
        <v>15</v>
      </c>
      <c r="M700" s="82" t="str">
        <f aca="false">IF(B700="","",IF(OR(J700&lt;&gt;"",K700&lt;&gt;""),"POSÉ EN LIGNE",IF(COUNTIF(BARDAGE!$C$1:$C$5000,B700)&gt;0,"BARDÉ","EN STOCK")))</f>
        <v>POSÉ EN LIGNE</v>
      </c>
      <c r="N700" s="80"/>
    </row>
    <row r="701" customFormat="false" ht="15" hidden="false" customHeight="false" outlineLevel="0" collapsed="false">
      <c r="A701" s="82" t="n">
        <f aca="false">IF(B701="","",ROW()-6)</f>
        <v>695</v>
      </c>
      <c r="B701" s="145" t="n">
        <v>2087880</v>
      </c>
      <c r="C701" s="146" t="n">
        <v>15421108</v>
      </c>
      <c r="D701" s="146"/>
      <c r="E701" s="82" t="str">
        <f aca="false">IF(B701="","",IF(COUNTIFS('CARNET DE SOUDURE'!$L$7:$L$3006,B701,'CARNET DE SOUDURE'!$M$7:$M$3006,"&lt;&gt;"&amp;C701,'CARNET DE SOUDURE'!$M$7:$M$3006,"&lt;&gt;")+COUNTIFS('CARNET DE SOUDURE'!$O$7:$O$3006,B701,'CARNET DE SOUDURE'!$P$7:$P$3006,"&lt;&gt;"&amp;C701,'CARNET DE SOUDURE'!$P$7:$P$3006,"&lt;&gt;")&gt;0,"⚠ DIFFÉRENTE","OK"))</f>
        <v>OK</v>
      </c>
      <c r="F701" s="147" t="n">
        <v>11.94</v>
      </c>
      <c r="G701" s="80"/>
      <c r="H701" s="83"/>
      <c r="I701" s="148" t="str">
        <f aca="false">IF(B701="","",IFERROR(INDEX('CARNET DE SOUDURE'!$B$7:$B$3006,MATCH(B701,'CARNET DE SOUDURE'!$L$7:$L$3006,0)),IFERROR(INDEX('CARNET DE SOUDURE'!$B$7:$B$3006,MATCH(B701,'CARNET DE SOUDURE'!$O$7:$O$3006,0)),"")))</f>
        <v>MFD-ISW → MFD-CPF</v>
      </c>
      <c r="J701" s="82" t="str">
        <f aca="false">IF(B701="","",IFERROR(INDEX('CARNET DE SOUDURE'!$E$7:$E$3006,MATCH(B701,'CARNET DE SOUDURE'!$O$7:$O$3006,0)),""))</f>
        <v>JN°1359</v>
      </c>
      <c r="K701" s="82" t="str">
        <f aca="false">IF(B701="","",IFERROR(INDEX('CARNET DE SOUDURE'!$E$7:$E$3006,MATCH(B701,'CARNET DE SOUDURE'!$L$7:$L$3006,0)),""))</f>
        <v>DJ°175</v>
      </c>
      <c r="L701" s="82" t="n">
        <f aca="false">IF(B701="","",IFERROR(INDEX('CARNET DE SOUDURE'!$D$7:$D$3006,MATCH(B701,'CARNET DE SOUDURE'!$L$7:$L$3006,0)),IFERROR(INDEX('CARNET DE SOUDURE'!$D$7:$D$3006,MATCH(B701,'CARNET DE SOUDURE'!$O$7:$O$3006,0)),"")))</f>
        <v>15</v>
      </c>
      <c r="M701" s="82" t="str">
        <f aca="false">IF(B701="","",IF(OR(J701&lt;&gt;"",K701&lt;&gt;""),"POSÉ EN LIGNE",IF(COUNTIF(BARDAGE!$C$1:$C$5000,B701)&gt;0,"BARDÉ","EN STOCK")))</f>
        <v>POSÉ EN LIGNE</v>
      </c>
      <c r="N701" s="80"/>
    </row>
    <row r="702" customFormat="false" ht="15" hidden="false" customHeight="false" outlineLevel="0" collapsed="false">
      <c r="A702" s="82" t="n">
        <f aca="false">IF(B702="","",ROW()-6)</f>
        <v>696</v>
      </c>
      <c r="B702" s="145" t="n">
        <v>2088700</v>
      </c>
      <c r="C702" s="146" t="n">
        <v>15421103</v>
      </c>
      <c r="D702" s="146"/>
      <c r="E702" s="82" t="str">
        <f aca="false">IF(B702="","",IF(COUNTIFS('CARNET DE SOUDURE'!$L$7:$L$3006,B702,'CARNET DE SOUDURE'!$M$7:$M$3006,"&lt;&gt;"&amp;C702,'CARNET DE SOUDURE'!$M$7:$M$3006,"&lt;&gt;")+COUNTIFS('CARNET DE SOUDURE'!$O$7:$O$3006,B702,'CARNET DE SOUDURE'!$P$7:$P$3006,"&lt;&gt;"&amp;C702,'CARNET DE SOUDURE'!$P$7:$P$3006,"&lt;&gt;")&gt;0,"⚠ DIFFÉRENTE","OK"))</f>
        <v>OK</v>
      </c>
      <c r="F702" s="147" t="n">
        <v>11.94</v>
      </c>
      <c r="G702" s="80"/>
      <c r="H702" s="83"/>
      <c r="I702" s="148" t="str">
        <f aca="false">IF(B702="","",IFERROR(INDEX('CARNET DE SOUDURE'!$B$7:$B$3006,MATCH(B702,'CARNET DE SOUDURE'!$L$7:$L$3006,0)),IFERROR(INDEX('CARNET DE SOUDURE'!$B$7:$B$3006,MATCH(B702,'CARNET DE SOUDURE'!$O$7:$O$3006,0)),"")))</f>
        <v>MFD-ISW → MFD-CPF</v>
      </c>
      <c r="J702" s="82" t="str">
        <f aca="false">IF(B702="","",IFERROR(INDEX('CARNET DE SOUDURE'!$E$7:$E$3006,MATCH(B702,'CARNET DE SOUDURE'!$O$7:$O$3006,0)),""))</f>
        <v>DJ°175</v>
      </c>
      <c r="K702" s="82" t="str">
        <f aca="false">IF(B702="","",IFERROR(INDEX('CARNET DE SOUDURE'!$E$7:$E$3006,MATCH(B702,'CARNET DE SOUDURE'!$L$7:$L$3006,0)),""))</f>
        <v>JN°1360</v>
      </c>
      <c r="L702" s="82" t="n">
        <f aca="false">IF(B702="","",IFERROR(INDEX('CARNET DE SOUDURE'!$D$7:$D$3006,MATCH(B702,'CARNET DE SOUDURE'!$L$7:$L$3006,0)),IFERROR(INDEX('CARNET DE SOUDURE'!$D$7:$D$3006,MATCH(B702,'CARNET DE SOUDURE'!$O$7:$O$3006,0)),"")))</f>
        <v>15</v>
      </c>
      <c r="M702" s="82" t="str">
        <f aca="false">IF(B702="","",IF(OR(J702&lt;&gt;"",K702&lt;&gt;""),"POSÉ EN LIGNE",IF(COUNTIF(BARDAGE!$C$1:$C$5000,B702)&gt;0,"BARDÉ","EN STOCK")))</f>
        <v>POSÉ EN LIGNE</v>
      </c>
      <c r="N702" s="80"/>
    </row>
    <row r="703" customFormat="false" ht="15" hidden="false" customHeight="false" outlineLevel="0" collapsed="false">
      <c r="A703" s="82" t="n">
        <f aca="false">IF(B703="","",ROW()-6)</f>
        <v>697</v>
      </c>
      <c r="B703" s="145" t="n">
        <v>2083250</v>
      </c>
      <c r="C703" s="146" t="n">
        <v>15421105</v>
      </c>
      <c r="D703" s="146"/>
      <c r="E703" s="82" t="str">
        <f aca="false">IF(B703="","",IF(COUNTIFS('CARNET DE SOUDURE'!$L$7:$L$3006,B703,'CARNET DE SOUDURE'!$M$7:$M$3006,"&lt;&gt;"&amp;C703,'CARNET DE SOUDURE'!$M$7:$M$3006,"&lt;&gt;")+COUNTIFS('CARNET DE SOUDURE'!$O$7:$O$3006,B703,'CARNET DE SOUDURE'!$P$7:$P$3006,"&lt;&gt;"&amp;C703,'CARNET DE SOUDURE'!$P$7:$P$3006,"&lt;&gt;")&gt;0,"⚠ DIFFÉRENTE","OK"))</f>
        <v>OK</v>
      </c>
      <c r="F703" s="147" t="n">
        <v>11.94</v>
      </c>
      <c r="G703" s="80"/>
      <c r="H703" s="83"/>
      <c r="I703" s="148" t="str">
        <f aca="false">IF(B703="","",IFERROR(INDEX('CARNET DE SOUDURE'!$B$7:$B$3006,MATCH(B703,'CARNET DE SOUDURE'!$L$7:$L$3006,0)),IFERROR(INDEX('CARNET DE SOUDURE'!$B$7:$B$3006,MATCH(B703,'CARNET DE SOUDURE'!$O$7:$O$3006,0)),"")))</f>
        <v>MFD-ISW → MFD-CPF</v>
      </c>
      <c r="J703" s="82" t="str">
        <f aca="false">IF(B703="","",IFERROR(INDEX('CARNET DE SOUDURE'!$E$7:$E$3006,MATCH(B703,'CARNET DE SOUDURE'!$O$7:$O$3006,0)),""))</f>
        <v>JN°1360</v>
      </c>
      <c r="K703" s="82" t="str">
        <f aca="false">IF(B703="","",IFERROR(INDEX('CARNET DE SOUDURE'!$E$7:$E$3006,MATCH(B703,'CARNET DE SOUDURE'!$L$7:$L$3006,0)),""))</f>
        <v>DJ°188</v>
      </c>
      <c r="L703" s="82" t="n">
        <f aca="false">IF(B703="","",IFERROR(INDEX('CARNET DE SOUDURE'!$D$7:$D$3006,MATCH(B703,'CARNET DE SOUDURE'!$L$7:$L$3006,0)),IFERROR(INDEX('CARNET DE SOUDURE'!$D$7:$D$3006,MATCH(B703,'CARNET DE SOUDURE'!$O$7:$O$3006,0)),"")))</f>
        <v>15</v>
      </c>
      <c r="M703" s="82" t="str">
        <f aca="false">IF(B703="","",IF(OR(J703&lt;&gt;"",K703&lt;&gt;""),"POSÉ EN LIGNE",IF(COUNTIF(BARDAGE!$C$1:$C$5000,B703)&gt;0,"BARDÉ","EN STOCK")))</f>
        <v>POSÉ EN LIGNE</v>
      </c>
      <c r="N703" s="80"/>
    </row>
    <row r="704" customFormat="false" ht="15" hidden="false" customHeight="false" outlineLevel="0" collapsed="false">
      <c r="A704" s="82" t="n">
        <f aca="false">IF(B704="","",ROW()-6)</f>
        <v>698</v>
      </c>
      <c r="B704" s="145" t="n">
        <v>2094730</v>
      </c>
      <c r="C704" s="146" t="n">
        <v>15421104</v>
      </c>
      <c r="D704" s="146"/>
      <c r="E704" s="82" t="str">
        <f aca="false">IF(B704="","",IF(COUNTIFS('CARNET DE SOUDURE'!$L$7:$L$3006,B704,'CARNET DE SOUDURE'!$M$7:$M$3006,"&lt;&gt;"&amp;C704,'CARNET DE SOUDURE'!$M$7:$M$3006,"&lt;&gt;")+COUNTIFS('CARNET DE SOUDURE'!$O$7:$O$3006,B704,'CARNET DE SOUDURE'!$P$7:$P$3006,"&lt;&gt;"&amp;C704,'CARNET DE SOUDURE'!$P$7:$P$3006,"&lt;&gt;")&gt;0,"⚠ DIFFÉRENTE","OK"))</f>
        <v>OK</v>
      </c>
      <c r="F704" s="147" t="n">
        <v>11.94</v>
      </c>
      <c r="G704" s="80"/>
      <c r="H704" s="83"/>
      <c r="I704" s="148" t="str">
        <f aca="false">IF(B704="","",IFERROR(INDEX('CARNET DE SOUDURE'!$B$7:$B$3006,MATCH(B704,'CARNET DE SOUDURE'!$L$7:$L$3006,0)),IFERROR(INDEX('CARNET DE SOUDURE'!$B$7:$B$3006,MATCH(B704,'CARNET DE SOUDURE'!$O$7:$O$3006,0)),"")))</f>
        <v>MFD-ISW → MFD-CPF</v>
      </c>
      <c r="J704" s="82" t="str">
        <f aca="false">IF(B704="","",IFERROR(INDEX('CARNET DE SOUDURE'!$E$7:$E$3006,MATCH(B704,'CARNET DE SOUDURE'!$O$7:$O$3006,0)),""))</f>
        <v>DJ°188</v>
      </c>
      <c r="K704" s="82" t="str">
        <f aca="false">IF(B704="","",IFERROR(INDEX('CARNET DE SOUDURE'!$E$7:$E$3006,MATCH(B704,'CARNET DE SOUDURE'!$L$7:$L$3006,0)),""))</f>
        <v>JN°1361</v>
      </c>
      <c r="L704" s="82" t="n">
        <f aca="false">IF(B704="","",IFERROR(INDEX('CARNET DE SOUDURE'!$D$7:$D$3006,MATCH(B704,'CARNET DE SOUDURE'!$L$7:$L$3006,0)),IFERROR(INDEX('CARNET DE SOUDURE'!$D$7:$D$3006,MATCH(B704,'CARNET DE SOUDURE'!$O$7:$O$3006,0)),"")))</f>
        <v>15</v>
      </c>
      <c r="M704" s="82" t="str">
        <f aca="false">IF(B704="","",IF(OR(J704&lt;&gt;"",K704&lt;&gt;""),"POSÉ EN LIGNE",IF(COUNTIF(BARDAGE!$C$1:$C$5000,B704)&gt;0,"BARDÉ","EN STOCK")))</f>
        <v>POSÉ EN LIGNE</v>
      </c>
      <c r="N704" s="80"/>
    </row>
    <row r="705" customFormat="false" ht="15" hidden="false" customHeight="false" outlineLevel="0" collapsed="false">
      <c r="A705" s="82" t="n">
        <f aca="false">IF(B705="","",ROW()-6)</f>
        <v>699</v>
      </c>
      <c r="B705" s="145" t="n">
        <v>2094890</v>
      </c>
      <c r="C705" s="146" t="n">
        <v>15421111</v>
      </c>
      <c r="D705" s="146"/>
      <c r="E705" s="82" t="str">
        <f aca="false">IF(B705="","",IF(COUNTIFS('CARNET DE SOUDURE'!$L$7:$L$3006,B705,'CARNET DE SOUDURE'!$M$7:$M$3006,"&lt;&gt;"&amp;C705,'CARNET DE SOUDURE'!$M$7:$M$3006,"&lt;&gt;")+COUNTIFS('CARNET DE SOUDURE'!$O$7:$O$3006,B705,'CARNET DE SOUDURE'!$P$7:$P$3006,"&lt;&gt;"&amp;C705,'CARNET DE SOUDURE'!$P$7:$P$3006,"&lt;&gt;")&gt;0,"⚠ DIFFÉRENTE","OK"))</f>
        <v>OK</v>
      </c>
      <c r="F705" s="147" t="n">
        <v>11.94</v>
      </c>
      <c r="G705" s="80"/>
      <c r="H705" s="83"/>
      <c r="I705" s="148" t="str">
        <f aca="false">IF(B705="","",IFERROR(INDEX('CARNET DE SOUDURE'!$B$7:$B$3006,MATCH(B705,'CARNET DE SOUDURE'!$L$7:$L$3006,0)),IFERROR(INDEX('CARNET DE SOUDURE'!$B$7:$B$3006,MATCH(B705,'CARNET DE SOUDURE'!$O$7:$O$3006,0)),"")))</f>
        <v>MFD-ISW → MFD-CPF</v>
      </c>
      <c r="J705" s="82" t="str">
        <f aca="false">IF(B705="","",IFERROR(INDEX('CARNET DE SOUDURE'!$E$7:$E$3006,MATCH(B705,'CARNET DE SOUDURE'!$O$7:$O$3006,0)),""))</f>
        <v>JN°1361</v>
      </c>
      <c r="K705" s="82" t="str">
        <f aca="false">IF(B705="","",IFERROR(INDEX('CARNET DE SOUDURE'!$E$7:$E$3006,MATCH(B705,'CARNET DE SOUDURE'!$L$7:$L$3006,0)),""))</f>
        <v>DJ°195</v>
      </c>
      <c r="L705" s="82" t="n">
        <f aca="false">IF(B705="","",IFERROR(INDEX('CARNET DE SOUDURE'!$D$7:$D$3006,MATCH(B705,'CARNET DE SOUDURE'!$L$7:$L$3006,0)),IFERROR(INDEX('CARNET DE SOUDURE'!$D$7:$D$3006,MATCH(B705,'CARNET DE SOUDURE'!$O$7:$O$3006,0)),"")))</f>
        <v>15</v>
      </c>
      <c r="M705" s="82" t="str">
        <f aca="false">IF(B705="","",IF(OR(J705&lt;&gt;"",K705&lt;&gt;""),"POSÉ EN LIGNE",IF(COUNTIF(BARDAGE!$C$1:$C$5000,B705)&gt;0,"BARDÉ","EN STOCK")))</f>
        <v>POSÉ EN LIGNE</v>
      </c>
      <c r="N705" s="80"/>
    </row>
    <row r="706" customFormat="false" ht="15" hidden="false" customHeight="false" outlineLevel="0" collapsed="false">
      <c r="A706" s="82" t="n">
        <f aca="false">IF(B706="","",ROW()-6)</f>
        <v>700</v>
      </c>
      <c r="B706" s="145" t="n">
        <v>2096780</v>
      </c>
      <c r="C706" s="146" t="n">
        <v>15421111</v>
      </c>
      <c r="D706" s="146"/>
      <c r="E706" s="82" t="str">
        <f aca="false">IF(B706="","",IF(COUNTIFS('CARNET DE SOUDURE'!$L$7:$L$3006,B706,'CARNET DE SOUDURE'!$M$7:$M$3006,"&lt;&gt;"&amp;C706,'CARNET DE SOUDURE'!$M$7:$M$3006,"&lt;&gt;")+COUNTIFS('CARNET DE SOUDURE'!$O$7:$O$3006,B706,'CARNET DE SOUDURE'!$P$7:$P$3006,"&lt;&gt;"&amp;C706,'CARNET DE SOUDURE'!$P$7:$P$3006,"&lt;&gt;")&gt;0,"⚠ DIFFÉRENTE","OK"))</f>
        <v>OK</v>
      </c>
      <c r="F706" s="147" t="n">
        <v>11.94</v>
      </c>
      <c r="G706" s="80"/>
      <c r="H706" s="83"/>
      <c r="I706" s="148" t="str">
        <f aca="false">IF(B706="","",IFERROR(INDEX('CARNET DE SOUDURE'!$B$7:$B$3006,MATCH(B706,'CARNET DE SOUDURE'!$L$7:$L$3006,0)),IFERROR(INDEX('CARNET DE SOUDURE'!$B$7:$B$3006,MATCH(B706,'CARNET DE SOUDURE'!$O$7:$O$3006,0)),"")))</f>
        <v>MFD-ISW → MFD-CPF</v>
      </c>
      <c r="J706" s="82" t="str">
        <f aca="false">IF(B706="","",IFERROR(INDEX('CARNET DE SOUDURE'!$E$7:$E$3006,MATCH(B706,'CARNET DE SOUDURE'!$O$7:$O$3006,0)),""))</f>
        <v>DJ°195</v>
      </c>
      <c r="K706" s="82" t="str">
        <f aca="false">IF(B706="","",IFERROR(INDEX('CARNET DE SOUDURE'!$E$7:$E$3006,MATCH(B706,'CARNET DE SOUDURE'!$L$7:$L$3006,0)),""))</f>
        <v>JN°1362</v>
      </c>
      <c r="L706" s="82" t="n">
        <f aca="false">IF(B706="","",IFERROR(INDEX('CARNET DE SOUDURE'!$D$7:$D$3006,MATCH(B706,'CARNET DE SOUDURE'!$L$7:$L$3006,0)),IFERROR(INDEX('CARNET DE SOUDURE'!$D$7:$D$3006,MATCH(B706,'CARNET DE SOUDURE'!$O$7:$O$3006,0)),"")))</f>
        <v>15</v>
      </c>
      <c r="M706" s="82" t="str">
        <f aca="false">IF(B706="","",IF(OR(J706&lt;&gt;"",K706&lt;&gt;""),"POSÉ EN LIGNE",IF(COUNTIF(BARDAGE!$C$1:$C$5000,B706)&gt;0,"BARDÉ","EN STOCK")))</f>
        <v>POSÉ EN LIGNE</v>
      </c>
      <c r="N706" s="80"/>
    </row>
    <row r="707" customFormat="false" ht="15" hidden="false" customHeight="false" outlineLevel="0" collapsed="false">
      <c r="A707" s="82" t="n">
        <f aca="false">IF(B707="","",ROW()-6)</f>
        <v>701</v>
      </c>
      <c r="B707" s="145" t="n">
        <v>2080700</v>
      </c>
      <c r="C707" s="146" t="n">
        <v>15421103</v>
      </c>
      <c r="D707" s="146"/>
      <c r="E707" s="82" t="str">
        <f aca="false">IF(B707="","",IF(COUNTIFS('CARNET DE SOUDURE'!$L$7:$L$3006,B707,'CARNET DE SOUDURE'!$M$7:$M$3006,"&lt;&gt;"&amp;C707,'CARNET DE SOUDURE'!$M$7:$M$3006,"&lt;&gt;")+COUNTIFS('CARNET DE SOUDURE'!$O$7:$O$3006,B707,'CARNET DE SOUDURE'!$P$7:$P$3006,"&lt;&gt;"&amp;C707,'CARNET DE SOUDURE'!$P$7:$P$3006,"&lt;&gt;")&gt;0,"⚠ DIFFÉRENTE","OK"))</f>
        <v>OK</v>
      </c>
      <c r="F707" s="147" t="n">
        <v>11.94</v>
      </c>
      <c r="G707" s="80"/>
      <c r="H707" s="83"/>
      <c r="I707" s="148" t="str">
        <f aca="false">IF(B707="","",IFERROR(INDEX('CARNET DE SOUDURE'!$B$7:$B$3006,MATCH(B707,'CARNET DE SOUDURE'!$L$7:$L$3006,0)),IFERROR(INDEX('CARNET DE SOUDURE'!$B$7:$B$3006,MATCH(B707,'CARNET DE SOUDURE'!$O$7:$O$3006,0)),"")))</f>
        <v>MFD-ISW → MFD-CPF</v>
      </c>
      <c r="J707" s="82" t="str">
        <f aca="false">IF(B707="","",IFERROR(INDEX('CARNET DE SOUDURE'!$E$7:$E$3006,MATCH(B707,'CARNET DE SOUDURE'!$O$7:$O$3006,0)),""))</f>
        <v>JN°1362</v>
      </c>
      <c r="K707" s="82" t="str">
        <f aca="false">IF(B707="","",IFERROR(INDEX('CARNET DE SOUDURE'!$E$7:$E$3006,MATCH(B707,'CARNET DE SOUDURE'!$L$7:$L$3006,0)),""))</f>
        <v>DJ°186</v>
      </c>
      <c r="L707" s="82" t="n">
        <f aca="false">IF(B707="","",IFERROR(INDEX('CARNET DE SOUDURE'!$D$7:$D$3006,MATCH(B707,'CARNET DE SOUDURE'!$L$7:$L$3006,0)),IFERROR(INDEX('CARNET DE SOUDURE'!$D$7:$D$3006,MATCH(B707,'CARNET DE SOUDURE'!$O$7:$O$3006,0)),"")))</f>
        <v>15</v>
      </c>
      <c r="M707" s="82" t="str">
        <f aca="false">IF(B707="","",IF(OR(J707&lt;&gt;"",K707&lt;&gt;""),"POSÉ EN LIGNE",IF(COUNTIF(BARDAGE!$C$1:$C$5000,B707)&gt;0,"BARDÉ","EN STOCK")))</f>
        <v>POSÉ EN LIGNE</v>
      </c>
      <c r="N707" s="80"/>
    </row>
    <row r="708" customFormat="false" ht="15" hidden="false" customHeight="false" outlineLevel="0" collapsed="false">
      <c r="A708" s="82" t="n">
        <f aca="false">IF(B708="","",ROW()-6)</f>
        <v>702</v>
      </c>
      <c r="B708" s="145" t="n">
        <v>2080870</v>
      </c>
      <c r="C708" s="146" t="n">
        <v>15421103</v>
      </c>
      <c r="D708" s="146"/>
      <c r="E708" s="82" t="str">
        <f aca="false">IF(B708="","",IF(COUNTIFS('CARNET DE SOUDURE'!$L$7:$L$3006,B708,'CARNET DE SOUDURE'!$M$7:$M$3006,"&lt;&gt;"&amp;C708,'CARNET DE SOUDURE'!$M$7:$M$3006,"&lt;&gt;")+COUNTIFS('CARNET DE SOUDURE'!$O$7:$O$3006,B708,'CARNET DE SOUDURE'!$P$7:$P$3006,"&lt;&gt;"&amp;C708,'CARNET DE SOUDURE'!$P$7:$P$3006,"&lt;&gt;")&gt;0,"⚠ DIFFÉRENTE","OK"))</f>
        <v>OK</v>
      </c>
      <c r="F708" s="147" t="n">
        <v>11.94</v>
      </c>
      <c r="G708" s="80"/>
      <c r="H708" s="83"/>
      <c r="I708" s="148" t="str">
        <f aca="false">IF(B708="","",IFERROR(INDEX('CARNET DE SOUDURE'!$B$7:$B$3006,MATCH(B708,'CARNET DE SOUDURE'!$L$7:$L$3006,0)),IFERROR(INDEX('CARNET DE SOUDURE'!$B$7:$B$3006,MATCH(B708,'CARNET DE SOUDURE'!$O$7:$O$3006,0)),"")))</f>
        <v>MFD-ISW → MFD-CPF</v>
      </c>
      <c r="J708" s="82" t="str">
        <f aca="false">IF(B708="","",IFERROR(INDEX('CARNET DE SOUDURE'!$E$7:$E$3006,MATCH(B708,'CARNET DE SOUDURE'!$O$7:$O$3006,0)),""))</f>
        <v>DJ°186</v>
      </c>
      <c r="K708" s="82" t="str">
        <f aca="false">IF(B708="","",IFERROR(INDEX('CARNET DE SOUDURE'!$E$7:$E$3006,MATCH(B708,'CARNET DE SOUDURE'!$L$7:$L$3006,0)),""))</f>
        <v>JN°1363</v>
      </c>
      <c r="L708" s="82" t="n">
        <f aca="false">IF(B708="","",IFERROR(INDEX('CARNET DE SOUDURE'!$D$7:$D$3006,MATCH(B708,'CARNET DE SOUDURE'!$L$7:$L$3006,0)),IFERROR(INDEX('CARNET DE SOUDURE'!$D$7:$D$3006,MATCH(B708,'CARNET DE SOUDURE'!$O$7:$O$3006,0)),"")))</f>
        <v>15</v>
      </c>
      <c r="M708" s="82" t="str">
        <f aca="false">IF(B708="","",IF(OR(J708&lt;&gt;"",K708&lt;&gt;""),"POSÉ EN LIGNE",IF(COUNTIF(BARDAGE!$C$1:$C$5000,B708)&gt;0,"BARDÉ","EN STOCK")))</f>
        <v>POSÉ EN LIGNE</v>
      </c>
      <c r="N708" s="80"/>
    </row>
    <row r="709" customFormat="false" ht="15" hidden="false" customHeight="false" outlineLevel="0" collapsed="false">
      <c r="A709" s="82" t="n">
        <f aca="false">IF(B709="","",ROW()-6)</f>
        <v>703</v>
      </c>
      <c r="B709" s="145" t="n">
        <v>2087900</v>
      </c>
      <c r="C709" s="146" t="n">
        <v>15421108</v>
      </c>
      <c r="D709" s="146"/>
      <c r="E709" s="82" t="str">
        <f aca="false">IF(B709="","",IF(COUNTIFS('CARNET DE SOUDURE'!$L$7:$L$3006,B709,'CARNET DE SOUDURE'!$M$7:$M$3006,"&lt;&gt;"&amp;C709,'CARNET DE SOUDURE'!$M$7:$M$3006,"&lt;&gt;")+COUNTIFS('CARNET DE SOUDURE'!$O$7:$O$3006,B709,'CARNET DE SOUDURE'!$P$7:$P$3006,"&lt;&gt;"&amp;C709,'CARNET DE SOUDURE'!$P$7:$P$3006,"&lt;&gt;")&gt;0,"⚠ DIFFÉRENTE","OK"))</f>
        <v>OK</v>
      </c>
      <c r="F709" s="147" t="n">
        <v>11.94</v>
      </c>
      <c r="G709" s="80"/>
      <c r="H709" s="83"/>
      <c r="I709" s="148" t="str">
        <f aca="false">IF(B709="","",IFERROR(INDEX('CARNET DE SOUDURE'!$B$7:$B$3006,MATCH(B709,'CARNET DE SOUDURE'!$L$7:$L$3006,0)),IFERROR(INDEX('CARNET DE SOUDURE'!$B$7:$B$3006,MATCH(B709,'CARNET DE SOUDURE'!$O$7:$O$3006,0)),"")))</f>
        <v>MFD-ISW → MFD-CPF</v>
      </c>
      <c r="J709" s="82" t="str">
        <f aca="false">IF(B709="","",IFERROR(INDEX('CARNET DE SOUDURE'!$E$7:$E$3006,MATCH(B709,'CARNET DE SOUDURE'!$O$7:$O$3006,0)),""))</f>
        <v>JN°1363</v>
      </c>
      <c r="K709" s="82" t="str">
        <f aca="false">IF(B709="","",IFERROR(INDEX('CARNET DE SOUDURE'!$E$7:$E$3006,MATCH(B709,'CARNET DE SOUDURE'!$L$7:$L$3006,0)),""))</f>
        <v>DJ°185</v>
      </c>
      <c r="L709" s="82" t="n">
        <f aca="false">IF(B709="","",IFERROR(INDEX('CARNET DE SOUDURE'!$D$7:$D$3006,MATCH(B709,'CARNET DE SOUDURE'!$L$7:$L$3006,0)),IFERROR(INDEX('CARNET DE SOUDURE'!$D$7:$D$3006,MATCH(B709,'CARNET DE SOUDURE'!$O$7:$O$3006,0)),"")))</f>
        <v>15</v>
      </c>
      <c r="M709" s="82" t="str">
        <f aca="false">IF(B709="","",IF(OR(J709&lt;&gt;"",K709&lt;&gt;""),"POSÉ EN LIGNE",IF(COUNTIF(BARDAGE!$C$1:$C$5000,B709)&gt;0,"BARDÉ","EN STOCK")))</f>
        <v>POSÉ EN LIGNE</v>
      </c>
      <c r="N709" s="80"/>
    </row>
    <row r="710" customFormat="false" ht="15" hidden="false" customHeight="false" outlineLevel="0" collapsed="false">
      <c r="A710" s="82" t="n">
        <f aca="false">IF(B710="","",ROW()-6)</f>
        <v>704</v>
      </c>
      <c r="B710" s="145" t="n">
        <v>2097740</v>
      </c>
      <c r="C710" s="146" t="n">
        <v>1542112</v>
      </c>
      <c r="D710" s="146"/>
      <c r="E710" s="82" t="str">
        <f aca="false">IF(B710="","",IF(COUNTIFS('CARNET DE SOUDURE'!$L$7:$L$3006,B710,'CARNET DE SOUDURE'!$M$7:$M$3006,"&lt;&gt;"&amp;C710,'CARNET DE SOUDURE'!$M$7:$M$3006,"&lt;&gt;")+COUNTIFS('CARNET DE SOUDURE'!$O$7:$O$3006,B710,'CARNET DE SOUDURE'!$P$7:$P$3006,"&lt;&gt;"&amp;C710,'CARNET DE SOUDURE'!$P$7:$P$3006,"&lt;&gt;")&gt;0,"⚠ DIFFÉRENTE","OK"))</f>
        <v>OK</v>
      </c>
      <c r="F710" s="147" t="n">
        <v>11.94</v>
      </c>
      <c r="G710" s="80"/>
      <c r="H710" s="83"/>
      <c r="I710" s="148" t="str">
        <f aca="false">IF(B710="","",IFERROR(INDEX('CARNET DE SOUDURE'!$B$7:$B$3006,MATCH(B710,'CARNET DE SOUDURE'!$L$7:$L$3006,0)),IFERROR(INDEX('CARNET DE SOUDURE'!$B$7:$B$3006,MATCH(B710,'CARNET DE SOUDURE'!$O$7:$O$3006,0)),"")))</f>
        <v>MFD-ISW → MFD-CPF</v>
      </c>
      <c r="J710" s="82" t="str">
        <f aca="false">IF(B710="","",IFERROR(INDEX('CARNET DE SOUDURE'!$E$7:$E$3006,MATCH(B710,'CARNET DE SOUDURE'!$O$7:$O$3006,0)),""))</f>
        <v>DJ°185</v>
      </c>
      <c r="K710" s="82" t="str">
        <f aca="false">IF(B710="","",IFERROR(INDEX('CARNET DE SOUDURE'!$E$7:$E$3006,MATCH(B710,'CARNET DE SOUDURE'!$L$7:$L$3006,0)),""))</f>
        <v>JN°1364</v>
      </c>
      <c r="L710" s="82" t="n">
        <f aca="false">IF(B710="","",IFERROR(INDEX('CARNET DE SOUDURE'!$D$7:$D$3006,MATCH(B710,'CARNET DE SOUDURE'!$L$7:$L$3006,0)),IFERROR(INDEX('CARNET DE SOUDURE'!$D$7:$D$3006,MATCH(B710,'CARNET DE SOUDURE'!$O$7:$O$3006,0)),"")))</f>
        <v>15</v>
      </c>
      <c r="M710" s="82" t="str">
        <f aca="false">IF(B710="","",IF(OR(J710&lt;&gt;"",K710&lt;&gt;""),"POSÉ EN LIGNE",IF(COUNTIF(BARDAGE!$C$1:$C$5000,B710)&gt;0,"BARDÉ","EN STOCK")))</f>
        <v>POSÉ EN LIGNE</v>
      </c>
      <c r="N710" s="80"/>
    </row>
    <row r="711" customFormat="false" ht="15" hidden="false" customHeight="false" outlineLevel="0" collapsed="false">
      <c r="A711" s="82" t="n">
        <f aca="false">IF(B711="","",ROW()-6)</f>
        <v>705</v>
      </c>
      <c r="B711" s="145" t="n">
        <v>2086930</v>
      </c>
      <c r="C711" s="146" t="n">
        <v>15421107</v>
      </c>
      <c r="D711" s="146"/>
      <c r="E711" s="82" t="str">
        <f aca="false">IF(B711="","",IF(COUNTIFS('CARNET DE SOUDURE'!$L$7:$L$3006,B711,'CARNET DE SOUDURE'!$M$7:$M$3006,"&lt;&gt;"&amp;C711,'CARNET DE SOUDURE'!$M$7:$M$3006,"&lt;&gt;")+COUNTIFS('CARNET DE SOUDURE'!$O$7:$O$3006,B711,'CARNET DE SOUDURE'!$P$7:$P$3006,"&lt;&gt;"&amp;C711,'CARNET DE SOUDURE'!$P$7:$P$3006,"&lt;&gt;")&gt;0,"⚠ DIFFÉRENTE","OK"))</f>
        <v>OK</v>
      </c>
      <c r="F711" s="147" t="n">
        <v>11.94</v>
      </c>
      <c r="G711" s="80"/>
      <c r="H711" s="83"/>
      <c r="I711" s="148" t="str">
        <f aca="false">IF(B711="","",IFERROR(INDEX('CARNET DE SOUDURE'!$B$7:$B$3006,MATCH(B711,'CARNET DE SOUDURE'!$L$7:$L$3006,0)),IFERROR(INDEX('CARNET DE SOUDURE'!$B$7:$B$3006,MATCH(B711,'CARNET DE SOUDURE'!$O$7:$O$3006,0)),"")))</f>
        <v>MFD-ISW → MFD-CPF</v>
      </c>
      <c r="J711" s="82" t="str">
        <f aca="false">IF(B711="","",IFERROR(INDEX('CARNET DE SOUDURE'!$E$7:$E$3006,MATCH(B711,'CARNET DE SOUDURE'!$O$7:$O$3006,0)),""))</f>
        <v>JN°1364</v>
      </c>
      <c r="K711" s="82" t="str">
        <f aca="false">IF(B711="","",IFERROR(INDEX('CARNET DE SOUDURE'!$E$7:$E$3006,MATCH(B711,'CARNET DE SOUDURE'!$L$7:$L$3006,0)),""))</f>
        <v>DJ°190</v>
      </c>
      <c r="L711" s="82" t="n">
        <f aca="false">IF(B711="","",IFERROR(INDEX('CARNET DE SOUDURE'!$D$7:$D$3006,MATCH(B711,'CARNET DE SOUDURE'!$L$7:$L$3006,0)),IFERROR(INDEX('CARNET DE SOUDURE'!$D$7:$D$3006,MATCH(B711,'CARNET DE SOUDURE'!$O$7:$O$3006,0)),"")))</f>
        <v>15</v>
      </c>
      <c r="M711" s="82" t="str">
        <f aca="false">IF(B711="","",IF(OR(J711&lt;&gt;"",K711&lt;&gt;""),"POSÉ EN LIGNE",IF(COUNTIF(BARDAGE!$C$1:$C$5000,B711)&gt;0,"BARDÉ","EN STOCK")))</f>
        <v>POSÉ EN LIGNE</v>
      </c>
      <c r="N711" s="80"/>
    </row>
    <row r="712" customFormat="false" ht="15" hidden="false" customHeight="false" outlineLevel="0" collapsed="false">
      <c r="A712" s="82" t="n">
        <f aca="false">IF(B712="","",ROW()-6)</f>
        <v>706</v>
      </c>
      <c r="B712" s="145" t="n">
        <v>2091140</v>
      </c>
      <c r="C712" s="146" t="n">
        <v>1542</v>
      </c>
      <c r="D712" s="146"/>
      <c r="E712" s="82" t="str">
        <f aca="false">IF(B712="","",IF(COUNTIFS('CARNET DE SOUDURE'!$L$7:$L$3006,B712,'CARNET DE SOUDURE'!$M$7:$M$3006,"&lt;&gt;"&amp;C712,'CARNET DE SOUDURE'!$M$7:$M$3006,"&lt;&gt;")+COUNTIFS('CARNET DE SOUDURE'!$O$7:$O$3006,B712,'CARNET DE SOUDURE'!$P$7:$P$3006,"&lt;&gt;"&amp;C712,'CARNET DE SOUDURE'!$P$7:$P$3006,"&lt;&gt;")&gt;0,"⚠ DIFFÉRENTE","OK"))</f>
        <v>OK</v>
      </c>
      <c r="F712" s="147" t="n">
        <v>11.94</v>
      </c>
      <c r="G712" s="80"/>
      <c r="H712" s="83"/>
      <c r="I712" s="148" t="str">
        <f aca="false">IF(B712="","",IFERROR(INDEX('CARNET DE SOUDURE'!$B$7:$B$3006,MATCH(B712,'CARNET DE SOUDURE'!$L$7:$L$3006,0)),IFERROR(INDEX('CARNET DE SOUDURE'!$B$7:$B$3006,MATCH(B712,'CARNET DE SOUDURE'!$O$7:$O$3006,0)),"")))</f>
        <v>MFD-ISW → MFD-CPF</v>
      </c>
      <c r="J712" s="82" t="str">
        <f aca="false">IF(B712="","",IFERROR(INDEX('CARNET DE SOUDURE'!$E$7:$E$3006,MATCH(B712,'CARNET DE SOUDURE'!$O$7:$O$3006,0)),""))</f>
        <v>DJ°190</v>
      </c>
      <c r="K712" s="82" t="str">
        <f aca="false">IF(B712="","",IFERROR(INDEX('CARNET DE SOUDURE'!$E$7:$E$3006,MATCH(B712,'CARNET DE SOUDURE'!$L$7:$L$3006,0)),""))</f>
        <v>JN°1365</v>
      </c>
      <c r="L712" s="82" t="n">
        <f aca="false">IF(B712="","",IFERROR(INDEX('CARNET DE SOUDURE'!$D$7:$D$3006,MATCH(B712,'CARNET DE SOUDURE'!$L$7:$L$3006,0)),IFERROR(INDEX('CARNET DE SOUDURE'!$D$7:$D$3006,MATCH(B712,'CARNET DE SOUDURE'!$O$7:$O$3006,0)),"")))</f>
        <v>15</v>
      </c>
      <c r="M712" s="82" t="str">
        <f aca="false">IF(B712="","",IF(OR(J712&lt;&gt;"",K712&lt;&gt;""),"POSÉ EN LIGNE",IF(COUNTIF(BARDAGE!$C$1:$C$5000,B712)&gt;0,"BARDÉ","EN STOCK")))</f>
        <v>POSÉ EN LIGNE</v>
      </c>
      <c r="N712" s="80"/>
    </row>
    <row r="713" customFormat="false" ht="15" hidden="false" customHeight="false" outlineLevel="0" collapsed="false">
      <c r="A713" s="82" t="n">
        <f aca="false">IF(B713="","",ROW()-6)</f>
        <v>707</v>
      </c>
      <c r="B713" s="145" t="n">
        <v>2080390</v>
      </c>
      <c r="C713" s="146" t="n">
        <v>15421102</v>
      </c>
      <c r="D713" s="146"/>
      <c r="E713" s="82" t="str">
        <f aca="false">IF(B713="","",IF(COUNTIFS('CARNET DE SOUDURE'!$L$7:$L$3006,B713,'CARNET DE SOUDURE'!$M$7:$M$3006,"&lt;&gt;"&amp;C713,'CARNET DE SOUDURE'!$M$7:$M$3006,"&lt;&gt;")+COUNTIFS('CARNET DE SOUDURE'!$O$7:$O$3006,B713,'CARNET DE SOUDURE'!$P$7:$P$3006,"&lt;&gt;"&amp;C713,'CARNET DE SOUDURE'!$P$7:$P$3006,"&lt;&gt;")&gt;0,"⚠ DIFFÉRENTE","OK"))</f>
        <v>OK</v>
      </c>
      <c r="F713" s="147" t="n">
        <v>11.94</v>
      </c>
      <c r="G713" s="80"/>
      <c r="H713" s="83"/>
      <c r="I713" s="148" t="str">
        <f aca="false">IF(B713="","",IFERROR(INDEX('CARNET DE SOUDURE'!$B$7:$B$3006,MATCH(B713,'CARNET DE SOUDURE'!$L$7:$L$3006,0)),IFERROR(INDEX('CARNET DE SOUDURE'!$B$7:$B$3006,MATCH(B713,'CARNET DE SOUDURE'!$O$7:$O$3006,0)),"")))</f>
        <v>MFD-ISW → MFD-CPF</v>
      </c>
      <c r="J713" s="82" t="str">
        <f aca="false">IF(B713="","",IFERROR(INDEX('CARNET DE SOUDURE'!$E$7:$E$3006,MATCH(B713,'CARNET DE SOUDURE'!$O$7:$O$3006,0)),""))</f>
        <v>JN°1365</v>
      </c>
      <c r="K713" s="82" t="str">
        <f aca="false">IF(B713="","",IFERROR(INDEX('CARNET DE SOUDURE'!$E$7:$E$3006,MATCH(B713,'CARNET DE SOUDURE'!$L$7:$L$3006,0)),""))</f>
        <v>DJ°191</v>
      </c>
      <c r="L713" s="82" t="n">
        <f aca="false">IF(B713="","",IFERROR(INDEX('CARNET DE SOUDURE'!$D$7:$D$3006,MATCH(B713,'CARNET DE SOUDURE'!$L$7:$L$3006,0)),IFERROR(INDEX('CARNET DE SOUDURE'!$D$7:$D$3006,MATCH(B713,'CARNET DE SOUDURE'!$O$7:$O$3006,0)),"")))</f>
        <v>15</v>
      </c>
      <c r="M713" s="82" t="str">
        <f aca="false">IF(B713="","",IF(OR(J713&lt;&gt;"",K713&lt;&gt;""),"POSÉ EN LIGNE",IF(COUNTIF(BARDAGE!$C$1:$C$5000,B713)&gt;0,"BARDÉ","EN STOCK")))</f>
        <v>POSÉ EN LIGNE</v>
      </c>
      <c r="N713" s="80"/>
    </row>
    <row r="714" customFormat="false" ht="15" hidden="false" customHeight="false" outlineLevel="0" collapsed="false">
      <c r="A714" s="82" t="n">
        <f aca="false">IF(B714="","",ROW()-6)</f>
        <v>708</v>
      </c>
      <c r="B714" s="145" t="n">
        <v>2080470</v>
      </c>
      <c r="C714" s="146" t="n">
        <v>15421102</v>
      </c>
      <c r="D714" s="146"/>
      <c r="E714" s="82" t="str">
        <f aca="false">IF(B714="","",IF(COUNTIFS('CARNET DE SOUDURE'!$L$7:$L$3006,B714,'CARNET DE SOUDURE'!$M$7:$M$3006,"&lt;&gt;"&amp;C714,'CARNET DE SOUDURE'!$M$7:$M$3006,"&lt;&gt;")+COUNTIFS('CARNET DE SOUDURE'!$O$7:$O$3006,B714,'CARNET DE SOUDURE'!$P$7:$P$3006,"&lt;&gt;"&amp;C714,'CARNET DE SOUDURE'!$P$7:$P$3006,"&lt;&gt;")&gt;0,"⚠ DIFFÉRENTE","OK"))</f>
        <v>OK</v>
      </c>
      <c r="F714" s="147" t="n">
        <v>11.94</v>
      </c>
      <c r="G714" s="80"/>
      <c r="H714" s="83"/>
      <c r="I714" s="148" t="str">
        <f aca="false">IF(B714="","",IFERROR(INDEX('CARNET DE SOUDURE'!$B$7:$B$3006,MATCH(B714,'CARNET DE SOUDURE'!$L$7:$L$3006,0)),IFERROR(INDEX('CARNET DE SOUDURE'!$B$7:$B$3006,MATCH(B714,'CARNET DE SOUDURE'!$O$7:$O$3006,0)),"")))</f>
        <v>MFD-ISW → MFD-CPF</v>
      </c>
      <c r="J714" s="82" t="str">
        <f aca="false">IF(B714="","",IFERROR(INDEX('CARNET DE SOUDURE'!$E$7:$E$3006,MATCH(B714,'CARNET DE SOUDURE'!$O$7:$O$3006,0)),""))</f>
        <v>JN°1366</v>
      </c>
      <c r="K714" s="82" t="str">
        <f aca="false">IF(B714="","",IFERROR(INDEX('CARNET DE SOUDURE'!$E$7:$E$3006,MATCH(B714,'CARNET DE SOUDURE'!$L$7:$L$3006,0)),""))</f>
        <v>DJ°192</v>
      </c>
      <c r="L714" s="82" t="n">
        <f aca="false">IF(B714="","",IFERROR(INDEX('CARNET DE SOUDURE'!$D$7:$D$3006,MATCH(B714,'CARNET DE SOUDURE'!$L$7:$L$3006,0)),IFERROR(INDEX('CARNET DE SOUDURE'!$D$7:$D$3006,MATCH(B714,'CARNET DE SOUDURE'!$O$7:$O$3006,0)),"")))</f>
        <v>15</v>
      </c>
      <c r="M714" s="82" t="str">
        <f aca="false">IF(B714="","",IF(OR(J714&lt;&gt;"",K714&lt;&gt;""),"POSÉ EN LIGNE",IF(COUNTIF(BARDAGE!$C$1:$C$5000,B714)&gt;0,"BARDÉ","EN STOCK")))</f>
        <v>POSÉ EN LIGNE</v>
      </c>
      <c r="N714" s="80"/>
    </row>
    <row r="715" customFormat="false" ht="15" hidden="false" customHeight="false" outlineLevel="0" collapsed="false">
      <c r="A715" s="82" t="n">
        <f aca="false">IF(B715="","",ROW()-6)</f>
        <v>709</v>
      </c>
      <c r="B715" s="145" t="n">
        <v>2093400</v>
      </c>
      <c r="C715" s="146" t="n">
        <v>15421110</v>
      </c>
      <c r="D715" s="146"/>
      <c r="E715" s="82" t="str">
        <f aca="false">IF(B715="","",IF(COUNTIFS('CARNET DE SOUDURE'!$L$7:$L$3006,B715,'CARNET DE SOUDURE'!$M$7:$M$3006,"&lt;&gt;"&amp;C715,'CARNET DE SOUDURE'!$M$7:$M$3006,"&lt;&gt;")+COUNTIFS('CARNET DE SOUDURE'!$O$7:$O$3006,B715,'CARNET DE SOUDURE'!$P$7:$P$3006,"&lt;&gt;"&amp;C715,'CARNET DE SOUDURE'!$P$7:$P$3006,"&lt;&gt;")&gt;0,"⚠ DIFFÉRENTE","OK"))</f>
        <v>OK</v>
      </c>
      <c r="F715" s="147" t="n">
        <v>11.94</v>
      </c>
      <c r="G715" s="80"/>
      <c r="H715" s="83"/>
      <c r="I715" s="148" t="str">
        <f aca="false">IF(B715="","",IFERROR(INDEX('CARNET DE SOUDURE'!$B$7:$B$3006,MATCH(B715,'CARNET DE SOUDURE'!$L$7:$L$3006,0)),IFERROR(INDEX('CARNET DE SOUDURE'!$B$7:$B$3006,MATCH(B715,'CARNET DE SOUDURE'!$O$7:$O$3006,0)),"")))</f>
        <v>MFD-ISW → MFD-CPF</v>
      </c>
      <c r="J715" s="82" t="str">
        <f aca="false">IF(B715="","",IFERROR(INDEX('CARNET DE SOUDURE'!$E$7:$E$3006,MATCH(B715,'CARNET DE SOUDURE'!$O$7:$O$3006,0)),""))</f>
        <v>DJ°192</v>
      </c>
      <c r="K715" s="82" t="str">
        <f aca="false">IF(B715="","",IFERROR(INDEX('CARNET DE SOUDURE'!$E$7:$E$3006,MATCH(B715,'CARNET DE SOUDURE'!$L$7:$L$3006,0)),""))</f>
        <v>JN°1367</v>
      </c>
      <c r="L715" s="82" t="n">
        <f aca="false">IF(B715="","",IFERROR(INDEX('CARNET DE SOUDURE'!$D$7:$D$3006,MATCH(B715,'CARNET DE SOUDURE'!$L$7:$L$3006,0)),IFERROR(INDEX('CARNET DE SOUDURE'!$D$7:$D$3006,MATCH(B715,'CARNET DE SOUDURE'!$O$7:$O$3006,0)),"")))</f>
        <v>15</v>
      </c>
      <c r="M715" s="82" t="str">
        <f aca="false">IF(B715="","",IF(OR(J715&lt;&gt;"",K715&lt;&gt;""),"POSÉ EN LIGNE",IF(COUNTIF(BARDAGE!$C$1:$C$5000,B715)&gt;0,"BARDÉ","EN STOCK")))</f>
        <v>POSÉ EN LIGNE</v>
      </c>
      <c r="N715" s="80"/>
    </row>
    <row r="716" customFormat="false" ht="15" hidden="false" customHeight="false" outlineLevel="0" collapsed="false">
      <c r="A716" s="82" t="n">
        <f aca="false">IF(B716="","",ROW()-6)</f>
        <v>710</v>
      </c>
      <c r="B716" s="145" t="n">
        <v>2078850</v>
      </c>
      <c r="C716" s="146" t="n">
        <v>15421101</v>
      </c>
      <c r="D716" s="146"/>
      <c r="E716" s="82" t="str">
        <f aca="false">IF(B716="","",IF(COUNTIFS('CARNET DE SOUDURE'!$L$7:$L$3006,B716,'CARNET DE SOUDURE'!$M$7:$M$3006,"&lt;&gt;"&amp;C716,'CARNET DE SOUDURE'!$M$7:$M$3006,"&lt;&gt;")+COUNTIFS('CARNET DE SOUDURE'!$O$7:$O$3006,B716,'CARNET DE SOUDURE'!$P$7:$P$3006,"&lt;&gt;"&amp;C716,'CARNET DE SOUDURE'!$P$7:$P$3006,"&lt;&gt;")&gt;0,"⚠ DIFFÉRENTE","OK"))</f>
        <v>OK</v>
      </c>
      <c r="F716" s="147" t="n">
        <v>11.94</v>
      </c>
      <c r="G716" s="80"/>
      <c r="H716" s="83"/>
      <c r="I716" s="148" t="str">
        <f aca="false">IF(B716="","",IFERROR(INDEX('CARNET DE SOUDURE'!$B$7:$B$3006,MATCH(B716,'CARNET DE SOUDURE'!$L$7:$L$3006,0)),IFERROR(INDEX('CARNET DE SOUDURE'!$B$7:$B$3006,MATCH(B716,'CARNET DE SOUDURE'!$O$7:$O$3006,0)),"")))</f>
        <v>MFD-ISW → MFD-CPF</v>
      </c>
      <c r="J716" s="82" t="str">
        <f aca="false">IF(B716="","",IFERROR(INDEX('CARNET DE SOUDURE'!$E$7:$E$3006,MATCH(B716,'CARNET DE SOUDURE'!$O$7:$O$3006,0)),""))</f>
        <v>JN°1367</v>
      </c>
      <c r="K716" s="82" t="str">
        <f aca="false">IF(B716="","",IFERROR(INDEX('CARNET DE SOUDURE'!$E$7:$E$3006,MATCH(B716,'CARNET DE SOUDURE'!$L$7:$L$3006,0)),""))</f>
        <v>DJ°184</v>
      </c>
      <c r="L716" s="82" t="n">
        <f aca="false">IF(B716="","",IFERROR(INDEX('CARNET DE SOUDURE'!$D$7:$D$3006,MATCH(B716,'CARNET DE SOUDURE'!$L$7:$L$3006,0)),IFERROR(INDEX('CARNET DE SOUDURE'!$D$7:$D$3006,MATCH(B716,'CARNET DE SOUDURE'!$O$7:$O$3006,0)),"")))</f>
        <v>15</v>
      </c>
      <c r="M716" s="82" t="str">
        <f aca="false">IF(B716="","",IF(OR(J716&lt;&gt;"",K716&lt;&gt;""),"POSÉ EN LIGNE",IF(COUNTIF(BARDAGE!$C$1:$C$5000,B716)&gt;0,"BARDÉ","EN STOCK")))</f>
        <v>POSÉ EN LIGNE</v>
      </c>
      <c r="N716" s="80"/>
    </row>
    <row r="717" customFormat="false" ht="15" hidden="false" customHeight="false" outlineLevel="0" collapsed="false">
      <c r="A717" s="82" t="n">
        <f aca="false">IF(B717="","",ROW()-6)</f>
        <v>711</v>
      </c>
      <c r="B717" s="145" t="n">
        <v>2094160</v>
      </c>
      <c r="C717" s="146" t="n">
        <v>15421110</v>
      </c>
      <c r="D717" s="146"/>
      <c r="E717" s="82" t="str">
        <f aca="false">IF(B717="","",IF(COUNTIFS('CARNET DE SOUDURE'!$L$7:$L$3006,B717,'CARNET DE SOUDURE'!$M$7:$M$3006,"&lt;&gt;"&amp;C717,'CARNET DE SOUDURE'!$M$7:$M$3006,"&lt;&gt;")+COUNTIFS('CARNET DE SOUDURE'!$O$7:$O$3006,B717,'CARNET DE SOUDURE'!$P$7:$P$3006,"&lt;&gt;"&amp;C717,'CARNET DE SOUDURE'!$P$7:$P$3006,"&lt;&gt;")&gt;0,"⚠ DIFFÉRENTE","OK"))</f>
        <v>OK</v>
      </c>
      <c r="F717" s="147" t="n">
        <v>11.94</v>
      </c>
      <c r="G717" s="80"/>
      <c r="H717" s="83"/>
      <c r="I717" s="148" t="str">
        <f aca="false">IF(B717="","",IFERROR(INDEX('CARNET DE SOUDURE'!$B$7:$B$3006,MATCH(B717,'CARNET DE SOUDURE'!$L$7:$L$3006,0)),IFERROR(INDEX('CARNET DE SOUDURE'!$B$7:$B$3006,MATCH(B717,'CARNET DE SOUDURE'!$O$7:$O$3006,0)),"")))</f>
        <v>MFD-ISW → MFD-CPF</v>
      </c>
      <c r="J717" s="82" t="str">
        <f aca="false">IF(B717="","",IFERROR(INDEX('CARNET DE SOUDURE'!$E$7:$E$3006,MATCH(B717,'CARNET DE SOUDURE'!$O$7:$O$3006,0)),""))</f>
        <v>DJ°184</v>
      </c>
      <c r="K717" s="82" t="str">
        <f aca="false">IF(B717="","",IFERROR(INDEX('CARNET DE SOUDURE'!$E$7:$E$3006,MATCH(B717,'CARNET DE SOUDURE'!$L$7:$L$3006,0)),""))</f>
        <v>JN°1368</v>
      </c>
      <c r="L717" s="82" t="n">
        <f aca="false">IF(B717="","",IFERROR(INDEX('CARNET DE SOUDURE'!$D$7:$D$3006,MATCH(B717,'CARNET DE SOUDURE'!$L$7:$L$3006,0)),IFERROR(INDEX('CARNET DE SOUDURE'!$D$7:$D$3006,MATCH(B717,'CARNET DE SOUDURE'!$O$7:$O$3006,0)),"")))</f>
        <v>15</v>
      </c>
      <c r="M717" s="82" t="str">
        <f aca="false">IF(B717="","",IF(OR(J717&lt;&gt;"",K717&lt;&gt;""),"POSÉ EN LIGNE",IF(COUNTIF(BARDAGE!$C$1:$C$5000,B717)&gt;0,"BARDÉ","EN STOCK")))</f>
        <v>POSÉ EN LIGNE</v>
      </c>
      <c r="N717" s="80"/>
    </row>
    <row r="718" customFormat="false" ht="15" hidden="false" customHeight="false" outlineLevel="0" collapsed="false">
      <c r="A718" s="82" t="n">
        <f aca="false">IF(B718="","",ROW()-6)</f>
        <v>712</v>
      </c>
      <c r="B718" s="145" t="n">
        <v>2090460</v>
      </c>
      <c r="C718" s="146" t="n">
        <v>15421109</v>
      </c>
      <c r="D718" s="146"/>
      <c r="E718" s="82" t="str">
        <f aca="false">IF(B718="","",IF(COUNTIFS('CARNET DE SOUDURE'!$L$7:$L$3006,B718,'CARNET DE SOUDURE'!$M$7:$M$3006,"&lt;&gt;"&amp;C718,'CARNET DE SOUDURE'!$M$7:$M$3006,"&lt;&gt;")+COUNTIFS('CARNET DE SOUDURE'!$O$7:$O$3006,B718,'CARNET DE SOUDURE'!$P$7:$P$3006,"&lt;&gt;"&amp;C718,'CARNET DE SOUDURE'!$P$7:$P$3006,"&lt;&gt;")&gt;0,"⚠ DIFFÉRENTE","OK"))</f>
        <v>OK</v>
      </c>
      <c r="F718" s="147" t="n">
        <v>11.94</v>
      </c>
      <c r="G718" s="80"/>
      <c r="H718" s="83"/>
      <c r="I718" s="148" t="str">
        <f aca="false">IF(B718="","",IFERROR(INDEX('CARNET DE SOUDURE'!$B$7:$B$3006,MATCH(B718,'CARNET DE SOUDURE'!$L$7:$L$3006,0)),IFERROR(INDEX('CARNET DE SOUDURE'!$B$7:$B$3006,MATCH(B718,'CARNET DE SOUDURE'!$O$7:$O$3006,0)),"")))</f>
        <v>MFD-ISW → MFD-CPF</v>
      </c>
      <c r="J718" s="82" t="str">
        <f aca="false">IF(B718="","",IFERROR(INDEX('CARNET DE SOUDURE'!$E$7:$E$3006,MATCH(B718,'CARNET DE SOUDURE'!$O$7:$O$3006,0)),""))</f>
        <v>JN°1368</v>
      </c>
      <c r="K718" s="82" t="str">
        <f aca="false">IF(B718="","",IFERROR(INDEX('CARNET DE SOUDURE'!$E$7:$E$3006,MATCH(B718,'CARNET DE SOUDURE'!$L$7:$L$3006,0)),""))</f>
        <v>DJ°170</v>
      </c>
      <c r="L718" s="82" t="n">
        <f aca="false">IF(B718="","",IFERROR(INDEX('CARNET DE SOUDURE'!$D$7:$D$3006,MATCH(B718,'CARNET DE SOUDURE'!$L$7:$L$3006,0)),IFERROR(INDEX('CARNET DE SOUDURE'!$D$7:$D$3006,MATCH(B718,'CARNET DE SOUDURE'!$O$7:$O$3006,0)),"")))</f>
        <v>15</v>
      </c>
      <c r="M718" s="82" t="str">
        <f aca="false">IF(B718="","",IF(OR(J718&lt;&gt;"",K718&lt;&gt;""),"POSÉ EN LIGNE",IF(COUNTIF(BARDAGE!$C$1:$C$5000,B718)&gt;0,"BARDÉ","EN STOCK")))</f>
        <v>POSÉ EN LIGNE</v>
      </c>
      <c r="N718" s="80"/>
    </row>
    <row r="719" customFormat="false" ht="15" hidden="false" customHeight="false" outlineLevel="0" collapsed="false">
      <c r="A719" s="82" t="n">
        <f aca="false">IF(B719="","",ROW()-6)</f>
        <v>713</v>
      </c>
      <c r="B719" s="145" t="n">
        <v>2089320</v>
      </c>
      <c r="C719" s="146" t="n">
        <v>15421108</v>
      </c>
      <c r="D719" s="146"/>
      <c r="E719" s="82" t="str">
        <f aca="false">IF(B719="","",IF(COUNTIFS('CARNET DE SOUDURE'!$L$7:$L$3006,B719,'CARNET DE SOUDURE'!$M$7:$M$3006,"&lt;&gt;"&amp;C719,'CARNET DE SOUDURE'!$M$7:$M$3006,"&lt;&gt;")+COUNTIFS('CARNET DE SOUDURE'!$O$7:$O$3006,B719,'CARNET DE SOUDURE'!$P$7:$P$3006,"&lt;&gt;"&amp;C719,'CARNET DE SOUDURE'!$P$7:$P$3006,"&lt;&gt;")&gt;0,"⚠ DIFFÉRENTE","OK"))</f>
        <v>OK</v>
      </c>
      <c r="F719" s="147" t="n">
        <v>11.94</v>
      </c>
      <c r="G719" s="80"/>
      <c r="H719" s="83"/>
      <c r="I719" s="148" t="str">
        <f aca="false">IF(B719="","",IFERROR(INDEX('CARNET DE SOUDURE'!$B$7:$B$3006,MATCH(B719,'CARNET DE SOUDURE'!$L$7:$L$3006,0)),IFERROR(INDEX('CARNET DE SOUDURE'!$B$7:$B$3006,MATCH(B719,'CARNET DE SOUDURE'!$O$7:$O$3006,0)),"")))</f>
        <v>MFD-ISW → MFD-CPF</v>
      </c>
      <c r="J719" s="82" t="str">
        <f aca="false">IF(B719="","",IFERROR(INDEX('CARNET DE SOUDURE'!$E$7:$E$3006,MATCH(B719,'CARNET DE SOUDURE'!$O$7:$O$3006,0)),""))</f>
        <v>DJ°170</v>
      </c>
      <c r="K719" s="82" t="str">
        <f aca="false">IF(B719="","",IFERROR(INDEX('CARNET DE SOUDURE'!$E$7:$E$3006,MATCH(B719,'CARNET DE SOUDURE'!$L$7:$L$3006,0)),""))</f>
        <v>JN°1369</v>
      </c>
      <c r="L719" s="82" t="n">
        <f aca="false">IF(B719="","",IFERROR(INDEX('CARNET DE SOUDURE'!$D$7:$D$3006,MATCH(B719,'CARNET DE SOUDURE'!$L$7:$L$3006,0)),IFERROR(INDEX('CARNET DE SOUDURE'!$D$7:$D$3006,MATCH(B719,'CARNET DE SOUDURE'!$O$7:$O$3006,0)),"")))</f>
        <v>15</v>
      </c>
      <c r="M719" s="82" t="str">
        <f aca="false">IF(B719="","",IF(OR(J719&lt;&gt;"",K719&lt;&gt;""),"POSÉ EN LIGNE",IF(COUNTIF(BARDAGE!$C$1:$C$5000,B719)&gt;0,"BARDÉ","EN STOCK")))</f>
        <v>POSÉ EN LIGNE</v>
      </c>
      <c r="N719" s="80"/>
    </row>
    <row r="720" customFormat="false" ht="15" hidden="false" customHeight="false" outlineLevel="0" collapsed="false">
      <c r="A720" s="82" t="n">
        <f aca="false">IF(B720="","",ROW()-6)</f>
        <v>714</v>
      </c>
      <c r="B720" s="145" t="n">
        <v>2081370</v>
      </c>
      <c r="C720" s="146" t="n">
        <v>15421103</v>
      </c>
      <c r="D720" s="146"/>
      <c r="E720" s="82" t="str">
        <f aca="false">IF(B720="","",IF(COUNTIFS('CARNET DE SOUDURE'!$L$7:$L$3006,B720,'CARNET DE SOUDURE'!$M$7:$M$3006,"&lt;&gt;"&amp;C720,'CARNET DE SOUDURE'!$M$7:$M$3006,"&lt;&gt;")+COUNTIFS('CARNET DE SOUDURE'!$O$7:$O$3006,B720,'CARNET DE SOUDURE'!$P$7:$P$3006,"&lt;&gt;"&amp;C720,'CARNET DE SOUDURE'!$P$7:$P$3006,"&lt;&gt;")&gt;0,"⚠ DIFFÉRENTE","OK"))</f>
        <v>OK</v>
      </c>
      <c r="F720" s="147" t="n">
        <v>11.94</v>
      </c>
      <c r="G720" s="80"/>
      <c r="H720" s="83"/>
      <c r="I720" s="148" t="str">
        <f aca="false">IF(B720="","",IFERROR(INDEX('CARNET DE SOUDURE'!$B$7:$B$3006,MATCH(B720,'CARNET DE SOUDURE'!$L$7:$L$3006,0)),IFERROR(INDEX('CARNET DE SOUDURE'!$B$7:$B$3006,MATCH(B720,'CARNET DE SOUDURE'!$O$7:$O$3006,0)),"")))</f>
        <v>MFD-ISW → MFD-CPF</v>
      </c>
      <c r="J720" s="82" t="str">
        <f aca="false">IF(B720="","",IFERROR(INDEX('CARNET DE SOUDURE'!$E$7:$E$3006,MATCH(B720,'CARNET DE SOUDURE'!$O$7:$O$3006,0)),""))</f>
        <v>JN°1369</v>
      </c>
      <c r="K720" s="82" t="str">
        <f aca="false">IF(B720="","",IFERROR(INDEX('CARNET DE SOUDURE'!$E$7:$E$3006,MATCH(B720,'CARNET DE SOUDURE'!$L$7:$L$3006,0)),""))</f>
        <v>DJ°167</v>
      </c>
      <c r="L720" s="82" t="n">
        <f aca="false">IF(B720="","",IFERROR(INDEX('CARNET DE SOUDURE'!$D$7:$D$3006,MATCH(B720,'CARNET DE SOUDURE'!$L$7:$L$3006,0)),IFERROR(INDEX('CARNET DE SOUDURE'!$D$7:$D$3006,MATCH(B720,'CARNET DE SOUDURE'!$O$7:$O$3006,0)),"")))</f>
        <v>15</v>
      </c>
      <c r="M720" s="82" t="str">
        <f aca="false">IF(B720="","",IF(OR(J720&lt;&gt;"",K720&lt;&gt;""),"POSÉ EN LIGNE",IF(COUNTIF(BARDAGE!$C$1:$C$5000,B720)&gt;0,"BARDÉ","EN STOCK")))</f>
        <v>POSÉ EN LIGNE</v>
      </c>
      <c r="N720" s="80"/>
    </row>
    <row r="721" customFormat="false" ht="15" hidden="false" customHeight="false" outlineLevel="0" collapsed="false">
      <c r="A721" s="82" t="n">
        <f aca="false">IF(B721="","",ROW()-6)</f>
        <v>715</v>
      </c>
      <c r="B721" s="145" t="n">
        <v>2091120</v>
      </c>
      <c r="C721" s="146" t="n">
        <v>15421109</v>
      </c>
      <c r="D721" s="146"/>
      <c r="E721" s="82" t="str">
        <f aca="false">IF(B721="","",IF(COUNTIFS('CARNET DE SOUDURE'!$L$7:$L$3006,B721,'CARNET DE SOUDURE'!$M$7:$M$3006,"&lt;&gt;"&amp;C721,'CARNET DE SOUDURE'!$M$7:$M$3006,"&lt;&gt;")+COUNTIFS('CARNET DE SOUDURE'!$O$7:$O$3006,B721,'CARNET DE SOUDURE'!$P$7:$P$3006,"&lt;&gt;"&amp;C721,'CARNET DE SOUDURE'!$P$7:$P$3006,"&lt;&gt;")&gt;0,"⚠ DIFFÉRENTE","OK"))</f>
        <v>OK</v>
      </c>
      <c r="F721" s="147" t="n">
        <v>11.94</v>
      </c>
      <c r="G721" s="80"/>
      <c r="H721" s="83"/>
      <c r="I721" s="148" t="str">
        <f aca="false">IF(B721="","",IFERROR(INDEX('CARNET DE SOUDURE'!$B$7:$B$3006,MATCH(B721,'CARNET DE SOUDURE'!$L$7:$L$3006,0)),IFERROR(INDEX('CARNET DE SOUDURE'!$B$7:$B$3006,MATCH(B721,'CARNET DE SOUDURE'!$O$7:$O$3006,0)),"")))</f>
        <v>MFD-ISW → MFD-CPF</v>
      </c>
      <c r="J721" s="82" t="str">
        <f aca="false">IF(B721="","",IFERROR(INDEX('CARNET DE SOUDURE'!$E$7:$E$3006,MATCH(B721,'CARNET DE SOUDURE'!$O$7:$O$3006,0)),""))</f>
        <v>DJ°167</v>
      </c>
      <c r="K721" s="82" t="str">
        <f aca="false">IF(B721="","",IFERROR(INDEX('CARNET DE SOUDURE'!$E$7:$E$3006,MATCH(B721,'CARNET DE SOUDURE'!$L$7:$L$3006,0)),""))</f>
        <v>JN°1370</v>
      </c>
      <c r="L721" s="82" t="n">
        <f aca="false">IF(B721="","",IFERROR(INDEX('CARNET DE SOUDURE'!$D$7:$D$3006,MATCH(B721,'CARNET DE SOUDURE'!$L$7:$L$3006,0)),IFERROR(INDEX('CARNET DE SOUDURE'!$D$7:$D$3006,MATCH(B721,'CARNET DE SOUDURE'!$O$7:$O$3006,0)),"")))</f>
        <v>15</v>
      </c>
      <c r="M721" s="82" t="str">
        <f aca="false">IF(B721="","",IF(OR(J721&lt;&gt;"",K721&lt;&gt;""),"POSÉ EN LIGNE",IF(COUNTIF(BARDAGE!$C$1:$C$5000,B721)&gt;0,"BARDÉ","EN STOCK")))</f>
        <v>POSÉ EN LIGNE</v>
      </c>
      <c r="N721" s="80"/>
    </row>
    <row r="722" customFormat="false" ht="15" hidden="false" customHeight="false" outlineLevel="0" collapsed="false">
      <c r="A722" s="82" t="n">
        <f aca="false">IF(B722="","",ROW()-6)</f>
        <v>716</v>
      </c>
      <c r="B722" s="145" t="n">
        <v>2088620</v>
      </c>
      <c r="C722" s="146" t="n">
        <v>15421108</v>
      </c>
      <c r="D722" s="146"/>
      <c r="E722" s="82" t="str">
        <f aca="false">IF(B722="","",IF(COUNTIFS('CARNET DE SOUDURE'!$L$7:$L$3006,B722,'CARNET DE SOUDURE'!$M$7:$M$3006,"&lt;&gt;"&amp;C722,'CARNET DE SOUDURE'!$M$7:$M$3006,"&lt;&gt;")+COUNTIFS('CARNET DE SOUDURE'!$O$7:$O$3006,B722,'CARNET DE SOUDURE'!$P$7:$P$3006,"&lt;&gt;"&amp;C722,'CARNET DE SOUDURE'!$P$7:$P$3006,"&lt;&gt;")&gt;0,"⚠ DIFFÉRENTE","OK"))</f>
        <v>OK</v>
      </c>
      <c r="F722" s="147" t="n">
        <v>11.94</v>
      </c>
      <c r="G722" s="80"/>
      <c r="H722" s="83"/>
      <c r="I722" s="148" t="str">
        <f aca="false">IF(B722="","",IFERROR(INDEX('CARNET DE SOUDURE'!$B$7:$B$3006,MATCH(B722,'CARNET DE SOUDURE'!$L$7:$L$3006,0)),IFERROR(INDEX('CARNET DE SOUDURE'!$B$7:$B$3006,MATCH(B722,'CARNET DE SOUDURE'!$O$7:$O$3006,0)),"")))</f>
        <v>MFD-ISW → MFD-CPF</v>
      </c>
      <c r="J722" s="82" t="str">
        <f aca="false">IF(B722="","",IFERROR(INDEX('CARNET DE SOUDURE'!$E$7:$E$3006,MATCH(B722,'CARNET DE SOUDURE'!$O$7:$O$3006,0)),""))</f>
        <v>JN°1370</v>
      </c>
      <c r="K722" s="82" t="str">
        <f aca="false">IF(B722="","",IFERROR(INDEX('CARNET DE SOUDURE'!$E$7:$E$3006,MATCH(B722,'CARNET DE SOUDURE'!$L$7:$L$3006,0)),""))</f>
        <v>DJ°168</v>
      </c>
      <c r="L722" s="82" t="n">
        <f aca="false">IF(B722="","",IFERROR(INDEX('CARNET DE SOUDURE'!$D$7:$D$3006,MATCH(B722,'CARNET DE SOUDURE'!$L$7:$L$3006,0)),IFERROR(INDEX('CARNET DE SOUDURE'!$D$7:$D$3006,MATCH(B722,'CARNET DE SOUDURE'!$O$7:$O$3006,0)),"")))</f>
        <v>15</v>
      </c>
      <c r="M722" s="82" t="str">
        <f aca="false">IF(B722="","",IF(OR(J722&lt;&gt;"",K722&lt;&gt;""),"POSÉ EN LIGNE",IF(COUNTIF(BARDAGE!$C$1:$C$5000,B722)&gt;0,"BARDÉ","EN STOCK")))</f>
        <v>POSÉ EN LIGNE</v>
      </c>
      <c r="N722" s="80"/>
    </row>
    <row r="723" customFormat="false" ht="15" hidden="false" customHeight="false" outlineLevel="0" collapsed="false">
      <c r="A723" s="82" t="n">
        <f aca="false">IF(B723="","",ROW()-6)</f>
        <v>717</v>
      </c>
      <c r="B723" s="145" t="n">
        <v>2083340</v>
      </c>
      <c r="C723" s="146" t="n">
        <v>15421105</v>
      </c>
      <c r="D723" s="146"/>
      <c r="E723" s="82" t="str">
        <f aca="false">IF(B723="","",IF(COUNTIFS('CARNET DE SOUDURE'!$L$7:$L$3006,B723,'CARNET DE SOUDURE'!$M$7:$M$3006,"&lt;&gt;"&amp;C723,'CARNET DE SOUDURE'!$M$7:$M$3006,"&lt;&gt;")+COUNTIFS('CARNET DE SOUDURE'!$O$7:$O$3006,B723,'CARNET DE SOUDURE'!$P$7:$P$3006,"&lt;&gt;"&amp;C723,'CARNET DE SOUDURE'!$P$7:$P$3006,"&lt;&gt;")&gt;0,"⚠ DIFFÉRENTE","OK"))</f>
        <v>OK</v>
      </c>
      <c r="F723" s="147" t="n">
        <v>11.94</v>
      </c>
      <c r="G723" s="80"/>
      <c r="H723" s="83"/>
      <c r="I723" s="148" t="str">
        <f aca="false">IF(B723="","",IFERROR(INDEX('CARNET DE SOUDURE'!$B$7:$B$3006,MATCH(B723,'CARNET DE SOUDURE'!$L$7:$L$3006,0)),IFERROR(INDEX('CARNET DE SOUDURE'!$B$7:$B$3006,MATCH(B723,'CARNET DE SOUDURE'!$O$7:$O$3006,0)),"")))</f>
        <v>MFD-ISW → MFD-CPF</v>
      </c>
      <c r="J723" s="82" t="str">
        <f aca="false">IF(B723="","",IFERROR(INDEX('CARNET DE SOUDURE'!$E$7:$E$3006,MATCH(B723,'CARNET DE SOUDURE'!$O$7:$O$3006,0)),""))</f>
        <v>DJ°168</v>
      </c>
      <c r="K723" s="82" t="str">
        <f aca="false">IF(B723="","",IFERROR(INDEX('CARNET DE SOUDURE'!$E$7:$E$3006,MATCH(B723,'CARNET DE SOUDURE'!$L$7:$L$3006,0)),""))</f>
        <v>JN°1371</v>
      </c>
      <c r="L723" s="82" t="n">
        <f aca="false">IF(B723="","",IFERROR(INDEX('CARNET DE SOUDURE'!$D$7:$D$3006,MATCH(B723,'CARNET DE SOUDURE'!$L$7:$L$3006,0)),IFERROR(INDEX('CARNET DE SOUDURE'!$D$7:$D$3006,MATCH(B723,'CARNET DE SOUDURE'!$O$7:$O$3006,0)),"")))</f>
        <v>15</v>
      </c>
      <c r="M723" s="82" t="str">
        <f aca="false">IF(B723="","",IF(OR(J723&lt;&gt;"",K723&lt;&gt;""),"POSÉ EN LIGNE",IF(COUNTIF(BARDAGE!$C$1:$C$5000,B723)&gt;0,"BARDÉ","EN STOCK")))</f>
        <v>POSÉ EN LIGNE</v>
      </c>
      <c r="N723" s="80"/>
    </row>
    <row r="724" customFormat="false" ht="15" hidden="false" customHeight="false" outlineLevel="0" collapsed="false">
      <c r="A724" s="82" t="n">
        <f aca="false">IF(B724="","",ROW()-6)</f>
        <v>718</v>
      </c>
      <c r="B724" s="145" t="n">
        <v>2083280</v>
      </c>
      <c r="C724" s="146" t="n">
        <v>15421105</v>
      </c>
      <c r="D724" s="146"/>
      <c r="E724" s="82" t="str">
        <f aca="false">IF(B724="","",IF(COUNTIFS('CARNET DE SOUDURE'!$L$7:$L$3006,B724,'CARNET DE SOUDURE'!$M$7:$M$3006,"&lt;&gt;"&amp;C724,'CARNET DE SOUDURE'!$M$7:$M$3006,"&lt;&gt;")+COUNTIFS('CARNET DE SOUDURE'!$O$7:$O$3006,B724,'CARNET DE SOUDURE'!$P$7:$P$3006,"&lt;&gt;"&amp;C724,'CARNET DE SOUDURE'!$P$7:$P$3006,"&lt;&gt;")&gt;0,"⚠ DIFFÉRENTE","OK"))</f>
        <v>OK</v>
      </c>
      <c r="F724" s="147" t="n">
        <v>11.94</v>
      </c>
      <c r="G724" s="80"/>
      <c r="H724" s="83"/>
      <c r="I724" s="148" t="str">
        <f aca="false">IF(B724="","",IFERROR(INDEX('CARNET DE SOUDURE'!$B$7:$B$3006,MATCH(B724,'CARNET DE SOUDURE'!$L$7:$L$3006,0)),IFERROR(INDEX('CARNET DE SOUDURE'!$B$7:$B$3006,MATCH(B724,'CARNET DE SOUDURE'!$O$7:$O$3006,0)),"")))</f>
        <v>MFD-ISW → MFD-CPF</v>
      </c>
      <c r="J724" s="82" t="str">
        <f aca="false">IF(B724="","",IFERROR(INDEX('CARNET DE SOUDURE'!$E$7:$E$3006,MATCH(B724,'CARNET DE SOUDURE'!$O$7:$O$3006,0)),""))</f>
        <v>JN°1371</v>
      </c>
      <c r="K724" s="82" t="str">
        <f aca="false">IF(B724="","",IFERROR(INDEX('CARNET DE SOUDURE'!$E$7:$E$3006,MATCH(B724,'CARNET DE SOUDURE'!$L$7:$L$3006,0)),""))</f>
        <v>DJ°172</v>
      </c>
      <c r="L724" s="82" t="n">
        <f aca="false">IF(B724="","",IFERROR(INDEX('CARNET DE SOUDURE'!$D$7:$D$3006,MATCH(B724,'CARNET DE SOUDURE'!$L$7:$L$3006,0)),IFERROR(INDEX('CARNET DE SOUDURE'!$D$7:$D$3006,MATCH(B724,'CARNET DE SOUDURE'!$O$7:$O$3006,0)),"")))</f>
        <v>15</v>
      </c>
      <c r="M724" s="82" t="str">
        <f aca="false">IF(B724="","",IF(OR(J724&lt;&gt;"",K724&lt;&gt;""),"POSÉ EN LIGNE",IF(COUNTIF(BARDAGE!$C$1:$C$5000,B724)&gt;0,"BARDÉ","EN STOCK")))</f>
        <v>POSÉ EN LIGNE</v>
      </c>
      <c r="N724" s="80"/>
    </row>
    <row r="725" customFormat="false" ht="15" hidden="false" customHeight="false" outlineLevel="0" collapsed="false">
      <c r="A725" s="82" t="n">
        <f aca="false">IF(B725="","",ROW()-6)</f>
        <v>719</v>
      </c>
      <c r="B725" s="145" t="n">
        <v>2083290</v>
      </c>
      <c r="C725" s="146" t="n">
        <v>15421105</v>
      </c>
      <c r="D725" s="146"/>
      <c r="E725" s="82" t="str">
        <f aca="false">IF(B725="","",IF(COUNTIFS('CARNET DE SOUDURE'!$L$7:$L$3006,B725,'CARNET DE SOUDURE'!$M$7:$M$3006,"&lt;&gt;"&amp;C725,'CARNET DE SOUDURE'!$M$7:$M$3006,"&lt;&gt;")+COUNTIFS('CARNET DE SOUDURE'!$O$7:$O$3006,B725,'CARNET DE SOUDURE'!$P$7:$P$3006,"&lt;&gt;"&amp;C725,'CARNET DE SOUDURE'!$P$7:$P$3006,"&lt;&gt;")&gt;0,"⚠ DIFFÉRENTE","OK"))</f>
        <v>OK</v>
      </c>
      <c r="F725" s="147" t="n">
        <v>11.94</v>
      </c>
      <c r="G725" s="80"/>
      <c r="H725" s="83"/>
      <c r="I725" s="148" t="str">
        <f aca="false">IF(B725="","",IFERROR(INDEX('CARNET DE SOUDURE'!$B$7:$B$3006,MATCH(B725,'CARNET DE SOUDURE'!$L$7:$L$3006,0)),IFERROR(INDEX('CARNET DE SOUDURE'!$B$7:$B$3006,MATCH(B725,'CARNET DE SOUDURE'!$O$7:$O$3006,0)),"")))</f>
        <v>MFD-ISW → MFD-CPF</v>
      </c>
      <c r="J725" s="82" t="str">
        <f aca="false">IF(B725="","",IFERROR(INDEX('CARNET DE SOUDURE'!$E$7:$E$3006,MATCH(B725,'CARNET DE SOUDURE'!$O$7:$O$3006,0)),""))</f>
        <v>DJ°172</v>
      </c>
      <c r="K725" s="82" t="str">
        <f aca="false">IF(B725="","",IFERROR(INDEX('CARNET DE SOUDURE'!$E$7:$E$3006,MATCH(B725,'CARNET DE SOUDURE'!$L$7:$L$3006,0)),""))</f>
        <v>JN°1372</v>
      </c>
      <c r="L725" s="82" t="n">
        <f aca="false">IF(B725="","",IFERROR(INDEX('CARNET DE SOUDURE'!$D$7:$D$3006,MATCH(B725,'CARNET DE SOUDURE'!$L$7:$L$3006,0)),IFERROR(INDEX('CARNET DE SOUDURE'!$D$7:$D$3006,MATCH(B725,'CARNET DE SOUDURE'!$O$7:$O$3006,0)),"")))</f>
        <v>15</v>
      </c>
      <c r="M725" s="82" t="str">
        <f aca="false">IF(B725="","",IF(OR(J725&lt;&gt;"",K725&lt;&gt;""),"POSÉ EN LIGNE",IF(COUNTIF(BARDAGE!$C$1:$C$5000,B725)&gt;0,"BARDÉ","EN STOCK")))</f>
        <v>POSÉ EN LIGNE</v>
      </c>
      <c r="N725" s="80"/>
    </row>
    <row r="726" customFormat="false" ht="15" hidden="false" customHeight="false" outlineLevel="0" collapsed="false">
      <c r="A726" s="82" t="n">
        <f aca="false">IF(B726="","",ROW()-6)</f>
        <v>720</v>
      </c>
      <c r="B726" s="145" t="n">
        <v>2096770</v>
      </c>
      <c r="C726" s="146" t="n">
        <v>15421111</v>
      </c>
      <c r="D726" s="146"/>
      <c r="E726" s="82" t="str">
        <f aca="false">IF(B726="","",IF(COUNTIFS('CARNET DE SOUDURE'!$L$7:$L$3006,B726,'CARNET DE SOUDURE'!$M$7:$M$3006,"&lt;&gt;"&amp;C726,'CARNET DE SOUDURE'!$M$7:$M$3006,"&lt;&gt;")+COUNTIFS('CARNET DE SOUDURE'!$O$7:$O$3006,B726,'CARNET DE SOUDURE'!$P$7:$P$3006,"&lt;&gt;"&amp;C726,'CARNET DE SOUDURE'!$P$7:$P$3006,"&lt;&gt;")&gt;0,"⚠ DIFFÉRENTE","OK"))</f>
        <v>OK</v>
      </c>
      <c r="F726" s="147"/>
      <c r="G726" s="80"/>
      <c r="H726" s="83"/>
      <c r="I726" s="148" t="str">
        <f aca="false">IF(B726="","",IFERROR(INDEX('CARNET DE SOUDURE'!$B$7:$B$3006,MATCH(B726,'CARNET DE SOUDURE'!$L$7:$L$3006,0)),IFERROR(INDEX('CARNET DE SOUDURE'!$B$7:$B$3006,MATCH(B726,'CARNET DE SOUDURE'!$O$7:$O$3006,0)),"")))</f>
        <v>MFD-ISW → MFD-CPF</v>
      </c>
      <c r="J726" s="82" t="str">
        <f aca="false">IF(B726="","",IFERROR(INDEX('CARNET DE SOUDURE'!$E$7:$E$3006,MATCH(B726,'CARNET DE SOUDURE'!$O$7:$O$3006,0)),""))</f>
        <v>JN°1372</v>
      </c>
      <c r="K726" s="82" t="str">
        <f aca="false">IF(B726="","",IFERROR(INDEX('CARNET DE SOUDURE'!$E$7:$E$3006,MATCH(B726,'CARNET DE SOUDURE'!$L$7:$L$3006,0)),""))</f>
        <v>DJ°176</v>
      </c>
      <c r="L726" s="82" t="n">
        <f aca="false">IF(B726="","",IFERROR(INDEX('CARNET DE SOUDURE'!$D$7:$D$3006,MATCH(B726,'CARNET DE SOUDURE'!$L$7:$L$3006,0)),IFERROR(INDEX('CARNET DE SOUDURE'!$D$7:$D$3006,MATCH(B726,'CARNET DE SOUDURE'!$O$7:$O$3006,0)),"")))</f>
        <v>15</v>
      </c>
      <c r="M726" s="82" t="str">
        <f aca="false">IF(B726="","",IF(OR(J726&lt;&gt;"",K726&lt;&gt;""),"POSÉ EN LIGNE",IF(COUNTIF(BARDAGE!$C$1:$C$5000,B726)&gt;0,"BARDÉ","EN STOCK")))</f>
        <v>POSÉ EN LIGNE</v>
      </c>
      <c r="N726" s="80"/>
    </row>
    <row r="727" customFormat="false" ht="15" hidden="false" customHeight="false" outlineLevel="0" collapsed="false">
      <c r="A727" s="82" t="n">
        <f aca="false">IF(B727="","",ROW()-6)</f>
        <v>721</v>
      </c>
      <c r="B727" s="145" t="n">
        <v>2094630</v>
      </c>
      <c r="C727" s="146" t="n">
        <v>15421111</v>
      </c>
      <c r="D727" s="146"/>
      <c r="E727" s="82" t="str">
        <f aca="false">IF(B727="","",IF(COUNTIFS('CARNET DE SOUDURE'!$L$7:$L$3006,B727,'CARNET DE SOUDURE'!$M$7:$M$3006,"&lt;&gt;"&amp;C727,'CARNET DE SOUDURE'!$M$7:$M$3006,"&lt;&gt;")+COUNTIFS('CARNET DE SOUDURE'!$O$7:$O$3006,B727,'CARNET DE SOUDURE'!$P$7:$P$3006,"&lt;&gt;"&amp;C727,'CARNET DE SOUDURE'!$P$7:$P$3006,"&lt;&gt;")&gt;0,"⚠ DIFFÉRENTE","OK"))</f>
        <v>OK</v>
      </c>
      <c r="F727" s="147" t="n">
        <v>11.94</v>
      </c>
      <c r="G727" s="80"/>
      <c r="H727" s="83"/>
      <c r="I727" s="148" t="str">
        <f aca="false">IF(B727="","",IFERROR(INDEX('CARNET DE SOUDURE'!$B$7:$B$3006,MATCH(B727,'CARNET DE SOUDURE'!$L$7:$L$3006,0)),IFERROR(INDEX('CARNET DE SOUDURE'!$B$7:$B$3006,MATCH(B727,'CARNET DE SOUDURE'!$O$7:$O$3006,0)),"")))</f>
        <v>MFD-ISW → MFD-CPF</v>
      </c>
      <c r="J727" s="82" t="str">
        <f aca="false">IF(B727="","",IFERROR(INDEX('CARNET DE SOUDURE'!$E$7:$E$3006,MATCH(B727,'CARNET DE SOUDURE'!$O$7:$O$3006,0)),""))</f>
        <v>DJ°176</v>
      </c>
      <c r="K727" s="82" t="str">
        <f aca="false">IF(B727="","",IFERROR(INDEX('CARNET DE SOUDURE'!$E$7:$E$3006,MATCH(B727,'CARNET DE SOUDURE'!$L$7:$L$3006,0)),""))</f>
        <v>JN°1373</v>
      </c>
      <c r="L727" s="82" t="n">
        <f aca="false">IF(B727="","",IFERROR(INDEX('CARNET DE SOUDURE'!$D$7:$D$3006,MATCH(B727,'CARNET DE SOUDURE'!$L$7:$L$3006,0)),IFERROR(INDEX('CARNET DE SOUDURE'!$D$7:$D$3006,MATCH(B727,'CARNET DE SOUDURE'!$O$7:$O$3006,0)),"")))</f>
        <v>15</v>
      </c>
      <c r="M727" s="82" t="str">
        <f aca="false">IF(B727="","",IF(OR(J727&lt;&gt;"",K727&lt;&gt;""),"POSÉ EN LIGNE",IF(COUNTIF(BARDAGE!$C$1:$C$5000,B727)&gt;0,"BARDÉ","EN STOCK")))</f>
        <v>POSÉ EN LIGNE</v>
      </c>
      <c r="N727" s="80"/>
    </row>
    <row r="728" customFormat="false" ht="15" hidden="false" customHeight="false" outlineLevel="0" collapsed="false">
      <c r="A728" s="82" t="n">
        <f aca="false">IF(B728="","",ROW()-6)</f>
        <v>722</v>
      </c>
      <c r="B728" s="145" t="n">
        <v>2080110</v>
      </c>
      <c r="C728" s="146" t="n">
        <v>15421102</v>
      </c>
      <c r="D728" s="146"/>
      <c r="E728" s="82" t="str">
        <f aca="false">IF(B728="","",IF(COUNTIFS('CARNET DE SOUDURE'!$L$7:$L$3006,B728,'CARNET DE SOUDURE'!$M$7:$M$3006,"&lt;&gt;"&amp;C728,'CARNET DE SOUDURE'!$M$7:$M$3006,"&lt;&gt;")+COUNTIFS('CARNET DE SOUDURE'!$O$7:$O$3006,B728,'CARNET DE SOUDURE'!$P$7:$P$3006,"&lt;&gt;"&amp;C728,'CARNET DE SOUDURE'!$P$7:$P$3006,"&lt;&gt;")&gt;0,"⚠ DIFFÉRENTE","OK"))</f>
        <v>OK</v>
      </c>
      <c r="F728" s="147" t="n">
        <v>11.94</v>
      </c>
      <c r="G728" s="80"/>
      <c r="H728" s="83"/>
      <c r="I728" s="148" t="str">
        <f aca="false">IF(B728="","",IFERROR(INDEX('CARNET DE SOUDURE'!$B$7:$B$3006,MATCH(B728,'CARNET DE SOUDURE'!$L$7:$L$3006,0)),IFERROR(INDEX('CARNET DE SOUDURE'!$B$7:$B$3006,MATCH(B728,'CARNET DE SOUDURE'!$O$7:$O$3006,0)),"")))</f>
        <v>MFD-ISW → MFD-CPF</v>
      </c>
      <c r="J728" s="82" t="str">
        <f aca="false">IF(B728="","",IFERROR(INDEX('CARNET DE SOUDURE'!$E$7:$E$3006,MATCH(B728,'CARNET DE SOUDURE'!$O$7:$O$3006,0)),""))</f>
        <v>JN°1373</v>
      </c>
      <c r="K728" s="82" t="str">
        <f aca="false">IF(B728="","",IFERROR(INDEX('CARNET DE SOUDURE'!$E$7:$E$3006,MATCH(B728,'CARNET DE SOUDURE'!$L$7:$L$3006,0)),""))</f>
        <v>DJ°161</v>
      </c>
      <c r="L728" s="82" t="n">
        <f aca="false">IF(B728="","",IFERROR(INDEX('CARNET DE SOUDURE'!$D$7:$D$3006,MATCH(B728,'CARNET DE SOUDURE'!$L$7:$L$3006,0)),IFERROR(INDEX('CARNET DE SOUDURE'!$D$7:$D$3006,MATCH(B728,'CARNET DE SOUDURE'!$O$7:$O$3006,0)),"")))</f>
        <v>15</v>
      </c>
      <c r="M728" s="82" t="str">
        <f aca="false">IF(B728="","",IF(OR(J728&lt;&gt;"",K728&lt;&gt;""),"POSÉ EN LIGNE",IF(COUNTIF(BARDAGE!$C$1:$C$5000,B728)&gt;0,"BARDÉ","EN STOCK")))</f>
        <v>POSÉ EN LIGNE</v>
      </c>
      <c r="N728" s="80"/>
    </row>
    <row r="729" customFormat="false" ht="15" hidden="false" customHeight="false" outlineLevel="0" collapsed="false">
      <c r="A729" s="82" t="n">
        <f aca="false">IF(B729="","",ROW()-6)</f>
        <v>723</v>
      </c>
      <c r="B729" s="145" t="n">
        <v>2095410</v>
      </c>
      <c r="C729" s="146" t="n">
        <v>15421102</v>
      </c>
      <c r="D729" s="146"/>
      <c r="E729" s="82" t="str">
        <f aca="false">IF(B729="","",IF(COUNTIFS('CARNET DE SOUDURE'!$L$7:$L$3006,B729,'CARNET DE SOUDURE'!$M$7:$M$3006,"&lt;&gt;"&amp;C729,'CARNET DE SOUDURE'!$M$7:$M$3006,"&lt;&gt;")+COUNTIFS('CARNET DE SOUDURE'!$O$7:$O$3006,B729,'CARNET DE SOUDURE'!$P$7:$P$3006,"&lt;&gt;"&amp;C729,'CARNET DE SOUDURE'!$P$7:$P$3006,"&lt;&gt;")&gt;0,"⚠ DIFFÉRENTE","OK"))</f>
        <v>OK</v>
      </c>
      <c r="F729" s="147" t="n">
        <v>11.94</v>
      </c>
      <c r="G729" s="80"/>
      <c r="H729" s="83"/>
      <c r="I729" s="148" t="str">
        <f aca="false">IF(B729="","",IFERROR(INDEX('CARNET DE SOUDURE'!$B$7:$B$3006,MATCH(B729,'CARNET DE SOUDURE'!$L$7:$L$3006,0)),IFERROR(INDEX('CARNET DE SOUDURE'!$B$7:$B$3006,MATCH(B729,'CARNET DE SOUDURE'!$O$7:$O$3006,0)),"")))</f>
        <v>MFD-ISW → MFD-CPF</v>
      </c>
      <c r="J729" s="82" t="str">
        <f aca="false">IF(B729="","",IFERROR(INDEX('CARNET DE SOUDURE'!$E$7:$E$3006,MATCH(B729,'CARNET DE SOUDURE'!$O$7:$O$3006,0)),""))</f>
        <v>DJ°161</v>
      </c>
      <c r="K729" s="82" t="str">
        <f aca="false">IF(B729="","",IFERROR(INDEX('CARNET DE SOUDURE'!$E$7:$E$3006,MATCH(B729,'CARNET DE SOUDURE'!$L$7:$L$3006,0)),""))</f>
        <v>JN°1374</v>
      </c>
      <c r="L729" s="82" t="n">
        <f aca="false">IF(B729="","",IFERROR(INDEX('CARNET DE SOUDURE'!$D$7:$D$3006,MATCH(B729,'CARNET DE SOUDURE'!$L$7:$L$3006,0)),IFERROR(INDEX('CARNET DE SOUDURE'!$D$7:$D$3006,MATCH(B729,'CARNET DE SOUDURE'!$O$7:$O$3006,0)),"")))</f>
        <v>15</v>
      </c>
      <c r="M729" s="82" t="str">
        <f aca="false">IF(B729="","",IF(OR(J729&lt;&gt;"",K729&lt;&gt;""),"POSÉ EN LIGNE",IF(COUNTIF(BARDAGE!$C$1:$C$5000,B729)&gt;0,"BARDÉ","EN STOCK")))</f>
        <v>POSÉ EN LIGNE</v>
      </c>
      <c r="N729" s="80"/>
    </row>
    <row r="730" customFormat="false" ht="15" hidden="false" customHeight="false" outlineLevel="0" collapsed="false">
      <c r="A730" s="82" t="n">
        <f aca="false">IF(B730="","",ROW()-6)</f>
        <v>724</v>
      </c>
      <c r="B730" s="145" t="n">
        <v>2085600</v>
      </c>
      <c r="C730" s="146" t="n">
        <v>15421107</v>
      </c>
      <c r="D730" s="146"/>
      <c r="E730" s="82" t="str">
        <f aca="false">IF(B730="","",IF(COUNTIFS('CARNET DE SOUDURE'!$L$7:$L$3006,B730,'CARNET DE SOUDURE'!$M$7:$M$3006,"&lt;&gt;"&amp;C730,'CARNET DE SOUDURE'!$M$7:$M$3006,"&lt;&gt;")+COUNTIFS('CARNET DE SOUDURE'!$O$7:$O$3006,B730,'CARNET DE SOUDURE'!$P$7:$P$3006,"&lt;&gt;"&amp;C730,'CARNET DE SOUDURE'!$P$7:$P$3006,"&lt;&gt;")&gt;0,"⚠ DIFFÉRENTE","OK"))</f>
        <v>OK</v>
      </c>
      <c r="F730" s="147" t="n">
        <v>11.94</v>
      </c>
      <c r="G730" s="80"/>
      <c r="H730" s="83"/>
      <c r="I730" s="148" t="str">
        <f aca="false">IF(B730="","",IFERROR(INDEX('CARNET DE SOUDURE'!$B$7:$B$3006,MATCH(B730,'CARNET DE SOUDURE'!$L$7:$L$3006,0)),IFERROR(INDEX('CARNET DE SOUDURE'!$B$7:$B$3006,MATCH(B730,'CARNET DE SOUDURE'!$O$7:$O$3006,0)),"")))</f>
        <v>MFD-ISW → MFD-CPF</v>
      </c>
      <c r="J730" s="82" t="str">
        <f aca="false">IF(B730="","",IFERROR(INDEX('CARNET DE SOUDURE'!$E$7:$E$3006,MATCH(B730,'CARNET DE SOUDURE'!$O$7:$O$3006,0)),""))</f>
        <v>JN°1374</v>
      </c>
      <c r="K730" s="82" t="str">
        <f aca="false">IF(B730="","",IFERROR(INDEX('CARNET DE SOUDURE'!$E$7:$E$3006,MATCH(B730,'CARNET DE SOUDURE'!$L$7:$L$3006,0)),""))</f>
        <v/>
      </c>
      <c r="L730" s="82" t="n">
        <f aca="false">IF(B730="","",IFERROR(INDEX('CARNET DE SOUDURE'!$D$7:$D$3006,MATCH(B730,'CARNET DE SOUDURE'!$L$7:$L$3006,0)),IFERROR(INDEX('CARNET DE SOUDURE'!$D$7:$D$3006,MATCH(B730,'CARNET DE SOUDURE'!$O$7:$O$3006,0)),"")))</f>
        <v>15</v>
      </c>
      <c r="M730" s="82" t="str">
        <f aca="false">IF(B730="","",IF(OR(J730&lt;&gt;"",K730&lt;&gt;""),"POSÉ EN LIGNE",IF(COUNTIF(BARDAGE!$C$1:$C$5000,B730)&gt;0,"BARDÉ","EN STOCK")))</f>
        <v>POSÉ EN LIGNE</v>
      </c>
      <c r="N730" s="80"/>
    </row>
    <row r="731" customFormat="false" ht="15" hidden="false" customHeight="false" outlineLevel="0" collapsed="false">
      <c r="A731" s="82" t="n">
        <f aca="false">IF(B731="","",ROW()-6)</f>
        <v>725</v>
      </c>
      <c r="B731" s="145" t="n">
        <v>2082210</v>
      </c>
      <c r="C731" s="146" t="n">
        <v>15421104</v>
      </c>
      <c r="D731" s="146"/>
      <c r="E731" s="82" t="str">
        <f aca="false">IF(B731="","",IF(COUNTIFS('CARNET DE SOUDURE'!$L$7:$L$3006,B731,'CARNET DE SOUDURE'!$M$7:$M$3006,"&lt;&gt;"&amp;C731,'CARNET DE SOUDURE'!$M$7:$M$3006,"&lt;&gt;")+COUNTIFS('CARNET DE SOUDURE'!$O$7:$O$3006,B731,'CARNET DE SOUDURE'!$P$7:$P$3006,"&lt;&gt;"&amp;C731,'CARNET DE SOUDURE'!$P$7:$P$3006,"&lt;&gt;")&gt;0,"⚠ DIFFÉRENTE","OK"))</f>
        <v>OK</v>
      </c>
      <c r="F731" s="147" t="n">
        <v>11.94</v>
      </c>
      <c r="G731" s="80"/>
      <c r="H731" s="83"/>
      <c r="I731" s="148" t="str">
        <f aca="false">IF(B731="","",IFERROR(INDEX('CARNET DE SOUDURE'!$B$7:$B$3006,MATCH(B731,'CARNET DE SOUDURE'!$L$7:$L$3006,0)),IFERROR(INDEX('CARNET DE SOUDURE'!$B$7:$B$3006,MATCH(B731,'CARNET DE SOUDURE'!$O$7:$O$3006,0)),"")))</f>
        <v>MFD-ISW → MFD-CPF</v>
      </c>
      <c r="J731" s="82" t="str">
        <f aca="false">IF(B731="","",IFERROR(INDEX('CARNET DE SOUDURE'!$E$7:$E$3006,MATCH(B731,'CARNET DE SOUDURE'!$O$7:$O$3006,0)),""))</f>
        <v/>
      </c>
      <c r="K731" s="82" t="str">
        <f aca="false">IF(B731="","",IFERROR(INDEX('CARNET DE SOUDURE'!$E$7:$E$3006,MATCH(B731,'CARNET DE SOUDURE'!$L$7:$L$3006,0)),""))</f>
        <v>DJ°182</v>
      </c>
      <c r="L731" s="82" t="n">
        <f aca="false">IF(B731="","",IFERROR(INDEX('CARNET DE SOUDURE'!$D$7:$D$3006,MATCH(B731,'CARNET DE SOUDURE'!$L$7:$L$3006,0)),IFERROR(INDEX('CARNET DE SOUDURE'!$D$7:$D$3006,MATCH(B731,'CARNET DE SOUDURE'!$O$7:$O$3006,0)),"")))</f>
        <v>15</v>
      </c>
      <c r="M731" s="82" t="str">
        <f aca="false">IF(B731="","",IF(OR(J731&lt;&gt;"",K731&lt;&gt;""),"POSÉ EN LIGNE",IF(COUNTIF(BARDAGE!$C$1:$C$5000,B731)&gt;0,"BARDÉ","EN STOCK")))</f>
        <v>POSÉ EN LIGNE</v>
      </c>
      <c r="N731" s="80"/>
    </row>
    <row r="732" customFormat="false" ht="15" hidden="false" customHeight="false" outlineLevel="0" collapsed="false">
      <c r="A732" s="82" t="n">
        <f aca="false">IF(B732="","",ROW()-6)</f>
        <v>726</v>
      </c>
      <c r="B732" s="145" t="n">
        <v>2087860</v>
      </c>
      <c r="C732" s="146" t="n">
        <v>15421108</v>
      </c>
      <c r="D732" s="146"/>
      <c r="E732" s="82" t="str">
        <f aca="false">IF(B732="","",IF(COUNTIFS('CARNET DE SOUDURE'!$L$7:$L$3006,B732,'CARNET DE SOUDURE'!$M$7:$M$3006,"&lt;&gt;"&amp;C732,'CARNET DE SOUDURE'!$M$7:$M$3006,"&lt;&gt;")+COUNTIFS('CARNET DE SOUDURE'!$O$7:$O$3006,B732,'CARNET DE SOUDURE'!$P$7:$P$3006,"&lt;&gt;"&amp;C732,'CARNET DE SOUDURE'!$P$7:$P$3006,"&lt;&gt;")&gt;0,"⚠ DIFFÉRENTE","OK"))</f>
        <v>OK</v>
      </c>
      <c r="F732" s="147" t="n">
        <v>11.94</v>
      </c>
      <c r="G732" s="80"/>
      <c r="H732" s="83"/>
      <c r="I732" s="148" t="str">
        <f aca="false">IF(B732="","",IFERROR(INDEX('CARNET DE SOUDURE'!$B$7:$B$3006,MATCH(B732,'CARNET DE SOUDURE'!$L$7:$L$3006,0)),IFERROR(INDEX('CARNET DE SOUDURE'!$B$7:$B$3006,MATCH(B732,'CARNET DE SOUDURE'!$O$7:$O$3006,0)),"")))</f>
        <v>MFD-ISW → MFD-CPF</v>
      </c>
      <c r="J732" s="82" t="str">
        <f aca="false">IF(B732="","",IFERROR(INDEX('CARNET DE SOUDURE'!$E$7:$E$3006,MATCH(B732,'CARNET DE SOUDURE'!$O$7:$O$3006,0)),""))</f>
        <v>JN°1375</v>
      </c>
      <c r="K732" s="82" t="str">
        <f aca="false">IF(B732="","",IFERROR(INDEX('CARNET DE SOUDURE'!$E$7:$E$3006,MATCH(B732,'CARNET DE SOUDURE'!$L$7:$L$3006,0)),""))</f>
        <v>DJ°158</v>
      </c>
      <c r="L732" s="82" t="n">
        <f aca="false">IF(B732="","",IFERROR(INDEX('CARNET DE SOUDURE'!$D$7:$D$3006,MATCH(B732,'CARNET DE SOUDURE'!$L$7:$L$3006,0)),IFERROR(INDEX('CARNET DE SOUDURE'!$D$7:$D$3006,MATCH(B732,'CARNET DE SOUDURE'!$O$7:$O$3006,0)),"")))</f>
        <v>15</v>
      </c>
      <c r="M732" s="82" t="str">
        <f aca="false">IF(B732="","",IF(OR(J732&lt;&gt;"",K732&lt;&gt;""),"POSÉ EN LIGNE",IF(COUNTIF(BARDAGE!$C$1:$C$5000,B732)&gt;0,"BARDÉ","EN STOCK")))</f>
        <v>POSÉ EN LIGNE</v>
      </c>
      <c r="N732" s="80"/>
    </row>
    <row r="733" customFormat="false" ht="15" hidden="false" customHeight="false" outlineLevel="0" collapsed="false">
      <c r="A733" s="82" t="n">
        <f aca="false">IF(B733="","",ROW()-6)</f>
        <v>727</v>
      </c>
      <c r="B733" s="145" t="n">
        <v>2053440</v>
      </c>
      <c r="C733" s="146" t="n">
        <v>15421110</v>
      </c>
      <c r="D733" s="146"/>
      <c r="E733" s="82" t="str">
        <f aca="false">IF(B733="","",IF(COUNTIFS('CARNET DE SOUDURE'!$L$7:$L$3006,B733,'CARNET DE SOUDURE'!$M$7:$M$3006,"&lt;&gt;"&amp;C733,'CARNET DE SOUDURE'!$M$7:$M$3006,"&lt;&gt;")+COUNTIFS('CARNET DE SOUDURE'!$O$7:$O$3006,B733,'CARNET DE SOUDURE'!$P$7:$P$3006,"&lt;&gt;"&amp;C733,'CARNET DE SOUDURE'!$P$7:$P$3006,"&lt;&gt;")&gt;0,"⚠ DIFFÉRENTE","OK"))</f>
        <v>OK</v>
      </c>
      <c r="F733" s="147" t="n">
        <v>11.94</v>
      </c>
      <c r="G733" s="80"/>
      <c r="H733" s="83"/>
      <c r="I733" s="148" t="str">
        <f aca="false">IF(B733="","",IFERROR(INDEX('CARNET DE SOUDURE'!$B$7:$B$3006,MATCH(B733,'CARNET DE SOUDURE'!$L$7:$L$3006,0)),IFERROR(INDEX('CARNET DE SOUDURE'!$B$7:$B$3006,MATCH(B733,'CARNET DE SOUDURE'!$O$7:$O$3006,0)),"")))</f>
        <v>MFD-ISW → MFD-CPF</v>
      </c>
      <c r="J733" s="82" t="str">
        <f aca="false">IF(B733="","",IFERROR(INDEX('CARNET DE SOUDURE'!$E$7:$E$3006,MATCH(B733,'CARNET DE SOUDURE'!$O$7:$O$3006,0)),""))</f>
        <v>DJ°158</v>
      </c>
      <c r="K733" s="82" t="str">
        <f aca="false">IF(B733="","",IFERROR(INDEX('CARNET DE SOUDURE'!$E$7:$E$3006,MATCH(B733,'CARNET DE SOUDURE'!$L$7:$L$3006,0)),""))</f>
        <v>JN°1376</v>
      </c>
      <c r="L733" s="82" t="n">
        <f aca="false">IF(B733="","",IFERROR(INDEX('CARNET DE SOUDURE'!$D$7:$D$3006,MATCH(B733,'CARNET DE SOUDURE'!$L$7:$L$3006,0)),IFERROR(INDEX('CARNET DE SOUDURE'!$D$7:$D$3006,MATCH(B733,'CARNET DE SOUDURE'!$O$7:$O$3006,0)),"")))</f>
        <v>15</v>
      </c>
      <c r="M733" s="82" t="str">
        <f aca="false">IF(B733="","",IF(OR(J733&lt;&gt;"",K733&lt;&gt;""),"POSÉ EN LIGNE",IF(COUNTIF(BARDAGE!$C$1:$C$5000,B733)&gt;0,"BARDÉ","EN STOCK")))</f>
        <v>POSÉ EN LIGNE</v>
      </c>
      <c r="N733" s="80"/>
    </row>
    <row r="734" customFormat="false" ht="15" hidden="false" customHeight="false" outlineLevel="0" collapsed="false">
      <c r="A734" s="82" t="n">
        <f aca="false">IF(B734="","",ROW()-6)</f>
        <v>728</v>
      </c>
      <c r="B734" s="145" t="n">
        <v>2096290</v>
      </c>
      <c r="C734" s="146" t="n">
        <v>15421111</v>
      </c>
      <c r="D734" s="146"/>
      <c r="E734" s="82" t="str">
        <f aca="false">IF(B734="","",IF(COUNTIFS('CARNET DE SOUDURE'!$L$7:$L$3006,B734,'CARNET DE SOUDURE'!$M$7:$M$3006,"&lt;&gt;"&amp;C734,'CARNET DE SOUDURE'!$M$7:$M$3006,"&lt;&gt;")+COUNTIFS('CARNET DE SOUDURE'!$O$7:$O$3006,B734,'CARNET DE SOUDURE'!$P$7:$P$3006,"&lt;&gt;"&amp;C734,'CARNET DE SOUDURE'!$P$7:$P$3006,"&lt;&gt;")&gt;0,"⚠ DIFFÉRENTE","OK"))</f>
        <v>OK</v>
      </c>
      <c r="F734" s="147" t="n">
        <v>11.94</v>
      </c>
      <c r="G734" s="80"/>
      <c r="H734" s="83"/>
      <c r="I734" s="148" t="str">
        <f aca="false">IF(B734="","",IFERROR(INDEX('CARNET DE SOUDURE'!$B$7:$B$3006,MATCH(B734,'CARNET DE SOUDURE'!$L$7:$L$3006,0)),IFERROR(INDEX('CARNET DE SOUDURE'!$B$7:$B$3006,MATCH(B734,'CARNET DE SOUDURE'!$O$7:$O$3006,0)),"")))</f>
        <v>MFD-ISW → MFD-CPF</v>
      </c>
      <c r="J734" s="82" t="str">
        <f aca="false">IF(B734="","",IFERROR(INDEX('CARNET DE SOUDURE'!$E$7:$E$3006,MATCH(B734,'CARNET DE SOUDURE'!$O$7:$O$3006,0)),""))</f>
        <v>JN°1376</v>
      </c>
      <c r="K734" s="82" t="str">
        <f aca="false">IF(B734="","",IFERROR(INDEX('CARNET DE SOUDURE'!$E$7:$E$3006,MATCH(B734,'CARNET DE SOUDURE'!$L$7:$L$3006,0)),""))</f>
        <v>DJ°141</v>
      </c>
      <c r="L734" s="82" t="n">
        <f aca="false">IF(B734="","",IFERROR(INDEX('CARNET DE SOUDURE'!$D$7:$D$3006,MATCH(B734,'CARNET DE SOUDURE'!$L$7:$L$3006,0)),IFERROR(INDEX('CARNET DE SOUDURE'!$D$7:$D$3006,MATCH(B734,'CARNET DE SOUDURE'!$O$7:$O$3006,0)),"")))</f>
        <v>15</v>
      </c>
      <c r="M734" s="82" t="str">
        <f aca="false">IF(B734="","",IF(OR(J734&lt;&gt;"",K734&lt;&gt;""),"POSÉ EN LIGNE",IF(COUNTIF(BARDAGE!$C$1:$C$5000,B734)&gt;0,"BARDÉ","EN STOCK")))</f>
        <v>POSÉ EN LIGNE</v>
      </c>
      <c r="N734" s="80"/>
    </row>
    <row r="735" customFormat="false" ht="15" hidden="false" customHeight="false" outlineLevel="0" collapsed="false">
      <c r="A735" s="82" t="n">
        <f aca="false">IF(B735="","",ROW()-6)</f>
        <v>729</v>
      </c>
      <c r="B735" s="145" t="n">
        <v>2083830</v>
      </c>
      <c r="C735" s="146" t="n">
        <v>15421105</v>
      </c>
      <c r="D735" s="146"/>
      <c r="E735" s="82" t="str">
        <f aca="false">IF(B735="","",IF(COUNTIFS('CARNET DE SOUDURE'!$L$7:$L$3006,B735,'CARNET DE SOUDURE'!$M$7:$M$3006,"&lt;&gt;"&amp;C735,'CARNET DE SOUDURE'!$M$7:$M$3006,"&lt;&gt;")+COUNTIFS('CARNET DE SOUDURE'!$O$7:$O$3006,B735,'CARNET DE SOUDURE'!$P$7:$P$3006,"&lt;&gt;"&amp;C735,'CARNET DE SOUDURE'!$P$7:$P$3006,"&lt;&gt;")&gt;0,"⚠ DIFFÉRENTE","OK"))</f>
        <v>OK</v>
      </c>
      <c r="F735" s="147" t="n">
        <v>11.94</v>
      </c>
      <c r="G735" s="80"/>
      <c r="H735" s="83"/>
      <c r="I735" s="148" t="str">
        <f aca="false">IF(B735="","",IFERROR(INDEX('CARNET DE SOUDURE'!$B$7:$B$3006,MATCH(B735,'CARNET DE SOUDURE'!$L$7:$L$3006,0)),IFERROR(INDEX('CARNET DE SOUDURE'!$B$7:$B$3006,MATCH(B735,'CARNET DE SOUDURE'!$O$7:$O$3006,0)),"")))</f>
        <v>MFD-ISW → MFD-CPF</v>
      </c>
      <c r="J735" s="82" t="str">
        <f aca="false">IF(B735="","",IFERROR(INDEX('CARNET DE SOUDURE'!$E$7:$E$3006,MATCH(B735,'CARNET DE SOUDURE'!$O$7:$O$3006,0)),""))</f>
        <v>DJ°141</v>
      </c>
      <c r="K735" s="82" t="str">
        <f aca="false">IF(B735="","",IFERROR(INDEX('CARNET DE SOUDURE'!$E$7:$E$3006,MATCH(B735,'CARNET DE SOUDURE'!$L$7:$L$3006,0)),""))</f>
        <v>JN°1377</v>
      </c>
      <c r="L735" s="82" t="n">
        <f aca="false">IF(B735="","",IFERROR(INDEX('CARNET DE SOUDURE'!$D$7:$D$3006,MATCH(B735,'CARNET DE SOUDURE'!$L$7:$L$3006,0)),IFERROR(INDEX('CARNET DE SOUDURE'!$D$7:$D$3006,MATCH(B735,'CARNET DE SOUDURE'!$O$7:$O$3006,0)),"")))</f>
        <v>15</v>
      </c>
      <c r="M735" s="82" t="str">
        <f aca="false">IF(B735="","",IF(OR(J735&lt;&gt;"",K735&lt;&gt;""),"POSÉ EN LIGNE",IF(COUNTIF(BARDAGE!$C$1:$C$5000,B735)&gt;0,"BARDÉ","EN STOCK")))</f>
        <v>POSÉ EN LIGNE</v>
      </c>
      <c r="N735" s="80"/>
    </row>
    <row r="736" customFormat="false" ht="15" hidden="false" customHeight="false" outlineLevel="0" collapsed="false">
      <c r="A736" s="82" t="n">
        <f aca="false">IF(B736="","",ROW()-6)</f>
        <v>730</v>
      </c>
      <c r="B736" s="145" t="n">
        <v>2095430</v>
      </c>
      <c r="C736" s="146" t="n">
        <v>15421111</v>
      </c>
      <c r="D736" s="146"/>
      <c r="E736" s="82" t="str">
        <f aca="false">IF(B736="","",IF(COUNTIFS('CARNET DE SOUDURE'!$L$7:$L$3006,B736,'CARNET DE SOUDURE'!$M$7:$M$3006,"&lt;&gt;"&amp;C736,'CARNET DE SOUDURE'!$M$7:$M$3006,"&lt;&gt;")+COUNTIFS('CARNET DE SOUDURE'!$O$7:$O$3006,B736,'CARNET DE SOUDURE'!$P$7:$P$3006,"&lt;&gt;"&amp;C736,'CARNET DE SOUDURE'!$P$7:$P$3006,"&lt;&gt;")&gt;0,"⚠ DIFFÉRENTE","OK"))</f>
        <v>OK</v>
      </c>
      <c r="F736" s="147" t="n">
        <v>11.94</v>
      </c>
      <c r="G736" s="80"/>
      <c r="H736" s="83"/>
      <c r="I736" s="148" t="str">
        <f aca="false">IF(B736="","",IFERROR(INDEX('CARNET DE SOUDURE'!$B$7:$B$3006,MATCH(B736,'CARNET DE SOUDURE'!$L$7:$L$3006,0)),IFERROR(INDEX('CARNET DE SOUDURE'!$B$7:$B$3006,MATCH(B736,'CARNET DE SOUDURE'!$O$7:$O$3006,0)),"")))</f>
        <v>MFD-ISW → MFD-CPF</v>
      </c>
      <c r="J736" s="82" t="str">
        <f aca="false">IF(B736="","",IFERROR(INDEX('CARNET DE SOUDURE'!$E$7:$E$3006,MATCH(B736,'CARNET DE SOUDURE'!$O$7:$O$3006,0)),""))</f>
        <v>JN°1377</v>
      </c>
      <c r="K736" s="82" t="str">
        <f aca="false">IF(B736="","",IFERROR(INDEX('CARNET DE SOUDURE'!$E$7:$E$3006,MATCH(B736,'CARNET DE SOUDURE'!$L$7:$L$3006,0)),""))</f>
        <v>DJ°146</v>
      </c>
      <c r="L736" s="82" t="n">
        <f aca="false">IF(B736="","",IFERROR(INDEX('CARNET DE SOUDURE'!$D$7:$D$3006,MATCH(B736,'CARNET DE SOUDURE'!$L$7:$L$3006,0)),IFERROR(INDEX('CARNET DE SOUDURE'!$D$7:$D$3006,MATCH(B736,'CARNET DE SOUDURE'!$O$7:$O$3006,0)),"")))</f>
        <v>15</v>
      </c>
      <c r="M736" s="82" t="str">
        <f aca="false">IF(B736="","",IF(OR(J736&lt;&gt;"",K736&lt;&gt;""),"POSÉ EN LIGNE",IF(COUNTIF(BARDAGE!$C$1:$C$5000,B736)&gt;0,"BARDÉ","EN STOCK")))</f>
        <v>POSÉ EN LIGNE</v>
      </c>
      <c r="N736" s="80"/>
    </row>
    <row r="737" customFormat="false" ht="15" hidden="false" customHeight="false" outlineLevel="0" collapsed="false">
      <c r="A737" s="82" t="n">
        <f aca="false">IF(B737="","",ROW()-6)</f>
        <v>731</v>
      </c>
      <c r="B737" s="145" t="n">
        <v>2092530</v>
      </c>
      <c r="C737" s="146" t="n">
        <v>15421110</v>
      </c>
      <c r="D737" s="146"/>
      <c r="E737" s="82" t="str">
        <f aca="false">IF(B737="","",IF(COUNTIFS('CARNET DE SOUDURE'!$L$7:$L$3006,B737,'CARNET DE SOUDURE'!$M$7:$M$3006,"&lt;&gt;"&amp;C737,'CARNET DE SOUDURE'!$M$7:$M$3006,"&lt;&gt;")+COUNTIFS('CARNET DE SOUDURE'!$O$7:$O$3006,B737,'CARNET DE SOUDURE'!$P$7:$P$3006,"&lt;&gt;"&amp;C737,'CARNET DE SOUDURE'!$P$7:$P$3006,"&lt;&gt;")&gt;0,"⚠ DIFFÉRENTE","OK"))</f>
        <v>OK</v>
      </c>
      <c r="F737" s="147" t="n">
        <v>11.94</v>
      </c>
      <c r="G737" s="80"/>
      <c r="H737" s="83"/>
      <c r="I737" s="148" t="str">
        <f aca="false">IF(B737="","",IFERROR(INDEX('CARNET DE SOUDURE'!$B$7:$B$3006,MATCH(B737,'CARNET DE SOUDURE'!$L$7:$L$3006,0)),IFERROR(INDEX('CARNET DE SOUDURE'!$B$7:$B$3006,MATCH(B737,'CARNET DE SOUDURE'!$O$7:$O$3006,0)),"")))</f>
        <v>MFD-ISW → MFD-CPF</v>
      </c>
      <c r="J737" s="82" t="str">
        <f aca="false">IF(B737="","",IFERROR(INDEX('CARNET DE SOUDURE'!$E$7:$E$3006,MATCH(B737,'CARNET DE SOUDURE'!$O$7:$O$3006,0)),""))</f>
        <v>JN°1378</v>
      </c>
      <c r="K737" s="82" t="str">
        <f aca="false">IF(B737="","",IFERROR(INDEX('CARNET DE SOUDURE'!$E$7:$E$3006,MATCH(B737,'CARNET DE SOUDURE'!$L$7:$L$3006,0)),""))</f>
        <v>DJ°135</v>
      </c>
      <c r="L737" s="82" t="n">
        <f aca="false">IF(B737="","",IFERROR(INDEX('CARNET DE SOUDURE'!$D$7:$D$3006,MATCH(B737,'CARNET DE SOUDURE'!$L$7:$L$3006,0)),IFERROR(INDEX('CARNET DE SOUDURE'!$D$7:$D$3006,MATCH(B737,'CARNET DE SOUDURE'!$O$7:$O$3006,0)),"")))</f>
        <v>15</v>
      </c>
      <c r="M737" s="82" t="str">
        <f aca="false">IF(B737="","",IF(OR(J737&lt;&gt;"",K737&lt;&gt;""),"POSÉ EN LIGNE",IF(COUNTIF(BARDAGE!$C$1:$C$5000,B737)&gt;0,"BARDÉ","EN STOCK")))</f>
        <v>POSÉ EN LIGNE</v>
      </c>
      <c r="N737" s="80"/>
    </row>
    <row r="738" customFormat="false" ht="15" hidden="false" customHeight="false" outlineLevel="0" collapsed="false">
      <c r="A738" s="82" t="n">
        <f aca="false">IF(B738="","",ROW()-6)</f>
        <v>732</v>
      </c>
      <c r="B738" s="145" t="n">
        <v>2091770</v>
      </c>
      <c r="C738" s="146" t="n">
        <v>15421109</v>
      </c>
      <c r="D738" s="146"/>
      <c r="E738" s="82" t="str">
        <f aca="false">IF(B738="","",IF(COUNTIFS('CARNET DE SOUDURE'!$L$7:$L$3006,B738,'CARNET DE SOUDURE'!$M$7:$M$3006,"&lt;&gt;"&amp;C738,'CARNET DE SOUDURE'!$M$7:$M$3006,"&lt;&gt;")+COUNTIFS('CARNET DE SOUDURE'!$O$7:$O$3006,B738,'CARNET DE SOUDURE'!$P$7:$P$3006,"&lt;&gt;"&amp;C738,'CARNET DE SOUDURE'!$P$7:$P$3006,"&lt;&gt;")&gt;0,"⚠ DIFFÉRENTE","OK"))</f>
        <v>OK</v>
      </c>
      <c r="F738" s="147" t="n">
        <v>11.94</v>
      </c>
      <c r="G738" s="80"/>
      <c r="H738" s="83"/>
      <c r="I738" s="148" t="str">
        <f aca="false">IF(B738="","",IFERROR(INDEX('CARNET DE SOUDURE'!$B$7:$B$3006,MATCH(B738,'CARNET DE SOUDURE'!$L$7:$L$3006,0)),IFERROR(INDEX('CARNET DE SOUDURE'!$B$7:$B$3006,MATCH(B738,'CARNET DE SOUDURE'!$O$7:$O$3006,0)),"")))</f>
        <v>MFD-ISW → MFD-CPF</v>
      </c>
      <c r="J738" s="82" t="str">
        <f aca="false">IF(B738="","",IFERROR(INDEX('CARNET DE SOUDURE'!$E$7:$E$3006,MATCH(B738,'CARNET DE SOUDURE'!$O$7:$O$3006,0)),""))</f>
        <v>DJ°135</v>
      </c>
      <c r="K738" s="82" t="str">
        <f aca="false">IF(B738="","",IFERROR(INDEX('CARNET DE SOUDURE'!$E$7:$E$3006,MATCH(B738,'CARNET DE SOUDURE'!$L$7:$L$3006,0)),""))</f>
        <v>JN°1379</v>
      </c>
      <c r="L738" s="82" t="n">
        <f aca="false">IF(B738="","",IFERROR(INDEX('CARNET DE SOUDURE'!$D$7:$D$3006,MATCH(B738,'CARNET DE SOUDURE'!$L$7:$L$3006,0)),IFERROR(INDEX('CARNET DE SOUDURE'!$D$7:$D$3006,MATCH(B738,'CARNET DE SOUDURE'!$O$7:$O$3006,0)),"")))</f>
        <v>15</v>
      </c>
      <c r="M738" s="82" t="str">
        <f aca="false">IF(B738="","",IF(OR(J738&lt;&gt;"",K738&lt;&gt;""),"POSÉ EN LIGNE",IF(COUNTIF(BARDAGE!$C$1:$C$5000,B738)&gt;0,"BARDÉ","EN STOCK")))</f>
        <v>POSÉ EN LIGNE</v>
      </c>
      <c r="N738" s="80"/>
    </row>
    <row r="739" customFormat="false" ht="15" hidden="false" customHeight="false" outlineLevel="0" collapsed="false">
      <c r="A739" s="82" t="n">
        <f aca="false">IF(B739="","",ROW()-6)</f>
        <v>733</v>
      </c>
      <c r="B739" s="145" t="n">
        <v>2091890</v>
      </c>
      <c r="C739" s="146" t="n">
        <v>15421109</v>
      </c>
      <c r="D739" s="146"/>
      <c r="E739" s="82" t="str">
        <f aca="false">IF(B739="","",IF(COUNTIFS('CARNET DE SOUDURE'!$L$7:$L$3006,B739,'CARNET DE SOUDURE'!$M$7:$M$3006,"&lt;&gt;"&amp;C739,'CARNET DE SOUDURE'!$M$7:$M$3006,"&lt;&gt;")+COUNTIFS('CARNET DE SOUDURE'!$O$7:$O$3006,B739,'CARNET DE SOUDURE'!$P$7:$P$3006,"&lt;&gt;"&amp;C739,'CARNET DE SOUDURE'!$P$7:$P$3006,"&lt;&gt;")&gt;0,"⚠ DIFFÉRENTE","OK"))</f>
        <v>OK</v>
      </c>
      <c r="F739" s="147" t="n">
        <v>11.94</v>
      </c>
      <c r="G739" s="80"/>
      <c r="H739" s="83"/>
      <c r="I739" s="148" t="str">
        <f aca="false">IF(B739="","",IFERROR(INDEX('CARNET DE SOUDURE'!$B$7:$B$3006,MATCH(B739,'CARNET DE SOUDURE'!$L$7:$L$3006,0)),IFERROR(INDEX('CARNET DE SOUDURE'!$B$7:$B$3006,MATCH(B739,'CARNET DE SOUDURE'!$O$7:$O$3006,0)),"")))</f>
        <v>MFD-ISW → MFD-CPF</v>
      </c>
      <c r="J739" s="82" t="str">
        <f aca="false">IF(B739="","",IFERROR(INDEX('CARNET DE SOUDURE'!$E$7:$E$3006,MATCH(B739,'CARNET DE SOUDURE'!$O$7:$O$3006,0)),""))</f>
        <v>JN°1379</v>
      </c>
      <c r="K739" s="82" t="str">
        <f aca="false">IF(B739="","",IFERROR(INDEX('CARNET DE SOUDURE'!$E$7:$E$3006,MATCH(B739,'CARNET DE SOUDURE'!$L$7:$L$3006,0)),""))</f>
        <v>DJ°144</v>
      </c>
      <c r="L739" s="82" t="n">
        <f aca="false">IF(B739="","",IFERROR(INDEX('CARNET DE SOUDURE'!$D$7:$D$3006,MATCH(B739,'CARNET DE SOUDURE'!$L$7:$L$3006,0)),IFERROR(INDEX('CARNET DE SOUDURE'!$D$7:$D$3006,MATCH(B739,'CARNET DE SOUDURE'!$O$7:$O$3006,0)),"")))</f>
        <v>15</v>
      </c>
      <c r="M739" s="82" t="str">
        <f aca="false">IF(B739="","",IF(OR(J739&lt;&gt;"",K739&lt;&gt;""),"POSÉ EN LIGNE",IF(COUNTIF(BARDAGE!$C$1:$C$5000,B739)&gt;0,"BARDÉ","EN STOCK")))</f>
        <v>POSÉ EN LIGNE</v>
      </c>
      <c r="N739" s="80"/>
    </row>
    <row r="740" customFormat="false" ht="15" hidden="false" customHeight="false" outlineLevel="0" collapsed="false">
      <c r="A740" s="82" t="n">
        <f aca="false">IF(B740="","",ROW()-6)</f>
        <v>734</v>
      </c>
      <c r="B740" s="145" t="n">
        <v>2094650</v>
      </c>
      <c r="C740" s="146" t="n">
        <v>15421111</v>
      </c>
      <c r="D740" s="146"/>
      <c r="E740" s="82" t="str">
        <f aca="false">IF(B740="","",IF(COUNTIFS('CARNET DE SOUDURE'!$L$7:$L$3006,B740,'CARNET DE SOUDURE'!$M$7:$M$3006,"&lt;&gt;"&amp;C740,'CARNET DE SOUDURE'!$M$7:$M$3006,"&lt;&gt;")+COUNTIFS('CARNET DE SOUDURE'!$O$7:$O$3006,B740,'CARNET DE SOUDURE'!$P$7:$P$3006,"&lt;&gt;"&amp;C740,'CARNET DE SOUDURE'!$P$7:$P$3006,"&lt;&gt;")&gt;0,"⚠ DIFFÉRENTE","OK"))</f>
        <v>OK</v>
      </c>
      <c r="F740" s="147" t="n">
        <v>11.94</v>
      </c>
      <c r="G740" s="80"/>
      <c r="H740" s="83"/>
      <c r="I740" s="148" t="str">
        <f aca="false">IF(B740="","",IFERROR(INDEX('CARNET DE SOUDURE'!$B$7:$B$3006,MATCH(B740,'CARNET DE SOUDURE'!$L$7:$L$3006,0)),IFERROR(INDEX('CARNET DE SOUDURE'!$B$7:$B$3006,MATCH(B740,'CARNET DE SOUDURE'!$O$7:$O$3006,0)),"")))</f>
        <v>MFD-ISW → MFD-CPF</v>
      </c>
      <c r="J740" s="82" t="str">
        <f aca="false">IF(B740="","",IFERROR(INDEX('CARNET DE SOUDURE'!$E$7:$E$3006,MATCH(B740,'CARNET DE SOUDURE'!$O$7:$O$3006,0)),""))</f>
        <v>DJ°144</v>
      </c>
      <c r="K740" s="82" t="str">
        <f aca="false">IF(B740="","",IFERROR(INDEX('CARNET DE SOUDURE'!$E$7:$E$3006,MATCH(B740,'CARNET DE SOUDURE'!$L$7:$L$3006,0)),""))</f>
        <v>JN°1380</v>
      </c>
      <c r="L740" s="82" t="n">
        <f aca="false">IF(B740="","",IFERROR(INDEX('CARNET DE SOUDURE'!$D$7:$D$3006,MATCH(B740,'CARNET DE SOUDURE'!$L$7:$L$3006,0)),IFERROR(INDEX('CARNET DE SOUDURE'!$D$7:$D$3006,MATCH(B740,'CARNET DE SOUDURE'!$O$7:$O$3006,0)),"")))</f>
        <v>15</v>
      </c>
      <c r="M740" s="82" t="str">
        <f aca="false">IF(B740="","",IF(OR(J740&lt;&gt;"",K740&lt;&gt;""),"POSÉ EN LIGNE",IF(COUNTIF(BARDAGE!$C$1:$C$5000,B740)&gt;0,"BARDÉ","EN STOCK")))</f>
        <v>POSÉ EN LIGNE</v>
      </c>
      <c r="N740" s="80"/>
    </row>
    <row r="741" customFormat="false" ht="15" hidden="false" customHeight="false" outlineLevel="0" collapsed="false">
      <c r="A741" s="82" t="n">
        <f aca="false">IF(B741="","",ROW()-6)</f>
        <v>735</v>
      </c>
      <c r="B741" s="145" t="n">
        <v>2093070</v>
      </c>
      <c r="C741" s="146" t="n">
        <v>15421110</v>
      </c>
      <c r="D741" s="146"/>
      <c r="E741" s="82" t="str">
        <f aca="false">IF(B741="","",IF(COUNTIFS('CARNET DE SOUDURE'!$L$7:$L$3006,B741,'CARNET DE SOUDURE'!$M$7:$M$3006,"&lt;&gt;"&amp;C741,'CARNET DE SOUDURE'!$M$7:$M$3006,"&lt;&gt;")+COUNTIFS('CARNET DE SOUDURE'!$O$7:$O$3006,B741,'CARNET DE SOUDURE'!$P$7:$P$3006,"&lt;&gt;"&amp;C741,'CARNET DE SOUDURE'!$P$7:$P$3006,"&lt;&gt;")&gt;0,"⚠ DIFFÉRENTE","OK"))</f>
        <v>OK</v>
      </c>
      <c r="F741" s="147" t="n">
        <v>11.94</v>
      </c>
      <c r="G741" s="80"/>
      <c r="H741" s="83"/>
      <c r="I741" s="148" t="str">
        <f aca="false">IF(B741="","",IFERROR(INDEX('CARNET DE SOUDURE'!$B$7:$B$3006,MATCH(B741,'CARNET DE SOUDURE'!$L$7:$L$3006,0)),IFERROR(INDEX('CARNET DE SOUDURE'!$B$7:$B$3006,MATCH(B741,'CARNET DE SOUDURE'!$O$7:$O$3006,0)),"")))</f>
        <v>MFD-ISW → MFD-CPF</v>
      </c>
      <c r="J741" s="82" t="str">
        <f aca="false">IF(B741="","",IFERROR(INDEX('CARNET DE SOUDURE'!$E$7:$E$3006,MATCH(B741,'CARNET DE SOUDURE'!$O$7:$O$3006,0)),""))</f>
        <v>JN°1380</v>
      </c>
      <c r="K741" s="82" t="str">
        <f aca="false">IF(B741="","",IFERROR(INDEX('CARNET DE SOUDURE'!$E$7:$E$3006,MATCH(B741,'CARNET DE SOUDURE'!$L$7:$L$3006,0)),""))</f>
        <v>DJ°142</v>
      </c>
      <c r="L741" s="82" t="n">
        <f aca="false">IF(B741="","",IFERROR(INDEX('CARNET DE SOUDURE'!$D$7:$D$3006,MATCH(B741,'CARNET DE SOUDURE'!$L$7:$L$3006,0)),IFERROR(INDEX('CARNET DE SOUDURE'!$D$7:$D$3006,MATCH(B741,'CARNET DE SOUDURE'!$O$7:$O$3006,0)),"")))</f>
        <v>15</v>
      </c>
      <c r="M741" s="82" t="str">
        <f aca="false">IF(B741="","",IF(OR(J741&lt;&gt;"",K741&lt;&gt;""),"POSÉ EN LIGNE",IF(COUNTIF(BARDAGE!$C$1:$C$5000,B741)&gt;0,"BARDÉ","EN STOCK")))</f>
        <v>POSÉ EN LIGNE</v>
      </c>
      <c r="N741" s="80"/>
    </row>
    <row r="742" customFormat="false" ht="15" hidden="false" customHeight="false" outlineLevel="0" collapsed="false">
      <c r="A742" s="82" t="n">
        <f aca="false">IF(B742="","",ROW()-6)</f>
        <v>736</v>
      </c>
      <c r="B742" s="145" t="n">
        <v>2083470</v>
      </c>
      <c r="C742" s="146" t="n">
        <v>15421105</v>
      </c>
      <c r="D742" s="146"/>
      <c r="E742" s="82" t="str">
        <f aca="false">IF(B742="","",IF(COUNTIFS('CARNET DE SOUDURE'!$L$7:$L$3006,B742,'CARNET DE SOUDURE'!$M$7:$M$3006,"&lt;&gt;"&amp;C742,'CARNET DE SOUDURE'!$M$7:$M$3006,"&lt;&gt;")+COUNTIFS('CARNET DE SOUDURE'!$O$7:$O$3006,B742,'CARNET DE SOUDURE'!$P$7:$P$3006,"&lt;&gt;"&amp;C742,'CARNET DE SOUDURE'!$P$7:$P$3006,"&lt;&gt;")&gt;0,"⚠ DIFFÉRENTE","OK"))</f>
        <v>OK</v>
      </c>
      <c r="F742" s="147" t="n">
        <v>11.94</v>
      </c>
      <c r="G742" s="80"/>
      <c r="H742" s="83"/>
      <c r="I742" s="148" t="str">
        <f aca="false">IF(B742="","",IFERROR(INDEX('CARNET DE SOUDURE'!$B$7:$B$3006,MATCH(B742,'CARNET DE SOUDURE'!$L$7:$L$3006,0)),IFERROR(INDEX('CARNET DE SOUDURE'!$B$7:$B$3006,MATCH(B742,'CARNET DE SOUDURE'!$O$7:$O$3006,0)),"")))</f>
        <v>MFD-ISW → MFD-CPF</v>
      </c>
      <c r="J742" s="82" t="str">
        <f aca="false">IF(B742="","",IFERROR(INDEX('CARNET DE SOUDURE'!$E$7:$E$3006,MATCH(B742,'CARNET DE SOUDURE'!$O$7:$O$3006,0)),""))</f>
        <v>DJ°142</v>
      </c>
      <c r="K742" s="82" t="str">
        <f aca="false">IF(B742="","",IFERROR(INDEX('CARNET DE SOUDURE'!$E$7:$E$3006,MATCH(B742,'CARNET DE SOUDURE'!$L$7:$L$3006,0)),""))</f>
        <v>JN°1381</v>
      </c>
      <c r="L742" s="82" t="n">
        <f aca="false">IF(B742="","",IFERROR(INDEX('CARNET DE SOUDURE'!$D$7:$D$3006,MATCH(B742,'CARNET DE SOUDURE'!$L$7:$L$3006,0)),IFERROR(INDEX('CARNET DE SOUDURE'!$D$7:$D$3006,MATCH(B742,'CARNET DE SOUDURE'!$O$7:$O$3006,0)),"")))</f>
        <v>15</v>
      </c>
      <c r="M742" s="82" t="str">
        <f aca="false">IF(B742="","",IF(OR(J742&lt;&gt;"",K742&lt;&gt;""),"POSÉ EN LIGNE",IF(COUNTIF(BARDAGE!$C$1:$C$5000,B742)&gt;0,"BARDÉ","EN STOCK")))</f>
        <v>POSÉ EN LIGNE</v>
      </c>
      <c r="N742" s="80"/>
    </row>
    <row r="743" customFormat="false" ht="15" hidden="false" customHeight="false" outlineLevel="0" collapsed="false">
      <c r="A743" s="82" t="n">
        <f aca="false">IF(B743="","",ROW()-6)</f>
        <v>737</v>
      </c>
      <c r="B743" s="145" t="n">
        <v>2097400</v>
      </c>
      <c r="C743" s="146" t="n">
        <v>15421112</v>
      </c>
      <c r="D743" s="146"/>
      <c r="E743" s="82" t="str">
        <f aca="false">IF(B743="","",IF(COUNTIFS('CARNET DE SOUDURE'!$L$7:$L$3006,B743,'CARNET DE SOUDURE'!$M$7:$M$3006,"&lt;&gt;"&amp;C743,'CARNET DE SOUDURE'!$M$7:$M$3006,"&lt;&gt;")+COUNTIFS('CARNET DE SOUDURE'!$O$7:$O$3006,B743,'CARNET DE SOUDURE'!$P$7:$P$3006,"&lt;&gt;"&amp;C743,'CARNET DE SOUDURE'!$P$7:$P$3006,"&lt;&gt;")&gt;0,"⚠ DIFFÉRENTE","OK"))</f>
        <v>OK</v>
      </c>
      <c r="F743" s="147" t="n">
        <v>11.94</v>
      </c>
      <c r="G743" s="80"/>
      <c r="H743" s="83"/>
      <c r="I743" s="148" t="str">
        <f aca="false">IF(B743="","",IFERROR(INDEX('CARNET DE SOUDURE'!$B$7:$B$3006,MATCH(B743,'CARNET DE SOUDURE'!$L$7:$L$3006,0)),IFERROR(INDEX('CARNET DE SOUDURE'!$B$7:$B$3006,MATCH(B743,'CARNET DE SOUDURE'!$O$7:$O$3006,0)),"")))</f>
        <v>MFD-ISW → MFD-CPF</v>
      </c>
      <c r="J743" s="82" t="str">
        <f aca="false">IF(B743="","",IFERROR(INDEX('CARNET DE SOUDURE'!$E$7:$E$3006,MATCH(B743,'CARNET DE SOUDURE'!$O$7:$O$3006,0)),""))</f>
        <v>JN°1381</v>
      </c>
      <c r="K743" s="82" t="str">
        <f aca="false">IF(B743="","",IFERROR(INDEX('CARNET DE SOUDURE'!$E$7:$E$3006,MATCH(B743,'CARNET DE SOUDURE'!$L$7:$L$3006,0)),""))</f>
        <v>DJ°143</v>
      </c>
      <c r="L743" s="82" t="n">
        <f aca="false">IF(B743="","",IFERROR(INDEX('CARNET DE SOUDURE'!$D$7:$D$3006,MATCH(B743,'CARNET DE SOUDURE'!$L$7:$L$3006,0)),IFERROR(INDEX('CARNET DE SOUDURE'!$D$7:$D$3006,MATCH(B743,'CARNET DE SOUDURE'!$O$7:$O$3006,0)),"")))</f>
        <v>15</v>
      </c>
      <c r="M743" s="82" t="str">
        <f aca="false">IF(B743="","",IF(OR(J743&lt;&gt;"",K743&lt;&gt;""),"POSÉ EN LIGNE",IF(COUNTIF(BARDAGE!$C$1:$C$5000,B743)&gt;0,"BARDÉ","EN STOCK")))</f>
        <v>POSÉ EN LIGNE</v>
      </c>
      <c r="N743" s="80"/>
    </row>
    <row r="744" customFormat="false" ht="15" hidden="false" customHeight="false" outlineLevel="0" collapsed="false">
      <c r="A744" s="82" t="n">
        <f aca="false">IF(B744="","",ROW()-6)</f>
        <v>738</v>
      </c>
      <c r="B744" s="145" t="n">
        <v>2083240</v>
      </c>
      <c r="C744" s="146" t="n">
        <v>15421105</v>
      </c>
      <c r="D744" s="146"/>
      <c r="E744" s="82" t="str">
        <f aca="false">IF(B744="","",IF(COUNTIFS('CARNET DE SOUDURE'!$L$7:$L$3006,B744,'CARNET DE SOUDURE'!$M$7:$M$3006,"&lt;&gt;"&amp;C744,'CARNET DE SOUDURE'!$M$7:$M$3006,"&lt;&gt;")+COUNTIFS('CARNET DE SOUDURE'!$O$7:$O$3006,B744,'CARNET DE SOUDURE'!$P$7:$P$3006,"&lt;&gt;"&amp;C744,'CARNET DE SOUDURE'!$P$7:$P$3006,"&lt;&gt;")&gt;0,"⚠ DIFFÉRENTE","OK"))</f>
        <v>OK</v>
      </c>
      <c r="F744" s="147" t="n">
        <v>11.94</v>
      </c>
      <c r="G744" s="80"/>
      <c r="H744" s="83"/>
      <c r="I744" s="148" t="str">
        <f aca="false">IF(B744="","",IFERROR(INDEX('CARNET DE SOUDURE'!$B$7:$B$3006,MATCH(B744,'CARNET DE SOUDURE'!$L$7:$L$3006,0)),IFERROR(INDEX('CARNET DE SOUDURE'!$B$7:$B$3006,MATCH(B744,'CARNET DE SOUDURE'!$O$7:$O$3006,0)),"")))</f>
        <v>MFD-ISW → MFD-CPF</v>
      </c>
      <c r="J744" s="82" t="str">
        <f aca="false">IF(B744="","",IFERROR(INDEX('CARNET DE SOUDURE'!$E$7:$E$3006,MATCH(B744,'CARNET DE SOUDURE'!$O$7:$O$3006,0)),""))</f>
        <v>DJ°143</v>
      </c>
      <c r="K744" s="82" t="str">
        <f aca="false">IF(B744="","",IFERROR(INDEX('CARNET DE SOUDURE'!$E$7:$E$3006,MATCH(B744,'CARNET DE SOUDURE'!$L$7:$L$3006,0)),""))</f>
        <v>JN°1382</v>
      </c>
      <c r="L744" s="82" t="n">
        <f aca="false">IF(B744="","",IFERROR(INDEX('CARNET DE SOUDURE'!$D$7:$D$3006,MATCH(B744,'CARNET DE SOUDURE'!$L$7:$L$3006,0)),IFERROR(INDEX('CARNET DE SOUDURE'!$D$7:$D$3006,MATCH(B744,'CARNET DE SOUDURE'!$O$7:$O$3006,0)),"")))</f>
        <v>15</v>
      </c>
      <c r="M744" s="82" t="str">
        <f aca="false">IF(B744="","",IF(OR(J744&lt;&gt;"",K744&lt;&gt;""),"POSÉ EN LIGNE",IF(COUNTIF(BARDAGE!$C$1:$C$5000,B744)&gt;0,"BARDÉ","EN STOCK")))</f>
        <v>POSÉ EN LIGNE</v>
      </c>
      <c r="N744" s="80"/>
    </row>
    <row r="745" customFormat="false" ht="15" hidden="false" customHeight="false" outlineLevel="0" collapsed="false">
      <c r="A745" s="82" t="n">
        <f aca="false">IF(B745="","",ROW()-6)</f>
        <v>739</v>
      </c>
      <c r="B745" s="145" t="n">
        <v>2078790</v>
      </c>
      <c r="C745" s="146" t="n">
        <v>15421101</v>
      </c>
      <c r="D745" s="146"/>
      <c r="E745" s="82" t="str">
        <f aca="false">IF(B745="","",IF(COUNTIFS('CARNET DE SOUDURE'!$L$7:$L$3006,B745,'CARNET DE SOUDURE'!$M$7:$M$3006,"&lt;&gt;"&amp;C745,'CARNET DE SOUDURE'!$M$7:$M$3006,"&lt;&gt;")+COUNTIFS('CARNET DE SOUDURE'!$O$7:$O$3006,B745,'CARNET DE SOUDURE'!$P$7:$P$3006,"&lt;&gt;"&amp;C745,'CARNET DE SOUDURE'!$P$7:$P$3006,"&lt;&gt;")&gt;0,"⚠ DIFFÉRENTE","OK"))</f>
        <v>OK</v>
      </c>
      <c r="F745" s="147" t="n">
        <v>11.94</v>
      </c>
      <c r="G745" s="80"/>
      <c r="H745" s="83"/>
      <c r="I745" s="148" t="str">
        <f aca="false">IF(B745="","",IFERROR(INDEX('CARNET DE SOUDURE'!$B$7:$B$3006,MATCH(B745,'CARNET DE SOUDURE'!$L$7:$L$3006,0)),IFERROR(INDEX('CARNET DE SOUDURE'!$B$7:$B$3006,MATCH(B745,'CARNET DE SOUDURE'!$O$7:$O$3006,0)),"")))</f>
        <v>MFD-ISW → MFD-CPF</v>
      </c>
      <c r="J745" s="82" t="str">
        <f aca="false">IF(B745="","",IFERROR(INDEX('CARNET DE SOUDURE'!$E$7:$E$3006,MATCH(B745,'CARNET DE SOUDURE'!$O$7:$O$3006,0)),""))</f>
        <v>JN°1382</v>
      </c>
      <c r="K745" s="82" t="str">
        <f aca="false">IF(B745="","",IFERROR(INDEX('CARNET DE SOUDURE'!$E$7:$E$3006,MATCH(B745,'CARNET DE SOUDURE'!$L$7:$L$3006,0)),""))</f>
        <v>DJ°067</v>
      </c>
      <c r="L745" s="82" t="n">
        <f aca="false">IF(B745="","",IFERROR(INDEX('CARNET DE SOUDURE'!$D$7:$D$3006,MATCH(B745,'CARNET DE SOUDURE'!$L$7:$L$3006,0)),IFERROR(INDEX('CARNET DE SOUDURE'!$D$7:$D$3006,MATCH(B745,'CARNET DE SOUDURE'!$O$7:$O$3006,0)),"")))</f>
        <v>15</v>
      </c>
      <c r="M745" s="82" t="str">
        <f aca="false">IF(B745="","",IF(OR(J745&lt;&gt;"",K745&lt;&gt;""),"POSÉ EN LIGNE",IF(COUNTIF(BARDAGE!$C$1:$C$5000,B745)&gt;0,"BARDÉ","EN STOCK")))</f>
        <v>POSÉ EN LIGNE</v>
      </c>
      <c r="N745" s="80"/>
    </row>
    <row r="746" customFormat="false" ht="15" hidden="false" customHeight="false" outlineLevel="0" collapsed="false">
      <c r="A746" s="82" t="n">
        <f aca="false">IF(B746="","",ROW()-6)</f>
        <v>740</v>
      </c>
      <c r="B746" s="145" t="n">
        <v>2080160</v>
      </c>
      <c r="C746" s="146" t="n">
        <v>15421102</v>
      </c>
      <c r="D746" s="146"/>
      <c r="E746" s="82" t="str">
        <f aca="false">IF(B746="","",IF(COUNTIFS('CARNET DE SOUDURE'!$L$7:$L$3006,B746,'CARNET DE SOUDURE'!$M$7:$M$3006,"&lt;&gt;"&amp;C746,'CARNET DE SOUDURE'!$M$7:$M$3006,"&lt;&gt;")+COUNTIFS('CARNET DE SOUDURE'!$O$7:$O$3006,B746,'CARNET DE SOUDURE'!$P$7:$P$3006,"&lt;&gt;"&amp;C746,'CARNET DE SOUDURE'!$P$7:$P$3006,"&lt;&gt;")&gt;0,"⚠ DIFFÉRENTE","OK"))</f>
        <v>OK</v>
      </c>
      <c r="F746" s="147" t="n">
        <v>11.94</v>
      </c>
      <c r="G746" s="80"/>
      <c r="H746" s="83"/>
      <c r="I746" s="148" t="str">
        <f aca="false">IF(B746="","",IFERROR(INDEX('CARNET DE SOUDURE'!$B$7:$B$3006,MATCH(B746,'CARNET DE SOUDURE'!$L$7:$L$3006,0)),IFERROR(INDEX('CARNET DE SOUDURE'!$B$7:$B$3006,MATCH(B746,'CARNET DE SOUDURE'!$O$7:$O$3006,0)),"")))</f>
        <v>MFD-ISW → MFD-CPF</v>
      </c>
      <c r="J746" s="82" t="str">
        <f aca="false">IF(B746="","",IFERROR(INDEX('CARNET DE SOUDURE'!$E$7:$E$3006,MATCH(B746,'CARNET DE SOUDURE'!$O$7:$O$3006,0)),""))</f>
        <v>DJ°067</v>
      </c>
      <c r="K746" s="82" t="str">
        <f aca="false">IF(B746="","",IFERROR(INDEX('CARNET DE SOUDURE'!$E$7:$E$3006,MATCH(B746,'CARNET DE SOUDURE'!$L$7:$L$3006,0)),""))</f>
        <v>JN°1383</v>
      </c>
      <c r="L746" s="82" t="n">
        <f aca="false">IF(B746="","",IFERROR(INDEX('CARNET DE SOUDURE'!$D$7:$D$3006,MATCH(B746,'CARNET DE SOUDURE'!$L$7:$L$3006,0)),IFERROR(INDEX('CARNET DE SOUDURE'!$D$7:$D$3006,MATCH(B746,'CARNET DE SOUDURE'!$O$7:$O$3006,0)),"")))</f>
        <v>15</v>
      </c>
      <c r="M746" s="82" t="str">
        <f aca="false">IF(B746="","",IF(OR(J746&lt;&gt;"",K746&lt;&gt;""),"POSÉ EN LIGNE",IF(COUNTIF(BARDAGE!$C$1:$C$5000,B746)&gt;0,"BARDÉ","EN STOCK")))</f>
        <v>POSÉ EN LIGNE</v>
      </c>
      <c r="N746" s="80"/>
    </row>
    <row r="747" customFormat="false" ht="15" hidden="false" customHeight="false" outlineLevel="0" collapsed="false">
      <c r="A747" s="82" t="n">
        <f aca="false">IF(B747="","",ROW()-6)</f>
        <v>741</v>
      </c>
      <c r="B747" s="145" t="n">
        <v>2078530</v>
      </c>
      <c r="C747" s="146" t="n">
        <v>15421101</v>
      </c>
      <c r="D747" s="146"/>
      <c r="E747" s="82" t="str">
        <f aca="false">IF(B747="","",IF(COUNTIFS('CARNET DE SOUDURE'!$L$7:$L$3006,B747,'CARNET DE SOUDURE'!$M$7:$M$3006,"&lt;&gt;"&amp;C747,'CARNET DE SOUDURE'!$M$7:$M$3006,"&lt;&gt;")+COUNTIFS('CARNET DE SOUDURE'!$O$7:$O$3006,B747,'CARNET DE SOUDURE'!$P$7:$P$3006,"&lt;&gt;"&amp;C747,'CARNET DE SOUDURE'!$P$7:$P$3006,"&lt;&gt;")&gt;0,"⚠ DIFFÉRENTE","OK"))</f>
        <v>OK</v>
      </c>
      <c r="F747" s="147" t="n">
        <v>11.94</v>
      </c>
      <c r="G747" s="80"/>
      <c r="H747" s="83"/>
      <c r="I747" s="148" t="str">
        <f aca="false">IF(B747="","",IFERROR(INDEX('CARNET DE SOUDURE'!$B$7:$B$3006,MATCH(B747,'CARNET DE SOUDURE'!$L$7:$L$3006,0)),IFERROR(INDEX('CARNET DE SOUDURE'!$B$7:$B$3006,MATCH(B747,'CARNET DE SOUDURE'!$O$7:$O$3006,0)),"")))</f>
        <v>MFD-ISW → MFD-CPF</v>
      </c>
      <c r="J747" s="82" t="str">
        <f aca="false">IF(B747="","",IFERROR(INDEX('CARNET DE SOUDURE'!$E$7:$E$3006,MATCH(B747,'CARNET DE SOUDURE'!$O$7:$O$3006,0)),""))</f>
        <v>JN°1383</v>
      </c>
      <c r="K747" s="82" t="str">
        <f aca="false">IF(B747="","",IFERROR(INDEX('CARNET DE SOUDURE'!$E$7:$E$3006,MATCH(B747,'CARNET DE SOUDURE'!$L$7:$L$3006,0)),""))</f>
        <v>DJ°160</v>
      </c>
      <c r="L747" s="82" t="n">
        <f aca="false">IF(B747="","",IFERROR(INDEX('CARNET DE SOUDURE'!$D$7:$D$3006,MATCH(B747,'CARNET DE SOUDURE'!$L$7:$L$3006,0)),IFERROR(INDEX('CARNET DE SOUDURE'!$D$7:$D$3006,MATCH(B747,'CARNET DE SOUDURE'!$O$7:$O$3006,0)),"")))</f>
        <v>15</v>
      </c>
      <c r="M747" s="82" t="str">
        <f aca="false">IF(B747="","",IF(OR(J747&lt;&gt;"",K747&lt;&gt;""),"POSÉ EN LIGNE",IF(COUNTIF(BARDAGE!$C$1:$C$5000,B747)&gt;0,"BARDÉ","EN STOCK")))</f>
        <v>POSÉ EN LIGNE</v>
      </c>
      <c r="N747" s="80"/>
    </row>
    <row r="748" customFormat="false" ht="15" hidden="false" customHeight="false" outlineLevel="0" collapsed="false">
      <c r="A748" s="82" t="n">
        <f aca="false">IF(B748="","",ROW()-6)</f>
        <v>742</v>
      </c>
      <c r="B748" s="145" t="n">
        <v>2049380</v>
      </c>
      <c r="C748" s="146" t="n">
        <v>15421102</v>
      </c>
      <c r="D748" s="146"/>
      <c r="E748" s="82" t="str">
        <f aca="false">IF(B748="","",IF(COUNTIFS('CARNET DE SOUDURE'!$L$7:$L$3006,B748,'CARNET DE SOUDURE'!$M$7:$M$3006,"&lt;&gt;"&amp;C748,'CARNET DE SOUDURE'!$M$7:$M$3006,"&lt;&gt;")+COUNTIFS('CARNET DE SOUDURE'!$O$7:$O$3006,B748,'CARNET DE SOUDURE'!$P$7:$P$3006,"&lt;&gt;"&amp;C748,'CARNET DE SOUDURE'!$P$7:$P$3006,"&lt;&gt;")&gt;0,"⚠ DIFFÉRENTE","OK"))</f>
        <v>OK</v>
      </c>
      <c r="F748" s="147" t="n">
        <v>11.94</v>
      </c>
      <c r="G748" s="80"/>
      <c r="H748" s="83"/>
      <c r="I748" s="148" t="str">
        <f aca="false">IF(B748="","",IFERROR(INDEX('CARNET DE SOUDURE'!$B$7:$B$3006,MATCH(B748,'CARNET DE SOUDURE'!$L$7:$L$3006,0)),IFERROR(INDEX('CARNET DE SOUDURE'!$B$7:$B$3006,MATCH(B748,'CARNET DE SOUDURE'!$O$7:$O$3006,0)),"")))</f>
        <v>MFD-ISW → MFD-CPF</v>
      </c>
      <c r="J748" s="82" t="str">
        <f aca="false">IF(B748="","",IFERROR(INDEX('CARNET DE SOUDURE'!$E$7:$E$3006,MATCH(B748,'CARNET DE SOUDURE'!$O$7:$O$3006,0)),""))</f>
        <v>DJ°160</v>
      </c>
      <c r="K748" s="82" t="str">
        <f aca="false">IF(B748="","",IFERROR(INDEX('CARNET DE SOUDURE'!$E$7:$E$3006,MATCH(B748,'CARNET DE SOUDURE'!$L$7:$L$3006,0)),""))</f>
        <v>JN°1384</v>
      </c>
      <c r="L748" s="82" t="n">
        <f aca="false">IF(B748="","",IFERROR(INDEX('CARNET DE SOUDURE'!$D$7:$D$3006,MATCH(B748,'CARNET DE SOUDURE'!$L$7:$L$3006,0)),IFERROR(INDEX('CARNET DE SOUDURE'!$D$7:$D$3006,MATCH(B748,'CARNET DE SOUDURE'!$O$7:$O$3006,0)),"")))</f>
        <v>15</v>
      </c>
      <c r="M748" s="82" t="str">
        <f aca="false">IF(B748="","",IF(OR(J748&lt;&gt;"",K748&lt;&gt;""),"POSÉ EN LIGNE",IF(COUNTIF(BARDAGE!$C$1:$C$5000,B748)&gt;0,"BARDÉ","EN STOCK")))</f>
        <v>POSÉ EN LIGNE</v>
      </c>
      <c r="N748" s="80"/>
    </row>
    <row r="749" customFormat="false" ht="15" hidden="false" customHeight="false" outlineLevel="0" collapsed="false">
      <c r="A749" s="82" t="n">
        <f aca="false">IF(B749="","",ROW()-6)</f>
        <v>743</v>
      </c>
      <c r="B749" s="145" t="n">
        <v>2090000</v>
      </c>
      <c r="C749" s="146" t="n">
        <v>15421109</v>
      </c>
      <c r="D749" s="146"/>
      <c r="E749" s="82" t="str">
        <f aca="false">IF(B749="","",IF(COUNTIFS('CARNET DE SOUDURE'!$L$7:$L$3006,B749,'CARNET DE SOUDURE'!$M$7:$M$3006,"&lt;&gt;"&amp;C749,'CARNET DE SOUDURE'!$M$7:$M$3006,"&lt;&gt;")+COUNTIFS('CARNET DE SOUDURE'!$O$7:$O$3006,B749,'CARNET DE SOUDURE'!$P$7:$P$3006,"&lt;&gt;"&amp;C749,'CARNET DE SOUDURE'!$P$7:$P$3006,"&lt;&gt;")&gt;0,"⚠ DIFFÉRENTE","OK"))</f>
        <v>OK</v>
      </c>
      <c r="F749" s="147" t="n">
        <v>11.94</v>
      </c>
      <c r="G749" s="80"/>
      <c r="H749" s="83"/>
      <c r="I749" s="148" t="str">
        <f aca="false">IF(B749="","",IFERROR(INDEX('CARNET DE SOUDURE'!$B$7:$B$3006,MATCH(B749,'CARNET DE SOUDURE'!$L$7:$L$3006,0)),IFERROR(INDEX('CARNET DE SOUDURE'!$B$7:$B$3006,MATCH(B749,'CARNET DE SOUDURE'!$O$7:$O$3006,0)),"")))</f>
        <v>MFD-ISW → MFD-CPF</v>
      </c>
      <c r="J749" s="82" t="str">
        <f aca="false">IF(B749="","",IFERROR(INDEX('CARNET DE SOUDURE'!$E$7:$E$3006,MATCH(B749,'CARNET DE SOUDURE'!$O$7:$O$3006,0)),""))</f>
        <v>JN°1384</v>
      </c>
      <c r="K749" s="82" t="str">
        <f aca="false">IF(B749="","",IFERROR(INDEX('CARNET DE SOUDURE'!$E$7:$E$3006,MATCH(B749,'CARNET DE SOUDURE'!$L$7:$L$3006,0)),""))</f>
        <v>DJ°154</v>
      </c>
      <c r="L749" s="82" t="n">
        <f aca="false">IF(B749="","",IFERROR(INDEX('CARNET DE SOUDURE'!$D$7:$D$3006,MATCH(B749,'CARNET DE SOUDURE'!$L$7:$L$3006,0)),IFERROR(INDEX('CARNET DE SOUDURE'!$D$7:$D$3006,MATCH(B749,'CARNET DE SOUDURE'!$O$7:$O$3006,0)),"")))</f>
        <v>15</v>
      </c>
      <c r="M749" s="82" t="str">
        <f aca="false">IF(B749="","",IF(OR(J749&lt;&gt;"",K749&lt;&gt;""),"POSÉ EN LIGNE",IF(COUNTIF(BARDAGE!$C$1:$C$5000,B749)&gt;0,"BARDÉ","EN STOCK")))</f>
        <v>POSÉ EN LIGNE</v>
      </c>
      <c r="N749" s="80"/>
    </row>
    <row r="750" customFormat="false" ht="15" hidden="false" customHeight="false" outlineLevel="0" collapsed="false">
      <c r="A750" s="82" t="n">
        <f aca="false">IF(B750="","",ROW()-6)</f>
        <v>744</v>
      </c>
      <c r="B750" s="145" t="n">
        <v>2093690</v>
      </c>
      <c r="C750" s="146" t="n">
        <v>15421110</v>
      </c>
      <c r="D750" s="146"/>
      <c r="E750" s="82" t="str">
        <f aca="false">IF(B750="","",IF(COUNTIFS('CARNET DE SOUDURE'!$L$7:$L$3006,B750,'CARNET DE SOUDURE'!$M$7:$M$3006,"&lt;&gt;"&amp;C750,'CARNET DE SOUDURE'!$M$7:$M$3006,"&lt;&gt;")+COUNTIFS('CARNET DE SOUDURE'!$O$7:$O$3006,B750,'CARNET DE SOUDURE'!$P$7:$P$3006,"&lt;&gt;"&amp;C750,'CARNET DE SOUDURE'!$P$7:$P$3006,"&lt;&gt;")&gt;0,"⚠ DIFFÉRENTE","OK"))</f>
        <v>OK</v>
      </c>
      <c r="F750" s="147" t="n">
        <v>11.94</v>
      </c>
      <c r="G750" s="80"/>
      <c r="H750" s="83"/>
      <c r="I750" s="148" t="str">
        <f aca="false">IF(B750="","",IFERROR(INDEX('CARNET DE SOUDURE'!$B$7:$B$3006,MATCH(B750,'CARNET DE SOUDURE'!$L$7:$L$3006,0)),IFERROR(INDEX('CARNET DE SOUDURE'!$B$7:$B$3006,MATCH(B750,'CARNET DE SOUDURE'!$O$7:$O$3006,0)),"")))</f>
        <v>MFD-ISW → MFD-CPF</v>
      </c>
      <c r="J750" s="82" t="str">
        <f aca="false">IF(B750="","",IFERROR(INDEX('CARNET DE SOUDURE'!$E$7:$E$3006,MATCH(B750,'CARNET DE SOUDURE'!$O$7:$O$3006,0)),""))</f>
        <v>DJ°154</v>
      </c>
      <c r="K750" s="82" t="str">
        <f aca="false">IF(B750="","",IFERROR(INDEX('CARNET DE SOUDURE'!$E$7:$E$3006,MATCH(B750,'CARNET DE SOUDURE'!$L$7:$L$3006,0)),""))</f>
        <v>JN°1385CT</v>
      </c>
      <c r="L750" s="82" t="n">
        <f aca="false">IF(B750="","",IFERROR(INDEX('CARNET DE SOUDURE'!$D$7:$D$3006,MATCH(B750,'CARNET DE SOUDURE'!$L$7:$L$3006,0)),IFERROR(INDEX('CARNET DE SOUDURE'!$D$7:$D$3006,MATCH(B750,'CARNET DE SOUDURE'!$O$7:$O$3006,0)),"")))</f>
        <v>15</v>
      </c>
      <c r="M750" s="82" t="str">
        <f aca="false">IF(B750="","",IF(OR(J750&lt;&gt;"",K750&lt;&gt;""),"POSÉ EN LIGNE",IF(COUNTIF(BARDAGE!$C$1:$C$5000,B750)&gt;0,"BARDÉ","EN STOCK")))</f>
        <v>POSÉ EN LIGNE</v>
      </c>
      <c r="N750" s="80"/>
    </row>
    <row r="751" customFormat="false" ht="15" hidden="false" customHeight="false" outlineLevel="0" collapsed="false">
      <c r="A751" s="82" t="n">
        <f aca="false">IF(B751="","",ROW()-6)</f>
        <v>745</v>
      </c>
      <c r="B751" s="145" t="n">
        <v>2086620</v>
      </c>
      <c r="C751" s="146" t="n">
        <v>15421107</v>
      </c>
      <c r="D751" s="146"/>
      <c r="E751" s="82" t="str">
        <f aca="false">IF(B751="","",IF(COUNTIFS('CARNET DE SOUDURE'!$L$7:$L$3006,B751,'CARNET DE SOUDURE'!$M$7:$M$3006,"&lt;&gt;"&amp;C751,'CARNET DE SOUDURE'!$M$7:$M$3006,"&lt;&gt;")+COUNTIFS('CARNET DE SOUDURE'!$O$7:$O$3006,B751,'CARNET DE SOUDURE'!$P$7:$P$3006,"&lt;&gt;"&amp;C751,'CARNET DE SOUDURE'!$P$7:$P$3006,"&lt;&gt;")&gt;0,"⚠ DIFFÉRENTE","OK"))</f>
        <v>OK</v>
      </c>
      <c r="F751" s="147" t="n">
        <v>11.94</v>
      </c>
      <c r="G751" s="80"/>
      <c r="H751" s="83"/>
      <c r="I751" s="148" t="str">
        <f aca="false">IF(B751="","",IFERROR(INDEX('CARNET DE SOUDURE'!$B$7:$B$3006,MATCH(B751,'CARNET DE SOUDURE'!$L$7:$L$3006,0)),IFERROR(INDEX('CARNET DE SOUDURE'!$B$7:$B$3006,MATCH(B751,'CARNET DE SOUDURE'!$O$7:$O$3006,0)),"")))</f>
        <v>MFD-ISW → MFD-CPF</v>
      </c>
      <c r="J751" s="82" t="str">
        <f aca="false">IF(B751="","",IFERROR(INDEX('CARNET DE SOUDURE'!$E$7:$E$3006,MATCH(B751,'CARNET DE SOUDURE'!$O$7:$O$3006,0)),""))</f>
        <v>DJ°155</v>
      </c>
      <c r="K751" s="82" t="str">
        <f aca="false">IF(B751="","",IFERROR(INDEX('CARNET DE SOUDURE'!$E$7:$E$3006,MATCH(B751,'CARNET DE SOUDURE'!$L$7:$L$3006,0)),""))</f>
        <v>JN°1386</v>
      </c>
      <c r="L751" s="82" t="n">
        <f aca="false">IF(B751="","",IFERROR(INDEX('CARNET DE SOUDURE'!$D$7:$D$3006,MATCH(B751,'CARNET DE SOUDURE'!$L$7:$L$3006,0)),IFERROR(INDEX('CARNET DE SOUDURE'!$D$7:$D$3006,MATCH(B751,'CARNET DE SOUDURE'!$O$7:$O$3006,0)),"")))</f>
        <v>15</v>
      </c>
      <c r="M751" s="82" t="str">
        <f aca="false">IF(B751="","",IF(OR(J751&lt;&gt;"",K751&lt;&gt;""),"POSÉ EN LIGNE",IF(COUNTIF(BARDAGE!$C$1:$C$5000,B751)&gt;0,"BARDÉ","EN STOCK")))</f>
        <v>POSÉ EN LIGNE</v>
      </c>
      <c r="N751" s="80"/>
    </row>
    <row r="752" customFormat="false" ht="15" hidden="false" customHeight="false" outlineLevel="0" collapsed="false">
      <c r="A752" s="82" t="n">
        <f aca="false">IF(B752="","",ROW()-6)</f>
        <v>746</v>
      </c>
      <c r="B752" s="145" t="n">
        <v>2091640</v>
      </c>
      <c r="C752" s="146" t="n">
        <v>15421109</v>
      </c>
      <c r="D752" s="146"/>
      <c r="E752" s="82" t="str">
        <f aca="false">IF(B752="","",IF(COUNTIFS('CARNET DE SOUDURE'!$L$7:$L$3006,B752,'CARNET DE SOUDURE'!$M$7:$M$3006,"&lt;&gt;"&amp;C752,'CARNET DE SOUDURE'!$M$7:$M$3006,"&lt;&gt;")+COUNTIFS('CARNET DE SOUDURE'!$O$7:$O$3006,B752,'CARNET DE SOUDURE'!$P$7:$P$3006,"&lt;&gt;"&amp;C752,'CARNET DE SOUDURE'!$P$7:$P$3006,"&lt;&gt;")&gt;0,"⚠ DIFFÉRENTE","OK"))</f>
        <v>OK</v>
      </c>
      <c r="F752" s="147" t="n">
        <v>11.94</v>
      </c>
      <c r="G752" s="80"/>
      <c r="H752" s="83"/>
      <c r="I752" s="148" t="str">
        <f aca="false">IF(B752="","",IFERROR(INDEX('CARNET DE SOUDURE'!$B$7:$B$3006,MATCH(B752,'CARNET DE SOUDURE'!$L$7:$L$3006,0)),IFERROR(INDEX('CARNET DE SOUDURE'!$B$7:$B$3006,MATCH(B752,'CARNET DE SOUDURE'!$O$7:$O$3006,0)),"")))</f>
        <v>MFD-ISW → MFD-CPF</v>
      </c>
      <c r="J752" s="82" t="str">
        <f aca="false">IF(B752="","",IFERROR(INDEX('CARNET DE SOUDURE'!$E$7:$E$3006,MATCH(B752,'CARNET DE SOUDURE'!$O$7:$O$3006,0)),""))</f>
        <v>JN°1386</v>
      </c>
      <c r="K752" s="82" t="str">
        <f aca="false">IF(B752="","",IFERROR(INDEX('CARNET DE SOUDURE'!$E$7:$E$3006,MATCH(B752,'CARNET DE SOUDURE'!$L$7:$L$3006,0)),""))</f>
        <v>DJ°165</v>
      </c>
      <c r="L752" s="82" t="n">
        <f aca="false">IF(B752="","",IFERROR(INDEX('CARNET DE SOUDURE'!$D$7:$D$3006,MATCH(B752,'CARNET DE SOUDURE'!$L$7:$L$3006,0)),IFERROR(INDEX('CARNET DE SOUDURE'!$D$7:$D$3006,MATCH(B752,'CARNET DE SOUDURE'!$O$7:$O$3006,0)),"")))</f>
        <v>15</v>
      </c>
      <c r="M752" s="82" t="str">
        <f aca="false">IF(B752="","",IF(OR(J752&lt;&gt;"",K752&lt;&gt;""),"POSÉ EN LIGNE",IF(COUNTIF(BARDAGE!$C$1:$C$5000,B752)&gt;0,"BARDÉ","EN STOCK")))</f>
        <v>POSÉ EN LIGNE</v>
      </c>
      <c r="N752" s="80"/>
    </row>
    <row r="753" customFormat="false" ht="15" hidden="false" customHeight="false" outlineLevel="0" collapsed="false">
      <c r="A753" s="82" t="n">
        <f aca="false">IF(B753="","",ROW()-6)</f>
        <v>747</v>
      </c>
      <c r="B753" s="145" t="n">
        <v>2096270</v>
      </c>
      <c r="C753" s="146" t="n">
        <v>15421111</v>
      </c>
      <c r="D753" s="146"/>
      <c r="E753" s="82" t="str">
        <f aca="false">IF(B753="","",IF(COUNTIFS('CARNET DE SOUDURE'!$L$7:$L$3006,B753,'CARNET DE SOUDURE'!$M$7:$M$3006,"&lt;&gt;"&amp;C753,'CARNET DE SOUDURE'!$M$7:$M$3006,"&lt;&gt;")+COUNTIFS('CARNET DE SOUDURE'!$O$7:$O$3006,B753,'CARNET DE SOUDURE'!$P$7:$P$3006,"&lt;&gt;"&amp;C753,'CARNET DE SOUDURE'!$P$7:$P$3006,"&lt;&gt;")&gt;0,"⚠ DIFFÉRENTE","OK"))</f>
        <v>OK</v>
      </c>
      <c r="F753" s="147" t="n">
        <v>11.94</v>
      </c>
      <c r="G753" s="80"/>
      <c r="H753" s="83"/>
      <c r="I753" s="148" t="str">
        <f aca="false">IF(B753="","",IFERROR(INDEX('CARNET DE SOUDURE'!$B$7:$B$3006,MATCH(B753,'CARNET DE SOUDURE'!$L$7:$L$3006,0)),IFERROR(INDEX('CARNET DE SOUDURE'!$B$7:$B$3006,MATCH(B753,'CARNET DE SOUDURE'!$O$7:$O$3006,0)),"")))</f>
        <v>MFD-ISW → MFD-CPF</v>
      </c>
      <c r="J753" s="82" t="str">
        <f aca="false">IF(B753="","",IFERROR(INDEX('CARNET DE SOUDURE'!$E$7:$E$3006,MATCH(B753,'CARNET DE SOUDURE'!$O$7:$O$3006,0)),""))</f>
        <v>DJ°165</v>
      </c>
      <c r="K753" s="82" t="str">
        <f aca="false">IF(B753="","",IFERROR(INDEX('CARNET DE SOUDURE'!$E$7:$E$3006,MATCH(B753,'CARNET DE SOUDURE'!$L$7:$L$3006,0)),""))</f>
        <v>JN°1387</v>
      </c>
      <c r="L753" s="82" t="n">
        <f aca="false">IF(B753="","",IFERROR(INDEX('CARNET DE SOUDURE'!$D$7:$D$3006,MATCH(B753,'CARNET DE SOUDURE'!$L$7:$L$3006,0)),IFERROR(INDEX('CARNET DE SOUDURE'!$D$7:$D$3006,MATCH(B753,'CARNET DE SOUDURE'!$O$7:$O$3006,0)),"")))</f>
        <v>15</v>
      </c>
      <c r="M753" s="82" t="str">
        <f aca="false">IF(B753="","",IF(OR(J753&lt;&gt;"",K753&lt;&gt;""),"POSÉ EN LIGNE",IF(COUNTIF(BARDAGE!$C$1:$C$5000,B753)&gt;0,"BARDÉ","EN STOCK")))</f>
        <v>POSÉ EN LIGNE</v>
      </c>
      <c r="N753" s="80"/>
    </row>
    <row r="754" customFormat="false" ht="15" hidden="false" customHeight="false" outlineLevel="0" collapsed="false">
      <c r="A754" s="82" t="n">
        <f aca="false">IF(B754="","",ROW()-6)</f>
        <v>748</v>
      </c>
      <c r="B754" s="145" t="n">
        <v>2082000</v>
      </c>
      <c r="C754" s="146" t="n">
        <v>15421104</v>
      </c>
      <c r="D754" s="146"/>
      <c r="E754" s="82" t="str">
        <f aca="false">IF(B754="","",IF(COUNTIFS('CARNET DE SOUDURE'!$L$7:$L$3006,B754,'CARNET DE SOUDURE'!$M$7:$M$3006,"&lt;&gt;"&amp;C754,'CARNET DE SOUDURE'!$M$7:$M$3006,"&lt;&gt;")+COUNTIFS('CARNET DE SOUDURE'!$O$7:$O$3006,B754,'CARNET DE SOUDURE'!$P$7:$P$3006,"&lt;&gt;"&amp;C754,'CARNET DE SOUDURE'!$P$7:$P$3006,"&lt;&gt;")&gt;0,"⚠ DIFFÉRENTE","OK"))</f>
        <v>OK</v>
      </c>
      <c r="F754" s="147" t="n">
        <v>11.94</v>
      </c>
      <c r="G754" s="80"/>
      <c r="H754" s="83"/>
      <c r="I754" s="148" t="str">
        <f aca="false">IF(B754="","",IFERROR(INDEX('CARNET DE SOUDURE'!$B$7:$B$3006,MATCH(B754,'CARNET DE SOUDURE'!$L$7:$L$3006,0)),IFERROR(INDEX('CARNET DE SOUDURE'!$B$7:$B$3006,MATCH(B754,'CARNET DE SOUDURE'!$O$7:$O$3006,0)),"")))</f>
        <v>MFD-ISW → MFD-CPF</v>
      </c>
      <c r="J754" s="82" t="str">
        <f aca="false">IF(B754="","",IFERROR(INDEX('CARNET DE SOUDURE'!$E$7:$E$3006,MATCH(B754,'CARNET DE SOUDURE'!$O$7:$O$3006,0)),""))</f>
        <v>JN°1387</v>
      </c>
      <c r="K754" s="82" t="str">
        <f aca="false">IF(B754="","",IFERROR(INDEX('CARNET DE SOUDURE'!$E$7:$E$3006,MATCH(B754,'CARNET DE SOUDURE'!$L$7:$L$3006,0)),""))</f>
        <v>DJ°163</v>
      </c>
      <c r="L754" s="82" t="n">
        <f aca="false">IF(B754="","",IFERROR(INDEX('CARNET DE SOUDURE'!$D$7:$D$3006,MATCH(B754,'CARNET DE SOUDURE'!$L$7:$L$3006,0)),IFERROR(INDEX('CARNET DE SOUDURE'!$D$7:$D$3006,MATCH(B754,'CARNET DE SOUDURE'!$O$7:$O$3006,0)),"")))</f>
        <v>15</v>
      </c>
      <c r="M754" s="82" t="str">
        <f aca="false">IF(B754="","",IF(OR(J754&lt;&gt;"",K754&lt;&gt;""),"POSÉ EN LIGNE",IF(COUNTIF(BARDAGE!$C$1:$C$5000,B754)&gt;0,"BARDÉ","EN STOCK")))</f>
        <v>POSÉ EN LIGNE</v>
      </c>
      <c r="N754" s="80"/>
    </row>
    <row r="755" customFormat="false" ht="15" hidden="false" customHeight="false" outlineLevel="0" collapsed="false">
      <c r="A755" s="82" t="n">
        <f aca="false">IF(B755="","",ROW()-6)</f>
        <v>749</v>
      </c>
      <c r="B755" s="145" t="n">
        <v>2094500</v>
      </c>
      <c r="C755" s="146" t="n">
        <v>15421111</v>
      </c>
      <c r="D755" s="146"/>
      <c r="E755" s="82" t="str">
        <f aca="false">IF(B755="","",IF(COUNTIFS('CARNET DE SOUDURE'!$L$7:$L$3006,B755,'CARNET DE SOUDURE'!$M$7:$M$3006,"&lt;&gt;"&amp;C755,'CARNET DE SOUDURE'!$M$7:$M$3006,"&lt;&gt;")+COUNTIFS('CARNET DE SOUDURE'!$O$7:$O$3006,B755,'CARNET DE SOUDURE'!$P$7:$P$3006,"&lt;&gt;"&amp;C755,'CARNET DE SOUDURE'!$P$7:$P$3006,"&lt;&gt;")&gt;0,"⚠ DIFFÉRENTE","OK"))</f>
        <v>OK</v>
      </c>
      <c r="F755" s="147" t="n">
        <v>11.94</v>
      </c>
      <c r="G755" s="80"/>
      <c r="H755" s="83"/>
      <c r="I755" s="148" t="str">
        <f aca="false">IF(B755="","",IFERROR(INDEX('CARNET DE SOUDURE'!$B$7:$B$3006,MATCH(B755,'CARNET DE SOUDURE'!$L$7:$L$3006,0)),IFERROR(INDEX('CARNET DE SOUDURE'!$B$7:$B$3006,MATCH(B755,'CARNET DE SOUDURE'!$O$7:$O$3006,0)),"")))</f>
        <v>MFD-ISW → MFD-CPF</v>
      </c>
      <c r="J755" s="82" t="str">
        <f aca="false">IF(B755="","",IFERROR(INDEX('CARNET DE SOUDURE'!$E$7:$E$3006,MATCH(B755,'CARNET DE SOUDURE'!$O$7:$O$3006,0)),""))</f>
        <v>DJ°163</v>
      </c>
      <c r="K755" s="82" t="str">
        <f aca="false">IF(B755="","",IFERROR(INDEX('CARNET DE SOUDURE'!$E$7:$E$3006,MATCH(B755,'CARNET DE SOUDURE'!$L$7:$L$3006,0)),""))</f>
        <v>JN°1388</v>
      </c>
      <c r="L755" s="82" t="n">
        <f aca="false">IF(B755="","",IFERROR(INDEX('CARNET DE SOUDURE'!$D$7:$D$3006,MATCH(B755,'CARNET DE SOUDURE'!$L$7:$L$3006,0)),IFERROR(INDEX('CARNET DE SOUDURE'!$D$7:$D$3006,MATCH(B755,'CARNET DE SOUDURE'!$O$7:$O$3006,0)),"")))</f>
        <v>15</v>
      </c>
      <c r="M755" s="82" t="str">
        <f aca="false">IF(B755="","",IF(OR(J755&lt;&gt;"",K755&lt;&gt;""),"POSÉ EN LIGNE",IF(COUNTIF(BARDAGE!$C$1:$C$5000,B755)&gt;0,"BARDÉ","EN STOCK")))</f>
        <v>POSÉ EN LIGNE</v>
      </c>
      <c r="N755" s="80"/>
    </row>
    <row r="756" customFormat="false" ht="15" hidden="false" customHeight="false" outlineLevel="0" collapsed="false">
      <c r="A756" s="82" t="n">
        <f aca="false">IF(B756="","",ROW()-6)</f>
        <v>750</v>
      </c>
      <c r="B756" s="145" t="n">
        <v>2082010</v>
      </c>
      <c r="C756" s="146" t="n">
        <v>15421104</v>
      </c>
      <c r="D756" s="146"/>
      <c r="E756" s="82" t="str">
        <f aca="false">IF(B756="","",IF(COUNTIFS('CARNET DE SOUDURE'!$L$7:$L$3006,B756,'CARNET DE SOUDURE'!$M$7:$M$3006,"&lt;&gt;"&amp;C756,'CARNET DE SOUDURE'!$M$7:$M$3006,"&lt;&gt;")+COUNTIFS('CARNET DE SOUDURE'!$O$7:$O$3006,B756,'CARNET DE SOUDURE'!$P$7:$P$3006,"&lt;&gt;"&amp;C756,'CARNET DE SOUDURE'!$P$7:$P$3006,"&lt;&gt;")&gt;0,"⚠ DIFFÉRENTE","OK"))</f>
        <v>OK</v>
      </c>
      <c r="F756" s="147" t="n">
        <v>11.94</v>
      </c>
      <c r="G756" s="80"/>
      <c r="H756" s="83"/>
      <c r="I756" s="148" t="str">
        <f aca="false">IF(B756="","",IFERROR(INDEX('CARNET DE SOUDURE'!$B$7:$B$3006,MATCH(B756,'CARNET DE SOUDURE'!$L$7:$L$3006,0)),IFERROR(INDEX('CARNET DE SOUDURE'!$B$7:$B$3006,MATCH(B756,'CARNET DE SOUDURE'!$O$7:$O$3006,0)),"")))</f>
        <v>MFD-ISW → MFD-CPF</v>
      </c>
      <c r="J756" s="82" t="str">
        <f aca="false">IF(B756="","",IFERROR(INDEX('CARNET DE SOUDURE'!$E$7:$E$3006,MATCH(B756,'CARNET DE SOUDURE'!$O$7:$O$3006,0)),""))</f>
        <v>JN°1388</v>
      </c>
      <c r="K756" s="82" t="str">
        <f aca="false">IF(B756="","",IFERROR(INDEX('CARNET DE SOUDURE'!$E$7:$E$3006,MATCH(B756,'CARNET DE SOUDURE'!$L$7:$L$3006,0)),""))</f>
        <v>DJ°156</v>
      </c>
      <c r="L756" s="82" t="n">
        <f aca="false">IF(B756="","",IFERROR(INDEX('CARNET DE SOUDURE'!$D$7:$D$3006,MATCH(B756,'CARNET DE SOUDURE'!$L$7:$L$3006,0)),IFERROR(INDEX('CARNET DE SOUDURE'!$D$7:$D$3006,MATCH(B756,'CARNET DE SOUDURE'!$O$7:$O$3006,0)),"")))</f>
        <v>16</v>
      </c>
      <c r="M756" s="82" t="str">
        <f aca="false">IF(B756="","",IF(OR(J756&lt;&gt;"",K756&lt;&gt;""),"POSÉ EN LIGNE",IF(COUNTIF(BARDAGE!$C$1:$C$5000,B756)&gt;0,"BARDÉ","EN STOCK")))</f>
        <v>POSÉ EN LIGNE</v>
      </c>
      <c r="N756" s="80"/>
    </row>
    <row r="757" customFormat="false" ht="15" hidden="false" customHeight="false" outlineLevel="0" collapsed="false">
      <c r="A757" s="82" t="n">
        <f aca="false">IF(B757="","",ROW()-6)</f>
        <v>751</v>
      </c>
      <c r="B757" s="145" t="n">
        <v>2081490</v>
      </c>
      <c r="C757" s="146" t="n">
        <v>15421103</v>
      </c>
      <c r="D757" s="146"/>
      <c r="E757" s="82" t="str">
        <f aca="false">IF(B757="","",IF(COUNTIFS('CARNET DE SOUDURE'!$L$7:$L$3006,B757,'CARNET DE SOUDURE'!$M$7:$M$3006,"&lt;&gt;"&amp;C757,'CARNET DE SOUDURE'!$M$7:$M$3006,"&lt;&gt;")+COUNTIFS('CARNET DE SOUDURE'!$O$7:$O$3006,B757,'CARNET DE SOUDURE'!$P$7:$P$3006,"&lt;&gt;"&amp;C757,'CARNET DE SOUDURE'!$P$7:$P$3006,"&lt;&gt;")&gt;0,"⚠ DIFFÉRENTE","OK"))</f>
        <v>OK</v>
      </c>
      <c r="F757" s="147" t="n">
        <v>11.94</v>
      </c>
      <c r="G757" s="80"/>
      <c r="H757" s="83"/>
      <c r="I757" s="148" t="str">
        <f aca="false">IF(B757="","",IFERROR(INDEX('CARNET DE SOUDURE'!$B$7:$B$3006,MATCH(B757,'CARNET DE SOUDURE'!$L$7:$L$3006,0)),IFERROR(INDEX('CARNET DE SOUDURE'!$B$7:$B$3006,MATCH(B757,'CARNET DE SOUDURE'!$O$7:$O$3006,0)),"")))</f>
        <v>MFD-ISW → MFD-CPF</v>
      </c>
      <c r="J757" s="82" t="str">
        <f aca="false">IF(B757="","",IFERROR(INDEX('CARNET DE SOUDURE'!$E$7:$E$3006,MATCH(B757,'CARNET DE SOUDURE'!$O$7:$O$3006,0)),""))</f>
        <v>DJ°156</v>
      </c>
      <c r="K757" s="82" t="str">
        <f aca="false">IF(B757="","",IFERROR(INDEX('CARNET DE SOUDURE'!$E$7:$E$3006,MATCH(B757,'CARNET DE SOUDURE'!$L$7:$L$3006,0)),""))</f>
        <v>JN°1389</v>
      </c>
      <c r="L757" s="82" t="n">
        <f aca="false">IF(B757="","",IFERROR(INDEX('CARNET DE SOUDURE'!$D$7:$D$3006,MATCH(B757,'CARNET DE SOUDURE'!$L$7:$L$3006,0)),IFERROR(INDEX('CARNET DE SOUDURE'!$D$7:$D$3006,MATCH(B757,'CARNET DE SOUDURE'!$O$7:$O$3006,0)),"")))</f>
        <v>16</v>
      </c>
      <c r="M757" s="82" t="str">
        <f aca="false">IF(B757="","",IF(OR(J757&lt;&gt;"",K757&lt;&gt;""),"POSÉ EN LIGNE",IF(COUNTIF(BARDAGE!$C$1:$C$5000,B757)&gt;0,"BARDÉ","EN STOCK")))</f>
        <v>POSÉ EN LIGNE</v>
      </c>
      <c r="N757" s="80"/>
    </row>
    <row r="758" customFormat="false" ht="15" hidden="false" customHeight="false" outlineLevel="0" collapsed="false">
      <c r="A758" s="82" t="n">
        <f aca="false">IF(B758="","",ROW()-6)</f>
        <v>752</v>
      </c>
      <c r="B758" s="145" t="n">
        <v>2093280</v>
      </c>
      <c r="C758" s="146" t="n">
        <v>15421110</v>
      </c>
      <c r="D758" s="146"/>
      <c r="E758" s="82" t="str">
        <f aca="false">IF(B758="","",IF(COUNTIFS('CARNET DE SOUDURE'!$L$7:$L$3006,B758,'CARNET DE SOUDURE'!$M$7:$M$3006,"&lt;&gt;"&amp;C758,'CARNET DE SOUDURE'!$M$7:$M$3006,"&lt;&gt;")+COUNTIFS('CARNET DE SOUDURE'!$O$7:$O$3006,B758,'CARNET DE SOUDURE'!$P$7:$P$3006,"&lt;&gt;"&amp;C758,'CARNET DE SOUDURE'!$P$7:$P$3006,"&lt;&gt;")&gt;0,"⚠ DIFFÉRENTE","OK"))</f>
        <v>OK</v>
      </c>
      <c r="F758" s="147" t="n">
        <v>11.94</v>
      </c>
      <c r="G758" s="80"/>
      <c r="H758" s="83"/>
      <c r="I758" s="148" t="str">
        <f aca="false">IF(B758="","",IFERROR(INDEX('CARNET DE SOUDURE'!$B$7:$B$3006,MATCH(B758,'CARNET DE SOUDURE'!$L$7:$L$3006,0)),IFERROR(INDEX('CARNET DE SOUDURE'!$B$7:$B$3006,MATCH(B758,'CARNET DE SOUDURE'!$O$7:$O$3006,0)),"")))</f>
        <v>MFD-ISW → MFD-CPF</v>
      </c>
      <c r="J758" s="82" t="str">
        <f aca="false">IF(B758="","",IFERROR(INDEX('CARNET DE SOUDURE'!$E$7:$E$3006,MATCH(B758,'CARNET DE SOUDURE'!$O$7:$O$3006,0)),""))</f>
        <v>JN°1389</v>
      </c>
      <c r="K758" s="82" t="str">
        <f aca="false">IF(B758="","",IFERROR(INDEX('CARNET DE SOUDURE'!$E$7:$E$3006,MATCH(B758,'CARNET DE SOUDURE'!$L$7:$L$3006,0)),""))</f>
        <v>DJ°157</v>
      </c>
      <c r="L758" s="82" t="n">
        <f aca="false">IF(B758="","",IFERROR(INDEX('CARNET DE SOUDURE'!$D$7:$D$3006,MATCH(B758,'CARNET DE SOUDURE'!$L$7:$L$3006,0)),IFERROR(INDEX('CARNET DE SOUDURE'!$D$7:$D$3006,MATCH(B758,'CARNET DE SOUDURE'!$O$7:$O$3006,0)),"")))</f>
        <v>16</v>
      </c>
      <c r="M758" s="82" t="str">
        <f aca="false">IF(B758="","",IF(OR(J758&lt;&gt;"",K758&lt;&gt;""),"POSÉ EN LIGNE",IF(COUNTIF(BARDAGE!$C$1:$C$5000,B758)&gt;0,"BARDÉ","EN STOCK")))</f>
        <v>POSÉ EN LIGNE</v>
      </c>
      <c r="N758" s="80"/>
    </row>
    <row r="759" customFormat="false" ht="15" hidden="false" customHeight="false" outlineLevel="0" collapsed="false">
      <c r="A759" s="82" t="n">
        <f aca="false">IF(B759="","",ROW()-6)</f>
        <v>753</v>
      </c>
      <c r="B759" s="145" t="n">
        <v>2098430</v>
      </c>
      <c r="C759" s="146" t="n">
        <v>15421102</v>
      </c>
      <c r="D759" s="146"/>
      <c r="E759" s="82" t="str">
        <f aca="false">IF(B759="","",IF(COUNTIFS('CARNET DE SOUDURE'!$L$7:$L$3006,B759,'CARNET DE SOUDURE'!$M$7:$M$3006,"&lt;&gt;"&amp;C759,'CARNET DE SOUDURE'!$M$7:$M$3006,"&lt;&gt;")+COUNTIFS('CARNET DE SOUDURE'!$O$7:$O$3006,B759,'CARNET DE SOUDURE'!$P$7:$P$3006,"&lt;&gt;"&amp;C759,'CARNET DE SOUDURE'!$P$7:$P$3006,"&lt;&gt;")&gt;0,"⚠ DIFFÉRENTE","OK"))</f>
        <v>OK</v>
      </c>
      <c r="F759" s="147" t="n">
        <v>11.94</v>
      </c>
      <c r="G759" s="80"/>
      <c r="H759" s="83"/>
      <c r="I759" s="148" t="str">
        <f aca="false">IF(B759="","",IFERROR(INDEX('CARNET DE SOUDURE'!$B$7:$B$3006,MATCH(B759,'CARNET DE SOUDURE'!$L$7:$L$3006,0)),IFERROR(INDEX('CARNET DE SOUDURE'!$B$7:$B$3006,MATCH(B759,'CARNET DE SOUDURE'!$O$7:$O$3006,0)),"")))</f>
        <v>MFD-ISW → MFD-CPF</v>
      </c>
      <c r="J759" s="82" t="str">
        <f aca="false">IF(B759="","",IFERROR(INDEX('CARNET DE SOUDURE'!$E$7:$E$3006,MATCH(B759,'CARNET DE SOUDURE'!$O$7:$O$3006,0)),""))</f>
        <v>DJ°157</v>
      </c>
      <c r="K759" s="82" t="str">
        <f aca="false">IF(B759="","",IFERROR(INDEX('CARNET DE SOUDURE'!$E$7:$E$3006,MATCH(B759,'CARNET DE SOUDURE'!$L$7:$L$3006,0)),""))</f>
        <v>JN°1390</v>
      </c>
      <c r="L759" s="82" t="n">
        <f aca="false">IF(B759="","",IFERROR(INDEX('CARNET DE SOUDURE'!$D$7:$D$3006,MATCH(B759,'CARNET DE SOUDURE'!$L$7:$L$3006,0)),IFERROR(INDEX('CARNET DE SOUDURE'!$D$7:$D$3006,MATCH(B759,'CARNET DE SOUDURE'!$O$7:$O$3006,0)),"")))</f>
        <v>16</v>
      </c>
      <c r="M759" s="82" t="str">
        <f aca="false">IF(B759="","",IF(OR(J759&lt;&gt;"",K759&lt;&gt;""),"POSÉ EN LIGNE",IF(COUNTIF(BARDAGE!$C$1:$C$5000,B759)&gt;0,"BARDÉ","EN STOCK")))</f>
        <v>POSÉ EN LIGNE</v>
      </c>
      <c r="N759" s="80"/>
    </row>
    <row r="760" customFormat="false" ht="15" hidden="false" customHeight="false" outlineLevel="0" collapsed="false">
      <c r="A760" s="82" t="n">
        <f aca="false">IF(B760="","",ROW()-6)</f>
        <v>754</v>
      </c>
      <c r="B760" s="145" t="n">
        <v>2095610</v>
      </c>
      <c r="C760" s="146" t="n">
        <v>15421111</v>
      </c>
      <c r="D760" s="146"/>
      <c r="E760" s="82" t="str">
        <f aca="false">IF(B760="","",IF(COUNTIFS('CARNET DE SOUDURE'!$L$7:$L$3006,B760,'CARNET DE SOUDURE'!$M$7:$M$3006,"&lt;&gt;"&amp;C760,'CARNET DE SOUDURE'!$M$7:$M$3006,"&lt;&gt;")+COUNTIFS('CARNET DE SOUDURE'!$O$7:$O$3006,B760,'CARNET DE SOUDURE'!$P$7:$P$3006,"&lt;&gt;"&amp;C760,'CARNET DE SOUDURE'!$P$7:$P$3006,"&lt;&gt;")&gt;0,"⚠ DIFFÉRENTE","OK"))</f>
        <v>OK</v>
      </c>
      <c r="F760" s="147" t="n">
        <v>11.94</v>
      </c>
      <c r="G760" s="80"/>
      <c r="H760" s="83"/>
      <c r="I760" s="148" t="str">
        <f aca="false">IF(B760="","",IFERROR(INDEX('CARNET DE SOUDURE'!$B$7:$B$3006,MATCH(B760,'CARNET DE SOUDURE'!$L$7:$L$3006,0)),IFERROR(INDEX('CARNET DE SOUDURE'!$B$7:$B$3006,MATCH(B760,'CARNET DE SOUDURE'!$O$7:$O$3006,0)),"")))</f>
        <v>MFD-ISW → MFD-CPF</v>
      </c>
      <c r="J760" s="82" t="str">
        <f aca="false">IF(B760="","",IFERROR(INDEX('CARNET DE SOUDURE'!$E$7:$E$3006,MATCH(B760,'CARNET DE SOUDURE'!$O$7:$O$3006,0)),""))</f>
        <v>JN°1390</v>
      </c>
      <c r="K760" s="82" t="str">
        <f aca="false">IF(B760="","",IFERROR(INDEX('CARNET DE SOUDURE'!$E$7:$E$3006,MATCH(B760,'CARNET DE SOUDURE'!$L$7:$L$3006,0)),""))</f>
        <v>DJ°089</v>
      </c>
      <c r="L760" s="82" t="n">
        <f aca="false">IF(B760="","",IFERROR(INDEX('CARNET DE SOUDURE'!$D$7:$D$3006,MATCH(B760,'CARNET DE SOUDURE'!$L$7:$L$3006,0)),IFERROR(INDEX('CARNET DE SOUDURE'!$D$7:$D$3006,MATCH(B760,'CARNET DE SOUDURE'!$O$7:$O$3006,0)),"")))</f>
        <v>16</v>
      </c>
      <c r="M760" s="82" t="str">
        <f aca="false">IF(B760="","",IF(OR(J760&lt;&gt;"",K760&lt;&gt;""),"POSÉ EN LIGNE",IF(COUNTIF(BARDAGE!$C$1:$C$5000,B760)&gt;0,"BARDÉ","EN STOCK")))</f>
        <v>POSÉ EN LIGNE</v>
      </c>
      <c r="N760" s="80"/>
    </row>
    <row r="761" customFormat="false" ht="15" hidden="false" customHeight="false" outlineLevel="0" collapsed="false">
      <c r="A761" s="82" t="n">
        <f aca="false">IF(B761="","",ROW()-6)</f>
        <v>755</v>
      </c>
      <c r="B761" s="145" t="n">
        <v>2097670</v>
      </c>
      <c r="C761" s="146" t="n">
        <v>15421112</v>
      </c>
      <c r="D761" s="146"/>
      <c r="E761" s="82" t="str">
        <f aca="false">IF(B761="","",IF(COUNTIFS('CARNET DE SOUDURE'!$L$7:$L$3006,B761,'CARNET DE SOUDURE'!$M$7:$M$3006,"&lt;&gt;"&amp;C761,'CARNET DE SOUDURE'!$M$7:$M$3006,"&lt;&gt;")+COUNTIFS('CARNET DE SOUDURE'!$O$7:$O$3006,B761,'CARNET DE SOUDURE'!$P$7:$P$3006,"&lt;&gt;"&amp;C761,'CARNET DE SOUDURE'!$P$7:$P$3006,"&lt;&gt;")&gt;0,"⚠ DIFFÉRENTE","OK"))</f>
        <v>OK</v>
      </c>
      <c r="F761" s="147" t="n">
        <v>11.94</v>
      </c>
      <c r="G761" s="80"/>
      <c r="H761" s="83"/>
      <c r="I761" s="148" t="str">
        <f aca="false">IF(B761="","",IFERROR(INDEX('CARNET DE SOUDURE'!$B$7:$B$3006,MATCH(B761,'CARNET DE SOUDURE'!$L$7:$L$3006,0)),IFERROR(INDEX('CARNET DE SOUDURE'!$B$7:$B$3006,MATCH(B761,'CARNET DE SOUDURE'!$O$7:$O$3006,0)),"")))</f>
        <v>MFD-ISW → MFD-CPF</v>
      </c>
      <c r="J761" s="82" t="str">
        <f aca="false">IF(B761="","",IFERROR(INDEX('CARNET DE SOUDURE'!$E$7:$E$3006,MATCH(B761,'CARNET DE SOUDURE'!$O$7:$O$3006,0)),""))</f>
        <v>DJ°089</v>
      </c>
      <c r="K761" s="82" t="str">
        <f aca="false">IF(B761="","",IFERROR(INDEX('CARNET DE SOUDURE'!$E$7:$E$3006,MATCH(B761,'CARNET DE SOUDURE'!$L$7:$L$3006,0)),""))</f>
        <v>JN°1391</v>
      </c>
      <c r="L761" s="82" t="n">
        <f aca="false">IF(B761="","",IFERROR(INDEX('CARNET DE SOUDURE'!$D$7:$D$3006,MATCH(B761,'CARNET DE SOUDURE'!$L$7:$L$3006,0)),IFERROR(INDEX('CARNET DE SOUDURE'!$D$7:$D$3006,MATCH(B761,'CARNET DE SOUDURE'!$O$7:$O$3006,0)),"")))</f>
        <v>16</v>
      </c>
      <c r="M761" s="82" t="str">
        <f aca="false">IF(B761="","",IF(OR(J761&lt;&gt;"",K761&lt;&gt;""),"POSÉ EN LIGNE",IF(COUNTIF(BARDAGE!$C$1:$C$5000,B761)&gt;0,"BARDÉ","EN STOCK")))</f>
        <v>POSÉ EN LIGNE</v>
      </c>
      <c r="N761" s="80"/>
    </row>
    <row r="762" customFormat="false" ht="15" hidden="false" customHeight="false" outlineLevel="0" collapsed="false">
      <c r="A762" s="82" t="n">
        <f aca="false">IF(B762="","",ROW()-6)</f>
        <v>756</v>
      </c>
      <c r="B762" s="145" t="n">
        <v>2090010</v>
      </c>
      <c r="C762" s="146" t="n">
        <v>15421109</v>
      </c>
      <c r="D762" s="146"/>
      <c r="E762" s="82" t="str">
        <f aca="false">IF(B762="","",IF(COUNTIFS('CARNET DE SOUDURE'!$L$7:$L$3006,B762,'CARNET DE SOUDURE'!$M$7:$M$3006,"&lt;&gt;"&amp;C762,'CARNET DE SOUDURE'!$M$7:$M$3006,"&lt;&gt;")+COUNTIFS('CARNET DE SOUDURE'!$O$7:$O$3006,B762,'CARNET DE SOUDURE'!$P$7:$P$3006,"&lt;&gt;"&amp;C762,'CARNET DE SOUDURE'!$P$7:$P$3006,"&lt;&gt;")&gt;0,"⚠ DIFFÉRENTE","OK"))</f>
        <v>OK</v>
      </c>
      <c r="F762" s="147" t="n">
        <v>11.94</v>
      </c>
      <c r="G762" s="80"/>
      <c r="H762" s="83"/>
      <c r="I762" s="148" t="str">
        <f aca="false">IF(B762="","",IFERROR(INDEX('CARNET DE SOUDURE'!$B$7:$B$3006,MATCH(B762,'CARNET DE SOUDURE'!$L$7:$L$3006,0)),IFERROR(INDEX('CARNET DE SOUDURE'!$B$7:$B$3006,MATCH(B762,'CARNET DE SOUDURE'!$O$7:$O$3006,0)),"")))</f>
        <v>MFD-ISW → MFD-CPF</v>
      </c>
      <c r="J762" s="82" t="str">
        <f aca="false">IF(B762="","",IFERROR(INDEX('CARNET DE SOUDURE'!$E$7:$E$3006,MATCH(B762,'CARNET DE SOUDURE'!$O$7:$O$3006,0)),""))</f>
        <v>JN°1391</v>
      </c>
      <c r="K762" s="82" t="str">
        <f aca="false">IF(B762="","",IFERROR(INDEX('CARNET DE SOUDURE'!$E$7:$E$3006,MATCH(B762,'CARNET DE SOUDURE'!$L$7:$L$3006,0)),""))</f>
        <v>DJ°068</v>
      </c>
      <c r="L762" s="82" t="n">
        <f aca="false">IF(B762="","",IFERROR(INDEX('CARNET DE SOUDURE'!$D$7:$D$3006,MATCH(B762,'CARNET DE SOUDURE'!$L$7:$L$3006,0)),IFERROR(INDEX('CARNET DE SOUDURE'!$D$7:$D$3006,MATCH(B762,'CARNET DE SOUDURE'!$O$7:$O$3006,0)),"")))</f>
        <v>16</v>
      </c>
      <c r="M762" s="82" t="str">
        <f aca="false">IF(B762="","",IF(OR(J762&lt;&gt;"",K762&lt;&gt;""),"POSÉ EN LIGNE",IF(COUNTIF(BARDAGE!$C$1:$C$5000,B762)&gt;0,"BARDÉ","EN STOCK")))</f>
        <v>POSÉ EN LIGNE</v>
      </c>
      <c r="N762" s="80"/>
    </row>
    <row r="763" customFormat="false" ht="15" hidden="false" customHeight="false" outlineLevel="0" collapsed="false">
      <c r="A763" s="82" t="n">
        <f aca="false">IF(B763="","",ROW()-6)</f>
        <v>757</v>
      </c>
      <c r="B763" s="145" t="n">
        <v>2098470</v>
      </c>
      <c r="C763" s="146" t="n">
        <v>15421112</v>
      </c>
      <c r="D763" s="146"/>
      <c r="E763" s="82" t="str">
        <f aca="false">IF(B763="","",IF(COUNTIFS('CARNET DE SOUDURE'!$L$7:$L$3006,B763,'CARNET DE SOUDURE'!$M$7:$M$3006,"&lt;&gt;"&amp;C763,'CARNET DE SOUDURE'!$M$7:$M$3006,"&lt;&gt;")+COUNTIFS('CARNET DE SOUDURE'!$O$7:$O$3006,B763,'CARNET DE SOUDURE'!$P$7:$P$3006,"&lt;&gt;"&amp;C763,'CARNET DE SOUDURE'!$P$7:$P$3006,"&lt;&gt;")&gt;0,"⚠ DIFFÉRENTE","OK"))</f>
        <v>OK</v>
      </c>
      <c r="F763" s="147" t="n">
        <v>11.94</v>
      </c>
      <c r="G763" s="80"/>
      <c r="H763" s="83"/>
      <c r="I763" s="148" t="str">
        <f aca="false">IF(B763="","",IFERROR(INDEX('CARNET DE SOUDURE'!$B$7:$B$3006,MATCH(B763,'CARNET DE SOUDURE'!$L$7:$L$3006,0)),IFERROR(INDEX('CARNET DE SOUDURE'!$B$7:$B$3006,MATCH(B763,'CARNET DE SOUDURE'!$O$7:$O$3006,0)),"")))</f>
        <v>MFD-ISW → MFD-CPF</v>
      </c>
      <c r="J763" s="82" t="str">
        <f aca="false">IF(B763="","",IFERROR(INDEX('CARNET DE SOUDURE'!$E$7:$E$3006,MATCH(B763,'CARNET DE SOUDURE'!$O$7:$O$3006,0)),""))</f>
        <v>DJ°068</v>
      </c>
      <c r="K763" s="82" t="str">
        <f aca="false">IF(B763="","",IFERROR(INDEX('CARNET DE SOUDURE'!$E$7:$E$3006,MATCH(B763,'CARNET DE SOUDURE'!$L$7:$L$3006,0)),""))</f>
        <v>JN°1392</v>
      </c>
      <c r="L763" s="82" t="n">
        <f aca="false">IF(B763="","",IFERROR(INDEX('CARNET DE SOUDURE'!$D$7:$D$3006,MATCH(B763,'CARNET DE SOUDURE'!$L$7:$L$3006,0)),IFERROR(INDEX('CARNET DE SOUDURE'!$D$7:$D$3006,MATCH(B763,'CARNET DE SOUDURE'!$O$7:$O$3006,0)),"")))</f>
        <v>16</v>
      </c>
      <c r="M763" s="82" t="str">
        <f aca="false">IF(B763="","",IF(OR(J763&lt;&gt;"",K763&lt;&gt;""),"POSÉ EN LIGNE",IF(COUNTIF(BARDAGE!$C$1:$C$5000,B763)&gt;0,"BARDÉ","EN STOCK")))</f>
        <v>POSÉ EN LIGNE</v>
      </c>
      <c r="N763" s="80"/>
    </row>
    <row r="764" customFormat="false" ht="15" hidden="false" customHeight="false" outlineLevel="0" collapsed="false">
      <c r="A764" s="82" t="n">
        <f aca="false">IF(B764="","",ROW()-6)</f>
        <v>758</v>
      </c>
      <c r="B764" s="145" t="n">
        <v>2097500</v>
      </c>
      <c r="C764" s="146" t="n">
        <v>15421112</v>
      </c>
      <c r="D764" s="146"/>
      <c r="E764" s="82" t="str">
        <f aca="false">IF(B764="","",IF(COUNTIFS('CARNET DE SOUDURE'!$L$7:$L$3006,B764,'CARNET DE SOUDURE'!$M$7:$M$3006,"&lt;&gt;"&amp;C764,'CARNET DE SOUDURE'!$M$7:$M$3006,"&lt;&gt;")+COUNTIFS('CARNET DE SOUDURE'!$O$7:$O$3006,B764,'CARNET DE SOUDURE'!$P$7:$P$3006,"&lt;&gt;"&amp;C764,'CARNET DE SOUDURE'!$P$7:$P$3006,"&lt;&gt;")&gt;0,"⚠ DIFFÉRENTE","OK"))</f>
        <v>OK</v>
      </c>
      <c r="F764" s="147" t="n">
        <v>11.94</v>
      </c>
      <c r="G764" s="80"/>
      <c r="H764" s="83"/>
      <c r="I764" s="148" t="str">
        <f aca="false">IF(B764="","",IFERROR(INDEX('CARNET DE SOUDURE'!$B$7:$B$3006,MATCH(B764,'CARNET DE SOUDURE'!$L$7:$L$3006,0)),IFERROR(INDEX('CARNET DE SOUDURE'!$B$7:$B$3006,MATCH(B764,'CARNET DE SOUDURE'!$O$7:$O$3006,0)),"")))</f>
        <v>MFD-ISW → MFD-CPF</v>
      </c>
      <c r="J764" s="82" t="str">
        <f aca="false">IF(B764="","",IFERROR(INDEX('CARNET DE SOUDURE'!$E$7:$E$3006,MATCH(B764,'CARNET DE SOUDURE'!$O$7:$O$3006,0)),""))</f>
        <v>JN°1392</v>
      </c>
      <c r="K764" s="82" t="str">
        <f aca="false">IF(B764="","",IFERROR(INDEX('CARNET DE SOUDURE'!$E$7:$E$3006,MATCH(B764,'CARNET DE SOUDURE'!$L$7:$L$3006,0)),""))</f>
        <v>DJ°123</v>
      </c>
      <c r="L764" s="82" t="n">
        <f aca="false">IF(B764="","",IFERROR(INDEX('CARNET DE SOUDURE'!$D$7:$D$3006,MATCH(B764,'CARNET DE SOUDURE'!$L$7:$L$3006,0)),IFERROR(INDEX('CARNET DE SOUDURE'!$D$7:$D$3006,MATCH(B764,'CARNET DE SOUDURE'!$O$7:$O$3006,0)),"")))</f>
        <v>16</v>
      </c>
      <c r="M764" s="82" t="str">
        <f aca="false">IF(B764="","",IF(OR(J764&lt;&gt;"",K764&lt;&gt;""),"POSÉ EN LIGNE",IF(COUNTIF(BARDAGE!$C$1:$C$5000,B764)&gt;0,"BARDÉ","EN STOCK")))</f>
        <v>POSÉ EN LIGNE</v>
      </c>
      <c r="N764" s="80"/>
    </row>
    <row r="765" customFormat="false" ht="15" hidden="false" customHeight="false" outlineLevel="0" collapsed="false">
      <c r="A765" s="82" t="n">
        <f aca="false">IF(B765="","",ROW()-6)</f>
        <v>759</v>
      </c>
      <c r="B765" s="145" t="n">
        <v>2083710</v>
      </c>
      <c r="C765" s="146" t="n">
        <v>15421112</v>
      </c>
      <c r="D765" s="146"/>
      <c r="E765" s="82" t="str">
        <f aca="false">IF(B765="","",IF(COUNTIFS('CARNET DE SOUDURE'!$L$7:$L$3006,B765,'CARNET DE SOUDURE'!$M$7:$M$3006,"&lt;&gt;"&amp;C765,'CARNET DE SOUDURE'!$M$7:$M$3006,"&lt;&gt;")+COUNTIFS('CARNET DE SOUDURE'!$O$7:$O$3006,B765,'CARNET DE SOUDURE'!$P$7:$P$3006,"&lt;&gt;"&amp;C765,'CARNET DE SOUDURE'!$P$7:$P$3006,"&lt;&gt;")&gt;0,"⚠ DIFFÉRENTE","OK"))</f>
        <v>OK</v>
      </c>
      <c r="F765" s="147" t="n">
        <v>11.94</v>
      </c>
      <c r="G765" s="80"/>
      <c r="H765" s="83"/>
      <c r="I765" s="148" t="str">
        <f aca="false">IF(B765="","",IFERROR(INDEX('CARNET DE SOUDURE'!$B$7:$B$3006,MATCH(B765,'CARNET DE SOUDURE'!$L$7:$L$3006,0)),IFERROR(INDEX('CARNET DE SOUDURE'!$B$7:$B$3006,MATCH(B765,'CARNET DE SOUDURE'!$O$7:$O$3006,0)),"")))</f>
        <v>MFD-ISW → MFD-CPF</v>
      </c>
      <c r="J765" s="82" t="str">
        <f aca="false">IF(B765="","",IFERROR(INDEX('CARNET DE SOUDURE'!$E$7:$E$3006,MATCH(B765,'CARNET DE SOUDURE'!$O$7:$O$3006,0)),""))</f>
        <v>DJ°123</v>
      </c>
      <c r="K765" s="82" t="str">
        <f aca="false">IF(B765="","",IFERROR(INDEX('CARNET DE SOUDURE'!$E$7:$E$3006,MATCH(B765,'CARNET DE SOUDURE'!$L$7:$L$3006,0)),""))</f>
        <v>JN°1393</v>
      </c>
      <c r="L765" s="82" t="n">
        <f aca="false">IF(B765="","",IFERROR(INDEX('CARNET DE SOUDURE'!$D$7:$D$3006,MATCH(B765,'CARNET DE SOUDURE'!$L$7:$L$3006,0)),IFERROR(INDEX('CARNET DE SOUDURE'!$D$7:$D$3006,MATCH(B765,'CARNET DE SOUDURE'!$O$7:$O$3006,0)),"")))</f>
        <v>16</v>
      </c>
      <c r="M765" s="82" t="str">
        <f aca="false">IF(B765="","",IF(OR(J765&lt;&gt;"",K765&lt;&gt;""),"POSÉ EN LIGNE",IF(COUNTIF(BARDAGE!$C$1:$C$5000,B765)&gt;0,"BARDÉ","EN STOCK")))</f>
        <v>POSÉ EN LIGNE</v>
      </c>
      <c r="N765" s="80"/>
    </row>
    <row r="766" customFormat="false" ht="15" hidden="false" customHeight="false" outlineLevel="0" collapsed="false">
      <c r="A766" s="82" t="n">
        <f aca="false">IF(B766="","",ROW()-6)</f>
        <v>760</v>
      </c>
      <c r="B766" s="145" t="n">
        <v>2088060</v>
      </c>
      <c r="C766" s="146" t="n">
        <v>15421105</v>
      </c>
      <c r="D766" s="146"/>
      <c r="E766" s="82" t="str">
        <f aca="false">IF(B766="","",IF(COUNTIFS('CARNET DE SOUDURE'!$L$7:$L$3006,B766,'CARNET DE SOUDURE'!$M$7:$M$3006,"&lt;&gt;"&amp;C766,'CARNET DE SOUDURE'!$M$7:$M$3006,"&lt;&gt;")+COUNTIFS('CARNET DE SOUDURE'!$O$7:$O$3006,B766,'CARNET DE SOUDURE'!$P$7:$P$3006,"&lt;&gt;"&amp;C766,'CARNET DE SOUDURE'!$P$7:$P$3006,"&lt;&gt;")&gt;0,"⚠ DIFFÉRENTE","OK"))</f>
        <v>OK</v>
      </c>
      <c r="F766" s="147" t="n">
        <v>11.94</v>
      </c>
      <c r="G766" s="80"/>
      <c r="H766" s="83"/>
      <c r="I766" s="148" t="str">
        <f aca="false">IF(B766="","",IFERROR(INDEX('CARNET DE SOUDURE'!$B$7:$B$3006,MATCH(B766,'CARNET DE SOUDURE'!$L$7:$L$3006,0)),IFERROR(INDEX('CARNET DE SOUDURE'!$B$7:$B$3006,MATCH(B766,'CARNET DE SOUDURE'!$O$7:$O$3006,0)),"")))</f>
        <v>MFD-ISW → MFD-CPF</v>
      </c>
      <c r="J766" s="82" t="str">
        <f aca="false">IF(B766="","",IFERROR(INDEX('CARNET DE SOUDURE'!$E$7:$E$3006,MATCH(B766,'CARNET DE SOUDURE'!$O$7:$O$3006,0)),""))</f>
        <v>JN°1393</v>
      </c>
      <c r="K766" s="82" t="str">
        <f aca="false">IF(B766="","",IFERROR(INDEX('CARNET DE SOUDURE'!$E$7:$E$3006,MATCH(B766,'CARNET DE SOUDURE'!$L$7:$L$3006,0)),""))</f>
        <v>DJ°032</v>
      </c>
      <c r="L766" s="82" t="n">
        <f aca="false">IF(B766="","",IFERROR(INDEX('CARNET DE SOUDURE'!$D$7:$D$3006,MATCH(B766,'CARNET DE SOUDURE'!$L$7:$L$3006,0)),IFERROR(INDEX('CARNET DE SOUDURE'!$D$7:$D$3006,MATCH(B766,'CARNET DE SOUDURE'!$O$7:$O$3006,0)),"")))</f>
        <v>16</v>
      </c>
      <c r="M766" s="82" t="str">
        <f aca="false">IF(B766="","",IF(OR(J766&lt;&gt;"",K766&lt;&gt;""),"POSÉ EN LIGNE",IF(COUNTIF(BARDAGE!$C$1:$C$5000,B766)&gt;0,"BARDÉ","EN STOCK")))</f>
        <v>POSÉ EN LIGNE</v>
      </c>
      <c r="N766" s="80"/>
    </row>
    <row r="767" customFormat="false" ht="15" hidden="false" customHeight="false" outlineLevel="0" collapsed="false">
      <c r="A767" s="82" t="n">
        <f aca="false">IF(B767="","",ROW()-6)</f>
        <v>761</v>
      </c>
      <c r="B767" s="145" t="n">
        <v>2086830</v>
      </c>
      <c r="C767" s="146" t="n">
        <v>15421108</v>
      </c>
      <c r="D767" s="146"/>
      <c r="E767" s="82" t="str">
        <f aca="false">IF(B767="","",IF(COUNTIFS('CARNET DE SOUDURE'!$L$7:$L$3006,B767,'CARNET DE SOUDURE'!$M$7:$M$3006,"&lt;&gt;"&amp;C767,'CARNET DE SOUDURE'!$M$7:$M$3006,"&lt;&gt;")+COUNTIFS('CARNET DE SOUDURE'!$O$7:$O$3006,B767,'CARNET DE SOUDURE'!$P$7:$P$3006,"&lt;&gt;"&amp;C767,'CARNET DE SOUDURE'!$P$7:$P$3006,"&lt;&gt;")&gt;0,"⚠ DIFFÉRENTE","OK"))</f>
        <v>OK</v>
      </c>
      <c r="F767" s="147" t="n">
        <v>11.94</v>
      </c>
      <c r="G767" s="80"/>
      <c r="H767" s="83"/>
      <c r="I767" s="148" t="str">
        <f aca="false">IF(B767="","",IFERROR(INDEX('CARNET DE SOUDURE'!$B$7:$B$3006,MATCH(B767,'CARNET DE SOUDURE'!$L$7:$L$3006,0)),IFERROR(INDEX('CARNET DE SOUDURE'!$B$7:$B$3006,MATCH(B767,'CARNET DE SOUDURE'!$O$7:$O$3006,0)),"")))</f>
        <v>MFD-ISW → MFD-CPF</v>
      </c>
      <c r="J767" s="82" t="str">
        <f aca="false">IF(B767="","",IFERROR(INDEX('CARNET DE SOUDURE'!$E$7:$E$3006,MATCH(B767,'CARNET DE SOUDURE'!$O$7:$O$3006,0)),""))</f>
        <v>DJ°032</v>
      </c>
      <c r="K767" s="82" t="str">
        <f aca="false">IF(B767="","",IFERROR(INDEX('CARNET DE SOUDURE'!$E$7:$E$3006,MATCH(B767,'CARNET DE SOUDURE'!$L$7:$L$3006,0)),""))</f>
        <v>JN°1394</v>
      </c>
      <c r="L767" s="82" t="n">
        <f aca="false">IF(B767="","",IFERROR(INDEX('CARNET DE SOUDURE'!$D$7:$D$3006,MATCH(B767,'CARNET DE SOUDURE'!$L$7:$L$3006,0)),IFERROR(INDEX('CARNET DE SOUDURE'!$D$7:$D$3006,MATCH(B767,'CARNET DE SOUDURE'!$O$7:$O$3006,0)),"")))</f>
        <v>16</v>
      </c>
      <c r="M767" s="82" t="str">
        <f aca="false">IF(B767="","",IF(OR(J767&lt;&gt;"",K767&lt;&gt;""),"POSÉ EN LIGNE",IF(COUNTIF(BARDAGE!$C$1:$C$5000,B767)&gt;0,"BARDÉ","EN STOCK")))</f>
        <v>POSÉ EN LIGNE</v>
      </c>
      <c r="N767" s="80"/>
    </row>
    <row r="768" customFormat="false" ht="15" hidden="false" customHeight="false" outlineLevel="0" collapsed="false">
      <c r="A768" s="82" t="n">
        <f aca="false">IF(B768="","",ROW()-6)</f>
        <v>762</v>
      </c>
      <c r="B768" s="145" t="n">
        <v>2090430</v>
      </c>
      <c r="C768" s="146" t="n">
        <v>15421107</v>
      </c>
      <c r="D768" s="146"/>
      <c r="E768" s="82" t="str">
        <f aca="false">IF(B768="","",IF(COUNTIFS('CARNET DE SOUDURE'!$L$7:$L$3006,B768,'CARNET DE SOUDURE'!$M$7:$M$3006,"&lt;&gt;"&amp;C768,'CARNET DE SOUDURE'!$M$7:$M$3006,"&lt;&gt;")+COUNTIFS('CARNET DE SOUDURE'!$O$7:$O$3006,B768,'CARNET DE SOUDURE'!$P$7:$P$3006,"&lt;&gt;"&amp;C768,'CARNET DE SOUDURE'!$P$7:$P$3006,"&lt;&gt;")&gt;0,"⚠ DIFFÉRENTE","OK"))</f>
        <v>OK</v>
      </c>
      <c r="F768" s="147" t="n">
        <v>11.94</v>
      </c>
      <c r="G768" s="80"/>
      <c r="H768" s="83"/>
      <c r="I768" s="148" t="str">
        <f aca="false">IF(B768="","",IFERROR(INDEX('CARNET DE SOUDURE'!$B$7:$B$3006,MATCH(B768,'CARNET DE SOUDURE'!$L$7:$L$3006,0)),IFERROR(INDEX('CARNET DE SOUDURE'!$B$7:$B$3006,MATCH(B768,'CARNET DE SOUDURE'!$O$7:$O$3006,0)),"")))</f>
        <v>MFD-ISW → MFD-CPF</v>
      </c>
      <c r="J768" s="82" t="str">
        <f aca="false">IF(B768="","",IFERROR(INDEX('CARNET DE SOUDURE'!$E$7:$E$3006,MATCH(B768,'CARNET DE SOUDURE'!$O$7:$O$3006,0)),""))</f>
        <v>JN°1394</v>
      </c>
      <c r="K768" s="82" t="str">
        <f aca="false">IF(B768="","",IFERROR(INDEX('CARNET DE SOUDURE'!$E$7:$E$3006,MATCH(B768,'CARNET DE SOUDURE'!$L$7:$L$3006,0)),""))</f>
        <v>DJ°122</v>
      </c>
      <c r="L768" s="82" t="n">
        <f aca="false">IF(B768="","",IFERROR(INDEX('CARNET DE SOUDURE'!$D$7:$D$3006,MATCH(B768,'CARNET DE SOUDURE'!$L$7:$L$3006,0)),IFERROR(INDEX('CARNET DE SOUDURE'!$D$7:$D$3006,MATCH(B768,'CARNET DE SOUDURE'!$O$7:$O$3006,0)),"")))</f>
        <v>16</v>
      </c>
      <c r="M768" s="82" t="str">
        <f aca="false">IF(B768="","",IF(OR(J768&lt;&gt;"",K768&lt;&gt;""),"POSÉ EN LIGNE",IF(COUNTIF(BARDAGE!$C$1:$C$5000,B768)&gt;0,"BARDÉ","EN STOCK")))</f>
        <v>POSÉ EN LIGNE</v>
      </c>
      <c r="N768" s="80"/>
    </row>
    <row r="769" customFormat="false" ht="15" hidden="false" customHeight="false" outlineLevel="0" collapsed="false">
      <c r="A769" s="82" t="n">
        <f aca="false">IF(B769="","",ROW()-6)</f>
        <v>763</v>
      </c>
      <c r="B769" s="145" t="n">
        <v>2094440</v>
      </c>
      <c r="C769" s="146" t="n">
        <v>15421109</v>
      </c>
      <c r="D769" s="146"/>
      <c r="E769" s="82" t="str">
        <f aca="false">IF(B769="","",IF(COUNTIFS('CARNET DE SOUDURE'!$L$7:$L$3006,B769,'CARNET DE SOUDURE'!$M$7:$M$3006,"&lt;&gt;"&amp;C769,'CARNET DE SOUDURE'!$M$7:$M$3006,"&lt;&gt;")+COUNTIFS('CARNET DE SOUDURE'!$O$7:$O$3006,B769,'CARNET DE SOUDURE'!$P$7:$P$3006,"&lt;&gt;"&amp;C769,'CARNET DE SOUDURE'!$P$7:$P$3006,"&lt;&gt;")&gt;0,"⚠ DIFFÉRENTE","OK"))</f>
        <v>OK</v>
      </c>
      <c r="F769" s="147" t="n">
        <v>11.94</v>
      </c>
      <c r="G769" s="80"/>
      <c r="H769" s="83"/>
      <c r="I769" s="148" t="str">
        <f aca="false">IF(B769="","",IFERROR(INDEX('CARNET DE SOUDURE'!$B$7:$B$3006,MATCH(B769,'CARNET DE SOUDURE'!$L$7:$L$3006,0)),IFERROR(INDEX('CARNET DE SOUDURE'!$B$7:$B$3006,MATCH(B769,'CARNET DE SOUDURE'!$O$7:$O$3006,0)),"")))</f>
        <v>MFD-ISW → MFD-CPF</v>
      </c>
      <c r="J769" s="82" t="str">
        <f aca="false">IF(B769="","",IFERROR(INDEX('CARNET DE SOUDURE'!$E$7:$E$3006,MATCH(B769,'CARNET DE SOUDURE'!$O$7:$O$3006,0)),""))</f>
        <v>DJ°122</v>
      </c>
      <c r="K769" s="82" t="str">
        <f aca="false">IF(B769="","",IFERROR(INDEX('CARNET DE SOUDURE'!$E$7:$E$3006,MATCH(B769,'CARNET DE SOUDURE'!$L$7:$L$3006,0)),""))</f>
        <v>JN°1395</v>
      </c>
      <c r="L769" s="82" t="n">
        <f aca="false">IF(B769="","",IFERROR(INDEX('CARNET DE SOUDURE'!$D$7:$D$3006,MATCH(B769,'CARNET DE SOUDURE'!$L$7:$L$3006,0)),IFERROR(INDEX('CARNET DE SOUDURE'!$D$7:$D$3006,MATCH(B769,'CARNET DE SOUDURE'!$O$7:$O$3006,0)),"")))</f>
        <v>16</v>
      </c>
      <c r="M769" s="82" t="str">
        <f aca="false">IF(B769="","",IF(OR(J769&lt;&gt;"",K769&lt;&gt;""),"POSÉ EN LIGNE",IF(COUNTIF(BARDAGE!$C$1:$C$5000,B769)&gt;0,"BARDÉ","EN STOCK")))</f>
        <v>POSÉ EN LIGNE</v>
      </c>
      <c r="N769" s="80"/>
    </row>
    <row r="770" customFormat="false" ht="15" hidden="false" customHeight="false" outlineLevel="0" collapsed="false">
      <c r="A770" s="82" t="n">
        <f aca="false">IF(B770="","",ROW()-6)</f>
        <v>764</v>
      </c>
      <c r="B770" s="145" t="n">
        <v>2091780</v>
      </c>
      <c r="C770" s="146" t="n">
        <v>15421111</v>
      </c>
      <c r="D770" s="146"/>
      <c r="E770" s="82" t="str">
        <f aca="false">IF(B770="","",IF(COUNTIFS('CARNET DE SOUDURE'!$L$7:$L$3006,B770,'CARNET DE SOUDURE'!$M$7:$M$3006,"&lt;&gt;"&amp;C770,'CARNET DE SOUDURE'!$M$7:$M$3006,"&lt;&gt;")+COUNTIFS('CARNET DE SOUDURE'!$O$7:$O$3006,B770,'CARNET DE SOUDURE'!$P$7:$P$3006,"&lt;&gt;"&amp;C770,'CARNET DE SOUDURE'!$P$7:$P$3006,"&lt;&gt;")&gt;0,"⚠ DIFFÉRENTE","OK"))</f>
        <v>OK</v>
      </c>
      <c r="F770" s="147" t="n">
        <v>11.94</v>
      </c>
      <c r="G770" s="80"/>
      <c r="H770" s="83"/>
      <c r="I770" s="148" t="str">
        <f aca="false">IF(B770="","",IFERROR(INDEX('CARNET DE SOUDURE'!$B$7:$B$3006,MATCH(B770,'CARNET DE SOUDURE'!$L$7:$L$3006,0)),IFERROR(INDEX('CARNET DE SOUDURE'!$B$7:$B$3006,MATCH(B770,'CARNET DE SOUDURE'!$O$7:$O$3006,0)),"")))</f>
        <v>MFD-ISW → MFD-CPF</v>
      </c>
      <c r="J770" s="82" t="str">
        <f aca="false">IF(B770="","",IFERROR(INDEX('CARNET DE SOUDURE'!$E$7:$E$3006,MATCH(B770,'CARNET DE SOUDURE'!$O$7:$O$3006,0)),""))</f>
        <v>JN°1395</v>
      </c>
      <c r="K770" s="82" t="str">
        <f aca="false">IF(B770="","",IFERROR(INDEX('CARNET DE SOUDURE'!$E$7:$E$3006,MATCH(B770,'CARNET DE SOUDURE'!$L$7:$L$3006,0)),""))</f>
        <v>DJ°104</v>
      </c>
      <c r="L770" s="82" t="n">
        <f aca="false">IF(B770="","",IFERROR(INDEX('CARNET DE SOUDURE'!$D$7:$D$3006,MATCH(B770,'CARNET DE SOUDURE'!$L$7:$L$3006,0)),IFERROR(INDEX('CARNET DE SOUDURE'!$D$7:$D$3006,MATCH(B770,'CARNET DE SOUDURE'!$O$7:$O$3006,0)),"")))</f>
        <v>16</v>
      </c>
      <c r="M770" s="82" t="str">
        <f aca="false">IF(B770="","",IF(OR(J770&lt;&gt;"",K770&lt;&gt;""),"POSÉ EN LIGNE",IF(COUNTIF(BARDAGE!$C$1:$C$5000,B770)&gt;0,"BARDÉ","EN STOCK")))</f>
        <v>POSÉ EN LIGNE</v>
      </c>
      <c r="N770" s="80"/>
    </row>
    <row r="771" customFormat="false" ht="15" hidden="false" customHeight="false" outlineLevel="0" collapsed="false">
      <c r="A771" s="82" t="n">
        <f aca="false">IF(B771="","",ROW()-6)</f>
        <v>765</v>
      </c>
      <c r="B771" s="145" t="n">
        <v>2083900</v>
      </c>
      <c r="C771" s="146" t="n">
        <v>15421106</v>
      </c>
      <c r="D771" s="146"/>
      <c r="E771" s="82" t="str">
        <f aca="false">IF(B771="","",IF(COUNTIFS('CARNET DE SOUDURE'!$L$7:$L$3006,B771,'CARNET DE SOUDURE'!$M$7:$M$3006,"&lt;&gt;"&amp;C771,'CARNET DE SOUDURE'!$M$7:$M$3006,"&lt;&gt;")+COUNTIFS('CARNET DE SOUDURE'!$O$7:$O$3006,B771,'CARNET DE SOUDURE'!$P$7:$P$3006,"&lt;&gt;"&amp;C771,'CARNET DE SOUDURE'!$P$7:$P$3006,"&lt;&gt;")&gt;0,"⚠ DIFFÉRENTE","OK"))</f>
        <v>OK</v>
      </c>
      <c r="F771" s="147" t="n">
        <v>11.94</v>
      </c>
      <c r="G771" s="80"/>
      <c r="H771" s="83"/>
      <c r="I771" s="148" t="str">
        <f aca="false">IF(B771="","",IFERROR(INDEX('CARNET DE SOUDURE'!$B$7:$B$3006,MATCH(B771,'CARNET DE SOUDURE'!$L$7:$L$3006,0)),IFERROR(INDEX('CARNET DE SOUDURE'!$B$7:$B$3006,MATCH(B771,'CARNET DE SOUDURE'!$O$7:$O$3006,0)),"")))</f>
        <v>MFD-ISW → MFD-CPF</v>
      </c>
      <c r="J771" s="82" t="str">
        <f aca="false">IF(B771="","",IFERROR(INDEX('CARNET DE SOUDURE'!$E$7:$E$3006,MATCH(B771,'CARNET DE SOUDURE'!$O$7:$O$3006,0)),""))</f>
        <v>DJ°104</v>
      </c>
      <c r="K771" s="82" t="str">
        <f aca="false">IF(B771="","",IFERROR(INDEX('CARNET DE SOUDURE'!$E$7:$E$3006,MATCH(B771,'CARNET DE SOUDURE'!$L$7:$L$3006,0)),""))</f>
        <v>JN°1396</v>
      </c>
      <c r="L771" s="82" t="n">
        <f aca="false">IF(B771="","",IFERROR(INDEX('CARNET DE SOUDURE'!$D$7:$D$3006,MATCH(B771,'CARNET DE SOUDURE'!$L$7:$L$3006,0)),IFERROR(INDEX('CARNET DE SOUDURE'!$D$7:$D$3006,MATCH(B771,'CARNET DE SOUDURE'!$O$7:$O$3006,0)),"")))</f>
        <v>16</v>
      </c>
      <c r="M771" s="82" t="str">
        <f aca="false">IF(B771="","",IF(OR(J771&lt;&gt;"",K771&lt;&gt;""),"POSÉ EN LIGNE",IF(COUNTIF(BARDAGE!$C$1:$C$5000,B771)&gt;0,"BARDÉ","EN STOCK")))</f>
        <v>POSÉ EN LIGNE</v>
      </c>
      <c r="N771" s="80"/>
    </row>
    <row r="772" customFormat="false" ht="15" hidden="false" customHeight="false" outlineLevel="0" collapsed="false">
      <c r="A772" s="82" t="n">
        <f aca="false">IF(B772="","",ROW()-6)</f>
        <v>766</v>
      </c>
      <c r="B772" s="145" t="n">
        <v>2089500</v>
      </c>
      <c r="C772" s="146" t="n">
        <v>15421109</v>
      </c>
      <c r="D772" s="146"/>
      <c r="E772" s="82" t="str">
        <f aca="false">IF(B772="","",IF(COUNTIFS('CARNET DE SOUDURE'!$L$7:$L$3006,B772,'CARNET DE SOUDURE'!$M$7:$M$3006,"&lt;&gt;"&amp;C772,'CARNET DE SOUDURE'!$M$7:$M$3006,"&lt;&gt;")+COUNTIFS('CARNET DE SOUDURE'!$O$7:$O$3006,B772,'CARNET DE SOUDURE'!$P$7:$P$3006,"&lt;&gt;"&amp;C772,'CARNET DE SOUDURE'!$P$7:$P$3006,"&lt;&gt;")&gt;0,"⚠ DIFFÉRENTE","OK"))</f>
        <v>OK</v>
      </c>
      <c r="F772" s="147" t="n">
        <v>11.94</v>
      </c>
      <c r="G772" s="80"/>
      <c r="H772" s="83"/>
      <c r="I772" s="148" t="str">
        <f aca="false">IF(B772="","",IFERROR(INDEX('CARNET DE SOUDURE'!$B$7:$B$3006,MATCH(B772,'CARNET DE SOUDURE'!$L$7:$L$3006,0)),IFERROR(INDEX('CARNET DE SOUDURE'!$B$7:$B$3006,MATCH(B772,'CARNET DE SOUDURE'!$O$7:$O$3006,0)),"")))</f>
        <v>MFD-ISW → MFD-CPF</v>
      </c>
      <c r="J772" s="82" t="str">
        <f aca="false">IF(B772="","",IFERROR(INDEX('CARNET DE SOUDURE'!$E$7:$E$3006,MATCH(B772,'CARNET DE SOUDURE'!$O$7:$O$3006,0)),""))</f>
        <v>JN°1396</v>
      </c>
      <c r="K772" s="82" t="str">
        <f aca="false">IF(B772="","",IFERROR(INDEX('CARNET DE SOUDURE'!$E$7:$E$3006,MATCH(B772,'CARNET DE SOUDURE'!$L$7:$L$3006,0)),""))</f>
        <v>DJ°150</v>
      </c>
      <c r="L772" s="82" t="n">
        <f aca="false">IF(B772="","",IFERROR(INDEX('CARNET DE SOUDURE'!$D$7:$D$3006,MATCH(B772,'CARNET DE SOUDURE'!$L$7:$L$3006,0)),IFERROR(INDEX('CARNET DE SOUDURE'!$D$7:$D$3006,MATCH(B772,'CARNET DE SOUDURE'!$O$7:$O$3006,0)),"")))</f>
        <v>16</v>
      </c>
      <c r="M772" s="82" t="str">
        <f aca="false">IF(B772="","",IF(OR(J772&lt;&gt;"",K772&lt;&gt;""),"POSÉ EN LIGNE",IF(COUNTIF(BARDAGE!$C$1:$C$5000,B772)&gt;0,"BARDÉ","EN STOCK")))</f>
        <v>POSÉ EN LIGNE</v>
      </c>
      <c r="N772" s="80"/>
    </row>
    <row r="773" customFormat="false" ht="15" hidden="false" customHeight="false" outlineLevel="0" collapsed="false">
      <c r="A773" s="82" t="n">
        <f aca="false">IF(B773="","",ROW()-6)</f>
        <v>767</v>
      </c>
      <c r="B773" s="145" t="n">
        <v>2090520</v>
      </c>
      <c r="C773" s="146" t="n">
        <v>15421109</v>
      </c>
      <c r="D773" s="146"/>
      <c r="E773" s="82" t="str">
        <f aca="false">IF(B773="","",IF(COUNTIFS('CARNET DE SOUDURE'!$L$7:$L$3006,B773,'CARNET DE SOUDURE'!$M$7:$M$3006,"&lt;&gt;"&amp;C773,'CARNET DE SOUDURE'!$M$7:$M$3006,"&lt;&gt;")+COUNTIFS('CARNET DE SOUDURE'!$O$7:$O$3006,B773,'CARNET DE SOUDURE'!$P$7:$P$3006,"&lt;&gt;"&amp;C773,'CARNET DE SOUDURE'!$P$7:$P$3006,"&lt;&gt;")&gt;0,"⚠ DIFFÉRENTE","OK"))</f>
        <v>OK</v>
      </c>
      <c r="F773" s="147" t="n">
        <v>11.94</v>
      </c>
      <c r="G773" s="80"/>
      <c r="H773" s="83"/>
      <c r="I773" s="148" t="str">
        <f aca="false">IF(B773="","",IFERROR(INDEX('CARNET DE SOUDURE'!$B$7:$B$3006,MATCH(B773,'CARNET DE SOUDURE'!$L$7:$L$3006,0)),IFERROR(INDEX('CARNET DE SOUDURE'!$B$7:$B$3006,MATCH(B773,'CARNET DE SOUDURE'!$O$7:$O$3006,0)),"")))</f>
        <v>MFD-ISW → MFD-CPF</v>
      </c>
      <c r="J773" s="82" t="str">
        <f aca="false">IF(B773="","",IFERROR(INDEX('CARNET DE SOUDURE'!$E$7:$E$3006,MATCH(B773,'CARNET DE SOUDURE'!$O$7:$O$3006,0)),""))</f>
        <v>DJ°150</v>
      </c>
      <c r="K773" s="82" t="str">
        <f aca="false">IF(B773="","",IFERROR(INDEX('CARNET DE SOUDURE'!$E$7:$E$3006,MATCH(B773,'CARNET DE SOUDURE'!$L$7:$L$3006,0)),""))</f>
        <v>JN°1397</v>
      </c>
      <c r="L773" s="82" t="n">
        <f aca="false">IF(B773="","",IFERROR(INDEX('CARNET DE SOUDURE'!$D$7:$D$3006,MATCH(B773,'CARNET DE SOUDURE'!$L$7:$L$3006,0)),IFERROR(INDEX('CARNET DE SOUDURE'!$D$7:$D$3006,MATCH(B773,'CARNET DE SOUDURE'!$O$7:$O$3006,0)),"")))</f>
        <v>16</v>
      </c>
      <c r="M773" s="82" t="str">
        <f aca="false">IF(B773="","",IF(OR(J773&lt;&gt;"",K773&lt;&gt;""),"POSÉ EN LIGNE",IF(COUNTIF(BARDAGE!$C$1:$C$5000,B773)&gt;0,"BARDÉ","EN STOCK")))</f>
        <v>POSÉ EN LIGNE</v>
      </c>
      <c r="N773" s="80"/>
    </row>
    <row r="774" customFormat="false" ht="15" hidden="false" customHeight="false" outlineLevel="0" collapsed="false">
      <c r="A774" s="82" t="n">
        <f aca="false">IF(B774="","",ROW()-6)</f>
        <v>768</v>
      </c>
      <c r="B774" s="145" t="n">
        <v>2083590</v>
      </c>
      <c r="C774" s="146" t="n">
        <v>15421105</v>
      </c>
      <c r="D774" s="146"/>
      <c r="E774" s="82" t="str">
        <f aca="false">IF(B774="","",IF(COUNTIFS('CARNET DE SOUDURE'!$L$7:$L$3006,B774,'CARNET DE SOUDURE'!$M$7:$M$3006,"&lt;&gt;"&amp;C774,'CARNET DE SOUDURE'!$M$7:$M$3006,"&lt;&gt;")+COUNTIFS('CARNET DE SOUDURE'!$O$7:$O$3006,B774,'CARNET DE SOUDURE'!$P$7:$P$3006,"&lt;&gt;"&amp;C774,'CARNET DE SOUDURE'!$P$7:$P$3006,"&lt;&gt;")&gt;0,"⚠ DIFFÉRENTE","OK"))</f>
        <v>OK</v>
      </c>
      <c r="F774" s="147" t="n">
        <v>11.94</v>
      </c>
      <c r="G774" s="80"/>
      <c r="H774" s="83"/>
      <c r="I774" s="148" t="str">
        <f aca="false">IF(B774="","",IFERROR(INDEX('CARNET DE SOUDURE'!$B$7:$B$3006,MATCH(B774,'CARNET DE SOUDURE'!$L$7:$L$3006,0)),IFERROR(INDEX('CARNET DE SOUDURE'!$B$7:$B$3006,MATCH(B774,'CARNET DE SOUDURE'!$O$7:$O$3006,0)),"")))</f>
        <v>MFD-ISW → MFD-CPF</v>
      </c>
      <c r="J774" s="82" t="str">
        <f aca="false">IF(B774="","",IFERROR(INDEX('CARNET DE SOUDURE'!$E$7:$E$3006,MATCH(B774,'CARNET DE SOUDURE'!$O$7:$O$3006,0)),""))</f>
        <v>JN°1397</v>
      </c>
      <c r="K774" s="82" t="str">
        <f aca="false">IF(B774="","",IFERROR(INDEX('CARNET DE SOUDURE'!$E$7:$E$3006,MATCH(B774,'CARNET DE SOUDURE'!$L$7:$L$3006,0)),""))</f>
        <v>DJ°151</v>
      </c>
      <c r="L774" s="82" t="n">
        <f aca="false">IF(B774="","",IFERROR(INDEX('CARNET DE SOUDURE'!$D$7:$D$3006,MATCH(B774,'CARNET DE SOUDURE'!$L$7:$L$3006,0)),IFERROR(INDEX('CARNET DE SOUDURE'!$D$7:$D$3006,MATCH(B774,'CARNET DE SOUDURE'!$O$7:$O$3006,0)),"")))</f>
        <v>16</v>
      </c>
      <c r="M774" s="82" t="str">
        <f aca="false">IF(B774="","",IF(OR(J774&lt;&gt;"",K774&lt;&gt;""),"POSÉ EN LIGNE",IF(COUNTIF(BARDAGE!$C$1:$C$5000,B774)&gt;0,"BARDÉ","EN STOCK")))</f>
        <v>POSÉ EN LIGNE</v>
      </c>
      <c r="N774" s="80"/>
    </row>
    <row r="775" customFormat="false" ht="15" hidden="false" customHeight="false" outlineLevel="0" collapsed="false">
      <c r="A775" s="82" t="n">
        <f aca="false">IF(B775="","",ROW()-6)</f>
        <v>769</v>
      </c>
      <c r="B775" s="145" t="n">
        <v>2094640</v>
      </c>
      <c r="C775" s="146" t="n">
        <v>15421111</v>
      </c>
      <c r="D775" s="146"/>
      <c r="E775" s="82" t="str">
        <f aca="false">IF(B775="","",IF(COUNTIFS('CARNET DE SOUDURE'!$L$7:$L$3006,B775,'CARNET DE SOUDURE'!$M$7:$M$3006,"&lt;&gt;"&amp;C775,'CARNET DE SOUDURE'!$M$7:$M$3006,"&lt;&gt;")+COUNTIFS('CARNET DE SOUDURE'!$O$7:$O$3006,B775,'CARNET DE SOUDURE'!$P$7:$P$3006,"&lt;&gt;"&amp;C775,'CARNET DE SOUDURE'!$P$7:$P$3006,"&lt;&gt;")&gt;0,"⚠ DIFFÉRENTE","OK"))</f>
        <v>OK</v>
      </c>
      <c r="F775" s="147" t="n">
        <v>11.94</v>
      </c>
      <c r="G775" s="80"/>
      <c r="H775" s="83"/>
      <c r="I775" s="148" t="str">
        <f aca="false">IF(B775="","",IFERROR(INDEX('CARNET DE SOUDURE'!$B$7:$B$3006,MATCH(B775,'CARNET DE SOUDURE'!$L$7:$L$3006,0)),IFERROR(INDEX('CARNET DE SOUDURE'!$B$7:$B$3006,MATCH(B775,'CARNET DE SOUDURE'!$O$7:$O$3006,0)),"")))</f>
        <v>MFD-ISW → MFD-CPF</v>
      </c>
      <c r="J775" s="82" t="str">
        <f aca="false">IF(B775="","",IFERROR(INDEX('CARNET DE SOUDURE'!$E$7:$E$3006,MATCH(B775,'CARNET DE SOUDURE'!$O$7:$O$3006,0)),""))</f>
        <v>DJ°151</v>
      </c>
      <c r="K775" s="82" t="str">
        <f aca="false">IF(B775="","",IFERROR(INDEX('CARNET DE SOUDURE'!$E$7:$E$3006,MATCH(B775,'CARNET DE SOUDURE'!$L$7:$L$3006,0)),""))</f>
        <v>JN°1398</v>
      </c>
      <c r="L775" s="82" t="n">
        <f aca="false">IF(B775="","",IFERROR(INDEX('CARNET DE SOUDURE'!$D$7:$D$3006,MATCH(B775,'CARNET DE SOUDURE'!$L$7:$L$3006,0)),IFERROR(INDEX('CARNET DE SOUDURE'!$D$7:$D$3006,MATCH(B775,'CARNET DE SOUDURE'!$O$7:$O$3006,0)),"")))</f>
        <v>16</v>
      </c>
      <c r="M775" s="82" t="str">
        <f aca="false">IF(B775="","",IF(OR(J775&lt;&gt;"",K775&lt;&gt;""),"POSÉ EN LIGNE",IF(COUNTIF(BARDAGE!$C$1:$C$5000,B775)&gt;0,"BARDÉ","EN STOCK")))</f>
        <v>POSÉ EN LIGNE</v>
      </c>
      <c r="N775" s="80"/>
    </row>
    <row r="776" customFormat="false" ht="15" hidden="false" customHeight="false" outlineLevel="0" collapsed="false">
      <c r="A776" s="82" t="n">
        <f aca="false">IF(B776="","",ROW()-6)</f>
        <v>770</v>
      </c>
      <c r="B776" s="145" t="n">
        <v>2084790</v>
      </c>
      <c r="C776" s="146" t="n">
        <v>15421106</v>
      </c>
      <c r="D776" s="146"/>
      <c r="E776" s="82" t="str">
        <f aca="false">IF(B776="","",IF(COUNTIFS('CARNET DE SOUDURE'!$L$7:$L$3006,B776,'CARNET DE SOUDURE'!$M$7:$M$3006,"&lt;&gt;"&amp;C776,'CARNET DE SOUDURE'!$M$7:$M$3006,"&lt;&gt;")+COUNTIFS('CARNET DE SOUDURE'!$O$7:$O$3006,B776,'CARNET DE SOUDURE'!$P$7:$P$3006,"&lt;&gt;"&amp;C776,'CARNET DE SOUDURE'!$P$7:$P$3006,"&lt;&gt;")&gt;0,"⚠ DIFFÉRENTE","OK"))</f>
        <v>OK</v>
      </c>
      <c r="F776" s="147" t="n">
        <v>11.94</v>
      </c>
      <c r="G776" s="80"/>
      <c r="H776" s="83"/>
      <c r="I776" s="148" t="str">
        <f aca="false">IF(B776="","",IFERROR(INDEX('CARNET DE SOUDURE'!$B$7:$B$3006,MATCH(B776,'CARNET DE SOUDURE'!$L$7:$L$3006,0)),IFERROR(INDEX('CARNET DE SOUDURE'!$B$7:$B$3006,MATCH(B776,'CARNET DE SOUDURE'!$O$7:$O$3006,0)),"")))</f>
        <v>MFD-ISW → MFD-CPF</v>
      </c>
      <c r="J776" s="82" t="str">
        <f aca="false">IF(B776="","",IFERROR(INDEX('CARNET DE SOUDURE'!$E$7:$E$3006,MATCH(B776,'CARNET DE SOUDURE'!$O$7:$O$3006,0)),""))</f>
        <v>JN°1398</v>
      </c>
      <c r="K776" s="82" t="str">
        <f aca="false">IF(B776="","",IFERROR(INDEX('CARNET DE SOUDURE'!$E$7:$E$3006,MATCH(B776,'CARNET DE SOUDURE'!$L$7:$L$3006,0)),""))</f>
        <v>DJ°153</v>
      </c>
      <c r="L776" s="82" t="n">
        <f aca="false">IF(B776="","",IFERROR(INDEX('CARNET DE SOUDURE'!$D$7:$D$3006,MATCH(B776,'CARNET DE SOUDURE'!$L$7:$L$3006,0)),IFERROR(INDEX('CARNET DE SOUDURE'!$D$7:$D$3006,MATCH(B776,'CARNET DE SOUDURE'!$O$7:$O$3006,0)),"")))</f>
        <v>16</v>
      </c>
      <c r="M776" s="82" t="str">
        <f aca="false">IF(B776="","",IF(OR(J776&lt;&gt;"",K776&lt;&gt;""),"POSÉ EN LIGNE",IF(COUNTIF(BARDAGE!$C$1:$C$5000,B776)&gt;0,"BARDÉ","EN STOCK")))</f>
        <v>POSÉ EN LIGNE</v>
      </c>
      <c r="N776" s="80"/>
    </row>
    <row r="777" customFormat="false" ht="15" hidden="false" customHeight="false" outlineLevel="0" collapsed="false">
      <c r="A777" s="82" t="n">
        <f aca="false">IF(B777="","",ROW()-6)</f>
        <v>771</v>
      </c>
      <c r="B777" s="145" t="n">
        <v>2090820</v>
      </c>
      <c r="C777" s="146" t="n">
        <v>15421109</v>
      </c>
      <c r="D777" s="146"/>
      <c r="E777" s="82" t="str">
        <f aca="false">IF(B777="","",IF(COUNTIFS('CARNET DE SOUDURE'!$L$7:$L$3006,B777,'CARNET DE SOUDURE'!$M$7:$M$3006,"&lt;&gt;"&amp;C777,'CARNET DE SOUDURE'!$M$7:$M$3006,"&lt;&gt;")+COUNTIFS('CARNET DE SOUDURE'!$O$7:$O$3006,B777,'CARNET DE SOUDURE'!$P$7:$P$3006,"&lt;&gt;"&amp;C777,'CARNET DE SOUDURE'!$P$7:$P$3006,"&lt;&gt;")&gt;0,"⚠ DIFFÉRENTE","OK"))</f>
        <v>OK</v>
      </c>
      <c r="F777" s="147" t="n">
        <v>11.94</v>
      </c>
      <c r="G777" s="80"/>
      <c r="H777" s="83"/>
      <c r="I777" s="148" t="str">
        <f aca="false">IF(B777="","",IFERROR(INDEX('CARNET DE SOUDURE'!$B$7:$B$3006,MATCH(B777,'CARNET DE SOUDURE'!$L$7:$L$3006,0)),IFERROR(INDEX('CARNET DE SOUDURE'!$B$7:$B$3006,MATCH(B777,'CARNET DE SOUDURE'!$O$7:$O$3006,0)),"")))</f>
        <v>MFD-ISW → MFD-CPF</v>
      </c>
      <c r="J777" s="82" t="str">
        <f aca="false">IF(B777="","",IFERROR(INDEX('CARNET DE SOUDURE'!$E$7:$E$3006,MATCH(B777,'CARNET DE SOUDURE'!$O$7:$O$3006,0)),""))</f>
        <v>DJ°153</v>
      </c>
      <c r="K777" s="82" t="str">
        <f aca="false">IF(B777="","",IFERROR(INDEX('CARNET DE SOUDURE'!$E$7:$E$3006,MATCH(B777,'CARNET DE SOUDURE'!$L$7:$L$3006,0)),""))</f>
        <v>JN°1399</v>
      </c>
      <c r="L777" s="82" t="n">
        <f aca="false">IF(B777="","",IFERROR(INDEX('CARNET DE SOUDURE'!$D$7:$D$3006,MATCH(B777,'CARNET DE SOUDURE'!$L$7:$L$3006,0)),IFERROR(INDEX('CARNET DE SOUDURE'!$D$7:$D$3006,MATCH(B777,'CARNET DE SOUDURE'!$O$7:$O$3006,0)),"")))</f>
        <v>16</v>
      </c>
      <c r="M777" s="82" t="str">
        <f aca="false">IF(B777="","",IF(OR(J777&lt;&gt;"",K777&lt;&gt;""),"POSÉ EN LIGNE",IF(COUNTIF(BARDAGE!$C$1:$C$5000,B777)&gt;0,"BARDÉ","EN STOCK")))</f>
        <v>POSÉ EN LIGNE</v>
      </c>
      <c r="N777" s="80"/>
    </row>
    <row r="778" customFormat="false" ht="15" hidden="false" customHeight="false" outlineLevel="0" collapsed="false">
      <c r="A778" s="82" t="n">
        <f aca="false">IF(B778="","",ROW()-6)</f>
        <v>772</v>
      </c>
      <c r="B778" s="145" t="n">
        <v>2080030</v>
      </c>
      <c r="C778" s="146" t="n">
        <v>15421102</v>
      </c>
      <c r="D778" s="146"/>
      <c r="E778" s="82" t="str">
        <f aca="false">IF(B778="","",IF(COUNTIFS('CARNET DE SOUDURE'!$L$7:$L$3006,B778,'CARNET DE SOUDURE'!$M$7:$M$3006,"&lt;&gt;"&amp;C778,'CARNET DE SOUDURE'!$M$7:$M$3006,"&lt;&gt;")+COUNTIFS('CARNET DE SOUDURE'!$O$7:$O$3006,B778,'CARNET DE SOUDURE'!$P$7:$P$3006,"&lt;&gt;"&amp;C778,'CARNET DE SOUDURE'!$P$7:$P$3006,"&lt;&gt;")&gt;0,"⚠ DIFFÉRENTE","OK"))</f>
        <v>OK</v>
      </c>
      <c r="F778" s="147" t="n">
        <v>11.94</v>
      </c>
      <c r="G778" s="80"/>
      <c r="H778" s="83"/>
      <c r="I778" s="148" t="str">
        <f aca="false">IF(B778="","",IFERROR(INDEX('CARNET DE SOUDURE'!$B$7:$B$3006,MATCH(B778,'CARNET DE SOUDURE'!$L$7:$L$3006,0)),IFERROR(INDEX('CARNET DE SOUDURE'!$B$7:$B$3006,MATCH(B778,'CARNET DE SOUDURE'!$O$7:$O$3006,0)),"")))</f>
        <v>MFD-ISW → MFD-CPF</v>
      </c>
      <c r="J778" s="82" t="str">
        <f aca="false">IF(B778="","",IFERROR(INDEX('CARNET DE SOUDURE'!$E$7:$E$3006,MATCH(B778,'CARNET DE SOUDURE'!$O$7:$O$3006,0)),""))</f>
        <v>JN°1399</v>
      </c>
      <c r="K778" s="82" t="str">
        <f aca="false">IF(B778="","",IFERROR(INDEX('CARNET DE SOUDURE'!$E$7:$E$3006,MATCH(B778,'CARNET DE SOUDURE'!$L$7:$L$3006,0)),""))</f>
        <v>DJ°152</v>
      </c>
      <c r="L778" s="82" t="n">
        <f aca="false">IF(B778="","",IFERROR(INDEX('CARNET DE SOUDURE'!$D$7:$D$3006,MATCH(B778,'CARNET DE SOUDURE'!$L$7:$L$3006,0)),IFERROR(INDEX('CARNET DE SOUDURE'!$D$7:$D$3006,MATCH(B778,'CARNET DE SOUDURE'!$O$7:$O$3006,0)),"")))</f>
        <v>16</v>
      </c>
      <c r="M778" s="82" t="str">
        <f aca="false">IF(B778="","",IF(OR(J778&lt;&gt;"",K778&lt;&gt;""),"POSÉ EN LIGNE",IF(COUNTIF(BARDAGE!$C$1:$C$5000,B778)&gt;0,"BARDÉ","EN STOCK")))</f>
        <v>POSÉ EN LIGNE</v>
      </c>
      <c r="N778" s="80"/>
    </row>
    <row r="779" customFormat="false" ht="15" hidden="false" customHeight="false" outlineLevel="0" collapsed="false">
      <c r="A779" s="82" t="n">
        <f aca="false">IF(B779="","",ROW()-6)</f>
        <v>773</v>
      </c>
      <c r="B779" s="145" t="n">
        <v>2089050</v>
      </c>
      <c r="C779" s="146" t="n">
        <v>15421108</v>
      </c>
      <c r="D779" s="146"/>
      <c r="E779" s="82" t="str">
        <f aca="false">IF(B779="","",IF(COUNTIFS('CARNET DE SOUDURE'!$L$7:$L$3006,B779,'CARNET DE SOUDURE'!$M$7:$M$3006,"&lt;&gt;"&amp;C779,'CARNET DE SOUDURE'!$M$7:$M$3006,"&lt;&gt;")+COUNTIFS('CARNET DE SOUDURE'!$O$7:$O$3006,B779,'CARNET DE SOUDURE'!$P$7:$P$3006,"&lt;&gt;"&amp;C779,'CARNET DE SOUDURE'!$P$7:$P$3006,"&lt;&gt;")&gt;0,"⚠ DIFFÉRENTE","OK"))</f>
        <v>OK</v>
      </c>
      <c r="F779" s="147" t="n">
        <v>11.94</v>
      </c>
      <c r="G779" s="80"/>
      <c r="H779" s="83"/>
      <c r="I779" s="148" t="str">
        <f aca="false">IF(B779="","",IFERROR(INDEX('CARNET DE SOUDURE'!$B$7:$B$3006,MATCH(B779,'CARNET DE SOUDURE'!$L$7:$L$3006,0)),IFERROR(INDEX('CARNET DE SOUDURE'!$B$7:$B$3006,MATCH(B779,'CARNET DE SOUDURE'!$O$7:$O$3006,0)),"")))</f>
        <v>MFD-ISW → MFD-CPF</v>
      </c>
      <c r="J779" s="82" t="str">
        <f aca="false">IF(B779="","",IFERROR(INDEX('CARNET DE SOUDURE'!$E$7:$E$3006,MATCH(B779,'CARNET DE SOUDURE'!$O$7:$O$3006,0)),""))</f>
        <v>DJ°152</v>
      </c>
      <c r="K779" s="82" t="str">
        <f aca="false">IF(B779="","",IFERROR(INDEX('CARNET DE SOUDURE'!$E$7:$E$3006,MATCH(B779,'CARNET DE SOUDURE'!$L$7:$L$3006,0)),""))</f>
        <v>JN°1400</v>
      </c>
      <c r="L779" s="82" t="n">
        <f aca="false">IF(B779="","",IFERROR(INDEX('CARNET DE SOUDURE'!$D$7:$D$3006,MATCH(B779,'CARNET DE SOUDURE'!$L$7:$L$3006,0)),IFERROR(INDEX('CARNET DE SOUDURE'!$D$7:$D$3006,MATCH(B779,'CARNET DE SOUDURE'!$O$7:$O$3006,0)),"")))</f>
        <v>16</v>
      </c>
      <c r="M779" s="82" t="str">
        <f aca="false">IF(B779="","",IF(OR(J779&lt;&gt;"",K779&lt;&gt;""),"POSÉ EN LIGNE",IF(COUNTIF(BARDAGE!$C$1:$C$5000,B779)&gt;0,"BARDÉ","EN STOCK")))</f>
        <v>POSÉ EN LIGNE</v>
      </c>
      <c r="N779" s="80"/>
    </row>
    <row r="780" customFormat="false" ht="15" hidden="false" customHeight="false" outlineLevel="0" collapsed="false">
      <c r="A780" s="82" t="n">
        <f aca="false">IF(B780="","",ROW()-6)</f>
        <v>774</v>
      </c>
      <c r="B780" s="145" t="n">
        <v>2097150</v>
      </c>
      <c r="C780" s="146" t="n">
        <v>15421102</v>
      </c>
      <c r="D780" s="146"/>
      <c r="E780" s="82" t="str">
        <f aca="false">IF(B780="","",IF(COUNTIFS('CARNET DE SOUDURE'!$L$7:$L$3006,B780,'CARNET DE SOUDURE'!$M$7:$M$3006,"&lt;&gt;"&amp;C780,'CARNET DE SOUDURE'!$M$7:$M$3006,"&lt;&gt;")+COUNTIFS('CARNET DE SOUDURE'!$O$7:$O$3006,B780,'CARNET DE SOUDURE'!$P$7:$P$3006,"&lt;&gt;"&amp;C780,'CARNET DE SOUDURE'!$P$7:$P$3006,"&lt;&gt;")&gt;0,"⚠ DIFFÉRENTE","OK"))</f>
        <v>⚠ DIFFÉRENTE</v>
      </c>
      <c r="F780" s="147" t="n">
        <v>11.94</v>
      </c>
      <c r="G780" s="80"/>
      <c r="H780" s="83"/>
      <c r="I780" s="148" t="str">
        <f aca="false">IF(B780="","",IFERROR(INDEX('CARNET DE SOUDURE'!$B$7:$B$3006,MATCH(B780,'CARNET DE SOUDURE'!$L$7:$L$3006,0)),IFERROR(INDEX('CARNET DE SOUDURE'!$B$7:$B$3006,MATCH(B780,'CARNET DE SOUDURE'!$O$7:$O$3006,0)),"")))</f>
        <v>MFD-ISW → MFD-CPF</v>
      </c>
      <c r="J780" s="82" t="str">
        <f aca="false">IF(B780="","",IFERROR(INDEX('CARNET DE SOUDURE'!$E$7:$E$3006,MATCH(B780,'CARNET DE SOUDURE'!$O$7:$O$3006,0)),""))</f>
        <v>JN°1400</v>
      </c>
      <c r="K780" s="82" t="str">
        <f aca="false">IF(B780="","",IFERROR(INDEX('CARNET DE SOUDURE'!$E$7:$E$3006,MATCH(B780,'CARNET DE SOUDURE'!$L$7:$L$3006,0)),""))</f>
        <v>DJ°147</v>
      </c>
      <c r="L780" s="82" t="n">
        <f aca="false">IF(B780="","",IFERROR(INDEX('CARNET DE SOUDURE'!$D$7:$D$3006,MATCH(B780,'CARNET DE SOUDURE'!$L$7:$L$3006,0)),IFERROR(INDEX('CARNET DE SOUDURE'!$D$7:$D$3006,MATCH(B780,'CARNET DE SOUDURE'!$O$7:$O$3006,0)),"")))</f>
        <v>16</v>
      </c>
      <c r="M780" s="82" t="str">
        <f aca="false">IF(B780="","",IF(OR(J780&lt;&gt;"",K780&lt;&gt;""),"POSÉ EN LIGNE",IF(COUNTIF(BARDAGE!$C$1:$C$5000,B780)&gt;0,"BARDÉ","EN STOCK")))</f>
        <v>POSÉ EN LIGNE</v>
      </c>
      <c r="N780" s="80"/>
    </row>
    <row r="781" customFormat="false" ht="15" hidden="false" customHeight="false" outlineLevel="0" collapsed="false">
      <c r="A781" s="82" t="n">
        <f aca="false">IF(B781="","",ROW()-6)</f>
        <v>775</v>
      </c>
      <c r="B781" s="145" t="n">
        <v>2088880</v>
      </c>
      <c r="C781" s="146" t="n">
        <v>15421102</v>
      </c>
      <c r="D781" s="146"/>
      <c r="E781" s="82" t="str">
        <f aca="false">IF(B781="","",IF(COUNTIFS('CARNET DE SOUDURE'!$L$7:$L$3006,B781,'CARNET DE SOUDURE'!$M$7:$M$3006,"&lt;&gt;"&amp;C781,'CARNET DE SOUDURE'!$M$7:$M$3006,"&lt;&gt;")+COUNTIFS('CARNET DE SOUDURE'!$O$7:$O$3006,B781,'CARNET DE SOUDURE'!$P$7:$P$3006,"&lt;&gt;"&amp;C781,'CARNET DE SOUDURE'!$P$7:$P$3006,"&lt;&gt;")&gt;0,"⚠ DIFFÉRENTE","OK"))</f>
        <v>OK</v>
      </c>
      <c r="F781" s="147" t="n">
        <v>11.94</v>
      </c>
      <c r="G781" s="80"/>
      <c r="H781" s="83"/>
      <c r="I781" s="148" t="str">
        <f aca="false">IF(B781="","",IFERROR(INDEX('CARNET DE SOUDURE'!$B$7:$B$3006,MATCH(B781,'CARNET DE SOUDURE'!$L$7:$L$3006,0)),IFERROR(INDEX('CARNET DE SOUDURE'!$B$7:$B$3006,MATCH(B781,'CARNET DE SOUDURE'!$O$7:$O$3006,0)),"")))</f>
        <v>MFD-ISW → MFD-CPF</v>
      </c>
      <c r="J781" s="82" t="str">
        <f aca="false">IF(B781="","",IFERROR(INDEX('CARNET DE SOUDURE'!$E$7:$E$3006,MATCH(B781,'CARNET DE SOUDURE'!$O$7:$O$3006,0)),""))</f>
        <v>DJ°147</v>
      </c>
      <c r="K781" s="82" t="str">
        <f aca="false">IF(B781="","",IFERROR(INDEX('CARNET DE SOUDURE'!$E$7:$E$3006,MATCH(B781,'CARNET DE SOUDURE'!$L$7:$L$3006,0)),""))</f>
        <v>JN°1401</v>
      </c>
      <c r="L781" s="82" t="n">
        <f aca="false">IF(B781="","",IFERROR(INDEX('CARNET DE SOUDURE'!$D$7:$D$3006,MATCH(B781,'CARNET DE SOUDURE'!$L$7:$L$3006,0)),IFERROR(INDEX('CARNET DE SOUDURE'!$D$7:$D$3006,MATCH(B781,'CARNET DE SOUDURE'!$O$7:$O$3006,0)),"")))</f>
        <v>16</v>
      </c>
      <c r="M781" s="82" t="str">
        <f aca="false">IF(B781="","",IF(OR(J781&lt;&gt;"",K781&lt;&gt;""),"POSÉ EN LIGNE",IF(COUNTIF(BARDAGE!$C$1:$C$5000,B781)&gt;0,"BARDÉ","EN STOCK")))</f>
        <v>POSÉ EN LIGNE</v>
      </c>
      <c r="N781" s="80"/>
    </row>
    <row r="782" customFormat="false" ht="15" hidden="false" customHeight="false" outlineLevel="0" collapsed="false">
      <c r="A782" s="82" t="n">
        <f aca="false">IF(B782="","",ROW()-6)</f>
        <v>776</v>
      </c>
      <c r="B782" s="145" t="n">
        <v>2081350</v>
      </c>
      <c r="C782" s="146" t="n">
        <v>15421109</v>
      </c>
      <c r="D782" s="146"/>
      <c r="E782" s="82" t="str">
        <f aca="false">IF(B782="","",IF(COUNTIFS('CARNET DE SOUDURE'!$L$7:$L$3006,B782,'CARNET DE SOUDURE'!$M$7:$M$3006,"&lt;&gt;"&amp;C782,'CARNET DE SOUDURE'!$M$7:$M$3006,"&lt;&gt;")+COUNTIFS('CARNET DE SOUDURE'!$O$7:$O$3006,B782,'CARNET DE SOUDURE'!$P$7:$P$3006,"&lt;&gt;"&amp;C782,'CARNET DE SOUDURE'!$P$7:$P$3006,"&lt;&gt;")&gt;0,"⚠ DIFFÉRENTE","OK"))</f>
        <v>OK</v>
      </c>
      <c r="F782" s="147" t="n">
        <v>11.94</v>
      </c>
      <c r="G782" s="80"/>
      <c r="H782" s="83"/>
      <c r="I782" s="148" t="str">
        <f aca="false">IF(B782="","",IFERROR(INDEX('CARNET DE SOUDURE'!$B$7:$B$3006,MATCH(B782,'CARNET DE SOUDURE'!$L$7:$L$3006,0)),IFERROR(INDEX('CARNET DE SOUDURE'!$B$7:$B$3006,MATCH(B782,'CARNET DE SOUDURE'!$O$7:$O$3006,0)),"")))</f>
        <v>MFD-ISW → MFD-CPF</v>
      </c>
      <c r="J782" s="82" t="str">
        <f aca="false">IF(B782="","",IFERROR(INDEX('CARNET DE SOUDURE'!$E$7:$E$3006,MATCH(B782,'CARNET DE SOUDURE'!$O$7:$O$3006,0)),""))</f>
        <v>JN°1401</v>
      </c>
      <c r="K782" s="82" t="str">
        <f aca="false">IF(B782="","",IFERROR(INDEX('CARNET DE SOUDURE'!$E$7:$E$3006,MATCH(B782,'CARNET DE SOUDURE'!$L$7:$L$3006,0)),""))</f>
        <v>DJ°111</v>
      </c>
      <c r="L782" s="82" t="n">
        <f aca="false">IF(B782="","",IFERROR(INDEX('CARNET DE SOUDURE'!$D$7:$D$3006,MATCH(B782,'CARNET DE SOUDURE'!$L$7:$L$3006,0)),IFERROR(INDEX('CARNET DE SOUDURE'!$D$7:$D$3006,MATCH(B782,'CARNET DE SOUDURE'!$O$7:$O$3006,0)),"")))</f>
        <v>16</v>
      </c>
      <c r="M782" s="82" t="str">
        <f aca="false">IF(B782="","",IF(OR(J782&lt;&gt;"",K782&lt;&gt;""),"POSÉ EN LIGNE",IF(COUNTIF(BARDAGE!$C$1:$C$5000,B782)&gt;0,"BARDÉ","EN STOCK")))</f>
        <v>POSÉ EN LIGNE</v>
      </c>
      <c r="N782" s="80"/>
    </row>
    <row r="783" customFormat="false" ht="15" hidden="false" customHeight="false" outlineLevel="0" collapsed="false">
      <c r="A783" s="82" t="n">
        <f aca="false">IF(B783="","",ROW()-6)</f>
        <v>777</v>
      </c>
      <c r="B783" s="145" t="n">
        <v>2097850</v>
      </c>
      <c r="C783" s="146" t="n">
        <v>15421112</v>
      </c>
      <c r="D783" s="146"/>
      <c r="E783" s="82" t="str">
        <f aca="false">IF(B783="","",IF(COUNTIFS('CARNET DE SOUDURE'!$L$7:$L$3006,B783,'CARNET DE SOUDURE'!$M$7:$M$3006,"&lt;&gt;"&amp;C783,'CARNET DE SOUDURE'!$M$7:$M$3006,"&lt;&gt;")+COUNTIFS('CARNET DE SOUDURE'!$O$7:$O$3006,B783,'CARNET DE SOUDURE'!$P$7:$P$3006,"&lt;&gt;"&amp;C783,'CARNET DE SOUDURE'!$P$7:$P$3006,"&lt;&gt;")&gt;0,"⚠ DIFFÉRENTE","OK"))</f>
        <v>OK</v>
      </c>
      <c r="F783" s="147" t="n">
        <v>11.94</v>
      </c>
      <c r="G783" s="80"/>
      <c r="H783" s="83"/>
      <c r="I783" s="148" t="str">
        <f aca="false">IF(B783="","",IFERROR(INDEX('CARNET DE SOUDURE'!$B$7:$B$3006,MATCH(B783,'CARNET DE SOUDURE'!$L$7:$L$3006,0)),IFERROR(INDEX('CARNET DE SOUDURE'!$B$7:$B$3006,MATCH(B783,'CARNET DE SOUDURE'!$O$7:$O$3006,0)),"")))</f>
        <v>MFD-ISW → MFD-CPF</v>
      </c>
      <c r="J783" s="82" t="str">
        <f aca="false">IF(B783="","",IFERROR(INDEX('CARNET DE SOUDURE'!$E$7:$E$3006,MATCH(B783,'CARNET DE SOUDURE'!$O$7:$O$3006,0)),""))</f>
        <v>DJ°111</v>
      </c>
      <c r="K783" s="82" t="str">
        <f aca="false">IF(B783="","",IFERROR(INDEX('CARNET DE SOUDURE'!$E$7:$E$3006,MATCH(B783,'CARNET DE SOUDURE'!$L$7:$L$3006,0)),""))</f>
        <v>JN°1402</v>
      </c>
      <c r="L783" s="82" t="n">
        <f aca="false">IF(B783="","",IFERROR(INDEX('CARNET DE SOUDURE'!$D$7:$D$3006,MATCH(B783,'CARNET DE SOUDURE'!$L$7:$L$3006,0)),IFERROR(INDEX('CARNET DE SOUDURE'!$D$7:$D$3006,MATCH(B783,'CARNET DE SOUDURE'!$O$7:$O$3006,0)),"")))</f>
        <v>16</v>
      </c>
      <c r="M783" s="82" t="str">
        <f aca="false">IF(B783="","",IF(OR(J783&lt;&gt;"",K783&lt;&gt;""),"POSÉ EN LIGNE",IF(COUNTIF(BARDAGE!$C$1:$C$5000,B783)&gt;0,"BARDÉ","EN STOCK")))</f>
        <v>POSÉ EN LIGNE</v>
      </c>
      <c r="N783" s="80"/>
    </row>
    <row r="784" customFormat="false" ht="15" hidden="false" customHeight="false" outlineLevel="0" collapsed="false">
      <c r="A784" s="82" t="n">
        <f aca="false">IF(B784="","",ROW()-6)</f>
        <v>778</v>
      </c>
      <c r="B784" s="145" t="n">
        <v>2091230</v>
      </c>
      <c r="C784" s="146" t="n">
        <v>15421109</v>
      </c>
      <c r="D784" s="146"/>
      <c r="E784" s="82" t="str">
        <f aca="false">IF(B784="","",IF(COUNTIFS('CARNET DE SOUDURE'!$L$7:$L$3006,B784,'CARNET DE SOUDURE'!$M$7:$M$3006,"&lt;&gt;"&amp;C784,'CARNET DE SOUDURE'!$M$7:$M$3006,"&lt;&gt;")+COUNTIFS('CARNET DE SOUDURE'!$O$7:$O$3006,B784,'CARNET DE SOUDURE'!$P$7:$P$3006,"&lt;&gt;"&amp;C784,'CARNET DE SOUDURE'!$P$7:$P$3006,"&lt;&gt;")&gt;0,"⚠ DIFFÉRENTE","OK"))</f>
        <v>OK</v>
      </c>
      <c r="F784" s="147" t="n">
        <v>11.94</v>
      </c>
      <c r="G784" s="80"/>
      <c r="H784" s="83"/>
      <c r="I784" s="148" t="str">
        <f aca="false">IF(B784="","",IFERROR(INDEX('CARNET DE SOUDURE'!$B$7:$B$3006,MATCH(B784,'CARNET DE SOUDURE'!$L$7:$L$3006,0)),IFERROR(INDEX('CARNET DE SOUDURE'!$B$7:$B$3006,MATCH(B784,'CARNET DE SOUDURE'!$O$7:$O$3006,0)),"")))</f>
        <v>MFD-ISW → MFD-CPF</v>
      </c>
      <c r="J784" s="82" t="str">
        <f aca="false">IF(B784="","",IFERROR(INDEX('CARNET DE SOUDURE'!$E$7:$E$3006,MATCH(B784,'CARNET DE SOUDURE'!$O$7:$O$3006,0)),""))</f>
        <v>JN°1402</v>
      </c>
      <c r="K784" s="82" t="str">
        <f aca="false">IF(B784="","",IFERROR(INDEX('CARNET DE SOUDURE'!$E$7:$E$3006,MATCH(B784,'CARNET DE SOUDURE'!$L$7:$L$3006,0)),""))</f>
        <v>DJ°148</v>
      </c>
      <c r="L784" s="82" t="n">
        <f aca="false">IF(B784="","",IFERROR(INDEX('CARNET DE SOUDURE'!$D$7:$D$3006,MATCH(B784,'CARNET DE SOUDURE'!$L$7:$L$3006,0)),IFERROR(INDEX('CARNET DE SOUDURE'!$D$7:$D$3006,MATCH(B784,'CARNET DE SOUDURE'!$O$7:$O$3006,0)),"")))</f>
        <v>16</v>
      </c>
      <c r="M784" s="82" t="str">
        <f aca="false">IF(B784="","",IF(OR(J784&lt;&gt;"",K784&lt;&gt;""),"POSÉ EN LIGNE",IF(COUNTIF(BARDAGE!$C$1:$C$5000,B784)&gt;0,"BARDÉ","EN STOCK")))</f>
        <v>POSÉ EN LIGNE</v>
      </c>
      <c r="N784" s="80"/>
    </row>
    <row r="785" customFormat="false" ht="15" hidden="false" customHeight="false" outlineLevel="0" collapsed="false">
      <c r="A785" s="82" t="n">
        <f aca="false">IF(B785="","",ROW()-6)</f>
        <v>779</v>
      </c>
      <c r="B785" s="145" t="n">
        <v>2089550</v>
      </c>
      <c r="C785" s="146" t="n">
        <v>15421109</v>
      </c>
      <c r="D785" s="146"/>
      <c r="E785" s="82" t="str">
        <f aca="false">IF(B785="","",IF(COUNTIFS('CARNET DE SOUDURE'!$L$7:$L$3006,B785,'CARNET DE SOUDURE'!$M$7:$M$3006,"&lt;&gt;"&amp;C785,'CARNET DE SOUDURE'!$M$7:$M$3006,"&lt;&gt;")+COUNTIFS('CARNET DE SOUDURE'!$O$7:$O$3006,B785,'CARNET DE SOUDURE'!$P$7:$P$3006,"&lt;&gt;"&amp;C785,'CARNET DE SOUDURE'!$P$7:$P$3006,"&lt;&gt;")&gt;0,"⚠ DIFFÉRENTE","OK"))</f>
        <v>OK</v>
      </c>
      <c r="F785" s="147" t="n">
        <v>11.94</v>
      </c>
      <c r="G785" s="80"/>
      <c r="H785" s="83"/>
      <c r="I785" s="148" t="str">
        <f aca="false">IF(B785="","",IFERROR(INDEX('CARNET DE SOUDURE'!$B$7:$B$3006,MATCH(B785,'CARNET DE SOUDURE'!$L$7:$L$3006,0)),IFERROR(INDEX('CARNET DE SOUDURE'!$B$7:$B$3006,MATCH(B785,'CARNET DE SOUDURE'!$O$7:$O$3006,0)),"")))</f>
        <v>MFD-ISW → MFD-CPF</v>
      </c>
      <c r="J785" s="82" t="str">
        <f aca="false">IF(B785="","",IFERROR(INDEX('CARNET DE SOUDURE'!$E$7:$E$3006,MATCH(B785,'CARNET DE SOUDURE'!$O$7:$O$3006,0)),""))</f>
        <v>DJ°148</v>
      </c>
      <c r="K785" s="82" t="str">
        <f aca="false">IF(B785="","",IFERROR(INDEX('CARNET DE SOUDURE'!$E$7:$E$3006,MATCH(B785,'CARNET DE SOUDURE'!$L$7:$L$3006,0)),""))</f>
        <v>JN°1403</v>
      </c>
      <c r="L785" s="82" t="n">
        <f aca="false">IF(B785="","",IFERROR(INDEX('CARNET DE SOUDURE'!$D$7:$D$3006,MATCH(B785,'CARNET DE SOUDURE'!$L$7:$L$3006,0)),IFERROR(INDEX('CARNET DE SOUDURE'!$D$7:$D$3006,MATCH(B785,'CARNET DE SOUDURE'!$O$7:$O$3006,0)),"")))</f>
        <v>16</v>
      </c>
      <c r="M785" s="82" t="str">
        <f aca="false">IF(B785="","",IF(OR(J785&lt;&gt;"",K785&lt;&gt;""),"POSÉ EN LIGNE",IF(COUNTIF(BARDAGE!$C$1:$C$5000,B785)&gt;0,"BARDÉ","EN STOCK")))</f>
        <v>POSÉ EN LIGNE</v>
      </c>
      <c r="N785" s="80"/>
    </row>
    <row r="786" customFormat="false" ht="15" hidden="false" customHeight="false" outlineLevel="0" collapsed="false">
      <c r="A786" s="82" t="n">
        <f aca="false">IF(B786="","",ROW()-6)</f>
        <v>780</v>
      </c>
      <c r="B786" s="145" t="n">
        <v>2087400</v>
      </c>
      <c r="C786" s="146" t="n">
        <v>15421107</v>
      </c>
      <c r="D786" s="146"/>
      <c r="E786" s="82" t="str">
        <f aca="false">IF(B786="","",IF(COUNTIFS('CARNET DE SOUDURE'!$L$7:$L$3006,B786,'CARNET DE SOUDURE'!$M$7:$M$3006,"&lt;&gt;"&amp;C786,'CARNET DE SOUDURE'!$M$7:$M$3006,"&lt;&gt;")+COUNTIFS('CARNET DE SOUDURE'!$O$7:$O$3006,B786,'CARNET DE SOUDURE'!$P$7:$P$3006,"&lt;&gt;"&amp;C786,'CARNET DE SOUDURE'!$P$7:$P$3006,"&lt;&gt;")&gt;0,"⚠ DIFFÉRENTE","OK"))</f>
        <v>OK</v>
      </c>
      <c r="F786" s="147" t="n">
        <v>11.94</v>
      </c>
      <c r="G786" s="80"/>
      <c r="H786" s="83"/>
      <c r="I786" s="148" t="str">
        <f aca="false">IF(B786="","",IFERROR(INDEX('CARNET DE SOUDURE'!$B$7:$B$3006,MATCH(B786,'CARNET DE SOUDURE'!$L$7:$L$3006,0)),IFERROR(INDEX('CARNET DE SOUDURE'!$B$7:$B$3006,MATCH(B786,'CARNET DE SOUDURE'!$O$7:$O$3006,0)),"")))</f>
        <v>MFD-ISW → MFD-CPF</v>
      </c>
      <c r="J786" s="82" t="str">
        <f aca="false">IF(B786="","",IFERROR(INDEX('CARNET DE SOUDURE'!$E$7:$E$3006,MATCH(B786,'CARNET DE SOUDURE'!$O$7:$O$3006,0)),""))</f>
        <v>JN°1403</v>
      </c>
      <c r="K786" s="82" t="str">
        <f aca="false">IF(B786="","",IFERROR(INDEX('CARNET DE SOUDURE'!$E$7:$E$3006,MATCH(B786,'CARNET DE SOUDURE'!$L$7:$L$3006,0)),""))</f>
        <v>DJ°149</v>
      </c>
      <c r="L786" s="82" t="n">
        <f aca="false">IF(B786="","",IFERROR(INDEX('CARNET DE SOUDURE'!$D$7:$D$3006,MATCH(B786,'CARNET DE SOUDURE'!$L$7:$L$3006,0)),IFERROR(INDEX('CARNET DE SOUDURE'!$D$7:$D$3006,MATCH(B786,'CARNET DE SOUDURE'!$O$7:$O$3006,0)),"")))</f>
        <v>16</v>
      </c>
      <c r="M786" s="82" t="str">
        <f aca="false">IF(B786="","",IF(OR(J786&lt;&gt;"",K786&lt;&gt;""),"POSÉ EN LIGNE",IF(COUNTIF(BARDAGE!$C$1:$C$5000,B786)&gt;0,"BARDÉ","EN STOCK")))</f>
        <v>POSÉ EN LIGNE</v>
      </c>
      <c r="N786" s="80"/>
    </row>
    <row r="787" customFormat="false" ht="15" hidden="false" customHeight="false" outlineLevel="0" collapsed="false">
      <c r="A787" s="82" t="n">
        <f aca="false">IF(B787="","",ROW()-6)</f>
        <v>781</v>
      </c>
      <c r="B787" s="145" t="n">
        <v>2093640</v>
      </c>
      <c r="C787" s="146" t="n">
        <v>15421110</v>
      </c>
      <c r="D787" s="146"/>
      <c r="E787" s="82" t="str">
        <f aca="false">IF(B787="","",IF(COUNTIFS('CARNET DE SOUDURE'!$L$7:$L$3006,B787,'CARNET DE SOUDURE'!$M$7:$M$3006,"&lt;&gt;"&amp;C787,'CARNET DE SOUDURE'!$M$7:$M$3006,"&lt;&gt;")+COUNTIFS('CARNET DE SOUDURE'!$O$7:$O$3006,B787,'CARNET DE SOUDURE'!$P$7:$P$3006,"&lt;&gt;"&amp;C787,'CARNET DE SOUDURE'!$P$7:$P$3006,"&lt;&gt;")&gt;0,"⚠ DIFFÉRENTE","OK"))</f>
        <v>OK</v>
      </c>
      <c r="F787" s="147" t="n">
        <v>11.94</v>
      </c>
      <c r="G787" s="80"/>
      <c r="H787" s="83"/>
      <c r="I787" s="148" t="str">
        <f aca="false">IF(B787="","",IFERROR(INDEX('CARNET DE SOUDURE'!$B$7:$B$3006,MATCH(B787,'CARNET DE SOUDURE'!$L$7:$L$3006,0)),IFERROR(INDEX('CARNET DE SOUDURE'!$B$7:$B$3006,MATCH(B787,'CARNET DE SOUDURE'!$O$7:$O$3006,0)),"")))</f>
        <v>MFD-ISW → MFD-CPF</v>
      </c>
      <c r="J787" s="82" t="str">
        <f aca="false">IF(B787="","",IFERROR(INDEX('CARNET DE SOUDURE'!$E$7:$E$3006,MATCH(B787,'CARNET DE SOUDURE'!$O$7:$O$3006,0)),""))</f>
        <v>DJ°149</v>
      </c>
      <c r="K787" s="82" t="str">
        <f aca="false">IF(B787="","",IFERROR(INDEX('CARNET DE SOUDURE'!$E$7:$E$3006,MATCH(B787,'CARNET DE SOUDURE'!$L$7:$L$3006,0)),""))</f>
        <v>JN°1404</v>
      </c>
      <c r="L787" s="82" t="n">
        <f aca="false">IF(B787="","",IFERROR(INDEX('CARNET DE SOUDURE'!$D$7:$D$3006,MATCH(B787,'CARNET DE SOUDURE'!$L$7:$L$3006,0)),IFERROR(INDEX('CARNET DE SOUDURE'!$D$7:$D$3006,MATCH(B787,'CARNET DE SOUDURE'!$O$7:$O$3006,0)),"")))</f>
        <v>16</v>
      </c>
      <c r="M787" s="82" t="str">
        <f aca="false">IF(B787="","",IF(OR(J787&lt;&gt;"",K787&lt;&gt;""),"POSÉ EN LIGNE",IF(COUNTIF(BARDAGE!$C$1:$C$5000,B787)&gt;0,"BARDÉ","EN STOCK")))</f>
        <v>POSÉ EN LIGNE</v>
      </c>
      <c r="N787" s="80"/>
    </row>
    <row r="788" customFormat="false" ht="15" hidden="false" customHeight="false" outlineLevel="0" collapsed="false">
      <c r="A788" s="82" t="n">
        <f aca="false">IF(B788="","",ROW()-6)</f>
        <v>782</v>
      </c>
      <c r="B788" s="145" t="n">
        <v>2096260</v>
      </c>
      <c r="C788" s="146" t="n">
        <v>15421111</v>
      </c>
      <c r="D788" s="146"/>
      <c r="E788" s="82" t="str">
        <f aca="false">IF(B788="","",IF(COUNTIFS('CARNET DE SOUDURE'!$L$7:$L$3006,B788,'CARNET DE SOUDURE'!$M$7:$M$3006,"&lt;&gt;"&amp;C788,'CARNET DE SOUDURE'!$M$7:$M$3006,"&lt;&gt;")+COUNTIFS('CARNET DE SOUDURE'!$O$7:$O$3006,B788,'CARNET DE SOUDURE'!$P$7:$P$3006,"&lt;&gt;"&amp;C788,'CARNET DE SOUDURE'!$P$7:$P$3006,"&lt;&gt;")&gt;0,"⚠ DIFFÉRENTE","OK"))</f>
        <v>OK</v>
      </c>
      <c r="F788" s="147" t="n">
        <v>11.94</v>
      </c>
      <c r="G788" s="80"/>
      <c r="H788" s="83"/>
      <c r="I788" s="148" t="str">
        <f aca="false">IF(B788="","",IFERROR(INDEX('CARNET DE SOUDURE'!$B$7:$B$3006,MATCH(B788,'CARNET DE SOUDURE'!$L$7:$L$3006,0)),IFERROR(INDEX('CARNET DE SOUDURE'!$B$7:$B$3006,MATCH(B788,'CARNET DE SOUDURE'!$O$7:$O$3006,0)),"")))</f>
        <v>MFD-ISW → MFD-CPF</v>
      </c>
      <c r="J788" s="82" t="str">
        <f aca="false">IF(B788="","",IFERROR(INDEX('CARNET DE SOUDURE'!$E$7:$E$3006,MATCH(B788,'CARNET DE SOUDURE'!$O$7:$O$3006,0)),""))</f>
        <v>JN°1404</v>
      </c>
      <c r="K788" s="82" t="str">
        <f aca="false">IF(B788="","",IFERROR(INDEX('CARNET DE SOUDURE'!$E$7:$E$3006,MATCH(B788,'CARNET DE SOUDURE'!$L$7:$L$3006,0)),""))</f>
        <v>DJ°134</v>
      </c>
      <c r="L788" s="82" t="n">
        <f aca="false">IF(B788="","",IFERROR(INDEX('CARNET DE SOUDURE'!$D$7:$D$3006,MATCH(B788,'CARNET DE SOUDURE'!$L$7:$L$3006,0)),IFERROR(INDEX('CARNET DE SOUDURE'!$D$7:$D$3006,MATCH(B788,'CARNET DE SOUDURE'!$O$7:$O$3006,0)),"")))</f>
        <v>16</v>
      </c>
      <c r="M788" s="82" t="str">
        <f aca="false">IF(B788="","",IF(OR(J788&lt;&gt;"",K788&lt;&gt;""),"POSÉ EN LIGNE",IF(COUNTIF(BARDAGE!$C$1:$C$5000,B788)&gt;0,"BARDÉ","EN STOCK")))</f>
        <v>POSÉ EN LIGNE</v>
      </c>
      <c r="N788" s="80"/>
    </row>
    <row r="789" customFormat="false" ht="15" hidden="false" customHeight="false" outlineLevel="0" collapsed="false">
      <c r="A789" s="82" t="n">
        <f aca="false">IF(B789="","",ROW()-6)</f>
        <v>783</v>
      </c>
      <c r="B789" s="145" t="n">
        <v>2081820</v>
      </c>
      <c r="C789" s="146" t="n">
        <v>15421104</v>
      </c>
      <c r="D789" s="146"/>
      <c r="E789" s="82" t="str">
        <f aca="false">IF(B789="","",IF(COUNTIFS('CARNET DE SOUDURE'!$L$7:$L$3006,B789,'CARNET DE SOUDURE'!$M$7:$M$3006,"&lt;&gt;"&amp;C789,'CARNET DE SOUDURE'!$M$7:$M$3006,"&lt;&gt;")+COUNTIFS('CARNET DE SOUDURE'!$O$7:$O$3006,B789,'CARNET DE SOUDURE'!$P$7:$P$3006,"&lt;&gt;"&amp;C789,'CARNET DE SOUDURE'!$P$7:$P$3006,"&lt;&gt;")&gt;0,"⚠ DIFFÉRENTE","OK"))</f>
        <v>OK</v>
      </c>
      <c r="F789" s="147" t="n">
        <v>11.94</v>
      </c>
      <c r="G789" s="80"/>
      <c r="H789" s="83"/>
      <c r="I789" s="148" t="str">
        <f aca="false">IF(B789="","",IFERROR(INDEX('CARNET DE SOUDURE'!$B$7:$B$3006,MATCH(B789,'CARNET DE SOUDURE'!$L$7:$L$3006,0)),IFERROR(INDEX('CARNET DE SOUDURE'!$B$7:$B$3006,MATCH(B789,'CARNET DE SOUDURE'!$O$7:$O$3006,0)),"")))</f>
        <v>MFD-ISW → MFD-CPF</v>
      </c>
      <c r="J789" s="82" t="str">
        <f aca="false">IF(B789="","",IFERROR(INDEX('CARNET DE SOUDURE'!$E$7:$E$3006,MATCH(B789,'CARNET DE SOUDURE'!$O$7:$O$3006,0)),""))</f>
        <v>DJ°134</v>
      </c>
      <c r="K789" s="82" t="str">
        <f aca="false">IF(B789="","",IFERROR(INDEX('CARNET DE SOUDURE'!$E$7:$E$3006,MATCH(B789,'CARNET DE SOUDURE'!$L$7:$L$3006,0)),""))</f>
        <v>JN°1405</v>
      </c>
      <c r="L789" s="82" t="n">
        <f aca="false">IF(B789="","",IFERROR(INDEX('CARNET DE SOUDURE'!$D$7:$D$3006,MATCH(B789,'CARNET DE SOUDURE'!$L$7:$L$3006,0)),IFERROR(INDEX('CARNET DE SOUDURE'!$D$7:$D$3006,MATCH(B789,'CARNET DE SOUDURE'!$O$7:$O$3006,0)),"")))</f>
        <v>16</v>
      </c>
      <c r="M789" s="82" t="str">
        <f aca="false">IF(B789="","",IF(OR(J789&lt;&gt;"",K789&lt;&gt;""),"POSÉ EN LIGNE",IF(COUNTIF(BARDAGE!$C$1:$C$5000,B789)&gt;0,"BARDÉ","EN STOCK")))</f>
        <v>POSÉ EN LIGNE</v>
      </c>
      <c r="N789" s="80"/>
    </row>
    <row r="790" customFormat="false" ht="15" hidden="false" customHeight="false" outlineLevel="0" collapsed="false">
      <c r="A790" s="82" t="n">
        <f aca="false">IF(B790="","",ROW()-6)</f>
        <v>784</v>
      </c>
      <c r="B790" s="145" t="n">
        <v>2084600</v>
      </c>
      <c r="C790" s="146" t="n">
        <v>15421106</v>
      </c>
      <c r="D790" s="146"/>
      <c r="E790" s="82" t="str">
        <f aca="false">IF(B790="","",IF(COUNTIFS('CARNET DE SOUDURE'!$L$7:$L$3006,B790,'CARNET DE SOUDURE'!$M$7:$M$3006,"&lt;&gt;"&amp;C790,'CARNET DE SOUDURE'!$M$7:$M$3006,"&lt;&gt;")+COUNTIFS('CARNET DE SOUDURE'!$O$7:$O$3006,B790,'CARNET DE SOUDURE'!$P$7:$P$3006,"&lt;&gt;"&amp;C790,'CARNET DE SOUDURE'!$P$7:$P$3006,"&lt;&gt;")&gt;0,"⚠ DIFFÉRENTE","OK"))</f>
        <v>OK</v>
      </c>
      <c r="F790" s="147" t="n">
        <v>11.94</v>
      </c>
      <c r="G790" s="80"/>
      <c r="H790" s="83"/>
      <c r="I790" s="148" t="str">
        <f aca="false">IF(B790="","",IFERROR(INDEX('CARNET DE SOUDURE'!$B$7:$B$3006,MATCH(B790,'CARNET DE SOUDURE'!$L$7:$L$3006,0)),IFERROR(INDEX('CARNET DE SOUDURE'!$B$7:$B$3006,MATCH(B790,'CARNET DE SOUDURE'!$O$7:$O$3006,0)),"")))</f>
        <v>MFD-ISW → MFD-CPF</v>
      </c>
      <c r="J790" s="82" t="str">
        <f aca="false">IF(B790="","",IFERROR(INDEX('CARNET DE SOUDURE'!$E$7:$E$3006,MATCH(B790,'CARNET DE SOUDURE'!$O$7:$O$3006,0)),""))</f>
        <v>JN°1405</v>
      </c>
      <c r="K790" s="82" t="str">
        <f aca="false">IF(B790="","",IFERROR(INDEX('CARNET DE SOUDURE'!$E$7:$E$3006,MATCH(B790,'CARNET DE SOUDURE'!$L$7:$L$3006,0)),""))</f>
        <v>DJ°133</v>
      </c>
      <c r="L790" s="82" t="n">
        <f aca="false">IF(B790="","",IFERROR(INDEX('CARNET DE SOUDURE'!$D$7:$D$3006,MATCH(B790,'CARNET DE SOUDURE'!$L$7:$L$3006,0)),IFERROR(INDEX('CARNET DE SOUDURE'!$D$7:$D$3006,MATCH(B790,'CARNET DE SOUDURE'!$O$7:$O$3006,0)),"")))</f>
        <v>16</v>
      </c>
      <c r="M790" s="82" t="str">
        <f aca="false">IF(B790="","",IF(OR(J790&lt;&gt;"",K790&lt;&gt;""),"POSÉ EN LIGNE",IF(COUNTIF(BARDAGE!$C$1:$C$5000,B790)&gt;0,"BARDÉ","EN STOCK")))</f>
        <v>POSÉ EN LIGNE</v>
      </c>
      <c r="N790" s="80"/>
    </row>
    <row r="791" customFormat="false" ht="15" hidden="false" customHeight="false" outlineLevel="0" collapsed="false">
      <c r="A791" s="82" t="n">
        <f aca="false">IF(B791="","",ROW()-6)</f>
        <v>785</v>
      </c>
      <c r="B791" s="145" t="n">
        <v>2087330</v>
      </c>
      <c r="C791" s="146" t="n">
        <v>15421107</v>
      </c>
      <c r="D791" s="146"/>
      <c r="E791" s="82" t="str">
        <f aca="false">IF(B791="","",IF(COUNTIFS('CARNET DE SOUDURE'!$L$7:$L$3006,B791,'CARNET DE SOUDURE'!$M$7:$M$3006,"&lt;&gt;"&amp;C791,'CARNET DE SOUDURE'!$M$7:$M$3006,"&lt;&gt;")+COUNTIFS('CARNET DE SOUDURE'!$O$7:$O$3006,B791,'CARNET DE SOUDURE'!$P$7:$P$3006,"&lt;&gt;"&amp;C791,'CARNET DE SOUDURE'!$P$7:$P$3006,"&lt;&gt;")&gt;0,"⚠ DIFFÉRENTE","OK"))</f>
        <v>OK</v>
      </c>
      <c r="F791" s="147" t="n">
        <v>11.94</v>
      </c>
      <c r="G791" s="80"/>
      <c r="H791" s="83"/>
      <c r="I791" s="148" t="str">
        <f aca="false">IF(B791="","",IFERROR(INDEX('CARNET DE SOUDURE'!$B$7:$B$3006,MATCH(B791,'CARNET DE SOUDURE'!$L$7:$L$3006,0)),IFERROR(INDEX('CARNET DE SOUDURE'!$B$7:$B$3006,MATCH(B791,'CARNET DE SOUDURE'!$O$7:$O$3006,0)),"")))</f>
        <v>MFD-ISW → MFD-CPF</v>
      </c>
      <c r="J791" s="82" t="str">
        <f aca="false">IF(B791="","",IFERROR(INDEX('CARNET DE SOUDURE'!$E$7:$E$3006,MATCH(B791,'CARNET DE SOUDURE'!$O$7:$O$3006,0)),""))</f>
        <v>DJ°133</v>
      </c>
      <c r="K791" s="82" t="str">
        <f aca="false">IF(B791="","",IFERROR(INDEX('CARNET DE SOUDURE'!$E$7:$E$3006,MATCH(B791,'CARNET DE SOUDURE'!$L$7:$L$3006,0)),""))</f>
        <v>JN°1406</v>
      </c>
      <c r="L791" s="82" t="n">
        <f aca="false">IF(B791="","",IFERROR(INDEX('CARNET DE SOUDURE'!$D$7:$D$3006,MATCH(B791,'CARNET DE SOUDURE'!$L$7:$L$3006,0)),IFERROR(INDEX('CARNET DE SOUDURE'!$D$7:$D$3006,MATCH(B791,'CARNET DE SOUDURE'!$O$7:$O$3006,0)),"")))</f>
        <v>16</v>
      </c>
      <c r="M791" s="82" t="str">
        <f aca="false">IF(B791="","",IF(OR(J791&lt;&gt;"",K791&lt;&gt;""),"POSÉ EN LIGNE",IF(COUNTIF(BARDAGE!$C$1:$C$5000,B791)&gt;0,"BARDÉ","EN STOCK")))</f>
        <v>POSÉ EN LIGNE</v>
      </c>
      <c r="N791" s="80"/>
    </row>
    <row r="792" customFormat="false" ht="15" hidden="false" customHeight="false" outlineLevel="0" collapsed="false">
      <c r="A792" s="82" t="n">
        <f aca="false">IF(B792="","",ROW()-6)</f>
        <v>786</v>
      </c>
      <c r="B792" s="145" t="n">
        <v>2087340</v>
      </c>
      <c r="C792" s="146" t="n">
        <v>15421107</v>
      </c>
      <c r="D792" s="146"/>
      <c r="E792" s="82" t="str">
        <f aca="false">IF(B792="","",IF(COUNTIFS('CARNET DE SOUDURE'!$L$7:$L$3006,B792,'CARNET DE SOUDURE'!$M$7:$M$3006,"&lt;&gt;"&amp;C792,'CARNET DE SOUDURE'!$M$7:$M$3006,"&lt;&gt;")+COUNTIFS('CARNET DE SOUDURE'!$O$7:$O$3006,B792,'CARNET DE SOUDURE'!$P$7:$P$3006,"&lt;&gt;"&amp;C792,'CARNET DE SOUDURE'!$P$7:$P$3006,"&lt;&gt;")&gt;0,"⚠ DIFFÉRENTE","OK"))</f>
        <v>OK</v>
      </c>
      <c r="F792" s="147" t="n">
        <v>11.94</v>
      </c>
      <c r="G792" s="80"/>
      <c r="H792" s="83"/>
      <c r="I792" s="148" t="str">
        <f aca="false">IF(B792="","",IFERROR(INDEX('CARNET DE SOUDURE'!$B$7:$B$3006,MATCH(B792,'CARNET DE SOUDURE'!$L$7:$L$3006,0)),IFERROR(INDEX('CARNET DE SOUDURE'!$B$7:$B$3006,MATCH(B792,'CARNET DE SOUDURE'!$O$7:$O$3006,0)),"")))</f>
        <v>MFD-ISW → MFD-CPF</v>
      </c>
      <c r="J792" s="82" t="str">
        <f aca="false">IF(B792="","",IFERROR(INDEX('CARNET DE SOUDURE'!$E$7:$E$3006,MATCH(B792,'CARNET DE SOUDURE'!$O$7:$O$3006,0)),""))</f>
        <v>JN°1406</v>
      </c>
      <c r="K792" s="82" t="str">
        <f aca="false">IF(B792="","",IFERROR(INDEX('CARNET DE SOUDURE'!$E$7:$E$3006,MATCH(B792,'CARNET DE SOUDURE'!$L$7:$L$3006,0)),""))</f>
        <v>DJ°137</v>
      </c>
      <c r="L792" s="82" t="n">
        <f aca="false">IF(B792="","",IFERROR(INDEX('CARNET DE SOUDURE'!$D$7:$D$3006,MATCH(B792,'CARNET DE SOUDURE'!$L$7:$L$3006,0)),IFERROR(INDEX('CARNET DE SOUDURE'!$D$7:$D$3006,MATCH(B792,'CARNET DE SOUDURE'!$O$7:$O$3006,0)),"")))</f>
        <v>16</v>
      </c>
      <c r="M792" s="82" t="str">
        <f aca="false">IF(B792="","",IF(OR(J792&lt;&gt;"",K792&lt;&gt;""),"POSÉ EN LIGNE",IF(COUNTIF(BARDAGE!$C$1:$C$5000,B792)&gt;0,"BARDÉ","EN STOCK")))</f>
        <v>POSÉ EN LIGNE</v>
      </c>
      <c r="N792" s="80"/>
    </row>
    <row r="793" customFormat="false" ht="15" hidden="false" customHeight="false" outlineLevel="0" collapsed="false">
      <c r="A793" s="82" t="n">
        <f aca="false">IF(B793="","",ROW()-6)</f>
        <v>787</v>
      </c>
      <c r="B793" s="145" t="n">
        <v>2098220</v>
      </c>
      <c r="C793" s="146" t="n">
        <v>15421112</v>
      </c>
      <c r="D793" s="146"/>
      <c r="E793" s="82" t="str">
        <f aca="false">IF(B793="","",IF(COUNTIFS('CARNET DE SOUDURE'!$L$7:$L$3006,B793,'CARNET DE SOUDURE'!$M$7:$M$3006,"&lt;&gt;"&amp;C793,'CARNET DE SOUDURE'!$M$7:$M$3006,"&lt;&gt;")+COUNTIFS('CARNET DE SOUDURE'!$O$7:$O$3006,B793,'CARNET DE SOUDURE'!$P$7:$P$3006,"&lt;&gt;"&amp;C793,'CARNET DE SOUDURE'!$P$7:$P$3006,"&lt;&gt;")&gt;0,"⚠ DIFFÉRENTE","OK"))</f>
        <v>OK</v>
      </c>
      <c r="F793" s="147" t="n">
        <v>11.94</v>
      </c>
      <c r="G793" s="80"/>
      <c r="H793" s="83"/>
      <c r="I793" s="148" t="str">
        <f aca="false">IF(B793="","",IFERROR(INDEX('CARNET DE SOUDURE'!$B$7:$B$3006,MATCH(B793,'CARNET DE SOUDURE'!$L$7:$L$3006,0)),IFERROR(INDEX('CARNET DE SOUDURE'!$B$7:$B$3006,MATCH(B793,'CARNET DE SOUDURE'!$O$7:$O$3006,0)),"")))</f>
        <v>MFD-ISW → MFD-CPF</v>
      </c>
      <c r="J793" s="82" t="str">
        <f aca="false">IF(B793="","",IFERROR(INDEX('CARNET DE SOUDURE'!$E$7:$E$3006,MATCH(B793,'CARNET DE SOUDURE'!$O$7:$O$3006,0)),""))</f>
        <v>DJ°137</v>
      </c>
      <c r="K793" s="82" t="str">
        <f aca="false">IF(B793="","",IFERROR(INDEX('CARNET DE SOUDURE'!$E$7:$E$3006,MATCH(B793,'CARNET DE SOUDURE'!$L$7:$L$3006,0)),""))</f>
        <v>JN°1407</v>
      </c>
      <c r="L793" s="82" t="n">
        <f aca="false">IF(B793="","",IFERROR(INDEX('CARNET DE SOUDURE'!$D$7:$D$3006,MATCH(B793,'CARNET DE SOUDURE'!$L$7:$L$3006,0)),IFERROR(INDEX('CARNET DE SOUDURE'!$D$7:$D$3006,MATCH(B793,'CARNET DE SOUDURE'!$O$7:$O$3006,0)),"")))</f>
        <v>16</v>
      </c>
      <c r="M793" s="82" t="str">
        <f aca="false">IF(B793="","",IF(OR(J793&lt;&gt;"",K793&lt;&gt;""),"POSÉ EN LIGNE",IF(COUNTIF(BARDAGE!$C$1:$C$5000,B793)&gt;0,"BARDÉ","EN STOCK")))</f>
        <v>POSÉ EN LIGNE</v>
      </c>
      <c r="N793" s="80"/>
    </row>
    <row r="794" customFormat="false" ht="15" hidden="false" customHeight="false" outlineLevel="0" collapsed="false">
      <c r="A794" s="82" t="n">
        <f aca="false">IF(B794="","",ROW()-6)</f>
        <v>788</v>
      </c>
      <c r="B794" s="145" t="n">
        <v>2096820</v>
      </c>
      <c r="C794" s="146" t="n">
        <v>15421111</v>
      </c>
      <c r="D794" s="146"/>
      <c r="E794" s="82" t="str">
        <f aca="false">IF(B794="","",IF(COUNTIFS('CARNET DE SOUDURE'!$L$7:$L$3006,B794,'CARNET DE SOUDURE'!$M$7:$M$3006,"&lt;&gt;"&amp;C794,'CARNET DE SOUDURE'!$M$7:$M$3006,"&lt;&gt;")+COUNTIFS('CARNET DE SOUDURE'!$O$7:$O$3006,B794,'CARNET DE SOUDURE'!$P$7:$P$3006,"&lt;&gt;"&amp;C794,'CARNET DE SOUDURE'!$P$7:$P$3006,"&lt;&gt;")&gt;0,"⚠ DIFFÉRENTE","OK"))</f>
        <v>OK</v>
      </c>
      <c r="F794" s="147" t="n">
        <v>11.94</v>
      </c>
      <c r="G794" s="80"/>
      <c r="H794" s="83"/>
      <c r="I794" s="148" t="str">
        <f aca="false">IF(B794="","",IFERROR(INDEX('CARNET DE SOUDURE'!$B$7:$B$3006,MATCH(B794,'CARNET DE SOUDURE'!$L$7:$L$3006,0)),IFERROR(INDEX('CARNET DE SOUDURE'!$B$7:$B$3006,MATCH(B794,'CARNET DE SOUDURE'!$O$7:$O$3006,0)),"")))</f>
        <v>MFD-ISW → MFD-CPF</v>
      </c>
      <c r="J794" s="82" t="str">
        <f aca="false">IF(B794="","",IFERROR(INDEX('CARNET DE SOUDURE'!$E$7:$E$3006,MATCH(B794,'CARNET DE SOUDURE'!$O$7:$O$3006,0)),""))</f>
        <v>JN°1407</v>
      </c>
      <c r="K794" s="82" t="str">
        <f aca="false">IF(B794="","",IFERROR(INDEX('CARNET DE SOUDURE'!$E$7:$E$3006,MATCH(B794,'CARNET DE SOUDURE'!$L$7:$L$3006,0)),""))</f>
        <v>DJ°136</v>
      </c>
      <c r="L794" s="82" t="n">
        <f aca="false">IF(B794="","",IFERROR(INDEX('CARNET DE SOUDURE'!$D$7:$D$3006,MATCH(B794,'CARNET DE SOUDURE'!$L$7:$L$3006,0)),IFERROR(INDEX('CARNET DE SOUDURE'!$D$7:$D$3006,MATCH(B794,'CARNET DE SOUDURE'!$O$7:$O$3006,0)),"")))</f>
        <v>16</v>
      </c>
      <c r="M794" s="82" t="str">
        <f aca="false">IF(B794="","",IF(OR(J794&lt;&gt;"",K794&lt;&gt;""),"POSÉ EN LIGNE",IF(COUNTIF(BARDAGE!$C$1:$C$5000,B794)&gt;0,"BARDÉ","EN STOCK")))</f>
        <v>POSÉ EN LIGNE</v>
      </c>
      <c r="N794" s="80"/>
    </row>
    <row r="795" customFormat="false" ht="15" hidden="false" customHeight="false" outlineLevel="0" collapsed="false">
      <c r="A795" s="82" t="n">
        <f aca="false">IF(B795="","",ROW()-6)</f>
        <v>789</v>
      </c>
      <c r="B795" s="145" t="n">
        <v>2088350</v>
      </c>
      <c r="C795" s="146" t="n">
        <v>15421108</v>
      </c>
      <c r="D795" s="146"/>
      <c r="E795" s="82" t="str">
        <f aca="false">IF(B795="","",IF(COUNTIFS('CARNET DE SOUDURE'!$L$7:$L$3006,B795,'CARNET DE SOUDURE'!$M$7:$M$3006,"&lt;&gt;"&amp;C795,'CARNET DE SOUDURE'!$M$7:$M$3006,"&lt;&gt;")+COUNTIFS('CARNET DE SOUDURE'!$O$7:$O$3006,B795,'CARNET DE SOUDURE'!$P$7:$P$3006,"&lt;&gt;"&amp;C795,'CARNET DE SOUDURE'!$P$7:$P$3006,"&lt;&gt;")&gt;0,"⚠ DIFFÉRENTE","OK"))</f>
        <v>OK</v>
      </c>
      <c r="F795" s="147" t="n">
        <v>11.94</v>
      </c>
      <c r="G795" s="80"/>
      <c r="H795" s="83"/>
      <c r="I795" s="148" t="str">
        <f aca="false">IF(B795="","",IFERROR(INDEX('CARNET DE SOUDURE'!$B$7:$B$3006,MATCH(B795,'CARNET DE SOUDURE'!$L$7:$L$3006,0)),IFERROR(INDEX('CARNET DE SOUDURE'!$B$7:$B$3006,MATCH(B795,'CARNET DE SOUDURE'!$O$7:$O$3006,0)),"")))</f>
        <v>MFD-ISW → MFD-CPF</v>
      </c>
      <c r="J795" s="82" t="str">
        <f aca="false">IF(B795="","",IFERROR(INDEX('CARNET DE SOUDURE'!$E$7:$E$3006,MATCH(B795,'CARNET DE SOUDURE'!$O$7:$O$3006,0)),""))</f>
        <v>DJ°136</v>
      </c>
      <c r="K795" s="82" t="str">
        <f aca="false">IF(B795="","",IFERROR(INDEX('CARNET DE SOUDURE'!$E$7:$E$3006,MATCH(B795,'CARNET DE SOUDURE'!$L$7:$L$3006,0)),""))</f>
        <v>JN°1408</v>
      </c>
      <c r="L795" s="82" t="n">
        <f aca="false">IF(B795="","",IFERROR(INDEX('CARNET DE SOUDURE'!$D$7:$D$3006,MATCH(B795,'CARNET DE SOUDURE'!$L$7:$L$3006,0)),IFERROR(INDEX('CARNET DE SOUDURE'!$D$7:$D$3006,MATCH(B795,'CARNET DE SOUDURE'!$O$7:$O$3006,0)),"")))</f>
        <v>16</v>
      </c>
      <c r="M795" s="82" t="str">
        <f aca="false">IF(B795="","",IF(OR(J795&lt;&gt;"",K795&lt;&gt;""),"POSÉ EN LIGNE",IF(COUNTIF(BARDAGE!$C$1:$C$5000,B795)&gt;0,"BARDÉ","EN STOCK")))</f>
        <v>POSÉ EN LIGNE</v>
      </c>
      <c r="N795" s="80"/>
    </row>
    <row r="796" customFormat="false" ht="15" hidden="false" customHeight="false" outlineLevel="0" collapsed="false">
      <c r="A796" s="82" t="n">
        <f aca="false">IF(B796="","",ROW()-6)</f>
        <v>790</v>
      </c>
      <c r="B796" s="145" t="n">
        <v>2095560</v>
      </c>
      <c r="C796" s="146" t="n">
        <v>15421111</v>
      </c>
      <c r="D796" s="146"/>
      <c r="E796" s="82" t="str">
        <f aca="false">IF(B796="","",IF(COUNTIFS('CARNET DE SOUDURE'!$L$7:$L$3006,B796,'CARNET DE SOUDURE'!$M$7:$M$3006,"&lt;&gt;"&amp;C796,'CARNET DE SOUDURE'!$M$7:$M$3006,"&lt;&gt;")+COUNTIFS('CARNET DE SOUDURE'!$O$7:$O$3006,B796,'CARNET DE SOUDURE'!$P$7:$P$3006,"&lt;&gt;"&amp;C796,'CARNET DE SOUDURE'!$P$7:$P$3006,"&lt;&gt;")&gt;0,"⚠ DIFFÉRENTE","OK"))</f>
        <v>OK</v>
      </c>
      <c r="F796" s="147" t="n">
        <v>11.94</v>
      </c>
      <c r="G796" s="80"/>
      <c r="H796" s="83"/>
      <c r="I796" s="148" t="str">
        <f aca="false">IF(B796="","",IFERROR(INDEX('CARNET DE SOUDURE'!$B$7:$B$3006,MATCH(B796,'CARNET DE SOUDURE'!$L$7:$L$3006,0)),IFERROR(INDEX('CARNET DE SOUDURE'!$B$7:$B$3006,MATCH(B796,'CARNET DE SOUDURE'!$O$7:$O$3006,0)),"")))</f>
        <v>MFD-ISW → MFD-CPF</v>
      </c>
      <c r="J796" s="82" t="str">
        <f aca="false">IF(B796="","",IFERROR(INDEX('CARNET DE SOUDURE'!$E$7:$E$3006,MATCH(B796,'CARNET DE SOUDURE'!$O$7:$O$3006,0)),""))</f>
        <v>JN°1408</v>
      </c>
      <c r="K796" s="82" t="str">
        <f aca="false">IF(B796="","",IFERROR(INDEX('CARNET DE SOUDURE'!$E$7:$E$3006,MATCH(B796,'CARNET DE SOUDURE'!$L$7:$L$3006,0)),""))</f>
        <v>DJ°108</v>
      </c>
      <c r="L796" s="82" t="n">
        <f aca="false">IF(B796="","",IFERROR(INDEX('CARNET DE SOUDURE'!$D$7:$D$3006,MATCH(B796,'CARNET DE SOUDURE'!$L$7:$L$3006,0)),IFERROR(INDEX('CARNET DE SOUDURE'!$D$7:$D$3006,MATCH(B796,'CARNET DE SOUDURE'!$O$7:$O$3006,0)),"")))</f>
        <v>16</v>
      </c>
      <c r="M796" s="82" t="str">
        <f aca="false">IF(B796="","",IF(OR(J796&lt;&gt;"",K796&lt;&gt;""),"POSÉ EN LIGNE",IF(COUNTIF(BARDAGE!$C$1:$C$5000,B796)&gt;0,"BARDÉ","EN STOCK")))</f>
        <v>POSÉ EN LIGNE</v>
      </c>
      <c r="N796" s="80"/>
    </row>
    <row r="797" customFormat="false" ht="15" hidden="false" customHeight="false" outlineLevel="0" collapsed="false">
      <c r="A797" s="82" t="n">
        <f aca="false">IF(B797="","",ROW()-6)</f>
        <v>791</v>
      </c>
      <c r="B797" s="145" t="n">
        <v>2089990</v>
      </c>
      <c r="C797" s="146" t="n">
        <v>15421109</v>
      </c>
      <c r="D797" s="146"/>
      <c r="E797" s="82" t="str">
        <f aca="false">IF(B797="","",IF(COUNTIFS('CARNET DE SOUDURE'!$L$7:$L$3006,B797,'CARNET DE SOUDURE'!$M$7:$M$3006,"&lt;&gt;"&amp;C797,'CARNET DE SOUDURE'!$M$7:$M$3006,"&lt;&gt;")+COUNTIFS('CARNET DE SOUDURE'!$O$7:$O$3006,B797,'CARNET DE SOUDURE'!$P$7:$P$3006,"&lt;&gt;"&amp;C797,'CARNET DE SOUDURE'!$P$7:$P$3006,"&lt;&gt;")&gt;0,"⚠ DIFFÉRENTE","OK"))</f>
        <v>OK</v>
      </c>
      <c r="F797" s="147" t="n">
        <v>11.94</v>
      </c>
      <c r="G797" s="80"/>
      <c r="H797" s="83"/>
      <c r="I797" s="148" t="str">
        <f aca="false">IF(B797="","",IFERROR(INDEX('CARNET DE SOUDURE'!$B$7:$B$3006,MATCH(B797,'CARNET DE SOUDURE'!$L$7:$L$3006,0)),IFERROR(INDEX('CARNET DE SOUDURE'!$B$7:$B$3006,MATCH(B797,'CARNET DE SOUDURE'!$O$7:$O$3006,0)),"")))</f>
        <v>MFD-ISW → MFD-CPF</v>
      </c>
      <c r="J797" s="82" t="str">
        <f aca="false">IF(B797="","",IFERROR(INDEX('CARNET DE SOUDURE'!$E$7:$E$3006,MATCH(B797,'CARNET DE SOUDURE'!$O$7:$O$3006,0)),""))</f>
        <v>DJ°108</v>
      </c>
      <c r="K797" s="82" t="str">
        <f aca="false">IF(B797="","",IFERROR(INDEX('CARNET DE SOUDURE'!$E$7:$E$3006,MATCH(B797,'CARNET DE SOUDURE'!$L$7:$L$3006,0)),""))</f>
        <v>JN°1409</v>
      </c>
      <c r="L797" s="82" t="n">
        <f aca="false">IF(B797="","",IFERROR(INDEX('CARNET DE SOUDURE'!$D$7:$D$3006,MATCH(B797,'CARNET DE SOUDURE'!$L$7:$L$3006,0)),IFERROR(INDEX('CARNET DE SOUDURE'!$D$7:$D$3006,MATCH(B797,'CARNET DE SOUDURE'!$O$7:$O$3006,0)),"")))</f>
        <v>16</v>
      </c>
      <c r="M797" s="82" t="str">
        <f aca="false">IF(B797="","",IF(OR(J797&lt;&gt;"",K797&lt;&gt;""),"POSÉ EN LIGNE",IF(COUNTIF(BARDAGE!$C$1:$C$5000,B797)&gt;0,"BARDÉ","EN STOCK")))</f>
        <v>POSÉ EN LIGNE</v>
      </c>
      <c r="N797" s="80"/>
    </row>
    <row r="798" customFormat="false" ht="15" hidden="false" customHeight="false" outlineLevel="0" collapsed="false">
      <c r="A798" s="82" t="n">
        <f aca="false">IF(B798="","",ROW()-6)</f>
        <v>792</v>
      </c>
      <c r="B798" s="145" t="n">
        <v>2088690</v>
      </c>
      <c r="C798" s="146" t="n">
        <v>15421108</v>
      </c>
      <c r="D798" s="146"/>
      <c r="E798" s="82" t="str">
        <f aca="false">IF(B798="","",IF(COUNTIFS('CARNET DE SOUDURE'!$L$7:$L$3006,B798,'CARNET DE SOUDURE'!$M$7:$M$3006,"&lt;&gt;"&amp;C798,'CARNET DE SOUDURE'!$M$7:$M$3006,"&lt;&gt;")+COUNTIFS('CARNET DE SOUDURE'!$O$7:$O$3006,B798,'CARNET DE SOUDURE'!$P$7:$P$3006,"&lt;&gt;"&amp;C798,'CARNET DE SOUDURE'!$P$7:$P$3006,"&lt;&gt;")&gt;0,"⚠ DIFFÉRENTE","OK"))</f>
        <v>OK</v>
      </c>
      <c r="F798" s="147" t="n">
        <v>11.94</v>
      </c>
      <c r="G798" s="80"/>
      <c r="H798" s="83"/>
      <c r="I798" s="148" t="str">
        <f aca="false">IF(B798="","",IFERROR(INDEX('CARNET DE SOUDURE'!$B$7:$B$3006,MATCH(B798,'CARNET DE SOUDURE'!$L$7:$L$3006,0)),IFERROR(INDEX('CARNET DE SOUDURE'!$B$7:$B$3006,MATCH(B798,'CARNET DE SOUDURE'!$O$7:$O$3006,0)),"")))</f>
        <v>MFD-ISW → MFD-CPF</v>
      </c>
      <c r="J798" s="82" t="str">
        <f aca="false">IF(B798="","",IFERROR(INDEX('CARNET DE SOUDURE'!$E$7:$E$3006,MATCH(B798,'CARNET DE SOUDURE'!$O$7:$O$3006,0)),""))</f>
        <v>JN°1409</v>
      </c>
      <c r="K798" s="82" t="str">
        <f aca="false">IF(B798="","",IFERROR(INDEX('CARNET DE SOUDURE'!$E$7:$E$3006,MATCH(B798,'CARNET DE SOUDURE'!$L$7:$L$3006,0)),""))</f>
        <v>DJ°105</v>
      </c>
      <c r="L798" s="82" t="n">
        <f aca="false">IF(B798="","",IFERROR(INDEX('CARNET DE SOUDURE'!$D$7:$D$3006,MATCH(B798,'CARNET DE SOUDURE'!$L$7:$L$3006,0)),IFERROR(INDEX('CARNET DE SOUDURE'!$D$7:$D$3006,MATCH(B798,'CARNET DE SOUDURE'!$O$7:$O$3006,0)),"")))</f>
        <v>16</v>
      </c>
      <c r="M798" s="82" t="str">
        <f aca="false">IF(B798="","",IF(OR(J798&lt;&gt;"",K798&lt;&gt;""),"POSÉ EN LIGNE",IF(COUNTIF(BARDAGE!$C$1:$C$5000,B798)&gt;0,"BARDÉ","EN STOCK")))</f>
        <v>POSÉ EN LIGNE</v>
      </c>
      <c r="N798" s="80"/>
    </row>
    <row r="799" customFormat="false" ht="15" hidden="false" customHeight="false" outlineLevel="0" collapsed="false">
      <c r="A799" s="82" t="n">
        <f aca="false">IF(B799="","",ROW()-6)</f>
        <v>793</v>
      </c>
      <c r="B799" s="145" t="n">
        <v>2096160</v>
      </c>
      <c r="C799" s="146" t="n">
        <v>15421111</v>
      </c>
      <c r="D799" s="146"/>
      <c r="E799" s="82" t="str">
        <f aca="false">IF(B799="","",IF(COUNTIFS('CARNET DE SOUDURE'!$L$7:$L$3006,B799,'CARNET DE SOUDURE'!$M$7:$M$3006,"&lt;&gt;"&amp;C799,'CARNET DE SOUDURE'!$M$7:$M$3006,"&lt;&gt;")+COUNTIFS('CARNET DE SOUDURE'!$O$7:$O$3006,B799,'CARNET DE SOUDURE'!$P$7:$P$3006,"&lt;&gt;"&amp;C799,'CARNET DE SOUDURE'!$P$7:$P$3006,"&lt;&gt;")&gt;0,"⚠ DIFFÉRENTE","OK"))</f>
        <v>OK</v>
      </c>
      <c r="F799" s="147" t="n">
        <v>11.94</v>
      </c>
      <c r="G799" s="80"/>
      <c r="H799" s="83"/>
      <c r="I799" s="148" t="str">
        <f aca="false">IF(B799="","",IFERROR(INDEX('CARNET DE SOUDURE'!$B$7:$B$3006,MATCH(B799,'CARNET DE SOUDURE'!$L$7:$L$3006,0)),IFERROR(INDEX('CARNET DE SOUDURE'!$B$7:$B$3006,MATCH(B799,'CARNET DE SOUDURE'!$O$7:$O$3006,0)),"")))</f>
        <v>MFD-ISW → MFD-CPF</v>
      </c>
      <c r="J799" s="82" t="str">
        <f aca="false">IF(B799="","",IFERROR(INDEX('CARNET DE SOUDURE'!$E$7:$E$3006,MATCH(B799,'CARNET DE SOUDURE'!$O$7:$O$3006,0)),""))</f>
        <v>DJ°105</v>
      </c>
      <c r="K799" s="82" t="str">
        <f aca="false">IF(B799="","",IFERROR(INDEX('CARNET DE SOUDURE'!$E$7:$E$3006,MATCH(B799,'CARNET DE SOUDURE'!$L$7:$L$3006,0)),""))</f>
        <v>JN°1410</v>
      </c>
      <c r="L799" s="82" t="n">
        <f aca="false">IF(B799="","",IFERROR(INDEX('CARNET DE SOUDURE'!$D$7:$D$3006,MATCH(B799,'CARNET DE SOUDURE'!$L$7:$L$3006,0)),IFERROR(INDEX('CARNET DE SOUDURE'!$D$7:$D$3006,MATCH(B799,'CARNET DE SOUDURE'!$O$7:$O$3006,0)),"")))</f>
        <v>16</v>
      </c>
      <c r="M799" s="82" t="str">
        <f aca="false">IF(B799="","",IF(OR(J799&lt;&gt;"",K799&lt;&gt;""),"POSÉ EN LIGNE",IF(COUNTIF(BARDAGE!$C$1:$C$5000,B799)&gt;0,"BARDÉ","EN STOCK")))</f>
        <v>POSÉ EN LIGNE</v>
      </c>
      <c r="N799" s="80"/>
    </row>
    <row r="800" customFormat="false" ht="15" hidden="false" customHeight="false" outlineLevel="0" collapsed="false">
      <c r="A800" s="82" t="n">
        <f aca="false">IF(B800="","",ROW()-6)</f>
        <v>794</v>
      </c>
      <c r="B800" s="145" t="n">
        <v>2088300</v>
      </c>
      <c r="C800" s="146" t="n">
        <v>15421108</v>
      </c>
      <c r="D800" s="146"/>
      <c r="E800" s="82" t="str">
        <f aca="false">IF(B800="","",IF(COUNTIFS('CARNET DE SOUDURE'!$L$7:$L$3006,B800,'CARNET DE SOUDURE'!$M$7:$M$3006,"&lt;&gt;"&amp;C800,'CARNET DE SOUDURE'!$M$7:$M$3006,"&lt;&gt;")+COUNTIFS('CARNET DE SOUDURE'!$O$7:$O$3006,B800,'CARNET DE SOUDURE'!$P$7:$P$3006,"&lt;&gt;"&amp;C800,'CARNET DE SOUDURE'!$P$7:$P$3006,"&lt;&gt;")&gt;0,"⚠ DIFFÉRENTE","OK"))</f>
        <v>OK</v>
      </c>
      <c r="F800" s="147" t="n">
        <v>11.94</v>
      </c>
      <c r="G800" s="80"/>
      <c r="H800" s="83"/>
      <c r="I800" s="148" t="str">
        <f aca="false">IF(B800="","",IFERROR(INDEX('CARNET DE SOUDURE'!$B$7:$B$3006,MATCH(B800,'CARNET DE SOUDURE'!$L$7:$L$3006,0)),IFERROR(INDEX('CARNET DE SOUDURE'!$B$7:$B$3006,MATCH(B800,'CARNET DE SOUDURE'!$O$7:$O$3006,0)),"")))</f>
        <v>MFD-ISW → MFD-CPF</v>
      </c>
      <c r="J800" s="82" t="str">
        <f aca="false">IF(B800="","",IFERROR(INDEX('CARNET DE SOUDURE'!$E$7:$E$3006,MATCH(B800,'CARNET DE SOUDURE'!$O$7:$O$3006,0)),""))</f>
        <v>JN°1410</v>
      </c>
      <c r="K800" s="82" t="str">
        <f aca="false">IF(B800="","",IFERROR(INDEX('CARNET DE SOUDURE'!$E$7:$E$3006,MATCH(B800,'CARNET DE SOUDURE'!$L$7:$L$3006,0)),""))</f>
        <v>DJ°110</v>
      </c>
      <c r="L800" s="82" t="n">
        <f aca="false">IF(B800="","",IFERROR(INDEX('CARNET DE SOUDURE'!$D$7:$D$3006,MATCH(B800,'CARNET DE SOUDURE'!$L$7:$L$3006,0)),IFERROR(INDEX('CARNET DE SOUDURE'!$D$7:$D$3006,MATCH(B800,'CARNET DE SOUDURE'!$O$7:$O$3006,0)),"")))</f>
        <v>16</v>
      </c>
      <c r="M800" s="82" t="str">
        <f aca="false">IF(B800="","",IF(OR(J800&lt;&gt;"",K800&lt;&gt;""),"POSÉ EN LIGNE",IF(COUNTIF(BARDAGE!$C$1:$C$5000,B800)&gt;0,"BARDÉ","EN STOCK")))</f>
        <v>POSÉ EN LIGNE</v>
      </c>
      <c r="N800" s="80"/>
    </row>
    <row r="801" customFormat="false" ht="15" hidden="false" customHeight="false" outlineLevel="0" collapsed="false">
      <c r="A801" s="82" t="n">
        <f aca="false">IF(B801="","",ROW()-6)</f>
        <v>795</v>
      </c>
      <c r="B801" s="145" t="n">
        <v>2082620</v>
      </c>
      <c r="C801" s="146" t="n">
        <v>15421104</v>
      </c>
      <c r="D801" s="146"/>
      <c r="E801" s="82" t="str">
        <f aca="false">IF(B801="","",IF(COUNTIFS('CARNET DE SOUDURE'!$L$7:$L$3006,B801,'CARNET DE SOUDURE'!$M$7:$M$3006,"&lt;&gt;"&amp;C801,'CARNET DE SOUDURE'!$M$7:$M$3006,"&lt;&gt;")+COUNTIFS('CARNET DE SOUDURE'!$O$7:$O$3006,B801,'CARNET DE SOUDURE'!$P$7:$P$3006,"&lt;&gt;"&amp;C801,'CARNET DE SOUDURE'!$P$7:$P$3006,"&lt;&gt;")&gt;0,"⚠ DIFFÉRENTE","OK"))</f>
        <v>OK</v>
      </c>
      <c r="F801" s="147" t="n">
        <v>11.94</v>
      </c>
      <c r="G801" s="80"/>
      <c r="H801" s="83"/>
      <c r="I801" s="148" t="str">
        <f aca="false">IF(B801="","",IFERROR(INDEX('CARNET DE SOUDURE'!$B$7:$B$3006,MATCH(B801,'CARNET DE SOUDURE'!$L$7:$L$3006,0)),IFERROR(INDEX('CARNET DE SOUDURE'!$B$7:$B$3006,MATCH(B801,'CARNET DE SOUDURE'!$O$7:$O$3006,0)),"")))</f>
        <v>MFD-ISW → MFD-CPF</v>
      </c>
      <c r="J801" s="82" t="str">
        <f aca="false">IF(B801="","",IFERROR(INDEX('CARNET DE SOUDURE'!$E$7:$E$3006,MATCH(B801,'CARNET DE SOUDURE'!$O$7:$O$3006,0)),""))</f>
        <v>DJ°110</v>
      </c>
      <c r="K801" s="82" t="str">
        <f aca="false">IF(B801="","",IFERROR(INDEX('CARNET DE SOUDURE'!$E$7:$E$3006,MATCH(B801,'CARNET DE SOUDURE'!$L$7:$L$3006,0)),""))</f>
        <v>JN°1411</v>
      </c>
      <c r="L801" s="82" t="n">
        <f aca="false">IF(B801="","",IFERROR(INDEX('CARNET DE SOUDURE'!$D$7:$D$3006,MATCH(B801,'CARNET DE SOUDURE'!$L$7:$L$3006,0)),IFERROR(INDEX('CARNET DE SOUDURE'!$D$7:$D$3006,MATCH(B801,'CARNET DE SOUDURE'!$O$7:$O$3006,0)),"")))</f>
        <v>16</v>
      </c>
      <c r="M801" s="82" t="str">
        <f aca="false">IF(B801="","",IF(OR(J801&lt;&gt;"",K801&lt;&gt;""),"POSÉ EN LIGNE",IF(COUNTIF(BARDAGE!$C$1:$C$5000,B801)&gt;0,"BARDÉ","EN STOCK")))</f>
        <v>POSÉ EN LIGNE</v>
      </c>
      <c r="N801" s="80"/>
    </row>
    <row r="802" customFormat="false" ht="15" hidden="false" customHeight="false" outlineLevel="0" collapsed="false">
      <c r="A802" s="82" t="n">
        <f aca="false">IF(B802="","",ROW()-6)</f>
        <v>796</v>
      </c>
      <c r="B802" s="145" t="n">
        <v>2090290</v>
      </c>
      <c r="C802" s="146" t="n">
        <v>15421109</v>
      </c>
      <c r="D802" s="146"/>
      <c r="E802" s="82" t="str">
        <f aca="false">IF(B802="","",IF(COUNTIFS('CARNET DE SOUDURE'!$L$7:$L$3006,B802,'CARNET DE SOUDURE'!$M$7:$M$3006,"&lt;&gt;"&amp;C802,'CARNET DE SOUDURE'!$M$7:$M$3006,"&lt;&gt;")+COUNTIFS('CARNET DE SOUDURE'!$O$7:$O$3006,B802,'CARNET DE SOUDURE'!$P$7:$P$3006,"&lt;&gt;"&amp;C802,'CARNET DE SOUDURE'!$P$7:$P$3006,"&lt;&gt;")&gt;0,"⚠ DIFFÉRENTE","OK"))</f>
        <v>OK</v>
      </c>
      <c r="F802" s="147" t="n">
        <v>11.94</v>
      </c>
      <c r="G802" s="80"/>
      <c r="H802" s="83"/>
      <c r="I802" s="148" t="str">
        <f aca="false">IF(B802="","",IFERROR(INDEX('CARNET DE SOUDURE'!$B$7:$B$3006,MATCH(B802,'CARNET DE SOUDURE'!$L$7:$L$3006,0)),IFERROR(INDEX('CARNET DE SOUDURE'!$B$7:$B$3006,MATCH(B802,'CARNET DE SOUDURE'!$O$7:$O$3006,0)),"")))</f>
        <v>MFD-ISW → MFD-CPF</v>
      </c>
      <c r="J802" s="82" t="str">
        <f aca="false">IF(B802="","",IFERROR(INDEX('CARNET DE SOUDURE'!$E$7:$E$3006,MATCH(B802,'CARNET DE SOUDURE'!$O$7:$O$3006,0)),""))</f>
        <v>JN°1411</v>
      </c>
      <c r="K802" s="82" t="str">
        <f aca="false">IF(B802="","",IFERROR(INDEX('CARNET DE SOUDURE'!$E$7:$E$3006,MATCH(B802,'CARNET DE SOUDURE'!$L$7:$L$3006,0)),""))</f>
        <v>DJ°106</v>
      </c>
      <c r="L802" s="82" t="n">
        <f aca="false">IF(B802="","",IFERROR(INDEX('CARNET DE SOUDURE'!$D$7:$D$3006,MATCH(B802,'CARNET DE SOUDURE'!$L$7:$L$3006,0)),IFERROR(INDEX('CARNET DE SOUDURE'!$D$7:$D$3006,MATCH(B802,'CARNET DE SOUDURE'!$O$7:$O$3006,0)),"")))</f>
        <v>16</v>
      </c>
      <c r="M802" s="82" t="str">
        <f aca="false">IF(B802="","",IF(OR(J802&lt;&gt;"",K802&lt;&gt;""),"POSÉ EN LIGNE",IF(COUNTIF(BARDAGE!$C$1:$C$5000,B802)&gt;0,"BARDÉ","EN STOCK")))</f>
        <v>POSÉ EN LIGNE</v>
      </c>
      <c r="N802" s="80"/>
    </row>
    <row r="803" customFormat="false" ht="15" hidden="false" customHeight="false" outlineLevel="0" collapsed="false">
      <c r="A803" s="82" t="n">
        <f aca="false">IF(B803="","",ROW()-6)</f>
        <v>797</v>
      </c>
      <c r="B803" s="145" t="n">
        <v>2081140</v>
      </c>
      <c r="C803" s="146" t="n">
        <v>15421109</v>
      </c>
      <c r="D803" s="146"/>
      <c r="E803" s="82" t="str">
        <f aca="false">IF(B803="","",IF(COUNTIFS('CARNET DE SOUDURE'!$L$7:$L$3006,B803,'CARNET DE SOUDURE'!$M$7:$M$3006,"&lt;&gt;"&amp;C803,'CARNET DE SOUDURE'!$M$7:$M$3006,"&lt;&gt;")+COUNTIFS('CARNET DE SOUDURE'!$O$7:$O$3006,B803,'CARNET DE SOUDURE'!$P$7:$P$3006,"&lt;&gt;"&amp;C803,'CARNET DE SOUDURE'!$P$7:$P$3006,"&lt;&gt;")&gt;0,"⚠ DIFFÉRENTE","OK"))</f>
        <v>OK</v>
      </c>
      <c r="F803" s="147" t="n">
        <v>11.94</v>
      </c>
      <c r="G803" s="80"/>
      <c r="H803" s="83"/>
      <c r="I803" s="148" t="str">
        <f aca="false">IF(B803="","",IFERROR(INDEX('CARNET DE SOUDURE'!$B$7:$B$3006,MATCH(B803,'CARNET DE SOUDURE'!$L$7:$L$3006,0)),IFERROR(INDEX('CARNET DE SOUDURE'!$B$7:$B$3006,MATCH(B803,'CARNET DE SOUDURE'!$O$7:$O$3006,0)),"")))</f>
        <v>MFD-ISW → MFD-CPF</v>
      </c>
      <c r="J803" s="82" t="str">
        <f aca="false">IF(B803="","",IFERROR(INDEX('CARNET DE SOUDURE'!$E$7:$E$3006,MATCH(B803,'CARNET DE SOUDURE'!$O$7:$O$3006,0)),""))</f>
        <v>DJ°106</v>
      </c>
      <c r="K803" s="82" t="str">
        <f aca="false">IF(B803="","",IFERROR(INDEX('CARNET DE SOUDURE'!$E$7:$E$3006,MATCH(B803,'CARNET DE SOUDURE'!$L$7:$L$3006,0)),""))</f>
        <v>JN°1412</v>
      </c>
      <c r="L803" s="82" t="n">
        <f aca="false">IF(B803="","",IFERROR(INDEX('CARNET DE SOUDURE'!$D$7:$D$3006,MATCH(B803,'CARNET DE SOUDURE'!$L$7:$L$3006,0)),IFERROR(INDEX('CARNET DE SOUDURE'!$D$7:$D$3006,MATCH(B803,'CARNET DE SOUDURE'!$O$7:$O$3006,0)),"")))</f>
        <v>16</v>
      </c>
      <c r="M803" s="82" t="str">
        <f aca="false">IF(B803="","",IF(OR(J803&lt;&gt;"",K803&lt;&gt;""),"POSÉ EN LIGNE",IF(COUNTIF(BARDAGE!$C$1:$C$5000,B803)&gt;0,"BARDÉ","EN STOCK")))</f>
        <v>POSÉ EN LIGNE</v>
      </c>
      <c r="N803" s="80"/>
    </row>
    <row r="804" customFormat="false" ht="15" hidden="false" customHeight="false" outlineLevel="0" collapsed="false">
      <c r="A804" s="82" t="n">
        <f aca="false">IF(B804="","",ROW()-6)</f>
        <v>798</v>
      </c>
      <c r="B804" s="145" t="n">
        <v>2088940</v>
      </c>
      <c r="C804" s="146" t="n">
        <v>15421108</v>
      </c>
      <c r="D804" s="146"/>
      <c r="E804" s="82" t="str">
        <f aca="false">IF(B804="","",IF(COUNTIFS('CARNET DE SOUDURE'!$L$7:$L$3006,B804,'CARNET DE SOUDURE'!$M$7:$M$3006,"&lt;&gt;"&amp;C804,'CARNET DE SOUDURE'!$M$7:$M$3006,"&lt;&gt;")+COUNTIFS('CARNET DE SOUDURE'!$O$7:$O$3006,B804,'CARNET DE SOUDURE'!$P$7:$P$3006,"&lt;&gt;"&amp;C804,'CARNET DE SOUDURE'!$P$7:$P$3006,"&lt;&gt;")&gt;0,"⚠ DIFFÉRENTE","OK"))</f>
        <v>OK</v>
      </c>
      <c r="F804" s="147" t="n">
        <v>11.94</v>
      </c>
      <c r="G804" s="80"/>
      <c r="H804" s="83"/>
      <c r="I804" s="148" t="str">
        <f aca="false">IF(B804="","",IFERROR(INDEX('CARNET DE SOUDURE'!$B$7:$B$3006,MATCH(B804,'CARNET DE SOUDURE'!$L$7:$L$3006,0)),IFERROR(INDEX('CARNET DE SOUDURE'!$B$7:$B$3006,MATCH(B804,'CARNET DE SOUDURE'!$O$7:$O$3006,0)),"")))</f>
        <v>MFD-ISW → MFD-CPF</v>
      </c>
      <c r="J804" s="82" t="str">
        <f aca="false">IF(B804="","",IFERROR(INDEX('CARNET DE SOUDURE'!$E$7:$E$3006,MATCH(B804,'CARNET DE SOUDURE'!$O$7:$O$3006,0)),""))</f>
        <v>JN°1412</v>
      </c>
      <c r="K804" s="82" t="str">
        <f aca="false">IF(B804="","",IFERROR(INDEX('CARNET DE SOUDURE'!$E$7:$E$3006,MATCH(B804,'CARNET DE SOUDURE'!$L$7:$L$3006,0)),""))</f>
        <v>DJ°131</v>
      </c>
      <c r="L804" s="82" t="n">
        <f aca="false">IF(B804="","",IFERROR(INDEX('CARNET DE SOUDURE'!$D$7:$D$3006,MATCH(B804,'CARNET DE SOUDURE'!$L$7:$L$3006,0)),IFERROR(INDEX('CARNET DE SOUDURE'!$D$7:$D$3006,MATCH(B804,'CARNET DE SOUDURE'!$O$7:$O$3006,0)),"")))</f>
        <v>16</v>
      </c>
      <c r="M804" s="82" t="str">
        <f aca="false">IF(B804="","",IF(OR(J804&lt;&gt;"",K804&lt;&gt;""),"POSÉ EN LIGNE",IF(COUNTIF(BARDAGE!$C$1:$C$5000,B804)&gt;0,"BARDÉ","EN STOCK")))</f>
        <v>POSÉ EN LIGNE</v>
      </c>
      <c r="N804" s="80"/>
    </row>
    <row r="805" customFormat="false" ht="15" hidden="false" customHeight="false" outlineLevel="0" collapsed="false">
      <c r="A805" s="82" t="n">
        <f aca="false">IF(B805="","",ROW()-6)</f>
        <v>799</v>
      </c>
      <c r="B805" s="145" t="n">
        <v>2091590</v>
      </c>
      <c r="C805" s="146" t="n">
        <v>15421109</v>
      </c>
      <c r="D805" s="146"/>
      <c r="E805" s="82" t="str">
        <f aca="false">IF(B805="","",IF(COUNTIFS('CARNET DE SOUDURE'!$L$7:$L$3006,B805,'CARNET DE SOUDURE'!$M$7:$M$3006,"&lt;&gt;"&amp;C805,'CARNET DE SOUDURE'!$M$7:$M$3006,"&lt;&gt;")+COUNTIFS('CARNET DE SOUDURE'!$O$7:$O$3006,B805,'CARNET DE SOUDURE'!$P$7:$P$3006,"&lt;&gt;"&amp;C805,'CARNET DE SOUDURE'!$P$7:$P$3006,"&lt;&gt;")&gt;0,"⚠ DIFFÉRENTE","OK"))</f>
        <v>OK</v>
      </c>
      <c r="F805" s="147" t="n">
        <v>11.94</v>
      </c>
      <c r="G805" s="80"/>
      <c r="H805" s="83"/>
      <c r="I805" s="148" t="str">
        <f aca="false">IF(B805="","",IFERROR(INDEX('CARNET DE SOUDURE'!$B$7:$B$3006,MATCH(B805,'CARNET DE SOUDURE'!$L$7:$L$3006,0)),IFERROR(INDEX('CARNET DE SOUDURE'!$B$7:$B$3006,MATCH(B805,'CARNET DE SOUDURE'!$O$7:$O$3006,0)),"")))</f>
        <v>MFD-ISW → MFD-CPF</v>
      </c>
      <c r="J805" s="82" t="str">
        <f aca="false">IF(B805="","",IFERROR(INDEX('CARNET DE SOUDURE'!$E$7:$E$3006,MATCH(B805,'CARNET DE SOUDURE'!$O$7:$O$3006,0)),""))</f>
        <v>DJ°131</v>
      </c>
      <c r="K805" s="82" t="str">
        <f aca="false">IF(B805="","",IFERROR(INDEX('CARNET DE SOUDURE'!$E$7:$E$3006,MATCH(B805,'CARNET DE SOUDURE'!$L$7:$L$3006,0)),""))</f>
        <v>JN°1413</v>
      </c>
      <c r="L805" s="82" t="n">
        <f aca="false">IF(B805="","",IFERROR(INDEX('CARNET DE SOUDURE'!$D$7:$D$3006,MATCH(B805,'CARNET DE SOUDURE'!$L$7:$L$3006,0)),IFERROR(INDEX('CARNET DE SOUDURE'!$D$7:$D$3006,MATCH(B805,'CARNET DE SOUDURE'!$O$7:$O$3006,0)),"")))</f>
        <v>16</v>
      </c>
      <c r="M805" s="82" t="str">
        <f aca="false">IF(B805="","",IF(OR(J805&lt;&gt;"",K805&lt;&gt;""),"POSÉ EN LIGNE",IF(COUNTIF(BARDAGE!$C$1:$C$5000,B805)&gt;0,"BARDÉ","EN STOCK")))</f>
        <v>POSÉ EN LIGNE</v>
      </c>
      <c r="N805" s="80"/>
    </row>
    <row r="806" customFormat="false" ht="15" hidden="false" customHeight="false" outlineLevel="0" collapsed="false">
      <c r="A806" s="82" t="n">
        <f aca="false">IF(B806="","",ROW()-6)</f>
        <v>800</v>
      </c>
      <c r="B806" s="145" t="n">
        <v>2087950</v>
      </c>
      <c r="C806" s="146" t="n">
        <v>15421108</v>
      </c>
      <c r="D806" s="146"/>
      <c r="E806" s="82" t="str">
        <f aca="false">IF(B806="","",IF(COUNTIFS('CARNET DE SOUDURE'!$L$7:$L$3006,B806,'CARNET DE SOUDURE'!$M$7:$M$3006,"&lt;&gt;"&amp;C806,'CARNET DE SOUDURE'!$M$7:$M$3006,"&lt;&gt;")+COUNTIFS('CARNET DE SOUDURE'!$O$7:$O$3006,B806,'CARNET DE SOUDURE'!$P$7:$P$3006,"&lt;&gt;"&amp;C806,'CARNET DE SOUDURE'!$P$7:$P$3006,"&lt;&gt;")&gt;0,"⚠ DIFFÉRENTE","OK"))</f>
        <v>OK</v>
      </c>
      <c r="F806" s="147" t="n">
        <v>11.94</v>
      </c>
      <c r="G806" s="80"/>
      <c r="H806" s="83"/>
      <c r="I806" s="148" t="str">
        <f aca="false">IF(B806="","",IFERROR(INDEX('CARNET DE SOUDURE'!$B$7:$B$3006,MATCH(B806,'CARNET DE SOUDURE'!$L$7:$L$3006,0)),IFERROR(INDEX('CARNET DE SOUDURE'!$B$7:$B$3006,MATCH(B806,'CARNET DE SOUDURE'!$O$7:$O$3006,0)),"")))</f>
        <v>MFD-ISW → MFD-CPF</v>
      </c>
      <c r="J806" s="82" t="str">
        <f aca="false">IF(B806="","",IFERROR(INDEX('CARNET DE SOUDURE'!$E$7:$E$3006,MATCH(B806,'CARNET DE SOUDURE'!$O$7:$O$3006,0)),""))</f>
        <v>JN°1413</v>
      </c>
      <c r="K806" s="82" t="str">
        <f aca="false">IF(B806="","",IFERROR(INDEX('CARNET DE SOUDURE'!$E$7:$E$3006,MATCH(B806,'CARNET DE SOUDURE'!$L$7:$L$3006,0)),""))</f>
        <v>DJ°097</v>
      </c>
      <c r="L806" s="82" t="n">
        <f aca="false">IF(B806="","",IFERROR(INDEX('CARNET DE SOUDURE'!$D$7:$D$3006,MATCH(B806,'CARNET DE SOUDURE'!$L$7:$L$3006,0)),IFERROR(INDEX('CARNET DE SOUDURE'!$D$7:$D$3006,MATCH(B806,'CARNET DE SOUDURE'!$O$7:$O$3006,0)),"")))</f>
        <v>16</v>
      </c>
      <c r="M806" s="82" t="str">
        <f aca="false">IF(B806="","",IF(OR(J806&lt;&gt;"",K806&lt;&gt;""),"POSÉ EN LIGNE",IF(COUNTIF(BARDAGE!$C$1:$C$5000,B806)&gt;0,"BARDÉ","EN STOCK")))</f>
        <v>POSÉ EN LIGNE</v>
      </c>
      <c r="N806" s="80"/>
    </row>
    <row r="807" customFormat="false" ht="15" hidden="false" customHeight="false" outlineLevel="0" collapsed="false">
      <c r="A807" s="82" t="n">
        <f aca="false">IF(B807="","",ROW()-6)</f>
        <v>801</v>
      </c>
      <c r="B807" s="145" t="n">
        <v>2083170</v>
      </c>
      <c r="C807" s="146" t="n">
        <v>15421105</v>
      </c>
      <c r="D807" s="146"/>
      <c r="E807" s="82" t="str">
        <f aca="false">IF(B807="","",IF(COUNTIFS('CARNET DE SOUDURE'!$L$7:$L$3006,B807,'CARNET DE SOUDURE'!$M$7:$M$3006,"&lt;&gt;"&amp;C807,'CARNET DE SOUDURE'!$M$7:$M$3006,"&lt;&gt;")+COUNTIFS('CARNET DE SOUDURE'!$O$7:$O$3006,B807,'CARNET DE SOUDURE'!$P$7:$P$3006,"&lt;&gt;"&amp;C807,'CARNET DE SOUDURE'!$P$7:$P$3006,"&lt;&gt;")&gt;0,"⚠ DIFFÉRENTE","OK"))</f>
        <v>OK</v>
      </c>
      <c r="F807" s="147" t="n">
        <v>11.94</v>
      </c>
      <c r="G807" s="80"/>
      <c r="H807" s="83"/>
      <c r="I807" s="148" t="str">
        <f aca="false">IF(B807="","",IFERROR(INDEX('CARNET DE SOUDURE'!$B$7:$B$3006,MATCH(B807,'CARNET DE SOUDURE'!$L$7:$L$3006,0)),IFERROR(INDEX('CARNET DE SOUDURE'!$B$7:$B$3006,MATCH(B807,'CARNET DE SOUDURE'!$O$7:$O$3006,0)),"")))</f>
        <v>MFD-ISW → MFD-CPF</v>
      </c>
      <c r="J807" s="82" t="str">
        <f aca="false">IF(B807="","",IFERROR(INDEX('CARNET DE SOUDURE'!$E$7:$E$3006,MATCH(B807,'CARNET DE SOUDURE'!$O$7:$O$3006,0)),""))</f>
        <v>DJ°097</v>
      </c>
      <c r="K807" s="82" t="str">
        <f aca="false">IF(B807="","",IFERROR(INDEX('CARNET DE SOUDURE'!$E$7:$E$3006,MATCH(B807,'CARNET DE SOUDURE'!$L$7:$L$3006,0)),""))</f>
        <v>JN°1414</v>
      </c>
      <c r="L807" s="82" t="n">
        <f aca="false">IF(B807="","",IFERROR(INDEX('CARNET DE SOUDURE'!$D$7:$D$3006,MATCH(B807,'CARNET DE SOUDURE'!$L$7:$L$3006,0)),IFERROR(INDEX('CARNET DE SOUDURE'!$D$7:$D$3006,MATCH(B807,'CARNET DE SOUDURE'!$O$7:$O$3006,0)),"")))</f>
        <v>16</v>
      </c>
      <c r="M807" s="82" t="str">
        <f aca="false">IF(B807="","",IF(OR(J807&lt;&gt;"",K807&lt;&gt;""),"POSÉ EN LIGNE",IF(COUNTIF(BARDAGE!$C$1:$C$5000,B807)&gt;0,"BARDÉ","EN STOCK")))</f>
        <v>POSÉ EN LIGNE</v>
      </c>
      <c r="N807" s="80"/>
    </row>
    <row r="808" customFormat="false" ht="15" hidden="false" customHeight="false" outlineLevel="0" collapsed="false">
      <c r="A808" s="82" t="n">
        <f aca="false">IF(B808="","",ROW()-6)</f>
        <v>802</v>
      </c>
      <c r="B808" s="145" t="n">
        <v>2089060</v>
      </c>
      <c r="C808" s="146" t="n">
        <v>15421108</v>
      </c>
      <c r="D808" s="146"/>
      <c r="E808" s="82" t="str">
        <f aca="false">IF(B808="","",IF(COUNTIFS('CARNET DE SOUDURE'!$L$7:$L$3006,B808,'CARNET DE SOUDURE'!$M$7:$M$3006,"&lt;&gt;"&amp;C808,'CARNET DE SOUDURE'!$M$7:$M$3006,"&lt;&gt;")+COUNTIFS('CARNET DE SOUDURE'!$O$7:$O$3006,B808,'CARNET DE SOUDURE'!$P$7:$P$3006,"&lt;&gt;"&amp;C808,'CARNET DE SOUDURE'!$P$7:$P$3006,"&lt;&gt;")&gt;0,"⚠ DIFFÉRENTE","OK"))</f>
        <v>OK</v>
      </c>
      <c r="F808" s="147" t="n">
        <v>11.94</v>
      </c>
      <c r="G808" s="80"/>
      <c r="H808" s="83"/>
      <c r="I808" s="148" t="str">
        <f aca="false">IF(B808="","",IFERROR(INDEX('CARNET DE SOUDURE'!$B$7:$B$3006,MATCH(B808,'CARNET DE SOUDURE'!$L$7:$L$3006,0)),IFERROR(INDEX('CARNET DE SOUDURE'!$B$7:$B$3006,MATCH(B808,'CARNET DE SOUDURE'!$O$7:$O$3006,0)),"")))</f>
        <v>MFD-ISW → MFD-CPF</v>
      </c>
      <c r="J808" s="82" t="str">
        <f aca="false">IF(B808="","",IFERROR(INDEX('CARNET DE SOUDURE'!$E$7:$E$3006,MATCH(B808,'CARNET DE SOUDURE'!$O$7:$O$3006,0)),""))</f>
        <v>JN°1414</v>
      </c>
      <c r="K808" s="82" t="str">
        <f aca="false">IF(B808="","",IFERROR(INDEX('CARNET DE SOUDURE'!$E$7:$E$3006,MATCH(B808,'CARNET DE SOUDURE'!$L$7:$L$3006,0)),""))</f>
        <v>DJ°098</v>
      </c>
      <c r="L808" s="82" t="str">
        <f aca="false">IF(B808="","",IFERROR(INDEX('CARNET DE SOUDURE'!$D$7:$D$3006,MATCH(B808,'CARNET DE SOUDURE'!$L$7:$L$3006,0)),IFERROR(INDEX('CARNET DE SOUDURE'!$D$7:$D$3006,MATCH(B808,'CARNET DE SOUDURE'!$O$7:$O$3006,0)),"")))</f>
        <v>/</v>
      </c>
      <c r="M808" s="82" t="str">
        <f aca="false">IF(B808="","",IF(OR(J808&lt;&gt;"",K808&lt;&gt;""),"POSÉ EN LIGNE",IF(COUNTIF(BARDAGE!$C$1:$C$5000,B808)&gt;0,"BARDÉ","EN STOCK")))</f>
        <v>POSÉ EN LIGNE</v>
      </c>
      <c r="N808" s="80"/>
    </row>
    <row r="809" customFormat="false" ht="15" hidden="false" customHeight="false" outlineLevel="0" collapsed="false">
      <c r="A809" s="82" t="n">
        <f aca="false">IF(B809="","",ROW()-6)</f>
        <v>803</v>
      </c>
      <c r="B809" s="145" t="n">
        <v>2093660</v>
      </c>
      <c r="C809" s="146" t="n">
        <v>15421110</v>
      </c>
      <c r="D809" s="146"/>
      <c r="E809" s="82" t="str">
        <f aca="false">IF(B809="","",IF(COUNTIFS('CARNET DE SOUDURE'!$L$7:$L$3006,B809,'CARNET DE SOUDURE'!$M$7:$M$3006,"&lt;&gt;"&amp;C809,'CARNET DE SOUDURE'!$M$7:$M$3006,"&lt;&gt;")+COUNTIFS('CARNET DE SOUDURE'!$O$7:$O$3006,B809,'CARNET DE SOUDURE'!$P$7:$P$3006,"&lt;&gt;"&amp;C809,'CARNET DE SOUDURE'!$P$7:$P$3006,"&lt;&gt;")&gt;0,"⚠ DIFFÉRENTE","OK"))</f>
        <v>OK</v>
      </c>
      <c r="F809" s="147" t="n">
        <v>11.94</v>
      </c>
      <c r="G809" s="80"/>
      <c r="H809" s="83"/>
      <c r="I809" s="148" t="str">
        <f aca="false">IF(B809="","",IFERROR(INDEX('CARNET DE SOUDURE'!$B$7:$B$3006,MATCH(B809,'CARNET DE SOUDURE'!$L$7:$L$3006,0)),IFERROR(INDEX('CARNET DE SOUDURE'!$B$7:$B$3006,MATCH(B809,'CARNET DE SOUDURE'!$O$7:$O$3006,0)),"")))</f>
        <v>MFD-ISW → MFD-CPF</v>
      </c>
      <c r="J809" s="82" t="str">
        <f aca="false">IF(B809="","",IFERROR(INDEX('CARNET DE SOUDURE'!$E$7:$E$3006,MATCH(B809,'CARNET DE SOUDURE'!$O$7:$O$3006,0)),""))</f>
        <v>DJ°098</v>
      </c>
      <c r="K809" s="82" t="str">
        <f aca="false">IF(B809="","",IFERROR(INDEX('CARNET DE SOUDURE'!$E$7:$E$3006,MATCH(B809,'CARNET DE SOUDURE'!$L$7:$L$3006,0)),""))</f>
        <v/>
      </c>
      <c r="L809" s="82" t="str">
        <f aca="false">IF(B809="","",IFERROR(INDEX('CARNET DE SOUDURE'!$D$7:$D$3006,MATCH(B809,'CARNET DE SOUDURE'!$L$7:$L$3006,0)),IFERROR(INDEX('CARNET DE SOUDURE'!$D$7:$D$3006,MATCH(B809,'CARNET DE SOUDURE'!$O$7:$O$3006,0)),"")))</f>
        <v>/</v>
      </c>
      <c r="M809" s="82" t="str">
        <f aca="false">IF(B809="","",IF(OR(J809&lt;&gt;"",K809&lt;&gt;""),"POSÉ EN LIGNE",IF(COUNTIF(BARDAGE!$C$1:$C$5000,B809)&gt;0,"BARDÉ","EN STOCK")))</f>
        <v>POSÉ EN LIGNE</v>
      </c>
      <c r="N809" s="80"/>
    </row>
    <row r="810" customFormat="false" ht="15" hidden="false" customHeight="false" outlineLevel="0" collapsed="false">
      <c r="A810" s="82" t="n">
        <f aca="false">IF(B810="","",ROW()-6)</f>
        <v>804</v>
      </c>
      <c r="B810" s="145" t="n">
        <v>2093636</v>
      </c>
      <c r="C810" s="146" t="n">
        <v>15421110</v>
      </c>
      <c r="D810" s="146"/>
      <c r="E810" s="82" t="str">
        <f aca="false">IF(B810="","",IF(COUNTIFS('CARNET DE SOUDURE'!$L$7:$L$3006,B810,'CARNET DE SOUDURE'!$M$7:$M$3006,"&lt;&gt;"&amp;C810,'CARNET DE SOUDURE'!$M$7:$M$3006,"&lt;&gt;")+COUNTIFS('CARNET DE SOUDURE'!$O$7:$O$3006,B810,'CARNET DE SOUDURE'!$P$7:$P$3006,"&lt;&gt;"&amp;C810,'CARNET DE SOUDURE'!$P$7:$P$3006,"&lt;&gt;")&gt;0,"⚠ DIFFÉRENTE","OK"))</f>
        <v>OK</v>
      </c>
      <c r="F810" s="147" t="n">
        <v>11.94</v>
      </c>
      <c r="G810" s="80"/>
      <c r="H810" s="83"/>
      <c r="I810" s="148" t="str">
        <f aca="false">IF(B810="","",IFERROR(INDEX('CARNET DE SOUDURE'!$B$7:$B$3006,MATCH(B810,'CARNET DE SOUDURE'!$L$7:$L$3006,0)),IFERROR(INDEX('CARNET DE SOUDURE'!$B$7:$B$3006,MATCH(B810,'CARNET DE SOUDURE'!$O$7:$O$3006,0)),"")))</f>
        <v>MFD-ISW → MFD-CPF</v>
      </c>
      <c r="J810" s="82" t="str">
        <f aca="false">IF(B810="","",IFERROR(INDEX('CARNET DE SOUDURE'!$E$7:$E$3006,MATCH(B810,'CARNET DE SOUDURE'!$O$7:$O$3006,0)),""))</f>
        <v/>
      </c>
      <c r="K810" s="82" t="str">
        <f aca="false">IF(B810="","",IFERROR(INDEX('CARNET DE SOUDURE'!$E$7:$E$3006,MATCH(B810,'CARNET DE SOUDURE'!$L$7:$L$3006,0)),""))</f>
        <v>JN°1415</v>
      </c>
      <c r="L810" s="82" t="n">
        <f aca="false">IF(B810="","",IFERROR(INDEX('CARNET DE SOUDURE'!$D$7:$D$3006,MATCH(B810,'CARNET DE SOUDURE'!$L$7:$L$3006,0)),IFERROR(INDEX('CARNET DE SOUDURE'!$D$7:$D$3006,MATCH(B810,'CARNET DE SOUDURE'!$O$7:$O$3006,0)),"")))</f>
        <v>16</v>
      </c>
      <c r="M810" s="82" t="str">
        <f aca="false">IF(B810="","",IF(OR(J810&lt;&gt;"",K810&lt;&gt;""),"POSÉ EN LIGNE",IF(COUNTIF(BARDAGE!$C$1:$C$5000,B810)&gt;0,"BARDÉ","EN STOCK")))</f>
        <v>POSÉ EN LIGNE</v>
      </c>
      <c r="N810" s="80"/>
    </row>
    <row r="811" customFormat="false" ht="15" hidden="false" customHeight="false" outlineLevel="0" collapsed="false">
      <c r="A811" s="82" t="n">
        <f aca="false">IF(B811="","",ROW()-6)</f>
        <v>805</v>
      </c>
      <c r="B811" s="145" t="n">
        <v>2093030</v>
      </c>
      <c r="C811" s="146" t="n">
        <v>15421110</v>
      </c>
      <c r="D811" s="146"/>
      <c r="E811" s="82" t="str">
        <f aca="false">IF(B811="","",IF(COUNTIFS('CARNET DE SOUDURE'!$L$7:$L$3006,B811,'CARNET DE SOUDURE'!$M$7:$M$3006,"&lt;&gt;"&amp;C811,'CARNET DE SOUDURE'!$M$7:$M$3006,"&lt;&gt;")+COUNTIFS('CARNET DE SOUDURE'!$O$7:$O$3006,B811,'CARNET DE SOUDURE'!$P$7:$P$3006,"&lt;&gt;"&amp;C811,'CARNET DE SOUDURE'!$P$7:$P$3006,"&lt;&gt;")&gt;0,"⚠ DIFFÉRENTE","OK"))</f>
        <v>OK</v>
      </c>
      <c r="F811" s="147" t="n">
        <v>11.94</v>
      </c>
      <c r="G811" s="80"/>
      <c r="H811" s="83"/>
      <c r="I811" s="148" t="str">
        <f aca="false">IF(B811="","",IFERROR(INDEX('CARNET DE SOUDURE'!$B$7:$B$3006,MATCH(B811,'CARNET DE SOUDURE'!$L$7:$L$3006,0)),IFERROR(INDEX('CARNET DE SOUDURE'!$B$7:$B$3006,MATCH(B811,'CARNET DE SOUDURE'!$O$7:$O$3006,0)),"")))</f>
        <v>MFD-ISW → MFD-CPF</v>
      </c>
      <c r="J811" s="82" t="str">
        <f aca="false">IF(B811="","",IFERROR(INDEX('CARNET DE SOUDURE'!$E$7:$E$3006,MATCH(B811,'CARNET DE SOUDURE'!$O$7:$O$3006,0)),""))</f>
        <v>JN°1415</v>
      </c>
      <c r="K811" s="82" t="str">
        <f aca="false">IF(B811="","",IFERROR(INDEX('CARNET DE SOUDURE'!$E$7:$E$3006,MATCH(B811,'CARNET DE SOUDURE'!$L$7:$L$3006,0)),""))</f>
        <v>DJ°095</v>
      </c>
      <c r="L811" s="82" t="str">
        <f aca="false">IF(B811="","",IFERROR(INDEX('CARNET DE SOUDURE'!$D$7:$D$3006,MATCH(B811,'CARNET DE SOUDURE'!$L$7:$L$3006,0)),IFERROR(INDEX('CARNET DE SOUDURE'!$D$7:$D$3006,MATCH(B811,'CARNET DE SOUDURE'!$O$7:$O$3006,0)),"")))</f>
        <v>/</v>
      </c>
      <c r="M811" s="82" t="str">
        <f aca="false">IF(B811="","",IF(OR(J811&lt;&gt;"",K811&lt;&gt;""),"POSÉ EN LIGNE",IF(COUNTIF(BARDAGE!$C$1:$C$5000,B811)&gt;0,"BARDÉ","EN STOCK")))</f>
        <v>POSÉ EN LIGNE</v>
      </c>
      <c r="N811" s="80"/>
    </row>
    <row r="812" customFormat="false" ht="15" hidden="false" customHeight="false" outlineLevel="0" collapsed="false">
      <c r="A812" s="82" t="n">
        <f aca="false">IF(B812="","",ROW()-6)</f>
        <v>806</v>
      </c>
      <c r="B812" s="145" t="n">
        <v>2095580</v>
      </c>
      <c r="C812" s="146" t="n">
        <v>15421111</v>
      </c>
      <c r="D812" s="146"/>
      <c r="E812" s="82" t="str">
        <f aca="false">IF(B812="","",IF(COUNTIFS('CARNET DE SOUDURE'!$L$7:$L$3006,B812,'CARNET DE SOUDURE'!$M$7:$M$3006,"&lt;&gt;"&amp;C812,'CARNET DE SOUDURE'!$M$7:$M$3006,"&lt;&gt;")+COUNTIFS('CARNET DE SOUDURE'!$O$7:$O$3006,B812,'CARNET DE SOUDURE'!$P$7:$P$3006,"&lt;&gt;"&amp;C812,'CARNET DE SOUDURE'!$P$7:$P$3006,"&lt;&gt;")&gt;0,"⚠ DIFFÉRENTE","OK"))</f>
        <v>OK</v>
      </c>
      <c r="F812" s="147" t="n">
        <v>11.94</v>
      </c>
      <c r="G812" s="80"/>
      <c r="H812" s="83"/>
      <c r="I812" s="148" t="str">
        <f aca="false">IF(B812="","",IFERROR(INDEX('CARNET DE SOUDURE'!$B$7:$B$3006,MATCH(B812,'CARNET DE SOUDURE'!$L$7:$L$3006,0)),IFERROR(INDEX('CARNET DE SOUDURE'!$B$7:$B$3006,MATCH(B812,'CARNET DE SOUDURE'!$O$7:$O$3006,0)),"")))</f>
        <v>MFD-ISW → MFD-CPF</v>
      </c>
      <c r="J812" s="82" t="str">
        <f aca="false">IF(B812="","",IFERROR(INDEX('CARNET DE SOUDURE'!$E$7:$E$3006,MATCH(B812,'CARNET DE SOUDURE'!$O$7:$O$3006,0)),""))</f>
        <v>DJ°095</v>
      </c>
      <c r="K812" s="82" t="str">
        <f aca="false">IF(B812="","",IFERROR(INDEX('CARNET DE SOUDURE'!$E$7:$E$3006,MATCH(B812,'CARNET DE SOUDURE'!$L$7:$L$3006,0)),""))</f>
        <v>JN°1416</v>
      </c>
      <c r="L812" s="82" t="n">
        <f aca="false">IF(B812="","",IFERROR(INDEX('CARNET DE SOUDURE'!$D$7:$D$3006,MATCH(B812,'CARNET DE SOUDURE'!$L$7:$L$3006,0)),IFERROR(INDEX('CARNET DE SOUDURE'!$D$7:$D$3006,MATCH(B812,'CARNET DE SOUDURE'!$O$7:$O$3006,0)),"")))</f>
        <v>16</v>
      </c>
      <c r="M812" s="82" t="str">
        <f aca="false">IF(B812="","",IF(OR(J812&lt;&gt;"",K812&lt;&gt;""),"POSÉ EN LIGNE",IF(COUNTIF(BARDAGE!$C$1:$C$5000,B812)&gt;0,"BARDÉ","EN STOCK")))</f>
        <v>POSÉ EN LIGNE</v>
      </c>
      <c r="N812" s="80"/>
    </row>
    <row r="813" customFormat="false" ht="15" hidden="false" customHeight="false" outlineLevel="0" collapsed="false">
      <c r="A813" s="82" t="n">
        <f aca="false">IF(B813="","",ROW()-6)</f>
        <v>807</v>
      </c>
      <c r="B813" s="145" t="n">
        <v>2091450</v>
      </c>
      <c r="C813" s="146" t="n">
        <v>15421110</v>
      </c>
      <c r="D813" s="146"/>
      <c r="E813" s="82" t="str">
        <f aca="false">IF(B813="","",IF(COUNTIFS('CARNET DE SOUDURE'!$L$7:$L$3006,B813,'CARNET DE SOUDURE'!$M$7:$M$3006,"&lt;&gt;"&amp;C813,'CARNET DE SOUDURE'!$M$7:$M$3006,"&lt;&gt;")+COUNTIFS('CARNET DE SOUDURE'!$O$7:$O$3006,B813,'CARNET DE SOUDURE'!$P$7:$P$3006,"&lt;&gt;"&amp;C813,'CARNET DE SOUDURE'!$P$7:$P$3006,"&lt;&gt;")&gt;0,"⚠ DIFFÉRENTE","OK"))</f>
        <v>⚠ DIFFÉRENTE</v>
      </c>
      <c r="F813" s="147" t="n">
        <v>11.94</v>
      </c>
      <c r="G813" s="80"/>
      <c r="H813" s="83"/>
      <c r="I813" s="148" t="str">
        <f aca="false">IF(B813="","",IFERROR(INDEX('CARNET DE SOUDURE'!$B$7:$B$3006,MATCH(B813,'CARNET DE SOUDURE'!$L$7:$L$3006,0)),IFERROR(INDEX('CARNET DE SOUDURE'!$B$7:$B$3006,MATCH(B813,'CARNET DE SOUDURE'!$O$7:$O$3006,0)),"")))</f>
        <v>MFD-ISW → MFD-CPF</v>
      </c>
      <c r="J813" s="82" t="str">
        <f aca="false">IF(B813="","",IFERROR(INDEX('CARNET DE SOUDURE'!$E$7:$E$3006,MATCH(B813,'CARNET DE SOUDURE'!$O$7:$O$3006,0)),""))</f>
        <v>JN°1416</v>
      </c>
      <c r="K813" s="82" t="str">
        <f aca="false">IF(B813="","",IFERROR(INDEX('CARNET DE SOUDURE'!$E$7:$E$3006,MATCH(B813,'CARNET DE SOUDURE'!$L$7:$L$3006,0)),""))</f>
        <v>JN°1903</v>
      </c>
      <c r="L813" s="82" t="n">
        <f aca="false">IF(B813="","",IFERROR(INDEX('CARNET DE SOUDURE'!$D$7:$D$3006,MATCH(B813,'CARNET DE SOUDURE'!$L$7:$L$3006,0)),IFERROR(INDEX('CARNET DE SOUDURE'!$D$7:$D$3006,MATCH(B813,'CARNET DE SOUDURE'!$O$7:$O$3006,0)),"")))</f>
        <v>23</v>
      </c>
      <c r="M813" s="82" t="str">
        <f aca="false">IF(B813="","",IF(OR(J813&lt;&gt;"",K813&lt;&gt;""),"POSÉ EN LIGNE",IF(COUNTIF(BARDAGE!$C$1:$C$5000,B813)&gt;0,"BARDÉ","EN STOCK")))</f>
        <v>POSÉ EN LIGNE</v>
      </c>
      <c r="N813" s="80"/>
    </row>
    <row r="814" customFormat="false" ht="15" hidden="false" customHeight="false" outlineLevel="0" collapsed="false">
      <c r="A814" s="82" t="n">
        <f aca="false">IF(B814="","",ROW()-6)</f>
        <v>808</v>
      </c>
      <c r="B814" s="145" t="n">
        <v>2093450</v>
      </c>
      <c r="C814" s="146" t="n">
        <v>15421110</v>
      </c>
      <c r="D814" s="146"/>
      <c r="E814" s="82" t="str">
        <f aca="false">IF(B814="","",IF(COUNTIFS('CARNET DE SOUDURE'!$L$7:$L$3006,B814,'CARNET DE SOUDURE'!$M$7:$M$3006,"&lt;&gt;"&amp;C814,'CARNET DE SOUDURE'!$M$7:$M$3006,"&lt;&gt;")+COUNTIFS('CARNET DE SOUDURE'!$O$7:$O$3006,B814,'CARNET DE SOUDURE'!$P$7:$P$3006,"&lt;&gt;"&amp;C814,'CARNET DE SOUDURE'!$P$7:$P$3006,"&lt;&gt;")&gt;0,"⚠ DIFFÉRENTE","OK"))</f>
        <v>OK</v>
      </c>
      <c r="F814" s="147" t="n">
        <v>11.94</v>
      </c>
      <c r="G814" s="80"/>
      <c r="H814" s="83"/>
      <c r="I814" s="148" t="str">
        <f aca="false">IF(B814="","",IFERROR(INDEX('CARNET DE SOUDURE'!$B$7:$B$3006,MATCH(B814,'CARNET DE SOUDURE'!$L$7:$L$3006,0)),IFERROR(INDEX('CARNET DE SOUDURE'!$B$7:$B$3006,MATCH(B814,'CARNET DE SOUDURE'!$O$7:$O$3006,0)),"")))</f>
        <v>MFD-ISW → MFD-CPF</v>
      </c>
      <c r="J814" s="82" t="str">
        <f aca="false">IF(B814="","",IFERROR(INDEX('CARNET DE SOUDURE'!$E$7:$E$3006,MATCH(B814,'CARNET DE SOUDURE'!$O$7:$O$3006,0)),""))</f>
        <v/>
      </c>
      <c r="K814" s="82" t="str">
        <f aca="false">IF(B814="","",IFERROR(INDEX('CARNET DE SOUDURE'!$E$7:$E$3006,MATCH(B814,'CARNET DE SOUDURE'!$L$7:$L$3006,0)),""))</f>
        <v>DJ°096</v>
      </c>
      <c r="L814" s="82" t="str">
        <f aca="false">IF(B814="","",IFERROR(INDEX('CARNET DE SOUDURE'!$D$7:$D$3006,MATCH(B814,'CARNET DE SOUDURE'!$L$7:$L$3006,0)),IFERROR(INDEX('CARNET DE SOUDURE'!$D$7:$D$3006,MATCH(B814,'CARNET DE SOUDURE'!$O$7:$O$3006,0)),"")))</f>
        <v>/</v>
      </c>
      <c r="M814" s="82" t="str">
        <f aca="false">IF(B814="","",IF(OR(J814&lt;&gt;"",K814&lt;&gt;""),"POSÉ EN LIGNE",IF(COUNTIF(BARDAGE!$C$1:$C$5000,B814)&gt;0,"BARDÉ","EN STOCK")))</f>
        <v>POSÉ EN LIGNE</v>
      </c>
      <c r="N814" s="80"/>
    </row>
    <row r="815" customFormat="false" ht="15" hidden="false" customHeight="false" outlineLevel="0" collapsed="false">
      <c r="A815" s="82" t="n">
        <f aca="false">IF(B815="","",ROW()-6)</f>
        <v>809</v>
      </c>
      <c r="B815" s="145" t="n">
        <v>2089350</v>
      </c>
      <c r="C815" s="146" t="n">
        <v>15421111</v>
      </c>
      <c r="D815" s="146"/>
      <c r="E815" s="82" t="str">
        <f aca="false">IF(B815="","",IF(COUNTIFS('CARNET DE SOUDURE'!$L$7:$L$3006,B815,'CARNET DE SOUDURE'!$M$7:$M$3006,"&lt;&gt;"&amp;C815,'CARNET DE SOUDURE'!$M$7:$M$3006,"&lt;&gt;")+COUNTIFS('CARNET DE SOUDURE'!$O$7:$O$3006,B815,'CARNET DE SOUDURE'!$P$7:$P$3006,"&lt;&gt;"&amp;C815,'CARNET DE SOUDURE'!$P$7:$P$3006,"&lt;&gt;")&gt;0,"⚠ DIFFÉRENTE","OK"))</f>
        <v>OK</v>
      </c>
      <c r="F815" s="147" t="n">
        <v>11.94</v>
      </c>
      <c r="G815" s="80"/>
      <c r="H815" s="83"/>
      <c r="I815" s="148" t="str">
        <f aca="false">IF(B815="","",IFERROR(INDEX('CARNET DE SOUDURE'!$B$7:$B$3006,MATCH(B815,'CARNET DE SOUDURE'!$L$7:$L$3006,0)),IFERROR(INDEX('CARNET DE SOUDURE'!$B$7:$B$3006,MATCH(B815,'CARNET DE SOUDURE'!$O$7:$O$3006,0)),"")))</f>
        <v>MFD-ISW → MFD-CPF</v>
      </c>
      <c r="J815" s="82" t="str">
        <f aca="false">IF(B815="","",IFERROR(INDEX('CARNET DE SOUDURE'!$E$7:$E$3006,MATCH(B815,'CARNET DE SOUDURE'!$O$7:$O$3006,0)),""))</f>
        <v>DJ°096</v>
      </c>
      <c r="K815" s="82" t="str">
        <f aca="false">IF(B815="","",IFERROR(INDEX('CARNET DE SOUDURE'!$E$7:$E$3006,MATCH(B815,'CARNET DE SOUDURE'!$L$7:$L$3006,0)),""))</f>
        <v/>
      </c>
      <c r="L815" s="82" t="str">
        <f aca="false">IF(B815="","",IFERROR(INDEX('CARNET DE SOUDURE'!$D$7:$D$3006,MATCH(B815,'CARNET DE SOUDURE'!$L$7:$L$3006,0)),IFERROR(INDEX('CARNET DE SOUDURE'!$D$7:$D$3006,MATCH(B815,'CARNET DE SOUDURE'!$O$7:$O$3006,0)),"")))</f>
        <v>/</v>
      </c>
      <c r="M815" s="82" t="str">
        <f aca="false">IF(B815="","",IF(OR(J815&lt;&gt;"",K815&lt;&gt;""),"POSÉ EN LIGNE",IF(COUNTIF(BARDAGE!$C$1:$C$5000,B815)&gt;0,"BARDÉ","EN STOCK")))</f>
        <v>POSÉ EN LIGNE</v>
      </c>
      <c r="N815" s="80"/>
    </row>
    <row r="816" customFormat="false" ht="15" hidden="false" customHeight="false" outlineLevel="0" collapsed="false">
      <c r="A816" s="82" t="n">
        <f aca="false">IF(B816="","",ROW()-6)</f>
        <v>810</v>
      </c>
      <c r="B816" s="145" t="n">
        <v>2089250</v>
      </c>
      <c r="C816" s="146" t="n">
        <v>15421108</v>
      </c>
      <c r="D816" s="146"/>
      <c r="E816" s="82" t="str">
        <f aca="false">IF(B816="","",IF(COUNTIFS('CARNET DE SOUDURE'!$L$7:$L$3006,B816,'CARNET DE SOUDURE'!$M$7:$M$3006,"&lt;&gt;"&amp;C816,'CARNET DE SOUDURE'!$M$7:$M$3006,"&lt;&gt;")+COUNTIFS('CARNET DE SOUDURE'!$O$7:$O$3006,B816,'CARNET DE SOUDURE'!$P$7:$P$3006,"&lt;&gt;"&amp;C816,'CARNET DE SOUDURE'!$P$7:$P$3006,"&lt;&gt;")&gt;0,"⚠ DIFFÉRENTE","OK"))</f>
        <v>OK</v>
      </c>
      <c r="F816" s="147" t="n">
        <v>11.94</v>
      </c>
      <c r="G816" s="80"/>
      <c r="H816" s="83"/>
      <c r="I816" s="148" t="str">
        <f aca="false">IF(B816="","",IFERROR(INDEX('CARNET DE SOUDURE'!$B$7:$B$3006,MATCH(B816,'CARNET DE SOUDURE'!$L$7:$L$3006,0)),IFERROR(INDEX('CARNET DE SOUDURE'!$B$7:$B$3006,MATCH(B816,'CARNET DE SOUDURE'!$O$7:$O$3006,0)),"")))</f>
        <v>MFD-ISW → MFD-CPF</v>
      </c>
      <c r="J816" s="82" t="str">
        <f aca="false">IF(B816="","",IFERROR(INDEX('CARNET DE SOUDURE'!$E$7:$E$3006,MATCH(B816,'CARNET DE SOUDURE'!$O$7:$O$3006,0)),""))</f>
        <v/>
      </c>
      <c r="K816" s="82" t="str">
        <f aca="false">IF(B816="","",IFERROR(INDEX('CARNET DE SOUDURE'!$E$7:$E$3006,MATCH(B816,'CARNET DE SOUDURE'!$L$7:$L$3006,0)),""))</f>
        <v>DJ°138</v>
      </c>
      <c r="L816" s="82" t="str">
        <f aca="false">IF(B816="","",IFERROR(INDEX('CARNET DE SOUDURE'!$D$7:$D$3006,MATCH(B816,'CARNET DE SOUDURE'!$L$7:$L$3006,0)),IFERROR(INDEX('CARNET DE SOUDURE'!$D$7:$D$3006,MATCH(B816,'CARNET DE SOUDURE'!$O$7:$O$3006,0)),"")))</f>
        <v>/</v>
      </c>
      <c r="M816" s="82" t="str">
        <f aca="false">IF(B816="","",IF(OR(J816&lt;&gt;"",K816&lt;&gt;""),"POSÉ EN LIGNE",IF(COUNTIF(BARDAGE!$C$1:$C$5000,B816)&gt;0,"BARDÉ","EN STOCK")))</f>
        <v>POSÉ EN LIGNE</v>
      </c>
      <c r="N816" s="80"/>
    </row>
    <row r="817" customFormat="false" ht="15" hidden="false" customHeight="false" outlineLevel="0" collapsed="false">
      <c r="A817" s="82" t="n">
        <f aca="false">IF(B817="","",ROW()-6)</f>
        <v>811</v>
      </c>
      <c r="B817" s="145" t="n">
        <v>2084660</v>
      </c>
      <c r="C817" s="146" t="n">
        <v>15421106</v>
      </c>
      <c r="D817" s="146"/>
      <c r="E817" s="82" t="str">
        <f aca="false">IF(B817="","",IF(COUNTIFS('CARNET DE SOUDURE'!$L$7:$L$3006,B817,'CARNET DE SOUDURE'!$M$7:$M$3006,"&lt;&gt;"&amp;C817,'CARNET DE SOUDURE'!$M$7:$M$3006,"&lt;&gt;")+COUNTIFS('CARNET DE SOUDURE'!$O$7:$O$3006,B817,'CARNET DE SOUDURE'!$P$7:$P$3006,"&lt;&gt;"&amp;C817,'CARNET DE SOUDURE'!$P$7:$P$3006,"&lt;&gt;")&gt;0,"⚠ DIFFÉRENTE","OK"))</f>
        <v>OK</v>
      </c>
      <c r="F817" s="147" t="n">
        <v>11.94</v>
      </c>
      <c r="G817" s="80"/>
      <c r="H817" s="83"/>
      <c r="I817" s="148" t="str">
        <f aca="false">IF(B817="","",IFERROR(INDEX('CARNET DE SOUDURE'!$B$7:$B$3006,MATCH(B817,'CARNET DE SOUDURE'!$L$7:$L$3006,0)),IFERROR(INDEX('CARNET DE SOUDURE'!$B$7:$B$3006,MATCH(B817,'CARNET DE SOUDURE'!$O$7:$O$3006,0)),"")))</f>
        <v>MFD-ISW → MFD-CPF</v>
      </c>
      <c r="J817" s="82" t="str">
        <f aca="false">IF(B817="","",IFERROR(INDEX('CARNET DE SOUDURE'!$E$7:$E$3006,MATCH(B817,'CARNET DE SOUDURE'!$O$7:$O$3006,0)),""))</f>
        <v>DJ°138</v>
      </c>
      <c r="K817" s="82" t="str">
        <f aca="false">IF(B817="","",IFERROR(INDEX('CARNET DE SOUDURE'!$E$7:$E$3006,MATCH(B817,'CARNET DE SOUDURE'!$L$7:$L$3006,0)),""))</f>
        <v/>
      </c>
      <c r="L817" s="82" t="str">
        <f aca="false">IF(B817="","",IFERROR(INDEX('CARNET DE SOUDURE'!$D$7:$D$3006,MATCH(B817,'CARNET DE SOUDURE'!$L$7:$L$3006,0)),IFERROR(INDEX('CARNET DE SOUDURE'!$D$7:$D$3006,MATCH(B817,'CARNET DE SOUDURE'!$O$7:$O$3006,0)),"")))</f>
        <v>/</v>
      </c>
      <c r="M817" s="82" t="str">
        <f aca="false">IF(B817="","",IF(OR(J817&lt;&gt;"",K817&lt;&gt;""),"POSÉ EN LIGNE",IF(COUNTIF(BARDAGE!$C$1:$C$5000,B817)&gt;0,"BARDÉ","EN STOCK")))</f>
        <v>POSÉ EN LIGNE</v>
      </c>
      <c r="N817" s="80"/>
    </row>
    <row r="818" customFormat="false" ht="15" hidden="false" customHeight="false" outlineLevel="0" collapsed="false">
      <c r="A818" s="82" t="n">
        <f aca="false">IF(B818="","",ROW()-6)</f>
        <v>812</v>
      </c>
      <c r="B818" s="145" t="n">
        <v>2089670</v>
      </c>
      <c r="C818" s="146" t="n">
        <v>15421109</v>
      </c>
      <c r="D818" s="146"/>
      <c r="E818" s="82" t="str">
        <f aca="false">IF(B818="","",IF(COUNTIFS('CARNET DE SOUDURE'!$L$7:$L$3006,B818,'CARNET DE SOUDURE'!$M$7:$M$3006,"&lt;&gt;"&amp;C818,'CARNET DE SOUDURE'!$M$7:$M$3006,"&lt;&gt;")+COUNTIFS('CARNET DE SOUDURE'!$O$7:$O$3006,B818,'CARNET DE SOUDURE'!$P$7:$P$3006,"&lt;&gt;"&amp;C818,'CARNET DE SOUDURE'!$P$7:$P$3006,"&lt;&gt;")&gt;0,"⚠ DIFFÉRENTE","OK"))</f>
        <v>OK</v>
      </c>
      <c r="F818" s="147" t="n">
        <v>11.94</v>
      </c>
      <c r="G818" s="80"/>
      <c r="H818" s="83"/>
      <c r="I818" s="148" t="str">
        <f aca="false">IF(B818="","",IFERROR(INDEX('CARNET DE SOUDURE'!$B$7:$B$3006,MATCH(B818,'CARNET DE SOUDURE'!$L$7:$L$3006,0)),IFERROR(INDEX('CARNET DE SOUDURE'!$B$7:$B$3006,MATCH(B818,'CARNET DE SOUDURE'!$O$7:$O$3006,0)),"")))</f>
        <v>MFD-ISW → MFD-CPF</v>
      </c>
      <c r="J818" s="82" t="str">
        <f aca="false">IF(B818="","",IFERROR(INDEX('CARNET DE SOUDURE'!$E$7:$E$3006,MATCH(B818,'CARNET DE SOUDURE'!$O$7:$O$3006,0)),""))</f>
        <v>JN°1421R</v>
      </c>
      <c r="K818" s="82" t="str">
        <f aca="false">IF(B818="","",IFERROR(INDEX('CARNET DE SOUDURE'!$E$7:$E$3006,MATCH(B818,'CARNET DE SOUDURE'!$L$7:$L$3006,0)),""))</f>
        <v>DJ°139</v>
      </c>
      <c r="L818" s="82" t="n">
        <f aca="false">IF(B818="","",IFERROR(INDEX('CARNET DE SOUDURE'!$D$7:$D$3006,MATCH(B818,'CARNET DE SOUDURE'!$L$7:$L$3006,0)),IFERROR(INDEX('CARNET DE SOUDURE'!$D$7:$D$3006,MATCH(B818,'CARNET DE SOUDURE'!$O$7:$O$3006,0)),"")))</f>
        <v>16</v>
      </c>
      <c r="M818" s="82" t="str">
        <f aca="false">IF(B818="","",IF(OR(J818&lt;&gt;"",K818&lt;&gt;""),"POSÉ EN LIGNE",IF(COUNTIF(BARDAGE!$C$1:$C$5000,B818)&gt;0,"BARDÉ","EN STOCK")))</f>
        <v>POSÉ EN LIGNE</v>
      </c>
      <c r="N818" s="80"/>
    </row>
    <row r="819" customFormat="false" ht="15" hidden="false" customHeight="false" outlineLevel="0" collapsed="false">
      <c r="A819" s="82" t="n">
        <f aca="false">IF(B819="","",ROW()-6)</f>
        <v>813</v>
      </c>
      <c r="B819" s="145" t="n">
        <v>2088190</v>
      </c>
      <c r="C819" s="146" t="n">
        <v>15421108</v>
      </c>
      <c r="D819" s="146"/>
      <c r="E819" s="82" t="str">
        <f aca="false">IF(B819="","",IF(COUNTIFS('CARNET DE SOUDURE'!$L$7:$L$3006,B819,'CARNET DE SOUDURE'!$M$7:$M$3006,"&lt;&gt;"&amp;C819,'CARNET DE SOUDURE'!$M$7:$M$3006,"&lt;&gt;")+COUNTIFS('CARNET DE SOUDURE'!$O$7:$O$3006,B819,'CARNET DE SOUDURE'!$P$7:$P$3006,"&lt;&gt;"&amp;C819,'CARNET DE SOUDURE'!$P$7:$P$3006,"&lt;&gt;")&gt;0,"⚠ DIFFÉRENTE","OK"))</f>
        <v>OK</v>
      </c>
      <c r="F819" s="147" t="n">
        <v>11.94</v>
      </c>
      <c r="G819" s="80"/>
      <c r="H819" s="83"/>
      <c r="I819" s="148" t="str">
        <f aca="false">IF(B819="","",IFERROR(INDEX('CARNET DE SOUDURE'!$B$7:$B$3006,MATCH(B819,'CARNET DE SOUDURE'!$L$7:$L$3006,0)),IFERROR(INDEX('CARNET DE SOUDURE'!$B$7:$B$3006,MATCH(B819,'CARNET DE SOUDURE'!$O$7:$O$3006,0)),"")))</f>
        <v>MFD-ISW → MFD-CPF</v>
      </c>
      <c r="J819" s="82" t="str">
        <f aca="false">IF(B819="","",IFERROR(INDEX('CARNET DE SOUDURE'!$E$7:$E$3006,MATCH(B819,'CARNET DE SOUDURE'!$O$7:$O$3006,0)),""))</f>
        <v>DJ°139</v>
      </c>
      <c r="K819" s="82" t="str">
        <f aca="false">IF(B819="","",IFERROR(INDEX('CARNET DE SOUDURE'!$E$7:$E$3006,MATCH(B819,'CARNET DE SOUDURE'!$L$7:$L$3006,0)),""))</f>
        <v>DJ°118</v>
      </c>
      <c r="L819" s="82" t="n">
        <f aca="false">IF(B819="","",IFERROR(INDEX('CARNET DE SOUDURE'!$D$7:$D$3006,MATCH(B819,'CARNET DE SOUDURE'!$L$7:$L$3006,0)),IFERROR(INDEX('CARNET DE SOUDURE'!$D$7:$D$3006,MATCH(B819,'CARNET DE SOUDURE'!$O$7:$O$3006,0)),"")))</f>
        <v>17</v>
      </c>
      <c r="M819" s="82" t="str">
        <f aca="false">IF(B819="","",IF(OR(J819&lt;&gt;"",K819&lt;&gt;""),"POSÉ EN LIGNE",IF(COUNTIF(BARDAGE!$C$1:$C$5000,B819)&gt;0,"BARDÉ","EN STOCK")))</f>
        <v>POSÉ EN LIGNE</v>
      </c>
      <c r="N819" s="80"/>
    </row>
    <row r="820" customFormat="false" ht="15" hidden="false" customHeight="false" outlineLevel="0" collapsed="false">
      <c r="A820" s="82" t="n">
        <f aca="false">IF(B820="","",ROW()-6)</f>
        <v>814</v>
      </c>
      <c r="B820" s="145" t="n">
        <v>2088130</v>
      </c>
      <c r="C820" s="146" t="n">
        <v>15421108</v>
      </c>
      <c r="D820" s="146"/>
      <c r="E820" s="82" t="str">
        <f aca="false">IF(B820="","",IF(COUNTIFS('CARNET DE SOUDURE'!$L$7:$L$3006,B820,'CARNET DE SOUDURE'!$M$7:$M$3006,"&lt;&gt;"&amp;C820,'CARNET DE SOUDURE'!$M$7:$M$3006,"&lt;&gt;")+COUNTIFS('CARNET DE SOUDURE'!$O$7:$O$3006,B820,'CARNET DE SOUDURE'!$P$7:$P$3006,"&lt;&gt;"&amp;C820,'CARNET DE SOUDURE'!$P$7:$P$3006,"&lt;&gt;")&gt;0,"⚠ DIFFÉRENTE","OK"))</f>
        <v>OK</v>
      </c>
      <c r="F820" s="147" t="n">
        <v>11.94</v>
      </c>
      <c r="G820" s="80"/>
      <c r="H820" s="83"/>
      <c r="I820" s="148" t="str">
        <f aca="false">IF(B820="","",IFERROR(INDEX('CARNET DE SOUDURE'!$B$7:$B$3006,MATCH(B820,'CARNET DE SOUDURE'!$L$7:$L$3006,0)),IFERROR(INDEX('CARNET DE SOUDURE'!$B$7:$B$3006,MATCH(B820,'CARNET DE SOUDURE'!$O$7:$O$3006,0)),"")))</f>
        <v>MFD-ISW → MFD-CPF</v>
      </c>
      <c r="J820" s="82" t="str">
        <f aca="false">IF(B820="","",IFERROR(INDEX('CARNET DE SOUDURE'!$E$7:$E$3006,MATCH(B820,'CARNET DE SOUDURE'!$O$7:$O$3006,0)),""))</f>
        <v/>
      </c>
      <c r="K820" s="82" t="str">
        <f aca="false">IF(B820="","",IFERROR(INDEX('CARNET DE SOUDURE'!$E$7:$E$3006,MATCH(B820,'CARNET DE SOUDURE'!$L$7:$L$3006,0)),""))</f>
        <v>JN°1421R</v>
      </c>
      <c r="L820" s="82" t="n">
        <f aca="false">IF(B820="","",IFERROR(INDEX('CARNET DE SOUDURE'!$D$7:$D$3006,MATCH(B820,'CARNET DE SOUDURE'!$L$7:$L$3006,0)),IFERROR(INDEX('CARNET DE SOUDURE'!$D$7:$D$3006,MATCH(B820,'CARNET DE SOUDURE'!$O$7:$O$3006,0)),"")))</f>
        <v>16</v>
      </c>
      <c r="M820" s="82" t="str">
        <f aca="false">IF(B820="","",IF(OR(J820&lt;&gt;"",K820&lt;&gt;""),"POSÉ EN LIGNE",IF(COUNTIF(BARDAGE!$C$1:$C$5000,B820)&gt;0,"BARDÉ","EN STOCK")))</f>
        <v>POSÉ EN LIGNE</v>
      </c>
      <c r="N820" s="80"/>
    </row>
    <row r="821" customFormat="false" ht="15" hidden="false" customHeight="false" outlineLevel="0" collapsed="false">
      <c r="A821" s="82" t="n">
        <f aca="false">IF(B821="","",ROW()-6)</f>
        <v>815</v>
      </c>
      <c r="B821" s="145" t="n">
        <v>2094530</v>
      </c>
      <c r="C821" s="146" t="n">
        <v>15421111</v>
      </c>
      <c r="D821" s="146"/>
      <c r="E821" s="82" t="str">
        <f aca="false">IF(B821="","",IF(COUNTIFS('CARNET DE SOUDURE'!$L$7:$L$3006,B821,'CARNET DE SOUDURE'!$M$7:$M$3006,"&lt;&gt;"&amp;C821,'CARNET DE SOUDURE'!$M$7:$M$3006,"&lt;&gt;")+COUNTIFS('CARNET DE SOUDURE'!$O$7:$O$3006,B821,'CARNET DE SOUDURE'!$P$7:$P$3006,"&lt;&gt;"&amp;C821,'CARNET DE SOUDURE'!$P$7:$P$3006,"&lt;&gt;")&gt;0,"⚠ DIFFÉRENTE","OK"))</f>
        <v>OK</v>
      </c>
      <c r="F821" s="147" t="n">
        <v>11.94</v>
      </c>
      <c r="G821" s="80"/>
      <c r="H821" s="83"/>
      <c r="I821" s="148" t="str">
        <f aca="false">IF(B821="","",IFERROR(INDEX('CARNET DE SOUDURE'!$B$7:$B$3006,MATCH(B821,'CARNET DE SOUDURE'!$L$7:$L$3006,0)),IFERROR(INDEX('CARNET DE SOUDURE'!$B$7:$B$3006,MATCH(B821,'CARNET DE SOUDURE'!$O$7:$O$3006,0)),"")))</f>
        <v>MFD-ISW → MFD-CPF</v>
      </c>
      <c r="J821" s="82" t="str">
        <f aca="false">IF(B821="","",IFERROR(INDEX('CARNET DE SOUDURE'!$E$7:$E$3006,MATCH(B821,'CARNET DE SOUDURE'!$O$7:$O$3006,0)),""))</f>
        <v/>
      </c>
      <c r="K821" s="82" t="str">
        <f aca="false">IF(B821="","",IFERROR(INDEX('CARNET DE SOUDURE'!$E$7:$E$3006,MATCH(B821,'CARNET DE SOUDURE'!$L$7:$L$3006,0)),""))</f>
        <v>DJ°140</v>
      </c>
      <c r="L821" s="82" t="n">
        <f aca="false">IF(B821="","",IFERROR(INDEX('CARNET DE SOUDURE'!$D$7:$D$3006,MATCH(B821,'CARNET DE SOUDURE'!$L$7:$L$3006,0)),IFERROR(INDEX('CARNET DE SOUDURE'!$D$7:$D$3006,MATCH(B821,'CARNET DE SOUDURE'!$O$7:$O$3006,0)),"")))</f>
        <v>16</v>
      </c>
      <c r="M821" s="82" t="str">
        <f aca="false">IF(B821="","",IF(OR(J821&lt;&gt;"",K821&lt;&gt;""),"POSÉ EN LIGNE",IF(COUNTIF(BARDAGE!$C$1:$C$5000,B821)&gt;0,"BARDÉ","EN STOCK")))</f>
        <v>POSÉ EN LIGNE</v>
      </c>
      <c r="N821" s="80"/>
    </row>
    <row r="822" customFormat="false" ht="15" hidden="false" customHeight="false" outlineLevel="0" collapsed="false">
      <c r="A822" s="82" t="n">
        <f aca="false">IF(B822="","",ROW()-6)</f>
        <v>816</v>
      </c>
      <c r="B822" s="145" t="n">
        <v>2097790</v>
      </c>
      <c r="C822" s="146" t="n">
        <v>15421112</v>
      </c>
      <c r="D822" s="146"/>
      <c r="E822" s="82" t="str">
        <f aca="false">IF(B822="","",IF(COUNTIFS('CARNET DE SOUDURE'!$L$7:$L$3006,B822,'CARNET DE SOUDURE'!$M$7:$M$3006,"&lt;&gt;"&amp;C822,'CARNET DE SOUDURE'!$M$7:$M$3006,"&lt;&gt;")+COUNTIFS('CARNET DE SOUDURE'!$O$7:$O$3006,B822,'CARNET DE SOUDURE'!$P$7:$P$3006,"&lt;&gt;"&amp;C822,'CARNET DE SOUDURE'!$P$7:$P$3006,"&lt;&gt;")&gt;0,"⚠ DIFFÉRENTE","OK"))</f>
        <v>OK</v>
      </c>
      <c r="F822" s="147" t="n">
        <v>11.94</v>
      </c>
      <c r="G822" s="80"/>
      <c r="H822" s="83"/>
      <c r="I822" s="148" t="str">
        <f aca="false">IF(B822="","",IFERROR(INDEX('CARNET DE SOUDURE'!$B$7:$B$3006,MATCH(B822,'CARNET DE SOUDURE'!$L$7:$L$3006,0)),IFERROR(INDEX('CARNET DE SOUDURE'!$B$7:$B$3006,MATCH(B822,'CARNET DE SOUDURE'!$O$7:$O$3006,0)),"")))</f>
        <v>MFD-ISW → MFD-CPF</v>
      </c>
      <c r="J822" s="82" t="str">
        <f aca="false">IF(B822="","",IFERROR(INDEX('CARNET DE SOUDURE'!$E$7:$E$3006,MATCH(B822,'CARNET DE SOUDURE'!$O$7:$O$3006,0)),""))</f>
        <v>DJ°140</v>
      </c>
      <c r="K822" s="82" t="str">
        <f aca="false">IF(B822="","",IFERROR(INDEX('CARNET DE SOUDURE'!$E$7:$E$3006,MATCH(B822,'CARNET DE SOUDURE'!$L$7:$L$3006,0)),""))</f>
        <v/>
      </c>
      <c r="L822" s="82" t="n">
        <f aca="false">IF(B822="","",IFERROR(INDEX('CARNET DE SOUDURE'!$D$7:$D$3006,MATCH(B822,'CARNET DE SOUDURE'!$L$7:$L$3006,0)),IFERROR(INDEX('CARNET DE SOUDURE'!$D$7:$D$3006,MATCH(B822,'CARNET DE SOUDURE'!$O$7:$O$3006,0)),"")))</f>
        <v>16</v>
      </c>
      <c r="M822" s="82" t="str">
        <f aca="false">IF(B822="","",IF(OR(J822&lt;&gt;"",K822&lt;&gt;""),"POSÉ EN LIGNE",IF(COUNTIF(BARDAGE!$C$1:$C$5000,B822)&gt;0,"BARDÉ","EN STOCK")))</f>
        <v>POSÉ EN LIGNE</v>
      </c>
      <c r="N822" s="80"/>
    </row>
    <row r="823" customFormat="false" ht="15" hidden="false" customHeight="false" outlineLevel="0" collapsed="false">
      <c r="A823" s="82" t="n">
        <f aca="false">IF(B823="","",ROW()-6)</f>
        <v>817</v>
      </c>
      <c r="B823" s="145" t="n">
        <v>2094620</v>
      </c>
      <c r="C823" s="146" t="n">
        <v>15421111</v>
      </c>
      <c r="D823" s="146"/>
      <c r="E823" s="82" t="str">
        <f aca="false">IF(B823="","",IF(COUNTIFS('CARNET DE SOUDURE'!$L$7:$L$3006,B823,'CARNET DE SOUDURE'!$M$7:$M$3006,"&lt;&gt;"&amp;C823,'CARNET DE SOUDURE'!$M$7:$M$3006,"&lt;&gt;")+COUNTIFS('CARNET DE SOUDURE'!$O$7:$O$3006,B823,'CARNET DE SOUDURE'!$P$7:$P$3006,"&lt;&gt;"&amp;C823,'CARNET DE SOUDURE'!$P$7:$P$3006,"&lt;&gt;")&gt;0,"⚠ DIFFÉRENTE","OK"))</f>
        <v>OK</v>
      </c>
      <c r="F823" s="147" t="n">
        <v>11.94</v>
      </c>
      <c r="G823" s="80"/>
      <c r="H823" s="83"/>
      <c r="I823" s="148" t="str">
        <f aca="false">IF(B823="","",IFERROR(INDEX('CARNET DE SOUDURE'!$B$7:$B$3006,MATCH(B823,'CARNET DE SOUDURE'!$L$7:$L$3006,0)),IFERROR(INDEX('CARNET DE SOUDURE'!$B$7:$B$3006,MATCH(B823,'CARNET DE SOUDURE'!$O$7:$O$3006,0)),"")))</f>
        <v>MFD-ISW → MFD-CPF</v>
      </c>
      <c r="J823" s="82" t="str">
        <f aca="false">IF(B823="","",IFERROR(INDEX('CARNET DE SOUDURE'!$E$7:$E$3006,MATCH(B823,'CARNET DE SOUDURE'!$O$7:$O$3006,0)),""))</f>
        <v>JN°1422</v>
      </c>
      <c r="K823" s="82" t="str">
        <f aca="false">IF(B823="","",IFERROR(INDEX('CARNET DE SOUDURE'!$E$7:$E$3006,MATCH(B823,'CARNET DE SOUDURE'!$L$7:$L$3006,0)),""))</f>
        <v/>
      </c>
      <c r="L823" s="82" t="n">
        <f aca="false">IF(B823="","",IFERROR(INDEX('CARNET DE SOUDURE'!$D$7:$D$3006,MATCH(B823,'CARNET DE SOUDURE'!$L$7:$L$3006,0)),IFERROR(INDEX('CARNET DE SOUDURE'!$D$7:$D$3006,MATCH(B823,'CARNET DE SOUDURE'!$O$7:$O$3006,0)),"")))</f>
        <v>16</v>
      </c>
      <c r="M823" s="82" t="str">
        <f aca="false">IF(B823="","",IF(OR(J823&lt;&gt;"",K823&lt;&gt;""),"POSÉ EN LIGNE",IF(COUNTIF(BARDAGE!$C$1:$C$5000,B823)&gt;0,"BARDÉ","EN STOCK")))</f>
        <v>POSÉ EN LIGNE</v>
      </c>
      <c r="N823" s="80"/>
    </row>
    <row r="824" customFormat="false" ht="15" hidden="false" customHeight="false" outlineLevel="0" collapsed="false">
      <c r="A824" s="82" t="n">
        <f aca="false">IF(B824="","",ROW()-6)</f>
        <v>818</v>
      </c>
      <c r="B824" s="145" t="n">
        <v>2093</v>
      </c>
      <c r="C824" s="146" t="n">
        <v>15421110</v>
      </c>
      <c r="D824" s="146"/>
      <c r="E824" s="82" t="str">
        <f aca="false">IF(B824="","",IF(COUNTIFS('CARNET DE SOUDURE'!$L$7:$L$3006,B824,'CARNET DE SOUDURE'!$M$7:$M$3006,"&lt;&gt;"&amp;C824,'CARNET DE SOUDURE'!$M$7:$M$3006,"&lt;&gt;")+COUNTIFS('CARNET DE SOUDURE'!$O$7:$O$3006,B824,'CARNET DE SOUDURE'!$P$7:$P$3006,"&lt;&gt;"&amp;C824,'CARNET DE SOUDURE'!$P$7:$P$3006,"&lt;&gt;")&gt;0,"⚠ DIFFÉRENTE","OK"))</f>
        <v>OK</v>
      </c>
      <c r="F824" s="147" t="n">
        <v>11.94</v>
      </c>
      <c r="G824" s="80"/>
      <c r="H824" s="83"/>
      <c r="I824" s="148" t="str">
        <f aca="false">IF(B824="","",IFERROR(INDEX('CARNET DE SOUDURE'!$B$7:$B$3006,MATCH(B824,'CARNET DE SOUDURE'!$L$7:$L$3006,0)),IFERROR(INDEX('CARNET DE SOUDURE'!$B$7:$B$3006,MATCH(B824,'CARNET DE SOUDURE'!$O$7:$O$3006,0)),"")))</f>
        <v>MFD-ISW → MFD-CPF</v>
      </c>
      <c r="J824" s="82" t="str">
        <f aca="false">IF(B824="","",IFERROR(INDEX('CARNET DE SOUDURE'!$E$7:$E$3006,MATCH(B824,'CARNET DE SOUDURE'!$O$7:$O$3006,0)),""))</f>
        <v/>
      </c>
      <c r="K824" s="82" t="str">
        <f aca="false">IF(B824="","",IFERROR(INDEX('CARNET DE SOUDURE'!$E$7:$E$3006,MATCH(B824,'CARNET DE SOUDURE'!$L$7:$L$3006,0)),""))</f>
        <v>DJ°132</v>
      </c>
      <c r="L824" s="82" t="n">
        <f aca="false">IF(B824="","",IFERROR(INDEX('CARNET DE SOUDURE'!$D$7:$D$3006,MATCH(B824,'CARNET DE SOUDURE'!$L$7:$L$3006,0)),IFERROR(INDEX('CARNET DE SOUDURE'!$D$7:$D$3006,MATCH(B824,'CARNET DE SOUDURE'!$O$7:$O$3006,0)),"")))</f>
        <v>16</v>
      </c>
      <c r="M824" s="82" t="str">
        <f aca="false">IF(B824="","",IF(OR(J824&lt;&gt;"",K824&lt;&gt;""),"POSÉ EN LIGNE",IF(COUNTIF(BARDAGE!$C$1:$C$5000,B824)&gt;0,"BARDÉ","EN STOCK")))</f>
        <v>POSÉ EN LIGNE</v>
      </c>
      <c r="N824" s="80"/>
    </row>
    <row r="825" customFormat="false" ht="15" hidden="false" customHeight="false" outlineLevel="0" collapsed="false">
      <c r="A825" s="82" t="n">
        <f aca="false">IF(B825="","",ROW()-6)</f>
        <v>819</v>
      </c>
      <c r="B825" s="145" t="n">
        <v>2093160</v>
      </c>
      <c r="C825" s="146" t="n">
        <v>15421110</v>
      </c>
      <c r="D825" s="146"/>
      <c r="E825" s="82" t="str">
        <f aca="false">IF(B825="","",IF(COUNTIFS('CARNET DE SOUDURE'!$L$7:$L$3006,B825,'CARNET DE SOUDURE'!$M$7:$M$3006,"&lt;&gt;"&amp;C825,'CARNET DE SOUDURE'!$M$7:$M$3006,"&lt;&gt;")+COUNTIFS('CARNET DE SOUDURE'!$O$7:$O$3006,B825,'CARNET DE SOUDURE'!$P$7:$P$3006,"&lt;&gt;"&amp;C825,'CARNET DE SOUDURE'!$P$7:$P$3006,"&lt;&gt;")&gt;0,"⚠ DIFFÉRENTE","OK"))</f>
        <v>OK</v>
      </c>
      <c r="F825" s="147" t="n">
        <v>11.94</v>
      </c>
      <c r="G825" s="80"/>
      <c r="H825" s="83"/>
      <c r="I825" s="148" t="str">
        <f aca="false">IF(B825="","",IFERROR(INDEX('CARNET DE SOUDURE'!$B$7:$B$3006,MATCH(B825,'CARNET DE SOUDURE'!$L$7:$L$3006,0)),IFERROR(INDEX('CARNET DE SOUDURE'!$B$7:$B$3006,MATCH(B825,'CARNET DE SOUDURE'!$O$7:$O$3006,0)),"")))</f>
        <v>MFD-ISW → MFD-CPF</v>
      </c>
      <c r="J825" s="82" t="str">
        <f aca="false">IF(B825="","",IFERROR(INDEX('CARNET DE SOUDURE'!$E$7:$E$3006,MATCH(B825,'CARNET DE SOUDURE'!$O$7:$O$3006,0)),""))</f>
        <v/>
      </c>
      <c r="K825" s="82" t="str">
        <f aca="false">IF(B825="","",IFERROR(INDEX('CARNET DE SOUDURE'!$E$7:$E$3006,MATCH(B825,'CARNET DE SOUDURE'!$L$7:$L$3006,0)),""))</f>
        <v>JN°1423</v>
      </c>
      <c r="L825" s="82" t="n">
        <f aca="false">IF(B825="","",IFERROR(INDEX('CARNET DE SOUDURE'!$D$7:$D$3006,MATCH(B825,'CARNET DE SOUDURE'!$L$7:$L$3006,0)),IFERROR(INDEX('CARNET DE SOUDURE'!$D$7:$D$3006,MATCH(B825,'CARNET DE SOUDURE'!$O$7:$O$3006,0)),"")))</f>
        <v>16</v>
      </c>
      <c r="M825" s="82" t="str">
        <f aca="false">IF(B825="","",IF(OR(J825&lt;&gt;"",K825&lt;&gt;""),"POSÉ EN LIGNE",IF(COUNTIF(BARDAGE!$C$1:$C$5000,B825)&gt;0,"BARDÉ","EN STOCK")))</f>
        <v>POSÉ EN LIGNE</v>
      </c>
      <c r="N825" s="80"/>
    </row>
    <row r="826" customFormat="false" ht="15" hidden="false" customHeight="false" outlineLevel="0" collapsed="false">
      <c r="A826" s="82" t="n">
        <f aca="false">IF(B826="","",ROW()-6)</f>
        <v>820</v>
      </c>
      <c r="B826" s="145" t="n">
        <v>2081360</v>
      </c>
      <c r="C826" s="146" t="n">
        <v>15421103</v>
      </c>
      <c r="D826" s="146"/>
      <c r="E826" s="82" t="str">
        <f aca="false">IF(B826="","",IF(COUNTIFS('CARNET DE SOUDURE'!$L$7:$L$3006,B826,'CARNET DE SOUDURE'!$M$7:$M$3006,"&lt;&gt;"&amp;C826,'CARNET DE SOUDURE'!$M$7:$M$3006,"&lt;&gt;")+COUNTIFS('CARNET DE SOUDURE'!$O$7:$O$3006,B826,'CARNET DE SOUDURE'!$P$7:$P$3006,"&lt;&gt;"&amp;C826,'CARNET DE SOUDURE'!$P$7:$P$3006,"&lt;&gt;")&gt;0,"⚠ DIFFÉRENTE","OK"))</f>
        <v>OK</v>
      </c>
      <c r="F826" s="147" t="n">
        <v>11.94</v>
      </c>
      <c r="G826" s="80"/>
      <c r="H826" s="83"/>
      <c r="I826" s="148" t="str">
        <f aca="false">IF(B826="","",IFERROR(INDEX('CARNET DE SOUDURE'!$B$7:$B$3006,MATCH(B826,'CARNET DE SOUDURE'!$L$7:$L$3006,0)),IFERROR(INDEX('CARNET DE SOUDURE'!$B$7:$B$3006,MATCH(B826,'CARNET DE SOUDURE'!$O$7:$O$3006,0)),"")))</f>
        <v>MFD-ISW → MFD-CPF</v>
      </c>
      <c r="J826" s="82" t="str">
        <f aca="false">IF(B826="","",IFERROR(INDEX('CARNET DE SOUDURE'!$E$7:$E$3006,MATCH(B826,'CARNET DE SOUDURE'!$O$7:$O$3006,0)),""))</f>
        <v>JN°1423</v>
      </c>
      <c r="K826" s="82" t="str">
        <f aca="false">IF(B826="","",IFERROR(INDEX('CARNET DE SOUDURE'!$E$7:$E$3006,MATCH(B826,'CARNET DE SOUDURE'!$L$7:$L$3006,0)),""))</f>
        <v/>
      </c>
      <c r="L826" s="82" t="n">
        <f aca="false">IF(B826="","",IFERROR(INDEX('CARNET DE SOUDURE'!$D$7:$D$3006,MATCH(B826,'CARNET DE SOUDURE'!$L$7:$L$3006,0)),IFERROR(INDEX('CARNET DE SOUDURE'!$D$7:$D$3006,MATCH(B826,'CARNET DE SOUDURE'!$O$7:$O$3006,0)),"")))</f>
        <v>16</v>
      </c>
      <c r="M826" s="82" t="str">
        <f aca="false">IF(B826="","",IF(OR(J826&lt;&gt;"",K826&lt;&gt;""),"POSÉ EN LIGNE",IF(COUNTIF(BARDAGE!$C$1:$C$5000,B826)&gt;0,"BARDÉ","EN STOCK")))</f>
        <v>POSÉ EN LIGNE</v>
      </c>
      <c r="N826" s="80"/>
    </row>
    <row r="827" customFormat="false" ht="15" hidden="false" customHeight="false" outlineLevel="0" collapsed="false">
      <c r="A827" s="82" t="n">
        <f aca="false">IF(B827="","",ROW()-6)</f>
        <v>821</v>
      </c>
      <c r="B827" s="145" t="n">
        <v>2092670</v>
      </c>
      <c r="C827" s="146" t="n">
        <v>15421110</v>
      </c>
      <c r="D827" s="146"/>
      <c r="E827" s="82" t="str">
        <f aca="false">IF(B827="","",IF(COUNTIFS('CARNET DE SOUDURE'!$L$7:$L$3006,B827,'CARNET DE SOUDURE'!$M$7:$M$3006,"&lt;&gt;"&amp;C827,'CARNET DE SOUDURE'!$M$7:$M$3006,"&lt;&gt;")+COUNTIFS('CARNET DE SOUDURE'!$O$7:$O$3006,B827,'CARNET DE SOUDURE'!$P$7:$P$3006,"&lt;&gt;"&amp;C827,'CARNET DE SOUDURE'!$P$7:$P$3006,"&lt;&gt;")&gt;0,"⚠ DIFFÉRENTE","OK"))</f>
        <v>OK</v>
      </c>
      <c r="F827" s="147" t="n">
        <v>11.94</v>
      </c>
      <c r="G827" s="80"/>
      <c r="H827" s="83"/>
      <c r="I827" s="148" t="str">
        <f aca="false">IF(B827="","",IFERROR(INDEX('CARNET DE SOUDURE'!$B$7:$B$3006,MATCH(B827,'CARNET DE SOUDURE'!$L$7:$L$3006,0)),IFERROR(INDEX('CARNET DE SOUDURE'!$B$7:$B$3006,MATCH(B827,'CARNET DE SOUDURE'!$O$7:$O$3006,0)),"")))</f>
        <v>MFD-ISW → MFD-CPF</v>
      </c>
      <c r="J827" s="82" t="str">
        <f aca="false">IF(B827="","",IFERROR(INDEX('CARNET DE SOUDURE'!$E$7:$E$3006,MATCH(B827,'CARNET DE SOUDURE'!$O$7:$O$3006,0)),""))</f>
        <v/>
      </c>
      <c r="K827" s="82" t="str">
        <f aca="false">IF(B827="","",IFERROR(INDEX('CARNET DE SOUDURE'!$E$7:$E$3006,MATCH(B827,'CARNET DE SOUDURE'!$L$7:$L$3006,0)),""))</f>
        <v>DJ°129</v>
      </c>
      <c r="L827" s="82" t="n">
        <f aca="false">IF(B827="","",IFERROR(INDEX('CARNET DE SOUDURE'!$D$7:$D$3006,MATCH(B827,'CARNET DE SOUDURE'!$L$7:$L$3006,0)),IFERROR(INDEX('CARNET DE SOUDURE'!$D$7:$D$3006,MATCH(B827,'CARNET DE SOUDURE'!$O$7:$O$3006,0)),"")))</f>
        <v>16</v>
      </c>
      <c r="M827" s="82" t="str">
        <f aca="false">IF(B827="","",IF(OR(J827&lt;&gt;"",K827&lt;&gt;""),"POSÉ EN LIGNE",IF(COUNTIF(BARDAGE!$C$1:$C$5000,B827)&gt;0,"BARDÉ","EN STOCK")))</f>
        <v>POSÉ EN LIGNE</v>
      </c>
      <c r="N827" s="80"/>
    </row>
    <row r="828" customFormat="false" ht="15" hidden="false" customHeight="false" outlineLevel="0" collapsed="false">
      <c r="A828" s="82" t="n">
        <f aca="false">IF(B828="","",ROW()-6)</f>
        <v>822</v>
      </c>
      <c r="B828" s="145" t="n">
        <v>2098030</v>
      </c>
      <c r="C828" s="146" t="n">
        <v>15421112</v>
      </c>
      <c r="D828" s="146"/>
      <c r="E828" s="82" t="str">
        <f aca="false">IF(B828="","",IF(COUNTIFS('CARNET DE SOUDURE'!$L$7:$L$3006,B828,'CARNET DE SOUDURE'!$M$7:$M$3006,"&lt;&gt;"&amp;C828,'CARNET DE SOUDURE'!$M$7:$M$3006,"&lt;&gt;")+COUNTIFS('CARNET DE SOUDURE'!$O$7:$O$3006,B828,'CARNET DE SOUDURE'!$P$7:$P$3006,"&lt;&gt;"&amp;C828,'CARNET DE SOUDURE'!$P$7:$P$3006,"&lt;&gt;")&gt;0,"⚠ DIFFÉRENTE","OK"))</f>
        <v>OK</v>
      </c>
      <c r="F828" s="147" t="n">
        <v>11.94</v>
      </c>
      <c r="G828" s="80"/>
      <c r="H828" s="83"/>
      <c r="I828" s="148" t="str">
        <f aca="false">IF(B828="","",IFERROR(INDEX('CARNET DE SOUDURE'!$B$7:$B$3006,MATCH(B828,'CARNET DE SOUDURE'!$L$7:$L$3006,0)),IFERROR(INDEX('CARNET DE SOUDURE'!$B$7:$B$3006,MATCH(B828,'CARNET DE SOUDURE'!$O$7:$O$3006,0)),"")))</f>
        <v>MFD-ISW → MFD-CPF</v>
      </c>
      <c r="J828" s="82" t="str">
        <f aca="false">IF(B828="","",IFERROR(INDEX('CARNET DE SOUDURE'!$E$7:$E$3006,MATCH(B828,'CARNET DE SOUDURE'!$O$7:$O$3006,0)),""))</f>
        <v>JN°1424</v>
      </c>
      <c r="K828" s="82" t="str">
        <f aca="false">IF(B828="","",IFERROR(INDEX('CARNET DE SOUDURE'!$E$7:$E$3006,MATCH(B828,'CARNET DE SOUDURE'!$L$7:$L$3006,0)),""))</f>
        <v>DJ°130</v>
      </c>
      <c r="L828" s="82" t="n">
        <f aca="false">IF(B828="","",IFERROR(INDEX('CARNET DE SOUDURE'!$D$7:$D$3006,MATCH(B828,'CARNET DE SOUDURE'!$L$7:$L$3006,0)),IFERROR(INDEX('CARNET DE SOUDURE'!$D$7:$D$3006,MATCH(B828,'CARNET DE SOUDURE'!$O$7:$O$3006,0)),"")))</f>
        <v>16</v>
      </c>
      <c r="M828" s="82" t="str">
        <f aca="false">IF(B828="","",IF(OR(J828&lt;&gt;"",K828&lt;&gt;""),"POSÉ EN LIGNE",IF(COUNTIF(BARDAGE!$C$1:$C$5000,B828)&gt;0,"BARDÉ","EN STOCK")))</f>
        <v>POSÉ EN LIGNE</v>
      </c>
      <c r="N828" s="80"/>
    </row>
    <row r="829" customFormat="false" ht="15" hidden="false" customHeight="false" outlineLevel="0" collapsed="false">
      <c r="A829" s="82" t="n">
        <f aca="false">IF(B829="","",ROW()-6)</f>
        <v>823</v>
      </c>
      <c r="B829" s="145" t="n">
        <v>2094030</v>
      </c>
      <c r="C829" s="146" t="n">
        <v>15421110</v>
      </c>
      <c r="D829" s="146"/>
      <c r="E829" s="82" t="str">
        <f aca="false">IF(B829="","",IF(COUNTIFS('CARNET DE SOUDURE'!$L$7:$L$3006,B829,'CARNET DE SOUDURE'!$M$7:$M$3006,"&lt;&gt;"&amp;C829,'CARNET DE SOUDURE'!$M$7:$M$3006,"&lt;&gt;")+COUNTIFS('CARNET DE SOUDURE'!$O$7:$O$3006,B829,'CARNET DE SOUDURE'!$P$7:$P$3006,"&lt;&gt;"&amp;C829,'CARNET DE SOUDURE'!$P$7:$P$3006,"&lt;&gt;")&gt;0,"⚠ DIFFÉRENTE","OK"))</f>
        <v>OK</v>
      </c>
      <c r="F829" s="147" t="n">
        <v>11.94</v>
      </c>
      <c r="G829" s="80"/>
      <c r="H829" s="83"/>
      <c r="I829" s="148" t="str">
        <f aca="false">IF(B829="","",IFERROR(INDEX('CARNET DE SOUDURE'!$B$7:$B$3006,MATCH(B829,'CARNET DE SOUDURE'!$L$7:$L$3006,0)),IFERROR(INDEX('CARNET DE SOUDURE'!$B$7:$B$3006,MATCH(B829,'CARNET DE SOUDURE'!$O$7:$O$3006,0)),"")))</f>
        <v>MFD-ISW → MFD-CPF</v>
      </c>
      <c r="J829" s="82" t="str">
        <f aca="false">IF(B829="","",IFERROR(INDEX('CARNET DE SOUDURE'!$E$7:$E$3006,MATCH(B829,'CARNET DE SOUDURE'!$O$7:$O$3006,0)),""))</f>
        <v>DJ°130</v>
      </c>
      <c r="K829" s="82" t="str">
        <f aca="false">IF(B829="","",IFERROR(INDEX('CARNET DE SOUDURE'!$E$7:$E$3006,MATCH(B829,'CARNET DE SOUDURE'!$L$7:$L$3006,0)),""))</f>
        <v>JN°1425</v>
      </c>
      <c r="L829" s="82" t="n">
        <f aca="false">IF(B829="","",IFERROR(INDEX('CARNET DE SOUDURE'!$D$7:$D$3006,MATCH(B829,'CARNET DE SOUDURE'!$L$7:$L$3006,0)),IFERROR(INDEX('CARNET DE SOUDURE'!$D$7:$D$3006,MATCH(B829,'CARNET DE SOUDURE'!$O$7:$O$3006,0)),"")))</f>
        <v>16</v>
      </c>
      <c r="M829" s="82" t="str">
        <f aca="false">IF(B829="","",IF(OR(J829&lt;&gt;"",K829&lt;&gt;""),"POSÉ EN LIGNE",IF(COUNTIF(BARDAGE!$C$1:$C$5000,B829)&gt;0,"BARDÉ","EN STOCK")))</f>
        <v>POSÉ EN LIGNE</v>
      </c>
      <c r="N829" s="80"/>
    </row>
    <row r="830" customFormat="false" ht="15" hidden="false" customHeight="false" outlineLevel="0" collapsed="false">
      <c r="A830" s="82" t="n">
        <f aca="false">IF(B830="","",ROW()-6)</f>
        <v>824</v>
      </c>
      <c r="B830" s="145" t="n">
        <v>2078730</v>
      </c>
      <c r="C830" s="146" t="n">
        <v>15421101</v>
      </c>
      <c r="D830" s="146"/>
      <c r="E830" s="82" t="str">
        <f aca="false">IF(B830="","",IF(COUNTIFS('CARNET DE SOUDURE'!$L$7:$L$3006,B830,'CARNET DE SOUDURE'!$M$7:$M$3006,"&lt;&gt;"&amp;C830,'CARNET DE SOUDURE'!$M$7:$M$3006,"&lt;&gt;")+COUNTIFS('CARNET DE SOUDURE'!$O$7:$O$3006,B830,'CARNET DE SOUDURE'!$P$7:$P$3006,"&lt;&gt;"&amp;C830,'CARNET DE SOUDURE'!$P$7:$P$3006,"&lt;&gt;")&gt;0,"⚠ DIFFÉRENTE","OK"))</f>
        <v>OK</v>
      </c>
      <c r="F830" s="147" t="n">
        <v>11.94</v>
      </c>
      <c r="G830" s="80"/>
      <c r="H830" s="83"/>
      <c r="I830" s="148" t="str">
        <f aca="false">IF(B830="","",IFERROR(INDEX('CARNET DE SOUDURE'!$B$7:$B$3006,MATCH(B830,'CARNET DE SOUDURE'!$L$7:$L$3006,0)),IFERROR(INDEX('CARNET DE SOUDURE'!$B$7:$B$3006,MATCH(B830,'CARNET DE SOUDURE'!$O$7:$O$3006,0)),"")))</f>
        <v>MFD-ISW → MFD-CPF</v>
      </c>
      <c r="J830" s="82" t="str">
        <f aca="false">IF(B830="","",IFERROR(INDEX('CARNET DE SOUDURE'!$E$7:$E$3006,MATCH(B830,'CARNET DE SOUDURE'!$O$7:$O$3006,0)),""))</f>
        <v>JN°1425</v>
      </c>
      <c r="K830" s="82" t="str">
        <f aca="false">IF(B830="","",IFERROR(INDEX('CARNET DE SOUDURE'!$E$7:$E$3006,MATCH(B830,'CARNET DE SOUDURE'!$L$7:$L$3006,0)),""))</f>
        <v>DJ°016</v>
      </c>
      <c r="L830" s="82" t="n">
        <f aca="false">IF(B830="","",IFERROR(INDEX('CARNET DE SOUDURE'!$D$7:$D$3006,MATCH(B830,'CARNET DE SOUDURE'!$L$7:$L$3006,0)),IFERROR(INDEX('CARNET DE SOUDURE'!$D$7:$D$3006,MATCH(B830,'CARNET DE SOUDURE'!$O$7:$O$3006,0)),"")))</f>
        <v>16</v>
      </c>
      <c r="M830" s="82" t="str">
        <f aca="false">IF(B830="","",IF(OR(J830&lt;&gt;"",K830&lt;&gt;""),"POSÉ EN LIGNE",IF(COUNTIF(BARDAGE!$C$1:$C$5000,B830)&gt;0,"BARDÉ","EN STOCK")))</f>
        <v>POSÉ EN LIGNE</v>
      </c>
      <c r="N830" s="80"/>
    </row>
    <row r="831" customFormat="false" ht="15" hidden="false" customHeight="false" outlineLevel="0" collapsed="false">
      <c r="A831" s="82" t="n">
        <f aca="false">IF(B831="","",ROW()-6)</f>
        <v>825</v>
      </c>
      <c r="B831" s="145" t="n">
        <v>2089980</v>
      </c>
      <c r="C831" s="146" t="n">
        <v>15421105</v>
      </c>
      <c r="D831" s="146"/>
      <c r="E831" s="82" t="str">
        <f aca="false">IF(B831="","",IF(COUNTIFS('CARNET DE SOUDURE'!$L$7:$L$3006,B831,'CARNET DE SOUDURE'!$M$7:$M$3006,"&lt;&gt;"&amp;C831,'CARNET DE SOUDURE'!$M$7:$M$3006,"&lt;&gt;")+COUNTIFS('CARNET DE SOUDURE'!$O$7:$O$3006,B831,'CARNET DE SOUDURE'!$P$7:$P$3006,"&lt;&gt;"&amp;C831,'CARNET DE SOUDURE'!$P$7:$P$3006,"&lt;&gt;")&gt;0,"⚠ DIFFÉRENTE","OK"))</f>
        <v>⚠ DIFFÉRENTE</v>
      </c>
      <c r="F831" s="147" t="n">
        <v>11.94</v>
      </c>
      <c r="G831" s="80"/>
      <c r="H831" s="83"/>
      <c r="I831" s="148" t="str">
        <f aca="false">IF(B831="","",IFERROR(INDEX('CARNET DE SOUDURE'!$B$7:$B$3006,MATCH(B831,'CARNET DE SOUDURE'!$L$7:$L$3006,0)),IFERROR(INDEX('CARNET DE SOUDURE'!$B$7:$B$3006,MATCH(B831,'CARNET DE SOUDURE'!$O$7:$O$3006,0)),"")))</f>
        <v>MFD-ISW → MFD-CPF</v>
      </c>
      <c r="J831" s="82" t="str">
        <f aca="false">IF(B831="","",IFERROR(INDEX('CARNET DE SOUDURE'!$E$7:$E$3006,MATCH(B831,'CARNET DE SOUDURE'!$O$7:$O$3006,0)),""))</f>
        <v>DJ°016</v>
      </c>
      <c r="K831" s="82" t="str">
        <f aca="false">IF(B831="","",IFERROR(INDEX('CARNET DE SOUDURE'!$E$7:$E$3006,MATCH(B831,'CARNET DE SOUDURE'!$L$7:$L$3006,0)),""))</f>
        <v>JN°1426</v>
      </c>
      <c r="L831" s="82" t="n">
        <f aca="false">IF(B831="","",IFERROR(INDEX('CARNET DE SOUDURE'!$D$7:$D$3006,MATCH(B831,'CARNET DE SOUDURE'!$L$7:$L$3006,0)),IFERROR(INDEX('CARNET DE SOUDURE'!$D$7:$D$3006,MATCH(B831,'CARNET DE SOUDURE'!$O$7:$O$3006,0)),"")))</f>
        <v>16</v>
      </c>
      <c r="M831" s="82" t="str">
        <f aca="false">IF(B831="","",IF(OR(J831&lt;&gt;"",K831&lt;&gt;""),"POSÉ EN LIGNE",IF(COUNTIF(BARDAGE!$C$1:$C$5000,B831)&gt;0,"BARDÉ","EN STOCK")))</f>
        <v>POSÉ EN LIGNE</v>
      </c>
      <c r="N831" s="80"/>
    </row>
    <row r="832" customFormat="false" ht="15" hidden="false" customHeight="false" outlineLevel="0" collapsed="false">
      <c r="A832" s="82" t="n">
        <f aca="false">IF(B832="","",ROW()-6)</f>
        <v>826</v>
      </c>
      <c r="B832" s="145" t="n">
        <v>2087680</v>
      </c>
      <c r="C832" s="146" t="n">
        <v>15421108</v>
      </c>
      <c r="D832" s="146"/>
      <c r="E832" s="82" t="str">
        <f aca="false">IF(B832="","",IF(COUNTIFS('CARNET DE SOUDURE'!$L$7:$L$3006,B832,'CARNET DE SOUDURE'!$M$7:$M$3006,"&lt;&gt;"&amp;C832,'CARNET DE SOUDURE'!$M$7:$M$3006,"&lt;&gt;")+COUNTIFS('CARNET DE SOUDURE'!$O$7:$O$3006,B832,'CARNET DE SOUDURE'!$P$7:$P$3006,"&lt;&gt;"&amp;C832,'CARNET DE SOUDURE'!$P$7:$P$3006,"&lt;&gt;")&gt;0,"⚠ DIFFÉRENTE","OK"))</f>
        <v>OK</v>
      </c>
      <c r="F832" s="147" t="n">
        <v>11.94</v>
      </c>
      <c r="G832" s="80"/>
      <c r="H832" s="83"/>
      <c r="I832" s="148" t="str">
        <f aca="false">IF(B832="","",IFERROR(INDEX('CARNET DE SOUDURE'!$B$7:$B$3006,MATCH(B832,'CARNET DE SOUDURE'!$L$7:$L$3006,0)),IFERROR(INDEX('CARNET DE SOUDURE'!$B$7:$B$3006,MATCH(B832,'CARNET DE SOUDURE'!$O$7:$O$3006,0)),"")))</f>
        <v>MFD-ISW → MFD-CPF</v>
      </c>
      <c r="J832" s="82" t="str">
        <f aca="false">IF(B832="","",IFERROR(INDEX('CARNET DE SOUDURE'!$E$7:$E$3006,MATCH(B832,'CARNET DE SOUDURE'!$O$7:$O$3006,0)),""))</f>
        <v>JN°1426</v>
      </c>
      <c r="K832" s="82" t="str">
        <f aca="false">IF(B832="","",IFERROR(INDEX('CARNET DE SOUDURE'!$E$7:$E$3006,MATCH(B832,'CARNET DE SOUDURE'!$L$7:$L$3006,0)),""))</f>
        <v/>
      </c>
      <c r="L832" s="82" t="n">
        <f aca="false">IF(B832="","",IFERROR(INDEX('CARNET DE SOUDURE'!$D$7:$D$3006,MATCH(B832,'CARNET DE SOUDURE'!$L$7:$L$3006,0)),IFERROR(INDEX('CARNET DE SOUDURE'!$D$7:$D$3006,MATCH(B832,'CARNET DE SOUDURE'!$O$7:$O$3006,0)),"")))</f>
        <v>16</v>
      </c>
      <c r="M832" s="82" t="str">
        <f aca="false">IF(B832="","",IF(OR(J832&lt;&gt;"",K832&lt;&gt;""),"POSÉ EN LIGNE",IF(COUNTIF(BARDAGE!$C$1:$C$5000,B832)&gt;0,"BARDÉ","EN STOCK")))</f>
        <v>POSÉ EN LIGNE</v>
      </c>
      <c r="N832" s="80"/>
    </row>
    <row r="833" customFormat="false" ht="15" hidden="false" customHeight="false" outlineLevel="0" collapsed="false">
      <c r="A833" s="82" t="n">
        <f aca="false">IF(B833="","",ROW()-6)</f>
        <v>827</v>
      </c>
      <c r="B833" s="145" t="n">
        <v>2094990</v>
      </c>
      <c r="C833" s="146" t="n">
        <v>15421111</v>
      </c>
      <c r="D833" s="146"/>
      <c r="E833" s="82" t="str">
        <f aca="false">IF(B833="","",IF(COUNTIFS('CARNET DE SOUDURE'!$L$7:$L$3006,B833,'CARNET DE SOUDURE'!$M$7:$M$3006,"&lt;&gt;"&amp;C833,'CARNET DE SOUDURE'!$M$7:$M$3006,"&lt;&gt;")+COUNTIFS('CARNET DE SOUDURE'!$O$7:$O$3006,B833,'CARNET DE SOUDURE'!$P$7:$P$3006,"&lt;&gt;"&amp;C833,'CARNET DE SOUDURE'!$P$7:$P$3006,"&lt;&gt;")&gt;0,"⚠ DIFFÉRENTE","OK"))</f>
        <v>OK</v>
      </c>
      <c r="F833" s="147" t="n">
        <v>11.94</v>
      </c>
      <c r="G833" s="80"/>
      <c r="H833" s="83"/>
      <c r="I833" s="148" t="str">
        <f aca="false">IF(B833="","",IFERROR(INDEX('CARNET DE SOUDURE'!$B$7:$B$3006,MATCH(B833,'CARNET DE SOUDURE'!$L$7:$L$3006,0)),IFERROR(INDEX('CARNET DE SOUDURE'!$B$7:$B$3006,MATCH(B833,'CARNET DE SOUDURE'!$O$7:$O$3006,0)),"")))</f>
        <v>MFD-ISW → MFD-CPF</v>
      </c>
      <c r="J833" s="82" t="str">
        <f aca="false">IF(B833="","",IFERROR(INDEX('CARNET DE SOUDURE'!$E$7:$E$3006,MATCH(B833,'CARNET DE SOUDURE'!$O$7:$O$3006,0)),""))</f>
        <v/>
      </c>
      <c r="K833" s="82" t="str">
        <f aca="false">IF(B833="","",IFERROR(INDEX('CARNET DE SOUDURE'!$E$7:$E$3006,MATCH(B833,'CARNET DE SOUDURE'!$L$7:$L$3006,0)),""))</f>
        <v>DJ°023</v>
      </c>
      <c r="L833" s="82" t="n">
        <f aca="false">IF(B833="","",IFERROR(INDEX('CARNET DE SOUDURE'!$D$7:$D$3006,MATCH(B833,'CARNET DE SOUDURE'!$L$7:$L$3006,0)),IFERROR(INDEX('CARNET DE SOUDURE'!$D$7:$D$3006,MATCH(B833,'CARNET DE SOUDURE'!$O$7:$O$3006,0)),"")))</f>
        <v>16</v>
      </c>
      <c r="M833" s="82" t="str">
        <f aca="false">IF(B833="","",IF(OR(J833&lt;&gt;"",K833&lt;&gt;""),"POSÉ EN LIGNE",IF(COUNTIF(BARDAGE!$C$1:$C$5000,B833)&gt;0,"BARDÉ","EN STOCK")))</f>
        <v>POSÉ EN LIGNE</v>
      </c>
      <c r="N833" s="80"/>
    </row>
    <row r="834" customFormat="false" ht="15" hidden="false" customHeight="false" outlineLevel="0" collapsed="false">
      <c r="A834" s="82" t="n">
        <f aca="false">IF(B834="","",ROW()-6)</f>
        <v>828</v>
      </c>
      <c r="B834" s="145" t="n">
        <v>2098210</v>
      </c>
      <c r="C834" s="146" t="n">
        <v>15421112</v>
      </c>
      <c r="D834" s="146"/>
      <c r="E834" s="82" t="str">
        <f aca="false">IF(B834="","",IF(COUNTIFS('CARNET DE SOUDURE'!$L$7:$L$3006,B834,'CARNET DE SOUDURE'!$M$7:$M$3006,"&lt;&gt;"&amp;C834,'CARNET DE SOUDURE'!$M$7:$M$3006,"&lt;&gt;")+COUNTIFS('CARNET DE SOUDURE'!$O$7:$O$3006,B834,'CARNET DE SOUDURE'!$P$7:$P$3006,"&lt;&gt;"&amp;C834,'CARNET DE SOUDURE'!$P$7:$P$3006,"&lt;&gt;")&gt;0,"⚠ DIFFÉRENTE","OK"))</f>
        <v>OK</v>
      </c>
      <c r="F834" s="147" t="n">
        <v>11.94</v>
      </c>
      <c r="G834" s="80"/>
      <c r="H834" s="83"/>
      <c r="I834" s="148" t="str">
        <f aca="false">IF(B834="","",IFERROR(INDEX('CARNET DE SOUDURE'!$B$7:$B$3006,MATCH(B834,'CARNET DE SOUDURE'!$L$7:$L$3006,0)),IFERROR(INDEX('CARNET DE SOUDURE'!$B$7:$B$3006,MATCH(B834,'CARNET DE SOUDURE'!$O$7:$O$3006,0)),"")))</f>
        <v>MFD-ISW → MFD-CPF</v>
      </c>
      <c r="J834" s="82" t="str">
        <f aca="false">IF(B834="","",IFERROR(INDEX('CARNET DE SOUDURE'!$E$7:$E$3006,MATCH(B834,'CARNET DE SOUDURE'!$O$7:$O$3006,0)),""))</f>
        <v>JN°1427</v>
      </c>
      <c r="K834" s="82" t="str">
        <f aca="false">IF(B834="","",IFERROR(INDEX('CARNET DE SOUDURE'!$E$7:$E$3006,MATCH(B834,'CARNET DE SOUDURE'!$L$7:$L$3006,0)),""))</f>
        <v/>
      </c>
      <c r="L834" s="82" t="n">
        <f aca="false">IF(B834="","",IFERROR(INDEX('CARNET DE SOUDURE'!$D$7:$D$3006,MATCH(B834,'CARNET DE SOUDURE'!$L$7:$L$3006,0)),IFERROR(INDEX('CARNET DE SOUDURE'!$D$7:$D$3006,MATCH(B834,'CARNET DE SOUDURE'!$O$7:$O$3006,0)),"")))</f>
        <v>16</v>
      </c>
      <c r="M834" s="82" t="str">
        <f aca="false">IF(B834="","",IF(OR(J834&lt;&gt;"",K834&lt;&gt;""),"POSÉ EN LIGNE",IF(COUNTIF(BARDAGE!$C$1:$C$5000,B834)&gt;0,"BARDÉ","EN STOCK")))</f>
        <v>POSÉ EN LIGNE</v>
      </c>
      <c r="N834" s="80"/>
    </row>
    <row r="835" customFormat="false" ht="15" hidden="false" customHeight="false" outlineLevel="0" collapsed="false">
      <c r="A835" s="82" t="n">
        <f aca="false">IF(B835="","",ROW()-6)</f>
        <v>829</v>
      </c>
      <c r="B835" s="145" t="n">
        <v>2085190</v>
      </c>
      <c r="C835" s="146" t="n">
        <v>15421106</v>
      </c>
      <c r="D835" s="146"/>
      <c r="E835" s="82" t="str">
        <f aca="false">IF(B835="","",IF(COUNTIFS('CARNET DE SOUDURE'!$L$7:$L$3006,B835,'CARNET DE SOUDURE'!$M$7:$M$3006,"&lt;&gt;"&amp;C835,'CARNET DE SOUDURE'!$M$7:$M$3006,"&lt;&gt;")+COUNTIFS('CARNET DE SOUDURE'!$O$7:$O$3006,B835,'CARNET DE SOUDURE'!$P$7:$P$3006,"&lt;&gt;"&amp;C835,'CARNET DE SOUDURE'!$P$7:$P$3006,"&lt;&gt;")&gt;0,"⚠ DIFFÉRENTE","OK"))</f>
        <v>OK</v>
      </c>
      <c r="F835" s="147" t="n">
        <v>11.94</v>
      </c>
      <c r="G835" s="80"/>
      <c r="H835" s="83"/>
      <c r="I835" s="148" t="str">
        <f aca="false">IF(B835="","",IFERROR(INDEX('CARNET DE SOUDURE'!$B$7:$B$3006,MATCH(B835,'CARNET DE SOUDURE'!$L$7:$L$3006,0)),IFERROR(INDEX('CARNET DE SOUDURE'!$B$7:$B$3006,MATCH(B835,'CARNET DE SOUDURE'!$O$7:$O$3006,0)),"")))</f>
        <v>MFD-ISW → MFD-CPF</v>
      </c>
      <c r="J835" s="82" t="str">
        <f aca="false">IF(B835="","",IFERROR(INDEX('CARNET DE SOUDURE'!$E$7:$E$3006,MATCH(B835,'CARNET DE SOUDURE'!$O$7:$O$3006,0)),""))</f>
        <v/>
      </c>
      <c r="K835" s="82" t="str">
        <f aca="false">IF(B835="","",IFERROR(INDEX('CARNET DE SOUDURE'!$E$7:$E$3006,MATCH(B835,'CARNET DE SOUDURE'!$L$7:$L$3006,0)),""))</f>
        <v>DJ°018</v>
      </c>
      <c r="L835" s="82" t="n">
        <f aca="false">IF(B835="","",IFERROR(INDEX('CARNET DE SOUDURE'!$D$7:$D$3006,MATCH(B835,'CARNET DE SOUDURE'!$L$7:$L$3006,0)),IFERROR(INDEX('CARNET DE SOUDURE'!$D$7:$D$3006,MATCH(B835,'CARNET DE SOUDURE'!$O$7:$O$3006,0)),"")))</f>
        <v>16</v>
      </c>
      <c r="M835" s="82" t="str">
        <f aca="false">IF(B835="","",IF(OR(J835&lt;&gt;"",K835&lt;&gt;""),"POSÉ EN LIGNE",IF(COUNTIF(BARDAGE!$C$1:$C$5000,B835)&gt;0,"BARDÉ","EN STOCK")))</f>
        <v>POSÉ EN LIGNE</v>
      </c>
      <c r="N835" s="80"/>
    </row>
    <row r="836" customFormat="false" ht="15" hidden="false" customHeight="false" outlineLevel="0" collapsed="false">
      <c r="A836" s="82" t="n">
        <f aca="false">IF(B836="","",ROW()-6)</f>
        <v>830</v>
      </c>
      <c r="B836" s="145" t="n">
        <v>2079170</v>
      </c>
      <c r="C836" s="146" t="n">
        <v>15421102</v>
      </c>
      <c r="D836" s="146"/>
      <c r="E836" s="82" t="str">
        <f aca="false">IF(B836="","",IF(COUNTIFS('CARNET DE SOUDURE'!$L$7:$L$3006,B836,'CARNET DE SOUDURE'!$M$7:$M$3006,"&lt;&gt;"&amp;C836,'CARNET DE SOUDURE'!$M$7:$M$3006,"&lt;&gt;")+COUNTIFS('CARNET DE SOUDURE'!$O$7:$O$3006,B836,'CARNET DE SOUDURE'!$P$7:$P$3006,"&lt;&gt;"&amp;C836,'CARNET DE SOUDURE'!$P$7:$P$3006,"&lt;&gt;")&gt;0,"⚠ DIFFÉRENTE","OK"))</f>
        <v>OK</v>
      </c>
      <c r="F836" s="147" t="n">
        <v>11.94</v>
      </c>
      <c r="G836" s="80"/>
      <c r="H836" s="83"/>
      <c r="I836" s="148" t="str">
        <f aca="false">IF(B836="","",IFERROR(INDEX('CARNET DE SOUDURE'!$B$7:$B$3006,MATCH(B836,'CARNET DE SOUDURE'!$L$7:$L$3006,0)),IFERROR(INDEX('CARNET DE SOUDURE'!$B$7:$B$3006,MATCH(B836,'CARNET DE SOUDURE'!$O$7:$O$3006,0)),"")))</f>
        <v>MFD-ISW → MFD-CPF</v>
      </c>
      <c r="J836" s="82" t="str">
        <f aca="false">IF(B836="","",IFERROR(INDEX('CARNET DE SOUDURE'!$E$7:$E$3006,MATCH(B836,'CARNET DE SOUDURE'!$O$7:$O$3006,0)),""))</f>
        <v>JN°1428</v>
      </c>
      <c r="K836" s="82" t="str">
        <f aca="false">IF(B836="","",IFERROR(INDEX('CARNET DE SOUDURE'!$E$7:$E$3006,MATCH(B836,'CARNET DE SOUDURE'!$L$7:$L$3006,0)),""))</f>
        <v>DJ°027</v>
      </c>
      <c r="L836" s="82" t="n">
        <f aca="false">IF(B836="","",IFERROR(INDEX('CARNET DE SOUDURE'!$D$7:$D$3006,MATCH(B836,'CARNET DE SOUDURE'!$L$7:$L$3006,0)),IFERROR(INDEX('CARNET DE SOUDURE'!$D$7:$D$3006,MATCH(B836,'CARNET DE SOUDURE'!$O$7:$O$3006,0)),"")))</f>
        <v>16</v>
      </c>
      <c r="M836" s="82" t="str">
        <f aca="false">IF(B836="","",IF(OR(J836&lt;&gt;"",K836&lt;&gt;""),"POSÉ EN LIGNE",IF(COUNTIF(BARDAGE!$C$1:$C$5000,B836)&gt;0,"BARDÉ","EN STOCK")))</f>
        <v>POSÉ EN LIGNE</v>
      </c>
      <c r="N836" s="80"/>
    </row>
    <row r="837" customFormat="false" ht="15" hidden="false" customHeight="false" outlineLevel="0" collapsed="false">
      <c r="A837" s="82" t="n">
        <f aca="false">IF(B837="","",ROW()-6)</f>
        <v>831</v>
      </c>
      <c r="B837" s="145" t="n">
        <v>2088950</v>
      </c>
      <c r="C837" s="146" t="n">
        <v>15421108</v>
      </c>
      <c r="D837" s="146"/>
      <c r="E837" s="82" t="str">
        <f aca="false">IF(B837="","",IF(COUNTIFS('CARNET DE SOUDURE'!$L$7:$L$3006,B837,'CARNET DE SOUDURE'!$M$7:$M$3006,"&lt;&gt;"&amp;C837,'CARNET DE SOUDURE'!$M$7:$M$3006,"&lt;&gt;")+COUNTIFS('CARNET DE SOUDURE'!$O$7:$O$3006,B837,'CARNET DE SOUDURE'!$P$7:$P$3006,"&lt;&gt;"&amp;C837,'CARNET DE SOUDURE'!$P$7:$P$3006,"&lt;&gt;")&gt;0,"⚠ DIFFÉRENTE","OK"))</f>
        <v>OK</v>
      </c>
      <c r="F837" s="147" t="n">
        <v>11.94</v>
      </c>
      <c r="G837" s="80"/>
      <c r="H837" s="83"/>
      <c r="I837" s="148" t="str">
        <f aca="false">IF(B837="","",IFERROR(INDEX('CARNET DE SOUDURE'!$B$7:$B$3006,MATCH(B837,'CARNET DE SOUDURE'!$L$7:$L$3006,0)),IFERROR(INDEX('CARNET DE SOUDURE'!$B$7:$B$3006,MATCH(B837,'CARNET DE SOUDURE'!$O$7:$O$3006,0)),"")))</f>
        <v>MFD-ISW → MFD-CPF</v>
      </c>
      <c r="J837" s="82" t="str">
        <f aca="false">IF(B837="","",IFERROR(INDEX('CARNET DE SOUDURE'!$E$7:$E$3006,MATCH(B837,'CARNET DE SOUDURE'!$O$7:$O$3006,0)),""))</f>
        <v>DJ°027</v>
      </c>
      <c r="K837" s="82" t="str">
        <f aca="false">IF(B837="","",IFERROR(INDEX('CARNET DE SOUDURE'!$E$7:$E$3006,MATCH(B837,'CARNET DE SOUDURE'!$L$7:$L$3006,0)),""))</f>
        <v>JN°1429</v>
      </c>
      <c r="L837" s="82" t="n">
        <f aca="false">IF(B837="","",IFERROR(INDEX('CARNET DE SOUDURE'!$D$7:$D$3006,MATCH(B837,'CARNET DE SOUDURE'!$L$7:$L$3006,0)),IFERROR(INDEX('CARNET DE SOUDURE'!$D$7:$D$3006,MATCH(B837,'CARNET DE SOUDURE'!$O$7:$O$3006,0)),"")))</f>
        <v>16</v>
      </c>
      <c r="M837" s="82" t="str">
        <f aca="false">IF(B837="","",IF(OR(J837&lt;&gt;"",K837&lt;&gt;""),"POSÉ EN LIGNE",IF(COUNTIF(BARDAGE!$C$1:$C$5000,B837)&gt;0,"BARDÉ","EN STOCK")))</f>
        <v>POSÉ EN LIGNE</v>
      </c>
      <c r="N837" s="80"/>
    </row>
    <row r="838" customFormat="false" ht="15" hidden="false" customHeight="false" outlineLevel="0" collapsed="false">
      <c r="A838" s="82" t="n">
        <f aca="false">IF(B838="","",ROW()-6)</f>
        <v>832</v>
      </c>
      <c r="B838" s="145" t="n">
        <v>2095730</v>
      </c>
      <c r="C838" s="146" t="n">
        <v>15421111</v>
      </c>
      <c r="D838" s="146"/>
      <c r="E838" s="82" t="str">
        <f aca="false">IF(B838="","",IF(COUNTIFS('CARNET DE SOUDURE'!$L$7:$L$3006,B838,'CARNET DE SOUDURE'!$M$7:$M$3006,"&lt;&gt;"&amp;C838,'CARNET DE SOUDURE'!$M$7:$M$3006,"&lt;&gt;")+COUNTIFS('CARNET DE SOUDURE'!$O$7:$O$3006,B838,'CARNET DE SOUDURE'!$P$7:$P$3006,"&lt;&gt;"&amp;C838,'CARNET DE SOUDURE'!$P$7:$P$3006,"&lt;&gt;")&gt;0,"⚠ DIFFÉRENTE","OK"))</f>
        <v>OK</v>
      </c>
      <c r="F838" s="147" t="n">
        <v>11.94</v>
      </c>
      <c r="G838" s="80"/>
      <c r="H838" s="83"/>
      <c r="I838" s="148" t="str">
        <f aca="false">IF(B838="","",IFERROR(INDEX('CARNET DE SOUDURE'!$B$7:$B$3006,MATCH(B838,'CARNET DE SOUDURE'!$L$7:$L$3006,0)),IFERROR(INDEX('CARNET DE SOUDURE'!$B$7:$B$3006,MATCH(B838,'CARNET DE SOUDURE'!$O$7:$O$3006,0)),"")))</f>
        <v>MFD-ISW → MFD-CPF</v>
      </c>
      <c r="J838" s="82" t="str">
        <f aca="false">IF(B838="","",IFERROR(INDEX('CARNET DE SOUDURE'!$E$7:$E$3006,MATCH(B838,'CARNET DE SOUDURE'!$O$7:$O$3006,0)),""))</f>
        <v>JN°1429</v>
      </c>
      <c r="K838" s="82" t="str">
        <f aca="false">IF(B838="","",IFERROR(INDEX('CARNET DE SOUDURE'!$E$7:$E$3006,MATCH(B838,'CARNET DE SOUDURE'!$L$7:$L$3006,0)),""))</f>
        <v/>
      </c>
      <c r="L838" s="82" t="n">
        <f aca="false">IF(B838="","",IFERROR(INDEX('CARNET DE SOUDURE'!$D$7:$D$3006,MATCH(B838,'CARNET DE SOUDURE'!$L$7:$L$3006,0)),IFERROR(INDEX('CARNET DE SOUDURE'!$D$7:$D$3006,MATCH(B838,'CARNET DE SOUDURE'!$O$7:$O$3006,0)),"")))</f>
        <v>16</v>
      </c>
      <c r="M838" s="82" t="str">
        <f aca="false">IF(B838="","",IF(OR(J838&lt;&gt;"",K838&lt;&gt;""),"POSÉ EN LIGNE",IF(COUNTIF(BARDAGE!$C$1:$C$5000,B838)&gt;0,"BARDÉ","EN STOCK")))</f>
        <v>POSÉ EN LIGNE</v>
      </c>
      <c r="N838" s="80"/>
    </row>
    <row r="839" customFormat="false" ht="15" hidden="false" customHeight="false" outlineLevel="0" collapsed="false">
      <c r="A839" s="82" t="n">
        <f aca="false">IF(B839="","",ROW()-6)</f>
        <v>833</v>
      </c>
      <c r="B839" s="145" t="n">
        <v>2078900</v>
      </c>
      <c r="C839" s="146" t="n">
        <v>15421110</v>
      </c>
      <c r="D839" s="146"/>
      <c r="E839" s="82" t="str">
        <f aca="false">IF(B839="","",IF(COUNTIFS('CARNET DE SOUDURE'!$L$7:$L$3006,B839,'CARNET DE SOUDURE'!$M$7:$M$3006,"&lt;&gt;"&amp;C839,'CARNET DE SOUDURE'!$M$7:$M$3006,"&lt;&gt;")+COUNTIFS('CARNET DE SOUDURE'!$O$7:$O$3006,B839,'CARNET DE SOUDURE'!$P$7:$P$3006,"&lt;&gt;"&amp;C839,'CARNET DE SOUDURE'!$P$7:$P$3006,"&lt;&gt;")&gt;0,"⚠ DIFFÉRENTE","OK"))</f>
        <v>⚠ DIFFÉRENTE</v>
      </c>
      <c r="F839" s="147" t="n">
        <v>11.94</v>
      </c>
      <c r="G839" s="80"/>
      <c r="H839" s="83"/>
      <c r="I839" s="148" t="str">
        <f aca="false">IF(B839="","",IFERROR(INDEX('CARNET DE SOUDURE'!$B$7:$B$3006,MATCH(B839,'CARNET DE SOUDURE'!$L$7:$L$3006,0)),IFERROR(INDEX('CARNET DE SOUDURE'!$B$7:$B$3006,MATCH(B839,'CARNET DE SOUDURE'!$O$7:$O$3006,0)),"")))</f>
        <v>MFD-ISW → MFD-CPF</v>
      </c>
      <c r="J839" s="82" t="str">
        <f aca="false">IF(B839="","",IFERROR(INDEX('CARNET DE SOUDURE'!$E$7:$E$3006,MATCH(B839,'CARNET DE SOUDURE'!$O$7:$O$3006,0)),""))</f>
        <v/>
      </c>
      <c r="K839" s="82" t="str">
        <f aca="false">IF(B839="","",IFERROR(INDEX('CARNET DE SOUDURE'!$E$7:$E$3006,MATCH(B839,'CARNET DE SOUDURE'!$L$7:$L$3006,0)),""))</f>
        <v>DJ°013</v>
      </c>
      <c r="L839" s="82" t="n">
        <f aca="false">IF(B839="","",IFERROR(INDEX('CARNET DE SOUDURE'!$D$7:$D$3006,MATCH(B839,'CARNET DE SOUDURE'!$L$7:$L$3006,0)),IFERROR(INDEX('CARNET DE SOUDURE'!$D$7:$D$3006,MATCH(B839,'CARNET DE SOUDURE'!$O$7:$O$3006,0)),"")))</f>
        <v>16</v>
      </c>
      <c r="M839" s="82" t="str">
        <f aca="false">IF(B839="","",IF(OR(J839&lt;&gt;"",K839&lt;&gt;""),"POSÉ EN LIGNE",IF(COUNTIF(BARDAGE!$C$1:$C$5000,B839)&gt;0,"BARDÉ","EN STOCK")))</f>
        <v>POSÉ EN LIGNE</v>
      </c>
      <c r="N839" s="80"/>
    </row>
    <row r="840" customFormat="false" ht="15" hidden="false" customHeight="false" outlineLevel="0" collapsed="false">
      <c r="A840" s="82" t="n">
        <f aca="false">IF(B840="","",ROW()-6)</f>
        <v>834</v>
      </c>
      <c r="B840" s="145" t="n">
        <v>2095900</v>
      </c>
      <c r="C840" s="146" t="n">
        <v>15421111</v>
      </c>
      <c r="D840" s="146"/>
      <c r="E840" s="82" t="str">
        <f aca="false">IF(B840="","",IF(COUNTIFS('CARNET DE SOUDURE'!$L$7:$L$3006,B840,'CARNET DE SOUDURE'!$M$7:$M$3006,"&lt;&gt;"&amp;C840,'CARNET DE SOUDURE'!$M$7:$M$3006,"&lt;&gt;")+COUNTIFS('CARNET DE SOUDURE'!$O$7:$O$3006,B840,'CARNET DE SOUDURE'!$P$7:$P$3006,"&lt;&gt;"&amp;C840,'CARNET DE SOUDURE'!$P$7:$P$3006,"&lt;&gt;")&gt;0,"⚠ DIFFÉRENTE","OK"))</f>
        <v>OK</v>
      </c>
      <c r="F840" s="147" t="n">
        <v>11.94</v>
      </c>
      <c r="G840" s="80"/>
      <c r="H840" s="83"/>
      <c r="I840" s="148" t="str">
        <f aca="false">IF(B840="","",IFERROR(INDEX('CARNET DE SOUDURE'!$B$7:$B$3006,MATCH(B840,'CARNET DE SOUDURE'!$L$7:$L$3006,0)),IFERROR(INDEX('CARNET DE SOUDURE'!$B$7:$B$3006,MATCH(B840,'CARNET DE SOUDURE'!$O$7:$O$3006,0)),"")))</f>
        <v>MFD-ISW → MFD-CPF</v>
      </c>
      <c r="J840" s="82" t="str">
        <f aca="false">IF(B840="","",IFERROR(INDEX('CARNET DE SOUDURE'!$E$7:$E$3006,MATCH(B840,'CARNET DE SOUDURE'!$O$7:$O$3006,0)),""))</f>
        <v>JN°1430</v>
      </c>
      <c r="K840" s="82" t="str">
        <f aca="false">IF(B840="","",IFERROR(INDEX('CARNET DE SOUDURE'!$E$7:$E$3006,MATCH(B840,'CARNET DE SOUDURE'!$L$7:$L$3006,0)),""))</f>
        <v>DJ°020</v>
      </c>
      <c r="L840" s="82" t="n">
        <f aca="false">IF(B840="","",IFERROR(INDEX('CARNET DE SOUDURE'!$D$7:$D$3006,MATCH(B840,'CARNET DE SOUDURE'!$L$7:$L$3006,0)),IFERROR(INDEX('CARNET DE SOUDURE'!$D$7:$D$3006,MATCH(B840,'CARNET DE SOUDURE'!$O$7:$O$3006,0)),"")))</f>
        <v>17</v>
      </c>
      <c r="M840" s="82" t="str">
        <f aca="false">IF(B840="","",IF(OR(J840&lt;&gt;"",K840&lt;&gt;""),"POSÉ EN LIGNE",IF(COUNTIF(BARDAGE!$C$1:$C$5000,B840)&gt;0,"BARDÉ","EN STOCK")))</f>
        <v>POSÉ EN LIGNE</v>
      </c>
      <c r="N840" s="80"/>
    </row>
    <row r="841" customFormat="false" ht="15" hidden="false" customHeight="false" outlineLevel="0" collapsed="false">
      <c r="A841" s="82" t="n">
        <f aca="false">IF(B841="","",ROW()-6)</f>
        <v>835</v>
      </c>
      <c r="B841" s="145" t="n">
        <v>2089970</v>
      </c>
      <c r="C841" s="146" t="n">
        <v>15421109</v>
      </c>
      <c r="D841" s="146"/>
      <c r="E841" s="82" t="str">
        <f aca="false">IF(B841="","",IF(COUNTIFS('CARNET DE SOUDURE'!$L$7:$L$3006,B841,'CARNET DE SOUDURE'!$M$7:$M$3006,"&lt;&gt;"&amp;C841,'CARNET DE SOUDURE'!$M$7:$M$3006,"&lt;&gt;")+COUNTIFS('CARNET DE SOUDURE'!$O$7:$O$3006,B841,'CARNET DE SOUDURE'!$P$7:$P$3006,"&lt;&gt;"&amp;C841,'CARNET DE SOUDURE'!$P$7:$P$3006,"&lt;&gt;")&gt;0,"⚠ DIFFÉRENTE","OK"))</f>
        <v>OK</v>
      </c>
      <c r="F841" s="147" t="n">
        <v>11.94</v>
      </c>
      <c r="G841" s="80"/>
      <c r="H841" s="83"/>
      <c r="I841" s="148" t="str">
        <f aca="false">IF(B841="","",IFERROR(INDEX('CARNET DE SOUDURE'!$B$7:$B$3006,MATCH(B841,'CARNET DE SOUDURE'!$L$7:$L$3006,0)),IFERROR(INDEX('CARNET DE SOUDURE'!$B$7:$B$3006,MATCH(B841,'CARNET DE SOUDURE'!$O$7:$O$3006,0)),"")))</f>
        <v>MFD-ISW → MFD-CPF</v>
      </c>
      <c r="J841" s="82" t="str">
        <f aca="false">IF(B841="","",IFERROR(INDEX('CARNET DE SOUDURE'!$E$7:$E$3006,MATCH(B841,'CARNET DE SOUDURE'!$O$7:$O$3006,0)),""))</f>
        <v>DJ°020</v>
      </c>
      <c r="K841" s="82" t="str">
        <f aca="false">IF(B841="","",IFERROR(INDEX('CARNET DE SOUDURE'!$E$7:$E$3006,MATCH(B841,'CARNET DE SOUDURE'!$L$7:$L$3006,0)),""))</f>
        <v>JN°1431</v>
      </c>
      <c r="L841" s="82" t="n">
        <f aca="false">IF(B841="","",IFERROR(INDEX('CARNET DE SOUDURE'!$D$7:$D$3006,MATCH(B841,'CARNET DE SOUDURE'!$L$7:$L$3006,0)),IFERROR(INDEX('CARNET DE SOUDURE'!$D$7:$D$3006,MATCH(B841,'CARNET DE SOUDURE'!$O$7:$O$3006,0)),"")))</f>
        <v>17</v>
      </c>
      <c r="M841" s="82" t="str">
        <f aca="false">IF(B841="","",IF(OR(J841&lt;&gt;"",K841&lt;&gt;""),"POSÉ EN LIGNE",IF(COUNTIF(BARDAGE!$C$1:$C$5000,B841)&gt;0,"BARDÉ","EN STOCK")))</f>
        <v>POSÉ EN LIGNE</v>
      </c>
      <c r="N841" s="80"/>
    </row>
    <row r="842" customFormat="false" ht="15" hidden="false" customHeight="false" outlineLevel="0" collapsed="false">
      <c r="A842" s="82" t="n">
        <f aca="false">IF(B842="","",ROW()-6)</f>
        <v>836</v>
      </c>
      <c r="B842" s="145" t="n">
        <v>2096680</v>
      </c>
      <c r="C842" s="146" t="n">
        <v>15421111</v>
      </c>
      <c r="D842" s="146"/>
      <c r="E842" s="82" t="str">
        <f aca="false">IF(B842="","",IF(COUNTIFS('CARNET DE SOUDURE'!$L$7:$L$3006,B842,'CARNET DE SOUDURE'!$M$7:$M$3006,"&lt;&gt;"&amp;C842,'CARNET DE SOUDURE'!$M$7:$M$3006,"&lt;&gt;")+COUNTIFS('CARNET DE SOUDURE'!$O$7:$O$3006,B842,'CARNET DE SOUDURE'!$P$7:$P$3006,"&lt;&gt;"&amp;C842,'CARNET DE SOUDURE'!$P$7:$P$3006,"&lt;&gt;")&gt;0,"⚠ DIFFÉRENTE","OK"))</f>
        <v>OK</v>
      </c>
      <c r="F842" s="147" t="n">
        <v>11.94</v>
      </c>
      <c r="G842" s="80"/>
      <c r="H842" s="83"/>
      <c r="I842" s="148" t="str">
        <f aca="false">IF(B842="","",IFERROR(INDEX('CARNET DE SOUDURE'!$B$7:$B$3006,MATCH(B842,'CARNET DE SOUDURE'!$L$7:$L$3006,0)),IFERROR(INDEX('CARNET DE SOUDURE'!$B$7:$B$3006,MATCH(B842,'CARNET DE SOUDURE'!$O$7:$O$3006,0)),"")))</f>
        <v>MFD-ISW → MFD-CPF</v>
      </c>
      <c r="J842" s="82" t="str">
        <f aca="false">IF(B842="","",IFERROR(INDEX('CARNET DE SOUDURE'!$E$7:$E$3006,MATCH(B842,'CARNET DE SOUDURE'!$O$7:$O$3006,0)),""))</f>
        <v>JN°1431</v>
      </c>
      <c r="K842" s="82" t="str">
        <f aca="false">IF(B842="","",IFERROR(INDEX('CARNET DE SOUDURE'!$E$7:$E$3006,MATCH(B842,'CARNET DE SOUDURE'!$L$7:$L$3006,0)),""))</f>
        <v/>
      </c>
      <c r="L842" s="82" t="n">
        <f aca="false">IF(B842="","",IFERROR(INDEX('CARNET DE SOUDURE'!$D$7:$D$3006,MATCH(B842,'CARNET DE SOUDURE'!$L$7:$L$3006,0)),IFERROR(INDEX('CARNET DE SOUDURE'!$D$7:$D$3006,MATCH(B842,'CARNET DE SOUDURE'!$O$7:$O$3006,0)),"")))</f>
        <v>17</v>
      </c>
      <c r="M842" s="82" t="str">
        <f aca="false">IF(B842="","",IF(OR(J842&lt;&gt;"",K842&lt;&gt;""),"POSÉ EN LIGNE",IF(COUNTIF(BARDAGE!$C$1:$C$5000,B842)&gt;0,"BARDÉ","EN STOCK")))</f>
        <v>POSÉ EN LIGNE</v>
      </c>
      <c r="N842" s="80"/>
    </row>
    <row r="843" customFormat="false" ht="15" hidden="false" customHeight="false" outlineLevel="0" collapsed="false">
      <c r="A843" s="82" t="n">
        <f aca="false">IF(B843="","",ROW()-6)</f>
        <v>837</v>
      </c>
      <c r="B843" s="145" t="n">
        <v>2092900</v>
      </c>
      <c r="C843" s="146" t="n">
        <v>15421110</v>
      </c>
      <c r="D843" s="146"/>
      <c r="E843" s="82" t="str">
        <f aca="false">IF(B843="","",IF(COUNTIFS('CARNET DE SOUDURE'!$L$7:$L$3006,B843,'CARNET DE SOUDURE'!$M$7:$M$3006,"&lt;&gt;"&amp;C843,'CARNET DE SOUDURE'!$M$7:$M$3006,"&lt;&gt;")+COUNTIFS('CARNET DE SOUDURE'!$O$7:$O$3006,B843,'CARNET DE SOUDURE'!$P$7:$P$3006,"&lt;&gt;"&amp;C843,'CARNET DE SOUDURE'!$P$7:$P$3006,"&lt;&gt;")&gt;0,"⚠ DIFFÉRENTE","OK"))</f>
        <v>OK</v>
      </c>
      <c r="F843" s="147" t="n">
        <v>11.94</v>
      </c>
      <c r="G843" s="80"/>
      <c r="H843" s="83"/>
      <c r="I843" s="148" t="str">
        <f aca="false">IF(B843="","",IFERROR(INDEX('CARNET DE SOUDURE'!$B$7:$B$3006,MATCH(B843,'CARNET DE SOUDURE'!$L$7:$L$3006,0)),IFERROR(INDEX('CARNET DE SOUDURE'!$B$7:$B$3006,MATCH(B843,'CARNET DE SOUDURE'!$O$7:$O$3006,0)),"")))</f>
        <v>MFD-ISW → MFD-CPF</v>
      </c>
      <c r="J843" s="82" t="str">
        <f aca="false">IF(B843="","",IFERROR(INDEX('CARNET DE SOUDURE'!$E$7:$E$3006,MATCH(B843,'CARNET DE SOUDURE'!$O$7:$O$3006,0)),""))</f>
        <v/>
      </c>
      <c r="K843" s="82" t="str">
        <f aca="false">IF(B843="","",IFERROR(INDEX('CARNET DE SOUDURE'!$E$7:$E$3006,MATCH(B843,'CARNET DE SOUDURE'!$L$7:$L$3006,0)),""))</f>
        <v>DJ°009</v>
      </c>
      <c r="L843" s="82" t="n">
        <f aca="false">IF(B843="","",IFERROR(INDEX('CARNET DE SOUDURE'!$D$7:$D$3006,MATCH(B843,'CARNET DE SOUDURE'!$L$7:$L$3006,0)),IFERROR(INDEX('CARNET DE SOUDURE'!$D$7:$D$3006,MATCH(B843,'CARNET DE SOUDURE'!$O$7:$O$3006,0)),"")))</f>
        <v>17</v>
      </c>
      <c r="M843" s="82" t="str">
        <f aca="false">IF(B843="","",IF(OR(J843&lt;&gt;"",K843&lt;&gt;""),"POSÉ EN LIGNE",IF(COUNTIF(BARDAGE!$C$1:$C$5000,B843)&gt;0,"BARDÉ","EN STOCK")))</f>
        <v>POSÉ EN LIGNE</v>
      </c>
      <c r="N843" s="80"/>
    </row>
    <row r="844" customFormat="false" ht="15" hidden="false" customHeight="false" outlineLevel="0" collapsed="false">
      <c r="A844" s="82" t="n">
        <f aca="false">IF(B844="","",ROW()-6)</f>
        <v>838</v>
      </c>
      <c r="B844" s="145" t="n">
        <v>9092900</v>
      </c>
      <c r="C844" s="146" t="n">
        <v>15421110</v>
      </c>
      <c r="D844" s="146"/>
      <c r="E844" s="82" t="str">
        <f aca="false">IF(B844="","",IF(COUNTIFS('CARNET DE SOUDURE'!$L$7:$L$3006,B844,'CARNET DE SOUDURE'!$M$7:$M$3006,"&lt;&gt;"&amp;C844,'CARNET DE SOUDURE'!$M$7:$M$3006,"&lt;&gt;")+COUNTIFS('CARNET DE SOUDURE'!$O$7:$O$3006,B844,'CARNET DE SOUDURE'!$P$7:$P$3006,"&lt;&gt;"&amp;C844,'CARNET DE SOUDURE'!$P$7:$P$3006,"&lt;&gt;")&gt;0,"⚠ DIFFÉRENTE","OK"))</f>
        <v>OK</v>
      </c>
      <c r="F844" s="147" t="n">
        <v>11.94</v>
      </c>
      <c r="G844" s="80"/>
      <c r="H844" s="83"/>
      <c r="I844" s="148" t="str">
        <f aca="false">IF(B844="","",IFERROR(INDEX('CARNET DE SOUDURE'!$B$7:$B$3006,MATCH(B844,'CARNET DE SOUDURE'!$L$7:$L$3006,0)),IFERROR(INDEX('CARNET DE SOUDURE'!$B$7:$B$3006,MATCH(B844,'CARNET DE SOUDURE'!$O$7:$O$3006,0)),"")))</f>
        <v>MFD-ISW → MFD-CPF</v>
      </c>
      <c r="J844" s="82" t="str">
        <f aca="false">IF(B844="","",IFERROR(INDEX('CARNET DE SOUDURE'!$E$7:$E$3006,MATCH(B844,'CARNET DE SOUDURE'!$O$7:$O$3006,0)),""))</f>
        <v/>
      </c>
      <c r="K844" s="82" t="str">
        <f aca="false">IF(B844="","",IFERROR(INDEX('CARNET DE SOUDURE'!$E$7:$E$3006,MATCH(B844,'CARNET DE SOUDURE'!$L$7:$L$3006,0)),""))</f>
        <v>JN°1432</v>
      </c>
      <c r="L844" s="82" t="n">
        <f aca="false">IF(B844="","",IFERROR(INDEX('CARNET DE SOUDURE'!$D$7:$D$3006,MATCH(B844,'CARNET DE SOUDURE'!$L$7:$L$3006,0)),IFERROR(INDEX('CARNET DE SOUDURE'!$D$7:$D$3006,MATCH(B844,'CARNET DE SOUDURE'!$O$7:$O$3006,0)),"")))</f>
        <v>17</v>
      </c>
      <c r="M844" s="82" t="str">
        <f aca="false">IF(B844="","",IF(OR(J844&lt;&gt;"",K844&lt;&gt;""),"POSÉ EN LIGNE",IF(COUNTIF(BARDAGE!$C$1:$C$5000,B844)&gt;0,"BARDÉ","EN STOCK")))</f>
        <v>POSÉ EN LIGNE</v>
      </c>
      <c r="N844" s="80"/>
    </row>
    <row r="845" customFormat="false" ht="15" hidden="false" customHeight="false" outlineLevel="0" collapsed="false">
      <c r="A845" s="82" t="n">
        <f aca="false">IF(B845="","",ROW()-6)</f>
        <v>839</v>
      </c>
      <c r="B845" s="145" t="n">
        <v>2080460</v>
      </c>
      <c r="C845" s="146" t="n">
        <v>15421102</v>
      </c>
      <c r="D845" s="146"/>
      <c r="E845" s="82" t="str">
        <f aca="false">IF(B845="","",IF(COUNTIFS('CARNET DE SOUDURE'!$L$7:$L$3006,B845,'CARNET DE SOUDURE'!$M$7:$M$3006,"&lt;&gt;"&amp;C845,'CARNET DE SOUDURE'!$M$7:$M$3006,"&lt;&gt;")+COUNTIFS('CARNET DE SOUDURE'!$O$7:$O$3006,B845,'CARNET DE SOUDURE'!$P$7:$P$3006,"&lt;&gt;"&amp;C845,'CARNET DE SOUDURE'!$P$7:$P$3006,"&lt;&gt;")&gt;0,"⚠ DIFFÉRENTE","OK"))</f>
        <v>OK</v>
      </c>
      <c r="F845" s="147" t="n">
        <v>11.94</v>
      </c>
      <c r="G845" s="80"/>
      <c r="H845" s="83"/>
      <c r="I845" s="148" t="str">
        <f aca="false">IF(B845="","",IFERROR(INDEX('CARNET DE SOUDURE'!$B$7:$B$3006,MATCH(B845,'CARNET DE SOUDURE'!$L$7:$L$3006,0)),IFERROR(INDEX('CARNET DE SOUDURE'!$B$7:$B$3006,MATCH(B845,'CARNET DE SOUDURE'!$O$7:$O$3006,0)),"")))</f>
        <v>MFD-ISW → MFD-CPF</v>
      </c>
      <c r="J845" s="82" t="str">
        <f aca="false">IF(B845="","",IFERROR(INDEX('CARNET DE SOUDURE'!$E$7:$E$3006,MATCH(B845,'CARNET DE SOUDURE'!$O$7:$O$3006,0)),""))</f>
        <v>JN°1432</v>
      </c>
      <c r="K845" s="82" t="str">
        <f aca="false">IF(B845="","",IFERROR(INDEX('CARNET DE SOUDURE'!$E$7:$E$3006,MATCH(B845,'CARNET DE SOUDURE'!$L$7:$L$3006,0)),""))</f>
        <v/>
      </c>
      <c r="L845" s="82" t="n">
        <f aca="false">IF(B845="","",IFERROR(INDEX('CARNET DE SOUDURE'!$D$7:$D$3006,MATCH(B845,'CARNET DE SOUDURE'!$L$7:$L$3006,0)),IFERROR(INDEX('CARNET DE SOUDURE'!$D$7:$D$3006,MATCH(B845,'CARNET DE SOUDURE'!$O$7:$O$3006,0)),"")))</f>
        <v>17</v>
      </c>
      <c r="M845" s="82" t="str">
        <f aca="false">IF(B845="","",IF(OR(J845&lt;&gt;"",K845&lt;&gt;""),"POSÉ EN LIGNE",IF(COUNTIF(BARDAGE!$C$1:$C$5000,B845)&gt;0,"BARDÉ","EN STOCK")))</f>
        <v>POSÉ EN LIGNE</v>
      </c>
      <c r="N845" s="80"/>
    </row>
    <row r="846" customFormat="false" ht="15" hidden="false" customHeight="false" outlineLevel="0" collapsed="false">
      <c r="A846" s="82" t="n">
        <f aca="false">IF(B846="","",ROW()-6)</f>
        <v>840</v>
      </c>
      <c r="B846" s="145" t="n">
        <v>2081960</v>
      </c>
      <c r="C846" s="146" t="n">
        <v>15421104</v>
      </c>
      <c r="D846" s="146"/>
      <c r="E846" s="82" t="str">
        <f aca="false">IF(B846="","",IF(COUNTIFS('CARNET DE SOUDURE'!$L$7:$L$3006,B846,'CARNET DE SOUDURE'!$M$7:$M$3006,"&lt;&gt;"&amp;C846,'CARNET DE SOUDURE'!$M$7:$M$3006,"&lt;&gt;")+COUNTIFS('CARNET DE SOUDURE'!$O$7:$O$3006,B846,'CARNET DE SOUDURE'!$P$7:$P$3006,"&lt;&gt;"&amp;C846,'CARNET DE SOUDURE'!$P$7:$P$3006,"&lt;&gt;")&gt;0,"⚠ DIFFÉRENTE","OK"))</f>
        <v>OK</v>
      </c>
      <c r="F846" s="147" t="n">
        <v>11.94</v>
      </c>
      <c r="G846" s="80"/>
      <c r="H846" s="83"/>
      <c r="I846" s="148" t="str">
        <f aca="false">IF(B846="","",IFERROR(INDEX('CARNET DE SOUDURE'!$B$7:$B$3006,MATCH(B846,'CARNET DE SOUDURE'!$L$7:$L$3006,0)),IFERROR(INDEX('CARNET DE SOUDURE'!$B$7:$B$3006,MATCH(B846,'CARNET DE SOUDURE'!$O$7:$O$3006,0)),"")))</f>
        <v>MFD-ISW → MFD-CPF</v>
      </c>
      <c r="J846" s="82" t="str">
        <f aca="false">IF(B846="","",IFERROR(INDEX('CARNET DE SOUDURE'!$E$7:$E$3006,MATCH(B846,'CARNET DE SOUDURE'!$O$7:$O$3006,0)),""))</f>
        <v/>
      </c>
      <c r="K846" s="82" t="str">
        <f aca="false">IF(B846="","",IFERROR(INDEX('CARNET DE SOUDURE'!$E$7:$E$3006,MATCH(B846,'CARNET DE SOUDURE'!$L$7:$L$3006,0)),""))</f>
        <v>DJ°008</v>
      </c>
      <c r="L846" s="82" t="n">
        <f aca="false">IF(B846="","",IFERROR(INDEX('CARNET DE SOUDURE'!$D$7:$D$3006,MATCH(B846,'CARNET DE SOUDURE'!$L$7:$L$3006,0)),IFERROR(INDEX('CARNET DE SOUDURE'!$D$7:$D$3006,MATCH(B846,'CARNET DE SOUDURE'!$O$7:$O$3006,0)),"")))</f>
        <v>17</v>
      </c>
      <c r="M846" s="82" t="str">
        <f aca="false">IF(B846="","",IF(OR(J846&lt;&gt;"",K846&lt;&gt;""),"POSÉ EN LIGNE",IF(COUNTIF(BARDAGE!$C$1:$C$5000,B846)&gt;0,"BARDÉ","EN STOCK")))</f>
        <v>POSÉ EN LIGNE</v>
      </c>
      <c r="N846" s="80"/>
    </row>
    <row r="847" customFormat="false" ht="15" hidden="false" customHeight="false" outlineLevel="0" collapsed="false">
      <c r="A847" s="82" t="n">
        <f aca="false">IF(B847="","",ROW()-6)</f>
        <v>841</v>
      </c>
      <c r="B847" s="145" t="n">
        <v>2090850</v>
      </c>
      <c r="C847" s="146" t="n">
        <v>15421109</v>
      </c>
      <c r="D847" s="146"/>
      <c r="E847" s="82" t="str">
        <f aca="false">IF(B847="","",IF(COUNTIFS('CARNET DE SOUDURE'!$L$7:$L$3006,B847,'CARNET DE SOUDURE'!$M$7:$M$3006,"&lt;&gt;"&amp;C847,'CARNET DE SOUDURE'!$M$7:$M$3006,"&lt;&gt;")+COUNTIFS('CARNET DE SOUDURE'!$O$7:$O$3006,B847,'CARNET DE SOUDURE'!$P$7:$P$3006,"&lt;&gt;"&amp;C847,'CARNET DE SOUDURE'!$P$7:$P$3006,"&lt;&gt;")&gt;0,"⚠ DIFFÉRENTE","OK"))</f>
        <v>OK</v>
      </c>
      <c r="F847" s="147" t="n">
        <v>11.94</v>
      </c>
      <c r="G847" s="80"/>
      <c r="H847" s="83"/>
      <c r="I847" s="148" t="str">
        <f aca="false">IF(B847="","",IFERROR(INDEX('CARNET DE SOUDURE'!$B$7:$B$3006,MATCH(B847,'CARNET DE SOUDURE'!$L$7:$L$3006,0)),IFERROR(INDEX('CARNET DE SOUDURE'!$B$7:$B$3006,MATCH(B847,'CARNET DE SOUDURE'!$O$7:$O$3006,0)),"")))</f>
        <v>MFD-ISW → MFD-CPF</v>
      </c>
      <c r="J847" s="82" t="str">
        <f aca="false">IF(B847="","",IFERROR(INDEX('CARNET DE SOUDURE'!$E$7:$E$3006,MATCH(B847,'CARNET DE SOUDURE'!$O$7:$O$3006,0)),""))</f>
        <v>JN°1433</v>
      </c>
      <c r="K847" s="82" t="str">
        <f aca="false">IF(B847="","",IFERROR(INDEX('CARNET DE SOUDURE'!$E$7:$E$3006,MATCH(B847,'CARNET DE SOUDURE'!$L$7:$L$3006,0)),""))</f>
        <v/>
      </c>
      <c r="L847" s="82" t="n">
        <f aca="false">IF(B847="","",IFERROR(INDEX('CARNET DE SOUDURE'!$D$7:$D$3006,MATCH(B847,'CARNET DE SOUDURE'!$L$7:$L$3006,0)),IFERROR(INDEX('CARNET DE SOUDURE'!$D$7:$D$3006,MATCH(B847,'CARNET DE SOUDURE'!$O$7:$O$3006,0)),"")))</f>
        <v>17</v>
      </c>
      <c r="M847" s="82" t="str">
        <f aca="false">IF(B847="","",IF(OR(J847&lt;&gt;"",K847&lt;&gt;""),"POSÉ EN LIGNE",IF(COUNTIF(BARDAGE!$C$1:$C$5000,B847)&gt;0,"BARDÉ","EN STOCK")))</f>
        <v>POSÉ EN LIGNE</v>
      </c>
      <c r="N847" s="80"/>
    </row>
    <row r="848" customFormat="false" ht="15" hidden="false" customHeight="false" outlineLevel="0" collapsed="false">
      <c r="A848" s="82" t="n">
        <f aca="false">IF(B848="","",ROW()-6)</f>
        <v>842</v>
      </c>
      <c r="B848" s="145" t="n">
        <v>2079370</v>
      </c>
      <c r="C848" s="146" t="n">
        <v>15421102</v>
      </c>
      <c r="D848" s="146"/>
      <c r="E848" s="82" t="str">
        <f aca="false">IF(B848="","",IF(COUNTIFS('CARNET DE SOUDURE'!$L$7:$L$3006,B848,'CARNET DE SOUDURE'!$M$7:$M$3006,"&lt;&gt;"&amp;C848,'CARNET DE SOUDURE'!$M$7:$M$3006,"&lt;&gt;")+COUNTIFS('CARNET DE SOUDURE'!$O$7:$O$3006,B848,'CARNET DE SOUDURE'!$P$7:$P$3006,"&lt;&gt;"&amp;C848,'CARNET DE SOUDURE'!$P$7:$P$3006,"&lt;&gt;")&gt;0,"⚠ DIFFÉRENTE","OK"))</f>
        <v>OK</v>
      </c>
      <c r="F848" s="147" t="n">
        <v>11.94</v>
      </c>
      <c r="G848" s="80"/>
      <c r="H848" s="83"/>
      <c r="I848" s="148" t="str">
        <f aca="false">IF(B848="","",IFERROR(INDEX('CARNET DE SOUDURE'!$B$7:$B$3006,MATCH(B848,'CARNET DE SOUDURE'!$L$7:$L$3006,0)),IFERROR(INDEX('CARNET DE SOUDURE'!$B$7:$B$3006,MATCH(B848,'CARNET DE SOUDURE'!$O$7:$O$3006,0)),"")))</f>
        <v>MFD-ISW → MFD-CPF</v>
      </c>
      <c r="J848" s="82" t="str">
        <f aca="false">IF(B848="","",IFERROR(INDEX('CARNET DE SOUDURE'!$E$7:$E$3006,MATCH(B848,'CARNET DE SOUDURE'!$O$7:$O$3006,0)),""))</f>
        <v/>
      </c>
      <c r="K848" s="82" t="str">
        <f aca="false">IF(B848="","",IFERROR(INDEX('CARNET DE SOUDURE'!$E$7:$E$3006,MATCH(B848,'CARNET DE SOUDURE'!$L$7:$L$3006,0)),""))</f>
        <v>DJ°088</v>
      </c>
      <c r="L848" s="82" t="n">
        <f aca="false">IF(B848="","",IFERROR(INDEX('CARNET DE SOUDURE'!$D$7:$D$3006,MATCH(B848,'CARNET DE SOUDURE'!$L$7:$L$3006,0)),IFERROR(INDEX('CARNET DE SOUDURE'!$D$7:$D$3006,MATCH(B848,'CARNET DE SOUDURE'!$O$7:$O$3006,0)),"")))</f>
        <v>17</v>
      </c>
      <c r="M848" s="82" t="str">
        <f aca="false">IF(B848="","",IF(OR(J848&lt;&gt;"",K848&lt;&gt;""),"POSÉ EN LIGNE",IF(COUNTIF(BARDAGE!$C$1:$C$5000,B848)&gt;0,"BARDÉ","EN STOCK")))</f>
        <v>POSÉ EN LIGNE</v>
      </c>
      <c r="N848" s="80"/>
    </row>
    <row r="849" customFormat="false" ht="15" hidden="false" customHeight="false" outlineLevel="0" collapsed="false">
      <c r="A849" s="82" t="n">
        <f aca="false">IF(B849="","",ROW()-6)</f>
        <v>843</v>
      </c>
      <c r="B849" s="145" t="n">
        <v>2091740</v>
      </c>
      <c r="C849" s="146" t="n">
        <v>15421109</v>
      </c>
      <c r="D849" s="146"/>
      <c r="E849" s="82" t="str">
        <f aca="false">IF(B849="","",IF(COUNTIFS('CARNET DE SOUDURE'!$L$7:$L$3006,B849,'CARNET DE SOUDURE'!$M$7:$M$3006,"&lt;&gt;"&amp;C849,'CARNET DE SOUDURE'!$M$7:$M$3006,"&lt;&gt;")+COUNTIFS('CARNET DE SOUDURE'!$O$7:$O$3006,B849,'CARNET DE SOUDURE'!$P$7:$P$3006,"&lt;&gt;"&amp;C849,'CARNET DE SOUDURE'!$P$7:$P$3006,"&lt;&gt;")&gt;0,"⚠ DIFFÉRENTE","OK"))</f>
        <v>OK</v>
      </c>
      <c r="F849" s="147" t="n">
        <v>11.94</v>
      </c>
      <c r="G849" s="80"/>
      <c r="H849" s="83"/>
      <c r="I849" s="148" t="str">
        <f aca="false">IF(B849="","",IFERROR(INDEX('CARNET DE SOUDURE'!$B$7:$B$3006,MATCH(B849,'CARNET DE SOUDURE'!$L$7:$L$3006,0)),IFERROR(INDEX('CARNET DE SOUDURE'!$B$7:$B$3006,MATCH(B849,'CARNET DE SOUDURE'!$O$7:$O$3006,0)),"")))</f>
        <v>MFD-ISW → MFD-CPF</v>
      </c>
      <c r="J849" s="82" t="str">
        <f aca="false">IF(B849="","",IFERROR(INDEX('CARNET DE SOUDURE'!$E$7:$E$3006,MATCH(B849,'CARNET DE SOUDURE'!$O$7:$O$3006,0)),""))</f>
        <v>JN°1434</v>
      </c>
      <c r="K849" s="82" t="str">
        <f aca="false">IF(B849="","",IFERROR(INDEX('CARNET DE SOUDURE'!$E$7:$E$3006,MATCH(B849,'CARNET DE SOUDURE'!$L$7:$L$3006,0)),""))</f>
        <v>DJ°051</v>
      </c>
      <c r="L849" s="82" t="n">
        <f aca="false">IF(B849="","",IFERROR(INDEX('CARNET DE SOUDURE'!$D$7:$D$3006,MATCH(B849,'CARNET DE SOUDURE'!$L$7:$L$3006,0)),IFERROR(INDEX('CARNET DE SOUDURE'!$D$7:$D$3006,MATCH(B849,'CARNET DE SOUDURE'!$O$7:$O$3006,0)),"")))</f>
        <v>17</v>
      </c>
      <c r="M849" s="82" t="str">
        <f aca="false">IF(B849="","",IF(OR(J849&lt;&gt;"",K849&lt;&gt;""),"POSÉ EN LIGNE",IF(COUNTIF(BARDAGE!$C$1:$C$5000,B849)&gt;0,"BARDÉ","EN STOCK")))</f>
        <v>POSÉ EN LIGNE</v>
      </c>
      <c r="N849" s="80"/>
    </row>
    <row r="850" customFormat="false" ht="15" hidden="false" customHeight="false" outlineLevel="0" collapsed="false">
      <c r="A850" s="82" t="n">
        <f aca="false">IF(B850="","",ROW()-6)</f>
        <v>844</v>
      </c>
      <c r="B850" s="145" t="n">
        <v>2094720</v>
      </c>
      <c r="C850" s="146" t="n">
        <v>15421111</v>
      </c>
      <c r="D850" s="146"/>
      <c r="E850" s="82" t="str">
        <f aca="false">IF(B850="","",IF(COUNTIFS('CARNET DE SOUDURE'!$L$7:$L$3006,B850,'CARNET DE SOUDURE'!$M$7:$M$3006,"&lt;&gt;"&amp;C850,'CARNET DE SOUDURE'!$M$7:$M$3006,"&lt;&gt;")+COUNTIFS('CARNET DE SOUDURE'!$O$7:$O$3006,B850,'CARNET DE SOUDURE'!$P$7:$P$3006,"&lt;&gt;"&amp;C850,'CARNET DE SOUDURE'!$P$7:$P$3006,"&lt;&gt;")&gt;0,"⚠ DIFFÉRENTE","OK"))</f>
        <v>OK</v>
      </c>
      <c r="F850" s="147" t="n">
        <v>11.94</v>
      </c>
      <c r="G850" s="80"/>
      <c r="H850" s="83"/>
      <c r="I850" s="148" t="str">
        <f aca="false">IF(B850="","",IFERROR(INDEX('CARNET DE SOUDURE'!$B$7:$B$3006,MATCH(B850,'CARNET DE SOUDURE'!$L$7:$L$3006,0)),IFERROR(INDEX('CARNET DE SOUDURE'!$B$7:$B$3006,MATCH(B850,'CARNET DE SOUDURE'!$O$7:$O$3006,0)),"")))</f>
        <v>MFD-ISW → MFD-CPF</v>
      </c>
      <c r="J850" s="82" t="str">
        <f aca="false">IF(B850="","",IFERROR(INDEX('CARNET DE SOUDURE'!$E$7:$E$3006,MATCH(B850,'CARNET DE SOUDURE'!$O$7:$O$3006,0)),""))</f>
        <v>DJ°051</v>
      </c>
      <c r="K850" s="82" t="str">
        <f aca="false">IF(B850="","",IFERROR(INDEX('CARNET DE SOUDURE'!$E$7:$E$3006,MATCH(B850,'CARNET DE SOUDURE'!$L$7:$L$3006,0)),""))</f>
        <v>JN°1435</v>
      </c>
      <c r="L850" s="82" t="n">
        <f aca="false">IF(B850="","",IFERROR(INDEX('CARNET DE SOUDURE'!$D$7:$D$3006,MATCH(B850,'CARNET DE SOUDURE'!$L$7:$L$3006,0)),IFERROR(INDEX('CARNET DE SOUDURE'!$D$7:$D$3006,MATCH(B850,'CARNET DE SOUDURE'!$O$7:$O$3006,0)),"")))</f>
        <v>17</v>
      </c>
      <c r="M850" s="82" t="str">
        <f aca="false">IF(B850="","",IF(OR(J850&lt;&gt;"",K850&lt;&gt;""),"POSÉ EN LIGNE",IF(COUNTIF(BARDAGE!$C$1:$C$5000,B850)&gt;0,"BARDÉ","EN STOCK")))</f>
        <v>POSÉ EN LIGNE</v>
      </c>
      <c r="N850" s="80"/>
    </row>
    <row r="851" customFormat="false" ht="15" hidden="false" customHeight="false" outlineLevel="0" collapsed="false">
      <c r="A851" s="82" t="n">
        <f aca="false">IF(B851="","",ROW()-6)</f>
        <v>845</v>
      </c>
      <c r="B851" s="145" t="n">
        <v>2091310</v>
      </c>
      <c r="C851" s="146" t="n">
        <v>15421109</v>
      </c>
      <c r="D851" s="146"/>
      <c r="E851" s="82" t="str">
        <f aca="false">IF(B851="","",IF(COUNTIFS('CARNET DE SOUDURE'!$L$7:$L$3006,B851,'CARNET DE SOUDURE'!$M$7:$M$3006,"&lt;&gt;"&amp;C851,'CARNET DE SOUDURE'!$M$7:$M$3006,"&lt;&gt;")+COUNTIFS('CARNET DE SOUDURE'!$O$7:$O$3006,B851,'CARNET DE SOUDURE'!$P$7:$P$3006,"&lt;&gt;"&amp;C851,'CARNET DE SOUDURE'!$P$7:$P$3006,"&lt;&gt;")&gt;0,"⚠ DIFFÉRENTE","OK"))</f>
        <v>OK</v>
      </c>
      <c r="F851" s="147" t="n">
        <v>11.94</v>
      </c>
      <c r="G851" s="80"/>
      <c r="H851" s="83"/>
      <c r="I851" s="148" t="str">
        <f aca="false">IF(B851="","",IFERROR(INDEX('CARNET DE SOUDURE'!$B$7:$B$3006,MATCH(B851,'CARNET DE SOUDURE'!$L$7:$L$3006,0)),IFERROR(INDEX('CARNET DE SOUDURE'!$B$7:$B$3006,MATCH(B851,'CARNET DE SOUDURE'!$O$7:$O$3006,0)),"")))</f>
        <v>MFD-ISW → MFD-CPF</v>
      </c>
      <c r="J851" s="82" t="str">
        <f aca="false">IF(B851="","",IFERROR(INDEX('CARNET DE SOUDURE'!$E$7:$E$3006,MATCH(B851,'CARNET DE SOUDURE'!$O$7:$O$3006,0)),""))</f>
        <v>JN°1435</v>
      </c>
      <c r="K851" s="82" t="str">
        <f aca="false">IF(B851="","",IFERROR(INDEX('CARNET DE SOUDURE'!$E$7:$E$3006,MATCH(B851,'CARNET DE SOUDURE'!$L$7:$L$3006,0)),""))</f>
        <v/>
      </c>
      <c r="L851" s="82" t="n">
        <f aca="false">IF(B851="","",IFERROR(INDEX('CARNET DE SOUDURE'!$D$7:$D$3006,MATCH(B851,'CARNET DE SOUDURE'!$L$7:$L$3006,0)),IFERROR(INDEX('CARNET DE SOUDURE'!$D$7:$D$3006,MATCH(B851,'CARNET DE SOUDURE'!$O$7:$O$3006,0)),"")))</f>
        <v>17</v>
      </c>
      <c r="M851" s="82" t="str">
        <f aca="false">IF(B851="","",IF(OR(J851&lt;&gt;"",K851&lt;&gt;""),"POSÉ EN LIGNE",IF(COUNTIF(BARDAGE!$C$1:$C$5000,B851)&gt;0,"BARDÉ","EN STOCK")))</f>
        <v>POSÉ EN LIGNE</v>
      </c>
      <c r="N851" s="80"/>
    </row>
    <row r="852" customFormat="false" ht="15" hidden="false" customHeight="false" outlineLevel="0" collapsed="false">
      <c r="A852" s="82" t="n">
        <f aca="false">IF(B852="","",ROW()-6)</f>
        <v>846</v>
      </c>
      <c r="B852" s="145" t="n">
        <v>2088630</v>
      </c>
      <c r="C852" s="146" t="n">
        <v>15421108</v>
      </c>
      <c r="D852" s="146"/>
      <c r="E852" s="82" t="str">
        <f aca="false">IF(B852="","",IF(COUNTIFS('CARNET DE SOUDURE'!$L$7:$L$3006,B852,'CARNET DE SOUDURE'!$M$7:$M$3006,"&lt;&gt;"&amp;C852,'CARNET DE SOUDURE'!$M$7:$M$3006,"&lt;&gt;")+COUNTIFS('CARNET DE SOUDURE'!$O$7:$O$3006,B852,'CARNET DE SOUDURE'!$P$7:$P$3006,"&lt;&gt;"&amp;C852,'CARNET DE SOUDURE'!$P$7:$P$3006,"&lt;&gt;")&gt;0,"⚠ DIFFÉRENTE","OK"))</f>
        <v>OK</v>
      </c>
      <c r="F852" s="147" t="n">
        <v>11.95</v>
      </c>
      <c r="G852" s="80"/>
      <c r="H852" s="83"/>
      <c r="I852" s="148" t="str">
        <f aca="false">IF(B852="","",IFERROR(INDEX('CARNET DE SOUDURE'!$B$7:$B$3006,MATCH(B852,'CARNET DE SOUDURE'!$L$7:$L$3006,0)),IFERROR(INDEX('CARNET DE SOUDURE'!$B$7:$B$3006,MATCH(B852,'CARNET DE SOUDURE'!$O$7:$O$3006,0)),"")))</f>
        <v>MFD-ISW → MFD-CPF</v>
      </c>
      <c r="J852" s="82" t="str">
        <f aca="false">IF(B852="","",IFERROR(INDEX('CARNET DE SOUDURE'!$E$7:$E$3006,MATCH(B852,'CARNET DE SOUDURE'!$O$7:$O$3006,0)),""))</f>
        <v/>
      </c>
      <c r="K852" s="82" t="str">
        <f aca="false">IF(B852="","",IFERROR(INDEX('CARNET DE SOUDURE'!$E$7:$E$3006,MATCH(B852,'CARNET DE SOUDURE'!$L$7:$L$3006,0)),""))</f>
        <v>DJ°004</v>
      </c>
      <c r="L852" s="82" t="n">
        <f aca="false">IF(B852="","",IFERROR(INDEX('CARNET DE SOUDURE'!$D$7:$D$3006,MATCH(B852,'CARNET DE SOUDURE'!$L$7:$L$3006,0)),IFERROR(INDEX('CARNET DE SOUDURE'!$D$7:$D$3006,MATCH(B852,'CARNET DE SOUDURE'!$O$7:$O$3006,0)),"")))</f>
        <v>17</v>
      </c>
      <c r="M852" s="82" t="str">
        <f aca="false">IF(B852="","",IF(OR(J852&lt;&gt;"",K852&lt;&gt;""),"POSÉ EN LIGNE",IF(COUNTIF(BARDAGE!$C$1:$C$5000,B852)&gt;0,"BARDÉ","EN STOCK")))</f>
        <v>POSÉ EN LIGNE</v>
      </c>
      <c r="N852" s="80"/>
    </row>
    <row r="853" customFormat="false" ht="15" hidden="false" customHeight="false" outlineLevel="0" collapsed="false">
      <c r="A853" s="82" t="n">
        <f aca="false">IF(B853="","",ROW()-6)</f>
        <v>847</v>
      </c>
      <c r="B853" s="145" t="n">
        <v>2085110</v>
      </c>
      <c r="C853" s="146" t="n">
        <v>15421106</v>
      </c>
      <c r="D853" s="146"/>
      <c r="E853" s="82" t="str">
        <f aca="false">IF(B853="","",IF(COUNTIFS('CARNET DE SOUDURE'!$L$7:$L$3006,B853,'CARNET DE SOUDURE'!$M$7:$M$3006,"&lt;&gt;"&amp;C853,'CARNET DE SOUDURE'!$M$7:$M$3006,"&lt;&gt;")+COUNTIFS('CARNET DE SOUDURE'!$O$7:$O$3006,B853,'CARNET DE SOUDURE'!$P$7:$P$3006,"&lt;&gt;"&amp;C853,'CARNET DE SOUDURE'!$P$7:$P$3006,"&lt;&gt;")&gt;0,"⚠ DIFFÉRENTE","OK"))</f>
        <v>OK</v>
      </c>
      <c r="F853" s="147" t="n">
        <v>11.94</v>
      </c>
      <c r="G853" s="80"/>
      <c r="H853" s="83"/>
      <c r="I853" s="148" t="str">
        <f aca="false">IF(B853="","",IFERROR(INDEX('CARNET DE SOUDURE'!$B$7:$B$3006,MATCH(B853,'CARNET DE SOUDURE'!$L$7:$L$3006,0)),IFERROR(INDEX('CARNET DE SOUDURE'!$B$7:$B$3006,MATCH(B853,'CARNET DE SOUDURE'!$O$7:$O$3006,0)),"")))</f>
        <v>MFD-ISW → MFD-CPF</v>
      </c>
      <c r="J853" s="82" t="str">
        <f aca="false">IF(B853="","",IFERROR(INDEX('CARNET DE SOUDURE'!$E$7:$E$3006,MATCH(B853,'CARNET DE SOUDURE'!$O$7:$O$3006,0)),""))</f>
        <v>JN°1436</v>
      </c>
      <c r="K853" s="82" t="str">
        <f aca="false">IF(B853="","",IFERROR(INDEX('CARNET DE SOUDURE'!$E$7:$E$3006,MATCH(B853,'CARNET DE SOUDURE'!$L$7:$L$3006,0)),""))</f>
        <v/>
      </c>
      <c r="L853" s="82" t="n">
        <f aca="false">IF(B853="","",IFERROR(INDEX('CARNET DE SOUDURE'!$D$7:$D$3006,MATCH(B853,'CARNET DE SOUDURE'!$L$7:$L$3006,0)),IFERROR(INDEX('CARNET DE SOUDURE'!$D$7:$D$3006,MATCH(B853,'CARNET DE SOUDURE'!$O$7:$O$3006,0)),"")))</f>
        <v>17</v>
      </c>
      <c r="M853" s="82" t="str">
        <f aca="false">IF(B853="","",IF(OR(J853&lt;&gt;"",K853&lt;&gt;""),"POSÉ EN LIGNE",IF(COUNTIF(BARDAGE!$C$1:$C$5000,B853)&gt;0,"BARDÉ","EN STOCK")))</f>
        <v>POSÉ EN LIGNE</v>
      </c>
      <c r="N853" s="80"/>
    </row>
    <row r="854" customFormat="false" ht="15" hidden="false" customHeight="false" outlineLevel="0" collapsed="false">
      <c r="A854" s="82" t="n">
        <f aca="false">IF(B854="","",ROW()-6)</f>
        <v>848</v>
      </c>
      <c r="B854" s="145" t="n">
        <v>2079900</v>
      </c>
      <c r="C854" s="146" t="n">
        <v>15421102</v>
      </c>
      <c r="D854" s="146"/>
      <c r="E854" s="82" t="str">
        <f aca="false">IF(B854="","",IF(COUNTIFS('CARNET DE SOUDURE'!$L$7:$L$3006,B854,'CARNET DE SOUDURE'!$M$7:$M$3006,"&lt;&gt;"&amp;C854,'CARNET DE SOUDURE'!$M$7:$M$3006,"&lt;&gt;")+COUNTIFS('CARNET DE SOUDURE'!$O$7:$O$3006,B854,'CARNET DE SOUDURE'!$P$7:$P$3006,"&lt;&gt;"&amp;C854,'CARNET DE SOUDURE'!$P$7:$P$3006,"&lt;&gt;")&gt;0,"⚠ DIFFÉRENTE","OK"))</f>
        <v>OK</v>
      </c>
      <c r="F854" s="147" t="n">
        <v>11.94</v>
      </c>
      <c r="G854" s="80"/>
      <c r="H854" s="83"/>
      <c r="I854" s="148" t="str">
        <f aca="false">IF(B854="","",IFERROR(INDEX('CARNET DE SOUDURE'!$B$7:$B$3006,MATCH(B854,'CARNET DE SOUDURE'!$L$7:$L$3006,0)),IFERROR(INDEX('CARNET DE SOUDURE'!$B$7:$B$3006,MATCH(B854,'CARNET DE SOUDURE'!$O$7:$O$3006,0)),"")))</f>
        <v>MFD-ISW → MFD-CPF</v>
      </c>
      <c r="J854" s="82" t="str">
        <f aca="false">IF(B854="","",IFERROR(INDEX('CARNET DE SOUDURE'!$E$7:$E$3006,MATCH(B854,'CARNET DE SOUDURE'!$O$7:$O$3006,0)),""))</f>
        <v>JN°1437R</v>
      </c>
      <c r="K854" s="82" t="str">
        <f aca="false">IF(B854="","",IFERROR(INDEX('CARNET DE SOUDURE'!$E$7:$E$3006,MATCH(B854,'CARNET DE SOUDURE'!$L$7:$L$3006,0)),""))</f>
        <v>DJ°021</v>
      </c>
      <c r="L854" s="82" t="n">
        <f aca="false">IF(B854="","",IFERROR(INDEX('CARNET DE SOUDURE'!$D$7:$D$3006,MATCH(B854,'CARNET DE SOUDURE'!$L$7:$L$3006,0)),IFERROR(INDEX('CARNET DE SOUDURE'!$D$7:$D$3006,MATCH(B854,'CARNET DE SOUDURE'!$O$7:$O$3006,0)),"")))</f>
        <v>17</v>
      </c>
      <c r="M854" s="82" t="str">
        <f aca="false">IF(B854="","",IF(OR(J854&lt;&gt;"",K854&lt;&gt;""),"POSÉ EN LIGNE",IF(COUNTIF(BARDAGE!$C$1:$C$5000,B854)&gt;0,"BARDÉ","EN STOCK")))</f>
        <v>POSÉ EN LIGNE</v>
      </c>
      <c r="N854" s="80"/>
    </row>
    <row r="855" customFormat="false" ht="15" hidden="false" customHeight="false" outlineLevel="0" collapsed="false">
      <c r="A855" s="82" t="n">
        <f aca="false">IF(B855="","",ROW()-6)</f>
        <v>849</v>
      </c>
      <c r="B855" s="145" t="n">
        <v>2095390</v>
      </c>
      <c r="C855" s="146" t="n">
        <v>15421111</v>
      </c>
      <c r="D855" s="146"/>
      <c r="E855" s="82" t="str">
        <f aca="false">IF(B855="","",IF(COUNTIFS('CARNET DE SOUDURE'!$L$7:$L$3006,B855,'CARNET DE SOUDURE'!$M$7:$M$3006,"&lt;&gt;"&amp;C855,'CARNET DE SOUDURE'!$M$7:$M$3006,"&lt;&gt;")+COUNTIFS('CARNET DE SOUDURE'!$O$7:$O$3006,B855,'CARNET DE SOUDURE'!$P$7:$P$3006,"&lt;&gt;"&amp;C855,'CARNET DE SOUDURE'!$P$7:$P$3006,"&lt;&gt;")&gt;0,"⚠ DIFFÉRENTE","OK"))</f>
        <v>OK</v>
      </c>
      <c r="F855" s="147" t="n">
        <v>11.94</v>
      </c>
      <c r="G855" s="80"/>
      <c r="H855" s="83"/>
      <c r="I855" s="148" t="str">
        <f aca="false">IF(B855="","",IFERROR(INDEX('CARNET DE SOUDURE'!$B$7:$B$3006,MATCH(B855,'CARNET DE SOUDURE'!$L$7:$L$3006,0)),IFERROR(INDEX('CARNET DE SOUDURE'!$B$7:$B$3006,MATCH(B855,'CARNET DE SOUDURE'!$O$7:$O$3006,0)),"")))</f>
        <v>MFD-ISW → MFD-CPF</v>
      </c>
      <c r="J855" s="82" t="str">
        <f aca="false">IF(B855="","",IFERROR(INDEX('CARNET DE SOUDURE'!$E$7:$E$3006,MATCH(B855,'CARNET DE SOUDURE'!$O$7:$O$3006,0)),""))</f>
        <v>DJ°021</v>
      </c>
      <c r="K855" s="82" t="str">
        <f aca="false">IF(B855="","",IFERROR(INDEX('CARNET DE SOUDURE'!$E$7:$E$3006,MATCH(B855,'CARNET DE SOUDURE'!$L$7:$L$3006,0)),""))</f>
        <v/>
      </c>
      <c r="L855" s="82" t="n">
        <f aca="false">IF(B855="","",IFERROR(INDEX('CARNET DE SOUDURE'!$D$7:$D$3006,MATCH(B855,'CARNET DE SOUDURE'!$L$7:$L$3006,0)),IFERROR(INDEX('CARNET DE SOUDURE'!$D$7:$D$3006,MATCH(B855,'CARNET DE SOUDURE'!$O$7:$O$3006,0)),"")))</f>
        <v>17</v>
      </c>
      <c r="M855" s="82" t="str">
        <f aca="false">IF(B855="","",IF(OR(J855&lt;&gt;"",K855&lt;&gt;""),"POSÉ EN LIGNE",IF(COUNTIF(BARDAGE!$C$1:$C$5000,B855)&gt;0,"BARDÉ","EN STOCK")))</f>
        <v>POSÉ EN LIGNE</v>
      </c>
      <c r="N855" s="80"/>
    </row>
    <row r="856" customFormat="false" ht="15" hidden="false" customHeight="false" outlineLevel="0" collapsed="false">
      <c r="A856" s="82" t="n">
        <f aca="false">IF(B856="","",ROW()-6)</f>
        <v>850</v>
      </c>
      <c r="B856" s="145" t="n">
        <v>9097450</v>
      </c>
      <c r="C856" s="146" t="n">
        <v>15421112</v>
      </c>
      <c r="D856" s="146"/>
      <c r="E856" s="82" t="str">
        <f aca="false">IF(B856="","",IF(COUNTIFS('CARNET DE SOUDURE'!$L$7:$L$3006,B856,'CARNET DE SOUDURE'!$M$7:$M$3006,"&lt;&gt;"&amp;C856,'CARNET DE SOUDURE'!$M$7:$M$3006,"&lt;&gt;")+COUNTIFS('CARNET DE SOUDURE'!$O$7:$O$3006,B856,'CARNET DE SOUDURE'!$P$7:$P$3006,"&lt;&gt;"&amp;C856,'CARNET DE SOUDURE'!$P$7:$P$3006,"&lt;&gt;")&gt;0,"⚠ DIFFÉRENTE","OK"))</f>
        <v>OK</v>
      </c>
      <c r="F856" s="147" t="n">
        <v>11.94</v>
      </c>
      <c r="G856" s="80"/>
      <c r="H856" s="83"/>
      <c r="I856" s="148" t="str">
        <f aca="false">IF(B856="","",IFERROR(INDEX('CARNET DE SOUDURE'!$B$7:$B$3006,MATCH(B856,'CARNET DE SOUDURE'!$L$7:$L$3006,0)),IFERROR(INDEX('CARNET DE SOUDURE'!$B$7:$B$3006,MATCH(B856,'CARNET DE SOUDURE'!$O$7:$O$3006,0)),"")))</f>
        <v>MFD-ISW → MFD-CPF</v>
      </c>
      <c r="J856" s="82" t="str">
        <f aca="false">IF(B856="","",IFERROR(INDEX('CARNET DE SOUDURE'!$E$7:$E$3006,MATCH(B856,'CARNET DE SOUDURE'!$O$7:$O$3006,0)),""))</f>
        <v/>
      </c>
      <c r="K856" s="82" t="str">
        <f aca="false">IF(B856="","",IFERROR(INDEX('CARNET DE SOUDURE'!$E$7:$E$3006,MATCH(B856,'CARNET DE SOUDURE'!$L$7:$L$3006,0)),""))</f>
        <v>JN°1450</v>
      </c>
      <c r="L856" s="82" t="n">
        <f aca="false">IF(B856="","",IFERROR(INDEX('CARNET DE SOUDURE'!$D$7:$D$3006,MATCH(B856,'CARNET DE SOUDURE'!$L$7:$L$3006,0)),IFERROR(INDEX('CARNET DE SOUDURE'!$D$7:$D$3006,MATCH(B856,'CARNET DE SOUDURE'!$O$7:$O$3006,0)),"")))</f>
        <v>17</v>
      </c>
      <c r="M856" s="82" t="str">
        <f aca="false">IF(B856="","",IF(OR(J856&lt;&gt;"",K856&lt;&gt;""),"POSÉ EN LIGNE",IF(COUNTIF(BARDAGE!$C$1:$C$5000,B856)&gt;0,"BARDÉ","EN STOCK")))</f>
        <v>POSÉ EN LIGNE</v>
      </c>
      <c r="N856" s="80"/>
    </row>
    <row r="857" customFormat="false" ht="15" hidden="false" customHeight="false" outlineLevel="0" collapsed="false">
      <c r="A857" s="82" t="n">
        <f aca="false">IF(B857="","",ROW()-6)</f>
        <v>851</v>
      </c>
      <c r="B857" s="145" t="n">
        <v>2085470</v>
      </c>
      <c r="C857" s="146" t="n">
        <v>15421107</v>
      </c>
      <c r="D857" s="146"/>
      <c r="E857" s="82" t="str">
        <f aca="false">IF(B857="","",IF(COUNTIFS('CARNET DE SOUDURE'!$L$7:$L$3006,B857,'CARNET DE SOUDURE'!$M$7:$M$3006,"&lt;&gt;"&amp;C857,'CARNET DE SOUDURE'!$M$7:$M$3006,"&lt;&gt;")+COUNTIFS('CARNET DE SOUDURE'!$O$7:$O$3006,B857,'CARNET DE SOUDURE'!$P$7:$P$3006,"&lt;&gt;"&amp;C857,'CARNET DE SOUDURE'!$P$7:$P$3006,"&lt;&gt;")&gt;0,"⚠ DIFFÉRENTE","OK"))</f>
        <v>OK</v>
      </c>
      <c r="F857" s="147" t="n">
        <v>11.94</v>
      </c>
      <c r="G857" s="80"/>
      <c r="H857" s="83"/>
      <c r="I857" s="148" t="str">
        <f aca="false">IF(B857="","",IFERROR(INDEX('CARNET DE SOUDURE'!$B$7:$B$3006,MATCH(B857,'CARNET DE SOUDURE'!$L$7:$L$3006,0)),IFERROR(INDEX('CARNET DE SOUDURE'!$B$7:$B$3006,MATCH(B857,'CARNET DE SOUDURE'!$O$7:$O$3006,0)),"")))</f>
        <v>MFD-ISW → MFD-CPF</v>
      </c>
      <c r="J857" s="82" t="str">
        <f aca="false">IF(B857="","",IFERROR(INDEX('CARNET DE SOUDURE'!$E$7:$E$3006,MATCH(B857,'CARNET DE SOUDURE'!$O$7:$O$3006,0)),""))</f>
        <v>JN°1450</v>
      </c>
      <c r="K857" s="82" t="str">
        <f aca="false">IF(B857="","",IFERROR(INDEX('CARNET DE SOUDURE'!$E$7:$E$3006,MATCH(B857,'CARNET DE SOUDURE'!$L$7:$L$3006,0)),""))</f>
        <v>JN°1839</v>
      </c>
      <c r="L857" s="82" t="n">
        <f aca="false">IF(B857="","",IFERROR(INDEX('CARNET DE SOUDURE'!$D$7:$D$3006,MATCH(B857,'CARNET DE SOUDURE'!$L$7:$L$3006,0)),IFERROR(INDEX('CARNET DE SOUDURE'!$D$7:$D$3006,MATCH(B857,'CARNET DE SOUDURE'!$O$7:$O$3006,0)),"")))</f>
        <v>23</v>
      </c>
      <c r="M857" s="82" t="str">
        <f aca="false">IF(B857="","",IF(OR(J857&lt;&gt;"",K857&lt;&gt;""),"POSÉ EN LIGNE",IF(COUNTIF(BARDAGE!$C$1:$C$5000,B857)&gt;0,"BARDÉ","EN STOCK")))</f>
        <v>POSÉ EN LIGNE</v>
      </c>
      <c r="N857" s="80"/>
    </row>
    <row r="858" customFormat="false" ht="15" hidden="false" customHeight="false" outlineLevel="0" collapsed="false">
      <c r="A858" s="82" t="n">
        <f aca="false">IF(B858="","",ROW()-6)</f>
        <v>852</v>
      </c>
      <c r="B858" s="145" t="n">
        <v>2080860</v>
      </c>
      <c r="C858" s="146" t="n">
        <v>15421103</v>
      </c>
      <c r="D858" s="146"/>
      <c r="E858" s="82" t="str">
        <f aca="false">IF(B858="","",IF(COUNTIFS('CARNET DE SOUDURE'!$L$7:$L$3006,B858,'CARNET DE SOUDURE'!$M$7:$M$3006,"&lt;&gt;"&amp;C858,'CARNET DE SOUDURE'!$M$7:$M$3006,"&lt;&gt;")+COUNTIFS('CARNET DE SOUDURE'!$O$7:$O$3006,B858,'CARNET DE SOUDURE'!$P$7:$P$3006,"&lt;&gt;"&amp;C858,'CARNET DE SOUDURE'!$P$7:$P$3006,"&lt;&gt;")&gt;0,"⚠ DIFFÉRENTE","OK"))</f>
        <v>OK</v>
      </c>
      <c r="F858" s="147" t="n">
        <v>11.94</v>
      </c>
      <c r="G858" s="80"/>
      <c r="H858" s="83"/>
      <c r="I858" s="148" t="str">
        <f aca="false">IF(B858="","",IFERROR(INDEX('CARNET DE SOUDURE'!$B$7:$B$3006,MATCH(B858,'CARNET DE SOUDURE'!$L$7:$L$3006,0)),IFERROR(INDEX('CARNET DE SOUDURE'!$B$7:$B$3006,MATCH(B858,'CARNET DE SOUDURE'!$O$7:$O$3006,0)),"")))</f>
        <v>MFD-ISW → MFD-CPF</v>
      </c>
      <c r="J858" s="82" t="str">
        <f aca="false">IF(B858="","",IFERROR(INDEX('CARNET DE SOUDURE'!$E$7:$E$3006,MATCH(B858,'CARNET DE SOUDURE'!$O$7:$O$3006,0)),""))</f>
        <v/>
      </c>
      <c r="K858" s="82" t="str">
        <f aca="false">IF(B858="","",IFERROR(INDEX('CARNET DE SOUDURE'!$E$7:$E$3006,MATCH(B858,'CARNET DE SOUDURE'!$L$7:$L$3006,0)),""))</f>
        <v>JN°1451</v>
      </c>
      <c r="L858" s="82" t="n">
        <f aca="false">IF(B858="","",IFERROR(INDEX('CARNET DE SOUDURE'!$D$7:$D$3006,MATCH(B858,'CARNET DE SOUDURE'!$L$7:$L$3006,0)),IFERROR(INDEX('CARNET DE SOUDURE'!$D$7:$D$3006,MATCH(B858,'CARNET DE SOUDURE'!$O$7:$O$3006,0)),"")))</f>
        <v>17</v>
      </c>
      <c r="M858" s="82" t="str">
        <f aca="false">IF(B858="","",IF(OR(J858&lt;&gt;"",K858&lt;&gt;""),"POSÉ EN LIGNE",IF(COUNTIF(BARDAGE!$C$1:$C$5000,B858)&gt;0,"BARDÉ","EN STOCK")))</f>
        <v>POSÉ EN LIGNE</v>
      </c>
      <c r="N858" s="80"/>
    </row>
    <row r="859" customFormat="false" ht="15" hidden="false" customHeight="false" outlineLevel="0" collapsed="false">
      <c r="A859" s="82" t="n">
        <f aca="false">IF(B859="","",ROW()-6)</f>
        <v>853</v>
      </c>
      <c r="B859" s="145" t="n">
        <v>2089360</v>
      </c>
      <c r="C859" s="146" t="n">
        <v>15421108</v>
      </c>
      <c r="D859" s="146"/>
      <c r="E859" s="82" t="str">
        <f aca="false">IF(B859="","",IF(COUNTIFS('CARNET DE SOUDURE'!$L$7:$L$3006,B859,'CARNET DE SOUDURE'!$M$7:$M$3006,"&lt;&gt;"&amp;C859,'CARNET DE SOUDURE'!$M$7:$M$3006,"&lt;&gt;")+COUNTIFS('CARNET DE SOUDURE'!$O$7:$O$3006,B859,'CARNET DE SOUDURE'!$P$7:$P$3006,"&lt;&gt;"&amp;C859,'CARNET DE SOUDURE'!$P$7:$P$3006,"&lt;&gt;")&gt;0,"⚠ DIFFÉRENTE","OK"))</f>
        <v>OK</v>
      </c>
      <c r="F859" s="147" t="n">
        <v>11.94</v>
      </c>
      <c r="G859" s="80"/>
      <c r="H859" s="83"/>
      <c r="I859" s="148" t="str">
        <f aca="false">IF(B859="","",IFERROR(INDEX('CARNET DE SOUDURE'!$B$7:$B$3006,MATCH(B859,'CARNET DE SOUDURE'!$L$7:$L$3006,0)),IFERROR(INDEX('CARNET DE SOUDURE'!$B$7:$B$3006,MATCH(B859,'CARNET DE SOUDURE'!$O$7:$O$3006,0)),"")))</f>
        <v>MFD-ISW → MFD-CPF</v>
      </c>
      <c r="J859" s="82" t="str">
        <f aca="false">IF(B859="","",IFERROR(INDEX('CARNET DE SOUDURE'!$E$7:$E$3006,MATCH(B859,'CARNET DE SOUDURE'!$O$7:$O$3006,0)),""))</f>
        <v>JN°1451</v>
      </c>
      <c r="K859" s="82" t="str">
        <f aca="false">IF(B859="","",IFERROR(INDEX('CARNET DE SOUDURE'!$E$7:$E$3006,MATCH(B859,'CARNET DE SOUDURE'!$L$7:$L$3006,0)),""))</f>
        <v/>
      </c>
      <c r="L859" s="82" t="n">
        <f aca="false">IF(B859="","",IFERROR(INDEX('CARNET DE SOUDURE'!$D$7:$D$3006,MATCH(B859,'CARNET DE SOUDURE'!$L$7:$L$3006,0)),IFERROR(INDEX('CARNET DE SOUDURE'!$D$7:$D$3006,MATCH(B859,'CARNET DE SOUDURE'!$O$7:$O$3006,0)),"")))</f>
        <v>17</v>
      </c>
      <c r="M859" s="82" t="str">
        <f aca="false">IF(B859="","",IF(OR(J859&lt;&gt;"",K859&lt;&gt;""),"POSÉ EN LIGNE",IF(COUNTIF(BARDAGE!$C$1:$C$5000,B859)&gt;0,"BARDÉ","EN STOCK")))</f>
        <v>POSÉ EN LIGNE</v>
      </c>
      <c r="N859" s="80"/>
    </row>
    <row r="860" customFormat="false" ht="15" hidden="false" customHeight="false" outlineLevel="0" collapsed="false">
      <c r="A860" s="82" t="n">
        <f aca="false">IF(B860="","",ROW()-6)</f>
        <v>854</v>
      </c>
      <c r="B860" s="145" t="n">
        <v>2090580</v>
      </c>
      <c r="C860" s="146" t="n">
        <v>15421109</v>
      </c>
      <c r="D860" s="146"/>
      <c r="E860" s="82" t="str">
        <f aca="false">IF(B860="","",IF(COUNTIFS('CARNET DE SOUDURE'!$L$7:$L$3006,B860,'CARNET DE SOUDURE'!$M$7:$M$3006,"&lt;&gt;"&amp;C860,'CARNET DE SOUDURE'!$M$7:$M$3006,"&lt;&gt;")+COUNTIFS('CARNET DE SOUDURE'!$O$7:$O$3006,B860,'CARNET DE SOUDURE'!$P$7:$P$3006,"&lt;&gt;"&amp;C860,'CARNET DE SOUDURE'!$P$7:$P$3006,"&lt;&gt;")&gt;0,"⚠ DIFFÉRENTE","OK"))</f>
        <v>OK</v>
      </c>
      <c r="F860" s="147" t="n">
        <v>11.94</v>
      </c>
      <c r="G860" s="80"/>
      <c r="H860" s="83"/>
      <c r="I860" s="148" t="str">
        <f aca="false">IF(B860="","",IFERROR(INDEX('CARNET DE SOUDURE'!$B$7:$B$3006,MATCH(B860,'CARNET DE SOUDURE'!$L$7:$L$3006,0)),IFERROR(INDEX('CARNET DE SOUDURE'!$B$7:$B$3006,MATCH(B860,'CARNET DE SOUDURE'!$O$7:$O$3006,0)),"")))</f>
        <v>MFD-ISW → MFD-CPF</v>
      </c>
      <c r="J860" s="82" t="str">
        <f aca="false">IF(B860="","",IFERROR(INDEX('CARNET DE SOUDURE'!$E$7:$E$3006,MATCH(B860,'CARNET DE SOUDURE'!$O$7:$O$3006,0)),""))</f>
        <v/>
      </c>
      <c r="K860" s="82" t="str">
        <f aca="false">IF(B860="","",IFERROR(INDEX('CARNET DE SOUDURE'!$E$7:$E$3006,MATCH(B860,'CARNET DE SOUDURE'!$L$7:$L$3006,0)),""))</f>
        <v>JN°1452</v>
      </c>
      <c r="L860" s="82" t="n">
        <f aca="false">IF(B860="","",IFERROR(INDEX('CARNET DE SOUDURE'!$D$7:$D$3006,MATCH(B860,'CARNET DE SOUDURE'!$L$7:$L$3006,0)),IFERROR(INDEX('CARNET DE SOUDURE'!$D$7:$D$3006,MATCH(B860,'CARNET DE SOUDURE'!$O$7:$O$3006,0)),"")))</f>
        <v>17</v>
      </c>
      <c r="M860" s="82" t="str">
        <f aca="false">IF(B860="","",IF(OR(J860&lt;&gt;"",K860&lt;&gt;""),"POSÉ EN LIGNE",IF(COUNTIF(BARDAGE!$C$1:$C$5000,B860)&gt;0,"BARDÉ","EN STOCK")))</f>
        <v>POSÉ EN LIGNE</v>
      </c>
      <c r="N860" s="80"/>
    </row>
    <row r="861" customFormat="false" ht="15" hidden="false" customHeight="false" outlineLevel="0" collapsed="false">
      <c r="A861" s="82" t="n">
        <f aca="false">IF(B861="","",ROW()-6)</f>
        <v>855</v>
      </c>
      <c r="B861" s="145" t="n">
        <v>2098480</v>
      </c>
      <c r="C861" s="146" t="n">
        <v>15421112</v>
      </c>
      <c r="D861" s="146"/>
      <c r="E861" s="82" t="str">
        <f aca="false">IF(B861="","",IF(COUNTIFS('CARNET DE SOUDURE'!$L$7:$L$3006,B861,'CARNET DE SOUDURE'!$M$7:$M$3006,"&lt;&gt;"&amp;C861,'CARNET DE SOUDURE'!$M$7:$M$3006,"&lt;&gt;")+COUNTIFS('CARNET DE SOUDURE'!$O$7:$O$3006,B861,'CARNET DE SOUDURE'!$P$7:$P$3006,"&lt;&gt;"&amp;C861,'CARNET DE SOUDURE'!$P$7:$P$3006,"&lt;&gt;")&gt;0,"⚠ DIFFÉRENTE","OK"))</f>
        <v>OK</v>
      </c>
      <c r="F861" s="147" t="n">
        <v>11.94</v>
      </c>
      <c r="G861" s="80"/>
      <c r="H861" s="83"/>
      <c r="I861" s="148" t="str">
        <f aca="false">IF(B861="","",IFERROR(INDEX('CARNET DE SOUDURE'!$B$7:$B$3006,MATCH(B861,'CARNET DE SOUDURE'!$L$7:$L$3006,0)),IFERROR(INDEX('CARNET DE SOUDURE'!$B$7:$B$3006,MATCH(B861,'CARNET DE SOUDURE'!$O$7:$O$3006,0)),"")))</f>
        <v>MFD-ISW → MFD-CPF</v>
      </c>
      <c r="J861" s="82" t="str">
        <f aca="false">IF(B861="","",IFERROR(INDEX('CARNET DE SOUDURE'!$E$7:$E$3006,MATCH(B861,'CARNET DE SOUDURE'!$O$7:$O$3006,0)),""))</f>
        <v>JN°1452</v>
      </c>
      <c r="K861" s="82" t="str">
        <f aca="false">IF(B861="","",IFERROR(INDEX('CARNET DE SOUDURE'!$E$7:$E$3006,MATCH(B861,'CARNET DE SOUDURE'!$L$7:$L$3006,0)),""))</f>
        <v/>
      </c>
      <c r="L861" s="82" t="n">
        <f aca="false">IF(B861="","",IFERROR(INDEX('CARNET DE SOUDURE'!$D$7:$D$3006,MATCH(B861,'CARNET DE SOUDURE'!$L$7:$L$3006,0)),IFERROR(INDEX('CARNET DE SOUDURE'!$D$7:$D$3006,MATCH(B861,'CARNET DE SOUDURE'!$O$7:$O$3006,0)),"")))</f>
        <v>17</v>
      </c>
      <c r="M861" s="82" t="str">
        <f aca="false">IF(B861="","",IF(OR(J861&lt;&gt;"",K861&lt;&gt;""),"POSÉ EN LIGNE",IF(COUNTIF(BARDAGE!$C$1:$C$5000,B861)&gt;0,"BARDÉ","EN STOCK")))</f>
        <v>POSÉ EN LIGNE</v>
      </c>
      <c r="N861" s="80"/>
    </row>
    <row r="862" customFormat="false" ht="15" hidden="false" customHeight="false" outlineLevel="0" collapsed="false">
      <c r="A862" s="82" t="n">
        <f aca="false">IF(B862="","",ROW()-6)</f>
        <v>856</v>
      </c>
      <c r="B862" s="145" t="n">
        <v>2086750</v>
      </c>
      <c r="C862" s="146" t="n">
        <v>15421107</v>
      </c>
      <c r="D862" s="146"/>
      <c r="E862" s="82" t="str">
        <f aca="false">IF(B862="","",IF(COUNTIFS('CARNET DE SOUDURE'!$L$7:$L$3006,B862,'CARNET DE SOUDURE'!$M$7:$M$3006,"&lt;&gt;"&amp;C862,'CARNET DE SOUDURE'!$M$7:$M$3006,"&lt;&gt;")+COUNTIFS('CARNET DE SOUDURE'!$O$7:$O$3006,B862,'CARNET DE SOUDURE'!$P$7:$P$3006,"&lt;&gt;"&amp;C862,'CARNET DE SOUDURE'!$P$7:$P$3006,"&lt;&gt;")&gt;0,"⚠ DIFFÉRENTE","OK"))</f>
        <v>OK</v>
      </c>
      <c r="F862" s="147" t="n">
        <v>11.94</v>
      </c>
      <c r="G862" s="80"/>
      <c r="H862" s="83"/>
      <c r="I862" s="148" t="str">
        <f aca="false">IF(B862="","",IFERROR(INDEX('CARNET DE SOUDURE'!$B$7:$B$3006,MATCH(B862,'CARNET DE SOUDURE'!$L$7:$L$3006,0)),IFERROR(INDEX('CARNET DE SOUDURE'!$B$7:$B$3006,MATCH(B862,'CARNET DE SOUDURE'!$O$7:$O$3006,0)),"")))</f>
        <v>MFD-ISW → MFD-CPF</v>
      </c>
      <c r="J862" s="82" t="str">
        <f aca="false">IF(B862="","",IFERROR(INDEX('CARNET DE SOUDURE'!$E$7:$E$3006,MATCH(B862,'CARNET DE SOUDURE'!$O$7:$O$3006,0)),""))</f>
        <v/>
      </c>
      <c r="K862" s="82" t="str">
        <f aca="false">IF(B862="","",IFERROR(INDEX('CARNET DE SOUDURE'!$E$7:$E$3006,MATCH(B862,'CARNET DE SOUDURE'!$L$7:$L$3006,0)),""))</f>
        <v>JN°1453</v>
      </c>
      <c r="L862" s="82" t="n">
        <f aca="false">IF(B862="","",IFERROR(INDEX('CARNET DE SOUDURE'!$D$7:$D$3006,MATCH(B862,'CARNET DE SOUDURE'!$L$7:$L$3006,0)),IFERROR(INDEX('CARNET DE SOUDURE'!$D$7:$D$3006,MATCH(B862,'CARNET DE SOUDURE'!$O$7:$O$3006,0)),"")))</f>
        <v>17</v>
      </c>
      <c r="M862" s="82" t="str">
        <f aca="false">IF(B862="","",IF(OR(J862&lt;&gt;"",K862&lt;&gt;""),"POSÉ EN LIGNE",IF(COUNTIF(BARDAGE!$C$1:$C$5000,B862)&gt;0,"BARDÉ","EN STOCK")))</f>
        <v>POSÉ EN LIGNE</v>
      </c>
      <c r="N862" s="80"/>
    </row>
    <row r="863" customFormat="false" ht="15" hidden="false" customHeight="false" outlineLevel="0" collapsed="false">
      <c r="A863" s="82" t="n">
        <f aca="false">IF(B863="","",ROW()-6)</f>
        <v>857</v>
      </c>
      <c r="B863" s="145" t="n">
        <v>2083760</v>
      </c>
      <c r="C863" s="146" t="n">
        <v>15421105</v>
      </c>
      <c r="D863" s="146"/>
      <c r="E863" s="82" t="str">
        <f aca="false">IF(B863="","",IF(COUNTIFS('CARNET DE SOUDURE'!$L$7:$L$3006,B863,'CARNET DE SOUDURE'!$M$7:$M$3006,"&lt;&gt;"&amp;C863,'CARNET DE SOUDURE'!$M$7:$M$3006,"&lt;&gt;")+COUNTIFS('CARNET DE SOUDURE'!$O$7:$O$3006,B863,'CARNET DE SOUDURE'!$P$7:$P$3006,"&lt;&gt;"&amp;C863,'CARNET DE SOUDURE'!$P$7:$P$3006,"&lt;&gt;")&gt;0,"⚠ DIFFÉRENTE","OK"))</f>
        <v>OK</v>
      </c>
      <c r="F863" s="147" t="n">
        <v>11.94</v>
      </c>
      <c r="G863" s="80"/>
      <c r="H863" s="83"/>
      <c r="I863" s="148" t="str">
        <f aca="false">IF(B863="","",IFERROR(INDEX('CARNET DE SOUDURE'!$B$7:$B$3006,MATCH(B863,'CARNET DE SOUDURE'!$L$7:$L$3006,0)),IFERROR(INDEX('CARNET DE SOUDURE'!$B$7:$B$3006,MATCH(B863,'CARNET DE SOUDURE'!$O$7:$O$3006,0)),"")))</f>
        <v>MFD-ISW → MFD-CPF</v>
      </c>
      <c r="J863" s="82" t="str">
        <f aca="false">IF(B863="","",IFERROR(INDEX('CARNET DE SOUDURE'!$E$7:$E$3006,MATCH(B863,'CARNET DE SOUDURE'!$O$7:$O$3006,0)),""))</f>
        <v>JN°1453</v>
      </c>
      <c r="K863" s="82" t="str">
        <f aca="false">IF(B863="","",IFERROR(INDEX('CARNET DE SOUDURE'!$E$7:$E$3006,MATCH(B863,'CARNET DE SOUDURE'!$L$7:$L$3006,0)),""))</f>
        <v/>
      </c>
      <c r="L863" s="82" t="n">
        <f aca="false">IF(B863="","",IFERROR(INDEX('CARNET DE SOUDURE'!$D$7:$D$3006,MATCH(B863,'CARNET DE SOUDURE'!$L$7:$L$3006,0)),IFERROR(INDEX('CARNET DE SOUDURE'!$D$7:$D$3006,MATCH(B863,'CARNET DE SOUDURE'!$O$7:$O$3006,0)),"")))</f>
        <v>17</v>
      </c>
      <c r="M863" s="82" t="str">
        <f aca="false">IF(B863="","",IF(OR(J863&lt;&gt;"",K863&lt;&gt;""),"POSÉ EN LIGNE",IF(COUNTIF(BARDAGE!$C$1:$C$5000,B863)&gt;0,"BARDÉ","EN STOCK")))</f>
        <v>POSÉ EN LIGNE</v>
      </c>
      <c r="N863" s="80"/>
    </row>
    <row r="864" customFormat="false" ht="15" hidden="false" customHeight="false" outlineLevel="0" collapsed="false">
      <c r="A864" s="82" t="n">
        <f aca="false">IF(B864="","",ROW()-6)</f>
        <v>858</v>
      </c>
      <c r="B864" s="145" t="n">
        <v>2097100</v>
      </c>
      <c r="C864" s="146" t="n">
        <v>15421112</v>
      </c>
      <c r="D864" s="146"/>
      <c r="E864" s="82" t="str">
        <f aca="false">IF(B864="","",IF(COUNTIFS('CARNET DE SOUDURE'!$L$7:$L$3006,B864,'CARNET DE SOUDURE'!$M$7:$M$3006,"&lt;&gt;"&amp;C864,'CARNET DE SOUDURE'!$M$7:$M$3006,"&lt;&gt;")+COUNTIFS('CARNET DE SOUDURE'!$O$7:$O$3006,B864,'CARNET DE SOUDURE'!$P$7:$P$3006,"&lt;&gt;"&amp;C864,'CARNET DE SOUDURE'!$P$7:$P$3006,"&lt;&gt;")&gt;0,"⚠ DIFFÉRENTE","OK"))</f>
        <v>OK</v>
      </c>
      <c r="F864" s="147" t="n">
        <v>11.94</v>
      </c>
      <c r="G864" s="80"/>
      <c r="H864" s="83"/>
      <c r="I864" s="148" t="str">
        <f aca="false">IF(B864="","",IFERROR(INDEX('CARNET DE SOUDURE'!$B$7:$B$3006,MATCH(B864,'CARNET DE SOUDURE'!$L$7:$L$3006,0)),IFERROR(INDEX('CARNET DE SOUDURE'!$B$7:$B$3006,MATCH(B864,'CARNET DE SOUDURE'!$O$7:$O$3006,0)),"")))</f>
        <v>MFD-ISW → MFD-CPF</v>
      </c>
      <c r="J864" s="82" t="str">
        <f aca="false">IF(B864="","",IFERROR(INDEX('CARNET DE SOUDURE'!$E$7:$E$3006,MATCH(B864,'CARNET DE SOUDURE'!$O$7:$O$3006,0)),""))</f>
        <v/>
      </c>
      <c r="K864" s="82" t="str">
        <f aca="false">IF(B864="","",IFERROR(INDEX('CARNET DE SOUDURE'!$E$7:$E$3006,MATCH(B864,'CARNET DE SOUDURE'!$L$7:$L$3006,0)),""))</f>
        <v>JN°1454</v>
      </c>
      <c r="L864" s="82" t="n">
        <f aca="false">IF(B864="","",IFERROR(INDEX('CARNET DE SOUDURE'!$D$7:$D$3006,MATCH(B864,'CARNET DE SOUDURE'!$L$7:$L$3006,0)),IFERROR(INDEX('CARNET DE SOUDURE'!$D$7:$D$3006,MATCH(B864,'CARNET DE SOUDURE'!$O$7:$O$3006,0)),"")))</f>
        <v>17</v>
      </c>
      <c r="M864" s="82" t="str">
        <f aca="false">IF(B864="","",IF(OR(J864&lt;&gt;"",K864&lt;&gt;""),"POSÉ EN LIGNE",IF(COUNTIF(BARDAGE!$C$1:$C$5000,B864)&gt;0,"BARDÉ","EN STOCK")))</f>
        <v>POSÉ EN LIGNE</v>
      </c>
      <c r="N864" s="80"/>
    </row>
    <row r="865" customFormat="false" ht="15" hidden="false" customHeight="false" outlineLevel="0" collapsed="false">
      <c r="A865" s="82" t="n">
        <f aca="false">IF(B865="","",ROW()-6)</f>
        <v>859</v>
      </c>
      <c r="B865" s="145" t="n">
        <v>2089430</v>
      </c>
      <c r="C865" s="146" t="n">
        <v>15421109</v>
      </c>
      <c r="D865" s="146"/>
      <c r="E865" s="82" t="str">
        <f aca="false">IF(B865="","",IF(COUNTIFS('CARNET DE SOUDURE'!$L$7:$L$3006,B865,'CARNET DE SOUDURE'!$M$7:$M$3006,"&lt;&gt;"&amp;C865,'CARNET DE SOUDURE'!$M$7:$M$3006,"&lt;&gt;")+COUNTIFS('CARNET DE SOUDURE'!$O$7:$O$3006,B865,'CARNET DE SOUDURE'!$P$7:$P$3006,"&lt;&gt;"&amp;C865,'CARNET DE SOUDURE'!$P$7:$P$3006,"&lt;&gt;")&gt;0,"⚠ DIFFÉRENTE","OK"))</f>
        <v>OK</v>
      </c>
      <c r="F865" s="147" t="n">
        <v>11.94</v>
      </c>
      <c r="G865" s="80"/>
      <c r="H865" s="83"/>
      <c r="I865" s="148" t="str">
        <f aca="false">IF(B865="","",IFERROR(INDEX('CARNET DE SOUDURE'!$B$7:$B$3006,MATCH(B865,'CARNET DE SOUDURE'!$L$7:$L$3006,0)),IFERROR(INDEX('CARNET DE SOUDURE'!$B$7:$B$3006,MATCH(B865,'CARNET DE SOUDURE'!$O$7:$O$3006,0)),"")))</f>
        <v>MFD-ISW → MFD-CPF</v>
      </c>
      <c r="J865" s="82" t="str">
        <f aca="false">IF(B865="","",IFERROR(INDEX('CARNET DE SOUDURE'!$E$7:$E$3006,MATCH(B865,'CARNET DE SOUDURE'!$O$7:$O$3006,0)),""))</f>
        <v>JN°1454</v>
      </c>
      <c r="K865" s="82" t="str">
        <f aca="false">IF(B865="","",IFERROR(INDEX('CARNET DE SOUDURE'!$E$7:$E$3006,MATCH(B865,'CARNET DE SOUDURE'!$L$7:$L$3006,0)),""))</f>
        <v/>
      </c>
      <c r="L865" s="82" t="n">
        <f aca="false">IF(B865="","",IFERROR(INDEX('CARNET DE SOUDURE'!$D$7:$D$3006,MATCH(B865,'CARNET DE SOUDURE'!$L$7:$L$3006,0)),IFERROR(INDEX('CARNET DE SOUDURE'!$D$7:$D$3006,MATCH(B865,'CARNET DE SOUDURE'!$O$7:$O$3006,0)),"")))</f>
        <v>17</v>
      </c>
      <c r="M865" s="82" t="str">
        <f aca="false">IF(B865="","",IF(OR(J865&lt;&gt;"",K865&lt;&gt;""),"POSÉ EN LIGNE",IF(COUNTIF(BARDAGE!$C$1:$C$5000,B865)&gt;0,"BARDÉ","EN STOCK")))</f>
        <v>POSÉ EN LIGNE</v>
      </c>
      <c r="N865" s="80"/>
    </row>
    <row r="866" customFormat="false" ht="15" hidden="false" customHeight="false" outlineLevel="0" collapsed="false">
      <c r="A866" s="82" t="n">
        <f aca="false">IF(B866="","",ROW()-6)</f>
        <v>860</v>
      </c>
      <c r="B866" s="145" t="n">
        <v>2084090</v>
      </c>
      <c r="C866" s="146" t="n">
        <v>15421106</v>
      </c>
      <c r="D866" s="146"/>
      <c r="E866" s="82" t="str">
        <f aca="false">IF(B866="","",IF(COUNTIFS('CARNET DE SOUDURE'!$L$7:$L$3006,B866,'CARNET DE SOUDURE'!$M$7:$M$3006,"&lt;&gt;"&amp;C866,'CARNET DE SOUDURE'!$M$7:$M$3006,"&lt;&gt;")+COUNTIFS('CARNET DE SOUDURE'!$O$7:$O$3006,B866,'CARNET DE SOUDURE'!$P$7:$P$3006,"&lt;&gt;"&amp;C866,'CARNET DE SOUDURE'!$P$7:$P$3006,"&lt;&gt;")&gt;0,"⚠ DIFFÉRENTE","OK"))</f>
        <v>OK</v>
      </c>
      <c r="F866" s="147" t="n">
        <v>11.94</v>
      </c>
      <c r="G866" s="80"/>
      <c r="H866" s="83"/>
      <c r="I866" s="148" t="str">
        <f aca="false">IF(B866="","",IFERROR(INDEX('CARNET DE SOUDURE'!$B$7:$B$3006,MATCH(B866,'CARNET DE SOUDURE'!$L$7:$L$3006,0)),IFERROR(INDEX('CARNET DE SOUDURE'!$B$7:$B$3006,MATCH(B866,'CARNET DE SOUDURE'!$O$7:$O$3006,0)),"")))</f>
        <v>MFD-ISW → MFD-CPF</v>
      </c>
      <c r="J866" s="82" t="str">
        <f aca="false">IF(B866="","",IFERROR(INDEX('CARNET DE SOUDURE'!$E$7:$E$3006,MATCH(B866,'CARNET DE SOUDURE'!$O$7:$O$3006,0)),""))</f>
        <v/>
      </c>
      <c r="K866" s="82" t="str">
        <f aca="false">IF(B866="","",IFERROR(INDEX('CARNET DE SOUDURE'!$E$7:$E$3006,MATCH(B866,'CARNET DE SOUDURE'!$L$7:$L$3006,0)),""))</f>
        <v>JN°1455</v>
      </c>
      <c r="L866" s="82" t="n">
        <f aca="false">IF(B866="","",IFERROR(INDEX('CARNET DE SOUDURE'!$D$7:$D$3006,MATCH(B866,'CARNET DE SOUDURE'!$L$7:$L$3006,0)),IFERROR(INDEX('CARNET DE SOUDURE'!$D$7:$D$3006,MATCH(B866,'CARNET DE SOUDURE'!$O$7:$O$3006,0)),"")))</f>
        <v>17</v>
      </c>
      <c r="M866" s="82" t="str">
        <f aca="false">IF(B866="","",IF(OR(J866&lt;&gt;"",K866&lt;&gt;""),"POSÉ EN LIGNE",IF(COUNTIF(BARDAGE!$C$1:$C$5000,B866)&gt;0,"BARDÉ","EN STOCK")))</f>
        <v>POSÉ EN LIGNE</v>
      </c>
      <c r="N866" s="80"/>
    </row>
    <row r="867" customFormat="false" ht="15" hidden="false" customHeight="false" outlineLevel="0" collapsed="false">
      <c r="A867" s="82" t="n">
        <f aca="false">IF(B867="","",ROW()-6)</f>
        <v>861</v>
      </c>
      <c r="B867" s="145" t="n">
        <v>2097730</v>
      </c>
      <c r="C867" s="146" t="n">
        <v>15421112</v>
      </c>
      <c r="D867" s="146"/>
      <c r="E867" s="82" t="str">
        <f aca="false">IF(B867="","",IF(COUNTIFS('CARNET DE SOUDURE'!$L$7:$L$3006,B867,'CARNET DE SOUDURE'!$M$7:$M$3006,"&lt;&gt;"&amp;C867,'CARNET DE SOUDURE'!$M$7:$M$3006,"&lt;&gt;")+COUNTIFS('CARNET DE SOUDURE'!$O$7:$O$3006,B867,'CARNET DE SOUDURE'!$P$7:$P$3006,"&lt;&gt;"&amp;C867,'CARNET DE SOUDURE'!$P$7:$P$3006,"&lt;&gt;")&gt;0,"⚠ DIFFÉRENTE","OK"))</f>
        <v>OK</v>
      </c>
      <c r="F867" s="147" t="n">
        <v>11.94</v>
      </c>
      <c r="G867" s="80"/>
      <c r="H867" s="83"/>
      <c r="I867" s="148" t="str">
        <f aca="false">IF(B867="","",IFERROR(INDEX('CARNET DE SOUDURE'!$B$7:$B$3006,MATCH(B867,'CARNET DE SOUDURE'!$L$7:$L$3006,0)),IFERROR(INDEX('CARNET DE SOUDURE'!$B$7:$B$3006,MATCH(B867,'CARNET DE SOUDURE'!$O$7:$O$3006,0)),"")))</f>
        <v>MFD-ISW → MFD-CPF</v>
      </c>
      <c r="J867" s="82" t="str">
        <f aca="false">IF(B867="","",IFERROR(INDEX('CARNET DE SOUDURE'!$E$7:$E$3006,MATCH(B867,'CARNET DE SOUDURE'!$O$7:$O$3006,0)),""))</f>
        <v>JN°1455</v>
      </c>
      <c r="K867" s="82" t="str">
        <f aca="false">IF(B867="","",IFERROR(INDEX('CARNET DE SOUDURE'!$E$7:$E$3006,MATCH(B867,'CARNET DE SOUDURE'!$L$7:$L$3006,0)),""))</f>
        <v/>
      </c>
      <c r="L867" s="82" t="n">
        <f aca="false">IF(B867="","",IFERROR(INDEX('CARNET DE SOUDURE'!$D$7:$D$3006,MATCH(B867,'CARNET DE SOUDURE'!$L$7:$L$3006,0)),IFERROR(INDEX('CARNET DE SOUDURE'!$D$7:$D$3006,MATCH(B867,'CARNET DE SOUDURE'!$O$7:$O$3006,0)),"")))</f>
        <v>17</v>
      </c>
      <c r="M867" s="82" t="str">
        <f aca="false">IF(B867="","",IF(OR(J867&lt;&gt;"",K867&lt;&gt;""),"POSÉ EN LIGNE",IF(COUNTIF(BARDAGE!$C$1:$C$5000,B867)&gt;0,"BARDÉ","EN STOCK")))</f>
        <v>POSÉ EN LIGNE</v>
      </c>
      <c r="N867" s="80"/>
    </row>
    <row r="868" customFormat="false" ht="15" hidden="false" customHeight="false" outlineLevel="0" collapsed="false">
      <c r="A868" s="82" t="n">
        <f aca="false">IF(B868="","",ROW()-6)</f>
        <v>862</v>
      </c>
      <c r="B868" s="145" t="n">
        <v>2096440</v>
      </c>
      <c r="C868" s="146" t="n">
        <v>15421111</v>
      </c>
      <c r="D868" s="146"/>
      <c r="E868" s="82" t="str">
        <f aca="false">IF(B868="","",IF(COUNTIFS('CARNET DE SOUDURE'!$L$7:$L$3006,B868,'CARNET DE SOUDURE'!$M$7:$M$3006,"&lt;&gt;"&amp;C868,'CARNET DE SOUDURE'!$M$7:$M$3006,"&lt;&gt;")+COUNTIFS('CARNET DE SOUDURE'!$O$7:$O$3006,B868,'CARNET DE SOUDURE'!$P$7:$P$3006,"&lt;&gt;"&amp;C868,'CARNET DE SOUDURE'!$P$7:$P$3006,"&lt;&gt;")&gt;0,"⚠ DIFFÉRENTE","OK"))</f>
        <v>OK</v>
      </c>
      <c r="F868" s="147" t="n">
        <v>11.94</v>
      </c>
      <c r="G868" s="80"/>
      <c r="H868" s="83"/>
      <c r="I868" s="148" t="str">
        <f aca="false">IF(B868="","",IFERROR(INDEX('CARNET DE SOUDURE'!$B$7:$B$3006,MATCH(B868,'CARNET DE SOUDURE'!$L$7:$L$3006,0)),IFERROR(INDEX('CARNET DE SOUDURE'!$B$7:$B$3006,MATCH(B868,'CARNET DE SOUDURE'!$O$7:$O$3006,0)),"")))</f>
        <v>MFD-ISW → MFD-CPF</v>
      </c>
      <c r="J868" s="82" t="str">
        <f aca="false">IF(B868="","",IFERROR(INDEX('CARNET DE SOUDURE'!$E$7:$E$3006,MATCH(B868,'CARNET DE SOUDURE'!$O$7:$O$3006,0)),""))</f>
        <v/>
      </c>
      <c r="K868" s="82" t="str">
        <f aca="false">IF(B868="","",IFERROR(INDEX('CARNET DE SOUDURE'!$E$7:$E$3006,MATCH(B868,'CARNET DE SOUDURE'!$L$7:$L$3006,0)),""))</f>
        <v>JN°1456</v>
      </c>
      <c r="L868" s="82" t="n">
        <f aca="false">IF(B868="","",IFERROR(INDEX('CARNET DE SOUDURE'!$D$7:$D$3006,MATCH(B868,'CARNET DE SOUDURE'!$L$7:$L$3006,0)),IFERROR(INDEX('CARNET DE SOUDURE'!$D$7:$D$3006,MATCH(B868,'CARNET DE SOUDURE'!$O$7:$O$3006,0)),"")))</f>
        <v>17</v>
      </c>
      <c r="M868" s="82" t="str">
        <f aca="false">IF(B868="","",IF(OR(J868&lt;&gt;"",K868&lt;&gt;""),"POSÉ EN LIGNE",IF(COUNTIF(BARDAGE!$C$1:$C$5000,B868)&gt;0,"BARDÉ","EN STOCK")))</f>
        <v>POSÉ EN LIGNE</v>
      </c>
      <c r="N868" s="80"/>
    </row>
    <row r="869" customFormat="false" ht="15" hidden="false" customHeight="false" outlineLevel="0" collapsed="false">
      <c r="A869" s="82" t="n">
        <f aca="false">IF(B869="","",ROW()-6)</f>
        <v>863</v>
      </c>
      <c r="B869" s="145" t="n">
        <v>2081760</v>
      </c>
      <c r="C869" s="146" t="n">
        <v>15421103</v>
      </c>
      <c r="D869" s="146"/>
      <c r="E869" s="82" t="str">
        <f aca="false">IF(B869="","",IF(COUNTIFS('CARNET DE SOUDURE'!$L$7:$L$3006,B869,'CARNET DE SOUDURE'!$M$7:$M$3006,"&lt;&gt;"&amp;C869,'CARNET DE SOUDURE'!$M$7:$M$3006,"&lt;&gt;")+COUNTIFS('CARNET DE SOUDURE'!$O$7:$O$3006,B869,'CARNET DE SOUDURE'!$P$7:$P$3006,"&lt;&gt;"&amp;C869,'CARNET DE SOUDURE'!$P$7:$P$3006,"&lt;&gt;")&gt;0,"⚠ DIFFÉRENTE","OK"))</f>
        <v>OK</v>
      </c>
      <c r="F869" s="147" t="n">
        <v>11.94</v>
      </c>
      <c r="G869" s="80"/>
      <c r="H869" s="83"/>
      <c r="I869" s="148" t="str">
        <f aca="false">IF(B869="","",IFERROR(INDEX('CARNET DE SOUDURE'!$B$7:$B$3006,MATCH(B869,'CARNET DE SOUDURE'!$L$7:$L$3006,0)),IFERROR(INDEX('CARNET DE SOUDURE'!$B$7:$B$3006,MATCH(B869,'CARNET DE SOUDURE'!$O$7:$O$3006,0)),"")))</f>
        <v>MFD-ISW → MFD-CPF</v>
      </c>
      <c r="J869" s="82" t="str">
        <f aca="false">IF(B869="","",IFERROR(INDEX('CARNET DE SOUDURE'!$E$7:$E$3006,MATCH(B869,'CARNET DE SOUDURE'!$O$7:$O$3006,0)),""))</f>
        <v>JN°1456</v>
      </c>
      <c r="K869" s="82" t="str">
        <f aca="false">IF(B869="","",IFERROR(INDEX('CARNET DE SOUDURE'!$E$7:$E$3006,MATCH(B869,'CARNET DE SOUDURE'!$L$7:$L$3006,0)),""))</f>
        <v/>
      </c>
      <c r="L869" s="82" t="n">
        <f aca="false">IF(B869="","",IFERROR(INDEX('CARNET DE SOUDURE'!$D$7:$D$3006,MATCH(B869,'CARNET DE SOUDURE'!$L$7:$L$3006,0)),IFERROR(INDEX('CARNET DE SOUDURE'!$D$7:$D$3006,MATCH(B869,'CARNET DE SOUDURE'!$O$7:$O$3006,0)),"")))</f>
        <v>17</v>
      </c>
      <c r="M869" s="82" t="str">
        <f aca="false">IF(B869="","",IF(OR(J869&lt;&gt;"",K869&lt;&gt;""),"POSÉ EN LIGNE",IF(COUNTIF(BARDAGE!$C$1:$C$5000,B869)&gt;0,"BARDÉ","EN STOCK")))</f>
        <v>POSÉ EN LIGNE</v>
      </c>
      <c r="N869" s="80"/>
    </row>
    <row r="870" customFormat="false" ht="15" hidden="false" customHeight="false" outlineLevel="0" collapsed="false">
      <c r="A870" s="82" t="n">
        <f aca="false">IF(B870="","",ROW()-6)</f>
        <v>864</v>
      </c>
      <c r="B870" s="145" t="n">
        <v>2097340</v>
      </c>
      <c r="C870" s="146" t="n">
        <v>15421111</v>
      </c>
      <c r="D870" s="146"/>
      <c r="E870" s="82" t="str">
        <f aca="false">IF(B870="","",IF(COUNTIFS('CARNET DE SOUDURE'!$L$7:$L$3006,B870,'CARNET DE SOUDURE'!$M$7:$M$3006,"&lt;&gt;"&amp;C870,'CARNET DE SOUDURE'!$M$7:$M$3006,"&lt;&gt;")+COUNTIFS('CARNET DE SOUDURE'!$O$7:$O$3006,B870,'CARNET DE SOUDURE'!$P$7:$P$3006,"&lt;&gt;"&amp;C870,'CARNET DE SOUDURE'!$P$7:$P$3006,"&lt;&gt;")&gt;0,"⚠ DIFFÉRENTE","OK"))</f>
        <v>OK</v>
      </c>
      <c r="F870" s="147" t="n">
        <v>11.94</v>
      </c>
      <c r="G870" s="80"/>
      <c r="H870" s="83"/>
      <c r="I870" s="148" t="str">
        <f aca="false">IF(B870="","",IFERROR(INDEX('CARNET DE SOUDURE'!$B$7:$B$3006,MATCH(B870,'CARNET DE SOUDURE'!$L$7:$L$3006,0)),IFERROR(INDEX('CARNET DE SOUDURE'!$B$7:$B$3006,MATCH(B870,'CARNET DE SOUDURE'!$O$7:$O$3006,0)),"")))</f>
        <v>MFD-ISW → MFD-CPF</v>
      </c>
      <c r="J870" s="82" t="str">
        <f aca="false">IF(B870="","",IFERROR(INDEX('CARNET DE SOUDURE'!$E$7:$E$3006,MATCH(B870,'CARNET DE SOUDURE'!$O$7:$O$3006,0)),""))</f>
        <v/>
      </c>
      <c r="K870" s="82" t="str">
        <f aca="false">IF(B870="","",IFERROR(INDEX('CARNET DE SOUDURE'!$E$7:$E$3006,MATCH(B870,'CARNET DE SOUDURE'!$L$7:$L$3006,0)),""))</f>
        <v>JN°1457</v>
      </c>
      <c r="L870" s="82" t="n">
        <f aca="false">IF(B870="","",IFERROR(INDEX('CARNET DE SOUDURE'!$D$7:$D$3006,MATCH(B870,'CARNET DE SOUDURE'!$L$7:$L$3006,0)),IFERROR(INDEX('CARNET DE SOUDURE'!$D$7:$D$3006,MATCH(B870,'CARNET DE SOUDURE'!$O$7:$O$3006,0)),"")))</f>
        <v>17</v>
      </c>
      <c r="M870" s="82" t="str">
        <f aca="false">IF(B870="","",IF(OR(J870&lt;&gt;"",K870&lt;&gt;""),"POSÉ EN LIGNE",IF(COUNTIF(BARDAGE!$C$1:$C$5000,B870)&gt;0,"BARDÉ","EN STOCK")))</f>
        <v>POSÉ EN LIGNE</v>
      </c>
      <c r="N870" s="80"/>
    </row>
    <row r="871" customFormat="false" ht="15" hidden="false" customHeight="false" outlineLevel="0" collapsed="false">
      <c r="A871" s="82" t="n">
        <f aca="false">IF(B871="","",ROW()-6)</f>
        <v>865</v>
      </c>
      <c r="B871" s="145" t="n">
        <v>2090670</v>
      </c>
      <c r="C871" s="146" t="n">
        <v>15421109</v>
      </c>
      <c r="D871" s="146"/>
      <c r="E871" s="82" t="str">
        <f aca="false">IF(B871="","",IF(COUNTIFS('CARNET DE SOUDURE'!$L$7:$L$3006,B871,'CARNET DE SOUDURE'!$M$7:$M$3006,"&lt;&gt;"&amp;C871,'CARNET DE SOUDURE'!$M$7:$M$3006,"&lt;&gt;")+COUNTIFS('CARNET DE SOUDURE'!$O$7:$O$3006,B871,'CARNET DE SOUDURE'!$P$7:$P$3006,"&lt;&gt;"&amp;C871,'CARNET DE SOUDURE'!$P$7:$P$3006,"&lt;&gt;")&gt;0,"⚠ DIFFÉRENTE","OK"))</f>
        <v>OK</v>
      </c>
      <c r="F871" s="147" t="n">
        <v>11.94</v>
      </c>
      <c r="G871" s="80"/>
      <c r="H871" s="83"/>
      <c r="I871" s="148" t="str">
        <f aca="false">IF(B871="","",IFERROR(INDEX('CARNET DE SOUDURE'!$B$7:$B$3006,MATCH(B871,'CARNET DE SOUDURE'!$L$7:$L$3006,0)),IFERROR(INDEX('CARNET DE SOUDURE'!$B$7:$B$3006,MATCH(B871,'CARNET DE SOUDURE'!$O$7:$O$3006,0)),"")))</f>
        <v>MFD-ISW → MFD-CPF</v>
      </c>
      <c r="J871" s="82" t="str">
        <f aca="false">IF(B871="","",IFERROR(INDEX('CARNET DE SOUDURE'!$E$7:$E$3006,MATCH(B871,'CARNET DE SOUDURE'!$O$7:$O$3006,0)),""))</f>
        <v>JN°1457</v>
      </c>
      <c r="K871" s="82" t="str">
        <f aca="false">IF(B871="","",IFERROR(INDEX('CARNET DE SOUDURE'!$E$7:$E$3006,MATCH(B871,'CARNET DE SOUDURE'!$L$7:$L$3006,0)),""))</f>
        <v/>
      </c>
      <c r="L871" s="82" t="n">
        <f aca="false">IF(B871="","",IFERROR(INDEX('CARNET DE SOUDURE'!$D$7:$D$3006,MATCH(B871,'CARNET DE SOUDURE'!$L$7:$L$3006,0)),IFERROR(INDEX('CARNET DE SOUDURE'!$D$7:$D$3006,MATCH(B871,'CARNET DE SOUDURE'!$O$7:$O$3006,0)),"")))</f>
        <v>17</v>
      </c>
      <c r="M871" s="82" t="str">
        <f aca="false">IF(B871="","",IF(OR(J871&lt;&gt;"",K871&lt;&gt;""),"POSÉ EN LIGNE",IF(COUNTIF(BARDAGE!$C$1:$C$5000,B871)&gt;0,"BARDÉ","EN STOCK")))</f>
        <v>POSÉ EN LIGNE</v>
      </c>
      <c r="N871" s="80"/>
    </row>
    <row r="872" customFormat="false" ht="15" hidden="false" customHeight="false" outlineLevel="0" collapsed="false">
      <c r="A872" s="82" t="n">
        <f aca="false">IF(B872="","",ROW()-6)</f>
        <v>866</v>
      </c>
      <c r="B872" s="145" t="n">
        <v>2085880</v>
      </c>
      <c r="C872" s="146" t="n">
        <v>15421107</v>
      </c>
      <c r="D872" s="146"/>
      <c r="E872" s="82" t="str">
        <f aca="false">IF(B872="","",IF(COUNTIFS('CARNET DE SOUDURE'!$L$7:$L$3006,B872,'CARNET DE SOUDURE'!$M$7:$M$3006,"&lt;&gt;"&amp;C872,'CARNET DE SOUDURE'!$M$7:$M$3006,"&lt;&gt;")+COUNTIFS('CARNET DE SOUDURE'!$O$7:$O$3006,B872,'CARNET DE SOUDURE'!$P$7:$P$3006,"&lt;&gt;"&amp;C872,'CARNET DE SOUDURE'!$P$7:$P$3006,"&lt;&gt;")&gt;0,"⚠ DIFFÉRENTE","OK"))</f>
        <v>OK</v>
      </c>
      <c r="F872" s="147" t="n">
        <v>11.94</v>
      </c>
      <c r="G872" s="80"/>
      <c r="H872" s="83"/>
      <c r="I872" s="148" t="str">
        <f aca="false">IF(B872="","",IFERROR(INDEX('CARNET DE SOUDURE'!$B$7:$B$3006,MATCH(B872,'CARNET DE SOUDURE'!$L$7:$L$3006,0)),IFERROR(INDEX('CARNET DE SOUDURE'!$B$7:$B$3006,MATCH(B872,'CARNET DE SOUDURE'!$O$7:$O$3006,0)),"")))</f>
        <v>MFD-ISW → MFD-CPF</v>
      </c>
      <c r="J872" s="82" t="str">
        <f aca="false">IF(B872="","",IFERROR(INDEX('CARNET DE SOUDURE'!$E$7:$E$3006,MATCH(B872,'CARNET DE SOUDURE'!$O$7:$O$3006,0)),""))</f>
        <v>JN°1458</v>
      </c>
      <c r="K872" s="82" t="str">
        <f aca="false">IF(B872="","",IFERROR(INDEX('CARNET DE SOUDURE'!$E$7:$E$3006,MATCH(B872,'CARNET DE SOUDURE'!$L$7:$L$3006,0)),""))</f>
        <v>DJ°031</v>
      </c>
      <c r="L872" s="82" t="n">
        <f aca="false">IF(B872="","",IFERROR(INDEX('CARNET DE SOUDURE'!$D$7:$D$3006,MATCH(B872,'CARNET DE SOUDURE'!$L$7:$L$3006,0)),IFERROR(INDEX('CARNET DE SOUDURE'!$D$7:$D$3006,MATCH(B872,'CARNET DE SOUDURE'!$O$7:$O$3006,0)),"")))</f>
        <v>17</v>
      </c>
      <c r="M872" s="82" t="str">
        <f aca="false">IF(B872="","",IF(OR(J872&lt;&gt;"",K872&lt;&gt;""),"POSÉ EN LIGNE",IF(COUNTIF(BARDAGE!$C$1:$C$5000,B872)&gt;0,"BARDÉ","EN STOCK")))</f>
        <v>POSÉ EN LIGNE</v>
      </c>
      <c r="N872" s="80"/>
    </row>
    <row r="873" customFormat="false" ht="15" hidden="false" customHeight="false" outlineLevel="0" collapsed="false">
      <c r="A873" s="82" t="n">
        <f aca="false">IF(B873="","",ROW()-6)</f>
        <v>867</v>
      </c>
      <c r="B873" s="145" t="n">
        <v>2085540</v>
      </c>
      <c r="C873" s="146" t="n">
        <v>15421107</v>
      </c>
      <c r="D873" s="146"/>
      <c r="E873" s="82" t="str">
        <f aca="false">IF(B873="","",IF(COUNTIFS('CARNET DE SOUDURE'!$L$7:$L$3006,B873,'CARNET DE SOUDURE'!$M$7:$M$3006,"&lt;&gt;"&amp;C873,'CARNET DE SOUDURE'!$M$7:$M$3006,"&lt;&gt;")+COUNTIFS('CARNET DE SOUDURE'!$O$7:$O$3006,B873,'CARNET DE SOUDURE'!$P$7:$P$3006,"&lt;&gt;"&amp;C873,'CARNET DE SOUDURE'!$P$7:$P$3006,"&lt;&gt;")&gt;0,"⚠ DIFFÉRENTE","OK"))</f>
        <v>OK</v>
      </c>
      <c r="F873" s="147" t="n">
        <v>11.94</v>
      </c>
      <c r="G873" s="80"/>
      <c r="H873" s="83"/>
      <c r="I873" s="148" t="str">
        <f aca="false">IF(B873="","",IFERROR(INDEX('CARNET DE SOUDURE'!$B$7:$B$3006,MATCH(B873,'CARNET DE SOUDURE'!$L$7:$L$3006,0)),IFERROR(INDEX('CARNET DE SOUDURE'!$B$7:$B$3006,MATCH(B873,'CARNET DE SOUDURE'!$O$7:$O$3006,0)),"")))</f>
        <v>MFD-ISW → MFD-CPF</v>
      </c>
      <c r="J873" s="82" t="str">
        <f aca="false">IF(B873="","",IFERROR(INDEX('CARNET DE SOUDURE'!$E$7:$E$3006,MATCH(B873,'CARNET DE SOUDURE'!$O$7:$O$3006,0)),""))</f>
        <v>DJ°031</v>
      </c>
      <c r="K873" s="82" t="str">
        <f aca="false">IF(B873="","",IFERROR(INDEX('CARNET DE SOUDURE'!$E$7:$E$3006,MATCH(B873,'CARNET DE SOUDURE'!$L$7:$L$3006,0)),""))</f>
        <v>JN°1459</v>
      </c>
      <c r="L873" s="82" t="n">
        <f aca="false">IF(B873="","",IFERROR(INDEX('CARNET DE SOUDURE'!$D$7:$D$3006,MATCH(B873,'CARNET DE SOUDURE'!$L$7:$L$3006,0)),IFERROR(INDEX('CARNET DE SOUDURE'!$D$7:$D$3006,MATCH(B873,'CARNET DE SOUDURE'!$O$7:$O$3006,0)),"")))</f>
        <v>17</v>
      </c>
      <c r="M873" s="82" t="str">
        <f aca="false">IF(B873="","",IF(OR(J873&lt;&gt;"",K873&lt;&gt;""),"POSÉ EN LIGNE",IF(COUNTIF(BARDAGE!$C$1:$C$5000,B873)&gt;0,"BARDÉ","EN STOCK")))</f>
        <v>POSÉ EN LIGNE</v>
      </c>
      <c r="N873" s="80"/>
    </row>
    <row r="874" customFormat="false" ht="15" hidden="false" customHeight="false" outlineLevel="0" collapsed="false">
      <c r="A874" s="82" t="n">
        <f aca="false">IF(B874="","",ROW()-6)</f>
        <v>868</v>
      </c>
      <c r="B874" s="145" t="n">
        <v>2095870</v>
      </c>
      <c r="C874" s="146" t="n">
        <v>15421111</v>
      </c>
      <c r="D874" s="146"/>
      <c r="E874" s="82" t="str">
        <f aca="false">IF(B874="","",IF(COUNTIFS('CARNET DE SOUDURE'!$L$7:$L$3006,B874,'CARNET DE SOUDURE'!$M$7:$M$3006,"&lt;&gt;"&amp;C874,'CARNET DE SOUDURE'!$M$7:$M$3006,"&lt;&gt;")+COUNTIFS('CARNET DE SOUDURE'!$O$7:$O$3006,B874,'CARNET DE SOUDURE'!$P$7:$P$3006,"&lt;&gt;"&amp;C874,'CARNET DE SOUDURE'!$P$7:$P$3006,"&lt;&gt;")&gt;0,"⚠ DIFFÉRENTE","OK"))</f>
        <v>OK</v>
      </c>
      <c r="F874" s="147" t="n">
        <v>11.94</v>
      </c>
      <c r="G874" s="80"/>
      <c r="H874" s="83"/>
      <c r="I874" s="148" t="str">
        <f aca="false">IF(B874="","",IFERROR(INDEX('CARNET DE SOUDURE'!$B$7:$B$3006,MATCH(B874,'CARNET DE SOUDURE'!$L$7:$L$3006,0)),IFERROR(INDEX('CARNET DE SOUDURE'!$B$7:$B$3006,MATCH(B874,'CARNET DE SOUDURE'!$O$7:$O$3006,0)),"")))</f>
        <v>MFD-ISW → MFD-CPF</v>
      </c>
      <c r="J874" s="82" t="str">
        <f aca="false">IF(B874="","",IFERROR(INDEX('CARNET DE SOUDURE'!$E$7:$E$3006,MATCH(B874,'CARNET DE SOUDURE'!$O$7:$O$3006,0)),""))</f>
        <v>JN°1459</v>
      </c>
      <c r="K874" s="82" t="str">
        <f aca="false">IF(B874="","",IFERROR(INDEX('CARNET DE SOUDURE'!$E$7:$E$3006,MATCH(B874,'CARNET DE SOUDURE'!$L$7:$L$3006,0)),""))</f>
        <v/>
      </c>
      <c r="L874" s="82" t="n">
        <f aca="false">IF(B874="","",IFERROR(INDEX('CARNET DE SOUDURE'!$D$7:$D$3006,MATCH(B874,'CARNET DE SOUDURE'!$L$7:$L$3006,0)),IFERROR(INDEX('CARNET DE SOUDURE'!$D$7:$D$3006,MATCH(B874,'CARNET DE SOUDURE'!$O$7:$O$3006,0)),"")))</f>
        <v>17</v>
      </c>
      <c r="M874" s="82" t="str">
        <f aca="false">IF(B874="","",IF(OR(J874&lt;&gt;"",K874&lt;&gt;""),"POSÉ EN LIGNE",IF(COUNTIF(BARDAGE!$C$1:$C$5000,B874)&gt;0,"BARDÉ","EN STOCK")))</f>
        <v>POSÉ EN LIGNE</v>
      </c>
      <c r="N874" s="80"/>
    </row>
    <row r="875" customFormat="false" ht="15" hidden="false" customHeight="false" outlineLevel="0" collapsed="false">
      <c r="A875" s="82" t="n">
        <f aca="false">IF(B875="","",ROW()-6)</f>
        <v>869</v>
      </c>
      <c r="B875" s="145" t="n">
        <v>2095400</v>
      </c>
      <c r="C875" s="146" t="n">
        <v>15421111</v>
      </c>
      <c r="D875" s="146"/>
      <c r="E875" s="82" t="str">
        <f aca="false">IF(B875="","",IF(COUNTIFS('CARNET DE SOUDURE'!$L$7:$L$3006,B875,'CARNET DE SOUDURE'!$M$7:$M$3006,"&lt;&gt;"&amp;C875,'CARNET DE SOUDURE'!$M$7:$M$3006,"&lt;&gt;")+COUNTIFS('CARNET DE SOUDURE'!$O$7:$O$3006,B875,'CARNET DE SOUDURE'!$P$7:$P$3006,"&lt;&gt;"&amp;C875,'CARNET DE SOUDURE'!$P$7:$P$3006,"&lt;&gt;")&gt;0,"⚠ DIFFÉRENTE","OK"))</f>
        <v>OK</v>
      </c>
      <c r="F875" s="147" t="n">
        <v>11.94</v>
      </c>
      <c r="G875" s="80"/>
      <c r="H875" s="83"/>
      <c r="I875" s="148" t="str">
        <f aca="false">IF(B875="","",IFERROR(INDEX('CARNET DE SOUDURE'!$B$7:$B$3006,MATCH(B875,'CARNET DE SOUDURE'!$L$7:$L$3006,0)),IFERROR(INDEX('CARNET DE SOUDURE'!$B$7:$B$3006,MATCH(B875,'CARNET DE SOUDURE'!$O$7:$O$3006,0)),"")))</f>
        <v>MFD-ISW → MFD-CPF</v>
      </c>
      <c r="J875" s="82" t="str">
        <f aca="false">IF(B875="","",IFERROR(INDEX('CARNET DE SOUDURE'!$E$7:$E$3006,MATCH(B875,'CARNET DE SOUDURE'!$O$7:$O$3006,0)),""))</f>
        <v/>
      </c>
      <c r="K875" s="82" t="str">
        <f aca="false">IF(B875="","",IFERROR(INDEX('CARNET DE SOUDURE'!$E$7:$E$3006,MATCH(B875,'CARNET DE SOUDURE'!$L$7:$L$3006,0)),""))</f>
        <v>DJ°012</v>
      </c>
      <c r="L875" s="82" t="n">
        <f aca="false">IF(B875="","",IFERROR(INDEX('CARNET DE SOUDURE'!$D$7:$D$3006,MATCH(B875,'CARNET DE SOUDURE'!$L$7:$L$3006,0)),IFERROR(INDEX('CARNET DE SOUDURE'!$D$7:$D$3006,MATCH(B875,'CARNET DE SOUDURE'!$O$7:$O$3006,0)),"")))</f>
        <v>17</v>
      </c>
      <c r="M875" s="82" t="str">
        <f aca="false">IF(B875="","",IF(OR(J875&lt;&gt;"",K875&lt;&gt;""),"POSÉ EN LIGNE",IF(COUNTIF(BARDAGE!$C$1:$C$5000,B875)&gt;0,"BARDÉ","EN STOCK")))</f>
        <v>POSÉ EN LIGNE</v>
      </c>
      <c r="N875" s="80"/>
    </row>
    <row r="876" customFormat="false" ht="15" hidden="false" customHeight="false" outlineLevel="0" collapsed="false">
      <c r="A876" s="82" t="n">
        <f aca="false">IF(B876="","",ROW()-6)</f>
        <v>870</v>
      </c>
      <c r="B876" s="145" t="n">
        <v>2088230</v>
      </c>
      <c r="C876" s="146" t="n">
        <v>15421108</v>
      </c>
      <c r="D876" s="146"/>
      <c r="E876" s="82" t="str">
        <f aca="false">IF(B876="","",IF(COUNTIFS('CARNET DE SOUDURE'!$L$7:$L$3006,B876,'CARNET DE SOUDURE'!$M$7:$M$3006,"&lt;&gt;"&amp;C876,'CARNET DE SOUDURE'!$M$7:$M$3006,"&lt;&gt;")+COUNTIFS('CARNET DE SOUDURE'!$O$7:$O$3006,B876,'CARNET DE SOUDURE'!$P$7:$P$3006,"&lt;&gt;"&amp;C876,'CARNET DE SOUDURE'!$P$7:$P$3006,"&lt;&gt;")&gt;0,"⚠ DIFFÉRENTE","OK"))</f>
        <v>OK</v>
      </c>
      <c r="F876" s="147" t="n">
        <v>11.94</v>
      </c>
      <c r="G876" s="80"/>
      <c r="H876" s="83"/>
      <c r="I876" s="148" t="str">
        <f aca="false">IF(B876="","",IFERROR(INDEX('CARNET DE SOUDURE'!$B$7:$B$3006,MATCH(B876,'CARNET DE SOUDURE'!$L$7:$L$3006,0)),IFERROR(INDEX('CARNET DE SOUDURE'!$B$7:$B$3006,MATCH(B876,'CARNET DE SOUDURE'!$O$7:$O$3006,0)),"")))</f>
        <v>MFD-ISW → MFD-CPF</v>
      </c>
      <c r="J876" s="82" t="str">
        <f aca="false">IF(B876="","",IFERROR(INDEX('CARNET DE SOUDURE'!$E$7:$E$3006,MATCH(B876,'CARNET DE SOUDURE'!$O$7:$O$3006,0)),""))</f>
        <v>JN°1460</v>
      </c>
      <c r="K876" s="82" t="str">
        <f aca="false">IF(B876="","",IFERROR(INDEX('CARNET DE SOUDURE'!$E$7:$E$3006,MATCH(B876,'CARNET DE SOUDURE'!$L$7:$L$3006,0)),""))</f>
        <v>DJ°015</v>
      </c>
      <c r="L876" s="82" t="n">
        <f aca="false">IF(B876="","",IFERROR(INDEX('CARNET DE SOUDURE'!$D$7:$D$3006,MATCH(B876,'CARNET DE SOUDURE'!$L$7:$L$3006,0)),IFERROR(INDEX('CARNET DE SOUDURE'!$D$7:$D$3006,MATCH(B876,'CARNET DE SOUDURE'!$O$7:$O$3006,0)),"")))</f>
        <v>17</v>
      </c>
      <c r="M876" s="82" t="str">
        <f aca="false">IF(B876="","",IF(OR(J876&lt;&gt;"",K876&lt;&gt;""),"POSÉ EN LIGNE",IF(COUNTIF(BARDAGE!$C$1:$C$5000,B876)&gt;0,"BARDÉ","EN STOCK")))</f>
        <v>POSÉ EN LIGNE</v>
      </c>
      <c r="N876" s="80"/>
    </row>
    <row r="877" customFormat="false" ht="15" hidden="false" customHeight="false" outlineLevel="0" collapsed="false">
      <c r="A877" s="82" t="n">
        <f aca="false">IF(B877="","",ROW()-6)</f>
        <v>871</v>
      </c>
      <c r="B877" s="145" t="n">
        <v>2085170</v>
      </c>
      <c r="C877" s="146" t="n">
        <v>15421106</v>
      </c>
      <c r="D877" s="146"/>
      <c r="E877" s="82" t="str">
        <f aca="false">IF(B877="","",IF(COUNTIFS('CARNET DE SOUDURE'!$L$7:$L$3006,B877,'CARNET DE SOUDURE'!$M$7:$M$3006,"&lt;&gt;"&amp;C877,'CARNET DE SOUDURE'!$M$7:$M$3006,"&lt;&gt;")+COUNTIFS('CARNET DE SOUDURE'!$O$7:$O$3006,B877,'CARNET DE SOUDURE'!$P$7:$P$3006,"&lt;&gt;"&amp;C877,'CARNET DE SOUDURE'!$P$7:$P$3006,"&lt;&gt;")&gt;0,"⚠ DIFFÉRENTE","OK"))</f>
        <v>OK</v>
      </c>
      <c r="F877" s="147" t="n">
        <v>11.94</v>
      </c>
      <c r="G877" s="80"/>
      <c r="H877" s="83"/>
      <c r="I877" s="148" t="str">
        <f aca="false">IF(B877="","",IFERROR(INDEX('CARNET DE SOUDURE'!$B$7:$B$3006,MATCH(B877,'CARNET DE SOUDURE'!$L$7:$L$3006,0)),IFERROR(INDEX('CARNET DE SOUDURE'!$B$7:$B$3006,MATCH(B877,'CARNET DE SOUDURE'!$O$7:$O$3006,0)),"")))</f>
        <v>MFD-ISW → MFD-CPF</v>
      </c>
      <c r="J877" s="82" t="str">
        <f aca="false">IF(B877="","",IFERROR(INDEX('CARNET DE SOUDURE'!$E$7:$E$3006,MATCH(B877,'CARNET DE SOUDURE'!$O$7:$O$3006,0)),""))</f>
        <v>DJ°015</v>
      </c>
      <c r="K877" s="82" t="str">
        <f aca="false">IF(B877="","",IFERROR(INDEX('CARNET DE SOUDURE'!$E$7:$E$3006,MATCH(B877,'CARNET DE SOUDURE'!$L$7:$L$3006,0)),""))</f>
        <v>JN°1461</v>
      </c>
      <c r="L877" s="82" t="n">
        <f aca="false">IF(B877="","",IFERROR(INDEX('CARNET DE SOUDURE'!$D$7:$D$3006,MATCH(B877,'CARNET DE SOUDURE'!$L$7:$L$3006,0)),IFERROR(INDEX('CARNET DE SOUDURE'!$D$7:$D$3006,MATCH(B877,'CARNET DE SOUDURE'!$O$7:$O$3006,0)),"")))</f>
        <v>17</v>
      </c>
      <c r="M877" s="82" t="str">
        <f aca="false">IF(B877="","",IF(OR(J877&lt;&gt;"",K877&lt;&gt;""),"POSÉ EN LIGNE",IF(COUNTIF(BARDAGE!$C$1:$C$5000,B877)&gt;0,"BARDÉ","EN STOCK")))</f>
        <v>POSÉ EN LIGNE</v>
      </c>
      <c r="N877" s="80"/>
    </row>
    <row r="878" customFormat="false" ht="15" hidden="false" customHeight="false" outlineLevel="0" collapsed="false">
      <c r="A878" s="82" t="n">
        <f aca="false">IF(B878="","",ROW()-6)</f>
        <v>872</v>
      </c>
      <c r="B878" s="145" t="n">
        <v>2088860</v>
      </c>
      <c r="C878" s="146" t="n">
        <v>15421108</v>
      </c>
      <c r="D878" s="146"/>
      <c r="E878" s="82" t="str">
        <f aca="false">IF(B878="","",IF(COUNTIFS('CARNET DE SOUDURE'!$L$7:$L$3006,B878,'CARNET DE SOUDURE'!$M$7:$M$3006,"&lt;&gt;"&amp;C878,'CARNET DE SOUDURE'!$M$7:$M$3006,"&lt;&gt;")+COUNTIFS('CARNET DE SOUDURE'!$O$7:$O$3006,B878,'CARNET DE SOUDURE'!$P$7:$P$3006,"&lt;&gt;"&amp;C878,'CARNET DE SOUDURE'!$P$7:$P$3006,"&lt;&gt;")&gt;0,"⚠ DIFFÉRENTE","OK"))</f>
        <v>OK</v>
      </c>
      <c r="F878" s="147" t="n">
        <v>11.94</v>
      </c>
      <c r="G878" s="80"/>
      <c r="H878" s="83"/>
      <c r="I878" s="148" t="str">
        <f aca="false">IF(B878="","",IFERROR(INDEX('CARNET DE SOUDURE'!$B$7:$B$3006,MATCH(B878,'CARNET DE SOUDURE'!$L$7:$L$3006,0)),IFERROR(INDEX('CARNET DE SOUDURE'!$B$7:$B$3006,MATCH(B878,'CARNET DE SOUDURE'!$O$7:$O$3006,0)),"")))</f>
        <v>MFD-ISW → MFD-CPF</v>
      </c>
      <c r="J878" s="82" t="str">
        <f aca="false">IF(B878="","",IFERROR(INDEX('CARNET DE SOUDURE'!$E$7:$E$3006,MATCH(B878,'CARNET DE SOUDURE'!$O$7:$O$3006,0)),""))</f>
        <v>JN°1461</v>
      </c>
      <c r="K878" s="82" t="str">
        <f aca="false">IF(B878="","",IFERROR(INDEX('CARNET DE SOUDURE'!$E$7:$E$3006,MATCH(B878,'CARNET DE SOUDURE'!$L$7:$L$3006,0)),""))</f>
        <v/>
      </c>
      <c r="L878" s="82" t="n">
        <f aca="false">IF(B878="","",IFERROR(INDEX('CARNET DE SOUDURE'!$D$7:$D$3006,MATCH(B878,'CARNET DE SOUDURE'!$L$7:$L$3006,0)),IFERROR(INDEX('CARNET DE SOUDURE'!$D$7:$D$3006,MATCH(B878,'CARNET DE SOUDURE'!$O$7:$O$3006,0)),"")))</f>
        <v>17</v>
      </c>
      <c r="M878" s="82" t="str">
        <f aca="false">IF(B878="","",IF(OR(J878&lt;&gt;"",K878&lt;&gt;""),"POSÉ EN LIGNE",IF(COUNTIF(BARDAGE!$C$1:$C$5000,B878)&gt;0,"BARDÉ","EN STOCK")))</f>
        <v>POSÉ EN LIGNE</v>
      </c>
      <c r="N878" s="80"/>
    </row>
    <row r="879" customFormat="false" ht="15" hidden="false" customHeight="false" outlineLevel="0" collapsed="false">
      <c r="A879" s="82" t="n">
        <f aca="false">IF(B879="","",ROW()-6)</f>
        <v>873</v>
      </c>
      <c r="B879" s="145" t="n">
        <v>2082110</v>
      </c>
      <c r="C879" s="146" t="n">
        <v>15421104</v>
      </c>
      <c r="D879" s="146"/>
      <c r="E879" s="82" t="str">
        <f aca="false">IF(B879="","",IF(COUNTIFS('CARNET DE SOUDURE'!$L$7:$L$3006,B879,'CARNET DE SOUDURE'!$M$7:$M$3006,"&lt;&gt;"&amp;C879,'CARNET DE SOUDURE'!$M$7:$M$3006,"&lt;&gt;")+COUNTIFS('CARNET DE SOUDURE'!$O$7:$O$3006,B879,'CARNET DE SOUDURE'!$P$7:$P$3006,"&lt;&gt;"&amp;C879,'CARNET DE SOUDURE'!$P$7:$P$3006,"&lt;&gt;")&gt;0,"⚠ DIFFÉRENTE","OK"))</f>
        <v>OK</v>
      </c>
      <c r="F879" s="147" t="n">
        <v>11.94</v>
      </c>
      <c r="G879" s="80"/>
      <c r="H879" s="83"/>
      <c r="I879" s="148" t="str">
        <f aca="false">IF(B879="","",IFERROR(INDEX('CARNET DE SOUDURE'!$B$7:$B$3006,MATCH(B879,'CARNET DE SOUDURE'!$L$7:$L$3006,0)),IFERROR(INDEX('CARNET DE SOUDURE'!$B$7:$B$3006,MATCH(B879,'CARNET DE SOUDURE'!$O$7:$O$3006,0)),"")))</f>
        <v>MFD-ISW → MFD-CPF</v>
      </c>
      <c r="J879" s="82" t="str">
        <f aca="false">IF(B879="","",IFERROR(INDEX('CARNET DE SOUDURE'!$E$7:$E$3006,MATCH(B879,'CARNET DE SOUDURE'!$O$7:$O$3006,0)),""))</f>
        <v/>
      </c>
      <c r="K879" s="82" t="str">
        <f aca="false">IF(B879="","",IFERROR(INDEX('CARNET DE SOUDURE'!$E$7:$E$3006,MATCH(B879,'CARNET DE SOUDURE'!$L$7:$L$3006,0)),""))</f>
        <v>DJ°044</v>
      </c>
      <c r="L879" s="82" t="n">
        <f aca="false">IF(B879="","",IFERROR(INDEX('CARNET DE SOUDURE'!$D$7:$D$3006,MATCH(B879,'CARNET DE SOUDURE'!$L$7:$L$3006,0)),IFERROR(INDEX('CARNET DE SOUDURE'!$D$7:$D$3006,MATCH(B879,'CARNET DE SOUDURE'!$O$7:$O$3006,0)),"")))</f>
        <v>17</v>
      </c>
      <c r="M879" s="82" t="str">
        <f aca="false">IF(B879="","",IF(OR(J879&lt;&gt;"",K879&lt;&gt;""),"POSÉ EN LIGNE",IF(COUNTIF(BARDAGE!$C$1:$C$5000,B879)&gt;0,"BARDÉ","EN STOCK")))</f>
        <v>POSÉ EN LIGNE</v>
      </c>
      <c r="N879" s="80"/>
    </row>
    <row r="880" customFormat="false" ht="15" hidden="false" customHeight="false" outlineLevel="0" collapsed="false">
      <c r="A880" s="82" t="n">
        <f aca="false">IF(B880="","",ROW()-6)</f>
        <v>874</v>
      </c>
      <c r="B880" s="145" t="n">
        <v>2088580</v>
      </c>
      <c r="C880" s="146" t="n">
        <v>15421107</v>
      </c>
      <c r="D880" s="146"/>
      <c r="E880" s="82" t="str">
        <f aca="false">IF(B880="","",IF(COUNTIFS('CARNET DE SOUDURE'!$L$7:$L$3006,B880,'CARNET DE SOUDURE'!$M$7:$M$3006,"&lt;&gt;"&amp;C880,'CARNET DE SOUDURE'!$M$7:$M$3006,"&lt;&gt;")+COUNTIFS('CARNET DE SOUDURE'!$O$7:$O$3006,B880,'CARNET DE SOUDURE'!$P$7:$P$3006,"&lt;&gt;"&amp;C880,'CARNET DE SOUDURE'!$P$7:$P$3006,"&lt;&gt;")&gt;0,"⚠ DIFFÉRENTE","OK"))</f>
        <v>⚠ DIFFÉRENTE</v>
      </c>
      <c r="F880" s="147" t="n">
        <v>11.94</v>
      </c>
      <c r="G880" s="80"/>
      <c r="H880" s="83"/>
      <c r="I880" s="148" t="str">
        <f aca="false">IF(B880="","",IFERROR(INDEX('CARNET DE SOUDURE'!$B$7:$B$3006,MATCH(B880,'CARNET DE SOUDURE'!$L$7:$L$3006,0)),IFERROR(INDEX('CARNET DE SOUDURE'!$B$7:$B$3006,MATCH(B880,'CARNET DE SOUDURE'!$O$7:$O$3006,0)),"")))</f>
        <v>MFD-ISW → MFD-CPF</v>
      </c>
      <c r="J880" s="82" t="str">
        <f aca="false">IF(B880="","",IFERROR(INDEX('CARNET DE SOUDURE'!$E$7:$E$3006,MATCH(B880,'CARNET DE SOUDURE'!$O$7:$O$3006,0)),""))</f>
        <v>JN°1462R</v>
      </c>
      <c r="K880" s="82" t="str">
        <f aca="false">IF(B880="","",IFERROR(INDEX('CARNET DE SOUDURE'!$E$7:$E$3006,MATCH(B880,'CARNET DE SOUDURE'!$L$7:$L$3006,0)),""))</f>
        <v>JN°1685</v>
      </c>
      <c r="L880" s="82" t="n">
        <f aca="false">IF(B880="","",IFERROR(INDEX('CARNET DE SOUDURE'!$D$7:$D$3006,MATCH(B880,'CARNET DE SOUDURE'!$L$7:$L$3006,0)),IFERROR(INDEX('CARNET DE SOUDURE'!$D$7:$D$3006,MATCH(B880,'CARNET DE SOUDURE'!$O$7:$O$3006,0)),"")))</f>
        <v>20</v>
      </c>
      <c r="M880" s="82" t="str">
        <f aca="false">IF(B880="","",IF(OR(J880&lt;&gt;"",K880&lt;&gt;""),"POSÉ EN LIGNE",IF(COUNTIF(BARDAGE!$C$1:$C$5000,B880)&gt;0,"BARDÉ","EN STOCK")))</f>
        <v>POSÉ EN LIGNE</v>
      </c>
      <c r="N880" s="80"/>
    </row>
    <row r="881" customFormat="false" ht="15" hidden="false" customHeight="false" outlineLevel="0" collapsed="false">
      <c r="A881" s="82" t="n">
        <f aca="false">IF(B881="","",ROW()-6)</f>
        <v>875</v>
      </c>
      <c r="B881" s="145" t="n">
        <v>2085580</v>
      </c>
      <c r="C881" s="146" t="n">
        <v>15421107</v>
      </c>
      <c r="D881" s="146"/>
      <c r="E881" s="82" t="str">
        <f aca="false">IF(B881="","",IF(COUNTIFS('CARNET DE SOUDURE'!$L$7:$L$3006,B881,'CARNET DE SOUDURE'!$M$7:$M$3006,"&lt;&gt;"&amp;C881,'CARNET DE SOUDURE'!$M$7:$M$3006,"&lt;&gt;")+COUNTIFS('CARNET DE SOUDURE'!$O$7:$O$3006,B881,'CARNET DE SOUDURE'!$P$7:$P$3006,"&lt;&gt;"&amp;C881,'CARNET DE SOUDURE'!$P$7:$P$3006,"&lt;&gt;")&gt;0,"⚠ DIFFÉRENTE","OK"))</f>
        <v>OK</v>
      </c>
      <c r="F881" s="147" t="n">
        <v>11.94</v>
      </c>
      <c r="G881" s="80"/>
      <c r="H881" s="83"/>
      <c r="I881" s="148" t="str">
        <f aca="false">IF(B881="","",IFERROR(INDEX('CARNET DE SOUDURE'!$B$7:$B$3006,MATCH(B881,'CARNET DE SOUDURE'!$L$7:$L$3006,0)),IFERROR(INDEX('CARNET DE SOUDURE'!$B$7:$B$3006,MATCH(B881,'CARNET DE SOUDURE'!$O$7:$O$3006,0)),"")))</f>
        <v>MFD-ISW → MFD-CPF</v>
      </c>
      <c r="J881" s="82" t="str">
        <f aca="false">IF(B881="","",IFERROR(INDEX('CARNET DE SOUDURE'!$E$7:$E$3006,MATCH(B881,'CARNET DE SOUDURE'!$O$7:$O$3006,0)),""))</f>
        <v/>
      </c>
      <c r="K881" s="82" t="str">
        <f aca="false">IF(B881="","",IFERROR(INDEX('CARNET DE SOUDURE'!$E$7:$E$3006,MATCH(B881,'CARNET DE SOUDURE'!$L$7:$L$3006,0)),""))</f>
        <v>DJ°045</v>
      </c>
      <c r="L881" s="82" t="n">
        <f aca="false">IF(B881="","",IFERROR(INDEX('CARNET DE SOUDURE'!$D$7:$D$3006,MATCH(B881,'CARNET DE SOUDURE'!$L$7:$L$3006,0)),IFERROR(INDEX('CARNET DE SOUDURE'!$D$7:$D$3006,MATCH(B881,'CARNET DE SOUDURE'!$O$7:$O$3006,0)),"")))</f>
        <v>17</v>
      </c>
      <c r="M881" s="82" t="str">
        <f aca="false">IF(B881="","",IF(OR(J881&lt;&gt;"",K881&lt;&gt;""),"POSÉ EN LIGNE",IF(COUNTIF(BARDAGE!$C$1:$C$5000,B881)&gt;0,"BARDÉ","EN STOCK")))</f>
        <v>POSÉ EN LIGNE</v>
      </c>
      <c r="N881" s="80"/>
    </row>
    <row r="882" customFormat="false" ht="15" hidden="false" customHeight="false" outlineLevel="0" collapsed="false">
      <c r="A882" s="82" t="n">
        <f aca="false">IF(B882="","",ROW()-6)</f>
        <v>876</v>
      </c>
      <c r="B882" s="145" t="n">
        <v>2055530</v>
      </c>
      <c r="C882" s="146" t="n">
        <v>15421111</v>
      </c>
      <c r="D882" s="146"/>
      <c r="E882" s="82" t="str">
        <f aca="false">IF(B882="","",IF(COUNTIFS('CARNET DE SOUDURE'!$L$7:$L$3006,B882,'CARNET DE SOUDURE'!$M$7:$M$3006,"&lt;&gt;"&amp;C882,'CARNET DE SOUDURE'!$M$7:$M$3006,"&lt;&gt;")+COUNTIFS('CARNET DE SOUDURE'!$O$7:$O$3006,B882,'CARNET DE SOUDURE'!$P$7:$P$3006,"&lt;&gt;"&amp;C882,'CARNET DE SOUDURE'!$P$7:$P$3006,"&lt;&gt;")&gt;0,"⚠ DIFFÉRENTE","OK"))</f>
        <v>OK</v>
      </c>
      <c r="F882" s="147" t="n">
        <v>11.94</v>
      </c>
      <c r="G882" s="80"/>
      <c r="H882" s="83"/>
      <c r="I882" s="148" t="str">
        <f aca="false">IF(B882="","",IFERROR(INDEX('CARNET DE SOUDURE'!$B$7:$B$3006,MATCH(B882,'CARNET DE SOUDURE'!$L$7:$L$3006,0)),IFERROR(INDEX('CARNET DE SOUDURE'!$B$7:$B$3006,MATCH(B882,'CARNET DE SOUDURE'!$O$7:$O$3006,0)),"")))</f>
        <v>MFD-ISW → MFD-CPF</v>
      </c>
      <c r="J882" s="82" t="str">
        <f aca="false">IF(B882="","",IFERROR(INDEX('CARNET DE SOUDURE'!$E$7:$E$3006,MATCH(B882,'CARNET DE SOUDURE'!$O$7:$O$3006,0)),""))</f>
        <v>DJ°045</v>
      </c>
      <c r="K882" s="82" t="str">
        <f aca="false">IF(B882="","",IFERROR(INDEX('CARNET DE SOUDURE'!$E$7:$E$3006,MATCH(B882,'CARNET DE SOUDURE'!$L$7:$L$3006,0)),""))</f>
        <v/>
      </c>
      <c r="L882" s="82" t="n">
        <f aca="false">IF(B882="","",IFERROR(INDEX('CARNET DE SOUDURE'!$D$7:$D$3006,MATCH(B882,'CARNET DE SOUDURE'!$L$7:$L$3006,0)),IFERROR(INDEX('CARNET DE SOUDURE'!$D$7:$D$3006,MATCH(B882,'CARNET DE SOUDURE'!$O$7:$O$3006,0)),"")))</f>
        <v>17</v>
      </c>
      <c r="M882" s="82" t="str">
        <f aca="false">IF(B882="","",IF(OR(J882&lt;&gt;"",K882&lt;&gt;""),"POSÉ EN LIGNE",IF(COUNTIF(BARDAGE!$C$1:$C$5000,B882)&gt;0,"BARDÉ","EN STOCK")))</f>
        <v>POSÉ EN LIGNE</v>
      </c>
      <c r="N882" s="80"/>
    </row>
    <row r="883" customFormat="false" ht="15" hidden="false" customHeight="false" outlineLevel="0" collapsed="false">
      <c r="A883" s="82" t="n">
        <f aca="false">IF(B883="","",ROW()-6)</f>
        <v>877</v>
      </c>
      <c r="B883" s="145" t="n">
        <v>2095530</v>
      </c>
      <c r="C883" s="146" t="n">
        <v>15421111</v>
      </c>
      <c r="D883" s="146"/>
      <c r="E883" s="82" t="str">
        <f aca="false">IF(B883="","",IF(COUNTIFS('CARNET DE SOUDURE'!$L$7:$L$3006,B883,'CARNET DE SOUDURE'!$M$7:$M$3006,"&lt;&gt;"&amp;C883,'CARNET DE SOUDURE'!$M$7:$M$3006,"&lt;&gt;")+COUNTIFS('CARNET DE SOUDURE'!$O$7:$O$3006,B883,'CARNET DE SOUDURE'!$P$7:$P$3006,"&lt;&gt;"&amp;C883,'CARNET DE SOUDURE'!$P$7:$P$3006,"&lt;&gt;")&gt;0,"⚠ DIFFÉRENTE","OK"))</f>
        <v>OK</v>
      </c>
      <c r="F883" s="147" t="n">
        <v>11.94</v>
      </c>
      <c r="G883" s="80"/>
      <c r="H883" s="83"/>
      <c r="I883" s="148" t="str">
        <f aca="false">IF(B883="","",IFERROR(INDEX('CARNET DE SOUDURE'!$B$7:$B$3006,MATCH(B883,'CARNET DE SOUDURE'!$L$7:$L$3006,0)),IFERROR(INDEX('CARNET DE SOUDURE'!$B$7:$B$3006,MATCH(B883,'CARNET DE SOUDURE'!$O$7:$O$3006,0)),"")))</f>
        <v>MFD-ISW → MFD-CPF</v>
      </c>
      <c r="J883" s="82" t="str">
        <f aca="false">IF(B883="","",IFERROR(INDEX('CARNET DE SOUDURE'!$E$7:$E$3006,MATCH(B883,'CARNET DE SOUDURE'!$O$7:$O$3006,0)),""))</f>
        <v/>
      </c>
      <c r="K883" s="82" t="str">
        <f aca="false">IF(B883="","",IFERROR(INDEX('CARNET DE SOUDURE'!$E$7:$E$3006,MATCH(B883,'CARNET DE SOUDURE'!$L$7:$L$3006,0)),""))</f>
        <v>JN°1463</v>
      </c>
      <c r="L883" s="82" t="n">
        <f aca="false">IF(B883="","",IFERROR(INDEX('CARNET DE SOUDURE'!$D$7:$D$3006,MATCH(B883,'CARNET DE SOUDURE'!$L$7:$L$3006,0)),IFERROR(INDEX('CARNET DE SOUDURE'!$D$7:$D$3006,MATCH(B883,'CARNET DE SOUDURE'!$O$7:$O$3006,0)),"")))</f>
        <v>17</v>
      </c>
      <c r="M883" s="82" t="str">
        <f aca="false">IF(B883="","",IF(OR(J883&lt;&gt;"",K883&lt;&gt;""),"POSÉ EN LIGNE",IF(COUNTIF(BARDAGE!$C$1:$C$5000,B883)&gt;0,"BARDÉ","EN STOCK")))</f>
        <v>POSÉ EN LIGNE</v>
      </c>
      <c r="N883" s="80"/>
    </row>
    <row r="884" customFormat="false" ht="15" hidden="false" customHeight="false" outlineLevel="0" collapsed="false">
      <c r="A884" s="82" t="n">
        <f aca="false">IF(B884="","",ROW()-6)</f>
        <v>878</v>
      </c>
      <c r="B884" s="145" t="n">
        <v>2093670</v>
      </c>
      <c r="C884" s="146" t="n">
        <v>15421110</v>
      </c>
      <c r="D884" s="146"/>
      <c r="E884" s="82" t="str">
        <f aca="false">IF(B884="","",IF(COUNTIFS('CARNET DE SOUDURE'!$L$7:$L$3006,B884,'CARNET DE SOUDURE'!$M$7:$M$3006,"&lt;&gt;"&amp;C884,'CARNET DE SOUDURE'!$M$7:$M$3006,"&lt;&gt;")+COUNTIFS('CARNET DE SOUDURE'!$O$7:$O$3006,B884,'CARNET DE SOUDURE'!$P$7:$P$3006,"&lt;&gt;"&amp;C884,'CARNET DE SOUDURE'!$P$7:$P$3006,"&lt;&gt;")&gt;0,"⚠ DIFFÉRENTE","OK"))</f>
        <v>OK</v>
      </c>
      <c r="F884" s="147" t="n">
        <v>11.94</v>
      </c>
      <c r="G884" s="80"/>
      <c r="H884" s="83"/>
      <c r="I884" s="148" t="str">
        <f aca="false">IF(B884="","",IFERROR(INDEX('CARNET DE SOUDURE'!$B$7:$B$3006,MATCH(B884,'CARNET DE SOUDURE'!$L$7:$L$3006,0)),IFERROR(INDEX('CARNET DE SOUDURE'!$B$7:$B$3006,MATCH(B884,'CARNET DE SOUDURE'!$O$7:$O$3006,0)),"")))</f>
        <v>MFD-ISW → MFD-CPF</v>
      </c>
      <c r="J884" s="82" t="str">
        <f aca="false">IF(B884="","",IFERROR(INDEX('CARNET DE SOUDURE'!$E$7:$E$3006,MATCH(B884,'CARNET DE SOUDURE'!$O$7:$O$3006,0)),""))</f>
        <v>JN°1463</v>
      </c>
      <c r="K884" s="82" t="str">
        <f aca="false">IF(B884="","",IFERROR(INDEX('CARNET DE SOUDURE'!$E$7:$E$3006,MATCH(B884,'CARNET DE SOUDURE'!$L$7:$L$3006,0)),""))</f>
        <v>DJ°006</v>
      </c>
      <c r="L884" s="82" t="n">
        <f aca="false">IF(B884="","",IFERROR(INDEX('CARNET DE SOUDURE'!$D$7:$D$3006,MATCH(B884,'CARNET DE SOUDURE'!$L$7:$L$3006,0)),IFERROR(INDEX('CARNET DE SOUDURE'!$D$7:$D$3006,MATCH(B884,'CARNET DE SOUDURE'!$O$7:$O$3006,0)),"")))</f>
        <v>17</v>
      </c>
      <c r="M884" s="82" t="str">
        <f aca="false">IF(B884="","",IF(OR(J884&lt;&gt;"",K884&lt;&gt;""),"POSÉ EN LIGNE",IF(COUNTIF(BARDAGE!$C$1:$C$5000,B884)&gt;0,"BARDÉ","EN STOCK")))</f>
        <v>POSÉ EN LIGNE</v>
      </c>
      <c r="N884" s="80"/>
    </row>
    <row r="885" customFormat="false" ht="15" hidden="false" customHeight="false" outlineLevel="0" collapsed="false">
      <c r="A885" s="82" t="n">
        <f aca="false">IF(B885="","",ROW()-6)</f>
        <v>879</v>
      </c>
      <c r="B885" s="145" t="n">
        <v>2093190</v>
      </c>
      <c r="C885" s="146" t="n">
        <v>15421110</v>
      </c>
      <c r="D885" s="146"/>
      <c r="E885" s="82" t="str">
        <f aca="false">IF(B885="","",IF(COUNTIFS('CARNET DE SOUDURE'!$L$7:$L$3006,B885,'CARNET DE SOUDURE'!$M$7:$M$3006,"&lt;&gt;"&amp;C885,'CARNET DE SOUDURE'!$M$7:$M$3006,"&lt;&gt;")+COUNTIFS('CARNET DE SOUDURE'!$O$7:$O$3006,B885,'CARNET DE SOUDURE'!$P$7:$P$3006,"&lt;&gt;"&amp;C885,'CARNET DE SOUDURE'!$P$7:$P$3006,"&lt;&gt;")&gt;0,"⚠ DIFFÉRENTE","OK"))</f>
        <v>OK</v>
      </c>
      <c r="F885" s="147" t="n">
        <v>11.94</v>
      </c>
      <c r="G885" s="80"/>
      <c r="H885" s="83"/>
      <c r="I885" s="148" t="str">
        <f aca="false">IF(B885="","",IFERROR(INDEX('CARNET DE SOUDURE'!$B$7:$B$3006,MATCH(B885,'CARNET DE SOUDURE'!$L$7:$L$3006,0)),IFERROR(INDEX('CARNET DE SOUDURE'!$B$7:$B$3006,MATCH(B885,'CARNET DE SOUDURE'!$O$7:$O$3006,0)),"")))</f>
        <v>MFD-ISW → MFD-CPF</v>
      </c>
      <c r="J885" s="82" t="str">
        <f aca="false">IF(B885="","",IFERROR(INDEX('CARNET DE SOUDURE'!$E$7:$E$3006,MATCH(B885,'CARNET DE SOUDURE'!$O$7:$O$3006,0)),""))</f>
        <v>DJ°006</v>
      </c>
      <c r="K885" s="82" t="str">
        <f aca="false">IF(B885="","",IFERROR(INDEX('CARNET DE SOUDURE'!$E$7:$E$3006,MATCH(B885,'CARNET DE SOUDURE'!$L$7:$L$3006,0)),""))</f>
        <v/>
      </c>
      <c r="L885" s="82" t="n">
        <f aca="false">IF(B885="","",IFERROR(INDEX('CARNET DE SOUDURE'!$D$7:$D$3006,MATCH(B885,'CARNET DE SOUDURE'!$L$7:$L$3006,0)),IFERROR(INDEX('CARNET DE SOUDURE'!$D$7:$D$3006,MATCH(B885,'CARNET DE SOUDURE'!$O$7:$O$3006,0)),"")))</f>
        <v>17</v>
      </c>
      <c r="M885" s="82" t="str">
        <f aca="false">IF(B885="","",IF(OR(J885&lt;&gt;"",K885&lt;&gt;""),"POSÉ EN LIGNE",IF(COUNTIF(BARDAGE!$C$1:$C$5000,B885)&gt;0,"BARDÉ","EN STOCK")))</f>
        <v>POSÉ EN LIGNE</v>
      </c>
      <c r="N885" s="80"/>
    </row>
    <row r="886" customFormat="false" ht="15" hidden="false" customHeight="false" outlineLevel="0" collapsed="false">
      <c r="A886" s="82" t="n">
        <f aca="false">IF(B886="","",ROW()-6)</f>
        <v>880</v>
      </c>
      <c r="B886" s="145" t="n">
        <v>2099190</v>
      </c>
      <c r="C886" s="146" t="n">
        <v>15421110</v>
      </c>
      <c r="D886" s="146"/>
      <c r="E886" s="82" t="str">
        <f aca="false">IF(B886="","",IF(COUNTIFS('CARNET DE SOUDURE'!$L$7:$L$3006,B886,'CARNET DE SOUDURE'!$M$7:$M$3006,"&lt;&gt;"&amp;C886,'CARNET DE SOUDURE'!$M$7:$M$3006,"&lt;&gt;")+COUNTIFS('CARNET DE SOUDURE'!$O$7:$O$3006,B886,'CARNET DE SOUDURE'!$P$7:$P$3006,"&lt;&gt;"&amp;C886,'CARNET DE SOUDURE'!$P$7:$P$3006,"&lt;&gt;")&gt;0,"⚠ DIFFÉRENTE","OK"))</f>
        <v>OK</v>
      </c>
      <c r="F886" s="147" t="n">
        <v>11.94</v>
      </c>
      <c r="G886" s="80"/>
      <c r="H886" s="83"/>
      <c r="I886" s="148" t="str">
        <f aca="false">IF(B886="","",IFERROR(INDEX('CARNET DE SOUDURE'!$B$7:$B$3006,MATCH(B886,'CARNET DE SOUDURE'!$L$7:$L$3006,0)),IFERROR(INDEX('CARNET DE SOUDURE'!$B$7:$B$3006,MATCH(B886,'CARNET DE SOUDURE'!$O$7:$O$3006,0)),"")))</f>
        <v>MFD-ISW → MFD-CPF</v>
      </c>
      <c r="J886" s="82" t="str">
        <f aca="false">IF(B886="","",IFERROR(INDEX('CARNET DE SOUDURE'!$E$7:$E$3006,MATCH(B886,'CARNET DE SOUDURE'!$O$7:$O$3006,0)),""))</f>
        <v/>
      </c>
      <c r="K886" s="82" t="str">
        <f aca="false">IF(B886="","",IFERROR(INDEX('CARNET DE SOUDURE'!$E$7:$E$3006,MATCH(B886,'CARNET DE SOUDURE'!$L$7:$L$3006,0)),""))</f>
        <v>JN°1464</v>
      </c>
      <c r="L886" s="82" t="n">
        <f aca="false">IF(B886="","",IFERROR(INDEX('CARNET DE SOUDURE'!$D$7:$D$3006,MATCH(B886,'CARNET DE SOUDURE'!$L$7:$L$3006,0)),IFERROR(INDEX('CARNET DE SOUDURE'!$D$7:$D$3006,MATCH(B886,'CARNET DE SOUDURE'!$O$7:$O$3006,0)),"")))</f>
        <v>17</v>
      </c>
      <c r="M886" s="82" t="str">
        <f aca="false">IF(B886="","",IF(OR(J886&lt;&gt;"",K886&lt;&gt;""),"POSÉ EN LIGNE",IF(COUNTIF(BARDAGE!$C$1:$C$5000,B886)&gt;0,"BARDÉ","EN STOCK")))</f>
        <v>POSÉ EN LIGNE</v>
      </c>
      <c r="N886" s="80"/>
    </row>
    <row r="887" customFormat="false" ht="15" hidden="false" customHeight="false" outlineLevel="0" collapsed="false">
      <c r="A887" s="82" t="n">
        <f aca="false">IF(B887="","",ROW()-6)</f>
        <v>881</v>
      </c>
      <c r="B887" s="145" t="n">
        <v>2091220</v>
      </c>
      <c r="C887" s="146" t="n">
        <v>15421109</v>
      </c>
      <c r="D887" s="146"/>
      <c r="E887" s="82" t="str">
        <f aca="false">IF(B887="","",IF(COUNTIFS('CARNET DE SOUDURE'!$L$7:$L$3006,B887,'CARNET DE SOUDURE'!$M$7:$M$3006,"&lt;&gt;"&amp;C887,'CARNET DE SOUDURE'!$M$7:$M$3006,"&lt;&gt;")+COUNTIFS('CARNET DE SOUDURE'!$O$7:$O$3006,B887,'CARNET DE SOUDURE'!$P$7:$P$3006,"&lt;&gt;"&amp;C887,'CARNET DE SOUDURE'!$P$7:$P$3006,"&lt;&gt;")&gt;0,"⚠ DIFFÉRENTE","OK"))</f>
        <v>OK</v>
      </c>
      <c r="F887" s="147" t="n">
        <v>11.94</v>
      </c>
      <c r="G887" s="80"/>
      <c r="H887" s="83"/>
      <c r="I887" s="148" t="str">
        <f aca="false">IF(B887="","",IFERROR(INDEX('CARNET DE SOUDURE'!$B$7:$B$3006,MATCH(B887,'CARNET DE SOUDURE'!$L$7:$L$3006,0)),IFERROR(INDEX('CARNET DE SOUDURE'!$B$7:$B$3006,MATCH(B887,'CARNET DE SOUDURE'!$O$7:$O$3006,0)),"")))</f>
        <v>MFD-ISW → MFD-CPF</v>
      </c>
      <c r="J887" s="82" t="str">
        <f aca="false">IF(B887="","",IFERROR(INDEX('CARNET DE SOUDURE'!$E$7:$E$3006,MATCH(B887,'CARNET DE SOUDURE'!$O$7:$O$3006,0)),""))</f>
        <v>JN°1464</v>
      </c>
      <c r="K887" s="82" t="str">
        <f aca="false">IF(B887="","",IFERROR(INDEX('CARNET DE SOUDURE'!$E$7:$E$3006,MATCH(B887,'CARNET DE SOUDURE'!$L$7:$L$3006,0)),""))</f>
        <v/>
      </c>
      <c r="L887" s="82" t="n">
        <f aca="false">IF(B887="","",IFERROR(INDEX('CARNET DE SOUDURE'!$D$7:$D$3006,MATCH(B887,'CARNET DE SOUDURE'!$L$7:$L$3006,0)),IFERROR(INDEX('CARNET DE SOUDURE'!$D$7:$D$3006,MATCH(B887,'CARNET DE SOUDURE'!$O$7:$O$3006,0)),"")))</f>
        <v>17</v>
      </c>
      <c r="M887" s="82" t="str">
        <f aca="false">IF(B887="","",IF(OR(J887&lt;&gt;"",K887&lt;&gt;""),"POSÉ EN LIGNE",IF(COUNTIF(BARDAGE!$C$1:$C$5000,B887)&gt;0,"BARDÉ","EN STOCK")))</f>
        <v>POSÉ EN LIGNE</v>
      </c>
      <c r="N887" s="80"/>
    </row>
    <row r="888" customFormat="false" ht="15" hidden="false" customHeight="false" outlineLevel="0" collapsed="false">
      <c r="A888" s="82" t="n">
        <f aca="false">IF(B888="","",ROW()-6)</f>
        <v>882</v>
      </c>
      <c r="B888" s="145" t="n">
        <v>2099420</v>
      </c>
      <c r="C888" s="146" t="n">
        <v>15421109</v>
      </c>
      <c r="D888" s="146"/>
      <c r="E888" s="82" t="str">
        <f aca="false">IF(B888="","",IF(COUNTIFS('CARNET DE SOUDURE'!$L$7:$L$3006,B888,'CARNET DE SOUDURE'!$M$7:$M$3006,"&lt;&gt;"&amp;C888,'CARNET DE SOUDURE'!$M$7:$M$3006,"&lt;&gt;")+COUNTIFS('CARNET DE SOUDURE'!$O$7:$O$3006,B888,'CARNET DE SOUDURE'!$P$7:$P$3006,"&lt;&gt;"&amp;C888,'CARNET DE SOUDURE'!$P$7:$P$3006,"&lt;&gt;")&gt;0,"⚠ DIFFÉRENTE","OK"))</f>
        <v>OK</v>
      </c>
      <c r="F888" s="147" t="n">
        <v>11.94</v>
      </c>
      <c r="G888" s="80"/>
      <c r="H888" s="83"/>
      <c r="I888" s="148" t="str">
        <f aca="false">IF(B888="","",IFERROR(INDEX('CARNET DE SOUDURE'!$B$7:$B$3006,MATCH(B888,'CARNET DE SOUDURE'!$L$7:$L$3006,0)),IFERROR(INDEX('CARNET DE SOUDURE'!$B$7:$B$3006,MATCH(B888,'CARNET DE SOUDURE'!$O$7:$O$3006,0)),"")))</f>
        <v>MFD-ISW → MFD-CPF</v>
      </c>
      <c r="J888" s="82" t="str">
        <f aca="false">IF(B888="","",IFERROR(INDEX('CARNET DE SOUDURE'!$E$7:$E$3006,MATCH(B888,'CARNET DE SOUDURE'!$O$7:$O$3006,0)),""))</f>
        <v/>
      </c>
      <c r="K888" s="82" t="str">
        <f aca="false">IF(B888="","",IFERROR(INDEX('CARNET DE SOUDURE'!$E$7:$E$3006,MATCH(B888,'CARNET DE SOUDURE'!$L$7:$L$3006,0)),""))</f>
        <v>DJ°058</v>
      </c>
      <c r="L888" s="82" t="n">
        <f aca="false">IF(B888="","",IFERROR(INDEX('CARNET DE SOUDURE'!$D$7:$D$3006,MATCH(B888,'CARNET DE SOUDURE'!$L$7:$L$3006,0)),IFERROR(INDEX('CARNET DE SOUDURE'!$D$7:$D$3006,MATCH(B888,'CARNET DE SOUDURE'!$O$7:$O$3006,0)),"")))</f>
        <v>17</v>
      </c>
      <c r="M888" s="82" t="str">
        <f aca="false">IF(B888="","",IF(OR(J888&lt;&gt;"",K888&lt;&gt;""),"POSÉ EN LIGNE",IF(COUNTIF(BARDAGE!$C$1:$C$5000,B888)&gt;0,"BARDÉ","EN STOCK")))</f>
        <v>POSÉ EN LIGNE</v>
      </c>
      <c r="N888" s="80"/>
    </row>
    <row r="889" customFormat="false" ht="15" hidden="false" customHeight="false" outlineLevel="0" collapsed="false">
      <c r="A889" s="82" t="n">
        <f aca="false">IF(B889="","",ROW()-6)</f>
        <v>883</v>
      </c>
      <c r="B889" s="145" t="n">
        <v>2085130</v>
      </c>
      <c r="C889" s="146" t="n">
        <v>15421106</v>
      </c>
      <c r="D889" s="146"/>
      <c r="E889" s="82" t="str">
        <f aca="false">IF(B889="","",IF(COUNTIFS('CARNET DE SOUDURE'!$L$7:$L$3006,B889,'CARNET DE SOUDURE'!$M$7:$M$3006,"&lt;&gt;"&amp;C889,'CARNET DE SOUDURE'!$M$7:$M$3006,"&lt;&gt;")+COUNTIFS('CARNET DE SOUDURE'!$O$7:$O$3006,B889,'CARNET DE SOUDURE'!$P$7:$P$3006,"&lt;&gt;"&amp;C889,'CARNET DE SOUDURE'!$P$7:$P$3006,"&lt;&gt;")&gt;0,"⚠ DIFFÉRENTE","OK"))</f>
        <v>⚠ DIFFÉRENTE</v>
      </c>
      <c r="F889" s="147" t="n">
        <v>11.94</v>
      </c>
      <c r="G889" s="80"/>
      <c r="H889" s="83"/>
      <c r="I889" s="148" t="str">
        <f aca="false">IF(B889="","",IFERROR(INDEX('CARNET DE SOUDURE'!$B$7:$B$3006,MATCH(B889,'CARNET DE SOUDURE'!$L$7:$L$3006,0)),IFERROR(INDEX('CARNET DE SOUDURE'!$B$7:$B$3006,MATCH(B889,'CARNET DE SOUDURE'!$O$7:$O$3006,0)),"")))</f>
        <v>MFD-ISW → MFD-CPF</v>
      </c>
      <c r="J889" s="82" t="str">
        <f aca="false">IF(B889="","",IFERROR(INDEX('CARNET DE SOUDURE'!$E$7:$E$3006,MATCH(B889,'CARNET DE SOUDURE'!$O$7:$O$3006,0)),""))</f>
        <v>DJ°058</v>
      </c>
      <c r="K889" s="82" t="str">
        <f aca="false">IF(B889="","",IFERROR(INDEX('CARNET DE SOUDURE'!$E$7:$E$3006,MATCH(B889,'CARNET DE SOUDURE'!$L$7:$L$3006,0)),""))</f>
        <v>JN°1465</v>
      </c>
      <c r="L889" s="82" t="n">
        <f aca="false">IF(B889="","",IFERROR(INDEX('CARNET DE SOUDURE'!$D$7:$D$3006,MATCH(B889,'CARNET DE SOUDURE'!$L$7:$L$3006,0)),IFERROR(INDEX('CARNET DE SOUDURE'!$D$7:$D$3006,MATCH(B889,'CARNET DE SOUDURE'!$O$7:$O$3006,0)),"")))</f>
        <v>17</v>
      </c>
      <c r="M889" s="82" t="str">
        <f aca="false">IF(B889="","",IF(OR(J889&lt;&gt;"",K889&lt;&gt;""),"POSÉ EN LIGNE",IF(COUNTIF(BARDAGE!$C$1:$C$5000,B889)&gt;0,"BARDÉ","EN STOCK")))</f>
        <v>POSÉ EN LIGNE</v>
      </c>
      <c r="N889" s="80"/>
    </row>
    <row r="890" customFormat="false" ht="15" hidden="false" customHeight="false" outlineLevel="0" collapsed="false">
      <c r="A890" s="82" t="n">
        <f aca="false">IF(B890="","",ROW()-6)</f>
        <v>884</v>
      </c>
      <c r="B890" s="145" t="n">
        <v>2091360</v>
      </c>
      <c r="C890" s="146" t="n">
        <v>15421109</v>
      </c>
      <c r="D890" s="146"/>
      <c r="E890" s="82" t="str">
        <f aca="false">IF(B890="","",IF(COUNTIFS('CARNET DE SOUDURE'!$L$7:$L$3006,B890,'CARNET DE SOUDURE'!$M$7:$M$3006,"&lt;&gt;"&amp;C890,'CARNET DE SOUDURE'!$M$7:$M$3006,"&lt;&gt;")+COUNTIFS('CARNET DE SOUDURE'!$O$7:$O$3006,B890,'CARNET DE SOUDURE'!$P$7:$P$3006,"&lt;&gt;"&amp;C890,'CARNET DE SOUDURE'!$P$7:$P$3006,"&lt;&gt;")&gt;0,"⚠ DIFFÉRENTE","OK"))</f>
        <v>OK</v>
      </c>
      <c r="F890" s="147" t="n">
        <v>11.94</v>
      </c>
      <c r="G890" s="80"/>
      <c r="H890" s="83"/>
      <c r="I890" s="148" t="str">
        <f aca="false">IF(B890="","",IFERROR(INDEX('CARNET DE SOUDURE'!$B$7:$B$3006,MATCH(B890,'CARNET DE SOUDURE'!$L$7:$L$3006,0)),IFERROR(INDEX('CARNET DE SOUDURE'!$B$7:$B$3006,MATCH(B890,'CARNET DE SOUDURE'!$O$7:$O$3006,0)),"")))</f>
        <v>MFD-ISW → MFD-CPF</v>
      </c>
      <c r="J890" s="82" t="str">
        <f aca="false">IF(B890="","",IFERROR(INDEX('CARNET DE SOUDURE'!$E$7:$E$3006,MATCH(B890,'CARNET DE SOUDURE'!$O$7:$O$3006,0)),""))</f>
        <v>JN°1465</v>
      </c>
      <c r="K890" s="82" t="str">
        <f aca="false">IF(B890="","",IFERROR(INDEX('CARNET DE SOUDURE'!$E$7:$E$3006,MATCH(B890,'CARNET DE SOUDURE'!$L$7:$L$3006,0)),""))</f>
        <v>DJ°007</v>
      </c>
      <c r="L890" s="82" t="n">
        <f aca="false">IF(B890="","",IFERROR(INDEX('CARNET DE SOUDURE'!$D$7:$D$3006,MATCH(B890,'CARNET DE SOUDURE'!$L$7:$L$3006,0)),IFERROR(INDEX('CARNET DE SOUDURE'!$D$7:$D$3006,MATCH(B890,'CARNET DE SOUDURE'!$O$7:$O$3006,0)),"")))</f>
        <v>17</v>
      </c>
      <c r="M890" s="82" t="str">
        <f aca="false">IF(B890="","",IF(OR(J890&lt;&gt;"",K890&lt;&gt;""),"POSÉ EN LIGNE",IF(COUNTIF(BARDAGE!$C$1:$C$5000,B890)&gt;0,"BARDÉ","EN STOCK")))</f>
        <v>POSÉ EN LIGNE</v>
      </c>
      <c r="N890" s="80"/>
    </row>
    <row r="891" customFormat="false" ht="15" hidden="false" customHeight="false" outlineLevel="0" collapsed="false">
      <c r="A891" s="82" t="n">
        <f aca="false">IF(B891="","",ROW()-6)</f>
        <v>885</v>
      </c>
      <c r="B891" s="145" t="n">
        <v>2093960</v>
      </c>
      <c r="C891" s="146" t="n">
        <v>15421110</v>
      </c>
      <c r="D891" s="146"/>
      <c r="E891" s="82" t="str">
        <f aca="false">IF(B891="","",IF(COUNTIFS('CARNET DE SOUDURE'!$L$7:$L$3006,B891,'CARNET DE SOUDURE'!$M$7:$M$3006,"&lt;&gt;"&amp;C891,'CARNET DE SOUDURE'!$M$7:$M$3006,"&lt;&gt;")+COUNTIFS('CARNET DE SOUDURE'!$O$7:$O$3006,B891,'CARNET DE SOUDURE'!$P$7:$P$3006,"&lt;&gt;"&amp;C891,'CARNET DE SOUDURE'!$P$7:$P$3006,"&lt;&gt;")&gt;0,"⚠ DIFFÉRENTE","OK"))</f>
        <v>OK</v>
      </c>
      <c r="F891" s="147" t="n">
        <v>11.94</v>
      </c>
      <c r="G891" s="80"/>
      <c r="H891" s="83"/>
      <c r="I891" s="148" t="str">
        <f aca="false">IF(B891="","",IFERROR(INDEX('CARNET DE SOUDURE'!$B$7:$B$3006,MATCH(B891,'CARNET DE SOUDURE'!$L$7:$L$3006,0)),IFERROR(INDEX('CARNET DE SOUDURE'!$B$7:$B$3006,MATCH(B891,'CARNET DE SOUDURE'!$O$7:$O$3006,0)),"")))</f>
        <v>MFD-ISW → MFD-CPF</v>
      </c>
      <c r="J891" s="82" t="str">
        <f aca="false">IF(B891="","",IFERROR(INDEX('CARNET DE SOUDURE'!$E$7:$E$3006,MATCH(B891,'CARNET DE SOUDURE'!$O$7:$O$3006,0)),""))</f>
        <v>DJ°007</v>
      </c>
      <c r="K891" s="82" t="str">
        <f aca="false">IF(B891="","",IFERROR(INDEX('CARNET DE SOUDURE'!$E$7:$E$3006,MATCH(B891,'CARNET DE SOUDURE'!$L$7:$L$3006,0)),""))</f>
        <v>JN°1466</v>
      </c>
      <c r="L891" s="82" t="n">
        <f aca="false">IF(B891="","",IFERROR(INDEX('CARNET DE SOUDURE'!$D$7:$D$3006,MATCH(B891,'CARNET DE SOUDURE'!$L$7:$L$3006,0)),IFERROR(INDEX('CARNET DE SOUDURE'!$D$7:$D$3006,MATCH(B891,'CARNET DE SOUDURE'!$O$7:$O$3006,0)),"")))</f>
        <v>17</v>
      </c>
      <c r="M891" s="82" t="str">
        <f aca="false">IF(B891="","",IF(OR(J891&lt;&gt;"",K891&lt;&gt;""),"POSÉ EN LIGNE",IF(COUNTIF(BARDAGE!$C$1:$C$5000,B891)&gt;0,"BARDÉ","EN STOCK")))</f>
        <v>POSÉ EN LIGNE</v>
      </c>
      <c r="N891" s="80"/>
    </row>
    <row r="892" customFormat="false" ht="15" hidden="false" customHeight="false" outlineLevel="0" collapsed="false">
      <c r="A892" s="82" t="n">
        <f aca="false">IF(B892="","",ROW()-6)</f>
        <v>886</v>
      </c>
      <c r="B892" s="145" t="n">
        <v>2094680</v>
      </c>
      <c r="C892" s="146" t="n">
        <v>15421111</v>
      </c>
      <c r="D892" s="146"/>
      <c r="E892" s="82" t="str">
        <f aca="false">IF(B892="","",IF(COUNTIFS('CARNET DE SOUDURE'!$L$7:$L$3006,B892,'CARNET DE SOUDURE'!$M$7:$M$3006,"&lt;&gt;"&amp;C892,'CARNET DE SOUDURE'!$M$7:$M$3006,"&lt;&gt;")+COUNTIFS('CARNET DE SOUDURE'!$O$7:$O$3006,B892,'CARNET DE SOUDURE'!$P$7:$P$3006,"&lt;&gt;"&amp;C892,'CARNET DE SOUDURE'!$P$7:$P$3006,"&lt;&gt;")&gt;0,"⚠ DIFFÉRENTE","OK"))</f>
        <v>OK</v>
      </c>
      <c r="F892" s="147" t="n">
        <v>11.94</v>
      </c>
      <c r="G892" s="80"/>
      <c r="H892" s="83"/>
      <c r="I892" s="148" t="str">
        <f aca="false">IF(B892="","",IFERROR(INDEX('CARNET DE SOUDURE'!$B$7:$B$3006,MATCH(B892,'CARNET DE SOUDURE'!$L$7:$L$3006,0)),IFERROR(INDEX('CARNET DE SOUDURE'!$B$7:$B$3006,MATCH(B892,'CARNET DE SOUDURE'!$O$7:$O$3006,0)),"")))</f>
        <v>MFD-ISW → MFD-CPF</v>
      </c>
      <c r="J892" s="82" t="str">
        <f aca="false">IF(B892="","",IFERROR(INDEX('CARNET DE SOUDURE'!$E$7:$E$3006,MATCH(B892,'CARNET DE SOUDURE'!$O$7:$O$3006,0)),""))</f>
        <v>JN°1466</v>
      </c>
      <c r="K892" s="82" t="str">
        <f aca="false">IF(B892="","",IFERROR(INDEX('CARNET DE SOUDURE'!$E$7:$E$3006,MATCH(B892,'CARNET DE SOUDURE'!$L$7:$L$3006,0)),""))</f>
        <v>DJ°078</v>
      </c>
      <c r="L892" s="82" t="n">
        <f aca="false">IF(B892="","",IFERROR(INDEX('CARNET DE SOUDURE'!$D$7:$D$3006,MATCH(B892,'CARNET DE SOUDURE'!$L$7:$L$3006,0)),IFERROR(INDEX('CARNET DE SOUDURE'!$D$7:$D$3006,MATCH(B892,'CARNET DE SOUDURE'!$O$7:$O$3006,0)),"")))</f>
        <v>17</v>
      </c>
      <c r="M892" s="82" t="str">
        <f aca="false">IF(B892="","",IF(OR(J892&lt;&gt;"",K892&lt;&gt;""),"POSÉ EN LIGNE",IF(COUNTIF(BARDAGE!$C$1:$C$5000,B892)&gt;0,"BARDÉ","EN STOCK")))</f>
        <v>POSÉ EN LIGNE</v>
      </c>
      <c r="N892" s="80"/>
    </row>
    <row r="893" customFormat="false" ht="15" hidden="false" customHeight="false" outlineLevel="0" collapsed="false">
      <c r="A893" s="82" t="n">
        <f aca="false">IF(B893="","",ROW()-6)</f>
        <v>887</v>
      </c>
      <c r="B893" s="145" t="n">
        <v>2092980</v>
      </c>
      <c r="C893" s="146" t="n">
        <v>15421110</v>
      </c>
      <c r="D893" s="146"/>
      <c r="E893" s="82" t="str">
        <f aca="false">IF(B893="","",IF(COUNTIFS('CARNET DE SOUDURE'!$L$7:$L$3006,B893,'CARNET DE SOUDURE'!$M$7:$M$3006,"&lt;&gt;"&amp;C893,'CARNET DE SOUDURE'!$M$7:$M$3006,"&lt;&gt;")+COUNTIFS('CARNET DE SOUDURE'!$O$7:$O$3006,B893,'CARNET DE SOUDURE'!$P$7:$P$3006,"&lt;&gt;"&amp;C893,'CARNET DE SOUDURE'!$P$7:$P$3006,"&lt;&gt;")&gt;0,"⚠ DIFFÉRENTE","OK"))</f>
        <v>OK</v>
      </c>
      <c r="F893" s="147" t="n">
        <v>11.94</v>
      </c>
      <c r="G893" s="80"/>
      <c r="H893" s="83"/>
      <c r="I893" s="148" t="str">
        <f aca="false">IF(B893="","",IFERROR(INDEX('CARNET DE SOUDURE'!$B$7:$B$3006,MATCH(B893,'CARNET DE SOUDURE'!$L$7:$L$3006,0)),IFERROR(INDEX('CARNET DE SOUDURE'!$B$7:$B$3006,MATCH(B893,'CARNET DE SOUDURE'!$O$7:$O$3006,0)),"")))</f>
        <v>MFD-ISW → MFD-CPF</v>
      </c>
      <c r="J893" s="82" t="str">
        <f aca="false">IF(B893="","",IFERROR(INDEX('CARNET DE SOUDURE'!$E$7:$E$3006,MATCH(B893,'CARNET DE SOUDURE'!$O$7:$O$3006,0)),""))</f>
        <v>DJ°078</v>
      </c>
      <c r="K893" s="82" t="str">
        <f aca="false">IF(B893="","",IFERROR(INDEX('CARNET DE SOUDURE'!$E$7:$E$3006,MATCH(B893,'CARNET DE SOUDURE'!$L$7:$L$3006,0)),""))</f>
        <v>JN°1467</v>
      </c>
      <c r="L893" s="82" t="n">
        <f aca="false">IF(B893="","",IFERROR(INDEX('CARNET DE SOUDURE'!$D$7:$D$3006,MATCH(B893,'CARNET DE SOUDURE'!$L$7:$L$3006,0)),IFERROR(INDEX('CARNET DE SOUDURE'!$D$7:$D$3006,MATCH(B893,'CARNET DE SOUDURE'!$O$7:$O$3006,0)),"")))</f>
        <v>17</v>
      </c>
      <c r="M893" s="82" t="str">
        <f aca="false">IF(B893="","",IF(OR(J893&lt;&gt;"",K893&lt;&gt;""),"POSÉ EN LIGNE",IF(COUNTIF(BARDAGE!$C$1:$C$5000,B893)&gt;0,"BARDÉ","EN STOCK")))</f>
        <v>POSÉ EN LIGNE</v>
      </c>
      <c r="N893" s="80"/>
    </row>
    <row r="894" customFormat="false" ht="15" hidden="false" customHeight="false" outlineLevel="0" collapsed="false">
      <c r="A894" s="82" t="n">
        <f aca="false">IF(B894="","",ROW()-6)</f>
        <v>888</v>
      </c>
      <c r="B894" s="145" t="n">
        <v>2090770</v>
      </c>
      <c r="C894" s="146" t="n">
        <v>15421109</v>
      </c>
      <c r="D894" s="146"/>
      <c r="E894" s="82" t="str">
        <f aca="false">IF(B894="","",IF(COUNTIFS('CARNET DE SOUDURE'!$L$7:$L$3006,B894,'CARNET DE SOUDURE'!$M$7:$M$3006,"&lt;&gt;"&amp;C894,'CARNET DE SOUDURE'!$M$7:$M$3006,"&lt;&gt;")+COUNTIFS('CARNET DE SOUDURE'!$O$7:$O$3006,B894,'CARNET DE SOUDURE'!$P$7:$P$3006,"&lt;&gt;"&amp;C894,'CARNET DE SOUDURE'!$P$7:$P$3006,"&lt;&gt;")&gt;0,"⚠ DIFFÉRENTE","OK"))</f>
        <v>OK</v>
      </c>
      <c r="F894" s="147" t="n">
        <v>11.94</v>
      </c>
      <c r="G894" s="80"/>
      <c r="H894" s="83"/>
      <c r="I894" s="148" t="str">
        <f aca="false">IF(B894="","",IFERROR(INDEX('CARNET DE SOUDURE'!$B$7:$B$3006,MATCH(B894,'CARNET DE SOUDURE'!$L$7:$L$3006,0)),IFERROR(INDEX('CARNET DE SOUDURE'!$B$7:$B$3006,MATCH(B894,'CARNET DE SOUDURE'!$O$7:$O$3006,0)),"")))</f>
        <v>MFD-ISW → MFD-CPF</v>
      </c>
      <c r="J894" s="82" t="str">
        <f aca="false">IF(B894="","",IFERROR(INDEX('CARNET DE SOUDURE'!$E$7:$E$3006,MATCH(B894,'CARNET DE SOUDURE'!$O$7:$O$3006,0)),""))</f>
        <v>JN°1467</v>
      </c>
      <c r="K894" s="82" t="str">
        <f aca="false">IF(B894="","",IFERROR(INDEX('CARNET DE SOUDURE'!$E$7:$E$3006,MATCH(B894,'CARNET DE SOUDURE'!$L$7:$L$3006,0)),""))</f>
        <v/>
      </c>
      <c r="L894" s="82" t="n">
        <f aca="false">IF(B894="","",IFERROR(INDEX('CARNET DE SOUDURE'!$D$7:$D$3006,MATCH(B894,'CARNET DE SOUDURE'!$L$7:$L$3006,0)),IFERROR(INDEX('CARNET DE SOUDURE'!$D$7:$D$3006,MATCH(B894,'CARNET DE SOUDURE'!$O$7:$O$3006,0)),"")))</f>
        <v>17</v>
      </c>
      <c r="M894" s="82" t="str">
        <f aca="false">IF(B894="","",IF(OR(J894&lt;&gt;"",K894&lt;&gt;""),"POSÉ EN LIGNE",IF(COUNTIF(BARDAGE!$C$1:$C$5000,B894)&gt;0,"BARDÉ","EN STOCK")))</f>
        <v>POSÉ EN LIGNE</v>
      </c>
      <c r="N894" s="80"/>
    </row>
    <row r="895" customFormat="false" ht="15" hidden="false" customHeight="false" outlineLevel="0" collapsed="false">
      <c r="A895" s="82" t="n">
        <f aca="false">IF(B895="","",ROW()-6)</f>
        <v>889</v>
      </c>
      <c r="B895" s="145" t="n">
        <v>2084</v>
      </c>
      <c r="C895" s="146" t="n">
        <v>15421106</v>
      </c>
      <c r="D895" s="146"/>
      <c r="E895" s="82" t="str">
        <f aca="false">IF(B895="","",IF(COUNTIFS('CARNET DE SOUDURE'!$L$7:$L$3006,B895,'CARNET DE SOUDURE'!$M$7:$M$3006,"&lt;&gt;"&amp;C895,'CARNET DE SOUDURE'!$M$7:$M$3006,"&lt;&gt;")+COUNTIFS('CARNET DE SOUDURE'!$O$7:$O$3006,B895,'CARNET DE SOUDURE'!$P$7:$P$3006,"&lt;&gt;"&amp;C895,'CARNET DE SOUDURE'!$P$7:$P$3006,"&lt;&gt;")&gt;0,"⚠ DIFFÉRENTE","OK"))</f>
        <v>OK</v>
      </c>
      <c r="F895" s="147" t="n">
        <v>11.94</v>
      </c>
      <c r="G895" s="80"/>
      <c r="H895" s="83"/>
      <c r="I895" s="148" t="str">
        <f aca="false">IF(B895="","",IFERROR(INDEX('CARNET DE SOUDURE'!$B$7:$B$3006,MATCH(B895,'CARNET DE SOUDURE'!$L$7:$L$3006,0)),IFERROR(INDEX('CARNET DE SOUDURE'!$B$7:$B$3006,MATCH(B895,'CARNET DE SOUDURE'!$O$7:$O$3006,0)),"")))</f>
        <v>MFD-ISW → MFD-CPF</v>
      </c>
      <c r="J895" s="82" t="str">
        <f aca="false">IF(B895="","",IFERROR(INDEX('CARNET DE SOUDURE'!$E$7:$E$3006,MATCH(B895,'CARNET DE SOUDURE'!$O$7:$O$3006,0)),""))</f>
        <v/>
      </c>
      <c r="K895" s="82" t="str">
        <f aca="false">IF(B895="","",IFERROR(INDEX('CARNET DE SOUDURE'!$E$7:$E$3006,MATCH(B895,'CARNET DE SOUDURE'!$L$7:$L$3006,0)),""))</f>
        <v>DJ°109</v>
      </c>
      <c r="L895" s="82" t="n">
        <f aca="false">IF(B895="","",IFERROR(INDEX('CARNET DE SOUDURE'!$D$7:$D$3006,MATCH(B895,'CARNET DE SOUDURE'!$L$7:$L$3006,0)),IFERROR(INDEX('CARNET DE SOUDURE'!$D$7:$D$3006,MATCH(B895,'CARNET DE SOUDURE'!$O$7:$O$3006,0)),"")))</f>
        <v>17</v>
      </c>
      <c r="M895" s="82" t="str">
        <f aca="false">IF(B895="","",IF(OR(J895&lt;&gt;"",K895&lt;&gt;""),"POSÉ EN LIGNE",IF(COUNTIF(BARDAGE!$C$1:$C$5000,B895)&gt;0,"BARDÉ","EN STOCK")))</f>
        <v>POSÉ EN LIGNE</v>
      </c>
      <c r="N895" s="80"/>
    </row>
    <row r="896" customFormat="false" ht="15" hidden="false" customHeight="false" outlineLevel="0" collapsed="false">
      <c r="A896" s="82" t="n">
        <f aca="false">IF(B896="","",ROW()-6)</f>
        <v>890</v>
      </c>
      <c r="B896" s="145" t="n">
        <v>2046610</v>
      </c>
      <c r="C896" s="146" t="n">
        <v>15421109</v>
      </c>
      <c r="D896" s="146"/>
      <c r="E896" s="82" t="str">
        <f aca="false">IF(B896="","",IF(COUNTIFS('CARNET DE SOUDURE'!$L$7:$L$3006,B896,'CARNET DE SOUDURE'!$M$7:$M$3006,"&lt;&gt;"&amp;C896,'CARNET DE SOUDURE'!$M$7:$M$3006,"&lt;&gt;")+COUNTIFS('CARNET DE SOUDURE'!$O$7:$O$3006,B896,'CARNET DE SOUDURE'!$P$7:$P$3006,"&lt;&gt;"&amp;C896,'CARNET DE SOUDURE'!$P$7:$P$3006,"&lt;&gt;")&gt;0,"⚠ DIFFÉRENTE","OK"))</f>
        <v>OK</v>
      </c>
      <c r="F896" s="147" t="n">
        <v>11.94</v>
      </c>
      <c r="G896" s="80"/>
      <c r="H896" s="83"/>
      <c r="I896" s="148" t="str">
        <f aca="false">IF(B896="","",IFERROR(INDEX('CARNET DE SOUDURE'!$B$7:$B$3006,MATCH(B896,'CARNET DE SOUDURE'!$L$7:$L$3006,0)),IFERROR(INDEX('CARNET DE SOUDURE'!$B$7:$B$3006,MATCH(B896,'CARNET DE SOUDURE'!$O$7:$O$3006,0)),"")))</f>
        <v>MFD-ISW → MFD-CPF</v>
      </c>
      <c r="J896" s="82" t="str">
        <f aca="false">IF(B896="","",IFERROR(INDEX('CARNET DE SOUDURE'!$E$7:$E$3006,MATCH(B896,'CARNET DE SOUDURE'!$O$7:$O$3006,0)),""))</f>
        <v/>
      </c>
      <c r="K896" s="82" t="str">
        <f aca="false">IF(B896="","",IFERROR(INDEX('CARNET DE SOUDURE'!$E$7:$E$3006,MATCH(B896,'CARNET DE SOUDURE'!$L$7:$L$3006,0)),""))</f>
        <v>JN°1468</v>
      </c>
      <c r="L896" s="82" t="n">
        <f aca="false">IF(B896="","",IFERROR(INDEX('CARNET DE SOUDURE'!$D$7:$D$3006,MATCH(B896,'CARNET DE SOUDURE'!$L$7:$L$3006,0)),IFERROR(INDEX('CARNET DE SOUDURE'!$D$7:$D$3006,MATCH(B896,'CARNET DE SOUDURE'!$O$7:$O$3006,0)),"")))</f>
        <v>17</v>
      </c>
      <c r="M896" s="82" t="str">
        <f aca="false">IF(B896="","",IF(OR(J896&lt;&gt;"",K896&lt;&gt;""),"POSÉ EN LIGNE",IF(COUNTIF(BARDAGE!$C$1:$C$5000,B896)&gt;0,"BARDÉ","EN STOCK")))</f>
        <v>POSÉ EN LIGNE</v>
      </c>
      <c r="N896" s="80"/>
    </row>
    <row r="897" customFormat="false" ht="15" hidden="false" customHeight="false" outlineLevel="0" collapsed="false">
      <c r="A897" s="82" t="n">
        <f aca="false">IF(B897="","",ROW()-6)</f>
        <v>891</v>
      </c>
      <c r="B897" s="145" t="n">
        <v>2090610</v>
      </c>
      <c r="C897" s="146" t="n">
        <v>15421109</v>
      </c>
      <c r="D897" s="146"/>
      <c r="E897" s="82" t="str">
        <f aca="false">IF(B897="","",IF(COUNTIFS('CARNET DE SOUDURE'!$L$7:$L$3006,B897,'CARNET DE SOUDURE'!$M$7:$M$3006,"&lt;&gt;"&amp;C897,'CARNET DE SOUDURE'!$M$7:$M$3006,"&lt;&gt;")+COUNTIFS('CARNET DE SOUDURE'!$O$7:$O$3006,B897,'CARNET DE SOUDURE'!$P$7:$P$3006,"&lt;&gt;"&amp;C897,'CARNET DE SOUDURE'!$P$7:$P$3006,"&lt;&gt;")&gt;0,"⚠ DIFFÉRENTE","OK"))</f>
        <v>OK</v>
      </c>
      <c r="F897" s="147" t="n">
        <v>11.94</v>
      </c>
      <c r="G897" s="80"/>
      <c r="H897" s="83"/>
      <c r="I897" s="148" t="str">
        <f aca="false">IF(B897="","",IFERROR(INDEX('CARNET DE SOUDURE'!$B$7:$B$3006,MATCH(B897,'CARNET DE SOUDURE'!$L$7:$L$3006,0)),IFERROR(INDEX('CARNET DE SOUDURE'!$B$7:$B$3006,MATCH(B897,'CARNET DE SOUDURE'!$O$7:$O$3006,0)),"")))</f>
        <v>MFD-ISW → MFD-CPF</v>
      </c>
      <c r="J897" s="82" t="str">
        <f aca="false">IF(B897="","",IFERROR(INDEX('CARNET DE SOUDURE'!$E$7:$E$3006,MATCH(B897,'CARNET DE SOUDURE'!$O$7:$O$3006,0)),""))</f>
        <v>JN°1468</v>
      </c>
      <c r="K897" s="82" t="str">
        <f aca="false">IF(B897="","",IFERROR(INDEX('CARNET DE SOUDURE'!$E$7:$E$3006,MATCH(B897,'CARNET DE SOUDURE'!$L$7:$L$3006,0)),""))</f>
        <v>JN°1502</v>
      </c>
      <c r="L897" s="82" t="n">
        <f aca="false">IF(B897="","",IFERROR(INDEX('CARNET DE SOUDURE'!$D$7:$D$3006,MATCH(B897,'CARNET DE SOUDURE'!$L$7:$L$3006,0)),IFERROR(INDEX('CARNET DE SOUDURE'!$D$7:$D$3006,MATCH(B897,'CARNET DE SOUDURE'!$O$7:$O$3006,0)),"")))</f>
        <v>18</v>
      </c>
      <c r="M897" s="82" t="str">
        <f aca="false">IF(B897="","",IF(OR(J897&lt;&gt;"",K897&lt;&gt;""),"POSÉ EN LIGNE",IF(COUNTIF(BARDAGE!$C$1:$C$5000,B897)&gt;0,"BARDÉ","EN STOCK")))</f>
        <v>POSÉ EN LIGNE</v>
      </c>
      <c r="N897" s="80"/>
    </row>
    <row r="898" customFormat="false" ht="15" hidden="false" customHeight="false" outlineLevel="0" collapsed="false">
      <c r="A898" s="82" t="n">
        <f aca="false">IF(B898="","",ROW()-6)</f>
        <v>892</v>
      </c>
      <c r="B898" s="145" t="n">
        <v>2097800</v>
      </c>
      <c r="C898" s="146" t="n">
        <v>15421112</v>
      </c>
      <c r="D898" s="146"/>
      <c r="E898" s="82" t="str">
        <f aca="false">IF(B898="","",IF(COUNTIFS('CARNET DE SOUDURE'!$L$7:$L$3006,B898,'CARNET DE SOUDURE'!$M$7:$M$3006,"&lt;&gt;"&amp;C898,'CARNET DE SOUDURE'!$M$7:$M$3006,"&lt;&gt;")+COUNTIFS('CARNET DE SOUDURE'!$O$7:$O$3006,B898,'CARNET DE SOUDURE'!$P$7:$P$3006,"&lt;&gt;"&amp;C898,'CARNET DE SOUDURE'!$P$7:$P$3006,"&lt;&gt;")&gt;0,"⚠ DIFFÉRENTE","OK"))</f>
        <v>OK</v>
      </c>
      <c r="F898" s="147" t="n">
        <v>11.94</v>
      </c>
      <c r="G898" s="80"/>
      <c r="H898" s="83"/>
      <c r="I898" s="148" t="str">
        <f aca="false">IF(B898="","",IFERROR(INDEX('CARNET DE SOUDURE'!$B$7:$B$3006,MATCH(B898,'CARNET DE SOUDURE'!$L$7:$L$3006,0)),IFERROR(INDEX('CARNET DE SOUDURE'!$B$7:$B$3006,MATCH(B898,'CARNET DE SOUDURE'!$O$7:$O$3006,0)),"")))</f>
        <v>MFD-ISW → MFD-CPF</v>
      </c>
      <c r="J898" s="82" t="str">
        <f aca="false">IF(B898="","",IFERROR(INDEX('CARNET DE SOUDURE'!$E$7:$E$3006,MATCH(B898,'CARNET DE SOUDURE'!$O$7:$O$3006,0)),""))</f>
        <v/>
      </c>
      <c r="K898" s="82" t="str">
        <f aca="false">IF(B898="","",IFERROR(INDEX('CARNET DE SOUDURE'!$E$7:$E$3006,MATCH(B898,'CARNET DE SOUDURE'!$L$7:$L$3006,0)),""))</f>
        <v>DJ°001</v>
      </c>
      <c r="L898" s="82" t="n">
        <f aca="false">IF(B898="","",IFERROR(INDEX('CARNET DE SOUDURE'!$D$7:$D$3006,MATCH(B898,'CARNET DE SOUDURE'!$L$7:$L$3006,0)),IFERROR(INDEX('CARNET DE SOUDURE'!$D$7:$D$3006,MATCH(B898,'CARNET DE SOUDURE'!$O$7:$O$3006,0)),"")))</f>
        <v>17</v>
      </c>
      <c r="M898" s="82" t="str">
        <f aca="false">IF(B898="","",IF(OR(J898&lt;&gt;"",K898&lt;&gt;""),"POSÉ EN LIGNE",IF(COUNTIF(BARDAGE!$C$1:$C$5000,B898)&gt;0,"BARDÉ","EN STOCK")))</f>
        <v>POSÉ EN LIGNE</v>
      </c>
      <c r="N898" s="80"/>
    </row>
    <row r="899" customFormat="false" ht="15" hidden="false" customHeight="false" outlineLevel="0" collapsed="false">
      <c r="A899" s="82" t="n">
        <f aca="false">IF(B899="","",ROW()-6)</f>
        <v>893</v>
      </c>
      <c r="B899" s="145" t="n">
        <v>2088070</v>
      </c>
      <c r="C899" s="146" t="n">
        <v>15421108</v>
      </c>
      <c r="D899" s="146"/>
      <c r="E899" s="82" t="str">
        <f aca="false">IF(B899="","",IF(COUNTIFS('CARNET DE SOUDURE'!$L$7:$L$3006,B899,'CARNET DE SOUDURE'!$M$7:$M$3006,"&lt;&gt;"&amp;C899,'CARNET DE SOUDURE'!$M$7:$M$3006,"&lt;&gt;")+COUNTIFS('CARNET DE SOUDURE'!$O$7:$O$3006,B899,'CARNET DE SOUDURE'!$P$7:$P$3006,"&lt;&gt;"&amp;C899,'CARNET DE SOUDURE'!$P$7:$P$3006,"&lt;&gt;")&gt;0,"⚠ DIFFÉRENTE","OK"))</f>
        <v>OK</v>
      </c>
      <c r="F899" s="147" t="n">
        <v>11.94</v>
      </c>
      <c r="G899" s="80"/>
      <c r="H899" s="83"/>
      <c r="I899" s="148" t="str">
        <f aca="false">IF(B899="","",IFERROR(INDEX('CARNET DE SOUDURE'!$B$7:$B$3006,MATCH(B899,'CARNET DE SOUDURE'!$L$7:$L$3006,0)),IFERROR(INDEX('CARNET DE SOUDURE'!$B$7:$B$3006,MATCH(B899,'CARNET DE SOUDURE'!$O$7:$O$3006,0)),"")))</f>
        <v>MFD-ISW → MFD-CPF</v>
      </c>
      <c r="J899" s="82" t="str">
        <f aca="false">IF(B899="","",IFERROR(INDEX('CARNET DE SOUDURE'!$E$7:$E$3006,MATCH(B899,'CARNET DE SOUDURE'!$O$7:$O$3006,0)),""))</f>
        <v>DJ°001</v>
      </c>
      <c r="K899" s="82" t="str">
        <f aca="false">IF(B899="","",IFERROR(INDEX('CARNET DE SOUDURE'!$E$7:$E$3006,MATCH(B899,'CARNET DE SOUDURE'!$L$7:$L$3006,0)),""))</f>
        <v/>
      </c>
      <c r="L899" s="82" t="n">
        <f aca="false">IF(B899="","",IFERROR(INDEX('CARNET DE SOUDURE'!$D$7:$D$3006,MATCH(B899,'CARNET DE SOUDURE'!$L$7:$L$3006,0)),IFERROR(INDEX('CARNET DE SOUDURE'!$D$7:$D$3006,MATCH(B899,'CARNET DE SOUDURE'!$O$7:$O$3006,0)),"")))</f>
        <v>17</v>
      </c>
      <c r="M899" s="82" t="str">
        <f aca="false">IF(B899="","",IF(OR(J899&lt;&gt;"",K899&lt;&gt;""),"POSÉ EN LIGNE",IF(COUNTIF(BARDAGE!$C$1:$C$5000,B899)&gt;0,"BARDÉ","EN STOCK")))</f>
        <v>POSÉ EN LIGNE</v>
      </c>
      <c r="N899" s="80"/>
    </row>
    <row r="900" customFormat="false" ht="15" hidden="false" customHeight="false" outlineLevel="0" collapsed="false">
      <c r="A900" s="82" t="n">
        <f aca="false">IF(B900="","",ROW()-6)</f>
        <v>894</v>
      </c>
      <c r="B900" s="145" t="n">
        <v>2088160</v>
      </c>
      <c r="C900" s="146" t="n">
        <v>15421108</v>
      </c>
      <c r="D900" s="146"/>
      <c r="E900" s="82" t="str">
        <f aca="false">IF(B900="","",IF(COUNTIFS('CARNET DE SOUDURE'!$L$7:$L$3006,B900,'CARNET DE SOUDURE'!$M$7:$M$3006,"&lt;&gt;"&amp;C900,'CARNET DE SOUDURE'!$M$7:$M$3006,"&lt;&gt;")+COUNTIFS('CARNET DE SOUDURE'!$O$7:$O$3006,B900,'CARNET DE SOUDURE'!$P$7:$P$3006,"&lt;&gt;"&amp;C900,'CARNET DE SOUDURE'!$P$7:$P$3006,"&lt;&gt;")&gt;0,"⚠ DIFFÉRENTE","OK"))</f>
        <v>OK</v>
      </c>
      <c r="F900" s="147" t="n">
        <v>11.94</v>
      </c>
      <c r="G900" s="80"/>
      <c r="H900" s="83"/>
      <c r="I900" s="148" t="str">
        <f aca="false">IF(B900="","",IFERROR(INDEX('CARNET DE SOUDURE'!$B$7:$B$3006,MATCH(B900,'CARNET DE SOUDURE'!$L$7:$L$3006,0)),IFERROR(INDEX('CARNET DE SOUDURE'!$B$7:$B$3006,MATCH(B900,'CARNET DE SOUDURE'!$O$7:$O$3006,0)),"")))</f>
        <v>MFD-ISW → MFD-CPF</v>
      </c>
      <c r="J900" s="82" t="str">
        <f aca="false">IF(B900="","",IFERROR(INDEX('CARNET DE SOUDURE'!$E$7:$E$3006,MATCH(B900,'CARNET DE SOUDURE'!$O$7:$O$3006,0)),""))</f>
        <v>JN°1470</v>
      </c>
      <c r="K900" s="82" t="str">
        <f aca="false">IF(B900="","",IFERROR(INDEX('CARNET DE SOUDURE'!$E$7:$E$3006,MATCH(B900,'CARNET DE SOUDURE'!$L$7:$L$3006,0)),""))</f>
        <v/>
      </c>
      <c r="L900" s="82" t="n">
        <f aca="false">IF(B900="","",IFERROR(INDEX('CARNET DE SOUDURE'!$D$7:$D$3006,MATCH(B900,'CARNET DE SOUDURE'!$L$7:$L$3006,0)),IFERROR(INDEX('CARNET DE SOUDURE'!$D$7:$D$3006,MATCH(B900,'CARNET DE SOUDURE'!$O$7:$O$3006,0)),"")))</f>
        <v>17</v>
      </c>
      <c r="M900" s="82" t="str">
        <f aca="false">IF(B900="","",IF(OR(J900&lt;&gt;"",K900&lt;&gt;""),"POSÉ EN LIGNE",IF(COUNTIF(BARDAGE!$C$1:$C$5000,B900)&gt;0,"BARDÉ","EN STOCK")))</f>
        <v>POSÉ EN LIGNE</v>
      </c>
      <c r="N900" s="80"/>
    </row>
    <row r="901" customFormat="false" ht="15" hidden="false" customHeight="false" outlineLevel="0" collapsed="false">
      <c r="A901" s="82" t="n">
        <f aca="false">IF(B901="","",ROW()-6)</f>
        <v>895</v>
      </c>
      <c r="B901" s="145" t="n">
        <v>2084700</v>
      </c>
      <c r="C901" s="146" t="n">
        <v>15421106</v>
      </c>
      <c r="D901" s="146"/>
      <c r="E901" s="82" t="str">
        <f aca="false">IF(B901="","",IF(COUNTIFS('CARNET DE SOUDURE'!$L$7:$L$3006,B901,'CARNET DE SOUDURE'!$M$7:$M$3006,"&lt;&gt;"&amp;C901,'CARNET DE SOUDURE'!$M$7:$M$3006,"&lt;&gt;")+COUNTIFS('CARNET DE SOUDURE'!$O$7:$O$3006,B901,'CARNET DE SOUDURE'!$P$7:$P$3006,"&lt;&gt;"&amp;C901,'CARNET DE SOUDURE'!$P$7:$P$3006,"&lt;&gt;")&gt;0,"⚠ DIFFÉRENTE","OK"))</f>
        <v>OK</v>
      </c>
      <c r="F901" s="147" t="n">
        <v>11.94</v>
      </c>
      <c r="G901" s="80"/>
      <c r="H901" s="83"/>
      <c r="I901" s="148" t="str">
        <f aca="false">IF(B901="","",IFERROR(INDEX('CARNET DE SOUDURE'!$B$7:$B$3006,MATCH(B901,'CARNET DE SOUDURE'!$L$7:$L$3006,0)),IFERROR(INDEX('CARNET DE SOUDURE'!$B$7:$B$3006,MATCH(B901,'CARNET DE SOUDURE'!$O$7:$O$3006,0)),"")))</f>
        <v>MFD-ISW → MFD-CPF</v>
      </c>
      <c r="J901" s="82" t="str">
        <f aca="false">IF(B901="","",IFERROR(INDEX('CARNET DE SOUDURE'!$E$7:$E$3006,MATCH(B901,'CARNET DE SOUDURE'!$O$7:$O$3006,0)),""))</f>
        <v/>
      </c>
      <c r="K901" s="82" t="str">
        <f aca="false">IF(B901="","",IFERROR(INDEX('CARNET DE SOUDURE'!$E$7:$E$3006,MATCH(B901,'CARNET DE SOUDURE'!$L$7:$L$3006,0)),""))</f>
        <v>DJ°102</v>
      </c>
      <c r="L901" s="82" t="n">
        <f aca="false">IF(B901="","",IFERROR(INDEX('CARNET DE SOUDURE'!$D$7:$D$3006,MATCH(B901,'CARNET DE SOUDURE'!$L$7:$L$3006,0)),IFERROR(INDEX('CARNET DE SOUDURE'!$D$7:$D$3006,MATCH(B901,'CARNET DE SOUDURE'!$O$7:$O$3006,0)),"")))</f>
        <v>17</v>
      </c>
      <c r="M901" s="82" t="str">
        <f aca="false">IF(B901="","",IF(OR(J901&lt;&gt;"",K901&lt;&gt;""),"POSÉ EN LIGNE",IF(COUNTIF(BARDAGE!$C$1:$C$5000,B901)&gt;0,"BARDÉ","EN STOCK")))</f>
        <v>POSÉ EN LIGNE</v>
      </c>
      <c r="N901" s="80"/>
    </row>
    <row r="902" customFormat="false" ht="15" hidden="false" customHeight="false" outlineLevel="0" collapsed="false">
      <c r="A902" s="82" t="n">
        <f aca="false">IF(B902="","",ROW()-6)</f>
        <v>896</v>
      </c>
      <c r="B902" s="145" t="n">
        <v>2084100</v>
      </c>
      <c r="C902" s="146" t="n">
        <v>15421106</v>
      </c>
      <c r="D902" s="146"/>
      <c r="E902" s="82" t="str">
        <f aca="false">IF(B902="","",IF(COUNTIFS('CARNET DE SOUDURE'!$L$7:$L$3006,B902,'CARNET DE SOUDURE'!$M$7:$M$3006,"&lt;&gt;"&amp;C902,'CARNET DE SOUDURE'!$M$7:$M$3006,"&lt;&gt;")+COUNTIFS('CARNET DE SOUDURE'!$O$7:$O$3006,B902,'CARNET DE SOUDURE'!$P$7:$P$3006,"&lt;&gt;"&amp;C902,'CARNET DE SOUDURE'!$P$7:$P$3006,"&lt;&gt;")&gt;0,"⚠ DIFFÉRENTE","OK"))</f>
        <v>OK</v>
      </c>
      <c r="F902" s="147" t="n">
        <v>11.94</v>
      </c>
      <c r="G902" s="80"/>
      <c r="H902" s="83"/>
      <c r="I902" s="148" t="str">
        <f aca="false">IF(B902="","",IFERROR(INDEX('CARNET DE SOUDURE'!$B$7:$B$3006,MATCH(B902,'CARNET DE SOUDURE'!$L$7:$L$3006,0)),IFERROR(INDEX('CARNET DE SOUDURE'!$B$7:$B$3006,MATCH(B902,'CARNET DE SOUDURE'!$O$7:$O$3006,0)),"")))</f>
        <v>MFD-ISW → MFD-CPF</v>
      </c>
      <c r="J902" s="82" t="str">
        <f aca="false">IF(B902="","",IFERROR(INDEX('CARNET DE SOUDURE'!$E$7:$E$3006,MATCH(B902,'CARNET DE SOUDURE'!$O$7:$O$3006,0)),""))</f>
        <v/>
      </c>
      <c r="K902" s="82" t="str">
        <f aca="false">IF(B902="","",IFERROR(INDEX('CARNET DE SOUDURE'!$E$7:$E$3006,MATCH(B902,'CARNET DE SOUDURE'!$L$7:$L$3006,0)),""))</f>
        <v>JN°1471</v>
      </c>
      <c r="L902" s="82" t="n">
        <f aca="false">IF(B902="","",IFERROR(INDEX('CARNET DE SOUDURE'!$D$7:$D$3006,MATCH(B902,'CARNET DE SOUDURE'!$L$7:$L$3006,0)),IFERROR(INDEX('CARNET DE SOUDURE'!$D$7:$D$3006,MATCH(B902,'CARNET DE SOUDURE'!$O$7:$O$3006,0)),"")))</f>
        <v>17</v>
      </c>
      <c r="M902" s="82" t="str">
        <f aca="false">IF(B902="","",IF(OR(J902&lt;&gt;"",K902&lt;&gt;""),"POSÉ EN LIGNE",IF(COUNTIF(BARDAGE!$C$1:$C$5000,B902)&gt;0,"BARDÉ","EN STOCK")))</f>
        <v>POSÉ EN LIGNE</v>
      </c>
      <c r="N902" s="80"/>
    </row>
    <row r="903" customFormat="false" ht="15" hidden="false" customHeight="false" outlineLevel="0" collapsed="false">
      <c r="A903" s="82" t="n">
        <f aca="false">IF(B903="","",ROW()-6)</f>
        <v>897</v>
      </c>
      <c r="B903" s="145" t="n">
        <v>2081190</v>
      </c>
      <c r="C903" s="146" t="n">
        <v>15421103</v>
      </c>
      <c r="D903" s="146"/>
      <c r="E903" s="82" t="str">
        <f aca="false">IF(B903="","",IF(COUNTIFS('CARNET DE SOUDURE'!$L$7:$L$3006,B903,'CARNET DE SOUDURE'!$M$7:$M$3006,"&lt;&gt;"&amp;C903,'CARNET DE SOUDURE'!$M$7:$M$3006,"&lt;&gt;")+COUNTIFS('CARNET DE SOUDURE'!$O$7:$O$3006,B903,'CARNET DE SOUDURE'!$P$7:$P$3006,"&lt;&gt;"&amp;C903,'CARNET DE SOUDURE'!$P$7:$P$3006,"&lt;&gt;")&gt;0,"⚠ DIFFÉRENTE","OK"))</f>
        <v>⚠ DIFFÉRENTE</v>
      </c>
      <c r="F903" s="147" t="n">
        <v>11.94</v>
      </c>
      <c r="G903" s="80"/>
      <c r="H903" s="83"/>
      <c r="I903" s="148" t="str">
        <f aca="false">IF(B903="","",IFERROR(INDEX('CARNET DE SOUDURE'!$B$7:$B$3006,MATCH(B903,'CARNET DE SOUDURE'!$L$7:$L$3006,0)),IFERROR(INDEX('CARNET DE SOUDURE'!$B$7:$B$3006,MATCH(B903,'CARNET DE SOUDURE'!$O$7:$O$3006,0)),"")))</f>
        <v>MFD-ISW → MFD-CPF</v>
      </c>
      <c r="J903" s="82" t="str">
        <f aca="false">IF(B903="","",IFERROR(INDEX('CARNET DE SOUDURE'!$E$7:$E$3006,MATCH(B903,'CARNET DE SOUDURE'!$O$7:$O$3006,0)),""))</f>
        <v>JN°1471</v>
      </c>
      <c r="K903" s="82" t="str">
        <f aca="false">IF(B903="","",IFERROR(INDEX('CARNET DE SOUDURE'!$E$7:$E$3006,MATCH(B903,'CARNET DE SOUDURE'!$L$7:$L$3006,0)),""))</f>
        <v/>
      </c>
      <c r="L903" s="82" t="n">
        <f aca="false">IF(B903="","",IFERROR(INDEX('CARNET DE SOUDURE'!$D$7:$D$3006,MATCH(B903,'CARNET DE SOUDURE'!$L$7:$L$3006,0)),IFERROR(INDEX('CARNET DE SOUDURE'!$D$7:$D$3006,MATCH(B903,'CARNET DE SOUDURE'!$O$7:$O$3006,0)),"")))</f>
        <v>17</v>
      </c>
      <c r="M903" s="82" t="str">
        <f aca="false">IF(B903="","",IF(OR(J903&lt;&gt;"",K903&lt;&gt;""),"POSÉ EN LIGNE",IF(COUNTIF(BARDAGE!$C$1:$C$5000,B903)&gt;0,"BARDÉ","EN STOCK")))</f>
        <v>POSÉ EN LIGNE</v>
      </c>
      <c r="N903" s="80"/>
    </row>
    <row r="904" customFormat="false" ht="15" hidden="false" customHeight="false" outlineLevel="0" collapsed="false">
      <c r="A904" s="82" t="n">
        <f aca="false">IF(B904="","",ROW()-6)</f>
        <v>898</v>
      </c>
      <c r="B904" s="145" t="n">
        <v>2090600</v>
      </c>
      <c r="C904" s="146" t="n">
        <v>15421109</v>
      </c>
      <c r="D904" s="146"/>
      <c r="E904" s="82" t="str">
        <f aca="false">IF(B904="","",IF(COUNTIFS('CARNET DE SOUDURE'!$L$7:$L$3006,B904,'CARNET DE SOUDURE'!$M$7:$M$3006,"&lt;&gt;"&amp;C904,'CARNET DE SOUDURE'!$M$7:$M$3006,"&lt;&gt;")+COUNTIFS('CARNET DE SOUDURE'!$O$7:$O$3006,B904,'CARNET DE SOUDURE'!$P$7:$P$3006,"&lt;&gt;"&amp;C904,'CARNET DE SOUDURE'!$P$7:$P$3006,"&lt;&gt;")&gt;0,"⚠ DIFFÉRENTE","OK"))</f>
        <v>OK</v>
      </c>
      <c r="F904" s="147" t="n">
        <v>11.94</v>
      </c>
      <c r="G904" s="80"/>
      <c r="H904" s="83"/>
      <c r="I904" s="148" t="str">
        <f aca="false">IF(B904="","",IFERROR(INDEX('CARNET DE SOUDURE'!$B$7:$B$3006,MATCH(B904,'CARNET DE SOUDURE'!$L$7:$L$3006,0)),IFERROR(INDEX('CARNET DE SOUDURE'!$B$7:$B$3006,MATCH(B904,'CARNET DE SOUDURE'!$O$7:$O$3006,0)),"")))</f>
        <v>MFD-ISW → MFD-CPF</v>
      </c>
      <c r="J904" s="82" t="str">
        <f aca="false">IF(B904="","",IFERROR(INDEX('CARNET DE SOUDURE'!$E$7:$E$3006,MATCH(B904,'CARNET DE SOUDURE'!$O$7:$O$3006,0)),""))</f>
        <v/>
      </c>
      <c r="K904" s="82" t="str">
        <f aca="false">IF(B904="","",IFERROR(INDEX('CARNET DE SOUDURE'!$E$7:$E$3006,MATCH(B904,'CARNET DE SOUDURE'!$L$7:$L$3006,0)),""))</f>
        <v>DJ°100</v>
      </c>
      <c r="L904" s="82" t="n">
        <f aca="false">IF(B904="","",IFERROR(INDEX('CARNET DE SOUDURE'!$D$7:$D$3006,MATCH(B904,'CARNET DE SOUDURE'!$L$7:$L$3006,0)),IFERROR(INDEX('CARNET DE SOUDURE'!$D$7:$D$3006,MATCH(B904,'CARNET DE SOUDURE'!$O$7:$O$3006,0)),"")))</f>
        <v>17</v>
      </c>
      <c r="M904" s="82" t="str">
        <f aca="false">IF(B904="","",IF(OR(J904&lt;&gt;"",K904&lt;&gt;""),"POSÉ EN LIGNE",IF(COUNTIF(BARDAGE!$C$1:$C$5000,B904)&gt;0,"BARDÉ","EN STOCK")))</f>
        <v>POSÉ EN LIGNE</v>
      </c>
      <c r="N904" s="80"/>
    </row>
    <row r="905" customFormat="false" ht="15" hidden="false" customHeight="false" outlineLevel="0" collapsed="false">
      <c r="A905" s="82" t="n">
        <f aca="false">IF(B905="","",ROW()-6)</f>
        <v>899</v>
      </c>
      <c r="B905" s="145" t="n">
        <v>2094320</v>
      </c>
      <c r="C905" s="146" t="n">
        <v>15421110</v>
      </c>
      <c r="D905" s="146"/>
      <c r="E905" s="82" t="str">
        <f aca="false">IF(B905="","",IF(COUNTIFS('CARNET DE SOUDURE'!$L$7:$L$3006,B905,'CARNET DE SOUDURE'!$M$7:$M$3006,"&lt;&gt;"&amp;C905,'CARNET DE SOUDURE'!$M$7:$M$3006,"&lt;&gt;")+COUNTIFS('CARNET DE SOUDURE'!$O$7:$O$3006,B905,'CARNET DE SOUDURE'!$P$7:$P$3006,"&lt;&gt;"&amp;C905,'CARNET DE SOUDURE'!$P$7:$P$3006,"&lt;&gt;")&gt;0,"⚠ DIFFÉRENTE","OK"))</f>
        <v>⚠ DIFFÉRENTE</v>
      </c>
      <c r="F905" s="147" t="n">
        <v>11.94</v>
      </c>
      <c r="G905" s="80"/>
      <c r="H905" s="83"/>
      <c r="I905" s="148" t="str">
        <f aca="false">IF(B905="","",IFERROR(INDEX('CARNET DE SOUDURE'!$B$7:$B$3006,MATCH(B905,'CARNET DE SOUDURE'!$L$7:$L$3006,0)),IFERROR(INDEX('CARNET DE SOUDURE'!$B$7:$B$3006,MATCH(B905,'CARNET DE SOUDURE'!$O$7:$O$3006,0)),"")))</f>
        <v>MFD-ISW → MFD-CPF</v>
      </c>
      <c r="J905" s="82" t="str">
        <f aca="false">IF(B905="","",IFERROR(INDEX('CARNET DE SOUDURE'!$E$7:$E$3006,MATCH(B905,'CARNET DE SOUDURE'!$O$7:$O$3006,0)),""))</f>
        <v>DJ°099</v>
      </c>
      <c r="K905" s="82" t="str">
        <f aca="false">IF(B905="","",IFERROR(INDEX('CARNET DE SOUDURE'!$E$7:$E$3006,MATCH(B905,'CARNET DE SOUDURE'!$L$7:$L$3006,0)),""))</f>
        <v>JN°1473</v>
      </c>
      <c r="L905" s="82" t="n">
        <f aca="false">IF(B905="","",IFERROR(INDEX('CARNET DE SOUDURE'!$D$7:$D$3006,MATCH(B905,'CARNET DE SOUDURE'!$L$7:$L$3006,0)),IFERROR(INDEX('CARNET DE SOUDURE'!$D$7:$D$3006,MATCH(B905,'CARNET DE SOUDURE'!$O$7:$O$3006,0)),"")))</f>
        <v>17</v>
      </c>
      <c r="M905" s="82" t="str">
        <f aca="false">IF(B905="","",IF(OR(J905&lt;&gt;"",K905&lt;&gt;""),"POSÉ EN LIGNE",IF(COUNTIF(BARDAGE!$C$1:$C$5000,B905)&gt;0,"BARDÉ","EN STOCK")))</f>
        <v>POSÉ EN LIGNE</v>
      </c>
      <c r="N905" s="80"/>
    </row>
    <row r="906" customFormat="false" ht="15" hidden="false" customHeight="false" outlineLevel="0" collapsed="false">
      <c r="A906" s="82" t="n">
        <f aca="false">IF(B906="","",ROW()-6)</f>
        <v>900</v>
      </c>
      <c r="B906" s="145" t="n">
        <v>2092770</v>
      </c>
      <c r="C906" s="146" t="n">
        <v>15421110</v>
      </c>
      <c r="D906" s="146"/>
      <c r="E906" s="82" t="str">
        <f aca="false">IF(B906="","",IF(COUNTIFS('CARNET DE SOUDURE'!$L$7:$L$3006,B906,'CARNET DE SOUDURE'!$M$7:$M$3006,"&lt;&gt;"&amp;C906,'CARNET DE SOUDURE'!$M$7:$M$3006,"&lt;&gt;")+COUNTIFS('CARNET DE SOUDURE'!$O$7:$O$3006,B906,'CARNET DE SOUDURE'!$P$7:$P$3006,"&lt;&gt;"&amp;C906,'CARNET DE SOUDURE'!$P$7:$P$3006,"&lt;&gt;")&gt;0,"⚠ DIFFÉRENTE","OK"))</f>
        <v>OK</v>
      </c>
      <c r="F906" s="147" t="n">
        <v>11.94</v>
      </c>
      <c r="G906" s="80"/>
      <c r="H906" s="83"/>
      <c r="I906" s="148" t="str">
        <f aca="false">IF(B906="","",IFERROR(INDEX('CARNET DE SOUDURE'!$B$7:$B$3006,MATCH(B906,'CARNET DE SOUDURE'!$L$7:$L$3006,0)),IFERROR(INDEX('CARNET DE SOUDURE'!$B$7:$B$3006,MATCH(B906,'CARNET DE SOUDURE'!$O$7:$O$3006,0)),"")))</f>
        <v>MFD-ISW → MFD-CPF</v>
      </c>
      <c r="J906" s="82" t="str">
        <f aca="false">IF(B906="","",IFERROR(INDEX('CARNET DE SOUDURE'!$E$7:$E$3006,MATCH(B906,'CARNET DE SOUDURE'!$O$7:$O$3006,0)),""))</f>
        <v>JN°1473</v>
      </c>
      <c r="K906" s="82" t="str">
        <f aca="false">IF(B906="","",IFERROR(INDEX('CARNET DE SOUDURE'!$E$7:$E$3006,MATCH(B906,'CARNET DE SOUDURE'!$L$7:$L$3006,0)),""))</f>
        <v/>
      </c>
      <c r="L906" s="82" t="n">
        <f aca="false">IF(B906="","",IFERROR(INDEX('CARNET DE SOUDURE'!$D$7:$D$3006,MATCH(B906,'CARNET DE SOUDURE'!$L$7:$L$3006,0)),IFERROR(INDEX('CARNET DE SOUDURE'!$D$7:$D$3006,MATCH(B906,'CARNET DE SOUDURE'!$O$7:$O$3006,0)),"")))</f>
        <v>17</v>
      </c>
      <c r="M906" s="82" t="str">
        <f aca="false">IF(B906="","",IF(OR(J906&lt;&gt;"",K906&lt;&gt;""),"POSÉ EN LIGNE",IF(COUNTIF(BARDAGE!$C$1:$C$5000,B906)&gt;0,"BARDÉ","EN STOCK")))</f>
        <v>POSÉ EN LIGNE</v>
      </c>
      <c r="N906" s="80"/>
    </row>
    <row r="907" customFormat="false" ht="15" hidden="false" customHeight="false" outlineLevel="0" collapsed="false">
      <c r="A907" s="82" t="n">
        <f aca="false">IF(B907="","",ROW()-6)</f>
        <v>901</v>
      </c>
      <c r="B907" s="145" t="n">
        <v>2089870</v>
      </c>
      <c r="C907" s="146" t="n">
        <v>15421109</v>
      </c>
      <c r="D907" s="146"/>
      <c r="E907" s="82" t="str">
        <f aca="false">IF(B907="","",IF(COUNTIFS('CARNET DE SOUDURE'!$L$7:$L$3006,B907,'CARNET DE SOUDURE'!$M$7:$M$3006,"&lt;&gt;"&amp;C907,'CARNET DE SOUDURE'!$M$7:$M$3006,"&lt;&gt;")+COUNTIFS('CARNET DE SOUDURE'!$O$7:$O$3006,B907,'CARNET DE SOUDURE'!$P$7:$P$3006,"&lt;&gt;"&amp;C907,'CARNET DE SOUDURE'!$P$7:$P$3006,"&lt;&gt;")&gt;0,"⚠ DIFFÉRENTE","OK"))</f>
        <v>OK</v>
      </c>
      <c r="F907" s="147" t="n">
        <v>11.94</v>
      </c>
      <c r="G907" s="80"/>
      <c r="H907" s="83"/>
      <c r="I907" s="148" t="str">
        <f aca="false">IF(B907="","",IFERROR(INDEX('CARNET DE SOUDURE'!$B$7:$B$3006,MATCH(B907,'CARNET DE SOUDURE'!$L$7:$L$3006,0)),IFERROR(INDEX('CARNET DE SOUDURE'!$B$7:$B$3006,MATCH(B907,'CARNET DE SOUDURE'!$O$7:$O$3006,0)),"")))</f>
        <v>MFD-ISW → MFD-CPF</v>
      </c>
      <c r="J907" s="82" t="str">
        <f aca="false">IF(B907="","",IFERROR(INDEX('CARNET DE SOUDURE'!$E$7:$E$3006,MATCH(B907,'CARNET DE SOUDURE'!$O$7:$O$3006,0)),""))</f>
        <v>DJ°101</v>
      </c>
      <c r="K907" s="82" t="str">
        <f aca="false">IF(B907="","",IFERROR(INDEX('CARNET DE SOUDURE'!$E$7:$E$3006,MATCH(B907,'CARNET DE SOUDURE'!$L$7:$L$3006,0)),""))</f>
        <v>JN°1474</v>
      </c>
      <c r="L907" s="82" t="n">
        <f aca="false">IF(B907="","",IFERROR(INDEX('CARNET DE SOUDURE'!$D$7:$D$3006,MATCH(B907,'CARNET DE SOUDURE'!$L$7:$L$3006,0)),IFERROR(INDEX('CARNET DE SOUDURE'!$D$7:$D$3006,MATCH(B907,'CARNET DE SOUDURE'!$O$7:$O$3006,0)),"")))</f>
        <v>17</v>
      </c>
      <c r="M907" s="82" t="str">
        <f aca="false">IF(B907="","",IF(OR(J907&lt;&gt;"",K907&lt;&gt;""),"POSÉ EN LIGNE",IF(COUNTIF(BARDAGE!$C$1:$C$5000,B907)&gt;0,"BARDÉ","EN STOCK")))</f>
        <v>POSÉ EN LIGNE</v>
      </c>
      <c r="N907" s="80"/>
    </row>
    <row r="908" customFormat="false" ht="15" hidden="false" customHeight="false" outlineLevel="0" collapsed="false">
      <c r="A908" s="82" t="n">
        <f aca="false">IF(B908="","",ROW()-6)</f>
        <v>902</v>
      </c>
      <c r="B908" s="145" t="n">
        <v>2096970</v>
      </c>
      <c r="C908" s="146" t="n">
        <v>15421111</v>
      </c>
      <c r="D908" s="146"/>
      <c r="E908" s="82" t="str">
        <f aca="false">IF(B908="","",IF(COUNTIFS('CARNET DE SOUDURE'!$L$7:$L$3006,B908,'CARNET DE SOUDURE'!$M$7:$M$3006,"&lt;&gt;"&amp;C908,'CARNET DE SOUDURE'!$M$7:$M$3006,"&lt;&gt;")+COUNTIFS('CARNET DE SOUDURE'!$O$7:$O$3006,B908,'CARNET DE SOUDURE'!$P$7:$P$3006,"&lt;&gt;"&amp;C908,'CARNET DE SOUDURE'!$P$7:$P$3006,"&lt;&gt;")&gt;0,"⚠ DIFFÉRENTE","OK"))</f>
        <v>OK</v>
      </c>
      <c r="F908" s="147" t="n">
        <v>11.94</v>
      </c>
      <c r="G908" s="80"/>
      <c r="H908" s="83"/>
      <c r="I908" s="148" t="str">
        <f aca="false">IF(B908="","",IFERROR(INDEX('CARNET DE SOUDURE'!$B$7:$B$3006,MATCH(B908,'CARNET DE SOUDURE'!$L$7:$L$3006,0)),IFERROR(INDEX('CARNET DE SOUDURE'!$B$7:$B$3006,MATCH(B908,'CARNET DE SOUDURE'!$O$7:$O$3006,0)),"")))</f>
        <v>MFD-ISW → MFD-CPF</v>
      </c>
      <c r="J908" s="82" t="str">
        <f aca="false">IF(B908="","",IFERROR(INDEX('CARNET DE SOUDURE'!$E$7:$E$3006,MATCH(B908,'CARNET DE SOUDURE'!$O$7:$O$3006,0)),""))</f>
        <v>JN°1474</v>
      </c>
      <c r="K908" s="82" t="str">
        <f aca="false">IF(B908="","",IFERROR(INDEX('CARNET DE SOUDURE'!$E$7:$E$3006,MATCH(B908,'CARNET DE SOUDURE'!$L$7:$L$3006,0)),""))</f>
        <v>DJ°011</v>
      </c>
      <c r="L908" s="82" t="n">
        <f aca="false">IF(B908="","",IFERROR(INDEX('CARNET DE SOUDURE'!$D$7:$D$3006,MATCH(B908,'CARNET DE SOUDURE'!$L$7:$L$3006,0)),IFERROR(INDEX('CARNET DE SOUDURE'!$D$7:$D$3006,MATCH(B908,'CARNET DE SOUDURE'!$O$7:$O$3006,0)),"")))</f>
        <v>17</v>
      </c>
      <c r="M908" s="82" t="str">
        <f aca="false">IF(B908="","",IF(OR(J908&lt;&gt;"",K908&lt;&gt;""),"POSÉ EN LIGNE",IF(COUNTIF(BARDAGE!$C$1:$C$5000,B908)&gt;0,"BARDÉ","EN STOCK")))</f>
        <v>POSÉ EN LIGNE</v>
      </c>
      <c r="N908" s="80"/>
    </row>
    <row r="909" customFormat="false" ht="15" hidden="false" customHeight="false" outlineLevel="0" collapsed="false">
      <c r="A909" s="82" t="n">
        <f aca="false">IF(B909="","",ROW()-6)</f>
        <v>903</v>
      </c>
      <c r="B909" s="145" t="n">
        <v>2089330</v>
      </c>
      <c r="C909" s="146" t="n">
        <v>15421108</v>
      </c>
      <c r="D909" s="146"/>
      <c r="E909" s="82" t="str">
        <f aca="false">IF(B909="","",IF(COUNTIFS('CARNET DE SOUDURE'!$L$7:$L$3006,B909,'CARNET DE SOUDURE'!$M$7:$M$3006,"&lt;&gt;"&amp;C909,'CARNET DE SOUDURE'!$M$7:$M$3006,"&lt;&gt;")+COUNTIFS('CARNET DE SOUDURE'!$O$7:$O$3006,B909,'CARNET DE SOUDURE'!$P$7:$P$3006,"&lt;&gt;"&amp;C909,'CARNET DE SOUDURE'!$P$7:$P$3006,"&lt;&gt;")&gt;0,"⚠ DIFFÉRENTE","OK"))</f>
        <v>OK</v>
      </c>
      <c r="F909" s="147" t="n">
        <v>11.94</v>
      </c>
      <c r="G909" s="80"/>
      <c r="H909" s="83"/>
      <c r="I909" s="148" t="str">
        <f aca="false">IF(B909="","",IFERROR(INDEX('CARNET DE SOUDURE'!$B$7:$B$3006,MATCH(B909,'CARNET DE SOUDURE'!$L$7:$L$3006,0)),IFERROR(INDEX('CARNET DE SOUDURE'!$B$7:$B$3006,MATCH(B909,'CARNET DE SOUDURE'!$O$7:$O$3006,0)),"")))</f>
        <v>MFD-ISW → MFD-CPF</v>
      </c>
      <c r="J909" s="82" t="str">
        <f aca="false">IF(B909="","",IFERROR(INDEX('CARNET DE SOUDURE'!$E$7:$E$3006,MATCH(B909,'CARNET DE SOUDURE'!$O$7:$O$3006,0)),""))</f>
        <v>DJ°011</v>
      </c>
      <c r="K909" s="82" t="str">
        <f aca="false">IF(B909="","",IFERROR(INDEX('CARNET DE SOUDURE'!$E$7:$E$3006,MATCH(B909,'CARNET DE SOUDURE'!$L$7:$L$3006,0)),""))</f>
        <v>JN°1475</v>
      </c>
      <c r="L909" s="82" t="n">
        <f aca="false">IF(B909="","",IFERROR(INDEX('CARNET DE SOUDURE'!$D$7:$D$3006,MATCH(B909,'CARNET DE SOUDURE'!$L$7:$L$3006,0)),IFERROR(INDEX('CARNET DE SOUDURE'!$D$7:$D$3006,MATCH(B909,'CARNET DE SOUDURE'!$O$7:$O$3006,0)),"")))</f>
        <v>17</v>
      </c>
      <c r="M909" s="82" t="str">
        <f aca="false">IF(B909="","",IF(OR(J909&lt;&gt;"",K909&lt;&gt;""),"POSÉ EN LIGNE",IF(COUNTIF(BARDAGE!$C$1:$C$5000,B909)&gt;0,"BARDÉ","EN STOCK")))</f>
        <v>POSÉ EN LIGNE</v>
      </c>
      <c r="N909" s="80"/>
    </row>
    <row r="910" customFormat="false" ht="15" hidden="false" customHeight="false" outlineLevel="0" collapsed="false">
      <c r="A910" s="82" t="n">
        <f aca="false">IF(B910="","",ROW()-6)</f>
        <v>904</v>
      </c>
      <c r="B910" s="145" t="n">
        <v>2082310</v>
      </c>
      <c r="C910" s="146" t="n">
        <v>15421104</v>
      </c>
      <c r="D910" s="146"/>
      <c r="E910" s="82" t="str">
        <f aca="false">IF(B910="","",IF(COUNTIFS('CARNET DE SOUDURE'!$L$7:$L$3006,B910,'CARNET DE SOUDURE'!$M$7:$M$3006,"&lt;&gt;"&amp;C910,'CARNET DE SOUDURE'!$M$7:$M$3006,"&lt;&gt;")+COUNTIFS('CARNET DE SOUDURE'!$O$7:$O$3006,B910,'CARNET DE SOUDURE'!$P$7:$P$3006,"&lt;&gt;"&amp;C910,'CARNET DE SOUDURE'!$P$7:$P$3006,"&lt;&gt;")&gt;0,"⚠ DIFFÉRENTE","OK"))</f>
        <v>OK</v>
      </c>
      <c r="F910" s="147" t="n">
        <v>11.94</v>
      </c>
      <c r="G910" s="80"/>
      <c r="H910" s="83"/>
      <c r="I910" s="148" t="str">
        <f aca="false">IF(B910="","",IFERROR(INDEX('CARNET DE SOUDURE'!$B$7:$B$3006,MATCH(B910,'CARNET DE SOUDURE'!$L$7:$L$3006,0)),IFERROR(INDEX('CARNET DE SOUDURE'!$B$7:$B$3006,MATCH(B910,'CARNET DE SOUDURE'!$O$7:$O$3006,0)),"")))</f>
        <v>MFD-ISW → MFD-CPF</v>
      </c>
      <c r="J910" s="82" t="str">
        <f aca="false">IF(B910="","",IFERROR(INDEX('CARNET DE SOUDURE'!$E$7:$E$3006,MATCH(B910,'CARNET DE SOUDURE'!$O$7:$O$3006,0)),""))</f>
        <v>DJ°025</v>
      </c>
      <c r="K910" s="82" t="str">
        <f aca="false">IF(B910="","",IFERROR(INDEX('CARNET DE SOUDURE'!$E$7:$E$3006,MATCH(B910,'CARNET DE SOUDURE'!$L$7:$L$3006,0)),""))</f>
        <v>JN°1476R</v>
      </c>
      <c r="L910" s="82" t="n">
        <f aca="false">IF(B910="","",IFERROR(INDEX('CARNET DE SOUDURE'!$D$7:$D$3006,MATCH(B910,'CARNET DE SOUDURE'!$L$7:$L$3006,0)),IFERROR(INDEX('CARNET DE SOUDURE'!$D$7:$D$3006,MATCH(B910,'CARNET DE SOUDURE'!$O$7:$O$3006,0)),"")))</f>
        <v>17</v>
      </c>
      <c r="M910" s="82" t="str">
        <f aca="false">IF(B910="","",IF(OR(J910&lt;&gt;"",K910&lt;&gt;""),"POSÉ EN LIGNE",IF(COUNTIF(BARDAGE!$C$1:$C$5000,B910)&gt;0,"BARDÉ","EN STOCK")))</f>
        <v>POSÉ EN LIGNE</v>
      </c>
      <c r="N910" s="80"/>
    </row>
    <row r="911" customFormat="false" ht="15" hidden="false" customHeight="false" outlineLevel="0" collapsed="false">
      <c r="A911" s="82" t="n">
        <f aca="false">IF(B911="","",ROW()-6)</f>
        <v>905</v>
      </c>
      <c r="B911" s="145" t="n">
        <v>2083460</v>
      </c>
      <c r="C911" s="146" t="n">
        <v>15421105</v>
      </c>
      <c r="D911" s="146"/>
      <c r="E911" s="82" t="str">
        <f aca="false">IF(B911="","",IF(COUNTIFS('CARNET DE SOUDURE'!$L$7:$L$3006,B911,'CARNET DE SOUDURE'!$M$7:$M$3006,"&lt;&gt;"&amp;C911,'CARNET DE SOUDURE'!$M$7:$M$3006,"&lt;&gt;")+COUNTIFS('CARNET DE SOUDURE'!$O$7:$O$3006,B911,'CARNET DE SOUDURE'!$P$7:$P$3006,"&lt;&gt;"&amp;C911,'CARNET DE SOUDURE'!$P$7:$P$3006,"&lt;&gt;")&gt;0,"⚠ DIFFÉRENTE","OK"))</f>
        <v>OK</v>
      </c>
      <c r="F911" s="147" t="n">
        <v>11.94</v>
      </c>
      <c r="G911" s="80"/>
      <c r="H911" s="83"/>
      <c r="I911" s="148" t="str">
        <f aca="false">IF(B911="","",IFERROR(INDEX('CARNET DE SOUDURE'!$B$7:$B$3006,MATCH(B911,'CARNET DE SOUDURE'!$L$7:$L$3006,0)),IFERROR(INDEX('CARNET DE SOUDURE'!$B$7:$B$3006,MATCH(B911,'CARNET DE SOUDURE'!$O$7:$O$3006,0)),"")))</f>
        <v>MFD-ISW → MFD-CPF</v>
      </c>
      <c r="J911" s="82" t="str">
        <f aca="false">IF(B911="","",IFERROR(INDEX('CARNET DE SOUDURE'!$E$7:$E$3006,MATCH(B911,'CARNET DE SOUDURE'!$O$7:$O$3006,0)),""))</f>
        <v>JN°1476R</v>
      </c>
      <c r="K911" s="82" t="str">
        <f aca="false">IF(B911="","",IFERROR(INDEX('CARNET DE SOUDURE'!$E$7:$E$3006,MATCH(B911,'CARNET DE SOUDURE'!$L$7:$L$3006,0)),""))</f>
        <v>DJ°076</v>
      </c>
      <c r="L911" s="82" t="n">
        <f aca="false">IF(B911="","",IFERROR(INDEX('CARNET DE SOUDURE'!$D$7:$D$3006,MATCH(B911,'CARNET DE SOUDURE'!$L$7:$L$3006,0)),IFERROR(INDEX('CARNET DE SOUDURE'!$D$7:$D$3006,MATCH(B911,'CARNET DE SOUDURE'!$O$7:$O$3006,0)),"")))</f>
        <v>17</v>
      </c>
      <c r="M911" s="82" t="str">
        <f aca="false">IF(B911="","",IF(OR(J911&lt;&gt;"",K911&lt;&gt;""),"POSÉ EN LIGNE",IF(COUNTIF(BARDAGE!$C$1:$C$5000,B911)&gt;0,"BARDÉ","EN STOCK")))</f>
        <v>POSÉ EN LIGNE</v>
      </c>
      <c r="N911" s="80"/>
    </row>
    <row r="912" customFormat="false" ht="15" hidden="false" customHeight="false" outlineLevel="0" collapsed="false">
      <c r="A912" s="82" t="n">
        <f aca="false">IF(B912="","",ROW()-6)</f>
        <v>906</v>
      </c>
      <c r="B912" s="145" t="n">
        <v>2085280</v>
      </c>
      <c r="C912" s="146" t="n">
        <v>15421106</v>
      </c>
      <c r="D912" s="146"/>
      <c r="E912" s="82" t="str">
        <f aca="false">IF(B912="","",IF(COUNTIFS('CARNET DE SOUDURE'!$L$7:$L$3006,B912,'CARNET DE SOUDURE'!$M$7:$M$3006,"&lt;&gt;"&amp;C912,'CARNET DE SOUDURE'!$M$7:$M$3006,"&lt;&gt;")+COUNTIFS('CARNET DE SOUDURE'!$O$7:$O$3006,B912,'CARNET DE SOUDURE'!$P$7:$P$3006,"&lt;&gt;"&amp;C912,'CARNET DE SOUDURE'!$P$7:$P$3006,"&lt;&gt;")&gt;0,"⚠ DIFFÉRENTE","OK"))</f>
        <v>OK</v>
      </c>
      <c r="F912" s="147" t="n">
        <v>11.94</v>
      </c>
      <c r="G912" s="80"/>
      <c r="H912" s="83"/>
      <c r="I912" s="148" t="str">
        <f aca="false">IF(B912="","",IFERROR(INDEX('CARNET DE SOUDURE'!$B$7:$B$3006,MATCH(B912,'CARNET DE SOUDURE'!$L$7:$L$3006,0)),IFERROR(INDEX('CARNET DE SOUDURE'!$B$7:$B$3006,MATCH(B912,'CARNET DE SOUDURE'!$O$7:$O$3006,0)),"")))</f>
        <v>MFD-ISW → MFD-CPF</v>
      </c>
      <c r="J912" s="82" t="str">
        <f aca="false">IF(B912="","",IFERROR(INDEX('CARNET DE SOUDURE'!$E$7:$E$3006,MATCH(B912,'CARNET DE SOUDURE'!$O$7:$O$3006,0)),""))</f>
        <v>DJ°076</v>
      </c>
      <c r="K912" s="82" t="str">
        <f aca="false">IF(B912="","",IFERROR(INDEX('CARNET DE SOUDURE'!$E$7:$E$3006,MATCH(B912,'CARNET DE SOUDURE'!$L$7:$L$3006,0)),""))</f>
        <v>JN°1477</v>
      </c>
      <c r="L912" s="82" t="n">
        <f aca="false">IF(B912="","",IFERROR(INDEX('CARNET DE SOUDURE'!$D$7:$D$3006,MATCH(B912,'CARNET DE SOUDURE'!$L$7:$L$3006,0)),IFERROR(INDEX('CARNET DE SOUDURE'!$D$7:$D$3006,MATCH(B912,'CARNET DE SOUDURE'!$O$7:$O$3006,0)),"")))</f>
        <v>17</v>
      </c>
      <c r="M912" s="82" t="str">
        <f aca="false">IF(B912="","",IF(OR(J912&lt;&gt;"",K912&lt;&gt;""),"POSÉ EN LIGNE",IF(COUNTIF(BARDAGE!$C$1:$C$5000,B912)&gt;0,"BARDÉ","EN STOCK")))</f>
        <v>POSÉ EN LIGNE</v>
      </c>
      <c r="N912" s="80"/>
    </row>
    <row r="913" customFormat="false" ht="15" hidden="false" customHeight="false" outlineLevel="0" collapsed="false">
      <c r="A913" s="82" t="n">
        <f aca="false">IF(B913="","",ROW()-6)</f>
        <v>907</v>
      </c>
      <c r="B913" s="145" t="n">
        <v>2081270</v>
      </c>
      <c r="C913" s="146" t="n">
        <v>15421103</v>
      </c>
      <c r="D913" s="146"/>
      <c r="E913" s="82" t="str">
        <f aca="false">IF(B913="","",IF(COUNTIFS('CARNET DE SOUDURE'!$L$7:$L$3006,B913,'CARNET DE SOUDURE'!$M$7:$M$3006,"&lt;&gt;"&amp;C913,'CARNET DE SOUDURE'!$M$7:$M$3006,"&lt;&gt;")+COUNTIFS('CARNET DE SOUDURE'!$O$7:$O$3006,B913,'CARNET DE SOUDURE'!$P$7:$P$3006,"&lt;&gt;"&amp;C913,'CARNET DE SOUDURE'!$P$7:$P$3006,"&lt;&gt;")&gt;0,"⚠ DIFFÉRENTE","OK"))</f>
        <v>OK</v>
      </c>
      <c r="F913" s="147" t="n">
        <v>11.94</v>
      </c>
      <c r="G913" s="80"/>
      <c r="H913" s="83"/>
      <c r="I913" s="148" t="str">
        <f aca="false">IF(B913="","",IFERROR(INDEX('CARNET DE SOUDURE'!$B$7:$B$3006,MATCH(B913,'CARNET DE SOUDURE'!$L$7:$L$3006,0)),IFERROR(INDEX('CARNET DE SOUDURE'!$B$7:$B$3006,MATCH(B913,'CARNET DE SOUDURE'!$O$7:$O$3006,0)),"")))</f>
        <v>MFD-ISW → MFD-CPF</v>
      </c>
      <c r="J913" s="82" t="str">
        <f aca="false">IF(B913="","",IFERROR(INDEX('CARNET DE SOUDURE'!$E$7:$E$3006,MATCH(B913,'CARNET DE SOUDURE'!$O$7:$O$3006,0)),""))</f>
        <v>JN°1478</v>
      </c>
      <c r="K913" s="82" t="str">
        <f aca="false">IF(B913="","",IFERROR(INDEX('CARNET DE SOUDURE'!$E$7:$E$3006,MATCH(B913,'CARNET DE SOUDURE'!$L$7:$L$3006,0)),""))</f>
        <v>JN°1479R</v>
      </c>
      <c r="L913" s="82" t="n">
        <f aca="false">IF(B913="","",IFERROR(INDEX('CARNET DE SOUDURE'!$D$7:$D$3006,MATCH(B913,'CARNET DE SOUDURE'!$L$7:$L$3006,0)),IFERROR(INDEX('CARNET DE SOUDURE'!$D$7:$D$3006,MATCH(B913,'CARNET DE SOUDURE'!$O$7:$O$3006,0)),"")))</f>
        <v>17</v>
      </c>
      <c r="M913" s="82" t="str">
        <f aca="false">IF(B913="","",IF(OR(J913&lt;&gt;"",K913&lt;&gt;""),"POSÉ EN LIGNE",IF(COUNTIF(BARDAGE!$C$1:$C$5000,B913)&gt;0,"BARDÉ","EN STOCK")))</f>
        <v>POSÉ EN LIGNE</v>
      </c>
      <c r="N913" s="80"/>
    </row>
    <row r="914" customFormat="false" ht="15" hidden="false" customHeight="false" outlineLevel="0" collapsed="false">
      <c r="A914" s="82" t="n">
        <f aca="false">IF(B914="","",ROW()-6)</f>
        <v>908</v>
      </c>
      <c r="B914" s="145" t="n">
        <v>2088280</v>
      </c>
      <c r="C914" s="146" t="n">
        <v>15421108</v>
      </c>
      <c r="D914" s="146"/>
      <c r="E914" s="82" t="str">
        <f aca="false">IF(B914="","",IF(COUNTIFS('CARNET DE SOUDURE'!$L$7:$L$3006,B914,'CARNET DE SOUDURE'!$M$7:$M$3006,"&lt;&gt;"&amp;C914,'CARNET DE SOUDURE'!$M$7:$M$3006,"&lt;&gt;")+COUNTIFS('CARNET DE SOUDURE'!$O$7:$O$3006,B914,'CARNET DE SOUDURE'!$P$7:$P$3006,"&lt;&gt;"&amp;C914,'CARNET DE SOUDURE'!$P$7:$P$3006,"&lt;&gt;")&gt;0,"⚠ DIFFÉRENTE","OK"))</f>
        <v>OK</v>
      </c>
      <c r="F914" s="147" t="n">
        <v>11.94</v>
      </c>
      <c r="G914" s="80"/>
      <c r="H914" s="83"/>
      <c r="I914" s="148" t="str">
        <f aca="false">IF(B914="","",IFERROR(INDEX('CARNET DE SOUDURE'!$B$7:$B$3006,MATCH(B914,'CARNET DE SOUDURE'!$L$7:$L$3006,0)),IFERROR(INDEX('CARNET DE SOUDURE'!$B$7:$B$3006,MATCH(B914,'CARNET DE SOUDURE'!$O$7:$O$3006,0)),"")))</f>
        <v>MFD-ISW → MFD-CPF</v>
      </c>
      <c r="J914" s="82" t="str">
        <f aca="false">IF(B914="","",IFERROR(INDEX('CARNET DE SOUDURE'!$E$7:$E$3006,MATCH(B914,'CARNET DE SOUDURE'!$O$7:$O$3006,0)),""))</f>
        <v>JN°1479R</v>
      </c>
      <c r="K914" s="82" t="str">
        <f aca="false">IF(B914="","",IFERROR(INDEX('CARNET DE SOUDURE'!$E$7:$E$3006,MATCH(B914,'CARNET DE SOUDURE'!$L$7:$L$3006,0)),""))</f>
        <v>JN°1480</v>
      </c>
      <c r="L914" s="82" t="n">
        <f aca="false">IF(B914="","",IFERROR(INDEX('CARNET DE SOUDURE'!$D$7:$D$3006,MATCH(B914,'CARNET DE SOUDURE'!$L$7:$L$3006,0)),IFERROR(INDEX('CARNET DE SOUDURE'!$D$7:$D$3006,MATCH(B914,'CARNET DE SOUDURE'!$O$7:$O$3006,0)),"")))</f>
        <v>17</v>
      </c>
      <c r="M914" s="82" t="str">
        <f aca="false">IF(B914="","",IF(OR(J914&lt;&gt;"",K914&lt;&gt;""),"POSÉ EN LIGNE",IF(COUNTIF(BARDAGE!$C$1:$C$5000,B914)&gt;0,"BARDÉ","EN STOCK")))</f>
        <v>POSÉ EN LIGNE</v>
      </c>
      <c r="N914" s="80"/>
    </row>
    <row r="915" customFormat="false" ht="15" hidden="false" customHeight="false" outlineLevel="0" collapsed="false">
      <c r="A915" s="82" t="n">
        <f aca="false">IF(B915="","",ROW()-6)</f>
        <v>909</v>
      </c>
      <c r="B915" s="145" t="n">
        <v>2098190</v>
      </c>
      <c r="C915" s="146" t="n">
        <v>15421112</v>
      </c>
      <c r="D915" s="146"/>
      <c r="E915" s="82" t="str">
        <f aca="false">IF(B915="","",IF(COUNTIFS('CARNET DE SOUDURE'!$L$7:$L$3006,B915,'CARNET DE SOUDURE'!$M$7:$M$3006,"&lt;&gt;"&amp;C915,'CARNET DE SOUDURE'!$M$7:$M$3006,"&lt;&gt;")+COUNTIFS('CARNET DE SOUDURE'!$O$7:$O$3006,B915,'CARNET DE SOUDURE'!$P$7:$P$3006,"&lt;&gt;"&amp;C915,'CARNET DE SOUDURE'!$P$7:$P$3006,"&lt;&gt;")&gt;0,"⚠ DIFFÉRENTE","OK"))</f>
        <v>OK</v>
      </c>
      <c r="F915" s="147" t="n">
        <v>11.94</v>
      </c>
      <c r="G915" s="80"/>
      <c r="H915" s="83"/>
      <c r="I915" s="148" t="str">
        <f aca="false">IF(B915="","",IFERROR(INDEX('CARNET DE SOUDURE'!$B$7:$B$3006,MATCH(B915,'CARNET DE SOUDURE'!$L$7:$L$3006,0)),IFERROR(INDEX('CARNET DE SOUDURE'!$B$7:$B$3006,MATCH(B915,'CARNET DE SOUDURE'!$O$7:$O$3006,0)),"")))</f>
        <v>MFD-ISW → MFD-CPF</v>
      </c>
      <c r="J915" s="82" t="str">
        <f aca="false">IF(B915="","",IFERROR(INDEX('CARNET DE SOUDURE'!$E$7:$E$3006,MATCH(B915,'CARNET DE SOUDURE'!$O$7:$O$3006,0)),""))</f>
        <v>JN°1480</v>
      </c>
      <c r="K915" s="82" t="str">
        <f aca="false">IF(B915="","",IFERROR(INDEX('CARNET DE SOUDURE'!$E$7:$E$3006,MATCH(B915,'CARNET DE SOUDURE'!$L$7:$L$3006,0)),""))</f>
        <v>JN°1481</v>
      </c>
      <c r="L915" s="82" t="n">
        <f aca="false">IF(B915="","",IFERROR(INDEX('CARNET DE SOUDURE'!$D$7:$D$3006,MATCH(B915,'CARNET DE SOUDURE'!$L$7:$L$3006,0)),IFERROR(INDEX('CARNET DE SOUDURE'!$D$7:$D$3006,MATCH(B915,'CARNET DE SOUDURE'!$O$7:$O$3006,0)),"")))</f>
        <v>17</v>
      </c>
      <c r="M915" s="82" t="str">
        <f aca="false">IF(B915="","",IF(OR(J915&lt;&gt;"",K915&lt;&gt;""),"POSÉ EN LIGNE",IF(COUNTIF(BARDAGE!$C$1:$C$5000,B915)&gt;0,"BARDÉ","EN STOCK")))</f>
        <v>POSÉ EN LIGNE</v>
      </c>
      <c r="N915" s="80"/>
    </row>
    <row r="916" customFormat="false" ht="15" hidden="false" customHeight="false" outlineLevel="0" collapsed="false">
      <c r="A916" s="82" t="n">
        <f aca="false">IF(B916="","",ROW()-6)</f>
        <v>910</v>
      </c>
      <c r="B916" s="145" t="n">
        <v>2086090</v>
      </c>
      <c r="C916" s="146" t="n">
        <v>15421107</v>
      </c>
      <c r="D916" s="146"/>
      <c r="E916" s="82" t="str">
        <f aca="false">IF(B916="","",IF(COUNTIFS('CARNET DE SOUDURE'!$L$7:$L$3006,B916,'CARNET DE SOUDURE'!$M$7:$M$3006,"&lt;&gt;"&amp;C916,'CARNET DE SOUDURE'!$M$7:$M$3006,"&lt;&gt;")+COUNTIFS('CARNET DE SOUDURE'!$O$7:$O$3006,B916,'CARNET DE SOUDURE'!$P$7:$P$3006,"&lt;&gt;"&amp;C916,'CARNET DE SOUDURE'!$P$7:$P$3006,"&lt;&gt;")&gt;0,"⚠ DIFFÉRENTE","OK"))</f>
        <v>OK</v>
      </c>
      <c r="F916" s="147" t="n">
        <v>11.94</v>
      </c>
      <c r="G916" s="80"/>
      <c r="H916" s="83"/>
      <c r="I916" s="148" t="str">
        <f aca="false">IF(B916="","",IFERROR(INDEX('CARNET DE SOUDURE'!$B$7:$B$3006,MATCH(B916,'CARNET DE SOUDURE'!$L$7:$L$3006,0)),IFERROR(INDEX('CARNET DE SOUDURE'!$B$7:$B$3006,MATCH(B916,'CARNET DE SOUDURE'!$O$7:$O$3006,0)),"")))</f>
        <v>MFD-ISW → MFD-CPF</v>
      </c>
      <c r="J916" s="82" t="str">
        <f aca="false">IF(B916="","",IFERROR(INDEX('CARNET DE SOUDURE'!$E$7:$E$3006,MATCH(B916,'CARNET DE SOUDURE'!$O$7:$O$3006,0)),""))</f>
        <v>JN°1481</v>
      </c>
      <c r="K916" s="82" t="str">
        <f aca="false">IF(B916="","",IFERROR(INDEX('CARNET DE SOUDURE'!$E$7:$E$3006,MATCH(B916,'CARNET DE SOUDURE'!$L$7:$L$3006,0)),""))</f>
        <v>JN°1482</v>
      </c>
      <c r="L916" s="82" t="n">
        <f aca="false">IF(B916="","",IFERROR(INDEX('CARNET DE SOUDURE'!$D$7:$D$3006,MATCH(B916,'CARNET DE SOUDURE'!$L$7:$L$3006,0)),IFERROR(INDEX('CARNET DE SOUDURE'!$D$7:$D$3006,MATCH(B916,'CARNET DE SOUDURE'!$O$7:$O$3006,0)),"")))</f>
        <v>17</v>
      </c>
      <c r="M916" s="82" t="str">
        <f aca="false">IF(B916="","",IF(OR(J916&lt;&gt;"",K916&lt;&gt;""),"POSÉ EN LIGNE",IF(COUNTIF(BARDAGE!$C$1:$C$5000,B916)&gt;0,"BARDÉ","EN STOCK")))</f>
        <v>POSÉ EN LIGNE</v>
      </c>
      <c r="N916" s="80"/>
    </row>
    <row r="917" customFormat="false" ht="15" hidden="false" customHeight="false" outlineLevel="0" collapsed="false">
      <c r="A917" s="82" t="n">
        <f aca="false">IF(B917="","",ROW()-6)</f>
        <v>911</v>
      </c>
      <c r="B917" s="145" t="n">
        <v>2080690</v>
      </c>
      <c r="C917" s="146" t="n">
        <v>15421103</v>
      </c>
      <c r="D917" s="146"/>
      <c r="E917" s="82" t="str">
        <f aca="false">IF(B917="","",IF(COUNTIFS('CARNET DE SOUDURE'!$L$7:$L$3006,B917,'CARNET DE SOUDURE'!$M$7:$M$3006,"&lt;&gt;"&amp;C917,'CARNET DE SOUDURE'!$M$7:$M$3006,"&lt;&gt;")+COUNTIFS('CARNET DE SOUDURE'!$O$7:$O$3006,B917,'CARNET DE SOUDURE'!$P$7:$P$3006,"&lt;&gt;"&amp;C917,'CARNET DE SOUDURE'!$P$7:$P$3006,"&lt;&gt;")&gt;0,"⚠ DIFFÉRENTE","OK"))</f>
        <v>OK</v>
      </c>
      <c r="F917" s="147" t="n">
        <v>11.94</v>
      </c>
      <c r="G917" s="80"/>
      <c r="H917" s="83"/>
      <c r="I917" s="148" t="str">
        <f aca="false">IF(B917="","",IFERROR(INDEX('CARNET DE SOUDURE'!$B$7:$B$3006,MATCH(B917,'CARNET DE SOUDURE'!$L$7:$L$3006,0)),IFERROR(INDEX('CARNET DE SOUDURE'!$B$7:$B$3006,MATCH(B917,'CARNET DE SOUDURE'!$O$7:$O$3006,0)),"")))</f>
        <v>MFD-ISW → MFD-CPF</v>
      </c>
      <c r="J917" s="82" t="str">
        <f aca="false">IF(B917="","",IFERROR(INDEX('CARNET DE SOUDURE'!$E$7:$E$3006,MATCH(B917,'CARNET DE SOUDURE'!$O$7:$O$3006,0)),""))</f>
        <v>JN°1482</v>
      </c>
      <c r="K917" s="82" t="str">
        <f aca="false">IF(B917="","",IFERROR(INDEX('CARNET DE SOUDURE'!$E$7:$E$3006,MATCH(B917,'CARNET DE SOUDURE'!$L$7:$L$3006,0)),""))</f>
        <v>JN°1483</v>
      </c>
      <c r="L917" s="82" t="n">
        <f aca="false">IF(B917="","",IFERROR(INDEX('CARNET DE SOUDURE'!$D$7:$D$3006,MATCH(B917,'CARNET DE SOUDURE'!$L$7:$L$3006,0)),IFERROR(INDEX('CARNET DE SOUDURE'!$D$7:$D$3006,MATCH(B917,'CARNET DE SOUDURE'!$O$7:$O$3006,0)),"")))</f>
        <v>17</v>
      </c>
      <c r="M917" s="82" t="str">
        <f aca="false">IF(B917="","",IF(OR(J917&lt;&gt;"",K917&lt;&gt;""),"POSÉ EN LIGNE",IF(COUNTIF(BARDAGE!$C$1:$C$5000,B917)&gt;0,"BARDÉ","EN STOCK")))</f>
        <v>POSÉ EN LIGNE</v>
      </c>
      <c r="N917" s="80"/>
    </row>
    <row r="918" customFormat="false" ht="15" hidden="false" customHeight="false" outlineLevel="0" collapsed="false">
      <c r="A918" s="82" t="n">
        <f aca="false">IF(B918="","",ROW()-6)</f>
        <v>912</v>
      </c>
      <c r="B918" s="145" t="n">
        <v>2083230</v>
      </c>
      <c r="C918" s="146" t="n">
        <v>15421119</v>
      </c>
      <c r="D918" s="146"/>
      <c r="E918" s="82" t="str">
        <f aca="false">IF(B918="","",IF(COUNTIFS('CARNET DE SOUDURE'!$L$7:$L$3006,B918,'CARNET DE SOUDURE'!$M$7:$M$3006,"&lt;&gt;"&amp;C918,'CARNET DE SOUDURE'!$M$7:$M$3006,"&lt;&gt;")+COUNTIFS('CARNET DE SOUDURE'!$O$7:$O$3006,B918,'CARNET DE SOUDURE'!$P$7:$P$3006,"&lt;&gt;"&amp;C918,'CARNET DE SOUDURE'!$P$7:$P$3006,"&lt;&gt;")&gt;0,"⚠ DIFFÉRENTE","OK"))</f>
        <v>OK</v>
      </c>
      <c r="F918" s="147" t="n">
        <v>11.94</v>
      </c>
      <c r="G918" s="80"/>
      <c r="H918" s="83"/>
      <c r="I918" s="148" t="str">
        <f aca="false">IF(B918="","",IFERROR(INDEX('CARNET DE SOUDURE'!$B$7:$B$3006,MATCH(B918,'CARNET DE SOUDURE'!$L$7:$L$3006,0)),IFERROR(INDEX('CARNET DE SOUDURE'!$B$7:$B$3006,MATCH(B918,'CARNET DE SOUDURE'!$O$7:$O$3006,0)),"")))</f>
        <v>MFD-ISW → MFD-CPF</v>
      </c>
      <c r="J918" s="82" t="str">
        <f aca="false">IF(B918="","",IFERROR(INDEX('CARNET DE SOUDURE'!$E$7:$E$3006,MATCH(B918,'CARNET DE SOUDURE'!$O$7:$O$3006,0)),""))</f>
        <v>JN°1483</v>
      </c>
      <c r="K918" s="82" t="str">
        <f aca="false">IF(B918="","",IFERROR(INDEX('CARNET DE SOUDURE'!$E$7:$E$3006,MATCH(B918,'CARNET DE SOUDURE'!$L$7:$L$3006,0)),""))</f>
        <v>JN°1484</v>
      </c>
      <c r="L918" s="82" t="n">
        <f aca="false">IF(B918="","",IFERROR(INDEX('CARNET DE SOUDURE'!$D$7:$D$3006,MATCH(B918,'CARNET DE SOUDURE'!$L$7:$L$3006,0)),IFERROR(INDEX('CARNET DE SOUDURE'!$D$7:$D$3006,MATCH(B918,'CARNET DE SOUDURE'!$O$7:$O$3006,0)),"")))</f>
        <v>17</v>
      </c>
      <c r="M918" s="82" t="str">
        <f aca="false">IF(B918="","",IF(OR(J918&lt;&gt;"",K918&lt;&gt;""),"POSÉ EN LIGNE",IF(COUNTIF(BARDAGE!$C$1:$C$5000,B918)&gt;0,"BARDÉ","EN STOCK")))</f>
        <v>POSÉ EN LIGNE</v>
      </c>
      <c r="N918" s="80"/>
    </row>
    <row r="919" customFormat="false" ht="15" hidden="false" customHeight="false" outlineLevel="0" collapsed="false">
      <c r="A919" s="82" t="n">
        <f aca="false">IF(B919="","",ROW()-6)</f>
        <v>913</v>
      </c>
      <c r="B919" s="145" t="n">
        <v>2088390</v>
      </c>
      <c r="C919" s="146" t="n">
        <v>15421108</v>
      </c>
      <c r="D919" s="146"/>
      <c r="E919" s="82" t="str">
        <f aca="false">IF(B919="","",IF(COUNTIFS('CARNET DE SOUDURE'!$L$7:$L$3006,B919,'CARNET DE SOUDURE'!$M$7:$M$3006,"&lt;&gt;"&amp;C919,'CARNET DE SOUDURE'!$M$7:$M$3006,"&lt;&gt;")+COUNTIFS('CARNET DE SOUDURE'!$O$7:$O$3006,B919,'CARNET DE SOUDURE'!$P$7:$P$3006,"&lt;&gt;"&amp;C919,'CARNET DE SOUDURE'!$P$7:$P$3006,"&lt;&gt;")&gt;0,"⚠ DIFFÉRENTE","OK"))</f>
        <v>OK</v>
      </c>
      <c r="F919" s="147" t="n">
        <v>11.94</v>
      </c>
      <c r="G919" s="80"/>
      <c r="H919" s="83"/>
      <c r="I919" s="148" t="str">
        <f aca="false">IF(B919="","",IFERROR(INDEX('CARNET DE SOUDURE'!$B$7:$B$3006,MATCH(B919,'CARNET DE SOUDURE'!$L$7:$L$3006,0)),IFERROR(INDEX('CARNET DE SOUDURE'!$B$7:$B$3006,MATCH(B919,'CARNET DE SOUDURE'!$O$7:$O$3006,0)),"")))</f>
        <v>MFD-ISW → MFD-CPF</v>
      </c>
      <c r="J919" s="82" t="str">
        <f aca="false">IF(B919="","",IFERROR(INDEX('CARNET DE SOUDURE'!$E$7:$E$3006,MATCH(B919,'CARNET DE SOUDURE'!$O$7:$O$3006,0)),""))</f>
        <v>JN°1484</v>
      </c>
      <c r="K919" s="82" t="str">
        <f aca="false">IF(B919="","",IFERROR(INDEX('CARNET DE SOUDURE'!$E$7:$E$3006,MATCH(B919,'CARNET DE SOUDURE'!$L$7:$L$3006,0)),""))</f>
        <v>JN°1485</v>
      </c>
      <c r="L919" s="82" t="n">
        <f aca="false">IF(B919="","",IFERROR(INDEX('CARNET DE SOUDURE'!$D$7:$D$3006,MATCH(B919,'CARNET DE SOUDURE'!$L$7:$L$3006,0)),IFERROR(INDEX('CARNET DE SOUDURE'!$D$7:$D$3006,MATCH(B919,'CARNET DE SOUDURE'!$O$7:$O$3006,0)),"")))</f>
        <v>17</v>
      </c>
      <c r="M919" s="82" t="str">
        <f aca="false">IF(B919="","",IF(OR(J919&lt;&gt;"",K919&lt;&gt;""),"POSÉ EN LIGNE",IF(COUNTIF(BARDAGE!$C$1:$C$5000,B919)&gt;0,"BARDÉ","EN STOCK")))</f>
        <v>POSÉ EN LIGNE</v>
      </c>
      <c r="N919" s="80"/>
    </row>
    <row r="920" customFormat="false" ht="15" hidden="false" customHeight="false" outlineLevel="0" collapsed="false">
      <c r="A920" s="82" t="n">
        <f aca="false">IF(B920="","",ROW()-6)</f>
        <v>914</v>
      </c>
      <c r="B920" s="145" t="n">
        <v>2091280</v>
      </c>
      <c r="C920" s="146" t="n">
        <v>15421111</v>
      </c>
      <c r="D920" s="146"/>
      <c r="E920" s="82" t="str">
        <f aca="false">IF(B920="","",IF(COUNTIFS('CARNET DE SOUDURE'!$L$7:$L$3006,B920,'CARNET DE SOUDURE'!$M$7:$M$3006,"&lt;&gt;"&amp;C920,'CARNET DE SOUDURE'!$M$7:$M$3006,"&lt;&gt;")+COUNTIFS('CARNET DE SOUDURE'!$O$7:$O$3006,B920,'CARNET DE SOUDURE'!$P$7:$P$3006,"&lt;&gt;"&amp;C920,'CARNET DE SOUDURE'!$P$7:$P$3006,"&lt;&gt;")&gt;0,"⚠ DIFFÉRENTE","OK"))</f>
        <v>OK</v>
      </c>
      <c r="F920" s="147" t="n">
        <v>11.94</v>
      </c>
      <c r="G920" s="80"/>
      <c r="H920" s="83"/>
      <c r="I920" s="148" t="str">
        <f aca="false">IF(B920="","",IFERROR(INDEX('CARNET DE SOUDURE'!$B$7:$B$3006,MATCH(B920,'CARNET DE SOUDURE'!$L$7:$L$3006,0)),IFERROR(INDEX('CARNET DE SOUDURE'!$B$7:$B$3006,MATCH(B920,'CARNET DE SOUDURE'!$O$7:$O$3006,0)),"")))</f>
        <v>MFD-ISW → MFD-CPF</v>
      </c>
      <c r="J920" s="82" t="str">
        <f aca="false">IF(B920="","",IFERROR(INDEX('CARNET DE SOUDURE'!$E$7:$E$3006,MATCH(B920,'CARNET DE SOUDURE'!$O$7:$O$3006,0)),""))</f>
        <v>JN°1485</v>
      </c>
      <c r="K920" s="82" t="str">
        <f aca="false">IF(B920="","",IFERROR(INDEX('CARNET DE SOUDURE'!$E$7:$E$3006,MATCH(B920,'CARNET DE SOUDURE'!$L$7:$L$3006,0)),""))</f>
        <v>JN°1486</v>
      </c>
      <c r="L920" s="82" t="n">
        <f aca="false">IF(B920="","",IFERROR(INDEX('CARNET DE SOUDURE'!$D$7:$D$3006,MATCH(B920,'CARNET DE SOUDURE'!$L$7:$L$3006,0)),IFERROR(INDEX('CARNET DE SOUDURE'!$D$7:$D$3006,MATCH(B920,'CARNET DE SOUDURE'!$O$7:$O$3006,0)),"")))</f>
        <v>17</v>
      </c>
      <c r="M920" s="82" t="str">
        <f aca="false">IF(B920="","",IF(OR(J920&lt;&gt;"",K920&lt;&gt;""),"POSÉ EN LIGNE",IF(COUNTIF(BARDAGE!$C$1:$C$5000,B920)&gt;0,"BARDÉ","EN STOCK")))</f>
        <v>POSÉ EN LIGNE</v>
      </c>
      <c r="N920" s="80"/>
    </row>
    <row r="921" customFormat="false" ht="15" hidden="false" customHeight="false" outlineLevel="0" collapsed="false">
      <c r="A921" s="82" t="n">
        <f aca="false">IF(B921="","",ROW()-6)</f>
        <v>915</v>
      </c>
      <c r="B921" s="145" t="n">
        <v>2097240</v>
      </c>
      <c r="C921" s="146" t="n">
        <v>15421112</v>
      </c>
      <c r="D921" s="146"/>
      <c r="E921" s="82" t="str">
        <f aca="false">IF(B921="","",IF(COUNTIFS('CARNET DE SOUDURE'!$L$7:$L$3006,B921,'CARNET DE SOUDURE'!$M$7:$M$3006,"&lt;&gt;"&amp;C921,'CARNET DE SOUDURE'!$M$7:$M$3006,"&lt;&gt;")+COUNTIFS('CARNET DE SOUDURE'!$O$7:$O$3006,B921,'CARNET DE SOUDURE'!$P$7:$P$3006,"&lt;&gt;"&amp;C921,'CARNET DE SOUDURE'!$P$7:$P$3006,"&lt;&gt;")&gt;0,"⚠ DIFFÉRENTE","OK"))</f>
        <v>OK</v>
      </c>
      <c r="F921" s="147" t="n">
        <v>11.94</v>
      </c>
      <c r="G921" s="80"/>
      <c r="H921" s="83"/>
      <c r="I921" s="148" t="str">
        <f aca="false">IF(B921="","",IFERROR(INDEX('CARNET DE SOUDURE'!$B$7:$B$3006,MATCH(B921,'CARNET DE SOUDURE'!$L$7:$L$3006,0)),IFERROR(INDEX('CARNET DE SOUDURE'!$B$7:$B$3006,MATCH(B921,'CARNET DE SOUDURE'!$O$7:$O$3006,0)),"")))</f>
        <v>MFD-ISW → MFD-CPF</v>
      </c>
      <c r="J921" s="82" t="str">
        <f aca="false">IF(B921="","",IFERROR(INDEX('CARNET DE SOUDURE'!$E$7:$E$3006,MATCH(B921,'CARNET DE SOUDURE'!$O$7:$O$3006,0)),""))</f>
        <v>JN°1486</v>
      </c>
      <c r="K921" s="82" t="str">
        <f aca="false">IF(B921="","",IFERROR(INDEX('CARNET DE SOUDURE'!$E$7:$E$3006,MATCH(B921,'CARNET DE SOUDURE'!$L$7:$L$3006,0)),""))</f>
        <v>JN°1487</v>
      </c>
      <c r="L921" s="82" t="n">
        <f aca="false">IF(B921="","",IFERROR(INDEX('CARNET DE SOUDURE'!$D$7:$D$3006,MATCH(B921,'CARNET DE SOUDURE'!$L$7:$L$3006,0)),IFERROR(INDEX('CARNET DE SOUDURE'!$D$7:$D$3006,MATCH(B921,'CARNET DE SOUDURE'!$O$7:$O$3006,0)),"")))</f>
        <v>17</v>
      </c>
      <c r="M921" s="82" t="str">
        <f aca="false">IF(B921="","",IF(OR(J921&lt;&gt;"",K921&lt;&gt;""),"POSÉ EN LIGNE",IF(COUNTIF(BARDAGE!$C$1:$C$5000,B921)&gt;0,"BARDÉ","EN STOCK")))</f>
        <v>POSÉ EN LIGNE</v>
      </c>
      <c r="N921" s="80"/>
    </row>
    <row r="922" customFormat="false" ht="15" hidden="false" customHeight="false" outlineLevel="0" collapsed="false">
      <c r="A922" s="82" t="n">
        <f aca="false">IF(B922="","",ROW()-6)</f>
        <v>916</v>
      </c>
      <c r="B922" s="145" t="n">
        <v>2084450</v>
      </c>
      <c r="C922" s="146" t="n">
        <v>15421106</v>
      </c>
      <c r="D922" s="146"/>
      <c r="E922" s="82" t="str">
        <f aca="false">IF(B922="","",IF(COUNTIFS('CARNET DE SOUDURE'!$L$7:$L$3006,B922,'CARNET DE SOUDURE'!$M$7:$M$3006,"&lt;&gt;"&amp;C922,'CARNET DE SOUDURE'!$M$7:$M$3006,"&lt;&gt;")+COUNTIFS('CARNET DE SOUDURE'!$O$7:$O$3006,B922,'CARNET DE SOUDURE'!$P$7:$P$3006,"&lt;&gt;"&amp;C922,'CARNET DE SOUDURE'!$P$7:$P$3006,"&lt;&gt;")&gt;0,"⚠ DIFFÉRENTE","OK"))</f>
        <v>OK</v>
      </c>
      <c r="F922" s="147" t="n">
        <v>11.94</v>
      </c>
      <c r="G922" s="80"/>
      <c r="H922" s="83"/>
      <c r="I922" s="148" t="str">
        <f aca="false">IF(B922="","",IFERROR(INDEX('CARNET DE SOUDURE'!$B$7:$B$3006,MATCH(B922,'CARNET DE SOUDURE'!$L$7:$L$3006,0)),IFERROR(INDEX('CARNET DE SOUDURE'!$B$7:$B$3006,MATCH(B922,'CARNET DE SOUDURE'!$O$7:$O$3006,0)),"")))</f>
        <v>MFD-ISW → MFD-CPF</v>
      </c>
      <c r="J922" s="82" t="str">
        <f aca="false">IF(B922="","",IFERROR(INDEX('CARNET DE SOUDURE'!$E$7:$E$3006,MATCH(B922,'CARNET DE SOUDURE'!$O$7:$O$3006,0)),""))</f>
        <v>JN°1487</v>
      </c>
      <c r="K922" s="82" t="str">
        <f aca="false">IF(B922="","",IFERROR(INDEX('CARNET DE SOUDURE'!$E$7:$E$3006,MATCH(B922,'CARNET DE SOUDURE'!$L$7:$L$3006,0)),""))</f>
        <v>DJ°081</v>
      </c>
      <c r="L922" s="82" t="n">
        <f aca="false">IF(B922="","",IFERROR(INDEX('CARNET DE SOUDURE'!$D$7:$D$3006,MATCH(B922,'CARNET DE SOUDURE'!$L$7:$L$3006,0)),IFERROR(INDEX('CARNET DE SOUDURE'!$D$7:$D$3006,MATCH(B922,'CARNET DE SOUDURE'!$O$7:$O$3006,0)),"")))</f>
        <v>17</v>
      </c>
      <c r="M922" s="82" t="str">
        <f aca="false">IF(B922="","",IF(OR(J922&lt;&gt;"",K922&lt;&gt;""),"POSÉ EN LIGNE",IF(COUNTIF(BARDAGE!$C$1:$C$5000,B922)&gt;0,"BARDÉ","EN STOCK")))</f>
        <v>POSÉ EN LIGNE</v>
      </c>
      <c r="N922" s="80"/>
    </row>
    <row r="923" customFormat="false" ht="15" hidden="false" customHeight="false" outlineLevel="0" collapsed="false">
      <c r="A923" s="82" t="n">
        <f aca="false">IF(B923="","",ROW()-6)</f>
        <v>917</v>
      </c>
      <c r="B923" s="145" t="n">
        <v>2098280</v>
      </c>
      <c r="C923" s="146" t="n">
        <v>15421112</v>
      </c>
      <c r="D923" s="146"/>
      <c r="E923" s="82" t="str">
        <f aca="false">IF(B923="","",IF(COUNTIFS('CARNET DE SOUDURE'!$L$7:$L$3006,B923,'CARNET DE SOUDURE'!$M$7:$M$3006,"&lt;&gt;"&amp;C923,'CARNET DE SOUDURE'!$M$7:$M$3006,"&lt;&gt;")+COUNTIFS('CARNET DE SOUDURE'!$O$7:$O$3006,B923,'CARNET DE SOUDURE'!$P$7:$P$3006,"&lt;&gt;"&amp;C923,'CARNET DE SOUDURE'!$P$7:$P$3006,"&lt;&gt;")&gt;0,"⚠ DIFFÉRENTE","OK"))</f>
        <v>OK</v>
      </c>
      <c r="F923" s="147" t="n">
        <v>11.94</v>
      </c>
      <c r="G923" s="80"/>
      <c r="H923" s="83"/>
      <c r="I923" s="148" t="str">
        <f aca="false">IF(B923="","",IFERROR(INDEX('CARNET DE SOUDURE'!$B$7:$B$3006,MATCH(B923,'CARNET DE SOUDURE'!$L$7:$L$3006,0)),IFERROR(INDEX('CARNET DE SOUDURE'!$B$7:$B$3006,MATCH(B923,'CARNET DE SOUDURE'!$O$7:$O$3006,0)),"")))</f>
        <v>MFD-ISW → MFD-CPF</v>
      </c>
      <c r="J923" s="82" t="str">
        <f aca="false">IF(B923="","",IFERROR(INDEX('CARNET DE SOUDURE'!$E$7:$E$3006,MATCH(B923,'CARNET DE SOUDURE'!$O$7:$O$3006,0)),""))</f>
        <v>DJ°081</v>
      </c>
      <c r="K923" s="82" t="str">
        <f aca="false">IF(B923="","",IFERROR(INDEX('CARNET DE SOUDURE'!$E$7:$E$3006,MATCH(B923,'CARNET DE SOUDURE'!$L$7:$L$3006,0)),""))</f>
        <v>JN°1488</v>
      </c>
      <c r="L923" s="82" t="n">
        <f aca="false">IF(B923="","",IFERROR(INDEX('CARNET DE SOUDURE'!$D$7:$D$3006,MATCH(B923,'CARNET DE SOUDURE'!$L$7:$L$3006,0)),IFERROR(INDEX('CARNET DE SOUDURE'!$D$7:$D$3006,MATCH(B923,'CARNET DE SOUDURE'!$O$7:$O$3006,0)),"")))</f>
        <v>17</v>
      </c>
      <c r="M923" s="82" t="str">
        <f aca="false">IF(B923="","",IF(OR(J923&lt;&gt;"",K923&lt;&gt;""),"POSÉ EN LIGNE",IF(COUNTIF(BARDAGE!$C$1:$C$5000,B923)&gt;0,"BARDÉ","EN STOCK")))</f>
        <v>POSÉ EN LIGNE</v>
      </c>
      <c r="N923" s="80"/>
    </row>
    <row r="924" customFormat="false" ht="15" hidden="false" customHeight="false" outlineLevel="0" collapsed="false">
      <c r="A924" s="82" t="n">
        <f aca="false">IF(B924="","",ROW()-6)</f>
        <v>918</v>
      </c>
      <c r="B924" s="145" t="n">
        <v>2089070</v>
      </c>
      <c r="C924" s="146" t="n">
        <v>15421108</v>
      </c>
      <c r="D924" s="146"/>
      <c r="E924" s="82" t="str">
        <f aca="false">IF(B924="","",IF(COUNTIFS('CARNET DE SOUDURE'!$L$7:$L$3006,B924,'CARNET DE SOUDURE'!$M$7:$M$3006,"&lt;&gt;"&amp;C924,'CARNET DE SOUDURE'!$M$7:$M$3006,"&lt;&gt;")+COUNTIFS('CARNET DE SOUDURE'!$O$7:$O$3006,B924,'CARNET DE SOUDURE'!$P$7:$P$3006,"&lt;&gt;"&amp;C924,'CARNET DE SOUDURE'!$P$7:$P$3006,"&lt;&gt;")&gt;0,"⚠ DIFFÉRENTE","OK"))</f>
        <v>OK</v>
      </c>
      <c r="F924" s="147" t="n">
        <v>11.94</v>
      </c>
      <c r="G924" s="80"/>
      <c r="H924" s="83"/>
      <c r="I924" s="148" t="str">
        <f aca="false">IF(B924="","",IFERROR(INDEX('CARNET DE SOUDURE'!$B$7:$B$3006,MATCH(B924,'CARNET DE SOUDURE'!$L$7:$L$3006,0)),IFERROR(INDEX('CARNET DE SOUDURE'!$B$7:$B$3006,MATCH(B924,'CARNET DE SOUDURE'!$O$7:$O$3006,0)),"")))</f>
        <v>MFD-ISW → MFD-CPF</v>
      </c>
      <c r="J924" s="82" t="str">
        <f aca="false">IF(B924="","",IFERROR(INDEX('CARNET DE SOUDURE'!$E$7:$E$3006,MATCH(B924,'CARNET DE SOUDURE'!$O$7:$O$3006,0)),""))</f>
        <v>JN°1488</v>
      </c>
      <c r="K924" s="82" t="str">
        <f aca="false">IF(B924="","",IFERROR(INDEX('CARNET DE SOUDURE'!$E$7:$E$3006,MATCH(B924,'CARNET DE SOUDURE'!$L$7:$L$3006,0)),""))</f>
        <v>DJ°050</v>
      </c>
      <c r="L924" s="82" t="n">
        <f aca="false">IF(B924="","",IFERROR(INDEX('CARNET DE SOUDURE'!$D$7:$D$3006,MATCH(B924,'CARNET DE SOUDURE'!$L$7:$L$3006,0)),IFERROR(INDEX('CARNET DE SOUDURE'!$D$7:$D$3006,MATCH(B924,'CARNET DE SOUDURE'!$O$7:$O$3006,0)),"")))</f>
        <v>17</v>
      </c>
      <c r="M924" s="82" t="str">
        <f aca="false">IF(B924="","",IF(OR(J924&lt;&gt;"",K924&lt;&gt;""),"POSÉ EN LIGNE",IF(COUNTIF(BARDAGE!$C$1:$C$5000,B924)&gt;0,"BARDÉ","EN STOCK")))</f>
        <v>POSÉ EN LIGNE</v>
      </c>
      <c r="N924" s="80"/>
    </row>
    <row r="925" customFormat="false" ht="15" hidden="false" customHeight="false" outlineLevel="0" collapsed="false">
      <c r="A925" s="82" t="n">
        <f aca="false">IF(B925="","",ROW()-6)</f>
        <v>919</v>
      </c>
      <c r="B925" s="145" t="n">
        <v>2095300</v>
      </c>
      <c r="C925" s="146" t="n">
        <v>15421111</v>
      </c>
      <c r="D925" s="146"/>
      <c r="E925" s="82" t="str">
        <f aca="false">IF(B925="","",IF(COUNTIFS('CARNET DE SOUDURE'!$L$7:$L$3006,B925,'CARNET DE SOUDURE'!$M$7:$M$3006,"&lt;&gt;"&amp;C925,'CARNET DE SOUDURE'!$M$7:$M$3006,"&lt;&gt;")+COUNTIFS('CARNET DE SOUDURE'!$O$7:$O$3006,B925,'CARNET DE SOUDURE'!$P$7:$P$3006,"&lt;&gt;"&amp;C925,'CARNET DE SOUDURE'!$P$7:$P$3006,"&lt;&gt;")&gt;0,"⚠ DIFFÉRENTE","OK"))</f>
        <v>OK</v>
      </c>
      <c r="F925" s="147" t="n">
        <v>11.94</v>
      </c>
      <c r="G925" s="80"/>
      <c r="H925" s="83"/>
      <c r="I925" s="148" t="str">
        <f aca="false">IF(B925="","",IFERROR(INDEX('CARNET DE SOUDURE'!$B$7:$B$3006,MATCH(B925,'CARNET DE SOUDURE'!$L$7:$L$3006,0)),IFERROR(INDEX('CARNET DE SOUDURE'!$B$7:$B$3006,MATCH(B925,'CARNET DE SOUDURE'!$O$7:$O$3006,0)),"")))</f>
        <v>MFD-ISW → MFD-CPF</v>
      </c>
      <c r="J925" s="82" t="str">
        <f aca="false">IF(B925="","",IFERROR(INDEX('CARNET DE SOUDURE'!$E$7:$E$3006,MATCH(B925,'CARNET DE SOUDURE'!$O$7:$O$3006,0)),""))</f>
        <v>DJ°050</v>
      </c>
      <c r="K925" s="82" t="str">
        <f aca="false">IF(B925="","",IFERROR(INDEX('CARNET DE SOUDURE'!$E$7:$E$3006,MATCH(B925,'CARNET DE SOUDURE'!$L$7:$L$3006,0)),""))</f>
        <v>JN°1489</v>
      </c>
      <c r="L925" s="82" t="n">
        <f aca="false">IF(B925="","",IFERROR(INDEX('CARNET DE SOUDURE'!$D$7:$D$3006,MATCH(B925,'CARNET DE SOUDURE'!$L$7:$L$3006,0)),IFERROR(INDEX('CARNET DE SOUDURE'!$D$7:$D$3006,MATCH(B925,'CARNET DE SOUDURE'!$O$7:$O$3006,0)),"")))</f>
        <v>17</v>
      </c>
      <c r="M925" s="82" t="str">
        <f aca="false">IF(B925="","",IF(OR(J925&lt;&gt;"",K925&lt;&gt;""),"POSÉ EN LIGNE",IF(COUNTIF(BARDAGE!$C$1:$C$5000,B925)&gt;0,"BARDÉ","EN STOCK")))</f>
        <v>POSÉ EN LIGNE</v>
      </c>
      <c r="N925" s="80"/>
    </row>
    <row r="926" customFormat="false" ht="15" hidden="false" customHeight="false" outlineLevel="0" collapsed="false">
      <c r="A926" s="82" t="n">
        <f aca="false">IF(B926="","",ROW()-6)</f>
        <v>920</v>
      </c>
      <c r="B926" s="145" t="n">
        <v>2094750</v>
      </c>
      <c r="C926" s="146" t="n">
        <v>15421111</v>
      </c>
      <c r="D926" s="146"/>
      <c r="E926" s="82" t="str">
        <f aca="false">IF(B926="","",IF(COUNTIFS('CARNET DE SOUDURE'!$L$7:$L$3006,B926,'CARNET DE SOUDURE'!$M$7:$M$3006,"&lt;&gt;"&amp;C926,'CARNET DE SOUDURE'!$M$7:$M$3006,"&lt;&gt;")+COUNTIFS('CARNET DE SOUDURE'!$O$7:$O$3006,B926,'CARNET DE SOUDURE'!$P$7:$P$3006,"&lt;&gt;"&amp;C926,'CARNET DE SOUDURE'!$P$7:$P$3006,"&lt;&gt;")&gt;0,"⚠ DIFFÉRENTE","OK"))</f>
        <v>OK</v>
      </c>
      <c r="F926" s="147" t="n">
        <v>11.94</v>
      </c>
      <c r="G926" s="80"/>
      <c r="H926" s="83"/>
      <c r="I926" s="148" t="str">
        <f aca="false">IF(B926="","",IFERROR(INDEX('CARNET DE SOUDURE'!$B$7:$B$3006,MATCH(B926,'CARNET DE SOUDURE'!$L$7:$L$3006,0)),IFERROR(INDEX('CARNET DE SOUDURE'!$B$7:$B$3006,MATCH(B926,'CARNET DE SOUDURE'!$O$7:$O$3006,0)),"")))</f>
        <v>MFD-ISW → MFD-CPF</v>
      </c>
      <c r="J926" s="82" t="str">
        <f aca="false">IF(B926="","",IFERROR(INDEX('CARNET DE SOUDURE'!$E$7:$E$3006,MATCH(B926,'CARNET DE SOUDURE'!$O$7:$O$3006,0)),""))</f>
        <v>JN°1489</v>
      </c>
      <c r="K926" s="82" t="str">
        <f aca="false">IF(B926="","",IFERROR(INDEX('CARNET DE SOUDURE'!$E$7:$E$3006,MATCH(B926,'CARNET DE SOUDURE'!$L$7:$L$3006,0)),""))</f>
        <v>DJ°080</v>
      </c>
      <c r="L926" s="82" t="n">
        <f aca="false">IF(B926="","",IFERROR(INDEX('CARNET DE SOUDURE'!$D$7:$D$3006,MATCH(B926,'CARNET DE SOUDURE'!$L$7:$L$3006,0)),IFERROR(INDEX('CARNET DE SOUDURE'!$D$7:$D$3006,MATCH(B926,'CARNET DE SOUDURE'!$O$7:$O$3006,0)),"")))</f>
        <v>17</v>
      </c>
      <c r="M926" s="82" t="str">
        <f aca="false">IF(B926="","",IF(OR(J926&lt;&gt;"",K926&lt;&gt;""),"POSÉ EN LIGNE",IF(COUNTIF(BARDAGE!$C$1:$C$5000,B926)&gt;0,"BARDÉ","EN STOCK")))</f>
        <v>POSÉ EN LIGNE</v>
      </c>
      <c r="N926" s="80"/>
    </row>
    <row r="927" customFormat="false" ht="15" hidden="false" customHeight="false" outlineLevel="0" collapsed="false">
      <c r="A927" s="82" t="n">
        <f aca="false">IF(B927="","",ROW()-6)</f>
        <v>921</v>
      </c>
      <c r="B927" s="145" t="n">
        <v>2098060</v>
      </c>
      <c r="C927" s="146" t="n">
        <v>15421112</v>
      </c>
      <c r="D927" s="146"/>
      <c r="E927" s="82" t="str">
        <f aca="false">IF(B927="","",IF(COUNTIFS('CARNET DE SOUDURE'!$L$7:$L$3006,B927,'CARNET DE SOUDURE'!$M$7:$M$3006,"&lt;&gt;"&amp;C927,'CARNET DE SOUDURE'!$M$7:$M$3006,"&lt;&gt;")+COUNTIFS('CARNET DE SOUDURE'!$O$7:$O$3006,B927,'CARNET DE SOUDURE'!$P$7:$P$3006,"&lt;&gt;"&amp;C927,'CARNET DE SOUDURE'!$P$7:$P$3006,"&lt;&gt;")&gt;0,"⚠ DIFFÉRENTE","OK"))</f>
        <v>OK</v>
      </c>
      <c r="F927" s="147" t="n">
        <v>11.94</v>
      </c>
      <c r="G927" s="80"/>
      <c r="H927" s="83"/>
      <c r="I927" s="148" t="str">
        <f aca="false">IF(B927="","",IFERROR(INDEX('CARNET DE SOUDURE'!$B$7:$B$3006,MATCH(B927,'CARNET DE SOUDURE'!$L$7:$L$3006,0)),IFERROR(INDEX('CARNET DE SOUDURE'!$B$7:$B$3006,MATCH(B927,'CARNET DE SOUDURE'!$O$7:$O$3006,0)),"")))</f>
        <v>MFD-ISW → MFD-CPF</v>
      </c>
      <c r="J927" s="82" t="str">
        <f aca="false">IF(B927="","",IFERROR(INDEX('CARNET DE SOUDURE'!$E$7:$E$3006,MATCH(B927,'CARNET DE SOUDURE'!$O$7:$O$3006,0)),""))</f>
        <v>DJ°080</v>
      </c>
      <c r="K927" s="82" t="str">
        <f aca="false">IF(B927="","",IFERROR(INDEX('CARNET DE SOUDURE'!$E$7:$E$3006,MATCH(B927,'CARNET DE SOUDURE'!$L$7:$L$3006,0)),""))</f>
        <v>JN°1490</v>
      </c>
      <c r="L927" s="82" t="n">
        <f aca="false">IF(B927="","",IFERROR(INDEX('CARNET DE SOUDURE'!$D$7:$D$3006,MATCH(B927,'CARNET DE SOUDURE'!$L$7:$L$3006,0)),IFERROR(INDEX('CARNET DE SOUDURE'!$D$7:$D$3006,MATCH(B927,'CARNET DE SOUDURE'!$O$7:$O$3006,0)),"")))</f>
        <v>18</v>
      </c>
      <c r="M927" s="82" t="str">
        <f aca="false">IF(B927="","",IF(OR(J927&lt;&gt;"",K927&lt;&gt;""),"POSÉ EN LIGNE",IF(COUNTIF(BARDAGE!$C$1:$C$5000,B927)&gt;0,"BARDÉ","EN STOCK")))</f>
        <v>POSÉ EN LIGNE</v>
      </c>
      <c r="N927" s="80"/>
    </row>
    <row r="928" customFormat="false" ht="15" hidden="false" customHeight="false" outlineLevel="0" collapsed="false">
      <c r="A928" s="82" t="n">
        <f aca="false">IF(B928="","",ROW()-6)</f>
        <v>922</v>
      </c>
      <c r="B928" s="145" t="n">
        <v>2081170</v>
      </c>
      <c r="C928" s="146" t="n">
        <v>15421110</v>
      </c>
      <c r="D928" s="146"/>
      <c r="E928" s="82" t="str">
        <f aca="false">IF(B928="","",IF(COUNTIFS('CARNET DE SOUDURE'!$L$7:$L$3006,B928,'CARNET DE SOUDURE'!$M$7:$M$3006,"&lt;&gt;"&amp;C928,'CARNET DE SOUDURE'!$M$7:$M$3006,"&lt;&gt;")+COUNTIFS('CARNET DE SOUDURE'!$O$7:$O$3006,B928,'CARNET DE SOUDURE'!$P$7:$P$3006,"&lt;&gt;"&amp;C928,'CARNET DE SOUDURE'!$P$7:$P$3006,"&lt;&gt;")&gt;0,"⚠ DIFFÉRENTE","OK"))</f>
        <v>OK</v>
      </c>
      <c r="F928" s="147" t="n">
        <v>11.94</v>
      </c>
      <c r="G928" s="80"/>
      <c r="H928" s="83"/>
      <c r="I928" s="148" t="str">
        <f aca="false">IF(B928="","",IFERROR(INDEX('CARNET DE SOUDURE'!$B$7:$B$3006,MATCH(B928,'CARNET DE SOUDURE'!$L$7:$L$3006,0)),IFERROR(INDEX('CARNET DE SOUDURE'!$B$7:$B$3006,MATCH(B928,'CARNET DE SOUDURE'!$O$7:$O$3006,0)),"")))</f>
        <v>MFD-ISW → MFD-CPF</v>
      </c>
      <c r="J928" s="82" t="str">
        <f aca="false">IF(B928="","",IFERROR(INDEX('CARNET DE SOUDURE'!$E$7:$E$3006,MATCH(B928,'CARNET DE SOUDURE'!$O$7:$O$3006,0)),""))</f>
        <v>DJ°071</v>
      </c>
      <c r="K928" s="82" t="str">
        <f aca="false">IF(B928="","",IFERROR(INDEX('CARNET DE SOUDURE'!$E$7:$E$3006,MATCH(B928,'CARNET DE SOUDURE'!$L$7:$L$3006,0)),""))</f>
        <v>JN°1491R</v>
      </c>
      <c r="L928" s="82" t="n">
        <f aca="false">IF(B928="","",IFERROR(INDEX('CARNET DE SOUDURE'!$D$7:$D$3006,MATCH(B928,'CARNET DE SOUDURE'!$L$7:$L$3006,0)),IFERROR(INDEX('CARNET DE SOUDURE'!$D$7:$D$3006,MATCH(B928,'CARNET DE SOUDURE'!$O$7:$O$3006,0)),"")))</f>
        <v>18</v>
      </c>
      <c r="M928" s="82" t="str">
        <f aca="false">IF(B928="","",IF(OR(J928&lt;&gt;"",K928&lt;&gt;""),"POSÉ EN LIGNE",IF(COUNTIF(BARDAGE!$C$1:$C$5000,B928)&gt;0,"BARDÉ","EN STOCK")))</f>
        <v>POSÉ EN LIGNE</v>
      </c>
      <c r="N928" s="80"/>
    </row>
    <row r="929" customFormat="false" ht="15" hidden="false" customHeight="false" outlineLevel="0" collapsed="false">
      <c r="A929" s="82" t="n">
        <f aca="false">IF(B929="","",ROW()-6)</f>
        <v>923</v>
      </c>
      <c r="B929" s="145" t="n">
        <v>2086760</v>
      </c>
      <c r="C929" s="146" t="n">
        <v>15421107</v>
      </c>
      <c r="D929" s="146"/>
      <c r="E929" s="82" t="str">
        <f aca="false">IF(B929="","",IF(COUNTIFS('CARNET DE SOUDURE'!$L$7:$L$3006,B929,'CARNET DE SOUDURE'!$M$7:$M$3006,"&lt;&gt;"&amp;C929,'CARNET DE SOUDURE'!$M$7:$M$3006,"&lt;&gt;")+COUNTIFS('CARNET DE SOUDURE'!$O$7:$O$3006,B929,'CARNET DE SOUDURE'!$P$7:$P$3006,"&lt;&gt;"&amp;C929,'CARNET DE SOUDURE'!$P$7:$P$3006,"&lt;&gt;")&gt;0,"⚠ DIFFÉRENTE","OK"))</f>
        <v>OK</v>
      </c>
      <c r="F929" s="147" t="n">
        <v>11.94</v>
      </c>
      <c r="G929" s="80"/>
      <c r="H929" s="83"/>
      <c r="I929" s="148" t="str">
        <f aca="false">IF(B929="","",IFERROR(INDEX('CARNET DE SOUDURE'!$B$7:$B$3006,MATCH(B929,'CARNET DE SOUDURE'!$L$7:$L$3006,0)),IFERROR(INDEX('CARNET DE SOUDURE'!$B$7:$B$3006,MATCH(B929,'CARNET DE SOUDURE'!$O$7:$O$3006,0)),"")))</f>
        <v>MFD-ISW → MFD-CPF</v>
      </c>
      <c r="J929" s="82" t="str">
        <f aca="false">IF(B929="","",IFERROR(INDEX('CARNET DE SOUDURE'!$E$7:$E$3006,MATCH(B929,'CARNET DE SOUDURE'!$O$7:$O$3006,0)),""))</f>
        <v>JN°1491R</v>
      </c>
      <c r="K929" s="82" t="str">
        <f aca="false">IF(B929="","",IFERROR(INDEX('CARNET DE SOUDURE'!$E$7:$E$3006,MATCH(B929,'CARNET DE SOUDURE'!$L$7:$L$3006,0)),""))</f>
        <v>DJ°079</v>
      </c>
      <c r="L929" s="82" t="n">
        <f aca="false">IF(B929="","",IFERROR(INDEX('CARNET DE SOUDURE'!$D$7:$D$3006,MATCH(B929,'CARNET DE SOUDURE'!$L$7:$L$3006,0)),IFERROR(INDEX('CARNET DE SOUDURE'!$D$7:$D$3006,MATCH(B929,'CARNET DE SOUDURE'!$O$7:$O$3006,0)),"")))</f>
        <v>18</v>
      </c>
      <c r="M929" s="82" t="str">
        <f aca="false">IF(B929="","",IF(OR(J929&lt;&gt;"",K929&lt;&gt;""),"POSÉ EN LIGNE",IF(COUNTIF(BARDAGE!$C$1:$C$5000,B929)&gt;0,"BARDÉ","EN STOCK")))</f>
        <v>POSÉ EN LIGNE</v>
      </c>
      <c r="N929" s="80"/>
    </row>
    <row r="930" customFormat="false" ht="15" hidden="false" customHeight="false" outlineLevel="0" collapsed="false">
      <c r="A930" s="82" t="n">
        <f aca="false">IF(B930="","",ROW()-6)</f>
        <v>924</v>
      </c>
      <c r="B930" s="145" t="n">
        <v>2092580</v>
      </c>
      <c r="C930" s="146" t="n">
        <v>15421110</v>
      </c>
      <c r="D930" s="146"/>
      <c r="E930" s="82" t="str">
        <f aca="false">IF(B930="","",IF(COUNTIFS('CARNET DE SOUDURE'!$L$7:$L$3006,B930,'CARNET DE SOUDURE'!$M$7:$M$3006,"&lt;&gt;"&amp;C930,'CARNET DE SOUDURE'!$M$7:$M$3006,"&lt;&gt;")+COUNTIFS('CARNET DE SOUDURE'!$O$7:$O$3006,B930,'CARNET DE SOUDURE'!$P$7:$P$3006,"&lt;&gt;"&amp;C930,'CARNET DE SOUDURE'!$P$7:$P$3006,"&lt;&gt;")&gt;0,"⚠ DIFFÉRENTE","OK"))</f>
        <v>OK</v>
      </c>
      <c r="F930" s="147" t="n">
        <v>11.94</v>
      </c>
      <c r="G930" s="80"/>
      <c r="H930" s="83"/>
      <c r="I930" s="148" t="str">
        <f aca="false">IF(B930="","",IFERROR(INDEX('CARNET DE SOUDURE'!$B$7:$B$3006,MATCH(B930,'CARNET DE SOUDURE'!$L$7:$L$3006,0)),IFERROR(INDEX('CARNET DE SOUDURE'!$B$7:$B$3006,MATCH(B930,'CARNET DE SOUDURE'!$O$7:$O$3006,0)),"")))</f>
        <v>MFD-ISW → MFD-CPF</v>
      </c>
      <c r="J930" s="82" t="str">
        <f aca="false">IF(B930="","",IFERROR(INDEX('CARNET DE SOUDURE'!$E$7:$E$3006,MATCH(B930,'CARNET DE SOUDURE'!$O$7:$O$3006,0)),""))</f>
        <v>DJ°079</v>
      </c>
      <c r="K930" s="82" t="str">
        <f aca="false">IF(B930="","",IFERROR(INDEX('CARNET DE SOUDURE'!$E$7:$E$3006,MATCH(B930,'CARNET DE SOUDURE'!$L$7:$L$3006,0)),""))</f>
        <v>JN°1492</v>
      </c>
      <c r="L930" s="82" t="n">
        <f aca="false">IF(B930="","",IFERROR(INDEX('CARNET DE SOUDURE'!$D$7:$D$3006,MATCH(B930,'CARNET DE SOUDURE'!$L$7:$L$3006,0)),IFERROR(INDEX('CARNET DE SOUDURE'!$D$7:$D$3006,MATCH(B930,'CARNET DE SOUDURE'!$O$7:$O$3006,0)),"")))</f>
        <v>18</v>
      </c>
      <c r="M930" s="82" t="str">
        <f aca="false">IF(B930="","",IF(OR(J930&lt;&gt;"",K930&lt;&gt;""),"POSÉ EN LIGNE",IF(COUNTIF(BARDAGE!$C$1:$C$5000,B930)&gt;0,"BARDÉ","EN STOCK")))</f>
        <v>POSÉ EN LIGNE</v>
      </c>
      <c r="N930" s="80"/>
    </row>
    <row r="931" customFormat="false" ht="15" hidden="false" customHeight="false" outlineLevel="0" collapsed="false">
      <c r="A931" s="82" t="n">
        <f aca="false">IF(B931="","",ROW()-6)</f>
        <v>925</v>
      </c>
      <c r="B931" s="145" t="n">
        <v>2085570</v>
      </c>
      <c r="C931" s="146" t="n">
        <v>15421107</v>
      </c>
      <c r="D931" s="146"/>
      <c r="E931" s="82" t="str">
        <f aca="false">IF(B931="","",IF(COUNTIFS('CARNET DE SOUDURE'!$L$7:$L$3006,B931,'CARNET DE SOUDURE'!$M$7:$M$3006,"&lt;&gt;"&amp;C931,'CARNET DE SOUDURE'!$M$7:$M$3006,"&lt;&gt;")+COUNTIFS('CARNET DE SOUDURE'!$O$7:$O$3006,B931,'CARNET DE SOUDURE'!$P$7:$P$3006,"&lt;&gt;"&amp;C931,'CARNET DE SOUDURE'!$P$7:$P$3006,"&lt;&gt;")&gt;0,"⚠ DIFFÉRENTE","OK"))</f>
        <v>OK</v>
      </c>
      <c r="F931" s="147" t="n">
        <v>11.94</v>
      </c>
      <c r="G931" s="80"/>
      <c r="H931" s="83"/>
      <c r="I931" s="148" t="str">
        <f aca="false">IF(B931="","",IFERROR(INDEX('CARNET DE SOUDURE'!$B$7:$B$3006,MATCH(B931,'CARNET DE SOUDURE'!$L$7:$L$3006,0)),IFERROR(INDEX('CARNET DE SOUDURE'!$B$7:$B$3006,MATCH(B931,'CARNET DE SOUDURE'!$O$7:$O$3006,0)),"")))</f>
        <v>MFD-ISW → MFD-CPF</v>
      </c>
      <c r="J931" s="82" t="str">
        <f aca="false">IF(B931="","",IFERROR(INDEX('CARNET DE SOUDURE'!$E$7:$E$3006,MATCH(B931,'CARNET DE SOUDURE'!$O$7:$O$3006,0)),""))</f>
        <v>JN°1492</v>
      </c>
      <c r="K931" s="82" t="str">
        <f aca="false">IF(B931="","",IFERROR(INDEX('CARNET DE SOUDURE'!$E$7:$E$3006,MATCH(B931,'CARNET DE SOUDURE'!$L$7:$L$3006,0)),""))</f>
        <v>DJ°061</v>
      </c>
      <c r="L931" s="82" t="n">
        <f aca="false">IF(B931="","",IFERROR(INDEX('CARNET DE SOUDURE'!$D$7:$D$3006,MATCH(B931,'CARNET DE SOUDURE'!$L$7:$L$3006,0)),IFERROR(INDEX('CARNET DE SOUDURE'!$D$7:$D$3006,MATCH(B931,'CARNET DE SOUDURE'!$O$7:$O$3006,0)),"")))</f>
        <v>18</v>
      </c>
      <c r="M931" s="82" t="str">
        <f aca="false">IF(B931="","",IF(OR(J931&lt;&gt;"",K931&lt;&gt;""),"POSÉ EN LIGNE",IF(COUNTIF(BARDAGE!$C$1:$C$5000,B931)&gt;0,"BARDÉ","EN STOCK")))</f>
        <v>POSÉ EN LIGNE</v>
      </c>
      <c r="N931" s="80"/>
    </row>
    <row r="932" customFormat="false" ht="15" hidden="false" customHeight="false" outlineLevel="0" collapsed="false">
      <c r="A932" s="82" t="n">
        <f aca="false">IF(B932="","",ROW()-6)</f>
        <v>926</v>
      </c>
      <c r="B932" s="145" t="n">
        <v>2094390</v>
      </c>
      <c r="C932" s="146" t="n">
        <v>15421111</v>
      </c>
      <c r="D932" s="146"/>
      <c r="E932" s="82" t="str">
        <f aca="false">IF(B932="","",IF(COUNTIFS('CARNET DE SOUDURE'!$L$7:$L$3006,B932,'CARNET DE SOUDURE'!$M$7:$M$3006,"&lt;&gt;"&amp;C932,'CARNET DE SOUDURE'!$M$7:$M$3006,"&lt;&gt;")+COUNTIFS('CARNET DE SOUDURE'!$O$7:$O$3006,B932,'CARNET DE SOUDURE'!$P$7:$P$3006,"&lt;&gt;"&amp;C932,'CARNET DE SOUDURE'!$P$7:$P$3006,"&lt;&gt;")&gt;0,"⚠ DIFFÉRENTE","OK"))</f>
        <v>OK</v>
      </c>
      <c r="F932" s="147" t="n">
        <v>11.94</v>
      </c>
      <c r="G932" s="80"/>
      <c r="H932" s="83"/>
      <c r="I932" s="148" t="str">
        <f aca="false">IF(B932="","",IFERROR(INDEX('CARNET DE SOUDURE'!$B$7:$B$3006,MATCH(B932,'CARNET DE SOUDURE'!$L$7:$L$3006,0)),IFERROR(INDEX('CARNET DE SOUDURE'!$B$7:$B$3006,MATCH(B932,'CARNET DE SOUDURE'!$O$7:$O$3006,0)),"")))</f>
        <v>MFD-ISW → MFD-CPF</v>
      </c>
      <c r="J932" s="82" t="str">
        <f aca="false">IF(B932="","",IFERROR(INDEX('CARNET DE SOUDURE'!$E$7:$E$3006,MATCH(B932,'CARNET DE SOUDURE'!$O$7:$O$3006,0)),""))</f>
        <v>DJ°061</v>
      </c>
      <c r="K932" s="82" t="str">
        <f aca="false">IF(B932="","",IFERROR(INDEX('CARNET DE SOUDURE'!$E$7:$E$3006,MATCH(B932,'CARNET DE SOUDURE'!$L$7:$L$3006,0)),""))</f>
        <v>JN°1493</v>
      </c>
      <c r="L932" s="82" t="n">
        <f aca="false">IF(B932="","",IFERROR(INDEX('CARNET DE SOUDURE'!$D$7:$D$3006,MATCH(B932,'CARNET DE SOUDURE'!$L$7:$L$3006,0)),IFERROR(INDEX('CARNET DE SOUDURE'!$D$7:$D$3006,MATCH(B932,'CARNET DE SOUDURE'!$O$7:$O$3006,0)),"")))</f>
        <v>18</v>
      </c>
      <c r="M932" s="82" t="str">
        <f aca="false">IF(B932="","",IF(OR(J932&lt;&gt;"",K932&lt;&gt;""),"POSÉ EN LIGNE",IF(COUNTIF(BARDAGE!$C$1:$C$5000,B932)&gt;0,"BARDÉ","EN STOCK")))</f>
        <v>POSÉ EN LIGNE</v>
      </c>
      <c r="N932" s="80"/>
    </row>
    <row r="933" customFormat="false" ht="15" hidden="false" customHeight="false" outlineLevel="0" collapsed="false">
      <c r="A933" s="82" t="n">
        <f aca="false">IF(B933="","",ROW()-6)</f>
        <v>927</v>
      </c>
      <c r="B933" s="145" t="n">
        <v>2098340</v>
      </c>
      <c r="C933" s="146" t="n">
        <v>15421112</v>
      </c>
      <c r="D933" s="146"/>
      <c r="E933" s="82" t="str">
        <f aca="false">IF(B933="","",IF(COUNTIFS('CARNET DE SOUDURE'!$L$7:$L$3006,B933,'CARNET DE SOUDURE'!$M$7:$M$3006,"&lt;&gt;"&amp;C933,'CARNET DE SOUDURE'!$M$7:$M$3006,"&lt;&gt;")+COUNTIFS('CARNET DE SOUDURE'!$O$7:$O$3006,B933,'CARNET DE SOUDURE'!$P$7:$P$3006,"&lt;&gt;"&amp;C933,'CARNET DE SOUDURE'!$P$7:$P$3006,"&lt;&gt;")&gt;0,"⚠ DIFFÉRENTE","OK"))</f>
        <v>OK</v>
      </c>
      <c r="F933" s="147" t="n">
        <v>11.94</v>
      </c>
      <c r="G933" s="80"/>
      <c r="H933" s="83"/>
      <c r="I933" s="148" t="str">
        <f aca="false">IF(B933="","",IFERROR(INDEX('CARNET DE SOUDURE'!$B$7:$B$3006,MATCH(B933,'CARNET DE SOUDURE'!$L$7:$L$3006,0)),IFERROR(INDEX('CARNET DE SOUDURE'!$B$7:$B$3006,MATCH(B933,'CARNET DE SOUDURE'!$O$7:$O$3006,0)),"")))</f>
        <v>MFD-ISW → MFD-CPF</v>
      </c>
      <c r="J933" s="82" t="str">
        <f aca="false">IF(B933="","",IFERROR(INDEX('CARNET DE SOUDURE'!$E$7:$E$3006,MATCH(B933,'CARNET DE SOUDURE'!$O$7:$O$3006,0)),""))</f>
        <v>JN°1493</v>
      </c>
      <c r="K933" s="82" t="str">
        <f aca="false">IF(B933="","",IFERROR(INDEX('CARNET DE SOUDURE'!$E$7:$E$3006,MATCH(B933,'CARNET DE SOUDURE'!$L$7:$L$3006,0)),""))</f>
        <v>DJ°077</v>
      </c>
      <c r="L933" s="82" t="n">
        <f aca="false">IF(B933="","",IFERROR(INDEX('CARNET DE SOUDURE'!$D$7:$D$3006,MATCH(B933,'CARNET DE SOUDURE'!$L$7:$L$3006,0)),IFERROR(INDEX('CARNET DE SOUDURE'!$D$7:$D$3006,MATCH(B933,'CARNET DE SOUDURE'!$O$7:$O$3006,0)),"")))</f>
        <v>18</v>
      </c>
      <c r="M933" s="82" t="str">
        <f aca="false">IF(B933="","",IF(OR(J933&lt;&gt;"",K933&lt;&gt;""),"POSÉ EN LIGNE",IF(COUNTIF(BARDAGE!$C$1:$C$5000,B933)&gt;0,"BARDÉ","EN STOCK")))</f>
        <v>POSÉ EN LIGNE</v>
      </c>
      <c r="N933" s="80"/>
    </row>
    <row r="934" customFormat="false" ht="15" hidden="false" customHeight="false" outlineLevel="0" collapsed="false">
      <c r="A934" s="82" t="n">
        <f aca="false">IF(B934="","",ROW()-6)</f>
        <v>928</v>
      </c>
      <c r="B934" s="145" t="n">
        <v>2086860</v>
      </c>
      <c r="C934" s="146" t="n">
        <v>15421107</v>
      </c>
      <c r="D934" s="146"/>
      <c r="E934" s="82" t="str">
        <f aca="false">IF(B934="","",IF(COUNTIFS('CARNET DE SOUDURE'!$L$7:$L$3006,B934,'CARNET DE SOUDURE'!$M$7:$M$3006,"&lt;&gt;"&amp;C934,'CARNET DE SOUDURE'!$M$7:$M$3006,"&lt;&gt;")+COUNTIFS('CARNET DE SOUDURE'!$O$7:$O$3006,B934,'CARNET DE SOUDURE'!$P$7:$P$3006,"&lt;&gt;"&amp;C934,'CARNET DE SOUDURE'!$P$7:$P$3006,"&lt;&gt;")&gt;0,"⚠ DIFFÉRENTE","OK"))</f>
        <v>OK</v>
      </c>
      <c r="F934" s="147" t="n">
        <v>11.94</v>
      </c>
      <c r="G934" s="80"/>
      <c r="H934" s="83"/>
      <c r="I934" s="148" t="str">
        <f aca="false">IF(B934="","",IFERROR(INDEX('CARNET DE SOUDURE'!$B$7:$B$3006,MATCH(B934,'CARNET DE SOUDURE'!$L$7:$L$3006,0)),IFERROR(INDEX('CARNET DE SOUDURE'!$B$7:$B$3006,MATCH(B934,'CARNET DE SOUDURE'!$O$7:$O$3006,0)),"")))</f>
        <v>MFD-ISW → MFD-CPF</v>
      </c>
      <c r="J934" s="82" t="str">
        <f aca="false">IF(B934="","",IFERROR(INDEX('CARNET DE SOUDURE'!$E$7:$E$3006,MATCH(B934,'CARNET DE SOUDURE'!$O$7:$O$3006,0)),""))</f>
        <v>DJ°077</v>
      </c>
      <c r="K934" s="82" t="str">
        <f aca="false">IF(B934="","",IFERROR(INDEX('CARNET DE SOUDURE'!$E$7:$E$3006,MATCH(B934,'CARNET DE SOUDURE'!$L$7:$L$3006,0)),""))</f>
        <v>JN°1494</v>
      </c>
      <c r="L934" s="82" t="n">
        <f aca="false">IF(B934="","",IFERROR(INDEX('CARNET DE SOUDURE'!$D$7:$D$3006,MATCH(B934,'CARNET DE SOUDURE'!$L$7:$L$3006,0)),IFERROR(INDEX('CARNET DE SOUDURE'!$D$7:$D$3006,MATCH(B934,'CARNET DE SOUDURE'!$O$7:$O$3006,0)),"")))</f>
        <v>18</v>
      </c>
      <c r="M934" s="82" t="str">
        <f aca="false">IF(B934="","",IF(OR(J934&lt;&gt;"",K934&lt;&gt;""),"POSÉ EN LIGNE",IF(COUNTIF(BARDAGE!$C$1:$C$5000,B934)&gt;0,"BARDÉ","EN STOCK")))</f>
        <v>POSÉ EN LIGNE</v>
      </c>
      <c r="N934" s="80"/>
    </row>
    <row r="935" customFormat="false" ht="15" hidden="false" customHeight="false" outlineLevel="0" collapsed="false">
      <c r="A935" s="82" t="n">
        <f aca="false">IF(B935="","",ROW()-6)</f>
        <v>929</v>
      </c>
      <c r="B935" s="145" t="n">
        <v>2088510</v>
      </c>
      <c r="C935" s="146" t="n">
        <v>15421108</v>
      </c>
      <c r="D935" s="146"/>
      <c r="E935" s="82" t="str">
        <f aca="false">IF(B935="","",IF(COUNTIFS('CARNET DE SOUDURE'!$L$7:$L$3006,B935,'CARNET DE SOUDURE'!$M$7:$M$3006,"&lt;&gt;"&amp;C935,'CARNET DE SOUDURE'!$M$7:$M$3006,"&lt;&gt;")+COUNTIFS('CARNET DE SOUDURE'!$O$7:$O$3006,B935,'CARNET DE SOUDURE'!$P$7:$P$3006,"&lt;&gt;"&amp;C935,'CARNET DE SOUDURE'!$P$7:$P$3006,"&lt;&gt;")&gt;0,"⚠ DIFFÉRENTE","OK"))</f>
        <v>OK</v>
      </c>
      <c r="F935" s="147" t="n">
        <v>11.94</v>
      </c>
      <c r="G935" s="80"/>
      <c r="H935" s="83"/>
      <c r="I935" s="148" t="str">
        <f aca="false">IF(B935="","",IFERROR(INDEX('CARNET DE SOUDURE'!$B$7:$B$3006,MATCH(B935,'CARNET DE SOUDURE'!$L$7:$L$3006,0)),IFERROR(INDEX('CARNET DE SOUDURE'!$B$7:$B$3006,MATCH(B935,'CARNET DE SOUDURE'!$O$7:$O$3006,0)),"")))</f>
        <v>MFD-ISW → MFD-CPF</v>
      </c>
      <c r="J935" s="82" t="str">
        <f aca="false">IF(B935="","",IFERROR(INDEX('CARNET DE SOUDURE'!$E$7:$E$3006,MATCH(B935,'CARNET DE SOUDURE'!$O$7:$O$3006,0)),""))</f>
        <v>JN°1494</v>
      </c>
      <c r="K935" s="82" t="str">
        <f aca="false">IF(B935="","",IFERROR(INDEX('CARNET DE SOUDURE'!$E$7:$E$3006,MATCH(B935,'CARNET DE SOUDURE'!$L$7:$L$3006,0)),""))</f>
        <v>DJ°047</v>
      </c>
      <c r="L935" s="82" t="n">
        <f aca="false">IF(B935="","",IFERROR(INDEX('CARNET DE SOUDURE'!$D$7:$D$3006,MATCH(B935,'CARNET DE SOUDURE'!$L$7:$L$3006,0)),IFERROR(INDEX('CARNET DE SOUDURE'!$D$7:$D$3006,MATCH(B935,'CARNET DE SOUDURE'!$O$7:$O$3006,0)),"")))</f>
        <v>18</v>
      </c>
      <c r="M935" s="82" t="str">
        <f aca="false">IF(B935="","",IF(OR(J935&lt;&gt;"",K935&lt;&gt;""),"POSÉ EN LIGNE",IF(COUNTIF(BARDAGE!$C$1:$C$5000,B935)&gt;0,"BARDÉ","EN STOCK")))</f>
        <v>POSÉ EN LIGNE</v>
      </c>
      <c r="N935" s="80"/>
    </row>
    <row r="936" customFormat="false" ht="15" hidden="false" customHeight="false" outlineLevel="0" collapsed="false">
      <c r="A936" s="82" t="n">
        <f aca="false">IF(B936="","",ROW()-6)</f>
        <v>930</v>
      </c>
      <c r="B936" s="145" t="n">
        <v>2095220</v>
      </c>
      <c r="C936" s="146" t="n">
        <v>15421111</v>
      </c>
      <c r="D936" s="146"/>
      <c r="E936" s="82" t="str">
        <f aca="false">IF(B936="","",IF(COUNTIFS('CARNET DE SOUDURE'!$L$7:$L$3006,B936,'CARNET DE SOUDURE'!$M$7:$M$3006,"&lt;&gt;"&amp;C936,'CARNET DE SOUDURE'!$M$7:$M$3006,"&lt;&gt;")+COUNTIFS('CARNET DE SOUDURE'!$O$7:$O$3006,B936,'CARNET DE SOUDURE'!$P$7:$P$3006,"&lt;&gt;"&amp;C936,'CARNET DE SOUDURE'!$P$7:$P$3006,"&lt;&gt;")&gt;0,"⚠ DIFFÉRENTE","OK"))</f>
        <v>OK</v>
      </c>
      <c r="F936" s="147" t="n">
        <v>11.94</v>
      </c>
      <c r="G936" s="80"/>
      <c r="H936" s="83"/>
      <c r="I936" s="148" t="str">
        <f aca="false">IF(B936="","",IFERROR(INDEX('CARNET DE SOUDURE'!$B$7:$B$3006,MATCH(B936,'CARNET DE SOUDURE'!$L$7:$L$3006,0)),IFERROR(INDEX('CARNET DE SOUDURE'!$B$7:$B$3006,MATCH(B936,'CARNET DE SOUDURE'!$O$7:$O$3006,0)),"")))</f>
        <v>MFD-ISW → MFD-CPF</v>
      </c>
      <c r="J936" s="82" t="str">
        <f aca="false">IF(B936="","",IFERROR(INDEX('CARNET DE SOUDURE'!$E$7:$E$3006,MATCH(B936,'CARNET DE SOUDURE'!$O$7:$O$3006,0)),""))</f>
        <v>DJ°047</v>
      </c>
      <c r="K936" s="82" t="str">
        <f aca="false">IF(B936="","",IFERROR(INDEX('CARNET DE SOUDURE'!$E$7:$E$3006,MATCH(B936,'CARNET DE SOUDURE'!$L$7:$L$3006,0)),""))</f>
        <v>JN°1495</v>
      </c>
      <c r="L936" s="82" t="n">
        <f aca="false">IF(B936="","",IFERROR(INDEX('CARNET DE SOUDURE'!$D$7:$D$3006,MATCH(B936,'CARNET DE SOUDURE'!$L$7:$L$3006,0)),IFERROR(INDEX('CARNET DE SOUDURE'!$D$7:$D$3006,MATCH(B936,'CARNET DE SOUDURE'!$O$7:$O$3006,0)),"")))</f>
        <v>18</v>
      </c>
      <c r="M936" s="82" t="str">
        <f aca="false">IF(B936="","",IF(OR(J936&lt;&gt;"",K936&lt;&gt;""),"POSÉ EN LIGNE",IF(COUNTIF(BARDAGE!$C$1:$C$5000,B936)&gt;0,"BARDÉ","EN STOCK")))</f>
        <v>POSÉ EN LIGNE</v>
      </c>
      <c r="N936" s="80"/>
    </row>
    <row r="937" customFormat="false" ht="15" hidden="false" customHeight="false" outlineLevel="0" collapsed="false">
      <c r="A937" s="82" t="n">
        <f aca="false">IF(B937="","",ROW()-6)</f>
        <v>931</v>
      </c>
      <c r="B937" s="145" t="n">
        <v>2097530</v>
      </c>
      <c r="C937" s="146" t="n">
        <v>15421112</v>
      </c>
      <c r="D937" s="146"/>
      <c r="E937" s="82" t="str">
        <f aca="false">IF(B937="","",IF(COUNTIFS('CARNET DE SOUDURE'!$L$7:$L$3006,B937,'CARNET DE SOUDURE'!$M$7:$M$3006,"&lt;&gt;"&amp;C937,'CARNET DE SOUDURE'!$M$7:$M$3006,"&lt;&gt;")+COUNTIFS('CARNET DE SOUDURE'!$O$7:$O$3006,B937,'CARNET DE SOUDURE'!$P$7:$P$3006,"&lt;&gt;"&amp;C937,'CARNET DE SOUDURE'!$P$7:$P$3006,"&lt;&gt;")&gt;0,"⚠ DIFFÉRENTE","OK"))</f>
        <v>OK</v>
      </c>
      <c r="F937" s="147" t="n">
        <v>11.94</v>
      </c>
      <c r="G937" s="80"/>
      <c r="H937" s="83"/>
      <c r="I937" s="148" t="str">
        <f aca="false">IF(B937="","",IFERROR(INDEX('CARNET DE SOUDURE'!$B$7:$B$3006,MATCH(B937,'CARNET DE SOUDURE'!$L$7:$L$3006,0)),IFERROR(INDEX('CARNET DE SOUDURE'!$B$7:$B$3006,MATCH(B937,'CARNET DE SOUDURE'!$O$7:$O$3006,0)),"")))</f>
        <v>MFD-ISW → MFD-CPF</v>
      </c>
      <c r="J937" s="82" t="str">
        <f aca="false">IF(B937="","",IFERROR(INDEX('CARNET DE SOUDURE'!$E$7:$E$3006,MATCH(B937,'CARNET DE SOUDURE'!$O$7:$O$3006,0)),""))</f>
        <v>JN°1495</v>
      </c>
      <c r="K937" s="82" t="str">
        <f aca="false">IF(B937="","",IFERROR(INDEX('CARNET DE SOUDURE'!$E$7:$E$3006,MATCH(B937,'CARNET DE SOUDURE'!$L$7:$L$3006,0)),""))</f>
        <v>DJ°125</v>
      </c>
      <c r="L937" s="82" t="n">
        <f aca="false">IF(B937="","",IFERROR(INDEX('CARNET DE SOUDURE'!$D$7:$D$3006,MATCH(B937,'CARNET DE SOUDURE'!$L$7:$L$3006,0)),IFERROR(INDEX('CARNET DE SOUDURE'!$D$7:$D$3006,MATCH(B937,'CARNET DE SOUDURE'!$O$7:$O$3006,0)),"")))</f>
        <v>18</v>
      </c>
      <c r="M937" s="82" t="str">
        <f aca="false">IF(B937="","",IF(OR(J937&lt;&gt;"",K937&lt;&gt;""),"POSÉ EN LIGNE",IF(COUNTIF(BARDAGE!$C$1:$C$5000,B937)&gt;0,"BARDÉ","EN STOCK")))</f>
        <v>POSÉ EN LIGNE</v>
      </c>
      <c r="N937" s="80"/>
    </row>
    <row r="938" customFormat="false" ht="15" hidden="false" customHeight="false" outlineLevel="0" collapsed="false">
      <c r="A938" s="82" t="n">
        <f aca="false">IF(B938="","",ROW()-6)</f>
        <v>932</v>
      </c>
      <c r="B938" s="145" t="n">
        <v>2081050</v>
      </c>
      <c r="C938" s="146" t="n">
        <v>15421103</v>
      </c>
      <c r="D938" s="146"/>
      <c r="E938" s="82" t="str">
        <f aca="false">IF(B938="","",IF(COUNTIFS('CARNET DE SOUDURE'!$L$7:$L$3006,B938,'CARNET DE SOUDURE'!$M$7:$M$3006,"&lt;&gt;"&amp;C938,'CARNET DE SOUDURE'!$M$7:$M$3006,"&lt;&gt;")+COUNTIFS('CARNET DE SOUDURE'!$O$7:$O$3006,B938,'CARNET DE SOUDURE'!$P$7:$P$3006,"&lt;&gt;"&amp;C938,'CARNET DE SOUDURE'!$P$7:$P$3006,"&lt;&gt;")&gt;0,"⚠ DIFFÉRENTE","OK"))</f>
        <v>OK</v>
      </c>
      <c r="F938" s="147" t="n">
        <v>11.94</v>
      </c>
      <c r="G938" s="80"/>
      <c r="H938" s="83"/>
      <c r="I938" s="148" t="str">
        <f aca="false">IF(B938="","",IFERROR(INDEX('CARNET DE SOUDURE'!$B$7:$B$3006,MATCH(B938,'CARNET DE SOUDURE'!$L$7:$L$3006,0)),IFERROR(INDEX('CARNET DE SOUDURE'!$B$7:$B$3006,MATCH(B938,'CARNET DE SOUDURE'!$O$7:$O$3006,0)),"")))</f>
        <v>MFD-ISW → MFD-CPF</v>
      </c>
      <c r="J938" s="82" t="str">
        <f aca="false">IF(B938="","",IFERROR(INDEX('CARNET DE SOUDURE'!$E$7:$E$3006,MATCH(B938,'CARNET DE SOUDURE'!$O$7:$O$3006,0)),""))</f>
        <v>DJ°125</v>
      </c>
      <c r="K938" s="82" t="str">
        <f aca="false">IF(B938="","",IFERROR(INDEX('CARNET DE SOUDURE'!$E$7:$E$3006,MATCH(B938,'CARNET DE SOUDURE'!$L$7:$L$3006,0)),""))</f>
        <v>JN°1496R</v>
      </c>
      <c r="L938" s="82" t="n">
        <f aca="false">IF(B938="","",IFERROR(INDEX('CARNET DE SOUDURE'!$D$7:$D$3006,MATCH(B938,'CARNET DE SOUDURE'!$L$7:$L$3006,0)),IFERROR(INDEX('CARNET DE SOUDURE'!$D$7:$D$3006,MATCH(B938,'CARNET DE SOUDURE'!$O$7:$O$3006,0)),"")))</f>
        <v>18</v>
      </c>
      <c r="M938" s="82" t="str">
        <f aca="false">IF(B938="","",IF(OR(J938&lt;&gt;"",K938&lt;&gt;""),"POSÉ EN LIGNE",IF(COUNTIF(BARDAGE!$C$1:$C$5000,B938)&gt;0,"BARDÉ","EN STOCK")))</f>
        <v>POSÉ EN LIGNE</v>
      </c>
      <c r="N938" s="80"/>
    </row>
    <row r="939" customFormat="false" ht="15" hidden="false" customHeight="false" outlineLevel="0" collapsed="false">
      <c r="A939" s="82" t="n">
        <f aca="false">IF(B939="","",ROW()-6)</f>
        <v>933</v>
      </c>
      <c r="B939" s="145" t="n">
        <v>2082770</v>
      </c>
      <c r="C939" s="146" t="n">
        <v>15421104</v>
      </c>
      <c r="D939" s="146"/>
      <c r="E939" s="82" t="str">
        <f aca="false">IF(B939="","",IF(COUNTIFS('CARNET DE SOUDURE'!$L$7:$L$3006,B939,'CARNET DE SOUDURE'!$M$7:$M$3006,"&lt;&gt;"&amp;C939,'CARNET DE SOUDURE'!$M$7:$M$3006,"&lt;&gt;")+COUNTIFS('CARNET DE SOUDURE'!$O$7:$O$3006,B939,'CARNET DE SOUDURE'!$P$7:$P$3006,"&lt;&gt;"&amp;C939,'CARNET DE SOUDURE'!$P$7:$P$3006,"&lt;&gt;")&gt;0,"⚠ DIFFÉRENTE","OK"))</f>
        <v>OK</v>
      </c>
      <c r="F939" s="147" t="n">
        <v>11.94</v>
      </c>
      <c r="G939" s="80"/>
      <c r="H939" s="83"/>
      <c r="I939" s="148" t="str">
        <f aca="false">IF(B939="","",IFERROR(INDEX('CARNET DE SOUDURE'!$B$7:$B$3006,MATCH(B939,'CARNET DE SOUDURE'!$L$7:$L$3006,0)),IFERROR(INDEX('CARNET DE SOUDURE'!$B$7:$B$3006,MATCH(B939,'CARNET DE SOUDURE'!$O$7:$O$3006,0)),"")))</f>
        <v>MFD-ISW → MFD-CPF</v>
      </c>
      <c r="J939" s="82" t="str">
        <f aca="false">IF(B939="","",IFERROR(INDEX('CARNET DE SOUDURE'!$E$7:$E$3006,MATCH(B939,'CARNET DE SOUDURE'!$O$7:$O$3006,0)),""))</f>
        <v>JN°1496R</v>
      </c>
      <c r="K939" s="82" t="str">
        <f aca="false">IF(B939="","",IFERROR(INDEX('CARNET DE SOUDURE'!$E$7:$E$3006,MATCH(B939,'CARNET DE SOUDURE'!$L$7:$L$3006,0)),""))</f>
        <v>DJ°120</v>
      </c>
      <c r="L939" s="82" t="n">
        <f aca="false">IF(B939="","",IFERROR(INDEX('CARNET DE SOUDURE'!$D$7:$D$3006,MATCH(B939,'CARNET DE SOUDURE'!$L$7:$L$3006,0)),IFERROR(INDEX('CARNET DE SOUDURE'!$D$7:$D$3006,MATCH(B939,'CARNET DE SOUDURE'!$O$7:$O$3006,0)),"")))</f>
        <v>18</v>
      </c>
      <c r="M939" s="82" t="str">
        <f aca="false">IF(B939="","",IF(OR(J939&lt;&gt;"",K939&lt;&gt;""),"POSÉ EN LIGNE",IF(COUNTIF(BARDAGE!$C$1:$C$5000,B939)&gt;0,"BARDÉ","EN STOCK")))</f>
        <v>POSÉ EN LIGNE</v>
      </c>
      <c r="N939" s="80"/>
    </row>
    <row r="940" customFormat="false" ht="15" hidden="false" customHeight="false" outlineLevel="0" collapsed="false">
      <c r="A940" s="82" t="n">
        <f aca="false">IF(B940="","",ROW()-6)</f>
        <v>934</v>
      </c>
      <c r="B940" s="145" t="n">
        <v>2084890</v>
      </c>
      <c r="C940" s="146" t="n">
        <v>15421101</v>
      </c>
      <c r="D940" s="146"/>
      <c r="E940" s="82" t="str">
        <f aca="false">IF(B940="","",IF(COUNTIFS('CARNET DE SOUDURE'!$L$7:$L$3006,B940,'CARNET DE SOUDURE'!$M$7:$M$3006,"&lt;&gt;"&amp;C940,'CARNET DE SOUDURE'!$M$7:$M$3006,"&lt;&gt;")+COUNTIFS('CARNET DE SOUDURE'!$O$7:$O$3006,B940,'CARNET DE SOUDURE'!$P$7:$P$3006,"&lt;&gt;"&amp;C940,'CARNET DE SOUDURE'!$P$7:$P$3006,"&lt;&gt;")&gt;0,"⚠ DIFFÉRENTE","OK"))</f>
        <v>OK</v>
      </c>
      <c r="F940" s="147" t="n">
        <v>11.94</v>
      </c>
      <c r="G940" s="80"/>
      <c r="H940" s="83"/>
      <c r="I940" s="148" t="str">
        <f aca="false">IF(B940="","",IFERROR(INDEX('CARNET DE SOUDURE'!$B$7:$B$3006,MATCH(B940,'CARNET DE SOUDURE'!$L$7:$L$3006,0)),IFERROR(INDEX('CARNET DE SOUDURE'!$B$7:$B$3006,MATCH(B940,'CARNET DE SOUDURE'!$O$7:$O$3006,0)),"")))</f>
        <v>MFD-ISW → MFD-CPF</v>
      </c>
      <c r="J940" s="82" t="str">
        <f aca="false">IF(B940="","",IFERROR(INDEX('CARNET DE SOUDURE'!$E$7:$E$3006,MATCH(B940,'CARNET DE SOUDURE'!$O$7:$O$3006,0)),""))</f>
        <v>DJ°120</v>
      </c>
      <c r="K940" s="82" t="str">
        <f aca="false">IF(B940="","",IFERROR(INDEX('CARNET DE SOUDURE'!$E$7:$E$3006,MATCH(B940,'CARNET DE SOUDURE'!$L$7:$L$3006,0)),""))</f>
        <v>JN°1497R</v>
      </c>
      <c r="L940" s="82" t="n">
        <f aca="false">IF(B940="","",IFERROR(INDEX('CARNET DE SOUDURE'!$D$7:$D$3006,MATCH(B940,'CARNET DE SOUDURE'!$L$7:$L$3006,0)),IFERROR(INDEX('CARNET DE SOUDURE'!$D$7:$D$3006,MATCH(B940,'CARNET DE SOUDURE'!$O$7:$O$3006,0)),"")))</f>
        <v>18</v>
      </c>
      <c r="M940" s="82" t="str">
        <f aca="false">IF(B940="","",IF(OR(J940&lt;&gt;"",K940&lt;&gt;""),"POSÉ EN LIGNE",IF(COUNTIF(BARDAGE!$C$1:$C$5000,B940)&gt;0,"BARDÉ","EN STOCK")))</f>
        <v>POSÉ EN LIGNE</v>
      </c>
      <c r="N940" s="80"/>
    </row>
    <row r="941" customFormat="false" ht="15" hidden="false" customHeight="false" outlineLevel="0" collapsed="false">
      <c r="A941" s="82" t="n">
        <f aca="false">IF(B941="","",ROW()-6)</f>
        <v>935</v>
      </c>
      <c r="B941" s="145" t="n">
        <v>2092610</v>
      </c>
      <c r="C941" s="146" t="n">
        <v>15421110</v>
      </c>
      <c r="D941" s="146"/>
      <c r="E941" s="82" t="str">
        <f aca="false">IF(B941="","",IF(COUNTIFS('CARNET DE SOUDURE'!$L$7:$L$3006,B941,'CARNET DE SOUDURE'!$M$7:$M$3006,"&lt;&gt;"&amp;C941,'CARNET DE SOUDURE'!$M$7:$M$3006,"&lt;&gt;")+COUNTIFS('CARNET DE SOUDURE'!$O$7:$O$3006,B941,'CARNET DE SOUDURE'!$P$7:$P$3006,"&lt;&gt;"&amp;C941,'CARNET DE SOUDURE'!$P$7:$P$3006,"&lt;&gt;")&gt;0,"⚠ DIFFÉRENTE","OK"))</f>
        <v>OK</v>
      </c>
      <c r="F941" s="147" t="n">
        <v>11.94</v>
      </c>
      <c r="G941" s="80"/>
      <c r="H941" s="83"/>
      <c r="I941" s="148" t="str">
        <f aca="false">IF(B941="","",IFERROR(INDEX('CARNET DE SOUDURE'!$B$7:$B$3006,MATCH(B941,'CARNET DE SOUDURE'!$L$7:$L$3006,0)),IFERROR(INDEX('CARNET DE SOUDURE'!$B$7:$B$3006,MATCH(B941,'CARNET DE SOUDURE'!$O$7:$O$3006,0)),"")))</f>
        <v>MFD-ISW → MFD-CPF</v>
      </c>
      <c r="J941" s="82" t="str">
        <f aca="false">IF(B941="","",IFERROR(INDEX('CARNET DE SOUDURE'!$E$7:$E$3006,MATCH(B941,'CARNET DE SOUDURE'!$O$7:$O$3006,0)),""))</f>
        <v>JN°1497R</v>
      </c>
      <c r="K941" s="82" t="str">
        <f aca="false">IF(B941="","",IFERROR(INDEX('CARNET DE SOUDURE'!$E$7:$E$3006,MATCH(B941,'CARNET DE SOUDURE'!$L$7:$L$3006,0)),""))</f>
        <v>DJ°062</v>
      </c>
      <c r="L941" s="82" t="n">
        <f aca="false">IF(B941="","",IFERROR(INDEX('CARNET DE SOUDURE'!$D$7:$D$3006,MATCH(B941,'CARNET DE SOUDURE'!$L$7:$L$3006,0)),IFERROR(INDEX('CARNET DE SOUDURE'!$D$7:$D$3006,MATCH(B941,'CARNET DE SOUDURE'!$O$7:$O$3006,0)),"")))</f>
        <v>18</v>
      </c>
      <c r="M941" s="82" t="str">
        <f aca="false">IF(B941="","",IF(OR(J941&lt;&gt;"",K941&lt;&gt;""),"POSÉ EN LIGNE",IF(COUNTIF(BARDAGE!$C$1:$C$5000,B941)&gt;0,"BARDÉ","EN STOCK")))</f>
        <v>POSÉ EN LIGNE</v>
      </c>
      <c r="N941" s="80"/>
    </row>
    <row r="942" customFormat="false" ht="15" hidden="false" customHeight="false" outlineLevel="0" collapsed="false">
      <c r="A942" s="82" t="n">
        <f aca="false">IF(B942="","",ROW()-6)</f>
        <v>936</v>
      </c>
      <c r="B942" s="145" t="n">
        <v>2089860</v>
      </c>
      <c r="C942" s="146" t="n">
        <v>15421109</v>
      </c>
      <c r="D942" s="146"/>
      <c r="E942" s="82" t="str">
        <f aca="false">IF(B942="","",IF(COUNTIFS('CARNET DE SOUDURE'!$L$7:$L$3006,B942,'CARNET DE SOUDURE'!$M$7:$M$3006,"&lt;&gt;"&amp;C942,'CARNET DE SOUDURE'!$M$7:$M$3006,"&lt;&gt;")+COUNTIFS('CARNET DE SOUDURE'!$O$7:$O$3006,B942,'CARNET DE SOUDURE'!$P$7:$P$3006,"&lt;&gt;"&amp;C942,'CARNET DE SOUDURE'!$P$7:$P$3006,"&lt;&gt;")&gt;0,"⚠ DIFFÉRENTE","OK"))</f>
        <v>OK</v>
      </c>
      <c r="F942" s="147" t="n">
        <v>11.94</v>
      </c>
      <c r="G942" s="80"/>
      <c r="H942" s="83"/>
      <c r="I942" s="148" t="str">
        <f aca="false">IF(B942="","",IFERROR(INDEX('CARNET DE SOUDURE'!$B$7:$B$3006,MATCH(B942,'CARNET DE SOUDURE'!$L$7:$L$3006,0)),IFERROR(INDEX('CARNET DE SOUDURE'!$B$7:$B$3006,MATCH(B942,'CARNET DE SOUDURE'!$O$7:$O$3006,0)),"")))</f>
        <v>MFD-ISW → MFD-CPF</v>
      </c>
      <c r="J942" s="82" t="str">
        <f aca="false">IF(B942="","",IFERROR(INDEX('CARNET DE SOUDURE'!$E$7:$E$3006,MATCH(B942,'CARNET DE SOUDURE'!$O$7:$O$3006,0)),""))</f>
        <v>DJ°062</v>
      </c>
      <c r="K942" s="82" t="str">
        <f aca="false">IF(B942="","",IFERROR(INDEX('CARNET DE SOUDURE'!$E$7:$E$3006,MATCH(B942,'CARNET DE SOUDURE'!$L$7:$L$3006,0)),""))</f>
        <v>JN°1498</v>
      </c>
      <c r="L942" s="82" t="n">
        <f aca="false">IF(B942="","",IFERROR(INDEX('CARNET DE SOUDURE'!$D$7:$D$3006,MATCH(B942,'CARNET DE SOUDURE'!$L$7:$L$3006,0)),IFERROR(INDEX('CARNET DE SOUDURE'!$D$7:$D$3006,MATCH(B942,'CARNET DE SOUDURE'!$O$7:$O$3006,0)),"")))</f>
        <v>18</v>
      </c>
      <c r="M942" s="82" t="str">
        <f aca="false">IF(B942="","",IF(OR(J942&lt;&gt;"",K942&lt;&gt;""),"POSÉ EN LIGNE",IF(COUNTIF(BARDAGE!$C$1:$C$5000,B942)&gt;0,"BARDÉ","EN STOCK")))</f>
        <v>POSÉ EN LIGNE</v>
      </c>
      <c r="N942" s="80"/>
    </row>
    <row r="943" customFormat="false" ht="15" hidden="false" customHeight="false" outlineLevel="0" collapsed="false">
      <c r="A943" s="82" t="n">
        <f aca="false">IF(B943="","",ROW()-6)</f>
        <v>937</v>
      </c>
      <c r="B943" s="145" t="n">
        <v>2096090</v>
      </c>
      <c r="C943" s="146" t="n">
        <v>15421111</v>
      </c>
      <c r="D943" s="146"/>
      <c r="E943" s="82" t="str">
        <f aca="false">IF(B943="","",IF(COUNTIFS('CARNET DE SOUDURE'!$L$7:$L$3006,B943,'CARNET DE SOUDURE'!$M$7:$M$3006,"&lt;&gt;"&amp;C943,'CARNET DE SOUDURE'!$M$7:$M$3006,"&lt;&gt;")+COUNTIFS('CARNET DE SOUDURE'!$O$7:$O$3006,B943,'CARNET DE SOUDURE'!$P$7:$P$3006,"&lt;&gt;"&amp;C943,'CARNET DE SOUDURE'!$P$7:$P$3006,"&lt;&gt;")&gt;0,"⚠ DIFFÉRENTE","OK"))</f>
        <v>OK</v>
      </c>
      <c r="F943" s="147" t="n">
        <v>11.94</v>
      </c>
      <c r="G943" s="80"/>
      <c r="H943" s="83"/>
      <c r="I943" s="148" t="str">
        <f aca="false">IF(B943="","",IFERROR(INDEX('CARNET DE SOUDURE'!$B$7:$B$3006,MATCH(B943,'CARNET DE SOUDURE'!$L$7:$L$3006,0)),IFERROR(INDEX('CARNET DE SOUDURE'!$B$7:$B$3006,MATCH(B943,'CARNET DE SOUDURE'!$O$7:$O$3006,0)),"")))</f>
        <v>MFD-ISW → MFD-CPF</v>
      </c>
      <c r="J943" s="82" t="str">
        <f aca="false">IF(B943="","",IFERROR(INDEX('CARNET DE SOUDURE'!$E$7:$E$3006,MATCH(B943,'CARNET DE SOUDURE'!$O$7:$O$3006,0)),""))</f>
        <v>JN°1498</v>
      </c>
      <c r="K943" s="82" t="str">
        <f aca="false">IF(B943="","",IFERROR(INDEX('CARNET DE SOUDURE'!$E$7:$E$3006,MATCH(B943,'CARNET DE SOUDURE'!$L$7:$L$3006,0)),""))</f>
        <v>DJ°119</v>
      </c>
      <c r="L943" s="82" t="n">
        <f aca="false">IF(B943="","",IFERROR(INDEX('CARNET DE SOUDURE'!$D$7:$D$3006,MATCH(B943,'CARNET DE SOUDURE'!$L$7:$L$3006,0)),IFERROR(INDEX('CARNET DE SOUDURE'!$D$7:$D$3006,MATCH(B943,'CARNET DE SOUDURE'!$O$7:$O$3006,0)),"")))</f>
        <v>18</v>
      </c>
      <c r="M943" s="82" t="str">
        <f aca="false">IF(B943="","",IF(OR(J943&lt;&gt;"",K943&lt;&gt;""),"POSÉ EN LIGNE",IF(COUNTIF(BARDAGE!$C$1:$C$5000,B943)&gt;0,"BARDÉ","EN STOCK")))</f>
        <v>POSÉ EN LIGNE</v>
      </c>
      <c r="N943" s="80"/>
    </row>
    <row r="944" customFormat="false" ht="15" hidden="false" customHeight="false" outlineLevel="0" collapsed="false">
      <c r="A944" s="82" t="n">
        <f aca="false">IF(B944="","",ROW()-6)</f>
        <v>938</v>
      </c>
      <c r="B944" s="145" t="n">
        <v>2093260</v>
      </c>
      <c r="C944" s="146" t="n">
        <v>15421111</v>
      </c>
      <c r="D944" s="146"/>
      <c r="E944" s="82" t="str">
        <f aca="false">IF(B944="","",IF(COUNTIFS('CARNET DE SOUDURE'!$L$7:$L$3006,B944,'CARNET DE SOUDURE'!$M$7:$M$3006,"&lt;&gt;"&amp;C944,'CARNET DE SOUDURE'!$M$7:$M$3006,"&lt;&gt;")+COUNTIFS('CARNET DE SOUDURE'!$O$7:$O$3006,B944,'CARNET DE SOUDURE'!$P$7:$P$3006,"&lt;&gt;"&amp;C944,'CARNET DE SOUDURE'!$P$7:$P$3006,"&lt;&gt;")&gt;0,"⚠ DIFFÉRENTE","OK"))</f>
        <v>OK</v>
      </c>
      <c r="F944" s="147" t="n">
        <v>11.94</v>
      </c>
      <c r="G944" s="80"/>
      <c r="H944" s="83"/>
      <c r="I944" s="148" t="str">
        <f aca="false">IF(B944="","",IFERROR(INDEX('CARNET DE SOUDURE'!$B$7:$B$3006,MATCH(B944,'CARNET DE SOUDURE'!$L$7:$L$3006,0)),IFERROR(INDEX('CARNET DE SOUDURE'!$B$7:$B$3006,MATCH(B944,'CARNET DE SOUDURE'!$O$7:$O$3006,0)),"")))</f>
        <v>MFD-ISW → MFD-CPF</v>
      </c>
      <c r="J944" s="82" t="str">
        <f aca="false">IF(B944="","",IFERROR(INDEX('CARNET DE SOUDURE'!$E$7:$E$3006,MATCH(B944,'CARNET DE SOUDURE'!$O$7:$O$3006,0)),""))</f>
        <v>DJ°119</v>
      </c>
      <c r="K944" s="82" t="str">
        <f aca="false">IF(B944="","",IFERROR(INDEX('CARNET DE SOUDURE'!$E$7:$E$3006,MATCH(B944,'CARNET DE SOUDURE'!$L$7:$L$3006,0)),""))</f>
        <v>JN°1499</v>
      </c>
      <c r="L944" s="82" t="n">
        <f aca="false">IF(B944="","",IFERROR(INDEX('CARNET DE SOUDURE'!$D$7:$D$3006,MATCH(B944,'CARNET DE SOUDURE'!$L$7:$L$3006,0)),IFERROR(INDEX('CARNET DE SOUDURE'!$D$7:$D$3006,MATCH(B944,'CARNET DE SOUDURE'!$O$7:$O$3006,0)),"")))</f>
        <v>18</v>
      </c>
      <c r="M944" s="82" t="str">
        <f aca="false">IF(B944="","",IF(OR(J944&lt;&gt;"",K944&lt;&gt;""),"POSÉ EN LIGNE",IF(COUNTIF(BARDAGE!$C$1:$C$5000,B944)&gt;0,"BARDÉ","EN STOCK")))</f>
        <v>POSÉ EN LIGNE</v>
      </c>
      <c r="N944" s="80"/>
    </row>
    <row r="945" customFormat="false" ht="15" hidden="false" customHeight="false" outlineLevel="0" collapsed="false">
      <c r="A945" s="82" t="n">
        <f aca="false">IF(B945="","",ROW()-6)</f>
        <v>939</v>
      </c>
      <c r="B945" s="145" t="n">
        <v>2081290</v>
      </c>
      <c r="C945" s="146" t="n">
        <v>15421103</v>
      </c>
      <c r="D945" s="146"/>
      <c r="E945" s="82" t="str">
        <f aca="false">IF(B945="","",IF(COUNTIFS('CARNET DE SOUDURE'!$L$7:$L$3006,B945,'CARNET DE SOUDURE'!$M$7:$M$3006,"&lt;&gt;"&amp;C945,'CARNET DE SOUDURE'!$M$7:$M$3006,"&lt;&gt;")+COUNTIFS('CARNET DE SOUDURE'!$O$7:$O$3006,B945,'CARNET DE SOUDURE'!$P$7:$P$3006,"&lt;&gt;"&amp;C945,'CARNET DE SOUDURE'!$P$7:$P$3006,"&lt;&gt;")&gt;0,"⚠ DIFFÉRENTE","OK"))</f>
        <v>OK</v>
      </c>
      <c r="F945" s="147" t="n">
        <v>11.94</v>
      </c>
      <c r="G945" s="80"/>
      <c r="H945" s="83"/>
      <c r="I945" s="148" t="str">
        <f aca="false">IF(B945="","",IFERROR(INDEX('CARNET DE SOUDURE'!$B$7:$B$3006,MATCH(B945,'CARNET DE SOUDURE'!$L$7:$L$3006,0)),IFERROR(INDEX('CARNET DE SOUDURE'!$B$7:$B$3006,MATCH(B945,'CARNET DE SOUDURE'!$O$7:$O$3006,0)),"")))</f>
        <v>MFD-ISW → MFD-CPF</v>
      </c>
      <c r="J945" s="82" t="str">
        <f aca="false">IF(B945="","",IFERROR(INDEX('CARNET DE SOUDURE'!$E$7:$E$3006,MATCH(B945,'CARNET DE SOUDURE'!$O$7:$O$3006,0)),""))</f>
        <v>JN°1499</v>
      </c>
      <c r="K945" s="82" t="str">
        <f aca="false">IF(B945="","",IFERROR(INDEX('CARNET DE SOUDURE'!$E$7:$E$3006,MATCH(B945,'CARNET DE SOUDURE'!$L$7:$L$3006,0)),""))</f>
        <v>DJ°070</v>
      </c>
      <c r="L945" s="82" t="n">
        <f aca="false">IF(B945="","",IFERROR(INDEX('CARNET DE SOUDURE'!$D$7:$D$3006,MATCH(B945,'CARNET DE SOUDURE'!$L$7:$L$3006,0)),IFERROR(INDEX('CARNET DE SOUDURE'!$D$7:$D$3006,MATCH(B945,'CARNET DE SOUDURE'!$O$7:$O$3006,0)),"")))</f>
        <v>18</v>
      </c>
      <c r="M945" s="82" t="str">
        <f aca="false">IF(B945="","",IF(OR(J945&lt;&gt;"",K945&lt;&gt;""),"POSÉ EN LIGNE",IF(COUNTIF(BARDAGE!$C$1:$C$5000,B945)&gt;0,"BARDÉ","EN STOCK")))</f>
        <v>POSÉ EN LIGNE</v>
      </c>
      <c r="N945" s="80"/>
    </row>
    <row r="946" customFormat="false" ht="15" hidden="false" customHeight="false" outlineLevel="0" collapsed="false">
      <c r="A946" s="82" t="n">
        <f aca="false">IF(B946="","",ROW()-6)</f>
        <v>940</v>
      </c>
      <c r="B946" s="145" t="n">
        <v>2082140</v>
      </c>
      <c r="C946" s="146" t="n">
        <v>15421104</v>
      </c>
      <c r="D946" s="146"/>
      <c r="E946" s="82" t="str">
        <f aca="false">IF(B946="","",IF(COUNTIFS('CARNET DE SOUDURE'!$L$7:$L$3006,B946,'CARNET DE SOUDURE'!$M$7:$M$3006,"&lt;&gt;"&amp;C946,'CARNET DE SOUDURE'!$M$7:$M$3006,"&lt;&gt;")+COUNTIFS('CARNET DE SOUDURE'!$O$7:$O$3006,B946,'CARNET DE SOUDURE'!$P$7:$P$3006,"&lt;&gt;"&amp;C946,'CARNET DE SOUDURE'!$P$7:$P$3006,"&lt;&gt;")&gt;0,"⚠ DIFFÉRENTE","OK"))</f>
        <v>OK</v>
      </c>
      <c r="F946" s="147" t="n">
        <v>11.94</v>
      </c>
      <c r="G946" s="80"/>
      <c r="H946" s="83"/>
      <c r="I946" s="148" t="str">
        <f aca="false">IF(B946="","",IFERROR(INDEX('CARNET DE SOUDURE'!$B$7:$B$3006,MATCH(B946,'CARNET DE SOUDURE'!$L$7:$L$3006,0)),IFERROR(INDEX('CARNET DE SOUDURE'!$B$7:$B$3006,MATCH(B946,'CARNET DE SOUDURE'!$O$7:$O$3006,0)),"")))</f>
        <v>MFD-ISW → MFD-CPF</v>
      </c>
      <c r="J946" s="82" t="str">
        <f aca="false">IF(B946="","",IFERROR(INDEX('CARNET DE SOUDURE'!$E$7:$E$3006,MATCH(B946,'CARNET DE SOUDURE'!$O$7:$O$3006,0)),""))</f>
        <v>DJ°070</v>
      </c>
      <c r="K946" s="82" t="str">
        <f aca="false">IF(B946="","",IFERROR(INDEX('CARNET DE SOUDURE'!$E$7:$E$3006,MATCH(B946,'CARNET DE SOUDURE'!$L$7:$L$3006,0)),""))</f>
        <v>JN°1500</v>
      </c>
      <c r="L946" s="82" t="n">
        <f aca="false">IF(B946="","",IFERROR(INDEX('CARNET DE SOUDURE'!$D$7:$D$3006,MATCH(B946,'CARNET DE SOUDURE'!$L$7:$L$3006,0)),IFERROR(INDEX('CARNET DE SOUDURE'!$D$7:$D$3006,MATCH(B946,'CARNET DE SOUDURE'!$O$7:$O$3006,0)),"")))</f>
        <v>18</v>
      </c>
      <c r="M946" s="82" t="str">
        <f aca="false">IF(B946="","",IF(OR(J946&lt;&gt;"",K946&lt;&gt;""),"POSÉ EN LIGNE",IF(COUNTIF(BARDAGE!$C$1:$C$5000,B946)&gt;0,"BARDÉ","EN STOCK")))</f>
        <v>POSÉ EN LIGNE</v>
      </c>
      <c r="N946" s="80"/>
    </row>
    <row r="947" customFormat="false" ht="15" hidden="false" customHeight="false" outlineLevel="0" collapsed="false">
      <c r="A947" s="82" t="n">
        <f aca="false">IF(B947="","",ROW()-6)</f>
        <v>941</v>
      </c>
      <c r="B947" s="145" t="n">
        <v>2079910</v>
      </c>
      <c r="C947" s="146" t="n">
        <v>15421102</v>
      </c>
      <c r="D947" s="146"/>
      <c r="E947" s="82" t="str">
        <f aca="false">IF(B947="","",IF(COUNTIFS('CARNET DE SOUDURE'!$L$7:$L$3006,B947,'CARNET DE SOUDURE'!$M$7:$M$3006,"&lt;&gt;"&amp;C947,'CARNET DE SOUDURE'!$M$7:$M$3006,"&lt;&gt;")+COUNTIFS('CARNET DE SOUDURE'!$O$7:$O$3006,B947,'CARNET DE SOUDURE'!$P$7:$P$3006,"&lt;&gt;"&amp;C947,'CARNET DE SOUDURE'!$P$7:$P$3006,"&lt;&gt;")&gt;0,"⚠ DIFFÉRENTE","OK"))</f>
        <v>OK</v>
      </c>
      <c r="F947" s="147" t="n">
        <v>11.94</v>
      </c>
      <c r="G947" s="80"/>
      <c r="H947" s="83"/>
      <c r="I947" s="148" t="str">
        <f aca="false">IF(B947="","",IFERROR(INDEX('CARNET DE SOUDURE'!$B$7:$B$3006,MATCH(B947,'CARNET DE SOUDURE'!$L$7:$L$3006,0)),IFERROR(INDEX('CARNET DE SOUDURE'!$B$7:$B$3006,MATCH(B947,'CARNET DE SOUDURE'!$O$7:$O$3006,0)),"")))</f>
        <v>MFD-ISW → MFD-CPF</v>
      </c>
      <c r="J947" s="82" t="str">
        <f aca="false">IF(B947="","",IFERROR(INDEX('CARNET DE SOUDURE'!$E$7:$E$3006,MATCH(B947,'CARNET DE SOUDURE'!$O$7:$O$3006,0)),""))</f>
        <v>JN°1501</v>
      </c>
      <c r="K947" s="82" t="str">
        <f aca="false">IF(B947="","",IFERROR(INDEX('CARNET DE SOUDURE'!$E$7:$E$3006,MATCH(B947,'CARNET DE SOUDURE'!$L$7:$L$3006,0)),""))</f>
        <v>DJ°121</v>
      </c>
      <c r="L947" s="82" t="n">
        <f aca="false">IF(B947="","",IFERROR(INDEX('CARNET DE SOUDURE'!$D$7:$D$3006,MATCH(B947,'CARNET DE SOUDURE'!$L$7:$L$3006,0)),IFERROR(INDEX('CARNET DE SOUDURE'!$D$7:$D$3006,MATCH(B947,'CARNET DE SOUDURE'!$O$7:$O$3006,0)),"")))</f>
        <v>18</v>
      </c>
      <c r="M947" s="82" t="str">
        <f aca="false">IF(B947="","",IF(OR(J947&lt;&gt;"",K947&lt;&gt;""),"POSÉ EN LIGNE",IF(COUNTIF(BARDAGE!$C$1:$C$5000,B947)&gt;0,"BARDÉ","EN STOCK")))</f>
        <v>POSÉ EN LIGNE</v>
      </c>
      <c r="N947" s="80"/>
    </row>
    <row r="948" customFormat="false" ht="15" hidden="false" customHeight="false" outlineLevel="0" collapsed="false">
      <c r="A948" s="82" t="n">
        <f aca="false">IF(B948="","",ROW()-6)</f>
        <v>942</v>
      </c>
      <c r="B948" s="145" t="n">
        <v>2097000</v>
      </c>
      <c r="C948" s="146" t="n">
        <v>15421111</v>
      </c>
      <c r="D948" s="146"/>
      <c r="E948" s="82" t="str">
        <f aca="false">IF(B948="","",IF(COUNTIFS('CARNET DE SOUDURE'!$L$7:$L$3006,B948,'CARNET DE SOUDURE'!$M$7:$M$3006,"&lt;&gt;"&amp;C948,'CARNET DE SOUDURE'!$M$7:$M$3006,"&lt;&gt;")+COUNTIFS('CARNET DE SOUDURE'!$O$7:$O$3006,B948,'CARNET DE SOUDURE'!$P$7:$P$3006,"&lt;&gt;"&amp;C948,'CARNET DE SOUDURE'!$P$7:$P$3006,"&lt;&gt;")&gt;0,"⚠ DIFFÉRENTE","OK"))</f>
        <v>OK</v>
      </c>
      <c r="F948" s="147" t="n">
        <v>11.94</v>
      </c>
      <c r="G948" s="80"/>
      <c r="H948" s="83"/>
      <c r="I948" s="148" t="str">
        <f aca="false">IF(B948="","",IFERROR(INDEX('CARNET DE SOUDURE'!$B$7:$B$3006,MATCH(B948,'CARNET DE SOUDURE'!$L$7:$L$3006,0)),IFERROR(INDEX('CARNET DE SOUDURE'!$B$7:$B$3006,MATCH(B948,'CARNET DE SOUDURE'!$O$7:$O$3006,0)),"")))</f>
        <v>MFD-ISW → MFD-CPF</v>
      </c>
      <c r="J948" s="82" t="str">
        <f aca="false">IF(B948="","",IFERROR(INDEX('CARNET DE SOUDURE'!$E$7:$E$3006,MATCH(B948,'CARNET DE SOUDURE'!$O$7:$O$3006,0)),""))</f>
        <v>JN°1502</v>
      </c>
      <c r="K948" s="82" t="str">
        <f aca="false">IF(B948="","",IFERROR(INDEX('CARNET DE SOUDURE'!$E$7:$E$3006,MATCH(B948,'CARNET DE SOUDURE'!$L$7:$L$3006,0)),""))</f>
        <v>DJ°115</v>
      </c>
      <c r="L948" s="82" t="n">
        <f aca="false">IF(B948="","",IFERROR(INDEX('CARNET DE SOUDURE'!$D$7:$D$3006,MATCH(B948,'CARNET DE SOUDURE'!$L$7:$L$3006,0)),IFERROR(INDEX('CARNET DE SOUDURE'!$D$7:$D$3006,MATCH(B948,'CARNET DE SOUDURE'!$O$7:$O$3006,0)),"")))</f>
        <v>18</v>
      </c>
      <c r="M948" s="82" t="str">
        <f aca="false">IF(B948="","",IF(OR(J948&lt;&gt;"",K948&lt;&gt;""),"POSÉ EN LIGNE",IF(COUNTIF(BARDAGE!$C$1:$C$5000,B948)&gt;0,"BARDÉ","EN STOCK")))</f>
        <v>POSÉ EN LIGNE</v>
      </c>
      <c r="N948" s="80"/>
    </row>
    <row r="949" customFormat="false" ht="15" hidden="false" customHeight="false" outlineLevel="0" collapsed="false">
      <c r="A949" s="82" t="n">
        <f aca="false">IF(B949="","",ROW()-6)</f>
        <v>943</v>
      </c>
      <c r="B949" s="145" t="n">
        <v>2088200</v>
      </c>
      <c r="C949" s="146" t="n">
        <v>15421108</v>
      </c>
      <c r="D949" s="146"/>
      <c r="E949" s="82" t="str">
        <f aca="false">IF(B949="","",IF(COUNTIFS('CARNET DE SOUDURE'!$L$7:$L$3006,B949,'CARNET DE SOUDURE'!$M$7:$M$3006,"&lt;&gt;"&amp;C949,'CARNET DE SOUDURE'!$M$7:$M$3006,"&lt;&gt;")+COUNTIFS('CARNET DE SOUDURE'!$O$7:$O$3006,B949,'CARNET DE SOUDURE'!$P$7:$P$3006,"&lt;&gt;"&amp;C949,'CARNET DE SOUDURE'!$P$7:$P$3006,"&lt;&gt;")&gt;0,"⚠ DIFFÉRENTE","OK"))</f>
        <v>OK</v>
      </c>
      <c r="F949" s="147" t="n">
        <v>11.94</v>
      </c>
      <c r="G949" s="80"/>
      <c r="H949" s="83"/>
      <c r="I949" s="148" t="str">
        <f aca="false">IF(B949="","",IFERROR(INDEX('CARNET DE SOUDURE'!$B$7:$B$3006,MATCH(B949,'CARNET DE SOUDURE'!$L$7:$L$3006,0)),IFERROR(INDEX('CARNET DE SOUDURE'!$B$7:$B$3006,MATCH(B949,'CARNET DE SOUDURE'!$O$7:$O$3006,0)),"")))</f>
        <v>MFD-ISW → MFD-CPF</v>
      </c>
      <c r="J949" s="82" t="str">
        <f aca="false">IF(B949="","",IFERROR(INDEX('CARNET DE SOUDURE'!$E$7:$E$3006,MATCH(B949,'CARNET DE SOUDURE'!$O$7:$O$3006,0)),""))</f>
        <v>DJ°115</v>
      </c>
      <c r="K949" s="82" t="str">
        <f aca="false">IF(B949="","",IFERROR(INDEX('CARNET DE SOUDURE'!$E$7:$E$3006,MATCH(B949,'CARNET DE SOUDURE'!$L$7:$L$3006,0)),""))</f>
        <v>JN°1503</v>
      </c>
      <c r="L949" s="82" t="n">
        <f aca="false">IF(B949="","",IFERROR(INDEX('CARNET DE SOUDURE'!$D$7:$D$3006,MATCH(B949,'CARNET DE SOUDURE'!$L$7:$L$3006,0)),IFERROR(INDEX('CARNET DE SOUDURE'!$D$7:$D$3006,MATCH(B949,'CARNET DE SOUDURE'!$O$7:$O$3006,0)),"")))</f>
        <v>18</v>
      </c>
      <c r="M949" s="82" t="str">
        <f aca="false">IF(B949="","",IF(OR(J949&lt;&gt;"",K949&lt;&gt;""),"POSÉ EN LIGNE",IF(COUNTIF(BARDAGE!$C$1:$C$5000,B949)&gt;0,"BARDÉ","EN STOCK")))</f>
        <v>POSÉ EN LIGNE</v>
      </c>
      <c r="N949" s="80"/>
    </row>
    <row r="950" customFormat="false" ht="15" hidden="false" customHeight="false" outlineLevel="0" collapsed="false">
      <c r="A950" s="82" t="n">
        <f aca="false">IF(B950="","",ROW()-6)</f>
        <v>944</v>
      </c>
      <c r="B950" s="145" t="n">
        <v>2079280</v>
      </c>
      <c r="C950" s="146" t="n">
        <v>15421112</v>
      </c>
      <c r="D950" s="146"/>
      <c r="E950" s="82" t="str">
        <f aca="false">IF(B950="","",IF(COUNTIFS('CARNET DE SOUDURE'!$L$7:$L$3006,B950,'CARNET DE SOUDURE'!$M$7:$M$3006,"&lt;&gt;"&amp;C950,'CARNET DE SOUDURE'!$M$7:$M$3006,"&lt;&gt;")+COUNTIFS('CARNET DE SOUDURE'!$O$7:$O$3006,B950,'CARNET DE SOUDURE'!$P$7:$P$3006,"&lt;&gt;"&amp;C950,'CARNET DE SOUDURE'!$P$7:$P$3006,"&lt;&gt;")&gt;0,"⚠ DIFFÉRENTE","OK"))</f>
        <v>OK</v>
      </c>
      <c r="F950" s="147" t="n">
        <v>11.94</v>
      </c>
      <c r="G950" s="80"/>
      <c r="H950" s="83"/>
      <c r="I950" s="148" t="str">
        <f aca="false">IF(B950="","",IFERROR(INDEX('CARNET DE SOUDURE'!$B$7:$B$3006,MATCH(B950,'CARNET DE SOUDURE'!$L$7:$L$3006,0)),IFERROR(INDEX('CARNET DE SOUDURE'!$B$7:$B$3006,MATCH(B950,'CARNET DE SOUDURE'!$O$7:$O$3006,0)),"")))</f>
        <v>MFD-ISW → MFD-CPF</v>
      </c>
      <c r="J950" s="82" t="str">
        <f aca="false">IF(B950="","",IFERROR(INDEX('CARNET DE SOUDURE'!$E$7:$E$3006,MATCH(B950,'CARNET DE SOUDURE'!$O$7:$O$3006,0)),""))</f>
        <v>JN°1503</v>
      </c>
      <c r="K950" s="82" t="str">
        <f aca="false">IF(B950="","",IFERROR(INDEX('CARNET DE SOUDURE'!$E$7:$E$3006,MATCH(B950,'CARNET DE SOUDURE'!$L$7:$L$3006,0)),""))</f>
        <v>DJ°117</v>
      </c>
      <c r="L950" s="82" t="n">
        <f aca="false">IF(B950="","",IFERROR(INDEX('CARNET DE SOUDURE'!$D$7:$D$3006,MATCH(B950,'CARNET DE SOUDURE'!$L$7:$L$3006,0)),IFERROR(INDEX('CARNET DE SOUDURE'!$D$7:$D$3006,MATCH(B950,'CARNET DE SOUDURE'!$O$7:$O$3006,0)),"")))</f>
        <v>18</v>
      </c>
      <c r="M950" s="82" t="str">
        <f aca="false">IF(B950="","",IF(OR(J950&lt;&gt;"",K950&lt;&gt;""),"POSÉ EN LIGNE",IF(COUNTIF(BARDAGE!$C$1:$C$5000,B950)&gt;0,"BARDÉ","EN STOCK")))</f>
        <v>POSÉ EN LIGNE</v>
      </c>
      <c r="N950" s="80"/>
    </row>
    <row r="951" customFormat="false" ht="15" hidden="false" customHeight="false" outlineLevel="0" collapsed="false">
      <c r="A951" s="82" t="n">
        <f aca="false">IF(B951="","",ROW()-6)</f>
        <v>945</v>
      </c>
      <c r="B951" s="145" t="n">
        <v>2097090</v>
      </c>
      <c r="C951" s="146" t="n">
        <v>15421102</v>
      </c>
      <c r="D951" s="146"/>
      <c r="E951" s="82" t="str">
        <f aca="false">IF(B951="","",IF(COUNTIFS('CARNET DE SOUDURE'!$L$7:$L$3006,B951,'CARNET DE SOUDURE'!$M$7:$M$3006,"&lt;&gt;"&amp;C951,'CARNET DE SOUDURE'!$M$7:$M$3006,"&lt;&gt;")+COUNTIFS('CARNET DE SOUDURE'!$O$7:$O$3006,B951,'CARNET DE SOUDURE'!$P$7:$P$3006,"&lt;&gt;"&amp;C951,'CARNET DE SOUDURE'!$P$7:$P$3006,"&lt;&gt;")&gt;0,"⚠ DIFFÉRENTE","OK"))</f>
        <v>OK</v>
      </c>
      <c r="F951" s="147" t="n">
        <v>11.94</v>
      </c>
      <c r="G951" s="80"/>
      <c r="H951" s="83"/>
      <c r="I951" s="148" t="str">
        <f aca="false">IF(B951="","",IFERROR(INDEX('CARNET DE SOUDURE'!$B$7:$B$3006,MATCH(B951,'CARNET DE SOUDURE'!$L$7:$L$3006,0)),IFERROR(INDEX('CARNET DE SOUDURE'!$B$7:$B$3006,MATCH(B951,'CARNET DE SOUDURE'!$O$7:$O$3006,0)),"")))</f>
        <v>MFD-ISW → MFD-CPF</v>
      </c>
      <c r="J951" s="82" t="str">
        <f aca="false">IF(B951="","",IFERROR(INDEX('CARNET DE SOUDURE'!$E$7:$E$3006,MATCH(B951,'CARNET DE SOUDURE'!$O$7:$O$3006,0)),""))</f>
        <v>DJ°117</v>
      </c>
      <c r="K951" s="82" t="str">
        <f aca="false">IF(B951="","",IFERROR(INDEX('CARNET DE SOUDURE'!$E$7:$E$3006,MATCH(B951,'CARNET DE SOUDURE'!$L$7:$L$3006,0)),""))</f>
        <v>JN°1504</v>
      </c>
      <c r="L951" s="82" t="n">
        <f aca="false">IF(B951="","",IFERROR(INDEX('CARNET DE SOUDURE'!$D$7:$D$3006,MATCH(B951,'CARNET DE SOUDURE'!$L$7:$L$3006,0)),IFERROR(INDEX('CARNET DE SOUDURE'!$D$7:$D$3006,MATCH(B951,'CARNET DE SOUDURE'!$O$7:$O$3006,0)),"")))</f>
        <v>18</v>
      </c>
      <c r="M951" s="82" t="str">
        <f aca="false">IF(B951="","",IF(OR(J951&lt;&gt;"",K951&lt;&gt;""),"POSÉ EN LIGNE",IF(COUNTIF(BARDAGE!$C$1:$C$5000,B951)&gt;0,"BARDÉ","EN STOCK")))</f>
        <v>POSÉ EN LIGNE</v>
      </c>
      <c r="N951" s="80"/>
    </row>
    <row r="952" customFormat="false" ht="15" hidden="false" customHeight="false" outlineLevel="0" collapsed="false">
      <c r="A952" s="82" t="n">
        <f aca="false">IF(B952="","",ROW()-6)</f>
        <v>946</v>
      </c>
      <c r="B952" s="145" t="n">
        <v>2097380</v>
      </c>
      <c r="C952" s="146" t="n">
        <v>15421112</v>
      </c>
      <c r="D952" s="146"/>
      <c r="E952" s="82" t="str">
        <f aca="false">IF(B952="","",IF(COUNTIFS('CARNET DE SOUDURE'!$L$7:$L$3006,B952,'CARNET DE SOUDURE'!$M$7:$M$3006,"&lt;&gt;"&amp;C952,'CARNET DE SOUDURE'!$M$7:$M$3006,"&lt;&gt;")+COUNTIFS('CARNET DE SOUDURE'!$O$7:$O$3006,B952,'CARNET DE SOUDURE'!$P$7:$P$3006,"&lt;&gt;"&amp;C952,'CARNET DE SOUDURE'!$P$7:$P$3006,"&lt;&gt;")&gt;0,"⚠ DIFFÉRENTE","OK"))</f>
        <v>OK</v>
      </c>
      <c r="F952" s="147" t="n">
        <v>11.94</v>
      </c>
      <c r="G952" s="80"/>
      <c r="H952" s="83"/>
      <c r="I952" s="148" t="str">
        <f aca="false">IF(B952="","",IFERROR(INDEX('CARNET DE SOUDURE'!$B$7:$B$3006,MATCH(B952,'CARNET DE SOUDURE'!$L$7:$L$3006,0)),IFERROR(INDEX('CARNET DE SOUDURE'!$B$7:$B$3006,MATCH(B952,'CARNET DE SOUDURE'!$O$7:$O$3006,0)),"")))</f>
        <v>MFD-ISW → MFD-CPF</v>
      </c>
      <c r="J952" s="82" t="str">
        <f aca="false">IF(B952="","",IFERROR(INDEX('CARNET DE SOUDURE'!$E$7:$E$3006,MATCH(B952,'CARNET DE SOUDURE'!$O$7:$O$3006,0)),""))</f>
        <v>JN°1504</v>
      </c>
      <c r="K952" s="82" t="str">
        <f aca="false">IF(B952="","",IFERROR(INDEX('CARNET DE SOUDURE'!$E$7:$E$3006,MATCH(B952,'CARNET DE SOUDURE'!$L$7:$L$3006,0)),""))</f>
        <v>DJ°113</v>
      </c>
      <c r="L952" s="82" t="n">
        <f aca="false">IF(B952="","",IFERROR(INDEX('CARNET DE SOUDURE'!$D$7:$D$3006,MATCH(B952,'CARNET DE SOUDURE'!$L$7:$L$3006,0)),IFERROR(INDEX('CARNET DE SOUDURE'!$D$7:$D$3006,MATCH(B952,'CARNET DE SOUDURE'!$O$7:$O$3006,0)),"")))</f>
        <v>18</v>
      </c>
      <c r="M952" s="82" t="str">
        <f aca="false">IF(B952="","",IF(OR(J952&lt;&gt;"",K952&lt;&gt;""),"POSÉ EN LIGNE",IF(COUNTIF(BARDAGE!$C$1:$C$5000,B952)&gt;0,"BARDÉ","EN STOCK")))</f>
        <v>POSÉ EN LIGNE</v>
      </c>
      <c r="N952" s="80"/>
    </row>
    <row r="953" customFormat="false" ht="15" hidden="false" customHeight="false" outlineLevel="0" collapsed="false">
      <c r="A953" s="82" t="n">
        <f aca="false">IF(B953="","",ROW()-6)</f>
        <v>947</v>
      </c>
      <c r="B953" s="145" t="n">
        <v>20911730</v>
      </c>
      <c r="C953" s="146" t="n">
        <v>15421109</v>
      </c>
      <c r="D953" s="146"/>
      <c r="E953" s="82" t="str">
        <f aca="false">IF(B953="","",IF(COUNTIFS('CARNET DE SOUDURE'!$L$7:$L$3006,B953,'CARNET DE SOUDURE'!$M$7:$M$3006,"&lt;&gt;"&amp;C953,'CARNET DE SOUDURE'!$M$7:$M$3006,"&lt;&gt;")+COUNTIFS('CARNET DE SOUDURE'!$O$7:$O$3006,B953,'CARNET DE SOUDURE'!$P$7:$P$3006,"&lt;&gt;"&amp;C953,'CARNET DE SOUDURE'!$P$7:$P$3006,"&lt;&gt;")&gt;0,"⚠ DIFFÉRENTE","OK"))</f>
        <v>OK</v>
      </c>
      <c r="F953" s="147" t="n">
        <v>11.94</v>
      </c>
      <c r="G953" s="80"/>
      <c r="H953" s="83"/>
      <c r="I953" s="148" t="str">
        <f aca="false">IF(B953="","",IFERROR(INDEX('CARNET DE SOUDURE'!$B$7:$B$3006,MATCH(B953,'CARNET DE SOUDURE'!$L$7:$L$3006,0)),IFERROR(INDEX('CARNET DE SOUDURE'!$B$7:$B$3006,MATCH(B953,'CARNET DE SOUDURE'!$O$7:$O$3006,0)),"")))</f>
        <v>MFD-ISW → MFD-CPF</v>
      </c>
      <c r="J953" s="82" t="str">
        <f aca="false">IF(B953="","",IFERROR(INDEX('CARNET DE SOUDURE'!$E$7:$E$3006,MATCH(B953,'CARNET DE SOUDURE'!$O$7:$O$3006,0)),""))</f>
        <v>DJ°113</v>
      </c>
      <c r="K953" s="82" t="str">
        <f aca="false">IF(B953="","",IFERROR(INDEX('CARNET DE SOUDURE'!$E$7:$E$3006,MATCH(B953,'CARNET DE SOUDURE'!$L$7:$L$3006,0)),""))</f>
        <v/>
      </c>
      <c r="L953" s="82" t="n">
        <f aca="false">IF(B953="","",IFERROR(INDEX('CARNET DE SOUDURE'!$D$7:$D$3006,MATCH(B953,'CARNET DE SOUDURE'!$L$7:$L$3006,0)),IFERROR(INDEX('CARNET DE SOUDURE'!$D$7:$D$3006,MATCH(B953,'CARNET DE SOUDURE'!$O$7:$O$3006,0)),"")))</f>
        <v>18</v>
      </c>
      <c r="M953" s="82" t="str">
        <f aca="false">IF(B953="","",IF(OR(J953&lt;&gt;"",K953&lt;&gt;""),"POSÉ EN LIGNE",IF(COUNTIF(BARDAGE!$C$1:$C$5000,B953)&gt;0,"BARDÉ","EN STOCK")))</f>
        <v>POSÉ EN LIGNE</v>
      </c>
      <c r="N953" s="80"/>
    </row>
    <row r="954" customFormat="false" ht="15" hidden="false" customHeight="false" outlineLevel="0" collapsed="false">
      <c r="A954" s="82" t="n">
        <f aca="false">IF(B954="","",ROW()-6)</f>
        <v>948</v>
      </c>
      <c r="B954" s="145" t="n">
        <v>2091730</v>
      </c>
      <c r="C954" s="146" t="n">
        <v>15421109</v>
      </c>
      <c r="D954" s="146"/>
      <c r="E954" s="82" t="str">
        <f aca="false">IF(B954="","",IF(COUNTIFS('CARNET DE SOUDURE'!$L$7:$L$3006,B954,'CARNET DE SOUDURE'!$M$7:$M$3006,"&lt;&gt;"&amp;C954,'CARNET DE SOUDURE'!$M$7:$M$3006,"&lt;&gt;")+COUNTIFS('CARNET DE SOUDURE'!$O$7:$O$3006,B954,'CARNET DE SOUDURE'!$P$7:$P$3006,"&lt;&gt;"&amp;C954,'CARNET DE SOUDURE'!$P$7:$P$3006,"&lt;&gt;")&gt;0,"⚠ DIFFÉRENTE","OK"))</f>
        <v>OK</v>
      </c>
      <c r="F954" s="147" t="n">
        <v>11.94</v>
      </c>
      <c r="G954" s="80"/>
      <c r="H954" s="83"/>
      <c r="I954" s="148" t="str">
        <f aca="false">IF(B954="","",IFERROR(INDEX('CARNET DE SOUDURE'!$B$7:$B$3006,MATCH(B954,'CARNET DE SOUDURE'!$L$7:$L$3006,0)),IFERROR(INDEX('CARNET DE SOUDURE'!$B$7:$B$3006,MATCH(B954,'CARNET DE SOUDURE'!$O$7:$O$3006,0)),"")))</f>
        <v>MFD-ISW → MFD-CPF</v>
      </c>
      <c r="J954" s="82" t="str">
        <f aca="false">IF(B954="","",IFERROR(INDEX('CARNET DE SOUDURE'!$E$7:$E$3006,MATCH(B954,'CARNET DE SOUDURE'!$O$7:$O$3006,0)),""))</f>
        <v/>
      </c>
      <c r="K954" s="82" t="str">
        <f aca="false">IF(B954="","",IFERROR(INDEX('CARNET DE SOUDURE'!$E$7:$E$3006,MATCH(B954,'CARNET DE SOUDURE'!$L$7:$L$3006,0)),""))</f>
        <v>JN°1505</v>
      </c>
      <c r="L954" s="82" t="n">
        <f aca="false">IF(B954="","",IFERROR(INDEX('CARNET DE SOUDURE'!$D$7:$D$3006,MATCH(B954,'CARNET DE SOUDURE'!$L$7:$L$3006,0)),IFERROR(INDEX('CARNET DE SOUDURE'!$D$7:$D$3006,MATCH(B954,'CARNET DE SOUDURE'!$O$7:$O$3006,0)),"")))</f>
        <v>18</v>
      </c>
      <c r="M954" s="82" t="str">
        <f aca="false">IF(B954="","",IF(OR(J954&lt;&gt;"",K954&lt;&gt;""),"POSÉ EN LIGNE",IF(COUNTIF(BARDAGE!$C$1:$C$5000,B954)&gt;0,"BARDÉ","EN STOCK")))</f>
        <v>POSÉ EN LIGNE</v>
      </c>
      <c r="N954" s="80"/>
    </row>
    <row r="955" customFormat="false" ht="15" hidden="false" customHeight="false" outlineLevel="0" collapsed="false">
      <c r="A955" s="82" t="n">
        <f aca="false">IF(B955="","",ROW()-6)</f>
        <v>949</v>
      </c>
      <c r="B955" s="145" t="n">
        <v>2088210</v>
      </c>
      <c r="C955" s="146" t="n">
        <v>15421108</v>
      </c>
      <c r="D955" s="146"/>
      <c r="E955" s="82" t="str">
        <f aca="false">IF(B955="","",IF(COUNTIFS('CARNET DE SOUDURE'!$L$7:$L$3006,B955,'CARNET DE SOUDURE'!$M$7:$M$3006,"&lt;&gt;"&amp;C955,'CARNET DE SOUDURE'!$M$7:$M$3006,"&lt;&gt;")+COUNTIFS('CARNET DE SOUDURE'!$O$7:$O$3006,B955,'CARNET DE SOUDURE'!$P$7:$P$3006,"&lt;&gt;"&amp;C955,'CARNET DE SOUDURE'!$P$7:$P$3006,"&lt;&gt;")&gt;0,"⚠ DIFFÉRENTE","OK"))</f>
        <v>OK</v>
      </c>
      <c r="F955" s="147" t="n">
        <v>11.94</v>
      </c>
      <c r="G955" s="80"/>
      <c r="H955" s="83"/>
      <c r="I955" s="148" t="str">
        <f aca="false">IF(B955="","",IFERROR(INDEX('CARNET DE SOUDURE'!$B$7:$B$3006,MATCH(B955,'CARNET DE SOUDURE'!$L$7:$L$3006,0)),IFERROR(INDEX('CARNET DE SOUDURE'!$B$7:$B$3006,MATCH(B955,'CARNET DE SOUDURE'!$O$7:$O$3006,0)),"")))</f>
        <v>MFD-ISW → MFD-CPF</v>
      </c>
      <c r="J955" s="82" t="str">
        <f aca="false">IF(B955="","",IFERROR(INDEX('CARNET DE SOUDURE'!$E$7:$E$3006,MATCH(B955,'CARNET DE SOUDURE'!$O$7:$O$3006,0)),""))</f>
        <v>JN°1505</v>
      </c>
      <c r="K955" s="82" t="str">
        <f aca="false">IF(B955="","",IFERROR(INDEX('CARNET DE SOUDURE'!$E$7:$E$3006,MATCH(B955,'CARNET DE SOUDURE'!$L$7:$L$3006,0)),""))</f>
        <v>DJ°112</v>
      </c>
      <c r="L955" s="82" t="n">
        <f aca="false">IF(B955="","",IFERROR(INDEX('CARNET DE SOUDURE'!$D$7:$D$3006,MATCH(B955,'CARNET DE SOUDURE'!$L$7:$L$3006,0)),IFERROR(INDEX('CARNET DE SOUDURE'!$D$7:$D$3006,MATCH(B955,'CARNET DE SOUDURE'!$O$7:$O$3006,0)),"")))</f>
        <v>18</v>
      </c>
      <c r="M955" s="82" t="str">
        <f aca="false">IF(B955="","",IF(OR(J955&lt;&gt;"",K955&lt;&gt;""),"POSÉ EN LIGNE",IF(COUNTIF(BARDAGE!$C$1:$C$5000,B955)&gt;0,"BARDÉ","EN STOCK")))</f>
        <v>POSÉ EN LIGNE</v>
      </c>
      <c r="N955" s="80"/>
    </row>
    <row r="956" customFormat="false" ht="15" hidden="false" customHeight="false" outlineLevel="0" collapsed="false">
      <c r="A956" s="82" t="n">
        <f aca="false">IF(B956="","",ROW()-6)</f>
        <v>950</v>
      </c>
      <c r="B956" s="145" t="n">
        <v>2095270</v>
      </c>
      <c r="C956" s="146" t="n">
        <v>15421111</v>
      </c>
      <c r="D956" s="146"/>
      <c r="E956" s="82" t="str">
        <f aca="false">IF(B956="","",IF(COUNTIFS('CARNET DE SOUDURE'!$L$7:$L$3006,B956,'CARNET DE SOUDURE'!$M$7:$M$3006,"&lt;&gt;"&amp;C956,'CARNET DE SOUDURE'!$M$7:$M$3006,"&lt;&gt;")+COUNTIFS('CARNET DE SOUDURE'!$O$7:$O$3006,B956,'CARNET DE SOUDURE'!$P$7:$P$3006,"&lt;&gt;"&amp;C956,'CARNET DE SOUDURE'!$P$7:$P$3006,"&lt;&gt;")&gt;0,"⚠ DIFFÉRENTE","OK"))</f>
        <v>OK</v>
      </c>
      <c r="F956" s="147" t="n">
        <v>11.94</v>
      </c>
      <c r="G956" s="80"/>
      <c r="H956" s="83"/>
      <c r="I956" s="148" t="str">
        <f aca="false">IF(B956="","",IFERROR(INDEX('CARNET DE SOUDURE'!$B$7:$B$3006,MATCH(B956,'CARNET DE SOUDURE'!$L$7:$L$3006,0)),IFERROR(INDEX('CARNET DE SOUDURE'!$B$7:$B$3006,MATCH(B956,'CARNET DE SOUDURE'!$O$7:$O$3006,0)),"")))</f>
        <v>MFD-ISW → MFD-CPF</v>
      </c>
      <c r="J956" s="82" t="str">
        <f aca="false">IF(B956="","",IFERROR(INDEX('CARNET DE SOUDURE'!$E$7:$E$3006,MATCH(B956,'CARNET DE SOUDURE'!$O$7:$O$3006,0)),""))</f>
        <v>DJ°112</v>
      </c>
      <c r="K956" s="82" t="str">
        <f aca="false">IF(B956="","",IFERROR(INDEX('CARNET DE SOUDURE'!$E$7:$E$3006,MATCH(B956,'CARNET DE SOUDURE'!$L$7:$L$3006,0)),""))</f>
        <v>JN°1506</v>
      </c>
      <c r="L956" s="82" t="n">
        <f aca="false">IF(B956="","",IFERROR(INDEX('CARNET DE SOUDURE'!$D$7:$D$3006,MATCH(B956,'CARNET DE SOUDURE'!$L$7:$L$3006,0)),IFERROR(INDEX('CARNET DE SOUDURE'!$D$7:$D$3006,MATCH(B956,'CARNET DE SOUDURE'!$O$7:$O$3006,0)),"")))</f>
        <v>18</v>
      </c>
      <c r="M956" s="82" t="str">
        <f aca="false">IF(B956="","",IF(OR(J956&lt;&gt;"",K956&lt;&gt;""),"POSÉ EN LIGNE",IF(COUNTIF(BARDAGE!$C$1:$C$5000,B956)&gt;0,"BARDÉ","EN STOCK")))</f>
        <v>POSÉ EN LIGNE</v>
      </c>
      <c r="N956" s="80"/>
    </row>
    <row r="957" customFormat="false" ht="15" hidden="false" customHeight="false" outlineLevel="0" collapsed="false">
      <c r="A957" s="82" t="n">
        <f aca="false">IF(B957="","",ROW()-6)</f>
        <v>951</v>
      </c>
      <c r="B957" s="145" t="n">
        <v>2091180</v>
      </c>
      <c r="C957" s="146" t="n">
        <v>15421109</v>
      </c>
      <c r="D957" s="146"/>
      <c r="E957" s="82" t="str">
        <f aca="false">IF(B957="","",IF(COUNTIFS('CARNET DE SOUDURE'!$L$7:$L$3006,B957,'CARNET DE SOUDURE'!$M$7:$M$3006,"&lt;&gt;"&amp;C957,'CARNET DE SOUDURE'!$M$7:$M$3006,"&lt;&gt;")+COUNTIFS('CARNET DE SOUDURE'!$O$7:$O$3006,B957,'CARNET DE SOUDURE'!$P$7:$P$3006,"&lt;&gt;"&amp;C957,'CARNET DE SOUDURE'!$P$7:$P$3006,"&lt;&gt;")&gt;0,"⚠ DIFFÉRENTE","OK"))</f>
        <v>OK</v>
      </c>
      <c r="F957" s="147" t="n">
        <v>11.94</v>
      </c>
      <c r="G957" s="80"/>
      <c r="H957" s="83"/>
      <c r="I957" s="148" t="str">
        <f aca="false">IF(B957="","",IFERROR(INDEX('CARNET DE SOUDURE'!$B$7:$B$3006,MATCH(B957,'CARNET DE SOUDURE'!$L$7:$L$3006,0)),IFERROR(INDEX('CARNET DE SOUDURE'!$B$7:$B$3006,MATCH(B957,'CARNET DE SOUDURE'!$O$7:$O$3006,0)),"")))</f>
        <v>MFD-ISW → MFD-CPF</v>
      </c>
      <c r="J957" s="82" t="str">
        <f aca="false">IF(B957="","",IFERROR(INDEX('CARNET DE SOUDURE'!$E$7:$E$3006,MATCH(B957,'CARNET DE SOUDURE'!$O$7:$O$3006,0)),""))</f>
        <v>JN°1506</v>
      </c>
      <c r="K957" s="82" t="str">
        <f aca="false">IF(B957="","",IFERROR(INDEX('CARNET DE SOUDURE'!$E$7:$E$3006,MATCH(B957,'CARNET DE SOUDURE'!$L$7:$L$3006,0)),""))</f>
        <v>DJ°114</v>
      </c>
      <c r="L957" s="82" t="n">
        <f aca="false">IF(B957="","",IFERROR(INDEX('CARNET DE SOUDURE'!$D$7:$D$3006,MATCH(B957,'CARNET DE SOUDURE'!$L$7:$L$3006,0)),IFERROR(INDEX('CARNET DE SOUDURE'!$D$7:$D$3006,MATCH(B957,'CARNET DE SOUDURE'!$O$7:$O$3006,0)),"")))</f>
        <v>18</v>
      </c>
      <c r="M957" s="82" t="str">
        <f aca="false">IF(B957="","",IF(OR(J957&lt;&gt;"",K957&lt;&gt;""),"POSÉ EN LIGNE",IF(COUNTIF(BARDAGE!$C$1:$C$5000,B957)&gt;0,"BARDÉ","EN STOCK")))</f>
        <v>POSÉ EN LIGNE</v>
      </c>
      <c r="N957" s="80"/>
    </row>
    <row r="958" customFormat="false" ht="15" hidden="false" customHeight="false" outlineLevel="0" collapsed="false">
      <c r="A958" s="82" t="n">
        <f aca="false">IF(B958="","",ROW()-6)</f>
        <v>952</v>
      </c>
      <c r="B958" s="145" t="n">
        <v>2095540</v>
      </c>
      <c r="C958" s="146" t="n">
        <v>15421111</v>
      </c>
      <c r="D958" s="146"/>
      <c r="E958" s="82" t="str">
        <f aca="false">IF(B958="","",IF(COUNTIFS('CARNET DE SOUDURE'!$L$7:$L$3006,B958,'CARNET DE SOUDURE'!$M$7:$M$3006,"&lt;&gt;"&amp;C958,'CARNET DE SOUDURE'!$M$7:$M$3006,"&lt;&gt;")+COUNTIFS('CARNET DE SOUDURE'!$O$7:$O$3006,B958,'CARNET DE SOUDURE'!$P$7:$P$3006,"&lt;&gt;"&amp;C958,'CARNET DE SOUDURE'!$P$7:$P$3006,"&lt;&gt;")&gt;0,"⚠ DIFFÉRENTE","OK"))</f>
        <v>OK</v>
      </c>
      <c r="F958" s="147" t="n">
        <v>11.94</v>
      </c>
      <c r="G958" s="80"/>
      <c r="H958" s="83"/>
      <c r="I958" s="148" t="str">
        <f aca="false">IF(B958="","",IFERROR(INDEX('CARNET DE SOUDURE'!$B$7:$B$3006,MATCH(B958,'CARNET DE SOUDURE'!$L$7:$L$3006,0)),IFERROR(INDEX('CARNET DE SOUDURE'!$B$7:$B$3006,MATCH(B958,'CARNET DE SOUDURE'!$O$7:$O$3006,0)),"")))</f>
        <v>MFD-ISW → MFD-CPF</v>
      </c>
      <c r="J958" s="82" t="str">
        <f aca="false">IF(B958="","",IFERROR(INDEX('CARNET DE SOUDURE'!$E$7:$E$3006,MATCH(B958,'CARNET DE SOUDURE'!$O$7:$O$3006,0)),""))</f>
        <v>DJ°114</v>
      </c>
      <c r="K958" s="82" t="str">
        <f aca="false">IF(B958="","",IFERROR(INDEX('CARNET DE SOUDURE'!$E$7:$E$3006,MATCH(B958,'CARNET DE SOUDURE'!$L$7:$L$3006,0)),""))</f>
        <v>JN°1507</v>
      </c>
      <c r="L958" s="82" t="n">
        <f aca="false">IF(B958="","",IFERROR(INDEX('CARNET DE SOUDURE'!$D$7:$D$3006,MATCH(B958,'CARNET DE SOUDURE'!$L$7:$L$3006,0)),IFERROR(INDEX('CARNET DE SOUDURE'!$D$7:$D$3006,MATCH(B958,'CARNET DE SOUDURE'!$O$7:$O$3006,0)),"")))</f>
        <v>18</v>
      </c>
      <c r="M958" s="82" t="str">
        <f aca="false">IF(B958="","",IF(OR(J958&lt;&gt;"",K958&lt;&gt;""),"POSÉ EN LIGNE",IF(COUNTIF(BARDAGE!$C$1:$C$5000,B958)&gt;0,"BARDÉ","EN STOCK")))</f>
        <v>POSÉ EN LIGNE</v>
      </c>
      <c r="N958" s="80"/>
    </row>
    <row r="959" customFormat="false" ht="15" hidden="false" customHeight="false" outlineLevel="0" collapsed="false">
      <c r="A959" s="82" t="n">
        <f aca="false">IF(B959="","",ROW()-6)</f>
        <v>953</v>
      </c>
      <c r="B959" s="145" t="n">
        <v>2097960</v>
      </c>
      <c r="C959" s="146" t="n">
        <v>15421102</v>
      </c>
      <c r="D959" s="146"/>
      <c r="E959" s="82" t="str">
        <f aca="false">IF(B959="","",IF(COUNTIFS('CARNET DE SOUDURE'!$L$7:$L$3006,B959,'CARNET DE SOUDURE'!$M$7:$M$3006,"&lt;&gt;"&amp;C959,'CARNET DE SOUDURE'!$M$7:$M$3006,"&lt;&gt;")+COUNTIFS('CARNET DE SOUDURE'!$O$7:$O$3006,B959,'CARNET DE SOUDURE'!$P$7:$P$3006,"&lt;&gt;"&amp;C959,'CARNET DE SOUDURE'!$P$7:$P$3006,"&lt;&gt;")&gt;0,"⚠ DIFFÉRENTE","OK"))</f>
        <v>OK</v>
      </c>
      <c r="F959" s="147" t="n">
        <v>11.94</v>
      </c>
      <c r="G959" s="80"/>
      <c r="H959" s="83"/>
      <c r="I959" s="148" t="str">
        <f aca="false">IF(B959="","",IFERROR(INDEX('CARNET DE SOUDURE'!$B$7:$B$3006,MATCH(B959,'CARNET DE SOUDURE'!$L$7:$L$3006,0)),IFERROR(INDEX('CARNET DE SOUDURE'!$B$7:$B$3006,MATCH(B959,'CARNET DE SOUDURE'!$O$7:$O$3006,0)),"")))</f>
        <v>MFD-ISW → MFD-CPF</v>
      </c>
      <c r="J959" s="82" t="str">
        <f aca="false">IF(B959="","",IFERROR(INDEX('CARNET DE SOUDURE'!$E$7:$E$3006,MATCH(B959,'CARNET DE SOUDURE'!$O$7:$O$3006,0)),""))</f>
        <v>DJ°116</v>
      </c>
      <c r="K959" s="82" t="str">
        <f aca="false">IF(B959="","",IFERROR(INDEX('CARNET DE SOUDURE'!$E$7:$E$3006,MATCH(B959,'CARNET DE SOUDURE'!$L$7:$L$3006,0)),""))</f>
        <v>JN°1510</v>
      </c>
      <c r="L959" s="82" t="n">
        <f aca="false">IF(B959="","",IFERROR(INDEX('CARNET DE SOUDURE'!$D$7:$D$3006,MATCH(B959,'CARNET DE SOUDURE'!$L$7:$L$3006,0)),IFERROR(INDEX('CARNET DE SOUDURE'!$D$7:$D$3006,MATCH(B959,'CARNET DE SOUDURE'!$O$7:$O$3006,0)),"")))</f>
        <v>18</v>
      </c>
      <c r="M959" s="82" t="str">
        <f aca="false">IF(B959="","",IF(OR(J959&lt;&gt;"",K959&lt;&gt;""),"POSÉ EN LIGNE",IF(COUNTIF(BARDAGE!$C$1:$C$5000,B959)&gt;0,"BARDÉ","EN STOCK")))</f>
        <v>POSÉ EN LIGNE</v>
      </c>
      <c r="N959" s="80"/>
    </row>
    <row r="960" customFormat="false" ht="15" hidden="false" customHeight="false" outlineLevel="0" collapsed="false">
      <c r="A960" s="82" t="n">
        <f aca="false">IF(B960="","",ROW()-6)</f>
        <v>954</v>
      </c>
      <c r="B960" s="145" t="n">
        <v>2087370</v>
      </c>
      <c r="C960" s="146" t="n">
        <v>15421107</v>
      </c>
      <c r="D960" s="146"/>
      <c r="E960" s="82" t="str">
        <f aca="false">IF(B960="","",IF(COUNTIFS('CARNET DE SOUDURE'!$L$7:$L$3006,B960,'CARNET DE SOUDURE'!$M$7:$M$3006,"&lt;&gt;"&amp;C960,'CARNET DE SOUDURE'!$M$7:$M$3006,"&lt;&gt;")+COUNTIFS('CARNET DE SOUDURE'!$O$7:$O$3006,B960,'CARNET DE SOUDURE'!$P$7:$P$3006,"&lt;&gt;"&amp;C960,'CARNET DE SOUDURE'!$P$7:$P$3006,"&lt;&gt;")&gt;0,"⚠ DIFFÉRENTE","OK"))</f>
        <v>OK</v>
      </c>
      <c r="F960" s="147" t="n">
        <v>11.94</v>
      </c>
      <c r="G960" s="80"/>
      <c r="H960" s="83"/>
      <c r="I960" s="148" t="str">
        <f aca="false">IF(B960="","",IFERROR(INDEX('CARNET DE SOUDURE'!$B$7:$B$3006,MATCH(B960,'CARNET DE SOUDURE'!$L$7:$L$3006,0)),IFERROR(INDEX('CARNET DE SOUDURE'!$B$7:$B$3006,MATCH(B960,'CARNET DE SOUDURE'!$O$7:$O$3006,0)),"")))</f>
        <v>MFD-ISW → MFD-CPF</v>
      </c>
      <c r="J960" s="82" t="str">
        <f aca="false">IF(B960="","",IFERROR(INDEX('CARNET DE SOUDURE'!$E$7:$E$3006,MATCH(B960,'CARNET DE SOUDURE'!$O$7:$O$3006,0)),""))</f>
        <v>DJ°053</v>
      </c>
      <c r="K960" s="82" t="str">
        <f aca="false">IF(B960="","",IFERROR(INDEX('CARNET DE SOUDURE'!$E$7:$E$3006,MATCH(B960,'CARNET DE SOUDURE'!$L$7:$L$3006,0)),""))</f>
        <v>JN°1511</v>
      </c>
      <c r="L960" s="82" t="n">
        <f aca="false">IF(B960="","",IFERROR(INDEX('CARNET DE SOUDURE'!$D$7:$D$3006,MATCH(B960,'CARNET DE SOUDURE'!$L$7:$L$3006,0)),IFERROR(INDEX('CARNET DE SOUDURE'!$D$7:$D$3006,MATCH(B960,'CARNET DE SOUDURE'!$O$7:$O$3006,0)),"")))</f>
        <v>18</v>
      </c>
      <c r="M960" s="82" t="str">
        <f aca="false">IF(B960="","",IF(OR(J960&lt;&gt;"",K960&lt;&gt;""),"POSÉ EN LIGNE",IF(COUNTIF(BARDAGE!$C$1:$C$5000,B960)&gt;0,"BARDÉ","EN STOCK")))</f>
        <v>POSÉ EN LIGNE</v>
      </c>
      <c r="N960" s="80"/>
    </row>
    <row r="961" customFormat="false" ht="15" hidden="false" customHeight="false" outlineLevel="0" collapsed="false">
      <c r="A961" s="82" t="n">
        <f aca="false">IF(B961="","",ROW()-6)</f>
        <v>955</v>
      </c>
      <c r="B961" s="145" t="n">
        <v>2083580</v>
      </c>
      <c r="C961" s="146" t="n">
        <v>15421105</v>
      </c>
      <c r="D961" s="146"/>
      <c r="E961" s="82" t="str">
        <f aca="false">IF(B961="","",IF(COUNTIFS('CARNET DE SOUDURE'!$L$7:$L$3006,B961,'CARNET DE SOUDURE'!$M$7:$M$3006,"&lt;&gt;"&amp;C961,'CARNET DE SOUDURE'!$M$7:$M$3006,"&lt;&gt;")+COUNTIFS('CARNET DE SOUDURE'!$O$7:$O$3006,B961,'CARNET DE SOUDURE'!$P$7:$P$3006,"&lt;&gt;"&amp;C961,'CARNET DE SOUDURE'!$P$7:$P$3006,"&lt;&gt;")&gt;0,"⚠ DIFFÉRENTE","OK"))</f>
        <v>OK</v>
      </c>
      <c r="F961" s="147" t="n">
        <v>11.94</v>
      </c>
      <c r="G961" s="80"/>
      <c r="H961" s="83"/>
      <c r="I961" s="148" t="str">
        <f aca="false">IF(B961="","",IFERROR(INDEX('CARNET DE SOUDURE'!$B$7:$B$3006,MATCH(B961,'CARNET DE SOUDURE'!$L$7:$L$3006,0)),IFERROR(INDEX('CARNET DE SOUDURE'!$B$7:$B$3006,MATCH(B961,'CARNET DE SOUDURE'!$O$7:$O$3006,0)),"")))</f>
        <v>MFD-ISW → MFD-CPF</v>
      </c>
      <c r="J961" s="82" t="str">
        <f aca="false">IF(B961="","",IFERROR(INDEX('CARNET DE SOUDURE'!$E$7:$E$3006,MATCH(B961,'CARNET DE SOUDURE'!$O$7:$O$3006,0)),""))</f>
        <v>JN°1511</v>
      </c>
      <c r="K961" s="82" t="str">
        <f aca="false">IF(B961="","",IFERROR(INDEX('CARNET DE SOUDURE'!$E$7:$E$3006,MATCH(B961,'CARNET DE SOUDURE'!$L$7:$L$3006,0)),""))</f>
        <v>DJ°048</v>
      </c>
      <c r="L961" s="82" t="n">
        <f aca="false">IF(B961="","",IFERROR(INDEX('CARNET DE SOUDURE'!$D$7:$D$3006,MATCH(B961,'CARNET DE SOUDURE'!$L$7:$L$3006,0)),IFERROR(INDEX('CARNET DE SOUDURE'!$D$7:$D$3006,MATCH(B961,'CARNET DE SOUDURE'!$O$7:$O$3006,0)),"")))</f>
        <v>18</v>
      </c>
      <c r="M961" s="82" t="str">
        <f aca="false">IF(B961="","",IF(OR(J961&lt;&gt;"",K961&lt;&gt;""),"POSÉ EN LIGNE",IF(COUNTIF(BARDAGE!$C$1:$C$5000,B961)&gt;0,"BARDÉ","EN STOCK")))</f>
        <v>POSÉ EN LIGNE</v>
      </c>
      <c r="N961" s="80"/>
    </row>
    <row r="962" customFormat="false" ht="15" hidden="false" customHeight="false" outlineLevel="0" collapsed="false">
      <c r="A962" s="82" t="n">
        <f aca="false">IF(B962="","",ROW()-6)</f>
        <v>956</v>
      </c>
      <c r="B962" s="145" t="n">
        <v>2088560</v>
      </c>
      <c r="C962" s="146" t="n">
        <v>15421108</v>
      </c>
      <c r="D962" s="146"/>
      <c r="E962" s="82" t="str">
        <f aca="false">IF(B962="","",IF(COUNTIFS('CARNET DE SOUDURE'!$L$7:$L$3006,B962,'CARNET DE SOUDURE'!$M$7:$M$3006,"&lt;&gt;"&amp;C962,'CARNET DE SOUDURE'!$M$7:$M$3006,"&lt;&gt;")+COUNTIFS('CARNET DE SOUDURE'!$O$7:$O$3006,B962,'CARNET DE SOUDURE'!$P$7:$P$3006,"&lt;&gt;"&amp;C962,'CARNET DE SOUDURE'!$P$7:$P$3006,"&lt;&gt;")&gt;0,"⚠ DIFFÉRENTE","OK"))</f>
        <v>OK</v>
      </c>
      <c r="F962" s="147" t="n">
        <v>11.94</v>
      </c>
      <c r="G962" s="80"/>
      <c r="H962" s="83"/>
      <c r="I962" s="148" t="str">
        <f aca="false">IF(B962="","",IFERROR(INDEX('CARNET DE SOUDURE'!$B$7:$B$3006,MATCH(B962,'CARNET DE SOUDURE'!$L$7:$L$3006,0)),IFERROR(INDEX('CARNET DE SOUDURE'!$B$7:$B$3006,MATCH(B962,'CARNET DE SOUDURE'!$O$7:$O$3006,0)),"")))</f>
        <v>MFD-ISW → MFD-CPF</v>
      </c>
      <c r="J962" s="82" t="str">
        <f aca="false">IF(B962="","",IFERROR(INDEX('CARNET DE SOUDURE'!$E$7:$E$3006,MATCH(B962,'CARNET DE SOUDURE'!$O$7:$O$3006,0)),""))</f>
        <v>DJ°048</v>
      </c>
      <c r="K962" s="82" t="str">
        <f aca="false">IF(B962="","",IFERROR(INDEX('CARNET DE SOUDURE'!$E$7:$E$3006,MATCH(B962,'CARNET DE SOUDURE'!$L$7:$L$3006,0)),""))</f>
        <v>JN°1512</v>
      </c>
      <c r="L962" s="82" t="n">
        <f aca="false">IF(B962="","",IFERROR(INDEX('CARNET DE SOUDURE'!$D$7:$D$3006,MATCH(B962,'CARNET DE SOUDURE'!$L$7:$L$3006,0)),IFERROR(INDEX('CARNET DE SOUDURE'!$D$7:$D$3006,MATCH(B962,'CARNET DE SOUDURE'!$O$7:$O$3006,0)),"")))</f>
        <v>18</v>
      </c>
      <c r="M962" s="82" t="str">
        <f aca="false">IF(B962="","",IF(OR(J962&lt;&gt;"",K962&lt;&gt;""),"POSÉ EN LIGNE",IF(COUNTIF(BARDAGE!$C$1:$C$5000,B962)&gt;0,"BARDÉ","EN STOCK")))</f>
        <v>POSÉ EN LIGNE</v>
      </c>
      <c r="N962" s="80"/>
    </row>
    <row r="963" customFormat="false" ht="15" hidden="false" customHeight="false" outlineLevel="0" collapsed="false">
      <c r="A963" s="82" t="n">
        <f aca="false">IF(B963="","",ROW()-6)</f>
        <v>957</v>
      </c>
      <c r="B963" s="145" t="n">
        <v>2087690</v>
      </c>
      <c r="C963" s="146" t="n">
        <v>15421108</v>
      </c>
      <c r="D963" s="146"/>
      <c r="E963" s="82" t="str">
        <f aca="false">IF(B963="","",IF(COUNTIFS('CARNET DE SOUDURE'!$L$7:$L$3006,B963,'CARNET DE SOUDURE'!$M$7:$M$3006,"&lt;&gt;"&amp;C963,'CARNET DE SOUDURE'!$M$7:$M$3006,"&lt;&gt;")+COUNTIFS('CARNET DE SOUDURE'!$O$7:$O$3006,B963,'CARNET DE SOUDURE'!$P$7:$P$3006,"&lt;&gt;"&amp;C963,'CARNET DE SOUDURE'!$P$7:$P$3006,"&lt;&gt;")&gt;0,"⚠ DIFFÉRENTE","OK"))</f>
        <v>OK</v>
      </c>
      <c r="F963" s="147" t="n">
        <v>11.94</v>
      </c>
      <c r="G963" s="80"/>
      <c r="H963" s="83"/>
      <c r="I963" s="148" t="str">
        <f aca="false">IF(B963="","",IFERROR(INDEX('CARNET DE SOUDURE'!$B$7:$B$3006,MATCH(B963,'CARNET DE SOUDURE'!$L$7:$L$3006,0)),IFERROR(INDEX('CARNET DE SOUDURE'!$B$7:$B$3006,MATCH(B963,'CARNET DE SOUDURE'!$O$7:$O$3006,0)),"")))</f>
        <v>MFD-ISW → MFD-CPF</v>
      </c>
      <c r="J963" s="82" t="str">
        <f aca="false">IF(B963="","",IFERROR(INDEX('CARNET DE SOUDURE'!$E$7:$E$3006,MATCH(B963,'CARNET DE SOUDURE'!$O$7:$O$3006,0)),""))</f>
        <v>JN°1512</v>
      </c>
      <c r="K963" s="82" t="str">
        <f aca="false">IF(B963="","",IFERROR(INDEX('CARNET DE SOUDURE'!$E$7:$E$3006,MATCH(B963,'CARNET DE SOUDURE'!$L$7:$L$3006,0)),""))</f>
        <v>DJ°057</v>
      </c>
      <c r="L963" s="82" t="n">
        <f aca="false">IF(B963="","",IFERROR(INDEX('CARNET DE SOUDURE'!$D$7:$D$3006,MATCH(B963,'CARNET DE SOUDURE'!$L$7:$L$3006,0)),IFERROR(INDEX('CARNET DE SOUDURE'!$D$7:$D$3006,MATCH(B963,'CARNET DE SOUDURE'!$O$7:$O$3006,0)),"")))</f>
        <v>18</v>
      </c>
      <c r="M963" s="82" t="str">
        <f aca="false">IF(B963="","",IF(OR(J963&lt;&gt;"",K963&lt;&gt;""),"POSÉ EN LIGNE",IF(COUNTIF(BARDAGE!$C$1:$C$5000,B963)&gt;0,"BARDÉ","EN STOCK")))</f>
        <v>POSÉ EN LIGNE</v>
      </c>
      <c r="N963" s="80"/>
    </row>
    <row r="964" customFormat="false" ht="15" hidden="false" customHeight="false" outlineLevel="0" collapsed="false">
      <c r="A964" s="82" t="n">
        <f aca="false">IF(B964="","",ROW()-6)</f>
        <v>958</v>
      </c>
      <c r="B964" s="145" t="n">
        <v>2092410</v>
      </c>
      <c r="C964" s="146" t="n">
        <v>15421110</v>
      </c>
      <c r="D964" s="146"/>
      <c r="E964" s="82" t="str">
        <f aca="false">IF(B964="","",IF(COUNTIFS('CARNET DE SOUDURE'!$L$7:$L$3006,B964,'CARNET DE SOUDURE'!$M$7:$M$3006,"&lt;&gt;"&amp;C964,'CARNET DE SOUDURE'!$M$7:$M$3006,"&lt;&gt;")+COUNTIFS('CARNET DE SOUDURE'!$O$7:$O$3006,B964,'CARNET DE SOUDURE'!$P$7:$P$3006,"&lt;&gt;"&amp;C964,'CARNET DE SOUDURE'!$P$7:$P$3006,"&lt;&gt;")&gt;0,"⚠ DIFFÉRENTE","OK"))</f>
        <v>OK</v>
      </c>
      <c r="F964" s="147" t="n">
        <v>11.94</v>
      </c>
      <c r="G964" s="80"/>
      <c r="H964" s="83"/>
      <c r="I964" s="148" t="str">
        <f aca="false">IF(B964="","",IFERROR(INDEX('CARNET DE SOUDURE'!$B$7:$B$3006,MATCH(B964,'CARNET DE SOUDURE'!$L$7:$L$3006,0)),IFERROR(INDEX('CARNET DE SOUDURE'!$B$7:$B$3006,MATCH(B964,'CARNET DE SOUDURE'!$O$7:$O$3006,0)),"")))</f>
        <v>MFD-ISW → MFD-CPF</v>
      </c>
      <c r="J964" s="82" t="str">
        <f aca="false">IF(B964="","",IFERROR(INDEX('CARNET DE SOUDURE'!$E$7:$E$3006,MATCH(B964,'CARNET DE SOUDURE'!$O$7:$O$3006,0)),""))</f>
        <v>DJ°057</v>
      </c>
      <c r="K964" s="82" t="str">
        <f aca="false">IF(B964="","",IFERROR(INDEX('CARNET DE SOUDURE'!$E$7:$E$3006,MATCH(B964,'CARNET DE SOUDURE'!$L$7:$L$3006,0)),""))</f>
        <v>JN°1513</v>
      </c>
      <c r="L964" s="82" t="n">
        <f aca="false">IF(B964="","",IFERROR(INDEX('CARNET DE SOUDURE'!$D$7:$D$3006,MATCH(B964,'CARNET DE SOUDURE'!$L$7:$L$3006,0)),IFERROR(INDEX('CARNET DE SOUDURE'!$D$7:$D$3006,MATCH(B964,'CARNET DE SOUDURE'!$O$7:$O$3006,0)),"")))</f>
        <v>18</v>
      </c>
      <c r="M964" s="82" t="str">
        <f aca="false">IF(B964="","",IF(OR(J964&lt;&gt;"",K964&lt;&gt;""),"POSÉ EN LIGNE",IF(COUNTIF(BARDAGE!$C$1:$C$5000,B964)&gt;0,"BARDÉ","EN STOCK")))</f>
        <v>POSÉ EN LIGNE</v>
      </c>
      <c r="N964" s="80"/>
    </row>
    <row r="965" customFormat="false" ht="15" hidden="false" customHeight="false" outlineLevel="0" collapsed="false">
      <c r="A965" s="82" t="n">
        <f aca="false">IF(B965="","",ROW()-6)</f>
        <v>959</v>
      </c>
      <c r="B965" s="145" t="n">
        <v>2087040</v>
      </c>
      <c r="C965" s="146" t="n">
        <v>15421107</v>
      </c>
      <c r="D965" s="146"/>
      <c r="E965" s="82" t="str">
        <f aca="false">IF(B965="","",IF(COUNTIFS('CARNET DE SOUDURE'!$L$7:$L$3006,B965,'CARNET DE SOUDURE'!$M$7:$M$3006,"&lt;&gt;"&amp;C965,'CARNET DE SOUDURE'!$M$7:$M$3006,"&lt;&gt;")+COUNTIFS('CARNET DE SOUDURE'!$O$7:$O$3006,B965,'CARNET DE SOUDURE'!$P$7:$P$3006,"&lt;&gt;"&amp;C965,'CARNET DE SOUDURE'!$P$7:$P$3006,"&lt;&gt;")&gt;0,"⚠ DIFFÉRENTE","OK"))</f>
        <v>OK</v>
      </c>
      <c r="F965" s="147" t="n">
        <v>11.94</v>
      </c>
      <c r="G965" s="80"/>
      <c r="H965" s="83"/>
      <c r="I965" s="148" t="str">
        <f aca="false">IF(B965="","",IFERROR(INDEX('CARNET DE SOUDURE'!$B$7:$B$3006,MATCH(B965,'CARNET DE SOUDURE'!$L$7:$L$3006,0)),IFERROR(INDEX('CARNET DE SOUDURE'!$B$7:$B$3006,MATCH(B965,'CARNET DE SOUDURE'!$O$7:$O$3006,0)),"")))</f>
        <v>MFD-ISW → MFD-CPF</v>
      </c>
      <c r="J965" s="82" t="str">
        <f aca="false">IF(B965="","",IFERROR(INDEX('CARNET DE SOUDURE'!$E$7:$E$3006,MATCH(B965,'CARNET DE SOUDURE'!$O$7:$O$3006,0)),""))</f>
        <v>JN°1514</v>
      </c>
      <c r="K965" s="82" t="str">
        <f aca="false">IF(B965="","",IFERROR(INDEX('CARNET DE SOUDURE'!$E$7:$E$3006,MATCH(B965,'CARNET DE SOUDURE'!$L$7:$L$3006,0)),""))</f>
        <v>DJ°046</v>
      </c>
      <c r="L965" s="82" t="n">
        <f aca="false">IF(B965="","",IFERROR(INDEX('CARNET DE SOUDURE'!$D$7:$D$3006,MATCH(B965,'CARNET DE SOUDURE'!$L$7:$L$3006,0)),IFERROR(INDEX('CARNET DE SOUDURE'!$D$7:$D$3006,MATCH(B965,'CARNET DE SOUDURE'!$O$7:$O$3006,0)),"")))</f>
        <v>18</v>
      </c>
      <c r="M965" s="82" t="str">
        <f aca="false">IF(B965="","",IF(OR(J965&lt;&gt;"",K965&lt;&gt;""),"POSÉ EN LIGNE",IF(COUNTIF(BARDAGE!$C$1:$C$5000,B965)&gt;0,"BARDÉ","EN STOCK")))</f>
        <v>POSÉ EN LIGNE</v>
      </c>
      <c r="N965" s="80"/>
    </row>
    <row r="966" customFormat="false" ht="15" hidden="false" customHeight="false" outlineLevel="0" collapsed="false">
      <c r="A966" s="82" t="n">
        <f aca="false">IF(B966="","",ROW()-6)</f>
        <v>960</v>
      </c>
      <c r="B966" s="145" t="n">
        <v>2088820</v>
      </c>
      <c r="C966" s="146" t="n">
        <v>15421108</v>
      </c>
      <c r="D966" s="146"/>
      <c r="E966" s="82" t="str">
        <f aca="false">IF(B966="","",IF(COUNTIFS('CARNET DE SOUDURE'!$L$7:$L$3006,B966,'CARNET DE SOUDURE'!$M$7:$M$3006,"&lt;&gt;"&amp;C966,'CARNET DE SOUDURE'!$M$7:$M$3006,"&lt;&gt;")+COUNTIFS('CARNET DE SOUDURE'!$O$7:$O$3006,B966,'CARNET DE SOUDURE'!$P$7:$P$3006,"&lt;&gt;"&amp;C966,'CARNET DE SOUDURE'!$P$7:$P$3006,"&lt;&gt;")&gt;0,"⚠ DIFFÉRENTE","OK"))</f>
        <v>OK</v>
      </c>
      <c r="F966" s="147" t="n">
        <v>11.94</v>
      </c>
      <c r="G966" s="80"/>
      <c r="H966" s="83"/>
      <c r="I966" s="148" t="str">
        <f aca="false">IF(B966="","",IFERROR(INDEX('CARNET DE SOUDURE'!$B$7:$B$3006,MATCH(B966,'CARNET DE SOUDURE'!$L$7:$L$3006,0)),IFERROR(INDEX('CARNET DE SOUDURE'!$B$7:$B$3006,MATCH(B966,'CARNET DE SOUDURE'!$O$7:$O$3006,0)),"")))</f>
        <v>MFD-ISW → MFD-CPF</v>
      </c>
      <c r="J966" s="82" t="str">
        <f aca="false">IF(B966="","",IFERROR(INDEX('CARNET DE SOUDURE'!$E$7:$E$3006,MATCH(B966,'CARNET DE SOUDURE'!$O$7:$O$3006,0)),""))</f>
        <v>DJ°046</v>
      </c>
      <c r="K966" s="82" t="str">
        <f aca="false">IF(B966="","",IFERROR(INDEX('CARNET DE SOUDURE'!$E$7:$E$3006,MATCH(B966,'CARNET DE SOUDURE'!$L$7:$L$3006,0)),""))</f>
        <v>JN°1515</v>
      </c>
      <c r="L966" s="82" t="n">
        <f aca="false">IF(B966="","",IFERROR(INDEX('CARNET DE SOUDURE'!$D$7:$D$3006,MATCH(B966,'CARNET DE SOUDURE'!$L$7:$L$3006,0)),IFERROR(INDEX('CARNET DE SOUDURE'!$D$7:$D$3006,MATCH(B966,'CARNET DE SOUDURE'!$O$7:$O$3006,0)),"")))</f>
        <v>18</v>
      </c>
      <c r="M966" s="82" t="str">
        <f aca="false">IF(B966="","",IF(OR(J966&lt;&gt;"",K966&lt;&gt;""),"POSÉ EN LIGNE",IF(COUNTIF(BARDAGE!$C$1:$C$5000,B966)&gt;0,"BARDÉ","EN STOCK")))</f>
        <v>POSÉ EN LIGNE</v>
      </c>
      <c r="N966" s="80"/>
    </row>
    <row r="967" customFormat="false" ht="15" hidden="false" customHeight="false" outlineLevel="0" collapsed="false">
      <c r="A967" s="82" t="n">
        <f aca="false">IF(B967="","",ROW()-6)</f>
        <v>961</v>
      </c>
      <c r="B967" s="145" t="n">
        <v>2090620</v>
      </c>
      <c r="C967" s="146" t="n">
        <v>15421109</v>
      </c>
      <c r="D967" s="146"/>
      <c r="E967" s="82" t="str">
        <f aca="false">IF(B967="","",IF(COUNTIFS('CARNET DE SOUDURE'!$L$7:$L$3006,B967,'CARNET DE SOUDURE'!$M$7:$M$3006,"&lt;&gt;"&amp;C967,'CARNET DE SOUDURE'!$M$7:$M$3006,"&lt;&gt;")+COUNTIFS('CARNET DE SOUDURE'!$O$7:$O$3006,B967,'CARNET DE SOUDURE'!$P$7:$P$3006,"&lt;&gt;"&amp;C967,'CARNET DE SOUDURE'!$P$7:$P$3006,"&lt;&gt;")&gt;0,"⚠ DIFFÉRENTE","OK"))</f>
        <v>OK</v>
      </c>
      <c r="F967" s="147" t="n">
        <v>11.94</v>
      </c>
      <c r="G967" s="80"/>
      <c r="H967" s="83"/>
      <c r="I967" s="148" t="str">
        <f aca="false">IF(B967="","",IFERROR(INDEX('CARNET DE SOUDURE'!$B$7:$B$3006,MATCH(B967,'CARNET DE SOUDURE'!$L$7:$L$3006,0)),IFERROR(INDEX('CARNET DE SOUDURE'!$B$7:$B$3006,MATCH(B967,'CARNET DE SOUDURE'!$O$7:$O$3006,0)),"")))</f>
        <v>MFD-ISW → MFD-CPF</v>
      </c>
      <c r="J967" s="82" t="str">
        <f aca="false">IF(B967="","",IFERROR(INDEX('CARNET DE SOUDURE'!$E$7:$E$3006,MATCH(B967,'CARNET DE SOUDURE'!$O$7:$O$3006,0)),""))</f>
        <v>DJ°037</v>
      </c>
      <c r="K967" s="82" t="str">
        <f aca="false">IF(B967="","",IFERROR(INDEX('CARNET DE SOUDURE'!$E$7:$E$3006,MATCH(B967,'CARNET DE SOUDURE'!$L$7:$L$3006,0)),""))</f>
        <v>JN°1516</v>
      </c>
      <c r="L967" s="82" t="n">
        <f aca="false">IF(B967="","",IFERROR(INDEX('CARNET DE SOUDURE'!$D$7:$D$3006,MATCH(B967,'CARNET DE SOUDURE'!$L$7:$L$3006,0)),IFERROR(INDEX('CARNET DE SOUDURE'!$D$7:$D$3006,MATCH(B967,'CARNET DE SOUDURE'!$O$7:$O$3006,0)),"")))</f>
        <v>18</v>
      </c>
      <c r="M967" s="82" t="str">
        <f aca="false">IF(B967="","",IF(OR(J967&lt;&gt;"",K967&lt;&gt;""),"POSÉ EN LIGNE",IF(COUNTIF(BARDAGE!$C$1:$C$5000,B967)&gt;0,"BARDÉ","EN STOCK")))</f>
        <v>POSÉ EN LIGNE</v>
      </c>
      <c r="N967" s="80"/>
    </row>
    <row r="968" customFormat="false" ht="15" hidden="false" customHeight="false" outlineLevel="0" collapsed="false">
      <c r="A968" s="82" t="n">
        <f aca="false">IF(B968="","",ROW()-6)</f>
        <v>962</v>
      </c>
      <c r="B968" s="145" t="n">
        <v>2087490</v>
      </c>
      <c r="C968" s="146" t="n">
        <v>15421104</v>
      </c>
      <c r="D968" s="146"/>
      <c r="E968" s="82" t="str">
        <f aca="false">IF(B968="","",IF(COUNTIFS('CARNET DE SOUDURE'!$L$7:$L$3006,B968,'CARNET DE SOUDURE'!$M$7:$M$3006,"&lt;&gt;"&amp;C968,'CARNET DE SOUDURE'!$M$7:$M$3006,"&lt;&gt;")+COUNTIFS('CARNET DE SOUDURE'!$O$7:$O$3006,B968,'CARNET DE SOUDURE'!$P$7:$P$3006,"&lt;&gt;"&amp;C968,'CARNET DE SOUDURE'!$P$7:$P$3006,"&lt;&gt;")&gt;0,"⚠ DIFFÉRENTE","OK"))</f>
        <v>OK</v>
      </c>
      <c r="F968" s="147" t="n">
        <v>11.94</v>
      </c>
      <c r="G968" s="80"/>
      <c r="H968" s="83"/>
      <c r="I968" s="148" t="str">
        <f aca="false">IF(B968="","",IFERROR(INDEX('CARNET DE SOUDURE'!$B$7:$B$3006,MATCH(B968,'CARNET DE SOUDURE'!$L$7:$L$3006,0)),IFERROR(INDEX('CARNET DE SOUDURE'!$B$7:$B$3006,MATCH(B968,'CARNET DE SOUDURE'!$O$7:$O$3006,0)),"")))</f>
        <v>MFD-ISW → MFD-CPF</v>
      </c>
      <c r="J968" s="82" t="str">
        <f aca="false">IF(B968="","",IFERROR(INDEX('CARNET DE SOUDURE'!$E$7:$E$3006,MATCH(B968,'CARNET DE SOUDURE'!$O$7:$O$3006,0)),""))</f>
        <v>JN°1516</v>
      </c>
      <c r="K968" s="82" t="str">
        <f aca="false">IF(B968="","",IFERROR(INDEX('CARNET DE SOUDURE'!$E$7:$E$3006,MATCH(B968,'CARNET DE SOUDURE'!$L$7:$L$3006,0)),""))</f>
        <v>DJ°059</v>
      </c>
      <c r="L968" s="82" t="n">
        <f aca="false">IF(B968="","",IFERROR(INDEX('CARNET DE SOUDURE'!$D$7:$D$3006,MATCH(B968,'CARNET DE SOUDURE'!$L$7:$L$3006,0)),IFERROR(INDEX('CARNET DE SOUDURE'!$D$7:$D$3006,MATCH(B968,'CARNET DE SOUDURE'!$O$7:$O$3006,0)),"")))</f>
        <v>18</v>
      </c>
      <c r="M968" s="82" t="str">
        <f aca="false">IF(B968="","",IF(OR(J968&lt;&gt;"",K968&lt;&gt;""),"POSÉ EN LIGNE",IF(COUNTIF(BARDAGE!$C$1:$C$5000,B968)&gt;0,"BARDÉ","EN STOCK")))</f>
        <v>POSÉ EN LIGNE</v>
      </c>
      <c r="N968" s="80"/>
    </row>
    <row r="969" customFormat="false" ht="15" hidden="false" customHeight="false" outlineLevel="0" collapsed="false">
      <c r="A969" s="82" t="n">
        <f aca="false">IF(B969="","",ROW()-6)</f>
        <v>963</v>
      </c>
      <c r="B969" s="145" t="n">
        <v>2089220</v>
      </c>
      <c r="C969" s="146" t="n">
        <v>15421108</v>
      </c>
      <c r="D969" s="146"/>
      <c r="E969" s="82" t="str">
        <f aca="false">IF(B969="","",IF(COUNTIFS('CARNET DE SOUDURE'!$L$7:$L$3006,B969,'CARNET DE SOUDURE'!$M$7:$M$3006,"&lt;&gt;"&amp;C969,'CARNET DE SOUDURE'!$M$7:$M$3006,"&lt;&gt;")+COUNTIFS('CARNET DE SOUDURE'!$O$7:$O$3006,B969,'CARNET DE SOUDURE'!$P$7:$P$3006,"&lt;&gt;"&amp;C969,'CARNET DE SOUDURE'!$P$7:$P$3006,"&lt;&gt;")&gt;0,"⚠ DIFFÉRENTE","OK"))</f>
        <v>OK</v>
      </c>
      <c r="F969" s="147" t="n">
        <v>11.94</v>
      </c>
      <c r="G969" s="80"/>
      <c r="H969" s="83"/>
      <c r="I969" s="148" t="str">
        <f aca="false">IF(B969="","",IFERROR(INDEX('CARNET DE SOUDURE'!$B$7:$B$3006,MATCH(B969,'CARNET DE SOUDURE'!$L$7:$L$3006,0)),IFERROR(INDEX('CARNET DE SOUDURE'!$B$7:$B$3006,MATCH(B969,'CARNET DE SOUDURE'!$O$7:$O$3006,0)),"")))</f>
        <v>MFD-ISW → MFD-CPF</v>
      </c>
      <c r="J969" s="82" t="str">
        <f aca="false">IF(B969="","",IFERROR(INDEX('CARNET DE SOUDURE'!$E$7:$E$3006,MATCH(B969,'CARNET DE SOUDURE'!$O$7:$O$3006,0)),""))</f>
        <v>DJ°059</v>
      </c>
      <c r="K969" s="82" t="str">
        <f aca="false">IF(B969="","",IFERROR(INDEX('CARNET DE SOUDURE'!$E$7:$E$3006,MATCH(B969,'CARNET DE SOUDURE'!$L$7:$L$3006,0)),""))</f>
        <v>JN°1517</v>
      </c>
      <c r="L969" s="82" t="n">
        <f aca="false">IF(B969="","",IFERROR(INDEX('CARNET DE SOUDURE'!$D$7:$D$3006,MATCH(B969,'CARNET DE SOUDURE'!$L$7:$L$3006,0)),IFERROR(INDEX('CARNET DE SOUDURE'!$D$7:$D$3006,MATCH(B969,'CARNET DE SOUDURE'!$O$7:$O$3006,0)),"")))</f>
        <v>18</v>
      </c>
      <c r="M969" s="82" t="str">
        <f aca="false">IF(B969="","",IF(OR(J969&lt;&gt;"",K969&lt;&gt;""),"POSÉ EN LIGNE",IF(COUNTIF(BARDAGE!$C$1:$C$5000,B969)&gt;0,"BARDÉ","EN STOCK")))</f>
        <v>POSÉ EN LIGNE</v>
      </c>
      <c r="N969" s="80"/>
    </row>
    <row r="970" customFormat="false" ht="15" hidden="false" customHeight="false" outlineLevel="0" collapsed="false">
      <c r="A970" s="82" t="n">
        <f aca="false">IF(B970="","",ROW()-6)</f>
        <v>964</v>
      </c>
      <c r="B970" s="145" t="n">
        <v>2084340</v>
      </c>
      <c r="C970" s="146" t="n">
        <v>15421106</v>
      </c>
      <c r="D970" s="146"/>
      <c r="E970" s="82" t="str">
        <f aca="false">IF(B970="","",IF(COUNTIFS('CARNET DE SOUDURE'!$L$7:$L$3006,B970,'CARNET DE SOUDURE'!$M$7:$M$3006,"&lt;&gt;"&amp;C970,'CARNET DE SOUDURE'!$M$7:$M$3006,"&lt;&gt;")+COUNTIFS('CARNET DE SOUDURE'!$O$7:$O$3006,B970,'CARNET DE SOUDURE'!$P$7:$P$3006,"&lt;&gt;"&amp;C970,'CARNET DE SOUDURE'!$P$7:$P$3006,"&lt;&gt;")&gt;0,"⚠ DIFFÉRENTE","OK"))</f>
        <v>OK</v>
      </c>
      <c r="F970" s="147" t="n">
        <v>11.94</v>
      </c>
      <c r="G970" s="80"/>
      <c r="H970" s="83"/>
      <c r="I970" s="148" t="str">
        <f aca="false">IF(B970="","",IFERROR(INDEX('CARNET DE SOUDURE'!$B$7:$B$3006,MATCH(B970,'CARNET DE SOUDURE'!$L$7:$L$3006,0)),IFERROR(INDEX('CARNET DE SOUDURE'!$B$7:$B$3006,MATCH(B970,'CARNET DE SOUDURE'!$O$7:$O$3006,0)),"")))</f>
        <v>MFD-ISW → MFD-CPF</v>
      </c>
      <c r="J970" s="82" t="str">
        <f aca="false">IF(B970="","",IFERROR(INDEX('CARNET DE SOUDURE'!$E$7:$E$3006,MATCH(B970,'CARNET DE SOUDURE'!$O$7:$O$3006,0)),""))</f>
        <v>JN°1517</v>
      </c>
      <c r="K970" s="82" t="str">
        <f aca="false">IF(B970="","",IFERROR(INDEX('CARNET DE SOUDURE'!$E$7:$E$3006,MATCH(B970,'CARNET DE SOUDURE'!$L$7:$L$3006,0)),""))</f>
        <v/>
      </c>
      <c r="L970" s="82" t="n">
        <f aca="false">IF(B970="","",IFERROR(INDEX('CARNET DE SOUDURE'!$D$7:$D$3006,MATCH(B970,'CARNET DE SOUDURE'!$L$7:$L$3006,0)),IFERROR(INDEX('CARNET DE SOUDURE'!$D$7:$D$3006,MATCH(B970,'CARNET DE SOUDURE'!$O$7:$O$3006,0)),"")))</f>
        <v>18</v>
      </c>
      <c r="M970" s="82" t="str">
        <f aca="false">IF(B970="","",IF(OR(J970&lt;&gt;"",K970&lt;&gt;""),"POSÉ EN LIGNE",IF(COUNTIF(BARDAGE!$C$1:$C$5000,B970)&gt;0,"BARDÉ","EN STOCK")))</f>
        <v>POSÉ EN LIGNE</v>
      </c>
      <c r="N970" s="80"/>
    </row>
    <row r="971" customFormat="false" ht="15" hidden="false" customHeight="false" outlineLevel="0" collapsed="false">
      <c r="A971" s="82" t="n">
        <f aca="false">IF(B971="","",ROW()-6)</f>
        <v>965</v>
      </c>
      <c r="B971" s="145" t="n">
        <v>2084110</v>
      </c>
      <c r="C971" s="146" t="n">
        <v>15421106</v>
      </c>
      <c r="D971" s="146"/>
      <c r="E971" s="82" t="str">
        <f aca="false">IF(B971="","",IF(COUNTIFS('CARNET DE SOUDURE'!$L$7:$L$3006,B971,'CARNET DE SOUDURE'!$M$7:$M$3006,"&lt;&gt;"&amp;C971,'CARNET DE SOUDURE'!$M$7:$M$3006,"&lt;&gt;")+COUNTIFS('CARNET DE SOUDURE'!$O$7:$O$3006,B971,'CARNET DE SOUDURE'!$P$7:$P$3006,"&lt;&gt;"&amp;C971,'CARNET DE SOUDURE'!$P$7:$P$3006,"&lt;&gt;")&gt;0,"⚠ DIFFÉRENTE","OK"))</f>
        <v>OK</v>
      </c>
      <c r="F971" s="147" t="n">
        <v>11.94</v>
      </c>
      <c r="G971" s="80"/>
      <c r="H971" s="83"/>
      <c r="I971" s="148" t="str">
        <f aca="false">IF(B971="","",IFERROR(INDEX('CARNET DE SOUDURE'!$B$7:$B$3006,MATCH(B971,'CARNET DE SOUDURE'!$L$7:$L$3006,0)),IFERROR(INDEX('CARNET DE SOUDURE'!$B$7:$B$3006,MATCH(B971,'CARNET DE SOUDURE'!$O$7:$O$3006,0)),"")))</f>
        <v>MFD-ISW → MFD-CPF</v>
      </c>
      <c r="J971" s="82" t="str">
        <f aca="false">IF(B971="","",IFERROR(INDEX('CARNET DE SOUDURE'!$E$7:$E$3006,MATCH(B971,'CARNET DE SOUDURE'!$O$7:$O$3006,0)),""))</f>
        <v>DJ°054</v>
      </c>
      <c r="K971" s="82" t="str">
        <f aca="false">IF(B971="","",IFERROR(INDEX('CARNET DE SOUDURE'!$E$7:$E$3006,MATCH(B971,'CARNET DE SOUDURE'!$L$7:$L$3006,0)),""))</f>
        <v>DJ°054</v>
      </c>
      <c r="L971" s="82" t="n">
        <f aca="false">IF(B971="","",IFERROR(INDEX('CARNET DE SOUDURE'!$D$7:$D$3006,MATCH(B971,'CARNET DE SOUDURE'!$L$7:$L$3006,0)),IFERROR(INDEX('CARNET DE SOUDURE'!$D$7:$D$3006,MATCH(B971,'CARNET DE SOUDURE'!$O$7:$O$3006,0)),"")))</f>
        <v>18</v>
      </c>
      <c r="M971" s="82" t="str">
        <f aca="false">IF(B971="","",IF(OR(J971&lt;&gt;"",K971&lt;&gt;""),"POSÉ EN LIGNE",IF(COUNTIF(BARDAGE!$C$1:$C$5000,B971)&gt;0,"BARDÉ","EN STOCK")))</f>
        <v>POSÉ EN LIGNE</v>
      </c>
      <c r="N971" s="80"/>
    </row>
    <row r="972" customFormat="false" ht="15" hidden="false" customHeight="false" outlineLevel="0" collapsed="false">
      <c r="A972" s="82" t="n">
        <f aca="false">IF(B972="","",ROW()-6)</f>
        <v>966</v>
      </c>
      <c r="B972" s="145" t="n">
        <v>2084030</v>
      </c>
      <c r="C972" s="146" t="n">
        <v>15421106</v>
      </c>
      <c r="D972" s="146"/>
      <c r="E972" s="82" t="str">
        <f aca="false">IF(B972="","",IF(COUNTIFS('CARNET DE SOUDURE'!$L$7:$L$3006,B972,'CARNET DE SOUDURE'!$M$7:$M$3006,"&lt;&gt;"&amp;C972,'CARNET DE SOUDURE'!$M$7:$M$3006,"&lt;&gt;")+COUNTIFS('CARNET DE SOUDURE'!$O$7:$O$3006,B972,'CARNET DE SOUDURE'!$P$7:$P$3006,"&lt;&gt;"&amp;C972,'CARNET DE SOUDURE'!$P$7:$P$3006,"&lt;&gt;")&gt;0,"⚠ DIFFÉRENTE","OK"))</f>
        <v>OK</v>
      </c>
      <c r="F972" s="147" t="n">
        <v>11.94</v>
      </c>
      <c r="G972" s="80"/>
      <c r="H972" s="83"/>
      <c r="I972" s="148" t="str">
        <f aca="false">IF(B972="","",IFERROR(INDEX('CARNET DE SOUDURE'!$B$7:$B$3006,MATCH(B972,'CARNET DE SOUDURE'!$L$7:$L$3006,0)),IFERROR(INDEX('CARNET DE SOUDURE'!$B$7:$B$3006,MATCH(B972,'CARNET DE SOUDURE'!$O$7:$O$3006,0)),"")))</f>
        <v>MFD-ISW → MFD-CPF</v>
      </c>
      <c r="J972" s="82" t="str">
        <f aca="false">IF(B972="","",IFERROR(INDEX('CARNET DE SOUDURE'!$E$7:$E$3006,MATCH(B972,'CARNET DE SOUDURE'!$O$7:$O$3006,0)),""))</f>
        <v>JN°1518</v>
      </c>
      <c r="K972" s="82" t="str">
        <f aca="false">IF(B972="","",IFERROR(INDEX('CARNET DE SOUDURE'!$E$7:$E$3006,MATCH(B972,'CARNET DE SOUDURE'!$L$7:$L$3006,0)),""))</f>
        <v>DJ°056</v>
      </c>
      <c r="L972" s="82" t="n">
        <f aca="false">IF(B972="","",IFERROR(INDEX('CARNET DE SOUDURE'!$D$7:$D$3006,MATCH(B972,'CARNET DE SOUDURE'!$L$7:$L$3006,0)),IFERROR(INDEX('CARNET DE SOUDURE'!$D$7:$D$3006,MATCH(B972,'CARNET DE SOUDURE'!$O$7:$O$3006,0)),"")))</f>
        <v>18</v>
      </c>
      <c r="M972" s="82" t="str">
        <f aca="false">IF(B972="","",IF(OR(J972&lt;&gt;"",K972&lt;&gt;""),"POSÉ EN LIGNE",IF(COUNTIF(BARDAGE!$C$1:$C$5000,B972)&gt;0,"BARDÉ","EN STOCK")))</f>
        <v>POSÉ EN LIGNE</v>
      </c>
      <c r="N972" s="80"/>
    </row>
    <row r="973" customFormat="false" ht="15" hidden="false" customHeight="false" outlineLevel="0" collapsed="false">
      <c r="A973" s="82" t="n">
        <f aca="false">IF(B973="","",ROW()-6)</f>
        <v>967</v>
      </c>
      <c r="B973" s="145" t="n">
        <v>2090080</v>
      </c>
      <c r="C973" s="146" t="n">
        <v>15421109</v>
      </c>
      <c r="D973" s="146"/>
      <c r="E973" s="82" t="str">
        <f aca="false">IF(B973="","",IF(COUNTIFS('CARNET DE SOUDURE'!$L$7:$L$3006,B973,'CARNET DE SOUDURE'!$M$7:$M$3006,"&lt;&gt;"&amp;C973,'CARNET DE SOUDURE'!$M$7:$M$3006,"&lt;&gt;")+COUNTIFS('CARNET DE SOUDURE'!$O$7:$O$3006,B973,'CARNET DE SOUDURE'!$P$7:$P$3006,"&lt;&gt;"&amp;C973,'CARNET DE SOUDURE'!$P$7:$P$3006,"&lt;&gt;")&gt;0,"⚠ DIFFÉRENTE","OK"))</f>
        <v>OK</v>
      </c>
      <c r="F973" s="147" t="n">
        <v>11.94</v>
      </c>
      <c r="G973" s="80"/>
      <c r="H973" s="83"/>
      <c r="I973" s="148" t="str">
        <f aca="false">IF(B973="","",IFERROR(INDEX('CARNET DE SOUDURE'!$B$7:$B$3006,MATCH(B973,'CARNET DE SOUDURE'!$L$7:$L$3006,0)),IFERROR(INDEX('CARNET DE SOUDURE'!$B$7:$B$3006,MATCH(B973,'CARNET DE SOUDURE'!$O$7:$O$3006,0)),"")))</f>
        <v>MFD-ISW → MFD-CPF</v>
      </c>
      <c r="J973" s="82" t="str">
        <f aca="false">IF(B973="","",IFERROR(INDEX('CARNET DE SOUDURE'!$E$7:$E$3006,MATCH(B973,'CARNET DE SOUDURE'!$O$7:$O$3006,0)),""))</f>
        <v>JN°1519</v>
      </c>
      <c r="K973" s="82" t="str">
        <f aca="false">IF(B973="","",IFERROR(INDEX('CARNET DE SOUDURE'!$E$7:$E$3006,MATCH(B973,'CARNET DE SOUDURE'!$L$7:$L$3006,0)),""))</f>
        <v>DJ°022</v>
      </c>
      <c r="L973" s="82" t="n">
        <f aca="false">IF(B973="","",IFERROR(INDEX('CARNET DE SOUDURE'!$D$7:$D$3006,MATCH(B973,'CARNET DE SOUDURE'!$L$7:$L$3006,0)),IFERROR(INDEX('CARNET DE SOUDURE'!$D$7:$D$3006,MATCH(B973,'CARNET DE SOUDURE'!$O$7:$O$3006,0)),"")))</f>
        <v>18</v>
      </c>
      <c r="M973" s="82" t="str">
        <f aca="false">IF(B973="","",IF(OR(J973&lt;&gt;"",K973&lt;&gt;""),"POSÉ EN LIGNE",IF(COUNTIF(BARDAGE!$C$1:$C$5000,B973)&gt;0,"BARDÉ","EN STOCK")))</f>
        <v>POSÉ EN LIGNE</v>
      </c>
      <c r="N973" s="80"/>
    </row>
    <row r="974" customFormat="false" ht="15" hidden="false" customHeight="false" outlineLevel="0" collapsed="false">
      <c r="A974" s="82" t="n">
        <f aca="false">IF(B974="","",ROW()-6)</f>
        <v>968</v>
      </c>
      <c r="B974" s="145" t="n">
        <v>2091860</v>
      </c>
      <c r="C974" s="146" t="n">
        <v>15421109</v>
      </c>
      <c r="D974" s="146"/>
      <c r="E974" s="82" t="str">
        <f aca="false">IF(B974="","",IF(COUNTIFS('CARNET DE SOUDURE'!$L$7:$L$3006,B974,'CARNET DE SOUDURE'!$M$7:$M$3006,"&lt;&gt;"&amp;C974,'CARNET DE SOUDURE'!$M$7:$M$3006,"&lt;&gt;")+COUNTIFS('CARNET DE SOUDURE'!$O$7:$O$3006,B974,'CARNET DE SOUDURE'!$P$7:$P$3006,"&lt;&gt;"&amp;C974,'CARNET DE SOUDURE'!$P$7:$P$3006,"&lt;&gt;")&gt;0,"⚠ DIFFÉRENTE","OK"))</f>
        <v>OK</v>
      </c>
      <c r="F974" s="147" t="n">
        <v>11.94</v>
      </c>
      <c r="G974" s="80"/>
      <c r="H974" s="83"/>
      <c r="I974" s="148" t="str">
        <f aca="false">IF(B974="","",IFERROR(INDEX('CARNET DE SOUDURE'!$B$7:$B$3006,MATCH(B974,'CARNET DE SOUDURE'!$L$7:$L$3006,0)),IFERROR(INDEX('CARNET DE SOUDURE'!$B$7:$B$3006,MATCH(B974,'CARNET DE SOUDURE'!$O$7:$O$3006,0)),"")))</f>
        <v>MFD-ISW → MFD-CPF</v>
      </c>
      <c r="J974" s="82" t="str">
        <f aca="false">IF(B974="","",IFERROR(INDEX('CARNET DE SOUDURE'!$E$7:$E$3006,MATCH(B974,'CARNET DE SOUDURE'!$O$7:$O$3006,0)),""))</f>
        <v>DJ°022</v>
      </c>
      <c r="K974" s="82" t="str">
        <f aca="false">IF(B974="","",IFERROR(INDEX('CARNET DE SOUDURE'!$E$7:$E$3006,MATCH(B974,'CARNET DE SOUDURE'!$L$7:$L$3006,0)),""))</f>
        <v>JN°1520R</v>
      </c>
      <c r="L974" s="82" t="n">
        <f aca="false">IF(B974="","",IFERROR(INDEX('CARNET DE SOUDURE'!$D$7:$D$3006,MATCH(B974,'CARNET DE SOUDURE'!$L$7:$L$3006,0)),IFERROR(INDEX('CARNET DE SOUDURE'!$D$7:$D$3006,MATCH(B974,'CARNET DE SOUDURE'!$O$7:$O$3006,0)),"")))</f>
        <v>18</v>
      </c>
      <c r="M974" s="82" t="str">
        <f aca="false">IF(B974="","",IF(OR(J974&lt;&gt;"",K974&lt;&gt;""),"POSÉ EN LIGNE",IF(COUNTIF(BARDAGE!$C$1:$C$5000,B974)&gt;0,"BARDÉ","EN STOCK")))</f>
        <v>POSÉ EN LIGNE</v>
      </c>
      <c r="N974" s="80"/>
    </row>
    <row r="975" customFormat="false" ht="15" hidden="false" customHeight="false" outlineLevel="0" collapsed="false">
      <c r="A975" s="82" t="n">
        <f aca="false">IF(B975="","",ROW()-6)</f>
        <v>969</v>
      </c>
      <c r="B975" s="145" t="n">
        <v>2084520</v>
      </c>
      <c r="C975" s="146" t="n">
        <v>15421106</v>
      </c>
      <c r="D975" s="146"/>
      <c r="E975" s="82" t="str">
        <f aca="false">IF(B975="","",IF(COUNTIFS('CARNET DE SOUDURE'!$L$7:$L$3006,B975,'CARNET DE SOUDURE'!$M$7:$M$3006,"&lt;&gt;"&amp;C975,'CARNET DE SOUDURE'!$M$7:$M$3006,"&lt;&gt;")+COUNTIFS('CARNET DE SOUDURE'!$O$7:$O$3006,B975,'CARNET DE SOUDURE'!$P$7:$P$3006,"&lt;&gt;"&amp;C975,'CARNET DE SOUDURE'!$P$7:$P$3006,"&lt;&gt;")&gt;0,"⚠ DIFFÉRENTE","OK"))</f>
        <v>OK</v>
      </c>
      <c r="F975" s="147" t="n">
        <v>11.94</v>
      </c>
      <c r="G975" s="80"/>
      <c r="H975" s="83"/>
      <c r="I975" s="148" t="str">
        <f aca="false">IF(B975="","",IFERROR(INDEX('CARNET DE SOUDURE'!$B$7:$B$3006,MATCH(B975,'CARNET DE SOUDURE'!$L$7:$L$3006,0)),IFERROR(INDEX('CARNET DE SOUDURE'!$B$7:$B$3006,MATCH(B975,'CARNET DE SOUDURE'!$O$7:$O$3006,0)),"")))</f>
        <v>MFD-ISW → MFD-CPF</v>
      </c>
      <c r="J975" s="82" t="str">
        <f aca="false">IF(B975="","",IFERROR(INDEX('CARNET DE SOUDURE'!$E$7:$E$3006,MATCH(B975,'CARNET DE SOUDURE'!$O$7:$O$3006,0)),""))</f>
        <v>JN°1520R</v>
      </c>
      <c r="K975" s="82" t="str">
        <f aca="false">IF(B975="","",IFERROR(INDEX('CARNET DE SOUDURE'!$E$7:$E$3006,MATCH(B975,'CARNET DE SOUDURE'!$L$7:$L$3006,0)),""))</f>
        <v/>
      </c>
      <c r="L975" s="82" t="n">
        <f aca="false">IF(B975="","",IFERROR(INDEX('CARNET DE SOUDURE'!$D$7:$D$3006,MATCH(B975,'CARNET DE SOUDURE'!$L$7:$L$3006,0)),IFERROR(INDEX('CARNET DE SOUDURE'!$D$7:$D$3006,MATCH(B975,'CARNET DE SOUDURE'!$O$7:$O$3006,0)),"")))</f>
        <v>18</v>
      </c>
      <c r="M975" s="82" t="str">
        <f aca="false">IF(B975="","",IF(OR(J975&lt;&gt;"",K975&lt;&gt;""),"POSÉ EN LIGNE",IF(COUNTIF(BARDAGE!$C$1:$C$5000,B975)&gt;0,"BARDÉ","EN STOCK")))</f>
        <v>POSÉ EN LIGNE</v>
      </c>
      <c r="N975" s="80"/>
    </row>
    <row r="976" customFormat="false" ht="15" hidden="false" customHeight="false" outlineLevel="0" collapsed="false">
      <c r="A976" s="82" t="n">
        <f aca="false">IF(B976="","",ROW()-6)</f>
        <v>970</v>
      </c>
      <c r="B976" s="145" t="n">
        <v>2097120</v>
      </c>
      <c r="C976" s="146" t="n">
        <v>15421112</v>
      </c>
      <c r="D976" s="146"/>
      <c r="E976" s="82" t="str">
        <f aca="false">IF(B976="","",IF(COUNTIFS('CARNET DE SOUDURE'!$L$7:$L$3006,B976,'CARNET DE SOUDURE'!$M$7:$M$3006,"&lt;&gt;"&amp;C976,'CARNET DE SOUDURE'!$M$7:$M$3006,"&lt;&gt;")+COUNTIFS('CARNET DE SOUDURE'!$O$7:$O$3006,B976,'CARNET DE SOUDURE'!$P$7:$P$3006,"&lt;&gt;"&amp;C976,'CARNET DE SOUDURE'!$P$7:$P$3006,"&lt;&gt;")&gt;0,"⚠ DIFFÉRENTE","OK"))</f>
        <v>OK</v>
      </c>
      <c r="F976" s="147" t="n">
        <v>11.94</v>
      </c>
      <c r="G976" s="80"/>
      <c r="H976" s="83"/>
      <c r="I976" s="148" t="str">
        <f aca="false">IF(B976="","",IFERROR(INDEX('CARNET DE SOUDURE'!$B$7:$B$3006,MATCH(B976,'CARNET DE SOUDURE'!$L$7:$L$3006,0)),IFERROR(INDEX('CARNET DE SOUDURE'!$B$7:$B$3006,MATCH(B976,'CARNET DE SOUDURE'!$O$7:$O$3006,0)),"")))</f>
        <v>MFD-ISW → MFD-CPF</v>
      </c>
      <c r="J976" s="82" t="str">
        <f aca="false">IF(B976="","",IFERROR(INDEX('CARNET DE SOUDURE'!$E$7:$E$3006,MATCH(B976,'CARNET DE SOUDURE'!$O$7:$O$3006,0)),""))</f>
        <v>DJ°049</v>
      </c>
      <c r="K976" s="82" t="str">
        <f aca="false">IF(B976="","",IFERROR(INDEX('CARNET DE SOUDURE'!$E$7:$E$3006,MATCH(B976,'CARNET DE SOUDURE'!$L$7:$L$3006,0)),""))</f>
        <v>DJ°049</v>
      </c>
      <c r="L976" s="82" t="n">
        <f aca="false">IF(B976="","",IFERROR(INDEX('CARNET DE SOUDURE'!$D$7:$D$3006,MATCH(B976,'CARNET DE SOUDURE'!$L$7:$L$3006,0)),IFERROR(INDEX('CARNET DE SOUDURE'!$D$7:$D$3006,MATCH(B976,'CARNET DE SOUDURE'!$O$7:$O$3006,0)),"")))</f>
        <v>18</v>
      </c>
      <c r="M976" s="82" t="str">
        <f aca="false">IF(B976="","",IF(OR(J976&lt;&gt;"",K976&lt;&gt;""),"POSÉ EN LIGNE",IF(COUNTIF(BARDAGE!$C$1:$C$5000,B976)&gt;0,"BARDÉ","EN STOCK")))</f>
        <v>POSÉ EN LIGNE</v>
      </c>
      <c r="N976" s="80"/>
    </row>
    <row r="977" customFormat="false" ht="15" hidden="false" customHeight="false" outlineLevel="0" collapsed="false">
      <c r="A977" s="82" t="n">
        <f aca="false">IF(B977="","",ROW()-6)</f>
        <v>971</v>
      </c>
      <c r="B977" s="145" t="n">
        <v>2094690</v>
      </c>
      <c r="C977" s="146" t="n">
        <v>15421111</v>
      </c>
      <c r="D977" s="146"/>
      <c r="E977" s="82" t="str">
        <f aca="false">IF(B977="","",IF(COUNTIFS('CARNET DE SOUDURE'!$L$7:$L$3006,B977,'CARNET DE SOUDURE'!$M$7:$M$3006,"&lt;&gt;"&amp;C977,'CARNET DE SOUDURE'!$M$7:$M$3006,"&lt;&gt;")+COUNTIFS('CARNET DE SOUDURE'!$O$7:$O$3006,B977,'CARNET DE SOUDURE'!$P$7:$P$3006,"&lt;&gt;"&amp;C977,'CARNET DE SOUDURE'!$P$7:$P$3006,"&lt;&gt;")&gt;0,"⚠ DIFFÉRENTE","OK"))</f>
        <v>OK</v>
      </c>
      <c r="F977" s="147" t="n">
        <v>11.94</v>
      </c>
      <c r="G977" s="80"/>
      <c r="H977" s="83"/>
      <c r="I977" s="148" t="str">
        <f aca="false">IF(B977="","",IFERROR(INDEX('CARNET DE SOUDURE'!$B$7:$B$3006,MATCH(B977,'CARNET DE SOUDURE'!$L$7:$L$3006,0)),IFERROR(INDEX('CARNET DE SOUDURE'!$B$7:$B$3006,MATCH(B977,'CARNET DE SOUDURE'!$O$7:$O$3006,0)),"")))</f>
        <v>MFD-ISW → MFD-CPF</v>
      </c>
      <c r="J977" s="82" t="str">
        <f aca="false">IF(B977="","",IFERROR(INDEX('CARNET DE SOUDURE'!$E$7:$E$3006,MATCH(B977,'CARNET DE SOUDURE'!$O$7:$O$3006,0)),""))</f>
        <v>JN°1521R</v>
      </c>
      <c r="K977" s="82" t="str">
        <f aca="false">IF(B977="","",IFERROR(INDEX('CARNET DE SOUDURE'!$E$7:$E$3006,MATCH(B977,'CARNET DE SOUDURE'!$L$7:$L$3006,0)),""))</f>
        <v>DJ°082</v>
      </c>
      <c r="L977" s="82" t="n">
        <f aca="false">IF(B977="","",IFERROR(INDEX('CARNET DE SOUDURE'!$D$7:$D$3006,MATCH(B977,'CARNET DE SOUDURE'!$L$7:$L$3006,0)),IFERROR(INDEX('CARNET DE SOUDURE'!$D$7:$D$3006,MATCH(B977,'CARNET DE SOUDURE'!$O$7:$O$3006,0)),"")))</f>
        <v>18</v>
      </c>
      <c r="M977" s="82" t="str">
        <f aca="false">IF(B977="","",IF(OR(J977&lt;&gt;"",K977&lt;&gt;""),"POSÉ EN LIGNE",IF(COUNTIF(BARDAGE!$C$1:$C$5000,B977)&gt;0,"BARDÉ","EN STOCK")))</f>
        <v>POSÉ EN LIGNE</v>
      </c>
      <c r="N977" s="80"/>
    </row>
    <row r="978" customFormat="false" ht="15" hidden="false" customHeight="false" outlineLevel="0" collapsed="false">
      <c r="A978" s="82" t="n">
        <f aca="false">IF(B978="","",ROW()-6)</f>
        <v>972</v>
      </c>
      <c r="B978" s="145" t="n">
        <v>2094810</v>
      </c>
      <c r="C978" s="146" t="n">
        <v>15421111</v>
      </c>
      <c r="D978" s="146"/>
      <c r="E978" s="82" t="str">
        <f aca="false">IF(B978="","",IF(COUNTIFS('CARNET DE SOUDURE'!$L$7:$L$3006,B978,'CARNET DE SOUDURE'!$M$7:$M$3006,"&lt;&gt;"&amp;C978,'CARNET DE SOUDURE'!$M$7:$M$3006,"&lt;&gt;")+COUNTIFS('CARNET DE SOUDURE'!$O$7:$O$3006,B978,'CARNET DE SOUDURE'!$P$7:$P$3006,"&lt;&gt;"&amp;C978,'CARNET DE SOUDURE'!$P$7:$P$3006,"&lt;&gt;")&gt;0,"⚠ DIFFÉRENTE","OK"))</f>
        <v>OK</v>
      </c>
      <c r="F978" s="147" t="n">
        <v>11.94</v>
      </c>
      <c r="G978" s="80"/>
      <c r="H978" s="83"/>
      <c r="I978" s="148" t="str">
        <f aca="false">IF(B978="","",IFERROR(INDEX('CARNET DE SOUDURE'!$B$7:$B$3006,MATCH(B978,'CARNET DE SOUDURE'!$L$7:$L$3006,0)),IFERROR(INDEX('CARNET DE SOUDURE'!$B$7:$B$3006,MATCH(B978,'CARNET DE SOUDURE'!$O$7:$O$3006,0)),"")))</f>
        <v>MFD-ISW → MFD-CPF</v>
      </c>
      <c r="J978" s="82" t="str">
        <f aca="false">IF(B978="","",IFERROR(INDEX('CARNET DE SOUDURE'!$E$7:$E$3006,MATCH(B978,'CARNET DE SOUDURE'!$O$7:$O$3006,0)),""))</f>
        <v>DJ°082</v>
      </c>
      <c r="K978" s="82" t="str">
        <f aca="false">IF(B978="","",IFERROR(INDEX('CARNET DE SOUDURE'!$E$7:$E$3006,MATCH(B978,'CARNET DE SOUDURE'!$L$7:$L$3006,0)),""))</f>
        <v/>
      </c>
      <c r="L978" s="82" t="n">
        <f aca="false">IF(B978="","",IFERROR(INDEX('CARNET DE SOUDURE'!$D$7:$D$3006,MATCH(B978,'CARNET DE SOUDURE'!$L$7:$L$3006,0)),IFERROR(INDEX('CARNET DE SOUDURE'!$D$7:$D$3006,MATCH(B978,'CARNET DE SOUDURE'!$O$7:$O$3006,0)),"")))</f>
        <v>18</v>
      </c>
      <c r="M978" s="82" t="str">
        <f aca="false">IF(B978="","",IF(OR(J978&lt;&gt;"",K978&lt;&gt;""),"POSÉ EN LIGNE",IF(COUNTIF(BARDAGE!$C$1:$C$5000,B978)&gt;0,"BARDÉ","EN STOCK")))</f>
        <v>POSÉ EN LIGNE</v>
      </c>
      <c r="N978" s="80"/>
    </row>
    <row r="979" customFormat="false" ht="15" hidden="false" customHeight="false" outlineLevel="0" collapsed="false">
      <c r="A979" s="82" t="n">
        <f aca="false">IF(B979="","",ROW()-6)</f>
        <v>973</v>
      </c>
      <c r="B979" s="145" t="n">
        <v>2090830</v>
      </c>
      <c r="C979" s="146" t="n">
        <v>15421111</v>
      </c>
      <c r="D979" s="146"/>
      <c r="E979" s="82" t="str">
        <f aca="false">IF(B979="","",IF(COUNTIFS('CARNET DE SOUDURE'!$L$7:$L$3006,B979,'CARNET DE SOUDURE'!$M$7:$M$3006,"&lt;&gt;"&amp;C979,'CARNET DE SOUDURE'!$M$7:$M$3006,"&lt;&gt;")+COUNTIFS('CARNET DE SOUDURE'!$O$7:$O$3006,B979,'CARNET DE SOUDURE'!$P$7:$P$3006,"&lt;&gt;"&amp;C979,'CARNET DE SOUDURE'!$P$7:$P$3006,"&lt;&gt;")&gt;0,"⚠ DIFFÉRENTE","OK"))</f>
        <v>OK</v>
      </c>
      <c r="F979" s="147" t="n">
        <v>11.94</v>
      </c>
      <c r="G979" s="80"/>
      <c r="H979" s="83"/>
      <c r="I979" s="148" t="str">
        <f aca="false">IF(B979="","",IFERROR(INDEX('CARNET DE SOUDURE'!$B$7:$B$3006,MATCH(B979,'CARNET DE SOUDURE'!$L$7:$L$3006,0)),IFERROR(INDEX('CARNET DE SOUDURE'!$B$7:$B$3006,MATCH(B979,'CARNET DE SOUDURE'!$O$7:$O$3006,0)),"")))</f>
        <v>MFD-ISW → MFD-CPF</v>
      </c>
      <c r="J979" s="82" t="str">
        <f aca="false">IF(B979="","",IFERROR(INDEX('CARNET DE SOUDURE'!$E$7:$E$3006,MATCH(B979,'CARNET DE SOUDURE'!$O$7:$O$3006,0)),""))</f>
        <v>JN°1522</v>
      </c>
      <c r="K979" s="82" t="str">
        <f aca="false">IF(B979="","",IFERROR(INDEX('CARNET DE SOUDURE'!$E$7:$E$3006,MATCH(B979,'CARNET DE SOUDURE'!$L$7:$L$3006,0)),""))</f>
        <v>JN°1522</v>
      </c>
      <c r="L979" s="82" t="n">
        <f aca="false">IF(B979="","",IFERROR(INDEX('CARNET DE SOUDURE'!$D$7:$D$3006,MATCH(B979,'CARNET DE SOUDURE'!$L$7:$L$3006,0)),IFERROR(INDEX('CARNET DE SOUDURE'!$D$7:$D$3006,MATCH(B979,'CARNET DE SOUDURE'!$O$7:$O$3006,0)),"")))</f>
        <v>18</v>
      </c>
      <c r="M979" s="82" t="str">
        <f aca="false">IF(B979="","",IF(OR(J979&lt;&gt;"",K979&lt;&gt;""),"POSÉ EN LIGNE",IF(COUNTIF(BARDAGE!$C$1:$C$5000,B979)&gt;0,"BARDÉ","EN STOCK")))</f>
        <v>POSÉ EN LIGNE</v>
      </c>
      <c r="N979" s="80"/>
    </row>
    <row r="980" customFormat="false" ht="15" hidden="false" customHeight="false" outlineLevel="0" collapsed="false">
      <c r="A980" s="82" t="n">
        <f aca="false">IF(B980="","",ROW()-6)</f>
        <v>974</v>
      </c>
      <c r="B980" s="145" t="n">
        <v>2081440</v>
      </c>
      <c r="C980" s="146" t="n">
        <v>15421103</v>
      </c>
      <c r="D980" s="146"/>
      <c r="E980" s="82" t="str">
        <f aca="false">IF(B980="","",IF(COUNTIFS('CARNET DE SOUDURE'!$L$7:$L$3006,B980,'CARNET DE SOUDURE'!$M$7:$M$3006,"&lt;&gt;"&amp;C980,'CARNET DE SOUDURE'!$M$7:$M$3006,"&lt;&gt;")+COUNTIFS('CARNET DE SOUDURE'!$O$7:$O$3006,B980,'CARNET DE SOUDURE'!$P$7:$P$3006,"&lt;&gt;"&amp;C980,'CARNET DE SOUDURE'!$P$7:$P$3006,"&lt;&gt;")&gt;0,"⚠ DIFFÉRENTE","OK"))</f>
        <v>OK</v>
      </c>
      <c r="F980" s="147" t="n">
        <v>11.94</v>
      </c>
      <c r="G980" s="80"/>
      <c r="H980" s="83"/>
      <c r="I980" s="148" t="str">
        <f aca="false">IF(B980="","",IFERROR(INDEX('CARNET DE SOUDURE'!$B$7:$B$3006,MATCH(B980,'CARNET DE SOUDURE'!$L$7:$L$3006,0)),IFERROR(INDEX('CARNET DE SOUDURE'!$B$7:$B$3006,MATCH(B980,'CARNET DE SOUDURE'!$O$7:$O$3006,0)),"")))</f>
        <v>MFD-ISW → MFD-CPF</v>
      </c>
      <c r="J980" s="82" t="str">
        <f aca="false">IF(B980="","",IFERROR(INDEX('CARNET DE SOUDURE'!$E$7:$E$3006,MATCH(B980,'CARNET DE SOUDURE'!$O$7:$O$3006,0)),""))</f>
        <v>DJ°083</v>
      </c>
      <c r="K980" s="82" t="str">
        <f aca="false">IF(B980="","",IFERROR(INDEX('CARNET DE SOUDURE'!$E$7:$E$3006,MATCH(B980,'CARNET DE SOUDURE'!$L$7:$L$3006,0)),""))</f>
        <v>DJ°083</v>
      </c>
      <c r="L980" s="82" t="n">
        <f aca="false">IF(B980="","",IFERROR(INDEX('CARNET DE SOUDURE'!$D$7:$D$3006,MATCH(B980,'CARNET DE SOUDURE'!$L$7:$L$3006,0)),IFERROR(INDEX('CARNET DE SOUDURE'!$D$7:$D$3006,MATCH(B980,'CARNET DE SOUDURE'!$O$7:$O$3006,0)),"")))</f>
        <v>18</v>
      </c>
      <c r="M980" s="82" t="str">
        <f aca="false">IF(B980="","",IF(OR(J980&lt;&gt;"",K980&lt;&gt;""),"POSÉ EN LIGNE",IF(COUNTIF(BARDAGE!$C$1:$C$5000,B980)&gt;0,"BARDÉ","EN STOCK")))</f>
        <v>POSÉ EN LIGNE</v>
      </c>
      <c r="N980" s="80"/>
    </row>
    <row r="981" customFormat="false" ht="15" hidden="false" customHeight="false" outlineLevel="0" collapsed="false">
      <c r="A981" s="82" t="n">
        <f aca="false">IF(B981="","",ROW()-6)</f>
        <v>975</v>
      </c>
      <c r="B981" s="145" t="s">
        <v>2417</v>
      </c>
      <c r="C981" s="146"/>
      <c r="D981" s="146"/>
      <c r="E981" s="82" t="str">
        <f aca="false">IF(B981="","",IF(COUNTIFS('CARNET DE SOUDURE'!$L$7:$L$3006,B981,'CARNET DE SOUDURE'!$M$7:$M$3006,"&lt;&gt;"&amp;C981,'CARNET DE SOUDURE'!$M$7:$M$3006,"&lt;&gt;")+COUNTIFS('CARNET DE SOUDURE'!$O$7:$O$3006,B981,'CARNET DE SOUDURE'!$P$7:$P$3006,"&lt;&gt;"&amp;C981,'CARNET DE SOUDURE'!$P$7:$P$3006,"&lt;&gt;")&gt;0,"⚠ DIFFÉRENTE","OK"))</f>
        <v>OK</v>
      </c>
      <c r="F981" s="147"/>
      <c r="G981" s="80"/>
      <c r="H981" s="83"/>
      <c r="I981" s="148" t="str">
        <f aca="false">IF(B981="","",IFERROR(INDEX('CARNET DE SOUDURE'!$B$7:$B$3006,MATCH(B981,'CARNET DE SOUDURE'!$L$7:$L$3006,0)),IFERROR(INDEX('CARNET DE SOUDURE'!$B$7:$B$3006,MATCH(B981,'CARNET DE SOUDURE'!$O$7:$O$3006,0)),"")))</f>
        <v>MFD-ISW → MFD-CPF</v>
      </c>
      <c r="J981" s="82" t="str">
        <f aca="false">IF(B981="","",IFERROR(INDEX('CARNET DE SOUDURE'!$E$7:$E$3006,MATCH(B981,'CARNET DE SOUDURE'!$O$7:$O$3006,0)),""))</f>
        <v/>
      </c>
      <c r="K981" s="82" t="str">
        <f aca="false">IF(B981="","",IFERROR(INDEX('CARNET DE SOUDURE'!$E$7:$E$3006,MATCH(B981,'CARNET DE SOUDURE'!$L$7:$L$3006,0)),""))</f>
        <v>JN°1524</v>
      </c>
      <c r="L981" s="82" t="n">
        <f aca="false">IF(B981="","",IFERROR(INDEX('CARNET DE SOUDURE'!$D$7:$D$3006,MATCH(B981,'CARNET DE SOUDURE'!$L$7:$L$3006,0)),IFERROR(INDEX('CARNET DE SOUDURE'!$D$7:$D$3006,MATCH(B981,'CARNET DE SOUDURE'!$O$7:$O$3006,0)),"")))</f>
        <v>18</v>
      </c>
      <c r="M981" s="82" t="str">
        <f aca="false">IF(B981="","",IF(OR(J981&lt;&gt;"",K981&lt;&gt;""),"POSÉ EN LIGNE",IF(COUNTIF(BARDAGE!$C$1:$C$5000,B981)&gt;0,"BARDÉ","EN STOCK")))</f>
        <v>POSÉ EN LIGNE</v>
      </c>
      <c r="N981" s="80"/>
    </row>
    <row r="982" customFormat="false" ht="15" hidden="false" customHeight="false" outlineLevel="0" collapsed="false">
      <c r="A982" s="82" t="n">
        <f aca="false">IF(B982="","",ROW()-6)</f>
        <v>976</v>
      </c>
      <c r="B982" s="145" t="n">
        <v>2078830</v>
      </c>
      <c r="C982" s="146" t="n">
        <v>15421101</v>
      </c>
      <c r="D982" s="146"/>
      <c r="E982" s="82" t="str">
        <f aca="false">IF(B982="","",IF(COUNTIFS('CARNET DE SOUDURE'!$L$7:$L$3006,B982,'CARNET DE SOUDURE'!$M$7:$M$3006,"&lt;&gt;"&amp;C982,'CARNET DE SOUDURE'!$M$7:$M$3006,"&lt;&gt;")+COUNTIFS('CARNET DE SOUDURE'!$O$7:$O$3006,B982,'CARNET DE SOUDURE'!$P$7:$P$3006,"&lt;&gt;"&amp;C982,'CARNET DE SOUDURE'!$P$7:$P$3006,"&lt;&gt;")&gt;0,"⚠ DIFFÉRENTE","OK"))</f>
        <v>OK</v>
      </c>
      <c r="F982" s="147" t="n">
        <v>11.94</v>
      </c>
      <c r="G982" s="80"/>
      <c r="H982" s="83"/>
      <c r="I982" s="148" t="str">
        <f aca="false">IF(B982="","",IFERROR(INDEX('CARNET DE SOUDURE'!$B$7:$B$3006,MATCH(B982,'CARNET DE SOUDURE'!$L$7:$L$3006,0)),IFERROR(INDEX('CARNET DE SOUDURE'!$B$7:$B$3006,MATCH(B982,'CARNET DE SOUDURE'!$O$7:$O$3006,0)),"")))</f>
        <v>MFD-ISW → MFD-CPF</v>
      </c>
      <c r="J982" s="82" t="str">
        <f aca="false">IF(B982="","",IFERROR(INDEX('CARNET DE SOUDURE'!$E$7:$E$3006,MATCH(B982,'CARNET DE SOUDURE'!$O$7:$O$3006,0)),""))</f>
        <v>JN°1526</v>
      </c>
      <c r="K982" s="82" t="str">
        <f aca="false">IF(B982="","",IFERROR(INDEX('CARNET DE SOUDURE'!$E$7:$E$3006,MATCH(B982,'CARNET DE SOUDURE'!$L$7:$L$3006,0)),""))</f>
        <v>DJ°039</v>
      </c>
      <c r="L982" s="82" t="n">
        <f aca="false">IF(B982="","",IFERROR(INDEX('CARNET DE SOUDURE'!$D$7:$D$3006,MATCH(B982,'CARNET DE SOUDURE'!$L$7:$L$3006,0)),IFERROR(INDEX('CARNET DE SOUDURE'!$D$7:$D$3006,MATCH(B982,'CARNET DE SOUDURE'!$O$7:$O$3006,0)),"")))</f>
        <v>18</v>
      </c>
      <c r="M982" s="82" t="str">
        <f aca="false">IF(B982="","",IF(OR(J982&lt;&gt;"",K982&lt;&gt;""),"POSÉ EN LIGNE",IF(COUNTIF(BARDAGE!$C$1:$C$5000,B982)&gt;0,"BARDÉ","EN STOCK")))</f>
        <v>POSÉ EN LIGNE</v>
      </c>
      <c r="N982" s="80"/>
    </row>
    <row r="983" customFormat="false" ht="15" hidden="false" customHeight="false" outlineLevel="0" collapsed="false">
      <c r="A983" s="82" t="n">
        <f aca="false">IF(B983="","",ROW()-6)</f>
        <v>977</v>
      </c>
      <c r="B983" s="145" t="n">
        <v>2096900</v>
      </c>
      <c r="C983" s="146" t="n">
        <v>15421111</v>
      </c>
      <c r="D983" s="146"/>
      <c r="E983" s="82" t="str">
        <f aca="false">IF(B983="","",IF(COUNTIFS('CARNET DE SOUDURE'!$L$7:$L$3006,B983,'CARNET DE SOUDURE'!$M$7:$M$3006,"&lt;&gt;"&amp;C983,'CARNET DE SOUDURE'!$M$7:$M$3006,"&lt;&gt;")+COUNTIFS('CARNET DE SOUDURE'!$O$7:$O$3006,B983,'CARNET DE SOUDURE'!$P$7:$P$3006,"&lt;&gt;"&amp;C983,'CARNET DE SOUDURE'!$P$7:$P$3006,"&lt;&gt;")&gt;0,"⚠ DIFFÉRENTE","OK"))</f>
        <v>OK</v>
      </c>
      <c r="F983" s="147" t="n">
        <v>11.94</v>
      </c>
      <c r="G983" s="80"/>
      <c r="H983" s="83"/>
      <c r="I983" s="148" t="str">
        <f aca="false">IF(B983="","",IFERROR(INDEX('CARNET DE SOUDURE'!$B$7:$B$3006,MATCH(B983,'CARNET DE SOUDURE'!$L$7:$L$3006,0)),IFERROR(INDEX('CARNET DE SOUDURE'!$B$7:$B$3006,MATCH(B983,'CARNET DE SOUDURE'!$O$7:$O$3006,0)),"")))</f>
        <v>MFD-ISW → MFD-CPF</v>
      </c>
      <c r="J983" s="82" t="str">
        <f aca="false">IF(B983="","",IFERROR(INDEX('CARNET DE SOUDURE'!$E$7:$E$3006,MATCH(B983,'CARNET DE SOUDURE'!$O$7:$O$3006,0)),""))</f>
        <v>DJ°039</v>
      </c>
      <c r="K983" s="82" t="str">
        <f aca="false">IF(B983="","",IFERROR(INDEX('CARNET DE SOUDURE'!$E$7:$E$3006,MATCH(B983,'CARNET DE SOUDURE'!$L$7:$L$3006,0)),""))</f>
        <v>JN°1527R</v>
      </c>
      <c r="L983" s="82" t="n">
        <f aca="false">IF(B983="","",IFERROR(INDEX('CARNET DE SOUDURE'!$D$7:$D$3006,MATCH(B983,'CARNET DE SOUDURE'!$L$7:$L$3006,0)),IFERROR(INDEX('CARNET DE SOUDURE'!$D$7:$D$3006,MATCH(B983,'CARNET DE SOUDURE'!$O$7:$O$3006,0)),"")))</f>
        <v>18</v>
      </c>
      <c r="M983" s="82" t="str">
        <f aca="false">IF(B983="","",IF(OR(J983&lt;&gt;"",K983&lt;&gt;""),"POSÉ EN LIGNE",IF(COUNTIF(BARDAGE!$C$1:$C$5000,B983)&gt;0,"BARDÉ","EN STOCK")))</f>
        <v>POSÉ EN LIGNE</v>
      </c>
      <c r="N983" s="80"/>
    </row>
    <row r="984" customFormat="false" ht="15" hidden="false" customHeight="false" outlineLevel="0" collapsed="false">
      <c r="A984" s="82" t="n">
        <f aca="false">IF(B984="","",ROW()-6)</f>
        <v>978</v>
      </c>
      <c r="B984" s="145" t="n">
        <v>2079100</v>
      </c>
      <c r="C984" s="146" t="n">
        <v>15421102</v>
      </c>
      <c r="D984" s="146"/>
      <c r="E984" s="82" t="str">
        <f aca="false">IF(B984="","",IF(COUNTIFS('CARNET DE SOUDURE'!$L$7:$L$3006,B984,'CARNET DE SOUDURE'!$M$7:$M$3006,"&lt;&gt;"&amp;C984,'CARNET DE SOUDURE'!$M$7:$M$3006,"&lt;&gt;")+COUNTIFS('CARNET DE SOUDURE'!$O$7:$O$3006,B984,'CARNET DE SOUDURE'!$P$7:$P$3006,"&lt;&gt;"&amp;C984,'CARNET DE SOUDURE'!$P$7:$P$3006,"&lt;&gt;")&gt;0,"⚠ DIFFÉRENTE","OK"))</f>
        <v>OK</v>
      </c>
      <c r="F984" s="147" t="n">
        <v>11.94</v>
      </c>
      <c r="G984" s="80"/>
      <c r="H984" s="83"/>
      <c r="I984" s="148" t="str">
        <f aca="false">IF(B984="","",IFERROR(INDEX('CARNET DE SOUDURE'!$B$7:$B$3006,MATCH(B984,'CARNET DE SOUDURE'!$L$7:$L$3006,0)),IFERROR(INDEX('CARNET DE SOUDURE'!$B$7:$B$3006,MATCH(B984,'CARNET DE SOUDURE'!$O$7:$O$3006,0)),"")))</f>
        <v>MFD-ISW → MFD-CPF</v>
      </c>
      <c r="J984" s="82" t="str">
        <f aca="false">IF(B984="","",IFERROR(INDEX('CARNET DE SOUDURE'!$E$7:$E$3006,MATCH(B984,'CARNET DE SOUDURE'!$O$7:$O$3006,0)),""))</f>
        <v>JN°1527R</v>
      </c>
      <c r="K984" s="82" t="str">
        <f aca="false">IF(B984="","",IFERROR(INDEX('CARNET DE SOUDURE'!$E$7:$E$3006,MATCH(B984,'CARNET DE SOUDURE'!$L$7:$L$3006,0)),""))</f>
        <v>DJ°041</v>
      </c>
      <c r="L984" s="82" t="n">
        <f aca="false">IF(B984="","",IFERROR(INDEX('CARNET DE SOUDURE'!$D$7:$D$3006,MATCH(B984,'CARNET DE SOUDURE'!$L$7:$L$3006,0)),IFERROR(INDEX('CARNET DE SOUDURE'!$D$7:$D$3006,MATCH(B984,'CARNET DE SOUDURE'!$O$7:$O$3006,0)),"")))</f>
        <v>18</v>
      </c>
      <c r="M984" s="82" t="str">
        <f aca="false">IF(B984="","",IF(OR(J984&lt;&gt;"",K984&lt;&gt;""),"POSÉ EN LIGNE",IF(COUNTIF(BARDAGE!$C$1:$C$5000,B984)&gt;0,"BARDÉ","EN STOCK")))</f>
        <v>POSÉ EN LIGNE</v>
      </c>
      <c r="N984" s="80"/>
    </row>
    <row r="985" customFormat="false" ht="15" hidden="false" customHeight="false" outlineLevel="0" collapsed="false">
      <c r="A985" s="82" t="n">
        <f aca="false">IF(B985="","",ROW()-6)</f>
        <v>979</v>
      </c>
      <c r="B985" s="145" t="n">
        <v>2084420</v>
      </c>
      <c r="C985" s="146" t="n">
        <v>15421106</v>
      </c>
      <c r="D985" s="146"/>
      <c r="E985" s="82" t="str">
        <f aca="false">IF(B985="","",IF(COUNTIFS('CARNET DE SOUDURE'!$L$7:$L$3006,B985,'CARNET DE SOUDURE'!$M$7:$M$3006,"&lt;&gt;"&amp;C985,'CARNET DE SOUDURE'!$M$7:$M$3006,"&lt;&gt;")+COUNTIFS('CARNET DE SOUDURE'!$O$7:$O$3006,B985,'CARNET DE SOUDURE'!$P$7:$P$3006,"&lt;&gt;"&amp;C985,'CARNET DE SOUDURE'!$P$7:$P$3006,"&lt;&gt;")&gt;0,"⚠ DIFFÉRENTE","OK"))</f>
        <v>OK</v>
      </c>
      <c r="F985" s="147" t="n">
        <v>11.94</v>
      </c>
      <c r="G985" s="80"/>
      <c r="H985" s="83"/>
      <c r="I985" s="148" t="str">
        <f aca="false">IF(B985="","",IFERROR(INDEX('CARNET DE SOUDURE'!$B$7:$B$3006,MATCH(B985,'CARNET DE SOUDURE'!$L$7:$L$3006,0)),IFERROR(INDEX('CARNET DE SOUDURE'!$B$7:$B$3006,MATCH(B985,'CARNET DE SOUDURE'!$O$7:$O$3006,0)),"")))</f>
        <v>MFD-ISW → MFD-CPF</v>
      </c>
      <c r="J985" s="82" t="str">
        <f aca="false">IF(B985="","",IFERROR(INDEX('CARNET DE SOUDURE'!$E$7:$E$3006,MATCH(B985,'CARNET DE SOUDURE'!$O$7:$O$3006,0)),""))</f>
        <v>DJ°041</v>
      </c>
      <c r="K985" s="82" t="str">
        <f aca="false">IF(B985="","",IFERROR(INDEX('CARNET DE SOUDURE'!$E$7:$E$3006,MATCH(B985,'CARNET DE SOUDURE'!$L$7:$L$3006,0)),""))</f>
        <v>JN°1528</v>
      </c>
      <c r="L985" s="82" t="n">
        <f aca="false">IF(B985="","",IFERROR(INDEX('CARNET DE SOUDURE'!$D$7:$D$3006,MATCH(B985,'CARNET DE SOUDURE'!$L$7:$L$3006,0)),IFERROR(INDEX('CARNET DE SOUDURE'!$D$7:$D$3006,MATCH(B985,'CARNET DE SOUDURE'!$O$7:$O$3006,0)),"")))</f>
        <v>18</v>
      </c>
      <c r="M985" s="82" t="str">
        <f aca="false">IF(B985="","",IF(OR(J985&lt;&gt;"",K985&lt;&gt;""),"POSÉ EN LIGNE",IF(COUNTIF(BARDAGE!$C$1:$C$5000,B985)&gt;0,"BARDÉ","EN STOCK")))</f>
        <v>POSÉ EN LIGNE</v>
      </c>
      <c r="N985" s="80"/>
    </row>
    <row r="986" customFormat="false" ht="15" hidden="false" customHeight="false" outlineLevel="0" collapsed="false">
      <c r="A986" s="82" t="n">
        <f aca="false">IF(B986="","",ROW()-6)</f>
        <v>980</v>
      </c>
      <c r="B986" s="145" t="n">
        <v>2085360</v>
      </c>
      <c r="C986" s="146" t="n">
        <v>15421106</v>
      </c>
      <c r="D986" s="146"/>
      <c r="E986" s="82" t="str">
        <f aca="false">IF(B986="","",IF(COUNTIFS('CARNET DE SOUDURE'!$L$7:$L$3006,B986,'CARNET DE SOUDURE'!$M$7:$M$3006,"&lt;&gt;"&amp;C986,'CARNET DE SOUDURE'!$M$7:$M$3006,"&lt;&gt;")+COUNTIFS('CARNET DE SOUDURE'!$O$7:$O$3006,B986,'CARNET DE SOUDURE'!$P$7:$P$3006,"&lt;&gt;"&amp;C986,'CARNET DE SOUDURE'!$P$7:$P$3006,"&lt;&gt;")&gt;0,"⚠ DIFFÉRENTE","OK"))</f>
        <v>OK</v>
      </c>
      <c r="F986" s="147" t="n">
        <v>11.94</v>
      </c>
      <c r="G986" s="80"/>
      <c r="H986" s="83"/>
      <c r="I986" s="148" t="str">
        <f aca="false">IF(B986="","",IFERROR(INDEX('CARNET DE SOUDURE'!$B$7:$B$3006,MATCH(B986,'CARNET DE SOUDURE'!$L$7:$L$3006,0)),IFERROR(INDEX('CARNET DE SOUDURE'!$B$7:$B$3006,MATCH(B986,'CARNET DE SOUDURE'!$O$7:$O$3006,0)),"")))</f>
        <v>MFD-ISW → MFD-CPF</v>
      </c>
      <c r="J986" s="82" t="str">
        <f aca="false">IF(B986="","",IFERROR(INDEX('CARNET DE SOUDURE'!$E$7:$E$3006,MATCH(B986,'CARNET DE SOUDURE'!$O$7:$O$3006,0)),""))</f>
        <v>JN°1528</v>
      </c>
      <c r="K986" s="82" t="str">
        <f aca="false">IF(B986="","",IFERROR(INDEX('CARNET DE SOUDURE'!$E$7:$E$3006,MATCH(B986,'CARNET DE SOUDURE'!$L$7:$L$3006,0)),""))</f>
        <v>DJ°043</v>
      </c>
      <c r="L986" s="82" t="n">
        <f aca="false">IF(B986="","",IFERROR(INDEX('CARNET DE SOUDURE'!$D$7:$D$3006,MATCH(B986,'CARNET DE SOUDURE'!$L$7:$L$3006,0)),IFERROR(INDEX('CARNET DE SOUDURE'!$D$7:$D$3006,MATCH(B986,'CARNET DE SOUDURE'!$O$7:$O$3006,0)),"")))</f>
        <v>18</v>
      </c>
      <c r="M986" s="82" t="str">
        <f aca="false">IF(B986="","",IF(OR(J986&lt;&gt;"",K986&lt;&gt;""),"POSÉ EN LIGNE",IF(COUNTIF(BARDAGE!$C$1:$C$5000,B986)&gt;0,"BARDÉ","EN STOCK")))</f>
        <v>POSÉ EN LIGNE</v>
      </c>
      <c r="N986" s="80"/>
    </row>
    <row r="987" customFormat="false" ht="15" hidden="false" customHeight="false" outlineLevel="0" collapsed="false">
      <c r="A987" s="82" t="n">
        <f aca="false">IF(B987="","",ROW()-6)</f>
        <v>981</v>
      </c>
      <c r="B987" s="145" t="n">
        <v>2089180</v>
      </c>
      <c r="C987" s="146" t="n">
        <v>15421108</v>
      </c>
      <c r="D987" s="146"/>
      <c r="E987" s="82" t="str">
        <f aca="false">IF(B987="","",IF(COUNTIFS('CARNET DE SOUDURE'!$L$7:$L$3006,B987,'CARNET DE SOUDURE'!$M$7:$M$3006,"&lt;&gt;"&amp;C987,'CARNET DE SOUDURE'!$M$7:$M$3006,"&lt;&gt;")+COUNTIFS('CARNET DE SOUDURE'!$O$7:$O$3006,B987,'CARNET DE SOUDURE'!$P$7:$P$3006,"&lt;&gt;"&amp;C987,'CARNET DE SOUDURE'!$P$7:$P$3006,"&lt;&gt;")&gt;0,"⚠ DIFFÉRENTE","OK"))</f>
        <v>OK</v>
      </c>
      <c r="F987" s="147" t="n">
        <v>11.94</v>
      </c>
      <c r="G987" s="80"/>
      <c r="H987" s="83"/>
      <c r="I987" s="148" t="str">
        <f aca="false">IF(B987="","",IFERROR(INDEX('CARNET DE SOUDURE'!$B$7:$B$3006,MATCH(B987,'CARNET DE SOUDURE'!$L$7:$L$3006,0)),IFERROR(INDEX('CARNET DE SOUDURE'!$B$7:$B$3006,MATCH(B987,'CARNET DE SOUDURE'!$O$7:$O$3006,0)),"")))</f>
        <v>MFD-ISW → MFD-CPF</v>
      </c>
      <c r="J987" s="82" t="str">
        <f aca="false">IF(B987="","",IFERROR(INDEX('CARNET DE SOUDURE'!$E$7:$E$3006,MATCH(B987,'CARNET DE SOUDURE'!$O$7:$O$3006,0)),""))</f>
        <v>DJ°043</v>
      </c>
      <c r="K987" s="82" t="str">
        <f aca="false">IF(B987="","",IFERROR(INDEX('CARNET DE SOUDURE'!$E$7:$E$3006,MATCH(B987,'CARNET DE SOUDURE'!$L$7:$L$3006,0)),""))</f>
        <v>JN°1529</v>
      </c>
      <c r="L987" s="82" t="n">
        <f aca="false">IF(B987="","",IFERROR(INDEX('CARNET DE SOUDURE'!$D$7:$D$3006,MATCH(B987,'CARNET DE SOUDURE'!$L$7:$L$3006,0)),IFERROR(INDEX('CARNET DE SOUDURE'!$D$7:$D$3006,MATCH(B987,'CARNET DE SOUDURE'!$O$7:$O$3006,0)),"")))</f>
        <v>18</v>
      </c>
      <c r="M987" s="82" t="str">
        <f aca="false">IF(B987="","",IF(OR(J987&lt;&gt;"",K987&lt;&gt;""),"POSÉ EN LIGNE",IF(COUNTIF(BARDAGE!$C$1:$C$5000,B987)&gt;0,"BARDÉ","EN STOCK")))</f>
        <v>POSÉ EN LIGNE</v>
      </c>
      <c r="N987" s="80"/>
    </row>
    <row r="988" customFormat="false" ht="15" hidden="false" customHeight="false" outlineLevel="0" collapsed="false">
      <c r="A988" s="82" t="n">
        <f aca="false">IF(B988="","",ROW()-6)</f>
        <v>982</v>
      </c>
      <c r="B988" s="145" t="n">
        <v>295470</v>
      </c>
      <c r="C988" s="146" t="n">
        <v>15421111</v>
      </c>
      <c r="D988" s="146"/>
      <c r="E988" s="82" t="str">
        <f aca="false">IF(B988="","",IF(COUNTIFS('CARNET DE SOUDURE'!$L$7:$L$3006,B988,'CARNET DE SOUDURE'!$M$7:$M$3006,"&lt;&gt;"&amp;C988,'CARNET DE SOUDURE'!$M$7:$M$3006,"&lt;&gt;")+COUNTIFS('CARNET DE SOUDURE'!$O$7:$O$3006,B988,'CARNET DE SOUDURE'!$P$7:$P$3006,"&lt;&gt;"&amp;C988,'CARNET DE SOUDURE'!$P$7:$P$3006,"&lt;&gt;")&gt;0,"⚠ DIFFÉRENTE","OK"))</f>
        <v>OK</v>
      </c>
      <c r="F988" s="147" t="n">
        <v>11.94</v>
      </c>
      <c r="G988" s="80"/>
      <c r="H988" s="83"/>
      <c r="I988" s="148" t="str">
        <f aca="false">IF(B988="","",IFERROR(INDEX('CARNET DE SOUDURE'!$B$7:$B$3006,MATCH(B988,'CARNET DE SOUDURE'!$L$7:$L$3006,0)),IFERROR(INDEX('CARNET DE SOUDURE'!$B$7:$B$3006,MATCH(B988,'CARNET DE SOUDURE'!$O$7:$O$3006,0)),"")))</f>
        <v>MFD-ISW → MFD-CPF</v>
      </c>
      <c r="J988" s="82" t="str">
        <f aca="false">IF(B988="","",IFERROR(INDEX('CARNET DE SOUDURE'!$E$7:$E$3006,MATCH(B988,'CARNET DE SOUDURE'!$O$7:$O$3006,0)),""))</f>
        <v>JN°1529</v>
      </c>
      <c r="K988" s="82" t="str">
        <f aca="false">IF(B988="","",IFERROR(INDEX('CARNET DE SOUDURE'!$E$7:$E$3006,MATCH(B988,'CARNET DE SOUDURE'!$L$7:$L$3006,0)),""))</f>
        <v>DJ°030</v>
      </c>
      <c r="L988" s="82" t="n">
        <f aca="false">IF(B988="","",IFERROR(INDEX('CARNET DE SOUDURE'!$D$7:$D$3006,MATCH(B988,'CARNET DE SOUDURE'!$L$7:$L$3006,0)),IFERROR(INDEX('CARNET DE SOUDURE'!$D$7:$D$3006,MATCH(B988,'CARNET DE SOUDURE'!$O$7:$O$3006,0)),"")))</f>
        <v>18</v>
      </c>
      <c r="M988" s="82" t="str">
        <f aca="false">IF(B988="","",IF(OR(J988&lt;&gt;"",K988&lt;&gt;""),"POSÉ EN LIGNE",IF(COUNTIF(BARDAGE!$C$1:$C$5000,B988)&gt;0,"BARDÉ","EN STOCK")))</f>
        <v>POSÉ EN LIGNE</v>
      </c>
      <c r="N988" s="80"/>
    </row>
    <row r="989" customFormat="false" ht="15" hidden="false" customHeight="false" outlineLevel="0" collapsed="false">
      <c r="A989" s="82" t="n">
        <f aca="false">IF(B989="","",ROW()-6)</f>
        <v>983</v>
      </c>
      <c r="B989" s="145" t="n">
        <v>2093990</v>
      </c>
      <c r="C989" s="146" t="n">
        <v>15421110</v>
      </c>
      <c r="D989" s="146"/>
      <c r="E989" s="82" t="str">
        <f aca="false">IF(B989="","",IF(COUNTIFS('CARNET DE SOUDURE'!$L$7:$L$3006,B989,'CARNET DE SOUDURE'!$M$7:$M$3006,"&lt;&gt;"&amp;C989,'CARNET DE SOUDURE'!$M$7:$M$3006,"&lt;&gt;")+COUNTIFS('CARNET DE SOUDURE'!$O$7:$O$3006,B989,'CARNET DE SOUDURE'!$P$7:$P$3006,"&lt;&gt;"&amp;C989,'CARNET DE SOUDURE'!$P$7:$P$3006,"&lt;&gt;")&gt;0,"⚠ DIFFÉRENTE","OK"))</f>
        <v>OK</v>
      </c>
      <c r="F989" s="147" t="n">
        <v>11.94</v>
      </c>
      <c r="G989" s="80"/>
      <c r="H989" s="83"/>
      <c r="I989" s="148" t="str">
        <f aca="false">IF(B989="","",IFERROR(INDEX('CARNET DE SOUDURE'!$B$7:$B$3006,MATCH(B989,'CARNET DE SOUDURE'!$L$7:$L$3006,0)),IFERROR(INDEX('CARNET DE SOUDURE'!$B$7:$B$3006,MATCH(B989,'CARNET DE SOUDURE'!$O$7:$O$3006,0)),"")))</f>
        <v>MFD-ISW → MFD-CPF</v>
      </c>
      <c r="J989" s="82" t="str">
        <f aca="false">IF(B989="","",IFERROR(INDEX('CARNET DE SOUDURE'!$E$7:$E$3006,MATCH(B989,'CARNET DE SOUDURE'!$O$7:$O$3006,0)),""))</f>
        <v>DJ°030</v>
      </c>
      <c r="K989" s="82" t="str">
        <f aca="false">IF(B989="","",IFERROR(INDEX('CARNET DE SOUDURE'!$E$7:$E$3006,MATCH(B989,'CARNET DE SOUDURE'!$L$7:$L$3006,0)),""))</f>
        <v>JN°1530</v>
      </c>
      <c r="L989" s="82" t="n">
        <f aca="false">IF(B989="","",IFERROR(INDEX('CARNET DE SOUDURE'!$D$7:$D$3006,MATCH(B989,'CARNET DE SOUDURE'!$L$7:$L$3006,0)),IFERROR(INDEX('CARNET DE SOUDURE'!$D$7:$D$3006,MATCH(B989,'CARNET DE SOUDURE'!$O$7:$O$3006,0)),"")))</f>
        <v>18</v>
      </c>
      <c r="M989" s="82" t="str">
        <f aca="false">IF(B989="","",IF(OR(J989&lt;&gt;"",K989&lt;&gt;""),"POSÉ EN LIGNE",IF(COUNTIF(BARDAGE!$C$1:$C$5000,B989)&gt;0,"BARDÉ","EN STOCK")))</f>
        <v>POSÉ EN LIGNE</v>
      </c>
      <c r="N989" s="80"/>
    </row>
    <row r="990" customFormat="false" ht="15" hidden="false" customHeight="false" outlineLevel="0" collapsed="false">
      <c r="A990" s="82" t="n">
        <f aca="false">IF(B990="","",ROW()-6)</f>
        <v>984</v>
      </c>
      <c r="B990" s="145" t="n">
        <v>2081870</v>
      </c>
      <c r="C990" s="146" t="n">
        <v>15421104</v>
      </c>
      <c r="D990" s="146"/>
      <c r="E990" s="82" t="str">
        <f aca="false">IF(B990="","",IF(COUNTIFS('CARNET DE SOUDURE'!$L$7:$L$3006,B990,'CARNET DE SOUDURE'!$M$7:$M$3006,"&lt;&gt;"&amp;C990,'CARNET DE SOUDURE'!$M$7:$M$3006,"&lt;&gt;")+COUNTIFS('CARNET DE SOUDURE'!$O$7:$O$3006,B990,'CARNET DE SOUDURE'!$P$7:$P$3006,"&lt;&gt;"&amp;C990,'CARNET DE SOUDURE'!$P$7:$P$3006,"&lt;&gt;")&gt;0,"⚠ DIFFÉRENTE","OK"))</f>
        <v>OK</v>
      </c>
      <c r="F990" s="147" t="n">
        <v>11.94</v>
      </c>
      <c r="G990" s="80"/>
      <c r="H990" s="83"/>
      <c r="I990" s="148" t="str">
        <f aca="false">IF(B990="","",IFERROR(INDEX('CARNET DE SOUDURE'!$B$7:$B$3006,MATCH(B990,'CARNET DE SOUDURE'!$L$7:$L$3006,0)),IFERROR(INDEX('CARNET DE SOUDURE'!$B$7:$B$3006,MATCH(B990,'CARNET DE SOUDURE'!$O$7:$O$3006,0)),"")))</f>
        <v>MFD-ISW → MFD-CPF</v>
      </c>
      <c r="J990" s="82" t="str">
        <f aca="false">IF(B990="","",IFERROR(INDEX('CARNET DE SOUDURE'!$E$7:$E$3006,MATCH(B990,'CARNET DE SOUDURE'!$O$7:$O$3006,0)),""))</f>
        <v>JN°1530</v>
      </c>
      <c r="K990" s="82" t="str">
        <f aca="false">IF(B990="","",IFERROR(INDEX('CARNET DE SOUDURE'!$E$7:$E$3006,MATCH(B990,'CARNET DE SOUDURE'!$L$7:$L$3006,0)),""))</f>
        <v>DJ°042</v>
      </c>
      <c r="L990" s="82" t="n">
        <f aca="false">IF(B990="","",IFERROR(INDEX('CARNET DE SOUDURE'!$D$7:$D$3006,MATCH(B990,'CARNET DE SOUDURE'!$L$7:$L$3006,0)),IFERROR(INDEX('CARNET DE SOUDURE'!$D$7:$D$3006,MATCH(B990,'CARNET DE SOUDURE'!$O$7:$O$3006,0)),"")))</f>
        <v>18</v>
      </c>
      <c r="M990" s="82" t="str">
        <f aca="false">IF(B990="","",IF(OR(J990&lt;&gt;"",K990&lt;&gt;""),"POSÉ EN LIGNE",IF(COUNTIF(BARDAGE!$C$1:$C$5000,B990)&gt;0,"BARDÉ","EN STOCK")))</f>
        <v>POSÉ EN LIGNE</v>
      </c>
      <c r="N990" s="80"/>
    </row>
    <row r="991" customFormat="false" ht="15" hidden="false" customHeight="false" outlineLevel="0" collapsed="false">
      <c r="A991" s="82" t="n">
        <f aca="false">IF(B991="","",ROW()-6)</f>
        <v>985</v>
      </c>
      <c r="B991" s="145" t="n">
        <v>2089490</v>
      </c>
      <c r="C991" s="146" t="n">
        <v>15421109</v>
      </c>
      <c r="D991" s="146"/>
      <c r="E991" s="82" t="str">
        <f aca="false">IF(B991="","",IF(COUNTIFS('CARNET DE SOUDURE'!$L$7:$L$3006,B991,'CARNET DE SOUDURE'!$M$7:$M$3006,"&lt;&gt;"&amp;C991,'CARNET DE SOUDURE'!$M$7:$M$3006,"&lt;&gt;")+COUNTIFS('CARNET DE SOUDURE'!$O$7:$O$3006,B991,'CARNET DE SOUDURE'!$P$7:$P$3006,"&lt;&gt;"&amp;C991,'CARNET DE SOUDURE'!$P$7:$P$3006,"&lt;&gt;")&gt;0,"⚠ DIFFÉRENTE","OK"))</f>
        <v>OK</v>
      </c>
      <c r="F991" s="147" t="n">
        <v>11.94</v>
      </c>
      <c r="G991" s="80"/>
      <c r="H991" s="83"/>
      <c r="I991" s="148" t="str">
        <f aca="false">IF(B991="","",IFERROR(INDEX('CARNET DE SOUDURE'!$B$7:$B$3006,MATCH(B991,'CARNET DE SOUDURE'!$L$7:$L$3006,0)),IFERROR(INDEX('CARNET DE SOUDURE'!$B$7:$B$3006,MATCH(B991,'CARNET DE SOUDURE'!$O$7:$O$3006,0)),"")))</f>
        <v>MFD-ISW → MFD-CPF</v>
      </c>
      <c r="J991" s="82" t="str">
        <f aca="false">IF(B991="","",IFERROR(INDEX('CARNET DE SOUDURE'!$E$7:$E$3006,MATCH(B991,'CARNET DE SOUDURE'!$O$7:$O$3006,0)),""))</f>
        <v>DJ°042</v>
      </c>
      <c r="K991" s="82" t="str">
        <f aca="false">IF(B991="","",IFERROR(INDEX('CARNET DE SOUDURE'!$E$7:$E$3006,MATCH(B991,'CARNET DE SOUDURE'!$L$7:$L$3006,0)),""))</f>
        <v>JN°1531</v>
      </c>
      <c r="L991" s="82" t="n">
        <f aca="false">IF(B991="","",IFERROR(INDEX('CARNET DE SOUDURE'!$D$7:$D$3006,MATCH(B991,'CARNET DE SOUDURE'!$L$7:$L$3006,0)),IFERROR(INDEX('CARNET DE SOUDURE'!$D$7:$D$3006,MATCH(B991,'CARNET DE SOUDURE'!$O$7:$O$3006,0)),"")))</f>
        <v>18</v>
      </c>
      <c r="M991" s="82" t="str">
        <f aca="false">IF(B991="","",IF(OR(J991&lt;&gt;"",K991&lt;&gt;""),"POSÉ EN LIGNE",IF(COUNTIF(BARDAGE!$C$1:$C$5000,B991)&gt;0,"BARDÉ","EN STOCK")))</f>
        <v>POSÉ EN LIGNE</v>
      </c>
      <c r="N991" s="80"/>
    </row>
    <row r="992" customFormat="false" ht="15" hidden="false" customHeight="false" outlineLevel="0" collapsed="false">
      <c r="A992" s="82" t="n">
        <f aca="false">IF(B992="","",ROW()-6)</f>
        <v>986</v>
      </c>
      <c r="B992" s="145" t="n">
        <v>2092740</v>
      </c>
      <c r="C992" s="146" t="n">
        <v>15421110</v>
      </c>
      <c r="D992" s="146"/>
      <c r="E992" s="82" t="str">
        <f aca="false">IF(B992="","",IF(COUNTIFS('CARNET DE SOUDURE'!$L$7:$L$3006,B992,'CARNET DE SOUDURE'!$M$7:$M$3006,"&lt;&gt;"&amp;C992,'CARNET DE SOUDURE'!$M$7:$M$3006,"&lt;&gt;")+COUNTIFS('CARNET DE SOUDURE'!$O$7:$O$3006,B992,'CARNET DE SOUDURE'!$P$7:$P$3006,"&lt;&gt;"&amp;C992,'CARNET DE SOUDURE'!$P$7:$P$3006,"&lt;&gt;")&gt;0,"⚠ DIFFÉRENTE","OK"))</f>
        <v>OK</v>
      </c>
      <c r="F992" s="147" t="n">
        <v>11.94</v>
      </c>
      <c r="G992" s="80"/>
      <c r="H992" s="83"/>
      <c r="I992" s="148" t="str">
        <f aca="false">IF(B992="","",IFERROR(INDEX('CARNET DE SOUDURE'!$B$7:$B$3006,MATCH(B992,'CARNET DE SOUDURE'!$L$7:$L$3006,0)),IFERROR(INDEX('CARNET DE SOUDURE'!$B$7:$B$3006,MATCH(B992,'CARNET DE SOUDURE'!$O$7:$O$3006,0)),"")))</f>
        <v>MFD-ISW → MFD-CPF</v>
      </c>
      <c r="J992" s="82" t="str">
        <f aca="false">IF(B992="","",IFERROR(INDEX('CARNET DE SOUDURE'!$E$7:$E$3006,MATCH(B992,'CARNET DE SOUDURE'!$O$7:$O$3006,0)),""))</f>
        <v>JN°1531</v>
      </c>
      <c r="K992" s="82" t="str">
        <f aca="false">IF(B992="","",IFERROR(INDEX('CARNET DE SOUDURE'!$E$7:$E$3006,MATCH(B992,'CARNET DE SOUDURE'!$L$7:$L$3006,0)),""))</f>
        <v>DJ°055</v>
      </c>
      <c r="L992" s="82" t="n">
        <f aca="false">IF(B992="","",IFERROR(INDEX('CARNET DE SOUDURE'!$D$7:$D$3006,MATCH(B992,'CARNET DE SOUDURE'!$L$7:$L$3006,0)),IFERROR(INDEX('CARNET DE SOUDURE'!$D$7:$D$3006,MATCH(B992,'CARNET DE SOUDURE'!$O$7:$O$3006,0)),"")))</f>
        <v>18</v>
      </c>
      <c r="M992" s="82" t="str">
        <f aca="false">IF(B992="","",IF(OR(J992&lt;&gt;"",K992&lt;&gt;""),"POSÉ EN LIGNE",IF(COUNTIF(BARDAGE!$C$1:$C$5000,B992)&gt;0,"BARDÉ","EN STOCK")))</f>
        <v>POSÉ EN LIGNE</v>
      </c>
      <c r="N992" s="80"/>
    </row>
    <row r="993" customFormat="false" ht="15" hidden="false" customHeight="false" outlineLevel="0" collapsed="false">
      <c r="A993" s="82" t="n">
        <f aca="false">IF(B993="","",ROW()-6)</f>
        <v>987</v>
      </c>
      <c r="B993" s="145" t="n">
        <v>2081390</v>
      </c>
      <c r="C993" s="146" t="n">
        <v>15421103</v>
      </c>
      <c r="D993" s="146"/>
      <c r="E993" s="82" t="str">
        <f aca="false">IF(B993="","",IF(COUNTIFS('CARNET DE SOUDURE'!$L$7:$L$3006,B993,'CARNET DE SOUDURE'!$M$7:$M$3006,"&lt;&gt;"&amp;C993,'CARNET DE SOUDURE'!$M$7:$M$3006,"&lt;&gt;")+COUNTIFS('CARNET DE SOUDURE'!$O$7:$O$3006,B993,'CARNET DE SOUDURE'!$P$7:$P$3006,"&lt;&gt;"&amp;C993,'CARNET DE SOUDURE'!$P$7:$P$3006,"&lt;&gt;")&gt;0,"⚠ DIFFÉRENTE","OK"))</f>
        <v>OK</v>
      </c>
      <c r="F993" s="147" t="n">
        <v>11.94</v>
      </c>
      <c r="G993" s="80"/>
      <c r="H993" s="83"/>
      <c r="I993" s="148" t="str">
        <f aca="false">IF(B993="","",IFERROR(INDEX('CARNET DE SOUDURE'!$B$7:$B$3006,MATCH(B993,'CARNET DE SOUDURE'!$L$7:$L$3006,0)),IFERROR(INDEX('CARNET DE SOUDURE'!$B$7:$B$3006,MATCH(B993,'CARNET DE SOUDURE'!$O$7:$O$3006,0)),"")))</f>
        <v>MFD-ISW → MFD-CPF</v>
      </c>
      <c r="J993" s="82" t="str">
        <f aca="false">IF(B993="","",IFERROR(INDEX('CARNET DE SOUDURE'!$E$7:$E$3006,MATCH(B993,'CARNET DE SOUDURE'!$O$7:$O$3006,0)),""))</f>
        <v>DJ°055</v>
      </c>
      <c r="K993" s="82" t="str">
        <f aca="false">IF(B993="","",IFERROR(INDEX('CARNET DE SOUDURE'!$E$7:$E$3006,MATCH(B993,'CARNET DE SOUDURE'!$L$7:$L$3006,0)),""))</f>
        <v>JN°1532R</v>
      </c>
      <c r="L993" s="82" t="n">
        <f aca="false">IF(B993="","",IFERROR(INDEX('CARNET DE SOUDURE'!$D$7:$D$3006,MATCH(B993,'CARNET DE SOUDURE'!$L$7:$L$3006,0)),IFERROR(INDEX('CARNET DE SOUDURE'!$D$7:$D$3006,MATCH(B993,'CARNET DE SOUDURE'!$O$7:$O$3006,0)),"")))</f>
        <v>18</v>
      </c>
      <c r="M993" s="82" t="str">
        <f aca="false">IF(B993="","",IF(OR(J993&lt;&gt;"",K993&lt;&gt;""),"POSÉ EN LIGNE",IF(COUNTIF(BARDAGE!$C$1:$C$5000,B993)&gt;0,"BARDÉ","EN STOCK")))</f>
        <v>POSÉ EN LIGNE</v>
      </c>
      <c r="N993" s="80"/>
    </row>
    <row r="994" customFormat="false" ht="15" hidden="false" customHeight="false" outlineLevel="0" collapsed="false">
      <c r="A994" s="82" t="n">
        <f aca="false">IF(B994="","",ROW()-6)</f>
        <v>988</v>
      </c>
      <c r="B994" s="145" t="n">
        <v>2089940</v>
      </c>
      <c r="C994" s="146" t="n">
        <v>15421109</v>
      </c>
      <c r="D994" s="146"/>
      <c r="E994" s="82" t="str">
        <f aca="false">IF(B994="","",IF(COUNTIFS('CARNET DE SOUDURE'!$L$7:$L$3006,B994,'CARNET DE SOUDURE'!$M$7:$M$3006,"&lt;&gt;"&amp;C994,'CARNET DE SOUDURE'!$M$7:$M$3006,"&lt;&gt;")+COUNTIFS('CARNET DE SOUDURE'!$O$7:$O$3006,B994,'CARNET DE SOUDURE'!$P$7:$P$3006,"&lt;&gt;"&amp;C994,'CARNET DE SOUDURE'!$P$7:$P$3006,"&lt;&gt;")&gt;0,"⚠ DIFFÉRENTE","OK"))</f>
        <v>OK</v>
      </c>
      <c r="F994" s="147" t="n">
        <v>11.94</v>
      </c>
      <c r="G994" s="80"/>
      <c r="H994" s="83"/>
      <c r="I994" s="148" t="str">
        <f aca="false">IF(B994="","",IFERROR(INDEX('CARNET DE SOUDURE'!$B$7:$B$3006,MATCH(B994,'CARNET DE SOUDURE'!$L$7:$L$3006,0)),IFERROR(INDEX('CARNET DE SOUDURE'!$B$7:$B$3006,MATCH(B994,'CARNET DE SOUDURE'!$O$7:$O$3006,0)),"")))</f>
        <v>MFD-ISW → MFD-CPF</v>
      </c>
      <c r="J994" s="82" t="str">
        <f aca="false">IF(B994="","",IFERROR(INDEX('CARNET DE SOUDURE'!$E$7:$E$3006,MATCH(B994,'CARNET DE SOUDURE'!$O$7:$O$3006,0)),""))</f>
        <v>JN°1532R</v>
      </c>
      <c r="K994" s="82" t="str">
        <f aca="false">IF(B994="","",IFERROR(INDEX('CARNET DE SOUDURE'!$E$7:$E$3006,MATCH(B994,'CARNET DE SOUDURE'!$L$7:$L$3006,0)),""))</f>
        <v>DJ°064</v>
      </c>
      <c r="L994" s="82" t="n">
        <f aca="false">IF(B994="","",IFERROR(INDEX('CARNET DE SOUDURE'!$D$7:$D$3006,MATCH(B994,'CARNET DE SOUDURE'!$L$7:$L$3006,0)),IFERROR(INDEX('CARNET DE SOUDURE'!$D$7:$D$3006,MATCH(B994,'CARNET DE SOUDURE'!$O$7:$O$3006,0)),"")))</f>
        <v>18</v>
      </c>
      <c r="M994" s="82" t="str">
        <f aca="false">IF(B994="","",IF(OR(J994&lt;&gt;"",K994&lt;&gt;""),"POSÉ EN LIGNE",IF(COUNTIF(BARDAGE!$C$1:$C$5000,B994)&gt;0,"BARDÉ","EN STOCK")))</f>
        <v>POSÉ EN LIGNE</v>
      </c>
      <c r="N994" s="80"/>
    </row>
    <row r="995" customFormat="false" ht="15" hidden="false" customHeight="false" outlineLevel="0" collapsed="false">
      <c r="A995" s="82" t="n">
        <f aca="false">IF(B995="","",ROW()-6)</f>
        <v>989</v>
      </c>
      <c r="B995" s="145" t="n">
        <v>2097190</v>
      </c>
      <c r="C995" s="146" t="n">
        <v>15421112</v>
      </c>
      <c r="D995" s="146"/>
      <c r="E995" s="82" t="str">
        <f aca="false">IF(B995="","",IF(COUNTIFS('CARNET DE SOUDURE'!$L$7:$L$3006,B995,'CARNET DE SOUDURE'!$M$7:$M$3006,"&lt;&gt;"&amp;C995,'CARNET DE SOUDURE'!$M$7:$M$3006,"&lt;&gt;")+COUNTIFS('CARNET DE SOUDURE'!$O$7:$O$3006,B995,'CARNET DE SOUDURE'!$P$7:$P$3006,"&lt;&gt;"&amp;C995,'CARNET DE SOUDURE'!$P$7:$P$3006,"&lt;&gt;")&gt;0,"⚠ DIFFÉRENTE","OK"))</f>
        <v>OK</v>
      </c>
      <c r="F995" s="147" t="n">
        <v>11.94</v>
      </c>
      <c r="G995" s="80"/>
      <c r="H995" s="83"/>
      <c r="I995" s="148" t="str">
        <f aca="false">IF(B995="","",IFERROR(INDEX('CARNET DE SOUDURE'!$B$7:$B$3006,MATCH(B995,'CARNET DE SOUDURE'!$L$7:$L$3006,0)),IFERROR(INDEX('CARNET DE SOUDURE'!$B$7:$B$3006,MATCH(B995,'CARNET DE SOUDURE'!$O$7:$O$3006,0)),"")))</f>
        <v>MFD-ISW → MFD-CPF</v>
      </c>
      <c r="J995" s="82" t="str">
        <f aca="false">IF(B995="","",IFERROR(INDEX('CARNET DE SOUDURE'!$E$7:$E$3006,MATCH(B995,'CARNET DE SOUDURE'!$O$7:$O$3006,0)),""))</f>
        <v>DJ°064</v>
      </c>
      <c r="K995" s="82" t="str">
        <f aca="false">IF(B995="","",IFERROR(INDEX('CARNET DE SOUDURE'!$E$7:$E$3006,MATCH(B995,'CARNET DE SOUDURE'!$L$7:$L$3006,0)),""))</f>
        <v>JN°1533</v>
      </c>
      <c r="L995" s="82" t="n">
        <f aca="false">IF(B995="","",IFERROR(INDEX('CARNET DE SOUDURE'!$D$7:$D$3006,MATCH(B995,'CARNET DE SOUDURE'!$L$7:$L$3006,0)),IFERROR(INDEX('CARNET DE SOUDURE'!$D$7:$D$3006,MATCH(B995,'CARNET DE SOUDURE'!$O$7:$O$3006,0)),"")))</f>
        <v>18</v>
      </c>
      <c r="M995" s="82" t="str">
        <f aca="false">IF(B995="","",IF(OR(J995&lt;&gt;"",K995&lt;&gt;""),"POSÉ EN LIGNE",IF(COUNTIF(BARDAGE!$C$1:$C$5000,B995)&gt;0,"BARDÉ","EN STOCK")))</f>
        <v>POSÉ EN LIGNE</v>
      </c>
      <c r="N995" s="80"/>
    </row>
    <row r="996" customFormat="false" ht="15" hidden="false" customHeight="false" outlineLevel="0" collapsed="false">
      <c r="A996" s="82" t="n">
        <f aca="false">IF(B996="","",ROW()-6)</f>
        <v>990</v>
      </c>
      <c r="B996" s="145" t="n">
        <v>2092000</v>
      </c>
      <c r="C996" s="146" t="n">
        <v>15421109</v>
      </c>
      <c r="D996" s="146"/>
      <c r="E996" s="82" t="str">
        <f aca="false">IF(B996="","",IF(COUNTIFS('CARNET DE SOUDURE'!$L$7:$L$3006,B996,'CARNET DE SOUDURE'!$M$7:$M$3006,"&lt;&gt;"&amp;C996,'CARNET DE SOUDURE'!$M$7:$M$3006,"&lt;&gt;")+COUNTIFS('CARNET DE SOUDURE'!$O$7:$O$3006,B996,'CARNET DE SOUDURE'!$P$7:$P$3006,"&lt;&gt;"&amp;C996,'CARNET DE SOUDURE'!$P$7:$P$3006,"&lt;&gt;")&gt;0,"⚠ DIFFÉRENTE","OK"))</f>
        <v>OK</v>
      </c>
      <c r="F996" s="147" t="n">
        <v>11.94</v>
      </c>
      <c r="G996" s="80"/>
      <c r="H996" s="83"/>
      <c r="I996" s="148" t="str">
        <f aca="false">IF(B996="","",IFERROR(INDEX('CARNET DE SOUDURE'!$B$7:$B$3006,MATCH(B996,'CARNET DE SOUDURE'!$L$7:$L$3006,0)),IFERROR(INDEX('CARNET DE SOUDURE'!$B$7:$B$3006,MATCH(B996,'CARNET DE SOUDURE'!$O$7:$O$3006,0)),"")))</f>
        <v>MFD-ISW → MFD-CPF</v>
      </c>
      <c r="J996" s="82" t="str">
        <f aca="false">IF(B996="","",IFERROR(INDEX('CARNET DE SOUDURE'!$E$7:$E$3006,MATCH(B996,'CARNET DE SOUDURE'!$O$7:$O$3006,0)),""))</f>
        <v>JN°1533</v>
      </c>
      <c r="K996" s="82" t="str">
        <f aca="false">IF(B996="","",IFERROR(INDEX('CARNET DE SOUDURE'!$E$7:$E$3006,MATCH(B996,'CARNET DE SOUDURE'!$L$7:$L$3006,0)),""))</f>
        <v>DJ°065</v>
      </c>
      <c r="L996" s="82" t="n">
        <f aca="false">IF(B996="","",IFERROR(INDEX('CARNET DE SOUDURE'!$D$7:$D$3006,MATCH(B996,'CARNET DE SOUDURE'!$L$7:$L$3006,0)),IFERROR(INDEX('CARNET DE SOUDURE'!$D$7:$D$3006,MATCH(B996,'CARNET DE SOUDURE'!$O$7:$O$3006,0)),"")))</f>
        <v>18</v>
      </c>
      <c r="M996" s="82" t="str">
        <f aca="false">IF(B996="","",IF(OR(J996&lt;&gt;"",K996&lt;&gt;""),"POSÉ EN LIGNE",IF(COUNTIF(BARDAGE!$C$1:$C$5000,B996)&gt;0,"BARDÉ","EN STOCK")))</f>
        <v>POSÉ EN LIGNE</v>
      </c>
      <c r="N996" s="80"/>
    </row>
    <row r="997" customFormat="false" ht="15" hidden="false" customHeight="false" outlineLevel="0" collapsed="false">
      <c r="A997" s="82" t="n">
        <f aca="false">IF(B997="","",ROW()-6)</f>
        <v>991</v>
      </c>
      <c r="B997" s="145" t="n">
        <v>2088490</v>
      </c>
      <c r="C997" s="146" t="n">
        <v>15421108</v>
      </c>
      <c r="D997" s="146"/>
      <c r="E997" s="82" t="str">
        <f aca="false">IF(B997="","",IF(COUNTIFS('CARNET DE SOUDURE'!$L$7:$L$3006,B997,'CARNET DE SOUDURE'!$M$7:$M$3006,"&lt;&gt;"&amp;C997,'CARNET DE SOUDURE'!$M$7:$M$3006,"&lt;&gt;")+COUNTIFS('CARNET DE SOUDURE'!$O$7:$O$3006,B997,'CARNET DE SOUDURE'!$P$7:$P$3006,"&lt;&gt;"&amp;C997,'CARNET DE SOUDURE'!$P$7:$P$3006,"&lt;&gt;")&gt;0,"⚠ DIFFÉRENTE","OK"))</f>
        <v>OK</v>
      </c>
      <c r="F997" s="147" t="n">
        <v>11.94</v>
      </c>
      <c r="G997" s="80"/>
      <c r="H997" s="83"/>
      <c r="I997" s="148" t="str">
        <f aca="false">IF(B997="","",IFERROR(INDEX('CARNET DE SOUDURE'!$B$7:$B$3006,MATCH(B997,'CARNET DE SOUDURE'!$L$7:$L$3006,0)),IFERROR(INDEX('CARNET DE SOUDURE'!$B$7:$B$3006,MATCH(B997,'CARNET DE SOUDURE'!$O$7:$O$3006,0)),"")))</f>
        <v>MFD-ISW → MFD-CPF</v>
      </c>
      <c r="J997" s="82" t="str">
        <f aca="false">IF(B997="","",IFERROR(INDEX('CARNET DE SOUDURE'!$E$7:$E$3006,MATCH(B997,'CARNET DE SOUDURE'!$O$7:$O$3006,0)),""))</f>
        <v>DJ°065</v>
      </c>
      <c r="K997" s="82" t="str">
        <f aca="false">IF(B997="","",IFERROR(INDEX('CARNET DE SOUDURE'!$E$7:$E$3006,MATCH(B997,'CARNET DE SOUDURE'!$L$7:$L$3006,0)),""))</f>
        <v>JN°1534</v>
      </c>
      <c r="L997" s="82" t="n">
        <f aca="false">IF(B997="","",IFERROR(INDEX('CARNET DE SOUDURE'!$D$7:$D$3006,MATCH(B997,'CARNET DE SOUDURE'!$L$7:$L$3006,0)),IFERROR(INDEX('CARNET DE SOUDURE'!$D$7:$D$3006,MATCH(B997,'CARNET DE SOUDURE'!$O$7:$O$3006,0)),"")))</f>
        <v>18</v>
      </c>
      <c r="M997" s="82" t="str">
        <f aca="false">IF(B997="","",IF(OR(J997&lt;&gt;"",K997&lt;&gt;""),"POSÉ EN LIGNE",IF(COUNTIF(BARDAGE!$C$1:$C$5000,B997)&gt;0,"BARDÉ","EN STOCK")))</f>
        <v>POSÉ EN LIGNE</v>
      </c>
      <c r="N997" s="80"/>
    </row>
    <row r="998" customFormat="false" ht="15" hidden="false" customHeight="false" outlineLevel="0" collapsed="false">
      <c r="A998" s="82" t="n">
        <f aca="false">IF(B998="","",ROW()-6)</f>
        <v>992</v>
      </c>
      <c r="B998" s="145" t="n">
        <v>2089210</v>
      </c>
      <c r="C998" s="146" t="n">
        <v>15421108</v>
      </c>
      <c r="D998" s="146"/>
      <c r="E998" s="82" t="str">
        <f aca="false">IF(B998="","",IF(COUNTIFS('CARNET DE SOUDURE'!$L$7:$L$3006,B998,'CARNET DE SOUDURE'!$M$7:$M$3006,"&lt;&gt;"&amp;C998,'CARNET DE SOUDURE'!$M$7:$M$3006,"&lt;&gt;")+COUNTIFS('CARNET DE SOUDURE'!$O$7:$O$3006,B998,'CARNET DE SOUDURE'!$P$7:$P$3006,"&lt;&gt;"&amp;C998,'CARNET DE SOUDURE'!$P$7:$P$3006,"&lt;&gt;")&gt;0,"⚠ DIFFÉRENTE","OK"))</f>
        <v>OK</v>
      </c>
      <c r="F998" s="147" t="n">
        <v>11.94</v>
      </c>
      <c r="G998" s="80"/>
      <c r="H998" s="83"/>
      <c r="I998" s="148" t="str">
        <f aca="false">IF(B998="","",IFERROR(INDEX('CARNET DE SOUDURE'!$B$7:$B$3006,MATCH(B998,'CARNET DE SOUDURE'!$L$7:$L$3006,0)),IFERROR(INDEX('CARNET DE SOUDURE'!$B$7:$B$3006,MATCH(B998,'CARNET DE SOUDURE'!$O$7:$O$3006,0)),"")))</f>
        <v>MFD-ISW → MFD-CPF</v>
      </c>
      <c r="J998" s="82" t="str">
        <f aca="false">IF(B998="","",IFERROR(INDEX('CARNET DE SOUDURE'!$E$7:$E$3006,MATCH(B998,'CARNET DE SOUDURE'!$O$7:$O$3006,0)),""))</f>
        <v>JN°1534</v>
      </c>
      <c r="K998" s="82" t="str">
        <f aca="false">IF(B998="","",IFERROR(INDEX('CARNET DE SOUDURE'!$E$7:$E$3006,MATCH(B998,'CARNET DE SOUDURE'!$L$7:$L$3006,0)),""))</f>
        <v>DJ°074</v>
      </c>
      <c r="L998" s="82" t="n">
        <f aca="false">IF(B998="","",IFERROR(INDEX('CARNET DE SOUDURE'!$D$7:$D$3006,MATCH(B998,'CARNET DE SOUDURE'!$L$7:$L$3006,0)),IFERROR(INDEX('CARNET DE SOUDURE'!$D$7:$D$3006,MATCH(B998,'CARNET DE SOUDURE'!$O$7:$O$3006,0)),"")))</f>
        <v>18</v>
      </c>
      <c r="M998" s="82" t="str">
        <f aca="false">IF(B998="","",IF(OR(J998&lt;&gt;"",K998&lt;&gt;""),"POSÉ EN LIGNE",IF(COUNTIF(BARDAGE!$C$1:$C$5000,B998)&gt;0,"BARDÉ","EN STOCK")))</f>
        <v>POSÉ EN LIGNE</v>
      </c>
      <c r="N998" s="80"/>
    </row>
    <row r="999" customFormat="false" ht="15" hidden="false" customHeight="false" outlineLevel="0" collapsed="false">
      <c r="A999" s="82" t="n">
        <f aca="false">IF(B999="","",ROW()-6)</f>
        <v>993</v>
      </c>
      <c r="B999" s="145" t="n">
        <v>2096860</v>
      </c>
      <c r="C999" s="146" t="n">
        <v>15421110</v>
      </c>
      <c r="D999" s="146"/>
      <c r="E999" s="82" t="str">
        <f aca="false">IF(B999="","",IF(COUNTIFS('CARNET DE SOUDURE'!$L$7:$L$3006,B999,'CARNET DE SOUDURE'!$M$7:$M$3006,"&lt;&gt;"&amp;C999,'CARNET DE SOUDURE'!$M$7:$M$3006,"&lt;&gt;")+COUNTIFS('CARNET DE SOUDURE'!$O$7:$O$3006,B999,'CARNET DE SOUDURE'!$P$7:$P$3006,"&lt;&gt;"&amp;C999,'CARNET DE SOUDURE'!$P$7:$P$3006,"&lt;&gt;")&gt;0,"⚠ DIFFÉRENTE","OK"))</f>
        <v>OK</v>
      </c>
      <c r="F999" s="147" t="n">
        <v>11.94</v>
      </c>
      <c r="G999" s="80"/>
      <c r="H999" s="83"/>
      <c r="I999" s="148" t="str">
        <f aca="false">IF(B999="","",IFERROR(INDEX('CARNET DE SOUDURE'!$B$7:$B$3006,MATCH(B999,'CARNET DE SOUDURE'!$L$7:$L$3006,0)),IFERROR(INDEX('CARNET DE SOUDURE'!$B$7:$B$3006,MATCH(B999,'CARNET DE SOUDURE'!$O$7:$O$3006,0)),"")))</f>
        <v>MFD-ISW → MFD-CPF</v>
      </c>
      <c r="J999" s="82" t="str">
        <f aca="false">IF(B999="","",IFERROR(INDEX('CARNET DE SOUDURE'!$E$7:$E$3006,MATCH(B999,'CARNET DE SOUDURE'!$O$7:$O$3006,0)),""))</f>
        <v>DJ°074</v>
      </c>
      <c r="K999" s="82" t="str">
        <f aca="false">IF(B999="","",IFERROR(INDEX('CARNET DE SOUDURE'!$E$7:$E$3006,MATCH(B999,'CARNET DE SOUDURE'!$L$7:$L$3006,0)),""))</f>
        <v>JN°1535</v>
      </c>
      <c r="L999" s="82" t="n">
        <f aca="false">IF(B999="","",IFERROR(INDEX('CARNET DE SOUDURE'!$D$7:$D$3006,MATCH(B999,'CARNET DE SOUDURE'!$L$7:$L$3006,0)),IFERROR(INDEX('CARNET DE SOUDURE'!$D$7:$D$3006,MATCH(B999,'CARNET DE SOUDURE'!$O$7:$O$3006,0)),"")))</f>
        <v>18</v>
      </c>
      <c r="M999" s="82" t="str">
        <f aca="false">IF(B999="","",IF(OR(J999&lt;&gt;"",K999&lt;&gt;""),"POSÉ EN LIGNE",IF(COUNTIF(BARDAGE!$C$1:$C$5000,B999)&gt;0,"BARDÉ","EN STOCK")))</f>
        <v>POSÉ EN LIGNE</v>
      </c>
      <c r="N999" s="80"/>
    </row>
    <row r="1000" customFormat="false" ht="15" hidden="false" customHeight="false" outlineLevel="0" collapsed="false">
      <c r="A1000" s="82" t="n">
        <f aca="false">IF(B1000="","",ROW()-6)</f>
        <v>994</v>
      </c>
      <c r="B1000" s="145" t="n">
        <v>2078510</v>
      </c>
      <c r="C1000" s="146" t="n">
        <v>15421101</v>
      </c>
      <c r="D1000" s="146"/>
      <c r="E1000" s="82" t="str">
        <f aca="false">IF(B1000="","",IF(COUNTIFS('CARNET DE SOUDURE'!$L$7:$L$3006,B1000,'CARNET DE SOUDURE'!$M$7:$M$3006,"&lt;&gt;"&amp;C1000,'CARNET DE SOUDURE'!$M$7:$M$3006,"&lt;&gt;")+COUNTIFS('CARNET DE SOUDURE'!$O$7:$O$3006,B1000,'CARNET DE SOUDURE'!$P$7:$P$3006,"&lt;&gt;"&amp;C1000,'CARNET DE SOUDURE'!$P$7:$P$3006,"&lt;&gt;")&gt;0,"⚠ DIFFÉRENTE","OK"))</f>
        <v>OK</v>
      </c>
      <c r="F1000" s="147" t="n">
        <v>11.94</v>
      </c>
      <c r="G1000" s="80"/>
      <c r="H1000" s="83"/>
      <c r="I1000" s="148" t="str">
        <f aca="false">IF(B1000="","",IFERROR(INDEX('CARNET DE SOUDURE'!$B$7:$B$3006,MATCH(B1000,'CARNET DE SOUDURE'!$L$7:$L$3006,0)),IFERROR(INDEX('CARNET DE SOUDURE'!$B$7:$B$3006,MATCH(B1000,'CARNET DE SOUDURE'!$O$7:$O$3006,0)),"")))</f>
        <v>MFD-ISW → MFD-CPF</v>
      </c>
      <c r="J1000" s="82" t="str">
        <f aca="false">IF(B1000="","",IFERROR(INDEX('CARNET DE SOUDURE'!$E$7:$E$3006,MATCH(B1000,'CARNET DE SOUDURE'!$O$7:$O$3006,0)),""))</f>
        <v>JN°1535</v>
      </c>
      <c r="K1000" s="82" t="str">
        <f aca="false">IF(B1000="","",IFERROR(INDEX('CARNET DE SOUDURE'!$E$7:$E$3006,MATCH(B1000,'CARNET DE SOUDURE'!$L$7:$L$3006,0)),""))</f>
        <v>DJ°072</v>
      </c>
      <c r="L1000" s="82" t="n">
        <f aca="false">IF(B1000="","",IFERROR(INDEX('CARNET DE SOUDURE'!$D$7:$D$3006,MATCH(B1000,'CARNET DE SOUDURE'!$L$7:$L$3006,0)),IFERROR(INDEX('CARNET DE SOUDURE'!$D$7:$D$3006,MATCH(B1000,'CARNET DE SOUDURE'!$O$7:$O$3006,0)),"")))</f>
        <v>18</v>
      </c>
      <c r="M1000" s="82" t="str">
        <f aca="false">IF(B1000="","",IF(OR(J1000&lt;&gt;"",K1000&lt;&gt;""),"POSÉ EN LIGNE",IF(COUNTIF(BARDAGE!$C$1:$C$5000,B1000)&gt;0,"BARDÉ","EN STOCK")))</f>
        <v>POSÉ EN LIGNE</v>
      </c>
      <c r="N1000" s="80"/>
    </row>
    <row r="1001" customFormat="false" ht="15" hidden="false" customHeight="false" outlineLevel="0" collapsed="false">
      <c r="A1001" s="82" t="n">
        <f aca="false">IF(B1001="","",ROW()-6)</f>
        <v>995</v>
      </c>
      <c r="B1001" s="145" t="n">
        <v>2085450</v>
      </c>
      <c r="C1001" s="146" t="n">
        <v>15421107</v>
      </c>
      <c r="D1001" s="146"/>
      <c r="E1001" s="82" t="str">
        <f aca="false">IF(B1001="","",IF(COUNTIFS('CARNET DE SOUDURE'!$L$7:$L$3006,B1001,'CARNET DE SOUDURE'!$M$7:$M$3006,"&lt;&gt;"&amp;C1001,'CARNET DE SOUDURE'!$M$7:$M$3006,"&lt;&gt;")+COUNTIFS('CARNET DE SOUDURE'!$O$7:$O$3006,B1001,'CARNET DE SOUDURE'!$P$7:$P$3006,"&lt;&gt;"&amp;C1001,'CARNET DE SOUDURE'!$P$7:$P$3006,"&lt;&gt;")&gt;0,"⚠ DIFFÉRENTE","OK"))</f>
        <v>OK</v>
      </c>
      <c r="F1001" s="147" t="n">
        <v>11.94</v>
      </c>
      <c r="G1001" s="80"/>
      <c r="H1001" s="83"/>
      <c r="I1001" s="148" t="str">
        <f aca="false">IF(B1001="","",IFERROR(INDEX('CARNET DE SOUDURE'!$B$7:$B$3006,MATCH(B1001,'CARNET DE SOUDURE'!$L$7:$L$3006,0)),IFERROR(INDEX('CARNET DE SOUDURE'!$B$7:$B$3006,MATCH(B1001,'CARNET DE SOUDURE'!$O$7:$O$3006,0)),"")))</f>
        <v>MFD-ISW → MFD-CPF</v>
      </c>
      <c r="J1001" s="82" t="str">
        <f aca="false">IF(B1001="","",IFERROR(INDEX('CARNET DE SOUDURE'!$E$7:$E$3006,MATCH(B1001,'CARNET DE SOUDURE'!$O$7:$O$3006,0)),""))</f>
        <v>DJ°072</v>
      </c>
      <c r="K1001" s="82" t="str">
        <f aca="false">IF(B1001="","",IFERROR(INDEX('CARNET DE SOUDURE'!$E$7:$E$3006,MATCH(B1001,'CARNET DE SOUDURE'!$L$7:$L$3006,0)),""))</f>
        <v>JN°1536</v>
      </c>
      <c r="L1001" s="82" t="n">
        <f aca="false">IF(B1001="","",IFERROR(INDEX('CARNET DE SOUDURE'!$D$7:$D$3006,MATCH(B1001,'CARNET DE SOUDURE'!$L$7:$L$3006,0)),IFERROR(INDEX('CARNET DE SOUDURE'!$D$7:$D$3006,MATCH(B1001,'CARNET DE SOUDURE'!$O$7:$O$3006,0)),"")))</f>
        <v>18</v>
      </c>
      <c r="M1001" s="82" t="str">
        <f aca="false">IF(B1001="","",IF(OR(J1001&lt;&gt;"",K1001&lt;&gt;""),"POSÉ EN LIGNE",IF(COUNTIF(BARDAGE!$C$1:$C$5000,B1001)&gt;0,"BARDÉ","EN STOCK")))</f>
        <v>POSÉ EN LIGNE</v>
      </c>
      <c r="N1001" s="80"/>
    </row>
    <row r="1002" customFormat="false" ht="15" hidden="false" customHeight="false" outlineLevel="0" collapsed="false">
      <c r="A1002" s="82" t="n">
        <f aca="false">IF(B1002="","",ROW()-6)</f>
        <v>996</v>
      </c>
      <c r="B1002" s="145" t="n">
        <v>2096600</v>
      </c>
      <c r="C1002" s="146" t="n">
        <v>15421111</v>
      </c>
      <c r="D1002" s="146"/>
      <c r="E1002" s="82" t="str">
        <f aca="false">IF(B1002="","",IF(COUNTIFS('CARNET DE SOUDURE'!$L$7:$L$3006,B1002,'CARNET DE SOUDURE'!$M$7:$M$3006,"&lt;&gt;"&amp;C1002,'CARNET DE SOUDURE'!$M$7:$M$3006,"&lt;&gt;")+COUNTIFS('CARNET DE SOUDURE'!$O$7:$O$3006,B1002,'CARNET DE SOUDURE'!$P$7:$P$3006,"&lt;&gt;"&amp;C1002,'CARNET DE SOUDURE'!$P$7:$P$3006,"&lt;&gt;")&gt;0,"⚠ DIFFÉRENTE","OK"))</f>
        <v>OK</v>
      </c>
      <c r="F1002" s="147" t="n">
        <v>11.94</v>
      </c>
      <c r="G1002" s="80"/>
      <c r="H1002" s="83"/>
      <c r="I1002" s="148" t="str">
        <f aca="false">IF(B1002="","",IFERROR(INDEX('CARNET DE SOUDURE'!$B$7:$B$3006,MATCH(B1002,'CARNET DE SOUDURE'!$L$7:$L$3006,0)),IFERROR(INDEX('CARNET DE SOUDURE'!$B$7:$B$3006,MATCH(B1002,'CARNET DE SOUDURE'!$O$7:$O$3006,0)),"")))</f>
        <v>MFD-ISW → MFD-CPF</v>
      </c>
      <c r="J1002" s="82" t="str">
        <f aca="false">IF(B1002="","",IFERROR(INDEX('CARNET DE SOUDURE'!$E$7:$E$3006,MATCH(B1002,'CARNET DE SOUDURE'!$O$7:$O$3006,0)),""))</f>
        <v>JN°1536</v>
      </c>
      <c r="K1002" s="82" t="str">
        <f aca="false">IF(B1002="","",IFERROR(INDEX('CARNET DE SOUDURE'!$E$7:$E$3006,MATCH(B1002,'CARNET DE SOUDURE'!$L$7:$L$3006,0)),""))</f>
        <v>DJ°069</v>
      </c>
      <c r="L1002" s="82" t="n">
        <f aca="false">IF(B1002="","",IFERROR(INDEX('CARNET DE SOUDURE'!$D$7:$D$3006,MATCH(B1002,'CARNET DE SOUDURE'!$L$7:$L$3006,0)),IFERROR(INDEX('CARNET DE SOUDURE'!$D$7:$D$3006,MATCH(B1002,'CARNET DE SOUDURE'!$O$7:$O$3006,0)),"")))</f>
        <v>18</v>
      </c>
      <c r="M1002" s="82" t="str">
        <f aca="false">IF(B1002="","",IF(OR(J1002&lt;&gt;"",K1002&lt;&gt;""),"POSÉ EN LIGNE",IF(COUNTIF(BARDAGE!$C$1:$C$5000,B1002)&gt;0,"BARDÉ","EN STOCK")))</f>
        <v>POSÉ EN LIGNE</v>
      </c>
      <c r="N1002" s="80"/>
    </row>
    <row r="1003" customFormat="false" ht="15" hidden="false" customHeight="false" outlineLevel="0" collapsed="false">
      <c r="A1003" s="82" t="n">
        <f aca="false">IF(B1003="","",ROW()-6)</f>
        <v>997</v>
      </c>
      <c r="B1003" s="145" t="n">
        <v>2080440</v>
      </c>
      <c r="C1003" s="146" t="n">
        <v>15421102</v>
      </c>
      <c r="D1003" s="146"/>
      <c r="E1003" s="82" t="str">
        <f aca="false">IF(B1003="","",IF(COUNTIFS('CARNET DE SOUDURE'!$L$7:$L$3006,B1003,'CARNET DE SOUDURE'!$M$7:$M$3006,"&lt;&gt;"&amp;C1003,'CARNET DE SOUDURE'!$M$7:$M$3006,"&lt;&gt;")+COUNTIFS('CARNET DE SOUDURE'!$O$7:$O$3006,B1003,'CARNET DE SOUDURE'!$P$7:$P$3006,"&lt;&gt;"&amp;C1003,'CARNET DE SOUDURE'!$P$7:$P$3006,"&lt;&gt;")&gt;0,"⚠ DIFFÉRENTE","OK"))</f>
        <v>OK</v>
      </c>
      <c r="F1003" s="147" t="n">
        <v>11.94</v>
      </c>
      <c r="G1003" s="80"/>
      <c r="H1003" s="83"/>
      <c r="I1003" s="148" t="str">
        <f aca="false">IF(B1003="","",IFERROR(INDEX('CARNET DE SOUDURE'!$B$7:$B$3006,MATCH(B1003,'CARNET DE SOUDURE'!$L$7:$L$3006,0)),IFERROR(INDEX('CARNET DE SOUDURE'!$B$7:$B$3006,MATCH(B1003,'CARNET DE SOUDURE'!$O$7:$O$3006,0)),"")))</f>
        <v>MFD-ISW → MFD-CPF</v>
      </c>
      <c r="J1003" s="82" t="str">
        <f aca="false">IF(B1003="","",IFERROR(INDEX('CARNET DE SOUDURE'!$E$7:$E$3006,MATCH(B1003,'CARNET DE SOUDURE'!$O$7:$O$3006,0)),""))</f>
        <v>DJ°069</v>
      </c>
      <c r="K1003" s="82" t="str">
        <f aca="false">IF(B1003="","",IFERROR(INDEX('CARNET DE SOUDURE'!$E$7:$E$3006,MATCH(B1003,'CARNET DE SOUDURE'!$L$7:$L$3006,0)),""))</f>
        <v>JN°1537</v>
      </c>
      <c r="L1003" s="82" t="n">
        <f aca="false">IF(B1003="","",IFERROR(INDEX('CARNET DE SOUDURE'!$D$7:$D$3006,MATCH(B1003,'CARNET DE SOUDURE'!$L$7:$L$3006,0)),IFERROR(INDEX('CARNET DE SOUDURE'!$D$7:$D$3006,MATCH(B1003,'CARNET DE SOUDURE'!$O$7:$O$3006,0)),"")))</f>
        <v>18</v>
      </c>
      <c r="M1003" s="82" t="str">
        <f aca="false">IF(B1003="","",IF(OR(J1003&lt;&gt;"",K1003&lt;&gt;""),"POSÉ EN LIGNE",IF(COUNTIF(BARDAGE!$C$1:$C$5000,B1003)&gt;0,"BARDÉ","EN STOCK")))</f>
        <v>POSÉ EN LIGNE</v>
      </c>
      <c r="N1003" s="80"/>
    </row>
    <row r="1004" customFormat="false" ht="15" hidden="false" customHeight="false" outlineLevel="0" collapsed="false">
      <c r="A1004" s="82" t="n">
        <f aca="false">IF(B1004="","",ROW()-6)</f>
        <v>998</v>
      </c>
      <c r="B1004" s="145" t="n">
        <v>2079600</v>
      </c>
      <c r="C1004" s="146" t="n">
        <v>15421102</v>
      </c>
      <c r="D1004" s="146"/>
      <c r="E1004" s="82" t="str">
        <f aca="false">IF(B1004="","",IF(COUNTIFS('CARNET DE SOUDURE'!$L$7:$L$3006,B1004,'CARNET DE SOUDURE'!$M$7:$M$3006,"&lt;&gt;"&amp;C1004,'CARNET DE SOUDURE'!$M$7:$M$3006,"&lt;&gt;")+COUNTIFS('CARNET DE SOUDURE'!$O$7:$O$3006,B1004,'CARNET DE SOUDURE'!$P$7:$P$3006,"&lt;&gt;"&amp;C1004,'CARNET DE SOUDURE'!$P$7:$P$3006,"&lt;&gt;")&gt;0,"⚠ DIFFÉRENTE","OK"))</f>
        <v>OK</v>
      </c>
      <c r="F1004" s="147" t="n">
        <v>11.94</v>
      </c>
      <c r="G1004" s="80"/>
      <c r="H1004" s="83"/>
      <c r="I1004" s="148" t="str">
        <f aca="false">IF(B1004="","",IFERROR(INDEX('CARNET DE SOUDURE'!$B$7:$B$3006,MATCH(B1004,'CARNET DE SOUDURE'!$L$7:$L$3006,0)),IFERROR(INDEX('CARNET DE SOUDURE'!$B$7:$B$3006,MATCH(B1004,'CARNET DE SOUDURE'!$O$7:$O$3006,0)),"")))</f>
        <v>MFD-ISW → MFD-CPF</v>
      </c>
      <c r="J1004" s="82" t="str">
        <f aca="false">IF(B1004="","",IFERROR(INDEX('CARNET DE SOUDURE'!$E$7:$E$3006,MATCH(B1004,'CARNET DE SOUDURE'!$O$7:$O$3006,0)),""))</f>
        <v>JN°1537</v>
      </c>
      <c r="K1004" s="82" t="str">
        <f aca="false">IF(B1004="","",IFERROR(INDEX('CARNET DE SOUDURE'!$E$7:$E$3006,MATCH(B1004,'CARNET DE SOUDURE'!$L$7:$L$3006,0)),""))</f>
        <v>DJ°052</v>
      </c>
      <c r="L1004" s="82" t="n">
        <f aca="false">IF(B1004="","",IFERROR(INDEX('CARNET DE SOUDURE'!$D$7:$D$3006,MATCH(B1004,'CARNET DE SOUDURE'!$L$7:$L$3006,0)),IFERROR(INDEX('CARNET DE SOUDURE'!$D$7:$D$3006,MATCH(B1004,'CARNET DE SOUDURE'!$O$7:$O$3006,0)),"")))</f>
        <v>18</v>
      </c>
      <c r="M1004" s="82" t="str">
        <f aca="false">IF(B1004="","",IF(OR(J1004&lt;&gt;"",K1004&lt;&gt;""),"POSÉ EN LIGNE",IF(COUNTIF(BARDAGE!$C$1:$C$5000,B1004)&gt;0,"BARDÉ","EN STOCK")))</f>
        <v>POSÉ EN LIGNE</v>
      </c>
      <c r="N1004" s="80"/>
    </row>
    <row r="1005" customFormat="false" ht="15" hidden="false" customHeight="false" outlineLevel="0" collapsed="false">
      <c r="A1005" s="82" t="n">
        <f aca="false">IF(B1005="","",ROW()-6)</f>
        <v>999</v>
      </c>
      <c r="B1005" s="145" t="n">
        <v>2088240</v>
      </c>
      <c r="C1005" s="146" t="n">
        <v>15421108</v>
      </c>
      <c r="D1005" s="146"/>
      <c r="E1005" s="82" t="str">
        <f aca="false">IF(B1005="","",IF(COUNTIFS('CARNET DE SOUDURE'!$L$7:$L$3006,B1005,'CARNET DE SOUDURE'!$M$7:$M$3006,"&lt;&gt;"&amp;C1005,'CARNET DE SOUDURE'!$M$7:$M$3006,"&lt;&gt;")+COUNTIFS('CARNET DE SOUDURE'!$O$7:$O$3006,B1005,'CARNET DE SOUDURE'!$P$7:$P$3006,"&lt;&gt;"&amp;C1005,'CARNET DE SOUDURE'!$P$7:$P$3006,"&lt;&gt;")&gt;0,"⚠ DIFFÉRENTE","OK"))</f>
        <v>OK</v>
      </c>
      <c r="F1005" s="147" t="n">
        <v>11.94</v>
      </c>
      <c r="G1005" s="80"/>
      <c r="H1005" s="83"/>
      <c r="I1005" s="148" t="str">
        <f aca="false">IF(B1005="","",IFERROR(INDEX('CARNET DE SOUDURE'!$B$7:$B$3006,MATCH(B1005,'CARNET DE SOUDURE'!$L$7:$L$3006,0)),IFERROR(INDEX('CARNET DE SOUDURE'!$B$7:$B$3006,MATCH(B1005,'CARNET DE SOUDURE'!$O$7:$O$3006,0)),"")))</f>
        <v>MFD-ISW → MFD-CPF</v>
      </c>
      <c r="J1005" s="82" t="str">
        <f aca="false">IF(B1005="","",IFERROR(INDEX('CARNET DE SOUDURE'!$E$7:$E$3006,MATCH(B1005,'CARNET DE SOUDURE'!$O$7:$O$3006,0)),""))</f>
        <v>DJ°052</v>
      </c>
      <c r="K1005" s="82" t="str">
        <f aca="false">IF(B1005="","",IFERROR(INDEX('CARNET DE SOUDURE'!$E$7:$E$3006,MATCH(B1005,'CARNET DE SOUDURE'!$L$7:$L$3006,0)),""))</f>
        <v>JN°1538</v>
      </c>
      <c r="L1005" s="82" t="n">
        <f aca="false">IF(B1005="","",IFERROR(INDEX('CARNET DE SOUDURE'!$D$7:$D$3006,MATCH(B1005,'CARNET DE SOUDURE'!$L$7:$L$3006,0)),IFERROR(INDEX('CARNET DE SOUDURE'!$D$7:$D$3006,MATCH(B1005,'CARNET DE SOUDURE'!$O$7:$O$3006,0)),"")))</f>
        <v>18</v>
      </c>
      <c r="M1005" s="82" t="str">
        <f aca="false">IF(B1005="","",IF(OR(J1005&lt;&gt;"",K1005&lt;&gt;""),"POSÉ EN LIGNE",IF(COUNTIF(BARDAGE!$C$1:$C$5000,B1005)&gt;0,"BARDÉ","EN STOCK")))</f>
        <v>POSÉ EN LIGNE</v>
      </c>
      <c r="N1005" s="80"/>
    </row>
    <row r="1006" customFormat="false" ht="15" hidden="false" customHeight="false" outlineLevel="0" collapsed="false">
      <c r="A1006" s="82" t="n">
        <f aca="false">IF(B1006="","",ROW()-6)</f>
        <v>1000</v>
      </c>
      <c r="B1006" s="145" t="n">
        <v>2092590</v>
      </c>
      <c r="C1006" s="146" t="n">
        <v>15421110</v>
      </c>
      <c r="D1006" s="146"/>
      <c r="E1006" s="82" t="str">
        <f aca="false">IF(B1006="","",IF(COUNTIFS('CARNET DE SOUDURE'!$L$7:$L$3006,B1006,'CARNET DE SOUDURE'!$M$7:$M$3006,"&lt;&gt;"&amp;C1006,'CARNET DE SOUDURE'!$M$7:$M$3006,"&lt;&gt;")+COUNTIFS('CARNET DE SOUDURE'!$O$7:$O$3006,B1006,'CARNET DE SOUDURE'!$P$7:$P$3006,"&lt;&gt;"&amp;C1006,'CARNET DE SOUDURE'!$P$7:$P$3006,"&lt;&gt;")&gt;0,"⚠ DIFFÉRENTE","OK"))</f>
        <v>OK</v>
      </c>
      <c r="F1006" s="147" t="n">
        <v>11.94</v>
      </c>
      <c r="G1006" s="80"/>
      <c r="H1006" s="83"/>
      <c r="I1006" s="148" t="str">
        <f aca="false">IF(B1006="","",IFERROR(INDEX('CARNET DE SOUDURE'!$B$7:$B$3006,MATCH(B1006,'CARNET DE SOUDURE'!$L$7:$L$3006,0)),IFERROR(INDEX('CARNET DE SOUDURE'!$B$7:$B$3006,MATCH(B1006,'CARNET DE SOUDURE'!$O$7:$O$3006,0)),"")))</f>
        <v>MFD-ISW → MFD-CPF</v>
      </c>
      <c r="J1006" s="82" t="str">
        <f aca="false">IF(B1006="","",IFERROR(INDEX('CARNET DE SOUDURE'!$E$7:$E$3006,MATCH(B1006,'CARNET DE SOUDURE'!$O$7:$O$3006,0)),""))</f>
        <v>JN°1538</v>
      </c>
      <c r="K1006" s="82" t="str">
        <f aca="false">IF(B1006="","",IFERROR(INDEX('CARNET DE SOUDURE'!$E$7:$E$3006,MATCH(B1006,'CARNET DE SOUDURE'!$L$7:$L$3006,0)),""))</f>
        <v>DJ°063</v>
      </c>
      <c r="L1006" s="82" t="n">
        <f aca="false">IF(B1006="","",IFERROR(INDEX('CARNET DE SOUDURE'!$D$7:$D$3006,MATCH(B1006,'CARNET DE SOUDURE'!$L$7:$L$3006,0)),IFERROR(INDEX('CARNET DE SOUDURE'!$D$7:$D$3006,MATCH(B1006,'CARNET DE SOUDURE'!$O$7:$O$3006,0)),"")))</f>
        <v>18</v>
      </c>
      <c r="M1006" s="82" t="str">
        <f aca="false">IF(B1006="","",IF(OR(J1006&lt;&gt;"",K1006&lt;&gt;""),"POSÉ EN LIGNE",IF(COUNTIF(BARDAGE!$C$1:$C$5000,B1006)&gt;0,"BARDÉ","EN STOCK")))</f>
        <v>POSÉ EN LIGNE</v>
      </c>
      <c r="N1006" s="80"/>
    </row>
    <row r="1007" customFormat="false" ht="15" hidden="false" customHeight="false" outlineLevel="0" collapsed="false">
      <c r="A1007" s="82" t="n">
        <f aca="false">IF(B1007="","",ROW()-6)</f>
        <v>1001</v>
      </c>
      <c r="B1007" s="145" t="n">
        <v>2092990</v>
      </c>
      <c r="C1007" s="146" t="n">
        <v>15421110</v>
      </c>
      <c r="D1007" s="146"/>
      <c r="E1007" s="82" t="str">
        <f aca="false">IF(B1007="","",IF(COUNTIFS('CARNET DE SOUDURE'!$L$7:$L$3006,B1007,'CARNET DE SOUDURE'!$M$7:$M$3006,"&lt;&gt;"&amp;C1007,'CARNET DE SOUDURE'!$M$7:$M$3006,"&lt;&gt;")+COUNTIFS('CARNET DE SOUDURE'!$O$7:$O$3006,B1007,'CARNET DE SOUDURE'!$P$7:$P$3006,"&lt;&gt;"&amp;C1007,'CARNET DE SOUDURE'!$P$7:$P$3006,"&lt;&gt;")&gt;0,"⚠ DIFFÉRENTE","OK"))</f>
        <v>OK</v>
      </c>
      <c r="F1007" s="147" t="n">
        <v>11.94</v>
      </c>
      <c r="G1007" s="80"/>
      <c r="H1007" s="83"/>
      <c r="I1007" s="148" t="str">
        <f aca="false">IF(B1007="","",IFERROR(INDEX('CARNET DE SOUDURE'!$B$7:$B$3006,MATCH(B1007,'CARNET DE SOUDURE'!$L$7:$L$3006,0)),IFERROR(INDEX('CARNET DE SOUDURE'!$B$7:$B$3006,MATCH(B1007,'CARNET DE SOUDURE'!$O$7:$O$3006,0)),"")))</f>
        <v>MFD-ISW → MFD-CPF</v>
      </c>
      <c r="J1007" s="82" t="str">
        <f aca="false">IF(B1007="","",IFERROR(INDEX('CARNET DE SOUDURE'!$E$7:$E$3006,MATCH(B1007,'CARNET DE SOUDURE'!$O$7:$O$3006,0)),""))</f>
        <v>DJ°063</v>
      </c>
      <c r="K1007" s="82" t="str">
        <f aca="false">IF(B1007="","",IFERROR(INDEX('CARNET DE SOUDURE'!$E$7:$E$3006,MATCH(B1007,'CARNET DE SOUDURE'!$L$7:$L$3006,0)),""))</f>
        <v>JN°1539R</v>
      </c>
      <c r="L1007" s="82" t="n">
        <f aca="false">IF(B1007="","",IFERROR(INDEX('CARNET DE SOUDURE'!$D$7:$D$3006,MATCH(B1007,'CARNET DE SOUDURE'!$L$7:$L$3006,0)),IFERROR(INDEX('CARNET DE SOUDURE'!$D$7:$D$3006,MATCH(B1007,'CARNET DE SOUDURE'!$O$7:$O$3006,0)),"")))</f>
        <v>18</v>
      </c>
      <c r="M1007" s="82" t="str">
        <f aca="false">IF(B1007="","",IF(OR(J1007&lt;&gt;"",K1007&lt;&gt;""),"POSÉ EN LIGNE",IF(COUNTIF(BARDAGE!$C$1:$C$5000,B1007)&gt;0,"BARDÉ","EN STOCK")))</f>
        <v>POSÉ EN LIGNE</v>
      </c>
      <c r="N1007" s="80"/>
    </row>
    <row r="1008" customFormat="false" ht="15" hidden="false" customHeight="false" outlineLevel="0" collapsed="false">
      <c r="A1008" s="82" t="n">
        <f aca="false">IF(B1008="","",ROW()-6)</f>
        <v>1002</v>
      </c>
      <c r="B1008" s="145" t="n">
        <v>2095040</v>
      </c>
      <c r="C1008" s="146" t="n">
        <v>15421111</v>
      </c>
      <c r="D1008" s="146"/>
      <c r="E1008" s="82" t="str">
        <f aca="false">IF(B1008="","",IF(COUNTIFS('CARNET DE SOUDURE'!$L$7:$L$3006,B1008,'CARNET DE SOUDURE'!$M$7:$M$3006,"&lt;&gt;"&amp;C1008,'CARNET DE SOUDURE'!$M$7:$M$3006,"&lt;&gt;")+COUNTIFS('CARNET DE SOUDURE'!$O$7:$O$3006,B1008,'CARNET DE SOUDURE'!$P$7:$P$3006,"&lt;&gt;"&amp;C1008,'CARNET DE SOUDURE'!$P$7:$P$3006,"&lt;&gt;")&gt;0,"⚠ DIFFÉRENTE","OK"))</f>
        <v>OK</v>
      </c>
      <c r="F1008" s="147" t="n">
        <v>11.94</v>
      </c>
      <c r="G1008" s="80"/>
      <c r="H1008" s="83"/>
      <c r="I1008" s="148" t="str">
        <f aca="false">IF(B1008="","",IFERROR(INDEX('CARNET DE SOUDURE'!$B$7:$B$3006,MATCH(B1008,'CARNET DE SOUDURE'!$L$7:$L$3006,0)),IFERROR(INDEX('CARNET DE SOUDURE'!$B$7:$B$3006,MATCH(B1008,'CARNET DE SOUDURE'!$O$7:$O$3006,0)),"")))</f>
        <v>MFD-ISW → MFD-CPF</v>
      </c>
      <c r="J1008" s="82" t="str">
        <f aca="false">IF(B1008="","",IFERROR(INDEX('CARNET DE SOUDURE'!$E$7:$E$3006,MATCH(B1008,'CARNET DE SOUDURE'!$O$7:$O$3006,0)),""))</f>
        <v>JN°1539R</v>
      </c>
      <c r="K1008" s="82" t="str">
        <f aca="false">IF(B1008="","",IFERROR(INDEX('CARNET DE SOUDURE'!$E$7:$E$3006,MATCH(B1008,'CARNET DE SOUDURE'!$L$7:$L$3006,0)),""))</f>
        <v>DJ°060</v>
      </c>
      <c r="L1008" s="82" t="n">
        <f aca="false">IF(B1008="","",IFERROR(INDEX('CARNET DE SOUDURE'!$D$7:$D$3006,MATCH(B1008,'CARNET DE SOUDURE'!$L$7:$L$3006,0)),IFERROR(INDEX('CARNET DE SOUDURE'!$D$7:$D$3006,MATCH(B1008,'CARNET DE SOUDURE'!$O$7:$O$3006,0)),"")))</f>
        <v>18</v>
      </c>
      <c r="M1008" s="82" t="str">
        <f aca="false">IF(B1008="","",IF(OR(J1008&lt;&gt;"",K1008&lt;&gt;""),"POSÉ EN LIGNE",IF(COUNTIF(BARDAGE!$C$1:$C$5000,B1008)&gt;0,"BARDÉ","EN STOCK")))</f>
        <v>POSÉ EN LIGNE</v>
      </c>
      <c r="N1008" s="80"/>
    </row>
    <row r="1009" customFormat="false" ht="15" hidden="false" customHeight="false" outlineLevel="0" collapsed="false">
      <c r="A1009" s="82" t="n">
        <f aca="false">IF(B1009="","",ROW()-6)</f>
        <v>1003</v>
      </c>
      <c r="B1009" s="145" t="n">
        <v>2095950</v>
      </c>
      <c r="C1009" s="146" t="n">
        <v>15421104</v>
      </c>
      <c r="D1009" s="146"/>
      <c r="E1009" s="82" t="str">
        <f aca="false">IF(B1009="","",IF(COUNTIFS('CARNET DE SOUDURE'!$L$7:$L$3006,B1009,'CARNET DE SOUDURE'!$M$7:$M$3006,"&lt;&gt;"&amp;C1009,'CARNET DE SOUDURE'!$M$7:$M$3006,"&lt;&gt;")+COUNTIFS('CARNET DE SOUDURE'!$O$7:$O$3006,B1009,'CARNET DE SOUDURE'!$P$7:$P$3006,"&lt;&gt;"&amp;C1009,'CARNET DE SOUDURE'!$P$7:$P$3006,"&lt;&gt;")&gt;0,"⚠ DIFFÉRENTE","OK"))</f>
        <v>OK</v>
      </c>
      <c r="F1009" s="147" t="n">
        <v>11.94</v>
      </c>
      <c r="G1009" s="80"/>
      <c r="H1009" s="83"/>
      <c r="I1009" s="148" t="str">
        <f aca="false">IF(B1009="","",IFERROR(INDEX('CARNET DE SOUDURE'!$B$7:$B$3006,MATCH(B1009,'CARNET DE SOUDURE'!$L$7:$L$3006,0)),IFERROR(INDEX('CARNET DE SOUDURE'!$B$7:$B$3006,MATCH(B1009,'CARNET DE SOUDURE'!$O$7:$O$3006,0)),"")))</f>
        <v>MFD-ISW → MFD-CPF</v>
      </c>
      <c r="J1009" s="82" t="str">
        <f aca="false">IF(B1009="","",IFERROR(INDEX('CARNET DE SOUDURE'!$E$7:$E$3006,MATCH(B1009,'CARNET DE SOUDURE'!$O$7:$O$3006,0)),""))</f>
        <v>DJ°060</v>
      </c>
      <c r="K1009" s="82" t="str">
        <f aca="false">IF(B1009="","",IFERROR(INDEX('CARNET DE SOUDURE'!$E$7:$E$3006,MATCH(B1009,'CARNET DE SOUDURE'!$L$7:$L$3006,0)),""))</f>
        <v>JN°1540</v>
      </c>
      <c r="L1009" s="82" t="n">
        <f aca="false">IF(B1009="","",IFERROR(INDEX('CARNET DE SOUDURE'!$D$7:$D$3006,MATCH(B1009,'CARNET DE SOUDURE'!$L$7:$L$3006,0)),IFERROR(INDEX('CARNET DE SOUDURE'!$D$7:$D$3006,MATCH(B1009,'CARNET DE SOUDURE'!$O$7:$O$3006,0)),"")))</f>
        <v>18</v>
      </c>
      <c r="M1009" s="82" t="str">
        <f aca="false">IF(B1009="","",IF(OR(J1009&lt;&gt;"",K1009&lt;&gt;""),"POSÉ EN LIGNE",IF(COUNTIF(BARDAGE!$C$1:$C$5000,B1009)&gt;0,"BARDÉ","EN STOCK")))</f>
        <v>POSÉ EN LIGNE</v>
      </c>
      <c r="N1009" s="80"/>
    </row>
    <row r="1010" customFormat="false" ht="15" hidden="false" customHeight="false" outlineLevel="0" collapsed="false">
      <c r="A1010" s="82" t="n">
        <f aca="false">IF(B1010="","",ROW()-6)</f>
        <v>1004</v>
      </c>
      <c r="B1010" s="145" t="n">
        <v>2090640</v>
      </c>
      <c r="C1010" s="146" t="n">
        <v>15421109</v>
      </c>
      <c r="D1010" s="146"/>
      <c r="E1010" s="82" t="str">
        <f aca="false">IF(B1010="","",IF(COUNTIFS('CARNET DE SOUDURE'!$L$7:$L$3006,B1010,'CARNET DE SOUDURE'!$M$7:$M$3006,"&lt;&gt;"&amp;C1010,'CARNET DE SOUDURE'!$M$7:$M$3006,"&lt;&gt;")+COUNTIFS('CARNET DE SOUDURE'!$O$7:$O$3006,B1010,'CARNET DE SOUDURE'!$P$7:$P$3006,"&lt;&gt;"&amp;C1010,'CARNET DE SOUDURE'!$P$7:$P$3006,"&lt;&gt;")&gt;0,"⚠ DIFFÉRENTE","OK"))</f>
        <v>OK</v>
      </c>
      <c r="F1010" s="147" t="n">
        <v>11.94</v>
      </c>
      <c r="G1010" s="80"/>
      <c r="H1010" s="83"/>
      <c r="I1010" s="148" t="str">
        <f aca="false">IF(B1010="","",IFERROR(INDEX('CARNET DE SOUDURE'!$B$7:$B$3006,MATCH(B1010,'CARNET DE SOUDURE'!$L$7:$L$3006,0)),IFERROR(INDEX('CARNET DE SOUDURE'!$B$7:$B$3006,MATCH(B1010,'CARNET DE SOUDURE'!$O$7:$O$3006,0)),"")))</f>
        <v>MFD-ISW → MFD-CPF</v>
      </c>
      <c r="J1010" s="82" t="str">
        <f aca="false">IF(B1010="","",IFERROR(INDEX('CARNET DE SOUDURE'!$E$7:$E$3006,MATCH(B1010,'CARNET DE SOUDURE'!$O$7:$O$3006,0)),""))</f>
        <v>JN°1540</v>
      </c>
      <c r="K1010" s="82" t="str">
        <f aca="false">IF(B1010="","",IFERROR(INDEX('CARNET DE SOUDURE'!$E$7:$E$3006,MATCH(B1010,'CARNET DE SOUDURE'!$L$7:$L$3006,0)),""))</f>
        <v>DJ°092</v>
      </c>
      <c r="L1010" s="82" t="n">
        <f aca="false">IF(B1010="","",IFERROR(INDEX('CARNET DE SOUDURE'!$D$7:$D$3006,MATCH(B1010,'CARNET DE SOUDURE'!$L$7:$L$3006,0)),IFERROR(INDEX('CARNET DE SOUDURE'!$D$7:$D$3006,MATCH(B1010,'CARNET DE SOUDURE'!$O$7:$O$3006,0)),"")))</f>
        <v>18</v>
      </c>
      <c r="M1010" s="82" t="str">
        <f aca="false">IF(B1010="","",IF(OR(J1010&lt;&gt;"",K1010&lt;&gt;""),"POSÉ EN LIGNE",IF(COUNTIF(BARDAGE!$C$1:$C$5000,B1010)&gt;0,"BARDÉ","EN STOCK")))</f>
        <v>POSÉ EN LIGNE</v>
      </c>
      <c r="N1010" s="80"/>
    </row>
    <row r="1011" customFormat="false" ht="15" hidden="false" customHeight="false" outlineLevel="0" collapsed="false">
      <c r="A1011" s="82" t="n">
        <f aca="false">IF(B1011="","",ROW()-6)</f>
        <v>1005</v>
      </c>
      <c r="B1011" s="145" t="n">
        <v>2080610</v>
      </c>
      <c r="C1011" s="146" t="n">
        <v>15421103</v>
      </c>
      <c r="D1011" s="146"/>
      <c r="E1011" s="82" t="str">
        <f aca="false">IF(B1011="","",IF(COUNTIFS('CARNET DE SOUDURE'!$L$7:$L$3006,B1011,'CARNET DE SOUDURE'!$M$7:$M$3006,"&lt;&gt;"&amp;C1011,'CARNET DE SOUDURE'!$M$7:$M$3006,"&lt;&gt;")+COUNTIFS('CARNET DE SOUDURE'!$O$7:$O$3006,B1011,'CARNET DE SOUDURE'!$P$7:$P$3006,"&lt;&gt;"&amp;C1011,'CARNET DE SOUDURE'!$P$7:$P$3006,"&lt;&gt;")&gt;0,"⚠ DIFFÉRENTE","OK"))</f>
        <v>OK</v>
      </c>
      <c r="F1011" s="147" t="n">
        <v>11.94</v>
      </c>
      <c r="G1011" s="80"/>
      <c r="H1011" s="83"/>
      <c r="I1011" s="148" t="str">
        <f aca="false">IF(B1011="","",IFERROR(INDEX('CARNET DE SOUDURE'!$B$7:$B$3006,MATCH(B1011,'CARNET DE SOUDURE'!$L$7:$L$3006,0)),IFERROR(INDEX('CARNET DE SOUDURE'!$B$7:$B$3006,MATCH(B1011,'CARNET DE SOUDURE'!$O$7:$O$3006,0)),"")))</f>
        <v>MFD-ISW → MFD-CPF</v>
      </c>
      <c r="J1011" s="82" t="str">
        <f aca="false">IF(B1011="","",IFERROR(INDEX('CARNET DE SOUDURE'!$E$7:$E$3006,MATCH(B1011,'CARNET DE SOUDURE'!$O$7:$O$3006,0)),""))</f>
        <v>DJ°092</v>
      </c>
      <c r="K1011" s="82" t="str">
        <f aca="false">IF(B1011="","",IFERROR(INDEX('CARNET DE SOUDURE'!$E$7:$E$3006,MATCH(B1011,'CARNET DE SOUDURE'!$L$7:$L$3006,0)),""))</f>
        <v>JN°1541</v>
      </c>
      <c r="L1011" s="82" t="n">
        <f aca="false">IF(B1011="","",IFERROR(INDEX('CARNET DE SOUDURE'!$D$7:$D$3006,MATCH(B1011,'CARNET DE SOUDURE'!$L$7:$L$3006,0)),IFERROR(INDEX('CARNET DE SOUDURE'!$D$7:$D$3006,MATCH(B1011,'CARNET DE SOUDURE'!$O$7:$O$3006,0)),"")))</f>
        <v>19</v>
      </c>
      <c r="M1011" s="82" t="str">
        <f aca="false">IF(B1011="","",IF(OR(J1011&lt;&gt;"",K1011&lt;&gt;""),"POSÉ EN LIGNE",IF(COUNTIF(BARDAGE!$C$1:$C$5000,B1011)&gt;0,"BARDÉ","EN STOCK")))</f>
        <v>POSÉ EN LIGNE</v>
      </c>
      <c r="N1011" s="80"/>
    </row>
    <row r="1012" customFormat="false" ht="15" hidden="false" customHeight="false" outlineLevel="0" collapsed="false">
      <c r="A1012" s="82" t="n">
        <f aca="false">IF(B1012="","",ROW()-6)</f>
        <v>1006</v>
      </c>
      <c r="B1012" s="145" t="n">
        <v>2090730</v>
      </c>
      <c r="C1012" s="146" t="n">
        <v>15421109</v>
      </c>
      <c r="D1012" s="146"/>
      <c r="E1012" s="82" t="str">
        <f aca="false">IF(B1012="","",IF(COUNTIFS('CARNET DE SOUDURE'!$L$7:$L$3006,B1012,'CARNET DE SOUDURE'!$M$7:$M$3006,"&lt;&gt;"&amp;C1012,'CARNET DE SOUDURE'!$M$7:$M$3006,"&lt;&gt;")+COUNTIFS('CARNET DE SOUDURE'!$O$7:$O$3006,B1012,'CARNET DE SOUDURE'!$P$7:$P$3006,"&lt;&gt;"&amp;C1012,'CARNET DE SOUDURE'!$P$7:$P$3006,"&lt;&gt;")&gt;0,"⚠ DIFFÉRENTE","OK"))</f>
        <v>OK</v>
      </c>
      <c r="F1012" s="147" t="n">
        <v>11.94</v>
      </c>
      <c r="G1012" s="80"/>
      <c r="H1012" s="83"/>
      <c r="I1012" s="148" t="str">
        <f aca="false">IF(B1012="","",IFERROR(INDEX('CARNET DE SOUDURE'!$B$7:$B$3006,MATCH(B1012,'CARNET DE SOUDURE'!$L$7:$L$3006,0)),IFERROR(INDEX('CARNET DE SOUDURE'!$B$7:$B$3006,MATCH(B1012,'CARNET DE SOUDURE'!$O$7:$O$3006,0)),"")))</f>
        <v>MFD-ISW → MFD-CPF</v>
      </c>
      <c r="J1012" s="82" t="str">
        <f aca="false">IF(B1012="","",IFERROR(INDEX('CARNET DE SOUDURE'!$E$7:$E$3006,MATCH(B1012,'CARNET DE SOUDURE'!$O$7:$O$3006,0)),""))</f>
        <v>JN°1541</v>
      </c>
      <c r="K1012" s="82" t="str">
        <f aca="false">IF(B1012="","",IFERROR(INDEX('CARNET DE SOUDURE'!$E$7:$E$3006,MATCH(B1012,'CARNET DE SOUDURE'!$L$7:$L$3006,0)),""))</f>
        <v>DJ°024</v>
      </c>
      <c r="L1012" s="82" t="n">
        <f aca="false">IF(B1012="","",IFERROR(INDEX('CARNET DE SOUDURE'!$D$7:$D$3006,MATCH(B1012,'CARNET DE SOUDURE'!$L$7:$L$3006,0)),IFERROR(INDEX('CARNET DE SOUDURE'!$D$7:$D$3006,MATCH(B1012,'CARNET DE SOUDURE'!$O$7:$O$3006,0)),"")))</f>
        <v>19</v>
      </c>
      <c r="M1012" s="82" t="str">
        <f aca="false">IF(B1012="","",IF(OR(J1012&lt;&gt;"",K1012&lt;&gt;""),"POSÉ EN LIGNE",IF(COUNTIF(BARDAGE!$C$1:$C$5000,B1012)&gt;0,"BARDÉ","EN STOCK")))</f>
        <v>POSÉ EN LIGNE</v>
      </c>
      <c r="N1012" s="80"/>
    </row>
    <row r="1013" customFormat="false" ht="15" hidden="false" customHeight="false" outlineLevel="0" collapsed="false">
      <c r="A1013" s="82" t="n">
        <f aca="false">IF(B1013="","",ROW()-6)</f>
        <v>1007</v>
      </c>
      <c r="B1013" s="145" t="n">
        <v>2091030</v>
      </c>
      <c r="C1013" s="146" t="n">
        <v>15421109</v>
      </c>
      <c r="D1013" s="146"/>
      <c r="E1013" s="82" t="str">
        <f aca="false">IF(B1013="","",IF(COUNTIFS('CARNET DE SOUDURE'!$L$7:$L$3006,B1013,'CARNET DE SOUDURE'!$M$7:$M$3006,"&lt;&gt;"&amp;C1013,'CARNET DE SOUDURE'!$M$7:$M$3006,"&lt;&gt;")+COUNTIFS('CARNET DE SOUDURE'!$O$7:$O$3006,B1013,'CARNET DE SOUDURE'!$P$7:$P$3006,"&lt;&gt;"&amp;C1013,'CARNET DE SOUDURE'!$P$7:$P$3006,"&lt;&gt;")&gt;0,"⚠ DIFFÉRENTE","OK"))</f>
        <v>OK</v>
      </c>
      <c r="F1013" s="147" t="n">
        <v>11.94</v>
      </c>
      <c r="G1013" s="80"/>
      <c r="H1013" s="83"/>
      <c r="I1013" s="148" t="str">
        <f aca="false">IF(B1013="","",IFERROR(INDEX('CARNET DE SOUDURE'!$B$7:$B$3006,MATCH(B1013,'CARNET DE SOUDURE'!$L$7:$L$3006,0)),IFERROR(INDEX('CARNET DE SOUDURE'!$B$7:$B$3006,MATCH(B1013,'CARNET DE SOUDURE'!$O$7:$O$3006,0)),"")))</f>
        <v>MFD-ISW → MFD-CPF</v>
      </c>
      <c r="J1013" s="82" t="str">
        <f aca="false">IF(B1013="","",IFERROR(INDEX('CARNET DE SOUDURE'!$E$7:$E$3006,MATCH(B1013,'CARNET DE SOUDURE'!$O$7:$O$3006,0)),""))</f>
        <v>DJ°024</v>
      </c>
      <c r="K1013" s="82" t="str">
        <f aca="false">IF(B1013="","",IFERROR(INDEX('CARNET DE SOUDURE'!$E$7:$E$3006,MATCH(B1013,'CARNET DE SOUDURE'!$L$7:$L$3006,0)),""))</f>
        <v>JN°1542</v>
      </c>
      <c r="L1013" s="82" t="n">
        <f aca="false">IF(B1013="","",IFERROR(INDEX('CARNET DE SOUDURE'!$D$7:$D$3006,MATCH(B1013,'CARNET DE SOUDURE'!$L$7:$L$3006,0)),IFERROR(INDEX('CARNET DE SOUDURE'!$D$7:$D$3006,MATCH(B1013,'CARNET DE SOUDURE'!$O$7:$O$3006,0)),"")))</f>
        <v>19</v>
      </c>
      <c r="M1013" s="82" t="str">
        <f aca="false">IF(B1013="","",IF(OR(J1013&lt;&gt;"",K1013&lt;&gt;""),"POSÉ EN LIGNE",IF(COUNTIF(BARDAGE!$C$1:$C$5000,B1013)&gt;0,"BARDÉ","EN STOCK")))</f>
        <v>POSÉ EN LIGNE</v>
      </c>
      <c r="N1013" s="80"/>
    </row>
    <row r="1014" customFormat="false" ht="15" hidden="false" customHeight="false" outlineLevel="0" collapsed="false">
      <c r="A1014" s="82" t="n">
        <f aca="false">IF(B1014="","",ROW()-6)</f>
        <v>1008</v>
      </c>
      <c r="B1014" s="145" t="n">
        <v>2084210</v>
      </c>
      <c r="C1014" s="146" t="n">
        <v>15421106</v>
      </c>
      <c r="D1014" s="146"/>
      <c r="E1014" s="82" t="str">
        <f aca="false">IF(B1014="","",IF(COUNTIFS('CARNET DE SOUDURE'!$L$7:$L$3006,B1014,'CARNET DE SOUDURE'!$M$7:$M$3006,"&lt;&gt;"&amp;C1014,'CARNET DE SOUDURE'!$M$7:$M$3006,"&lt;&gt;")+COUNTIFS('CARNET DE SOUDURE'!$O$7:$O$3006,B1014,'CARNET DE SOUDURE'!$P$7:$P$3006,"&lt;&gt;"&amp;C1014,'CARNET DE SOUDURE'!$P$7:$P$3006,"&lt;&gt;")&gt;0,"⚠ DIFFÉRENTE","OK"))</f>
        <v>OK</v>
      </c>
      <c r="F1014" s="147" t="n">
        <v>11.94</v>
      </c>
      <c r="G1014" s="80"/>
      <c r="H1014" s="83"/>
      <c r="I1014" s="148" t="str">
        <f aca="false">IF(B1014="","",IFERROR(INDEX('CARNET DE SOUDURE'!$B$7:$B$3006,MATCH(B1014,'CARNET DE SOUDURE'!$L$7:$L$3006,0)),IFERROR(INDEX('CARNET DE SOUDURE'!$B$7:$B$3006,MATCH(B1014,'CARNET DE SOUDURE'!$O$7:$O$3006,0)),"")))</f>
        <v>MFD-ISW → MFD-CPF</v>
      </c>
      <c r="J1014" s="82" t="str">
        <f aca="false">IF(B1014="","",IFERROR(INDEX('CARNET DE SOUDURE'!$E$7:$E$3006,MATCH(B1014,'CARNET DE SOUDURE'!$O$7:$O$3006,0)),""))</f>
        <v>JN°1542</v>
      </c>
      <c r="K1014" s="82" t="str">
        <f aca="false">IF(B1014="","",IFERROR(INDEX('CARNET DE SOUDURE'!$E$7:$E$3006,MATCH(B1014,'CARNET DE SOUDURE'!$L$7:$L$3006,0)),""))</f>
        <v>DJ°034</v>
      </c>
      <c r="L1014" s="82" t="n">
        <f aca="false">IF(B1014="","",IFERROR(INDEX('CARNET DE SOUDURE'!$D$7:$D$3006,MATCH(B1014,'CARNET DE SOUDURE'!$L$7:$L$3006,0)),IFERROR(INDEX('CARNET DE SOUDURE'!$D$7:$D$3006,MATCH(B1014,'CARNET DE SOUDURE'!$O$7:$O$3006,0)),"")))</f>
        <v>19</v>
      </c>
      <c r="M1014" s="82" t="str">
        <f aca="false">IF(B1014="","",IF(OR(J1014&lt;&gt;"",K1014&lt;&gt;""),"POSÉ EN LIGNE",IF(COUNTIF(BARDAGE!$C$1:$C$5000,B1014)&gt;0,"BARDÉ","EN STOCK")))</f>
        <v>POSÉ EN LIGNE</v>
      </c>
      <c r="N1014" s="80"/>
    </row>
    <row r="1015" customFormat="false" ht="15" hidden="false" customHeight="false" outlineLevel="0" collapsed="false">
      <c r="A1015" s="82" t="n">
        <f aca="false">IF(B1015="","",ROW()-6)</f>
        <v>1009</v>
      </c>
      <c r="B1015" s="145" t="n">
        <v>2095030</v>
      </c>
      <c r="C1015" s="146" t="n">
        <v>15412111</v>
      </c>
      <c r="D1015" s="146"/>
      <c r="E1015" s="82" t="str">
        <f aca="false">IF(B1015="","",IF(COUNTIFS('CARNET DE SOUDURE'!$L$7:$L$3006,B1015,'CARNET DE SOUDURE'!$M$7:$M$3006,"&lt;&gt;"&amp;C1015,'CARNET DE SOUDURE'!$M$7:$M$3006,"&lt;&gt;")+COUNTIFS('CARNET DE SOUDURE'!$O$7:$O$3006,B1015,'CARNET DE SOUDURE'!$P$7:$P$3006,"&lt;&gt;"&amp;C1015,'CARNET DE SOUDURE'!$P$7:$P$3006,"&lt;&gt;")&gt;0,"⚠ DIFFÉRENTE","OK"))</f>
        <v>OK</v>
      </c>
      <c r="F1015" s="147" t="n">
        <v>11.94</v>
      </c>
      <c r="G1015" s="80"/>
      <c r="H1015" s="83"/>
      <c r="I1015" s="148" t="str">
        <f aca="false">IF(B1015="","",IFERROR(INDEX('CARNET DE SOUDURE'!$B$7:$B$3006,MATCH(B1015,'CARNET DE SOUDURE'!$L$7:$L$3006,0)),IFERROR(INDEX('CARNET DE SOUDURE'!$B$7:$B$3006,MATCH(B1015,'CARNET DE SOUDURE'!$O$7:$O$3006,0)),"")))</f>
        <v>MFD-ISW → MFD-CPF</v>
      </c>
      <c r="J1015" s="82" t="str">
        <f aca="false">IF(B1015="","",IFERROR(INDEX('CARNET DE SOUDURE'!$E$7:$E$3006,MATCH(B1015,'CARNET DE SOUDURE'!$O$7:$O$3006,0)),""))</f>
        <v>DJ°034</v>
      </c>
      <c r="K1015" s="82" t="str">
        <f aca="false">IF(B1015="","",IFERROR(INDEX('CARNET DE SOUDURE'!$E$7:$E$3006,MATCH(B1015,'CARNET DE SOUDURE'!$L$7:$L$3006,0)),""))</f>
        <v>JN°1543</v>
      </c>
      <c r="L1015" s="82" t="n">
        <f aca="false">IF(B1015="","",IFERROR(INDEX('CARNET DE SOUDURE'!$D$7:$D$3006,MATCH(B1015,'CARNET DE SOUDURE'!$L$7:$L$3006,0)),IFERROR(INDEX('CARNET DE SOUDURE'!$D$7:$D$3006,MATCH(B1015,'CARNET DE SOUDURE'!$O$7:$O$3006,0)),"")))</f>
        <v>19</v>
      </c>
      <c r="M1015" s="82" t="str">
        <f aca="false">IF(B1015="","",IF(OR(J1015&lt;&gt;"",K1015&lt;&gt;""),"POSÉ EN LIGNE",IF(COUNTIF(BARDAGE!$C$1:$C$5000,B1015)&gt;0,"BARDÉ","EN STOCK")))</f>
        <v>POSÉ EN LIGNE</v>
      </c>
      <c r="N1015" s="80"/>
    </row>
    <row r="1016" customFormat="false" ht="15" hidden="false" customHeight="false" outlineLevel="0" collapsed="false">
      <c r="A1016" s="82" t="n">
        <f aca="false">IF(B1016="","",ROW()-6)</f>
        <v>1010</v>
      </c>
      <c r="B1016" s="145" t="n">
        <v>2085120</v>
      </c>
      <c r="C1016" s="146" t="n">
        <v>15421106</v>
      </c>
      <c r="D1016" s="146"/>
      <c r="E1016" s="82" t="str">
        <f aca="false">IF(B1016="","",IF(COUNTIFS('CARNET DE SOUDURE'!$L$7:$L$3006,B1016,'CARNET DE SOUDURE'!$M$7:$M$3006,"&lt;&gt;"&amp;C1016,'CARNET DE SOUDURE'!$M$7:$M$3006,"&lt;&gt;")+COUNTIFS('CARNET DE SOUDURE'!$O$7:$O$3006,B1016,'CARNET DE SOUDURE'!$P$7:$P$3006,"&lt;&gt;"&amp;C1016,'CARNET DE SOUDURE'!$P$7:$P$3006,"&lt;&gt;")&gt;0,"⚠ DIFFÉRENTE","OK"))</f>
        <v>OK</v>
      </c>
      <c r="F1016" s="147" t="n">
        <v>11.94</v>
      </c>
      <c r="G1016" s="80"/>
      <c r="H1016" s="83"/>
      <c r="I1016" s="148" t="str">
        <f aca="false">IF(B1016="","",IFERROR(INDEX('CARNET DE SOUDURE'!$B$7:$B$3006,MATCH(B1016,'CARNET DE SOUDURE'!$L$7:$L$3006,0)),IFERROR(INDEX('CARNET DE SOUDURE'!$B$7:$B$3006,MATCH(B1016,'CARNET DE SOUDURE'!$O$7:$O$3006,0)),"")))</f>
        <v>MFD-ISW → MFD-CPF</v>
      </c>
      <c r="J1016" s="82" t="str">
        <f aca="false">IF(B1016="","",IFERROR(INDEX('CARNET DE SOUDURE'!$E$7:$E$3006,MATCH(B1016,'CARNET DE SOUDURE'!$O$7:$O$3006,0)),""))</f>
        <v>JN°1543</v>
      </c>
      <c r="K1016" s="82" t="str">
        <f aca="false">IF(B1016="","",IFERROR(INDEX('CARNET DE SOUDURE'!$E$7:$E$3006,MATCH(B1016,'CARNET DE SOUDURE'!$L$7:$L$3006,0)),""))</f>
        <v>DJ°028</v>
      </c>
      <c r="L1016" s="82" t="n">
        <f aca="false">IF(B1016="","",IFERROR(INDEX('CARNET DE SOUDURE'!$D$7:$D$3006,MATCH(B1016,'CARNET DE SOUDURE'!$L$7:$L$3006,0)),IFERROR(INDEX('CARNET DE SOUDURE'!$D$7:$D$3006,MATCH(B1016,'CARNET DE SOUDURE'!$O$7:$O$3006,0)),"")))</f>
        <v>19</v>
      </c>
      <c r="M1016" s="82" t="str">
        <f aca="false">IF(B1016="","",IF(OR(J1016&lt;&gt;"",K1016&lt;&gt;""),"POSÉ EN LIGNE",IF(COUNTIF(BARDAGE!$C$1:$C$5000,B1016)&gt;0,"BARDÉ","EN STOCK")))</f>
        <v>POSÉ EN LIGNE</v>
      </c>
      <c r="N1016" s="80"/>
    </row>
    <row r="1017" customFormat="false" ht="15" hidden="false" customHeight="false" outlineLevel="0" collapsed="false">
      <c r="A1017" s="82" t="n">
        <f aca="false">IF(B1017="","",ROW()-6)</f>
        <v>1011</v>
      </c>
      <c r="B1017" s="145" t="n">
        <v>2081920</v>
      </c>
      <c r="C1017" s="146" t="n">
        <v>15421104</v>
      </c>
      <c r="D1017" s="146"/>
      <c r="E1017" s="82" t="str">
        <f aca="false">IF(B1017="","",IF(COUNTIFS('CARNET DE SOUDURE'!$L$7:$L$3006,B1017,'CARNET DE SOUDURE'!$M$7:$M$3006,"&lt;&gt;"&amp;C1017,'CARNET DE SOUDURE'!$M$7:$M$3006,"&lt;&gt;")+COUNTIFS('CARNET DE SOUDURE'!$O$7:$O$3006,B1017,'CARNET DE SOUDURE'!$P$7:$P$3006,"&lt;&gt;"&amp;C1017,'CARNET DE SOUDURE'!$P$7:$P$3006,"&lt;&gt;")&gt;0,"⚠ DIFFÉRENTE","OK"))</f>
        <v>OK</v>
      </c>
      <c r="F1017" s="147" t="n">
        <v>11.94</v>
      </c>
      <c r="G1017" s="80"/>
      <c r="H1017" s="83"/>
      <c r="I1017" s="148" t="str">
        <f aca="false">IF(B1017="","",IFERROR(INDEX('CARNET DE SOUDURE'!$B$7:$B$3006,MATCH(B1017,'CARNET DE SOUDURE'!$L$7:$L$3006,0)),IFERROR(INDEX('CARNET DE SOUDURE'!$B$7:$B$3006,MATCH(B1017,'CARNET DE SOUDURE'!$O$7:$O$3006,0)),"")))</f>
        <v>MFD-ISW → MFD-CPF</v>
      </c>
      <c r="J1017" s="82" t="str">
        <f aca="false">IF(B1017="","",IFERROR(INDEX('CARNET DE SOUDURE'!$E$7:$E$3006,MATCH(B1017,'CARNET DE SOUDURE'!$O$7:$O$3006,0)),""))</f>
        <v>DJ°028</v>
      </c>
      <c r="K1017" s="82" t="str">
        <f aca="false">IF(B1017="","",IFERROR(INDEX('CARNET DE SOUDURE'!$E$7:$E$3006,MATCH(B1017,'CARNET DE SOUDURE'!$L$7:$L$3006,0)),""))</f>
        <v>JN°1544</v>
      </c>
      <c r="L1017" s="82" t="n">
        <f aca="false">IF(B1017="","",IFERROR(INDEX('CARNET DE SOUDURE'!$D$7:$D$3006,MATCH(B1017,'CARNET DE SOUDURE'!$L$7:$L$3006,0)),IFERROR(INDEX('CARNET DE SOUDURE'!$D$7:$D$3006,MATCH(B1017,'CARNET DE SOUDURE'!$O$7:$O$3006,0)),"")))</f>
        <v>19</v>
      </c>
      <c r="M1017" s="82" t="str">
        <f aca="false">IF(B1017="","",IF(OR(J1017&lt;&gt;"",K1017&lt;&gt;""),"POSÉ EN LIGNE",IF(COUNTIF(BARDAGE!$C$1:$C$5000,B1017)&gt;0,"BARDÉ","EN STOCK")))</f>
        <v>POSÉ EN LIGNE</v>
      </c>
      <c r="N1017" s="80"/>
    </row>
    <row r="1018" customFormat="false" ht="15" hidden="false" customHeight="false" outlineLevel="0" collapsed="false">
      <c r="A1018" s="82" t="n">
        <f aca="false">IF(B1018="","",ROW()-6)</f>
        <v>1012</v>
      </c>
      <c r="B1018" s="145" t="n">
        <v>2098130</v>
      </c>
      <c r="C1018" s="146" t="n">
        <v>15421112</v>
      </c>
      <c r="D1018" s="146"/>
      <c r="E1018" s="82" t="str">
        <f aca="false">IF(B1018="","",IF(COUNTIFS('CARNET DE SOUDURE'!$L$7:$L$3006,B1018,'CARNET DE SOUDURE'!$M$7:$M$3006,"&lt;&gt;"&amp;C1018,'CARNET DE SOUDURE'!$M$7:$M$3006,"&lt;&gt;")+COUNTIFS('CARNET DE SOUDURE'!$O$7:$O$3006,B1018,'CARNET DE SOUDURE'!$P$7:$P$3006,"&lt;&gt;"&amp;C1018,'CARNET DE SOUDURE'!$P$7:$P$3006,"&lt;&gt;")&gt;0,"⚠ DIFFÉRENTE","OK"))</f>
        <v>OK</v>
      </c>
      <c r="F1018" s="147" t="n">
        <v>11.94</v>
      </c>
      <c r="G1018" s="80"/>
      <c r="H1018" s="83"/>
      <c r="I1018" s="148" t="str">
        <f aca="false">IF(B1018="","",IFERROR(INDEX('CARNET DE SOUDURE'!$B$7:$B$3006,MATCH(B1018,'CARNET DE SOUDURE'!$L$7:$L$3006,0)),IFERROR(INDEX('CARNET DE SOUDURE'!$B$7:$B$3006,MATCH(B1018,'CARNET DE SOUDURE'!$O$7:$O$3006,0)),"")))</f>
        <v>MFD-ISW → MFD-CPF</v>
      </c>
      <c r="J1018" s="82" t="str">
        <f aca="false">IF(B1018="","",IFERROR(INDEX('CARNET DE SOUDURE'!$E$7:$E$3006,MATCH(B1018,'CARNET DE SOUDURE'!$O$7:$O$3006,0)),""))</f>
        <v>JN°1544</v>
      </c>
      <c r="K1018" s="82" t="str">
        <f aca="false">IF(B1018="","",IFERROR(INDEX('CARNET DE SOUDURE'!$E$7:$E$3006,MATCH(B1018,'CARNET DE SOUDURE'!$L$7:$L$3006,0)),""))</f>
        <v>DJ°036</v>
      </c>
      <c r="L1018" s="82" t="n">
        <f aca="false">IF(B1018="","",IFERROR(INDEX('CARNET DE SOUDURE'!$D$7:$D$3006,MATCH(B1018,'CARNET DE SOUDURE'!$L$7:$L$3006,0)),IFERROR(INDEX('CARNET DE SOUDURE'!$D$7:$D$3006,MATCH(B1018,'CARNET DE SOUDURE'!$O$7:$O$3006,0)),"")))</f>
        <v>19</v>
      </c>
      <c r="M1018" s="82" t="str">
        <f aca="false">IF(B1018="","",IF(OR(J1018&lt;&gt;"",K1018&lt;&gt;""),"POSÉ EN LIGNE",IF(COUNTIF(BARDAGE!$C$1:$C$5000,B1018)&gt;0,"BARDÉ","EN STOCK")))</f>
        <v>POSÉ EN LIGNE</v>
      </c>
      <c r="N1018" s="80"/>
    </row>
    <row r="1019" customFormat="false" ht="15" hidden="false" customHeight="false" outlineLevel="0" collapsed="false">
      <c r="A1019" s="82" t="n">
        <f aca="false">IF(B1019="","",ROW()-6)</f>
        <v>1013</v>
      </c>
      <c r="B1019" s="145" t="n">
        <v>2090500</v>
      </c>
      <c r="C1019" s="146" t="n">
        <v>15421109</v>
      </c>
      <c r="D1019" s="146"/>
      <c r="E1019" s="82" t="str">
        <f aca="false">IF(B1019="","",IF(COUNTIFS('CARNET DE SOUDURE'!$L$7:$L$3006,B1019,'CARNET DE SOUDURE'!$M$7:$M$3006,"&lt;&gt;"&amp;C1019,'CARNET DE SOUDURE'!$M$7:$M$3006,"&lt;&gt;")+COUNTIFS('CARNET DE SOUDURE'!$O$7:$O$3006,B1019,'CARNET DE SOUDURE'!$P$7:$P$3006,"&lt;&gt;"&amp;C1019,'CARNET DE SOUDURE'!$P$7:$P$3006,"&lt;&gt;")&gt;0,"⚠ DIFFÉRENTE","OK"))</f>
        <v>OK</v>
      </c>
      <c r="F1019" s="147" t="n">
        <v>11.94</v>
      </c>
      <c r="G1019" s="80"/>
      <c r="H1019" s="83"/>
      <c r="I1019" s="148" t="str">
        <f aca="false">IF(B1019="","",IFERROR(INDEX('CARNET DE SOUDURE'!$B$7:$B$3006,MATCH(B1019,'CARNET DE SOUDURE'!$L$7:$L$3006,0)),IFERROR(INDEX('CARNET DE SOUDURE'!$B$7:$B$3006,MATCH(B1019,'CARNET DE SOUDURE'!$O$7:$O$3006,0)),"")))</f>
        <v>MFD-ISW → MFD-CPF</v>
      </c>
      <c r="J1019" s="82" t="str">
        <f aca="false">IF(B1019="","",IFERROR(INDEX('CARNET DE SOUDURE'!$E$7:$E$3006,MATCH(B1019,'CARNET DE SOUDURE'!$O$7:$O$3006,0)),""))</f>
        <v>DJ°036</v>
      </c>
      <c r="K1019" s="82" t="str">
        <f aca="false">IF(B1019="","",IFERROR(INDEX('CARNET DE SOUDURE'!$E$7:$E$3006,MATCH(B1019,'CARNET DE SOUDURE'!$L$7:$L$3006,0)),""))</f>
        <v>JN°1545</v>
      </c>
      <c r="L1019" s="82" t="n">
        <f aca="false">IF(B1019="","",IFERROR(INDEX('CARNET DE SOUDURE'!$D$7:$D$3006,MATCH(B1019,'CARNET DE SOUDURE'!$L$7:$L$3006,0)),IFERROR(INDEX('CARNET DE SOUDURE'!$D$7:$D$3006,MATCH(B1019,'CARNET DE SOUDURE'!$O$7:$O$3006,0)),"")))</f>
        <v>19</v>
      </c>
      <c r="M1019" s="82" t="str">
        <f aca="false">IF(B1019="","",IF(OR(J1019&lt;&gt;"",K1019&lt;&gt;""),"POSÉ EN LIGNE",IF(COUNTIF(BARDAGE!$C$1:$C$5000,B1019)&gt;0,"BARDÉ","EN STOCK")))</f>
        <v>POSÉ EN LIGNE</v>
      </c>
      <c r="N1019" s="80"/>
    </row>
    <row r="1020" customFormat="false" ht="15" hidden="false" customHeight="false" outlineLevel="0" collapsed="false">
      <c r="A1020" s="82" t="n">
        <f aca="false">IF(B1020="","",ROW()-6)</f>
        <v>1014</v>
      </c>
      <c r="B1020" s="145" t="n">
        <v>2091750</v>
      </c>
      <c r="C1020" s="146" t="n">
        <v>15421109</v>
      </c>
      <c r="D1020" s="146"/>
      <c r="E1020" s="82" t="str">
        <f aca="false">IF(B1020="","",IF(COUNTIFS('CARNET DE SOUDURE'!$L$7:$L$3006,B1020,'CARNET DE SOUDURE'!$M$7:$M$3006,"&lt;&gt;"&amp;C1020,'CARNET DE SOUDURE'!$M$7:$M$3006,"&lt;&gt;")+COUNTIFS('CARNET DE SOUDURE'!$O$7:$O$3006,B1020,'CARNET DE SOUDURE'!$P$7:$P$3006,"&lt;&gt;"&amp;C1020,'CARNET DE SOUDURE'!$P$7:$P$3006,"&lt;&gt;")&gt;0,"⚠ DIFFÉRENTE","OK"))</f>
        <v>OK</v>
      </c>
      <c r="F1020" s="147" t="n">
        <v>11.94</v>
      </c>
      <c r="G1020" s="80"/>
      <c r="H1020" s="83"/>
      <c r="I1020" s="148" t="str">
        <f aca="false">IF(B1020="","",IFERROR(INDEX('CARNET DE SOUDURE'!$B$7:$B$3006,MATCH(B1020,'CARNET DE SOUDURE'!$L$7:$L$3006,0)),IFERROR(INDEX('CARNET DE SOUDURE'!$B$7:$B$3006,MATCH(B1020,'CARNET DE SOUDURE'!$O$7:$O$3006,0)),"")))</f>
        <v>MFD-ISW → MFD-CPF</v>
      </c>
      <c r="J1020" s="82" t="str">
        <f aca="false">IF(B1020="","",IFERROR(INDEX('CARNET DE SOUDURE'!$E$7:$E$3006,MATCH(B1020,'CARNET DE SOUDURE'!$O$7:$O$3006,0)),""))</f>
        <v>JN°1545</v>
      </c>
      <c r="K1020" s="82" t="str">
        <f aca="false">IF(B1020="","",IFERROR(INDEX('CARNET DE SOUDURE'!$E$7:$E$3006,MATCH(B1020,'CARNET DE SOUDURE'!$L$7:$L$3006,0)),""))</f>
        <v>DJ°038</v>
      </c>
      <c r="L1020" s="82" t="n">
        <f aca="false">IF(B1020="","",IFERROR(INDEX('CARNET DE SOUDURE'!$D$7:$D$3006,MATCH(B1020,'CARNET DE SOUDURE'!$L$7:$L$3006,0)),IFERROR(INDEX('CARNET DE SOUDURE'!$D$7:$D$3006,MATCH(B1020,'CARNET DE SOUDURE'!$O$7:$O$3006,0)),"")))</f>
        <v>19</v>
      </c>
      <c r="M1020" s="82" t="str">
        <f aca="false">IF(B1020="","",IF(OR(J1020&lt;&gt;"",K1020&lt;&gt;""),"POSÉ EN LIGNE",IF(COUNTIF(BARDAGE!$C$1:$C$5000,B1020)&gt;0,"BARDÉ","EN STOCK")))</f>
        <v>POSÉ EN LIGNE</v>
      </c>
      <c r="N1020" s="80"/>
    </row>
    <row r="1021" customFormat="false" ht="15" hidden="false" customHeight="false" outlineLevel="0" collapsed="false">
      <c r="A1021" s="82" t="n">
        <f aca="false">IF(B1021="","",ROW()-6)</f>
        <v>1015</v>
      </c>
      <c r="B1021" s="145" t="n">
        <v>2090340</v>
      </c>
      <c r="C1021" s="146" t="n">
        <v>15421109</v>
      </c>
      <c r="D1021" s="146"/>
      <c r="E1021" s="82" t="str">
        <f aca="false">IF(B1021="","",IF(COUNTIFS('CARNET DE SOUDURE'!$L$7:$L$3006,B1021,'CARNET DE SOUDURE'!$M$7:$M$3006,"&lt;&gt;"&amp;C1021,'CARNET DE SOUDURE'!$M$7:$M$3006,"&lt;&gt;")+COUNTIFS('CARNET DE SOUDURE'!$O$7:$O$3006,B1021,'CARNET DE SOUDURE'!$P$7:$P$3006,"&lt;&gt;"&amp;C1021,'CARNET DE SOUDURE'!$P$7:$P$3006,"&lt;&gt;")&gt;0,"⚠ DIFFÉRENTE","OK"))</f>
        <v>OK</v>
      </c>
      <c r="F1021" s="147" t="n">
        <v>11.94</v>
      </c>
      <c r="G1021" s="80"/>
      <c r="H1021" s="83"/>
      <c r="I1021" s="148" t="str">
        <f aca="false">IF(B1021="","",IFERROR(INDEX('CARNET DE SOUDURE'!$B$7:$B$3006,MATCH(B1021,'CARNET DE SOUDURE'!$L$7:$L$3006,0)),IFERROR(INDEX('CARNET DE SOUDURE'!$B$7:$B$3006,MATCH(B1021,'CARNET DE SOUDURE'!$O$7:$O$3006,0)),"")))</f>
        <v>MFD-ISW → MFD-CPF</v>
      </c>
      <c r="J1021" s="82" t="str">
        <f aca="false">IF(B1021="","",IFERROR(INDEX('CARNET DE SOUDURE'!$E$7:$E$3006,MATCH(B1021,'CARNET DE SOUDURE'!$O$7:$O$3006,0)),""))</f>
        <v>DJ°038</v>
      </c>
      <c r="K1021" s="82" t="str">
        <f aca="false">IF(B1021="","",IFERROR(INDEX('CARNET DE SOUDURE'!$E$7:$E$3006,MATCH(B1021,'CARNET DE SOUDURE'!$L$7:$L$3006,0)),""))</f>
        <v>JN°1546R</v>
      </c>
      <c r="L1021" s="82" t="n">
        <f aca="false">IF(B1021="","",IFERROR(INDEX('CARNET DE SOUDURE'!$D$7:$D$3006,MATCH(B1021,'CARNET DE SOUDURE'!$L$7:$L$3006,0)),IFERROR(INDEX('CARNET DE SOUDURE'!$D$7:$D$3006,MATCH(B1021,'CARNET DE SOUDURE'!$O$7:$O$3006,0)),"")))</f>
        <v>19</v>
      </c>
      <c r="M1021" s="82" t="str">
        <f aca="false">IF(B1021="","",IF(OR(J1021&lt;&gt;"",K1021&lt;&gt;""),"POSÉ EN LIGNE",IF(COUNTIF(BARDAGE!$C$1:$C$5000,B1021)&gt;0,"BARDÉ","EN STOCK")))</f>
        <v>POSÉ EN LIGNE</v>
      </c>
      <c r="N1021" s="80"/>
    </row>
    <row r="1022" customFormat="false" ht="15" hidden="false" customHeight="false" outlineLevel="0" collapsed="false">
      <c r="A1022" s="82" t="n">
        <f aca="false">IF(B1022="","",ROW()-6)</f>
        <v>1016</v>
      </c>
      <c r="B1022" s="145" t="n">
        <v>2091600</v>
      </c>
      <c r="C1022" s="146" t="n">
        <v>15421109</v>
      </c>
      <c r="D1022" s="146"/>
      <c r="E1022" s="82" t="str">
        <f aca="false">IF(B1022="","",IF(COUNTIFS('CARNET DE SOUDURE'!$L$7:$L$3006,B1022,'CARNET DE SOUDURE'!$M$7:$M$3006,"&lt;&gt;"&amp;C1022,'CARNET DE SOUDURE'!$M$7:$M$3006,"&lt;&gt;")+COUNTIFS('CARNET DE SOUDURE'!$O$7:$O$3006,B1022,'CARNET DE SOUDURE'!$P$7:$P$3006,"&lt;&gt;"&amp;C1022,'CARNET DE SOUDURE'!$P$7:$P$3006,"&lt;&gt;")&gt;0,"⚠ DIFFÉRENTE","OK"))</f>
        <v>OK</v>
      </c>
      <c r="F1022" s="147" t="n">
        <v>11.94</v>
      </c>
      <c r="G1022" s="80"/>
      <c r="H1022" s="83"/>
      <c r="I1022" s="148" t="str">
        <f aca="false">IF(B1022="","",IFERROR(INDEX('CARNET DE SOUDURE'!$B$7:$B$3006,MATCH(B1022,'CARNET DE SOUDURE'!$L$7:$L$3006,0)),IFERROR(INDEX('CARNET DE SOUDURE'!$B$7:$B$3006,MATCH(B1022,'CARNET DE SOUDURE'!$O$7:$O$3006,0)),"")))</f>
        <v>MFD-ISW → MFD-CPF</v>
      </c>
      <c r="J1022" s="82" t="str">
        <f aca="false">IF(B1022="","",IFERROR(INDEX('CARNET DE SOUDURE'!$E$7:$E$3006,MATCH(B1022,'CARNET DE SOUDURE'!$O$7:$O$3006,0)),""))</f>
        <v>JN°1546R</v>
      </c>
      <c r="K1022" s="82" t="str">
        <f aca="false">IF(B1022="","",IFERROR(INDEX('CARNET DE SOUDURE'!$E$7:$E$3006,MATCH(B1022,'CARNET DE SOUDURE'!$L$7:$L$3006,0)),""))</f>
        <v>DJ°033</v>
      </c>
      <c r="L1022" s="82" t="n">
        <f aca="false">IF(B1022="","",IFERROR(INDEX('CARNET DE SOUDURE'!$D$7:$D$3006,MATCH(B1022,'CARNET DE SOUDURE'!$L$7:$L$3006,0)),IFERROR(INDEX('CARNET DE SOUDURE'!$D$7:$D$3006,MATCH(B1022,'CARNET DE SOUDURE'!$O$7:$O$3006,0)),"")))</f>
        <v>19</v>
      </c>
      <c r="M1022" s="82" t="str">
        <f aca="false">IF(B1022="","",IF(OR(J1022&lt;&gt;"",K1022&lt;&gt;""),"POSÉ EN LIGNE",IF(COUNTIF(BARDAGE!$C$1:$C$5000,B1022)&gt;0,"BARDÉ","EN STOCK")))</f>
        <v>POSÉ EN LIGNE</v>
      </c>
      <c r="N1022" s="80"/>
    </row>
    <row r="1023" customFormat="false" ht="15" hidden="false" customHeight="false" outlineLevel="0" collapsed="false">
      <c r="A1023" s="82" t="n">
        <f aca="false">IF(B1023="","",ROW()-6)</f>
        <v>1017</v>
      </c>
      <c r="B1023" s="145" t="n">
        <v>2095060</v>
      </c>
      <c r="C1023" s="146" t="n">
        <v>15421111</v>
      </c>
      <c r="D1023" s="146"/>
      <c r="E1023" s="82" t="str">
        <f aca="false">IF(B1023="","",IF(COUNTIFS('CARNET DE SOUDURE'!$L$7:$L$3006,B1023,'CARNET DE SOUDURE'!$M$7:$M$3006,"&lt;&gt;"&amp;C1023,'CARNET DE SOUDURE'!$M$7:$M$3006,"&lt;&gt;")+COUNTIFS('CARNET DE SOUDURE'!$O$7:$O$3006,B1023,'CARNET DE SOUDURE'!$P$7:$P$3006,"&lt;&gt;"&amp;C1023,'CARNET DE SOUDURE'!$P$7:$P$3006,"&lt;&gt;")&gt;0,"⚠ DIFFÉRENTE","OK"))</f>
        <v>OK</v>
      </c>
      <c r="F1023" s="147" t="n">
        <v>11.94</v>
      </c>
      <c r="G1023" s="80"/>
      <c r="H1023" s="83"/>
      <c r="I1023" s="148" t="str">
        <f aca="false">IF(B1023="","",IFERROR(INDEX('CARNET DE SOUDURE'!$B$7:$B$3006,MATCH(B1023,'CARNET DE SOUDURE'!$L$7:$L$3006,0)),IFERROR(INDEX('CARNET DE SOUDURE'!$B$7:$B$3006,MATCH(B1023,'CARNET DE SOUDURE'!$O$7:$O$3006,0)),"")))</f>
        <v>MFD-ISW → MFD-CPF</v>
      </c>
      <c r="J1023" s="82" t="str">
        <f aca="false">IF(B1023="","",IFERROR(INDEX('CARNET DE SOUDURE'!$E$7:$E$3006,MATCH(B1023,'CARNET DE SOUDURE'!$O$7:$O$3006,0)),""))</f>
        <v>DJ°033</v>
      </c>
      <c r="K1023" s="82" t="str">
        <f aca="false">IF(B1023="","",IFERROR(INDEX('CARNET DE SOUDURE'!$E$7:$E$3006,MATCH(B1023,'CARNET DE SOUDURE'!$L$7:$L$3006,0)),""))</f>
        <v>JN°1547</v>
      </c>
      <c r="L1023" s="82" t="n">
        <f aca="false">IF(B1023="","",IFERROR(INDEX('CARNET DE SOUDURE'!$D$7:$D$3006,MATCH(B1023,'CARNET DE SOUDURE'!$L$7:$L$3006,0)),IFERROR(INDEX('CARNET DE SOUDURE'!$D$7:$D$3006,MATCH(B1023,'CARNET DE SOUDURE'!$O$7:$O$3006,0)),"")))</f>
        <v>19</v>
      </c>
      <c r="M1023" s="82" t="str">
        <f aca="false">IF(B1023="","",IF(OR(J1023&lt;&gt;"",K1023&lt;&gt;""),"POSÉ EN LIGNE",IF(COUNTIF(BARDAGE!$C$1:$C$5000,B1023)&gt;0,"BARDÉ","EN STOCK")))</f>
        <v>POSÉ EN LIGNE</v>
      </c>
      <c r="N1023" s="80"/>
    </row>
    <row r="1024" customFormat="false" ht="15" hidden="false" customHeight="false" outlineLevel="0" collapsed="false">
      <c r="A1024" s="82" t="n">
        <f aca="false">IF(B1024="","",ROW()-6)</f>
        <v>1018</v>
      </c>
      <c r="B1024" s="145" t="n">
        <v>2082960</v>
      </c>
      <c r="C1024" s="146" t="n">
        <v>15421105</v>
      </c>
      <c r="D1024" s="146"/>
      <c r="E1024" s="82" t="str">
        <f aca="false">IF(B1024="","",IF(COUNTIFS('CARNET DE SOUDURE'!$L$7:$L$3006,B1024,'CARNET DE SOUDURE'!$M$7:$M$3006,"&lt;&gt;"&amp;C1024,'CARNET DE SOUDURE'!$M$7:$M$3006,"&lt;&gt;")+COUNTIFS('CARNET DE SOUDURE'!$O$7:$O$3006,B1024,'CARNET DE SOUDURE'!$P$7:$P$3006,"&lt;&gt;"&amp;C1024,'CARNET DE SOUDURE'!$P$7:$P$3006,"&lt;&gt;")&gt;0,"⚠ DIFFÉRENTE","OK"))</f>
        <v>OK</v>
      </c>
      <c r="F1024" s="147" t="n">
        <v>11.94</v>
      </c>
      <c r="G1024" s="80"/>
      <c r="H1024" s="83"/>
      <c r="I1024" s="148" t="str">
        <f aca="false">IF(B1024="","",IFERROR(INDEX('CARNET DE SOUDURE'!$B$7:$B$3006,MATCH(B1024,'CARNET DE SOUDURE'!$L$7:$L$3006,0)),IFERROR(INDEX('CARNET DE SOUDURE'!$B$7:$B$3006,MATCH(B1024,'CARNET DE SOUDURE'!$O$7:$O$3006,0)),"")))</f>
        <v>MFD-ISW → MFD-CPF</v>
      </c>
      <c r="J1024" s="82" t="str">
        <f aca="false">IF(B1024="","",IFERROR(INDEX('CARNET DE SOUDURE'!$E$7:$E$3006,MATCH(B1024,'CARNET DE SOUDURE'!$O$7:$O$3006,0)),""))</f>
        <v>JN°1547</v>
      </c>
      <c r="K1024" s="82" t="str">
        <f aca="false">IF(B1024="","",IFERROR(INDEX('CARNET DE SOUDURE'!$E$7:$E$3006,MATCH(B1024,'CARNET DE SOUDURE'!$L$7:$L$3006,0)),""))</f>
        <v>DJ°035</v>
      </c>
      <c r="L1024" s="82" t="n">
        <f aca="false">IF(B1024="","",IFERROR(INDEX('CARNET DE SOUDURE'!$D$7:$D$3006,MATCH(B1024,'CARNET DE SOUDURE'!$L$7:$L$3006,0)),IFERROR(INDEX('CARNET DE SOUDURE'!$D$7:$D$3006,MATCH(B1024,'CARNET DE SOUDURE'!$O$7:$O$3006,0)),"")))</f>
        <v>19</v>
      </c>
      <c r="M1024" s="82" t="str">
        <f aca="false">IF(B1024="","",IF(OR(J1024&lt;&gt;"",K1024&lt;&gt;""),"POSÉ EN LIGNE",IF(COUNTIF(BARDAGE!$C$1:$C$5000,B1024)&gt;0,"BARDÉ","EN STOCK")))</f>
        <v>POSÉ EN LIGNE</v>
      </c>
      <c r="N1024" s="80"/>
    </row>
    <row r="1025" customFormat="false" ht="15" hidden="false" customHeight="false" outlineLevel="0" collapsed="false">
      <c r="A1025" s="82" t="n">
        <f aca="false">IF(B1025="","",ROW()-6)</f>
        <v>1019</v>
      </c>
      <c r="B1025" s="145" t="n">
        <v>2081860</v>
      </c>
      <c r="C1025" s="146" t="n">
        <v>15421104</v>
      </c>
      <c r="D1025" s="146"/>
      <c r="E1025" s="82" t="str">
        <f aca="false">IF(B1025="","",IF(COUNTIFS('CARNET DE SOUDURE'!$L$7:$L$3006,B1025,'CARNET DE SOUDURE'!$M$7:$M$3006,"&lt;&gt;"&amp;C1025,'CARNET DE SOUDURE'!$M$7:$M$3006,"&lt;&gt;")+COUNTIFS('CARNET DE SOUDURE'!$O$7:$O$3006,B1025,'CARNET DE SOUDURE'!$P$7:$P$3006,"&lt;&gt;"&amp;C1025,'CARNET DE SOUDURE'!$P$7:$P$3006,"&lt;&gt;")&gt;0,"⚠ DIFFÉRENTE","OK"))</f>
        <v>OK</v>
      </c>
      <c r="F1025" s="147" t="n">
        <v>11.94</v>
      </c>
      <c r="G1025" s="80"/>
      <c r="H1025" s="83"/>
      <c r="I1025" s="148" t="str">
        <f aca="false">IF(B1025="","",IFERROR(INDEX('CARNET DE SOUDURE'!$B$7:$B$3006,MATCH(B1025,'CARNET DE SOUDURE'!$L$7:$L$3006,0)),IFERROR(INDEX('CARNET DE SOUDURE'!$B$7:$B$3006,MATCH(B1025,'CARNET DE SOUDURE'!$O$7:$O$3006,0)),"")))</f>
        <v>MFD-ISW → MFD-CPF</v>
      </c>
      <c r="J1025" s="82" t="str">
        <f aca="false">IF(B1025="","",IFERROR(INDEX('CARNET DE SOUDURE'!$E$7:$E$3006,MATCH(B1025,'CARNET DE SOUDURE'!$O$7:$O$3006,0)),""))</f>
        <v>DJ°035</v>
      </c>
      <c r="K1025" s="82" t="str">
        <f aca="false">IF(B1025="","",IFERROR(INDEX('CARNET DE SOUDURE'!$E$7:$E$3006,MATCH(B1025,'CARNET DE SOUDURE'!$L$7:$L$3006,0)),""))</f>
        <v>JN°1548</v>
      </c>
      <c r="L1025" s="82" t="n">
        <f aca="false">IF(B1025="","",IFERROR(INDEX('CARNET DE SOUDURE'!$D$7:$D$3006,MATCH(B1025,'CARNET DE SOUDURE'!$L$7:$L$3006,0)),IFERROR(INDEX('CARNET DE SOUDURE'!$D$7:$D$3006,MATCH(B1025,'CARNET DE SOUDURE'!$O$7:$O$3006,0)),"")))</f>
        <v>19</v>
      </c>
      <c r="M1025" s="82" t="str">
        <f aca="false">IF(B1025="","",IF(OR(J1025&lt;&gt;"",K1025&lt;&gt;""),"POSÉ EN LIGNE",IF(COUNTIF(BARDAGE!$C$1:$C$5000,B1025)&gt;0,"BARDÉ","EN STOCK")))</f>
        <v>POSÉ EN LIGNE</v>
      </c>
      <c r="N1025" s="80"/>
    </row>
    <row r="1026" customFormat="false" ht="15" hidden="false" customHeight="false" outlineLevel="0" collapsed="false">
      <c r="A1026" s="82" t="n">
        <f aca="false">IF(B1026="","",ROW()-6)</f>
        <v>1020</v>
      </c>
      <c r="B1026" s="145" t="n">
        <v>2095700</v>
      </c>
      <c r="C1026" s="146" t="n">
        <v>15421111</v>
      </c>
      <c r="D1026" s="146"/>
      <c r="E1026" s="82" t="str">
        <f aca="false">IF(B1026="","",IF(COUNTIFS('CARNET DE SOUDURE'!$L$7:$L$3006,B1026,'CARNET DE SOUDURE'!$M$7:$M$3006,"&lt;&gt;"&amp;C1026,'CARNET DE SOUDURE'!$M$7:$M$3006,"&lt;&gt;")+COUNTIFS('CARNET DE SOUDURE'!$O$7:$O$3006,B1026,'CARNET DE SOUDURE'!$P$7:$P$3006,"&lt;&gt;"&amp;C1026,'CARNET DE SOUDURE'!$P$7:$P$3006,"&lt;&gt;")&gt;0,"⚠ DIFFÉRENTE","OK"))</f>
        <v>OK</v>
      </c>
      <c r="F1026" s="147" t="n">
        <v>11.94</v>
      </c>
      <c r="G1026" s="80"/>
      <c r="H1026" s="83"/>
      <c r="I1026" s="148" t="str">
        <f aca="false">IF(B1026="","",IFERROR(INDEX('CARNET DE SOUDURE'!$B$7:$B$3006,MATCH(B1026,'CARNET DE SOUDURE'!$L$7:$L$3006,0)),IFERROR(INDEX('CARNET DE SOUDURE'!$B$7:$B$3006,MATCH(B1026,'CARNET DE SOUDURE'!$O$7:$O$3006,0)),"")))</f>
        <v>MFD-ISW → MFD-CPF</v>
      </c>
      <c r="J1026" s="82" t="str">
        <f aca="false">IF(B1026="","",IFERROR(INDEX('CARNET DE SOUDURE'!$E$7:$E$3006,MATCH(B1026,'CARNET DE SOUDURE'!$O$7:$O$3006,0)),""))</f>
        <v>JN°1548</v>
      </c>
      <c r="K1026" s="82" t="str">
        <f aca="false">IF(B1026="","",IFERROR(INDEX('CARNET DE SOUDURE'!$E$7:$E$3006,MATCH(B1026,'CARNET DE SOUDURE'!$L$7:$L$3006,0)),""))</f>
        <v>DJ°075</v>
      </c>
      <c r="L1026" s="82" t="n">
        <f aca="false">IF(B1026="","",IFERROR(INDEX('CARNET DE SOUDURE'!$D$7:$D$3006,MATCH(B1026,'CARNET DE SOUDURE'!$L$7:$L$3006,0)),IFERROR(INDEX('CARNET DE SOUDURE'!$D$7:$D$3006,MATCH(B1026,'CARNET DE SOUDURE'!$O$7:$O$3006,0)),"")))</f>
        <v>19</v>
      </c>
      <c r="M1026" s="82" t="str">
        <f aca="false">IF(B1026="","",IF(OR(J1026&lt;&gt;"",K1026&lt;&gt;""),"POSÉ EN LIGNE",IF(COUNTIF(BARDAGE!$C$1:$C$5000,B1026)&gt;0,"BARDÉ","EN STOCK")))</f>
        <v>POSÉ EN LIGNE</v>
      </c>
      <c r="N1026" s="80"/>
    </row>
    <row r="1027" customFormat="false" ht="15" hidden="false" customHeight="false" outlineLevel="0" collapsed="false">
      <c r="A1027" s="82" t="n">
        <f aca="false">IF(B1027="","",ROW()-6)</f>
        <v>1021</v>
      </c>
      <c r="B1027" s="145" t="n">
        <v>2093100</v>
      </c>
      <c r="C1027" s="146" t="n">
        <v>15421110</v>
      </c>
      <c r="D1027" s="146"/>
      <c r="E1027" s="82" t="str">
        <f aca="false">IF(B1027="","",IF(COUNTIFS('CARNET DE SOUDURE'!$L$7:$L$3006,B1027,'CARNET DE SOUDURE'!$M$7:$M$3006,"&lt;&gt;"&amp;C1027,'CARNET DE SOUDURE'!$M$7:$M$3006,"&lt;&gt;")+COUNTIFS('CARNET DE SOUDURE'!$O$7:$O$3006,B1027,'CARNET DE SOUDURE'!$P$7:$P$3006,"&lt;&gt;"&amp;C1027,'CARNET DE SOUDURE'!$P$7:$P$3006,"&lt;&gt;")&gt;0,"⚠ DIFFÉRENTE","OK"))</f>
        <v>OK</v>
      </c>
      <c r="F1027" s="147" t="n">
        <v>11.94</v>
      </c>
      <c r="G1027" s="80"/>
      <c r="H1027" s="83"/>
      <c r="I1027" s="148" t="str">
        <f aca="false">IF(B1027="","",IFERROR(INDEX('CARNET DE SOUDURE'!$B$7:$B$3006,MATCH(B1027,'CARNET DE SOUDURE'!$L$7:$L$3006,0)),IFERROR(INDEX('CARNET DE SOUDURE'!$B$7:$B$3006,MATCH(B1027,'CARNET DE SOUDURE'!$O$7:$O$3006,0)),"")))</f>
        <v>MFD-ISW → MFD-CPF</v>
      </c>
      <c r="J1027" s="82" t="str">
        <f aca="false">IF(B1027="","",IFERROR(INDEX('CARNET DE SOUDURE'!$E$7:$E$3006,MATCH(B1027,'CARNET DE SOUDURE'!$O$7:$O$3006,0)),""))</f>
        <v>DJ°075</v>
      </c>
      <c r="K1027" s="82" t="str">
        <f aca="false">IF(B1027="","",IFERROR(INDEX('CARNET DE SOUDURE'!$E$7:$E$3006,MATCH(B1027,'CARNET DE SOUDURE'!$L$7:$L$3006,0)),""))</f>
        <v>JN°1549</v>
      </c>
      <c r="L1027" s="82" t="n">
        <f aca="false">IF(B1027="","",IFERROR(INDEX('CARNET DE SOUDURE'!$D$7:$D$3006,MATCH(B1027,'CARNET DE SOUDURE'!$L$7:$L$3006,0)),IFERROR(INDEX('CARNET DE SOUDURE'!$D$7:$D$3006,MATCH(B1027,'CARNET DE SOUDURE'!$O$7:$O$3006,0)),"")))</f>
        <v>19</v>
      </c>
      <c r="M1027" s="82" t="str">
        <f aca="false">IF(B1027="","",IF(OR(J1027&lt;&gt;"",K1027&lt;&gt;""),"POSÉ EN LIGNE",IF(COUNTIF(BARDAGE!$C$1:$C$5000,B1027)&gt;0,"BARDÉ","EN STOCK")))</f>
        <v>POSÉ EN LIGNE</v>
      </c>
      <c r="N1027" s="80"/>
    </row>
    <row r="1028" customFormat="false" ht="15" hidden="false" customHeight="false" outlineLevel="0" collapsed="false">
      <c r="A1028" s="82" t="n">
        <f aca="false">IF(B1028="","",ROW()-6)</f>
        <v>1022</v>
      </c>
      <c r="B1028" s="145" t="n">
        <v>2092640</v>
      </c>
      <c r="C1028" s="146" t="n">
        <v>15421110</v>
      </c>
      <c r="D1028" s="146"/>
      <c r="E1028" s="82" t="str">
        <f aca="false">IF(B1028="","",IF(COUNTIFS('CARNET DE SOUDURE'!$L$7:$L$3006,B1028,'CARNET DE SOUDURE'!$M$7:$M$3006,"&lt;&gt;"&amp;C1028,'CARNET DE SOUDURE'!$M$7:$M$3006,"&lt;&gt;")+COUNTIFS('CARNET DE SOUDURE'!$O$7:$O$3006,B1028,'CARNET DE SOUDURE'!$P$7:$P$3006,"&lt;&gt;"&amp;C1028,'CARNET DE SOUDURE'!$P$7:$P$3006,"&lt;&gt;")&gt;0,"⚠ DIFFÉRENTE","OK"))</f>
        <v>OK</v>
      </c>
      <c r="F1028" s="147" t="n">
        <v>11.94</v>
      </c>
      <c r="G1028" s="80"/>
      <c r="H1028" s="83"/>
      <c r="I1028" s="148" t="str">
        <f aca="false">IF(B1028="","",IFERROR(INDEX('CARNET DE SOUDURE'!$B$7:$B$3006,MATCH(B1028,'CARNET DE SOUDURE'!$L$7:$L$3006,0)),IFERROR(INDEX('CARNET DE SOUDURE'!$B$7:$B$3006,MATCH(B1028,'CARNET DE SOUDURE'!$O$7:$O$3006,0)),"")))</f>
        <v>MFD-ISW → MFD-CPF</v>
      </c>
      <c r="J1028" s="82" t="str">
        <f aca="false">IF(B1028="","",IFERROR(INDEX('CARNET DE SOUDURE'!$E$7:$E$3006,MATCH(B1028,'CARNET DE SOUDURE'!$O$7:$O$3006,0)),""))</f>
        <v>JN°1549</v>
      </c>
      <c r="K1028" s="82" t="str">
        <f aca="false">IF(B1028="","",IFERROR(INDEX('CARNET DE SOUDURE'!$E$7:$E$3006,MATCH(B1028,'CARNET DE SOUDURE'!$L$7:$L$3006,0)),""))</f>
        <v>DJ°066</v>
      </c>
      <c r="L1028" s="82" t="n">
        <f aca="false">IF(B1028="","",IFERROR(INDEX('CARNET DE SOUDURE'!$D$7:$D$3006,MATCH(B1028,'CARNET DE SOUDURE'!$L$7:$L$3006,0)),IFERROR(INDEX('CARNET DE SOUDURE'!$D$7:$D$3006,MATCH(B1028,'CARNET DE SOUDURE'!$O$7:$O$3006,0)),"")))</f>
        <v>19</v>
      </c>
      <c r="M1028" s="82" t="str">
        <f aca="false">IF(B1028="","",IF(OR(J1028&lt;&gt;"",K1028&lt;&gt;""),"POSÉ EN LIGNE",IF(COUNTIF(BARDAGE!$C$1:$C$5000,B1028)&gt;0,"BARDÉ","EN STOCK")))</f>
        <v>POSÉ EN LIGNE</v>
      </c>
      <c r="N1028" s="80"/>
    </row>
    <row r="1029" customFormat="false" ht="15" hidden="false" customHeight="false" outlineLevel="0" collapsed="false">
      <c r="A1029" s="82" t="n">
        <f aca="false">IF(B1029="","",ROW()-6)</f>
        <v>1023</v>
      </c>
      <c r="B1029" s="145" t="n">
        <v>2079610</v>
      </c>
      <c r="C1029" s="146" t="n">
        <v>15421102</v>
      </c>
      <c r="D1029" s="146"/>
      <c r="E1029" s="82" t="str">
        <f aca="false">IF(B1029="","",IF(COUNTIFS('CARNET DE SOUDURE'!$L$7:$L$3006,B1029,'CARNET DE SOUDURE'!$M$7:$M$3006,"&lt;&gt;"&amp;C1029,'CARNET DE SOUDURE'!$M$7:$M$3006,"&lt;&gt;")+COUNTIFS('CARNET DE SOUDURE'!$O$7:$O$3006,B1029,'CARNET DE SOUDURE'!$P$7:$P$3006,"&lt;&gt;"&amp;C1029,'CARNET DE SOUDURE'!$P$7:$P$3006,"&lt;&gt;")&gt;0,"⚠ DIFFÉRENTE","OK"))</f>
        <v>OK</v>
      </c>
      <c r="F1029" s="147" t="n">
        <v>11.94</v>
      </c>
      <c r="G1029" s="80"/>
      <c r="H1029" s="83"/>
      <c r="I1029" s="148" t="str">
        <f aca="false">IF(B1029="","",IFERROR(INDEX('CARNET DE SOUDURE'!$B$7:$B$3006,MATCH(B1029,'CARNET DE SOUDURE'!$L$7:$L$3006,0)),IFERROR(INDEX('CARNET DE SOUDURE'!$B$7:$B$3006,MATCH(B1029,'CARNET DE SOUDURE'!$O$7:$O$3006,0)),"")))</f>
        <v>MFD-ISW → MFD-CPF</v>
      </c>
      <c r="J1029" s="82" t="str">
        <f aca="false">IF(B1029="","",IFERROR(INDEX('CARNET DE SOUDURE'!$E$7:$E$3006,MATCH(B1029,'CARNET DE SOUDURE'!$O$7:$O$3006,0)),""))</f>
        <v>DJ°066</v>
      </c>
      <c r="K1029" s="82" t="str">
        <f aca="false">IF(B1029="","",IFERROR(INDEX('CARNET DE SOUDURE'!$E$7:$E$3006,MATCH(B1029,'CARNET DE SOUDURE'!$L$7:$L$3006,0)),""))</f>
        <v>JN°1550R</v>
      </c>
      <c r="L1029" s="82" t="n">
        <f aca="false">IF(B1029="","",IFERROR(INDEX('CARNET DE SOUDURE'!$D$7:$D$3006,MATCH(B1029,'CARNET DE SOUDURE'!$L$7:$L$3006,0)),IFERROR(INDEX('CARNET DE SOUDURE'!$D$7:$D$3006,MATCH(B1029,'CARNET DE SOUDURE'!$O$7:$O$3006,0)),"")))</f>
        <v>19</v>
      </c>
      <c r="M1029" s="82" t="str">
        <f aca="false">IF(B1029="","",IF(OR(J1029&lt;&gt;"",K1029&lt;&gt;""),"POSÉ EN LIGNE",IF(COUNTIF(BARDAGE!$C$1:$C$5000,B1029)&gt;0,"BARDÉ","EN STOCK")))</f>
        <v>POSÉ EN LIGNE</v>
      </c>
      <c r="N1029" s="80"/>
    </row>
    <row r="1030" customFormat="false" ht="15" hidden="false" customHeight="false" outlineLevel="0" collapsed="false">
      <c r="A1030" s="82" t="n">
        <f aca="false">IF(B1030="","",ROW()-6)</f>
        <v>1024</v>
      </c>
      <c r="B1030" s="145" t="n">
        <v>2081150</v>
      </c>
      <c r="C1030" s="146" t="n">
        <v>15421103</v>
      </c>
      <c r="D1030" s="146"/>
      <c r="E1030" s="82" t="str">
        <f aca="false">IF(B1030="","",IF(COUNTIFS('CARNET DE SOUDURE'!$L$7:$L$3006,B1030,'CARNET DE SOUDURE'!$M$7:$M$3006,"&lt;&gt;"&amp;C1030,'CARNET DE SOUDURE'!$M$7:$M$3006,"&lt;&gt;")+COUNTIFS('CARNET DE SOUDURE'!$O$7:$O$3006,B1030,'CARNET DE SOUDURE'!$P$7:$P$3006,"&lt;&gt;"&amp;C1030,'CARNET DE SOUDURE'!$P$7:$P$3006,"&lt;&gt;")&gt;0,"⚠ DIFFÉRENTE","OK"))</f>
        <v>OK</v>
      </c>
      <c r="F1030" s="147" t="n">
        <v>11.94</v>
      </c>
      <c r="G1030" s="80"/>
      <c r="H1030" s="83"/>
      <c r="I1030" s="148" t="str">
        <f aca="false">IF(B1030="","",IFERROR(INDEX('CARNET DE SOUDURE'!$B$7:$B$3006,MATCH(B1030,'CARNET DE SOUDURE'!$L$7:$L$3006,0)),IFERROR(INDEX('CARNET DE SOUDURE'!$B$7:$B$3006,MATCH(B1030,'CARNET DE SOUDURE'!$O$7:$O$3006,0)),"")))</f>
        <v>MFD-ISW → MFD-CPF</v>
      </c>
      <c r="J1030" s="82" t="str">
        <f aca="false">IF(B1030="","",IFERROR(INDEX('CARNET DE SOUDURE'!$E$7:$E$3006,MATCH(B1030,'CARNET DE SOUDURE'!$O$7:$O$3006,0)),""))</f>
        <v>JN°1550R</v>
      </c>
      <c r="K1030" s="82" t="str">
        <f aca="false">IF(B1030="","",IFERROR(INDEX('CARNET DE SOUDURE'!$E$7:$E$3006,MATCH(B1030,'CARNET DE SOUDURE'!$L$7:$L$3006,0)),""))</f>
        <v>JN°1551</v>
      </c>
      <c r="L1030" s="82" t="n">
        <f aca="false">IF(B1030="","",IFERROR(INDEX('CARNET DE SOUDURE'!$D$7:$D$3006,MATCH(B1030,'CARNET DE SOUDURE'!$L$7:$L$3006,0)),IFERROR(INDEX('CARNET DE SOUDURE'!$D$7:$D$3006,MATCH(B1030,'CARNET DE SOUDURE'!$O$7:$O$3006,0)),"")))</f>
        <v>19</v>
      </c>
      <c r="M1030" s="82" t="str">
        <f aca="false">IF(B1030="","",IF(OR(J1030&lt;&gt;"",K1030&lt;&gt;""),"POSÉ EN LIGNE",IF(COUNTIF(BARDAGE!$C$1:$C$5000,B1030)&gt;0,"BARDÉ","EN STOCK")))</f>
        <v>POSÉ EN LIGNE</v>
      </c>
      <c r="N1030" s="80"/>
    </row>
    <row r="1031" customFormat="false" ht="15" hidden="false" customHeight="false" outlineLevel="0" collapsed="false">
      <c r="A1031" s="82" t="n">
        <f aca="false">IF(B1031="","",ROW()-6)</f>
        <v>1025</v>
      </c>
      <c r="B1031" s="145" t="n">
        <v>2097710</v>
      </c>
      <c r="C1031" s="146" t="n">
        <v>15421102</v>
      </c>
      <c r="D1031" s="146"/>
      <c r="E1031" s="82" t="str">
        <f aca="false">IF(B1031="","",IF(COUNTIFS('CARNET DE SOUDURE'!$L$7:$L$3006,B1031,'CARNET DE SOUDURE'!$M$7:$M$3006,"&lt;&gt;"&amp;C1031,'CARNET DE SOUDURE'!$M$7:$M$3006,"&lt;&gt;")+COUNTIFS('CARNET DE SOUDURE'!$O$7:$O$3006,B1031,'CARNET DE SOUDURE'!$P$7:$P$3006,"&lt;&gt;"&amp;C1031,'CARNET DE SOUDURE'!$P$7:$P$3006,"&lt;&gt;")&gt;0,"⚠ DIFFÉRENTE","OK"))</f>
        <v>OK</v>
      </c>
      <c r="F1031" s="147" t="n">
        <v>11.94</v>
      </c>
      <c r="G1031" s="80"/>
      <c r="H1031" s="83"/>
      <c r="I1031" s="148" t="str">
        <f aca="false">IF(B1031="","",IFERROR(INDEX('CARNET DE SOUDURE'!$B$7:$B$3006,MATCH(B1031,'CARNET DE SOUDURE'!$L$7:$L$3006,0)),IFERROR(INDEX('CARNET DE SOUDURE'!$B$7:$B$3006,MATCH(B1031,'CARNET DE SOUDURE'!$O$7:$O$3006,0)),"")))</f>
        <v>MFD-ISW → MFD-CPF</v>
      </c>
      <c r="J1031" s="82" t="str">
        <f aca="false">IF(B1031="","",IFERROR(INDEX('CARNET DE SOUDURE'!$E$7:$E$3006,MATCH(B1031,'CARNET DE SOUDURE'!$O$7:$O$3006,0)),""))</f>
        <v>JN°1551</v>
      </c>
      <c r="K1031" s="82" t="str">
        <f aca="false">IF(B1031="","",IFERROR(INDEX('CARNET DE SOUDURE'!$E$7:$E$3006,MATCH(B1031,'CARNET DE SOUDURE'!$L$7:$L$3006,0)),""))</f>
        <v>JN°1552</v>
      </c>
      <c r="L1031" s="82" t="n">
        <f aca="false">IF(B1031="","",IFERROR(INDEX('CARNET DE SOUDURE'!$D$7:$D$3006,MATCH(B1031,'CARNET DE SOUDURE'!$L$7:$L$3006,0)),IFERROR(INDEX('CARNET DE SOUDURE'!$D$7:$D$3006,MATCH(B1031,'CARNET DE SOUDURE'!$O$7:$O$3006,0)),"")))</f>
        <v>19</v>
      </c>
      <c r="M1031" s="82" t="str">
        <f aca="false">IF(B1031="","",IF(OR(J1031&lt;&gt;"",K1031&lt;&gt;""),"POSÉ EN LIGNE",IF(COUNTIF(BARDAGE!$C$1:$C$5000,B1031)&gt;0,"BARDÉ","EN STOCK")))</f>
        <v>POSÉ EN LIGNE</v>
      </c>
      <c r="N1031" s="80"/>
    </row>
    <row r="1032" customFormat="false" ht="15" hidden="false" customHeight="false" outlineLevel="0" collapsed="false">
      <c r="A1032" s="82" t="n">
        <f aca="false">IF(B1032="","",ROW()-6)</f>
        <v>1026</v>
      </c>
      <c r="B1032" s="145" t="n">
        <v>2095770</v>
      </c>
      <c r="C1032" s="146" t="n">
        <v>15421111</v>
      </c>
      <c r="D1032" s="146"/>
      <c r="E1032" s="82" t="str">
        <f aca="false">IF(B1032="","",IF(COUNTIFS('CARNET DE SOUDURE'!$L$7:$L$3006,B1032,'CARNET DE SOUDURE'!$M$7:$M$3006,"&lt;&gt;"&amp;C1032,'CARNET DE SOUDURE'!$M$7:$M$3006,"&lt;&gt;")+COUNTIFS('CARNET DE SOUDURE'!$O$7:$O$3006,B1032,'CARNET DE SOUDURE'!$P$7:$P$3006,"&lt;&gt;"&amp;C1032,'CARNET DE SOUDURE'!$P$7:$P$3006,"&lt;&gt;")&gt;0,"⚠ DIFFÉRENTE","OK"))</f>
        <v>OK</v>
      </c>
      <c r="F1032" s="147" t="n">
        <v>11.94</v>
      </c>
      <c r="G1032" s="80"/>
      <c r="H1032" s="83"/>
      <c r="I1032" s="148" t="str">
        <f aca="false">IF(B1032="","",IFERROR(INDEX('CARNET DE SOUDURE'!$B$7:$B$3006,MATCH(B1032,'CARNET DE SOUDURE'!$L$7:$L$3006,0)),IFERROR(INDEX('CARNET DE SOUDURE'!$B$7:$B$3006,MATCH(B1032,'CARNET DE SOUDURE'!$O$7:$O$3006,0)),"")))</f>
        <v>MFD-ISW → MFD-CPF</v>
      </c>
      <c r="J1032" s="82" t="str">
        <f aca="false">IF(B1032="","",IFERROR(INDEX('CARNET DE SOUDURE'!$E$7:$E$3006,MATCH(B1032,'CARNET DE SOUDURE'!$O$7:$O$3006,0)),""))</f>
        <v>JN°1552</v>
      </c>
      <c r="K1032" s="82" t="str">
        <f aca="false">IF(B1032="","",IFERROR(INDEX('CARNET DE SOUDURE'!$E$7:$E$3006,MATCH(B1032,'CARNET DE SOUDURE'!$L$7:$L$3006,0)),""))</f>
        <v>JN°1553</v>
      </c>
      <c r="L1032" s="82" t="n">
        <f aca="false">IF(B1032="","",IFERROR(INDEX('CARNET DE SOUDURE'!$D$7:$D$3006,MATCH(B1032,'CARNET DE SOUDURE'!$L$7:$L$3006,0)),IFERROR(INDEX('CARNET DE SOUDURE'!$D$7:$D$3006,MATCH(B1032,'CARNET DE SOUDURE'!$O$7:$O$3006,0)),"")))</f>
        <v>19</v>
      </c>
      <c r="M1032" s="82" t="str">
        <f aca="false">IF(B1032="","",IF(OR(J1032&lt;&gt;"",K1032&lt;&gt;""),"POSÉ EN LIGNE",IF(COUNTIF(BARDAGE!$C$1:$C$5000,B1032)&gt;0,"BARDÉ","EN STOCK")))</f>
        <v>POSÉ EN LIGNE</v>
      </c>
      <c r="N1032" s="80"/>
    </row>
    <row r="1033" customFormat="false" ht="15" hidden="false" customHeight="false" outlineLevel="0" collapsed="false">
      <c r="A1033" s="82" t="n">
        <f aca="false">IF(B1033="","",ROW()-6)</f>
        <v>1027</v>
      </c>
      <c r="B1033" s="145" t="n">
        <v>2096250</v>
      </c>
      <c r="C1033" s="146" t="n">
        <v>15421111</v>
      </c>
      <c r="D1033" s="146"/>
      <c r="E1033" s="82" t="str">
        <f aca="false">IF(B1033="","",IF(COUNTIFS('CARNET DE SOUDURE'!$L$7:$L$3006,B1033,'CARNET DE SOUDURE'!$M$7:$M$3006,"&lt;&gt;"&amp;C1033,'CARNET DE SOUDURE'!$M$7:$M$3006,"&lt;&gt;")+COUNTIFS('CARNET DE SOUDURE'!$O$7:$O$3006,B1033,'CARNET DE SOUDURE'!$P$7:$P$3006,"&lt;&gt;"&amp;C1033,'CARNET DE SOUDURE'!$P$7:$P$3006,"&lt;&gt;")&gt;0,"⚠ DIFFÉRENTE","OK"))</f>
        <v>OK</v>
      </c>
      <c r="F1033" s="147" t="n">
        <v>11.94</v>
      </c>
      <c r="G1033" s="80"/>
      <c r="H1033" s="83"/>
      <c r="I1033" s="148" t="str">
        <f aca="false">IF(B1033="","",IFERROR(INDEX('CARNET DE SOUDURE'!$B$7:$B$3006,MATCH(B1033,'CARNET DE SOUDURE'!$L$7:$L$3006,0)),IFERROR(INDEX('CARNET DE SOUDURE'!$B$7:$B$3006,MATCH(B1033,'CARNET DE SOUDURE'!$O$7:$O$3006,0)),"")))</f>
        <v>MFD-ISW → MFD-CPF</v>
      </c>
      <c r="J1033" s="82" t="str">
        <f aca="false">IF(B1033="","",IFERROR(INDEX('CARNET DE SOUDURE'!$E$7:$E$3006,MATCH(B1033,'CARNET DE SOUDURE'!$O$7:$O$3006,0)),""))</f>
        <v>JN°1553</v>
      </c>
      <c r="K1033" s="82" t="str">
        <f aca="false">IF(B1033="","",IFERROR(INDEX('CARNET DE SOUDURE'!$E$7:$E$3006,MATCH(B1033,'CARNET DE SOUDURE'!$L$7:$L$3006,0)),""))</f>
        <v>JN°1554</v>
      </c>
      <c r="L1033" s="82" t="n">
        <f aca="false">IF(B1033="","",IFERROR(INDEX('CARNET DE SOUDURE'!$D$7:$D$3006,MATCH(B1033,'CARNET DE SOUDURE'!$L$7:$L$3006,0)),IFERROR(INDEX('CARNET DE SOUDURE'!$D$7:$D$3006,MATCH(B1033,'CARNET DE SOUDURE'!$O$7:$O$3006,0)),"")))</f>
        <v>19</v>
      </c>
      <c r="M1033" s="82" t="str">
        <f aca="false">IF(B1033="","",IF(OR(J1033&lt;&gt;"",K1033&lt;&gt;""),"POSÉ EN LIGNE",IF(COUNTIF(BARDAGE!$C$1:$C$5000,B1033)&gt;0,"BARDÉ","EN STOCK")))</f>
        <v>POSÉ EN LIGNE</v>
      </c>
      <c r="N1033" s="80"/>
    </row>
    <row r="1034" customFormat="false" ht="15" hidden="false" customHeight="false" outlineLevel="0" collapsed="false">
      <c r="A1034" s="82" t="n">
        <f aca="false">IF(B1034="","",ROW()-6)</f>
        <v>1028</v>
      </c>
      <c r="B1034" s="145" t="n">
        <v>2096890</v>
      </c>
      <c r="C1034" s="146" t="n">
        <v>15421111</v>
      </c>
      <c r="D1034" s="146"/>
      <c r="E1034" s="82" t="str">
        <f aca="false">IF(B1034="","",IF(COUNTIFS('CARNET DE SOUDURE'!$L$7:$L$3006,B1034,'CARNET DE SOUDURE'!$M$7:$M$3006,"&lt;&gt;"&amp;C1034,'CARNET DE SOUDURE'!$M$7:$M$3006,"&lt;&gt;")+COUNTIFS('CARNET DE SOUDURE'!$O$7:$O$3006,B1034,'CARNET DE SOUDURE'!$P$7:$P$3006,"&lt;&gt;"&amp;C1034,'CARNET DE SOUDURE'!$P$7:$P$3006,"&lt;&gt;")&gt;0,"⚠ DIFFÉRENTE","OK"))</f>
        <v>OK</v>
      </c>
      <c r="F1034" s="147" t="n">
        <v>11.94</v>
      </c>
      <c r="G1034" s="80"/>
      <c r="H1034" s="83"/>
      <c r="I1034" s="148" t="str">
        <f aca="false">IF(B1034="","",IFERROR(INDEX('CARNET DE SOUDURE'!$B$7:$B$3006,MATCH(B1034,'CARNET DE SOUDURE'!$L$7:$L$3006,0)),IFERROR(INDEX('CARNET DE SOUDURE'!$B$7:$B$3006,MATCH(B1034,'CARNET DE SOUDURE'!$O$7:$O$3006,0)),"")))</f>
        <v>MFD-ISW → MFD-CPF</v>
      </c>
      <c r="J1034" s="82" t="str">
        <f aca="false">IF(B1034="","",IFERROR(INDEX('CARNET DE SOUDURE'!$E$7:$E$3006,MATCH(B1034,'CARNET DE SOUDURE'!$O$7:$O$3006,0)),""))</f>
        <v>JN°1554</v>
      </c>
      <c r="K1034" s="82" t="str">
        <f aca="false">IF(B1034="","",IFERROR(INDEX('CARNET DE SOUDURE'!$E$7:$E$3006,MATCH(B1034,'CARNET DE SOUDURE'!$L$7:$L$3006,0)),""))</f>
        <v>JN°1555</v>
      </c>
      <c r="L1034" s="82" t="n">
        <f aca="false">IF(B1034="","",IFERROR(INDEX('CARNET DE SOUDURE'!$D$7:$D$3006,MATCH(B1034,'CARNET DE SOUDURE'!$L$7:$L$3006,0)),IFERROR(INDEX('CARNET DE SOUDURE'!$D$7:$D$3006,MATCH(B1034,'CARNET DE SOUDURE'!$O$7:$O$3006,0)),"")))</f>
        <v>19</v>
      </c>
      <c r="M1034" s="82" t="str">
        <f aca="false">IF(B1034="","",IF(OR(J1034&lt;&gt;"",K1034&lt;&gt;""),"POSÉ EN LIGNE",IF(COUNTIF(BARDAGE!$C$1:$C$5000,B1034)&gt;0,"BARDÉ","EN STOCK")))</f>
        <v>POSÉ EN LIGNE</v>
      </c>
      <c r="N1034" s="80"/>
    </row>
    <row r="1035" customFormat="false" ht="15" hidden="false" customHeight="false" outlineLevel="0" collapsed="false">
      <c r="A1035" s="82" t="n">
        <f aca="false">IF(B1035="","",ROW()-6)</f>
        <v>1029</v>
      </c>
      <c r="B1035" s="145" t="n">
        <v>2083920</v>
      </c>
      <c r="C1035" s="146" t="n">
        <v>15421106</v>
      </c>
      <c r="D1035" s="146"/>
      <c r="E1035" s="82" t="str">
        <f aca="false">IF(B1035="","",IF(COUNTIFS('CARNET DE SOUDURE'!$L$7:$L$3006,B1035,'CARNET DE SOUDURE'!$M$7:$M$3006,"&lt;&gt;"&amp;C1035,'CARNET DE SOUDURE'!$M$7:$M$3006,"&lt;&gt;")+COUNTIFS('CARNET DE SOUDURE'!$O$7:$O$3006,B1035,'CARNET DE SOUDURE'!$P$7:$P$3006,"&lt;&gt;"&amp;C1035,'CARNET DE SOUDURE'!$P$7:$P$3006,"&lt;&gt;")&gt;0,"⚠ DIFFÉRENTE","OK"))</f>
        <v>OK</v>
      </c>
      <c r="F1035" s="147" t="n">
        <v>11.94</v>
      </c>
      <c r="G1035" s="80"/>
      <c r="H1035" s="83"/>
      <c r="I1035" s="148" t="str">
        <f aca="false">IF(B1035="","",IFERROR(INDEX('CARNET DE SOUDURE'!$B$7:$B$3006,MATCH(B1035,'CARNET DE SOUDURE'!$L$7:$L$3006,0)),IFERROR(INDEX('CARNET DE SOUDURE'!$B$7:$B$3006,MATCH(B1035,'CARNET DE SOUDURE'!$O$7:$O$3006,0)),"")))</f>
        <v>MFD-ISW → MFD-CPF</v>
      </c>
      <c r="J1035" s="82" t="str">
        <f aca="false">IF(B1035="","",IFERROR(INDEX('CARNET DE SOUDURE'!$E$7:$E$3006,MATCH(B1035,'CARNET DE SOUDURE'!$O$7:$O$3006,0)),""))</f>
        <v>JN°1555</v>
      </c>
      <c r="K1035" s="82" t="str">
        <f aca="false">IF(B1035="","",IFERROR(INDEX('CARNET DE SOUDURE'!$E$7:$E$3006,MATCH(B1035,'CARNET DE SOUDURE'!$L$7:$L$3006,0)),""))</f>
        <v>JN°1556</v>
      </c>
      <c r="L1035" s="82" t="n">
        <f aca="false">IF(B1035="","",IFERROR(INDEX('CARNET DE SOUDURE'!$D$7:$D$3006,MATCH(B1035,'CARNET DE SOUDURE'!$L$7:$L$3006,0)),IFERROR(INDEX('CARNET DE SOUDURE'!$D$7:$D$3006,MATCH(B1035,'CARNET DE SOUDURE'!$O$7:$O$3006,0)),"")))</f>
        <v>19</v>
      </c>
      <c r="M1035" s="82" t="str">
        <f aca="false">IF(B1035="","",IF(OR(J1035&lt;&gt;"",K1035&lt;&gt;""),"POSÉ EN LIGNE",IF(COUNTIF(BARDAGE!$C$1:$C$5000,B1035)&gt;0,"BARDÉ","EN STOCK")))</f>
        <v>POSÉ EN LIGNE</v>
      </c>
      <c r="N1035" s="80"/>
    </row>
    <row r="1036" customFormat="false" ht="15" hidden="false" customHeight="false" outlineLevel="0" collapsed="false">
      <c r="A1036" s="82" t="n">
        <f aca="false">IF(B1036="","",ROW()-6)</f>
        <v>1030</v>
      </c>
      <c r="B1036" s="145" t="n">
        <v>2091060</v>
      </c>
      <c r="C1036" s="146" t="n">
        <v>15421109</v>
      </c>
      <c r="D1036" s="146"/>
      <c r="E1036" s="82" t="str">
        <f aca="false">IF(B1036="","",IF(COUNTIFS('CARNET DE SOUDURE'!$L$7:$L$3006,B1036,'CARNET DE SOUDURE'!$M$7:$M$3006,"&lt;&gt;"&amp;C1036,'CARNET DE SOUDURE'!$M$7:$M$3006,"&lt;&gt;")+COUNTIFS('CARNET DE SOUDURE'!$O$7:$O$3006,B1036,'CARNET DE SOUDURE'!$P$7:$P$3006,"&lt;&gt;"&amp;C1036,'CARNET DE SOUDURE'!$P$7:$P$3006,"&lt;&gt;")&gt;0,"⚠ DIFFÉRENTE","OK"))</f>
        <v>OK</v>
      </c>
      <c r="F1036" s="147" t="n">
        <v>11.94</v>
      </c>
      <c r="G1036" s="80"/>
      <c r="H1036" s="83"/>
      <c r="I1036" s="148" t="str">
        <f aca="false">IF(B1036="","",IFERROR(INDEX('CARNET DE SOUDURE'!$B$7:$B$3006,MATCH(B1036,'CARNET DE SOUDURE'!$L$7:$L$3006,0)),IFERROR(INDEX('CARNET DE SOUDURE'!$B$7:$B$3006,MATCH(B1036,'CARNET DE SOUDURE'!$O$7:$O$3006,0)),"")))</f>
        <v>MFD-ISW → MFD-CPF</v>
      </c>
      <c r="J1036" s="82" t="str">
        <f aca="false">IF(B1036="","",IFERROR(INDEX('CARNET DE SOUDURE'!$E$7:$E$3006,MATCH(B1036,'CARNET DE SOUDURE'!$O$7:$O$3006,0)),""))</f>
        <v>JN°1556</v>
      </c>
      <c r="K1036" s="82" t="str">
        <f aca="false">IF(B1036="","",IFERROR(INDEX('CARNET DE SOUDURE'!$E$7:$E$3006,MATCH(B1036,'CARNET DE SOUDURE'!$L$7:$L$3006,0)),""))</f>
        <v>JN°1557</v>
      </c>
      <c r="L1036" s="82" t="n">
        <f aca="false">IF(B1036="","",IFERROR(INDEX('CARNET DE SOUDURE'!$D$7:$D$3006,MATCH(B1036,'CARNET DE SOUDURE'!$L$7:$L$3006,0)),IFERROR(INDEX('CARNET DE SOUDURE'!$D$7:$D$3006,MATCH(B1036,'CARNET DE SOUDURE'!$O$7:$O$3006,0)),"")))</f>
        <v>19</v>
      </c>
      <c r="M1036" s="82" t="str">
        <f aca="false">IF(B1036="","",IF(OR(J1036&lt;&gt;"",K1036&lt;&gt;""),"POSÉ EN LIGNE",IF(COUNTIF(BARDAGE!$C$1:$C$5000,B1036)&gt;0,"BARDÉ","EN STOCK")))</f>
        <v>POSÉ EN LIGNE</v>
      </c>
      <c r="N1036" s="80"/>
    </row>
    <row r="1037" customFormat="false" ht="15" hidden="false" customHeight="false" outlineLevel="0" collapsed="false">
      <c r="A1037" s="82" t="n">
        <f aca="false">IF(B1037="","",ROW()-6)</f>
        <v>1031</v>
      </c>
      <c r="B1037" s="145" t="n">
        <v>2093650</v>
      </c>
      <c r="C1037" s="146" t="n">
        <v>15421110</v>
      </c>
      <c r="D1037" s="146"/>
      <c r="E1037" s="82" t="str">
        <f aca="false">IF(B1037="","",IF(COUNTIFS('CARNET DE SOUDURE'!$L$7:$L$3006,B1037,'CARNET DE SOUDURE'!$M$7:$M$3006,"&lt;&gt;"&amp;C1037,'CARNET DE SOUDURE'!$M$7:$M$3006,"&lt;&gt;")+COUNTIFS('CARNET DE SOUDURE'!$O$7:$O$3006,B1037,'CARNET DE SOUDURE'!$P$7:$P$3006,"&lt;&gt;"&amp;C1037,'CARNET DE SOUDURE'!$P$7:$P$3006,"&lt;&gt;")&gt;0,"⚠ DIFFÉRENTE","OK"))</f>
        <v>OK</v>
      </c>
      <c r="F1037" s="147" t="n">
        <v>11.94</v>
      </c>
      <c r="G1037" s="80"/>
      <c r="H1037" s="83"/>
      <c r="I1037" s="148" t="str">
        <f aca="false">IF(B1037="","",IFERROR(INDEX('CARNET DE SOUDURE'!$B$7:$B$3006,MATCH(B1037,'CARNET DE SOUDURE'!$L$7:$L$3006,0)),IFERROR(INDEX('CARNET DE SOUDURE'!$B$7:$B$3006,MATCH(B1037,'CARNET DE SOUDURE'!$O$7:$O$3006,0)),"")))</f>
        <v>MFD-ISW → MFD-CPF</v>
      </c>
      <c r="J1037" s="82" t="str">
        <f aca="false">IF(B1037="","",IFERROR(INDEX('CARNET DE SOUDURE'!$E$7:$E$3006,MATCH(B1037,'CARNET DE SOUDURE'!$O$7:$O$3006,0)),""))</f>
        <v>JN°1557</v>
      </c>
      <c r="K1037" s="82" t="str">
        <f aca="false">IF(B1037="","",IFERROR(INDEX('CARNET DE SOUDURE'!$E$7:$E$3006,MATCH(B1037,'CARNET DE SOUDURE'!$L$7:$L$3006,0)),""))</f>
        <v>JN°1558</v>
      </c>
      <c r="L1037" s="82" t="n">
        <f aca="false">IF(B1037="","",IFERROR(INDEX('CARNET DE SOUDURE'!$D$7:$D$3006,MATCH(B1037,'CARNET DE SOUDURE'!$L$7:$L$3006,0)),IFERROR(INDEX('CARNET DE SOUDURE'!$D$7:$D$3006,MATCH(B1037,'CARNET DE SOUDURE'!$O$7:$O$3006,0)),"")))</f>
        <v>19</v>
      </c>
      <c r="M1037" s="82" t="str">
        <f aca="false">IF(B1037="","",IF(OR(J1037&lt;&gt;"",K1037&lt;&gt;""),"POSÉ EN LIGNE",IF(COUNTIF(BARDAGE!$C$1:$C$5000,B1037)&gt;0,"BARDÉ","EN STOCK")))</f>
        <v>POSÉ EN LIGNE</v>
      </c>
      <c r="N1037" s="80"/>
    </row>
    <row r="1038" customFormat="false" ht="15" hidden="false" customHeight="false" outlineLevel="0" collapsed="false">
      <c r="A1038" s="82" t="n">
        <f aca="false">IF(B1038="","",ROW()-6)</f>
        <v>1032</v>
      </c>
      <c r="B1038" s="145" t="n">
        <v>2084820</v>
      </c>
      <c r="C1038" s="146" t="n">
        <v>15421106</v>
      </c>
      <c r="D1038" s="146"/>
      <c r="E1038" s="82" t="str">
        <f aca="false">IF(B1038="","",IF(COUNTIFS('CARNET DE SOUDURE'!$L$7:$L$3006,B1038,'CARNET DE SOUDURE'!$M$7:$M$3006,"&lt;&gt;"&amp;C1038,'CARNET DE SOUDURE'!$M$7:$M$3006,"&lt;&gt;")+COUNTIFS('CARNET DE SOUDURE'!$O$7:$O$3006,B1038,'CARNET DE SOUDURE'!$P$7:$P$3006,"&lt;&gt;"&amp;C1038,'CARNET DE SOUDURE'!$P$7:$P$3006,"&lt;&gt;")&gt;0,"⚠ DIFFÉRENTE","OK"))</f>
        <v>OK</v>
      </c>
      <c r="F1038" s="147" t="n">
        <v>11.94</v>
      </c>
      <c r="G1038" s="80"/>
      <c r="H1038" s="83"/>
      <c r="I1038" s="148" t="str">
        <f aca="false">IF(B1038="","",IFERROR(INDEX('CARNET DE SOUDURE'!$B$7:$B$3006,MATCH(B1038,'CARNET DE SOUDURE'!$L$7:$L$3006,0)),IFERROR(INDEX('CARNET DE SOUDURE'!$B$7:$B$3006,MATCH(B1038,'CARNET DE SOUDURE'!$O$7:$O$3006,0)),"")))</f>
        <v>MFD-ISW → MFD-CPF</v>
      </c>
      <c r="J1038" s="82" t="str">
        <f aca="false">IF(B1038="","",IFERROR(INDEX('CARNET DE SOUDURE'!$E$7:$E$3006,MATCH(B1038,'CARNET DE SOUDURE'!$O$7:$O$3006,0)),""))</f>
        <v>JN°1558</v>
      </c>
      <c r="K1038" s="82" t="str">
        <f aca="false">IF(B1038="","",IFERROR(INDEX('CARNET DE SOUDURE'!$E$7:$E$3006,MATCH(B1038,'CARNET DE SOUDURE'!$L$7:$L$3006,0)),""))</f>
        <v>JN°1559</v>
      </c>
      <c r="L1038" s="82" t="n">
        <f aca="false">IF(B1038="","",IFERROR(INDEX('CARNET DE SOUDURE'!$D$7:$D$3006,MATCH(B1038,'CARNET DE SOUDURE'!$L$7:$L$3006,0)),IFERROR(INDEX('CARNET DE SOUDURE'!$D$7:$D$3006,MATCH(B1038,'CARNET DE SOUDURE'!$O$7:$O$3006,0)),"")))</f>
        <v>19</v>
      </c>
      <c r="M1038" s="82" t="str">
        <f aca="false">IF(B1038="","",IF(OR(J1038&lt;&gt;"",K1038&lt;&gt;""),"POSÉ EN LIGNE",IF(COUNTIF(BARDAGE!$C$1:$C$5000,B1038)&gt;0,"BARDÉ","EN STOCK")))</f>
        <v>POSÉ EN LIGNE</v>
      </c>
      <c r="N1038" s="80"/>
    </row>
    <row r="1039" customFormat="false" ht="15" hidden="false" customHeight="false" outlineLevel="0" collapsed="false">
      <c r="A1039" s="82" t="n">
        <f aca="false">IF(B1039="","",ROW()-6)</f>
        <v>1033</v>
      </c>
      <c r="B1039" s="145" t="n">
        <v>2084250</v>
      </c>
      <c r="C1039" s="146" t="n">
        <v>15421106</v>
      </c>
      <c r="D1039" s="146"/>
      <c r="E1039" s="82" t="str">
        <f aca="false">IF(B1039="","",IF(COUNTIFS('CARNET DE SOUDURE'!$L$7:$L$3006,B1039,'CARNET DE SOUDURE'!$M$7:$M$3006,"&lt;&gt;"&amp;C1039,'CARNET DE SOUDURE'!$M$7:$M$3006,"&lt;&gt;")+COUNTIFS('CARNET DE SOUDURE'!$O$7:$O$3006,B1039,'CARNET DE SOUDURE'!$P$7:$P$3006,"&lt;&gt;"&amp;C1039,'CARNET DE SOUDURE'!$P$7:$P$3006,"&lt;&gt;")&gt;0,"⚠ DIFFÉRENTE","OK"))</f>
        <v>OK</v>
      </c>
      <c r="F1039" s="147" t="n">
        <v>11.94</v>
      </c>
      <c r="G1039" s="80"/>
      <c r="H1039" s="83"/>
      <c r="I1039" s="148" t="str">
        <f aca="false">IF(B1039="","",IFERROR(INDEX('CARNET DE SOUDURE'!$B$7:$B$3006,MATCH(B1039,'CARNET DE SOUDURE'!$L$7:$L$3006,0)),IFERROR(INDEX('CARNET DE SOUDURE'!$B$7:$B$3006,MATCH(B1039,'CARNET DE SOUDURE'!$O$7:$O$3006,0)),"")))</f>
        <v>MFD-ISW → MFD-CPF</v>
      </c>
      <c r="J1039" s="82" t="str">
        <f aca="false">IF(B1039="","",IFERROR(INDEX('CARNET DE SOUDURE'!$E$7:$E$3006,MATCH(B1039,'CARNET DE SOUDURE'!$O$7:$O$3006,0)),""))</f>
        <v>JN°1559</v>
      </c>
      <c r="K1039" s="82" t="str">
        <f aca="false">IF(B1039="","",IFERROR(INDEX('CARNET DE SOUDURE'!$E$7:$E$3006,MATCH(B1039,'CARNET DE SOUDURE'!$L$7:$L$3006,0)),""))</f>
        <v>JN°1560</v>
      </c>
      <c r="L1039" s="82" t="n">
        <f aca="false">IF(B1039="","",IFERROR(INDEX('CARNET DE SOUDURE'!$D$7:$D$3006,MATCH(B1039,'CARNET DE SOUDURE'!$L$7:$L$3006,0)),IFERROR(INDEX('CARNET DE SOUDURE'!$D$7:$D$3006,MATCH(B1039,'CARNET DE SOUDURE'!$O$7:$O$3006,0)),"")))</f>
        <v>19</v>
      </c>
      <c r="M1039" s="82" t="str">
        <f aca="false">IF(B1039="","",IF(OR(J1039&lt;&gt;"",K1039&lt;&gt;""),"POSÉ EN LIGNE",IF(COUNTIF(BARDAGE!$C$1:$C$5000,B1039)&gt;0,"BARDÉ","EN STOCK")))</f>
        <v>POSÉ EN LIGNE</v>
      </c>
      <c r="N1039" s="80"/>
    </row>
    <row r="1040" customFormat="false" ht="15" hidden="false" customHeight="false" outlineLevel="0" collapsed="false">
      <c r="A1040" s="82" t="n">
        <f aca="false">IF(B1040="","",ROW()-6)</f>
        <v>1034</v>
      </c>
      <c r="B1040" s="145" t="n">
        <v>2084690</v>
      </c>
      <c r="C1040" s="146" t="n">
        <v>15421106</v>
      </c>
      <c r="D1040" s="146"/>
      <c r="E1040" s="82" t="str">
        <f aca="false">IF(B1040="","",IF(COUNTIFS('CARNET DE SOUDURE'!$L$7:$L$3006,B1040,'CARNET DE SOUDURE'!$M$7:$M$3006,"&lt;&gt;"&amp;C1040,'CARNET DE SOUDURE'!$M$7:$M$3006,"&lt;&gt;")+COUNTIFS('CARNET DE SOUDURE'!$O$7:$O$3006,B1040,'CARNET DE SOUDURE'!$P$7:$P$3006,"&lt;&gt;"&amp;C1040,'CARNET DE SOUDURE'!$P$7:$P$3006,"&lt;&gt;")&gt;0,"⚠ DIFFÉRENTE","OK"))</f>
        <v>OK</v>
      </c>
      <c r="F1040" s="147" t="n">
        <v>11.94</v>
      </c>
      <c r="G1040" s="80"/>
      <c r="H1040" s="83"/>
      <c r="I1040" s="148" t="str">
        <f aca="false">IF(B1040="","",IFERROR(INDEX('CARNET DE SOUDURE'!$B$7:$B$3006,MATCH(B1040,'CARNET DE SOUDURE'!$L$7:$L$3006,0)),IFERROR(INDEX('CARNET DE SOUDURE'!$B$7:$B$3006,MATCH(B1040,'CARNET DE SOUDURE'!$O$7:$O$3006,0)),"")))</f>
        <v>MFD-ISW → MFD-CPF</v>
      </c>
      <c r="J1040" s="82" t="str">
        <f aca="false">IF(B1040="","",IFERROR(INDEX('CARNET DE SOUDURE'!$E$7:$E$3006,MATCH(B1040,'CARNET DE SOUDURE'!$O$7:$O$3006,0)),""))</f>
        <v>JN°1560</v>
      </c>
      <c r="K1040" s="82" t="str">
        <f aca="false">IF(B1040="","",IFERROR(INDEX('CARNET DE SOUDURE'!$E$7:$E$3006,MATCH(B1040,'CARNET DE SOUDURE'!$L$7:$L$3006,0)),""))</f>
        <v>JN°1561</v>
      </c>
      <c r="L1040" s="82" t="n">
        <f aca="false">IF(B1040="","",IFERROR(INDEX('CARNET DE SOUDURE'!$D$7:$D$3006,MATCH(B1040,'CARNET DE SOUDURE'!$L$7:$L$3006,0)),IFERROR(INDEX('CARNET DE SOUDURE'!$D$7:$D$3006,MATCH(B1040,'CARNET DE SOUDURE'!$O$7:$O$3006,0)),"")))</f>
        <v>19</v>
      </c>
      <c r="M1040" s="82" t="str">
        <f aca="false">IF(B1040="","",IF(OR(J1040&lt;&gt;"",K1040&lt;&gt;""),"POSÉ EN LIGNE",IF(COUNTIF(BARDAGE!$C$1:$C$5000,B1040)&gt;0,"BARDÉ","EN STOCK")))</f>
        <v>POSÉ EN LIGNE</v>
      </c>
      <c r="N1040" s="80"/>
    </row>
    <row r="1041" customFormat="false" ht="15" hidden="false" customHeight="false" outlineLevel="0" collapsed="false">
      <c r="A1041" s="82" t="n">
        <f aca="false">IF(B1041="","",ROW()-6)</f>
        <v>1035</v>
      </c>
      <c r="B1041" s="145" t="n">
        <v>2088810</v>
      </c>
      <c r="C1041" s="146" t="n">
        <v>15421108</v>
      </c>
      <c r="D1041" s="146"/>
      <c r="E1041" s="82" t="str">
        <f aca="false">IF(B1041="","",IF(COUNTIFS('CARNET DE SOUDURE'!$L$7:$L$3006,B1041,'CARNET DE SOUDURE'!$M$7:$M$3006,"&lt;&gt;"&amp;C1041,'CARNET DE SOUDURE'!$M$7:$M$3006,"&lt;&gt;")+COUNTIFS('CARNET DE SOUDURE'!$O$7:$O$3006,B1041,'CARNET DE SOUDURE'!$P$7:$P$3006,"&lt;&gt;"&amp;C1041,'CARNET DE SOUDURE'!$P$7:$P$3006,"&lt;&gt;")&gt;0,"⚠ DIFFÉRENTE","OK"))</f>
        <v>OK</v>
      </c>
      <c r="F1041" s="147" t="n">
        <v>11.94</v>
      </c>
      <c r="G1041" s="80"/>
      <c r="H1041" s="83"/>
      <c r="I1041" s="148" t="str">
        <f aca="false">IF(B1041="","",IFERROR(INDEX('CARNET DE SOUDURE'!$B$7:$B$3006,MATCH(B1041,'CARNET DE SOUDURE'!$L$7:$L$3006,0)),IFERROR(INDEX('CARNET DE SOUDURE'!$B$7:$B$3006,MATCH(B1041,'CARNET DE SOUDURE'!$O$7:$O$3006,0)),"")))</f>
        <v>MFD-ISW → MFD-CPF</v>
      </c>
      <c r="J1041" s="82" t="str">
        <f aca="false">IF(B1041="","",IFERROR(INDEX('CARNET DE SOUDURE'!$E$7:$E$3006,MATCH(B1041,'CARNET DE SOUDURE'!$O$7:$O$3006,0)),""))</f>
        <v>JN°1561</v>
      </c>
      <c r="K1041" s="82" t="str">
        <f aca="false">IF(B1041="","",IFERROR(INDEX('CARNET DE SOUDURE'!$E$7:$E$3006,MATCH(B1041,'CARNET DE SOUDURE'!$L$7:$L$3006,0)),""))</f>
        <v>JN°1562</v>
      </c>
      <c r="L1041" s="82" t="n">
        <f aca="false">IF(B1041="","",IFERROR(INDEX('CARNET DE SOUDURE'!$D$7:$D$3006,MATCH(B1041,'CARNET DE SOUDURE'!$L$7:$L$3006,0)),IFERROR(INDEX('CARNET DE SOUDURE'!$D$7:$D$3006,MATCH(B1041,'CARNET DE SOUDURE'!$O$7:$O$3006,0)),"")))</f>
        <v>19</v>
      </c>
      <c r="M1041" s="82" t="str">
        <f aca="false">IF(B1041="","",IF(OR(J1041&lt;&gt;"",K1041&lt;&gt;""),"POSÉ EN LIGNE",IF(COUNTIF(BARDAGE!$C$1:$C$5000,B1041)&gt;0,"BARDÉ","EN STOCK")))</f>
        <v>POSÉ EN LIGNE</v>
      </c>
      <c r="N1041" s="80"/>
    </row>
    <row r="1042" customFormat="false" ht="15" hidden="false" customHeight="false" outlineLevel="0" collapsed="false">
      <c r="A1042" s="82" t="n">
        <f aca="false">IF(B1042="","",ROW()-6)</f>
        <v>1036</v>
      </c>
      <c r="B1042" s="145" t="n">
        <v>2095570</v>
      </c>
      <c r="C1042" s="146" t="n">
        <v>15421111</v>
      </c>
      <c r="D1042" s="146"/>
      <c r="E1042" s="82" t="str">
        <f aca="false">IF(B1042="","",IF(COUNTIFS('CARNET DE SOUDURE'!$L$7:$L$3006,B1042,'CARNET DE SOUDURE'!$M$7:$M$3006,"&lt;&gt;"&amp;C1042,'CARNET DE SOUDURE'!$M$7:$M$3006,"&lt;&gt;")+COUNTIFS('CARNET DE SOUDURE'!$O$7:$O$3006,B1042,'CARNET DE SOUDURE'!$P$7:$P$3006,"&lt;&gt;"&amp;C1042,'CARNET DE SOUDURE'!$P$7:$P$3006,"&lt;&gt;")&gt;0,"⚠ DIFFÉRENTE","OK"))</f>
        <v>OK</v>
      </c>
      <c r="F1042" s="147" t="n">
        <v>11.94</v>
      </c>
      <c r="G1042" s="80"/>
      <c r="H1042" s="83"/>
      <c r="I1042" s="148" t="str">
        <f aca="false">IF(B1042="","",IFERROR(INDEX('CARNET DE SOUDURE'!$B$7:$B$3006,MATCH(B1042,'CARNET DE SOUDURE'!$L$7:$L$3006,0)),IFERROR(INDEX('CARNET DE SOUDURE'!$B$7:$B$3006,MATCH(B1042,'CARNET DE SOUDURE'!$O$7:$O$3006,0)),"")))</f>
        <v>MFD-ISW → MFD-CPF</v>
      </c>
      <c r="J1042" s="82" t="str">
        <f aca="false">IF(B1042="","",IFERROR(INDEX('CARNET DE SOUDURE'!$E$7:$E$3006,MATCH(B1042,'CARNET DE SOUDURE'!$O$7:$O$3006,0)),""))</f>
        <v>JN°1562</v>
      </c>
      <c r="K1042" s="82" t="str">
        <f aca="false">IF(B1042="","",IFERROR(INDEX('CARNET DE SOUDURE'!$E$7:$E$3006,MATCH(B1042,'CARNET DE SOUDURE'!$L$7:$L$3006,0)),""))</f>
        <v>JN°1563</v>
      </c>
      <c r="L1042" s="82" t="n">
        <f aca="false">IF(B1042="","",IFERROR(INDEX('CARNET DE SOUDURE'!$D$7:$D$3006,MATCH(B1042,'CARNET DE SOUDURE'!$L$7:$L$3006,0)),IFERROR(INDEX('CARNET DE SOUDURE'!$D$7:$D$3006,MATCH(B1042,'CARNET DE SOUDURE'!$O$7:$O$3006,0)),"")))</f>
        <v>19</v>
      </c>
      <c r="M1042" s="82" t="str">
        <f aca="false">IF(B1042="","",IF(OR(J1042&lt;&gt;"",K1042&lt;&gt;""),"POSÉ EN LIGNE",IF(COUNTIF(BARDAGE!$C$1:$C$5000,B1042)&gt;0,"BARDÉ","EN STOCK")))</f>
        <v>POSÉ EN LIGNE</v>
      </c>
      <c r="N1042" s="80"/>
    </row>
    <row r="1043" customFormat="false" ht="15" hidden="false" customHeight="false" outlineLevel="0" collapsed="false">
      <c r="A1043" s="82" t="n">
        <f aca="false">IF(B1043="","",ROW()-6)</f>
        <v>1037</v>
      </c>
      <c r="B1043" s="145" t="n">
        <v>2094670</v>
      </c>
      <c r="C1043" s="146" t="n">
        <v>15421111</v>
      </c>
      <c r="D1043" s="146"/>
      <c r="E1043" s="82" t="str">
        <f aca="false">IF(B1043="","",IF(COUNTIFS('CARNET DE SOUDURE'!$L$7:$L$3006,B1043,'CARNET DE SOUDURE'!$M$7:$M$3006,"&lt;&gt;"&amp;C1043,'CARNET DE SOUDURE'!$M$7:$M$3006,"&lt;&gt;")+COUNTIFS('CARNET DE SOUDURE'!$O$7:$O$3006,B1043,'CARNET DE SOUDURE'!$P$7:$P$3006,"&lt;&gt;"&amp;C1043,'CARNET DE SOUDURE'!$P$7:$P$3006,"&lt;&gt;")&gt;0,"⚠ DIFFÉRENTE","OK"))</f>
        <v>OK</v>
      </c>
      <c r="F1043" s="147" t="n">
        <v>11.94</v>
      </c>
      <c r="G1043" s="80"/>
      <c r="H1043" s="83"/>
      <c r="I1043" s="148" t="str">
        <f aca="false">IF(B1043="","",IFERROR(INDEX('CARNET DE SOUDURE'!$B$7:$B$3006,MATCH(B1043,'CARNET DE SOUDURE'!$L$7:$L$3006,0)),IFERROR(INDEX('CARNET DE SOUDURE'!$B$7:$B$3006,MATCH(B1043,'CARNET DE SOUDURE'!$O$7:$O$3006,0)),"")))</f>
        <v>MFD-ISW → MFD-CPF</v>
      </c>
      <c r="J1043" s="82" t="str">
        <f aca="false">IF(B1043="","",IFERROR(INDEX('CARNET DE SOUDURE'!$E$7:$E$3006,MATCH(B1043,'CARNET DE SOUDURE'!$O$7:$O$3006,0)),""))</f>
        <v>JN°1584</v>
      </c>
      <c r="K1043" s="82" t="str">
        <f aca="false">IF(B1043="","",IFERROR(INDEX('CARNET DE SOUDURE'!$E$7:$E$3006,MATCH(B1043,'CARNET DE SOUDURE'!$L$7:$L$3006,0)),""))</f>
        <v>JN°1585</v>
      </c>
      <c r="L1043" s="82" t="n">
        <f aca="false">IF(B1043="","",IFERROR(INDEX('CARNET DE SOUDURE'!$D$7:$D$3006,MATCH(B1043,'CARNET DE SOUDURE'!$L$7:$L$3006,0)),IFERROR(INDEX('CARNET DE SOUDURE'!$D$7:$D$3006,MATCH(B1043,'CARNET DE SOUDURE'!$O$7:$O$3006,0)),"")))</f>
        <v>19</v>
      </c>
      <c r="M1043" s="82" t="str">
        <f aca="false">IF(B1043="","",IF(OR(J1043&lt;&gt;"",K1043&lt;&gt;""),"POSÉ EN LIGNE",IF(COUNTIF(BARDAGE!$C$1:$C$5000,B1043)&gt;0,"BARDÉ","EN STOCK")))</f>
        <v>POSÉ EN LIGNE</v>
      </c>
      <c r="N1043" s="80"/>
    </row>
    <row r="1044" customFormat="false" ht="15" hidden="false" customHeight="false" outlineLevel="0" collapsed="false">
      <c r="A1044" s="82" t="n">
        <f aca="false">IF(B1044="","",ROW()-6)</f>
        <v>1038</v>
      </c>
      <c r="B1044" s="145" t="n">
        <v>2087930</v>
      </c>
      <c r="C1044" s="146" t="n">
        <v>15421108</v>
      </c>
      <c r="D1044" s="146"/>
      <c r="E1044" s="82" t="str">
        <f aca="false">IF(B1044="","",IF(COUNTIFS('CARNET DE SOUDURE'!$L$7:$L$3006,B1044,'CARNET DE SOUDURE'!$M$7:$M$3006,"&lt;&gt;"&amp;C1044,'CARNET DE SOUDURE'!$M$7:$M$3006,"&lt;&gt;")+COUNTIFS('CARNET DE SOUDURE'!$O$7:$O$3006,B1044,'CARNET DE SOUDURE'!$P$7:$P$3006,"&lt;&gt;"&amp;C1044,'CARNET DE SOUDURE'!$P$7:$P$3006,"&lt;&gt;")&gt;0,"⚠ DIFFÉRENTE","OK"))</f>
        <v>OK</v>
      </c>
      <c r="F1044" s="147" t="n">
        <v>11.94</v>
      </c>
      <c r="G1044" s="80"/>
      <c r="H1044" s="83"/>
      <c r="I1044" s="148" t="str">
        <f aca="false">IF(B1044="","",IFERROR(INDEX('CARNET DE SOUDURE'!$B$7:$B$3006,MATCH(B1044,'CARNET DE SOUDURE'!$L$7:$L$3006,0)),IFERROR(INDEX('CARNET DE SOUDURE'!$B$7:$B$3006,MATCH(B1044,'CARNET DE SOUDURE'!$O$7:$O$3006,0)),"")))</f>
        <v>MFD-ISW → MFD-CPF</v>
      </c>
      <c r="J1044" s="82" t="str">
        <f aca="false">IF(B1044="","",IFERROR(INDEX('CARNET DE SOUDURE'!$E$7:$E$3006,MATCH(B1044,'CARNET DE SOUDURE'!$O$7:$O$3006,0)),""))</f>
        <v>JN°1585</v>
      </c>
      <c r="K1044" s="82" t="str">
        <f aca="false">IF(B1044="","",IFERROR(INDEX('CARNET DE SOUDURE'!$E$7:$E$3006,MATCH(B1044,'CARNET DE SOUDURE'!$L$7:$L$3006,0)),""))</f>
        <v>JN°1586R</v>
      </c>
      <c r="L1044" s="82" t="n">
        <f aca="false">IF(B1044="","",IFERROR(INDEX('CARNET DE SOUDURE'!$D$7:$D$3006,MATCH(B1044,'CARNET DE SOUDURE'!$L$7:$L$3006,0)),IFERROR(INDEX('CARNET DE SOUDURE'!$D$7:$D$3006,MATCH(B1044,'CARNET DE SOUDURE'!$O$7:$O$3006,0)),"")))</f>
        <v>19</v>
      </c>
      <c r="M1044" s="82" t="str">
        <f aca="false">IF(B1044="","",IF(OR(J1044&lt;&gt;"",K1044&lt;&gt;""),"POSÉ EN LIGNE",IF(COUNTIF(BARDAGE!$C$1:$C$5000,B1044)&gt;0,"BARDÉ","EN STOCK")))</f>
        <v>POSÉ EN LIGNE</v>
      </c>
      <c r="N1044" s="80"/>
    </row>
    <row r="1045" customFormat="false" ht="15" hidden="false" customHeight="false" outlineLevel="0" collapsed="false">
      <c r="A1045" s="82" t="n">
        <f aca="false">IF(B1045="","",ROW()-6)</f>
        <v>1039</v>
      </c>
      <c r="B1045" s="145" t="n">
        <v>2088610</v>
      </c>
      <c r="C1045" s="146" t="n">
        <v>15421108</v>
      </c>
      <c r="D1045" s="146"/>
      <c r="E1045" s="82" t="str">
        <f aca="false">IF(B1045="","",IF(COUNTIFS('CARNET DE SOUDURE'!$L$7:$L$3006,B1045,'CARNET DE SOUDURE'!$M$7:$M$3006,"&lt;&gt;"&amp;C1045,'CARNET DE SOUDURE'!$M$7:$M$3006,"&lt;&gt;")+COUNTIFS('CARNET DE SOUDURE'!$O$7:$O$3006,B1045,'CARNET DE SOUDURE'!$P$7:$P$3006,"&lt;&gt;"&amp;C1045,'CARNET DE SOUDURE'!$P$7:$P$3006,"&lt;&gt;")&gt;0,"⚠ DIFFÉRENTE","OK"))</f>
        <v>OK</v>
      </c>
      <c r="F1045" s="147" t="n">
        <v>11.94</v>
      </c>
      <c r="G1045" s="80"/>
      <c r="H1045" s="83"/>
      <c r="I1045" s="148" t="str">
        <f aca="false">IF(B1045="","",IFERROR(INDEX('CARNET DE SOUDURE'!$B$7:$B$3006,MATCH(B1045,'CARNET DE SOUDURE'!$L$7:$L$3006,0)),IFERROR(INDEX('CARNET DE SOUDURE'!$B$7:$B$3006,MATCH(B1045,'CARNET DE SOUDURE'!$O$7:$O$3006,0)),"")))</f>
        <v>MFD-ISW → MFD-CPF</v>
      </c>
      <c r="J1045" s="82" t="str">
        <f aca="false">IF(B1045="","",IFERROR(INDEX('CARNET DE SOUDURE'!$E$7:$E$3006,MATCH(B1045,'CARNET DE SOUDURE'!$O$7:$O$3006,0)),""))</f>
        <v>JN°1586R</v>
      </c>
      <c r="K1045" s="82" t="str">
        <f aca="false">IF(B1045="","",IFERROR(INDEX('CARNET DE SOUDURE'!$E$7:$E$3006,MATCH(B1045,'CARNET DE SOUDURE'!$L$7:$L$3006,0)),""))</f>
        <v>JN°1587</v>
      </c>
      <c r="L1045" s="82" t="n">
        <f aca="false">IF(B1045="","",IFERROR(INDEX('CARNET DE SOUDURE'!$D$7:$D$3006,MATCH(B1045,'CARNET DE SOUDURE'!$L$7:$L$3006,0)),IFERROR(INDEX('CARNET DE SOUDURE'!$D$7:$D$3006,MATCH(B1045,'CARNET DE SOUDURE'!$O$7:$O$3006,0)),"")))</f>
        <v>19</v>
      </c>
      <c r="M1045" s="82" t="str">
        <f aca="false">IF(B1045="","",IF(OR(J1045&lt;&gt;"",K1045&lt;&gt;""),"POSÉ EN LIGNE",IF(COUNTIF(BARDAGE!$C$1:$C$5000,B1045)&gt;0,"BARDÉ","EN STOCK")))</f>
        <v>POSÉ EN LIGNE</v>
      </c>
      <c r="N1045" s="80"/>
    </row>
    <row r="1046" customFormat="false" ht="15" hidden="false" customHeight="false" outlineLevel="0" collapsed="false">
      <c r="A1046" s="82" t="n">
        <f aca="false">IF(B1046="","",ROW()-6)</f>
        <v>1040</v>
      </c>
      <c r="B1046" s="145" t="n">
        <v>2086780</v>
      </c>
      <c r="C1046" s="146" t="n">
        <v>15421107</v>
      </c>
      <c r="D1046" s="146"/>
      <c r="E1046" s="82" t="str">
        <f aca="false">IF(B1046="","",IF(COUNTIFS('CARNET DE SOUDURE'!$L$7:$L$3006,B1046,'CARNET DE SOUDURE'!$M$7:$M$3006,"&lt;&gt;"&amp;C1046,'CARNET DE SOUDURE'!$M$7:$M$3006,"&lt;&gt;")+COUNTIFS('CARNET DE SOUDURE'!$O$7:$O$3006,B1046,'CARNET DE SOUDURE'!$P$7:$P$3006,"&lt;&gt;"&amp;C1046,'CARNET DE SOUDURE'!$P$7:$P$3006,"&lt;&gt;")&gt;0,"⚠ DIFFÉRENTE","OK"))</f>
        <v>OK</v>
      </c>
      <c r="F1046" s="147" t="n">
        <v>11.94</v>
      </c>
      <c r="G1046" s="80"/>
      <c r="H1046" s="83"/>
      <c r="I1046" s="148" t="str">
        <f aca="false">IF(B1046="","",IFERROR(INDEX('CARNET DE SOUDURE'!$B$7:$B$3006,MATCH(B1046,'CARNET DE SOUDURE'!$L$7:$L$3006,0)),IFERROR(INDEX('CARNET DE SOUDURE'!$B$7:$B$3006,MATCH(B1046,'CARNET DE SOUDURE'!$O$7:$O$3006,0)),"")))</f>
        <v>MFD-ISW → MFD-CPF</v>
      </c>
      <c r="J1046" s="82" t="str">
        <f aca="false">IF(B1046="","",IFERROR(INDEX('CARNET DE SOUDURE'!$E$7:$E$3006,MATCH(B1046,'CARNET DE SOUDURE'!$O$7:$O$3006,0)),""))</f>
        <v>JN°1587</v>
      </c>
      <c r="K1046" s="82" t="str">
        <f aca="false">IF(B1046="","",IFERROR(INDEX('CARNET DE SOUDURE'!$E$7:$E$3006,MATCH(B1046,'CARNET DE SOUDURE'!$L$7:$L$3006,0)),""))</f>
        <v>JN°1588</v>
      </c>
      <c r="L1046" s="82" t="n">
        <f aca="false">IF(B1046="","",IFERROR(INDEX('CARNET DE SOUDURE'!$D$7:$D$3006,MATCH(B1046,'CARNET DE SOUDURE'!$L$7:$L$3006,0)),IFERROR(INDEX('CARNET DE SOUDURE'!$D$7:$D$3006,MATCH(B1046,'CARNET DE SOUDURE'!$O$7:$O$3006,0)),"")))</f>
        <v>19</v>
      </c>
      <c r="M1046" s="82" t="str">
        <f aca="false">IF(B1046="","",IF(OR(J1046&lt;&gt;"",K1046&lt;&gt;""),"POSÉ EN LIGNE",IF(COUNTIF(BARDAGE!$C$1:$C$5000,B1046)&gt;0,"BARDÉ","EN STOCK")))</f>
        <v>POSÉ EN LIGNE</v>
      </c>
      <c r="N1046" s="80"/>
    </row>
    <row r="1047" customFormat="false" ht="15" hidden="false" customHeight="false" outlineLevel="0" collapsed="false">
      <c r="A1047" s="82" t="n">
        <f aca="false">IF(B1047="","",ROW()-6)</f>
        <v>1041</v>
      </c>
      <c r="B1047" s="145" t="n">
        <v>2084160</v>
      </c>
      <c r="C1047" s="146" t="n">
        <v>15421106</v>
      </c>
      <c r="D1047" s="146"/>
      <c r="E1047" s="82" t="str">
        <f aca="false">IF(B1047="","",IF(COUNTIFS('CARNET DE SOUDURE'!$L$7:$L$3006,B1047,'CARNET DE SOUDURE'!$M$7:$M$3006,"&lt;&gt;"&amp;C1047,'CARNET DE SOUDURE'!$M$7:$M$3006,"&lt;&gt;")+COUNTIFS('CARNET DE SOUDURE'!$O$7:$O$3006,B1047,'CARNET DE SOUDURE'!$P$7:$P$3006,"&lt;&gt;"&amp;C1047,'CARNET DE SOUDURE'!$P$7:$P$3006,"&lt;&gt;")&gt;0,"⚠ DIFFÉRENTE","OK"))</f>
        <v>OK</v>
      </c>
      <c r="F1047" s="147" t="n">
        <v>11.94</v>
      </c>
      <c r="G1047" s="80"/>
      <c r="H1047" s="83"/>
      <c r="I1047" s="148" t="str">
        <f aca="false">IF(B1047="","",IFERROR(INDEX('CARNET DE SOUDURE'!$B$7:$B$3006,MATCH(B1047,'CARNET DE SOUDURE'!$L$7:$L$3006,0)),IFERROR(INDEX('CARNET DE SOUDURE'!$B$7:$B$3006,MATCH(B1047,'CARNET DE SOUDURE'!$O$7:$O$3006,0)),"")))</f>
        <v>MFD-ISW → MFD-CPF</v>
      </c>
      <c r="J1047" s="82" t="str">
        <f aca="false">IF(B1047="","",IFERROR(INDEX('CARNET DE SOUDURE'!$E$7:$E$3006,MATCH(B1047,'CARNET DE SOUDURE'!$O$7:$O$3006,0)),""))</f>
        <v>JN°1588</v>
      </c>
      <c r="K1047" s="82" t="str">
        <f aca="false">IF(B1047="","",IFERROR(INDEX('CARNET DE SOUDURE'!$E$7:$E$3006,MATCH(B1047,'CARNET DE SOUDURE'!$L$7:$L$3006,0)),""))</f>
        <v>JN°1589</v>
      </c>
      <c r="L1047" s="82" t="n">
        <f aca="false">IF(B1047="","",IFERROR(INDEX('CARNET DE SOUDURE'!$D$7:$D$3006,MATCH(B1047,'CARNET DE SOUDURE'!$L$7:$L$3006,0)),IFERROR(INDEX('CARNET DE SOUDURE'!$D$7:$D$3006,MATCH(B1047,'CARNET DE SOUDURE'!$O$7:$O$3006,0)),"")))</f>
        <v>19</v>
      </c>
      <c r="M1047" s="82" t="str">
        <f aca="false">IF(B1047="","",IF(OR(J1047&lt;&gt;"",K1047&lt;&gt;""),"POSÉ EN LIGNE",IF(COUNTIF(BARDAGE!$C$1:$C$5000,B1047)&gt;0,"BARDÉ","EN STOCK")))</f>
        <v>POSÉ EN LIGNE</v>
      </c>
      <c r="N1047" s="80"/>
    </row>
    <row r="1048" customFormat="false" ht="15" hidden="false" customHeight="false" outlineLevel="0" collapsed="false">
      <c r="A1048" s="82" t="n">
        <f aca="false">IF(B1048="","",ROW()-6)</f>
        <v>1042</v>
      </c>
      <c r="B1048" s="145" t="n">
        <v>2097720</v>
      </c>
      <c r="C1048" s="146" t="n">
        <v>15421112</v>
      </c>
      <c r="D1048" s="146"/>
      <c r="E1048" s="82" t="str">
        <f aca="false">IF(B1048="","",IF(COUNTIFS('CARNET DE SOUDURE'!$L$7:$L$3006,B1048,'CARNET DE SOUDURE'!$M$7:$M$3006,"&lt;&gt;"&amp;C1048,'CARNET DE SOUDURE'!$M$7:$M$3006,"&lt;&gt;")+COUNTIFS('CARNET DE SOUDURE'!$O$7:$O$3006,B1048,'CARNET DE SOUDURE'!$P$7:$P$3006,"&lt;&gt;"&amp;C1048,'CARNET DE SOUDURE'!$P$7:$P$3006,"&lt;&gt;")&gt;0,"⚠ DIFFÉRENTE","OK"))</f>
        <v>OK</v>
      </c>
      <c r="F1048" s="147" t="n">
        <v>11.94</v>
      </c>
      <c r="G1048" s="80"/>
      <c r="H1048" s="83"/>
      <c r="I1048" s="148" t="str">
        <f aca="false">IF(B1048="","",IFERROR(INDEX('CARNET DE SOUDURE'!$B$7:$B$3006,MATCH(B1048,'CARNET DE SOUDURE'!$L$7:$L$3006,0)),IFERROR(INDEX('CARNET DE SOUDURE'!$B$7:$B$3006,MATCH(B1048,'CARNET DE SOUDURE'!$O$7:$O$3006,0)),"")))</f>
        <v>MFD-ISW → MFD-CPF</v>
      </c>
      <c r="J1048" s="82" t="str">
        <f aca="false">IF(B1048="","",IFERROR(INDEX('CARNET DE SOUDURE'!$E$7:$E$3006,MATCH(B1048,'CARNET DE SOUDURE'!$O$7:$O$3006,0)),""))</f>
        <v>JN°1589</v>
      </c>
      <c r="K1048" s="82" t="str">
        <f aca="false">IF(B1048="","",IFERROR(INDEX('CARNET DE SOUDURE'!$E$7:$E$3006,MATCH(B1048,'CARNET DE SOUDURE'!$L$7:$L$3006,0)),""))</f>
        <v>JN°1590</v>
      </c>
      <c r="L1048" s="82" t="n">
        <f aca="false">IF(B1048="","",IFERROR(INDEX('CARNET DE SOUDURE'!$D$7:$D$3006,MATCH(B1048,'CARNET DE SOUDURE'!$L$7:$L$3006,0)),IFERROR(INDEX('CARNET DE SOUDURE'!$D$7:$D$3006,MATCH(B1048,'CARNET DE SOUDURE'!$O$7:$O$3006,0)),"")))</f>
        <v>19</v>
      </c>
      <c r="M1048" s="82" t="str">
        <f aca="false">IF(B1048="","",IF(OR(J1048&lt;&gt;"",K1048&lt;&gt;""),"POSÉ EN LIGNE",IF(COUNTIF(BARDAGE!$C$1:$C$5000,B1048)&gt;0,"BARDÉ","EN STOCK")))</f>
        <v>POSÉ EN LIGNE</v>
      </c>
      <c r="N1048" s="80"/>
    </row>
    <row r="1049" customFormat="false" ht="15" hidden="false" customHeight="false" outlineLevel="0" collapsed="false">
      <c r="A1049" s="82" t="n">
        <f aca="false">IF(B1049="","",ROW()-6)</f>
        <v>1043</v>
      </c>
      <c r="B1049" s="145" t="n">
        <v>2086020</v>
      </c>
      <c r="C1049" s="146" t="n">
        <v>15421109</v>
      </c>
      <c r="D1049" s="146"/>
      <c r="E1049" s="82" t="str">
        <f aca="false">IF(B1049="","",IF(COUNTIFS('CARNET DE SOUDURE'!$L$7:$L$3006,B1049,'CARNET DE SOUDURE'!$M$7:$M$3006,"&lt;&gt;"&amp;C1049,'CARNET DE SOUDURE'!$M$7:$M$3006,"&lt;&gt;")+COUNTIFS('CARNET DE SOUDURE'!$O$7:$O$3006,B1049,'CARNET DE SOUDURE'!$P$7:$P$3006,"&lt;&gt;"&amp;C1049,'CARNET DE SOUDURE'!$P$7:$P$3006,"&lt;&gt;")&gt;0,"⚠ DIFFÉRENTE","OK"))</f>
        <v>OK</v>
      </c>
      <c r="F1049" s="147" t="n">
        <v>11.94</v>
      </c>
      <c r="G1049" s="80"/>
      <c r="H1049" s="83"/>
      <c r="I1049" s="148" t="str">
        <f aca="false">IF(B1049="","",IFERROR(INDEX('CARNET DE SOUDURE'!$B$7:$B$3006,MATCH(B1049,'CARNET DE SOUDURE'!$L$7:$L$3006,0)),IFERROR(INDEX('CARNET DE SOUDURE'!$B$7:$B$3006,MATCH(B1049,'CARNET DE SOUDURE'!$O$7:$O$3006,0)),"")))</f>
        <v>MFD-ISW → MFD-CPF</v>
      </c>
      <c r="J1049" s="82" t="str">
        <f aca="false">IF(B1049="","",IFERROR(INDEX('CARNET DE SOUDURE'!$E$7:$E$3006,MATCH(B1049,'CARNET DE SOUDURE'!$O$7:$O$3006,0)),""))</f>
        <v>JN°1590</v>
      </c>
      <c r="K1049" s="82" t="str">
        <f aca="false">IF(B1049="","",IFERROR(INDEX('CARNET DE SOUDURE'!$E$7:$E$3006,MATCH(B1049,'CARNET DE SOUDURE'!$L$7:$L$3006,0)),""))</f>
        <v>JN°1591</v>
      </c>
      <c r="L1049" s="82" t="n">
        <f aca="false">IF(B1049="","",IFERROR(INDEX('CARNET DE SOUDURE'!$D$7:$D$3006,MATCH(B1049,'CARNET DE SOUDURE'!$L$7:$L$3006,0)),IFERROR(INDEX('CARNET DE SOUDURE'!$D$7:$D$3006,MATCH(B1049,'CARNET DE SOUDURE'!$O$7:$O$3006,0)),"")))</f>
        <v>19</v>
      </c>
      <c r="M1049" s="82" t="str">
        <f aca="false">IF(B1049="","",IF(OR(J1049&lt;&gt;"",K1049&lt;&gt;""),"POSÉ EN LIGNE",IF(COUNTIF(BARDAGE!$C$1:$C$5000,B1049)&gt;0,"BARDÉ","EN STOCK")))</f>
        <v>POSÉ EN LIGNE</v>
      </c>
      <c r="N1049" s="80"/>
    </row>
    <row r="1050" customFormat="false" ht="15" hidden="false" customHeight="false" outlineLevel="0" collapsed="false">
      <c r="A1050" s="82" t="n">
        <f aca="false">IF(B1050="","",ROW()-6)</f>
        <v>1044</v>
      </c>
      <c r="B1050" s="145" t="n">
        <v>2093500</v>
      </c>
      <c r="C1050" s="146" t="n">
        <v>15421110</v>
      </c>
      <c r="D1050" s="146"/>
      <c r="E1050" s="82" t="str">
        <f aca="false">IF(B1050="","",IF(COUNTIFS('CARNET DE SOUDURE'!$L$7:$L$3006,B1050,'CARNET DE SOUDURE'!$M$7:$M$3006,"&lt;&gt;"&amp;C1050,'CARNET DE SOUDURE'!$M$7:$M$3006,"&lt;&gt;")+COUNTIFS('CARNET DE SOUDURE'!$O$7:$O$3006,B1050,'CARNET DE SOUDURE'!$P$7:$P$3006,"&lt;&gt;"&amp;C1050,'CARNET DE SOUDURE'!$P$7:$P$3006,"&lt;&gt;")&gt;0,"⚠ DIFFÉRENTE","OK"))</f>
        <v>OK</v>
      </c>
      <c r="F1050" s="147" t="n">
        <v>11.94</v>
      </c>
      <c r="G1050" s="80"/>
      <c r="H1050" s="83"/>
      <c r="I1050" s="148" t="str">
        <f aca="false">IF(B1050="","",IFERROR(INDEX('CARNET DE SOUDURE'!$B$7:$B$3006,MATCH(B1050,'CARNET DE SOUDURE'!$L$7:$L$3006,0)),IFERROR(INDEX('CARNET DE SOUDURE'!$B$7:$B$3006,MATCH(B1050,'CARNET DE SOUDURE'!$O$7:$O$3006,0)),"")))</f>
        <v>MFD-ISW → MFD-CPF</v>
      </c>
      <c r="J1050" s="82" t="str">
        <f aca="false">IF(B1050="","",IFERROR(INDEX('CARNET DE SOUDURE'!$E$7:$E$3006,MATCH(B1050,'CARNET DE SOUDURE'!$O$7:$O$3006,0)),""))</f>
        <v>JN°1591</v>
      </c>
      <c r="K1050" s="82" t="str">
        <f aca="false">IF(B1050="","",IFERROR(INDEX('CARNET DE SOUDURE'!$E$7:$E$3006,MATCH(B1050,'CARNET DE SOUDURE'!$L$7:$L$3006,0)),""))</f>
        <v>JN°1592</v>
      </c>
      <c r="L1050" s="82" t="n">
        <f aca="false">IF(B1050="","",IFERROR(INDEX('CARNET DE SOUDURE'!$D$7:$D$3006,MATCH(B1050,'CARNET DE SOUDURE'!$L$7:$L$3006,0)),IFERROR(INDEX('CARNET DE SOUDURE'!$D$7:$D$3006,MATCH(B1050,'CARNET DE SOUDURE'!$O$7:$O$3006,0)),"")))</f>
        <v>19</v>
      </c>
      <c r="M1050" s="82" t="str">
        <f aca="false">IF(B1050="","",IF(OR(J1050&lt;&gt;"",K1050&lt;&gt;""),"POSÉ EN LIGNE",IF(COUNTIF(BARDAGE!$C$1:$C$5000,B1050)&gt;0,"BARDÉ","EN STOCK")))</f>
        <v>POSÉ EN LIGNE</v>
      </c>
      <c r="N1050" s="80"/>
    </row>
    <row r="1051" customFormat="false" ht="15" hidden="false" customHeight="false" outlineLevel="0" collapsed="false">
      <c r="A1051" s="82" t="n">
        <f aca="false">IF(B1051="","",ROW()-6)</f>
        <v>1045</v>
      </c>
      <c r="B1051" s="145" t="n">
        <v>2096120</v>
      </c>
      <c r="C1051" s="146" t="n">
        <v>15421111</v>
      </c>
      <c r="D1051" s="146"/>
      <c r="E1051" s="82" t="str">
        <f aca="false">IF(B1051="","",IF(COUNTIFS('CARNET DE SOUDURE'!$L$7:$L$3006,B1051,'CARNET DE SOUDURE'!$M$7:$M$3006,"&lt;&gt;"&amp;C1051,'CARNET DE SOUDURE'!$M$7:$M$3006,"&lt;&gt;")+COUNTIFS('CARNET DE SOUDURE'!$O$7:$O$3006,B1051,'CARNET DE SOUDURE'!$P$7:$P$3006,"&lt;&gt;"&amp;C1051,'CARNET DE SOUDURE'!$P$7:$P$3006,"&lt;&gt;")&gt;0,"⚠ DIFFÉRENTE","OK"))</f>
        <v>OK</v>
      </c>
      <c r="F1051" s="147" t="n">
        <v>11.94</v>
      </c>
      <c r="G1051" s="80"/>
      <c r="H1051" s="83"/>
      <c r="I1051" s="148" t="str">
        <f aca="false">IF(B1051="","",IFERROR(INDEX('CARNET DE SOUDURE'!$B$7:$B$3006,MATCH(B1051,'CARNET DE SOUDURE'!$L$7:$L$3006,0)),IFERROR(INDEX('CARNET DE SOUDURE'!$B$7:$B$3006,MATCH(B1051,'CARNET DE SOUDURE'!$O$7:$O$3006,0)),"")))</f>
        <v>MFD-ISW → MFD-CPF</v>
      </c>
      <c r="J1051" s="82" t="str">
        <f aca="false">IF(B1051="","",IFERROR(INDEX('CARNET DE SOUDURE'!$E$7:$E$3006,MATCH(B1051,'CARNET DE SOUDURE'!$O$7:$O$3006,0)),""))</f>
        <v>JN°1592</v>
      </c>
      <c r="K1051" s="82" t="str">
        <f aca="false">IF(B1051="","",IFERROR(INDEX('CARNET DE SOUDURE'!$E$7:$E$3006,MATCH(B1051,'CARNET DE SOUDURE'!$L$7:$L$3006,0)),""))</f>
        <v>JN°1593</v>
      </c>
      <c r="L1051" s="82" t="n">
        <f aca="false">IF(B1051="","",IFERROR(INDEX('CARNET DE SOUDURE'!$D$7:$D$3006,MATCH(B1051,'CARNET DE SOUDURE'!$L$7:$L$3006,0)),IFERROR(INDEX('CARNET DE SOUDURE'!$D$7:$D$3006,MATCH(B1051,'CARNET DE SOUDURE'!$O$7:$O$3006,0)),"")))</f>
        <v>19</v>
      </c>
      <c r="M1051" s="82" t="str">
        <f aca="false">IF(B1051="","",IF(OR(J1051&lt;&gt;"",K1051&lt;&gt;""),"POSÉ EN LIGNE",IF(COUNTIF(BARDAGE!$C$1:$C$5000,B1051)&gt;0,"BARDÉ","EN STOCK")))</f>
        <v>POSÉ EN LIGNE</v>
      </c>
      <c r="N1051" s="80"/>
    </row>
    <row r="1052" customFormat="false" ht="15" hidden="false" customHeight="false" outlineLevel="0" collapsed="false">
      <c r="A1052" s="82" t="n">
        <f aca="false">IF(B1052="","",ROW()-6)</f>
        <v>1046</v>
      </c>
      <c r="B1052" s="145" t="n">
        <v>2079790</v>
      </c>
      <c r="C1052" s="146" t="n">
        <v>15421102</v>
      </c>
      <c r="D1052" s="146"/>
      <c r="E1052" s="82" t="str">
        <f aca="false">IF(B1052="","",IF(COUNTIFS('CARNET DE SOUDURE'!$L$7:$L$3006,B1052,'CARNET DE SOUDURE'!$M$7:$M$3006,"&lt;&gt;"&amp;C1052,'CARNET DE SOUDURE'!$M$7:$M$3006,"&lt;&gt;")+COUNTIFS('CARNET DE SOUDURE'!$O$7:$O$3006,B1052,'CARNET DE SOUDURE'!$P$7:$P$3006,"&lt;&gt;"&amp;C1052,'CARNET DE SOUDURE'!$P$7:$P$3006,"&lt;&gt;")&gt;0,"⚠ DIFFÉRENTE","OK"))</f>
        <v>OK</v>
      </c>
      <c r="F1052" s="147" t="n">
        <v>11.94</v>
      </c>
      <c r="G1052" s="80"/>
      <c r="H1052" s="83"/>
      <c r="I1052" s="148" t="str">
        <f aca="false">IF(B1052="","",IFERROR(INDEX('CARNET DE SOUDURE'!$B$7:$B$3006,MATCH(B1052,'CARNET DE SOUDURE'!$L$7:$L$3006,0)),IFERROR(INDEX('CARNET DE SOUDURE'!$B$7:$B$3006,MATCH(B1052,'CARNET DE SOUDURE'!$O$7:$O$3006,0)),"")))</f>
        <v>MFD-ISW → MFD-CPF</v>
      </c>
      <c r="J1052" s="82" t="str">
        <f aca="false">IF(B1052="","",IFERROR(INDEX('CARNET DE SOUDURE'!$E$7:$E$3006,MATCH(B1052,'CARNET DE SOUDURE'!$O$7:$O$3006,0)),""))</f>
        <v>JN°1593</v>
      </c>
      <c r="K1052" s="82" t="str">
        <f aca="false">IF(B1052="","",IFERROR(INDEX('CARNET DE SOUDURE'!$E$7:$E$3006,MATCH(B1052,'CARNET DE SOUDURE'!$L$7:$L$3006,0)),""))</f>
        <v>JN°1594</v>
      </c>
      <c r="L1052" s="82" t="n">
        <f aca="false">IF(B1052="","",IFERROR(INDEX('CARNET DE SOUDURE'!$D$7:$D$3006,MATCH(B1052,'CARNET DE SOUDURE'!$L$7:$L$3006,0)),IFERROR(INDEX('CARNET DE SOUDURE'!$D$7:$D$3006,MATCH(B1052,'CARNET DE SOUDURE'!$O$7:$O$3006,0)),"")))</f>
        <v>19</v>
      </c>
      <c r="M1052" s="82" t="str">
        <f aca="false">IF(B1052="","",IF(OR(J1052&lt;&gt;"",K1052&lt;&gt;""),"POSÉ EN LIGNE",IF(COUNTIF(BARDAGE!$C$1:$C$5000,B1052)&gt;0,"BARDÉ","EN STOCK")))</f>
        <v>POSÉ EN LIGNE</v>
      </c>
      <c r="N1052" s="80"/>
    </row>
    <row r="1053" customFormat="false" ht="15" hidden="false" customHeight="false" outlineLevel="0" collapsed="false">
      <c r="A1053" s="82" t="n">
        <f aca="false">IF(B1053="","",ROW()-6)</f>
        <v>1047</v>
      </c>
      <c r="B1053" s="145" t="n">
        <v>2093590</v>
      </c>
      <c r="C1053" s="146" t="n">
        <v>15421110</v>
      </c>
      <c r="D1053" s="146"/>
      <c r="E1053" s="82" t="str">
        <f aca="false">IF(B1053="","",IF(COUNTIFS('CARNET DE SOUDURE'!$L$7:$L$3006,B1053,'CARNET DE SOUDURE'!$M$7:$M$3006,"&lt;&gt;"&amp;C1053,'CARNET DE SOUDURE'!$M$7:$M$3006,"&lt;&gt;")+COUNTIFS('CARNET DE SOUDURE'!$O$7:$O$3006,B1053,'CARNET DE SOUDURE'!$P$7:$P$3006,"&lt;&gt;"&amp;C1053,'CARNET DE SOUDURE'!$P$7:$P$3006,"&lt;&gt;")&gt;0,"⚠ DIFFÉRENTE","OK"))</f>
        <v>OK</v>
      </c>
      <c r="F1053" s="147" t="n">
        <v>11.94</v>
      </c>
      <c r="G1053" s="80"/>
      <c r="H1053" s="83"/>
      <c r="I1053" s="148" t="str">
        <f aca="false">IF(B1053="","",IFERROR(INDEX('CARNET DE SOUDURE'!$B$7:$B$3006,MATCH(B1053,'CARNET DE SOUDURE'!$L$7:$L$3006,0)),IFERROR(INDEX('CARNET DE SOUDURE'!$B$7:$B$3006,MATCH(B1053,'CARNET DE SOUDURE'!$O$7:$O$3006,0)),"")))</f>
        <v>MFD-ISW → MFD-CPF</v>
      </c>
      <c r="J1053" s="82" t="str">
        <f aca="false">IF(B1053="","",IFERROR(INDEX('CARNET DE SOUDURE'!$E$7:$E$3006,MATCH(B1053,'CARNET DE SOUDURE'!$O$7:$O$3006,0)),""))</f>
        <v>JN°1594</v>
      </c>
      <c r="K1053" s="82" t="str">
        <f aca="false">IF(B1053="","",IFERROR(INDEX('CARNET DE SOUDURE'!$E$7:$E$3006,MATCH(B1053,'CARNET DE SOUDURE'!$L$7:$L$3006,0)),""))</f>
        <v>JN°1595</v>
      </c>
      <c r="L1053" s="82" t="n">
        <f aca="false">IF(B1053="","",IFERROR(INDEX('CARNET DE SOUDURE'!$D$7:$D$3006,MATCH(B1053,'CARNET DE SOUDURE'!$L$7:$L$3006,0)),IFERROR(INDEX('CARNET DE SOUDURE'!$D$7:$D$3006,MATCH(B1053,'CARNET DE SOUDURE'!$O$7:$O$3006,0)),"")))</f>
        <v>19</v>
      </c>
      <c r="M1053" s="82" t="str">
        <f aca="false">IF(B1053="","",IF(OR(J1053&lt;&gt;"",K1053&lt;&gt;""),"POSÉ EN LIGNE",IF(COUNTIF(BARDAGE!$C$1:$C$5000,B1053)&gt;0,"BARDÉ","EN STOCK")))</f>
        <v>POSÉ EN LIGNE</v>
      </c>
      <c r="N1053" s="80"/>
    </row>
    <row r="1054" customFormat="false" ht="15" hidden="false" customHeight="false" outlineLevel="0" collapsed="false">
      <c r="A1054" s="82" t="n">
        <f aca="false">IF(B1054="","",ROW()-6)</f>
        <v>1048</v>
      </c>
      <c r="B1054" s="145" t="n">
        <v>2078570</v>
      </c>
      <c r="C1054" s="146" t="n">
        <v>15421101</v>
      </c>
      <c r="D1054" s="146"/>
      <c r="E1054" s="82" t="str">
        <f aca="false">IF(B1054="","",IF(COUNTIFS('CARNET DE SOUDURE'!$L$7:$L$3006,B1054,'CARNET DE SOUDURE'!$M$7:$M$3006,"&lt;&gt;"&amp;C1054,'CARNET DE SOUDURE'!$M$7:$M$3006,"&lt;&gt;")+COUNTIFS('CARNET DE SOUDURE'!$O$7:$O$3006,B1054,'CARNET DE SOUDURE'!$P$7:$P$3006,"&lt;&gt;"&amp;C1054,'CARNET DE SOUDURE'!$P$7:$P$3006,"&lt;&gt;")&gt;0,"⚠ DIFFÉRENTE","OK"))</f>
        <v>OK</v>
      </c>
      <c r="F1054" s="147" t="n">
        <v>11.94</v>
      </c>
      <c r="G1054" s="80"/>
      <c r="H1054" s="83"/>
      <c r="I1054" s="148" t="str">
        <f aca="false">IF(B1054="","",IFERROR(INDEX('CARNET DE SOUDURE'!$B$7:$B$3006,MATCH(B1054,'CARNET DE SOUDURE'!$L$7:$L$3006,0)),IFERROR(INDEX('CARNET DE SOUDURE'!$B$7:$B$3006,MATCH(B1054,'CARNET DE SOUDURE'!$O$7:$O$3006,0)),"")))</f>
        <v>MFD-ISW → MFD-CPF</v>
      </c>
      <c r="J1054" s="82" t="str">
        <f aca="false">IF(B1054="","",IFERROR(INDEX('CARNET DE SOUDURE'!$E$7:$E$3006,MATCH(B1054,'CARNET DE SOUDURE'!$O$7:$O$3006,0)),""))</f>
        <v>JN°1595</v>
      </c>
      <c r="K1054" s="82" t="str">
        <f aca="false">IF(B1054="","",IFERROR(INDEX('CARNET DE SOUDURE'!$E$7:$E$3006,MATCH(B1054,'CARNET DE SOUDURE'!$L$7:$L$3006,0)),""))</f>
        <v>JN°1596</v>
      </c>
      <c r="L1054" s="82" t="n">
        <f aca="false">IF(B1054="","",IFERROR(INDEX('CARNET DE SOUDURE'!$D$7:$D$3006,MATCH(B1054,'CARNET DE SOUDURE'!$L$7:$L$3006,0)),IFERROR(INDEX('CARNET DE SOUDURE'!$D$7:$D$3006,MATCH(B1054,'CARNET DE SOUDURE'!$O$7:$O$3006,0)),"")))</f>
        <v>19</v>
      </c>
      <c r="M1054" s="82" t="str">
        <f aca="false">IF(B1054="","",IF(OR(J1054&lt;&gt;"",K1054&lt;&gt;""),"POSÉ EN LIGNE",IF(COUNTIF(BARDAGE!$C$1:$C$5000,B1054)&gt;0,"BARDÉ","EN STOCK")))</f>
        <v>POSÉ EN LIGNE</v>
      </c>
      <c r="N1054" s="80"/>
    </row>
    <row r="1055" customFormat="false" ht="15" hidden="false" customHeight="false" outlineLevel="0" collapsed="false">
      <c r="A1055" s="82" t="n">
        <f aca="false">IF(B1055="","",ROW()-6)</f>
        <v>1049</v>
      </c>
      <c r="B1055" s="145" t="n">
        <v>2092380</v>
      </c>
      <c r="C1055" s="146" t="n">
        <v>15421110</v>
      </c>
      <c r="D1055" s="146"/>
      <c r="E1055" s="82" t="str">
        <f aca="false">IF(B1055="","",IF(COUNTIFS('CARNET DE SOUDURE'!$L$7:$L$3006,B1055,'CARNET DE SOUDURE'!$M$7:$M$3006,"&lt;&gt;"&amp;C1055,'CARNET DE SOUDURE'!$M$7:$M$3006,"&lt;&gt;")+COUNTIFS('CARNET DE SOUDURE'!$O$7:$O$3006,B1055,'CARNET DE SOUDURE'!$P$7:$P$3006,"&lt;&gt;"&amp;C1055,'CARNET DE SOUDURE'!$P$7:$P$3006,"&lt;&gt;")&gt;0,"⚠ DIFFÉRENTE","OK"))</f>
        <v>OK</v>
      </c>
      <c r="F1055" s="147" t="n">
        <v>11.94</v>
      </c>
      <c r="G1055" s="80"/>
      <c r="H1055" s="83"/>
      <c r="I1055" s="148" t="str">
        <f aca="false">IF(B1055="","",IFERROR(INDEX('CARNET DE SOUDURE'!$B$7:$B$3006,MATCH(B1055,'CARNET DE SOUDURE'!$L$7:$L$3006,0)),IFERROR(INDEX('CARNET DE SOUDURE'!$B$7:$B$3006,MATCH(B1055,'CARNET DE SOUDURE'!$O$7:$O$3006,0)),"")))</f>
        <v>MFD-ISW → MFD-CPF</v>
      </c>
      <c r="J1055" s="82" t="str">
        <f aca="false">IF(B1055="","",IFERROR(INDEX('CARNET DE SOUDURE'!$E$7:$E$3006,MATCH(B1055,'CARNET DE SOUDURE'!$O$7:$O$3006,0)),""))</f>
        <v>JN°1596</v>
      </c>
      <c r="K1055" s="82" t="str">
        <f aca="false">IF(B1055="","",IFERROR(INDEX('CARNET DE SOUDURE'!$E$7:$E$3006,MATCH(B1055,'CARNET DE SOUDURE'!$L$7:$L$3006,0)),""))</f>
        <v>JN°1597</v>
      </c>
      <c r="L1055" s="82" t="n">
        <f aca="false">IF(B1055="","",IFERROR(INDEX('CARNET DE SOUDURE'!$D$7:$D$3006,MATCH(B1055,'CARNET DE SOUDURE'!$L$7:$L$3006,0)),IFERROR(INDEX('CARNET DE SOUDURE'!$D$7:$D$3006,MATCH(B1055,'CARNET DE SOUDURE'!$O$7:$O$3006,0)),"")))</f>
        <v>19</v>
      </c>
      <c r="M1055" s="82" t="str">
        <f aca="false">IF(B1055="","",IF(OR(J1055&lt;&gt;"",K1055&lt;&gt;""),"POSÉ EN LIGNE",IF(COUNTIF(BARDAGE!$C$1:$C$5000,B1055)&gt;0,"BARDÉ","EN STOCK")))</f>
        <v>POSÉ EN LIGNE</v>
      </c>
      <c r="N1055" s="80"/>
    </row>
    <row r="1056" customFormat="false" ht="15" hidden="false" customHeight="false" outlineLevel="0" collapsed="false">
      <c r="A1056" s="82" t="n">
        <f aca="false">IF(B1056="","",ROW()-6)</f>
        <v>1050</v>
      </c>
      <c r="B1056" s="145" t="n">
        <v>2095690</v>
      </c>
      <c r="C1056" s="146" t="n">
        <v>15421111</v>
      </c>
      <c r="D1056" s="146"/>
      <c r="E1056" s="82" t="str">
        <f aca="false">IF(B1056="","",IF(COUNTIFS('CARNET DE SOUDURE'!$L$7:$L$3006,B1056,'CARNET DE SOUDURE'!$M$7:$M$3006,"&lt;&gt;"&amp;C1056,'CARNET DE SOUDURE'!$M$7:$M$3006,"&lt;&gt;")+COUNTIFS('CARNET DE SOUDURE'!$O$7:$O$3006,B1056,'CARNET DE SOUDURE'!$P$7:$P$3006,"&lt;&gt;"&amp;C1056,'CARNET DE SOUDURE'!$P$7:$P$3006,"&lt;&gt;")&gt;0,"⚠ DIFFÉRENTE","OK"))</f>
        <v>OK</v>
      </c>
      <c r="F1056" s="147" t="n">
        <v>11.94</v>
      </c>
      <c r="G1056" s="80"/>
      <c r="H1056" s="83"/>
      <c r="I1056" s="148" t="str">
        <f aca="false">IF(B1056="","",IFERROR(INDEX('CARNET DE SOUDURE'!$B$7:$B$3006,MATCH(B1056,'CARNET DE SOUDURE'!$L$7:$L$3006,0)),IFERROR(INDEX('CARNET DE SOUDURE'!$B$7:$B$3006,MATCH(B1056,'CARNET DE SOUDURE'!$O$7:$O$3006,0)),"")))</f>
        <v>MFD-ISW → MFD-CPF</v>
      </c>
      <c r="J1056" s="82" t="str">
        <f aca="false">IF(B1056="","",IFERROR(INDEX('CARNET DE SOUDURE'!$E$7:$E$3006,MATCH(B1056,'CARNET DE SOUDURE'!$O$7:$O$3006,0)),""))</f>
        <v>JN°1597</v>
      </c>
      <c r="K1056" s="82" t="str">
        <f aca="false">IF(B1056="","",IFERROR(INDEX('CARNET DE SOUDURE'!$E$7:$E$3006,MATCH(B1056,'CARNET DE SOUDURE'!$L$7:$L$3006,0)),""))</f>
        <v>JN°1598</v>
      </c>
      <c r="L1056" s="82" t="n">
        <f aca="false">IF(B1056="","",IFERROR(INDEX('CARNET DE SOUDURE'!$D$7:$D$3006,MATCH(B1056,'CARNET DE SOUDURE'!$L$7:$L$3006,0)),IFERROR(INDEX('CARNET DE SOUDURE'!$D$7:$D$3006,MATCH(B1056,'CARNET DE SOUDURE'!$O$7:$O$3006,0)),"")))</f>
        <v>19</v>
      </c>
      <c r="M1056" s="82" t="str">
        <f aca="false">IF(B1056="","",IF(OR(J1056&lt;&gt;"",K1056&lt;&gt;""),"POSÉ EN LIGNE",IF(COUNTIF(BARDAGE!$C$1:$C$5000,B1056)&gt;0,"BARDÉ","EN STOCK")))</f>
        <v>POSÉ EN LIGNE</v>
      </c>
      <c r="N1056" s="80"/>
    </row>
    <row r="1057" customFormat="false" ht="15" hidden="false" customHeight="false" outlineLevel="0" collapsed="false">
      <c r="A1057" s="82" t="n">
        <f aca="false">IF(B1057="","",ROW()-6)</f>
        <v>1051</v>
      </c>
      <c r="B1057" s="145" t="n">
        <v>2080900</v>
      </c>
      <c r="C1057" s="146" t="n">
        <v>15421103</v>
      </c>
      <c r="D1057" s="146"/>
      <c r="E1057" s="82" t="str">
        <f aca="false">IF(B1057="","",IF(COUNTIFS('CARNET DE SOUDURE'!$L$7:$L$3006,B1057,'CARNET DE SOUDURE'!$M$7:$M$3006,"&lt;&gt;"&amp;C1057,'CARNET DE SOUDURE'!$M$7:$M$3006,"&lt;&gt;")+COUNTIFS('CARNET DE SOUDURE'!$O$7:$O$3006,B1057,'CARNET DE SOUDURE'!$P$7:$P$3006,"&lt;&gt;"&amp;C1057,'CARNET DE SOUDURE'!$P$7:$P$3006,"&lt;&gt;")&gt;0,"⚠ DIFFÉRENTE","OK"))</f>
        <v>OK</v>
      </c>
      <c r="F1057" s="147" t="n">
        <v>11.94</v>
      </c>
      <c r="G1057" s="80"/>
      <c r="H1057" s="83"/>
      <c r="I1057" s="148" t="str">
        <f aca="false">IF(B1057="","",IFERROR(INDEX('CARNET DE SOUDURE'!$B$7:$B$3006,MATCH(B1057,'CARNET DE SOUDURE'!$L$7:$L$3006,0)),IFERROR(INDEX('CARNET DE SOUDURE'!$B$7:$B$3006,MATCH(B1057,'CARNET DE SOUDURE'!$O$7:$O$3006,0)),"")))</f>
        <v>MFD-ISW → MFD-CPF</v>
      </c>
      <c r="J1057" s="82" t="str">
        <f aca="false">IF(B1057="","",IFERROR(INDEX('CARNET DE SOUDURE'!$E$7:$E$3006,MATCH(B1057,'CARNET DE SOUDURE'!$O$7:$O$3006,0)),""))</f>
        <v>JN°1598</v>
      </c>
      <c r="K1057" s="82" t="str">
        <f aca="false">IF(B1057="","",IFERROR(INDEX('CARNET DE SOUDURE'!$E$7:$E$3006,MATCH(B1057,'CARNET DE SOUDURE'!$L$7:$L$3006,0)),""))</f>
        <v>JN°1599</v>
      </c>
      <c r="L1057" s="82" t="n">
        <f aca="false">IF(B1057="","",IFERROR(INDEX('CARNET DE SOUDURE'!$D$7:$D$3006,MATCH(B1057,'CARNET DE SOUDURE'!$L$7:$L$3006,0)),IFERROR(INDEX('CARNET DE SOUDURE'!$D$7:$D$3006,MATCH(B1057,'CARNET DE SOUDURE'!$O$7:$O$3006,0)),"")))</f>
        <v>19</v>
      </c>
      <c r="M1057" s="82" t="str">
        <f aca="false">IF(B1057="","",IF(OR(J1057&lt;&gt;"",K1057&lt;&gt;""),"POSÉ EN LIGNE",IF(COUNTIF(BARDAGE!$C$1:$C$5000,B1057)&gt;0,"BARDÉ","EN STOCK")))</f>
        <v>POSÉ EN LIGNE</v>
      </c>
      <c r="N1057" s="80"/>
    </row>
    <row r="1058" customFormat="false" ht="15" hidden="false" customHeight="false" outlineLevel="0" collapsed="false">
      <c r="A1058" s="82" t="n">
        <f aca="false">IF(B1058="","",ROW()-6)</f>
        <v>1052</v>
      </c>
      <c r="B1058" s="145" t="n">
        <v>2080890</v>
      </c>
      <c r="C1058" s="146" t="n">
        <v>15421103</v>
      </c>
      <c r="D1058" s="146"/>
      <c r="E1058" s="82" t="str">
        <f aca="false">IF(B1058="","",IF(COUNTIFS('CARNET DE SOUDURE'!$L$7:$L$3006,B1058,'CARNET DE SOUDURE'!$M$7:$M$3006,"&lt;&gt;"&amp;C1058,'CARNET DE SOUDURE'!$M$7:$M$3006,"&lt;&gt;")+COUNTIFS('CARNET DE SOUDURE'!$O$7:$O$3006,B1058,'CARNET DE SOUDURE'!$P$7:$P$3006,"&lt;&gt;"&amp;C1058,'CARNET DE SOUDURE'!$P$7:$P$3006,"&lt;&gt;")&gt;0,"⚠ DIFFÉRENTE","OK"))</f>
        <v>OK</v>
      </c>
      <c r="F1058" s="147" t="n">
        <v>11.94</v>
      </c>
      <c r="G1058" s="80"/>
      <c r="H1058" s="83"/>
      <c r="I1058" s="148" t="str">
        <f aca="false">IF(B1058="","",IFERROR(INDEX('CARNET DE SOUDURE'!$B$7:$B$3006,MATCH(B1058,'CARNET DE SOUDURE'!$L$7:$L$3006,0)),IFERROR(INDEX('CARNET DE SOUDURE'!$B$7:$B$3006,MATCH(B1058,'CARNET DE SOUDURE'!$O$7:$O$3006,0)),"")))</f>
        <v>MFD-ISW → MFD-CPF</v>
      </c>
      <c r="J1058" s="82" t="str">
        <f aca="false">IF(B1058="","",IFERROR(INDEX('CARNET DE SOUDURE'!$E$7:$E$3006,MATCH(B1058,'CARNET DE SOUDURE'!$O$7:$O$3006,0)),""))</f>
        <v>JN°1599</v>
      </c>
      <c r="K1058" s="82" t="str">
        <f aca="false">IF(B1058="","",IFERROR(INDEX('CARNET DE SOUDURE'!$E$7:$E$3006,MATCH(B1058,'CARNET DE SOUDURE'!$L$7:$L$3006,0)),""))</f>
        <v>JN°1600</v>
      </c>
      <c r="L1058" s="82" t="n">
        <f aca="false">IF(B1058="","",IFERROR(INDEX('CARNET DE SOUDURE'!$D$7:$D$3006,MATCH(B1058,'CARNET DE SOUDURE'!$L$7:$L$3006,0)),IFERROR(INDEX('CARNET DE SOUDURE'!$D$7:$D$3006,MATCH(B1058,'CARNET DE SOUDURE'!$O$7:$O$3006,0)),"")))</f>
        <v>20</v>
      </c>
      <c r="M1058" s="82" t="str">
        <f aca="false">IF(B1058="","",IF(OR(J1058&lt;&gt;"",K1058&lt;&gt;""),"POSÉ EN LIGNE",IF(COUNTIF(BARDAGE!$C$1:$C$5000,B1058)&gt;0,"BARDÉ","EN STOCK")))</f>
        <v>POSÉ EN LIGNE</v>
      </c>
      <c r="N1058" s="80"/>
    </row>
    <row r="1059" customFormat="false" ht="15" hidden="false" customHeight="false" outlineLevel="0" collapsed="false">
      <c r="A1059" s="82" t="n">
        <f aca="false">IF(B1059="","",ROW()-6)</f>
        <v>1053</v>
      </c>
      <c r="B1059" s="145" t="n">
        <v>2081650</v>
      </c>
      <c r="C1059" s="146" t="n">
        <v>15421103</v>
      </c>
      <c r="D1059" s="146"/>
      <c r="E1059" s="82" t="str">
        <f aca="false">IF(B1059="","",IF(COUNTIFS('CARNET DE SOUDURE'!$L$7:$L$3006,B1059,'CARNET DE SOUDURE'!$M$7:$M$3006,"&lt;&gt;"&amp;C1059,'CARNET DE SOUDURE'!$M$7:$M$3006,"&lt;&gt;")+COUNTIFS('CARNET DE SOUDURE'!$O$7:$O$3006,B1059,'CARNET DE SOUDURE'!$P$7:$P$3006,"&lt;&gt;"&amp;C1059,'CARNET DE SOUDURE'!$P$7:$P$3006,"&lt;&gt;")&gt;0,"⚠ DIFFÉRENTE","OK"))</f>
        <v>OK</v>
      </c>
      <c r="F1059" s="147" t="n">
        <v>11.94</v>
      </c>
      <c r="G1059" s="80"/>
      <c r="H1059" s="83"/>
      <c r="I1059" s="148" t="str">
        <f aca="false">IF(B1059="","",IFERROR(INDEX('CARNET DE SOUDURE'!$B$7:$B$3006,MATCH(B1059,'CARNET DE SOUDURE'!$L$7:$L$3006,0)),IFERROR(INDEX('CARNET DE SOUDURE'!$B$7:$B$3006,MATCH(B1059,'CARNET DE SOUDURE'!$O$7:$O$3006,0)),"")))</f>
        <v>MFD-ISW → MFD-CPF</v>
      </c>
      <c r="J1059" s="82" t="str">
        <f aca="false">IF(B1059="","",IFERROR(INDEX('CARNET DE SOUDURE'!$E$7:$E$3006,MATCH(B1059,'CARNET DE SOUDURE'!$O$7:$O$3006,0)),""))</f>
        <v>JN°1600</v>
      </c>
      <c r="K1059" s="82" t="str">
        <f aca="false">IF(B1059="","",IFERROR(INDEX('CARNET DE SOUDURE'!$E$7:$E$3006,MATCH(B1059,'CARNET DE SOUDURE'!$L$7:$L$3006,0)),""))</f>
        <v>JN°1601</v>
      </c>
      <c r="L1059" s="82" t="n">
        <f aca="false">IF(B1059="","",IFERROR(INDEX('CARNET DE SOUDURE'!$D$7:$D$3006,MATCH(B1059,'CARNET DE SOUDURE'!$L$7:$L$3006,0)),IFERROR(INDEX('CARNET DE SOUDURE'!$D$7:$D$3006,MATCH(B1059,'CARNET DE SOUDURE'!$O$7:$O$3006,0)),"")))</f>
        <v>20</v>
      </c>
      <c r="M1059" s="82" t="str">
        <f aca="false">IF(B1059="","",IF(OR(J1059&lt;&gt;"",K1059&lt;&gt;""),"POSÉ EN LIGNE",IF(COUNTIF(BARDAGE!$C$1:$C$5000,B1059)&gt;0,"BARDÉ","EN STOCK")))</f>
        <v>POSÉ EN LIGNE</v>
      </c>
      <c r="N1059" s="80"/>
    </row>
    <row r="1060" customFormat="false" ht="15" hidden="false" customHeight="false" outlineLevel="0" collapsed="false">
      <c r="A1060" s="82" t="n">
        <f aca="false">IF(B1060="","",ROW()-6)</f>
        <v>1054</v>
      </c>
      <c r="B1060" s="145" t="n">
        <v>2083190</v>
      </c>
      <c r="C1060" s="146" t="n">
        <v>15421105</v>
      </c>
      <c r="D1060" s="146"/>
      <c r="E1060" s="82" t="str">
        <f aca="false">IF(B1060="","",IF(COUNTIFS('CARNET DE SOUDURE'!$L$7:$L$3006,B1060,'CARNET DE SOUDURE'!$M$7:$M$3006,"&lt;&gt;"&amp;C1060,'CARNET DE SOUDURE'!$M$7:$M$3006,"&lt;&gt;")+COUNTIFS('CARNET DE SOUDURE'!$O$7:$O$3006,B1060,'CARNET DE SOUDURE'!$P$7:$P$3006,"&lt;&gt;"&amp;C1060,'CARNET DE SOUDURE'!$P$7:$P$3006,"&lt;&gt;")&gt;0,"⚠ DIFFÉRENTE","OK"))</f>
        <v>OK</v>
      </c>
      <c r="F1060" s="147" t="n">
        <v>11.94</v>
      </c>
      <c r="G1060" s="80"/>
      <c r="H1060" s="83"/>
      <c r="I1060" s="148" t="str">
        <f aca="false">IF(B1060="","",IFERROR(INDEX('CARNET DE SOUDURE'!$B$7:$B$3006,MATCH(B1060,'CARNET DE SOUDURE'!$L$7:$L$3006,0)),IFERROR(INDEX('CARNET DE SOUDURE'!$B$7:$B$3006,MATCH(B1060,'CARNET DE SOUDURE'!$O$7:$O$3006,0)),"")))</f>
        <v>MFD-ISW → MFD-CPF</v>
      </c>
      <c r="J1060" s="82" t="str">
        <f aca="false">IF(B1060="","",IFERROR(INDEX('CARNET DE SOUDURE'!$E$7:$E$3006,MATCH(B1060,'CARNET DE SOUDURE'!$O$7:$O$3006,0)),""))</f>
        <v>JN°1601</v>
      </c>
      <c r="K1060" s="82" t="str">
        <f aca="false">IF(B1060="","",IFERROR(INDEX('CARNET DE SOUDURE'!$E$7:$E$3006,MATCH(B1060,'CARNET DE SOUDURE'!$L$7:$L$3006,0)),""))</f>
        <v>JN°1602</v>
      </c>
      <c r="L1060" s="82" t="n">
        <f aca="false">IF(B1060="","",IFERROR(INDEX('CARNET DE SOUDURE'!$D$7:$D$3006,MATCH(B1060,'CARNET DE SOUDURE'!$L$7:$L$3006,0)),IFERROR(INDEX('CARNET DE SOUDURE'!$D$7:$D$3006,MATCH(B1060,'CARNET DE SOUDURE'!$O$7:$O$3006,0)),"")))</f>
        <v>20</v>
      </c>
      <c r="M1060" s="82" t="str">
        <f aca="false">IF(B1060="","",IF(OR(J1060&lt;&gt;"",K1060&lt;&gt;""),"POSÉ EN LIGNE",IF(COUNTIF(BARDAGE!$C$1:$C$5000,B1060)&gt;0,"BARDÉ","EN STOCK")))</f>
        <v>POSÉ EN LIGNE</v>
      </c>
      <c r="N1060" s="80"/>
    </row>
    <row r="1061" customFormat="false" ht="15" hidden="false" customHeight="false" outlineLevel="0" collapsed="false">
      <c r="A1061" s="82" t="n">
        <f aca="false">IF(B1061="","",ROW()-6)</f>
        <v>1055</v>
      </c>
      <c r="B1061" s="145" t="n">
        <v>2083270</v>
      </c>
      <c r="C1061" s="146" t="n">
        <v>15421105</v>
      </c>
      <c r="D1061" s="146"/>
      <c r="E1061" s="82" t="str">
        <f aca="false">IF(B1061="","",IF(COUNTIFS('CARNET DE SOUDURE'!$L$7:$L$3006,B1061,'CARNET DE SOUDURE'!$M$7:$M$3006,"&lt;&gt;"&amp;C1061,'CARNET DE SOUDURE'!$M$7:$M$3006,"&lt;&gt;")+COUNTIFS('CARNET DE SOUDURE'!$O$7:$O$3006,B1061,'CARNET DE SOUDURE'!$P$7:$P$3006,"&lt;&gt;"&amp;C1061,'CARNET DE SOUDURE'!$P$7:$P$3006,"&lt;&gt;")&gt;0,"⚠ DIFFÉRENTE","OK"))</f>
        <v>OK</v>
      </c>
      <c r="F1061" s="147" t="n">
        <v>11.94</v>
      </c>
      <c r="G1061" s="80"/>
      <c r="H1061" s="83"/>
      <c r="I1061" s="148" t="str">
        <f aca="false">IF(B1061="","",IFERROR(INDEX('CARNET DE SOUDURE'!$B$7:$B$3006,MATCH(B1061,'CARNET DE SOUDURE'!$L$7:$L$3006,0)),IFERROR(INDEX('CARNET DE SOUDURE'!$B$7:$B$3006,MATCH(B1061,'CARNET DE SOUDURE'!$O$7:$O$3006,0)),"")))</f>
        <v>MFD-ISW → MFD-CPF</v>
      </c>
      <c r="J1061" s="82" t="str">
        <f aca="false">IF(B1061="","",IFERROR(INDEX('CARNET DE SOUDURE'!$E$7:$E$3006,MATCH(B1061,'CARNET DE SOUDURE'!$O$7:$O$3006,0)),""))</f>
        <v>JN°1602</v>
      </c>
      <c r="K1061" s="82" t="str">
        <f aca="false">IF(B1061="","",IFERROR(INDEX('CARNET DE SOUDURE'!$E$7:$E$3006,MATCH(B1061,'CARNET DE SOUDURE'!$L$7:$L$3006,0)),""))</f>
        <v>JN°1603R</v>
      </c>
      <c r="L1061" s="82" t="n">
        <f aca="false">IF(B1061="","",IFERROR(INDEX('CARNET DE SOUDURE'!$D$7:$D$3006,MATCH(B1061,'CARNET DE SOUDURE'!$L$7:$L$3006,0)),IFERROR(INDEX('CARNET DE SOUDURE'!$D$7:$D$3006,MATCH(B1061,'CARNET DE SOUDURE'!$O$7:$O$3006,0)),"")))</f>
        <v>20</v>
      </c>
      <c r="M1061" s="82" t="str">
        <f aca="false">IF(B1061="","",IF(OR(J1061&lt;&gt;"",K1061&lt;&gt;""),"POSÉ EN LIGNE",IF(COUNTIF(BARDAGE!$C$1:$C$5000,B1061)&gt;0,"BARDÉ","EN STOCK")))</f>
        <v>POSÉ EN LIGNE</v>
      </c>
      <c r="N1061" s="80"/>
    </row>
    <row r="1062" customFormat="false" ht="15" hidden="false" customHeight="false" outlineLevel="0" collapsed="false">
      <c r="A1062" s="82" t="n">
        <f aca="false">IF(B1062="","",ROW()-6)</f>
        <v>1056</v>
      </c>
      <c r="B1062" s="145" t="n">
        <v>2096550</v>
      </c>
      <c r="C1062" s="146" t="n">
        <v>15421111</v>
      </c>
      <c r="D1062" s="146"/>
      <c r="E1062" s="82" t="str">
        <f aca="false">IF(B1062="","",IF(COUNTIFS('CARNET DE SOUDURE'!$L$7:$L$3006,B1062,'CARNET DE SOUDURE'!$M$7:$M$3006,"&lt;&gt;"&amp;C1062,'CARNET DE SOUDURE'!$M$7:$M$3006,"&lt;&gt;")+COUNTIFS('CARNET DE SOUDURE'!$O$7:$O$3006,B1062,'CARNET DE SOUDURE'!$P$7:$P$3006,"&lt;&gt;"&amp;C1062,'CARNET DE SOUDURE'!$P$7:$P$3006,"&lt;&gt;")&gt;0,"⚠ DIFFÉRENTE","OK"))</f>
        <v>OK</v>
      </c>
      <c r="F1062" s="147" t="n">
        <v>11.94</v>
      </c>
      <c r="G1062" s="80"/>
      <c r="H1062" s="83"/>
      <c r="I1062" s="148" t="str">
        <f aca="false">IF(B1062="","",IFERROR(INDEX('CARNET DE SOUDURE'!$B$7:$B$3006,MATCH(B1062,'CARNET DE SOUDURE'!$L$7:$L$3006,0)),IFERROR(INDEX('CARNET DE SOUDURE'!$B$7:$B$3006,MATCH(B1062,'CARNET DE SOUDURE'!$O$7:$O$3006,0)),"")))</f>
        <v>MFD-ISW → MFD-CPF</v>
      </c>
      <c r="J1062" s="82" t="str">
        <f aca="false">IF(B1062="","",IFERROR(INDEX('CARNET DE SOUDURE'!$E$7:$E$3006,MATCH(B1062,'CARNET DE SOUDURE'!$O$7:$O$3006,0)),""))</f>
        <v>JN°1603R</v>
      </c>
      <c r="K1062" s="82" t="str">
        <f aca="false">IF(B1062="","",IFERROR(INDEX('CARNET DE SOUDURE'!$E$7:$E$3006,MATCH(B1062,'CARNET DE SOUDURE'!$L$7:$L$3006,0)),""))</f>
        <v>JN°1604R</v>
      </c>
      <c r="L1062" s="82" t="n">
        <f aca="false">IF(B1062="","",IFERROR(INDEX('CARNET DE SOUDURE'!$D$7:$D$3006,MATCH(B1062,'CARNET DE SOUDURE'!$L$7:$L$3006,0)),IFERROR(INDEX('CARNET DE SOUDURE'!$D$7:$D$3006,MATCH(B1062,'CARNET DE SOUDURE'!$O$7:$O$3006,0)),"")))</f>
        <v>20</v>
      </c>
      <c r="M1062" s="82" t="str">
        <f aca="false">IF(B1062="","",IF(OR(J1062&lt;&gt;"",K1062&lt;&gt;""),"POSÉ EN LIGNE",IF(COUNTIF(BARDAGE!$C$1:$C$5000,B1062)&gt;0,"BARDÉ","EN STOCK")))</f>
        <v>POSÉ EN LIGNE</v>
      </c>
      <c r="N1062" s="80"/>
    </row>
    <row r="1063" customFormat="false" ht="15" hidden="false" customHeight="false" outlineLevel="0" collapsed="false">
      <c r="A1063" s="82" t="n">
        <f aca="false">IF(B1063="","",ROW()-6)</f>
        <v>1057</v>
      </c>
      <c r="B1063" s="145" t="n">
        <v>2083730</v>
      </c>
      <c r="C1063" s="146" t="n">
        <v>15421105</v>
      </c>
      <c r="D1063" s="146"/>
      <c r="E1063" s="82" t="str">
        <f aca="false">IF(B1063="","",IF(COUNTIFS('CARNET DE SOUDURE'!$L$7:$L$3006,B1063,'CARNET DE SOUDURE'!$M$7:$M$3006,"&lt;&gt;"&amp;C1063,'CARNET DE SOUDURE'!$M$7:$M$3006,"&lt;&gt;")+COUNTIFS('CARNET DE SOUDURE'!$O$7:$O$3006,B1063,'CARNET DE SOUDURE'!$P$7:$P$3006,"&lt;&gt;"&amp;C1063,'CARNET DE SOUDURE'!$P$7:$P$3006,"&lt;&gt;")&gt;0,"⚠ DIFFÉRENTE","OK"))</f>
        <v>OK</v>
      </c>
      <c r="F1063" s="147" t="n">
        <v>11.94</v>
      </c>
      <c r="G1063" s="80"/>
      <c r="H1063" s="83"/>
      <c r="I1063" s="148" t="str">
        <f aca="false">IF(B1063="","",IFERROR(INDEX('CARNET DE SOUDURE'!$B$7:$B$3006,MATCH(B1063,'CARNET DE SOUDURE'!$L$7:$L$3006,0)),IFERROR(INDEX('CARNET DE SOUDURE'!$B$7:$B$3006,MATCH(B1063,'CARNET DE SOUDURE'!$O$7:$O$3006,0)),"")))</f>
        <v>MFD-ISW → MFD-CPF</v>
      </c>
      <c r="J1063" s="82" t="str">
        <f aca="false">IF(B1063="","",IFERROR(INDEX('CARNET DE SOUDURE'!$E$7:$E$3006,MATCH(B1063,'CARNET DE SOUDURE'!$O$7:$O$3006,0)),""))</f>
        <v>JN°1604R</v>
      </c>
      <c r="K1063" s="82" t="str">
        <f aca="false">IF(B1063="","",IFERROR(INDEX('CARNET DE SOUDURE'!$E$7:$E$3006,MATCH(B1063,'CARNET DE SOUDURE'!$L$7:$L$3006,0)),""))</f>
        <v>JN°1605</v>
      </c>
      <c r="L1063" s="82" t="n">
        <f aca="false">IF(B1063="","",IFERROR(INDEX('CARNET DE SOUDURE'!$D$7:$D$3006,MATCH(B1063,'CARNET DE SOUDURE'!$L$7:$L$3006,0)),IFERROR(INDEX('CARNET DE SOUDURE'!$D$7:$D$3006,MATCH(B1063,'CARNET DE SOUDURE'!$O$7:$O$3006,0)),"")))</f>
        <v>20</v>
      </c>
      <c r="M1063" s="82" t="str">
        <f aca="false">IF(B1063="","",IF(OR(J1063&lt;&gt;"",K1063&lt;&gt;""),"POSÉ EN LIGNE",IF(COUNTIF(BARDAGE!$C$1:$C$5000,B1063)&gt;0,"BARDÉ","EN STOCK")))</f>
        <v>POSÉ EN LIGNE</v>
      </c>
      <c r="N1063" s="80"/>
    </row>
    <row r="1064" customFormat="false" ht="15" hidden="false" customHeight="false" outlineLevel="0" collapsed="false">
      <c r="A1064" s="82" t="n">
        <f aca="false">IF(B1064="","",ROW()-6)</f>
        <v>1058</v>
      </c>
      <c r="B1064" s="145" t="n">
        <v>2083740</v>
      </c>
      <c r="C1064" s="146" t="n">
        <v>15421105</v>
      </c>
      <c r="D1064" s="146"/>
      <c r="E1064" s="82" t="str">
        <f aca="false">IF(B1064="","",IF(COUNTIFS('CARNET DE SOUDURE'!$L$7:$L$3006,B1064,'CARNET DE SOUDURE'!$M$7:$M$3006,"&lt;&gt;"&amp;C1064,'CARNET DE SOUDURE'!$M$7:$M$3006,"&lt;&gt;")+COUNTIFS('CARNET DE SOUDURE'!$O$7:$O$3006,B1064,'CARNET DE SOUDURE'!$P$7:$P$3006,"&lt;&gt;"&amp;C1064,'CARNET DE SOUDURE'!$P$7:$P$3006,"&lt;&gt;")&gt;0,"⚠ DIFFÉRENTE","OK"))</f>
        <v>OK</v>
      </c>
      <c r="F1064" s="147" t="n">
        <v>11.94</v>
      </c>
      <c r="G1064" s="80"/>
      <c r="H1064" s="83"/>
      <c r="I1064" s="148" t="str">
        <f aca="false">IF(B1064="","",IFERROR(INDEX('CARNET DE SOUDURE'!$B$7:$B$3006,MATCH(B1064,'CARNET DE SOUDURE'!$L$7:$L$3006,0)),IFERROR(INDEX('CARNET DE SOUDURE'!$B$7:$B$3006,MATCH(B1064,'CARNET DE SOUDURE'!$O$7:$O$3006,0)),"")))</f>
        <v>MFD-ISW → MFD-CPF</v>
      </c>
      <c r="J1064" s="82" t="str">
        <f aca="false">IF(B1064="","",IFERROR(INDEX('CARNET DE SOUDURE'!$E$7:$E$3006,MATCH(B1064,'CARNET DE SOUDURE'!$O$7:$O$3006,0)),""))</f>
        <v>JN°1605</v>
      </c>
      <c r="K1064" s="82" t="str">
        <f aca="false">IF(B1064="","",IFERROR(INDEX('CARNET DE SOUDURE'!$E$7:$E$3006,MATCH(B1064,'CARNET DE SOUDURE'!$L$7:$L$3006,0)),""))</f>
        <v>JN°1606</v>
      </c>
      <c r="L1064" s="82" t="n">
        <f aca="false">IF(B1064="","",IFERROR(INDEX('CARNET DE SOUDURE'!$D$7:$D$3006,MATCH(B1064,'CARNET DE SOUDURE'!$L$7:$L$3006,0)),IFERROR(INDEX('CARNET DE SOUDURE'!$D$7:$D$3006,MATCH(B1064,'CARNET DE SOUDURE'!$O$7:$O$3006,0)),"")))</f>
        <v>20</v>
      </c>
      <c r="M1064" s="82" t="str">
        <f aca="false">IF(B1064="","",IF(OR(J1064&lt;&gt;"",K1064&lt;&gt;""),"POSÉ EN LIGNE",IF(COUNTIF(BARDAGE!$C$1:$C$5000,B1064)&gt;0,"BARDÉ","EN STOCK")))</f>
        <v>POSÉ EN LIGNE</v>
      </c>
      <c r="N1064" s="80"/>
    </row>
    <row r="1065" customFormat="false" ht="15" hidden="false" customHeight="false" outlineLevel="0" collapsed="false">
      <c r="A1065" s="82" t="n">
        <f aca="false">IF(B1065="","",ROW()-6)</f>
        <v>1059</v>
      </c>
      <c r="B1065" s="145" t="n">
        <v>2089830</v>
      </c>
      <c r="C1065" s="146" t="n">
        <v>15421109</v>
      </c>
      <c r="D1065" s="146"/>
      <c r="E1065" s="82" t="str">
        <f aca="false">IF(B1065="","",IF(COUNTIFS('CARNET DE SOUDURE'!$L$7:$L$3006,B1065,'CARNET DE SOUDURE'!$M$7:$M$3006,"&lt;&gt;"&amp;C1065,'CARNET DE SOUDURE'!$M$7:$M$3006,"&lt;&gt;")+COUNTIFS('CARNET DE SOUDURE'!$O$7:$O$3006,B1065,'CARNET DE SOUDURE'!$P$7:$P$3006,"&lt;&gt;"&amp;C1065,'CARNET DE SOUDURE'!$P$7:$P$3006,"&lt;&gt;")&gt;0,"⚠ DIFFÉRENTE","OK"))</f>
        <v>OK</v>
      </c>
      <c r="F1065" s="147" t="n">
        <v>11.94</v>
      </c>
      <c r="G1065" s="80"/>
      <c r="H1065" s="83"/>
      <c r="I1065" s="148" t="str">
        <f aca="false">IF(B1065="","",IFERROR(INDEX('CARNET DE SOUDURE'!$B$7:$B$3006,MATCH(B1065,'CARNET DE SOUDURE'!$L$7:$L$3006,0)),IFERROR(INDEX('CARNET DE SOUDURE'!$B$7:$B$3006,MATCH(B1065,'CARNET DE SOUDURE'!$O$7:$O$3006,0)),"")))</f>
        <v>MFD-ISW → MFD-CPF</v>
      </c>
      <c r="J1065" s="82" t="str">
        <f aca="false">IF(B1065="","",IFERROR(INDEX('CARNET DE SOUDURE'!$E$7:$E$3006,MATCH(B1065,'CARNET DE SOUDURE'!$O$7:$O$3006,0)),""))</f>
        <v>JN°1606</v>
      </c>
      <c r="K1065" s="82" t="str">
        <f aca="false">IF(B1065="","",IFERROR(INDEX('CARNET DE SOUDURE'!$E$7:$E$3006,MATCH(B1065,'CARNET DE SOUDURE'!$L$7:$L$3006,0)),""))</f>
        <v>JN°1607</v>
      </c>
      <c r="L1065" s="82" t="n">
        <f aca="false">IF(B1065="","",IFERROR(INDEX('CARNET DE SOUDURE'!$D$7:$D$3006,MATCH(B1065,'CARNET DE SOUDURE'!$L$7:$L$3006,0)),IFERROR(INDEX('CARNET DE SOUDURE'!$D$7:$D$3006,MATCH(B1065,'CARNET DE SOUDURE'!$O$7:$O$3006,0)),"")))</f>
        <v>20</v>
      </c>
      <c r="M1065" s="82" t="str">
        <f aca="false">IF(B1065="","",IF(OR(J1065&lt;&gt;"",K1065&lt;&gt;""),"POSÉ EN LIGNE",IF(COUNTIF(BARDAGE!$C$1:$C$5000,B1065)&gt;0,"BARDÉ","EN STOCK")))</f>
        <v>POSÉ EN LIGNE</v>
      </c>
      <c r="N1065" s="80"/>
    </row>
    <row r="1066" customFormat="false" ht="15" hidden="false" customHeight="false" outlineLevel="0" collapsed="false">
      <c r="A1066" s="82" t="n">
        <f aca="false">IF(B1066="","",ROW()-6)</f>
        <v>1060</v>
      </c>
      <c r="B1066" s="145" t="n">
        <v>2080330</v>
      </c>
      <c r="C1066" s="146" t="n">
        <v>15421102</v>
      </c>
      <c r="D1066" s="146"/>
      <c r="E1066" s="82" t="str">
        <f aca="false">IF(B1066="","",IF(COUNTIFS('CARNET DE SOUDURE'!$L$7:$L$3006,B1066,'CARNET DE SOUDURE'!$M$7:$M$3006,"&lt;&gt;"&amp;C1066,'CARNET DE SOUDURE'!$M$7:$M$3006,"&lt;&gt;")+COUNTIFS('CARNET DE SOUDURE'!$O$7:$O$3006,B1066,'CARNET DE SOUDURE'!$P$7:$P$3006,"&lt;&gt;"&amp;C1066,'CARNET DE SOUDURE'!$P$7:$P$3006,"&lt;&gt;")&gt;0,"⚠ DIFFÉRENTE","OK"))</f>
        <v>OK</v>
      </c>
      <c r="F1066" s="147" t="n">
        <v>11.94</v>
      </c>
      <c r="G1066" s="80"/>
      <c r="H1066" s="83"/>
      <c r="I1066" s="148" t="str">
        <f aca="false">IF(B1066="","",IFERROR(INDEX('CARNET DE SOUDURE'!$B$7:$B$3006,MATCH(B1066,'CARNET DE SOUDURE'!$L$7:$L$3006,0)),IFERROR(INDEX('CARNET DE SOUDURE'!$B$7:$B$3006,MATCH(B1066,'CARNET DE SOUDURE'!$O$7:$O$3006,0)),"")))</f>
        <v>MFD-ISW → MFD-CPF</v>
      </c>
      <c r="J1066" s="82" t="str">
        <f aca="false">IF(B1066="","",IFERROR(INDEX('CARNET DE SOUDURE'!$E$7:$E$3006,MATCH(B1066,'CARNET DE SOUDURE'!$O$7:$O$3006,0)),""))</f>
        <v>JN°1607</v>
      </c>
      <c r="K1066" s="82" t="str">
        <f aca="false">IF(B1066="","",IFERROR(INDEX('CARNET DE SOUDURE'!$E$7:$E$3006,MATCH(B1066,'CARNET DE SOUDURE'!$L$7:$L$3006,0)),""))</f>
        <v>JN°1608</v>
      </c>
      <c r="L1066" s="82" t="n">
        <f aca="false">IF(B1066="","",IFERROR(INDEX('CARNET DE SOUDURE'!$D$7:$D$3006,MATCH(B1066,'CARNET DE SOUDURE'!$L$7:$L$3006,0)),IFERROR(INDEX('CARNET DE SOUDURE'!$D$7:$D$3006,MATCH(B1066,'CARNET DE SOUDURE'!$O$7:$O$3006,0)),"")))</f>
        <v>20</v>
      </c>
      <c r="M1066" s="82" t="str">
        <f aca="false">IF(B1066="","",IF(OR(J1066&lt;&gt;"",K1066&lt;&gt;""),"POSÉ EN LIGNE",IF(COUNTIF(BARDAGE!$C$1:$C$5000,B1066)&gt;0,"BARDÉ","EN STOCK")))</f>
        <v>POSÉ EN LIGNE</v>
      </c>
      <c r="N1066" s="80"/>
    </row>
    <row r="1067" customFormat="false" ht="15" hidden="false" customHeight="false" outlineLevel="0" collapsed="false">
      <c r="A1067" s="82" t="n">
        <f aca="false">IF(B1067="","",ROW()-6)</f>
        <v>1061</v>
      </c>
      <c r="B1067" s="145" t="n">
        <v>2084610</v>
      </c>
      <c r="C1067" s="146" t="n">
        <v>15421106</v>
      </c>
      <c r="D1067" s="146"/>
      <c r="E1067" s="82" t="str">
        <f aca="false">IF(B1067="","",IF(COUNTIFS('CARNET DE SOUDURE'!$L$7:$L$3006,B1067,'CARNET DE SOUDURE'!$M$7:$M$3006,"&lt;&gt;"&amp;C1067,'CARNET DE SOUDURE'!$M$7:$M$3006,"&lt;&gt;")+COUNTIFS('CARNET DE SOUDURE'!$O$7:$O$3006,B1067,'CARNET DE SOUDURE'!$P$7:$P$3006,"&lt;&gt;"&amp;C1067,'CARNET DE SOUDURE'!$P$7:$P$3006,"&lt;&gt;")&gt;0,"⚠ DIFFÉRENTE","OK"))</f>
        <v>OK</v>
      </c>
      <c r="F1067" s="147" t="n">
        <v>11.94</v>
      </c>
      <c r="G1067" s="80"/>
      <c r="H1067" s="83"/>
      <c r="I1067" s="148" t="str">
        <f aca="false">IF(B1067="","",IFERROR(INDEX('CARNET DE SOUDURE'!$B$7:$B$3006,MATCH(B1067,'CARNET DE SOUDURE'!$L$7:$L$3006,0)),IFERROR(INDEX('CARNET DE SOUDURE'!$B$7:$B$3006,MATCH(B1067,'CARNET DE SOUDURE'!$O$7:$O$3006,0)),"")))</f>
        <v>MFD-ISW → MFD-CPF</v>
      </c>
      <c r="J1067" s="82" t="str">
        <f aca="false">IF(B1067="","",IFERROR(INDEX('CARNET DE SOUDURE'!$E$7:$E$3006,MATCH(B1067,'CARNET DE SOUDURE'!$O$7:$O$3006,0)),""))</f>
        <v>JN°1608</v>
      </c>
      <c r="K1067" s="82" t="str">
        <f aca="false">IF(B1067="","",IFERROR(INDEX('CARNET DE SOUDURE'!$E$7:$E$3006,MATCH(B1067,'CARNET DE SOUDURE'!$L$7:$L$3006,0)),""))</f>
        <v>JN°1609</v>
      </c>
      <c r="L1067" s="82" t="n">
        <f aca="false">IF(B1067="","",IFERROR(INDEX('CARNET DE SOUDURE'!$D$7:$D$3006,MATCH(B1067,'CARNET DE SOUDURE'!$L$7:$L$3006,0)),IFERROR(INDEX('CARNET DE SOUDURE'!$D$7:$D$3006,MATCH(B1067,'CARNET DE SOUDURE'!$O$7:$O$3006,0)),"")))</f>
        <v>20</v>
      </c>
      <c r="M1067" s="82" t="str">
        <f aca="false">IF(B1067="","",IF(OR(J1067&lt;&gt;"",K1067&lt;&gt;""),"POSÉ EN LIGNE",IF(COUNTIF(BARDAGE!$C$1:$C$5000,B1067)&gt;0,"BARDÉ","EN STOCK")))</f>
        <v>POSÉ EN LIGNE</v>
      </c>
      <c r="N1067" s="80"/>
    </row>
    <row r="1068" customFormat="false" ht="15" hidden="false" customHeight="false" outlineLevel="0" collapsed="false">
      <c r="A1068" s="82" t="n">
        <f aca="false">IF(B1068="","",ROW()-6)</f>
        <v>1062</v>
      </c>
      <c r="B1068" s="145" t="n">
        <v>2084230</v>
      </c>
      <c r="C1068" s="146" t="n">
        <v>15421106</v>
      </c>
      <c r="D1068" s="146"/>
      <c r="E1068" s="82" t="str">
        <f aca="false">IF(B1068="","",IF(COUNTIFS('CARNET DE SOUDURE'!$L$7:$L$3006,B1068,'CARNET DE SOUDURE'!$M$7:$M$3006,"&lt;&gt;"&amp;C1068,'CARNET DE SOUDURE'!$M$7:$M$3006,"&lt;&gt;")+COUNTIFS('CARNET DE SOUDURE'!$O$7:$O$3006,B1068,'CARNET DE SOUDURE'!$P$7:$P$3006,"&lt;&gt;"&amp;C1068,'CARNET DE SOUDURE'!$P$7:$P$3006,"&lt;&gt;")&gt;0,"⚠ DIFFÉRENTE","OK"))</f>
        <v>OK</v>
      </c>
      <c r="F1068" s="147" t="n">
        <v>11.94</v>
      </c>
      <c r="G1068" s="80"/>
      <c r="H1068" s="83"/>
      <c r="I1068" s="148" t="str">
        <f aca="false">IF(B1068="","",IFERROR(INDEX('CARNET DE SOUDURE'!$B$7:$B$3006,MATCH(B1068,'CARNET DE SOUDURE'!$L$7:$L$3006,0)),IFERROR(INDEX('CARNET DE SOUDURE'!$B$7:$B$3006,MATCH(B1068,'CARNET DE SOUDURE'!$O$7:$O$3006,0)),"")))</f>
        <v>MFD-ISW → MFD-CPF</v>
      </c>
      <c r="J1068" s="82" t="str">
        <f aca="false">IF(B1068="","",IFERROR(INDEX('CARNET DE SOUDURE'!$E$7:$E$3006,MATCH(B1068,'CARNET DE SOUDURE'!$O$7:$O$3006,0)),""))</f>
        <v>JN°1609</v>
      </c>
      <c r="K1068" s="82" t="str">
        <f aca="false">IF(B1068="","",IFERROR(INDEX('CARNET DE SOUDURE'!$E$7:$E$3006,MATCH(B1068,'CARNET DE SOUDURE'!$L$7:$L$3006,0)),""))</f>
        <v>JN°1610</v>
      </c>
      <c r="L1068" s="82" t="n">
        <f aca="false">IF(B1068="","",IFERROR(INDEX('CARNET DE SOUDURE'!$D$7:$D$3006,MATCH(B1068,'CARNET DE SOUDURE'!$L$7:$L$3006,0)),IFERROR(INDEX('CARNET DE SOUDURE'!$D$7:$D$3006,MATCH(B1068,'CARNET DE SOUDURE'!$O$7:$O$3006,0)),"")))</f>
        <v>20</v>
      </c>
      <c r="M1068" s="82" t="str">
        <f aca="false">IF(B1068="","",IF(OR(J1068&lt;&gt;"",K1068&lt;&gt;""),"POSÉ EN LIGNE",IF(COUNTIF(BARDAGE!$C$1:$C$5000,B1068)&gt;0,"BARDÉ","EN STOCK")))</f>
        <v>POSÉ EN LIGNE</v>
      </c>
      <c r="N1068" s="80"/>
    </row>
    <row r="1069" customFormat="false" ht="15" hidden="false" customHeight="false" outlineLevel="0" collapsed="false">
      <c r="A1069" s="82" t="n">
        <f aca="false">IF(B1069="","",ROW()-6)</f>
        <v>1063</v>
      </c>
      <c r="B1069" s="145" t="n">
        <v>2084400</v>
      </c>
      <c r="C1069" s="146" t="n">
        <v>15421106</v>
      </c>
      <c r="D1069" s="146"/>
      <c r="E1069" s="82" t="str">
        <f aca="false">IF(B1069="","",IF(COUNTIFS('CARNET DE SOUDURE'!$L$7:$L$3006,B1069,'CARNET DE SOUDURE'!$M$7:$M$3006,"&lt;&gt;"&amp;C1069,'CARNET DE SOUDURE'!$M$7:$M$3006,"&lt;&gt;")+COUNTIFS('CARNET DE SOUDURE'!$O$7:$O$3006,B1069,'CARNET DE SOUDURE'!$P$7:$P$3006,"&lt;&gt;"&amp;C1069,'CARNET DE SOUDURE'!$P$7:$P$3006,"&lt;&gt;")&gt;0,"⚠ DIFFÉRENTE","OK"))</f>
        <v>OK</v>
      </c>
      <c r="F1069" s="147" t="n">
        <v>11.94</v>
      </c>
      <c r="G1069" s="80"/>
      <c r="H1069" s="83"/>
      <c r="I1069" s="148" t="str">
        <f aca="false">IF(B1069="","",IFERROR(INDEX('CARNET DE SOUDURE'!$B$7:$B$3006,MATCH(B1069,'CARNET DE SOUDURE'!$L$7:$L$3006,0)),IFERROR(INDEX('CARNET DE SOUDURE'!$B$7:$B$3006,MATCH(B1069,'CARNET DE SOUDURE'!$O$7:$O$3006,0)),"")))</f>
        <v>MFD-ISW → MFD-CPF</v>
      </c>
      <c r="J1069" s="82" t="str">
        <f aca="false">IF(B1069="","",IFERROR(INDEX('CARNET DE SOUDURE'!$E$7:$E$3006,MATCH(B1069,'CARNET DE SOUDURE'!$O$7:$O$3006,0)),""))</f>
        <v>JN°1610</v>
      </c>
      <c r="K1069" s="82" t="str">
        <f aca="false">IF(B1069="","",IFERROR(INDEX('CARNET DE SOUDURE'!$E$7:$E$3006,MATCH(B1069,'CARNET DE SOUDURE'!$L$7:$L$3006,0)),""))</f>
        <v>JN°1611</v>
      </c>
      <c r="L1069" s="82" t="n">
        <f aca="false">IF(B1069="","",IFERROR(INDEX('CARNET DE SOUDURE'!$D$7:$D$3006,MATCH(B1069,'CARNET DE SOUDURE'!$L$7:$L$3006,0)),IFERROR(INDEX('CARNET DE SOUDURE'!$D$7:$D$3006,MATCH(B1069,'CARNET DE SOUDURE'!$O$7:$O$3006,0)),"")))</f>
        <v>20</v>
      </c>
      <c r="M1069" s="82" t="str">
        <f aca="false">IF(B1069="","",IF(OR(J1069&lt;&gt;"",K1069&lt;&gt;""),"POSÉ EN LIGNE",IF(COUNTIF(BARDAGE!$C$1:$C$5000,B1069)&gt;0,"BARDÉ","EN STOCK")))</f>
        <v>POSÉ EN LIGNE</v>
      </c>
      <c r="N1069" s="80"/>
    </row>
    <row r="1070" customFormat="false" ht="15" hidden="false" customHeight="false" outlineLevel="0" collapsed="false">
      <c r="A1070" s="82" t="n">
        <f aca="false">IF(B1070="","",ROW()-6)</f>
        <v>1064</v>
      </c>
      <c r="B1070" s="145" t="n">
        <v>2098640</v>
      </c>
      <c r="C1070" s="146" t="n">
        <v>15421112</v>
      </c>
      <c r="D1070" s="146"/>
      <c r="E1070" s="82" t="str">
        <f aca="false">IF(B1070="","",IF(COUNTIFS('CARNET DE SOUDURE'!$L$7:$L$3006,B1070,'CARNET DE SOUDURE'!$M$7:$M$3006,"&lt;&gt;"&amp;C1070,'CARNET DE SOUDURE'!$M$7:$M$3006,"&lt;&gt;")+COUNTIFS('CARNET DE SOUDURE'!$O$7:$O$3006,B1070,'CARNET DE SOUDURE'!$P$7:$P$3006,"&lt;&gt;"&amp;C1070,'CARNET DE SOUDURE'!$P$7:$P$3006,"&lt;&gt;")&gt;0,"⚠ DIFFÉRENTE","OK"))</f>
        <v>OK</v>
      </c>
      <c r="F1070" s="147" t="n">
        <v>11.94</v>
      </c>
      <c r="G1070" s="80"/>
      <c r="H1070" s="83"/>
      <c r="I1070" s="148" t="str">
        <f aca="false">IF(B1070="","",IFERROR(INDEX('CARNET DE SOUDURE'!$B$7:$B$3006,MATCH(B1070,'CARNET DE SOUDURE'!$L$7:$L$3006,0)),IFERROR(INDEX('CARNET DE SOUDURE'!$B$7:$B$3006,MATCH(B1070,'CARNET DE SOUDURE'!$O$7:$O$3006,0)),"")))</f>
        <v>MFD-ISW → MFD-CPF</v>
      </c>
      <c r="J1070" s="82" t="str">
        <f aca="false">IF(B1070="","",IFERROR(INDEX('CARNET DE SOUDURE'!$E$7:$E$3006,MATCH(B1070,'CARNET DE SOUDURE'!$O$7:$O$3006,0)),""))</f>
        <v>JN°1611</v>
      </c>
      <c r="K1070" s="82" t="str">
        <f aca="false">IF(B1070="","",IFERROR(INDEX('CARNET DE SOUDURE'!$E$7:$E$3006,MATCH(B1070,'CARNET DE SOUDURE'!$L$7:$L$3006,0)),""))</f>
        <v>JN°1612</v>
      </c>
      <c r="L1070" s="82" t="n">
        <f aca="false">IF(B1070="","",IFERROR(INDEX('CARNET DE SOUDURE'!$D$7:$D$3006,MATCH(B1070,'CARNET DE SOUDURE'!$L$7:$L$3006,0)),IFERROR(INDEX('CARNET DE SOUDURE'!$D$7:$D$3006,MATCH(B1070,'CARNET DE SOUDURE'!$O$7:$O$3006,0)),"")))</f>
        <v>20</v>
      </c>
      <c r="M1070" s="82" t="str">
        <f aca="false">IF(B1070="","",IF(OR(J1070&lt;&gt;"",K1070&lt;&gt;""),"POSÉ EN LIGNE",IF(COUNTIF(BARDAGE!$C$1:$C$5000,B1070)&gt;0,"BARDÉ","EN STOCK")))</f>
        <v>POSÉ EN LIGNE</v>
      </c>
      <c r="N1070" s="80"/>
    </row>
    <row r="1071" customFormat="false" ht="15" hidden="false" customHeight="false" outlineLevel="0" collapsed="false">
      <c r="A1071" s="82" t="n">
        <f aca="false">IF(B1071="","",ROW()-6)</f>
        <v>1065</v>
      </c>
      <c r="B1071" s="145" t="n">
        <v>2096110</v>
      </c>
      <c r="C1071" s="146" t="n">
        <v>15421111</v>
      </c>
      <c r="D1071" s="146"/>
      <c r="E1071" s="82" t="str">
        <f aca="false">IF(B1071="","",IF(COUNTIFS('CARNET DE SOUDURE'!$L$7:$L$3006,B1071,'CARNET DE SOUDURE'!$M$7:$M$3006,"&lt;&gt;"&amp;C1071,'CARNET DE SOUDURE'!$M$7:$M$3006,"&lt;&gt;")+COUNTIFS('CARNET DE SOUDURE'!$O$7:$O$3006,B1071,'CARNET DE SOUDURE'!$P$7:$P$3006,"&lt;&gt;"&amp;C1071,'CARNET DE SOUDURE'!$P$7:$P$3006,"&lt;&gt;")&gt;0,"⚠ DIFFÉRENTE","OK"))</f>
        <v>OK</v>
      </c>
      <c r="F1071" s="147" t="n">
        <v>11.94</v>
      </c>
      <c r="G1071" s="80"/>
      <c r="H1071" s="83"/>
      <c r="I1071" s="148" t="str">
        <f aca="false">IF(B1071="","",IFERROR(INDEX('CARNET DE SOUDURE'!$B$7:$B$3006,MATCH(B1071,'CARNET DE SOUDURE'!$L$7:$L$3006,0)),IFERROR(INDEX('CARNET DE SOUDURE'!$B$7:$B$3006,MATCH(B1071,'CARNET DE SOUDURE'!$O$7:$O$3006,0)),"")))</f>
        <v>MFD-ISW → MFD-CPF</v>
      </c>
      <c r="J1071" s="82" t="str">
        <f aca="false">IF(B1071="","",IFERROR(INDEX('CARNET DE SOUDURE'!$E$7:$E$3006,MATCH(B1071,'CARNET DE SOUDURE'!$O$7:$O$3006,0)),""))</f>
        <v>JN°1612</v>
      </c>
      <c r="K1071" s="82" t="str">
        <f aca="false">IF(B1071="","",IFERROR(INDEX('CARNET DE SOUDURE'!$E$7:$E$3006,MATCH(B1071,'CARNET DE SOUDURE'!$L$7:$L$3006,0)),""))</f>
        <v>JN°1613</v>
      </c>
      <c r="L1071" s="82" t="n">
        <f aca="false">IF(B1071="","",IFERROR(INDEX('CARNET DE SOUDURE'!$D$7:$D$3006,MATCH(B1071,'CARNET DE SOUDURE'!$L$7:$L$3006,0)),IFERROR(INDEX('CARNET DE SOUDURE'!$D$7:$D$3006,MATCH(B1071,'CARNET DE SOUDURE'!$O$7:$O$3006,0)),"")))</f>
        <v>20</v>
      </c>
      <c r="M1071" s="82" t="str">
        <f aca="false">IF(B1071="","",IF(OR(J1071&lt;&gt;"",K1071&lt;&gt;""),"POSÉ EN LIGNE",IF(COUNTIF(BARDAGE!$C$1:$C$5000,B1071)&gt;0,"BARDÉ","EN STOCK")))</f>
        <v>POSÉ EN LIGNE</v>
      </c>
      <c r="N1071" s="80"/>
    </row>
    <row r="1072" customFormat="false" ht="15" hidden="false" customHeight="false" outlineLevel="0" collapsed="false">
      <c r="A1072" s="82" t="n">
        <f aca="false">IF(B1072="","",ROW()-6)</f>
        <v>1066</v>
      </c>
      <c r="B1072" s="145" t="n">
        <v>2094970</v>
      </c>
      <c r="C1072" s="146" t="n">
        <v>15421111</v>
      </c>
      <c r="D1072" s="146"/>
      <c r="E1072" s="82" t="str">
        <f aca="false">IF(B1072="","",IF(COUNTIFS('CARNET DE SOUDURE'!$L$7:$L$3006,B1072,'CARNET DE SOUDURE'!$M$7:$M$3006,"&lt;&gt;"&amp;C1072,'CARNET DE SOUDURE'!$M$7:$M$3006,"&lt;&gt;")+COUNTIFS('CARNET DE SOUDURE'!$O$7:$O$3006,B1072,'CARNET DE SOUDURE'!$P$7:$P$3006,"&lt;&gt;"&amp;C1072,'CARNET DE SOUDURE'!$P$7:$P$3006,"&lt;&gt;")&gt;0,"⚠ DIFFÉRENTE","OK"))</f>
        <v>OK</v>
      </c>
      <c r="F1072" s="147" t="n">
        <v>11.94</v>
      </c>
      <c r="G1072" s="80"/>
      <c r="H1072" s="83"/>
      <c r="I1072" s="148" t="str">
        <f aca="false">IF(B1072="","",IFERROR(INDEX('CARNET DE SOUDURE'!$B$7:$B$3006,MATCH(B1072,'CARNET DE SOUDURE'!$L$7:$L$3006,0)),IFERROR(INDEX('CARNET DE SOUDURE'!$B$7:$B$3006,MATCH(B1072,'CARNET DE SOUDURE'!$O$7:$O$3006,0)),"")))</f>
        <v>MFD-ISW → MFD-CPF</v>
      </c>
      <c r="J1072" s="82" t="str">
        <f aca="false">IF(B1072="","",IFERROR(INDEX('CARNET DE SOUDURE'!$E$7:$E$3006,MATCH(B1072,'CARNET DE SOUDURE'!$O$7:$O$3006,0)),""))</f>
        <v>JN°1613</v>
      </c>
      <c r="K1072" s="82" t="str">
        <f aca="false">IF(B1072="","",IFERROR(INDEX('CARNET DE SOUDURE'!$E$7:$E$3006,MATCH(B1072,'CARNET DE SOUDURE'!$L$7:$L$3006,0)),""))</f>
        <v>JN°1614</v>
      </c>
      <c r="L1072" s="82" t="n">
        <f aca="false">IF(B1072="","",IFERROR(INDEX('CARNET DE SOUDURE'!$D$7:$D$3006,MATCH(B1072,'CARNET DE SOUDURE'!$L$7:$L$3006,0)),IFERROR(INDEX('CARNET DE SOUDURE'!$D$7:$D$3006,MATCH(B1072,'CARNET DE SOUDURE'!$O$7:$O$3006,0)),"")))</f>
        <v>20</v>
      </c>
      <c r="M1072" s="82" t="str">
        <f aca="false">IF(B1072="","",IF(OR(J1072&lt;&gt;"",K1072&lt;&gt;""),"POSÉ EN LIGNE",IF(COUNTIF(BARDAGE!$C$1:$C$5000,B1072)&gt;0,"BARDÉ","EN STOCK")))</f>
        <v>POSÉ EN LIGNE</v>
      </c>
      <c r="N1072" s="80"/>
    </row>
    <row r="1073" customFormat="false" ht="15" hidden="false" customHeight="false" outlineLevel="0" collapsed="false">
      <c r="A1073" s="82" t="n">
        <f aca="false">IF(B1073="","",ROW()-6)</f>
        <v>1067</v>
      </c>
      <c r="B1073" s="145" t="n">
        <v>2091320</v>
      </c>
      <c r="C1073" s="146" t="n">
        <v>15421109</v>
      </c>
      <c r="D1073" s="146"/>
      <c r="E1073" s="82" t="str">
        <f aca="false">IF(B1073="","",IF(COUNTIFS('CARNET DE SOUDURE'!$L$7:$L$3006,B1073,'CARNET DE SOUDURE'!$M$7:$M$3006,"&lt;&gt;"&amp;C1073,'CARNET DE SOUDURE'!$M$7:$M$3006,"&lt;&gt;")+COUNTIFS('CARNET DE SOUDURE'!$O$7:$O$3006,B1073,'CARNET DE SOUDURE'!$P$7:$P$3006,"&lt;&gt;"&amp;C1073,'CARNET DE SOUDURE'!$P$7:$P$3006,"&lt;&gt;")&gt;0,"⚠ DIFFÉRENTE","OK"))</f>
        <v>OK</v>
      </c>
      <c r="F1073" s="147" t="n">
        <v>11.94</v>
      </c>
      <c r="G1073" s="80"/>
      <c r="H1073" s="83"/>
      <c r="I1073" s="148" t="str">
        <f aca="false">IF(B1073="","",IFERROR(INDEX('CARNET DE SOUDURE'!$B$7:$B$3006,MATCH(B1073,'CARNET DE SOUDURE'!$L$7:$L$3006,0)),IFERROR(INDEX('CARNET DE SOUDURE'!$B$7:$B$3006,MATCH(B1073,'CARNET DE SOUDURE'!$O$7:$O$3006,0)),"")))</f>
        <v>MFD-ISW → MFD-CPF</v>
      </c>
      <c r="J1073" s="82" t="str">
        <f aca="false">IF(B1073="","",IFERROR(INDEX('CARNET DE SOUDURE'!$E$7:$E$3006,MATCH(B1073,'CARNET DE SOUDURE'!$O$7:$O$3006,0)),""))</f>
        <v>JN°1614</v>
      </c>
      <c r="K1073" s="82" t="str">
        <f aca="false">IF(B1073="","",IFERROR(INDEX('CARNET DE SOUDURE'!$E$7:$E$3006,MATCH(B1073,'CARNET DE SOUDURE'!$L$7:$L$3006,0)),""))</f>
        <v>JN°1615</v>
      </c>
      <c r="L1073" s="82" t="n">
        <f aca="false">IF(B1073="","",IFERROR(INDEX('CARNET DE SOUDURE'!$D$7:$D$3006,MATCH(B1073,'CARNET DE SOUDURE'!$L$7:$L$3006,0)),IFERROR(INDEX('CARNET DE SOUDURE'!$D$7:$D$3006,MATCH(B1073,'CARNET DE SOUDURE'!$O$7:$O$3006,0)),"")))</f>
        <v>20</v>
      </c>
      <c r="M1073" s="82" t="str">
        <f aca="false">IF(B1073="","",IF(OR(J1073&lt;&gt;"",K1073&lt;&gt;""),"POSÉ EN LIGNE",IF(COUNTIF(BARDAGE!$C$1:$C$5000,B1073)&gt;0,"BARDÉ","EN STOCK")))</f>
        <v>POSÉ EN LIGNE</v>
      </c>
      <c r="N1073" s="80"/>
    </row>
    <row r="1074" customFormat="false" ht="15" hidden="false" customHeight="false" outlineLevel="0" collapsed="false">
      <c r="A1074" s="82" t="n">
        <f aca="false">IF(B1074="","",ROW()-6)</f>
        <v>1068</v>
      </c>
      <c r="B1074" s="145" t="n">
        <v>2079130</v>
      </c>
      <c r="C1074" s="146" t="n">
        <v>15421102</v>
      </c>
      <c r="D1074" s="146"/>
      <c r="E1074" s="82" t="str">
        <f aca="false">IF(B1074="","",IF(COUNTIFS('CARNET DE SOUDURE'!$L$7:$L$3006,B1074,'CARNET DE SOUDURE'!$M$7:$M$3006,"&lt;&gt;"&amp;C1074,'CARNET DE SOUDURE'!$M$7:$M$3006,"&lt;&gt;")+COUNTIFS('CARNET DE SOUDURE'!$O$7:$O$3006,B1074,'CARNET DE SOUDURE'!$P$7:$P$3006,"&lt;&gt;"&amp;C1074,'CARNET DE SOUDURE'!$P$7:$P$3006,"&lt;&gt;")&gt;0,"⚠ DIFFÉRENTE","OK"))</f>
        <v>OK</v>
      </c>
      <c r="F1074" s="147" t="n">
        <v>11.94</v>
      </c>
      <c r="G1074" s="80"/>
      <c r="H1074" s="83"/>
      <c r="I1074" s="148" t="str">
        <f aca="false">IF(B1074="","",IFERROR(INDEX('CARNET DE SOUDURE'!$B$7:$B$3006,MATCH(B1074,'CARNET DE SOUDURE'!$L$7:$L$3006,0)),IFERROR(INDEX('CARNET DE SOUDURE'!$B$7:$B$3006,MATCH(B1074,'CARNET DE SOUDURE'!$O$7:$O$3006,0)),"")))</f>
        <v>MFD-ISW → MFD-CPF</v>
      </c>
      <c r="J1074" s="82" t="str">
        <f aca="false">IF(B1074="","",IFERROR(INDEX('CARNET DE SOUDURE'!$E$7:$E$3006,MATCH(B1074,'CARNET DE SOUDURE'!$O$7:$O$3006,0)),""))</f>
        <v>JN°1615</v>
      </c>
      <c r="K1074" s="82" t="str">
        <f aca="false">IF(B1074="","",IFERROR(INDEX('CARNET DE SOUDURE'!$E$7:$E$3006,MATCH(B1074,'CARNET DE SOUDURE'!$L$7:$L$3006,0)),""))</f>
        <v>JN°1616</v>
      </c>
      <c r="L1074" s="82" t="n">
        <f aca="false">IF(B1074="","",IFERROR(INDEX('CARNET DE SOUDURE'!$D$7:$D$3006,MATCH(B1074,'CARNET DE SOUDURE'!$L$7:$L$3006,0)),IFERROR(INDEX('CARNET DE SOUDURE'!$D$7:$D$3006,MATCH(B1074,'CARNET DE SOUDURE'!$O$7:$O$3006,0)),"")))</f>
        <v>20</v>
      </c>
      <c r="M1074" s="82" t="str">
        <f aca="false">IF(B1074="","",IF(OR(J1074&lt;&gt;"",K1074&lt;&gt;""),"POSÉ EN LIGNE",IF(COUNTIF(BARDAGE!$C$1:$C$5000,B1074)&gt;0,"BARDÉ","EN STOCK")))</f>
        <v>POSÉ EN LIGNE</v>
      </c>
      <c r="N1074" s="80"/>
    </row>
    <row r="1075" customFormat="false" ht="15" hidden="false" customHeight="false" outlineLevel="0" collapsed="false">
      <c r="A1075" s="82" t="n">
        <f aca="false">IF(B1075="","",ROW()-6)</f>
        <v>1069</v>
      </c>
      <c r="B1075" s="145" t="n">
        <v>2098550</v>
      </c>
      <c r="C1075" s="146" t="n">
        <v>15421112</v>
      </c>
      <c r="D1075" s="146"/>
      <c r="E1075" s="82" t="str">
        <f aca="false">IF(B1075="","",IF(COUNTIFS('CARNET DE SOUDURE'!$L$7:$L$3006,B1075,'CARNET DE SOUDURE'!$M$7:$M$3006,"&lt;&gt;"&amp;C1075,'CARNET DE SOUDURE'!$M$7:$M$3006,"&lt;&gt;")+COUNTIFS('CARNET DE SOUDURE'!$O$7:$O$3006,B1075,'CARNET DE SOUDURE'!$P$7:$P$3006,"&lt;&gt;"&amp;C1075,'CARNET DE SOUDURE'!$P$7:$P$3006,"&lt;&gt;")&gt;0,"⚠ DIFFÉRENTE","OK"))</f>
        <v>OK</v>
      </c>
      <c r="F1075" s="147" t="n">
        <v>11.94</v>
      </c>
      <c r="G1075" s="80"/>
      <c r="H1075" s="83"/>
      <c r="I1075" s="148" t="str">
        <f aca="false">IF(B1075="","",IFERROR(INDEX('CARNET DE SOUDURE'!$B$7:$B$3006,MATCH(B1075,'CARNET DE SOUDURE'!$L$7:$L$3006,0)),IFERROR(INDEX('CARNET DE SOUDURE'!$B$7:$B$3006,MATCH(B1075,'CARNET DE SOUDURE'!$O$7:$O$3006,0)),"")))</f>
        <v>MFD-ISW → MFD-CPF</v>
      </c>
      <c r="J1075" s="82" t="str">
        <f aca="false">IF(B1075="","",IFERROR(INDEX('CARNET DE SOUDURE'!$E$7:$E$3006,MATCH(B1075,'CARNET DE SOUDURE'!$O$7:$O$3006,0)),""))</f>
        <v>JN°1616</v>
      </c>
      <c r="K1075" s="82" t="str">
        <f aca="false">IF(B1075="","",IFERROR(INDEX('CARNET DE SOUDURE'!$E$7:$E$3006,MATCH(B1075,'CARNET DE SOUDURE'!$L$7:$L$3006,0)),""))</f>
        <v>JN°1617</v>
      </c>
      <c r="L1075" s="82" t="n">
        <f aca="false">IF(B1075="","",IFERROR(INDEX('CARNET DE SOUDURE'!$D$7:$D$3006,MATCH(B1075,'CARNET DE SOUDURE'!$L$7:$L$3006,0)),IFERROR(INDEX('CARNET DE SOUDURE'!$D$7:$D$3006,MATCH(B1075,'CARNET DE SOUDURE'!$O$7:$O$3006,0)),"")))</f>
        <v>20</v>
      </c>
      <c r="M1075" s="82" t="str">
        <f aca="false">IF(B1075="","",IF(OR(J1075&lt;&gt;"",K1075&lt;&gt;""),"POSÉ EN LIGNE",IF(COUNTIF(BARDAGE!$C$1:$C$5000,B1075)&gt;0,"BARDÉ","EN STOCK")))</f>
        <v>POSÉ EN LIGNE</v>
      </c>
      <c r="N1075" s="80"/>
    </row>
    <row r="1076" customFormat="false" ht="15" hidden="false" customHeight="false" outlineLevel="0" collapsed="false">
      <c r="A1076" s="82" t="n">
        <f aca="false">IF(B1076="","",ROW()-6)</f>
        <v>1070</v>
      </c>
      <c r="B1076" s="145" t="n">
        <v>2089510</v>
      </c>
      <c r="C1076" s="146" t="n">
        <v>15421109</v>
      </c>
      <c r="D1076" s="146"/>
      <c r="E1076" s="82" t="str">
        <f aca="false">IF(B1076="","",IF(COUNTIFS('CARNET DE SOUDURE'!$L$7:$L$3006,B1076,'CARNET DE SOUDURE'!$M$7:$M$3006,"&lt;&gt;"&amp;C1076,'CARNET DE SOUDURE'!$M$7:$M$3006,"&lt;&gt;")+COUNTIFS('CARNET DE SOUDURE'!$O$7:$O$3006,B1076,'CARNET DE SOUDURE'!$P$7:$P$3006,"&lt;&gt;"&amp;C1076,'CARNET DE SOUDURE'!$P$7:$P$3006,"&lt;&gt;")&gt;0,"⚠ DIFFÉRENTE","OK"))</f>
        <v>OK</v>
      </c>
      <c r="F1076" s="147" t="n">
        <v>11.94</v>
      </c>
      <c r="G1076" s="80"/>
      <c r="H1076" s="83"/>
      <c r="I1076" s="148" t="str">
        <f aca="false">IF(B1076="","",IFERROR(INDEX('CARNET DE SOUDURE'!$B$7:$B$3006,MATCH(B1076,'CARNET DE SOUDURE'!$L$7:$L$3006,0)),IFERROR(INDEX('CARNET DE SOUDURE'!$B$7:$B$3006,MATCH(B1076,'CARNET DE SOUDURE'!$O$7:$O$3006,0)),"")))</f>
        <v>MFD-ISW → MFD-CPF</v>
      </c>
      <c r="J1076" s="82" t="str">
        <f aca="false">IF(B1076="","",IFERROR(INDEX('CARNET DE SOUDURE'!$E$7:$E$3006,MATCH(B1076,'CARNET DE SOUDURE'!$O$7:$O$3006,0)),""))</f>
        <v>JN°1617</v>
      </c>
      <c r="K1076" s="82" t="str">
        <f aca="false">IF(B1076="","",IFERROR(INDEX('CARNET DE SOUDURE'!$E$7:$E$3006,MATCH(B1076,'CARNET DE SOUDURE'!$L$7:$L$3006,0)),""))</f>
        <v>JN°1618</v>
      </c>
      <c r="L1076" s="82" t="n">
        <f aca="false">IF(B1076="","",IFERROR(INDEX('CARNET DE SOUDURE'!$D$7:$D$3006,MATCH(B1076,'CARNET DE SOUDURE'!$L$7:$L$3006,0)),IFERROR(INDEX('CARNET DE SOUDURE'!$D$7:$D$3006,MATCH(B1076,'CARNET DE SOUDURE'!$O$7:$O$3006,0)),"")))</f>
        <v>20</v>
      </c>
      <c r="M1076" s="82" t="str">
        <f aca="false">IF(B1076="","",IF(OR(J1076&lt;&gt;"",K1076&lt;&gt;""),"POSÉ EN LIGNE",IF(COUNTIF(BARDAGE!$C$1:$C$5000,B1076)&gt;0,"BARDÉ","EN STOCK")))</f>
        <v>POSÉ EN LIGNE</v>
      </c>
      <c r="N1076" s="80"/>
    </row>
    <row r="1077" customFormat="false" ht="15" hidden="false" customHeight="false" outlineLevel="0" collapsed="false">
      <c r="A1077" s="82" t="n">
        <f aca="false">IF(B1077="","",ROW()-6)</f>
        <v>1071</v>
      </c>
      <c r="B1077" s="145" t="n">
        <v>2093180</v>
      </c>
      <c r="C1077" s="146" t="n">
        <v>15421110</v>
      </c>
      <c r="D1077" s="146"/>
      <c r="E1077" s="82" t="str">
        <f aca="false">IF(B1077="","",IF(COUNTIFS('CARNET DE SOUDURE'!$L$7:$L$3006,B1077,'CARNET DE SOUDURE'!$M$7:$M$3006,"&lt;&gt;"&amp;C1077,'CARNET DE SOUDURE'!$M$7:$M$3006,"&lt;&gt;")+COUNTIFS('CARNET DE SOUDURE'!$O$7:$O$3006,B1077,'CARNET DE SOUDURE'!$P$7:$P$3006,"&lt;&gt;"&amp;C1077,'CARNET DE SOUDURE'!$P$7:$P$3006,"&lt;&gt;")&gt;0,"⚠ DIFFÉRENTE","OK"))</f>
        <v>OK</v>
      </c>
      <c r="F1077" s="147" t="n">
        <v>11.94</v>
      </c>
      <c r="G1077" s="80"/>
      <c r="H1077" s="83"/>
      <c r="I1077" s="148" t="str">
        <f aca="false">IF(B1077="","",IFERROR(INDEX('CARNET DE SOUDURE'!$B$7:$B$3006,MATCH(B1077,'CARNET DE SOUDURE'!$L$7:$L$3006,0)),IFERROR(INDEX('CARNET DE SOUDURE'!$B$7:$B$3006,MATCH(B1077,'CARNET DE SOUDURE'!$O$7:$O$3006,0)),"")))</f>
        <v>MFD-ISW → MFD-CPF</v>
      </c>
      <c r="J1077" s="82" t="str">
        <f aca="false">IF(B1077="","",IFERROR(INDEX('CARNET DE SOUDURE'!$E$7:$E$3006,MATCH(B1077,'CARNET DE SOUDURE'!$O$7:$O$3006,0)),""))</f>
        <v>JN°1618</v>
      </c>
      <c r="K1077" s="82" t="str">
        <f aca="false">IF(B1077="","",IFERROR(INDEX('CARNET DE SOUDURE'!$E$7:$E$3006,MATCH(B1077,'CARNET DE SOUDURE'!$L$7:$L$3006,0)),""))</f>
        <v>JN°1619</v>
      </c>
      <c r="L1077" s="82" t="n">
        <f aca="false">IF(B1077="","",IFERROR(INDEX('CARNET DE SOUDURE'!$D$7:$D$3006,MATCH(B1077,'CARNET DE SOUDURE'!$L$7:$L$3006,0)),IFERROR(INDEX('CARNET DE SOUDURE'!$D$7:$D$3006,MATCH(B1077,'CARNET DE SOUDURE'!$O$7:$O$3006,0)),"")))</f>
        <v>20</v>
      </c>
      <c r="M1077" s="82" t="str">
        <f aca="false">IF(B1077="","",IF(OR(J1077&lt;&gt;"",K1077&lt;&gt;""),"POSÉ EN LIGNE",IF(COUNTIF(BARDAGE!$C$1:$C$5000,B1077)&gt;0,"BARDÉ","EN STOCK")))</f>
        <v>POSÉ EN LIGNE</v>
      </c>
      <c r="N1077" s="80"/>
    </row>
    <row r="1078" customFormat="false" ht="15" hidden="false" customHeight="false" outlineLevel="0" collapsed="false">
      <c r="A1078" s="82" t="n">
        <f aca="false">IF(B1078="","",ROW()-6)</f>
        <v>1072</v>
      </c>
      <c r="B1078" s="145" t="n">
        <v>2088730</v>
      </c>
      <c r="C1078" s="146" t="n">
        <v>15421108</v>
      </c>
      <c r="D1078" s="146"/>
      <c r="E1078" s="82" t="str">
        <f aca="false">IF(B1078="","",IF(COUNTIFS('CARNET DE SOUDURE'!$L$7:$L$3006,B1078,'CARNET DE SOUDURE'!$M$7:$M$3006,"&lt;&gt;"&amp;C1078,'CARNET DE SOUDURE'!$M$7:$M$3006,"&lt;&gt;")+COUNTIFS('CARNET DE SOUDURE'!$O$7:$O$3006,B1078,'CARNET DE SOUDURE'!$P$7:$P$3006,"&lt;&gt;"&amp;C1078,'CARNET DE SOUDURE'!$P$7:$P$3006,"&lt;&gt;")&gt;0,"⚠ DIFFÉRENTE","OK"))</f>
        <v>OK</v>
      </c>
      <c r="F1078" s="147" t="n">
        <v>11.94</v>
      </c>
      <c r="G1078" s="80"/>
      <c r="H1078" s="83"/>
      <c r="I1078" s="148" t="str">
        <f aca="false">IF(B1078="","",IFERROR(INDEX('CARNET DE SOUDURE'!$B$7:$B$3006,MATCH(B1078,'CARNET DE SOUDURE'!$L$7:$L$3006,0)),IFERROR(INDEX('CARNET DE SOUDURE'!$B$7:$B$3006,MATCH(B1078,'CARNET DE SOUDURE'!$O$7:$O$3006,0)),"")))</f>
        <v>MFD-ISW → MFD-CPF</v>
      </c>
      <c r="J1078" s="82" t="str">
        <f aca="false">IF(B1078="","",IFERROR(INDEX('CARNET DE SOUDURE'!$E$7:$E$3006,MATCH(B1078,'CARNET DE SOUDURE'!$O$7:$O$3006,0)),""))</f>
        <v>JN°1619</v>
      </c>
      <c r="K1078" s="82" t="str">
        <f aca="false">IF(B1078="","",IFERROR(INDEX('CARNET DE SOUDURE'!$E$7:$E$3006,MATCH(B1078,'CARNET DE SOUDURE'!$L$7:$L$3006,0)),""))</f>
        <v>JN°1620</v>
      </c>
      <c r="L1078" s="82" t="n">
        <f aca="false">IF(B1078="","",IFERROR(INDEX('CARNET DE SOUDURE'!$D$7:$D$3006,MATCH(B1078,'CARNET DE SOUDURE'!$L$7:$L$3006,0)),IFERROR(INDEX('CARNET DE SOUDURE'!$D$7:$D$3006,MATCH(B1078,'CARNET DE SOUDURE'!$O$7:$O$3006,0)),"")))</f>
        <v>20</v>
      </c>
      <c r="M1078" s="82" t="str">
        <f aca="false">IF(B1078="","",IF(OR(J1078&lt;&gt;"",K1078&lt;&gt;""),"POSÉ EN LIGNE",IF(COUNTIF(BARDAGE!$C$1:$C$5000,B1078)&gt;0,"BARDÉ","EN STOCK")))</f>
        <v>POSÉ EN LIGNE</v>
      </c>
      <c r="N1078" s="80"/>
    </row>
    <row r="1079" customFormat="false" ht="15" hidden="false" customHeight="false" outlineLevel="0" collapsed="false">
      <c r="A1079" s="82" t="n">
        <f aca="false">IF(B1079="","",ROW()-6)</f>
        <v>1073</v>
      </c>
      <c r="B1079" s="145" t="n">
        <v>2079010</v>
      </c>
      <c r="C1079" s="146" t="n">
        <v>15421102</v>
      </c>
      <c r="D1079" s="146"/>
      <c r="E1079" s="82" t="str">
        <f aca="false">IF(B1079="","",IF(COUNTIFS('CARNET DE SOUDURE'!$L$7:$L$3006,B1079,'CARNET DE SOUDURE'!$M$7:$M$3006,"&lt;&gt;"&amp;C1079,'CARNET DE SOUDURE'!$M$7:$M$3006,"&lt;&gt;")+COUNTIFS('CARNET DE SOUDURE'!$O$7:$O$3006,B1079,'CARNET DE SOUDURE'!$P$7:$P$3006,"&lt;&gt;"&amp;C1079,'CARNET DE SOUDURE'!$P$7:$P$3006,"&lt;&gt;")&gt;0,"⚠ DIFFÉRENTE","OK"))</f>
        <v>OK</v>
      </c>
      <c r="F1079" s="147" t="n">
        <v>11.94</v>
      </c>
      <c r="G1079" s="80"/>
      <c r="H1079" s="83"/>
      <c r="I1079" s="148" t="str">
        <f aca="false">IF(B1079="","",IFERROR(INDEX('CARNET DE SOUDURE'!$B$7:$B$3006,MATCH(B1079,'CARNET DE SOUDURE'!$L$7:$L$3006,0)),IFERROR(INDEX('CARNET DE SOUDURE'!$B$7:$B$3006,MATCH(B1079,'CARNET DE SOUDURE'!$O$7:$O$3006,0)),"")))</f>
        <v>MFD-ISW → MFD-CPF</v>
      </c>
      <c r="J1079" s="82" t="str">
        <f aca="false">IF(B1079="","",IFERROR(INDEX('CARNET DE SOUDURE'!$E$7:$E$3006,MATCH(B1079,'CARNET DE SOUDURE'!$O$7:$O$3006,0)),""))</f>
        <v>JN°1620</v>
      </c>
      <c r="K1079" s="82" t="str">
        <f aca="false">IF(B1079="","",IFERROR(INDEX('CARNET DE SOUDURE'!$E$7:$E$3006,MATCH(B1079,'CARNET DE SOUDURE'!$L$7:$L$3006,0)),""))</f>
        <v>JN°1621</v>
      </c>
      <c r="L1079" s="82" t="n">
        <f aca="false">IF(B1079="","",IFERROR(INDEX('CARNET DE SOUDURE'!$D$7:$D$3006,MATCH(B1079,'CARNET DE SOUDURE'!$L$7:$L$3006,0)),IFERROR(INDEX('CARNET DE SOUDURE'!$D$7:$D$3006,MATCH(B1079,'CARNET DE SOUDURE'!$O$7:$O$3006,0)),"")))</f>
        <v>20</v>
      </c>
      <c r="M1079" s="82" t="str">
        <f aca="false">IF(B1079="","",IF(OR(J1079&lt;&gt;"",K1079&lt;&gt;""),"POSÉ EN LIGNE",IF(COUNTIF(BARDAGE!$C$1:$C$5000,B1079)&gt;0,"BARDÉ","EN STOCK")))</f>
        <v>POSÉ EN LIGNE</v>
      </c>
      <c r="N1079" s="80"/>
    </row>
    <row r="1080" customFormat="false" ht="15" hidden="false" customHeight="false" outlineLevel="0" collapsed="false">
      <c r="A1080" s="82" t="n">
        <f aca="false">IF(B1080="","",ROW()-6)</f>
        <v>1074</v>
      </c>
      <c r="B1080" s="145" t="n">
        <v>2098180</v>
      </c>
      <c r="C1080" s="146" t="n">
        <v>15421112</v>
      </c>
      <c r="D1080" s="146"/>
      <c r="E1080" s="82" t="str">
        <f aca="false">IF(B1080="","",IF(COUNTIFS('CARNET DE SOUDURE'!$L$7:$L$3006,B1080,'CARNET DE SOUDURE'!$M$7:$M$3006,"&lt;&gt;"&amp;C1080,'CARNET DE SOUDURE'!$M$7:$M$3006,"&lt;&gt;")+COUNTIFS('CARNET DE SOUDURE'!$O$7:$O$3006,B1080,'CARNET DE SOUDURE'!$P$7:$P$3006,"&lt;&gt;"&amp;C1080,'CARNET DE SOUDURE'!$P$7:$P$3006,"&lt;&gt;")&gt;0,"⚠ DIFFÉRENTE","OK"))</f>
        <v>OK</v>
      </c>
      <c r="F1080" s="147" t="n">
        <v>11.94</v>
      </c>
      <c r="G1080" s="80"/>
      <c r="H1080" s="83"/>
      <c r="I1080" s="148" t="str">
        <f aca="false">IF(B1080="","",IFERROR(INDEX('CARNET DE SOUDURE'!$B$7:$B$3006,MATCH(B1080,'CARNET DE SOUDURE'!$L$7:$L$3006,0)),IFERROR(INDEX('CARNET DE SOUDURE'!$B$7:$B$3006,MATCH(B1080,'CARNET DE SOUDURE'!$O$7:$O$3006,0)),"")))</f>
        <v>MFD-ISW → MFD-CPF</v>
      </c>
      <c r="J1080" s="82" t="str">
        <f aca="false">IF(B1080="","",IFERROR(INDEX('CARNET DE SOUDURE'!$E$7:$E$3006,MATCH(B1080,'CARNET DE SOUDURE'!$O$7:$O$3006,0)),""))</f>
        <v>JN°1621</v>
      </c>
      <c r="K1080" s="82" t="str">
        <f aca="false">IF(B1080="","",IFERROR(INDEX('CARNET DE SOUDURE'!$E$7:$E$3006,MATCH(B1080,'CARNET DE SOUDURE'!$L$7:$L$3006,0)),""))</f>
        <v>JN°1622</v>
      </c>
      <c r="L1080" s="82" t="n">
        <f aca="false">IF(B1080="","",IFERROR(INDEX('CARNET DE SOUDURE'!$D$7:$D$3006,MATCH(B1080,'CARNET DE SOUDURE'!$L$7:$L$3006,0)),IFERROR(INDEX('CARNET DE SOUDURE'!$D$7:$D$3006,MATCH(B1080,'CARNET DE SOUDURE'!$O$7:$O$3006,0)),"")))</f>
        <v>20</v>
      </c>
      <c r="M1080" s="82" t="str">
        <f aca="false">IF(B1080="","",IF(OR(J1080&lt;&gt;"",K1080&lt;&gt;""),"POSÉ EN LIGNE",IF(COUNTIF(BARDAGE!$C$1:$C$5000,B1080)&gt;0,"BARDÉ","EN STOCK")))</f>
        <v>POSÉ EN LIGNE</v>
      </c>
      <c r="N1080" s="80"/>
    </row>
    <row r="1081" customFormat="false" ht="15" hidden="false" customHeight="false" outlineLevel="0" collapsed="false">
      <c r="A1081" s="82" t="n">
        <f aca="false">IF(B1081="","",ROW()-6)</f>
        <v>1075</v>
      </c>
      <c r="B1081" s="145" t="n">
        <v>2082780</v>
      </c>
      <c r="C1081" s="146" t="n">
        <v>15421104</v>
      </c>
      <c r="D1081" s="146"/>
      <c r="E1081" s="82" t="str">
        <f aca="false">IF(B1081="","",IF(COUNTIFS('CARNET DE SOUDURE'!$L$7:$L$3006,B1081,'CARNET DE SOUDURE'!$M$7:$M$3006,"&lt;&gt;"&amp;C1081,'CARNET DE SOUDURE'!$M$7:$M$3006,"&lt;&gt;")+COUNTIFS('CARNET DE SOUDURE'!$O$7:$O$3006,B1081,'CARNET DE SOUDURE'!$P$7:$P$3006,"&lt;&gt;"&amp;C1081,'CARNET DE SOUDURE'!$P$7:$P$3006,"&lt;&gt;")&gt;0,"⚠ DIFFÉRENTE","OK"))</f>
        <v>OK</v>
      </c>
      <c r="F1081" s="147" t="n">
        <v>11.94</v>
      </c>
      <c r="G1081" s="80"/>
      <c r="H1081" s="83"/>
      <c r="I1081" s="148" t="str">
        <f aca="false">IF(B1081="","",IFERROR(INDEX('CARNET DE SOUDURE'!$B$7:$B$3006,MATCH(B1081,'CARNET DE SOUDURE'!$L$7:$L$3006,0)),IFERROR(INDEX('CARNET DE SOUDURE'!$B$7:$B$3006,MATCH(B1081,'CARNET DE SOUDURE'!$O$7:$O$3006,0)),"")))</f>
        <v>MFD-ISW → MFD-CPF</v>
      </c>
      <c r="J1081" s="82" t="str">
        <f aca="false">IF(B1081="","",IFERROR(INDEX('CARNET DE SOUDURE'!$E$7:$E$3006,MATCH(B1081,'CARNET DE SOUDURE'!$O$7:$O$3006,0)),""))</f>
        <v>JN°1622</v>
      </c>
      <c r="K1081" s="82" t="str">
        <f aca="false">IF(B1081="","",IFERROR(INDEX('CARNET DE SOUDURE'!$E$7:$E$3006,MATCH(B1081,'CARNET DE SOUDURE'!$L$7:$L$3006,0)),""))</f>
        <v>JN°1623</v>
      </c>
      <c r="L1081" s="82" t="n">
        <f aca="false">IF(B1081="","",IFERROR(INDEX('CARNET DE SOUDURE'!$D$7:$D$3006,MATCH(B1081,'CARNET DE SOUDURE'!$L$7:$L$3006,0)),IFERROR(INDEX('CARNET DE SOUDURE'!$D$7:$D$3006,MATCH(B1081,'CARNET DE SOUDURE'!$O$7:$O$3006,0)),"")))</f>
        <v>20</v>
      </c>
      <c r="M1081" s="82" t="str">
        <f aca="false">IF(B1081="","",IF(OR(J1081&lt;&gt;"",K1081&lt;&gt;""),"POSÉ EN LIGNE",IF(COUNTIF(BARDAGE!$C$1:$C$5000,B1081)&gt;0,"BARDÉ","EN STOCK")))</f>
        <v>POSÉ EN LIGNE</v>
      </c>
      <c r="N1081" s="80"/>
    </row>
    <row r="1082" customFormat="false" ht="15" hidden="false" customHeight="false" outlineLevel="0" collapsed="false">
      <c r="A1082" s="82" t="n">
        <f aca="false">IF(B1082="","",ROW()-6)</f>
        <v>1076</v>
      </c>
      <c r="B1082" s="145" t="n">
        <v>2084840</v>
      </c>
      <c r="C1082" s="146" t="n">
        <v>15421106</v>
      </c>
      <c r="D1082" s="146"/>
      <c r="E1082" s="82" t="str">
        <f aca="false">IF(B1082="","",IF(COUNTIFS('CARNET DE SOUDURE'!$L$7:$L$3006,B1082,'CARNET DE SOUDURE'!$M$7:$M$3006,"&lt;&gt;"&amp;C1082,'CARNET DE SOUDURE'!$M$7:$M$3006,"&lt;&gt;")+COUNTIFS('CARNET DE SOUDURE'!$O$7:$O$3006,B1082,'CARNET DE SOUDURE'!$P$7:$P$3006,"&lt;&gt;"&amp;C1082,'CARNET DE SOUDURE'!$P$7:$P$3006,"&lt;&gt;")&gt;0,"⚠ DIFFÉRENTE","OK"))</f>
        <v>OK</v>
      </c>
      <c r="F1082" s="147" t="n">
        <v>11.94</v>
      </c>
      <c r="G1082" s="80"/>
      <c r="H1082" s="83"/>
      <c r="I1082" s="148" t="str">
        <f aca="false">IF(B1082="","",IFERROR(INDEX('CARNET DE SOUDURE'!$B$7:$B$3006,MATCH(B1082,'CARNET DE SOUDURE'!$L$7:$L$3006,0)),IFERROR(INDEX('CARNET DE SOUDURE'!$B$7:$B$3006,MATCH(B1082,'CARNET DE SOUDURE'!$O$7:$O$3006,0)),"")))</f>
        <v>MFD-ISW → MFD-CPF</v>
      </c>
      <c r="J1082" s="82" t="str">
        <f aca="false">IF(B1082="","",IFERROR(INDEX('CARNET DE SOUDURE'!$E$7:$E$3006,MATCH(B1082,'CARNET DE SOUDURE'!$O$7:$O$3006,0)),""))</f>
        <v>JN°1623</v>
      </c>
      <c r="K1082" s="82" t="str">
        <f aca="false">IF(B1082="","",IFERROR(INDEX('CARNET DE SOUDURE'!$E$7:$E$3006,MATCH(B1082,'CARNET DE SOUDURE'!$L$7:$L$3006,0)),""))</f>
        <v>JN°1624</v>
      </c>
      <c r="L1082" s="82" t="n">
        <f aca="false">IF(B1082="","",IFERROR(INDEX('CARNET DE SOUDURE'!$D$7:$D$3006,MATCH(B1082,'CARNET DE SOUDURE'!$L$7:$L$3006,0)),IFERROR(INDEX('CARNET DE SOUDURE'!$D$7:$D$3006,MATCH(B1082,'CARNET DE SOUDURE'!$O$7:$O$3006,0)),"")))</f>
        <v>20</v>
      </c>
      <c r="M1082" s="82" t="str">
        <f aca="false">IF(B1082="","",IF(OR(J1082&lt;&gt;"",K1082&lt;&gt;""),"POSÉ EN LIGNE",IF(COUNTIF(BARDAGE!$C$1:$C$5000,B1082)&gt;0,"BARDÉ","EN STOCK")))</f>
        <v>POSÉ EN LIGNE</v>
      </c>
      <c r="N1082" s="80"/>
    </row>
    <row r="1083" customFormat="false" ht="15" hidden="false" customHeight="false" outlineLevel="0" collapsed="false">
      <c r="A1083" s="82" t="n">
        <f aca="false">IF(B1083="","",ROW()-6)</f>
        <v>1077</v>
      </c>
      <c r="B1083" s="145" t="n">
        <v>2097030</v>
      </c>
      <c r="C1083" s="146" t="n">
        <v>15421111</v>
      </c>
      <c r="D1083" s="146"/>
      <c r="E1083" s="82" t="str">
        <f aca="false">IF(B1083="","",IF(COUNTIFS('CARNET DE SOUDURE'!$L$7:$L$3006,B1083,'CARNET DE SOUDURE'!$M$7:$M$3006,"&lt;&gt;"&amp;C1083,'CARNET DE SOUDURE'!$M$7:$M$3006,"&lt;&gt;")+COUNTIFS('CARNET DE SOUDURE'!$O$7:$O$3006,B1083,'CARNET DE SOUDURE'!$P$7:$P$3006,"&lt;&gt;"&amp;C1083,'CARNET DE SOUDURE'!$P$7:$P$3006,"&lt;&gt;")&gt;0,"⚠ DIFFÉRENTE","OK"))</f>
        <v>OK</v>
      </c>
      <c r="F1083" s="147" t="n">
        <v>11.94</v>
      </c>
      <c r="G1083" s="80"/>
      <c r="H1083" s="83"/>
      <c r="I1083" s="148" t="str">
        <f aca="false">IF(B1083="","",IFERROR(INDEX('CARNET DE SOUDURE'!$B$7:$B$3006,MATCH(B1083,'CARNET DE SOUDURE'!$L$7:$L$3006,0)),IFERROR(INDEX('CARNET DE SOUDURE'!$B$7:$B$3006,MATCH(B1083,'CARNET DE SOUDURE'!$O$7:$O$3006,0)),"")))</f>
        <v>MFD-ISW → MFD-CPF</v>
      </c>
      <c r="J1083" s="82" t="str">
        <f aca="false">IF(B1083="","",IFERROR(INDEX('CARNET DE SOUDURE'!$E$7:$E$3006,MATCH(B1083,'CARNET DE SOUDURE'!$O$7:$O$3006,0)),""))</f>
        <v>JN°1624</v>
      </c>
      <c r="K1083" s="82" t="str">
        <f aca="false">IF(B1083="","",IFERROR(INDEX('CARNET DE SOUDURE'!$E$7:$E$3006,MATCH(B1083,'CARNET DE SOUDURE'!$L$7:$L$3006,0)),""))</f>
        <v>JN°1625</v>
      </c>
      <c r="L1083" s="82" t="n">
        <f aca="false">IF(B1083="","",IFERROR(INDEX('CARNET DE SOUDURE'!$D$7:$D$3006,MATCH(B1083,'CARNET DE SOUDURE'!$L$7:$L$3006,0)),IFERROR(INDEX('CARNET DE SOUDURE'!$D$7:$D$3006,MATCH(B1083,'CARNET DE SOUDURE'!$O$7:$O$3006,0)),"")))</f>
        <v>20</v>
      </c>
      <c r="M1083" s="82" t="str">
        <f aca="false">IF(B1083="","",IF(OR(J1083&lt;&gt;"",K1083&lt;&gt;""),"POSÉ EN LIGNE",IF(COUNTIF(BARDAGE!$C$1:$C$5000,B1083)&gt;0,"BARDÉ","EN STOCK")))</f>
        <v>POSÉ EN LIGNE</v>
      </c>
      <c r="N1083" s="80"/>
    </row>
    <row r="1084" customFormat="false" ht="15" hidden="false" customHeight="false" outlineLevel="0" collapsed="false">
      <c r="A1084" s="82" t="n">
        <f aca="false">IF(B1084="","",ROW()-6)</f>
        <v>1078</v>
      </c>
      <c r="B1084" s="145" t="n">
        <v>2096230</v>
      </c>
      <c r="C1084" s="146" t="n">
        <v>15421111</v>
      </c>
      <c r="D1084" s="146"/>
      <c r="E1084" s="82" t="str">
        <f aca="false">IF(B1084="","",IF(COUNTIFS('CARNET DE SOUDURE'!$L$7:$L$3006,B1084,'CARNET DE SOUDURE'!$M$7:$M$3006,"&lt;&gt;"&amp;C1084,'CARNET DE SOUDURE'!$M$7:$M$3006,"&lt;&gt;")+COUNTIFS('CARNET DE SOUDURE'!$O$7:$O$3006,B1084,'CARNET DE SOUDURE'!$P$7:$P$3006,"&lt;&gt;"&amp;C1084,'CARNET DE SOUDURE'!$P$7:$P$3006,"&lt;&gt;")&gt;0,"⚠ DIFFÉRENTE","OK"))</f>
        <v>OK</v>
      </c>
      <c r="F1084" s="147" t="n">
        <v>11.94</v>
      </c>
      <c r="G1084" s="80"/>
      <c r="H1084" s="83"/>
      <c r="I1084" s="148" t="str">
        <f aca="false">IF(B1084="","",IFERROR(INDEX('CARNET DE SOUDURE'!$B$7:$B$3006,MATCH(B1084,'CARNET DE SOUDURE'!$L$7:$L$3006,0)),IFERROR(INDEX('CARNET DE SOUDURE'!$B$7:$B$3006,MATCH(B1084,'CARNET DE SOUDURE'!$O$7:$O$3006,0)),"")))</f>
        <v>MFD-ISW → MFD-CPF</v>
      </c>
      <c r="J1084" s="82" t="str">
        <f aca="false">IF(B1084="","",IFERROR(INDEX('CARNET DE SOUDURE'!$E$7:$E$3006,MATCH(B1084,'CARNET DE SOUDURE'!$O$7:$O$3006,0)),""))</f>
        <v>JN°1625</v>
      </c>
      <c r="K1084" s="82" t="str">
        <f aca="false">IF(B1084="","",IFERROR(INDEX('CARNET DE SOUDURE'!$E$7:$E$3006,MATCH(B1084,'CARNET DE SOUDURE'!$L$7:$L$3006,0)),""))</f>
        <v>JN°1626</v>
      </c>
      <c r="L1084" s="82" t="n">
        <f aca="false">IF(B1084="","",IFERROR(INDEX('CARNET DE SOUDURE'!$D$7:$D$3006,MATCH(B1084,'CARNET DE SOUDURE'!$L$7:$L$3006,0)),IFERROR(INDEX('CARNET DE SOUDURE'!$D$7:$D$3006,MATCH(B1084,'CARNET DE SOUDURE'!$O$7:$O$3006,0)),"")))</f>
        <v>20</v>
      </c>
      <c r="M1084" s="82" t="str">
        <f aca="false">IF(B1084="","",IF(OR(J1084&lt;&gt;"",K1084&lt;&gt;""),"POSÉ EN LIGNE",IF(COUNTIF(BARDAGE!$C$1:$C$5000,B1084)&gt;0,"BARDÉ","EN STOCK")))</f>
        <v>POSÉ EN LIGNE</v>
      </c>
      <c r="N1084" s="80"/>
    </row>
    <row r="1085" customFormat="false" ht="15" hidden="false" customHeight="false" outlineLevel="0" collapsed="false">
      <c r="A1085" s="82" t="n">
        <f aca="false">IF(B1085="","",ROW()-6)</f>
        <v>1079</v>
      </c>
      <c r="B1085" s="145" t="n">
        <v>2089450</v>
      </c>
      <c r="C1085" s="146" t="n">
        <v>15421109</v>
      </c>
      <c r="D1085" s="146"/>
      <c r="E1085" s="82" t="str">
        <f aca="false">IF(B1085="","",IF(COUNTIFS('CARNET DE SOUDURE'!$L$7:$L$3006,B1085,'CARNET DE SOUDURE'!$M$7:$M$3006,"&lt;&gt;"&amp;C1085,'CARNET DE SOUDURE'!$M$7:$M$3006,"&lt;&gt;")+COUNTIFS('CARNET DE SOUDURE'!$O$7:$O$3006,B1085,'CARNET DE SOUDURE'!$P$7:$P$3006,"&lt;&gt;"&amp;C1085,'CARNET DE SOUDURE'!$P$7:$P$3006,"&lt;&gt;")&gt;0,"⚠ DIFFÉRENTE","OK"))</f>
        <v>OK</v>
      </c>
      <c r="F1085" s="147" t="n">
        <v>11.94</v>
      </c>
      <c r="G1085" s="80"/>
      <c r="H1085" s="83"/>
      <c r="I1085" s="148" t="str">
        <f aca="false">IF(B1085="","",IFERROR(INDEX('CARNET DE SOUDURE'!$B$7:$B$3006,MATCH(B1085,'CARNET DE SOUDURE'!$L$7:$L$3006,0)),IFERROR(INDEX('CARNET DE SOUDURE'!$B$7:$B$3006,MATCH(B1085,'CARNET DE SOUDURE'!$O$7:$O$3006,0)),"")))</f>
        <v>MFD-ISW → MFD-CPF</v>
      </c>
      <c r="J1085" s="82" t="str">
        <f aca="false">IF(B1085="","",IFERROR(INDEX('CARNET DE SOUDURE'!$E$7:$E$3006,MATCH(B1085,'CARNET DE SOUDURE'!$O$7:$O$3006,0)),""))</f>
        <v>JN°1626</v>
      </c>
      <c r="K1085" s="82" t="str">
        <f aca="false">IF(B1085="","",IFERROR(INDEX('CARNET DE SOUDURE'!$E$7:$E$3006,MATCH(B1085,'CARNET DE SOUDURE'!$L$7:$L$3006,0)),""))</f>
        <v>JN°1627</v>
      </c>
      <c r="L1085" s="82" t="n">
        <f aca="false">IF(B1085="","",IFERROR(INDEX('CARNET DE SOUDURE'!$D$7:$D$3006,MATCH(B1085,'CARNET DE SOUDURE'!$L$7:$L$3006,0)),IFERROR(INDEX('CARNET DE SOUDURE'!$D$7:$D$3006,MATCH(B1085,'CARNET DE SOUDURE'!$O$7:$O$3006,0)),"")))</f>
        <v>20</v>
      </c>
      <c r="M1085" s="82" t="str">
        <f aca="false">IF(B1085="","",IF(OR(J1085&lt;&gt;"",K1085&lt;&gt;""),"POSÉ EN LIGNE",IF(COUNTIF(BARDAGE!$C$1:$C$5000,B1085)&gt;0,"BARDÉ","EN STOCK")))</f>
        <v>POSÉ EN LIGNE</v>
      </c>
      <c r="N1085" s="80"/>
    </row>
    <row r="1086" customFormat="false" ht="15" hidden="false" customHeight="false" outlineLevel="0" collapsed="false">
      <c r="A1086" s="82" t="n">
        <f aca="false">IF(B1086="","",ROW()-6)</f>
        <v>1080</v>
      </c>
      <c r="B1086" s="145" t="n">
        <v>2098230</v>
      </c>
      <c r="C1086" s="146" t="n">
        <v>15421112</v>
      </c>
      <c r="D1086" s="146"/>
      <c r="E1086" s="82" t="str">
        <f aca="false">IF(B1086="","",IF(COUNTIFS('CARNET DE SOUDURE'!$L$7:$L$3006,B1086,'CARNET DE SOUDURE'!$M$7:$M$3006,"&lt;&gt;"&amp;C1086,'CARNET DE SOUDURE'!$M$7:$M$3006,"&lt;&gt;")+COUNTIFS('CARNET DE SOUDURE'!$O$7:$O$3006,B1086,'CARNET DE SOUDURE'!$P$7:$P$3006,"&lt;&gt;"&amp;C1086,'CARNET DE SOUDURE'!$P$7:$P$3006,"&lt;&gt;")&gt;0,"⚠ DIFFÉRENTE","OK"))</f>
        <v>OK</v>
      </c>
      <c r="F1086" s="147" t="n">
        <v>11.94</v>
      </c>
      <c r="G1086" s="80"/>
      <c r="H1086" s="83"/>
      <c r="I1086" s="148" t="str">
        <f aca="false">IF(B1086="","",IFERROR(INDEX('CARNET DE SOUDURE'!$B$7:$B$3006,MATCH(B1086,'CARNET DE SOUDURE'!$L$7:$L$3006,0)),IFERROR(INDEX('CARNET DE SOUDURE'!$B$7:$B$3006,MATCH(B1086,'CARNET DE SOUDURE'!$O$7:$O$3006,0)),"")))</f>
        <v>MFD-ISW → MFD-CPF</v>
      </c>
      <c r="J1086" s="82" t="str">
        <f aca="false">IF(B1086="","",IFERROR(INDEX('CARNET DE SOUDURE'!$E$7:$E$3006,MATCH(B1086,'CARNET DE SOUDURE'!$O$7:$O$3006,0)),""))</f>
        <v>JN°1627</v>
      </c>
      <c r="K1086" s="82" t="str">
        <f aca="false">IF(B1086="","",IFERROR(INDEX('CARNET DE SOUDURE'!$E$7:$E$3006,MATCH(B1086,'CARNET DE SOUDURE'!$L$7:$L$3006,0)),""))</f>
        <v>JN°1628</v>
      </c>
      <c r="L1086" s="82" t="n">
        <f aca="false">IF(B1086="","",IFERROR(INDEX('CARNET DE SOUDURE'!$D$7:$D$3006,MATCH(B1086,'CARNET DE SOUDURE'!$L$7:$L$3006,0)),IFERROR(INDEX('CARNET DE SOUDURE'!$D$7:$D$3006,MATCH(B1086,'CARNET DE SOUDURE'!$O$7:$O$3006,0)),"")))</f>
        <v>20</v>
      </c>
      <c r="M1086" s="82" t="str">
        <f aca="false">IF(B1086="","",IF(OR(J1086&lt;&gt;"",K1086&lt;&gt;""),"POSÉ EN LIGNE",IF(COUNTIF(BARDAGE!$C$1:$C$5000,B1086)&gt;0,"BARDÉ","EN STOCK")))</f>
        <v>POSÉ EN LIGNE</v>
      </c>
      <c r="N1086" s="80"/>
    </row>
    <row r="1087" customFormat="false" ht="15" hidden="false" customHeight="false" outlineLevel="0" collapsed="false">
      <c r="A1087" s="82" t="n">
        <f aca="false">IF(B1087="","",ROW()-6)</f>
        <v>1081</v>
      </c>
      <c r="B1087" s="145" t="n">
        <v>2079110</v>
      </c>
      <c r="C1087" s="146" t="n">
        <v>15421102</v>
      </c>
      <c r="D1087" s="146"/>
      <c r="E1087" s="82" t="str">
        <f aca="false">IF(B1087="","",IF(COUNTIFS('CARNET DE SOUDURE'!$L$7:$L$3006,B1087,'CARNET DE SOUDURE'!$M$7:$M$3006,"&lt;&gt;"&amp;C1087,'CARNET DE SOUDURE'!$M$7:$M$3006,"&lt;&gt;")+COUNTIFS('CARNET DE SOUDURE'!$O$7:$O$3006,B1087,'CARNET DE SOUDURE'!$P$7:$P$3006,"&lt;&gt;"&amp;C1087,'CARNET DE SOUDURE'!$P$7:$P$3006,"&lt;&gt;")&gt;0,"⚠ DIFFÉRENTE","OK"))</f>
        <v>OK</v>
      </c>
      <c r="F1087" s="147" t="n">
        <v>11.94</v>
      </c>
      <c r="G1087" s="80"/>
      <c r="H1087" s="83"/>
      <c r="I1087" s="148" t="str">
        <f aca="false">IF(B1087="","",IFERROR(INDEX('CARNET DE SOUDURE'!$B$7:$B$3006,MATCH(B1087,'CARNET DE SOUDURE'!$L$7:$L$3006,0)),IFERROR(INDEX('CARNET DE SOUDURE'!$B$7:$B$3006,MATCH(B1087,'CARNET DE SOUDURE'!$O$7:$O$3006,0)),"")))</f>
        <v>MFD-ISW → MFD-CPF</v>
      </c>
      <c r="J1087" s="82" t="str">
        <f aca="false">IF(B1087="","",IFERROR(INDEX('CARNET DE SOUDURE'!$E$7:$E$3006,MATCH(B1087,'CARNET DE SOUDURE'!$O$7:$O$3006,0)),""))</f>
        <v>JN°1628</v>
      </c>
      <c r="K1087" s="82" t="str">
        <f aca="false">IF(B1087="","",IFERROR(INDEX('CARNET DE SOUDURE'!$E$7:$E$3006,MATCH(B1087,'CARNET DE SOUDURE'!$L$7:$L$3006,0)),""))</f>
        <v>JN°1629</v>
      </c>
      <c r="L1087" s="82" t="n">
        <f aca="false">IF(B1087="","",IFERROR(INDEX('CARNET DE SOUDURE'!$D$7:$D$3006,MATCH(B1087,'CARNET DE SOUDURE'!$L$7:$L$3006,0)),IFERROR(INDEX('CARNET DE SOUDURE'!$D$7:$D$3006,MATCH(B1087,'CARNET DE SOUDURE'!$O$7:$O$3006,0)),"")))</f>
        <v>20</v>
      </c>
      <c r="M1087" s="82" t="str">
        <f aca="false">IF(B1087="","",IF(OR(J1087&lt;&gt;"",K1087&lt;&gt;""),"POSÉ EN LIGNE",IF(COUNTIF(BARDAGE!$C$1:$C$5000,B1087)&gt;0,"BARDÉ","EN STOCK")))</f>
        <v>POSÉ EN LIGNE</v>
      </c>
      <c r="N1087" s="80"/>
    </row>
    <row r="1088" customFormat="false" ht="15" hidden="false" customHeight="false" outlineLevel="0" collapsed="false">
      <c r="A1088" s="82" t="n">
        <f aca="false">IF(B1088="","",ROW()-6)</f>
        <v>1082</v>
      </c>
      <c r="B1088" s="145" t="n">
        <v>2098090</v>
      </c>
      <c r="C1088" s="146" t="n">
        <v>15421112</v>
      </c>
      <c r="D1088" s="146"/>
      <c r="E1088" s="82" t="str">
        <f aca="false">IF(B1088="","",IF(COUNTIFS('CARNET DE SOUDURE'!$L$7:$L$3006,B1088,'CARNET DE SOUDURE'!$M$7:$M$3006,"&lt;&gt;"&amp;C1088,'CARNET DE SOUDURE'!$M$7:$M$3006,"&lt;&gt;")+COUNTIFS('CARNET DE SOUDURE'!$O$7:$O$3006,B1088,'CARNET DE SOUDURE'!$P$7:$P$3006,"&lt;&gt;"&amp;C1088,'CARNET DE SOUDURE'!$P$7:$P$3006,"&lt;&gt;")&gt;0,"⚠ DIFFÉRENTE","OK"))</f>
        <v>OK</v>
      </c>
      <c r="F1088" s="147" t="n">
        <v>11.94</v>
      </c>
      <c r="G1088" s="80"/>
      <c r="H1088" s="83"/>
      <c r="I1088" s="148" t="str">
        <f aca="false">IF(B1088="","",IFERROR(INDEX('CARNET DE SOUDURE'!$B$7:$B$3006,MATCH(B1088,'CARNET DE SOUDURE'!$L$7:$L$3006,0)),IFERROR(INDEX('CARNET DE SOUDURE'!$B$7:$B$3006,MATCH(B1088,'CARNET DE SOUDURE'!$O$7:$O$3006,0)),"")))</f>
        <v>MFD-ISW → MFD-CPF</v>
      </c>
      <c r="J1088" s="82" t="str">
        <f aca="false">IF(B1088="","",IFERROR(INDEX('CARNET DE SOUDURE'!$E$7:$E$3006,MATCH(B1088,'CARNET DE SOUDURE'!$O$7:$O$3006,0)),""))</f>
        <v>JN°1629</v>
      </c>
      <c r="K1088" s="82" t="str">
        <f aca="false">IF(B1088="","",IFERROR(INDEX('CARNET DE SOUDURE'!$E$7:$E$3006,MATCH(B1088,'CARNET DE SOUDURE'!$L$7:$L$3006,0)),""))</f>
        <v>JN°1630</v>
      </c>
      <c r="L1088" s="82" t="n">
        <f aca="false">IF(B1088="","",IFERROR(INDEX('CARNET DE SOUDURE'!$D$7:$D$3006,MATCH(B1088,'CARNET DE SOUDURE'!$L$7:$L$3006,0)),IFERROR(INDEX('CARNET DE SOUDURE'!$D$7:$D$3006,MATCH(B1088,'CARNET DE SOUDURE'!$O$7:$O$3006,0)),"")))</f>
        <v>20</v>
      </c>
      <c r="M1088" s="82" t="str">
        <f aca="false">IF(B1088="","",IF(OR(J1088&lt;&gt;"",K1088&lt;&gt;""),"POSÉ EN LIGNE",IF(COUNTIF(BARDAGE!$C$1:$C$5000,B1088)&gt;0,"BARDÉ","EN STOCK")))</f>
        <v>POSÉ EN LIGNE</v>
      </c>
      <c r="N1088" s="80"/>
    </row>
    <row r="1089" customFormat="false" ht="15" hidden="false" customHeight="false" outlineLevel="0" collapsed="false">
      <c r="A1089" s="82" t="n">
        <f aca="false">IF(B1089="","",ROW()-6)</f>
        <v>1083</v>
      </c>
      <c r="B1089" s="145" t="n">
        <v>2090910</v>
      </c>
      <c r="C1089" s="146" t="n">
        <v>15421109</v>
      </c>
      <c r="D1089" s="146"/>
      <c r="E1089" s="82" t="str">
        <f aca="false">IF(B1089="","",IF(COUNTIFS('CARNET DE SOUDURE'!$L$7:$L$3006,B1089,'CARNET DE SOUDURE'!$M$7:$M$3006,"&lt;&gt;"&amp;C1089,'CARNET DE SOUDURE'!$M$7:$M$3006,"&lt;&gt;")+COUNTIFS('CARNET DE SOUDURE'!$O$7:$O$3006,B1089,'CARNET DE SOUDURE'!$P$7:$P$3006,"&lt;&gt;"&amp;C1089,'CARNET DE SOUDURE'!$P$7:$P$3006,"&lt;&gt;")&gt;0,"⚠ DIFFÉRENTE","OK"))</f>
        <v>OK</v>
      </c>
      <c r="F1089" s="147" t="n">
        <v>11.94</v>
      </c>
      <c r="G1089" s="80"/>
      <c r="H1089" s="83"/>
      <c r="I1089" s="148" t="str">
        <f aca="false">IF(B1089="","",IFERROR(INDEX('CARNET DE SOUDURE'!$B$7:$B$3006,MATCH(B1089,'CARNET DE SOUDURE'!$L$7:$L$3006,0)),IFERROR(INDEX('CARNET DE SOUDURE'!$B$7:$B$3006,MATCH(B1089,'CARNET DE SOUDURE'!$O$7:$O$3006,0)),"")))</f>
        <v>MFD-ISW → MFD-CPF</v>
      </c>
      <c r="J1089" s="82" t="str">
        <f aca="false">IF(B1089="","",IFERROR(INDEX('CARNET DE SOUDURE'!$E$7:$E$3006,MATCH(B1089,'CARNET DE SOUDURE'!$O$7:$O$3006,0)),""))</f>
        <v>JN°1630</v>
      </c>
      <c r="K1089" s="82" t="str">
        <f aca="false">IF(B1089="","",IFERROR(INDEX('CARNET DE SOUDURE'!$E$7:$E$3006,MATCH(B1089,'CARNET DE SOUDURE'!$L$7:$L$3006,0)),""))</f>
        <v>JN°1631</v>
      </c>
      <c r="L1089" s="82" t="n">
        <f aca="false">IF(B1089="","",IFERROR(INDEX('CARNET DE SOUDURE'!$D$7:$D$3006,MATCH(B1089,'CARNET DE SOUDURE'!$L$7:$L$3006,0)),IFERROR(INDEX('CARNET DE SOUDURE'!$D$7:$D$3006,MATCH(B1089,'CARNET DE SOUDURE'!$O$7:$O$3006,0)),"")))</f>
        <v>20</v>
      </c>
      <c r="M1089" s="82" t="str">
        <f aca="false">IF(B1089="","",IF(OR(J1089&lt;&gt;"",K1089&lt;&gt;""),"POSÉ EN LIGNE",IF(COUNTIF(BARDAGE!$C$1:$C$5000,B1089)&gt;0,"BARDÉ","EN STOCK")))</f>
        <v>POSÉ EN LIGNE</v>
      </c>
      <c r="N1089" s="80"/>
    </row>
    <row r="1090" customFormat="false" ht="15" hidden="false" customHeight="false" outlineLevel="0" collapsed="false">
      <c r="A1090" s="82" t="n">
        <f aca="false">IF(B1090="","",ROW()-6)</f>
        <v>1084</v>
      </c>
      <c r="B1090" s="145" t="n">
        <v>2095210</v>
      </c>
      <c r="C1090" s="146" t="n">
        <v>15421111</v>
      </c>
      <c r="D1090" s="146"/>
      <c r="E1090" s="82" t="str">
        <f aca="false">IF(B1090="","",IF(COUNTIFS('CARNET DE SOUDURE'!$L$7:$L$3006,B1090,'CARNET DE SOUDURE'!$M$7:$M$3006,"&lt;&gt;"&amp;C1090,'CARNET DE SOUDURE'!$M$7:$M$3006,"&lt;&gt;")+COUNTIFS('CARNET DE SOUDURE'!$O$7:$O$3006,B1090,'CARNET DE SOUDURE'!$P$7:$P$3006,"&lt;&gt;"&amp;C1090,'CARNET DE SOUDURE'!$P$7:$P$3006,"&lt;&gt;")&gt;0,"⚠ DIFFÉRENTE","OK"))</f>
        <v>OK</v>
      </c>
      <c r="F1090" s="147" t="n">
        <v>11.94</v>
      </c>
      <c r="G1090" s="80"/>
      <c r="H1090" s="83"/>
      <c r="I1090" s="148" t="str">
        <f aca="false">IF(B1090="","",IFERROR(INDEX('CARNET DE SOUDURE'!$B$7:$B$3006,MATCH(B1090,'CARNET DE SOUDURE'!$L$7:$L$3006,0)),IFERROR(INDEX('CARNET DE SOUDURE'!$B$7:$B$3006,MATCH(B1090,'CARNET DE SOUDURE'!$O$7:$O$3006,0)),"")))</f>
        <v>MFD-ISW → MFD-CPF</v>
      </c>
      <c r="J1090" s="82" t="str">
        <f aca="false">IF(B1090="","",IFERROR(INDEX('CARNET DE SOUDURE'!$E$7:$E$3006,MATCH(B1090,'CARNET DE SOUDURE'!$O$7:$O$3006,0)),""))</f>
        <v>JN°1632</v>
      </c>
      <c r="K1090" s="82" t="str">
        <f aca="false">IF(B1090="","",IFERROR(INDEX('CARNET DE SOUDURE'!$E$7:$E$3006,MATCH(B1090,'CARNET DE SOUDURE'!$L$7:$L$3006,0)),""))</f>
        <v>JN°1633</v>
      </c>
      <c r="L1090" s="82" t="n">
        <f aca="false">IF(B1090="","",IFERROR(INDEX('CARNET DE SOUDURE'!$D$7:$D$3006,MATCH(B1090,'CARNET DE SOUDURE'!$L$7:$L$3006,0)),IFERROR(INDEX('CARNET DE SOUDURE'!$D$7:$D$3006,MATCH(B1090,'CARNET DE SOUDURE'!$O$7:$O$3006,0)),"")))</f>
        <v>20</v>
      </c>
      <c r="M1090" s="82" t="str">
        <f aca="false">IF(B1090="","",IF(OR(J1090&lt;&gt;"",K1090&lt;&gt;""),"POSÉ EN LIGNE",IF(COUNTIF(BARDAGE!$C$1:$C$5000,B1090)&gt;0,"BARDÉ","EN STOCK")))</f>
        <v>POSÉ EN LIGNE</v>
      </c>
      <c r="N1090" s="80"/>
    </row>
    <row r="1091" customFormat="false" ht="15" hidden="false" customHeight="false" outlineLevel="0" collapsed="false">
      <c r="A1091" s="82" t="n">
        <f aca="false">IF(B1091="","",ROW()-6)</f>
        <v>1085</v>
      </c>
      <c r="B1091" s="145" t="n">
        <v>2078430</v>
      </c>
      <c r="C1091" s="146" t="n">
        <v>15421101</v>
      </c>
      <c r="D1091" s="146"/>
      <c r="E1091" s="82" t="str">
        <f aca="false">IF(B1091="","",IF(COUNTIFS('CARNET DE SOUDURE'!$L$7:$L$3006,B1091,'CARNET DE SOUDURE'!$M$7:$M$3006,"&lt;&gt;"&amp;C1091,'CARNET DE SOUDURE'!$M$7:$M$3006,"&lt;&gt;")+COUNTIFS('CARNET DE SOUDURE'!$O$7:$O$3006,B1091,'CARNET DE SOUDURE'!$P$7:$P$3006,"&lt;&gt;"&amp;C1091,'CARNET DE SOUDURE'!$P$7:$P$3006,"&lt;&gt;")&gt;0,"⚠ DIFFÉRENTE","OK"))</f>
        <v>OK</v>
      </c>
      <c r="F1091" s="147" t="n">
        <v>11.94</v>
      </c>
      <c r="G1091" s="80"/>
      <c r="H1091" s="83"/>
      <c r="I1091" s="148" t="str">
        <f aca="false">IF(B1091="","",IFERROR(INDEX('CARNET DE SOUDURE'!$B$7:$B$3006,MATCH(B1091,'CARNET DE SOUDURE'!$L$7:$L$3006,0)),IFERROR(INDEX('CARNET DE SOUDURE'!$B$7:$B$3006,MATCH(B1091,'CARNET DE SOUDURE'!$O$7:$O$3006,0)),"")))</f>
        <v>MFD-ISW → MFD-CPF</v>
      </c>
      <c r="J1091" s="82" t="str">
        <f aca="false">IF(B1091="","",IFERROR(INDEX('CARNET DE SOUDURE'!$E$7:$E$3006,MATCH(B1091,'CARNET DE SOUDURE'!$O$7:$O$3006,0)),""))</f>
        <v>JN°1633</v>
      </c>
      <c r="K1091" s="82" t="str">
        <f aca="false">IF(B1091="","",IFERROR(INDEX('CARNET DE SOUDURE'!$E$7:$E$3006,MATCH(B1091,'CARNET DE SOUDURE'!$L$7:$L$3006,0)),""))</f>
        <v>JN°1634</v>
      </c>
      <c r="L1091" s="82" t="n">
        <f aca="false">IF(B1091="","",IFERROR(INDEX('CARNET DE SOUDURE'!$D$7:$D$3006,MATCH(B1091,'CARNET DE SOUDURE'!$L$7:$L$3006,0)),IFERROR(INDEX('CARNET DE SOUDURE'!$D$7:$D$3006,MATCH(B1091,'CARNET DE SOUDURE'!$O$7:$O$3006,0)),"")))</f>
        <v>20</v>
      </c>
      <c r="M1091" s="82" t="str">
        <f aca="false">IF(B1091="","",IF(OR(J1091&lt;&gt;"",K1091&lt;&gt;""),"POSÉ EN LIGNE",IF(COUNTIF(BARDAGE!$C$1:$C$5000,B1091)&gt;0,"BARDÉ","EN STOCK")))</f>
        <v>POSÉ EN LIGNE</v>
      </c>
      <c r="N1091" s="80"/>
    </row>
    <row r="1092" customFormat="false" ht="15" hidden="false" customHeight="false" outlineLevel="0" collapsed="false">
      <c r="A1092" s="82" t="n">
        <f aca="false">IF(B1092="","",ROW()-6)</f>
        <v>1086</v>
      </c>
      <c r="B1092" s="145" t="n">
        <v>2083680</v>
      </c>
      <c r="C1092" s="146" t="n">
        <v>15421105</v>
      </c>
      <c r="D1092" s="146"/>
      <c r="E1092" s="82" t="str">
        <f aca="false">IF(B1092="","",IF(COUNTIFS('CARNET DE SOUDURE'!$L$7:$L$3006,B1092,'CARNET DE SOUDURE'!$M$7:$M$3006,"&lt;&gt;"&amp;C1092,'CARNET DE SOUDURE'!$M$7:$M$3006,"&lt;&gt;")+COUNTIFS('CARNET DE SOUDURE'!$O$7:$O$3006,B1092,'CARNET DE SOUDURE'!$P$7:$P$3006,"&lt;&gt;"&amp;C1092,'CARNET DE SOUDURE'!$P$7:$P$3006,"&lt;&gt;")&gt;0,"⚠ DIFFÉRENTE","OK"))</f>
        <v>OK</v>
      </c>
      <c r="F1092" s="147" t="n">
        <v>11.94</v>
      </c>
      <c r="G1092" s="80"/>
      <c r="H1092" s="83"/>
      <c r="I1092" s="148" t="str">
        <f aca="false">IF(B1092="","",IFERROR(INDEX('CARNET DE SOUDURE'!$B$7:$B$3006,MATCH(B1092,'CARNET DE SOUDURE'!$L$7:$L$3006,0)),IFERROR(INDEX('CARNET DE SOUDURE'!$B$7:$B$3006,MATCH(B1092,'CARNET DE SOUDURE'!$O$7:$O$3006,0)),"")))</f>
        <v>MFD-ISW → MFD-CPF</v>
      </c>
      <c r="J1092" s="82" t="str">
        <f aca="false">IF(B1092="","",IFERROR(INDEX('CARNET DE SOUDURE'!$E$7:$E$3006,MATCH(B1092,'CARNET DE SOUDURE'!$O$7:$O$3006,0)),""))</f>
        <v>JN°1634</v>
      </c>
      <c r="K1092" s="82" t="str">
        <f aca="false">IF(B1092="","",IFERROR(INDEX('CARNET DE SOUDURE'!$E$7:$E$3006,MATCH(B1092,'CARNET DE SOUDURE'!$L$7:$L$3006,0)),""))</f>
        <v>JN°1635</v>
      </c>
      <c r="L1092" s="82" t="n">
        <f aca="false">IF(B1092="","",IFERROR(INDEX('CARNET DE SOUDURE'!$D$7:$D$3006,MATCH(B1092,'CARNET DE SOUDURE'!$L$7:$L$3006,0)),IFERROR(INDEX('CARNET DE SOUDURE'!$D$7:$D$3006,MATCH(B1092,'CARNET DE SOUDURE'!$O$7:$O$3006,0)),"")))</f>
        <v>20</v>
      </c>
      <c r="M1092" s="82" t="str">
        <f aca="false">IF(B1092="","",IF(OR(J1092&lt;&gt;"",K1092&lt;&gt;""),"POSÉ EN LIGNE",IF(COUNTIF(BARDAGE!$C$1:$C$5000,B1092)&gt;0,"BARDÉ","EN STOCK")))</f>
        <v>POSÉ EN LIGNE</v>
      </c>
      <c r="N1092" s="80"/>
    </row>
    <row r="1093" customFormat="false" ht="15" hidden="false" customHeight="false" outlineLevel="0" collapsed="false">
      <c r="A1093" s="82" t="n">
        <f aca="false">IF(B1093="","",ROW()-6)</f>
        <v>1087</v>
      </c>
      <c r="B1093" s="145" t="n">
        <v>2095310</v>
      </c>
      <c r="C1093" s="146" t="n">
        <v>15421111</v>
      </c>
      <c r="D1093" s="146"/>
      <c r="E1093" s="82" t="str">
        <f aca="false">IF(B1093="","",IF(COUNTIFS('CARNET DE SOUDURE'!$L$7:$L$3006,B1093,'CARNET DE SOUDURE'!$M$7:$M$3006,"&lt;&gt;"&amp;C1093,'CARNET DE SOUDURE'!$M$7:$M$3006,"&lt;&gt;")+COUNTIFS('CARNET DE SOUDURE'!$O$7:$O$3006,B1093,'CARNET DE SOUDURE'!$P$7:$P$3006,"&lt;&gt;"&amp;C1093,'CARNET DE SOUDURE'!$P$7:$P$3006,"&lt;&gt;")&gt;0,"⚠ DIFFÉRENTE","OK"))</f>
        <v>OK</v>
      </c>
      <c r="F1093" s="147" t="n">
        <v>11.94</v>
      </c>
      <c r="G1093" s="80"/>
      <c r="H1093" s="83"/>
      <c r="I1093" s="148" t="str">
        <f aca="false">IF(B1093="","",IFERROR(INDEX('CARNET DE SOUDURE'!$B$7:$B$3006,MATCH(B1093,'CARNET DE SOUDURE'!$L$7:$L$3006,0)),IFERROR(INDEX('CARNET DE SOUDURE'!$B$7:$B$3006,MATCH(B1093,'CARNET DE SOUDURE'!$O$7:$O$3006,0)),"")))</f>
        <v>MFD-ISW → MFD-CPF</v>
      </c>
      <c r="J1093" s="82" t="str">
        <f aca="false">IF(B1093="","",IFERROR(INDEX('CARNET DE SOUDURE'!$E$7:$E$3006,MATCH(B1093,'CARNET DE SOUDURE'!$O$7:$O$3006,0)),""))</f>
        <v>JN°1635</v>
      </c>
      <c r="K1093" s="82" t="str">
        <f aca="false">IF(B1093="","",IFERROR(INDEX('CARNET DE SOUDURE'!$E$7:$E$3006,MATCH(B1093,'CARNET DE SOUDURE'!$L$7:$L$3006,0)),""))</f>
        <v>JN°1636R</v>
      </c>
      <c r="L1093" s="82" t="n">
        <f aca="false">IF(B1093="","",IFERROR(INDEX('CARNET DE SOUDURE'!$D$7:$D$3006,MATCH(B1093,'CARNET DE SOUDURE'!$L$7:$L$3006,0)),IFERROR(INDEX('CARNET DE SOUDURE'!$D$7:$D$3006,MATCH(B1093,'CARNET DE SOUDURE'!$O$7:$O$3006,0)),"")))</f>
        <v>20</v>
      </c>
      <c r="M1093" s="82" t="str">
        <f aca="false">IF(B1093="","",IF(OR(J1093&lt;&gt;"",K1093&lt;&gt;""),"POSÉ EN LIGNE",IF(COUNTIF(BARDAGE!$C$1:$C$5000,B1093)&gt;0,"BARDÉ","EN STOCK")))</f>
        <v>POSÉ EN LIGNE</v>
      </c>
      <c r="N1093" s="80"/>
    </row>
    <row r="1094" customFormat="false" ht="15" hidden="false" customHeight="false" outlineLevel="0" collapsed="false">
      <c r="A1094" s="82" t="n">
        <f aca="false">IF(B1094="","",ROW()-6)</f>
        <v>1088</v>
      </c>
      <c r="B1094" s="145" t="n">
        <v>2091820</v>
      </c>
      <c r="C1094" s="146" t="n">
        <v>15421109</v>
      </c>
      <c r="D1094" s="146"/>
      <c r="E1094" s="82" t="str">
        <f aca="false">IF(B1094="","",IF(COUNTIFS('CARNET DE SOUDURE'!$L$7:$L$3006,B1094,'CARNET DE SOUDURE'!$M$7:$M$3006,"&lt;&gt;"&amp;C1094,'CARNET DE SOUDURE'!$M$7:$M$3006,"&lt;&gt;")+COUNTIFS('CARNET DE SOUDURE'!$O$7:$O$3006,B1094,'CARNET DE SOUDURE'!$P$7:$P$3006,"&lt;&gt;"&amp;C1094,'CARNET DE SOUDURE'!$P$7:$P$3006,"&lt;&gt;")&gt;0,"⚠ DIFFÉRENTE","OK"))</f>
        <v>OK</v>
      </c>
      <c r="F1094" s="147" t="n">
        <v>11.94</v>
      </c>
      <c r="G1094" s="80"/>
      <c r="H1094" s="83"/>
      <c r="I1094" s="148" t="str">
        <f aca="false">IF(B1094="","",IFERROR(INDEX('CARNET DE SOUDURE'!$B$7:$B$3006,MATCH(B1094,'CARNET DE SOUDURE'!$L$7:$L$3006,0)),IFERROR(INDEX('CARNET DE SOUDURE'!$B$7:$B$3006,MATCH(B1094,'CARNET DE SOUDURE'!$O$7:$O$3006,0)),"")))</f>
        <v>MFD-ISW → MFD-CPF</v>
      </c>
      <c r="J1094" s="82" t="str">
        <f aca="false">IF(B1094="","",IFERROR(INDEX('CARNET DE SOUDURE'!$E$7:$E$3006,MATCH(B1094,'CARNET DE SOUDURE'!$O$7:$O$3006,0)),""))</f>
        <v>JN°1636R</v>
      </c>
      <c r="K1094" s="82" t="str">
        <f aca="false">IF(B1094="","",IFERROR(INDEX('CARNET DE SOUDURE'!$E$7:$E$3006,MATCH(B1094,'CARNET DE SOUDURE'!$L$7:$L$3006,0)),""))</f>
        <v>JN°1637R</v>
      </c>
      <c r="L1094" s="82" t="n">
        <f aca="false">IF(B1094="","",IFERROR(INDEX('CARNET DE SOUDURE'!$D$7:$D$3006,MATCH(B1094,'CARNET DE SOUDURE'!$L$7:$L$3006,0)),IFERROR(INDEX('CARNET DE SOUDURE'!$D$7:$D$3006,MATCH(B1094,'CARNET DE SOUDURE'!$O$7:$O$3006,0)),"")))</f>
        <v>20</v>
      </c>
      <c r="M1094" s="82" t="str">
        <f aca="false">IF(B1094="","",IF(OR(J1094&lt;&gt;"",K1094&lt;&gt;""),"POSÉ EN LIGNE",IF(COUNTIF(BARDAGE!$C$1:$C$5000,B1094)&gt;0,"BARDÉ","EN STOCK")))</f>
        <v>POSÉ EN LIGNE</v>
      </c>
      <c r="N1094" s="80"/>
    </row>
    <row r="1095" customFormat="false" ht="15" hidden="false" customHeight="false" outlineLevel="0" collapsed="false">
      <c r="A1095" s="82" t="n">
        <f aca="false">IF(B1095="","",ROW()-6)</f>
        <v>1089</v>
      </c>
      <c r="B1095" s="145" t="n">
        <v>2082280</v>
      </c>
      <c r="C1095" s="146" t="n">
        <v>15421104</v>
      </c>
      <c r="D1095" s="146"/>
      <c r="E1095" s="82" t="str">
        <f aca="false">IF(B1095="","",IF(COUNTIFS('CARNET DE SOUDURE'!$L$7:$L$3006,B1095,'CARNET DE SOUDURE'!$M$7:$M$3006,"&lt;&gt;"&amp;C1095,'CARNET DE SOUDURE'!$M$7:$M$3006,"&lt;&gt;")+COUNTIFS('CARNET DE SOUDURE'!$O$7:$O$3006,B1095,'CARNET DE SOUDURE'!$P$7:$P$3006,"&lt;&gt;"&amp;C1095,'CARNET DE SOUDURE'!$P$7:$P$3006,"&lt;&gt;")&gt;0,"⚠ DIFFÉRENTE","OK"))</f>
        <v>OK</v>
      </c>
      <c r="F1095" s="147" t="n">
        <v>11.94</v>
      </c>
      <c r="G1095" s="80"/>
      <c r="H1095" s="83"/>
      <c r="I1095" s="148" t="str">
        <f aca="false">IF(B1095="","",IFERROR(INDEX('CARNET DE SOUDURE'!$B$7:$B$3006,MATCH(B1095,'CARNET DE SOUDURE'!$L$7:$L$3006,0)),IFERROR(INDEX('CARNET DE SOUDURE'!$B$7:$B$3006,MATCH(B1095,'CARNET DE SOUDURE'!$O$7:$O$3006,0)),"")))</f>
        <v>MFD-ISW → MFD-CPF</v>
      </c>
      <c r="J1095" s="82" t="str">
        <f aca="false">IF(B1095="","",IFERROR(INDEX('CARNET DE SOUDURE'!$E$7:$E$3006,MATCH(B1095,'CARNET DE SOUDURE'!$O$7:$O$3006,0)),""))</f>
        <v>JN°1637R</v>
      </c>
      <c r="K1095" s="82" t="str">
        <f aca="false">IF(B1095="","",IFERROR(INDEX('CARNET DE SOUDURE'!$E$7:$E$3006,MATCH(B1095,'CARNET DE SOUDURE'!$L$7:$L$3006,0)),""))</f>
        <v>JN°1638</v>
      </c>
      <c r="L1095" s="82" t="n">
        <f aca="false">IF(B1095="","",IFERROR(INDEX('CARNET DE SOUDURE'!$D$7:$D$3006,MATCH(B1095,'CARNET DE SOUDURE'!$L$7:$L$3006,0)),IFERROR(INDEX('CARNET DE SOUDURE'!$D$7:$D$3006,MATCH(B1095,'CARNET DE SOUDURE'!$O$7:$O$3006,0)),"")))</f>
        <v>20</v>
      </c>
      <c r="M1095" s="82" t="str">
        <f aca="false">IF(B1095="","",IF(OR(J1095&lt;&gt;"",K1095&lt;&gt;""),"POSÉ EN LIGNE",IF(COUNTIF(BARDAGE!$C$1:$C$5000,B1095)&gt;0,"BARDÉ","EN STOCK")))</f>
        <v>POSÉ EN LIGNE</v>
      </c>
      <c r="N1095" s="80"/>
    </row>
    <row r="1096" customFormat="false" ht="15" hidden="false" customHeight="false" outlineLevel="0" collapsed="false">
      <c r="A1096" s="82" t="n">
        <f aca="false">IF(B1096="","",ROW()-6)</f>
        <v>1090</v>
      </c>
      <c r="B1096" s="145" t="n">
        <v>2078970</v>
      </c>
      <c r="C1096" s="146" t="n">
        <v>15421102</v>
      </c>
      <c r="D1096" s="146"/>
      <c r="E1096" s="82" t="str">
        <f aca="false">IF(B1096="","",IF(COUNTIFS('CARNET DE SOUDURE'!$L$7:$L$3006,B1096,'CARNET DE SOUDURE'!$M$7:$M$3006,"&lt;&gt;"&amp;C1096,'CARNET DE SOUDURE'!$M$7:$M$3006,"&lt;&gt;")+COUNTIFS('CARNET DE SOUDURE'!$O$7:$O$3006,B1096,'CARNET DE SOUDURE'!$P$7:$P$3006,"&lt;&gt;"&amp;C1096,'CARNET DE SOUDURE'!$P$7:$P$3006,"&lt;&gt;")&gt;0,"⚠ DIFFÉRENTE","OK"))</f>
        <v>OK</v>
      </c>
      <c r="F1096" s="147" t="n">
        <v>11.94</v>
      </c>
      <c r="G1096" s="80"/>
      <c r="H1096" s="83"/>
      <c r="I1096" s="148" t="str">
        <f aca="false">IF(B1096="","",IFERROR(INDEX('CARNET DE SOUDURE'!$B$7:$B$3006,MATCH(B1096,'CARNET DE SOUDURE'!$L$7:$L$3006,0)),IFERROR(INDEX('CARNET DE SOUDURE'!$B$7:$B$3006,MATCH(B1096,'CARNET DE SOUDURE'!$O$7:$O$3006,0)),"")))</f>
        <v>MFD-ISW → MFD-CPF</v>
      </c>
      <c r="J1096" s="82" t="str">
        <f aca="false">IF(B1096="","",IFERROR(INDEX('CARNET DE SOUDURE'!$E$7:$E$3006,MATCH(B1096,'CARNET DE SOUDURE'!$O$7:$O$3006,0)),""))</f>
        <v>JN°1638</v>
      </c>
      <c r="K1096" s="82" t="str">
        <f aca="false">IF(B1096="","",IFERROR(INDEX('CARNET DE SOUDURE'!$E$7:$E$3006,MATCH(B1096,'CARNET DE SOUDURE'!$L$7:$L$3006,0)),""))</f>
        <v>JN°1639</v>
      </c>
      <c r="L1096" s="82" t="n">
        <f aca="false">IF(B1096="","",IFERROR(INDEX('CARNET DE SOUDURE'!$D$7:$D$3006,MATCH(B1096,'CARNET DE SOUDURE'!$L$7:$L$3006,0)),IFERROR(INDEX('CARNET DE SOUDURE'!$D$7:$D$3006,MATCH(B1096,'CARNET DE SOUDURE'!$O$7:$O$3006,0)),"")))</f>
        <v>20</v>
      </c>
      <c r="M1096" s="82" t="str">
        <f aca="false">IF(B1096="","",IF(OR(J1096&lt;&gt;"",K1096&lt;&gt;""),"POSÉ EN LIGNE",IF(COUNTIF(BARDAGE!$C$1:$C$5000,B1096)&gt;0,"BARDÉ","EN STOCK")))</f>
        <v>POSÉ EN LIGNE</v>
      </c>
      <c r="N1096" s="80"/>
    </row>
    <row r="1097" customFormat="false" ht="15" hidden="false" customHeight="false" outlineLevel="0" collapsed="false">
      <c r="A1097" s="82" t="n">
        <f aca="false">IF(B1097="","",ROW()-6)</f>
        <v>1091</v>
      </c>
      <c r="B1097" s="145" t="n">
        <v>2092420</v>
      </c>
      <c r="C1097" s="146" t="n">
        <v>15421110</v>
      </c>
      <c r="D1097" s="146"/>
      <c r="E1097" s="82" t="str">
        <f aca="false">IF(B1097="","",IF(COUNTIFS('CARNET DE SOUDURE'!$L$7:$L$3006,B1097,'CARNET DE SOUDURE'!$M$7:$M$3006,"&lt;&gt;"&amp;C1097,'CARNET DE SOUDURE'!$M$7:$M$3006,"&lt;&gt;")+COUNTIFS('CARNET DE SOUDURE'!$O$7:$O$3006,B1097,'CARNET DE SOUDURE'!$P$7:$P$3006,"&lt;&gt;"&amp;C1097,'CARNET DE SOUDURE'!$P$7:$P$3006,"&lt;&gt;")&gt;0,"⚠ DIFFÉRENTE","OK"))</f>
        <v>OK</v>
      </c>
      <c r="F1097" s="147" t="n">
        <v>11.94</v>
      </c>
      <c r="G1097" s="80"/>
      <c r="H1097" s="83"/>
      <c r="I1097" s="148" t="str">
        <f aca="false">IF(B1097="","",IFERROR(INDEX('CARNET DE SOUDURE'!$B$7:$B$3006,MATCH(B1097,'CARNET DE SOUDURE'!$L$7:$L$3006,0)),IFERROR(INDEX('CARNET DE SOUDURE'!$B$7:$B$3006,MATCH(B1097,'CARNET DE SOUDURE'!$O$7:$O$3006,0)),"")))</f>
        <v>MFD-ISW → MFD-CPF</v>
      </c>
      <c r="J1097" s="82" t="str">
        <f aca="false">IF(B1097="","",IFERROR(INDEX('CARNET DE SOUDURE'!$E$7:$E$3006,MATCH(B1097,'CARNET DE SOUDURE'!$O$7:$O$3006,0)),""))</f>
        <v>JN°1639</v>
      </c>
      <c r="K1097" s="82" t="str">
        <f aca="false">IF(B1097="","",IFERROR(INDEX('CARNET DE SOUDURE'!$E$7:$E$3006,MATCH(B1097,'CARNET DE SOUDURE'!$L$7:$L$3006,0)),""))</f>
        <v>JN°1640</v>
      </c>
      <c r="L1097" s="82" t="n">
        <f aca="false">IF(B1097="","",IFERROR(INDEX('CARNET DE SOUDURE'!$D$7:$D$3006,MATCH(B1097,'CARNET DE SOUDURE'!$L$7:$L$3006,0)),IFERROR(INDEX('CARNET DE SOUDURE'!$D$7:$D$3006,MATCH(B1097,'CARNET DE SOUDURE'!$O$7:$O$3006,0)),"")))</f>
        <v>20</v>
      </c>
      <c r="M1097" s="82" t="str">
        <f aca="false">IF(B1097="","",IF(OR(J1097&lt;&gt;"",K1097&lt;&gt;""),"POSÉ EN LIGNE",IF(COUNTIF(BARDAGE!$C$1:$C$5000,B1097)&gt;0,"BARDÉ","EN STOCK")))</f>
        <v>POSÉ EN LIGNE</v>
      </c>
      <c r="N1097" s="80"/>
    </row>
    <row r="1098" customFormat="false" ht="15" hidden="false" customHeight="false" outlineLevel="0" collapsed="false">
      <c r="A1098" s="82" t="n">
        <f aca="false">IF(B1098="","",ROW()-6)</f>
        <v>1092</v>
      </c>
      <c r="B1098" s="145" t="n">
        <v>2098610</v>
      </c>
      <c r="C1098" s="146" t="n">
        <v>15421112</v>
      </c>
      <c r="D1098" s="146"/>
      <c r="E1098" s="82" t="str">
        <f aca="false">IF(B1098="","",IF(COUNTIFS('CARNET DE SOUDURE'!$L$7:$L$3006,B1098,'CARNET DE SOUDURE'!$M$7:$M$3006,"&lt;&gt;"&amp;C1098,'CARNET DE SOUDURE'!$M$7:$M$3006,"&lt;&gt;")+COUNTIFS('CARNET DE SOUDURE'!$O$7:$O$3006,B1098,'CARNET DE SOUDURE'!$P$7:$P$3006,"&lt;&gt;"&amp;C1098,'CARNET DE SOUDURE'!$P$7:$P$3006,"&lt;&gt;")&gt;0,"⚠ DIFFÉRENTE","OK"))</f>
        <v>OK</v>
      </c>
      <c r="F1098" s="147" t="n">
        <v>11.94</v>
      </c>
      <c r="G1098" s="80"/>
      <c r="H1098" s="83"/>
      <c r="I1098" s="148" t="str">
        <f aca="false">IF(B1098="","",IFERROR(INDEX('CARNET DE SOUDURE'!$B$7:$B$3006,MATCH(B1098,'CARNET DE SOUDURE'!$L$7:$L$3006,0)),IFERROR(INDEX('CARNET DE SOUDURE'!$B$7:$B$3006,MATCH(B1098,'CARNET DE SOUDURE'!$O$7:$O$3006,0)),"")))</f>
        <v>MFD-ISW → MFD-CPF</v>
      </c>
      <c r="J1098" s="82" t="str">
        <f aca="false">IF(B1098="","",IFERROR(INDEX('CARNET DE SOUDURE'!$E$7:$E$3006,MATCH(B1098,'CARNET DE SOUDURE'!$O$7:$O$3006,0)),""))</f>
        <v>JN°1640</v>
      </c>
      <c r="K1098" s="82" t="str">
        <f aca="false">IF(B1098="","",IFERROR(INDEX('CARNET DE SOUDURE'!$E$7:$E$3006,MATCH(B1098,'CARNET DE SOUDURE'!$L$7:$L$3006,0)),""))</f>
        <v>JN°1641</v>
      </c>
      <c r="L1098" s="82" t="n">
        <f aca="false">IF(B1098="","",IFERROR(INDEX('CARNET DE SOUDURE'!$D$7:$D$3006,MATCH(B1098,'CARNET DE SOUDURE'!$L$7:$L$3006,0)),IFERROR(INDEX('CARNET DE SOUDURE'!$D$7:$D$3006,MATCH(B1098,'CARNET DE SOUDURE'!$O$7:$O$3006,0)),"")))</f>
        <v>20</v>
      </c>
      <c r="M1098" s="82" t="str">
        <f aca="false">IF(B1098="","",IF(OR(J1098&lt;&gt;"",K1098&lt;&gt;""),"POSÉ EN LIGNE",IF(COUNTIF(BARDAGE!$C$1:$C$5000,B1098)&gt;0,"BARDÉ","EN STOCK")))</f>
        <v>POSÉ EN LIGNE</v>
      </c>
      <c r="N1098" s="80"/>
    </row>
    <row r="1099" customFormat="false" ht="15" hidden="false" customHeight="false" outlineLevel="0" collapsed="false">
      <c r="A1099" s="82" t="n">
        <f aca="false">IF(B1099="","",ROW()-6)</f>
        <v>1093</v>
      </c>
      <c r="B1099" s="145" t="n">
        <v>2099590</v>
      </c>
      <c r="C1099" s="146" t="n">
        <v>15421112</v>
      </c>
      <c r="D1099" s="146"/>
      <c r="E1099" s="82" t="str">
        <f aca="false">IF(B1099="","",IF(COUNTIFS('CARNET DE SOUDURE'!$L$7:$L$3006,B1099,'CARNET DE SOUDURE'!$M$7:$M$3006,"&lt;&gt;"&amp;C1099,'CARNET DE SOUDURE'!$M$7:$M$3006,"&lt;&gt;")+COUNTIFS('CARNET DE SOUDURE'!$O$7:$O$3006,B1099,'CARNET DE SOUDURE'!$P$7:$P$3006,"&lt;&gt;"&amp;C1099,'CARNET DE SOUDURE'!$P$7:$P$3006,"&lt;&gt;")&gt;0,"⚠ DIFFÉRENTE","OK"))</f>
        <v>OK</v>
      </c>
      <c r="F1099" s="147" t="n">
        <v>11.94</v>
      </c>
      <c r="G1099" s="80"/>
      <c r="H1099" s="83"/>
      <c r="I1099" s="148" t="str">
        <f aca="false">IF(B1099="","",IFERROR(INDEX('CARNET DE SOUDURE'!$B$7:$B$3006,MATCH(B1099,'CARNET DE SOUDURE'!$L$7:$L$3006,0)),IFERROR(INDEX('CARNET DE SOUDURE'!$B$7:$B$3006,MATCH(B1099,'CARNET DE SOUDURE'!$O$7:$O$3006,0)),"")))</f>
        <v>MFD-ISW → MFD-CPF</v>
      </c>
      <c r="J1099" s="82" t="str">
        <f aca="false">IF(B1099="","",IFERROR(INDEX('CARNET DE SOUDURE'!$E$7:$E$3006,MATCH(B1099,'CARNET DE SOUDURE'!$O$7:$O$3006,0)),""))</f>
        <v>JN°1641</v>
      </c>
      <c r="K1099" s="82" t="str">
        <f aca="false">IF(B1099="","",IFERROR(INDEX('CARNET DE SOUDURE'!$E$7:$E$3006,MATCH(B1099,'CARNET DE SOUDURE'!$L$7:$L$3006,0)),""))</f>
        <v>JN°1642</v>
      </c>
      <c r="L1099" s="82" t="n">
        <f aca="false">IF(B1099="","",IFERROR(INDEX('CARNET DE SOUDURE'!$D$7:$D$3006,MATCH(B1099,'CARNET DE SOUDURE'!$L$7:$L$3006,0)),IFERROR(INDEX('CARNET DE SOUDURE'!$D$7:$D$3006,MATCH(B1099,'CARNET DE SOUDURE'!$O$7:$O$3006,0)),"")))</f>
        <v>20</v>
      </c>
      <c r="M1099" s="82" t="str">
        <f aca="false">IF(B1099="","",IF(OR(J1099&lt;&gt;"",K1099&lt;&gt;""),"POSÉ EN LIGNE",IF(COUNTIF(BARDAGE!$C$1:$C$5000,B1099)&gt;0,"BARDÉ","EN STOCK")))</f>
        <v>POSÉ EN LIGNE</v>
      </c>
      <c r="N1099" s="80"/>
    </row>
    <row r="1100" customFormat="false" ht="15" hidden="false" customHeight="false" outlineLevel="0" collapsed="false">
      <c r="A1100" s="82" t="n">
        <f aca="false">IF(B1100="","",ROW()-6)</f>
        <v>1094</v>
      </c>
      <c r="B1100" s="145" t="n">
        <v>2079720</v>
      </c>
      <c r="C1100" s="146" t="n">
        <v>15421102</v>
      </c>
      <c r="D1100" s="146"/>
      <c r="E1100" s="82" t="str">
        <f aca="false">IF(B1100="","",IF(COUNTIFS('CARNET DE SOUDURE'!$L$7:$L$3006,B1100,'CARNET DE SOUDURE'!$M$7:$M$3006,"&lt;&gt;"&amp;C1100,'CARNET DE SOUDURE'!$M$7:$M$3006,"&lt;&gt;")+COUNTIFS('CARNET DE SOUDURE'!$O$7:$O$3006,B1100,'CARNET DE SOUDURE'!$P$7:$P$3006,"&lt;&gt;"&amp;C1100,'CARNET DE SOUDURE'!$P$7:$P$3006,"&lt;&gt;")&gt;0,"⚠ DIFFÉRENTE","OK"))</f>
        <v>OK</v>
      </c>
      <c r="F1100" s="147" t="n">
        <v>11.94</v>
      </c>
      <c r="G1100" s="80"/>
      <c r="H1100" s="83"/>
      <c r="I1100" s="148" t="str">
        <f aca="false">IF(B1100="","",IFERROR(INDEX('CARNET DE SOUDURE'!$B$7:$B$3006,MATCH(B1100,'CARNET DE SOUDURE'!$L$7:$L$3006,0)),IFERROR(INDEX('CARNET DE SOUDURE'!$B$7:$B$3006,MATCH(B1100,'CARNET DE SOUDURE'!$O$7:$O$3006,0)),"")))</f>
        <v>MFD-ISW → MFD-CPF</v>
      </c>
      <c r="J1100" s="82" t="str">
        <f aca="false">IF(B1100="","",IFERROR(INDEX('CARNET DE SOUDURE'!$E$7:$E$3006,MATCH(B1100,'CARNET DE SOUDURE'!$O$7:$O$3006,0)),""))</f>
        <v>JN°1642</v>
      </c>
      <c r="K1100" s="82" t="str">
        <f aca="false">IF(B1100="","",IFERROR(INDEX('CARNET DE SOUDURE'!$E$7:$E$3006,MATCH(B1100,'CARNET DE SOUDURE'!$L$7:$L$3006,0)),""))</f>
        <v>JN°1643</v>
      </c>
      <c r="L1100" s="82" t="n">
        <f aca="false">IF(B1100="","",IFERROR(INDEX('CARNET DE SOUDURE'!$D$7:$D$3006,MATCH(B1100,'CARNET DE SOUDURE'!$L$7:$L$3006,0)),IFERROR(INDEX('CARNET DE SOUDURE'!$D$7:$D$3006,MATCH(B1100,'CARNET DE SOUDURE'!$O$7:$O$3006,0)),"")))</f>
        <v>20</v>
      </c>
      <c r="M1100" s="82" t="str">
        <f aca="false">IF(B1100="","",IF(OR(J1100&lt;&gt;"",K1100&lt;&gt;""),"POSÉ EN LIGNE",IF(COUNTIF(BARDAGE!$C$1:$C$5000,B1100)&gt;0,"BARDÉ","EN STOCK")))</f>
        <v>POSÉ EN LIGNE</v>
      </c>
      <c r="N1100" s="80"/>
    </row>
    <row r="1101" customFormat="false" ht="15" hidden="false" customHeight="false" outlineLevel="0" collapsed="false">
      <c r="A1101" s="82" t="n">
        <f aca="false">IF(B1101="","",ROW()-6)</f>
        <v>1095</v>
      </c>
      <c r="B1101" s="145" t="n">
        <v>2079820</v>
      </c>
      <c r="C1101" s="146" t="n">
        <v>15421102</v>
      </c>
      <c r="D1101" s="146"/>
      <c r="E1101" s="82" t="str">
        <f aca="false">IF(B1101="","",IF(COUNTIFS('CARNET DE SOUDURE'!$L$7:$L$3006,B1101,'CARNET DE SOUDURE'!$M$7:$M$3006,"&lt;&gt;"&amp;C1101,'CARNET DE SOUDURE'!$M$7:$M$3006,"&lt;&gt;")+COUNTIFS('CARNET DE SOUDURE'!$O$7:$O$3006,B1101,'CARNET DE SOUDURE'!$P$7:$P$3006,"&lt;&gt;"&amp;C1101,'CARNET DE SOUDURE'!$P$7:$P$3006,"&lt;&gt;")&gt;0,"⚠ DIFFÉRENTE","OK"))</f>
        <v>OK</v>
      </c>
      <c r="F1101" s="147" t="n">
        <v>11.94</v>
      </c>
      <c r="G1101" s="80"/>
      <c r="H1101" s="83"/>
      <c r="I1101" s="148" t="str">
        <f aca="false">IF(B1101="","",IFERROR(INDEX('CARNET DE SOUDURE'!$B$7:$B$3006,MATCH(B1101,'CARNET DE SOUDURE'!$L$7:$L$3006,0)),IFERROR(INDEX('CARNET DE SOUDURE'!$B$7:$B$3006,MATCH(B1101,'CARNET DE SOUDURE'!$O$7:$O$3006,0)),"")))</f>
        <v>MFD-ISW → MFD-CPF</v>
      </c>
      <c r="J1101" s="82" t="str">
        <f aca="false">IF(B1101="","",IFERROR(INDEX('CARNET DE SOUDURE'!$E$7:$E$3006,MATCH(B1101,'CARNET DE SOUDURE'!$O$7:$O$3006,0)),""))</f>
        <v>JN°1643</v>
      </c>
      <c r="K1101" s="82" t="str">
        <f aca="false">IF(B1101="","",IFERROR(INDEX('CARNET DE SOUDURE'!$E$7:$E$3006,MATCH(B1101,'CARNET DE SOUDURE'!$L$7:$L$3006,0)),""))</f>
        <v>JN°1644</v>
      </c>
      <c r="L1101" s="82" t="n">
        <f aca="false">IF(B1101="","",IFERROR(INDEX('CARNET DE SOUDURE'!$D$7:$D$3006,MATCH(B1101,'CARNET DE SOUDURE'!$L$7:$L$3006,0)),IFERROR(INDEX('CARNET DE SOUDURE'!$D$7:$D$3006,MATCH(B1101,'CARNET DE SOUDURE'!$O$7:$O$3006,0)),"")))</f>
        <v>20</v>
      </c>
      <c r="M1101" s="82" t="str">
        <f aca="false">IF(B1101="","",IF(OR(J1101&lt;&gt;"",K1101&lt;&gt;""),"POSÉ EN LIGNE",IF(COUNTIF(BARDAGE!$C$1:$C$5000,B1101)&gt;0,"BARDÉ","EN STOCK")))</f>
        <v>POSÉ EN LIGNE</v>
      </c>
      <c r="N1101" s="80"/>
    </row>
    <row r="1102" customFormat="false" ht="15" hidden="false" customHeight="false" outlineLevel="0" collapsed="false">
      <c r="A1102" s="82" t="n">
        <f aca="false">IF(B1102="","",ROW()-6)</f>
        <v>1096</v>
      </c>
      <c r="B1102" s="145" t="n">
        <v>2085320</v>
      </c>
      <c r="C1102" s="146" t="n">
        <v>15421106</v>
      </c>
      <c r="D1102" s="146"/>
      <c r="E1102" s="82" t="str">
        <f aca="false">IF(B1102="","",IF(COUNTIFS('CARNET DE SOUDURE'!$L$7:$L$3006,B1102,'CARNET DE SOUDURE'!$M$7:$M$3006,"&lt;&gt;"&amp;C1102,'CARNET DE SOUDURE'!$M$7:$M$3006,"&lt;&gt;")+COUNTIFS('CARNET DE SOUDURE'!$O$7:$O$3006,B1102,'CARNET DE SOUDURE'!$P$7:$P$3006,"&lt;&gt;"&amp;C1102,'CARNET DE SOUDURE'!$P$7:$P$3006,"&lt;&gt;")&gt;0,"⚠ DIFFÉRENTE","OK"))</f>
        <v>OK</v>
      </c>
      <c r="F1102" s="147" t="n">
        <v>11.94</v>
      </c>
      <c r="G1102" s="80"/>
      <c r="H1102" s="83"/>
      <c r="I1102" s="148" t="str">
        <f aca="false">IF(B1102="","",IFERROR(INDEX('CARNET DE SOUDURE'!$B$7:$B$3006,MATCH(B1102,'CARNET DE SOUDURE'!$L$7:$L$3006,0)),IFERROR(INDEX('CARNET DE SOUDURE'!$B$7:$B$3006,MATCH(B1102,'CARNET DE SOUDURE'!$O$7:$O$3006,0)),"")))</f>
        <v>MFD-ISW → MFD-CPF</v>
      </c>
      <c r="J1102" s="82" t="str">
        <f aca="false">IF(B1102="","",IFERROR(INDEX('CARNET DE SOUDURE'!$E$7:$E$3006,MATCH(B1102,'CARNET DE SOUDURE'!$O$7:$O$3006,0)),""))</f>
        <v>JN°1644</v>
      </c>
      <c r="K1102" s="82" t="str">
        <f aca="false">IF(B1102="","",IFERROR(INDEX('CARNET DE SOUDURE'!$E$7:$E$3006,MATCH(B1102,'CARNET DE SOUDURE'!$L$7:$L$3006,0)),""))</f>
        <v>JN°1645</v>
      </c>
      <c r="L1102" s="82" t="n">
        <f aca="false">IF(B1102="","",IFERROR(INDEX('CARNET DE SOUDURE'!$D$7:$D$3006,MATCH(B1102,'CARNET DE SOUDURE'!$L$7:$L$3006,0)),IFERROR(INDEX('CARNET DE SOUDURE'!$D$7:$D$3006,MATCH(B1102,'CARNET DE SOUDURE'!$O$7:$O$3006,0)),"")))</f>
        <v>20</v>
      </c>
      <c r="M1102" s="82" t="str">
        <f aca="false">IF(B1102="","",IF(OR(J1102&lt;&gt;"",K1102&lt;&gt;""),"POSÉ EN LIGNE",IF(COUNTIF(BARDAGE!$C$1:$C$5000,B1102)&gt;0,"BARDÉ","EN STOCK")))</f>
        <v>POSÉ EN LIGNE</v>
      </c>
      <c r="N1102" s="80"/>
    </row>
    <row r="1103" customFormat="false" ht="15" hidden="false" customHeight="false" outlineLevel="0" collapsed="false">
      <c r="A1103" s="82" t="n">
        <f aca="false">IF(B1103="","",ROW()-6)</f>
        <v>1097</v>
      </c>
      <c r="B1103" s="145" t="n">
        <v>2089040</v>
      </c>
      <c r="C1103" s="146" t="n">
        <v>15421108</v>
      </c>
      <c r="D1103" s="146"/>
      <c r="E1103" s="82" t="str">
        <f aca="false">IF(B1103="","",IF(COUNTIFS('CARNET DE SOUDURE'!$L$7:$L$3006,B1103,'CARNET DE SOUDURE'!$M$7:$M$3006,"&lt;&gt;"&amp;C1103,'CARNET DE SOUDURE'!$M$7:$M$3006,"&lt;&gt;")+COUNTIFS('CARNET DE SOUDURE'!$O$7:$O$3006,B1103,'CARNET DE SOUDURE'!$P$7:$P$3006,"&lt;&gt;"&amp;C1103,'CARNET DE SOUDURE'!$P$7:$P$3006,"&lt;&gt;")&gt;0,"⚠ DIFFÉRENTE","OK"))</f>
        <v>OK</v>
      </c>
      <c r="F1103" s="147" t="n">
        <v>11.94</v>
      </c>
      <c r="G1103" s="80"/>
      <c r="H1103" s="83"/>
      <c r="I1103" s="148" t="str">
        <f aca="false">IF(B1103="","",IFERROR(INDEX('CARNET DE SOUDURE'!$B$7:$B$3006,MATCH(B1103,'CARNET DE SOUDURE'!$L$7:$L$3006,0)),IFERROR(INDEX('CARNET DE SOUDURE'!$B$7:$B$3006,MATCH(B1103,'CARNET DE SOUDURE'!$O$7:$O$3006,0)),"")))</f>
        <v>MFD-ISW → MFD-CPF</v>
      </c>
      <c r="J1103" s="82" t="str">
        <f aca="false">IF(B1103="","",IFERROR(INDEX('CARNET DE SOUDURE'!$E$7:$E$3006,MATCH(B1103,'CARNET DE SOUDURE'!$O$7:$O$3006,0)),""))</f>
        <v>JN°1645</v>
      </c>
      <c r="K1103" s="82" t="str">
        <f aca="false">IF(B1103="","",IFERROR(INDEX('CARNET DE SOUDURE'!$E$7:$E$3006,MATCH(B1103,'CARNET DE SOUDURE'!$L$7:$L$3006,0)),""))</f>
        <v>JN°1646</v>
      </c>
      <c r="L1103" s="82" t="n">
        <f aca="false">IF(B1103="","",IFERROR(INDEX('CARNET DE SOUDURE'!$D$7:$D$3006,MATCH(B1103,'CARNET DE SOUDURE'!$L$7:$L$3006,0)),IFERROR(INDEX('CARNET DE SOUDURE'!$D$7:$D$3006,MATCH(B1103,'CARNET DE SOUDURE'!$O$7:$O$3006,0)),"")))</f>
        <v>20</v>
      </c>
      <c r="M1103" s="82" t="str">
        <f aca="false">IF(B1103="","",IF(OR(J1103&lt;&gt;"",K1103&lt;&gt;""),"POSÉ EN LIGNE",IF(COUNTIF(BARDAGE!$C$1:$C$5000,B1103)&gt;0,"BARDÉ","EN STOCK")))</f>
        <v>POSÉ EN LIGNE</v>
      </c>
      <c r="N1103" s="80"/>
    </row>
    <row r="1104" customFormat="false" ht="15" hidden="false" customHeight="false" outlineLevel="0" collapsed="false">
      <c r="A1104" s="82" t="n">
        <f aca="false">IF(B1104="","",ROW()-6)</f>
        <v>1098</v>
      </c>
      <c r="B1104" s="145" t="n">
        <v>2089790</v>
      </c>
      <c r="C1104" s="146" t="n">
        <v>15421109</v>
      </c>
      <c r="D1104" s="146"/>
      <c r="E1104" s="82" t="str">
        <f aca="false">IF(B1104="","",IF(COUNTIFS('CARNET DE SOUDURE'!$L$7:$L$3006,B1104,'CARNET DE SOUDURE'!$M$7:$M$3006,"&lt;&gt;"&amp;C1104,'CARNET DE SOUDURE'!$M$7:$M$3006,"&lt;&gt;")+COUNTIFS('CARNET DE SOUDURE'!$O$7:$O$3006,B1104,'CARNET DE SOUDURE'!$P$7:$P$3006,"&lt;&gt;"&amp;C1104,'CARNET DE SOUDURE'!$P$7:$P$3006,"&lt;&gt;")&gt;0,"⚠ DIFFÉRENTE","OK"))</f>
        <v>OK</v>
      </c>
      <c r="F1104" s="147" t="n">
        <v>11.94</v>
      </c>
      <c r="G1104" s="80"/>
      <c r="H1104" s="83"/>
      <c r="I1104" s="148" t="str">
        <f aca="false">IF(B1104="","",IFERROR(INDEX('CARNET DE SOUDURE'!$B$7:$B$3006,MATCH(B1104,'CARNET DE SOUDURE'!$L$7:$L$3006,0)),IFERROR(INDEX('CARNET DE SOUDURE'!$B$7:$B$3006,MATCH(B1104,'CARNET DE SOUDURE'!$O$7:$O$3006,0)),"")))</f>
        <v>MFD-ISW → MFD-CPF</v>
      </c>
      <c r="J1104" s="82" t="str">
        <f aca="false">IF(B1104="","",IFERROR(INDEX('CARNET DE SOUDURE'!$E$7:$E$3006,MATCH(B1104,'CARNET DE SOUDURE'!$O$7:$O$3006,0)),""))</f>
        <v>JN°1646</v>
      </c>
      <c r="K1104" s="82" t="str">
        <f aca="false">IF(B1104="","",IFERROR(INDEX('CARNET DE SOUDURE'!$E$7:$E$3006,MATCH(B1104,'CARNET DE SOUDURE'!$L$7:$L$3006,0)),""))</f>
        <v>JN°1647</v>
      </c>
      <c r="L1104" s="82" t="n">
        <f aca="false">IF(B1104="","",IFERROR(INDEX('CARNET DE SOUDURE'!$D$7:$D$3006,MATCH(B1104,'CARNET DE SOUDURE'!$L$7:$L$3006,0)),IFERROR(INDEX('CARNET DE SOUDURE'!$D$7:$D$3006,MATCH(B1104,'CARNET DE SOUDURE'!$O$7:$O$3006,0)),"")))</f>
        <v>20</v>
      </c>
      <c r="M1104" s="82" t="str">
        <f aca="false">IF(B1104="","",IF(OR(J1104&lt;&gt;"",K1104&lt;&gt;""),"POSÉ EN LIGNE",IF(COUNTIF(BARDAGE!$C$1:$C$5000,B1104)&gt;0,"BARDÉ","EN STOCK")))</f>
        <v>POSÉ EN LIGNE</v>
      </c>
      <c r="N1104" s="80"/>
    </row>
    <row r="1105" customFormat="false" ht="15" hidden="false" customHeight="false" outlineLevel="0" collapsed="false">
      <c r="A1105" s="82" t="n">
        <f aca="false">IF(B1105="","",ROW()-6)</f>
        <v>1099</v>
      </c>
      <c r="B1105" s="145" t="n">
        <v>2079690</v>
      </c>
      <c r="C1105" s="146" t="n">
        <v>15421102</v>
      </c>
      <c r="D1105" s="146"/>
      <c r="E1105" s="82" t="str">
        <f aca="false">IF(B1105="","",IF(COUNTIFS('CARNET DE SOUDURE'!$L$7:$L$3006,B1105,'CARNET DE SOUDURE'!$M$7:$M$3006,"&lt;&gt;"&amp;C1105,'CARNET DE SOUDURE'!$M$7:$M$3006,"&lt;&gt;")+COUNTIFS('CARNET DE SOUDURE'!$O$7:$O$3006,B1105,'CARNET DE SOUDURE'!$P$7:$P$3006,"&lt;&gt;"&amp;C1105,'CARNET DE SOUDURE'!$P$7:$P$3006,"&lt;&gt;")&gt;0,"⚠ DIFFÉRENTE","OK"))</f>
        <v>OK</v>
      </c>
      <c r="F1105" s="147" t="n">
        <v>11.94</v>
      </c>
      <c r="G1105" s="80"/>
      <c r="H1105" s="83"/>
      <c r="I1105" s="148" t="str">
        <f aca="false">IF(B1105="","",IFERROR(INDEX('CARNET DE SOUDURE'!$B$7:$B$3006,MATCH(B1105,'CARNET DE SOUDURE'!$L$7:$L$3006,0)),IFERROR(INDEX('CARNET DE SOUDURE'!$B$7:$B$3006,MATCH(B1105,'CARNET DE SOUDURE'!$O$7:$O$3006,0)),"")))</f>
        <v>MFD-ISW → MFD-CPF</v>
      </c>
      <c r="J1105" s="82" t="str">
        <f aca="false">IF(B1105="","",IFERROR(INDEX('CARNET DE SOUDURE'!$E$7:$E$3006,MATCH(B1105,'CARNET DE SOUDURE'!$O$7:$O$3006,0)),""))</f>
        <v>JN°1647</v>
      </c>
      <c r="K1105" s="82" t="str">
        <f aca="false">IF(B1105="","",IFERROR(INDEX('CARNET DE SOUDURE'!$E$7:$E$3006,MATCH(B1105,'CARNET DE SOUDURE'!$L$7:$L$3006,0)),""))</f>
        <v>JN°1648</v>
      </c>
      <c r="L1105" s="82" t="n">
        <f aca="false">IF(B1105="","",IFERROR(INDEX('CARNET DE SOUDURE'!$D$7:$D$3006,MATCH(B1105,'CARNET DE SOUDURE'!$L$7:$L$3006,0)),IFERROR(INDEX('CARNET DE SOUDURE'!$D$7:$D$3006,MATCH(B1105,'CARNET DE SOUDURE'!$O$7:$O$3006,0)),"")))</f>
        <v>20</v>
      </c>
      <c r="M1105" s="82" t="str">
        <f aca="false">IF(B1105="","",IF(OR(J1105&lt;&gt;"",K1105&lt;&gt;""),"POSÉ EN LIGNE",IF(COUNTIF(BARDAGE!$C$1:$C$5000,B1105)&gt;0,"BARDÉ","EN STOCK")))</f>
        <v>POSÉ EN LIGNE</v>
      </c>
      <c r="N1105" s="80"/>
    </row>
    <row r="1106" customFormat="false" ht="15" hidden="false" customHeight="false" outlineLevel="0" collapsed="false">
      <c r="A1106" s="82" t="n">
        <f aca="false">IF(B1106="","",ROW()-6)</f>
        <v>1100</v>
      </c>
      <c r="B1106" s="145" t="n">
        <v>2083640</v>
      </c>
      <c r="C1106" s="146" t="n">
        <v>15421105</v>
      </c>
      <c r="D1106" s="146"/>
      <c r="E1106" s="82" t="str">
        <f aca="false">IF(B1106="","",IF(COUNTIFS('CARNET DE SOUDURE'!$L$7:$L$3006,B1106,'CARNET DE SOUDURE'!$M$7:$M$3006,"&lt;&gt;"&amp;C1106,'CARNET DE SOUDURE'!$M$7:$M$3006,"&lt;&gt;")+COUNTIFS('CARNET DE SOUDURE'!$O$7:$O$3006,B1106,'CARNET DE SOUDURE'!$P$7:$P$3006,"&lt;&gt;"&amp;C1106,'CARNET DE SOUDURE'!$P$7:$P$3006,"&lt;&gt;")&gt;0,"⚠ DIFFÉRENTE","OK"))</f>
        <v>OK</v>
      </c>
      <c r="F1106" s="147" t="n">
        <v>11.94</v>
      </c>
      <c r="G1106" s="80"/>
      <c r="H1106" s="83"/>
      <c r="I1106" s="148" t="str">
        <f aca="false">IF(B1106="","",IFERROR(INDEX('CARNET DE SOUDURE'!$B$7:$B$3006,MATCH(B1106,'CARNET DE SOUDURE'!$L$7:$L$3006,0)),IFERROR(INDEX('CARNET DE SOUDURE'!$B$7:$B$3006,MATCH(B1106,'CARNET DE SOUDURE'!$O$7:$O$3006,0)),"")))</f>
        <v>MFD-ISW → MFD-CPF</v>
      </c>
      <c r="J1106" s="82" t="str">
        <f aca="false">IF(B1106="","",IFERROR(INDEX('CARNET DE SOUDURE'!$E$7:$E$3006,MATCH(B1106,'CARNET DE SOUDURE'!$O$7:$O$3006,0)),""))</f>
        <v>JN°1648</v>
      </c>
      <c r="K1106" s="82" t="str">
        <f aca="false">IF(B1106="","",IFERROR(INDEX('CARNET DE SOUDURE'!$E$7:$E$3006,MATCH(B1106,'CARNET DE SOUDURE'!$L$7:$L$3006,0)),""))</f>
        <v>JN°1649</v>
      </c>
      <c r="L1106" s="82" t="n">
        <f aca="false">IF(B1106="","",IFERROR(INDEX('CARNET DE SOUDURE'!$D$7:$D$3006,MATCH(B1106,'CARNET DE SOUDURE'!$L$7:$L$3006,0)),IFERROR(INDEX('CARNET DE SOUDURE'!$D$7:$D$3006,MATCH(B1106,'CARNET DE SOUDURE'!$O$7:$O$3006,0)),"")))</f>
        <v>20</v>
      </c>
      <c r="M1106" s="82" t="str">
        <f aca="false">IF(B1106="","",IF(OR(J1106&lt;&gt;"",K1106&lt;&gt;""),"POSÉ EN LIGNE",IF(COUNTIF(BARDAGE!$C$1:$C$5000,B1106)&gt;0,"BARDÉ","EN STOCK")))</f>
        <v>POSÉ EN LIGNE</v>
      </c>
      <c r="N1106" s="80"/>
    </row>
    <row r="1107" customFormat="false" ht="15" hidden="false" customHeight="false" outlineLevel="0" collapsed="false">
      <c r="A1107" s="82" t="n">
        <f aca="false">IF(B1107="","",ROW()-6)</f>
        <v>1101</v>
      </c>
      <c r="B1107" s="145" t="n">
        <v>2088380</v>
      </c>
      <c r="C1107" s="146" t="n">
        <v>15421108</v>
      </c>
      <c r="D1107" s="146"/>
      <c r="E1107" s="82" t="str">
        <f aca="false">IF(B1107="","",IF(COUNTIFS('CARNET DE SOUDURE'!$L$7:$L$3006,B1107,'CARNET DE SOUDURE'!$M$7:$M$3006,"&lt;&gt;"&amp;C1107,'CARNET DE SOUDURE'!$M$7:$M$3006,"&lt;&gt;")+COUNTIFS('CARNET DE SOUDURE'!$O$7:$O$3006,B1107,'CARNET DE SOUDURE'!$P$7:$P$3006,"&lt;&gt;"&amp;C1107,'CARNET DE SOUDURE'!$P$7:$P$3006,"&lt;&gt;")&gt;0,"⚠ DIFFÉRENTE","OK"))</f>
        <v>OK</v>
      </c>
      <c r="F1107" s="147" t="n">
        <v>11.94</v>
      </c>
      <c r="G1107" s="80"/>
      <c r="H1107" s="83"/>
      <c r="I1107" s="148" t="str">
        <f aca="false">IF(B1107="","",IFERROR(INDEX('CARNET DE SOUDURE'!$B$7:$B$3006,MATCH(B1107,'CARNET DE SOUDURE'!$L$7:$L$3006,0)),IFERROR(INDEX('CARNET DE SOUDURE'!$B$7:$B$3006,MATCH(B1107,'CARNET DE SOUDURE'!$O$7:$O$3006,0)),"")))</f>
        <v>MFD-ISW → MFD-CPF</v>
      </c>
      <c r="J1107" s="82" t="str">
        <f aca="false">IF(B1107="","",IFERROR(INDEX('CARNET DE SOUDURE'!$E$7:$E$3006,MATCH(B1107,'CARNET DE SOUDURE'!$O$7:$O$3006,0)),""))</f>
        <v>JN°1649</v>
      </c>
      <c r="K1107" s="82" t="str">
        <f aca="false">IF(B1107="","",IFERROR(INDEX('CARNET DE SOUDURE'!$E$7:$E$3006,MATCH(B1107,'CARNET DE SOUDURE'!$L$7:$L$3006,0)),""))</f>
        <v>JN°1650</v>
      </c>
      <c r="L1107" s="82" t="n">
        <f aca="false">IF(B1107="","",IFERROR(INDEX('CARNET DE SOUDURE'!$D$7:$D$3006,MATCH(B1107,'CARNET DE SOUDURE'!$L$7:$L$3006,0)),IFERROR(INDEX('CARNET DE SOUDURE'!$D$7:$D$3006,MATCH(B1107,'CARNET DE SOUDURE'!$O$7:$O$3006,0)),"")))</f>
        <v>20</v>
      </c>
      <c r="M1107" s="82" t="str">
        <f aca="false">IF(B1107="","",IF(OR(J1107&lt;&gt;"",K1107&lt;&gt;""),"POSÉ EN LIGNE",IF(COUNTIF(BARDAGE!$C$1:$C$5000,B1107)&gt;0,"BARDÉ","EN STOCK")))</f>
        <v>POSÉ EN LIGNE</v>
      </c>
      <c r="N1107" s="80"/>
    </row>
    <row r="1108" customFormat="false" ht="15" hidden="false" customHeight="false" outlineLevel="0" collapsed="false">
      <c r="A1108" s="82" t="n">
        <f aca="false">IF(B1108="","",ROW()-6)</f>
        <v>1102</v>
      </c>
      <c r="B1108" s="145" t="n">
        <v>2087910</v>
      </c>
      <c r="C1108" s="146" t="n">
        <v>15421108</v>
      </c>
      <c r="D1108" s="146"/>
      <c r="E1108" s="82" t="str">
        <f aca="false">IF(B1108="","",IF(COUNTIFS('CARNET DE SOUDURE'!$L$7:$L$3006,B1108,'CARNET DE SOUDURE'!$M$7:$M$3006,"&lt;&gt;"&amp;C1108,'CARNET DE SOUDURE'!$M$7:$M$3006,"&lt;&gt;")+COUNTIFS('CARNET DE SOUDURE'!$O$7:$O$3006,B1108,'CARNET DE SOUDURE'!$P$7:$P$3006,"&lt;&gt;"&amp;C1108,'CARNET DE SOUDURE'!$P$7:$P$3006,"&lt;&gt;")&gt;0,"⚠ DIFFÉRENTE","OK"))</f>
        <v>OK</v>
      </c>
      <c r="F1108" s="147" t="n">
        <v>11.94</v>
      </c>
      <c r="G1108" s="80"/>
      <c r="H1108" s="83"/>
      <c r="I1108" s="148" t="str">
        <f aca="false">IF(B1108="","",IFERROR(INDEX('CARNET DE SOUDURE'!$B$7:$B$3006,MATCH(B1108,'CARNET DE SOUDURE'!$L$7:$L$3006,0)),IFERROR(INDEX('CARNET DE SOUDURE'!$B$7:$B$3006,MATCH(B1108,'CARNET DE SOUDURE'!$O$7:$O$3006,0)),"")))</f>
        <v>MFD-ISW → MFD-CPF</v>
      </c>
      <c r="J1108" s="82" t="str">
        <f aca="false">IF(B1108="","",IFERROR(INDEX('CARNET DE SOUDURE'!$E$7:$E$3006,MATCH(B1108,'CARNET DE SOUDURE'!$O$7:$O$3006,0)),""))</f>
        <v>JN°1650</v>
      </c>
      <c r="K1108" s="82" t="str">
        <f aca="false">IF(B1108="","",IFERROR(INDEX('CARNET DE SOUDURE'!$E$7:$E$3006,MATCH(B1108,'CARNET DE SOUDURE'!$L$7:$L$3006,0)),""))</f>
        <v>JN°1651</v>
      </c>
      <c r="L1108" s="82" t="n">
        <f aca="false">IF(B1108="","",IFERROR(INDEX('CARNET DE SOUDURE'!$D$7:$D$3006,MATCH(B1108,'CARNET DE SOUDURE'!$L$7:$L$3006,0)),IFERROR(INDEX('CARNET DE SOUDURE'!$D$7:$D$3006,MATCH(B1108,'CARNET DE SOUDURE'!$O$7:$O$3006,0)),"")))</f>
        <v>20</v>
      </c>
      <c r="M1108" s="82" t="str">
        <f aca="false">IF(B1108="","",IF(OR(J1108&lt;&gt;"",K1108&lt;&gt;""),"POSÉ EN LIGNE",IF(COUNTIF(BARDAGE!$C$1:$C$5000,B1108)&gt;0,"BARDÉ","EN STOCK")))</f>
        <v>POSÉ EN LIGNE</v>
      </c>
      <c r="N1108" s="80"/>
    </row>
    <row r="1109" customFormat="false" ht="15" hidden="false" customHeight="false" outlineLevel="0" collapsed="false">
      <c r="A1109" s="82" t="n">
        <f aca="false">IF(B1109="","",ROW()-6)</f>
        <v>1103</v>
      </c>
      <c r="B1109" s="145" t="n">
        <v>2093700</v>
      </c>
      <c r="C1109" s="146" t="n">
        <v>15421110</v>
      </c>
      <c r="D1109" s="146"/>
      <c r="E1109" s="82" t="str">
        <f aca="false">IF(B1109="","",IF(COUNTIFS('CARNET DE SOUDURE'!$L$7:$L$3006,B1109,'CARNET DE SOUDURE'!$M$7:$M$3006,"&lt;&gt;"&amp;C1109,'CARNET DE SOUDURE'!$M$7:$M$3006,"&lt;&gt;")+COUNTIFS('CARNET DE SOUDURE'!$O$7:$O$3006,B1109,'CARNET DE SOUDURE'!$P$7:$P$3006,"&lt;&gt;"&amp;C1109,'CARNET DE SOUDURE'!$P$7:$P$3006,"&lt;&gt;")&gt;0,"⚠ DIFFÉRENTE","OK"))</f>
        <v>OK</v>
      </c>
      <c r="F1109" s="147" t="n">
        <v>11.94</v>
      </c>
      <c r="G1109" s="80"/>
      <c r="H1109" s="83"/>
      <c r="I1109" s="148" t="str">
        <f aca="false">IF(B1109="","",IFERROR(INDEX('CARNET DE SOUDURE'!$B$7:$B$3006,MATCH(B1109,'CARNET DE SOUDURE'!$L$7:$L$3006,0)),IFERROR(INDEX('CARNET DE SOUDURE'!$B$7:$B$3006,MATCH(B1109,'CARNET DE SOUDURE'!$O$7:$O$3006,0)),"")))</f>
        <v>MFD-ISW → MFD-CPF</v>
      </c>
      <c r="J1109" s="82" t="str">
        <f aca="false">IF(B1109="","",IFERROR(INDEX('CARNET DE SOUDURE'!$E$7:$E$3006,MATCH(B1109,'CARNET DE SOUDURE'!$O$7:$O$3006,0)),""))</f>
        <v>JN°1651</v>
      </c>
      <c r="K1109" s="82" t="str">
        <f aca="false">IF(B1109="","",IFERROR(INDEX('CARNET DE SOUDURE'!$E$7:$E$3006,MATCH(B1109,'CARNET DE SOUDURE'!$L$7:$L$3006,0)),""))</f>
        <v>JN°1652</v>
      </c>
      <c r="L1109" s="82" t="n">
        <f aca="false">IF(B1109="","",IFERROR(INDEX('CARNET DE SOUDURE'!$D$7:$D$3006,MATCH(B1109,'CARNET DE SOUDURE'!$L$7:$L$3006,0)),IFERROR(INDEX('CARNET DE SOUDURE'!$D$7:$D$3006,MATCH(B1109,'CARNET DE SOUDURE'!$O$7:$O$3006,0)),"")))</f>
        <v>20</v>
      </c>
      <c r="M1109" s="82" t="str">
        <f aca="false">IF(B1109="","",IF(OR(J1109&lt;&gt;"",K1109&lt;&gt;""),"POSÉ EN LIGNE",IF(COUNTIF(BARDAGE!$C$1:$C$5000,B1109)&gt;0,"BARDÉ","EN STOCK")))</f>
        <v>POSÉ EN LIGNE</v>
      </c>
      <c r="N1109" s="80"/>
    </row>
    <row r="1110" customFormat="false" ht="15" hidden="false" customHeight="false" outlineLevel="0" collapsed="false">
      <c r="A1110" s="82" t="n">
        <f aca="false">IF(B1110="","",ROW()-6)</f>
        <v>1104</v>
      </c>
      <c r="B1110" s="145" t="n">
        <v>2084120</v>
      </c>
      <c r="C1110" s="146" t="n">
        <v>15421106</v>
      </c>
      <c r="D1110" s="146"/>
      <c r="E1110" s="82" t="str">
        <f aca="false">IF(B1110="","",IF(COUNTIFS('CARNET DE SOUDURE'!$L$7:$L$3006,B1110,'CARNET DE SOUDURE'!$M$7:$M$3006,"&lt;&gt;"&amp;C1110,'CARNET DE SOUDURE'!$M$7:$M$3006,"&lt;&gt;")+COUNTIFS('CARNET DE SOUDURE'!$O$7:$O$3006,B1110,'CARNET DE SOUDURE'!$P$7:$P$3006,"&lt;&gt;"&amp;C1110,'CARNET DE SOUDURE'!$P$7:$P$3006,"&lt;&gt;")&gt;0,"⚠ DIFFÉRENTE","OK"))</f>
        <v>OK</v>
      </c>
      <c r="F1110" s="147" t="n">
        <v>11.94</v>
      </c>
      <c r="G1110" s="80"/>
      <c r="H1110" s="83"/>
      <c r="I1110" s="148" t="str">
        <f aca="false">IF(B1110="","",IFERROR(INDEX('CARNET DE SOUDURE'!$B$7:$B$3006,MATCH(B1110,'CARNET DE SOUDURE'!$L$7:$L$3006,0)),IFERROR(INDEX('CARNET DE SOUDURE'!$B$7:$B$3006,MATCH(B1110,'CARNET DE SOUDURE'!$O$7:$O$3006,0)),"")))</f>
        <v>MFD-ISW → MFD-CPF</v>
      </c>
      <c r="J1110" s="82" t="str">
        <f aca="false">IF(B1110="","",IFERROR(INDEX('CARNET DE SOUDURE'!$E$7:$E$3006,MATCH(B1110,'CARNET DE SOUDURE'!$O$7:$O$3006,0)),""))</f>
        <v>JN°1652</v>
      </c>
      <c r="K1110" s="82" t="str">
        <f aca="false">IF(B1110="","",IFERROR(INDEX('CARNET DE SOUDURE'!$E$7:$E$3006,MATCH(B1110,'CARNET DE SOUDURE'!$L$7:$L$3006,0)),""))</f>
        <v>JN°1653</v>
      </c>
      <c r="L1110" s="82" t="n">
        <f aca="false">IF(B1110="","",IFERROR(INDEX('CARNET DE SOUDURE'!$D$7:$D$3006,MATCH(B1110,'CARNET DE SOUDURE'!$L$7:$L$3006,0)),IFERROR(INDEX('CARNET DE SOUDURE'!$D$7:$D$3006,MATCH(B1110,'CARNET DE SOUDURE'!$O$7:$O$3006,0)),"")))</f>
        <v>20</v>
      </c>
      <c r="M1110" s="82" t="str">
        <f aca="false">IF(B1110="","",IF(OR(J1110&lt;&gt;"",K1110&lt;&gt;""),"POSÉ EN LIGNE",IF(COUNTIF(BARDAGE!$C$1:$C$5000,B1110)&gt;0,"BARDÉ","EN STOCK")))</f>
        <v>POSÉ EN LIGNE</v>
      </c>
      <c r="N1110" s="80"/>
    </row>
    <row r="1111" customFormat="false" ht="15" hidden="false" customHeight="false" outlineLevel="0" collapsed="false">
      <c r="A1111" s="82" t="n">
        <f aca="false">IF(B1111="","",ROW()-6)</f>
        <v>1105</v>
      </c>
      <c r="B1111" s="145" t="n">
        <v>2092920</v>
      </c>
      <c r="C1111" s="146" t="n">
        <v>15421110</v>
      </c>
      <c r="D1111" s="146"/>
      <c r="E1111" s="82" t="str">
        <f aca="false">IF(B1111="","",IF(COUNTIFS('CARNET DE SOUDURE'!$L$7:$L$3006,B1111,'CARNET DE SOUDURE'!$M$7:$M$3006,"&lt;&gt;"&amp;C1111,'CARNET DE SOUDURE'!$M$7:$M$3006,"&lt;&gt;")+COUNTIFS('CARNET DE SOUDURE'!$O$7:$O$3006,B1111,'CARNET DE SOUDURE'!$P$7:$P$3006,"&lt;&gt;"&amp;C1111,'CARNET DE SOUDURE'!$P$7:$P$3006,"&lt;&gt;")&gt;0,"⚠ DIFFÉRENTE","OK"))</f>
        <v>OK</v>
      </c>
      <c r="F1111" s="147" t="n">
        <v>11.94</v>
      </c>
      <c r="G1111" s="80"/>
      <c r="H1111" s="83"/>
      <c r="I1111" s="148" t="str">
        <f aca="false">IF(B1111="","",IFERROR(INDEX('CARNET DE SOUDURE'!$B$7:$B$3006,MATCH(B1111,'CARNET DE SOUDURE'!$L$7:$L$3006,0)),IFERROR(INDEX('CARNET DE SOUDURE'!$B$7:$B$3006,MATCH(B1111,'CARNET DE SOUDURE'!$O$7:$O$3006,0)),"")))</f>
        <v>MFD-ISW → MFD-CPF</v>
      </c>
      <c r="J1111" s="82" t="str">
        <f aca="false">IF(B1111="","",IFERROR(INDEX('CARNET DE SOUDURE'!$E$7:$E$3006,MATCH(B1111,'CARNET DE SOUDURE'!$O$7:$O$3006,0)),""))</f>
        <v>JN°1653</v>
      </c>
      <c r="K1111" s="82" t="str">
        <f aca="false">IF(B1111="","",IFERROR(INDEX('CARNET DE SOUDURE'!$E$7:$E$3006,MATCH(B1111,'CARNET DE SOUDURE'!$L$7:$L$3006,0)),""))</f>
        <v>JN°1654</v>
      </c>
      <c r="L1111" s="82" t="n">
        <f aca="false">IF(B1111="","",IFERROR(INDEX('CARNET DE SOUDURE'!$D$7:$D$3006,MATCH(B1111,'CARNET DE SOUDURE'!$L$7:$L$3006,0)),IFERROR(INDEX('CARNET DE SOUDURE'!$D$7:$D$3006,MATCH(B1111,'CARNET DE SOUDURE'!$O$7:$O$3006,0)),"")))</f>
        <v>20</v>
      </c>
      <c r="M1111" s="82" t="str">
        <f aca="false">IF(B1111="","",IF(OR(J1111&lt;&gt;"",K1111&lt;&gt;""),"POSÉ EN LIGNE",IF(COUNTIF(BARDAGE!$C$1:$C$5000,B1111)&gt;0,"BARDÉ","EN STOCK")))</f>
        <v>POSÉ EN LIGNE</v>
      </c>
      <c r="N1111" s="80"/>
    </row>
    <row r="1112" customFormat="false" ht="15" hidden="false" customHeight="false" outlineLevel="0" collapsed="false">
      <c r="A1112" s="82" t="n">
        <f aca="false">IF(B1112="","",ROW()-6)</f>
        <v>1106</v>
      </c>
      <c r="B1112" s="145" t="n">
        <v>2094900</v>
      </c>
      <c r="C1112" s="146" t="n">
        <v>15421111</v>
      </c>
      <c r="D1112" s="146"/>
      <c r="E1112" s="82" t="str">
        <f aca="false">IF(B1112="","",IF(COUNTIFS('CARNET DE SOUDURE'!$L$7:$L$3006,B1112,'CARNET DE SOUDURE'!$M$7:$M$3006,"&lt;&gt;"&amp;C1112,'CARNET DE SOUDURE'!$M$7:$M$3006,"&lt;&gt;")+COUNTIFS('CARNET DE SOUDURE'!$O$7:$O$3006,B1112,'CARNET DE SOUDURE'!$P$7:$P$3006,"&lt;&gt;"&amp;C1112,'CARNET DE SOUDURE'!$P$7:$P$3006,"&lt;&gt;")&gt;0,"⚠ DIFFÉRENTE","OK"))</f>
        <v>OK</v>
      </c>
      <c r="F1112" s="147" t="n">
        <v>11.94</v>
      </c>
      <c r="G1112" s="80"/>
      <c r="H1112" s="83"/>
      <c r="I1112" s="148" t="str">
        <f aca="false">IF(B1112="","",IFERROR(INDEX('CARNET DE SOUDURE'!$B$7:$B$3006,MATCH(B1112,'CARNET DE SOUDURE'!$L$7:$L$3006,0)),IFERROR(INDEX('CARNET DE SOUDURE'!$B$7:$B$3006,MATCH(B1112,'CARNET DE SOUDURE'!$O$7:$O$3006,0)),"")))</f>
        <v>MFD-ISW → MFD-CPF</v>
      </c>
      <c r="J1112" s="82" t="str">
        <f aca="false">IF(B1112="","",IFERROR(INDEX('CARNET DE SOUDURE'!$E$7:$E$3006,MATCH(B1112,'CARNET DE SOUDURE'!$O$7:$O$3006,0)),""))</f>
        <v>JN°1654</v>
      </c>
      <c r="K1112" s="82" t="str">
        <f aca="false">IF(B1112="","",IFERROR(INDEX('CARNET DE SOUDURE'!$E$7:$E$3006,MATCH(B1112,'CARNET DE SOUDURE'!$L$7:$L$3006,0)),""))</f>
        <v>JN°1655</v>
      </c>
      <c r="L1112" s="82" t="n">
        <f aca="false">IF(B1112="","",IFERROR(INDEX('CARNET DE SOUDURE'!$D$7:$D$3006,MATCH(B1112,'CARNET DE SOUDURE'!$L$7:$L$3006,0)),IFERROR(INDEX('CARNET DE SOUDURE'!$D$7:$D$3006,MATCH(B1112,'CARNET DE SOUDURE'!$O$7:$O$3006,0)),"")))</f>
        <v>20</v>
      </c>
      <c r="M1112" s="82" t="str">
        <f aca="false">IF(B1112="","",IF(OR(J1112&lt;&gt;"",K1112&lt;&gt;""),"POSÉ EN LIGNE",IF(COUNTIF(BARDAGE!$C$1:$C$5000,B1112)&gt;0,"BARDÉ","EN STOCK")))</f>
        <v>POSÉ EN LIGNE</v>
      </c>
      <c r="N1112" s="80"/>
    </row>
    <row r="1113" customFormat="false" ht="15" hidden="false" customHeight="false" outlineLevel="0" collapsed="false">
      <c r="A1113" s="82" t="n">
        <f aca="false">IF(B1113="","",ROW()-6)</f>
        <v>1107</v>
      </c>
      <c r="B1113" s="145" t="n">
        <v>2088600</v>
      </c>
      <c r="C1113" s="146" t="n">
        <v>15421108</v>
      </c>
      <c r="D1113" s="146"/>
      <c r="E1113" s="82" t="str">
        <f aca="false">IF(B1113="","",IF(COUNTIFS('CARNET DE SOUDURE'!$L$7:$L$3006,B1113,'CARNET DE SOUDURE'!$M$7:$M$3006,"&lt;&gt;"&amp;C1113,'CARNET DE SOUDURE'!$M$7:$M$3006,"&lt;&gt;")+COUNTIFS('CARNET DE SOUDURE'!$O$7:$O$3006,B1113,'CARNET DE SOUDURE'!$P$7:$P$3006,"&lt;&gt;"&amp;C1113,'CARNET DE SOUDURE'!$P$7:$P$3006,"&lt;&gt;")&gt;0,"⚠ DIFFÉRENTE","OK"))</f>
        <v>OK</v>
      </c>
      <c r="F1113" s="147" t="n">
        <v>11.94</v>
      </c>
      <c r="G1113" s="80"/>
      <c r="H1113" s="83"/>
      <c r="I1113" s="148" t="str">
        <f aca="false">IF(B1113="","",IFERROR(INDEX('CARNET DE SOUDURE'!$B$7:$B$3006,MATCH(B1113,'CARNET DE SOUDURE'!$L$7:$L$3006,0)),IFERROR(INDEX('CARNET DE SOUDURE'!$B$7:$B$3006,MATCH(B1113,'CARNET DE SOUDURE'!$O$7:$O$3006,0)),"")))</f>
        <v>MFD-ISW → MFD-CPF</v>
      </c>
      <c r="J1113" s="82" t="str">
        <f aca="false">IF(B1113="","",IFERROR(INDEX('CARNET DE SOUDURE'!$E$7:$E$3006,MATCH(B1113,'CARNET DE SOUDURE'!$O$7:$O$3006,0)),""))</f>
        <v>JN°1655</v>
      </c>
      <c r="K1113" s="82" t="str">
        <f aca="false">IF(B1113="","",IFERROR(INDEX('CARNET DE SOUDURE'!$E$7:$E$3006,MATCH(B1113,'CARNET DE SOUDURE'!$L$7:$L$3006,0)),""))</f>
        <v>JN°1656</v>
      </c>
      <c r="L1113" s="82" t="n">
        <f aca="false">IF(B1113="","",IFERROR(INDEX('CARNET DE SOUDURE'!$D$7:$D$3006,MATCH(B1113,'CARNET DE SOUDURE'!$L$7:$L$3006,0)),IFERROR(INDEX('CARNET DE SOUDURE'!$D$7:$D$3006,MATCH(B1113,'CARNET DE SOUDURE'!$O$7:$O$3006,0)),"")))</f>
        <v>20</v>
      </c>
      <c r="M1113" s="82" t="str">
        <f aca="false">IF(B1113="","",IF(OR(J1113&lt;&gt;"",K1113&lt;&gt;""),"POSÉ EN LIGNE",IF(COUNTIF(BARDAGE!$C$1:$C$5000,B1113)&gt;0,"BARDÉ","EN STOCK")))</f>
        <v>POSÉ EN LIGNE</v>
      </c>
      <c r="N1113" s="80"/>
    </row>
    <row r="1114" customFormat="false" ht="15" hidden="false" customHeight="false" outlineLevel="0" collapsed="false">
      <c r="A1114" s="82" t="n">
        <f aca="false">IF(B1114="","",ROW()-6)</f>
        <v>1108</v>
      </c>
      <c r="B1114" s="145" t="n">
        <v>2097020</v>
      </c>
      <c r="C1114" s="146" t="n">
        <v>15421111</v>
      </c>
      <c r="D1114" s="146"/>
      <c r="E1114" s="82" t="str">
        <f aca="false">IF(B1114="","",IF(COUNTIFS('CARNET DE SOUDURE'!$L$7:$L$3006,B1114,'CARNET DE SOUDURE'!$M$7:$M$3006,"&lt;&gt;"&amp;C1114,'CARNET DE SOUDURE'!$M$7:$M$3006,"&lt;&gt;")+COUNTIFS('CARNET DE SOUDURE'!$O$7:$O$3006,B1114,'CARNET DE SOUDURE'!$P$7:$P$3006,"&lt;&gt;"&amp;C1114,'CARNET DE SOUDURE'!$P$7:$P$3006,"&lt;&gt;")&gt;0,"⚠ DIFFÉRENTE","OK"))</f>
        <v>OK</v>
      </c>
      <c r="F1114" s="147" t="n">
        <v>11.94</v>
      </c>
      <c r="G1114" s="80"/>
      <c r="H1114" s="83"/>
      <c r="I1114" s="148" t="str">
        <f aca="false">IF(B1114="","",IFERROR(INDEX('CARNET DE SOUDURE'!$B$7:$B$3006,MATCH(B1114,'CARNET DE SOUDURE'!$L$7:$L$3006,0)),IFERROR(INDEX('CARNET DE SOUDURE'!$B$7:$B$3006,MATCH(B1114,'CARNET DE SOUDURE'!$O$7:$O$3006,0)),"")))</f>
        <v>MFD-ISW → MFD-CPF</v>
      </c>
      <c r="J1114" s="82" t="str">
        <f aca="false">IF(B1114="","",IFERROR(INDEX('CARNET DE SOUDURE'!$E$7:$E$3006,MATCH(B1114,'CARNET DE SOUDURE'!$O$7:$O$3006,0)),""))</f>
        <v>JN°1656</v>
      </c>
      <c r="K1114" s="82" t="str">
        <f aca="false">IF(B1114="","",IFERROR(INDEX('CARNET DE SOUDURE'!$E$7:$E$3006,MATCH(B1114,'CARNET DE SOUDURE'!$L$7:$L$3006,0)),""))</f>
        <v>JN°1657</v>
      </c>
      <c r="L1114" s="82" t="n">
        <f aca="false">IF(B1114="","",IFERROR(INDEX('CARNET DE SOUDURE'!$D$7:$D$3006,MATCH(B1114,'CARNET DE SOUDURE'!$L$7:$L$3006,0)),IFERROR(INDEX('CARNET DE SOUDURE'!$D$7:$D$3006,MATCH(B1114,'CARNET DE SOUDURE'!$O$7:$O$3006,0)),"")))</f>
        <v>20</v>
      </c>
      <c r="M1114" s="82" t="str">
        <f aca="false">IF(B1114="","",IF(OR(J1114&lt;&gt;"",K1114&lt;&gt;""),"POSÉ EN LIGNE",IF(COUNTIF(BARDAGE!$C$1:$C$5000,B1114)&gt;0,"BARDÉ","EN STOCK")))</f>
        <v>POSÉ EN LIGNE</v>
      </c>
      <c r="N1114" s="80"/>
    </row>
    <row r="1115" customFormat="false" ht="15" hidden="false" customHeight="false" outlineLevel="0" collapsed="false">
      <c r="A1115" s="82" t="n">
        <f aca="false">IF(B1115="","",ROW()-6)</f>
        <v>1109</v>
      </c>
      <c r="B1115" s="145" t="n">
        <v>2093710</v>
      </c>
      <c r="C1115" s="146" t="n">
        <v>15421110</v>
      </c>
      <c r="D1115" s="146"/>
      <c r="E1115" s="82" t="str">
        <f aca="false">IF(B1115="","",IF(COUNTIFS('CARNET DE SOUDURE'!$L$7:$L$3006,B1115,'CARNET DE SOUDURE'!$M$7:$M$3006,"&lt;&gt;"&amp;C1115,'CARNET DE SOUDURE'!$M$7:$M$3006,"&lt;&gt;")+COUNTIFS('CARNET DE SOUDURE'!$O$7:$O$3006,B1115,'CARNET DE SOUDURE'!$P$7:$P$3006,"&lt;&gt;"&amp;C1115,'CARNET DE SOUDURE'!$P$7:$P$3006,"&lt;&gt;")&gt;0,"⚠ DIFFÉRENTE","OK"))</f>
        <v>OK</v>
      </c>
      <c r="F1115" s="147" t="n">
        <v>11.94</v>
      </c>
      <c r="G1115" s="80"/>
      <c r="H1115" s="83"/>
      <c r="I1115" s="148" t="str">
        <f aca="false">IF(B1115="","",IFERROR(INDEX('CARNET DE SOUDURE'!$B$7:$B$3006,MATCH(B1115,'CARNET DE SOUDURE'!$L$7:$L$3006,0)),IFERROR(INDEX('CARNET DE SOUDURE'!$B$7:$B$3006,MATCH(B1115,'CARNET DE SOUDURE'!$O$7:$O$3006,0)),"")))</f>
        <v>MFD-ISW → MFD-CPF</v>
      </c>
      <c r="J1115" s="82" t="str">
        <f aca="false">IF(B1115="","",IFERROR(INDEX('CARNET DE SOUDURE'!$E$7:$E$3006,MATCH(B1115,'CARNET DE SOUDURE'!$O$7:$O$3006,0)),""))</f>
        <v>JN°1657</v>
      </c>
      <c r="K1115" s="82" t="str">
        <f aca="false">IF(B1115="","",IFERROR(INDEX('CARNET DE SOUDURE'!$E$7:$E$3006,MATCH(B1115,'CARNET DE SOUDURE'!$L$7:$L$3006,0)),""))</f>
        <v>JN°1658</v>
      </c>
      <c r="L1115" s="82" t="n">
        <f aca="false">IF(B1115="","",IFERROR(INDEX('CARNET DE SOUDURE'!$D$7:$D$3006,MATCH(B1115,'CARNET DE SOUDURE'!$L$7:$L$3006,0)),IFERROR(INDEX('CARNET DE SOUDURE'!$D$7:$D$3006,MATCH(B1115,'CARNET DE SOUDURE'!$O$7:$O$3006,0)),"")))</f>
        <v>20</v>
      </c>
      <c r="M1115" s="82" t="str">
        <f aca="false">IF(B1115="","",IF(OR(J1115&lt;&gt;"",K1115&lt;&gt;""),"POSÉ EN LIGNE",IF(COUNTIF(BARDAGE!$C$1:$C$5000,B1115)&gt;0,"BARDÉ","EN STOCK")))</f>
        <v>POSÉ EN LIGNE</v>
      </c>
      <c r="N1115" s="80"/>
    </row>
    <row r="1116" customFormat="false" ht="15" hidden="false" customHeight="false" outlineLevel="0" collapsed="false">
      <c r="A1116" s="82" t="n">
        <f aca="false">IF(B1116="","",ROW()-6)</f>
        <v>1110</v>
      </c>
      <c r="B1116" s="145" t="n">
        <v>2081420</v>
      </c>
      <c r="C1116" s="146" t="n">
        <v>15421103</v>
      </c>
      <c r="D1116" s="146"/>
      <c r="E1116" s="82" t="str">
        <f aca="false">IF(B1116="","",IF(COUNTIFS('CARNET DE SOUDURE'!$L$7:$L$3006,B1116,'CARNET DE SOUDURE'!$M$7:$M$3006,"&lt;&gt;"&amp;C1116,'CARNET DE SOUDURE'!$M$7:$M$3006,"&lt;&gt;")+COUNTIFS('CARNET DE SOUDURE'!$O$7:$O$3006,B1116,'CARNET DE SOUDURE'!$P$7:$P$3006,"&lt;&gt;"&amp;C1116,'CARNET DE SOUDURE'!$P$7:$P$3006,"&lt;&gt;")&gt;0,"⚠ DIFFÉRENTE","OK"))</f>
        <v>OK</v>
      </c>
      <c r="F1116" s="147" t="n">
        <v>11.94</v>
      </c>
      <c r="G1116" s="80"/>
      <c r="H1116" s="83"/>
      <c r="I1116" s="148" t="str">
        <f aca="false">IF(B1116="","",IFERROR(INDEX('CARNET DE SOUDURE'!$B$7:$B$3006,MATCH(B1116,'CARNET DE SOUDURE'!$L$7:$L$3006,0)),IFERROR(INDEX('CARNET DE SOUDURE'!$B$7:$B$3006,MATCH(B1116,'CARNET DE SOUDURE'!$O$7:$O$3006,0)),"")))</f>
        <v>MFD-ISW → MFD-CPF</v>
      </c>
      <c r="J1116" s="82" t="str">
        <f aca="false">IF(B1116="","",IFERROR(INDEX('CARNET DE SOUDURE'!$E$7:$E$3006,MATCH(B1116,'CARNET DE SOUDURE'!$O$7:$O$3006,0)),""))</f>
        <v>JN°1658</v>
      </c>
      <c r="K1116" s="82" t="str">
        <f aca="false">IF(B1116="","",IFERROR(INDEX('CARNET DE SOUDURE'!$E$7:$E$3006,MATCH(B1116,'CARNET DE SOUDURE'!$L$7:$L$3006,0)),""))</f>
        <v>JN°1659</v>
      </c>
      <c r="L1116" s="82" t="n">
        <f aca="false">IF(B1116="","",IFERROR(INDEX('CARNET DE SOUDURE'!$D$7:$D$3006,MATCH(B1116,'CARNET DE SOUDURE'!$L$7:$L$3006,0)),IFERROR(INDEX('CARNET DE SOUDURE'!$D$7:$D$3006,MATCH(B1116,'CARNET DE SOUDURE'!$O$7:$O$3006,0)),"")))</f>
        <v>20</v>
      </c>
      <c r="M1116" s="82" t="str">
        <f aca="false">IF(B1116="","",IF(OR(J1116&lt;&gt;"",K1116&lt;&gt;""),"POSÉ EN LIGNE",IF(COUNTIF(BARDAGE!$C$1:$C$5000,B1116)&gt;0,"BARDÉ","EN STOCK")))</f>
        <v>POSÉ EN LIGNE</v>
      </c>
      <c r="N1116" s="80"/>
    </row>
    <row r="1117" customFormat="false" ht="15" hidden="false" customHeight="false" outlineLevel="0" collapsed="false">
      <c r="A1117" s="82" t="n">
        <f aca="false">IF(B1117="","",ROW()-6)</f>
        <v>1111</v>
      </c>
      <c r="B1117" s="145" t="n">
        <v>2093380</v>
      </c>
      <c r="C1117" s="146" t="n">
        <v>15421110</v>
      </c>
      <c r="D1117" s="146"/>
      <c r="E1117" s="82" t="str">
        <f aca="false">IF(B1117="","",IF(COUNTIFS('CARNET DE SOUDURE'!$L$7:$L$3006,B1117,'CARNET DE SOUDURE'!$M$7:$M$3006,"&lt;&gt;"&amp;C1117,'CARNET DE SOUDURE'!$M$7:$M$3006,"&lt;&gt;")+COUNTIFS('CARNET DE SOUDURE'!$O$7:$O$3006,B1117,'CARNET DE SOUDURE'!$P$7:$P$3006,"&lt;&gt;"&amp;C1117,'CARNET DE SOUDURE'!$P$7:$P$3006,"&lt;&gt;")&gt;0,"⚠ DIFFÉRENTE","OK"))</f>
        <v>OK</v>
      </c>
      <c r="F1117" s="147" t="n">
        <v>11.94</v>
      </c>
      <c r="G1117" s="80"/>
      <c r="H1117" s="83"/>
      <c r="I1117" s="148" t="str">
        <f aca="false">IF(B1117="","",IFERROR(INDEX('CARNET DE SOUDURE'!$B$7:$B$3006,MATCH(B1117,'CARNET DE SOUDURE'!$L$7:$L$3006,0)),IFERROR(INDEX('CARNET DE SOUDURE'!$B$7:$B$3006,MATCH(B1117,'CARNET DE SOUDURE'!$O$7:$O$3006,0)),"")))</f>
        <v>MFD-ISW → MFD-CPF</v>
      </c>
      <c r="J1117" s="82" t="str">
        <f aca="false">IF(B1117="","",IFERROR(INDEX('CARNET DE SOUDURE'!$E$7:$E$3006,MATCH(B1117,'CARNET DE SOUDURE'!$O$7:$O$3006,0)),""))</f>
        <v>JN°1659</v>
      </c>
      <c r="K1117" s="82" t="str">
        <f aca="false">IF(B1117="","",IFERROR(INDEX('CARNET DE SOUDURE'!$E$7:$E$3006,MATCH(B1117,'CARNET DE SOUDURE'!$L$7:$L$3006,0)),""))</f>
        <v>JN°1660</v>
      </c>
      <c r="L1117" s="82" t="n">
        <f aca="false">IF(B1117="","",IFERROR(INDEX('CARNET DE SOUDURE'!$D$7:$D$3006,MATCH(B1117,'CARNET DE SOUDURE'!$L$7:$L$3006,0)),IFERROR(INDEX('CARNET DE SOUDURE'!$D$7:$D$3006,MATCH(B1117,'CARNET DE SOUDURE'!$O$7:$O$3006,0)),"")))</f>
        <v>20</v>
      </c>
      <c r="M1117" s="82" t="str">
        <f aca="false">IF(B1117="","",IF(OR(J1117&lt;&gt;"",K1117&lt;&gt;""),"POSÉ EN LIGNE",IF(COUNTIF(BARDAGE!$C$1:$C$5000,B1117)&gt;0,"BARDÉ","EN STOCK")))</f>
        <v>POSÉ EN LIGNE</v>
      </c>
      <c r="N1117" s="80"/>
    </row>
    <row r="1118" customFormat="false" ht="15" hidden="false" customHeight="false" outlineLevel="0" collapsed="false">
      <c r="A1118" s="82" t="n">
        <f aca="false">IF(B1118="","",ROW()-6)</f>
        <v>1112</v>
      </c>
      <c r="B1118" s="145" t="n">
        <v>2096080</v>
      </c>
      <c r="C1118" s="146" t="n">
        <v>156421111</v>
      </c>
      <c r="D1118" s="146"/>
      <c r="E1118" s="82" t="str">
        <f aca="false">IF(B1118="","",IF(COUNTIFS('CARNET DE SOUDURE'!$L$7:$L$3006,B1118,'CARNET DE SOUDURE'!$M$7:$M$3006,"&lt;&gt;"&amp;C1118,'CARNET DE SOUDURE'!$M$7:$M$3006,"&lt;&gt;")+COUNTIFS('CARNET DE SOUDURE'!$O$7:$O$3006,B1118,'CARNET DE SOUDURE'!$P$7:$P$3006,"&lt;&gt;"&amp;C1118,'CARNET DE SOUDURE'!$P$7:$P$3006,"&lt;&gt;")&gt;0,"⚠ DIFFÉRENTE","OK"))</f>
        <v>OK</v>
      </c>
      <c r="F1118" s="147" t="n">
        <v>11.94</v>
      </c>
      <c r="G1118" s="80"/>
      <c r="H1118" s="83"/>
      <c r="I1118" s="148" t="str">
        <f aca="false">IF(B1118="","",IFERROR(INDEX('CARNET DE SOUDURE'!$B$7:$B$3006,MATCH(B1118,'CARNET DE SOUDURE'!$L$7:$L$3006,0)),IFERROR(INDEX('CARNET DE SOUDURE'!$B$7:$B$3006,MATCH(B1118,'CARNET DE SOUDURE'!$O$7:$O$3006,0)),"")))</f>
        <v>MFD-ISW → MFD-CPF</v>
      </c>
      <c r="J1118" s="82" t="str">
        <f aca="false">IF(B1118="","",IFERROR(INDEX('CARNET DE SOUDURE'!$E$7:$E$3006,MATCH(B1118,'CARNET DE SOUDURE'!$O$7:$O$3006,0)),""))</f>
        <v>JN°1660</v>
      </c>
      <c r="K1118" s="82" t="str">
        <f aca="false">IF(B1118="","",IFERROR(INDEX('CARNET DE SOUDURE'!$E$7:$E$3006,MATCH(B1118,'CARNET DE SOUDURE'!$L$7:$L$3006,0)),""))</f>
        <v>JN°1661</v>
      </c>
      <c r="L1118" s="82" t="n">
        <f aca="false">IF(B1118="","",IFERROR(INDEX('CARNET DE SOUDURE'!$D$7:$D$3006,MATCH(B1118,'CARNET DE SOUDURE'!$L$7:$L$3006,0)),IFERROR(INDEX('CARNET DE SOUDURE'!$D$7:$D$3006,MATCH(B1118,'CARNET DE SOUDURE'!$O$7:$O$3006,0)),"")))</f>
        <v>20</v>
      </c>
      <c r="M1118" s="82" t="str">
        <f aca="false">IF(B1118="","",IF(OR(J1118&lt;&gt;"",K1118&lt;&gt;""),"POSÉ EN LIGNE",IF(COUNTIF(BARDAGE!$C$1:$C$5000,B1118)&gt;0,"BARDÉ","EN STOCK")))</f>
        <v>POSÉ EN LIGNE</v>
      </c>
      <c r="N1118" s="80"/>
    </row>
    <row r="1119" customFormat="false" ht="15" hidden="false" customHeight="false" outlineLevel="0" collapsed="false">
      <c r="A1119" s="82" t="n">
        <f aca="false">IF(B1119="","",ROW()-6)</f>
        <v>1113</v>
      </c>
      <c r="B1119" s="145" t="n">
        <v>2097180</v>
      </c>
      <c r="C1119" s="146" t="n">
        <v>15421112</v>
      </c>
      <c r="D1119" s="146"/>
      <c r="E1119" s="82" t="str">
        <f aca="false">IF(B1119="","",IF(COUNTIFS('CARNET DE SOUDURE'!$L$7:$L$3006,B1119,'CARNET DE SOUDURE'!$M$7:$M$3006,"&lt;&gt;"&amp;C1119,'CARNET DE SOUDURE'!$M$7:$M$3006,"&lt;&gt;")+COUNTIFS('CARNET DE SOUDURE'!$O$7:$O$3006,B1119,'CARNET DE SOUDURE'!$P$7:$P$3006,"&lt;&gt;"&amp;C1119,'CARNET DE SOUDURE'!$P$7:$P$3006,"&lt;&gt;")&gt;0,"⚠ DIFFÉRENTE","OK"))</f>
        <v>OK</v>
      </c>
      <c r="F1119" s="147" t="n">
        <v>11.94</v>
      </c>
      <c r="G1119" s="80"/>
      <c r="H1119" s="83"/>
      <c r="I1119" s="148" t="str">
        <f aca="false">IF(B1119="","",IFERROR(INDEX('CARNET DE SOUDURE'!$B$7:$B$3006,MATCH(B1119,'CARNET DE SOUDURE'!$L$7:$L$3006,0)),IFERROR(INDEX('CARNET DE SOUDURE'!$B$7:$B$3006,MATCH(B1119,'CARNET DE SOUDURE'!$O$7:$O$3006,0)),"")))</f>
        <v>MFD-ISW → MFD-CPF</v>
      </c>
      <c r="J1119" s="82" t="str">
        <f aca="false">IF(B1119="","",IFERROR(INDEX('CARNET DE SOUDURE'!$E$7:$E$3006,MATCH(B1119,'CARNET DE SOUDURE'!$O$7:$O$3006,0)),""))</f>
        <v>JN°1661</v>
      </c>
      <c r="K1119" s="82" t="str">
        <f aca="false">IF(B1119="","",IFERROR(INDEX('CARNET DE SOUDURE'!$E$7:$E$3006,MATCH(B1119,'CARNET DE SOUDURE'!$L$7:$L$3006,0)),""))</f>
        <v>JN°1662</v>
      </c>
      <c r="L1119" s="82" t="n">
        <f aca="false">IF(B1119="","",IFERROR(INDEX('CARNET DE SOUDURE'!$D$7:$D$3006,MATCH(B1119,'CARNET DE SOUDURE'!$L$7:$L$3006,0)),IFERROR(INDEX('CARNET DE SOUDURE'!$D$7:$D$3006,MATCH(B1119,'CARNET DE SOUDURE'!$O$7:$O$3006,0)),"")))</f>
        <v>20</v>
      </c>
      <c r="M1119" s="82" t="str">
        <f aca="false">IF(B1119="","",IF(OR(J1119&lt;&gt;"",K1119&lt;&gt;""),"POSÉ EN LIGNE",IF(COUNTIF(BARDAGE!$C$1:$C$5000,B1119)&gt;0,"BARDÉ","EN STOCK")))</f>
        <v>POSÉ EN LIGNE</v>
      </c>
      <c r="N1119" s="80"/>
    </row>
    <row r="1120" customFormat="false" ht="15" hidden="false" customHeight="false" outlineLevel="0" collapsed="false">
      <c r="A1120" s="82" t="n">
        <f aca="false">IF(B1120="","",ROW()-6)</f>
        <v>1114</v>
      </c>
      <c r="B1120" s="145" t="n">
        <v>2098140</v>
      </c>
      <c r="C1120" s="146" t="n">
        <v>15421112</v>
      </c>
      <c r="D1120" s="146"/>
      <c r="E1120" s="82" t="str">
        <f aca="false">IF(B1120="","",IF(COUNTIFS('CARNET DE SOUDURE'!$L$7:$L$3006,B1120,'CARNET DE SOUDURE'!$M$7:$M$3006,"&lt;&gt;"&amp;C1120,'CARNET DE SOUDURE'!$M$7:$M$3006,"&lt;&gt;")+COUNTIFS('CARNET DE SOUDURE'!$O$7:$O$3006,B1120,'CARNET DE SOUDURE'!$P$7:$P$3006,"&lt;&gt;"&amp;C1120,'CARNET DE SOUDURE'!$P$7:$P$3006,"&lt;&gt;")&gt;0,"⚠ DIFFÉRENTE","OK"))</f>
        <v>OK</v>
      </c>
      <c r="F1120" s="147" t="n">
        <v>11.94</v>
      </c>
      <c r="G1120" s="80"/>
      <c r="H1120" s="83"/>
      <c r="I1120" s="148" t="str">
        <f aca="false">IF(B1120="","",IFERROR(INDEX('CARNET DE SOUDURE'!$B$7:$B$3006,MATCH(B1120,'CARNET DE SOUDURE'!$L$7:$L$3006,0)),IFERROR(INDEX('CARNET DE SOUDURE'!$B$7:$B$3006,MATCH(B1120,'CARNET DE SOUDURE'!$O$7:$O$3006,0)),"")))</f>
        <v>MFD-ISW → MFD-CPF</v>
      </c>
      <c r="J1120" s="82" t="str">
        <f aca="false">IF(B1120="","",IFERROR(INDEX('CARNET DE SOUDURE'!$E$7:$E$3006,MATCH(B1120,'CARNET DE SOUDURE'!$O$7:$O$3006,0)),""))</f>
        <v>JN°1662</v>
      </c>
      <c r="K1120" s="82" t="str">
        <f aca="false">IF(B1120="","",IFERROR(INDEX('CARNET DE SOUDURE'!$E$7:$E$3006,MATCH(B1120,'CARNET DE SOUDURE'!$L$7:$L$3006,0)),""))</f>
        <v>JN°1663</v>
      </c>
      <c r="L1120" s="82" t="n">
        <f aca="false">IF(B1120="","",IFERROR(INDEX('CARNET DE SOUDURE'!$D$7:$D$3006,MATCH(B1120,'CARNET DE SOUDURE'!$L$7:$L$3006,0)),IFERROR(INDEX('CARNET DE SOUDURE'!$D$7:$D$3006,MATCH(B1120,'CARNET DE SOUDURE'!$O$7:$O$3006,0)),"")))</f>
        <v>20</v>
      </c>
      <c r="M1120" s="82" t="str">
        <f aca="false">IF(B1120="","",IF(OR(J1120&lt;&gt;"",K1120&lt;&gt;""),"POSÉ EN LIGNE",IF(COUNTIF(BARDAGE!$C$1:$C$5000,B1120)&gt;0,"BARDÉ","EN STOCK")))</f>
        <v>POSÉ EN LIGNE</v>
      </c>
      <c r="N1120" s="80"/>
    </row>
    <row r="1121" customFormat="false" ht="15" hidden="false" customHeight="false" outlineLevel="0" collapsed="false">
      <c r="A1121" s="82" t="n">
        <f aca="false">IF(B1121="","",ROW()-6)</f>
        <v>1115</v>
      </c>
      <c r="B1121" s="145" t="n">
        <v>208010</v>
      </c>
      <c r="C1121" s="146" t="n">
        <v>15421103</v>
      </c>
      <c r="D1121" s="146"/>
      <c r="E1121" s="82" t="str">
        <f aca="false">IF(B1121="","",IF(COUNTIFS('CARNET DE SOUDURE'!$L$7:$L$3006,B1121,'CARNET DE SOUDURE'!$M$7:$M$3006,"&lt;&gt;"&amp;C1121,'CARNET DE SOUDURE'!$M$7:$M$3006,"&lt;&gt;")+COUNTIFS('CARNET DE SOUDURE'!$O$7:$O$3006,B1121,'CARNET DE SOUDURE'!$P$7:$P$3006,"&lt;&gt;"&amp;C1121,'CARNET DE SOUDURE'!$P$7:$P$3006,"&lt;&gt;")&gt;0,"⚠ DIFFÉRENTE","OK"))</f>
        <v>OK</v>
      </c>
      <c r="F1121" s="147" t="n">
        <v>11.94</v>
      </c>
      <c r="G1121" s="80"/>
      <c r="H1121" s="83"/>
      <c r="I1121" s="148" t="str">
        <f aca="false">IF(B1121="","",IFERROR(INDEX('CARNET DE SOUDURE'!$B$7:$B$3006,MATCH(B1121,'CARNET DE SOUDURE'!$L$7:$L$3006,0)),IFERROR(INDEX('CARNET DE SOUDURE'!$B$7:$B$3006,MATCH(B1121,'CARNET DE SOUDURE'!$O$7:$O$3006,0)),"")))</f>
        <v>MFD-ISW → MFD-CPF</v>
      </c>
      <c r="J1121" s="82" t="str">
        <f aca="false">IF(B1121="","",IFERROR(INDEX('CARNET DE SOUDURE'!$E$7:$E$3006,MATCH(B1121,'CARNET DE SOUDURE'!$O$7:$O$3006,0)),""))</f>
        <v>JN°1663</v>
      </c>
      <c r="K1121" s="82" t="str">
        <f aca="false">IF(B1121="","",IFERROR(INDEX('CARNET DE SOUDURE'!$E$7:$E$3006,MATCH(B1121,'CARNET DE SOUDURE'!$L$7:$L$3006,0)),""))</f>
        <v>JN°1664</v>
      </c>
      <c r="L1121" s="82" t="n">
        <f aca="false">IF(B1121="","",IFERROR(INDEX('CARNET DE SOUDURE'!$D$7:$D$3006,MATCH(B1121,'CARNET DE SOUDURE'!$L$7:$L$3006,0)),IFERROR(INDEX('CARNET DE SOUDURE'!$D$7:$D$3006,MATCH(B1121,'CARNET DE SOUDURE'!$O$7:$O$3006,0)),"")))</f>
        <v>20</v>
      </c>
      <c r="M1121" s="82" t="str">
        <f aca="false">IF(B1121="","",IF(OR(J1121&lt;&gt;"",K1121&lt;&gt;""),"POSÉ EN LIGNE",IF(COUNTIF(BARDAGE!$C$1:$C$5000,B1121)&gt;0,"BARDÉ","EN STOCK")))</f>
        <v>POSÉ EN LIGNE</v>
      </c>
      <c r="N1121" s="80"/>
    </row>
    <row r="1122" customFormat="false" ht="15" hidden="false" customHeight="false" outlineLevel="0" collapsed="false">
      <c r="A1122" s="82" t="n">
        <f aca="false">IF(B1122="","",ROW()-6)</f>
        <v>1116</v>
      </c>
      <c r="B1122" s="145" t="n">
        <v>2088570</v>
      </c>
      <c r="C1122" s="146" t="n">
        <v>15421108</v>
      </c>
      <c r="D1122" s="146"/>
      <c r="E1122" s="82" t="str">
        <f aca="false">IF(B1122="","",IF(COUNTIFS('CARNET DE SOUDURE'!$L$7:$L$3006,B1122,'CARNET DE SOUDURE'!$M$7:$M$3006,"&lt;&gt;"&amp;C1122,'CARNET DE SOUDURE'!$M$7:$M$3006,"&lt;&gt;")+COUNTIFS('CARNET DE SOUDURE'!$O$7:$O$3006,B1122,'CARNET DE SOUDURE'!$P$7:$P$3006,"&lt;&gt;"&amp;C1122,'CARNET DE SOUDURE'!$P$7:$P$3006,"&lt;&gt;")&gt;0,"⚠ DIFFÉRENTE","OK"))</f>
        <v>OK</v>
      </c>
      <c r="F1122" s="147" t="n">
        <v>11.94</v>
      </c>
      <c r="G1122" s="80"/>
      <c r="H1122" s="83"/>
      <c r="I1122" s="148" t="str">
        <f aca="false">IF(B1122="","",IFERROR(INDEX('CARNET DE SOUDURE'!$B$7:$B$3006,MATCH(B1122,'CARNET DE SOUDURE'!$L$7:$L$3006,0)),IFERROR(INDEX('CARNET DE SOUDURE'!$B$7:$B$3006,MATCH(B1122,'CARNET DE SOUDURE'!$O$7:$O$3006,0)),"")))</f>
        <v>MFD-ISW → MFD-CPF</v>
      </c>
      <c r="J1122" s="82" t="str">
        <f aca="false">IF(B1122="","",IFERROR(INDEX('CARNET DE SOUDURE'!$E$7:$E$3006,MATCH(B1122,'CARNET DE SOUDURE'!$O$7:$O$3006,0)),""))</f>
        <v>JN°1664</v>
      </c>
      <c r="K1122" s="82" t="str">
        <f aca="false">IF(B1122="","",IFERROR(INDEX('CARNET DE SOUDURE'!$E$7:$E$3006,MATCH(B1122,'CARNET DE SOUDURE'!$L$7:$L$3006,0)),""))</f>
        <v>JN°1665</v>
      </c>
      <c r="L1122" s="82" t="n">
        <f aca="false">IF(B1122="","",IFERROR(INDEX('CARNET DE SOUDURE'!$D$7:$D$3006,MATCH(B1122,'CARNET DE SOUDURE'!$L$7:$L$3006,0)),IFERROR(INDEX('CARNET DE SOUDURE'!$D$7:$D$3006,MATCH(B1122,'CARNET DE SOUDURE'!$O$7:$O$3006,0)),"")))</f>
        <v>20</v>
      </c>
      <c r="M1122" s="82" t="str">
        <f aca="false">IF(B1122="","",IF(OR(J1122&lt;&gt;"",K1122&lt;&gt;""),"POSÉ EN LIGNE",IF(COUNTIF(BARDAGE!$C$1:$C$5000,B1122)&gt;0,"BARDÉ","EN STOCK")))</f>
        <v>POSÉ EN LIGNE</v>
      </c>
      <c r="N1122" s="80"/>
    </row>
    <row r="1123" customFormat="false" ht="15" hidden="false" customHeight="false" outlineLevel="0" collapsed="false">
      <c r="A1123" s="82" t="n">
        <f aca="false">IF(B1123="","",ROW()-6)</f>
        <v>1117</v>
      </c>
      <c r="B1123" s="145" t="n">
        <v>2098460</v>
      </c>
      <c r="C1123" s="146" t="n">
        <v>15421112</v>
      </c>
      <c r="D1123" s="146"/>
      <c r="E1123" s="82" t="str">
        <f aca="false">IF(B1123="","",IF(COUNTIFS('CARNET DE SOUDURE'!$L$7:$L$3006,B1123,'CARNET DE SOUDURE'!$M$7:$M$3006,"&lt;&gt;"&amp;C1123,'CARNET DE SOUDURE'!$M$7:$M$3006,"&lt;&gt;")+COUNTIFS('CARNET DE SOUDURE'!$O$7:$O$3006,B1123,'CARNET DE SOUDURE'!$P$7:$P$3006,"&lt;&gt;"&amp;C1123,'CARNET DE SOUDURE'!$P$7:$P$3006,"&lt;&gt;")&gt;0,"⚠ DIFFÉRENTE","OK"))</f>
        <v>OK</v>
      </c>
      <c r="F1123" s="147" t="n">
        <v>11.94</v>
      </c>
      <c r="G1123" s="80"/>
      <c r="H1123" s="83"/>
      <c r="I1123" s="148" t="str">
        <f aca="false">IF(B1123="","",IFERROR(INDEX('CARNET DE SOUDURE'!$B$7:$B$3006,MATCH(B1123,'CARNET DE SOUDURE'!$L$7:$L$3006,0)),IFERROR(INDEX('CARNET DE SOUDURE'!$B$7:$B$3006,MATCH(B1123,'CARNET DE SOUDURE'!$O$7:$O$3006,0)),"")))</f>
        <v>MFD-ISW → MFD-CPF</v>
      </c>
      <c r="J1123" s="82" t="str">
        <f aca="false">IF(B1123="","",IFERROR(INDEX('CARNET DE SOUDURE'!$E$7:$E$3006,MATCH(B1123,'CARNET DE SOUDURE'!$O$7:$O$3006,0)),""))</f>
        <v>JN°1665</v>
      </c>
      <c r="K1123" s="82" t="str">
        <f aca="false">IF(B1123="","",IFERROR(INDEX('CARNET DE SOUDURE'!$E$7:$E$3006,MATCH(B1123,'CARNET DE SOUDURE'!$L$7:$L$3006,0)),""))</f>
        <v>JN°1666</v>
      </c>
      <c r="L1123" s="82" t="n">
        <f aca="false">IF(B1123="","",IFERROR(INDEX('CARNET DE SOUDURE'!$D$7:$D$3006,MATCH(B1123,'CARNET DE SOUDURE'!$L$7:$L$3006,0)),IFERROR(INDEX('CARNET DE SOUDURE'!$D$7:$D$3006,MATCH(B1123,'CARNET DE SOUDURE'!$O$7:$O$3006,0)),"")))</f>
        <v>20</v>
      </c>
      <c r="M1123" s="82" t="str">
        <f aca="false">IF(B1123="","",IF(OR(J1123&lt;&gt;"",K1123&lt;&gt;""),"POSÉ EN LIGNE",IF(COUNTIF(BARDAGE!$C$1:$C$5000,B1123)&gt;0,"BARDÉ","EN STOCK")))</f>
        <v>POSÉ EN LIGNE</v>
      </c>
      <c r="N1123" s="80"/>
    </row>
    <row r="1124" customFormat="false" ht="15" hidden="false" customHeight="false" outlineLevel="0" collapsed="false">
      <c r="A1124" s="82" t="n">
        <f aca="false">IF(B1124="","",ROW()-6)</f>
        <v>1118</v>
      </c>
      <c r="B1124" s="145" t="n">
        <v>2094870</v>
      </c>
      <c r="C1124" s="146" t="n">
        <v>15421111</v>
      </c>
      <c r="D1124" s="146"/>
      <c r="E1124" s="82" t="str">
        <f aca="false">IF(B1124="","",IF(COUNTIFS('CARNET DE SOUDURE'!$L$7:$L$3006,B1124,'CARNET DE SOUDURE'!$M$7:$M$3006,"&lt;&gt;"&amp;C1124,'CARNET DE SOUDURE'!$M$7:$M$3006,"&lt;&gt;")+COUNTIFS('CARNET DE SOUDURE'!$O$7:$O$3006,B1124,'CARNET DE SOUDURE'!$P$7:$P$3006,"&lt;&gt;"&amp;C1124,'CARNET DE SOUDURE'!$P$7:$P$3006,"&lt;&gt;")&gt;0,"⚠ DIFFÉRENTE","OK"))</f>
        <v>OK</v>
      </c>
      <c r="F1124" s="147" t="n">
        <v>11.94</v>
      </c>
      <c r="G1124" s="80"/>
      <c r="H1124" s="83"/>
      <c r="I1124" s="148" t="str">
        <f aca="false">IF(B1124="","",IFERROR(INDEX('CARNET DE SOUDURE'!$B$7:$B$3006,MATCH(B1124,'CARNET DE SOUDURE'!$L$7:$L$3006,0)),IFERROR(INDEX('CARNET DE SOUDURE'!$B$7:$B$3006,MATCH(B1124,'CARNET DE SOUDURE'!$O$7:$O$3006,0)),"")))</f>
        <v>MFD-ISW → MFD-CPF</v>
      </c>
      <c r="J1124" s="82" t="str">
        <f aca="false">IF(B1124="","",IFERROR(INDEX('CARNET DE SOUDURE'!$E$7:$E$3006,MATCH(B1124,'CARNET DE SOUDURE'!$O$7:$O$3006,0)),""))</f>
        <v>JN°1666</v>
      </c>
      <c r="K1124" s="82" t="str">
        <f aca="false">IF(B1124="","",IFERROR(INDEX('CARNET DE SOUDURE'!$E$7:$E$3006,MATCH(B1124,'CARNET DE SOUDURE'!$L$7:$L$3006,0)),""))</f>
        <v>JN°1667</v>
      </c>
      <c r="L1124" s="82" t="n">
        <f aca="false">IF(B1124="","",IFERROR(INDEX('CARNET DE SOUDURE'!$D$7:$D$3006,MATCH(B1124,'CARNET DE SOUDURE'!$L$7:$L$3006,0)),IFERROR(INDEX('CARNET DE SOUDURE'!$D$7:$D$3006,MATCH(B1124,'CARNET DE SOUDURE'!$O$7:$O$3006,0)),"")))</f>
        <v>20</v>
      </c>
      <c r="M1124" s="82" t="str">
        <f aca="false">IF(B1124="","",IF(OR(J1124&lt;&gt;"",K1124&lt;&gt;""),"POSÉ EN LIGNE",IF(COUNTIF(BARDAGE!$C$1:$C$5000,B1124)&gt;0,"BARDÉ","EN STOCK")))</f>
        <v>POSÉ EN LIGNE</v>
      </c>
      <c r="N1124" s="80"/>
    </row>
    <row r="1125" customFormat="false" ht="15" hidden="false" customHeight="false" outlineLevel="0" collapsed="false">
      <c r="A1125" s="82" t="n">
        <f aca="false">IF(B1125="","",ROW()-6)</f>
        <v>1119</v>
      </c>
      <c r="B1125" s="145" t="n">
        <v>2079450</v>
      </c>
      <c r="C1125" s="146" t="n">
        <v>15421102</v>
      </c>
      <c r="D1125" s="146"/>
      <c r="E1125" s="82" t="str">
        <f aca="false">IF(B1125="","",IF(COUNTIFS('CARNET DE SOUDURE'!$L$7:$L$3006,B1125,'CARNET DE SOUDURE'!$M$7:$M$3006,"&lt;&gt;"&amp;C1125,'CARNET DE SOUDURE'!$M$7:$M$3006,"&lt;&gt;")+COUNTIFS('CARNET DE SOUDURE'!$O$7:$O$3006,B1125,'CARNET DE SOUDURE'!$P$7:$P$3006,"&lt;&gt;"&amp;C1125,'CARNET DE SOUDURE'!$P$7:$P$3006,"&lt;&gt;")&gt;0,"⚠ DIFFÉRENTE","OK"))</f>
        <v>OK</v>
      </c>
      <c r="F1125" s="147" t="n">
        <v>11.94</v>
      </c>
      <c r="G1125" s="80"/>
      <c r="H1125" s="83"/>
      <c r="I1125" s="148" t="str">
        <f aca="false">IF(B1125="","",IFERROR(INDEX('CARNET DE SOUDURE'!$B$7:$B$3006,MATCH(B1125,'CARNET DE SOUDURE'!$L$7:$L$3006,0)),IFERROR(INDEX('CARNET DE SOUDURE'!$B$7:$B$3006,MATCH(B1125,'CARNET DE SOUDURE'!$O$7:$O$3006,0)),"")))</f>
        <v>MFD-ISW → MFD-CPF</v>
      </c>
      <c r="J1125" s="82" t="str">
        <f aca="false">IF(B1125="","",IFERROR(INDEX('CARNET DE SOUDURE'!$E$7:$E$3006,MATCH(B1125,'CARNET DE SOUDURE'!$O$7:$O$3006,0)),""))</f>
        <v>JN°1667</v>
      </c>
      <c r="K1125" s="82" t="str">
        <f aca="false">IF(B1125="","",IFERROR(INDEX('CARNET DE SOUDURE'!$E$7:$E$3006,MATCH(B1125,'CARNET DE SOUDURE'!$L$7:$L$3006,0)),""))</f>
        <v>JN°1668</v>
      </c>
      <c r="L1125" s="82" t="n">
        <f aca="false">IF(B1125="","",IFERROR(INDEX('CARNET DE SOUDURE'!$D$7:$D$3006,MATCH(B1125,'CARNET DE SOUDURE'!$L$7:$L$3006,0)),IFERROR(INDEX('CARNET DE SOUDURE'!$D$7:$D$3006,MATCH(B1125,'CARNET DE SOUDURE'!$O$7:$O$3006,0)),"")))</f>
        <v>20</v>
      </c>
      <c r="M1125" s="82" t="str">
        <f aca="false">IF(B1125="","",IF(OR(J1125&lt;&gt;"",K1125&lt;&gt;""),"POSÉ EN LIGNE",IF(COUNTIF(BARDAGE!$C$1:$C$5000,B1125)&gt;0,"BARDÉ","EN STOCK")))</f>
        <v>POSÉ EN LIGNE</v>
      </c>
      <c r="N1125" s="80"/>
    </row>
    <row r="1126" customFormat="false" ht="15" hidden="false" customHeight="false" outlineLevel="0" collapsed="false">
      <c r="A1126" s="82" t="n">
        <f aca="false">IF(B1126="","",ROW()-6)</f>
        <v>1120</v>
      </c>
      <c r="B1126" s="145" t="n">
        <v>2093930</v>
      </c>
      <c r="C1126" s="146" t="n">
        <v>15421110</v>
      </c>
      <c r="D1126" s="146"/>
      <c r="E1126" s="82" t="str">
        <f aca="false">IF(B1126="","",IF(COUNTIFS('CARNET DE SOUDURE'!$L$7:$L$3006,B1126,'CARNET DE SOUDURE'!$M$7:$M$3006,"&lt;&gt;"&amp;C1126,'CARNET DE SOUDURE'!$M$7:$M$3006,"&lt;&gt;")+COUNTIFS('CARNET DE SOUDURE'!$O$7:$O$3006,B1126,'CARNET DE SOUDURE'!$P$7:$P$3006,"&lt;&gt;"&amp;C1126,'CARNET DE SOUDURE'!$P$7:$P$3006,"&lt;&gt;")&gt;0,"⚠ DIFFÉRENTE","OK"))</f>
        <v>OK</v>
      </c>
      <c r="F1126" s="147" t="n">
        <v>11.94</v>
      </c>
      <c r="G1126" s="80"/>
      <c r="H1126" s="83"/>
      <c r="I1126" s="148" t="str">
        <f aca="false">IF(B1126="","",IFERROR(INDEX('CARNET DE SOUDURE'!$B$7:$B$3006,MATCH(B1126,'CARNET DE SOUDURE'!$L$7:$L$3006,0)),IFERROR(INDEX('CARNET DE SOUDURE'!$B$7:$B$3006,MATCH(B1126,'CARNET DE SOUDURE'!$O$7:$O$3006,0)),"")))</f>
        <v>MFD-ISW → MFD-CPF</v>
      </c>
      <c r="J1126" s="82" t="str">
        <f aca="false">IF(B1126="","",IFERROR(INDEX('CARNET DE SOUDURE'!$E$7:$E$3006,MATCH(B1126,'CARNET DE SOUDURE'!$O$7:$O$3006,0)),""))</f>
        <v>JN°1668</v>
      </c>
      <c r="K1126" s="82" t="str">
        <f aca="false">IF(B1126="","",IFERROR(INDEX('CARNET DE SOUDURE'!$E$7:$E$3006,MATCH(B1126,'CARNET DE SOUDURE'!$L$7:$L$3006,0)),""))</f>
        <v>JN°1669</v>
      </c>
      <c r="L1126" s="82" t="n">
        <f aca="false">IF(B1126="","",IFERROR(INDEX('CARNET DE SOUDURE'!$D$7:$D$3006,MATCH(B1126,'CARNET DE SOUDURE'!$L$7:$L$3006,0)),IFERROR(INDEX('CARNET DE SOUDURE'!$D$7:$D$3006,MATCH(B1126,'CARNET DE SOUDURE'!$O$7:$O$3006,0)),"")))</f>
        <v>20</v>
      </c>
      <c r="M1126" s="82" t="str">
        <f aca="false">IF(B1126="","",IF(OR(J1126&lt;&gt;"",K1126&lt;&gt;""),"POSÉ EN LIGNE",IF(COUNTIF(BARDAGE!$C$1:$C$5000,B1126)&gt;0,"BARDÉ","EN STOCK")))</f>
        <v>POSÉ EN LIGNE</v>
      </c>
      <c r="N1126" s="80"/>
    </row>
    <row r="1127" customFormat="false" ht="15" hidden="false" customHeight="false" outlineLevel="0" collapsed="false">
      <c r="A1127" s="82" t="n">
        <f aca="false">IF(B1127="","",ROW()-6)</f>
        <v>1121</v>
      </c>
      <c r="B1127" s="145" t="n">
        <v>2095200</v>
      </c>
      <c r="C1127" s="146" t="n">
        <v>15421111</v>
      </c>
      <c r="D1127" s="146"/>
      <c r="E1127" s="82" t="str">
        <f aca="false">IF(B1127="","",IF(COUNTIFS('CARNET DE SOUDURE'!$L$7:$L$3006,B1127,'CARNET DE SOUDURE'!$M$7:$M$3006,"&lt;&gt;"&amp;C1127,'CARNET DE SOUDURE'!$M$7:$M$3006,"&lt;&gt;")+COUNTIFS('CARNET DE SOUDURE'!$O$7:$O$3006,B1127,'CARNET DE SOUDURE'!$P$7:$P$3006,"&lt;&gt;"&amp;C1127,'CARNET DE SOUDURE'!$P$7:$P$3006,"&lt;&gt;")&gt;0,"⚠ DIFFÉRENTE","OK"))</f>
        <v>OK</v>
      </c>
      <c r="F1127" s="147" t="n">
        <v>11.94</v>
      </c>
      <c r="G1127" s="80"/>
      <c r="H1127" s="83"/>
      <c r="I1127" s="148" t="str">
        <f aca="false">IF(B1127="","",IFERROR(INDEX('CARNET DE SOUDURE'!$B$7:$B$3006,MATCH(B1127,'CARNET DE SOUDURE'!$L$7:$L$3006,0)),IFERROR(INDEX('CARNET DE SOUDURE'!$B$7:$B$3006,MATCH(B1127,'CARNET DE SOUDURE'!$O$7:$O$3006,0)),"")))</f>
        <v>MFD-ISW → MFD-CPF</v>
      </c>
      <c r="J1127" s="82" t="str">
        <f aca="false">IF(B1127="","",IFERROR(INDEX('CARNET DE SOUDURE'!$E$7:$E$3006,MATCH(B1127,'CARNET DE SOUDURE'!$O$7:$O$3006,0)),""))</f>
        <v>JN°1669</v>
      </c>
      <c r="K1127" s="82" t="str">
        <f aca="false">IF(B1127="","",IFERROR(INDEX('CARNET DE SOUDURE'!$E$7:$E$3006,MATCH(B1127,'CARNET DE SOUDURE'!$L$7:$L$3006,0)),""))</f>
        <v>JN°1670</v>
      </c>
      <c r="L1127" s="82" t="n">
        <f aca="false">IF(B1127="","",IFERROR(INDEX('CARNET DE SOUDURE'!$D$7:$D$3006,MATCH(B1127,'CARNET DE SOUDURE'!$L$7:$L$3006,0)),IFERROR(INDEX('CARNET DE SOUDURE'!$D$7:$D$3006,MATCH(B1127,'CARNET DE SOUDURE'!$O$7:$O$3006,0)),"")))</f>
        <v>20</v>
      </c>
      <c r="M1127" s="82" t="str">
        <f aca="false">IF(B1127="","",IF(OR(J1127&lt;&gt;"",K1127&lt;&gt;""),"POSÉ EN LIGNE",IF(COUNTIF(BARDAGE!$C$1:$C$5000,B1127)&gt;0,"BARDÉ","EN STOCK")))</f>
        <v>POSÉ EN LIGNE</v>
      </c>
      <c r="N1127" s="80"/>
    </row>
    <row r="1128" customFormat="false" ht="15" hidden="false" customHeight="false" outlineLevel="0" collapsed="false">
      <c r="A1128" s="82" t="n">
        <f aca="false">IF(B1128="","",ROW()-6)</f>
        <v>1122</v>
      </c>
      <c r="B1128" s="145" t="n">
        <v>2096990</v>
      </c>
      <c r="C1128" s="146" t="n">
        <v>15421111</v>
      </c>
      <c r="D1128" s="146"/>
      <c r="E1128" s="82" t="str">
        <f aca="false">IF(B1128="","",IF(COUNTIFS('CARNET DE SOUDURE'!$L$7:$L$3006,B1128,'CARNET DE SOUDURE'!$M$7:$M$3006,"&lt;&gt;"&amp;C1128,'CARNET DE SOUDURE'!$M$7:$M$3006,"&lt;&gt;")+COUNTIFS('CARNET DE SOUDURE'!$O$7:$O$3006,B1128,'CARNET DE SOUDURE'!$P$7:$P$3006,"&lt;&gt;"&amp;C1128,'CARNET DE SOUDURE'!$P$7:$P$3006,"&lt;&gt;")&gt;0,"⚠ DIFFÉRENTE","OK"))</f>
        <v>OK</v>
      </c>
      <c r="F1128" s="147" t="n">
        <v>11.94</v>
      </c>
      <c r="G1128" s="80"/>
      <c r="H1128" s="83"/>
      <c r="I1128" s="148" t="str">
        <f aca="false">IF(B1128="","",IFERROR(INDEX('CARNET DE SOUDURE'!$B$7:$B$3006,MATCH(B1128,'CARNET DE SOUDURE'!$L$7:$L$3006,0)),IFERROR(INDEX('CARNET DE SOUDURE'!$B$7:$B$3006,MATCH(B1128,'CARNET DE SOUDURE'!$O$7:$O$3006,0)),"")))</f>
        <v>MFD-ISW → MFD-CPF</v>
      </c>
      <c r="J1128" s="82" t="str">
        <f aca="false">IF(B1128="","",IFERROR(INDEX('CARNET DE SOUDURE'!$E$7:$E$3006,MATCH(B1128,'CARNET DE SOUDURE'!$O$7:$O$3006,0)),""))</f>
        <v>JN°1670</v>
      </c>
      <c r="K1128" s="82" t="str">
        <f aca="false">IF(B1128="","",IFERROR(INDEX('CARNET DE SOUDURE'!$E$7:$E$3006,MATCH(B1128,'CARNET DE SOUDURE'!$L$7:$L$3006,0)),""))</f>
        <v>JN°1671</v>
      </c>
      <c r="L1128" s="82" t="n">
        <f aca="false">IF(B1128="","",IFERROR(INDEX('CARNET DE SOUDURE'!$D$7:$D$3006,MATCH(B1128,'CARNET DE SOUDURE'!$L$7:$L$3006,0)),IFERROR(INDEX('CARNET DE SOUDURE'!$D$7:$D$3006,MATCH(B1128,'CARNET DE SOUDURE'!$O$7:$O$3006,0)),"")))</f>
        <v>20</v>
      </c>
      <c r="M1128" s="82" t="str">
        <f aca="false">IF(B1128="","",IF(OR(J1128&lt;&gt;"",K1128&lt;&gt;""),"POSÉ EN LIGNE",IF(COUNTIF(BARDAGE!$C$1:$C$5000,B1128)&gt;0,"BARDÉ","EN STOCK")))</f>
        <v>POSÉ EN LIGNE</v>
      </c>
      <c r="N1128" s="80"/>
    </row>
    <row r="1129" customFormat="false" ht="15" hidden="false" customHeight="false" outlineLevel="0" collapsed="false">
      <c r="A1129" s="82" t="n">
        <f aca="false">IF(B1129="","",ROW()-6)</f>
        <v>1123</v>
      </c>
      <c r="B1129" s="145" t="n">
        <v>2096920</v>
      </c>
      <c r="C1129" s="146" t="n">
        <v>15421111</v>
      </c>
      <c r="D1129" s="146"/>
      <c r="E1129" s="82" t="str">
        <f aca="false">IF(B1129="","",IF(COUNTIFS('CARNET DE SOUDURE'!$L$7:$L$3006,B1129,'CARNET DE SOUDURE'!$M$7:$M$3006,"&lt;&gt;"&amp;C1129,'CARNET DE SOUDURE'!$M$7:$M$3006,"&lt;&gt;")+COUNTIFS('CARNET DE SOUDURE'!$O$7:$O$3006,B1129,'CARNET DE SOUDURE'!$P$7:$P$3006,"&lt;&gt;"&amp;C1129,'CARNET DE SOUDURE'!$P$7:$P$3006,"&lt;&gt;")&gt;0,"⚠ DIFFÉRENTE","OK"))</f>
        <v>OK</v>
      </c>
      <c r="F1129" s="147" t="n">
        <v>11.94</v>
      </c>
      <c r="G1129" s="80"/>
      <c r="H1129" s="83"/>
      <c r="I1129" s="148" t="str">
        <f aca="false">IF(B1129="","",IFERROR(INDEX('CARNET DE SOUDURE'!$B$7:$B$3006,MATCH(B1129,'CARNET DE SOUDURE'!$L$7:$L$3006,0)),IFERROR(INDEX('CARNET DE SOUDURE'!$B$7:$B$3006,MATCH(B1129,'CARNET DE SOUDURE'!$O$7:$O$3006,0)),"")))</f>
        <v>MFD-ISW → MFD-CPF</v>
      </c>
      <c r="J1129" s="82" t="str">
        <f aca="false">IF(B1129="","",IFERROR(INDEX('CARNET DE SOUDURE'!$E$7:$E$3006,MATCH(B1129,'CARNET DE SOUDURE'!$O$7:$O$3006,0)),""))</f>
        <v>JN°1671</v>
      </c>
      <c r="K1129" s="82" t="str">
        <f aca="false">IF(B1129="","",IFERROR(INDEX('CARNET DE SOUDURE'!$E$7:$E$3006,MATCH(B1129,'CARNET DE SOUDURE'!$L$7:$L$3006,0)),""))</f>
        <v>JN°1672</v>
      </c>
      <c r="L1129" s="82" t="n">
        <f aca="false">IF(B1129="","",IFERROR(INDEX('CARNET DE SOUDURE'!$D$7:$D$3006,MATCH(B1129,'CARNET DE SOUDURE'!$L$7:$L$3006,0)),IFERROR(INDEX('CARNET DE SOUDURE'!$D$7:$D$3006,MATCH(B1129,'CARNET DE SOUDURE'!$O$7:$O$3006,0)),"")))</f>
        <v>20</v>
      </c>
      <c r="M1129" s="82" t="str">
        <f aca="false">IF(B1129="","",IF(OR(J1129&lt;&gt;"",K1129&lt;&gt;""),"POSÉ EN LIGNE",IF(COUNTIF(BARDAGE!$C$1:$C$5000,B1129)&gt;0,"BARDÉ","EN STOCK")))</f>
        <v>POSÉ EN LIGNE</v>
      </c>
      <c r="N1129" s="80"/>
    </row>
    <row r="1130" customFormat="false" ht="15" hidden="false" customHeight="false" outlineLevel="0" collapsed="false">
      <c r="A1130" s="82" t="n">
        <f aca="false">IF(B1130="","",ROW()-6)</f>
        <v>1124</v>
      </c>
      <c r="B1130" s="145" t="n">
        <v>2096870</v>
      </c>
      <c r="C1130" s="146" t="n">
        <v>15421112</v>
      </c>
      <c r="D1130" s="146"/>
      <c r="E1130" s="82" t="str">
        <f aca="false">IF(B1130="","",IF(COUNTIFS('CARNET DE SOUDURE'!$L$7:$L$3006,B1130,'CARNET DE SOUDURE'!$M$7:$M$3006,"&lt;&gt;"&amp;C1130,'CARNET DE SOUDURE'!$M$7:$M$3006,"&lt;&gt;")+COUNTIFS('CARNET DE SOUDURE'!$O$7:$O$3006,B1130,'CARNET DE SOUDURE'!$P$7:$P$3006,"&lt;&gt;"&amp;C1130,'CARNET DE SOUDURE'!$P$7:$P$3006,"&lt;&gt;")&gt;0,"⚠ DIFFÉRENTE","OK"))</f>
        <v>OK</v>
      </c>
      <c r="F1130" s="147" t="n">
        <v>11.94</v>
      </c>
      <c r="G1130" s="80"/>
      <c r="H1130" s="83"/>
      <c r="I1130" s="148" t="str">
        <f aca="false">IF(B1130="","",IFERROR(INDEX('CARNET DE SOUDURE'!$B$7:$B$3006,MATCH(B1130,'CARNET DE SOUDURE'!$L$7:$L$3006,0)),IFERROR(INDEX('CARNET DE SOUDURE'!$B$7:$B$3006,MATCH(B1130,'CARNET DE SOUDURE'!$O$7:$O$3006,0)),"")))</f>
        <v>MFD-ISW → MFD-CPF</v>
      </c>
      <c r="J1130" s="82" t="str">
        <f aca="false">IF(B1130="","",IFERROR(INDEX('CARNET DE SOUDURE'!$E$7:$E$3006,MATCH(B1130,'CARNET DE SOUDURE'!$O$7:$O$3006,0)),""))</f>
        <v>JN°1672</v>
      </c>
      <c r="K1130" s="82" t="str">
        <f aca="false">IF(B1130="","",IFERROR(INDEX('CARNET DE SOUDURE'!$E$7:$E$3006,MATCH(B1130,'CARNET DE SOUDURE'!$L$7:$L$3006,0)),""))</f>
        <v>JN°1673</v>
      </c>
      <c r="L1130" s="82" t="n">
        <f aca="false">IF(B1130="","",IFERROR(INDEX('CARNET DE SOUDURE'!$D$7:$D$3006,MATCH(B1130,'CARNET DE SOUDURE'!$L$7:$L$3006,0)),IFERROR(INDEX('CARNET DE SOUDURE'!$D$7:$D$3006,MATCH(B1130,'CARNET DE SOUDURE'!$O$7:$O$3006,0)),"")))</f>
        <v>20</v>
      </c>
      <c r="M1130" s="82" t="str">
        <f aca="false">IF(B1130="","",IF(OR(J1130&lt;&gt;"",K1130&lt;&gt;""),"POSÉ EN LIGNE",IF(COUNTIF(BARDAGE!$C$1:$C$5000,B1130)&gt;0,"BARDÉ","EN STOCK")))</f>
        <v>POSÉ EN LIGNE</v>
      </c>
      <c r="N1130" s="80"/>
    </row>
    <row r="1131" customFormat="false" ht="15" hidden="false" customHeight="false" outlineLevel="0" collapsed="false">
      <c r="A1131" s="82" t="n">
        <f aca="false">IF(B1131="","",ROW()-6)</f>
        <v>1125</v>
      </c>
      <c r="B1131" s="145" t="n">
        <v>2097210</v>
      </c>
      <c r="C1131" s="146" t="n">
        <v>15421112</v>
      </c>
      <c r="D1131" s="146"/>
      <c r="E1131" s="82" t="str">
        <f aca="false">IF(B1131="","",IF(COUNTIFS('CARNET DE SOUDURE'!$L$7:$L$3006,B1131,'CARNET DE SOUDURE'!$M$7:$M$3006,"&lt;&gt;"&amp;C1131,'CARNET DE SOUDURE'!$M$7:$M$3006,"&lt;&gt;")+COUNTIFS('CARNET DE SOUDURE'!$O$7:$O$3006,B1131,'CARNET DE SOUDURE'!$P$7:$P$3006,"&lt;&gt;"&amp;C1131,'CARNET DE SOUDURE'!$P$7:$P$3006,"&lt;&gt;")&gt;0,"⚠ DIFFÉRENTE","OK"))</f>
        <v>OK</v>
      </c>
      <c r="F1131" s="147" t="n">
        <v>11.94</v>
      </c>
      <c r="G1131" s="80"/>
      <c r="H1131" s="83"/>
      <c r="I1131" s="148" t="str">
        <f aca="false">IF(B1131="","",IFERROR(INDEX('CARNET DE SOUDURE'!$B$7:$B$3006,MATCH(B1131,'CARNET DE SOUDURE'!$L$7:$L$3006,0)),IFERROR(INDEX('CARNET DE SOUDURE'!$B$7:$B$3006,MATCH(B1131,'CARNET DE SOUDURE'!$O$7:$O$3006,0)),"")))</f>
        <v>MFD-ISW → MFD-CPF</v>
      </c>
      <c r="J1131" s="82" t="str">
        <f aca="false">IF(B1131="","",IFERROR(INDEX('CARNET DE SOUDURE'!$E$7:$E$3006,MATCH(B1131,'CARNET DE SOUDURE'!$O$7:$O$3006,0)),""))</f>
        <v>JN°1673</v>
      </c>
      <c r="K1131" s="82" t="str">
        <f aca="false">IF(B1131="","",IFERROR(INDEX('CARNET DE SOUDURE'!$E$7:$E$3006,MATCH(B1131,'CARNET DE SOUDURE'!$L$7:$L$3006,0)),""))</f>
        <v>JN°1674</v>
      </c>
      <c r="L1131" s="82" t="n">
        <f aca="false">IF(B1131="","",IFERROR(INDEX('CARNET DE SOUDURE'!$D$7:$D$3006,MATCH(B1131,'CARNET DE SOUDURE'!$L$7:$L$3006,0)),IFERROR(INDEX('CARNET DE SOUDURE'!$D$7:$D$3006,MATCH(B1131,'CARNET DE SOUDURE'!$O$7:$O$3006,0)),"")))</f>
        <v>20</v>
      </c>
      <c r="M1131" s="82" t="str">
        <f aca="false">IF(B1131="","",IF(OR(J1131&lt;&gt;"",K1131&lt;&gt;""),"POSÉ EN LIGNE",IF(COUNTIF(BARDAGE!$C$1:$C$5000,B1131)&gt;0,"BARDÉ","EN STOCK")))</f>
        <v>POSÉ EN LIGNE</v>
      </c>
      <c r="N1131" s="80"/>
    </row>
    <row r="1132" customFormat="false" ht="15" hidden="false" customHeight="false" outlineLevel="0" collapsed="false">
      <c r="A1132" s="82" t="n">
        <f aca="false">IF(B1132="","",ROW()-6)</f>
        <v>1126</v>
      </c>
      <c r="B1132" s="145" t="n">
        <v>2097220</v>
      </c>
      <c r="C1132" s="146" t="n">
        <v>15421112</v>
      </c>
      <c r="D1132" s="146"/>
      <c r="E1132" s="82" t="str">
        <f aca="false">IF(B1132="","",IF(COUNTIFS('CARNET DE SOUDURE'!$L$7:$L$3006,B1132,'CARNET DE SOUDURE'!$M$7:$M$3006,"&lt;&gt;"&amp;C1132,'CARNET DE SOUDURE'!$M$7:$M$3006,"&lt;&gt;")+COUNTIFS('CARNET DE SOUDURE'!$O$7:$O$3006,B1132,'CARNET DE SOUDURE'!$P$7:$P$3006,"&lt;&gt;"&amp;C1132,'CARNET DE SOUDURE'!$P$7:$P$3006,"&lt;&gt;")&gt;0,"⚠ DIFFÉRENTE","OK"))</f>
        <v>OK</v>
      </c>
      <c r="F1132" s="147" t="n">
        <v>11.94</v>
      </c>
      <c r="G1132" s="80"/>
      <c r="H1132" s="83"/>
      <c r="I1132" s="148" t="str">
        <f aca="false">IF(B1132="","",IFERROR(INDEX('CARNET DE SOUDURE'!$B$7:$B$3006,MATCH(B1132,'CARNET DE SOUDURE'!$L$7:$L$3006,0)),IFERROR(INDEX('CARNET DE SOUDURE'!$B$7:$B$3006,MATCH(B1132,'CARNET DE SOUDURE'!$O$7:$O$3006,0)),"")))</f>
        <v>MFD-ISW → MFD-CPF</v>
      </c>
      <c r="J1132" s="82" t="str">
        <f aca="false">IF(B1132="","",IFERROR(INDEX('CARNET DE SOUDURE'!$E$7:$E$3006,MATCH(B1132,'CARNET DE SOUDURE'!$O$7:$O$3006,0)),""))</f>
        <v>JN°1674</v>
      </c>
      <c r="K1132" s="82" t="str">
        <f aca="false">IF(B1132="","",IFERROR(INDEX('CARNET DE SOUDURE'!$E$7:$E$3006,MATCH(B1132,'CARNET DE SOUDURE'!$L$7:$L$3006,0)),""))</f>
        <v>JN°1675</v>
      </c>
      <c r="L1132" s="82" t="n">
        <f aca="false">IF(B1132="","",IFERROR(INDEX('CARNET DE SOUDURE'!$D$7:$D$3006,MATCH(B1132,'CARNET DE SOUDURE'!$L$7:$L$3006,0)),IFERROR(INDEX('CARNET DE SOUDURE'!$D$7:$D$3006,MATCH(B1132,'CARNET DE SOUDURE'!$O$7:$O$3006,0)),"")))</f>
        <v>20</v>
      </c>
      <c r="M1132" s="82" t="str">
        <f aca="false">IF(B1132="","",IF(OR(J1132&lt;&gt;"",K1132&lt;&gt;""),"POSÉ EN LIGNE",IF(COUNTIF(BARDAGE!$C$1:$C$5000,B1132)&gt;0,"BARDÉ","EN STOCK")))</f>
        <v>POSÉ EN LIGNE</v>
      </c>
      <c r="N1132" s="80"/>
    </row>
    <row r="1133" customFormat="false" ht="15" hidden="false" customHeight="false" outlineLevel="0" collapsed="false">
      <c r="A1133" s="82" t="n">
        <f aca="false">IF(B1133="","",ROW()-6)</f>
        <v>1127</v>
      </c>
      <c r="B1133" s="145" t="n">
        <v>2093460</v>
      </c>
      <c r="C1133" s="146" t="n">
        <v>15421110</v>
      </c>
      <c r="D1133" s="146"/>
      <c r="E1133" s="82" t="str">
        <f aca="false">IF(B1133="","",IF(COUNTIFS('CARNET DE SOUDURE'!$L$7:$L$3006,B1133,'CARNET DE SOUDURE'!$M$7:$M$3006,"&lt;&gt;"&amp;C1133,'CARNET DE SOUDURE'!$M$7:$M$3006,"&lt;&gt;")+COUNTIFS('CARNET DE SOUDURE'!$O$7:$O$3006,B1133,'CARNET DE SOUDURE'!$P$7:$P$3006,"&lt;&gt;"&amp;C1133,'CARNET DE SOUDURE'!$P$7:$P$3006,"&lt;&gt;")&gt;0,"⚠ DIFFÉRENTE","OK"))</f>
        <v>OK</v>
      </c>
      <c r="F1133" s="147" t="n">
        <v>11.94</v>
      </c>
      <c r="G1133" s="80"/>
      <c r="H1133" s="83"/>
      <c r="I1133" s="148" t="str">
        <f aca="false">IF(B1133="","",IFERROR(INDEX('CARNET DE SOUDURE'!$B$7:$B$3006,MATCH(B1133,'CARNET DE SOUDURE'!$L$7:$L$3006,0)),IFERROR(INDEX('CARNET DE SOUDURE'!$B$7:$B$3006,MATCH(B1133,'CARNET DE SOUDURE'!$O$7:$O$3006,0)),"")))</f>
        <v>MFD-ISW → MFD-CPF</v>
      </c>
      <c r="J1133" s="82" t="str">
        <f aca="false">IF(B1133="","",IFERROR(INDEX('CARNET DE SOUDURE'!$E$7:$E$3006,MATCH(B1133,'CARNET DE SOUDURE'!$O$7:$O$3006,0)),""))</f>
        <v>JN°1675</v>
      </c>
      <c r="K1133" s="82" t="str">
        <f aca="false">IF(B1133="","",IFERROR(INDEX('CARNET DE SOUDURE'!$E$7:$E$3006,MATCH(B1133,'CARNET DE SOUDURE'!$L$7:$L$3006,0)),""))</f>
        <v>JN°1676R</v>
      </c>
      <c r="L1133" s="82" t="n">
        <f aca="false">IF(B1133="","",IFERROR(INDEX('CARNET DE SOUDURE'!$D$7:$D$3006,MATCH(B1133,'CARNET DE SOUDURE'!$L$7:$L$3006,0)),IFERROR(INDEX('CARNET DE SOUDURE'!$D$7:$D$3006,MATCH(B1133,'CARNET DE SOUDURE'!$O$7:$O$3006,0)),"")))</f>
        <v>20</v>
      </c>
      <c r="M1133" s="82" t="str">
        <f aca="false">IF(B1133="","",IF(OR(J1133&lt;&gt;"",K1133&lt;&gt;""),"POSÉ EN LIGNE",IF(COUNTIF(BARDAGE!$C$1:$C$5000,B1133)&gt;0,"BARDÉ","EN STOCK")))</f>
        <v>POSÉ EN LIGNE</v>
      </c>
      <c r="N1133" s="80"/>
    </row>
    <row r="1134" customFormat="false" ht="15" hidden="false" customHeight="false" outlineLevel="0" collapsed="false">
      <c r="A1134" s="82" t="n">
        <f aca="false">IF(B1134="","",ROW()-6)</f>
        <v>1128</v>
      </c>
      <c r="B1134" s="145" t="n">
        <v>2079680</v>
      </c>
      <c r="C1134" s="146" t="n">
        <v>15421102</v>
      </c>
      <c r="D1134" s="146"/>
      <c r="E1134" s="82" t="str">
        <f aca="false">IF(B1134="","",IF(COUNTIFS('CARNET DE SOUDURE'!$L$7:$L$3006,B1134,'CARNET DE SOUDURE'!$M$7:$M$3006,"&lt;&gt;"&amp;C1134,'CARNET DE SOUDURE'!$M$7:$M$3006,"&lt;&gt;")+COUNTIFS('CARNET DE SOUDURE'!$O$7:$O$3006,B1134,'CARNET DE SOUDURE'!$P$7:$P$3006,"&lt;&gt;"&amp;C1134,'CARNET DE SOUDURE'!$P$7:$P$3006,"&lt;&gt;")&gt;0,"⚠ DIFFÉRENTE","OK"))</f>
        <v>OK</v>
      </c>
      <c r="F1134" s="147" t="n">
        <v>11.94</v>
      </c>
      <c r="G1134" s="80"/>
      <c r="H1134" s="83"/>
      <c r="I1134" s="148" t="str">
        <f aca="false">IF(B1134="","",IFERROR(INDEX('CARNET DE SOUDURE'!$B$7:$B$3006,MATCH(B1134,'CARNET DE SOUDURE'!$L$7:$L$3006,0)),IFERROR(INDEX('CARNET DE SOUDURE'!$B$7:$B$3006,MATCH(B1134,'CARNET DE SOUDURE'!$O$7:$O$3006,0)),"")))</f>
        <v>MFD-ISW → MFD-CPF</v>
      </c>
      <c r="J1134" s="82" t="str">
        <f aca="false">IF(B1134="","",IFERROR(INDEX('CARNET DE SOUDURE'!$E$7:$E$3006,MATCH(B1134,'CARNET DE SOUDURE'!$O$7:$O$3006,0)),""))</f>
        <v>JN°1676R</v>
      </c>
      <c r="K1134" s="82" t="str">
        <f aca="false">IF(B1134="","",IFERROR(INDEX('CARNET DE SOUDURE'!$E$7:$E$3006,MATCH(B1134,'CARNET DE SOUDURE'!$L$7:$L$3006,0)),""))</f>
        <v>JN°1677</v>
      </c>
      <c r="L1134" s="82" t="n">
        <f aca="false">IF(B1134="","",IFERROR(INDEX('CARNET DE SOUDURE'!$D$7:$D$3006,MATCH(B1134,'CARNET DE SOUDURE'!$L$7:$L$3006,0)),IFERROR(INDEX('CARNET DE SOUDURE'!$D$7:$D$3006,MATCH(B1134,'CARNET DE SOUDURE'!$O$7:$O$3006,0)),"")))</f>
        <v>20</v>
      </c>
      <c r="M1134" s="82" t="str">
        <f aca="false">IF(B1134="","",IF(OR(J1134&lt;&gt;"",K1134&lt;&gt;""),"POSÉ EN LIGNE",IF(COUNTIF(BARDAGE!$C$1:$C$5000,B1134)&gt;0,"BARDÉ","EN STOCK")))</f>
        <v>POSÉ EN LIGNE</v>
      </c>
      <c r="N1134" s="80"/>
    </row>
    <row r="1135" customFormat="false" ht="15" hidden="false" customHeight="false" outlineLevel="0" collapsed="false">
      <c r="A1135" s="82" t="n">
        <f aca="false">IF(B1135="","",ROW()-6)</f>
        <v>1129</v>
      </c>
      <c r="B1135" s="145" t="n">
        <v>2095280</v>
      </c>
      <c r="C1135" s="146" t="n">
        <v>15421111</v>
      </c>
      <c r="D1135" s="146"/>
      <c r="E1135" s="82" t="str">
        <f aca="false">IF(B1135="","",IF(COUNTIFS('CARNET DE SOUDURE'!$L$7:$L$3006,B1135,'CARNET DE SOUDURE'!$M$7:$M$3006,"&lt;&gt;"&amp;C1135,'CARNET DE SOUDURE'!$M$7:$M$3006,"&lt;&gt;")+COUNTIFS('CARNET DE SOUDURE'!$O$7:$O$3006,B1135,'CARNET DE SOUDURE'!$P$7:$P$3006,"&lt;&gt;"&amp;C1135,'CARNET DE SOUDURE'!$P$7:$P$3006,"&lt;&gt;")&gt;0,"⚠ DIFFÉRENTE","OK"))</f>
        <v>OK</v>
      </c>
      <c r="F1135" s="147" t="n">
        <v>11.94</v>
      </c>
      <c r="G1135" s="80"/>
      <c r="H1135" s="83"/>
      <c r="I1135" s="148" t="str">
        <f aca="false">IF(B1135="","",IFERROR(INDEX('CARNET DE SOUDURE'!$B$7:$B$3006,MATCH(B1135,'CARNET DE SOUDURE'!$L$7:$L$3006,0)),IFERROR(INDEX('CARNET DE SOUDURE'!$B$7:$B$3006,MATCH(B1135,'CARNET DE SOUDURE'!$O$7:$O$3006,0)),"")))</f>
        <v>MFD-ISW → MFD-CPF</v>
      </c>
      <c r="J1135" s="82" t="str">
        <f aca="false">IF(B1135="","",IFERROR(INDEX('CARNET DE SOUDURE'!$E$7:$E$3006,MATCH(B1135,'CARNET DE SOUDURE'!$O$7:$O$3006,0)),""))</f>
        <v>JN°1677</v>
      </c>
      <c r="K1135" s="82" t="str">
        <f aca="false">IF(B1135="","",IFERROR(INDEX('CARNET DE SOUDURE'!$E$7:$E$3006,MATCH(B1135,'CARNET DE SOUDURE'!$L$7:$L$3006,0)),""))</f>
        <v>JN°1678</v>
      </c>
      <c r="L1135" s="82" t="n">
        <f aca="false">IF(B1135="","",IFERROR(INDEX('CARNET DE SOUDURE'!$D$7:$D$3006,MATCH(B1135,'CARNET DE SOUDURE'!$L$7:$L$3006,0)),IFERROR(INDEX('CARNET DE SOUDURE'!$D$7:$D$3006,MATCH(B1135,'CARNET DE SOUDURE'!$O$7:$O$3006,0)),"")))</f>
        <v>20</v>
      </c>
      <c r="M1135" s="82" t="str">
        <f aca="false">IF(B1135="","",IF(OR(J1135&lt;&gt;"",K1135&lt;&gt;""),"POSÉ EN LIGNE",IF(COUNTIF(BARDAGE!$C$1:$C$5000,B1135)&gt;0,"BARDÉ","EN STOCK")))</f>
        <v>POSÉ EN LIGNE</v>
      </c>
      <c r="N1135" s="80"/>
    </row>
    <row r="1136" customFormat="false" ht="15" hidden="false" customHeight="false" outlineLevel="0" collapsed="false">
      <c r="A1136" s="82" t="n">
        <f aca="false">IF(B1136="","",ROW()-6)</f>
        <v>1130</v>
      </c>
      <c r="B1136" s="145" t="n">
        <v>2078460</v>
      </c>
      <c r="C1136" s="146" t="n">
        <v>15421101</v>
      </c>
      <c r="D1136" s="146"/>
      <c r="E1136" s="82" t="str">
        <f aca="false">IF(B1136="","",IF(COUNTIFS('CARNET DE SOUDURE'!$L$7:$L$3006,B1136,'CARNET DE SOUDURE'!$M$7:$M$3006,"&lt;&gt;"&amp;C1136,'CARNET DE SOUDURE'!$M$7:$M$3006,"&lt;&gt;")+COUNTIFS('CARNET DE SOUDURE'!$O$7:$O$3006,B1136,'CARNET DE SOUDURE'!$P$7:$P$3006,"&lt;&gt;"&amp;C1136,'CARNET DE SOUDURE'!$P$7:$P$3006,"&lt;&gt;")&gt;0,"⚠ DIFFÉRENTE","OK"))</f>
        <v>OK</v>
      </c>
      <c r="F1136" s="147" t="n">
        <v>11.94</v>
      </c>
      <c r="G1136" s="80"/>
      <c r="H1136" s="83"/>
      <c r="I1136" s="148" t="str">
        <f aca="false">IF(B1136="","",IFERROR(INDEX('CARNET DE SOUDURE'!$B$7:$B$3006,MATCH(B1136,'CARNET DE SOUDURE'!$L$7:$L$3006,0)),IFERROR(INDEX('CARNET DE SOUDURE'!$B$7:$B$3006,MATCH(B1136,'CARNET DE SOUDURE'!$O$7:$O$3006,0)),"")))</f>
        <v>MFD-ISW → MFD-CPF</v>
      </c>
      <c r="J1136" s="82" t="str">
        <f aca="false">IF(B1136="","",IFERROR(INDEX('CARNET DE SOUDURE'!$E$7:$E$3006,MATCH(B1136,'CARNET DE SOUDURE'!$O$7:$O$3006,0)),""))</f>
        <v>JN°1678</v>
      </c>
      <c r="K1136" s="82" t="str">
        <f aca="false">IF(B1136="","",IFERROR(INDEX('CARNET DE SOUDURE'!$E$7:$E$3006,MATCH(B1136,'CARNET DE SOUDURE'!$L$7:$L$3006,0)),""))</f>
        <v>JN°1679</v>
      </c>
      <c r="L1136" s="82" t="n">
        <f aca="false">IF(B1136="","",IFERROR(INDEX('CARNET DE SOUDURE'!$D$7:$D$3006,MATCH(B1136,'CARNET DE SOUDURE'!$L$7:$L$3006,0)),IFERROR(INDEX('CARNET DE SOUDURE'!$D$7:$D$3006,MATCH(B1136,'CARNET DE SOUDURE'!$O$7:$O$3006,0)),"")))</f>
        <v>20</v>
      </c>
      <c r="M1136" s="82" t="str">
        <f aca="false">IF(B1136="","",IF(OR(J1136&lt;&gt;"",K1136&lt;&gt;""),"POSÉ EN LIGNE",IF(COUNTIF(BARDAGE!$C$1:$C$5000,B1136)&gt;0,"BARDÉ","EN STOCK")))</f>
        <v>POSÉ EN LIGNE</v>
      </c>
      <c r="N1136" s="80"/>
    </row>
    <row r="1137" customFormat="false" ht="15" hidden="false" customHeight="false" outlineLevel="0" collapsed="false">
      <c r="A1137" s="82" t="n">
        <f aca="false">IF(B1137="","",ROW()-6)</f>
        <v>1131</v>
      </c>
      <c r="B1137" s="145" t="n">
        <v>2081380</v>
      </c>
      <c r="C1137" s="146" t="n">
        <v>15421103</v>
      </c>
      <c r="D1137" s="146"/>
      <c r="E1137" s="82" t="str">
        <f aca="false">IF(B1137="","",IF(COUNTIFS('CARNET DE SOUDURE'!$L$7:$L$3006,B1137,'CARNET DE SOUDURE'!$M$7:$M$3006,"&lt;&gt;"&amp;C1137,'CARNET DE SOUDURE'!$M$7:$M$3006,"&lt;&gt;")+COUNTIFS('CARNET DE SOUDURE'!$O$7:$O$3006,B1137,'CARNET DE SOUDURE'!$P$7:$P$3006,"&lt;&gt;"&amp;C1137,'CARNET DE SOUDURE'!$P$7:$P$3006,"&lt;&gt;")&gt;0,"⚠ DIFFÉRENTE","OK"))</f>
        <v>OK</v>
      </c>
      <c r="F1137" s="147" t="n">
        <v>11.94</v>
      </c>
      <c r="G1137" s="80"/>
      <c r="H1137" s="83"/>
      <c r="I1137" s="148" t="str">
        <f aca="false">IF(B1137="","",IFERROR(INDEX('CARNET DE SOUDURE'!$B$7:$B$3006,MATCH(B1137,'CARNET DE SOUDURE'!$L$7:$L$3006,0)),IFERROR(INDEX('CARNET DE SOUDURE'!$B$7:$B$3006,MATCH(B1137,'CARNET DE SOUDURE'!$O$7:$O$3006,0)),"")))</f>
        <v>MFD-ISW → MFD-CPF</v>
      </c>
      <c r="J1137" s="82" t="str">
        <f aca="false">IF(B1137="","",IFERROR(INDEX('CARNET DE SOUDURE'!$E$7:$E$3006,MATCH(B1137,'CARNET DE SOUDURE'!$O$7:$O$3006,0)),""))</f>
        <v>JN°1679</v>
      </c>
      <c r="K1137" s="82" t="str">
        <f aca="false">IF(B1137="","",IFERROR(INDEX('CARNET DE SOUDURE'!$E$7:$E$3006,MATCH(B1137,'CARNET DE SOUDURE'!$L$7:$L$3006,0)),""))</f>
        <v>JN°1680</v>
      </c>
      <c r="L1137" s="82" t="n">
        <f aca="false">IF(B1137="","",IFERROR(INDEX('CARNET DE SOUDURE'!$D$7:$D$3006,MATCH(B1137,'CARNET DE SOUDURE'!$L$7:$L$3006,0)),IFERROR(INDEX('CARNET DE SOUDURE'!$D$7:$D$3006,MATCH(B1137,'CARNET DE SOUDURE'!$O$7:$O$3006,0)),"")))</f>
        <v>20</v>
      </c>
      <c r="M1137" s="82" t="str">
        <f aca="false">IF(B1137="","",IF(OR(J1137&lt;&gt;"",K1137&lt;&gt;""),"POSÉ EN LIGNE",IF(COUNTIF(BARDAGE!$C$1:$C$5000,B1137)&gt;0,"BARDÉ","EN STOCK")))</f>
        <v>POSÉ EN LIGNE</v>
      </c>
      <c r="N1137" s="80"/>
    </row>
    <row r="1138" customFormat="false" ht="15" hidden="false" customHeight="false" outlineLevel="0" collapsed="false">
      <c r="A1138" s="82" t="n">
        <f aca="false">IF(B1138="","",ROW()-6)</f>
        <v>1132</v>
      </c>
      <c r="B1138" s="145" t="n">
        <v>2093300</v>
      </c>
      <c r="C1138" s="146" t="n">
        <v>15421110</v>
      </c>
      <c r="D1138" s="146"/>
      <c r="E1138" s="82" t="str">
        <f aca="false">IF(B1138="","",IF(COUNTIFS('CARNET DE SOUDURE'!$L$7:$L$3006,B1138,'CARNET DE SOUDURE'!$M$7:$M$3006,"&lt;&gt;"&amp;C1138,'CARNET DE SOUDURE'!$M$7:$M$3006,"&lt;&gt;")+COUNTIFS('CARNET DE SOUDURE'!$O$7:$O$3006,B1138,'CARNET DE SOUDURE'!$P$7:$P$3006,"&lt;&gt;"&amp;C1138,'CARNET DE SOUDURE'!$P$7:$P$3006,"&lt;&gt;")&gt;0,"⚠ DIFFÉRENTE","OK"))</f>
        <v>OK</v>
      </c>
      <c r="F1138" s="147" t="n">
        <v>11.94</v>
      </c>
      <c r="G1138" s="80"/>
      <c r="H1138" s="83"/>
      <c r="I1138" s="148" t="str">
        <f aca="false">IF(B1138="","",IFERROR(INDEX('CARNET DE SOUDURE'!$B$7:$B$3006,MATCH(B1138,'CARNET DE SOUDURE'!$L$7:$L$3006,0)),IFERROR(INDEX('CARNET DE SOUDURE'!$B$7:$B$3006,MATCH(B1138,'CARNET DE SOUDURE'!$O$7:$O$3006,0)),"")))</f>
        <v>MFD-ISW → MFD-CPF</v>
      </c>
      <c r="J1138" s="82" t="str">
        <f aca="false">IF(B1138="","",IFERROR(INDEX('CARNET DE SOUDURE'!$E$7:$E$3006,MATCH(B1138,'CARNET DE SOUDURE'!$O$7:$O$3006,0)),""))</f>
        <v>JN°1680</v>
      </c>
      <c r="K1138" s="82" t="str">
        <f aca="false">IF(B1138="","",IFERROR(INDEX('CARNET DE SOUDURE'!$E$7:$E$3006,MATCH(B1138,'CARNET DE SOUDURE'!$L$7:$L$3006,0)),""))</f>
        <v>JN°1681</v>
      </c>
      <c r="L1138" s="82" t="n">
        <f aca="false">IF(B1138="","",IFERROR(INDEX('CARNET DE SOUDURE'!$D$7:$D$3006,MATCH(B1138,'CARNET DE SOUDURE'!$L$7:$L$3006,0)),IFERROR(INDEX('CARNET DE SOUDURE'!$D$7:$D$3006,MATCH(B1138,'CARNET DE SOUDURE'!$O$7:$O$3006,0)),"")))</f>
        <v>20</v>
      </c>
      <c r="M1138" s="82" t="str">
        <f aca="false">IF(B1138="","",IF(OR(J1138&lt;&gt;"",K1138&lt;&gt;""),"POSÉ EN LIGNE",IF(COUNTIF(BARDAGE!$C$1:$C$5000,B1138)&gt;0,"BARDÉ","EN STOCK")))</f>
        <v>POSÉ EN LIGNE</v>
      </c>
      <c r="N1138" s="80"/>
    </row>
    <row r="1139" customFormat="false" ht="15" hidden="false" customHeight="false" outlineLevel="0" collapsed="false">
      <c r="A1139" s="82" t="n">
        <f aca="false">IF(B1139="","",ROW()-6)</f>
        <v>1133</v>
      </c>
      <c r="B1139" s="145" t="n">
        <v>2090590</v>
      </c>
      <c r="C1139" s="146" t="n">
        <v>15421109</v>
      </c>
      <c r="D1139" s="146"/>
      <c r="E1139" s="82" t="str">
        <f aca="false">IF(B1139="","",IF(COUNTIFS('CARNET DE SOUDURE'!$L$7:$L$3006,B1139,'CARNET DE SOUDURE'!$M$7:$M$3006,"&lt;&gt;"&amp;C1139,'CARNET DE SOUDURE'!$M$7:$M$3006,"&lt;&gt;")+COUNTIFS('CARNET DE SOUDURE'!$O$7:$O$3006,B1139,'CARNET DE SOUDURE'!$P$7:$P$3006,"&lt;&gt;"&amp;C1139,'CARNET DE SOUDURE'!$P$7:$P$3006,"&lt;&gt;")&gt;0,"⚠ DIFFÉRENTE","OK"))</f>
        <v>OK</v>
      </c>
      <c r="F1139" s="147" t="n">
        <v>11.94</v>
      </c>
      <c r="G1139" s="80"/>
      <c r="H1139" s="83"/>
      <c r="I1139" s="148" t="str">
        <f aca="false">IF(B1139="","",IFERROR(INDEX('CARNET DE SOUDURE'!$B$7:$B$3006,MATCH(B1139,'CARNET DE SOUDURE'!$L$7:$L$3006,0)),IFERROR(INDEX('CARNET DE SOUDURE'!$B$7:$B$3006,MATCH(B1139,'CARNET DE SOUDURE'!$O$7:$O$3006,0)),"")))</f>
        <v>MFD-ISW → MFD-CPF</v>
      </c>
      <c r="J1139" s="82" t="str">
        <f aca="false">IF(B1139="","",IFERROR(INDEX('CARNET DE SOUDURE'!$E$7:$E$3006,MATCH(B1139,'CARNET DE SOUDURE'!$O$7:$O$3006,0)),""))</f>
        <v>JN°1681</v>
      </c>
      <c r="K1139" s="82" t="str">
        <f aca="false">IF(B1139="","",IFERROR(INDEX('CARNET DE SOUDURE'!$E$7:$E$3006,MATCH(B1139,'CARNET DE SOUDURE'!$L$7:$L$3006,0)),""))</f>
        <v>JN°1682</v>
      </c>
      <c r="L1139" s="82" t="n">
        <f aca="false">IF(B1139="","",IFERROR(INDEX('CARNET DE SOUDURE'!$D$7:$D$3006,MATCH(B1139,'CARNET DE SOUDURE'!$L$7:$L$3006,0)),IFERROR(INDEX('CARNET DE SOUDURE'!$D$7:$D$3006,MATCH(B1139,'CARNET DE SOUDURE'!$O$7:$O$3006,0)),"")))</f>
        <v>20</v>
      </c>
      <c r="M1139" s="82" t="str">
        <f aca="false">IF(B1139="","",IF(OR(J1139&lt;&gt;"",K1139&lt;&gt;""),"POSÉ EN LIGNE",IF(COUNTIF(BARDAGE!$C$1:$C$5000,B1139)&gt;0,"BARDÉ","EN STOCK")))</f>
        <v>POSÉ EN LIGNE</v>
      </c>
      <c r="N1139" s="80"/>
    </row>
    <row r="1140" customFormat="false" ht="15" hidden="false" customHeight="false" outlineLevel="0" collapsed="false">
      <c r="A1140" s="82" t="n">
        <f aca="false">IF(B1140="","",ROW()-6)</f>
        <v>1134</v>
      </c>
      <c r="B1140" s="145" t="n">
        <v>2092710</v>
      </c>
      <c r="C1140" s="146" t="n">
        <v>15421110</v>
      </c>
      <c r="D1140" s="146"/>
      <c r="E1140" s="82" t="str">
        <f aca="false">IF(B1140="","",IF(COUNTIFS('CARNET DE SOUDURE'!$L$7:$L$3006,B1140,'CARNET DE SOUDURE'!$M$7:$M$3006,"&lt;&gt;"&amp;C1140,'CARNET DE SOUDURE'!$M$7:$M$3006,"&lt;&gt;")+COUNTIFS('CARNET DE SOUDURE'!$O$7:$O$3006,B1140,'CARNET DE SOUDURE'!$P$7:$P$3006,"&lt;&gt;"&amp;C1140,'CARNET DE SOUDURE'!$P$7:$P$3006,"&lt;&gt;")&gt;0,"⚠ DIFFÉRENTE","OK"))</f>
        <v>OK</v>
      </c>
      <c r="F1140" s="147" t="n">
        <v>11.94</v>
      </c>
      <c r="G1140" s="80"/>
      <c r="H1140" s="83"/>
      <c r="I1140" s="148" t="str">
        <f aca="false">IF(B1140="","",IFERROR(INDEX('CARNET DE SOUDURE'!$B$7:$B$3006,MATCH(B1140,'CARNET DE SOUDURE'!$L$7:$L$3006,0)),IFERROR(INDEX('CARNET DE SOUDURE'!$B$7:$B$3006,MATCH(B1140,'CARNET DE SOUDURE'!$O$7:$O$3006,0)),"")))</f>
        <v>MFD-ISW → MFD-CPF</v>
      </c>
      <c r="J1140" s="82" t="str">
        <f aca="false">IF(B1140="","",IFERROR(INDEX('CARNET DE SOUDURE'!$E$7:$E$3006,MATCH(B1140,'CARNET DE SOUDURE'!$O$7:$O$3006,0)),""))</f>
        <v>JN°1682</v>
      </c>
      <c r="K1140" s="82" t="str">
        <f aca="false">IF(B1140="","",IFERROR(INDEX('CARNET DE SOUDURE'!$E$7:$E$3006,MATCH(B1140,'CARNET DE SOUDURE'!$L$7:$L$3006,0)),""))</f>
        <v>JN°1683R</v>
      </c>
      <c r="L1140" s="82" t="n">
        <f aca="false">IF(B1140="","",IFERROR(INDEX('CARNET DE SOUDURE'!$D$7:$D$3006,MATCH(B1140,'CARNET DE SOUDURE'!$L$7:$L$3006,0)),IFERROR(INDEX('CARNET DE SOUDURE'!$D$7:$D$3006,MATCH(B1140,'CARNET DE SOUDURE'!$O$7:$O$3006,0)),"")))</f>
        <v>20</v>
      </c>
      <c r="M1140" s="82" t="str">
        <f aca="false">IF(B1140="","",IF(OR(J1140&lt;&gt;"",K1140&lt;&gt;""),"POSÉ EN LIGNE",IF(COUNTIF(BARDAGE!$C$1:$C$5000,B1140)&gt;0,"BARDÉ","EN STOCK")))</f>
        <v>POSÉ EN LIGNE</v>
      </c>
      <c r="N1140" s="80"/>
    </row>
    <row r="1141" customFormat="false" ht="15" hidden="false" customHeight="false" outlineLevel="0" collapsed="false">
      <c r="A1141" s="82" t="n">
        <f aca="false">IF(B1141="","",ROW()-6)</f>
        <v>1135</v>
      </c>
      <c r="B1141" s="145" t="n">
        <v>2080990</v>
      </c>
      <c r="C1141" s="146" t="n">
        <v>15421103</v>
      </c>
      <c r="D1141" s="146"/>
      <c r="E1141" s="82" t="str">
        <f aca="false">IF(B1141="","",IF(COUNTIFS('CARNET DE SOUDURE'!$L$7:$L$3006,B1141,'CARNET DE SOUDURE'!$M$7:$M$3006,"&lt;&gt;"&amp;C1141,'CARNET DE SOUDURE'!$M$7:$M$3006,"&lt;&gt;")+COUNTIFS('CARNET DE SOUDURE'!$O$7:$O$3006,B1141,'CARNET DE SOUDURE'!$P$7:$P$3006,"&lt;&gt;"&amp;C1141,'CARNET DE SOUDURE'!$P$7:$P$3006,"&lt;&gt;")&gt;0,"⚠ DIFFÉRENTE","OK"))</f>
        <v>OK</v>
      </c>
      <c r="F1141" s="147" t="n">
        <v>11.94</v>
      </c>
      <c r="G1141" s="80"/>
      <c r="H1141" s="83"/>
      <c r="I1141" s="148" t="str">
        <f aca="false">IF(B1141="","",IFERROR(INDEX('CARNET DE SOUDURE'!$B$7:$B$3006,MATCH(B1141,'CARNET DE SOUDURE'!$L$7:$L$3006,0)),IFERROR(INDEX('CARNET DE SOUDURE'!$B$7:$B$3006,MATCH(B1141,'CARNET DE SOUDURE'!$O$7:$O$3006,0)),"")))</f>
        <v>MFD-ISW → MFD-CPF</v>
      </c>
      <c r="J1141" s="82" t="str">
        <f aca="false">IF(B1141="","",IFERROR(INDEX('CARNET DE SOUDURE'!$E$7:$E$3006,MATCH(B1141,'CARNET DE SOUDURE'!$O$7:$O$3006,0)),""))</f>
        <v>JN°1683R</v>
      </c>
      <c r="K1141" s="82" t="str">
        <f aca="false">IF(B1141="","",IFERROR(INDEX('CARNET DE SOUDURE'!$E$7:$E$3006,MATCH(B1141,'CARNET DE SOUDURE'!$L$7:$L$3006,0)),""))</f>
        <v>JN°1684</v>
      </c>
      <c r="L1141" s="82" t="n">
        <f aca="false">IF(B1141="","",IFERROR(INDEX('CARNET DE SOUDURE'!$D$7:$D$3006,MATCH(B1141,'CARNET DE SOUDURE'!$L$7:$L$3006,0)),IFERROR(INDEX('CARNET DE SOUDURE'!$D$7:$D$3006,MATCH(B1141,'CARNET DE SOUDURE'!$O$7:$O$3006,0)),"")))</f>
        <v>20</v>
      </c>
      <c r="M1141" s="82" t="str">
        <f aca="false">IF(B1141="","",IF(OR(J1141&lt;&gt;"",K1141&lt;&gt;""),"POSÉ EN LIGNE",IF(COUNTIF(BARDAGE!$C$1:$C$5000,B1141)&gt;0,"BARDÉ","EN STOCK")))</f>
        <v>POSÉ EN LIGNE</v>
      </c>
      <c r="N1141" s="80"/>
    </row>
    <row r="1142" customFormat="false" ht="15" hidden="false" customHeight="false" outlineLevel="0" collapsed="false">
      <c r="A1142" s="82" t="n">
        <f aca="false">IF(B1142="","",ROW()-6)</f>
        <v>1136</v>
      </c>
      <c r="B1142" s="145" t="n">
        <v>2080820</v>
      </c>
      <c r="C1142" s="146" t="n">
        <v>15421103</v>
      </c>
      <c r="D1142" s="146"/>
      <c r="E1142" s="82" t="str">
        <f aca="false">IF(B1142="","",IF(COUNTIFS('CARNET DE SOUDURE'!$L$7:$L$3006,B1142,'CARNET DE SOUDURE'!$M$7:$M$3006,"&lt;&gt;"&amp;C1142,'CARNET DE SOUDURE'!$M$7:$M$3006,"&lt;&gt;")+COUNTIFS('CARNET DE SOUDURE'!$O$7:$O$3006,B1142,'CARNET DE SOUDURE'!$P$7:$P$3006,"&lt;&gt;"&amp;C1142,'CARNET DE SOUDURE'!$P$7:$P$3006,"&lt;&gt;")&gt;0,"⚠ DIFFÉRENTE","OK"))</f>
        <v>OK</v>
      </c>
      <c r="F1142" s="147" t="n">
        <v>11.94</v>
      </c>
      <c r="G1142" s="80"/>
      <c r="H1142" s="83"/>
      <c r="I1142" s="148" t="str">
        <f aca="false">IF(B1142="","",IFERROR(INDEX('CARNET DE SOUDURE'!$B$7:$B$3006,MATCH(B1142,'CARNET DE SOUDURE'!$L$7:$L$3006,0)),IFERROR(INDEX('CARNET DE SOUDURE'!$B$7:$B$3006,MATCH(B1142,'CARNET DE SOUDURE'!$O$7:$O$3006,0)),"")))</f>
        <v>MFD-ISW → MFD-CPF</v>
      </c>
      <c r="J1142" s="82" t="str">
        <f aca="false">IF(B1142="","",IFERROR(INDEX('CARNET DE SOUDURE'!$E$7:$E$3006,MATCH(B1142,'CARNET DE SOUDURE'!$O$7:$O$3006,0)),""))</f>
        <v>JN°1685</v>
      </c>
      <c r="K1142" s="82" t="str">
        <f aca="false">IF(B1142="","",IFERROR(INDEX('CARNET DE SOUDURE'!$E$7:$E$3006,MATCH(B1142,'CARNET DE SOUDURE'!$L$7:$L$3006,0)),""))</f>
        <v>JN°1686</v>
      </c>
      <c r="L1142" s="82" t="n">
        <f aca="false">IF(B1142="","",IFERROR(INDEX('CARNET DE SOUDURE'!$D$7:$D$3006,MATCH(B1142,'CARNET DE SOUDURE'!$L$7:$L$3006,0)),IFERROR(INDEX('CARNET DE SOUDURE'!$D$7:$D$3006,MATCH(B1142,'CARNET DE SOUDURE'!$O$7:$O$3006,0)),"")))</f>
        <v>20</v>
      </c>
      <c r="M1142" s="82" t="str">
        <f aca="false">IF(B1142="","",IF(OR(J1142&lt;&gt;"",K1142&lt;&gt;""),"POSÉ EN LIGNE",IF(COUNTIF(BARDAGE!$C$1:$C$5000,B1142)&gt;0,"BARDÉ","EN STOCK")))</f>
        <v>POSÉ EN LIGNE</v>
      </c>
      <c r="N1142" s="80"/>
    </row>
    <row r="1143" customFormat="false" ht="15" hidden="false" customHeight="false" outlineLevel="0" collapsed="false">
      <c r="A1143" s="82" t="n">
        <f aca="false">IF(B1143="","",ROW()-6)</f>
        <v>1137</v>
      </c>
      <c r="B1143" s="145" t="n">
        <v>2094790</v>
      </c>
      <c r="C1143" s="146" t="n">
        <v>15421111</v>
      </c>
      <c r="D1143" s="146"/>
      <c r="E1143" s="82" t="str">
        <f aca="false">IF(B1143="","",IF(COUNTIFS('CARNET DE SOUDURE'!$L$7:$L$3006,B1143,'CARNET DE SOUDURE'!$M$7:$M$3006,"&lt;&gt;"&amp;C1143,'CARNET DE SOUDURE'!$M$7:$M$3006,"&lt;&gt;")+COUNTIFS('CARNET DE SOUDURE'!$O$7:$O$3006,B1143,'CARNET DE SOUDURE'!$P$7:$P$3006,"&lt;&gt;"&amp;C1143,'CARNET DE SOUDURE'!$P$7:$P$3006,"&lt;&gt;")&gt;0,"⚠ DIFFÉRENTE","OK"))</f>
        <v>OK</v>
      </c>
      <c r="F1143" s="147" t="n">
        <v>11.94</v>
      </c>
      <c r="G1143" s="80"/>
      <c r="H1143" s="83"/>
      <c r="I1143" s="148" t="str">
        <f aca="false">IF(B1143="","",IFERROR(INDEX('CARNET DE SOUDURE'!$B$7:$B$3006,MATCH(B1143,'CARNET DE SOUDURE'!$L$7:$L$3006,0)),IFERROR(INDEX('CARNET DE SOUDURE'!$B$7:$B$3006,MATCH(B1143,'CARNET DE SOUDURE'!$O$7:$O$3006,0)),"")))</f>
        <v>MFD-ISW → MFD-CPF</v>
      </c>
      <c r="J1143" s="82" t="str">
        <f aca="false">IF(B1143="","",IFERROR(INDEX('CARNET DE SOUDURE'!$E$7:$E$3006,MATCH(B1143,'CARNET DE SOUDURE'!$O$7:$O$3006,0)),""))</f>
        <v>JN°1686</v>
      </c>
      <c r="K1143" s="82" t="str">
        <f aca="false">IF(B1143="","",IFERROR(INDEX('CARNET DE SOUDURE'!$E$7:$E$3006,MATCH(B1143,'CARNET DE SOUDURE'!$L$7:$L$3006,0)),""))</f>
        <v>JN°1687</v>
      </c>
      <c r="L1143" s="82" t="n">
        <f aca="false">IF(B1143="","",IFERROR(INDEX('CARNET DE SOUDURE'!$D$7:$D$3006,MATCH(B1143,'CARNET DE SOUDURE'!$L$7:$L$3006,0)),IFERROR(INDEX('CARNET DE SOUDURE'!$D$7:$D$3006,MATCH(B1143,'CARNET DE SOUDURE'!$O$7:$O$3006,0)),"")))</f>
        <v>21</v>
      </c>
      <c r="M1143" s="82" t="str">
        <f aca="false">IF(B1143="","",IF(OR(J1143&lt;&gt;"",K1143&lt;&gt;""),"POSÉ EN LIGNE",IF(COUNTIF(BARDAGE!$C$1:$C$5000,B1143)&gt;0,"BARDÉ","EN STOCK")))</f>
        <v>POSÉ EN LIGNE</v>
      </c>
      <c r="N1143" s="80"/>
    </row>
    <row r="1144" customFormat="false" ht="15" hidden="false" customHeight="false" outlineLevel="0" collapsed="false">
      <c r="A1144" s="82" t="n">
        <f aca="false">IF(B1144="","",ROW()-6)</f>
        <v>1138</v>
      </c>
      <c r="B1144" s="145" t="n">
        <v>2086660</v>
      </c>
      <c r="C1144" s="146" t="n">
        <v>15421107</v>
      </c>
      <c r="D1144" s="146"/>
      <c r="E1144" s="82" t="str">
        <f aca="false">IF(B1144="","",IF(COUNTIFS('CARNET DE SOUDURE'!$L$7:$L$3006,B1144,'CARNET DE SOUDURE'!$M$7:$M$3006,"&lt;&gt;"&amp;C1144,'CARNET DE SOUDURE'!$M$7:$M$3006,"&lt;&gt;")+COUNTIFS('CARNET DE SOUDURE'!$O$7:$O$3006,B1144,'CARNET DE SOUDURE'!$P$7:$P$3006,"&lt;&gt;"&amp;C1144,'CARNET DE SOUDURE'!$P$7:$P$3006,"&lt;&gt;")&gt;0,"⚠ DIFFÉRENTE","OK"))</f>
        <v>OK</v>
      </c>
      <c r="F1144" s="147" t="n">
        <v>11.94</v>
      </c>
      <c r="G1144" s="80"/>
      <c r="H1144" s="83"/>
      <c r="I1144" s="148" t="str">
        <f aca="false">IF(B1144="","",IFERROR(INDEX('CARNET DE SOUDURE'!$B$7:$B$3006,MATCH(B1144,'CARNET DE SOUDURE'!$L$7:$L$3006,0)),IFERROR(INDEX('CARNET DE SOUDURE'!$B$7:$B$3006,MATCH(B1144,'CARNET DE SOUDURE'!$O$7:$O$3006,0)),"")))</f>
        <v>MFD-ISW → MFD-CPF</v>
      </c>
      <c r="J1144" s="82" t="str">
        <f aca="false">IF(B1144="","",IFERROR(INDEX('CARNET DE SOUDURE'!$E$7:$E$3006,MATCH(B1144,'CARNET DE SOUDURE'!$O$7:$O$3006,0)),""))</f>
        <v>JN°1687</v>
      </c>
      <c r="K1144" s="82" t="str">
        <f aca="false">IF(B1144="","",IFERROR(INDEX('CARNET DE SOUDURE'!$E$7:$E$3006,MATCH(B1144,'CARNET DE SOUDURE'!$L$7:$L$3006,0)),""))</f>
        <v>JN°1688</v>
      </c>
      <c r="L1144" s="82" t="n">
        <f aca="false">IF(B1144="","",IFERROR(INDEX('CARNET DE SOUDURE'!$D$7:$D$3006,MATCH(B1144,'CARNET DE SOUDURE'!$L$7:$L$3006,0)),IFERROR(INDEX('CARNET DE SOUDURE'!$D$7:$D$3006,MATCH(B1144,'CARNET DE SOUDURE'!$O$7:$O$3006,0)),"")))</f>
        <v>21</v>
      </c>
      <c r="M1144" s="82" t="str">
        <f aca="false">IF(B1144="","",IF(OR(J1144&lt;&gt;"",K1144&lt;&gt;""),"POSÉ EN LIGNE",IF(COUNTIF(BARDAGE!$C$1:$C$5000,B1144)&gt;0,"BARDÉ","EN STOCK")))</f>
        <v>POSÉ EN LIGNE</v>
      </c>
      <c r="N1144" s="80"/>
    </row>
    <row r="1145" customFormat="false" ht="15" hidden="false" customHeight="false" outlineLevel="0" collapsed="false">
      <c r="A1145" s="82" t="n">
        <f aca="false">IF(B1145="","",ROW()-6)</f>
        <v>1139</v>
      </c>
      <c r="B1145" s="145" t="n">
        <v>2081710</v>
      </c>
      <c r="C1145" s="146" t="n">
        <v>15421103</v>
      </c>
      <c r="D1145" s="146"/>
      <c r="E1145" s="82" t="str">
        <f aca="false">IF(B1145="","",IF(COUNTIFS('CARNET DE SOUDURE'!$L$7:$L$3006,B1145,'CARNET DE SOUDURE'!$M$7:$M$3006,"&lt;&gt;"&amp;C1145,'CARNET DE SOUDURE'!$M$7:$M$3006,"&lt;&gt;")+COUNTIFS('CARNET DE SOUDURE'!$O$7:$O$3006,B1145,'CARNET DE SOUDURE'!$P$7:$P$3006,"&lt;&gt;"&amp;C1145,'CARNET DE SOUDURE'!$P$7:$P$3006,"&lt;&gt;")&gt;0,"⚠ DIFFÉRENTE","OK"))</f>
        <v>OK</v>
      </c>
      <c r="F1145" s="147" t="n">
        <v>11.94</v>
      </c>
      <c r="G1145" s="80"/>
      <c r="H1145" s="83"/>
      <c r="I1145" s="148" t="str">
        <f aca="false">IF(B1145="","",IFERROR(INDEX('CARNET DE SOUDURE'!$B$7:$B$3006,MATCH(B1145,'CARNET DE SOUDURE'!$L$7:$L$3006,0)),IFERROR(INDEX('CARNET DE SOUDURE'!$B$7:$B$3006,MATCH(B1145,'CARNET DE SOUDURE'!$O$7:$O$3006,0)),"")))</f>
        <v>MFD-ISW → MFD-CPF</v>
      </c>
      <c r="J1145" s="82" t="str">
        <f aca="false">IF(B1145="","",IFERROR(INDEX('CARNET DE SOUDURE'!$E$7:$E$3006,MATCH(B1145,'CARNET DE SOUDURE'!$O$7:$O$3006,0)),""))</f>
        <v>JN°1719</v>
      </c>
      <c r="K1145" s="82" t="str">
        <f aca="false">IF(B1145="","",IFERROR(INDEX('CARNET DE SOUDURE'!$E$7:$E$3006,MATCH(B1145,'CARNET DE SOUDURE'!$L$7:$L$3006,0)),""))</f>
        <v>JN°1720</v>
      </c>
      <c r="L1145" s="82" t="n">
        <f aca="false">IF(B1145="","",IFERROR(INDEX('CARNET DE SOUDURE'!$D$7:$D$3006,MATCH(B1145,'CARNET DE SOUDURE'!$L$7:$L$3006,0)),IFERROR(INDEX('CARNET DE SOUDURE'!$D$7:$D$3006,MATCH(B1145,'CARNET DE SOUDURE'!$O$7:$O$3006,0)),"")))</f>
        <v>21</v>
      </c>
      <c r="M1145" s="82" t="str">
        <f aca="false">IF(B1145="","",IF(OR(J1145&lt;&gt;"",K1145&lt;&gt;""),"POSÉ EN LIGNE",IF(COUNTIF(BARDAGE!$C$1:$C$5000,B1145)&gt;0,"BARDÉ","EN STOCK")))</f>
        <v>POSÉ EN LIGNE</v>
      </c>
      <c r="N1145" s="80"/>
    </row>
    <row r="1146" customFormat="false" ht="15" hidden="false" customHeight="false" outlineLevel="0" collapsed="false">
      <c r="A1146" s="82" t="n">
        <f aca="false">IF(B1146="","",ROW()-6)</f>
        <v>1140</v>
      </c>
      <c r="B1146" s="145" t="n">
        <v>2081630</v>
      </c>
      <c r="C1146" s="146" t="n">
        <v>15421103</v>
      </c>
      <c r="D1146" s="146"/>
      <c r="E1146" s="82" t="str">
        <f aca="false">IF(B1146="","",IF(COUNTIFS('CARNET DE SOUDURE'!$L$7:$L$3006,B1146,'CARNET DE SOUDURE'!$M$7:$M$3006,"&lt;&gt;"&amp;C1146,'CARNET DE SOUDURE'!$M$7:$M$3006,"&lt;&gt;")+COUNTIFS('CARNET DE SOUDURE'!$O$7:$O$3006,B1146,'CARNET DE SOUDURE'!$P$7:$P$3006,"&lt;&gt;"&amp;C1146,'CARNET DE SOUDURE'!$P$7:$P$3006,"&lt;&gt;")&gt;0,"⚠ DIFFÉRENTE","OK"))</f>
        <v>OK</v>
      </c>
      <c r="F1146" s="147" t="n">
        <v>11.94</v>
      </c>
      <c r="G1146" s="80"/>
      <c r="H1146" s="83"/>
      <c r="I1146" s="148" t="str">
        <f aca="false">IF(B1146="","",IFERROR(INDEX('CARNET DE SOUDURE'!$B$7:$B$3006,MATCH(B1146,'CARNET DE SOUDURE'!$L$7:$L$3006,0)),IFERROR(INDEX('CARNET DE SOUDURE'!$B$7:$B$3006,MATCH(B1146,'CARNET DE SOUDURE'!$O$7:$O$3006,0)),"")))</f>
        <v>MFD-ISW → MFD-CPF</v>
      </c>
      <c r="J1146" s="82" t="str">
        <f aca="false">IF(B1146="","",IFERROR(INDEX('CARNET DE SOUDURE'!$E$7:$E$3006,MATCH(B1146,'CARNET DE SOUDURE'!$O$7:$O$3006,0)),""))</f>
        <v>JN°1720</v>
      </c>
      <c r="K1146" s="82" t="str">
        <f aca="false">IF(B1146="","",IFERROR(INDEX('CARNET DE SOUDURE'!$E$7:$E$3006,MATCH(B1146,'CARNET DE SOUDURE'!$L$7:$L$3006,0)),""))</f>
        <v>JN°1721</v>
      </c>
      <c r="L1146" s="82" t="n">
        <f aca="false">IF(B1146="","",IFERROR(INDEX('CARNET DE SOUDURE'!$D$7:$D$3006,MATCH(B1146,'CARNET DE SOUDURE'!$L$7:$L$3006,0)),IFERROR(INDEX('CARNET DE SOUDURE'!$D$7:$D$3006,MATCH(B1146,'CARNET DE SOUDURE'!$O$7:$O$3006,0)),"")))</f>
        <v>21</v>
      </c>
      <c r="M1146" s="82" t="str">
        <f aca="false">IF(B1146="","",IF(OR(J1146&lt;&gt;"",K1146&lt;&gt;""),"POSÉ EN LIGNE",IF(COUNTIF(BARDAGE!$C$1:$C$5000,B1146)&gt;0,"BARDÉ","EN STOCK")))</f>
        <v>POSÉ EN LIGNE</v>
      </c>
      <c r="N1146" s="80"/>
    </row>
    <row r="1147" customFormat="false" ht="15" hidden="false" customHeight="false" outlineLevel="0" collapsed="false">
      <c r="A1147" s="82" t="n">
        <f aca="false">IF(B1147="","",ROW()-6)</f>
        <v>1141</v>
      </c>
      <c r="B1147" s="145" t="n">
        <v>2098020</v>
      </c>
      <c r="C1147" s="146" t="n">
        <v>15421112</v>
      </c>
      <c r="D1147" s="146"/>
      <c r="E1147" s="82" t="str">
        <f aca="false">IF(B1147="","",IF(COUNTIFS('CARNET DE SOUDURE'!$L$7:$L$3006,B1147,'CARNET DE SOUDURE'!$M$7:$M$3006,"&lt;&gt;"&amp;C1147,'CARNET DE SOUDURE'!$M$7:$M$3006,"&lt;&gt;")+COUNTIFS('CARNET DE SOUDURE'!$O$7:$O$3006,B1147,'CARNET DE SOUDURE'!$P$7:$P$3006,"&lt;&gt;"&amp;C1147,'CARNET DE SOUDURE'!$P$7:$P$3006,"&lt;&gt;")&gt;0,"⚠ DIFFÉRENTE","OK"))</f>
        <v>OK</v>
      </c>
      <c r="F1147" s="147" t="n">
        <v>11.94</v>
      </c>
      <c r="G1147" s="80"/>
      <c r="H1147" s="83"/>
      <c r="I1147" s="148" t="str">
        <f aca="false">IF(B1147="","",IFERROR(INDEX('CARNET DE SOUDURE'!$B$7:$B$3006,MATCH(B1147,'CARNET DE SOUDURE'!$L$7:$L$3006,0)),IFERROR(INDEX('CARNET DE SOUDURE'!$B$7:$B$3006,MATCH(B1147,'CARNET DE SOUDURE'!$O$7:$O$3006,0)),"")))</f>
        <v>MFD-ISW → MFD-CPF</v>
      </c>
      <c r="J1147" s="82" t="str">
        <f aca="false">IF(B1147="","",IFERROR(INDEX('CARNET DE SOUDURE'!$E$7:$E$3006,MATCH(B1147,'CARNET DE SOUDURE'!$O$7:$O$3006,0)),""))</f>
        <v>JN°1721</v>
      </c>
      <c r="K1147" s="82" t="str">
        <f aca="false">IF(B1147="","",IFERROR(INDEX('CARNET DE SOUDURE'!$E$7:$E$3006,MATCH(B1147,'CARNET DE SOUDURE'!$L$7:$L$3006,0)),""))</f>
        <v>JN°1722</v>
      </c>
      <c r="L1147" s="82" t="n">
        <f aca="false">IF(B1147="","",IFERROR(INDEX('CARNET DE SOUDURE'!$D$7:$D$3006,MATCH(B1147,'CARNET DE SOUDURE'!$L$7:$L$3006,0)),IFERROR(INDEX('CARNET DE SOUDURE'!$D$7:$D$3006,MATCH(B1147,'CARNET DE SOUDURE'!$O$7:$O$3006,0)),"")))</f>
        <v>21</v>
      </c>
      <c r="M1147" s="82" t="str">
        <f aca="false">IF(B1147="","",IF(OR(J1147&lt;&gt;"",K1147&lt;&gt;""),"POSÉ EN LIGNE",IF(COUNTIF(BARDAGE!$C$1:$C$5000,B1147)&gt;0,"BARDÉ","EN STOCK")))</f>
        <v>POSÉ EN LIGNE</v>
      </c>
      <c r="N1147" s="80"/>
    </row>
    <row r="1148" customFormat="false" ht="15" hidden="false" customHeight="false" outlineLevel="0" collapsed="false">
      <c r="A1148" s="82" t="n">
        <f aca="false">IF(B1148="","",ROW()-6)</f>
        <v>1142</v>
      </c>
      <c r="B1148" s="145" t="n">
        <v>2088500</v>
      </c>
      <c r="C1148" s="146" t="n">
        <v>15421108</v>
      </c>
      <c r="D1148" s="146"/>
      <c r="E1148" s="82" t="str">
        <f aca="false">IF(B1148="","",IF(COUNTIFS('CARNET DE SOUDURE'!$L$7:$L$3006,B1148,'CARNET DE SOUDURE'!$M$7:$M$3006,"&lt;&gt;"&amp;C1148,'CARNET DE SOUDURE'!$M$7:$M$3006,"&lt;&gt;")+COUNTIFS('CARNET DE SOUDURE'!$O$7:$O$3006,B1148,'CARNET DE SOUDURE'!$P$7:$P$3006,"&lt;&gt;"&amp;C1148,'CARNET DE SOUDURE'!$P$7:$P$3006,"&lt;&gt;")&gt;0,"⚠ DIFFÉRENTE","OK"))</f>
        <v>OK</v>
      </c>
      <c r="F1148" s="147" t="n">
        <v>11.94</v>
      </c>
      <c r="G1148" s="80"/>
      <c r="H1148" s="83"/>
      <c r="I1148" s="148" t="str">
        <f aca="false">IF(B1148="","",IFERROR(INDEX('CARNET DE SOUDURE'!$B$7:$B$3006,MATCH(B1148,'CARNET DE SOUDURE'!$L$7:$L$3006,0)),IFERROR(INDEX('CARNET DE SOUDURE'!$B$7:$B$3006,MATCH(B1148,'CARNET DE SOUDURE'!$O$7:$O$3006,0)),"")))</f>
        <v>MFD-ISW → MFD-CPF</v>
      </c>
      <c r="J1148" s="82" t="str">
        <f aca="false">IF(B1148="","",IFERROR(INDEX('CARNET DE SOUDURE'!$E$7:$E$3006,MATCH(B1148,'CARNET DE SOUDURE'!$O$7:$O$3006,0)),""))</f>
        <v>JN°1722</v>
      </c>
      <c r="K1148" s="82" t="str">
        <f aca="false">IF(B1148="","",IFERROR(INDEX('CARNET DE SOUDURE'!$E$7:$E$3006,MATCH(B1148,'CARNET DE SOUDURE'!$L$7:$L$3006,0)),""))</f>
        <v>JN°1723</v>
      </c>
      <c r="L1148" s="82" t="n">
        <f aca="false">IF(B1148="","",IFERROR(INDEX('CARNET DE SOUDURE'!$D$7:$D$3006,MATCH(B1148,'CARNET DE SOUDURE'!$L$7:$L$3006,0)),IFERROR(INDEX('CARNET DE SOUDURE'!$D$7:$D$3006,MATCH(B1148,'CARNET DE SOUDURE'!$O$7:$O$3006,0)),"")))</f>
        <v>21</v>
      </c>
      <c r="M1148" s="82" t="str">
        <f aca="false">IF(B1148="","",IF(OR(J1148&lt;&gt;"",K1148&lt;&gt;""),"POSÉ EN LIGNE",IF(COUNTIF(BARDAGE!$C$1:$C$5000,B1148)&gt;0,"BARDÉ","EN STOCK")))</f>
        <v>POSÉ EN LIGNE</v>
      </c>
      <c r="N1148" s="80"/>
    </row>
    <row r="1149" customFormat="false" ht="15" hidden="false" customHeight="false" outlineLevel="0" collapsed="false">
      <c r="A1149" s="82" t="n">
        <f aca="false">IF(B1149="","",ROW()-6)</f>
        <v>1143</v>
      </c>
      <c r="B1149" s="145" t="n">
        <v>2080060</v>
      </c>
      <c r="C1149" s="146" t="n">
        <v>15421102</v>
      </c>
      <c r="D1149" s="146"/>
      <c r="E1149" s="82" t="str">
        <f aca="false">IF(B1149="","",IF(COUNTIFS('CARNET DE SOUDURE'!$L$7:$L$3006,B1149,'CARNET DE SOUDURE'!$M$7:$M$3006,"&lt;&gt;"&amp;C1149,'CARNET DE SOUDURE'!$M$7:$M$3006,"&lt;&gt;")+COUNTIFS('CARNET DE SOUDURE'!$O$7:$O$3006,B1149,'CARNET DE SOUDURE'!$P$7:$P$3006,"&lt;&gt;"&amp;C1149,'CARNET DE SOUDURE'!$P$7:$P$3006,"&lt;&gt;")&gt;0,"⚠ DIFFÉRENTE","OK"))</f>
        <v>OK</v>
      </c>
      <c r="F1149" s="147" t="n">
        <v>11.94</v>
      </c>
      <c r="G1149" s="80"/>
      <c r="H1149" s="83"/>
      <c r="I1149" s="148" t="str">
        <f aca="false">IF(B1149="","",IFERROR(INDEX('CARNET DE SOUDURE'!$B$7:$B$3006,MATCH(B1149,'CARNET DE SOUDURE'!$L$7:$L$3006,0)),IFERROR(INDEX('CARNET DE SOUDURE'!$B$7:$B$3006,MATCH(B1149,'CARNET DE SOUDURE'!$O$7:$O$3006,0)),"")))</f>
        <v>MFD-ISW → MFD-CPF</v>
      </c>
      <c r="J1149" s="82" t="str">
        <f aca="false">IF(B1149="","",IFERROR(INDEX('CARNET DE SOUDURE'!$E$7:$E$3006,MATCH(B1149,'CARNET DE SOUDURE'!$O$7:$O$3006,0)),""))</f>
        <v>JN°1723</v>
      </c>
      <c r="K1149" s="82" t="str">
        <f aca="false">IF(B1149="","",IFERROR(INDEX('CARNET DE SOUDURE'!$E$7:$E$3006,MATCH(B1149,'CARNET DE SOUDURE'!$L$7:$L$3006,0)),""))</f>
        <v>JN°1724</v>
      </c>
      <c r="L1149" s="82" t="n">
        <f aca="false">IF(B1149="","",IFERROR(INDEX('CARNET DE SOUDURE'!$D$7:$D$3006,MATCH(B1149,'CARNET DE SOUDURE'!$L$7:$L$3006,0)),IFERROR(INDEX('CARNET DE SOUDURE'!$D$7:$D$3006,MATCH(B1149,'CARNET DE SOUDURE'!$O$7:$O$3006,0)),"")))</f>
        <v>21</v>
      </c>
      <c r="M1149" s="82" t="str">
        <f aca="false">IF(B1149="","",IF(OR(J1149&lt;&gt;"",K1149&lt;&gt;""),"POSÉ EN LIGNE",IF(COUNTIF(BARDAGE!$C$1:$C$5000,B1149)&gt;0,"BARDÉ","EN STOCK")))</f>
        <v>POSÉ EN LIGNE</v>
      </c>
      <c r="N1149" s="80"/>
    </row>
    <row r="1150" customFormat="false" ht="15" hidden="false" customHeight="false" outlineLevel="0" collapsed="false">
      <c r="A1150" s="82" t="n">
        <f aca="false">IF(B1150="","",ROW()-6)</f>
        <v>1144</v>
      </c>
      <c r="B1150" s="145" t="n">
        <v>2090690</v>
      </c>
      <c r="C1150" s="146" t="n">
        <v>15421109</v>
      </c>
      <c r="D1150" s="146"/>
      <c r="E1150" s="82" t="str">
        <f aca="false">IF(B1150="","",IF(COUNTIFS('CARNET DE SOUDURE'!$L$7:$L$3006,B1150,'CARNET DE SOUDURE'!$M$7:$M$3006,"&lt;&gt;"&amp;C1150,'CARNET DE SOUDURE'!$M$7:$M$3006,"&lt;&gt;")+COUNTIFS('CARNET DE SOUDURE'!$O$7:$O$3006,B1150,'CARNET DE SOUDURE'!$P$7:$P$3006,"&lt;&gt;"&amp;C1150,'CARNET DE SOUDURE'!$P$7:$P$3006,"&lt;&gt;")&gt;0,"⚠ DIFFÉRENTE","OK"))</f>
        <v>OK</v>
      </c>
      <c r="F1150" s="147" t="n">
        <v>11.94</v>
      </c>
      <c r="G1150" s="80"/>
      <c r="H1150" s="83"/>
      <c r="I1150" s="148" t="str">
        <f aca="false">IF(B1150="","",IFERROR(INDEX('CARNET DE SOUDURE'!$B$7:$B$3006,MATCH(B1150,'CARNET DE SOUDURE'!$L$7:$L$3006,0)),IFERROR(INDEX('CARNET DE SOUDURE'!$B$7:$B$3006,MATCH(B1150,'CARNET DE SOUDURE'!$O$7:$O$3006,0)),"")))</f>
        <v>MFD-ISW → MFD-CPF</v>
      </c>
      <c r="J1150" s="82" t="str">
        <f aca="false">IF(B1150="","",IFERROR(INDEX('CARNET DE SOUDURE'!$E$7:$E$3006,MATCH(B1150,'CARNET DE SOUDURE'!$O$7:$O$3006,0)),""))</f>
        <v>JN°1726</v>
      </c>
      <c r="K1150" s="82" t="str">
        <f aca="false">IF(B1150="","",IFERROR(INDEX('CARNET DE SOUDURE'!$E$7:$E$3006,MATCH(B1150,'CARNET DE SOUDURE'!$L$7:$L$3006,0)),""))</f>
        <v>JN°1727</v>
      </c>
      <c r="L1150" s="82" t="n">
        <f aca="false">IF(B1150="","",IFERROR(INDEX('CARNET DE SOUDURE'!$D$7:$D$3006,MATCH(B1150,'CARNET DE SOUDURE'!$L$7:$L$3006,0)),IFERROR(INDEX('CARNET DE SOUDURE'!$D$7:$D$3006,MATCH(B1150,'CARNET DE SOUDURE'!$O$7:$O$3006,0)),"")))</f>
        <v>21</v>
      </c>
      <c r="M1150" s="82" t="str">
        <f aca="false">IF(B1150="","",IF(OR(J1150&lt;&gt;"",K1150&lt;&gt;""),"POSÉ EN LIGNE",IF(COUNTIF(BARDAGE!$C$1:$C$5000,B1150)&gt;0,"BARDÉ","EN STOCK")))</f>
        <v>POSÉ EN LIGNE</v>
      </c>
      <c r="N1150" s="80"/>
    </row>
    <row r="1151" customFormat="false" ht="15" hidden="false" customHeight="false" outlineLevel="0" collapsed="false">
      <c r="A1151" s="82" t="n">
        <f aca="false">IF(B1151="","",ROW()-6)</f>
        <v>1145</v>
      </c>
      <c r="B1151" s="145" t="n">
        <v>2093520</v>
      </c>
      <c r="C1151" s="146" t="n">
        <v>15421110</v>
      </c>
      <c r="D1151" s="146"/>
      <c r="E1151" s="82" t="str">
        <f aca="false">IF(B1151="","",IF(COUNTIFS('CARNET DE SOUDURE'!$L$7:$L$3006,B1151,'CARNET DE SOUDURE'!$M$7:$M$3006,"&lt;&gt;"&amp;C1151,'CARNET DE SOUDURE'!$M$7:$M$3006,"&lt;&gt;")+COUNTIFS('CARNET DE SOUDURE'!$O$7:$O$3006,B1151,'CARNET DE SOUDURE'!$P$7:$P$3006,"&lt;&gt;"&amp;C1151,'CARNET DE SOUDURE'!$P$7:$P$3006,"&lt;&gt;")&gt;0,"⚠ DIFFÉRENTE","OK"))</f>
        <v>OK</v>
      </c>
      <c r="F1151" s="147" t="n">
        <v>11.94</v>
      </c>
      <c r="G1151" s="80"/>
      <c r="H1151" s="83"/>
      <c r="I1151" s="148" t="str">
        <f aca="false">IF(B1151="","",IFERROR(INDEX('CARNET DE SOUDURE'!$B$7:$B$3006,MATCH(B1151,'CARNET DE SOUDURE'!$L$7:$L$3006,0)),IFERROR(INDEX('CARNET DE SOUDURE'!$B$7:$B$3006,MATCH(B1151,'CARNET DE SOUDURE'!$O$7:$O$3006,0)),"")))</f>
        <v>MFD-ISW → MFD-CPF</v>
      </c>
      <c r="J1151" s="82" t="str">
        <f aca="false">IF(B1151="","",IFERROR(INDEX('CARNET DE SOUDURE'!$E$7:$E$3006,MATCH(B1151,'CARNET DE SOUDURE'!$O$7:$O$3006,0)),""))</f>
        <v>JN°1727</v>
      </c>
      <c r="K1151" s="82" t="str">
        <f aca="false">IF(B1151="","",IFERROR(INDEX('CARNET DE SOUDURE'!$E$7:$E$3006,MATCH(B1151,'CARNET DE SOUDURE'!$L$7:$L$3006,0)),""))</f>
        <v>JN°1728</v>
      </c>
      <c r="L1151" s="82" t="n">
        <f aca="false">IF(B1151="","",IFERROR(INDEX('CARNET DE SOUDURE'!$D$7:$D$3006,MATCH(B1151,'CARNET DE SOUDURE'!$L$7:$L$3006,0)),IFERROR(INDEX('CARNET DE SOUDURE'!$D$7:$D$3006,MATCH(B1151,'CARNET DE SOUDURE'!$O$7:$O$3006,0)),"")))</f>
        <v>21</v>
      </c>
      <c r="M1151" s="82" t="str">
        <f aca="false">IF(B1151="","",IF(OR(J1151&lt;&gt;"",K1151&lt;&gt;""),"POSÉ EN LIGNE",IF(COUNTIF(BARDAGE!$C$1:$C$5000,B1151)&gt;0,"BARDÉ","EN STOCK")))</f>
        <v>POSÉ EN LIGNE</v>
      </c>
      <c r="N1151" s="80"/>
    </row>
    <row r="1152" customFormat="false" ht="15" hidden="false" customHeight="false" outlineLevel="0" collapsed="false">
      <c r="A1152" s="82" t="n">
        <f aca="false">IF(B1152="","",ROW()-6)</f>
        <v>1146</v>
      </c>
      <c r="B1152" s="145" t="n">
        <v>2079160</v>
      </c>
      <c r="C1152" s="146" t="n">
        <v>15421102</v>
      </c>
      <c r="D1152" s="146"/>
      <c r="E1152" s="82" t="str">
        <f aca="false">IF(B1152="","",IF(COUNTIFS('CARNET DE SOUDURE'!$L$7:$L$3006,B1152,'CARNET DE SOUDURE'!$M$7:$M$3006,"&lt;&gt;"&amp;C1152,'CARNET DE SOUDURE'!$M$7:$M$3006,"&lt;&gt;")+COUNTIFS('CARNET DE SOUDURE'!$O$7:$O$3006,B1152,'CARNET DE SOUDURE'!$P$7:$P$3006,"&lt;&gt;"&amp;C1152,'CARNET DE SOUDURE'!$P$7:$P$3006,"&lt;&gt;")&gt;0,"⚠ DIFFÉRENTE","OK"))</f>
        <v>OK</v>
      </c>
      <c r="F1152" s="147" t="n">
        <v>11.94</v>
      </c>
      <c r="G1152" s="80"/>
      <c r="H1152" s="83"/>
      <c r="I1152" s="148" t="str">
        <f aca="false">IF(B1152="","",IFERROR(INDEX('CARNET DE SOUDURE'!$B$7:$B$3006,MATCH(B1152,'CARNET DE SOUDURE'!$L$7:$L$3006,0)),IFERROR(INDEX('CARNET DE SOUDURE'!$B$7:$B$3006,MATCH(B1152,'CARNET DE SOUDURE'!$O$7:$O$3006,0)),"")))</f>
        <v>MFD-ISW → MFD-CPF</v>
      </c>
      <c r="J1152" s="82" t="str">
        <f aca="false">IF(B1152="","",IFERROR(INDEX('CARNET DE SOUDURE'!$E$7:$E$3006,MATCH(B1152,'CARNET DE SOUDURE'!$O$7:$O$3006,0)),""))</f>
        <v>JN°1728</v>
      </c>
      <c r="K1152" s="82" t="str">
        <f aca="false">IF(B1152="","",IFERROR(INDEX('CARNET DE SOUDURE'!$E$7:$E$3006,MATCH(B1152,'CARNET DE SOUDURE'!$L$7:$L$3006,0)),""))</f>
        <v>JN°1729</v>
      </c>
      <c r="L1152" s="82" t="n">
        <f aca="false">IF(B1152="","",IFERROR(INDEX('CARNET DE SOUDURE'!$D$7:$D$3006,MATCH(B1152,'CARNET DE SOUDURE'!$L$7:$L$3006,0)),IFERROR(INDEX('CARNET DE SOUDURE'!$D$7:$D$3006,MATCH(B1152,'CARNET DE SOUDURE'!$O$7:$O$3006,0)),"")))</f>
        <v>21</v>
      </c>
      <c r="M1152" s="82" t="str">
        <f aca="false">IF(B1152="","",IF(OR(J1152&lt;&gt;"",K1152&lt;&gt;""),"POSÉ EN LIGNE",IF(COUNTIF(BARDAGE!$C$1:$C$5000,B1152)&gt;0,"BARDÉ","EN STOCK")))</f>
        <v>POSÉ EN LIGNE</v>
      </c>
      <c r="N1152" s="80"/>
    </row>
    <row r="1153" customFormat="false" ht="15" hidden="false" customHeight="false" outlineLevel="0" collapsed="false">
      <c r="A1153" s="82" t="n">
        <f aca="false">IF(B1153="","",ROW()-6)</f>
        <v>1147</v>
      </c>
      <c r="B1153" s="145" t="n">
        <v>2094600</v>
      </c>
      <c r="C1153" s="146" t="n">
        <v>15421111</v>
      </c>
      <c r="D1153" s="146"/>
      <c r="E1153" s="82" t="str">
        <f aca="false">IF(B1153="","",IF(COUNTIFS('CARNET DE SOUDURE'!$L$7:$L$3006,B1153,'CARNET DE SOUDURE'!$M$7:$M$3006,"&lt;&gt;"&amp;C1153,'CARNET DE SOUDURE'!$M$7:$M$3006,"&lt;&gt;")+COUNTIFS('CARNET DE SOUDURE'!$O$7:$O$3006,B1153,'CARNET DE SOUDURE'!$P$7:$P$3006,"&lt;&gt;"&amp;C1153,'CARNET DE SOUDURE'!$P$7:$P$3006,"&lt;&gt;")&gt;0,"⚠ DIFFÉRENTE","OK"))</f>
        <v>OK</v>
      </c>
      <c r="F1153" s="147" t="n">
        <v>11.94</v>
      </c>
      <c r="G1153" s="80"/>
      <c r="H1153" s="83"/>
      <c r="I1153" s="148" t="str">
        <f aca="false">IF(B1153="","",IFERROR(INDEX('CARNET DE SOUDURE'!$B$7:$B$3006,MATCH(B1153,'CARNET DE SOUDURE'!$L$7:$L$3006,0)),IFERROR(INDEX('CARNET DE SOUDURE'!$B$7:$B$3006,MATCH(B1153,'CARNET DE SOUDURE'!$O$7:$O$3006,0)),"")))</f>
        <v>MFD-ISW → MFD-CPF</v>
      </c>
      <c r="J1153" s="82" t="str">
        <f aca="false">IF(B1153="","",IFERROR(INDEX('CARNET DE SOUDURE'!$E$7:$E$3006,MATCH(B1153,'CARNET DE SOUDURE'!$O$7:$O$3006,0)),""))</f>
        <v>JN°1731</v>
      </c>
      <c r="K1153" s="82" t="str">
        <f aca="false">IF(B1153="","",IFERROR(INDEX('CARNET DE SOUDURE'!$E$7:$E$3006,MATCH(B1153,'CARNET DE SOUDURE'!$L$7:$L$3006,0)),""))</f>
        <v>JN°1732</v>
      </c>
      <c r="L1153" s="82" t="n">
        <f aca="false">IF(B1153="","",IFERROR(INDEX('CARNET DE SOUDURE'!$D$7:$D$3006,MATCH(B1153,'CARNET DE SOUDURE'!$L$7:$L$3006,0)),IFERROR(INDEX('CARNET DE SOUDURE'!$D$7:$D$3006,MATCH(B1153,'CARNET DE SOUDURE'!$O$7:$O$3006,0)),"")))</f>
        <v>21</v>
      </c>
      <c r="M1153" s="82" t="str">
        <f aca="false">IF(B1153="","",IF(OR(J1153&lt;&gt;"",K1153&lt;&gt;""),"POSÉ EN LIGNE",IF(COUNTIF(BARDAGE!$C$1:$C$5000,B1153)&gt;0,"BARDÉ","EN STOCK")))</f>
        <v>POSÉ EN LIGNE</v>
      </c>
      <c r="N1153" s="80"/>
    </row>
    <row r="1154" customFormat="false" ht="15" hidden="false" customHeight="false" outlineLevel="0" collapsed="false">
      <c r="A1154" s="82" t="n">
        <f aca="false">IF(B1154="","",ROW()-6)</f>
        <v>1148</v>
      </c>
      <c r="B1154" s="145" t="n">
        <v>2079240</v>
      </c>
      <c r="C1154" s="146" t="n">
        <v>15421102</v>
      </c>
      <c r="D1154" s="146"/>
      <c r="E1154" s="82" t="str">
        <f aca="false">IF(B1154="","",IF(COUNTIFS('CARNET DE SOUDURE'!$L$7:$L$3006,B1154,'CARNET DE SOUDURE'!$M$7:$M$3006,"&lt;&gt;"&amp;C1154,'CARNET DE SOUDURE'!$M$7:$M$3006,"&lt;&gt;")+COUNTIFS('CARNET DE SOUDURE'!$O$7:$O$3006,B1154,'CARNET DE SOUDURE'!$P$7:$P$3006,"&lt;&gt;"&amp;C1154,'CARNET DE SOUDURE'!$P$7:$P$3006,"&lt;&gt;")&gt;0,"⚠ DIFFÉRENTE","OK"))</f>
        <v>OK</v>
      </c>
      <c r="F1154" s="147" t="n">
        <v>11.94</v>
      </c>
      <c r="G1154" s="80"/>
      <c r="H1154" s="83"/>
      <c r="I1154" s="148" t="str">
        <f aca="false">IF(B1154="","",IFERROR(INDEX('CARNET DE SOUDURE'!$B$7:$B$3006,MATCH(B1154,'CARNET DE SOUDURE'!$L$7:$L$3006,0)),IFERROR(INDEX('CARNET DE SOUDURE'!$B$7:$B$3006,MATCH(B1154,'CARNET DE SOUDURE'!$O$7:$O$3006,0)),"")))</f>
        <v>MFD-ISW → MFD-CPF</v>
      </c>
      <c r="J1154" s="82" t="str">
        <f aca="false">IF(B1154="","",IFERROR(INDEX('CARNET DE SOUDURE'!$E$7:$E$3006,MATCH(B1154,'CARNET DE SOUDURE'!$O$7:$O$3006,0)),""))</f>
        <v>JN°1734</v>
      </c>
      <c r="K1154" s="82" t="str">
        <f aca="false">IF(B1154="","",IFERROR(INDEX('CARNET DE SOUDURE'!$E$7:$E$3006,MATCH(B1154,'CARNET DE SOUDURE'!$L$7:$L$3006,0)),""))</f>
        <v>JN°1735</v>
      </c>
      <c r="L1154" s="82" t="n">
        <f aca="false">IF(B1154="","",IFERROR(INDEX('CARNET DE SOUDURE'!$D$7:$D$3006,MATCH(B1154,'CARNET DE SOUDURE'!$L$7:$L$3006,0)),IFERROR(INDEX('CARNET DE SOUDURE'!$D$7:$D$3006,MATCH(B1154,'CARNET DE SOUDURE'!$O$7:$O$3006,0)),"")))</f>
        <v>21</v>
      </c>
      <c r="M1154" s="82" t="str">
        <f aca="false">IF(B1154="","",IF(OR(J1154&lt;&gt;"",K1154&lt;&gt;""),"POSÉ EN LIGNE",IF(COUNTIF(BARDAGE!$C$1:$C$5000,B1154)&gt;0,"BARDÉ","EN STOCK")))</f>
        <v>POSÉ EN LIGNE</v>
      </c>
      <c r="N1154" s="80"/>
    </row>
    <row r="1155" customFormat="false" ht="15" hidden="false" customHeight="false" outlineLevel="0" collapsed="false">
      <c r="A1155" s="82" t="n">
        <f aca="false">IF(B1155="","",ROW()-6)</f>
        <v>1149</v>
      </c>
      <c r="B1155" s="145" t="n">
        <v>2080590</v>
      </c>
      <c r="C1155" s="146" t="n">
        <v>15421103</v>
      </c>
      <c r="D1155" s="146"/>
      <c r="E1155" s="82" t="str">
        <f aca="false">IF(B1155="","",IF(COUNTIFS('CARNET DE SOUDURE'!$L$7:$L$3006,B1155,'CARNET DE SOUDURE'!$M$7:$M$3006,"&lt;&gt;"&amp;C1155,'CARNET DE SOUDURE'!$M$7:$M$3006,"&lt;&gt;")+COUNTIFS('CARNET DE SOUDURE'!$O$7:$O$3006,B1155,'CARNET DE SOUDURE'!$P$7:$P$3006,"&lt;&gt;"&amp;C1155,'CARNET DE SOUDURE'!$P$7:$P$3006,"&lt;&gt;")&gt;0,"⚠ DIFFÉRENTE","OK"))</f>
        <v>OK</v>
      </c>
      <c r="F1155" s="147" t="n">
        <v>11.94</v>
      </c>
      <c r="G1155" s="80"/>
      <c r="H1155" s="83"/>
      <c r="I1155" s="148" t="str">
        <f aca="false">IF(B1155="","",IFERROR(INDEX('CARNET DE SOUDURE'!$B$7:$B$3006,MATCH(B1155,'CARNET DE SOUDURE'!$L$7:$L$3006,0)),IFERROR(INDEX('CARNET DE SOUDURE'!$B$7:$B$3006,MATCH(B1155,'CARNET DE SOUDURE'!$O$7:$O$3006,0)),"")))</f>
        <v>MFD-ISW → MFD-CPF</v>
      </c>
      <c r="J1155" s="82" t="str">
        <f aca="false">IF(B1155="","",IFERROR(INDEX('CARNET DE SOUDURE'!$E$7:$E$3006,MATCH(B1155,'CARNET DE SOUDURE'!$O$7:$O$3006,0)),""))</f>
        <v>JN°1735</v>
      </c>
      <c r="K1155" s="82" t="str">
        <f aca="false">IF(B1155="","",IFERROR(INDEX('CARNET DE SOUDURE'!$E$7:$E$3006,MATCH(B1155,'CARNET DE SOUDURE'!$L$7:$L$3006,0)),""))</f>
        <v>JN°1736</v>
      </c>
      <c r="L1155" s="82" t="n">
        <f aca="false">IF(B1155="","",IFERROR(INDEX('CARNET DE SOUDURE'!$D$7:$D$3006,MATCH(B1155,'CARNET DE SOUDURE'!$L$7:$L$3006,0)),IFERROR(INDEX('CARNET DE SOUDURE'!$D$7:$D$3006,MATCH(B1155,'CARNET DE SOUDURE'!$O$7:$O$3006,0)),"")))</f>
        <v>21</v>
      </c>
      <c r="M1155" s="82" t="str">
        <f aca="false">IF(B1155="","",IF(OR(J1155&lt;&gt;"",K1155&lt;&gt;""),"POSÉ EN LIGNE",IF(COUNTIF(BARDAGE!$C$1:$C$5000,B1155)&gt;0,"BARDÉ","EN STOCK")))</f>
        <v>POSÉ EN LIGNE</v>
      </c>
      <c r="N1155" s="80"/>
    </row>
    <row r="1156" customFormat="false" ht="15" hidden="false" customHeight="false" outlineLevel="0" collapsed="false">
      <c r="A1156" s="82" t="n">
        <f aca="false">IF(B1156="","",ROW()-6)</f>
        <v>1150</v>
      </c>
      <c r="B1156" s="145" t="n">
        <v>2093530</v>
      </c>
      <c r="C1156" s="146" t="n">
        <v>15421110</v>
      </c>
      <c r="D1156" s="146"/>
      <c r="E1156" s="82" t="str">
        <f aca="false">IF(B1156="","",IF(COUNTIFS('CARNET DE SOUDURE'!$L$7:$L$3006,B1156,'CARNET DE SOUDURE'!$M$7:$M$3006,"&lt;&gt;"&amp;C1156,'CARNET DE SOUDURE'!$M$7:$M$3006,"&lt;&gt;")+COUNTIFS('CARNET DE SOUDURE'!$O$7:$O$3006,B1156,'CARNET DE SOUDURE'!$P$7:$P$3006,"&lt;&gt;"&amp;C1156,'CARNET DE SOUDURE'!$P$7:$P$3006,"&lt;&gt;")&gt;0,"⚠ DIFFÉRENTE","OK"))</f>
        <v>OK</v>
      </c>
      <c r="F1156" s="147" t="n">
        <v>11.94</v>
      </c>
      <c r="G1156" s="80"/>
      <c r="H1156" s="83"/>
      <c r="I1156" s="148" t="str">
        <f aca="false">IF(B1156="","",IFERROR(INDEX('CARNET DE SOUDURE'!$B$7:$B$3006,MATCH(B1156,'CARNET DE SOUDURE'!$L$7:$L$3006,0)),IFERROR(INDEX('CARNET DE SOUDURE'!$B$7:$B$3006,MATCH(B1156,'CARNET DE SOUDURE'!$O$7:$O$3006,0)),"")))</f>
        <v>MFD-ISW → MFD-CPF</v>
      </c>
      <c r="J1156" s="82" t="str">
        <f aca="false">IF(B1156="","",IFERROR(INDEX('CARNET DE SOUDURE'!$E$7:$E$3006,MATCH(B1156,'CARNET DE SOUDURE'!$O$7:$O$3006,0)),""))</f>
        <v>JN°1736</v>
      </c>
      <c r="K1156" s="82" t="str">
        <f aca="false">IF(B1156="","",IFERROR(INDEX('CARNET DE SOUDURE'!$E$7:$E$3006,MATCH(B1156,'CARNET DE SOUDURE'!$L$7:$L$3006,0)),""))</f>
        <v>JN°1737</v>
      </c>
      <c r="L1156" s="82" t="n">
        <f aca="false">IF(B1156="","",IFERROR(INDEX('CARNET DE SOUDURE'!$D$7:$D$3006,MATCH(B1156,'CARNET DE SOUDURE'!$L$7:$L$3006,0)),IFERROR(INDEX('CARNET DE SOUDURE'!$D$7:$D$3006,MATCH(B1156,'CARNET DE SOUDURE'!$O$7:$O$3006,0)),"")))</f>
        <v>21</v>
      </c>
      <c r="M1156" s="82" t="str">
        <f aca="false">IF(B1156="","",IF(OR(J1156&lt;&gt;"",K1156&lt;&gt;""),"POSÉ EN LIGNE",IF(COUNTIF(BARDAGE!$C$1:$C$5000,B1156)&gt;0,"BARDÉ","EN STOCK")))</f>
        <v>POSÉ EN LIGNE</v>
      </c>
      <c r="N1156" s="80"/>
    </row>
    <row r="1157" customFormat="false" ht="15" hidden="false" customHeight="false" outlineLevel="0" collapsed="false">
      <c r="A1157" s="82" t="n">
        <f aca="false">IF(B1157="","",ROW()-6)</f>
        <v>1151</v>
      </c>
      <c r="B1157" s="145" t="n">
        <v>2087550</v>
      </c>
      <c r="C1157" s="146" t="n">
        <v>15421107</v>
      </c>
      <c r="D1157" s="146"/>
      <c r="E1157" s="82" t="str">
        <f aca="false">IF(B1157="","",IF(COUNTIFS('CARNET DE SOUDURE'!$L$7:$L$3006,B1157,'CARNET DE SOUDURE'!$M$7:$M$3006,"&lt;&gt;"&amp;C1157,'CARNET DE SOUDURE'!$M$7:$M$3006,"&lt;&gt;")+COUNTIFS('CARNET DE SOUDURE'!$O$7:$O$3006,B1157,'CARNET DE SOUDURE'!$P$7:$P$3006,"&lt;&gt;"&amp;C1157,'CARNET DE SOUDURE'!$P$7:$P$3006,"&lt;&gt;")&gt;0,"⚠ DIFFÉRENTE","OK"))</f>
        <v>OK</v>
      </c>
      <c r="F1157" s="147" t="n">
        <v>11.94</v>
      </c>
      <c r="G1157" s="80"/>
      <c r="H1157" s="83"/>
      <c r="I1157" s="148" t="str">
        <f aca="false">IF(B1157="","",IFERROR(INDEX('CARNET DE SOUDURE'!$B$7:$B$3006,MATCH(B1157,'CARNET DE SOUDURE'!$L$7:$L$3006,0)),IFERROR(INDEX('CARNET DE SOUDURE'!$B$7:$B$3006,MATCH(B1157,'CARNET DE SOUDURE'!$O$7:$O$3006,0)),"")))</f>
        <v>MFD-ISW → MFD-CPF</v>
      </c>
      <c r="J1157" s="82" t="str">
        <f aca="false">IF(B1157="","",IFERROR(INDEX('CARNET DE SOUDURE'!$E$7:$E$3006,MATCH(B1157,'CARNET DE SOUDURE'!$O$7:$O$3006,0)),""))</f>
        <v>JN°1737</v>
      </c>
      <c r="K1157" s="82" t="str">
        <f aca="false">IF(B1157="","",IFERROR(INDEX('CARNET DE SOUDURE'!$E$7:$E$3006,MATCH(B1157,'CARNET DE SOUDURE'!$L$7:$L$3006,0)),""))</f>
        <v>JN°1738</v>
      </c>
      <c r="L1157" s="82" t="n">
        <f aca="false">IF(B1157="","",IFERROR(INDEX('CARNET DE SOUDURE'!$D$7:$D$3006,MATCH(B1157,'CARNET DE SOUDURE'!$L$7:$L$3006,0)),IFERROR(INDEX('CARNET DE SOUDURE'!$D$7:$D$3006,MATCH(B1157,'CARNET DE SOUDURE'!$O$7:$O$3006,0)),"")))</f>
        <v>21</v>
      </c>
      <c r="M1157" s="82" t="str">
        <f aca="false">IF(B1157="","",IF(OR(J1157&lt;&gt;"",K1157&lt;&gt;""),"POSÉ EN LIGNE",IF(COUNTIF(BARDAGE!$C$1:$C$5000,B1157)&gt;0,"BARDÉ","EN STOCK")))</f>
        <v>POSÉ EN LIGNE</v>
      </c>
      <c r="N1157" s="80"/>
    </row>
    <row r="1158" customFormat="false" ht="15" hidden="false" customHeight="false" outlineLevel="0" collapsed="false">
      <c r="A1158" s="82" t="n">
        <f aca="false">IF(B1158="","",ROW()-6)</f>
        <v>1152</v>
      </c>
      <c r="B1158" s="145" t="n">
        <v>2086050</v>
      </c>
      <c r="C1158" s="146" t="n">
        <v>15421107</v>
      </c>
      <c r="D1158" s="146"/>
      <c r="E1158" s="82" t="str">
        <f aca="false">IF(B1158="","",IF(COUNTIFS('CARNET DE SOUDURE'!$L$7:$L$3006,B1158,'CARNET DE SOUDURE'!$M$7:$M$3006,"&lt;&gt;"&amp;C1158,'CARNET DE SOUDURE'!$M$7:$M$3006,"&lt;&gt;")+COUNTIFS('CARNET DE SOUDURE'!$O$7:$O$3006,B1158,'CARNET DE SOUDURE'!$P$7:$P$3006,"&lt;&gt;"&amp;C1158,'CARNET DE SOUDURE'!$P$7:$P$3006,"&lt;&gt;")&gt;0,"⚠ DIFFÉRENTE","OK"))</f>
        <v>OK</v>
      </c>
      <c r="F1158" s="147" t="n">
        <v>11.94</v>
      </c>
      <c r="G1158" s="80"/>
      <c r="H1158" s="83"/>
      <c r="I1158" s="148" t="str">
        <f aca="false">IF(B1158="","",IFERROR(INDEX('CARNET DE SOUDURE'!$B$7:$B$3006,MATCH(B1158,'CARNET DE SOUDURE'!$L$7:$L$3006,0)),IFERROR(INDEX('CARNET DE SOUDURE'!$B$7:$B$3006,MATCH(B1158,'CARNET DE SOUDURE'!$O$7:$O$3006,0)),"")))</f>
        <v>MFD-ISW → MFD-CPF</v>
      </c>
      <c r="J1158" s="82" t="str">
        <f aca="false">IF(B1158="","",IFERROR(INDEX('CARNET DE SOUDURE'!$E$7:$E$3006,MATCH(B1158,'CARNET DE SOUDURE'!$O$7:$O$3006,0)),""))</f>
        <v>JN°1738</v>
      </c>
      <c r="K1158" s="82" t="str">
        <f aca="false">IF(B1158="","",IFERROR(INDEX('CARNET DE SOUDURE'!$E$7:$E$3006,MATCH(B1158,'CARNET DE SOUDURE'!$L$7:$L$3006,0)),""))</f>
        <v>JN°1739</v>
      </c>
      <c r="L1158" s="82" t="n">
        <f aca="false">IF(B1158="","",IFERROR(INDEX('CARNET DE SOUDURE'!$D$7:$D$3006,MATCH(B1158,'CARNET DE SOUDURE'!$L$7:$L$3006,0)),IFERROR(INDEX('CARNET DE SOUDURE'!$D$7:$D$3006,MATCH(B1158,'CARNET DE SOUDURE'!$O$7:$O$3006,0)),"")))</f>
        <v>21</v>
      </c>
      <c r="M1158" s="82" t="str">
        <f aca="false">IF(B1158="","",IF(OR(J1158&lt;&gt;"",K1158&lt;&gt;""),"POSÉ EN LIGNE",IF(COUNTIF(BARDAGE!$C$1:$C$5000,B1158)&gt;0,"BARDÉ","EN STOCK")))</f>
        <v>POSÉ EN LIGNE</v>
      </c>
      <c r="N1158" s="80"/>
    </row>
    <row r="1159" customFormat="false" ht="15" hidden="false" customHeight="false" outlineLevel="0" collapsed="false">
      <c r="A1159" s="82" t="n">
        <f aca="false">IF(B1159="","",ROW()-6)</f>
        <v>1153</v>
      </c>
      <c r="B1159" s="145" t="n">
        <v>2084620</v>
      </c>
      <c r="C1159" s="146" t="n">
        <v>15421108</v>
      </c>
      <c r="D1159" s="146"/>
      <c r="E1159" s="82" t="str">
        <f aca="false">IF(B1159="","",IF(COUNTIFS('CARNET DE SOUDURE'!$L$7:$L$3006,B1159,'CARNET DE SOUDURE'!$M$7:$M$3006,"&lt;&gt;"&amp;C1159,'CARNET DE SOUDURE'!$M$7:$M$3006,"&lt;&gt;")+COUNTIFS('CARNET DE SOUDURE'!$O$7:$O$3006,B1159,'CARNET DE SOUDURE'!$P$7:$P$3006,"&lt;&gt;"&amp;C1159,'CARNET DE SOUDURE'!$P$7:$P$3006,"&lt;&gt;")&gt;0,"⚠ DIFFÉRENTE","OK"))</f>
        <v>OK</v>
      </c>
      <c r="F1159" s="147" t="n">
        <v>11.94</v>
      </c>
      <c r="G1159" s="80"/>
      <c r="H1159" s="83"/>
      <c r="I1159" s="148" t="str">
        <f aca="false">IF(B1159="","",IFERROR(INDEX('CARNET DE SOUDURE'!$B$7:$B$3006,MATCH(B1159,'CARNET DE SOUDURE'!$L$7:$L$3006,0)),IFERROR(INDEX('CARNET DE SOUDURE'!$B$7:$B$3006,MATCH(B1159,'CARNET DE SOUDURE'!$O$7:$O$3006,0)),"")))</f>
        <v>MFD-ISW → MFD-CPF</v>
      </c>
      <c r="J1159" s="82" t="str">
        <f aca="false">IF(B1159="","",IFERROR(INDEX('CARNET DE SOUDURE'!$E$7:$E$3006,MATCH(B1159,'CARNET DE SOUDURE'!$O$7:$O$3006,0)),""))</f>
        <v>JN°1739</v>
      </c>
      <c r="K1159" s="82" t="str">
        <f aca="false">IF(B1159="","",IFERROR(INDEX('CARNET DE SOUDURE'!$E$7:$E$3006,MATCH(B1159,'CARNET DE SOUDURE'!$L$7:$L$3006,0)),""))</f>
        <v>JN°1740</v>
      </c>
      <c r="L1159" s="82" t="n">
        <f aca="false">IF(B1159="","",IFERROR(INDEX('CARNET DE SOUDURE'!$D$7:$D$3006,MATCH(B1159,'CARNET DE SOUDURE'!$L$7:$L$3006,0)),IFERROR(INDEX('CARNET DE SOUDURE'!$D$7:$D$3006,MATCH(B1159,'CARNET DE SOUDURE'!$O$7:$O$3006,0)),"")))</f>
        <v>21</v>
      </c>
      <c r="M1159" s="82" t="str">
        <f aca="false">IF(B1159="","",IF(OR(J1159&lt;&gt;"",K1159&lt;&gt;""),"POSÉ EN LIGNE",IF(COUNTIF(BARDAGE!$C$1:$C$5000,B1159)&gt;0,"BARDÉ","EN STOCK")))</f>
        <v>POSÉ EN LIGNE</v>
      </c>
      <c r="N1159" s="80"/>
    </row>
    <row r="1160" customFormat="false" ht="15" hidden="false" customHeight="false" outlineLevel="0" collapsed="false">
      <c r="A1160" s="82" t="n">
        <f aca="false">IF(B1160="","",ROW()-6)</f>
        <v>1154</v>
      </c>
      <c r="B1160" s="145" t="n">
        <v>2084650</v>
      </c>
      <c r="C1160" s="146" t="n">
        <v>15421106</v>
      </c>
      <c r="D1160" s="146"/>
      <c r="E1160" s="82" t="str">
        <f aca="false">IF(B1160="","",IF(COUNTIFS('CARNET DE SOUDURE'!$L$7:$L$3006,B1160,'CARNET DE SOUDURE'!$M$7:$M$3006,"&lt;&gt;"&amp;C1160,'CARNET DE SOUDURE'!$M$7:$M$3006,"&lt;&gt;")+COUNTIFS('CARNET DE SOUDURE'!$O$7:$O$3006,B1160,'CARNET DE SOUDURE'!$P$7:$P$3006,"&lt;&gt;"&amp;C1160,'CARNET DE SOUDURE'!$P$7:$P$3006,"&lt;&gt;")&gt;0,"⚠ DIFFÉRENTE","OK"))</f>
        <v>OK</v>
      </c>
      <c r="F1160" s="147" t="n">
        <v>11.94</v>
      </c>
      <c r="G1160" s="80"/>
      <c r="H1160" s="83"/>
      <c r="I1160" s="148" t="str">
        <f aca="false">IF(B1160="","",IFERROR(INDEX('CARNET DE SOUDURE'!$B$7:$B$3006,MATCH(B1160,'CARNET DE SOUDURE'!$L$7:$L$3006,0)),IFERROR(INDEX('CARNET DE SOUDURE'!$B$7:$B$3006,MATCH(B1160,'CARNET DE SOUDURE'!$O$7:$O$3006,0)),"")))</f>
        <v>MFD-ISW → MFD-CPF</v>
      </c>
      <c r="J1160" s="82" t="str">
        <f aca="false">IF(B1160="","",IFERROR(INDEX('CARNET DE SOUDURE'!$E$7:$E$3006,MATCH(B1160,'CARNET DE SOUDURE'!$O$7:$O$3006,0)),""))</f>
        <v>JN°1740</v>
      </c>
      <c r="K1160" s="82" t="str">
        <f aca="false">IF(B1160="","",IFERROR(INDEX('CARNET DE SOUDURE'!$E$7:$E$3006,MATCH(B1160,'CARNET DE SOUDURE'!$L$7:$L$3006,0)),""))</f>
        <v>JN°1741</v>
      </c>
      <c r="L1160" s="82" t="n">
        <f aca="false">IF(B1160="","",IFERROR(INDEX('CARNET DE SOUDURE'!$D$7:$D$3006,MATCH(B1160,'CARNET DE SOUDURE'!$L$7:$L$3006,0)),IFERROR(INDEX('CARNET DE SOUDURE'!$D$7:$D$3006,MATCH(B1160,'CARNET DE SOUDURE'!$O$7:$O$3006,0)),"")))</f>
        <v>21</v>
      </c>
      <c r="M1160" s="82" t="str">
        <f aca="false">IF(B1160="","",IF(OR(J1160&lt;&gt;"",K1160&lt;&gt;""),"POSÉ EN LIGNE",IF(COUNTIF(BARDAGE!$C$1:$C$5000,B1160)&gt;0,"BARDÉ","EN STOCK")))</f>
        <v>POSÉ EN LIGNE</v>
      </c>
      <c r="N1160" s="80"/>
    </row>
    <row r="1161" customFormat="false" ht="15" hidden="false" customHeight="false" outlineLevel="0" collapsed="false">
      <c r="A1161" s="82" t="n">
        <f aca="false">IF(B1161="","",ROW()-6)</f>
        <v>1155</v>
      </c>
      <c r="B1161" s="145" t="n">
        <v>2087710</v>
      </c>
      <c r="C1161" s="146" t="n">
        <v>15421108</v>
      </c>
      <c r="D1161" s="146"/>
      <c r="E1161" s="82" t="str">
        <f aca="false">IF(B1161="","",IF(COUNTIFS('CARNET DE SOUDURE'!$L$7:$L$3006,B1161,'CARNET DE SOUDURE'!$M$7:$M$3006,"&lt;&gt;"&amp;C1161,'CARNET DE SOUDURE'!$M$7:$M$3006,"&lt;&gt;")+COUNTIFS('CARNET DE SOUDURE'!$O$7:$O$3006,B1161,'CARNET DE SOUDURE'!$P$7:$P$3006,"&lt;&gt;"&amp;C1161,'CARNET DE SOUDURE'!$P$7:$P$3006,"&lt;&gt;")&gt;0,"⚠ DIFFÉRENTE","OK"))</f>
        <v>OK</v>
      </c>
      <c r="F1161" s="147" t="n">
        <v>11.94</v>
      </c>
      <c r="G1161" s="80"/>
      <c r="H1161" s="83"/>
      <c r="I1161" s="148" t="str">
        <f aca="false">IF(B1161="","",IFERROR(INDEX('CARNET DE SOUDURE'!$B$7:$B$3006,MATCH(B1161,'CARNET DE SOUDURE'!$L$7:$L$3006,0)),IFERROR(INDEX('CARNET DE SOUDURE'!$B$7:$B$3006,MATCH(B1161,'CARNET DE SOUDURE'!$O$7:$O$3006,0)),"")))</f>
        <v>MFD-ISW → MFD-CPF</v>
      </c>
      <c r="J1161" s="82" t="str">
        <f aca="false">IF(B1161="","",IFERROR(INDEX('CARNET DE SOUDURE'!$E$7:$E$3006,MATCH(B1161,'CARNET DE SOUDURE'!$O$7:$O$3006,0)),""))</f>
        <v>JN°1741</v>
      </c>
      <c r="K1161" s="82" t="str">
        <f aca="false">IF(B1161="","",IFERROR(INDEX('CARNET DE SOUDURE'!$E$7:$E$3006,MATCH(B1161,'CARNET DE SOUDURE'!$L$7:$L$3006,0)),""))</f>
        <v>JN°1742</v>
      </c>
      <c r="L1161" s="82" t="n">
        <f aca="false">IF(B1161="","",IFERROR(INDEX('CARNET DE SOUDURE'!$D$7:$D$3006,MATCH(B1161,'CARNET DE SOUDURE'!$L$7:$L$3006,0)),IFERROR(INDEX('CARNET DE SOUDURE'!$D$7:$D$3006,MATCH(B1161,'CARNET DE SOUDURE'!$O$7:$O$3006,0)),"")))</f>
        <v>21</v>
      </c>
      <c r="M1161" s="82" t="str">
        <f aca="false">IF(B1161="","",IF(OR(J1161&lt;&gt;"",K1161&lt;&gt;""),"POSÉ EN LIGNE",IF(COUNTIF(BARDAGE!$C$1:$C$5000,B1161)&gt;0,"BARDÉ","EN STOCK")))</f>
        <v>POSÉ EN LIGNE</v>
      </c>
      <c r="N1161" s="80"/>
    </row>
    <row r="1162" customFormat="false" ht="15" hidden="false" customHeight="false" outlineLevel="0" collapsed="false">
      <c r="A1162" s="82" t="n">
        <f aca="false">IF(B1162="","",ROW()-6)</f>
        <v>1156</v>
      </c>
      <c r="B1162" s="145" t="n">
        <v>2098150</v>
      </c>
      <c r="C1162" s="146" t="n">
        <v>15421112</v>
      </c>
      <c r="D1162" s="146"/>
      <c r="E1162" s="82" t="str">
        <f aca="false">IF(B1162="","",IF(COUNTIFS('CARNET DE SOUDURE'!$L$7:$L$3006,B1162,'CARNET DE SOUDURE'!$M$7:$M$3006,"&lt;&gt;"&amp;C1162,'CARNET DE SOUDURE'!$M$7:$M$3006,"&lt;&gt;")+COUNTIFS('CARNET DE SOUDURE'!$O$7:$O$3006,B1162,'CARNET DE SOUDURE'!$P$7:$P$3006,"&lt;&gt;"&amp;C1162,'CARNET DE SOUDURE'!$P$7:$P$3006,"&lt;&gt;")&gt;0,"⚠ DIFFÉRENTE","OK"))</f>
        <v>OK</v>
      </c>
      <c r="F1162" s="147" t="n">
        <v>11.94</v>
      </c>
      <c r="G1162" s="80"/>
      <c r="H1162" s="83"/>
      <c r="I1162" s="148" t="str">
        <f aca="false">IF(B1162="","",IFERROR(INDEX('CARNET DE SOUDURE'!$B$7:$B$3006,MATCH(B1162,'CARNET DE SOUDURE'!$L$7:$L$3006,0)),IFERROR(INDEX('CARNET DE SOUDURE'!$B$7:$B$3006,MATCH(B1162,'CARNET DE SOUDURE'!$O$7:$O$3006,0)),"")))</f>
        <v>MFD-ISW → MFD-CPF</v>
      </c>
      <c r="J1162" s="82" t="str">
        <f aca="false">IF(B1162="","",IFERROR(INDEX('CARNET DE SOUDURE'!$E$7:$E$3006,MATCH(B1162,'CARNET DE SOUDURE'!$O$7:$O$3006,0)),""))</f>
        <v>JN°1742</v>
      </c>
      <c r="K1162" s="82" t="str">
        <f aca="false">IF(B1162="","",IFERROR(INDEX('CARNET DE SOUDURE'!$E$7:$E$3006,MATCH(B1162,'CARNET DE SOUDURE'!$L$7:$L$3006,0)),""))</f>
        <v>JN°1743</v>
      </c>
      <c r="L1162" s="82" t="n">
        <f aca="false">IF(B1162="","",IFERROR(INDEX('CARNET DE SOUDURE'!$D$7:$D$3006,MATCH(B1162,'CARNET DE SOUDURE'!$L$7:$L$3006,0)),IFERROR(INDEX('CARNET DE SOUDURE'!$D$7:$D$3006,MATCH(B1162,'CARNET DE SOUDURE'!$O$7:$O$3006,0)),"")))</f>
        <v>21</v>
      </c>
      <c r="M1162" s="82" t="str">
        <f aca="false">IF(B1162="","",IF(OR(J1162&lt;&gt;"",K1162&lt;&gt;""),"POSÉ EN LIGNE",IF(COUNTIF(BARDAGE!$C$1:$C$5000,B1162)&gt;0,"BARDÉ","EN STOCK")))</f>
        <v>POSÉ EN LIGNE</v>
      </c>
      <c r="N1162" s="80"/>
    </row>
    <row r="1163" customFormat="false" ht="15" hidden="false" customHeight="false" outlineLevel="0" collapsed="false">
      <c r="A1163" s="82" t="n">
        <f aca="false">IF(B1163="","",ROW()-6)</f>
        <v>1157</v>
      </c>
      <c r="B1163" s="145" t="n">
        <v>2097310</v>
      </c>
      <c r="C1163" s="146" t="n">
        <v>15421110</v>
      </c>
      <c r="D1163" s="146"/>
      <c r="E1163" s="82" t="str">
        <f aca="false">IF(B1163="","",IF(COUNTIFS('CARNET DE SOUDURE'!$L$7:$L$3006,B1163,'CARNET DE SOUDURE'!$M$7:$M$3006,"&lt;&gt;"&amp;C1163,'CARNET DE SOUDURE'!$M$7:$M$3006,"&lt;&gt;")+COUNTIFS('CARNET DE SOUDURE'!$O$7:$O$3006,B1163,'CARNET DE SOUDURE'!$P$7:$P$3006,"&lt;&gt;"&amp;C1163,'CARNET DE SOUDURE'!$P$7:$P$3006,"&lt;&gt;")&gt;0,"⚠ DIFFÉRENTE","OK"))</f>
        <v>OK</v>
      </c>
      <c r="F1163" s="147" t="n">
        <v>11.94</v>
      </c>
      <c r="G1163" s="80"/>
      <c r="H1163" s="83"/>
      <c r="I1163" s="148" t="str">
        <f aca="false">IF(B1163="","",IFERROR(INDEX('CARNET DE SOUDURE'!$B$7:$B$3006,MATCH(B1163,'CARNET DE SOUDURE'!$L$7:$L$3006,0)),IFERROR(INDEX('CARNET DE SOUDURE'!$B$7:$B$3006,MATCH(B1163,'CARNET DE SOUDURE'!$O$7:$O$3006,0)),"")))</f>
        <v>MFD-ISW → MFD-CPF</v>
      </c>
      <c r="J1163" s="82" t="str">
        <f aca="false">IF(B1163="","",IFERROR(INDEX('CARNET DE SOUDURE'!$E$7:$E$3006,MATCH(B1163,'CARNET DE SOUDURE'!$O$7:$O$3006,0)),""))</f>
        <v>JN°1743</v>
      </c>
      <c r="K1163" s="82" t="str">
        <f aca="false">IF(B1163="","",IFERROR(INDEX('CARNET DE SOUDURE'!$E$7:$E$3006,MATCH(B1163,'CARNET DE SOUDURE'!$L$7:$L$3006,0)),""))</f>
        <v>JN°1744R</v>
      </c>
      <c r="L1163" s="82" t="n">
        <f aca="false">IF(B1163="","",IFERROR(INDEX('CARNET DE SOUDURE'!$D$7:$D$3006,MATCH(B1163,'CARNET DE SOUDURE'!$L$7:$L$3006,0)),IFERROR(INDEX('CARNET DE SOUDURE'!$D$7:$D$3006,MATCH(B1163,'CARNET DE SOUDURE'!$O$7:$O$3006,0)),"")))</f>
        <v>21</v>
      </c>
      <c r="M1163" s="82" t="str">
        <f aca="false">IF(B1163="","",IF(OR(J1163&lt;&gt;"",K1163&lt;&gt;""),"POSÉ EN LIGNE",IF(COUNTIF(BARDAGE!$C$1:$C$5000,B1163)&gt;0,"BARDÉ","EN STOCK")))</f>
        <v>POSÉ EN LIGNE</v>
      </c>
      <c r="N1163" s="80"/>
    </row>
    <row r="1164" customFormat="false" ht="15" hidden="false" customHeight="false" outlineLevel="0" collapsed="false">
      <c r="A1164" s="82" t="n">
        <f aca="false">IF(B1164="","",ROW()-6)</f>
        <v>1158</v>
      </c>
      <c r="B1164" s="145" t="n">
        <v>2085520</v>
      </c>
      <c r="C1164" s="146" t="n">
        <v>15421107</v>
      </c>
      <c r="D1164" s="146"/>
      <c r="E1164" s="82" t="str">
        <f aca="false">IF(B1164="","",IF(COUNTIFS('CARNET DE SOUDURE'!$L$7:$L$3006,B1164,'CARNET DE SOUDURE'!$M$7:$M$3006,"&lt;&gt;"&amp;C1164,'CARNET DE SOUDURE'!$M$7:$M$3006,"&lt;&gt;")+COUNTIFS('CARNET DE SOUDURE'!$O$7:$O$3006,B1164,'CARNET DE SOUDURE'!$P$7:$P$3006,"&lt;&gt;"&amp;C1164,'CARNET DE SOUDURE'!$P$7:$P$3006,"&lt;&gt;")&gt;0,"⚠ DIFFÉRENTE","OK"))</f>
        <v>OK</v>
      </c>
      <c r="F1164" s="147" t="n">
        <v>11.94</v>
      </c>
      <c r="G1164" s="80"/>
      <c r="H1164" s="83"/>
      <c r="I1164" s="148" t="str">
        <f aca="false">IF(B1164="","",IFERROR(INDEX('CARNET DE SOUDURE'!$B$7:$B$3006,MATCH(B1164,'CARNET DE SOUDURE'!$L$7:$L$3006,0)),IFERROR(INDEX('CARNET DE SOUDURE'!$B$7:$B$3006,MATCH(B1164,'CARNET DE SOUDURE'!$O$7:$O$3006,0)),"")))</f>
        <v>MFD-ISW → MFD-CPF</v>
      </c>
      <c r="J1164" s="82" t="str">
        <f aca="false">IF(B1164="","",IFERROR(INDEX('CARNET DE SOUDURE'!$E$7:$E$3006,MATCH(B1164,'CARNET DE SOUDURE'!$O$7:$O$3006,0)),""))</f>
        <v>JN°1744R</v>
      </c>
      <c r="K1164" s="82" t="str">
        <f aca="false">IF(B1164="","",IFERROR(INDEX('CARNET DE SOUDURE'!$E$7:$E$3006,MATCH(B1164,'CARNET DE SOUDURE'!$L$7:$L$3006,0)),""))</f>
        <v>JN°1745</v>
      </c>
      <c r="L1164" s="82" t="n">
        <f aca="false">IF(B1164="","",IFERROR(INDEX('CARNET DE SOUDURE'!$D$7:$D$3006,MATCH(B1164,'CARNET DE SOUDURE'!$L$7:$L$3006,0)),IFERROR(INDEX('CARNET DE SOUDURE'!$D$7:$D$3006,MATCH(B1164,'CARNET DE SOUDURE'!$O$7:$O$3006,0)),"")))</f>
        <v>21</v>
      </c>
      <c r="M1164" s="82" t="str">
        <f aca="false">IF(B1164="","",IF(OR(J1164&lt;&gt;"",K1164&lt;&gt;""),"POSÉ EN LIGNE",IF(COUNTIF(BARDAGE!$C$1:$C$5000,B1164)&gt;0,"BARDÉ","EN STOCK")))</f>
        <v>POSÉ EN LIGNE</v>
      </c>
      <c r="N1164" s="80"/>
    </row>
    <row r="1165" customFormat="false" ht="15" hidden="false" customHeight="false" outlineLevel="0" collapsed="false">
      <c r="A1165" s="82" t="n">
        <f aca="false">IF(B1165="","",ROW()-6)</f>
        <v>1159</v>
      </c>
      <c r="B1165" s="145" t="n">
        <v>2094090</v>
      </c>
      <c r="C1165" s="146" t="n">
        <v>15421110</v>
      </c>
      <c r="D1165" s="146"/>
      <c r="E1165" s="82" t="str">
        <f aca="false">IF(B1165="","",IF(COUNTIFS('CARNET DE SOUDURE'!$L$7:$L$3006,B1165,'CARNET DE SOUDURE'!$M$7:$M$3006,"&lt;&gt;"&amp;C1165,'CARNET DE SOUDURE'!$M$7:$M$3006,"&lt;&gt;")+COUNTIFS('CARNET DE SOUDURE'!$O$7:$O$3006,B1165,'CARNET DE SOUDURE'!$P$7:$P$3006,"&lt;&gt;"&amp;C1165,'CARNET DE SOUDURE'!$P$7:$P$3006,"&lt;&gt;")&gt;0,"⚠ DIFFÉRENTE","OK"))</f>
        <v>OK</v>
      </c>
      <c r="F1165" s="147" t="n">
        <v>11.94</v>
      </c>
      <c r="G1165" s="80"/>
      <c r="H1165" s="83"/>
      <c r="I1165" s="148" t="str">
        <f aca="false">IF(B1165="","",IFERROR(INDEX('CARNET DE SOUDURE'!$B$7:$B$3006,MATCH(B1165,'CARNET DE SOUDURE'!$L$7:$L$3006,0)),IFERROR(INDEX('CARNET DE SOUDURE'!$B$7:$B$3006,MATCH(B1165,'CARNET DE SOUDURE'!$O$7:$O$3006,0)),"")))</f>
        <v>MFD-ISW → MFD-CPF</v>
      </c>
      <c r="J1165" s="82" t="str">
        <f aca="false">IF(B1165="","",IFERROR(INDEX('CARNET DE SOUDURE'!$E$7:$E$3006,MATCH(B1165,'CARNET DE SOUDURE'!$O$7:$O$3006,0)),""))</f>
        <v>JN°1745</v>
      </c>
      <c r="K1165" s="82" t="str">
        <f aca="false">IF(B1165="","",IFERROR(INDEX('CARNET DE SOUDURE'!$E$7:$E$3006,MATCH(B1165,'CARNET DE SOUDURE'!$L$7:$L$3006,0)),""))</f>
        <v>JN°1746</v>
      </c>
      <c r="L1165" s="82" t="n">
        <f aca="false">IF(B1165="","",IFERROR(INDEX('CARNET DE SOUDURE'!$D$7:$D$3006,MATCH(B1165,'CARNET DE SOUDURE'!$L$7:$L$3006,0)),IFERROR(INDEX('CARNET DE SOUDURE'!$D$7:$D$3006,MATCH(B1165,'CARNET DE SOUDURE'!$O$7:$O$3006,0)),"")))</f>
        <v>21</v>
      </c>
      <c r="M1165" s="82" t="str">
        <f aca="false">IF(B1165="","",IF(OR(J1165&lt;&gt;"",K1165&lt;&gt;""),"POSÉ EN LIGNE",IF(COUNTIF(BARDAGE!$C$1:$C$5000,B1165)&gt;0,"BARDÉ","EN STOCK")))</f>
        <v>POSÉ EN LIGNE</v>
      </c>
      <c r="N1165" s="80"/>
    </row>
    <row r="1166" customFormat="false" ht="15" hidden="false" customHeight="false" outlineLevel="0" collapsed="false">
      <c r="A1166" s="82" t="n">
        <f aca="false">IF(B1166="","",ROW()-6)</f>
        <v>1160</v>
      </c>
      <c r="B1166" s="145" t="n">
        <v>2085550</v>
      </c>
      <c r="C1166" s="146" t="n">
        <v>15421107</v>
      </c>
      <c r="D1166" s="146"/>
      <c r="E1166" s="82" t="str">
        <f aca="false">IF(B1166="","",IF(COUNTIFS('CARNET DE SOUDURE'!$L$7:$L$3006,B1166,'CARNET DE SOUDURE'!$M$7:$M$3006,"&lt;&gt;"&amp;C1166,'CARNET DE SOUDURE'!$M$7:$M$3006,"&lt;&gt;")+COUNTIFS('CARNET DE SOUDURE'!$O$7:$O$3006,B1166,'CARNET DE SOUDURE'!$P$7:$P$3006,"&lt;&gt;"&amp;C1166,'CARNET DE SOUDURE'!$P$7:$P$3006,"&lt;&gt;")&gt;0,"⚠ DIFFÉRENTE","OK"))</f>
        <v>OK</v>
      </c>
      <c r="F1166" s="147" t="n">
        <v>11.94</v>
      </c>
      <c r="G1166" s="80"/>
      <c r="H1166" s="83"/>
      <c r="I1166" s="148" t="str">
        <f aca="false">IF(B1166="","",IFERROR(INDEX('CARNET DE SOUDURE'!$B$7:$B$3006,MATCH(B1166,'CARNET DE SOUDURE'!$L$7:$L$3006,0)),IFERROR(INDEX('CARNET DE SOUDURE'!$B$7:$B$3006,MATCH(B1166,'CARNET DE SOUDURE'!$O$7:$O$3006,0)),"")))</f>
        <v>MFD-ISW → MFD-CPF</v>
      </c>
      <c r="J1166" s="82" t="str">
        <f aca="false">IF(B1166="","",IFERROR(INDEX('CARNET DE SOUDURE'!$E$7:$E$3006,MATCH(B1166,'CARNET DE SOUDURE'!$O$7:$O$3006,0)),""))</f>
        <v>JN°1746</v>
      </c>
      <c r="K1166" s="82" t="str">
        <f aca="false">IF(B1166="","",IFERROR(INDEX('CARNET DE SOUDURE'!$E$7:$E$3006,MATCH(B1166,'CARNET DE SOUDURE'!$L$7:$L$3006,0)),""))</f>
        <v>JN°1747</v>
      </c>
      <c r="L1166" s="82" t="n">
        <f aca="false">IF(B1166="","",IFERROR(INDEX('CARNET DE SOUDURE'!$D$7:$D$3006,MATCH(B1166,'CARNET DE SOUDURE'!$L$7:$L$3006,0)),IFERROR(INDEX('CARNET DE SOUDURE'!$D$7:$D$3006,MATCH(B1166,'CARNET DE SOUDURE'!$O$7:$O$3006,0)),"")))</f>
        <v>21</v>
      </c>
      <c r="M1166" s="82" t="str">
        <f aca="false">IF(B1166="","",IF(OR(J1166&lt;&gt;"",K1166&lt;&gt;""),"POSÉ EN LIGNE",IF(COUNTIF(BARDAGE!$C$1:$C$5000,B1166)&gt;0,"BARDÉ","EN STOCK")))</f>
        <v>POSÉ EN LIGNE</v>
      </c>
      <c r="N1166" s="80"/>
    </row>
    <row r="1167" customFormat="false" ht="15" hidden="false" customHeight="false" outlineLevel="0" collapsed="false">
      <c r="A1167" s="82" t="n">
        <f aca="false">IF(B1167="","",ROW()-6)</f>
        <v>1161</v>
      </c>
      <c r="B1167" s="145" t="n">
        <v>2082170</v>
      </c>
      <c r="C1167" s="146" t="n">
        <v>15421104</v>
      </c>
      <c r="D1167" s="146"/>
      <c r="E1167" s="82" t="str">
        <f aca="false">IF(B1167="","",IF(COUNTIFS('CARNET DE SOUDURE'!$L$7:$L$3006,B1167,'CARNET DE SOUDURE'!$M$7:$M$3006,"&lt;&gt;"&amp;C1167,'CARNET DE SOUDURE'!$M$7:$M$3006,"&lt;&gt;")+COUNTIFS('CARNET DE SOUDURE'!$O$7:$O$3006,B1167,'CARNET DE SOUDURE'!$P$7:$P$3006,"&lt;&gt;"&amp;C1167,'CARNET DE SOUDURE'!$P$7:$P$3006,"&lt;&gt;")&gt;0,"⚠ DIFFÉRENTE","OK"))</f>
        <v>OK</v>
      </c>
      <c r="F1167" s="147" t="n">
        <v>11.94</v>
      </c>
      <c r="G1167" s="80"/>
      <c r="H1167" s="83"/>
      <c r="I1167" s="148" t="str">
        <f aca="false">IF(B1167="","",IFERROR(INDEX('CARNET DE SOUDURE'!$B$7:$B$3006,MATCH(B1167,'CARNET DE SOUDURE'!$L$7:$L$3006,0)),IFERROR(INDEX('CARNET DE SOUDURE'!$B$7:$B$3006,MATCH(B1167,'CARNET DE SOUDURE'!$O$7:$O$3006,0)),"")))</f>
        <v>MFD-ISW → MFD-CPF</v>
      </c>
      <c r="J1167" s="82" t="str">
        <f aca="false">IF(B1167="","",IFERROR(INDEX('CARNET DE SOUDURE'!$E$7:$E$3006,MATCH(B1167,'CARNET DE SOUDURE'!$O$7:$O$3006,0)),""))</f>
        <v>JN°1747</v>
      </c>
      <c r="K1167" s="82" t="str">
        <f aca="false">IF(B1167="","",IFERROR(INDEX('CARNET DE SOUDURE'!$E$7:$E$3006,MATCH(B1167,'CARNET DE SOUDURE'!$L$7:$L$3006,0)),""))</f>
        <v>JN°1748</v>
      </c>
      <c r="L1167" s="82" t="n">
        <f aca="false">IF(B1167="","",IFERROR(INDEX('CARNET DE SOUDURE'!$D$7:$D$3006,MATCH(B1167,'CARNET DE SOUDURE'!$L$7:$L$3006,0)),IFERROR(INDEX('CARNET DE SOUDURE'!$D$7:$D$3006,MATCH(B1167,'CARNET DE SOUDURE'!$O$7:$O$3006,0)),"")))</f>
        <v>21</v>
      </c>
      <c r="M1167" s="82" t="str">
        <f aca="false">IF(B1167="","",IF(OR(J1167&lt;&gt;"",K1167&lt;&gt;""),"POSÉ EN LIGNE",IF(COUNTIF(BARDAGE!$C$1:$C$5000,B1167)&gt;0,"BARDÉ","EN STOCK")))</f>
        <v>POSÉ EN LIGNE</v>
      </c>
      <c r="N1167" s="80"/>
    </row>
    <row r="1168" customFormat="false" ht="15" hidden="false" customHeight="false" outlineLevel="0" collapsed="false">
      <c r="A1168" s="82" t="n">
        <f aca="false">IF(B1168="","",ROW()-6)</f>
        <v>1162</v>
      </c>
      <c r="B1168" s="145" t="n">
        <v>2079250</v>
      </c>
      <c r="C1168" s="146" t="n">
        <v>15421102</v>
      </c>
      <c r="D1168" s="146"/>
      <c r="E1168" s="82" t="str">
        <f aca="false">IF(B1168="","",IF(COUNTIFS('CARNET DE SOUDURE'!$L$7:$L$3006,B1168,'CARNET DE SOUDURE'!$M$7:$M$3006,"&lt;&gt;"&amp;C1168,'CARNET DE SOUDURE'!$M$7:$M$3006,"&lt;&gt;")+COUNTIFS('CARNET DE SOUDURE'!$O$7:$O$3006,B1168,'CARNET DE SOUDURE'!$P$7:$P$3006,"&lt;&gt;"&amp;C1168,'CARNET DE SOUDURE'!$P$7:$P$3006,"&lt;&gt;")&gt;0,"⚠ DIFFÉRENTE","OK"))</f>
        <v>OK</v>
      </c>
      <c r="F1168" s="147" t="n">
        <v>11.94</v>
      </c>
      <c r="G1168" s="80"/>
      <c r="H1168" s="83"/>
      <c r="I1168" s="148" t="str">
        <f aca="false">IF(B1168="","",IFERROR(INDEX('CARNET DE SOUDURE'!$B$7:$B$3006,MATCH(B1168,'CARNET DE SOUDURE'!$L$7:$L$3006,0)),IFERROR(INDEX('CARNET DE SOUDURE'!$B$7:$B$3006,MATCH(B1168,'CARNET DE SOUDURE'!$O$7:$O$3006,0)),"")))</f>
        <v>MFD-ISW → MFD-CPF</v>
      </c>
      <c r="J1168" s="82" t="str">
        <f aca="false">IF(B1168="","",IFERROR(INDEX('CARNET DE SOUDURE'!$E$7:$E$3006,MATCH(B1168,'CARNET DE SOUDURE'!$O$7:$O$3006,0)),""))</f>
        <v>JN°1748</v>
      </c>
      <c r="K1168" s="82" t="str">
        <f aca="false">IF(B1168="","",IFERROR(INDEX('CARNET DE SOUDURE'!$E$7:$E$3006,MATCH(B1168,'CARNET DE SOUDURE'!$L$7:$L$3006,0)),""))</f>
        <v>JN°1749</v>
      </c>
      <c r="L1168" s="82" t="n">
        <f aca="false">IF(B1168="","",IFERROR(INDEX('CARNET DE SOUDURE'!$D$7:$D$3006,MATCH(B1168,'CARNET DE SOUDURE'!$L$7:$L$3006,0)),IFERROR(INDEX('CARNET DE SOUDURE'!$D$7:$D$3006,MATCH(B1168,'CARNET DE SOUDURE'!$O$7:$O$3006,0)),"")))</f>
        <v>21</v>
      </c>
      <c r="M1168" s="82" t="str">
        <f aca="false">IF(B1168="","",IF(OR(J1168&lt;&gt;"",K1168&lt;&gt;""),"POSÉ EN LIGNE",IF(COUNTIF(BARDAGE!$C$1:$C$5000,B1168)&gt;0,"BARDÉ","EN STOCK")))</f>
        <v>POSÉ EN LIGNE</v>
      </c>
      <c r="N1168" s="80"/>
    </row>
    <row r="1169" customFormat="false" ht="15" hidden="false" customHeight="false" outlineLevel="0" collapsed="false">
      <c r="A1169" s="82" t="n">
        <f aca="false">IF(B1169="","",ROW()-6)</f>
        <v>1163</v>
      </c>
      <c r="B1169" s="145" t="n">
        <v>2084150</v>
      </c>
      <c r="C1169" s="146" t="n">
        <v>15421106</v>
      </c>
      <c r="D1169" s="146"/>
      <c r="E1169" s="82" t="str">
        <f aca="false">IF(B1169="","",IF(COUNTIFS('CARNET DE SOUDURE'!$L$7:$L$3006,B1169,'CARNET DE SOUDURE'!$M$7:$M$3006,"&lt;&gt;"&amp;C1169,'CARNET DE SOUDURE'!$M$7:$M$3006,"&lt;&gt;")+COUNTIFS('CARNET DE SOUDURE'!$O$7:$O$3006,B1169,'CARNET DE SOUDURE'!$P$7:$P$3006,"&lt;&gt;"&amp;C1169,'CARNET DE SOUDURE'!$P$7:$P$3006,"&lt;&gt;")&gt;0,"⚠ DIFFÉRENTE","OK"))</f>
        <v>OK</v>
      </c>
      <c r="F1169" s="147" t="n">
        <v>11.94</v>
      </c>
      <c r="G1169" s="80"/>
      <c r="H1169" s="83"/>
      <c r="I1169" s="148" t="str">
        <f aca="false">IF(B1169="","",IFERROR(INDEX('CARNET DE SOUDURE'!$B$7:$B$3006,MATCH(B1169,'CARNET DE SOUDURE'!$L$7:$L$3006,0)),IFERROR(INDEX('CARNET DE SOUDURE'!$B$7:$B$3006,MATCH(B1169,'CARNET DE SOUDURE'!$O$7:$O$3006,0)),"")))</f>
        <v>MFD-ISW → MFD-CPF</v>
      </c>
      <c r="J1169" s="82" t="str">
        <f aca="false">IF(B1169="","",IFERROR(INDEX('CARNET DE SOUDURE'!$E$7:$E$3006,MATCH(B1169,'CARNET DE SOUDURE'!$O$7:$O$3006,0)),""))</f>
        <v>JN°1750</v>
      </c>
      <c r="K1169" s="82" t="str">
        <f aca="false">IF(B1169="","",IFERROR(INDEX('CARNET DE SOUDURE'!$E$7:$E$3006,MATCH(B1169,'CARNET DE SOUDURE'!$L$7:$L$3006,0)),""))</f>
        <v>JN°1751</v>
      </c>
      <c r="L1169" s="82" t="n">
        <f aca="false">IF(B1169="","",IFERROR(INDEX('CARNET DE SOUDURE'!$D$7:$D$3006,MATCH(B1169,'CARNET DE SOUDURE'!$L$7:$L$3006,0)),IFERROR(INDEX('CARNET DE SOUDURE'!$D$7:$D$3006,MATCH(B1169,'CARNET DE SOUDURE'!$O$7:$O$3006,0)),"")))</f>
        <v>21</v>
      </c>
      <c r="M1169" s="82" t="str">
        <f aca="false">IF(B1169="","",IF(OR(J1169&lt;&gt;"",K1169&lt;&gt;""),"POSÉ EN LIGNE",IF(COUNTIF(BARDAGE!$C$1:$C$5000,B1169)&gt;0,"BARDÉ","EN STOCK")))</f>
        <v>POSÉ EN LIGNE</v>
      </c>
      <c r="N1169" s="80"/>
    </row>
    <row r="1170" customFormat="false" ht="15" hidden="false" customHeight="false" outlineLevel="0" collapsed="false">
      <c r="A1170" s="82" t="n">
        <f aca="false">IF(B1170="","",ROW()-6)</f>
        <v>1164</v>
      </c>
      <c r="B1170" s="145" t="n">
        <v>2084950</v>
      </c>
      <c r="C1170" s="146" t="n">
        <v>15421106</v>
      </c>
      <c r="D1170" s="146"/>
      <c r="E1170" s="82" t="str">
        <f aca="false">IF(B1170="","",IF(COUNTIFS('CARNET DE SOUDURE'!$L$7:$L$3006,B1170,'CARNET DE SOUDURE'!$M$7:$M$3006,"&lt;&gt;"&amp;C1170,'CARNET DE SOUDURE'!$M$7:$M$3006,"&lt;&gt;")+COUNTIFS('CARNET DE SOUDURE'!$O$7:$O$3006,B1170,'CARNET DE SOUDURE'!$P$7:$P$3006,"&lt;&gt;"&amp;C1170,'CARNET DE SOUDURE'!$P$7:$P$3006,"&lt;&gt;")&gt;0,"⚠ DIFFÉRENTE","OK"))</f>
        <v>OK</v>
      </c>
      <c r="F1170" s="147" t="n">
        <v>11.94</v>
      </c>
      <c r="G1170" s="80"/>
      <c r="H1170" s="83"/>
      <c r="I1170" s="148" t="str">
        <f aca="false">IF(B1170="","",IFERROR(INDEX('CARNET DE SOUDURE'!$B$7:$B$3006,MATCH(B1170,'CARNET DE SOUDURE'!$L$7:$L$3006,0)),IFERROR(INDEX('CARNET DE SOUDURE'!$B$7:$B$3006,MATCH(B1170,'CARNET DE SOUDURE'!$O$7:$O$3006,0)),"")))</f>
        <v>MFD-ISW → MFD-CPF</v>
      </c>
      <c r="J1170" s="82" t="str">
        <f aca="false">IF(B1170="","",IFERROR(INDEX('CARNET DE SOUDURE'!$E$7:$E$3006,MATCH(B1170,'CARNET DE SOUDURE'!$O$7:$O$3006,0)),""))</f>
        <v>JN°1754</v>
      </c>
      <c r="K1170" s="82" t="str">
        <f aca="false">IF(B1170="","",IFERROR(INDEX('CARNET DE SOUDURE'!$E$7:$E$3006,MATCH(B1170,'CARNET DE SOUDURE'!$L$7:$L$3006,0)),""))</f>
        <v>JN°1755</v>
      </c>
      <c r="L1170" s="82" t="n">
        <f aca="false">IF(B1170="","",IFERROR(INDEX('CARNET DE SOUDURE'!$D$7:$D$3006,MATCH(B1170,'CARNET DE SOUDURE'!$L$7:$L$3006,0)),IFERROR(INDEX('CARNET DE SOUDURE'!$D$7:$D$3006,MATCH(B1170,'CARNET DE SOUDURE'!$O$7:$O$3006,0)),"")))</f>
        <v>21</v>
      </c>
      <c r="M1170" s="82" t="str">
        <f aca="false">IF(B1170="","",IF(OR(J1170&lt;&gt;"",K1170&lt;&gt;""),"POSÉ EN LIGNE",IF(COUNTIF(BARDAGE!$C$1:$C$5000,B1170)&gt;0,"BARDÉ","EN STOCK")))</f>
        <v>POSÉ EN LIGNE</v>
      </c>
      <c r="N1170" s="80"/>
    </row>
    <row r="1171" customFormat="false" ht="15" hidden="false" customHeight="false" outlineLevel="0" collapsed="false">
      <c r="A1171" s="82" t="n">
        <f aca="false">IF(B1171="","",ROW()-6)</f>
        <v>1165</v>
      </c>
      <c r="B1171" s="145" t="n">
        <v>2086630</v>
      </c>
      <c r="C1171" s="146" t="n">
        <v>15421107</v>
      </c>
      <c r="D1171" s="146"/>
      <c r="E1171" s="82" t="str">
        <f aca="false">IF(B1171="","",IF(COUNTIFS('CARNET DE SOUDURE'!$L$7:$L$3006,B1171,'CARNET DE SOUDURE'!$M$7:$M$3006,"&lt;&gt;"&amp;C1171,'CARNET DE SOUDURE'!$M$7:$M$3006,"&lt;&gt;")+COUNTIFS('CARNET DE SOUDURE'!$O$7:$O$3006,B1171,'CARNET DE SOUDURE'!$P$7:$P$3006,"&lt;&gt;"&amp;C1171,'CARNET DE SOUDURE'!$P$7:$P$3006,"&lt;&gt;")&gt;0,"⚠ DIFFÉRENTE","OK"))</f>
        <v>OK</v>
      </c>
      <c r="F1171" s="147" t="n">
        <v>11.94</v>
      </c>
      <c r="G1171" s="80"/>
      <c r="H1171" s="83"/>
      <c r="I1171" s="148" t="str">
        <f aca="false">IF(B1171="","",IFERROR(INDEX('CARNET DE SOUDURE'!$B$7:$B$3006,MATCH(B1171,'CARNET DE SOUDURE'!$L$7:$L$3006,0)),IFERROR(INDEX('CARNET DE SOUDURE'!$B$7:$B$3006,MATCH(B1171,'CARNET DE SOUDURE'!$O$7:$O$3006,0)),"")))</f>
        <v>MFD-ISW → MFD-CPF</v>
      </c>
      <c r="J1171" s="82" t="str">
        <f aca="false">IF(B1171="","",IFERROR(INDEX('CARNET DE SOUDURE'!$E$7:$E$3006,MATCH(B1171,'CARNET DE SOUDURE'!$O$7:$O$3006,0)),""))</f>
        <v>JN°1755</v>
      </c>
      <c r="K1171" s="82" t="str">
        <f aca="false">IF(B1171="","",IFERROR(INDEX('CARNET DE SOUDURE'!$E$7:$E$3006,MATCH(B1171,'CARNET DE SOUDURE'!$L$7:$L$3006,0)),""))</f>
        <v>JN°1756</v>
      </c>
      <c r="L1171" s="82" t="n">
        <f aca="false">IF(B1171="","",IFERROR(INDEX('CARNET DE SOUDURE'!$D$7:$D$3006,MATCH(B1171,'CARNET DE SOUDURE'!$L$7:$L$3006,0)),IFERROR(INDEX('CARNET DE SOUDURE'!$D$7:$D$3006,MATCH(B1171,'CARNET DE SOUDURE'!$O$7:$O$3006,0)),"")))</f>
        <v>21</v>
      </c>
      <c r="M1171" s="82" t="str">
        <f aca="false">IF(B1171="","",IF(OR(J1171&lt;&gt;"",K1171&lt;&gt;""),"POSÉ EN LIGNE",IF(COUNTIF(BARDAGE!$C$1:$C$5000,B1171)&gt;0,"BARDÉ","EN STOCK")))</f>
        <v>POSÉ EN LIGNE</v>
      </c>
      <c r="N1171" s="80"/>
    </row>
    <row r="1172" customFormat="false" ht="15" hidden="false" customHeight="false" outlineLevel="0" collapsed="false">
      <c r="A1172" s="82" t="n">
        <f aca="false">IF(B1172="","",ROW()-6)</f>
        <v>1166</v>
      </c>
      <c r="B1172" s="145" t="n">
        <v>2086640</v>
      </c>
      <c r="C1172" s="146" t="n">
        <v>15421107</v>
      </c>
      <c r="D1172" s="146"/>
      <c r="E1172" s="82" t="str">
        <f aca="false">IF(B1172="","",IF(COUNTIFS('CARNET DE SOUDURE'!$L$7:$L$3006,B1172,'CARNET DE SOUDURE'!$M$7:$M$3006,"&lt;&gt;"&amp;C1172,'CARNET DE SOUDURE'!$M$7:$M$3006,"&lt;&gt;")+COUNTIFS('CARNET DE SOUDURE'!$O$7:$O$3006,B1172,'CARNET DE SOUDURE'!$P$7:$P$3006,"&lt;&gt;"&amp;C1172,'CARNET DE SOUDURE'!$P$7:$P$3006,"&lt;&gt;")&gt;0,"⚠ DIFFÉRENTE","OK"))</f>
        <v>OK</v>
      </c>
      <c r="F1172" s="147" t="n">
        <v>11.94</v>
      </c>
      <c r="G1172" s="80"/>
      <c r="H1172" s="83"/>
      <c r="I1172" s="148" t="str">
        <f aca="false">IF(B1172="","",IFERROR(INDEX('CARNET DE SOUDURE'!$B$7:$B$3006,MATCH(B1172,'CARNET DE SOUDURE'!$L$7:$L$3006,0)),IFERROR(INDEX('CARNET DE SOUDURE'!$B$7:$B$3006,MATCH(B1172,'CARNET DE SOUDURE'!$O$7:$O$3006,0)),"")))</f>
        <v>MFD-ISW → MFD-CPF</v>
      </c>
      <c r="J1172" s="82" t="str">
        <f aca="false">IF(B1172="","",IFERROR(INDEX('CARNET DE SOUDURE'!$E$7:$E$3006,MATCH(B1172,'CARNET DE SOUDURE'!$O$7:$O$3006,0)),""))</f>
        <v>JN°1756</v>
      </c>
      <c r="K1172" s="82" t="str">
        <f aca="false">IF(B1172="","",IFERROR(INDEX('CARNET DE SOUDURE'!$E$7:$E$3006,MATCH(B1172,'CARNET DE SOUDURE'!$L$7:$L$3006,0)),""))</f>
        <v>JN°1757</v>
      </c>
      <c r="L1172" s="82" t="n">
        <f aca="false">IF(B1172="","",IFERROR(INDEX('CARNET DE SOUDURE'!$D$7:$D$3006,MATCH(B1172,'CARNET DE SOUDURE'!$L$7:$L$3006,0)),IFERROR(INDEX('CARNET DE SOUDURE'!$D$7:$D$3006,MATCH(B1172,'CARNET DE SOUDURE'!$O$7:$O$3006,0)),"")))</f>
        <v>21</v>
      </c>
      <c r="M1172" s="82" t="str">
        <f aca="false">IF(B1172="","",IF(OR(J1172&lt;&gt;"",K1172&lt;&gt;""),"POSÉ EN LIGNE",IF(COUNTIF(BARDAGE!$C$1:$C$5000,B1172)&gt;0,"BARDÉ","EN STOCK")))</f>
        <v>POSÉ EN LIGNE</v>
      </c>
      <c r="N1172" s="80"/>
    </row>
    <row r="1173" customFormat="false" ht="15" hidden="false" customHeight="false" outlineLevel="0" collapsed="false">
      <c r="A1173" s="82" t="n">
        <f aca="false">IF(B1173="","",ROW()-6)</f>
        <v>1167</v>
      </c>
      <c r="B1173" s="145" t="n">
        <v>2086540</v>
      </c>
      <c r="C1173" s="146" t="n">
        <v>15421107</v>
      </c>
      <c r="D1173" s="146"/>
      <c r="E1173" s="82" t="str">
        <f aca="false">IF(B1173="","",IF(COUNTIFS('CARNET DE SOUDURE'!$L$7:$L$3006,B1173,'CARNET DE SOUDURE'!$M$7:$M$3006,"&lt;&gt;"&amp;C1173,'CARNET DE SOUDURE'!$M$7:$M$3006,"&lt;&gt;")+COUNTIFS('CARNET DE SOUDURE'!$O$7:$O$3006,B1173,'CARNET DE SOUDURE'!$P$7:$P$3006,"&lt;&gt;"&amp;C1173,'CARNET DE SOUDURE'!$P$7:$P$3006,"&lt;&gt;")&gt;0,"⚠ DIFFÉRENTE","OK"))</f>
        <v>OK</v>
      </c>
      <c r="F1173" s="147" t="n">
        <v>11.94</v>
      </c>
      <c r="G1173" s="80"/>
      <c r="H1173" s="83"/>
      <c r="I1173" s="148" t="str">
        <f aca="false">IF(B1173="","",IFERROR(INDEX('CARNET DE SOUDURE'!$B$7:$B$3006,MATCH(B1173,'CARNET DE SOUDURE'!$L$7:$L$3006,0)),IFERROR(INDEX('CARNET DE SOUDURE'!$B$7:$B$3006,MATCH(B1173,'CARNET DE SOUDURE'!$O$7:$O$3006,0)),"")))</f>
        <v>MFD-ISW → MFD-CPF</v>
      </c>
      <c r="J1173" s="82" t="str">
        <f aca="false">IF(B1173="","",IFERROR(INDEX('CARNET DE SOUDURE'!$E$7:$E$3006,MATCH(B1173,'CARNET DE SOUDURE'!$O$7:$O$3006,0)),""))</f>
        <v>JN°1757</v>
      </c>
      <c r="K1173" s="82" t="str">
        <f aca="false">IF(B1173="","",IFERROR(INDEX('CARNET DE SOUDURE'!$E$7:$E$3006,MATCH(B1173,'CARNET DE SOUDURE'!$L$7:$L$3006,0)),""))</f>
        <v>JN°1758</v>
      </c>
      <c r="L1173" s="82" t="n">
        <f aca="false">IF(B1173="","",IFERROR(INDEX('CARNET DE SOUDURE'!$D$7:$D$3006,MATCH(B1173,'CARNET DE SOUDURE'!$L$7:$L$3006,0)),IFERROR(INDEX('CARNET DE SOUDURE'!$D$7:$D$3006,MATCH(B1173,'CARNET DE SOUDURE'!$O$7:$O$3006,0)),"")))</f>
        <v>21</v>
      </c>
      <c r="M1173" s="82" t="str">
        <f aca="false">IF(B1173="","",IF(OR(J1173&lt;&gt;"",K1173&lt;&gt;""),"POSÉ EN LIGNE",IF(COUNTIF(BARDAGE!$C$1:$C$5000,B1173)&gt;0,"BARDÉ","EN STOCK")))</f>
        <v>POSÉ EN LIGNE</v>
      </c>
      <c r="N1173" s="80"/>
    </row>
    <row r="1174" customFormat="false" ht="15" hidden="false" customHeight="false" outlineLevel="0" collapsed="false">
      <c r="A1174" s="82" t="n">
        <f aca="false">IF(B1174="","",ROW()-6)</f>
        <v>1168</v>
      </c>
      <c r="B1174" s="145" t="n">
        <v>2084180</v>
      </c>
      <c r="C1174" s="146" t="n">
        <v>15421106</v>
      </c>
      <c r="D1174" s="146"/>
      <c r="E1174" s="82" t="str">
        <f aca="false">IF(B1174="","",IF(COUNTIFS('CARNET DE SOUDURE'!$L$7:$L$3006,B1174,'CARNET DE SOUDURE'!$M$7:$M$3006,"&lt;&gt;"&amp;C1174,'CARNET DE SOUDURE'!$M$7:$M$3006,"&lt;&gt;")+COUNTIFS('CARNET DE SOUDURE'!$O$7:$O$3006,B1174,'CARNET DE SOUDURE'!$P$7:$P$3006,"&lt;&gt;"&amp;C1174,'CARNET DE SOUDURE'!$P$7:$P$3006,"&lt;&gt;")&gt;0,"⚠ DIFFÉRENTE","OK"))</f>
        <v>OK</v>
      </c>
      <c r="F1174" s="147" t="n">
        <v>11.94</v>
      </c>
      <c r="G1174" s="80"/>
      <c r="H1174" s="83"/>
      <c r="I1174" s="148" t="str">
        <f aca="false">IF(B1174="","",IFERROR(INDEX('CARNET DE SOUDURE'!$B$7:$B$3006,MATCH(B1174,'CARNET DE SOUDURE'!$L$7:$L$3006,0)),IFERROR(INDEX('CARNET DE SOUDURE'!$B$7:$B$3006,MATCH(B1174,'CARNET DE SOUDURE'!$O$7:$O$3006,0)),"")))</f>
        <v>MFD-ISW → MFD-CPF</v>
      </c>
      <c r="J1174" s="82" t="str">
        <f aca="false">IF(B1174="","",IFERROR(INDEX('CARNET DE SOUDURE'!$E$7:$E$3006,MATCH(B1174,'CARNET DE SOUDURE'!$O$7:$O$3006,0)),""))</f>
        <v>JN°1758</v>
      </c>
      <c r="K1174" s="82" t="str">
        <f aca="false">IF(B1174="","",IFERROR(INDEX('CARNET DE SOUDURE'!$E$7:$E$3006,MATCH(B1174,'CARNET DE SOUDURE'!$L$7:$L$3006,0)),""))</f>
        <v>JN°1759</v>
      </c>
      <c r="L1174" s="82" t="n">
        <f aca="false">IF(B1174="","",IFERROR(INDEX('CARNET DE SOUDURE'!$D$7:$D$3006,MATCH(B1174,'CARNET DE SOUDURE'!$L$7:$L$3006,0)),IFERROR(INDEX('CARNET DE SOUDURE'!$D$7:$D$3006,MATCH(B1174,'CARNET DE SOUDURE'!$O$7:$O$3006,0)),"")))</f>
        <v>21</v>
      </c>
      <c r="M1174" s="82" t="str">
        <f aca="false">IF(B1174="","",IF(OR(J1174&lt;&gt;"",K1174&lt;&gt;""),"POSÉ EN LIGNE",IF(COUNTIF(BARDAGE!$C$1:$C$5000,B1174)&gt;0,"BARDÉ","EN STOCK")))</f>
        <v>POSÉ EN LIGNE</v>
      </c>
      <c r="N1174" s="80"/>
    </row>
    <row r="1175" customFormat="false" ht="15" hidden="false" customHeight="false" outlineLevel="0" collapsed="false">
      <c r="A1175" s="82" t="n">
        <f aca="false">IF(B1175="","",ROW()-6)</f>
        <v>1169</v>
      </c>
      <c r="B1175" s="145" t="n">
        <v>2096790</v>
      </c>
      <c r="C1175" s="146" t="n">
        <v>15421111</v>
      </c>
      <c r="D1175" s="146"/>
      <c r="E1175" s="82" t="str">
        <f aca="false">IF(B1175="","",IF(COUNTIFS('CARNET DE SOUDURE'!$L$7:$L$3006,B1175,'CARNET DE SOUDURE'!$M$7:$M$3006,"&lt;&gt;"&amp;C1175,'CARNET DE SOUDURE'!$M$7:$M$3006,"&lt;&gt;")+COUNTIFS('CARNET DE SOUDURE'!$O$7:$O$3006,B1175,'CARNET DE SOUDURE'!$P$7:$P$3006,"&lt;&gt;"&amp;C1175,'CARNET DE SOUDURE'!$P$7:$P$3006,"&lt;&gt;")&gt;0,"⚠ DIFFÉRENTE","OK"))</f>
        <v>OK</v>
      </c>
      <c r="F1175" s="147" t="n">
        <v>11.94</v>
      </c>
      <c r="G1175" s="80"/>
      <c r="H1175" s="83"/>
      <c r="I1175" s="148" t="str">
        <f aca="false">IF(B1175="","",IFERROR(INDEX('CARNET DE SOUDURE'!$B$7:$B$3006,MATCH(B1175,'CARNET DE SOUDURE'!$L$7:$L$3006,0)),IFERROR(INDEX('CARNET DE SOUDURE'!$B$7:$B$3006,MATCH(B1175,'CARNET DE SOUDURE'!$O$7:$O$3006,0)),"")))</f>
        <v>MFD-ISW → MFD-CPF</v>
      </c>
      <c r="J1175" s="82" t="str">
        <f aca="false">IF(B1175="","",IFERROR(INDEX('CARNET DE SOUDURE'!$E$7:$E$3006,MATCH(B1175,'CARNET DE SOUDURE'!$O$7:$O$3006,0)),""))</f>
        <v>JN°1759</v>
      </c>
      <c r="K1175" s="82" t="str">
        <f aca="false">IF(B1175="","",IFERROR(INDEX('CARNET DE SOUDURE'!$E$7:$E$3006,MATCH(B1175,'CARNET DE SOUDURE'!$L$7:$L$3006,0)),""))</f>
        <v>JN°1760</v>
      </c>
      <c r="L1175" s="82" t="n">
        <f aca="false">IF(B1175="","",IFERROR(INDEX('CARNET DE SOUDURE'!$D$7:$D$3006,MATCH(B1175,'CARNET DE SOUDURE'!$L$7:$L$3006,0)),IFERROR(INDEX('CARNET DE SOUDURE'!$D$7:$D$3006,MATCH(B1175,'CARNET DE SOUDURE'!$O$7:$O$3006,0)),"")))</f>
        <v>21</v>
      </c>
      <c r="M1175" s="82" t="str">
        <f aca="false">IF(B1175="","",IF(OR(J1175&lt;&gt;"",K1175&lt;&gt;""),"POSÉ EN LIGNE",IF(COUNTIF(BARDAGE!$C$1:$C$5000,B1175)&gt;0,"BARDÉ","EN STOCK")))</f>
        <v>POSÉ EN LIGNE</v>
      </c>
      <c r="N1175" s="80"/>
    </row>
    <row r="1176" customFormat="false" ht="15" hidden="false" customHeight="false" outlineLevel="0" collapsed="false">
      <c r="A1176" s="82" t="n">
        <f aca="false">IF(B1176="","",ROW()-6)</f>
        <v>1170</v>
      </c>
      <c r="B1176" s="145" t="n">
        <v>2083930</v>
      </c>
      <c r="C1176" s="146" t="n">
        <v>15421106</v>
      </c>
      <c r="D1176" s="146"/>
      <c r="E1176" s="82" t="str">
        <f aca="false">IF(B1176="","",IF(COUNTIFS('CARNET DE SOUDURE'!$L$7:$L$3006,B1176,'CARNET DE SOUDURE'!$M$7:$M$3006,"&lt;&gt;"&amp;C1176,'CARNET DE SOUDURE'!$M$7:$M$3006,"&lt;&gt;")+COUNTIFS('CARNET DE SOUDURE'!$O$7:$O$3006,B1176,'CARNET DE SOUDURE'!$P$7:$P$3006,"&lt;&gt;"&amp;C1176,'CARNET DE SOUDURE'!$P$7:$P$3006,"&lt;&gt;")&gt;0,"⚠ DIFFÉRENTE","OK"))</f>
        <v>OK</v>
      </c>
      <c r="F1176" s="147" t="n">
        <v>11.94</v>
      </c>
      <c r="G1176" s="80"/>
      <c r="H1176" s="83"/>
      <c r="I1176" s="148" t="str">
        <f aca="false">IF(B1176="","",IFERROR(INDEX('CARNET DE SOUDURE'!$B$7:$B$3006,MATCH(B1176,'CARNET DE SOUDURE'!$L$7:$L$3006,0)),IFERROR(INDEX('CARNET DE SOUDURE'!$B$7:$B$3006,MATCH(B1176,'CARNET DE SOUDURE'!$O$7:$O$3006,0)),"")))</f>
        <v>MFD-ISW → MFD-CPF</v>
      </c>
      <c r="J1176" s="82" t="str">
        <f aca="false">IF(B1176="","",IFERROR(INDEX('CARNET DE SOUDURE'!$E$7:$E$3006,MATCH(B1176,'CARNET DE SOUDURE'!$O$7:$O$3006,0)),""))</f>
        <v>JN°1760</v>
      </c>
      <c r="K1176" s="82" t="str">
        <f aca="false">IF(B1176="","",IFERROR(INDEX('CARNET DE SOUDURE'!$E$7:$E$3006,MATCH(B1176,'CARNET DE SOUDURE'!$L$7:$L$3006,0)),""))</f>
        <v>JN°1761</v>
      </c>
      <c r="L1176" s="82" t="n">
        <f aca="false">IF(B1176="","",IFERROR(INDEX('CARNET DE SOUDURE'!$D$7:$D$3006,MATCH(B1176,'CARNET DE SOUDURE'!$L$7:$L$3006,0)),IFERROR(INDEX('CARNET DE SOUDURE'!$D$7:$D$3006,MATCH(B1176,'CARNET DE SOUDURE'!$O$7:$O$3006,0)),"")))</f>
        <v>21</v>
      </c>
      <c r="M1176" s="82" t="str">
        <f aca="false">IF(B1176="","",IF(OR(J1176&lt;&gt;"",K1176&lt;&gt;""),"POSÉ EN LIGNE",IF(COUNTIF(BARDAGE!$C$1:$C$5000,B1176)&gt;0,"BARDÉ","EN STOCK")))</f>
        <v>POSÉ EN LIGNE</v>
      </c>
      <c r="N1176" s="80"/>
    </row>
    <row r="1177" customFormat="false" ht="15" hidden="false" customHeight="false" outlineLevel="0" collapsed="false">
      <c r="A1177" s="82" t="n">
        <f aca="false">IF(B1177="","",ROW()-6)</f>
        <v>1171</v>
      </c>
      <c r="B1177" s="145" t="n">
        <v>2093010</v>
      </c>
      <c r="C1177" s="146" t="n">
        <v>15421110</v>
      </c>
      <c r="D1177" s="146"/>
      <c r="E1177" s="82" t="str">
        <f aca="false">IF(B1177="","",IF(COUNTIFS('CARNET DE SOUDURE'!$L$7:$L$3006,B1177,'CARNET DE SOUDURE'!$M$7:$M$3006,"&lt;&gt;"&amp;C1177,'CARNET DE SOUDURE'!$M$7:$M$3006,"&lt;&gt;")+COUNTIFS('CARNET DE SOUDURE'!$O$7:$O$3006,B1177,'CARNET DE SOUDURE'!$P$7:$P$3006,"&lt;&gt;"&amp;C1177,'CARNET DE SOUDURE'!$P$7:$P$3006,"&lt;&gt;")&gt;0,"⚠ DIFFÉRENTE","OK"))</f>
        <v>OK</v>
      </c>
      <c r="F1177" s="147" t="n">
        <v>11.94</v>
      </c>
      <c r="G1177" s="80"/>
      <c r="H1177" s="83"/>
      <c r="I1177" s="148" t="str">
        <f aca="false">IF(B1177="","",IFERROR(INDEX('CARNET DE SOUDURE'!$B$7:$B$3006,MATCH(B1177,'CARNET DE SOUDURE'!$L$7:$L$3006,0)),IFERROR(INDEX('CARNET DE SOUDURE'!$B$7:$B$3006,MATCH(B1177,'CARNET DE SOUDURE'!$O$7:$O$3006,0)),"")))</f>
        <v>MFD-ISW → MFD-CPF</v>
      </c>
      <c r="J1177" s="82" t="str">
        <f aca="false">IF(B1177="","",IFERROR(INDEX('CARNET DE SOUDURE'!$E$7:$E$3006,MATCH(B1177,'CARNET DE SOUDURE'!$O$7:$O$3006,0)),""))</f>
        <v>JN°1761</v>
      </c>
      <c r="K1177" s="82" t="str">
        <f aca="false">IF(B1177="","",IFERROR(INDEX('CARNET DE SOUDURE'!$E$7:$E$3006,MATCH(B1177,'CARNET DE SOUDURE'!$L$7:$L$3006,0)),""))</f>
        <v>JN°1762</v>
      </c>
      <c r="L1177" s="82" t="n">
        <f aca="false">IF(B1177="","",IFERROR(INDEX('CARNET DE SOUDURE'!$D$7:$D$3006,MATCH(B1177,'CARNET DE SOUDURE'!$L$7:$L$3006,0)),IFERROR(INDEX('CARNET DE SOUDURE'!$D$7:$D$3006,MATCH(B1177,'CARNET DE SOUDURE'!$O$7:$O$3006,0)),"")))</f>
        <v>21</v>
      </c>
      <c r="M1177" s="82" t="str">
        <f aca="false">IF(B1177="","",IF(OR(J1177&lt;&gt;"",K1177&lt;&gt;""),"POSÉ EN LIGNE",IF(COUNTIF(BARDAGE!$C$1:$C$5000,B1177)&gt;0,"BARDÉ","EN STOCK")))</f>
        <v>POSÉ EN LIGNE</v>
      </c>
      <c r="N1177" s="80"/>
    </row>
    <row r="1178" customFormat="false" ht="15" hidden="false" customHeight="false" outlineLevel="0" collapsed="false">
      <c r="A1178" s="82" t="n">
        <f aca="false">IF(B1178="","",ROW()-6)</f>
        <v>1172</v>
      </c>
      <c r="B1178" s="145" t="n">
        <v>2095170</v>
      </c>
      <c r="C1178" s="146" t="n">
        <v>15421111</v>
      </c>
      <c r="D1178" s="146"/>
      <c r="E1178" s="82" t="str">
        <f aca="false">IF(B1178="","",IF(COUNTIFS('CARNET DE SOUDURE'!$L$7:$L$3006,B1178,'CARNET DE SOUDURE'!$M$7:$M$3006,"&lt;&gt;"&amp;C1178,'CARNET DE SOUDURE'!$M$7:$M$3006,"&lt;&gt;")+COUNTIFS('CARNET DE SOUDURE'!$O$7:$O$3006,B1178,'CARNET DE SOUDURE'!$P$7:$P$3006,"&lt;&gt;"&amp;C1178,'CARNET DE SOUDURE'!$P$7:$P$3006,"&lt;&gt;")&gt;0,"⚠ DIFFÉRENTE","OK"))</f>
        <v>OK</v>
      </c>
      <c r="F1178" s="147" t="n">
        <v>11.94</v>
      </c>
      <c r="G1178" s="80"/>
      <c r="H1178" s="83"/>
      <c r="I1178" s="148" t="str">
        <f aca="false">IF(B1178="","",IFERROR(INDEX('CARNET DE SOUDURE'!$B$7:$B$3006,MATCH(B1178,'CARNET DE SOUDURE'!$L$7:$L$3006,0)),IFERROR(INDEX('CARNET DE SOUDURE'!$B$7:$B$3006,MATCH(B1178,'CARNET DE SOUDURE'!$O$7:$O$3006,0)),"")))</f>
        <v>MFD-ISW → MFD-CPF</v>
      </c>
      <c r="J1178" s="82" t="str">
        <f aca="false">IF(B1178="","",IFERROR(INDEX('CARNET DE SOUDURE'!$E$7:$E$3006,MATCH(B1178,'CARNET DE SOUDURE'!$O$7:$O$3006,0)),""))</f>
        <v>JN°1762</v>
      </c>
      <c r="K1178" s="82" t="str">
        <f aca="false">IF(B1178="","",IFERROR(INDEX('CARNET DE SOUDURE'!$E$7:$E$3006,MATCH(B1178,'CARNET DE SOUDURE'!$L$7:$L$3006,0)),""))</f>
        <v>JN°1763</v>
      </c>
      <c r="L1178" s="82" t="n">
        <f aca="false">IF(B1178="","",IFERROR(INDEX('CARNET DE SOUDURE'!$D$7:$D$3006,MATCH(B1178,'CARNET DE SOUDURE'!$L$7:$L$3006,0)),IFERROR(INDEX('CARNET DE SOUDURE'!$D$7:$D$3006,MATCH(B1178,'CARNET DE SOUDURE'!$O$7:$O$3006,0)),"")))</f>
        <v>21</v>
      </c>
      <c r="M1178" s="82" t="str">
        <f aca="false">IF(B1178="","",IF(OR(J1178&lt;&gt;"",K1178&lt;&gt;""),"POSÉ EN LIGNE",IF(COUNTIF(BARDAGE!$C$1:$C$5000,B1178)&gt;0,"BARDÉ","EN STOCK")))</f>
        <v>POSÉ EN LIGNE</v>
      </c>
      <c r="N1178" s="80"/>
    </row>
    <row r="1179" customFormat="false" ht="15" hidden="false" customHeight="false" outlineLevel="0" collapsed="false">
      <c r="A1179" s="82" t="n">
        <f aca="false">IF(B1179="","",ROW()-6)</f>
        <v>1173</v>
      </c>
      <c r="B1179" s="145" t="n">
        <v>2081890</v>
      </c>
      <c r="C1179" s="146" t="n">
        <v>15421104</v>
      </c>
      <c r="D1179" s="146"/>
      <c r="E1179" s="82" t="str">
        <f aca="false">IF(B1179="","",IF(COUNTIFS('CARNET DE SOUDURE'!$L$7:$L$3006,B1179,'CARNET DE SOUDURE'!$M$7:$M$3006,"&lt;&gt;"&amp;C1179,'CARNET DE SOUDURE'!$M$7:$M$3006,"&lt;&gt;")+COUNTIFS('CARNET DE SOUDURE'!$O$7:$O$3006,B1179,'CARNET DE SOUDURE'!$P$7:$P$3006,"&lt;&gt;"&amp;C1179,'CARNET DE SOUDURE'!$P$7:$P$3006,"&lt;&gt;")&gt;0,"⚠ DIFFÉRENTE","OK"))</f>
        <v>OK</v>
      </c>
      <c r="F1179" s="147" t="n">
        <v>11.94</v>
      </c>
      <c r="G1179" s="80"/>
      <c r="H1179" s="83"/>
      <c r="I1179" s="148" t="str">
        <f aca="false">IF(B1179="","",IFERROR(INDEX('CARNET DE SOUDURE'!$B$7:$B$3006,MATCH(B1179,'CARNET DE SOUDURE'!$L$7:$L$3006,0)),IFERROR(INDEX('CARNET DE SOUDURE'!$B$7:$B$3006,MATCH(B1179,'CARNET DE SOUDURE'!$O$7:$O$3006,0)),"")))</f>
        <v>MFD-ISW → MFD-CPF</v>
      </c>
      <c r="J1179" s="82" t="str">
        <f aca="false">IF(B1179="","",IFERROR(INDEX('CARNET DE SOUDURE'!$E$7:$E$3006,MATCH(B1179,'CARNET DE SOUDURE'!$O$7:$O$3006,0)),""))</f>
        <v>JN°1763</v>
      </c>
      <c r="K1179" s="82" t="str">
        <f aca="false">IF(B1179="","",IFERROR(INDEX('CARNET DE SOUDURE'!$E$7:$E$3006,MATCH(B1179,'CARNET DE SOUDURE'!$L$7:$L$3006,0)),""))</f>
        <v>JN°1764</v>
      </c>
      <c r="L1179" s="82" t="n">
        <f aca="false">IF(B1179="","",IFERROR(INDEX('CARNET DE SOUDURE'!$D$7:$D$3006,MATCH(B1179,'CARNET DE SOUDURE'!$L$7:$L$3006,0)),IFERROR(INDEX('CARNET DE SOUDURE'!$D$7:$D$3006,MATCH(B1179,'CARNET DE SOUDURE'!$O$7:$O$3006,0)),"")))</f>
        <v>21</v>
      </c>
      <c r="M1179" s="82" t="str">
        <f aca="false">IF(B1179="","",IF(OR(J1179&lt;&gt;"",K1179&lt;&gt;""),"POSÉ EN LIGNE",IF(COUNTIF(BARDAGE!$C$1:$C$5000,B1179)&gt;0,"BARDÉ","EN STOCK")))</f>
        <v>POSÉ EN LIGNE</v>
      </c>
      <c r="N1179" s="80"/>
    </row>
    <row r="1180" customFormat="false" ht="15" hidden="false" customHeight="false" outlineLevel="0" collapsed="false">
      <c r="A1180" s="82" t="n">
        <f aca="false">IF(B1180="","",ROW()-6)</f>
        <v>1174</v>
      </c>
      <c r="B1180" s="145" t="n">
        <v>2095260</v>
      </c>
      <c r="C1180" s="146" t="n">
        <v>15421111</v>
      </c>
      <c r="D1180" s="146"/>
      <c r="E1180" s="82" t="str">
        <f aca="false">IF(B1180="","",IF(COUNTIFS('CARNET DE SOUDURE'!$L$7:$L$3006,B1180,'CARNET DE SOUDURE'!$M$7:$M$3006,"&lt;&gt;"&amp;C1180,'CARNET DE SOUDURE'!$M$7:$M$3006,"&lt;&gt;")+COUNTIFS('CARNET DE SOUDURE'!$O$7:$O$3006,B1180,'CARNET DE SOUDURE'!$P$7:$P$3006,"&lt;&gt;"&amp;C1180,'CARNET DE SOUDURE'!$P$7:$P$3006,"&lt;&gt;")&gt;0,"⚠ DIFFÉRENTE","OK"))</f>
        <v>OK</v>
      </c>
      <c r="F1180" s="147" t="n">
        <v>11.94</v>
      </c>
      <c r="G1180" s="80"/>
      <c r="H1180" s="83"/>
      <c r="I1180" s="148" t="str">
        <f aca="false">IF(B1180="","",IFERROR(INDEX('CARNET DE SOUDURE'!$B$7:$B$3006,MATCH(B1180,'CARNET DE SOUDURE'!$L$7:$L$3006,0)),IFERROR(INDEX('CARNET DE SOUDURE'!$B$7:$B$3006,MATCH(B1180,'CARNET DE SOUDURE'!$O$7:$O$3006,0)),"")))</f>
        <v>MFD-ISW → MFD-CPF</v>
      </c>
      <c r="J1180" s="82" t="str">
        <f aca="false">IF(B1180="","",IFERROR(INDEX('CARNET DE SOUDURE'!$E$7:$E$3006,MATCH(B1180,'CARNET DE SOUDURE'!$O$7:$O$3006,0)),""))</f>
        <v>JN°1764</v>
      </c>
      <c r="K1180" s="82" t="str">
        <f aca="false">IF(B1180="","",IFERROR(INDEX('CARNET DE SOUDURE'!$E$7:$E$3006,MATCH(B1180,'CARNET DE SOUDURE'!$L$7:$L$3006,0)),""))</f>
        <v>JN°1765</v>
      </c>
      <c r="L1180" s="82" t="n">
        <f aca="false">IF(B1180="","",IFERROR(INDEX('CARNET DE SOUDURE'!$D$7:$D$3006,MATCH(B1180,'CARNET DE SOUDURE'!$L$7:$L$3006,0)),IFERROR(INDEX('CARNET DE SOUDURE'!$D$7:$D$3006,MATCH(B1180,'CARNET DE SOUDURE'!$O$7:$O$3006,0)),"")))</f>
        <v>21</v>
      </c>
      <c r="M1180" s="82" t="str">
        <f aca="false">IF(B1180="","",IF(OR(J1180&lt;&gt;"",K1180&lt;&gt;""),"POSÉ EN LIGNE",IF(COUNTIF(BARDAGE!$C$1:$C$5000,B1180)&gt;0,"BARDÉ","EN STOCK")))</f>
        <v>POSÉ EN LIGNE</v>
      </c>
      <c r="N1180" s="80"/>
    </row>
    <row r="1181" customFormat="false" ht="15" hidden="false" customHeight="false" outlineLevel="0" collapsed="false">
      <c r="A1181" s="82" t="n">
        <f aca="false">IF(B1181="","",ROW()-6)</f>
        <v>1175</v>
      </c>
      <c r="B1181" s="145" t="n">
        <v>2089930</v>
      </c>
      <c r="C1181" s="146" t="n">
        <v>15421109</v>
      </c>
      <c r="D1181" s="146"/>
      <c r="E1181" s="82" t="str">
        <f aca="false">IF(B1181="","",IF(COUNTIFS('CARNET DE SOUDURE'!$L$7:$L$3006,B1181,'CARNET DE SOUDURE'!$M$7:$M$3006,"&lt;&gt;"&amp;C1181,'CARNET DE SOUDURE'!$M$7:$M$3006,"&lt;&gt;")+COUNTIFS('CARNET DE SOUDURE'!$O$7:$O$3006,B1181,'CARNET DE SOUDURE'!$P$7:$P$3006,"&lt;&gt;"&amp;C1181,'CARNET DE SOUDURE'!$P$7:$P$3006,"&lt;&gt;")&gt;0,"⚠ DIFFÉRENTE","OK"))</f>
        <v>OK</v>
      </c>
      <c r="F1181" s="147" t="n">
        <v>11.94</v>
      </c>
      <c r="G1181" s="80"/>
      <c r="H1181" s="83"/>
      <c r="I1181" s="148" t="str">
        <f aca="false">IF(B1181="","",IFERROR(INDEX('CARNET DE SOUDURE'!$B$7:$B$3006,MATCH(B1181,'CARNET DE SOUDURE'!$L$7:$L$3006,0)),IFERROR(INDEX('CARNET DE SOUDURE'!$B$7:$B$3006,MATCH(B1181,'CARNET DE SOUDURE'!$O$7:$O$3006,0)),"")))</f>
        <v>MFD-ISW → MFD-CPF</v>
      </c>
      <c r="J1181" s="82" t="str">
        <f aca="false">IF(B1181="","",IFERROR(INDEX('CARNET DE SOUDURE'!$E$7:$E$3006,MATCH(B1181,'CARNET DE SOUDURE'!$O$7:$O$3006,0)),""))</f>
        <v>JN°1765</v>
      </c>
      <c r="K1181" s="82" t="str">
        <f aca="false">IF(B1181="","",IFERROR(INDEX('CARNET DE SOUDURE'!$E$7:$E$3006,MATCH(B1181,'CARNET DE SOUDURE'!$L$7:$L$3006,0)),""))</f>
        <v>JN°1766</v>
      </c>
      <c r="L1181" s="82" t="n">
        <f aca="false">IF(B1181="","",IFERROR(INDEX('CARNET DE SOUDURE'!$D$7:$D$3006,MATCH(B1181,'CARNET DE SOUDURE'!$L$7:$L$3006,0)),IFERROR(INDEX('CARNET DE SOUDURE'!$D$7:$D$3006,MATCH(B1181,'CARNET DE SOUDURE'!$O$7:$O$3006,0)),"")))</f>
        <v>21</v>
      </c>
      <c r="M1181" s="82" t="str">
        <f aca="false">IF(B1181="","",IF(OR(J1181&lt;&gt;"",K1181&lt;&gt;""),"POSÉ EN LIGNE",IF(COUNTIF(BARDAGE!$C$1:$C$5000,B1181)&gt;0,"BARDÉ","EN STOCK")))</f>
        <v>POSÉ EN LIGNE</v>
      </c>
      <c r="N1181" s="80"/>
    </row>
    <row r="1182" customFormat="false" ht="15" hidden="false" customHeight="false" outlineLevel="0" collapsed="false">
      <c r="A1182" s="82" t="n">
        <f aca="false">IF(B1182="","",ROW()-6)</f>
        <v>1176</v>
      </c>
      <c r="B1182" s="145" t="n">
        <v>2097690</v>
      </c>
      <c r="C1182" s="146" t="n">
        <v>15421112</v>
      </c>
      <c r="D1182" s="146"/>
      <c r="E1182" s="82" t="str">
        <f aca="false">IF(B1182="","",IF(COUNTIFS('CARNET DE SOUDURE'!$L$7:$L$3006,B1182,'CARNET DE SOUDURE'!$M$7:$M$3006,"&lt;&gt;"&amp;C1182,'CARNET DE SOUDURE'!$M$7:$M$3006,"&lt;&gt;")+COUNTIFS('CARNET DE SOUDURE'!$O$7:$O$3006,B1182,'CARNET DE SOUDURE'!$P$7:$P$3006,"&lt;&gt;"&amp;C1182,'CARNET DE SOUDURE'!$P$7:$P$3006,"&lt;&gt;")&gt;0,"⚠ DIFFÉRENTE","OK"))</f>
        <v>OK</v>
      </c>
      <c r="F1182" s="147" t="n">
        <v>11.94</v>
      </c>
      <c r="G1182" s="80"/>
      <c r="H1182" s="83"/>
      <c r="I1182" s="148" t="str">
        <f aca="false">IF(B1182="","",IFERROR(INDEX('CARNET DE SOUDURE'!$B$7:$B$3006,MATCH(B1182,'CARNET DE SOUDURE'!$L$7:$L$3006,0)),IFERROR(INDEX('CARNET DE SOUDURE'!$B$7:$B$3006,MATCH(B1182,'CARNET DE SOUDURE'!$O$7:$O$3006,0)),"")))</f>
        <v>MFD-ISW → MFD-CPF</v>
      </c>
      <c r="J1182" s="82" t="str">
        <f aca="false">IF(B1182="","",IFERROR(INDEX('CARNET DE SOUDURE'!$E$7:$E$3006,MATCH(B1182,'CARNET DE SOUDURE'!$O$7:$O$3006,0)),""))</f>
        <v>JN°1766</v>
      </c>
      <c r="K1182" s="82" t="str">
        <f aca="false">IF(B1182="","",IFERROR(INDEX('CARNET DE SOUDURE'!$E$7:$E$3006,MATCH(B1182,'CARNET DE SOUDURE'!$L$7:$L$3006,0)),""))</f>
        <v>JN°1767</v>
      </c>
      <c r="L1182" s="82" t="n">
        <f aca="false">IF(B1182="","",IFERROR(INDEX('CARNET DE SOUDURE'!$D$7:$D$3006,MATCH(B1182,'CARNET DE SOUDURE'!$L$7:$L$3006,0)),IFERROR(INDEX('CARNET DE SOUDURE'!$D$7:$D$3006,MATCH(B1182,'CARNET DE SOUDURE'!$O$7:$O$3006,0)),"")))</f>
        <v>21</v>
      </c>
      <c r="M1182" s="82" t="str">
        <f aca="false">IF(B1182="","",IF(OR(J1182&lt;&gt;"",K1182&lt;&gt;""),"POSÉ EN LIGNE",IF(COUNTIF(BARDAGE!$C$1:$C$5000,B1182)&gt;0,"BARDÉ","EN STOCK")))</f>
        <v>POSÉ EN LIGNE</v>
      </c>
      <c r="N1182" s="80"/>
    </row>
    <row r="1183" customFormat="false" ht="15" hidden="false" customHeight="false" outlineLevel="0" collapsed="false">
      <c r="A1183" s="82" t="n">
        <f aca="false">IF(B1183="","",ROW()-6)</f>
        <v>1177</v>
      </c>
      <c r="B1183" s="145" t="n">
        <v>2088080</v>
      </c>
      <c r="C1183" s="146" t="n">
        <v>15421108</v>
      </c>
      <c r="D1183" s="146"/>
      <c r="E1183" s="82" t="str">
        <f aca="false">IF(B1183="","",IF(COUNTIFS('CARNET DE SOUDURE'!$L$7:$L$3006,B1183,'CARNET DE SOUDURE'!$M$7:$M$3006,"&lt;&gt;"&amp;C1183,'CARNET DE SOUDURE'!$M$7:$M$3006,"&lt;&gt;")+COUNTIFS('CARNET DE SOUDURE'!$O$7:$O$3006,B1183,'CARNET DE SOUDURE'!$P$7:$P$3006,"&lt;&gt;"&amp;C1183,'CARNET DE SOUDURE'!$P$7:$P$3006,"&lt;&gt;")&gt;0,"⚠ DIFFÉRENTE","OK"))</f>
        <v>OK</v>
      </c>
      <c r="F1183" s="147" t="n">
        <v>11.94</v>
      </c>
      <c r="G1183" s="80"/>
      <c r="H1183" s="83"/>
      <c r="I1183" s="148" t="str">
        <f aca="false">IF(B1183="","",IFERROR(INDEX('CARNET DE SOUDURE'!$B$7:$B$3006,MATCH(B1183,'CARNET DE SOUDURE'!$L$7:$L$3006,0)),IFERROR(INDEX('CARNET DE SOUDURE'!$B$7:$B$3006,MATCH(B1183,'CARNET DE SOUDURE'!$O$7:$O$3006,0)),"")))</f>
        <v>MFD-ISW → MFD-CPF</v>
      </c>
      <c r="J1183" s="82" t="str">
        <f aca="false">IF(B1183="","",IFERROR(INDEX('CARNET DE SOUDURE'!$E$7:$E$3006,MATCH(B1183,'CARNET DE SOUDURE'!$O$7:$O$3006,0)),""))</f>
        <v>JN°1767</v>
      </c>
      <c r="K1183" s="82" t="str">
        <f aca="false">IF(B1183="","",IFERROR(INDEX('CARNET DE SOUDURE'!$E$7:$E$3006,MATCH(B1183,'CARNET DE SOUDURE'!$L$7:$L$3006,0)),""))</f>
        <v>JN°1768</v>
      </c>
      <c r="L1183" s="82" t="n">
        <f aca="false">IF(B1183="","",IFERROR(INDEX('CARNET DE SOUDURE'!$D$7:$D$3006,MATCH(B1183,'CARNET DE SOUDURE'!$L$7:$L$3006,0)),IFERROR(INDEX('CARNET DE SOUDURE'!$D$7:$D$3006,MATCH(B1183,'CARNET DE SOUDURE'!$O$7:$O$3006,0)),"")))</f>
        <v>21</v>
      </c>
      <c r="M1183" s="82" t="str">
        <f aca="false">IF(B1183="","",IF(OR(J1183&lt;&gt;"",K1183&lt;&gt;""),"POSÉ EN LIGNE",IF(COUNTIF(BARDAGE!$C$1:$C$5000,B1183)&gt;0,"BARDÉ","EN STOCK")))</f>
        <v>POSÉ EN LIGNE</v>
      </c>
      <c r="N1183" s="80"/>
    </row>
    <row r="1184" customFormat="false" ht="15" hidden="false" customHeight="false" outlineLevel="0" collapsed="false">
      <c r="A1184" s="82" t="n">
        <f aca="false">IF(B1184="","",ROW()-6)</f>
        <v>1178</v>
      </c>
      <c r="B1184" s="145" t="n">
        <v>2084010</v>
      </c>
      <c r="C1184" s="146" t="n">
        <v>15421106</v>
      </c>
      <c r="D1184" s="146"/>
      <c r="E1184" s="82" t="str">
        <f aca="false">IF(B1184="","",IF(COUNTIFS('CARNET DE SOUDURE'!$L$7:$L$3006,B1184,'CARNET DE SOUDURE'!$M$7:$M$3006,"&lt;&gt;"&amp;C1184,'CARNET DE SOUDURE'!$M$7:$M$3006,"&lt;&gt;")+COUNTIFS('CARNET DE SOUDURE'!$O$7:$O$3006,B1184,'CARNET DE SOUDURE'!$P$7:$P$3006,"&lt;&gt;"&amp;C1184,'CARNET DE SOUDURE'!$P$7:$P$3006,"&lt;&gt;")&gt;0,"⚠ DIFFÉRENTE","OK"))</f>
        <v>OK</v>
      </c>
      <c r="F1184" s="147" t="n">
        <v>11.94</v>
      </c>
      <c r="G1184" s="80"/>
      <c r="H1184" s="83"/>
      <c r="I1184" s="148" t="str">
        <f aca="false">IF(B1184="","",IFERROR(INDEX('CARNET DE SOUDURE'!$B$7:$B$3006,MATCH(B1184,'CARNET DE SOUDURE'!$L$7:$L$3006,0)),IFERROR(INDEX('CARNET DE SOUDURE'!$B$7:$B$3006,MATCH(B1184,'CARNET DE SOUDURE'!$O$7:$O$3006,0)),"")))</f>
        <v>MFD-ISW → MFD-CPF</v>
      </c>
      <c r="J1184" s="82" t="str">
        <f aca="false">IF(B1184="","",IFERROR(INDEX('CARNET DE SOUDURE'!$E$7:$E$3006,MATCH(B1184,'CARNET DE SOUDURE'!$O$7:$O$3006,0)),""))</f>
        <v>JN°1768</v>
      </c>
      <c r="K1184" s="82" t="str">
        <f aca="false">IF(B1184="","",IFERROR(INDEX('CARNET DE SOUDURE'!$E$7:$E$3006,MATCH(B1184,'CARNET DE SOUDURE'!$L$7:$L$3006,0)),""))</f>
        <v>JN°1769</v>
      </c>
      <c r="L1184" s="82" t="n">
        <f aca="false">IF(B1184="","",IFERROR(INDEX('CARNET DE SOUDURE'!$D$7:$D$3006,MATCH(B1184,'CARNET DE SOUDURE'!$L$7:$L$3006,0)),IFERROR(INDEX('CARNET DE SOUDURE'!$D$7:$D$3006,MATCH(B1184,'CARNET DE SOUDURE'!$O$7:$O$3006,0)),"")))</f>
        <v>21</v>
      </c>
      <c r="M1184" s="82" t="str">
        <f aca="false">IF(B1184="","",IF(OR(J1184&lt;&gt;"",K1184&lt;&gt;""),"POSÉ EN LIGNE",IF(COUNTIF(BARDAGE!$C$1:$C$5000,B1184)&gt;0,"BARDÉ","EN STOCK")))</f>
        <v>POSÉ EN LIGNE</v>
      </c>
      <c r="N1184" s="80"/>
    </row>
    <row r="1185" customFormat="false" ht="15" hidden="false" customHeight="false" outlineLevel="0" collapsed="false">
      <c r="A1185" s="82" t="n">
        <f aca="false">IF(B1185="","",ROW()-6)</f>
        <v>1179</v>
      </c>
      <c r="B1185" s="145" t="n">
        <v>2079120</v>
      </c>
      <c r="C1185" s="146" t="n">
        <v>15421102</v>
      </c>
      <c r="D1185" s="146"/>
      <c r="E1185" s="82" t="str">
        <f aca="false">IF(B1185="","",IF(COUNTIFS('CARNET DE SOUDURE'!$L$7:$L$3006,B1185,'CARNET DE SOUDURE'!$M$7:$M$3006,"&lt;&gt;"&amp;C1185,'CARNET DE SOUDURE'!$M$7:$M$3006,"&lt;&gt;")+COUNTIFS('CARNET DE SOUDURE'!$O$7:$O$3006,B1185,'CARNET DE SOUDURE'!$P$7:$P$3006,"&lt;&gt;"&amp;C1185,'CARNET DE SOUDURE'!$P$7:$P$3006,"&lt;&gt;")&gt;0,"⚠ DIFFÉRENTE","OK"))</f>
        <v>OK</v>
      </c>
      <c r="F1185" s="147" t="n">
        <v>11.94</v>
      </c>
      <c r="G1185" s="80"/>
      <c r="H1185" s="83"/>
      <c r="I1185" s="148" t="str">
        <f aca="false">IF(B1185="","",IFERROR(INDEX('CARNET DE SOUDURE'!$B$7:$B$3006,MATCH(B1185,'CARNET DE SOUDURE'!$L$7:$L$3006,0)),IFERROR(INDEX('CARNET DE SOUDURE'!$B$7:$B$3006,MATCH(B1185,'CARNET DE SOUDURE'!$O$7:$O$3006,0)),"")))</f>
        <v>MFD-ISW → MFD-CPF</v>
      </c>
      <c r="J1185" s="82" t="str">
        <f aca="false">IF(B1185="","",IFERROR(INDEX('CARNET DE SOUDURE'!$E$7:$E$3006,MATCH(B1185,'CARNET DE SOUDURE'!$O$7:$O$3006,0)),""))</f>
        <v>JN°1769</v>
      </c>
      <c r="K1185" s="82" t="str">
        <f aca="false">IF(B1185="","",IFERROR(INDEX('CARNET DE SOUDURE'!$E$7:$E$3006,MATCH(B1185,'CARNET DE SOUDURE'!$L$7:$L$3006,0)),""))</f>
        <v>JN°1770</v>
      </c>
      <c r="L1185" s="82" t="n">
        <f aca="false">IF(B1185="","",IFERROR(INDEX('CARNET DE SOUDURE'!$D$7:$D$3006,MATCH(B1185,'CARNET DE SOUDURE'!$L$7:$L$3006,0)),IFERROR(INDEX('CARNET DE SOUDURE'!$D$7:$D$3006,MATCH(B1185,'CARNET DE SOUDURE'!$O$7:$O$3006,0)),"")))</f>
        <v>21</v>
      </c>
      <c r="M1185" s="82" t="str">
        <f aca="false">IF(B1185="","",IF(OR(J1185&lt;&gt;"",K1185&lt;&gt;""),"POSÉ EN LIGNE",IF(COUNTIF(BARDAGE!$C$1:$C$5000,B1185)&gt;0,"BARDÉ","EN STOCK")))</f>
        <v>POSÉ EN LIGNE</v>
      </c>
      <c r="N1185" s="80"/>
    </row>
    <row r="1186" customFormat="false" ht="15" hidden="false" customHeight="false" outlineLevel="0" collapsed="false">
      <c r="A1186" s="82" t="n">
        <f aca="false">IF(B1186="","",ROW()-6)</f>
        <v>1180</v>
      </c>
      <c r="B1186" s="145" t="n">
        <v>2093360</v>
      </c>
      <c r="C1186" s="146" t="n">
        <v>15421110</v>
      </c>
      <c r="D1186" s="146"/>
      <c r="E1186" s="82" t="str">
        <f aca="false">IF(B1186="","",IF(COUNTIFS('CARNET DE SOUDURE'!$L$7:$L$3006,B1186,'CARNET DE SOUDURE'!$M$7:$M$3006,"&lt;&gt;"&amp;C1186,'CARNET DE SOUDURE'!$M$7:$M$3006,"&lt;&gt;")+COUNTIFS('CARNET DE SOUDURE'!$O$7:$O$3006,B1186,'CARNET DE SOUDURE'!$P$7:$P$3006,"&lt;&gt;"&amp;C1186,'CARNET DE SOUDURE'!$P$7:$P$3006,"&lt;&gt;")&gt;0,"⚠ DIFFÉRENTE","OK"))</f>
        <v>OK</v>
      </c>
      <c r="F1186" s="147" t="n">
        <v>11.94</v>
      </c>
      <c r="G1186" s="80"/>
      <c r="H1186" s="83"/>
      <c r="I1186" s="148" t="str">
        <f aca="false">IF(B1186="","",IFERROR(INDEX('CARNET DE SOUDURE'!$B$7:$B$3006,MATCH(B1186,'CARNET DE SOUDURE'!$L$7:$L$3006,0)),IFERROR(INDEX('CARNET DE SOUDURE'!$B$7:$B$3006,MATCH(B1186,'CARNET DE SOUDURE'!$O$7:$O$3006,0)),"")))</f>
        <v>MFD-ISW → MFD-CPF</v>
      </c>
      <c r="J1186" s="82" t="str">
        <f aca="false">IF(B1186="","",IFERROR(INDEX('CARNET DE SOUDURE'!$E$7:$E$3006,MATCH(B1186,'CARNET DE SOUDURE'!$O$7:$O$3006,0)),""))</f>
        <v>JN°1770</v>
      </c>
      <c r="K1186" s="82" t="str">
        <f aca="false">IF(B1186="","",IFERROR(INDEX('CARNET DE SOUDURE'!$E$7:$E$3006,MATCH(B1186,'CARNET DE SOUDURE'!$L$7:$L$3006,0)),""))</f>
        <v>JN°1771</v>
      </c>
      <c r="L1186" s="82" t="n">
        <f aca="false">IF(B1186="","",IFERROR(INDEX('CARNET DE SOUDURE'!$D$7:$D$3006,MATCH(B1186,'CARNET DE SOUDURE'!$L$7:$L$3006,0)),IFERROR(INDEX('CARNET DE SOUDURE'!$D$7:$D$3006,MATCH(B1186,'CARNET DE SOUDURE'!$O$7:$O$3006,0)),"")))</f>
        <v>21</v>
      </c>
      <c r="M1186" s="82" t="str">
        <f aca="false">IF(B1186="","",IF(OR(J1186&lt;&gt;"",K1186&lt;&gt;""),"POSÉ EN LIGNE",IF(COUNTIF(BARDAGE!$C$1:$C$5000,B1186)&gt;0,"BARDÉ","EN STOCK")))</f>
        <v>POSÉ EN LIGNE</v>
      </c>
      <c r="N1186" s="80"/>
    </row>
    <row r="1187" customFormat="false" ht="15" hidden="false" customHeight="false" outlineLevel="0" collapsed="false">
      <c r="A1187" s="82" t="n">
        <f aca="false">IF(B1187="","",ROW()-6)</f>
        <v>1181</v>
      </c>
      <c r="B1187" s="145" t="n">
        <v>2097860</v>
      </c>
      <c r="C1187" s="146" t="n">
        <v>15421112</v>
      </c>
      <c r="D1187" s="146"/>
      <c r="E1187" s="82" t="str">
        <f aca="false">IF(B1187="","",IF(COUNTIFS('CARNET DE SOUDURE'!$L$7:$L$3006,B1187,'CARNET DE SOUDURE'!$M$7:$M$3006,"&lt;&gt;"&amp;C1187,'CARNET DE SOUDURE'!$M$7:$M$3006,"&lt;&gt;")+COUNTIFS('CARNET DE SOUDURE'!$O$7:$O$3006,B1187,'CARNET DE SOUDURE'!$P$7:$P$3006,"&lt;&gt;"&amp;C1187,'CARNET DE SOUDURE'!$P$7:$P$3006,"&lt;&gt;")&gt;0,"⚠ DIFFÉRENTE","OK"))</f>
        <v>OK</v>
      </c>
      <c r="F1187" s="147" t="n">
        <v>11.94</v>
      </c>
      <c r="G1187" s="80"/>
      <c r="H1187" s="83"/>
      <c r="I1187" s="148" t="str">
        <f aca="false">IF(B1187="","",IFERROR(INDEX('CARNET DE SOUDURE'!$B$7:$B$3006,MATCH(B1187,'CARNET DE SOUDURE'!$L$7:$L$3006,0)),IFERROR(INDEX('CARNET DE SOUDURE'!$B$7:$B$3006,MATCH(B1187,'CARNET DE SOUDURE'!$O$7:$O$3006,0)),"")))</f>
        <v>MFD-ISW → MFD-CPF</v>
      </c>
      <c r="J1187" s="82" t="str">
        <f aca="false">IF(B1187="","",IFERROR(INDEX('CARNET DE SOUDURE'!$E$7:$E$3006,MATCH(B1187,'CARNET DE SOUDURE'!$O$7:$O$3006,0)),""))</f>
        <v>JN°1771</v>
      </c>
      <c r="K1187" s="82" t="str">
        <f aca="false">IF(B1187="","",IFERROR(INDEX('CARNET DE SOUDURE'!$E$7:$E$3006,MATCH(B1187,'CARNET DE SOUDURE'!$L$7:$L$3006,0)),""))</f>
        <v>JN°1772</v>
      </c>
      <c r="L1187" s="82" t="n">
        <f aca="false">IF(B1187="","",IFERROR(INDEX('CARNET DE SOUDURE'!$D$7:$D$3006,MATCH(B1187,'CARNET DE SOUDURE'!$L$7:$L$3006,0)),IFERROR(INDEX('CARNET DE SOUDURE'!$D$7:$D$3006,MATCH(B1187,'CARNET DE SOUDURE'!$O$7:$O$3006,0)),"")))</f>
        <v>21</v>
      </c>
      <c r="M1187" s="82" t="str">
        <f aca="false">IF(B1187="","",IF(OR(J1187&lt;&gt;"",K1187&lt;&gt;""),"POSÉ EN LIGNE",IF(COUNTIF(BARDAGE!$C$1:$C$5000,B1187)&gt;0,"BARDÉ","EN STOCK")))</f>
        <v>POSÉ EN LIGNE</v>
      </c>
      <c r="N1187" s="80"/>
    </row>
    <row r="1188" customFormat="false" ht="15" hidden="false" customHeight="false" outlineLevel="0" collapsed="false">
      <c r="A1188" s="82" t="n">
        <f aca="false">IF(B1188="","",ROW()-6)</f>
        <v>1182</v>
      </c>
      <c r="B1188" s="145" t="n">
        <v>2085410</v>
      </c>
      <c r="C1188" s="146" t="n">
        <v>15421107</v>
      </c>
      <c r="D1188" s="146"/>
      <c r="E1188" s="82" t="str">
        <f aca="false">IF(B1188="","",IF(COUNTIFS('CARNET DE SOUDURE'!$L$7:$L$3006,B1188,'CARNET DE SOUDURE'!$M$7:$M$3006,"&lt;&gt;"&amp;C1188,'CARNET DE SOUDURE'!$M$7:$M$3006,"&lt;&gt;")+COUNTIFS('CARNET DE SOUDURE'!$O$7:$O$3006,B1188,'CARNET DE SOUDURE'!$P$7:$P$3006,"&lt;&gt;"&amp;C1188,'CARNET DE SOUDURE'!$P$7:$P$3006,"&lt;&gt;")&gt;0,"⚠ DIFFÉRENTE","OK"))</f>
        <v>OK</v>
      </c>
      <c r="F1188" s="147" t="n">
        <v>11.94</v>
      </c>
      <c r="G1188" s="80"/>
      <c r="H1188" s="83"/>
      <c r="I1188" s="148" t="str">
        <f aca="false">IF(B1188="","",IFERROR(INDEX('CARNET DE SOUDURE'!$B$7:$B$3006,MATCH(B1188,'CARNET DE SOUDURE'!$L$7:$L$3006,0)),IFERROR(INDEX('CARNET DE SOUDURE'!$B$7:$B$3006,MATCH(B1188,'CARNET DE SOUDURE'!$O$7:$O$3006,0)),"")))</f>
        <v>MFD-ISW → MFD-CPF</v>
      </c>
      <c r="J1188" s="82" t="str">
        <f aca="false">IF(B1188="","",IFERROR(INDEX('CARNET DE SOUDURE'!$E$7:$E$3006,MATCH(B1188,'CARNET DE SOUDURE'!$O$7:$O$3006,0)),""))</f>
        <v>JN°1772</v>
      </c>
      <c r="K1188" s="82" t="str">
        <f aca="false">IF(B1188="","",IFERROR(INDEX('CARNET DE SOUDURE'!$E$7:$E$3006,MATCH(B1188,'CARNET DE SOUDURE'!$L$7:$L$3006,0)),""))</f>
        <v>JN°1773</v>
      </c>
      <c r="L1188" s="82" t="n">
        <f aca="false">IF(B1188="","",IFERROR(INDEX('CARNET DE SOUDURE'!$D$7:$D$3006,MATCH(B1188,'CARNET DE SOUDURE'!$L$7:$L$3006,0)),IFERROR(INDEX('CARNET DE SOUDURE'!$D$7:$D$3006,MATCH(B1188,'CARNET DE SOUDURE'!$O$7:$O$3006,0)),"")))</f>
        <v>21</v>
      </c>
      <c r="M1188" s="82" t="str">
        <f aca="false">IF(B1188="","",IF(OR(J1188&lt;&gt;"",K1188&lt;&gt;""),"POSÉ EN LIGNE",IF(COUNTIF(BARDAGE!$C$1:$C$5000,B1188)&gt;0,"BARDÉ","EN STOCK")))</f>
        <v>POSÉ EN LIGNE</v>
      </c>
      <c r="N1188" s="80"/>
    </row>
    <row r="1189" customFormat="false" ht="15" hidden="false" customHeight="false" outlineLevel="0" collapsed="false">
      <c r="A1189" s="82" t="n">
        <f aca="false">IF(B1189="","",ROW()-6)</f>
        <v>1183</v>
      </c>
      <c r="B1189" s="145" t="n">
        <v>2081600</v>
      </c>
      <c r="C1189" s="146" t="n">
        <v>15421103</v>
      </c>
      <c r="D1189" s="146"/>
      <c r="E1189" s="82" t="str">
        <f aca="false">IF(B1189="","",IF(COUNTIFS('CARNET DE SOUDURE'!$L$7:$L$3006,B1189,'CARNET DE SOUDURE'!$M$7:$M$3006,"&lt;&gt;"&amp;C1189,'CARNET DE SOUDURE'!$M$7:$M$3006,"&lt;&gt;")+COUNTIFS('CARNET DE SOUDURE'!$O$7:$O$3006,B1189,'CARNET DE SOUDURE'!$P$7:$P$3006,"&lt;&gt;"&amp;C1189,'CARNET DE SOUDURE'!$P$7:$P$3006,"&lt;&gt;")&gt;0,"⚠ DIFFÉRENTE","OK"))</f>
        <v>OK</v>
      </c>
      <c r="F1189" s="147" t="n">
        <v>11.94</v>
      </c>
      <c r="G1189" s="80"/>
      <c r="H1189" s="83"/>
      <c r="I1189" s="148" t="str">
        <f aca="false">IF(B1189="","",IFERROR(INDEX('CARNET DE SOUDURE'!$B$7:$B$3006,MATCH(B1189,'CARNET DE SOUDURE'!$L$7:$L$3006,0)),IFERROR(INDEX('CARNET DE SOUDURE'!$B$7:$B$3006,MATCH(B1189,'CARNET DE SOUDURE'!$O$7:$O$3006,0)),"")))</f>
        <v>MFD-ISW → MFD-CPF</v>
      </c>
      <c r="J1189" s="82" t="str">
        <f aca="false">IF(B1189="","",IFERROR(INDEX('CARNET DE SOUDURE'!$E$7:$E$3006,MATCH(B1189,'CARNET DE SOUDURE'!$O$7:$O$3006,0)),""))</f>
        <v>JN°1773</v>
      </c>
      <c r="K1189" s="82" t="str">
        <f aca="false">IF(B1189="","",IFERROR(INDEX('CARNET DE SOUDURE'!$E$7:$E$3006,MATCH(B1189,'CARNET DE SOUDURE'!$L$7:$L$3006,0)),""))</f>
        <v>JN°1774</v>
      </c>
      <c r="L1189" s="82" t="n">
        <f aca="false">IF(B1189="","",IFERROR(INDEX('CARNET DE SOUDURE'!$D$7:$D$3006,MATCH(B1189,'CARNET DE SOUDURE'!$L$7:$L$3006,0)),IFERROR(INDEX('CARNET DE SOUDURE'!$D$7:$D$3006,MATCH(B1189,'CARNET DE SOUDURE'!$O$7:$O$3006,0)),"")))</f>
        <v>22</v>
      </c>
      <c r="M1189" s="82" t="str">
        <f aca="false">IF(B1189="","",IF(OR(J1189&lt;&gt;"",K1189&lt;&gt;""),"POSÉ EN LIGNE",IF(COUNTIF(BARDAGE!$C$1:$C$5000,B1189)&gt;0,"BARDÉ","EN STOCK")))</f>
        <v>POSÉ EN LIGNE</v>
      </c>
      <c r="N1189" s="80"/>
    </row>
    <row r="1190" customFormat="false" ht="15" hidden="false" customHeight="false" outlineLevel="0" collapsed="false">
      <c r="A1190" s="82" t="n">
        <f aca="false">IF(B1190="","",ROW()-6)</f>
        <v>1184</v>
      </c>
      <c r="B1190" s="145" t="n">
        <v>2081530</v>
      </c>
      <c r="C1190" s="146" t="n">
        <v>15421103</v>
      </c>
      <c r="D1190" s="146"/>
      <c r="E1190" s="82" t="str">
        <f aca="false">IF(B1190="","",IF(COUNTIFS('CARNET DE SOUDURE'!$L$7:$L$3006,B1190,'CARNET DE SOUDURE'!$M$7:$M$3006,"&lt;&gt;"&amp;C1190,'CARNET DE SOUDURE'!$M$7:$M$3006,"&lt;&gt;")+COUNTIFS('CARNET DE SOUDURE'!$O$7:$O$3006,B1190,'CARNET DE SOUDURE'!$P$7:$P$3006,"&lt;&gt;"&amp;C1190,'CARNET DE SOUDURE'!$P$7:$P$3006,"&lt;&gt;")&gt;0,"⚠ DIFFÉRENTE","OK"))</f>
        <v>OK</v>
      </c>
      <c r="F1190" s="147" t="n">
        <v>11.94</v>
      </c>
      <c r="G1190" s="80"/>
      <c r="H1190" s="83"/>
      <c r="I1190" s="148" t="str">
        <f aca="false">IF(B1190="","",IFERROR(INDEX('CARNET DE SOUDURE'!$B$7:$B$3006,MATCH(B1190,'CARNET DE SOUDURE'!$L$7:$L$3006,0)),IFERROR(INDEX('CARNET DE SOUDURE'!$B$7:$B$3006,MATCH(B1190,'CARNET DE SOUDURE'!$O$7:$O$3006,0)),"")))</f>
        <v>MFD-ISW → MFD-CPF</v>
      </c>
      <c r="J1190" s="82" t="str">
        <f aca="false">IF(B1190="","",IFERROR(INDEX('CARNET DE SOUDURE'!$E$7:$E$3006,MATCH(B1190,'CARNET DE SOUDURE'!$O$7:$O$3006,0)),""))</f>
        <v>JN°1774</v>
      </c>
      <c r="K1190" s="82" t="str">
        <f aca="false">IF(B1190="","",IFERROR(INDEX('CARNET DE SOUDURE'!$E$7:$E$3006,MATCH(B1190,'CARNET DE SOUDURE'!$L$7:$L$3006,0)),""))</f>
        <v>JN°1775</v>
      </c>
      <c r="L1190" s="82" t="n">
        <f aca="false">IF(B1190="","",IFERROR(INDEX('CARNET DE SOUDURE'!$D$7:$D$3006,MATCH(B1190,'CARNET DE SOUDURE'!$L$7:$L$3006,0)),IFERROR(INDEX('CARNET DE SOUDURE'!$D$7:$D$3006,MATCH(B1190,'CARNET DE SOUDURE'!$O$7:$O$3006,0)),"")))</f>
        <v>22</v>
      </c>
      <c r="M1190" s="82" t="str">
        <f aca="false">IF(B1190="","",IF(OR(J1190&lt;&gt;"",K1190&lt;&gt;""),"POSÉ EN LIGNE",IF(COUNTIF(BARDAGE!$C$1:$C$5000,B1190)&gt;0,"BARDÉ","EN STOCK")))</f>
        <v>POSÉ EN LIGNE</v>
      </c>
      <c r="N1190" s="80"/>
    </row>
    <row r="1191" customFormat="false" ht="15" hidden="false" customHeight="false" outlineLevel="0" collapsed="false">
      <c r="A1191" s="82" t="n">
        <f aca="false">IF(B1191="","",ROW()-6)</f>
        <v>1185</v>
      </c>
      <c r="B1191" s="145" t="n">
        <v>2081500</v>
      </c>
      <c r="C1191" s="146" t="n">
        <v>15421103</v>
      </c>
      <c r="D1191" s="146"/>
      <c r="E1191" s="82" t="str">
        <f aca="false">IF(B1191="","",IF(COUNTIFS('CARNET DE SOUDURE'!$L$7:$L$3006,B1191,'CARNET DE SOUDURE'!$M$7:$M$3006,"&lt;&gt;"&amp;C1191,'CARNET DE SOUDURE'!$M$7:$M$3006,"&lt;&gt;")+COUNTIFS('CARNET DE SOUDURE'!$O$7:$O$3006,B1191,'CARNET DE SOUDURE'!$P$7:$P$3006,"&lt;&gt;"&amp;C1191,'CARNET DE SOUDURE'!$P$7:$P$3006,"&lt;&gt;")&gt;0,"⚠ DIFFÉRENTE","OK"))</f>
        <v>OK</v>
      </c>
      <c r="F1191" s="147" t="n">
        <v>11.94</v>
      </c>
      <c r="G1191" s="80"/>
      <c r="H1191" s="83"/>
      <c r="I1191" s="148" t="str">
        <f aca="false">IF(B1191="","",IFERROR(INDEX('CARNET DE SOUDURE'!$B$7:$B$3006,MATCH(B1191,'CARNET DE SOUDURE'!$L$7:$L$3006,0)),IFERROR(INDEX('CARNET DE SOUDURE'!$B$7:$B$3006,MATCH(B1191,'CARNET DE SOUDURE'!$O$7:$O$3006,0)),"")))</f>
        <v>MFD-ISW → MFD-CPF</v>
      </c>
      <c r="J1191" s="82" t="str">
        <f aca="false">IF(B1191="","",IFERROR(INDEX('CARNET DE SOUDURE'!$E$7:$E$3006,MATCH(B1191,'CARNET DE SOUDURE'!$O$7:$O$3006,0)),""))</f>
        <v>JN°1775</v>
      </c>
      <c r="K1191" s="82" t="str">
        <f aca="false">IF(B1191="","",IFERROR(INDEX('CARNET DE SOUDURE'!$E$7:$E$3006,MATCH(B1191,'CARNET DE SOUDURE'!$L$7:$L$3006,0)),""))</f>
        <v>JN°1776</v>
      </c>
      <c r="L1191" s="82" t="n">
        <f aca="false">IF(B1191="","",IFERROR(INDEX('CARNET DE SOUDURE'!$D$7:$D$3006,MATCH(B1191,'CARNET DE SOUDURE'!$L$7:$L$3006,0)),IFERROR(INDEX('CARNET DE SOUDURE'!$D$7:$D$3006,MATCH(B1191,'CARNET DE SOUDURE'!$O$7:$O$3006,0)),"")))</f>
        <v>22</v>
      </c>
      <c r="M1191" s="82" t="str">
        <f aca="false">IF(B1191="","",IF(OR(J1191&lt;&gt;"",K1191&lt;&gt;""),"POSÉ EN LIGNE",IF(COUNTIF(BARDAGE!$C$1:$C$5000,B1191)&gt;0,"BARDÉ","EN STOCK")))</f>
        <v>POSÉ EN LIGNE</v>
      </c>
      <c r="N1191" s="80"/>
    </row>
    <row r="1192" customFormat="false" ht="15" hidden="false" customHeight="false" outlineLevel="0" collapsed="false">
      <c r="A1192" s="82" t="n">
        <f aca="false">IF(B1192="","",ROW()-6)</f>
        <v>1186</v>
      </c>
      <c r="B1192" s="145" t="n">
        <v>2096380</v>
      </c>
      <c r="C1192" s="146" t="n">
        <v>15421111</v>
      </c>
      <c r="D1192" s="146"/>
      <c r="E1192" s="82" t="str">
        <f aca="false">IF(B1192="","",IF(COUNTIFS('CARNET DE SOUDURE'!$L$7:$L$3006,B1192,'CARNET DE SOUDURE'!$M$7:$M$3006,"&lt;&gt;"&amp;C1192,'CARNET DE SOUDURE'!$M$7:$M$3006,"&lt;&gt;")+COUNTIFS('CARNET DE SOUDURE'!$O$7:$O$3006,B1192,'CARNET DE SOUDURE'!$P$7:$P$3006,"&lt;&gt;"&amp;C1192,'CARNET DE SOUDURE'!$P$7:$P$3006,"&lt;&gt;")&gt;0,"⚠ DIFFÉRENTE","OK"))</f>
        <v>OK</v>
      </c>
      <c r="F1192" s="147" t="n">
        <v>11.94</v>
      </c>
      <c r="G1192" s="80"/>
      <c r="H1192" s="83"/>
      <c r="I1192" s="148" t="str">
        <f aca="false">IF(B1192="","",IFERROR(INDEX('CARNET DE SOUDURE'!$B$7:$B$3006,MATCH(B1192,'CARNET DE SOUDURE'!$L$7:$L$3006,0)),IFERROR(INDEX('CARNET DE SOUDURE'!$B$7:$B$3006,MATCH(B1192,'CARNET DE SOUDURE'!$O$7:$O$3006,0)),"")))</f>
        <v>MFD-ISW → MFD-CPF</v>
      </c>
      <c r="J1192" s="82" t="str">
        <f aca="false">IF(B1192="","",IFERROR(INDEX('CARNET DE SOUDURE'!$E$7:$E$3006,MATCH(B1192,'CARNET DE SOUDURE'!$O$7:$O$3006,0)),""))</f>
        <v>JN°1776</v>
      </c>
      <c r="K1192" s="82" t="str">
        <f aca="false">IF(B1192="","",IFERROR(INDEX('CARNET DE SOUDURE'!$E$7:$E$3006,MATCH(B1192,'CARNET DE SOUDURE'!$L$7:$L$3006,0)),""))</f>
        <v>JN°1777</v>
      </c>
      <c r="L1192" s="82" t="n">
        <f aca="false">IF(B1192="","",IFERROR(INDEX('CARNET DE SOUDURE'!$D$7:$D$3006,MATCH(B1192,'CARNET DE SOUDURE'!$L$7:$L$3006,0)),IFERROR(INDEX('CARNET DE SOUDURE'!$D$7:$D$3006,MATCH(B1192,'CARNET DE SOUDURE'!$O$7:$O$3006,0)),"")))</f>
        <v>22</v>
      </c>
      <c r="M1192" s="82" t="str">
        <f aca="false">IF(B1192="","",IF(OR(J1192&lt;&gt;"",K1192&lt;&gt;""),"POSÉ EN LIGNE",IF(COUNTIF(BARDAGE!$C$1:$C$5000,B1192)&gt;0,"BARDÉ","EN STOCK")))</f>
        <v>POSÉ EN LIGNE</v>
      </c>
      <c r="N1192" s="80"/>
    </row>
    <row r="1193" customFormat="false" ht="15" hidden="false" customHeight="false" outlineLevel="0" collapsed="false">
      <c r="A1193" s="82" t="n">
        <f aca="false">IF(B1193="","",ROW()-6)</f>
        <v>1187</v>
      </c>
      <c r="B1193" s="145" t="n">
        <v>2079810</v>
      </c>
      <c r="C1193" s="146" t="n">
        <v>15421102</v>
      </c>
      <c r="D1193" s="146"/>
      <c r="E1193" s="82" t="str">
        <f aca="false">IF(B1193="","",IF(COUNTIFS('CARNET DE SOUDURE'!$L$7:$L$3006,B1193,'CARNET DE SOUDURE'!$M$7:$M$3006,"&lt;&gt;"&amp;C1193,'CARNET DE SOUDURE'!$M$7:$M$3006,"&lt;&gt;")+COUNTIFS('CARNET DE SOUDURE'!$O$7:$O$3006,B1193,'CARNET DE SOUDURE'!$P$7:$P$3006,"&lt;&gt;"&amp;C1193,'CARNET DE SOUDURE'!$P$7:$P$3006,"&lt;&gt;")&gt;0,"⚠ DIFFÉRENTE","OK"))</f>
        <v>OK</v>
      </c>
      <c r="F1193" s="147" t="n">
        <v>11.94</v>
      </c>
      <c r="G1193" s="80"/>
      <c r="H1193" s="83"/>
      <c r="I1193" s="148" t="str">
        <f aca="false">IF(B1193="","",IFERROR(INDEX('CARNET DE SOUDURE'!$B$7:$B$3006,MATCH(B1193,'CARNET DE SOUDURE'!$L$7:$L$3006,0)),IFERROR(INDEX('CARNET DE SOUDURE'!$B$7:$B$3006,MATCH(B1193,'CARNET DE SOUDURE'!$O$7:$O$3006,0)),"")))</f>
        <v>MFD-ISW → MFD-CPF</v>
      </c>
      <c r="J1193" s="82" t="str">
        <f aca="false">IF(B1193="","",IFERROR(INDEX('CARNET DE SOUDURE'!$E$7:$E$3006,MATCH(B1193,'CARNET DE SOUDURE'!$O$7:$O$3006,0)),""))</f>
        <v>JN°1777</v>
      </c>
      <c r="K1193" s="82" t="str">
        <f aca="false">IF(B1193="","",IFERROR(INDEX('CARNET DE SOUDURE'!$E$7:$E$3006,MATCH(B1193,'CARNET DE SOUDURE'!$L$7:$L$3006,0)),""))</f>
        <v>JN°1778</v>
      </c>
      <c r="L1193" s="82" t="n">
        <f aca="false">IF(B1193="","",IFERROR(INDEX('CARNET DE SOUDURE'!$D$7:$D$3006,MATCH(B1193,'CARNET DE SOUDURE'!$L$7:$L$3006,0)),IFERROR(INDEX('CARNET DE SOUDURE'!$D$7:$D$3006,MATCH(B1193,'CARNET DE SOUDURE'!$O$7:$O$3006,0)),"")))</f>
        <v>22</v>
      </c>
      <c r="M1193" s="82" t="str">
        <f aca="false">IF(B1193="","",IF(OR(J1193&lt;&gt;"",K1193&lt;&gt;""),"POSÉ EN LIGNE",IF(COUNTIF(BARDAGE!$C$1:$C$5000,B1193)&gt;0,"BARDÉ","EN STOCK")))</f>
        <v>POSÉ EN LIGNE</v>
      </c>
      <c r="N1193" s="80"/>
    </row>
    <row r="1194" customFormat="false" ht="15" hidden="false" customHeight="false" outlineLevel="0" collapsed="false">
      <c r="A1194" s="82" t="n">
        <f aca="false">IF(B1194="","",ROW()-6)</f>
        <v>1188</v>
      </c>
      <c r="B1194" s="145" t="n">
        <v>2079770</v>
      </c>
      <c r="C1194" s="146" t="n">
        <v>15421102</v>
      </c>
      <c r="D1194" s="146"/>
      <c r="E1194" s="82" t="str">
        <f aca="false">IF(B1194="","",IF(COUNTIFS('CARNET DE SOUDURE'!$L$7:$L$3006,B1194,'CARNET DE SOUDURE'!$M$7:$M$3006,"&lt;&gt;"&amp;C1194,'CARNET DE SOUDURE'!$M$7:$M$3006,"&lt;&gt;")+COUNTIFS('CARNET DE SOUDURE'!$O$7:$O$3006,B1194,'CARNET DE SOUDURE'!$P$7:$P$3006,"&lt;&gt;"&amp;C1194,'CARNET DE SOUDURE'!$P$7:$P$3006,"&lt;&gt;")&gt;0,"⚠ DIFFÉRENTE","OK"))</f>
        <v>OK</v>
      </c>
      <c r="F1194" s="147" t="n">
        <v>11.94</v>
      </c>
      <c r="G1194" s="80"/>
      <c r="H1194" s="83"/>
      <c r="I1194" s="148" t="str">
        <f aca="false">IF(B1194="","",IFERROR(INDEX('CARNET DE SOUDURE'!$B$7:$B$3006,MATCH(B1194,'CARNET DE SOUDURE'!$L$7:$L$3006,0)),IFERROR(INDEX('CARNET DE SOUDURE'!$B$7:$B$3006,MATCH(B1194,'CARNET DE SOUDURE'!$O$7:$O$3006,0)),"")))</f>
        <v>MFD-ISW → MFD-CPF</v>
      </c>
      <c r="J1194" s="82" t="str">
        <f aca="false">IF(B1194="","",IFERROR(INDEX('CARNET DE SOUDURE'!$E$7:$E$3006,MATCH(B1194,'CARNET DE SOUDURE'!$O$7:$O$3006,0)),""))</f>
        <v>JN°1778</v>
      </c>
      <c r="K1194" s="82" t="str">
        <f aca="false">IF(B1194="","",IFERROR(INDEX('CARNET DE SOUDURE'!$E$7:$E$3006,MATCH(B1194,'CARNET DE SOUDURE'!$L$7:$L$3006,0)),""))</f>
        <v>JN°1779</v>
      </c>
      <c r="L1194" s="82" t="n">
        <f aca="false">IF(B1194="","",IFERROR(INDEX('CARNET DE SOUDURE'!$D$7:$D$3006,MATCH(B1194,'CARNET DE SOUDURE'!$L$7:$L$3006,0)),IFERROR(INDEX('CARNET DE SOUDURE'!$D$7:$D$3006,MATCH(B1194,'CARNET DE SOUDURE'!$O$7:$O$3006,0)),"")))</f>
        <v>22</v>
      </c>
      <c r="M1194" s="82" t="str">
        <f aca="false">IF(B1194="","",IF(OR(J1194&lt;&gt;"",K1194&lt;&gt;""),"POSÉ EN LIGNE",IF(COUNTIF(BARDAGE!$C$1:$C$5000,B1194)&gt;0,"BARDÉ","EN STOCK")))</f>
        <v>POSÉ EN LIGNE</v>
      </c>
      <c r="N1194" s="80"/>
    </row>
    <row r="1195" customFormat="false" ht="15" hidden="false" customHeight="false" outlineLevel="0" collapsed="false">
      <c r="A1195" s="82" t="n">
        <f aca="false">IF(B1195="","",ROW()-6)</f>
        <v>1189</v>
      </c>
      <c r="B1195" s="145" t="n">
        <v>2096330</v>
      </c>
      <c r="C1195" s="146" t="n">
        <v>15421111</v>
      </c>
      <c r="D1195" s="146"/>
      <c r="E1195" s="82" t="str">
        <f aca="false">IF(B1195="","",IF(COUNTIFS('CARNET DE SOUDURE'!$L$7:$L$3006,B1195,'CARNET DE SOUDURE'!$M$7:$M$3006,"&lt;&gt;"&amp;C1195,'CARNET DE SOUDURE'!$M$7:$M$3006,"&lt;&gt;")+COUNTIFS('CARNET DE SOUDURE'!$O$7:$O$3006,B1195,'CARNET DE SOUDURE'!$P$7:$P$3006,"&lt;&gt;"&amp;C1195,'CARNET DE SOUDURE'!$P$7:$P$3006,"&lt;&gt;")&gt;0,"⚠ DIFFÉRENTE","OK"))</f>
        <v>OK</v>
      </c>
      <c r="F1195" s="147" t="n">
        <v>11.94</v>
      </c>
      <c r="G1195" s="80"/>
      <c r="H1195" s="83"/>
      <c r="I1195" s="148" t="str">
        <f aca="false">IF(B1195="","",IFERROR(INDEX('CARNET DE SOUDURE'!$B$7:$B$3006,MATCH(B1195,'CARNET DE SOUDURE'!$L$7:$L$3006,0)),IFERROR(INDEX('CARNET DE SOUDURE'!$B$7:$B$3006,MATCH(B1195,'CARNET DE SOUDURE'!$O$7:$O$3006,0)),"")))</f>
        <v>MFD-ISW → MFD-CPF</v>
      </c>
      <c r="J1195" s="82" t="str">
        <f aca="false">IF(B1195="","",IFERROR(INDEX('CARNET DE SOUDURE'!$E$7:$E$3006,MATCH(B1195,'CARNET DE SOUDURE'!$O$7:$O$3006,0)),""))</f>
        <v>JN°1779</v>
      </c>
      <c r="K1195" s="82" t="str">
        <f aca="false">IF(B1195="","",IFERROR(INDEX('CARNET DE SOUDURE'!$E$7:$E$3006,MATCH(B1195,'CARNET DE SOUDURE'!$L$7:$L$3006,0)),""))</f>
        <v>JN°1780</v>
      </c>
      <c r="L1195" s="82" t="n">
        <f aca="false">IF(B1195="","",IFERROR(INDEX('CARNET DE SOUDURE'!$D$7:$D$3006,MATCH(B1195,'CARNET DE SOUDURE'!$L$7:$L$3006,0)),IFERROR(INDEX('CARNET DE SOUDURE'!$D$7:$D$3006,MATCH(B1195,'CARNET DE SOUDURE'!$O$7:$O$3006,0)),"")))</f>
        <v>22</v>
      </c>
      <c r="M1195" s="82" t="str">
        <f aca="false">IF(B1195="","",IF(OR(J1195&lt;&gt;"",K1195&lt;&gt;""),"POSÉ EN LIGNE",IF(COUNTIF(BARDAGE!$C$1:$C$5000,B1195)&gt;0,"BARDÉ","EN STOCK")))</f>
        <v>POSÉ EN LIGNE</v>
      </c>
      <c r="N1195" s="80"/>
    </row>
    <row r="1196" customFormat="false" ht="15" hidden="false" customHeight="false" outlineLevel="0" collapsed="false">
      <c r="A1196" s="82" t="n">
        <f aca="false">IF(B1196="","",ROW()-6)</f>
        <v>1190</v>
      </c>
      <c r="B1196" s="145" t="n">
        <v>2091410</v>
      </c>
      <c r="C1196" s="146" t="n">
        <v>15421109</v>
      </c>
      <c r="D1196" s="146"/>
      <c r="E1196" s="82" t="str">
        <f aca="false">IF(B1196="","",IF(COUNTIFS('CARNET DE SOUDURE'!$L$7:$L$3006,B1196,'CARNET DE SOUDURE'!$M$7:$M$3006,"&lt;&gt;"&amp;C1196,'CARNET DE SOUDURE'!$M$7:$M$3006,"&lt;&gt;")+COUNTIFS('CARNET DE SOUDURE'!$O$7:$O$3006,B1196,'CARNET DE SOUDURE'!$P$7:$P$3006,"&lt;&gt;"&amp;C1196,'CARNET DE SOUDURE'!$P$7:$P$3006,"&lt;&gt;")&gt;0,"⚠ DIFFÉRENTE","OK"))</f>
        <v>OK</v>
      </c>
      <c r="F1196" s="147" t="n">
        <v>11.94</v>
      </c>
      <c r="G1196" s="80"/>
      <c r="H1196" s="83"/>
      <c r="I1196" s="148" t="str">
        <f aca="false">IF(B1196="","",IFERROR(INDEX('CARNET DE SOUDURE'!$B$7:$B$3006,MATCH(B1196,'CARNET DE SOUDURE'!$L$7:$L$3006,0)),IFERROR(INDEX('CARNET DE SOUDURE'!$B$7:$B$3006,MATCH(B1196,'CARNET DE SOUDURE'!$O$7:$O$3006,0)),"")))</f>
        <v>MFD-ISW → MFD-CPF</v>
      </c>
      <c r="J1196" s="82" t="str">
        <f aca="false">IF(B1196="","",IFERROR(INDEX('CARNET DE SOUDURE'!$E$7:$E$3006,MATCH(B1196,'CARNET DE SOUDURE'!$O$7:$O$3006,0)),""))</f>
        <v>JN°1780</v>
      </c>
      <c r="K1196" s="82" t="str">
        <f aca="false">IF(B1196="","",IFERROR(INDEX('CARNET DE SOUDURE'!$E$7:$E$3006,MATCH(B1196,'CARNET DE SOUDURE'!$L$7:$L$3006,0)),""))</f>
        <v>JN°1781</v>
      </c>
      <c r="L1196" s="82" t="n">
        <f aca="false">IF(B1196="","",IFERROR(INDEX('CARNET DE SOUDURE'!$D$7:$D$3006,MATCH(B1196,'CARNET DE SOUDURE'!$L$7:$L$3006,0)),IFERROR(INDEX('CARNET DE SOUDURE'!$D$7:$D$3006,MATCH(B1196,'CARNET DE SOUDURE'!$O$7:$O$3006,0)),"")))</f>
        <v>22</v>
      </c>
      <c r="M1196" s="82" t="str">
        <f aca="false">IF(B1196="","",IF(OR(J1196&lt;&gt;"",K1196&lt;&gt;""),"POSÉ EN LIGNE",IF(COUNTIF(BARDAGE!$C$1:$C$5000,B1196)&gt;0,"BARDÉ","EN STOCK")))</f>
        <v>POSÉ EN LIGNE</v>
      </c>
      <c r="N1196" s="80"/>
    </row>
    <row r="1197" customFormat="false" ht="15" hidden="false" customHeight="false" outlineLevel="0" collapsed="false">
      <c r="A1197" s="82" t="n">
        <f aca="false">IF(B1197="","",ROW()-6)</f>
        <v>1191</v>
      </c>
      <c r="B1197" s="145" t="n">
        <v>2094770</v>
      </c>
      <c r="C1197" s="146" t="n">
        <v>15421111</v>
      </c>
      <c r="D1197" s="146"/>
      <c r="E1197" s="82" t="str">
        <f aca="false">IF(B1197="","",IF(COUNTIFS('CARNET DE SOUDURE'!$L$7:$L$3006,B1197,'CARNET DE SOUDURE'!$M$7:$M$3006,"&lt;&gt;"&amp;C1197,'CARNET DE SOUDURE'!$M$7:$M$3006,"&lt;&gt;")+COUNTIFS('CARNET DE SOUDURE'!$O$7:$O$3006,B1197,'CARNET DE SOUDURE'!$P$7:$P$3006,"&lt;&gt;"&amp;C1197,'CARNET DE SOUDURE'!$P$7:$P$3006,"&lt;&gt;")&gt;0,"⚠ DIFFÉRENTE","OK"))</f>
        <v>OK</v>
      </c>
      <c r="F1197" s="147" t="n">
        <v>11.94</v>
      </c>
      <c r="G1197" s="80"/>
      <c r="H1197" s="83"/>
      <c r="I1197" s="148" t="str">
        <f aca="false">IF(B1197="","",IFERROR(INDEX('CARNET DE SOUDURE'!$B$7:$B$3006,MATCH(B1197,'CARNET DE SOUDURE'!$L$7:$L$3006,0)),IFERROR(INDEX('CARNET DE SOUDURE'!$B$7:$B$3006,MATCH(B1197,'CARNET DE SOUDURE'!$O$7:$O$3006,0)),"")))</f>
        <v>MFD-ISW → MFD-CPF</v>
      </c>
      <c r="J1197" s="82" t="str">
        <f aca="false">IF(B1197="","",IFERROR(INDEX('CARNET DE SOUDURE'!$E$7:$E$3006,MATCH(B1197,'CARNET DE SOUDURE'!$O$7:$O$3006,0)),""))</f>
        <v>JN°1783</v>
      </c>
      <c r="K1197" s="82" t="str">
        <f aca="false">IF(B1197="","",IFERROR(INDEX('CARNET DE SOUDURE'!$E$7:$E$3006,MATCH(B1197,'CARNET DE SOUDURE'!$L$7:$L$3006,0)),""))</f>
        <v>JN°1784</v>
      </c>
      <c r="L1197" s="82" t="n">
        <f aca="false">IF(B1197="","",IFERROR(INDEX('CARNET DE SOUDURE'!$D$7:$D$3006,MATCH(B1197,'CARNET DE SOUDURE'!$L$7:$L$3006,0)),IFERROR(INDEX('CARNET DE SOUDURE'!$D$7:$D$3006,MATCH(B1197,'CARNET DE SOUDURE'!$O$7:$O$3006,0)),"")))</f>
        <v>22</v>
      </c>
      <c r="M1197" s="82" t="str">
        <f aca="false">IF(B1197="","",IF(OR(J1197&lt;&gt;"",K1197&lt;&gt;""),"POSÉ EN LIGNE",IF(COUNTIF(BARDAGE!$C$1:$C$5000,B1197)&gt;0,"BARDÉ","EN STOCK")))</f>
        <v>POSÉ EN LIGNE</v>
      </c>
      <c r="N1197" s="80"/>
    </row>
    <row r="1198" customFormat="false" ht="15" hidden="false" customHeight="false" outlineLevel="0" collapsed="false">
      <c r="A1198" s="82" t="n">
        <f aca="false">IF(B1198="","",ROW()-6)</f>
        <v>1192</v>
      </c>
      <c r="B1198" s="145" t="n">
        <v>209578</v>
      </c>
      <c r="C1198" s="146" t="n">
        <v>15421111</v>
      </c>
      <c r="D1198" s="146"/>
      <c r="E1198" s="82" t="str">
        <f aca="false">IF(B1198="","",IF(COUNTIFS('CARNET DE SOUDURE'!$L$7:$L$3006,B1198,'CARNET DE SOUDURE'!$M$7:$M$3006,"&lt;&gt;"&amp;C1198,'CARNET DE SOUDURE'!$M$7:$M$3006,"&lt;&gt;")+COUNTIFS('CARNET DE SOUDURE'!$O$7:$O$3006,B1198,'CARNET DE SOUDURE'!$P$7:$P$3006,"&lt;&gt;"&amp;C1198,'CARNET DE SOUDURE'!$P$7:$P$3006,"&lt;&gt;")&gt;0,"⚠ DIFFÉRENTE","OK"))</f>
        <v>OK</v>
      </c>
      <c r="F1198" s="147" t="n">
        <v>11.94</v>
      </c>
      <c r="G1198" s="80"/>
      <c r="H1198" s="83"/>
      <c r="I1198" s="148" t="str">
        <f aca="false">IF(B1198="","",IFERROR(INDEX('CARNET DE SOUDURE'!$B$7:$B$3006,MATCH(B1198,'CARNET DE SOUDURE'!$L$7:$L$3006,0)),IFERROR(INDEX('CARNET DE SOUDURE'!$B$7:$B$3006,MATCH(B1198,'CARNET DE SOUDURE'!$O$7:$O$3006,0)),"")))</f>
        <v>MFD-ISW → MFD-CPF</v>
      </c>
      <c r="J1198" s="82" t="str">
        <f aca="false">IF(B1198="","",IFERROR(INDEX('CARNET DE SOUDURE'!$E$7:$E$3006,MATCH(B1198,'CARNET DE SOUDURE'!$O$7:$O$3006,0)),""))</f>
        <v>JN°1784</v>
      </c>
      <c r="K1198" s="82" t="str">
        <f aca="false">IF(B1198="","",IFERROR(INDEX('CARNET DE SOUDURE'!$E$7:$E$3006,MATCH(B1198,'CARNET DE SOUDURE'!$L$7:$L$3006,0)),""))</f>
        <v>JN°1785</v>
      </c>
      <c r="L1198" s="82" t="n">
        <f aca="false">IF(B1198="","",IFERROR(INDEX('CARNET DE SOUDURE'!$D$7:$D$3006,MATCH(B1198,'CARNET DE SOUDURE'!$L$7:$L$3006,0)),IFERROR(INDEX('CARNET DE SOUDURE'!$D$7:$D$3006,MATCH(B1198,'CARNET DE SOUDURE'!$O$7:$O$3006,0)),"")))</f>
        <v>22</v>
      </c>
      <c r="M1198" s="82" t="str">
        <f aca="false">IF(B1198="","",IF(OR(J1198&lt;&gt;"",K1198&lt;&gt;""),"POSÉ EN LIGNE",IF(COUNTIF(BARDAGE!$C$1:$C$5000,B1198)&gt;0,"BARDÉ","EN STOCK")))</f>
        <v>POSÉ EN LIGNE</v>
      </c>
      <c r="N1198" s="80"/>
    </row>
    <row r="1199" customFormat="false" ht="15" hidden="false" customHeight="false" outlineLevel="0" collapsed="false">
      <c r="A1199" s="82" t="n">
        <f aca="false">IF(B1199="","",ROW()-6)</f>
        <v>1193</v>
      </c>
      <c r="B1199" s="145" t="n">
        <v>2089960</v>
      </c>
      <c r="C1199" s="146" t="n">
        <v>15421109</v>
      </c>
      <c r="D1199" s="146"/>
      <c r="E1199" s="82" t="str">
        <f aca="false">IF(B1199="","",IF(COUNTIFS('CARNET DE SOUDURE'!$L$7:$L$3006,B1199,'CARNET DE SOUDURE'!$M$7:$M$3006,"&lt;&gt;"&amp;C1199,'CARNET DE SOUDURE'!$M$7:$M$3006,"&lt;&gt;")+COUNTIFS('CARNET DE SOUDURE'!$O$7:$O$3006,B1199,'CARNET DE SOUDURE'!$P$7:$P$3006,"&lt;&gt;"&amp;C1199,'CARNET DE SOUDURE'!$P$7:$P$3006,"&lt;&gt;")&gt;0,"⚠ DIFFÉRENTE","OK"))</f>
        <v>OK</v>
      </c>
      <c r="F1199" s="147" t="n">
        <v>11.94</v>
      </c>
      <c r="G1199" s="80"/>
      <c r="H1199" s="83"/>
      <c r="I1199" s="148" t="str">
        <f aca="false">IF(B1199="","",IFERROR(INDEX('CARNET DE SOUDURE'!$B$7:$B$3006,MATCH(B1199,'CARNET DE SOUDURE'!$L$7:$L$3006,0)),IFERROR(INDEX('CARNET DE SOUDURE'!$B$7:$B$3006,MATCH(B1199,'CARNET DE SOUDURE'!$O$7:$O$3006,0)),"")))</f>
        <v>MFD-ISW → MFD-CPF</v>
      </c>
      <c r="J1199" s="82" t="str">
        <f aca="false">IF(B1199="","",IFERROR(INDEX('CARNET DE SOUDURE'!$E$7:$E$3006,MATCH(B1199,'CARNET DE SOUDURE'!$O$7:$O$3006,0)),""))</f>
        <v>JN°1785</v>
      </c>
      <c r="K1199" s="82" t="str">
        <f aca="false">IF(B1199="","",IFERROR(INDEX('CARNET DE SOUDURE'!$E$7:$E$3006,MATCH(B1199,'CARNET DE SOUDURE'!$L$7:$L$3006,0)),""))</f>
        <v>JN°1786</v>
      </c>
      <c r="L1199" s="82" t="n">
        <f aca="false">IF(B1199="","",IFERROR(INDEX('CARNET DE SOUDURE'!$D$7:$D$3006,MATCH(B1199,'CARNET DE SOUDURE'!$L$7:$L$3006,0)),IFERROR(INDEX('CARNET DE SOUDURE'!$D$7:$D$3006,MATCH(B1199,'CARNET DE SOUDURE'!$O$7:$O$3006,0)),"")))</f>
        <v>22</v>
      </c>
      <c r="M1199" s="82" t="str">
        <f aca="false">IF(B1199="","",IF(OR(J1199&lt;&gt;"",K1199&lt;&gt;""),"POSÉ EN LIGNE",IF(COUNTIF(BARDAGE!$C$1:$C$5000,B1199)&gt;0,"BARDÉ","EN STOCK")))</f>
        <v>POSÉ EN LIGNE</v>
      </c>
      <c r="N1199" s="80"/>
    </row>
    <row r="1200" customFormat="false" ht="15" hidden="false" customHeight="false" outlineLevel="0" collapsed="false">
      <c r="A1200" s="82" t="n">
        <f aca="false">IF(B1200="","",ROW()-6)</f>
        <v>1194</v>
      </c>
      <c r="B1200" s="145" t="n">
        <v>2081790</v>
      </c>
      <c r="C1200" s="146" t="n">
        <v>15421103</v>
      </c>
      <c r="D1200" s="146"/>
      <c r="E1200" s="82" t="str">
        <f aca="false">IF(B1200="","",IF(COUNTIFS('CARNET DE SOUDURE'!$L$7:$L$3006,B1200,'CARNET DE SOUDURE'!$M$7:$M$3006,"&lt;&gt;"&amp;C1200,'CARNET DE SOUDURE'!$M$7:$M$3006,"&lt;&gt;")+COUNTIFS('CARNET DE SOUDURE'!$O$7:$O$3006,B1200,'CARNET DE SOUDURE'!$P$7:$P$3006,"&lt;&gt;"&amp;C1200,'CARNET DE SOUDURE'!$P$7:$P$3006,"&lt;&gt;")&gt;0,"⚠ DIFFÉRENTE","OK"))</f>
        <v>OK</v>
      </c>
      <c r="F1200" s="147" t="n">
        <v>11.94</v>
      </c>
      <c r="G1200" s="80"/>
      <c r="H1200" s="83"/>
      <c r="I1200" s="148" t="str">
        <f aca="false">IF(B1200="","",IFERROR(INDEX('CARNET DE SOUDURE'!$B$7:$B$3006,MATCH(B1200,'CARNET DE SOUDURE'!$L$7:$L$3006,0)),IFERROR(INDEX('CARNET DE SOUDURE'!$B$7:$B$3006,MATCH(B1200,'CARNET DE SOUDURE'!$O$7:$O$3006,0)),"")))</f>
        <v>MFD-ISW → MFD-CPF</v>
      </c>
      <c r="J1200" s="82" t="str">
        <f aca="false">IF(B1200="","",IFERROR(INDEX('CARNET DE SOUDURE'!$E$7:$E$3006,MATCH(B1200,'CARNET DE SOUDURE'!$O$7:$O$3006,0)),""))</f>
        <v>JN°1786</v>
      </c>
      <c r="K1200" s="82" t="str">
        <f aca="false">IF(B1200="","",IFERROR(INDEX('CARNET DE SOUDURE'!$E$7:$E$3006,MATCH(B1200,'CARNET DE SOUDURE'!$L$7:$L$3006,0)),""))</f>
        <v>JN°1787</v>
      </c>
      <c r="L1200" s="82" t="n">
        <f aca="false">IF(B1200="","",IFERROR(INDEX('CARNET DE SOUDURE'!$D$7:$D$3006,MATCH(B1200,'CARNET DE SOUDURE'!$L$7:$L$3006,0)),IFERROR(INDEX('CARNET DE SOUDURE'!$D$7:$D$3006,MATCH(B1200,'CARNET DE SOUDURE'!$O$7:$O$3006,0)),"")))</f>
        <v>22</v>
      </c>
      <c r="M1200" s="82" t="str">
        <f aca="false">IF(B1200="","",IF(OR(J1200&lt;&gt;"",K1200&lt;&gt;""),"POSÉ EN LIGNE",IF(COUNTIF(BARDAGE!$C$1:$C$5000,B1200)&gt;0,"BARDÉ","EN STOCK")))</f>
        <v>POSÉ EN LIGNE</v>
      </c>
      <c r="N1200" s="80"/>
    </row>
    <row r="1201" customFormat="false" ht="15" hidden="false" customHeight="false" outlineLevel="0" collapsed="false">
      <c r="A1201" s="82" t="n">
        <f aca="false">IF(B1201="","",ROW()-6)</f>
        <v>1195</v>
      </c>
      <c r="B1201" s="145" t="n">
        <v>2097930</v>
      </c>
      <c r="C1201" s="146" t="n">
        <v>15421112</v>
      </c>
      <c r="D1201" s="146"/>
      <c r="E1201" s="82" t="str">
        <f aca="false">IF(B1201="","",IF(COUNTIFS('CARNET DE SOUDURE'!$L$7:$L$3006,B1201,'CARNET DE SOUDURE'!$M$7:$M$3006,"&lt;&gt;"&amp;C1201,'CARNET DE SOUDURE'!$M$7:$M$3006,"&lt;&gt;")+COUNTIFS('CARNET DE SOUDURE'!$O$7:$O$3006,B1201,'CARNET DE SOUDURE'!$P$7:$P$3006,"&lt;&gt;"&amp;C1201,'CARNET DE SOUDURE'!$P$7:$P$3006,"&lt;&gt;")&gt;0,"⚠ DIFFÉRENTE","OK"))</f>
        <v>⚠ DIFFÉRENTE</v>
      </c>
      <c r="F1201" s="147" t="n">
        <v>11.94</v>
      </c>
      <c r="G1201" s="80"/>
      <c r="H1201" s="83"/>
      <c r="I1201" s="148" t="str">
        <f aca="false">IF(B1201="","",IFERROR(INDEX('CARNET DE SOUDURE'!$B$7:$B$3006,MATCH(B1201,'CARNET DE SOUDURE'!$L$7:$L$3006,0)),IFERROR(INDEX('CARNET DE SOUDURE'!$B$7:$B$3006,MATCH(B1201,'CARNET DE SOUDURE'!$O$7:$O$3006,0)),"")))</f>
        <v>MFD-ISW → MFD-CPF</v>
      </c>
      <c r="J1201" s="82" t="str">
        <f aca="false">IF(B1201="","",IFERROR(INDEX('CARNET DE SOUDURE'!$E$7:$E$3006,MATCH(B1201,'CARNET DE SOUDURE'!$O$7:$O$3006,0)),""))</f>
        <v>JN°1787</v>
      </c>
      <c r="K1201" s="82" t="str">
        <f aca="false">IF(B1201="","",IFERROR(INDEX('CARNET DE SOUDURE'!$E$7:$E$3006,MATCH(B1201,'CARNET DE SOUDURE'!$L$7:$L$3006,0)),""))</f>
        <v>JN°1788</v>
      </c>
      <c r="L1201" s="82" t="n">
        <f aca="false">IF(B1201="","",IFERROR(INDEX('CARNET DE SOUDURE'!$D$7:$D$3006,MATCH(B1201,'CARNET DE SOUDURE'!$L$7:$L$3006,0)),IFERROR(INDEX('CARNET DE SOUDURE'!$D$7:$D$3006,MATCH(B1201,'CARNET DE SOUDURE'!$O$7:$O$3006,0)),"")))</f>
        <v>22</v>
      </c>
      <c r="M1201" s="82" t="str">
        <f aca="false">IF(B1201="","",IF(OR(J1201&lt;&gt;"",K1201&lt;&gt;""),"POSÉ EN LIGNE",IF(COUNTIF(BARDAGE!$C$1:$C$5000,B1201)&gt;0,"BARDÉ","EN STOCK")))</f>
        <v>POSÉ EN LIGNE</v>
      </c>
      <c r="N1201" s="80"/>
    </row>
    <row r="1202" customFormat="false" ht="15" hidden="false" customHeight="false" outlineLevel="0" collapsed="false">
      <c r="A1202" s="82" t="n">
        <f aca="false">IF(B1202="","",ROW()-6)</f>
        <v>1196</v>
      </c>
      <c r="B1202" s="145" t="n">
        <v>2087660</v>
      </c>
      <c r="C1202" s="146" t="n">
        <v>15421108</v>
      </c>
      <c r="D1202" s="146"/>
      <c r="E1202" s="82" t="str">
        <f aca="false">IF(B1202="","",IF(COUNTIFS('CARNET DE SOUDURE'!$L$7:$L$3006,B1202,'CARNET DE SOUDURE'!$M$7:$M$3006,"&lt;&gt;"&amp;C1202,'CARNET DE SOUDURE'!$M$7:$M$3006,"&lt;&gt;")+COUNTIFS('CARNET DE SOUDURE'!$O$7:$O$3006,B1202,'CARNET DE SOUDURE'!$P$7:$P$3006,"&lt;&gt;"&amp;C1202,'CARNET DE SOUDURE'!$P$7:$P$3006,"&lt;&gt;")&gt;0,"⚠ DIFFÉRENTE","OK"))</f>
        <v>OK</v>
      </c>
      <c r="F1202" s="147" t="n">
        <v>11.94</v>
      </c>
      <c r="G1202" s="80"/>
      <c r="H1202" s="83"/>
      <c r="I1202" s="148" t="str">
        <f aca="false">IF(B1202="","",IFERROR(INDEX('CARNET DE SOUDURE'!$B$7:$B$3006,MATCH(B1202,'CARNET DE SOUDURE'!$L$7:$L$3006,0)),IFERROR(INDEX('CARNET DE SOUDURE'!$B$7:$B$3006,MATCH(B1202,'CARNET DE SOUDURE'!$O$7:$O$3006,0)),"")))</f>
        <v>MFD-ISW → MFD-CPF</v>
      </c>
      <c r="J1202" s="82" t="str">
        <f aca="false">IF(B1202="","",IFERROR(INDEX('CARNET DE SOUDURE'!$E$7:$E$3006,MATCH(B1202,'CARNET DE SOUDURE'!$O$7:$O$3006,0)),""))</f>
        <v>JN°1788</v>
      </c>
      <c r="K1202" s="82" t="str">
        <f aca="false">IF(B1202="","",IFERROR(INDEX('CARNET DE SOUDURE'!$E$7:$E$3006,MATCH(B1202,'CARNET DE SOUDURE'!$L$7:$L$3006,0)),""))</f>
        <v>JN°1789</v>
      </c>
      <c r="L1202" s="82" t="n">
        <f aca="false">IF(B1202="","",IFERROR(INDEX('CARNET DE SOUDURE'!$D$7:$D$3006,MATCH(B1202,'CARNET DE SOUDURE'!$L$7:$L$3006,0)),IFERROR(INDEX('CARNET DE SOUDURE'!$D$7:$D$3006,MATCH(B1202,'CARNET DE SOUDURE'!$O$7:$O$3006,0)),"")))</f>
        <v>22</v>
      </c>
      <c r="M1202" s="82" t="str">
        <f aca="false">IF(B1202="","",IF(OR(J1202&lt;&gt;"",K1202&lt;&gt;""),"POSÉ EN LIGNE",IF(COUNTIF(BARDAGE!$C$1:$C$5000,B1202)&gt;0,"BARDÉ","EN STOCK")))</f>
        <v>POSÉ EN LIGNE</v>
      </c>
      <c r="N1202" s="80"/>
    </row>
    <row r="1203" customFormat="false" ht="15" hidden="false" customHeight="false" outlineLevel="0" collapsed="false">
      <c r="A1203" s="82" t="n">
        <f aca="false">IF(B1203="","",ROW()-6)</f>
        <v>1197</v>
      </c>
      <c r="B1203" s="145" t="n">
        <v>2094300</v>
      </c>
      <c r="C1203" s="146" t="n">
        <v>15421110</v>
      </c>
      <c r="D1203" s="146"/>
      <c r="E1203" s="82" t="str">
        <f aca="false">IF(B1203="","",IF(COUNTIFS('CARNET DE SOUDURE'!$L$7:$L$3006,B1203,'CARNET DE SOUDURE'!$M$7:$M$3006,"&lt;&gt;"&amp;C1203,'CARNET DE SOUDURE'!$M$7:$M$3006,"&lt;&gt;")+COUNTIFS('CARNET DE SOUDURE'!$O$7:$O$3006,B1203,'CARNET DE SOUDURE'!$P$7:$P$3006,"&lt;&gt;"&amp;C1203,'CARNET DE SOUDURE'!$P$7:$P$3006,"&lt;&gt;")&gt;0,"⚠ DIFFÉRENTE","OK"))</f>
        <v>OK</v>
      </c>
      <c r="F1203" s="147" t="n">
        <v>11.94</v>
      </c>
      <c r="G1203" s="80"/>
      <c r="H1203" s="83"/>
      <c r="I1203" s="148" t="str">
        <f aca="false">IF(B1203="","",IFERROR(INDEX('CARNET DE SOUDURE'!$B$7:$B$3006,MATCH(B1203,'CARNET DE SOUDURE'!$L$7:$L$3006,0)),IFERROR(INDEX('CARNET DE SOUDURE'!$B$7:$B$3006,MATCH(B1203,'CARNET DE SOUDURE'!$O$7:$O$3006,0)),"")))</f>
        <v>MFD-ISW → MFD-CPF</v>
      </c>
      <c r="J1203" s="82" t="str">
        <f aca="false">IF(B1203="","",IFERROR(INDEX('CARNET DE SOUDURE'!$E$7:$E$3006,MATCH(B1203,'CARNET DE SOUDURE'!$O$7:$O$3006,0)),""))</f>
        <v>JN°1789</v>
      </c>
      <c r="K1203" s="82" t="str">
        <f aca="false">IF(B1203="","",IFERROR(INDEX('CARNET DE SOUDURE'!$E$7:$E$3006,MATCH(B1203,'CARNET DE SOUDURE'!$L$7:$L$3006,0)),""))</f>
        <v>JN°1790</v>
      </c>
      <c r="L1203" s="82" t="n">
        <f aca="false">IF(B1203="","",IFERROR(INDEX('CARNET DE SOUDURE'!$D$7:$D$3006,MATCH(B1203,'CARNET DE SOUDURE'!$L$7:$L$3006,0)),IFERROR(INDEX('CARNET DE SOUDURE'!$D$7:$D$3006,MATCH(B1203,'CARNET DE SOUDURE'!$O$7:$O$3006,0)),"")))</f>
        <v>22</v>
      </c>
      <c r="M1203" s="82" t="str">
        <f aca="false">IF(B1203="","",IF(OR(J1203&lt;&gt;"",K1203&lt;&gt;""),"POSÉ EN LIGNE",IF(COUNTIF(BARDAGE!$C$1:$C$5000,B1203)&gt;0,"BARDÉ","EN STOCK")))</f>
        <v>POSÉ EN LIGNE</v>
      </c>
      <c r="N1203" s="80"/>
    </row>
    <row r="1204" customFormat="false" ht="15" hidden="false" customHeight="false" outlineLevel="0" collapsed="false">
      <c r="A1204" s="82" t="n">
        <f aca="false">IF(B1204="","",ROW()-6)</f>
        <v>1198</v>
      </c>
      <c r="B1204" s="145" t="n">
        <v>2087210</v>
      </c>
      <c r="C1204" s="146" t="n">
        <v>15421107</v>
      </c>
      <c r="D1204" s="146"/>
      <c r="E1204" s="82" t="str">
        <f aca="false">IF(B1204="","",IF(COUNTIFS('CARNET DE SOUDURE'!$L$7:$L$3006,B1204,'CARNET DE SOUDURE'!$M$7:$M$3006,"&lt;&gt;"&amp;C1204,'CARNET DE SOUDURE'!$M$7:$M$3006,"&lt;&gt;")+COUNTIFS('CARNET DE SOUDURE'!$O$7:$O$3006,B1204,'CARNET DE SOUDURE'!$P$7:$P$3006,"&lt;&gt;"&amp;C1204,'CARNET DE SOUDURE'!$P$7:$P$3006,"&lt;&gt;")&gt;0,"⚠ DIFFÉRENTE","OK"))</f>
        <v>OK</v>
      </c>
      <c r="F1204" s="147" t="n">
        <v>11.94</v>
      </c>
      <c r="G1204" s="80"/>
      <c r="H1204" s="83"/>
      <c r="I1204" s="148" t="str">
        <f aca="false">IF(B1204="","",IFERROR(INDEX('CARNET DE SOUDURE'!$B$7:$B$3006,MATCH(B1204,'CARNET DE SOUDURE'!$L$7:$L$3006,0)),IFERROR(INDEX('CARNET DE SOUDURE'!$B$7:$B$3006,MATCH(B1204,'CARNET DE SOUDURE'!$O$7:$O$3006,0)),"")))</f>
        <v>MFD-ISW → MFD-CPF</v>
      </c>
      <c r="J1204" s="82" t="str">
        <f aca="false">IF(B1204="","",IFERROR(INDEX('CARNET DE SOUDURE'!$E$7:$E$3006,MATCH(B1204,'CARNET DE SOUDURE'!$O$7:$O$3006,0)),""))</f>
        <v>JN°1790</v>
      </c>
      <c r="K1204" s="82" t="str">
        <f aca="false">IF(B1204="","",IFERROR(INDEX('CARNET DE SOUDURE'!$E$7:$E$3006,MATCH(B1204,'CARNET DE SOUDURE'!$L$7:$L$3006,0)),""))</f>
        <v>JN°1791</v>
      </c>
      <c r="L1204" s="82" t="n">
        <f aca="false">IF(B1204="","",IFERROR(INDEX('CARNET DE SOUDURE'!$D$7:$D$3006,MATCH(B1204,'CARNET DE SOUDURE'!$L$7:$L$3006,0)),IFERROR(INDEX('CARNET DE SOUDURE'!$D$7:$D$3006,MATCH(B1204,'CARNET DE SOUDURE'!$O$7:$O$3006,0)),"")))</f>
        <v>22</v>
      </c>
      <c r="M1204" s="82" t="str">
        <f aca="false">IF(B1204="","",IF(OR(J1204&lt;&gt;"",K1204&lt;&gt;""),"POSÉ EN LIGNE",IF(COUNTIF(BARDAGE!$C$1:$C$5000,B1204)&gt;0,"BARDÉ","EN STOCK")))</f>
        <v>POSÉ EN LIGNE</v>
      </c>
      <c r="N1204" s="80"/>
    </row>
    <row r="1205" customFormat="false" ht="15" hidden="false" customHeight="false" outlineLevel="0" collapsed="false">
      <c r="A1205" s="82" t="n">
        <f aca="false">IF(B1205="","",ROW()-6)</f>
        <v>1199</v>
      </c>
      <c r="B1205" s="145" t="n">
        <v>2082870</v>
      </c>
      <c r="C1205" s="146" t="n">
        <v>15421109</v>
      </c>
      <c r="D1205" s="146"/>
      <c r="E1205" s="82" t="str">
        <f aca="false">IF(B1205="","",IF(COUNTIFS('CARNET DE SOUDURE'!$L$7:$L$3006,B1205,'CARNET DE SOUDURE'!$M$7:$M$3006,"&lt;&gt;"&amp;C1205,'CARNET DE SOUDURE'!$M$7:$M$3006,"&lt;&gt;")+COUNTIFS('CARNET DE SOUDURE'!$O$7:$O$3006,B1205,'CARNET DE SOUDURE'!$P$7:$P$3006,"&lt;&gt;"&amp;C1205,'CARNET DE SOUDURE'!$P$7:$P$3006,"&lt;&gt;")&gt;0,"⚠ DIFFÉRENTE","OK"))</f>
        <v>OK</v>
      </c>
      <c r="F1205" s="147" t="n">
        <v>11.94</v>
      </c>
      <c r="G1205" s="80"/>
      <c r="H1205" s="83"/>
      <c r="I1205" s="148" t="str">
        <f aca="false">IF(B1205="","",IFERROR(INDEX('CARNET DE SOUDURE'!$B$7:$B$3006,MATCH(B1205,'CARNET DE SOUDURE'!$L$7:$L$3006,0)),IFERROR(INDEX('CARNET DE SOUDURE'!$B$7:$B$3006,MATCH(B1205,'CARNET DE SOUDURE'!$O$7:$O$3006,0)),"")))</f>
        <v>MFD-ISW → MFD-CPF</v>
      </c>
      <c r="J1205" s="82" t="str">
        <f aca="false">IF(B1205="","",IFERROR(INDEX('CARNET DE SOUDURE'!$E$7:$E$3006,MATCH(B1205,'CARNET DE SOUDURE'!$O$7:$O$3006,0)),""))</f>
        <v>JN°1791</v>
      </c>
      <c r="K1205" s="82" t="str">
        <f aca="false">IF(B1205="","",IFERROR(INDEX('CARNET DE SOUDURE'!$E$7:$E$3006,MATCH(B1205,'CARNET DE SOUDURE'!$L$7:$L$3006,0)),""))</f>
        <v>JN°1792</v>
      </c>
      <c r="L1205" s="82" t="n">
        <f aca="false">IF(B1205="","",IFERROR(INDEX('CARNET DE SOUDURE'!$D$7:$D$3006,MATCH(B1205,'CARNET DE SOUDURE'!$L$7:$L$3006,0)),IFERROR(INDEX('CARNET DE SOUDURE'!$D$7:$D$3006,MATCH(B1205,'CARNET DE SOUDURE'!$O$7:$O$3006,0)),"")))</f>
        <v>22</v>
      </c>
      <c r="M1205" s="82" t="str">
        <f aca="false">IF(B1205="","",IF(OR(J1205&lt;&gt;"",K1205&lt;&gt;""),"POSÉ EN LIGNE",IF(COUNTIF(BARDAGE!$C$1:$C$5000,B1205)&gt;0,"BARDÉ","EN STOCK")))</f>
        <v>POSÉ EN LIGNE</v>
      </c>
      <c r="N1205" s="80"/>
    </row>
    <row r="1206" customFormat="false" ht="15" hidden="false" customHeight="false" outlineLevel="0" collapsed="false">
      <c r="A1206" s="82" t="n">
        <f aca="false">IF(B1206="","",ROW()-6)</f>
        <v>1200</v>
      </c>
      <c r="B1206" s="145" t="n">
        <v>2098360</v>
      </c>
      <c r="C1206" s="146" t="n">
        <v>15421112</v>
      </c>
      <c r="D1206" s="146"/>
      <c r="E1206" s="82" t="str">
        <f aca="false">IF(B1206="","",IF(COUNTIFS('CARNET DE SOUDURE'!$L$7:$L$3006,B1206,'CARNET DE SOUDURE'!$M$7:$M$3006,"&lt;&gt;"&amp;C1206,'CARNET DE SOUDURE'!$M$7:$M$3006,"&lt;&gt;")+COUNTIFS('CARNET DE SOUDURE'!$O$7:$O$3006,B1206,'CARNET DE SOUDURE'!$P$7:$P$3006,"&lt;&gt;"&amp;C1206,'CARNET DE SOUDURE'!$P$7:$P$3006,"&lt;&gt;")&gt;0,"⚠ DIFFÉRENTE","OK"))</f>
        <v>OK</v>
      </c>
      <c r="F1206" s="147" t="n">
        <v>11.94</v>
      </c>
      <c r="G1206" s="80"/>
      <c r="H1206" s="83"/>
      <c r="I1206" s="148" t="str">
        <f aca="false">IF(B1206="","",IFERROR(INDEX('CARNET DE SOUDURE'!$B$7:$B$3006,MATCH(B1206,'CARNET DE SOUDURE'!$L$7:$L$3006,0)),IFERROR(INDEX('CARNET DE SOUDURE'!$B$7:$B$3006,MATCH(B1206,'CARNET DE SOUDURE'!$O$7:$O$3006,0)),"")))</f>
        <v>MFD-ISW → MFD-CPF</v>
      </c>
      <c r="J1206" s="82" t="str">
        <f aca="false">IF(B1206="","",IFERROR(INDEX('CARNET DE SOUDURE'!$E$7:$E$3006,MATCH(B1206,'CARNET DE SOUDURE'!$O$7:$O$3006,0)),""))</f>
        <v>JN°1794</v>
      </c>
      <c r="K1206" s="82" t="str">
        <f aca="false">IF(B1206="","",IFERROR(INDEX('CARNET DE SOUDURE'!$E$7:$E$3006,MATCH(B1206,'CARNET DE SOUDURE'!$L$7:$L$3006,0)),""))</f>
        <v>JN°1795</v>
      </c>
      <c r="L1206" s="82" t="n">
        <f aca="false">IF(B1206="","",IFERROR(INDEX('CARNET DE SOUDURE'!$D$7:$D$3006,MATCH(B1206,'CARNET DE SOUDURE'!$L$7:$L$3006,0)),IFERROR(INDEX('CARNET DE SOUDURE'!$D$7:$D$3006,MATCH(B1206,'CARNET DE SOUDURE'!$O$7:$O$3006,0)),"")))</f>
        <v>22</v>
      </c>
      <c r="M1206" s="82" t="str">
        <f aca="false">IF(B1206="","",IF(OR(J1206&lt;&gt;"",K1206&lt;&gt;""),"POSÉ EN LIGNE",IF(COUNTIF(BARDAGE!$C$1:$C$5000,B1206)&gt;0,"BARDÉ","EN STOCK")))</f>
        <v>POSÉ EN LIGNE</v>
      </c>
      <c r="N1206" s="80"/>
    </row>
    <row r="1207" customFormat="false" ht="15" hidden="false" customHeight="false" outlineLevel="0" collapsed="false">
      <c r="A1207" s="82" t="n">
        <f aca="false">IF(B1207="","",ROW()-6)</f>
        <v>1201</v>
      </c>
      <c r="B1207" s="145" t="n">
        <v>2089580</v>
      </c>
      <c r="C1207" s="146" t="n">
        <v>15421109</v>
      </c>
      <c r="D1207" s="146"/>
      <c r="E1207" s="82" t="str">
        <f aca="false">IF(B1207="","",IF(COUNTIFS('CARNET DE SOUDURE'!$L$7:$L$3006,B1207,'CARNET DE SOUDURE'!$M$7:$M$3006,"&lt;&gt;"&amp;C1207,'CARNET DE SOUDURE'!$M$7:$M$3006,"&lt;&gt;")+COUNTIFS('CARNET DE SOUDURE'!$O$7:$O$3006,B1207,'CARNET DE SOUDURE'!$P$7:$P$3006,"&lt;&gt;"&amp;C1207,'CARNET DE SOUDURE'!$P$7:$P$3006,"&lt;&gt;")&gt;0,"⚠ DIFFÉRENTE","OK"))</f>
        <v>OK</v>
      </c>
      <c r="F1207" s="147" t="n">
        <v>11.94</v>
      </c>
      <c r="G1207" s="80"/>
      <c r="H1207" s="83"/>
      <c r="I1207" s="148" t="str">
        <f aca="false">IF(B1207="","",IFERROR(INDEX('CARNET DE SOUDURE'!$B$7:$B$3006,MATCH(B1207,'CARNET DE SOUDURE'!$L$7:$L$3006,0)),IFERROR(INDEX('CARNET DE SOUDURE'!$B$7:$B$3006,MATCH(B1207,'CARNET DE SOUDURE'!$O$7:$O$3006,0)),"")))</f>
        <v>MFD-ISW → MFD-CPF</v>
      </c>
      <c r="J1207" s="82" t="str">
        <f aca="false">IF(B1207="","",IFERROR(INDEX('CARNET DE SOUDURE'!$E$7:$E$3006,MATCH(B1207,'CARNET DE SOUDURE'!$O$7:$O$3006,0)),""))</f>
        <v>JN°1796</v>
      </c>
      <c r="K1207" s="82" t="str">
        <f aca="false">IF(B1207="","",IFERROR(INDEX('CARNET DE SOUDURE'!$E$7:$E$3006,MATCH(B1207,'CARNET DE SOUDURE'!$L$7:$L$3006,0)),""))</f>
        <v>JN°1797</v>
      </c>
      <c r="L1207" s="82" t="n">
        <f aca="false">IF(B1207="","",IFERROR(INDEX('CARNET DE SOUDURE'!$D$7:$D$3006,MATCH(B1207,'CARNET DE SOUDURE'!$L$7:$L$3006,0)),IFERROR(INDEX('CARNET DE SOUDURE'!$D$7:$D$3006,MATCH(B1207,'CARNET DE SOUDURE'!$O$7:$O$3006,0)),"")))</f>
        <v>22</v>
      </c>
      <c r="M1207" s="82" t="str">
        <f aca="false">IF(B1207="","",IF(OR(J1207&lt;&gt;"",K1207&lt;&gt;""),"POSÉ EN LIGNE",IF(COUNTIF(BARDAGE!$C$1:$C$5000,B1207)&gt;0,"BARDÉ","EN STOCK")))</f>
        <v>POSÉ EN LIGNE</v>
      </c>
      <c r="N1207" s="80"/>
    </row>
    <row r="1208" customFormat="false" ht="15" hidden="false" customHeight="false" outlineLevel="0" collapsed="false">
      <c r="A1208" s="82" t="n">
        <f aca="false">IF(B1208="","",ROW()-6)</f>
        <v>1202</v>
      </c>
      <c r="B1208" s="145" t="n">
        <v>2081750</v>
      </c>
      <c r="C1208" s="146" t="n">
        <v>15421103</v>
      </c>
      <c r="D1208" s="146"/>
      <c r="E1208" s="82" t="str">
        <f aca="false">IF(B1208="","",IF(COUNTIFS('CARNET DE SOUDURE'!$L$7:$L$3006,B1208,'CARNET DE SOUDURE'!$M$7:$M$3006,"&lt;&gt;"&amp;C1208,'CARNET DE SOUDURE'!$M$7:$M$3006,"&lt;&gt;")+COUNTIFS('CARNET DE SOUDURE'!$O$7:$O$3006,B1208,'CARNET DE SOUDURE'!$P$7:$P$3006,"&lt;&gt;"&amp;C1208,'CARNET DE SOUDURE'!$P$7:$P$3006,"&lt;&gt;")&gt;0,"⚠ DIFFÉRENTE","OK"))</f>
        <v>OK</v>
      </c>
      <c r="F1208" s="147" t="n">
        <v>11.94</v>
      </c>
      <c r="G1208" s="80"/>
      <c r="H1208" s="83"/>
      <c r="I1208" s="148" t="str">
        <f aca="false">IF(B1208="","",IFERROR(INDEX('CARNET DE SOUDURE'!$B$7:$B$3006,MATCH(B1208,'CARNET DE SOUDURE'!$L$7:$L$3006,0)),IFERROR(INDEX('CARNET DE SOUDURE'!$B$7:$B$3006,MATCH(B1208,'CARNET DE SOUDURE'!$O$7:$O$3006,0)),"")))</f>
        <v>MFD-ISW → MFD-CPF</v>
      </c>
      <c r="J1208" s="82" t="str">
        <f aca="false">IF(B1208="","",IFERROR(INDEX('CARNET DE SOUDURE'!$E$7:$E$3006,MATCH(B1208,'CARNET DE SOUDURE'!$O$7:$O$3006,0)),""))</f>
        <v>JN°1809</v>
      </c>
      <c r="K1208" s="82" t="str">
        <f aca="false">IF(B1208="","",IFERROR(INDEX('CARNET DE SOUDURE'!$E$7:$E$3006,MATCH(B1208,'CARNET DE SOUDURE'!$L$7:$L$3006,0)),""))</f>
        <v>JN°1810</v>
      </c>
      <c r="L1208" s="82" t="n">
        <f aca="false">IF(B1208="","",IFERROR(INDEX('CARNET DE SOUDURE'!$D$7:$D$3006,MATCH(B1208,'CARNET DE SOUDURE'!$L$7:$L$3006,0)),IFERROR(INDEX('CARNET DE SOUDURE'!$D$7:$D$3006,MATCH(B1208,'CARNET DE SOUDURE'!$O$7:$O$3006,0)),"")))</f>
        <v>22</v>
      </c>
      <c r="M1208" s="82" t="str">
        <f aca="false">IF(B1208="","",IF(OR(J1208&lt;&gt;"",K1208&lt;&gt;""),"POSÉ EN LIGNE",IF(COUNTIF(BARDAGE!$C$1:$C$5000,B1208)&gt;0,"BARDÉ","EN STOCK")))</f>
        <v>POSÉ EN LIGNE</v>
      </c>
      <c r="N1208" s="80"/>
    </row>
    <row r="1209" customFormat="false" ht="15" hidden="false" customHeight="false" outlineLevel="0" collapsed="false">
      <c r="A1209" s="82" t="n">
        <f aca="false">IF(B1209="","",ROW()-6)</f>
        <v>1203</v>
      </c>
      <c r="B1209" s="145" t="n">
        <v>2097780</v>
      </c>
      <c r="C1209" s="146" t="n">
        <v>15421112</v>
      </c>
      <c r="D1209" s="146"/>
      <c r="E1209" s="82" t="str">
        <f aca="false">IF(B1209="","",IF(COUNTIFS('CARNET DE SOUDURE'!$L$7:$L$3006,B1209,'CARNET DE SOUDURE'!$M$7:$M$3006,"&lt;&gt;"&amp;C1209,'CARNET DE SOUDURE'!$M$7:$M$3006,"&lt;&gt;")+COUNTIFS('CARNET DE SOUDURE'!$O$7:$O$3006,B1209,'CARNET DE SOUDURE'!$P$7:$P$3006,"&lt;&gt;"&amp;C1209,'CARNET DE SOUDURE'!$P$7:$P$3006,"&lt;&gt;")&gt;0,"⚠ DIFFÉRENTE","OK"))</f>
        <v>OK</v>
      </c>
      <c r="F1209" s="147" t="n">
        <v>11.94</v>
      </c>
      <c r="G1209" s="80"/>
      <c r="H1209" s="83"/>
      <c r="I1209" s="148" t="str">
        <f aca="false">IF(B1209="","",IFERROR(INDEX('CARNET DE SOUDURE'!$B$7:$B$3006,MATCH(B1209,'CARNET DE SOUDURE'!$L$7:$L$3006,0)),IFERROR(INDEX('CARNET DE SOUDURE'!$B$7:$B$3006,MATCH(B1209,'CARNET DE SOUDURE'!$O$7:$O$3006,0)),"")))</f>
        <v>MFD-ISW → MFD-CPF</v>
      </c>
      <c r="J1209" s="82" t="str">
        <f aca="false">IF(B1209="","",IFERROR(INDEX('CARNET DE SOUDURE'!$E$7:$E$3006,MATCH(B1209,'CARNET DE SOUDURE'!$O$7:$O$3006,0)),""))</f>
        <v>JN°1810</v>
      </c>
      <c r="K1209" s="82" t="str">
        <f aca="false">IF(B1209="","",IFERROR(INDEX('CARNET DE SOUDURE'!$E$7:$E$3006,MATCH(B1209,'CARNET DE SOUDURE'!$L$7:$L$3006,0)),""))</f>
        <v>JN°1811</v>
      </c>
      <c r="L1209" s="82" t="n">
        <f aca="false">IF(B1209="","",IFERROR(INDEX('CARNET DE SOUDURE'!$D$7:$D$3006,MATCH(B1209,'CARNET DE SOUDURE'!$L$7:$L$3006,0)),IFERROR(INDEX('CARNET DE SOUDURE'!$D$7:$D$3006,MATCH(B1209,'CARNET DE SOUDURE'!$O$7:$O$3006,0)),"")))</f>
        <v>22</v>
      </c>
      <c r="M1209" s="82" t="str">
        <f aca="false">IF(B1209="","",IF(OR(J1209&lt;&gt;"",K1209&lt;&gt;""),"POSÉ EN LIGNE",IF(COUNTIF(BARDAGE!$C$1:$C$5000,B1209)&gt;0,"BARDÉ","EN STOCK")))</f>
        <v>POSÉ EN LIGNE</v>
      </c>
      <c r="N1209" s="80"/>
    </row>
    <row r="1210" customFormat="false" ht="15" hidden="false" customHeight="false" outlineLevel="0" collapsed="false">
      <c r="A1210" s="82" t="n">
        <f aca="false">IF(B1210="","",ROW()-6)</f>
        <v>1204</v>
      </c>
      <c r="B1210" s="145" t="n">
        <v>20889420</v>
      </c>
      <c r="C1210" s="146" t="n">
        <v>15421109</v>
      </c>
      <c r="D1210" s="146"/>
      <c r="E1210" s="82" t="str">
        <f aca="false">IF(B1210="","",IF(COUNTIFS('CARNET DE SOUDURE'!$L$7:$L$3006,B1210,'CARNET DE SOUDURE'!$M$7:$M$3006,"&lt;&gt;"&amp;C1210,'CARNET DE SOUDURE'!$M$7:$M$3006,"&lt;&gt;")+COUNTIFS('CARNET DE SOUDURE'!$O$7:$O$3006,B1210,'CARNET DE SOUDURE'!$P$7:$P$3006,"&lt;&gt;"&amp;C1210,'CARNET DE SOUDURE'!$P$7:$P$3006,"&lt;&gt;")&gt;0,"⚠ DIFFÉRENTE","OK"))</f>
        <v>OK</v>
      </c>
      <c r="F1210" s="147" t="n">
        <v>11.94</v>
      </c>
      <c r="G1210" s="80"/>
      <c r="H1210" s="83"/>
      <c r="I1210" s="148" t="str">
        <f aca="false">IF(B1210="","",IFERROR(INDEX('CARNET DE SOUDURE'!$B$7:$B$3006,MATCH(B1210,'CARNET DE SOUDURE'!$L$7:$L$3006,0)),IFERROR(INDEX('CARNET DE SOUDURE'!$B$7:$B$3006,MATCH(B1210,'CARNET DE SOUDURE'!$O$7:$O$3006,0)),"")))</f>
        <v>MFD-ISW → MFD-CPF</v>
      </c>
      <c r="J1210" s="82" t="str">
        <f aca="false">IF(B1210="","",IFERROR(INDEX('CARNET DE SOUDURE'!$E$7:$E$3006,MATCH(B1210,'CARNET DE SOUDURE'!$O$7:$O$3006,0)),""))</f>
        <v>JN°1811</v>
      </c>
      <c r="K1210" s="82" t="str">
        <f aca="false">IF(B1210="","",IFERROR(INDEX('CARNET DE SOUDURE'!$E$7:$E$3006,MATCH(B1210,'CARNET DE SOUDURE'!$L$7:$L$3006,0)),""))</f>
        <v/>
      </c>
      <c r="L1210" s="82" t="n">
        <f aca="false">IF(B1210="","",IFERROR(INDEX('CARNET DE SOUDURE'!$D$7:$D$3006,MATCH(B1210,'CARNET DE SOUDURE'!$L$7:$L$3006,0)),IFERROR(INDEX('CARNET DE SOUDURE'!$D$7:$D$3006,MATCH(B1210,'CARNET DE SOUDURE'!$O$7:$O$3006,0)),"")))</f>
        <v>22</v>
      </c>
      <c r="M1210" s="82" t="str">
        <f aca="false">IF(B1210="","",IF(OR(J1210&lt;&gt;"",K1210&lt;&gt;""),"POSÉ EN LIGNE",IF(COUNTIF(BARDAGE!$C$1:$C$5000,B1210)&gt;0,"BARDÉ","EN STOCK")))</f>
        <v>POSÉ EN LIGNE</v>
      </c>
      <c r="N1210" s="80"/>
    </row>
    <row r="1211" customFormat="false" ht="15" hidden="false" customHeight="false" outlineLevel="0" collapsed="false">
      <c r="A1211" s="82" t="n">
        <f aca="false">IF(B1211="","",ROW()-6)</f>
        <v>1205</v>
      </c>
      <c r="B1211" s="145" t="n">
        <v>2089420</v>
      </c>
      <c r="C1211" s="146" t="n">
        <v>15421109</v>
      </c>
      <c r="D1211" s="146"/>
      <c r="E1211" s="82" t="str">
        <f aca="false">IF(B1211="","",IF(COUNTIFS('CARNET DE SOUDURE'!$L$7:$L$3006,B1211,'CARNET DE SOUDURE'!$M$7:$M$3006,"&lt;&gt;"&amp;C1211,'CARNET DE SOUDURE'!$M$7:$M$3006,"&lt;&gt;")+COUNTIFS('CARNET DE SOUDURE'!$O$7:$O$3006,B1211,'CARNET DE SOUDURE'!$P$7:$P$3006,"&lt;&gt;"&amp;C1211,'CARNET DE SOUDURE'!$P$7:$P$3006,"&lt;&gt;")&gt;0,"⚠ DIFFÉRENTE","OK"))</f>
        <v>OK</v>
      </c>
      <c r="F1211" s="147" t="n">
        <v>11.94</v>
      </c>
      <c r="G1211" s="80"/>
      <c r="H1211" s="83"/>
      <c r="I1211" s="148" t="str">
        <f aca="false">IF(B1211="","",IFERROR(INDEX('CARNET DE SOUDURE'!$B$7:$B$3006,MATCH(B1211,'CARNET DE SOUDURE'!$L$7:$L$3006,0)),IFERROR(INDEX('CARNET DE SOUDURE'!$B$7:$B$3006,MATCH(B1211,'CARNET DE SOUDURE'!$O$7:$O$3006,0)),"")))</f>
        <v>MFD-ISW → MFD-CPF</v>
      </c>
      <c r="J1211" s="82" t="str">
        <f aca="false">IF(B1211="","",IFERROR(INDEX('CARNET DE SOUDURE'!$E$7:$E$3006,MATCH(B1211,'CARNET DE SOUDURE'!$O$7:$O$3006,0)),""))</f>
        <v/>
      </c>
      <c r="K1211" s="82" t="str">
        <f aca="false">IF(B1211="","",IFERROR(INDEX('CARNET DE SOUDURE'!$E$7:$E$3006,MATCH(B1211,'CARNET DE SOUDURE'!$L$7:$L$3006,0)),""))</f>
        <v>JN°1812</v>
      </c>
      <c r="L1211" s="82" t="n">
        <f aca="false">IF(B1211="","",IFERROR(INDEX('CARNET DE SOUDURE'!$D$7:$D$3006,MATCH(B1211,'CARNET DE SOUDURE'!$L$7:$L$3006,0)),IFERROR(INDEX('CARNET DE SOUDURE'!$D$7:$D$3006,MATCH(B1211,'CARNET DE SOUDURE'!$O$7:$O$3006,0)),"")))</f>
        <v>22</v>
      </c>
      <c r="M1211" s="82" t="str">
        <f aca="false">IF(B1211="","",IF(OR(J1211&lt;&gt;"",K1211&lt;&gt;""),"POSÉ EN LIGNE",IF(COUNTIF(BARDAGE!$C$1:$C$5000,B1211)&gt;0,"BARDÉ","EN STOCK")))</f>
        <v>POSÉ EN LIGNE</v>
      </c>
      <c r="N1211" s="80"/>
    </row>
    <row r="1212" customFormat="false" ht="15" hidden="false" customHeight="false" outlineLevel="0" collapsed="false">
      <c r="A1212" s="82" t="n">
        <f aca="false">IF(B1212="","",ROW()-6)</f>
        <v>1206</v>
      </c>
      <c r="B1212" s="145" t="n">
        <v>2090480</v>
      </c>
      <c r="C1212" s="146" t="n">
        <v>15421109</v>
      </c>
      <c r="D1212" s="146"/>
      <c r="E1212" s="82" t="str">
        <f aca="false">IF(B1212="","",IF(COUNTIFS('CARNET DE SOUDURE'!$L$7:$L$3006,B1212,'CARNET DE SOUDURE'!$M$7:$M$3006,"&lt;&gt;"&amp;C1212,'CARNET DE SOUDURE'!$M$7:$M$3006,"&lt;&gt;")+COUNTIFS('CARNET DE SOUDURE'!$O$7:$O$3006,B1212,'CARNET DE SOUDURE'!$P$7:$P$3006,"&lt;&gt;"&amp;C1212,'CARNET DE SOUDURE'!$P$7:$P$3006,"&lt;&gt;")&gt;0,"⚠ DIFFÉRENTE","OK"))</f>
        <v>OK</v>
      </c>
      <c r="F1212" s="147" t="n">
        <v>11.94</v>
      </c>
      <c r="G1212" s="80"/>
      <c r="H1212" s="83"/>
      <c r="I1212" s="148" t="str">
        <f aca="false">IF(B1212="","",IFERROR(INDEX('CARNET DE SOUDURE'!$B$7:$B$3006,MATCH(B1212,'CARNET DE SOUDURE'!$L$7:$L$3006,0)),IFERROR(INDEX('CARNET DE SOUDURE'!$B$7:$B$3006,MATCH(B1212,'CARNET DE SOUDURE'!$O$7:$O$3006,0)),"")))</f>
        <v>MFD-ISW → MFD-CPF</v>
      </c>
      <c r="J1212" s="82" t="str">
        <f aca="false">IF(B1212="","",IFERROR(INDEX('CARNET DE SOUDURE'!$E$7:$E$3006,MATCH(B1212,'CARNET DE SOUDURE'!$O$7:$O$3006,0)),""))</f>
        <v>JN°1812</v>
      </c>
      <c r="K1212" s="82" t="str">
        <f aca="false">IF(B1212="","",IFERROR(INDEX('CARNET DE SOUDURE'!$E$7:$E$3006,MATCH(B1212,'CARNET DE SOUDURE'!$L$7:$L$3006,0)),""))</f>
        <v>JN°1813</v>
      </c>
      <c r="L1212" s="82" t="n">
        <f aca="false">IF(B1212="","",IFERROR(INDEX('CARNET DE SOUDURE'!$D$7:$D$3006,MATCH(B1212,'CARNET DE SOUDURE'!$L$7:$L$3006,0)),IFERROR(INDEX('CARNET DE SOUDURE'!$D$7:$D$3006,MATCH(B1212,'CARNET DE SOUDURE'!$O$7:$O$3006,0)),"")))</f>
        <v>22</v>
      </c>
      <c r="M1212" s="82" t="str">
        <f aca="false">IF(B1212="","",IF(OR(J1212&lt;&gt;"",K1212&lt;&gt;""),"POSÉ EN LIGNE",IF(COUNTIF(BARDAGE!$C$1:$C$5000,B1212)&gt;0,"BARDÉ","EN STOCK")))</f>
        <v>POSÉ EN LIGNE</v>
      </c>
      <c r="N1212" s="80"/>
    </row>
    <row r="1213" customFormat="false" ht="15" hidden="false" customHeight="false" outlineLevel="0" collapsed="false">
      <c r="A1213" s="82" t="n">
        <f aca="false">IF(B1213="","",ROW()-6)</f>
        <v>1207</v>
      </c>
      <c r="B1213" s="145" t="n">
        <v>2093050</v>
      </c>
      <c r="C1213" s="146" t="n">
        <v>15421110</v>
      </c>
      <c r="D1213" s="146"/>
      <c r="E1213" s="82" t="str">
        <f aca="false">IF(B1213="","",IF(COUNTIFS('CARNET DE SOUDURE'!$L$7:$L$3006,B1213,'CARNET DE SOUDURE'!$M$7:$M$3006,"&lt;&gt;"&amp;C1213,'CARNET DE SOUDURE'!$M$7:$M$3006,"&lt;&gt;")+COUNTIFS('CARNET DE SOUDURE'!$O$7:$O$3006,B1213,'CARNET DE SOUDURE'!$P$7:$P$3006,"&lt;&gt;"&amp;C1213,'CARNET DE SOUDURE'!$P$7:$P$3006,"&lt;&gt;")&gt;0,"⚠ DIFFÉRENTE","OK"))</f>
        <v>OK</v>
      </c>
      <c r="F1213" s="147" t="n">
        <v>11.94</v>
      </c>
      <c r="G1213" s="80"/>
      <c r="H1213" s="83"/>
      <c r="I1213" s="148" t="str">
        <f aca="false">IF(B1213="","",IFERROR(INDEX('CARNET DE SOUDURE'!$B$7:$B$3006,MATCH(B1213,'CARNET DE SOUDURE'!$L$7:$L$3006,0)),IFERROR(INDEX('CARNET DE SOUDURE'!$B$7:$B$3006,MATCH(B1213,'CARNET DE SOUDURE'!$O$7:$O$3006,0)),"")))</f>
        <v>MFD-ISW → MFD-CPF</v>
      </c>
      <c r="J1213" s="82" t="str">
        <f aca="false">IF(B1213="","",IFERROR(INDEX('CARNET DE SOUDURE'!$E$7:$E$3006,MATCH(B1213,'CARNET DE SOUDURE'!$O$7:$O$3006,0)),""))</f>
        <v>JN°1813</v>
      </c>
      <c r="K1213" s="82" t="str">
        <f aca="false">IF(B1213="","",IFERROR(INDEX('CARNET DE SOUDURE'!$E$7:$E$3006,MATCH(B1213,'CARNET DE SOUDURE'!$L$7:$L$3006,0)),""))</f>
        <v>JN°1814</v>
      </c>
      <c r="L1213" s="82" t="n">
        <f aca="false">IF(B1213="","",IFERROR(INDEX('CARNET DE SOUDURE'!$D$7:$D$3006,MATCH(B1213,'CARNET DE SOUDURE'!$L$7:$L$3006,0)),IFERROR(INDEX('CARNET DE SOUDURE'!$D$7:$D$3006,MATCH(B1213,'CARNET DE SOUDURE'!$O$7:$O$3006,0)),"")))</f>
        <v>22</v>
      </c>
      <c r="M1213" s="82" t="str">
        <f aca="false">IF(B1213="","",IF(OR(J1213&lt;&gt;"",K1213&lt;&gt;""),"POSÉ EN LIGNE",IF(COUNTIF(BARDAGE!$C$1:$C$5000,B1213)&gt;0,"BARDÉ","EN STOCK")))</f>
        <v>POSÉ EN LIGNE</v>
      </c>
      <c r="N1213" s="80"/>
    </row>
    <row r="1214" customFormat="false" ht="15" hidden="false" customHeight="false" outlineLevel="0" collapsed="false">
      <c r="A1214" s="82" t="n">
        <f aca="false">IF(B1214="","",ROW()-6)</f>
        <v>1208</v>
      </c>
      <c r="B1214" s="145" t="n">
        <v>209510</v>
      </c>
      <c r="C1214" s="146" t="n">
        <v>15421109</v>
      </c>
      <c r="D1214" s="146"/>
      <c r="E1214" s="82" t="str">
        <f aca="false">IF(B1214="","",IF(COUNTIFS('CARNET DE SOUDURE'!$L$7:$L$3006,B1214,'CARNET DE SOUDURE'!$M$7:$M$3006,"&lt;&gt;"&amp;C1214,'CARNET DE SOUDURE'!$M$7:$M$3006,"&lt;&gt;")+COUNTIFS('CARNET DE SOUDURE'!$O$7:$O$3006,B1214,'CARNET DE SOUDURE'!$P$7:$P$3006,"&lt;&gt;"&amp;C1214,'CARNET DE SOUDURE'!$P$7:$P$3006,"&lt;&gt;")&gt;0,"⚠ DIFFÉRENTE","OK"))</f>
        <v>OK</v>
      </c>
      <c r="F1214" s="147" t="n">
        <v>11.94</v>
      </c>
      <c r="G1214" s="80"/>
      <c r="H1214" s="83"/>
      <c r="I1214" s="148" t="str">
        <f aca="false">IF(B1214="","",IFERROR(INDEX('CARNET DE SOUDURE'!$B$7:$B$3006,MATCH(B1214,'CARNET DE SOUDURE'!$L$7:$L$3006,0)),IFERROR(INDEX('CARNET DE SOUDURE'!$B$7:$B$3006,MATCH(B1214,'CARNET DE SOUDURE'!$O$7:$O$3006,0)),"")))</f>
        <v>MFD-ISW → MFD-CPF</v>
      </c>
      <c r="J1214" s="82" t="str">
        <f aca="false">IF(B1214="","",IFERROR(INDEX('CARNET DE SOUDURE'!$E$7:$E$3006,MATCH(B1214,'CARNET DE SOUDURE'!$O$7:$O$3006,0)),""))</f>
        <v>JN°1814</v>
      </c>
      <c r="K1214" s="82" t="str">
        <f aca="false">IF(B1214="","",IFERROR(INDEX('CARNET DE SOUDURE'!$E$7:$E$3006,MATCH(B1214,'CARNET DE SOUDURE'!$L$7:$L$3006,0)),""))</f>
        <v>JN°1815</v>
      </c>
      <c r="L1214" s="82" t="n">
        <f aca="false">IF(B1214="","",IFERROR(INDEX('CARNET DE SOUDURE'!$D$7:$D$3006,MATCH(B1214,'CARNET DE SOUDURE'!$L$7:$L$3006,0)),IFERROR(INDEX('CARNET DE SOUDURE'!$D$7:$D$3006,MATCH(B1214,'CARNET DE SOUDURE'!$O$7:$O$3006,0)),"")))</f>
        <v>22</v>
      </c>
      <c r="M1214" s="82" t="str">
        <f aca="false">IF(B1214="","",IF(OR(J1214&lt;&gt;"",K1214&lt;&gt;""),"POSÉ EN LIGNE",IF(COUNTIF(BARDAGE!$C$1:$C$5000,B1214)&gt;0,"BARDÉ","EN STOCK")))</f>
        <v>POSÉ EN LIGNE</v>
      </c>
      <c r="N1214" s="80"/>
    </row>
    <row r="1215" customFormat="false" ht="15" hidden="false" customHeight="false" outlineLevel="0" collapsed="false">
      <c r="A1215" s="82" t="n">
        <f aca="false">IF(B1215="","",ROW()-6)</f>
        <v>1209</v>
      </c>
      <c r="B1215" s="145" t="n">
        <v>2096580</v>
      </c>
      <c r="C1215" s="146" t="n">
        <v>15421111</v>
      </c>
      <c r="D1215" s="146"/>
      <c r="E1215" s="82" t="str">
        <f aca="false">IF(B1215="","",IF(COUNTIFS('CARNET DE SOUDURE'!$L$7:$L$3006,B1215,'CARNET DE SOUDURE'!$M$7:$M$3006,"&lt;&gt;"&amp;C1215,'CARNET DE SOUDURE'!$M$7:$M$3006,"&lt;&gt;")+COUNTIFS('CARNET DE SOUDURE'!$O$7:$O$3006,B1215,'CARNET DE SOUDURE'!$P$7:$P$3006,"&lt;&gt;"&amp;C1215,'CARNET DE SOUDURE'!$P$7:$P$3006,"&lt;&gt;")&gt;0,"⚠ DIFFÉRENTE","OK"))</f>
        <v>OK</v>
      </c>
      <c r="F1215" s="147" t="n">
        <v>11.94</v>
      </c>
      <c r="G1215" s="80"/>
      <c r="H1215" s="83"/>
      <c r="I1215" s="148" t="str">
        <f aca="false">IF(B1215="","",IFERROR(INDEX('CARNET DE SOUDURE'!$B$7:$B$3006,MATCH(B1215,'CARNET DE SOUDURE'!$L$7:$L$3006,0)),IFERROR(INDEX('CARNET DE SOUDURE'!$B$7:$B$3006,MATCH(B1215,'CARNET DE SOUDURE'!$O$7:$O$3006,0)),"")))</f>
        <v>MFD-ISW → MFD-CPF</v>
      </c>
      <c r="J1215" s="82" t="str">
        <f aca="false">IF(B1215="","",IFERROR(INDEX('CARNET DE SOUDURE'!$E$7:$E$3006,MATCH(B1215,'CARNET DE SOUDURE'!$O$7:$O$3006,0)),""))</f>
        <v>JN°1815</v>
      </c>
      <c r="K1215" s="82" t="str">
        <f aca="false">IF(B1215="","",IFERROR(INDEX('CARNET DE SOUDURE'!$E$7:$E$3006,MATCH(B1215,'CARNET DE SOUDURE'!$L$7:$L$3006,0)),""))</f>
        <v>JN°1816</v>
      </c>
      <c r="L1215" s="82" t="n">
        <f aca="false">IF(B1215="","",IFERROR(INDEX('CARNET DE SOUDURE'!$D$7:$D$3006,MATCH(B1215,'CARNET DE SOUDURE'!$L$7:$L$3006,0)),IFERROR(INDEX('CARNET DE SOUDURE'!$D$7:$D$3006,MATCH(B1215,'CARNET DE SOUDURE'!$O$7:$O$3006,0)),"")))</f>
        <v>22</v>
      </c>
      <c r="M1215" s="82" t="str">
        <f aca="false">IF(B1215="","",IF(OR(J1215&lt;&gt;"",K1215&lt;&gt;""),"POSÉ EN LIGNE",IF(COUNTIF(BARDAGE!$C$1:$C$5000,B1215)&gt;0,"BARDÉ","EN STOCK")))</f>
        <v>POSÉ EN LIGNE</v>
      </c>
      <c r="N1215" s="80"/>
    </row>
    <row r="1216" customFormat="false" ht="15" hidden="false" customHeight="false" outlineLevel="0" collapsed="false">
      <c r="A1216" s="82" t="n">
        <f aca="false">IF(B1216="","",ROW()-6)</f>
        <v>1210</v>
      </c>
      <c r="B1216" s="145" t="n">
        <v>2090170</v>
      </c>
      <c r="C1216" s="146" t="n">
        <v>15421109</v>
      </c>
      <c r="D1216" s="146"/>
      <c r="E1216" s="82" t="str">
        <f aca="false">IF(B1216="","",IF(COUNTIFS('CARNET DE SOUDURE'!$L$7:$L$3006,B1216,'CARNET DE SOUDURE'!$M$7:$M$3006,"&lt;&gt;"&amp;C1216,'CARNET DE SOUDURE'!$M$7:$M$3006,"&lt;&gt;")+COUNTIFS('CARNET DE SOUDURE'!$O$7:$O$3006,B1216,'CARNET DE SOUDURE'!$P$7:$P$3006,"&lt;&gt;"&amp;C1216,'CARNET DE SOUDURE'!$P$7:$P$3006,"&lt;&gt;")&gt;0,"⚠ DIFFÉRENTE","OK"))</f>
        <v>OK</v>
      </c>
      <c r="F1216" s="147" t="n">
        <v>11.94</v>
      </c>
      <c r="G1216" s="80"/>
      <c r="H1216" s="83"/>
      <c r="I1216" s="148" t="str">
        <f aca="false">IF(B1216="","",IFERROR(INDEX('CARNET DE SOUDURE'!$B$7:$B$3006,MATCH(B1216,'CARNET DE SOUDURE'!$L$7:$L$3006,0)),IFERROR(INDEX('CARNET DE SOUDURE'!$B$7:$B$3006,MATCH(B1216,'CARNET DE SOUDURE'!$O$7:$O$3006,0)),"")))</f>
        <v>MFD-ISW → MFD-CPF</v>
      </c>
      <c r="J1216" s="82" t="str">
        <f aca="false">IF(B1216="","",IFERROR(INDEX('CARNET DE SOUDURE'!$E$7:$E$3006,MATCH(B1216,'CARNET DE SOUDURE'!$O$7:$O$3006,0)),""))</f>
        <v>JN°1816</v>
      </c>
      <c r="K1216" s="82" t="str">
        <f aca="false">IF(B1216="","",IFERROR(INDEX('CARNET DE SOUDURE'!$E$7:$E$3006,MATCH(B1216,'CARNET DE SOUDURE'!$L$7:$L$3006,0)),""))</f>
        <v>JN°1817</v>
      </c>
      <c r="L1216" s="82" t="n">
        <f aca="false">IF(B1216="","",IFERROR(INDEX('CARNET DE SOUDURE'!$D$7:$D$3006,MATCH(B1216,'CARNET DE SOUDURE'!$L$7:$L$3006,0)),IFERROR(INDEX('CARNET DE SOUDURE'!$D$7:$D$3006,MATCH(B1216,'CARNET DE SOUDURE'!$O$7:$O$3006,0)),"")))</f>
        <v>23</v>
      </c>
      <c r="M1216" s="82" t="str">
        <f aca="false">IF(B1216="","",IF(OR(J1216&lt;&gt;"",K1216&lt;&gt;""),"POSÉ EN LIGNE",IF(COUNTIF(BARDAGE!$C$1:$C$5000,B1216)&gt;0,"BARDÉ","EN STOCK")))</f>
        <v>POSÉ EN LIGNE</v>
      </c>
      <c r="N1216" s="80"/>
    </row>
    <row r="1217" customFormat="false" ht="15" hidden="false" customHeight="false" outlineLevel="0" collapsed="false">
      <c r="A1217" s="82" t="n">
        <f aca="false">IF(B1217="","",ROW()-6)</f>
        <v>1211</v>
      </c>
      <c r="B1217" s="145" t="n">
        <v>2097950</v>
      </c>
      <c r="C1217" s="146" t="n">
        <v>15421112</v>
      </c>
      <c r="D1217" s="146"/>
      <c r="E1217" s="82" t="str">
        <f aca="false">IF(B1217="","",IF(COUNTIFS('CARNET DE SOUDURE'!$L$7:$L$3006,B1217,'CARNET DE SOUDURE'!$M$7:$M$3006,"&lt;&gt;"&amp;C1217,'CARNET DE SOUDURE'!$M$7:$M$3006,"&lt;&gt;")+COUNTIFS('CARNET DE SOUDURE'!$O$7:$O$3006,B1217,'CARNET DE SOUDURE'!$P$7:$P$3006,"&lt;&gt;"&amp;C1217,'CARNET DE SOUDURE'!$P$7:$P$3006,"&lt;&gt;")&gt;0,"⚠ DIFFÉRENTE","OK"))</f>
        <v>OK</v>
      </c>
      <c r="F1217" s="147" t="n">
        <v>11.94</v>
      </c>
      <c r="G1217" s="80"/>
      <c r="H1217" s="83"/>
      <c r="I1217" s="148" t="str">
        <f aca="false">IF(B1217="","",IFERROR(INDEX('CARNET DE SOUDURE'!$B$7:$B$3006,MATCH(B1217,'CARNET DE SOUDURE'!$L$7:$L$3006,0)),IFERROR(INDEX('CARNET DE SOUDURE'!$B$7:$B$3006,MATCH(B1217,'CARNET DE SOUDURE'!$O$7:$O$3006,0)),"")))</f>
        <v>MFD-ISW → MFD-CPF</v>
      </c>
      <c r="J1217" s="82" t="str">
        <f aca="false">IF(B1217="","",IFERROR(INDEX('CARNET DE SOUDURE'!$E$7:$E$3006,MATCH(B1217,'CARNET DE SOUDURE'!$O$7:$O$3006,0)),""))</f>
        <v>JN°1817</v>
      </c>
      <c r="K1217" s="82" t="str">
        <f aca="false">IF(B1217="","",IFERROR(INDEX('CARNET DE SOUDURE'!$E$7:$E$3006,MATCH(B1217,'CARNET DE SOUDURE'!$L$7:$L$3006,0)),""))</f>
        <v>JN°1818</v>
      </c>
      <c r="L1217" s="82" t="n">
        <f aca="false">IF(B1217="","",IFERROR(INDEX('CARNET DE SOUDURE'!$D$7:$D$3006,MATCH(B1217,'CARNET DE SOUDURE'!$L$7:$L$3006,0)),IFERROR(INDEX('CARNET DE SOUDURE'!$D$7:$D$3006,MATCH(B1217,'CARNET DE SOUDURE'!$O$7:$O$3006,0)),"")))</f>
        <v>23</v>
      </c>
      <c r="M1217" s="82" t="str">
        <f aca="false">IF(B1217="","",IF(OR(J1217&lt;&gt;"",K1217&lt;&gt;""),"POSÉ EN LIGNE",IF(COUNTIF(BARDAGE!$C$1:$C$5000,B1217)&gt;0,"BARDÉ","EN STOCK")))</f>
        <v>POSÉ EN LIGNE</v>
      </c>
      <c r="N1217" s="80"/>
    </row>
    <row r="1218" customFormat="false" ht="15" hidden="false" customHeight="false" outlineLevel="0" collapsed="false">
      <c r="A1218" s="82" t="n">
        <f aca="false">IF(B1218="","",ROW()-6)</f>
        <v>1212</v>
      </c>
      <c r="B1218" s="145" t="n">
        <v>2090660</v>
      </c>
      <c r="C1218" s="146" t="n">
        <v>15421109</v>
      </c>
      <c r="D1218" s="146"/>
      <c r="E1218" s="82" t="str">
        <f aca="false">IF(B1218="","",IF(COUNTIFS('CARNET DE SOUDURE'!$L$7:$L$3006,B1218,'CARNET DE SOUDURE'!$M$7:$M$3006,"&lt;&gt;"&amp;C1218,'CARNET DE SOUDURE'!$M$7:$M$3006,"&lt;&gt;")+COUNTIFS('CARNET DE SOUDURE'!$O$7:$O$3006,B1218,'CARNET DE SOUDURE'!$P$7:$P$3006,"&lt;&gt;"&amp;C1218,'CARNET DE SOUDURE'!$P$7:$P$3006,"&lt;&gt;")&gt;0,"⚠ DIFFÉRENTE","OK"))</f>
        <v>OK</v>
      </c>
      <c r="F1218" s="147" t="n">
        <v>11.94</v>
      </c>
      <c r="G1218" s="80"/>
      <c r="H1218" s="83"/>
      <c r="I1218" s="148" t="str">
        <f aca="false">IF(B1218="","",IFERROR(INDEX('CARNET DE SOUDURE'!$B$7:$B$3006,MATCH(B1218,'CARNET DE SOUDURE'!$L$7:$L$3006,0)),IFERROR(INDEX('CARNET DE SOUDURE'!$B$7:$B$3006,MATCH(B1218,'CARNET DE SOUDURE'!$O$7:$O$3006,0)),"")))</f>
        <v>MFD-ISW → MFD-CPF</v>
      </c>
      <c r="J1218" s="82" t="str">
        <f aca="false">IF(B1218="","",IFERROR(INDEX('CARNET DE SOUDURE'!$E$7:$E$3006,MATCH(B1218,'CARNET DE SOUDURE'!$O$7:$O$3006,0)),""))</f>
        <v>JN°1818</v>
      </c>
      <c r="K1218" s="82" t="str">
        <f aca="false">IF(B1218="","",IFERROR(INDEX('CARNET DE SOUDURE'!$E$7:$E$3006,MATCH(B1218,'CARNET DE SOUDURE'!$L$7:$L$3006,0)),""))</f>
        <v>JN°1819</v>
      </c>
      <c r="L1218" s="82" t="n">
        <f aca="false">IF(B1218="","",IFERROR(INDEX('CARNET DE SOUDURE'!$D$7:$D$3006,MATCH(B1218,'CARNET DE SOUDURE'!$L$7:$L$3006,0)),IFERROR(INDEX('CARNET DE SOUDURE'!$D$7:$D$3006,MATCH(B1218,'CARNET DE SOUDURE'!$O$7:$O$3006,0)),"")))</f>
        <v>23</v>
      </c>
      <c r="M1218" s="82" t="str">
        <f aca="false">IF(B1218="","",IF(OR(J1218&lt;&gt;"",K1218&lt;&gt;""),"POSÉ EN LIGNE",IF(COUNTIF(BARDAGE!$C$1:$C$5000,B1218)&gt;0,"BARDÉ","EN STOCK")))</f>
        <v>POSÉ EN LIGNE</v>
      </c>
      <c r="N1218" s="80"/>
    </row>
    <row r="1219" customFormat="false" ht="15" hidden="false" customHeight="false" outlineLevel="0" collapsed="false">
      <c r="A1219" s="82" t="n">
        <f aca="false">IF(B1219="","",ROW()-6)</f>
        <v>1213</v>
      </c>
      <c r="B1219" s="145" t="n">
        <v>2081020</v>
      </c>
      <c r="C1219" s="146" t="n">
        <v>15421103</v>
      </c>
      <c r="D1219" s="146"/>
      <c r="E1219" s="82" t="str">
        <f aca="false">IF(B1219="","",IF(COUNTIFS('CARNET DE SOUDURE'!$L$7:$L$3006,B1219,'CARNET DE SOUDURE'!$M$7:$M$3006,"&lt;&gt;"&amp;C1219,'CARNET DE SOUDURE'!$M$7:$M$3006,"&lt;&gt;")+COUNTIFS('CARNET DE SOUDURE'!$O$7:$O$3006,B1219,'CARNET DE SOUDURE'!$P$7:$P$3006,"&lt;&gt;"&amp;C1219,'CARNET DE SOUDURE'!$P$7:$P$3006,"&lt;&gt;")&gt;0,"⚠ DIFFÉRENTE","OK"))</f>
        <v>OK</v>
      </c>
      <c r="F1219" s="147" t="n">
        <v>11.94</v>
      </c>
      <c r="G1219" s="80"/>
      <c r="H1219" s="83"/>
      <c r="I1219" s="148" t="str">
        <f aca="false">IF(B1219="","",IFERROR(INDEX('CARNET DE SOUDURE'!$B$7:$B$3006,MATCH(B1219,'CARNET DE SOUDURE'!$L$7:$L$3006,0)),IFERROR(INDEX('CARNET DE SOUDURE'!$B$7:$B$3006,MATCH(B1219,'CARNET DE SOUDURE'!$O$7:$O$3006,0)),"")))</f>
        <v>MFD-ISW → MFD-CPF</v>
      </c>
      <c r="J1219" s="82" t="str">
        <f aca="false">IF(B1219="","",IFERROR(INDEX('CARNET DE SOUDURE'!$E$7:$E$3006,MATCH(B1219,'CARNET DE SOUDURE'!$O$7:$O$3006,0)),""))</f>
        <v>JN°1819</v>
      </c>
      <c r="K1219" s="82" t="str">
        <f aca="false">IF(B1219="","",IFERROR(INDEX('CARNET DE SOUDURE'!$E$7:$E$3006,MATCH(B1219,'CARNET DE SOUDURE'!$L$7:$L$3006,0)),""))</f>
        <v>JN°1820</v>
      </c>
      <c r="L1219" s="82" t="n">
        <f aca="false">IF(B1219="","",IFERROR(INDEX('CARNET DE SOUDURE'!$D$7:$D$3006,MATCH(B1219,'CARNET DE SOUDURE'!$L$7:$L$3006,0)),IFERROR(INDEX('CARNET DE SOUDURE'!$D$7:$D$3006,MATCH(B1219,'CARNET DE SOUDURE'!$O$7:$O$3006,0)),"")))</f>
        <v>23</v>
      </c>
      <c r="M1219" s="82" t="str">
        <f aca="false">IF(B1219="","",IF(OR(J1219&lt;&gt;"",K1219&lt;&gt;""),"POSÉ EN LIGNE",IF(COUNTIF(BARDAGE!$C$1:$C$5000,B1219)&gt;0,"BARDÉ","EN STOCK")))</f>
        <v>POSÉ EN LIGNE</v>
      </c>
      <c r="N1219" s="80"/>
    </row>
    <row r="1220" customFormat="false" ht="15" hidden="false" customHeight="false" outlineLevel="0" collapsed="false">
      <c r="A1220" s="82" t="n">
        <f aca="false">IF(B1220="","",ROW()-6)</f>
        <v>1214</v>
      </c>
      <c r="B1220" s="145" t="n">
        <v>2087410</v>
      </c>
      <c r="C1220" s="146" t="n">
        <v>15421107</v>
      </c>
      <c r="D1220" s="146"/>
      <c r="E1220" s="82" t="str">
        <f aca="false">IF(B1220="","",IF(COUNTIFS('CARNET DE SOUDURE'!$L$7:$L$3006,B1220,'CARNET DE SOUDURE'!$M$7:$M$3006,"&lt;&gt;"&amp;C1220,'CARNET DE SOUDURE'!$M$7:$M$3006,"&lt;&gt;")+COUNTIFS('CARNET DE SOUDURE'!$O$7:$O$3006,B1220,'CARNET DE SOUDURE'!$P$7:$P$3006,"&lt;&gt;"&amp;C1220,'CARNET DE SOUDURE'!$P$7:$P$3006,"&lt;&gt;")&gt;0,"⚠ DIFFÉRENTE","OK"))</f>
        <v>OK</v>
      </c>
      <c r="F1220" s="147" t="n">
        <v>11.94</v>
      </c>
      <c r="G1220" s="80"/>
      <c r="H1220" s="83"/>
      <c r="I1220" s="148" t="str">
        <f aca="false">IF(B1220="","",IFERROR(INDEX('CARNET DE SOUDURE'!$B$7:$B$3006,MATCH(B1220,'CARNET DE SOUDURE'!$L$7:$L$3006,0)),IFERROR(INDEX('CARNET DE SOUDURE'!$B$7:$B$3006,MATCH(B1220,'CARNET DE SOUDURE'!$O$7:$O$3006,0)),"")))</f>
        <v>MFD-ISW → MFD-CPF</v>
      </c>
      <c r="J1220" s="82" t="str">
        <f aca="false">IF(B1220="","",IFERROR(INDEX('CARNET DE SOUDURE'!$E$7:$E$3006,MATCH(B1220,'CARNET DE SOUDURE'!$O$7:$O$3006,0)),""))</f>
        <v>JN°1820</v>
      </c>
      <c r="K1220" s="82" t="str">
        <f aca="false">IF(B1220="","",IFERROR(INDEX('CARNET DE SOUDURE'!$E$7:$E$3006,MATCH(B1220,'CARNET DE SOUDURE'!$L$7:$L$3006,0)),""))</f>
        <v>JN°1821</v>
      </c>
      <c r="L1220" s="82" t="n">
        <f aca="false">IF(B1220="","",IFERROR(INDEX('CARNET DE SOUDURE'!$D$7:$D$3006,MATCH(B1220,'CARNET DE SOUDURE'!$L$7:$L$3006,0)),IFERROR(INDEX('CARNET DE SOUDURE'!$D$7:$D$3006,MATCH(B1220,'CARNET DE SOUDURE'!$O$7:$O$3006,0)),"")))</f>
        <v>23</v>
      </c>
      <c r="M1220" s="82" t="str">
        <f aca="false">IF(B1220="","",IF(OR(J1220&lt;&gt;"",K1220&lt;&gt;""),"POSÉ EN LIGNE",IF(COUNTIF(BARDAGE!$C$1:$C$5000,B1220)&gt;0,"BARDÉ","EN STOCK")))</f>
        <v>POSÉ EN LIGNE</v>
      </c>
      <c r="N1220" s="80"/>
    </row>
    <row r="1221" customFormat="false" ht="15" hidden="false" customHeight="false" outlineLevel="0" collapsed="false">
      <c r="A1221" s="82" t="n">
        <f aca="false">IF(B1221="","",ROW()-6)</f>
        <v>1215</v>
      </c>
      <c r="B1221" s="145" t="n">
        <v>2091470</v>
      </c>
      <c r="C1221" s="146" t="n">
        <v>15421109</v>
      </c>
      <c r="D1221" s="146"/>
      <c r="E1221" s="82" t="str">
        <f aca="false">IF(B1221="","",IF(COUNTIFS('CARNET DE SOUDURE'!$L$7:$L$3006,B1221,'CARNET DE SOUDURE'!$M$7:$M$3006,"&lt;&gt;"&amp;C1221,'CARNET DE SOUDURE'!$M$7:$M$3006,"&lt;&gt;")+COUNTIFS('CARNET DE SOUDURE'!$O$7:$O$3006,B1221,'CARNET DE SOUDURE'!$P$7:$P$3006,"&lt;&gt;"&amp;C1221,'CARNET DE SOUDURE'!$P$7:$P$3006,"&lt;&gt;")&gt;0,"⚠ DIFFÉRENTE","OK"))</f>
        <v>OK</v>
      </c>
      <c r="F1221" s="147" t="n">
        <v>11.94</v>
      </c>
      <c r="G1221" s="80"/>
      <c r="H1221" s="83"/>
      <c r="I1221" s="148" t="str">
        <f aca="false">IF(B1221="","",IFERROR(INDEX('CARNET DE SOUDURE'!$B$7:$B$3006,MATCH(B1221,'CARNET DE SOUDURE'!$L$7:$L$3006,0)),IFERROR(INDEX('CARNET DE SOUDURE'!$B$7:$B$3006,MATCH(B1221,'CARNET DE SOUDURE'!$O$7:$O$3006,0)),"")))</f>
        <v>MFD-ISW → MFD-CPF</v>
      </c>
      <c r="J1221" s="82" t="str">
        <f aca="false">IF(B1221="","",IFERROR(INDEX('CARNET DE SOUDURE'!$E$7:$E$3006,MATCH(B1221,'CARNET DE SOUDURE'!$O$7:$O$3006,0)),""))</f>
        <v>JN°1822</v>
      </c>
      <c r="K1221" s="82" t="str">
        <f aca="false">IF(B1221="","",IFERROR(INDEX('CARNET DE SOUDURE'!$E$7:$E$3006,MATCH(B1221,'CARNET DE SOUDURE'!$L$7:$L$3006,0)),""))</f>
        <v>JN°1823</v>
      </c>
      <c r="L1221" s="82" t="n">
        <f aca="false">IF(B1221="","",IFERROR(INDEX('CARNET DE SOUDURE'!$D$7:$D$3006,MATCH(B1221,'CARNET DE SOUDURE'!$L$7:$L$3006,0)),IFERROR(INDEX('CARNET DE SOUDURE'!$D$7:$D$3006,MATCH(B1221,'CARNET DE SOUDURE'!$O$7:$O$3006,0)),"")))</f>
        <v>23</v>
      </c>
      <c r="M1221" s="82" t="str">
        <f aca="false">IF(B1221="","",IF(OR(J1221&lt;&gt;"",K1221&lt;&gt;""),"POSÉ EN LIGNE",IF(COUNTIF(BARDAGE!$C$1:$C$5000,B1221)&gt;0,"BARDÉ","EN STOCK")))</f>
        <v>POSÉ EN LIGNE</v>
      </c>
      <c r="N1221" s="80"/>
    </row>
    <row r="1222" customFormat="false" ht="15" hidden="false" customHeight="false" outlineLevel="0" collapsed="false">
      <c r="A1222" s="82" t="n">
        <f aca="false">IF(B1222="","",ROW()-6)</f>
        <v>1216</v>
      </c>
      <c r="B1222" s="145" t="n">
        <v>8085500</v>
      </c>
      <c r="C1222" s="146" t="n">
        <v>15421107</v>
      </c>
      <c r="D1222" s="146"/>
      <c r="E1222" s="82" t="str">
        <f aca="false">IF(B1222="","",IF(COUNTIFS('CARNET DE SOUDURE'!$L$7:$L$3006,B1222,'CARNET DE SOUDURE'!$M$7:$M$3006,"&lt;&gt;"&amp;C1222,'CARNET DE SOUDURE'!$M$7:$M$3006,"&lt;&gt;")+COUNTIFS('CARNET DE SOUDURE'!$O$7:$O$3006,B1222,'CARNET DE SOUDURE'!$P$7:$P$3006,"&lt;&gt;"&amp;C1222,'CARNET DE SOUDURE'!$P$7:$P$3006,"&lt;&gt;")&gt;0,"⚠ DIFFÉRENTE","OK"))</f>
        <v>OK</v>
      </c>
      <c r="F1222" s="147" t="n">
        <v>11.94</v>
      </c>
      <c r="G1222" s="80"/>
      <c r="H1222" s="83"/>
      <c r="I1222" s="148" t="str">
        <f aca="false">IF(B1222="","",IFERROR(INDEX('CARNET DE SOUDURE'!$B$7:$B$3006,MATCH(B1222,'CARNET DE SOUDURE'!$L$7:$L$3006,0)),IFERROR(INDEX('CARNET DE SOUDURE'!$B$7:$B$3006,MATCH(B1222,'CARNET DE SOUDURE'!$O$7:$O$3006,0)),"")))</f>
        <v>MFD-ISW → MFD-CPF</v>
      </c>
      <c r="J1222" s="82" t="str">
        <f aca="false">IF(B1222="","",IFERROR(INDEX('CARNET DE SOUDURE'!$E$7:$E$3006,MATCH(B1222,'CARNET DE SOUDURE'!$O$7:$O$3006,0)),""))</f>
        <v>JN°1823</v>
      </c>
      <c r="K1222" s="82" t="str">
        <f aca="false">IF(B1222="","",IFERROR(INDEX('CARNET DE SOUDURE'!$E$7:$E$3006,MATCH(B1222,'CARNET DE SOUDURE'!$L$7:$L$3006,0)),""))</f>
        <v>JN°1824</v>
      </c>
      <c r="L1222" s="82" t="n">
        <f aca="false">IF(B1222="","",IFERROR(INDEX('CARNET DE SOUDURE'!$D$7:$D$3006,MATCH(B1222,'CARNET DE SOUDURE'!$L$7:$L$3006,0)),IFERROR(INDEX('CARNET DE SOUDURE'!$D$7:$D$3006,MATCH(B1222,'CARNET DE SOUDURE'!$O$7:$O$3006,0)),"")))</f>
        <v>23</v>
      </c>
      <c r="M1222" s="82" t="str">
        <f aca="false">IF(B1222="","",IF(OR(J1222&lt;&gt;"",K1222&lt;&gt;""),"POSÉ EN LIGNE",IF(COUNTIF(BARDAGE!$C$1:$C$5000,B1222)&gt;0,"BARDÉ","EN STOCK")))</f>
        <v>POSÉ EN LIGNE</v>
      </c>
      <c r="N1222" s="80"/>
    </row>
    <row r="1223" customFormat="false" ht="15" hidden="false" customHeight="false" outlineLevel="0" collapsed="false">
      <c r="A1223" s="82" t="n">
        <f aca="false">IF(B1223="","",ROW()-6)</f>
        <v>1217</v>
      </c>
      <c r="B1223" s="145" t="n">
        <v>8087580</v>
      </c>
      <c r="C1223" s="146" t="n">
        <v>15421107</v>
      </c>
      <c r="D1223" s="146"/>
      <c r="E1223" s="82" t="str">
        <f aca="false">IF(B1223="","",IF(COUNTIFS('CARNET DE SOUDURE'!$L$7:$L$3006,B1223,'CARNET DE SOUDURE'!$M$7:$M$3006,"&lt;&gt;"&amp;C1223,'CARNET DE SOUDURE'!$M$7:$M$3006,"&lt;&gt;")+COUNTIFS('CARNET DE SOUDURE'!$O$7:$O$3006,B1223,'CARNET DE SOUDURE'!$P$7:$P$3006,"&lt;&gt;"&amp;C1223,'CARNET DE SOUDURE'!$P$7:$P$3006,"&lt;&gt;")&gt;0,"⚠ DIFFÉRENTE","OK"))</f>
        <v>OK</v>
      </c>
      <c r="F1223" s="147" t="n">
        <v>11.94</v>
      </c>
      <c r="G1223" s="80"/>
      <c r="H1223" s="83"/>
      <c r="I1223" s="148" t="str">
        <f aca="false">IF(B1223="","",IFERROR(INDEX('CARNET DE SOUDURE'!$B$7:$B$3006,MATCH(B1223,'CARNET DE SOUDURE'!$L$7:$L$3006,0)),IFERROR(INDEX('CARNET DE SOUDURE'!$B$7:$B$3006,MATCH(B1223,'CARNET DE SOUDURE'!$O$7:$O$3006,0)),"")))</f>
        <v>MFD-ISW → MFD-CPF</v>
      </c>
      <c r="J1223" s="82" t="str">
        <f aca="false">IF(B1223="","",IFERROR(INDEX('CARNET DE SOUDURE'!$E$7:$E$3006,MATCH(B1223,'CARNET DE SOUDURE'!$O$7:$O$3006,0)),""))</f>
        <v>JN°1824</v>
      </c>
      <c r="K1223" s="82" t="str">
        <f aca="false">IF(B1223="","",IFERROR(INDEX('CARNET DE SOUDURE'!$E$7:$E$3006,MATCH(B1223,'CARNET DE SOUDURE'!$L$7:$L$3006,0)),""))</f>
        <v>JN°1825</v>
      </c>
      <c r="L1223" s="82" t="n">
        <f aca="false">IF(B1223="","",IFERROR(INDEX('CARNET DE SOUDURE'!$D$7:$D$3006,MATCH(B1223,'CARNET DE SOUDURE'!$L$7:$L$3006,0)),IFERROR(INDEX('CARNET DE SOUDURE'!$D$7:$D$3006,MATCH(B1223,'CARNET DE SOUDURE'!$O$7:$O$3006,0)),"")))</f>
        <v>23</v>
      </c>
      <c r="M1223" s="82" t="str">
        <f aca="false">IF(B1223="","",IF(OR(J1223&lt;&gt;"",K1223&lt;&gt;""),"POSÉ EN LIGNE",IF(COUNTIF(BARDAGE!$C$1:$C$5000,B1223)&gt;0,"BARDÉ","EN STOCK")))</f>
        <v>POSÉ EN LIGNE</v>
      </c>
      <c r="N1223" s="80"/>
    </row>
    <row r="1224" customFormat="false" ht="15" hidden="false" customHeight="false" outlineLevel="0" collapsed="false">
      <c r="A1224" s="82" t="n">
        <f aca="false">IF(B1224="","",ROW()-6)</f>
        <v>1218</v>
      </c>
      <c r="B1224" s="145" t="n">
        <v>2086450</v>
      </c>
      <c r="C1224" s="146" t="n">
        <v>15421107</v>
      </c>
      <c r="D1224" s="146"/>
      <c r="E1224" s="82" t="str">
        <f aca="false">IF(B1224="","",IF(COUNTIFS('CARNET DE SOUDURE'!$L$7:$L$3006,B1224,'CARNET DE SOUDURE'!$M$7:$M$3006,"&lt;&gt;"&amp;C1224,'CARNET DE SOUDURE'!$M$7:$M$3006,"&lt;&gt;")+COUNTIFS('CARNET DE SOUDURE'!$O$7:$O$3006,B1224,'CARNET DE SOUDURE'!$P$7:$P$3006,"&lt;&gt;"&amp;C1224,'CARNET DE SOUDURE'!$P$7:$P$3006,"&lt;&gt;")&gt;0,"⚠ DIFFÉRENTE","OK"))</f>
        <v>OK</v>
      </c>
      <c r="F1224" s="147" t="n">
        <v>11.94</v>
      </c>
      <c r="G1224" s="80"/>
      <c r="H1224" s="83"/>
      <c r="I1224" s="148" t="str">
        <f aca="false">IF(B1224="","",IFERROR(INDEX('CARNET DE SOUDURE'!$B$7:$B$3006,MATCH(B1224,'CARNET DE SOUDURE'!$L$7:$L$3006,0)),IFERROR(INDEX('CARNET DE SOUDURE'!$B$7:$B$3006,MATCH(B1224,'CARNET DE SOUDURE'!$O$7:$O$3006,0)),"")))</f>
        <v>MFD-ISW → MFD-CPF</v>
      </c>
      <c r="J1224" s="82" t="str">
        <f aca="false">IF(B1224="","",IFERROR(INDEX('CARNET DE SOUDURE'!$E$7:$E$3006,MATCH(B1224,'CARNET DE SOUDURE'!$O$7:$O$3006,0)),""))</f>
        <v>JN°1825</v>
      </c>
      <c r="K1224" s="82" t="str">
        <f aca="false">IF(B1224="","",IFERROR(INDEX('CARNET DE SOUDURE'!$E$7:$E$3006,MATCH(B1224,'CARNET DE SOUDURE'!$L$7:$L$3006,0)),""))</f>
        <v>JN°1826</v>
      </c>
      <c r="L1224" s="82" t="n">
        <f aca="false">IF(B1224="","",IFERROR(INDEX('CARNET DE SOUDURE'!$D$7:$D$3006,MATCH(B1224,'CARNET DE SOUDURE'!$L$7:$L$3006,0)),IFERROR(INDEX('CARNET DE SOUDURE'!$D$7:$D$3006,MATCH(B1224,'CARNET DE SOUDURE'!$O$7:$O$3006,0)),"")))</f>
        <v>23</v>
      </c>
      <c r="M1224" s="82" t="str">
        <f aca="false">IF(B1224="","",IF(OR(J1224&lt;&gt;"",K1224&lt;&gt;""),"POSÉ EN LIGNE",IF(COUNTIF(BARDAGE!$C$1:$C$5000,B1224)&gt;0,"BARDÉ","EN STOCK")))</f>
        <v>POSÉ EN LIGNE</v>
      </c>
      <c r="N1224" s="80"/>
    </row>
    <row r="1225" customFormat="false" ht="15" hidden="false" customHeight="false" outlineLevel="0" collapsed="false">
      <c r="A1225" s="82" t="n">
        <f aca="false">IF(B1225="","",ROW()-6)</f>
        <v>1219</v>
      </c>
      <c r="B1225" s="145" t="n">
        <v>2085300</v>
      </c>
      <c r="C1225" s="146" t="n">
        <v>15421106</v>
      </c>
      <c r="D1225" s="146"/>
      <c r="E1225" s="82" t="str">
        <f aca="false">IF(B1225="","",IF(COUNTIFS('CARNET DE SOUDURE'!$L$7:$L$3006,B1225,'CARNET DE SOUDURE'!$M$7:$M$3006,"&lt;&gt;"&amp;C1225,'CARNET DE SOUDURE'!$M$7:$M$3006,"&lt;&gt;")+COUNTIFS('CARNET DE SOUDURE'!$O$7:$O$3006,B1225,'CARNET DE SOUDURE'!$P$7:$P$3006,"&lt;&gt;"&amp;C1225,'CARNET DE SOUDURE'!$P$7:$P$3006,"&lt;&gt;")&gt;0,"⚠ DIFFÉRENTE","OK"))</f>
        <v>OK</v>
      </c>
      <c r="F1225" s="147" t="n">
        <v>11.94</v>
      </c>
      <c r="G1225" s="80"/>
      <c r="H1225" s="83"/>
      <c r="I1225" s="148" t="str">
        <f aca="false">IF(B1225="","",IFERROR(INDEX('CARNET DE SOUDURE'!$B$7:$B$3006,MATCH(B1225,'CARNET DE SOUDURE'!$L$7:$L$3006,0)),IFERROR(INDEX('CARNET DE SOUDURE'!$B$7:$B$3006,MATCH(B1225,'CARNET DE SOUDURE'!$O$7:$O$3006,0)),"")))</f>
        <v>MFD-ISW → MFD-CPF</v>
      </c>
      <c r="J1225" s="82" t="str">
        <f aca="false">IF(B1225="","",IFERROR(INDEX('CARNET DE SOUDURE'!$E$7:$E$3006,MATCH(B1225,'CARNET DE SOUDURE'!$O$7:$O$3006,0)),""))</f>
        <v>JN°1827</v>
      </c>
      <c r="K1225" s="82" t="str">
        <f aca="false">IF(B1225="","",IFERROR(INDEX('CARNET DE SOUDURE'!$E$7:$E$3006,MATCH(B1225,'CARNET DE SOUDURE'!$L$7:$L$3006,0)),""))</f>
        <v>JN°1828</v>
      </c>
      <c r="L1225" s="82" t="n">
        <f aca="false">IF(B1225="","",IFERROR(INDEX('CARNET DE SOUDURE'!$D$7:$D$3006,MATCH(B1225,'CARNET DE SOUDURE'!$L$7:$L$3006,0)),IFERROR(INDEX('CARNET DE SOUDURE'!$D$7:$D$3006,MATCH(B1225,'CARNET DE SOUDURE'!$O$7:$O$3006,0)),"")))</f>
        <v>23</v>
      </c>
      <c r="M1225" s="82" t="str">
        <f aca="false">IF(B1225="","",IF(OR(J1225&lt;&gt;"",K1225&lt;&gt;""),"POSÉ EN LIGNE",IF(COUNTIF(BARDAGE!$C$1:$C$5000,B1225)&gt;0,"BARDÉ","EN STOCK")))</f>
        <v>POSÉ EN LIGNE</v>
      </c>
      <c r="N1225" s="80"/>
    </row>
    <row r="1226" customFormat="false" ht="15" hidden="false" customHeight="false" outlineLevel="0" collapsed="false">
      <c r="A1226" s="82" t="n">
        <f aca="false">IF(B1226="","",ROW()-6)</f>
        <v>1220</v>
      </c>
      <c r="B1226" s="145" t="n">
        <v>2082850</v>
      </c>
      <c r="C1226" s="146" t="n">
        <v>15421105</v>
      </c>
      <c r="D1226" s="146"/>
      <c r="E1226" s="82" t="str">
        <f aca="false">IF(B1226="","",IF(COUNTIFS('CARNET DE SOUDURE'!$L$7:$L$3006,B1226,'CARNET DE SOUDURE'!$M$7:$M$3006,"&lt;&gt;"&amp;C1226,'CARNET DE SOUDURE'!$M$7:$M$3006,"&lt;&gt;")+COUNTIFS('CARNET DE SOUDURE'!$O$7:$O$3006,B1226,'CARNET DE SOUDURE'!$P$7:$P$3006,"&lt;&gt;"&amp;C1226,'CARNET DE SOUDURE'!$P$7:$P$3006,"&lt;&gt;")&gt;0,"⚠ DIFFÉRENTE","OK"))</f>
        <v>OK</v>
      </c>
      <c r="F1226" s="147" t="n">
        <v>11.94</v>
      </c>
      <c r="G1226" s="80"/>
      <c r="H1226" s="83"/>
      <c r="I1226" s="148" t="str">
        <f aca="false">IF(B1226="","",IFERROR(INDEX('CARNET DE SOUDURE'!$B$7:$B$3006,MATCH(B1226,'CARNET DE SOUDURE'!$L$7:$L$3006,0)),IFERROR(INDEX('CARNET DE SOUDURE'!$B$7:$B$3006,MATCH(B1226,'CARNET DE SOUDURE'!$O$7:$O$3006,0)),"")))</f>
        <v>MFD-ISW → MFD-CPF</v>
      </c>
      <c r="J1226" s="82" t="str">
        <f aca="false">IF(B1226="","",IFERROR(INDEX('CARNET DE SOUDURE'!$E$7:$E$3006,MATCH(B1226,'CARNET DE SOUDURE'!$O$7:$O$3006,0)),""))</f>
        <v>JN°1828</v>
      </c>
      <c r="K1226" s="82" t="str">
        <f aca="false">IF(B1226="","",IFERROR(INDEX('CARNET DE SOUDURE'!$E$7:$E$3006,MATCH(B1226,'CARNET DE SOUDURE'!$L$7:$L$3006,0)),""))</f>
        <v>JN°1829</v>
      </c>
      <c r="L1226" s="82" t="n">
        <f aca="false">IF(B1226="","",IFERROR(INDEX('CARNET DE SOUDURE'!$D$7:$D$3006,MATCH(B1226,'CARNET DE SOUDURE'!$L$7:$L$3006,0)),IFERROR(INDEX('CARNET DE SOUDURE'!$D$7:$D$3006,MATCH(B1226,'CARNET DE SOUDURE'!$O$7:$O$3006,0)),"")))</f>
        <v>23</v>
      </c>
      <c r="M1226" s="82" t="str">
        <f aca="false">IF(B1226="","",IF(OR(J1226&lt;&gt;"",K1226&lt;&gt;""),"POSÉ EN LIGNE",IF(COUNTIF(BARDAGE!$C$1:$C$5000,B1226)&gt;0,"BARDÉ","EN STOCK")))</f>
        <v>POSÉ EN LIGNE</v>
      </c>
      <c r="N1226" s="80"/>
    </row>
    <row r="1227" customFormat="false" ht="15" hidden="false" customHeight="false" outlineLevel="0" collapsed="false">
      <c r="A1227" s="82" t="n">
        <f aca="false">IF(B1227="","",ROW()-6)</f>
        <v>1221</v>
      </c>
      <c r="B1227" s="145" t="n">
        <v>2097130</v>
      </c>
      <c r="C1227" s="146" t="n">
        <v>15421112</v>
      </c>
      <c r="D1227" s="146"/>
      <c r="E1227" s="82" t="str">
        <f aca="false">IF(B1227="","",IF(COUNTIFS('CARNET DE SOUDURE'!$L$7:$L$3006,B1227,'CARNET DE SOUDURE'!$M$7:$M$3006,"&lt;&gt;"&amp;C1227,'CARNET DE SOUDURE'!$M$7:$M$3006,"&lt;&gt;")+COUNTIFS('CARNET DE SOUDURE'!$O$7:$O$3006,B1227,'CARNET DE SOUDURE'!$P$7:$P$3006,"&lt;&gt;"&amp;C1227,'CARNET DE SOUDURE'!$P$7:$P$3006,"&lt;&gt;")&gt;0,"⚠ DIFFÉRENTE","OK"))</f>
        <v>OK</v>
      </c>
      <c r="F1227" s="147" t="n">
        <v>11.94</v>
      </c>
      <c r="G1227" s="80"/>
      <c r="H1227" s="83"/>
      <c r="I1227" s="148" t="str">
        <f aca="false">IF(B1227="","",IFERROR(INDEX('CARNET DE SOUDURE'!$B$7:$B$3006,MATCH(B1227,'CARNET DE SOUDURE'!$L$7:$L$3006,0)),IFERROR(INDEX('CARNET DE SOUDURE'!$B$7:$B$3006,MATCH(B1227,'CARNET DE SOUDURE'!$O$7:$O$3006,0)),"")))</f>
        <v>MFD-ISW → MFD-CPF</v>
      </c>
      <c r="J1227" s="82" t="str">
        <f aca="false">IF(B1227="","",IFERROR(INDEX('CARNET DE SOUDURE'!$E$7:$E$3006,MATCH(B1227,'CARNET DE SOUDURE'!$O$7:$O$3006,0)),""))</f>
        <v>JN°1829</v>
      </c>
      <c r="K1227" s="82" t="str">
        <f aca="false">IF(B1227="","",IFERROR(INDEX('CARNET DE SOUDURE'!$E$7:$E$3006,MATCH(B1227,'CARNET DE SOUDURE'!$L$7:$L$3006,0)),""))</f>
        <v>JN°1830</v>
      </c>
      <c r="L1227" s="82" t="n">
        <f aca="false">IF(B1227="","",IFERROR(INDEX('CARNET DE SOUDURE'!$D$7:$D$3006,MATCH(B1227,'CARNET DE SOUDURE'!$L$7:$L$3006,0)),IFERROR(INDEX('CARNET DE SOUDURE'!$D$7:$D$3006,MATCH(B1227,'CARNET DE SOUDURE'!$O$7:$O$3006,0)),"")))</f>
        <v>23</v>
      </c>
      <c r="M1227" s="82" t="str">
        <f aca="false">IF(B1227="","",IF(OR(J1227&lt;&gt;"",K1227&lt;&gt;""),"POSÉ EN LIGNE",IF(COUNTIF(BARDAGE!$C$1:$C$5000,B1227)&gt;0,"BARDÉ","EN STOCK")))</f>
        <v>POSÉ EN LIGNE</v>
      </c>
      <c r="N1227" s="80"/>
    </row>
    <row r="1228" customFormat="false" ht="15" hidden="false" customHeight="false" outlineLevel="0" collapsed="false">
      <c r="A1228" s="82" t="n">
        <f aca="false">IF(B1228="","",ROW()-6)</f>
        <v>1222</v>
      </c>
      <c r="B1228" s="145" t="n">
        <v>2098200</v>
      </c>
      <c r="C1228" s="146" t="n">
        <v>15421112</v>
      </c>
      <c r="D1228" s="146"/>
      <c r="E1228" s="82" t="str">
        <f aca="false">IF(B1228="","",IF(COUNTIFS('CARNET DE SOUDURE'!$L$7:$L$3006,B1228,'CARNET DE SOUDURE'!$M$7:$M$3006,"&lt;&gt;"&amp;C1228,'CARNET DE SOUDURE'!$M$7:$M$3006,"&lt;&gt;")+COUNTIFS('CARNET DE SOUDURE'!$O$7:$O$3006,B1228,'CARNET DE SOUDURE'!$P$7:$P$3006,"&lt;&gt;"&amp;C1228,'CARNET DE SOUDURE'!$P$7:$P$3006,"&lt;&gt;")&gt;0,"⚠ DIFFÉRENTE","OK"))</f>
        <v>OK</v>
      </c>
      <c r="F1228" s="147" t="n">
        <v>11.94</v>
      </c>
      <c r="G1228" s="80"/>
      <c r="H1228" s="83"/>
      <c r="I1228" s="148" t="str">
        <f aca="false">IF(B1228="","",IFERROR(INDEX('CARNET DE SOUDURE'!$B$7:$B$3006,MATCH(B1228,'CARNET DE SOUDURE'!$L$7:$L$3006,0)),IFERROR(INDEX('CARNET DE SOUDURE'!$B$7:$B$3006,MATCH(B1228,'CARNET DE SOUDURE'!$O$7:$O$3006,0)),"")))</f>
        <v>MFD-ISW → MFD-CPF</v>
      </c>
      <c r="J1228" s="82" t="str">
        <f aca="false">IF(B1228="","",IFERROR(INDEX('CARNET DE SOUDURE'!$E$7:$E$3006,MATCH(B1228,'CARNET DE SOUDURE'!$O$7:$O$3006,0)),""))</f>
        <v>JN°1830</v>
      </c>
      <c r="K1228" s="82" t="str">
        <f aca="false">IF(B1228="","",IFERROR(INDEX('CARNET DE SOUDURE'!$E$7:$E$3006,MATCH(B1228,'CARNET DE SOUDURE'!$L$7:$L$3006,0)),""))</f>
        <v>JN°1831</v>
      </c>
      <c r="L1228" s="82" t="n">
        <f aca="false">IF(B1228="","",IFERROR(INDEX('CARNET DE SOUDURE'!$D$7:$D$3006,MATCH(B1228,'CARNET DE SOUDURE'!$L$7:$L$3006,0)),IFERROR(INDEX('CARNET DE SOUDURE'!$D$7:$D$3006,MATCH(B1228,'CARNET DE SOUDURE'!$O$7:$O$3006,0)),"")))</f>
        <v>23</v>
      </c>
      <c r="M1228" s="82" t="str">
        <f aca="false">IF(B1228="","",IF(OR(J1228&lt;&gt;"",K1228&lt;&gt;""),"POSÉ EN LIGNE",IF(COUNTIF(BARDAGE!$C$1:$C$5000,B1228)&gt;0,"BARDÉ","EN STOCK")))</f>
        <v>POSÉ EN LIGNE</v>
      </c>
      <c r="N1228" s="80"/>
    </row>
    <row r="1229" customFormat="false" ht="15" hidden="false" customHeight="false" outlineLevel="0" collapsed="false">
      <c r="A1229" s="82" t="n">
        <f aca="false">IF(B1229="","",ROW()-6)</f>
        <v>1223</v>
      </c>
      <c r="B1229" s="145" t="n">
        <v>2086470</v>
      </c>
      <c r="C1229" s="146" t="n">
        <v>15421107</v>
      </c>
      <c r="D1229" s="146"/>
      <c r="E1229" s="82" t="str">
        <f aca="false">IF(B1229="","",IF(COUNTIFS('CARNET DE SOUDURE'!$L$7:$L$3006,B1229,'CARNET DE SOUDURE'!$M$7:$M$3006,"&lt;&gt;"&amp;C1229,'CARNET DE SOUDURE'!$M$7:$M$3006,"&lt;&gt;")+COUNTIFS('CARNET DE SOUDURE'!$O$7:$O$3006,B1229,'CARNET DE SOUDURE'!$P$7:$P$3006,"&lt;&gt;"&amp;C1229,'CARNET DE SOUDURE'!$P$7:$P$3006,"&lt;&gt;")&gt;0,"⚠ DIFFÉRENTE","OK"))</f>
        <v>OK</v>
      </c>
      <c r="F1229" s="147" t="n">
        <v>11.94</v>
      </c>
      <c r="G1229" s="80"/>
      <c r="H1229" s="83"/>
      <c r="I1229" s="148" t="str">
        <f aca="false">IF(B1229="","",IFERROR(INDEX('CARNET DE SOUDURE'!$B$7:$B$3006,MATCH(B1229,'CARNET DE SOUDURE'!$L$7:$L$3006,0)),IFERROR(INDEX('CARNET DE SOUDURE'!$B$7:$B$3006,MATCH(B1229,'CARNET DE SOUDURE'!$O$7:$O$3006,0)),"")))</f>
        <v>MFD-ISW → MFD-CPF</v>
      </c>
      <c r="J1229" s="82" t="str">
        <f aca="false">IF(B1229="","",IFERROR(INDEX('CARNET DE SOUDURE'!$E$7:$E$3006,MATCH(B1229,'CARNET DE SOUDURE'!$O$7:$O$3006,0)),""))</f>
        <v>JN°1831</v>
      </c>
      <c r="K1229" s="82" t="str">
        <f aca="false">IF(B1229="","",IFERROR(INDEX('CARNET DE SOUDURE'!$E$7:$E$3006,MATCH(B1229,'CARNET DE SOUDURE'!$L$7:$L$3006,0)),""))</f>
        <v>JN°1832</v>
      </c>
      <c r="L1229" s="82" t="n">
        <f aca="false">IF(B1229="","",IFERROR(INDEX('CARNET DE SOUDURE'!$D$7:$D$3006,MATCH(B1229,'CARNET DE SOUDURE'!$L$7:$L$3006,0)),IFERROR(INDEX('CARNET DE SOUDURE'!$D$7:$D$3006,MATCH(B1229,'CARNET DE SOUDURE'!$O$7:$O$3006,0)),"")))</f>
        <v>23</v>
      </c>
      <c r="M1229" s="82" t="str">
        <f aca="false">IF(B1229="","",IF(OR(J1229&lt;&gt;"",K1229&lt;&gt;""),"POSÉ EN LIGNE",IF(COUNTIF(BARDAGE!$C$1:$C$5000,B1229)&gt;0,"BARDÉ","EN STOCK")))</f>
        <v>POSÉ EN LIGNE</v>
      </c>
      <c r="N1229" s="80"/>
    </row>
    <row r="1230" customFormat="false" ht="15" hidden="false" customHeight="false" outlineLevel="0" collapsed="false">
      <c r="A1230" s="82" t="n">
        <f aca="false">IF(B1230="","",ROW()-6)</f>
        <v>1224</v>
      </c>
      <c r="B1230" s="145" t="n">
        <v>2094410</v>
      </c>
      <c r="C1230" s="146" t="n">
        <v>15421111</v>
      </c>
      <c r="D1230" s="146"/>
      <c r="E1230" s="82" t="str">
        <f aca="false">IF(B1230="","",IF(COUNTIFS('CARNET DE SOUDURE'!$L$7:$L$3006,B1230,'CARNET DE SOUDURE'!$M$7:$M$3006,"&lt;&gt;"&amp;C1230,'CARNET DE SOUDURE'!$M$7:$M$3006,"&lt;&gt;")+COUNTIFS('CARNET DE SOUDURE'!$O$7:$O$3006,B1230,'CARNET DE SOUDURE'!$P$7:$P$3006,"&lt;&gt;"&amp;C1230,'CARNET DE SOUDURE'!$P$7:$P$3006,"&lt;&gt;")&gt;0,"⚠ DIFFÉRENTE","OK"))</f>
        <v>OK</v>
      </c>
      <c r="F1230" s="147" t="n">
        <v>11.94</v>
      </c>
      <c r="G1230" s="80"/>
      <c r="H1230" s="83"/>
      <c r="I1230" s="148" t="str">
        <f aca="false">IF(B1230="","",IFERROR(INDEX('CARNET DE SOUDURE'!$B$7:$B$3006,MATCH(B1230,'CARNET DE SOUDURE'!$L$7:$L$3006,0)),IFERROR(INDEX('CARNET DE SOUDURE'!$B$7:$B$3006,MATCH(B1230,'CARNET DE SOUDURE'!$O$7:$O$3006,0)),"")))</f>
        <v>MFD-ISW → MFD-CPF</v>
      </c>
      <c r="J1230" s="82" t="str">
        <f aca="false">IF(B1230="","",IFERROR(INDEX('CARNET DE SOUDURE'!$E$7:$E$3006,MATCH(B1230,'CARNET DE SOUDURE'!$O$7:$O$3006,0)),""))</f>
        <v>JN°1832</v>
      </c>
      <c r="K1230" s="82" t="str">
        <f aca="false">IF(B1230="","",IFERROR(INDEX('CARNET DE SOUDURE'!$E$7:$E$3006,MATCH(B1230,'CARNET DE SOUDURE'!$L$7:$L$3006,0)),""))</f>
        <v>JN°1833</v>
      </c>
      <c r="L1230" s="82" t="n">
        <f aca="false">IF(B1230="","",IFERROR(INDEX('CARNET DE SOUDURE'!$D$7:$D$3006,MATCH(B1230,'CARNET DE SOUDURE'!$L$7:$L$3006,0)),IFERROR(INDEX('CARNET DE SOUDURE'!$D$7:$D$3006,MATCH(B1230,'CARNET DE SOUDURE'!$O$7:$O$3006,0)),"")))</f>
        <v>23</v>
      </c>
      <c r="M1230" s="82" t="str">
        <f aca="false">IF(B1230="","",IF(OR(J1230&lt;&gt;"",K1230&lt;&gt;""),"POSÉ EN LIGNE",IF(COUNTIF(BARDAGE!$C$1:$C$5000,B1230)&gt;0,"BARDÉ","EN STOCK")))</f>
        <v>POSÉ EN LIGNE</v>
      </c>
      <c r="N1230" s="80"/>
    </row>
    <row r="1231" customFormat="false" ht="15" hidden="false" customHeight="false" outlineLevel="0" collapsed="false">
      <c r="A1231" s="82" t="n">
        <f aca="false">IF(B1231="","",ROW()-6)</f>
        <v>1225</v>
      </c>
      <c r="B1231" s="145" t="n">
        <v>2096410</v>
      </c>
      <c r="C1231" s="146" t="n">
        <v>15421111</v>
      </c>
      <c r="D1231" s="146"/>
      <c r="E1231" s="82" t="str">
        <f aca="false">IF(B1231="","",IF(COUNTIFS('CARNET DE SOUDURE'!$L$7:$L$3006,B1231,'CARNET DE SOUDURE'!$M$7:$M$3006,"&lt;&gt;"&amp;C1231,'CARNET DE SOUDURE'!$M$7:$M$3006,"&lt;&gt;")+COUNTIFS('CARNET DE SOUDURE'!$O$7:$O$3006,B1231,'CARNET DE SOUDURE'!$P$7:$P$3006,"&lt;&gt;"&amp;C1231,'CARNET DE SOUDURE'!$P$7:$P$3006,"&lt;&gt;")&gt;0,"⚠ DIFFÉRENTE","OK"))</f>
        <v>OK</v>
      </c>
      <c r="F1231" s="147" t="n">
        <v>11.94</v>
      </c>
      <c r="G1231" s="80"/>
      <c r="H1231" s="83"/>
      <c r="I1231" s="148" t="str">
        <f aca="false">IF(B1231="","",IFERROR(INDEX('CARNET DE SOUDURE'!$B$7:$B$3006,MATCH(B1231,'CARNET DE SOUDURE'!$L$7:$L$3006,0)),IFERROR(INDEX('CARNET DE SOUDURE'!$B$7:$B$3006,MATCH(B1231,'CARNET DE SOUDURE'!$O$7:$O$3006,0)),"")))</f>
        <v>MFD-ISW → MFD-CPF</v>
      </c>
      <c r="J1231" s="82" t="str">
        <f aca="false">IF(B1231="","",IFERROR(INDEX('CARNET DE SOUDURE'!$E$7:$E$3006,MATCH(B1231,'CARNET DE SOUDURE'!$O$7:$O$3006,0)),""))</f>
        <v>JN°1833</v>
      </c>
      <c r="K1231" s="82" t="str">
        <f aca="false">IF(B1231="","",IFERROR(INDEX('CARNET DE SOUDURE'!$E$7:$E$3006,MATCH(B1231,'CARNET DE SOUDURE'!$L$7:$L$3006,0)),""))</f>
        <v>JN°1834</v>
      </c>
      <c r="L1231" s="82" t="n">
        <f aca="false">IF(B1231="","",IFERROR(INDEX('CARNET DE SOUDURE'!$D$7:$D$3006,MATCH(B1231,'CARNET DE SOUDURE'!$L$7:$L$3006,0)),IFERROR(INDEX('CARNET DE SOUDURE'!$D$7:$D$3006,MATCH(B1231,'CARNET DE SOUDURE'!$O$7:$O$3006,0)),"")))</f>
        <v>23</v>
      </c>
      <c r="M1231" s="82" t="str">
        <f aca="false">IF(B1231="","",IF(OR(J1231&lt;&gt;"",K1231&lt;&gt;""),"POSÉ EN LIGNE",IF(COUNTIF(BARDAGE!$C$1:$C$5000,B1231)&gt;0,"BARDÉ","EN STOCK")))</f>
        <v>POSÉ EN LIGNE</v>
      </c>
      <c r="N1231" s="80"/>
    </row>
    <row r="1232" customFormat="false" ht="15" hidden="false" customHeight="false" outlineLevel="0" collapsed="false">
      <c r="A1232" s="82" t="n">
        <f aca="false">IF(B1232="","",ROW()-6)</f>
        <v>1226</v>
      </c>
      <c r="B1232" s="145" t="n">
        <v>2091170</v>
      </c>
      <c r="C1232" s="146" t="n">
        <v>15421109</v>
      </c>
      <c r="D1232" s="146"/>
      <c r="E1232" s="82" t="str">
        <f aca="false">IF(B1232="","",IF(COUNTIFS('CARNET DE SOUDURE'!$L$7:$L$3006,B1232,'CARNET DE SOUDURE'!$M$7:$M$3006,"&lt;&gt;"&amp;C1232,'CARNET DE SOUDURE'!$M$7:$M$3006,"&lt;&gt;")+COUNTIFS('CARNET DE SOUDURE'!$O$7:$O$3006,B1232,'CARNET DE SOUDURE'!$P$7:$P$3006,"&lt;&gt;"&amp;C1232,'CARNET DE SOUDURE'!$P$7:$P$3006,"&lt;&gt;")&gt;0,"⚠ DIFFÉRENTE","OK"))</f>
        <v>OK</v>
      </c>
      <c r="F1232" s="147" t="n">
        <v>11.94</v>
      </c>
      <c r="G1232" s="80"/>
      <c r="H1232" s="83"/>
      <c r="I1232" s="148" t="str">
        <f aca="false">IF(B1232="","",IFERROR(INDEX('CARNET DE SOUDURE'!$B$7:$B$3006,MATCH(B1232,'CARNET DE SOUDURE'!$L$7:$L$3006,0)),IFERROR(INDEX('CARNET DE SOUDURE'!$B$7:$B$3006,MATCH(B1232,'CARNET DE SOUDURE'!$O$7:$O$3006,0)),"")))</f>
        <v>MFD-ISW → MFD-CPF</v>
      </c>
      <c r="J1232" s="82" t="str">
        <f aca="false">IF(B1232="","",IFERROR(INDEX('CARNET DE SOUDURE'!$E$7:$E$3006,MATCH(B1232,'CARNET DE SOUDURE'!$O$7:$O$3006,0)),""))</f>
        <v>JN°1834</v>
      </c>
      <c r="K1232" s="82" t="str">
        <f aca="false">IF(B1232="","",IFERROR(INDEX('CARNET DE SOUDURE'!$E$7:$E$3006,MATCH(B1232,'CARNET DE SOUDURE'!$L$7:$L$3006,0)),""))</f>
        <v>JN°1835</v>
      </c>
      <c r="L1232" s="82" t="n">
        <f aca="false">IF(B1232="","",IFERROR(INDEX('CARNET DE SOUDURE'!$D$7:$D$3006,MATCH(B1232,'CARNET DE SOUDURE'!$L$7:$L$3006,0)),IFERROR(INDEX('CARNET DE SOUDURE'!$D$7:$D$3006,MATCH(B1232,'CARNET DE SOUDURE'!$O$7:$O$3006,0)),"")))</f>
        <v>23</v>
      </c>
      <c r="M1232" s="82" t="str">
        <f aca="false">IF(B1232="","",IF(OR(J1232&lt;&gt;"",K1232&lt;&gt;""),"POSÉ EN LIGNE",IF(COUNTIF(BARDAGE!$C$1:$C$5000,B1232)&gt;0,"BARDÉ","EN STOCK")))</f>
        <v>POSÉ EN LIGNE</v>
      </c>
      <c r="N1232" s="80"/>
    </row>
    <row r="1233" customFormat="false" ht="15" hidden="false" customHeight="false" outlineLevel="0" collapsed="false">
      <c r="A1233" s="82" t="n">
        <f aca="false">IF(B1233="","",ROW()-6)</f>
        <v>1227</v>
      </c>
      <c r="B1233" s="145" t="n">
        <v>2084680</v>
      </c>
      <c r="C1233" s="146" t="n">
        <v>15421110</v>
      </c>
      <c r="D1233" s="146"/>
      <c r="E1233" s="82" t="str">
        <f aca="false">IF(B1233="","",IF(COUNTIFS('CARNET DE SOUDURE'!$L$7:$L$3006,B1233,'CARNET DE SOUDURE'!$M$7:$M$3006,"&lt;&gt;"&amp;C1233,'CARNET DE SOUDURE'!$M$7:$M$3006,"&lt;&gt;")+COUNTIFS('CARNET DE SOUDURE'!$O$7:$O$3006,B1233,'CARNET DE SOUDURE'!$P$7:$P$3006,"&lt;&gt;"&amp;C1233,'CARNET DE SOUDURE'!$P$7:$P$3006,"&lt;&gt;")&gt;0,"⚠ DIFFÉRENTE","OK"))</f>
        <v>OK</v>
      </c>
      <c r="F1233" s="147" t="n">
        <v>11.94</v>
      </c>
      <c r="G1233" s="80"/>
      <c r="H1233" s="83"/>
      <c r="I1233" s="148" t="str">
        <f aca="false">IF(B1233="","",IFERROR(INDEX('CARNET DE SOUDURE'!$B$7:$B$3006,MATCH(B1233,'CARNET DE SOUDURE'!$L$7:$L$3006,0)),IFERROR(INDEX('CARNET DE SOUDURE'!$B$7:$B$3006,MATCH(B1233,'CARNET DE SOUDURE'!$O$7:$O$3006,0)),"")))</f>
        <v>MFD-ISW → MFD-CPF</v>
      </c>
      <c r="J1233" s="82" t="str">
        <f aca="false">IF(B1233="","",IFERROR(INDEX('CARNET DE SOUDURE'!$E$7:$E$3006,MATCH(B1233,'CARNET DE SOUDURE'!$O$7:$O$3006,0)),""))</f>
        <v>JN°1835</v>
      </c>
      <c r="K1233" s="82" t="str">
        <f aca="false">IF(B1233="","",IFERROR(INDEX('CARNET DE SOUDURE'!$E$7:$E$3006,MATCH(B1233,'CARNET DE SOUDURE'!$L$7:$L$3006,0)),""))</f>
        <v>JN°1836</v>
      </c>
      <c r="L1233" s="82" t="n">
        <f aca="false">IF(B1233="","",IFERROR(INDEX('CARNET DE SOUDURE'!$D$7:$D$3006,MATCH(B1233,'CARNET DE SOUDURE'!$L$7:$L$3006,0)),IFERROR(INDEX('CARNET DE SOUDURE'!$D$7:$D$3006,MATCH(B1233,'CARNET DE SOUDURE'!$O$7:$O$3006,0)),"")))</f>
        <v>23</v>
      </c>
      <c r="M1233" s="82" t="str">
        <f aca="false">IF(B1233="","",IF(OR(J1233&lt;&gt;"",K1233&lt;&gt;""),"POSÉ EN LIGNE",IF(COUNTIF(BARDAGE!$C$1:$C$5000,B1233)&gt;0,"BARDÉ","EN STOCK")))</f>
        <v>POSÉ EN LIGNE</v>
      </c>
      <c r="N1233" s="80"/>
    </row>
    <row r="1234" customFormat="false" ht="15" hidden="false" customHeight="false" outlineLevel="0" collapsed="false">
      <c r="A1234" s="82" t="n">
        <f aca="false">IF(B1234="","",ROW()-6)</f>
        <v>1228</v>
      </c>
      <c r="B1234" s="145" t="n">
        <v>2083940</v>
      </c>
      <c r="C1234" s="146" t="n">
        <v>15421106</v>
      </c>
      <c r="D1234" s="146"/>
      <c r="E1234" s="82" t="str">
        <f aca="false">IF(B1234="","",IF(COUNTIFS('CARNET DE SOUDURE'!$L$7:$L$3006,B1234,'CARNET DE SOUDURE'!$M$7:$M$3006,"&lt;&gt;"&amp;C1234,'CARNET DE SOUDURE'!$M$7:$M$3006,"&lt;&gt;")+COUNTIFS('CARNET DE SOUDURE'!$O$7:$O$3006,B1234,'CARNET DE SOUDURE'!$P$7:$P$3006,"&lt;&gt;"&amp;C1234,'CARNET DE SOUDURE'!$P$7:$P$3006,"&lt;&gt;")&gt;0,"⚠ DIFFÉRENTE","OK"))</f>
        <v>OK</v>
      </c>
      <c r="F1234" s="147" t="n">
        <v>11.94</v>
      </c>
      <c r="G1234" s="80"/>
      <c r="H1234" s="83"/>
      <c r="I1234" s="148" t="str">
        <f aca="false">IF(B1234="","",IFERROR(INDEX('CARNET DE SOUDURE'!$B$7:$B$3006,MATCH(B1234,'CARNET DE SOUDURE'!$L$7:$L$3006,0)),IFERROR(INDEX('CARNET DE SOUDURE'!$B$7:$B$3006,MATCH(B1234,'CARNET DE SOUDURE'!$O$7:$O$3006,0)),"")))</f>
        <v>MFD-ISW → MFD-CPF</v>
      </c>
      <c r="J1234" s="82" t="str">
        <f aca="false">IF(B1234="","",IFERROR(INDEX('CARNET DE SOUDURE'!$E$7:$E$3006,MATCH(B1234,'CARNET DE SOUDURE'!$O$7:$O$3006,0)),""))</f>
        <v>JN°1836</v>
      </c>
      <c r="K1234" s="82" t="str">
        <f aca="false">IF(B1234="","",IFERROR(INDEX('CARNET DE SOUDURE'!$E$7:$E$3006,MATCH(B1234,'CARNET DE SOUDURE'!$L$7:$L$3006,0)),""))</f>
        <v>JN°1837</v>
      </c>
      <c r="L1234" s="82" t="n">
        <f aca="false">IF(B1234="","",IFERROR(INDEX('CARNET DE SOUDURE'!$D$7:$D$3006,MATCH(B1234,'CARNET DE SOUDURE'!$L$7:$L$3006,0)),IFERROR(INDEX('CARNET DE SOUDURE'!$D$7:$D$3006,MATCH(B1234,'CARNET DE SOUDURE'!$O$7:$O$3006,0)),"")))</f>
        <v>23</v>
      </c>
      <c r="M1234" s="82" t="str">
        <f aca="false">IF(B1234="","",IF(OR(J1234&lt;&gt;"",K1234&lt;&gt;""),"POSÉ EN LIGNE",IF(COUNTIF(BARDAGE!$C$1:$C$5000,B1234)&gt;0,"BARDÉ","EN STOCK")))</f>
        <v>POSÉ EN LIGNE</v>
      </c>
      <c r="N1234" s="80"/>
    </row>
    <row r="1235" customFormat="false" ht="15" hidden="false" customHeight="false" outlineLevel="0" collapsed="false">
      <c r="A1235" s="82" t="n">
        <f aca="false">IF(B1235="","",ROW()-6)</f>
        <v>1229</v>
      </c>
      <c r="B1235" s="145" t="n">
        <v>2086610</v>
      </c>
      <c r="C1235" s="146" t="n">
        <v>15421107</v>
      </c>
      <c r="D1235" s="146"/>
      <c r="E1235" s="82" t="str">
        <f aca="false">IF(B1235="","",IF(COUNTIFS('CARNET DE SOUDURE'!$L$7:$L$3006,B1235,'CARNET DE SOUDURE'!$M$7:$M$3006,"&lt;&gt;"&amp;C1235,'CARNET DE SOUDURE'!$M$7:$M$3006,"&lt;&gt;")+COUNTIFS('CARNET DE SOUDURE'!$O$7:$O$3006,B1235,'CARNET DE SOUDURE'!$P$7:$P$3006,"&lt;&gt;"&amp;C1235,'CARNET DE SOUDURE'!$P$7:$P$3006,"&lt;&gt;")&gt;0,"⚠ DIFFÉRENTE","OK"))</f>
        <v>OK</v>
      </c>
      <c r="F1235" s="147" t="n">
        <v>11.94</v>
      </c>
      <c r="G1235" s="80"/>
      <c r="H1235" s="83"/>
      <c r="I1235" s="148" t="str">
        <f aca="false">IF(B1235="","",IFERROR(INDEX('CARNET DE SOUDURE'!$B$7:$B$3006,MATCH(B1235,'CARNET DE SOUDURE'!$L$7:$L$3006,0)),IFERROR(INDEX('CARNET DE SOUDURE'!$B$7:$B$3006,MATCH(B1235,'CARNET DE SOUDURE'!$O$7:$O$3006,0)),"")))</f>
        <v>MFD-ISW → MFD-CPF</v>
      </c>
      <c r="J1235" s="82" t="str">
        <f aca="false">IF(B1235="","",IFERROR(INDEX('CARNET DE SOUDURE'!$E$7:$E$3006,MATCH(B1235,'CARNET DE SOUDURE'!$O$7:$O$3006,0)),""))</f>
        <v>JN°1837</v>
      </c>
      <c r="K1235" s="82" t="str">
        <f aca="false">IF(B1235="","",IFERROR(INDEX('CARNET DE SOUDURE'!$E$7:$E$3006,MATCH(B1235,'CARNET DE SOUDURE'!$L$7:$L$3006,0)),""))</f>
        <v>JN°1838</v>
      </c>
      <c r="L1235" s="82" t="n">
        <f aca="false">IF(B1235="","",IFERROR(INDEX('CARNET DE SOUDURE'!$D$7:$D$3006,MATCH(B1235,'CARNET DE SOUDURE'!$L$7:$L$3006,0)),IFERROR(INDEX('CARNET DE SOUDURE'!$D$7:$D$3006,MATCH(B1235,'CARNET DE SOUDURE'!$O$7:$O$3006,0)),"")))</f>
        <v>23</v>
      </c>
      <c r="M1235" s="82" t="str">
        <f aca="false">IF(B1235="","",IF(OR(J1235&lt;&gt;"",K1235&lt;&gt;""),"POSÉ EN LIGNE",IF(COUNTIF(BARDAGE!$C$1:$C$5000,B1235)&gt;0,"BARDÉ","EN STOCK")))</f>
        <v>POSÉ EN LIGNE</v>
      </c>
      <c r="N1235" s="80"/>
    </row>
    <row r="1236" customFormat="false" ht="15" hidden="false" customHeight="false" outlineLevel="0" collapsed="false">
      <c r="A1236" s="82" t="n">
        <f aca="false">IF(B1236="","",ROW()-6)</f>
        <v>1230</v>
      </c>
      <c r="B1236" s="145" t="n">
        <v>2081930</v>
      </c>
      <c r="C1236" s="146" t="n">
        <v>15421104</v>
      </c>
      <c r="D1236" s="146"/>
      <c r="E1236" s="82" t="str">
        <f aca="false">IF(B1236="","",IF(COUNTIFS('CARNET DE SOUDURE'!$L$7:$L$3006,B1236,'CARNET DE SOUDURE'!$M$7:$M$3006,"&lt;&gt;"&amp;C1236,'CARNET DE SOUDURE'!$M$7:$M$3006,"&lt;&gt;")+COUNTIFS('CARNET DE SOUDURE'!$O$7:$O$3006,B1236,'CARNET DE SOUDURE'!$P$7:$P$3006,"&lt;&gt;"&amp;C1236,'CARNET DE SOUDURE'!$P$7:$P$3006,"&lt;&gt;")&gt;0,"⚠ DIFFÉRENTE","OK"))</f>
        <v>OK</v>
      </c>
      <c r="F1236" s="147" t="n">
        <v>11.94</v>
      </c>
      <c r="G1236" s="80"/>
      <c r="H1236" s="83"/>
      <c r="I1236" s="148" t="str">
        <f aca="false">IF(B1236="","",IFERROR(INDEX('CARNET DE SOUDURE'!$B$7:$B$3006,MATCH(B1236,'CARNET DE SOUDURE'!$L$7:$L$3006,0)),IFERROR(INDEX('CARNET DE SOUDURE'!$B$7:$B$3006,MATCH(B1236,'CARNET DE SOUDURE'!$O$7:$O$3006,0)),"")))</f>
        <v>MFD-ISW → MFD-CPF</v>
      </c>
      <c r="J1236" s="82" t="str">
        <f aca="false">IF(B1236="","",IFERROR(INDEX('CARNET DE SOUDURE'!$E$7:$E$3006,MATCH(B1236,'CARNET DE SOUDURE'!$O$7:$O$3006,0)),""))</f>
        <v>JN°1839</v>
      </c>
      <c r="K1236" s="82" t="str">
        <f aca="false">IF(B1236="","",IFERROR(INDEX('CARNET DE SOUDURE'!$E$7:$E$3006,MATCH(B1236,'CARNET DE SOUDURE'!$L$7:$L$3006,0)),""))</f>
        <v>JN°1840</v>
      </c>
      <c r="L1236" s="82" t="n">
        <f aca="false">IF(B1236="","",IFERROR(INDEX('CARNET DE SOUDURE'!$D$7:$D$3006,MATCH(B1236,'CARNET DE SOUDURE'!$L$7:$L$3006,0)),IFERROR(INDEX('CARNET DE SOUDURE'!$D$7:$D$3006,MATCH(B1236,'CARNET DE SOUDURE'!$O$7:$O$3006,0)),"")))</f>
        <v>23</v>
      </c>
      <c r="M1236" s="82" t="str">
        <f aca="false">IF(B1236="","",IF(OR(J1236&lt;&gt;"",K1236&lt;&gt;""),"POSÉ EN LIGNE",IF(COUNTIF(BARDAGE!$C$1:$C$5000,B1236)&gt;0,"BARDÉ","EN STOCK")))</f>
        <v>POSÉ EN LIGNE</v>
      </c>
      <c r="N1236" s="80"/>
    </row>
    <row r="1237" customFormat="false" ht="15" hidden="false" customHeight="false" outlineLevel="0" collapsed="false">
      <c r="A1237" s="82" t="n">
        <f aca="false">IF(B1237="","",ROW()-6)</f>
        <v>1231</v>
      </c>
      <c r="B1237" s="145" t="n">
        <v>2083430</v>
      </c>
      <c r="C1237" s="146" t="n">
        <v>15421105</v>
      </c>
      <c r="D1237" s="146"/>
      <c r="E1237" s="82" t="str">
        <f aca="false">IF(B1237="","",IF(COUNTIFS('CARNET DE SOUDURE'!$L$7:$L$3006,B1237,'CARNET DE SOUDURE'!$M$7:$M$3006,"&lt;&gt;"&amp;C1237,'CARNET DE SOUDURE'!$M$7:$M$3006,"&lt;&gt;")+COUNTIFS('CARNET DE SOUDURE'!$O$7:$O$3006,B1237,'CARNET DE SOUDURE'!$P$7:$P$3006,"&lt;&gt;"&amp;C1237,'CARNET DE SOUDURE'!$P$7:$P$3006,"&lt;&gt;")&gt;0,"⚠ DIFFÉRENTE","OK"))</f>
        <v>OK</v>
      </c>
      <c r="F1237" s="147" t="n">
        <v>11.94</v>
      </c>
      <c r="G1237" s="80"/>
      <c r="H1237" s="83"/>
      <c r="I1237" s="148" t="str">
        <f aca="false">IF(B1237="","",IFERROR(INDEX('CARNET DE SOUDURE'!$B$7:$B$3006,MATCH(B1237,'CARNET DE SOUDURE'!$L$7:$L$3006,0)),IFERROR(INDEX('CARNET DE SOUDURE'!$B$7:$B$3006,MATCH(B1237,'CARNET DE SOUDURE'!$O$7:$O$3006,0)),"")))</f>
        <v>MFD-ISW → MFD-CPF</v>
      </c>
      <c r="J1237" s="82" t="str">
        <f aca="false">IF(B1237="","",IFERROR(INDEX('CARNET DE SOUDURE'!$E$7:$E$3006,MATCH(B1237,'CARNET DE SOUDURE'!$O$7:$O$3006,0)),""))</f>
        <v>JN°1840</v>
      </c>
      <c r="K1237" s="82" t="str">
        <f aca="false">IF(B1237="","",IFERROR(INDEX('CARNET DE SOUDURE'!$E$7:$E$3006,MATCH(B1237,'CARNET DE SOUDURE'!$L$7:$L$3006,0)),""))</f>
        <v>JN°1841</v>
      </c>
      <c r="L1237" s="82" t="n">
        <f aca="false">IF(B1237="","",IFERROR(INDEX('CARNET DE SOUDURE'!$D$7:$D$3006,MATCH(B1237,'CARNET DE SOUDURE'!$L$7:$L$3006,0)),IFERROR(INDEX('CARNET DE SOUDURE'!$D$7:$D$3006,MATCH(B1237,'CARNET DE SOUDURE'!$O$7:$O$3006,0)),"")))</f>
        <v>23</v>
      </c>
      <c r="M1237" s="82" t="str">
        <f aca="false">IF(B1237="","",IF(OR(J1237&lt;&gt;"",K1237&lt;&gt;""),"POSÉ EN LIGNE",IF(COUNTIF(BARDAGE!$C$1:$C$5000,B1237)&gt;0,"BARDÉ","EN STOCK")))</f>
        <v>POSÉ EN LIGNE</v>
      </c>
      <c r="N1237" s="80"/>
    </row>
    <row r="1238" customFormat="false" ht="15" hidden="false" customHeight="false" outlineLevel="0" collapsed="false">
      <c r="A1238" s="82" t="n">
        <f aca="false">IF(B1238="","",ROW()-6)</f>
        <v>1232</v>
      </c>
      <c r="B1238" s="145" t="n">
        <v>2093970</v>
      </c>
      <c r="C1238" s="146" t="n">
        <v>15421110</v>
      </c>
      <c r="D1238" s="146"/>
      <c r="E1238" s="82" t="str">
        <f aca="false">IF(B1238="","",IF(COUNTIFS('CARNET DE SOUDURE'!$L$7:$L$3006,B1238,'CARNET DE SOUDURE'!$M$7:$M$3006,"&lt;&gt;"&amp;C1238,'CARNET DE SOUDURE'!$M$7:$M$3006,"&lt;&gt;")+COUNTIFS('CARNET DE SOUDURE'!$O$7:$O$3006,B1238,'CARNET DE SOUDURE'!$P$7:$P$3006,"&lt;&gt;"&amp;C1238,'CARNET DE SOUDURE'!$P$7:$P$3006,"&lt;&gt;")&gt;0,"⚠ DIFFÉRENTE","OK"))</f>
        <v>OK</v>
      </c>
      <c r="F1238" s="147" t="n">
        <v>11.94</v>
      </c>
      <c r="G1238" s="80"/>
      <c r="H1238" s="83"/>
      <c r="I1238" s="148" t="str">
        <f aca="false">IF(B1238="","",IFERROR(INDEX('CARNET DE SOUDURE'!$B$7:$B$3006,MATCH(B1238,'CARNET DE SOUDURE'!$L$7:$L$3006,0)),IFERROR(INDEX('CARNET DE SOUDURE'!$B$7:$B$3006,MATCH(B1238,'CARNET DE SOUDURE'!$O$7:$O$3006,0)),"")))</f>
        <v>MFD-ISW → MFD-CPF</v>
      </c>
      <c r="J1238" s="82" t="str">
        <f aca="false">IF(B1238="","",IFERROR(INDEX('CARNET DE SOUDURE'!$E$7:$E$3006,MATCH(B1238,'CARNET DE SOUDURE'!$O$7:$O$3006,0)),""))</f>
        <v>JN°1841</v>
      </c>
      <c r="K1238" s="82" t="str">
        <f aca="false">IF(B1238="","",IFERROR(INDEX('CARNET DE SOUDURE'!$E$7:$E$3006,MATCH(B1238,'CARNET DE SOUDURE'!$L$7:$L$3006,0)),""))</f>
        <v>JN°1842R</v>
      </c>
      <c r="L1238" s="82" t="n">
        <f aca="false">IF(B1238="","",IFERROR(INDEX('CARNET DE SOUDURE'!$D$7:$D$3006,MATCH(B1238,'CARNET DE SOUDURE'!$L$7:$L$3006,0)),IFERROR(INDEX('CARNET DE SOUDURE'!$D$7:$D$3006,MATCH(B1238,'CARNET DE SOUDURE'!$O$7:$O$3006,0)),"")))</f>
        <v>23</v>
      </c>
      <c r="M1238" s="82" t="str">
        <f aca="false">IF(B1238="","",IF(OR(J1238&lt;&gt;"",K1238&lt;&gt;""),"POSÉ EN LIGNE",IF(COUNTIF(BARDAGE!$C$1:$C$5000,B1238)&gt;0,"BARDÉ","EN STOCK")))</f>
        <v>POSÉ EN LIGNE</v>
      </c>
      <c r="N1238" s="80"/>
    </row>
    <row r="1239" customFormat="false" ht="15" hidden="false" customHeight="false" outlineLevel="0" collapsed="false">
      <c r="A1239" s="82" t="n">
        <f aca="false">IF(B1239="","",ROW()-6)</f>
        <v>1233</v>
      </c>
      <c r="B1239" s="145" t="n">
        <v>9097370</v>
      </c>
      <c r="C1239" s="146" t="n">
        <v>15421112</v>
      </c>
      <c r="D1239" s="146"/>
      <c r="E1239" s="82" t="str">
        <f aca="false">IF(B1239="","",IF(COUNTIFS('CARNET DE SOUDURE'!$L$7:$L$3006,B1239,'CARNET DE SOUDURE'!$M$7:$M$3006,"&lt;&gt;"&amp;C1239,'CARNET DE SOUDURE'!$M$7:$M$3006,"&lt;&gt;")+COUNTIFS('CARNET DE SOUDURE'!$O$7:$O$3006,B1239,'CARNET DE SOUDURE'!$P$7:$P$3006,"&lt;&gt;"&amp;C1239,'CARNET DE SOUDURE'!$P$7:$P$3006,"&lt;&gt;")&gt;0,"⚠ DIFFÉRENTE","OK"))</f>
        <v>OK</v>
      </c>
      <c r="F1239" s="147" t="n">
        <v>11.94</v>
      </c>
      <c r="G1239" s="80"/>
      <c r="H1239" s="83"/>
      <c r="I1239" s="148" t="str">
        <f aca="false">IF(B1239="","",IFERROR(INDEX('CARNET DE SOUDURE'!$B$7:$B$3006,MATCH(B1239,'CARNET DE SOUDURE'!$L$7:$L$3006,0)),IFERROR(INDEX('CARNET DE SOUDURE'!$B$7:$B$3006,MATCH(B1239,'CARNET DE SOUDURE'!$O$7:$O$3006,0)),"")))</f>
        <v>MFD-ISW → MFD-CPF</v>
      </c>
      <c r="J1239" s="82" t="str">
        <f aca="false">IF(B1239="","",IFERROR(INDEX('CARNET DE SOUDURE'!$E$7:$E$3006,MATCH(B1239,'CARNET DE SOUDURE'!$O$7:$O$3006,0)),""))</f>
        <v>JN°1842R</v>
      </c>
      <c r="K1239" s="82" t="str">
        <f aca="false">IF(B1239="","",IFERROR(INDEX('CARNET DE SOUDURE'!$E$7:$E$3006,MATCH(B1239,'CARNET DE SOUDURE'!$L$7:$L$3006,0)),""))</f>
        <v>JN°1843</v>
      </c>
      <c r="L1239" s="82" t="n">
        <f aca="false">IF(B1239="","",IFERROR(INDEX('CARNET DE SOUDURE'!$D$7:$D$3006,MATCH(B1239,'CARNET DE SOUDURE'!$L$7:$L$3006,0)),IFERROR(INDEX('CARNET DE SOUDURE'!$D$7:$D$3006,MATCH(B1239,'CARNET DE SOUDURE'!$O$7:$O$3006,0)),"")))</f>
        <v>23</v>
      </c>
      <c r="M1239" s="82" t="str">
        <f aca="false">IF(B1239="","",IF(OR(J1239&lt;&gt;"",K1239&lt;&gt;""),"POSÉ EN LIGNE",IF(COUNTIF(BARDAGE!$C$1:$C$5000,B1239)&gt;0,"BARDÉ","EN STOCK")))</f>
        <v>POSÉ EN LIGNE</v>
      </c>
      <c r="N1239" s="80"/>
    </row>
    <row r="1240" customFormat="false" ht="15" hidden="false" customHeight="false" outlineLevel="0" collapsed="false">
      <c r="A1240" s="82" t="n">
        <f aca="false">IF(B1240="","",ROW()-6)</f>
        <v>1234</v>
      </c>
      <c r="B1240" s="145" t="n">
        <v>2084170</v>
      </c>
      <c r="C1240" s="146" t="n">
        <v>15421106</v>
      </c>
      <c r="D1240" s="146"/>
      <c r="E1240" s="82" t="str">
        <f aca="false">IF(B1240="","",IF(COUNTIFS('CARNET DE SOUDURE'!$L$7:$L$3006,B1240,'CARNET DE SOUDURE'!$M$7:$M$3006,"&lt;&gt;"&amp;C1240,'CARNET DE SOUDURE'!$M$7:$M$3006,"&lt;&gt;")+COUNTIFS('CARNET DE SOUDURE'!$O$7:$O$3006,B1240,'CARNET DE SOUDURE'!$P$7:$P$3006,"&lt;&gt;"&amp;C1240,'CARNET DE SOUDURE'!$P$7:$P$3006,"&lt;&gt;")&gt;0,"⚠ DIFFÉRENTE","OK"))</f>
        <v>OK</v>
      </c>
      <c r="F1240" s="147" t="n">
        <v>11.94</v>
      </c>
      <c r="G1240" s="80"/>
      <c r="H1240" s="83"/>
      <c r="I1240" s="148" t="str">
        <f aca="false">IF(B1240="","",IFERROR(INDEX('CARNET DE SOUDURE'!$B$7:$B$3006,MATCH(B1240,'CARNET DE SOUDURE'!$L$7:$L$3006,0)),IFERROR(INDEX('CARNET DE SOUDURE'!$B$7:$B$3006,MATCH(B1240,'CARNET DE SOUDURE'!$O$7:$O$3006,0)),"")))</f>
        <v>MFD-ISW → MFD-CPF</v>
      </c>
      <c r="J1240" s="82" t="str">
        <f aca="false">IF(B1240="","",IFERROR(INDEX('CARNET DE SOUDURE'!$E$7:$E$3006,MATCH(B1240,'CARNET DE SOUDURE'!$O$7:$O$3006,0)),""))</f>
        <v>JN°1843</v>
      </c>
      <c r="K1240" s="82" t="str">
        <f aca="false">IF(B1240="","",IFERROR(INDEX('CARNET DE SOUDURE'!$E$7:$E$3006,MATCH(B1240,'CARNET DE SOUDURE'!$L$7:$L$3006,0)),""))</f>
        <v>JN°1844R</v>
      </c>
      <c r="L1240" s="82" t="n">
        <f aca="false">IF(B1240="","",IFERROR(INDEX('CARNET DE SOUDURE'!$D$7:$D$3006,MATCH(B1240,'CARNET DE SOUDURE'!$L$7:$L$3006,0)),IFERROR(INDEX('CARNET DE SOUDURE'!$D$7:$D$3006,MATCH(B1240,'CARNET DE SOUDURE'!$O$7:$O$3006,0)),"")))</f>
        <v>23</v>
      </c>
      <c r="M1240" s="82" t="str">
        <f aca="false">IF(B1240="","",IF(OR(J1240&lt;&gt;"",K1240&lt;&gt;""),"POSÉ EN LIGNE",IF(COUNTIF(BARDAGE!$C$1:$C$5000,B1240)&gt;0,"BARDÉ","EN STOCK")))</f>
        <v>POSÉ EN LIGNE</v>
      </c>
      <c r="N1240" s="80"/>
    </row>
    <row r="1241" customFormat="false" ht="15" hidden="false" customHeight="false" outlineLevel="0" collapsed="false">
      <c r="A1241" s="82" t="n">
        <f aca="false">IF(B1241="","",ROW()-6)</f>
        <v>1235</v>
      </c>
      <c r="B1241" s="145" t="n">
        <v>2081700</v>
      </c>
      <c r="C1241" s="146" t="n">
        <v>15421103</v>
      </c>
      <c r="D1241" s="146"/>
      <c r="E1241" s="82" t="str">
        <f aca="false">IF(B1241="","",IF(COUNTIFS('CARNET DE SOUDURE'!$L$7:$L$3006,B1241,'CARNET DE SOUDURE'!$M$7:$M$3006,"&lt;&gt;"&amp;C1241,'CARNET DE SOUDURE'!$M$7:$M$3006,"&lt;&gt;")+COUNTIFS('CARNET DE SOUDURE'!$O$7:$O$3006,B1241,'CARNET DE SOUDURE'!$P$7:$P$3006,"&lt;&gt;"&amp;C1241,'CARNET DE SOUDURE'!$P$7:$P$3006,"&lt;&gt;")&gt;0,"⚠ DIFFÉRENTE","OK"))</f>
        <v>OK</v>
      </c>
      <c r="F1241" s="147" t="n">
        <v>11.94</v>
      </c>
      <c r="G1241" s="80"/>
      <c r="H1241" s="83"/>
      <c r="I1241" s="148" t="str">
        <f aca="false">IF(B1241="","",IFERROR(INDEX('CARNET DE SOUDURE'!$B$7:$B$3006,MATCH(B1241,'CARNET DE SOUDURE'!$L$7:$L$3006,0)),IFERROR(INDEX('CARNET DE SOUDURE'!$B$7:$B$3006,MATCH(B1241,'CARNET DE SOUDURE'!$O$7:$O$3006,0)),"")))</f>
        <v>MFD-ISW → MFD-CPF</v>
      </c>
      <c r="J1241" s="82" t="str">
        <f aca="false">IF(B1241="","",IFERROR(INDEX('CARNET DE SOUDURE'!$E$7:$E$3006,MATCH(B1241,'CARNET DE SOUDURE'!$O$7:$O$3006,0)),""))</f>
        <v>JN°1844R</v>
      </c>
      <c r="K1241" s="82" t="str">
        <f aca="false">IF(B1241="","",IFERROR(INDEX('CARNET DE SOUDURE'!$E$7:$E$3006,MATCH(B1241,'CARNET DE SOUDURE'!$L$7:$L$3006,0)),""))</f>
        <v>JN°1845</v>
      </c>
      <c r="L1241" s="82" t="n">
        <f aca="false">IF(B1241="","",IFERROR(INDEX('CARNET DE SOUDURE'!$D$7:$D$3006,MATCH(B1241,'CARNET DE SOUDURE'!$L$7:$L$3006,0)),IFERROR(INDEX('CARNET DE SOUDURE'!$D$7:$D$3006,MATCH(B1241,'CARNET DE SOUDURE'!$O$7:$O$3006,0)),"")))</f>
        <v>23</v>
      </c>
      <c r="M1241" s="82" t="str">
        <f aca="false">IF(B1241="","",IF(OR(J1241&lt;&gt;"",K1241&lt;&gt;""),"POSÉ EN LIGNE",IF(COUNTIF(BARDAGE!$C$1:$C$5000,B1241)&gt;0,"BARDÉ","EN STOCK")))</f>
        <v>POSÉ EN LIGNE</v>
      </c>
      <c r="N1241" s="80"/>
    </row>
    <row r="1242" customFormat="false" ht="15" hidden="false" customHeight="false" outlineLevel="0" collapsed="false">
      <c r="A1242" s="82" t="n">
        <f aca="false">IF(B1242="","",ROW()-6)</f>
        <v>1236</v>
      </c>
      <c r="B1242" s="145" t="n">
        <v>2088970</v>
      </c>
      <c r="C1242" s="146" t="n">
        <v>15421108</v>
      </c>
      <c r="D1242" s="146"/>
      <c r="E1242" s="82" t="str">
        <f aca="false">IF(B1242="","",IF(COUNTIFS('CARNET DE SOUDURE'!$L$7:$L$3006,B1242,'CARNET DE SOUDURE'!$M$7:$M$3006,"&lt;&gt;"&amp;C1242,'CARNET DE SOUDURE'!$M$7:$M$3006,"&lt;&gt;")+COUNTIFS('CARNET DE SOUDURE'!$O$7:$O$3006,B1242,'CARNET DE SOUDURE'!$P$7:$P$3006,"&lt;&gt;"&amp;C1242,'CARNET DE SOUDURE'!$P$7:$P$3006,"&lt;&gt;")&gt;0,"⚠ DIFFÉRENTE","OK"))</f>
        <v>OK</v>
      </c>
      <c r="F1242" s="147" t="n">
        <v>11.94</v>
      </c>
      <c r="G1242" s="80"/>
      <c r="H1242" s="83"/>
      <c r="I1242" s="148" t="str">
        <f aca="false">IF(B1242="","",IFERROR(INDEX('CARNET DE SOUDURE'!$B$7:$B$3006,MATCH(B1242,'CARNET DE SOUDURE'!$L$7:$L$3006,0)),IFERROR(INDEX('CARNET DE SOUDURE'!$B$7:$B$3006,MATCH(B1242,'CARNET DE SOUDURE'!$O$7:$O$3006,0)),"")))</f>
        <v>MFD-ISW → MFD-CPF</v>
      </c>
      <c r="J1242" s="82" t="str">
        <f aca="false">IF(B1242="","",IFERROR(INDEX('CARNET DE SOUDURE'!$E$7:$E$3006,MATCH(B1242,'CARNET DE SOUDURE'!$O$7:$O$3006,0)),""))</f>
        <v>JN°1862</v>
      </c>
      <c r="K1242" s="82" t="str">
        <f aca="false">IF(B1242="","",IFERROR(INDEX('CARNET DE SOUDURE'!$E$7:$E$3006,MATCH(B1242,'CARNET DE SOUDURE'!$L$7:$L$3006,0)),""))</f>
        <v>JN°1863</v>
      </c>
      <c r="L1242" s="82" t="n">
        <f aca="false">IF(B1242="","",IFERROR(INDEX('CARNET DE SOUDURE'!$D$7:$D$3006,MATCH(B1242,'CARNET DE SOUDURE'!$L$7:$L$3006,0)),IFERROR(INDEX('CARNET DE SOUDURE'!$D$7:$D$3006,MATCH(B1242,'CARNET DE SOUDURE'!$O$7:$O$3006,0)),"")))</f>
        <v>23</v>
      </c>
      <c r="M1242" s="82" t="str">
        <f aca="false">IF(B1242="","",IF(OR(J1242&lt;&gt;"",K1242&lt;&gt;""),"POSÉ EN LIGNE",IF(COUNTIF(BARDAGE!$C$1:$C$5000,B1242)&gt;0,"BARDÉ","EN STOCK")))</f>
        <v>POSÉ EN LIGNE</v>
      </c>
      <c r="N1242" s="80"/>
    </row>
    <row r="1243" customFormat="false" ht="15" hidden="false" customHeight="false" outlineLevel="0" collapsed="false">
      <c r="A1243" s="82" t="n">
        <f aca="false">IF(B1243="","",ROW()-6)</f>
        <v>1237</v>
      </c>
      <c r="B1243" s="145" t="n">
        <v>2082900</v>
      </c>
      <c r="C1243" s="146" t="n">
        <v>15421105</v>
      </c>
      <c r="D1243" s="146"/>
      <c r="E1243" s="82" t="str">
        <f aca="false">IF(B1243="","",IF(COUNTIFS('CARNET DE SOUDURE'!$L$7:$L$3006,B1243,'CARNET DE SOUDURE'!$M$7:$M$3006,"&lt;&gt;"&amp;C1243,'CARNET DE SOUDURE'!$M$7:$M$3006,"&lt;&gt;")+COUNTIFS('CARNET DE SOUDURE'!$O$7:$O$3006,B1243,'CARNET DE SOUDURE'!$P$7:$P$3006,"&lt;&gt;"&amp;C1243,'CARNET DE SOUDURE'!$P$7:$P$3006,"&lt;&gt;")&gt;0,"⚠ DIFFÉRENTE","OK"))</f>
        <v>OK</v>
      </c>
      <c r="F1243" s="147" t="n">
        <v>11.94</v>
      </c>
      <c r="G1243" s="80"/>
      <c r="H1243" s="83"/>
      <c r="I1243" s="148" t="str">
        <f aca="false">IF(B1243="","",IFERROR(INDEX('CARNET DE SOUDURE'!$B$7:$B$3006,MATCH(B1243,'CARNET DE SOUDURE'!$L$7:$L$3006,0)),IFERROR(INDEX('CARNET DE SOUDURE'!$B$7:$B$3006,MATCH(B1243,'CARNET DE SOUDURE'!$O$7:$O$3006,0)),"")))</f>
        <v>MFD-ISW → MFD-CPF</v>
      </c>
      <c r="J1243" s="82" t="str">
        <f aca="false">IF(B1243="","",IFERROR(INDEX('CARNET DE SOUDURE'!$E$7:$E$3006,MATCH(B1243,'CARNET DE SOUDURE'!$O$7:$O$3006,0)),""))</f>
        <v>JN°1863</v>
      </c>
      <c r="K1243" s="82" t="str">
        <f aca="false">IF(B1243="","",IFERROR(INDEX('CARNET DE SOUDURE'!$E$7:$E$3006,MATCH(B1243,'CARNET DE SOUDURE'!$L$7:$L$3006,0)),""))</f>
        <v>JN°1864</v>
      </c>
      <c r="L1243" s="82" t="n">
        <f aca="false">IF(B1243="","",IFERROR(INDEX('CARNET DE SOUDURE'!$D$7:$D$3006,MATCH(B1243,'CARNET DE SOUDURE'!$L$7:$L$3006,0)),IFERROR(INDEX('CARNET DE SOUDURE'!$D$7:$D$3006,MATCH(B1243,'CARNET DE SOUDURE'!$O$7:$O$3006,0)),"")))</f>
        <v>23</v>
      </c>
      <c r="M1243" s="82" t="str">
        <f aca="false">IF(B1243="","",IF(OR(J1243&lt;&gt;"",K1243&lt;&gt;""),"POSÉ EN LIGNE",IF(COUNTIF(BARDAGE!$C$1:$C$5000,B1243)&gt;0,"BARDÉ","EN STOCK")))</f>
        <v>POSÉ EN LIGNE</v>
      </c>
      <c r="N1243" s="80"/>
    </row>
    <row r="1244" customFormat="false" ht="15" hidden="false" customHeight="false" outlineLevel="0" collapsed="false">
      <c r="A1244" s="82" t="n">
        <f aca="false">IF(B1244="","",ROW()-6)</f>
        <v>1238</v>
      </c>
      <c r="B1244" s="145" t="n">
        <v>2096750</v>
      </c>
      <c r="C1244" s="146" t="n">
        <v>15421111</v>
      </c>
      <c r="D1244" s="146"/>
      <c r="E1244" s="82" t="str">
        <f aca="false">IF(B1244="","",IF(COUNTIFS('CARNET DE SOUDURE'!$L$7:$L$3006,B1244,'CARNET DE SOUDURE'!$M$7:$M$3006,"&lt;&gt;"&amp;C1244,'CARNET DE SOUDURE'!$M$7:$M$3006,"&lt;&gt;")+COUNTIFS('CARNET DE SOUDURE'!$O$7:$O$3006,B1244,'CARNET DE SOUDURE'!$P$7:$P$3006,"&lt;&gt;"&amp;C1244,'CARNET DE SOUDURE'!$P$7:$P$3006,"&lt;&gt;")&gt;0,"⚠ DIFFÉRENTE","OK"))</f>
        <v>OK</v>
      </c>
      <c r="F1244" s="147" t="n">
        <v>11.94</v>
      </c>
      <c r="G1244" s="80"/>
      <c r="H1244" s="83"/>
      <c r="I1244" s="148" t="str">
        <f aca="false">IF(B1244="","",IFERROR(INDEX('CARNET DE SOUDURE'!$B$7:$B$3006,MATCH(B1244,'CARNET DE SOUDURE'!$L$7:$L$3006,0)),IFERROR(INDEX('CARNET DE SOUDURE'!$B$7:$B$3006,MATCH(B1244,'CARNET DE SOUDURE'!$O$7:$O$3006,0)),"")))</f>
        <v>MFD-ISW → MFD-CPF</v>
      </c>
      <c r="J1244" s="82" t="str">
        <f aca="false">IF(B1244="","",IFERROR(INDEX('CARNET DE SOUDURE'!$E$7:$E$3006,MATCH(B1244,'CARNET DE SOUDURE'!$O$7:$O$3006,0)),""))</f>
        <v>JN°1864</v>
      </c>
      <c r="K1244" s="82" t="str">
        <f aca="false">IF(B1244="","",IFERROR(INDEX('CARNET DE SOUDURE'!$E$7:$E$3006,MATCH(B1244,'CARNET DE SOUDURE'!$L$7:$L$3006,0)),""))</f>
        <v>JN°1865</v>
      </c>
      <c r="L1244" s="82" t="n">
        <f aca="false">IF(B1244="","",IFERROR(INDEX('CARNET DE SOUDURE'!$D$7:$D$3006,MATCH(B1244,'CARNET DE SOUDURE'!$L$7:$L$3006,0)),IFERROR(INDEX('CARNET DE SOUDURE'!$D$7:$D$3006,MATCH(B1244,'CARNET DE SOUDURE'!$O$7:$O$3006,0)),"")))</f>
        <v>23</v>
      </c>
      <c r="M1244" s="82" t="str">
        <f aca="false">IF(B1244="","",IF(OR(J1244&lt;&gt;"",K1244&lt;&gt;""),"POSÉ EN LIGNE",IF(COUNTIF(BARDAGE!$C$1:$C$5000,B1244)&gt;0,"BARDÉ","EN STOCK")))</f>
        <v>POSÉ EN LIGNE</v>
      </c>
      <c r="N1244" s="80"/>
    </row>
    <row r="1245" customFormat="false" ht="15" hidden="false" customHeight="false" outlineLevel="0" collapsed="false">
      <c r="A1245" s="82" t="n">
        <f aca="false">IF(B1245="","",ROW()-6)</f>
        <v>1239</v>
      </c>
      <c r="B1245" s="145" t="n">
        <v>2094280</v>
      </c>
      <c r="C1245" s="146" t="n">
        <v>15421111</v>
      </c>
      <c r="D1245" s="146"/>
      <c r="E1245" s="82" t="str">
        <f aca="false">IF(B1245="","",IF(COUNTIFS('CARNET DE SOUDURE'!$L$7:$L$3006,B1245,'CARNET DE SOUDURE'!$M$7:$M$3006,"&lt;&gt;"&amp;C1245,'CARNET DE SOUDURE'!$M$7:$M$3006,"&lt;&gt;")+COUNTIFS('CARNET DE SOUDURE'!$O$7:$O$3006,B1245,'CARNET DE SOUDURE'!$P$7:$P$3006,"&lt;&gt;"&amp;C1245,'CARNET DE SOUDURE'!$P$7:$P$3006,"&lt;&gt;")&gt;0,"⚠ DIFFÉRENTE","OK"))</f>
        <v>OK</v>
      </c>
      <c r="F1245" s="147" t="n">
        <v>11.94</v>
      </c>
      <c r="G1245" s="80"/>
      <c r="H1245" s="83"/>
      <c r="I1245" s="148" t="str">
        <f aca="false">IF(B1245="","",IFERROR(INDEX('CARNET DE SOUDURE'!$B$7:$B$3006,MATCH(B1245,'CARNET DE SOUDURE'!$L$7:$L$3006,0)),IFERROR(INDEX('CARNET DE SOUDURE'!$B$7:$B$3006,MATCH(B1245,'CARNET DE SOUDURE'!$O$7:$O$3006,0)),"")))</f>
        <v>MFD-ISW → MFD-CPF</v>
      </c>
      <c r="J1245" s="82" t="str">
        <f aca="false">IF(B1245="","",IFERROR(INDEX('CARNET DE SOUDURE'!$E$7:$E$3006,MATCH(B1245,'CARNET DE SOUDURE'!$O$7:$O$3006,0)),""))</f>
        <v>JN°1865</v>
      </c>
      <c r="K1245" s="82" t="str">
        <f aca="false">IF(B1245="","",IFERROR(INDEX('CARNET DE SOUDURE'!$E$7:$E$3006,MATCH(B1245,'CARNET DE SOUDURE'!$L$7:$L$3006,0)),""))</f>
        <v>JN°1866</v>
      </c>
      <c r="L1245" s="82" t="n">
        <f aca="false">IF(B1245="","",IFERROR(INDEX('CARNET DE SOUDURE'!$D$7:$D$3006,MATCH(B1245,'CARNET DE SOUDURE'!$L$7:$L$3006,0)),IFERROR(INDEX('CARNET DE SOUDURE'!$D$7:$D$3006,MATCH(B1245,'CARNET DE SOUDURE'!$O$7:$O$3006,0)),"")))</f>
        <v>23</v>
      </c>
      <c r="M1245" s="82" t="str">
        <f aca="false">IF(B1245="","",IF(OR(J1245&lt;&gt;"",K1245&lt;&gt;""),"POSÉ EN LIGNE",IF(COUNTIF(BARDAGE!$C$1:$C$5000,B1245)&gt;0,"BARDÉ","EN STOCK")))</f>
        <v>POSÉ EN LIGNE</v>
      </c>
      <c r="N1245" s="80"/>
    </row>
    <row r="1246" customFormat="false" ht="15" hidden="false" customHeight="false" outlineLevel="0" collapsed="false">
      <c r="A1246" s="82" t="n">
        <f aca="false">IF(B1246="","",ROW()-6)</f>
        <v>1240</v>
      </c>
      <c r="B1246" s="145" t="n">
        <v>2093000</v>
      </c>
      <c r="C1246" s="146" t="n">
        <v>15421110</v>
      </c>
      <c r="D1246" s="146"/>
      <c r="E1246" s="82" t="str">
        <f aca="false">IF(B1246="","",IF(COUNTIFS('CARNET DE SOUDURE'!$L$7:$L$3006,B1246,'CARNET DE SOUDURE'!$M$7:$M$3006,"&lt;&gt;"&amp;C1246,'CARNET DE SOUDURE'!$M$7:$M$3006,"&lt;&gt;")+COUNTIFS('CARNET DE SOUDURE'!$O$7:$O$3006,B1246,'CARNET DE SOUDURE'!$P$7:$P$3006,"&lt;&gt;"&amp;C1246,'CARNET DE SOUDURE'!$P$7:$P$3006,"&lt;&gt;")&gt;0,"⚠ DIFFÉRENTE","OK"))</f>
        <v>OK</v>
      </c>
      <c r="F1246" s="147" t="n">
        <v>11.94</v>
      </c>
      <c r="G1246" s="80"/>
      <c r="H1246" s="83"/>
      <c r="I1246" s="148" t="str">
        <f aca="false">IF(B1246="","",IFERROR(INDEX('CARNET DE SOUDURE'!$B$7:$B$3006,MATCH(B1246,'CARNET DE SOUDURE'!$L$7:$L$3006,0)),IFERROR(INDEX('CARNET DE SOUDURE'!$B$7:$B$3006,MATCH(B1246,'CARNET DE SOUDURE'!$O$7:$O$3006,0)),"")))</f>
        <v>MFD-ISW → MFD-CPF</v>
      </c>
      <c r="J1246" s="82" t="str">
        <f aca="false">IF(B1246="","",IFERROR(INDEX('CARNET DE SOUDURE'!$E$7:$E$3006,MATCH(B1246,'CARNET DE SOUDURE'!$O$7:$O$3006,0)),""))</f>
        <v>JN°1866</v>
      </c>
      <c r="K1246" s="82" t="str">
        <f aca="false">IF(B1246="","",IFERROR(INDEX('CARNET DE SOUDURE'!$E$7:$E$3006,MATCH(B1246,'CARNET DE SOUDURE'!$L$7:$L$3006,0)),""))</f>
        <v>JN°1867</v>
      </c>
      <c r="L1246" s="82" t="n">
        <f aca="false">IF(B1246="","",IFERROR(INDEX('CARNET DE SOUDURE'!$D$7:$D$3006,MATCH(B1246,'CARNET DE SOUDURE'!$L$7:$L$3006,0)),IFERROR(INDEX('CARNET DE SOUDURE'!$D$7:$D$3006,MATCH(B1246,'CARNET DE SOUDURE'!$O$7:$O$3006,0)),"")))</f>
        <v>23</v>
      </c>
      <c r="M1246" s="82" t="str">
        <f aca="false">IF(B1246="","",IF(OR(J1246&lt;&gt;"",K1246&lt;&gt;""),"POSÉ EN LIGNE",IF(COUNTIF(BARDAGE!$C$1:$C$5000,B1246)&gt;0,"BARDÉ","EN STOCK")))</f>
        <v>POSÉ EN LIGNE</v>
      </c>
      <c r="N1246" s="80"/>
    </row>
    <row r="1247" customFormat="false" ht="15" hidden="false" customHeight="false" outlineLevel="0" collapsed="false">
      <c r="A1247" s="82" t="n">
        <f aca="false">IF(B1247="","",ROW()-6)</f>
        <v>1241</v>
      </c>
      <c r="B1247" s="145" t="n">
        <v>2083300</v>
      </c>
      <c r="C1247" s="146" t="n">
        <v>15421105</v>
      </c>
      <c r="D1247" s="146"/>
      <c r="E1247" s="82" t="str">
        <f aca="false">IF(B1247="","",IF(COUNTIFS('CARNET DE SOUDURE'!$L$7:$L$3006,B1247,'CARNET DE SOUDURE'!$M$7:$M$3006,"&lt;&gt;"&amp;C1247,'CARNET DE SOUDURE'!$M$7:$M$3006,"&lt;&gt;")+COUNTIFS('CARNET DE SOUDURE'!$O$7:$O$3006,B1247,'CARNET DE SOUDURE'!$P$7:$P$3006,"&lt;&gt;"&amp;C1247,'CARNET DE SOUDURE'!$P$7:$P$3006,"&lt;&gt;")&gt;0,"⚠ DIFFÉRENTE","OK"))</f>
        <v>OK</v>
      </c>
      <c r="F1247" s="147" t="n">
        <v>11.94</v>
      </c>
      <c r="G1247" s="80"/>
      <c r="H1247" s="83"/>
      <c r="I1247" s="148" t="str">
        <f aca="false">IF(B1247="","",IFERROR(INDEX('CARNET DE SOUDURE'!$B$7:$B$3006,MATCH(B1247,'CARNET DE SOUDURE'!$L$7:$L$3006,0)),IFERROR(INDEX('CARNET DE SOUDURE'!$B$7:$B$3006,MATCH(B1247,'CARNET DE SOUDURE'!$O$7:$O$3006,0)),"")))</f>
        <v>MFD-ISW → MFD-CPF</v>
      </c>
      <c r="J1247" s="82" t="str">
        <f aca="false">IF(B1247="","",IFERROR(INDEX('CARNET DE SOUDURE'!$E$7:$E$3006,MATCH(B1247,'CARNET DE SOUDURE'!$O$7:$O$3006,0)),""))</f>
        <v>JN°1867</v>
      </c>
      <c r="K1247" s="82" t="str">
        <f aca="false">IF(B1247="","",IFERROR(INDEX('CARNET DE SOUDURE'!$E$7:$E$3006,MATCH(B1247,'CARNET DE SOUDURE'!$L$7:$L$3006,0)),""))</f>
        <v>JN°1868</v>
      </c>
      <c r="L1247" s="82" t="n">
        <f aca="false">IF(B1247="","",IFERROR(INDEX('CARNET DE SOUDURE'!$D$7:$D$3006,MATCH(B1247,'CARNET DE SOUDURE'!$L$7:$L$3006,0)),IFERROR(INDEX('CARNET DE SOUDURE'!$D$7:$D$3006,MATCH(B1247,'CARNET DE SOUDURE'!$O$7:$O$3006,0)),"")))</f>
        <v>23</v>
      </c>
      <c r="M1247" s="82" t="str">
        <f aca="false">IF(B1247="","",IF(OR(J1247&lt;&gt;"",K1247&lt;&gt;""),"POSÉ EN LIGNE",IF(COUNTIF(BARDAGE!$C$1:$C$5000,B1247)&gt;0,"BARDÉ","EN STOCK")))</f>
        <v>POSÉ EN LIGNE</v>
      </c>
      <c r="N1247" s="80"/>
    </row>
    <row r="1248" customFormat="false" ht="15" hidden="false" customHeight="false" outlineLevel="0" collapsed="false">
      <c r="A1248" s="82" t="n">
        <f aca="false">IF(B1248="","",ROW()-6)</f>
        <v>1242</v>
      </c>
      <c r="B1248" s="145" t="n">
        <v>2081180</v>
      </c>
      <c r="C1248" s="146" t="n">
        <v>15421103</v>
      </c>
      <c r="D1248" s="146"/>
      <c r="E1248" s="82" t="str">
        <f aca="false">IF(B1248="","",IF(COUNTIFS('CARNET DE SOUDURE'!$L$7:$L$3006,B1248,'CARNET DE SOUDURE'!$M$7:$M$3006,"&lt;&gt;"&amp;C1248,'CARNET DE SOUDURE'!$M$7:$M$3006,"&lt;&gt;")+COUNTIFS('CARNET DE SOUDURE'!$O$7:$O$3006,B1248,'CARNET DE SOUDURE'!$P$7:$P$3006,"&lt;&gt;"&amp;C1248,'CARNET DE SOUDURE'!$P$7:$P$3006,"&lt;&gt;")&gt;0,"⚠ DIFFÉRENTE","OK"))</f>
        <v>OK</v>
      </c>
      <c r="F1248" s="147" t="n">
        <v>11.94</v>
      </c>
      <c r="G1248" s="80"/>
      <c r="H1248" s="83"/>
      <c r="I1248" s="148" t="str">
        <f aca="false">IF(B1248="","",IFERROR(INDEX('CARNET DE SOUDURE'!$B$7:$B$3006,MATCH(B1248,'CARNET DE SOUDURE'!$L$7:$L$3006,0)),IFERROR(INDEX('CARNET DE SOUDURE'!$B$7:$B$3006,MATCH(B1248,'CARNET DE SOUDURE'!$O$7:$O$3006,0)),"")))</f>
        <v>MFD-ISW → MFD-CPF</v>
      </c>
      <c r="J1248" s="82" t="str">
        <f aca="false">IF(B1248="","",IFERROR(INDEX('CARNET DE SOUDURE'!$E$7:$E$3006,MATCH(B1248,'CARNET DE SOUDURE'!$O$7:$O$3006,0)),""))</f>
        <v>JN°1868</v>
      </c>
      <c r="K1248" s="82" t="str">
        <f aca="false">IF(B1248="","",IFERROR(INDEX('CARNET DE SOUDURE'!$E$7:$E$3006,MATCH(B1248,'CARNET DE SOUDURE'!$L$7:$L$3006,0)),""))</f>
        <v>JN°1869</v>
      </c>
      <c r="L1248" s="82" t="n">
        <f aca="false">IF(B1248="","",IFERROR(INDEX('CARNET DE SOUDURE'!$D$7:$D$3006,MATCH(B1248,'CARNET DE SOUDURE'!$L$7:$L$3006,0)),IFERROR(INDEX('CARNET DE SOUDURE'!$D$7:$D$3006,MATCH(B1248,'CARNET DE SOUDURE'!$O$7:$O$3006,0)),"")))</f>
        <v>23</v>
      </c>
      <c r="M1248" s="82" t="str">
        <f aca="false">IF(B1248="","",IF(OR(J1248&lt;&gt;"",K1248&lt;&gt;""),"POSÉ EN LIGNE",IF(COUNTIF(BARDAGE!$C$1:$C$5000,B1248)&gt;0,"BARDÉ","EN STOCK")))</f>
        <v>POSÉ EN LIGNE</v>
      </c>
      <c r="N1248" s="80"/>
    </row>
    <row r="1249" customFormat="false" ht="15" hidden="false" customHeight="false" outlineLevel="0" collapsed="false">
      <c r="A1249" s="82" t="n">
        <f aca="false">IF(B1249="","",ROW()-6)</f>
        <v>1243</v>
      </c>
      <c r="B1249" s="145" t="n">
        <v>2095550</v>
      </c>
      <c r="C1249" s="146" t="n">
        <v>15421111</v>
      </c>
      <c r="D1249" s="146"/>
      <c r="E1249" s="82" t="str">
        <f aca="false">IF(B1249="","",IF(COUNTIFS('CARNET DE SOUDURE'!$L$7:$L$3006,B1249,'CARNET DE SOUDURE'!$M$7:$M$3006,"&lt;&gt;"&amp;C1249,'CARNET DE SOUDURE'!$M$7:$M$3006,"&lt;&gt;")+COUNTIFS('CARNET DE SOUDURE'!$O$7:$O$3006,B1249,'CARNET DE SOUDURE'!$P$7:$P$3006,"&lt;&gt;"&amp;C1249,'CARNET DE SOUDURE'!$P$7:$P$3006,"&lt;&gt;")&gt;0,"⚠ DIFFÉRENTE","OK"))</f>
        <v>OK</v>
      </c>
      <c r="F1249" s="147" t="n">
        <v>11.94</v>
      </c>
      <c r="G1249" s="80"/>
      <c r="H1249" s="83"/>
      <c r="I1249" s="148" t="str">
        <f aca="false">IF(B1249="","",IFERROR(INDEX('CARNET DE SOUDURE'!$B$7:$B$3006,MATCH(B1249,'CARNET DE SOUDURE'!$L$7:$L$3006,0)),IFERROR(INDEX('CARNET DE SOUDURE'!$B$7:$B$3006,MATCH(B1249,'CARNET DE SOUDURE'!$O$7:$O$3006,0)),"")))</f>
        <v>MFD-ISW → MFD-CPF</v>
      </c>
      <c r="J1249" s="82" t="str">
        <f aca="false">IF(B1249="","",IFERROR(INDEX('CARNET DE SOUDURE'!$E$7:$E$3006,MATCH(B1249,'CARNET DE SOUDURE'!$O$7:$O$3006,0)),""))</f>
        <v>JN°1869</v>
      </c>
      <c r="K1249" s="82" t="str">
        <f aca="false">IF(B1249="","",IFERROR(INDEX('CARNET DE SOUDURE'!$E$7:$E$3006,MATCH(B1249,'CARNET DE SOUDURE'!$L$7:$L$3006,0)),""))</f>
        <v>JN°1870</v>
      </c>
      <c r="L1249" s="82" t="n">
        <f aca="false">IF(B1249="","",IFERROR(INDEX('CARNET DE SOUDURE'!$D$7:$D$3006,MATCH(B1249,'CARNET DE SOUDURE'!$L$7:$L$3006,0)),IFERROR(INDEX('CARNET DE SOUDURE'!$D$7:$D$3006,MATCH(B1249,'CARNET DE SOUDURE'!$O$7:$O$3006,0)),"")))</f>
        <v>23</v>
      </c>
      <c r="M1249" s="82" t="str">
        <f aca="false">IF(B1249="","",IF(OR(J1249&lt;&gt;"",K1249&lt;&gt;""),"POSÉ EN LIGNE",IF(COUNTIF(BARDAGE!$C$1:$C$5000,B1249)&gt;0,"BARDÉ","EN STOCK")))</f>
        <v>POSÉ EN LIGNE</v>
      </c>
      <c r="N1249" s="80"/>
    </row>
    <row r="1250" customFormat="false" ht="15" hidden="false" customHeight="false" outlineLevel="0" collapsed="false">
      <c r="A1250" s="82" t="n">
        <f aca="false">IF(B1250="","",ROW()-6)</f>
        <v>1244</v>
      </c>
      <c r="B1250" s="145" t="n">
        <v>2093940</v>
      </c>
      <c r="C1250" s="146" t="n">
        <v>15421110</v>
      </c>
      <c r="D1250" s="146"/>
      <c r="E1250" s="82" t="str">
        <f aca="false">IF(B1250="","",IF(COUNTIFS('CARNET DE SOUDURE'!$L$7:$L$3006,B1250,'CARNET DE SOUDURE'!$M$7:$M$3006,"&lt;&gt;"&amp;C1250,'CARNET DE SOUDURE'!$M$7:$M$3006,"&lt;&gt;")+COUNTIFS('CARNET DE SOUDURE'!$O$7:$O$3006,B1250,'CARNET DE SOUDURE'!$P$7:$P$3006,"&lt;&gt;"&amp;C1250,'CARNET DE SOUDURE'!$P$7:$P$3006,"&lt;&gt;")&gt;0,"⚠ DIFFÉRENTE","OK"))</f>
        <v>OK</v>
      </c>
      <c r="F1250" s="147" t="n">
        <v>11.94</v>
      </c>
      <c r="G1250" s="80"/>
      <c r="H1250" s="83"/>
      <c r="I1250" s="148" t="str">
        <f aca="false">IF(B1250="","",IFERROR(INDEX('CARNET DE SOUDURE'!$B$7:$B$3006,MATCH(B1250,'CARNET DE SOUDURE'!$L$7:$L$3006,0)),IFERROR(INDEX('CARNET DE SOUDURE'!$B$7:$B$3006,MATCH(B1250,'CARNET DE SOUDURE'!$O$7:$O$3006,0)),"")))</f>
        <v>MFD-ISW → MFD-CPF</v>
      </c>
      <c r="J1250" s="82" t="str">
        <f aca="false">IF(B1250="","",IFERROR(INDEX('CARNET DE SOUDURE'!$E$7:$E$3006,MATCH(B1250,'CARNET DE SOUDURE'!$O$7:$O$3006,0)),""))</f>
        <v>JN°1870</v>
      </c>
      <c r="K1250" s="82" t="str">
        <f aca="false">IF(B1250="","",IFERROR(INDEX('CARNET DE SOUDURE'!$E$7:$E$3006,MATCH(B1250,'CARNET DE SOUDURE'!$L$7:$L$3006,0)),""))</f>
        <v>JN°1871</v>
      </c>
      <c r="L1250" s="82" t="n">
        <f aca="false">IF(B1250="","",IFERROR(INDEX('CARNET DE SOUDURE'!$D$7:$D$3006,MATCH(B1250,'CARNET DE SOUDURE'!$L$7:$L$3006,0)),IFERROR(INDEX('CARNET DE SOUDURE'!$D$7:$D$3006,MATCH(B1250,'CARNET DE SOUDURE'!$O$7:$O$3006,0)),"")))</f>
        <v>23</v>
      </c>
      <c r="M1250" s="82" t="str">
        <f aca="false">IF(B1250="","",IF(OR(J1250&lt;&gt;"",K1250&lt;&gt;""),"POSÉ EN LIGNE",IF(COUNTIF(BARDAGE!$C$1:$C$5000,B1250)&gt;0,"BARDÉ","EN STOCK")))</f>
        <v>POSÉ EN LIGNE</v>
      </c>
      <c r="N1250" s="80"/>
    </row>
    <row r="1251" customFormat="false" ht="15" hidden="false" customHeight="false" outlineLevel="0" collapsed="false">
      <c r="A1251" s="82" t="n">
        <f aca="false">IF(B1251="","",ROW()-6)</f>
        <v>1245</v>
      </c>
      <c r="B1251" s="145" t="n">
        <v>2091670</v>
      </c>
      <c r="C1251" s="146" t="n">
        <v>15421109</v>
      </c>
      <c r="D1251" s="146"/>
      <c r="E1251" s="82" t="str">
        <f aca="false">IF(B1251="","",IF(COUNTIFS('CARNET DE SOUDURE'!$L$7:$L$3006,B1251,'CARNET DE SOUDURE'!$M$7:$M$3006,"&lt;&gt;"&amp;C1251,'CARNET DE SOUDURE'!$M$7:$M$3006,"&lt;&gt;")+COUNTIFS('CARNET DE SOUDURE'!$O$7:$O$3006,B1251,'CARNET DE SOUDURE'!$P$7:$P$3006,"&lt;&gt;"&amp;C1251,'CARNET DE SOUDURE'!$P$7:$P$3006,"&lt;&gt;")&gt;0,"⚠ DIFFÉRENTE","OK"))</f>
        <v>OK</v>
      </c>
      <c r="F1251" s="147" t="n">
        <v>11.94</v>
      </c>
      <c r="G1251" s="80"/>
      <c r="H1251" s="83"/>
      <c r="I1251" s="148" t="str">
        <f aca="false">IF(B1251="","",IFERROR(INDEX('CARNET DE SOUDURE'!$B$7:$B$3006,MATCH(B1251,'CARNET DE SOUDURE'!$L$7:$L$3006,0)),IFERROR(INDEX('CARNET DE SOUDURE'!$B$7:$B$3006,MATCH(B1251,'CARNET DE SOUDURE'!$O$7:$O$3006,0)),"")))</f>
        <v>MFD-ISW → MFD-CPF</v>
      </c>
      <c r="J1251" s="82" t="str">
        <f aca="false">IF(B1251="","",IFERROR(INDEX('CARNET DE SOUDURE'!$E$7:$E$3006,MATCH(B1251,'CARNET DE SOUDURE'!$O$7:$O$3006,0)),""))</f>
        <v>JN°1871</v>
      </c>
      <c r="K1251" s="82" t="str">
        <f aca="false">IF(B1251="","",IFERROR(INDEX('CARNET DE SOUDURE'!$E$7:$E$3006,MATCH(B1251,'CARNET DE SOUDURE'!$L$7:$L$3006,0)),""))</f>
        <v>JN°1872</v>
      </c>
      <c r="L1251" s="82" t="n">
        <f aca="false">IF(B1251="","",IFERROR(INDEX('CARNET DE SOUDURE'!$D$7:$D$3006,MATCH(B1251,'CARNET DE SOUDURE'!$L$7:$L$3006,0)),IFERROR(INDEX('CARNET DE SOUDURE'!$D$7:$D$3006,MATCH(B1251,'CARNET DE SOUDURE'!$O$7:$O$3006,0)),"")))</f>
        <v>23</v>
      </c>
      <c r="M1251" s="82" t="str">
        <f aca="false">IF(B1251="","",IF(OR(J1251&lt;&gt;"",K1251&lt;&gt;""),"POSÉ EN LIGNE",IF(COUNTIF(BARDAGE!$C$1:$C$5000,B1251)&gt;0,"BARDÉ","EN STOCK")))</f>
        <v>POSÉ EN LIGNE</v>
      </c>
      <c r="N1251" s="80"/>
    </row>
    <row r="1252" customFormat="false" ht="15" hidden="false" customHeight="false" outlineLevel="0" collapsed="false">
      <c r="A1252" s="82" t="n">
        <f aca="false">IF(B1252="","",ROW()-6)</f>
        <v>1246</v>
      </c>
      <c r="B1252" s="145" t="n">
        <v>2096000</v>
      </c>
      <c r="C1252" s="146" t="n">
        <v>15421111</v>
      </c>
      <c r="D1252" s="146"/>
      <c r="E1252" s="82" t="str">
        <f aca="false">IF(B1252="","",IF(COUNTIFS('CARNET DE SOUDURE'!$L$7:$L$3006,B1252,'CARNET DE SOUDURE'!$M$7:$M$3006,"&lt;&gt;"&amp;C1252,'CARNET DE SOUDURE'!$M$7:$M$3006,"&lt;&gt;")+COUNTIFS('CARNET DE SOUDURE'!$O$7:$O$3006,B1252,'CARNET DE SOUDURE'!$P$7:$P$3006,"&lt;&gt;"&amp;C1252,'CARNET DE SOUDURE'!$P$7:$P$3006,"&lt;&gt;")&gt;0,"⚠ DIFFÉRENTE","OK"))</f>
        <v>OK</v>
      </c>
      <c r="F1252" s="147" t="n">
        <v>11.94</v>
      </c>
      <c r="G1252" s="80"/>
      <c r="H1252" s="83"/>
      <c r="I1252" s="148" t="str">
        <f aca="false">IF(B1252="","",IFERROR(INDEX('CARNET DE SOUDURE'!$B$7:$B$3006,MATCH(B1252,'CARNET DE SOUDURE'!$L$7:$L$3006,0)),IFERROR(INDEX('CARNET DE SOUDURE'!$B$7:$B$3006,MATCH(B1252,'CARNET DE SOUDURE'!$O$7:$O$3006,0)),"")))</f>
        <v>MFD-ISW → MFD-CPF</v>
      </c>
      <c r="J1252" s="82" t="str">
        <f aca="false">IF(B1252="","",IFERROR(INDEX('CARNET DE SOUDURE'!$E$7:$E$3006,MATCH(B1252,'CARNET DE SOUDURE'!$O$7:$O$3006,0)),""))</f>
        <v>JN°1872</v>
      </c>
      <c r="K1252" s="82" t="str">
        <f aca="false">IF(B1252="","",IFERROR(INDEX('CARNET DE SOUDURE'!$E$7:$E$3006,MATCH(B1252,'CARNET DE SOUDURE'!$L$7:$L$3006,0)),""))</f>
        <v>JN°1873R</v>
      </c>
      <c r="L1252" s="82" t="n">
        <f aca="false">IF(B1252="","",IFERROR(INDEX('CARNET DE SOUDURE'!$D$7:$D$3006,MATCH(B1252,'CARNET DE SOUDURE'!$L$7:$L$3006,0)),IFERROR(INDEX('CARNET DE SOUDURE'!$D$7:$D$3006,MATCH(B1252,'CARNET DE SOUDURE'!$O$7:$O$3006,0)),"")))</f>
        <v>23</v>
      </c>
      <c r="M1252" s="82" t="str">
        <f aca="false">IF(B1252="","",IF(OR(J1252&lt;&gt;"",K1252&lt;&gt;""),"POSÉ EN LIGNE",IF(COUNTIF(BARDAGE!$C$1:$C$5000,B1252)&gt;0,"BARDÉ","EN STOCK")))</f>
        <v>POSÉ EN LIGNE</v>
      </c>
      <c r="N1252" s="80"/>
    </row>
    <row r="1253" customFormat="false" ht="15" hidden="false" customHeight="false" outlineLevel="0" collapsed="false">
      <c r="A1253" s="82" t="n">
        <f aca="false">IF(B1253="","",ROW()-6)</f>
        <v>1247</v>
      </c>
      <c r="B1253" s="145" t="n">
        <v>2095010</v>
      </c>
      <c r="C1253" s="146" t="n">
        <v>15421111</v>
      </c>
      <c r="D1253" s="146"/>
      <c r="E1253" s="82" t="str">
        <f aca="false">IF(B1253="","",IF(COUNTIFS('CARNET DE SOUDURE'!$L$7:$L$3006,B1253,'CARNET DE SOUDURE'!$M$7:$M$3006,"&lt;&gt;"&amp;C1253,'CARNET DE SOUDURE'!$M$7:$M$3006,"&lt;&gt;")+COUNTIFS('CARNET DE SOUDURE'!$O$7:$O$3006,B1253,'CARNET DE SOUDURE'!$P$7:$P$3006,"&lt;&gt;"&amp;C1253,'CARNET DE SOUDURE'!$P$7:$P$3006,"&lt;&gt;")&gt;0,"⚠ DIFFÉRENTE","OK"))</f>
        <v>OK</v>
      </c>
      <c r="F1253" s="147" t="n">
        <v>11.94</v>
      </c>
      <c r="G1253" s="80"/>
      <c r="H1253" s="83"/>
      <c r="I1253" s="148" t="str">
        <f aca="false">IF(B1253="","",IFERROR(INDEX('CARNET DE SOUDURE'!$B$7:$B$3006,MATCH(B1253,'CARNET DE SOUDURE'!$L$7:$L$3006,0)),IFERROR(INDEX('CARNET DE SOUDURE'!$B$7:$B$3006,MATCH(B1253,'CARNET DE SOUDURE'!$O$7:$O$3006,0)),"")))</f>
        <v>MFD-ISW → MFD-CPF</v>
      </c>
      <c r="J1253" s="82" t="str">
        <f aca="false">IF(B1253="","",IFERROR(INDEX('CARNET DE SOUDURE'!$E$7:$E$3006,MATCH(B1253,'CARNET DE SOUDURE'!$O$7:$O$3006,0)),""))</f>
        <v>JN°1873R</v>
      </c>
      <c r="K1253" s="82" t="str">
        <f aca="false">IF(B1253="","",IFERROR(INDEX('CARNET DE SOUDURE'!$E$7:$E$3006,MATCH(B1253,'CARNET DE SOUDURE'!$L$7:$L$3006,0)),""))</f>
        <v>JN°1874</v>
      </c>
      <c r="L1253" s="82" t="n">
        <f aca="false">IF(B1253="","",IFERROR(INDEX('CARNET DE SOUDURE'!$D$7:$D$3006,MATCH(B1253,'CARNET DE SOUDURE'!$L$7:$L$3006,0)),IFERROR(INDEX('CARNET DE SOUDURE'!$D$7:$D$3006,MATCH(B1253,'CARNET DE SOUDURE'!$O$7:$O$3006,0)),"")))</f>
        <v>23</v>
      </c>
      <c r="M1253" s="82" t="str">
        <f aca="false">IF(B1253="","",IF(OR(J1253&lt;&gt;"",K1253&lt;&gt;""),"POSÉ EN LIGNE",IF(COUNTIF(BARDAGE!$C$1:$C$5000,B1253)&gt;0,"BARDÉ","EN STOCK")))</f>
        <v>POSÉ EN LIGNE</v>
      </c>
      <c r="N1253" s="80"/>
    </row>
    <row r="1254" customFormat="false" ht="15" hidden="false" customHeight="false" outlineLevel="0" collapsed="false">
      <c r="A1254" s="82" t="n">
        <f aca="false">IF(B1254="","",ROW()-6)</f>
        <v>1248</v>
      </c>
      <c r="B1254" s="145" t="n">
        <v>2078720</v>
      </c>
      <c r="C1254" s="146" t="n">
        <v>15421101</v>
      </c>
      <c r="D1254" s="146"/>
      <c r="E1254" s="82" t="str">
        <f aca="false">IF(B1254="","",IF(COUNTIFS('CARNET DE SOUDURE'!$L$7:$L$3006,B1254,'CARNET DE SOUDURE'!$M$7:$M$3006,"&lt;&gt;"&amp;C1254,'CARNET DE SOUDURE'!$M$7:$M$3006,"&lt;&gt;")+COUNTIFS('CARNET DE SOUDURE'!$O$7:$O$3006,B1254,'CARNET DE SOUDURE'!$P$7:$P$3006,"&lt;&gt;"&amp;C1254,'CARNET DE SOUDURE'!$P$7:$P$3006,"&lt;&gt;")&gt;0,"⚠ DIFFÉRENTE","OK"))</f>
        <v>OK</v>
      </c>
      <c r="F1254" s="147" t="n">
        <v>11.94</v>
      </c>
      <c r="G1254" s="80"/>
      <c r="H1254" s="83"/>
      <c r="I1254" s="148" t="str">
        <f aca="false">IF(B1254="","",IFERROR(INDEX('CARNET DE SOUDURE'!$B$7:$B$3006,MATCH(B1254,'CARNET DE SOUDURE'!$L$7:$L$3006,0)),IFERROR(INDEX('CARNET DE SOUDURE'!$B$7:$B$3006,MATCH(B1254,'CARNET DE SOUDURE'!$O$7:$O$3006,0)),"")))</f>
        <v>MFD-ISW → MFD-CPF</v>
      </c>
      <c r="J1254" s="82" t="str">
        <f aca="false">IF(B1254="","",IFERROR(INDEX('CARNET DE SOUDURE'!$E$7:$E$3006,MATCH(B1254,'CARNET DE SOUDURE'!$O$7:$O$3006,0)),""))</f>
        <v>JN°1874</v>
      </c>
      <c r="K1254" s="82" t="str">
        <f aca="false">IF(B1254="","",IFERROR(INDEX('CARNET DE SOUDURE'!$E$7:$E$3006,MATCH(B1254,'CARNET DE SOUDURE'!$L$7:$L$3006,0)),""))</f>
        <v>JN°1875</v>
      </c>
      <c r="L1254" s="82" t="n">
        <f aca="false">IF(B1254="","",IFERROR(INDEX('CARNET DE SOUDURE'!$D$7:$D$3006,MATCH(B1254,'CARNET DE SOUDURE'!$L$7:$L$3006,0)),IFERROR(INDEX('CARNET DE SOUDURE'!$D$7:$D$3006,MATCH(B1254,'CARNET DE SOUDURE'!$O$7:$O$3006,0)),"")))</f>
        <v>23</v>
      </c>
      <c r="M1254" s="82" t="str">
        <f aca="false">IF(B1254="","",IF(OR(J1254&lt;&gt;"",K1254&lt;&gt;""),"POSÉ EN LIGNE",IF(COUNTIF(BARDAGE!$C$1:$C$5000,B1254)&gt;0,"BARDÉ","EN STOCK")))</f>
        <v>POSÉ EN LIGNE</v>
      </c>
      <c r="N1254" s="80"/>
    </row>
    <row r="1255" customFormat="false" ht="15" hidden="false" customHeight="false" outlineLevel="0" collapsed="false">
      <c r="A1255" s="82" t="n">
        <f aca="false">IF(B1255="","",ROW()-6)</f>
        <v>1249</v>
      </c>
      <c r="B1255" s="145" t="n">
        <v>2089660</v>
      </c>
      <c r="C1255" s="146" t="n">
        <v>15421109</v>
      </c>
      <c r="D1255" s="146"/>
      <c r="E1255" s="82" t="str">
        <f aca="false">IF(B1255="","",IF(COUNTIFS('CARNET DE SOUDURE'!$L$7:$L$3006,B1255,'CARNET DE SOUDURE'!$M$7:$M$3006,"&lt;&gt;"&amp;C1255,'CARNET DE SOUDURE'!$M$7:$M$3006,"&lt;&gt;")+COUNTIFS('CARNET DE SOUDURE'!$O$7:$O$3006,B1255,'CARNET DE SOUDURE'!$P$7:$P$3006,"&lt;&gt;"&amp;C1255,'CARNET DE SOUDURE'!$P$7:$P$3006,"&lt;&gt;")&gt;0,"⚠ DIFFÉRENTE","OK"))</f>
        <v>OK</v>
      </c>
      <c r="F1255" s="147" t="n">
        <v>11.94</v>
      </c>
      <c r="G1255" s="80"/>
      <c r="H1255" s="83"/>
      <c r="I1255" s="148" t="str">
        <f aca="false">IF(B1255="","",IFERROR(INDEX('CARNET DE SOUDURE'!$B$7:$B$3006,MATCH(B1255,'CARNET DE SOUDURE'!$L$7:$L$3006,0)),IFERROR(INDEX('CARNET DE SOUDURE'!$B$7:$B$3006,MATCH(B1255,'CARNET DE SOUDURE'!$O$7:$O$3006,0)),"")))</f>
        <v>MFD-ISW → MFD-CPF</v>
      </c>
      <c r="J1255" s="82" t="str">
        <f aca="false">IF(B1255="","",IFERROR(INDEX('CARNET DE SOUDURE'!$E$7:$E$3006,MATCH(B1255,'CARNET DE SOUDURE'!$O$7:$O$3006,0)),""))</f>
        <v>JN°1875</v>
      </c>
      <c r="K1255" s="82" t="str">
        <f aca="false">IF(B1255="","",IFERROR(INDEX('CARNET DE SOUDURE'!$E$7:$E$3006,MATCH(B1255,'CARNET DE SOUDURE'!$L$7:$L$3006,0)),""))</f>
        <v>JN°1876</v>
      </c>
      <c r="L1255" s="82" t="n">
        <f aca="false">IF(B1255="","",IFERROR(INDEX('CARNET DE SOUDURE'!$D$7:$D$3006,MATCH(B1255,'CARNET DE SOUDURE'!$L$7:$L$3006,0)),IFERROR(INDEX('CARNET DE SOUDURE'!$D$7:$D$3006,MATCH(B1255,'CARNET DE SOUDURE'!$O$7:$O$3006,0)),"")))</f>
        <v>23</v>
      </c>
      <c r="M1255" s="82" t="str">
        <f aca="false">IF(B1255="","",IF(OR(J1255&lt;&gt;"",K1255&lt;&gt;""),"POSÉ EN LIGNE",IF(COUNTIF(BARDAGE!$C$1:$C$5000,B1255)&gt;0,"BARDÉ","EN STOCK")))</f>
        <v>POSÉ EN LIGNE</v>
      </c>
      <c r="N1255" s="80"/>
    </row>
    <row r="1256" customFormat="false" ht="15" hidden="false" customHeight="false" outlineLevel="0" collapsed="false">
      <c r="A1256" s="82" t="n">
        <f aca="false">IF(B1256="","",ROW()-6)</f>
        <v>1250</v>
      </c>
      <c r="B1256" s="145" t="n">
        <v>2089810</v>
      </c>
      <c r="C1256" s="146" t="n">
        <v>15421109</v>
      </c>
      <c r="D1256" s="146"/>
      <c r="E1256" s="82" t="str">
        <f aca="false">IF(B1256="","",IF(COUNTIFS('CARNET DE SOUDURE'!$L$7:$L$3006,B1256,'CARNET DE SOUDURE'!$M$7:$M$3006,"&lt;&gt;"&amp;C1256,'CARNET DE SOUDURE'!$M$7:$M$3006,"&lt;&gt;")+COUNTIFS('CARNET DE SOUDURE'!$O$7:$O$3006,B1256,'CARNET DE SOUDURE'!$P$7:$P$3006,"&lt;&gt;"&amp;C1256,'CARNET DE SOUDURE'!$P$7:$P$3006,"&lt;&gt;")&gt;0,"⚠ DIFFÉRENTE","OK"))</f>
        <v>OK</v>
      </c>
      <c r="F1256" s="147" t="n">
        <v>11.94</v>
      </c>
      <c r="G1256" s="80"/>
      <c r="H1256" s="83"/>
      <c r="I1256" s="148" t="str">
        <f aca="false">IF(B1256="","",IFERROR(INDEX('CARNET DE SOUDURE'!$B$7:$B$3006,MATCH(B1256,'CARNET DE SOUDURE'!$L$7:$L$3006,0)),IFERROR(INDEX('CARNET DE SOUDURE'!$B$7:$B$3006,MATCH(B1256,'CARNET DE SOUDURE'!$O$7:$O$3006,0)),"")))</f>
        <v>MFD-ISW → MFD-CPF</v>
      </c>
      <c r="J1256" s="82" t="str">
        <f aca="false">IF(B1256="","",IFERROR(INDEX('CARNET DE SOUDURE'!$E$7:$E$3006,MATCH(B1256,'CARNET DE SOUDURE'!$O$7:$O$3006,0)),""))</f>
        <v>JN°1876</v>
      </c>
      <c r="K1256" s="82" t="str">
        <f aca="false">IF(B1256="","",IFERROR(INDEX('CARNET DE SOUDURE'!$E$7:$E$3006,MATCH(B1256,'CARNET DE SOUDURE'!$L$7:$L$3006,0)),""))</f>
        <v>JN°1877</v>
      </c>
      <c r="L1256" s="82" t="n">
        <f aca="false">IF(B1256="","",IFERROR(INDEX('CARNET DE SOUDURE'!$D$7:$D$3006,MATCH(B1256,'CARNET DE SOUDURE'!$L$7:$L$3006,0)),IFERROR(INDEX('CARNET DE SOUDURE'!$D$7:$D$3006,MATCH(B1256,'CARNET DE SOUDURE'!$O$7:$O$3006,0)),"")))</f>
        <v>23</v>
      </c>
      <c r="M1256" s="82" t="str">
        <f aca="false">IF(B1256="","",IF(OR(J1256&lt;&gt;"",K1256&lt;&gt;""),"POSÉ EN LIGNE",IF(COUNTIF(BARDAGE!$C$1:$C$5000,B1256)&gt;0,"BARDÉ","EN STOCK")))</f>
        <v>POSÉ EN LIGNE</v>
      </c>
      <c r="N1256" s="80"/>
    </row>
    <row r="1257" customFormat="false" ht="15" hidden="false" customHeight="false" outlineLevel="0" collapsed="false">
      <c r="A1257" s="82" t="n">
        <f aca="false">IF(B1257="","",ROW()-6)</f>
        <v>1251</v>
      </c>
      <c r="B1257" s="145" t="n">
        <v>2095240</v>
      </c>
      <c r="C1257" s="146" t="n">
        <v>15421111</v>
      </c>
      <c r="D1257" s="146"/>
      <c r="E1257" s="82" t="str">
        <f aca="false">IF(B1257="","",IF(COUNTIFS('CARNET DE SOUDURE'!$L$7:$L$3006,B1257,'CARNET DE SOUDURE'!$M$7:$M$3006,"&lt;&gt;"&amp;C1257,'CARNET DE SOUDURE'!$M$7:$M$3006,"&lt;&gt;")+COUNTIFS('CARNET DE SOUDURE'!$O$7:$O$3006,B1257,'CARNET DE SOUDURE'!$P$7:$P$3006,"&lt;&gt;"&amp;C1257,'CARNET DE SOUDURE'!$P$7:$P$3006,"&lt;&gt;")&gt;0,"⚠ DIFFÉRENTE","OK"))</f>
        <v>OK</v>
      </c>
      <c r="F1257" s="147" t="n">
        <v>11.94</v>
      </c>
      <c r="G1257" s="80"/>
      <c r="H1257" s="83"/>
      <c r="I1257" s="148" t="str">
        <f aca="false">IF(B1257="","",IFERROR(INDEX('CARNET DE SOUDURE'!$B$7:$B$3006,MATCH(B1257,'CARNET DE SOUDURE'!$L$7:$L$3006,0)),IFERROR(INDEX('CARNET DE SOUDURE'!$B$7:$B$3006,MATCH(B1257,'CARNET DE SOUDURE'!$O$7:$O$3006,0)),"")))</f>
        <v>MFD-ISW → MFD-CPF</v>
      </c>
      <c r="J1257" s="82" t="str">
        <f aca="false">IF(B1257="","",IFERROR(INDEX('CARNET DE SOUDURE'!$E$7:$E$3006,MATCH(B1257,'CARNET DE SOUDURE'!$O$7:$O$3006,0)),""))</f>
        <v>JN°1877</v>
      </c>
      <c r="K1257" s="82" t="str">
        <f aca="false">IF(B1257="","",IFERROR(INDEX('CARNET DE SOUDURE'!$E$7:$E$3006,MATCH(B1257,'CARNET DE SOUDURE'!$L$7:$L$3006,0)),""))</f>
        <v>JN°1878</v>
      </c>
      <c r="L1257" s="82" t="n">
        <f aca="false">IF(B1257="","",IFERROR(INDEX('CARNET DE SOUDURE'!$D$7:$D$3006,MATCH(B1257,'CARNET DE SOUDURE'!$L$7:$L$3006,0)),IFERROR(INDEX('CARNET DE SOUDURE'!$D$7:$D$3006,MATCH(B1257,'CARNET DE SOUDURE'!$O$7:$O$3006,0)),"")))</f>
        <v>23</v>
      </c>
      <c r="M1257" s="82" t="str">
        <f aca="false">IF(B1257="","",IF(OR(J1257&lt;&gt;"",K1257&lt;&gt;""),"POSÉ EN LIGNE",IF(COUNTIF(BARDAGE!$C$1:$C$5000,B1257)&gt;0,"BARDÉ","EN STOCK")))</f>
        <v>POSÉ EN LIGNE</v>
      </c>
      <c r="N1257" s="80"/>
    </row>
    <row r="1258" customFormat="false" ht="15" hidden="false" customHeight="false" outlineLevel="0" collapsed="false">
      <c r="A1258" s="82" t="n">
        <f aca="false">IF(B1258="","",ROW()-6)</f>
        <v>1252</v>
      </c>
      <c r="B1258" s="145" t="n">
        <v>2090310</v>
      </c>
      <c r="C1258" s="146" t="n">
        <v>15421109</v>
      </c>
      <c r="D1258" s="146"/>
      <c r="E1258" s="82" t="str">
        <f aca="false">IF(B1258="","",IF(COUNTIFS('CARNET DE SOUDURE'!$L$7:$L$3006,B1258,'CARNET DE SOUDURE'!$M$7:$M$3006,"&lt;&gt;"&amp;C1258,'CARNET DE SOUDURE'!$M$7:$M$3006,"&lt;&gt;")+COUNTIFS('CARNET DE SOUDURE'!$O$7:$O$3006,B1258,'CARNET DE SOUDURE'!$P$7:$P$3006,"&lt;&gt;"&amp;C1258,'CARNET DE SOUDURE'!$P$7:$P$3006,"&lt;&gt;")&gt;0,"⚠ DIFFÉRENTE","OK"))</f>
        <v>OK</v>
      </c>
      <c r="F1258" s="147" t="n">
        <v>11.94</v>
      </c>
      <c r="G1258" s="80"/>
      <c r="H1258" s="83"/>
      <c r="I1258" s="148" t="str">
        <f aca="false">IF(B1258="","",IFERROR(INDEX('CARNET DE SOUDURE'!$B$7:$B$3006,MATCH(B1258,'CARNET DE SOUDURE'!$L$7:$L$3006,0)),IFERROR(INDEX('CARNET DE SOUDURE'!$B$7:$B$3006,MATCH(B1258,'CARNET DE SOUDURE'!$O$7:$O$3006,0)),"")))</f>
        <v>MFD-ISW → MFD-CPF</v>
      </c>
      <c r="J1258" s="82" t="str">
        <f aca="false">IF(B1258="","",IFERROR(INDEX('CARNET DE SOUDURE'!$E$7:$E$3006,MATCH(B1258,'CARNET DE SOUDURE'!$O$7:$O$3006,0)),""))</f>
        <v>JN°1878</v>
      </c>
      <c r="K1258" s="82" t="str">
        <f aca="false">IF(B1258="","",IFERROR(INDEX('CARNET DE SOUDURE'!$E$7:$E$3006,MATCH(B1258,'CARNET DE SOUDURE'!$L$7:$L$3006,0)),""))</f>
        <v>JN°1879</v>
      </c>
      <c r="L1258" s="82" t="n">
        <f aca="false">IF(B1258="","",IFERROR(INDEX('CARNET DE SOUDURE'!$D$7:$D$3006,MATCH(B1258,'CARNET DE SOUDURE'!$L$7:$L$3006,0)),IFERROR(INDEX('CARNET DE SOUDURE'!$D$7:$D$3006,MATCH(B1258,'CARNET DE SOUDURE'!$O$7:$O$3006,0)),"")))</f>
        <v>23</v>
      </c>
      <c r="M1258" s="82" t="str">
        <f aca="false">IF(B1258="","",IF(OR(J1258&lt;&gt;"",K1258&lt;&gt;""),"POSÉ EN LIGNE",IF(COUNTIF(BARDAGE!$C$1:$C$5000,B1258)&gt;0,"BARDÉ","EN STOCK")))</f>
        <v>POSÉ EN LIGNE</v>
      </c>
      <c r="N1258" s="80"/>
    </row>
    <row r="1259" customFormat="false" ht="15" hidden="false" customHeight="false" outlineLevel="0" collapsed="false">
      <c r="A1259" s="82" t="n">
        <f aca="false">IF(B1259="","",ROW()-6)</f>
        <v>1253</v>
      </c>
      <c r="B1259" s="145" t="n">
        <v>2086940</v>
      </c>
      <c r="C1259" s="146" t="n">
        <v>15421107</v>
      </c>
      <c r="D1259" s="146"/>
      <c r="E1259" s="82" t="str">
        <f aca="false">IF(B1259="","",IF(COUNTIFS('CARNET DE SOUDURE'!$L$7:$L$3006,B1259,'CARNET DE SOUDURE'!$M$7:$M$3006,"&lt;&gt;"&amp;C1259,'CARNET DE SOUDURE'!$M$7:$M$3006,"&lt;&gt;")+COUNTIFS('CARNET DE SOUDURE'!$O$7:$O$3006,B1259,'CARNET DE SOUDURE'!$P$7:$P$3006,"&lt;&gt;"&amp;C1259,'CARNET DE SOUDURE'!$P$7:$P$3006,"&lt;&gt;")&gt;0,"⚠ DIFFÉRENTE","OK"))</f>
        <v>OK</v>
      </c>
      <c r="F1259" s="147" t="n">
        <v>11.94</v>
      </c>
      <c r="G1259" s="80"/>
      <c r="H1259" s="83"/>
      <c r="I1259" s="148" t="str">
        <f aca="false">IF(B1259="","",IFERROR(INDEX('CARNET DE SOUDURE'!$B$7:$B$3006,MATCH(B1259,'CARNET DE SOUDURE'!$L$7:$L$3006,0)),IFERROR(INDEX('CARNET DE SOUDURE'!$B$7:$B$3006,MATCH(B1259,'CARNET DE SOUDURE'!$O$7:$O$3006,0)),"")))</f>
        <v>MFD-ISW → MFD-CPF</v>
      </c>
      <c r="J1259" s="82" t="str">
        <f aca="false">IF(B1259="","",IFERROR(INDEX('CARNET DE SOUDURE'!$E$7:$E$3006,MATCH(B1259,'CARNET DE SOUDURE'!$O$7:$O$3006,0)),""))</f>
        <v>JN°1893</v>
      </c>
      <c r="K1259" s="82" t="str">
        <f aca="false">IF(B1259="","",IFERROR(INDEX('CARNET DE SOUDURE'!$E$7:$E$3006,MATCH(B1259,'CARNET DE SOUDURE'!$L$7:$L$3006,0)),""))</f>
        <v>JN°1894</v>
      </c>
      <c r="L1259" s="82" t="n">
        <f aca="false">IF(B1259="","",IFERROR(INDEX('CARNET DE SOUDURE'!$D$7:$D$3006,MATCH(B1259,'CARNET DE SOUDURE'!$L$7:$L$3006,0)),IFERROR(INDEX('CARNET DE SOUDURE'!$D$7:$D$3006,MATCH(B1259,'CARNET DE SOUDURE'!$O$7:$O$3006,0)),"")))</f>
        <v>23</v>
      </c>
      <c r="M1259" s="82" t="str">
        <f aca="false">IF(B1259="","",IF(OR(J1259&lt;&gt;"",K1259&lt;&gt;""),"POSÉ EN LIGNE",IF(COUNTIF(BARDAGE!$C$1:$C$5000,B1259)&gt;0,"BARDÉ","EN STOCK")))</f>
        <v>POSÉ EN LIGNE</v>
      </c>
      <c r="N1259" s="80"/>
    </row>
    <row r="1260" customFormat="false" ht="15" hidden="false" customHeight="false" outlineLevel="0" collapsed="false">
      <c r="A1260" s="82" t="n">
        <f aca="false">IF(B1260="","",ROW()-6)</f>
        <v>1254</v>
      </c>
      <c r="B1260" s="145" t="n">
        <v>2092320</v>
      </c>
      <c r="C1260" s="146" t="n">
        <v>15421110</v>
      </c>
      <c r="D1260" s="146"/>
      <c r="E1260" s="82" t="str">
        <f aca="false">IF(B1260="","",IF(COUNTIFS('CARNET DE SOUDURE'!$L$7:$L$3006,B1260,'CARNET DE SOUDURE'!$M$7:$M$3006,"&lt;&gt;"&amp;C1260,'CARNET DE SOUDURE'!$M$7:$M$3006,"&lt;&gt;")+COUNTIFS('CARNET DE SOUDURE'!$O$7:$O$3006,B1260,'CARNET DE SOUDURE'!$P$7:$P$3006,"&lt;&gt;"&amp;C1260,'CARNET DE SOUDURE'!$P$7:$P$3006,"&lt;&gt;")&gt;0,"⚠ DIFFÉRENTE","OK"))</f>
        <v>OK</v>
      </c>
      <c r="F1260" s="147" t="n">
        <v>11.94</v>
      </c>
      <c r="G1260" s="80"/>
      <c r="H1260" s="83"/>
      <c r="I1260" s="148" t="str">
        <f aca="false">IF(B1260="","",IFERROR(INDEX('CARNET DE SOUDURE'!$B$7:$B$3006,MATCH(B1260,'CARNET DE SOUDURE'!$L$7:$L$3006,0)),IFERROR(INDEX('CARNET DE SOUDURE'!$B$7:$B$3006,MATCH(B1260,'CARNET DE SOUDURE'!$O$7:$O$3006,0)),"")))</f>
        <v>MFD-ISW → MFD-CPF</v>
      </c>
      <c r="J1260" s="82" t="str">
        <f aca="false">IF(B1260="","",IFERROR(INDEX('CARNET DE SOUDURE'!$E$7:$E$3006,MATCH(B1260,'CARNET DE SOUDURE'!$O$7:$O$3006,0)),""))</f>
        <v>JN°1894</v>
      </c>
      <c r="K1260" s="82" t="str">
        <f aca="false">IF(B1260="","",IFERROR(INDEX('CARNET DE SOUDURE'!$E$7:$E$3006,MATCH(B1260,'CARNET DE SOUDURE'!$L$7:$L$3006,0)),""))</f>
        <v>JN°1895</v>
      </c>
      <c r="L1260" s="82" t="n">
        <f aca="false">IF(B1260="","",IFERROR(INDEX('CARNET DE SOUDURE'!$D$7:$D$3006,MATCH(B1260,'CARNET DE SOUDURE'!$L$7:$L$3006,0)),IFERROR(INDEX('CARNET DE SOUDURE'!$D$7:$D$3006,MATCH(B1260,'CARNET DE SOUDURE'!$O$7:$O$3006,0)),"")))</f>
        <v>23</v>
      </c>
      <c r="M1260" s="82" t="str">
        <f aca="false">IF(B1260="","",IF(OR(J1260&lt;&gt;"",K1260&lt;&gt;""),"POSÉ EN LIGNE",IF(COUNTIF(BARDAGE!$C$1:$C$5000,B1260)&gt;0,"BARDÉ","EN STOCK")))</f>
        <v>POSÉ EN LIGNE</v>
      </c>
      <c r="N1260" s="80"/>
    </row>
    <row r="1261" customFormat="false" ht="15" hidden="false" customHeight="false" outlineLevel="0" collapsed="false">
      <c r="A1261" s="82" t="n">
        <f aca="false">IF(B1261="","",ROW()-6)</f>
        <v>1255</v>
      </c>
      <c r="B1261" s="145" t="n">
        <v>2096880</v>
      </c>
      <c r="C1261" s="146" t="n">
        <v>15421111</v>
      </c>
      <c r="D1261" s="146"/>
      <c r="E1261" s="82" t="str">
        <f aca="false">IF(B1261="","",IF(COUNTIFS('CARNET DE SOUDURE'!$L$7:$L$3006,B1261,'CARNET DE SOUDURE'!$M$7:$M$3006,"&lt;&gt;"&amp;C1261,'CARNET DE SOUDURE'!$M$7:$M$3006,"&lt;&gt;")+COUNTIFS('CARNET DE SOUDURE'!$O$7:$O$3006,B1261,'CARNET DE SOUDURE'!$P$7:$P$3006,"&lt;&gt;"&amp;C1261,'CARNET DE SOUDURE'!$P$7:$P$3006,"&lt;&gt;")&gt;0,"⚠ DIFFÉRENTE","OK"))</f>
        <v>OK</v>
      </c>
      <c r="F1261" s="147" t="n">
        <v>11.94</v>
      </c>
      <c r="G1261" s="80"/>
      <c r="H1261" s="83"/>
      <c r="I1261" s="148" t="str">
        <f aca="false">IF(B1261="","",IFERROR(INDEX('CARNET DE SOUDURE'!$B$7:$B$3006,MATCH(B1261,'CARNET DE SOUDURE'!$L$7:$L$3006,0)),IFERROR(INDEX('CARNET DE SOUDURE'!$B$7:$B$3006,MATCH(B1261,'CARNET DE SOUDURE'!$O$7:$O$3006,0)),"")))</f>
        <v>MFD-ISW → MFD-CPF</v>
      </c>
      <c r="J1261" s="82" t="str">
        <f aca="false">IF(B1261="","",IFERROR(INDEX('CARNET DE SOUDURE'!$E$7:$E$3006,MATCH(B1261,'CARNET DE SOUDURE'!$O$7:$O$3006,0)),""))</f>
        <v>JN°1896</v>
      </c>
      <c r="K1261" s="82" t="str">
        <f aca="false">IF(B1261="","",IFERROR(INDEX('CARNET DE SOUDURE'!$E$7:$E$3006,MATCH(B1261,'CARNET DE SOUDURE'!$L$7:$L$3006,0)),""))</f>
        <v>JN°1897</v>
      </c>
      <c r="L1261" s="82" t="n">
        <f aca="false">IF(B1261="","",IFERROR(INDEX('CARNET DE SOUDURE'!$D$7:$D$3006,MATCH(B1261,'CARNET DE SOUDURE'!$L$7:$L$3006,0)),IFERROR(INDEX('CARNET DE SOUDURE'!$D$7:$D$3006,MATCH(B1261,'CARNET DE SOUDURE'!$O$7:$O$3006,0)),"")))</f>
        <v>23</v>
      </c>
      <c r="M1261" s="82" t="str">
        <f aca="false">IF(B1261="","",IF(OR(J1261&lt;&gt;"",K1261&lt;&gt;""),"POSÉ EN LIGNE",IF(COUNTIF(BARDAGE!$C$1:$C$5000,B1261)&gt;0,"BARDÉ","EN STOCK")))</f>
        <v>POSÉ EN LIGNE</v>
      </c>
      <c r="N1261" s="80"/>
    </row>
    <row r="1262" customFormat="false" ht="15" hidden="false" customHeight="false" outlineLevel="0" collapsed="false">
      <c r="A1262" s="82" t="n">
        <f aca="false">IF(B1262="","",ROW()-6)</f>
        <v>1256</v>
      </c>
      <c r="B1262" s="145" t="n">
        <v>2083770</v>
      </c>
      <c r="C1262" s="146" t="n">
        <v>15421105</v>
      </c>
      <c r="D1262" s="146"/>
      <c r="E1262" s="82" t="str">
        <f aca="false">IF(B1262="","",IF(COUNTIFS('CARNET DE SOUDURE'!$L$7:$L$3006,B1262,'CARNET DE SOUDURE'!$M$7:$M$3006,"&lt;&gt;"&amp;C1262,'CARNET DE SOUDURE'!$M$7:$M$3006,"&lt;&gt;")+COUNTIFS('CARNET DE SOUDURE'!$O$7:$O$3006,B1262,'CARNET DE SOUDURE'!$P$7:$P$3006,"&lt;&gt;"&amp;C1262,'CARNET DE SOUDURE'!$P$7:$P$3006,"&lt;&gt;")&gt;0,"⚠ DIFFÉRENTE","OK"))</f>
        <v>OK</v>
      </c>
      <c r="F1262" s="147" t="n">
        <v>11.94</v>
      </c>
      <c r="G1262" s="80"/>
      <c r="H1262" s="83"/>
      <c r="I1262" s="148" t="str">
        <f aca="false">IF(B1262="","",IFERROR(INDEX('CARNET DE SOUDURE'!$B$7:$B$3006,MATCH(B1262,'CARNET DE SOUDURE'!$L$7:$L$3006,0)),IFERROR(INDEX('CARNET DE SOUDURE'!$B$7:$B$3006,MATCH(B1262,'CARNET DE SOUDURE'!$O$7:$O$3006,0)),"")))</f>
        <v>MFD-ISW → MFD-CPF</v>
      </c>
      <c r="J1262" s="82" t="str">
        <f aca="false">IF(B1262="","",IFERROR(INDEX('CARNET DE SOUDURE'!$E$7:$E$3006,MATCH(B1262,'CARNET DE SOUDURE'!$O$7:$O$3006,0)),""))</f>
        <v>JN°1897</v>
      </c>
      <c r="K1262" s="82" t="str">
        <f aca="false">IF(B1262="","",IFERROR(INDEX('CARNET DE SOUDURE'!$E$7:$E$3006,MATCH(B1262,'CARNET DE SOUDURE'!$L$7:$L$3006,0)),""))</f>
        <v>JN°1898</v>
      </c>
      <c r="L1262" s="82" t="n">
        <f aca="false">IF(B1262="","",IFERROR(INDEX('CARNET DE SOUDURE'!$D$7:$D$3006,MATCH(B1262,'CARNET DE SOUDURE'!$L$7:$L$3006,0)),IFERROR(INDEX('CARNET DE SOUDURE'!$D$7:$D$3006,MATCH(B1262,'CARNET DE SOUDURE'!$O$7:$O$3006,0)),"")))</f>
        <v>23</v>
      </c>
      <c r="M1262" s="82" t="str">
        <f aca="false">IF(B1262="","",IF(OR(J1262&lt;&gt;"",K1262&lt;&gt;""),"POSÉ EN LIGNE",IF(COUNTIF(BARDAGE!$C$1:$C$5000,B1262)&gt;0,"BARDÉ","EN STOCK")))</f>
        <v>POSÉ EN LIGNE</v>
      </c>
      <c r="N1262" s="80"/>
    </row>
    <row r="1263" customFormat="false" ht="15" hidden="false" customHeight="false" outlineLevel="0" collapsed="false">
      <c r="A1263" s="82" t="n">
        <f aca="false">IF(B1263="","",ROW()-6)</f>
        <v>1257</v>
      </c>
      <c r="B1263" s="145" t="n">
        <v>2090400</v>
      </c>
      <c r="C1263" s="146" t="n">
        <v>15421109</v>
      </c>
      <c r="D1263" s="146"/>
      <c r="E1263" s="82" t="str">
        <f aca="false">IF(B1263="","",IF(COUNTIFS('CARNET DE SOUDURE'!$L$7:$L$3006,B1263,'CARNET DE SOUDURE'!$M$7:$M$3006,"&lt;&gt;"&amp;C1263,'CARNET DE SOUDURE'!$M$7:$M$3006,"&lt;&gt;")+COUNTIFS('CARNET DE SOUDURE'!$O$7:$O$3006,B1263,'CARNET DE SOUDURE'!$P$7:$P$3006,"&lt;&gt;"&amp;C1263,'CARNET DE SOUDURE'!$P$7:$P$3006,"&lt;&gt;")&gt;0,"⚠ DIFFÉRENTE","OK"))</f>
        <v>OK</v>
      </c>
      <c r="F1263" s="147" t="n">
        <v>11.94</v>
      </c>
      <c r="G1263" s="80"/>
      <c r="H1263" s="83"/>
      <c r="I1263" s="148" t="str">
        <f aca="false">IF(B1263="","",IFERROR(INDEX('CARNET DE SOUDURE'!$B$7:$B$3006,MATCH(B1263,'CARNET DE SOUDURE'!$L$7:$L$3006,0)),IFERROR(INDEX('CARNET DE SOUDURE'!$B$7:$B$3006,MATCH(B1263,'CARNET DE SOUDURE'!$O$7:$O$3006,0)),"")))</f>
        <v>MFD-ISW → MFD-CPF</v>
      </c>
      <c r="J1263" s="82" t="str">
        <f aca="false">IF(B1263="","",IFERROR(INDEX('CARNET DE SOUDURE'!$E$7:$E$3006,MATCH(B1263,'CARNET DE SOUDURE'!$O$7:$O$3006,0)),""))</f>
        <v>JN°1898</v>
      </c>
      <c r="K1263" s="82" t="str">
        <f aca="false">IF(B1263="","",IFERROR(INDEX('CARNET DE SOUDURE'!$E$7:$E$3006,MATCH(B1263,'CARNET DE SOUDURE'!$L$7:$L$3006,0)),""))</f>
        <v>JN°1899</v>
      </c>
      <c r="L1263" s="82" t="n">
        <f aca="false">IF(B1263="","",IFERROR(INDEX('CARNET DE SOUDURE'!$D$7:$D$3006,MATCH(B1263,'CARNET DE SOUDURE'!$L$7:$L$3006,0)),IFERROR(INDEX('CARNET DE SOUDURE'!$D$7:$D$3006,MATCH(B1263,'CARNET DE SOUDURE'!$O$7:$O$3006,0)),"")))</f>
        <v>23</v>
      </c>
      <c r="M1263" s="82" t="str">
        <f aca="false">IF(B1263="","",IF(OR(J1263&lt;&gt;"",K1263&lt;&gt;""),"POSÉ EN LIGNE",IF(COUNTIF(BARDAGE!$C$1:$C$5000,B1263)&gt;0,"BARDÉ","EN STOCK")))</f>
        <v>POSÉ EN LIGNE</v>
      </c>
      <c r="N1263" s="80"/>
    </row>
    <row r="1264" customFormat="false" ht="15" hidden="false" customHeight="false" outlineLevel="0" collapsed="false">
      <c r="A1264" s="82" t="n">
        <f aca="false">IF(B1264="","",ROW()-6)</f>
        <v>1258</v>
      </c>
      <c r="B1264" s="145" t="n">
        <v>2095160</v>
      </c>
      <c r="C1264" s="146" t="n">
        <v>15421111</v>
      </c>
      <c r="D1264" s="146"/>
      <c r="E1264" s="82" t="str">
        <f aca="false">IF(B1264="","",IF(COUNTIFS('CARNET DE SOUDURE'!$L$7:$L$3006,B1264,'CARNET DE SOUDURE'!$M$7:$M$3006,"&lt;&gt;"&amp;C1264,'CARNET DE SOUDURE'!$M$7:$M$3006,"&lt;&gt;")+COUNTIFS('CARNET DE SOUDURE'!$O$7:$O$3006,B1264,'CARNET DE SOUDURE'!$P$7:$P$3006,"&lt;&gt;"&amp;C1264,'CARNET DE SOUDURE'!$P$7:$P$3006,"&lt;&gt;")&gt;0,"⚠ DIFFÉRENTE","OK"))</f>
        <v>OK</v>
      </c>
      <c r="F1264" s="147" t="n">
        <v>11.94</v>
      </c>
      <c r="G1264" s="80"/>
      <c r="H1264" s="83"/>
      <c r="I1264" s="148" t="str">
        <f aca="false">IF(B1264="","",IFERROR(INDEX('CARNET DE SOUDURE'!$B$7:$B$3006,MATCH(B1264,'CARNET DE SOUDURE'!$L$7:$L$3006,0)),IFERROR(INDEX('CARNET DE SOUDURE'!$B$7:$B$3006,MATCH(B1264,'CARNET DE SOUDURE'!$O$7:$O$3006,0)),"")))</f>
        <v>MFD-ISW → MFD-CPF</v>
      </c>
      <c r="J1264" s="82" t="str">
        <f aca="false">IF(B1264="","",IFERROR(INDEX('CARNET DE SOUDURE'!$E$7:$E$3006,MATCH(B1264,'CARNET DE SOUDURE'!$O$7:$O$3006,0)),""))</f>
        <v>JN°1899</v>
      </c>
      <c r="K1264" s="82" t="str">
        <f aca="false">IF(B1264="","",IFERROR(INDEX('CARNET DE SOUDURE'!$E$7:$E$3006,MATCH(B1264,'CARNET DE SOUDURE'!$L$7:$L$3006,0)),""))</f>
        <v>JN°1900</v>
      </c>
      <c r="L1264" s="82" t="n">
        <f aca="false">IF(B1264="","",IFERROR(INDEX('CARNET DE SOUDURE'!$D$7:$D$3006,MATCH(B1264,'CARNET DE SOUDURE'!$L$7:$L$3006,0)),IFERROR(INDEX('CARNET DE SOUDURE'!$D$7:$D$3006,MATCH(B1264,'CARNET DE SOUDURE'!$O$7:$O$3006,0)),"")))</f>
        <v>23</v>
      </c>
      <c r="M1264" s="82" t="str">
        <f aca="false">IF(B1264="","",IF(OR(J1264&lt;&gt;"",K1264&lt;&gt;""),"POSÉ EN LIGNE",IF(COUNTIF(BARDAGE!$C$1:$C$5000,B1264)&gt;0,"BARDÉ","EN STOCK")))</f>
        <v>POSÉ EN LIGNE</v>
      </c>
      <c r="N1264" s="80"/>
    </row>
    <row r="1265" customFormat="false" ht="15" hidden="false" customHeight="false" outlineLevel="0" collapsed="false">
      <c r="A1265" s="82" t="n">
        <f aca="false">IF(B1265="","",ROW()-6)</f>
        <v>1259</v>
      </c>
      <c r="B1265" s="145" t="n">
        <v>2089750</v>
      </c>
      <c r="C1265" s="146" t="n">
        <v>15421109</v>
      </c>
      <c r="D1265" s="146"/>
      <c r="E1265" s="82" t="str">
        <f aca="false">IF(B1265="","",IF(COUNTIFS('CARNET DE SOUDURE'!$L$7:$L$3006,B1265,'CARNET DE SOUDURE'!$M$7:$M$3006,"&lt;&gt;"&amp;C1265,'CARNET DE SOUDURE'!$M$7:$M$3006,"&lt;&gt;")+COUNTIFS('CARNET DE SOUDURE'!$O$7:$O$3006,B1265,'CARNET DE SOUDURE'!$P$7:$P$3006,"&lt;&gt;"&amp;C1265,'CARNET DE SOUDURE'!$P$7:$P$3006,"&lt;&gt;")&gt;0,"⚠ DIFFÉRENTE","OK"))</f>
        <v>OK</v>
      </c>
      <c r="F1265" s="147" t="n">
        <v>11.94</v>
      </c>
      <c r="G1265" s="80"/>
      <c r="H1265" s="83"/>
      <c r="I1265" s="148" t="str">
        <f aca="false">IF(B1265="","",IFERROR(INDEX('CARNET DE SOUDURE'!$B$7:$B$3006,MATCH(B1265,'CARNET DE SOUDURE'!$L$7:$L$3006,0)),IFERROR(INDEX('CARNET DE SOUDURE'!$B$7:$B$3006,MATCH(B1265,'CARNET DE SOUDURE'!$O$7:$O$3006,0)),"")))</f>
        <v>MFD-ISW → MFD-CPF</v>
      </c>
      <c r="J1265" s="82" t="str">
        <f aca="false">IF(B1265="","",IFERROR(INDEX('CARNET DE SOUDURE'!$E$7:$E$3006,MATCH(B1265,'CARNET DE SOUDURE'!$O$7:$O$3006,0)),""))</f>
        <v>JN°1900</v>
      </c>
      <c r="K1265" s="82" t="str">
        <f aca="false">IF(B1265="","",IFERROR(INDEX('CARNET DE SOUDURE'!$E$7:$E$3006,MATCH(B1265,'CARNET DE SOUDURE'!$L$7:$L$3006,0)),""))</f>
        <v>JN°1901</v>
      </c>
      <c r="L1265" s="82" t="n">
        <f aca="false">IF(B1265="","",IFERROR(INDEX('CARNET DE SOUDURE'!$D$7:$D$3006,MATCH(B1265,'CARNET DE SOUDURE'!$L$7:$L$3006,0)),IFERROR(INDEX('CARNET DE SOUDURE'!$D$7:$D$3006,MATCH(B1265,'CARNET DE SOUDURE'!$O$7:$O$3006,0)),"")))</f>
        <v>23</v>
      </c>
      <c r="M1265" s="82" t="str">
        <f aca="false">IF(B1265="","",IF(OR(J1265&lt;&gt;"",K1265&lt;&gt;""),"POSÉ EN LIGNE",IF(COUNTIF(BARDAGE!$C$1:$C$5000,B1265)&gt;0,"BARDÉ","EN STOCK")))</f>
        <v>POSÉ EN LIGNE</v>
      </c>
      <c r="N1265" s="80"/>
    </row>
    <row r="1266" customFormat="false" ht="15" hidden="false" customHeight="false" outlineLevel="0" collapsed="false">
      <c r="A1266" s="82" t="n">
        <f aca="false">IF(B1266="","",ROW()-6)</f>
        <v>1260</v>
      </c>
      <c r="B1266" s="145" t="n">
        <v>2097050</v>
      </c>
      <c r="C1266" s="146" t="n">
        <v>15421111</v>
      </c>
      <c r="D1266" s="146"/>
      <c r="E1266" s="82" t="str">
        <f aca="false">IF(B1266="","",IF(COUNTIFS('CARNET DE SOUDURE'!$L$7:$L$3006,B1266,'CARNET DE SOUDURE'!$M$7:$M$3006,"&lt;&gt;"&amp;C1266,'CARNET DE SOUDURE'!$M$7:$M$3006,"&lt;&gt;")+COUNTIFS('CARNET DE SOUDURE'!$O$7:$O$3006,B1266,'CARNET DE SOUDURE'!$P$7:$P$3006,"&lt;&gt;"&amp;C1266,'CARNET DE SOUDURE'!$P$7:$P$3006,"&lt;&gt;")&gt;0,"⚠ DIFFÉRENTE","OK"))</f>
        <v>OK</v>
      </c>
      <c r="F1266" s="147" t="n">
        <v>11.94</v>
      </c>
      <c r="G1266" s="80"/>
      <c r="H1266" s="83"/>
      <c r="I1266" s="148" t="str">
        <f aca="false">IF(B1266="","",IFERROR(INDEX('CARNET DE SOUDURE'!$B$7:$B$3006,MATCH(B1266,'CARNET DE SOUDURE'!$L$7:$L$3006,0)),IFERROR(INDEX('CARNET DE SOUDURE'!$B$7:$B$3006,MATCH(B1266,'CARNET DE SOUDURE'!$O$7:$O$3006,0)),"")))</f>
        <v>MFD-ISW → MFD-CPF</v>
      </c>
      <c r="J1266" s="82" t="str">
        <f aca="false">IF(B1266="","",IFERROR(INDEX('CARNET DE SOUDURE'!$E$7:$E$3006,MATCH(B1266,'CARNET DE SOUDURE'!$O$7:$O$3006,0)),""))</f>
        <v>JN°1901</v>
      </c>
      <c r="K1266" s="82" t="str">
        <f aca="false">IF(B1266="","",IFERROR(INDEX('CARNET DE SOUDURE'!$E$7:$E$3006,MATCH(B1266,'CARNET DE SOUDURE'!$L$7:$L$3006,0)),""))</f>
        <v>JN°1902</v>
      </c>
      <c r="L1266" s="82" t="n">
        <f aca="false">IF(B1266="","",IFERROR(INDEX('CARNET DE SOUDURE'!$D$7:$D$3006,MATCH(B1266,'CARNET DE SOUDURE'!$L$7:$L$3006,0)),IFERROR(INDEX('CARNET DE SOUDURE'!$D$7:$D$3006,MATCH(B1266,'CARNET DE SOUDURE'!$O$7:$O$3006,0)),"")))</f>
        <v>23</v>
      </c>
      <c r="M1266" s="82" t="str">
        <f aca="false">IF(B1266="","",IF(OR(J1266&lt;&gt;"",K1266&lt;&gt;""),"POSÉ EN LIGNE",IF(COUNTIF(BARDAGE!$C$1:$C$5000,B1266)&gt;0,"BARDÉ","EN STOCK")))</f>
        <v>POSÉ EN LIGNE</v>
      </c>
      <c r="N1266" s="80"/>
    </row>
    <row r="1267" customFormat="false" ht="15" hidden="false" customHeight="false" outlineLevel="0" collapsed="false">
      <c r="A1267" s="82" t="n">
        <f aca="false">IF(B1267="","",ROW()-6)</f>
        <v>1261</v>
      </c>
      <c r="B1267" s="145" t="n">
        <v>2084370</v>
      </c>
      <c r="C1267" s="146" t="n">
        <v>15421106</v>
      </c>
      <c r="D1267" s="146"/>
      <c r="E1267" s="82" t="str">
        <f aca="false">IF(B1267="","",IF(COUNTIFS('CARNET DE SOUDURE'!$L$7:$L$3006,B1267,'CARNET DE SOUDURE'!$M$7:$M$3006,"&lt;&gt;"&amp;C1267,'CARNET DE SOUDURE'!$M$7:$M$3006,"&lt;&gt;")+COUNTIFS('CARNET DE SOUDURE'!$O$7:$O$3006,B1267,'CARNET DE SOUDURE'!$P$7:$P$3006,"&lt;&gt;"&amp;C1267,'CARNET DE SOUDURE'!$P$7:$P$3006,"&lt;&gt;")&gt;0,"⚠ DIFFÉRENTE","OK"))</f>
        <v>OK</v>
      </c>
      <c r="F1267" s="147" t="n">
        <v>11.94</v>
      </c>
      <c r="G1267" s="80"/>
      <c r="H1267" s="83"/>
      <c r="I1267" s="148" t="str">
        <f aca="false">IF(B1267="","",IFERROR(INDEX('CARNET DE SOUDURE'!$B$7:$B$3006,MATCH(B1267,'CARNET DE SOUDURE'!$L$7:$L$3006,0)),IFERROR(INDEX('CARNET DE SOUDURE'!$B$7:$B$3006,MATCH(B1267,'CARNET DE SOUDURE'!$O$7:$O$3006,0)),"")))</f>
        <v>MFD-ISW → MFD-CPF</v>
      </c>
      <c r="J1267" s="82" t="str">
        <f aca="false">IF(B1267="","",IFERROR(INDEX('CARNET DE SOUDURE'!$E$7:$E$3006,MATCH(B1267,'CARNET DE SOUDURE'!$O$7:$O$3006,0)),""))</f>
        <v>JN°1903</v>
      </c>
      <c r="K1267" s="82" t="str">
        <f aca="false">IF(B1267="","",IFERROR(INDEX('CARNET DE SOUDURE'!$E$7:$E$3006,MATCH(B1267,'CARNET DE SOUDURE'!$L$7:$L$3006,0)),""))</f>
        <v>JN°1904</v>
      </c>
      <c r="L1267" s="82" t="n">
        <f aca="false">IF(B1267="","",IFERROR(INDEX('CARNET DE SOUDURE'!$D$7:$D$3006,MATCH(B1267,'CARNET DE SOUDURE'!$L$7:$L$3006,0)),IFERROR(INDEX('CARNET DE SOUDURE'!$D$7:$D$3006,MATCH(B1267,'CARNET DE SOUDURE'!$O$7:$O$3006,0)),"")))</f>
        <v>23</v>
      </c>
      <c r="M1267" s="82" t="str">
        <f aca="false">IF(B1267="","",IF(OR(J1267&lt;&gt;"",K1267&lt;&gt;""),"POSÉ EN LIGNE",IF(COUNTIF(BARDAGE!$C$1:$C$5000,B1267)&gt;0,"BARDÉ","EN STOCK")))</f>
        <v>POSÉ EN LIGNE</v>
      </c>
      <c r="N1267" s="80"/>
    </row>
    <row r="1268" customFormat="false" ht="15" hidden="false" customHeight="false" outlineLevel="0" collapsed="false">
      <c r="A1268" s="82" t="n">
        <f aca="false">IF(B1268="","",ROW()-6)</f>
        <v>1262</v>
      </c>
      <c r="B1268" s="145" t="n">
        <v>2084750</v>
      </c>
      <c r="C1268" s="146" t="n">
        <v>15421106</v>
      </c>
      <c r="D1268" s="146"/>
      <c r="E1268" s="82" t="str">
        <f aca="false">IF(B1268="","",IF(COUNTIFS('CARNET DE SOUDURE'!$L$7:$L$3006,B1268,'CARNET DE SOUDURE'!$M$7:$M$3006,"&lt;&gt;"&amp;C1268,'CARNET DE SOUDURE'!$M$7:$M$3006,"&lt;&gt;")+COUNTIFS('CARNET DE SOUDURE'!$O$7:$O$3006,B1268,'CARNET DE SOUDURE'!$P$7:$P$3006,"&lt;&gt;"&amp;C1268,'CARNET DE SOUDURE'!$P$7:$P$3006,"&lt;&gt;")&gt;0,"⚠ DIFFÉRENTE","OK"))</f>
        <v>OK</v>
      </c>
      <c r="F1268" s="147" t="n">
        <v>11.94</v>
      </c>
      <c r="G1268" s="80"/>
      <c r="H1268" s="83"/>
      <c r="I1268" s="148" t="str">
        <f aca="false">IF(B1268="","",IFERROR(INDEX('CARNET DE SOUDURE'!$B$7:$B$3006,MATCH(B1268,'CARNET DE SOUDURE'!$L$7:$L$3006,0)),IFERROR(INDEX('CARNET DE SOUDURE'!$B$7:$B$3006,MATCH(B1268,'CARNET DE SOUDURE'!$O$7:$O$3006,0)),"")))</f>
        <v>MFD-ISW → MFD-CPF</v>
      </c>
      <c r="J1268" s="82" t="str">
        <f aca="false">IF(B1268="","",IFERROR(INDEX('CARNET DE SOUDURE'!$E$7:$E$3006,MATCH(B1268,'CARNET DE SOUDURE'!$O$7:$O$3006,0)),""))</f>
        <v>JN°1904</v>
      </c>
      <c r="K1268" s="82" t="str">
        <f aca="false">IF(B1268="","",IFERROR(INDEX('CARNET DE SOUDURE'!$E$7:$E$3006,MATCH(B1268,'CARNET DE SOUDURE'!$L$7:$L$3006,0)),""))</f>
        <v>JN°1905</v>
      </c>
      <c r="L1268" s="82" t="n">
        <f aca="false">IF(B1268="","",IFERROR(INDEX('CARNET DE SOUDURE'!$D$7:$D$3006,MATCH(B1268,'CARNET DE SOUDURE'!$L$7:$L$3006,0)),IFERROR(INDEX('CARNET DE SOUDURE'!$D$7:$D$3006,MATCH(B1268,'CARNET DE SOUDURE'!$O$7:$O$3006,0)),"")))</f>
        <v>23</v>
      </c>
      <c r="M1268" s="82" t="str">
        <f aca="false">IF(B1268="","",IF(OR(J1268&lt;&gt;"",K1268&lt;&gt;""),"POSÉ EN LIGNE",IF(COUNTIF(BARDAGE!$C$1:$C$5000,B1268)&gt;0,"BARDÉ","EN STOCK")))</f>
        <v>POSÉ EN LIGNE</v>
      </c>
      <c r="N1268" s="80"/>
    </row>
    <row r="1269" customFormat="false" ht="15" hidden="false" customHeight="false" outlineLevel="0" collapsed="false">
      <c r="A1269" s="82" t="n">
        <f aca="false">IF(B1269="","",ROW()-6)</f>
        <v>1263</v>
      </c>
      <c r="B1269" s="145" t="n">
        <v>2085100</v>
      </c>
      <c r="C1269" s="146" t="n">
        <v>15421106</v>
      </c>
      <c r="D1269" s="146"/>
      <c r="E1269" s="82" t="str">
        <f aca="false">IF(B1269="","",IF(COUNTIFS('CARNET DE SOUDURE'!$L$7:$L$3006,B1269,'CARNET DE SOUDURE'!$M$7:$M$3006,"&lt;&gt;"&amp;C1269,'CARNET DE SOUDURE'!$M$7:$M$3006,"&lt;&gt;")+COUNTIFS('CARNET DE SOUDURE'!$O$7:$O$3006,B1269,'CARNET DE SOUDURE'!$P$7:$P$3006,"&lt;&gt;"&amp;C1269,'CARNET DE SOUDURE'!$P$7:$P$3006,"&lt;&gt;")&gt;0,"⚠ DIFFÉRENTE","OK"))</f>
        <v>OK</v>
      </c>
      <c r="F1269" s="147" t="n">
        <v>11.94</v>
      </c>
      <c r="G1269" s="80"/>
      <c r="H1269" s="83"/>
      <c r="I1269" s="148" t="str">
        <f aca="false">IF(B1269="","",IFERROR(INDEX('CARNET DE SOUDURE'!$B$7:$B$3006,MATCH(B1269,'CARNET DE SOUDURE'!$L$7:$L$3006,0)),IFERROR(INDEX('CARNET DE SOUDURE'!$B$7:$B$3006,MATCH(B1269,'CARNET DE SOUDURE'!$O$7:$O$3006,0)),"")))</f>
        <v>MFD-ISW → MFD-CPF</v>
      </c>
      <c r="J1269" s="82" t="str">
        <f aca="false">IF(B1269="","",IFERROR(INDEX('CARNET DE SOUDURE'!$E$7:$E$3006,MATCH(B1269,'CARNET DE SOUDURE'!$O$7:$O$3006,0)),""))</f>
        <v>JN°1905</v>
      </c>
      <c r="K1269" s="82" t="str">
        <f aca="false">IF(B1269="","",IFERROR(INDEX('CARNET DE SOUDURE'!$E$7:$E$3006,MATCH(B1269,'CARNET DE SOUDURE'!$L$7:$L$3006,0)),""))</f>
        <v>JN°1906</v>
      </c>
      <c r="L1269" s="82" t="n">
        <f aca="false">IF(B1269="","",IFERROR(INDEX('CARNET DE SOUDURE'!$D$7:$D$3006,MATCH(B1269,'CARNET DE SOUDURE'!$L$7:$L$3006,0)),IFERROR(INDEX('CARNET DE SOUDURE'!$D$7:$D$3006,MATCH(B1269,'CARNET DE SOUDURE'!$O$7:$O$3006,0)),"")))</f>
        <v>23</v>
      </c>
      <c r="M1269" s="82" t="str">
        <f aca="false">IF(B1269="","",IF(OR(J1269&lt;&gt;"",K1269&lt;&gt;""),"POSÉ EN LIGNE",IF(COUNTIF(BARDAGE!$C$1:$C$5000,B1269)&gt;0,"BARDÉ","EN STOCK")))</f>
        <v>POSÉ EN LIGNE</v>
      </c>
      <c r="N1269" s="80"/>
    </row>
    <row r="1270" customFormat="false" ht="15" hidden="false" customHeight="false" outlineLevel="0" collapsed="false">
      <c r="A1270" s="82" t="n">
        <f aca="false">IF(B1270="","",ROW()-6)</f>
        <v>1264</v>
      </c>
      <c r="B1270" s="145" t="n">
        <v>2095790</v>
      </c>
      <c r="C1270" s="146" t="n">
        <v>15421111</v>
      </c>
      <c r="D1270" s="146"/>
      <c r="E1270" s="82" t="str">
        <f aca="false">IF(B1270="","",IF(COUNTIFS('CARNET DE SOUDURE'!$L$7:$L$3006,B1270,'CARNET DE SOUDURE'!$M$7:$M$3006,"&lt;&gt;"&amp;C1270,'CARNET DE SOUDURE'!$M$7:$M$3006,"&lt;&gt;")+COUNTIFS('CARNET DE SOUDURE'!$O$7:$O$3006,B1270,'CARNET DE SOUDURE'!$P$7:$P$3006,"&lt;&gt;"&amp;C1270,'CARNET DE SOUDURE'!$P$7:$P$3006,"&lt;&gt;")&gt;0,"⚠ DIFFÉRENTE","OK"))</f>
        <v>OK</v>
      </c>
      <c r="F1270" s="147" t="n">
        <v>11.94</v>
      </c>
      <c r="G1270" s="80"/>
      <c r="H1270" s="83"/>
      <c r="I1270" s="148" t="str">
        <f aca="false">IF(B1270="","",IFERROR(INDEX('CARNET DE SOUDURE'!$B$7:$B$3006,MATCH(B1270,'CARNET DE SOUDURE'!$L$7:$L$3006,0)),IFERROR(INDEX('CARNET DE SOUDURE'!$B$7:$B$3006,MATCH(B1270,'CARNET DE SOUDURE'!$O$7:$O$3006,0)),"")))</f>
        <v>MFD-ISW → MFD-CPF</v>
      </c>
      <c r="J1270" s="82" t="str">
        <f aca="false">IF(B1270="","",IFERROR(INDEX('CARNET DE SOUDURE'!$E$7:$E$3006,MATCH(B1270,'CARNET DE SOUDURE'!$O$7:$O$3006,0)),""))</f>
        <v>JN°1906</v>
      </c>
      <c r="K1270" s="82" t="str">
        <f aca="false">IF(B1270="","",IFERROR(INDEX('CARNET DE SOUDURE'!$E$7:$E$3006,MATCH(B1270,'CARNET DE SOUDURE'!$L$7:$L$3006,0)),""))</f>
        <v>JN°1907</v>
      </c>
      <c r="L1270" s="82" t="n">
        <f aca="false">IF(B1270="","",IFERROR(INDEX('CARNET DE SOUDURE'!$D$7:$D$3006,MATCH(B1270,'CARNET DE SOUDURE'!$L$7:$L$3006,0)),IFERROR(INDEX('CARNET DE SOUDURE'!$D$7:$D$3006,MATCH(B1270,'CARNET DE SOUDURE'!$O$7:$O$3006,0)),"")))</f>
        <v>23</v>
      </c>
      <c r="M1270" s="82" t="str">
        <f aca="false">IF(B1270="","",IF(OR(J1270&lt;&gt;"",K1270&lt;&gt;""),"POSÉ EN LIGNE",IF(COUNTIF(BARDAGE!$C$1:$C$5000,B1270)&gt;0,"BARDÉ","EN STOCK")))</f>
        <v>POSÉ EN LIGNE</v>
      </c>
      <c r="N1270" s="80"/>
    </row>
    <row r="1271" customFormat="false" ht="15" hidden="false" customHeight="false" outlineLevel="0" collapsed="false">
      <c r="A1271" s="82" t="n">
        <f aca="false">IF(B1271="","",ROW()-6)</f>
        <v>1265</v>
      </c>
      <c r="B1271" s="145" t="n">
        <v>2090790</v>
      </c>
      <c r="C1271" s="146" t="n">
        <v>15421111</v>
      </c>
      <c r="D1271" s="146"/>
      <c r="E1271" s="82" t="str">
        <f aca="false">IF(B1271="","",IF(COUNTIFS('CARNET DE SOUDURE'!$L$7:$L$3006,B1271,'CARNET DE SOUDURE'!$M$7:$M$3006,"&lt;&gt;"&amp;C1271,'CARNET DE SOUDURE'!$M$7:$M$3006,"&lt;&gt;")+COUNTIFS('CARNET DE SOUDURE'!$O$7:$O$3006,B1271,'CARNET DE SOUDURE'!$P$7:$P$3006,"&lt;&gt;"&amp;C1271,'CARNET DE SOUDURE'!$P$7:$P$3006,"&lt;&gt;")&gt;0,"⚠ DIFFÉRENTE","OK"))</f>
        <v>OK</v>
      </c>
      <c r="F1271" s="147" t="n">
        <v>11.94</v>
      </c>
      <c r="G1271" s="80"/>
      <c r="H1271" s="83"/>
      <c r="I1271" s="148" t="str">
        <f aca="false">IF(B1271="","",IFERROR(INDEX('CARNET DE SOUDURE'!$B$7:$B$3006,MATCH(B1271,'CARNET DE SOUDURE'!$L$7:$L$3006,0)),IFERROR(INDEX('CARNET DE SOUDURE'!$B$7:$B$3006,MATCH(B1271,'CARNET DE SOUDURE'!$O$7:$O$3006,0)),"")))</f>
        <v>MFD-ISW → MFD-CPF</v>
      </c>
      <c r="J1271" s="82" t="str">
        <f aca="false">IF(B1271="","",IFERROR(INDEX('CARNET DE SOUDURE'!$E$7:$E$3006,MATCH(B1271,'CARNET DE SOUDURE'!$O$7:$O$3006,0)),""))</f>
        <v>JN°1907</v>
      </c>
      <c r="K1271" s="82" t="str">
        <f aca="false">IF(B1271="","",IFERROR(INDEX('CARNET DE SOUDURE'!$E$7:$E$3006,MATCH(B1271,'CARNET DE SOUDURE'!$L$7:$L$3006,0)),""))</f>
        <v>JN°1908</v>
      </c>
      <c r="L1271" s="82" t="n">
        <f aca="false">IF(B1271="","",IFERROR(INDEX('CARNET DE SOUDURE'!$D$7:$D$3006,MATCH(B1271,'CARNET DE SOUDURE'!$L$7:$L$3006,0)),IFERROR(INDEX('CARNET DE SOUDURE'!$D$7:$D$3006,MATCH(B1271,'CARNET DE SOUDURE'!$O$7:$O$3006,0)),"")))</f>
        <v>23</v>
      </c>
      <c r="M1271" s="82" t="str">
        <f aca="false">IF(B1271="","",IF(OR(J1271&lt;&gt;"",K1271&lt;&gt;""),"POSÉ EN LIGNE",IF(COUNTIF(BARDAGE!$C$1:$C$5000,B1271)&gt;0,"BARDÉ","EN STOCK")))</f>
        <v>POSÉ EN LIGNE</v>
      </c>
      <c r="N1271" s="80"/>
    </row>
    <row r="1272" customFormat="false" ht="15" hidden="false" customHeight="false" outlineLevel="0" collapsed="false">
      <c r="A1272" s="82" t="n">
        <f aca="false">IF(B1272="","",ROW()-6)</f>
        <v>1266</v>
      </c>
      <c r="B1272" s="145" t="n">
        <v>2090200</v>
      </c>
      <c r="C1272" s="146" t="n">
        <v>15421107</v>
      </c>
      <c r="D1272" s="146"/>
      <c r="E1272" s="82" t="str">
        <f aca="false">IF(B1272="","",IF(COUNTIFS('CARNET DE SOUDURE'!$L$7:$L$3006,B1272,'CARNET DE SOUDURE'!$M$7:$M$3006,"&lt;&gt;"&amp;C1272,'CARNET DE SOUDURE'!$M$7:$M$3006,"&lt;&gt;")+COUNTIFS('CARNET DE SOUDURE'!$O$7:$O$3006,B1272,'CARNET DE SOUDURE'!$P$7:$P$3006,"&lt;&gt;"&amp;C1272,'CARNET DE SOUDURE'!$P$7:$P$3006,"&lt;&gt;")&gt;0,"⚠ DIFFÉRENTE","OK"))</f>
        <v>OK</v>
      </c>
      <c r="F1272" s="147" t="n">
        <v>11.94</v>
      </c>
      <c r="G1272" s="80"/>
      <c r="H1272" s="83"/>
      <c r="I1272" s="148" t="str">
        <f aca="false">IF(B1272="","",IFERROR(INDEX('CARNET DE SOUDURE'!$B$7:$B$3006,MATCH(B1272,'CARNET DE SOUDURE'!$L$7:$L$3006,0)),IFERROR(INDEX('CARNET DE SOUDURE'!$B$7:$B$3006,MATCH(B1272,'CARNET DE SOUDURE'!$O$7:$O$3006,0)),"")))</f>
        <v>MFD-ISW → MFD-CPF</v>
      </c>
      <c r="J1272" s="82" t="str">
        <f aca="false">IF(B1272="","",IFERROR(INDEX('CARNET DE SOUDURE'!$E$7:$E$3006,MATCH(B1272,'CARNET DE SOUDURE'!$O$7:$O$3006,0)),""))</f>
        <v>JN°1908</v>
      </c>
      <c r="K1272" s="82" t="str">
        <f aca="false">IF(B1272="","",IFERROR(INDEX('CARNET DE SOUDURE'!$E$7:$E$3006,MATCH(B1272,'CARNET DE SOUDURE'!$L$7:$L$3006,0)),""))</f>
        <v>JN°1909</v>
      </c>
      <c r="L1272" s="82" t="n">
        <f aca="false">IF(B1272="","",IFERROR(INDEX('CARNET DE SOUDURE'!$D$7:$D$3006,MATCH(B1272,'CARNET DE SOUDURE'!$L$7:$L$3006,0)),IFERROR(INDEX('CARNET DE SOUDURE'!$D$7:$D$3006,MATCH(B1272,'CARNET DE SOUDURE'!$O$7:$O$3006,0)),"")))</f>
        <v>23</v>
      </c>
      <c r="M1272" s="82" t="str">
        <f aca="false">IF(B1272="","",IF(OR(J1272&lt;&gt;"",K1272&lt;&gt;""),"POSÉ EN LIGNE",IF(COUNTIF(BARDAGE!$C$1:$C$5000,B1272)&gt;0,"BARDÉ","EN STOCK")))</f>
        <v>POSÉ EN LIGNE</v>
      </c>
      <c r="N1272" s="80"/>
    </row>
    <row r="1273" customFormat="false" ht="15" hidden="false" customHeight="false" outlineLevel="0" collapsed="false">
      <c r="A1273" s="82" t="n">
        <f aca="false">IF(B1273="","",ROW()-6)</f>
        <v>1267</v>
      </c>
      <c r="B1273" s="145" t="n">
        <v>2084480</v>
      </c>
      <c r="C1273" s="146" t="n">
        <v>15421109</v>
      </c>
      <c r="D1273" s="146"/>
      <c r="E1273" s="82" t="str">
        <f aca="false">IF(B1273="","",IF(COUNTIFS('CARNET DE SOUDURE'!$L$7:$L$3006,B1273,'CARNET DE SOUDURE'!$M$7:$M$3006,"&lt;&gt;"&amp;C1273,'CARNET DE SOUDURE'!$M$7:$M$3006,"&lt;&gt;")+COUNTIFS('CARNET DE SOUDURE'!$O$7:$O$3006,B1273,'CARNET DE SOUDURE'!$P$7:$P$3006,"&lt;&gt;"&amp;C1273,'CARNET DE SOUDURE'!$P$7:$P$3006,"&lt;&gt;")&gt;0,"⚠ DIFFÉRENTE","OK"))</f>
        <v>OK</v>
      </c>
      <c r="F1273" s="147" t="n">
        <v>11.94</v>
      </c>
      <c r="G1273" s="80"/>
      <c r="H1273" s="83"/>
      <c r="I1273" s="148" t="str">
        <f aca="false">IF(B1273="","",IFERROR(INDEX('CARNET DE SOUDURE'!$B$7:$B$3006,MATCH(B1273,'CARNET DE SOUDURE'!$L$7:$L$3006,0)),IFERROR(INDEX('CARNET DE SOUDURE'!$B$7:$B$3006,MATCH(B1273,'CARNET DE SOUDURE'!$O$7:$O$3006,0)),"")))</f>
        <v>MFD-ISW → MFD-CPF</v>
      </c>
      <c r="J1273" s="82" t="str">
        <f aca="false">IF(B1273="","",IFERROR(INDEX('CARNET DE SOUDURE'!$E$7:$E$3006,MATCH(B1273,'CARNET DE SOUDURE'!$O$7:$O$3006,0)),""))</f>
        <v>JN°1909</v>
      </c>
      <c r="K1273" s="82" t="str">
        <f aca="false">IF(B1273="","",IFERROR(INDEX('CARNET DE SOUDURE'!$E$7:$E$3006,MATCH(B1273,'CARNET DE SOUDURE'!$L$7:$L$3006,0)),""))</f>
        <v>JN°1910</v>
      </c>
      <c r="L1273" s="82" t="n">
        <f aca="false">IF(B1273="","",IFERROR(INDEX('CARNET DE SOUDURE'!$D$7:$D$3006,MATCH(B1273,'CARNET DE SOUDURE'!$L$7:$L$3006,0)),IFERROR(INDEX('CARNET DE SOUDURE'!$D$7:$D$3006,MATCH(B1273,'CARNET DE SOUDURE'!$O$7:$O$3006,0)),"")))</f>
        <v>23</v>
      </c>
      <c r="M1273" s="82" t="str">
        <f aca="false">IF(B1273="","",IF(OR(J1273&lt;&gt;"",K1273&lt;&gt;""),"POSÉ EN LIGNE",IF(COUNTIF(BARDAGE!$C$1:$C$5000,B1273)&gt;0,"BARDÉ","EN STOCK")))</f>
        <v>POSÉ EN LIGNE</v>
      </c>
      <c r="N1273" s="80"/>
    </row>
    <row r="1274" customFormat="false" ht="15" hidden="false" customHeight="false" outlineLevel="0" collapsed="false">
      <c r="A1274" s="82" t="n">
        <f aca="false">IF(B1274="","",ROW()-6)</f>
        <v>1268</v>
      </c>
      <c r="B1274" s="145" t="n">
        <v>2083960</v>
      </c>
      <c r="C1274" s="146" t="n">
        <v>15421106</v>
      </c>
      <c r="D1274" s="146"/>
      <c r="E1274" s="82" t="str">
        <f aca="false">IF(B1274="","",IF(COUNTIFS('CARNET DE SOUDURE'!$L$7:$L$3006,B1274,'CARNET DE SOUDURE'!$M$7:$M$3006,"&lt;&gt;"&amp;C1274,'CARNET DE SOUDURE'!$M$7:$M$3006,"&lt;&gt;")+COUNTIFS('CARNET DE SOUDURE'!$O$7:$O$3006,B1274,'CARNET DE SOUDURE'!$P$7:$P$3006,"&lt;&gt;"&amp;C1274,'CARNET DE SOUDURE'!$P$7:$P$3006,"&lt;&gt;")&gt;0,"⚠ DIFFÉRENTE","OK"))</f>
        <v>OK</v>
      </c>
      <c r="F1274" s="147" t="n">
        <v>11.94</v>
      </c>
      <c r="G1274" s="80"/>
      <c r="H1274" s="83"/>
      <c r="I1274" s="148" t="str">
        <f aca="false">IF(B1274="","",IFERROR(INDEX('CARNET DE SOUDURE'!$B$7:$B$3006,MATCH(B1274,'CARNET DE SOUDURE'!$L$7:$L$3006,0)),IFERROR(INDEX('CARNET DE SOUDURE'!$B$7:$B$3006,MATCH(B1274,'CARNET DE SOUDURE'!$O$7:$O$3006,0)),"")))</f>
        <v>MFD-ISW → MFD-CPF</v>
      </c>
      <c r="J1274" s="82" t="str">
        <f aca="false">IF(B1274="","",IFERROR(INDEX('CARNET DE SOUDURE'!$E$7:$E$3006,MATCH(B1274,'CARNET DE SOUDURE'!$O$7:$O$3006,0)),""))</f>
        <v>JN°1910</v>
      </c>
      <c r="K1274" s="82" t="str">
        <f aca="false">IF(B1274="","",IFERROR(INDEX('CARNET DE SOUDURE'!$E$7:$E$3006,MATCH(B1274,'CARNET DE SOUDURE'!$L$7:$L$3006,0)),""))</f>
        <v>JN°1911</v>
      </c>
      <c r="L1274" s="82" t="n">
        <f aca="false">IF(B1274="","",IFERROR(INDEX('CARNET DE SOUDURE'!$D$7:$D$3006,MATCH(B1274,'CARNET DE SOUDURE'!$L$7:$L$3006,0)),IFERROR(INDEX('CARNET DE SOUDURE'!$D$7:$D$3006,MATCH(B1274,'CARNET DE SOUDURE'!$O$7:$O$3006,0)),"")))</f>
        <v>23</v>
      </c>
      <c r="M1274" s="82" t="str">
        <f aca="false">IF(B1274="","",IF(OR(J1274&lt;&gt;"",K1274&lt;&gt;""),"POSÉ EN LIGNE",IF(COUNTIF(BARDAGE!$C$1:$C$5000,B1274)&gt;0,"BARDÉ","EN STOCK")))</f>
        <v>POSÉ EN LIGNE</v>
      </c>
      <c r="N1274" s="80"/>
    </row>
    <row r="1275" customFormat="false" ht="15" hidden="false" customHeight="false" outlineLevel="0" collapsed="false">
      <c r="A1275" s="82" t="n">
        <f aca="false">IF(B1275="","",ROW()-6)</f>
        <v>1269</v>
      </c>
      <c r="B1275" s="145" t="n">
        <v>2090720</v>
      </c>
      <c r="C1275" s="146" t="n">
        <v>15421106</v>
      </c>
      <c r="D1275" s="146"/>
      <c r="E1275" s="82" t="str">
        <f aca="false">IF(B1275="","",IF(COUNTIFS('CARNET DE SOUDURE'!$L$7:$L$3006,B1275,'CARNET DE SOUDURE'!$M$7:$M$3006,"&lt;&gt;"&amp;C1275,'CARNET DE SOUDURE'!$M$7:$M$3006,"&lt;&gt;")+COUNTIFS('CARNET DE SOUDURE'!$O$7:$O$3006,B1275,'CARNET DE SOUDURE'!$P$7:$P$3006,"&lt;&gt;"&amp;C1275,'CARNET DE SOUDURE'!$P$7:$P$3006,"&lt;&gt;")&gt;0,"⚠ DIFFÉRENTE","OK"))</f>
        <v>OK</v>
      </c>
      <c r="F1275" s="147" t="n">
        <v>11.94</v>
      </c>
      <c r="G1275" s="80"/>
      <c r="H1275" s="83"/>
      <c r="I1275" s="148" t="str">
        <f aca="false">IF(B1275="","",IFERROR(INDEX('CARNET DE SOUDURE'!$B$7:$B$3006,MATCH(B1275,'CARNET DE SOUDURE'!$L$7:$L$3006,0)),IFERROR(INDEX('CARNET DE SOUDURE'!$B$7:$B$3006,MATCH(B1275,'CARNET DE SOUDURE'!$O$7:$O$3006,0)),"")))</f>
        <v>MFD-ISW → MFD-CPF</v>
      </c>
      <c r="J1275" s="82" t="str">
        <f aca="false">IF(B1275="","",IFERROR(INDEX('CARNET DE SOUDURE'!$E$7:$E$3006,MATCH(B1275,'CARNET DE SOUDURE'!$O$7:$O$3006,0)),""))</f>
        <v>JN°1911</v>
      </c>
      <c r="K1275" s="82" t="str">
        <f aca="false">IF(B1275="","",IFERROR(INDEX('CARNET DE SOUDURE'!$E$7:$E$3006,MATCH(B1275,'CARNET DE SOUDURE'!$L$7:$L$3006,0)),""))</f>
        <v>JN°1912</v>
      </c>
      <c r="L1275" s="82" t="n">
        <f aca="false">IF(B1275="","",IFERROR(INDEX('CARNET DE SOUDURE'!$D$7:$D$3006,MATCH(B1275,'CARNET DE SOUDURE'!$L$7:$L$3006,0)),IFERROR(INDEX('CARNET DE SOUDURE'!$D$7:$D$3006,MATCH(B1275,'CARNET DE SOUDURE'!$O$7:$O$3006,0)),"")))</f>
        <v>23</v>
      </c>
      <c r="M1275" s="82" t="str">
        <f aca="false">IF(B1275="","",IF(OR(J1275&lt;&gt;"",K1275&lt;&gt;""),"POSÉ EN LIGNE",IF(COUNTIF(BARDAGE!$C$1:$C$5000,B1275)&gt;0,"BARDÉ","EN STOCK")))</f>
        <v>POSÉ EN LIGNE</v>
      </c>
      <c r="N1275" s="80"/>
    </row>
    <row r="1276" customFormat="false" ht="15" hidden="false" customHeight="false" outlineLevel="0" collapsed="false">
      <c r="A1276" s="82" t="n">
        <f aca="false">IF(B1276="","",ROW()-6)</f>
        <v>1270</v>
      </c>
      <c r="B1276" s="145" t="n">
        <v>2088370</v>
      </c>
      <c r="C1276" s="146" t="n">
        <v>15421109</v>
      </c>
      <c r="D1276" s="146"/>
      <c r="E1276" s="82" t="str">
        <f aca="false">IF(B1276="","",IF(COUNTIFS('CARNET DE SOUDURE'!$L$7:$L$3006,B1276,'CARNET DE SOUDURE'!$M$7:$M$3006,"&lt;&gt;"&amp;C1276,'CARNET DE SOUDURE'!$M$7:$M$3006,"&lt;&gt;")+COUNTIFS('CARNET DE SOUDURE'!$O$7:$O$3006,B1276,'CARNET DE SOUDURE'!$P$7:$P$3006,"&lt;&gt;"&amp;C1276,'CARNET DE SOUDURE'!$P$7:$P$3006,"&lt;&gt;")&gt;0,"⚠ DIFFÉRENTE","OK"))</f>
        <v>OK</v>
      </c>
      <c r="F1276" s="147" t="n">
        <v>11.94</v>
      </c>
      <c r="G1276" s="80"/>
      <c r="H1276" s="83"/>
      <c r="I1276" s="148" t="str">
        <f aca="false">IF(B1276="","",IFERROR(INDEX('CARNET DE SOUDURE'!$B$7:$B$3006,MATCH(B1276,'CARNET DE SOUDURE'!$L$7:$L$3006,0)),IFERROR(INDEX('CARNET DE SOUDURE'!$B$7:$B$3006,MATCH(B1276,'CARNET DE SOUDURE'!$O$7:$O$3006,0)),"")))</f>
        <v>MFD-ISW → MFD-CPF</v>
      </c>
      <c r="J1276" s="82" t="str">
        <f aca="false">IF(B1276="","",IFERROR(INDEX('CARNET DE SOUDURE'!$E$7:$E$3006,MATCH(B1276,'CARNET DE SOUDURE'!$O$7:$O$3006,0)),""))</f>
        <v>JN°1912</v>
      </c>
      <c r="K1276" s="82" t="str">
        <f aca="false">IF(B1276="","",IFERROR(INDEX('CARNET DE SOUDURE'!$E$7:$E$3006,MATCH(B1276,'CARNET DE SOUDURE'!$L$7:$L$3006,0)),""))</f>
        <v>JN°1913</v>
      </c>
      <c r="L1276" s="82" t="n">
        <f aca="false">IF(B1276="","",IFERROR(INDEX('CARNET DE SOUDURE'!$D$7:$D$3006,MATCH(B1276,'CARNET DE SOUDURE'!$L$7:$L$3006,0)),IFERROR(INDEX('CARNET DE SOUDURE'!$D$7:$D$3006,MATCH(B1276,'CARNET DE SOUDURE'!$O$7:$O$3006,0)),"")))</f>
        <v>23</v>
      </c>
      <c r="M1276" s="82" t="str">
        <f aca="false">IF(B1276="","",IF(OR(J1276&lt;&gt;"",K1276&lt;&gt;""),"POSÉ EN LIGNE",IF(COUNTIF(BARDAGE!$C$1:$C$5000,B1276)&gt;0,"BARDÉ","EN STOCK")))</f>
        <v>POSÉ EN LIGNE</v>
      </c>
      <c r="N1276" s="80"/>
    </row>
    <row r="1277" customFormat="false" ht="15" hidden="false" customHeight="false" outlineLevel="0" collapsed="false">
      <c r="A1277" s="82" t="n">
        <f aca="false">IF(B1277="","",ROW()-6)</f>
        <v>1271</v>
      </c>
      <c r="B1277" s="145" t="n">
        <v>2087090</v>
      </c>
      <c r="C1277" s="146" t="n">
        <v>15421108</v>
      </c>
      <c r="D1277" s="146"/>
      <c r="E1277" s="82" t="str">
        <f aca="false">IF(B1277="","",IF(COUNTIFS('CARNET DE SOUDURE'!$L$7:$L$3006,B1277,'CARNET DE SOUDURE'!$M$7:$M$3006,"&lt;&gt;"&amp;C1277,'CARNET DE SOUDURE'!$M$7:$M$3006,"&lt;&gt;")+COUNTIFS('CARNET DE SOUDURE'!$O$7:$O$3006,B1277,'CARNET DE SOUDURE'!$P$7:$P$3006,"&lt;&gt;"&amp;C1277,'CARNET DE SOUDURE'!$P$7:$P$3006,"&lt;&gt;")&gt;0,"⚠ DIFFÉRENTE","OK"))</f>
        <v>OK</v>
      </c>
      <c r="F1277" s="147" t="n">
        <v>11.94</v>
      </c>
      <c r="G1277" s="80"/>
      <c r="H1277" s="83"/>
      <c r="I1277" s="148" t="str">
        <f aca="false">IF(B1277="","",IFERROR(INDEX('CARNET DE SOUDURE'!$B$7:$B$3006,MATCH(B1277,'CARNET DE SOUDURE'!$L$7:$L$3006,0)),IFERROR(INDEX('CARNET DE SOUDURE'!$B$7:$B$3006,MATCH(B1277,'CARNET DE SOUDURE'!$O$7:$O$3006,0)),"")))</f>
        <v>MFD-ISW → MFD-CPF</v>
      </c>
      <c r="J1277" s="82" t="str">
        <f aca="false">IF(B1277="","",IFERROR(INDEX('CARNET DE SOUDURE'!$E$7:$E$3006,MATCH(B1277,'CARNET DE SOUDURE'!$O$7:$O$3006,0)),""))</f>
        <v>JN°1913</v>
      </c>
      <c r="K1277" s="82" t="str">
        <f aca="false">IF(B1277="","",IFERROR(INDEX('CARNET DE SOUDURE'!$E$7:$E$3006,MATCH(B1277,'CARNET DE SOUDURE'!$L$7:$L$3006,0)),""))</f>
        <v>JN°1914</v>
      </c>
      <c r="L1277" s="82" t="n">
        <f aca="false">IF(B1277="","",IFERROR(INDEX('CARNET DE SOUDURE'!$D$7:$D$3006,MATCH(B1277,'CARNET DE SOUDURE'!$L$7:$L$3006,0)),IFERROR(INDEX('CARNET DE SOUDURE'!$D$7:$D$3006,MATCH(B1277,'CARNET DE SOUDURE'!$O$7:$O$3006,0)),"")))</f>
        <v>23</v>
      </c>
      <c r="M1277" s="82" t="str">
        <f aca="false">IF(B1277="","",IF(OR(J1277&lt;&gt;"",K1277&lt;&gt;""),"POSÉ EN LIGNE",IF(COUNTIF(BARDAGE!$C$1:$C$5000,B1277)&gt;0,"BARDÉ","EN STOCK")))</f>
        <v>POSÉ EN LIGNE</v>
      </c>
      <c r="N1277" s="80"/>
    </row>
    <row r="1278" customFormat="false" ht="15" hidden="false" customHeight="false" outlineLevel="0" collapsed="false">
      <c r="A1278" s="82" t="n">
        <f aca="false">IF(B1278="","",ROW()-6)</f>
        <v>1272</v>
      </c>
      <c r="B1278" s="145" t="n">
        <v>2083370</v>
      </c>
      <c r="C1278" s="146" t="n">
        <v>15421111</v>
      </c>
      <c r="D1278" s="146"/>
      <c r="E1278" s="82" t="str">
        <f aca="false">IF(B1278="","",IF(COUNTIFS('CARNET DE SOUDURE'!$L$7:$L$3006,B1278,'CARNET DE SOUDURE'!$M$7:$M$3006,"&lt;&gt;"&amp;C1278,'CARNET DE SOUDURE'!$M$7:$M$3006,"&lt;&gt;")+COUNTIFS('CARNET DE SOUDURE'!$O$7:$O$3006,B1278,'CARNET DE SOUDURE'!$P$7:$P$3006,"&lt;&gt;"&amp;C1278,'CARNET DE SOUDURE'!$P$7:$P$3006,"&lt;&gt;")&gt;0,"⚠ DIFFÉRENTE","OK"))</f>
        <v>OK</v>
      </c>
      <c r="F1278" s="147" t="n">
        <v>11.94</v>
      </c>
      <c r="G1278" s="80"/>
      <c r="H1278" s="83"/>
      <c r="I1278" s="148" t="str">
        <f aca="false">IF(B1278="","",IFERROR(INDEX('CARNET DE SOUDURE'!$B$7:$B$3006,MATCH(B1278,'CARNET DE SOUDURE'!$L$7:$L$3006,0)),IFERROR(INDEX('CARNET DE SOUDURE'!$B$7:$B$3006,MATCH(B1278,'CARNET DE SOUDURE'!$O$7:$O$3006,0)),"")))</f>
        <v>MFD-ISW → MFD-CPF</v>
      </c>
      <c r="J1278" s="82" t="str">
        <f aca="false">IF(B1278="","",IFERROR(INDEX('CARNET DE SOUDURE'!$E$7:$E$3006,MATCH(B1278,'CARNET DE SOUDURE'!$O$7:$O$3006,0)),""))</f>
        <v>JN°1914</v>
      </c>
      <c r="K1278" s="82" t="str">
        <f aca="false">IF(B1278="","",IFERROR(INDEX('CARNET DE SOUDURE'!$E$7:$E$3006,MATCH(B1278,'CARNET DE SOUDURE'!$L$7:$L$3006,0)),""))</f>
        <v>JN°1915</v>
      </c>
      <c r="L1278" s="82" t="n">
        <f aca="false">IF(B1278="","",IFERROR(INDEX('CARNET DE SOUDURE'!$D$7:$D$3006,MATCH(B1278,'CARNET DE SOUDURE'!$L$7:$L$3006,0)),IFERROR(INDEX('CARNET DE SOUDURE'!$D$7:$D$3006,MATCH(B1278,'CARNET DE SOUDURE'!$O$7:$O$3006,0)),"")))</f>
        <v>23</v>
      </c>
      <c r="M1278" s="82" t="str">
        <f aca="false">IF(B1278="","",IF(OR(J1278&lt;&gt;"",K1278&lt;&gt;""),"POSÉ EN LIGNE",IF(COUNTIF(BARDAGE!$C$1:$C$5000,B1278)&gt;0,"BARDÉ","EN STOCK")))</f>
        <v>POSÉ EN LIGNE</v>
      </c>
      <c r="N1278" s="80"/>
    </row>
    <row r="1279" customFormat="false" ht="15" hidden="false" customHeight="false" outlineLevel="0" collapsed="false">
      <c r="A1279" s="82" t="n">
        <f aca="false">IF(B1279="","",ROW()-6)</f>
        <v>1273</v>
      </c>
      <c r="B1279" s="145" t="n">
        <v>2091690</v>
      </c>
      <c r="C1279" s="146" t="n">
        <v>15421105</v>
      </c>
      <c r="D1279" s="146"/>
      <c r="E1279" s="82" t="str">
        <f aca="false">IF(B1279="","",IF(COUNTIFS('CARNET DE SOUDURE'!$L$7:$L$3006,B1279,'CARNET DE SOUDURE'!$M$7:$M$3006,"&lt;&gt;"&amp;C1279,'CARNET DE SOUDURE'!$M$7:$M$3006,"&lt;&gt;")+COUNTIFS('CARNET DE SOUDURE'!$O$7:$O$3006,B1279,'CARNET DE SOUDURE'!$P$7:$P$3006,"&lt;&gt;"&amp;C1279,'CARNET DE SOUDURE'!$P$7:$P$3006,"&lt;&gt;")&gt;0,"⚠ DIFFÉRENTE","OK"))</f>
        <v>OK</v>
      </c>
      <c r="F1279" s="147" t="n">
        <v>11.94</v>
      </c>
      <c r="G1279" s="80"/>
      <c r="H1279" s="83"/>
      <c r="I1279" s="148" t="str">
        <f aca="false">IF(B1279="","",IFERROR(INDEX('CARNET DE SOUDURE'!$B$7:$B$3006,MATCH(B1279,'CARNET DE SOUDURE'!$L$7:$L$3006,0)),IFERROR(INDEX('CARNET DE SOUDURE'!$B$7:$B$3006,MATCH(B1279,'CARNET DE SOUDURE'!$O$7:$O$3006,0)),"")))</f>
        <v>MFD-ISW → MFD-CPF</v>
      </c>
      <c r="J1279" s="82" t="str">
        <f aca="false">IF(B1279="","",IFERROR(INDEX('CARNET DE SOUDURE'!$E$7:$E$3006,MATCH(B1279,'CARNET DE SOUDURE'!$O$7:$O$3006,0)),""))</f>
        <v>JN°1915</v>
      </c>
      <c r="K1279" s="82" t="str">
        <f aca="false">IF(B1279="","",IFERROR(INDEX('CARNET DE SOUDURE'!$E$7:$E$3006,MATCH(B1279,'CARNET DE SOUDURE'!$L$7:$L$3006,0)),""))</f>
        <v>JN°1916</v>
      </c>
      <c r="L1279" s="82" t="n">
        <f aca="false">IF(B1279="","",IFERROR(INDEX('CARNET DE SOUDURE'!$D$7:$D$3006,MATCH(B1279,'CARNET DE SOUDURE'!$L$7:$L$3006,0)),IFERROR(INDEX('CARNET DE SOUDURE'!$D$7:$D$3006,MATCH(B1279,'CARNET DE SOUDURE'!$O$7:$O$3006,0)),"")))</f>
        <v>23</v>
      </c>
      <c r="M1279" s="82" t="str">
        <f aca="false">IF(B1279="","",IF(OR(J1279&lt;&gt;"",K1279&lt;&gt;""),"POSÉ EN LIGNE",IF(COUNTIF(BARDAGE!$C$1:$C$5000,B1279)&gt;0,"BARDÉ","EN STOCK")))</f>
        <v>POSÉ EN LIGNE</v>
      </c>
      <c r="N1279" s="80"/>
    </row>
    <row r="1280" customFormat="false" ht="15" hidden="false" customHeight="false" outlineLevel="0" collapsed="false">
      <c r="A1280" s="82" t="n">
        <f aca="false">IF(B1280="","",ROW()-6)</f>
        <v>1274</v>
      </c>
      <c r="B1280" s="145" t="n">
        <v>2083850</v>
      </c>
      <c r="C1280" s="146" t="n">
        <v>15421105</v>
      </c>
      <c r="D1280" s="146"/>
      <c r="E1280" s="82" t="str">
        <f aca="false">IF(B1280="","",IF(COUNTIFS('CARNET DE SOUDURE'!$L$7:$L$3006,B1280,'CARNET DE SOUDURE'!$M$7:$M$3006,"&lt;&gt;"&amp;C1280,'CARNET DE SOUDURE'!$M$7:$M$3006,"&lt;&gt;")+COUNTIFS('CARNET DE SOUDURE'!$O$7:$O$3006,B1280,'CARNET DE SOUDURE'!$P$7:$P$3006,"&lt;&gt;"&amp;C1280,'CARNET DE SOUDURE'!$P$7:$P$3006,"&lt;&gt;")&gt;0,"⚠ DIFFÉRENTE","OK"))</f>
        <v>OK</v>
      </c>
      <c r="F1280" s="147" t="n">
        <v>11.94</v>
      </c>
      <c r="G1280" s="80"/>
      <c r="H1280" s="83"/>
      <c r="I1280" s="148" t="str">
        <f aca="false">IF(B1280="","",IFERROR(INDEX('CARNET DE SOUDURE'!$B$7:$B$3006,MATCH(B1280,'CARNET DE SOUDURE'!$L$7:$L$3006,0)),IFERROR(INDEX('CARNET DE SOUDURE'!$B$7:$B$3006,MATCH(B1280,'CARNET DE SOUDURE'!$O$7:$O$3006,0)),"")))</f>
        <v>MFD-ISW → MFD-CPF</v>
      </c>
      <c r="J1280" s="82" t="str">
        <f aca="false">IF(B1280="","",IFERROR(INDEX('CARNET DE SOUDURE'!$E$7:$E$3006,MATCH(B1280,'CARNET DE SOUDURE'!$O$7:$O$3006,0)),""))</f>
        <v>JN°1916</v>
      </c>
      <c r="K1280" s="82" t="str">
        <f aca="false">IF(B1280="","",IFERROR(INDEX('CARNET DE SOUDURE'!$E$7:$E$3006,MATCH(B1280,'CARNET DE SOUDURE'!$L$7:$L$3006,0)),""))</f>
        <v>JN°1917</v>
      </c>
      <c r="L1280" s="82" t="n">
        <f aca="false">IF(B1280="","",IFERROR(INDEX('CARNET DE SOUDURE'!$D$7:$D$3006,MATCH(B1280,'CARNET DE SOUDURE'!$L$7:$L$3006,0)),IFERROR(INDEX('CARNET DE SOUDURE'!$D$7:$D$3006,MATCH(B1280,'CARNET DE SOUDURE'!$O$7:$O$3006,0)),"")))</f>
        <v>23</v>
      </c>
      <c r="M1280" s="82" t="str">
        <f aca="false">IF(B1280="","",IF(OR(J1280&lt;&gt;"",K1280&lt;&gt;""),"POSÉ EN LIGNE",IF(COUNTIF(BARDAGE!$C$1:$C$5000,B1280)&gt;0,"BARDÉ","EN STOCK")))</f>
        <v>POSÉ EN LIGNE</v>
      </c>
      <c r="N1280" s="80"/>
    </row>
    <row r="1281" customFormat="false" ht="15" hidden="false" customHeight="false" outlineLevel="0" collapsed="false">
      <c r="A1281" s="82" t="n">
        <f aca="false">IF(B1281="","",ROW()-6)</f>
        <v>1275</v>
      </c>
      <c r="B1281" s="145" t="n">
        <v>2093250</v>
      </c>
      <c r="C1281" s="146" t="n">
        <v>15421110</v>
      </c>
      <c r="D1281" s="146"/>
      <c r="E1281" s="82" t="str">
        <f aca="false">IF(B1281="","",IF(COUNTIFS('CARNET DE SOUDURE'!$L$7:$L$3006,B1281,'CARNET DE SOUDURE'!$M$7:$M$3006,"&lt;&gt;"&amp;C1281,'CARNET DE SOUDURE'!$M$7:$M$3006,"&lt;&gt;")+COUNTIFS('CARNET DE SOUDURE'!$O$7:$O$3006,B1281,'CARNET DE SOUDURE'!$P$7:$P$3006,"&lt;&gt;"&amp;C1281,'CARNET DE SOUDURE'!$P$7:$P$3006,"&lt;&gt;")&gt;0,"⚠ DIFFÉRENTE","OK"))</f>
        <v>OK</v>
      </c>
      <c r="F1281" s="147" t="n">
        <v>11.94</v>
      </c>
      <c r="G1281" s="80"/>
      <c r="H1281" s="83"/>
      <c r="I1281" s="148" t="str">
        <f aca="false">IF(B1281="","",IFERROR(INDEX('CARNET DE SOUDURE'!$B$7:$B$3006,MATCH(B1281,'CARNET DE SOUDURE'!$L$7:$L$3006,0)),IFERROR(INDEX('CARNET DE SOUDURE'!$B$7:$B$3006,MATCH(B1281,'CARNET DE SOUDURE'!$O$7:$O$3006,0)),"")))</f>
        <v>MFD-ISW → MFD-CPF</v>
      </c>
      <c r="J1281" s="82" t="str">
        <f aca="false">IF(B1281="","",IFERROR(INDEX('CARNET DE SOUDURE'!$E$7:$E$3006,MATCH(B1281,'CARNET DE SOUDURE'!$O$7:$O$3006,0)),""))</f>
        <v>JN°1917</v>
      </c>
      <c r="K1281" s="82" t="str">
        <f aca="false">IF(B1281="","",IFERROR(INDEX('CARNET DE SOUDURE'!$E$7:$E$3006,MATCH(B1281,'CARNET DE SOUDURE'!$L$7:$L$3006,0)),""))</f>
        <v>JN°1918</v>
      </c>
      <c r="L1281" s="82" t="n">
        <f aca="false">IF(B1281="","",IFERROR(INDEX('CARNET DE SOUDURE'!$D$7:$D$3006,MATCH(B1281,'CARNET DE SOUDURE'!$L$7:$L$3006,0)),IFERROR(INDEX('CARNET DE SOUDURE'!$D$7:$D$3006,MATCH(B1281,'CARNET DE SOUDURE'!$O$7:$O$3006,0)),"")))</f>
        <v>23</v>
      </c>
      <c r="M1281" s="82" t="str">
        <f aca="false">IF(B1281="","",IF(OR(J1281&lt;&gt;"",K1281&lt;&gt;""),"POSÉ EN LIGNE",IF(COUNTIF(BARDAGE!$C$1:$C$5000,B1281)&gt;0,"BARDÉ","EN STOCK")))</f>
        <v>POSÉ EN LIGNE</v>
      </c>
      <c r="N1281" s="80"/>
    </row>
    <row r="1282" customFormat="false" ht="15" hidden="false" customHeight="false" outlineLevel="0" collapsed="false">
      <c r="A1282" s="82" t="n">
        <f aca="false">IF(B1282="","",ROW()-6)</f>
        <v>1276</v>
      </c>
      <c r="B1282" s="145" t="n">
        <v>2097820</v>
      </c>
      <c r="C1282" s="146" t="n">
        <v>15421112</v>
      </c>
      <c r="D1282" s="146"/>
      <c r="E1282" s="82" t="str">
        <f aca="false">IF(B1282="","",IF(COUNTIFS('CARNET DE SOUDURE'!$L$7:$L$3006,B1282,'CARNET DE SOUDURE'!$M$7:$M$3006,"&lt;&gt;"&amp;C1282,'CARNET DE SOUDURE'!$M$7:$M$3006,"&lt;&gt;")+COUNTIFS('CARNET DE SOUDURE'!$O$7:$O$3006,B1282,'CARNET DE SOUDURE'!$P$7:$P$3006,"&lt;&gt;"&amp;C1282,'CARNET DE SOUDURE'!$P$7:$P$3006,"&lt;&gt;")&gt;0,"⚠ DIFFÉRENTE","OK"))</f>
        <v>OK</v>
      </c>
      <c r="F1282" s="147" t="n">
        <v>11.94</v>
      </c>
      <c r="G1282" s="80"/>
      <c r="H1282" s="83"/>
      <c r="I1282" s="148" t="str">
        <f aca="false">IF(B1282="","",IFERROR(INDEX('CARNET DE SOUDURE'!$B$7:$B$3006,MATCH(B1282,'CARNET DE SOUDURE'!$L$7:$L$3006,0)),IFERROR(INDEX('CARNET DE SOUDURE'!$B$7:$B$3006,MATCH(B1282,'CARNET DE SOUDURE'!$O$7:$O$3006,0)),"")))</f>
        <v>MFD-ISW → MFD-CPF</v>
      </c>
      <c r="J1282" s="82" t="str">
        <f aca="false">IF(B1282="","",IFERROR(INDEX('CARNET DE SOUDURE'!$E$7:$E$3006,MATCH(B1282,'CARNET DE SOUDURE'!$O$7:$O$3006,0)),""))</f>
        <v>JN°1918</v>
      </c>
      <c r="K1282" s="82" t="str">
        <f aca="false">IF(B1282="","",IFERROR(INDEX('CARNET DE SOUDURE'!$E$7:$E$3006,MATCH(B1282,'CARNET DE SOUDURE'!$L$7:$L$3006,0)),""))</f>
        <v>JN°1919</v>
      </c>
      <c r="L1282" s="82" t="n">
        <f aca="false">IF(B1282="","",IFERROR(INDEX('CARNET DE SOUDURE'!$D$7:$D$3006,MATCH(B1282,'CARNET DE SOUDURE'!$L$7:$L$3006,0)),IFERROR(INDEX('CARNET DE SOUDURE'!$D$7:$D$3006,MATCH(B1282,'CARNET DE SOUDURE'!$O$7:$O$3006,0)),"")))</f>
        <v>23</v>
      </c>
      <c r="M1282" s="82" t="str">
        <f aca="false">IF(B1282="","",IF(OR(J1282&lt;&gt;"",K1282&lt;&gt;""),"POSÉ EN LIGNE",IF(COUNTIF(BARDAGE!$C$1:$C$5000,B1282)&gt;0,"BARDÉ","EN STOCK")))</f>
        <v>POSÉ EN LIGNE</v>
      </c>
      <c r="N1282" s="80"/>
    </row>
    <row r="1283" customFormat="false" ht="15" hidden="false" customHeight="false" outlineLevel="0" collapsed="false">
      <c r="A1283" s="82" t="n">
        <f aca="false">IF(B1283="","",ROW()-6)</f>
        <v>1277</v>
      </c>
      <c r="B1283" s="145" t="n">
        <v>2095940</v>
      </c>
      <c r="C1283" s="146" t="n">
        <v>15421111</v>
      </c>
      <c r="D1283" s="146"/>
      <c r="E1283" s="82" t="str">
        <f aca="false">IF(B1283="","",IF(COUNTIFS('CARNET DE SOUDURE'!$L$7:$L$3006,B1283,'CARNET DE SOUDURE'!$M$7:$M$3006,"&lt;&gt;"&amp;C1283,'CARNET DE SOUDURE'!$M$7:$M$3006,"&lt;&gt;")+COUNTIFS('CARNET DE SOUDURE'!$O$7:$O$3006,B1283,'CARNET DE SOUDURE'!$P$7:$P$3006,"&lt;&gt;"&amp;C1283,'CARNET DE SOUDURE'!$P$7:$P$3006,"&lt;&gt;")&gt;0,"⚠ DIFFÉRENTE","OK"))</f>
        <v>OK</v>
      </c>
      <c r="F1283" s="147" t="n">
        <v>11.94</v>
      </c>
      <c r="G1283" s="80"/>
      <c r="H1283" s="83"/>
      <c r="I1283" s="148" t="str">
        <f aca="false">IF(B1283="","",IFERROR(INDEX('CARNET DE SOUDURE'!$B$7:$B$3006,MATCH(B1283,'CARNET DE SOUDURE'!$L$7:$L$3006,0)),IFERROR(INDEX('CARNET DE SOUDURE'!$B$7:$B$3006,MATCH(B1283,'CARNET DE SOUDURE'!$O$7:$O$3006,0)),"")))</f>
        <v>MFD-ISW → MFD-CPF</v>
      </c>
      <c r="J1283" s="82" t="str">
        <f aca="false">IF(B1283="","",IFERROR(INDEX('CARNET DE SOUDURE'!$E$7:$E$3006,MATCH(B1283,'CARNET DE SOUDURE'!$O$7:$O$3006,0)),""))</f>
        <v>JN°1919</v>
      </c>
      <c r="K1283" s="82" t="str">
        <f aca="false">IF(B1283="","",IFERROR(INDEX('CARNET DE SOUDURE'!$E$7:$E$3006,MATCH(B1283,'CARNET DE SOUDURE'!$L$7:$L$3006,0)),""))</f>
        <v>JN°1920</v>
      </c>
      <c r="L1283" s="82" t="n">
        <f aca="false">IF(B1283="","",IFERROR(INDEX('CARNET DE SOUDURE'!$D$7:$D$3006,MATCH(B1283,'CARNET DE SOUDURE'!$L$7:$L$3006,0)),IFERROR(INDEX('CARNET DE SOUDURE'!$D$7:$D$3006,MATCH(B1283,'CARNET DE SOUDURE'!$O$7:$O$3006,0)),"")))</f>
        <v>23</v>
      </c>
      <c r="M1283" s="82" t="str">
        <f aca="false">IF(B1283="","",IF(OR(J1283&lt;&gt;"",K1283&lt;&gt;""),"POSÉ EN LIGNE",IF(COUNTIF(BARDAGE!$C$1:$C$5000,B1283)&gt;0,"BARDÉ","EN STOCK")))</f>
        <v>POSÉ EN LIGNE</v>
      </c>
      <c r="N1283" s="80"/>
    </row>
    <row r="1284" customFormat="false" ht="15" hidden="false" customHeight="false" outlineLevel="0" collapsed="false">
      <c r="A1284" s="82" t="n">
        <f aca="false">IF(B1284="","",ROW()-6)</f>
        <v>1278</v>
      </c>
      <c r="B1284" s="145" t="n">
        <v>2089730</v>
      </c>
      <c r="C1284" s="146" t="n">
        <v>15421109</v>
      </c>
      <c r="D1284" s="146"/>
      <c r="E1284" s="82" t="str">
        <f aca="false">IF(B1284="","",IF(COUNTIFS('CARNET DE SOUDURE'!$L$7:$L$3006,B1284,'CARNET DE SOUDURE'!$M$7:$M$3006,"&lt;&gt;"&amp;C1284,'CARNET DE SOUDURE'!$M$7:$M$3006,"&lt;&gt;")+COUNTIFS('CARNET DE SOUDURE'!$O$7:$O$3006,B1284,'CARNET DE SOUDURE'!$P$7:$P$3006,"&lt;&gt;"&amp;C1284,'CARNET DE SOUDURE'!$P$7:$P$3006,"&lt;&gt;")&gt;0,"⚠ DIFFÉRENTE","OK"))</f>
        <v>OK</v>
      </c>
      <c r="F1284" s="147" t="n">
        <v>11.94</v>
      </c>
      <c r="G1284" s="80"/>
      <c r="H1284" s="83"/>
      <c r="I1284" s="148" t="str">
        <f aca="false">IF(B1284="","",IFERROR(INDEX('CARNET DE SOUDURE'!$B$7:$B$3006,MATCH(B1284,'CARNET DE SOUDURE'!$L$7:$L$3006,0)),IFERROR(INDEX('CARNET DE SOUDURE'!$B$7:$B$3006,MATCH(B1284,'CARNET DE SOUDURE'!$O$7:$O$3006,0)),"")))</f>
        <v>MFD-ISW → MFD-CPF</v>
      </c>
      <c r="J1284" s="82" t="str">
        <f aca="false">IF(B1284="","",IFERROR(INDEX('CARNET DE SOUDURE'!$E$7:$E$3006,MATCH(B1284,'CARNET DE SOUDURE'!$O$7:$O$3006,0)),""))</f>
        <v>JN°1920</v>
      </c>
      <c r="K1284" s="82" t="str">
        <f aca="false">IF(B1284="","",IFERROR(INDEX('CARNET DE SOUDURE'!$E$7:$E$3006,MATCH(B1284,'CARNET DE SOUDURE'!$L$7:$L$3006,0)),""))</f>
        <v>JN°1921</v>
      </c>
      <c r="L1284" s="82" t="n">
        <f aca="false">IF(B1284="","",IFERROR(INDEX('CARNET DE SOUDURE'!$D$7:$D$3006,MATCH(B1284,'CARNET DE SOUDURE'!$L$7:$L$3006,0)),IFERROR(INDEX('CARNET DE SOUDURE'!$D$7:$D$3006,MATCH(B1284,'CARNET DE SOUDURE'!$O$7:$O$3006,0)),"")))</f>
        <v>23</v>
      </c>
      <c r="M1284" s="82" t="str">
        <f aca="false">IF(B1284="","",IF(OR(J1284&lt;&gt;"",K1284&lt;&gt;""),"POSÉ EN LIGNE",IF(COUNTIF(BARDAGE!$C$1:$C$5000,B1284)&gt;0,"BARDÉ","EN STOCK")))</f>
        <v>POSÉ EN LIGNE</v>
      </c>
      <c r="N1284" s="80"/>
    </row>
    <row r="1285" customFormat="false" ht="15" hidden="false" customHeight="false" outlineLevel="0" collapsed="false">
      <c r="A1285" s="82" t="n">
        <f aca="false">IF(B1285="","",ROW()-6)</f>
        <v>1279</v>
      </c>
      <c r="B1285" s="145" t="n">
        <v>2090490</v>
      </c>
      <c r="C1285" s="146" t="n">
        <v>15421109</v>
      </c>
      <c r="D1285" s="146"/>
      <c r="E1285" s="82" t="str">
        <f aca="false">IF(B1285="","",IF(COUNTIFS('CARNET DE SOUDURE'!$L$7:$L$3006,B1285,'CARNET DE SOUDURE'!$M$7:$M$3006,"&lt;&gt;"&amp;C1285,'CARNET DE SOUDURE'!$M$7:$M$3006,"&lt;&gt;")+COUNTIFS('CARNET DE SOUDURE'!$O$7:$O$3006,B1285,'CARNET DE SOUDURE'!$P$7:$P$3006,"&lt;&gt;"&amp;C1285,'CARNET DE SOUDURE'!$P$7:$P$3006,"&lt;&gt;")&gt;0,"⚠ DIFFÉRENTE","OK"))</f>
        <v>OK</v>
      </c>
      <c r="F1285" s="147" t="n">
        <v>11.94</v>
      </c>
      <c r="G1285" s="80"/>
      <c r="H1285" s="83"/>
      <c r="I1285" s="148" t="str">
        <f aca="false">IF(B1285="","",IFERROR(INDEX('CARNET DE SOUDURE'!$B$7:$B$3006,MATCH(B1285,'CARNET DE SOUDURE'!$L$7:$L$3006,0)),IFERROR(INDEX('CARNET DE SOUDURE'!$B$7:$B$3006,MATCH(B1285,'CARNET DE SOUDURE'!$O$7:$O$3006,0)),"")))</f>
        <v>MFD-ISW → MFD-CPF</v>
      </c>
      <c r="J1285" s="82" t="str">
        <f aca="false">IF(B1285="","",IFERROR(INDEX('CARNET DE SOUDURE'!$E$7:$E$3006,MATCH(B1285,'CARNET DE SOUDURE'!$O$7:$O$3006,0)),""))</f>
        <v>JN°1921</v>
      </c>
      <c r="K1285" s="82" t="str">
        <f aca="false">IF(B1285="","",IFERROR(INDEX('CARNET DE SOUDURE'!$E$7:$E$3006,MATCH(B1285,'CARNET DE SOUDURE'!$L$7:$L$3006,0)),""))</f>
        <v>JN°1922</v>
      </c>
      <c r="L1285" s="82" t="n">
        <f aca="false">IF(B1285="","",IFERROR(INDEX('CARNET DE SOUDURE'!$D$7:$D$3006,MATCH(B1285,'CARNET DE SOUDURE'!$L$7:$L$3006,0)),IFERROR(INDEX('CARNET DE SOUDURE'!$D$7:$D$3006,MATCH(B1285,'CARNET DE SOUDURE'!$O$7:$O$3006,0)),"")))</f>
        <v>23</v>
      </c>
      <c r="M1285" s="82" t="str">
        <f aca="false">IF(B1285="","",IF(OR(J1285&lt;&gt;"",K1285&lt;&gt;""),"POSÉ EN LIGNE",IF(COUNTIF(BARDAGE!$C$1:$C$5000,B1285)&gt;0,"BARDÉ","EN STOCK")))</f>
        <v>POSÉ EN LIGNE</v>
      </c>
      <c r="N1285" s="80"/>
    </row>
    <row r="1286" customFormat="false" ht="15" hidden="false" customHeight="false" outlineLevel="0" collapsed="false">
      <c r="A1286" s="82" t="n">
        <f aca="false">IF(B1286="","",ROW()-6)</f>
        <v>1280</v>
      </c>
      <c r="B1286" s="145" t="n">
        <v>2086040</v>
      </c>
      <c r="C1286" s="146" t="n">
        <v>15421107</v>
      </c>
      <c r="D1286" s="146"/>
      <c r="E1286" s="82" t="str">
        <f aca="false">IF(B1286="","",IF(COUNTIFS('CARNET DE SOUDURE'!$L$7:$L$3006,B1286,'CARNET DE SOUDURE'!$M$7:$M$3006,"&lt;&gt;"&amp;C1286,'CARNET DE SOUDURE'!$M$7:$M$3006,"&lt;&gt;")+COUNTIFS('CARNET DE SOUDURE'!$O$7:$O$3006,B1286,'CARNET DE SOUDURE'!$P$7:$P$3006,"&lt;&gt;"&amp;C1286,'CARNET DE SOUDURE'!$P$7:$P$3006,"&lt;&gt;")&gt;0,"⚠ DIFFÉRENTE","OK"))</f>
        <v>OK</v>
      </c>
      <c r="F1286" s="147" t="n">
        <v>11.94</v>
      </c>
      <c r="G1286" s="80"/>
      <c r="H1286" s="83"/>
      <c r="I1286" s="148" t="str">
        <f aca="false">IF(B1286="","",IFERROR(INDEX('CARNET DE SOUDURE'!$B$7:$B$3006,MATCH(B1286,'CARNET DE SOUDURE'!$L$7:$L$3006,0)),IFERROR(INDEX('CARNET DE SOUDURE'!$B$7:$B$3006,MATCH(B1286,'CARNET DE SOUDURE'!$O$7:$O$3006,0)),"")))</f>
        <v>MFD-ISW → MFD-CPF</v>
      </c>
      <c r="J1286" s="82" t="str">
        <f aca="false">IF(B1286="","",IFERROR(INDEX('CARNET DE SOUDURE'!$E$7:$E$3006,MATCH(B1286,'CARNET DE SOUDURE'!$O$7:$O$3006,0)),""))</f>
        <v>JN°1922</v>
      </c>
      <c r="K1286" s="82" t="str">
        <f aca="false">IF(B1286="","",IFERROR(INDEX('CARNET DE SOUDURE'!$E$7:$E$3006,MATCH(B1286,'CARNET DE SOUDURE'!$L$7:$L$3006,0)),""))</f>
        <v>JN°1923</v>
      </c>
      <c r="L1286" s="82" t="n">
        <f aca="false">IF(B1286="","",IFERROR(INDEX('CARNET DE SOUDURE'!$D$7:$D$3006,MATCH(B1286,'CARNET DE SOUDURE'!$L$7:$L$3006,0)),IFERROR(INDEX('CARNET DE SOUDURE'!$D$7:$D$3006,MATCH(B1286,'CARNET DE SOUDURE'!$O$7:$O$3006,0)),"")))</f>
        <v>23</v>
      </c>
      <c r="M1286" s="82" t="str">
        <f aca="false">IF(B1286="","",IF(OR(J1286&lt;&gt;"",K1286&lt;&gt;""),"POSÉ EN LIGNE",IF(COUNTIF(BARDAGE!$C$1:$C$5000,B1286)&gt;0,"BARDÉ","EN STOCK")))</f>
        <v>POSÉ EN LIGNE</v>
      </c>
      <c r="N1286" s="80"/>
    </row>
    <row r="1287" customFormat="false" ht="15" hidden="false" customHeight="false" outlineLevel="0" collapsed="false">
      <c r="A1287" s="82" t="n">
        <f aca="false">IF(B1287="","",ROW()-6)</f>
        <v>1281</v>
      </c>
      <c r="B1287" s="145" t="n">
        <v>2090510</v>
      </c>
      <c r="C1287" s="146" t="n">
        <v>15421109</v>
      </c>
      <c r="D1287" s="146"/>
      <c r="E1287" s="82" t="str">
        <f aca="false">IF(B1287="","",IF(COUNTIFS('CARNET DE SOUDURE'!$L$7:$L$3006,B1287,'CARNET DE SOUDURE'!$M$7:$M$3006,"&lt;&gt;"&amp;C1287,'CARNET DE SOUDURE'!$M$7:$M$3006,"&lt;&gt;")+COUNTIFS('CARNET DE SOUDURE'!$O$7:$O$3006,B1287,'CARNET DE SOUDURE'!$P$7:$P$3006,"&lt;&gt;"&amp;C1287,'CARNET DE SOUDURE'!$P$7:$P$3006,"&lt;&gt;")&gt;0,"⚠ DIFFÉRENTE","OK"))</f>
        <v>OK</v>
      </c>
      <c r="F1287" s="147" t="n">
        <v>11.94</v>
      </c>
      <c r="G1287" s="80"/>
      <c r="H1287" s="83"/>
      <c r="I1287" s="148" t="str">
        <f aca="false">IF(B1287="","",IFERROR(INDEX('CARNET DE SOUDURE'!$B$7:$B$3006,MATCH(B1287,'CARNET DE SOUDURE'!$L$7:$L$3006,0)),IFERROR(INDEX('CARNET DE SOUDURE'!$B$7:$B$3006,MATCH(B1287,'CARNET DE SOUDURE'!$O$7:$O$3006,0)),"")))</f>
        <v>MFD-ISW → MFD-CPF</v>
      </c>
      <c r="J1287" s="82" t="str">
        <f aca="false">IF(B1287="","",IFERROR(INDEX('CARNET DE SOUDURE'!$E$7:$E$3006,MATCH(B1287,'CARNET DE SOUDURE'!$O$7:$O$3006,0)),""))</f>
        <v>JN°1924</v>
      </c>
      <c r="K1287" s="82" t="str">
        <f aca="false">IF(B1287="","",IFERROR(INDEX('CARNET DE SOUDURE'!$E$7:$E$3006,MATCH(B1287,'CARNET DE SOUDURE'!$L$7:$L$3006,0)),""))</f>
        <v>JN°1925</v>
      </c>
      <c r="L1287" s="82" t="n">
        <f aca="false">IF(B1287="","",IFERROR(INDEX('CARNET DE SOUDURE'!$D$7:$D$3006,MATCH(B1287,'CARNET DE SOUDURE'!$L$7:$L$3006,0)),IFERROR(INDEX('CARNET DE SOUDURE'!$D$7:$D$3006,MATCH(B1287,'CARNET DE SOUDURE'!$O$7:$O$3006,0)),"")))</f>
        <v>23</v>
      </c>
      <c r="M1287" s="82" t="str">
        <f aca="false">IF(B1287="","",IF(OR(J1287&lt;&gt;"",K1287&lt;&gt;""),"POSÉ EN LIGNE",IF(COUNTIF(BARDAGE!$C$1:$C$5000,B1287)&gt;0,"BARDÉ","EN STOCK")))</f>
        <v>POSÉ EN LIGNE</v>
      </c>
      <c r="N1287" s="80"/>
    </row>
    <row r="1288" customFormat="false" ht="15" hidden="false" customHeight="false" outlineLevel="0" collapsed="false">
      <c r="A1288" s="82" t="n">
        <f aca="false">IF(B1288="","",ROW()-6)</f>
        <v>1282</v>
      </c>
      <c r="B1288" s="145" t="n">
        <v>2088020</v>
      </c>
      <c r="C1288" s="146" t="n">
        <v>15421108</v>
      </c>
      <c r="D1288" s="146"/>
      <c r="E1288" s="82" t="str">
        <f aca="false">IF(B1288="","",IF(COUNTIFS('CARNET DE SOUDURE'!$L$7:$L$3006,B1288,'CARNET DE SOUDURE'!$M$7:$M$3006,"&lt;&gt;"&amp;C1288,'CARNET DE SOUDURE'!$M$7:$M$3006,"&lt;&gt;")+COUNTIFS('CARNET DE SOUDURE'!$O$7:$O$3006,B1288,'CARNET DE SOUDURE'!$P$7:$P$3006,"&lt;&gt;"&amp;C1288,'CARNET DE SOUDURE'!$P$7:$P$3006,"&lt;&gt;")&gt;0,"⚠ DIFFÉRENTE","OK"))</f>
        <v>OK</v>
      </c>
      <c r="F1288" s="147" t="n">
        <v>11.94</v>
      </c>
      <c r="G1288" s="80"/>
      <c r="H1288" s="83"/>
      <c r="I1288" s="148" t="str">
        <f aca="false">IF(B1288="","",IFERROR(INDEX('CARNET DE SOUDURE'!$B$7:$B$3006,MATCH(B1288,'CARNET DE SOUDURE'!$L$7:$L$3006,0)),IFERROR(INDEX('CARNET DE SOUDURE'!$B$7:$B$3006,MATCH(B1288,'CARNET DE SOUDURE'!$O$7:$O$3006,0)),"")))</f>
        <v>MFD-ISW → MFD-CPF</v>
      </c>
      <c r="J1288" s="82" t="str">
        <f aca="false">IF(B1288="","",IFERROR(INDEX('CARNET DE SOUDURE'!$E$7:$E$3006,MATCH(B1288,'CARNET DE SOUDURE'!$O$7:$O$3006,0)),""))</f>
        <v>JN°1925</v>
      </c>
      <c r="K1288" s="82" t="str">
        <f aca="false">IF(B1288="","",IFERROR(INDEX('CARNET DE SOUDURE'!$E$7:$E$3006,MATCH(B1288,'CARNET DE SOUDURE'!$L$7:$L$3006,0)),""))</f>
        <v>JN°1926</v>
      </c>
      <c r="L1288" s="82" t="n">
        <f aca="false">IF(B1288="","",IFERROR(INDEX('CARNET DE SOUDURE'!$D$7:$D$3006,MATCH(B1288,'CARNET DE SOUDURE'!$L$7:$L$3006,0)),IFERROR(INDEX('CARNET DE SOUDURE'!$D$7:$D$3006,MATCH(B1288,'CARNET DE SOUDURE'!$O$7:$O$3006,0)),"")))</f>
        <v>23</v>
      </c>
      <c r="M1288" s="82" t="str">
        <f aca="false">IF(B1288="","",IF(OR(J1288&lt;&gt;"",K1288&lt;&gt;""),"POSÉ EN LIGNE",IF(COUNTIF(BARDAGE!$C$1:$C$5000,B1288)&gt;0,"BARDÉ","EN STOCK")))</f>
        <v>POSÉ EN LIGNE</v>
      </c>
      <c r="N1288" s="80"/>
    </row>
    <row r="1289" customFormat="false" ht="15" hidden="false" customHeight="false" outlineLevel="0" collapsed="false">
      <c r="A1289" s="82" t="n">
        <f aca="false">IF(B1289="","",ROW()-6)</f>
        <v>1283</v>
      </c>
      <c r="B1289" s="145" t="n">
        <v>2090300</v>
      </c>
      <c r="C1289" s="146" t="n">
        <v>2091050</v>
      </c>
      <c r="D1289" s="146"/>
      <c r="E1289" s="82" t="str">
        <f aca="false">IF(B1289="","",IF(COUNTIFS('CARNET DE SOUDURE'!$L$7:$L$3006,B1289,'CARNET DE SOUDURE'!$M$7:$M$3006,"&lt;&gt;"&amp;C1289,'CARNET DE SOUDURE'!$M$7:$M$3006,"&lt;&gt;")+COUNTIFS('CARNET DE SOUDURE'!$O$7:$O$3006,B1289,'CARNET DE SOUDURE'!$P$7:$P$3006,"&lt;&gt;"&amp;C1289,'CARNET DE SOUDURE'!$P$7:$P$3006,"&lt;&gt;")&gt;0,"⚠ DIFFÉRENTE","OK"))</f>
        <v>OK</v>
      </c>
      <c r="F1289" s="147" t="n">
        <v>11.94</v>
      </c>
      <c r="G1289" s="80"/>
      <c r="H1289" s="83"/>
      <c r="I1289" s="148" t="str">
        <f aca="false">IF(B1289="","",IFERROR(INDEX('CARNET DE SOUDURE'!$B$7:$B$3006,MATCH(B1289,'CARNET DE SOUDURE'!$L$7:$L$3006,0)),IFERROR(INDEX('CARNET DE SOUDURE'!$B$7:$B$3006,MATCH(B1289,'CARNET DE SOUDURE'!$O$7:$O$3006,0)),"")))</f>
        <v>MFD-ISW → MFD-CPF</v>
      </c>
      <c r="J1289" s="82" t="str">
        <f aca="false">IF(B1289="","",IFERROR(INDEX('CARNET DE SOUDURE'!$E$7:$E$3006,MATCH(B1289,'CARNET DE SOUDURE'!$O$7:$O$3006,0)),""))</f>
        <v>JN°1926</v>
      </c>
      <c r="K1289" s="82" t="str">
        <f aca="false">IF(B1289="","",IFERROR(INDEX('CARNET DE SOUDURE'!$E$7:$E$3006,MATCH(B1289,'CARNET DE SOUDURE'!$L$7:$L$3006,0)),""))</f>
        <v>JN°1927</v>
      </c>
      <c r="L1289" s="82" t="n">
        <f aca="false">IF(B1289="","",IFERROR(INDEX('CARNET DE SOUDURE'!$D$7:$D$3006,MATCH(B1289,'CARNET DE SOUDURE'!$L$7:$L$3006,0)),IFERROR(INDEX('CARNET DE SOUDURE'!$D$7:$D$3006,MATCH(B1289,'CARNET DE SOUDURE'!$O$7:$O$3006,0)),"")))</f>
        <v>23</v>
      </c>
      <c r="M1289" s="82" t="str">
        <f aca="false">IF(B1289="","",IF(OR(J1289&lt;&gt;"",K1289&lt;&gt;""),"POSÉ EN LIGNE",IF(COUNTIF(BARDAGE!$C$1:$C$5000,B1289)&gt;0,"BARDÉ","EN STOCK")))</f>
        <v>POSÉ EN LIGNE</v>
      </c>
      <c r="N1289" s="80"/>
    </row>
    <row r="1290" customFormat="false" ht="15" hidden="false" customHeight="false" outlineLevel="0" collapsed="false">
      <c r="A1290" s="82" t="n">
        <f aca="false">IF(B1290="","",ROW()-6)</f>
        <v>1284</v>
      </c>
      <c r="B1290" s="145" t="n">
        <v>2091050</v>
      </c>
      <c r="C1290" s="146" t="n">
        <v>15421109</v>
      </c>
      <c r="D1290" s="146"/>
      <c r="E1290" s="82" t="str">
        <f aca="false">IF(B1290="","",IF(COUNTIFS('CARNET DE SOUDURE'!$L$7:$L$3006,B1290,'CARNET DE SOUDURE'!$M$7:$M$3006,"&lt;&gt;"&amp;C1290,'CARNET DE SOUDURE'!$M$7:$M$3006,"&lt;&gt;")+COUNTIFS('CARNET DE SOUDURE'!$O$7:$O$3006,B1290,'CARNET DE SOUDURE'!$P$7:$P$3006,"&lt;&gt;"&amp;C1290,'CARNET DE SOUDURE'!$P$7:$P$3006,"&lt;&gt;")&gt;0,"⚠ DIFFÉRENTE","OK"))</f>
        <v>OK</v>
      </c>
      <c r="F1290" s="147" t="n">
        <v>11.94</v>
      </c>
      <c r="G1290" s="80"/>
      <c r="H1290" s="83"/>
      <c r="I1290" s="148" t="str">
        <f aca="false">IF(B1290="","",IFERROR(INDEX('CARNET DE SOUDURE'!$B$7:$B$3006,MATCH(B1290,'CARNET DE SOUDURE'!$L$7:$L$3006,0)),IFERROR(INDEX('CARNET DE SOUDURE'!$B$7:$B$3006,MATCH(B1290,'CARNET DE SOUDURE'!$O$7:$O$3006,0)),"")))</f>
        <v>MFD-ISW → MFD-CPF</v>
      </c>
      <c r="J1290" s="82" t="str">
        <f aca="false">IF(B1290="","",IFERROR(INDEX('CARNET DE SOUDURE'!$E$7:$E$3006,MATCH(B1290,'CARNET DE SOUDURE'!$O$7:$O$3006,0)),""))</f>
        <v>JN°1927</v>
      </c>
      <c r="K1290" s="82" t="str">
        <f aca="false">IF(B1290="","",IFERROR(INDEX('CARNET DE SOUDURE'!$E$7:$E$3006,MATCH(B1290,'CARNET DE SOUDURE'!$L$7:$L$3006,0)),""))</f>
        <v>JN°1928</v>
      </c>
      <c r="L1290" s="82" t="n">
        <f aca="false">IF(B1290="","",IFERROR(INDEX('CARNET DE SOUDURE'!$D$7:$D$3006,MATCH(B1290,'CARNET DE SOUDURE'!$L$7:$L$3006,0)),IFERROR(INDEX('CARNET DE SOUDURE'!$D$7:$D$3006,MATCH(B1290,'CARNET DE SOUDURE'!$O$7:$O$3006,0)),"")))</f>
        <v>24</v>
      </c>
      <c r="M1290" s="82" t="str">
        <f aca="false">IF(B1290="","",IF(OR(J1290&lt;&gt;"",K1290&lt;&gt;""),"POSÉ EN LIGNE",IF(COUNTIF(BARDAGE!$C$1:$C$5000,B1290)&gt;0,"BARDÉ","EN STOCK")))</f>
        <v>POSÉ EN LIGNE</v>
      </c>
      <c r="N1290" s="80"/>
    </row>
    <row r="1291" customFormat="false" ht="15" hidden="false" customHeight="false" outlineLevel="0" collapsed="false">
      <c r="A1291" s="82" t="n">
        <f aca="false">IF(B1291="","",ROW()-6)</f>
        <v>1285</v>
      </c>
      <c r="B1291" s="145" t="n">
        <v>2090710</v>
      </c>
      <c r="C1291" s="146" t="n">
        <v>15421109</v>
      </c>
      <c r="D1291" s="146"/>
      <c r="E1291" s="82" t="str">
        <f aca="false">IF(B1291="","",IF(COUNTIFS('CARNET DE SOUDURE'!$L$7:$L$3006,B1291,'CARNET DE SOUDURE'!$M$7:$M$3006,"&lt;&gt;"&amp;C1291,'CARNET DE SOUDURE'!$M$7:$M$3006,"&lt;&gt;")+COUNTIFS('CARNET DE SOUDURE'!$O$7:$O$3006,B1291,'CARNET DE SOUDURE'!$P$7:$P$3006,"&lt;&gt;"&amp;C1291,'CARNET DE SOUDURE'!$P$7:$P$3006,"&lt;&gt;")&gt;0,"⚠ DIFFÉRENTE","OK"))</f>
        <v>OK</v>
      </c>
      <c r="F1291" s="147" t="n">
        <v>11.94</v>
      </c>
      <c r="G1291" s="80"/>
      <c r="H1291" s="83"/>
      <c r="I1291" s="148" t="str">
        <f aca="false">IF(B1291="","",IFERROR(INDEX('CARNET DE SOUDURE'!$B$7:$B$3006,MATCH(B1291,'CARNET DE SOUDURE'!$L$7:$L$3006,0)),IFERROR(INDEX('CARNET DE SOUDURE'!$B$7:$B$3006,MATCH(B1291,'CARNET DE SOUDURE'!$O$7:$O$3006,0)),"")))</f>
        <v>MFD-ISW → MFD-CPF</v>
      </c>
      <c r="J1291" s="82" t="str">
        <f aca="false">IF(B1291="","",IFERROR(INDEX('CARNET DE SOUDURE'!$E$7:$E$3006,MATCH(B1291,'CARNET DE SOUDURE'!$O$7:$O$3006,0)),""))</f>
        <v>JN°1928</v>
      </c>
      <c r="K1291" s="82" t="str">
        <f aca="false">IF(B1291="","",IFERROR(INDEX('CARNET DE SOUDURE'!$E$7:$E$3006,MATCH(B1291,'CARNET DE SOUDURE'!$L$7:$L$3006,0)),""))</f>
        <v>JN°1929</v>
      </c>
      <c r="L1291" s="82" t="n">
        <f aca="false">IF(B1291="","",IFERROR(INDEX('CARNET DE SOUDURE'!$D$7:$D$3006,MATCH(B1291,'CARNET DE SOUDURE'!$L$7:$L$3006,0)),IFERROR(INDEX('CARNET DE SOUDURE'!$D$7:$D$3006,MATCH(B1291,'CARNET DE SOUDURE'!$O$7:$O$3006,0)),"")))</f>
        <v>24</v>
      </c>
      <c r="M1291" s="82" t="str">
        <f aca="false">IF(B1291="","",IF(OR(J1291&lt;&gt;"",K1291&lt;&gt;""),"POSÉ EN LIGNE",IF(COUNTIF(BARDAGE!$C$1:$C$5000,B1291)&gt;0,"BARDÉ","EN STOCK")))</f>
        <v>POSÉ EN LIGNE</v>
      </c>
      <c r="N1291" s="80"/>
    </row>
    <row r="1292" customFormat="false" ht="15" hidden="false" customHeight="false" outlineLevel="0" collapsed="false">
      <c r="A1292" s="82" t="n">
        <f aca="false">IF(B1292="","",ROW()-6)</f>
        <v>1286</v>
      </c>
      <c r="B1292" s="145" t="n">
        <v>2089840</v>
      </c>
      <c r="C1292" s="146" t="n">
        <v>154211</v>
      </c>
      <c r="D1292" s="146"/>
      <c r="E1292" s="82" t="str">
        <f aca="false">IF(B1292="","",IF(COUNTIFS('CARNET DE SOUDURE'!$L$7:$L$3006,B1292,'CARNET DE SOUDURE'!$M$7:$M$3006,"&lt;&gt;"&amp;C1292,'CARNET DE SOUDURE'!$M$7:$M$3006,"&lt;&gt;")+COUNTIFS('CARNET DE SOUDURE'!$O$7:$O$3006,B1292,'CARNET DE SOUDURE'!$P$7:$P$3006,"&lt;&gt;"&amp;C1292,'CARNET DE SOUDURE'!$P$7:$P$3006,"&lt;&gt;")&gt;0,"⚠ DIFFÉRENTE","OK"))</f>
        <v>OK</v>
      </c>
      <c r="F1292" s="147" t="n">
        <v>11.94</v>
      </c>
      <c r="G1292" s="80"/>
      <c r="H1292" s="83"/>
      <c r="I1292" s="148" t="str">
        <f aca="false">IF(B1292="","",IFERROR(INDEX('CARNET DE SOUDURE'!$B$7:$B$3006,MATCH(B1292,'CARNET DE SOUDURE'!$L$7:$L$3006,0)),IFERROR(INDEX('CARNET DE SOUDURE'!$B$7:$B$3006,MATCH(B1292,'CARNET DE SOUDURE'!$O$7:$O$3006,0)),"")))</f>
        <v>MFD-ISW → MFD-CPF</v>
      </c>
      <c r="J1292" s="82" t="str">
        <f aca="false">IF(B1292="","",IFERROR(INDEX('CARNET DE SOUDURE'!$E$7:$E$3006,MATCH(B1292,'CARNET DE SOUDURE'!$O$7:$O$3006,0)),""))</f>
        <v>JN°1929</v>
      </c>
      <c r="K1292" s="82" t="str">
        <f aca="false">IF(B1292="","",IFERROR(INDEX('CARNET DE SOUDURE'!$E$7:$E$3006,MATCH(B1292,'CARNET DE SOUDURE'!$L$7:$L$3006,0)),""))</f>
        <v>JN°1930</v>
      </c>
      <c r="L1292" s="82" t="n">
        <f aca="false">IF(B1292="","",IFERROR(INDEX('CARNET DE SOUDURE'!$D$7:$D$3006,MATCH(B1292,'CARNET DE SOUDURE'!$L$7:$L$3006,0)),IFERROR(INDEX('CARNET DE SOUDURE'!$D$7:$D$3006,MATCH(B1292,'CARNET DE SOUDURE'!$O$7:$O$3006,0)),"")))</f>
        <v>24</v>
      </c>
      <c r="M1292" s="82" t="str">
        <f aca="false">IF(B1292="","",IF(OR(J1292&lt;&gt;"",K1292&lt;&gt;""),"POSÉ EN LIGNE",IF(COUNTIF(BARDAGE!$C$1:$C$5000,B1292)&gt;0,"BARDÉ","EN STOCK")))</f>
        <v>POSÉ EN LIGNE</v>
      </c>
      <c r="N1292" s="80"/>
    </row>
    <row r="1293" customFormat="false" ht="15" hidden="false" customHeight="false" outlineLevel="0" collapsed="false">
      <c r="A1293" s="82" t="n">
        <f aca="false">IF(B1293="","",ROW()-6)</f>
        <v>1287</v>
      </c>
      <c r="B1293" s="145" t="n">
        <v>2084140</v>
      </c>
      <c r="C1293" s="146" t="n">
        <v>15421106</v>
      </c>
      <c r="D1293" s="146"/>
      <c r="E1293" s="82" t="str">
        <f aca="false">IF(B1293="","",IF(COUNTIFS('CARNET DE SOUDURE'!$L$7:$L$3006,B1293,'CARNET DE SOUDURE'!$M$7:$M$3006,"&lt;&gt;"&amp;C1293,'CARNET DE SOUDURE'!$M$7:$M$3006,"&lt;&gt;")+COUNTIFS('CARNET DE SOUDURE'!$O$7:$O$3006,B1293,'CARNET DE SOUDURE'!$P$7:$P$3006,"&lt;&gt;"&amp;C1293,'CARNET DE SOUDURE'!$P$7:$P$3006,"&lt;&gt;")&gt;0,"⚠ DIFFÉRENTE","OK"))</f>
        <v>OK</v>
      </c>
      <c r="F1293" s="147" t="n">
        <v>11.94</v>
      </c>
      <c r="G1293" s="80"/>
      <c r="H1293" s="83"/>
      <c r="I1293" s="148" t="str">
        <f aca="false">IF(B1293="","",IFERROR(INDEX('CARNET DE SOUDURE'!$B$7:$B$3006,MATCH(B1293,'CARNET DE SOUDURE'!$L$7:$L$3006,0)),IFERROR(INDEX('CARNET DE SOUDURE'!$B$7:$B$3006,MATCH(B1293,'CARNET DE SOUDURE'!$O$7:$O$3006,0)),"")))</f>
        <v>MFD-ISW → MFD-CPF</v>
      </c>
      <c r="J1293" s="82" t="str">
        <f aca="false">IF(B1293="","",IFERROR(INDEX('CARNET DE SOUDURE'!$E$7:$E$3006,MATCH(B1293,'CARNET DE SOUDURE'!$O$7:$O$3006,0)),""))</f>
        <v>JN°1930</v>
      </c>
      <c r="K1293" s="82" t="str">
        <f aca="false">IF(B1293="","",IFERROR(INDEX('CARNET DE SOUDURE'!$E$7:$E$3006,MATCH(B1293,'CARNET DE SOUDURE'!$L$7:$L$3006,0)),""))</f>
        <v>JN°1931C</v>
      </c>
      <c r="L1293" s="82" t="n">
        <f aca="false">IF(B1293="","",IFERROR(INDEX('CARNET DE SOUDURE'!$D$7:$D$3006,MATCH(B1293,'CARNET DE SOUDURE'!$L$7:$L$3006,0)),IFERROR(INDEX('CARNET DE SOUDURE'!$D$7:$D$3006,MATCH(B1293,'CARNET DE SOUDURE'!$O$7:$O$3006,0)),"")))</f>
        <v>24</v>
      </c>
      <c r="M1293" s="82" t="str">
        <f aca="false">IF(B1293="","",IF(OR(J1293&lt;&gt;"",K1293&lt;&gt;""),"POSÉ EN LIGNE",IF(COUNTIF(BARDAGE!$C$1:$C$5000,B1293)&gt;0,"BARDÉ","EN STOCK")))</f>
        <v>POSÉ EN LIGNE</v>
      </c>
      <c r="N1293" s="80"/>
    </row>
    <row r="1294" customFormat="false" ht="15" hidden="false" customHeight="false" outlineLevel="0" collapsed="false">
      <c r="A1294" s="82" t="n">
        <f aca="false">IF(B1294="","",ROW()-6)</f>
        <v>1288</v>
      </c>
      <c r="B1294" s="145" t="n">
        <v>2087570</v>
      </c>
      <c r="C1294" s="146" t="n">
        <v>15421108</v>
      </c>
      <c r="D1294" s="146"/>
      <c r="E1294" s="82" t="str">
        <f aca="false">IF(B1294="","",IF(COUNTIFS('CARNET DE SOUDURE'!$L$7:$L$3006,B1294,'CARNET DE SOUDURE'!$M$7:$M$3006,"&lt;&gt;"&amp;C1294,'CARNET DE SOUDURE'!$M$7:$M$3006,"&lt;&gt;")+COUNTIFS('CARNET DE SOUDURE'!$O$7:$O$3006,B1294,'CARNET DE SOUDURE'!$P$7:$P$3006,"&lt;&gt;"&amp;C1294,'CARNET DE SOUDURE'!$P$7:$P$3006,"&lt;&gt;")&gt;0,"⚠ DIFFÉRENTE","OK"))</f>
        <v>OK</v>
      </c>
      <c r="F1294" s="147" t="n">
        <v>11.94</v>
      </c>
      <c r="G1294" s="80"/>
      <c r="H1294" s="83"/>
      <c r="I1294" s="148" t="str">
        <f aca="false">IF(B1294="","",IFERROR(INDEX('CARNET DE SOUDURE'!$B$7:$B$3006,MATCH(B1294,'CARNET DE SOUDURE'!$L$7:$L$3006,0)),IFERROR(INDEX('CARNET DE SOUDURE'!$B$7:$B$3006,MATCH(B1294,'CARNET DE SOUDURE'!$O$7:$O$3006,0)),"")))</f>
        <v>MFD-ISW → MFD-CPF</v>
      </c>
      <c r="J1294" s="82" t="str">
        <f aca="false">IF(B1294="","",IFERROR(INDEX('CARNET DE SOUDURE'!$E$7:$E$3006,MATCH(B1294,'CARNET DE SOUDURE'!$O$7:$O$3006,0)),""))</f>
        <v>JN°1931C</v>
      </c>
      <c r="K1294" s="82" t="str">
        <f aca="false">IF(B1294="","",IFERROR(INDEX('CARNET DE SOUDURE'!$E$7:$E$3006,MATCH(B1294,'CARNET DE SOUDURE'!$L$7:$L$3006,0)),""))</f>
        <v>JN°1932R</v>
      </c>
      <c r="L1294" s="82" t="n">
        <f aca="false">IF(B1294="","",IFERROR(INDEX('CARNET DE SOUDURE'!$D$7:$D$3006,MATCH(B1294,'CARNET DE SOUDURE'!$L$7:$L$3006,0)),IFERROR(INDEX('CARNET DE SOUDURE'!$D$7:$D$3006,MATCH(B1294,'CARNET DE SOUDURE'!$O$7:$O$3006,0)),"")))</f>
        <v>24</v>
      </c>
      <c r="M1294" s="82" t="str">
        <f aca="false">IF(B1294="","",IF(OR(J1294&lt;&gt;"",K1294&lt;&gt;""),"POSÉ EN LIGNE",IF(COUNTIF(BARDAGE!$C$1:$C$5000,B1294)&gt;0,"BARDÉ","EN STOCK")))</f>
        <v>POSÉ EN LIGNE</v>
      </c>
      <c r="N1294" s="80"/>
    </row>
    <row r="1295" customFormat="false" ht="15" hidden="false" customHeight="false" outlineLevel="0" collapsed="false">
      <c r="A1295" s="82" t="n">
        <f aca="false">IF(B1295="","",ROW()-6)</f>
        <v>1289</v>
      </c>
      <c r="B1295" s="145" t="n">
        <v>2086510</v>
      </c>
      <c r="C1295" s="146" t="n">
        <v>15421107</v>
      </c>
      <c r="D1295" s="146"/>
      <c r="E1295" s="82" t="str">
        <f aca="false">IF(B1295="","",IF(COUNTIFS('CARNET DE SOUDURE'!$L$7:$L$3006,B1295,'CARNET DE SOUDURE'!$M$7:$M$3006,"&lt;&gt;"&amp;C1295,'CARNET DE SOUDURE'!$M$7:$M$3006,"&lt;&gt;")+COUNTIFS('CARNET DE SOUDURE'!$O$7:$O$3006,B1295,'CARNET DE SOUDURE'!$P$7:$P$3006,"&lt;&gt;"&amp;C1295,'CARNET DE SOUDURE'!$P$7:$P$3006,"&lt;&gt;")&gt;0,"⚠ DIFFÉRENTE","OK"))</f>
        <v>OK</v>
      </c>
      <c r="F1295" s="147" t="n">
        <v>11.94</v>
      </c>
      <c r="G1295" s="80"/>
      <c r="H1295" s="83"/>
      <c r="I1295" s="148" t="str">
        <f aca="false">IF(B1295="","",IFERROR(INDEX('CARNET DE SOUDURE'!$B$7:$B$3006,MATCH(B1295,'CARNET DE SOUDURE'!$L$7:$L$3006,0)),IFERROR(INDEX('CARNET DE SOUDURE'!$B$7:$B$3006,MATCH(B1295,'CARNET DE SOUDURE'!$O$7:$O$3006,0)),"")))</f>
        <v>MFD-ISW → MFD-CPF</v>
      </c>
      <c r="J1295" s="82" t="str">
        <f aca="false">IF(B1295="","",IFERROR(INDEX('CARNET DE SOUDURE'!$E$7:$E$3006,MATCH(B1295,'CARNET DE SOUDURE'!$O$7:$O$3006,0)),""))</f>
        <v>JN°1932R</v>
      </c>
      <c r="K1295" s="82" t="str">
        <f aca="false">IF(B1295="","",IFERROR(INDEX('CARNET DE SOUDURE'!$E$7:$E$3006,MATCH(B1295,'CARNET DE SOUDURE'!$L$7:$L$3006,0)),""))</f>
        <v>JN°1933R</v>
      </c>
      <c r="L1295" s="82" t="n">
        <f aca="false">IF(B1295="","",IFERROR(INDEX('CARNET DE SOUDURE'!$D$7:$D$3006,MATCH(B1295,'CARNET DE SOUDURE'!$L$7:$L$3006,0)),IFERROR(INDEX('CARNET DE SOUDURE'!$D$7:$D$3006,MATCH(B1295,'CARNET DE SOUDURE'!$O$7:$O$3006,0)),"")))</f>
        <v>24</v>
      </c>
      <c r="M1295" s="82" t="str">
        <f aca="false">IF(B1295="","",IF(OR(J1295&lt;&gt;"",K1295&lt;&gt;""),"POSÉ EN LIGNE",IF(COUNTIF(BARDAGE!$C$1:$C$5000,B1295)&gt;0,"BARDÉ","EN STOCK")))</f>
        <v>POSÉ EN LIGNE</v>
      </c>
      <c r="N1295" s="80"/>
    </row>
    <row r="1296" customFormat="false" ht="15" hidden="false" customHeight="false" outlineLevel="0" collapsed="false">
      <c r="A1296" s="82" t="n">
        <f aca="false">IF(B1296="","",ROW()-6)</f>
        <v>1290</v>
      </c>
      <c r="B1296" s="145" t="n">
        <v>2079060</v>
      </c>
      <c r="C1296" s="146" t="n">
        <v>15421102</v>
      </c>
      <c r="D1296" s="146"/>
      <c r="E1296" s="82" t="str">
        <f aca="false">IF(B1296="","",IF(COUNTIFS('CARNET DE SOUDURE'!$L$7:$L$3006,B1296,'CARNET DE SOUDURE'!$M$7:$M$3006,"&lt;&gt;"&amp;C1296,'CARNET DE SOUDURE'!$M$7:$M$3006,"&lt;&gt;")+COUNTIFS('CARNET DE SOUDURE'!$O$7:$O$3006,B1296,'CARNET DE SOUDURE'!$P$7:$P$3006,"&lt;&gt;"&amp;C1296,'CARNET DE SOUDURE'!$P$7:$P$3006,"&lt;&gt;")&gt;0,"⚠ DIFFÉRENTE","OK"))</f>
        <v>OK</v>
      </c>
      <c r="F1296" s="147" t="n">
        <v>11.94</v>
      </c>
      <c r="G1296" s="80"/>
      <c r="H1296" s="83"/>
      <c r="I1296" s="148" t="str">
        <f aca="false">IF(B1296="","",IFERROR(INDEX('CARNET DE SOUDURE'!$B$7:$B$3006,MATCH(B1296,'CARNET DE SOUDURE'!$L$7:$L$3006,0)),IFERROR(INDEX('CARNET DE SOUDURE'!$B$7:$B$3006,MATCH(B1296,'CARNET DE SOUDURE'!$O$7:$O$3006,0)),"")))</f>
        <v>MFD-ISW → MFD-CPF</v>
      </c>
      <c r="J1296" s="82" t="str">
        <f aca="false">IF(B1296="","",IFERROR(INDEX('CARNET DE SOUDURE'!$E$7:$E$3006,MATCH(B1296,'CARNET DE SOUDURE'!$O$7:$O$3006,0)),""))</f>
        <v>JN°1933R</v>
      </c>
      <c r="K1296" s="82" t="str">
        <f aca="false">IF(B1296="","",IFERROR(INDEX('CARNET DE SOUDURE'!$E$7:$E$3006,MATCH(B1296,'CARNET DE SOUDURE'!$L$7:$L$3006,0)),""))</f>
        <v>JN°1934</v>
      </c>
      <c r="L1296" s="82" t="n">
        <f aca="false">IF(B1296="","",IFERROR(INDEX('CARNET DE SOUDURE'!$D$7:$D$3006,MATCH(B1296,'CARNET DE SOUDURE'!$L$7:$L$3006,0)),IFERROR(INDEX('CARNET DE SOUDURE'!$D$7:$D$3006,MATCH(B1296,'CARNET DE SOUDURE'!$O$7:$O$3006,0)),"")))</f>
        <v>24</v>
      </c>
      <c r="M1296" s="82" t="str">
        <f aca="false">IF(B1296="","",IF(OR(J1296&lt;&gt;"",K1296&lt;&gt;""),"POSÉ EN LIGNE",IF(COUNTIF(BARDAGE!$C$1:$C$5000,B1296)&gt;0,"BARDÉ","EN STOCK")))</f>
        <v>POSÉ EN LIGNE</v>
      </c>
      <c r="N1296" s="80"/>
    </row>
    <row r="1297" customFormat="false" ht="15" hidden="false" customHeight="false" outlineLevel="0" collapsed="false">
      <c r="A1297" s="82" t="n">
        <f aca="false">IF(B1297="","",ROW()-6)</f>
        <v>1291</v>
      </c>
      <c r="B1297" s="145" t="n">
        <v>2097480</v>
      </c>
      <c r="C1297" s="146" t="n">
        <v>15421112</v>
      </c>
      <c r="D1297" s="146"/>
      <c r="E1297" s="82" t="str">
        <f aca="false">IF(B1297="","",IF(COUNTIFS('CARNET DE SOUDURE'!$L$7:$L$3006,B1297,'CARNET DE SOUDURE'!$M$7:$M$3006,"&lt;&gt;"&amp;C1297,'CARNET DE SOUDURE'!$M$7:$M$3006,"&lt;&gt;")+COUNTIFS('CARNET DE SOUDURE'!$O$7:$O$3006,B1297,'CARNET DE SOUDURE'!$P$7:$P$3006,"&lt;&gt;"&amp;C1297,'CARNET DE SOUDURE'!$P$7:$P$3006,"&lt;&gt;")&gt;0,"⚠ DIFFÉRENTE","OK"))</f>
        <v>OK</v>
      </c>
      <c r="F1297" s="147" t="n">
        <v>11.94</v>
      </c>
      <c r="G1297" s="80"/>
      <c r="H1297" s="83"/>
      <c r="I1297" s="148" t="str">
        <f aca="false">IF(B1297="","",IFERROR(INDEX('CARNET DE SOUDURE'!$B$7:$B$3006,MATCH(B1297,'CARNET DE SOUDURE'!$L$7:$L$3006,0)),IFERROR(INDEX('CARNET DE SOUDURE'!$B$7:$B$3006,MATCH(B1297,'CARNET DE SOUDURE'!$O$7:$O$3006,0)),"")))</f>
        <v>MFD-ISW → MFD-CPF</v>
      </c>
      <c r="J1297" s="82" t="str">
        <f aca="false">IF(B1297="","",IFERROR(INDEX('CARNET DE SOUDURE'!$E$7:$E$3006,MATCH(B1297,'CARNET DE SOUDURE'!$O$7:$O$3006,0)),""))</f>
        <v>JN°1934</v>
      </c>
      <c r="K1297" s="82" t="str">
        <f aca="false">IF(B1297="","",IFERROR(INDEX('CARNET DE SOUDURE'!$E$7:$E$3006,MATCH(B1297,'CARNET DE SOUDURE'!$L$7:$L$3006,0)),""))</f>
        <v>JN°1935</v>
      </c>
      <c r="L1297" s="82" t="n">
        <f aca="false">IF(B1297="","",IFERROR(INDEX('CARNET DE SOUDURE'!$D$7:$D$3006,MATCH(B1297,'CARNET DE SOUDURE'!$L$7:$L$3006,0)),IFERROR(INDEX('CARNET DE SOUDURE'!$D$7:$D$3006,MATCH(B1297,'CARNET DE SOUDURE'!$O$7:$O$3006,0)),"")))</f>
        <v>24</v>
      </c>
      <c r="M1297" s="82" t="str">
        <f aca="false">IF(B1297="","",IF(OR(J1297&lt;&gt;"",K1297&lt;&gt;""),"POSÉ EN LIGNE",IF(COUNTIF(BARDAGE!$C$1:$C$5000,B1297)&gt;0,"BARDÉ","EN STOCK")))</f>
        <v>POSÉ EN LIGNE</v>
      </c>
      <c r="N1297" s="80"/>
    </row>
    <row r="1298" customFormat="false" ht="15" hidden="false" customHeight="false" outlineLevel="0" collapsed="false">
      <c r="A1298" s="82" t="n">
        <f aca="false">IF(B1298="","",ROW()-6)</f>
        <v>1292</v>
      </c>
      <c r="B1298" s="145" t="n">
        <v>2096620</v>
      </c>
      <c r="C1298" s="146" t="n">
        <v>15421111</v>
      </c>
      <c r="D1298" s="146"/>
      <c r="E1298" s="82" t="str">
        <f aca="false">IF(B1298="","",IF(COUNTIFS('CARNET DE SOUDURE'!$L$7:$L$3006,B1298,'CARNET DE SOUDURE'!$M$7:$M$3006,"&lt;&gt;"&amp;C1298,'CARNET DE SOUDURE'!$M$7:$M$3006,"&lt;&gt;")+COUNTIFS('CARNET DE SOUDURE'!$O$7:$O$3006,B1298,'CARNET DE SOUDURE'!$P$7:$P$3006,"&lt;&gt;"&amp;C1298,'CARNET DE SOUDURE'!$P$7:$P$3006,"&lt;&gt;")&gt;0,"⚠ DIFFÉRENTE","OK"))</f>
        <v>OK</v>
      </c>
      <c r="F1298" s="147" t="n">
        <v>11.94</v>
      </c>
      <c r="G1298" s="80"/>
      <c r="H1298" s="83"/>
      <c r="I1298" s="148" t="str">
        <f aca="false">IF(B1298="","",IFERROR(INDEX('CARNET DE SOUDURE'!$B$7:$B$3006,MATCH(B1298,'CARNET DE SOUDURE'!$L$7:$L$3006,0)),IFERROR(INDEX('CARNET DE SOUDURE'!$B$7:$B$3006,MATCH(B1298,'CARNET DE SOUDURE'!$O$7:$O$3006,0)),"")))</f>
        <v>MFD-ISW → MFD-CPF</v>
      </c>
      <c r="J1298" s="82" t="str">
        <f aca="false">IF(B1298="","",IFERROR(INDEX('CARNET DE SOUDURE'!$E$7:$E$3006,MATCH(B1298,'CARNET DE SOUDURE'!$O$7:$O$3006,0)),""))</f>
        <v>JN°1938</v>
      </c>
      <c r="K1298" s="82" t="str">
        <f aca="false">IF(B1298="","",IFERROR(INDEX('CARNET DE SOUDURE'!$E$7:$E$3006,MATCH(B1298,'CARNET DE SOUDURE'!$L$7:$L$3006,0)),""))</f>
        <v>JN°1939</v>
      </c>
      <c r="L1298" s="82" t="n">
        <f aca="false">IF(B1298="","",IFERROR(INDEX('CARNET DE SOUDURE'!$D$7:$D$3006,MATCH(B1298,'CARNET DE SOUDURE'!$L$7:$L$3006,0)),IFERROR(INDEX('CARNET DE SOUDURE'!$D$7:$D$3006,MATCH(B1298,'CARNET DE SOUDURE'!$O$7:$O$3006,0)),"")))</f>
        <v>24</v>
      </c>
      <c r="M1298" s="82" t="str">
        <f aca="false">IF(B1298="","",IF(OR(J1298&lt;&gt;"",K1298&lt;&gt;""),"POSÉ EN LIGNE",IF(COUNTIF(BARDAGE!$C$1:$C$5000,B1298)&gt;0,"BARDÉ","EN STOCK")))</f>
        <v>POSÉ EN LIGNE</v>
      </c>
      <c r="N1298" s="80"/>
    </row>
    <row r="1299" customFormat="false" ht="15" hidden="false" customHeight="false" outlineLevel="0" collapsed="false">
      <c r="A1299" s="82" t="n">
        <f aca="false">IF(B1299="","",ROW()-6)</f>
        <v>1293</v>
      </c>
      <c r="B1299" s="145" t="n">
        <v>2087060</v>
      </c>
      <c r="C1299" s="146" t="n">
        <v>15421107</v>
      </c>
      <c r="D1299" s="146"/>
      <c r="E1299" s="82" t="str">
        <f aca="false">IF(B1299="","",IF(COUNTIFS('CARNET DE SOUDURE'!$L$7:$L$3006,B1299,'CARNET DE SOUDURE'!$M$7:$M$3006,"&lt;&gt;"&amp;C1299,'CARNET DE SOUDURE'!$M$7:$M$3006,"&lt;&gt;")+COUNTIFS('CARNET DE SOUDURE'!$O$7:$O$3006,B1299,'CARNET DE SOUDURE'!$P$7:$P$3006,"&lt;&gt;"&amp;C1299,'CARNET DE SOUDURE'!$P$7:$P$3006,"&lt;&gt;")&gt;0,"⚠ DIFFÉRENTE","OK"))</f>
        <v>OK</v>
      </c>
      <c r="F1299" s="147" t="n">
        <v>11.94</v>
      </c>
      <c r="G1299" s="80"/>
      <c r="H1299" s="83"/>
      <c r="I1299" s="148" t="str">
        <f aca="false">IF(B1299="","",IFERROR(INDEX('CARNET DE SOUDURE'!$B$7:$B$3006,MATCH(B1299,'CARNET DE SOUDURE'!$L$7:$L$3006,0)),IFERROR(INDEX('CARNET DE SOUDURE'!$B$7:$B$3006,MATCH(B1299,'CARNET DE SOUDURE'!$O$7:$O$3006,0)),"")))</f>
        <v>MFD-ISW → MFD-CPF</v>
      </c>
      <c r="J1299" s="82" t="str">
        <f aca="false">IF(B1299="","",IFERROR(INDEX('CARNET DE SOUDURE'!$E$7:$E$3006,MATCH(B1299,'CARNET DE SOUDURE'!$O$7:$O$3006,0)),""))</f>
        <v>JN°1939</v>
      </c>
      <c r="K1299" s="82" t="str">
        <f aca="false">IF(B1299="","",IFERROR(INDEX('CARNET DE SOUDURE'!$E$7:$E$3006,MATCH(B1299,'CARNET DE SOUDURE'!$L$7:$L$3006,0)),""))</f>
        <v>JN°1940</v>
      </c>
      <c r="L1299" s="82" t="n">
        <f aca="false">IF(B1299="","",IFERROR(INDEX('CARNET DE SOUDURE'!$D$7:$D$3006,MATCH(B1299,'CARNET DE SOUDURE'!$L$7:$L$3006,0)),IFERROR(INDEX('CARNET DE SOUDURE'!$D$7:$D$3006,MATCH(B1299,'CARNET DE SOUDURE'!$O$7:$O$3006,0)),"")))</f>
        <v>24</v>
      </c>
      <c r="M1299" s="82" t="str">
        <f aca="false">IF(B1299="","",IF(OR(J1299&lt;&gt;"",K1299&lt;&gt;""),"POSÉ EN LIGNE",IF(COUNTIF(BARDAGE!$C$1:$C$5000,B1299)&gt;0,"BARDÉ","EN STOCK")))</f>
        <v>POSÉ EN LIGNE</v>
      </c>
      <c r="N1299" s="80"/>
    </row>
    <row r="1300" customFormat="false" ht="15" hidden="false" customHeight="false" outlineLevel="0" collapsed="false">
      <c r="A1300" s="82" t="n">
        <f aca="false">IF(B1300="","",ROW()-6)</f>
        <v>1294</v>
      </c>
      <c r="B1300" s="145" t="n">
        <v>2086980</v>
      </c>
      <c r="C1300" s="146" t="n">
        <v>15421107</v>
      </c>
      <c r="D1300" s="146"/>
      <c r="E1300" s="82" t="str">
        <f aca="false">IF(B1300="","",IF(COUNTIFS('CARNET DE SOUDURE'!$L$7:$L$3006,B1300,'CARNET DE SOUDURE'!$M$7:$M$3006,"&lt;&gt;"&amp;C1300,'CARNET DE SOUDURE'!$M$7:$M$3006,"&lt;&gt;")+COUNTIFS('CARNET DE SOUDURE'!$O$7:$O$3006,B1300,'CARNET DE SOUDURE'!$P$7:$P$3006,"&lt;&gt;"&amp;C1300,'CARNET DE SOUDURE'!$P$7:$P$3006,"&lt;&gt;")&gt;0,"⚠ DIFFÉRENTE","OK"))</f>
        <v>OK</v>
      </c>
      <c r="F1300" s="147" t="n">
        <v>11.94</v>
      </c>
      <c r="G1300" s="80"/>
      <c r="H1300" s="83"/>
      <c r="I1300" s="148" t="str">
        <f aca="false">IF(B1300="","",IFERROR(INDEX('CARNET DE SOUDURE'!$B$7:$B$3006,MATCH(B1300,'CARNET DE SOUDURE'!$L$7:$L$3006,0)),IFERROR(INDEX('CARNET DE SOUDURE'!$B$7:$B$3006,MATCH(B1300,'CARNET DE SOUDURE'!$O$7:$O$3006,0)),"")))</f>
        <v>MFD-ISW → MFD-CPF</v>
      </c>
      <c r="J1300" s="82" t="str">
        <f aca="false">IF(B1300="","",IFERROR(INDEX('CARNET DE SOUDURE'!$E$7:$E$3006,MATCH(B1300,'CARNET DE SOUDURE'!$O$7:$O$3006,0)),""))</f>
        <v>JN°1940</v>
      </c>
      <c r="K1300" s="82" t="str">
        <f aca="false">IF(B1300="","",IFERROR(INDEX('CARNET DE SOUDURE'!$E$7:$E$3006,MATCH(B1300,'CARNET DE SOUDURE'!$L$7:$L$3006,0)),""))</f>
        <v>JN°1941</v>
      </c>
      <c r="L1300" s="82" t="n">
        <f aca="false">IF(B1300="","",IFERROR(INDEX('CARNET DE SOUDURE'!$D$7:$D$3006,MATCH(B1300,'CARNET DE SOUDURE'!$L$7:$L$3006,0)),IFERROR(INDEX('CARNET DE SOUDURE'!$D$7:$D$3006,MATCH(B1300,'CARNET DE SOUDURE'!$O$7:$O$3006,0)),"")))</f>
        <v>24</v>
      </c>
      <c r="M1300" s="82" t="str">
        <f aca="false">IF(B1300="","",IF(OR(J1300&lt;&gt;"",K1300&lt;&gt;""),"POSÉ EN LIGNE",IF(COUNTIF(BARDAGE!$C$1:$C$5000,B1300)&gt;0,"BARDÉ","EN STOCK")))</f>
        <v>POSÉ EN LIGNE</v>
      </c>
      <c r="N1300" s="80"/>
    </row>
    <row r="1301" customFormat="false" ht="15" hidden="false" customHeight="false" outlineLevel="0" collapsed="false">
      <c r="A1301" s="82" t="n">
        <f aca="false">IF(B1301="","",ROW()-6)</f>
        <v>1295</v>
      </c>
      <c r="B1301" s="145" t="n">
        <v>2095000</v>
      </c>
      <c r="C1301" s="146" t="n">
        <v>15421111</v>
      </c>
      <c r="D1301" s="146"/>
      <c r="E1301" s="82" t="str">
        <f aca="false">IF(B1301="","",IF(COUNTIFS('CARNET DE SOUDURE'!$L$7:$L$3006,B1301,'CARNET DE SOUDURE'!$M$7:$M$3006,"&lt;&gt;"&amp;C1301,'CARNET DE SOUDURE'!$M$7:$M$3006,"&lt;&gt;")+COUNTIFS('CARNET DE SOUDURE'!$O$7:$O$3006,B1301,'CARNET DE SOUDURE'!$P$7:$P$3006,"&lt;&gt;"&amp;C1301,'CARNET DE SOUDURE'!$P$7:$P$3006,"&lt;&gt;")&gt;0,"⚠ DIFFÉRENTE","OK"))</f>
        <v>OK</v>
      </c>
      <c r="F1301" s="147" t="n">
        <v>11.94</v>
      </c>
      <c r="G1301" s="80"/>
      <c r="H1301" s="83"/>
      <c r="I1301" s="148" t="str">
        <f aca="false">IF(B1301="","",IFERROR(INDEX('CARNET DE SOUDURE'!$B$7:$B$3006,MATCH(B1301,'CARNET DE SOUDURE'!$L$7:$L$3006,0)),IFERROR(INDEX('CARNET DE SOUDURE'!$B$7:$B$3006,MATCH(B1301,'CARNET DE SOUDURE'!$O$7:$O$3006,0)),"")))</f>
        <v>MFD-ISW → MFD-CPF</v>
      </c>
      <c r="J1301" s="82" t="str">
        <f aca="false">IF(B1301="","",IFERROR(INDEX('CARNET DE SOUDURE'!$E$7:$E$3006,MATCH(B1301,'CARNET DE SOUDURE'!$O$7:$O$3006,0)),""))</f>
        <v>JN°1941</v>
      </c>
      <c r="K1301" s="82" t="str">
        <f aca="false">IF(B1301="","",IFERROR(INDEX('CARNET DE SOUDURE'!$E$7:$E$3006,MATCH(B1301,'CARNET DE SOUDURE'!$L$7:$L$3006,0)),""))</f>
        <v>JN°1942</v>
      </c>
      <c r="L1301" s="82" t="n">
        <f aca="false">IF(B1301="","",IFERROR(INDEX('CARNET DE SOUDURE'!$D$7:$D$3006,MATCH(B1301,'CARNET DE SOUDURE'!$L$7:$L$3006,0)),IFERROR(INDEX('CARNET DE SOUDURE'!$D$7:$D$3006,MATCH(B1301,'CARNET DE SOUDURE'!$O$7:$O$3006,0)),"")))</f>
        <v>24</v>
      </c>
      <c r="M1301" s="82" t="str">
        <f aca="false">IF(B1301="","",IF(OR(J1301&lt;&gt;"",K1301&lt;&gt;""),"POSÉ EN LIGNE",IF(COUNTIF(BARDAGE!$C$1:$C$5000,B1301)&gt;0,"BARDÉ","EN STOCK")))</f>
        <v>POSÉ EN LIGNE</v>
      </c>
      <c r="N1301" s="80"/>
    </row>
    <row r="1302" customFormat="false" ht="15" hidden="false" customHeight="false" outlineLevel="0" collapsed="false">
      <c r="A1302" s="82" t="n">
        <f aca="false">IF(B1302="","",ROW()-6)</f>
        <v>1296</v>
      </c>
      <c r="B1302" s="145" t="n">
        <v>2092970</v>
      </c>
      <c r="C1302" s="146" t="n">
        <v>15421110</v>
      </c>
      <c r="D1302" s="146"/>
      <c r="E1302" s="82" t="str">
        <f aca="false">IF(B1302="","",IF(COUNTIFS('CARNET DE SOUDURE'!$L$7:$L$3006,B1302,'CARNET DE SOUDURE'!$M$7:$M$3006,"&lt;&gt;"&amp;C1302,'CARNET DE SOUDURE'!$M$7:$M$3006,"&lt;&gt;")+COUNTIFS('CARNET DE SOUDURE'!$O$7:$O$3006,B1302,'CARNET DE SOUDURE'!$P$7:$P$3006,"&lt;&gt;"&amp;C1302,'CARNET DE SOUDURE'!$P$7:$P$3006,"&lt;&gt;")&gt;0,"⚠ DIFFÉRENTE","OK"))</f>
        <v>OK</v>
      </c>
      <c r="F1302" s="147" t="n">
        <v>11.94</v>
      </c>
      <c r="G1302" s="80"/>
      <c r="H1302" s="83"/>
      <c r="I1302" s="148" t="str">
        <f aca="false">IF(B1302="","",IFERROR(INDEX('CARNET DE SOUDURE'!$B$7:$B$3006,MATCH(B1302,'CARNET DE SOUDURE'!$L$7:$L$3006,0)),IFERROR(INDEX('CARNET DE SOUDURE'!$B$7:$B$3006,MATCH(B1302,'CARNET DE SOUDURE'!$O$7:$O$3006,0)),"")))</f>
        <v>MFD-ISW → MFD-CPF</v>
      </c>
      <c r="J1302" s="82" t="str">
        <f aca="false">IF(B1302="","",IFERROR(INDEX('CARNET DE SOUDURE'!$E$7:$E$3006,MATCH(B1302,'CARNET DE SOUDURE'!$O$7:$O$3006,0)),""))</f>
        <v>JN°1942</v>
      </c>
      <c r="K1302" s="82" t="str">
        <f aca="false">IF(B1302="","",IFERROR(INDEX('CARNET DE SOUDURE'!$E$7:$E$3006,MATCH(B1302,'CARNET DE SOUDURE'!$L$7:$L$3006,0)),""))</f>
        <v>JN°1943</v>
      </c>
      <c r="L1302" s="82" t="n">
        <f aca="false">IF(B1302="","",IFERROR(INDEX('CARNET DE SOUDURE'!$D$7:$D$3006,MATCH(B1302,'CARNET DE SOUDURE'!$L$7:$L$3006,0)),IFERROR(INDEX('CARNET DE SOUDURE'!$D$7:$D$3006,MATCH(B1302,'CARNET DE SOUDURE'!$O$7:$O$3006,0)),"")))</f>
        <v>24</v>
      </c>
      <c r="M1302" s="82" t="str">
        <f aca="false">IF(B1302="","",IF(OR(J1302&lt;&gt;"",K1302&lt;&gt;""),"POSÉ EN LIGNE",IF(COUNTIF(BARDAGE!$C$1:$C$5000,B1302)&gt;0,"BARDÉ","EN STOCK")))</f>
        <v>POSÉ EN LIGNE</v>
      </c>
      <c r="N1302" s="80"/>
    </row>
    <row r="1303" customFormat="false" ht="15" hidden="false" customHeight="false" outlineLevel="0" collapsed="false">
      <c r="A1303" s="82" t="n">
        <f aca="false">IF(B1303="","",ROW()-6)</f>
        <v>1297</v>
      </c>
      <c r="B1303" s="145" t="n">
        <v>2092650</v>
      </c>
      <c r="C1303" s="146" t="n">
        <v>15421110</v>
      </c>
      <c r="D1303" s="146"/>
      <c r="E1303" s="82" t="str">
        <f aca="false">IF(B1303="","",IF(COUNTIFS('CARNET DE SOUDURE'!$L$7:$L$3006,B1303,'CARNET DE SOUDURE'!$M$7:$M$3006,"&lt;&gt;"&amp;C1303,'CARNET DE SOUDURE'!$M$7:$M$3006,"&lt;&gt;")+COUNTIFS('CARNET DE SOUDURE'!$O$7:$O$3006,B1303,'CARNET DE SOUDURE'!$P$7:$P$3006,"&lt;&gt;"&amp;C1303,'CARNET DE SOUDURE'!$P$7:$P$3006,"&lt;&gt;")&gt;0,"⚠ DIFFÉRENTE","OK"))</f>
        <v>OK</v>
      </c>
      <c r="F1303" s="147" t="n">
        <v>11.94</v>
      </c>
      <c r="G1303" s="80"/>
      <c r="H1303" s="83"/>
      <c r="I1303" s="148" t="str">
        <f aca="false">IF(B1303="","",IFERROR(INDEX('CARNET DE SOUDURE'!$B$7:$B$3006,MATCH(B1303,'CARNET DE SOUDURE'!$L$7:$L$3006,0)),IFERROR(INDEX('CARNET DE SOUDURE'!$B$7:$B$3006,MATCH(B1303,'CARNET DE SOUDURE'!$O$7:$O$3006,0)),"")))</f>
        <v>MFD-ISW → MFD-CPF</v>
      </c>
      <c r="J1303" s="82" t="str">
        <f aca="false">IF(B1303="","",IFERROR(INDEX('CARNET DE SOUDURE'!$E$7:$E$3006,MATCH(B1303,'CARNET DE SOUDURE'!$O$7:$O$3006,0)),""))</f>
        <v>JN°1943</v>
      </c>
      <c r="K1303" s="82" t="str">
        <f aca="false">IF(B1303="","",IFERROR(INDEX('CARNET DE SOUDURE'!$E$7:$E$3006,MATCH(B1303,'CARNET DE SOUDURE'!$L$7:$L$3006,0)),""))</f>
        <v>JN°1944</v>
      </c>
      <c r="L1303" s="82" t="n">
        <f aca="false">IF(B1303="","",IFERROR(INDEX('CARNET DE SOUDURE'!$D$7:$D$3006,MATCH(B1303,'CARNET DE SOUDURE'!$L$7:$L$3006,0)),IFERROR(INDEX('CARNET DE SOUDURE'!$D$7:$D$3006,MATCH(B1303,'CARNET DE SOUDURE'!$O$7:$O$3006,0)),"")))</f>
        <v>24</v>
      </c>
      <c r="M1303" s="82" t="str">
        <f aca="false">IF(B1303="","",IF(OR(J1303&lt;&gt;"",K1303&lt;&gt;""),"POSÉ EN LIGNE",IF(COUNTIF(BARDAGE!$C$1:$C$5000,B1303)&gt;0,"BARDÉ","EN STOCK")))</f>
        <v>POSÉ EN LIGNE</v>
      </c>
      <c r="N1303" s="80"/>
    </row>
    <row r="1304" customFormat="false" ht="15" hidden="false" customHeight="false" outlineLevel="0" collapsed="false">
      <c r="A1304" s="82" t="n">
        <f aca="false">IF(B1304="","",ROW()-6)</f>
        <v>1298</v>
      </c>
      <c r="B1304" s="145" t="n">
        <v>2090780</v>
      </c>
      <c r="C1304" s="146" t="n">
        <v>15421109</v>
      </c>
      <c r="D1304" s="146"/>
      <c r="E1304" s="82" t="str">
        <f aca="false">IF(B1304="","",IF(COUNTIFS('CARNET DE SOUDURE'!$L$7:$L$3006,B1304,'CARNET DE SOUDURE'!$M$7:$M$3006,"&lt;&gt;"&amp;C1304,'CARNET DE SOUDURE'!$M$7:$M$3006,"&lt;&gt;")+COUNTIFS('CARNET DE SOUDURE'!$O$7:$O$3006,B1304,'CARNET DE SOUDURE'!$P$7:$P$3006,"&lt;&gt;"&amp;C1304,'CARNET DE SOUDURE'!$P$7:$P$3006,"&lt;&gt;")&gt;0,"⚠ DIFFÉRENTE","OK"))</f>
        <v>OK</v>
      </c>
      <c r="F1304" s="147" t="n">
        <v>11.94</v>
      </c>
      <c r="G1304" s="80"/>
      <c r="H1304" s="83"/>
      <c r="I1304" s="148" t="str">
        <f aca="false">IF(B1304="","",IFERROR(INDEX('CARNET DE SOUDURE'!$B$7:$B$3006,MATCH(B1304,'CARNET DE SOUDURE'!$L$7:$L$3006,0)),IFERROR(INDEX('CARNET DE SOUDURE'!$B$7:$B$3006,MATCH(B1304,'CARNET DE SOUDURE'!$O$7:$O$3006,0)),"")))</f>
        <v>MFD-ISW → MFD-CPF</v>
      </c>
      <c r="J1304" s="82" t="str">
        <f aca="false">IF(B1304="","",IFERROR(INDEX('CARNET DE SOUDURE'!$E$7:$E$3006,MATCH(B1304,'CARNET DE SOUDURE'!$O$7:$O$3006,0)),""))</f>
        <v>JN°1944</v>
      </c>
      <c r="K1304" s="82" t="str">
        <f aca="false">IF(B1304="","",IFERROR(INDEX('CARNET DE SOUDURE'!$E$7:$E$3006,MATCH(B1304,'CARNET DE SOUDURE'!$L$7:$L$3006,0)),""))</f>
        <v>JN°1945</v>
      </c>
      <c r="L1304" s="82" t="n">
        <f aca="false">IF(B1304="","",IFERROR(INDEX('CARNET DE SOUDURE'!$D$7:$D$3006,MATCH(B1304,'CARNET DE SOUDURE'!$L$7:$L$3006,0)),IFERROR(INDEX('CARNET DE SOUDURE'!$D$7:$D$3006,MATCH(B1304,'CARNET DE SOUDURE'!$O$7:$O$3006,0)),"")))</f>
        <v>24</v>
      </c>
      <c r="M1304" s="82" t="str">
        <f aca="false">IF(B1304="","",IF(OR(J1304&lt;&gt;"",K1304&lt;&gt;""),"POSÉ EN LIGNE",IF(COUNTIF(BARDAGE!$C$1:$C$5000,B1304)&gt;0,"BARDÉ","EN STOCK")))</f>
        <v>POSÉ EN LIGNE</v>
      </c>
      <c r="N1304" s="80"/>
    </row>
    <row r="1305" customFormat="false" ht="15" hidden="false" customHeight="false" outlineLevel="0" collapsed="false">
      <c r="A1305" s="82" t="n">
        <f aca="false">IF(B1305="","",ROW()-6)</f>
        <v>1299</v>
      </c>
      <c r="B1305" s="145" t="n">
        <v>2083310</v>
      </c>
      <c r="C1305" s="146" t="n">
        <v>15421105</v>
      </c>
      <c r="D1305" s="146"/>
      <c r="E1305" s="82" t="str">
        <f aca="false">IF(B1305="","",IF(COUNTIFS('CARNET DE SOUDURE'!$L$7:$L$3006,B1305,'CARNET DE SOUDURE'!$M$7:$M$3006,"&lt;&gt;"&amp;C1305,'CARNET DE SOUDURE'!$M$7:$M$3006,"&lt;&gt;")+COUNTIFS('CARNET DE SOUDURE'!$O$7:$O$3006,B1305,'CARNET DE SOUDURE'!$P$7:$P$3006,"&lt;&gt;"&amp;C1305,'CARNET DE SOUDURE'!$P$7:$P$3006,"&lt;&gt;")&gt;0,"⚠ DIFFÉRENTE","OK"))</f>
        <v>OK</v>
      </c>
      <c r="F1305" s="147" t="n">
        <v>11.94</v>
      </c>
      <c r="G1305" s="80"/>
      <c r="H1305" s="83"/>
      <c r="I1305" s="148" t="str">
        <f aca="false">IF(B1305="","",IFERROR(INDEX('CARNET DE SOUDURE'!$B$7:$B$3006,MATCH(B1305,'CARNET DE SOUDURE'!$L$7:$L$3006,0)),IFERROR(INDEX('CARNET DE SOUDURE'!$B$7:$B$3006,MATCH(B1305,'CARNET DE SOUDURE'!$O$7:$O$3006,0)),"")))</f>
        <v>MFD-ISW → MFD-CPF</v>
      </c>
      <c r="J1305" s="82" t="str">
        <f aca="false">IF(B1305="","",IFERROR(INDEX('CARNET DE SOUDURE'!$E$7:$E$3006,MATCH(B1305,'CARNET DE SOUDURE'!$O$7:$O$3006,0)),""))</f>
        <v>JN°1945</v>
      </c>
      <c r="K1305" s="82" t="str">
        <f aca="false">IF(B1305="","",IFERROR(INDEX('CARNET DE SOUDURE'!$E$7:$E$3006,MATCH(B1305,'CARNET DE SOUDURE'!$L$7:$L$3006,0)),""))</f>
        <v>JN°1946</v>
      </c>
      <c r="L1305" s="82" t="n">
        <f aca="false">IF(B1305="","",IFERROR(INDEX('CARNET DE SOUDURE'!$D$7:$D$3006,MATCH(B1305,'CARNET DE SOUDURE'!$L$7:$L$3006,0)),IFERROR(INDEX('CARNET DE SOUDURE'!$D$7:$D$3006,MATCH(B1305,'CARNET DE SOUDURE'!$O$7:$O$3006,0)),"")))</f>
        <v>24</v>
      </c>
      <c r="M1305" s="82" t="str">
        <f aca="false">IF(B1305="","",IF(OR(J1305&lt;&gt;"",K1305&lt;&gt;""),"POSÉ EN LIGNE",IF(COUNTIF(BARDAGE!$C$1:$C$5000,B1305)&gt;0,"BARDÉ","EN STOCK")))</f>
        <v>POSÉ EN LIGNE</v>
      </c>
      <c r="N1305" s="80"/>
    </row>
    <row r="1306" customFormat="false" ht="15" hidden="false" customHeight="false" outlineLevel="0" collapsed="false">
      <c r="A1306" s="82" t="n">
        <f aca="false">IF(B1306="","",ROW()-6)</f>
        <v>1300</v>
      </c>
      <c r="B1306" s="145" t="n">
        <v>2088520</v>
      </c>
      <c r="C1306" s="146" t="n">
        <v>15421108</v>
      </c>
      <c r="D1306" s="146"/>
      <c r="E1306" s="82" t="str">
        <f aca="false">IF(B1306="","",IF(COUNTIFS('CARNET DE SOUDURE'!$L$7:$L$3006,B1306,'CARNET DE SOUDURE'!$M$7:$M$3006,"&lt;&gt;"&amp;C1306,'CARNET DE SOUDURE'!$M$7:$M$3006,"&lt;&gt;")+COUNTIFS('CARNET DE SOUDURE'!$O$7:$O$3006,B1306,'CARNET DE SOUDURE'!$P$7:$P$3006,"&lt;&gt;"&amp;C1306,'CARNET DE SOUDURE'!$P$7:$P$3006,"&lt;&gt;")&gt;0,"⚠ DIFFÉRENTE","OK"))</f>
        <v>OK</v>
      </c>
      <c r="F1306" s="147" t="n">
        <v>11.94</v>
      </c>
      <c r="G1306" s="80"/>
      <c r="H1306" s="83"/>
      <c r="I1306" s="148" t="str">
        <f aca="false">IF(B1306="","",IFERROR(INDEX('CARNET DE SOUDURE'!$B$7:$B$3006,MATCH(B1306,'CARNET DE SOUDURE'!$L$7:$L$3006,0)),IFERROR(INDEX('CARNET DE SOUDURE'!$B$7:$B$3006,MATCH(B1306,'CARNET DE SOUDURE'!$O$7:$O$3006,0)),"")))</f>
        <v>MFD-ISW → MFD-CPF</v>
      </c>
      <c r="J1306" s="82" t="str">
        <f aca="false">IF(B1306="","",IFERROR(INDEX('CARNET DE SOUDURE'!$E$7:$E$3006,MATCH(B1306,'CARNET DE SOUDURE'!$O$7:$O$3006,0)),""))</f>
        <v>JN°1946</v>
      </c>
      <c r="K1306" s="82" t="str">
        <f aca="false">IF(B1306="","",IFERROR(INDEX('CARNET DE SOUDURE'!$E$7:$E$3006,MATCH(B1306,'CARNET DE SOUDURE'!$L$7:$L$3006,0)),""))</f>
        <v>JN°1947</v>
      </c>
      <c r="L1306" s="82" t="n">
        <f aca="false">IF(B1306="","",IFERROR(INDEX('CARNET DE SOUDURE'!$D$7:$D$3006,MATCH(B1306,'CARNET DE SOUDURE'!$L$7:$L$3006,0)),IFERROR(INDEX('CARNET DE SOUDURE'!$D$7:$D$3006,MATCH(B1306,'CARNET DE SOUDURE'!$O$7:$O$3006,0)),"")))</f>
        <v>24</v>
      </c>
      <c r="M1306" s="82" t="str">
        <f aca="false">IF(B1306="","",IF(OR(J1306&lt;&gt;"",K1306&lt;&gt;""),"POSÉ EN LIGNE",IF(COUNTIF(BARDAGE!$C$1:$C$5000,B1306)&gt;0,"BARDÉ","EN STOCK")))</f>
        <v>POSÉ EN LIGNE</v>
      </c>
      <c r="N1306" s="80"/>
    </row>
    <row r="1307" customFormat="false" ht="15" hidden="false" customHeight="false" outlineLevel="0" collapsed="false">
      <c r="A1307" s="82" t="n">
        <f aca="false">IF(B1307="","",ROW()-6)</f>
        <v>1301</v>
      </c>
      <c r="B1307" s="145" t="n">
        <v>2091850</v>
      </c>
      <c r="C1307" s="146" t="n">
        <v>15421109</v>
      </c>
      <c r="D1307" s="146"/>
      <c r="E1307" s="82" t="str">
        <f aca="false">IF(B1307="","",IF(COUNTIFS('CARNET DE SOUDURE'!$L$7:$L$3006,B1307,'CARNET DE SOUDURE'!$M$7:$M$3006,"&lt;&gt;"&amp;C1307,'CARNET DE SOUDURE'!$M$7:$M$3006,"&lt;&gt;")+COUNTIFS('CARNET DE SOUDURE'!$O$7:$O$3006,B1307,'CARNET DE SOUDURE'!$P$7:$P$3006,"&lt;&gt;"&amp;C1307,'CARNET DE SOUDURE'!$P$7:$P$3006,"&lt;&gt;")&gt;0,"⚠ DIFFÉRENTE","OK"))</f>
        <v>OK</v>
      </c>
      <c r="F1307" s="147" t="n">
        <v>11.94</v>
      </c>
      <c r="G1307" s="80"/>
      <c r="H1307" s="83"/>
      <c r="I1307" s="148" t="str">
        <f aca="false">IF(B1307="","",IFERROR(INDEX('CARNET DE SOUDURE'!$B$7:$B$3006,MATCH(B1307,'CARNET DE SOUDURE'!$L$7:$L$3006,0)),IFERROR(INDEX('CARNET DE SOUDURE'!$B$7:$B$3006,MATCH(B1307,'CARNET DE SOUDURE'!$O$7:$O$3006,0)),"")))</f>
        <v>MFD-ISW → MFD-CPF</v>
      </c>
      <c r="J1307" s="82" t="str">
        <f aca="false">IF(B1307="","",IFERROR(INDEX('CARNET DE SOUDURE'!$E$7:$E$3006,MATCH(B1307,'CARNET DE SOUDURE'!$O$7:$O$3006,0)),""))</f>
        <v>JN°1950</v>
      </c>
      <c r="K1307" s="82" t="str">
        <f aca="false">IF(B1307="","",IFERROR(INDEX('CARNET DE SOUDURE'!$E$7:$E$3006,MATCH(B1307,'CARNET DE SOUDURE'!$L$7:$L$3006,0)),""))</f>
        <v>JN°1951</v>
      </c>
      <c r="L1307" s="82" t="n">
        <f aca="false">IF(B1307="","",IFERROR(INDEX('CARNET DE SOUDURE'!$D$7:$D$3006,MATCH(B1307,'CARNET DE SOUDURE'!$L$7:$L$3006,0)),IFERROR(INDEX('CARNET DE SOUDURE'!$D$7:$D$3006,MATCH(B1307,'CARNET DE SOUDURE'!$O$7:$O$3006,0)),"")))</f>
        <v>24</v>
      </c>
      <c r="M1307" s="82" t="str">
        <f aca="false">IF(B1307="","",IF(OR(J1307&lt;&gt;"",K1307&lt;&gt;""),"POSÉ EN LIGNE",IF(COUNTIF(BARDAGE!$C$1:$C$5000,B1307)&gt;0,"BARDÉ","EN STOCK")))</f>
        <v>POSÉ EN LIGNE</v>
      </c>
      <c r="N1307" s="80"/>
    </row>
    <row r="1308" customFormat="false" ht="15" hidden="false" customHeight="false" outlineLevel="0" collapsed="false">
      <c r="A1308" s="82" t="n">
        <f aca="false">IF(B1308="","",ROW()-6)</f>
        <v>1302</v>
      </c>
      <c r="B1308" s="145" t="n">
        <v>2095510</v>
      </c>
      <c r="C1308" s="146" t="n">
        <v>15421111</v>
      </c>
      <c r="D1308" s="146"/>
      <c r="E1308" s="82" t="str">
        <f aca="false">IF(B1308="","",IF(COUNTIFS('CARNET DE SOUDURE'!$L$7:$L$3006,B1308,'CARNET DE SOUDURE'!$M$7:$M$3006,"&lt;&gt;"&amp;C1308,'CARNET DE SOUDURE'!$M$7:$M$3006,"&lt;&gt;")+COUNTIFS('CARNET DE SOUDURE'!$O$7:$O$3006,B1308,'CARNET DE SOUDURE'!$P$7:$P$3006,"&lt;&gt;"&amp;C1308,'CARNET DE SOUDURE'!$P$7:$P$3006,"&lt;&gt;")&gt;0,"⚠ DIFFÉRENTE","OK"))</f>
        <v>OK</v>
      </c>
      <c r="F1308" s="147" t="n">
        <v>11.94</v>
      </c>
      <c r="G1308" s="80"/>
      <c r="H1308" s="83"/>
      <c r="I1308" s="148" t="str">
        <f aca="false">IF(B1308="","",IFERROR(INDEX('CARNET DE SOUDURE'!$B$7:$B$3006,MATCH(B1308,'CARNET DE SOUDURE'!$L$7:$L$3006,0)),IFERROR(INDEX('CARNET DE SOUDURE'!$B$7:$B$3006,MATCH(B1308,'CARNET DE SOUDURE'!$O$7:$O$3006,0)),"")))</f>
        <v>MFD-ISW → MFD-CPF</v>
      </c>
      <c r="J1308" s="82" t="str">
        <f aca="false">IF(B1308="","",IFERROR(INDEX('CARNET DE SOUDURE'!$E$7:$E$3006,MATCH(B1308,'CARNET DE SOUDURE'!$O$7:$O$3006,0)),""))</f>
        <v>JN°1951</v>
      </c>
      <c r="K1308" s="82" t="str">
        <f aca="false">IF(B1308="","",IFERROR(INDEX('CARNET DE SOUDURE'!$E$7:$E$3006,MATCH(B1308,'CARNET DE SOUDURE'!$L$7:$L$3006,0)),""))</f>
        <v>JN°1952</v>
      </c>
      <c r="L1308" s="82" t="n">
        <f aca="false">IF(B1308="","",IFERROR(INDEX('CARNET DE SOUDURE'!$D$7:$D$3006,MATCH(B1308,'CARNET DE SOUDURE'!$L$7:$L$3006,0)),IFERROR(INDEX('CARNET DE SOUDURE'!$D$7:$D$3006,MATCH(B1308,'CARNET DE SOUDURE'!$O$7:$O$3006,0)),"")))</f>
        <v>24</v>
      </c>
      <c r="M1308" s="82" t="str">
        <f aca="false">IF(B1308="","",IF(OR(J1308&lt;&gt;"",K1308&lt;&gt;""),"POSÉ EN LIGNE",IF(COUNTIF(BARDAGE!$C$1:$C$5000,B1308)&gt;0,"BARDÉ","EN STOCK")))</f>
        <v>POSÉ EN LIGNE</v>
      </c>
      <c r="N1308" s="80"/>
    </row>
    <row r="1309" customFormat="false" ht="15" hidden="false" customHeight="false" outlineLevel="0" collapsed="false">
      <c r="A1309" s="82" t="n">
        <f aca="false">IF(B1309="","",ROW()-6)</f>
        <v>1303</v>
      </c>
      <c r="B1309" s="145" t="n">
        <v>207420</v>
      </c>
      <c r="C1309" s="146" t="n">
        <v>15421112</v>
      </c>
      <c r="D1309" s="146"/>
      <c r="E1309" s="82" t="str">
        <f aca="false">IF(B1309="","",IF(COUNTIFS('CARNET DE SOUDURE'!$L$7:$L$3006,B1309,'CARNET DE SOUDURE'!$M$7:$M$3006,"&lt;&gt;"&amp;C1309,'CARNET DE SOUDURE'!$M$7:$M$3006,"&lt;&gt;")+COUNTIFS('CARNET DE SOUDURE'!$O$7:$O$3006,B1309,'CARNET DE SOUDURE'!$P$7:$P$3006,"&lt;&gt;"&amp;C1309,'CARNET DE SOUDURE'!$P$7:$P$3006,"&lt;&gt;")&gt;0,"⚠ DIFFÉRENTE","OK"))</f>
        <v>OK</v>
      </c>
      <c r="F1309" s="147" t="n">
        <v>11.94</v>
      </c>
      <c r="G1309" s="80"/>
      <c r="H1309" s="83"/>
      <c r="I1309" s="148" t="str">
        <f aca="false">IF(B1309="","",IFERROR(INDEX('CARNET DE SOUDURE'!$B$7:$B$3006,MATCH(B1309,'CARNET DE SOUDURE'!$L$7:$L$3006,0)),IFERROR(INDEX('CARNET DE SOUDURE'!$B$7:$B$3006,MATCH(B1309,'CARNET DE SOUDURE'!$O$7:$O$3006,0)),"")))</f>
        <v>MFD-ISW → MFD-CPF</v>
      </c>
      <c r="J1309" s="82" t="str">
        <f aca="false">IF(B1309="","",IFERROR(INDEX('CARNET DE SOUDURE'!$E$7:$E$3006,MATCH(B1309,'CARNET DE SOUDURE'!$O$7:$O$3006,0)),""))</f>
        <v>JN°1952</v>
      </c>
      <c r="K1309" s="82" t="str">
        <f aca="false">IF(B1309="","",IFERROR(INDEX('CARNET DE SOUDURE'!$E$7:$E$3006,MATCH(B1309,'CARNET DE SOUDURE'!$L$7:$L$3006,0)),""))</f>
        <v>JN°1953</v>
      </c>
      <c r="L1309" s="82" t="n">
        <f aca="false">IF(B1309="","",IFERROR(INDEX('CARNET DE SOUDURE'!$D$7:$D$3006,MATCH(B1309,'CARNET DE SOUDURE'!$L$7:$L$3006,0)),IFERROR(INDEX('CARNET DE SOUDURE'!$D$7:$D$3006,MATCH(B1309,'CARNET DE SOUDURE'!$O$7:$O$3006,0)),"")))</f>
        <v>24</v>
      </c>
      <c r="M1309" s="82" t="str">
        <f aca="false">IF(B1309="","",IF(OR(J1309&lt;&gt;"",K1309&lt;&gt;""),"POSÉ EN LIGNE",IF(COUNTIF(BARDAGE!$C$1:$C$5000,B1309)&gt;0,"BARDÉ","EN STOCK")))</f>
        <v>POSÉ EN LIGNE</v>
      </c>
      <c r="N1309" s="80"/>
    </row>
    <row r="1310" customFormat="false" ht="15" hidden="false" customHeight="false" outlineLevel="0" collapsed="false">
      <c r="A1310" s="82" t="n">
        <f aca="false">IF(B1310="","",ROW()-6)</f>
        <v>1304</v>
      </c>
      <c r="B1310" s="145" t="n">
        <v>2094070</v>
      </c>
      <c r="C1310" s="146" t="n">
        <v>15421110</v>
      </c>
      <c r="D1310" s="146"/>
      <c r="E1310" s="82" t="str">
        <f aca="false">IF(B1310="","",IF(COUNTIFS('CARNET DE SOUDURE'!$L$7:$L$3006,B1310,'CARNET DE SOUDURE'!$M$7:$M$3006,"&lt;&gt;"&amp;C1310,'CARNET DE SOUDURE'!$M$7:$M$3006,"&lt;&gt;")+COUNTIFS('CARNET DE SOUDURE'!$O$7:$O$3006,B1310,'CARNET DE SOUDURE'!$P$7:$P$3006,"&lt;&gt;"&amp;C1310,'CARNET DE SOUDURE'!$P$7:$P$3006,"&lt;&gt;")&gt;0,"⚠ DIFFÉRENTE","OK"))</f>
        <v>OK</v>
      </c>
      <c r="F1310" s="147" t="n">
        <v>11.94</v>
      </c>
      <c r="G1310" s="80"/>
      <c r="H1310" s="83"/>
      <c r="I1310" s="148" t="str">
        <f aca="false">IF(B1310="","",IFERROR(INDEX('CARNET DE SOUDURE'!$B$7:$B$3006,MATCH(B1310,'CARNET DE SOUDURE'!$L$7:$L$3006,0)),IFERROR(INDEX('CARNET DE SOUDURE'!$B$7:$B$3006,MATCH(B1310,'CARNET DE SOUDURE'!$O$7:$O$3006,0)),"")))</f>
        <v>MFD-ISW → MFD-CPF</v>
      </c>
      <c r="J1310" s="82" t="str">
        <f aca="false">IF(B1310="","",IFERROR(INDEX('CARNET DE SOUDURE'!$E$7:$E$3006,MATCH(B1310,'CARNET DE SOUDURE'!$O$7:$O$3006,0)),""))</f>
        <v>JN°1953</v>
      </c>
      <c r="K1310" s="82" t="str">
        <f aca="false">IF(B1310="","",IFERROR(INDEX('CARNET DE SOUDURE'!$E$7:$E$3006,MATCH(B1310,'CARNET DE SOUDURE'!$L$7:$L$3006,0)),""))</f>
        <v>JN°1954R</v>
      </c>
      <c r="L1310" s="82" t="n">
        <f aca="false">IF(B1310="","",IFERROR(INDEX('CARNET DE SOUDURE'!$D$7:$D$3006,MATCH(B1310,'CARNET DE SOUDURE'!$L$7:$L$3006,0)),IFERROR(INDEX('CARNET DE SOUDURE'!$D$7:$D$3006,MATCH(B1310,'CARNET DE SOUDURE'!$O$7:$O$3006,0)),"")))</f>
        <v>24</v>
      </c>
      <c r="M1310" s="82" t="str">
        <f aca="false">IF(B1310="","",IF(OR(J1310&lt;&gt;"",K1310&lt;&gt;""),"POSÉ EN LIGNE",IF(COUNTIF(BARDAGE!$C$1:$C$5000,B1310)&gt;0,"BARDÉ","EN STOCK")))</f>
        <v>POSÉ EN LIGNE</v>
      </c>
      <c r="N1310" s="80"/>
    </row>
    <row r="1311" customFormat="false" ht="15" hidden="false" customHeight="false" outlineLevel="0" collapsed="false">
      <c r="A1311" s="82" t="n">
        <f aca="false">IF(B1311="","",ROW()-6)</f>
        <v>1305</v>
      </c>
      <c r="B1311" s="145" t="n">
        <v>2085830</v>
      </c>
      <c r="C1311" s="146" t="n">
        <v>15421107</v>
      </c>
      <c r="D1311" s="146"/>
      <c r="E1311" s="82" t="str">
        <f aca="false">IF(B1311="","",IF(COUNTIFS('CARNET DE SOUDURE'!$L$7:$L$3006,B1311,'CARNET DE SOUDURE'!$M$7:$M$3006,"&lt;&gt;"&amp;C1311,'CARNET DE SOUDURE'!$M$7:$M$3006,"&lt;&gt;")+COUNTIFS('CARNET DE SOUDURE'!$O$7:$O$3006,B1311,'CARNET DE SOUDURE'!$P$7:$P$3006,"&lt;&gt;"&amp;C1311,'CARNET DE SOUDURE'!$P$7:$P$3006,"&lt;&gt;")&gt;0,"⚠ DIFFÉRENTE","OK"))</f>
        <v>OK</v>
      </c>
      <c r="F1311" s="147" t="n">
        <v>11.94</v>
      </c>
      <c r="G1311" s="80"/>
      <c r="H1311" s="83"/>
      <c r="I1311" s="148" t="str">
        <f aca="false">IF(B1311="","",IFERROR(INDEX('CARNET DE SOUDURE'!$B$7:$B$3006,MATCH(B1311,'CARNET DE SOUDURE'!$L$7:$L$3006,0)),IFERROR(INDEX('CARNET DE SOUDURE'!$B$7:$B$3006,MATCH(B1311,'CARNET DE SOUDURE'!$O$7:$O$3006,0)),"")))</f>
        <v>MFD-ISW → MFD-CPF</v>
      </c>
      <c r="J1311" s="82" t="str">
        <f aca="false">IF(B1311="","",IFERROR(INDEX('CARNET DE SOUDURE'!$E$7:$E$3006,MATCH(B1311,'CARNET DE SOUDURE'!$O$7:$O$3006,0)),""))</f>
        <v>JN°1954R</v>
      </c>
      <c r="K1311" s="82" t="str">
        <f aca="false">IF(B1311="","",IFERROR(INDEX('CARNET DE SOUDURE'!$E$7:$E$3006,MATCH(B1311,'CARNET DE SOUDURE'!$L$7:$L$3006,0)),""))</f>
        <v>JN°1955</v>
      </c>
      <c r="L1311" s="82" t="n">
        <f aca="false">IF(B1311="","",IFERROR(INDEX('CARNET DE SOUDURE'!$D$7:$D$3006,MATCH(B1311,'CARNET DE SOUDURE'!$L$7:$L$3006,0)),IFERROR(INDEX('CARNET DE SOUDURE'!$D$7:$D$3006,MATCH(B1311,'CARNET DE SOUDURE'!$O$7:$O$3006,0)),"")))</f>
        <v>24</v>
      </c>
      <c r="M1311" s="82" t="str">
        <f aca="false">IF(B1311="","",IF(OR(J1311&lt;&gt;"",K1311&lt;&gt;""),"POSÉ EN LIGNE",IF(COUNTIF(BARDAGE!$C$1:$C$5000,B1311)&gt;0,"BARDÉ","EN STOCK")))</f>
        <v>POSÉ EN LIGNE</v>
      </c>
      <c r="N1311" s="80"/>
    </row>
    <row r="1312" customFormat="false" ht="15" hidden="false" customHeight="false" outlineLevel="0" collapsed="false">
      <c r="A1312" s="82" t="n">
        <f aca="false">IF(B1312="","",ROW()-6)</f>
        <v>1306</v>
      </c>
      <c r="B1312" s="145" t="n">
        <v>2080660</v>
      </c>
      <c r="C1312" s="146" t="n">
        <v>15421103</v>
      </c>
      <c r="D1312" s="146"/>
      <c r="E1312" s="82" t="str">
        <f aca="false">IF(B1312="","",IF(COUNTIFS('CARNET DE SOUDURE'!$L$7:$L$3006,B1312,'CARNET DE SOUDURE'!$M$7:$M$3006,"&lt;&gt;"&amp;C1312,'CARNET DE SOUDURE'!$M$7:$M$3006,"&lt;&gt;")+COUNTIFS('CARNET DE SOUDURE'!$O$7:$O$3006,B1312,'CARNET DE SOUDURE'!$P$7:$P$3006,"&lt;&gt;"&amp;C1312,'CARNET DE SOUDURE'!$P$7:$P$3006,"&lt;&gt;")&gt;0,"⚠ DIFFÉRENTE","OK"))</f>
        <v>OK</v>
      </c>
      <c r="F1312" s="147" t="n">
        <v>11.94</v>
      </c>
      <c r="G1312" s="80"/>
      <c r="H1312" s="83"/>
      <c r="I1312" s="148" t="str">
        <f aca="false">IF(B1312="","",IFERROR(INDEX('CARNET DE SOUDURE'!$B$7:$B$3006,MATCH(B1312,'CARNET DE SOUDURE'!$L$7:$L$3006,0)),IFERROR(INDEX('CARNET DE SOUDURE'!$B$7:$B$3006,MATCH(B1312,'CARNET DE SOUDURE'!$O$7:$O$3006,0)),"")))</f>
        <v>MFD-ISW → MFD-CPF</v>
      </c>
      <c r="J1312" s="82" t="str">
        <f aca="false">IF(B1312="","",IFERROR(INDEX('CARNET DE SOUDURE'!$E$7:$E$3006,MATCH(B1312,'CARNET DE SOUDURE'!$O$7:$O$3006,0)),""))</f>
        <v>JN°1955</v>
      </c>
      <c r="K1312" s="82" t="str">
        <f aca="false">IF(B1312="","",IFERROR(INDEX('CARNET DE SOUDURE'!$E$7:$E$3006,MATCH(B1312,'CARNET DE SOUDURE'!$L$7:$L$3006,0)),""))</f>
        <v>JN°1956</v>
      </c>
      <c r="L1312" s="82" t="n">
        <f aca="false">IF(B1312="","",IFERROR(INDEX('CARNET DE SOUDURE'!$D$7:$D$3006,MATCH(B1312,'CARNET DE SOUDURE'!$L$7:$L$3006,0)),IFERROR(INDEX('CARNET DE SOUDURE'!$D$7:$D$3006,MATCH(B1312,'CARNET DE SOUDURE'!$O$7:$O$3006,0)),"")))</f>
        <v>24</v>
      </c>
      <c r="M1312" s="82" t="str">
        <f aca="false">IF(B1312="","",IF(OR(J1312&lt;&gt;"",K1312&lt;&gt;""),"POSÉ EN LIGNE",IF(COUNTIF(BARDAGE!$C$1:$C$5000,B1312)&gt;0,"BARDÉ","EN STOCK")))</f>
        <v>POSÉ EN LIGNE</v>
      </c>
      <c r="N1312" s="80"/>
    </row>
    <row r="1313" customFormat="false" ht="15" hidden="false" customHeight="false" outlineLevel="0" collapsed="false">
      <c r="A1313" s="82" t="n">
        <f aca="false">IF(B1313="","",ROW()-6)</f>
        <v>1307</v>
      </c>
      <c r="B1313" s="145" t="n">
        <v>2088430</v>
      </c>
      <c r="C1313" s="146" t="n">
        <v>15421110</v>
      </c>
      <c r="D1313" s="146"/>
      <c r="E1313" s="82" t="str">
        <f aca="false">IF(B1313="","",IF(COUNTIFS('CARNET DE SOUDURE'!$L$7:$L$3006,B1313,'CARNET DE SOUDURE'!$M$7:$M$3006,"&lt;&gt;"&amp;C1313,'CARNET DE SOUDURE'!$M$7:$M$3006,"&lt;&gt;")+COUNTIFS('CARNET DE SOUDURE'!$O$7:$O$3006,B1313,'CARNET DE SOUDURE'!$P$7:$P$3006,"&lt;&gt;"&amp;C1313,'CARNET DE SOUDURE'!$P$7:$P$3006,"&lt;&gt;")&gt;0,"⚠ DIFFÉRENTE","OK"))</f>
        <v>OK</v>
      </c>
      <c r="F1313" s="147" t="n">
        <v>11.94</v>
      </c>
      <c r="G1313" s="80"/>
      <c r="H1313" s="83"/>
      <c r="I1313" s="148" t="str">
        <f aca="false">IF(B1313="","",IFERROR(INDEX('CARNET DE SOUDURE'!$B$7:$B$3006,MATCH(B1313,'CARNET DE SOUDURE'!$L$7:$L$3006,0)),IFERROR(INDEX('CARNET DE SOUDURE'!$B$7:$B$3006,MATCH(B1313,'CARNET DE SOUDURE'!$O$7:$O$3006,0)),"")))</f>
        <v>MFD-ISW → MFD-CPF</v>
      </c>
      <c r="J1313" s="82" t="str">
        <f aca="false">IF(B1313="","",IFERROR(INDEX('CARNET DE SOUDURE'!$E$7:$E$3006,MATCH(B1313,'CARNET DE SOUDURE'!$O$7:$O$3006,0)),""))</f>
        <v>JN°1956</v>
      </c>
      <c r="K1313" s="82" t="str">
        <f aca="false">IF(B1313="","",IFERROR(INDEX('CARNET DE SOUDURE'!$E$7:$E$3006,MATCH(B1313,'CARNET DE SOUDURE'!$L$7:$L$3006,0)),""))</f>
        <v>JN°1957</v>
      </c>
      <c r="L1313" s="82" t="n">
        <f aca="false">IF(B1313="","",IFERROR(INDEX('CARNET DE SOUDURE'!$D$7:$D$3006,MATCH(B1313,'CARNET DE SOUDURE'!$L$7:$L$3006,0)),IFERROR(INDEX('CARNET DE SOUDURE'!$D$7:$D$3006,MATCH(B1313,'CARNET DE SOUDURE'!$O$7:$O$3006,0)),"")))</f>
        <v>24</v>
      </c>
      <c r="M1313" s="82" t="str">
        <f aca="false">IF(B1313="","",IF(OR(J1313&lt;&gt;"",K1313&lt;&gt;""),"POSÉ EN LIGNE",IF(COUNTIF(BARDAGE!$C$1:$C$5000,B1313)&gt;0,"BARDÉ","EN STOCK")))</f>
        <v>POSÉ EN LIGNE</v>
      </c>
      <c r="N1313" s="80"/>
    </row>
    <row r="1314" customFormat="false" ht="15" hidden="false" customHeight="false" outlineLevel="0" collapsed="false">
      <c r="A1314" s="82" t="n">
        <f aca="false">IF(B1314="","",ROW()-6)</f>
        <v>1308</v>
      </c>
      <c r="B1314" s="145" t="n">
        <v>2088550</v>
      </c>
      <c r="C1314" s="146" t="n">
        <v>15421108</v>
      </c>
      <c r="D1314" s="146"/>
      <c r="E1314" s="82" t="str">
        <f aca="false">IF(B1314="","",IF(COUNTIFS('CARNET DE SOUDURE'!$L$7:$L$3006,B1314,'CARNET DE SOUDURE'!$M$7:$M$3006,"&lt;&gt;"&amp;C1314,'CARNET DE SOUDURE'!$M$7:$M$3006,"&lt;&gt;")+COUNTIFS('CARNET DE SOUDURE'!$O$7:$O$3006,B1314,'CARNET DE SOUDURE'!$P$7:$P$3006,"&lt;&gt;"&amp;C1314,'CARNET DE SOUDURE'!$P$7:$P$3006,"&lt;&gt;")&gt;0,"⚠ DIFFÉRENTE","OK"))</f>
        <v>OK</v>
      </c>
      <c r="F1314" s="147" t="n">
        <v>11.94</v>
      </c>
      <c r="G1314" s="80"/>
      <c r="H1314" s="83"/>
      <c r="I1314" s="148" t="str">
        <f aca="false">IF(B1314="","",IFERROR(INDEX('CARNET DE SOUDURE'!$B$7:$B$3006,MATCH(B1314,'CARNET DE SOUDURE'!$L$7:$L$3006,0)),IFERROR(INDEX('CARNET DE SOUDURE'!$B$7:$B$3006,MATCH(B1314,'CARNET DE SOUDURE'!$O$7:$O$3006,0)),"")))</f>
        <v>MFD-ISW → MFD-CPF</v>
      </c>
      <c r="J1314" s="82" t="str">
        <f aca="false">IF(B1314="","",IFERROR(INDEX('CARNET DE SOUDURE'!$E$7:$E$3006,MATCH(B1314,'CARNET DE SOUDURE'!$O$7:$O$3006,0)),""))</f>
        <v>JN°1957</v>
      </c>
      <c r="K1314" s="82" t="str">
        <f aca="false">IF(B1314="","",IFERROR(INDEX('CARNET DE SOUDURE'!$E$7:$E$3006,MATCH(B1314,'CARNET DE SOUDURE'!$L$7:$L$3006,0)),""))</f>
        <v>JN°1958</v>
      </c>
      <c r="L1314" s="82" t="n">
        <f aca="false">IF(B1314="","",IFERROR(INDEX('CARNET DE SOUDURE'!$D$7:$D$3006,MATCH(B1314,'CARNET DE SOUDURE'!$L$7:$L$3006,0)),IFERROR(INDEX('CARNET DE SOUDURE'!$D$7:$D$3006,MATCH(B1314,'CARNET DE SOUDURE'!$O$7:$O$3006,0)),"")))</f>
        <v>24</v>
      </c>
      <c r="M1314" s="82" t="str">
        <f aca="false">IF(B1314="","",IF(OR(J1314&lt;&gt;"",K1314&lt;&gt;""),"POSÉ EN LIGNE",IF(COUNTIF(BARDAGE!$C$1:$C$5000,B1314)&gt;0,"BARDÉ","EN STOCK")))</f>
        <v>POSÉ EN LIGNE</v>
      </c>
      <c r="N1314" s="80"/>
    </row>
    <row r="1315" customFormat="false" ht="15" hidden="false" customHeight="false" outlineLevel="0" collapsed="false">
      <c r="A1315" s="82" t="n">
        <f aca="false">IF(B1315="","",ROW()-6)</f>
        <v>1309</v>
      </c>
      <c r="B1315" s="145" t="n">
        <v>2090280</v>
      </c>
      <c r="C1315" s="146" t="n">
        <v>15421109</v>
      </c>
      <c r="D1315" s="146"/>
      <c r="E1315" s="82" t="str">
        <f aca="false">IF(B1315="","",IF(COUNTIFS('CARNET DE SOUDURE'!$L$7:$L$3006,B1315,'CARNET DE SOUDURE'!$M$7:$M$3006,"&lt;&gt;"&amp;C1315,'CARNET DE SOUDURE'!$M$7:$M$3006,"&lt;&gt;")+COUNTIFS('CARNET DE SOUDURE'!$O$7:$O$3006,B1315,'CARNET DE SOUDURE'!$P$7:$P$3006,"&lt;&gt;"&amp;C1315,'CARNET DE SOUDURE'!$P$7:$P$3006,"&lt;&gt;")&gt;0,"⚠ DIFFÉRENTE","OK"))</f>
        <v>OK</v>
      </c>
      <c r="F1315" s="147" t="n">
        <v>11.94</v>
      </c>
      <c r="G1315" s="80"/>
      <c r="H1315" s="83"/>
      <c r="I1315" s="148" t="str">
        <f aca="false">IF(B1315="","",IFERROR(INDEX('CARNET DE SOUDURE'!$B$7:$B$3006,MATCH(B1315,'CARNET DE SOUDURE'!$L$7:$L$3006,0)),IFERROR(INDEX('CARNET DE SOUDURE'!$B$7:$B$3006,MATCH(B1315,'CARNET DE SOUDURE'!$O$7:$O$3006,0)),"")))</f>
        <v>MFD-ISW → MFD-CPF</v>
      </c>
      <c r="J1315" s="82" t="str">
        <f aca="false">IF(B1315="","",IFERROR(INDEX('CARNET DE SOUDURE'!$E$7:$E$3006,MATCH(B1315,'CARNET DE SOUDURE'!$O$7:$O$3006,0)),""))</f>
        <v>JN°1958</v>
      </c>
      <c r="K1315" s="82" t="str">
        <f aca="false">IF(B1315="","",IFERROR(INDEX('CARNET DE SOUDURE'!$E$7:$E$3006,MATCH(B1315,'CARNET DE SOUDURE'!$L$7:$L$3006,0)),""))</f>
        <v>JN°1959</v>
      </c>
      <c r="L1315" s="82" t="n">
        <f aca="false">IF(B1315="","",IFERROR(INDEX('CARNET DE SOUDURE'!$D$7:$D$3006,MATCH(B1315,'CARNET DE SOUDURE'!$L$7:$L$3006,0)),IFERROR(INDEX('CARNET DE SOUDURE'!$D$7:$D$3006,MATCH(B1315,'CARNET DE SOUDURE'!$O$7:$O$3006,0)),"")))</f>
        <v>24</v>
      </c>
      <c r="M1315" s="82" t="str">
        <f aca="false">IF(B1315="","",IF(OR(J1315&lt;&gt;"",K1315&lt;&gt;""),"POSÉ EN LIGNE",IF(COUNTIF(BARDAGE!$C$1:$C$5000,B1315)&gt;0,"BARDÉ","EN STOCK")))</f>
        <v>POSÉ EN LIGNE</v>
      </c>
      <c r="N1315" s="80"/>
    </row>
    <row r="1316" customFormat="false" ht="15" hidden="false" customHeight="false" outlineLevel="0" collapsed="false">
      <c r="A1316" s="82" t="n">
        <f aca="false">IF(B1316="","",ROW()-6)</f>
        <v>1310</v>
      </c>
      <c r="B1316" s="145" t="n">
        <v>2088910</v>
      </c>
      <c r="C1316" s="146" t="n">
        <v>15421108</v>
      </c>
      <c r="D1316" s="146"/>
      <c r="E1316" s="82" t="str">
        <f aca="false">IF(B1316="","",IF(COUNTIFS('CARNET DE SOUDURE'!$L$7:$L$3006,B1316,'CARNET DE SOUDURE'!$M$7:$M$3006,"&lt;&gt;"&amp;C1316,'CARNET DE SOUDURE'!$M$7:$M$3006,"&lt;&gt;")+COUNTIFS('CARNET DE SOUDURE'!$O$7:$O$3006,B1316,'CARNET DE SOUDURE'!$P$7:$P$3006,"&lt;&gt;"&amp;C1316,'CARNET DE SOUDURE'!$P$7:$P$3006,"&lt;&gt;")&gt;0,"⚠ DIFFÉRENTE","OK"))</f>
        <v>OK</v>
      </c>
      <c r="F1316" s="147" t="n">
        <v>11.94</v>
      </c>
      <c r="G1316" s="80"/>
      <c r="H1316" s="83"/>
      <c r="I1316" s="148" t="str">
        <f aca="false">IF(B1316="","",IFERROR(INDEX('CARNET DE SOUDURE'!$B$7:$B$3006,MATCH(B1316,'CARNET DE SOUDURE'!$L$7:$L$3006,0)),IFERROR(INDEX('CARNET DE SOUDURE'!$B$7:$B$3006,MATCH(B1316,'CARNET DE SOUDURE'!$O$7:$O$3006,0)),"")))</f>
        <v>MFD-ISW → MFD-CPF</v>
      </c>
      <c r="J1316" s="82" t="str">
        <f aca="false">IF(B1316="","",IFERROR(INDEX('CARNET DE SOUDURE'!$E$7:$E$3006,MATCH(B1316,'CARNET DE SOUDURE'!$O$7:$O$3006,0)),""))</f>
        <v>JN°1962</v>
      </c>
      <c r="K1316" s="82" t="str">
        <f aca="false">IF(B1316="","",IFERROR(INDEX('CARNET DE SOUDURE'!$E$7:$E$3006,MATCH(B1316,'CARNET DE SOUDURE'!$L$7:$L$3006,0)),""))</f>
        <v>JN°1963</v>
      </c>
      <c r="L1316" s="82" t="n">
        <f aca="false">IF(B1316="","",IFERROR(INDEX('CARNET DE SOUDURE'!$D$7:$D$3006,MATCH(B1316,'CARNET DE SOUDURE'!$L$7:$L$3006,0)),IFERROR(INDEX('CARNET DE SOUDURE'!$D$7:$D$3006,MATCH(B1316,'CARNET DE SOUDURE'!$O$7:$O$3006,0)),"")))</f>
        <v>24</v>
      </c>
      <c r="M1316" s="82" t="str">
        <f aca="false">IF(B1316="","",IF(OR(J1316&lt;&gt;"",K1316&lt;&gt;""),"POSÉ EN LIGNE",IF(COUNTIF(BARDAGE!$C$1:$C$5000,B1316)&gt;0,"BARDÉ","EN STOCK")))</f>
        <v>POSÉ EN LIGNE</v>
      </c>
      <c r="N1316" s="80"/>
    </row>
    <row r="1317" customFormat="false" ht="15" hidden="false" customHeight="false" outlineLevel="0" collapsed="false">
      <c r="A1317" s="82" t="n">
        <f aca="false">IF(B1317="","",ROW()-6)</f>
        <v>1311</v>
      </c>
      <c r="B1317" s="145" t="n">
        <v>2084270</v>
      </c>
      <c r="C1317" s="146" t="n">
        <v>15421106</v>
      </c>
      <c r="D1317" s="146"/>
      <c r="E1317" s="82" t="str">
        <f aca="false">IF(B1317="","",IF(COUNTIFS('CARNET DE SOUDURE'!$L$7:$L$3006,B1317,'CARNET DE SOUDURE'!$M$7:$M$3006,"&lt;&gt;"&amp;C1317,'CARNET DE SOUDURE'!$M$7:$M$3006,"&lt;&gt;")+COUNTIFS('CARNET DE SOUDURE'!$O$7:$O$3006,B1317,'CARNET DE SOUDURE'!$P$7:$P$3006,"&lt;&gt;"&amp;C1317,'CARNET DE SOUDURE'!$P$7:$P$3006,"&lt;&gt;")&gt;0,"⚠ DIFFÉRENTE","OK"))</f>
        <v>OK</v>
      </c>
      <c r="F1317" s="147" t="n">
        <v>11.94</v>
      </c>
      <c r="G1317" s="80"/>
      <c r="H1317" s="83"/>
      <c r="I1317" s="148" t="str">
        <f aca="false">IF(B1317="","",IFERROR(INDEX('CARNET DE SOUDURE'!$B$7:$B$3006,MATCH(B1317,'CARNET DE SOUDURE'!$L$7:$L$3006,0)),IFERROR(INDEX('CARNET DE SOUDURE'!$B$7:$B$3006,MATCH(B1317,'CARNET DE SOUDURE'!$O$7:$O$3006,0)),"")))</f>
        <v>MFD-ISW → MFD-CPF</v>
      </c>
      <c r="J1317" s="82" t="str">
        <f aca="false">IF(B1317="","",IFERROR(INDEX('CARNET DE SOUDURE'!$E$7:$E$3006,MATCH(B1317,'CARNET DE SOUDURE'!$O$7:$O$3006,0)),""))</f>
        <v/>
      </c>
      <c r="K1317" s="82" t="str">
        <f aca="false">IF(B1317="","",IFERROR(INDEX('CARNET DE SOUDURE'!$E$7:$E$3006,MATCH(B1317,'CARNET DE SOUDURE'!$L$7:$L$3006,0)),""))</f>
        <v>JN°1964</v>
      </c>
      <c r="L1317" s="82" t="n">
        <f aca="false">IF(B1317="","",IFERROR(INDEX('CARNET DE SOUDURE'!$D$7:$D$3006,MATCH(B1317,'CARNET DE SOUDURE'!$L$7:$L$3006,0)),IFERROR(INDEX('CARNET DE SOUDURE'!$D$7:$D$3006,MATCH(B1317,'CARNET DE SOUDURE'!$O$7:$O$3006,0)),"")))</f>
        <v>24</v>
      </c>
      <c r="M1317" s="82" t="str">
        <f aca="false">IF(B1317="","",IF(OR(J1317&lt;&gt;"",K1317&lt;&gt;""),"POSÉ EN LIGNE",IF(COUNTIF(BARDAGE!$C$1:$C$5000,B1317)&gt;0,"BARDÉ","EN STOCK")))</f>
        <v>POSÉ EN LIGNE</v>
      </c>
      <c r="N1317" s="80"/>
    </row>
    <row r="1318" customFormat="false" ht="15" hidden="false" customHeight="false" outlineLevel="0" collapsed="false">
      <c r="A1318" s="82" t="n">
        <f aca="false">IF(B1318="","",ROW()-6)</f>
        <v>1312</v>
      </c>
      <c r="B1318" s="145" t="n">
        <v>2083160</v>
      </c>
      <c r="C1318" s="146" t="n">
        <v>15421105</v>
      </c>
      <c r="D1318" s="146"/>
      <c r="E1318" s="82" t="str">
        <f aca="false">IF(B1318="","",IF(COUNTIFS('CARNET DE SOUDURE'!$L$7:$L$3006,B1318,'CARNET DE SOUDURE'!$M$7:$M$3006,"&lt;&gt;"&amp;C1318,'CARNET DE SOUDURE'!$M$7:$M$3006,"&lt;&gt;")+COUNTIFS('CARNET DE SOUDURE'!$O$7:$O$3006,B1318,'CARNET DE SOUDURE'!$P$7:$P$3006,"&lt;&gt;"&amp;C1318,'CARNET DE SOUDURE'!$P$7:$P$3006,"&lt;&gt;")&gt;0,"⚠ DIFFÉRENTE","OK"))</f>
        <v>OK</v>
      </c>
      <c r="F1318" s="147" t="n">
        <v>11.94</v>
      </c>
      <c r="G1318" s="80"/>
      <c r="H1318" s="83"/>
      <c r="I1318" s="148" t="str">
        <f aca="false">IF(B1318="","",IFERROR(INDEX('CARNET DE SOUDURE'!$B$7:$B$3006,MATCH(B1318,'CARNET DE SOUDURE'!$L$7:$L$3006,0)),IFERROR(INDEX('CARNET DE SOUDURE'!$B$7:$B$3006,MATCH(B1318,'CARNET DE SOUDURE'!$O$7:$O$3006,0)),"")))</f>
        <v>MFD-ISW → MFD-CPF</v>
      </c>
      <c r="J1318" s="82" t="str">
        <f aca="false">IF(B1318="","",IFERROR(INDEX('CARNET DE SOUDURE'!$E$7:$E$3006,MATCH(B1318,'CARNET DE SOUDURE'!$O$7:$O$3006,0)),""))</f>
        <v>JN°1964</v>
      </c>
      <c r="K1318" s="82" t="str">
        <f aca="false">IF(B1318="","",IFERROR(INDEX('CARNET DE SOUDURE'!$E$7:$E$3006,MATCH(B1318,'CARNET DE SOUDURE'!$L$7:$L$3006,0)),""))</f>
        <v>JN°1965</v>
      </c>
      <c r="L1318" s="82" t="n">
        <f aca="false">IF(B1318="","",IFERROR(INDEX('CARNET DE SOUDURE'!$D$7:$D$3006,MATCH(B1318,'CARNET DE SOUDURE'!$L$7:$L$3006,0)),IFERROR(INDEX('CARNET DE SOUDURE'!$D$7:$D$3006,MATCH(B1318,'CARNET DE SOUDURE'!$O$7:$O$3006,0)),"")))</f>
        <v>24</v>
      </c>
      <c r="M1318" s="82" t="str">
        <f aca="false">IF(B1318="","",IF(OR(J1318&lt;&gt;"",K1318&lt;&gt;""),"POSÉ EN LIGNE",IF(COUNTIF(BARDAGE!$C$1:$C$5000,B1318)&gt;0,"BARDÉ","EN STOCK")))</f>
        <v>POSÉ EN LIGNE</v>
      </c>
      <c r="N1318" s="80"/>
    </row>
    <row r="1319" customFormat="false" ht="15" hidden="false" customHeight="false" outlineLevel="0" collapsed="false">
      <c r="A1319" s="82" t="n">
        <f aca="false">IF(B1319="","",ROW()-6)</f>
        <v>1313</v>
      </c>
      <c r="B1319" s="145" t="n">
        <v>2086100</v>
      </c>
      <c r="C1319" s="146" t="n">
        <v>15421107</v>
      </c>
      <c r="D1319" s="146"/>
      <c r="E1319" s="82" t="str">
        <f aca="false">IF(B1319="","",IF(COUNTIFS('CARNET DE SOUDURE'!$L$7:$L$3006,B1319,'CARNET DE SOUDURE'!$M$7:$M$3006,"&lt;&gt;"&amp;C1319,'CARNET DE SOUDURE'!$M$7:$M$3006,"&lt;&gt;")+COUNTIFS('CARNET DE SOUDURE'!$O$7:$O$3006,B1319,'CARNET DE SOUDURE'!$P$7:$P$3006,"&lt;&gt;"&amp;C1319,'CARNET DE SOUDURE'!$P$7:$P$3006,"&lt;&gt;")&gt;0,"⚠ DIFFÉRENTE","OK"))</f>
        <v>OK</v>
      </c>
      <c r="F1319" s="147" t="n">
        <v>11.94</v>
      </c>
      <c r="G1319" s="80"/>
      <c r="H1319" s="83"/>
      <c r="I1319" s="148" t="str">
        <f aca="false">IF(B1319="","",IFERROR(INDEX('CARNET DE SOUDURE'!$B$7:$B$3006,MATCH(B1319,'CARNET DE SOUDURE'!$L$7:$L$3006,0)),IFERROR(INDEX('CARNET DE SOUDURE'!$B$7:$B$3006,MATCH(B1319,'CARNET DE SOUDURE'!$O$7:$O$3006,0)),"")))</f>
        <v>MFD-ISW → MFD-CPF</v>
      </c>
      <c r="J1319" s="82" t="str">
        <f aca="false">IF(B1319="","",IFERROR(INDEX('CARNET DE SOUDURE'!$E$7:$E$3006,MATCH(B1319,'CARNET DE SOUDURE'!$O$7:$O$3006,0)),""))</f>
        <v>JN°1966</v>
      </c>
      <c r="K1319" s="82" t="str">
        <f aca="false">IF(B1319="","",IFERROR(INDEX('CARNET DE SOUDURE'!$E$7:$E$3006,MATCH(B1319,'CARNET DE SOUDURE'!$L$7:$L$3006,0)),""))</f>
        <v>JN°1967</v>
      </c>
      <c r="L1319" s="82" t="n">
        <f aca="false">IF(B1319="","",IFERROR(INDEX('CARNET DE SOUDURE'!$D$7:$D$3006,MATCH(B1319,'CARNET DE SOUDURE'!$L$7:$L$3006,0)),IFERROR(INDEX('CARNET DE SOUDURE'!$D$7:$D$3006,MATCH(B1319,'CARNET DE SOUDURE'!$O$7:$O$3006,0)),"")))</f>
        <v>24</v>
      </c>
      <c r="M1319" s="82" t="str">
        <f aca="false">IF(B1319="","",IF(OR(J1319&lt;&gt;"",K1319&lt;&gt;""),"POSÉ EN LIGNE",IF(COUNTIF(BARDAGE!$C$1:$C$5000,B1319)&gt;0,"BARDÉ","EN STOCK")))</f>
        <v>POSÉ EN LIGNE</v>
      </c>
      <c r="N1319" s="80"/>
    </row>
    <row r="1320" customFormat="false" ht="15" hidden="false" customHeight="false" outlineLevel="0" collapsed="false">
      <c r="A1320" s="82" t="n">
        <f aca="false">IF(B1320="","",ROW()-6)</f>
        <v>1314</v>
      </c>
      <c r="B1320" s="145" t="n">
        <v>2088250</v>
      </c>
      <c r="C1320" s="146" t="n">
        <v>15421108</v>
      </c>
      <c r="D1320" s="146"/>
      <c r="E1320" s="82" t="str">
        <f aca="false">IF(B1320="","",IF(COUNTIFS('CARNET DE SOUDURE'!$L$7:$L$3006,B1320,'CARNET DE SOUDURE'!$M$7:$M$3006,"&lt;&gt;"&amp;C1320,'CARNET DE SOUDURE'!$M$7:$M$3006,"&lt;&gt;")+COUNTIFS('CARNET DE SOUDURE'!$O$7:$O$3006,B1320,'CARNET DE SOUDURE'!$P$7:$P$3006,"&lt;&gt;"&amp;C1320,'CARNET DE SOUDURE'!$P$7:$P$3006,"&lt;&gt;")&gt;0,"⚠ DIFFÉRENTE","OK"))</f>
        <v>OK</v>
      </c>
      <c r="F1320" s="147" t="n">
        <v>11.94</v>
      </c>
      <c r="G1320" s="80"/>
      <c r="H1320" s="83"/>
      <c r="I1320" s="148" t="str">
        <f aca="false">IF(B1320="","",IFERROR(INDEX('CARNET DE SOUDURE'!$B$7:$B$3006,MATCH(B1320,'CARNET DE SOUDURE'!$L$7:$L$3006,0)),IFERROR(INDEX('CARNET DE SOUDURE'!$B$7:$B$3006,MATCH(B1320,'CARNET DE SOUDURE'!$O$7:$O$3006,0)),"")))</f>
        <v>MFD-ISW → MFD-CPF</v>
      </c>
      <c r="J1320" s="82" t="str">
        <f aca="false">IF(B1320="","",IFERROR(INDEX('CARNET DE SOUDURE'!$E$7:$E$3006,MATCH(B1320,'CARNET DE SOUDURE'!$O$7:$O$3006,0)),""))</f>
        <v>JN°1967</v>
      </c>
      <c r="K1320" s="82" t="str">
        <f aca="false">IF(B1320="","",IFERROR(INDEX('CARNET DE SOUDURE'!$E$7:$E$3006,MATCH(B1320,'CARNET DE SOUDURE'!$L$7:$L$3006,0)),""))</f>
        <v>JN°1968</v>
      </c>
      <c r="L1320" s="82" t="n">
        <f aca="false">IF(B1320="","",IFERROR(INDEX('CARNET DE SOUDURE'!$D$7:$D$3006,MATCH(B1320,'CARNET DE SOUDURE'!$L$7:$L$3006,0)),IFERROR(INDEX('CARNET DE SOUDURE'!$D$7:$D$3006,MATCH(B1320,'CARNET DE SOUDURE'!$O$7:$O$3006,0)),"")))</f>
        <v>24</v>
      </c>
      <c r="M1320" s="82" t="str">
        <f aca="false">IF(B1320="","",IF(OR(J1320&lt;&gt;"",K1320&lt;&gt;""),"POSÉ EN LIGNE",IF(COUNTIF(BARDAGE!$C$1:$C$5000,B1320)&gt;0,"BARDÉ","EN STOCK")))</f>
        <v>POSÉ EN LIGNE</v>
      </c>
      <c r="N1320" s="80"/>
    </row>
    <row r="1321" customFormat="false" ht="15" hidden="false" customHeight="false" outlineLevel="0" collapsed="false">
      <c r="A1321" s="82" t="n">
        <f aca="false">IF(B1321="","",ROW()-6)</f>
        <v>1315</v>
      </c>
      <c r="B1321" s="145" t="n">
        <v>2089340</v>
      </c>
      <c r="C1321" s="146" t="n">
        <v>15421108</v>
      </c>
      <c r="D1321" s="146"/>
      <c r="E1321" s="82" t="str">
        <f aca="false">IF(B1321="","",IF(COUNTIFS('CARNET DE SOUDURE'!$L$7:$L$3006,B1321,'CARNET DE SOUDURE'!$M$7:$M$3006,"&lt;&gt;"&amp;C1321,'CARNET DE SOUDURE'!$M$7:$M$3006,"&lt;&gt;")+COUNTIFS('CARNET DE SOUDURE'!$O$7:$O$3006,B1321,'CARNET DE SOUDURE'!$P$7:$P$3006,"&lt;&gt;"&amp;C1321,'CARNET DE SOUDURE'!$P$7:$P$3006,"&lt;&gt;")&gt;0,"⚠ DIFFÉRENTE","OK"))</f>
        <v>OK</v>
      </c>
      <c r="F1321" s="147" t="n">
        <v>11.94</v>
      </c>
      <c r="G1321" s="80"/>
      <c r="H1321" s="83"/>
      <c r="I1321" s="148" t="str">
        <f aca="false">IF(B1321="","",IFERROR(INDEX('CARNET DE SOUDURE'!$B$7:$B$3006,MATCH(B1321,'CARNET DE SOUDURE'!$L$7:$L$3006,0)),IFERROR(INDEX('CARNET DE SOUDURE'!$B$7:$B$3006,MATCH(B1321,'CARNET DE SOUDURE'!$O$7:$O$3006,0)),"")))</f>
        <v>MFD-ISW → MFD-CPF</v>
      </c>
      <c r="J1321" s="82" t="str">
        <f aca="false">IF(B1321="","",IFERROR(INDEX('CARNET DE SOUDURE'!$E$7:$E$3006,MATCH(B1321,'CARNET DE SOUDURE'!$O$7:$O$3006,0)),""))</f>
        <v>JN°1968</v>
      </c>
      <c r="K1321" s="82" t="str">
        <f aca="false">IF(B1321="","",IFERROR(INDEX('CARNET DE SOUDURE'!$E$7:$E$3006,MATCH(B1321,'CARNET DE SOUDURE'!$L$7:$L$3006,0)),""))</f>
        <v>JN°1969</v>
      </c>
      <c r="L1321" s="82" t="n">
        <f aca="false">IF(B1321="","",IFERROR(INDEX('CARNET DE SOUDURE'!$D$7:$D$3006,MATCH(B1321,'CARNET DE SOUDURE'!$L$7:$L$3006,0)),IFERROR(INDEX('CARNET DE SOUDURE'!$D$7:$D$3006,MATCH(B1321,'CARNET DE SOUDURE'!$O$7:$O$3006,0)),"")))</f>
        <v>24</v>
      </c>
      <c r="M1321" s="82" t="str">
        <f aca="false">IF(B1321="","",IF(OR(J1321&lt;&gt;"",K1321&lt;&gt;""),"POSÉ EN LIGNE",IF(COUNTIF(BARDAGE!$C$1:$C$5000,B1321)&gt;0,"BARDÉ","EN STOCK")))</f>
        <v>POSÉ EN LIGNE</v>
      </c>
      <c r="N1321" s="80"/>
    </row>
    <row r="1322" customFormat="false" ht="15" hidden="false" customHeight="false" outlineLevel="0" collapsed="false">
      <c r="A1322" s="82" t="n">
        <f aca="false">IF(B1322="","",ROW()-6)</f>
        <v>1316</v>
      </c>
      <c r="B1322" s="145" t="n">
        <v>2083950</v>
      </c>
      <c r="C1322" s="146" t="n">
        <v>15421101</v>
      </c>
      <c r="D1322" s="146"/>
      <c r="E1322" s="82" t="str">
        <f aca="false">IF(B1322="","",IF(COUNTIFS('CARNET DE SOUDURE'!$L$7:$L$3006,B1322,'CARNET DE SOUDURE'!$M$7:$M$3006,"&lt;&gt;"&amp;C1322,'CARNET DE SOUDURE'!$M$7:$M$3006,"&lt;&gt;")+COUNTIFS('CARNET DE SOUDURE'!$O$7:$O$3006,B1322,'CARNET DE SOUDURE'!$P$7:$P$3006,"&lt;&gt;"&amp;C1322,'CARNET DE SOUDURE'!$P$7:$P$3006,"&lt;&gt;")&gt;0,"⚠ DIFFÉRENTE","OK"))</f>
        <v>OK</v>
      </c>
      <c r="F1322" s="147" t="n">
        <v>11.94</v>
      </c>
      <c r="G1322" s="80"/>
      <c r="H1322" s="83"/>
      <c r="I1322" s="148" t="str">
        <f aca="false">IF(B1322="","",IFERROR(INDEX('CARNET DE SOUDURE'!$B$7:$B$3006,MATCH(B1322,'CARNET DE SOUDURE'!$L$7:$L$3006,0)),IFERROR(INDEX('CARNET DE SOUDURE'!$B$7:$B$3006,MATCH(B1322,'CARNET DE SOUDURE'!$O$7:$O$3006,0)),"")))</f>
        <v>MFD-ISW → MFD-CPF</v>
      </c>
      <c r="J1322" s="82" t="str">
        <f aca="false">IF(B1322="","",IFERROR(INDEX('CARNET DE SOUDURE'!$E$7:$E$3006,MATCH(B1322,'CARNET DE SOUDURE'!$O$7:$O$3006,0)),""))</f>
        <v>JN°1969</v>
      </c>
      <c r="K1322" s="82" t="str">
        <f aca="false">IF(B1322="","",IFERROR(INDEX('CARNET DE SOUDURE'!$E$7:$E$3006,MATCH(B1322,'CARNET DE SOUDURE'!$L$7:$L$3006,0)),""))</f>
        <v>JN°1970</v>
      </c>
      <c r="L1322" s="82" t="n">
        <f aca="false">IF(B1322="","",IFERROR(INDEX('CARNET DE SOUDURE'!$D$7:$D$3006,MATCH(B1322,'CARNET DE SOUDURE'!$L$7:$L$3006,0)),IFERROR(INDEX('CARNET DE SOUDURE'!$D$7:$D$3006,MATCH(B1322,'CARNET DE SOUDURE'!$O$7:$O$3006,0)),"")))</f>
        <v>24</v>
      </c>
      <c r="M1322" s="82" t="str">
        <f aca="false">IF(B1322="","",IF(OR(J1322&lt;&gt;"",K1322&lt;&gt;""),"POSÉ EN LIGNE",IF(COUNTIF(BARDAGE!$C$1:$C$5000,B1322)&gt;0,"BARDÉ","EN STOCK")))</f>
        <v>POSÉ EN LIGNE</v>
      </c>
      <c r="N1322" s="80"/>
    </row>
    <row r="1323" customFormat="false" ht="15" hidden="false" customHeight="false" outlineLevel="0" collapsed="false">
      <c r="A1323" s="82" t="n">
        <f aca="false">IF(B1323="","",ROW()-6)</f>
        <v>1317</v>
      </c>
      <c r="B1323" s="145" t="n">
        <v>2083110</v>
      </c>
      <c r="C1323" s="146" t="n">
        <v>15421108</v>
      </c>
      <c r="D1323" s="146"/>
      <c r="E1323" s="82" t="str">
        <f aca="false">IF(B1323="","",IF(COUNTIFS('CARNET DE SOUDURE'!$L$7:$L$3006,B1323,'CARNET DE SOUDURE'!$M$7:$M$3006,"&lt;&gt;"&amp;C1323,'CARNET DE SOUDURE'!$M$7:$M$3006,"&lt;&gt;")+COUNTIFS('CARNET DE SOUDURE'!$O$7:$O$3006,B1323,'CARNET DE SOUDURE'!$P$7:$P$3006,"&lt;&gt;"&amp;C1323,'CARNET DE SOUDURE'!$P$7:$P$3006,"&lt;&gt;")&gt;0,"⚠ DIFFÉRENTE","OK"))</f>
        <v>OK</v>
      </c>
      <c r="F1323" s="147" t="n">
        <v>11.94</v>
      </c>
      <c r="G1323" s="80"/>
      <c r="H1323" s="83"/>
      <c r="I1323" s="148" t="str">
        <f aca="false">IF(B1323="","",IFERROR(INDEX('CARNET DE SOUDURE'!$B$7:$B$3006,MATCH(B1323,'CARNET DE SOUDURE'!$L$7:$L$3006,0)),IFERROR(INDEX('CARNET DE SOUDURE'!$B$7:$B$3006,MATCH(B1323,'CARNET DE SOUDURE'!$O$7:$O$3006,0)),"")))</f>
        <v>MFD-ISW → MFD-CPF</v>
      </c>
      <c r="J1323" s="82" t="str">
        <f aca="false">IF(B1323="","",IFERROR(INDEX('CARNET DE SOUDURE'!$E$7:$E$3006,MATCH(B1323,'CARNET DE SOUDURE'!$O$7:$O$3006,0)),""))</f>
        <v>JN°1970</v>
      </c>
      <c r="K1323" s="82" t="str">
        <f aca="false">IF(B1323="","",IFERROR(INDEX('CARNET DE SOUDURE'!$E$7:$E$3006,MATCH(B1323,'CARNET DE SOUDURE'!$L$7:$L$3006,0)),""))</f>
        <v>JN°1971</v>
      </c>
      <c r="L1323" s="82" t="n">
        <f aca="false">IF(B1323="","",IFERROR(INDEX('CARNET DE SOUDURE'!$D$7:$D$3006,MATCH(B1323,'CARNET DE SOUDURE'!$L$7:$L$3006,0)),IFERROR(INDEX('CARNET DE SOUDURE'!$D$7:$D$3006,MATCH(B1323,'CARNET DE SOUDURE'!$O$7:$O$3006,0)),"")))</f>
        <v>24</v>
      </c>
      <c r="M1323" s="82" t="str">
        <f aca="false">IF(B1323="","",IF(OR(J1323&lt;&gt;"",K1323&lt;&gt;""),"POSÉ EN LIGNE",IF(COUNTIF(BARDAGE!$C$1:$C$5000,B1323)&gt;0,"BARDÉ","EN STOCK")))</f>
        <v>POSÉ EN LIGNE</v>
      </c>
      <c r="N1323" s="80"/>
    </row>
    <row r="1324" customFormat="false" ht="15" hidden="false" customHeight="false" outlineLevel="0" collapsed="false">
      <c r="A1324" s="82" t="n">
        <f aca="false">IF(B1324="","",ROW()-6)</f>
        <v>1318</v>
      </c>
      <c r="B1324" s="145" t="n">
        <v>2096190</v>
      </c>
      <c r="C1324" s="146" t="n">
        <v>15421111</v>
      </c>
      <c r="D1324" s="146"/>
      <c r="E1324" s="82" t="str">
        <f aca="false">IF(B1324="","",IF(COUNTIFS('CARNET DE SOUDURE'!$L$7:$L$3006,B1324,'CARNET DE SOUDURE'!$M$7:$M$3006,"&lt;&gt;"&amp;C1324,'CARNET DE SOUDURE'!$M$7:$M$3006,"&lt;&gt;")+COUNTIFS('CARNET DE SOUDURE'!$O$7:$O$3006,B1324,'CARNET DE SOUDURE'!$P$7:$P$3006,"&lt;&gt;"&amp;C1324,'CARNET DE SOUDURE'!$P$7:$P$3006,"&lt;&gt;")&gt;0,"⚠ DIFFÉRENTE","OK"))</f>
        <v>OK</v>
      </c>
      <c r="F1324" s="147" t="n">
        <v>11.94</v>
      </c>
      <c r="G1324" s="80"/>
      <c r="H1324" s="83"/>
      <c r="I1324" s="148" t="str">
        <f aca="false">IF(B1324="","",IFERROR(INDEX('CARNET DE SOUDURE'!$B$7:$B$3006,MATCH(B1324,'CARNET DE SOUDURE'!$L$7:$L$3006,0)),IFERROR(INDEX('CARNET DE SOUDURE'!$B$7:$B$3006,MATCH(B1324,'CARNET DE SOUDURE'!$O$7:$O$3006,0)),"")))</f>
        <v>MFD-ISW → MFD-CPF</v>
      </c>
      <c r="J1324" s="82" t="str">
        <f aca="false">IF(B1324="","",IFERROR(INDEX('CARNET DE SOUDURE'!$E$7:$E$3006,MATCH(B1324,'CARNET DE SOUDURE'!$O$7:$O$3006,0)),""))</f>
        <v>JN°1971</v>
      </c>
      <c r="K1324" s="82" t="str">
        <f aca="false">IF(B1324="","",IFERROR(INDEX('CARNET DE SOUDURE'!$E$7:$E$3006,MATCH(B1324,'CARNET DE SOUDURE'!$L$7:$L$3006,0)),""))</f>
        <v>JN°1972</v>
      </c>
      <c r="L1324" s="82" t="n">
        <f aca="false">IF(B1324="","",IFERROR(INDEX('CARNET DE SOUDURE'!$D$7:$D$3006,MATCH(B1324,'CARNET DE SOUDURE'!$L$7:$L$3006,0)),IFERROR(INDEX('CARNET DE SOUDURE'!$D$7:$D$3006,MATCH(B1324,'CARNET DE SOUDURE'!$O$7:$O$3006,0)),"")))</f>
        <v>24</v>
      </c>
      <c r="M1324" s="82" t="str">
        <f aca="false">IF(B1324="","",IF(OR(J1324&lt;&gt;"",K1324&lt;&gt;""),"POSÉ EN LIGNE",IF(COUNTIF(BARDAGE!$C$1:$C$5000,B1324)&gt;0,"BARDÉ","EN STOCK")))</f>
        <v>POSÉ EN LIGNE</v>
      </c>
      <c r="N1324" s="80"/>
    </row>
    <row r="1325" customFormat="false" ht="15" hidden="false" customHeight="false" outlineLevel="0" collapsed="false">
      <c r="A1325" s="82" t="n">
        <f aca="false">IF(B1325="","",ROW()-6)</f>
        <v>1319</v>
      </c>
      <c r="B1325" s="145" t="n">
        <v>2095020</v>
      </c>
      <c r="C1325" s="146" t="n">
        <v>15421111</v>
      </c>
      <c r="D1325" s="146"/>
      <c r="E1325" s="82" t="str">
        <f aca="false">IF(B1325="","",IF(COUNTIFS('CARNET DE SOUDURE'!$L$7:$L$3006,B1325,'CARNET DE SOUDURE'!$M$7:$M$3006,"&lt;&gt;"&amp;C1325,'CARNET DE SOUDURE'!$M$7:$M$3006,"&lt;&gt;")+COUNTIFS('CARNET DE SOUDURE'!$O$7:$O$3006,B1325,'CARNET DE SOUDURE'!$P$7:$P$3006,"&lt;&gt;"&amp;C1325,'CARNET DE SOUDURE'!$P$7:$P$3006,"&lt;&gt;")&gt;0,"⚠ DIFFÉRENTE","OK"))</f>
        <v>OK</v>
      </c>
      <c r="F1325" s="147" t="n">
        <v>11.94</v>
      </c>
      <c r="G1325" s="80"/>
      <c r="H1325" s="83"/>
      <c r="I1325" s="148" t="str">
        <f aca="false">IF(B1325="","",IFERROR(INDEX('CARNET DE SOUDURE'!$B$7:$B$3006,MATCH(B1325,'CARNET DE SOUDURE'!$L$7:$L$3006,0)),IFERROR(INDEX('CARNET DE SOUDURE'!$B$7:$B$3006,MATCH(B1325,'CARNET DE SOUDURE'!$O$7:$O$3006,0)),"")))</f>
        <v>MFD-ISW → MFD-CPF</v>
      </c>
      <c r="J1325" s="82" t="str">
        <f aca="false">IF(B1325="","",IFERROR(INDEX('CARNET DE SOUDURE'!$E$7:$E$3006,MATCH(B1325,'CARNET DE SOUDURE'!$O$7:$O$3006,0)),""))</f>
        <v>JN°1972</v>
      </c>
      <c r="K1325" s="82" t="str">
        <f aca="false">IF(B1325="","",IFERROR(INDEX('CARNET DE SOUDURE'!$E$7:$E$3006,MATCH(B1325,'CARNET DE SOUDURE'!$L$7:$L$3006,0)),""))</f>
        <v>JN°1973</v>
      </c>
      <c r="L1325" s="82" t="n">
        <f aca="false">IF(B1325="","",IFERROR(INDEX('CARNET DE SOUDURE'!$D$7:$D$3006,MATCH(B1325,'CARNET DE SOUDURE'!$L$7:$L$3006,0)),IFERROR(INDEX('CARNET DE SOUDURE'!$D$7:$D$3006,MATCH(B1325,'CARNET DE SOUDURE'!$O$7:$O$3006,0)),"")))</f>
        <v>24</v>
      </c>
      <c r="M1325" s="82" t="str">
        <f aca="false">IF(B1325="","",IF(OR(J1325&lt;&gt;"",K1325&lt;&gt;""),"POSÉ EN LIGNE",IF(COUNTIF(BARDAGE!$C$1:$C$5000,B1325)&gt;0,"BARDÉ","EN STOCK")))</f>
        <v>POSÉ EN LIGNE</v>
      </c>
      <c r="N1325" s="80"/>
    </row>
    <row r="1326" customFormat="false" ht="15" hidden="false" customHeight="false" outlineLevel="0" collapsed="false">
      <c r="A1326" s="82" t="n">
        <f aca="false">IF(B1326="","",ROW()-6)</f>
        <v>1320</v>
      </c>
      <c r="B1326" s="145" t="n">
        <v>2091710</v>
      </c>
      <c r="C1326" s="146" t="n">
        <v>15421109</v>
      </c>
      <c r="D1326" s="146"/>
      <c r="E1326" s="82" t="str">
        <f aca="false">IF(B1326="","",IF(COUNTIFS('CARNET DE SOUDURE'!$L$7:$L$3006,B1326,'CARNET DE SOUDURE'!$M$7:$M$3006,"&lt;&gt;"&amp;C1326,'CARNET DE SOUDURE'!$M$7:$M$3006,"&lt;&gt;")+COUNTIFS('CARNET DE SOUDURE'!$O$7:$O$3006,B1326,'CARNET DE SOUDURE'!$P$7:$P$3006,"&lt;&gt;"&amp;C1326,'CARNET DE SOUDURE'!$P$7:$P$3006,"&lt;&gt;")&gt;0,"⚠ DIFFÉRENTE","OK"))</f>
        <v>OK</v>
      </c>
      <c r="F1326" s="147" t="n">
        <v>11.94</v>
      </c>
      <c r="G1326" s="80"/>
      <c r="H1326" s="83"/>
      <c r="I1326" s="148" t="str">
        <f aca="false">IF(B1326="","",IFERROR(INDEX('CARNET DE SOUDURE'!$B$7:$B$3006,MATCH(B1326,'CARNET DE SOUDURE'!$L$7:$L$3006,0)),IFERROR(INDEX('CARNET DE SOUDURE'!$B$7:$B$3006,MATCH(B1326,'CARNET DE SOUDURE'!$O$7:$O$3006,0)),"")))</f>
        <v>MFD-ISW → MFD-CPF</v>
      </c>
      <c r="J1326" s="82" t="str">
        <f aca="false">IF(B1326="","",IFERROR(INDEX('CARNET DE SOUDURE'!$E$7:$E$3006,MATCH(B1326,'CARNET DE SOUDURE'!$O$7:$O$3006,0)),""))</f>
        <v>JN°1973</v>
      </c>
      <c r="K1326" s="82" t="str">
        <f aca="false">IF(B1326="","",IFERROR(INDEX('CARNET DE SOUDURE'!$E$7:$E$3006,MATCH(B1326,'CARNET DE SOUDURE'!$L$7:$L$3006,0)),""))</f>
        <v>JN°1974</v>
      </c>
      <c r="L1326" s="82" t="n">
        <f aca="false">IF(B1326="","",IFERROR(INDEX('CARNET DE SOUDURE'!$D$7:$D$3006,MATCH(B1326,'CARNET DE SOUDURE'!$L$7:$L$3006,0)),IFERROR(INDEX('CARNET DE SOUDURE'!$D$7:$D$3006,MATCH(B1326,'CARNET DE SOUDURE'!$O$7:$O$3006,0)),"")))</f>
        <v>24</v>
      </c>
      <c r="M1326" s="82" t="str">
        <f aca="false">IF(B1326="","",IF(OR(J1326&lt;&gt;"",K1326&lt;&gt;""),"POSÉ EN LIGNE",IF(COUNTIF(BARDAGE!$C$1:$C$5000,B1326)&gt;0,"BARDÉ","EN STOCK")))</f>
        <v>POSÉ EN LIGNE</v>
      </c>
      <c r="N1326" s="80"/>
    </row>
    <row r="1327" customFormat="false" ht="15" hidden="false" customHeight="false" outlineLevel="0" collapsed="false">
      <c r="A1327" s="82" t="n">
        <f aca="false">IF(B1327="","",ROW()-6)</f>
        <v>1321</v>
      </c>
      <c r="B1327" s="145" t="n">
        <v>2083440</v>
      </c>
      <c r="C1327" s="146" t="n">
        <v>15421105</v>
      </c>
      <c r="D1327" s="146"/>
      <c r="E1327" s="82" t="str">
        <f aca="false">IF(B1327="","",IF(COUNTIFS('CARNET DE SOUDURE'!$L$7:$L$3006,B1327,'CARNET DE SOUDURE'!$M$7:$M$3006,"&lt;&gt;"&amp;C1327,'CARNET DE SOUDURE'!$M$7:$M$3006,"&lt;&gt;")+COUNTIFS('CARNET DE SOUDURE'!$O$7:$O$3006,B1327,'CARNET DE SOUDURE'!$P$7:$P$3006,"&lt;&gt;"&amp;C1327,'CARNET DE SOUDURE'!$P$7:$P$3006,"&lt;&gt;")&gt;0,"⚠ DIFFÉRENTE","OK"))</f>
        <v>OK</v>
      </c>
      <c r="F1327" s="147" t="n">
        <v>11.94</v>
      </c>
      <c r="G1327" s="80"/>
      <c r="H1327" s="83"/>
      <c r="I1327" s="148" t="str">
        <f aca="false">IF(B1327="","",IFERROR(INDEX('CARNET DE SOUDURE'!$B$7:$B$3006,MATCH(B1327,'CARNET DE SOUDURE'!$L$7:$L$3006,0)),IFERROR(INDEX('CARNET DE SOUDURE'!$B$7:$B$3006,MATCH(B1327,'CARNET DE SOUDURE'!$O$7:$O$3006,0)),"")))</f>
        <v>MFD-ISW → MFD-CPF</v>
      </c>
      <c r="J1327" s="82" t="str">
        <f aca="false">IF(B1327="","",IFERROR(INDEX('CARNET DE SOUDURE'!$E$7:$E$3006,MATCH(B1327,'CARNET DE SOUDURE'!$O$7:$O$3006,0)),""))</f>
        <v>JN°1974</v>
      </c>
      <c r="K1327" s="82" t="str">
        <f aca="false">IF(B1327="","",IFERROR(INDEX('CARNET DE SOUDURE'!$E$7:$E$3006,MATCH(B1327,'CARNET DE SOUDURE'!$L$7:$L$3006,0)),""))</f>
        <v>JN°1975</v>
      </c>
      <c r="L1327" s="82" t="n">
        <f aca="false">IF(B1327="","",IFERROR(INDEX('CARNET DE SOUDURE'!$D$7:$D$3006,MATCH(B1327,'CARNET DE SOUDURE'!$L$7:$L$3006,0)),IFERROR(INDEX('CARNET DE SOUDURE'!$D$7:$D$3006,MATCH(B1327,'CARNET DE SOUDURE'!$O$7:$O$3006,0)),"")))</f>
        <v>24</v>
      </c>
      <c r="M1327" s="82" t="str">
        <f aca="false">IF(B1327="","",IF(OR(J1327&lt;&gt;"",K1327&lt;&gt;""),"POSÉ EN LIGNE",IF(COUNTIF(BARDAGE!$C$1:$C$5000,B1327)&gt;0,"BARDÉ","EN STOCK")))</f>
        <v>POSÉ EN LIGNE</v>
      </c>
      <c r="N1327" s="80"/>
    </row>
    <row r="1328" customFormat="false" ht="15" hidden="false" customHeight="false" outlineLevel="0" collapsed="false">
      <c r="A1328" s="82" t="n">
        <f aca="false">IF(B1328="","",ROW()-6)</f>
        <v>1322</v>
      </c>
      <c r="B1328" s="145" t="n">
        <v>2083380</v>
      </c>
      <c r="C1328" s="146" t="n">
        <v>15421105</v>
      </c>
      <c r="D1328" s="146"/>
      <c r="E1328" s="82" t="str">
        <f aca="false">IF(B1328="","",IF(COUNTIFS('CARNET DE SOUDURE'!$L$7:$L$3006,B1328,'CARNET DE SOUDURE'!$M$7:$M$3006,"&lt;&gt;"&amp;C1328,'CARNET DE SOUDURE'!$M$7:$M$3006,"&lt;&gt;")+COUNTIFS('CARNET DE SOUDURE'!$O$7:$O$3006,B1328,'CARNET DE SOUDURE'!$P$7:$P$3006,"&lt;&gt;"&amp;C1328,'CARNET DE SOUDURE'!$P$7:$P$3006,"&lt;&gt;")&gt;0,"⚠ DIFFÉRENTE","OK"))</f>
        <v>OK</v>
      </c>
      <c r="F1328" s="147" t="n">
        <v>11.94</v>
      </c>
      <c r="G1328" s="80"/>
      <c r="H1328" s="83"/>
      <c r="I1328" s="148" t="str">
        <f aca="false">IF(B1328="","",IFERROR(INDEX('CARNET DE SOUDURE'!$B$7:$B$3006,MATCH(B1328,'CARNET DE SOUDURE'!$L$7:$L$3006,0)),IFERROR(INDEX('CARNET DE SOUDURE'!$B$7:$B$3006,MATCH(B1328,'CARNET DE SOUDURE'!$O$7:$O$3006,0)),"")))</f>
        <v>MFD-ISW → MFD-CPF</v>
      </c>
      <c r="J1328" s="82" t="str">
        <f aca="false">IF(B1328="","",IFERROR(INDEX('CARNET DE SOUDURE'!$E$7:$E$3006,MATCH(B1328,'CARNET DE SOUDURE'!$O$7:$O$3006,0)),""))</f>
        <v>JN°1975</v>
      </c>
      <c r="K1328" s="82" t="str">
        <f aca="false">IF(B1328="","",IFERROR(INDEX('CARNET DE SOUDURE'!$E$7:$E$3006,MATCH(B1328,'CARNET DE SOUDURE'!$L$7:$L$3006,0)),""))</f>
        <v>JN°1976</v>
      </c>
      <c r="L1328" s="82" t="n">
        <f aca="false">IF(B1328="","",IFERROR(INDEX('CARNET DE SOUDURE'!$D$7:$D$3006,MATCH(B1328,'CARNET DE SOUDURE'!$L$7:$L$3006,0)),IFERROR(INDEX('CARNET DE SOUDURE'!$D$7:$D$3006,MATCH(B1328,'CARNET DE SOUDURE'!$O$7:$O$3006,0)),"")))</f>
        <v>24</v>
      </c>
      <c r="M1328" s="82" t="str">
        <f aca="false">IF(B1328="","",IF(OR(J1328&lt;&gt;"",K1328&lt;&gt;""),"POSÉ EN LIGNE",IF(COUNTIF(BARDAGE!$C$1:$C$5000,B1328)&gt;0,"BARDÉ","EN STOCK")))</f>
        <v>POSÉ EN LIGNE</v>
      </c>
      <c r="N1328" s="80"/>
    </row>
    <row r="1329" customFormat="false" ht="15" hidden="false" customHeight="false" outlineLevel="0" collapsed="false">
      <c r="A1329" s="82" t="n">
        <f aca="false">IF(B1329="","",ROW()-6)</f>
        <v>1323</v>
      </c>
      <c r="B1329" s="145" t="n">
        <v>2085840</v>
      </c>
      <c r="C1329" s="146" t="n">
        <v>15421107</v>
      </c>
      <c r="D1329" s="146"/>
      <c r="E1329" s="82" t="str">
        <f aca="false">IF(B1329="","",IF(COUNTIFS('CARNET DE SOUDURE'!$L$7:$L$3006,B1329,'CARNET DE SOUDURE'!$M$7:$M$3006,"&lt;&gt;"&amp;C1329,'CARNET DE SOUDURE'!$M$7:$M$3006,"&lt;&gt;")+COUNTIFS('CARNET DE SOUDURE'!$O$7:$O$3006,B1329,'CARNET DE SOUDURE'!$P$7:$P$3006,"&lt;&gt;"&amp;C1329,'CARNET DE SOUDURE'!$P$7:$P$3006,"&lt;&gt;")&gt;0,"⚠ DIFFÉRENTE","OK"))</f>
        <v>OK</v>
      </c>
      <c r="F1329" s="147" t="n">
        <v>11.94</v>
      </c>
      <c r="G1329" s="80"/>
      <c r="H1329" s="83"/>
      <c r="I1329" s="148" t="str">
        <f aca="false">IF(B1329="","",IFERROR(INDEX('CARNET DE SOUDURE'!$B$7:$B$3006,MATCH(B1329,'CARNET DE SOUDURE'!$L$7:$L$3006,0)),IFERROR(INDEX('CARNET DE SOUDURE'!$B$7:$B$3006,MATCH(B1329,'CARNET DE SOUDURE'!$O$7:$O$3006,0)),"")))</f>
        <v>MFD-ISW → MFD-CPF</v>
      </c>
      <c r="J1329" s="82" t="str">
        <f aca="false">IF(B1329="","",IFERROR(INDEX('CARNET DE SOUDURE'!$E$7:$E$3006,MATCH(B1329,'CARNET DE SOUDURE'!$O$7:$O$3006,0)),""))</f>
        <v>JN°1976</v>
      </c>
      <c r="K1329" s="82" t="str">
        <f aca="false">IF(B1329="","",IFERROR(INDEX('CARNET DE SOUDURE'!$E$7:$E$3006,MATCH(B1329,'CARNET DE SOUDURE'!$L$7:$L$3006,0)),""))</f>
        <v>JN°1977R</v>
      </c>
      <c r="L1329" s="82" t="n">
        <f aca="false">IF(B1329="","",IFERROR(INDEX('CARNET DE SOUDURE'!$D$7:$D$3006,MATCH(B1329,'CARNET DE SOUDURE'!$L$7:$L$3006,0)),IFERROR(INDEX('CARNET DE SOUDURE'!$D$7:$D$3006,MATCH(B1329,'CARNET DE SOUDURE'!$O$7:$O$3006,0)),"")))</f>
        <v>24</v>
      </c>
      <c r="M1329" s="82" t="str">
        <f aca="false">IF(B1329="","",IF(OR(J1329&lt;&gt;"",K1329&lt;&gt;""),"POSÉ EN LIGNE",IF(COUNTIF(BARDAGE!$C$1:$C$5000,B1329)&gt;0,"BARDÉ","EN STOCK")))</f>
        <v>POSÉ EN LIGNE</v>
      </c>
      <c r="N1329" s="80"/>
    </row>
    <row r="1330" customFormat="false" ht="15" hidden="false" customHeight="false" outlineLevel="0" collapsed="false">
      <c r="A1330" s="82" t="n">
        <f aca="false">IF(B1330="","",ROW()-6)</f>
        <v>1324</v>
      </c>
      <c r="B1330" s="145" t="n">
        <v>2089640</v>
      </c>
      <c r="C1330" s="146" t="n">
        <v>15421109</v>
      </c>
      <c r="D1330" s="146"/>
      <c r="E1330" s="82" t="str">
        <f aca="false">IF(B1330="","",IF(COUNTIFS('CARNET DE SOUDURE'!$L$7:$L$3006,B1330,'CARNET DE SOUDURE'!$M$7:$M$3006,"&lt;&gt;"&amp;C1330,'CARNET DE SOUDURE'!$M$7:$M$3006,"&lt;&gt;")+COUNTIFS('CARNET DE SOUDURE'!$O$7:$O$3006,B1330,'CARNET DE SOUDURE'!$P$7:$P$3006,"&lt;&gt;"&amp;C1330,'CARNET DE SOUDURE'!$P$7:$P$3006,"&lt;&gt;")&gt;0,"⚠ DIFFÉRENTE","OK"))</f>
        <v>OK</v>
      </c>
      <c r="F1330" s="147" t="n">
        <v>11.94</v>
      </c>
      <c r="G1330" s="80"/>
      <c r="H1330" s="83"/>
      <c r="I1330" s="148" t="str">
        <f aca="false">IF(B1330="","",IFERROR(INDEX('CARNET DE SOUDURE'!$B$7:$B$3006,MATCH(B1330,'CARNET DE SOUDURE'!$L$7:$L$3006,0)),IFERROR(INDEX('CARNET DE SOUDURE'!$B$7:$B$3006,MATCH(B1330,'CARNET DE SOUDURE'!$O$7:$O$3006,0)),"")))</f>
        <v>MFD-ISW → MFD-CPF</v>
      </c>
      <c r="J1330" s="82" t="str">
        <f aca="false">IF(B1330="","",IFERROR(INDEX('CARNET DE SOUDURE'!$E$7:$E$3006,MATCH(B1330,'CARNET DE SOUDURE'!$O$7:$O$3006,0)),""))</f>
        <v>JN°1977R</v>
      </c>
      <c r="K1330" s="82" t="str">
        <f aca="false">IF(B1330="","",IFERROR(INDEX('CARNET DE SOUDURE'!$E$7:$E$3006,MATCH(B1330,'CARNET DE SOUDURE'!$L$7:$L$3006,0)),""))</f>
        <v>JN°1978</v>
      </c>
      <c r="L1330" s="82" t="n">
        <f aca="false">IF(B1330="","",IFERROR(INDEX('CARNET DE SOUDURE'!$D$7:$D$3006,MATCH(B1330,'CARNET DE SOUDURE'!$L$7:$L$3006,0)),IFERROR(INDEX('CARNET DE SOUDURE'!$D$7:$D$3006,MATCH(B1330,'CARNET DE SOUDURE'!$O$7:$O$3006,0)),"")))</f>
        <v>24</v>
      </c>
      <c r="M1330" s="82" t="str">
        <f aca="false">IF(B1330="","",IF(OR(J1330&lt;&gt;"",K1330&lt;&gt;""),"POSÉ EN LIGNE",IF(COUNTIF(BARDAGE!$C$1:$C$5000,B1330)&gt;0,"BARDÉ","EN STOCK")))</f>
        <v>POSÉ EN LIGNE</v>
      </c>
      <c r="N1330" s="80"/>
    </row>
    <row r="1331" customFormat="false" ht="15" hidden="false" customHeight="false" outlineLevel="0" collapsed="false">
      <c r="A1331" s="82" t="n">
        <f aca="false">IF(B1331="","",ROW()-6)</f>
        <v>1325</v>
      </c>
      <c r="B1331" s="145" t="n">
        <v>2090650</v>
      </c>
      <c r="C1331" s="146" t="n">
        <v>15421106</v>
      </c>
      <c r="D1331" s="146"/>
      <c r="E1331" s="82" t="str">
        <f aca="false">IF(B1331="","",IF(COUNTIFS('CARNET DE SOUDURE'!$L$7:$L$3006,B1331,'CARNET DE SOUDURE'!$M$7:$M$3006,"&lt;&gt;"&amp;C1331,'CARNET DE SOUDURE'!$M$7:$M$3006,"&lt;&gt;")+COUNTIFS('CARNET DE SOUDURE'!$O$7:$O$3006,B1331,'CARNET DE SOUDURE'!$P$7:$P$3006,"&lt;&gt;"&amp;C1331,'CARNET DE SOUDURE'!$P$7:$P$3006,"&lt;&gt;")&gt;0,"⚠ DIFFÉRENTE","OK"))</f>
        <v>OK</v>
      </c>
      <c r="F1331" s="147" t="n">
        <v>11.94</v>
      </c>
      <c r="G1331" s="80"/>
      <c r="H1331" s="83"/>
      <c r="I1331" s="148" t="str">
        <f aca="false">IF(B1331="","",IFERROR(INDEX('CARNET DE SOUDURE'!$B$7:$B$3006,MATCH(B1331,'CARNET DE SOUDURE'!$L$7:$L$3006,0)),IFERROR(INDEX('CARNET DE SOUDURE'!$B$7:$B$3006,MATCH(B1331,'CARNET DE SOUDURE'!$O$7:$O$3006,0)),"")))</f>
        <v>MFD-ISW → MFD-CPF</v>
      </c>
      <c r="J1331" s="82" t="str">
        <f aca="false">IF(B1331="","",IFERROR(INDEX('CARNET DE SOUDURE'!$E$7:$E$3006,MATCH(B1331,'CARNET DE SOUDURE'!$O$7:$O$3006,0)),""))</f>
        <v>JN°1978</v>
      </c>
      <c r="K1331" s="82" t="str">
        <f aca="false">IF(B1331="","",IFERROR(INDEX('CARNET DE SOUDURE'!$E$7:$E$3006,MATCH(B1331,'CARNET DE SOUDURE'!$L$7:$L$3006,0)),""))</f>
        <v>JN°1979</v>
      </c>
      <c r="L1331" s="82" t="n">
        <f aca="false">IF(B1331="","",IFERROR(INDEX('CARNET DE SOUDURE'!$D$7:$D$3006,MATCH(B1331,'CARNET DE SOUDURE'!$L$7:$L$3006,0)),IFERROR(INDEX('CARNET DE SOUDURE'!$D$7:$D$3006,MATCH(B1331,'CARNET DE SOUDURE'!$O$7:$O$3006,0)),"")))</f>
        <v>24</v>
      </c>
      <c r="M1331" s="82" t="str">
        <f aca="false">IF(B1331="","",IF(OR(J1331&lt;&gt;"",K1331&lt;&gt;""),"POSÉ EN LIGNE",IF(COUNTIF(BARDAGE!$C$1:$C$5000,B1331)&gt;0,"BARDÉ","EN STOCK")))</f>
        <v>POSÉ EN LIGNE</v>
      </c>
      <c r="N1331" s="80"/>
    </row>
    <row r="1332" customFormat="false" ht="15" hidden="false" customHeight="false" outlineLevel="0" collapsed="false">
      <c r="A1332" s="82" t="n">
        <f aca="false">IF(B1332="","",ROW()-6)</f>
        <v>1326</v>
      </c>
      <c r="B1332" s="145" t="n">
        <v>2048440</v>
      </c>
      <c r="C1332" s="146" t="n">
        <v>15421100</v>
      </c>
      <c r="D1332" s="146"/>
      <c r="E1332" s="82" t="str">
        <f aca="false">IF(B1332="","",IF(COUNTIFS('CARNET DE SOUDURE'!$L$7:$L$3006,B1332,'CARNET DE SOUDURE'!$M$7:$M$3006,"&lt;&gt;"&amp;C1332,'CARNET DE SOUDURE'!$M$7:$M$3006,"&lt;&gt;")+COUNTIFS('CARNET DE SOUDURE'!$O$7:$O$3006,B1332,'CARNET DE SOUDURE'!$P$7:$P$3006,"&lt;&gt;"&amp;C1332,'CARNET DE SOUDURE'!$P$7:$P$3006,"&lt;&gt;")&gt;0,"⚠ DIFFÉRENTE","OK"))</f>
        <v>OK</v>
      </c>
      <c r="F1332" s="147" t="n">
        <v>11.94</v>
      </c>
      <c r="G1332" s="80"/>
      <c r="H1332" s="83"/>
      <c r="I1332" s="148" t="str">
        <f aca="false">IF(B1332="","",IFERROR(INDEX('CARNET DE SOUDURE'!$B$7:$B$3006,MATCH(B1332,'CARNET DE SOUDURE'!$L$7:$L$3006,0)),IFERROR(INDEX('CARNET DE SOUDURE'!$B$7:$B$3006,MATCH(B1332,'CARNET DE SOUDURE'!$O$7:$O$3006,0)),"")))</f>
        <v>MFD-ISW → MFD-CPF</v>
      </c>
      <c r="J1332" s="82" t="str">
        <f aca="false">IF(B1332="","",IFERROR(INDEX('CARNET DE SOUDURE'!$E$7:$E$3006,MATCH(B1332,'CARNET DE SOUDURE'!$O$7:$O$3006,0)),""))</f>
        <v>JN°1979</v>
      </c>
      <c r="K1332" s="82" t="str">
        <f aca="false">IF(B1332="","",IFERROR(INDEX('CARNET DE SOUDURE'!$E$7:$E$3006,MATCH(B1332,'CARNET DE SOUDURE'!$L$7:$L$3006,0)),""))</f>
        <v>JN°1980</v>
      </c>
      <c r="L1332" s="82" t="n">
        <f aca="false">IF(B1332="","",IFERROR(INDEX('CARNET DE SOUDURE'!$D$7:$D$3006,MATCH(B1332,'CARNET DE SOUDURE'!$L$7:$L$3006,0)),IFERROR(INDEX('CARNET DE SOUDURE'!$D$7:$D$3006,MATCH(B1332,'CARNET DE SOUDURE'!$O$7:$O$3006,0)),"")))</f>
        <v>24</v>
      </c>
      <c r="M1332" s="82" t="str">
        <f aca="false">IF(B1332="","",IF(OR(J1332&lt;&gt;"",K1332&lt;&gt;""),"POSÉ EN LIGNE",IF(COUNTIF(BARDAGE!$C$1:$C$5000,B1332)&gt;0,"BARDÉ","EN STOCK")))</f>
        <v>POSÉ EN LIGNE</v>
      </c>
      <c r="N1332" s="80"/>
    </row>
    <row r="1333" customFormat="false" ht="15" hidden="false" customHeight="false" outlineLevel="0" collapsed="false">
      <c r="A1333" s="82" t="n">
        <f aca="false">IF(B1333="","",ROW()-6)</f>
        <v>1327</v>
      </c>
      <c r="B1333" s="145" t="n">
        <v>2086580</v>
      </c>
      <c r="C1333" s="146" t="n">
        <v>15421111</v>
      </c>
      <c r="D1333" s="146"/>
      <c r="E1333" s="82" t="str">
        <f aca="false">IF(B1333="","",IF(COUNTIFS('CARNET DE SOUDURE'!$L$7:$L$3006,B1333,'CARNET DE SOUDURE'!$M$7:$M$3006,"&lt;&gt;"&amp;C1333,'CARNET DE SOUDURE'!$M$7:$M$3006,"&lt;&gt;")+COUNTIFS('CARNET DE SOUDURE'!$O$7:$O$3006,B1333,'CARNET DE SOUDURE'!$P$7:$P$3006,"&lt;&gt;"&amp;C1333,'CARNET DE SOUDURE'!$P$7:$P$3006,"&lt;&gt;")&gt;0,"⚠ DIFFÉRENTE","OK"))</f>
        <v>OK</v>
      </c>
      <c r="F1333" s="147" t="n">
        <v>11.94</v>
      </c>
      <c r="G1333" s="80"/>
      <c r="H1333" s="83"/>
      <c r="I1333" s="148" t="str">
        <f aca="false">IF(B1333="","",IFERROR(INDEX('CARNET DE SOUDURE'!$B$7:$B$3006,MATCH(B1333,'CARNET DE SOUDURE'!$L$7:$L$3006,0)),IFERROR(INDEX('CARNET DE SOUDURE'!$B$7:$B$3006,MATCH(B1333,'CARNET DE SOUDURE'!$O$7:$O$3006,0)),"")))</f>
        <v>MFD-ISW → MFD-CPF</v>
      </c>
      <c r="J1333" s="82" t="str">
        <f aca="false">IF(B1333="","",IFERROR(INDEX('CARNET DE SOUDURE'!$E$7:$E$3006,MATCH(B1333,'CARNET DE SOUDURE'!$O$7:$O$3006,0)),""))</f>
        <v>JN°1980</v>
      </c>
      <c r="K1333" s="82" t="str">
        <f aca="false">IF(B1333="","",IFERROR(INDEX('CARNET DE SOUDURE'!$E$7:$E$3006,MATCH(B1333,'CARNET DE SOUDURE'!$L$7:$L$3006,0)),""))</f>
        <v>JN°1981</v>
      </c>
      <c r="L1333" s="82" t="n">
        <f aca="false">IF(B1333="","",IFERROR(INDEX('CARNET DE SOUDURE'!$D$7:$D$3006,MATCH(B1333,'CARNET DE SOUDURE'!$L$7:$L$3006,0)),IFERROR(INDEX('CARNET DE SOUDURE'!$D$7:$D$3006,MATCH(B1333,'CARNET DE SOUDURE'!$O$7:$O$3006,0)),"")))</f>
        <v>24</v>
      </c>
      <c r="M1333" s="82" t="str">
        <f aca="false">IF(B1333="","",IF(OR(J1333&lt;&gt;"",K1333&lt;&gt;""),"POSÉ EN LIGNE",IF(COUNTIF(BARDAGE!$C$1:$C$5000,B1333)&gt;0,"BARDÉ","EN STOCK")))</f>
        <v>POSÉ EN LIGNE</v>
      </c>
      <c r="N1333" s="80"/>
    </row>
    <row r="1334" customFormat="false" ht="15" hidden="false" customHeight="false" outlineLevel="0" collapsed="false">
      <c r="A1334" s="82" t="n">
        <f aca="false">IF(B1334="","",ROW()-6)</f>
        <v>1328</v>
      </c>
      <c r="B1334" s="145" t="n">
        <v>2095150</v>
      </c>
      <c r="C1334" s="146" t="n">
        <v>15421111</v>
      </c>
      <c r="D1334" s="146"/>
      <c r="E1334" s="82" t="str">
        <f aca="false">IF(B1334="","",IF(COUNTIFS('CARNET DE SOUDURE'!$L$7:$L$3006,B1334,'CARNET DE SOUDURE'!$M$7:$M$3006,"&lt;&gt;"&amp;C1334,'CARNET DE SOUDURE'!$M$7:$M$3006,"&lt;&gt;")+COUNTIFS('CARNET DE SOUDURE'!$O$7:$O$3006,B1334,'CARNET DE SOUDURE'!$P$7:$P$3006,"&lt;&gt;"&amp;C1334,'CARNET DE SOUDURE'!$P$7:$P$3006,"&lt;&gt;")&gt;0,"⚠ DIFFÉRENTE","OK"))</f>
        <v>OK</v>
      </c>
      <c r="F1334" s="147" t="n">
        <v>11.94</v>
      </c>
      <c r="G1334" s="80"/>
      <c r="H1334" s="83"/>
      <c r="I1334" s="148" t="str">
        <f aca="false">IF(B1334="","",IFERROR(INDEX('CARNET DE SOUDURE'!$B$7:$B$3006,MATCH(B1334,'CARNET DE SOUDURE'!$L$7:$L$3006,0)),IFERROR(INDEX('CARNET DE SOUDURE'!$B$7:$B$3006,MATCH(B1334,'CARNET DE SOUDURE'!$O$7:$O$3006,0)),"")))</f>
        <v>MFD-ISW → MFD-CPF</v>
      </c>
      <c r="J1334" s="82" t="str">
        <f aca="false">IF(B1334="","",IFERROR(INDEX('CARNET DE SOUDURE'!$E$7:$E$3006,MATCH(B1334,'CARNET DE SOUDURE'!$O$7:$O$3006,0)),""))</f>
        <v>JN°1981</v>
      </c>
      <c r="K1334" s="82" t="str">
        <f aca="false">IF(B1334="","",IFERROR(INDEX('CARNET DE SOUDURE'!$E$7:$E$3006,MATCH(B1334,'CARNET DE SOUDURE'!$L$7:$L$3006,0)),""))</f>
        <v>JN°1982</v>
      </c>
      <c r="L1334" s="82" t="n">
        <f aca="false">IF(B1334="","",IFERROR(INDEX('CARNET DE SOUDURE'!$D$7:$D$3006,MATCH(B1334,'CARNET DE SOUDURE'!$L$7:$L$3006,0)),IFERROR(INDEX('CARNET DE SOUDURE'!$D$7:$D$3006,MATCH(B1334,'CARNET DE SOUDURE'!$O$7:$O$3006,0)),"")))</f>
        <v>24</v>
      </c>
      <c r="M1334" s="82" t="str">
        <f aca="false">IF(B1334="","",IF(OR(J1334&lt;&gt;"",K1334&lt;&gt;""),"POSÉ EN LIGNE",IF(COUNTIF(BARDAGE!$C$1:$C$5000,B1334)&gt;0,"BARDÉ","EN STOCK")))</f>
        <v>POSÉ EN LIGNE</v>
      </c>
      <c r="N1334" s="80"/>
    </row>
    <row r="1335" customFormat="false" ht="15" hidden="false" customHeight="false" outlineLevel="0" collapsed="false">
      <c r="A1335" s="82" t="n">
        <f aca="false">IF(B1335="","",ROW()-6)</f>
        <v>1329</v>
      </c>
      <c r="B1335" s="145" t="n">
        <v>2095980</v>
      </c>
      <c r="C1335" s="146" t="n">
        <v>15421104</v>
      </c>
      <c r="D1335" s="146"/>
      <c r="E1335" s="82" t="str">
        <f aca="false">IF(B1335="","",IF(COUNTIFS('CARNET DE SOUDURE'!$L$7:$L$3006,B1335,'CARNET DE SOUDURE'!$M$7:$M$3006,"&lt;&gt;"&amp;C1335,'CARNET DE SOUDURE'!$M$7:$M$3006,"&lt;&gt;")+COUNTIFS('CARNET DE SOUDURE'!$O$7:$O$3006,B1335,'CARNET DE SOUDURE'!$P$7:$P$3006,"&lt;&gt;"&amp;C1335,'CARNET DE SOUDURE'!$P$7:$P$3006,"&lt;&gt;")&gt;0,"⚠ DIFFÉRENTE","OK"))</f>
        <v>OK</v>
      </c>
      <c r="F1335" s="147" t="n">
        <v>11.94</v>
      </c>
      <c r="G1335" s="80"/>
      <c r="H1335" s="83"/>
      <c r="I1335" s="148" t="str">
        <f aca="false">IF(B1335="","",IFERROR(INDEX('CARNET DE SOUDURE'!$B$7:$B$3006,MATCH(B1335,'CARNET DE SOUDURE'!$L$7:$L$3006,0)),IFERROR(INDEX('CARNET DE SOUDURE'!$B$7:$B$3006,MATCH(B1335,'CARNET DE SOUDURE'!$O$7:$O$3006,0)),"")))</f>
        <v>MFD-ISW → MFD-CPF</v>
      </c>
      <c r="J1335" s="82" t="str">
        <f aca="false">IF(B1335="","",IFERROR(INDEX('CARNET DE SOUDURE'!$E$7:$E$3006,MATCH(B1335,'CARNET DE SOUDURE'!$O$7:$O$3006,0)),""))</f>
        <v>JN°1982</v>
      </c>
      <c r="K1335" s="82" t="str">
        <f aca="false">IF(B1335="","",IFERROR(INDEX('CARNET DE SOUDURE'!$E$7:$E$3006,MATCH(B1335,'CARNET DE SOUDURE'!$L$7:$L$3006,0)),""))</f>
        <v>JN°1983</v>
      </c>
      <c r="L1335" s="82" t="n">
        <f aca="false">IF(B1335="","",IFERROR(INDEX('CARNET DE SOUDURE'!$D$7:$D$3006,MATCH(B1335,'CARNET DE SOUDURE'!$L$7:$L$3006,0)),IFERROR(INDEX('CARNET DE SOUDURE'!$D$7:$D$3006,MATCH(B1335,'CARNET DE SOUDURE'!$O$7:$O$3006,0)),"")))</f>
        <v>24</v>
      </c>
      <c r="M1335" s="82" t="str">
        <f aca="false">IF(B1335="","",IF(OR(J1335&lt;&gt;"",K1335&lt;&gt;""),"POSÉ EN LIGNE",IF(COUNTIF(BARDAGE!$C$1:$C$5000,B1335)&gt;0,"BARDÉ","EN STOCK")))</f>
        <v>POSÉ EN LIGNE</v>
      </c>
      <c r="N1335" s="80"/>
    </row>
    <row r="1336" customFormat="false" ht="15" hidden="false" customHeight="false" outlineLevel="0" collapsed="false">
      <c r="A1336" s="82" t="n">
        <f aca="false">IF(B1336="","",ROW()-6)</f>
        <v>1330</v>
      </c>
      <c r="B1336" s="145" t="n">
        <v>2082320</v>
      </c>
      <c r="C1336" s="146" t="n">
        <v>15421108</v>
      </c>
      <c r="D1336" s="146"/>
      <c r="E1336" s="82" t="str">
        <f aca="false">IF(B1336="","",IF(COUNTIFS('CARNET DE SOUDURE'!$L$7:$L$3006,B1336,'CARNET DE SOUDURE'!$M$7:$M$3006,"&lt;&gt;"&amp;C1336,'CARNET DE SOUDURE'!$M$7:$M$3006,"&lt;&gt;")+COUNTIFS('CARNET DE SOUDURE'!$O$7:$O$3006,B1336,'CARNET DE SOUDURE'!$P$7:$P$3006,"&lt;&gt;"&amp;C1336,'CARNET DE SOUDURE'!$P$7:$P$3006,"&lt;&gt;")&gt;0,"⚠ DIFFÉRENTE","OK"))</f>
        <v>OK</v>
      </c>
      <c r="F1336" s="147" t="n">
        <v>11.94</v>
      </c>
      <c r="G1336" s="80"/>
      <c r="H1336" s="83"/>
      <c r="I1336" s="148" t="str">
        <f aca="false">IF(B1336="","",IFERROR(INDEX('CARNET DE SOUDURE'!$B$7:$B$3006,MATCH(B1336,'CARNET DE SOUDURE'!$L$7:$L$3006,0)),IFERROR(INDEX('CARNET DE SOUDURE'!$B$7:$B$3006,MATCH(B1336,'CARNET DE SOUDURE'!$O$7:$O$3006,0)),"")))</f>
        <v>MFD-ISW → MFD-CPF</v>
      </c>
      <c r="J1336" s="82" t="str">
        <f aca="false">IF(B1336="","",IFERROR(INDEX('CARNET DE SOUDURE'!$E$7:$E$3006,MATCH(B1336,'CARNET DE SOUDURE'!$O$7:$O$3006,0)),""))</f>
        <v>JN°1983</v>
      </c>
      <c r="K1336" s="82" t="str">
        <f aca="false">IF(B1336="","",IFERROR(INDEX('CARNET DE SOUDURE'!$E$7:$E$3006,MATCH(B1336,'CARNET DE SOUDURE'!$L$7:$L$3006,0)),""))</f>
        <v>JN°1984</v>
      </c>
      <c r="L1336" s="82" t="n">
        <f aca="false">IF(B1336="","",IFERROR(INDEX('CARNET DE SOUDURE'!$D$7:$D$3006,MATCH(B1336,'CARNET DE SOUDURE'!$L$7:$L$3006,0)),IFERROR(INDEX('CARNET DE SOUDURE'!$D$7:$D$3006,MATCH(B1336,'CARNET DE SOUDURE'!$O$7:$O$3006,0)),"")))</f>
        <v>24</v>
      </c>
      <c r="M1336" s="82" t="str">
        <f aca="false">IF(B1336="","",IF(OR(J1336&lt;&gt;"",K1336&lt;&gt;""),"POSÉ EN LIGNE",IF(COUNTIF(BARDAGE!$C$1:$C$5000,B1336)&gt;0,"BARDÉ","EN STOCK")))</f>
        <v>POSÉ EN LIGNE</v>
      </c>
      <c r="N1336" s="80"/>
    </row>
    <row r="1337" customFormat="false" ht="15" hidden="false" customHeight="false" outlineLevel="0" collapsed="false">
      <c r="A1337" s="82" t="n">
        <f aca="false">IF(B1337="","",ROW()-6)</f>
        <v>1331</v>
      </c>
      <c r="B1337" s="145" t="n">
        <v>2087840</v>
      </c>
      <c r="C1337" s="146" t="n">
        <v>15421108</v>
      </c>
      <c r="D1337" s="146"/>
      <c r="E1337" s="82" t="str">
        <f aca="false">IF(B1337="","",IF(COUNTIFS('CARNET DE SOUDURE'!$L$7:$L$3006,B1337,'CARNET DE SOUDURE'!$M$7:$M$3006,"&lt;&gt;"&amp;C1337,'CARNET DE SOUDURE'!$M$7:$M$3006,"&lt;&gt;")+COUNTIFS('CARNET DE SOUDURE'!$O$7:$O$3006,B1337,'CARNET DE SOUDURE'!$P$7:$P$3006,"&lt;&gt;"&amp;C1337,'CARNET DE SOUDURE'!$P$7:$P$3006,"&lt;&gt;")&gt;0,"⚠ DIFFÉRENTE","OK"))</f>
        <v>OK</v>
      </c>
      <c r="F1337" s="147" t="n">
        <v>11.94</v>
      </c>
      <c r="G1337" s="80"/>
      <c r="H1337" s="83"/>
      <c r="I1337" s="148" t="str">
        <f aca="false">IF(B1337="","",IFERROR(INDEX('CARNET DE SOUDURE'!$B$7:$B$3006,MATCH(B1337,'CARNET DE SOUDURE'!$L$7:$L$3006,0)),IFERROR(INDEX('CARNET DE SOUDURE'!$B$7:$B$3006,MATCH(B1337,'CARNET DE SOUDURE'!$O$7:$O$3006,0)),"")))</f>
        <v>MFD-ISW → MFD-CPF</v>
      </c>
      <c r="J1337" s="82" t="str">
        <f aca="false">IF(B1337="","",IFERROR(INDEX('CARNET DE SOUDURE'!$E$7:$E$3006,MATCH(B1337,'CARNET DE SOUDURE'!$O$7:$O$3006,0)),""))</f>
        <v>JN°1984</v>
      </c>
      <c r="K1337" s="82" t="str">
        <f aca="false">IF(B1337="","",IFERROR(INDEX('CARNET DE SOUDURE'!$E$7:$E$3006,MATCH(B1337,'CARNET DE SOUDURE'!$L$7:$L$3006,0)),""))</f>
        <v>JN°1985</v>
      </c>
      <c r="L1337" s="82" t="n">
        <f aca="false">IF(B1337="","",IFERROR(INDEX('CARNET DE SOUDURE'!$D$7:$D$3006,MATCH(B1337,'CARNET DE SOUDURE'!$L$7:$L$3006,0)),IFERROR(INDEX('CARNET DE SOUDURE'!$D$7:$D$3006,MATCH(B1337,'CARNET DE SOUDURE'!$O$7:$O$3006,0)),"")))</f>
        <v>24</v>
      </c>
      <c r="M1337" s="82" t="str">
        <f aca="false">IF(B1337="","",IF(OR(J1337&lt;&gt;"",K1337&lt;&gt;""),"POSÉ EN LIGNE",IF(COUNTIF(BARDAGE!$C$1:$C$5000,B1337)&gt;0,"BARDÉ","EN STOCK")))</f>
        <v>POSÉ EN LIGNE</v>
      </c>
      <c r="N1337" s="80"/>
    </row>
    <row r="1338" customFormat="false" ht="15" hidden="false" customHeight="false" outlineLevel="0" collapsed="false">
      <c r="A1338" s="82" t="n">
        <f aca="false">IF(B1338="","",ROW()-6)</f>
        <v>1332</v>
      </c>
      <c r="B1338" s="145" t="n">
        <v>2087990</v>
      </c>
      <c r="C1338" s="146" t="n">
        <v>15421108</v>
      </c>
      <c r="D1338" s="146"/>
      <c r="E1338" s="82" t="str">
        <f aca="false">IF(B1338="","",IF(COUNTIFS('CARNET DE SOUDURE'!$L$7:$L$3006,B1338,'CARNET DE SOUDURE'!$M$7:$M$3006,"&lt;&gt;"&amp;C1338,'CARNET DE SOUDURE'!$M$7:$M$3006,"&lt;&gt;")+COUNTIFS('CARNET DE SOUDURE'!$O$7:$O$3006,B1338,'CARNET DE SOUDURE'!$P$7:$P$3006,"&lt;&gt;"&amp;C1338,'CARNET DE SOUDURE'!$P$7:$P$3006,"&lt;&gt;")&gt;0,"⚠ DIFFÉRENTE","OK"))</f>
        <v>OK</v>
      </c>
      <c r="F1338" s="147" t="n">
        <v>11.94</v>
      </c>
      <c r="G1338" s="80"/>
      <c r="H1338" s="83"/>
      <c r="I1338" s="148" t="str">
        <f aca="false">IF(B1338="","",IFERROR(INDEX('CARNET DE SOUDURE'!$B$7:$B$3006,MATCH(B1338,'CARNET DE SOUDURE'!$L$7:$L$3006,0)),IFERROR(INDEX('CARNET DE SOUDURE'!$B$7:$B$3006,MATCH(B1338,'CARNET DE SOUDURE'!$O$7:$O$3006,0)),"")))</f>
        <v>MFD-ISW → MFD-CPF</v>
      </c>
      <c r="J1338" s="82" t="str">
        <f aca="false">IF(B1338="","",IFERROR(INDEX('CARNET DE SOUDURE'!$E$7:$E$3006,MATCH(B1338,'CARNET DE SOUDURE'!$O$7:$O$3006,0)),""))</f>
        <v>JN°1985</v>
      </c>
      <c r="K1338" s="82" t="str">
        <f aca="false">IF(B1338="","",IFERROR(INDEX('CARNET DE SOUDURE'!$E$7:$E$3006,MATCH(B1338,'CARNET DE SOUDURE'!$L$7:$L$3006,0)),""))</f>
        <v>JN°1986</v>
      </c>
      <c r="L1338" s="82" t="n">
        <f aca="false">IF(B1338="","",IFERROR(INDEX('CARNET DE SOUDURE'!$D$7:$D$3006,MATCH(B1338,'CARNET DE SOUDURE'!$L$7:$L$3006,0)),IFERROR(INDEX('CARNET DE SOUDURE'!$D$7:$D$3006,MATCH(B1338,'CARNET DE SOUDURE'!$O$7:$O$3006,0)),"")))</f>
        <v>24</v>
      </c>
      <c r="M1338" s="82" t="str">
        <f aca="false">IF(B1338="","",IF(OR(J1338&lt;&gt;"",K1338&lt;&gt;""),"POSÉ EN LIGNE",IF(COUNTIF(BARDAGE!$C$1:$C$5000,B1338)&gt;0,"BARDÉ","EN STOCK")))</f>
        <v>POSÉ EN LIGNE</v>
      </c>
      <c r="N1338" s="80"/>
    </row>
    <row r="1339" customFormat="false" ht="15" hidden="false" customHeight="false" outlineLevel="0" collapsed="false">
      <c r="A1339" s="82" t="n">
        <f aca="false">IF(B1339="","",ROW()-6)</f>
        <v>1333</v>
      </c>
      <c r="B1339" s="145" t="n">
        <v>2082410</v>
      </c>
      <c r="C1339" s="146" t="n">
        <v>15421104</v>
      </c>
      <c r="D1339" s="146"/>
      <c r="E1339" s="82" t="str">
        <f aca="false">IF(B1339="","",IF(COUNTIFS('CARNET DE SOUDURE'!$L$7:$L$3006,B1339,'CARNET DE SOUDURE'!$M$7:$M$3006,"&lt;&gt;"&amp;C1339,'CARNET DE SOUDURE'!$M$7:$M$3006,"&lt;&gt;")+COUNTIFS('CARNET DE SOUDURE'!$O$7:$O$3006,B1339,'CARNET DE SOUDURE'!$P$7:$P$3006,"&lt;&gt;"&amp;C1339,'CARNET DE SOUDURE'!$P$7:$P$3006,"&lt;&gt;")&gt;0,"⚠ DIFFÉRENTE","OK"))</f>
        <v>OK</v>
      </c>
      <c r="F1339" s="147" t="n">
        <v>11.94</v>
      </c>
      <c r="G1339" s="80"/>
      <c r="H1339" s="83"/>
      <c r="I1339" s="148" t="str">
        <f aca="false">IF(B1339="","",IFERROR(INDEX('CARNET DE SOUDURE'!$B$7:$B$3006,MATCH(B1339,'CARNET DE SOUDURE'!$L$7:$L$3006,0)),IFERROR(INDEX('CARNET DE SOUDURE'!$B$7:$B$3006,MATCH(B1339,'CARNET DE SOUDURE'!$O$7:$O$3006,0)),"")))</f>
        <v>MFD-ISW → MFD-CPF</v>
      </c>
      <c r="J1339" s="82" t="str">
        <f aca="false">IF(B1339="","",IFERROR(INDEX('CARNET DE SOUDURE'!$E$7:$E$3006,MATCH(B1339,'CARNET DE SOUDURE'!$O$7:$O$3006,0)),""))</f>
        <v>JN°1986</v>
      </c>
      <c r="K1339" s="82" t="str">
        <f aca="false">IF(B1339="","",IFERROR(INDEX('CARNET DE SOUDURE'!$E$7:$E$3006,MATCH(B1339,'CARNET DE SOUDURE'!$L$7:$L$3006,0)),""))</f>
        <v>JN°1987</v>
      </c>
      <c r="L1339" s="82" t="n">
        <f aca="false">IF(B1339="","",IFERROR(INDEX('CARNET DE SOUDURE'!$D$7:$D$3006,MATCH(B1339,'CARNET DE SOUDURE'!$L$7:$L$3006,0)),IFERROR(INDEX('CARNET DE SOUDURE'!$D$7:$D$3006,MATCH(B1339,'CARNET DE SOUDURE'!$O$7:$O$3006,0)),"")))</f>
        <v>24</v>
      </c>
      <c r="M1339" s="82" t="str">
        <f aca="false">IF(B1339="","",IF(OR(J1339&lt;&gt;"",K1339&lt;&gt;""),"POSÉ EN LIGNE",IF(COUNTIF(BARDAGE!$C$1:$C$5000,B1339)&gt;0,"BARDÉ","EN STOCK")))</f>
        <v>POSÉ EN LIGNE</v>
      </c>
      <c r="N1339" s="80"/>
    </row>
    <row r="1340" customFormat="false" ht="15" hidden="false" customHeight="false" outlineLevel="0" collapsed="false">
      <c r="A1340" s="82" t="n">
        <f aca="false">IF(B1340="","",ROW()-6)</f>
        <v>1334</v>
      </c>
      <c r="B1340" s="145" t="n">
        <v>2089570</v>
      </c>
      <c r="C1340" s="146" t="n">
        <v>15421109</v>
      </c>
      <c r="D1340" s="146"/>
      <c r="E1340" s="82" t="str">
        <f aca="false">IF(B1340="","",IF(COUNTIFS('CARNET DE SOUDURE'!$L$7:$L$3006,B1340,'CARNET DE SOUDURE'!$M$7:$M$3006,"&lt;&gt;"&amp;C1340,'CARNET DE SOUDURE'!$M$7:$M$3006,"&lt;&gt;")+COUNTIFS('CARNET DE SOUDURE'!$O$7:$O$3006,B1340,'CARNET DE SOUDURE'!$P$7:$P$3006,"&lt;&gt;"&amp;C1340,'CARNET DE SOUDURE'!$P$7:$P$3006,"&lt;&gt;")&gt;0,"⚠ DIFFÉRENTE","OK"))</f>
        <v>OK</v>
      </c>
      <c r="F1340" s="147" t="n">
        <v>11.94</v>
      </c>
      <c r="G1340" s="80"/>
      <c r="H1340" s="83"/>
      <c r="I1340" s="148" t="str">
        <f aca="false">IF(B1340="","",IFERROR(INDEX('CARNET DE SOUDURE'!$B$7:$B$3006,MATCH(B1340,'CARNET DE SOUDURE'!$L$7:$L$3006,0)),IFERROR(INDEX('CARNET DE SOUDURE'!$B$7:$B$3006,MATCH(B1340,'CARNET DE SOUDURE'!$O$7:$O$3006,0)),"")))</f>
        <v>MFD-ISW → MFD-CPF</v>
      </c>
      <c r="J1340" s="82" t="str">
        <f aca="false">IF(B1340="","",IFERROR(INDEX('CARNET DE SOUDURE'!$E$7:$E$3006,MATCH(B1340,'CARNET DE SOUDURE'!$O$7:$O$3006,0)),""))</f>
        <v>JN°1987</v>
      </c>
      <c r="K1340" s="82" t="str">
        <f aca="false">IF(B1340="","",IFERROR(INDEX('CARNET DE SOUDURE'!$E$7:$E$3006,MATCH(B1340,'CARNET DE SOUDURE'!$L$7:$L$3006,0)),""))</f>
        <v>JN°1988</v>
      </c>
      <c r="L1340" s="82" t="n">
        <f aca="false">IF(B1340="","",IFERROR(INDEX('CARNET DE SOUDURE'!$D$7:$D$3006,MATCH(B1340,'CARNET DE SOUDURE'!$L$7:$L$3006,0)),IFERROR(INDEX('CARNET DE SOUDURE'!$D$7:$D$3006,MATCH(B1340,'CARNET DE SOUDURE'!$O$7:$O$3006,0)),"")))</f>
        <v>24</v>
      </c>
      <c r="M1340" s="82" t="str">
        <f aca="false">IF(B1340="","",IF(OR(J1340&lt;&gt;"",K1340&lt;&gt;""),"POSÉ EN LIGNE",IF(COUNTIF(BARDAGE!$C$1:$C$5000,B1340)&gt;0,"BARDÉ","EN STOCK")))</f>
        <v>POSÉ EN LIGNE</v>
      </c>
      <c r="N1340" s="80"/>
    </row>
    <row r="1341" customFormat="false" ht="15" hidden="false" customHeight="false" outlineLevel="0" collapsed="false">
      <c r="A1341" s="82" t="n">
        <f aca="false">IF(B1341="","",ROW()-6)</f>
        <v>1335</v>
      </c>
      <c r="B1341" s="145" t="n">
        <v>2081900</v>
      </c>
      <c r="C1341" s="146" t="n">
        <v>15421103</v>
      </c>
      <c r="D1341" s="146"/>
      <c r="E1341" s="82" t="str">
        <f aca="false">IF(B1341="","",IF(COUNTIFS('CARNET DE SOUDURE'!$L$7:$L$3006,B1341,'CARNET DE SOUDURE'!$M$7:$M$3006,"&lt;&gt;"&amp;C1341,'CARNET DE SOUDURE'!$M$7:$M$3006,"&lt;&gt;")+COUNTIFS('CARNET DE SOUDURE'!$O$7:$O$3006,B1341,'CARNET DE SOUDURE'!$P$7:$P$3006,"&lt;&gt;"&amp;C1341,'CARNET DE SOUDURE'!$P$7:$P$3006,"&lt;&gt;")&gt;0,"⚠ DIFFÉRENTE","OK"))</f>
        <v>OK</v>
      </c>
      <c r="F1341" s="147" t="n">
        <v>11.94</v>
      </c>
      <c r="G1341" s="80"/>
      <c r="H1341" s="83"/>
      <c r="I1341" s="148" t="str">
        <f aca="false">IF(B1341="","",IFERROR(INDEX('CARNET DE SOUDURE'!$B$7:$B$3006,MATCH(B1341,'CARNET DE SOUDURE'!$L$7:$L$3006,0)),IFERROR(INDEX('CARNET DE SOUDURE'!$B$7:$B$3006,MATCH(B1341,'CARNET DE SOUDURE'!$O$7:$O$3006,0)),"")))</f>
        <v>MFD-ISW → MFD-CPF</v>
      </c>
      <c r="J1341" s="82" t="str">
        <f aca="false">IF(B1341="","",IFERROR(INDEX('CARNET DE SOUDURE'!$E$7:$E$3006,MATCH(B1341,'CARNET DE SOUDURE'!$O$7:$O$3006,0)),""))</f>
        <v>JN°1988</v>
      </c>
      <c r="K1341" s="82" t="str">
        <f aca="false">IF(B1341="","",IFERROR(INDEX('CARNET DE SOUDURE'!$E$7:$E$3006,MATCH(B1341,'CARNET DE SOUDURE'!$L$7:$L$3006,0)),""))</f>
        <v>JN°1989R</v>
      </c>
      <c r="L1341" s="82" t="n">
        <f aca="false">IF(B1341="","",IFERROR(INDEX('CARNET DE SOUDURE'!$D$7:$D$3006,MATCH(B1341,'CARNET DE SOUDURE'!$L$7:$L$3006,0)),IFERROR(INDEX('CARNET DE SOUDURE'!$D$7:$D$3006,MATCH(B1341,'CARNET DE SOUDURE'!$O$7:$O$3006,0)),"")))</f>
        <v>24</v>
      </c>
      <c r="M1341" s="82" t="str">
        <f aca="false">IF(B1341="","",IF(OR(J1341&lt;&gt;"",K1341&lt;&gt;""),"POSÉ EN LIGNE",IF(COUNTIF(BARDAGE!$C$1:$C$5000,B1341)&gt;0,"BARDÉ","EN STOCK")))</f>
        <v>POSÉ EN LIGNE</v>
      </c>
      <c r="N1341" s="80"/>
    </row>
    <row r="1342" customFormat="false" ht="15" hidden="false" customHeight="false" outlineLevel="0" collapsed="false">
      <c r="A1342" s="82" t="n">
        <f aca="false">IF(B1342="","",ROW()-6)</f>
        <v>1336</v>
      </c>
      <c r="B1342" s="145" t="n">
        <v>2079190</v>
      </c>
      <c r="C1342" s="146" t="n">
        <v>15421102</v>
      </c>
      <c r="D1342" s="146"/>
      <c r="E1342" s="82" t="str">
        <f aca="false">IF(B1342="","",IF(COUNTIFS('CARNET DE SOUDURE'!$L$7:$L$3006,B1342,'CARNET DE SOUDURE'!$M$7:$M$3006,"&lt;&gt;"&amp;C1342,'CARNET DE SOUDURE'!$M$7:$M$3006,"&lt;&gt;")+COUNTIFS('CARNET DE SOUDURE'!$O$7:$O$3006,B1342,'CARNET DE SOUDURE'!$P$7:$P$3006,"&lt;&gt;"&amp;C1342,'CARNET DE SOUDURE'!$P$7:$P$3006,"&lt;&gt;")&gt;0,"⚠ DIFFÉRENTE","OK"))</f>
        <v>OK</v>
      </c>
      <c r="F1342" s="147" t="n">
        <v>11.94</v>
      </c>
      <c r="G1342" s="80"/>
      <c r="H1342" s="83"/>
      <c r="I1342" s="148" t="str">
        <f aca="false">IF(B1342="","",IFERROR(INDEX('CARNET DE SOUDURE'!$B$7:$B$3006,MATCH(B1342,'CARNET DE SOUDURE'!$L$7:$L$3006,0)),IFERROR(INDEX('CARNET DE SOUDURE'!$B$7:$B$3006,MATCH(B1342,'CARNET DE SOUDURE'!$O$7:$O$3006,0)),"")))</f>
        <v>MFD-ISW → MFD-CPF</v>
      </c>
      <c r="J1342" s="82" t="str">
        <f aca="false">IF(B1342="","",IFERROR(INDEX('CARNET DE SOUDURE'!$E$7:$E$3006,MATCH(B1342,'CARNET DE SOUDURE'!$O$7:$O$3006,0)),""))</f>
        <v>JN°1989R</v>
      </c>
      <c r="K1342" s="82" t="str">
        <f aca="false">IF(B1342="","",IFERROR(INDEX('CARNET DE SOUDURE'!$E$7:$E$3006,MATCH(B1342,'CARNET DE SOUDURE'!$L$7:$L$3006,0)),""))</f>
        <v>JN°1990</v>
      </c>
      <c r="L1342" s="82" t="n">
        <f aca="false">IF(B1342="","",IFERROR(INDEX('CARNET DE SOUDURE'!$D$7:$D$3006,MATCH(B1342,'CARNET DE SOUDURE'!$L$7:$L$3006,0)),IFERROR(INDEX('CARNET DE SOUDURE'!$D$7:$D$3006,MATCH(B1342,'CARNET DE SOUDURE'!$O$7:$O$3006,0)),"")))</f>
        <v>24</v>
      </c>
      <c r="M1342" s="82" t="str">
        <f aca="false">IF(B1342="","",IF(OR(J1342&lt;&gt;"",K1342&lt;&gt;""),"POSÉ EN LIGNE",IF(COUNTIF(BARDAGE!$C$1:$C$5000,B1342)&gt;0,"BARDÉ","EN STOCK")))</f>
        <v>POSÉ EN LIGNE</v>
      </c>
      <c r="N1342" s="80"/>
    </row>
    <row r="1343" customFormat="false" ht="15" hidden="false" customHeight="false" outlineLevel="0" collapsed="false">
      <c r="A1343" s="82" t="n">
        <f aca="false">IF(B1343="","",ROW()-6)</f>
        <v>1337</v>
      </c>
      <c r="B1343" s="145" t="n">
        <v>2096950</v>
      </c>
      <c r="C1343" s="146" t="n">
        <v>15421111</v>
      </c>
      <c r="D1343" s="146"/>
      <c r="E1343" s="82" t="str">
        <f aca="false">IF(B1343="","",IF(COUNTIFS('CARNET DE SOUDURE'!$L$7:$L$3006,B1343,'CARNET DE SOUDURE'!$M$7:$M$3006,"&lt;&gt;"&amp;C1343,'CARNET DE SOUDURE'!$M$7:$M$3006,"&lt;&gt;")+COUNTIFS('CARNET DE SOUDURE'!$O$7:$O$3006,B1343,'CARNET DE SOUDURE'!$P$7:$P$3006,"&lt;&gt;"&amp;C1343,'CARNET DE SOUDURE'!$P$7:$P$3006,"&lt;&gt;")&gt;0,"⚠ DIFFÉRENTE","OK"))</f>
        <v>OK</v>
      </c>
      <c r="F1343" s="147" t="n">
        <v>11.94</v>
      </c>
      <c r="G1343" s="80"/>
      <c r="H1343" s="83"/>
      <c r="I1343" s="148" t="str">
        <f aca="false">IF(B1343="","",IFERROR(INDEX('CARNET DE SOUDURE'!$B$7:$B$3006,MATCH(B1343,'CARNET DE SOUDURE'!$L$7:$L$3006,0)),IFERROR(INDEX('CARNET DE SOUDURE'!$B$7:$B$3006,MATCH(B1343,'CARNET DE SOUDURE'!$O$7:$O$3006,0)),"")))</f>
        <v>MFD-ISW → MFD-CPF</v>
      </c>
      <c r="J1343" s="82" t="str">
        <f aca="false">IF(B1343="","",IFERROR(INDEX('CARNET DE SOUDURE'!$E$7:$E$3006,MATCH(B1343,'CARNET DE SOUDURE'!$O$7:$O$3006,0)),""))</f>
        <v>JN°1990</v>
      </c>
      <c r="K1343" s="82" t="str">
        <f aca="false">IF(B1343="","",IFERROR(INDEX('CARNET DE SOUDURE'!$E$7:$E$3006,MATCH(B1343,'CARNET DE SOUDURE'!$L$7:$L$3006,0)),""))</f>
        <v>JN°1991</v>
      </c>
      <c r="L1343" s="82" t="n">
        <f aca="false">IF(B1343="","",IFERROR(INDEX('CARNET DE SOUDURE'!$D$7:$D$3006,MATCH(B1343,'CARNET DE SOUDURE'!$L$7:$L$3006,0)),IFERROR(INDEX('CARNET DE SOUDURE'!$D$7:$D$3006,MATCH(B1343,'CARNET DE SOUDURE'!$O$7:$O$3006,0)),"")))</f>
        <v>24</v>
      </c>
      <c r="M1343" s="82" t="str">
        <f aca="false">IF(B1343="","",IF(OR(J1343&lt;&gt;"",K1343&lt;&gt;""),"POSÉ EN LIGNE",IF(COUNTIF(BARDAGE!$C$1:$C$5000,B1343)&gt;0,"BARDÉ","EN STOCK")))</f>
        <v>POSÉ EN LIGNE</v>
      </c>
      <c r="N1343" s="80"/>
    </row>
    <row r="1344" customFormat="false" ht="15" hidden="false" customHeight="false" outlineLevel="0" collapsed="false">
      <c r="A1344" s="82" t="n">
        <f aca="false">IF(B1344="","",ROW()-6)</f>
        <v>1338</v>
      </c>
      <c r="B1344" s="145" t="n">
        <v>2097940</v>
      </c>
      <c r="C1344" s="146" t="n">
        <v>15421112</v>
      </c>
      <c r="D1344" s="146"/>
      <c r="E1344" s="82" t="str">
        <f aca="false">IF(B1344="","",IF(COUNTIFS('CARNET DE SOUDURE'!$L$7:$L$3006,B1344,'CARNET DE SOUDURE'!$M$7:$M$3006,"&lt;&gt;"&amp;C1344,'CARNET DE SOUDURE'!$M$7:$M$3006,"&lt;&gt;")+COUNTIFS('CARNET DE SOUDURE'!$O$7:$O$3006,B1344,'CARNET DE SOUDURE'!$P$7:$P$3006,"&lt;&gt;"&amp;C1344,'CARNET DE SOUDURE'!$P$7:$P$3006,"&lt;&gt;")&gt;0,"⚠ DIFFÉRENTE","OK"))</f>
        <v>OK</v>
      </c>
      <c r="F1344" s="147" t="n">
        <v>11.94</v>
      </c>
      <c r="G1344" s="80"/>
      <c r="H1344" s="83"/>
      <c r="I1344" s="148" t="str">
        <f aca="false">IF(B1344="","",IFERROR(INDEX('CARNET DE SOUDURE'!$B$7:$B$3006,MATCH(B1344,'CARNET DE SOUDURE'!$L$7:$L$3006,0)),IFERROR(INDEX('CARNET DE SOUDURE'!$B$7:$B$3006,MATCH(B1344,'CARNET DE SOUDURE'!$O$7:$O$3006,0)),"")))</f>
        <v>MFD-ISW → MFD-CPF</v>
      </c>
      <c r="J1344" s="82" t="str">
        <f aca="false">IF(B1344="","",IFERROR(INDEX('CARNET DE SOUDURE'!$E$7:$E$3006,MATCH(B1344,'CARNET DE SOUDURE'!$O$7:$O$3006,0)),""))</f>
        <v>JN°1991</v>
      </c>
      <c r="K1344" s="82" t="str">
        <f aca="false">IF(B1344="","",IFERROR(INDEX('CARNET DE SOUDURE'!$E$7:$E$3006,MATCH(B1344,'CARNET DE SOUDURE'!$L$7:$L$3006,0)),""))</f>
        <v>JN°1992</v>
      </c>
      <c r="L1344" s="82" t="n">
        <f aca="false">IF(B1344="","",IFERROR(INDEX('CARNET DE SOUDURE'!$D$7:$D$3006,MATCH(B1344,'CARNET DE SOUDURE'!$L$7:$L$3006,0)),IFERROR(INDEX('CARNET DE SOUDURE'!$D$7:$D$3006,MATCH(B1344,'CARNET DE SOUDURE'!$O$7:$O$3006,0)),"")))</f>
        <v>24</v>
      </c>
      <c r="M1344" s="82" t="str">
        <f aca="false">IF(B1344="","",IF(OR(J1344&lt;&gt;"",K1344&lt;&gt;""),"POSÉ EN LIGNE",IF(COUNTIF(BARDAGE!$C$1:$C$5000,B1344)&gt;0,"BARDÉ","EN STOCK")))</f>
        <v>POSÉ EN LIGNE</v>
      </c>
      <c r="N1344" s="80"/>
    </row>
    <row r="1345" customFormat="false" ht="15" hidden="false" customHeight="false" outlineLevel="0" collapsed="false">
      <c r="A1345" s="82" t="n">
        <f aca="false">IF(B1345="","",ROW()-6)</f>
        <v>1339</v>
      </c>
      <c r="B1345" s="145" t="n">
        <v>2091910</v>
      </c>
      <c r="C1345" s="146" t="n">
        <v>15421109</v>
      </c>
      <c r="D1345" s="146"/>
      <c r="E1345" s="82" t="str">
        <f aca="false">IF(B1345="","",IF(COUNTIFS('CARNET DE SOUDURE'!$L$7:$L$3006,B1345,'CARNET DE SOUDURE'!$M$7:$M$3006,"&lt;&gt;"&amp;C1345,'CARNET DE SOUDURE'!$M$7:$M$3006,"&lt;&gt;")+COUNTIFS('CARNET DE SOUDURE'!$O$7:$O$3006,B1345,'CARNET DE SOUDURE'!$P$7:$P$3006,"&lt;&gt;"&amp;C1345,'CARNET DE SOUDURE'!$P$7:$P$3006,"&lt;&gt;")&gt;0,"⚠ DIFFÉRENTE","OK"))</f>
        <v>OK</v>
      </c>
      <c r="F1345" s="147" t="n">
        <v>11.94</v>
      </c>
      <c r="G1345" s="80"/>
      <c r="H1345" s="83"/>
      <c r="I1345" s="148" t="str">
        <f aca="false">IF(B1345="","",IFERROR(INDEX('CARNET DE SOUDURE'!$B$7:$B$3006,MATCH(B1345,'CARNET DE SOUDURE'!$L$7:$L$3006,0)),IFERROR(INDEX('CARNET DE SOUDURE'!$B$7:$B$3006,MATCH(B1345,'CARNET DE SOUDURE'!$O$7:$O$3006,0)),"")))</f>
        <v>MFD-ISW → MFD-CPF</v>
      </c>
      <c r="J1345" s="82" t="str">
        <f aca="false">IF(B1345="","",IFERROR(INDEX('CARNET DE SOUDURE'!$E$7:$E$3006,MATCH(B1345,'CARNET DE SOUDURE'!$O$7:$O$3006,0)),""))</f>
        <v>JN°1992</v>
      </c>
      <c r="K1345" s="82" t="str">
        <f aca="false">IF(B1345="","",IFERROR(INDEX('CARNET DE SOUDURE'!$E$7:$E$3006,MATCH(B1345,'CARNET DE SOUDURE'!$L$7:$L$3006,0)),""))</f>
        <v>JN°1993</v>
      </c>
      <c r="L1345" s="82" t="n">
        <f aca="false">IF(B1345="","",IFERROR(INDEX('CARNET DE SOUDURE'!$D$7:$D$3006,MATCH(B1345,'CARNET DE SOUDURE'!$L$7:$L$3006,0)),IFERROR(INDEX('CARNET DE SOUDURE'!$D$7:$D$3006,MATCH(B1345,'CARNET DE SOUDURE'!$O$7:$O$3006,0)),"")))</f>
        <v>24</v>
      </c>
      <c r="M1345" s="82" t="str">
        <f aca="false">IF(B1345="","",IF(OR(J1345&lt;&gt;"",K1345&lt;&gt;""),"POSÉ EN LIGNE",IF(COUNTIF(BARDAGE!$C$1:$C$5000,B1345)&gt;0,"BARDÉ","EN STOCK")))</f>
        <v>POSÉ EN LIGNE</v>
      </c>
      <c r="N1345" s="80"/>
    </row>
    <row r="1346" customFormat="false" ht="15" hidden="false" customHeight="false" outlineLevel="0" collapsed="false">
      <c r="A1346" s="82" t="n">
        <f aca="false">IF(B1346="","",ROW()-6)</f>
        <v>1340</v>
      </c>
      <c r="B1346" s="145" t="n">
        <v>2083150</v>
      </c>
      <c r="C1346" s="146" t="n">
        <v>15421105</v>
      </c>
      <c r="D1346" s="146"/>
      <c r="E1346" s="82" t="str">
        <f aca="false">IF(B1346="","",IF(COUNTIFS('CARNET DE SOUDURE'!$L$7:$L$3006,B1346,'CARNET DE SOUDURE'!$M$7:$M$3006,"&lt;&gt;"&amp;C1346,'CARNET DE SOUDURE'!$M$7:$M$3006,"&lt;&gt;")+COUNTIFS('CARNET DE SOUDURE'!$O$7:$O$3006,B1346,'CARNET DE SOUDURE'!$P$7:$P$3006,"&lt;&gt;"&amp;C1346,'CARNET DE SOUDURE'!$P$7:$P$3006,"&lt;&gt;")&gt;0,"⚠ DIFFÉRENTE","OK"))</f>
        <v>OK</v>
      </c>
      <c r="F1346" s="147" t="n">
        <v>11.94</v>
      </c>
      <c r="G1346" s="80"/>
      <c r="H1346" s="83"/>
      <c r="I1346" s="148" t="str">
        <f aca="false">IF(B1346="","",IFERROR(INDEX('CARNET DE SOUDURE'!$B$7:$B$3006,MATCH(B1346,'CARNET DE SOUDURE'!$L$7:$L$3006,0)),IFERROR(INDEX('CARNET DE SOUDURE'!$B$7:$B$3006,MATCH(B1346,'CARNET DE SOUDURE'!$O$7:$O$3006,0)),"")))</f>
        <v>MFD-ISW → MFD-CPF</v>
      </c>
      <c r="J1346" s="82" t="str">
        <f aca="false">IF(B1346="","",IFERROR(INDEX('CARNET DE SOUDURE'!$E$7:$E$3006,MATCH(B1346,'CARNET DE SOUDURE'!$O$7:$O$3006,0)),""))</f>
        <v>JN°1993</v>
      </c>
      <c r="K1346" s="82" t="str">
        <f aca="false">IF(B1346="","",IFERROR(INDEX('CARNET DE SOUDURE'!$E$7:$E$3006,MATCH(B1346,'CARNET DE SOUDURE'!$L$7:$L$3006,0)),""))</f>
        <v>JN°1994</v>
      </c>
      <c r="L1346" s="82" t="n">
        <f aca="false">IF(B1346="","",IFERROR(INDEX('CARNET DE SOUDURE'!$D$7:$D$3006,MATCH(B1346,'CARNET DE SOUDURE'!$L$7:$L$3006,0)),IFERROR(INDEX('CARNET DE SOUDURE'!$D$7:$D$3006,MATCH(B1346,'CARNET DE SOUDURE'!$O$7:$O$3006,0)),"")))</f>
        <v>24</v>
      </c>
      <c r="M1346" s="82" t="str">
        <f aca="false">IF(B1346="","",IF(OR(J1346&lt;&gt;"",K1346&lt;&gt;""),"POSÉ EN LIGNE",IF(COUNTIF(BARDAGE!$C$1:$C$5000,B1346)&gt;0,"BARDÉ","EN STOCK")))</f>
        <v>POSÉ EN LIGNE</v>
      </c>
      <c r="N1346" s="80"/>
    </row>
    <row r="1347" customFormat="false" ht="15" hidden="false" customHeight="false" outlineLevel="0" collapsed="false">
      <c r="A1347" s="82" t="n">
        <f aca="false">IF(B1347="","",ROW()-6)</f>
        <v>1341</v>
      </c>
      <c r="B1347" s="145" t="n">
        <v>2083790</v>
      </c>
      <c r="C1347" s="146" t="n">
        <v>15421105</v>
      </c>
      <c r="D1347" s="146"/>
      <c r="E1347" s="82" t="str">
        <f aca="false">IF(B1347="","",IF(COUNTIFS('CARNET DE SOUDURE'!$L$7:$L$3006,B1347,'CARNET DE SOUDURE'!$M$7:$M$3006,"&lt;&gt;"&amp;C1347,'CARNET DE SOUDURE'!$M$7:$M$3006,"&lt;&gt;")+COUNTIFS('CARNET DE SOUDURE'!$O$7:$O$3006,B1347,'CARNET DE SOUDURE'!$P$7:$P$3006,"&lt;&gt;"&amp;C1347,'CARNET DE SOUDURE'!$P$7:$P$3006,"&lt;&gt;")&gt;0,"⚠ DIFFÉRENTE","OK"))</f>
        <v>OK</v>
      </c>
      <c r="F1347" s="147" t="n">
        <v>11.94</v>
      </c>
      <c r="G1347" s="80"/>
      <c r="H1347" s="83"/>
      <c r="I1347" s="148" t="str">
        <f aca="false">IF(B1347="","",IFERROR(INDEX('CARNET DE SOUDURE'!$B$7:$B$3006,MATCH(B1347,'CARNET DE SOUDURE'!$L$7:$L$3006,0)),IFERROR(INDEX('CARNET DE SOUDURE'!$B$7:$B$3006,MATCH(B1347,'CARNET DE SOUDURE'!$O$7:$O$3006,0)),"")))</f>
        <v>MFD-ISW → MFD-CPF</v>
      </c>
      <c r="J1347" s="82" t="str">
        <f aca="false">IF(B1347="","",IFERROR(INDEX('CARNET DE SOUDURE'!$E$7:$E$3006,MATCH(B1347,'CARNET DE SOUDURE'!$O$7:$O$3006,0)),""))</f>
        <v>JN°1994</v>
      </c>
      <c r="K1347" s="82" t="str">
        <f aca="false">IF(B1347="","",IFERROR(INDEX('CARNET DE SOUDURE'!$E$7:$E$3006,MATCH(B1347,'CARNET DE SOUDURE'!$L$7:$L$3006,0)),""))</f>
        <v>JN°1995</v>
      </c>
      <c r="L1347" s="82" t="n">
        <f aca="false">IF(B1347="","",IFERROR(INDEX('CARNET DE SOUDURE'!$D$7:$D$3006,MATCH(B1347,'CARNET DE SOUDURE'!$L$7:$L$3006,0)),IFERROR(INDEX('CARNET DE SOUDURE'!$D$7:$D$3006,MATCH(B1347,'CARNET DE SOUDURE'!$O$7:$O$3006,0)),"")))</f>
        <v>24</v>
      </c>
      <c r="M1347" s="82" t="str">
        <f aca="false">IF(B1347="","",IF(OR(J1347&lt;&gt;"",K1347&lt;&gt;""),"POSÉ EN LIGNE",IF(COUNTIF(BARDAGE!$C$1:$C$5000,B1347)&gt;0,"BARDÉ","EN STOCK")))</f>
        <v>POSÉ EN LIGNE</v>
      </c>
      <c r="N1347" s="80"/>
    </row>
    <row r="1348" customFormat="false" ht="15" hidden="false" customHeight="false" outlineLevel="0" collapsed="false">
      <c r="A1348" s="82" t="n">
        <f aca="false">IF(B1348="","",ROW()-6)</f>
        <v>1342</v>
      </c>
      <c r="B1348" s="145" t="n">
        <v>2088740</v>
      </c>
      <c r="C1348" s="146" t="n">
        <v>15421108</v>
      </c>
      <c r="D1348" s="146"/>
      <c r="E1348" s="82" t="str">
        <f aca="false">IF(B1348="","",IF(COUNTIFS('CARNET DE SOUDURE'!$L$7:$L$3006,B1348,'CARNET DE SOUDURE'!$M$7:$M$3006,"&lt;&gt;"&amp;C1348,'CARNET DE SOUDURE'!$M$7:$M$3006,"&lt;&gt;")+COUNTIFS('CARNET DE SOUDURE'!$O$7:$O$3006,B1348,'CARNET DE SOUDURE'!$P$7:$P$3006,"&lt;&gt;"&amp;C1348,'CARNET DE SOUDURE'!$P$7:$P$3006,"&lt;&gt;")&gt;0,"⚠ DIFFÉRENTE","OK"))</f>
        <v>OK</v>
      </c>
      <c r="F1348" s="147" t="n">
        <v>11.94</v>
      </c>
      <c r="G1348" s="80"/>
      <c r="H1348" s="83"/>
      <c r="I1348" s="148" t="str">
        <f aca="false">IF(B1348="","",IFERROR(INDEX('CARNET DE SOUDURE'!$B$7:$B$3006,MATCH(B1348,'CARNET DE SOUDURE'!$L$7:$L$3006,0)),IFERROR(INDEX('CARNET DE SOUDURE'!$B$7:$B$3006,MATCH(B1348,'CARNET DE SOUDURE'!$O$7:$O$3006,0)),"")))</f>
        <v>MFD-ISW → MFD-CPF</v>
      </c>
      <c r="J1348" s="82" t="str">
        <f aca="false">IF(B1348="","",IFERROR(INDEX('CARNET DE SOUDURE'!$E$7:$E$3006,MATCH(B1348,'CARNET DE SOUDURE'!$O$7:$O$3006,0)),""))</f>
        <v>JN°1995</v>
      </c>
      <c r="K1348" s="82" t="str">
        <f aca="false">IF(B1348="","",IFERROR(INDEX('CARNET DE SOUDURE'!$E$7:$E$3006,MATCH(B1348,'CARNET DE SOUDURE'!$L$7:$L$3006,0)),""))</f>
        <v>JN°1996</v>
      </c>
      <c r="L1348" s="82" t="n">
        <f aca="false">IF(B1348="","",IFERROR(INDEX('CARNET DE SOUDURE'!$D$7:$D$3006,MATCH(B1348,'CARNET DE SOUDURE'!$L$7:$L$3006,0)),IFERROR(INDEX('CARNET DE SOUDURE'!$D$7:$D$3006,MATCH(B1348,'CARNET DE SOUDURE'!$O$7:$O$3006,0)),"")))</f>
        <v>24</v>
      </c>
      <c r="M1348" s="82" t="str">
        <f aca="false">IF(B1348="","",IF(OR(J1348&lt;&gt;"",K1348&lt;&gt;""),"POSÉ EN LIGNE",IF(COUNTIF(BARDAGE!$C$1:$C$5000,B1348)&gt;0,"BARDÉ","EN STOCK")))</f>
        <v>POSÉ EN LIGNE</v>
      </c>
      <c r="N1348" s="80"/>
    </row>
    <row r="1349" customFormat="false" ht="15" hidden="false" customHeight="false" outlineLevel="0" collapsed="false">
      <c r="A1349" s="82" t="n">
        <f aca="false">IF(B1349="","",ROW()-6)</f>
        <v>1343</v>
      </c>
      <c r="B1349" s="145" t="n">
        <v>2088320</v>
      </c>
      <c r="C1349" s="146" t="n">
        <v>15421108</v>
      </c>
      <c r="D1349" s="146"/>
      <c r="E1349" s="82" t="str">
        <f aca="false">IF(B1349="","",IF(COUNTIFS('CARNET DE SOUDURE'!$L$7:$L$3006,B1349,'CARNET DE SOUDURE'!$M$7:$M$3006,"&lt;&gt;"&amp;C1349,'CARNET DE SOUDURE'!$M$7:$M$3006,"&lt;&gt;")+COUNTIFS('CARNET DE SOUDURE'!$O$7:$O$3006,B1349,'CARNET DE SOUDURE'!$P$7:$P$3006,"&lt;&gt;"&amp;C1349,'CARNET DE SOUDURE'!$P$7:$P$3006,"&lt;&gt;")&gt;0,"⚠ DIFFÉRENTE","OK"))</f>
        <v>OK</v>
      </c>
      <c r="F1349" s="147" t="n">
        <v>11.94</v>
      </c>
      <c r="G1349" s="80"/>
      <c r="H1349" s="83"/>
      <c r="I1349" s="148" t="str">
        <f aca="false">IF(B1349="","",IFERROR(INDEX('CARNET DE SOUDURE'!$B$7:$B$3006,MATCH(B1349,'CARNET DE SOUDURE'!$L$7:$L$3006,0)),IFERROR(INDEX('CARNET DE SOUDURE'!$B$7:$B$3006,MATCH(B1349,'CARNET DE SOUDURE'!$O$7:$O$3006,0)),"")))</f>
        <v>MFD-ISW → MFD-CPF</v>
      </c>
      <c r="J1349" s="82" t="str">
        <f aca="false">IF(B1349="","",IFERROR(INDEX('CARNET DE SOUDURE'!$E$7:$E$3006,MATCH(B1349,'CARNET DE SOUDURE'!$O$7:$O$3006,0)),""))</f>
        <v>JN°1996</v>
      </c>
      <c r="K1349" s="82" t="str">
        <f aca="false">IF(B1349="","",IFERROR(INDEX('CARNET DE SOUDURE'!$E$7:$E$3006,MATCH(B1349,'CARNET DE SOUDURE'!$L$7:$L$3006,0)),""))</f>
        <v>JN°1997</v>
      </c>
      <c r="L1349" s="82" t="n">
        <f aca="false">IF(B1349="","",IFERROR(INDEX('CARNET DE SOUDURE'!$D$7:$D$3006,MATCH(B1349,'CARNET DE SOUDURE'!$L$7:$L$3006,0)),IFERROR(INDEX('CARNET DE SOUDURE'!$D$7:$D$3006,MATCH(B1349,'CARNET DE SOUDURE'!$O$7:$O$3006,0)),"")))</f>
        <v>24</v>
      </c>
      <c r="M1349" s="82" t="str">
        <f aca="false">IF(B1349="","",IF(OR(J1349&lt;&gt;"",K1349&lt;&gt;""),"POSÉ EN LIGNE",IF(COUNTIF(BARDAGE!$C$1:$C$5000,B1349)&gt;0,"BARDÉ","EN STOCK")))</f>
        <v>POSÉ EN LIGNE</v>
      </c>
      <c r="N1349" s="80"/>
    </row>
    <row r="1350" customFormat="false" ht="15" hidden="false" customHeight="false" outlineLevel="0" collapsed="false">
      <c r="A1350" s="82" t="n">
        <f aca="false">IF(B1350="","",ROW()-6)</f>
        <v>1344</v>
      </c>
      <c r="B1350" s="145" t="n">
        <v>2083010</v>
      </c>
      <c r="C1350" s="146" t="n">
        <v>15421105</v>
      </c>
      <c r="D1350" s="146"/>
      <c r="E1350" s="82" t="str">
        <f aca="false">IF(B1350="","",IF(COUNTIFS('CARNET DE SOUDURE'!$L$7:$L$3006,B1350,'CARNET DE SOUDURE'!$M$7:$M$3006,"&lt;&gt;"&amp;C1350,'CARNET DE SOUDURE'!$M$7:$M$3006,"&lt;&gt;")+COUNTIFS('CARNET DE SOUDURE'!$O$7:$O$3006,B1350,'CARNET DE SOUDURE'!$P$7:$P$3006,"&lt;&gt;"&amp;C1350,'CARNET DE SOUDURE'!$P$7:$P$3006,"&lt;&gt;")&gt;0,"⚠ DIFFÉRENTE","OK"))</f>
        <v>OK</v>
      </c>
      <c r="F1350" s="147" t="n">
        <v>11.94</v>
      </c>
      <c r="G1350" s="80"/>
      <c r="H1350" s="83"/>
      <c r="I1350" s="148" t="str">
        <f aca="false">IF(B1350="","",IFERROR(INDEX('CARNET DE SOUDURE'!$B$7:$B$3006,MATCH(B1350,'CARNET DE SOUDURE'!$L$7:$L$3006,0)),IFERROR(INDEX('CARNET DE SOUDURE'!$B$7:$B$3006,MATCH(B1350,'CARNET DE SOUDURE'!$O$7:$O$3006,0)),"")))</f>
        <v>MFD-ISW → MFD-CPF</v>
      </c>
      <c r="J1350" s="82" t="str">
        <f aca="false">IF(B1350="","",IFERROR(INDEX('CARNET DE SOUDURE'!$E$7:$E$3006,MATCH(B1350,'CARNET DE SOUDURE'!$O$7:$O$3006,0)),""))</f>
        <v>JN°1997</v>
      </c>
      <c r="K1350" s="82" t="str">
        <f aca="false">IF(B1350="","",IFERROR(INDEX('CARNET DE SOUDURE'!$E$7:$E$3006,MATCH(B1350,'CARNET DE SOUDURE'!$L$7:$L$3006,0)),""))</f>
        <v>JN°1998</v>
      </c>
      <c r="L1350" s="82" t="n">
        <f aca="false">IF(B1350="","",IFERROR(INDEX('CARNET DE SOUDURE'!$D$7:$D$3006,MATCH(B1350,'CARNET DE SOUDURE'!$L$7:$L$3006,0)),IFERROR(INDEX('CARNET DE SOUDURE'!$D$7:$D$3006,MATCH(B1350,'CARNET DE SOUDURE'!$O$7:$O$3006,0)),"")))</f>
        <v>24</v>
      </c>
      <c r="M1350" s="82" t="str">
        <f aca="false">IF(B1350="","",IF(OR(J1350&lt;&gt;"",K1350&lt;&gt;""),"POSÉ EN LIGNE",IF(COUNTIF(BARDAGE!$C$1:$C$5000,B1350)&gt;0,"BARDÉ","EN STOCK")))</f>
        <v>POSÉ EN LIGNE</v>
      </c>
      <c r="N1350" s="80"/>
    </row>
    <row r="1351" customFormat="false" ht="15" hidden="false" customHeight="false" outlineLevel="0" collapsed="false">
      <c r="A1351" s="82" t="n">
        <f aca="false">IF(B1351="","",ROW()-6)</f>
        <v>1345</v>
      </c>
      <c r="B1351" s="145" t="n">
        <v>2084710</v>
      </c>
      <c r="C1351" s="146" t="n">
        <v>15421106</v>
      </c>
      <c r="D1351" s="146"/>
      <c r="E1351" s="82" t="str">
        <f aca="false">IF(B1351="","",IF(COUNTIFS('CARNET DE SOUDURE'!$L$7:$L$3006,B1351,'CARNET DE SOUDURE'!$M$7:$M$3006,"&lt;&gt;"&amp;C1351,'CARNET DE SOUDURE'!$M$7:$M$3006,"&lt;&gt;")+COUNTIFS('CARNET DE SOUDURE'!$O$7:$O$3006,B1351,'CARNET DE SOUDURE'!$P$7:$P$3006,"&lt;&gt;"&amp;C1351,'CARNET DE SOUDURE'!$P$7:$P$3006,"&lt;&gt;")&gt;0,"⚠ DIFFÉRENTE","OK"))</f>
        <v>OK</v>
      </c>
      <c r="F1351" s="147" t="n">
        <v>11.94</v>
      </c>
      <c r="G1351" s="80"/>
      <c r="H1351" s="83"/>
      <c r="I1351" s="148" t="str">
        <f aca="false">IF(B1351="","",IFERROR(INDEX('CARNET DE SOUDURE'!$B$7:$B$3006,MATCH(B1351,'CARNET DE SOUDURE'!$L$7:$L$3006,0)),IFERROR(INDEX('CARNET DE SOUDURE'!$B$7:$B$3006,MATCH(B1351,'CARNET DE SOUDURE'!$O$7:$O$3006,0)),"")))</f>
        <v>MFD-ISW → MFD-CPF</v>
      </c>
      <c r="J1351" s="82" t="str">
        <f aca="false">IF(B1351="","",IFERROR(INDEX('CARNET DE SOUDURE'!$E$7:$E$3006,MATCH(B1351,'CARNET DE SOUDURE'!$O$7:$O$3006,0)),""))</f>
        <v>JN°1998</v>
      </c>
      <c r="K1351" s="82" t="str">
        <f aca="false">IF(B1351="","",IFERROR(INDEX('CARNET DE SOUDURE'!$E$7:$E$3006,MATCH(B1351,'CARNET DE SOUDURE'!$L$7:$L$3006,0)),""))</f>
        <v>JN°1999</v>
      </c>
      <c r="L1351" s="82" t="n">
        <f aca="false">IF(B1351="","",IFERROR(INDEX('CARNET DE SOUDURE'!$D$7:$D$3006,MATCH(B1351,'CARNET DE SOUDURE'!$L$7:$L$3006,0)),IFERROR(INDEX('CARNET DE SOUDURE'!$D$7:$D$3006,MATCH(B1351,'CARNET DE SOUDURE'!$O$7:$O$3006,0)),"")))</f>
        <v>24</v>
      </c>
      <c r="M1351" s="82" t="str">
        <f aca="false">IF(B1351="","",IF(OR(J1351&lt;&gt;"",K1351&lt;&gt;""),"POSÉ EN LIGNE",IF(COUNTIF(BARDAGE!$C$1:$C$5000,B1351)&gt;0,"BARDÉ","EN STOCK")))</f>
        <v>POSÉ EN LIGNE</v>
      </c>
      <c r="N1351" s="80"/>
    </row>
    <row r="1352" customFormat="false" ht="15" hidden="false" customHeight="false" outlineLevel="0" collapsed="false">
      <c r="A1352" s="82" t="n">
        <f aca="false">IF(B1352="","",ROW()-6)</f>
        <v>1346</v>
      </c>
      <c r="B1352" s="145" t="n">
        <v>2083000</v>
      </c>
      <c r="C1352" s="146" t="n">
        <v>15421105</v>
      </c>
      <c r="D1352" s="146"/>
      <c r="E1352" s="82" t="str">
        <f aca="false">IF(B1352="","",IF(COUNTIFS('CARNET DE SOUDURE'!$L$7:$L$3006,B1352,'CARNET DE SOUDURE'!$M$7:$M$3006,"&lt;&gt;"&amp;C1352,'CARNET DE SOUDURE'!$M$7:$M$3006,"&lt;&gt;")+COUNTIFS('CARNET DE SOUDURE'!$O$7:$O$3006,B1352,'CARNET DE SOUDURE'!$P$7:$P$3006,"&lt;&gt;"&amp;C1352,'CARNET DE SOUDURE'!$P$7:$P$3006,"&lt;&gt;")&gt;0,"⚠ DIFFÉRENTE","OK"))</f>
        <v>OK</v>
      </c>
      <c r="F1352" s="147" t="n">
        <v>11.94</v>
      </c>
      <c r="G1352" s="80"/>
      <c r="H1352" s="83"/>
      <c r="I1352" s="148" t="str">
        <f aca="false">IF(B1352="","",IFERROR(INDEX('CARNET DE SOUDURE'!$B$7:$B$3006,MATCH(B1352,'CARNET DE SOUDURE'!$L$7:$L$3006,0)),IFERROR(INDEX('CARNET DE SOUDURE'!$B$7:$B$3006,MATCH(B1352,'CARNET DE SOUDURE'!$O$7:$O$3006,0)),"")))</f>
        <v>MFD-ISW → MFD-CPF</v>
      </c>
      <c r="J1352" s="82" t="str">
        <f aca="false">IF(B1352="","",IFERROR(INDEX('CARNET DE SOUDURE'!$E$7:$E$3006,MATCH(B1352,'CARNET DE SOUDURE'!$O$7:$O$3006,0)),""))</f>
        <v>JN°1999</v>
      </c>
      <c r="K1352" s="82" t="str">
        <f aca="false">IF(B1352="","",IFERROR(INDEX('CARNET DE SOUDURE'!$E$7:$E$3006,MATCH(B1352,'CARNET DE SOUDURE'!$L$7:$L$3006,0)),""))</f>
        <v>JN°2000</v>
      </c>
      <c r="L1352" s="82" t="n">
        <f aca="false">IF(B1352="","",IFERROR(INDEX('CARNET DE SOUDURE'!$D$7:$D$3006,MATCH(B1352,'CARNET DE SOUDURE'!$L$7:$L$3006,0)),IFERROR(INDEX('CARNET DE SOUDURE'!$D$7:$D$3006,MATCH(B1352,'CARNET DE SOUDURE'!$O$7:$O$3006,0)),"")))</f>
        <v>24</v>
      </c>
      <c r="M1352" s="82" t="str">
        <f aca="false">IF(B1352="","",IF(OR(J1352&lt;&gt;"",K1352&lt;&gt;""),"POSÉ EN LIGNE",IF(COUNTIF(BARDAGE!$C$1:$C$5000,B1352)&gt;0,"BARDÉ","EN STOCK")))</f>
        <v>POSÉ EN LIGNE</v>
      </c>
      <c r="N1352" s="80"/>
    </row>
    <row r="1353" customFormat="false" ht="15" hidden="false" customHeight="false" outlineLevel="0" collapsed="false">
      <c r="A1353" s="82" t="n">
        <f aca="false">IF(B1353="","",ROW()-6)</f>
        <v>1347</v>
      </c>
      <c r="B1353" s="145" t="n">
        <v>2082990</v>
      </c>
      <c r="C1353" s="146" t="n">
        <v>15421105</v>
      </c>
      <c r="D1353" s="146"/>
      <c r="E1353" s="82" t="str">
        <f aca="false">IF(B1353="","",IF(COUNTIFS('CARNET DE SOUDURE'!$L$7:$L$3006,B1353,'CARNET DE SOUDURE'!$M$7:$M$3006,"&lt;&gt;"&amp;C1353,'CARNET DE SOUDURE'!$M$7:$M$3006,"&lt;&gt;")+COUNTIFS('CARNET DE SOUDURE'!$O$7:$O$3006,B1353,'CARNET DE SOUDURE'!$P$7:$P$3006,"&lt;&gt;"&amp;C1353,'CARNET DE SOUDURE'!$P$7:$P$3006,"&lt;&gt;")&gt;0,"⚠ DIFFÉRENTE","OK"))</f>
        <v>OK</v>
      </c>
      <c r="F1353" s="147" t="n">
        <v>11.94</v>
      </c>
      <c r="G1353" s="80"/>
      <c r="H1353" s="83"/>
      <c r="I1353" s="148" t="str">
        <f aca="false">IF(B1353="","",IFERROR(INDEX('CARNET DE SOUDURE'!$B$7:$B$3006,MATCH(B1353,'CARNET DE SOUDURE'!$L$7:$L$3006,0)),IFERROR(INDEX('CARNET DE SOUDURE'!$B$7:$B$3006,MATCH(B1353,'CARNET DE SOUDURE'!$O$7:$O$3006,0)),"")))</f>
        <v>MFD-ISW → MFD-CPF</v>
      </c>
      <c r="J1353" s="82" t="str">
        <f aca="false">IF(B1353="","",IFERROR(INDEX('CARNET DE SOUDURE'!$E$7:$E$3006,MATCH(B1353,'CARNET DE SOUDURE'!$O$7:$O$3006,0)),""))</f>
        <v>JN°2000</v>
      </c>
      <c r="K1353" s="82" t="str">
        <f aca="false">IF(B1353="","",IFERROR(INDEX('CARNET DE SOUDURE'!$E$7:$E$3006,MATCH(B1353,'CARNET DE SOUDURE'!$L$7:$L$3006,0)),""))</f>
        <v/>
      </c>
      <c r="L1353" s="82" t="n">
        <f aca="false">IF(B1353="","",IFERROR(INDEX('CARNET DE SOUDURE'!$D$7:$D$3006,MATCH(B1353,'CARNET DE SOUDURE'!$L$7:$L$3006,0)),IFERROR(INDEX('CARNET DE SOUDURE'!$D$7:$D$3006,MATCH(B1353,'CARNET DE SOUDURE'!$O$7:$O$3006,0)),"")))</f>
        <v>24</v>
      </c>
      <c r="M1353" s="82" t="str">
        <f aca="false">IF(B1353="","",IF(OR(J1353&lt;&gt;"",K1353&lt;&gt;""),"POSÉ EN LIGNE",IF(COUNTIF(BARDAGE!$C$1:$C$5000,B1353)&gt;0,"BARDÉ","EN STOCK")))</f>
        <v>POSÉ EN LIGNE</v>
      </c>
      <c r="N1353" s="80"/>
    </row>
    <row r="1354" customFormat="false" ht="15" hidden="false" customHeight="false" outlineLevel="0" collapsed="false">
      <c r="A1354" s="82" t="str">
        <f aca="false">IF(B1354="","",ROW()-6)</f>
        <v/>
      </c>
      <c r="B1354" s="145"/>
      <c r="C1354" s="146"/>
      <c r="D1354" s="146"/>
      <c r="E1354" s="82" t="str">
        <f aca="false">IF(B1354="","",IF(COUNTIFS('CARNET DE SOUDURE'!$L$7:$L$3006,B1354,'CARNET DE SOUDURE'!$M$7:$M$3006,"&lt;&gt;"&amp;C1354,'CARNET DE SOUDURE'!$M$7:$M$3006,"&lt;&gt;")+COUNTIFS('CARNET DE SOUDURE'!$O$7:$O$3006,B1354,'CARNET DE SOUDURE'!$P$7:$P$3006,"&lt;&gt;"&amp;C1354,'CARNET DE SOUDURE'!$P$7:$P$3006,"&lt;&gt;")&gt;0,"⚠ DIFFÉRENTE","OK"))</f>
        <v/>
      </c>
      <c r="F1354" s="147"/>
      <c r="G1354" s="80"/>
      <c r="H1354" s="83"/>
      <c r="I1354" s="148" t="str">
        <f aca="false">IF(B1354="","",IFERROR(INDEX('CARNET DE SOUDURE'!$B$7:$B$3006,MATCH(B1354,'CARNET DE SOUDURE'!$L$7:$L$3006,0)),IFERROR(INDEX('CARNET DE SOUDURE'!$B$7:$B$3006,MATCH(B1354,'CARNET DE SOUDURE'!$O$7:$O$3006,0)),"")))</f>
        <v/>
      </c>
      <c r="J1354" s="82" t="str">
        <f aca="false">IF(B1354="","",IFERROR(INDEX('CARNET DE SOUDURE'!$E$7:$E$3006,MATCH(B1354,'CARNET DE SOUDURE'!$O$7:$O$3006,0)),""))</f>
        <v/>
      </c>
      <c r="K1354" s="82" t="str">
        <f aca="false">IF(B1354="","",IFERROR(INDEX('CARNET DE SOUDURE'!$E$7:$E$3006,MATCH(B1354,'CARNET DE SOUDURE'!$L$7:$L$3006,0)),""))</f>
        <v/>
      </c>
      <c r="L1354" s="82" t="str">
        <f aca="false">IF(B1354="","",IFERROR(INDEX('CARNET DE SOUDURE'!$D$7:$D$3006,MATCH(B1354,'CARNET DE SOUDURE'!$L$7:$L$3006,0)),IFERROR(INDEX('CARNET DE SOUDURE'!$D$7:$D$3006,MATCH(B1354,'CARNET DE SOUDURE'!$O$7:$O$3006,0)),"")))</f>
        <v/>
      </c>
      <c r="M1354" s="82" t="str">
        <f aca="false">IF(B1354="","",IF(OR(J1354&lt;&gt;"",K1354&lt;&gt;""),"POSÉ EN LIGNE",IF(COUNTIF(BARDAGE!$C$1:$C$5000,B1354)&gt;0,"BARDÉ","EN STOCK")))</f>
        <v/>
      </c>
      <c r="N1354" s="80"/>
    </row>
    <row r="1355" customFormat="false" ht="15" hidden="false" customHeight="false" outlineLevel="0" collapsed="false">
      <c r="A1355" s="82" t="str">
        <f aca="false">IF(B1355="","",ROW()-6)</f>
        <v/>
      </c>
      <c r="B1355" s="145"/>
      <c r="C1355" s="146"/>
      <c r="D1355" s="146"/>
      <c r="E1355" s="82" t="str">
        <f aca="false">IF(B1355="","",IF(COUNTIFS('CARNET DE SOUDURE'!$L$7:$L$3006,B1355,'CARNET DE SOUDURE'!$M$7:$M$3006,"&lt;&gt;"&amp;C1355,'CARNET DE SOUDURE'!$M$7:$M$3006,"&lt;&gt;")+COUNTIFS('CARNET DE SOUDURE'!$O$7:$O$3006,B1355,'CARNET DE SOUDURE'!$P$7:$P$3006,"&lt;&gt;"&amp;C1355,'CARNET DE SOUDURE'!$P$7:$P$3006,"&lt;&gt;")&gt;0,"⚠ DIFFÉRENTE","OK"))</f>
        <v/>
      </c>
      <c r="F1355" s="147"/>
      <c r="G1355" s="80"/>
      <c r="H1355" s="83"/>
      <c r="I1355" s="148" t="str">
        <f aca="false">IF(B1355="","",IFERROR(INDEX('CARNET DE SOUDURE'!$B$7:$B$3006,MATCH(B1355,'CARNET DE SOUDURE'!$L$7:$L$3006,0)),IFERROR(INDEX('CARNET DE SOUDURE'!$B$7:$B$3006,MATCH(B1355,'CARNET DE SOUDURE'!$O$7:$O$3006,0)),"")))</f>
        <v/>
      </c>
      <c r="J1355" s="82" t="str">
        <f aca="false">IF(B1355="","",IFERROR(INDEX('CARNET DE SOUDURE'!$E$7:$E$3006,MATCH(B1355,'CARNET DE SOUDURE'!$O$7:$O$3006,0)),""))</f>
        <v/>
      </c>
      <c r="K1355" s="82" t="str">
        <f aca="false">IF(B1355="","",IFERROR(INDEX('CARNET DE SOUDURE'!$E$7:$E$3006,MATCH(B1355,'CARNET DE SOUDURE'!$L$7:$L$3006,0)),""))</f>
        <v/>
      </c>
      <c r="L1355" s="82" t="str">
        <f aca="false">IF(B1355="","",IFERROR(INDEX('CARNET DE SOUDURE'!$D$7:$D$3006,MATCH(B1355,'CARNET DE SOUDURE'!$L$7:$L$3006,0)),IFERROR(INDEX('CARNET DE SOUDURE'!$D$7:$D$3006,MATCH(B1355,'CARNET DE SOUDURE'!$O$7:$O$3006,0)),"")))</f>
        <v/>
      </c>
      <c r="M1355" s="82" t="str">
        <f aca="false">IF(B1355="","",IF(OR(J1355&lt;&gt;"",K1355&lt;&gt;""),"POSÉ EN LIGNE",IF(COUNTIF(BARDAGE!$C$1:$C$5000,B1355)&gt;0,"BARDÉ","EN STOCK")))</f>
        <v/>
      </c>
      <c r="N1355" s="80"/>
    </row>
    <row r="1356" customFormat="false" ht="15" hidden="false" customHeight="false" outlineLevel="0" collapsed="false">
      <c r="A1356" s="82" t="str">
        <f aca="false">IF(B1356="","",ROW()-6)</f>
        <v/>
      </c>
      <c r="B1356" s="145"/>
      <c r="C1356" s="146"/>
      <c r="D1356" s="146"/>
      <c r="E1356" s="82" t="str">
        <f aca="false">IF(B1356="","",IF(COUNTIFS('CARNET DE SOUDURE'!$L$7:$L$3006,B1356,'CARNET DE SOUDURE'!$M$7:$M$3006,"&lt;&gt;"&amp;C1356,'CARNET DE SOUDURE'!$M$7:$M$3006,"&lt;&gt;")+COUNTIFS('CARNET DE SOUDURE'!$O$7:$O$3006,B1356,'CARNET DE SOUDURE'!$P$7:$P$3006,"&lt;&gt;"&amp;C1356,'CARNET DE SOUDURE'!$P$7:$P$3006,"&lt;&gt;")&gt;0,"⚠ DIFFÉRENTE","OK"))</f>
        <v/>
      </c>
      <c r="F1356" s="147"/>
      <c r="G1356" s="80"/>
      <c r="H1356" s="83"/>
      <c r="I1356" s="148" t="str">
        <f aca="false">IF(B1356="","",IFERROR(INDEX('CARNET DE SOUDURE'!$B$7:$B$3006,MATCH(B1356,'CARNET DE SOUDURE'!$L$7:$L$3006,0)),IFERROR(INDEX('CARNET DE SOUDURE'!$B$7:$B$3006,MATCH(B1356,'CARNET DE SOUDURE'!$O$7:$O$3006,0)),"")))</f>
        <v/>
      </c>
      <c r="J1356" s="82" t="str">
        <f aca="false">IF(B1356="","",IFERROR(INDEX('CARNET DE SOUDURE'!$E$7:$E$3006,MATCH(B1356,'CARNET DE SOUDURE'!$O$7:$O$3006,0)),""))</f>
        <v/>
      </c>
      <c r="K1356" s="82" t="str">
        <f aca="false">IF(B1356="","",IFERROR(INDEX('CARNET DE SOUDURE'!$E$7:$E$3006,MATCH(B1356,'CARNET DE SOUDURE'!$L$7:$L$3006,0)),""))</f>
        <v/>
      </c>
      <c r="L1356" s="82" t="str">
        <f aca="false">IF(B1356="","",IFERROR(INDEX('CARNET DE SOUDURE'!$D$7:$D$3006,MATCH(B1356,'CARNET DE SOUDURE'!$L$7:$L$3006,0)),IFERROR(INDEX('CARNET DE SOUDURE'!$D$7:$D$3006,MATCH(B1356,'CARNET DE SOUDURE'!$O$7:$O$3006,0)),"")))</f>
        <v/>
      </c>
      <c r="M1356" s="82" t="str">
        <f aca="false">IF(B1356="","",IF(OR(J1356&lt;&gt;"",K1356&lt;&gt;""),"POSÉ EN LIGNE",IF(COUNTIF(BARDAGE!$C$1:$C$5000,B1356)&gt;0,"BARDÉ","EN STOCK")))</f>
        <v/>
      </c>
      <c r="N1356" s="80"/>
    </row>
    <row r="1357" customFormat="false" ht="15" hidden="false" customHeight="false" outlineLevel="0" collapsed="false">
      <c r="A1357" s="82" t="str">
        <f aca="false">IF(B1357="","",ROW()-6)</f>
        <v/>
      </c>
      <c r="B1357" s="145"/>
      <c r="C1357" s="146"/>
      <c r="D1357" s="146"/>
      <c r="E1357" s="82" t="str">
        <f aca="false">IF(B1357="","",IF(COUNTIFS('CARNET DE SOUDURE'!$L$7:$L$3006,B1357,'CARNET DE SOUDURE'!$M$7:$M$3006,"&lt;&gt;"&amp;C1357,'CARNET DE SOUDURE'!$M$7:$M$3006,"&lt;&gt;")+COUNTIFS('CARNET DE SOUDURE'!$O$7:$O$3006,B1357,'CARNET DE SOUDURE'!$P$7:$P$3006,"&lt;&gt;"&amp;C1357,'CARNET DE SOUDURE'!$P$7:$P$3006,"&lt;&gt;")&gt;0,"⚠ DIFFÉRENTE","OK"))</f>
        <v/>
      </c>
      <c r="F1357" s="147"/>
      <c r="G1357" s="80"/>
      <c r="H1357" s="83"/>
      <c r="I1357" s="148" t="str">
        <f aca="false">IF(B1357="","",IFERROR(INDEX('CARNET DE SOUDURE'!$B$7:$B$3006,MATCH(B1357,'CARNET DE SOUDURE'!$L$7:$L$3006,0)),IFERROR(INDEX('CARNET DE SOUDURE'!$B$7:$B$3006,MATCH(B1357,'CARNET DE SOUDURE'!$O$7:$O$3006,0)),"")))</f>
        <v/>
      </c>
      <c r="J1357" s="82" t="str">
        <f aca="false">IF(B1357="","",IFERROR(INDEX('CARNET DE SOUDURE'!$E$7:$E$3006,MATCH(B1357,'CARNET DE SOUDURE'!$O$7:$O$3006,0)),""))</f>
        <v/>
      </c>
      <c r="K1357" s="82" t="str">
        <f aca="false">IF(B1357="","",IFERROR(INDEX('CARNET DE SOUDURE'!$E$7:$E$3006,MATCH(B1357,'CARNET DE SOUDURE'!$L$7:$L$3006,0)),""))</f>
        <v/>
      </c>
      <c r="L1357" s="82" t="str">
        <f aca="false">IF(B1357="","",IFERROR(INDEX('CARNET DE SOUDURE'!$D$7:$D$3006,MATCH(B1357,'CARNET DE SOUDURE'!$L$7:$L$3006,0)),IFERROR(INDEX('CARNET DE SOUDURE'!$D$7:$D$3006,MATCH(B1357,'CARNET DE SOUDURE'!$O$7:$O$3006,0)),"")))</f>
        <v/>
      </c>
      <c r="M1357" s="82" t="str">
        <f aca="false">IF(B1357="","",IF(OR(J1357&lt;&gt;"",K1357&lt;&gt;""),"POSÉ EN LIGNE",IF(COUNTIF(BARDAGE!$C$1:$C$5000,B1357)&gt;0,"BARDÉ","EN STOCK")))</f>
        <v/>
      </c>
      <c r="N1357" s="80"/>
    </row>
    <row r="1358" customFormat="false" ht="15" hidden="false" customHeight="false" outlineLevel="0" collapsed="false">
      <c r="A1358" s="82" t="str">
        <f aca="false">IF(B1358="","",ROW()-6)</f>
        <v/>
      </c>
      <c r="B1358" s="145"/>
      <c r="C1358" s="146"/>
      <c r="D1358" s="146"/>
      <c r="E1358" s="82" t="str">
        <f aca="false">IF(B1358="","",IF(COUNTIFS('CARNET DE SOUDURE'!$L$7:$L$3006,B1358,'CARNET DE SOUDURE'!$M$7:$M$3006,"&lt;&gt;"&amp;C1358,'CARNET DE SOUDURE'!$M$7:$M$3006,"&lt;&gt;")+COUNTIFS('CARNET DE SOUDURE'!$O$7:$O$3006,B1358,'CARNET DE SOUDURE'!$P$7:$P$3006,"&lt;&gt;"&amp;C1358,'CARNET DE SOUDURE'!$P$7:$P$3006,"&lt;&gt;")&gt;0,"⚠ DIFFÉRENTE","OK"))</f>
        <v/>
      </c>
      <c r="F1358" s="147"/>
      <c r="G1358" s="80"/>
      <c r="H1358" s="83"/>
      <c r="I1358" s="148" t="str">
        <f aca="false">IF(B1358="","",IFERROR(INDEX('CARNET DE SOUDURE'!$B$7:$B$3006,MATCH(B1358,'CARNET DE SOUDURE'!$L$7:$L$3006,0)),IFERROR(INDEX('CARNET DE SOUDURE'!$B$7:$B$3006,MATCH(B1358,'CARNET DE SOUDURE'!$O$7:$O$3006,0)),"")))</f>
        <v/>
      </c>
      <c r="J1358" s="82" t="str">
        <f aca="false">IF(B1358="","",IFERROR(INDEX('CARNET DE SOUDURE'!$E$7:$E$3006,MATCH(B1358,'CARNET DE SOUDURE'!$O$7:$O$3006,0)),""))</f>
        <v/>
      </c>
      <c r="K1358" s="82" t="str">
        <f aca="false">IF(B1358="","",IFERROR(INDEX('CARNET DE SOUDURE'!$E$7:$E$3006,MATCH(B1358,'CARNET DE SOUDURE'!$L$7:$L$3006,0)),""))</f>
        <v/>
      </c>
      <c r="L1358" s="82" t="str">
        <f aca="false">IF(B1358="","",IFERROR(INDEX('CARNET DE SOUDURE'!$D$7:$D$3006,MATCH(B1358,'CARNET DE SOUDURE'!$L$7:$L$3006,0)),IFERROR(INDEX('CARNET DE SOUDURE'!$D$7:$D$3006,MATCH(B1358,'CARNET DE SOUDURE'!$O$7:$O$3006,0)),"")))</f>
        <v/>
      </c>
      <c r="M1358" s="82" t="str">
        <f aca="false">IF(B1358="","",IF(OR(J1358&lt;&gt;"",K1358&lt;&gt;""),"POSÉ EN LIGNE",IF(COUNTIF(BARDAGE!$C$1:$C$5000,B1358)&gt;0,"BARDÉ","EN STOCK")))</f>
        <v/>
      </c>
      <c r="N1358" s="80"/>
    </row>
    <row r="1359" customFormat="false" ht="15" hidden="false" customHeight="false" outlineLevel="0" collapsed="false">
      <c r="A1359" s="82" t="str">
        <f aca="false">IF(B1359="","",ROW()-6)</f>
        <v/>
      </c>
      <c r="B1359" s="145"/>
      <c r="C1359" s="146"/>
      <c r="D1359" s="146"/>
      <c r="E1359" s="82" t="str">
        <f aca="false">IF(B1359="","",IF(COUNTIFS('CARNET DE SOUDURE'!$L$7:$L$3006,B1359,'CARNET DE SOUDURE'!$M$7:$M$3006,"&lt;&gt;"&amp;C1359,'CARNET DE SOUDURE'!$M$7:$M$3006,"&lt;&gt;")+COUNTIFS('CARNET DE SOUDURE'!$O$7:$O$3006,B1359,'CARNET DE SOUDURE'!$P$7:$P$3006,"&lt;&gt;"&amp;C1359,'CARNET DE SOUDURE'!$P$7:$P$3006,"&lt;&gt;")&gt;0,"⚠ DIFFÉRENTE","OK"))</f>
        <v/>
      </c>
      <c r="F1359" s="147"/>
      <c r="G1359" s="80"/>
      <c r="H1359" s="83"/>
      <c r="I1359" s="148" t="str">
        <f aca="false">IF(B1359="","",IFERROR(INDEX('CARNET DE SOUDURE'!$B$7:$B$3006,MATCH(B1359,'CARNET DE SOUDURE'!$L$7:$L$3006,0)),IFERROR(INDEX('CARNET DE SOUDURE'!$B$7:$B$3006,MATCH(B1359,'CARNET DE SOUDURE'!$O$7:$O$3006,0)),"")))</f>
        <v/>
      </c>
      <c r="J1359" s="82" t="str">
        <f aca="false">IF(B1359="","",IFERROR(INDEX('CARNET DE SOUDURE'!$E$7:$E$3006,MATCH(B1359,'CARNET DE SOUDURE'!$O$7:$O$3006,0)),""))</f>
        <v/>
      </c>
      <c r="K1359" s="82" t="str">
        <f aca="false">IF(B1359="","",IFERROR(INDEX('CARNET DE SOUDURE'!$E$7:$E$3006,MATCH(B1359,'CARNET DE SOUDURE'!$L$7:$L$3006,0)),""))</f>
        <v/>
      </c>
      <c r="L1359" s="82" t="str">
        <f aca="false">IF(B1359="","",IFERROR(INDEX('CARNET DE SOUDURE'!$D$7:$D$3006,MATCH(B1359,'CARNET DE SOUDURE'!$L$7:$L$3006,0)),IFERROR(INDEX('CARNET DE SOUDURE'!$D$7:$D$3006,MATCH(B1359,'CARNET DE SOUDURE'!$O$7:$O$3006,0)),"")))</f>
        <v/>
      </c>
      <c r="M1359" s="82" t="str">
        <f aca="false">IF(B1359="","",IF(OR(J1359&lt;&gt;"",K1359&lt;&gt;""),"POSÉ EN LIGNE",IF(COUNTIF(BARDAGE!$C$1:$C$5000,B1359)&gt;0,"BARDÉ","EN STOCK")))</f>
        <v/>
      </c>
      <c r="N1359" s="80"/>
    </row>
    <row r="1360" customFormat="false" ht="15" hidden="false" customHeight="false" outlineLevel="0" collapsed="false">
      <c r="A1360" s="82" t="str">
        <f aca="false">IF(B1360="","",ROW()-6)</f>
        <v/>
      </c>
      <c r="B1360" s="145"/>
      <c r="C1360" s="146"/>
      <c r="D1360" s="146"/>
      <c r="E1360" s="82" t="str">
        <f aca="false">IF(B1360="","",IF(COUNTIFS('CARNET DE SOUDURE'!$L$7:$L$3006,B1360,'CARNET DE SOUDURE'!$M$7:$M$3006,"&lt;&gt;"&amp;C1360,'CARNET DE SOUDURE'!$M$7:$M$3006,"&lt;&gt;")+COUNTIFS('CARNET DE SOUDURE'!$O$7:$O$3006,B1360,'CARNET DE SOUDURE'!$P$7:$P$3006,"&lt;&gt;"&amp;C1360,'CARNET DE SOUDURE'!$P$7:$P$3006,"&lt;&gt;")&gt;0,"⚠ DIFFÉRENTE","OK"))</f>
        <v/>
      </c>
      <c r="F1360" s="147"/>
      <c r="G1360" s="80"/>
      <c r="H1360" s="83"/>
      <c r="I1360" s="148" t="str">
        <f aca="false">IF(B1360="","",IFERROR(INDEX('CARNET DE SOUDURE'!$B$7:$B$3006,MATCH(B1360,'CARNET DE SOUDURE'!$L$7:$L$3006,0)),IFERROR(INDEX('CARNET DE SOUDURE'!$B$7:$B$3006,MATCH(B1360,'CARNET DE SOUDURE'!$O$7:$O$3006,0)),"")))</f>
        <v/>
      </c>
      <c r="J1360" s="82" t="str">
        <f aca="false">IF(B1360="","",IFERROR(INDEX('CARNET DE SOUDURE'!$E$7:$E$3006,MATCH(B1360,'CARNET DE SOUDURE'!$O$7:$O$3006,0)),""))</f>
        <v/>
      </c>
      <c r="K1360" s="82" t="str">
        <f aca="false">IF(B1360="","",IFERROR(INDEX('CARNET DE SOUDURE'!$E$7:$E$3006,MATCH(B1360,'CARNET DE SOUDURE'!$L$7:$L$3006,0)),""))</f>
        <v/>
      </c>
      <c r="L1360" s="82" t="str">
        <f aca="false">IF(B1360="","",IFERROR(INDEX('CARNET DE SOUDURE'!$D$7:$D$3006,MATCH(B1360,'CARNET DE SOUDURE'!$L$7:$L$3006,0)),IFERROR(INDEX('CARNET DE SOUDURE'!$D$7:$D$3006,MATCH(B1360,'CARNET DE SOUDURE'!$O$7:$O$3006,0)),"")))</f>
        <v/>
      </c>
      <c r="M1360" s="82" t="str">
        <f aca="false">IF(B1360="","",IF(OR(J1360&lt;&gt;"",K1360&lt;&gt;""),"POSÉ EN LIGNE",IF(COUNTIF(BARDAGE!$C$1:$C$5000,B1360)&gt;0,"BARDÉ","EN STOCK")))</f>
        <v/>
      </c>
      <c r="N1360" s="80"/>
    </row>
    <row r="1361" customFormat="false" ht="15" hidden="false" customHeight="false" outlineLevel="0" collapsed="false">
      <c r="A1361" s="82" t="str">
        <f aca="false">IF(B1361="","",ROW()-6)</f>
        <v/>
      </c>
      <c r="B1361" s="145"/>
      <c r="C1361" s="146"/>
      <c r="D1361" s="146"/>
      <c r="E1361" s="82" t="str">
        <f aca="false">IF(B1361="","",IF(COUNTIFS('CARNET DE SOUDURE'!$L$7:$L$3006,B1361,'CARNET DE SOUDURE'!$M$7:$M$3006,"&lt;&gt;"&amp;C1361,'CARNET DE SOUDURE'!$M$7:$M$3006,"&lt;&gt;")+COUNTIFS('CARNET DE SOUDURE'!$O$7:$O$3006,B1361,'CARNET DE SOUDURE'!$P$7:$P$3006,"&lt;&gt;"&amp;C1361,'CARNET DE SOUDURE'!$P$7:$P$3006,"&lt;&gt;")&gt;0,"⚠ DIFFÉRENTE","OK"))</f>
        <v/>
      </c>
      <c r="F1361" s="147"/>
      <c r="G1361" s="80"/>
      <c r="H1361" s="83"/>
      <c r="I1361" s="148" t="str">
        <f aca="false">IF(B1361="","",IFERROR(INDEX('CARNET DE SOUDURE'!$B$7:$B$3006,MATCH(B1361,'CARNET DE SOUDURE'!$L$7:$L$3006,0)),IFERROR(INDEX('CARNET DE SOUDURE'!$B$7:$B$3006,MATCH(B1361,'CARNET DE SOUDURE'!$O$7:$O$3006,0)),"")))</f>
        <v/>
      </c>
      <c r="J1361" s="82" t="str">
        <f aca="false">IF(B1361="","",IFERROR(INDEX('CARNET DE SOUDURE'!$E$7:$E$3006,MATCH(B1361,'CARNET DE SOUDURE'!$O$7:$O$3006,0)),""))</f>
        <v/>
      </c>
      <c r="K1361" s="82" t="str">
        <f aca="false">IF(B1361="","",IFERROR(INDEX('CARNET DE SOUDURE'!$E$7:$E$3006,MATCH(B1361,'CARNET DE SOUDURE'!$L$7:$L$3006,0)),""))</f>
        <v/>
      </c>
      <c r="L1361" s="82" t="str">
        <f aca="false">IF(B1361="","",IFERROR(INDEX('CARNET DE SOUDURE'!$D$7:$D$3006,MATCH(B1361,'CARNET DE SOUDURE'!$L$7:$L$3006,0)),IFERROR(INDEX('CARNET DE SOUDURE'!$D$7:$D$3006,MATCH(B1361,'CARNET DE SOUDURE'!$O$7:$O$3006,0)),"")))</f>
        <v/>
      </c>
      <c r="M1361" s="82" t="str">
        <f aca="false">IF(B1361="","",IF(OR(J1361&lt;&gt;"",K1361&lt;&gt;""),"POSÉ EN LIGNE",IF(COUNTIF(BARDAGE!$C$1:$C$5000,B1361)&gt;0,"BARDÉ","EN STOCK")))</f>
        <v/>
      </c>
      <c r="N1361" s="80"/>
    </row>
    <row r="1362" customFormat="false" ht="15" hidden="false" customHeight="false" outlineLevel="0" collapsed="false">
      <c r="A1362" s="82" t="str">
        <f aca="false">IF(B1362="","",ROW()-6)</f>
        <v/>
      </c>
      <c r="B1362" s="145"/>
      <c r="C1362" s="146"/>
      <c r="D1362" s="146"/>
      <c r="E1362" s="82" t="str">
        <f aca="false">IF(B1362="","",IF(COUNTIFS('CARNET DE SOUDURE'!$L$7:$L$3006,B1362,'CARNET DE SOUDURE'!$M$7:$M$3006,"&lt;&gt;"&amp;C1362,'CARNET DE SOUDURE'!$M$7:$M$3006,"&lt;&gt;")+COUNTIFS('CARNET DE SOUDURE'!$O$7:$O$3006,B1362,'CARNET DE SOUDURE'!$P$7:$P$3006,"&lt;&gt;"&amp;C1362,'CARNET DE SOUDURE'!$P$7:$P$3006,"&lt;&gt;")&gt;0,"⚠ DIFFÉRENTE","OK"))</f>
        <v/>
      </c>
      <c r="F1362" s="147"/>
      <c r="G1362" s="80"/>
      <c r="H1362" s="83"/>
      <c r="I1362" s="148" t="str">
        <f aca="false">IF(B1362="","",IFERROR(INDEX('CARNET DE SOUDURE'!$B$7:$B$3006,MATCH(B1362,'CARNET DE SOUDURE'!$L$7:$L$3006,0)),IFERROR(INDEX('CARNET DE SOUDURE'!$B$7:$B$3006,MATCH(B1362,'CARNET DE SOUDURE'!$O$7:$O$3006,0)),"")))</f>
        <v/>
      </c>
      <c r="J1362" s="82" t="str">
        <f aca="false">IF(B1362="","",IFERROR(INDEX('CARNET DE SOUDURE'!$E$7:$E$3006,MATCH(B1362,'CARNET DE SOUDURE'!$O$7:$O$3006,0)),""))</f>
        <v/>
      </c>
      <c r="K1362" s="82" t="str">
        <f aca="false">IF(B1362="","",IFERROR(INDEX('CARNET DE SOUDURE'!$E$7:$E$3006,MATCH(B1362,'CARNET DE SOUDURE'!$L$7:$L$3006,0)),""))</f>
        <v/>
      </c>
      <c r="L1362" s="82" t="str">
        <f aca="false">IF(B1362="","",IFERROR(INDEX('CARNET DE SOUDURE'!$D$7:$D$3006,MATCH(B1362,'CARNET DE SOUDURE'!$L$7:$L$3006,0)),IFERROR(INDEX('CARNET DE SOUDURE'!$D$7:$D$3006,MATCH(B1362,'CARNET DE SOUDURE'!$O$7:$O$3006,0)),"")))</f>
        <v/>
      </c>
      <c r="M1362" s="82" t="str">
        <f aca="false">IF(B1362="","",IF(OR(J1362&lt;&gt;"",K1362&lt;&gt;""),"POSÉ EN LIGNE",IF(COUNTIF(BARDAGE!$C$1:$C$5000,B1362)&gt;0,"BARDÉ","EN STOCK")))</f>
        <v/>
      </c>
      <c r="N1362" s="80"/>
    </row>
    <row r="1363" customFormat="false" ht="15" hidden="false" customHeight="false" outlineLevel="0" collapsed="false">
      <c r="A1363" s="82" t="str">
        <f aca="false">IF(B1363="","",ROW()-6)</f>
        <v/>
      </c>
      <c r="B1363" s="145"/>
      <c r="C1363" s="146"/>
      <c r="D1363" s="146"/>
      <c r="E1363" s="82" t="str">
        <f aca="false">IF(B1363="","",IF(COUNTIFS('CARNET DE SOUDURE'!$L$7:$L$3006,B1363,'CARNET DE SOUDURE'!$M$7:$M$3006,"&lt;&gt;"&amp;C1363,'CARNET DE SOUDURE'!$M$7:$M$3006,"&lt;&gt;")+COUNTIFS('CARNET DE SOUDURE'!$O$7:$O$3006,B1363,'CARNET DE SOUDURE'!$P$7:$P$3006,"&lt;&gt;"&amp;C1363,'CARNET DE SOUDURE'!$P$7:$P$3006,"&lt;&gt;")&gt;0,"⚠ DIFFÉRENTE","OK"))</f>
        <v/>
      </c>
      <c r="F1363" s="147"/>
      <c r="G1363" s="80"/>
      <c r="H1363" s="83"/>
      <c r="I1363" s="148" t="str">
        <f aca="false">IF(B1363="","",IFERROR(INDEX('CARNET DE SOUDURE'!$B$7:$B$3006,MATCH(B1363,'CARNET DE SOUDURE'!$L$7:$L$3006,0)),IFERROR(INDEX('CARNET DE SOUDURE'!$B$7:$B$3006,MATCH(B1363,'CARNET DE SOUDURE'!$O$7:$O$3006,0)),"")))</f>
        <v/>
      </c>
      <c r="J1363" s="82" t="str">
        <f aca="false">IF(B1363="","",IFERROR(INDEX('CARNET DE SOUDURE'!$E$7:$E$3006,MATCH(B1363,'CARNET DE SOUDURE'!$O$7:$O$3006,0)),""))</f>
        <v/>
      </c>
      <c r="K1363" s="82" t="str">
        <f aca="false">IF(B1363="","",IFERROR(INDEX('CARNET DE SOUDURE'!$E$7:$E$3006,MATCH(B1363,'CARNET DE SOUDURE'!$L$7:$L$3006,0)),""))</f>
        <v/>
      </c>
      <c r="L1363" s="82" t="str">
        <f aca="false">IF(B1363="","",IFERROR(INDEX('CARNET DE SOUDURE'!$D$7:$D$3006,MATCH(B1363,'CARNET DE SOUDURE'!$L$7:$L$3006,0)),IFERROR(INDEX('CARNET DE SOUDURE'!$D$7:$D$3006,MATCH(B1363,'CARNET DE SOUDURE'!$O$7:$O$3006,0)),"")))</f>
        <v/>
      </c>
      <c r="M1363" s="82" t="str">
        <f aca="false">IF(B1363="","",IF(OR(J1363&lt;&gt;"",K1363&lt;&gt;""),"POSÉ EN LIGNE",IF(COUNTIF(BARDAGE!$C$1:$C$5000,B1363)&gt;0,"BARDÉ","EN STOCK")))</f>
        <v/>
      </c>
      <c r="N1363" s="80"/>
    </row>
    <row r="1364" customFormat="false" ht="15" hidden="false" customHeight="false" outlineLevel="0" collapsed="false">
      <c r="A1364" s="82" t="str">
        <f aca="false">IF(B1364="","",ROW()-6)</f>
        <v/>
      </c>
      <c r="B1364" s="145"/>
      <c r="C1364" s="146"/>
      <c r="D1364" s="146"/>
      <c r="E1364" s="82" t="str">
        <f aca="false">IF(B1364="","",IF(COUNTIFS('CARNET DE SOUDURE'!$L$7:$L$3006,B1364,'CARNET DE SOUDURE'!$M$7:$M$3006,"&lt;&gt;"&amp;C1364,'CARNET DE SOUDURE'!$M$7:$M$3006,"&lt;&gt;")+COUNTIFS('CARNET DE SOUDURE'!$O$7:$O$3006,B1364,'CARNET DE SOUDURE'!$P$7:$P$3006,"&lt;&gt;"&amp;C1364,'CARNET DE SOUDURE'!$P$7:$P$3006,"&lt;&gt;")&gt;0,"⚠ DIFFÉRENTE","OK"))</f>
        <v/>
      </c>
      <c r="F1364" s="147"/>
      <c r="G1364" s="80"/>
      <c r="H1364" s="83"/>
      <c r="I1364" s="148" t="str">
        <f aca="false">IF(B1364="","",IFERROR(INDEX('CARNET DE SOUDURE'!$B$7:$B$3006,MATCH(B1364,'CARNET DE SOUDURE'!$L$7:$L$3006,0)),IFERROR(INDEX('CARNET DE SOUDURE'!$B$7:$B$3006,MATCH(B1364,'CARNET DE SOUDURE'!$O$7:$O$3006,0)),"")))</f>
        <v/>
      </c>
      <c r="J1364" s="82" t="str">
        <f aca="false">IF(B1364="","",IFERROR(INDEX('CARNET DE SOUDURE'!$E$7:$E$3006,MATCH(B1364,'CARNET DE SOUDURE'!$O$7:$O$3006,0)),""))</f>
        <v/>
      </c>
      <c r="K1364" s="82" t="str">
        <f aca="false">IF(B1364="","",IFERROR(INDEX('CARNET DE SOUDURE'!$E$7:$E$3006,MATCH(B1364,'CARNET DE SOUDURE'!$L$7:$L$3006,0)),""))</f>
        <v/>
      </c>
      <c r="L1364" s="82" t="str">
        <f aca="false">IF(B1364="","",IFERROR(INDEX('CARNET DE SOUDURE'!$D$7:$D$3006,MATCH(B1364,'CARNET DE SOUDURE'!$L$7:$L$3006,0)),IFERROR(INDEX('CARNET DE SOUDURE'!$D$7:$D$3006,MATCH(B1364,'CARNET DE SOUDURE'!$O$7:$O$3006,0)),"")))</f>
        <v/>
      </c>
      <c r="M1364" s="82" t="str">
        <f aca="false">IF(B1364="","",IF(OR(J1364&lt;&gt;"",K1364&lt;&gt;""),"POSÉ EN LIGNE",IF(COUNTIF(BARDAGE!$C$1:$C$5000,B1364)&gt;0,"BARDÉ","EN STOCK")))</f>
        <v/>
      </c>
      <c r="N1364" s="80"/>
    </row>
    <row r="1365" customFormat="false" ht="15" hidden="false" customHeight="false" outlineLevel="0" collapsed="false">
      <c r="A1365" s="82" t="str">
        <f aca="false">IF(B1365="","",ROW()-6)</f>
        <v/>
      </c>
      <c r="B1365" s="145"/>
      <c r="C1365" s="146"/>
      <c r="D1365" s="146"/>
      <c r="E1365" s="82" t="str">
        <f aca="false">IF(B1365="","",IF(COUNTIFS('CARNET DE SOUDURE'!$L$7:$L$3006,B1365,'CARNET DE SOUDURE'!$M$7:$M$3006,"&lt;&gt;"&amp;C1365,'CARNET DE SOUDURE'!$M$7:$M$3006,"&lt;&gt;")+COUNTIFS('CARNET DE SOUDURE'!$O$7:$O$3006,B1365,'CARNET DE SOUDURE'!$P$7:$P$3006,"&lt;&gt;"&amp;C1365,'CARNET DE SOUDURE'!$P$7:$P$3006,"&lt;&gt;")&gt;0,"⚠ DIFFÉRENTE","OK"))</f>
        <v/>
      </c>
      <c r="F1365" s="147"/>
      <c r="G1365" s="80"/>
      <c r="H1365" s="83"/>
      <c r="I1365" s="148" t="str">
        <f aca="false">IF(B1365="","",IFERROR(INDEX('CARNET DE SOUDURE'!$B$7:$B$3006,MATCH(B1365,'CARNET DE SOUDURE'!$L$7:$L$3006,0)),IFERROR(INDEX('CARNET DE SOUDURE'!$B$7:$B$3006,MATCH(B1365,'CARNET DE SOUDURE'!$O$7:$O$3006,0)),"")))</f>
        <v/>
      </c>
      <c r="J1365" s="82" t="str">
        <f aca="false">IF(B1365="","",IFERROR(INDEX('CARNET DE SOUDURE'!$E$7:$E$3006,MATCH(B1365,'CARNET DE SOUDURE'!$O$7:$O$3006,0)),""))</f>
        <v/>
      </c>
      <c r="K1365" s="82" t="str">
        <f aca="false">IF(B1365="","",IFERROR(INDEX('CARNET DE SOUDURE'!$E$7:$E$3006,MATCH(B1365,'CARNET DE SOUDURE'!$L$7:$L$3006,0)),""))</f>
        <v/>
      </c>
      <c r="L1365" s="82" t="str">
        <f aca="false">IF(B1365="","",IFERROR(INDEX('CARNET DE SOUDURE'!$D$7:$D$3006,MATCH(B1365,'CARNET DE SOUDURE'!$L$7:$L$3006,0)),IFERROR(INDEX('CARNET DE SOUDURE'!$D$7:$D$3006,MATCH(B1365,'CARNET DE SOUDURE'!$O$7:$O$3006,0)),"")))</f>
        <v/>
      </c>
      <c r="M1365" s="82" t="str">
        <f aca="false">IF(B1365="","",IF(OR(J1365&lt;&gt;"",K1365&lt;&gt;""),"POSÉ EN LIGNE",IF(COUNTIF(BARDAGE!$C$1:$C$5000,B1365)&gt;0,"BARDÉ","EN STOCK")))</f>
        <v/>
      </c>
      <c r="N1365" s="80"/>
    </row>
    <row r="1366" customFormat="false" ht="15" hidden="false" customHeight="false" outlineLevel="0" collapsed="false">
      <c r="A1366" s="82" t="str">
        <f aca="false">IF(B1366="","",ROW()-6)</f>
        <v/>
      </c>
      <c r="B1366" s="145"/>
      <c r="C1366" s="146"/>
      <c r="D1366" s="146"/>
      <c r="E1366" s="82" t="str">
        <f aca="false">IF(B1366="","",IF(COUNTIFS('CARNET DE SOUDURE'!$L$7:$L$3006,B1366,'CARNET DE SOUDURE'!$M$7:$M$3006,"&lt;&gt;"&amp;C1366,'CARNET DE SOUDURE'!$M$7:$M$3006,"&lt;&gt;")+COUNTIFS('CARNET DE SOUDURE'!$O$7:$O$3006,B1366,'CARNET DE SOUDURE'!$P$7:$P$3006,"&lt;&gt;"&amp;C1366,'CARNET DE SOUDURE'!$P$7:$P$3006,"&lt;&gt;")&gt;0,"⚠ DIFFÉRENTE","OK"))</f>
        <v/>
      </c>
      <c r="F1366" s="147"/>
      <c r="G1366" s="80"/>
      <c r="H1366" s="83"/>
      <c r="I1366" s="148" t="str">
        <f aca="false">IF(B1366="","",IFERROR(INDEX('CARNET DE SOUDURE'!$B$7:$B$3006,MATCH(B1366,'CARNET DE SOUDURE'!$L$7:$L$3006,0)),IFERROR(INDEX('CARNET DE SOUDURE'!$B$7:$B$3006,MATCH(B1366,'CARNET DE SOUDURE'!$O$7:$O$3006,0)),"")))</f>
        <v/>
      </c>
      <c r="J1366" s="82" t="str">
        <f aca="false">IF(B1366="","",IFERROR(INDEX('CARNET DE SOUDURE'!$E$7:$E$3006,MATCH(B1366,'CARNET DE SOUDURE'!$O$7:$O$3006,0)),""))</f>
        <v/>
      </c>
      <c r="K1366" s="82" t="str">
        <f aca="false">IF(B1366="","",IFERROR(INDEX('CARNET DE SOUDURE'!$E$7:$E$3006,MATCH(B1366,'CARNET DE SOUDURE'!$L$7:$L$3006,0)),""))</f>
        <v/>
      </c>
      <c r="L1366" s="82" t="str">
        <f aca="false">IF(B1366="","",IFERROR(INDEX('CARNET DE SOUDURE'!$D$7:$D$3006,MATCH(B1366,'CARNET DE SOUDURE'!$L$7:$L$3006,0)),IFERROR(INDEX('CARNET DE SOUDURE'!$D$7:$D$3006,MATCH(B1366,'CARNET DE SOUDURE'!$O$7:$O$3006,0)),"")))</f>
        <v/>
      </c>
      <c r="M1366" s="82" t="str">
        <f aca="false">IF(B1366="","",IF(OR(J1366&lt;&gt;"",K1366&lt;&gt;""),"POSÉ EN LIGNE",IF(COUNTIF(BARDAGE!$C$1:$C$5000,B1366)&gt;0,"BARDÉ","EN STOCK")))</f>
        <v/>
      </c>
      <c r="N1366" s="80"/>
    </row>
    <row r="1367" customFormat="false" ht="15" hidden="false" customHeight="false" outlineLevel="0" collapsed="false">
      <c r="A1367" s="82" t="str">
        <f aca="false">IF(B1367="","",ROW()-6)</f>
        <v/>
      </c>
      <c r="B1367" s="145"/>
      <c r="C1367" s="146"/>
      <c r="D1367" s="146"/>
      <c r="E1367" s="82" t="str">
        <f aca="false">IF(B1367="","",IF(COUNTIFS('CARNET DE SOUDURE'!$L$7:$L$3006,B1367,'CARNET DE SOUDURE'!$M$7:$M$3006,"&lt;&gt;"&amp;C1367,'CARNET DE SOUDURE'!$M$7:$M$3006,"&lt;&gt;")+COUNTIFS('CARNET DE SOUDURE'!$O$7:$O$3006,B1367,'CARNET DE SOUDURE'!$P$7:$P$3006,"&lt;&gt;"&amp;C1367,'CARNET DE SOUDURE'!$P$7:$P$3006,"&lt;&gt;")&gt;0,"⚠ DIFFÉRENTE","OK"))</f>
        <v/>
      </c>
      <c r="F1367" s="147"/>
      <c r="G1367" s="80"/>
      <c r="H1367" s="83"/>
      <c r="I1367" s="148" t="str">
        <f aca="false">IF(B1367="","",IFERROR(INDEX('CARNET DE SOUDURE'!$B$7:$B$3006,MATCH(B1367,'CARNET DE SOUDURE'!$L$7:$L$3006,0)),IFERROR(INDEX('CARNET DE SOUDURE'!$B$7:$B$3006,MATCH(B1367,'CARNET DE SOUDURE'!$O$7:$O$3006,0)),"")))</f>
        <v/>
      </c>
      <c r="J1367" s="82" t="str">
        <f aca="false">IF(B1367="","",IFERROR(INDEX('CARNET DE SOUDURE'!$E$7:$E$3006,MATCH(B1367,'CARNET DE SOUDURE'!$O$7:$O$3006,0)),""))</f>
        <v/>
      </c>
      <c r="K1367" s="82" t="str">
        <f aca="false">IF(B1367="","",IFERROR(INDEX('CARNET DE SOUDURE'!$E$7:$E$3006,MATCH(B1367,'CARNET DE SOUDURE'!$L$7:$L$3006,0)),""))</f>
        <v/>
      </c>
      <c r="L1367" s="82" t="str">
        <f aca="false">IF(B1367="","",IFERROR(INDEX('CARNET DE SOUDURE'!$D$7:$D$3006,MATCH(B1367,'CARNET DE SOUDURE'!$L$7:$L$3006,0)),IFERROR(INDEX('CARNET DE SOUDURE'!$D$7:$D$3006,MATCH(B1367,'CARNET DE SOUDURE'!$O$7:$O$3006,0)),"")))</f>
        <v/>
      </c>
      <c r="M1367" s="82" t="str">
        <f aca="false">IF(B1367="","",IF(OR(J1367&lt;&gt;"",K1367&lt;&gt;""),"POSÉ EN LIGNE",IF(COUNTIF(BARDAGE!$C$1:$C$5000,B1367)&gt;0,"BARDÉ","EN STOCK")))</f>
        <v/>
      </c>
      <c r="N1367" s="80"/>
    </row>
    <row r="1368" customFormat="false" ht="15" hidden="false" customHeight="false" outlineLevel="0" collapsed="false">
      <c r="A1368" s="82" t="str">
        <f aca="false">IF(B1368="","",ROW()-6)</f>
        <v/>
      </c>
      <c r="B1368" s="145"/>
      <c r="C1368" s="146"/>
      <c r="D1368" s="146"/>
      <c r="E1368" s="82" t="str">
        <f aca="false">IF(B1368="","",IF(COUNTIFS('CARNET DE SOUDURE'!$L$7:$L$3006,B1368,'CARNET DE SOUDURE'!$M$7:$M$3006,"&lt;&gt;"&amp;C1368,'CARNET DE SOUDURE'!$M$7:$M$3006,"&lt;&gt;")+COUNTIFS('CARNET DE SOUDURE'!$O$7:$O$3006,B1368,'CARNET DE SOUDURE'!$P$7:$P$3006,"&lt;&gt;"&amp;C1368,'CARNET DE SOUDURE'!$P$7:$P$3006,"&lt;&gt;")&gt;0,"⚠ DIFFÉRENTE","OK"))</f>
        <v/>
      </c>
      <c r="F1368" s="147"/>
      <c r="G1368" s="80"/>
      <c r="H1368" s="83"/>
      <c r="I1368" s="148" t="str">
        <f aca="false">IF(B1368="","",IFERROR(INDEX('CARNET DE SOUDURE'!$B$7:$B$3006,MATCH(B1368,'CARNET DE SOUDURE'!$L$7:$L$3006,0)),IFERROR(INDEX('CARNET DE SOUDURE'!$B$7:$B$3006,MATCH(B1368,'CARNET DE SOUDURE'!$O$7:$O$3006,0)),"")))</f>
        <v/>
      </c>
      <c r="J1368" s="82" t="str">
        <f aca="false">IF(B1368="","",IFERROR(INDEX('CARNET DE SOUDURE'!$E$7:$E$3006,MATCH(B1368,'CARNET DE SOUDURE'!$O$7:$O$3006,0)),""))</f>
        <v/>
      </c>
      <c r="K1368" s="82" t="str">
        <f aca="false">IF(B1368="","",IFERROR(INDEX('CARNET DE SOUDURE'!$E$7:$E$3006,MATCH(B1368,'CARNET DE SOUDURE'!$L$7:$L$3006,0)),""))</f>
        <v/>
      </c>
      <c r="L1368" s="82" t="str">
        <f aca="false">IF(B1368="","",IFERROR(INDEX('CARNET DE SOUDURE'!$D$7:$D$3006,MATCH(B1368,'CARNET DE SOUDURE'!$L$7:$L$3006,0)),IFERROR(INDEX('CARNET DE SOUDURE'!$D$7:$D$3006,MATCH(B1368,'CARNET DE SOUDURE'!$O$7:$O$3006,0)),"")))</f>
        <v/>
      </c>
      <c r="M1368" s="82" t="str">
        <f aca="false">IF(B1368="","",IF(OR(J1368&lt;&gt;"",K1368&lt;&gt;""),"POSÉ EN LIGNE",IF(COUNTIF(BARDAGE!$C$1:$C$5000,B1368)&gt;0,"BARDÉ","EN STOCK")))</f>
        <v/>
      </c>
      <c r="N1368" s="80"/>
    </row>
    <row r="1369" customFormat="false" ht="15" hidden="false" customHeight="false" outlineLevel="0" collapsed="false">
      <c r="A1369" s="82" t="str">
        <f aca="false">IF(B1369="","",ROW()-6)</f>
        <v/>
      </c>
      <c r="B1369" s="145"/>
      <c r="C1369" s="146"/>
      <c r="D1369" s="146"/>
      <c r="E1369" s="82" t="str">
        <f aca="false">IF(B1369="","",IF(COUNTIFS('CARNET DE SOUDURE'!$L$7:$L$3006,B1369,'CARNET DE SOUDURE'!$M$7:$M$3006,"&lt;&gt;"&amp;C1369,'CARNET DE SOUDURE'!$M$7:$M$3006,"&lt;&gt;")+COUNTIFS('CARNET DE SOUDURE'!$O$7:$O$3006,B1369,'CARNET DE SOUDURE'!$P$7:$P$3006,"&lt;&gt;"&amp;C1369,'CARNET DE SOUDURE'!$P$7:$P$3006,"&lt;&gt;")&gt;0,"⚠ DIFFÉRENTE","OK"))</f>
        <v/>
      </c>
      <c r="F1369" s="147"/>
      <c r="G1369" s="80"/>
      <c r="H1369" s="83"/>
      <c r="I1369" s="148" t="str">
        <f aca="false">IF(B1369="","",IFERROR(INDEX('CARNET DE SOUDURE'!$B$7:$B$3006,MATCH(B1369,'CARNET DE SOUDURE'!$L$7:$L$3006,0)),IFERROR(INDEX('CARNET DE SOUDURE'!$B$7:$B$3006,MATCH(B1369,'CARNET DE SOUDURE'!$O$7:$O$3006,0)),"")))</f>
        <v/>
      </c>
      <c r="J1369" s="82" t="str">
        <f aca="false">IF(B1369="","",IFERROR(INDEX('CARNET DE SOUDURE'!$E$7:$E$3006,MATCH(B1369,'CARNET DE SOUDURE'!$O$7:$O$3006,0)),""))</f>
        <v/>
      </c>
      <c r="K1369" s="82" t="str">
        <f aca="false">IF(B1369="","",IFERROR(INDEX('CARNET DE SOUDURE'!$E$7:$E$3006,MATCH(B1369,'CARNET DE SOUDURE'!$L$7:$L$3006,0)),""))</f>
        <v/>
      </c>
      <c r="L1369" s="82" t="str">
        <f aca="false">IF(B1369="","",IFERROR(INDEX('CARNET DE SOUDURE'!$D$7:$D$3006,MATCH(B1369,'CARNET DE SOUDURE'!$L$7:$L$3006,0)),IFERROR(INDEX('CARNET DE SOUDURE'!$D$7:$D$3006,MATCH(B1369,'CARNET DE SOUDURE'!$O$7:$O$3006,0)),"")))</f>
        <v/>
      </c>
      <c r="M1369" s="82" t="str">
        <f aca="false">IF(B1369="","",IF(OR(J1369&lt;&gt;"",K1369&lt;&gt;""),"POSÉ EN LIGNE",IF(COUNTIF(BARDAGE!$C$1:$C$5000,B1369)&gt;0,"BARDÉ","EN STOCK")))</f>
        <v/>
      </c>
      <c r="N1369" s="80"/>
    </row>
    <row r="1370" customFormat="false" ht="15" hidden="false" customHeight="false" outlineLevel="0" collapsed="false">
      <c r="A1370" s="82" t="str">
        <f aca="false">IF(B1370="","",ROW()-6)</f>
        <v/>
      </c>
      <c r="B1370" s="145"/>
      <c r="C1370" s="146"/>
      <c r="D1370" s="146"/>
      <c r="E1370" s="82" t="str">
        <f aca="false">IF(B1370="","",IF(COUNTIFS('CARNET DE SOUDURE'!$L$7:$L$3006,B1370,'CARNET DE SOUDURE'!$M$7:$M$3006,"&lt;&gt;"&amp;C1370,'CARNET DE SOUDURE'!$M$7:$M$3006,"&lt;&gt;")+COUNTIFS('CARNET DE SOUDURE'!$O$7:$O$3006,B1370,'CARNET DE SOUDURE'!$P$7:$P$3006,"&lt;&gt;"&amp;C1370,'CARNET DE SOUDURE'!$P$7:$P$3006,"&lt;&gt;")&gt;0,"⚠ DIFFÉRENTE","OK"))</f>
        <v/>
      </c>
      <c r="F1370" s="147"/>
      <c r="G1370" s="80"/>
      <c r="H1370" s="83"/>
      <c r="I1370" s="148" t="str">
        <f aca="false">IF(B1370="","",IFERROR(INDEX('CARNET DE SOUDURE'!$B$7:$B$3006,MATCH(B1370,'CARNET DE SOUDURE'!$L$7:$L$3006,0)),IFERROR(INDEX('CARNET DE SOUDURE'!$B$7:$B$3006,MATCH(B1370,'CARNET DE SOUDURE'!$O$7:$O$3006,0)),"")))</f>
        <v/>
      </c>
      <c r="J1370" s="82" t="str">
        <f aca="false">IF(B1370="","",IFERROR(INDEX('CARNET DE SOUDURE'!$E$7:$E$3006,MATCH(B1370,'CARNET DE SOUDURE'!$O$7:$O$3006,0)),""))</f>
        <v/>
      </c>
      <c r="K1370" s="82" t="str">
        <f aca="false">IF(B1370="","",IFERROR(INDEX('CARNET DE SOUDURE'!$E$7:$E$3006,MATCH(B1370,'CARNET DE SOUDURE'!$L$7:$L$3006,0)),""))</f>
        <v/>
      </c>
      <c r="L1370" s="82" t="str">
        <f aca="false">IF(B1370="","",IFERROR(INDEX('CARNET DE SOUDURE'!$D$7:$D$3006,MATCH(B1370,'CARNET DE SOUDURE'!$L$7:$L$3006,0)),IFERROR(INDEX('CARNET DE SOUDURE'!$D$7:$D$3006,MATCH(B1370,'CARNET DE SOUDURE'!$O$7:$O$3006,0)),"")))</f>
        <v/>
      </c>
      <c r="M1370" s="82" t="str">
        <f aca="false">IF(B1370="","",IF(OR(J1370&lt;&gt;"",K1370&lt;&gt;""),"POSÉ EN LIGNE",IF(COUNTIF(BARDAGE!$C$1:$C$5000,B1370)&gt;0,"BARDÉ","EN STOCK")))</f>
        <v/>
      </c>
      <c r="N1370" s="80"/>
    </row>
    <row r="1371" customFormat="false" ht="15" hidden="false" customHeight="false" outlineLevel="0" collapsed="false">
      <c r="A1371" s="82" t="str">
        <f aca="false">IF(B1371="","",ROW()-6)</f>
        <v/>
      </c>
      <c r="B1371" s="145"/>
      <c r="C1371" s="146"/>
      <c r="D1371" s="146"/>
      <c r="E1371" s="82" t="str">
        <f aca="false">IF(B1371="","",IF(COUNTIFS('CARNET DE SOUDURE'!$L$7:$L$3006,B1371,'CARNET DE SOUDURE'!$M$7:$M$3006,"&lt;&gt;"&amp;C1371,'CARNET DE SOUDURE'!$M$7:$M$3006,"&lt;&gt;")+COUNTIFS('CARNET DE SOUDURE'!$O$7:$O$3006,B1371,'CARNET DE SOUDURE'!$P$7:$P$3006,"&lt;&gt;"&amp;C1371,'CARNET DE SOUDURE'!$P$7:$P$3006,"&lt;&gt;")&gt;0,"⚠ DIFFÉRENTE","OK"))</f>
        <v/>
      </c>
      <c r="F1371" s="147"/>
      <c r="G1371" s="80"/>
      <c r="H1371" s="83"/>
      <c r="I1371" s="148" t="str">
        <f aca="false">IF(B1371="","",IFERROR(INDEX('CARNET DE SOUDURE'!$B$7:$B$3006,MATCH(B1371,'CARNET DE SOUDURE'!$L$7:$L$3006,0)),IFERROR(INDEX('CARNET DE SOUDURE'!$B$7:$B$3006,MATCH(B1371,'CARNET DE SOUDURE'!$O$7:$O$3006,0)),"")))</f>
        <v/>
      </c>
      <c r="J1371" s="82" t="str">
        <f aca="false">IF(B1371="","",IFERROR(INDEX('CARNET DE SOUDURE'!$E$7:$E$3006,MATCH(B1371,'CARNET DE SOUDURE'!$O$7:$O$3006,0)),""))</f>
        <v/>
      </c>
      <c r="K1371" s="82" t="str">
        <f aca="false">IF(B1371="","",IFERROR(INDEX('CARNET DE SOUDURE'!$E$7:$E$3006,MATCH(B1371,'CARNET DE SOUDURE'!$L$7:$L$3006,0)),""))</f>
        <v/>
      </c>
      <c r="L1371" s="82" t="str">
        <f aca="false">IF(B1371="","",IFERROR(INDEX('CARNET DE SOUDURE'!$D$7:$D$3006,MATCH(B1371,'CARNET DE SOUDURE'!$L$7:$L$3006,0)),IFERROR(INDEX('CARNET DE SOUDURE'!$D$7:$D$3006,MATCH(B1371,'CARNET DE SOUDURE'!$O$7:$O$3006,0)),"")))</f>
        <v/>
      </c>
      <c r="M1371" s="82" t="str">
        <f aca="false">IF(B1371="","",IF(OR(J1371&lt;&gt;"",K1371&lt;&gt;""),"POSÉ EN LIGNE",IF(COUNTIF(BARDAGE!$C$1:$C$5000,B1371)&gt;0,"BARDÉ","EN STOCK")))</f>
        <v/>
      </c>
      <c r="N1371" s="80"/>
    </row>
    <row r="1372" customFormat="false" ht="15" hidden="false" customHeight="false" outlineLevel="0" collapsed="false">
      <c r="A1372" s="82" t="str">
        <f aca="false">IF(B1372="","",ROW()-6)</f>
        <v/>
      </c>
      <c r="B1372" s="145"/>
      <c r="C1372" s="146"/>
      <c r="D1372" s="146"/>
      <c r="E1372" s="82" t="str">
        <f aca="false">IF(B1372="","",IF(COUNTIFS('CARNET DE SOUDURE'!$L$7:$L$3006,B1372,'CARNET DE SOUDURE'!$M$7:$M$3006,"&lt;&gt;"&amp;C1372,'CARNET DE SOUDURE'!$M$7:$M$3006,"&lt;&gt;")+COUNTIFS('CARNET DE SOUDURE'!$O$7:$O$3006,B1372,'CARNET DE SOUDURE'!$P$7:$P$3006,"&lt;&gt;"&amp;C1372,'CARNET DE SOUDURE'!$P$7:$P$3006,"&lt;&gt;")&gt;0,"⚠ DIFFÉRENTE","OK"))</f>
        <v/>
      </c>
      <c r="F1372" s="147"/>
      <c r="G1372" s="80"/>
      <c r="H1372" s="83"/>
      <c r="I1372" s="148" t="str">
        <f aca="false">IF(B1372="","",IFERROR(INDEX('CARNET DE SOUDURE'!$B$7:$B$3006,MATCH(B1372,'CARNET DE SOUDURE'!$L$7:$L$3006,0)),IFERROR(INDEX('CARNET DE SOUDURE'!$B$7:$B$3006,MATCH(B1372,'CARNET DE SOUDURE'!$O$7:$O$3006,0)),"")))</f>
        <v/>
      </c>
      <c r="J1372" s="82" t="str">
        <f aca="false">IF(B1372="","",IFERROR(INDEX('CARNET DE SOUDURE'!$E$7:$E$3006,MATCH(B1372,'CARNET DE SOUDURE'!$O$7:$O$3006,0)),""))</f>
        <v/>
      </c>
      <c r="K1372" s="82" t="str">
        <f aca="false">IF(B1372="","",IFERROR(INDEX('CARNET DE SOUDURE'!$E$7:$E$3006,MATCH(B1372,'CARNET DE SOUDURE'!$L$7:$L$3006,0)),""))</f>
        <v/>
      </c>
      <c r="L1372" s="82" t="str">
        <f aca="false">IF(B1372="","",IFERROR(INDEX('CARNET DE SOUDURE'!$D$7:$D$3006,MATCH(B1372,'CARNET DE SOUDURE'!$L$7:$L$3006,0)),IFERROR(INDEX('CARNET DE SOUDURE'!$D$7:$D$3006,MATCH(B1372,'CARNET DE SOUDURE'!$O$7:$O$3006,0)),"")))</f>
        <v/>
      </c>
      <c r="M1372" s="82" t="str">
        <f aca="false">IF(B1372="","",IF(OR(J1372&lt;&gt;"",K1372&lt;&gt;""),"POSÉ EN LIGNE",IF(COUNTIF(BARDAGE!$C$1:$C$5000,B1372)&gt;0,"BARDÉ","EN STOCK")))</f>
        <v/>
      </c>
      <c r="N1372" s="80"/>
    </row>
    <row r="1373" customFormat="false" ht="15" hidden="false" customHeight="false" outlineLevel="0" collapsed="false">
      <c r="A1373" s="82" t="str">
        <f aca="false">IF(B1373="","",ROW()-6)</f>
        <v/>
      </c>
      <c r="B1373" s="145"/>
      <c r="C1373" s="146"/>
      <c r="D1373" s="146"/>
      <c r="E1373" s="82" t="str">
        <f aca="false">IF(B1373="","",IF(COUNTIFS('CARNET DE SOUDURE'!$L$7:$L$3006,B1373,'CARNET DE SOUDURE'!$M$7:$M$3006,"&lt;&gt;"&amp;C1373,'CARNET DE SOUDURE'!$M$7:$M$3006,"&lt;&gt;")+COUNTIFS('CARNET DE SOUDURE'!$O$7:$O$3006,B1373,'CARNET DE SOUDURE'!$P$7:$P$3006,"&lt;&gt;"&amp;C1373,'CARNET DE SOUDURE'!$P$7:$P$3006,"&lt;&gt;")&gt;0,"⚠ DIFFÉRENTE","OK"))</f>
        <v/>
      </c>
      <c r="F1373" s="147"/>
      <c r="G1373" s="80"/>
      <c r="H1373" s="83"/>
      <c r="I1373" s="148" t="str">
        <f aca="false">IF(B1373="","",IFERROR(INDEX('CARNET DE SOUDURE'!$B$7:$B$3006,MATCH(B1373,'CARNET DE SOUDURE'!$L$7:$L$3006,0)),IFERROR(INDEX('CARNET DE SOUDURE'!$B$7:$B$3006,MATCH(B1373,'CARNET DE SOUDURE'!$O$7:$O$3006,0)),"")))</f>
        <v/>
      </c>
      <c r="J1373" s="82" t="str">
        <f aca="false">IF(B1373="","",IFERROR(INDEX('CARNET DE SOUDURE'!$E$7:$E$3006,MATCH(B1373,'CARNET DE SOUDURE'!$O$7:$O$3006,0)),""))</f>
        <v/>
      </c>
      <c r="K1373" s="82" t="str">
        <f aca="false">IF(B1373="","",IFERROR(INDEX('CARNET DE SOUDURE'!$E$7:$E$3006,MATCH(B1373,'CARNET DE SOUDURE'!$L$7:$L$3006,0)),""))</f>
        <v/>
      </c>
      <c r="L1373" s="82" t="str">
        <f aca="false">IF(B1373="","",IFERROR(INDEX('CARNET DE SOUDURE'!$D$7:$D$3006,MATCH(B1373,'CARNET DE SOUDURE'!$L$7:$L$3006,0)),IFERROR(INDEX('CARNET DE SOUDURE'!$D$7:$D$3006,MATCH(B1373,'CARNET DE SOUDURE'!$O$7:$O$3006,0)),"")))</f>
        <v/>
      </c>
      <c r="M1373" s="82" t="str">
        <f aca="false">IF(B1373="","",IF(OR(J1373&lt;&gt;"",K1373&lt;&gt;""),"POSÉ EN LIGNE",IF(COUNTIF(BARDAGE!$C$1:$C$5000,B1373)&gt;0,"BARDÉ","EN STOCK")))</f>
        <v/>
      </c>
      <c r="N1373" s="80"/>
    </row>
    <row r="1374" customFormat="false" ht="15" hidden="false" customHeight="false" outlineLevel="0" collapsed="false">
      <c r="A1374" s="82" t="str">
        <f aca="false">IF(B1374="","",ROW()-6)</f>
        <v/>
      </c>
      <c r="B1374" s="145"/>
      <c r="C1374" s="146"/>
      <c r="D1374" s="146"/>
      <c r="E1374" s="82" t="str">
        <f aca="false">IF(B1374="","",IF(COUNTIFS('CARNET DE SOUDURE'!$L$7:$L$3006,B1374,'CARNET DE SOUDURE'!$M$7:$M$3006,"&lt;&gt;"&amp;C1374,'CARNET DE SOUDURE'!$M$7:$M$3006,"&lt;&gt;")+COUNTIFS('CARNET DE SOUDURE'!$O$7:$O$3006,B1374,'CARNET DE SOUDURE'!$P$7:$P$3006,"&lt;&gt;"&amp;C1374,'CARNET DE SOUDURE'!$P$7:$P$3006,"&lt;&gt;")&gt;0,"⚠ DIFFÉRENTE","OK"))</f>
        <v/>
      </c>
      <c r="F1374" s="147"/>
      <c r="G1374" s="80"/>
      <c r="H1374" s="83"/>
      <c r="I1374" s="148" t="str">
        <f aca="false">IF(B1374="","",IFERROR(INDEX('CARNET DE SOUDURE'!$B$7:$B$3006,MATCH(B1374,'CARNET DE SOUDURE'!$L$7:$L$3006,0)),IFERROR(INDEX('CARNET DE SOUDURE'!$B$7:$B$3006,MATCH(B1374,'CARNET DE SOUDURE'!$O$7:$O$3006,0)),"")))</f>
        <v/>
      </c>
      <c r="J1374" s="82" t="str">
        <f aca="false">IF(B1374="","",IFERROR(INDEX('CARNET DE SOUDURE'!$E$7:$E$3006,MATCH(B1374,'CARNET DE SOUDURE'!$O$7:$O$3006,0)),""))</f>
        <v/>
      </c>
      <c r="K1374" s="82" t="str">
        <f aca="false">IF(B1374="","",IFERROR(INDEX('CARNET DE SOUDURE'!$E$7:$E$3006,MATCH(B1374,'CARNET DE SOUDURE'!$L$7:$L$3006,0)),""))</f>
        <v/>
      </c>
      <c r="L1374" s="82" t="str">
        <f aca="false">IF(B1374="","",IFERROR(INDEX('CARNET DE SOUDURE'!$D$7:$D$3006,MATCH(B1374,'CARNET DE SOUDURE'!$L$7:$L$3006,0)),IFERROR(INDEX('CARNET DE SOUDURE'!$D$7:$D$3006,MATCH(B1374,'CARNET DE SOUDURE'!$O$7:$O$3006,0)),"")))</f>
        <v/>
      </c>
      <c r="M1374" s="82" t="str">
        <f aca="false">IF(B1374="","",IF(OR(J1374&lt;&gt;"",K1374&lt;&gt;""),"POSÉ EN LIGNE",IF(COUNTIF(BARDAGE!$C$1:$C$5000,B1374)&gt;0,"BARDÉ","EN STOCK")))</f>
        <v/>
      </c>
      <c r="N1374" s="80"/>
    </row>
    <row r="1375" customFormat="false" ht="15" hidden="false" customHeight="false" outlineLevel="0" collapsed="false">
      <c r="A1375" s="82" t="str">
        <f aca="false">IF(B1375="","",ROW()-6)</f>
        <v/>
      </c>
      <c r="B1375" s="145"/>
      <c r="C1375" s="146"/>
      <c r="D1375" s="146"/>
      <c r="E1375" s="82" t="str">
        <f aca="false">IF(B1375="","",IF(COUNTIFS('CARNET DE SOUDURE'!$L$7:$L$3006,B1375,'CARNET DE SOUDURE'!$M$7:$M$3006,"&lt;&gt;"&amp;C1375,'CARNET DE SOUDURE'!$M$7:$M$3006,"&lt;&gt;")+COUNTIFS('CARNET DE SOUDURE'!$O$7:$O$3006,B1375,'CARNET DE SOUDURE'!$P$7:$P$3006,"&lt;&gt;"&amp;C1375,'CARNET DE SOUDURE'!$P$7:$P$3006,"&lt;&gt;")&gt;0,"⚠ DIFFÉRENTE","OK"))</f>
        <v/>
      </c>
      <c r="F1375" s="147"/>
      <c r="G1375" s="80"/>
      <c r="H1375" s="83"/>
      <c r="I1375" s="148" t="str">
        <f aca="false">IF(B1375="","",IFERROR(INDEX('CARNET DE SOUDURE'!$B$7:$B$3006,MATCH(B1375,'CARNET DE SOUDURE'!$L$7:$L$3006,0)),IFERROR(INDEX('CARNET DE SOUDURE'!$B$7:$B$3006,MATCH(B1375,'CARNET DE SOUDURE'!$O$7:$O$3006,0)),"")))</f>
        <v/>
      </c>
      <c r="J1375" s="82" t="str">
        <f aca="false">IF(B1375="","",IFERROR(INDEX('CARNET DE SOUDURE'!$E$7:$E$3006,MATCH(B1375,'CARNET DE SOUDURE'!$O$7:$O$3006,0)),""))</f>
        <v/>
      </c>
      <c r="K1375" s="82" t="str">
        <f aca="false">IF(B1375="","",IFERROR(INDEX('CARNET DE SOUDURE'!$E$7:$E$3006,MATCH(B1375,'CARNET DE SOUDURE'!$L$7:$L$3006,0)),""))</f>
        <v/>
      </c>
      <c r="L1375" s="82" t="str">
        <f aca="false">IF(B1375="","",IFERROR(INDEX('CARNET DE SOUDURE'!$D$7:$D$3006,MATCH(B1375,'CARNET DE SOUDURE'!$L$7:$L$3006,0)),IFERROR(INDEX('CARNET DE SOUDURE'!$D$7:$D$3006,MATCH(B1375,'CARNET DE SOUDURE'!$O$7:$O$3006,0)),"")))</f>
        <v/>
      </c>
      <c r="M1375" s="82" t="str">
        <f aca="false">IF(B1375="","",IF(OR(J1375&lt;&gt;"",K1375&lt;&gt;""),"POSÉ EN LIGNE",IF(COUNTIF(BARDAGE!$C$1:$C$5000,B1375)&gt;0,"BARDÉ","EN STOCK")))</f>
        <v/>
      </c>
      <c r="N1375" s="80"/>
    </row>
    <row r="1376" customFormat="false" ht="15" hidden="false" customHeight="false" outlineLevel="0" collapsed="false">
      <c r="A1376" s="82" t="str">
        <f aca="false">IF(B1376="","",ROW()-6)</f>
        <v/>
      </c>
      <c r="B1376" s="145"/>
      <c r="C1376" s="146"/>
      <c r="D1376" s="146"/>
      <c r="E1376" s="82" t="str">
        <f aca="false">IF(B1376="","",IF(COUNTIFS('CARNET DE SOUDURE'!$L$7:$L$3006,B1376,'CARNET DE SOUDURE'!$M$7:$M$3006,"&lt;&gt;"&amp;C1376,'CARNET DE SOUDURE'!$M$7:$M$3006,"&lt;&gt;")+COUNTIFS('CARNET DE SOUDURE'!$O$7:$O$3006,B1376,'CARNET DE SOUDURE'!$P$7:$P$3006,"&lt;&gt;"&amp;C1376,'CARNET DE SOUDURE'!$P$7:$P$3006,"&lt;&gt;")&gt;0,"⚠ DIFFÉRENTE","OK"))</f>
        <v/>
      </c>
      <c r="F1376" s="147"/>
      <c r="G1376" s="80"/>
      <c r="H1376" s="83"/>
      <c r="I1376" s="148" t="str">
        <f aca="false">IF(B1376="","",IFERROR(INDEX('CARNET DE SOUDURE'!$B$7:$B$3006,MATCH(B1376,'CARNET DE SOUDURE'!$L$7:$L$3006,0)),IFERROR(INDEX('CARNET DE SOUDURE'!$B$7:$B$3006,MATCH(B1376,'CARNET DE SOUDURE'!$O$7:$O$3006,0)),"")))</f>
        <v/>
      </c>
      <c r="J1376" s="82" t="str">
        <f aca="false">IF(B1376="","",IFERROR(INDEX('CARNET DE SOUDURE'!$E$7:$E$3006,MATCH(B1376,'CARNET DE SOUDURE'!$O$7:$O$3006,0)),""))</f>
        <v/>
      </c>
      <c r="K1376" s="82" t="str">
        <f aca="false">IF(B1376="","",IFERROR(INDEX('CARNET DE SOUDURE'!$E$7:$E$3006,MATCH(B1376,'CARNET DE SOUDURE'!$L$7:$L$3006,0)),""))</f>
        <v/>
      </c>
      <c r="L1376" s="82" t="str">
        <f aca="false">IF(B1376="","",IFERROR(INDEX('CARNET DE SOUDURE'!$D$7:$D$3006,MATCH(B1376,'CARNET DE SOUDURE'!$L$7:$L$3006,0)),IFERROR(INDEX('CARNET DE SOUDURE'!$D$7:$D$3006,MATCH(B1376,'CARNET DE SOUDURE'!$O$7:$O$3006,0)),"")))</f>
        <v/>
      </c>
      <c r="M1376" s="82" t="str">
        <f aca="false">IF(B1376="","",IF(OR(J1376&lt;&gt;"",K1376&lt;&gt;""),"POSÉ EN LIGNE",IF(COUNTIF(BARDAGE!$C$1:$C$5000,B1376)&gt;0,"BARDÉ","EN STOCK")))</f>
        <v/>
      </c>
      <c r="N1376" s="80"/>
    </row>
    <row r="1377" customFormat="false" ht="15" hidden="false" customHeight="false" outlineLevel="0" collapsed="false">
      <c r="A1377" s="82" t="str">
        <f aca="false">IF(B1377="","",ROW()-6)</f>
        <v/>
      </c>
      <c r="B1377" s="145"/>
      <c r="C1377" s="146"/>
      <c r="D1377" s="146"/>
      <c r="E1377" s="82" t="str">
        <f aca="false">IF(B1377="","",IF(COUNTIFS('CARNET DE SOUDURE'!$L$7:$L$3006,B1377,'CARNET DE SOUDURE'!$M$7:$M$3006,"&lt;&gt;"&amp;C1377,'CARNET DE SOUDURE'!$M$7:$M$3006,"&lt;&gt;")+COUNTIFS('CARNET DE SOUDURE'!$O$7:$O$3006,B1377,'CARNET DE SOUDURE'!$P$7:$P$3006,"&lt;&gt;"&amp;C1377,'CARNET DE SOUDURE'!$P$7:$P$3006,"&lt;&gt;")&gt;0,"⚠ DIFFÉRENTE","OK"))</f>
        <v/>
      </c>
      <c r="F1377" s="147"/>
      <c r="G1377" s="80"/>
      <c r="H1377" s="83"/>
      <c r="I1377" s="148" t="str">
        <f aca="false">IF(B1377="","",IFERROR(INDEX('CARNET DE SOUDURE'!$B$7:$B$3006,MATCH(B1377,'CARNET DE SOUDURE'!$L$7:$L$3006,0)),IFERROR(INDEX('CARNET DE SOUDURE'!$B$7:$B$3006,MATCH(B1377,'CARNET DE SOUDURE'!$O$7:$O$3006,0)),"")))</f>
        <v/>
      </c>
      <c r="J1377" s="82" t="str">
        <f aca="false">IF(B1377="","",IFERROR(INDEX('CARNET DE SOUDURE'!$E$7:$E$3006,MATCH(B1377,'CARNET DE SOUDURE'!$O$7:$O$3006,0)),""))</f>
        <v/>
      </c>
      <c r="K1377" s="82" t="str">
        <f aca="false">IF(B1377="","",IFERROR(INDEX('CARNET DE SOUDURE'!$E$7:$E$3006,MATCH(B1377,'CARNET DE SOUDURE'!$L$7:$L$3006,0)),""))</f>
        <v/>
      </c>
      <c r="L1377" s="82" t="str">
        <f aca="false">IF(B1377="","",IFERROR(INDEX('CARNET DE SOUDURE'!$D$7:$D$3006,MATCH(B1377,'CARNET DE SOUDURE'!$L$7:$L$3006,0)),IFERROR(INDEX('CARNET DE SOUDURE'!$D$7:$D$3006,MATCH(B1377,'CARNET DE SOUDURE'!$O$7:$O$3006,0)),"")))</f>
        <v/>
      </c>
      <c r="M1377" s="82" t="str">
        <f aca="false">IF(B1377="","",IF(OR(J1377&lt;&gt;"",K1377&lt;&gt;""),"POSÉ EN LIGNE",IF(COUNTIF(BARDAGE!$C$1:$C$5000,B1377)&gt;0,"BARDÉ","EN STOCK")))</f>
        <v/>
      </c>
      <c r="N1377" s="80"/>
    </row>
    <row r="1378" customFormat="false" ht="15" hidden="false" customHeight="false" outlineLevel="0" collapsed="false">
      <c r="A1378" s="82" t="str">
        <f aca="false">IF(B1378="","",ROW()-6)</f>
        <v/>
      </c>
      <c r="B1378" s="145"/>
      <c r="C1378" s="146"/>
      <c r="D1378" s="146"/>
      <c r="E1378" s="82" t="str">
        <f aca="false">IF(B1378="","",IF(COUNTIFS('CARNET DE SOUDURE'!$L$7:$L$3006,B1378,'CARNET DE SOUDURE'!$M$7:$M$3006,"&lt;&gt;"&amp;C1378,'CARNET DE SOUDURE'!$M$7:$M$3006,"&lt;&gt;")+COUNTIFS('CARNET DE SOUDURE'!$O$7:$O$3006,B1378,'CARNET DE SOUDURE'!$P$7:$P$3006,"&lt;&gt;"&amp;C1378,'CARNET DE SOUDURE'!$P$7:$P$3006,"&lt;&gt;")&gt;0,"⚠ DIFFÉRENTE","OK"))</f>
        <v/>
      </c>
      <c r="F1378" s="147"/>
      <c r="G1378" s="80"/>
      <c r="H1378" s="83"/>
      <c r="I1378" s="148" t="str">
        <f aca="false">IF(B1378="","",IFERROR(INDEX('CARNET DE SOUDURE'!$B$7:$B$3006,MATCH(B1378,'CARNET DE SOUDURE'!$L$7:$L$3006,0)),IFERROR(INDEX('CARNET DE SOUDURE'!$B$7:$B$3006,MATCH(B1378,'CARNET DE SOUDURE'!$O$7:$O$3006,0)),"")))</f>
        <v/>
      </c>
      <c r="J1378" s="82" t="str">
        <f aca="false">IF(B1378="","",IFERROR(INDEX('CARNET DE SOUDURE'!$E$7:$E$3006,MATCH(B1378,'CARNET DE SOUDURE'!$O$7:$O$3006,0)),""))</f>
        <v/>
      </c>
      <c r="K1378" s="82" t="str">
        <f aca="false">IF(B1378="","",IFERROR(INDEX('CARNET DE SOUDURE'!$E$7:$E$3006,MATCH(B1378,'CARNET DE SOUDURE'!$L$7:$L$3006,0)),""))</f>
        <v/>
      </c>
      <c r="L1378" s="82" t="str">
        <f aca="false">IF(B1378="","",IFERROR(INDEX('CARNET DE SOUDURE'!$D$7:$D$3006,MATCH(B1378,'CARNET DE SOUDURE'!$L$7:$L$3006,0)),IFERROR(INDEX('CARNET DE SOUDURE'!$D$7:$D$3006,MATCH(B1378,'CARNET DE SOUDURE'!$O$7:$O$3006,0)),"")))</f>
        <v/>
      </c>
      <c r="M1378" s="82" t="str">
        <f aca="false">IF(B1378="","",IF(OR(J1378&lt;&gt;"",K1378&lt;&gt;""),"POSÉ EN LIGNE",IF(COUNTIF(BARDAGE!$C$1:$C$5000,B1378)&gt;0,"BARDÉ","EN STOCK")))</f>
        <v/>
      </c>
      <c r="N1378" s="80"/>
    </row>
    <row r="1379" customFormat="false" ht="15" hidden="false" customHeight="false" outlineLevel="0" collapsed="false">
      <c r="A1379" s="82" t="str">
        <f aca="false">IF(B1379="","",ROW()-6)</f>
        <v/>
      </c>
      <c r="B1379" s="145"/>
      <c r="C1379" s="146"/>
      <c r="D1379" s="146"/>
      <c r="E1379" s="82" t="str">
        <f aca="false">IF(B1379="","",IF(COUNTIFS('CARNET DE SOUDURE'!$L$7:$L$3006,B1379,'CARNET DE SOUDURE'!$M$7:$M$3006,"&lt;&gt;"&amp;C1379,'CARNET DE SOUDURE'!$M$7:$M$3006,"&lt;&gt;")+COUNTIFS('CARNET DE SOUDURE'!$O$7:$O$3006,B1379,'CARNET DE SOUDURE'!$P$7:$P$3006,"&lt;&gt;"&amp;C1379,'CARNET DE SOUDURE'!$P$7:$P$3006,"&lt;&gt;")&gt;0,"⚠ DIFFÉRENTE","OK"))</f>
        <v/>
      </c>
      <c r="F1379" s="147"/>
      <c r="G1379" s="80"/>
      <c r="H1379" s="83"/>
      <c r="I1379" s="148" t="str">
        <f aca="false">IF(B1379="","",IFERROR(INDEX('CARNET DE SOUDURE'!$B$7:$B$3006,MATCH(B1379,'CARNET DE SOUDURE'!$L$7:$L$3006,0)),IFERROR(INDEX('CARNET DE SOUDURE'!$B$7:$B$3006,MATCH(B1379,'CARNET DE SOUDURE'!$O$7:$O$3006,0)),"")))</f>
        <v/>
      </c>
      <c r="J1379" s="82" t="str">
        <f aca="false">IF(B1379="","",IFERROR(INDEX('CARNET DE SOUDURE'!$E$7:$E$3006,MATCH(B1379,'CARNET DE SOUDURE'!$O$7:$O$3006,0)),""))</f>
        <v/>
      </c>
      <c r="K1379" s="82" t="str">
        <f aca="false">IF(B1379="","",IFERROR(INDEX('CARNET DE SOUDURE'!$E$7:$E$3006,MATCH(B1379,'CARNET DE SOUDURE'!$L$7:$L$3006,0)),""))</f>
        <v/>
      </c>
      <c r="L1379" s="82" t="str">
        <f aca="false">IF(B1379="","",IFERROR(INDEX('CARNET DE SOUDURE'!$D$7:$D$3006,MATCH(B1379,'CARNET DE SOUDURE'!$L$7:$L$3006,0)),IFERROR(INDEX('CARNET DE SOUDURE'!$D$7:$D$3006,MATCH(B1379,'CARNET DE SOUDURE'!$O$7:$O$3006,0)),"")))</f>
        <v/>
      </c>
      <c r="M1379" s="82" t="str">
        <f aca="false">IF(B1379="","",IF(OR(J1379&lt;&gt;"",K1379&lt;&gt;""),"POSÉ EN LIGNE",IF(COUNTIF(BARDAGE!$C$1:$C$5000,B1379)&gt;0,"BARDÉ","EN STOCK")))</f>
        <v/>
      </c>
      <c r="N1379" s="80"/>
    </row>
    <row r="1380" customFormat="false" ht="15" hidden="false" customHeight="false" outlineLevel="0" collapsed="false">
      <c r="A1380" s="82" t="str">
        <f aca="false">IF(B1380="","",ROW()-6)</f>
        <v/>
      </c>
      <c r="B1380" s="145"/>
      <c r="C1380" s="146"/>
      <c r="D1380" s="146"/>
      <c r="E1380" s="82" t="str">
        <f aca="false">IF(B1380="","",IF(COUNTIFS('CARNET DE SOUDURE'!$L$7:$L$3006,B1380,'CARNET DE SOUDURE'!$M$7:$M$3006,"&lt;&gt;"&amp;C1380,'CARNET DE SOUDURE'!$M$7:$M$3006,"&lt;&gt;")+COUNTIFS('CARNET DE SOUDURE'!$O$7:$O$3006,B1380,'CARNET DE SOUDURE'!$P$7:$P$3006,"&lt;&gt;"&amp;C1380,'CARNET DE SOUDURE'!$P$7:$P$3006,"&lt;&gt;")&gt;0,"⚠ DIFFÉRENTE","OK"))</f>
        <v/>
      </c>
      <c r="F1380" s="147"/>
      <c r="G1380" s="80"/>
      <c r="H1380" s="83"/>
      <c r="I1380" s="148" t="str">
        <f aca="false">IF(B1380="","",IFERROR(INDEX('CARNET DE SOUDURE'!$B$7:$B$3006,MATCH(B1380,'CARNET DE SOUDURE'!$L$7:$L$3006,0)),IFERROR(INDEX('CARNET DE SOUDURE'!$B$7:$B$3006,MATCH(B1380,'CARNET DE SOUDURE'!$O$7:$O$3006,0)),"")))</f>
        <v/>
      </c>
      <c r="J1380" s="82" t="str">
        <f aca="false">IF(B1380="","",IFERROR(INDEX('CARNET DE SOUDURE'!$E$7:$E$3006,MATCH(B1380,'CARNET DE SOUDURE'!$O$7:$O$3006,0)),""))</f>
        <v/>
      </c>
      <c r="K1380" s="82" t="str">
        <f aca="false">IF(B1380="","",IFERROR(INDEX('CARNET DE SOUDURE'!$E$7:$E$3006,MATCH(B1380,'CARNET DE SOUDURE'!$L$7:$L$3006,0)),""))</f>
        <v/>
      </c>
      <c r="L1380" s="82" t="str">
        <f aca="false">IF(B1380="","",IFERROR(INDEX('CARNET DE SOUDURE'!$D$7:$D$3006,MATCH(B1380,'CARNET DE SOUDURE'!$L$7:$L$3006,0)),IFERROR(INDEX('CARNET DE SOUDURE'!$D$7:$D$3006,MATCH(B1380,'CARNET DE SOUDURE'!$O$7:$O$3006,0)),"")))</f>
        <v/>
      </c>
      <c r="M1380" s="82" t="str">
        <f aca="false">IF(B1380="","",IF(OR(J1380&lt;&gt;"",K1380&lt;&gt;""),"POSÉ EN LIGNE",IF(COUNTIF(BARDAGE!$C$1:$C$5000,B1380)&gt;0,"BARDÉ","EN STOCK")))</f>
        <v/>
      </c>
      <c r="N1380" s="80"/>
    </row>
    <row r="1381" customFormat="false" ht="15" hidden="false" customHeight="false" outlineLevel="0" collapsed="false">
      <c r="A1381" s="82" t="str">
        <f aca="false">IF(B1381="","",ROW()-6)</f>
        <v/>
      </c>
      <c r="B1381" s="145"/>
      <c r="C1381" s="146"/>
      <c r="D1381" s="146"/>
      <c r="E1381" s="82" t="str">
        <f aca="false">IF(B1381="","",IF(COUNTIFS('CARNET DE SOUDURE'!$L$7:$L$3006,B1381,'CARNET DE SOUDURE'!$M$7:$M$3006,"&lt;&gt;"&amp;C1381,'CARNET DE SOUDURE'!$M$7:$M$3006,"&lt;&gt;")+COUNTIFS('CARNET DE SOUDURE'!$O$7:$O$3006,B1381,'CARNET DE SOUDURE'!$P$7:$P$3006,"&lt;&gt;"&amp;C1381,'CARNET DE SOUDURE'!$P$7:$P$3006,"&lt;&gt;")&gt;0,"⚠ DIFFÉRENTE","OK"))</f>
        <v/>
      </c>
      <c r="F1381" s="147"/>
      <c r="G1381" s="80"/>
      <c r="H1381" s="83"/>
      <c r="I1381" s="148" t="str">
        <f aca="false">IF(B1381="","",IFERROR(INDEX('CARNET DE SOUDURE'!$B$7:$B$3006,MATCH(B1381,'CARNET DE SOUDURE'!$L$7:$L$3006,0)),IFERROR(INDEX('CARNET DE SOUDURE'!$B$7:$B$3006,MATCH(B1381,'CARNET DE SOUDURE'!$O$7:$O$3006,0)),"")))</f>
        <v/>
      </c>
      <c r="J1381" s="82" t="str">
        <f aca="false">IF(B1381="","",IFERROR(INDEX('CARNET DE SOUDURE'!$E$7:$E$3006,MATCH(B1381,'CARNET DE SOUDURE'!$O$7:$O$3006,0)),""))</f>
        <v/>
      </c>
      <c r="K1381" s="82" t="str">
        <f aca="false">IF(B1381="","",IFERROR(INDEX('CARNET DE SOUDURE'!$E$7:$E$3006,MATCH(B1381,'CARNET DE SOUDURE'!$L$7:$L$3006,0)),""))</f>
        <v/>
      </c>
      <c r="L1381" s="82" t="str">
        <f aca="false">IF(B1381="","",IFERROR(INDEX('CARNET DE SOUDURE'!$D$7:$D$3006,MATCH(B1381,'CARNET DE SOUDURE'!$L$7:$L$3006,0)),IFERROR(INDEX('CARNET DE SOUDURE'!$D$7:$D$3006,MATCH(B1381,'CARNET DE SOUDURE'!$O$7:$O$3006,0)),"")))</f>
        <v/>
      </c>
      <c r="M1381" s="82" t="str">
        <f aca="false">IF(B1381="","",IF(OR(J1381&lt;&gt;"",K1381&lt;&gt;""),"POSÉ EN LIGNE",IF(COUNTIF(BARDAGE!$C$1:$C$5000,B1381)&gt;0,"BARDÉ","EN STOCK")))</f>
        <v/>
      </c>
      <c r="N1381" s="80"/>
    </row>
    <row r="1382" customFormat="false" ht="15" hidden="false" customHeight="false" outlineLevel="0" collapsed="false">
      <c r="A1382" s="82" t="str">
        <f aca="false">IF(B1382="","",ROW()-6)</f>
        <v/>
      </c>
      <c r="B1382" s="145"/>
      <c r="C1382" s="146"/>
      <c r="D1382" s="146"/>
      <c r="E1382" s="82" t="str">
        <f aca="false">IF(B1382="","",IF(COUNTIFS('CARNET DE SOUDURE'!$L$7:$L$3006,B1382,'CARNET DE SOUDURE'!$M$7:$M$3006,"&lt;&gt;"&amp;C1382,'CARNET DE SOUDURE'!$M$7:$M$3006,"&lt;&gt;")+COUNTIFS('CARNET DE SOUDURE'!$O$7:$O$3006,B1382,'CARNET DE SOUDURE'!$P$7:$P$3006,"&lt;&gt;"&amp;C1382,'CARNET DE SOUDURE'!$P$7:$P$3006,"&lt;&gt;")&gt;0,"⚠ DIFFÉRENTE","OK"))</f>
        <v/>
      </c>
      <c r="F1382" s="147"/>
      <c r="G1382" s="80"/>
      <c r="H1382" s="83"/>
      <c r="I1382" s="148" t="str">
        <f aca="false">IF(B1382="","",IFERROR(INDEX('CARNET DE SOUDURE'!$B$7:$B$3006,MATCH(B1382,'CARNET DE SOUDURE'!$L$7:$L$3006,0)),IFERROR(INDEX('CARNET DE SOUDURE'!$B$7:$B$3006,MATCH(B1382,'CARNET DE SOUDURE'!$O$7:$O$3006,0)),"")))</f>
        <v/>
      </c>
      <c r="J1382" s="82" t="str">
        <f aca="false">IF(B1382="","",IFERROR(INDEX('CARNET DE SOUDURE'!$E$7:$E$3006,MATCH(B1382,'CARNET DE SOUDURE'!$O$7:$O$3006,0)),""))</f>
        <v/>
      </c>
      <c r="K1382" s="82" t="str">
        <f aca="false">IF(B1382="","",IFERROR(INDEX('CARNET DE SOUDURE'!$E$7:$E$3006,MATCH(B1382,'CARNET DE SOUDURE'!$L$7:$L$3006,0)),""))</f>
        <v/>
      </c>
      <c r="L1382" s="82" t="str">
        <f aca="false">IF(B1382="","",IFERROR(INDEX('CARNET DE SOUDURE'!$D$7:$D$3006,MATCH(B1382,'CARNET DE SOUDURE'!$L$7:$L$3006,0)),IFERROR(INDEX('CARNET DE SOUDURE'!$D$7:$D$3006,MATCH(B1382,'CARNET DE SOUDURE'!$O$7:$O$3006,0)),"")))</f>
        <v/>
      </c>
      <c r="M1382" s="82" t="str">
        <f aca="false">IF(B1382="","",IF(OR(J1382&lt;&gt;"",K1382&lt;&gt;""),"POSÉ EN LIGNE",IF(COUNTIF(BARDAGE!$C$1:$C$5000,B1382)&gt;0,"BARDÉ","EN STOCK")))</f>
        <v/>
      </c>
      <c r="N1382" s="80"/>
    </row>
    <row r="1383" customFormat="false" ht="15" hidden="false" customHeight="false" outlineLevel="0" collapsed="false">
      <c r="A1383" s="82" t="str">
        <f aca="false">IF(B1383="","",ROW()-6)</f>
        <v/>
      </c>
      <c r="B1383" s="145"/>
      <c r="C1383" s="146"/>
      <c r="D1383" s="146"/>
      <c r="E1383" s="82" t="str">
        <f aca="false">IF(B1383="","",IF(COUNTIFS('CARNET DE SOUDURE'!$L$7:$L$3006,B1383,'CARNET DE SOUDURE'!$M$7:$M$3006,"&lt;&gt;"&amp;C1383,'CARNET DE SOUDURE'!$M$7:$M$3006,"&lt;&gt;")+COUNTIFS('CARNET DE SOUDURE'!$O$7:$O$3006,B1383,'CARNET DE SOUDURE'!$P$7:$P$3006,"&lt;&gt;"&amp;C1383,'CARNET DE SOUDURE'!$P$7:$P$3006,"&lt;&gt;")&gt;0,"⚠ DIFFÉRENTE","OK"))</f>
        <v/>
      </c>
      <c r="F1383" s="147"/>
      <c r="G1383" s="80"/>
      <c r="H1383" s="83"/>
      <c r="I1383" s="148" t="str">
        <f aca="false">IF(B1383="","",IFERROR(INDEX('CARNET DE SOUDURE'!$B$7:$B$3006,MATCH(B1383,'CARNET DE SOUDURE'!$L$7:$L$3006,0)),IFERROR(INDEX('CARNET DE SOUDURE'!$B$7:$B$3006,MATCH(B1383,'CARNET DE SOUDURE'!$O$7:$O$3006,0)),"")))</f>
        <v/>
      </c>
      <c r="J1383" s="82" t="str">
        <f aca="false">IF(B1383="","",IFERROR(INDEX('CARNET DE SOUDURE'!$E$7:$E$3006,MATCH(B1383,'CARNET DE SOUDURE'!$O$7:$O$3006,0)),""))</f>
        <v/>
      </c>
      <c r="K1383" s="82" t="str">
        <f aca="false">IF(B1383="","",IFERROR(INDEX('CARNET DE SOUDURE'!$E$7:$E$3006,MATCH(B1383,'CARNET DE SOUDURE'!$L$7:$L$3006,0)),""))</f>
        <v/>
      </c>
      <c r="L1383" s="82" t="str">
        <f aca="false">IF(B1383="","",IFERROR(INDEX('CARNET DE SOUDURE'!$D$7:$D$3006,MATCH(B1383,'CARNET DE SOUDURE'!$L$7:$L$3006,0)),IFERROR(INDEX('CARNET DE SOUDURE'!$D$7:$D$3006,MATCH(B1383,'CARNET DE SOUDURE'!$O$7:$O$3006,0)),"")))</f>
        <v/>
      </c>
      <c r="M1383" s="82" t="str">
        <f aca="false">IF(B1383="","",IF(OR(J1383&lt;&gt;"",K1383&lt;&gt;""),"POSÉ EN LIGNE",IF(COUNTIF(BARDAGE!$C$1:$C$5000,B1383)&gt;0,"BARDÉ","EN STOCK")))</f>
        <v/>
      </c>
      <c r="N1383" s="80"/>
    </row>
    <row r="1384" customFormat="false" ht="15" hidden="false" customHeight="false" outlineLevel="0" collapsed="false">
      <c r="A1384" s="82" t="str">
        <f aca="false">IF(B1384="","",ROW()-6)</f>
        <v/>
      </c>
      <c r="B1384" s="145"/>
      <c r="C1384" s="146"/>
      <c r="D1384" s="146"/>
      <c r="E1384" s="82" t="str">
        <f aca="false">IF(B1384="","",IF(COUNTIFS('CARNET DE SOUDURE'!$L$7:$L$3006,B1384,'CARNET DE SOUDURE'!$M$7:$M$3006,"&lt;&gt;"&amp;C1384,'CARNET DE SOUDURE'!$M$7:$M$3006,"&lt;&gt;")+COUNTIFS('CARNET DE SOUDURE'!$O$7:$O$3006,B1384,'CARNET DE SOUDURE'!$P$7:$P$3006,"&lt;&gt;"&amp;C1384,'CARNET DE SOUDURE'!$P$7:$P$3006,"&lt;&gt;")&gt;0,"⚠ DIFFÉRENTE","OK"))</f>
        <v/>
      </c>
      <c r="F1384" s="147"/>
      <c r="G1384" s="80"/>
      <c r="H1384" s="83"/>
      <c r="I1384" s="148" t="str">
        <f aca="false">IF(B1384="","",IFERROR(INDEX('CARNET DE SOUDURE'!$B$7:$B$3006,MATCH(B1384,'CARNET DE SOUDURE'!$L$7:$L$3006,0)),IFERROR(INDEX('CARNET DE SOUDURE'!$B$7:$B$3006,MATCH(B1384,'CARNET DE SOUDURE'!$O$7:$O$3006,0)),"")))</f>
        <v/>
      </c>
      <c r="J1384" s="82" t="str">
        <f aca="false">IF(B1384="","",IFERROR(INDEX('CARNET DE SOUDURE'!$E$7:$E$3006,MATCH(B1384,'CARNET DE SOUDURE'!$O$7:$O$3006,0)),""))</f>
        <v/>
      </c>
      <c r="K1384" s="82" t="str">
        <f aca="false">IF(B1384="","",IFERROR(INDEX('CARNET DE SOUDURE'!$E$7:$E$3006,MATCH(B1384,'CARNET DE SOUDURE'!$L$7:$L$3006,0)),""))</f>
        <v/>
      </c>
      <c r="L1384" s="82" t="str">
        <f aca="false">IF(B1384="","",IFERROR(INDEX('CARNET DE SOUDURE'!$D$7:$D$3006,MATCH(B1384,'CARNET DE SOUDURE'!$L$7:$L$3006,0)),IFERROR(INDEX('CARNET DE SOUDURE'!$D$7:$D$3006,MATCH(B1384,'CARNET DE SOUDURE'!$O$7:$O$3006,0)),"")))</f>
        <v/>
      </c>
      <c r="M1384" s="82" t="str">
        <f aca="false">IF(B1384="","",IF(OR(J1384&lt;&gt;"",K1384&lt;&gt;""),"POSÉ EN LIGNE",IF(COUNTIF(BARDAGE!$C$1:$C$5000,B1384)&gt;0,"BARDÉ","EN STOCK")))</f>
        <v/>
      </c>
      <c r="N1384" s="80"/>
    </row>
    <row r="1385" customFormat="false" ht="15" hidden="false" customHeight="false" outlineLevel="0" collapsed="false">
      <c r="A1385" s="82" t="str">
        <f aca="false">IF(B1385="","",ROW()-6)</f>
        <v/>
      </c>
      <c r="B1385" s="145"/>
      <c r="C1385" s="146"/>
      <c r="D1385" s="146"/>
      <c r="E1385" s="82" t="str">
        <f aca="false">IF(B1385="","",IF(COUNTIFS('CARNET DE SOUDURE'!$L$7:$L$3006,B1385,'CARNET DE SOUDURE'!$M$7:$M$3006,"&lt;&gt;"&amp;C1385,'CARNET DE SOUDURE'!$M$7:$M$3006,"&lt;&gt;")+COUNTIFS('CARNET DE SOUDURE'!$O$7:$O$3006,B1385,'CARNET DE SOUDURE'!$P$7:$P$3006,"&lt;&gt;"&amp;C1385,'CARNET DE SOUDURE'!$P$7:$P$3006,"&lt;&gt;")&gt;0,"⚠ DIFFÉRENTE","OK"))</f>
        <v/>
      </c>
      <c r="F1385" s="147"/>
      <c r="G1385" s="80"/>
      <c r="H1385" s="83"/>
      <c r="I1385" s="148" t="str">
        <f aca="false">IF(B1385="","",IFERROR(INDEX('CARNET DE SOUDURE'!$B$7:$B$3006,MATCH(B1385,'CARNET DE SOUDURE'!$L$7:$L$3006,0)),IFERROR(INDEX('CARNET DE SOUDURE'!$B$7:$B$3006,MATCH(B1385,'CARNET DE SOUDURE'!$O$7:$O$3006,0)),"")))</f>
        <v/>
      </c>
      <c r="J1385" s="82" t="str">
        <f aca="false">IF(B1385="","",IFERROR(INDEX('CARNET DE SOUDURE'!$E$7:$E$3006,MATCH(B1385,'CARNET DE SOUDURE'!$O$7:$O$3006,0)),""))</f>
        <v/>
      </c>
      <c r="K1385" s="82" t="str">
        <f aca="false">IF(B1385="","",IFERROR(INDEX('CARNET DE SOUDURE'!$E$7:$E$3006,MATCH(B1385,'CARNET DE SOUDURE'!$L$7:$L$3006,0)),""))</f>
        <v/>
      </c>
      <c r="L1385" s="82" t="str">
        <f aca="false">IF(B1385="","",IFERROR(INDEX('CARNET DE SOUDURE'!$D$7:$D$3006,MATCH(B1385,'CARNET DE SOUDURE'!$L$7:$L$3006,0)),IFERROR(INDEX('CARNET DE SOUDURE'!$D$7:$D$3006,MATCH(B1385,'CARNET DE SOUDURE'!$O$7:$O$3006,0)),"")))</f>
        <v/>
      </c>
      <c r="M1385" s="82" t="str">
        <f aca="false">IF(B1385="","",IF(OR(J1385&lt;&gt;"",K1385&lt;&gt;""),"POSÉ EN LIGNE",IF(COUNTIF(BARDAGE!$C$1:$C$5000,B1385)&gt;0,"BARDÉ","EN STOCK")))</f>
        <v/>
      </c>
      <c r="N1385" s="80"/>
    </row>
    <row r="1386" customFormat="false" ht="15" hidden="false" customHeight="false" outlineLevel="0" collapsed="false">
      <c r="A1386" s="82" t="str">
        <f aca="false">IF(B1386="","",ROW()-6)</f>
        <v/>
      </c>
      <c r="B1386" s="145"/>
      <c r="C1386" s="146"/>
      <c r="D1386" s="146"/>
      <c r="E1386" s="82" t="str">
        <f aca="false">IF(B1386="","",IF(COUNTIFS('CARNET DE SOUDURE'!$L$7:$L$3006,B1386,'CARNET DE SOUDURE'!$M$7:$M$3006,"&lt;&gt;"&amp;C1386,'CARNET DE SOUDURE'!$M$7:$M$3006,"&lt;&gt;")+COUNTIFS('CARNET DE SOUDURE'!$O$7:$O$3006,B1386,'CARNET DE SOUDURE'!$P$7:$P$3006,"&lt;&gt;"&amp;C1386,'CARNET DE SOUDURE'!$P$7:$P$3006,"&lt;&gt;")&gt;0,"⚠ DIFFÉRENTE","OK"))</f>
        <v/>
      </c>
      <c r="F1386" s="147"/>
      <c r="G1386" s="80"/>
      <c r="H1386" s="83"/>
      <c r="I1386" s="148" t="str">
        <f aca="false">IF(B1386="","",IFERROR(INDEX('CARNET DE SOUDURE'!$B$7:$B$3006,MATCH(B1386,'CARNET DE SOUDURE'!$L$7:$L$3006,0)),IFERROR(INDEX('CARNET DE SOUDURE'!$B$7:$B$3006,MATCH(B1386,'CARNET DE SOUDURE'!$O$7:$O$3006,0)),"")))</f>
        <v/>
      </c>
      <c r="J1386" s="82" t="str">
        <f aca="false">IF(B1386="","",IFERROR(INDEX('CARNET DE SOUDURE'!$E$7:$E$3006,MATCH(B1386,'CARNET DE SOUDURE'!$O$7:$O$3006,0)),""))</f>
        <v/>
      </c>
      <c r="K1386" s="82" t="str">
        <f aca="false">IF(B1386="","",IFERROR(INDEX('CARNET DE SOUDURE'!$E$7:$E$3006,MATCH(B1386,'CARNET DE SOUDURE'!$L$7:$L$3006,0)),""))</f>
        <v/>
      </c>
      <c r="L1386" s="82" t="str">
        <f aca="false">IF(B1386="","",IFERROR(INDEX('CARNET DE SOUDURE'!$D$7:$D$3006,MATCH(B1386,'CARNET DE SOUDURE'!$L$7:$L$3006,0)),IFERROR(INDEX('CARNET DE SOUDURE'!$D$7:$D$3006,MATCH(B1386,'CARNET DE SOUDURE'!$O$7:$O$3006,0)),"")))</f>
        <v/>
      </c>
      <c r="M1386" s="82" t="str">
        <f aca="false">IF(B1386="","",IF(OR(J1386&lt;&gt;"",K1386&lt;&gt;""),"POSÉ EN LIGNE",IF(COUNTIF(BARDAGE!$C$1:$C$5000,B1386)&gt;0,"BARDÉ","EN STOCK")))</f>
        <v/>
      </c>
      <c r="N1386" s="80"/>
    </row>
    <row r="1387" customFormat="false" ht="15" hidden="false" customHeight="false" outlineLevel="0" collapsed="false">
      <c r="A1387" s="82" t="str">
        <f aca="false">IF(B1387="","",ROW()-6)</f>
        <v/>
      </c>
      <c r="B1387" s="145"/>
      <c r="C1387" s="146"/>
      <c r="D1387" s="146"/>
      <c r="E1387" s="82" t="str">
        <f aca="false">IF(B1387="","",IF(COUNTIFS('CARNET DE SOUDURE'!$L$7:$L$3006,B1387,'CARNET DE SOUDURE'!$M$7:$M$3006,"&lt;&gt;"&amp;C1387,'CARNET DE SOUDURE'!$M$7:$M$3006,"&lt;&gt;")+COUNTIFS('CARNET DE SOUDURE'!$O$7:$O$3006,B1387,'CARNET DE SOUDURE'!$P$7:$P$3006,"&lt;&gt;"&amp;C1387,'CARNET DE SOUDURE'!$P$7:$P$3006,"&lt;&gt;")&gt;0,"⚠ DIFFÉRENTE","OK"))</f>
        <v/>
      </c>
      <c r="F1387" s="147"/>
      <c r="G1387" s="80"/>
      <c r="H1387" s="83"/>
      <c r="I1387" s="148" t="str">
        <f aca="false">IF(B1387="","",IFERROR(INDEX('CARNET DE SOUDURE'!$B$7:$B$3006,MATCH(B1387,'CARNET DE SOUDURE'!$L$7:$L$3006,0)),IFERROR(INDEX('CARNET DE SOUDURE'!$B$7:$B$3006,MATCH(B1387,'CARNET DE SOUDURE'!$O$7:$O$3006,0)),"")))</f>
        <v/>
      </c>
      <c r="J1387" s="82" t="str">
        <f aca="false">IF(B1387="","",IFERROR(INDEX('CARNET DE SOUDURE'!$E$7:$E$3006,MATCH(B1387,'CARNET DE SOUDURE'!$O$7:$O$3006,0)),""))</f>
        <v/>
      </c>
      <c r="K1387" s="82" t="str">
        <f aca="false">IF(B1387="","",IFERROR(INDEX('CARNET DE SOUDURE'!$E$7:$E$3006,MATCH(B1387,'CARNET DE SOUDURE'!$L$7:$L$3006,0)),""))</f>
        <v/>
      </c>
      <c r="L1387" s="82" t="str">
        <f aca="false">IF(B1387="","",IFERROR(INDEX('CARNET DE SOUDURE'!$D$7:$D$3006,MATCH(B1387,'CARNET DE SOUDURE'!$L$7:$L$3006,0)),IFERROR(INDEX('CARNET DE SOUDURE'!$D$7:$D$3006,MATCH(B1387,'CARNET DE SOUDURE'!$O$7:$O$3006,0)),"")))</f>
        <v/>
      </c>
      <c r="M1387" s="82" t="str">
        <f aca="false">IF(B1387="","",IF(OR(J1387&lt;&gt;"",K1387&lt;&gt;""),"POSÉ EN LIGNE",IF(COUNTIF(BARDAGE!$C$1:$C$5000,B1387)&gt;0,"BARDÉ","EN STOCK")))</f>
        <v/>
      </c>
      <c r="N1387" s="80"/>
    </row>
    <row r="1388" customFormat="false" ht="15" hidden="false" customHeight="false" outlineLevel="0" collapsed="false">
      <c r="A1388" s="82" t="str">
        <f aca="false">IF(B1388="","",ROW()-6)</f>
        <v/>
      </c>
      <c r="B1388" s="145"/>
      <c r="C1388" s="146"/>
      <c r="D1388" s="146"/>
      <c r="E1388" s="82" t="str">
        <f aca="false">IF(B1388="","",IF(COUNTIFS('CARNET DE SOUDURE'!$L$7:$L$3006,B1388,'CARNET DE SOUDURE'!$M$7:$M$3006,"&lt;&gt;"&amp;C1388,'CARNET DE SOUDURE'!$M$7:$M$3006,"&lt;&gt;")+COUNTIFS('CARNET DE SOUDURE'!$O$7:$O$3006,B1388,'CARNET DE SOUDURE'!$P$7:$P$3006,"&lt;&gt;"&amp;C1388,'CARNET DE SOUDURE'!$P$7:$P$3006,"&lt;&gt;")&gt;0,"⚠ DIFFÉRENTE","OK"))</f>
        <v/>
      </c>
      <c r="F1388" s="147"/>
      <c r="G1388" s="80"/>
      <c r="H1388" s="83"/>
      <c r="I1388" s="148" t="str">
        <f aca="false">IF(B1388="","",IFERROR(INDEX('CARNET DE SOUDURE'!$B$7:$B$3006,MATCH(B1388,'CARNET DE SOUDURE'!$L$7:$L$3006,0)),IFERROR(INDEX('CARNET DE SOUDURE'!$B$7:$B$3006,MATCH(B1388,'CARNET DE SOUDURE'!$O$7:$O$3006,0)),"")))</f>
        <v/>
      </c>
      <c r="J1388" s="82" t="str">
        <f aca="false">IF(B1388="","",IFERROR(INDEX('CARNET DE SOUDURE'!$E$7:$E$3006,MATCH(B1388,'CARNET DE SOUDURE'!$O$7:$O$3006,0)),""))</f>
        <v/>
      </c>
      <c r="K1388" s="82" t="str">
        <f aca="false">IF(B1388="","",IFERROR(INDEX('CARNET DE SOUDURE'!$E$7:$E$3006,MATCH(B1388,'CARNET DE SOUDURE'!$L$7:$L$3006,0)),""))</f>
        <v/>
      </c>
      <c r="L1388" s="82" t="str">
        <f aca="false">IF(B1388="","",IFERROR(INDEX('CARNET DE SOUDURE'!$D$7:$D$3006,MATCH(B1388,'CARNET DE SOUDURE'!$L$7:$L$3006,0)),IFERROR(INDEX('CARNET DE SOUDURE'!$D$7:$D$3006,MATCH(B1388,'CARNET DE SOUDURE'!$O$7:$O$3006,0)),"")))</f>
        <v/>
      </c>
      <c r="M1388" s="82" t="str">
        <f aca="false">IF(B1388="","",IF(OR(J1388&lt;&gt;"",K1388&lt;&gt;""),"POSÉ EN LIGNE",IF(COUNTIF(BARDAGE!$C$1:$C$5000,B1388)&gt;0,"BARDÉ","EN STOCK")))</f>
        <v/>
      </c>
      <c r="N1388" s="80"/>
    </row>
    <row r="1389" customFormat="false" ht="15" hidden="false" customHeight="false" outlineLevel="0" collapsed="false">
      <c r="A1389" s="82" t="str">
        <f aca="false">IF(B1389="","",ROW()-6)</f>
        <v/>
      </c>
      <c r="B1389" s="145"/>
      <c r="C1389" s="146"/>
      <c r="D1389" s="146"/>
      <c r="E1389" s="82" t="str">
        <f aca="false">IF(B1389="","",IF(COUNTIFS('CARNET DE SOUDURE'!$L$7:$L$3006,B1389,'CARNET DE SOUDURE'!$M$7:$M$3006,"&lt;&gt;"&amp;C1389,'CARNET DE SOUDURE'!$M$7:$M$3006,"&lt;&gt;")+COUNTIFS('CARNET DE SOUDURE'!$O$7:$O$3006,B1389,'CARNET DE SOUDURE'!$P$7:$P$3006,"&lt;&gt;"&amp;C1389,'CARNET DE SOUDURE'!$P$7:$P$3006,"&lt;&gt;")&gt;0,"⚠ DIFFÉRENTE","OK"))</f>
        <v/>
      </c>
      <c r="F1389" s="147"/>
      <c r="G1389" s="80"/>
      <c r="H1389" s="83"/>
      <c r="I1389" s="148" t="str">
        <f aca="false">IF(B1389="","",IFERROR(INDEX('CARNET DE SOUDURE'!$B$7:$B$3006,MATCH(B1389,'CARNET DE SOUDURE'!$L$7:$L$3006,0)),IFERROR(INDEX('CARNET DE SOUDURE'!$B$7:$B$3006,MATCH(B1389,'CARNET DE SOUDURE'!$O$7:$O$3006,0)),"")))</f>
        <v/>
      </c>
      <c r="J1389" s="82" t="str">
        <f aca="false">IF(B1389="","",IFERROR(INDEX('CARNET DE SOUDURE'!$E$7:$E$3006,MATCH(B1389,'CARNET DE SOUDURE'!$O$7:$O$3006,0)),""))</f>
        <v/>
      </c>
      <c r="K1389" s="82" t="str">
        <f aca="false">IF(B1389="","",IFERROR(INDEX('CARNET DE SOUDURE'!$E$7:$E$3006,MATCH(B1389,'CARNET DE SOUDURE'!$L$7:$L$3006,0)),""))</f>
        <v/>
      </c>
      <c r="L1389" s="82" t="str">
        <f aca="false">IF(B1389="","",IFERROR(INDEX('CARNET DE SOUDURE'!$D$7:$D$3006,MATCH(B1389,'CARNET DE SOUDURE'!$L$7:$L$3006,0)),IFERROR(INDEX('CARNET DE SOUDURE'!$D$7:$D$3006,MATCH(B1389,'CARNET DE SOUDURE'!$O$7:$O$3006,0)),"")))</f>
        <v/>
      </c>
      <c r="M1389" s="82" t="str">
        <f aca="false">IF(B1389="","",IF(OR(J1389&lt;&gt;"",K1389&lt;&gt;""),"POSÉ EN LIGNE",IF(COUNTIF(BARDAGE!$C$1:$C$5000,B1389)&gt;0,"BARDÉ","EN STOCK")))</f>
        <v/>
      </c>
      <c r="N1389" s="80"/>
    </row>
    <row r="1390" customFormat="false" ht="15" hidden="false" customHeight="false" outlineLevel="0" collapsed="false">
      <c r="A1390" s="82" t="str">
        <f aca="false">IF(B1390="","",ROW()-6)</f>
        <v/>
      </c>
      <c r="B1390" s="145"/>
      <c r="C1390" s="146"/>
      <c r="D1390" s="146"/>
      <c r="E1390" s="82" t="str">
        <f aca="false">IF(B1390="","",IF(COUNTIFS('CARNET DE SOUDURE'!$L$7:$L$3006,B1390,'CARNET DE SOUDURE'!$M$7:$M$3006,"&lt;&gt;"&amp;C1390,'CARNET DE SOUDURE'!$M$7:$M$3006,"&lt;&gt;")+COUNTIFS('CARNET DE SOUDURE'!$O$7:$O$3006,B1390,'CARNET DE SOUDURE'!$P$7:$P$3006,"&lt;&gt;"&amp;C1390,'CARNET DE SOUDURE'!$P$7:$P$3006,"&lt;&gt;")&gt;0,"⚠ DIFFÉRENTE","OK"))</f>
        <v/>
      </c>
      <c r="F1390" s="147"/>
      <c r="G1390" s="80"/>
      <c r="H1390" s="83"/>
      <c r="I1390" s="148" t="str">
        <f aca="false">IF(B1390="","",IFERROR(INDEX('CARNET DE SOUDURE'!$B$7:$B$3006,MATCH(B1390,'CARNET DE SOUDURE'!$L$7:$L$3006,0)),IFERROR(INDEX('CARNET DE SOUDURE'!$B$7:$B$3006,MATCH(B1390,'CARNET DE SOUDURE'!$O$7:$O$3006,0)),"")))</f>
        <v/>
      </c>
      <c r="J1390" s="82" t="str">
        <f aca="false">IF(B1390="","",IFERROR(INDEX('CARNET DE SOUDURE'!$E$7:$E$3006,MATCH(B1390,'CARNET DE SOUDURE'!$O$7:$O$3006,0)),""))</f>
        <v/>
      </c>
      <c r="K1390" s="82" t="str">
        <f aca="false">IF(B1390="","",IFERROR(INDEX('CARNET DE SOUDURE'!$E$7:$E$3006,MATCH(B1390,'CARNET DE SOUDURE'!$L$7:$L$3006,0)),""))</f>
        <v/>
      </c>
      <c r="L1390" s="82" t="str">
        <f aca="false">IF(B1390="","",IFERROR(INDEX('CARNET DE SOUDURE'!$D$7:$D$3006,MATCH(B1390,'CARNET DE SOUDURE'!$L$7:$L$3006,0)),IFERROR(INDEX('CARNET DE SOUDURE'!$D$7:$D$3006,MATCH(B1390,'CARNET DE SOUDURE'!$O$7:$O$3006,0)),"")))</f>
        <v/>
      </c>
      <c r="M1390" s="82" t="str">
        <f aca="false">IF(B1390="","",IF(OR(J1390&lt;&gt;"",K1390&lt;&gt;""),"POSÉ EN LIGNE",IF(COUNTIF(BARDAGE!$C$1:$C$5000,B1390)&gt;0,"BARDÉ","EN STOCK")))</f>
        <v/>
      </c>
      <c r="N1390" s="80"/>
    </row>
    <row r="1391" customFormat="false" ht="15" hidden="false" customHeight="false" outlineLevel="0" collapsed="false">
      <c r="A1391" s="82" t="str">
        <f aca="false">IF(B1391="","",ROW()-6)</f>
        <v/>
      </c>
      <c r="B1391" s="145"/>
      <c r="C1391" s="146"/>
      <c r="D1391" s="146"/>
      <c r="E1391" s="82" t="str">
        <f aca="false">IF(B1391="","",IF(COUNTIFS('CARNET DE SOUDURE'!$L$7:$L$3006,B1391,'CARNET DE SOUDURE'!$M$7:$M$3006,"&lt;&gt;"&amp;C1391,'CARNET DE SOUDURE'!$M$7:$M$3006,"&lt;&gt;")+COUNTIFS('CARNET DE SOUDURE'!$O$7:$O$3006,B1391,'CARNET DE SOUDURE'!$P$7:$P$3006,"&lt;&gt;"&amp;C1391,'CARNET DE SOUDURE'!$P$7:$P$3006,"&lt;&gt;")&gt;0,"⚠ DIFFÉRENTE","OK"))</f>
        <v/>
      </c>
      <c r="F1391" s="147"/>
      <c r="G1391" s="80"/>
      <c r="H1391" s="83"/>
      <c r="I1391" s="148" t="str">
        <f aca="false">IF(B1391="","",IFERROR(INDEX('CARNET DE SOUDURE'!$B$7:$B$3006,MATCH(B1391,'CARNET DE SOUDURE'!$L$7:$L$3006,0)),IFERROR(INDEX('CARNET DE SOUDURE'!$B$7:$B$3006,MATCH(B1391,'CARNET DE SOUDURE'!$O$7:$O$3006,0)),"")))</f>
        <v/>
      </c>
      <c r="J1391" s="82" t="str">
        <f aca="false">IF(B1391="","",IFERROR(INDEX('CARNET DE SOUDURE'!$E$7:$E$3006,MATCH(B1391,'CARNET DE SOUDURE'!$O$7:$O$3006,0)),""))</f>
        <v/>
      </c>
      <c r="K1391" s="82" t="str">
        <f aca="false">IF(B1391="","",IFERROR(INDEX('CARNET DE SOUDURE'!$E$7:$E$3006,MATCH(B1391,'CARNET DE SOUDURE'!$L$7:$L$3006,0)),""))</f>
        <v/>
      </c>
      <c r="L1391" s="82" t="str">
        <f aca="false">IF(B1391="","",IFERROR(INDEX('CARNET DE SOUDURE'!$D$7:$D$3006,MATCH(B1391,'CARNET DE SOUDURE'!$L$7:$L$3006,0)),IFERROR(INDEX('CARNET DE SOUDURE'!$D$7:$D$3006,MATCH(B1391,'CARNET DE SOUDURE'!$O$7:$O$3006,0)),"")))</f>
        <v/>
      </c>
      <c r="M1391" s="82" t="str">
        <f aca="false">IF(B1391="","",IF(OR(J1391&lt;&gt;"",K1391&lt;&gt;""),"POSÉ EN LIGNE",IF(COUNTIF(BARDAGE!$C$1:$C$5000,B1391)&gt;0,"BARDÉ","EN STOCK")))</f>
        <v/>
      </c>
      <c r="N1391" s="80"/>
    </row>
    <row r="1392" customFormat="false" ht="15" hidden="false" customHeight="false" outlineLevel="0" collapsed="false">
      <c r="A1392" s="82" t="str">
        <f aca="false">IF(B1392="","",ROW()-6)</f>
        <v/>
      </c>
      <c r="B1392" s="145"/>
      <c r="C1392" s="146"/>
      <c r="D1392" s="146"/>
      <c r="E1392" s="82" t="str">
        <f aca="false">IF(B1392="","",IF(COUNTIFS('CARNET DE SOUDURE'!$L$7:$L$3006,B1392,'CARNET DE SOUDURE'!$M$7:$M$3006,"&lt;&gt;"&amp;C1392,'CARNET DE SOUDURE'!$M$7:$M$3006,"&lt;&gt;")+COUNTIFS('CARNET DE SOUDURE'!$O$7:$O$3006,B1392,'CARNET DE SOUDURE'!$P$7:$P$3006,"&lt;&gt;"&amp;C1392,'CARNET DE SOUDURE'!$P$7:$P$3006,"&lt;&gt;")&gt;0,"⚠ DIFFÉRENTE","OK"))</f>
        <v/>
      </c>
      <c r="F1392" s="147"/>
      <c r="G1392" s="80"/>
      <c r="H1392" s="83"/>
      <c r="I1392" s="148" t="str">
        <f aca="false">IF(B1392="","",IFERROR(INDEX('CARNET DE SOUDURE'!$B$7:$B$3006,MATCH(B1392,'CARNET DE SOUDURE'!$L$7:$L$3006,0)),IFERROR(INDEX('CARNET DE SOUDURE'!$B$7:$B$3006,MATCH(B1392,'CARNET DE SOUDURE'!$O$7:$O$3006,0)),"")))</f>
        <v/>
      </c>
      <c r="J1392" s="82" t="str">
        <f aca="false">IF(B1392="","",IFERROR(INDEX('CARNET DE SOUDURE'!$E$7:$E$3006,MATCH(B1392,'CARNET DE SOUDURE'!$O$7:$O$3006,0)),""))</f>
        <v/>
      </c>
      <c r="K1392" s="82" t="str">
        <f aca="false">IF(B1392="","",IFERROR(INDEX('CARNET DE SOUDURE'!$E$7:$E$3006,MATCH(B1392,'CARNET DE SOUDURE'!$L$7:$L$3006,0)),""))</f>
        <v/>
      </c>
      <c r="L1392" s="82" t="str">
        <f aca="false">IF(B1392="","",IFERROR(INDEX('CARNET DE SOUDURE'!$D$7:$D$3006,MATCH(B1392,'CARNET DE SOUDURE'!$L$7:$L$3006,0)),IFERROR(INDEX('CARNET DE SOUDURE'!$D$7:$D$3006,MATCH(B1392,'CARNET DE SOUDURE'!$O$7:$O$3006,0)),"")))</f>
        <v/>
      </c>
      <c r="M1392" s="82" t="str">
        <f aca="false">IF(B1392="","",IF(OR(J1392&lt;&gt;"",K1392&lt;&gt;""),"POSÉ EN LIGNE",IF(COUNTIF(BARDAGE!$C$1:$C$5000,B1392)&gt;0,"BARDÉ","EN STOCK")))</f>
        <v/>
      </c>
      <c r="N1392" s="80"/>
    </row>
    <row r="1393" customFormat="false" ht="15" hidden="false" customHeight="false" outlineLevel="0" collapsed="false">
      <c r="A1393" s="82" t="str">
        <f aca="false">IF(B1393="","",ROW()-6)</f>
        <v/>
      </c>
      <c r="B1393" s="145"/>
      <c r="C1393" s="146"/>
      <c r="D1393" s="146"/>
      <c r="E1393" s="82" t="str">
        <f aca="false">IF(B1393="","",IF(COUNTIFS('CARNET DE SOUDURE'!$L$7:$L$3006,B1393,'CARNET DE SOUDURE'!$M$7:$M$3006,"&lt;&gt;"&amp;C1393,'CARNET DE SOUDURE'!$M$7:$M$3006,"&lt;&gt;")+COUNTIFS('CARNET DE SOUDURE'!$O$7:$O$3006,B1393,'CARNET DE SOUDURE'!$P$7:$P$3006,"&lt;&gt;"&amp;C1393,'CARNET DE SOUDURE'!$P$7:$P$3006,"&lt;&gt;")&gt;0,"⚠ DIFFÉRENTE","OK"))</f>
        <v/>
      </c>
      <c r="F1393" s="147"/>
      <c r="G1393" s="80"/>
      <c r="H1393" s="83"/>
      <c r="I1393" s="148" t="str">
        <f aca="false">IF(B1393="","",IFERROR(INDEX('CARNET DE SOUDURE'!$B$7:$B$3006,MATCH(B1393,'CARNET DE SOUDURE'!$L$7:$L$3006,0)),IFERROR(INDEX('CARNET DE SOUDURE'!$B$7:$B$3006,MATCH(B1393,'CARNET DE SOUDURE'!$O$7:$O$3006,0)),"")))</f>
        <v/>
      </c>
      <c r="J1393" s="82" t="str">
        <f aca="false">IF(B1393="","",IFERROR(INDEX('CARNET DE SOUDURE'!$E$7:$E$3006,MATCH(B1393,'CARNET DE SOUDURE'!$O$7:$O$3006,0)),""))</f>
        <v/>
      </c>
      <c r="K1393" s="82" t="str">
        <f aca="false">IF(B1393="","",IFERROR(INDEX('CARNET DE SOUDURE'!$E$7:$E$3006,MATCH(B1393,'CARNET DE SOUDURE'!$L$7:$L$3006,0)),""))</f>
        <v/>
      </c>
      <c r="L1393" s="82" t="str">
        <f aca="false">IF(B1393="","",IFERROR(INDEX('CARNET DE SOUDURE'!$D$7:$D$3006,MATCH(B1393,'CARNET DE SOUDURE'!$L$7:$L$3006,0)),IFERROR(INDEX('CARNET DE SOUDURE'!$D$7:$D$3006,MATCH(B1393,'CARNET DE SOUDURE'!$O$7:$O$3006,0)),"")))</f>
        <v/>
      </c>
      <c r="M1393" s="82" t="str">
        <f aca="false">IF(B1393="","",IF(OR(J1393&lt;&gt;"",K1393&lt;&gt;""),"POSÉ EN LIGNE",IF(COUNTIF(BARDAGE!$C$1:$C$5000,B1393)&gt;0,"BARDÉ","EN STOCK")))</f>
        <v/>
      </c>
      <c r="N1393" s="80"/>
    </row>
    <row r="1394" customFormat="false" ht="15" hidden="false" customHeight="false" outlineLevel="0" collapsed="false">
      <c r="A1394" s="82" t="str">
        <f aca="false">IF(B1394="","",ROW()-6)</f>
        <v/>
      </c>
      <c r="B1394" s="145"/>
      <c r="C1394" s="146"/>
      <c r="D1394" s="146"/>
      <c r="E1394" s="82" t="str">
        <f aca="false">IF(B1394="","",IF(COUNTIFS('CARNET DE SOUDURE'!$L$7:$L$3006,B1394,'CARNET DE SOUDURE'!$M$7:$M$3006,"&lt;&gt;"&amp;C1394,'CARNET DE SOUDURE'!$M$7:$M$3006,"&lt;&gt;")+COUNTIFS('CARNET DE SOUDURE'!$O$7:$O$3006,B1394,'CARNET DE SOUDURE'!$P$7:$P$3006,"&lt;&gt;"&amp;C1394,'CARNET DE SOUDURE'!$P$7:$P$3006,"&lt;&gt;")&gt;0,"⚠ DIFFÉRENTE","OK"))</f>
        <v/>
      </c>
      <c r="F1394" s="147"/>
      <c r="G1394" s="80"/>
      <c r="H1394" s="83"/>
      <c r="I1394" s="148" t="str">
        <f aca="false">IF(B1394="","",IFERROR(INDEX('CARNET DE SOUDURE'!$B$7:$B$3006,MATCH(B1394,'CARNET DE SOUDURE'!$L$7:$L$3006,0)),IFERROR(INDEX('CARNET DE SOUDURE'!$B$7:$B$3006,MATCH(B1394,'CARNET DE SOUDURE'!$O$7:$O$3006,0)),"")))</f>
        <v/>
      </c>
      <c r="J1394" s="82" t="str">
        <f aca="false">IF(B1394="","",IFERROR(INDEX('CARNET DE SOUDURE'!$E$7:$E$3006,MATCH(B1394,'CARNET DE SOUDURE'!$O$7:$O$3006,0)),""))</f>
        <v/>
      </c>
      <c r="K1394" s="82" t="str">
        <f aca="false">IF(B1394="","",IFERROR(INDEX('CARNET DE SOUDURE'!$E$7:$E$3006,MATCH(B1394,'CARNET DE SOUDURE'!$L$7:$L$3006,0)),""))</f>
        <v/>
      </c>
      <c r="L1394" s="82" t="str">
        <f aca="false">IF(B1394="","",IFERROR(INDEX('CARNET DE SOUDURE'!$D$7:$D$3006,MATCH(B1394,'CARNET DE SOUDURE'!$L$7:$L$3006,0)),IFERROR(INDEX('CARNET DE SOUDURE'!$D$7:$D$3006,MATCH(B1394,'CARNET DE SOUDURE'!$O$7:$O$3006,0)),"")))</f>
        <v/>
      </c>
      <c r="M1394" s="82" t="str">
        <f aca="false">IF(B1394="","",IF(OR(J1394&lt;&gt;"",K1394&lt;&gt;""),"POSÉ EN LIGNE",IF(COUNTIF(BARDAGE!$C$1:$C$5000,B1394)&gt;0,"BARDÉ","EN STOCK")))</f>
        <v/>
      </c>
      <c r="N1394" s="80"/>
    </row>
    <row r="1395" customFormat="false" ht="15" hidden="false" customHeight="false" outlineLevel="0" collapsed="false">
      <c r="A1395" s="82" t="str">
        <f aca="false">IF(B1395="","",ROW()-6)</f>
        <v/>
      </c>
      <c r="B1395" s="145"/>
      <c r="C1395" s="146"/>
      <c r="D1395" s="146"/>
      <c r="E1395" s="82" t="str">
        <f aca="false">IF(B1395="","",IF(COUNTIFS('CARNET DE SOUDURE'!$L$7:$L$3006,B1395,'CARNET DE SOUDURE'!$M$7:$M$3006,"&lt;&gt;"&amp;C1395,'CARNET DE SOUDURE'!$M$7:$M$3006,"&lt;&gt;")+COUNTIFS('CARNET DE SOUDURE'!$O$7:$O$3006,B1395,'CARNET DE SOUDURE'!$P$7:$P$3006,"&lt;&gt;"&amp;C1395,'CARNET DE SOUDURE'!$P$7:$P$3006,"&lt;&gt;")&gt;0,"⚠ DIFFÉRENTE","OK"))</f>
        <v/>
      </c>
      <c r="F1395" s="147"/>
      <c r="G1395" s="80"/>
      <c r="H1395" s="83"/>
      <c r="I1395" s="148" t="str">
        <f aca="false">IF(B1395="","",IFERROR(INDEX('CARNET DE SOUDURE'!$B$7:$B$3006,MATCH(B1395,'CARNET DE SOUDURE'!$L$7:$L$3006,0)),IFERROR(INDEX('CARNET DE SOUDURE'!$B$7:$B$3006,MATCH(B1395,'CARNET DE SOUDURE'!$O$7:$O$3006,0)),"")))</f>
        <v/>
      </c>
      <c r="J1395" s="82" t="str">
        <f aca="false">IF(B1395="","",IFERROR(INDEX('CARNET DE SOUDURE'!$E$7:$E$3006,MATCH(B1395,'CARNET DE SOUDURE'!$O$7:$O$3006,0)),""))</f>
        <v/>
      </c>
      <c r="K1395" s="82" t="str">
        <f aca="false">IF(B1395="","",IFERROR(INDEX('CARNET DE SOUDURE'!$E$7:$E$3006,MATCH(B1395,'CARNET DE SOUDURE'!$L$7:$L$3006,0)),""))</f>
        <v/>
      </c>
      <c r="L1395" s="82" t="str">
        <f aca="false">IF(B1395="","",IFERROR(INDEX('CARNET DE SOUDURE'!$D$7:$D$3006,MATCH(B1395,'CARNET DE SOUDURE'!$L$7:$L$3006,0)),IFERROR(INDEX('CARNET DE SOUDURE'!$D$7:$D$3006,MATCH(B1395,'CARNET DE SOUDURE'!$O$7:$O$3006,0)),"")))</f>
        <v/>
      </c>
      <c r="M1395" s="82" t="str">
        <f aca="false">IF(B1395="","",IF(OR(J1395&lt;&gt;"",K1395&lt;&gt;""),"POSÉ EN LIGNE",IF(COUNTIF(BARDAGE!$C$1:$C$5000,B1395)&gt;0,"BARDÉ","EN STOCK")))</f>
        <v/>
      </c>
      <c r="N1395" s="80"/>
    </row>
    <row r="1396" customFormat="false" ht="15" hidden="false" customHeight="false" outlineLevel="0" collapsed="false">
      <c r="A1396" s="82" t="str">
        <f aca="false">IF(B1396="","",ROW()-6)</f>
        <v/>
      </c>
      <c r="B1396" s="145"/>
      <c r="C1396" s="146"/>
      <c r="D1396" s="146"/>
      <c r="E1396" s="82" t="str">
        <f aca="false">IF(B1396="","",IF(COUNTIFS('CARNET DE SOUDURE'!$L$7:$L$3006,B1396,'CARNET DE SOUDURE'!$M$7:$M$3006,"&lt;&gt;"&amp;C1396,'CARNET DE SOUDURE'!$M$7:$M$3006,"&lt;&gt;")+COUNTIFS('CARNET DE SOUDURE'!$O$7:$O$3006,B1396,'CARNET DE SOUDURE'!$P$7:$P$3006,"&lt;&gt;"&amp;C1396,'CARNET DE SOUDURE'!$P$7:$P$3006,"&lt;&gt;")&gt;0,"⚠ DIFFÉRENTE","OK"))</f>
        <v/>
      </c>
      <c r="F1396" s="147"/>
      <c r="G1396" s="80"/>
      <c r="H1396" s="83"/>
      <c r="I1396" s="148" t="str">
        <f aca="false">IF(B1396="","",IFERROR(INDEX('CARNET DE SOUDURE'!$B$7:$B$3006,MATCH(B1396,'CARNET DE SOUDURE'!$L$7:$L$3006,0)),IFERROR(INDEX('CARNET DE SOUDURE'!$B$7:$B$3006,MATCH(B1396,'CARNET DE SOUDURE'!$O$7:$O$3006,0)),"")))</f>
        <v/>
      </c>
      <c r="J1396" s="82" t="str">
        <f aca="false">IF(B1396="","",IFERROR(INDEX('CARNET DE SOUDURE'!$E$7:$E$3006,MATCH(B1396,'CARNET DE SOUDURE'!$O$7:$O$3006,0)),""))</f>
        <v/>
      </c>
      <c r="K1396" s="82" t="str">
        <f aca="false">IF(B1396="","",IFERROR(INDEX('CARNET DE SOUDURE'!$E$7:$E$3006,MATCH(B1396,'CARNET DE SOUDURE'!$L$7:$L$3006,0)),""))</f>
        <v/>
      </c>
      <c r="L1396" s="82" t="str">
        <f aca="false">IF(B1396="","",IFERROR(INDEX('CARNET DE SOUDURE'!$D$7:$D$3006,MATCH(B1396,'CARNET DE SOUDURE'!$L$7:$L$3006,0)),IFERROR(INDEX('CARNET DE SOUDURE'!$D$7:$D$3006,MATCH(B1396,'CARNET DE SOUDURE'!$O$7:$O$3006,0)),"")))</f>
        <v/>
      </c>
      <c r="M1396" s="82" t="str">
        <f aca="false">IF(B1396="","",IF(OR(J1396&lt;&gt;"",K1396&lt;&gt;""),"POSÉ EN LIGNE",IF(COUNTIF(BARDAGE!$C$1:$C$5000,B1396)&gt;0,"BARDÉ","EN STOCK")))</f>
        <v/>
      </c>
      <c r="N1396" s="80"/>
    </row>
    <row r="1397" customFormat="false" ht="15" hidden="false" customHeight="false" outlineLevel="0" collapsed="false">
      <c r="A1397" s="82" t="str">
        <f aca="false">IF(B1397="","",ROW()-6)</f>
        <v/>
      </c>
      <c r="B1397" s="145"/>
      <c r="C1397" s="146"/>
      <c r="D1397" s="146"/>
      <c r="E1397" s="82" t="str">
        <f aca="false">IF(B1397="","",IF(COUNTIFS('CARNET DE SOUDURE'!$L$7:$L$3006,B1397,'CARNET DE SOUDURE'!$M$7:$M$3006,"&lt;&gt;"&amp;C1397,'CARNET DE SOUDURE'!$M$7:$M$3006,"&lt;&gt;")+COUNTIFS('CARNET DE SOUDURE'!$O$7:$O$3006,B1397,'CARNET DE SOUDURE'!$P$7:$P$3006,"&lt;&gt;"&amp;C1397,'CARNET DE SOUDURE'!$P$7:$P$3006,"&lt;&gt;")&gt;0,"⚠ DIFFÉRENTE","OK"))</f>
        <v/>
      </c>
      <c r="F1397" s="147"/>
      <c r="G1397" s="80"/>
      <c r="H1397" s="83"/>
      <c r="I1397" s="148" t="str">
        <f aca="false">IF(B1397="","",IFERROR(INDEX('CARNET DE SOUDURE'!$B$7:$B$3006,MATCH(B1397,'CARNET DE SOUDURE'!$L$7:$L$3006,0)),IFERROR(INDEX('CARNET DE SOUDURE'!$B$7:$B$3006,MATCH(B1397,'CARNET DE SOUDURE'!$O$7:$O$3006,0)),"")))</f>
        <v/>
      </c>
      <c r="J1397" s="82" t="str">
        <f aca="false">IF(B1397="","",IFERROR(INDEX('CARNET DE SOUDURE'!$E$7:$E$3006,MATCH(B1397,'CARNET DE SOUDURE'!$O$7:$O$3006,0)),""))</f>
        <v/>
      </c>
      <c r="K1397" s="82" t="str">
        <f aca="false">IF(B1397="","",IFERROR(INDEX('CARNET DE SOUDURE'!$E$7:$E$3006,MATCH(B1397,'CARNET DE SOUDURE'!$L$7:$L$3006,0)),""))</f>
        <v/>
      </c>
      <c r="L1397" s="82" t="str">
        <f aca="false">IF(B1397="","",IFERROR(INDEX('CARNET DE SOUDURE'!$D$7:$D$3006,MATCH(B1397,'CARNET DE SOUDURE'!$L$7:$L$3006,0)),IFERROR(INDEX('CARNET DE SOUDURE'!$D$7:$D$3006,MATCH(B1397,'CARNET DE SOUDURE'!$O$7:$O$3006,0)),"")))</f>
        <v/>
      </c>
      <c r="M1397" s="82" t="str">
        <f aca="false">IF(B1397="","",IF(OR(J1397&lt;&gt;"",K1397&lt;&gt;""),"POSÉ EN LIGNE",IF(COUNTIF(BARDAGE!$C$1:$C$5000,B1397)&gt;0,"BARDÉ","EN STOCK")))</f>
        <v/>
      </c>
      <c r="N1397" s="80"/>
    </row>
    <row r="1398" customFormat="false" ht="15" hidden="false" customHeight="false" outlineLevel="0" collapsed="false">
      <c r="A1398" s="82" t="str">
        <f aca="false">IF(B1398="","",ROW()-6)</f>
        <v/>
      </c>
      <c r="B1398" s="145"/>
      <c r="C1398" s="146"/>
      <c r="D1398" s="146"/>
      <c r="E1398" s="82" t="str">
        <f aca="false">IF(B1398="","",IF(COUNTIFS('CARNET DE SOUDURE'!$L$7:$L$3006,B1398,'CARNET DE SOUDURE'!$M$7:$M$3006,"&lt;&gt;"&amp;C1398,'CARNET DE SOUDURE'!$M$7:$M$3006,"&lt;&gt;")+COUNTIFS('CARNET DE SOUDURE'!$O$7:$O$3006,B1398,'CARNET DE SOUDURE'!$P$7:$P$3006,"&lt;&gt;"&amp;C1398,'CARNET DE SOUDURE'!$P$7:$P$3006,"&lt;&gt;")&gt;0,"⚠ DIFFÉRENTE","OK"))</f>
        <v/>
      </c>
      <c r="F1398" s="147"/>
      <c r="G1398" s="80"/>
      <c r="H1398" s="83"/>
      <c r="I1398" s="148" t="str">
        <f aca="false">IF(B1398="","",IFERROR(INDEX('CARNET DE SOUDURE'!$B$7:$B$3006,MATCH(B1398,'CARNET DE SOUDURE'!$L$7:$L$3006,0)),IFERROR(INDEX('CARNET DE SOUDURE'!$B$7:$B$3006,MATCH(B1398,'CARNET DE SOUDURE'!$O$7:$O$3006,0)),"")))</f>
        <v/>
      </c>
      <c r="J1398" s="82" t="str">
        <f aca="false">IF(B1398="","",IFERROR(INDEX('CARNET DE SOUDURE'!$E$7:$E$3006,MATCH(B1398,'CARNET DE SOUDURE'!$O$7:$O$3006,0)),""))</f>
        <v/>
      </c>
      <c r="K1398" s="82" t="str">
        <f aca="false">IF(B1398="","",IFERROR(INDEX('CARNET DE SOUDURE'!$E$7:$E$3006,MATCH(B1398,'CARNET DE SOUDURE'!$L$7:$L$3006,0)),""))</f>
        <v/>
      </c>
      <c r="L1398" s="82" t="str">
        <f aca="false">IF(B1398="","",IFERROR(INDEX('CARNET DE SOUDURE'!$D$7:$D$3006,MATCH(B1398,'CARNET DE SOUDURE'!$L$7:$L$3006,0)),IFERROR(INDEX('CARNET DE SOUDURE'!$D$7:$D$3006,MATCH(B1398,'CARNET DE SOUDURE'!$O$7:$O$3006,0)),"")))</f>
        <v/>
      </c>
      <c r="M1398" s="82" t="str">
        <f aca="false">IF(B1398="","",IF(OR(J1398&lt;&gt;"",K1398&lt;&gt;""),"POSÉ EN LIGNE",IF(COUNTIF(BARDAGE!$C$1:$C$5000,B1398)&gt;0,"BARDÉ","EN STOCK")))</f>
        <v/>
      </c>
      <c r="N1398" s="80"/>
    </row>
    <row r="1399" customFormat="false" ht="15" hidden="false" customHeight="false" outlineLevel="0" collapsed="false">
      <c r="A1399" s="82" t="str">
        <f aca="false">IF(B1399="","",ROW()-6)</f>
        <v/>
      </c>
      <c r="B1399" s="145"/>
      <c r="C1399" s="146"/>
      <c r="D1399" s="146"/>
      <c r="E1399" s="82" t="str">
        <f aca="false">IF(B1399="","",IF(COUNTIFS('CARNET DE SOUDURE'!$L$7:$L$3006,B1399,'CARNET DE SOUDURE'!$M$7:$M$3006,"&lt;&gt;"&amp;C1399,'CARNET DE SOUDURE'!$M$7:$M$3006,"&lt;&gt;")+COUNTIFS('CARNET DE SOUDURE'!$O$7:$O$3006,B1399,'CARNET DE SOUDURE'!$P$7:$P$3006,"&lt;&gt;"&amp;C1399,'CARNET DE SOUDURE'!$P$7:$P$3006,"&lt;&gt;")&gt;0,"⚠ DIFFÉRENTE","OK"))</f>
        <v/>
      </c>
      <c r="F1399" s="147"/>
      <c r="G1399" s="80"/>
      <c r="H1399" s="83"/>
      <c r="I1399" s="148" t="str">
        <f aca="false">IF(B1399="","",IFERROR(INDEX('CARNET DE SOUDURE'!$B$7:$B$3006,MATCH(B1399,'CARNET DE SOUDURE'!$L$7:$L$3006,0)),IFERROR(INDEX('CARNET DE SOUDURE'!$B$7:$B$3006,MATCH(B1399,'CARNET DE SOUDURE'!$O$7:$O$3006,0)),"")))</f>
        <v/>
      </c>
      <c r="J1399" s="82" t="str">
        <f aca="false">IF(B1399="","",IFERROR(INDEX('CARNET DE SOUDURE'!$E$7:$E$3006,MATCH(B1399,'CARNET DE SOUDURE'!$O$7:$O$3006,0)),""))</f>
        <v/>
      </c>
      <c r="K1399" s="82" t="str">
        <f aca="false">IF(B1399="","",IFERROR(INDEX('CARNET DE SOUDURE'!$E$7:$E$3006,MATCH(B1399,'CARNET DE SOUDURE'!$L$7:$L$3006,0)),""))</f>
        <v/>
      </c>
      <c r="L1399" s="82" t="str">
        <f aca="false">IF(B1399="","",IFERROR(INDEX('CARNET DE SOUDURE'!$D$7:$D$3006,MATCH(B1399,'CARNET DE SOUDURE'!$L$7:$L$3006,0)),IFERROR(INDEX('CARNET DE SOUDURE'!$D$7:$D$3006,MATCH(B1399,'CARNET DE SOUDURE'!$O$7:$O$3006,0)),"")))</f>
        <v/>
      </c>
      <c r="M1399" s="82" t="str">
        <f aca="false">IF(B1399="","",IF(OR(J1399&lt;&gt;"",K1399&lt;&gt;""),"POSÉ EN LIGNE",IF(COUNTIF(BARDAGE!$C$1:$C$5000,B1399)&gt;0,"BARDÉ","EN STOCK")))</f>
        <v/>
      </c>
      <c r="N1399" s="80"/>
    </row>
    <row r="1400" customFormat="false" ht="15" hidden="false" customHeight="false" outlineLevel="0" collapsed="false">
      <c r="A1400" s="82" t="str">
        <f aca="false">IF(B1400="","",ROW()-6)</f>
        <v/>
      </c>
      <c r="B1400" s="145"/>
      <c r="C1400" s="146"/>
      <c r="D1400" s="146"/>
      <c r="E1400" s="82" t="str">
        <f aca="false">IF(B1400="","",IF(COUNTIFS('CARNET DE SOUDURE'!$L$7:$L$3006,B1400,'CARNET DE SOUDURE'!$M$7:$M$3006,"&lt;&gt;"&amp;C1400,'CARNET DE SOUDURE'!$M$7:$M$3006,"&lt;&gt;")+COUNTIFS('CARNET DE SOUDURE'!$O$7:$O$3006,B1400,'CARNET DE SOUDURE'!$P$7:$P$3006,"&lt;&gt;"&amp;C1400,'CARNET DE SOUDURE'!$P$7:$P$3006,"&lt;&gt;")&gt;0,"⚠ DIFFÉRENTE","OK"))</f>
        <v/>
      </c>
      <c r="F1400" s="147"/>
      <c r="G1400" s="80"/>
      <c r="H1400" s="83"/>
      <c r="I1400" s="148" t="str">
        <f aca="false">IF(B1400="","",IFERROR(INDEX('CARNET DE SOUDURE'!$B$7:$B$3006,MATCH(B1400,'CARNET DE SOUDURE'!$L$7:$L$3006,0)),IFERROR(INDEX('CARNET DE SOUDURE'!$B$7:$B$3006,MATCH(B1400,'CARNET DE SOUDURE'!$O$7:$O$3006,0)),"")))</f>
        <v/>
      </c>
      <c r="J1400" s="82" t="str">
        <f aca="false">IF(B1400="","",IFERROR(INDEX('CARNET DE SOUDURE'!$E$7:$E$3006,MATCH(B1400,'CARNET DE SOUDURE'!$O$7:$O$3006,0)),""))</f>
        <v/>
      </c>
      <c r="K1400" s="82" t="str">
        <f aca="false">IF(B1400="","",IFERROR(INDEX('CARNET DE SOUDURE'!$E$7:$E$3006,MATCH(B1400,'CARNET DE SOUDURE'!$L$7:$L$3006,0)),""))</f>
        <v/>
      </c>
      <c r="L1400" s="82" t="str">
        <f aca="false">IF(B1400="","",IFERROR(INDEX('CARNET DE SOUDURE'!$D$7:$D$3006,MATCH(B1400,'CARNET DE SOUDURE'!$L$7:$L$3006,0)),IFERROR(INDEX('CARNET DE SOUDURE'!$D$7:$D$3006,MATCH(B1400,'CARNET DE SOUDURE'!$O$7:$O$3006,0)),"")))</f>
        <v/>
      </c>
      <c r="M1400" s="82" t="str">
        <f aca="false">IF(B1400="","",IF(OR(J1400&lt;&gt;"",K1400&lt;&gt;""),"POSÉ EN LIGNE",IF(COUNTIF(BARDAGE!$C$1:$C$5000,B1400)&gt;0,"BARDÉ","EN STOCK")))</f>
        <v/>
      </c>
      <c r="N1400" s="80"/>
    </row>
    <row r="1401" customFormat="false" ht="15" hidden="false" customHeight="false" outlineLevel="0" collapsed="false">
      <c r="A1401" s="82" t="str">
        <f aca="false">IF(B1401="","",ROW()-6)</f>
        <v/>
      </c>
      <c r="B1401" s="145"/>
      <c r="C1401" s="146"/>
      <c r="D1401" s="146"/>
      <c r="E1401" s="82" t="str">
        <f aca="false">IF(B1401="","",IF(COUNTIFS('CARNET DE SOUDURE'!$L$7:$L$3006,B1401,'CARNET DE SOUDURE'!$M$7:$M$3006,"&lt;&gt;"&amp;C1401,'CARNET DE SOUDURE'!$M$7:$M$3006,"&lt;&gt;")+COUNTIFS('CARNET DE SOUDURE'!$O$7:$O$3006,B1401,'CARNET DE SOUDURE'!$P$7:$P$3006,"&lt;&gt;"&amp;C1401,'CARNET DE SOUDURE'!$P$7:$P$3006,"&lt;&gt;")&gt;0,"⚠ DIFFÉRENTE","OK"))</f>
        <v/>
      </c>
      <c r="F1401" s="147"/>
      <c r="G1401" s="80"/>
      <c r="H1401" s="83"/>
      <c r="I1401" s="148" t="str">
        <f aca="false">IF(B1401="","",IFERROR(INDEX('CARNET DE SOUDURE'!$B$7:$B$3006,MATCH(B1401,'CARNET DE SOUDURE'!$L$7:$L$3006,0)),IFERROR(INDEX('CARNET DE SOUDURE'!$B$7:$B$3006,MATCH(B1401,'CARNET DE SOUDURE'!$O$7:$O$3006,0)),"")))</f>
        <v/>
      </c>
      <c r="J1401" s="82" t="str">
        <f aca="false">IF(B1401="","",IFERROR(INDEX('CARNET DE SOUDURE'!$E$7:$E$3006,MATCH(B1401,'CARNET DE SOUDURE'!$O$7:$O$3006,0)),""))</f>
        <v/>
      </c>
      <c r="K1401" s="82" t="str">
        <f aca="false">IF(B1401="","",IFERROR(INDEX('CARNET DE SOUDURE'!$E$7:$E$3006,MATCH(B1401,'CARNET DE SOUDURE'!$L$7:$L$3006,0)),""))</f>
        <v/>
      </c>
      <c r="L1401" s="82" t="str">
        <f aca="false">IF(B1401="","",IFERROR(INDEX('CARNET DE SOUDURE'!$D$7:$D$3006,MATCH(B1401,'CARNET DE SOUDURE'!$L$7:$L$3006,0)),IFERROR(INDEX('CARNET DE SOUDURE'!$D$7:$D$3006,MATCH(B1401,'CARNET DE SOUDURE'!$O$7:$O$3006,0)),"")))</f>
        <v/>
      </c>
      <c r="M1401" s="82" t="str">
        <f aca="false">IF(B1401="","",IF(OR(J1401&lt;&gt;"",K1401&lt;&gt;""),"POSÉ EN LIGNE",IF(COUNTIF(BARDAGE!$C$1:$C$5000,B1401)&gt;0,"BARDÉ","EN STOCK")))</f>
        <v/>
      </c>
      <c r="N1401" s="80"/>
    </row>
    <row r="1402" customFormat="false" ht="15" hidden="false" customHeight="false" outlineLevel="0" collapsed="false">
      <c r="A1402" s="82" t="str">
        <f aca="false">IF(B1402="","",ROW()-6)</f>
        <v/>
      </c>
      <c r="B1402" s="145"/>
      <c r="C1402" s="146"/>
      <c r="D1402" s="146"/>
      <c r="E1402" s="82" t="str">
        <f aca="false">IF(B1402="","",IF(COUNTIFS('CARNET DE SOUDURE'!$L$7:$L$3006,B1402,'CARNET DE SOUDURE'!$M$7:$M$3006,"&lt;&gt;"&amp;C1402,'CARNET DE SOUDURE'!$M$7:$M$3006,"&lt;&gt;")+COUNTIFS('CARNET DE SOUDURE'!$O$7:$O$3006,B1402,'CARNET DE SOUDURE'!$P$7:$P$3006,"&lt;&gt;"&amp;C1402,'CARNET DE SOUDURE'!$P$7:$P$3006,"&lt;&gt;")&gt;0,"⚠ DIFFÉRENTE","OK"))</f>
        <v/>
      </c>
      <c r="F1402" s="147"/>
      <c r="G1402" s="80"/>
      <c r="H1402" s="83"/>
      <c r="I1402" s="148" t="str">
        <f aca="false">IF(B1402="","",IFERROR(INDEX('CARNET DE SOUDURE'!$B$7:$B$3006,MATCH(B1402,'CARNET DE SOUDURE'!$L$7:$L$3006,0)),IFERROR(INDEX('CARNET DE SOUDURE'!$B$7:$B$3006,MATCH(B1402,'CARNET DE SOUDURE'!$O$7:$O$3006,0)),"")))</f>
        <v/>
      </c>
      <c r="J1402" s="82" t="str">
        <f aca="false">IF(B1402="","",IFERROR(INDEX('CARNET DE SOUDURE'!$E$7:$E$3006,MATCH(B1402,'CARNET DE SOUDURE'!$O$7:$O$3006,0)),""))</f>
        <v/>
      </c>
      <c r="K1402" s="82" t="str">
        <f aca="false">IF(B1402="","",IFERROR(INDEX('CARNET DE SOUDURE'!$E$7:$E$3006,MATCH(B1402,'CARNET DE SOUDURE'!$L$7:$L$3006,0)),""))</f>
        <v/>
      </c>
      <c r="L1402" s="82" t="str">
        <f aca="false">IF(B1402="","",IFERROR(INDEX('CARNET DE SOUDURE'!$D$7:$D$3006,MATCH(B1402,'CARNET DE SOUDURE'!$L$7:$L$3006,0)),IFERROR(INDEX('CARNET DE SOUDURE'!$D$7:$D$3006,MATCH(B1402,'CARNET DE SOUDURE'!$O$7:$O$3006,0)),"")))</f>
        <v/>
      </c>
      <c r="M1402" s="82" t="str">
        <f aca="false">IF(B1402="","",IF(OR(J1402&lt;&gt;"",K1402&lt;&gt;""),"POSÉ EN LIGNE",IF(COUNTIF(BARDAGE!$C$1:$C$5000,B1402)&gt;0,"BARDÉ","EN STOCK")))</f>
        <v/>
      </c>
      <c r="N1402" s="80"/>
    </row>
    <row r="1403" customFormat="false" ht="15" hidden="false" customHeight="false" outlineLevel="0" collapsed="false">
      <c r="A1403" s="82" t="str">
        <f aca="false">IF(B1403="","",ROW()-6)</f>
        <v/>
      </c>
      <c r="B1403" s="145"/>
      <c r="C1403" s="146"/>
      <c r="D1403" s="146"/>
      <c r="E1403" s="82" t="str">
        <f aca="false">IF(B1403="","",IF(COUNTIFS('CARNET DE SOUDURE'!$L$7:$L$3006,B1403,'CARNET DE SOUDURE'!$M$7:$M$3006,"&lt;&gt;"&amp;C1403,'CARNET DE SOUDURE'!$M$7:$M$3006,"&lt;&gt;")+COUNTIFS('CARNET DE SOUDURE'!$O$7:$O$3006,B1403,'CARNET DE SOUDURE'!$P$7:$P$3006,"&lt;&gt;"&amp;C1403,'CARNET DE SOUDURE'!$P$7:$P$3006,"&lt;&gt;")&gt;0,"⚠ DIFFÉRENTE","OK"))</f>
        <v/>
      </c>
      <c r="F1403" s="147"/>
      <c r="G1403" s="80"/>
      <c r="H1403" s="83"/>
      <c r="I1403" s="148" t="str">
        <f aca="false">IF(B1403="","",IFERROR(INDEX('CARNET DE SOUDURE'!$B$7:$B$3006,MATCH(B1403,'CARNET DE SOUDURE'!$L$7:$L$3006,0)),IFERROR(INDEX('CARNET DE SOUDURE'!$B$7:$B$3006,MATCH(B1403,'CARNET DE SOUDURE'!$O$7:$O$3006,0)),"")))</f>
        <v/>
      </c>
      <c r="J1403" s="82" t="str">
        <f aca="false">IF(B1403="","",IFERROR(INDEX('CARNET DE SOUDURE'!$E$7:$E$3006,MATCH(B1403,'CARNET DE SOUDURE'!$O$7:$O$3006,0)),""))</f>
        <v/>
      </c>
      <c r="K1403" s="82" t="str">
        <f aca="false">IF(B1403="","",IFERROR(INDEX('CARNET DE SOUDURE'!$E$7:$E$3006,MATCH(B1403,'CARNET DE SOUDURE'!$L$7:$L$3006,0)),""))</f>
        <v/>
      </c>
      <c r="L1403" s="82" t="str">
        <f aca="false">IF(B1403="","",IFERROR(INDEX('CARNET DE SOUDURE'!$D$7:$D$3006,MATCH(B1403,'CARNET DE SOUDURE'!$L$7:$L$3006,0)),IFERROR(INDEX('CARNET DE SOUDURE'!$D$7:$D$3006,MATCH(B1403,'CARNET DE SOUDURE'!$O$7:$O$3006,0)),"")))</f>
        <v/>
      </c>
      <c r="M1403" s="82" t="str">
        <f aca="false">IF(B1403="","",IF(OR(J1403&lt;&gt;"",K1403&lt;&gt;""),"POSÉ EN LIGNE",IF(COUNTIF(BARDAGE!$C$1:$C$5000,B1403)&gt;0,"BARDÉ","EN STOCK")))</f>
        <v/>
      </c>
      <c r="N1403" s="80"/>
    </row>
    <row r="1404" customFormat="false" ht="15" hidden="false" customHeight="false" outlineLevel="0" collapsed="false">
      <c r="A1404" s="82" t="str">
        <f aca="false">IF(B1404="","",ROW()-6)</f>
        <v/>
      </c>
      <c r="B1404" s="145"/>
      <c r="C1404" s="146"/>
      <c r="D1404" s="146"/>
      <c r="E1404" s="82" t="str">
        <f aca="false">IF(B1404="","",IF(COUNTIFS('CARNET DE SOUDURE'!$L$7:$L$3006,B1404,'CARNET DE SOUDURE'!$M$7:$M$3006,"&lt;&gt;"&amp;C1404,'CARNET DE SOUDURE'!$M$7:$M$3006,"&lt;&gt;")+COUNTIFS('CARNET DE SOUDURE'!$O$7:$O$3006,B1404,'CARNET DE SOUDURE'!$P$7:$P$3006,"&lt;&gt;"&amp;C1404,'CARNET DE SOUDURE'!$P$7:$P$3006,"&lt;&gt;")&gt;0,"⚠ DIFFÉRENTE","OK"))</f>
        <v/>
      </c>
      <c r="F1404" s="147"/>
      <c r="G1404" s="80"/>
      <c r="H1404" s="83"/>
      <c r="I1404" s="148" t="str">
        <f aca="false">IF(B1404="","",IFERROR(INDEX('CARNET DE SOUDURE'!$B$7:$B$3006,MATCH(B1404,'CARNET DE SOUDURE'!$L$7:$L$3006,0)),IFERROR(INDEX('CARNET DE SOUDURE'!$B$7:$B$3006,MATCH(B1404,'CARNET DE SOUDURE'!$O$7:$O$3006,0)),"")))</f>
        <v/>
      </c>
      <c r="J1404" s="82" t="str">
        <f aca="false">IF(B1404="","",IFERROR(INDEX('CARNET DE SOUDURE'!$E$7:$E$3006,MATCH(B1404,'CARNET DE SOUDURE'!$O$7:$O$3006,0)),""))</f>
        <v/>
      </c>
      <c r="K1404" s="82" t="str">
        <f aca="false">IF(B1404="","",IFERROR(INDEX('CARNET DE SOUDURE'!$E$7:$E$3006,MATCH(B1404,'CARNET DE SOUDURE'!$L$7:$L$3006,0)),""))</f>
        <v/>
      </c>
      <c r="L1404" s="82" t="str">
        <f aca="false">IF(B1404="","",IFERROR(INDEX('CARNET DE SOUDURE'!$D$7:$D$3006,MATCH(B1404,'CARNET DE SOUDURE'!$L$7:$L$3006,0)),IFERROR(INDEX('CARNET DE SOUDURE'!$D$7:$D$3006,MATCH(B1404,'CARNET DE SOUDURE'!$O$7:$O$3006,0)),"")))</f>
        <v/>
      </c>
      <c r="M1404" s="82" t="str">
        <f aca="false">IF(B1404="","",IF(OR(J1404&lt;&gt;"",K1404&lt;&gt;""),"POSÉ EN LIGNE",IF(COUNTIF(BARDAGE!$C$1:$C$5000,B1404)&gt;0,"BARDÉ","EN STOCK")))</f>
        <v/>
      </c>
      <c r="N1404" s="80"/>
    </row>
    <row r="1405" customFormat="false" ht="15" hidden="false" customHeight="false" outlineLevel="0" collapsed="false">
      <c r="A1405" s="82" t="str">
        <f aca="false">IF(B1405="","",ROW()-6)</f>
        <v/>
      </c>
      <c r="B1405" s="145"/>
      <c r="C1405" s="146"/>
      <c r="D1405" s="146"/>
      <c r="E1405" s="82" t="str">
        <f aca="false">IF(B1405="","",IF(COUNTIFS('CARNET DE SOUDURE'!$L$7:$L$3006,B1405,'CARNET DE SOUDURE'!$M$7:$M$3006,"&lt;&gt;"&amp;C1405,'CARNET DE SOUDURE'!$M$7:$M$3006,"&lt;&gt;")+COUNTIFS('CARNET DE SOUDURE'!$O$7:$O$3006,B1405,'CARNET DE SOUDURE'!$P$7:$P$3006,"&lt;&gt;"&amp;C1405,'CARNET DE SOUDURE'!$P$7:$P$3006,"&lt;&gt;")&gt;0,"⚠ DIFFÉRENTE","OK"))</f>
        <v/>
      </c>
      <c r="F1405" s="147"/>
      <c r="G1405" s="80"/>
      <c r="H1405" s="83"/>
      <c r="I1405" s="148" t="str">
        <f aca="false">IF(B1405="","",IFERROR(INDEX('CARNET DE SOUDURE'!$B$7:$B$3006,MATCH(B1405,'CARNET DE SOUDURE'!$L$7:$L$3006,0)),IFERROR(INDEX('CARNET DE SOUDURE'!$B$7:$B$3006,MATCH(B1405,'CARNET DE SOUDURE'!$O$7:$O$3006,0)),"")))</f>
        <v/>
      </c>
      <c r="J1405" s="82" t="str">
        <f aca="false">IF(B1405="","",IFERROR(INDEX('CARNET DE SOUDURE'!$E$7:$E$3006,MATCH(B1405,'CARNET DE SOUDURE'!$O$7:$O$3006,0)),""))</f>
        <v/>
      </c>
      <c r="K1405" s="82" t="str">
        <f aca="false">IF(B1405="","",IFERROR(INDEX('CARNET DE SOUDURE'!$E$7:$E$3006,MATCH(B1405,'CARNET DE SOUDURE'!$L$7:$L$3006,0)),""))</f>
        <v/>
      </c>
      <c r="L1405" s="82" t="str">
        <f aca="false">IF(B1405="","",IFERROR(INDEX('CARNET DE SOUDURE'!$D$7:$D$3006,MATCH(B1405,'CARNET DE SOUDURE'!$L$7:$L$3006,0)),IFERROR(INDEX('CARNET DE SOUDURE'!$D$7:$D$3006,MATCH(B1405,'CARNET DE SOUDURE'!$O$7:$O$3006,0)),"")))</f>
        <v/>
      </c>
      <c r="M1405" s="82" t="str">
        <f aca="false">IF(B1405="","",IF(OR(J1405&lt;&gt;"",K1405&lt;&gt;""),"POSÉ EN LIGNE",IF(COUNTIF(BARDAGE!$C$1:$C$5000,B1405)&gt;0,"BARDÉ","EN STOCK")))</f>
        <v/>
      </c>
      <c r="N1405" s="80"/>
    </row>
    <row r="1406" customFormat="false" ht="15" hidden="false" customHeight="false" outlineLevel="0" collapsed="false">
      <c r="A1406" s="82" t="str">
        <f aca="false">IF(B1406="","",ROW()-6)</f>
        <v/>
      </c>
      <c r="B1406" s="145"/>
      <c r="C1406" s="146"/>
      <c r="D1406" s="146"/>
      <c r="E1406" s="82" t="str">
        <f aca="false">IF(B1406="","",IF(COUNTIFS('CARNET DE SOUDURE'!$L$7:$L$3006,B1406,'CARNET DE SOUDURE'!$M$7:$M$3006,"&lt;&gt;"&amp;C1406,'CARNET DE SOUDURE'!$M$7:$M$3006,"&lt;&gt;")+COUNTIFS('CARNET DE SOUDURE'!$O$7:$O$3006,B1406,'CARNET DE SOUDURE'!$P$7:$P$3006,"&lt;&gt;"&amp;C1406,'CARNET DE SOUDURE'!$P$7:$P$3006,"&lt;&gt;")&gt;0,"⚠ DIFFÉRENTE","OK"))</f>
        <v/>
      </c>
      <c r="F1406" s="147"/>
      <c r="G1406" s="80"/>
      <c r="H1406" s="83"/>
      <c r="I1406" s="148" t="str">
        <f aca="false">IF(B1406="","",IFERROR(INDEX('CARNET DE SOUDURE'!$B$7:$B$3006,MATCH(B1406,'CARNET DE SOUDURE'!$L$7:$L$3006,0)),IFERROR(INDEX('CARNET DE SOUDURE'!$B$7:$B$3006,MATCH(B1406,'CARNET DE SOUDURE'!$O$7:$O$3006,0)),"")))</f>
        <v/>
      </c>
      <c r="J1406" s="82" t="str">
        <f aca="false">IF(B1406="","",IFERROR(INDEX('CARNET DE SOUDURE'!$E$7:$E$3006,MATCH(B1406,'CARNET DE SOUDURE'!$O$7:$O$3006,0)),""))</f>
        <v/>
      </c>
      <c r="K1406" s="82" t="str">
        <f aca="false">IF(B1406="","",IFERROR(INDEX('CARNET DE SOUDURE'!$E$7:$E$3006,MATCH(B1406,'CARNET DE SOUDURE'!$L$7:$L$3006,0)),""))</f>
        <v/>
      </c>
      <c r="L1406" s="82" t="str">
        <f aca="false">IF(B1406="","",IFERROR(INDEX('CARNET DE SOUDURE'!$D$7:$D$3006,MATCH(B1406,'CARNET DE SOUDURE'!$L$7:$L$3006,0)),IFERROR(INDEX('CARNET DE SOUDURE'!$D$7:$D$3006,MATCH(B1406,'CARNET DE SOUDURE'!$O$7:$O$3006,0)),"")))</f>
        <v/>
      </c>
      <c r="M1406" s="82" t="str">
        <f aca="false">IF(B1406="","",IF(OR(J1406&lt;&gt;"",K1406&lt;&gt;""),"POSÉ EN LIGNE",IF(COUNTIF(BARDAGE!$C$1:$C$5000,B1406)&gt;0,"BARDÉ","EN STOCK")))</f>
        <v/>
      </c>
      <c r="N1406" s="80"/>
    </row>
    <row r="1407" customFormat="false" ht="15" hidden="false" customHeight="false" outlineLevel="0" collapsed="false">
      <c r="A1407" s="82" t="str">
        <f aca="false">IF(B1407="","",ROW()-6)</f>
        <v/>
      </c>
      <c r="B1407" s="145"/>
      <c r="C1407" s="146"/>
      <c r="D1407" s="146"/>
      <c r="E1407" s="82" t="str">
        <f aca="false">IF(B1407="","",IF(COUNTIFS('CARNET DE SOUDURE'!$L$7:$L$3006,B1407,'CARNET DE SOUDURE'!$M$7:$M$3006,"&lt;&gt;"&amp;C1407,'CARNET DE SOUDURE'!$M$7:$M$3006,"&lt;&gt;")+COUNTIFS('CARNET DE SOUDURE'!$O$7:$O$3006,B1407,'CARNET DE SOUDURE'!$P$7:$P$3006,"&lt;&gt;"&amp;C1407,'CARNET DE SOUDURE'!$P$7:$P$3006,"&lt;&gt;")&gt;0,"⚠ DIFFÉRENTE","OK"))</f>
        <v/>
      </c>
      <c r="F1407" s="147"/>
      <c r="G1407" s="80"/>
      <c r="H1407" s="83"/>
      <c r="I1407" s="148" t="str">
        <f aca="false">IF(B1407="","",IFERROR(INDEX('CARNET DE SOUDURE'!$B$7:$B$3006,MATCH(B1407,'CARNET DE SOUDURE'!$L$7:$L$3006,0)),IFERROR(INDEX('CARNET DE SOUDURE'!$B$7:$B$3006,MATCH(B1407,'CARNET DE SOUDURE'!$O$7:$O$3006,0)),"")))</f>
        <v/>
      </c>
      <c r="J1407" s="82" t="str">
        <f aca="false">IF(B1407="","",IFERROR(INDEX('CARNET DE SOUDURE'!$E$7:$E$3006,MATCH(B1407,'CARNET DE SOUDURE'!$O$7:$O$3006,0)),""))</f>
        <v/>
      </c>
      <c r="K1407" s="82" t="str">
        <f aca="false">IF(B1407="","",IFERROR(INDEX('CARNET DE SOUDURE'!$E$7:$E$3006,MATCH(B1407,'CARNET DE SOUDURE'!$L$7:$L$3006,0)),""))</f>
        <v/>
      </c>
      <c r="L1407" s="82" t="str">
        <f aca="false">IF(B1407="","",IFERROR(INDEX('CARNET DE SOUDURE'!$D$7:$D$3006,MATCH(B1407,'CARNET DE SOUDURE'!$L$7:$L$3006,0)),IFERROR(INDEX('CARNET DE SOUDURE'!$D$7:$D$3006,MATCH(B1407,'CARNET DE SOUDURE'!$O$7:$O$3006,0)),"")))</f>
        <v/>
      </c>
      <c r="M1407" s="82" t="str">
        <f aca="false">IF(B1407="","",IF(OR(J1407&lt;&gt;"",K1407&lt;&gt;""),"POSÉ EN LIGNE",IF(COUNTIF(BARDAGE!$C$1:$C$5000,B1407)&gt;0,"BARDÉ","EN STOCK")))</f>
        <v/>
      </c>
      <c r="N1407" s="80"/>
    </row>
    <row r="1408" customFormat="false" ht="15" hidden="false" customHeight="false" outlineLevel="0" collapsed="false">
      <c r="A1408" s="82" t="str">
        <f aca="false">IF(B1408="","",ROW()-6)</f>
        <v/>
      </c>
      <c r="B1408" s="145"/>
      <c r="C1408" s="146"/>
      <c r="D1408" s="146"/>
      <c r="E1408" s="82" t="str">
        <f aca="false">IF(B1408="","",IF(COUNTIFS('CARNET DE SOUDURE'!$L$7:$L$3006,B1408,'CARNET DE SOUDURE'!$M$7:$M$3006,"&lt;&gt;"&amp;C1408,'CARNET DE SOUDURE'!$M$7:$M$3006,"&lt;&gt;")+COUNTIFS('CARNET DE SOUDURE'!$O$7:$O$3006,B1408,'CARNET DE SOUDURE'!$P$7:$P$3006,"&lt;&gt;"&amp;C1408,'CARNET DE SOUDURE'!$P$7:$P$3006,"&lt;&gt;")&gt;0,"⚠ DIFFÉRENTE","OK"))</f>
        <v/>
      </c>
      <c r="F1408" s="147"/>
      <c r="G1408" s="80"/>
      <c r="H1408" s="83"/>
      <c r="I1408" s="148" t="str">
        <f aca="false">IF(B1408="","",IFERROR(INDEX('CARNET DE SOUDURE'!$B$7:$B$3006,MATCH(B1408,'CARNET DE SOUDURE'!$L$7:$L$3006,0)),IFERROR(INDEX('CARNET DE SOUDURE'!$B$7:$B$3006,MATCH(B1408,'CARNET DE SOUDURE'!$O$7:$O$3006,0)),"")))</f>
        <v/>
      </c>
      <c r="J1408" s="82" t="str">
        <f aca="false">IF(B1408="","",IFERROR(INDEX('CARNET DE SOUDURE'!$E$7:$E$3006,MATCH(B1408,'CARNET DE SOUDURE'!$O$7:$O$3006,0)),""))</f>
        <v/>
      </c>
      <c r="K1408" s="82" t="str">
        <f aca="false">IF(B1408="","",IFERROR(INDEX('CARNET DE SOUDURE'!$E$7:$E$3006,MATCH(B1408,'CARNET DE SOUDURE'!$L$7:$L$3006,0)),""))</f>
        <v/>
      </c>
      <c r="L1408" s="82" t="str">
        <f aca="false">IF(B1408="","",IFERROR(INDEX('CARNET DE SOUDURE'!$D$7:$D$3006,MATCH(B1408,'CARNET DE SOUDURE'!$L$7:$L$3006,0)),IFERROR(INDEX('CARNET DE SOUDURE'!$D$7:$D$3006,MATCH(B1408,'CARNET DE SOUDURE'!$O$7:$O$3006,0)),"")))</f>
        <v/>
      </c>
      <c r="M1408" s="82" t="str">
        <f aca="false">IF(B1408="","",IF(OR(J1408&lt;&gt;"",K1408&lt;&gt;""),"POSÉ EN LIGNE",IF(COUNTIF(BARDAGE!$C$1:$C$5000,B1408)&gt;0,"BARDÉ","EN STOCK")))</f>
        <v/>
      </c>
      <c r="N1408" s="80"/>
    </row>
    <row r="1409" customFormat="false" ht="15" hidden="false" customHeight="false" outlineLevel="0" collapsed="false">
      <c r="A1409" s="82" t="str">
        <f aca="false">IF(B1409="","",ROW()-6)</f>
        <v/>
      </c>
      <c r="B1409" s="145"/>
      <c r="C1409" s="146"/>
      <c r="D1409" s="146"/>
      <c r="E1409" s="82" t="str">
        <f aca="false">IF(B1409="","",IF(COUNTIFS('CARNET DE SOUDURE'!$L$7:$L$3006,B1409,'CARNET DE SOUDURE'!$M$7:$M$3006,"&lt;&gt;"&amp;C1409,'CARNET DE SOUDURE'!$M$7:$M$3006,"&lt;&gt;")+COUNTIFS('CARNET DE SOUDURE'!$O$7:$O$3006,B1409,'CARNET DE SOUDURE'!$P$7:$P$3006,"&lt;&gt;"&amp;C1409,'CARNET DE SOUDURE'!$P$7:$P$3006,"&lt;&gt;")&gt;0,"⚠ DIFFÉRENTE","OK"))</f>
        <v/>
      </c>
      <c r="F1409" s="147"/>
      <c r="G1409" s="80"/>
      <c r="H1409" s="83"/>
      <c r="I1409" s="148" t="str">
        <f aca="false">IF(B1409="","",IFERROR(INDEX('CARNET DE SOUDURE'!$B$7:$B$3006,MATCH(B1409,'CARNET DE SOUDURE'!$L$7:$L$3006,0)),IFERROR(INDEX('CARNET DE SOUDURE'!$B$7:$B$3006,MATCH(B1409,'CARNET DE SOUDURE'!$O$7:$O$3006,0)),"")))</f>
        <v/>
      </c>
      <c r="J1409" s="82" t="str">
        <f aca="false">IF(B1409="","",IFERROR(INDEX('CARNET DE SOUDURE'!$E$7:$E$3006,MATCH(B1409,'CARNET DE SOUDURE'!$O$7:$O$3006,0)),""))</f>
        <v/>
      </c>
      <c r="K1409" s="82" t="str">
        <f aca="false">IF(B1409="","",IFERROR(INDEX('CARNET DE SOUDURE'!$E$7:$E$3006,MATCH(B1409,'CARNET DE SOUDURE'!$L$7:$L$3006,0)),""))</f>
        <v/>
      </c>
      <c r="L1409" s="82" t="str">
        <f aca="false">IF(B1409="","",IFERROR(INDEX('CARNET DE SOUDURE'!$D$7:$D$3006,MATCH(B1409,'CARNET DE SOUDURE'!$L$7:$L$3006,0)),IFERROR(INDEX('CARNET DE SOUDURE'!$D$7:$D$3006,MATCH(B1409,'CARNET DE SOUDURE'!$O$7:$O$3006,0)),"")))</f>
        <v/>
      </c>
      <c r="M1409" s="82" t="str">
        <f aca="false">IF(B1409="","",IF(OR(J1409&lt;&gt;"",K1409&lt;&gt;""),"POSÉ EN LIGNE",IF(COUNTIF(BARDAGE!$C$1:$C$5000,B1409)&gt;0,"BARDÉ","EN STOCK")))</f>
        <v/>
      </c>
      <c r="N1409" s="80"/>
    </row>
    <row r="1410" customFormat="false" ht="15" hidden="false" customHeight="false" outlineLevel="0" collapsed="false">
      <c r="A1410" s="82" t="str">
        <f aca="false">IF(B1410="","",ROW()-6)</f>
        <v/>
      </c>
      <c r="B1410" s="145"/>
      <c r="C1410" s="146"/>
      <c r="D1410" s="146"/>
      <c r="E1410" s="82" t="str">
        <f aca="false">IF(B1410="","",IF(COUNTIFS('CARNET DE SOUDURE'!$L$7:$L$3006,B1410,'CARNET DE SOUDURE'!$M$7:$M$3006,"&lt;&gt;"&amp;C1410,'CARNET DE SOUDURE'!$M$7:$M$3006,"&lt;&gt;")+COUNTIFS('CARNET DE SOUDURE'!$O$7:$O$3006,B1410,'CARNET DE SOUDURE'!$P$7:$P$3006,"&lt;&gt;"&amp;C1410,'CARNET DE SOUDURE'!$P$7:$P$3006,"&lt;&gt;")&gt;0,"⚠ DIFFÉRENTE","OK"))</f>
        <v/>
      </c>
      <c r="F1410" s="147"/>
      <c r="G1410" s="80"/>
      <c r="H1410" s="83"/>
      <c r="I1410" s="148" t="str">
        <f aca="false">IF(B1410="","",IFERROR(INDEX('CARNET DE SOUDURE'!$B$7:$B$3006,MATCH(B1410,'CARNET DE SOUDURE'!$L$7:$L$3006,0)),IFERROR(INDEX('CARNET DE SOUDURE'!$B$7:$B$3006,MATCH(B1410,'CARNET DE SOUDURE'!$O$7:$O$3006,0)),"")))</f>
        <v/>
      </c>
      <c r="J1410" s="82" t="str">
        <f aca="false">IF(B1410="","",IFERROR(INDEX('CARNET DE SOUDURE'!$E$7:$E$3006,MATCH(B1410,'CARNET DE SOUDURE'!$O$7:$O$3006,0)),""))</f>
        <v/>
      </c>
      <c r="K1410" s="82" t="str">
        <f aca="false">IF(B1410="","",IFERROR(INDEX('CARNET DE SOUDURE'!$E$7:$E$3006,MATCH(B1410,'CARNET DE SOUDURE'!$L$7:$L$3006,0)),""))</f>
        <v/>
      </c>
      <c r="L1410" s="82" t="str">
        <f aca="false">IF(B1410="","",IFERROR(INDEX('CARNET DE SOUDURE'!$D$7:$D$3006,MATCH(B1410,'CARNET DE SOUDURE'!$L$7:$L$3006,0)),IFERROR(INDEX('CARNET DE SOUDURE'!$D$7:$D$3006,MATCH(B1410,'CARNET DE SOUDURE'!$O$7:$O$3006,0)),"")))</f>
        <v/>
      </c>
      <c r="M1410" s="82" t="str">
        <f aca="false">IF(B1410="","",IF(OR(J1410&lt;&gt;"",K1410&lt;&gt;""),"POSÉ EN LIGNE",IF(COUNTIF(BARDAGE!$C$1:$C$5000,B1410)&gt;0,"BARDÉ","EN STOCK")))</f>
        <v/>
      </c>
      <c r="N1410" s="80"/>
    </row>
    <row r="1411" customFormat="false" ht="15" hidden="false" customHeight="false" outlineLevel="0" collapsed="false">
      <c r="A1411" s="82" t="str">
        <f aca="false">IF(B1411="","",ROW()-6)</f>
        <v/>
      </c>
      <c r="B1411" s="145"/>
      <c r="C1411" s="146"/>
      <c r="D1411" s="146"/>
      <c r="E1411" s="82" t="str">
        <f aca="false">IF(B1411="","",IF(COUNTIFS('CARNET DE SOUDURE'!$L$7:$L$3006,B1411,'CARNET DE SOUDURE'!$M$7:$M$3006,"&lt;&gt;"&amp;C1411,'CARNET DE SOUDURE'!$M$7:$M$3006,"&lt;&gt;")+COUNTIFS('CARNET DE SOUDURE'!$O$7:$O$3006,B1411,'CARNET DE SOUDURE'!$P$7:$P$3006,"&lt;&gt;"&amp;C1411,'CARNET DE SOUDURE'!$P$7:$P$3006,"&lt;&gt;")&gt;0,"⚠ DIFFÉRENTE","OK"))</f>
        <v/>
      </c>
      <c r="F1411" s="147"/>
      <c r="G1411" s="80"/>
      <c r="H1411" s="83"/>
      <c r="I1411" s="148" t="str">
        <f aca="false">IF(B1411="","",IFERROR(INDEX('CARNET DE SOUDURE'!$B$7:$B$3006,MATCH(B1411,'CARNET DE SOUDURE'!$L$7:$L$3006,0)),IFERROR(INDEX('CARNET DE SOUDURE'!$B$7:$B$3006,MATCH(B1411,'CARNET DE SOUDURE'!$O$7:$O$3006,0)),"")))</f>
        <v/>
      </c>
      <c r="J1411" s="82" t="str">
        <f aca="false">IF(B1411="","",IFERROR(INDEX('CARNET DE SOUDURE'!$E$7:$E$3006,MATCH(B1411,'CARNET DE SOUDURE'!$O$7:$O$3006,0)),""))</f>
        <v/>
      </c>
      <c r="K1411" s="82" t="str">
        <f aca="false">IF(B1411="","",IFERROR(INDEX('CARNET DE SOUDURE'!$E$7:$E$3006,MATCH(B1411,'CARNET DE SOUDURE'!$L$7:$L$3006,0)),""))</f>
        <v/>
      </c>
      <c r="L1411" s="82" t="str">
        <f aca="false">IF(B1411="","",IFERROR(INDEX('CARNET DE SOUDURE'!$D$7:$D$3006,MATCH(B1411,'CARNET DE SOUDURE'!$L$7:$L$3006,0)),IFERROR(INDEX('CARNET DE SOUDURE'!$D$7:$D$3006,MATCH(B1411,'CARNET DE SOUDURE'!$O$7:$O$3006,0)),"")))</f>
        <v/>
      </c>
      <c r="M1411" s="82" t="str">
        <f aca="false">IF(B1411="","",IF(OR(J1411&lt;&gt;"",K1411&lt;&gt;""),"POSÉ EN LIGNE",IF(COUNTIF(BARDAGE!$C$1:$C$5000,B1411)&gt;0,"BARDÉ","EN STOCK")))</f>
        <v/>
      </c>
      <c r="N1411" s="80"/>
    </row>
    <row r="1412" customFormat="false" ht="15" hidden="false" customHeight="false" outlineLevel="0" collapsed="false">
      <c r="A1412" s="82" t="str">
        <f aca="false">IF(B1412="","",ROW()-6)</f>
        <v/>
      </c>
      <c r="B1412" s="145"/>
      <c r="C1412" s="146"/>
      <c r="D1412" s="146"/>
      <c r="E1412" s="82" t="str">
        <f aca="false">IF(B1412="","",IF(COUNTIFS('CARNET DE SOUDURE'!$L$7:$L$3006,B1412,'CARNET DE SOUDURE'!$M$7:$M$3006,"&lt;&gt;"&amp;C1412,'CARNET DE SOUDURE'!$M$7:$M$3006,"&lt;&gt;")+COUNTIFS('CARNET DE SOUDURE'!$O$7:$O$3006,B1412,'CARNET DE SOUDURE'!$P$7:$P$3006,"&lt;&gt;"&amp;C1412,'CARNET DE SOUDURE'!$P$7:$P$3006,"&lt;&gt;")&gt;0,"⚠ DIFFÉRENTE","OK"))</f>
        <v/>
      </c>
      <c r="F1412" s="147"/>
      <c r="G1412" s="80"/>
      <c r="H1412" s="83"/>
      <c r="I1412" s="148" t="str">
        <f aca="false">IF(B1412="","",IFERROR(INDEX('CARNET DE SOUDURE'!$B$7:$B$3006,MATCH(B1412,'CARNET DE SOUDURE'!$L$7:$L$3006,0)),IFERROR(INDEX('CARNET DE SOUDURE'!$B$7:$B$3006,MATCH(B1412,'CARNET DE SOUDURE'!$O$7:$O$3006,0)),"")))</f>
        <v/>
      </c>
      <c r="J1412" s="82" t="str">
        <f aca="false">IF(B1412="","",IFERROR(INDEX('CARNET DE SOUDURE'!$E$7:$E$3006,MATCH(B1412,'CARNET DE SOUDURE'!$O$7:$O$3006,0)),""))</f>
        <v/>
      </c>
      <c r="K1412" s="82" t="str">
        <f aca="false">IF(B1412="","",IFERROR(INDEX('CARNET DE SOUDURE'!$E$7:$E$3006,MATCH(B1412,'CARNET DE SOUDURE'!$L$7:$L$3006,0)),""))</f>
        <v/>
      </c>
      <c r="L1412" s="82" t="str">
        <f aca="false">IF(B1412="","",IFERROR(INDEX('CARNET DE SOUDURE'!$D$7:$D$3006,MATCH(B1412,'CARNET DE SOUDURE'!$L$7:$L$3006,0)),IFERROR(INDEX('CARNET DE SOUDURE'!$D$7:$D$3006,MATCH(B1412,'CARNET DE SOUDURE'!$O$7:$O$3006,0)),"")))</f>
        <v/>
      </c>
      <c r="M1412" s="82" t="str">
        <f aca="false">IF(B1412="","",IF(OR(J1412&lt;&gt;"",K1412&lt;&gt;""),"POSÉ EN LIGNE",IF(COUNTIF(BARDAGE!$C$1:$C$5000,B1412)&gt;0,"BARDÉ","EN STOCK")))</f>
        <v/>
      </c>
      <c r="N1412" s="80"/>
    </row>
    <row r="1413" customFormat="false" ht="15" hidden="false" customHeight="false" outlineLevel="0" collapsed="false">
      <c r="A1413" s="82" t="str">
        <f aca="false">IF(B1413="","",ROW()-6)</f>
        <v/>
      </c>
      <c r="B1413" s="145"/>
      <c r="C1413" s="146"/>
      <c r="D1413" s="146"/>
      <c r="E1413" s="82" t="str">
        <f aca="false">IF(B1413="","",IF(COUNTIFS('CARNET DE SOUDURE'!$L$7:$L$3006,B1413,'CARNET DE SOUDURE'!$M$7:$M$3006,"&lt;&gt;"&amp;C1413,'CARNET DE SOUDURE'!$M$7:$M$3006,"&lt;&gt;")+COUNTIFS('CARNET DE SOUDURE'!$O$7:$O$3006,B1413,'CARNET DE SOUDURE'!$P$7:$P$3006,"&lt;&gt;"&amp;C1413,'CARNET DE SOUDURE'!$P$7:$P$3006,"&lt;&gt;")&gt;0,"⚠ DIFFÉRENTE","OK"))</f>
        <v/>
      </c>
      <c r="F1413" s="147"/>
      <c r="G1413" s="80"/>
      <c r="H1413" s="83"/>
      <c r="I1413" s="148" t="str">
        <f aca="false">IF(B1413="","",IFERROR(INDEX('CARNET DE SOUDURE'!$B$7:$B$3006,MATCH(B1413,'CARNET DE SOUDURE'!$L$7:$L$3006,0)),IFERROR(INDEX('CARNET DE SOUDURE'!$B$7:$B$3006,MATCH(B1413,'CARNET DE SOUDURE'!$O$7:$O$3006,0)),"")))</f>
        <v/>
      </c>
      <c r="J1413" s="82" t="str">
        <f aca="false">IF(B1413="","",IFERROR(INDEX('CARNET DE SOUDURE'!$E$7:$E$3006,MATCH(B1413,'CARNET DE SOUDURE'!$O$7:$O$3006,0)),""))</f>
        <v/>
      </c>
      <c r="K1413" s="82" t="str">
        <f aca="false">IF(B1413="","",IFERROR(INDEX('CARNET DE SOUDURE'!$E$7:$E$3006,MATCH(B1413,'CARNET DE SOUDURE'!$L$7:$L$3006,0)),""))</f>
        <v/>
      </c>
      <c r="L1413" s="82" t="str">
        <f aca="false">IF(B1413="","",IFERROR(INDEX('CARNET DE SOUDURE'!$D$7:$D$3006,MATCH(B1413,'CARNET DE SOUDURE'!$L$7:$L$3006,0)),IFERROR(INDEX('CARNET DE SOUDURE'!$D$7:$D$3006,MATCH(B1413,'CARNET DE SOUDURE'!$O$7:$O$3006,0)),"")))</f>
        <v/>
      </c>
      <c r="M1413" s="82" t="str">
        <f aca="false">IF(B1413="","",IF(OR(J1413&lt;&gt;"",K1413&lt;&gt;""),"POSÉ EN LIGNE",IF(COUNTIF(BARDAGE!$C$1:$C$5000,B1413)&gt;0,"BARDÉ","EN STOCK")))</f>
        <v/>
      </c>
      <c r="N1413" s="80"/>
    </row>
    <row r="1414" customFormat="false" ht="15" hidden="false" customHeight="false" outlineLevel="0" collapsed="false">
      <c r="A1414" s="82" t="str">
        <f aca="false">IF(B1414="","",ROW()-6)</f>
        <v/>
      </c>
      <c r="B1414" s="145"/>
      <c r="C1414" s="146"/>
      <c r="D1414" s="146"/>
      <c r="E1414" s="82" t="str">
        <f aca="false">IF(B1414="","",IF(COUNTIFS('CARNET DE SOUDURE'!$L$7:$L$3006,B1414,'CARNET DE SOUDURE'!$M$7:$M$3006,"&lt;&gt;"&amp;C1414,'CARNET DE SOUDURE'!$M$7:$M$3006,"&lt;&gt;")+COUNTIFS('CARNET DE SOUDURE'!$O$7:$O$3006,B1414,'CARNET DE SOUDURE'!$P$7:$P$3006,"&lt;&gt;"&amp;C1414,'CARNET DE SOUDURE'!$P$7:$P$3006,"&lt;&gt;")&gt;0,"⚠ DIFFÉRENTE","OK"))</f>
        <v/>
      </c>
      <c r="F1414" s="147"/>
      <c r="G1414" s="80"/>
      <c r="H1414" s="83"/>
      <c r="I1414" s="148" t="str">
        <f aca="false">IF(B1414="","",IFERROR(INDEX('CARNET DE SOUDURE'!$B$7:$B$3006,MATCH(B1414,'CARNET DE SOUDURE'!$L$7:$L$3006,0)),IFERROR(INDEX('CARNET DE SOUDURE'!$B$7:$B$3006,MATCH(B1414,'CARNET DE SOUDURE'!$O$7:$O$3006,0)),"")))</f>
        <v/>
      </c>
      <c r="J1414" s="82" t="str">
        <f aca="false">IF(B1414="","",IFERROR(INDEX('CARNET DE SOUDURE'!$E$7:$E$3006,MATCH(B1414,'CARNET DE SOUDURE'!$O$7:$O$3006,0)),""))</f>
        <v/>
      </c>
      <c r="K1414" s="82" t="str">
        <f aca="false">IF(B1414="","",IFERROR(INDEX('CARNET DE SOUDURE'!$E$7:$E$3006,MATCH(B1414,'CARNET DE SOUDURE'!$L$7:$L$3006,0)),""))</f>
        <v/>
      </c>
      <c r="L1414" s="82" t="str">
        <f aca="false">IF(B1414="","",IFERROR(INDEX('CARNET DE SOUDURE'!$D$7:$D$3006,MATCH(B1414,'CARNET DE SOUDURE'!$L$7:$L$3006,0)),IFERROR(INDEX('CARNET DE SOUDURE'!$D$7:$D$3006,MATCH(B1414,'CARNET DE SOUDURE'!$O$7:$O$3006,0)),"")))</f>
        <v/>
      </c>
      <c r="M1414" s="82" t="str">
        <f aca="false">IF(B1414="","",IF(OR(J1414&lt;&gt;"",K1414&lt;&gt;""),"POSÉ EN LIGNE",IF(COUNTIF(BARDAGE!$C$1:$C$5000,B1414)&gt;0,"BARDÉ","EN STOCK")))</f>
        <v/>
      </c>
      <c r="N1414" s="80"/>
    </row>
    <row r="1415" customFormat="false" ht="15" hidden="false" customHeight="false" outlineLevel="0" collapsed="false">
      <c r="A1415" s="82" t="str">
        <f aca="false">IF(B1415="","",ROW()-6)</f>
        <v/>
      </c>
      <c r="B1415" s="145"/>
      <c r="C1415" s="146"/>
      <c r="D1415" s="146"/>
      <c r="E1415" s="82" t="str">
        <f aca="false">IF(B1415="","",IF(COUNTIFS('CARNET DE SOUDURE'!$L$7:$L$3006,B1415,'CARNET DE SOUDURE'!$M$7:$M$3006,"&lt;&gt;"&amp;C1415,'CARNET DE SOUDURE'!$M$7:$M$3006,"&lt;&gt;")+COUNTIFS('CARNET DE SOUDURE'!$O$7:$O$3006,B1415,'CARNET DE SOUDURE'!$P$7:$P$3006,"&lt;&gt;"&amp;C1415,'CARNET DE SOUDURE'!$P$7:$P$3006,"&lt;&gt;")&gt;0,"⚠ DIFFÉRENTE","OK"))</f>
        <v/>
      </c>
      <c r="F1415" s="147"/>
      <c r="G1415" s="80"/>
      <c r="H1415" s="83"/>
      <c r="I1415" s="148" t="str">
        <f aca="false">IF(B1415="","",IFERROR(INDEX('CARNET DE SOUDURE'!$B$7:$B$3006,MATCH(B1415,'CARNET DE SOUDURE'!$L$7:$L$3006,0)),IFERROR(INDEX('CARNET DE SOUDURE'!$B$7:$B$3006,MATCH(B1415,'CARNET DE SOUDURE'!$O$7:$O$3006,0)),"")))</f>
        <v/>
      </c>
      <c r="J1415" s="82" t="str">
        <f aca="false">IF(B1415="","",IFERROR(INDEX('CARNET DE SOUDURE'!$E$7:$E$3006,MATCH(B1415,'CARNET DE SOUDURE'!$O$7:$O$3006,0)),""))</f>
        <v/>
      </c>
      <c r="K1415" s="82" t="str">
        <f aca="false">IF(B1415="","",IFERROR(INDEX('CARNET DE SOUDURE'!$E$7:$E$3006,MATCH(B1415,'CARNET DE SOUDURE'!$L$7:$L$3006,0)),""))</f>
        <v/>
      </c>
      <c r="L1415" s="82" t="str">
        <f aca="false">IF(B1415="","",IFERROR(INDEX('CARNET DE SOUDURE'!$D$7:$D$3006,MATCH(B1415,'CARNET DE SOUDURE'!$L$7:$L$3006,0)),IFERROR(INDEX('CARNET DE SOUDURE'!$D$7:$D$3006,MATCH(B1415,'CARNET DE SOUDURE'!$O$7:$O$3006,0)),"")))</f>
        <v/>
      </c>
      <c r="M1415" s="82" t="str">
        <f aca="false">IF(B1415="","",IF(OR(J1415&lt;&gt;"",K1415&lt;&gt;""),"POSÉ EN LIGNE",IF(COUNTIF(BARDAGE!$C$1:$C$5000,B1415)&gt;0,"BARDÉ","EN STOCK")))</f>
        <v/>
      </c>
      <c r="N1415" s="80"/>
    </row>
    <row r="1416" customFormat="false" ht="15" hidden="false" customHeight="false" outlineLevel="0" collapsed="false">
      <c r="A1416" s="82" t="str">
        <f aca="false">IF(B1416="","",ROW()-6)</f>
        <v/>
      </c>
      <c r="B1416" s="145"/>
      <c r="C1416" s="146"/>
      <c r="D1416" s="146"/>
      <c r="E1416" s="82" t="str">
        <f aca="false">IF(B1416="","",IF(COUNTIFS('CARNET DE SOUDURE'!$L$7:$L$3006,B1416,'CARNET DE SOUDURE'!$M$7:$M$3006,"&lt;&gt;"&amp;C1416,'CARNET DE SOUDURE'!$M$7:$M$3006,"&lt;&gt;")+COUNTIFS('CARNET DE SOUDURE'!$O$7:$O$3006,B1416,'CARNET DE SOUDURE'!$P$7:$P$3006,"&lt;&gt;"&amp;C1416,'CARNET DE SOUDURE'!$P$7:$P$3006,"&lt;&gt;")&gt;0,"⚠ DIFFÉRENTE","OK"))</f>
        <v/>
      </c>
      <c r="F1416" s="147"/>
      <c r="G1416" s="80"/>
      <c r="H1416" s="83"/>
      <c r="I1416" s="148" t="str">
        <f aca="false">IF(B1416="","",IFERROR(INDEX('CARNET DE SOUDURE'!$B$7:$B$3006,MATCH(B1416,'CARNET DE SOUDURE'!$L$7:$L$3006,0)),IFERROR(INDEX('CARNET DE SOUDURE'!$B$7:$B$3006,MATCH(B1416,'CARNET DE SOUDURE'!$O$7:$O$3006,0)),"")))</f>
        <v/>
      </c>
      <c r="J1416" s="82" t="str">
        <f aca="false">IF(B1416="","",IFERROR(INDEX('CARNET DE SOUDURE'!$E$7:$E$3006,MATCH(B1416,'CARNET DE SOUDURE'!$O$7:$O$3006,0)),""))</f>
        <v/>
      </c>
      <c r="K1416" s="82" t="str">
        <f aca="false">IF(B1416="","",IFERROR(INDEX('CARNET DE SOUDURE'!$E$7:$E$3006,MATCH(B1416,'CARNET DE SOUDURE'!$L$7:$L$3006,0)),""))</f>
        <v/>
      </c>
      <c r="L1416" s="82" t="str">
        <f aca="false">IF(B1416="","",IFERROR(INDEX('CARNET DE SOUDURE'!$D$7:$D$3006,MATCH(B1416,'CARNET DE SOUDURE'!$L$7:$L$3006,0)),IFERROR(INDEX('CARNET DE SOUDURE'!$D$7:$D$3006,MATCH(B1416,'CARNET DE SOUDURE'!$O$7:$O$3006,0)),"")))</f>
        <v/>
      </c>
      <c r="M1416" s="82" t="str">
        <f aca="false">IF(B1416="","",IF(OR(J1416&lt;&gt;"",K1416&lt;&gt;""),"POSÉ EN LIGNE",IF(COUNTIF(BARDAGE!$C$1:$C$5000,B1416)&gt;0,"BARDÉ","EN STOCK")))</f>
        <v/>
      </c>
      <c r="N1416" s="80"/>
    </row>
    <row r="1417" customFormat="false" ht="15" hidden="false" customHeight="false" outlineLevel="0" collapsed="false">
      <c r="A1417" s="82" t="str">
        <f aca="false">IF(B1417="","",ROW()-6)</f>
        <v/>
      </c>
      <c r="B1417" s="145"/>
      <c r="C1417" s="146"/>
      <c r="D1417" s="146"/>
      <c r="E1417" s="82" t="str">
        <f aca="false">IF(B1417="","",IF(COUNTIFS('CARNET DE SOUDURE'!$L$7:$L$3006,B1417,'CARNET DE SOUDURE'!$M$7:$M$3006,"&lt;&gt;"&amp;C1417,'CARNET DE SOUDURE'!$M$7:$M$3006,"&lt;&gt;")+COUNTIFS('CARNET DE SOUDURE'!$O$7:$O$3006,B1417,'CARNET DE SOUDURE'!$P$7:$P$3006,"&lt;&gt;"&amp;C1417,'CARNET DE SOUDURE'!$P$7:$P$3006,"&lt;&gt;")&gt;0,"⚠ DIFFÉRENTE","OK"))</f>
        <v/>
      </c>
      <c r="F1417" s="147"/>
      <c r="G1417" s="80"/>
      <c r="H1417" s="83"/>
      <c r="I1417" s="148" t="str">
        <f aca="false">IF(B1417="","",IFERROR(INDEX('CARNET DE SOUDURE'!$B$7:$B$3006,MATCH(B1417,'CARNET DE SOUDURE'!$L$7:$L$3006,0)),IFERROR(INDEX('CARNET DE SOUDURE'!$B$7:$B$3006,MATCH(B1417,'CARNET DE SOUDURE'!$O$7:$O$3006,0)),"")))</f>
        <v/>
      </c>
      <c r="J1417" s="82" t="str">
        <f aca="false">IF(B1417="","",IFERROR(INDEX('CARNET DE SOUDURE'!$E$7:$E$3006,MATCH(B1417,'CARNET DE SOUDURE'!$O$7:$O$3006,0)),""))</f>
        <v/>
      </c>
      <c r="K1417" s="82" t="str">
        <f aca="false">IF(B1417="","",IFERROR(INDEX('CARNET DE SOUDURE'!$E$7:$E$3006,MATCH(B1417,'CARNET DE SOUDURE'!$L$7:$L$3006,0)),""))</f>
        <v/>
      </c>
      <c r="L1417" s="82" t="str">
        <f aca="false">IF(B1417="","",IFERROR(INDEX('CARNET DE SOUDURE'!$D$7:$D$3006,MATCH(B1417,'CARNET DE SOUDURE'!$L$7:$L$3006,0)),IFERROR(INDEX('CARNET DE SOUDURE'!$D$7:$D$3006,MATCH(B1417,'CARNET DE SOUDURE'!$O$7:$O$3006,0)),"")))</f>
        <v/>
      </c>
      <c r="M1417" s="82" t="str">
        <f aca="false">IF(B1417="","",IF(OR(J1417&lt;&gt;"",K1417&lt;&gt;""),"POSÉ EN LIGNE",IF(COUNTIF(BARDAGE!$C$1:$C$5000,B1417)&gt;0,"BARDÉ","EN STOCK")))</f>
        <v/>
      </c>
      <c r="N1417" s="80"/>
    </row>
    <row r="1418" customFormat="false" ht="15" hidden="false" customHeight="false" outlineLevel="0" collapsed="false">
      <c r="A1418" s="82" t="str">
        <f aca="false">IF(B1418="","",ROW()-6)</f>
        <v/>
      </c>
      <c r="B1418" s="145"/>
      <c r="C1418" s="146"/>
      <c r="D1418" s="146"/>
      <c r="E1418" s="82" t="str">
        <f aca="false">IF(B1418="","",IF(COUNTIFS('CARNET DE SOUDURE'!$L$7:$L$3006,B1418,'CARNET DE SOUDURE'!$M$7:$M$3006,"&lt;&gt;"&amp;C1418,'CARNET DE SOUDURE'!$M$7:$M$3006,"&lt;&gt;")+COUNTIFS('CARNET DE SOUDURE'!$O$7:$O$3006,B1418,'CARNET DE SOUDURE'!$P$7:$P$3006,"&lt;&gt;"&amp;C1418,'CARNET DE SOUDURE'!$P$7:$P$3006,"&lt;&gt;")&gt;0,"⚠ DIFFÉRENTE","OK"))</f>
        <v/>
      </c>
      <c r="F1418" s="147"/>
      <c r="G1418" s="80"/>
      <c r="H1418" s="83"/>
      <c r="I1418" s="148" t="str">
        <f aca="false">IF(B1418="","",IFERROR(INDEX('CARNET DE SOUDURE'!$B$7:$B$3006,MATCH(B1418,'CARNET DE SOUDURE'!$L$7:$L$3006,0)),IFERROR(INDEX('CARNET DE SOUDURE'!$B$7:$B$3006,MATCH(B1418,'CARNET DE SOUDURE'!$O$7:$O$3006,0)),"")))</f>
        <v/>
      </c>
      <c r="J1418" s="82" t="str">
        <f aca="false">IF(B1418="","",IFERROR(INDEX('CARNET DE SOUDURE'!$E$7:$E$3006,MATCH(B1418,'CARNET DE SOUDURE'!$O$7:$O$3006,0)),""))</f>
        <v/>
      </c>
      <c r="K1418" s="82" t="str">
        <f aca="false">IF(B1418="","",IFERROR(INDEX('CARNET DE SOUDURE'!$E$7:$E$3006,MATCH(B1418,'CARNET DE SOUDURE'!$L$7:$L$3006,0)),""))</f>
        <v/>
      </c>
      <c r="L1418" s="82" t="str">
        <f aca="false">IF(B1418="","",IFERROR(INDEX('CARNET DE SOUDURE'!$D$7:$D$3006,MATCH(B1418,'CARNET DE SOUDURE'!$L$7:$L$3006,0)),IFERROR(INDEX('CARNET DE SOUDURE'!$D$7:$D$3006,MATCH(B1418,'CARNET DE SOUDURE'!$O$7:$O$3006,0)),"")))</f>
        <v/>
      </c>
      <c r="M1418" s="82" t="str">
        <f aca="false">IF(B1418="","",IF(OR(J1418&lt;&gt;"",K1418&lt;&gt;""),"POSÉ EN LIGNE",IF(COUNTIF(BARDAGE!$C$1:$C$5000,B1418)&gt;0,"BARDÉ","EN STOCK")))</f>
        <v/>
      </c>
      <c r="N1418" s="80"/>
    </row>
    <row r="1419" customFormat="false" ht="15" hidden="false" customHeight="false" outlineLevel="0" collapsed="false">
      <c r="A1419" s="82" t="str">
        <f aca="false">IF(B1419="","",ROW()-6)</f>
        <v/>
      </c>
      <c r="B1419" s="145"/>
      <c r="C1419" s="146"/>
      <c r="D1419" s="146"/>
      <c r="E1419" s="82" t="str">
        <f aca="false">IF(B1419="","",IF(COUNTIFS('CARNET DE SOUDURE'!$L$7:$L$3006,B1419,'CARNET DE SOUDURE'!$M$7:$M$3006,"&lt;&gt;"&amp;C1419,'CARNET DE SOUDURE'!$M$7:$M$3006,"&lt;&gt;")+COUNTIFS('CARNET DE SOUDURE'!$O$7:$O$3006,B1419,'CARNET DE SOUDURE'!$P$7:$P$3006,"&lt;&gt;"&amp;C1419,'CARNET DE SOUDURE'!$P$7:$P$3006,"&lt;&gt;")&gt;0,"⚠ DIFFÉRENTE","OK"))</f>
        <v/>
      </c>
      <c r="F1419" s="147"/>
      <c r="G1419" s="80"/>
      <c r="H1419" s="83"/>
      <c r="I1419" s="148" t="str">
        <f aca="false">IF(B1419="","",IFERROR(INDEX('CARNET DE SOUDURE'!$B$7:$B$3006,MATCH(B1419,'CARNET DE SOUDURE'!$L$7:$L$3006,0)),IFERROR(INDEX('CARNET DE SOUDURE'!$B$7:$B$3006,MATCH(B1419,'CARNET DE SOUDURE'!$O$7:$O$3006,0)),"")))</f>
        <v/>
      </c>
      <c r="J1419" s="82" t="str">
        <f aca="false">IF(B1419="","",IFERROR(INDEX('CARNET DE SOUDURE'!$E$7:$E$3006,MATCH(B1419,'CARNET DE SOUDURE'!$O$7:$O$3006,0)),""))</f>
        <v/>
      </c>
      <c r="K1419" s="82" t="str">
        <f aca="false">IF(B1419="","",IFERROR(INDEX('CARNET DE SOUDURE'!$E$7:$E$3006,MATCH(B1419,'CARNET DE SOUDURE'!$L$7:$L$3006,0)),""))</f>
        <v/>
      </c>
      <c r="L1419" s="82" t="str">
        <f aca="false">IF(B1419="","",IFERROR(INDEX('CARNET DE SOUDURE'!$D$7:$D$3006,MATCH(B1419,'CARNET DE SOUDURE'!$L$7:$L$3006,0)),IFERROR(INDEX('CARNET DE SOUDURE'!$D$7:$D$3006,MATCH(B1419,'CARNET DE SOUDURE'!$O$7:$O$3006,0)),"")))</f>
        <v/>
      </c>
      <c r="M1419" s="82" t="str">
        <f aca="false">IF(B1419="","",IF(OR(J1419&lt;&gt;"",K1419&lt;&gt;""),"POSÉ EN LIGNE",IF(COUNTIF(BARDAGE!$C$1:$C$5000,B1419)&gt;0,"BARDÉ","EN STOCK")))</f>
        <v/>
      </c>
      <c r="N1419" s="80"/>
    </row>
    <row r="1420" customFormat="false" ht="15" hidden="false" customHeight="false" outlineLevel="0" collapsed="false">
      <c r="A1420" s="82" t="str">
        <f aca="false">IF(B1420="","",ROW()-6)</f>
        <v/>
      </c>
      <c r="B1420" s="145"/>
      <c r="C1420" s="146"/>
      <c r="D1420" s="146"/>
      <c r="E1420" s="82" t="str">
        <f aca="false">IF(B1420="","",IF(COUNTIFS('CARNET DE SOUDURE'!$L$7:$L$3006,B1420,'CARNET DE SOUDURE'!$M$7:$M$3006,"&lt;&gt;"&amp;C1420,'CARNET DE SOUDURE'!$M$7:$M$3006,"&lt;&gt;")+COUNTIFS('CARNET DE SOUDURE'!$O$7:$O$3006,B1420,'CARNET DE SOUDURE'!$P$7:$P$3006,"&lt;&gt;"&amp;C1420,'CARNET DE SOUDURE'!$P$7:$P$3006,"&lt;&gt;")&gt;0,"⚠ DIFFÉRENTE","OK"))</f>
        <v/>
      </c>
      <c r="F1420" s="147"/>
      <c r="G1420" s="80"/>
      <c r="H1420" s="83"/>
      <c r="I1420" s="148" t="str">
        <f aca="false">IF(B1420="","",IFERROR(INDEX('CARNET DE SOUDURE'!$B$7:$B$3006,MATCH(B1420,'CARNET DE SOUDURE'!$L$7:$L$3006,0)),IFERROR(INDEX('CARNET DE SOUDURE'!$B$7:$B$3006,MATCH(B1420,'CARNET DE SOUDURE'!$O$7:$O$3006,0)),"")))</f>
        <v/>
      </c>
      <c r="J1420" s="82" t="str">
        <f aca="false">IF(B1420="","",IFERROR(INDEX('CARNET DE SOUDURE'!$E$7:$E$3006,MATCH(B1420,'CARNET DE SOUDURE'!$O$7:$O$3006,0)),""))</f>
        <v/>
      </c>
      <c r="K1420" s="82" t="str">
        <f aca="false">IF(B1420="","",IFERROR(INDEX('CARNET DE SOUDURE'!$E$7:$E$3006,MATCH(B1420,'CARNET DE SOUDURE'!$L$7:$L$3006,0)),""))</f>
        <v/>
      </c>
      <c r="L1420" s="82" t="str">
        <f aca="false">IF(B1420="","",IFERROR(INDEX('CARNET DE SOUDURE'!$D$7:$D$3006,MATCH(B1420,'CARNET DE SOUDURE'!$L$7:$L$3006,0)),IFERROR(INDEX('CARNET DE SOUDURE'!$D$7:$D$3006,MATCH(B1420,'CARNET DE SOUDURE'!$O$7:$O$3006,0)),"")))</f>
        <v/>
      </c>
      <c r="M1420" s="82" t="str">
        <f aca="false">IF(B1420="","",IF(OR(J1420&lt;&gt;"",K1420&lt;&gt;""),"POSÉ EN LIGNE",IF(COUNTIF(BARDAGE!$C$1:$C$5000,B1420)&gt;0,"BARDÉ","EN STOCK")))</f>
        <v/>
      </c>
      <c r="N1420" s="80"/>
    </row>
    <row r="1421" customFormat="false" ht="15" hidden="false" customHeight="false" outlineLevel="0" collapsed="false">
      <c r="A1421" s="82" t="str">
        <f aca="false">IF(B1421="","",ROW()-6)</f>
        <v/>
      </c>
      <c r="B1421" s="145"/>
      <c r="C1421" s="146"/>
      <c r="D1421" s="146"/>
      <c r="E1421" s="82" t="str">
        <f aca="false">IF(B1421="","",IF(COUNTIFS('CARNET DE SOUDURE'!$L$7:$L$3006,B1421,'CARNET DE SOUDURE'!$M$7:$M$3006,"&lt;&gt;"&amp;C1421,'CARNET DE SOUDURE'!$M$7:$M$3006,"&lt;&gt;")+COUNTIFS('CARNET DE SOUDURE'!$O$7:$O$3006,B1421,'CARNET DE SOUDURE'!$P$7:$P$3006,"&lt;&gt;"&amp;C1421,'CARNET DE SOUDURE'!$P$7:$P$3006,"&lt;&gt;")&gt;0,"⚠ DIFFÉRENTE","OK"))</f>
        <v/>
      </c>
      <c r="F1421" s="147"/>
      <c r="G1421" s="80"/>
      <c r="H1421" s="83"/>
      <c r="I1421" s="148" t="str">
        <f aca="false">IF(B1421="","",IFERROR(INDEX('CARNET DE SOUDURE'!$B$7:$B$3006,MATCH(B1421,'CARNET DE SOUDURE'!$L$7:$L$3006,0)),IFERROR(INDEX('CARNET DE SOUDURE'!$B$7:$B$3006,MATCH(B1421,'CARNET DE SOUDURE'!$O$7:$O$3006,0)),"")))</f>
        <v/>
      </c>
      <c r="J1421" s="82" t="str">
        <f aca="false">IF(B1421="","",IFERROR(INDEX('CARNET DE SOUDURE'!$E$7:$E$3006,MATCH(B1421,'CARNET DE SOUDURE'!$O$7:$O$3006,0)),""))</f>
        <v/>
      </c>
      <c r="K1421" s="82" t="str">
        <f aca="false">IF(B1421="","",IFERROR(INDEX('CARNET DE SOUDURE'!$E$7:$E$3006,MATCH(B1421,'CARNET DE SOUDURE'!$L$7:$L$3006,0)),""))</f>
        <v/>
      </c>
      <c r="L1421" s="82" t="str">
        <f aca="false">IF(B1421="","",IFERROR(INDEX('CARNET DE SOUDURE'!$D$7:$D$3006,MATCH(B1421,'CARNET DE SOUDURE'!$L$7:$L$3006,0)),IFERROR(INDEX('CARNET DE SOUDURE'!$D$7:$D$3006,MATCH(B1421,'CARNET DE SOUDURE'!$O$7:$O$3006,0)),"")))</f>
        <v/>
      </c>
      <c r="M1421" s="82" t="str">
        <f aca="false">IF(B1421="","",IF(OR(J1421&lt;&gt;"",K1421&lt;&gt;""),"POSÉ EN LIGNE",IF(COUNTIF(BARDAGE!$C$1:$C$5000,B1421)&gt;0,"BARDÉ","EN STOCK")))</f>
        <v/>
      </c>
      <c r="N1421" s="80"/>
    </row>
    <row r="1422" customFormat="false" ht="15" hidden="false" customHeight="false" outlineLevel="0" collapsed="false">
      <c r="A1422" s="82" t="str">
        <f aca="false">IF(B1422="","",ROW()-6)</f>
        <v/>
      </c>
      <c r="B1422" s="145"/>
      <c r="C1422" s="146"/>
      <c r="D1422" s="146"/>
      <c r="E1422" s="82" t="str">
        <f aca="false">IF(B1422="","",IF(COUNTIFS('CARNET DE SOUDURE'!$L$7:$L$3006,B1422,'CARNET DE SOUDURE'!$M$7:$M$3006,"&lt;&gt;"&amp;C1422,'CARNET DE SOUDURE'!$M$7:$M$3006,"&lt;&gt;")+COUNTIFS('CARNET DE SOUDURE'!$O$7:$O$3006,B1422,'CARNET DE SOUDURE'!$P$7:$P$3006,"&lt;&gt;"&amp;C1422,'CARNET DE SOUDURE'!$P$7:$P$3006,"&lt;&gt;")&gt;0,"⚠ DIFFÉRENTE","OK"))</f>
        <v/>
      </c>
      <c r="F1422" s="147"/>
      <c r="G1422" s="80"/>
      <c r="H1422" s="83"/>
      <c r="I1422" s="148" t="str">
        <f aca="false">IF(B1422="","",IFERROR(INDEX('CARNET DE SOUDURE'!$B$7:$B$3006,MATCH(B1422,'CARNET DE SOUDURE'!$L$7:$L$3006,0)),IFERROR(INDEX('CARNET DE SOUDURE'!$B$7:$B$3006,MATCH(B1422,'CARNET DE SOUDURE'!$O$7:$O$3006,0)),"")))</f>
        <v/>
      </c>
      <c r="J1422" s="82" t="str">
        <f aca="false">IF(B1422="","",IFERROR(INDEX('CARNET DE SOUDURE'!$E$7:$E$3006,MATCH(B1422,'CARNET DE SOUDURE'!$O$7:$O$3006,0)),""))</f>
        <v/>
      </c>
      <c r="K1422" s="82" t="str">
        <f aca="false">IF(B1422="","",IFERROR(INDEX('CARNET DE SOUDURE'!$E$7:$E$3006,MATCH(B1422,'CARNET DE SOUDURE'!$L$7:$L$3006,0)),""))</f>
        <v/>
      </c>
      <c r="L1422" s="82" t="str">
        <f aca="false">IF(B1422="","",IFERROR(INDEX('CARNET DE SOUDURE'!$D$7:$D$3006,MATCH(B1422,'CARNET DE SOUDURE'!$L$7:$L$3006,0)),IFERROR(INDEX('CARNET DE SOUDURE'!$D$7:$D$3006,MATCH(B1422,'CARNET DE SOUDURE'!$O$7:$O$3006,0)),"")))</f>
        <v/>
      </c>
      <c r="M1422" s="82" t="str">
        <f aca="false">IF(B1422="","",IF(OR(J1422&lt;&gt;"",K1422&lt;&gt;""),"POSÉ EN LIGNE",IF(COUNTIF(BARDAGE!$C$1:$C$5000,B1422)&gt;0,"BARDÉ","EN STOCK")))</f>
        <v/>
      </c>
      <c r="N1422" s="80"/>
    </row>
    <row r="1423" customFormat="false" ht="15" hidden="false" customHeight="false" outlineLevel="0" collapsed="false">
      <c r="A1423" s="82" t="str">
        <f aca="false">IF(B1423="","",ROW()-6)</f>
        <v/>
      </c>
      <c r="B1423" s="145"/>
      <c r="C1423" s="146"/>
      <c r="D1423" s="146"/>
      <c r="E1423" s="82" t="str">
        <f aca="false">IF(B1423="","",IF(COUNTIFS('CARNET DE SOUDURE'!$L$7:$L$3006,B1423,'CARNET DE SOUDURE'!$M$7:$M$3006,"&lt;&gt;"&amp;C1423,'CARNET DE SOUDURE'!$M$7:$M$3006,"&lt;&gt;")+COUNTIFS('CARNET DE SOUDURE'!$O$7:$O$3006,B1423,'CARNET DE SOUDURE'!$P$7:$P$3006,"&lt;&gt;"&amp;C1423,'CARNET DE SOUDURE'!$P$7:$P$3006,"&lt;&gt;")&gt;0,"⚠ DIFFÉRENTE","OK"))</f>
        <v/>
      </c>
      <c r="F1423" s="147"/>
      <c r="G1423" s="80"/>
      <c r="H1423" s="83"/>
      <c r="I1423" s="148" t="str">
        <f aca="false">IF(B1423="","",IFERROR(INDEX('CARNET DE SOUDURE'!$B$7:$B$3006,MATCH(B1423,'CARNET DE SOUDURE'!$L$7:$L$3006,0)),IFERROR(INDEX('CARNET DE SOUDURE'!$B$7:$B$3006,MATCH(B1423,'CARNET DE SOUDURE'!$O$7:$O$3006,0)),"")))</f>
        <v/>
      </c>
      <c r="J1423" s="82" t="str">
        <f aca="false">IF(B1423="","",IFERROR(INDEX('CARNET DE SOUDURE'!$E$7:$E$3006,MATCH(B1423,'CARNET DE SOUDURE'!$O$7:$O$3006,0)),""))</f>
        <v/>
      </c>
      <c r="K1423" s="82" t="str">
        <f aca="false">IF(B1423="","",IFERROR(INDEX('CARNET DE SOUDURE'!$E$7:$E$3006,MATCH(B1423,'CARNET DE SOUDURE'!$L$7:$L$3006,0)),""))</f>
        <v/>
      </c>
      <c r="L1423" s="82" t="str">
        <f aca="false">IF(B1423="","",IFERROR(INDEX('CARNET DE SOUDURE'!$D$7:$D$3006,MATCH(B1423,'CARNET DE SOUDURE'!$L$7:$L$3006,0)),IFERROR(INDEX('CARNET DE SOUDURE'!$D$7:$D$3006,MATCH(B1423,'CARNET DE SOUDURE'!$O$7:$O$3006,0)),"")))</f>
        <v/>
      </c>
      <c r="M1423" s="82" t="str">
        <f aca="false">IF(B1423="","",IF(OR(J1423&lt;&gt;"",K1423&lt;&gt;""),"POSÉ EN LIGNE",IF(COUNTIF(BARDAGE!$C$1:$C$5000,B1423)&gt;0,"BARDÉ","EN STOCK")))</f>
        <v/>
      </c>
      <c r="N1423" s="80"/>
    </row>
    <row r="1424" customFormat="false" ht="15" hidden="false" customHeight="false" outlineLevel="0" collapsed="false">
      <c r="A1424" s="82" t="str">
        <f aca="false">IF(B1424="","",ROW()-6)</f>
        <v/>
      </c>
      <c r="B1424" s="145"/>
      <c r="C1424" s="146"/>
      <c r="D1424" s="146"/>
      <c r="E1424" s="82" t="str">
        <f aca="false">IF(B1424="","",IF(COUNTIFS('CARNET DE SOUDURE'!$L$7:$L$3006,B1424,'CARNET DE SOUDURE'!$M$7:$M$3006,"&lt;&gt;"&amp;C1424,'CARNET DE SOUDURE'!$M$7:$M$3006,"&lt;&gt;")+COUNTIFS('CARNET DE SOUDURE'!$O$7:$O$3006,B1424,'CARNET DE SOUDURE'!$P$7:$P$3006,"&lt;&gt;"&amp;C1424,'CARNET DE SOUDURE'!$P$7:$P$3006,"&lt;&gt;")&gt;0,"⚠ DIFFÉRENTE","OK"))</f>
        <v/>
      </c>
      <c r="F1424" s="147"/>
      <c r="G1424" s="80"/>
      <c r="H1424" s="83"/>
      <c r="I1424" s="148" t="str">
        <f aca="false">IF(B1424="","",IFERROR(INDEX('CARNET DE SOUDURE'!$B$7:$B$3006,MATCH(B1424,'CARNET DE SOUDURE'!$L$7:$L$3006,0)),IFERROR(INDEX('CARNET DE SOUDURE'!$B$7:$B$3006,MATCH(B1424,'CARNET DE SOUDURE'!$O$7:$O$3006,0)),"")))</f>
        <v/>
      </c>
      <c r="J1424" s="82" t="str">
        <f aca="false">IF(B1424="","",IFERROR(INDEX('CARNET DE SOUDURE'!$E$7:$E$3006,MATCH(B1424,'CARNET DE SOUDURE'!$O$7:$O$3006,0)),""))</f>
        <v/>
      </c>
      <c r="K1424" s="82" t="str">
        <f aca="false">IF(B1424="","",IFERROR(INDEX('CARNET DE SOUDURE'!$E$7:$E$3006,MATCH(B1424,'CARNET DE SOUDURE'!$L$7:$L$3006,0)),""))</f>
        <v/>
      </c>
      <c r="L1424" s="82" t="str">
        <f aca="false">IF(B1424="","",IFERROR(INDEX('CARNET DE SOUDURE'!$D$7:$D$3006,MATCH(B1424,'CARNET DE SOUDURE'!$L$7:$L$3006,0)),IFERROR(INDEX('CARNET DE SOUDURE'!$D$7:$D$3006,MATCH(B1424,'CARNET DE SOUDURE'!$O$7:$O$3006,0)),"")))</f>
        <v/>
      </c>
      <c r="M1424" s="82" t="str">
        <f aca="false">IF(B1424="","",IF(OR(J1424&lt;&gt;"",K1424&lt;&gt;""),"POSÉ EN LIGNE",IF(COUNTIF(BARDAGE!$C$1:$C$5000,B1424)&gt;0,"BARDÉ","EN STOCK")))</f>
        <v/>
      </c>
      <c r="N1424" s="80"/>
    </row>
    <row r="1425" customFormat="false" ht="15" hidden="false" customHeight="false" outlineLevel="0" collapsed="false">
      <c r="A1425" s="82" t="str">
        <f aca="false">IF(B1425="","",ROW()-6)</f>
        <v/>
      </c>
      <c r="B1425" s="145"/>
      <c r="C1425" s="146"/>
      <c r="D1425" s="146"/>
      <c r="E1425" s="82" t="str">
        <f aca="false">IF(B1425="","",IF(COUNTIFS('CARNET DE SOUDURE'!$L$7:$L$3006,B1425,'CARNET DE SOUDURE'!$M$7:$M$3006,"&lt;&gt;"&amp;C1425,'CARNET DE SOUDURE'!$M$7:$M$3006,"&lt;&gt;")+COUNTIFS('CARNET DE SOUDURE'!$O$7:$O$3006,B1425,'CARNET DE SOUDURE'!$P$7:$P$3006,"&lt;&gt;"&amp;C1425,'CARNET DE SOUDURE'!$P$7:$P$3006,"&lt;&gt;")&gt;0,"⚠ DIFFÉRENTE","OK"))</f>
        <v/>
      </c>
      <c r="F1425" s="147"/>
      <c r="G1425" s="80"/>
      <c r="H1425" s="83"/>
      <c r="I1425" s="148" t="str">
        <f aca="false">IF(B1425="","",IFERROR(INDEX('CARNET DE SOUDURE'!$B$7:$B$3006,MATCH(B1425,'CARNET DE SOUDURE'!$L$7:$L$3006,0)),IFERROR(INDEX('CARNET DE SOUDURE'!$B$7:$B$3006,MATCH(B1425,'CARNET DE SOUDURE'!$O$7:$O$3006,0)),"")))</f>
        <v/>
      </c>
      <c r="J1425" s="82" t="str">
        <f aca="false">IF(B1425="","",IFERROR(INDEX('CARNET DE SOUDURE'!$E$7:$E$3006,MATCH(B1425,'CARNET DE SOUDURE'!$O$7:$O$3006,0)),""))</f>
        <v/>
      </c>
      <c r="K1425" s="82" t="str">
        <f aca="false">IF(B1425="","",IFERROR(INDEX('CARNET DE SOUDURE'!$E$7:$E$3006,MATCH(B1425,'CARNET DE SOUDURE'!$L$7:$L$3006,0)),""))</f>
        <v/>
      </c>
      <c r="L1425" s="82" t="str">
        <f aca="false">IF(B1425="","",IFERROR(INDEX('CARNET DE SOUDURE'!$D$7:$D$3006,MATCH(B1425,'CARNET DE SOUDURE'!$L$7:$L$3006,0)),IFERROR(INDEX('CARNET DE SOUDURE'!$D$7:$D$3006,MATCH(B1425,'CARNET DE SOUDURE'!$O$7:$O$3006,0)),"")))</f>
        <v/>
      </c>
      <c r="M1425" s="82" t="str">
        <f aca="false">IF(B1425="","",IF(OR(J1425&lt;&gt;"",K1425&lt;&gt;""),"POSÉ EN LIGNE",IF(COUNTIF(BARDAGE!$C$1:$C$5000,B1425)&gt;0,"BARDÉ","EN STOCK")))</f>
        <v/>
      </c>
      <c r="N1425" s="80"/>
    </row>
    <row r="1426" customFormat="false" ht="15" hidden="false" customHeight="false" outlineLevel="0" collapsed="false">
      <c r="A1426" s="82" t="str">
        <f aca="false">IF(B1426="","",ROW()-6)</f>
        <v/>
      </c>
      <c r="B1426" s="145"/>
      <c r="C1426" s="146"/>
      <c r="D1426" s="146"/>
      <c r="E1426" s="82" t="str">
        <f aca="false">IF(B1426="","",IF(COUNTIFS('CARNET DE SOUDURE'!$L$7:$L$3006,B1426,'CARNET DE SOUDURE'!$M$7:$M$3006,"&lt;&gt;"&amp;C1426,'CARNET DE SOUDURE'!$M$7:$M$3006,"&lt;&gt;")+COUNTIFS('CARNET DE SOUDURE'!$O$7:$O$3006,B1426,'CARNET DE SOUDURE'!$P$7:$P$3006,"&lt;&gt;"&amp;C1426,'CARNET DE SOUDURE'!$P$7:$P$3006,"&lt;&gt;")&gt;0,"⚠ DIFFÉRENTE","OK"))</f>
        <v/>
      </c>
      <c r="F1426" s="147"/>
      <c r="G1426" s="80"/>
      <c r="H1426" s="83"/>
      <c r="I1426" s="148" t="str">
        <f aca="false">IF(B1426="","",IFERROR(INDEX('CARNET DE SOUDURE'!$B$7:$B$3006,MATCH(B1426,'CARNET DE SOUDURE'!$L$7:$L$3006,0)),IFERROR(INDEX('CARNET DE SOUDURE'!$B$7:$B$3006,MATCH(B1426,'CARNET DE SOUDURE'!$O$7:$O$3006,0)),"")))</f>
        <v/>
      </c>
      <c r="J1426" s="82" t="str">
        <f aca="false">IF(B1426="","",IFERROR(INDEX('CARNET DE SOUDURE'!$E$7:$E$3006,MATCH(B1426,'CARNET DE SOUDURE'!$O$7:$O$3006,0)),""))</f>
        <v/>
      </c>
      <c r="K1426" s="82" t="str">
        <f aca="false">IF(B1426="","",IFERROR(INDEX('CARNET DE SOUDURE'!$E$7:$E$3006,MATCH(B1426,'CARNET DE SOUDURE'!$L$7:$L$3006,0)),""))</f>
        <v/>
      </c>
      <c r="L1426" s="82" t="str">
        <f aca="false">IF(B1426="","",IFERROR(INDEX('CARNET DE SOUDURE'!$D$7:$D$3006,MATCH(B1426,'CARNET DE SOUDURE'!$L$7:$L$3006,0)),IFERROR(INDEX('CARNET DE SOUDURE'!$D$7:$D$3006,MATCH(B1426,'CARNET DE SOUDURE'!$O$7:$O$3006,0)),"")))</f>
        <v/>
      </c>
      <c r="M1426" s="82" t="str">
        <f aca="false">IF(B1426="","",IF(OR(J1426&lt;&gt;"",K1426&lt;&gt;""),"POSÉ EN LIGNE",IF(COUNTIF(BARDAGE!$C$1:$C$5000,B1426)&gt;0,"BARDÉ","EN STOCK")))</f>
        <v/>
      </c>
      <c r="N1426" s="80"/>
    </row>
    <row r="1427" customFormat="false" ht="15" hidden="false" customHeight="false" outlineLevel="0" collapsed="false">
      <c r="A1427" s="82" t="str">
        <f aca="false">IF(B1427="","",ROW()-6)</f>
        <v/>
      </c>
      <c r="B1427" s="145"/>
      <c r="C1427" s="146"/>
      <c r="D1427" s="146"/>
      <c r="E1427" s="82" t="str">
        <f aca="false">IF(B1427="","",IF(COUNTIFS('CARNET DE SOUDURE'!$L$7:$L$3006,B1427,'CARNET DE SOUDURE'!$M$7:$M$3006,"&lt;&gt;"&amp;C1427,'CARNET DE SOUDURE'!$M$7:$M$3006,"&lt;&gt;")+COUNTIFS('CARNET DE SOUDURE'!$O$7:$O$3006,B1427,'CARNET DE SOUDURE'!$P$7:$P$3006,"&lt;&gt;"&amp;C1427,'CARNET DE SOUDURE'!$P$7:$P$3006,"&lt;&gt;")&gt;0,"⚠ DIFFÉRENTE","OK"))</f>
        <v/>
      </c>
      <c r="F1427" s="147"/>
      <c r="G1427" s="80"/>
      <c r="H1427" s="83"/>
      <c r="I1427" s="148" t="str">
        <f aca="false">IF(B1427="","",IFERROR(INDEX('CARNET DE SOUDURE'!$B$7:$B$3006,MATCH(B1427,'CARNET DE SOUDURE'!$L$7:$L$3006,0)),IFERROR(INDEX('CARNET DE SOUDURE'!$B$7:$B$3006,MATCH(B1427,'CARNET DE SOUDURE'!$O$7:$O$3006,0)),"")))</f>
        <v/>
      </c>
      <c r="J1427" s="82" t="str">
        <f aca="false">IF(B1427="","",IFERROR(INDEX('CARNET DE SOUDURE'!$E$7:$E$3006,MATCH(B1427,'CARNET DE SOUDURE'!$O$7:$O$3006,0)),""))</f>
        <v/>
      </c>
      <c r="K1427" s="82" t="str">
        <f aca="false">IF(B1427="","",IFERROR(INDEX('CARNET DE SOUDURE'!$E$7:$E$3006,MATCH(B1427,'CARNET DE SOUDURE'!$L$7:$L$3006,0)),""))</f>
        <v/>
      </c>
      <c r="L1427" s="82" t="str">
        <f aca="false">IF(B1427="","",IFERROR(INDEX('CARNET DE SOUDURE'!$D$7:$D$3006,MATCH(B1427,'CARNET DE SOUDURE'!$L$7:$L$3006,0)),IFERROR(INDEX('CARNET DE SOUDURE'!$D$7:$D$3006,MATCH(B1427,'CARNET DE SOUDURE'!$O$7:$O$3006,0)),"")))</f>
        <v/>
      </c>
      <c r="M1427" s="82" t="str">
        <f aca="false">IF(B1427="","",IF(OR(J1427&lt;&gt;"",K1427&lt;&gt;""),"POSÉ EN LIGNE",IF(COUNTIF(BARDAGE!$C$1:$C$5000,B1427)&gt;0,"BARDÉ","EN STOCK")))</f>
        <v/>
      </c>
      <c r="N1427" s="80"/>
    </row>
    <row r="1428" customFormat="false" ht="15" hidden="false" customHeight="false" outlineLevel="0" collapsed="false">
      <c r="A1428" s="82" t="str">
        <f aca="false">IF(B1428="","",ROW()-6)</f>
        <v/>
      </c>
      <c r="B1428" s="145"/>
      <c r="C1428" s="146"/>
      <c r="D1428" s="146"/>
      <c r="E1428" s="82" t="str">
        <f aca="false">IF(B1428="","",IF(COUNTIFS('CARNET DE SOUDURE'!$L$7:$L$3006,B1428,'CARNET DE SOUDURE'!$M$7:$M$3006,"&lt;&gt;"&amp;C1428,'CARNET DE SOUDURE'!$M$7:$M$3006,"&lt;&gt;")+COUNTIFS('CARNET DE SOUDURE'!$O$7:$O$3006,B1428,'CARNET DE SOUDURE'!$P$7:$P$3006,"&lt;&gt;"&amp;C1428,'CARNET DE SOUDURE'!$P$7:$P$3006,"&lt;&gt;")&gt;0,"⚠ DIFFÉRENTE","OK"))</f>
        <v/>
      </c>
      <c r="F1428" s="147"/>
      <c r="G1428" s="80"/>
      <c r="H1428" s="83"/>
      <c r="I1428" s="148" t="str">
        <f aca="false">IF(B1428="","",IFERROR(INDEX('CARNET DE SOUDURE'!$B$7:$B$3006,MATCH(B1428,'CARNET DE SOUDURE'!$L$7:$L$3006,0)),IFERROR(INDEX('CARNET DE SOUDURE'!$B$7:$B$3006,MATCH(B1428,'CARNET DE SOUDURE'!$O$7:$O$3006,0)),"")))</f>
        <v/>
      </c>
      <c r="J1428" s="82" t="str">
        <f aca="false">IF(B1428="","",IFERROR(INDEX('CARNET DE SOUDURE'!$E$7:$E$3006,MATCH(B1428,'CARNET DE SOUDURE'!$O$7:$O$3006,0)),""))</f>
        <v/>
      </c>
      <c r="K1428" s="82" t="str">
        <f aca="false">IF(B1428="","",IFERROR(INDEX('CARNET DE SOUDURE'!$E$7:$E$3006,MATCH(B1428,'CARNET DE SOUDURE'!$L$7:$L$3006,0)),""))</f>
        <v/>
      </c>
      <c r="L1428" s="82" t="str">
        <f aca="false">IF(B1428="","",IFERROR(INDEX('CARNET DE SOUDURE'!$D$7:$D$3006,MATCH(B1428,'CARNET DE SOUDURE'!$L$7:$L$3006,0)),IFERROR(INDEX('CARNET DE SOUDURE'!$D$7:$D$3006,MATCH(B1428,'CARNET DE SOUDURE'!$O$7:$O$3006,0)),"")))</f>
        <v/>
      </c>
      <c r="M1428" s="82" t="str">
        <f aca="false">IF(B1428="","",IF(OR(J1428&lt;&gt;"",K1428&lt;&gt;""),"POSÉ EN LIGNE",IF(COUNTIF(BARDAGE!$C$1:$C$5000,B1428)&gt;0,"BARDÉ","EN STOCK")))</f>
        <v/>
      </c>
      <c r="N1428" s="80"/>
    </row>
    <row r="1429" customFormat="false" ht="15" hidden="false" customHeight="false" outlineLevel="0" collapsed="false">
      <c r="A1429" s="82" t="str">
        <f aca="false">IF(B1429="","",ROW()-6)</f>
        <v/>
      </c>
      <c r="B1429" s="145"/>
      <c r="C1429" s="146"/>
      <c r="D1429" s="146"/>
      <c r="E1429" s="82" t="str">
        <f aca="false">IF(B1429="","",IF(COUNTIFS('CARNET DE SOUDURE'!$L$7:$L$3006,B1429,'CARNET DE SOUDURE'!$M$7:$M$3006,"&lt;&gt;"&amp;C1429,'CARNET DE SOUDURE'!$M$7:$M$3006,"&lt;&gt;")+COUNTIFS('CARNET DE SOUDURE'!$O$7:$O$3006,B1429,'CARNET DE SOUDURE'!$P$7:$P$3006,"&lt;&gt;"&amp;C1429,'CARNET DE SOUDURE'!$P$7:$P$3006,"&lt;&gt;")&gt;0,"⚠ DIFFÉRENTE","OK"))</f>
        <v/>
      </c>
      <c r="F1429" s="147"/>
      <c r="G1429" s="80"/>
      <c r="H1429" s="83"/>
      <c r="I1429" s="148" t="str">
        <f aca="false">IF(B1429="","",IFERROR(INDEX('CARNET DE SOUDURE'!$B$7:$B$3006,MATCH(B1429,'CARNET DE SOUDURE'!$L$7:$L$3006,0)),IFERROR(INDEX('CARNET DE SOUDURE'!$B$7:$B$3006,MATCH(B1429,'CARNET DE SOUDURE'!$O$7:$O$3006,0)),"")))</f>
        <v/>
      </c>
      <c r="J1429" s="82" t="str">
        <f aca="false">IF(B1429="","",IFERROR(INDEX('CARNET DE SOUDURE'!$E$7:$E$3006,MATCH(B1429,'CARNET DE SOUDURE'!$O$7:$O$3006,0)),""))</f>
        <v/>
      </c>
      <c r="K1429" s="82" t="str">
        <f aca="false">IF(B1429="","",IFERROR(INDEX('CARNET DE SOUDURE'!$E$7:$E$3006,MATCH(B1429,'CARNET DE SOUDURE'!$L$7:$L$3006,0)),""))</f>
        <v/>
      </c>
      <c r="L1429" s="82" t="str">
        <f aca="false">IF(B1429="","",IFERROR(INDEX('CARNET DE SOUDURE'!$D$7:$D$3006,MATCH(B1429,'CARNET DE SOUDURE'!$L$7:$L$3006,0)),IFERROR(INDEX('CARNET DE SOUDURE'!$D$7:$D$3006,MATCH(B1429,'CARNET DE SOUDURE'!$O$7:$O$3006,0)),"")))</f>
        <v/>
      </c>
      <c r="M1429" s="82" t="str">
        <f aca="false">IF(B1429="","",IF(OR(J1429&lt;&gt;"",K1429&lt;&gt;""),"POSÉ EN LIGNE",IF(COUNTIF(BARDAGE!$C$1:$C$5000,B1429)&gt;0,"BARDÉ","EN STOCK")))</f>
        <v/>
      </c>
      <c r="N1429" s="80"/>
    </row>
    <row r="1430" customFormat="false" ht="15" hidden="false" customHeight="false" outlineLevel="0" collapsed="false">
      <c r="A1430" s="82" t="str">
        <f aca="false">IF(B1430="","",ROW()-6)</f>
        <v/>
      </c>
      <c r="B1430" s="145"/>
      <c r="C1430" s="146"/>
      <c r="D1430" s="146"/>
      <c r="E1430" s="82" t="str">
        <f aca="false">IF(B1430="","",IF(COUNTIFS('CARNET DE SOUDURE'!$L$7:$L$3006,B1430,'CARNET DE SOUDURE'!$M$7:$M$3006,"&lt;&gt;"&amp;C1430,'CARNET DE SOUDURE'!$M$7:$M$3006,"&lt;&gt;")+COUNTIFS('CARNET DE SOUDURE'!$O$7:$O$3006,B1430,'CARNET DE SOUDURE'!$P$7:$P$3006,"&lt;&gt;"&amp;C1430,'CARNET DE SOUDURE'!$P$7:$P$3006,"&lt;&gt;")&gt;0,"⚠ DIFFÉRENTE","OK"))</f>
        <v/>
      </c>
      <c r="F1430" s="147"/>
      <c r="G1430" s="80"/>
      <c r="H1430" s="83"/>
      <c r="I1430" s="148" t="str">
        <f aca="false">IF(B1430="","",IFERROR(INDEX('CARNET DE SOUDURE'!$B$7:$B$3006,MATCH(B1430,'CARNET DE SOUDURE'!$L$7:$L$3006,0)),IFERROR(INDEX('CARNET DE SOUDURE'!$B$7:$B$3006,MATCH(B1430,'CARNET DE SOUDURE'!$O$7:$O$3006,0)),"")))</f>
        <v/>
      </c>
      <c r="J1430" s="82" t="str">
        <f aca="false">IF(B1430="","",IFERROR(INDEX('CARNET DE SOUDURE'!$E$7:$E$3006,MATCH(B1430,'CARNET DE SOUDURE'!$O$7:$O$3006,0)),""))</f>
        <v/>
      </c>
      <c r="K1430" s="82" t="str">
        <f aca="false">IF(B1430="","",IFERROR(INDEX('CARNET DE SOUDURE'!$E$7:$E$3006,MATCH(B1430,'CARNET DE SOUDURE'!$L$7:$L$3006,0)),""))</f>
        <v/>
      </c>
      <c r="L1430" s="82" t="str">
        <f aca="false">IF(B1430="","",IFERROR(INDEX('CARNET DE SOUDURE'!$D$7:$D$3006,MATCH(B1430,'CARNET DE SOUDURE'!$L$7:$L$3006,0)),IFERROR(INDEX('CARNET DE SOUDURE'!$D$7:$D$3006,MATCH(B1430,'CARNET DE SOUDURE'!$O$7:$O$3006,0)),"")))</f>
        <v/>
      </c>
      <c r="M1430" s="82" t="str">
        <f aca="false">IF(B1430="","",IF(OR(J1430&lt;&gt;"",K1430&lt;&gt;""),"POSÉ EN LIGNE",IF(COUNTIF(BARDAGE!$C$1:$C$5000,B1430)&gt;0,"BARDÉ","EN STOCK")))</f>
        <v/>
      </c>
      <c r="N1430" s="80"/>
    </row>
    <row r="1431" customFormat="false" ht="15" hidden="false" customHeight="false" outlineLevel="0" collapsed="false">
      <c r="A1431" s="82" t="str">
        <f aca="false">IF(B1431="","",ROW()-6)</f>
        <v/>
      </c>
      <c r="B1431" s="145"/>
      <c r="C1431" s="146"/>
      <c r="D1431" s="146"/>
      <c r="E1431" s="82" t="str">
        <f aca="false">IF(B1431="","",IF(COUNTIFS('CARNET DE SOUDURE'!$L$7:$L$3006,B1431,'CARNET DE SOUDURE'!$M$7:$M$3006,"&lt;&gt;"&amp;C1431,'CARNET DE SOUDURE'!$M$7:$M$3006,"&lt;&gt;")+COUNTIFS('CARNET DE SOUDURE'!$O$7:$O$3006,B1431,'CARNET DE SOUDURE'!$P$7:$P$3006,"&lt;&gt;"&amp;C1431,'CARNET DE SOUDURE'!$P$7:$P$3006,"&lt;&gt;")&gt;0,"⚠ DIFFÉRENTE","OK"))</f>
        <v/>
      </c>
      <c r="F1431" s="147"/>
      <c r="G1431" s="80"/>
      <c r="H1431" s="83"/>
      <c r="I1431" s="148" t="str">
        <f aca="false">IF(B1431="","",IFERROR(INDEX('CARNET DE SOUDURE'!$B$7:$B$3006,MATCH(B1431,'CARNET DE SOUDURE'!$L$7:$L$3006,0)),IFERROR(INDEX('CARNET DE SOUDURE'!$B$7:$B$3006,MATCH(B1431,'CARNET DE SOUDURE'!$O$7:$O$3006,0)),"")))</f>
        <v/>
      </c>
      <c r="J1431" s="82" t="str">
        <f aca="false">IF(B1431="","",IFERROR(INDEX('CARNET DE SOUDURE'!$E$7:$E$3006,MATCH(B1431,'CARNET DE SOUDURE'!$O$7:$O$3006,0)),""))</f>
        <v/>
      </c>
      <c r="K1431" s="82" t="str">
        <f aca="false">IF(B1431="","",IFERROR(INDEX('CARNET DE SOUDURE'!$E$7:$E$3006,MATCH(B1431,'CARNET DE SOUDURE'!$L$7:$L$3006,0)),""))</f>
        <v/>
      </c>
      <c r="L1431" s="82" t="str">
        <f aca="false">IF(B1431="","",IFERROR(INDEX('CARNET DE SOUDURE'!$D$7:$D$3006,MATCH(B1431,'CARNET DE SOUDURE'!$L$7:$L$3006,0)),IFERROR(INDEX('CARNET DE SOUDURE'!$D$7:$D$3006,MATCH(B1431,'CARNET DE SOUDURE'!$O$7:$O$3006,0)),"")))</f>
        <v/>
      </c>
      <c r="M1431" s="82" t="str">
        <f aca="false">IF(B1431="","",IF(OR(J1431&lt;&gt;"",K1431&lt;&gt;""),"POSÉ EN LIGNE",IF(COUNTIF(BARDAGE!$C$1:$C$5000,B1431)&gt;0,"BARDÉ","EN STOCK")))</f>
        <v/>
      </c>
      <c r="N1431" s="80"/>
    </row>
    <row r="1432" customFormat="false" ht="15" hidden="false" customHeight="false" outlineLevel="0" collapsed="false">
      <c r="A1432" s="82" t="str">
        <f aca="false">IF(B1432="","",ROW()-6)</f>
        <v/>
      </c>
      <c r="B1432" s="145"/>
      <c r="C1432" s="146"/>
      <c r="D1432" s="146"/>
      <c r="E1432" s="82" t="str">
        <f aca="false">IF(B1432="","",IF(COUNTIFS('CARNET DE SOUDURE'!$L$7:$L$3006,B1432,'CARNET DE SOUDURE'!$M$7:$M$3006,"&lt;&gt;"&amp;C1432,'CARNET DE SOUDURE'!$M$7:$M$3006,"&lt;&gt;")+COUNTIFS('CARNET DE SOUDURE'!$O$7:$O$3006,B1432,'CARNET DE SOUDURE'!$P$7:$P$3006,"&lt;&gt;"&amp;C1432,'CARNET DE SOUDURE'!$P$7:$P$3006,"&lt;&gt;")&gt;0,"⚠ DIFFÉRENTE","OK"))</f>
        <v/>
      </c>
      <c r="F1432" s="147"/>
      <c r="G1432" s="80"/>
      <c r="H1432" s="83"/>
      <c r="I1432" s="148" t="str">
        <f aca="false">IF(B1432="","",IFERROR(INDEX('CARNET DE SOUDURE'!$B$7:$B$3006,MATCH(B1432,'CARNET DE SOUDURE'!$L$7:$L$3006,0)),IFERROR(INDEX('CARNET DE SOUDURE'!$B$7:$B$3006,MATCH(B1432,'CARNET DE SOUDURE'!$O$7:$O$3006,0)),"")))</f>
        <v/>
      </c>
      <c r="J1432" s="82" t="str">
        <f aca="false">IF(B1432="","",IFERROR(INDEX('CARNET DE SOUDURE'!$E$7:$E$3006,MATCH(B1432,'CARNET DE SOUDURE'!$O$7:$O$3006,0)),""))</f>
        <v/>
      </c>
      <c r="K1432" s="82" t="str">
        <f aca="false">IF(B1432="","",IFERROR(INDEX('CARNET DE SOUDURE'!$E$7:$E$3006,MATCH(B1432,'CARNET DE SOUDURE'!$L$7:$L$3006,0)),""))</f>
        <v/>
      </c>
      <c r="L1432" s="82" t="str">
        <f aca="false">IF(B1432="","",IFERROR(INDEX('CARNET DE SOUDURE'!$D$7:$D$3006,MATCH(B1432,'CARNET DE SOUDURE'!$L$7:$L$3006,0)),IFERROR(INDEX('CARNET DE SOUDURE'!$D$7:$D$3006,MATCH(B1432,'CARNET DE SOUDURE'!$O$7:$O$3006,0)),"")))</f>
        <v/>
      </c>
      <c r="M1432" s="82" t="str">
        <f aca="false">IF(B1432="","",IF(OR(J1432&lt;&gt;"",K1432&lt;&gt;""),"POSÉ EN LIGNE",IF(COUNTIF(BARDAGE!$C$1:$C$5000,B1432)&gt;0,"BARDÉ","EN STOCK")))</f>
        <v/>
      </c>
      <c r="N1432" s="80"/>
    </row>
    <row r="1433" customFormat="false" ht="15" hidden="false" customHeight="false" outlineLevel="0" collapsed="false">
      <c r="A1433" s="82" t="str">
        <f aca="false">IF(B1433="","",ROW()-6)</f>
        <v/>
      </c>
      <c r="B1433" s="145"/>
      <c r="C1433" s="146"/>
      <c r="D1433" s="146"/>
      <c r="E1433" s="82" t="str">
        <f aca="false">IF(B1433="","",IF(COUNTIFS('CARNET DE SOUDURE'!$L$7:$L$3006,B1433,'CARNET DE SOUDURE'!$M$7:$M$3006,"&lt;&gt;"&amp;C1433,'CARNET DE SOUDURE'!$M$7:$M$3006,"&lt;&gt;")+COUNTIFS('CARNET DE SOUDURE'!$O$7:$O$3006,B1433,'CARNET DE SOUDURE'!$P$7:$P$3006,"&lt;&gt;"&amp;C1433,'CARNET DE SOUDURE'!$P$7:$P$3006,"&lt;&gt;")&gt;0,"⚠ DIFFÉRENTE","OK"))</f>
        <v/>
      </c>
      <c r="F1433" s="147"/>
      <c r="G1433" s="80"/>
      <c r="H1433" s="83"/>
      <c r="I1433" s="148" t="str">
        <f aca="false">IF(B1433="","",IFERROR(INDEX('CARNET DE SOUDURE'!$B$7:$B$3006,MATCH(B1433,'CARNET DE SOUDURE'!$L$7:$L$3006,0)),IFERROR(INDEX('CARNET DE SOUDURE'!$B$7:$B$3006,MATCH(B1433,'CARNET DE SOUDURE'!$O$7:$O$3006,0)),"")))</f>
        <v/>
      </c>
      <c r="J1433" s="82" t="str">
        <f aca="false">IF(B1433="","",IFERROR(INDEX('CARNET DE SOUDURE'!$E$7:$E$3006,MATCH(B1433,'CARNET DE SOUDURE'!$O$7:$O$3006,0)),""))</f>
        <v/>
      </c>
      <c r="K1433" s="82" t="str">
        <f aca="false">IF(B1433="","",IFERROR(INDEX('CARNET DE SOUDURE'!$E$7:$E$3006,MATCH(B1433,'CARNET DE SOUDURE'!$L$7:$L$3006,0)),""))</f>
        <v/>
      </c>
      <c r="L1433" s="82" t="str">
        <f aca="false">IF(B1433="","",IFERROR(INDEX('CARNET DE SOUDURE'!$D$7:$D$3006,MATCH(B1433,'CARNET DE SOUDURE'!$L$7:$L$3006,0)),IFERROR(INDEX('CARNET DE SOUDURE'!$D$7:$D$3006,MATCH(B1433,'CARNET DE SOUDURE'!$O$7:$O$3006,0)),"")))</f>
        <v/>
      </c>
      <c r="M1433" s="82" t="str">
        <f aca="false">IF(B1433="","",IF(OR(J1433&lt;&gt;"",K1433&lt;&gt;""),"POSÉ EN LIGNE",IF(COUNTIF(BARDAGE!$C$1:$C$5000,B1433)&gt;0,"BARDÉ","EN STOCK")))</f>
        <v/>
      </c>
      <c r="N1433" s="80"/>
    </row>
    <row r="1434" customFormat="false" ht="15" hidden="false" customHeight="false" outlineLevel="0" collapsed="false">
      <c r="A1434" s="82" t="str">
        <f aca="false">IF(B1434="","",ROW()-6)</f>
        <v/>
      </c>
      <c r="B1434" s="145"/>
      <c r="C1434" s="146"/>
      <c r="D1434" s="146"/>
      <c r="E1434" s="82" t="str">
        <f aca="false">IF(B1434="","",IF(COUNTIFS('CARNET DE SOUDURE'!$L$7:$L$3006,B1434,'CARNET DE SOUDURE'!$M$7:$M$3006,"&lt;&gt;"&amp;C1434,'CARNET DE SOUDURE'!$M$7:$M$3006,"&lt;&gt;")+COUNTIFS('CARNET DE SOUDURE'!$O$7:$O$3006,B1434,'CARNET DE SOUDURE'!$P$7:$P$3006,"&lt;&gt;"&amp;C1434,'CARNET DE SOUDURE'!$P$7:$P$3006,"&lt;&gt;")&gt;0,"⚠ DIFFÉRENTE","OK"))</f>
        <v/>
      </c>
      <c r="F1434" s="147"/>
      <c r="G1434" s="80"/>
      <c r="H1434" s="83"/>
      <c r="I1434" s="148" t="str">
        <f aca="false">IF(B1434="","",IFERROR(INDEX('CARNET DE SOUDURE'!$B$7:$B$3006,MATCH(B1434,'CARNET DE SOUDURE'!$L$7:$L$3006,0)),IFERROR(INDEX('CARNET DE SOUDURE'!$B$7:$B$3006,MATCH(B1434,'CARNET DE SOUDURE'!$O$7:$O$3006,0)),"")))</f>
        <v/>
      </c>
      <c r="J1434" s="82" t="str">
        <f aca="false">IF(B1434="","",IFERROR(INDEX('CARNET DE SOUDURE'!$E$7:$E$3006,MATCH(B1434,'CARNET DE SOUDURE'!$O$7:$O$3006,0)),""))</f>
        <v/>
      </c>
      <c r="K1434" s="82" t="str">
        <f aca="false">IF(B1434="","",IFERROR(INDEX('CARNET DE SOUDURE'!$E$7:$E$3006,MATCH(B1434,'CARNET DE SOUDURE'!$L$7:$L$3006,0)),""))</f>
        <v/>
      </c>
      <c r="L1434" s="82" t="str">
        <f aca="false">IF(B1434="","",IFERROR(INDEX('CARNET DE SOUDURE'!$D$7:$D$3006,MATCH(B1434,'CARNET DE SOUDURE'!$L$7:$L$3006,0)),IFERROR(INDEX('CARNET DE SOUDURE'!$D$7:$D$3006,MATCH(B1434,'CARNET DE SOUDURE'!$O$7:$O$3006,0)),"")))</f>
        <v/>
      </c>
      <c r="M1434" s="82" t="str">
        <f aca="false">IF(B1434="","",IF(OR(J1434&lt;&gt;"",K1434&lt;&gt;""),"POSÉ EN LIGNE",IF(COUNTIF(BARDAGE!$C$1:$C$5000,B1434)&gt;0,"BARDÉ","EN STOCK")))</f>
        <v/>
      </c>
      <c r="N1434" s="80"/>
    </row>
    <row r="1435" customFormat="false" ht="15" hidden="false" customHeight="false" outlineLevel="0" collapsed="false">
      <c r="A1435" s="82" t="str">
        <f aca="false">IF(B1435="","",ROW()-6)</f>
        <v/>
      </c>
      <c r="B1435" s="145"/>
      <c r="C1435" s="146"/>
      <c r="D1435" s="146"/>
      <c r="E1435" s="82" t="str">
        <f aca="false">IF(B1435="","",IF(COUNTIFS('CARNET DE SOUDURE'!$L$7:$L$3006,B1435,'CARNET DE SOUDURE'!$M$7:$M$3006,"&lt;&gt;"&amp;C1435,'CARNET DE SOUDURE'!$M$7:$M$3006,"&lt;&gt;")+COUNTIFS('CARNET DE SOUDURE'!$O$7:$O$3006,B1435,'CARNET DE SOUDURE'!$P$7:$P$3006,"&lt;&gt;"&amp;C1435,'CARNET DE SOUDURE'!$P$7:$P$3006,"&lt;&gt;")&gt;0,"⚠ DIFFÉRENTE","OK"))</f>
        <v/>
      </c>
      <c r="F1435" s="147"/>
      <c r="G1435" s="80"/>
      <c r="H1435" s="83"/>
      <c r="I1435" s="148" t="str">
        <f aca="false">IF(B1435="","",IFERROR(INDEX('CARNET DE SOUDURE'!$B$7:$B$3006,MATCH(B1435,'CARNET DE SOUDURE'!$L$7:$L$3006,0)),IFERROR(INDEX('CARNET DE SOUDURE'!$B$7:$B$3006,MATCH(B1435,'CARNET DE SOUDURE'!$O$7:$O$3006,0)),"")))</f>
        <v/>
      </c>
      <c r="J1435" s="82" t="str">
        <f aca="false">IF(B1435="","",IFERROR(INDEX('CARNET DE SOUDURE'!$E$7:$E$3006,MATCH(B1435,'CARNET DE SOUDURE'!$O$7:$O$3006,0)),""))</f>
        <v/>
      </c>
      <c r="K1435" s="82" t="str">
        <f aca="false">IF(B1435="","",IFERROR(INDEX('CARNET DE SOUDURE'!$E$7:$E$3006,MATCH(B1435,'CARNET DE SOUDURE'!$L$7:$L$3006,0)),""))</f>
        <v/>
      </c>
      <c r="L1435" s="82" t="str">
        <f aca="false">IF(B1435="","",IFERROR(INDEX('CARNET DE SOUDURE'!$D$7:$D$3006,MATCH(B1435,'CARNET DE SOUDURE'!$L$7:$L$3006,0)),IFERROR(INDEX('CARNET DE SOUDURE'!$D$7:$D$3006,MATCH(B1435,'CARNET DE SOUDURE'!$O$7:$O$3006,0)),"")))</f>
        <v/>
      </c>
      <c r="M1435" s="82" t="str">
        <f aca="false">IF(B1435="","",IF(OR(J1435&lt;&gt;"",K1435&lt;&gt;""),"POSÉ EN LIGNE",IF(COUNTIF(BARDAGE!$C$1:$C$5000,B1435)&gt;0,"BARDÉ","EN STOCK")))</f>
        <v/>
      </c>
      <c r="N1435" s="80"/>
    </row>
    <row r="1436" customFormat="false" ht="15" hidden="false" customHeight="false" outlineLevel="0" collapsed="false">
      <c r="A1436" s="82" t="str">
        <f aca="false">IF(B1436="","",ROW()-6)</f>
        <v/>
      </c>
      <c r="B1436" s="145"/>
      <c r="C1436" s="146"/>
      <c r="D1436" s="146"/>
      <c r="E1436" s="82" t="str">
        <f aca="false">IF(B1436="","",IF(COUNTIFS('CARNET DE SOUDURE'!$L$7:$L$3006,B1436,'CARNET DE SOUDURE'!$M$7:$M$3006,"&lt;&gt;"&amp;C1436,'CARNET DE SOUDURE'!$M$7:$M$3006,"&lt;&gt;")+COUNTIFS('CARNET DE SOUDURE'!$O$7:$O$3006,B1436,'CARNET DE SOUDURE'!$P$7:$P$3006,"&lt;&gt;"&amp;C1436,'CARNET DE SOUDURE'!$P$7:$P$3006,"&lt;&gt;")&gt;0,"⚠ DIFFÉRENTE","OK"))</f>
        <v/>
      </c>
      <c r="F1436" s="147"/>
      <c r="G1436" s="80"/>
      <c r="H1436" s="83"/>
      <c r="I1436" s="148" t="str">
        <f aca="false">IF(B1436="","",IFERROR(INDEX('CARNET DE SOUDURE'!$B$7:$B$3006,MATCH(B1436,'CARNET DE SOUDURE'!$L$7:$L$3006,0)),IFERROR(INDEX('CARNET DE SOUDURE'!$B$7:$B$3006,MATCH(B1436,'CARNET DE SOUDURE'!$O$7:$O$3006,0)),"")))</f>
        <v/>
      </c>
      <c r="J1436" s="82" t="str">
        <f aca="false">IF(B1436="","",IFERROR(INDEX('CARNET DE SOUDURE'!$E$7:$E$3006,MATCH(B1436,'CARNET DE SOUDURE'!$O$7:$O$3006,0)),""))</f>
        <v/>
      </c>
      <c r="K1436" s="82" t="str">
        <f aca="false">IF(B1436="","",IFERROR(INDEX('CARNET DE SOUDURE'!$E$7:$E$3006,MATCH(B1436,'CARNET DE SOUDURE'!$L$7:$L$3006,0)),""))</f>
        <v/>
      </c>
      <c r="L1436" s="82" t="str">
        <f aca="false">IF(B1436="","",IFERROR(INDEX('CARNET DE SOUDURE'!$D$7:$D$3006,MATCH(B1436,'CARNET DE SOUDURE'!$L$7:$L$3006,0)),IFERROR(INDEX('CARNET DE SOUDURE'!$D$7:$D$3006,MATCH(B1436,'CARNET DE SOUDURE'!$O$7:$O$3006,0)),"")))</f>
        <v/>
      </c>
      <c r="M1436" s="82" t="str">
        <f aca="false">IF(B1436="","",IF(OR(J1436&lt;&gt;"",K1436&lt;&gt;""),"POSÉ EN LIGNE",IF(COUNTIF(BARDAGE!$C$1:$C$5000,B1436)&gt;0,"BARDÉ","EN STOCK")))</f>
        <v/>
      </c>
      <c r="N1436" s="80"/>
    </row>
    <row r="1437" customFormat="false" ht="15" hidden="false" customHeight="false" outlineLevel="0" collapsed="false">
      <c r="A1437" s="82" t="str">
        <f aca="false">IF(B1437="","",ROW()-6)</f>
        <v/>
      </c>
      <c r="B1437" s="145"/>
      <c r="C1437" s="146"/>
      <c r="D1437" s="146"/>
      <c r="E1437" s="82" t="str">
        <f aca="false">IF(B1437="","",IF(COUNTIFS('CARNET DE SOUDURE'!$L$7:$L$3006,B1437,'CARNET DE SOUDURE'!$M$7:$M$3006,"&lt;&gt;"&amp;C1437,'CARNET DE SOUDURE'!$M$7:$M$3006,"&lt;&gt;")+COUNTIFS('CARNET DE SOUDURE'!$O$7:$O$3006,B1437,'CARNET DE SOUDURE'!$P$7:$P$3006,"&lt;&gt;"&amp;C1437,'CARNET DE SOUDURE'!$P$7:$P$3006,"&lt;&gt;")&gt;0,"⚠ DIFFÉRENTE","OK"))</f>
        <v/>
      </c>
      <c r="F1437" s="147"/>
      <c r="G1437" s="80"/>
      <c r="H1437" s="83"/>
      <c r="I1437" s="148" t="str">
        <f aca="false">IF(B1437="","",IFERROR(INDEX('CARNET DE SOUDURE'!$B$7:$B$3006,MATCH(B1437,'CARNET DE SOUDURE'!$L$7:$L$3006,0)),IFERROR(INDEX('CARNET DE SOUDURE'!$B$7:$B$3006,MATCH(B1437,'CARNET DE SOUDURE'!$O$7:$O$3006,0)),"")))</f>
        <v/>
      </c>
      <c r="J1437" s="82" t="str">
        <f aca="false">IF(B1437="","",IFERROR(INDEX('CARNET DE SOUDURE'!$E$7:$E$3006,MATCH(B1437,'CARNET DE SOUDURE'!$O$7:$O$3006,0)),""))</f>
        <v/>
      </c>
      <c r="K1437" s="82" t="str">
        <f aca="false">IF(B1437="","",IFERROR(INDEX('CARNET DE SOUDURE'!$E$7:$E$3006,MATCH(B1437,'CARNET DE SOUDURE'!$L$7:$L$3006,0)),""))</f>
        <v/>
      </c>
      <c r="L1437" s="82" t="str">
        <f aca="false">IF(B1437="","",IFERROR(INDEX('CARNET DE SOUDURE'!$D$7:$D$3006,MATCH(B1437,'CARNET DE SOUDURE'!$L$7:$L$3006,0)),IFERROR(INDEX('CARNET DE SOUDURE'!$D$7:$D$3006,MATCH(B1437,'CARNET DE SOUDURE'!$O$7:$O$3006,0)),"")))</f>
        <v/>
      </c>
      <c r="M1437" s="82" t="str">
        <f aca="false">IF(B1437="","",IF(OR(J1437&lt;&gt;"",K1437&lt;&gt;""),"POSÉ EN LIGNE",IF(COUNTIF(BARDAGE!$C$1:$C$5000,B1437)&gt;0,"BARDÉ","EN STOCK")))</f>
        <v/>
      </c>
      <c r="N1437" s="80"/>
    </row>
    <row r="1438" customFormat="false" ht="15" hidden="false" customHeight="false" outlineLevel="0" collapsed="false">
      <c r="A1438" s="82" t="str">
        <f aca="false">IF(B1438="","",ROW()-6)</f>
        <v/>
      </c>
      <c r="B1438" s="145"/>
      <c r="C1438" s="146"/>
      <c r="D1438" s="146"/>
      <c r="E1438" s="82" t="str">
        <f aca="false">IF(B1438="","",IF(COUNTIFS('CARNET DE SOUDURE'!$L$7:$L$3006,B1438,'CARNET DE SOUDURE'!$M$7:$M$3006,"&lt;&gt;"&amp;C1438,'CARNET DE SOUDURE'!$M$7:$M$3006,"&lt;&gt;")+COUNTIFS('CARNET DE SOUDURE'!$O$7:$O$3006,B1438,'CARNET DE SOUDURE'!$P$7:$P$3006,"&lt;&gt;"&amp;C1438,'CARNET DE SOUDURE'!$P$7:$P$3006,"&lt;&gt;")&gt;0,"⚠ DIFFÉRENTE","OK"))</f>
        <v/>
      </c>
      <c r="F1438" s="147"/>
      <c r="G1438" s="80"/>
      <c r="H1438" s="83"/>
      <c r="I1438" s="148" t="str">
        <f aca="false">IF(B1438="","",IFERROR(INDEX('CARNET DE SOUDURE'!$B$7:$B$3006,MATCH(B1438,'CARNET DE SOUDURE'!$L$7:$L$3006,0)),IFERROR(INDEX('CARNET DE SOUDURE'!$B$7:$B$3006,MATCH(B1438,'CARNET DE SOUDURE'!$O$7:$O$3006,0)),"")))</f>
        <v/>
      </c>
      <c r="J1438" s="82" t="str">
        <f aca="false">IF(B1438="","",IFERROR(INDEX('CARNET DE SOUDURE'!$E$7:$E$3006,MATCH(B1438,'CARNET DE SOUDURE'!$O$7:$O$3006,0)),""))</f>
        <v/>
      </c>
      <c r="K1438" s="82" t="str">
        <f aca="false">IF(B1438="","",IFERROR(INDEX('CARNET DE SOUDURE'!$E$7:$E$3006,MATCH(B1438,'CARNET DE SOUDURE'!$L$7:$L$3006,0)),""))</f>
        <v/>
      </c>
      <c r="L1438" s="82" t="str">
        <f aca="false">IF(B1438="","",IFERROR(INDEX('CARNET DE SOUDURE'!$D$7:$D$3006,MATCH(B1438,'CARNET DE SOUDURE'!$L$7:$L$3006,0)),IFERROR(INDEX('CARNET DE SOUDURE'!$D$7:$D$3006,MATCH(B1438,'CARNET DE SOUDURE'!$O$7:$O$3006,0)),"")))</f>
        <v/>
      </c>
      <c r="M1438" s="82" t="str">
        <f aca="false">IF(B1438="","",IF(OR(J1438&lt;&gt;"",K1438&lt;&gt;""),"POSÉ EN LIGNE",IF(COUNTIF(BARDAGE!$C$1:$C$5000,B1438)&gt;0,"BARDÉ","EN STOCK")))</f>
        <v/>
      </c>
      <c r="N1438" s="80"/>
    </row>
    <row r="1439" customFormat="false" ht="15" hidden="false" customHeight="false" outlineLevel="0" collapsed="false">
      <c r="A1439" s="82" t="str">
        <f aca="false">IF(B1439="","",ROW()-6)</f>
        <v/>
      </c>
      <c r="B1439" s="145"/>
      <c r="C1439" s="146"/>
      <c r="D1439" s="146"/>
      <c r="E1439" s="82" t="str">
        <f aca="false">IF(B1439="","",IF(COUNTIFS('CARNET DE SOUDURE'!$L$7:$L$3006,B1439,'CARNET DE SOUDURE'!$M$7:$M$3006,"&lt;&gt;"&amp;C1439,'CARNET DE SOUDURE'!$M$7:$M$3006,"&lt;&gt;")+COUNTIFS('CARNET DE SOUDURE'!$O$7:$O$3006,B1439,'CARNET DE SOUDURE'!$P$7:$P$3006,"&lt;&gt;"&amp;C1439,'CARNET DE SOUDURE'!$P$7:$P$3006,"&lt;&gt;")&gt;0,"⚠ DIFFÉRENTE","OK"))</f>
        <v/>
      </c>
      <c r="F1439" s="147"/>
      <c r="G1439" s="80"/>
      <c r="H1439" s="83"/>
      <c r="I1439" s="148" t="str">
        <f aca="false">IF(B1439="","",IFERROR(INDEX('CARNET DE SOUDURE'!$B$7:$B$3006,MATCH(B1439,'CARNET DE SOUDURE'!$L$7:$L$3006,0)),IFERROR(INDEX('CARNET DE SOUDURE'!$B$7:$B$3006,MATCH(B1439,'CARNET DE SOUDURE'!$O$7:$O$3006,0)),"")))</f>
        <v/>
      </c>
      <c r="J1439" s="82" t="str">
        <f aca="false">IF(B1439="","",IFERROR(INDEX('CARNET DE SOUDURE'!$E$7:$E$3006,MATCH(B1439,'CARNET DE SOUDURE'!$O$7:$O$3006,0)),""))</f>
        <v/>
      </c>
      <c r="K1439" s="82" t="str">
        <f aca="false">IF(B1439="","",IFERROR(INDEX('CARNET DE SOUDURE'!$E$7:$E$3006,MATCH(B1439,'CARNET DE SOUDURE'!$L$7:$L$3006,0)),""))</f>
        <v/>
      </c>
      <c r="L1439" s="82" t="str">
        <f aca="false">IF(B1439="","",IFERROR(INDEX('CARNET DE SOUDURE'!$D$7:$D$3006,MATCH(B1439,'CARNET DE SOUDURE'!$L$7:$L$3006,0)),IFERROR(INDEX('CARNET DE SOUDURE'!$D$7:$D$3006,MATCH(B1439,'CARNET DE SOUDURE'!$O$7:$O$3006,0)),"")))</f>
        <v/>
      </c>
      <c r="M1439" s="82" t="str">
        <f aca="false">IF(B1439="","",IF(OR(J1439&lt;&gt;"",K1439&lt;&gt;""),"POSÉ EN LIGNE",IF(COUNTIF(BARDAGE!$C$1:$C$5000,B1439)&gt;0,"BARDÉ","EN STOCK")))</f>
        <v/>
      </c>
      <c r="N1439" s="80"/>
    </row>
    <row r="1440" customFormat="false" ht="15" hidden="false" customHeight="false" outlineLevel="0" collapsed="false">
      <c r="A1440" s="82" t="str">
        <f aca="false">IF(B1440="","",ROW()-6)</f>
        <v/>
      </c>
      <c r="B1440" s="145"/>
      <c r="C1440" s="146"/>
      <c r="D1440" s="146"/>
      <c r="E1440" s="82" t="str">
        <f aca="false">IF(B1440="","",IF(COUNTIFS('CARNET DE SOUDURE'!$L$7:$L$3006,B1440,'CARNET DE SOUDURE'!$M$7:$M$3006,"&lt;&gt;"&amp;C1440,'CARNET DE SOUDURE'!$M$7:$M$3006,"&lt;&gt;")+COUNTIFS('CARNET DE SOUDURE'!$O$7:$O$3006,B1440,'CARNET DE SOUDURE'!$P$7:$P$3006,"&lt;&gt;"&amp;C1440,'CARNET DE SOUDURE'!$P$7:$P$3006,"&lt;&gt;")&gt;0,"⚠ DIFFÉRENTE","OK"))</f>
        <v/>
      </c>
      <c r="F1440" s="147"/>
      <c r="G1440" s="80"/>
      <c r="H1440" s="83"/>
      <c r="I1440" s="148" t="str">
        <f aca="false">IF(B1440="","",IFERROR(INDEX('CARNET DE SOUDURE'!$B$7:$B$3006,MATCH(B1440,'CARNET DE SOUDURE'!$L$7:$L$3006,0)),IFERROR(INDEX('CARNET DE SOUDURE'!$B$7:$B$3006,MATCH(B1440,'CARNET DE SOUDURE'!$O$7:$O$3006,0)),"")))</f>
        <v/>
      </c>
      <c r="J1440" s="82" t="str">
        <f aca="false">IF(B1440="","",IFERROR(INDEX('CARNET DE SOUDURE'!$E$7:$E$3006,MATCH(B1440,'CARNET DE SOUDURE'!$O$7:$O$3006,0)),""))</f>
        <v/>
      </c>
      <c r="K1440" s="82" t="str">
        <f aca="false">IF(B1440="","",IFERROR(INDEX('CARNET DE SOUDURE'!$E$7:$E$3006,MATCH(B1440,'CARNET DE SOUDURE'!$L$7:$L$3006,0)),""))</f>
        <v/>
      </c>
      <c r="L1440" s="82" t="str">
        <f aca="false">IF(B1440="","",IFERROR(INDEX('CARNET DE SOUDURE'!$D$7:$D$3006,MATCH(B1440,'CARNET DE SOUDURE'!$L$7:$L$3006,0)),IFERROR(INDEX('CARNET DE SOUDURE'!$D$7:$D$3006,MATCH(B1440,'CARNET DE SOUDURE'!$O$7:$O$3006,0)),"")))</f>
        <v/>
      </c>
      <c r="M1440" s="82" t="str">
        <f aca="false">IF(B1440="","",IF(OR(J1440&lt;&gt;"",K1440&lt;&gt;""),"POSÉ EN LIGNE",IF(COUNTIF(BARDAGE!$C$1:$C$5000,B1440)&gt;0,"BARDÉ","EN STOCK")))</f>
        <v/>
      </c>
      <c r="N1440" s="80"/>
    </row>
    <row r="1441" customFormat="false" ht="15" hidden="false" customHeight="false" outlineLevel="0" collapsed="false">
      <c r="A1441" s="82" t="str">
        <f aca="false">IF(B1441="","",ROW()-6)</f>
        <v/>
      </c>
      <c r="B1441" s="145"/>
      <c r="C1441" s="146"/>
      <c r="D1441" s="146"/>
      <c r="E1441" s="82" t="str">
        <f aca="false">IF(B1441="","",IF(COUNTIFS('CARNET DE SOUDURE'!$L$7:$L$3006,B1441,'CARNET DE SOUDURE'!$M$7:$M$3006,"&lt;&gt;"&amp;C1441,'CARNET DE SOUDURE'!$M$7:$M$3006,"&lt;&gt;")+COUNTIFS('CARNET DE SOUDURE'!$O$7:$O$3006,B1441,'CARNET DE SOUDURE'!$P$7:$P$3006,"&lt;&gt;"&amp;C1441,'CARNET DE SOUDURE'!$P$7:$P$3006,"&lt;&gt;")&gt;0,"⚠ DIFFÉRENTE","OK"))</f>
        <v/>
      </c>
      <c r="F1441" s="147"/>
      <c r="G1441" s="80"/>
      <c r="H1441" s="83"/>
      <c r="I1441" s="148" t="str">
        <f aca="false">IF(B1441="","",IFERROR(INDEX('CARNET DE SOUDURE'!$B$7:$B$3006,MATCH(B1441,'CARNET DE SOUDURE'!$L$7:$L$3006,0)),IFERROR(INDEX('CARNET DE SOUDURE'!$B$7:$B$3006,MATCH(B1441,'CARNET DE SOUDURE'!$O$7:$O$3006,0)),"")))</f>
        <v/>
      </c>
      <c r="J1441" s="82" t="str">
        <f aca="false">IF(B1441="","",IFERROR(INDEX('CARNET DE SOUDURE'!$E$7:$E$3006,MATCH(B1441,'CARNET DE SOUDURE'!$O$7:$O$3006,0)),""))</f>
        <v/>
      </c>
      <c r="K1441" s="82" t="str">
        <f aca="false">IF(B1441="","",IFERROR(INDEX('CARNET DE SOUDURE'!$E$7:$E$3006,MATCH(B1441,'CARNET DE SOUDURE'!$L$7:$L$3006,0)),""))</f>
        <v/>
      </c>
      <c r="L1441" s="82" t="str">
        <f aca="false">IF(B1441="","",IFERROR(INDEX('CARNET DE SOUDURE'!$D$7:$D$3006,MATCH(B1441,'CARNET DE SOUDURE'!$L$7:$L$3006,0)),IFERROR(INDEX('CARNET DE SOUDURE'!$D$7:$D$3006,MATCH(B1441,'CARNET DE SOUDURE'!$O$7:$O$3006,0)),"")))</f>
        <v/>
      </c>
      <c r="M1441" s="82" t="str">
        <f aca="false">IF(B1441="","",IF(OR(J1441&lt;&gt;"",K1441&lt;&gt;""),"POSÉ EN LIGNE",IF(COUNTIF(BARDAGE!$C$1:$C$5000,B1441)&gt;0,"BARDÉ","EN STOCK")))</f>
        <v/>
      </c>
      <c r="N1441" s="80"/>
    </row>
    <row r="1442" customFormat="false" ht="15" hidden="false" customHeight="false" outlineLevel="0" collapsed="false">
      <c r="A1442" s="82" t="str">
        <f aca="false">IF(B1442="","",ROW()-6)</f>
        <v/>
      </c>
      <c r="B1442" s="145"/>
      <c r="C1442" s="146"/>
      <c r="D1442" s="146"/>
      <c r="E1442" s="82" t="str">
        <f aca="false">IF(B1442="","",IF(COUNTIFS('CARNET DE SOUDURE'!$L$7:$L$3006,B1442,'CARNET DE SOUDURE'!$M$7:$M$3006,"&lt;&gt;"&amp;C1442,'CARNET DE SOUDURE'!$M$7:$M$3006,"&lt;&gt;")+COUNTIFS('CARNET DE SOUDURE'!$O$7:$O$3006,B1442,'CARNET DE SOUDURE'!$P$7:$P$3006,"&lt;&gt;"&amp;C1442,'CARNET DE SOUDURE'!$P$7:$P$3006,"&lt;&gt;")&gt;0,"⚠ DIFFÉRENTE","OK"))</f>
        <v/>
      </c>
      <c r="F1442" s="147"/>
      <c r="G1442" s="80"/>
      <c r="H1442" s="83"/>
      <c r="I1442" s="148" t="str">
        <f aca="false">IF(B1442="","",IFERROR(INDEX('CARNET DE SOUDURE'!$B$7:$B$3006,MATCH(B1442,'CARNET DE SOUDURE'!$L$7:$L$3006,0)),IFERROR(INDEX('CARNET DE SOUDURE'!$B$7:$B$3006,MATCH(B1442,'CARNET DE SOUDURE'!$O$7:$O$3006,0)),"")))</f>
        <v/>
      </c>
      <c r="J1442" s="82" t="str">
        <f aca="false">IF(B1442="","",IFERROR(INDEX('CARNET DE SOUDURE'!$E$7:$E$3006,MATCH(B1442,'CARNET DE SOUDURE'!$O$7:$O$3006,0)),""))</f>
        <v/>
      </c>
      <c r="K1442" s="82" t="str">
        <f aca="false">IF(B1442="","",IFERROR(INDEX('CARNET DE SOUDURE'!$E$7:$E$3006,MATCH(B1442,'CARNET DE SOUDURE'!$L$7:$L$3006,0)),""))</f>
        <v/>
      </c>
      <c r="L1442" s="82" t="str">
        <f aca="false">IF(B1442="","",IFERROR(INDEX('CARNET DE SOUDURE'!$D$7:$D$3006,MATCH(B1442,'CARNET DE SOUDURE'!$L$7:$L$3006,0)),IFERROR(INDEX('CARNET DE SOUDURE'!$D$7:$D$3006,MATCH(B1442,'CARNET DE SOUDURE'!$O$7:$O$3006,0)),"")))</f>
        <v/>
      </c>
      <c r="M1442" s="82" t="str">
        <f aca="false">IF(B1442="","",IF(OR(J1442&lt;&gt;"",K1442&lt;&gt;""),"POSÉ EN LIGNE",IF(COUNTIF(BARDAGE!$C$1:$C$5000,B1442)&gt;0,"BARDÉ","EN STOCK")))</f>
        <v/>
      </c>
      <c r="N1442" s="80"/>
    </row>
    <row r="1443" customFormat="false" ht="15" hidden="false" customHeight="false" outlineLevel="0" collapsed="false">
      <c r="A1443" s="82" t="str">
        <f aca="false">IF(B1443="","",ROW()-6)</f>
        <v/>
      </c>
      <c r="B1443" s="145"/>
      <c r="C1443" s="146"/>
      <c r="D1443" s="146"/>
      <c r="E1443" s="82" t="str">
        <f aca="false">IF(B1443="","",IF(COUNTIFS('CARNET DE SOUDURE'!$L$7:$L$3006,B1443,'CARNET DE SOUDURE'!$M$7:$M$3006,"&lt;&gt;"&amp;C1443,'CARNET DE SOUDURE'!$M$7:$M$3006,"&lt;&gt;")+COUNTIFS('CARNET DE SOUDURE'!$O$7:$O$3006,B1443,'CARNET DE SOUDURE'!$P$7:$P$3006,"&lt;&gt;"&amp;C1443,'CARNET DE SOUDURE'!$P$7:$P$3006,"&lt;&gt;")&gt;0,"⚠ DIFFÉRENTE","OK"))</f>
        <v/>
      </c>
      <c r="F1443" s="147"/>
      <c r="G1443" s="80"/>
      <c r="H1443" s="83"/>
      <c r="I1443" s="148" t="str">
        <f aca="false">IF(B1443="","",IFERROR(INDEX('CARNET DE SOUDURE'!$B$7:$B$3006,MATCH(B1443,'CARNET DE SOUDURE'!$L$7:$L$3006,0)),IFERROR(INDEX('CARNET DE SOUDURE'!$B$7:$B$3006,MATCH(B1443,'CARNET DE SOUDURE'!$O$7:$O$3006,0)),"")))</f>
        <v/>
      </c>
      <c r="J1443" s="82" t="str">
        <f aca="false">IF(B1443="","",IFERROR(INDEX('CARNET DE SOUDURE'!$E$7:$E$3006,MATCH(B1443,'CARNET DE SOUDURE'!$O$7:$O$3006,0)),""))</f>
        <v/>
      </c>
      <c r="K1443" s="82" t="str">
        <f aca="false">IF(B1443="","",IFERROR(INDEX('CARNET DE SOUDURE'!$E$7:$E$3006,MATCH(B1443,'CARNET DE SOUDURE'!$L$7:$L$3006,0)),""))</f>
        <v/>
      </c>
      <c r="L1443" s="82" t="str">
        <f aca="false">IF(B1443="","",IFERROR(INDEX('CARNET DE SOUDURE'!$D$7:$D$3006,MATCH(B1443,'CARNET DE SOUDURE'!$L$7:$L$3006,0)),IFERROR(INDEX('CARNET DE SOUDURE'!$D$7:$D$3006,MATCH(B1443,'CARNET DE SOUDURE'!$O$7:$O$3006,0)),"")))</f>
        <v/>
      </c>
      <c r="M1443" s="82" t="str">
        <f aca="false">IF(B1443="","",IF(OR(J1443&lt;&gt;"",K1443&lt;&gt;""),"POSÉ EN LIGNE",IF(COUNTIF(BARDAGE!$C$1:$C$5000,B1443)&gt;0,"BARDÉ","EN STOCK")))</f>
        <v/>
      </c>
      <c r="N1443" s="80"/>
    </row>
    <row r="1444" customFormat="false" ht="15" hidden="false" customHeight="false" outlineLevel="0" collapsed="false">
      <c r="A1444" s="82" t="str">
        <f aca="false">IF(B1444="","",ROW()-6)</f>
        <v/>
      </c>
      <c r="B1444" s="145"/>
      <c r="C1444" s="146"/>
      <c r="D1444" s="146"/>
      <c r="E1444" s="82" t="str">
        <f aca="false">IF(B1444="","",IF(COUNTIFS('CARNET DE SOUDURE'!$L$7:$L$3006,B1444,'CARNET DE SOUDURE'!$M$7:$M$3006,"&lt;&gt;"&amp;C1444,'CARNET DE SOUDURE'!$M$7:$M$3006,"&lt;&gt;")+COUNTIFS('CARNET DE SOUDURE'!$O$7:$O$3006,B1444,'CARNET DE SOUDURE'!$P$7:$P$3006,"&lt;&gt;"&amp;C1444,'CARNET DE SOUDURE'!$P$7:$P$3006,"&lt;&gt;")&gt;0,"⚠ DIFFÉRENTE","OK"))</f>
        <v/>
      </c>
      <c r="F1444" s="147"/>
      <c r="G1444" s="80"/>
      <c r="H1444" s="83"/>
      <c r="I1444" s="148" t="str">
        <f aca="false">IF(B1444="","",IFERROR(INDEX('CARNET DE SOUDURE'!$B$7:$B$3006,MATCH(B1444,'CARNET DE SOUDURE'!$L$7:$L$3006,0)),IFERROR(INDEX('CARNET DE SOUDURE'!$B$7:$B$3006,MATCH(B1444,'CARNET DE SOUDURE'!$O$7:$O$3006,0)),"")))</f>
        <v/>
      </c>
      <c r="J1444" s="82" t="str">
        <f aca="false">IF(B1444="","",IFERROR(INDEX('CARNET DE SOUDURE'!$E$7:$E$3006,MATCH(B1444,'CARNET DE SOUDURE'!$O$7:$O$3006,0)),""))</f>
        <v/>
      </c>
      <c r="K1444" s="82" t="str">
        <f aca="false">IF(B1444="","",IFERROR(INDEX('CARNET DE SOUDURE'!$E$7:$E$3006,MATCH(B1444,'CARNET DE SOUDURE'!$L$7:$L$3006,0)),""))</f>
        <v/>
      </c>
      <c r="L1444" s="82" t="str">
        <f aca="false">IF(B1444="","",IFERROR(INDEX('CARNET DE SOUDURE'!$D$7:$D$3006,MATCH(B1444,'CARNET DE SOUDURE'!$L$7:$L$3006,0)),IFERROR(INDEX('CARNET DE SOUDURE'!$D$7:$D$3006,MATCH(B1444,'CARNET DE SOUDURE'!$O$7:$O$3006,0)),"")))</f>
        <v/>
      </c>
      <c r="M1444" s="82" t="str">
        <f aca="false">IF(B1444="","",IF(OR(J1444&lt;&gt;"",K1444&lt;&gt;""),"POSÉ EN LIGNE",IF(COUNTIF(BARDAGE!$C$1:$C$5000,B1444)&gt;0,"BARDÉ","EN STOCK")))</f>
        <v/>
      </c>
      <c r="N1444" s="80"/>
    </row>
    <row r="1445" customFormat="false" ht="15" hidden="false" customHeight="false" outlineLevel="0" collapsed="false">
      <c r="A1445" s="82" t="str">
        <f aca="false">IF(B1445="","",ROW()-6)</f>
        <v/>
      </c>
      <c r="B1445" s="145"/>
      <c r="C1445" s="146"/>
      <c r="D1445" s="146"/>
      <c r="E1445" s="82" t="str">
        <f aca="false">IF(B1445="","",IF(COUNTIFS('CARNET DE SOUDURE'!$L$7:$L$3006,B1445,'CARNET DE SOUDURE'!$M$7:$M$3006,"&lt;&gt;"&amp;C1445,'CARNET DE SOUDURE'!$M$7:$M$3006,"&lt;&gt;")+COUNTIFS('CARNET DE SOUDURE'!$O$7:$O$3006,B1445,'CARNET DE SOUDURE'!$P$7:$P$3006,"&lt;&gt;"&amp;C1445,'CARNET DE SOUDURE'!$P$7:$P$3006,"&lt;&gt;")&gt;0,"⚠ DIFFÉRENTE","OK"))</f>
        <v/>
      </c>
      <c r="F1445" s="147"/>
      <c r="G1445" s="80"/>
      <c r="H1445" s="83"/>
      <c r="I1445" s="148" t="str">
        <f aca="false">IF(B1445="","",IFERROR(INDEX('CARNET DE SOUDURE'!$B$7:$B$3006,MATCH(B1445,'CARNET DE SOUDURE'!$L$7:$L$3006,0)),IFERROR(INDEX('CARNET DE SOUDURE'!$B$7:$B$3006,MATCH(B1445,'CARNET DE SOUDURE'!$O$7:$O$3006,0)),"")))</f>
        <v/>
      </c>
      <c r="J1445" s="82" t="str">
        <f aca="false">IF(B1445="","",IFERROR(INDEX('CARNET DE SOUDURE'!$E$7:$E$3006,MATCH(B1445,'CARNET DE SOUDURE'!$O$7:$O$3006,0)),""))</f>
        <v/>
      </c>
      <c r="K1445" s="82" t="str">
        <f aca="false">IF(B1445="","",IFERROR(INDEX('CARNET DE SOUDURE'!$E$7:$E$3006,MATCH(B1445,'CARNET DE SOUDURE'!$L$7:$L$3006,0)),""))</f>
        <v/>
      </c>
      <c r="L1445" s="82" t="str">
        <f aca="false">IF(B1445="","",IFERROR(INDEX('CARNET DE SOUDURE'!$D$7:$D$3006,MATCH(B1445,'CARNET DE SOUDURE'!$L$7:$L$3006,0)),IFERROR(INDEX('CARNET DE SOUDURE'!$D$7:$D$3006,MATCH(B1445,'CARNET DE SOUDURE'!$O$7:$O$3006,0)),"")))</f>
        <v/>
      </c>
      <c r="M1445" s="82" t="str">
        <f aca="false">IF(B1445="","",IF(OR(J1445&lt;&gt;"",K1445&lt;&gt;""),"POSÉ EN LIGNE",IF(COUNTIF(BARDAGE!$C$1:$C$5000,B1445)&gt;0,"BARDÉ","EN STOCK")))</f>
        <v/>
      </c>
      <c r="N1445" s="80"/>
    </row>
    <row r="1446" customFormat="false" ht="15" hidden="false" customHeight="false" outlineLevel="0" collapsed="false">
      <c r="A1446" s="82" t="str">
        <f aca="false">IF(B1446="","",ROW()-6)</f>
        <v/>
      </c>
      <c r="B1446" s="145"/>
      <c r="C1446" s="146"/>
      <c r="D1446" s="146"/>
      <c r="E1446" s="82" t="str">
        <f aca="false">IF(B1446="","",IF(COUNTIFS('CARNET DE SOUDURE'!$L$7:$L$3006,B1446,'CARNET DE SOUDURE'!$M$7:$M$3006,"&lt;&gt;"&amp;C1446,'CARNET DE SOUDURE'!$M$7:$M$3006,"&lt;&gt;")+COUNTIFS('CARNET DE SOUDURE'!$O$7:$O$3006,B1446,'CARNET DE SOUDURE'!$P$7:$P$3006,"&lt;&gt;"&amp;C1446,'CARNET DE SOUDURE'!$P$7:$P$3006,"&lt;&gt;")&gt;0,"⚠ DIFFÉRENTE","OK"))</f>
        <v/>
      </c>
      <c r="F1446" s="147"/>
      <c r="G1446" s="80"/>
      <c r="H1446" s="83"/>
      <c r="I1446" s="148" t="str">
        <f aca="false">IF(B1446="","",IFERROR(INDEX('CARNET DE SOUDURE'!$B$7:$B$3006,MATCH(B1446,'CARNET DE SOUDURE'!$L$7:$L$3006,0)),IFERROR(INDEX('CARNET DE SOUDURE'!$B$7:$B$3006,MATCH(B1446,'CARNET DE SOUDURE'!$O$7:$O$3006,0)),"")))</f>
        <v/>
      </c>
      <c r="J1446" s="82" t="str">
        <f aca="false">IF(B1446="","",IFERROR(INDEX('CARNET DE SOUDURE'!$E$7:$E$3006,MATCH(B1446,'CARNET DE SOUDURE'!$O$7:$O$3006,0)),""))</f>
        <v/>
      </c>
      <c r="K1446" s="82" t="str">
        <f aca="false">IF(B1446="","",IFERROR(INDEX('CARNET DE SOUDURE'!$E$7:$E$3006,MATCH(B1446,'CARNET DE SOUDURE'!$L$7:$L$3006,0)),""))</f>
        <v/>
      </c>
      <c r="L1446" s="82" t="str">
        <f aca="false">IF(B1446="","",IFERROR(INDEX('CARNET DE SOUDURE'!$D$7:$D$3006,MATCH(B1446,'CARNET DE SOUDURE'!$L$7:$L$3006,0)),IFERROR(INDEX('CARNET DE SOUDURE'!$D$7:$D$3006,MATCH(B1446,'CARNET DE SOUDURE'!$O$7:$O$3006,0)),"")))</f>
        <v/>
      </c>
      <c r="M1446" s="82" t="str">
        <f aca="false">IF(B1446="","",IF(OR(J1446&lt;&gt;"",K1446&lt;&gt;""),"POSÉ EN LIGNE",IF(COUNTIF(BARDAGE!$C$1:$C$5000,B1446)&gt;0,"BARDÉ","EN STOCK")))</f>
        <v/>
      </c>
      <c r="N1446" s="80"/>
    </row>
    <row r="1447" customFormat="false" ht="15" hidden="false" customHeight="false" outlineLevel="0" collapsed="false">
      <c r="A1447" s="82" t="str">
        <f aca="false">IF(B1447="","",ROW()-6)</f>
        <v/>
      </c>
      <c r="B1447" s="145"/>
      <c r="C1447" s="146"/>
      <c r="D1447" s="146"/>
      <c r="E1447" s="82" t="str">
        <f aca="false">IF(B1447="","",IF(COUNTIFS('CARNET DE SOUDURE'!$L$7:$L$3006,B1447,'CARNET DE SOUDURE'!$M$7:$M$3006,"&lt;&gt;"&amp;C1447,'CARNET DE SOUDURE'!$M$7:$M$3006,"&lt;&gt;")+COUNTIFS('CARNET DE SOUDURE'!$O$7:$O$3006,B1447,'CARNET DE SOUDURE'!$P$7:$P$3006,"&lt;&gt;"&amp;C1447,'CARNET DE SOUDURE'!$P$7:$P$3006,"&lt;&gt;")&gt;0,"⚠ DIFFÉRENTE","OK"))</f>
        <v/>
      </c>
      <c r="F1447" s="147"/>
      <c r="G1447" s="80"/>
      <c r="H1447" s="83"/>
      <c r="I1447" s="148" t="str">
        <f aca="false">IF(B1447="","",IFERROR(INDEX('CARNET DE SOUDURE'!$B$7:$B$3006,MATCH(B1447,'CARNET DE SOUDURE'!$L$7:$L$3006,0)),IFERROR(INDEX('CARNET DE SOUDURE'!$B$7:$B$3006,MATCH(B1447,'CARNET DE SOUDURE'!$O$7:$O$3006,0)),"")))</f>
        <v/>
      </c>
      <c r="J1447" s="82" t="str">
        <f aca="false">IF(B1447="","",IFERROR(INDEX('CARNET DE SOUDURE'!$E$7:$E$3006,MATCH(B1447,'CARNET DE SOUDURE'!$O$7:$O$3006,0)),""))</f>
        <v/>
      </c>
      <c r="K1447" s="82" t="str">
        <f aca="false">IF(B1447="","",IFERROR(INDEX('CARNET DE SOUDURE'!$E$7:$E$3006,MATCH(B1447,'CARNET DE SOUDURE'!$L$7:$L$3006,0)),""))</f>
        <v/>
      </c>
      <c r="L1447" s="82" t="str">
        <f aca="false">IF(B1447="","",IFERROR(INDEX('CARNET DE SOUDURE'!$D$7:$D$3006,MATCH(B1447,'CARNET DE SOUDURE'!$L$7:$L$3006,0)),IFERROR(INDEX('CARNET DE SOUDURE'!$D$7:$D$3006,MATCH(B1447,'CARNET DE SOUDURE'!$O$7:$O$3006,0)),"")))</f>
        <v/>
      </c>
      <c r="M1447" s="82" t="str">
        <f aca="false">IF(B1447="","",IF(OR(J1447&lt;&gt;"",K1447&lt;&gt;""),"POSÉ EN LIGNE",IF(COUNTIF(BARDAGE!$C$1:$C$5000,B1447)&gt;0,"BARDÉ","EN STOCK")))</f>
        <v/>
      </c>
      <c r="N1447" s="80"/>
    </row>
    <row r="1448" customFormat="false" ht="15" hidden="false" customHeight="false" outlineLevel="0" collapsed="false">
      <c r="A1448" s="82" t="str">
        <f aca="false">IF(B1448="","",ROW()-6)</f>
        <v/>
      </c>
      <c r="B1448" s="145"/>
      <c r="C1448" s="146"/>
      <c r="D1448" s="146"/>
      <c r="E1448" s="82" t="str">
        <f aca="false">IF(B1448="","",IF(COUNTIFS('CARNET DE SOUDURE'!$L$7:$L$3006,B1448,'CARNET DE SOUDURE'!$M$7:$M$3006,"&lt;&gt;"&amp;C1448,'CARNET DE SOUDURE'!$M$7:$M$3006,"&lt;&gt;")+COUNTIFS('CARNET DE SOUDURE'!$O$7:$O$3006,B1448,'CARNET DE SOUDURE'!$P$7:$P$3006,"&lt;&gt;"&amp;C1448,'CARNET DE SOUDURE'!$P$7:$P$3006,"&lt;&gt;")&gt;0,"⚠ DIFFÉRENTE","OK"))</f>
        <v/>
      </c>
      <c r="F1448" s="147"/>
      <c r="G1448" s="80"/>
      <c r="H1448" s="83"/>
      <c r="I1448" s="148" t="str">
        <f aca="false">IF(B1448="","",IFERROR(INDEX('CARNET DE SOUDURE'!$B$7:$B$3006,MATCH(B1448,'CARNET DE SOUDURE'!$L$7:$L$3006,0)),IFERROR(INDEX('CARNET DE SOUDURE'!$B$7:$B$3006,MATCH(B1448,'CARNET DE SOUDURE'!$O$7:$O$3006,0)),"")))</f>
        <v/>
      </c>
      <c r="J1448" s="82" t="str">
        <f aca="false">IF(B1448="","",IFERROR(INDEX('CARNET DE SOUDURE'!$E$7:$E$3006,MATCH(B1448,'CARNET DE SOUDURE'!$O$7:$O$3006,0)),""))</f>
        <v/>
      </c>
      <c r="K1448" s="82" t="str">
        <f aca="false">IF(B1448="","",IFERROR(INDEX('CARNET DE SOUDURE'!$E$7:$E$3006,MATCH(B1448,'CARNET DE SOUDURE'!$L$7:$L$3006,0)),""))</f>
        <v/>
      </c>
      <c r="L1448" s="82" t="str">
        <f aca="false">IF(B1448="","",IFERROR(INDEX('CARNET DE SOUDURE'!$D$7:$D$3006,MATCH(B1448,'CARNET DE SOUDURE'!$L$7:$L$3006,0)),IFERROR(INDEX('CARNET DE SOUDURE'!$D$7:$D$3006,MATCH(B1448,'CARNET DE SOUDURE'!$O$7:$O$3006,0)),"")))</f>
        <v/>
      </c>
      <c r="M1448" s="82" t="str">
        <f aca="false">IF(B1448="","",IF(OR(J1448&lt;&gt;"",K1448&lt;&gt;""),"POSÉ EN LIGNE",IF(COUNTIF(BARDAGE!$C$1:$C$5000,B1448)&gt;0,"BARDÉ","EN STOCK")))</f>
        <v/>
      </c>
      <c r="N1448" s="80"/>
    </row>
    <row r="1449" customFormat="false" ht="15" hidden="false" customHeight="false" outlineLevel="0" collapsed="false">
      <c r="A1449" s="82" t="str">
        <f aca="false">IF(B1449="","",ROW()-6)</f>
        <v/>
      </c>
      <c r="B1449" s="145"/>
      <c r="C1449" s="146"/>
      <c r="D1449" s="146"/>
      <c r="E1449" s="82" t="str">
        <f aca="false">IF(B1449="","",IF(COUNTIFS('CARNET DE SOUDURE'!$L$7:$L$3006,B1449,'CARNET DE SOUDURE'!$M$7:$M$3006,"&lt;&gt;"&amp;C1449,'CARNET DE SOUDURE'!$M$7:$M$3006,"&lt;&gt;")+COUNTIFS('CARNET DE SOUDURE'!$O$7:$O$3006,B1449,'CARNET DE SOUDURE'!$P$7:$P$3006,"&lt;&gt;"&amp;C1449,'CARNET DE SOUDURE'!$P$7:$P$3006,"&lt;&gt;")&gt;0,"⚠ DIFFÉRENTE","OK"))</f>
        <v/>
      </c>
      <c r="F1449" s="147"/>
      <c r="G1449" s="80"/>
      <c r="H1449" s="83"/>
      <c r="I1449" s="148" t="str">
        <f aca="false">IF(B1449="","",IFERROR(INDEX('CARNET DE SOUDURE'!$B$7:$B$3006,MATCH(B1449,'CARNET DE SOUDURE'!$L$7:$L$3006,0)),IFERROR(INDEX('CARNET DE SOUDURE'!$B$7:$B$3006,MATCH(B1449,'CARNET DE SOUDURE'!$O$7:$O$3006,0)),"")))</f>
        <v/>
      </c>
      <c r="J1449" s="82" t="str">
        <f aca="false">IF(B1449="","",IFERROR(INDEX('CARNET DE SOUDURE'!$E$7:$E$3006,MATCH(B1449,'CARNET DE SOUDURE'!$O$7:$O$3006,0)),""))</f>
        <v/>
      </c>
      <c r="K1449" s="82" t="str">
        <f aca="false">IF(B1449="","",IFERROR(INDEX('CARNET DE SOUDURE'!$E$7:$E$3006,MATCH(B1449,'CARNET DE SOUDURE'!$L$7:$L$3006,0)),""))</f>
        <v/>
      </c>
      <c r="L1449" s="82" t="str">
        <f aca="false">IF(B1449="","",IFERROR(INDEX('CARNET DE SOUDURE'!$D$7:$D$3006,MATCH(B1449,'CARNET DE SOUDURE'!$L$7:$L$3006,0)),IFERROR(INDEX('CARNET DE SOUDURE'!$D$7:$D$3006,MATCH(B1449,'CARNET DE SOUDURE'!$O$7:$O$3006,0)),"")))</f>
        <v/>
      </c>
      <c r="M1449" s="82" t="str">
        <f aca="false">IF(B1449="","",IF(OR(J1449&lt;&gt;"",K1449&lt;&gt;""),"POSÉ EN LIGNE",IF(COUNTIF(BARDAGE!$C$1:$C$5000,B1449)&gt;0,"BARDÉ","EN STOCK")))</f>
        <v/>
      </c>
      <c r="N1449" s="80"/>
    </row>
    <row r="1450" customFormat="false" ht="15" hidden="false" customHeight="false" outlineLevel="0" collapsed="false">
      <c r="A1450" s="82" t="str">
        <f aca="false">IF(B1450="","",ROW()-6)</f>
        <v/>
      </c>
      <c r="B1450" s="145"/>
      <c r="C1450" s="146"/>
      <c r="D1450" s="146"/>
      <c r="E1450" s="82" t="str">
        <f aca="false">IF(B1450="","",IF(COUNTIFS('CARNET DE SOUDURE'!$L$7:$L$3006,B1450,'CARNET DE SOUDURE'!$M$7:$M$3006,"&lt;&gt;"&amp;C1450,'CARNET DE SOUDURE'!$M$7:$M$3006,"&lt;&gt;")+COUNTIFS('CARNET DE SOUDURE'!$O$7:$O$3006,B1450,'CARNET DE SOUDURE'!$P$7:$P$3006,"&lt;&gt;"&amp;C1450,'CARNET DE SOUDURE'!$P$7:$P$3006,"&lt;&gt;")&gt;0,"⚠ DIFFÉRENTE","OK"))</f>
        <v/>
      </c>
      <c r="F1450" s="147"/>
      <c r="G1450" s="80"/>
      <c r="H1450" s="83"/>
      <c r="I1450" s="148" t="str">
        <f aca="false">IF(B1450="","",IFERROR(INDEX('CARNET DE SOUDURE'!$B$7:$B$3006,MATCH(B1450,'CARNET DE SOUDURE'!$L$7:$L$3006,0)),IFERROR(INDEX('CARNET DE SOUDURE'!$B$7:$B$3006,MATCH(B1450,'CARNET DE SOUDURE'!$O$7:$O$3006,0)),"")))</f>
        <v/>
      </c>
      <c r="J1450" s="82" t="str">
        <f aca="false">IF(B1450="","",IFERROR(INDEX('CARNET DE SOUDURE'!$E$7:$E$3006,MATCH(B1450,'CARNET DE SOUDURE'!$O$7:$O$3006,0)),""))</f>
        <v/>
      </c>
      <c r="K1450" s="82" t="str">
        <f aca="false">IF(B1450="","",IFERROR(INDEX('CARNET DE SOUDURE'!$E$7:$E$3006,MATCH(B1450,'CARNET DE SOUDURE'!$L$7:$L$3006,0)),""))</f>
        <v/>
      </c>
      <c r="L1450" s="82" t="str">
        <f aca="false">IF(B1450="","",IFERROR(INDEX('CARNET DE SOUDURE'!$D$7:$D$3006,MATCH(B1450,'CARNET DE SOUDURE'!$L$7:$L$3006,0)),IFERROR(INDEX('CARNET DE SOUDURE'!$D$7:$D$3006,MATCH(B1450,'CARNET DE SOUDURE'!$O$7:$O$3006,0)),"")))</f>
        <v/>
      </c>
      <c r="M1450" s="82" t="str">
        <f aca="false">IF(B1450="","",IF(OR(J1450&lt;&gt;"",K1450&lt;&gt;""),"POSÉ EN LIGNE",IF(COUNTIF(BARDAGE!$C$1:$C$5000,B1450)&gt;0,"BARDÉ","EN STOCK")))</f>
        <v/>
      </c>
      <c r="N1450" s="80"/>
    </row>
    <row r="1451" customFormat="false" ht="15" hidden="false" customHeight="false" outlineLevel="0" collapsed="false">
      <c r="A1451" s="82" t="str">
        <f aca="false">IF(B1451="","",ROW()-6)</f>
        <v/>
      </c>
      <c r="B1451" s="145"/>
      <c r="C1451" s="146"/>
      <c r="D1451" s="146"/>
      <c r="E1451" s="82" t="str">
        <f aca="false">IF(B1451="","",IF(COUNTIFS('CARNET DE SOUDURE'!$L$7:$L$3006,B1451,'CARNET DE SOUDURE'!$M$7:$M$3006,"&lt;&gt;"&amp;C1451,'CARNET DE SOUDURE'!$M$7:$M$3006,"&lt;&gt;")+COUNTIFS('CARNET DE SOUDURE'!$O$7:$O$3006,B1451,'CARNET DE SOUDURE'!$P$7:$P$3006,"&lt;&gt;"&amp;C1451,'CARNET DE SOUDURE'!$P$7:$P$3006,"&lt;&gt;")&gt;0,"⚠ DIFFÉRENTE","OK"))</f>
        <v/>
      </c>
      <c r="F1451" s="147"/>
      <c r="G1451" s="80"/>
      <c r="H1451" s="83"/>
      <c r="I1451" s="148" t="str">
        <f aca="false">IF(B1451="","",IFERROR(INDEX('CARNET DE SOUDURE'!$B$7:$B$3006,MATCH(B1451,'CARNET DE SOUDURE'!$L$7:$L$3006,0)),IFERROR(INDEX('CARNET DE SOUDURE'!$B$7:$B$3006,MATCH(B1451,'CARNET DE SOUDURE'!$O$7:$O$3006,0)),"")))</f>
        <v/>
      </c>
      <c r="J1451" s="82" t="str">
        <f aca="false">IF(B1451="","",IFERROR(INDEX('CARNET DE SOUDURE'!$E$7:$E$3006,MATCH(B1451,'CARNET DE SOUDURE'!$O$7:$O$3006,0)),""))</f>
        <v/>
      </c>
      <c r="K1451" s="82" t="str">
        <f aca="false">IF(B1451="","",IFERROR(INDEX('CARNET DE SOUDURE'!$E$7:$E$3006,MATCH(B1451,'CARNET DE SOUDURE'!$L$7:$L$3006,0)),""))</f>
        <v/>
      </c>
      <c r="L1451" s="82" t="str">
        <f aca="false">IF(B1451="","",IFERROR(INDEX('CARNET DE SOUDURE'!$D$7:$D$3006,MATCH(B1451,'CARNET DE SOUDURE'!$L$7:$L$3006,0)),IFERROR(INDEX('CARNET DE SOUDURE'!$D$7:$D$3006,MATCH(B1451,'CARNET DE SOUDURE'!$O$7:$O$3006,0)),"")))</f>
        <v/>
      </c>
      <c r="M1451" s="82" t="str">
        <f aca="false">IF(B1451="","",IF(OR(J1451&lt;&gt;"",K1451&lt;&gt;""),"POSÉ EN LIGNE",IF(COUNTIF(BARDAGE!$C$1:$C$5000,B1451)&gt;0,"BARDÉ","EN STOCK")))</f>
        <v/>
      </c>
      <c r="N1451" s="80"/>
    </row>
    <row r="1452" customFormat="false" ht="15" hidden="false" customHeight="false" outlineLevel="0" collapsed="false">
      <c r="A1452" s="82" t="str">
        <f aca="false">IF(B1452="","",ROW()-6)</f>
        <v/>
      </c>
      <c r="B1452" s="145"/>
      <c r="C1452" s="146"/>
      <c r="D1452" s="146"/>
      <c r="E1452" s="82" t="str">
        <f aca="false">IF(B1452="","",IF(COUNTIFS('CARNET DE SOUDURE'!$L$7:$L$3006,B1452,'CARNET DE SOUDURE'!$M$7:$M$3006,"&lt;&gt;"&amp;C1452,'CARNET DE SOUDURE'!$M$7:$M$3006,"&lt;&gt;")+COUNTIFS('CARNET DE SOUDURE'!$O$7:$O$3006,B1452,'CARNET DE SOUDURE'!$P$7:$P$3006,"&lt;&gt;"&amp;C1452,'CARNET DE SOUDURE'!$P$7:$P$3006,"&lt;&gt;")&gt;0,"⚠ DIFFÉRENTE","OK"))</f>
        <v/>
      </c>
      <c r="F1452" s="147"/>
      <c r="G1452" s="80"/>
      <c r="H1452" s="83"/>
      <c r="I1452" s="148" t="str">
        <f aca="false">IF(B1452="","",IFERROR(INDEX('CARNET DE SOUDURE'!$B$7:$B$3006,MATCH(B1452,'CARNET DE SOUDURE'!$L$7:$L$3006,0)),IFERROR(INDEX('CARNET DE SOUDURE'!$B$7:$B$3006,MATCH(B1452,'CARNET DE SOUDURE'!$O$7:$O$3006,0)),"")))</f>
        <v/>
      </c>
      <c r="J1452" s="82" t="str">
        <f aca="false">IF(B1452="","",IFERROR(INDEX('CARNET DE SOUDURE'!$E$7:$E$3006,MATCH(B1452,'CARNET DE SOUDURE'!$O$7:$O$3006,0)),""))</f>
        <v/>
      </c>
      <c r="K1452" s="82" t="str">
        <f aca="false">IF(B1452="","",IFERROR(INDEX('CARNET DE SOUDURE'!$E$7:$E$3006,MATCH(B1452,'CARNET DE SOUDURE'!$L$7:$L$3006,0)),""))</f>
        <v/>
      </c>
      <c r="L1452" s="82" t="str">
        <f aca="false">IF(B1452="","",IFERROR(INDEX('CARNET DE SOUDURE'!$D$7:$D$3006,MATCH(B1452,'CARNET DE SOUDURE'!$L$7:$L$3006,0)),IFERROR(INDEX('CARNET DE SOUDURE'!$D$7:$D$3006,MATCH(B1452,'CARNET DE SOUDURE'!$O$7:$O$3006,0)),"")))</f>
        <v/>
      </c>
      <c r="M1452" s="82" t="str">
        <f aca="false">IF(B1452="","",IF(OR(J1452&lt;&gt;"",K1452&lt;&gt;""),"POSÉ EN LIGNE",IF(COUNTIF(BARDAGE!$C$1:$C$5000,B1452)&gt;0,"BARDÉ","EN STOCK")))</f>
        <v/>
      </c>
      <c r="N1452" s="80"/>
    </row>
    <row r="1453" customFormat="false" ht="15" hidden="false" customHeight="false" outlineLevel="0" collapsed="false">
      <c r="A1453" s="82" t="str">
        <f aca="false">IF(B1453="","",ROW()-6)</f>
        <v/>
      </c>
      <c r="B1453" s="145"/>
      <c r="C1453" s="146"/>
      <c r="D1453" s="146"/>
      <c r="E1453" s="82" t="str">
        <f aca="false">IF(B1453="","",IF(COUNTIFS('CARNET DE SOUDURE'!$L$7:$L$3006,B1453,'CARNET DE SOUDURE'!$M$7:$M$3006,"&lt;&gt;"&amp;C1453,'CARNET DE SOUDURE'!$M$7:$M$3006,"&lt;&gt;")+COUNTIFS('CARNET DE SOUDURE'!$O$7:$O$3006,B1453,'CARNET DE SOUDURE'!$P$7:$P$3006,"&lt;&gt;"&amp;C1453,'CARNET DE SOUDURE'!$P$7:$P$3006,"&lt;&gt;")&gt;0,"⚠ DIFFÉRENTE","OK"))</f>
        <v/>
      </c>
      <c r="F1453" s="147"/>
      <c r="G1453" s="80"/>
      <c r="H1453" s="83"/>
      <c r="I1453" s="148" t="str">
        <f aca="false">IF(B1453="","",IFERROR(INDEX('CARNET DE SOUDURE'!$B$7:$B$3006,MATCH(B1453,'CARNET DE SOUDURE'!$L$7:$L$3006,0)),IFERROR(INDEX('CARNET DE SOUDURE'!$B$7:$B$3006,MATCH(B1453,'CARNET DE SOUDURE'!$O$7:$O$3006,0)),"")))</f>
        <v/>
      </c>
      <c r="J1453" s="82" t="str">
        <f aca="false">IF(B1453="","",IFERROR(INDEX('CARNET DE SOUDURE'!$E$7:$E$3006,MATCH(B1453,'CARNET DE SOUDURE'!$O$7:$O$3006,0)),""))</f>
        <v/>
      </c>
      <c r="K1453" s="82" t="str">
        <f aca="false">IF(B1453="","",IFERROR(INDEX('CARNET DE SOUDURE'!$E$7:$E$3006,MATCH(B1453,'CARNET DE SOUDURE'!$L$7:$L$3006,0)),""))</f>
        <v/>
      </c>
      <c r="L1453" s="82" t="str">
        <f aca="false">IF(B1453="","",IFERROR(INDEX('CARNET DE SOUDURE'!$D$7:$D$3006,MATCH(B1453,'CARNET DE SOUDURE'!$L$7:$L$3006,0)),IFERROR(INDEX('CARNET DE SOUDURE'!$D$7:$D$3006,MATCH(B1453,'CARNET DE SOUDURE'!$O$7:$O$3006,0)),"")))</f>
        <v/>
      </c>
      <c r="M1453" s="82" t="str">
        <f aca="false">IF(B1453="","",IF(OR(J1453&lt;&gt;"",K1453&lt;&gt;""),"POSÉ EN LIGNE",IF(COUNTIF(BARDAGE!$C$1:$C$5000,B1453)&gt;0,"BARDÉ","EN STOCK")))</f>
        <v/>
      </c>
      <c r="N1453" s="80"/>
    </row>
    <row r="1454" customFormat="false" ht="15" hidden="false" customHeight="false" outlineLevel="0" collapsed="false">
      <c r="A1454" s="82" t="str">
        <f aca="false">IF(B1454="","",ROW()-6)</f>
        <v/>
      </c>
      <c r="B1454" s="145"/>
      <c r="C1454" s="146"/>
      <c r="D1454" s="146"/>
      <c r="E1454" s="82" t="str">
        <f aca="false">IF(B1454="","",IF(COUNTIFS('CARNET DE SOUDURE'!$L$7:$L$3006,B1454,'CARNET DE SOUDURE'!$M$7:$M$3006,"&lt;&gt;"&amp;C1454,'CARNET DE SOUDURE'!$M$7:$M$3006,"&lt;&gt;")+COUNTIFS('CARNET DE SOUDURE'!$O$7:$O$3006,B1454,'CARNET DE SOUDURE'!$P$7:$P$3006,"&lt;&gt;"&amp;C1454,'CARNET DE SOUDURE'!$P$7:$P$3006,"&lt;&gt;")&gt;0,"⚠ DIFFÉRENTE","OK"))</f>
        <v/>
      </c>
      <c r="F1454" s="147"/>
      <c r="G1454" s="80"/>
      <c r="H1454" s="83"/>
      <c r="I1454" s="148" t="str">
        <f aca="false">IF(B1454="","",IFERROR(INDEX('CARNET DE SOUDURE'!$B$7:$B$3006,MATCH(B1454,'CARNET DE SOUDURE'!$L$7:$L$3006,0)),IFERROR(INDEX('CARNET DE SOUDURE'!$B$7:$B$3006,MATCH(B1454,'CARNET DE SOUDURE'!$O$7:$O$3006,0)),"")))</f>
        <v/>
      </c>
      <c r="J1454" s="82" t="str">
        <f aca="false">IF(B1454="","",IFERROR(INDEX('CARNET DE SOUDURE'!$E$7:$E$3006,MATCH(B1454,'CARNET DE SOUDURE'!$O$7:$O$3006,0)),""))</f>
        <v/>
      </c>
      <c r="K1454" s="82" t="str">
        <f aca="false">IF(B1454="","",IFERROR(INDEX('CARNET DE SOUDURE'!$E$7:$E$3006,MATCH(B1454,'CARNET DE SOUDURE'!$L$7:$L$3006,0)),""))</f>
        <v/>
      </c>
      <c r="L1454" s="82" t="str">
        <f aca="false">IF(B1454="","",IFERROR(INDEX('CARNET DE SOUDURE'!$D$7:$D$3006,MATCH(B1454,'CARNET DE SOUDURE'!$L$7:$L$3006,0)),IFERROR(INDEX('CARNET DE SOUDURE'!$D$7:$D$3006,MATCH(B1454,'CARNET DE SOUDURE'!$O$7:$O$3006,0)),"")))</f>
        <v/>
      </c>
      <c r="M1454" s="82" t="str">
        <f aca="false">IF(B1454="","",IF(OR(J1454&lt;&gt;"",K1454&lt;&gt;""),"POSÉ EN LIGNE",IF(COUNTIF(BARDAGE!$C$1:$C$5000,B1454)&gt;0,"BARDÉ","EN STOCK")))</f>
        <v/>
      </c>
      <c r="N1454" s="80"/>
    </row>
    <row r="1455" customFormat="false" ht="15" hidden="false" customHeight="false" outlineLevel="0" collapsed="false">
      <c r="A1455" s="82" t="str">
        <f aca="false">IF(B1455="","",ROW()-6)</f>
        <v/>
      </c>
      <c r="B1455" s="145"/>
      <c r="C1455" s="146"/>
      <c r="D1455" s="146"/>
      <c r="E1455" s="82" t="str">
        <f aca="false">IF(B1455="","",IF(COUNTIFS('CARNET DE SOUDURE'!$L$7:$L$3006,B1455,'CARNET DE SOUDURE'!$M$7:$M$3006,"&lt;&gt;"&amp;C1455,'CARNET DE SOUDURE'!$M$7:$M$3006,"&lt;&gt;")+COUNTIFS('CARNET DE SOUDURE'!$O$7:$O$3006,B1455,'CARNET DE SOUDURE'!$P$7:$P$3006,"&lt;&gt;"&amp;C1455,'CARNET DE SOUDURE'!$P$7:$P$3006,"&lt;&gt;")&gt;0,"⚠ DIFFÉRENTE","OK"))</f>
        <v/>
      </c>
      <c r="F1455" s="147"/>
      <c r="G1455" s="80"/>
      <c r="H1455" s="83"/>
      <c r="I1455" s="148" t="str">
        <f aca="false">IF(B1455="","",IFERROR(INDEX('CARNET DE SOUDURE'!$B$7:$B$3006,MATCH(B1455,'CARNET DE SOUDURE'!$L$7:$L$3006,0)),IFERROR(INDEX('CARNET DE SOUDURE'!$B$7:$B$3006,MATCH(B1455,'CARNET DE SOUDURE'!$O$7:$O$3006,0)),"")))</f>
        <v/>
      </c>
      <c r="J1455" s="82" t="str">
        <f aca="false">IF(B1455="","",IFERROR(INDEX('CARNET DE SOUDURE'!$E$7:$E$3006,MATCH(B1455,'CARNET DE SOUDURE'!$O$7:$O$3006,0)),""))</f>
        <v/>
      </c>
      <c r="K1455" s="82" t="str">
        <f aca="false">IF(B1455="","",IFERROR(INDEX('CARNET DE SOUDURE'!$E$7:$E$3006,MATCH(B1455,'CARNET DE SOUDURE'!$L$7:$L$3006,0)),""))</f>
        <v/>
      </c>
      <c r="L1455" s="82" t="str">
        <f aca="false">IF(B1455="","",IFERROR(INDEX('CARNET DE SOUDURE'!$D$7:$D$3006,MATCH(B1455,'CARNET DE SOUDURE'!$L$7:$L$3006,0)),IFERROR(INDEX('CARNET DE SOUDURE'!$D$7:$D$3006,MATCH(B1455,'CARNET DE SOUDURE'!$O$7:$O$3006,0)),"")))</f>
        <v/>
      </c>
      <c r="M1455" s="82" t="str">
        <f aca="false">IF(B1455="","",IF(OR(J1455&lt;&gt;"",K1455&lt;&gt;""),"POSÉ EN LIGNE",IF(COUNTIF(BARDAGE!$C$1:$C$5000,B1455)&gt;0,"BARDÉ","EN STOCK")))</f>
        <v/>
      </c>
      <c r="N1455" s="80"/>
    </row>
    <row r="1456" customFormat="false" ht="15" hidden="false" customHeight="false" outlineLevel="0" collapsed="false">
      <c r="A1456" s="82" t="str">
        <f aca="false">IF(B1456="","",ROW()-6)</f>
        <v/>
      </c>
      <c r="B1456" s="145"/>
      <c r="C1456" s="146"/>
      <c r="D1456" s="146"/>
      <c r="E1456" s="82" t="str">
        <f aca="false">IF(B1456="","",IF(COUNTIFS('CARNET DE SOUDURE'!$L$7:$L$3006,B1456,'CARNET DE SOUDURE'!$M$7:$M$3006,"&lt;&gt;"&amp;C1456,'CARNET DE SOUDURE'!$M$7:$M$3006,"&lt;&gt;")+COUNTIFS('CARNET DE SOUDURE'!$O$7:$O$3006,B1456,'CARNET DE SOUDURE'!$P$7:$P$3006,"&lt;&gt;"&amp;C1456,'CARNET DE SOUDURE'!$P$7:$P$3006,"&lt;&gt;")&gt;0,"⚠ DIFFÉRENTE","OK"))</f>
        <v/>
      </c>
      <c r="F1456" s="147"/>
      <c r="G1456" s="80"/>
      <c r="H1456" s="83"/>
      <c r="I1456" s="148" t="str">
        <f aca="false">IF(B1456="","",IFERROR(INDEX('CARNET DE SOUDURE'!$B$7:$B$3006,MATCH(B1456,'CARNET DE SOUDURE'!$L$7:$L$3006,0)),IFERROR(INDEX('CARNET DE SOUDURE'!$B$7:$B$3006,MATCH(B1456,'CARNET DE SOUDURE'!$O$7:$O$3006,0)),"")))</f>
        <v/>
      </c>
      <c r="J1456" s="82" t="str">
        <f aca="false">IF(B1456="","",IFERROR(INDEX('CARNET DE SOUDURE'!$E$7:$E$3006,MATCH(B1456,'CARNET DE SOUDURE'!$O$7:$O$3006,0)),""))</f>
        <v/>
      </c>
      <c r="K1456" s="82" t="str">
        <f aca="false">IF(B1456="","",IFERROR(INDEX('CARNET DE SOUDURE'!$E$7:$E$3006,MATCH(B1456,'CARNET DE SOUDURE'!$L$7:$L$3006,0)),""))</f>
        <v/>
      </c>
      <c r="L1456" s="82" t="str">
        <f aca="false">IF(B1456="","",IFERROR(INDEX('CARNET DE SOUDURE'!$D$7:$D$3006,MATCH(B1456,'CARNET DE SOUDURE'!$L$7:$L$3006,0)),IFERROR(INDEX('CARNET DE SOUDURE'!$D$7:$D$3006,MATCH(B1456,'CARNET DE SOUDURE'!$O$7:$O$3006,0)),"")))</f>
        <v/>
      </c>
      <c r="M1456" s="82" t="str">
        <f aca="false">IF(B1456="","",IF(OR(J1456&lt;&gt;"",K1456&lt;&gt;""),"POSÉ EN LIGNE",IF(COUNTIF(BARDAGE!$C$1:$C$5000,B1456)&gt;0,"BARDÉ","EN STOCK")))</f>
        <v/>
      </c>
      <c r="N1456" s="80"/>
    </row>
    <row r="1457" customFormat="false" ht="15" hidden="false" customHeight="false" outlineLevel="0" collapsed="false">
      <c r="A1457" s="82" t="str">
        <f aca="false">IF(B1457="","",ROW()-6)</f>
        <v/>
      </c>
      <c r="B1457" s="145"/>
      <c r="C1457" s="146"/>
      <c r="D1457" s="146"/>
      <c r="E1457" s="82" t="str">
        <f aca="false">IF(B1457="","",IF(COUNTIFS('CARNET DE SOUDURE'!$L$7:$L$3006,B1457,'CARNET DE SOUDURE'!$M$7:$M$3006,"&lt;&gt;"&amp;C1457,'CARNET DE SOUDURE'!$M$7:$M$3006,"&lt;&gt;")+COUNTIFS('CARNET DE SOUDURE'!$O$7:$O$3006,B1457,'CARNET DE SOUDURE'!$P$7:$P$3006,"&lt;&gt;"&amp;C1457,'CARNET DE SOUDURE'!$P$7:$P$3006,"&lt;&gt;")&gt;0,"⚠ DIFFÉRENTE","OK"))</f>
        <v/>
      </c>
      <c r="F1457" s="147"/>
      <c r="G1457" s="80"/>
      <c r="H1457" s="83"/>
      <c r="I1457" s="148" t="str">
        <f aca="false">IF(B1457="","",IFERROR(INDEX('CARNET DE SOUDURE'!$B$7:$B$3006,MATCH(B1457,'CARNET DE SOUDURE'!$L$7:$L$3006,0)),IFERROR(INDEX('CARNET DE SOUDURE'!$B$7:$B$3006,MATCH(B1457,'CARNET DE SOUDURE'!$O$7:$O$3006,0)),"")))</f>
        <v/>
      </c>
      <c r="J1457" s="82" t="str">
        <f aca="false">IF(B1457="","",IFERROR(INDEX('CARNET DE SOUDURE'!$E$7:$E$3006,MATCH(B1457,'CARNET DE SOUDURE'!$O$7:$O$3006,0)),""))</f>
        <v/>
      </c>
      <c r="K1457" s="82" t="str">
        <f aca="false">IF(B1457="","",IFERROR(INDEX('CARNET DE SOUDURE'!$E$7:$E$3006,MATCH(B1457,'CARNET DE SOUDURE'!$L$7:$L$3006,0)),""))</f>
        <v/>
      </c>
      <c r="L1457" s="82" t="str">
        <f aca="false">IF(B1457="","",IFERROR(INDEX('CARNET DE SOUDURE'!$D$7:$D$3006,MATCH(B1457,'CARNET DE SOUDURE'!$L$7:$L$3006,0)),IFERROR(INDEX('CARNET DE SOUDURE'!$D$7:$D$3006,MATCH(B1457,'CARNET DE SOUDURE'!$O$7:$O$3006,0)),"")))</f>
        <v/>
      </c>
      <c r="M1457" s="82" t="str">
        <f aca="false">IF(B1457="","",IF(OR(J1457&lt;&gt;"",K1457&lt;&gt;""),"POSÉ EN LIGNE",IF(COUNTIF(BARDAGE!$C$1:$C$5000,B1457)&gt;0,"BARDÉ","EN STOCK")))</f>
        <v/>
      </c>
      <c r="N1457" s="80"/>
    </row>
    <row r="1458" customFormat="false" ht="15" hidden="false" customHeight="false" outlineLevel="0" collapsed="false">
      <c r="A1458" s="82" t="str">
        <f aca="false">IF(B1458="","",ROW()-6)</f>
        <v/>
      </c>
      <c r="B1458" s="145"/>
      <c r="C1458" s="146"/>
      <c r="D1458" s="146"/>
      <c r="E1458" s="82" t="str">
        <f aca="false">IF(B1458="","",IF(COUNTIFS('CARNET DE SOUDURE'!$L$7:$L$3006,B1458,'CARNET DE SOUDURE'!$M$7:$M$3006,"&lt;&gt;"&amp;C1458,'CARNET DE SOUDURE'!$M$7:$M$3006,"&lt;&gt;")+COUNTIFS('CARNET DE SOUDURE'!$O$7:$O$3006,B1458,'CARNET DE SOUDURE'!$P$7:$P$3006,"&lt;&gt;"&amp;C1458,'CARNET DE SOUDURE'!$P$7:$P$3006,"&lt;&gt;")&gt;0,"⚠ DIFFÉRENTE","OK"))</f>
        <v/>
      </c>
      <c r="F1458" s="147"/>
      <c r="G1458" s="80"/>
      <c r="H1458" s="83"/>
      <c r="I1458" s="148" t="str">
        <f aca="false">IF(B1458="","",IFERROR(INDEX('CARNET DE SOUDURE'!$B$7:$B$3006,MATCH(B1458,'CARNET DE SOUDURE'!$L$7:$L$3006,0)),IFERROR(INDEX('CARNET DE SOUDURE'!$B$7:$B$3006,MATCH(B1458,'CARNET DE SOUDURE'!$O$7:$O$3006,0)),"")))</f>
        <v/>
      </c>
      <c r="J1458" s="82" t="str">
        <f aca="false">IF(B1458="","",IFERROR(INDEX('CARNET DE SOUDURE'!$E$7:$E$3006,MATCH(B1458,'CARNET DE SOUDURE'!$O$7:$O$3006,0)),""))</f>
        <v/>
      </c>
      <c r="K1458" s="82" t="str">
        <f aca="false">IF(B1458="","",IFERROR(INDEX('CARNET DE SOUDURE'!$E$7:$E$3006,MATCH(B1458,'CARNET DE SOUDURE'!$L$7:$L$3006,0)),""))</f>
        <v/>
      </c>
      <c r="L1458" s="82" t="str">
        <f aca="false">IF(B1458="","",IFERROR(INDEX('CARNET DE SOUDURE'!$D$7:$D$3006,MATCH(B1458,'CARNET DE SOUDURE'!$L$7:$L$3006,0)),IFERROR(INDEX('CARNET DE SOUDURE'!$D$7:$D$3006,MATCH(B1458,'CARNET DE SOUDURE'!$O$7:$O$3006,0)),"")))</f>
        <v/>
      </c>
      <c r="M1458" s="82" t="str">
        <f aca="false">IF(B1458="","",IF(OR(J1458&lt;&gt;"",K1458&lt;&gt;""),"POSÉ EN LIGNE",IF(COUNTIF(BARDAGE!$C$1:$C$5000,B1458)&gt;0,"BARDÉ","EN STOCK")))</f>
        <v/>
      </c>
      <c r="N1458" s="80"/>
    </row>
    <row r="1459" customFormat="false" ht="15" hidden="false" customHeight="false" outlineLevel="0" collapsed="false">
      <c r="A1459" s="82" t="str">
        <f aca="false">IF(B1459="","",ROW()-6)</f>
        <v/>
      </c>
      <c r="B1459" s="145"/>
      <c r="C1459" s="146"/>
      <c r="D1459" s="146"/>
      <c r="E1459" s="82" t="str">
        <f aca="false">IF(B1459="","",IF(COUNTIFS('CARNET DE SOUDURE'!$L$7:$L$3006,B1459,'CARNET DE SOUDURE'!$M$7:$M$3006,"&lt;&gt;"&amp;C1459,'CARNET DE SOUDURE'!$M$7:$M$3006,"&lt;&gt;")+COUNTIFS('CARNET DE SOUDURE'!$O$7:$O$3006,B1459,'CARNET DE SOUDURE'!$P$7:$P$3006,"&lt;&gt;"&amp;C1459,'CARNET DE SOUDURE'!$P$7:$P$3006,"&lt;&gt;")&gt;0,"⚠ DIFFÉRENTE","OK"))</f>
        <v/>
      </c>
      <c r="F1459" s="147"/>
      <c r="G1459" s="80"/>
      <c r="H1459" s="83"/>
      <c r="I1459" s="148" t="str">
        <f aca="false">IF(B1459="","",IFERROR(INDEX('CARNET DE SOUDURE'!$B$7:$B$3006,MATCH(B1459,'CARNET DE SOUDURE'!$L$7:$L$3006,0)),IFERROR(INDEX('CARNET DE SOUDURE'!$B$7:$B$3006,MATCH(B1459,'CARNET DE SOUDURE'!$O$7:$O$3006,0)),"")))</f>
        <v/>
      </c>
      <c r="J1459" s="82" t="str">
        <f aca="false">IF(B1459="","",IFERROR(INDEX('CARNET DE SOUDURE'!$E$7:$E$3006,MATCH(B1459,'CARNET DE SOUDURE'!$O$7:$O$3006,0)),""))</f>
        <v/>
      </c>
      <c r="K1459" s="82" t="str">
        <f aca="false">IF(B1459="","",IFERROR(INDEX('CARNET DE SOUDURE'!$E$7:$E$3006,MATCH(B1459,'CARNET DE SOUDURE'!$L$7:$L$3006,0)),""))</f>
        <v/>
      </c>
      <c r="L1459" s="82" t="str">
        <f aca="false">IF(B1459="","",IFERROR(INDEX('CARNET DE SOUDURE'!$D$7:$D$3006,MATCH(B1459,'CARNET DE SOUDURE'!$L$7:$L$3006,0)),IFERROR(INDEX('CARNET DE SOUDURE'!$D$7:$D$3006,MATCH(B1459,'CARNET DE SOUDURE'!$O$7:$O$3006,0)),"")))</f>
        <v/>
      </c>
      <c r="M1459" s="82" t="str">
        <f aca="false">IF(B1459="","",IF(OR(J1459&lt;&gt;"",K1459&lt;&gt;""),"POSÉ EN LIGNE",IF(COUNTIF(BARDAGE!$C$1:$C$5000,B1459)&gt;0,"BARDÉ","EN STOCK")))</f>
        <v/>
      </c>
      <c r="N1459" s="80"/>
    </row>
    <row r="1460" customFormat="false" ht="15" hidden="false" customHeight="false" outlineLevel="0" collapsed="false">
      <c r="A1460" s="82" t="str">
        <f aca="false">IF(B1460="","",ROW()-6)</f>
        <v/>
      </c>
      <c r="B1460" s="145"/>
      <c r="C1460" s="146"/>
      <c r="D1460" s="146"/>
      <c r="E1460" s="82" t="str">
        <f aca="false">IF(B1460="","",IF(COUNTIFS('CARNET DE SOUDURE'!$L$7:$L$3006,B1460,'CARNET DE SOUDURE'!$M$7:$M$3006,"&lt;&gt;"&amp;C1460,'CARNET DE SOUDURE'!$M$7:$M$3006,"&lt;&gt;")+COUNTIFS('CARNET DE SOUDURE'!$O$7:$O$3006,B1460,'CARNET DE SOUDURE'!$P$7:$P$3006,"&lt;&gt;"&amp;C1460,'CARNET DE SOUDURE'!$P$7:$P$3006,"&lt;&gt;")&gt;0,"⚠ DIFFÉRENTE","OK"))</f>
        <v/>
      </c>
      <c r="F1460" s="147"/>
      <c r="G1460" s="80"/>
      <c r="H1460" s="83"/>
      <c r="I1460" s="148" t="str">
        <f aca="false">IF(B1460="","",IFERROR(INDEX('CARNET DE SOUDURE'!$B$7:$B$3006,MATCH(B1460,'CARNET DE SOUDURE'!$L$7:$L$3006,0)),IFERROR(INDEX('CARNET DE SOUDURE'!$B$7:$B$3006,MATCH(B1460,'CARNET DE SOUDURE'!$O$7:$O$3006,0)),"")))</f>
        <v/>
      </c>
      <c r="J1460" s="82" t="str">
        <f aca="false">IF(B1460="","",IFERROR(INDEX('CARNET DE SOUDURE'!$E$7:$E$3006,MATCH(B1460,'CARNET DE SOUDURE'!$O$7:$O$3006,0)),""))</f>
        <v/>
      </c>
      <c r="K1460" s="82" t="str">
        <f aca="false">IF(B1460="","",IFERROR(INDEX('CARNET DE SOUDURE'!$E$7:$E$3006,MATCH(B1460,'CARNET DE SOUDURE'!$L$7:$L$3006,0)),""))</f>
        <v/>
      </c>
      <c r="L1460" s="82" t="str">
        <f aca="false">IF(B1460="","",IFERROR(INDEX('CARNET DE SOUDURE'!$D$7:$D$3006,MATCH(B1460,'CARNET DE SOUDURE'!$L$7:$L$3006,0)),IFERROR(INDEX('CARNET DE SOUDURE'!$D$7:$D$3006,MATCH(B1460,'CARNET DE SOUDURE'!$O$7:$O$3006,0)),"")))</f>
        <v/>
      </c>
      <c r="M1460" s="82" t="str">
        <f aca="false">IF(B1460="","",IF(OR(J1460&lt;&gt;"",K1460&lt;&gt;""),"POSÉ EN LIGNE",IF(COUNTIF(BARDAGE!$C$1:$C$5000,B1460)&gt;0,"BARDÉ","EN STOCK")))</f>
        <v/>
      </c>
      <c r="N1460" s="80"/>
    </row>
    <row r="1461" customFormat="false" ht="15" hidden="false" customHeight="false" outlineLevel="0" collapsed="false">
      <c r="A1461" s="82" t="str">
        <f aca="false">IF(B1461="","",ROW()-6)</f>
        <v/>
      </c>
      <c r="B1461" s="145"/>
      <c r="C1461" s="146"/>
      <c r="D1461" s="146"/>
      <c r="E1461" s="82" t="str">
        <f aca="false">IF(B1461="","",IF(COUNTIFS('CARNET DE SOUDURE'!$L$7:$L$3006,B1461,'CARNET DE SOUDURE'!$M$7:$M$3006,"&lt;&gt;"&amp;C1461,'CARNET DE SOUDURE'!$M$7:$M$3006,"&lt;&gt;")+COUNTIFS('CARNET DE SOUDURE'!$O$7:$O$3006,B1461,'CARNET DE SOUDURE'!$P$7:$P$3006,"&lt;&gt;"&amp;C1461,'CARNET DE SOUDURE'!$P$7:$P$3006,"&lt;&gt;")&gt;0,"⚠ DIFFÉRENTE","OK"))</f>
        <v/>
      </c>
      <c r="F1461" s="147"/>
      <c r="G1461" s="80"/>
      <c r="H1461" s="83"/>
      <c r="I1461" s="148" t="str">
        <f aca="false">IF(B1461="","",IFERROR(INDEX('CARNET DE SOUDURE'!$B$7:$B$3006,MATCH(B1461,'CARNET DE SOUDURE'!$L$7:$L$3006,0)),IFERROR(INDEX('CARNET DE SOUDURE'!$B$7:$B$3006,MATCH(B1461,'CARNET DE SOUDURE'!$O$7:$O$3006,0)),"")))</f>
        <v/>
      </c>
      <c r="J1461" s="82" t="str">
        <f aca="false">IF(B1461="","",IFERROR(INDEX('CARNET DE SOUDURE'!$E$7:$E$3006,MATCH(B1461,'CARNET DE SOUDURE'!$O$7:$O$3006,0)),""))</f>
        <v/>
      </c>
      <c r="K1461" s="82" t="str">
        <f aca="false">IF(B1461="","",IFERROR(INDEX('CARNET DE SOUDURE'!$E$7:$E$3006,MATCH(B1461,'CARNET DE SOUDURE'!$L$7:$L$3006,0)),""))</f>
        <v/>
      </c>
      <c r="L1461" s="82" t="str">
        <f aca="false">IF(B1461="","",IFERROR(INDEX('CARNET DE SOUDURE'!$D$7:$D$3006,MATCH(B1461,'CARNET DE SOUDURE'!$L$7:$L$3006,0)),IFERROR(INDEX('CARNET DE SOUDURE'!$D$7:$D$3006,MATCH(B1461,'CARNET DE SOUDURE'!$O$7:$O$3006,0)),"")))</f>
        <v/>
      </c>
      <c r="M1461" s="82" t="str">
        <f aca="false">IF(B1461="","",IF(OR(J1461&lt;&gt;"",K1461&lt;&gt;""),"POSÉ EN LIGNE",IF(COUNTIF(BARDAGE!$C$1:$C$5000,B1461)&gt;0,"BARDÉ","EN STOCK")))</f>
        <v/>
      </c>
      <c r="N1461" s="80"/>
    </row>
    <row r="1462" customFormat="false" ht="15" hidden="false" customHeight="false" outlineLevel="0" collapsed="false">
      <c r="A1462" s="82" t="str">
        <f aca="false">IF(B1462="","",ROW()-6)</f>
        <v/>
      </c>
      <c r="B1462" s="145"/>
      <c r="C1462" s="146"/>
      <c r="D1462" s="146"/>
      <c r="E1462" s="82" t="str">
        <f aca="false">IF(B1462="","",IF(COUNTIFS('CARNET DE SOUDURE'!$L$7:$L$3006,B1462,'CARNET DE SOUDURE'!$M$7:$M$3006,"&lt;&gt;"&amp;C1462,'CARNET DE SOUDURE'!$M$7:$M$3006,"&lt;&gt;")+COUNTIFS('CARNET DE SOUDURE'!$O$7:$O$3006,B1462,'CARNET DE SOUDURE'!$P$7:$P$3006,"&lt;&gt;"&amp;C1462,'CARNET DE SOUDURE'!$P$7:$P$3006,"&lt;&gt;")&gt;0,"⚠ DIFFÉRENTE","OK"))</f>
        <v/>
      </c>
      <c r="F1462" s="147"/>
      <c r="G1462" s="80"/>
      <c r="H1462" s="83"/>
      <c r="I1462" s="148" t="str">
        <f aca="false">IF(B1462="","",IFERROR(INDEX('CARNET DE SOUDURE'!$B$7:$B$3006,MATCH(B1462,'CARNET DE SOUDURE'!$L$7:$L$3006,0)),IFERROR(INDEX('CARNET DE SOUDURE'!$B$7:$B$3006,MATCH(B1462,'CARNET DE SOUDURE'!$O$7:$O$3006,0)),"")))</f>
        <v/>
      </c>
      <c r="J1462" s="82" t="str">
        <f aca="false">IF(B1462="","",IFERROR(INDEX('CARNET DE SOUDURE'!$E$7:$E$3006,MATCH(B1462,'CARNET DE SOUDURE'!$O$7:$O$3006,0)),""))</f>
        <v/>
      </c>
      <c r="K1462" s="82" t="str">
        <f aca="false">IF(B1462="","",IFERROR(INDEX('CARNET DE SOUDURE'!$E$7:$E$3006,MATCH(B1462,'CARNET DE SOUDURE'!$L$7:$L$3006,0)),""))</f>
        <v/>
      </c>
      <c r="L1462" s="82" t="str">
        <f aca="false">IF(B1462="","",IFERROR(INDEX('CARNET DE SOUDURE'!$D$7:$D$3006,MATCH(B1462,'CARNET DE SOUDURE'!$L$7:$L$3006,0)),IFERROR(INDEX('CARNET DE SOUDURE'!$D$7:$D$3006,MATCH(B1462,'CARNET DE SOUDURE'!$O$7:$O$3006,0)),"")))</f>
        <v/>
      </c>
      <c r="M1462" s="82" t="str">
        <f aca="false">IF(B1462="","",IF(OR(J1462&lt;&gt;"",K1462&lt;&gt;""),"POSÉ EN LIGNE",IF(COUNTIF(BARDAGE!$C$1:$C$5000,B1462)&gt;0,"BARDÉ","EN STOCK")))</f>
        <v/>
      </c>
      <c r="N1462" s="80"/>
    </row>
    <row r="1463" customFormat="false" ht="15" hidden="false" customHeight="false" outlineLevel="0" collapsed="false">
      <c r="A1463" s="82" t="str">
        <f aca="false">IF(B1463="","",ROW()-6)</f>
        <v/>
      </c>
      <c r="B1463" s="145"/>
      <c r="C1463" s="146"/>
      <c r="D1463" s="146"/>
      <c r="E1463" s="82" t="str">
        <f aca="false">IF(B1463="","",IF(COUNTIFS('CARNET DE SOUDURE'!$L$7:$L$3006,B1463,'CARNET DE SOUDURE'!$M$7:$M$3006,"&lt;&gt;"&amp;C1463,'CARNET DE SOUDURE'!$M$7:$M$3006,"&lt;&gt;")+COUNTIFS('CARNET DE SOUDURE'!$O$7:$O$3006,B1463,'CARNET DE SOUDURE'!$P$7:$P$3006,"&lt;&gt;"&amp;C1463,'CARNET DE SOUDURE'!$P$7:$P$3006,"&lt;&gt;")&gt;0,"⚠ DIFFÉRENTE","OK"))</f>
        <v/>
      </c>
      <c r="F1463" s="147"/>
      <c r="G1463" s="80"/>
      <c r="H1463" s="83"/>
      <c r="I1463" s="148" t="str">
        <f aca="false">IF(B1463="","",IFERROR(INDEX('CARNET DE SOUDURE'!$B$7:$B$3006,MATCH(B1463,'CARNET DE SOUDURE'!$L$7:$L$3006,0)),IFERROR(INDEX('CARNET DE SOUDURE'!$B$7:$B$3006,MATCH(B1463,'CARNET DE SOUDURE'!$O$7:$O$3006,0)),"")))</f>
        <v/>
      </c>
      <c r="J1463" s="82" t="str">
        <f aca="false">IF(B1463="","",IFERROR(INDEX('CARNET DE SOUDURE'!$E$7:$E$3006,MATCH(B1463,'CARNET DE SOUDURE'!$O$7:$O$3006,0)),""))</f>
        <v/>
      </c>
      <c r="K1463" s="82" t="str">
        <f aca="false">IF(B1463="","",IFERROR(INDEX('CARNET DE SOUDURE'!$E$7:$E$3006,MATCH(B1463,'CARNET DE SOUDURE'!$L$7:$L$3006,0)),""))</f>
        <v/>
      </c>
      <c r="L1463" s="82" t="str">
        <f aca="false">IF(B1463="","",IFERROR(INDEX('CARNET DE SOUDURE'!$D$7:$D$3006,MATCH(B1463,'CARNET DE SOUDURE'!$L$7:$L$3006,0)),IFERROR(INDEX('CARNET DE SOUDURE'!$D$7:$D$3006,MATCH(B1463,'CARNET DE SOUDURE'!$O$7:$O$3006,0)),"")))</f>
        <v/>
      </c>
      <c r="M1463" s="82" t="str">
        <f aca="false">IF(B1463="","",IF(OR(J1463&lt;&gt;"",K1463&lt;&gt;""),"POSÉ EN LIGNE",IF(COUNTIF(BARDAGE!$C$1:$C$5000,B1463)&gt;0,"BARDÉ","EN STOCK")))</f>
        <v/>
      </c>
      <c r="N1463" s="80"/>
    </row>
    <row r="1464" customFormat="false" ht="15" hidden="false" customHeight="false" outlineLevel="0" collapsed="false">
      <c r="A1464" s="82" t="str">
        <f aca="false">IF(B1464="","",ROW()-6)</f>
        <v/>
      </c>
      <c r="B1464" s="145"/>
      <c r="C1464" s="146"/>
      <c r="D1464" s="146"/>
      <c r="E1464" s="82" t="str">
        <f aca="false">IF(B1464="","",IF(COUNTIFS('CARNET DE SOUDURE'!$L$7:$L$3006,B1464,'CARNET DE SOUDURE'!$M$7:$M$3006,"&lt;&gt;"&amp;C1464,'CARNET DE SOUDURE'!$M$7:$M$3006,"&lt;&gt;")+COUNTIFS('CARNET DE SOUDURE'!$O$7:$O$3006,B1464,'CARNET DE SOUDURE'!$P$7:$P$3006,"&lt;&gt;"&amp;C1464,'CARNET DE SOUDURE'!$P$7:$P$3006,"&lt;&gt;")&gt;0,"⚠ DIFFÉRENTE","OK"))</f>
        <v/>
      </c>
      <c r="F1464" s="147"/>
      <c r="G1464" s="80"/>
      <c r="H1464" s="83"/>
      <c r="I1464" s="148" t="str">
        <f aca="false">IF(B1464="","",IFERROR(INDEX('CARNET DE SOUDURE'!$B$7:$B$3006,MATCH(B1464,'CARNET DE SOUDURE'!$L$7:$L$3006,0)),IFERROR(INDEX('CARNET DE SOUDURE'!$B$7:$B$3006,MATCH(B1464,'CARNET DE SOUDURE'!$O$7:$O$3006,0)),"")))</f>
        <v/>
      </c>
      <c r="J1464" s="82" t="str">
        <f aca="false">IF(B1464="","",IFERROR(INDEX('CARNET DE SOUDURE'!$E$7:$E$3006,MATCH(B1464,'CARNET DE SOUDURE'!$O$7:$O$3006,0)),""))</f>
        <v/>
      </c>
      <c r="K1464" s="82" t="str">
        <f aca="false">IF(B1464="","",IFERROR(INDEX('CARNET DE SOUDURE'!$E$7:$E$3006,MATCH(B1464,'CARNET DE SOUDURE'!$L$7:$L$3006,0)),""))</f>
        <v/>
      </c>
      <c r="L1464" s="82" t="str">
        <f aca="false">IF(B1464="","",IFERROR(INDEX('CARNET DE SOUDURE'!$D$7:$D$3006,MATCH(B1464,'CARNET DE SOUDURE'!$L$7:$L$3006,0)),IFERROR(INDEX('CARNET DE SOUDURE'!$D$7:$D$3006,MATCH(B1464,'CARNET DE SOUDURE'!$O$7:$O$3006,0)),"")))</f>
        <v/>
      </c>
      <c r="M1464" s="82" t="str">
        <f aca="false">IF(B1464="","",IF(OR(J1464&lt;&gt;"",K1464&lt;&gt;""),"POSÉ EN LIGNE",IF(COUNTIF(BARDAGE!$C$1:$C$5000,B1464)&gt;0,"BARDÉ","EN STOCK")))</f>
        <v/>
      </c>
      <c r="N1464" s="80"/>
    </row>
    <row r="1465" customFormat="false" ht="15" hidden="false" customHeight="false" outlineLevel="0" collapsed="false">
      <c r="A1465" s="82" t="str">
        <f aca="false">IF(B1465="","",ROW()-6)</f>
        <v/>
      </c>
      <c r="B1465" s="145"/>
      <c r="C1465" s="146"/>
      <c r="D1465" s="146"/>
      <c r="E1465" s="82" t="str">
        <f aca="false">IF(B1465="","",IF(COUNTIFS('CARNET DE SOUDURE'!$L$7:$L$3006,B1465,'CARNET DE SOUDURE'!$M$7:$M$3006,"&lt;&gt;"&amp;C1465,'CARNET DE SOUDURE'!$M$7:$M$3006,"&lt;&gt;")+COUNTIFS('CARNET DE SOUDURE'!$O$7:$O$3006,B1465,'CARNET DE SOUDURE'!$P$7:$P$3006,"&lt;&gt;"&amp;C1465,'CARNET DE SOUDURE'!$P$7:$P$3006,"&lt;&gt;")&gt;0,"⚠ DIFFÉRENTE","OK"))</f>
        <v/>
      </c>
      <c r="F1465" s="147"/>
      <c r="G1465" s="80"/>
      <c r="H1465" s="83"/>
      <c r="I1465" s="148" t="str">
        <f aca="false">IF(B1465="","",IFERROR(INDEX('CARNET DE SOUDURE'!$B$7:$B$3006,MATCH(B1465,'CARNET DE SOUDURE'!$L$7:$L$3006,0)),IFERROR(INDEX('CARNET DE SOUDURE'!$B$7:$B$3006,MATCH(B1465,'CARNET DE SOUDURE'!$O$7:$O$3006,0)),"")))</f>
        <v/>
      </c>
      <c r="J1465" s="82" t="str">
        <f aca="false">IF(B1465="","",IFERROR(INDEX('CARNET DE SOUDURE'!$E$7:$E$3006,MATCH(B1465,'CARNET DE SOUDURE'!$O$7:$O$3006,0)),""))</f>
        <v/>
      </c>
      <c r="K1465" s="82" t="str">
        <f aca="false">IF(B1465="","",IFERROR(INDEX('CARNET DE SOUDURE'!$E$7:$E$3006,MATCH(B1465,'CARNET DE SOUDURE'!$L$7:$L$3006,0)),""))</f>
        <v/>
      </c>
      <c r="L1465" s="82" t="str">
        <f aca="false">IF(B1465="","",IFERROR(INDEX('CARNET DE SOUDURE'!$D$7:$D$3006,MATCH(B1465,'CARNET DE SOUDURE'!$L$7:$L$3006,0)),IFERROR(INDEX('CARNET DE SOUDURE'!$D$7:$D$3006,MATCH(B1465,'CARNET DE SOUDURE'!$O$7:$O$3006,0)),"")))</f>
        <v/>
      </c>
      <c r="M1465" s="82" t="str">
        <f aca="false">IF(B1465="","",IF(OR(J1465&lt;&gt;"",K1465&lt;&gt;""),"POSÉ EN LIGNE",IF(COUNTIF(BARDAGE!$C$1:$C$5000,B1465)&gt;0,"BARDÉ","EN STOCK")))</f>
        <v/>
      </c>
      <c r="N1465" s="80"/>
    </row>
    <row r="1466" customFormat="false" ht="15" hidden="false" customHeight="false" outlineLevel="0" collapsed="false">
      <c r="A1466" s="82" t="str">
        <f aca="false">IF(B1466="","",ROW()-6)</f>
        <v/>
      </c>
      <c r="B1466" s="145"/>
      <c r="C1466" s="146"/>
      <c r="D1466" s="146"/>
      <c r="E1466" s="82" t="str">
        <f aca="false">IF(B1466="","",IF(COUNTIFS('CARNET DE SOUDURE'!$L$7:$L$3006,B1466,'CARNET DE SOUDURE'!$M$7:$M$3006,"&lt;&gt;"&amp;C1466,'CARNET DE SOUDURE'!$M$7:$M$3006,"&lt;&gt;")+COUNTIFS('CARNET DE SOUDURE'!$O$7:$O$3006,B1466,'CARNET DE SOUDURE'!$P$7:$P$3006,"&lt;&gt;"&amp;C1466,'CARNET DE SOUDURE'!$P$7:$P$3006,"&lt;&gt;")&gt;0,"⚠ DIFFÉRENTE","OK"))</f>
        <v/>
      </c>
      <c r="F1466" s="147"/>
      <c r="G1466" s="80"/>
      <c r="H1466" s="83"/>
      <c r="I1466" s="148" t="str">
        <f aca="false">IF(B1466="","",IFERROR(INDEX('CARNET DE SOUDURE'!$B$7:$B$3006,MATCH(B1466,'CARNET DE SOUDURE'!$L$7:$L$3006,0)),IFERROR(INDEX('CARNET DE SOUDURE'!$B$7:$B$3006,MATCH(B1466,'CARNET DE SOUDURE'!$O$7:$O$3006,0)),"")))</f>
        <v/>
      </c>
      <c r="J1466" s="82" t="str">
        <f aca="false">IF(B1466="","",IFERROR(INDEX('CARNET DE SOUDURE'!$E$7:$E$3006,MATCH(B1466,'CARNET DE SOUDURE'!$O$7:$O$3006,0)),""))</f>
        <v/>
      </c>
      <c r="K1466" s="82" t="str">
        <f aca="false">IF(B1466="","",IFERROR(INDEX('CARNET DE SOUDURE'!$E$7:$E$3006,MATCH(B1466,'CARNET DE SOUDURE'!$L$7:$L$3006,0)),""))</f>
        <v/>
      </c>
      <c r="L1466" s="82" t="str">
        <f aca="false">IF(B1466="","",IFERROR(INDEX('CARNET DE SOUDURE'!$D$7:$D$3006,MATCH(B1466,'CARNET DE SOUDURE'!$L$7:$L$3006,0)),IFERROR(INDEX('CARNET DE SOUDURE'!$D$7:$D$3006,MATCH(B1466,'CARNET DE SOUDURE'!$O$7:$O$3006,0)),"")))</f>
        <v/>
      </c>
      <c r="M1466" s="82" t="str">
        <f aca="false">IF(B1466="","",IF(OR(J1466&lt;&gt;"",K1466&lt;&gt;""),"POSÉ EN LIGNE",IF(COUNTIF(BARDAGE!$C$1:$C$5000,B1466)&gt;0,"BARDÉ","EN STOCK")))</f>
        <v/>
      </c>
      <c r="N1466" s="80"/>
    </row>
    <row r="1467" customFormat="false" ht="15" hidden="false" customHeight="false" outlineLevel="0" collapsed="false">
      <c r="A1467" s="82" t="str">
        <f aca="false">IF(B1467="","",ROW()-6)</f>
        <v/>
      </c>
      <c r="B1467" s="145"/>
      <c r="C1467" s="146"/>
      <c r="D1467" s="146"/>
      <c r="E1467" s="82" t="str">
        <f aca="false">IF(B1467="","",IF(COUNTIFS('CARNET DE SOUDURE'!$L$7:$L$3006,B1467,'CARNET DE SOUDURE'!$M$7:$M$3006,"&lt;&gt;"&amp;C1467,'CARNET DE SOUDURE'!$M$7:$M$3006,"&lt;&gt;")+COUNTIFS('CARNET DE SOUDURE'!$O$7:$O$3006,B1467,'CARNET DE SOUDURE'!$P$7:$P$3006,"&lt;&gt;"&amp;C1467,'CARNET DE SOUDURE'!$P$7:$P$3006,"&lt;&gt;")&gt;0,"⚠ DIFFÉRENTE","OK"))</f>
        <v/>
      </c>
      <c r="F1467" s="147"/>
      <c r="G1467" s="80"/>
      <c r="H1467" s="83"/>
      <c r="I1467" s="148" t="str">
        <f aca="false">IF(B1467="","",IFERROR(INDEX('CARNET DE SOUDURE'!$B$7:$B$3006,MATCH(B1467,'CARNET DE SOUDURE'!$L$7:$L$3006,0)),IFERROR(INDEX('CARNET DE SOUDURE'!$B$7:$B$3006,MATCH(B1467,'CARNET DE SOUDURE'!$O$7:$O$3006,0)),"")))</f>
        <v/>
      </c>
      <c r="J1467" s="82" t="str">
        <f aca="false">IF(B1467="","",IFERROR(INDEX('CARNET DE SOUDURE'!$E$7:$E$3006,MATCH(B1467,'CARNET DE SOUDURE'!$O$7:$O$3006,0)),""))</f>
        <v/>
      </c>
      <c r="K1467" s="82" t="str">
        <f aca="false">IF(B1467="","",IFERROR(INDEX('CARNET DE SOUDURE'!$E$7:$E$3006,MATCH(B1467,'CARNET DE SOUDURE'!$L$7:$L$3006,0)),""))</f>
        <v/>
      </c>
      <c r="L1467" s="82" t="str">
        <f aca="false">IF(B1467="","",IFERROR(INDEX('CARNET DE SOUDURE'!$D$7:$D$3006,MATCH(B1467,'CARNET DE SOUDURE'!$L$7:$L$3006,0)),IFERROR(INDEX('CARNET DE SOUDURE'!$D$7:$D$3006,MATCH(B1467,'CARNET DE SOUDURE'!$O$7:$O$3006,0)),"")))</f>
        <v/>
      </c>
      <c r="M1467" s="82" t="str">
        <f aca="false">IF(B1467="","",IF(OR(J1467&lt;&gt;"",K1467&lt;&gt;""),"POSÉ EN LIGNE",IF(COUNTIF(BARDAGE!$C$1:$C$5000,B1467)&gt;0,"BARDÉ","EN STOCK")))</f>
        <v/>
      </c>
      <c r="N1467" s="80"/>
    </row>
    <row r="1468" customFormat="false" ht="15" hidden="false" customHeight="false" outlineLevel="0" collapsed="false">
      <c r="A1468" s="82" t="str">
        <f aca="false">IF(B1468="","",ROW()-6)</f>
        <v/>
      </c>
      <c r="B1468" s="145"/>
      <c r="C1468" s="146"/>
      <c r="D1468" s="146"/>
      <c r="E1468" s="82" t="str">
        <f aca="false">IF(B1468="","",IF(COUNTIFS('CARNET DE SOUDURE'!$L$7:$L$3006,B1468,'CARNET DE SOUDURE'!$M$7:$M$3006,"&lt;&gt;"&amp;C1468,'CARNET DE SOUDURE'!$M$7:$M$3006,"&lt;&gt;")+COUNTIFS('CARNET DE SOUDURE'!$O$7:$O$3006,B1468,'CARNET DE SOUDURE'!$P$7:$P$3006,"&lt;&gt;"&amp;C1468,'CARNET DE SOUDURE'!$P$7:$P$3006,"&lt;&gt;")&gt;0,"⚠ DIFFÉRENTE","OK"))</f>
        <v/>
      </c>
      <c r="F1468" s="147"/>
      <c r="G1468" s="80"/>
      <c r="H1468" s="83"/>
      <c r="I1468" s="148" t="str">
        <f aca="false">IF(B1468="","",IFERROR(INDEX('CARNET DE SOUDURE'!$B$7:$B$3006,MATCH(B1468,'CARNET DE SOUDURE'!$L$7:$L$3006,0)),IFERROR(INDEX('CARNET DE SOUDURE'!$B$7:$B$3006,MATCH(B1468,'CARNET DE SOUDURE'!$O$7:$O$3006,0)),"")))</f>
        <v/>
      </c>
      <c r="J1468" s="82" t="str">
        <f aca="false">IF(B1468="","",IFERROR(INDEX('CARNET DE SOUDURE'!$E$7:$E$3006,MATCH(B1468,'CARNET DE SOUDURE'!$O$7:$O$3006,0)),""))</f>
        <v/>
      </c>
      <c r="K1468" s="82" t="str">
        <f aca="false">IF(B1468="","",IFERROR(INDEX('CARNET DE SOUDURE'!$E$7:$E$3006,MATCH(B1468,'CARNET DE SOUDURE'!$L$7:$L$3006,0)),""))</f>
        <v/>
      </c>
      <c r="L1468" s="82" t="str">
        <f aca="false">IF(B1468="","",IFERROR(INDEX('CARNET DE SOUDURE'!$D$7:$D$3006,MATCH(B1468,'CARNET DE SOUDURE'!$L$7:$L$3006,0)),IFERROR(INDEX('CARNET DE SOUDURE'!$D$7:$D$3006,MATCH(B1468,'CARNET DE SOUDURE'!$O$7:$O$3006,0)),"")))</f>
        <v/>
      </c>
      <c r="M1468" s="82" t="str">
        <f aca="false">IF(B1468="","",IF(OR(J1468&lt;&gt;"",K1468&lt;&gt;""),"POSÉ EN LIGNE",IF(COUNTIF(BARDAGE!$C$1:$C$5000,B1468)&gt;0,"BARDÉ","EN STOCK")))</f>
        <v/>
      </c>
      <c r="N1468" s="80"/>
    </row>
    <row r="1469" customFormat="false" ht="15" hidden="false" customHeight="false" outlineLevel="0" collapsed="false">
      <c r="A1469" s="82" t="str">
        <f aca="false">IF(B1469="","",ROW()-6)</f>
        <v/>
      </c>
      <c r="B1469" s="145"/>
      <c r="C1469" s="146"/>
      <c r="D1469" s="146"/>
      <c r="E1469" s="82" t="str">
        <f aca="false">IF(B1469="","",IF(COUNTIFS('CARNET DE SOUDURE'!$L$7:$L$3006,B1469,'CARNET DE SOUDURE'!$M$7:$M$3006,"&lt;&gt;"&amp;C1469,'CARNET DE SOUDURE'!$M$7:$M$3006,"&lt;&gt;")+COUNTIFS('CARNET DE SOUDURE'!$O$7:$O$3006,B1469,'CARNET DE SOUDURE'!$P$7:$P$3006,"&lt;&gt;"&amp;C1469,'CARNET DE SOUDURE'!$P$7:$P$3006,"&lt;&gt;")&gt;0,"⚠ DIFFÉRENTE","OK"))</f>
        <v/>
      </c>
      <c r="F1469" s="147"/>
      <c r="G1469" s="80"/>
      <c r="H1469" s="83"/>
      <c r="I1469" s="148" t="str">
        <f aca="false">IF(B1469="","",IFERROR(INDEX('CARNET DE SOUDURE'!$B$7:$B$3006,MATCH(B1469,'CARNET DE SOUDURE'!$L$7:$L$3006,0)),IFERROR(INDEX('CARNET DE SOUDURE'!$B$7:$B$3006,MATCH(B1469,'CARNET DE SOUDURE'!$O$7:$O$3006,0)),"")))</f>
        <v/>
      </c>
      <c r="J1469" s="82" t="str">
        <f aca="false">IF(B1469="","",IFERROR(INDEX('CARNET DE SOUDURE'!$E$7:$E$3006,MATCH(B1469,'CARNET DE SOUDURE'!$O$7:$O$3006,0)),""))</f>
        <v/>
      </c>
      <c r="K1469" s="82" t="str">
        <f aca="false">IF(B1469="","",IFERROR(INDEX('CARNET DE SOUDURE'!$E$7:$E$3006,MATCH(B1469,'CARNET DE SOUDURE'!$L$7:$L$3006,0)),""))</f>
        <v/>
      </c>
      <c r="L1469" s="82" t="str">
        <f aca="false">IF(B1469="","",IFERROR(INDEX('CARNET DE SOUDURE'!$D$7:$D$3006,MATCH(B1469,'CARNET DE SOUDURE'!$L$7:$L$3006,0)),IFERROR(INDEX('CARNET DE SOUDURE'!$D$7:$D$3006,MATCH(B1469,'CARNET DE SOUDURE'!$O$7:$O$3006,0)),"")))</f>
        <v/>
      </c>
      <c r="M1469" s="82" t="str">
        <f aca="false">IF(B1469="","",IF(OR(J1469&lt;&gt;"",K1469&lt;&gt;""),"POSÉ EN LIGNE",IF(COUNTIF(BARDAGE!$C$1:$C$5000,B1469)&gt;0,"BARDÉ","EN STOCK")))</f>
        <v/>
      </c>
      <c r="N1469" s="80"/>
    </row>
    <row r="1470" customFormat="false" ht="15" hidden="false" customHeight="false" outlineLevel="0" collapsed="false">
      <c r="A1470" s="82" t="str">
        <f aca="false">IF(B1470="","",ROW()-6)</f>
        <v/>
      </c>
      <c r="B1470" s="145"/>
      <c r="C1470" s="146"/>
      <c r="D1470" s="146"/>
      <c r="E1470" s="82" t="str">
        <f aca="false">IF(B1470="","",IF(COUNTIFS('CARNET DE SOUDURE'!$L$7:$L$3006,B1470,'CARNET DE SOUDURE'!$M$7:$M$3006,"&lt;&gt;"&amp;C1470,'CARNET DE SOUDURE'!$M$7:$M$3006,"&lt;&gt;")+COUNTIFS('CARNET DE SOUDURE'!$O$7:$O$3006,B1470,'CARNET DE SOUDURE'!$P$7:$P$3006,"&lt;&gt;"&amp;C1470,'CARNET DE SOUDURE'!$P$7:$P$3006,"&lt;&gt;")&gt;0,"⚠ DIFFÉRENTE","OK"))</f>
        <v/>
      </c>
      <c r="F1470" s="147"/>
      <c r="G1470" s="80"/>
      <c r="H1470" s="83"/>
      <c r="I1470" s="148" t="str">
        <f aca="false">IF(B1470="","",IFERROR(INDEX('CARNET DE SOUDURE'!$B$7:$B$3006,MATCH(B1470,'CARNET DE SOUDURE'!$L$7:$L$3006,0)),IFERROR(INDEX('CARNET DE SOUDURE'!$B$7:$B$3006,MATCH(B1470,'CARNET DE SOUDURE'!$O$7:$O$3006,0)),"")))</f>
        <v/>
      </c>
      <c r="J1470" s="82" t="str">
        <f aca="false">IF(B1470="","",IFERROR(INDEX('CARNET DE SOUDURE'!$E$7:$E$3006,MATCH(B1470,'CARNET DE SOUDURE'!$O$7:$O$3006,0)),""))</f>
        <v/>
      </c>
      <c r="K1470" s="82" t="str">
        <f aca="false">IF(B1470="","",IFERROR(INDEX('CARNET DE SOUDURE'!$E$7:$E$3006,MATCH(B1470,'CARNET DE SOUDURE'!$L$7:$L$3006,0)),""))</f>
        <v/>
      </c>
      <c r="L1470" s="82" t="str">
        <f aca="false">IF(B1470="","",IFERROR(INDEX('CARNET DE SOUDURE'!$D$7:$D$3006,MATCH(B1470,'CARNET DE SOUDURE'!$L$7:$L$3006,0)),IFERROR(INDEX('CARNET DE SOUDURE'!$D$7:$D$3006,MATCH(B1470,'CARNET DE SOUDURE'!$O$7:$O$3006,0)),"")))</f>
        <v/>
      </c>
      <c r="M1470" s="82" t="str">
        <f aca="false">IF(B1470="","",IF(OR(J1470&lt;&gt;"",K1470&lt;&gt;""),"POSÉ EN LIGNE",IF(COUNTIF(BARDAGE!$C$1:$C$5000,B1470)&gt;0,"BARDÉ","EN STOCK")))</f>
        <v/>
      </c>
      <c r="N1470" s="80"/>
    </row>
    <row r="1471" customFormat="false" ht="15" hidden="false" customHeight="false" outlineLevel="0" collapsed="false">
      <c r="A1471" s="82" t="str">
        <f aca="false">IF(B1471="","",ROW()-6)</f>
        <v/>
      </c>
      <c r="B1471" s="145"/>
      <c r="C1471" s="146"/>
      <c r="D1471" s="146"/>
      <c r="E1471" s="82" t="str">
        <f aca="false">IF(B1471="","",IF(COUNTIFS('CARNET DE SOUDURE'!$L$7:$L$3006,B1471,'CARNET DE SOUDURE'!$M$7:$M$3006,"&lt;&gt;"&amp;C1471,'CARNET DE SOUDURE'!$M$7:$M$3006,"&lt;&gt;")+COUNTIFS('CARNET DE SOUDURE'!$O$7:$O$3006,B1471,'CARNET DE SOUDURE'!$P$7:$P$3006,"&lt;&gt;"&amp;C1471,'CARNET DE SOUDURE'!$P$7:$P$3006,"&lt;&gt;")&gt;0,"⚠ DIFFÉRENTE","OK"))</f>
        <v/>
      </c>
      <c r="F1471" s="147"/>
      <c r="G1471" s="80"/>
      <c r="H1471" s="83"/>
      <c r="I1471" s="148" t="str">
        <f aca="false">IF(B1471="","",IFERROR(INDEX('CARNET DE SOUDURE'!$B$7:$B$3006,MATCH(B1471,'CARNET DE SOUDURE'!$L$7:$L$3006,0)),IFERROR(INDEX('CARNET DE SOUDURE'!$B$7:$B$3006,MATCH(B1471,'CARNET DE SOUDURE'!$O$7:$O$3006,0)),"")))</f>
        <v/>
      </c>
      <c r="J1471" s="82" t="str">
        <f aca="false">IF(B1471="","",IFERROR(INDEX('CARNET DE SOUDURE'!$E$7:$E$3006,MATCH(B1471,'CARNET DE SOUDURE'!$O$7:$O$3006,0)),""))</f>
        <v/>
      </c>
      <c r="K1471" s="82" t="str">
        <f aca="false">IF(B1471="","",IFERROR(INDEX('CARNET DE SOUDURE'!$E$7:$E$3006,MATCH(B1471,'CARNET DE SOUDURE'!$L$7:$L$3006,0)),""))</f>
        <v/>
      </c>
      <c r="L1471" s="82" t="str">
        <f aca="false">IF(B1471="","",IFERROR(INDEX('CARNET DE SOUDURE'!$D$7:$D$3006,MATCH(B1471,'CARNET DE SOUDURE'!$L$7:$L$3006,0)),IFERROR(INDEX('CARNET DE SOUDURE'!$D$7:$D$3006,MATCH(B1471,'CARNET DE SOUDURE'!$O$7:$O$3006,0)),"")))</f>
        <v/>
      </c>
      <c r="M1471" s="82" t="str">
        <f aca="false">IF(B1471="","",IF(OR(J1471&lt;&gt;"",K1471&lt;&gt;""),"POSÉ EN LIGNE",IF(COUNTIF(BARDAGE!$C$1:$C$5000,B1471)&gt;0,"BARDÉ","EN STOCK")))</f>
        <v/>
      </c>
      <c r="N1471" s="80"/>
    </row>
    <row r="1472" customFormat="false" ht="15" hidden="false" customHeight="false" outlineLevel="0" collapsed="false">
      <c r="A1472" s="82" t="str">
        <f aca="false">IF(B1472="","",ROW()-6)</f>
        <v/>
      </c>
      <c r="B1472" s="145"/>
      <c r="C1472" s="146"/>
      <c r="D1472" s="146"/>
      <c r="E1472" s="82" t="str">
        <f aca="false">IF(B1472="","",IF(COUNTIFS('CARNET DE SOUDURE'!$L$7:$L$3006,B1472,'CARNET DE SOUDURE'!$M$7:$M$3006,"&lt;&gt;"&amp;C1472,'CARNET DE SOUDURE'!$M$7:$M$3006,"&lt;&gt;")+COUNTIFS('CARNET DE SOUDURE'!$O$7:$O$3006,B1472,'CARNET DE SOUDURE'!$P$7:$P$3006,"&lt;&gt;"&amp;C1472,'CARNET DE SOUDURE'!$P$7:$P$3006,"&lt;&gt;")&gt;0,"⚠ DIFFÉRENTE","OK"))</f>
        <v/>
      </c>
      <c r="F1472" s="147"/>
      <c r="G1472" s="80"/>
      <c r="H1472" s="83"/>
      <c r="I1472" s="148" t="str">
        <f aca="false">IF(B1472="","",IFERROR(INDEX('CARNET DE SOUDURE'!$B$7:$B$3006,MATCH(B1472,'CARNET DE SOUDURE'!$L$7:$L$3006,0)),IFERROR(INDEX('CARNET DE SOUDURE'!$B$7:$B$3006,MATCH(B1472,'CARNET DE SOUDURE'!$O$7:$O$3006,0)),"")))</f>
        <v/>
      </c>
      <c r="J1472" s="82" t="str">
        <f aca="false">IF(B1472="","",IFERROR(INDEX('CARNET DE SOUDURE'!$E$7:$E$3006,MATCH(B1472,'CARNET DE SOUDURE'!$O$7:$O$3006,0)),""))</f>
        <v/>
      </c>
      <c r="K1472" s="82" t="str">
        <f aca="false">IF(B1472="","",IFERROR(INDEX('CARNET DE SOUDURE'!$E$7:$E$3006,MATCH(B1472,'CARNET DE SOUDURE'!$L$7:$L$3006,0)),""))</f>
        <v/>
      </c>
      <c r="L1472" s="82" t="str">
        <f aca="false">IF(B1472="","",IFERROR(INDEX('CARNET DE SOUDURE'!$D$7:$D$3006,MATCH(B1472,'CARNET DE SOUDURE'!$L$7:$L$3006,0)),IFERROR(INDEX('CARNET DE SOUDURE'!$D$7:$D$3006,MATCH(B1472,'CARNET DE SOUDURE'!$O$7:$O$3006,0)),"")))</f>
        <v/>
      </c>
      <c r="M1472" s="82" t="str">
        <f aca="false">IF(B1472="","",IF(OR(J1472&lt;&gt;"",K1472&lt;&gt;""),"POSÉ EN LIGNE",IF(COUNTIF(BARDAGE!$C$1:$C$5000,B1472)&gt;0,"BARDÉ","EN STOCK")))</f>
        <v/>
      </c>
      <c r="N1472" s="80"/>
    </row>
    <row r="1473" customFormat="false" ht="15" hidden="false" customHeight="false" outlineLevel="0" collapsed="false">
      <c r="A1473" s="82" t="str">
        <f aca="false">IF(B1473="","",ROW()-6)</f>
        <v/>
      </c>
      <c r="B1473" s="145"/>
      <c r="C1473" s="146"/>
      <c r="D1473" s="146"/>
      <c r="E1473" s="82" t="str">
        <f aca="false">IF(B1473="","",IF(COUNTIFS('CARNET DE SOUDURE'!$L$7:$L$3006,B1473,'CARNET DE SOUDURE'!$M$7:$M$3006,"&lt;&gt;"&amp;C1473,'CARNET DE SOUDURE'!$M$7:$M$3006,"&lt;&gt;")+COUNTIFS('CARNET DE SOUDURE'!$O$7:$O$3006,B1473,'CARNET DE SOUDURE'!$P$7:$P$3006,"&lt;&gt;"&amp;C1473,'CARNET DE SOUDURE'!$P$7:$P$3006,"&lt;&gt;")&gt;0,"⚠ DIFFÉRENTE","OK"))</f>
        <v/>
      </c>
      <c r="F1473" s="147"/>
      <c r="G1473" s="80"/>
      <c r="H1473" s="83"/>
      <c r="I1473" s="148" t="str">
        <f aca="false">IF(B1473="","",IFERROR(INDEX('CARNET DE SOUDURE'!$B$7:$B$3006,MATCH(B1473,'CARNET DE SOUDURE'!$L$7:$L$3006,0)),IFERROR(INDEX('CARNET DE SOUDURE'!$B$7:$B$3006,MATCH(B1473,'CARNET DE SOUDURE'!$O$7:$O$3006,0)),"")))</f>
        <v/>
      </c>
      <c r="J1473" s="82" t="str">
        <f aca="false">IF(B1473="","",IFERROR(INDEX('CARNET DE SOUDURE'!$E$7:$E$3006,MATCH(B1473,'CARNET DE SOUDURE'!$O$7:$O$3006,0)),""))</f>
        <v/>
      </c>
      <c r="K1473" s="82" t="str">
        <f aca="false">IF(B1473="","",IFERROR(INDEX('CARNET DE SOUDURE'!$E$7:$E$3006,MATCH(B1473,'CARNET DE SOUDURE'!$L$7:$L$3006,0)),""))</f>
        <v/>
      </c>
      <c r="L1473" s="82" t="str">
        <f aca="false">IF(B1473="","",IFERROR(INDEX('CARNET DE SOUDURE'!$D$7:$D$3006,MATCH(B1473,'CARNET DE SOUDURE'!$L$7:$L$3006,0)),IFERROR(INDEX('CARNET DE SOUDURE'!$D$7:$D$3006,MATCH(B1473,'CARNET DE SOUDURE'!$O$7:$O$3006,0)),"")))</f>
        <v/>
      </c>
      <c r="M1473" s="82" t="str">
        <f aca="false">IF(B1473="","",IF(OR(J1473&lt;&gt;"",K1473&lt;&gt;""),"POSÉ EN LIGNE",IF(COUNTIF(BARDAGE!$C$1:$C$5000,B1473)&gt;0,"BARDÉ","EN STOCK")))</f>
        <v/>
      </c>
      <c r="N1473" s="80"/>
    </row>
    <row r="1474" customFormat="false" ht="15" hidden="false" customHeight="false" outlineLevel="0" collapsed="false">
      <c r="A1474" s="82" t="str">
        <f aca="false">IF(B1474="","",ROW()-6)</f>
        <v/>
      </c>
      <c r="B1474" s="145"/>
      <c r="C1474" s="146"/>
      <c r="D1474" s="146"/>
      <c r="E1474" s="82" t="str">
        <f aca="false">IF(B1474="","",IF(COUNTIFS('CARNET DE SOUDURE'!$L$7:$L$3006,B1474,'CARNET DE SOUDURE'!$M$7:$M$3006,"&lt;&gt;"&amp;C1474,'CARNET DE SOUDURE'!$M$7:$M$3006,"&lt;&gt;")+COUNTIFS('CARNET DE SOUDURE'!$O$7:$O$3006,B1474,'CARNET DE SOUDURE'!$P$7:$P$3006,"&lt;&gt;"&amp;C1474,'CARNET DE SOUDURE'!$P$7:$P$3006,"&lt;&gt;")&gt;0,"⚠ DIFFÉRENTE","OK"))</f>
        <v/>
      </c>
      <c r="F1474" s="147"/>
      <c r="G1474" s="80"/>
      <c r="H1474" s="83"/>
      <c r="I1474" s="148" t="str">
        <f aca="false">IF(B1474="","",IFERROR(INDEX('CARNET DE SOUDURE'!$B$7:$B$3006,MATCH(B1474,'CARNET DE SOUDURE'!$L$7:$L$3006,0)),IFERROR(INDEX('CARNET DE SOUDURE'!$B$7:$B$3006,MATCH(B1474,'CARNET DE SOUDURE'!$O$7:$O$3006,0)),"")))</f>
        <v/>
      </c>
      <c r="J1474" s="82" t="str">
        <f aca="false">IF(B1474="","",IFERROR(INDEX('CARNET DE SOUDURE'!$E$7:$E$3006,MATCH(B1474,'CARNET DE SOUDURE'!$O$7:$O$3006,0)),""))</f>
        <v/>
      </c>
      <c r="K1474" s="82" t="str">
        <f aca="false">IF(B1474="","",IFERROR(INDEX('CARNET DE SOUDURE'!$E$7:$E$3006,MATCH(B1474,'CARNET DE SOUDURE'!$L$7:$L$3006,0)),""))</f>
        <v/>
      </c>
      <c r="L1474" s="82" t="str">
        <f aca="false">IF(B1474="","",IFERROR(INDEX('CARNET DE SOUDURE'!$D$7:$D$3006,MATCH(B1474,'CARNET DE SOUDURE'!$L$7:$L$3006,0)),IFERROR(INDEX('CARNET DE SOUDURE'!$D$7:$D$3006,MATCH(B1474,'CARNET DE SOUDURE'!$O$7:$O$3006,0)),"")))</f>
        <v/>
      </c>
      <c r="M1474" s="82" t="str">
        <f aca="false">IF(B1474="","",IF(OR(J1474&lt;&gt;"",K1474&lt;&gt;""),"POSÉ EN LIGNE",IF(COUNTIF(BARDAGE!$C$1:$C$5000,B1474)&gt;0,"BARDÉ","EN STOCK")))</f>
        <v/>
      </c>
      <c r="N1474" s="80"/>
    </row>
    <row r="1475" customFormat="false" ht="15" hidden="false" customHeight="false" outlineLevel="0" collapsed="false">
      <c r="A1475" s="82" t="str">
        <f aca="false">IF(B1475="","",ROW()-6)</f>
        <v/>
      </c>
      <c r="B1475" s="145"/>
      <c r="C1475" s="146"/>
      <c r="D1475" s="146"/>
      <c r="E1475" s="82" t="str">
        <f aca="false">IF(B1475="","",IF(COUNTIFS('CARNET DE SOUDURE'!$L$7:$L$3006,B1475,'CARNET DE SOUDURE'!$M$7:$M$3006,"&lt;&gt;"&amp;C1475,'CARNET DE SOUDURE'!$M$7:$M$3006,"&lt;&gt;")+COUNTIFS('CARNET DE SOUDURE'!$O$7:$O$3006,B1475,'CARNET DE SOUDURE'!$P$7:$P$3006,"&lt;&gt;"&amp;C1475,'CARNET DE SOUDURE'!$P$7:$P$3006,"&lt;&gt;")&gt;0,"⚠ DIFFÉRENTE","OK"))</f>
        <v/>
      </c>
      <c r="F1475" s="147"/>
      <c r="G1475" s="80"/>
      <c r="H1475" s="83"/>
      <c r="I1475" s="148" t="str">
        <f aca="false">IF(B1475="","",IFERROR(INDEX('CARNET DE SOUDURE'!$B$7:$B$3006,MATCH(B1475,'CARNET DE SOUDURE'!$L$7:$L$3006,0)),IFERROR(INDEX('CARNET DE SOUDURE'!$B$7:$B$3006,MATCH(B1475,'CARNET DE SOUDURE'!$O$7:$O$3006,0)),"")))</f>
        <v/>
      </c>
      <c r="J1475" s="82" t="str">
        <f aca="false">IF(B1475="","",IFERROR(INDEX('CARNET DE SOUDURE'!$E$7:$E$3006,MATCH(B1475,'CARNET DE SOUDURE'!$O$7:$O$3006,0)),""))</f>
        <v/>
      </c>
      <c r="K1475" s="82" t="str">
        <f aca="false">IF(B1475="","",IFERROR(INDEX('CARNET DE SOUDURE'!$E$7:$E$3006,MATCH(B1475,'CARNET DE SOUDURE'!$L$7:$L$3006,0)),""))</f>
        <v/>
      </c>
      <c r="L1475" s="82" t="str">
        <f aca="false">IF(B1475="","",IFERROR(INDEX('CARNET DE SOUDURE'!$D$7:$D$3006,MATCH(B1475,'CARNET DE SOUDURE'!$L$7:$L$3006,0)),IFERROR(INDEX('CARNET DE SOUDURE'!$D$7:$D$3006,MATCH(B1475,'CARNET DE SOUDURE'!$O$7:$O$3006,0)),"")))</f>
        <v/>
      </c>
      <c r="M1475" s="82" t="str">
        <f aca="false">IF(B1475="","",IF(OR(J1475&lt;&gt;"",K1475&lt;&gt;""),"POSÉ EN LIGNE",IF(COUNTIF(BARDAGE!$C$1:$C$5000,B1475)&gt;0,"BARDÉ","EN STOCK")))</f>
        <v/>
      </c>
      <c r="N1475" s="80"/>
    </row>
    <row r="1476" customFormat="false" ht="15" hidden="false" customHeight="false" outlineLevel="0" collapsed="false">
      <c r="A1476" s="82" t="str">
        <f aca="false">IF(B1476="","",ROW()-6)</f>
        <v/>
      </c>
      <c r="B1476" s="145"/>
      <c r="C1476" s="146"/>
      <c r="D1476" s="146"/>
      <c r="E1476" s="82" t="str">
        <f aca="false">IF(B1476="","",IF(COUNTIFS('CARNET DE SOUDURE'!$L$7:$L$3006,B1476,'CARNET DE SOUDURE'!$M$7:$M$3006,"&lt;&gt;"&amp;C1476,'CARNET DE SOUDURE'!$M$7:$M$3006,"&lt;&gt;")+COUNTIFS('CARNET DE SOUDURE'!$O$7:$O$3006,B1476,'CARNET DE SOUDURE'!$P$7:$P$3006,"&lt;&gt;"&amp;C1476,'CARNET DE SOUDURE'!$P$7:$P$3006,"&lt;&gt;")&gt;0,"⚠ DIFFÉRENTE","OK"))</f>
        <v/>
      </c>
      <c r="F1476" s="147"/>
      <c r="G1476" s="80"/>
      <c r="H1476" s="83"/>
      <c r="I1476" s="148" t="str">
        <f aca="false">IF(B1476="","",IFERROR(INDEX('CARNET DE SOUDURE'!$B$7:$B$3006,MATCH(B1476,'CARNET DE SOUDURE'!$L$7:$L$3006,0)),IFERROR(INDEX('CARNET DE SOUDURE'!$B$7:$B$3006,MATCH(B1476,'CARNET DE SOUDURE'!$O$7:$O$3006,0)),"")))</f>
        <v/>
      </c>
      <c r="J1476" s="82" t="str">
        <f aca="false">IF(B1476="","",IFERROR(INDEX('CARNET DE SOUDURE'!$E$7:$E$3006,MATCH(B1476,'CARNET DE SOUDURE'!$O$7:$O$3006,0)),""))</f>
        <v/>
      </c>
      <c r="K1476" s="82" t="str">
        <f aca="false">IF(B1476="","",IFERROR(INDEX('CARNET DE SOUDURE'!$E$7:$E$3006,MATCH(B1476,'CARNET DE SOUDURE'!$L$7:$L$3006,0)),""))</f>
        <v/>
      </c>
      <c r="L1476" s="82" t="str">
        <f aca="false">IF(B1476="","",IFERROR(INDEX('CARNET DE SOUDURE'!$D$7:$D$3006,MATCH(B1476,'CARNET DE SOUDURE'!$L$7:$L$3006,0)),IFERROR(INDEX('CARNET DE SOUDURE'!$D$7:$D$3006,MATCH(B1476,'CARNET DE SOUDURE'!$O$7:$O$3006,0)),"")))</f>
        <v/>
      </c>
      <c r="M1476" s="82" t="str">
        <f aca="false">IF(B1476="","",IF(OR(J1476&lt;&gt;"",K1476&lt;&gt;""),"POSÉ EN LIGNE",IF(COUNTIF(BARDAGE!$C$1:$C$5000,B1476)&gt;0,"BARDÉ","EN STOCK")))</f>
        <v/>
      </c>
      <c r="N1476" s="80"/>
    </row>
    <row r="1477" customFormat="false" ht="15" hidden="false" customHeight="false" outlineLevel="0" collapsed="false">
      <c r="A1477" s="82" t="str">
        <f aca="false">IF(B1477="","",ROW()-6)</f>
        <v/>
      </c>
      <c r="B1477" s="145"/>
      <c r="C1477" s="146"/>
      <c r="D1477" s="146"/>
      <c r="E1477" s="82" t="str">
        <f aca="false">IF(B1477="","",IF(COUNTIFS('CARNET DE SOUDURE'!$L$7:$L$3006,B1477,'CARNET DE SOUDURE'!$M$7:$M$3006,"&lt;&gt;"&amp;C1477,'CARNET DE SOUDURE'!$M$7:$M$3006,"&lt;&gt;")+COUNTIFS('CARNET DE SOUDURE'!$O$7:$O$3006,B1477,'CARNET DE SOUDURE'!$P$7:$P$3006,"&lt;&gt;"&amp;C1477,'CARNET DE SOUDURE'!$P$7:$P$3006,"&lt;&gt;")&gt;0,"⚠ DIFFÉRENTE","OK"))</f>
        <v/>
      </c>
      <c r="F1477" s="147"/>
      <c r="G1477" s="80"/>
      <c r="H1477" s="83"/>
      <c r="I1477" s="148" t="str">
        <f aca="false">IF(B1477="","",IFERROR(INDEX('CARNET DE SOUDURE'!$B$7:$B$3006,MATCH(B1477,'CARNET DE SOUDURE'!$L$7:$L$3006,0)),IFERROR(INDEX('CARNET DE SOUDURE'!$B$7:$B$3006,MATCH(B1477,'CARNET DE SOUDURE'!$O$7:$O$3006,0)),"")))</f>
        <v/>
      </c>
      <c r="J1477" s="82" t="str">
        <f aca="false">IF(B1477="","",IFERROR(INDEX('CARNET DE SOUDURE'!$E$7:$E$3006,MATCH(B1477,'CARNET DE SOUDURE'!$O$7:$O$3006,0)),""))</f>
        <v/>
      </c>
      <c r="K1477" s="82" t="str">
        <f aca="false">IF(B1477="","",IFERROR(INDEX('CARNET DE SOUDURE'!$E$7:$E$3006,MATCH(B1477,'CARNET DE SOUDURE'!$L$7:$L$3006,0)),""))</f>
        <v/>
      </c>
      <c r="L1477" s="82" t="str">
        <f aca="false">IF(B1477="","",IFERROR(INDEX('CARNET DE SOUDURE'!$D$7:$D$3006,MATCH(B1477,'CARNET DE SOUDURE'!$L$7:$L$3006,0)),IFERROR(INDEX('CARNET DE SOUDURE'!$D$7:$D$3006,MATCH(B1477,'CARNET DE SOUDURE'!$O$7:$O$3006,0)),"")))</f>
        <v/>
      </c>
      <c r="M1477" s="82" t="str">
        <f aca="false">IF(B1477="","",IF(OR(J1477&lt;&gt;"",K1477&lt;&gt;""),"POSÉ EN LIGNE",IF(COUNTIF(BARDAGE!$C$1:$C$5000,B1477)&gt;0,"BARDÉ","EN STOCK")))</f>
        <v/>
      </c>
      <c r="N1477" s="80"/>
    </row>
    <row r="1478" customFormat="false" ht="15" hidden="false" customHeight="false" outlineLevel="0" collapsed="false">
      <c r="A1478" s="82" t="str">
        <f aca="false">IF(B1478="","",ROW()-6)</f>
        <v/>
      </c>
      <c r="B1478" s="145"/>
      <c r="C1478" s="146"/>
      <c r="D1478" s="146"/>
      <c r="E1478" s="82" t="str">
        <f aca="false">IF(B1478="","",IF(COUNTIFS('CARNET DE SOUDURE'!$L$7:$L$3006,B1478,'CARNET DE SOUDURE'!$M$7:$M$3006,"&lt;&gt;"&amp;C1478,'CARNET DE SOUDURE'!$M$7:$M$3006,"&lt;&gt;")+COUNTIFS('CARNET DE SOUDURE'!$O$7:$O$3006,B1478,'CARNET DE SOUDURE'!$P$7:$P$3006,"&lt;&gt;"&amp;C1478,'CARNET DE SOUDURE'!$P$7:$P$3006,"&lt;&gt;")&gt;0,"⚠ DIFFÉRENTE","OK"))</f>
        <v/>
      </c>
      <c r="F1478" s="147"/>
      <c r="G1478" s="80"/>
      <c r="H1478" s="83"/>
      <c r="I1478" s="148" t="str">
        <f aca="false">IF(B1478="","",IFERROR(INDEX('CARNET DE SOUDURE'!$B$7:$B$3006,MATCH(B1478,'CARNET DE SOUDURE'!$L$7:$L$3006,0)),IFERROR(INDEX('CARNET DE SOUDURE'!$B$7:$B$3006,MATCH(B1478,'CARNET DE SOUDURE'!$O$7:$O$3006,0)),"")))</f>
        <v/>
      </c>
      <c r="J1478" s="82" t="str">
        <f aca="false">IF(B1478="","",IFERROR(INDEX('CARNET DE SOUDURE'!$E$7:$E$3006,MATCH(B1478,'CARNET DE SOUDURE'!$O$7:$O$3006,0)),""))</f>
        <v/>
      </c>
      <c r="K1478" s="82" t="str">
        <f aca="false">IF(B1478="","",IFERROR(INDEX('CARNET DE SOUDURE'!$E$7:$E$3006,MATCH(B1478,'CARNET DE SOUDURE'!$L$7:$L$3006,0)),""))</f>
        <v/>
      </c>
      <c r="L1478" s="82" t="str">
        <f aca="false">IF(B1478="","",IFERROR(INDEX('CARNET DE SOUDURE'!$D$7:$D$3006,MATCH(B1478,'CARNET DE SOUDURE'!$L$7:$L$3006,0)),IFERROR(INDEX('CARNET DE SOUDURE'!$D$7:$D$3006,MATCH(B1478,'CARNET DE SOUDURE'!$O$7:$O$3006,0)),"")))</f>
        <v/>
      </c>
      <c r="M1478" s="82" t="str">
        <f aca="false">IF(B1478="","",IF(OR(J1478&lt;&gt;"",K1478&lt;&gt;""),"POSÉ EN LIGNE",IF(COUNTIF(BARDAGE!$C$1:$C$5000,B1478)&gt;0,"BARDÉ","EN STOCK")))</f>
        <v/>
      </c>
      <c r="N1478" s="80"/>
    </row>
    <row r="1479" customFormat="false" ht="15" hidden="false" customHeight="false" outlineLevel="0" collapsed="false">
      <c r="A1479" s="82" t="str">
        <f aca="false">IF(B1479="","",ROW()-6)</f>
        <v/>
      </c>
      <c r="B1479" s="145"/>
      <c r="C1479" s="146"/>
      <c r="D1479" s="146"/>
      <c r="E1479" s="82" t="str">
        <f aca="false">IF(B1479="","",IF(COUNTIFS('CARNET DE SOUDURE'!$L$7:$L$3006,B1479,'CARNET DE SOUDURE'!$M$7:$M$3006,"&lt;&gt;"&amp;C1479,'CARNET DE SOUDURE'!$M$7:$M$3006,"&lt;&gt;")+COUNTIFS('CARNET DE SOUDURE'!$O$7:$O$3006,B1479,'CARNET DE SOUDURE'!$P$7:$P$3006,"&lt;&gt;"&amp;C1479,'CARNET DE SOUDURE'!$P$7:$P$3006,"&lt;&gt;")&gt;0,"⚠ DIFFÉRENTE","OK"))</f>
        <v/>
      </c>
      <c r="F1479" s="147"/>
      <c r="G1479" s="80"/>
      <c r="H1479" s="83"/>
      <c r="I1479" s="148" t="str">
        <f aca="false">IF(B1479="","",IFERROR(INDEX('CARNET DE SOUDURE'!$B$7:$B$3006,MATCH(B1479,'CARNET DE SOUDURE'!$L$7:$L$3006,0)),IFERROR(INDEX('CARNET DE SOUDURE'!$B$7:$B$3006,MATCH(B1479,'CARNET DE SOUDURE'!$O$7:$O$3006,0)),"")))</f>
        <v/>
      </c>
      <c r="J1479" s="82" t="str">
        <f aca="false">IF(B1479="","",IFERROR(INDEX('CARNET DE SOUDURE'!$E$7:$E$3006,MATCH(B1479,'CARNET DE SOUDURE'!$O$7:$O$3006,0)),""))</f>
        <v/>
      </c>
      <c r="K1479" s="82" t="str">
        <f aca="false">IF(B1479="","",IFERROR(INDEX('CARNET DE SOUDURE'!$E$7:$E$3006,MATCH(B1479,'CARNET DE SOUDURE'!$L$7:$L$3006,0)),""))</f>
        <v/>
      </c>
      <c r="L1479" s="82" t="str">
        <f aca="false">IF(B1479="","",IFERROR(INDEX('CARNET DE SOUDURE'!$D$7:$D$3006,MATCH(B1479,'CARNET DE SOUDURE'!$L$7:$L$3006,0)),IFERROR(INDEX('CARNET DE SOUDURE'!$D$7:$D$3006,MATCH(B1479,'CARNET DE SOUDURE'!$O$7:$O$3006,0)),"")))</f>
        <v/>
      </c>
      <c r="M1479" s="82" t="str">
        <f aca="false">IF(B1479="","",IF(OR(J1479&lt;&gt;"",K1479&lt;&gt;""),"POSÉ EN LIGNE",IF(COUNTIF(BARDAGE!$C$1:$C$5000,B1479)&gt;0,"BARDÉ","EN STOCK")))</f>
        <v/>
      </c>
      <c r="N1479" s="80"/>
    </row>
    <row r="1480" customFormat="false" ht="15" hidden="false" customHeight="false" outlineLevel="0" collapsed="false">
      <c r="A1480" s="82" t="str">
        <f aca="false">IF(B1480="","",ROW()-6)</f>
        <v/>
      </c>
      <c r="B1480" s="145"/>
      <c r="C1480" s="146"/>
      <c r="D1480" s="146"/>
      <c r="E1480" s="82" t="str">
        <f aca="false">IF(B1480="","",IF(COUNTIFS('CARNET DE SOUDURE'!$L$7:$L$3006,B1480,'CARNET DE SOUDURE'!$M$7:$M$3006,"&lt;&gt;"&amp;C1480,'CARNET DE SOUDURE'!$M$7:$M$3006,"&lt;&gt;")+COUNTIFS('CARNET DE SOUDURE'!$O$7:$O$3006,B1480,'CARNET DE SOUDURE'!$P$7:$P$3006,"&lt;&gt;"&amp;C1480,'CARNET DE SOUDURE'!$P$7:$P$3006,"&lt;&gt;")&gt;0,"⚠ DIFFÉRENTE","OK"))</f>
        <v/>
      </c>
      <c r="F1480" s="147"/>
      <c r="G1480" s="80"/>
      <c r="H1480" s="83"/>
      <c r="I1480" s="148" t="str">
        <f aca="false">IF(B1480="","",IFERROR(INDEX('CARNET DE SOUDURE'!$B$7:$B$3006,MATCH(B1480,'CARNET DE SOUDURE'!$L$7:$L$3006,0)),IFERROR(INDEX('CARNET DE SOUDURE'!$B$7:$B$3006,MATCH(B1480,'CARNET DE SOUDURE'!$O$7:$O$3006,0)),"")))</f>
        <v/>
      </c>
      <c r="J1480" s="82" t="str">
        <f aca="false">IF(B1480="","",IFERROR(INDEX('CARNET DE SOUDURE'!$E$7:$E$3006,MATCH(B1480,'CARNET DE SOUDURE'!$O$7:$O$3006,0)),""))</f>
        <v/>
      </c>
      <c r="K1480" s="82" t="str">
        <f aca="false">IF(B1480="","",IFERROR(INDEX('CARNET DE SOUDURE'!$E$7:$E$3006,MATCH(B1480,'CARNET DE SOUDURE'!$L$7:$L$3006,0)),""))</f>
        <v/>
      </c>
      <c r="L1480" s="82" t="str">
        <f aca="false">IF(B1480="","",IFERROR(INDEX('CARNET DE SOUDURE'!$D$7:$D$3006,MATCH(B1480,'CARNET DE SOUDURE'!$L$7:$L$3006,0)),IFERROR(INDEX('CARNET DE SOUDURE'!$D$7:$D$3006,MATCH(B1480,'CARNET DE SOUDURE'!$O$7:$O$3006,0)),"")))</f>
        <v/>
      </c>
      <c r="M1480" s="82" t="str">
        <f aca="false">IF(B1480="","",IF(OR(J1480&lt;&gt;"",K1480&lt;&gt;""),"POSÉ EN LIGNE",IF(COUNTIF(BARDAGE!$C$1:$C$5000,B1480)&gt;0,"BARDÉ","EN STOCK")))</f>
        <v/>
      </c>
      <c r="N1480" s="80"/>
    </row>
    <row r="1481" customFormat="false" ht="15" hidden="false" customHeight="false" outlineLevel="0" collapsed="false">
      <c r="A1481" s="82" t="str">
        <f aca="false">IF(B1481="","",ROW()-6)</f>
        <v/>
      </c>
      <c r="B1481" s="145"/>
      <c r="C1481" s="146"/>
      <c r="D1481" s="146"/>
      <c r="E1481" s="82" t="str">
        <f aca="false">IF(B1481="","",IF(COUNTIFS('CARNET DE SOUDURE'!$L$7:$L$3006,B1481,'CARNET DE SOUDURE'!$M$7:$M$3006,"&lt;&gt;"&amp;C1481,'CARNET DE SOUDURE'!$M$7:$M$3006,"&lt;&gt;")+COUNTIFS('CARNET DE SOUDURE'!$O$7:$O$3006,B1481,'CARNET DE SOUDURE'!$P$7:$P$3006,"&lt;&gt;"&amp;C1481,'CARNET DE SOUDURE'!$P$7:$P$3006,"&lt;&gt;")&gt;0,"⚠ DIFFÉRENTE","OK"))</f>
        <v/>
      </c>
      <c r="F1481" s="147"/>
      <c r="G1481" s="80"/>
      <c r="H1481" s="83"/>
      <c r="I1481" s="148" t="str">
        <f aca="false">IF(B1481="","",IFERROR(INDEX('CARNET DE SOUDURE'!$B$7:$B$3006,MATCH(B1481,'CARNET DE SOUDURE'!$L$7:$L$3006,0)),IFERROR(INDEX('CARNET DE SOUDURE'!$B$7:$B$3006,MATCH(B1481,'CARNET DE SOUDURE'!$O$7:$O$3006,0)),"")))</f>
        <v/>
      </c>
      <c r="J1481" s="82" t="str">
        <f aca="false">IF(B1481="","",IFERROR(INDEX('CARNET DE SOUDURE'!$E$7:$E$3006,MATCH(B1481,'CARNET DE SOUDURE'!$O$7:$O$3006,0)),""))</f>
        <v/>
      </c>
      <c r="K1481" s="82" t="str">
        <f aca="false">IF(B1481="","",IFERROR(INDEX('CARNET DE SOUDURE'!$E$7:$E$3006,MATCH(B1481,'CARNET DE SOUDURE'!$L$7:$L$3006,0)),""))</f>
        <v/>
      </c>
      <c r="L1481" s="82" t="str">
        <f aca="false">IF(B1481="","",IFERROR(INDEX('CARNET DE SOUDURE'!$D$7:$D$3006,MATCH(B1481,'CARNET DE SOUDURE'!$L$7:$L$3006,0)),IFERROR(INDEX('CARNET DE SOUDURE'!$D$7:$D$3006,MATCH(B1481,'CARNET DE SOUDURE'!$O$7:$O$3006,0)),"")))</f>
        <v/>
      </c>
      <c r="M1481" s="82" t="str">
        <f aca="false">IF(B1481="","",IF(OR(J1481&lt;&gt;"",K1481&lt;&gt;""),"POSÉ EN LIGNE",IF(COUNTIF(BARDAGE!$C$1:$C$5000,B1481)&gt;0,"BARDÉ","EN STOCK")))</f>
        <v/>
      </c>
      <c r="N1481" s="80"/>
    </row>
    <row r="1482" customFormat="false" ht="15" hidden="false" customHeight="false" outlineLevel="0" collapsed="false">
      <c r="A1482" s="82" t="str">
        <f aca="false">IF(B1482="","",ROW()-6)</f>
        <v/>
      </c>
      <c r="B1482" s="145"/>
      <c r="C1482" s="146"/>
      <c r="D1482" s="146"/>
      <c r="E1482" s="82" t="str">
        <f aca="false">IF(B1482="","",IF(COUNTIFS('CARNET DE SOUDURE'!$L$7:$L$3006,B1482,'CARNET DE SOUDURE'!$M$7:$M$3006,"&lt;&gt;"&amp;C1482,'CARNET DE SOUDURE'!$M$7:$M$3006,"&lt;&gt;")+COUNTIFS('CARNET DE SOUDURE'!$O$7:$O$3006,B1482,'CARNET DE SOUDURE'!$P$7:$P$3006,"&lt;&gt;"&amp;C1482,'CARNET DE SOUDURE'!$P$7:$P$3006,"&lt;&gt;")&gt;0,"⚠ DIFFÉRENTE","OK"))</f>
        <v/>
      </c>
      <c r="F1482" s="147"/>
      <c r="G1482" s="80"/>
      <c r="H1482" s="83"/>
      <c r="I1482" s="148" t="str">
        <f aca="false">IF(B1482="","",IFERROR(INDEX('CARNET DE SOUDURE'!$B$7:$B$3006,MATCH(B1482,'CARNET DE SOUDURE'!$L$7:$L$3006,0)),IFERROR(INDEX('CARNET DE SOUDURE'!$B$7:$B$3006,MATCH(B1482,'CARNET DE SOUDURE'!$O$7:$O$3006,0)),"")))</f>
        <v/>
      </c>
      <c r="J1482" s="82" t="str">
        <f aca="false">IF(B1482="","",IFERROR(INDEX('CARNET DE SOUDURE'!$E$7:$E$3006,MATCH(B1482,'CARNET DE SOUDURE'!$O$7:$O$3006,0)),""))</f>
        <v/>
      </c>
      <c r="K1482" s="82" t="str">
        <f aca="false">IF(B1482="","",IFERROR(INDEX('CARNET DE SOUDURE'!$E$7:$E$3006,MATCH(B1482,'CARNET DE SOUDURE'!$L$7:$L$3006,0)),""))</f>
        <v/>
      </c>
      <c r="L1482" s="82" t="str">
        <f aca="false">IF(B1482="","",IFERROR(INDEX('CARNET DE SOUDURE'!$D$7:$D$3006,MATCH(B1482,'CARNET DE SOUDURE'!$L$7:$L$3006,0)),IFERROR(INDEX('CARNET DE SOUDURE'!$D$7:$D$3006,MATCH(B1482,'CARNET DE SOUDURE'!$O$7:$O$3006,0)),"")))</f>
        <v/>
      </c>
      <c r="M1482" s="82" t="str">
        <f aca="false">IF(B1482="","",IF(OR(J1482&lt;&gt;"",K1482&lt;&gt;""),"POSÉ EN LIGNE",IF(COUNTIF(BARDAGE!$C$1:$C$5000,B1482)&gt;0,"BARDÉ","EN STOCK")))</f>
        <v/>
      </c>
      <c r="N1482" s="80"/>
    </row>
    <row r="1483" customFormat="false" ht="15" hidden="false" customHeight="false" outlineLevel="0" collapsed="false">
      <c r="A1483" s="82" t="str">
        <f aca="false">IF(B1483="","",ROW()-6)</f>
        <v/>
      </c>
      <c r="B1483" s="145"/>
      <c r="C1483" s="146"/>
      <c r="D1483" s="146"/>
      <c r="E1483" s="82" t="str">
        <f aca="false">IF(B1483="","",IF(COUNTIFS('CARNET DE SOUDURE'!$L$7:$L$3006,B1483,'CARNET DE SOUDURE'!$M$7:$M$3006,"&lt;&gt;"&amp;C1483,'CARNET DE SOUDURE'!$M$7:$M$3006,"&lt;&gt;")+COUNTIFS('CARNET DE SOUDURE'!$O$7:$O$3006,B1483,'CARNET DE SOUDURE'!$P$7:$P$3006,"&lt;&gt;"&amp;C1483,'CARNET DE SOUDURE'!$P$7:$P$3006,"&lt;&gt;")&gt;0,"⚠ DIFFÉRENTE","OK"))</f>
        <v/>
      </c>
      <c r="F1483" s="147"/>
      <c r="G1483" s="80"/>
      <c r="H1483" s="83"/>
      <c r="I1483" s="148" t="str">
        <f aca="false">IF(B1483="","",IFERROR(INDEX('CARNET DE SOUDURE'!$B$7:$B$3006,MATCH(B1483,'CARNET DE SOUDURE'!$L$7:$L$3006,0)),IFERROR(INDEX('CARNET DE SOUDURE'!$B$7:$B$3006,MATCH(B1483,'CARNET DE SOUDURE'!$O$7:$O$3006,0)),"")))</f>
        <v/>
      </c>
      <c r="J1483" s="82" t="str">
        <f aca="false">IF(B1483="","",IFERROR(INDEX('CARNET DE SOUDURE'!$E$7:$E$3006,MATCH(B1483,'CARNET DE SOUDURE'!$O$7:$O$3006,0)),""))</f>
        <v/>
      </c>
      <c r="K1483" s="82" t="str">
        <f aca="false">IF(B1483="","",IFERROR(INDEX('CARNET DE SOUDURE'!$E$7:$E$3006,MATCH(B1483,'CARNET DE SOUDURE'!$L$7:$L$3006,0)),""))</f>
        <v/>
      </c>
      <c r="L1483" s="82" t="str">
        <f aca="false">IF(B1483="","",IFERROR(INDEX('CARNET DE SOUDURE'!$D$7:$D$3006,MATCH(B1483,'CARNET DE SOUDURE'!$L$7:$L$3006,0)),IFERROR(INDEX('CARNET DE SOUDURE'!$D$7:$D$3006,MATCH(B1483,'CARNET DE SOUDURE'!$O$7:$O$3006,0)),"")))</f>
        <v/>
      </c>
      <c r="M1483" s="82" t="str">
        <f aca="false">IF(B1483="","",IF(OR(J1483&lt;&gt;"",K1483&lt;&gt;""),"POSÉ EN LIGNE",IF(COUNTIF(BARDAGE!$C$1:$C$5000,B1483)&gt;0,"BARDÉ","EN STOCK")))</f>
        <v/>
      </c>
      <c r="N1483" s="80"/>
    </row>
    <row r="1484" customFormat="false" ht="15" hidden="false" customHeight="false" outlineLevel="0" collapsed="false">
      <c r="A1484" s="82" t="str">
        <f aca="false">IF(B1484="","",ROW()-6)</f>
        <v/>
      </c>
      <c r="B1484" s="145"/>
      <c r="C1484" s="146"/>
      <c r="D1484" s="146"/>
      <c r="E1484" s="82" t="str">
        <f aca="false">IF(B1484="","",IF(COUNTIFS('CARNET DE SOUDURE'!$L$7:$L$3006,B1484,'CARNET DE SOUDURE'!$M$7:$M$3006,"&lt;&gt;"&amp;C1484,'CARNET DE SOUDURE'!$M$7:$M$3006,"&lt;&gt;")+COUNTIFS('CARNET DE SOUDURE'!$O$7:$O$3006,B1484,'CARNET DE SOUDURE'!$P$7:$P$3006,"&lt;&gt;"&amp;C1484,'CARNET DE SOUDURE'!$P$7:$P$3006,"&lt;&gt;")&gt;0,"⚠ DIFFÉRENTE","OK"))</f>
        <v/>
      </c>
      <c r="F1484" s="147"/>
      <c r="G1484" s="80"/>
      <c r="H1484" s="83"/>
      <c r="I1484" s="148" t="str">
        <f aca="false">IF(B1484="","",IFERROR(INDEX('CARNET DE SOUDURE'!$B$7:$B$3006,MATCH(B1484,'CARNET DE SOUDURE'!$L$7:$L$3006,0)),IFERROR(INDEX('CARNET DE SOUDURE'!$B$7:$B$3006,MATCH(B1484,'CARNET DE SOUDURE'!$O$7:$O$3006,0)),"")))</f>
        <v/>
      </c>
      <c r="J1484" s="82" t="str">
        <f aca="false">IF(B1484="","",IFERROR(INDEX('CARNET DE SOUDURE'!$E$7:$E$3006,MATCH(B1484,'CARNET DE SOUDURE'!$O$7:$O$3006,0)),""))</f>
        <v/>
      </c>
      <c r="K1484" s="82" t="str">
        <f aca="false">IF(B1484="","",IFERROR(INDEX('CARNET DE SOUDURE'!$E$7:$E$3006,MATCH(B1484,'CARNET DE SOUDURE'!$L$7:$L$3006,0)),""))</f>
        <v/>
      </c>
      <c r="L1484" s="82" t="str">
        <f aca="false">IF(B1484="","",IFERROR(INDEX('CARNET DE SOUDURE'!$D$7:$D$3006,MATCH(B1484,'CARNET DE SOUDURE'!$L$7:$L$3006,0)),IFERROR(INDEX('CARNET DE SOUDURE'!$D$7:$D$3006,MATCH(B1484,'CARNET DE SOUDURE'!$O$7:$O$3006,0)),"")))</f>
        <v/>
      </c>
      <c r="M1484" s="82" t="str">
        <f aca="false">IF(B1484="","",IF(OR(J1484&lt;&gt;"",K1484&lt;&gt;""),"POSÉ EN LIGNE",IF(COUNTIF(BARDAGE!$C$1:$C$5000,B1484)&gt;0,"BARDÉ","EN STOCK")))</f>
        <v/>
      </c>
      <c r="N1484" s="80"/>
    </row>
    <row r="1485" customFormat="false" ht="15" hidden="false" customHeight="false" outlineLevel="0" collapsed="false">
      <c r="A1485" s="82" t="str">
        <f aca="false">IF(B1485="","",ROW()-6)</f>
        <v/>
      </c>
      <c r="B1485" s="145"/>
      <c r="C1485" s="146"/>
      <c r="D1485" s="146"/>
      <c r="E1485" s="82" t="str">
        <f aca="false">IF(B1485="","",IF(COUNTIFS('CARNET DE SOUDURE'!$L$7:$L$3006,B1485,'CARNET DE SOUDURE'!$M$7:$M$3006,"&lt;&gt;"&amp;C1485,'CARNET DE SOUDURE'!$M$7:$M$3006,"&lt;&gt;")+COUNTIFS('CARNET DE SOUDURE'!$O$7:$O$3006,B1485,'CARNET DE SOUDURE'!$P$7:$P$3006,"&lt;&gt;"&amp;C1485,'CARNET DE SOUDURE'!$P$7:$P$3006,"&lt;&gt;")&gt;0,"⚠ DIFFÉRENTE","OK"))</f>
        <v/>
      </c>
      <c r="F1485" s="147"/>
      <c r="G1485" s="80"/>
      <c r="H1485" s="83"/>
      <c r="I1485" s="148" t="str">
        <f aca="false">IF(B1485="","",IFERROR(INDEX('CARNET DE SOUDURE'!$B$7:$B$3006,MATCH(B1485,'CARNET DE SOUDURE'!$L$7:$L$3006,0)),IFERROR(INDEX('CARNET DE SOUDURE'!$B$7:$B$3006,MATCH(B1485,'CARNET DE SOUDURE'!$O$7:$O$3006,0)),"")))</f>
        <v/>
      </c>
      <c r="J1485" s="82" t="str">
        <f aca="false">IF(B1485="","",IFERROR(INDEX('CARNET DE SOUDURE'!$E$7:$E$3006,MATCH(B1485,'CARNET DE SOUDURE'!$O$7:$O$3006,0)),""))</f>
        <v/>
      </c>
      <c r="K1485" s="82" t="str">
        <f aca="false">IF(B1485="","",IFERROR(INDEX('CARNET DE SOUDURE'!$E$7:$E$3006,MATCH(B1485,'CARNET DE SOUDURE'!$L$7:$L$3006,0)),""))</f>
        <v/>
      </c>
      <c r="L1485" s="82" t="str">
        <f aca="false">IF(B1485="","",IFERROR(INDEX('CARNET DE SOUDURE'!$D$7:$D$3006,MATCH(B1485,'CARNET DE SOUDURE'!$L$7:$L$3006,0)),IFERROR(INDEX('CARNET DE SOUDURE'!$D$7:$D$3006,MATCH(B1485,'CARNET DE SOUDURE'!$O$7:$O$3006,0)),"")))</f>
        <v/>
      </c>
      <c r="M1485" s="82" t="str">
        <f aca="false">IF(B1485="","",IF(OR(J1485&lt;&gt;"",K1485&lt;&gt;""),"POSÉ EN LIGNE",IF(COUNTIF(BARDAGE!$C$1:$C$5000,B1485)&gt;0,"BARDÉ","EN STOCK")))</f>
        <v/>
      </c>
      <c r="N1485" s="80"/>
    </row>
    <row r="1486" customFormat="false" ht="15" hidden="false" customHeight="false" outlineLevel="0" collapsed="false">
      <c r="A1486" s="82" t="str">
        <f aca="false">IF(B1486="","",ROW()-6)</f>
        <v/>
      </c>
      <c r="B1486" s="145"/>
      <c r="C1486" s="146"/>
      <c r="D1486" s="146"/>
      <c r="E1486" s="82" t="str">
        <f aca="false">IF(B1486="","",IF(COUNTIFS('CARNET DE SOUDURE'!$L$7:$L$3006,B1486,'CARNET DE SOUDURE'!$M$7:$M$3006,"&lt;&gt;"&amp;C1486,'CARNET DE SOUDURE'!$M$7:$M$3006,"&lt;&gt;")+COUNTIFS('CARNET DE SOUDURE'!$O$7:$O$3006,B1486,'CARNET DE SOUDURE'!$P$7:$P$3006,"&lt;&gt;"&amp;C1486,'CARNET DE SOUDURE'!$P$7:$P$3006,"&lt;&gt;")&gt;0,"⚠ DIFFÉRENTE","OK"))</f>
        <v/>
      </c>
      <c r="F1486" s="147"/>
      <c r="G1486" s="80"/>
      <c r="H1486" s="83"/>
      <c r="I1486" s="148" t="str">
        <f aca="false">IF(B1486="","",IFERROR(INDEX('CARNET DE SOUDURE'!$B$7:$B$3006,MATCH(B1486,'CARNET DE SOUDURE'!$L$7:$L$3006,0)),IFERROR(INDEX('CARNET DE SOUDURE'!$B$7:$B$3006,MATCH(B1486,'CARNET DE SOUDURE'!$O$7:$O$3006,0)),"")))</f>
        <v/>
      </c>
      <c r="J1486" s="82" t="str">
        <f aca="false">IF(B1486="","",IFERROR(INDEX('CARNET DE SOUDURE'!$E$7:$E$3006,MATCH(B1486,'CARNET DE SOUDURE'!$O$7:$O$3006,0)),""))</f>
        <v/>
      </c>
      <c r="K1486" s="82" t="str">
        <f aca="false">IF(B1486="","",IFERROR(INDEX('CARNET DE SOUDURE'!$E$7:$E$3006,MATCH(B1486,'CARNET DE SOUDURE'!$L$7:$L$3006,0)),""))</f>
        <v/>
      </c>
      <c r="L1486" s="82" t="str">
        <f aca="false">IF(B1486="","",IFERROR(INDEX('CARNET DE SOUDURE'!$D$7:$D$3006,MATCH(B1486,'CARNET DE SOUDURE'!$L$7:$L$3006,0)),IFERROR(INDEX('CARNET DE SOUDURE'!$D$7:$D$3006,MATCH(B1486,'CARNET DE SOUDURE'!$O$7:$O$3006,0)),"")))</f>
        <v/>
      </c>
      <c r="M1486" s="82" t="str">
        <f aca="false">IF(B1486="","",IF(OR(J1486&lt;&gt;"",K1486&lt;&gt;""),"POSÉ EN LIGNE",IF(COUNTIF(BARDAGE!$C$1:$C$5000,B1486)&gt;0,"BARDÉ","EN STOCK")))</f>
        <v/>
      </c>
      <c r="N1486" s="80"/>
    </row>
    <row r="1487" customFormat="false" ht="15" hidden="false" customHeight="false" outlineLevel="0" collapsed="false">
      <c r="A1487" s="82" t="str">
        <f aca="false">IF(B1487="","",ROW()-6)</f>
        <v/>
      </c>
      <c r="B1487" s="145"/>
      <c r="C1487" s="146"/>
      <c r="D1487" s="146"/>
      <c r="E1487" s="82" t="str">
        <f aca="false">IF(B1487="","",IF(COUNTIFS('CARNET DE SOUDURE'!$L$7:$L$3006,B1487,'CARNET DE SOUDURE'!$M$7:$M$3006,"&lt;&gt;"&amp;C1487,'CARNET DE SOUDURE'!$M$7:$M$3006,"&lt;&gt;")+COUNTIFS('CARNET DE SOUDURE'!$O$7:$O$3006,B1487,'CARNET DE SOUDURE'!$P$7:$P$3006,"&lt;&gt;"&amp;C1487,'CARNET DE SOUDURE'!$P$7:$P$3006,"&lt;&gt;")&gt;0,"⚠ DIFFÉRENTE","OK"))</f>
        <v/>
      </c>
      <c r="F1487" s="147"/>
      <c r="G1487" s="80"/>
      <c r="H1487" s="83"/>
      <c r="I1487" s="148" t="str">
        <f aca="false">IF(B1487="","",IFERROR(INDEX('CARNET DE SOUDURE'!$B$7:$B$3006,MATCH(B1487,'CARNET DE SOUDURE'!$L$7:$L$3006,0)),IFERROR(INDEX('CARNET DE SOUDURE'!$B$7:$B$3006,MATCH(B1487,'CARNET DE SOUDURE'!$O$7:$O$3006,0)),"")))</f>
        <v/>
      </c>
      <c r="J1487" s="82" t="str">
        <f aca="false">IF(B1487="","",IFERROR(INDEX('CARNET DE SOUDURE'!$E$7:$E$3006,MATCH(B1487,'CARNET DE SOUDURE'!$O$7:$O$3006,0)),""))</f>
        <v/>
      </c>
      <c r="K1487" s="82" t="str">
        <f aca="false">IF(B1487="","",IFERROR(INDEX('CARNET DE SOUDURE'!$E$7:$E$3006,MATCH(B1487,'CARNET DE SOUDURE'!$L$7:$L$3006,0)),""))</f>
        <v/>
      </c>
      <c r="L1487" s="82" t="str">
        <f aca="false">IF(B1487="","",IFERROR(INDEX('CARNET DE SOUDURE'!$D$7:$D$3006,MATCH(B1487,'CARNET DE SOUDURE'!$L$7:$L$3006,0)),IFERROR(INDEX('CARNET DE SOUDURE'!$D$7:$D$3006,MATCH(B1487,'CARNET DE SOUDURE'!$O$7:$O$3006,0)),"")))</f>
        <v/>
      </c>
      <c r="M1487" s="82" t="str">
        <f aca="false">IF(B1487="","",IF(OR(J1487&lt;&gt;"",K1487&lt;&gt;""),"POSÉ EN LIGNE",IF(COUNTIF(BARDAGE!$C$1:$C$5000,B1487)&gt;0,"BARDÉ","EN STOCK")))</f>
        <v/>
      </c>
      <c r="N1487" s="80"/>
    </row>
    <row r="1488" customFormat="false" ht="15" hidden="false" customHeight="false" outlineLevel="0" collapsed="false">
      <c r="A1488" s="82" t="str">
        <f aca="false">IF(B1488="","",ROW()-6)</f>
        <v/>
      </c>
      <c r="B1488" s="145"/>
      <c r="C1488" s="146"/>
      <c r="D1488" s="146"/>
      <c r="E1488" s="82" t="str">
        <f aca="false">IF(B1488="","",IF(COUNTIFS('CARNET DE SOUDURE'!$L$7:$L$3006,B1488,'CARNET DE SOUDURE'!$M$7:$M$3006,"&lt;&gt;"&amp;C1488,'CARNET DE SOUDURE'!$M$7:$M$3006,"&lt;&gt;")+COUNTIFS('CARNET DE SOUDURE'!$O$7:$O$3006,B1488,'CARNET DE SOUDURE'!$P$7:$P$3006,"&lt;&gt;"&amp;C1488,'CARNET DE SOUDURE'!$P$7:$P$3006,"&lt;&gt;")&gt;0,"⚠ DIFFÉRENTE","OK"))</f>
        <v/>
      </c>
      <c r="F1488" s="147"/>
      <c r="G1488" s="80"/>
      <c r="H1488" s="83"/>
      <c r="I1488" s="148" t="str">
        <f aca="false">IF(B1488="","",IFERROR(INDEX('CARNET DE SOUDURE'!$B$7:$B$3006,MATCH(B1488,'CARNET DE SOUDURE'!$L$7:$L$3006,0)),IFERROR(INDEX('CARNET DE SOUDURE'!$B$7:$B$3006,MATCH(B1488,'CARNET DE SOUDURE'!$O$7:$O$3006,0)),"")))</f>
        <v/>
      </c>
      <c r="J1488" s="82" t="str">
        <f aca="false">IF(B1488="","",IFERROR(INDEX('CARNET DE SOUDURE'!$E$7:$E$3006,MATCH(B1488,'CARNET DE SOUDURE'!$O$7:$O$3006,0)),""))</f>
        <v/>
      </c>
      <c r="K1488" s="82" t="str">
        <f aca="false">IF(B1488="","",IFERROR(INDEX('CARNET DE SOUDURE'!$E$7:$E$3006,MATCH(B1488,'CARNET DE SOUDURE'!$L$7:$L$3006,0)),""))</f>
        <v/>
      </c>
      <c r="L1488" s="82" t="str">
        <f aca="false">IF(B1488="","",IFERROR(INDEX('CARNET DE SOUDURE'!$D$7:$D$3006,MATCH(B1488,'CARNET DE SOUDURE'!$L$7:$L$3006,0)),IFERROR(INDEX('CARNET DE SOUDURE'!$D$7:$D$3006,MATCH(B1488,'CARNET DE SOUDURE'!$O$7:$O$3006,0)),"")))</f>
        <v/>
      </c>
      <c r="M1488" s="82" t="str">
        <f aca="false">IF(B1488="","",IF(OR(J1488&lt;&gt;"",K1488&lt;&gt;""),"POSÉ EN LIGNE",IF(COUNTIF(BARDAGE!$C$1:$C$5000,B1488)&gt;0,"BARDÉ","EN STOCK")))</f>
        <v/>
      </c>
      <c r="N1488" s="80"/>
    </row>
    <row r="1489" customFormat="false" ht="15" hidden="false" customHeight="false" outlineLevel="0" collapsed="false">
      <c r="A1489" s="82" t="str">
        <f aca="false">IF(B1489="","",ROW()-6)</f>
        <v/>
      </c>
      <c r="B1489" s="145"/>
      <c r="C1489" s="146"/>
      <c r="D1489" s="146"/>
      <c r="E1489" s="82" t="str">
        <f aca="false">IF(B1489="","",IF(COUNTIFS('CARNET DE SOUDURE'!$L$7:$L$3006,B1489,'CARNET DE SOUDURE'!$M$7:$M$3006,"&lt;&gt;"&amp;C1489,'CARNET DE SOUDURE'!$M$7:$M$3006,"&lt;&gt;")+COUNTIFS('CARNET DE SOUDURE'!$O$7:$O$3006,B1489,'CARNET DE SOUDURE'!$P$7:$P$3006,"&lt;&gt;"&amp;C1489,'CARNET DE SOUDURE'!$P$7:$P$3006,"&lt;&gt;")&gt;0,"⚠ DIFFÉRENTE","OK"))</f>
        <v/>
      </c>
      <c r="F1489" s="147"/>
      <c r="G1489" s="80"/>
      <c r="H1489" s="83"/>
      <c r="I1489" s="148" t="str">
        <f aca="false">IF(B1489="","",IFERROR(INDEX('CARNET DE SOUDURE'!$B$7:$B$3006,MATCH(B1489,'CARNET DE SOUDURE'!$L$7:$L$3006,0)),IFERROR(INDEX('CARNET DE SOUDURE'!$B$7:$B$3006,MATCH(B1489,'CARNET DE SOUDURE'!$O$7:$O$3006,0)),"")))</f>
        <v/>
      </c>
      <c r="J1489" s="82" t="str">
        <f aca="false">IF(B1489="","",IFERROR(INDEX('CARNET DE SOUDURE'!$E$7:$E$3006,MATCH(B1489,'CARNET DE SOUDURE'!$O$7:$O$3006,0)),""))</f>
        <v/>
      </c>
      <c r="K1489" s="82" t="str">
        <f aca="false">IF(B1489="","",IFERROR(INDEX('CARNET DE SOUDURE'!$E$7:$E$3006,MATCH(B1489,'CARNET DE SOUDURE'!$L$7:$L$3006,0)),""))</f>
        <v/>
      </c>
      <c r="L1489" s="82" t="str">
        <f aca="false">IF(B1489="","",IFERROR(INDEX('CARNET DE SOUDURE'!$D$7:$D$3006,MATCH(B1489,'CARNET DE SOUDURE'!$L$7:$L$3006,0)),IFERROR(INDEX('CARNET DE SOUDURE'!$D$7:$D$3006,MATCH(B1489,'CARNET DE SOUDURE'!$O$7:$O$3006,0)),"")))</f>
        <v/>
      </c>
      <c r="M1489" s="82" t="str">
        <f aca="false">IF(B1489="","",IF(OR(J1489&lt;&gt;"",K1489&lt;&gt;""),"POSÉ EN LIGNE",IF(COUNTIF(BARDAGE!$C$1:$C$5000,B1489)&gt;0,"BARDÉ","EN STOCK")))</f>
        <v/>
      </c>
      <c r="N1489" s="80"/>
    </row>
    <row r="1490" customFormat="false" ht="15" hidden="false" customHeight="false" outlineLevel="0" collapsed="false">
      <c r="A1490" s="82" t="str">
        <f aca="false">IF(B1490="","",ROW()-6)</f>
        <v/>
      </c>
      <c r="B1490" s="145"/>
      <c r="C1490" s="146"/>
      <c r="D1490" s="146"/>
      <c r="E1490" s="82" t="str">
        <f aca="false">IF(B1490="","",IF(COUNTIFS('CARNET DE SOUDURE'!$L$7:$L$3006,B1490,'CARNET DE SOUDURE'!$M$7:$M$3006,"&lt;&gt;"&amp;C1490,'CARNET DE SOUDURE'!$M$7:$M$3006,"&lt;&gt;")+COUNTIFS('CARNET DE SOUDURE'!$O$7:$O$3006,B1490,'CARNET DE SOUDURE'!$P$7:$P$3006,"&lt;&gt;"&amp;C1490,'CARNET DE SOUDURE'!$P$7:$P$3006,"&lt;&gt;")&gt;0,"⚠ DIFFÉRENTE","OK"))</f>
        <v/>
      </c>
      <c r="F1490" s="147"/>
      <c r="G1490" s="80"/>
      <c r="H1490" s="83"/>
      <c r="I1490" s="148" t="str">
        <f aca="false">IF(B1490="","",IFERROR(INDEX('CARNET DE SOUDURE'!$B$7:$B$3006,MATCH(B1490,'CARNET DE SOUDURE'!$L$7:$L$3006,0)),IFERROR(INDEX('CARNET DE SOUDURE'!$B$7:$B$3006,MATCH(B1490,'CARNET DE SOUDURE'!$O$7:$O$3006,0)),"")))</f>
        <v/>
      </c>
      <c r="J1490" s="82" t="str">
        <f aca="false">IF(B1490="","",IFERROR(INDEX('CARNET DE SOUDURE'!$E$7:$E$3006,MATCH(B1490,'CARNET DE SOUDURE'!$O$7:$O$3006,0)),""))</f>
        <v/>
      </c>
      <c r="K1490" s="82" t="str">
        <f aca="false">IF(B1490="","",IFERROR(INDEX('CARNET DE SOUDURE'!$E$7:$E$3006,MATCH(B1490,'CARNET DE SOUDURE'!$L$7:$L$3006,0)),""))</f>
        <v/>
      </c>
      <c r="L1490" s="82" t="str">
        <f aca="false">IF(B1490="","",IFERROR(INDEX('CARNET DE SOUDURE'!$D$7:$D$3006,MATCH(B1490,'CARNET DE SOUDURE'!$L$7:$L$3006,0)),IFERROR(INDEX('CARNET DE SOUDURE'!$D$7:$D$3006,MATCH(B1490,'CARNET DE SOUDURE'!$O$7:$O$3006,0)),"")))</f>
        <v/>
      </c>
      <c r="M1490" s="82" t="str">
        <f aca="false">IF(B1490="","",IF(OR(J1490&lt;&gt;"",K1490&lt;&gt;""),"POSÉ EN LIGNE",IF(COUNTIF(BARDAGE!$C$1:$C$5000,B1490)&gt;0,"BARDÉ","EN STOCK")))</f>
        <v/>
      </c>
      <c r="N1490" s="80"/>
    </row>
    <row r="1491" customFormat="false" ht="15" hidden="false" customHeight="false" outlineLevel="0" collapsed="false">
      <c r="A1491" s="82" t="str">
        <f aca="false">IF(B1491="","",ROW()-6)</f>
        <v/>
      </c>
      <c r="B1491" s="145"/>
      <c r="C1491" s="146"/>
      <c r="D1491" s="146"/>
      <c r="E1491" s="82" t="str">
        <f aca="false">IF(B1491="","",IF(COUNTIFS('CARNET DE SOUDURE'!$L$7:$L$3006,B1491,'CARNET DE SOUDURE'!$M$7:$M$3006,"&lt;&gt;"&amp;C1491,'CARNET DE SOUDURE'!$M$7:$M$3006,"&lt;&gt;")+COUNTIFS('CARNET DE SOUDURE'!$O$7:$O$3006,B1491,'CARNET DE SOUDURE'!$P$7:$P$3006,"&lt;&gt;"&amp;C1491,'CARNET DE SOUDURE'!$P$7:$P$3006,"&lt;&gt;")&gt;0,"⚠ DIFFÉRENTE","OK"))</f>
        <v/>
      </c>
      <c r="F1491" s="147"/>
      <c r="G1491" s="80"/>
      <c r="H1491" s="83"/>
      <c r="I1491" s="148" t="str">
        <f aca="false">IF(B1491="","",IFERROR(INDEX('CARNET DE SOUDURE'!$B$7:$B$3006,MATCH(B1491,'CARNET DE SOUDURE'!$L$7:$L$3006,0)),IFERROR(INDEX('CARNET DE SOUDURE'!$B$7:$B$3006,MATCH(B1491,'CARNET DE SOUDURE'!$O$7:$O$3006,0)),"")))</f>
        <v/>
      </c>
      <c r="J1491" s="82" t="str">
        <f aca="false">IF(B1491="","",IFERROR(INDEX('CARNET DE SOUDURE'!$E$7:$E$3006,MATCH(B1491,'CARNET DE SOUDURE'!$O$7:$O$3006,0)),""))</f>
        <v/>
      </c>
      <c r="K1491" s="82" t="str">
        <f aca="false">IF(B1491="","",IFERROR(INDEX('CARNET DE SOUDURE'!$E$7:$E$3006,MATCH(B1491,'CARNET DE SOUDURE'!$L$7:$L$3006,0)),""))</f>
        <v/>
      </c>
      <c r="L1491" s="82" t="str">
        <f aca="false">IF(B1491="","",IFERROR(INDEX('CARNET DE SOUDURE'!$D$7:$D$3006,MATCH(B1491,'CARNET DE SOUDURE'!$L$7:$L$3006,0)),IFERROR(INDEX('CARNET DE SOUDURE'!$D$7:$D$3006,MATCH(B1491,'CARNET DE SOUDURE'!$O$7:$O$3006,0)),"")))</f>
        <v/>
      </c>
      <c r="M1491" s="82" t="str">
        <f aca="false">IF(B1491="","",IF(OR(J1491&lt;&gt;"",K1491&lt;&gt;""),"POSÉ EN LIGNE",IF(COUNTIF(BARDAGE!$C$1:$C$5000,B1491)&gt;0,"BARDÉ","EN STOCK")))</f>
        <v/>
      </c>
      <c r="N1491" s="80"/>
    </row>
    <row r="1492" customFormat="false" ht="15" hidden="false" customHeight="false" outlineLevel="0" collapsed="false">
      <c r="A1492" s="82" t="str">
        <f aca="false">IF(B1492="","",ROW()-6)</f>
        <v/>
      </c>
      <c r="B1492" s="145"/>
      <c r="C1492" s="146"/>
      <c r="D1492" s="146"/>
      <c r="E1492" s="82" t="str">
        <f aca="false">IF(B1492="","",IF(COUNTIFS('CARNET DE SOUDURE'!$L$7:$L$3006,B1492,'CARNET DE SOUDURE'!$M$7:$M$3006,"&lt;&gt;"&amp;C1492,'CARNET DE SOUDURE'!$M$7:$M$3006,"&lt;&gt;")+COUNTIFS('CARNET DE SOUDURE'!$O$7:$O$3006,B1492,'CARNET DE SOUDURE'!$P$7:$P$3006,"&lt;&gt;"&amp;C1492,'CARNET DE SOUDURE'!$P$7:$P$3006,"&lt;&gt;")&gt;0,"⚠ DIFFÉRENTE","OK"))</f>
        <v/>
      </c>
      <c r="F1492" s="147"/>
      <c r="G1492" s="80"/>
      <c r="H1492" s="83"/>
      <c r="I1492" s="148" t="str">
        <f aca="false">IF(B1492="","",IFERROR(INDEX('CARNET DE SOUDURE'!$B$7:$B$3006,MATCH(B1492,'CARNET DE SOUDURE'!$L$7:$L$3006,0)),IFERROR(INDEX('CARNET DE SOUDURE'!$B$7:$B$3006,MATCH(B1492,'CARNET DE SOUDURE'!$O$7:$O$3006,0)),"")))</f>
        <v/>
      </c>
      <c r="J1492" s="82" t="str">
        <f aca="false">IF(B1492="","",IFERROR(INDEX('CARNET DE SOUDURE'!$E$7:$E$3006,MATCH(B1492,'CARNET DE SOUDURE'!$O$7:$O$3006,0)),""))</f>
        <v/>
      </c>
      <c r="K1492" s="82" t="str">
        <f aca="false">IF(B1492="","",IFERROR(INDEX('CARNET DE SOUDURE'!$E$7:$E$3006,MATCH(B1492,'CARNET DE SOUDURE'!$L$7:$L$3006,0)),""))</f>
        <v/>
      </c>
      <c r="L1492" s="82" t="str">
        <f aca="false">IF(B1492="","",IFERROR(INDEX('CARNET DE SOUDURE'!$D$7:$D$3006,MATCH(B1492,'CARNET DE SOUDURE'!$L$7:$L$3006,0)),IFERROR(INDEX('CARNET DE SOUDURE'!$D$7:$D$3006,MATCH(B1492,'CARNET DE SOUDURE'!$O$7:$O$3006,0)),"")))</f>
        <v/>
      </c>
      <c r="M1492" s="82" t="str">
        <f aca="false">IF(B1492="","",IF(OR(J1492&lt;&gt;"",K1492&lt;&gt;""),"POSÉ EN LIGNE",IF(COUNTIF(BARDAGE!$C$1:$C$5000,B1492)&gt;0,"BARDÉ","EN STOCK")))</f>
        <v/>
      </c>
      <c r="N1492" s="80"/>
    </row>
    <row r="1493" customFormat="false" ht="15" hidden="false" customHeight="false" outlineLevel="0" collapsed="false">
      <c r="A1493" s="82" t="str">
        <f aca="false">IF(B1493="","",ROW()-6)</f>
        <v/>
      </c>
      <c r="B1493" s="145"/>
      <c r="C1493" s="146"/>
      <c r="D1493" s="146"/>
      <c r="E1493" s="82" t="str">
        <f aca="false">IF(B1493="","",IF(COUNTIFS('CARNET DE SOUDURE'!$L$7:$L$3006,B1493,'CARNET DE SOUDURE'!$M$7:$M$3006,"&lt;&gt;"&amp;C1493,'CARNET DE SOUDURE'!$M$7:$M$3006,"&lt;&gt;")+COUNTIFS('CARNET DE SOUDURE'!$O$7:$O$3006,B1493,'CARNET DE SOUDURE'!$P$7:$P$3006,"&lt;&gt;"&amp;C1493,'CARNET DE SOUDURE'!$P$7:$P$3006,"&lt;&gt;")&gt;0,"⚠ DIFFÉRENTE","OK"))</f>
        <v/>
      </c>
      <c r="F1493" s="147"/>
      <c r="G1493" s="80"/>
      <c r="H1493" s="83"/>
      <c r="I1493" s="148" t="str">
        <f aca="false">IF(B1493="","",IFERROR(INDEX('CARNET DE SOUDURE'!$B$7:$B$3006,MATCH(B1493,'CARNET DE SOUDURE'!$L$7:$L$3006,0)),IFERROR(INDEX('CARNET DE SOUDURE'!$B$7:$B$3006,MATCH(B1493,'CARNET DE SOUDURE'!$O$7:$O$3006,0)),"")))</f>
        <v/>
      </c>
      <c r="J1493" s="82" t="str">
        <f aca="false">IF(B1493="","",IFERROR(INDEX('CARNET DE SOUDURE'!$E$7:$E$3006,MATCH(B1493,'CARNET DE SOUDURE'!$O$7:$O$3006,0)),""))</f>
        <v/>
      </c>
      <c r="K1493" s="82" t="str">
        <f aca="false">IF(B1493="","",IFERROR(INDEX('CARNET DE SOUDURE'!$E$7:$E$3006,MATCH(B1493,'CARNET DE SOUDURE'!$L$7:$L$3006,0)),""))</f>
        <v/>
      </c>
      <c r="L1493" s="82" t="str">
        <f aca="false">IF(B1493="","",IFERROR(INDEX('CARNET DE SOUDURE'!$D$7:$D$3006,MATCH(B1493,'CARNET DE SOUDURE'!$L$7:$L$3006,0)),IFERROR(INDEX('CARNET DE SOUDURE'!$D$7:$D$3006,MATCH(B1493,'CARNET DE SOUDURE'!$O$7:$O$3006,0)),"")))</f>
        <v/>
      </c>
      <c r="M1493" s="82" t="str">
        <f aca="false">IF(B1493="","",IF(OR(J1493&lt;&gt;"",K1493&lt;&gt;""),"POSÉ EN LIGNE",IF(COUNTIF(BARDAGE!$C$1:$C$5000,B1493)&gt;0,"BARDÉ","EN STOCK")))</f>
        <v/>
      </c>
      <c r="N1493" s="80"/>
    </row>
    <row r="1494" customFormat="false" ht="15" hidden="false" customHeight="false" outlineLevel="0" collapsed="false">
      <c r="A1494" s="82" t="str">
        <f aca="false">IF(B1494="","",ROW()-6)</f>
        <v/>
      </c>
      <c r="B1494" s="145"/>
      <c r="C1494" s="146"/>
      <c r="D1494" s="146"/>
      <c r="E1494" s="82" t="str">
        <f aca="false">IF(B1494="","",IF(COUNTIFS('CARNET DE SOUDURE'!$L$7:$L$3006,B1494,'CARNET DE SOUDURE'!$M$7:$M$3006,"&lt;&gt;"&amp;C1494,'CARNET DE SOUDURE'!$M$7:$M$3006,"&lt;&gt;")+COUNTIFS('CARNET DE SOUDURE'!$O$7:$O$3006,B1494,'CARNET DE SOUDURE'!$P$7:$P$3006,"&lt;&gt;"&amp;C1494,'CARNET DE SOUDURE'!$P$7:$P$3006,"&lt;&gt;")&gt;0,"⚠ DIFFÉRENTE","OK"))</f>
        <v/>
      </c>
      <c r="F1494" s="147"/>
      <c r="G1494" s="80"/>
      <c r="H1494" s="83"/>
      <c r="I1494" s="148" t="str">
        <f aca="false">IF(B1494="","",IFERROR(INDEX('CARNET DE SOUDURE'!$B$7:$B$3006,MATCH(B1494,'CARNET DE SOUDURE'!$L$7:$L$3006,0)),IFERROR(INDEX('CARNET DE SOUDURE'!$B$7:$B$3006,MATCH(B1494,'CARNET DE SOUDURE'!$O$7:$O$3006,0)),"")))</f>
        <v/>
      </c>
      <c r="J1494" s="82" t="str">
        <f aca="false">IF(B1494="","",IFERROR(INDEX('CARNET DE SOUDURE'!$E$7:$E$3006,MATCH(B1494,'CARNET DE SOUDURE'!$O$7:$O$3006,0)),""))</f>
        <v/>
      </c>
      <c r="K1494" s="82" t="str">
        <f aca="false">IF(B1494="","",IFERROR(INDEX('CARNET DE SOUDURE'!$E$7:$E$3006,MATCH(B1494,'CARNET DE SOUDURE'!$L$7:$L$3006,0)),""))</f>
        <v/>
      </c>
      <c r="L1494" s="82" t="str">
        <f aca="false">IF(B1494="","",IFERROR(INDEX('CARNET DE SOUDURE'!$D$7:$D$3006,MATCH(B1494,'CARNET DE SOUDURE'!$L$7:$L$3006,0)),IFERROR(INDEX('CARNET DE SOUDURE'!$D$7:$D$3006,MATCH(B1494,'CARNET DE SOUDURE'!$O$7:$O$3006,0)),"")))</f>
        <v/>
      </c>
      <c r="M1494" s="82" t="str">
        <f aca="false">IF(B1494="","",IF(OR(J1494&lt;&gt;"",K1494&lt;&gt;""),"POSÉ EN LIGNE",IF(COUNTIF(BARDAGE!$C$1:$C$5000,B1494)&gt;0,"BARDÉ","EN STOCK")))</f>
        <v/>
      </c>
      <c r="N1494" s="80"/>
    </row>
    <row r="1495" customFormat="false" ht="15" hidden="false" customHeight="false" outlineLevel="0" collapsed="false">
      <c r="A1495" s="82" t="str">
        <f aca="false">IF(B1495="","",ROW()-6)</f>
        <v/>
      </c>
      <c r="B1495" s="145"/>
      <c r="C1495" s="146"/>
      <c r="D1495" s="146"/>
      <c r="E1495" s="82" t="str">
        <f aca="false">IF(B1495="","",IF(COUNTIFS('CARNET DE SOUDURE'!$L$7:$L$3006,B1495,'CARNET DE SOUDURE'!$M$7:$M$3006,"&lt;&gt;"&amp;C1495,'CARNET DE SOUDURE'!$M$7:$M$3006,"&lt;&gt;")+COUNTIFS('CARNET DE SOUDURE'!$O$7:$O$3006,B1495,'CARNET DE SOUDURE'!$P$7:$P$3006,"&lt;&gt;"&amp;C1495,'CARNET DE SOUDURE'!$P$7:$P$3006,"&lt;&gt;")&gt;0,"⚠ DIFFÉRENTE","OK"))</f>
        <v/>
      </c>
      <c r="F1495" s="147"/>
      <c r="G1495" s="80"/>
      <c r="H1495" s="83"/>
      <c r="I1495" s="148" t="str">
        <f aca="false">IF(B1495="","",IFERROR(INDEX('CARNET DE SOUDURE'!$B$7:$B$3006,MATCH(B1495,'CARNET DE SOUDURE'!$L$7:$L$3006,0)),IFERROR(INDEX('CARNET DE SOUDURE'!$B$7:$B$3006,MATCH(B1495,'CARNET DE SOUDURE'!$O$7:$O$3006,0)),"")))</f>
        <v/>
      </c>
      <c r="J1495" s="82" t="str">
        <f aca="false">IF(B1495="","",IFERROR(INDEX('CARNET DE SOUDURE'!$E$7:$E$3006,MATCH(B1495,'CARNET DE SOUDURE'!$O$7:$O$3006,0)),""))</f>
        <v/>
      </c>
      <c r="K1495" s="82" t="str">
        <f aca="false">IF(B1495="","",IFERROR(INDEX('CARNET DE SOUDURE'!$E$7:$E$3006,MATCH(B1495,'CARNET DE SOUDURE'!$L$7:$L$3006,0)),""))</f>
        <v/>
      </c>
      <c r="L1495" s="82" t="str">
        <f aca="false">IF(B1495="","",IFERROR(INDEX('CARNET DE SOUDURE'!$D$7:$D$3006,MATCH(B1495,'CARNET DE SOUDURE'!$L$7:$L$3006,0)),IFERROR(INDEX('CARNET DE SOUDURE'!$D$7:$D$3006,MATCH(B1495,'CARNET DE SOUDURE'!$O$7:$O$3006,0)),"")))</f>
        <v/>
      </c>
      <c r="M1495" s="82" t="str">
        <f aca="false">IF(B1495="","",IF(OR(J1495&lt;&gt;"",K1495&lt;&gt;""),"POSÉ EN LIGNE",IF(COUNTIF(BARDAGE!$C$1:$C$5000,B1495)&gt;0,"BARDÉ","EN STOCK")))</f>
        <v/>
      </c>
      <c r="N1495" s="80"/>
    </row>
    <row r="1496" customFormat="false" ht="15" hidden="false" customHeight="false" outlineLevel="0" collapsed="false">
      <c r="A1496" s="82" t="str">
        <f aca="false">IF(B1496="","",ROW()-6)</f>
        <v/>
      </c>
      <c r="B1496" s="145"/>
      <c r="C1496" s="146"/>
      <c r="D1496" s="146"/>
      <c r="E1496" s="82" t="str">
        <f aca="false">IF(B1496="","",IF(COUNTIFS('CARNET DE SOUDURE'!$L$7:$L$3006,B1496,'CARNET DE SOUDURE'!$M$7:$M$3006,"&lt;&gt;"&amp;C1496,'CARNET DE SOUDURE'!$M$7:$M$3006,"&lt;&gt;")+COUNTIFS('CARNET DE SOUDURE'!$O$7:$O$3006,B1496,'CARNET DE SOUDURE'!$P$7:$P$3006,"&lt;&gt;"&amp;C1496,'CARNET DE SOUDURE'!$P$7:$P$3006,"&lt;&gt;")&gt;0,"⚠ DIFFÉRENTE","OK"))</f>
        <v/>
      </c>
      <c r="F1496" s="147"/>
      <c r="G1496" s="80"/>
      <c r="H1496" s="83"/>
      <c r="I1496" s="148" t="str">
        <f aca="false">IF(B1496="","",IFERROR(INDEX('CARNET DE SOUDURE'!$B$7:$B$3006,MATCH(B1496,'CARNET DE SOUDURE'!$L$7:$L$3006,0)),IFERROR(INDEX('CARNET DE SOUDURE'!$B$7:$B$3006,MATCH(B1496,'CARNET DE SOUDURE'!$O$7:$O$3006,0)),"")))</f>
        <v/>
      </c>
      <c r="J1496" s="82" t="str">
        <f aca="false">IF(B1496="","",IFERROR(INDEX('CARNET DE SOUDURE'!$E$7:$E$3006,MATCH(B1496,'CARNET DE SOUDURE'!$O$7:$O$3006,0)),""))</f>
        <v/>
      </c>
      <c r="K1496" s="82" t="str">
        <f aca="false">IF(B1496="","",IFERROR(INDEX('CARNET DE SOUDURE'!$E$7:$E$3006,MATCH(B1496,'CARNET DE SOUDURE'!$L$7:$L$3006,0)),""))</f>
        <v/>
      </c>
      <c r="L1496" s="82" t="str">
        <f aca="false">IF(B1496="","",IFERROR(INDEX('CARNET DE SOUDURE'!$D$7:$D$3006,MATCH(B1496,'CARNET DE SOUDURE'!$L$7:$L$3006,0)),IFERROR(INDEX('CARNET DE SOUDURE'!$D$7:$D$3006,MATCH(B1496,'CARNET DE SOUDURE'!$O$7:$O$3006,0)),"")))</f>
        <v/>
      </c>
      <c r="M1496" s="82" t="str">
        <f aca="false">IF(B1496="","",IF(OR(J1496&lt;&gt;"",K1496&lt;&gt;""),"POSÉ EN LIGNE",IF(COUNTIF(BARDAGE!$C$1:$C$5000,B1496)&gt;0,"BARDÉ","EN STOCK")))</f>
        <v/>
      </c>
      <c r="N1496" s="80"/>
    </row>
    <row r="1497" customFormat="false" ht="15" hidden="false" customHeight="false" outlineLevel="0" collapsed="false">
      <c r="A1497" s="82" t="str">
        <f aca="false">IF(B1497="","",ROW()-6)</f>
        <v/>
      </c>
      <c r="B1497" s="145"/>
      <c r="C1497" s="146"/>
      <c r="D1497" s="146"/>
      <c r="E1497" s="82" t="str">
        <f aca="false">IF(B1497="","",IF(COUNTIFS('CARNET DE SOUDURE'!$L$7:$L$3006,B1497,'CARNET DE SOUDURE'!$M$7:$M$3006,"&lt;&gt;"&amp;C1497,'CARNET DE SOUDURE'!$M$7:$M$3006,"&lt;&gt;")+COUNTIFS('CARNET DE SOUDURE'!$O$7:$O$3006,B1497,'CARNET DE SOUDURE'!$P$7:$P$3006,"&lt;&gt;"&amp;C1497,'CARNET DE SOUDURE'!$P$7:$P$3006,"&lt;&gt;")&gt;0,"⚠ DIFFÉRENTE","OK"))</f>
        <v/>
      </c>
      <c r="F1497" s="147"/>
      <c r="G1497" s="80"/>
      <c r="H1497" s="83"/>
      <c r="I1497" s="148" t="str">
        <f aca="false">IF(B1497="","",IFERROR(INDEX('CARNET DE SOUDURE'!$B$7:$B$3006,MATCH(B1497,'CARNET DE SOUDURE'!$L$7:$L$3006,0)),IFERROR(INDEX('CARNET DE SOUDURE'!$B$7:$B$3006,MATCH(B1497,'CARNET DE SOUDURE'!$O$7:$O$3006,0)),"")))</f>
        <v/>
      </c>
      <c r="J1497" s="82" t="str">
        <f aca="false">IF(B1497="","",IFERROR(INDEX('CARNET DE SOUDURE'!$E$7:$E$3006,MATCH(B1497,'CARNET DE SOUDURE'!$O$7:$O$3006,0)),""))</f>
        <v/>
      </c>
      <c r="K1497" s="82" t="str">
        <f aca="false">IF(B1497="","",IFERROR(INDEX('CARNET DE SOUDURE'!$E$7:$E$3006,MATCH(B1497,'CARNET DE SOUDURE'!$L$7:$L$3006,0)),""))</f>
        <v/>
      </c>
      <c r="L1497" s="82" t="str">
        <f aca="false">IF(B1497="","",IFERROR(INDEX('CARNET DE SOUDURE'!$D$7:$D$3006,MATCH(B1497,'CARNET DE SOUDURE'!$L$7:$L$3006,0)),IFERROR(INDEX('CARNET DE SOUDURE'!$D$7:$D$3006,MATCH(B1497,'CARNET DE SOUDURE'!$O$7:$O$3006,0)),"")))</f>
        <v/>
      </c>
      <c r="M1497" s="82" t="str">
        <f aca="false">IF(B1497="","",IF(OR(J1497&lt;&gt;"",K1497&lt;&gt;""),"POSÉ EN LIGNE",IF(COUNTIF(BARDAGE!$C$1:$C$5000,B1497)&gt;0,"BARDÉ","EN STOCK")))</f>
        <v/>
      </c>
      <c r="N1497" s="80"/>
    </row>
    <row r="1498" customFormat="false" ht="15" hidden="false" customHeight="false" outlineLevel="0" collapsed="false">
      <c r="A1498" s="82" t="str">
        <f aca="false">IF(B1498="","",ROW()-6)</f>
        <v/>
      </c>
      <c r="B1498" s="145"/>
      <c r="C1498" s="146"/>
      <c r="D1498" s="146"/>
      <c r="E1498" s="82" t="str">
        <f aca="false">IF(B1498="","",IF(COUNTIFS('CARNET DE SOUDURE'!$L$7:$L$3006,B1498,'CARNET DE SOUDURE'!$M$7:$M$3006,"&lt;&gt;"&amp;C1498,'CARNET DE SOUDURE'!$M$7:$M$3006,"&lt;&gt;")+COUNTIFS('CARNET DE SOUDURE'!$O$7:$O$3006,B1498,'CARNET DE SOUDURE'!$P$7:$P$3006,"&lt;&gt;"&amp;C1498,'CARNET DE SOUDURE'!$P$7:$P$3006,"&lt;&gt;")&gt;0,"⚠ DIFFÉRENTE","OK"))</f>
        <v/>
      </c>
      <c r="F1498" s="147"/>
      <c r="G1498" s="80"/>
      <c r="H1498" s="83"/>
      <c r="I1498" s="148" t="str">
        <f aca="false">IF(B1498="","",IFERROR(INDEX('CARNET DE SOUDURE'!$B$7:$B$3006,MATCH(B1498,'CARNET DE SOUDURE'!$L$7:$L$3006,0)),IFERROR(INDEX('CARNET DE SOUDURE'!$B$7:$B$3006,MATCH(B1498,'CARNET DE SOUDURE'!$O$7:$O$3006,0)),"")))</f>
        <v/>
      </c>
      <c r="J1498" s="82" t="str">
        <f aca="false">IF(B1498="","",IFERROR(INDEX('CARNET DE SOUDURE'!$E$7:$E$3006,MATCH(B1498,'CARNET DE SOUDURE'!$O$7:$O$3006,0)),""))</f>
        <v/>
      </c>
      <c r="K1498" s="82" t="str">
        <f aca="false">IF(B1498="","",IFERROR(INDEX('CARNET DE SOUDURE'!$E$7:$E$3006,MATCH(B1498,'CARNET DE SOUDURE'!$L$7:$L$3006,0)),""))</f>
        <v/>
      </c>
      <c r="L1498" s="82" t="str">
        <f aca="false">IF(B1498="","",IFERROR(INDEX('CARNET DE SOUDURE'!$D$7:$D$3006,MATCH(B1498,'CARNET DE SOUDURE'!$L$7:$L$3006,0)),IFERROR(INDEX('CARNET DE SOUDURE'!$D$7:$D$3006,MATCH(B1498,'CARNET DE SOUDURE'!$O$7:$O$3006,0)),"")))</f>
        <v/>
      </c>
      <c r="M1498" s="82" t="str">
        <f aca="false">IF(B1498="","",IF(OR(J1498&lt;&gt;"",K1498&lt;&gt;""),"POSÉ EN LIGNE",IF(COUNTIF(BARDAGE!$C$1:$C$5000,B1498)&gt;0,"BARDÉ","EN STOCK")))</f>
        <v/>
      </c>
      <c r="N1498" s="80"/>
    </row>
    <row r="1499" customFormat="false" ht="15" hidden="false" customHeight="false" outlineLevel="0" collapsed="false">
      <c r="A1499" s="82" t="str">
        <f aca="false">IF(B1499="","",ROW()-6)</f>
        <v/>
      </c>
      <c r="B1499" s="145"/>
      <c r="C1499" s="146"/>
      <c r="D1499" s="146"/>
      <c r="E1499" s="82" t="str">
        <f aca="false">IF(B1499="","",IF(COUNTIFS('CARNET DE SOUDURE'!$L$7:$L$3006,B1499,'CARNET DE SOUDURE'!$M$7:$M$3006,"&lt;&gt;"&amp;C1499,'CARNET DE SOUDURE'!$M$7:$M$3006,"&lt;&gt;")+COUNTIFS('CARNET DE SOUDURE'!$O$7:$O$3006,B1499,'CARNET DE SOUDURE'!$P$7:$P$3006,"&lt;&gt;"&amp;C1499,'CARNET DE SOUDURE'!$P$7:$P$3006,"&lt;&gt;")&gt;0,"⚠ DIFFÉRENTE","OK"))</f>
        <v/>
      </c>
      <c r="F1499" s="147"/>
      <c r="G1499" s="80"/>
      <c r="H1499" s="83"/>
      <c r="I1499" s="148" t="str">
        <f aca="false">IF(B1499="","",IFERROR(INDEX('CARNET DE SOUDURE'!$B$7:$B$3006,MATCH(B1499,'CARNET DE SOUDURE'!$L$7:$L$3006,0)),IFERROR(INDEX('CARNET DE SOUDURE'!$B$7:$B$3006,MATCH(B1499,'CARNET DE SOUDURE'!$O$7:$O$3006,0)),"")))</f>
        <v/>
      </c>
      <c r="J1499" s="82" t="str">
        <f aca="false">IF(B1499="","",IFERROR(INDEX('CARNET DE SOUDURE'!$E$7:$E$3006,MATCH(B1499,'CARNET DE SOUDURE'!$O$7:$O$3006,0)),""))</f>
        <v/>
      </c>
      <c r="K1499" s="82" t="str">
        <f aca="false">IF(B1499="","",IFERROR(INDEX('CARNET DE SOUDURE'!$E$7:$E$3006,MATCH(B1499,'CARNET DE SOUDURE'!$L$7:$L$3006,0)),""))</f>
        <v/>
      </c>
      <c r="L1499" s="82" t="str">
        <f aca="false">IF(B1499="","",IFERROR(INDEX('CARNET DE SOUDURE'!$D$7:$D$3006,MATCH(B1499,'CARNET DE SOUDURE'!$L$7:$L$3006,0)),IFERROR(INDEX('CARNET DE SOUDURE'!$D$7:$D$3006,MATCH(B1499,'CARNET DE SOUDURE'!$O$7:$O$3006,0)),"")))</f>
        <v/>
      </c>
      <c r="M1499" s="82" t="str">
        <f aca="false">IF(B1499="","",IF(OR(J1499&lt;&gt;"",K1499&lt;&gt;""),"POSÉ EN LIGNE",IF(COUNTIF(BARDAGE!$C$1:$C$5000,B1499)&gt;0,"BARDÉ","EN STOCK")))</f>
        <v/>
      </c>
      <c r="N1499" s="80"/>
    </row>
    <row r="1500" customFormat="false" ht="15" hidden="false" customHeight="false" outlineLevel="0" collapsed="false">
      <c r="A1500" s="82" t="str">
        <f aca="false">IF(B1500="","",ROW()-6)</f>
        <v/>
      </c>
      <c r="B1500" s="145"/>
      <c r="C1500" s="146"/>
      <c r="D1500" s="146"/>
      <c r="E1500" s="82" t="str">
        <f aca="false">IF(B1500="","",IF(COUNTIFS('CARNET DE SOUDURE'!$L$7:$L$3006,B1500,'CARNET DE SOUDURE'!$M$7:$M$3006,"&lt;&gt;"&amp;C1500,'CARNET DE SOUDURE'!$M$7:$M$3006,"&lt;&gt;")+COUNTIFS('CARNET DE SOUDURE'!$O$7:$O$3006,B1500,'CARNET DE SOUDURE'!$P$7:$P$3006,"&lt;&gt;"&amp;C1500,'CARNET DE SOUDURE'!$P$7:$P$3006,"&lt;&gt;")&gt;0,"⚠ DIFFÉRENTE","OK"))</f>
        <v/>
      </c>
      <c r="F1500" s="147"/>
      <c r="G1500" s="80"/>
      <c r="H1500" s="83"/>
      <c r="I1500" s="148" t="str">
        <f aca="false">IF(B1500="","",IFERROR(INDEX('CARNET DE SOUDURE'!$B$7:$B$3006,MATCH(B1500,'CARNET DE SOUDURE'!$L$7:$L$3006,0)),IFERROR(INDEX('CARNET DE SOUDURE'!$B$7:$B$3006,MATCH(B1500,'CARNET DE SOUDURE'!$O$7:$O$3006,0)),"")))</f>
        <v/>
      </c>
      <c r="J1500" s="82" t="str">
        <f aca="false">IF(B1500="","",IFERROR(INDEX('CARNET DE SOUDURE'!$E$7:$E$3006,MATCH(B1500,'CARNET DE SOUDURE'!$O$7:$O$3006,0)),""))</f>
        <v/>
      </c>
      <c r="K1500" s="82" t="str">
        <f aca="false">IF(B1500="","",IFERROR(INDEX('CARNET DE SOUDURE'!$E$7:$E$3006,MATCH(B1500,'CARNET DE SOUDURE'!$L$7:$L$3006,0)),""))</f>
        <v/>
      </c>
      <c r="L1500" s="82" t="str">
        <f aca="false">IF(B1500="","",IFERROR(INDEX('CARNET DE SOUDURE'!$D$7:$D$3006,MATCH(B1500,'CARNET DE SOUDURE'!$L$7:$L$3006,0)),IFERROR(INDEX('CARNET DE SOUDURE'!$D$7:$D$3006,MATCH(B1500,'CARNET DE SOUDURE'!$O$7:$O$3006,0)),"")))</f>
        <v/>
      </c>
      <c r="M1500" s="82" t="str">
        <f aca="false">IF(B1500="","",IF(OR(J1500&lt;&gt;"",K1500&lt;&gt;""),"POSÉ EN LIGNE",IF(COUNTIF(BARDAGE!$C$1:$C$5000,B1500)&gt;0,"BARDÉ","EN STOCK")))</f>
        <v/>
      </c>
      <c r="N1500" s="80"/>
    </row>
    <row r="1501" customFormat="false" ht="15" hidden="false" customHeight="false" outlineLevel="0" collapsed="false">
      <c r="A1501" s="82" t="str">
        <f aca="false">IF(B1501="","",ROW()-6)</f>
        <v/>
      </c>
      <c r="B1501" s="145"/>
      <c r="C1501" s="146"/>
      <c r="D1501" s="146"/>
      <c r="E1501" s="82" t="str">
        <f aca="false">IF(B1501="","",IF(COUNTIFS('CARNET DE SOUDURE'!$L$7:$L$3006,B1501,'CARNET DE SOUDURE'!$M$7:$M$3006,"&lt;&gt;"&amp;C1501,'CARNET DE SOUDURE'!$M$7:$M$3006,"&lt;&gt;")+COUNTIFS('CARNET DE SOUDURE'!$O$7:$O$3006,B1501,'CARNET DE SOUDURE'!$P$7:$P$3006,"&lt;&gt;"&amp;C1501,'CARNET DE SOUDURE'!$P$7:$P$3006,"&lt;&gt;")&gt;0,"⚠ DIFFÉRENTE","OK"))</f>
        <v/>
      </c>
      <c r="F1501" s="147"/>
      <c r="G1501" s="80"/>
      <c r="H1501" s="83"/>
      <c r="I1501" s="148" t="str">
        <f aca="false">IF(B1501="","",IFERROR(INDEX('CARNET DE SOUDURE'!$B$7:$B$3006,MATCH(B1501,'CARNET DE SOUDURE'!$L$7:$L$3006,0)),IFERROR(INDEX('CARNET DE SOUDURE'!$B$7:$B$3006,MATCH(B1501,'CARNET DE SOUDURE'!$O$7:$O$3006,0)),"")))</f>
        <v/>
      </c>
      <c r="J1501" s="82" t="str">
        <f aca="false">IF(B1501="","",IFERROR(INDEX('CARNET DE SOUDURE'!$E$7:$E$3006,MATCH(B1501,'CARNET DE SOUDURE'!$O$7:$O$3006,0)),""))</f>
        <v/>
      </c>
      <c r="K1501" s="82" t="str">
        <f aca="false">IF(B1501="","",IFERROR(INDEX('CARNET DE SOUDURE'!$E$7:$E$3006,MATCH(B1501,'CARNET DE SOUDURE'!$L$7:$L$3006,0)),""))</f>
        <v/>
      </c>
      <c r="L1501" s="82" t="str">
        <f aca="false">IF(B1501="","",IFERROR(INDEX('CARNET DE SOUDURE'!$D$7:$D$3006,MATCH(B1501,'CARNET DE SOUDURE'!$L$7:$L$3006,0)),IFERROR(INDEX('CARNET DE SOUDURE'!$D$7:$D$3006,MATCH(B1501,'CARNET DE SOUDURE'!$O$7:$O$3006,0)),"")))</f>
        <v/>
      </c>
      <c r="M1501" s="82" t="str">
        <f aca="false">IF(B1501="","",IF(OR(J1501&lt;&gt;"",K1501&lt;&gt;""),"POSÉ EN LIGNE",IF(COUNTIF(BARDAGE!$C$1:$C$5000,B1501)&gt;0,"BARDÉ","EN STOCK")))</f>
        <v/>
      </c>
      <c r="N1501" s="80"/>
    </row>
    <row r="1502" customFormat="false" ht="15" hidden="false" customHeight="false" outlineLevel="0" collapsed="false">
      <c r="A1502" s="82" t="str">
        <f aca="false">IF(B1502="","",ROW()-6)</f>
        <v/>
      </c>
      <c r="B1502" s="145"/>
      <c r="C1502" s="146"/>
      <c r="D1502" s="146"/>
      <c r="E1502" s="82" t="str">
        <f aca="false">IF(B1502="","",IF(COUNTIFS('CARNET DE SOUDURE'!$L$7:$L$3006,B1502,'CARNET DE SOUDURE'!$M$7:$M$3006,"&lt;&gt;"&amp;C1502,'CARNET DE SOUDURE'!$M$7:$M$3006,"&lt;&gt;")+COUNTIFS('CARNET DE SOUDURE'!$O$7:$O$3006,B1502,'CARNET DE SOUDURE'!$P$7:$P$3006,"&lt;&gt;"&amp;C1502,'CARNET DE SOUDURE'!$P$7:$P$3006,"&lt;&gt;")&gt;0,"⚠ DIFFÉRENTE","OK"))</f>
        <v/>
      </c>
      <c r="F1502" s="147"/>
      <c r="G1502" s="80"/>
      <c r="H1502" s="83"/>
      <c r="I1502" s="148" t="str">
        <f aca="false">IF(B1502="","",IFERROR(INDEX('CARNET DE SOUDURE'!$B$7:$B$3006,MATCH(B1502,'CARNET DE SOUDURE'!$L$7:$L$3006,0)),IFERROR(INDEX('CARNET DE SOUDURE'!$B$7:$B$3006,MATCH(B1502,'CARNET DE SOUDURE'!$O$7:$O$3006,0)),"")))</f>
        <v/>
      </c>
      <c r="J1502" s="82" t="str">
        <f aca="false">IF(B1502="","",IFERROR(INDEX('CARNET DE SOUDURE'!$E$7:$E$3006,MATCH(B1502,'CARNET DE SOUDURE'!$O$7:$O$3006,0)),""))</f>
        <v/>
      </c>
      <c r="K1502" s="82" t="str">
        <f aca="false">IF(B1502="","",IFERROR(INDEX('CARNET DE SOUDURE'!$E$7:$E$3006,MATCH(B1502,'CARNET DE SOUDURE'!$L$7:$L$3006,0)),""))</f>
        <v/>
      </c>
      <c r="L1502" s="82" t="str">
        <f aca="false">IF(B1502="","",IFERROR(INDEX('CARNET DE SOUDURE'!$D$7:$D$3006,MATCH(B1502,'CARNET DE SOUDURE'!$L$7:$L$3006,0)),IFERROR(INDEX('CARNET DE SOUDURE'!$D$7:$D$3006,MATCH(B1502,'CARNET DE SOUDURE'!$O$7:$O$3006,0)),"")))</f>
        <v/>
      </c>
      <c r="M1502" s="82" t="str">
        <f aca="false">IF(B1502="","",IF(OR(J1502&lt;&gt;"",K1502&lt;&gt;""),"POSÉ EN LIGNE",IF(COUNTIF(BARDAGE!$C$1:$C$5000,B1502)&gt;0,"BARDÉ","EN STOCK")))</f>
        <v/>
      </c>
      <c r="N1502" s="80"/>
    </row>
    <row r="1503" customFormat="false" ht="15" hidden="false" customHeight="false" outlineLevel="0" collapsed="false">
      <c r="A1503" s="82" t="str">
        <f aca="false">IF(B1503="","",ROW()-6)</f>
        <v/>
      </c>
      <c r="B1503" s="145"/>
      <c r="C1503" s="146"/>
      <c r="D1503" s="146"/>
      <c r="E1503" s="82" t="str">
        <f aca="false">IF(B1503="","",IF(COUNTIFS('CARNET DE SOUDURE'!$L$7:$L$3006,B1503,'CARNET DE SOUDURE'!$M$7:$M$3006,"&lt;&gt;"&amp;C1503,'CARNET DE SOUDURE'!$M$7:$M$3006,"&lt;&gt;")+COUNTIFS('CARNET DE SOUDURE'!$O$7:$O$3006,B1503,'CARNET DE SOUDURE'!$P$7:$P$3006,"&lt;&gt;"&amp;C1503,'CARNET DE SOUDURE'!$P$7:$P$3006,"&lt;&gt;")&gt;0,"⚠ DIFFÉRENTE","OK"))</f>
        <v/>
      </c>
      <c r="F1503" s="147"/>
      <c r="G1503" s="80"/>
      <c r="H1503" s="83"/>
      <c r="I1503" s="148" t="str">
        <f aca="false">IF(B1503="","",IFERROR(INDEX('CARNET DE SOUDURE'!$B$7:$B$3006,MATCH(B1503,'CARNET DE SOUDURE'!$L$7:$L$3006,0)),IFERROR(INDEX('CARNET DE SOUDURE'!$B$7:$B$3006,MATCH(B1503,'CARNET DE SOUDURE'!$O$7:$O$3006,0)),"")))</f>
        <v/>
      </c>
      <c r="J1503" s="82" t="str">
        <f aca="false">IF(B1503="","",IFERROR(INDEX('CARNET DE SOUDURE'!$E$7:$E$3006,MATCH(B1503,'CARNET DE SOUDURE'!$O$7:$O$3006,0)),""))</f>
        <v/>
      </c>
      <c r="K1503" s="82" t="str">
        <f aca="false">IF(B1503="","",IFERROR(INDEX('CARNET DE SOUDURE'!$E$7:$E$3006,MATCH(B1503,'CARNET DE SOUDURE'!$L$7:$L$3006,0)),""))</f>
        <v/>
      </c>
      <c r="L1503" s="82" t="str">
        <f aca="false">IF(B1503="","",IFERROR(INDEX('CARNET DE SOUDURE'!$D$7:$D$3006,MATCH(B1503,'CARNET DE SOUDURE'!$L$7:$L$3006,0)),IFERROR(INDEX('CARNET DE SOUDURE'!$D$7:$D$3006,MATCH(B1503,'CARNET DE SOUDURE'!$O$7:$O$3006,0)),"")))</f>
        <v/>
      </c>
      <c r="M1503" s="82" t="str">
        <f aca="false">IF(B1503="","",IF(OR(J1503&lt;&gt;"",K1503&lt;&gt;""),"POSÉ EN LIGNE",IF(COUNTIF(BARDAGE!$C$1:$C$5000,B1503)&gt;0,"BARDÉ","EN STOCK")))</f>
        <v/>
      </c>
      <c r="N1503" s="80"/>
    </row>
    <row r="1504" customFormat="false" ht="15" hidden="false" customHeight="false" outlineLevel="0" collapsed="false">
      <c r="A1504" s="82" t="str">
        <f aca="false">IF(B1504="","",ROW()-6)</f>
        <v/>
      </c>
      <c r="B1504" s="145"/>
      <c r="C1504" s="146"/>
      <c r="D1504" s="146"/>
      <c r="E1504" s="82" t="str">
        <f aca="false">IF(B1504="","",IF(COUNTIFS('CARNET DE SOUDURE'!$L$7:$L$3006,B1504,'CARNET DE SOUDURE'!$M$7:$M$3006,"&lt;&gt;"&amp;C1504,'CARNET DE SOUDURE'!$M$7:$M$3006,"&lt;&gt;")+COUNTIFS('CARNET DE SOUDURE'!$O$7:$O$3006,B1504,'CARNET DE SOUDURE'!$P$7:$P$3006,"&lt;&gt;"&amp;C1504,'CARNET DE SOUDURE'!$P$7:$P$3006,"&lt;&gt;")&gt;0,"⚠ DIFFÉRENTE","OK"))</f>
        <v/>
      </c>
      <c r="F1504" s="147"/>
      <c r="G1504" s="80"/>
      <c r="H1504" s="83"/>
      <c r="I1504" s="148" t="str">
        <f aca="false">IF(B1504="","",IFERROR(INDEX('CARNET DE SOUDURE'!$B$7:$B$3006,MATCH(B1504,'CARNET DE SOUDURE'!$L$7:$L$3006,0)),IFERROR(INDEX('CARNET DE SOUDURE'!$B$7:$B$3006,MATCH(B1504,'CARNET DE SOUDURE'!$O$7:$O$3006,0)),"")))</f>
        <v/>
      </c>
      <c r="J1504" s="82" t="str">
        <f aca="false">IF(B1504="","",IFERROR(INDEX('CARNET DE SOUDURE'!$E$7:$E$3006,MATCH(B1504,'CARNET DE SOUDURE'!$O$7:$O$3006,0)),""))</f>
        <v/>
      </c>
      <c r="K1504" s="82" t="str">
        <f aca="false">IF(B1504="","",IFERROR(INDEX('CARNET DE SOUDURE'!$E$7:$E$3006,MATCH(B1504,'CARNET DE SOUDURE'!$L$7:$L$3006,0)),""))</f>
        <v/>
      </c>
      <c r="L1504" s="82" t="str">
        <f aca="false">IF(B1504="","",IFERROR(INDEX('CARNET DE SOUDURE'!$D$7:$D$3006,MATCH(B1504,'CARNET DE SOUDURE'!$L$7:$L$3006,0)),IFERROR(INDEX('CARNET DE SOUDURE'!$D$7:$D$3006,MATCH(B1504,'CARNET DE SOUDURE'!$O$7:$O$3006,0)),"")))</f>
        <v/>
      </c>
      <c r="M1504" s="82" t="str">
        <f aca="false">IF(B1504="","",IF(OR(J1504&lt;&gt;"",K1504&lt;&gt;""),"POSÉ EN LIGNE",IF(COUNTIF(BARDAGE!$C$1:$C$5000,B1504)&gt;0,"BARDÉ","EN STOCK")))</f>
        <v/>
      </c>
      <c r="N1504" s="80"/>
    </row>
    <row r="1505" customFormat="false" ht="15" hidden="false" customHeight="false" outlineLevel="0" collapsed="false">
      <c r="A1505" s="82" t="str">
        <f aca="false">IF(B1505="","",ROW()-6)</f>
        <v/>
      </c>
      <c r="B1505" s="145"/>
      <c r="C1505" s="146"/>
      <c r="D1505" s="146"/>
      <c r="E1505" s="82" t="str">
        <f aca="false">IF(B1505="","",IF(COUNTIFS('CARNET DE SOUDURE'!$L$7:$L$3006,B1505,'CARNET DE SOUDURE'!$M$7:$M$3006,"&lt;&gt;"&amp;C1505,'CARNET DE SOUDURE'!$M$7:$M$3006,"&lt;&gt;")+COUNTIFS('CARNET DE SOUDURE'!$O$7:$O$3006,B1505,'CARNET DE SOUDURE'!$P$7:$P$3006,"&lt;&gt;"&amp;C1505,'CARNET DE SOUDURE'!$P$7:$P$3006,"&lt;&gt;")&gt;0,"⚠ DIFFÉRENTE","OK"))</f>
        <v/>
      </c>
      <c r="F1505" s="147"/>
      <c r="G1505" s="80"/>
      <c r="H1505" s="83"/>
      <c r="I1505" s="148" t="str">
        <f aca="false">IF(B1505="","",IFERROR(INDEX('CARNET DE SOUDURE'!$B$7:$B$3006,MATCH(B1505,'CARNET DE SOUDURE'!$L$7:$L$3006,0)),IFERROR(INDEX('CARNET DE SOUDURE'!$B$7:$B$3006,MATCH(B1505,'CARNET DE SOUDURE'!$O$7:$O$3006,0)),"")))</f>
        <v/>
      </c>
      <c r="J1505" s="82" t="str">
        <f aca="false">IF(B1505="","",IFERROR(INDEX('CARNET DE SOUDURE'!$E$7:$E$3006,MATCH(B1505,'CARNET DE SOUDURE'!$O$7:$O$3006,0)),""))</f>
        <v/>
      </c>
      <c r="K1505" s="82" t="str">
        <f aca="false">IF(B1505="","",IFERROR(INDEX('CARNET DE SOUDURE'!$E$7:$E$3006,MATCH(B1505,'CARNET DE SOUDURE'!$L$7:$L$3006,0)),""))</f>
        <v/>
      </c>
      <c r="L1505" s="82" t="str">
        <f aca="false">IF(B1505="","",IFERROR(INDEX('CARNET DE SOUDURE'!$D$7:$D$3006,MATCH(B1505,'CARNET DE SOUDURE'!$L$7:$L$3006,0)),IFERROR(INDEX('CARNET DE SOUDURE'!$D$7:$D$3006,MATCH(B1505,'CARNET DE SOUDURE'!$O$7:$O$3006,0)),"")))</f>
        <v/>
      </c>
      <c r="M1505" s="82" t="str">
        <f aca="false">IF(B1505="","",IF(OR(J1505&lt;&gt;"",K1505&lt;&gt;""),"POSÉ EN LIGNE",IF(COUNTIF(BARDAGE!$C$1:$C$5000,B1505)&gt;0,"BARDÉ","EN STOCK")))</f>
        <v/>
      </c>
      <c r="N1505" s="80"/>
    </row>
    <row r="1506" customFormat="false" ht="15" hidden="false" customHeight="false" outlineLevel="0" collapsed="false">
      <c r="A1506" s="82" t="str">
        <f aca="false">IF(B1506="","",ROW()-6)</f>
        <v/>
      </c>
      <c r="B1506" s="145"/>
      <c r="C1506" s="146"/>
      <c r="D1506" s="146"/>
      <c r="E1506" s="82" t="str">
        <f aca="false">IF(B1506="","",IF(COUNTIFS('CARNET DE SOUDURE'!$L$7:$L$3006,B1506,'CARNET DE SOUDURE'!$M$7:$M$3006,"&lt;&gt;"&amp;C1506,'CARNET DE SOUDURE'!$M$7:$M$3006,"&lt;&gt;")+COUNTIFS('CARNET DE SOUDURE'!$O$7:$O$3006,B1506,'CARNET DE SOUDURE'!$P$7:$P$3006,"&lt;&gt;"&amp;C1506,'CARNET DE SOUDURE'!$P$7:$P$3006,"&lt;&gt;")&gt;0,"⚠ DIFFÉRENTE","OK"))</f>
        <v/>
      </c>
      <c r="F1506" s="147"/>
      <c r="G1506" s="80"/>
      <c r="H1506" s="83"/>
      <c r="I1506" s="148" t="str">
        <f aca="false">IF(B1506="","",IFERROR(INDEX('CARNET DE SOUDURE'!$B$7:$B$3006,MATCH(B1506,'CARNET DE SOUDURE'!$L$7:$L$3006,0)),IFERROR(INDEX('CARNET DE SOUDURE'!$B$7:$B$3006,MATCH(B1506,'CARNET DE SOUDURE'!$O$7:$O$3006,0)),"")))</f>
        <v/>
      </c>
      <c r="J1506" s="82" t="str">
        <f aca="false">IF(B1506="","",IFERROR(INDEX('CARNET DE SOUDURE'!$E$7:$E$3006,MATCH(B1506,'CARNET DE SOUDURE'!$O$7:$O$3006,0)),""))</f>
        <v/>
      </c>
      <c r="K1506" s="82" t="str">
        <f aca="false">IF(B1506="","",IFERROR(INDEX('CARNET DE SOUDURE'!$E$7:$E$3006,MATCH(B1506,'CARNET DE SOUDURE'!$L$7:$L$3006,0)),""))</f>
        <v/>
      </c>
      <c r="L1506" s="82" t="str">
        <f aca="false">IF(B1506="","",IFERROR(INDEX('CARNET DE SOUDURE'!$D$7:$D$3006,MATCH(B1506,'CARNET DE SOUDURE'!$L$7:$L$3006,0)),IFERROR(INDEX('CARNET DE SOUDURE'!$D$7:$D$3006,MATCH(B1506,'CARNET DE SOUDURE'!$O$7:$O$3006,0)),"")))</f>
        <v/>
      </c>
      <c r="M1506" s="82" t="str">
        <f aca="false">IF(B1506="","",IF(OR(J1506&lt;&gt;"",K1506&lt;&gt;""),"POSÉ EN LIGNE",IF(COUNTIF(BARDAGE!$C$1:$C$5000,B1506)&gt;0,"BARDÉ","EN STOCK")))</f>
        <v/>
      </c>
      <c r="N1506" s="80"/>
    </row>
    <row r="1507" customFormat="false" ht="15" hidden="false" customHeight="false" outlineLevel="0" collapsed="false">
      <c r="A1507" s="82" t="str">
        <f aca="false">IF(B1507="","",ROW()-6)</f>
        <v/>
      </c>
      <c r="B1507" s="145"/>
      <c r="C1507" s="146"/>
      <c r="D1507" s="146"/>
      <c r="E1507" s="82" t="str">
        <f aca="false">IF(B1507="","",IF(COUNTIFS('CARNET DE SOUDURE'!$L$7:$L$3006,B1507,'CARNET DE SOUDURE'!$M$7:$M$3006,"&lt;&gt;"&amp;C1507,'CARNET DE SOUDURE'!$M$7:$M$3006,"&lt;&gt;")+COUNTIFS('CARNET DE SOUDURE'!$O$7:$O$3006,B1507,'CARNET DE SOUDURE'!$P$7:$P$3006,"&lt;&gt;"&amp;C1507,'CARNET DE SOUDURE'!$P$7:$P$3006,"&lt;&gt;")&gt;0,"⚠ DIFFÉRENTE","OK"))</f>
        <v/>
      </c>
      <c r="F1507" s="147"/>
      <c r="G1507" s="80"/>
      <c r="H1507" s="83"/>
      <c r="I1507" s="148" t="str">
        <f aca="false">IF(B1507="","",IFERROR(INDEX('CARNET DE SOUDURE'!$B$7:$B$3006,MATCH(B1507,'CARNET DE SOUDURE'!$L$7:$L$3006,0)),IFERROR(INDEX('CARNET DE SOUDURE'!$B$7:$B$3006,MATCH(B1507,'CARNET DE SOUDURE'!$O$7:$O$3006,0)),"")))</f>
        <v/>
      </c>
      <c r="J1507" s="82" t="str">
        <f aca="false">IF(B1507="","",IFERROR(INDEX('CARNET DE SOUDURE'!$E$7:$E$3006,MATCH(B1507,'CARNET DE SOUDURE'!$O$7:$O$3006,0)),""))</f>
        <v/>
      </c>
      <c r="K1507" s="82" t="str">
        <f aca="false">IF(B1507="","",IFERROR(INDEX('CARNET DE SOUDURE'!$E$7:$E$3006,MATCH(B1507,'CARNET DE SOUDURE'!$L$7:$L$3006,0)),""))</f>
        <v/>
      </c>
      <c r="L1507" s="82" t="str">
        <f aca="false">IF(B1507="","",IFERROR(INDEX('CARNET DE SOUDURE'!$D$7:$D$3006,MATCH(B1507,'CARNET DE SOUDURE'!$L$7:$L$3006,0)),IFERROR(INDEX('CARNET DE SOUDURE'!$D$7:$D$3006,MATCH(B1507,'CARNET DE SOUDURE'!$O$7:$O$3006,0)),"")))</f>
        <v/>
      </c>
      <c r="M1507" s="82" t="str">
        <f aca="false">IF(B1507="","",IF(OR(J1507&lt;&gt;"",K1507&lt;&gt;""),"POSÉ EN LIGNE",IF(COUNTIF(BARDAGE!$C$1:$C$5000,B1507)&gt;0,"BARDÉ","EN STOCK")))</f>
        <v/>
      </c>
      <c r="N1507" s="80"/>
    </row>
    <row r="1508" customFormat="false" ht="15" hidden="false" customHeight="false" outlineLevel="0" collapsed="false">
      <c r="A1508" s="82" t="str">
        <f aca="false">IF(B1508="","",ROW()-6)</f>
        <v/>
      </c>
      <c r="B1508" s="145"/>
      <c r="C1508" s="146"/>
      <c r="D1508" s="146"/>
      <c r="E1508" s="82" t="str">
        <f aca="false">IF(B1508="","",IF(COUNTIFS('CARNET DE SOUDURE'!$L$7:$L$3006,B1508,'CARNET DE SOUDURE'!$M$7:$M$3006,"&lt;&gt;"&amp;C1508,'CARNET DE SOUDURE'!$M$7:$M$3006,"&lt;&gt;")+COUNTIFS('CARNET DE SOUDURE'!$O$7:$O$3006,B1508,'CARNET DE SOUDURE'!$P$7:$P$3006,"&lt;&gt;"&amp;C1508,'CARNET DE SOUDURE'!$P$7:$P$3006,"&lt;&gt;")&gt;0,"⚠ DIFFÉRENTE","OK"))</f>
        <v/>
      </c>
      <c r="F1508" s="147"/>
      <c r="G1508" s="80"/>
      <c r="H1508" s="83"/>
      <c r="I1508" s="148" t="str">
        <f aca="false">IF(B1508="","",IFERROR(INDEX('CARNET DE SOUDURE'!$B$7:$B$3006,MATCH(B1508,'CARNET DE SOUDURE'!$L$7:$L$3006,0)),IFERROR(INDEX('CARNET DE SOUDURE'!$B$7:$B$3006,MATCH(B1508,'CARNET DE SOUDURE'!$O$7:$O$3006,0)),"")))</f>
        <v/>
      </c>
      <c r="J1508" s="82" t="str">
        <f aca="false">IF(B1508="","",IFERROR(INDEX('CARNET DE SOUDURE'!$E$7:$E$3006,MATCH(B1508,'CARNET DE SOUDURE'!$O$7:$O$3006,0)),""))</f>
        <v/>
      </c>
      <c r="K1508" s="82" t="str">
        <f aca="false">IF(B1508="","",IFERROR(INDEX('CARNET DE SOUDURE'!$E$7:$E$3006,MATCH(B1508,'CARNET DE SOUDURE'!$L$7:$L$3006,0)),""))</f>
        <v/>
      </c>
      <c r="L1508" s="82" t="str">
        <f aca="false">IF(B1508="","",IFERROR(INDEX('CARNET DE SOUDURE'!$D$7:$D$3006,MATCH(B1508,'CARNET DE SOUDURE'!$L$7:$L$3006,0)),IFERROR(INDEX('CARNET DE SOUDURE'!$D$7:$D$3006,MATCH(B1508,'CARNET DE SOUDURE'!$O$7:$O$3006,0)),"")))</f>
        <v/>
      </c>
      <c r="M1508" s="82" t="str">
        <f aca="false">IF(B1508="","",IF(OR(J1508&lt;&gt;"",K1508&lt;&gt;""),"POSÉ EN LIGNE",IF(COUNTIF(BARDAGE!$C$1:$C$5000,B1508)&gt;0,"BARDÉ","EN STOCK")))</f>
        <v/>
      </c>
      <c r="N1508" s="80"/>
    </row>
    <row r="1509" customFormat="false" ht="15" hidden="false" customHeight="false" outlineLevel="0" collapsed="false">
      <c r="A1509" s="82" t="str">
        <f aca="false">IF(B1509="","",ROW()-6)</f>
        <v/>
      </c>
      <c r="B1509" s="145"/>
      <c r="C1509" s="146"/>
      <c r="D1509" s="146"/>
      <c r="E1509" s="82" t="str">
        <f aca="false">IF(B1509="","",IF(COUNTIFS('CARNET DE SOUDURE'!$L$7:$L$3006,B1509,'CARNET DE SOUDURE'!$M$7:$M$3006,"&lt;&gt;"&amp;C1509,'CARNET DE SOUDURE'!$M$7:$M$3006,"&lt;&gt;")+COUNTIFS('CARNET DE SOUDURE'!$O$7:$O$3006,B1509,'CARNET DE SOUDURE'!$P$7:$P$3006,"&lt;&gt;"&amp;C1509,'CARNET DE SOUDURE'!$P$7:$P$3006,"&lt;&gt;")&gt;0,"⚠ DIFFÉRENTE","OK"))</f>
        <v/>
      </c>
      <c r="F1509" s="147"/>
      <c r="G1509" s="80"/>
      <c r="H1509" s="83"/>
      <c r="I1509" s="148" t="str">
        <f aca="false">IF(B1509="","",IFERROR(INDEX('CARNET DE SOUDURE'!$B$7:$B$3006,MATCH(B1509,'CARNET DE SOUDURE'!$L$7:$L$3006,0)),IFERROR(INDEX('CARNET DE SOUDURE'!$B$7:$B$3006,MATCH(B1509,'CARNET DE SOUDURE'!$O$7:$O$3006,0)),"")))</f>
        <v/>
      </c>
      <c r="J1509" s="82" t="str">
        <f aca="false">IF(B1509="","",IFERROR(INDEX('CARNET DE SOUDURE'!$E$7:$E$3006,MATCH(B1509,'CARNET DE SOUDURE'!$O$7:$O$3006,0)),""))</f>
        <v/>
      </c>
      <c r="K1509" s="82" t="str">
        <f aca="false">IF(B1509="","",IFERROR(INDEX('CARNET DE SOUDURE'!$E$7:$E$3006,MATCH(B1509,'CARNET DE SOUDURE'!$L$7:$L$3006,0)),""))</f>
        <v/>
      </c>
      <c r="L1509" s="82" t="str">
        <f aca="false">IF(B1509="","",IFERROR(INDEX('CARNET DE SOUDURE'!$D$7:$D$3006,MATCH(B1509,'CARNET DE SOUDURE'!$L$7:$L$3006,0)),IFERROR(INDEX('CARNET DE SOUDURE'!$D$7:$D$3006,MATCH(B1509,'CARNET DE SOUDURE'!$O$7:$O$3006,0)),"")))</f>
        <v/>
      </c>
      <c r="M1509" s="82" t="str">
        <f aca="false">IF(B1509="","",IF(OR(J1509&lt;&gt;"",K1509&lt;&gt;""),"POSÉ EN LIGNE",IF(COUNTIF(BARDAGE!$C$1:$C$5000,B1509)&gt;0,"BARDÉ","EN STOCK")))</f>
        <v/>
      </c>
      <c r="N1509" s="80"/>
    </row>
    <row r="1510" customFormat="false" ht="15" hidden="false" customHeight="false" outlineLevel="0" collapsed="false">
      <c r="A1510" s="82" t="str">
        <f aca="false">IF(B1510="","",ROW()-6)</f>
        <v/>
      </c>
      <c r="B1510" s="145"/>
      <c r="C1510" s="146"/>
      <c r="D1510" s="146"/>
      <c r="E1510" s="82" t="str">
        <f aca="false">IF(B1510="","",IF(COUNTIFS('CARNET DE SOUDURE'!$L$7:$L$3006,B1510,'CARNET DE SOUDURE'!$M$7:$M$3006,"&lt;&gt;"&amp;C1510,'CARNET DE SOUDURE'!$M$7:$M$3006,"&lt;&gt;")+COUNTIFS('CARNET DE SOUDURE'!$O$7:$O$3006,B1510,'CARNET DE SOUDURE'!$P$7:$P$3006,"&lt;&gt;"&amp;C1510,'CARNET DE SOUDURE'!$P$7:$P$3006,"&lt;&gt;")&gt;0,"⚠ DIFFÉRENTE","OK"))</f>
        <v/>
      </c>
      <c r="F1510" s="147"/>
      <c r="G1510" s="80"/>
      <c r="H1510" s="83"/>
      <c r="I1510" s="148" t="str">
        <f aca="false">IF(B1510="","",IFERROR(INDEX('CARNET DE SOUDURE'!$B$7:$B$3006,MATCH(B1510,'CARNET DE SOUDURE'!$L$7:$L$3006,0)),IFERROR(INDEX('CARNET DE SOUDURE'!$B$7:$B$3006,MATCH(B1510,'CARNET DE SOUDURE'!$O$7:$O$3006,0)),"")))</f>
        <v/>
      </c>
      <c r="J1510" s="82" t="str">
        <f aca="false">IF(B1510="","",IFERROR(INDEX('CARNET DE SOUDURE'!$E$7:$E$3006,MATCH(B1510,'CARNET DE SOUDURE'!$O$7:$O$3006,0)),""))</f>
        <v/>
      </c>
      <c r="K1510" s="82" t="str">
        <f aca="false">IF(B1510="","",IFERROR(INDEX('CARNET DE SOUDURE'!$E$7:$E$3006,MATCH(B1510,'CARNET DE SOUDURE'!$L$7:$L$3006,0)),""))</f>
        <v/>
      </c>
      <c r="L1510" s="82" t="str">
        <f aca="false">IF(B1510="","",IFERROR(INDEX('CARNET DE SOUDURE'!$D$7:$D$3006,MATCH(B1510,'CARNET DE SOUDURE'!$L$7:$L$3006,0)),IFERROR(INDEX('CARNET DE SOUDURE'!$D$7:$D$3006,MATCH(B1510,'CARNET DE SOUDURE'!$O$7:$O$3006,0)),"")))</f>
        <v/>
      </c>
      <c r="M1510" s="82" t="str">
        <f aca="false">IF(B1510="","",IF(OR(J1510&lt;&gt;"",K1510&lt;&gt;""),"POSÉ EN LIGNE",IF(COUNTIF(BARDAGE!$C$1:$C$5000,B1510)&gt;0,"BARDÉ","EN STOCK")))</f>
        <v/>
      </c>
      <c r="N1510" s="80"/>
    </row>
    <row r="1511" customFormat="false" ht="15" hidden="false" customHeight="false" outlineLevel="0" collapsed="false">
      <c r="A1511" s="82" t="str">
        <f aca="false">IF(B1511="","",ROW()-6)</f>
        <v/>
      </c>
      <c r="B1511" s="145"/>
      <c r="C1511" s="146"/>
      <c r="D1511" s="146"/>
      <c r="E1511" s="82" t="str">
        <f aca="false">IF(B1511="","",IF(COUNTIFS('CARNET DE SOUDURE'!$L$7:$L$3006,B1511,'CARNET DE SOUDURE'!$M$7:$M$3006,"&lt;&gt;"&amp;C1511,'CARNET DE SOUDURE'!$M$7:$M$3006,"&lt;&gt;")+COUNTIFS('CARNET DE SOUDURE'!$O$7:$O$3006,B1511,'CARNET DE SOUDURE'!$P$7:$P$3006,"&lt;&gt;"&amp;C1511,'CARNET DE SOUDURE'!$P$7:$P$3006,"&lt;&gt;")&gt;0,"⚠ DIFFÉRENTE","OK"))</f>
        <v/>
      </c>
      <c r="F1511" s="147"/>
      <c r="G1511" s="80"/>
      <c r="H1511" s="83"/>
      <c r="I1511" s="148" t="str">
        <f aca="false">IF(B1511="","",IFERROR(INDEX('CARNET DE SOUDURE'!$B$7:$B$3006,MATCH(B1511,'CARNET DE SOUDURE'!$L$7:$L$3006,0)),IFERROR(INDEX('CARNET DE SOUDURE'!$B$7:$B$3006,MATCH(B1511,'CARNET DE SOUDURE'!$O$7:$O$3006,0)),"")))</f>
        <v/>
      </c>
      <c r="J1511" s="82" t="str">
        <f aca="false">IF(B1511="","",IFERROR(INDEX('CARNET DE SOUDURE'!$E$7:$E$3006,MATCH(B1511,'CARNET DE SOUDURE'!$O$7:$O$3006,0)),""))</f>
        <v/>
      </c>
      <c r="K1511" s="82" t="str">
        <f aca="false">IF(B1511="","",IFERROR(INDEX('CARNET DE SOUDURE'!$E$7:$E$3006,MATCH(B1511,'CARNET DE SOUDURE'!$L$7:$L$3006,0)),""))</f>
        <v/>
      </c>
      <c r="L1511" s="82" t="str">
        <f aca="false">IF(B1511="","",IFERROR(INDEX('CARNET DE SOUDURE'!$D$7:$D$3006,MATCH(B1511,'CARNET DE SOUDURE'!$L$7:$L$3006,0)),IFERROR(INDEX('CARNET DE SOUDURE'!$D$7:$D$3006,MATCH(B1511,'CARNET DE SOUDURE'!$O$7:$O$3006,0)),"")))</f>
        <v/>
      </c>
      <c r="M1511" s="82" t="str">
        <f aca="false">IF(B1511="","",IF(OR(J1511&lt;&gt;"",K1511&lt;&gt;""),"POSÉ EN LIGNE",IF(COUNTIF(BARDAGE!$C$1:$C$5000,B1511)&gt;0,"BARDÉ","EN STOCK")))</f>
        <v/>
      </c>
      <c r="N1511" s="80"/>
    </row>
    <row r="1512" customFormat="false" ht="15" hidden="false" customHeight="false" outlineLevel="0" collapsed="false">
      <c r="A1512" s="82" t="str">
        <f aca="false">IF(B1512="","",ROW()-6)</f>
        <v/>
      </c>
      <c r="B1512" s="145"/>
      <c r="C1512" s="146"/>
      <c r="D1512" s="146"/>
      <c r="E1512" s="82" t="str">
        <f aca="false">IF(B1512="","",IF(COUNTIFS('CARNET DE SOUDURE'!$L$7:$L$3006,B1512,'CARNET DE SOUDURE'!$M$7:$M$3006,"&lt;&gt;"&amp;C1512,'CARNET DE SOUDURE'!$M$7:$M$3006,"&lt;&gt;")+COUNTIFS('CARNET DE SOUDURE'!$O$7:$O$3006,B1512,'CARNET DE SOUDURE'!$P$7:$P$3006,"&lt;&gt;"&amp;C1512,'CARNET DE SOUDURE'!$P$7:$P$3006,"&lt;&gt;")&gt;0,"⚠ DIFFÉRENTE","OK"))</f>
        <v/>
      </c>
      <c r="F1512" s="147"/>
      <c r="G1512" s="80"/>
      <c r="H1512" s="83"/>
      <c r="I1512" s="148" t="str">
        <f aca="false">IF(B1512="","",IFERROR(INDEX('CARNET DE SOUDURE'!$B$7:$B$3006,MATCH(B1512,'CARNET DE SOUDURE'!$L$7:$L$3006,0)),IFERROR(INDEX('CARNET DE SOUDURE'!$B$7:$B$3006,MATCH(B1512,'CARNET DE SOUDURE'!$O$7:$O$3006,0)),"")))</f>
        <v/>
      </c>
      <c r="J1512" s="82" t="str">
        <f aca="false">IF(B1512="","",IFERROR(INDEX('CARNET DE SOUDURE'!$E$7:$E$3006,MATCH(B1512,'CARNET DE SOUDURE'!$O$7:$O$3006,0)),""))</f>
        <v/>
      </c>
      <c r="K1512" s="82" t="str">
        <f aca="false">IF(B1512="","",IFERROR(INDEX('CARNET DE SOUDURE'!$E$7:$E$3006,MATCH(B1512,'CARNET DE SOUDURE'!$L$7:$L$3006,0)),""))</f>
        <v/>
      </c>
      <c r="L1512" s="82" t="str">
        <f aca="false">IF(B1512="","",IFERROR(INDEX('CARNET DE SOUDURE'!$D$7:$D$3006,MATCH(B1512,'CARNET DE SOUDURE'!$L$7:$L$3006,0)),IFERROR(INDEX('CARNET DE SOUDURE'!$D$7:$D$3006,MATCH(B1512,'CARNET DE SOUDURE'!$O$7:$O$3006,0)),"")))</f>
        <v/>
      </c>
      <c r="M1512" s="82" t="str">
        <f aca="false">IF(B1512="","",IF(OR(J1512&lt;&gt;"",K1512&lt;&gt;""),"POSÉ EN LIGNE",IF(COUNTIF(BARDAGE!$C$1:$C$5000,B1512)&gt;0,"BARDÉ","EN STOCK")))</f>
        <v/>
      </c>
      <c r="N1512" s="80"/>
    </row>
    <row r="1513" customFormat="false" ht="15" hidden="false" customHeight="false" outlineLevel="0" collapsed="false">
      <c r="A1513" s="82" t="str">
        <f aca="false">IF(B1513="","",ROW()-6)</f>
        <v/>
      </c>
      <c r="B1513" s="145"/>
      <c r="C1513" s="146"/>
      <c r="D1513" s="146"/>
      <c r="E1513" s="82" t="str">
        <f aca="false">IF(B1513="","",IF(COUNTIFS('CARNET DE SOUDURE'!$L$7:$L$3006,B1513,'CARNET DE SOUDURE'!$M$7:$M$3006,"&lt;&gt;"&amp;C1513,'CARNET DE SOUDURE'!$M$7:$M$3006,"&lt;&gt;")+COUNTIFS('CARNET DE SOUDURE'!$O$7:$O$3006,B1513,'CARNET DE SOUDURE'!$P$7:$P$3006,"&lt;&gt;"&amp;C1513,'CARNET DE SOUDURE'!$P$7:$P$3006,"&lt;&gt;")&gt;0,"⚠ DIFFÉRENTE","OK"))</f>
        <v/>
      </c>
      <c r="F1513" s="147"/>
      <c r="G1513" s="80"/>
      <c r="H1513" s="83"/>
      <c r="I1513" s="148" t="str">
        <f aca="false">IF(B1513="","",IFERROR(INDEX('CARNET DE SOUDURE'!$B$7:$B$3006,MATCH(B1513,'CARNET DE SOUDURE'!$L$7:$L$3006,0)),IFERROR(INDEX('CARNET DE SOUDURE'!$B$7:$B$3006,MATCH(B1513,'CARNET DE SOUDURE'!$O$7:$O$3006,0)),"")))</f>
        <v/>
      </c>
      <c r="J1513" s="82" t="str">
        <f aca="false">IF(B1513="","",IFERROR(INDEX('CARNET DE SOUDURE'!$E$7:$E$3006,MATCH(B1513,'CARNET DE SOUDURE'!$O$7:$O$3006,0)),""))</f>
        <v/>
      </c>
      <c r="K1513" s="82" t="str">
        <f aca="false">IF(B1513="","",IFERROR(INDEX('CARNET DE SOUDURE'!$E$7:$E$3006,MATCH(B1513,'CARNET DE SOUDURE'!$L$7:$L$3006,0)),""))</f>
        <v/>
      </c>
      <c r="L1513" s="82" t="str">
        <f aca="false">IF(B1513="","",IFERROR(INDEX('CARNET DE SOUDURE'!$D$7:$D$3006,MATCH(B1513,'CARNET DE SOUDURE'!$L$7:$L$3006,0)),IFERROR(INDEX('CARNET DE SOUDURE'!$D$7:$D$3006,MATCH(B1513,'CARNET DE SOUDURE'!$O$7:$O$3006,0)),"")))</f>
        <v/>
      </c>
      <c r="M1513" s="82" t="str">
        <f aca="false">IF(B1513="","",IF(OR(J1513&lt;&gt;"",K1513&lt;&gt;""),"POSÉ EN LIGNE",IF(COUNTIF(BARDAGE!$C$1:$C$5000,B1513)&gt;0,"BARDÉ","EN STOCK")))</f>
        <v/>
      </c>
      <c r="N1513" s="80"/>
    </row>
    <row r="1514" customFormat="false" ht="15" hidden="false" customHeight="false" outlineLevel="0" collapsed="false">
      <c r="A1514" s="82" t="str">
        <f aca="false">IF(B1514="","",ROW()-6)</f>
        <v/>
      </c>
      <c r="B1514" s="145"/>
      <c r="C1514" s="146"/>
      <c r="D1514" s="146"/>
      <c r="E1514" s="82" t="str">
        <f aca="false">IF(B1514="","",IF(COUNTIFS('CARNET DE SOUDURE'!$L$7:$L$3006,B1514,'CARNET DE SOUDURE'!$M$7:$M$3006,"&lt;&gt;"&amp;C1514,'CARNET DE SOUDURE'!$M$7:$M$3006,"&lt;&gt;")+COUNTIFS('CARNET DE SOUDURE'!$O$7:$O$3006,B1514,'CARNET DE SOUDURE'!$P$7:$P$3006,"&lt;&gt;"&amp;C1514,'CARNET DE SOUDURE'!$P$7:$P$3006,"&lt;&gt;")&gt;0,"⚠ DIFFÉRENTE","OK"))</f>
        <v/>
      </c>
      <c r="F1514" s="147"/>
      <c r="G1514" s="80"/>
      <c r="H1514" s="83"/>
      <c r="I1514" s="148" t="str">
        <f aca="false">IF(B1514="","",IFERROR(INDEX('CARNET DE SOUDURE'!$B$7:$B$3006,MATCH(B1514,'CARNET DE SOUDURE'!$L$7:$L$3006,0)),IFERROR(INDEX('CARNET DE SOUDURE'!$B$7:$B$3006,MATCH(B1514,'CARNET DE SOUDURE'!$O$7:$O$3006,0)),"")))</f>
        <v/>
      </c>
      <c r="J1514" s="82" t="str">
        <f aca="false">IF(B1514="","",IFERROR(INDEX('CARNET DE SOUDURE'!$E$7:$E$3006,MATCH(B1514,'CARNET DE SOUDURE'!$O$7:$O$3006,0)),""))</f>
        <v/>
      </c>
      <c r="K1514" s="82" t="str">
        <f aca="false">IF(B1514="","",IFERROR(INDEX('CARNET DE SOUDURE'!$E$7:$E$3006,MATCH(B1514,'CARNET DE SOUDURE'!$L$7:$L$3006,0)),""))</f>
        <v/>
      </c>
      <c r="L1514" s="82" t="str">
        <f aca="false">IF(B1514="","",IFERROR(INDEX('CARNET DE SOUDURE'!$D$7:$D$3006,MATCH(B1514,'CARNET DE SOUDURE'!$L$7:$L$3006,0)),IFERROR(INDEX('CARNET DE SOUDURE'!$D$7:$D$3006,MATCH(B1514,'CARNET DE SOUDURE'!$O$7:$O$3006,0)),"")))</f>
        <v/>
      </c>
      <c r="M1514" s="82" t="str">
        <f aca="false">IF(B1514="","",IF(OR(J1514&lt;&gt;"",K1514&lt;&gt;""),"POSÉ EN LIGNE",IF(COUNTIF(BARDAGE!$C$1:$C$5000,B1514)&gt;0,"BARDÉ","EN STOCK")))</f>
        <v/>
      </c>
      <c r="N1514" s="80"/>
    </row>
    <row r="1515" customFormat="false" ht="15" hidden="false" customHeight="false" outlineLevel="0" collapsed="false">
      <c r="A1515" s="82" t="str">
        <f aca="false">IF(B1515="","",ROW()-6)</f>
        <v/>
      </c>
      <c r="B1515" s="145"/>
      <c r="C1515" s="146"/>
      <c r="D1515" s="146"/>
      <c r="E1515" s="82" t="str">
        <f aca="false">IF(B1515="","",IF(COUNTIFS('CARNET DE SOUDURE'!$L$7:$L$3006,B1515,'CARNET DE SOUDURE'!$M$7:$M$3006,"&lt;&gt;"&amp;C1515,'CARNET DE SOUDURE'!$M$7:$M$3006,"&lt;&gt;")+COUNTIFS('CARNET DE SOUDURE'!$O$7:$O$3006,B1515,'CARNET DE SOUDURE'!$P$7:$P$3006,"&lt;&gt;"&amp;C1515,'CARNET DE SOUDURE'!$P$7:$P$3006,"&lt;&gt;")&gt;0,"⚠ DIFFÉRENTE","OK"))</f>
        <v/>
      </c>
      <c r="F1515" s="147"/>
      <c r="G1515" s="80"/>
      <c r="H1515" s="83"/>
      <c r="I1515" s="148" t="str">
        <f aca="false">IF(B1515="","",IFERROR(INDEX('CARNET DE SOUDURE'!$B$7:$B$3006,MATCH(B1515,'CARNET DE SOUDURE'!$L$7:$L$3006,0)),IFERROR(INDEX('CARNET DE SOUDURE'!$B$7:$B$3006,MATCH(B1515,'CARNET DE SOUDURE'!$O$7:$O$3006,0)),"")))</f>
        <v/>
      </c>
      <c r="J1515" s="82" t="str">
        <f aca="false">IF(B1515="","",IFERROR(INDEX('CARNET DE SOUDURE'!$E$7:$E$3006,MATCH(B1515,'CARNET DE SOUDURE'!$O$7:$O$3006,0)),""))</f>
        <v/>
      </c>
      <c r="K1515" s="82" t="str">
        <f aca="false">IF(B1515="","",IFERROR(INDEX('CARNET DE SOUDURE'!$E$7:$E$3006,MATCH(B1515,'CARNET DE SOUDURE'!$L$7:$L$3006,0)),""))</f>
        <v/>
      </c>
      <c r="L1515" s="82" t="str">
        <f aca="false">IF(B1515="","",IFERROR(INDEX('CARNET DE SOUDURE'!$D$7:$D$3006,MATCH(B1515,'CARNET DE SOUDURE'!$L$7:$L$3006,0)),IFERROR(INDEX('CARNET DE SOUDURE'!$D$7:$D$3006,MATCH(B1515,'CARNET DE SOUDURE'!$O$7:$O$3006,0)),"")))</f>
        <v/>
      </c>
      <c r="M1515" s="82" t="str">
        <f aca="false">IF(B1515="","",IF(OR(J1515&lt;&gt;"",K1515&lt;&gt;""),"POSÉ EN LIGNE",IF(COUNTIF(BARDAGE!$C$1:$C$5000,B1515)&gt;0,"BARDÉ","EN STOCK")))</f>
        <v/>
      </c>
      <c r="N1515" s="80"/>
    </row>
    <row r="1516" customFormat="false" ht="15" hidden="false" customHeight="false" outlineLevel="0" collapsed="false">
      <c r="A1516" s="82" t="str">
        <f aca="false">IF(B1516="","",ROW()-6)</f>
        <v/>
      </c>
      <c r="B1516" s="145"/>
      <c r="C1516" s="146"/>
      <c r="D1516" s="146"/>
      <c r="E1516" s="82" t="str">
        <f aca="false">IF(B1516="","",IF(COUNTIFS('CARNET DE SOUDURE'!$L$7:$L$3006,B1516,'CARNET DE SOUDURE'!$M$7:$M$3006,"&lt;&gt;"&amp;C1516,'CARNET DE SOUDURE'!$M$7:$M$3006,"&lt;&gt;")+COUNTIFS('CARNET DE SOUDURE'!$O$7:$O$3006,B1516,'CARNET DE SOUDURE'!$P$7:$P$3006,"&lt;&gt;"&amp;C1516,'CARNET DE SOUDURE'!$P$7:$P$3006,"&lt;&gt;")&gt;0,"⚠ DIFFÉRENTE","OK"))</f>
        <v/>
      </c>
      <c r="F1516" s="147"/>
      <c r="G1516" s="80"/>
      <c r="H1516" s="83"/>
      <c r="I1516" s="148" t="str">
        <f aca="false">IF(B1516="","",IFERROR(INDEX('CARNET DE SOUDURE'!$B$7:$B$3006,MATCH(B1516,'CARNET DE SOUDURE'!$L$7:$L$3006,0)),IFERROR(INDEX('CARNET DE SOUDURE'!$B$7:$B$3006,MATCH(B1516,'CARNET DE SOUDURE'!$O$7:$O$3006,0)),"")))</f>
        <v/>
      </c>
      <c r="J1516" s="82" t="str">
        <f aca="false">IF(B1516="","",IFERROR(INDEX('CARNET DE SOUDURE'!$E$7:$E$3006,MATCH(B1516,'CARNET DE SOUDURE'!$O$7:$O$3006,0)),""))</f>
        <v/>
      </c>
      <c r="K1516" s="82" t="str">
        <f aca="false">IF(B1516="","",IFERROR(INDEX('CARNET DE SOUDURE'!$E$7:$E$3006,MATCH(B1516,'CARNET DE SOUDURE'!$L$7:$L$3006,0)),""))</f>
        <v/>
      </c>
      <c r="L1516" s="82" t="str">
        <f aca="false">IF(B1516="","",IFERROR(INDEX('CARNET DE SOUDURE'!$D$7:$D$3006,MATCH(B1516,'CARNET DE SOUDURE'!$L$7:$L$3006,0)),IFERROR(INDEX('CARNET DE SOUDURE'!$D$7:$D$3006,MATCH(B1516,'CARNET DE SOUDURE'!$O$7:$O$3006,0)),"")))</f>
        <v/>
      </c>
      <c r="M1516" s="82" t="str">
        <f aca="false">IF(B1516="","",IF(OR(J1516&lt;&gt;"",K1516&lt;&gt;""),"POSÉ EN LIGNE",IF(COUNTIF(BARDAGE!$C$1:$C$5000,B1516)&gt;0,"BARDÉ","EN STOCK")))</f>
        <v/>
      </c>
      <c r="N1516" s="80"/>
    </row>
    <row r="1517" customFormat="false" ht="15" hidden="false" customHeight="false" outlineLevel="0" collapsed="false">
      <c r="A1517" s="82" t="str">
        <f aca="false">IF(B1517="","",ROW()-6)</f>
        <v/>
      </c>
      <c r="B1517" s="145"/>
      <c r="C1517" s="146"/>
      <c r="D1517" s="146"/>
      <c r="E1517" s="82" t="str">
        <f aca="false">IF(B1517="","",IF(COUNTIFS('CARNET DE SOUDURE'!$L$7:$L$3006,B1517,'CARNET DE SOUDURE'!$M$7:$M$3006,"&lt;&gt;"&amp;C1517,'CARNET DE SOUDURE'!$M$7:$M$3006,"&lt;&gt;")+COUNTIFS('CARNET DE SOUDURE'!$O$7:$O$3006,B1517,'CARNET DE SOUDURE'!$P$7:$P$3006,"&lt;&gt;"&amp;C1517,'CARNET DE SOUDURE'!$P$7:$P$3006,"&lt;&gt;")&gt;0,"⚠ DIFFÉRENTE","OK"))</f>
        <v/>
      </c>
      <c r="F1517" s="147"/>
      <c r="G1517" s="80"/>
      <c r="H1517" s="83"/>
      <c r="I1517" s="148" t="str">
        <f aca="false">IF(B1517="","",IFERROR(INDEX('CARNET DE SOUDURE'!$B$7:$B$3006,MATCH(B1517,'CARNET DE SOUDURE'!$L$7:$L$3006,0)),IFERROR(INDEX('CARNET DE SOUDURE'!$B$7:$B$3006,MATCH(B1517,'CARNET DE SOUDURE'!$O$7:$O$3006,0)),"")))</f>
        <v/>
      </c>
      <c r="J1517" s="82" t="str">
        <f aca="false">IF(B1517="","",IFERROR(INDEX('CARNET DE SOUDURE'!$E$7:$E$3006,MATCH(B1517,'CARNET DE SOUDURE'!$O$7:$O$3006,0)),""))</f>
        <v/>
      </c>
      <c r="K1517" s="82" t="str">
        <f aca="false">IF(B1517="","",IFERROR(INDEX('CARNET DE SOUDURE'!$E$7:$E$3006,MATCH(B1517,'CARNET DE SOUDURE'!$L$7:$L$3006,0)),""))</f>
        <v/>
      </c>
      <c r="L1517" s="82" t="str">
        <f aca="false">IF(B1517="","",IFERROR(INDEX('CARNET DE SOUDURE'!$D$7:$D$3006,MATCH(B1517,'CARNET DE SOUDURE'!$L$7:$L$3006,0)),IFERROR(INDEX('CARNET DE SOUDURE'!$D$7:$D$3006,MATCH(B1517,'CARNET DE SOUDURE'!$O$7:$O$3006,0)),"")))</f>
        <v/>
      </c>
      <c r="M1517" s="82" t="str">
        <f aca="false">IF(B1517="","",IF(OR(J1517&lt;&gt;"",K1517&lt;&gt;""),"POSÉ EN LIGNE",IF(COUNTIF(BARDAGE!$C$1:$C$5000,B1517)&gt;0,"BARDÉ","EN STOCK")))</f>
        <v/>
      </c>
      <c r="N1517" s="80"/>
    </row>
    <row r="1518" customFormat="false" ht="15" hidden="false" customHeight="false" outlineLevel="0" collapsed="false">
      <c r="A1518" s="82" t="str">
        <f aca="false">IF(B1518="","",ROW()-6)</f>
        <v/>
      </c>
      <c r="B1518" s="145"/>
      <c r="C1518" s="146"/>
      <c r="D1518" s="146"/>
      <c r="E1518" s="82" t="str">
        <f aca="false">IF(B1518="","",IF(COUNTIFS('CARNET DE SOUDURE'!$L$7:$L$3006,B1518,'CARNET DE SOUDURE'!$M$7:$M$3006,"&lt;&gt;"&amp;C1518,'CARNET DE SOUDURE'!$M$7:$M$3006,"&lt;&gt;")+COUNTIFS('CARNET DE SOUDURE'!$O$7:$O$3006,B1518,'CARNET DE SOUDURE'!$P$7:$P$3006,"&lt;&gt;"&amp;C1518,'CARNET DE SOUDURE'!$P$7:$P$3006,"&lt;&gt;")&gt;0,"⚠ DIFFÉRENTE","OK"))</f>
        <v/>
      </c>
      <c r="F1518" s="147"/>
      <c r="G1518" s="80"/>
      <c r="H1518" s="83"/>
      <c r="I1518" s="148" t="str">
        <f aca="false">IF(B1518="","",IFERROR(INDEX('CARNET DE SOUDURE'!$B$7:$B$3006,MATCH(B1518,'CARNET DE SOUDURE'!$L$7:$L$3006,0)),IFERROR(INDEX('CARNET DE SOUDURE'!$B$7:$B$3006,MATCH(B1518,'CARNET DE SOUDURE'!$O$7:$O$3006,0)),"")))</f>
        <v/>
      </c>
      <c r="J1518" s="82" t="str">
        <f aca="false">IF(B1518="","",IFERROR(INDEX('CARNET DE SOUDURE'!$E$7:$E$3006,MATCH(B1518,'CARNET DE SOUDURE'!$O$7:$O$3006,0)),""))</f>
        <v/>
      </c>
      <c r="K1518" s="82" t="str">
        <f aca="false">IF(B1518="","",IFERROR(INDEX('CARNET DE SOUDURE'!$E$7:$E$3006,MATCH(B1518,'CARNET DE SOUDURE'!$L$7:$L$3006,0)),""))</f>
        <v/>
      </c>
      <c r="L1518" s="82" t="str">
        <f aca="false">IF(B1518="","",IFERROR(INDEX('CARNET DE SOUDURE'!$D$7:$D$3006,MATCH(B1518,'CARNET DE SOUDURE'!$L$7:$L$3006,0)),IFERROR(INDEX('CARNET DE SOUDURE'!$D$7:$D$3006,MATCH(B1518,'CARNET DE SOUDURE'!$O$7:$O$3006,0)),"")))</f>
        <v/>
      </c>
      <c r="M1518" s="82" t="str">
        <f aca="false">IF(B1518="","",IF(OR(J1518&lt;&gt;"",K1518&lt;&gt;""),"POSÉ EN LIGNE",IF(COUNTIF(BARDAGE!$C$1:$C$5000,B1518)&gt;0,"BARDÉ","EN STOCK")))</f>
        <v/>
      </c>
      <c r="N1518" s="80"/>
    </row>
    <row r="1519" customFormat="false" ht="15" hidden="false" customHeight="false" outlineLevel="0" collapsed="false">
      <c r="A1519" s="82" t="str">
        <f aca="false">IF(B1519="","",ROW()-6)</f>
        <v/>
      </c>
      <c r="B1519" s="145"/>
      <c r="C1519" s="146"/>
      <c r="D1519" s="146"/>
      <c r="E1519" s="82" t="str">
        <f aca="false">IF(B1519="","",IF(COUNTIFS('CARNET DE SOUDURE'!$L$7:$L$3006,B1519,'CARNET DE SOUDURE'!$M$7:$M$3006,"&lt;&gt;"&amp;C1519,'CARNET DE SOUDURE'!$M$7:$M$3006,"&lt;&gt;")+COUNTIFS('CARNET DE SOUDURE'!$O$7:$O$3006,B1519,'CARNET DE SOUDURE'!$P$7:$P$3006,"&lt;&gt;"&amp;C1519,'CARNET DE SOUDURE'!$P$7:$P$3006,"&lt;&gt;")&gt;0,"⚠ DIFFÉRENTE","OK"))</f>
        <v/>
      </c>
      <c r="F1519" s="147"/>
      <c r="G1519" s="80"/>
      <c r="H1519" s="83"/>
      <c r="I1519" s="148" t="str">
        <f aca="false">IF(B1519="","",IFERROR(INDEX('CARNET DE SOUDURE'!$B$7:$B$3006,MATCH(B1519,'CARNET DE SOUDURE'!$L$7:$L$3006,0)),IFERROR(INDEX('CARNET DE SOUDURE'!$B$7:$B$3006,MATCH(B1519,'CARNET DE SOUDURE'!$O$7:$O$3006,0)),"")))</f>
        <v/>
      </c>
      <c r="J1519" s="82" t="str">
        <f aca="false">IF(B1519="","",IFERROR(INDEX('CARNET DE SOUDURE'!$E$7:$E$3006,MATCH(B1519,'CARNET DE SOUDURE'!$O$7:$O$3006,0)),""))</f>
        <v/>
      </c>
      <c r="K1519" s="82" t="str">
        <f aca="false">IF(B1519="","",IFERROR(INDEX('CARNET DE SOUDURE'!$E$7:$E$3006,MATCH(B1519,'CARNET DE SOUDURE'!$L$7:$L$3006,0)),""))</f>
        <v/>
      </c>
      <c r="L1519" s="82" t="str">
        <f aca="false">IF(B1519="","",IFERROR(INDEX('CARNET DE SOUDURE'!$D$7:$D$3006,MATCH(B1519,'CARNET DE SOUDURE'!$L$7:$L$3006,0)),IFERROR(INDEX('CARNET DE SOUDURE'!$D$7:$D$3006,MATCH(B1519,'CARNET DE SOUDURE'!$O$7:$O$3006,0)),"")))</f>
        <v/>
      </c>
      <c r="M1519" s="82" t="str">
        <f aca="false">IF(B1519="","",IF(OR(J1519&lt;&gt;"",K1519&lt;&gt;""),"POSÉ EN LIGNE",IF(COUNTIF(BARDAGE!$C$1:$C$5000,B1519)&gt;0,"BARDÉ","EN STOCK")))</f>
        <v/>
      </c>
      <c r="N1519" s="80"/>
    </row>
    <row r="1520" customFormat="false" ht="15" hidden="false" customHeight="false" outlineLevel="0" collapsed="false">
      <c r="A1520" s="82" t="str">
        <f aca="false">IF(B1520="","",ROW()-6)</f>
        <v/>
      </c>
      <c r="B1520" s="145"/>
      <c r="C1520" s="146"/>
      <c r="D1520" s="146"/>
      <c r="E1520" s="82" t="str">
        <f aca="false">IF(B1520="","",IF(COUNTIFS('CARNET DE SOUDURE'!$L$7:$L$3006,B1520,'CARNET DE SOUDURE'!$M$7:$M$3006,"&lt;&gt;"&amp;C1520,'CARNET DE SOUDURE'!$M$7:$M$3006,"&lt;&gt;")+COUNTIFS('CARNET DE SOUDURE'!$O$7:$O$3006,B1520,'CARNET DE SOUDURE'!$P$7:$P$3006,"&lt;&gt;"&amp;C1520,'CARNET DE SOUDURE'!$P$7:$P$3006,"&lt;&gt;")&gt;0,"⚠ DIFFÉRENTE","OK"))</f>
        <v/>
      </c>
      <c r="F1520" s="147"/>
      <c r="G1520" s="80"/>
      <c r="H1520" s="83"/>
      <c r="I1520" s="148" t="str">
        <f aca="false">IF(B1520="","",IFERROR(INDEX('CARNET DE SOUDURE'!$B$7:$B$3006,MATCH(B1520,'CARNET DE SOUDURE'!$L$7:$L$3006,0)),IFERROR(INDEX('CARNET DE SOUDURE'!$B$7:$B$3006,MATCH(B1520,'CARNET DE SOUDURE'!$O$7:$O$3006,0)),"")))</f>
        <v/>
      </c>
      <c r="J1520" s="82" t="str">
        <f aca="false">IF(B1520="","",IFERROR(INDEX('CARNET DE SOUDURE'!$E$7:$E$3006,MATCH(B1520,'CARNET DE SOUDURE'!$O$7:$O$3006,0)),""))</f>
        <v/>
      </c>
      <c r="K1520" s="82" t="str">
        <f aca="false">IF(B1520="","",IFERROR(INDEX('CARNET DE SOUDURE'!$E$7:$E$3006,MATCH(B1520,'CARNET DE SOUDURE'!$L$7:$L$3006,0)),""))</f>
        <v/>
      </c>
      <c r="L1520" s="82" t="str">
        <f aca="false">IF(B1520="","",IFERROR(INDEX('CARNET DE SOUDURE'!$D$7:$D$3006,MATCH(B1520,'CARNET DE SOUDURE'!$L$7:$L$3006,0)),IFERROR(INDEX('CARNET DE SOUDURE'!$D$7:$D$3006,MATCH(B1520,'CARNET DE SOUDURE'!$O$7:$O$3006,0)),"")))</f>
        <v/>
      </c>
      <c r="M1520" s="82" t="str">
        <f aca="false">IF(B1520="","",IF(OR(J1520&lt;&gt;"",K1520&lt;&gt;""),"POSÉ EN LIGNE",IF(COUNTIF(BARDAGE!$C$1:$C$5000,B1520)&gt;0,"BARDÉ","EN STOCK")))</f>
        <v/>
      </c>
      <c r="N1520" s="80"/>
    </row>
    <row r="1521" customFormat="false" ht="15" hidden="false" customHeight="false" outlineLevel="0" collapsed="false">
      <c r="A1521" s="82" t="str">
        <f aca="false">IF(B1521="","",ROW()-6)</f>
        <v/>
      </c>
      <c r="B1521" s="145"/>
      <c r="C1521" s="146"/>
      <c r="D1521" s="146"/>
      <c r="E1521" s="82" t="str">
        <f aca="false">IF(B1521="","",IF(COUNTIFS('CARNET DE SOUDURE'!$L$7:$L$3006,B1521,'CARNET DE SOUDURE'!$M$7:$M$3006,"&lt;&gt;"&amp;C1521,'CARNET DE SOUDURE'!$M$7:$M$3006,"&lt;&gt;")+COUNTIFS('CARNET DE SOUDURE'!$O$7:$O$3006,B1521,'CARNET DE SOUDURE'!$P$7:$P$3006,"&lt;&gt;"&amp;C1521,'CARNET DE SOUDURE'!$P$7:$P$3006,"&lt;&gt;")&gt;0,"⚠ DIFFÉRENTE","OK"))</f>
        <v/>
      </c>
      <c r="F1521" s="147"/>
      <c r="G1521" s="80"/>
      <c r="H1521" s="83"/>
      <c r="I1521" s="148" t="str">
        <f aca="false">IF(B1521="","",IFERROR(INDEX('CARNET DE SOUDURE'!$B$7:$B$3006,MATCH(B1521,'CARNET DE SOUDURE'!$L$7:$L$3006,0)),IFERROR(INDEX('CARNET DE SOUDURE'!$B$7:$B$3006,MATCH(B1521,'CARNET DE SOUDURE'!$O$7:$O$3006,0)),"")))</f>
        <v/>
      </c>
      <c r="J1521" s="82" t="str">
        <f aca="false">IF(B1521="","",IFERROR(INDEX('CARNET DE SOUDURE'!$E$7:$E$3006,MATCH(B1521,'CARNET DE SOUDURE'!$O$7:$O$3006,0)),""))</f>
        <v/>
      </c>
      <c r="K1521" s="82" t="str">
        <f aca="false">IF(B1521="","",IFERROR(INDEX('CARNET DE SOUDURE'!$E$7:$E$3006,MATCH(B1521,'CARNET DE SOUDURE'!$L$7:$L$3006,0)),""))</f>
        <v/>
      </c>
      <c r="L1521" s="82" t="str">
        <f aca="false">IF(B1521="","",IFERROR(INDEX('CARNET DE SOUDURE'!$D$7:$D$3006,MATCH(B1521,'CARNET DE SOUDURE'!$L$7:$L$3006,0)),IFERROR(INDEX('CARNET DE SOUDURE'!$D$7:$D$3006,MATCH(B1521,'CARNET DE SOUDURE'!$O$7:$O$3006,0)),"")))</f>
        <v/>
      </c>
      <c r="M1521" s="82" t="str">
        <f aca="false">IF(B1521="","",IF(OR(J1521&lt;&gt;"",K1521&lt;&gt;""),"POSÉ EN LIGNE",IF(COUNTIF(BARDAGE!$C$1:$C$5000,B1521)&gt;0,"BARDÉ","EN STOCK")))</f>
        <v/>
      </c>
      <c r="N1521" s="80"/>
    </row>
    <row r="1522" customFormat="false" ht="15" hidden="false" customHeight="false" outlineLevel="0" collapsed="false">
      <c r="A1522" s="82" t="str">
        <f aca="false">IF(B1522="","",ROW()-6)</f>
        <v/>
      </c>
      <c r="B1522" s="145"/>
      <c r="C1522" s="146"/>
      <c r="D1522" s="146"/>
      <c r="E1522" s="82" t="str">
        <f aca="false">IF(B1522="","",IF(COUNTIFS('CARNET DE SOUDURE'!$L$7:$L$3006,B1522,'CARNET DE SOUDURE'!$M$7:$M$3006,"&lt;&gt;"&amp;C1522,'CARNET DE SOUDURE'!$M$7:$M$3006,"&lt;&gt;")+COUNTIFS('CARNET DE SOUDURE'!$O$7:$O$3006,B1522,'CARNET DE SOUDURE'!$P$7:$P$3006,"&lt;&gt;"&amp;C1522,'CARNET DE SOUDURE'!$P$7:$P$3006,"&lt;&gt;")&gt;0,"⚠ DIFFÉRENTE","OK"))</f>
        <v/>
      </c>
      <c r="F1522" s="147"/>
      <c r="G1522" s="80"/>
      <c r="H1522" s="83"/>
      <c r="I1522" s="148" t="str">
        <f aca="false">IF(B1522="","",IFERROR(INDEX('CARNET DE SOUDURE'!$B$7:$B$3006,MATCH(B1522,'CARNET DE SOUDURE'!$L$7:$L$3006,0)),IFERROR(INDEX('CARNET DE SOUDURE'!$B$7:$B$3006,MATCH(B1522,'CARNET DE SOUDURE'!$O$7:$O$3006,0)),"")))</f>
        <v/>
      </c>
      <c r="J1522" s="82" t="str">
        <f aca="false">IF(B1522="","",IFERROR(INDEX('CARNET DE SOUDURE'!$E$7:$E$3006,MATCH(B1522,'CARNET DE SOUDURE'!$O$7:$O$3006,0)),""))</f>
        <v/>
      </c>
      <c r="K1522" s="82" t="str">
        <f aca="false">IF(B1522="","",IFERROR(INDEX('CARNET DE SOUDURE'!$E$7:$E$3006,MATCH(B1522,'CARNET DE SOUDURE'!$L$7:$L$3006,0)),""))</f>
        <v/>
      </c>
      <c r="L1522" s="82" t="str">
        <f aca="false">IF(B1522="","",IFERROR(INDEX('CARNET DE SOUDURE'!$D$7:$D$3006,MATCH(B1522,'CARNET DE SOUDURE'!$L$7:$L$3006,0)),IFERROR(INDEX('CARNET DE SOUDURE'!$D$7:$D$3006,MATCH(B1522,'CARNET DE SOUDURE'!$O$7:$O$3006,0)),"")))</f>
        <v/>
      </c>
      <c r="M1522" s="82" t="str">
        <f aca="false">IF(B1522="","",IF(OR(J1522&lt;&gt;"",K1522&lt;&gt;""),"POSÉ EN LIGNE",IF(COUNTIF(BARDAGE!$C$1:$C$5000,B1522)&gt;0,"BARDÉ","EN STOCK")))</f>
        <v/>
      </c>
      <c r="N1522" s="80"/>
    </row>
    <row r="1523" customFormat="false" ht="15" hidden="false" customHeight="false" outlineLevel="0" collapsed="false">
      <c r="A1523" s="82" t="str">
        <f aca="false">IF(B1523="","",ROW()-6)</f>
        <v/>
      </c>
      <c r="B1523" s="145"/>
      <c r="C1523" s="146"/>
      <c r="D1523" s="146"/>
      <c r="E1523" s="82" t="str">
        <f aca="false">IF(B1523="","",IF(COUNTIFS('CARNET DE SOUDURE'!$L$7:$L$3006,B1523,'CARNET DE SOUDURE'!$M$7:$M$3006,"&lt;&gt;"&amp;C1523,'CARNET DE SOUDURE'!$M$7:$M$3006,"&lt;&gt;")+COUNTIFS('CARNET DE SOUDURE'!$O$7:$O$3006,B1523,'CARNET DE SOUDURE'!$P$7:$P$3006,"&lt;&gt;"&amp;C1523,'CARNET DE SOUDURE'!$P$7:$P$3006,"&lt;&gt;")&gt;0,"⚠ DIFFÉRENTE","OK"))</f>
        <v/>
      </c>
      <c r="F1523" s="147"/>
      <c r="G1523" s="80"/>
      <c r="H1523" s="83"/>
      <c r="I1523" s="148" t="str">
        <f aca="false">IF(B1523="","",IFERROR(INDEX('CARNET DE SOUDURE'!$B$7:$B$3006,MATCH(B1523,'CARNET DE SOUDURE'!$L$7:$L$3006,0)),IFERROR(INDEX('CARNET DE SOUDURE'!$B$7:$B$3006,MATCH(B1523,'CARNET DE SOUDURE'!$O$7:$O$3006,0)),"")))</f>
        <v/>
      </c>
      <c r="J1523" s="82" t="str">
        <f aca="false">IF(B1523="","",IFERROR(INDEX('CARNET DE SOUDURE'!$E$7:$E$3006,MATCH(B1523,'CARNET DE SOUDURE'!$O$7:$O$3006,0)),""))</f>
        <v/>
      </c>
      <c r="K1523" s="82" t="str">
        <f aca="false">IF(B1523="","",IFERROR(INDEX('CARNET DE SOUDURE'!$E$7:$E$3006,MATCH(B1523,'CARNET DE SOUDURE'!$L$7:$L$3006,0)),""))</f>
        <v/>
      </c>
      <c r="L1523" s="82" t="str">
        <f aca="false">IF(B1523="","",IFERROR(INDEX('CARNET DE SOUDURE'!$D$7:$D$3006,MATCH(B1523,'CARNET DE SOUDURE'!$L$7:$L$3006,0)),IFERROR(INDEX('CARNET DE SOUDURE'!$D$7:$D$3006,MATCH(B1523,'CARNET DE SOUDURE'!$O$7:$O$3006,0)),"")))</f>
        <v/>
      </c>
      <c r="M1523" s="82" t="str">
        <f aca="false">IF(B1523="","",IF(OR(J1523&lt;&gt;"",K1523&lt;&gt;""),"POSÉ EN LIGNE",IF(COUNTIF(BARDAGE!$C$1:$C$5000,B1523)&gt;0,"BARDÉ","EN STOCK")))</f>
        <v/>
      </c>
      <c r="N1523" s="80"/>
    </row>
    <row r="1524" customFormat="false" ht="15" hidden="false" customHeight="false" outlineLevel="0" collapsed="false">
      <c r="A1524" s="82" t="str">
        <f aca="false">IF(B1524="","",ROW()-6)</f>
        <v/>
      </c>
      <c r="B1524" s="145"/>
      <c r="C1524" s="146"/>
      <c r="D1524" s="146"/>
      <c r="E1524" s="82" t="str">
        <f aca="false">IF(B1524="","",IF(COUNTIFS('CARNET DE SOUDURE'!$L$7:$L$3006,B1524,'CARNET DE SOUDURE'!$M$7:$M$3006,"&lt;&gt;"&amp;C1524,'CARNET DE SOUDURE'!$M$7:$M$3006,"&lt;&gt;")+COUNTIFS('CARNET DE SOUDURE'!$O$7:$O$3006,B1524,'CARNET DE SOUDURE'!$P$7:$P$3006,"&lt;&gt;"&amp;C1524,'CARNET DE SOUDURE'!$P$7:$P$3006,"&lt;&gt;")&gt;0,"⚠ DIFFÉRENTE","OK"))</f>
        <v/>
      </c>
      <c r="F1524" s="147"/>
      <c r="G1524" s="80"/>
      <c r="H1524" s="83"/>
      <c r="I1524" s="148" t="str">
        <f aca="false">IF(B1524="","",IFERROR(INDEX('CARNET DE SOUDURE'!$B$7:$B$3006,MATCH(B1524,'CARNET DE SOUDURE'!$L$7:$L$3006,0)),IFERROR(INDEX('CARNET DE SOUDURE'!$B$7:$B$3006,MATCH(B1524,'CARNET DE SOUDURE'!$O$7:$O$3006,0)),"")))</f>
        <v/>
      </c>
      <c r="J1524" s="82" t="str">
        <f aca="false">IF(B1524="","",IFERROR(INDEX('CARNET DE SOUDURE'!$E$7:$E$3006,MATCH(B1524,'CARNET DE SOUDURE'!$O$7:$O$3006,0)),""))</f>
        <v/>
      </c>
      <c r="K1524" s="82" t="str">
        <f aca="false">IF(B1524="","",IFERROR(INDEX('CARNET DE SOUDURE'!$E$7:$E$3006,MATCH(B1524,'CARNET DE SOUDURE'!$L$7:$L$3006,0)),""))</f>
        <v/>
      </c>
      <c r="L1524" s="82" t="str">
        <f aca="false">IF(B1524="","",IFERROR(INDEX('CARNET DE SOUDURE'!$D$7:$D$3006,MATCH(B1524,'CARNET DE SOUDURE'!$L$7:$L$3006,0)),IFERROR(INDEX('CARNET DE SOUDURE'!$D$7:$D$3006,MATCH(B1524,'CARNET DE SOUDURE'!$O$7:$O$3006,0)),"")))</f>
        <v/>
      </c>
      <c r="M1524" s="82" t="str">
        <f aca="false">IF(B1524="","",IF(OR(J1524&lt;&gt;"",K1524&lt;&gt;""),"POSÉ EN LIGNE",IF(COUNTIF(BARDAGE!$C$1:$C$5000,B1524)&gt;0,"BARDÉ","EN STOCK")))</f>
        <v/>
      </c>
      <c r="N1524" s="80"/>
    </row>
    <row r="1525" customFormat="false" ht="15" hidden="false" customHeight="false" outlineLevel="0" collapsed="false">
      <c r="A1525" s="82" t="str">
        <f aca="false">IF(B1525="","",ROW()-6)</f>
        <v/>
      </c>
      <c r="B1525" s="145"/>
      <c r="C1525" s="146"/>
      <c r="D1525" s="146"/>
      <c r="E1525" s="82" t="str">
        <f aca="false">IF(B1525="","",IF(COUNTIFS('CARNET DE SOUDURE'!$L$7:$L$3006,B1525,'CARNET DE SOUDURE'!$M$7:$M$3006,"&lt;&gt;"&amp;C1525,'CARNET DE SOUDURE'!$M$7:$M$3006,"&lt;&gt;")+COUNTIFS('CARNET DE SOUDURE'!$O$7:$O$3006,B1525,'CARNET DE SOUDURE'!$P$7:$P$3006,"&lt;&gt;"&amp;C1525,'CARNET DE SOUDURE'!$P$7:$P$3006,"&lt;&gt;")&gt;0,"⚠ DIFFÉRENTE","OK"))</f>
        <v/>
      </c>
      <c r="F1525" s="147"/>
      <c r="G1525" s="80"/>
      <c r="H1525" s="83"/>
      <c r="I1525" s="148" t="str">
        <f aca="false">IF(B1525="","",IFERROR(INDEX('CARNET DE SOUDURE'!$B$7:$B$3006,MATCH(B1525,'CARNET DE SOUDURE'!$L$7:$L$3006,0)),IFERROR(INDEX('CARNET DE SOUDURE'!$B$7:$B$3006,MATCH(B1525,'CARNET DE SOUDURE'!$O$7:$O$3006,0)),"")))</f>
        <v/>
      </c>
      <c r="J1525" s="82" t="str">
        <f aca="false">IF(B1525="","",IFERROR(INDEX('CARNET DE SOUDURE'!$E$7:$E$3006,MATCH(B1525,'CARNET DE SOUDURE'!$O$7:$O$3006,0)),""))</f>
        <v/>
      </c>
      <c r="K1525" s="82" t="str">
        <f aca="false">IF(B1525="","",IFERROR(INDEX('CARNET DE SOUDURE'!$E$7:$E$3006,MATCH(B1525,'CARNET DE SOUDURE'!$L$7:$L$3006,0)),""))</f>
        <v/>
      </c>
      <c r="L1525" s="82" t="str">
        <f aca="false">IF(B1525="","",IFERROR(INDEX('CARNET DE SOUDURE'!$D$7:$D$3006,MATCH(B1525,'CARNET DE SOUDURE'!$L$7:$L$3006,0)),IFERROR(INDEX('CARNET DE SOUDURE'!$D$7:$D$3006,MATCH(B1525,'CARNET DE SOUDURE'!$O$7:$O$3006,0)),"")))</f>
        <v/>
      </c>
      <c r="M1525" s="82" t="str">
        <f aca="false">IF(B1525="","",IF(OR(J1525&lt;&gt;"",K1525&lt;&gt;""),"POSÉ EN LIGNE",IF(COUNTIF(BARDAGE!$C$1:$C$5000,B1525)&gt;0,"BARDÉ","EN STOCK")))</f>
        <v/>
      </c>
      <c r="N1525" s="80"/>
    </row>
    <row r="1526" customFormat="false" ht="15" hidden="false" customHeight="false" outlineLevel="0" collapsed="false">
      <c r="A1526" s="82" t="str">
        <f aca="false">IF(B1526="","",ROW()-6)</f>
        <v/>
      </c>
      <c r="B1526" s="145"/>
      <c r="C1526" s="146"/>
      <c r="D1526" s="146"/>
      <c r="E1526" s="82" t="str">
        <f aca="false">IF(B1526="","",IF(COUNTIFS('CARNET DE SOUDURE'!$L$7:$L$3006,B1526,'CARNET DE SOUDURE'!$M$7:$M$3006,"&lt;&gt;"&amp;C1526,'CARNET DE SOUDURE'!$M$7:$M$3006,"&lt;&gt;")+COUNTIFS('CARNET DE SOUDURE'!$O$7:$O$3006,B1526,'CARNET DE SOUDURE'!$P$7:$P$3006,"&lt;&gt;"&amp;C1526,'CARNET DE SOUDURE'!$P$7:$P$3006,"&lt;&gt;")&gt;0,"⚠ DIFFÉRENTE","OK"))</f>
        <v/>
      </c>
      <c r="F1526" s="147"/>
      <c r="G1526" s="80"/>
      <c r="H1526" s="83"/>
      <c r="I1526" s="148" t="str">
        <f aca="false">IF(B1526="","",IFERROR(INDEX('CARNET DE SOUDURE'!$B$7:$B$3006,MATCH(B1526,'CARNET DE SOUDURE'!$L$7:$L$3006,0)),IFERROR(INDEX('CARNET DE SOUDURE'!$B$7:$B$3006,MATCH(B1526,'CARNET DE SOUDURE'!$O$7:$O$3006,0)),"")))</f>
        <v/>
      </c>
      <c r="J1526" s="82" t="str">
        <f aca="false">IF(B1526="","",IFERROR(INDEX('CARNET DE SOUDURE'!$E$7:$E$3006,MATCH(B1526,'CARNET DE SOUDURE'!$O$7:$O$3006,0)),""))</f>
        <v/>
      </c>
      <c r="K1526" s="82" t="str">
        <f aca="false">IF(B1526="","",IFERROR(INDEX('CARNET DE SOUDURE'!$E$7:$E$3006,MATCH(B1526,'CARNET DE SOUDURE'!$L$7:$L$3006,0)),""))</f>
        <v/>
      </c>
      <c r="L1526" s="82" t="str">
        <f aca="false">IF(B1526="","",IFERROR(INDEX('CARNET DE SOUDURE'!$D$7:$D$3006,MATCH(B1526,'CARNET DE SOUDURE'!$L$7:$L$3006,0)),IFERROR(INDEX('CARNET DE SOUDURE'!$D$7:$D$3006,MATCH(B1526,'CARNET DE SOUDURE'!$O$7:$O$3006,0)),"")))</f>
        <v/>
      </c>
      <c r="M1526" s="82" t="str">
        <f aca="false">IF(B1526="","",IF(OR(J1526&lt;&gt;"",K1526&lt;&gt;""),"POSÉ EN LIGNE",IF(COUNTIF(BARDAGE!$C$1:$C$5000,B1526)&gt;0,"BARDÉ","EN STOCK")))</f>
        <v/>
      </c>
      <c r="N1526" s="80"/>
    </row>
    <row r="1527" customFormat="false" ht="15" hidden="false" customHeight="false" outlineLevel="0" collapsed="false">
      <c r="A1527" s="82" t="str">
        <f aca="false">IF(B1527="","",ROW()-6)</f>
        <v/>
      </c>
      <c r="B1527" s="145"/>
      <c r="C1527" s="146"/>
      <c r="D1527" s="146"/>
      <c r="E1527" s="82" t="str">
        <f aca="false">IF(B1527="","",IF(COUNTIFS('CARNET DE SOUDURE'!$L$7:$L$3006,B1527,'CARNET DE SOUDURE'!$M$7:$M$3006,"&lt;&gt;"&amp;C1527,'CARNET DE SOUDURE'!$M$7:$M$3006,"&lt;&gt;")+COUNTIFS('CARNET DE SOUDURE'!$O$7:$O$3006,B1527,'CARNET DE SOUDURE'!$P$7:$P$3006,"&lt;&gt;"&amp;C1527,'CARNET DE SOUDURE'!$P$7:$P$3006,"&lt;&gt;")&gt;0,"⚠ DIFFÉRENTE","OK"))</f>
        <v/>
      </c>
      <c r="F1527" s="147"/>
      <c r="G1527" s="80"/>
      <c r="H1527" s="83"/>
      <c r="I1527" s="148" t="str">
        <f aca="false">IF(B1527="","",IFERROR(INDEX('CARNET DE SOUDURE'!$B$7:$B$3006,MATCH(B1527,'CARNET DE SOUDURE'!$L$7:$L$3006,0)),IFERROR(INDEX('CARNET DE SOUDURE'!$B$7:$B$3006,MATCH(B1527,'CARNET DE SOUDURE'!$O$7:$O$3006,0)),"")))</f>
        <v/>
      </c>
      <c r="J1527" s="82" t="str">
        <f aca="false">IF(B1527="","",IFERROR(INDEX('CARNET DE SOUDURE'!$E$7:$E$3006,MATCH(B1527,'CARNET DE SOUDURE'!$O$7:$O$3006,0)),""))</f>
        <v/>
      </c>
      <c r="K1527" s="82" t="str">
        <f aca="false">IF(B1527="","",IFERROR(INDEX('CARNET DE SOUDURE'!$E$7:$E$3006,MATCH(B1527,'CARNET DE SOUDURE'!$L$7:$L$3006,0)),""))</f>
        <v/>
      </c>
      <c r="L1527" s="82" t="str">
        <f aca="false">IF(B1527="","",IFERROR(INDEX('CARNET DE SOUDURE'!$D$7:$D$3006,MATCH(B1527,'CARNET DE SOUDURE'!$L$7:$L$3006,0)),IFERROR(INDEX('CARNET DE SOUDURE'!$D$7:$D$3006,MATCH(B1527,'CARNET DE SOUDURE'!$O$7:$O$3006,0)),"")))</f>
        <v/>
      </c>
      <c r="M1527" s="82" t="str">
        <f aca="false">IF(B1527="","",IF(OR(J1527&lt;&gt;"",K1527&lt;&gt;""),"POSÉ EN LIGNE",IF(COUNTIF(BARDAGE!$C$1:$C$5000,B1527)&gt;0,"BARDÉ","EN STOCK")))</f>
        <v/>
      </c>
      <c r="N1527" s="80"/>
    </row>
    <row r="1528" customFormat="false" ht="15" hidden="false" customHeight="false" outlineLevel="0" collapsed="false">
      <c r="A1528" s="82" t="str">
        <f aca="false">IF(B1528="","",ROW()-6)</f>
        <v/>
      </c>
      <c r="B1528" s="145"/>
      <c r="C1528" s="146"/>
      <c r="D1528" s="146"/>
      <c r="E1528" s="82" t="str">
        <f aca="false">IF(B1528="","",IF(COUNTIFS('CARNET DE SOUDURE'!$L$7:$L$3006,B1528,'CARNET DE SOUDURE'!$M$7:$M$3006,"&lt;&gt;"&amp;C1528,'CARNET DE SOUDURE'!$M$7:$M$3006,"&lt;&gt;")+COUNTIFS('CARNET DE SOUDURE'!$O$7:$O$3006,B1528,'CARNET DE SOUDURE'!$P$7:$P$3006,"&lt;&gt;"&amp;C1528,'CARNET DE SOUDURE'!$P$7:$P$3006,"&lt;&gt;")&gt;0,"⚠ DIFFÉRENTE","OK"))</f>
        <v/>
      </c>
      <c r="F1528" s="147"/>
      <c r="G1528" s="80"/>
      <c r="H1528" s="83"/>
      <c r="I1528" s="148" t="str">
        <f aca="false">IF(B1528="","",IFERROR(INDEX('CARNET DE SOUDURE'!$B$7:$B$3006,MATCH(B1528,'CARNET DE SOUDURE'!$L$7:$L$3006,0)),IFERROR(INDEX('CARNET DE SOUDURE'!$B$7:$B$3006,MATCH(B1528,'CARNET DE SOUDURE'!$O$7:$O$3006,0)),"")))</f>
        <v/>
      </c>
      <c r="J1528" s="82" t="str">
        <f aca="false">IF(B1528="","",IFERROR(INDEX('CARNET DE SOUDURE'!$E$7:$E$3006,MATCH(B1528,'CARNET DE SOUDURE'!$O$7:$O$3006,0)),""))</f>
        <v/>
      </c>
      <c r="K1528" s="82" t="str">
        <f aca="false">IF(B1528="","",IFERROR(INDEX('CARNET DE SOUDURE'!$E$7:$E$3006,MATCH(B1528,'CARNET DE SOUDURE'!$L$7:$L$3006,0)),""))</f>
        <v/>
      </c>
      <c r="L1528" s="82" t="str">
        <f aca="false">IF(B1528="","",IFERROR(INDEX('CARNET DE SOUDURE'!$D$7:$D$3006,MATCH(B1528,'CARNET DE SOUDURE'!$L$7:$L$3006,0)),IFERROR(INDEX('CARNET DE SOUDURE'!$D$7:$D$3006,MATCH(B1528,'CARNET DE SOUDURE'!$O$7:$O$3006,0)),"")))</f>
        <v/>
      </c>
      <c r="M1528" s="82" t="str">
        <f aca="false">IF(B1528="","",IF(OR(J1528&lt;&gt;"",K1528&lt;&gt;""),"POSÉ EN LIGNE",IF(COUNTIF(BARDAGE!$C$1:$C$5000,B1528)&gt;0,"BARDÉ","EN STOCK")))</f>
        <v/>
      </c>
      <c r="N1528" s="80"/>
    </row>
    <row r="1529" customFormat="false" ht="15" hidden="false" customHeight="false" outlineLevel="0" collapsed="false">
      <c r="A1529" s="82" t="str">
        <f aca="false">IF(B1529="","",ROW()-6)</f>
        <v/>
      </c>
      <c r="B1529" s="145"/>
      <c r="C1529" s="146"/>
      <c r="D1529" s="146"/>
      <c r="E1529" s="82" t="str">
        <f aca="false">IF(B1529="","",IF(COUNTIFS('CARNET DE SOUDURE'!$L$7:$L$3006,B1529,'CARNET DE SOUDURE'!$M$7:$M$3006,"&lt;&gt;"&amp;C1529,'CARNET DE SOUDURE'!$M$7:$M$3006,"&lt;&gt;")+COUNTIFS('CARNET DE SOUDURE'!$O$7:$O$3006,B1529,'CARNET DE SOUDURE'!$P$7:$P$3006,"&lt;&gt;"&amp;C1529,'CARNET DE SOUDURE'!$P$7:$P$3006,"&lt;&gt;")&gt;0,"⚠ DIFFÉRENTE","OK"))</f>
        <v/>
      </c>
      <c r="F1529" s="147"/>
      <c r="G1529" s="80"/>
      <c r="H1529" s="83"/>
      <c r="I1529" s="148" t="str">
        <f aca="false">IF(B1529="","",IFERROR(INDEX('CARNET DE SOUDURE'!$B$7:$B$3006,MATCH(B1529,'CARNET DE SOUDURE'!$L$7:$L$3006,0)),IFERROR(INDEX('CARNET DE SOUDURE'!$B$7:$B$3006,MATCH(B1529,'CARNET DE SOUDURE'!$O$7:$O$3006,0)),"")))</f>
        <v/>
      </c>
      <c r="J1529" s="82" t="str">
        <f aca="false">IF(B1529="","",IFERROR(INDEX('CARNET DE SOUDURE'!$E$7:$E$3006,MATCH(B1529,'CARNET DE SOUDURE'!$O$7:$O$3006,0)),""))</f>
        <v/>
      </c>
      <c r="K1529" s="82" t="str">
        <f aca="false">IF(B1529="","",IFERROR(INDEX('CARNET DE SOUDURE'!$E$7:$E$3006,MATCH(B1529,'CARNET DE SOUDURE'!$L$7:$L$3006,0)),""))</f>
        <v/>
      </c>
      <c r="L1529" s="82" t="str">
        <f aca="false">IF(B1529="","",IFERROR(INDEX('CARNET DE SOUDURE'!$D$7:$D$3006,MATCH(B1529,'CARNET DE SOUDURE'!$L$7:$L$3006,0)),IFERROR(INDEX('CARNET DE SOUDURE'!$D$7:$D$3006,MATCH(B1529,'CARNET DE SOUDURE'!$O$7:$O$3006,0)),"")))</f>
        <v/>
      </c>
      <c r="M1529" s="82" t="str">
        <f aca="false">IF(B1529="","",IF(OR(J1529&lt;&gt;"",K1529&lt;&gt;""),"POSÉ EN LIGNE",IF(COUNTIF(BARDAGE!$C$1:$C$5000,B1529)&gt;0,"BARDÉ","EN STOCK")))</f>
        <v/>
      </c>
      <c r="N1529" s="80"/>
    </row>
    <row r="1530" customFormat="false" ht="15" hidden="false" customHeight="false" outlineLevel="0" collapsed="false">
      <c r="A1530" s="82" t="str">
        <f aca="false">IF(B1530="","",ROW()-6)</f>
        <v/>
      </c>
      <c r="B1530" s="145"/>
      <c r="C1530" s="146"/>
      <c r="D1530" s="146"/>
      <c r="E1530" s="82" t="str">
        <f aca="false">IF(B1530="","",IF(COUNTIFS('CARNET DE SOUDURE'!$L$7:$L$3006,B1530,'CARNET DE SOUDURE'!$M$7:$M$3006,"&lt;&gt;"&amp;C1530,'CARNET DE SOUDURE'!$M$7:$M$3006,"&lt;&gt;")+COUNTIFS('CARNET DE SOUDURE'!$O$7:$O$3006,B1530,'CARNET DE SOUDURE'!$P$7:$P$3006,"&lt;&gt;"&amp;C1530,'CARNET DE SOUDURE'!$P$7:$P$3006,"&lt;&gt;")&gt;0,"⚠ DIFFÉRENTE","OK"))</f>
        <v/>
      </c>
      <c r="F1530" s="147"/>
      <c r="G1530" s="80"/>
      <c r="H1530" s="83"/>
      <c r="I1530" s="148" t="str">
        <f aca="false">IF(B1530="","",IFERROR(INDEX('CARNET DE SOUDURE'!$B$7:$B$3006,MATCH(B1530,'CARNET DE SOUDURE'!$L$7:$L$3006,0)),IFERROR(INDEX('CARNET DE SOUDURE'!$B$7:$B$3006,MATCH(B1530,'CARNET DE SOUDURE'!$O$7:$O$3006,0)),"")))</f>
        <v/>
      </c>
      <c r="J1530" s="82" t="str">
        <f aca="false">IF(B1530="","",IFERROR(INDEX('CARNET DE SOUDURE'!$E$7:$E$3006,MATCH(B1530,'CARNET DE SOUDURE'!$O$7:$O$3006,0)),""))</f>
        <v/>
      </c>
      <c r="K1530" s="82" t="str">
        <f aca="false">IF(B1530="","",IFERROR(INDEX('CARNET DE SOUDURE'!$E$7:$E$3006,MATCH(B1530,'CARNET DE SOUDURE'!$L$7:$L$3006,0)),""))</f>
        <v/>
      </c>
      <c r="L1530" s="82" t="str">
        <f aca="false">IF(B1530="","",IFERROR(INDEX('CARNET DE SOUDURE'!$D$7:$D$3006,MATCH(B1530,'CARNET DE SOUDURE'!$L$7:$L$3006,0)),IFERROR(INDEX('CARNET DE SOUDURE'!$D$7:$D$3006,MATCH(B1530,'CARNET DE SOUDURE'!$O$7:$O$3006,0)),"")))</f>
        <v/>
      </c>
      <c r="M1530" s="82" t="str">
        <f aca="false">IF(B1530="","",IF(OR(J1530&lt;&gt;"",K1530&lt;&gt;""),"POSÉ EN LIGNE",IF(COUNTIF(BARDAGE!$C$1:$C$5000,B1530)&gt;0,"BARDÉ","EN STOCK")))</f>
        <v/>
      </c>
      <c r="N1530" s="80"/>
    </row>
    <row r="1531" customFormat="false" ht="15" hidden="false" customHeight="false" outlineLevel="0" collapsed="false">
      <c r="A1531" s="82" t="str">
        <f aca="false">IF(B1531="","",ROW()-6)</f>
        <v/>
      </c>
      <c r="B1531" s="145"/>
      <c r="C1531" s="146"/>
      <c r="D1531" s="146"/>
      <c r="E1531" s="82" t="str">
        <f aca="false">IF(B1531="","",IF(COUNTIFS('CARNET DE SOUDURE'!$L$7:$L$3006,B1531,'CARNET DE SOUDURE'!$M$7:$M$3006,"&lt;&gt;"&amp;C1531,'CARNET DE SOUDURE'!$M$7:$M$3006,"&lt;&gt;")+COUNTIFS('CARNET DE SOUDURE'!$O$7:$O$3006,B1531,'CARNET DE SOUDURE'!$P$7:$P$3006,"&lt;&gt;"&amp;C1531,'CARNET DE SOUDURE'!$P$7:$P$3006,"&lt;&gt;")&gt;0,"⚠ DIFFÉRENTE","OK"))</f>
        <v/>
      </c>
      <c r="F1531" s="147"/>
      <c r="G1531" s="80"/>
      <c r="H1531" s="83"/>
      <c r="I1531" s="148" t="str">
        <f aca="false">IF(B1531="","",IFERROR(INDEX('CARNET DE SOUDURE'!$B$7:$B$3006,MATCH(B1531,'CARNET DE SOUDURE'!$L$7:$L$3006,0)),IFERROR(INDEX('CARNET DE SOUDURE'!$B$7:$B$3006,MATCH(B1531,'CARNET DE SOUDURE'!$O$7:$O$3006,0)),"")))</f>
        <v/>
      </c>
      <c r="J1531" s="82" t="str">
        <f aca="false">IF(B1531="","",IFERROR(INDEX('CARNET DE SOUDURE'!$E$7:$E$3006,MATCH(B1531,'CARNET DE SOUDURE'!$O$7:$O$3006,0)),""))</f>
        <v/>
      </c>
      <c r="K1531" s="82" t="str">
        <f aca="false">IF(B1531="","",IFERROR(INDEX('CARNET DE SOUDURE'!$E$7:$E$3006,MATCH(B1531,'CARNET DE SOUDURE'!$L$7:$L$3006,0)),""))</f>
        <v/>
      </c>
      <c r="L1531" s="82" t="str">
        <f aca="false">IF(B1531="","",IFERROR(INDEX('CARNET DE SOUDURE'!$D$7:$D$3006,MATCH(B1531,'CARNET DE SOUDURE'!$L$7:$L$3006,0)),IFERROR(INDEX('CARNET DE SOUDURE'!$D$7:$D$3006,MATCH(B1531,'CARNET DE SOUDURE'!$O$7:$O$3006,0)),"")))</f>
        <v/>
      </c>
      <c r="M1531" s="82" t="str">
        <f aca="false">IF(B1531="","",IF(OR(J1531&lt;&gt;"",K1531&lt;&gt;""),"POSÉ EN LIGNE",IF(COUNTIF(BARDAGE!$C$1:$C$5000,B1531)&gt;0,"BARDÉ","EN STOCK")))</f>
        <v/>
      </c>
      <c r="N1531" s="80"/>
    </row>
    <row r="1532" customFormat="false" ht="15" hidden="false" customHeight="false" outlineLevel="0" collapsed="false">
      <c r="A1532" s="82" t="str">
        <f aca="false">IF(B1532="","",ROW()-6)</f>
        <v/>
      </c>
      <c r="B1532" s="145"/>
      <c r="C1532" s="146"/>
      <c r="D1532" s="146"/>
      <c r="E1532" s="82" t="str">
        <f aca="false">IF(B1532="","",IF(COUNTIFS('CARNET DE SOUDURE'!$L$7:$L$3006,B1532,'CARNET DE SOUDURE'!$M$7:$M$3006,"&lt;&gt;"&amp;C1532,'CARNET DE SOUDURE'!$M$7:$M$3006,"&lt;&gt;")+COUNTIFS('CARNET DE SOUDURE'!$O$7:$O$3006,B1532,'CARNET DE SOUDURE'!$P$7:$P$3006,"&lt;&gt;"&amp;C1532,'CARNET DE SOUDURE'!$P$7:$P$3006,"&lt;&gt;")&gt;0,"⚠ DIFFÉRENTE","OK"))</f>
        <v/>
      </c>
      <c r="F1532" s="147"/>
      <c r="G1532" s="80"/>
      <c r="H1532" s="83"/>
      <c r="I1532" s="148" t="str">
        <f aca="false">IF(B1532="","",IFERROR(INDEX('CARNET DE SOUDURE'!$B$7:$B$3006,MATCH(B1532,'CARNET DE SOUDURE'!$L$7:$L$3006,0)),IFERROR(INDEX('CARNET DE SOUDURE'!$B$7:$B$3006,MATCH(B1532,'CARNET DE SOUDURE'!$O$7:$O$3006,0)),"")))</f>
        <v/>
      </c>
      <c r="J1532" s="82" t="str">
        <f aca="false">IF(B1532="","",IFERROR(INDEX('CARNET DE SOUDURE'!$E$7:$E$3006,MATCH(B1532,'CARNET DE SOUDURE'!$O$7:$O$3006,0)),""))</f>
        <v/>
      </c>
      <c r="K1532" s="82" t="str">
        <f aca="false">IF(B1532="","",IFERROR(INDEX('CARNET DE SOUDURE'!$E$7:$E$3006,MATCH(B1532,'CARNET DE SOUDURE'!$L$7:$L$3006,0)),""))</f>
        <v/>
      </c>
      <c r="L1532" s="82" t="str">
        <f aca="false">IF(B1532="","",IFERROR(INDEX('CARNET DE SOUDURE'!$D$7:$D$3006,MATCH(B1532,'CARNET DE SOUDURE'!$L$7:$L$3006,0)),IFERROR(INDEX('CARNET DE SOUDURE'!$D$7:$D$3006,MATCH(B1532,'CARNET DE SOUDURE'!$O$7:$O$3006,0)),"")))</f>
        <v/>
      </c>
      <c r="M1532" s="82" t="str">
        <f aca="false">IF(B1532="","",IF(OR(J1532&lt;&gt;"",K1532&lt;&gt;""),"POSÉ EN LIGNE",IF(COUNTIF(BARDAGE!$C$1:$C$5000,B1532)&gt;0,"BARDÉ","EN STOCK")))</f>
        <v/>
      </c>
      <c r="N1532" s="80"/>
    </row>
    <row r="1533" customFormat="false" ht="15" hidden="false" customHeight="false" outlineLevel="0" collapsed="false">
      <c r="A1533" s="82" t="str">
        <f aca="false">IF(B1533="","",ROW()-6)</f>
        <v/>
      </c>
      <c r="B1533" s="145"/>
      <c r="C1533" s="146"/>
      <c r="D1533" s="146"/>
      <c r="E1533" s="82" t="str">
        <f aca="false">IF(B1533="","",IF(COUNTIFS('CARNET DE SOUDURE'!$L$7:$L$3006,B1533,'CARNET DE SOUDURE'!$M$7:$M$3006,"&lt;&gt;"&amp;C1533,'CARNET DE SOUDURE'!$M$7:$M$3006,"&lt;&gt;")+COUNTIFS('CARNET DE SOUDURE'!$O$7:$O$3006,B1533,'CARNET DE SOUDURE'!$P$7:$P$3006,"&lt;&gt;"&amp;C1533,'CARNET DE SOUDURE'!$P$7:$P$3006,"&lt;&gt;")&gt;0,"⚠ DIFFÉRENTE","OK"))</f>
        <v/>
      </c>
      <c r="F1533" s="147"/>
      <c r="G1533" s="80"/>
      <c r="H1533" s="83"/>
      <c r="I1533" s="148" t="str">
        <f aca="false">IF(B1533="","",IFERROR(INDEX('CARNET DE SOUDURE'!$B$7:$B$3006,MATCH(B1533,'CARNET DE SOUDURE'!$L$7:$L$3006,0)),IFERROR(INDEX('CARNET DE SOUDURE'!$B$7:$B$3006,MATCH(B1533,'CARNET DE SOUDURE'!$O$7:$O$3006,0)),"")))</f>
        <v/>
      </c>
      <c r="J1533" s="82" t="str">
        <f aca="false">IF(B1533="","",IFERROR(INDEX('CARNET DE SOUDURE'!$E$7:$E$3006,MATCH(B1533,'CARNET DE SOUDURE'!$O$7:$O$3006,0)),""))</f>
        <v/>
      </c>
      <c r="K1533" s="82" t="str">
        <f aca="false">IF(B1533="","",IFERROR(INDEX('CARNET DE SOUDURE'!$E$7:$E$3006,MATCH(B1533,'CARNET DE SOUDURE'!$L$7:$L$3006,0)),""))</f>
        <v/>
      </c>
      <c r="L1533" s="82" t="str">
        <f aca="false">IF(B1533="","",IFERROR(INDEX('CARNET DE SOUDURE'!$D$7:$D$3006,MATCH(B1533,'CARNET DE SOUDURE'!$L$7:$L$3006,0)),IFERROR(INDEX('CARNET DE SOUDURE'!$D$7:$D$3006,MATCH(B1533,'CARNET DE SOUDURE'!$O$7:$O$3006,0)),"")))</f>
        <v/>
      </c>
      <c r="M1533" s="82" t="str">
        <f aca="false">IF(B1533="","",IF(OR(J1533&lt;&gt;"",K1533&lt;&gt;""),"POSÉ EN LIGNE",IF(COUNTIF(BARDAGE!$C$1:$C$5000,B1533)&gt;0,"BARDÉ","EN STOCK")))</f>
        <v/>
      </c>
      <c r="N1533" s="80"/>
    </row>
    <row r="1534" customFormat="false" ht="15" hidden="false" customHeight="false" outlineLevel="0" collapsed="false">
      <c r="A1534" s="82" t="str">
        <f aca="false">IF(B1534="","",ROW()-6)</f>
        <v/>
      </c>
      <c r="B1534" s="145"/>
      <c r="C1534" s="146"/>
      <c r="D1534" s="146"/>
      <c r="E1534" s="82" t="str">
        <f aca="false">IF(B1534="","",IF(COUNTIFS('CARNET DE SOUDURE'!$L$7:$L$3006,B1534,'CARNET DE SOUDURE'!$M$7:$M$3006,"&lt;&gt;"&amp;C1534,'CARNET DE SOUDURE'!$M$7:$M$3006,"&lt;&gt;")+COUNTIFS('CARNET DE SOUDURE'!$O$7:$O$3006,B1534,'CARNET DE SOUDURE'!$P$7:$P$3006,"&lt;&gt;"&amp;C1534,'CARNET DE SOUDURE'!$P$7:$P$3006,"&lt;&gt;")&gt;0,"⚠ DIFFÉRENTE","OK"))</f>
        <v/>
      </c>
      <c r="F1534" s="147"/>
      <c r="G1534" s="80"/>
      <c r="H1534" s="83"/>
      <c r="I1534" s="148" t="str">
        <f aca="false">IF(B1534="","",IFERROR(INDEX('CARNET DE SOUDURE'!$B$7:$B$3006,MATCH(B1534,'CARNET DE SOUDURE'!$L$7:$L$3006,0)),IFERROR(INDEX('CARNET DE SOUDURE'!$B$7:$B$3006,MATCH(B1534,'CARNET DE SOUDURE'!$O$7:$O$3006,0)),"")))</f>
        <v/>
      </c>
      <c r="J1534" s="82" t="str">
        <f aca="false">IF(B1534="","",IFERROR(INDEX('CARNET DE SOUDURE'!$E$7:$E$3006,MATCH(B1534,'CARNET DE SOUDURE'!$O$7:$O$3006,0)),""))</f>
        <v/>
      </c>
      <c r="K1534" s="82" t="str">
        <f aca="false">IF(B1534="","",IFERROR(INDEX('CARNET DE SOUDURE'!$E$7:$E$3006,MATCH(B1534,'CARNET DE SOUDURE'!$L$7:$L$3006,0)),""))</f>
        <v/>
      </c>
      <c r="L1534" s="82" t="str">
        <f aca="false">IF(B1534="","",IFERROR(INDEX('CARNET DE SOUDURE'!$D$7:$D$3006,MATCH(B1534,'CARNET DE SOUDURE'!$L$7:$L$3006,0)),IFERROR(INDEX('CARNET DE SOUDURE'!$D$7:$D$3006,MATCH(B1534,'CARNET DE SOUDURE'!$O$7:$O$3006,0)),"")))</f>
        <v/>
      </c>
      <c r="M1534" s="82" t="str">
        <f aca="false">IF(B1534="","",IF(OR(J1534&lt;&gt;"",K1534&lt;&gt;""),"POSÉ EN LIGNE",IF(COUNTIF(BARDAGE!$C$1:$C$5000,B1534)&gt;0,"BARDÉ","EN STOCK")))</f>
        <v/>
      </c>
      <c r="N1534" s="80"/>
    </row>
    <row r="1535" customFormat="false" ht="15" hidden="false" customHeight="false" outlineLevel="0" collapsed="false">
      <c r="A1535" s="82" t="str">
        <f aca="false">IF(B1535="","",ROW()-6)</f>
        <v/>
      </c>
      <c r="B1535" s="145"/>
      <c r="C1535" s="146"/>
      <c r="D1535" s="146"/>
      <c r="E1535" s="82" t="str">
        <f aca="false">IF(B1535="","",IF(COUNTIFS('CARNET DE SOUDURE'!$L$7:$L$3006,B1535,'CARNET DE SOUDURE'!$M$7:$M$3006,"&lt;&gt;"&amp;C1535,'CARNET DE SOUDURE'!$M$7:$M$3006,"&lt;&gt;")+COUNTIFS('CARNET DE SOUDURE'!$O$7:$O$3006,B1535,'CARNET DE SOUDURE'!$P$7:$P$3006,"&lt;&gt;"&amp;C1535,'CARNET DE SOUDURE'!$P$7:$P$3006,"&lt;&gt;")&gt;0,"⚠ DIFFÉRENTE","OK"))</f>
        <v/>
      </c>
      <c r="F1535" s="147"/>
      <c r="G1535" s="80"/>
      <c r="H1535" s="83"/>
      <c r="I1535" s="148" t="str">
        <f aca="false">IF(B1535="","",IFERROR(INDEX('CARNET DE SOUDURE'!$B$7:$B$3006,MATCH(B1535,'CARNET DE SOUDURE'!$L$7:$L$3006,0)),IFERROR(INDEX('CARNET DE SOUDURE'!$B$7:$B$3006,MATCH(B1535,'CARNET DE SOUDURE'!$O$7:$O$3006,0)),"")))</f>
        <v/>
      </c>
      <c r="J1535" s="82" t="str">
        <f aca="false">IF(B1535="","",IFERROR(INDEX('CARNET DE SOUDURE'!$E$7:$E$3006,MATCH(B1535,'CARNET DE SOUDURE'!$O$7:$O$3006,0)),""))</f>
        <v/>
      </c>
      <c r="K1535" s="82" t="str">
        <f aca="false">IF(B1535="","",IFERROR(INDEX('CARNET DE SOUDURE'!$E$7:$E$3006,MATCH(B1535,'CARNET DE SOUDURE'!$L$7:$L$3006,0)),""))</f>
        <v/>
      </c>
      <c r="L1535" s="82" t="str">
        <f aca="false">IF(B1535="","",IFERROR(INDEX('CARNET DE SOUDURE'!$D$7:$D$3006,MATCH(B1535,'CARNET DE SOUDURE'!$L$7:$L$3006,0)),IFERROR(INDEX('CARNET DE SOUDURE'!$D$7:$D$3006,MATCH(B1535,'CARNET DE SOUDURE'!$O$7:$O$3006,0)),"")))</f>
        <v/>
      </c>
      <c r="M1535" s="82" t="str">
        <f aca="false">IF(B1535="","",IF(OR(J1535&lt;&gt;"",K1535&lt;&gt;""),"POSÉ EN LIGNE",IF(COUNTIF(BARDAGE!$C$1:$C$5000,B1535)&gt;0,"BARDÉ","EN STOCK")))</f>
        <v/>
      </c>
      <c r="N1535" s="80"/>
    </row>
    <row r="1536" customFormat="false" ht="15" hidden="false" customHeight="false" outlineLevel="0" collapsed="false">
      <c r="A1536" s="82" t="str">
        <f aca="false">IF(B1536="","",ROW()-6)</f>
        <v/>
      </c>
      <c r="B1536" s="145"/>
      <c r="C1536" s="146"/>
      <c r="D1536" s="146"/>
      <c r="E1536" s="82" t="str">
        <f aca="false">IF(B1536="","",IF(COUNTIFS('CARNET DE SOUDURE'!$L$7:$L$3006,B1536,'CARNET DE SOUDURE'!$M$7:$M$3006,"&lt;&gt;"&amp;C1536,'CARNET DE SOUDURE'!$M$7:$M$3006,"&lt;&gt;")+COUNTIFS('CARNET DE SOUDURE'!$O$7:$O$3006,B1536,'CARNET DE SOUDURE'!$P$7:$P$3006,"&lt;&gt;"&amp;C1536,'CARNET DE SOUDURE'!$P$7:$P$3006,"&lt;&gt;")&gt;0,"⚠ DIFFÉRENTE","OK"))</f>
        <v/>
      </c>
      <c r="F1536" s="147"/>
      <c r="G1536" s="80"/>
      <c r="H1536" s="83"/>
      <c r="I1536" s="148" t="str">
        <f aca="false">IF(B1536="","",IFERROR(INDEX('CARNET DE SOUDURE'!$B$7:$B$3006,MATCH(B1536,'CARNET DE SOUDURE'!$L$7:$L$3006,0)),IFERROR(INDEX('CARNET DE SOUDURE'!$B$7:$B$3006,MATCH(B1536,'CARNET DE SOUDURE'!$O$7:$O$3006,0)),"")))</f>
        <v/>
      </c>
      <c r="J1536" s="82" t="str">
        <f aca="false">IF(B1536="","",IFERROR(INDEX('CARNET DE SOUDURE'!$E$7:$E$3006,MATCH(B1536,'CARNET DE SOUDURE'!$O$7:$O$3006,0)),""))</f>
        <v/>
      </c>
      <c r="K1536" s="82" t="str">
        <f aca="false">IF(B1536="","",IFERROR(INDEX('CARNET DE SOUDURE'!$E$7:$E$3006,MATCH(B1536,'CARNET DE SOUDURE'!$L$7:$L$3006,0)),""))</f>
        <v/>
      </c>
      <c r="L1536" s="82" t="str">
        <f aca="false">IF(B1536="","",IFERROR(INDEX('CARNET DE SOUDURE'!$D$7:$D$3006,MATCH(B1536,'CARNET DE SOUDURE'!$L$7:$L$3006,0)),IFERROR(INDEX('CARNET DE SOUDURE'!$D$7:$D$3006,MATCH(B1536,'CARNET DE SOUDURE'!$O$7:$O$3006,0)),"")))</f>
        <v/>
      </c>
      <c r="M1536" s="82" t="str">
        <f aca="false">IF(B1536="","",IF(OR(J1536&lt;&gt;"",K1536&lt;&gt;""),"POSÉ EN LIGNE",IF(COUNTIF(BARDAGE!$C$1:$C$5000,B1536)&gt;0,"BARDÉ","EN STOCK")))</f>
        <v/>
      </c>
      <c r="N1536" s="80"/>
    </row>
    <row r="1537" customFormat="false" ht="15" hidden="false" customHeight="false" outlineLevel="0" collapsed="false">
      <c r="A1537" s="82" t="str">
        <f aca="false">IF(B1537="","",ROW()-6)</f>
        <v/>
      </c>
      <c r="B1537" s="145"/>
      <c r="C1537" s="146"/>
      <c r="D1537" s="146"/>
      <c r="E1537" s="82" t="str">
        <f aca="false">IF(B1537="","",IF(COUNTIFS('CARNET DE SOUDURE'!$L$7:$L$3006,B1537,'CARNET DE SOUDURE'!$M$7:$M$3006,"&lt;&gt;"&amp;C1537,'CARNET DE SOUDURE'!$M$7:$M$3006,"&lt;&gt;")+COUNTIFS('CARNET DE SOUDURE'!$O$7:$O$3006,B1537,'CARNET DE SOUDURE'!$P$7:$P$3006,"&lt;&gt;"&amp;C1537,'CARNET DE SOUDURE'!$P$7:$P$3006,"&lt;&gt;")&gt;0,"⚠ DIFFÉRENTE","OK"))</f>
        <v/>
      </c>
      <c r="F1537" s="147"/>
      <c r="G1537" s="80"/>
      <c r="H1537" s="83"/>
      <c r="I1537" s="148" t="str">
        <f aca="false">IF(B1537="","",IFERROR(INDEX('CARNET DE SOUDURE'!$B$7:$B$3006,MATCH(B1537,'CARNET DE SOUDURE'!$L$7:$L$3006,0)),IFERROR(INDEX('CARNET DE SOUDURE'!$B$7:$B$3006,MATCH(B1537,'CARNET DE SOUDURE'!$O$7:$O$3006,0)),"")))</f>
        <v/>
      </c>
      <c r="J1537" s="82" t="str">
        <f aca="false">IF(B1537="","",IFERROR(INDEX('CARNET DE SOUDURE'!$E$7:$E$3006,MATCH(B1537,'CARNET DE SOUDURE'!$O$7:$O$3006,0)),""))</f>
        <v/>
      </c>
      <c r="K1537" s="82" t="str">
        <f aca="false">IF(B1537="","",IFERROR(INDEX('CARNET DE SOUDURE'!$E$7:$E$3006,MATCH(B1537,'CARNET DE SOUDURE'!$L$7:$L$3006,0)),""))</f>
        <v/>
      </c>
      <c r="L1537" s="82" t="str">
        <f aca="false">IF(B1537="","",IFERROR(INDEX('CARNET DE SOUDURE'!$D$7:$D$3006,MATCH(B1537,'CARNET DE SOUDURE'!$L$7:$L$3006,0)),IFERROR(INDEX('CARNET DE SOUDURE'!$D$7:$D$3006,MATCH(B1537,'CARNET DE SOUDURE'!$O$7:$O$3006,0)),"")))</f>
        <v/>
      </c>
      <c r="M1537" s="82" t="str">
        <f aca="false">IF(B1537="","",IF(OR(J1537&lt;&gt;"",K1537&lt;&gt;""),"POSÉ EN LIGNE",IF(COUNTIF(BARDAGE!$C$1:$C$5000,B1537)&gt;0,"BARDÉ","EN STOCK")))</f>
        <v/>
      </c>
      <c r="N1537" s="80"/>
    </row>
    <row r="1538" customFormat="false" ht="15" hidden="false" customHeight="false" outlineLevel="0" collapsed="false">
      <c r="A1538" s="82" t="str">
        <f aca="false">IF(B1538="","",ROW()-6)</f>
        <v/>
      </c>
      <c r="B1538" s="145"/>
      <c r="C1538" s="146"/>
      <c r="D1538" s="146"/>
      <c r="E1538" s="82" t="str">
        <f aca="false">IF(B1538="","",IF(COUNTIFS('CARNET DE SOUDURE'!$L$7:$L$3006,B1538,'CARNET DE SOUDURE'!$M$7:$M$3006,"&lt;&gt;"&amp;C1538,'CARNET DE SOUDURE'!$M$7:$M$3006,"&lt;&gt;")+COUNTIFS('CARNET DE SOUDURE'!$O$7:$O$3006,B1538,'CARNET DE SOUDURE'!$P$7:$P$3006,"&lt;&gt;"&amp;C1538,'CARNET DE SOUDURE'!$P$7:$P$3006,"&lt;&gt;")&gt;0,"⚠ DIFFÉRENTE","OK"))</f>
        <v/>
      </c>
      <c r="F1538" s="147"/>
      <c r="G1538" s="80"/>
      <c r="H1538" s="83"/>
      <c r="I1538" s="148" t="str">
        <f aca="false">IF(B1538="","",IFERROR(INDEX('CARNET DE SOUDURE'!$B$7:$B$3006,MATCH(B1538,'CARNET DE SOUDURE'!$L$7:$L$3006,0)),IFERROR(INDEX('CARNET DE SOUDURE'!$B$7:$B$3006,MATCH(B1538,'CARNET DE SOUDURE'!$O$7:$O$3006,0)),"")))</f>
        <v/>
      </c>
      <c r="J1538" s="82" t="str">
        <f aca="false">IF(B1538="","",IFERROR(INDEX('CARNET DE SOUDURE'!$E$7:$E$3006,MATCH(B1538,'CARNET DE SOUDURE'!$O$7:$O$3006,0)),""))</f>
        <v/>
      </c>
      <c r="K1538" s="82" t="str">
        <f aca="false">IF(B1538="","",IFERROR(INDEX('CARNET DE SOUDURE'!$E$7:$E$3006,MATCH(B1538,'CARNET DE SOUDURE'!$L$7:$L$3006,0)),""))</f>
        <v/>
      </c>
      <c r="L1538" s="82" t="str">
        <f aca="false">IF(B1538="","",IFERROR(INDEX('CARNET DE SOUDURE'!$D$7:$D$3006,MATCH(B1538,'CARNET DE SOUDURE'!$L$7:$L$3006,0)),IFERROR(INDEX('CARNET DE SOUDURE'!$D$7:$D$3006,MATCH(B1538,'CARNET DE SOUDURE'!$O$7:$O$3006,0)),"")))</f>
        <v/>
      </c>
      <c r="M1538" s="82" t="str">
        <f aca="false">IF(B1538="","",IF(OR(J1538&lt;&gt;"",K1538&lt;&gt;""),"POSÉ EN LIGNE",IF(COUNTIF(BARDAGE!$C$1:$C$5000,B1538)&gt;0,"BARDÉ","EN STOCK")))</f>
        <v/>
      </c>
      <c r="N1538" s="80"/>
    </row>
    <row r="1539" customFormat="false" ht="15" hidden="false" customHeight="false" outlineLevel="0" collapsed="false">
      <c r="A1539" s="82" t="str">
        <f aca="false">IF(B1539="","",ROW()-6)</f>
        <v/>
      </c>
      <c r="B1539" s="145"/>
      <c r="C1539" s="146"/>
      <c r="D1539" s="146"/>
      <c r="E1539" s="82" t="str">
        <f aca="false">IF(B1539="","",IF(COUNTIFS('CARNET DE SOUDURE'!$L$7:$L$3006,B1539,'CARNET DE SOUDURE'!$M$7:$M$3006,"&lt;&gt;"&amp;C1539,'CARNET DE SOUDURE'!$M$7:$M$3006,"&lt;&gt;")+COUNTIFS('CARNET DE SOUDURE'!$O$7:$O$3006,B1539,'CARNET DE SOUDURE'!$P$7:$P$3006,"&lt;&gt;"&amp;C1539,'CARNET DE SOUDURE'!$P$7:$P$3006,"&lt;&gt;")&gt;0,"⚠ DIFFÉRENTE","OK"))</f>
        <v/>
      </c>
      <c r="F1539" s="147"/>
      <c r="G1539" s="80"/>
      <c r="H1539" s="83"/>
      <c r="I1539" s="148" t="str">
        <f aca="false">IF(B1539="","",IFERROR(INDEX('CARNET DE SOUDURE'!$B$7:$B$3006,MATCH(B1539,'CARNET DE SOUDURE'!$L$7:$L$3006,0)),IFERROR(INDEX('CARNET DE SOUDURE'!$B$7:$B$3006,MATCH(B1539,'CARNET DE SOUDURE'!$O$7:$O$3006,0)),"")))</f>
        <v/>
      </c>
      <c r="J1539" s="82" t="str">
        <f aca="false">IF(B1539="","",IFERROR(INDEX('CARNET DE SOUDURE'!$E$7:$E$3006,MATCH(B1539,'CARNET DE SOUDURE'!$O$7:$O$3006,0)),""))</f>
        <v/>
      </c>
      <c r="K1539" s="82" t="str">
        <f aca="false">IF(B1539="","",IFERROR(INDEX('CARNET DE SOUDURE'!$E$7:$E$3006,MATCH(B1539,'CARNET DE SOUDURE'!$L$7:$L$3006,0)),""))</f>
        <v/>
      </c>
      <c r="L1539" s="82" t="str">
        <f aca="false">IF(B1539="","",IFERROR(INDEX('CARNET DE SOUDURE'!$D$7:$D$3006,MATCH(B1539,'CARNET DE SOUDURE'!$L$7:$L$3006,0)),IFERROR(INDEX('CARNET DE SOUDURE'!$D$7:$D$3006,MATCH(B1539,'CARNET DE SOUDURE'!$O$7:$O$3006,0)),"")))</f>
        <v/>
      </c>
      <c r="M1539" s="82" t="str">
        <f aca="false">IF(B1539="","",IF(OR(J1539&lt;&gt;"",K1539&lt;&gt;""),"POSÉ EN LIGNE",IF(COUNTIF(BARDAGE!$C$1:$C$5000,B1539)&gt;0,"BARDÉ","EN STOCK")))</f>
        <v/>
      </c>
      <c r="N1539" s="80"/>
    </row>
    <row r="1540" customFormat="false" ht="15" hidden="false" customHeight="false" outlineLevel="0" collapsed="false">
      <c r="A1540" s="82" t="str">
        <f aca="false">IF(B1540="","",ROW()-6)</f>
        <v/>
      </c>
      <c r="B1540" s="145"/>
      <c r="C1540" s="146"/>
      <c r="D1540" s="146"/>
      <c r="E1540" s="82" t="str">
        <f aca="false">IF(B1540="","",IF(COUNTIFS('CARNET DE SOUDURE'!$L$7:$L$3006,B1540,'CARNET DE SOUDURE'!$M$7:$M$3006,"&lt;&gt;"&amp;C1540,'CARNET DE SOUDURE'!$M$7:$M$3006,"&lt;&gt;")+COUNTIFS('CARNET DE SOUDURE'!$O$7:$O$3006,B1540,'CARNET DE SOUDURE'!$P$7:$P$3006,"&lt;&gt;"&amp;C1540,'CARNET DE SOUDURE'!$P$7:$P$3006,"&lt;&gt;")&gt;0,"⚠ DIFFÉRENTE","OK"))</f>
        <v/>
      </c>
      <c r="F1540" s="147"/>
      <c r="G1540" s="80"/>
      <c r="H1540" s="83"/>
      <c r="I1540" s="148" t="str">
        <f aca="false">IF(B1540="","",IFERROR(INDEX('CARNET DE SOUDURE'!$B$7:$B$3006,MATCH(B1540,'CARNET DE SOUDURE'!$L$7:$L$3006,0)),IFERROR(INDEX('CARNET DE SOUDURE'!$B$7:$B$3006,MATCH(B1540,'CARNET DE SOUDURE'!$O$7:$O$3006,0)),"")))</f>
        <v/>
      </c>
      <c r="J1540" s="82" t="str">
        <f aca="false">IF(B1540="","",IFERROR(INDEX('CARNET DE SOUDURE'!$E$7:$E$3006,MATCH(B1540,'CARNET DE SOUDURE'!$O$7:$O$3006,0)),""))</f>
        <v/>
      </c>
      <c r="K1540" s="82" t="str">
        <f aca="false">IF(B1540="","",IFERROR(INDEX('CARNET DE SOUDURE'!$E$7:$E$3006,MATCH(B1540,'CARNET DE SOUDURE'!$L$7:$L$3006,0)),""))</f>
        <v/>
      </c>
      <c r="L1540" s="82" t="str">
        <f aca="false">IF(B1540="","",IFERROR(INDEX('CARNET DE SOUDURE'!$D$7:$D$3006,MATCH(B1540,'CARNET DE SOUDURE'!$L$7:$L$3006,0)),IFERROR(INDEX('CARNET DE SOUDURE'!$D$7:$D$3006,MATCH(B1540,'CARNET DE SOUDURE'!$O$7:$O$3006,0)),"")))</f>
        <v/>
      </c>
      <c r="M1540" s="82" t="str">
        <f aca="false">IF(B1540="","",IF(OR(J1540&lt;&gt;"",K1540&lt;&gt;""),"POSÉ EN LIGNE",IF(COUNTIF(BARDAGE!$C$1:$C$5000,B1540)&gt;0,"BARDÉ","EN STOCK")))</f>
        <v/>
      </c>
      <c r="N1540" s="80"/>
    </row>
    <row r="1541" customFormat="false" ht="15" hidden="false" customHeight="false" outlineLevel="0" collapsed="false">
      <c r="A1541" s="82" t="str">
        <f aca="false">IF(B1541="","",ROW()-6)</f>
        <v/>
      </c>
      <c r="B1541" s="145"/>
      <c r="C1541" s="146"/>
      <c r="D1541" s="146"/>
      <c r="E1541" s="82" t="str">
        <f aca="false">IF(B1541="","",IF(COUNTIFS('CARNET DE SOUDURE'!$L$7:$L$3006,B1541,'CARNET DE SOUDURE'!$M$7:$M$3006,"&lt;&gt;"&amp;C1541,'CARNET DE SOUDURE'!$M$7:$M$3006,"&lt;&gt;")+COUNTIFS('CARNET DE SOUDURE'!$O$7:$O$3006,B1541,'CARNET DE SOUDURE'!$P$7:$P$3006,"&lt;&gt;"&amp;C1541,'CARNET DE SOUDURE'!$P$7:$P$3006,"&lt;&gt;")&gt;0,"⚠ DIFFÉRENTE","OK"))</f>
        <v/>
      </c>
      <c r="F1541" s="147"/>
      <c r="G1541" s="80"/>
      <c r="H1541" s="83"/>
      <c r="I1541" s="148" t="str">
        <f aca="false">IF(B1541="","",IFERROR(INDEX('CARNET DE SOUDURE'!$B$7:$B$3006,MATCH(B1541,'CARNET DE SOUDURE'!$L$7:$L$3006,0)),IFERROR(INDEX('CARNET DE SOUDURE'!$B$7:$B$3006,MATCH(B1541,'CARNET DE SOUDURE'!$O$7:$O$3006,0)),"")))</f>
        <v/>
      </c>
      <c r="J1541" s="82" t="str">
        <f aca="false">IF(B1541="","",IFERROR(INDEX('CARNET DE SOUDURE'!$E$7:$E$3006,MATCH(B1541,'CARNET DE SOUDURE'!$O$7:$O$3006,0)),""))</f>
        <v/>
      </c>
      <c r="K1541" s="82" t="str">
        <f aca="false">IF(B1541="","",IFERROR(INDEX('CARNET DE SOUDURE'!$E$7:$E$3006,MATCH(B1541,'CARNET DE SOUDURE'!$L$7:$L$3006,0)),""))</f>
        <v/>
      </c>
      <c r="L1541" s="82" t="str">
        <f aca="false">IF(B1541="","",IFERROR(INDEX('CARNET DE SOUDURE'!$D$7:$D$3006,MATCH(B1541,'CARNET DE SOUDURE'!$L$7:$L$3006,0)),IFERROR(INDEX('CARNET DE SOUDURE'!$D$7:$D$3006,MATCH(B1541,'CARNET DE SOUDURE'!$O$7:$O$3006,0)),"")))</f>
        <v/>
      </c>
      <c r="M1541" s="82" t="str">
        <f aca="false">IF(B1541="","",IF(OR(J1541&lt;&gt;"",K1541&lt;&gt;""),"POSÉ EN LIGNE",IF(COUNTIF(BARDAGE!$C$1:$C$5000,B1541)&gt;0,"BARDÉ","EN STOCK")))</f>
        <v/>
      </c>
      <c r="N1541" s="80"/>
    </row>
    <row r="1542" customFormat="false" ht="15" hidden="false" customHeight="false" outlineLevel="0" collapsed="false">
      <c r="A1542" s="82" t="str">
        <f aca="false">IF(B1542="","",ROW()-6)</f>
        <v/>
      </c>
      <c r="B1542" s="145"/>
      <c r="C1542" s="146"/>
      <c r="D1542" s="146"/>
      <c r="E1542" s="82" t="str">
        <f aca="false">IF(B1542="","",IF(COUNTIFS('CARNET DE SOUDURE'!$L$7:$L$3006,B1542,'CARNET DE SOUDURE'!$M$7:$M$3006,"&lt;&gt;"&amp;C1542,'CARNET DE SOUDURE'!$M$7:$M$3006,"&lt;&gt;")+COUNTIFS('CARNET DE SOUDURE'!$O$7:$O$3006,B1542,'CARNET DE SOUDURE'!$P$7:$P$3006,"&lt;&gt;"&amp;C1542,'CARNET DE SOUDURE'!$P$7:$P$3006,"&lt;&gt;")&gt;0,"⚠ DIFFÉRENTE","OK"))</f>
        <v/>
      </c>
      <c r="F1542" s="147"/>
      <c r="G1542" s="80"/>
      <c r="H1542" s="83"/>
      <c r="I1542" s="148" t="str">
        <f aca="false">IF(B1542="","",IFERROR(INDEX('CARNET DE SOUDURE'!$B$7:$B$3006,MATCH(B1542,'CARNET DE SOUDURE'!$L$7:$L$3006,0)),IFERROR(INDEX('CARNET DE SOUDURE'!$B$7:$B$3006,MATCH(B1542,'CARNET DE SOUDURE'!$O$7:$O$3006,0)),"")))</f>
        <v/>
      </c>
      <c r="J1542" s="82" t="str">
        <f aca="false">IF(B1542="","",IFERROR(INDEX('CARNET DE SOUDURE'!$E$7:$E$3006,MATCH(B1542,'CARNET DE SOUDURE'!$O$7:$O$3006,0)),""))</f>
        <v/>
      </c>
      <c r="K1542" s="82" t="str">
        <f aca="false">IF(B1542="","",IFERROR(INDEX('CARNET DE SOUDURE'!$E$7:$E$3006,MATCH(B1542,'CARNET DE SOUDURE'!$L$7:$L$3006,0)),""))</f>
        <v/>
      </c>
      <c r="L1542" s="82" t="str">
        <f aca="false">IF(B1542="","",IFERROR(INDEX('CARNET DE SOUDURE'!$D$7:$D$3006,MATCH(B1542,'CARNET DE SOUDURE'!$L$7:$L$3006,0)),IFERROR(INDEX('CARNET DE SOUDURE'!$D$7:$D$3006,MATCH(B1542,'CARNET DE SOUDURE'!$O$7:$O$3006,0)),"")))</f>
        <v/>
      </c>
      <c r="M1542" s="82" t="str">
        <f aca="false">IF(B1542="","",IF(OR(J1542&lt;&gt;"",K1542&lt;&gt;""),"POSÉ EN LIGNE",IF(COUNTIF(BARDAGE!$C$1:$C$5000,B1542)&gt;0,"BARDÉ","EN STOCK")))</f>
        <v/>
      </c>
      <c r="N1542" s="80"/>
    </row>
    <row r="1543" customFormat="false" ht="15" hidden="false" customHeight="false" outlineLevel="0" collapsed="false">
      <c r="A1543" s="82" t="str">
        <f aca="false">IF(B1543="","",ROW()-6)</f>
        <v/>
      </c>
      <c r="B1543" s="145"/>
      <c r="C1543" s="146"/>
      <c r="D1543" s="146"/>
      <c r="E1543" s="82" t="str">
        <f aca="false">IF(B1543="","",IF(COUNTIFS('CARNET DE SOUDURE'!$L$7:$L$3006,B1543,'CARNET DE SOUDURE'!$M$7:$M$3006,"&lt;&gt;"&amp;C1543,'CARNET DE SOUDURE'!$M$7:$M$3006,"&lt;&gt;")+COUNTIFS('CARNET DE SOUDURE'!$O$7:$O$3006,B1543,'CARNET DE SOUDURE'!$P$7:$P$3006,"&lt;&gt;"&amp;C1543,'CARNET DE SOUDURE'!$P$7:$P$3006,"&lt;&gt;")&gt;0,"⚠ DIFFÉRENTE","OK"))</f>
        <v/>
      </c>
      <c r="F1543" s="147"/>
      <c r="G1543" s="80"/>
      <c r="H1543" s="83"/>
      <c r="I1543" s="148" t="str">
        <f aca="false">IF(B1543="","",IFERROR(INDEX('CARNET DE SOUDURE'!$B$7:$B$3006,MATCH(B1543,'CARNET DE SOUDURE'!$L$7:$L$3006,0)),IFERROR(INDEX('CARNET DE SOUDURE'!$B$7:$B$3006,MATCH(B1543,'CARNET DE SOUDURE'!$O$7:$O$3006,0)),"")))</f>
        <v/>
      </c>
      <c r="J1543" s="82" t="str">
        <f aca="false">IF(B1543="","",IFERROR(INDEX('CARNET DE SOUDURE'!$E$7:$E$3006,MATCH(B1543,'CARNET DE SOUDURE'!$O$7:$O$3006,0)),""))</f>
        <v/>
      </c>
      <c r="K1543" s="82" t="str">
        <f aca="false">IF(B1543="","",IFERROR(INDEX('CARNET DE SOUDURE'!$E$7:$E$3006,MATCH(B1543,'CARNET DE SOUDURE'!$L$7:$L$3006,0)),""))</f>
        <v/>
      </c>
      <c r="L1543" s="82" t="str">
        <f aca="false">IF(B1543="","",IFERROR(INDEX('CARNET DE SOUDURE'!$D$7:$D$3006,MATCH(B1543,'CARNET DE SOUDURE'!$L$7:$L$3006,0)),IFERROR(INDEX('CARNET DE SOUDURE'!$D$7:$D$3006,MATCH(B1543,'CARNET DE SOUDURE'!$O$7:$O$3006,0)),"")))</f>
        <v/>
      </c>
      <c r="M1543" s="82" t="str">
        <f aca="false">IF(B1543="","",IF(OR(J1543&lt;&gt;"",K1543&lt;&gt;""),"POSÉ EN LIGNE",IF(COUNTIF(BARDAGE!$C$1:$C$5000,B1543)&gt;0,"BARDÉ","EN STOCK")))</f>
        <v/>
      </c>
      <c r="N1543" s="80"/>
    </row>
    <row r="1544" customFormat="false" ht="15" hidden="false" customHeight="false" outlineLevel="0" collapsed="false">
      <c r="A1544" s="82" t="str">
        <f aca="false">IF(B1544="","",ROW()-6)</f>
        <v/>
      </c>
      <c r="B1544" s="145"/>
      <c r="C1544" s="146"/>
      <c r="D1544" s="146"/>
      <c r="E1544" s="82" t="str">
        <f aca="false">IF(B1544="","",IF(COUNTIFS('CARNET DE SOUDURE'!$L$7:$L$3006,B1544,'CARNET DE SOUDURE'!$M$7:$M$3006,"&lt;&gt;"&amp;C1544,'CARNET DE SOUDURE'!$M$7:$M$3006,"&lt;&gt;")+COUNTIFS('CARNET DE SOUDURE'!$O$7:$O$3006,B1544,'CARNET DE SOUDURE'!$P$7:$P$3006,"&lt;&gt;"&amp;C1544,'CARNET DE SOUDURE'!$P$7:$P$3006,"&lt;&gt;")&gt;0,"⚠ DIFFÉRENTE","OK"))</f>
        <v/>
      </c>
      <c r="F1544" s="147"/>
      <c r="G1544" s="80"/>
      <c r="H1544" s="83"/>
      <c r="I1544" s="148" t="str">
        <f aca="false">IF(B1544="","",IFERROR(INDEX('CARNET DE SOUDURE'!$B$7:$B$3006,MATCH(B1544,'CARNET DE SOUDURE'!$L$7:$L$3006,0)),IFERROR(INDEX('CARNET DE SOUDURE'!$B$7:$B$3006,MATCH(B1544,'CARNET DE SOUDURE'!$O$7:$O$3006,0)),"")))</f>
        <v/>
      </c>
      <c r="J1544" s="82" t="str">
        <f aca="false">IF(B1544="","",IFERROR(INDEX('CARNET DE SOUDURE'!$E$7:$E$3006,MATCH(B1544,'CARNET DE SOUDURE'!$O$7:$O$3006,0)),""))</f>
        <v/>
      </c>
      <c r="K1544" s="82" t="str">
        <f aca="false">IF(B1544="","",IFERROR(INDEX('CARNET DE SOUDURE'!$E$7:$E$3006,MATCH(B1544,'CARNET DE SOUDURE'!$L$7:$L$3006,0)),""))</f>
        <v/>
      </c>
      <c r="L1544" s="82" t="str">
        <f aca="false">IF(B1544="","",IFERROR(INDEX('CARNET DE SOUDURE'!$D$7:$D$3006,MATCH(B1544,'CARNET DE SOUDURE'!$L$7:$L$3006,0)),IFERROR(INDEX('CARNET DE SOUDURE'!$D$7:$D$3006,MATCH(B1544,'CARNET DE SOUDURE'!$O$7:$O$3006,0)),"")))</f>
        <v/>
      </c>
      <c r="M1544" s="82" t="str">
        <f aca="false">IF(B1544="","",IF(OR(J1544&lt;&gt;"",K1544&lt;&gt;""),"POSÉ EN LIGNE",IF(COUNTIF(BARDAGE!$C$1:$C$5000,B1544)&gt;0,"BARDÉ","EN STOCK")))</f>
        <v/>
      </c>
      <c r="N1544" s="80"/>
    </row>
    <row r="1545" customFormat="false" ht="15" hidden="false" customHeight="false" outlineLevel="0" collapsed="false">
      <c r="A1545" s="82" t="str">
        <f aca="false">IF(B1545="","",ROW()-6)</f>
        <v/>
      </c>
      <c r="B1545" s="145"/>
      <c r="C1545" s="146"/>
      <c r="D1545" s="146"/>
      <c r="E1545" s="82" t="str">
        <f aca="false">IF(B1545="","",IF(COUNTIFS('CARNET DE SOUDURE'!$L$7:$L$3006,B1545,'CARNET DE SOUDURE'!$M$7:$M$3006,"&lt;&gt;"&amp;C1545,'CARNET DE SOUDURE'!$M$7:$M$3006,"&lt;&gt;")+COUNTIFS('CARNET DE SOUDURE'!$O$7:$O$3006,B1545,'CARNET DE SOUDURE'!$P$7:$P$3006,"&lt;&gt;"&amp;C1545,'CARNET DE SOUDURE'!$P$7:$P$3006,"&lt;&gt;")&gt;0,"⚠ DIFFÉRENTE","OK"))</f>
        <v/>
      </c>
      <c r="F1545" s="147"/>
      <c r="G1545" s="80"/>
      <c r="H1545" s="83"/>
      <c r="I1545" s="148" t="str">
        <f aca="false">IF(B1545="","",IFERROR(INDEX('CARNET DE SOUDURE'!$B$7:$B$3006,MATCH(B1545,'CARNET DE SOUDURE'!$L$7:$L$3006,0)),IFERROR(INDEX('CARNET DE SOUDURE'!$B$7:$B$3006,MATCH(B1545,'CARNET DE SOUDURE'!$O$7:$O$3006,0)),"")))</f>
        <v/>
      </c>
      <c r="J1545" s="82" t="str">
        <f aca="false">IF(B1545="","",IFERROR(INDEX('CARNET DE SOUDURE'!$E$7:$E$3006,MATCH(B1545,'CARNET DE SOUDURE'!$O$7:$O$3006,0)),""))</f>
        <v/>
      </c>
      <c r="K1545" s="82" t="str">
        <f aca="false">IF(B1545="","",IFERROR(INDEX('CARNET DE SOUDURE'!$E$7:$E$3006,MATCH(B1545,'CARNET DE SOUDURE'!$L$7:$L$3006,0)),""))</f>
        <v/>
      </c>
      <c r="L1545" s="82" t="str">
        <f aca="false">IF(B1545="","",IFERROR(INDEX('CARNET DE SOUDURE'!$D$7:$D$3006,MATCH(B1545,'CARNET DE SOUDURE'!$L$7:$L$3006,0)),IFERROR(INDEX('CARNET DE SOUDURE'!$D$7:$D$3006,MATCH(B1545,'CARNET DE SOUDURE'!$O$7:$O$3006,0)),"")))</f>
        <v/>
      </c>
      <c r="M1545" s="82" t="str">
        <f aca="false">IF(B1545="","",IF(OR(J1545&lt;&gt;"",K1545&lt;&gt;""),"POSÉ EN LIGNE",IF(COUNTIF(BARDAGE!$C$1:$C$5000,B1545)&gt;0,"BARDÉ","EN STOCK")))</f>
        <v/>
      </c>
      <c r="N1545" s="80"/>
    </row>
    <row r="1546" customFormat="false" ht="15" hidden="false" customHeight="false" outlineLevel="0" collapsed="false">
      <c r="A1546" s="82" t="str">
        <f aca="false">IF(B1546="","",ROW()-6)</f>
        <v/>
      </c>
      <c r="B1546" s="145"/>
      <c r="C1546" s="146"/>
      <c r="D1546" s="146"/>
      <c r="E1546" s="82" t="str">
        <f aca="false">IF(B1546="","",IF(COUNTIFS('CARNET DE SOUDURE'!$L$7:$L$3006,B1546,'CARNET DE SOUDURE'!$M$7:$M$3006,"&lt;&gt;"&amp;C1546,'CARNET DE SOUDURE'!$M$7:$M$3006,"&lt;&gt;")+COUNTIFS('CARNET DE SOUDURE'!$O$7:$O$3006,B1546,'CARNET DE SOUDURE'!$P$7:$P$3006,"&lt;&gt;"&amp;C1546,'CARNET DE SOUDURE'!$P$7:$P$3006,"&lt;&gt;")&gt;0,"⚠ DIFFÉRENTE","OK"))</f>
        <v/>
      </c>
      <c r="F1546" s="147"/>
      <c r="G1546" s="80"/>
      <c r="H1546" s="83"/>
      <c r="I1546" s="148" t="str">
        <f aca="false">IF(B1546="","",IFERROR(INDEX('CARNET DE SOUDURE'!$B$7:$B$3006,MATCH(B1546,'CARNET DE SOUDURE'!$L$7:$L$3006,0)),IFERROR(INDEX('CARNET DE SOUDURE'!$B$7:$B$3006,MATCH(B1546,'CARNET DE SOUDURE'!$O$7:$O$3006,0)),"")))</f>
        <v/>
      </c>
      <c r="J1546" s="82" t="str">
        <f aca="false">IF(B1546="","",IFERROR(INDEX('CARNET DE SOUDURE'!$E$7:$E$3006,MATCH(B1546,'CARNET DE SOUDURE'!$O$7:$O$3006,0)),""))</f>
        <v/>
      </c>
      <c r="K1546" s="82" t="str">
        <f aca="false">IF(B1546="","",IFERROR(INDEX('CARNET DE SOUDURE'!$E$7:$E$3006,MATCH(B1546,'CARNET DE SOUDURE'!$L$7:$L$3006,0)),""))</f>
        <v/>
      </c>
      <c r="L1546" s="82" t="str">
        <f aca="false">IF(B1546="","",IFERROR(INDEX('CARNET DE SOUDURE'!$D$7:$D$3006,MATCH(B1546,'CARNET DE SOUDURE'!$L$7:$L$3006,0)),IFERROR(INDEX('CARNET DE SOUDURE'!$D$7:$D$3006,MATCH(B1546,'CARNET DE SOUDURE'!$O$7:$O$3006,0)),"")))</f>
        <v/>
      </c>
      <c r="M1546" s="82" t="str">
        <f aca="false">IF(B1546="","",IF(OR(J1546&lt;&gt;"",K1546&lt;&gt;""),"POSÉ EN LIGNE",IF(COUNTIF(BARDAGE!$C$1:$C$5000,B1546)&gt;0,"BARDÉ","EN STOCK")))</f>
        <v/>
      </c>
      <c r="N1546" s="80"/>
    </row>
    <row r="1547" customFormat="false" ht="15" hidden="false" customHeight="false" outlineLevel="0" collapsed="false">
      <c r="A1547" s="82" t="str">
        <f aca="false">IF(B1547="","",ROW()-6)</f>
        <v/>
      </c>
      <c r="B1547" s="145"/>
      <c r="C1547" s="146"/>
      <c r="D1547" s="146"/>
      <c r="E1547" s="82" t="str">
        <f aca="false">IF(B1547="","",IF(COUNTIFS('CARNET DE SOUDURE'!$L$7:$L$3006,B1547,'CARNET DE SOUDURE'!$M$7:$M$3006,"&lt;&gt;"&amp;C1547,'CARNET DE SOUDURE'!$M$7:$M$3006,"&lt;&gt;")+COUNTIFS('CARNET DE SOUDURE'!$O$7:$O$3006,B1547,'CARNET DE SOUDURE'!$P$7:$P$3006,"&lt;&gt;"&amp;C1547,'CARNET DE SOUDURE'!$P$7:$P$3006,"&lt;&gt;")&gt;0,"⚠ DIFFÉRENTE","OK"))</f>
        <v/>
      </c>
      <c r="F1547" s="147"/>
      <c r="G1547" s="80"/>
      <c r="H1547" s="83"/>
      <c r="I1547" s="148" t="str">
        <f aca="false">IF(B1547="","",IFERROR(INDEX('CARNET DE SOUDURE'!$B$7:$B$3006,MATCH(B1547,'CARNET DE SOUDURE'!$L$7:$L$3006,0)),IFERROR(INDEX('CARNET DE SOUDURE'!$B$7:$B$3006,MATCH(B1547,'CARNET DE SOUDURE'!$O$7:$O$3006,0)),"")))</f>
        <v/>
      </c>
      <c r="J1547" s="82" t="str">
        <f aca="false">IF(B1547="","",IFERROR(INDEX('CARNET DE SOUDURE'!$E$7:$E$3006,MATCH(B1547,'CARNET DE SOUDURE'!$O$7:$O$3006,0)),""))</f>
        <v/>
      </c>
      <c r="K1547" s="82" t="str">
        <f aca="false">IF(B1547="","",IFERROR(INDEX('CARNET DE SOUDURE'!$E$7:$E$3006,MATCH(B1547,'CARNET DE SOUDURE'!$L$7:$L$3006,0)),""))</f>
        <v/>
      </c>
      <c r="L1547" s="82" t="str">
        <f aca="false">IF(B1547="","",IFERROR(INDEX('CARNET DE SOUDURE'!$D$7:$D$3006,MATCH(B1547,'CARNET DE SOUDURE'!$L$7:$L$3006,0)),IFERROR(INDEX('CARNET DE SOUDURE'!$D$7:$D$3006,MATCH(B1547,'CARNET DE SOUDURE'!$O$7:$O$3006,0)),"")))</f>
        <v/>
      </c>
      <c r="M1547" s="82" t="str">
        <f aca="false">IF(B1547="","",IF(OR(J1547&lt;&gt;"",K1547&lt;&gt;""),"POSÉ EN LIGNE",IF(COUNTIF(BARDAGE!$C$1:$C$5000,B1547)&gt;0,"BARDÉ","EN STOCK")))</f>
        <v/>
      </c>
      <c r="N1547" s="80"/>
    </row>
    <row r="1548" customFormat="false" ht="15" hidden="false" customHeight="false" outlineLevel="0" collapsed="false">
      <c r="A1548" s="82" t="str">
        <f aca="false">IF(B1548="","",ROW()-6)</f>
        <v/>
      </c>
      <c r="B1548" s="145"/>
      <c r="C1548" s="146"/>
      <c r="D1548" s="146"/>
      <c r="E1548" s="82" t="str">
        <f aca="false">IF(B1548="","",IF(COUNTIFS('CARNET DE SOUDURE'!$L$7:$L$3006,B1548,'CARNET DE SOUDURE'!$M$7:$M$3006,"&lt;&gt;"&amp;C1548,'CARNET DE SOUDURE'!$M$7:$M$3006,"&lt;&gt;")+COUNTIFS('CARNET DE SOUDURE'!$O$7:$O$3006,B1548,'CARNET DE SOUDURE'!$P$7:$P$3006,"&lt;&gt;"&amp;C1548,'CARNET DE SOUDURE'!$P$7:$P$3006,"&lt;&gt;")&gt;0,"⚠ DIFFÉRENTE","OK"))</f>
        <v/>
      </c>
      <c r="F1548" s="147"/>
      <c r="G1548" s="80"/>
      <c r="H1548" s="83"/>
      <c r="I1548" s="148" t="str">
        <f aca="false">IF(B1548="","",IFERROR(INDEX('CARNET DE SOUDURE'!$B$7:$B$3006,MATCH(B1548,'CARNET DE SOUDURE'!$L$7:$L$3006,0)),IFERROR(INDEX('CARNET DE SOUDURE'!$B$7:$B$3006,MATCH(B1548,'CARNET DE SOUDURE'!$O$7:$O$3006,0)),"")))</f>
        <v/>
      </c>
      <c r="J1548" s="82" t="str">
        <f aca="false">IF(B1548="","",IFERROR(INDEX('CARNET DE SOUDURE'!$E$7:$E$3006,MATCH(B1548,'CARNET DE SOUDURE'!$O$7:$O$3006,0)),""))</f>
        <v/>
      </c>
      <c r="K1548" s="82" t="str">
        <f aca="false">IF(B1548="","",IFERROR(INDEX('CARNET DE SOUDURE'!$E$7:$E$3006,MATCH(B1548,'CARNET DE SOUDURE'!$L$7:$L$3006,0)),""))</f>
        <v/>
      </c>
      <c r="L1548" s="82" t="str">
        <f aca="false">IF(B1548="","",IFERROR(INDEX('CARNET DE SOUDURE'!$D$7:$D$3006,MATCH(B1548,'CARNET DE SOUDURE'!$L$7:$L$3006,0)),IFERROR(INDEX('CARNET DE SOUDURE'!$D$7:$D$3006,MATCH(B1548,'CARNET DE SOUDURE'!$O$7:$O$3006,0)),"")))</f>
        <v/>
      </c>
      <c r="M1548" s="82" t="str">
        <f aca="false">IF(B1548="","",IF(OR(J1548&lt;&gt;"",K1548&lt;&gt;""),"POSÉ EN LIGNE",IF(COUNTIF(BARDAGE!$C$1:$C$5000,B1548)&gt;0,"BARDÉ","EN STOCK")))</f>
        <v/>
      </c>
      <c r="N1548" s="80"/>
    </row>
    <row r="1549" customFormat="false" ht="15" hidden="false" customHeight="false" outlineLevel="0" collapsed="false">
      <c r="A1549" s="82" t="str">
        <f aca="false">IF(B1549="","",ROW()-6)</f>
        <v/>
      </c>
      <c r="B1549" s="145"/>
      <c r="C1549" s="146"/>
      <c r="D1549" s="146"/>
      <c r="E1549" s="82" t="str">
        <f aca="false">IF(B1549="","",IF(COUNTIFS('CARNET DE SOUDURE'!$L$7:$L$3006,B1549,'CARNET DE SOUDURE'!$M$7:$M$3006,"&lt;&gt;"&amp;C1549,'CARNET DE SOUDURE'!$M$7:$M$3006,"&lt;&gt;")+COUNTIFS('CARNET DE SOUDURE'!$O$7:$O$3006,B1549,'CARNET DE SOUDURE'!$P$7:$P$3006,"&lt;&gt;"&amp;C1549,'CARNET DE SOUDURE'!$P$7:$P$3006,"&lt;&gt;")&gt;0,"⚠ DIFFÉRENTE","OK"))</f>
        <v/>
      </c>
      <c r="F1549" s="147"/>
      <c r="G1549" s="80"/>
      <c r="H1549" s="83"/>
      <c r="I1549" s="148" t="str">
        <f aca="false">IF(B1549="","",IFERROR(INDEX('CARNET DE SOUDURE'!$B$7:$B$3006,MATCH(B1549,'CARNET DE SOUDURE'!$L$7:$L$3006,0)),IFERROR(INDEX('CARNET DE SOUDURE'!$B$7:$B$3006,MATCH(B1549,'CARNET DE SOUDURE'!$O$7:$O$3006,0)),"")))</f>
        <v/>
      </c>
      <c r="J1549" s="82" t="str">
        <f aca="false">IF(B1549="","",IFERROR(INDEX('CARNET DE SOUDURE'!$E$7:$E$3006,MATCH(B1549,'CARNET DE SOUDURE'!$O$7:$O$3006,0)),""))</f>
        <v/>
      </c>
      <c r="K1549" s="82" t="str">
        <f aca="false">IF(B1549="","",IFERROR(INDEX('CARNET DE SOUDURE'!$E$7:$E$3006,MATCH(B1549,'CARNET DE SOUDURE'!$L$7:$L$3006,0)),""))</f>
        <v/>
      </c>
      <c r="L1549" s="82" t="str">
        <f aca="false">IF(B1549="","",IFERROR(INDEX('CARNET DE SOUDURE'!$D$7:$D$3006,MATCH(B1549,'CARNET DE SOUDURE'!$L$7:$L$3006,0)),IFERROR(INDEX('CARNET DE SOUDURE'!$D$7:$D$3006,MATCH(B1549,'CARNET DE SOUDURE'!$O$7:$O$3006,0)),"")))</f>
        <v/>
      </c>
      <c r="M1549" s="82" t="str">
        <f aca="false">IF(B1549="","",IF(OR(J1549&lt;&gt;"",K1549&lt;&gt;""),"POSÉ EN LIGNE",IF(COUNTIF(BARDAGE!$C$1:$C$5000,B1549)&gt;0,"BARDÉ","EN STOCK")))</f>
        <v/>
      </c>
      <c r="N1549" s="80"/>
    </row>
    <row r="1550" customFormat="false" ht="15" hidden="false" customHeight="false" outlineLevel="0" collapsed="false">
      <c r="A1550" s="82" t="str">
        <f aca="false">IF(B1550="","",ROW()-6)</f>
        <v/>
      </c>
      <c r="B1550" s="145"/>
      <c r="C1550" s="146"/>
      <c r="D1550" s="146"/>
      <c r="E1550" s="82" t="str">
        <f aca="false">IF(B1550="","",IF(COUNTIFS('CARNET DE SOUDURE'!$L$7:$L$3006,B1550,'CARNET DE SOUDURE'!$M$7:$M$3006,"&lt;&gt;"&amp;C1550,'CARNET DE SOUDURE'!$M$7:$M$3006,"&lt;&gt;")+COUNTIFS('CARNET DE SOUDURE'!$O$7:$O$3006,B1550,'CARNET DE SOUDURE'!$P$7:$P$3006,"&lt;&gt;"&amp;C1550,'CARNET DE SOUDURE'!$P$7:$P$3006,"&lt;&gt;")&gt;0,"⚠ DIFFÉRENTE","OK"))</f>
        <v/>
      </c>
      <c r="F1550" s="147"/>
      <c r="G1550" s="80"/>
      <c r="H1550" s="83"/>
      <c r="I1550" s="148" t="str">
        <f aca="false">IF(B1550="","",IFERROR(INDEX('CARNET DE SOUDURE'!$B$7:$B$3006,MATCH(B1550,'CARNET DE SOUDURE'!$L$7:$L$3006,0)),IFERROR(INDEX('CARNET DE SOUDURE'!$B$7:$B$3006,MATCH(B1550,'CARNET DE SOUDURE'!$O$7:$O$3006,0)),"")))</f>
        <v/>
      </c>
      <c r="J1550" s="82" t="str">
        <f aca="false">IF(B1550="","",IFERROR(INDEX('CARNET DE SOUDURE'!$E$7:$E$3006,MATCH(B1550,'CARNET DE SOUDURE'!$O$7:$O$3006,0)),""))</f>
        <v/>
      </c>
      <c r="K1550" s="82" t="str">
        <f aca="false">IF(B1550="","",IFERROR(INDEX('CARNET DE SOUDURE'!$E$7:$E$3006,MATCH(B1550,'CARNET DE SOUDURE'!$L$7:$L$3006,0)),""))</f>
        <v/>
      </c>
      <c r="L1550" s="82" t="str">
        <f aca="false">IF(B1550="","",IFERROR(INDEX('CARNET DE SOUDURE'!$D$7:$D$3006,MATCH(B1550,'CARNET DE SOUDURE'!$L$7:$L$3006,0)),IFERROR(INDEX('CARNET DE SOUDURE'!$D$7:$D$3006,MATCH(B1550,'CARNET DE SOUDURE'!$O$7:$O$3006,0)),"")))</f>
        <v/>
      </c>
      <c r="M1550" s="82" t="str">
        <f aca="false">IF(B1550="","",IF(OR(J1550&lt;&gt;"",K1550&lt;&gt;""),"POSÉ EN LIGNE",IF(COUNTIF(BARDAGE!$C$1:$C$5000,B1550)&gt;0,"BARDÉ","EN STOCK")))</f>
        <v/>
      </c>
      <c r="N1550" s="80"/>
    </row>
    <row r="1551" customFormat="false" ht="15" hidden="false" customHeight="false" outlineLevel="0" collapsed="false">
      <c r="A1551" s="82" t="str">
        <f aca="false">IF(B1551="","",ROW()-6)</f>
        <v/>
      </c>
      <c r="B1551" s="145"/>
      <c r="C1551" s="146"/>
      <c r="D1551" s="146"/>
      <c r="E1551" s="82" t="str">
        <f aca="false">IF(B1551="","",IF(COUNTIFS('CARNET DE SOUDURE'!$L$7:$L$3006,B1551,'CARNET DE SOUDURE'!$M$7:$M$3006,"&lt;&gt;"&amp;C1551,'CARNET DE SOUDURE'!$M$7:$M$3006,"&lt;&gt;")+COUNTIFS('CARNET DE SOUDURE'!$O$7:$O$3006,B1551,'CARNET DE SOUDURE'!$P$7:$P$3006,"&lt;&gt;"&amp;C1551,'CARNET DE SOUDURE'!$P$7:$P$3006,"&lt;&gt;")&gt;0,"⚠ DIFFÉRENTE","OK"))</f>
        <v/>
      </c>
      <c r="F1551" s="147"/>
      <c r="G1551" s="80"/>
      <c r="H1551" s="83"/>
      <c r="I1551" s="148" t="str">
        <f aca="false">IF(B1551="","",IFERROR(INDEX('CARNET DE SOUDURE'!$B$7:$B$3006,MATCH(B1551,'CARNET DE SOUDURE'!$L$7:$L$3006,0)),IFERROR(INDEX('CARNET DE SOUDURE'!$B$7:$B$3006,MATCH(B1551,'CARNET DE SOUDURE'!$O$7:$O$3006,0)),"")))</f>
        <v/>
      </c>
      <c r="J1551" s="82" t="str">
        <f aca="false">IF(B1551="","",IFERROR(INDEX('CARNET DE SOUDURE'!$E$7:$E$3006,MATCH(B1551,'CARNET DE SOUDURE'!$O$7:$O$3006,0)),""))</f>
        <v/>
      </c>
      <c r="K1551" s="82" t="str">
        <f aca="false">IF(B1551="","",IFERROR(INDEX('CARNET DE SOUDURE'!$E$7:$E$3006,MATCH(B1551,'CARNET DE SOUDURE'!$L$7:$L$3006,0)),""))</f>
        <v/>
      </c>
      <c r="L1551" s="82" t="str">
        <f aca="false">IF(B1551="","",IFERROR(INDEX('CARNET DE SOUDURE'!$D$7:$D$3006,MATCH(B1551,'CARNET DE SOUDURE'!$L$7:$L$3006,0)),IFERROR(INDEX('CARNET DE SOUDURE'!$D$7:$D$3006,MATCH(B1551,'CARNET DE SOUDURE'!$O$7:$O$3006,0)),"")))</f>
        <v/>
      </c>
      <c r="M1551" s="82" t="str">
        <f aca="false">IF(B1551="","",IF(OR(J1551&lt;&gt;"",K1551&lt;&gt;""),"POSÉ EN LIGNE",IF(COUNTIF(BARDAGE!$C$1:$C$5000,B1551)&gt;0,"BARDÉ","EN STOCK")))</f>
        <v/>
      </c>
      <c r="N1551" s="80"/>
    </row>
    <row r="1552" customFormat="false" ht="15" hidden="false" customHeight="false" outlineLevel="0" collapsed="false">
      <c r="A1552" s="82" t="str">
        <f aca="false">IF(B1552="","",ROW()-6)</f>
        <v/>
      </c>
      <c r="B1552" s="145"/>
      <c r="C1552" s="146"/>
      <c r="D1552" s="146"/>
      <c r="E1552" s="82" t="str">
        <f aca="false">IF(B1552="","",IF(COUNTIFS('CARNET DE SOUDURE'!$L$7:$L$3006,B1552,'CARNET DE SOUDURE'!$M$7:$M$3006,"&lt;&gt;"&amp;C1552,'CARNET DE SOUDURE'!$M$7:$M$3006,"&lt;&gt;")+COUNTIFS('CARNET DE SOUDURE'!$O$7:$O$3006,B1552,'CARNET DE SOUDURE'!$P$7:$P$3006,"&lt;&gt;"&amp;C1552,'CARNET DE SOUDURE'!$P$7:$P$3006,"&lt;&gt;")&gt;0,"⚠ DIFFÉRENTE","OK"))</f>
        <v/>
      </c>
      <c r="F1552" s="147"/>
      <c r="G1552" s="80"/>
      <c r="H1552" s="83"/>
      <c r="I1552" s="148" t="str">
        <f aca="false">IF(B1552="","",IFERROR(INDEX('CARNET DE SOUDURE'!$B$7:$B$3006,MATCH(B1552,'CARNET DE SOUDURE'!$L$7:$L$3006,0)),IFERROR(INDEX('CARNET DE SOUDURE'!$B$7:$B$3006,MATCH(B1552,'CARNET DE SOUDURE'!$O$7:$O$3006,0)),"")))</f>
        <v/>
      </c>
      <c r="J1552" s="82" t="str">
        <f aca="false">IF(B1552="","",IFERROR(INDEX('CARNET DE SOUDURE'!$E$7:$E$3006,MATCH(B1552,'CARNET DE SOUDURE'!$O$7:$O$3006,0)),""))</f>
        <v/>
      </c>
      <c r="K1552" s="82" t="str">
        <f aca="false">IF(B1552="","",IFERROR(INDEX('CARNET DE SOUDURE'!$E$7:$E$3006,MATCH(B1552,'CARNET DE SOUDURE'!$L$7:$L$3006,0)),""))</f>
        <v/>
      </c>
      <c r="L1552" s="82" t="str">
        <f aca="false">IF(B1552="","",IFERROR(INDEX('CARNET DE SOUDURE'!$D$7:$D$3006,MATCH(B1552,'CARNET DE SOUDURE'!$L$7:$L$3006,0)),IFERROR(INDEX('CARNET DE SOUDURE'!$D$7:$D$3006,MATCH(B1552,'CARNET DE SOUDURE'!$O$7:$O$3006,0)),"")))</f>
        <v/>
      </c>
      <c r="M1552" s="82" t="str">
        <f aca="false">IF(B1552="","",IF(OR(J1552&lt;&gt;"",K1552&lt;&gt;""),"POSÉ EN LIGNE",IF(COUNTIF(BARDAGE!$C$1:$C$5000,B1552)&gt;0,"BARDÉ","EN STOCK")))</f>
        <v/>
      </c>
      <c r="N1552" s="80"/>
    </row>
    <row r="1553" customFormat="false" ht="15" hidden="false" customHeight="false" outlineLevel="0" collapsed="false">
      <c r="A1553" s="82" t="str">
        <f aca="false">IF(B1553="","",ROW()-6)</f>
        <v/>
      </c>
      <c r="B1553" s="145"/>
      <c r="C1553" s="146"/>
      <c r="D1553" s="146"/>
      <c r="E1553" s="82" t="str">
        <f aca="false">IF(B1553="","",IF(COUNTIFS('CARNET DE SOUDURE'!$L$7:$L$3006,B1553,'CARNET DE SOUDURE'!$M$7:$M$3006,"&lt;&gt;"&amp;C1553,'CARNET DE SOUDURE'!$M$7:$M$3006,"&lt;&gt;")+COUNTIFS('CARNET DE SOUDURE'!$O$7:$O$3006,B1553,'CARNET DE SOUDURE'!$P$7:$P$3006,"&lt;&gt;"&amp;C1553,'CARNET DE SOUDURE'!$P$7:$P$3006,"&lt;&gt;")&gt;0,"⚠ DIFFÉRENTE","OK"))</f>
        <v/>
      </c>
      <c r="F1553" s="147"/>
      <c r="G1553" s="80"/>
      <c r="H1553" s="83"/>
      <c r="I1553" s="148" t="str">
        <f aca="false">IF(B1553="","",IFERROR(INDEX('CARNET DE SOUDURE'!$B$7:$B$3006,MATCH(B1553,'CARNET DE SOUDURE'!$L$7:$L$3006,0)),IFERROR(INDEX('CARNET DE SOUDURE'!$B$7:$B$3006,MATCH(B1553,'CARNET DE SOUDURE'!$O$7:$O$3006,0)),"")))</f>
        <v/>
      </c>
      <c r="J1553" s="82" t="str">
        <f aca="false">IF(B1553="","",IFERROR(INDEX('CARNET DE SOUDURE'!$E$7:$E$3006,MATCH(B1553,'CARNET DE SOUDURE'!$O$7:$O$3006,0)),""))</f>
        <v/>
      </c>
      <c r="K1553" s="82" t="str">
        <f aca="false">IF(B1553="","",IFERROR(INDEX('CARNET DE SOUDURE'!$E$7:$E$3006,MATCH(B1553,'CARNET DE SOUDURE'!$L$7:$L$3006,0)),""))</f>
        <v/>
      </c>
      <c r="L1553" s="82" t="str">
        <f aca="false">IF(B1553="","",IFERROR(INDEX('CARNET DE SOUDURE'!$D$7:$D$3006,MATCH(B1553,'CARNET DE SOUDURE'!$L$7:$L$3006,0)),IFERROR(INDEX('CARNET DE SOUDURE'!$D$7:$D$3006,MATCH(B1553,'CARNET DE SOUDURE'!$O$7:$O$3006,0)),"")))</f>
        <v/>
      </c>
      <c r="M1553" s="82" t="str">
        <f aca="false">IF(B1553="","",IF(OR(J1553&lt;&gt;"",K1553&lt;&gt;""),"POSÉ EN LIGNE",IF(COUNTIF(BARDAGE!$C$1:$C$5000,B1553)&gt;0,"BARDÉ","EN STOCK")))</f>
        <v/>
      </c>
      <c r="N1553" s="80"/>
    </row>
    <row r="1554" customFormat="false" ht="15" hidden="false" customHeight="false" outlineLevel="0" collapsed="false">
      <c r="A1554" s="82" t="str">
        <f aca="false">IF(B1554="","",ROW()-6)</f>
        <v/>
      </c>
      <c r="B1554" s="145"/>
      <c r="C1554" s="146"/>
      <c r="D1554" s="146"/>
      <c r="E1554" s="82" t="str">
        <f aca="false">IF(B1554="","",IF(COUNTIFS('CARNET DE SOUDURE'!$L$7:$L$3006,B1554,'CARNET DE SOUDURE'!$M$7:$M$3006,"&lt;&gt;"&amp;C1554,'CARNET DE SOUDURE'!$M$7:$M$3006,"&lt;&gt;")+COUNTIFS('CARNET DE SOUDURE'!$O$7:$O$3006,B1554,'CARNET DE SOUDURE'!$P$7:$P$3006,"&lt;&gt;"&amp;C1554,'CARNET DE SOUDURE'!$P$7:$P$3006,"&lt;&gt;")&gt;0,"⚠ DIFFÉRENTE","OK"))</f>
        <v/>
      </c>
      <c r="F1554" s="147"/>
      <c r="G1554" s="80"/>
      <c r="H1554" s="83"/>
      <c r="I1554" s="148" t="str">
        <f aca="false">IF(B1554="","",IFERROR(INDEX('CARNET DE SOUDURE'!$B$7:$B$3006,MATCH(B1554,'CARNET DE SOUDURE'!$L$7:$L$3006,0)),IFERROR(INDEX('CARNET DE SOUDURE'!$B$7:$B$3006,MATCH(B1554,'CARNET DE SOUDURE'!$O$7:$O$3006,0)),"")))</f>
        <v/>
      </c>
      <c r="J1554" s="82" t="str">
        <f aca="false">IF(B1554="","",IFERROR(INDEX('CARNET DE SOUDURE'!$E$7:$E$3006,MATCH(B1554,'CARNET DE SOUDURE'!$O$7:$O$3006,0)),""))</f>
        <v/>
      </c>
      <c r="K1554" s="82" t="str">
        <f aca="false">IF(B1554="","",IFERROR(INDEX('CARNET DE SOUDURE'!$E$7:$E$3006,MATCH(B1554,'CARNET DE SOUDURE'!$L$7:$L$3006,0)),""))</f>
        <v/>
      </c>
      <c r="L1554" s="82" t="str">
        <f aca="false">IF(B1554="","",IFERROR(INDEX('CARNET DE SOUDURE'!$D$7:$D$3006,MATCH(B1554,'CARNET DE SOUDURE'!$L$7:$L$3006,0)),IFERROR(INDEX('CARNET DE SOUDURE'!$D$7:$D$3006,MATCH(B1554,'CARNET DE SOUDURE'!$O$7:$O$3006,0)),"")))</f>
        <v/>
      </c>
      <c r="M1554" s="82" t="str">
        <f aca="false">IF(B1554="","",IF(OR(J1554&lt;&gt;"",K1554&lt;&gt;""),"POSÉ EN LIGNE",IF(COUNTIF(BARDAGE!$C$1:$C$5000,B1554)&gt;0,"BARDÉ","EN STOCK")))</f>
        <v/>
      </c>
      <c r="N1554" s="80"/>
    </row>
    <row r="1555" customFormat="false" ht="15" hidden="false" customHeight="false" outlineLevel="0" collapsed="false">
      <c r="A1555" s="82" t="str">
        <f aca="false">IF(B1555="","",ROW()-6)</f>
        <v/>
      </c>
      <c r="B1555" s="145"/>
      <c r="C1555" s="146"/>
      <c r="D1555" s="146"/>
      <c r="E1555" s="82" t="str">
        <f aca="false">IF(B1555="","",IF(COUNTIFS('CARNET DE SOUDURE'!$L$7:$L$3006,B1555,'CARNET DE SOUDURE'!$M$7:$M$3006,"&lt;&gt;"&amp;C1555,'CARNET DE SOUDURE'!$M$7:$M$3006,"&lt;&gt;")+COUNTIFS('CARNET DE SOUDURE'!$O$7:$O$3006,B1555,'CARNET DE SOUDURE'!$P$7:$P$3006,"&lt;&gt;"&amp;C1555,'CARNET DE SOUDURE'!$P$7:$P$3006,"&lt;&gt;")&gt;0,"⚠ DIFFÉRENTE","OK"))</f>
        <v/>
      </c>
      <c r="F1555" s="147"/>
      <c r="G1555" s="80"/>
      <c r="H1555" s="83"/>
      <c r="I1555" s="148" t="str">
        <f aca="false">IF(B1555="","",IFERROR(INDEX('CARNET DE SOUDURE'!$B$7:$B$3006,MATCH(B1555,'CARNET DE SOUDURE'!$L$7:$L$3006,0)),IFERROR(INDEX('CARNET DE SOUDURE'!$B$7:$B$3006,MATCH(B1555,'CARNET DE SOUDURE'!$O$7:$O$3006,0)),"")))</f>
        <v/>
      </c>
      <c r="J1555" s="82" t="str">
        <f aca="false">IF(B1555="","",IFERROR(INDEX('CARNET DE SOUDURE'!$E$7:$E$3006,MATCH(B1555,'CARNET DE SOUDURE'!$O$7:$O$3006,0)),""))</f>
        <v/>
      </c>
      <c r="K1555" s="82" t="str">
        <f aca="false">IF(B1555="","",IFERROR(INDEX('CARNET DE SOUDURE'!$E$7:$E$3006,MATCH(B1555,'CARNET DE SOUDURE'!$L$7:$L$3006,0)),""))</f>
        <v/>
      </c>
      <c r="L1555" s="82" t="str">
        <f aca="false">IF(B1555="","",IFERROR(INDEX('CARNET DE SOUDURE'!$D$7:$D$3006,MATCH(B1555,'CARNET DE SOUDURE'!$L$7:$L$3006,0)),IFERROR(INDEX('CARNET DE SOUDURE'!$D$7:$D$3006,MATCH(B1555,'CARNET DE SOUDURE'!$O$7:$O$3006,0)),"")))</f>
        <v/>
      </c>
      <c r="M1555" s="82" t="str">
        <f aca="false">IF(B1555="","",IF(OR(J1555&lt;&gt;"",K1555&lt;&gt;""),"POSÉ EN LIGNE",IF(COUNTIF(BARDAGE!$C$1:$C$5000,B1555)&gt;0,"BARDÉ","EN STOCK")))</f>
        <v/>
      </c>
      <c r="N1555" s="80"/>
    </row>
    <row r="1556" customFormat="false" ht="15" hidden="false" customHeight="false" outlineLevel="0" collapsed="false">
      <c r="A1556" s="82" t="str">
        <f aca="false">IF(B1556="","",ROW()-6)</f>
        <v/>
      </c>
      <c r="B1556" s="145"/>
      <c r="C1556" s="146"/>
      <c r="D1556" s="146"/>
      <c r="E1556" s="82" t="str">
        <f aca="false">IF(B1556="","",IF(COUNTIFS('CARNET DE SOUDURE'!$L$7:$L$3006,B1556,'CARNET DE SOUDURE'!$M$7:$M$3006,"&lt;&gt;"&amp;C1556,'CARNET DE SOUDURE'!$M$7:$M$3006,"&lt;&gt;")+COUNTIFS('CARNET DE SOUDURE'!$O$7:$O$3006,B1556,'CARNET DE SOUDURE'!$P$7:$P$3006,"&lt;&gt;"&amp;C1556,'CARNET DE SOUDURE'!$P$7:$P$3006,"&lt;&gt;")&gt;0,"⚠ DIFFÉRENTE","OK"))</f>
        <v/>
      </c>
      <c r="F1556" s="147"/>
      <c r="G1556" s="80"/>
      <c r="H1556" s="83"/>
      <c r="I1556" s="148" t="str">
        <f aca="false">IF(B1556="","",IFERROR(INDEX('CARNET DE SOUDURE'!$B$7:$B$3006,MATCH(B1556,'CARNET DE SOUDURE'!$L$7:$L$3006,0)),IFERROR(INDEX('CARNET DE SOUDURE'!$B$7:$B$3006,MATCH(B1556,'CARNET DE SOUDURE'!$O$7:$O$3006,0)),"")))</f>
        <v/>
      </c>
      <c r="J1556" s="82" t="str">
        <f aca="false">IF(B1556="","",IFERROR(INDEX('CARNET DE SOUDURE'!$E$7:$E$3006,MATCH(B1556,'CARNET DE SOUDURE'!$O$7:$O$3006,0)),""))</f>
        <v/>
      </c>
      <c r="K1556" s="82" t="str">
        <f aca="false">IF(B1556="","",IFERROR(INDEX('CARNET DE SOUDURE'!$E$7:$E$3006,MATCH(B1556,'CARNET DE SOUDURE'!$L$7:$L$3006,0)),""))</f>
        <v/>
      </c>
      <c r="L1556" s="82" t="str">
        <f aca="false">IF(B1556="","",IFERROR(INDEX('CARNET DE SOUDURE'!$D$7:$D$3006,MATCH(B1556,'CARNET DE SOUDURE'!$L$7:$L$3006,0)),IFERROR(INDEX('CARNET DE SOUDURE'!$D$7:$D$3006,MATCH(B1556,'CARNET DE SOUDURE'!$O$7:$O$3006,0)),"")))</f>
        <v/>
      </c>
      <c r="M1556" s="82" t="str">
        <f aca="false">IF(B1556="","",IF(OR(J1556&lt;&gt;"",K1556&lt;&gt;""),"POSÉ EN LIGNE",IF(COUNTIF(BARDAGE!$C$1:$C$5000,B1556)&gt;0,"BARDÉ","EN STOCK")))</f>
        <v/>
      </c>
      <c r="N1556" s="80"/>
    </row>
    <row r="1557" customFormat="false" ht="15" hidden="false" customHeight="false" outlineLevel="0" collapsed="false">
      <c r="A1557" s="82" t="str">
        <f aca="false">IF(B1557="","",ROW()-6)</f>
        <v/>
      </c>
      <c r="B1557" s="145"/>
      <c r="C1557" s="146"/>
      <c r="D1557" s="146"/>
      <c r="E1557" s="82" t="str">
        <f aca="false">IF(B1557="","",IF(COUNTIFS('CARNET DE SOUDURE'!$L$7:$L$3006,B1557,'CARNET DE SOUDURE'!$M$7:$M$3006,"&lt;&gt;"&amp;C1557,'CARNET DE SOUDURE'!$M$7:$M$3006,"&lt;&gt;")+COUNTIFS('CARNET DE SOUDURE'!$O$7:$O$3006,B1557,'CARNET DE SOUDURE'!$P$7:$P$3006,"&lt;&gt;"&amp;C1557,'CARNET DE SOUDURE'!$P$7:$P$3006,"&lt;&gt;")&gt;0,"⚠ DIFFÉRENTE","OK"))</f>
        <v/>
      </c>
      <c r="F1557" s="147"/>
      <c r="G1557" s="80"/>
      <c r="H1557" s="83"/>
      <c r="I1557" s="148" t="str">
        <f aca="false">IF(B1557="","",IFERROR(INDEX('CARNET DE SOUDURE'!$B$7:$B$3006,MATCH(B1557,'CARNET DE SOUDURE'!$L$7:$L$3006,0)),IFERROR(INDEX('CARNET DE SOUDURE'!$B$7:$B$3006,MATCH(B1557,'CARNET DE SOUDURE'!$O$7:$O$3006,0)),"")))</f>
        <v/>
      </c>
      <c r="J1557" s="82" t="str">
        <f aca="false">IF(B1557="","",IFERROR(INDEX('CARNET DE SOUDURE'!$E$7:$E$3006,MATCH(B1557,'CARNET DE SOUDURE'!$O$7:$O$3006,0)),""))</f>
        <v/>
      </c>
      <c r="K1557" s="82" t="str">
        <f aca="false">IF(B1557="","",IFERROR(INDEX('CARNET DE SOUDURE'!$E$7:$E$3006,MATCH(B1557,'CARNET DE SOUDURE'!$L$7:$L$3006,0)),""))</f>
        <v/>
      </c>
      <c r="L1557" s="82" t="str">
        <f aca="false">IF(B1557="","",IFERROR(INDEX('CARNET DE SOUDURE'!$D$7:$D$3006,MATCH(B1557,'CARNET DE SOUDURE'!$L$7:$L$3006,0)),IFERROR(INDEX('CARNET DE SOUDURE'!$D$7:$D$3006,MATCH(B1557,'CARNET DE SOUDURE'!$O$7:$O$3006,0)),"")))</f>
        <v/>
      </c>
      <c r="M1557" s="82" t="str">
        <f aca="false">IF(B1557="","",IF(OR(J1557&lt;&gt;"",K1557&lt;&gt;""),"POSÉ EN LIGNE",IF(COUNTIF(BARDAGE!$C$1:$C$5000,B1557)&gt;0,"BARDÉ","EN STOCK")))</f>
        <v/>
      </c>
      <c r="N1557" s="80"/>
    </row>
    <row r="1558" customFormat="false" ht="15" hidden="false" customHeight="false" outlineLevel="0" collapsed="false">
      <c r="A1558" s="82" t="str">
        <f aca="false">IF(B1558="","",ROW()-6)</f>
        <v/>
      </c>
      <c r="B1558" s="145"/>
      <c r="C1558" s="146"/>
      <c r="D1558" s="146"/>
      <c r="E1558" s="82" t="str">
        <f aca="false">IF(B1558="","",IF(COUNTIFS('CARNET DE SOUDURE'!$L$7:$L$3006,B1558,'CARNET DE SOUDURE'!$M$7:$M$3006,"&lt;&gt;"&amp;C1558,'CARNET DE SOUDURE'!$M$7:$M$3006,"&lt;&gt;")+COUNTIFS('CARNET DE SOUDURE'!$O$7:$O$3006,B1558,'CARNET DE SOUDURE'!$P$7:$P$3006,"&lt;&gt;"&amp;C1558,'CARNET DE SOUDURE'!$P$7:$P$3006,"&lt;&gt;")&gt;0,"⚠ DIFFÉRENTE","OK"))</f>
        <v/>
      </c>
      <c r="F1558" s="147"/>
      <c r="G1558" s="80"/>
      <c r="H1558" s="83"/>
      <c r="I1558" s="148" t="str">
        <f aca="false">IF(B1558="","",IFERROR(INDEX('CARNET DE SOUDURE'!$B$7:$B$3006,MATCH(B1558,'CARNET DE SOUDURE'!$L$7:$L$3006,0)),IFERROR(INDEX('CARNET DE SOUDURE'!$B$7:$B$3006,MATCH(B1558,'CARNET DE SOUDURE'!$O$7:$O$3006,0)),"")))</f>
        <v/>
      </c>
      <c r="J1558" s="82" t="str">
        <f aca="false">IF(B1558="","",IFERROR(INDEX('CARNET DE SOUDURE'!$E$7:$E$3006,MATCH(B1558,'CARNET DE SOUDURE'!$O$7:$O$3006,0)),""))</f>
        <v/>
      </c>
      <c r="K1558" s="82" t="str">
        <f aca="false">IF(B1558="","",IFERROR(INDEX('CARNET DE SOUDURE'!$E$7:$E$3006,MATCH(B1558,'CARNET DE SOUDURE'!$L$7:$L$3006,0)),""))</f>
        <v/>
      </c>
      <c r="L1558" s="82" t="str">
        <f aca="false">IF(B1558="","",IFERROR(INDEX('CARNET DE SOUDURE'!$D$7:$D$3006,MATCH(B1558,'CARNET DE SOUDURE'!$L$7:$L$3006,0)),IFERROR(INDEX('CARNET DE SOUDURE'!$D$7:$D$3006,MATCH(B1558,'CARNET DE SOUDURE'!$O$7:$O$3006,0)),"")))</f>
        <v/>
      </c>
      <c r="M1558" s="82" t="str">
        <f aca="false">IF(B1558="","",IF(OR(J1558&lt;&gt;"",K1558&lt;&gt;""),"POSÉ EN LIGNE",IF(COUNTIF(BARDAGE!$C$1:$C$5000,B1558)&gt;0,"BARDÉ","EN STOCK")))</f>
        <v/>
      </c>
      <c r="N1558" s="80"/>
    </row>
    <row r="1559" customFormat="false" ht="15" hidden="false" customHeight="false" outlineLevel="0" collapsed="false">
      <c r="A1559" s="82" t="str">
        <f aca="false">IF(B1559="","",ROW()-6)</f>
        <v/>
      </c>
      <c r="B1559" s="145"/>
      <c r="C1559" s="146"/>
      <c r="D1559" s="146"/>
      <c r="E1559" s="82" t="str">
        <f aca="false">IF(B1559="","",IF(COUNTIFS('CARNET DE SOUDURE'!$L$7:$L$3006,B1559,'CARNET DE SOUDURE'!$M$7:$M$3006,"&lt;&gt;"&amp;C1559,'CARNET DE SOUDURE'!$M$7:$M$3006,"&lt;&gt;")+COUNTIFS('CARNET DE SOUDURE'!$O$7:$O$3006,B1559,'CARNET DE SOUDURE'!$P$7:$P$3006,"&lt;&gt;"&amp;C1559,'CARNET DE SOUDURE'!$P$7:$P$3006,"&lt;&gt;")&gt;0,"⚠ DIFFÉRENTE","OK"))</f>
        <v/>
      </c>
      <c r="F1559" s="147"/>
      <c r="G1559" s="80"/>
      <c r="H1559" s="83"/>
      <c r="I1559" s="148" t="str">
        <f aca="false">IF(B1559="","",IFERROR(INDEX('CARNET DE SOUDURE'!$B$7:$B$3006,MATCH(B1559,'CARNET DE SOUDURE'!$L$7:$L$3006,0)),IFERROR(INDEX('CARNET DE SOUDURE'!$B$7:$B$3006,MATCH(B1559,'CARNET DE SOUDURE'!$O$7:$O$3006,0)),"")))</f>
        <v/>
      </c>
      <c r="J1559" s="82" t="str">
        <f aca="false">IF(B1559="","",IFERROR(INDEX('CARNET DE SOUDURE'!$E$7:$E$3006,MATCH(B1559,'CARNET DE SOUDURE'!$O$7:$O$3006,0)),""))</f>
        <v/>
      </c>
      <c r="K1559" s="82" t="str">
        <f aca="false">IF(B1559="","",IFERROR(INDEX('CARNET DE SOUDURE'!$E$7:$E$3006,MATCH(B1559,'CARNET DE SOUDURE'!$L$7:$L$3006,0)),""))</f>
        <v/>
      </c>
      <c r="L1559" s="82" t="str">
        <f aca="false">IF(B1559="","",IFERROR(INDEX('CARNET DE SOUDURE'!$D$7:$D$3006,MATCH(B1559,'CARNET DE SOUDURE'!$L$7:$L$3006,0)),IFERROR(INDEX('CARNET DE SOUDURE'!$D$7:$D$3006,MATCH(B1559,'CARNET DE SOUDURE'!$O$7:$O$3006,0)),"")))</f>
        <v/>
      </c>
      <c r="M1559" s="82" t="str">
        <f aca="false">IF(B1559="","",IF(OR(J1559&lt;&gt;"",K1559&lt;&gt;""),"POSÉ EN LIGNE",IF(COUNTIF(BARDAGE!$C$1:$C$5000,B1559)&gt;0,"BARDÉ","EN STOCK")))</f>
        <v/>
      </c>
      <c r="N1559" s="80"/>
    </row>
    <row r="1560" customFormat="false" ht="15" hidden="false" customHeight="false" outlineLevel="0" collapsed="false">
      <c r="A1560" s="82" t="str">
        <f aca="false">IF(B1560="","",ROW()-6)</f>
        <v/>
      </c>
      <c r="B1560" s="145"/>
      <c r="C1560" s="146"/>
      <c r="D1560" s="146"/>
      <c r="E1560" s="82" t="str">
        <f aca="false">IF(B1560="","",IF(COUNTIFS('CARNET DE SOUDURE'!$L$7:$L$3006,B1560,'CARNET DE SOUDURE'!$M$7:$M$3006,"&lt;&gt;"&amp;C1560,'CARNET DE SOUDURE'!$M$7:$M$3006,"&lt;&gt;")+COUNTIFS('CARNET DE SOUDURE'!$O$7:$O$3006,B1560,'CARNET DE SOUDURE'!$P$7:$P$3006,"&lt;&gt;"&amp;C1560,'CARNET DE SOUDURE'!$P$7:$P$3006,"&lt;&gt;")&gt;0,"⚠ DIFFÉRENTE","OK"))</f>
        <v/>
      </c>
      <c r="F1560" s="147"/>
      <c r="G1560" s="80"/>
      <c r="H1560" s="83"/>
      <c r="I1560" s="148" t="str">
        <f aca="false">IF(B1560="","",IFERROR(INDEX('CARNET DE SOUDURE'!$B$7:$B$3006,MATCH(B1560,'CARNET DE SOUDURE'!$L$7:$L$3006,0)),IFERROR(INDEX('CARNET DE SOUDURE'!$B$7:$B$3006,MATCH(B1560,'CARNET DE SOUDURE'!$O$7:$O$3006,0)),"")))</f>
        <v/>
      </c>
      <c r="J1560" s="82" t="str">
        <f aca="false">IF(B1560="","",IFERROR(INDEX('CARNET DE SOUDURE'!$E$7:$E$3006,MATCH(B1560,'CARNET DE SOUDURE'!$O$7:$O$3006,0)),""))</f>
        <v/>
      </c>
      <c r="K1560" s="82" t="str">
        <f aca="false">IF(B1560="","",IFERROR(INDEX('CARNET DE SOUDURE'!$E$7:$E$3006,MATCH(B1560,'CARNET DE SOUDURE'!$L$7:$L$3006,0)),""))</f>
        <v/>
      </c>
      <c r="L1560" s="82" t="str">
        <f aca="false">IF(B1560="","",IFERROR(INDEX('CARNET DE SOUDURE'!$D$7:$D$3006,MATCH(B1560,'CARNET DE SOUDURE'!$L$7:$L$3006,0)),IFERROR(INDEX('CARNET DE SOUDURE'!$D$7:$D$3006,MATCH(B1560,'CARNET DE SOUDURE'!$O$7:$O$3006,0)),"")))</f>
        <v/>
      </c>
      <c r="M1560" s="82" t="str">
        <f aca="false">IF(B1560="","",IF(OR(J1560&lt;&gt;"",K1560&lt;&gt;""),"POSÉ EN LIGNE",IF(COUNTIF(BARDAGE!$C$1:$C$5000,B1560)&gt;0,"BARDÉ","EN STOCK")))</f>
        <v/>
      </c>
      <c r="N1560" s="80"/>
    </row>
    <row r="1561" customFormat="false" ht="15" hidden="false" customHeight="false" outlineLevel="0" collapsed="false">
      <c r="A1561" s="82" t="str">
        <f aca="false">IF(B1561="","",ROW()-6)</f>
        <v/>
      </c>
      <c r="B1561" s="145"/>
      <c r="C1561" s="146"/>
      <c r="D1561" s="146"/>
      <c r="E1561" s="82" t="str">
        <f aca="false">IF(B1561="","",IF(COUNTIFS('CARNET DE SOUDURE'!$L$7:$L$3006,B1561,'CARNET DE SOUDURE'!$M$7:$M$3006,"&lt;&gt;"&amp;C1561,'CARNET DE SOUDURE'!$M$7:$M$3006,"&lt;&gt;")+COUNTIFS('CARNET DE SOUDURE'!$O$7:$O$3006,B1561,'CARNET DE SOUDURE'!$P$7:$P$3006,"&lt;&gt;"&amp;C1561,'CARNET DE SOUDURE'!$P$7:$P$3006,"&lt;&gt;")&gt;0,"⚠ DIFFÉRENTE","OK"))</f>
        <v/>
      </c>
      <c r="F1561" s="147"/>
      <c r="G1561" s="80"/>
      <c r="H1561" s="83"/>
      <c r="I1561" s="148" t="str">
        <f aca="false">IF(B1561="","",IFERROR(INDEX('CARNET DE SOUDURE'!$B$7:$B$3006,MATCH(B1561,'CARNET DE SOUDURE'!$L$7:$L$3006,0)),IFERROR(INDEX('CARNET DE SOUDURE'!$B$7:$B$3006,MATCH(B1561,'CARNET DE SOUDURE'!$O$7:$O$3006,0)),"")))</f>
        <v/>
      </c>
      <c r="J1561" s="82" t="str">
        <f aca="false">IF(B1561="","",IFERROR(INDEX('CARNET DE SOUDURE'!$E$7:$E$3006,MATCH(B1561,'CARNET DE SOUDURE'!$O$7:$O$3006,0)),""))</f>
        <v/>
      </c>
      <c r="K1561" s="82" t="str">
        <f aca="false">IF(B1561="","",IFERROR(INDEX('CARNET DE SOUDURE'!$E$7:$E$3006,MATCH(B1561,'CARNET DE SOUDURE'!$L$7:$L$3006,0)),""))</f>
        <v/>
      </c>
      <c r="L1561" s="82" t="str">
        <f aca="false">IF(B1561="","",IFERROR(INDEX('CARNET DE SOUDURE'!$D$7:$D$3006,MATCH(B1561,'CARNET DE SOUDURE'!$L$7:$L$3006,0)),IFERROR(INDEX('CARNET DE SOUDURE'!$D$7:$D$3006,MATCH(B1561,'CARNET DE SOUDURE'!$O$7:$O$3006,0)),"")))</f>
        <v/>
      </c>
      <c r="M1561" s="82" t="str">
        <f aca="false">IF(B1561="","",IF(OR(J1561&lt;&gt;"",K1561&lt;&gt;""),"POSÉ EN LIGNE",IF(COUNTIF(BARDAGE!$C$1:$C$5000,B1561)&gt;0,"BARDÉ","EN STOCK")))</f>
        <v/>
      </c>
      <c r="N1561" s="80"/>
    </row>
    <row r="1562" customFormat="false" ht="15" hidden="false" customHeight="false" outlineLevel="0" collapsed="false">
      <c r="A1562" s="82" t="str">
        <f aca="false">IF(B1562="","",ROW()-6)</f>
        <v/>
      </c>
      <c r="B1562" s="145"/>
      <c r="C1562" s="146"/>
      <c r="D1562" s="146"/>
      <c r="E1562" s="82" t="str">
        <f aca="false">IF(B1562="","",IF(COUNTIFS('CARNET DE SOUDURE'!$L$7:$L$3006,B1562,'CARNET DE SOUDURE'!$M$7:$M$3006,"&lt;&gt;"&amp;C1562,'CARNET DE SOUDURE'!$M$7:$M$3006,"&lt;&gt;")+COUNTIFS('CARNET DE SOUDURE'!$O$7:$O$3006,B1562,'CARNET DE SOUDURE'!$P$7:$P$3006,"&lt;&gt;"&amp;C1562,'CARNET DE SOUDURE'!$P$7:$P$3006,"&lt;&gt;")&gt;0,"⚠ DIFFÉRENTE","OK"))</f>
        <v/>
      </c>
      <c r="F1562" s="147"/>
      <c r="G1562" s="80"/>
      <c r="H1562" s="83"/>
      <c r="I1562" s="148" t="str">
        <f aca="false">IF(B1562="","",IFERROR(INDEX('CARNET DE SOUDURE'!$B$7:$B$3006,MATCH(B1562,'CARNET DE SOUDURE'!$L$7:$L$3006,0)),IFERROR(INDEX('CARNET DE SOUDURE'!$B$7:$B$3006,MATCH(B1562,'CARNET DE SOUDURE'!$O$7:$O$3006,0)),"")))</f>
        <v/>
      </c>
      <c r="J1562" s="82" t="str">
        <f aca="false">IF(B1562="","",IFERROR(INDEX('CARNET DE SOUDURE'!$E$7:$E$3006,MATCH(B1562,'CARNET DE SOUDURE'!$O$7:$O$3006,0)),""))</f>
        <v/>
      </c>
      <c r="K1562" s="82" t="str">
        <f aca="false">IF(B1562="","",IFERROR(INDEX('CARNET DE SOUDURE'!$E$7:$E$3006,MATCH(B1562,'CARNET DE SOUDURE'!$L$7:$L$3006,0)),""))</f>
        <v/>
      </c>
      <c r="L1562" s="82" t="str">
        <f aca="false">IF(B1562="","",IFERROR(INDEX('CARNET DE SOUDURE'!$D$7:$D$3006,MATCH(B1562,'CARNET DE SOUDURE'!$L$7:$L$3006,0)),IFERROR(INDEX('CARNET DE SOUDURE'!$D$7:$D$3006,MATCH(B1562,'CARNET DE SOUDURE'!$O$7:$O$3006,0)),"")))</f>
        <v/>
      </c>
      <c r="M1562" s="82" t="str">
        <f aca="false">IF(B1562="","",IF(OR(J1562&lt;&gt;"",K1562&lt;&gt;""),"POSÉ EN LIGNE",IF(COUNTIF(BARDAGE!$C$1:$C$5000,B1562)&gt;0,"BARDÉ","EN STOCK")))</f>
        <v/>
      </c>
      <c r="N1562" s="80"/>
    </row>
    <row r="1563" customFormat="false" ht="15" hidden="false" customHeight="false" outlineLevel="0" collapsed="false">
      <c r="A1563" s="82" t="str">
        <f aca="false">IF(B1563="","",ROW()-6)</f>
        <v/>
      </c>
      <c r="B1563" s="145"/>
      <c r="C1563" s="146"/>
      <c r="D1563" s="146"/>
      <c r="E1563" s="82" t="str">
        <f aca="false">IF(B1563="","",IF(COUNTIFS('CARNET DE SOUDURE'!$L$7:$L$3006,B1563,'CARNET DE SOUDURE'!$M$7:$M$3006,"&lt;&gt;"&amp;C1563,'CARNET DE SOUDURE'!$M$7:$M$3006,"&lt;&gt;")+COUNTIFS('CARNET DE SOUDURE'!$O$7:$O$3006,B1563,'CARNET DE SOUDURE'!$P$7:$P$3006,"&lt;&gt;"&amp;C1563,'CARNET DE SOUDURE'!$P$7:$P$3006,"&lt;&gt;")&gt;0,"⚠ DIFFÉRENTE","OK"))</f>
        <v/>
      </c>
      <c r="F1563" s="147"/>
      <c r="G1563" s="80"/>
      <c r="H1563" s="83"/>
      <c r="I1563" s="148" t="str">
        <f aca="false">IF(B1563="","",IFERROR(INDEX('CARNET DE SOUDURE'!$B$7:$B$3006,MATCH(B1563,'CARNET DE SOUDURE'!$L$7:$L$3006,0)),IFERROR(INDEX('CARNET DE SOUDURE'!$B$7:$B$3006,MATCH(B1563,'CARNET DE SOUDURE'!$O$7:$O$3006,0)),"")))</f>
        <v/>
      </c>
      <c r="J1563" s="82" t="str">
        <f aca="false">IF(B1563="","",IFERROR(INDEX('CARNET DE SOUDURE'!$E$7:$E$3006,MATCH(B1563,'CARNET DE SOUDURE'!$O$7:$O$3006,0)),""))</f>
        <v/>
      </c>
      <c r="K1563" s="82" t="str">
        <f aca="false">IF(B1563="","",IFERROR(INDEX('CARNET DE SOUDURE'!$E$7:$E$3006,MATCH(B1563,'CARNET DE SOUDURE'!$L$7:$L$3006,0)),""))</f>
        <v/>
      </c>
      <c r="L1563" s="82" t="str">
        <f aca="false">IF(B1563="","",IFERROR(INDEX('CARNET DE SOUDURE'!$D$7:$D$3006,MATCH(B1563,'CARNET DE SOUDURE'!$L$7:$L$3006,0)),IFERROR(INDEX('CARNET DE SOUDURE'!$D$7:$D$3006,MATCH(B1563,'CARNET DE SOUDURE'!$O$7:$O$3006,0)),"")))</f>
        <v/>
      </c>
      <c r="M1563" s="82" t="str">
        <f aca="false">IF(B1563="","",IF(OR(J1563&lt;&gt;"",K1563&lt;&gt;""),"POSÉ EN LIGNE",IF(COUNTIF(BARDAGE!$C$1:$C$5000,B1563)&gt;0,"BARDÉ","EN STOCK")))</f>
        <v/>
      </c>
      <c r="N1563" s="80"/>
    </row>
    <row r="1564" customFormat="false" ht="15" hidden="false" customHeight="false" outlineLevel="0" collapsed="false">
      <c r="A1564" s="82" t="str">
        <f aca="false">IF(B1564="","",ROW()-6)</f>
        <v/>
      </c>
      <c r="B1564" s="145"/>
      <c r="C1564" s="146"/>
      <c r="D1564" s="146"/>
      <c r="E1564" s="82" t="str">
        <f aca="false">IF(B1564="","",IF(COUNTIFS('CARNET DE SOUDURE'!$L$7:$L$3006,B1564,'CARNET DE SOUDURE'!$M$7:$M$3006,"&lt;&gt;"&amp;C1564,'CARNET DE SOUDURE'!$M$7:$M$3006,"&lt;&gt;")+COUNTIFS('CARNET DE SOUDURE'!$O$7:$O$3006,B1564,'CARNET DE SOUDURE'!$P$7:$P$3006,"&lt;&gt;"&amp;C1564,'CARNET DE SOUDURE'!$P$7:$P$3006,"&lt;&gt;")&gt;0,"⚠ DIFFÉRENTE","OK"))</f>
        <v/>
      </c>
      <c r="F1564" s="147"/>
      <c r="G1564" s="80"/>
      <c r="H1564" s="83"/>
      <c r="I1564" s="148" t="str">
        <f aca="false">IF(B1564="","",IFERROR(INDEX('CARNET DE SOUDURE'!$B$7:$B$3006,MATCH(B1564,'CARNET DE SOUDURE'!$L$7:$L$3006,0)),IFERROR(INDEX('CARNET DE SOUDURE'!$B$7:$B$3006,MATCH(B1564,'CARNET DE SOUDURE'!$O$7:$O$3006,0)),"")))</f>
        <v/>
      </c>
      <c r="J1564" s="82" t="str">
        <f aca="false">IF(B1564="","",IFERROR(INDEX('CARNET DE SOUDURE'!$E$7:$E$3006,MATCH(B1564,'CARNET DE SOUDURE'!$O$7:$O$3006,0)),""))</f>
        <v/>
      </c>
      <c r="K1564" s="82" t="str">
        <f aca="false">IF(B1564="","",IFERROR(INDEX('CARNET DE SOUDURE'!$E$7:$E$3006,MATCH(B1564,'CARNET DE SOUDURE'!$L$7:$L$3006,0)),""))</f>
        <v/>
      </c>
      <c r="L1564" s="82" t="str">
        <f aca="false">IF(B1564="","",IFERROR(INDEX('CARNET DE SOUDURE'!$D$7:$D$3006,MATCH(B1564,'CARNET DE SOUDURE'!$L$7:$L$3006,0)),IFERROR(INDEX('CARNET DE SOUDURE'!$D$7:$D$3006,MATCH(B1564,'CARNET DE SOUDURE'!$O$7:$O$3006,0)),"")))</f>
        <v/>
      </c>
      <c r="M1564" s="82" t="str">
        <f aca="false">IF(B1564="","",IF(OR(J1564&lt;&gt;"",K1564&lt;&gt;""),"POSÉ EN LIGNE",IF(COUNTIF(BARDAGE!$C$1:$C$5000,B1564)&gt;0,"BARDÉ","EN STOCK")))</f>
        <v/>
      </c>
      <c r="N1564" s="80"/>
    </row>
    <row r="1565" customFormat="false" ht="15" hidden="false" customHeight="false" outlineLevel="0" collapsed="false">
      <c r="A1565" s="82" t="str">
        <f aca="false">IF(B1565="","",ROW()-6)</f>
        <v/>
      </c>
      <c r="B1565" s="145"/>
      <c r="C1565" s="146"/>
      <c r="D1565" s="146"/>
      <c r="E1565" s="82" t="str">
        <f aca="false">IF(B1565="","",IF(COUNTIFS('CARNET DE SOUDURE'!$L$7:$L$3006,B1565,'CARNET DE SOUDURE'!$M$7:$M$3006,"&lt;&gt;"&amp;C1565,'CARNET DE SOUDURE'!$M$7:$M$3006,"&lt;&gt;")+COUNTIFS('CARNET DE SOUDURE'!$O$7:$O$3006,B1565,'CARNET DE SOUDURE'!$P$7:$P$3006,"&lt;&gt;"&amp;C1565,'CARNET DE SOUDURE'!$P$7:$P$3006,"&lt;&gt;")&gt;0,"⚠ DIFFÉRENTE","OK"))</f>
        <v/>
      </c>
      <c r="F1565" s="147"/>
      <c r="G1565" s="80"/>
      <c r="H1565" s="83"/>
      <c r="I1565" s="148" t="str">
        <f aca="false">IF(B1565="","",IFERROR(INDEX('CARNET DE SOUDURE'!$B$7:$B$3006,MATCH(B1565,'CARNET DE SOUDURE'!$L$7:$L$3006,0)),IFERROR(INDEX('CARNET DE SOUDURE'!$B$7:$B$3006,MATCH(B1565,'CARNET DE SOUDURE'!$O$7:$O$3006,0)),"")))</f>
        <v/>
      </c>
      <c r="J1565" s="82" t="str">
        <f aca="false">IF(B1565="","",IFERROR(INDEX('CARNET DE SOUDURE'!$E$7:$E$3006,MATCH(B1565,'CARNET DE SOUDURE'!$O$7:$O$3006,0)),""))</f>
        <v/>
      </c>
      <c r="K1565" s="82" t="str">
        <f aca="false">IF(B1565="","",IFERROR(INDEX('CARNET DE SOUDURE'!$E$7:$E$3006,MATCH(B1565,'CARNET DE SOUDURE'!$L$7:$L$3006,0)),""))</f>
        <v/>
      </c>
      <c r="L1565" s="82" t="str">
        <f aca="false">IF(B1565="","",IFERROR(INDEX('CARNET DE SOUDURE'!$D$7:$D$3006,MATCH(B1565,'CARNET DE SOUDURE'!$L$7:$L$3006,0)),IFERROR(INDEX('CARNET DE SOUDURE'!$D$7:$D$3006,MATCH(B1565,'CARNET DE SOUDURE'!$O$7:$O$3006,0)),"")))</f>
        <v/>
      </c>
      <c r="M1565" s="82" t="str">
        <f aca="false">IF(B1565="","",IF(OR(J1565&lt;&gt;"",K1565&lt;&gt;""),"POSÉ EN LIGNE",IF(COUNTIF(BARDAGE!$C$1:$C$5000,B1565)&gt;0,"BARDÉ","EN STOCK")))</f>
        <v/>
      </c>
      <c r="N1565" s="80"/>
    </row>
    <row r="1566" customFormat="false" ht="15" hidden="false" customHeight="false" outlineLevel="0" collapsed="false">
      <c r="A1566" s="82" t="str">
        <f aca="false">IF(B1566="","",ROW()-6)</f>
        <v/>
      </c>
      <c r="B1566" s="145"/>
      <c r="C1566" s="146"/>
      <c r="D1566" s="146"/>
      <c r="E1566" s="82" t="str">
        <f aca="false">IF(B1566="","",IF(COUNTIFS('CARNET DE SOUDURE'!$L$7:$L$3006,B1566,'CARNET DE SOUDURE'!$M$7:$M$3006,"&lt;&gt;"&amp;C1566,'CARNET DE SOUDURE'!$M$7:$M$3006,"&lt;&gt;")+COUNTIFS('CARNET DE SOUDURE'!$O$7:$O$3006,B1566,'CARNET DE SOUDURE'!$P$7:$P$3006,"&lt;&gt;"&amp;C1566,'CARNET DE SOUDURE'!$P$7:$P$3006,"&lt;&gt;")&gt;0,"⚠ DIFFÉRENTE","OK"))</f>
        <v/>
      </c>
      <c r="F1566" s="147"/>
      <c r="G1566" s="80"/>
      <c r="H1566" s="83"/>
      <c r="I1566" s="148" t="str">
        <f aca="false">IF(B1566="","",IFERROR(INDEX('CARNET DE SOUDURE'!$B$7:$B$3006,MATCH(B1566,'CARNET DE SOUDURE'!$L$7:$L$3006,0)),IFERROR(INDEX('CARNET DE SOUDURE'!$B$7:$B$3006,MATCH(B1566,'CARNET DE SOUDURE'!$O$7:$O$3006,0)),"")))</f>
        <v/>
      </c>
      <c r="J1566" s="82" t="str">
        <f aca="false">IF(B1566="","",IFERROR(INDEX('CARNET DE SOUDURE'!$E$7:$E$3006,MATCH(B1566,'CARNET DE SOUDURE'!$O$7:$O$3006,0)),""))</f>
        <v/>
      </c>
      <c r="K1566" s="82" t="str">
        <f aca="false">IF(B1566="","",IFERROR(INDEX('CARNET DE SOUDURE'!$E$7:$E$3006,MATCH(B1566,'CARNET DE SOUDURE'!$L$7:$L$3006,0)),""))</f>
        <v/>
      </c>
      <c r="L1566" s="82" t="str">
        <f aca="false">IF(B1566="","",IFERROR(INDEX('CARNET DE SOUDURE'!$D$7:$D$3006,MATCH(B1566,'CARNET DE SOUDURE'!$L$7:$L$3006,0)),IFERROR(INDEX('CARNET DE SOUDURE'!$D$7:$D$3006,MATCH(B1566,'CARNET DE SOUDURE'!$O$7:$O$3006,0)),"")))</f>
        <v/>
      </c>
      <c r="M1566" s="82" t="str">
        <f aca="false">IF(B1566="","",IF(OR(J1566&lt;&gt;"",K1566&lt;&gt;""),"POSÉ EN LIGNE",IF(COUNTIF(BARDAGE!$C$1:$C$5000,B1566)&gt;0,"BARDÉ","EN STOCK")))</f>
        <v/>
      </c>
      <c r="N1566" s="80"/>
    </row>
    <row r="1567" customFormat="false" ht="15" hidden="false" customHeight="false" outlineLevel="0" collapsed="false">
      <c r="A1567" s="82" t="str">
        <f aca="false">IF(B1567="","",ROW()-6)</f>
        <v/>
      </c>
      <c r="B1567" s="145"/>
      <c r="C1567" s="146"/>
      <c r="D1567" s="146"/>
      <c r="E1567" s="82" t="str">
        <f aca="false">IF(B1567="","",IF(COUNTIFS('CARNET DE SOUDURE'!$L$7:$L$3006,B1567,'CARNET DE SOUDURE'!$M$7:$M$3006,"&lt;&gt;"&amp;C1567,'CARNET DE SOUDURE'!$M$7:$M$3006,"&lt;&gt;")+COUNTIFS('CARNET DE SOUDURE'!$O$7:$O$3006,B1567,'CARNET DE SOUDURE'!$P$7:$P$3006,"&lt;&gt;"&amp;C1567,'CARNET DE SOUDURE'!$P$7:$P$3006,"&lt;&gt;")&gt;0,"⚠ DIFFÉRENTE","OK"))</f>
        <v/>
      </c>
      <c r="F1567" s="147"/>
      <c r="G1567" s="80"/>
      <c r="H1567" s="83"/>
      <c r="I1567" s="148" t="str">
        <f aca="false">IF(B1567="","",IFERROR(INDEX('CARNET DE SOUDURE'!$B$7:$B$3006,MATCH(B1567,'CARNET DE SOUDURE'!$L$7:$L$3006,0)),IFERROR(INDEX('CARNET DE SOUDURE'!$B$7:$B$3006,MATCH(B1567,'CARNET DE SOUDURE'!$O$7:$O$3006,0)),"")))</f>
        <v/>
      </c>
      <c r="J1567" s="82" t="str">
        <f aca="false">IF(B1567="","",IFERROR(INDEX('CARNET DE SOUDURE'!$E$7:$E$3006,MATCH(B1567,'CARNET DE SOUDURE'!$O$7:$O$3006,0)),""))</f>
        <v/>
      </c>
      <c r="K1567" s="82" t="str">
        <f aca="false">IF(B1567="","",IFERROR(INDEX('CARNET DE SOUDURE'!$E$7:$E$3006,MATCH(B1567,'CARNET DE SOUDURE'!$L$7:$L$3006,0)),""))</f>
        <v/>
      </c>
      <c r="L1567" s="82" t="str">
        <f aca="false">IF(B1567="","",IFERROR(INDEX('CARNET DE SOUDURE'!$D$7:$D$3006,MATCH(B1567,'CARNET DE SOUDURE'!$L$7:$L$3006,0)),IFERROR(INDEX('CARNET DE SOUDURE'!$D$7:$D$3006,MATCH(B1567,'CARNET DE SOUDURE'!$O$7:$O$3006,0)),"")))</f>
        <v/>
      </c>
      <c r="M1567" s="82" t="str">
        <f aca="false">IF(B1567="","",IF(OR(J1567&lt;&gt;"",K1567&lt;&gt;""),"POSÉ EN LIGNE",IF(COUNTIF(BARDAGE!$C$1:$C$5000,B1567)&gt;0,"BARDÉ","EN STOCK")))</f>
        <v/>
      </c>
      <c r="N1567" s="80"/>
    </row>
    <row r="1568" customFormat="false" ht="15" hidden="false" customHeight="false" outlineLevel="0" collapsed="false">
      <c r="A1568" s="82" t="str">
        <f aca="false">IF(B1568="","",ROW()-6)</f>
        <v/>
      </c>
      <c r="B1568" s="145"/>
      <c r="C1568" s="146"/>
      <c r="D1568" s="146"/>
      <c r="E1568" s="82" t="str">
        <f aca="false">IF(B1568="","",IF(COUNTIFS('CARNET DE SOUDURE'!$L$7:$L$3006,B1568,'CARNET DE SOUDURE'!$M$7:$M$3006,"&lt;&gt;"&amp;C1568,'CARNET DE SOUDURE'!$M$7:$M$3006,"&lt;&gt;")+COUNTIFS('CARNET DE SOUDURE'!$O$7:$O$3006,B1568,'CARNET DE SOUDURE'!$P$7:$P$3006,"&lt;&gt;"&amp;C1568,'CARNET DE SOUDURE'!$P$7:$P$3006,"&lt;&gt;")&gt;0,"⚠ DIFFÉRENTE","OK"))</f>
        <v/>
      </c>
      <c r="F1568" s="147"/>
      <c r="G1568" s="80"/>
      <c r="H1568" s="83"/>
      <c r="I1568" s="148" t="str">
        <f aca="false">IF(B1568="","",IFERROR(INDEX('CARNET DE SOUDURE'!$B$7:$B$3006,MATCH(B1568,'CARNET DE SOUDURE'!$L$7:$L$3006,0)),IFERROR(INDEX('CARNET DE SOUDURE'!$B$7:$B$3006,MATCH(B1568,'CARNET DE SOUDURE'!$O$7:$O$3006,0)),"")))</f>
        <v/>
      </c>
      <c r="J1568" s="82" t="str">
        <f aca="false">IF(B1568="","",IFERROR(INDEX('CARNET DE SOUDURE'!$E$7:$E$3006,MATCH(B1568,'CARNET DE SOUDURE'!$O$7:$O$3006,0)),""))</f>
        <v/>
      </c>
      <c r="K1568" s="82" t="str">
        <f aca="false">IF(B1568="","",IFERROR(INDEX('CARNET DE SOUDURE'!$E$7:$E$3006,MATCH(B1568,'CARNET DE SOUDURE'!$L$7:$L$3006,0)),""))</f>
        <v/>
      </c>
      <c r="L1568" s="82" t="str">
        <f aca="false">IF(B1568="","",IFERROR(INDEX('CARNET DE SOUDURE'!$D$7:$D$3006,MATCH(B1568,'CARNET DE SOUDURE'!$L$7:$L$3006,0)),IFERROR(INDEX('CARNET DE SOUDURE'!$D$7:$D$3006,MATCH(B1568,'CARNET DE SOUDURE'!$O$7:$O$3006,0)),"")))</f>
        <v/>
      </c>
      <c r="M1568" s="82" t="str">
        <f aca="false">IF(B1568="","",IF(OR(J1568&lt;&gt;"",K1568&lt;&gt;""),"POSÉ EN LIGNE",IF(COUNTIF(BARDAGE!$C$1:$C$5000,B1568)&gt;0,"BARDÉ","EN STOCK")))</f>
        <v/>
      </c>
      <c r="N1568" s="80"/>
    </row>
    <row r="1569" customFormat="false" ht="15" hidden="false" customHeight="false" outlineLevel="0" collapsed="false">
      <c r="A1569" s="82" t="str">
        <f aca="false">IF(B1569="","",ROW()-6)</f>
        <v/>
      </c>
      <c r="B1569" s="145"/>
      <c r="C1569" s="146"/>
      <c r="D1569" s="146"/>
      <c r="E1569" s="82" t="str">
        <f aca="false">IF(B1569="","",IF(COUNTIFS('CARNET DE SOUDURE'!$L$7:$L$3006,B1569,'CARNET DE SOUDURE'!$M$7:$M$3006,"&lt;&gt;"&amp;C1569,'CARNET DE SOUDURE'!$M$7:$M$3006,"&lt;&gt;")+COUNTIFS('CARNET DE SOUDURE'!$O$7:$O$3006,B1569,'CARNET DE SOUDURE'!$P$7:$P$3006,"&lt;&gt;"&amp;C1569,'CARNET DE SOUDURE'!$P$7:$P$3006,"&lt;&gt;")&gt;0,"⚠ DIFFÉRENTE","OK"))</f>
        <v/>
      </c>
      <c r="F1569" s="147"/>
      <c r="G1569" s="80"/>
      <c r="H1569" s="83"/>
      <c r="I1569" s="148" t="str">
        <f aca="false">IF(B1569="","",IFERROR(INDEX('CARNET DE SOUDURE'!$B$7:$B$3006,MATCH(B1569,'CARNET DE SOUDURE'!$L$7:$L$3006,0)),IFERROR(INDEX('CARNET DE SOUDURE'!$B$7:$B$3006,MATCH(B1569,'CARNET DE SOUDURE'!$O$7:$O$3006,0)),"")))</f>
        <v/>
      </c>
      <c r="J1569" s="82" t="str">
        <f aca="false">IF(B1569="","",IFERROR(INDEX('CARNET DE SOUDURE'!$E$7:$E$3006,MATCH(B1569,'CARNET DE SOUDURE'!$O$7:$O$3006,0)),""))</f>
        <v/>
      </c>
      <c r="K1569" s="82" t="str">
        <f aca="false">IF(B1569="","",IFERROR(INDEX('CARNET DE SOUDURE'!$E$7:$E$3006,MATCH(B1569,'CARNET DE SOUDURE'!$L$7:$L$3006,0)),""))</f>
        <v/>
      </c>
      <c r="L1569" s="82" t="str">
        <f aca="false">IF(B1569="","",IFERROR(INDEX('CARNET DE SOUDURE'!$D$7:$D$3006,MATCH(B1569,'CARNET DE SOUDURE'!$L$7:$L$3006,0)),IFERROR(INDEX('CARNET DE SOUDURE'!$D$7:$D$3006,MATCH(B1569,'CARNET DE SOUDURE'!$O$7:$O$3006,0)),"")))</f>
        <v/>
      </c>
      <c r="M1569" s="82" t="str">
        <f aca="false">IF(B1569="","",IF(OR(J1569&lt;&gt;"",K1569&lt;&gt;""),"POSÉ EN LIGNE",IF(COUNTIF(BARDAGE!$C$1:$C$5000,B1569)&gt;0,"BARDÉ","EN STOCK")))</f>
        <v/>
      </c>
      <c r="N1569" s="80"/>
    </row>
    <row r="1570" customFormat="false" ht="15" hidden="false" customHeight="false" outlineLevel="0" collapsed="false">
      <c r="A1570" s="82" t="str">
        <f aca="false">IF(B1570="","",ROW()-6)</f>
        <v/>
      </c>
      <c r="B1570" s="145"/>
      <c r="C1570" s="146"/>
      <c r="D1570" s="146"/>
      <c r="E1570" s="82" t="str">
        <f aca="false">IF(B1570="","",IF(COUNTIFS('CARNET DE SOUDURE'!$L$7:$L$3006,B1570,'CARNET DE SOUDURE'!$M$7:$M$3006,"&lt;&gt;"&amp;C1570,'CARNET DE SOUDURE'!$M$7:$M$3006,"&lt;&gt;")+COUNTIFS('CARNET DE SOUDURE'!$O$7:$O$3006,B1570,'CARNET DE SOUDURE'!$P$7:$P$3006,"&lt;&gt;"&amp;C1570,'CARNET DE SOUDURE'!$P$7:$P$3006,"&lt;&gt;")&gt;0,"⚠ DIFFÉRENTE","OK"))</f>
        <v/>
      </c>
      <c r="F1570" s="147"/>
      <c r="G1570" s="80"/>
      <c r="H1570" s="83"/>
      <c r="I1570" s="148" t="str">
        <f aca="false">IF(B1570="","",IFERROR(INDEX('CARNET DE SOUDURE'!$B$7:$B$3006,MATCH(B1570,'CARNET DE SOUDURE'!$L$7:$L$3006,0)),IFERROR(INDEX('CARNET DE SOUDURE'!$B$7:$B$3006,MATCH(B1570,'CARNET DE SOUDURE'!$O$7:$O$3006,0)),"")))</f>
        <v/>
      </c>
      <c r="J1570" s="82" t="str">
        <f aca="false">IF(B1570="","",IFERROR(INDEX('CARNET DE SOUDURE'!$E$7:$E$3006,MATCH(B1570,'CARNET DE SOUDURE'!$O$7:$O$3006,0)),""))</f>
        <v/>
      </c>
      <c r="K1570" s="82" t="str">
        <f aca="false">IF(B1570="","",IFERROR(INDEX('CARNET DE SOUDURE'!$E$7:$E$3006,MATCH(B1570,'CARNET DE SOUDURE'!$L$7:$L$3006,0)),""))</f>
        <v/>
      </c>
      <c r="L1570" s="82" t="str">
        <f aca="false">IF(B1570="","",IFERROR(INDEX('CARNET DE SOUDURE'!$D$7:$D$3006,MATCH(B1570,'CARNET DE SOUDURE'!$L$7:$L$3006,0)),IFERROR(INDEX('CARNET DE SOUDURE'!$D$7:$D$3006,MATCH(B1570,'CARNET DE SOUDURE'!$O$7:$O$3006,0)),"")))</f>
        <v/>
      </c>
      <c r="M1570" s="82" t="str">
        <f aca="false">IF(B1570="","",IF(OR(J1570&lt;&gt;"",K1570&lt;&gt;""),"POSÉ EN LIGNE",IF(COUNTIF(BARDAGE!$C$1:$C$5000,B1570)&gt;0,"BARDÉ","EN STOCK")))</f>
        <v/>
      </c>
      <c r="N1570" s="80"/>
    </row>
    <row r="1571" customFormat="false" ht="15" hidden="false" customHeight="false" outlineLevel="0" collapsed="false">
      <c r="A1571" s="82" t="str">
        <f aca="false">IF(B1571="","",ROW()-6)</f>
        <v/>
      </c>
      <c r="B1571" s="145"/>
      <c r="C1571" s="146"/>
      <c r="D1571" s="146"/>
      <c r="E1571" s="82" t="str">
        <f aca="false">IF(B1571="","",IF(COUNTIFS('CARNET DE SOUDURE'!$L$7:$L$3006,B1571,'CARNET DE SOUDURE'!$M$7:$M$3006,"&lt;&gt;"&amp;C1571,'CARNET DE SOUDURE'!$M$7:$M$3006,"&lt;&gt;")+COUNTIFS('CARNET DE SOUDURE'!$O$7:$O$3006,B1571,'CARNET DE SOUDURE'!$P$7:$P$3006,"&lt;&gt;"&amp;C1571,'CARNET DE SOUDURE'!$P$7:$P$3006,"&lt;&gt;")&gt;0,"⚠ DIFFÉRENTE","OK"))</f>
        <v/>
      </c>
      <c r="F1571" s="147"/>
      <c r="G1571" s="80"/>
      <c r="H1571" s="83"/>
      <c r="I1571" s="148" t="str">
        <f aca="false">IF(B1571="","",IFERROR(INDEX('CARNET DE SOUDURE'!$B$7:$B$3006,MATCH(B1571,'CARNET DE SOUDURE'!$L$7:$L$3006,0)),IFERROR(INDEX('CARNET DE SOUDURE'!$B$7:$B$3006,MATCH(B1571,'CARNET DE SOUDURE'!$O$7:$O$3006,0)),"")))</f>
        <v/>
      </c>
      <c r="J1571" s="82" t="str">
        <f aca="false">IF(B1571="","",IFERROR(INDEX('CARNET DE SOUDURE'!$E$7:$E$3006,MATCH(B1571,'CARNET DE SOUDURE'!$O$7:$O$3006,0)),""))</f>
        <v/>
      </c>
      <c r="K1571" s="82" t="str">
        <f aca="false">IF(B1571="","",IFERROR(INDEX('CARNET DE SOUDURE'!$E$7:$E$3006,MATCH(B1571,'CARNET DE SOUDURE'!$L$7:$L$3006,0)),""))</f>
        <v/>
      </c>
      <c r="L1571" s="82" t="str">
        <f aca="false">IF(B1571="","",IFERROR(INDEX('CARNET DE SOUDURE'!$D$7:$D$3006,MATCH(B1571,'CARNET DE SOUDURE'!$L$7:$L$3006,0)),IFERROR(INDEX('CARNET DE SOUDURE'!$D$7:$D$3006,MATCH(B1571,'CARNET DE SOUDURE'!$O$7:$O$3006,0)),"")))</f>
        <v/>
      </c>
      <c r="M1571" s="82" t="str">
        <f aca="false">IF(B1571="","",IF(OR(J1571&lt;&gt;"",K1571&lt;&gt;""),"POSÉ EN LIGNE",IF(COUNTIF(BARDAGE!$C$1:$C$5000,B1571)&gt;0,"BARDÉ","EN STOCK")))</f>
        <v/>
      </c>
      <c r="N1571" s="80"/>
    </row>
    <row r="1572" customFormat="false" ht="15" hidden="false" customHeight="false" outlineLevel="0" collapsed="false">
      <c r="A1572" s="82" t="str">
        <f aca="false">IF(B1572="","",ROW()-6)</f>
        <v/>
      </c>
      <c r="B1572" s="145"/>
      <c r="C1572" s="146"/>
      <c r="D1572" s="146"/>
      <c r="E1572" s="82" t="str">
        <f aca="false">IF(B1572="","",IF(COUNTIFS('CARNET DE SOUDURE'!$L$7:$L$3006,B1572,'CARNET DE SOUDURE'!$M$7:$M$3006,"&lt;&gt;"&amp;C1572,'CARNET DE SOUDURE'!$M$7:$M$3006,"&lt;&gt;")+COUNTIFS('CARNET DE SOUDURE'!$O$7:$O$3006,B1572,'CARNET DE SOUDURE'!$P$7:$P$3006,"&lt;&gt;"&amp;C1572,'CARNET DE SOUDURE'!$P$7:$P$3006,"&lt;&gt;")&gt;0,"⚠ DIFFÉRENTE","OK"))</f>
        <v/>
      </c>
      <c r="F1572" s="147"/>
      <c r="G1572" s="80"/>
      <c r="H1572" s="83"/>
      <c r="I1572" s="148" t="str">
        <f aca="false">IF(B1572="","",IFERROR(INDEX('CARNET DE SOUDURE'!$B$7:$B$3006,MATCH(B1572,'CARNET DE SOUDURE'!$L$7:$L$3006,0)),IFERROR(INDEX('CARNET DE SOUDURE'!$B$7:$B$3006,MATCH(B1572,'CARNET DE SOUDURE'!$O$7:$O$3006,0)),"")))</f>
        <v/>
      </c>
      <c r="J1572" s="82" t="str">
        <f aca="false">IF(B1572="","",IFERROR(INDEX('CARNET DE SOUDURE'!$E$7:$E$3006,MATCH(B1572,'CARNET DE SOUDURE'!$O$7:$O$3006,0)),""))</f>
        <v/>
      </c>
      <c r="K1572" s="82" t="str">
        <f aca="false">IF(B1572="","",IFERROR(INDEX('CARNET DE SOUDURE'!$E$7:$E$3006,MATCH(B1572,'CARNET DE SOUDURE'!$L$7:$L$3006,0)),""))</f>
        <v/>
      </c>
      <c r="L1572" s="82" t="str">
        <f aca="false">IF(B1572="","",IFERROR(INDEX('CARNET DE SOUDURE'!$D$7:$D$3006,MATCH(B1572,'CARNET DE SOUDURE'!$L$7:$L$3006,0)),IFERROR(INDEX('CARNET DE SOUDURE'!$D$7:$D$3006,MATCH(B1572,'CARNET DE SOUDURE'!$O$7:$O$3006,0)),"")))</f>
        <v/>
      </c>
      <c r="M1572" s="82" t="str">
        <f aca="false">IF(B1572="","",IF(OR(J1572&lt;&gt;"",K1572&lt;&gt;""),"POSÉ EN LIGNE",IF(COUNTIF(BARDAGE!$C$1:$C$5000,B1572)&gt;0,"BARDÉ","EN STOCK")))</f>
        <v/>
      </c>
      <c r="N1572" s="80"/>
    </row>
    <row r="1573" customFormat="false" ht="15" hidden="false" customHeight="false" outlineLevel="0" collapsed="false">
      <c r="A1573" s="82" t="str">
        <f aca="false">IF(B1573="","",ROW()-6)</f>
        <v/>
      </c>
      <c r="B1573" s="145"/>
      <c r="C1573" s="146"/>
      <c r="D1573" s="146"/>
      <c r="E1573" s="82" t="str">
        <f aca="false">IF(B1573="","",IF(COUNTIFS('CARNET DE SOUDURE'!$L$7:$L$3006,B1573,'CARNET DE SOUDURE'!$M$7:$M$3006,"&lt;&gt;"&amp;C1573,'CARNET DE SOUDURE'!$M$7:$M$3006,"&lt;&gt;")+COUNTIFS('CARNET DE SOUDURE'!$O$7:$O$3006,B1573,'CARNET DE SOUDURE'!$P$7:$P$3006,"&lt;&gt;"&amp;C1573,'CARNET DE SOUDURE'!$P$7:$P$3006,"&lt;&gt;")&gt;0,"⚠ DIFFÉRENTE","OK"))</f>
        <v/>
      </c>
      <c r="F1573" s="147"/>
      <c r="G1573" s="80"/>
      <c r="H1573" s="83"/>
      <c r="I1573" s="148" t="str">
        <f aca="false">IF(B1573="","",IFERROR(INDEX('CARNET DE SOUDURE'!$B$7:$B$3006,MATCH(B1573,'CARNET DE SOUDURE'!$L$7:$L$3006,0)),IFERROR(INDEX('CARNET DE SOUDURE'!$B$7:$B$3006,MATCH(B1573,'CARNET DE SOUDURE'!$O$7:$O$3006,0)),"")))</f>
        <v/>
      </c>
      <c r="J1573" s="82" t="str">
        <f aca="false">IF(B1573="","",IFERROR(INDEX('CARNET DE SOUDURE'!$E$7:$E$3006,MATCH(B1573,'CARNET DE SOUDURE'!$O$7:$O$3006,0)),""))</f>
        <v/>
      </c>
      <c r="K1573" s="82" t="str">
        <f aca="false">IF(B1573="","",IFERROR(INDEX('CARNET DE SOUDURE'!$E$7:$E$3006,MATCH(B1573,'CARNET DE SOUDURE'!$L$7:$L$3006,0)),""))</f>
        <v/>
      </c>
      <c r="L1573" s="82" t="str">
        <f aca="false">IF(B1573="","",IFERROR(INDEX('CARNET DE SOUDURE'!$D$7:$D$3006,MATCH(B1573,'CARNET DE SOUDURE'!$L$7:$L$3006,0)),IFERROR(INDEX('CARNET DE SOUDURE'!$D$7:$D$3006,MATCH(B1573,'CARNET DE SOUDURE'!$O$7:$O$3006,0)),"")))</f>
        <v/>
      </c>
      <c r="M1573" s="82" t="str">
        <f aca="false">IF(B1573="","",IF(OR(J1573&lt;&gt;"",K1573&lt;&gt;""),"POSÉ EN LIGNE",IF(COUNTIF(BARDAGE!$C$1:$C$5000,B1573)&gt;0,"BARDÉ","EN STOCK")))</f>
        <v/>
      </c>
      <c r="N1573" s="80"/>
    </row>
    <row r="1574" customFormat="false" ht="15" hidden="false" customHeight="false" outlineLevel="0" collapsed="false">
      <c r="A1574" s="82" t="str">
        <f aca="false">IF(B1574="","",ROW()-6)</f>
        <v/>
      </c>
      <c r="B1574" s="145"/>
      <c r="C1574" s="146"/>
      <c r="D1574" s="146"/>
      <c r="E1574" s="82" t="str">
        <f aca="false">IF(B1574="","",IF(COUNTIFS('CARNET DE SOUDURE'!$L$7:$L$3006,B1574,'CARNET DE SOUDURE'!$M$7:$M$3006,"&lt;&gt;"&amp;C1574,'CARNET DE SOUDURE'!$M$7:$M$3006,"&lt;&gt;")+COUNTIFS('CARNET DE SOUDURE'!$O$7:$O$3006,B1574,'CARNET DE SOUDURE'!$P$7:$P$3006,"&lt;&gt;"&amp;C1574,'CARNET DE SOUDURE'!$P$7:$P$3006,"&lt;&gt;")&gt;0,"⚠ DIFFÉRENTE","OK"))</f>
        <v/>
      </c>
      <c r="F1574" s="147"/>
      <c r="G1574" s="80"/>
      <c r="H1574" s="83"/>
      <c r="I1574" s="148" t="str">
        <f aca="false">IF(B1574="","",IFERROR(INDEX('CARNET DE SOUDURE'!$B$7:$B$3006,MATCH(B1574,'CARNET DE SOUDURE'!$L$7:$L$3006,0)),IFERROR(INDEX('CARNET DE SOUDURE'!$B$7:$B$3006,MATCH(B1574,'CARNET DE SOUDURE'!$O$7:$O$3006,0)),"")))</f>
        <v/>
      </c>
      <c r="J1574" s="82" t="str">
        <f aca="false">IF(B1574="","",IFERROR(INDEX('CARNET DE SOUDURE'!$E$7:$E$3006,MATCH(B1574,'CARNET DE SOUDURE'!$O$7:$O$3006,0)),""))</f>
        <v/>
      </c>
      <c r="K1574" s="82" t="str">
        <f aca="false">IF(B1574="","",IFERROR(INDEX('CARNET DE SOUDURE'!$E$7:$E$3006,MATCH(B1574,'CARNET DE SOUDURE'!$L$7:$L$3006,0)),""))</f>
        <v/>
      </c>
      <c r="L1574" s="82" t="str">
        <f aca="false">IF(B1574="","",IFERROR(INDEX('CARNET DE SOUDURE'!$D$7:$D$3006,MATCH(B1574,'CARNET DE SOUDURE'!$L$7:$L$3006,0)),IFERROR(INDEX('CARNET DE SOUDURE'!$D$7:$D$3006,MATCH(B1574,'CARNET DE SOUDURE'!$O$7:$O$3006,0)),"")))</f>
        <v/>
      </c>
      <c r="M1574" s="82" t="str">
        <f aca="false">IF(B1574="","",IF(OR(J1574&lt;&gt;"",K1574&lt;&gt;""),"POSÉ EN LIGNE",IF(COUNTIF(BARDAGE!$C$1:$C$5000,B1574)&gt;0,"BARDÉ","EN STOCK")))</f>
        <v/>
      </c>
      <c r="N1574" s="80"/>
    </row>
    <row r="1575" customFormat="false" ht="15" hidden="false" customHeight="false" outlineLevel="0" collapsed="false">
      <c r="A1575" s="82" t="str">
        <f aca="false">IF(B1575="","",ROW()-6)</f>
        <v/>
      </c>
      <c r="B1575" s="145"/>
      <c r="C1575" s="146"/>
      <c r="D1575" s="146"/>
      <c r="E1575" s="82" t="str">
        <f aca="false">IF(B1575="","",IF(COUNTIFS('CARNET DE SOUDURE'!$L$7:$L$3006,B1575,'CARNET DE SOUDURE'!$M$7:$M$3006,"&lt;&gt;"&amp;C1575,'CARNET DE SOUDURE'!$M$7:$M$3006,"&lt;&gt;")+COUNTIFS('CARNET DE SOUDURE'!$O$7:$O$3006,B1575,'CARNET DE SOUDURE'!$P$7:$P$3006,"&lt;&gt;"&amp;C1575,'CARNET DE SOUDURE'!$P$7:$P$3006,"&lt;&gt;")&gt;0,"⚠ DIFFÉRENTE","OK"))</f>
        <v/>
      </c>
      <c r="F1575" s="147"/>
      <c r="G1575" s="80"/>
      <c r="H1575" s="83"/>
      <c r="I1575" s="148" t="str">
        <f aca="false">IF(B1575="","",IFERROR(INDEX('CARNET DE SOUDURE'!$B$7:$B$3006,MATCH(B1575,'CARNET DE SOUDURE'!$L$7:$L$3006,0)),IFERROR(INDEX('CARNET DE SOUDURE'!$B$7:$B$3006,MATCH(B1575,'CARNET DE SOUDURE'!$O$7:$O$3006,0)),"")))</f>
        <v/>
      </c>
      <c r="J1575" s="82" t="str">
        <f aca="false">IF(B1575="","",IFERROR(INDEX('CARNET DE SOUDURE'!$E$7:$E$3006,MATCH(B1575,'CARNET DE SOUDURE'!$O$7:$O$3006,0)),""))</f>
        <v/>
      </c>
      <c r="K1575" s="82" t="str">
        <f aca="false">IF(B1575="","",IFERROR(INDEX('CARNET DE SOUDURE'!$E$7:$E$3006,MATCH(B1575,'CARNET DE SOUDURE'!$L$7:$L$3006,0)),""))</f>
        <v/>
      </c>
      <c r="L1575" s="82" t="str">
        <f aca="false">IF(B1575="","",IFERROR(INDEX('CARNET DE SOUDURE'!$D$7:$D$3006,MATCH(B1575,'CARNET DE SOUDURE'!$L$7:$L$3006,0)),IFERROR(INDEX('CARNET DE SOUDURE'!$D$7:$D$3006,MATCH(B1575,'CARNET DE SOUDURE'!$O$7:$O$3006,0)),"")))</f>
        <v/>
      </c>
      <c r="M1575" s="82" t="str">
        <f aca="false">IF(B1575="","",IF(OR(J1575&lt;&gt;"",K1575&lt;&gt;""),"POSÉ EN LIGNE",IF(COUNTIF(BARDAGE!$C$1:$C$5000,B1575)&gt;0,"BARDÉ","EN STOCK")))</f>
        <v/>
      </c>
      <c r="N1575" s="80"/>
    </row>
    <row r="1576" customFormat="false" ht="15" hidden="false" customHeight="false" outlineLevel="0" collapsed="false">
      <c r="A1576" s="82" t="str">
        <f aca="false">IF(B1576="","",ROW()-6)</f>
        <v/>
      </c>
      <c r="B1576" s="145"/>
      <c r="C1576" s="146"/>
      <c r="D1576" s="146"/>
      <c r="E1576" s="82" t="str">
        <f aca="false">IF(B1576="","",IF(COUNTIFS('CARNET DE SOUDURE'!$L$7:$L$3006,B1576,'CARNET DE SOUDURE'!$M$7:$M$3006,"&lt;&gt;"&amp;C1576,'CARNET DE SOUDURE'!$M$7:$M$3006,"&lt;&gt;")+COUNTIFS('CARNET DE SOUDURE'!$O$7:$O$3006,B1576,'CARNET DE SOUDURE'!$P$7:$P$3006,"&lt;&gt;"&amp;C1576,'CARNET DE SOUDURE'!$P$7:$P$3006,"&lt;&gt;")&gt;0,"⚠ DIFFÉRENTE","OK"))</f>
        <v/>
      </c>
      <c r="F1576" s="147"/>
      <c r="G1576" s="80"/>
      <c r="H1576" s="83"/>
      <c r="I1576" s="148" t="str">
        <f aca="false">IF(B1576="","",IFERROR(INDEX('CARNET DE SOUDURE'!$B$7:$B$3006,MATCH(B1576,'CARNET DE SOUDURE'!$L$7:$L$3006,0)),IFERROR(INDEX('CARNET DE SOUDURE'!$B$7:$B$3006,MATCH(B1576,'CARNET DE SOUDURE'!$O$7:$O$3006,0)),"")))</f>
        <v/>
      </c>
      <c r="J1576" s="82" t="str">
        <f aca="false">IF(B1576="","",IFERROR(INDEX('CARNET DE SOUDURE'!$E$7:$E$3006,MATCH(B1576,'CARNET DE SOUDURE'!$O$7:$O$3006,0)),""))</f>
        <v/>
      </c>
      <c r="K1576" s="82" t="str">
        <f aca="false">IF(B1576="","",IFERROR(INDEX('CARNET DE SOUDURE'!$E$7:$E$3006,MATCH(B1576,'CARNET DE SOUDURE'!$L$7:$L$3006,0)),""))</f>
        <v/>
      </c>
      <c r="L1576" s="82" t="str">
        <f aca="false">IF(B1576="","",IFERROR(INDEX('CARNET DE SOUDURE'!$D$7:$D$3006,MATCH(B1576,'CARNET DE SOUDURE'!$L$7:$L$3006,0)),IFERROR(INDEX('CARNET DE SOUDURE'!$D$7:$D$3006,MATCH(B1576,'CARNET DE SOUDURE'!$O$7:$O$3006,0)),"")))</f>
        <v/>
      </c>
      <c r="M1576" s="82" t="str">
        <f aca="false">IF(B1576="","",IF(OR(J1576&lt;&gt;"",K1576&lt;&gt;""),"POSÉ EN LIGNE",IF(COUNTIF(BARDAGE!$C$1:$C$5000,B1576)&gt;0,"BARDÉ","EN STOCK")))</f>
        <v/>
      </c>
      <c r="N1576" s="80"/>
    </row>
    <row r="1577" customFormat="false" ht="15" hidden="false" customHeight="false" outlineLevel="0" collapsed="false">
      <c r="A1577" s="82" t="str">
        <f aca="false">IF(B1577="","",ROW()-6)</f>
        <v/>
      </c>
      <c r="B1577" s="145"/>
      <c r="C1577" s="146"/>
      <c r="D1577" s="146"/>
      <c r="E1577" s="82" t="str">
        <f aca="false">IF(B1577="","",IF(COUNTIFS('CARNET DE SOUDURE'!$L$7:$L$3006,B1577,'CARNET DE SOUDURE'!$M$7:$M$3006,"&lt;&gt;"&amp;C1577,'CARNET DE SOUDURE'!$M$7:$M$3006,"&lt;&gt;")+COUNTIFS('CARNET DE SOUDURE'!$O$7:$O$3006,B1577,'CARNET DE SOUDURE'!$P$7:$P$3006,"&lt;&gt;"&amp;C1577,'CARNET DE SOUDURE'!$P$7:$P$3006,"&lt;&gt;")&gt;0,"⚠ DIFFÉRENTE","OK"))</f>
        <v/>
      </c>
      <c r="F1577" s="147"/>
      <c r="G1577" s="80"/>
      <c r="H1577" s="83"/>
      <c r="I1577" s="148" t="str">
        <f aca="false">IF(B1577="","",IFERROR(INDEX('CARNET DE SOUDURE'!$B$7:$B$3006,MATCH(B1577,'CARNET DE SOUDURE'!$L$7:$L$3006,0)),IFERROR(INDEX('CARNET DE SOUDURE'!$B$7:$B$3006,MATCH(B1577,'CARNET DE SOUDURE'!$O$7:$O$3006,0)),"")))</f>
        <v/>
      </c>
      <c r="J1577" s="82" t="str">
        <f aca="false">IF(B1577="","",IFERROR(INDEX('CARNET DE SOUDURE'!$E$7:$E$3006,MATCH(B1577,'CARNET DE SOUDURE'!$O$7:$O$3006,0)),""))</f>
        <v/>
      </c>
      <c r="K1577" s="82" t="str">
        <f aca="false">IF(B1577="","",IFERROR(INDEX('CARNET DE SOUDURE'!$E$7:$E$3006,MATCH(B1577,'CARNET DE SOUDURE'!$L$7:$L$3006,0)),""))</f>
        <v/>
      </c>
      <c r="L1577" s="82" t="str">
        <f aca="false">IF(B1577="","",IFERROR(INDEX('CARNET DE SOUDURE'!$D$7:$D$3006,MATCH(B1577,'CARNET DE SOUDURE'!$L$7:$L$3006,0)),IFERROR(INDEX('CARNET DE SOUDURE'!$D$7:$D$3006,MATCH(B1577,'CARNET DE SOUDURE'!$O$7:$O$3006,0)),"")))</f>
        <v/>
      </c>
      <c r="M1577" s="82" t="str">
        <f aca="false">IF(B1577="","",IF(OR(J1577&lt;&gt;"",K1577&lt;&gt;""),"POSÉ EN LIGNE",IF(COUNTIF(BARDAGE!$C$1:$C$5000,B1577)&gt;0,"BARDÉ","EN STOCK")))</f>
        <v/>
      </c>
      <c r="N1577" s="80"/>
    </row>
    <row r="1578" customFormat="false" ht="15" hidden="false" customHeight="false" outlineLevel="0" collapsed="false">
      <c r="A1578" s="82" t="str">
        <f aca="false">IF(B1578="","",ROW()-6)</f>
        <v/>
      </c>
      <c r="B1578" s="145"/>
      <c r="C1578" s="146"/>
      <c r="D1578" s="146"/>
      <c r="E1578" s="82" t="str">
        <f aca="false">IF(B1578="","",IF(COUNTIFS('CARNET DE SOUDURE'!$L$7:$L$3006,B1578,'CARNET DE SOUDURE'!$M$7:$M$3006,"&lt;&gt;"&amp;C1578,'CARNET DE SOUDURE'!$M$7:$M$3006,"&lt;&gt;")+COUNTIFS('CARNET DE SOUDURE'!$O$7:$O$3006,B1578,'CARNET DE SOUDURE'!$P$7:$P$3006,"&lt;&gt;"&amp;C1578,'CARNET DE SOUDURE'!$P$7:$P$3006,"&lt;&gt;")&gt;0,"⚠ DIFFÉRENTE","OK"))</f>
        <v/>
      </c>
      <c r="F1578" s="147"/>
      <c r="G1578" s="80"/>
      <c r="H1578" s="83"/>
      <c r="I1578" s="148" t="str">
        <f aca="false">IF(B1578="","",IFERROR(INDEX('CARNET DE SOUDURE'!$B$7:$B$3006,MATCH(B1578,'CARNET DE SOUDURE'!$L$7:$L$3006,0)),IFERROR(INDEX('CARNET DE SOUDURE'!$B$7:$B$3006,MATCH(B1578,'CARNET DE SOUDURE'!$O$7:$O$3006,0)),"")))</f>
        <v/>
      </c>
      <c r="J1578" s="82" t="str">
        <f aca="false">IF(B1578="","",IFERROR(INDEX('CARNET DE SOUDURE'!$E$7:$E$3006,MATCH(B1578,'CARNET DE SOUDURE'!$O$7:$O$3006,0)),""))</f>
        <v/>
      </c>
      <c r="K1578" s="82" t="str">
        <f aca="false">IF(B1578="","",IFERROR(INDEX('CARNET DE SOUDURE'!$E$7:$E$3006,MATCH(B1578,'CARNET DE SOUDURE'!$L$7:$L$3006,0)),""))</f>
        <v/>
      </c>
      <c r="L1578" s="82" t="str">
        <f aca="false">IF(B1578="","",IFERROR(INDEX('CARNET DE SOUDURE'!$D$7:$D$3006,MATCH(B1578,'CARNET DE SOUDURE'!$L$7:$L$3006,0)),IFERROR(INDEX('CARNET DE SOUDURE'!$D$7:$D$3006,MATCH(B1578,'CARNET DE SOUDURE'!$O$7:$O$3006,0)),"")))</f>
        <v/>
      </c>
      <c r="M1578" s="82" t="str">
        <f aca="false">IF(B1578="","",IF(OR(J1578&lt;&gt;"",K1578&lt;&gt;""),"POSÉ EN LIGNE",IF(COUNTIF(BARDAGE!$C$1:$C$5000,B1578)&gt;0,"BARDÉ","EN STOCK")))</f>
        <v/>
      </c>
      <c r="N1578" s="80"/>
    </row>
    <row r="1579" customFormat="false" ht="15" hidden="false" customHeight="false" outlineLevel="0" collapsed="false">
      <c r="A1579" s="82" t="str">
        <f aca="false">IF(B1579="","",ROW()-6)</f>
        <v/>
      </c>
      <c r="B1579" s="145"/>
      <c r="C1579" s="146"/>
      <c r="D1579" s="146"/>
      <c r="E1579" s="82" t="str">
        <f aca="false">IF(B1579="","",IF(COUNTIFS('CARNET DE SOUDURE'!$L$7:$L$3006,B1579,'CARNET DE SOUDURE'!$M$7:$M$3006,"&lt;&gt;"&amp;C1579,'CARNET DE SOUDURE'!$M$7:$M$3006,"&lt;&gt;")+COUNTIFS('CARNET DE SOUDURE'!$O$7:$O$3006,B1579,'CARNET DE SOUDURE'!$P$7:$P$3006,"&lt;&gt;"&amp;C1579,'CARNET DE SOUDURE'!$P$7:$P$3006,"&lt;&gt;")&gt;0,"⚠ DIFFÉRENTE","OK"))</f>
        <v/>
      </c>
      <c r="F1579" s="147"/>
      <c r="G1579" s="80"/>
      <c r="H1579" s="83"/>
      <c r="I1579" s="148" t="str">
        <f aca="false">IF(B1579="","",IFERROR(INDEX('CARNET DE SOUDURE'!$B$7:$B$3006,MATCH(B1579,'CARNET DE SOUDURE'!$L$7:$L$3006,0)),IFERROR(INDEX('CARNET DE SOUDURE'!$B$7:$B$3006,MATCH(B1579,'CARNET DE SOUDURE'!$O$7:$O$3006,0)),"")))</f>
        <v/>
      </c>
      <c r="J1579" s="82" t="str">
        <f aca="false">IF(B1579="","",IFERROR(INDEX('CARNET DE SOUDURE'!$E$7:$E$3006,MATCH(B1579,'CARNET DE SOUDURE'!$O$7:$O$3006,0)),""))</f>
        <v/>
      </c>
      <c r="K1579" s="82" t="str">
        <f aca="false">IF(B1579="","",IFERROR(INDEX('CARNET DE SOUDURE'!$E$7:$E$3006,MATCH(B1579,'CARNET DE SOUDURE'!$L$7:$L$3006,0)),""))</f>
        <v/>
      </c>
      <c r="L1579" s="82" t="str">
        <f aca="false">IF(B1579="","",IFERROR(INDEX('CARNET DE SOUDURE'!$D$7:$D$3006,MATCH(B1579,'CARNET DE SOUDURE'!$L$7:$L$3006,0)),IFERROR(INDEX('CARNET DE SOUDURE'!$D$7:$D$3006,MATCH(B1579,'CARNET DE SOUDURE'!$O$7:$O$3006,0)),"")))</f>
        <v/>
      </c>
      <c r="M1579" s="82" t="str">
        <f aca="false">IF(B1579="","",IF(OR(J1579&lt;&gt;"",K1579&lt;&gt;""),"POSÉ EN LIGNE",IF(COUNTIF(BARDAGE!$C$1:$C$5000,B1579)&gt;0,"BARDÉ","EN STOCK")))</f>
        <v/>
      </c>
      <c r="N1579" s="80"/>
    </row>
    <row r="1580" customFormat="false" ht="15" hidden="false" customHeight="false" outlineLevel="0" collapsed="false">
      <c r="A1580" s="82" t="str">
        <f aca="false">IF(B1580="","",ROW()-6)</f>
        <v/>
      </c>
      <c r="B1580" s="145"/>
      <c r="C1580" s="146"/>
      <c r="D1580" s="146"/>
      <c r="E1580" s="82" t="str">
        <f aca="false">IF(B1580="","",IF(COUNTIFS('CARNET DE SOUDURE'!$L$7:$L$3006,B1580,'CARNET DE SOUDURE'!$M$7:$M$3006,"&lt;&gt;"&amp;C1580,'CARNET DE SOUDURE'!$M$7:$M$3006,"&lt;&gt;")+COUNTIFS('CARNET DE SOUDURE'!$O$7:$O$3006,B1580,'CARNET DE SOUDURE'!$P$7:$P$3006,"&lt;&gt;"&amp;C1580,'CARNET DE SOUDURE'!$P$7:$P$3006,"&lt;&gt;")&gt;0,"⚠ DIFFÉRENTE","OK"))</f>
        <v/>
      </c>
      <c r="F1580" s="147"/>
      <c r="G1580" s="80"/>
      <c r="H1580" s="83"/>
      <c r="I1580" s="148" t="str">
        <f aca="false">IF(B1580="","",IFERROR(INDEX('CARNET DE SOUDURE'!$B$7:$B$3006,MATCH(B1580,'CARNET DE SOUDURE'!$L$7:$L$3006,0)),IFERROR(INDEX('CARNET DE SOUDURE'!$B$7:$B$3006,MATCH(B1580,'CARNET DE SOUDURE'!$O$7:$O$3006,0)),"")))</f>
        <v/>
      </c>
      <c r="J1580" s="82" t="str">
        <f aca="false">IF(B1580="","",IFERROR(INDEX('CARNET DE SOUDURE'!$E$7:$E$3006,MATCH(B1580,'CARNET DE SOUDURE'!$O$7:$O$3006,0)),""))</f>
        <v/>
      </c>
      <c r="K1580" s="82" t="str">
        <f aca="false">IF(B1580="","",IFERROR(INDEX('CARNET DE SOUDURE'!$E$7:$E$3006,MATCH(B1580,'CARNET DE SOUDURE'!$L$7:$L$3006,0)),""))</f>
        <v/>
      </c>
      <c r="L1580" s="82" t="str">
        <f aca="false">IF(B1580="","",IFERROR(INDEX('CARNET DE SOUDURE'!$D$7:$D$3006,MATCH(B1580,'CARNET DE SOUDURE'!$L$7:$L$3006,0)),IFERROR(INDEX('CARNET DE SOUDURE'!$D$7:$D$3006,MATCH(B1580,'CARNET DE SOUDURE'!$O$7:$O$3006,0)),"")))</f>
        <v/>
      </c>
      <c r="M1580" s="82" t="str">
        <f aca="false">IF(B1580="","",IF(OR(J1580&lt;&gt;"",K1580&lt;&gt;""),"POSÉ EN LIGNE",IF(COUNTIF(BARDAGE!$C$1:$C$5000,B1580)&gt;0,"BARDÉ","EN STOCK")))</f>
        <v/>
      </c>
      <c r="N1580" s="80"/>
    </row>
    <row r="1581" customFormat="false" ht="15" hidden="false" customHeight="false" outlineLevel="0" collapsed="false">
      <c r="A1581" s="82" t="str">
        <f aca="false">IF(B1581="","",ROW()-6)</f>
        <v/>
      </c>
      <c r="B1581" s="145"/>
      <c r="C1581" s="146"/>
      <c r="D1581" s="146"/>
      <c r="E1581" s="82" t="str">
        <f aca="false">IF(B1581="","",IF(COUNTIFS('CARNET DE SOUDURE'!$L$7:$L$3006,B1581,'CARNET DE SOUDURE'!$M$7:$M$3006,"&lt;&gt;"&amp;C1581,'CARNET DE SOUDURE'!$M$7:$M$3006,"&lt;&gt;")+COUNTIFS('CARNET DE SOUDURE'!$O$7:$O$3006,B1581,'CARNET DE SOUDURE'!$P$7:$P$3006,"&lt;&gt;"&amp;C1581,'CARNET DE SOUDURE'!$P$7:$P$3006,"&lt;&gt;")&gt;0,"⚠ DIFFÉRENTE","OK"))</f>
        <v/>
      </c>
      <c r="F1581" s="147"/>
      <c r="G1581" s="80"/>
      <c r="H1581" s="83"/>
      <c r="I1581" s="148" t="str">
        <f aca="false">IF(B1581="","",IFERROR(INDEX('CARNET DE SOUDURE'!$B$7:$B$3006,MATCH(B1581,'CARNET DE SOUDURE'!$L$7:$L$3006,0)),IFERROR(INDEX('CARNET DE SOUDURE'!$B$7:$B$3006,MATCH(B1581,'CARNET DE SOUDURE'!$O$7:$O$3006,0)),"")))</f>
        <v/>
      </c>
      <c r="J1581" s="82" t="str">
        <f aca="false">IF(B1581="","",IFERROR(INDEX('CARNET DE SOUDURE'!$E$7:$E$3006,MATCH(B1581,'CARNET DE SOUDURE'!$O$7:$O$3006,0)),""))</f>
        <v/>
      </c>
      <c r="K1581" s="82" t="str">
        <f aca="false">IF(B1581="","",IFERROR(INDEX('CARNET DE SOUDURE'!$E$7:$E$3006,MATCH(B1581,'CARNET DE SOUDURE'!$L$7:$L$3006,0)),""))</f>
        <v/>
      </c>
      <c r="L1581" s="82" t="str">
        <f aca="false">IF(B1581="","",IFERROR(INDEX('CARNET DE SOUDURE'!$D$7:$D$3006,MATCH(B1581,'CARNET DE SOUDURE'!$L$7:$L$3006,0)),IFERROR(INDEX('CARNET DE SOUDURE'!$D$7:$D$3006,MATCH(B1581,'CARNET DE SOUDURE'!$O$7:$O$3006,0)),"")))</f>
        <v/>
      </c>
      <c r="M1581" s="82" t="str">
        <f aca="false">IF(B1581="","",IF(OR(J1581&lt;&gt;"",K1581&lt;&gt;""),"POSÉ EN LIGNE",IF(COUNTIF(BARDAGE!$C$1:$C$5000,B1581)&gt;0,"BARDÉ","EN STOCK")))</f>
        <v/>
      </c>
      <c r="N1581" s="80"/>
    </row>
    <row r="1582" customFormat="false" ht="15" hidden="false" customHeight="false" outlineLevel="0" collapsed="false">
      <c r="A1582" s="82" t="str">
        <f aca="false">IF(B1582="","",ROW()-6)</f>
        <v/>
      </c>
      <c r="B1582" s="145"/>
      <c r="C1582" s="146"/>
      <c r="D1582" s="146"/>
      <c r="E1582" s="82" t="str">
        <f aca="false">IF(B1582="","",IF(COUNTIFS('CARNET DE SOUDURE'!$L$7:$L$3006,B1582,'CARNET DE SOUDURE'!$M$7:$M$3006,"&lt;&gt;"&amp;C1582,'CARNET DE SOUDURE'!$M$7:$M$3006,"&lt;&gt;")+COUNTIFS('CARNET DE SOUDURE'!$O$7:$O$3006,B1582,'CARNET DE SOUDURE'!$P$7:$P$3006,"&lt;&gt;"&amp;C1582,'CARNET DE SOUDURE'!$P$7:$P$3006,"&lt;&gt;")&gt;0,"⚠ DIFFÉRENTE","OK"))</f>
        <v/>
      </c>
      <c r="F1582" s="147"/>
      <c r="G1582" s="80"/>
      <c r="H1582" s="83"/>
      <c r="I1582" s="148" t="str">
        <f aca="false">IF(B1582="","",IFERROR(INDEX('CARNET DE SOUDURE'!$B$7:$B$3006,MATCH(B1582,'CARNET DE SOUDURE'!$L$7:$L$3006,0)),IFERROR(INDEX('CARNET DE SOUDURE'!$B$7:$B$3006,MATCH(B1582,'CARNET DE SOUDURE'!$O$7:$O$3006,0)),"")))</f>
        <v/>
      </c>
      <c r="J1582" s="82" t="str">
        <f aca="false">IF(B1582="","",IFERROR(INDEX('CARNET DE SOUDURE'!$E$7:$E$3006,MATCH(B1582,'CARNET DE SOUDURE'!$O$7:$O$3006,0)),""))</f>
        <v/>
      </c>
      <c r="K1582" s="82" t="str">
        <f aca="false">IF(B1582="","",IFERROR(INDEX('CARNET DE SOUDURE'!$E$7:$E$3006,MATCH(B1582,'CARNET DE SOUDURE'!$L$7:$L$3006,0)),""))</f>
        <v/>
      </c>
      <c r="L1582" s="82" t="str">
        <f aca="false">IF(B1582="","",IFERROR(INDEX('CARNET DE SOUDURE'!$D$7:$D$3006,MATCH(B1582,'CARNET DE SOUDURE'!$L$7:$L$3006,0)),IFERROR(INDEX('CARNET DE SOUDURE'!$D$7:$D$3006,MATCH(B1582,'CARNET DE SOUDURE'!$O$7:$O$3006,0)),"")))</f>
        <v/>
      </c>
      <c r="M1582" s="82" t="str">
        <f aca="false">IF(B1582="","",IF(OR(J1582&lt;&gt;"",K1582&lt;&gt;""),"POSÉ EN LIGNE",IF(COUNTIF(BARDAGE!$C$1:$C$5000,B1582)&gt;0,"BARDÉ","EN STOCK")))</f>
        <v/>
      </c>
      <c r="N1582" s="80"/>
    </row>
    <row r="1583" customFormat="false" ht="15" hidden="false" customHeight="false" outlineLevel="0" collapsed="false">
      <c r="A1583" s="82" t="str">
        <f aca="false">IF(B1583="","",ROW()-6)</f>
        <v/>
      </c>
      <c r="B1583" s="145"/>
      <c r="C1583" s="146"/>
      <c r="D1583" s="146"/>
      <c r="E1583" s="82" t="str">
        <f aca="false">IF(B1583="","",IF(COUNTIFS('CARNET DE SOUDURE'!$L$7:$L$3006,B1583,'CARNET DE SOUDURE'!$M$7:$M$3006,"&lt;&gt;"&amp;C1583,'CARNET DE SOUDURE'!$M$7:$M$3006,"&lt;&gt;")+COUNTIFS('CARNET DE SOUDURE'!$O$7:$O$3006,B1583,'CARNET DE SOUDURE'!$P$7:$P$3006,"&lt;&gt;"&amp;C1583,'CARNET DE SOUDURE'!$P$7:$P$3006,"&lt;&gt;")&gt;0,"⚠ DIFFÉRENTE","OK"))</f>
        <v/>
      </c>
      <c r="F1583" s="147"/>
      <c r="G1583" s="80"/>
      <c r="H1583" s="83"/>
      <c r="I1583" s="148" t="str">
        <f aca="false">IF(B1583="","",IFERROR(INDEX('CARNET DE SOUDURE'!$B$7:$B$3006,MATCH(B1583,'CARNET DE SOUDURE'!$L$7:$L$3006,0)),IFERROR(INDEX('CARNET DE SOUDURE'!$B$7:$B$3006,MATCH(B1583,'CARNET DE SOUDURE'!$O$7:$O$3006,0)),"")))</f>
        <v/>
      </c>
      <c r="J1583" s="82" t="str">
        <f aca="false">IF(B1583="","",IFERROR(INDEX('CARNET DE SOUDURE'!$E$7:$E$3006,MATCH(B1583,'CARNET DE SOUDURE'!$O$7:$O$3006,0)),""))</f>
        <v/>
      </c>
      <c r="K1583" s="82" t="str">
        <f aca="false">IF(B1583="","",IFERROR(INDEX('CARNET DE SOUDURE'!$E$7:$E$3006,MATCH(B1583,'CARNET DE SOUDURE'!$L$7:$L$3006,0)),""))</f>
        <v/>
      </c>
      <c r="L1583" s="82" t="str">
        <f aca="false">IF(B1583="","",IFERROR(INDEX('CARNET DE SOUDURE'!$D$7:$D$3006,MATCH(B1583,'CARNET DE SOUDURE'!$L$7:$L$3006,0)),IFERROR(INDEX('CARNET DE SOUDURE'!$D$7:$D$3006,MATCH(B1583,'CARNET DE SOUDURE'!$O$7:$O$3006,0)),"")))</f>
        <v/>
      </c>
      <c r="M1583" s="82" t="str">
        <f aca="false">IF(B1583="","",IF(OR(J1583&lt;&gt;"",K1583&lt;&gt;""),"POSÉ EN LIGNE",IF(COUNTIF(BARDAGE!$C$1:$C$5000,B1583)&gt;0,"BARDÉ","EN STOCK")))</f>
        <v/>
      </c>
      <c r="N1583" s="80"/>
    </row>
    <row r="1584" customFormat="false" ht="15" hidden="false" customHeight="false" outlineLevel="0" collapsed="false">
      <c r="A1584" s="82" t="str">
        <f aca="false">IF(B1584="","",ROW()-6)</f>
        <v/>
      </c>
      <c r="B1584" s="145"/>
      <c r="C1584" s="146"/>
      <c r="D1584" s="146"/>
      <c r="E1584" s="82" t="str">
        <f aca="false">IF(B1584="","",IF(COUNTIFS('CARNET DE SOUDURE'!$L$7:$L$3006,B1584,'CARNET DE SOUDURE'!$M$7:$M$3006,"&lt;&gt;"&amp;C1584,'CARNET DE SOUDURE'!$M$7:$M$3006,"&lt;&gt;")+COUNTIFS('CARNET DE SOUDURE'!$O$7:$O$3006,B1584,'CARNET DE SOUDURE'!$P$7:$P$3006,"&lt;&gt;"&amp;C1584,'CARNET DE SOUDURE'!$P$7:$P$3006,"&lt;&gt;")&gt;0,"⚠ DIFFÉRENTE","OK"))</f>
        <v/>
      </c>
      <c r="F1584" s="147"/>
      <c r="G1584" s="80"/>
      <c r="H1584" s="83"/>
      <c r="I1584" s="148" t="str">
        <f aca="false">IF(B1584="","",IFERROR(INDEX('CARNET DE SOUDURE'!$B$7:$B$3006,MATCH(B1584,'CARNET DE SOUDURE'!$L$7:$L$3006,0)),IFERROR(INDEX('CARNET DE SOUDURE'!$B$7:$B$3006,MATCH(B1584,'CARNET DE SOUDURE'!$O$7:$O$3006,0)),"")))</f>
        <v/>
      </c>
      <c r="J1584" s="82" t="str">
        <f aca="false">IF(B1584="","",IFERROR(INDEX('CARNET DE SOUDURE'!$E$7:$E$3006,MATCH(B1584,'CARNET DE SOUDURE'!$O$7:$O$3006,0)),""))</f>
        <v/>
      </c>
      <c r="K1584" s="82" t="str">
        <f aca="false">IF(B1584="","",IFERROR(INDEX('CARNET DE SOUDURE'!$E$7:$E$3006,MATCH(B1584,'CARNET DE SOUDURE'!$L$7:$L$3006,0)),""))</f>
        <v/>
      </c>
      <c r="L1584" s="82" t="str">
        <f aca="false">IF(B1584="","",IFERROR(INDEX('CARNET DE SOUDURE'!$D$7:$D$3006,MATCH(B1584,'CARNET DE SOUDURE'!$L$7:$L$3006,0)),IFERROR(INDEX('CARNET DE SOUDURE'!$D$7:$D$3006,MATCH(B1584,'CARNET DE SOUDURE'!$O$7:$O$3006,0)),"")))</f>
        <v/>
      </c>
      <c r="M1584" s="82" t="str">
        <f aca="false">IF(B1584="","",IF(OR(J1584&lt;&gt;"",K1584&lt;&gt;""),"POSÉ EN LIGNE",IF(COUNTIF(BARDAGE!$C$1:$C$5000,B1584)&gt;0,"BARDÉ","EN STOCK")))</f>
        <v/>
      </c>
      <c r="N1584" s="80"/>
    </row>
    <row r="1585" customFormat="false" ht="15" hidden="false" customHeight="false" outlineLevel="0" collapsed="false">
      <c r="A1585" s="82" t="str">
        <f aca="false">IF(B1585="","",ROW()-6)</f>
        <v/>
      </c>
      <c r="B1585" s="145"/>
      <c r="C1585" s="146"/>
      <c r="D1585" s="146"/>
      <c r="E1585" s="82" t="str">
        <f aca="false">IF(B1585="","",IF(COUNTIFS('CARNET DE SOUDURE'!$L$7:$L$3006,B1585,'CARNET DE SOUDURE'!$M$7:$M$3006,"&lt;&gt;"&amp;C1585,'CARNET DE SOUDURE'!$M$7:$M$3006,"&lt;&gt;")+COUNTIFS('CARNET DE SOUDURE'!$O$7:$O$3006,B1585,'CARNET DE SOUDURE'!$P$7:$P$3006,"&lt;&gt;"&amp;C1585,'CARNET DE SOUDURE'!$P$7:$P$3006,"&lt;&gt;")&gt;0,"⚠ DIFFÉRENTE","OK"))</f>
        <v/>
      </c>
      <c r="F1585" s="147"/>
      <c r="G1585" s="80"/>
      <c r="H1585" s="83"/>
      <c r="I1585" s="148" t="str">
        <f aca="false">IF(B1585="","",IFERROR(INDEX('CARNET DE SOUDURE'!$B$7:$B$3006,MATCH(B1585,'CARNET DE SOUDURE'!$L$7:$L$3006,0)),IFERROR(INDEX('CARNET DE SOUDURE'!$B$7:$B$3006,MATCH(B1585,'CARNET DE SOUDURE'!$O$7:$O$3006,0)),"")))</f>
        <v/>
      </c>
      <c r="J1585" s="82" t="str">
        <f aca="false">IF(B1585="","",IFERROR(INDEX('CARNET DE SOUDURE'!$E$7:$E$3006,MATCH(B1585,'CARNET DE SOUDURE'!$O$7:$O$3006,0)),""))</f>
        <v/>
      </c>
      <c r="K1585" s="82" t="str">
        <f aca="false">IF(B1585="","",IFERROR(INDEX('CARNET DE SOUDURE'!$E$7:$E$3006,MATCH(B1585,'CARNET DE SOUDURE'!$L$7:$L$3006,0)),""))</f>
        <v/>
      </c>
      <c r="L1585" s="82" t="str">
        <f aca="false">IF(B1585="","",IFERROR(INDEX('CARNET DE SOUDURE'!$D$7:$D$3006,MATCH(B1585,'CARNET DE SOUDURE'!$L$7:$L$3006,0)),IFERROR(INDEX('CARNET DE SOUDURE'!$D$7:$D$3006,MATCH(B1585,'CARNET DE SOUDURE'!$O$7:$O$3006,0)),"")))</f>
        <v/>
      </c>
      <c r="M1585" s="82" t="str">
        <f aca="false">IF(B1585="","",IF(OR(J1585&lt;&gt;"",K1585&lt;&gt;""),"POSÉ EN LIGNE",IF(COUNTIF(BARDAGE!$C$1:$C$5000,B1585)&gt;0,"BARDÉ","EN STOCK")))</f>
        <v/>
      </c>
      <c r="N1585" s="80"/>
    </row>
    <row r="1586" customFormat="false" ht="15" hidden="false" customHeight="false" outlineLevel="0" collapsed="false">
      <c r="A1586" s="82" t="str">
        <f aca="false">IF(B1586="","",ROW()-6)</f>
        <v/>
      </c>
      <c r="B1586" s="145"/>
      <c r="C1586" s="146"/>
      <c r="D1586" s="146"/>
      <c r="E1586" s="82" t="str">
        <f aca="false">IF(B1586="","",IF(COUNTIFS('CARNET DE SOUDURE'!$L$7:$L$3006,B1586,'CARNET DE SOUDURE'!$M$7:$M$3006,"&lt;&gt;"&amp;C1586,'CARNET DE SOUDURE'!$M$7:$M$3006,"&lt;&gt;")+COUNTIFS('CARNET DE SOUDURE'!$O$7:$O$3006,B1586,'CARNET DE SOUDURE'!$P$7:$P$3006,"&lt;&gt;"&amp;C1586,'CARNET DE SOUDURE'!$P$7:$P$3006,"&lt;&gt;")&gt;0,"⚠ DIFFÉRENTE","OK"))</f>
        <v/>
      </c>
      <c r="F1586" s="147"/>
      <c r="G1586" s="80"/>
      <c r="H1586" s="83"/>
      <c r="I1586" s="148" t="str">
        <f aca="false">IF(B1586="","",IFERROR(INDEX('CARNET DE SOUDURE'!$B$7:$B$3006,MATCH(B1586,'CARNET DE SOUDURE'!$L$7:$L$3006,0)),IFERROR(INDEX('CARNET DE SOUDURE'!$B$7:$B$3006,MATCH(B1586,'CARNET DE SOUDURE'!$O$7:$O$3006,0)),"")))</f>
        <v/>
      </c>
      <c r="J1586" s="82" t="str">
        <f aca="false">IF(B1586="","",IFERROR(INDEX('CARNET DE SOUDURE'!$E$7:$E$3006,MATCH(B1586,'CARNET DE SOUDURE'!$O$7:$O$3006,0)),""))</f>
        <v/>
      </c>
      <c r="K1586" s="82" t="str">
        <f aca="false">IF(B1586="","",IFERROR(INDEX('CARNET DE SOUDURE'!$E$7:$E$3006,MATCH(B1586,'CARNET DE SOUDURE'!$L$7:$L$3006,0)),""))</f>
        <v/>
      </c>
      <c r="L1586" s="82" t="str">
        <f aca="false">IF(B1586="","",IFERROR(INDEX('CARNET DE SOUDURE'!$D$7:$D$3006,MATCH(B1586,'CARNET DE SOUDURE'!$L$7:$L$3006,0)),IFERROR(INDEX('CARNET DE SOUDURE'!$D$7:$D$3006,MATCH(B1586,'CARNET DE SOUDURE'!$O$7:$O$3006,0)),"")))</f>
        <v/>
      </c>
      <c r="M1586" s="82" t="str">
        <f aca="false">IF(B1586="","",IF(OR(J1586&lt;&gt;"",K1586&lt;&gt;""),"POSÉ EN LIGNE",IF(COUNTIF(BARDAGE!$C$1:$C$5000,B1586)&gt;0,"BARDÉ","EN STOCK")))</f>
        <v/>
      </c>
      <c r="N1586" s="80"/>
    </row>
    <row r="1587" customFormat="false" ht="15" hidden="false" customHeight="false" outlineLevel="0" collapsed="false">
      <c r="A1587" s="82" t="str">
        <f aca="false">IF(B1587="","",ROW()-6)</f>
        <v/>
      </c>
      <c r="B1587" s="145"/>
      <c r="C1587" s="146"/>
      <c r="D1587" s="146"/>
      <c r="E1587" s="82" t="str">
        <f aca="false">IF(B1587="","",IF(COUNTIFS('CARNET DE SOUDURE'!$L$7:$L$3006,B1587,'CARNET DE SOUDURE'!$M$7:$M$3006,"&lt;&gt;"&amp;C1587,'CARNET DE SOUDURE'!$M$7:$M$3006,"&lt;&gt;")+COUNTIFS('CARNET DE SOUDURE'!$O$7:$O$3006,B1587,'CARNET DE SOUDURE'!$P$7:$P$3006,"&lt;&gt;"&amp;C1587,'CARNET DE SOUDURE'!$P$7:$P$3006,"&lt;&gt;")&gt;0,"⚠ DIFFÉRENTE","OK"))</f>
        <v/>
      </c>
      <c r="F1587" s="147"/>
      <c r="G1587" s="80"/>
      <c r="H1587" s="83"/>
      <c r="I1587" s="148" t="str">
        <f aca="false">IF(B1587="","",IFERROR(INDEX('CARNET DE SOUDURE'!$B$7:$B$3006,MATCH(B1587,'CARNET DE SOUDURE'!$L$7:$L$3006,0)),IFERROR(INDEX('CARNET DE SOUDURE'!$B$7:$B$3006,MATCH(B1587,'CARNET DE SOUDURE'!$O$7:$O$3006,0)),"")))</f>
        <v/>
      </c>
      <c r="J1587" s="82" t="str">
        <f aca="false">IF(B1587="","",IFERROR(INDEX('CARNET DE SOUDURE'!$E$7:$E$3006,MATCH(B1587,'CARNET DE SOUDURE'!$O$7:$O$3006,0)),""))</f>
        <v/>
      </c>
      <c r="K1587" s="82" t="str">
        <f aca="false">IF(B1587="","",IFERROR(INDEX('CARNET DE SOUDURE'!$E$7:$E$3006,MATCH(B1587,'CARNET DE SOUDURE'!$L$7:$L$3006,0)),""))</f>
        <v/>
      </c>
      <c r="L1587" s="82" t="str">
        <f aca="false">IF(B1587="","",IFERROR(INDEX('CARNET DE SOUDURE'!$D$7:$D$3006,MATCH(B1587,'CARNET DE SOUDURE'!$L$7:$L$3006,0)),IFERROR(INDEX('CARNET DE SOUDURE'!$D$7:$D$3006,MATCH(B1587,'CARNET DE SOUDURE'!$O$7:$O$3006,0)),"")))</f>
        <v/>
      </c>
      <c r="M1587" s="82" t="str">
        <f aca="false">IF(B1587="","",IF(OR(J1587&lt;&gt;"",K1587&lt;&gt;""),"POSÉ EN LIGNE",IF(COUNTIF(BARDAGE!$C$1:$C$5000,B1587)&gt;0,"BARDÉ","EN STOCK")))</f>
        <v/>
      </c>
      <c r="N1587" s="80"/>
    </row>
    <row r="1588" customFormat="false" ht="15" hidden="false" customHeight="false" outlineLevel="0" collapsed="false">
      <c r="A1588" s="82" t="str">
        <f aca="false">IF(B1588="","",ROW()-6)</f>
        <v/>
      </c>
      <c r="B1588" s="145"/>
      <c r="C1588" s="146"/>
      <c r="D1588" s="146"/>
      <c r="E1588" s="82" t="str">
        <f aca="false">IF(B1588="","",IF(COUNTIFS('CARNET DE SOUDURE'!$L$7:$L$3006,B1588,'CARNET DE SOUDURE'!$M$7:$M$3006,"&lt;&gt;"&amp;C1588,'CARNET DE SOUDURE'!$M$7:$M$3006,"&lt;&gt;")+COUNTIFS('CARNET DE SOUDURE'!$O$7:$O$3006,B1588,'CARNET DE SOUDURE'!$P$7:$P$3006,"&lt;&gt;"&amp;C1588,'CARNET DE SOUDURE'!$P$7:$P$3006,"&lt;&gt;")&gt;0,"⚠ DIFFÉRENTE","OK"))</f>
        <v/>
      </c>
      <c r="F1588" s="147"/>
      <c r="G1588" s="80"/>
      <c r="H1588" s="83"/>
      <c r="I1588" s="148" t="str">
        <f aca="false">IF(B1588="","",IFERROR(INDEX('CARNET DE SOUDURE'!$B$7:$B$3006,MATCH(B1588,'CARNET DE SOUDURE'!$L$7:$L$3006,0)),IFERROR(INDEX('CARNET DE SOUDURE'!$B$7:$B$3006,MATCH(B1588,'CARNET DE SOUDURE'!$O$7:$O$3006,0)),"")))</f>
        <v/>
      </c>
      <c r="J1588" s="82" t="str">
        <f aca="false">IF(B1588="","",IFERROR(INDEX('CARNET DE SOUDURE'!$E$7:$E$3006,MATCH(B1588,'CARNET DE SOUDURE'!$O$7:$O$3006,0)),""))</f>
        <v/>
      </c>
      <c r="K1588" s="82" t="str">
        <f aca="false">IF(B1588="","",IFERROR(INDEX('CARNET DE SOUDURE'!$E$7:$E$3006,MATCH(B1588,'CARNET DE SOUDURE'!$L$7:$L$3006,0)),""))</f>
        <v/>
      </c>
      <c r="L1588" s="82" t="str">
        <f aca="false">IF(B1588="","",IFERROR(INDEX('CARNET DE SOUDURE'!$D$7:$D$3006,MATCH(B1588,'CARNET DE SOUDURE'!$L$7:$L$3006,0)),IFERROR(INDEX('CARNET DE SOUDURE'!$D$7:$D$3006,MATCH(B1588,'CARNET DE SOUDURE'!$O$7:$O$3006,0)),"")))</f>
        <v/>
      </c>
      <c r="M1588" s="82" t="str">
        <f aca="false">IF(B1588="","",IF(OR(J1588&lt;&gt;"",K1588&lt;&gt;""),"POSÉ EN LIGNE",IF(COUNTIF(BARDAGE!$C$1:$C$5000,B1588)&gt;0,"BARDÉ","EN STOCK")))</f>
        <v/>
      </c>
      <c r="N1588" s="80"/>
    </row>
    <row r="1589" customFormat="false" ht="15" hidden="false" customHeight="false" outlineLevel="0" collapsed="false">
      <c r="A1589" s="82" t="str">
        <f aca="false">IF(B1589="","",ROW()-6)</f>
        <v/>
      </c>
      <c r="B1589" s="145"/>
      <c r="C1589" s="146"/>
      <c r="D1589" s="146"/>
      <c r="E1589" s="82" t="str">
        <f aca="false">IF(B1589="","",IF(COUNTIFS('CARNET DE SOUDURE'!$L$7:$L$3006,B1589,'CARNET DE SOUDURE'!$M$7:$M$3006,"&lt;&gt;"&amp;C1589,'CARNET DE SOUDURE'!$M$7:$M$3006,"&lt;&gt;")+COUNTIFS('CARNET DE SOUDURE'!$O$7:$O$3006,B1589,'CARNET DE SOUDURE'!$P$7:$P$3006,"&lt;&gt;"&amp;C1589,'CARNET DE SOUDURE'!$P$7:$P$3006,"&lt;&gt;")&gt;0,"⚠ DIFFÉRENTE","OK"))</f>
        <v/>
      </c>
      <c r="F1589" s="147"/>
      <c r="G1589" s="80"/>
      <c r="H1589" s="83"/>
      <c r="I1589" s="148" t="str">
        <f aca="false">IF(B1589="","",IFERROR(INDEX('CARNET DE SOUDURE'!$B$7:$B$3006,MATCH(B1589,'CARNET DE SOUDURE'!$L$7:$L$3006,0)),IFERROR(INDEX('CARNET DE SOUDURE'!$B$7:$B$3006,MATCH(B1589,'CARNET DE SOUDURE'!$O$7:$O$3006,0)),"")))</f>
        <v/>
      </c>
      <c r="J1589" s="82" t="str">
        <f aca="false">IF(B1589="","",IFERROR(INDEX('CARNET DE SOUDURE'!$E$7:$E$3006,MATCH(B1589,'CARNET DE SOUDURE'!$O$7:$O$3006,0)),""))</f>
        <v/>
      </c>
      <c r="K1589" s="82" t="str">
        <f aca="false">IF(B1589="","",IFERROR(INDEX('CARNET DE SOUDURE'!$E$7:$E$3006,MATCH(B1589,'CARNET DE SOUDURE'!$L$7:$L$3006,0)),""))</f>
        <v/>
      </c>
      <c r="L1589" s="82" t="str">
        <f aca="false">IF(B1589="","",IFERROR(INDEX('CARNET DE SOUDURE'!$D$7:$D$3006,MATCH(B1589,'CARNET DE SOUDURE'!$L$7:$L$3006,0)),IFERROR(INDEX('CARNET DE SOUDURE'!$D$7:$D$3006,MATCH(B1589,'CARNET DE SOUDURE'!$O$7:$O$3006,0)),"")))</f>
        <v/>
      </c>
      <c r="M1589" s="82" t="str">
        <f aca="false">IF(B1589="","",IF(OR(J1589&lt;&gt;"",K1589&lt;&gt;""),"POSÉ EN LIGNE",IF(COUNTIF(BARDAGE!$C$1:$C$5000,B1589)&gt;0,"BARDÉ","EN STOCK")))</f>
        <v/>
      </c>
      <c r="N1589" s="80"/>
    </row>
    <row r="1590" customFormat="false" ht="15" hidden="false" customHeight="false" outlineLevel="0" collapsed="false">
      <c r="A1590" s="82" t="str">
        <f aca="false">IF(B1590="","",ROW()-6)</f>
        <v/>
      </c>
      <c r="B1590" s="145"/>
      <c r="C1590" s="146"/>
      <c r="D1590" s="146"/>
      <c r="E1590" s="82" t="str">
        <f aca="false">IF(B1590="","",IF(COUNTIFS('CARNET DE SOUDURE'!$L$7:$L$3006,B1590,'CARNET DE SOUDURE'!$M$7:$M$3006,"&lt;&gt;"&amp;C1590,'CARNET DE SOUDURE'!$M$7:$M$3006,"&lt;&gt;")+COUNTIFS('CARNET DE SOUDURE'!$O$7:$O$3006,B1590,'CARNET DE SOUDURE'!$P$7:$P$3006,"&lt;&gt;"&amp;C1590,'CARNET DE SOUDURE'!$P$7:$P$3006,"&lt;&gt;")&gt;0,"⚠ DIFFÉRENTE","OK"))</f>
        <v/>
      </c>
      <c r="F1590" s="147"/>
      <c r="G1590" s="80"/>
      <c r="H1590" s="83"/>
      <c r="I1590" s="148" t="str">
        <f aca="false">IF(B1590="","",IFERROR(INDEX('CARNET DE SOUDURE'!$B$7:$B$3006,MATCH(B1590,'CARNET DE SOUDURE'!$L$7:$L$3006,0)),IFERROR(INDEX('CARNET DE SOUDURE'!$B$7:$B$3006,MATCH(B1590,'CARNET DE SOUDURE'!$O$7:$O$3006,0)),"")))</f>
        <v/>
      </c>
      <c r="J1590" s="82" t="str">
        <f aca="false">IF(B1590="","",IFERROR(INDEX('CARNET DE SOUDURE'!$E$7:$E$3006,MATCH(B1590,'CARNET DE SOUDURE'!$O$7:$O$3006,0)),""))</f>
        <v/>
      </c>
      <c r="K1590" s="82" t="str">
        <f aca="false">IF(B1590="","",IFERROR(INDEX('CARNET DE SOUDURE'!$E$7:$E$3006,MATCH(B1590,'CARNET DE SOUDURE'!$L$7:$L$3006,0)),""))</f>
        <v/>
      </c>
      <c r="L1590" s="82" t="str">
        <f aca="false">IF(B1590="","",IFERROR(INDEX('CARNET DE SOUDURE'!$D$7:$D$3006,MATCH(B1590,'CARNET DE SOUDURE'!$L$7:$L$3006,0)),IFERROR(INDEX('CARNET DE SOUDURE'!$D$7:$D$3006,MATCH(B1590,'CARNET DE SOUDURE'!$O$7:$O$3006,0)),"")))</f>
        <v/>
      </c>
      <c r="M1590" s="82" t="str">
        <f aca="false">IF(B1590="","",IF(OR(J1590&lt;&gt;"",K1590&lt;&gt;""),"POSÉ EN LIGNE",IF(COUNTIF(BARDAGE!$C$1:$C$5000,B1590)&gt;0,"BARDÉ","EN STOCK")))</f>
        <v/>
      </c>
      <c r="N1590" s="80"/>
    </row>
    <row r="1591" customFormat="false" ht="15" hidden="false" customHeight="false" outlineLevel="0" collapsed="false">
      <c r="A1591" s="82" t="str">
        <f aca="false">IF(B1591="","",ROW()-6)</f>
        <v/>
      </c>
      <c r="B1591" s="145"/>
      <c r="C1591" s="146"/>
      <c r="D1591" s="146"/>
      <c r="E1591" s="82" t="str">
        <f aca="false">IF(B1591="","",IF(COUNTIFS('CARNET DE SOUDURE'!$L$7:$L$3006,B1591,'CARNET DE SOUDURE'!$M$7:$M$3006,"&lt;&gt;"&amp;C1591,'CARNET DE SOUDURE'!$M$7:$M$3006,"&lt;&gt;")+COUNTIFS('CARNET DE SOUDURE'!$O$7:$O$3006,B1591,'CARNET DE SOUDURE'!$P$7:$P$3006,"&lt;&gt;"&amp;C1591,'CARNET DE SOUDURE'!$P$7:$P$3006,"&lt;&gt;")&gt;0,"⚠ DIFFÉRENTE","OK"))</f>
        <v/>
      </c>
      <c r="F1591" s="147"/>
      <c r="G1591" s="80"/>
      <c r="H1591" s="83"/>
      <c r="I1591" s="148" t="str">
        <f aca="false">IF(B1591="","",IFERROR(INDEX('CARNET DE SOUDURE'!$B$7:$B$3006,MATCH(B1591,'CARNET DE SOUDURE'!$L$7:$L$3006,0)),IFERROR(INDEX('CARNET DE SOUDURE'!$B$7:$B$3006,MATCH(B1591,'CARNET DE SOUDURE'!$O$7:$O$3006,0)),"")))</f>
        <v/>
      </c>
      <c r="J1591" s="82" t="str">
        <f aca="false">IF(B1591="","",IFERROR(INDEX('CARNET DE SOUDURE'!$E$7:$E$3006,MATCH(B1591,'CARNET DE SOUDURE'!$O$7:$O$3006,0)),""))</f>
        <v/>
      </c>
      <c r="K1591" s="82" t="str">
        <f aca="false">IF(B1591="","",IFERROR(INDEX('CARNET DE SOUDURE'!$E$7:$E$3006,MATCH(B1591,'CARNET DE SOUDURE'!$L$7:$L$3006,0)),""))</f>
        <v/>
      </c>
      <c r="L1591" s="82" t="str">
        <f aca="false">IF(B1591="","",IFERROR(INDEX('CARNET DE SOUDURE'!$D$7:$D$3006,MATCH(B1591,'CARNET DE SOUDURE'!$L$7:$L$3006,0)),IFERROR(INDEX('CARNET DE SOUDURE'!$D$7:$D$3006,MATCH(B1591,'CARNET DE SOUDURE'!$O$7:$O$3006,0)),"")))</f>
        <v/>
      </c>
      <c r="M1591" s="82" t="str">
        <f aca="false">IF(B1591="","",IF(OR(J1591&lt;&gt;"",K1591&lt;&gt;""),"POSÉ EN LIGNE",IF(COUNTIF(BARDAGE!$C$1:$C$5000,B1591)&gt;0,"BARDÉ","EN STOCK")))</f>
        <v/>
      </c>
      <c r="N1591" s="80"/>
    </row>
    <row r="1592" customFormat="false" ht="15" hidden="false" customHeight="false" outlineLevel="0" collapsed="false">
      <c r="A1592" s="82" t="str">
        <f aca="false">IF(B1592="","",ROW()-6)</f>
        <v/>
      </c>
      <c r="B1592" s="145"/>
      <c r="C1592" s="146"/>
      <c r="D1592" s="146"/>
      <c r="E1592" s="82" t="str">
        <f aca="false">IF(B1592="","",IF(COUNTIFS('CARNET DE SOUDURE'!$L$7:$L$3006,B1592,'CARNET DE SOUDURE'!$M$7:$M$3006,"&lt;&gt;"&amp;C1592,'CARNET DE SOUDURE'!$M$7:$M$3006,"&lt;&gt;")+COUNTIFS('CARNET DE SOUDURE'!$O$7:$O$3006,B1592,'CARNET DE SOUDURE'!$P$7:$P$3006,"&lt;&gt;"&amp;C1592,'CARNET DE SOUDURE'!$P$7:$P$3006,"&lt;&gt;")&gt;0,"⚠ DIFFÉRENTE","OK"))</f>
        <v/>
      </c>
      <c r="F1592" s="147"/>
      <c r="G1592" s="80"/>
      <c r="H1592" s="83"/>
      <c r="I1592" s="148" t="str">
        <f aca="false">IF(B1592="","",IFERROR(INDEX('CARNET DE SOUDURE'!$B$7:$B$3006,MATCH(B1592,'CARNET DE SOUDURE'!$L$7:$L$3006,0)),IFERROR(INDEX('CARNET DE SOUDURE'!$B$7:$B$3006,MATCH(B1592,'CARNET DE SOUDURE'!$O$7:$O$3006,0)),"")))</f>
        <v/>
      </c>
      <c r="J1592" s="82" t="str">
        <f aca="false">IF(B1592="","",IFERROR(INDEX('CARNET DE SOUDURE'!$E$7:$E$3006,MATCH(B1592,'CARNET DE SOUDURE'!$O$7:$O$3006,0)),""))</f>
        <v/>
      </c>
      <c r="K1592" s="82" t="str">
        <f aca="false">IF(B1592="","",IFERROR(INDEX('CARNET DE SOUDURE'!$E$7:$E$3006,MATCH(B1592,'CARNET DE SOUDURE'!$L$7:$L$3006,0)),""))</f>
        <v/>
      </c>
      <c r="L1592" s="82" t="str">
        <f aca="false">IF(B1592="","",IFERROR(INDEX('CARNET DE SOUDURE'!$D$7:$D$3006,MATCH(B1592,'CARNET DE SOUDURE'!$L$7:$L$3006,0)),IFERROR(INDEX('CARNET DE SOUDURE'!$D$7:$D$3006,MATCH(B1592,'CARNET DE SOUDURE'!$O$7:$O$3006,0)),"")))</f>
        <v/>
      </c>
      <c r="M1592" s="82" t="str">
        <f aca="false">IF(B1592="","",IF(OR(J1592&lt;&gt;"",K1592&lt;&gt;""),"POSÉ EN LIGNE",IF(COUNTIF(BARDAGE!$C$1:$C$5000,B1592)&gt;0,"BARDÉ","EN STOCK")))</f>
        <v/>
      </c>
      <c r="N1592" s="80"/>
    </row>
    <row r="1593" customFormat="false" ht="15" hidden="false" customHeight="false" outlineLevel="0" collapsed="false">
      <c r="A1593" s="82" t="str">
        <f aca="false">IF(B1593="","",ROW()-6)</f>
        <v/>
      </c>
      <c r="B1593" s="145"/>
      <c r="C1593" s="146"/>
      <c r="D1593" s="146"/>
      <c r="E1593" s="82" t="str">
        <f aca="false">IF(B1593="","",IF(COUNTIFS('CARNET DE SOUDURE'!$L$7:$L$3006,B1593,'CARNET DE SOUDURE'!$M$7:$M$3006,"&lt;&gt;"&amp;C1593,'CARNET DE SOUDURE'!$M$7:$M$3006,"&lt;&gt;")+COUNTIFS('CARNET DE SOUDURE'!$O$7:$O$3006,B1593,'CARNET DE SOUDURE'!$P$7:$P$3006,"&lt;&gt;"&amp;C1593,'CARNET DE SOUDURE'!$P$7:$P$3006,"&lt;&gt;")&gt;0,"⚠ DIFFÉRENTE","OK"))</f>
        <v/>
      </c>
      <c r="F1593" s="147"/>
      <c r="G1593" s="80"/>
      <c r="H1593" s="83"/>
      <c r="I1593" s="148" t="str">
        <f aca="false">IF(B1593="","",IFERROR(INDEX('CARNET DE SOUDURE'!$B$7:$B$3006,MATCH(B1593,'CARNET DE SOUDURE'!$L$7:$L$3006,0)),IFERROR(INDEX('CARNET DE SOUDURE'!$B$7:$B$3006,MATCH(B1593,'CARNET DE SOUDURE'!$O$7:$O$3006,0)),"")))</f>
        <v/>
      </c>
      <c r="J1593" s="82" t="str">
        <f aca="false">IF(B1593="","",IFERROR(INDEX('CARNET DE SOUDURE'!$E$7:$E$3006,MATCH(B1593,'CARNET DE SOUDURE'!$O$7:$O$3006,0)),""))</f>
        <v/>
      </c>
      <c r="K1593" s="82" t="str">
        <f aca="false">IF(B1593="","",IFERROR(INDEX('CARNET DE SOUDURE'!$E$7:$E$3006,MATCH(B1593,'CARNET DE SOUDURE'!$L$7:$L$3006,0)),""))</f>
        <v/>
      </c>
      <c r="L1593" s="82" t="str">
        <f aca="false">IF(B1593="","",IFERROR(INDEX('CARNET DE SOUDURE'!$D$7:$D$3006,MATCH(B1593,'CARNET DE SOUDURE'!$L$7:$L$3006,0)),IFERROR(INDEX('CARNET DE SOUDURE'!$D$7:$D$3006,MATCH(B1593,'CARNET DE SOUDURE'!$O$7:$O$3006,0)),"")))</f>
        <v/>
      </c>
      <c r="M1593" s="82" t="str">
        <f aca="false">IF(B1593="","",IF(OR(J1593&lt;&gt;"",K1593&lt;&gt;""),"POSÉ EN LIGNE",IF(COUNTIF(BARDAGE!$C$1:$C$5000,B1593)&gt;0,"BARDÉ","EN STOCK")))</f>
        <v/>
      </c>
      <c r="N1593" s="80"/>
    </row>
    <row r="1594" customFormat="false" ht="15" hidden="false" customHeight="false" outlineLevel="0" collapsed="false">
      <c r="A1594" s="82" t="str">
        <f aca="false">IF(B1594="","",ROW()-6)</f>
        <v/>
      </c>
      <c r="B1594" s="145"/>
      <c r="C1594" s="146"/>
      <c r="D1594" s="146"/>
      <c r="E1594" s="82" t="str">
        <f aca="false">IF(B1594="","",IF(COUNTIFS('CARNET DE SOUDURE'!$L$7:$L$3006,B1594,'CARNET DE SOUDURE'!$M$7:$M$3006,"&lt;&gt;"&amp;C1594,'CARNET DE SOUDURE'!$M$7:$M$3006,"&lt;&gt;")+COUNTIFS('CARNET DE SOUDURE'!$O$7:$O$3006,B1594,'CARNET DE SOUDURE'!$P$7:$P$3006,"&lt;&gt;"&amp;C1594,'CARNET DE SOUDURE'!$P$7:$P$3006,"&lt;&gt;")&gt;0,"⚠ DIFFÉRENTE","OK"))</f>
        <v/>
      </c>
      <c r="F1594" s="147"/>
      <c r="G1594" s="80"/>
      <c r="H1594" s="83"/>
      <c r="I1594" s="148" t="str">
        <f aca="false">IF(B1594="","",IFERROR(INDEX('CARNET DE SOUDURE'!$B$7:$B$3006,MATCH(B1594,'CARNET DE SOUDURE'!$L$7:$L$3006,0)),IFERROR(INDEX('CARNET DE SOUDURE'!$B$7:$B$3006,MATCH(B1594,'CARNET DE SOUDURE'!$O$7:$O$3006,0)),"")))</f>
        <v/>
      </c>
      <c r="J1594" s="82" t="str">
        <f aca="false">IF(B1594="","",IFERROR(INDEX('CARNET DE SOUDURE'!$E$7:$E$3006,MATCH(B1594,'CARNET DE SOUDURE'!$O$7:$O$3006,0)),""))</f>
        <v/>
      </c>
      <c r="K1594" s="82" t="str">
        <f aca="false">IF(B1594="","",IFERROR(INDEX('CARNET DE SOUDURE'!$E$7:$E$3006,MATCH(B1594,'CARNET DE SOUDURE'!$L$7:$L$3006,0)),""))</f>
        <v/>
      </c>
      <c r="L1594" s="82" t="str">
        <f aca="false">IF(B1594="","",IFERROR(INDEX('CARNET DE SOUDURE'!$D$7:$D$3006,MATCH(B1594,'CARNET DE SOUDURE'!$L$7:$L$3006,0)),IFERROR(INDEX('CARNET DE SOUDURE'!$D$7:$D$3006,MATCH(B1594,'CARNET DE SOUDURE'!$O$7:$O$3006,0)),"")))</f>
        <v/>
      </c>
      <c r="M1594" s="82" t="str">
        <f aca="false">IF(B1594="","",IF(OR(J1594&lt;&gt;"",K1594&lt;&gt;""),"POSÉ EN LIGNE",IF(COUNTIF(BARDAGE!$C$1:$C$5000,B1594)&gt;0,"BARDÉ","EN STOCK")))</f>
        <v/>
      </c>
      <c r="N1594" s="80"/>
    </row>
    <row r="1595" customFormat="false" ht="15" hidden="false" customHeight="false" outlineLevel="0" collapsed="false">
      <c r="A1595" s="82" t="str">
        <f aca="false">IF(B1595="","",ROW()-6)</f>
        <v/>
      </c>
      <c r="B1595" s="145"/>
      <c r="C1595" s="146"/>
      <c r="D1595" s="146"/>
      <c r="E1595" s="82" t="str">
        <f aca="false">IF(B1595="","",IF(COUNTIFS('CARNET DE SOUDURE'!$L$7:$L$3006,B1595,'CARNET DE SOUDURE'!$M$7:$M$3006,"&lt;&gt;"&amp;C1595,'CARNET DE SOUDURE'!$M$7:$M$3006,"&lt;&gt;")+COUNTIFS('CARNET DE SOUDURE'!$O$7:$O$3006,B1595,'CARNET DE SOUDURE'!$P$7:$P$3006,"&lt;&gt;"&amp;C1595,'CARNET DE SOUDURE'!$P$7:$P$3006,"&lt;&gt;")&gt;0,"⚠ DIFFÉRENTE","OK"))</f>
        <v/>
      </c>
      <c r="F1595" s="147"/>
      <c r="G1595" s="80"/>
      <c r="H1595" s="83"/>
      <c r="I1595" s="148" t="str">
        <f aca="false">IF(B1595="","",IFERROR(INDEX('CARNET DE SOUDURE'!$B$7:$B$3006,MATCH(B1595,'CARNET DE SOUDURE'!$L$7:$L$3006,0)),IFERROR(INDEX('CARNET DE SOUDURE'!$B$7:$B$3006,MATCH(B1595,'CARNET DE SOUDURE'!$O$7:$O$3006,0)),"")))</f>
        <v/>
      </c>
      <c r="J1595" s="82" t="str">
        <f aca="false">IF(B1595="","",IFERROR(INDEX('CARNET DE SOUDURE'!$E$7:$E$3006,MATCH(B1595,'CARNET DE SOUDURE'!$O$7:$O$3006,0)),""))</f>
        <v/>
      </c>
      <c r="K1595" s="82" t="str">
        <f aca="false">IF(B1595="","",IFERROR(INDEX('CARNET DE SOUDURE'!$E$7:$E$3006,MATCH(B1595,'CARNET DE SOUDURE'!$L$7:$L$3006,0)),""))</f>
        <v/>
      </c>
      <c r="L1595" s="82" t="str">
        <f aca="false">IF(B1595="","",IFERROR(INDEX('CARNET DE SOUDURE'!$D$7:$D$3006,MATCH(B1595,'CARNET DE SOUDURE'!$L$7:$L$3006,0)),IFERROR(INDEX('CARNET DE SOUDURE'!$D$7:$D$3006,MATCH(B1595,'CARNET DE SOUDURE'!$O$7:$O$3006,0)),"")))</f>
        <v/>
      </c>
      <c r="M1595" s="82" t="str">
        <f aca="false">IF(B1595="","",IF(OR(J1595&lt;&gt;"",K1595&lt;&gt;""),"POSÉ EN LIGNE",IF(COUNTIF(BARDAGE!$C$1:$C$5000,B1595)&gt;0,"BARDÉ","EN STOCK")))</f>
        <v/>
      </c>
      <c r="N1595" s="80"/>
    </row>
    <row r="1596" customFormat="false" ht="15" hidden="false" customHeight="false" outlineLevel="0" collapsed="false">
      <c r="A1596" s="82" t="str">
        <f aca="false">IF(B1596="","",ROW()-6)</f>
        <v/>
      </c>
      <c r="B1596" s="145"/>
      <c r="C1596" s="146"/>
      <c r="D1596" s="146"/>
      <c r="E1596" s="82" t="str">
        <f aca="false">IF(B1596="","",IF(COUNTIFS('CARNET DE SOUDURE'!$L$7:$L$3006,B1596,'CARNET DE SOUDURE'!$M$7:$M$3006,"&lt;&gt;"&amp;C1596,'CARNET DE SOUDURE'!$M$7:$M$3006,"&lt;&gt;")+COUNTIFS('CARNET DE SOUDURE'!$O$7:$O$3006,B1596,'CARNET DE SOUDURE'!$P$7:$P$3006,"&lt;&gt;"&amp;C1596,'CARNET DE SOUDURE'!$P$7:$P$3006,"&lt;&gt;")&gt;0,"⚠ DIFFÉRENTE","OK"))</f>
        <v/>
      </c>
      <c r="F1596" s="147"/>
      <c r="G1596" s="80"/>
      <c r="H1596" s="83"/>
      <c r="I1596" s="148" t="str">
        <f aca="false">IF(B1596="","",IFERROR(INDEX('CARNET DE SOUDURE'!$B$7:$B$3006,MATCH(B1596,'CARNET DE SOUDURE'!$L$7:$L$3006,0)),IFERROR(INDEX('CARNET DE SOUDURE'!$B$7:$B$3006,MATCH(B1596,'CARNET DE SOUDURE'!$O$7:$O$3006,0)),"")))</f>
        <v/>
      </c>
      <c r="J1596" s="82" t="str">
        <f aca="false">IF(B1596="","",IFERROR(INDEX('CARNET DE SOUDURE'!$E$7:$E$3006,MATCH(B1596,'CARNET DE SOUDURE'!$O$7:$O$3006,0)),""))</f>
        <v/>
      </c>
      <c r="K1596" s="82" t="str">
        <f aca="false">IF(B1596="","",IFERROR(INDEX('CARNET DE SOUDURE'!$E$7:$E$3006,MATCH(B1596,'CARNET DE SOUDURE'!$L$7:$L$3006,0)),""))</f>
        <v/>
      </c>
      <c r="L1596" s="82" t="str">
        <f aca="false">IF(B1596="","",IFERROR(INDEX('CARNET DE SOUDURE'!$D$7:$D$3006,MATCH(B1596,'CARNET DE SOUDURE'!$L$7:$L$3006,0)),IFERROR(INDEX('CARNET DE SOUDURE'!$D$7:$D$3006,MATCH(B1596,'CARNET DE SOUDURE'!$O$7:$O$3006,0)),"")))</f>
        <v/>
      </c>
      <c r="M1596" s="82" t="str">
        <f aca="false">IF(B1596="","",IF(OR(J1596&lt;&gt;"",K1596&lt;&gt;""),"POSÉ EN LIGNE",IF(COUNTIF(BARDAGE!$C$1:$C$5000,B1596)&gt;0,"BARDÉ","EN STOCK")))</f>
        <v/>
      </c>
      <c r="N1596" s="80"/>
    </row>
    <row r="1597" customFormat="false" ht="15" hidden="false" customHeight="false" outlineLevel="0" collapsed="false">
      <c r="A1597" s="82" t="str">
        <f aca="false">IF(B1597="","",ROW()-6)</f>
        <v/>
      </c>
      <c r="B1597" s="145"/>
      <c r="C1597" s="146"/>
      <c r="D1597" s="146"/>
      <c r="E1597" s="82" t="str">
        <f aca="false">IF(B1597="","",IF(COUNTIFS('CARNET DE SOUDURE'!$L$7:$L$3006,B1597,'CARNET DE SOUDURE'!$M$7:$M$3006,"&lt;&gt;"&amp;C1597,'CARNET DE SOUDURE'!$M$7:$M$3006,"&lt;&gt;")+COUNTIFS('CARNET DE SOUDURE'!$O$7:$O$3006,B1597,'CARNET DE SOUDURE'!$P$7:$P$3006,"&lt;&gt;"&amp;C1597,'CARNET DE SOUDURE'!$P$7:$P$3006,"&lt;&gt;")&gt;0,"⚠ DIFFÉRENTE","OK"))</f>
        <v/>
      </c>
      <c r="F1597" s="147"/>
      <c r="G1597" s="80"/>
      <c r="H1597" s="83"/>
      <c r="I1597" s="148" t="str">
        <f aca="false">IF(B1597="","",IFERROR(INDEX('CARNET DE SOUDURE'!$B$7:$B$3006,MATCH(B1597,'CARNET DE SOUDURE'!$L$7:$L$3006,0)),IFERROR(INDEX('CARNET DE SOUDURE'!$B$7:$B$3006,MATCH(B1597,'CARNET DE SOUDURE'!$O$7:$O$3006,0)),"")))</f>
        <v/>
      </c>
      <c r="J1597" s="82" t="str">
        <f aca="false">IF(B1597="","",IFERROR(INDEX('CARNET DE SOUDURE'!$E$7:$E$3006,MATCH(B1597,'CARNET DE SOUDURE'!$O$7:$O$3006,0)),""))</f>
        <v/>
      </c>
      <c r="K1597" s="82" t="str">
        <f aca="false">IF(B1597="","",IFERROR(INDEX('CARNET DE SOUDURE'!$E$7:$E$3006,MATCH(B1597,'CARNET DE SOUDURE'!$L$7:$L$3006,0)),""))</f>
        <v/>
      </c>
      <c r="L1597" s="82" t="str">
        <f aca="false">IF(B1597="","",IFERROR(INDEX('CARNET DE SOUDURE'!$D$7:$D$3006,MATCH(B1597,'CARNET DE SOUDURE'!$L$7:$L$3006,0)),IFERROR(INDEX('CARNET DE SOUDURE'!$D$7:$D$3006,MATCH(B1597,'CARNET DE SOUDURE'!$O$7:$O$3006,0)),"")))</f>
        <v/>
      </c>
      <c r="M1597" s="82" t="str">
        <f aca="false">IF(B1597="","",IF(OR(J1597&lt;&gt;"",K1597&lt;&gt;""),"POSÉ EN LIGNE",IF(COUNTIF(BARDAGE!$C$1:$C$5000,B1597)&gt;0,"BARDÉ","EN STOCK")))</f>
        <v/>
      </c>
      <c r="N1597" s="80"/>
    </row>
    <row r="1598" customFormat="false" ht="15" hidden="false" customHeight="false" outlineLevel="0" collapsed="false">
      <c r="A1598" s="82" t="str">
        <f aca="false">IF(B1598="","",ROW()-6)</f>
        <v/>
      </c>
      <c r="B1598" s="145"/>
      <c r="C1598" s="146"/>
      <c r="D1598" s="146"/>
      <c r="E1598" s="82" t="str">
        <f aca="false">IF(B1598="","",IF(COUNTIFS('CARNET DE SOUDURE'!$L$7:$L$3006,B1598,'CARNET DE SOUDURE'!$M$7:$M$3006,"&lt;&gt;"&amp;C1598,'CARNET DE SOUDURE'!$M$7:$M$3006,"&lt;&gt;")+COUNTIFS('CARNET DE SOUDURE'!$O$7:$O$3006,B1598,'CARNET DE SOUDURE'!$P$7:$P$3006,"&lt;&gt;"&amp;C1598,'CARNET DE SOUDURE'!$P$7:$P$3006,"&lt;&gt;")&gt;0,"⚠ DIFFÉRENTE","OK"))</f>
        <v/>
      </c>
      <c r="F1598" s="147"/>
      <c r="G1598" s="80"/>
      <c r="H1598" s="83"/>
      <c r="I1598" s="148" t="str">
        <f aca="false">IF(B1598="","",IFERROR(INDEX('CARNET DE SOUDURE'!$B$7:$B$3006,MATCH(B1598,'CARNET DE SOUDURE'!$L$7:$L$3006,0)),IFERROR(INDEX('CARNET DE SOUDURE'!$B$7:$B$3006,MATCH(B1598,'CARNET DE SOUDURE'!$O$7:$O$3006,0)),"")))</f>
        <v/>
      </c>
      <c r="J1598" s="82" t="str">
        <f aca="false">IF(B1598="","",IFERROR(INDEX('CARNET DE SOUDURE'!$E$7:$E$3006,MATCH(B1598,'CARNET DE SOUDURE'!$O$7:$O$3006,0)),""))</f>
        <v/>
      </c>
      <c r="K1598" s="82" t="str">
        <f aca="false">IF(B1598="","",IFERROR(INDEX('CARNET DE SOUDURE'!$E$7:$E$3006,MATCH(B1598,'CARNET DE SOUDURE'!$L$7:$L$3006,0)),""))</f>
        <v/>
      </c>
      <c r="L1598" s="82" t="str">
        <f aca="false">IF(B1598="","",IFERROR(INDEX('CARNET DE SOUDURE'!$D$7:$D$3006,MATCH(B1598,'CARNET DE SOUDURE'!$L$7:$L$3006,0)),IFERROR(INDEX('CARNET DE SOUDURE'!$D$7:$D$3006,MATCH(B1598,'CARNET DE SOUDURE'!$O$7:$O$3006,0)),"")))</f>
        <v/>
      </c>
      <c r="M1598" s="82" t="str">
        <f aca="false">IF(B1598="","",IF(OR(J1598&lt;&gt;"",K1598&lt;&gt;""),"POSÉ EN LIGNE",IF(COUNTIF(BARDAGE!$C$1:$C$5000,B1598)&gt;0,"BARDÉ","EN STOCK")))</f>
        <v/>
      </c>
      <c r="N1598" s="80"/>
    </row>
    <row r="1599" customFormat="false" ht="15" hidden="false" customHeight="false" outlineLevel="0" collapsed="false">
      <c r="A1599" s="82" t="str">
        <f aca="false">IF(B1599="","",ROW()-6)</f>
        <v/>
      </c>
      <c r="B1599" s="145"/>
      <c r="C1599" s="146"/>
      <c r="D1599" s="146"/>
      <c r="E1599" s="82" t="str">
        <f aca="false">IF(B1599="","",IF(COUNTIFS('CARNET DE SOUDURE'!$L$7:$L$3006,B1599,'CARNET DE SOUDURE'!$M$7:$M$3006,"&lt;&gt;"&amp;C1599,'CARNET DE SOUDURE'!$M$7:$M$3006,"&lt;&gt;")+COUNTIFS('CARNET DE SOUDURE'!$O$7:$O$3006,B1599,'CARNET DE SOUDURE'!$P$7:$P$3006,"&lt;&gt;"&amp;C1599,'CARNET DE SOUDURE'!$P$7:$P$3006,"&lt;&gt;")&gt;0,"⚠ DIFFÉRENTE","OK"))</f>
        <v/>
      </c>
      <c r="F1599" s="147"/>
      <c r="G1599" s="80"/>
      <c r="H1599" s="83"/>
      <c r="I1599" s="148" t="str">
        <f aca="false">IF(B1599="","",IFERROR(INDEX('CARNET DE SOUDURE'!$B$7:$B$3006,MATCH(B1599,'CARNET DE SOUDURE'!$L$7:$L$3006,0)),IFERROR(INDEX('CARNET DE SOUDURE'!$B$7:$B$3006,MATCH(B1599,'CARNET DE SOUDURE'!$O$7:$O$3006,0)),"")))</f>
        <v/>
      </c>
      <c r="J1599" s="82" t="str">
        <f aca="false">IF(B1599="","",IFERROR(INDEX('CARNET DE SOUDURE'!$E$7:$E$3006,MATCH(B1599,'CARNET DE SOUDURE'!$O$7:$O$3006,0)),""))</f>
        <v/>
      </c>
      <c r="K1599" s="82" t="str">
        <f aca="false">IF(B1599="","",IFERROR(INDEX('CARNET DE SOUDURE'!$E$7:$E$3006,MATCH(B1599,'CARNET DE SOUDURE'!$L$7:$L$3006,0)),""))</f>
        <v/>
      </c>
      <c r="L1599" s="82" t="str">
        <f aca="false">IF(B1599="","",IFERROR(INDEX('CARNET DE SOUDURE'!$D$7:$D$3006,MATCH(B1599,'CARNET DE SOUDURE'!$L$7:$L$3006,0)),IFERROR(INDEX('CARNET DE SOUDURE'!$D$7:$D$3006,MATCH(B1599,'CARNET DE SOUDURE'!$O$7:$O$3006,0)),"")))</f>
        <v/>
      </c>
      <c r="M1599" s="82" t="str">
        <f aca="false">IF(B1599="","",IF(OR(J1599&lt;&gt;"",K1599&lt;&gt;""),"POSÉ EN LIGNE",IF(COUNTIF(BARDAGE!$C$1:$C$5000,B1599)&gt;0,"BARDÉ","EN STOCK")))</f>
        <v/>
      </c>
      <c r="N1599" s="80"/>
    </row>
    <row r="1600" customFormat="false" ht="15" hidden="false" customHeight="false" outlineLevel="0" collapsed="false">
      <c r="A1600" s="82" t="str">
        <f aca="false">IF(B1600="","",ROW()-6)</f>
        <v/>
      </c>
      <c r="B1600" s="145"/>
      <c r="C1600" s="146"/>
      <c r="D1600" s="146"/>
      <c r="E1600" s="82" t="str">
        <f aca="false">IF(B1600="","",IF(COUNTIFS('CARNET DE SOUDURE'!$L$7:$L$3006,B1600,'CARNET DE SOUDURE'!$M$7:$M$3006,"&lt;&gt;"&amp;C1600,'CARNET DE SOUDURE'!$M$7:$M$3006,"&lt;&gt;")+COUNTIFS('CARNET DE SOUDURE'!$O$7:$O$3006,B1600,'CARNET DE SOUDURE'!$P$7:$P$3006,"&lt;&gt;"&amp;C1600,'CARNET DE SOUDURE'!$P$7:$P$3006,"&lt;&gt;")&gt;0,"⚠ DIFFÉRENTE","OK"))</f>
        <v/>
      </c>
      <c r="F1600" s="147"/>
      <c r="G1600" s="80"/>
      <c r="H1600" s="83"/>
      <c r="I1600" s="148" t="str">
        <f aca="false">IF(B1600="","",IFERROR(INDEX('CARNET DE SOUDURE'!$B$7:$B$3006,MATCH(B1600,'CARNET DE SOUDURE'!$L$7:$L$3006,0)),IFERROR(INDEX('CARNET DE SOUDURE'!$B$7:$B$3006,MATCH(B1600,'CARNET DE SOUDURE'!$O$7:$O$3006,0)),"")))</f>
        <v/>
      </c>
      <c r="J1600" s="82" t="str">
        <f aca="false">IF(B1600="","",IFERROR(INDEX('CARNET DE SOUDURE'!$E$7:$E$3006,MATCH(B1600,'CARNET DE SOUDURE'!$O$7:$O$3006,0)),""))</f>
        <v/>
      </c>
      <c r="K1600" s="82" t="str">
        <f aca="false">IF(B1600="","",IFERROR(INDEX('CARNET DE SOUDURE'!$E$7:$E$3006,MATCH(B1600,'CARNET DE SOUDURE'!$L$7:$L$3006,0)),""))</f>
        <v/>
      </c>
      <c r="L1600" s="82" t="str">
        <f aca="false">IF(B1600="","",IFERROR(INDEX('CARNET DE SOUDURE'!$D$7:$D$3006,MATCH(B1600,'CARNET DE SOUDURE'!$L$7:$L$3006,0)),IFERROR(INDEX('CARNET DE SOUDURE'!$D$7:$D$3006,MATCH(B1600,'CARNET DE SOUDURE'!$O$7:$O$3006,0)),"")))</f>
        <v/>
      </c>
      <c r="M1600" s="82" t="str">
        <f aca="false">IF(B1600="","",IF(OR(J1600&lt;&gt;"",K1600&lt;&gt;""),"POSÉ EN LIGNE",IF(COUNTIF(BARDAGE!$C$1:$C$5000,B1600)&gt;0,"BARDÉ","EN STOCK")))</f>
        <v/>
      </c>
      <c r="N1600" s="80"/>
    </row>
    <row r="1601" customFormat="false" ht="15" hidden="false" customHeight="false" outlineLevel="0" collapsed="false">
      <c r="A1601" s="82" t="str">
        <f aca="false">IF(B1601="","",ROW()-6)</f>
        <v/>
      </c>
      <c r="B1601" s="145"/>
      <c r="C1601" s="146"/>
      <c r="D1601" s="146"/>
      <c r="E1601" s="82" t="str">
        <f aca="false">IF(B1601="","",IF(COUNTIFS('CARNET DE SOUDURE'!$L$7:$L$3006,B1601,'CARNET DE SOUDURE'!$M$7:$M$3006,"&lt;&gt;"&amp;C1601,'CARNET DE SOUDURE'!$M$7:$M$3006,"&lt;&gt;")+COUNTIFS('CARNET DE SOUDURE'!$O$7:$O$3006,B1601,'CARNET DE SOUDURE'!$P$7:$P$3006,"&lt;&gt;"&amp;C1601,'CARNET DE SOUDURE'!$P$7:$P$3006,"&lt;&gt;")&gt;0,"⚠ DIFFÉRENTE","OK"))</f>
        <v/>
      </c>
      <c r="F1601" s="147"/>
      <c r="G1601" s="80"/>
      <c r="H1601" s="83"/>
      <c r="I1601" s="148" t="str">
        <f aca="false">IF(B1601="","",IFERROR(INDEX('CARNET DE SOUDURE'!$B$7:$B$3006,MATCH(B1601,'CARNET DE SOUDURE'!$L$7:$L$3006,0)),IFERROR(INDEX('CARNET DE SOUDURE'!$B$7:$B$3006,MATCH(B1601,'CARNET DE SOUDURE'!$O$7:$O$3006,0)),"")))</f>
        <v/>
      </c>
      <c r="J1601" s="82" t="str">
        <f aca="false">IF(B1601="","",IFERROR(INDEX('CARNET DE SOUDURE'!$E$7:$E$3006,MATCH(B1601,'CARNET DE SOUDURE'!$O$7:$O$3006,0)),""))</f>
        <v/>
      </c>
      <c r="K1601" s="82" t="str">
        <f aca="false">IF(B1601="","",IFERROR(INDEX('CARNET DE SOUDURE'!$E$7:$E$3006,MATCH(B1601,'CARNET DE SOUDURE'!$L$7:$L$3006,0)),""))</f>
        <v/>
      </c>
      <c r="L1601" s="82" t="str">
        <f aca="false">IF(B1601="","",IFERROR(INDEX('CARNET DE SOUDURE'!$D$7:$D$3006,MATCH(B1601,'CARNET DE SOUDURE'!$L$7:$L$3006,0)),IFERROR(INDEX('CARNET DE SOUDURE'!$D$7:$D$3006,MATCH(B1601,'CARNET DE SOUDURE'!$O$7:$O$3006,0)),"")))</f>
        <v/>
      </c>
      <c r="M1601" s="82" t="str">
        <f aca="false">IF(B1601="","",IF(OR(J1601&lt;&gt;"",K1601&lt;&gt;""),"POSÉ EN LIGNE",IF(COUNTIF(BARDAGE!$C$1:$C$5000,B1601)&gt;0,"BARDÉ","EN STOCK")))</f>
        <v/>
      </c>
      <c r="N1601" s="80"/>
    </row>
    <row r="1602" customFormat="false" ht="15" hidden="false" customHeight="false" outlineLevel="0" collapsed="false">
      <c r="A1602" s="82" t="str">
        <f aca="false">IF(B1602="","",ROW()-6)</f>
        <v/>
      </c>
      <c r="B1602" s="145"/>
      <c r="C1602" s="146"/>
      <c r="D1602" s="146"/>
      <c r="E1602" s="82" t="str">
        <f aca="false">IF(B1602="","",IF(COUNTIFS('CARNET DE SOUDURE'!$L$7:$L$3006,B1602,'CARNET DE SOUDURE'!$M$7:$M$3006,"&lt;&gt;"&amp;C1602,'CARNET DE SOUDURE'!$M$7:$M$3006,"&lt;&gt;")+COUNTIFS('CARNET DE SOUDURE'!$O$7:$O$3006,B1602,'CARNET DE SOUDURE'!$P$7:$P$3006,"&lt;&gt;"&amp;C1602,'CARNET DE SOUDURE'!$P$7:$P$3006,"&lt;&gt;")&gt;0,"⚠ DIFFÉRENTE","OK"))</f>
        <v/>
      </c>
      <c r="F1602" s="147"/>
      <c r="G1602" s="80"/>
      <c r="H1602" s="83"/>
      <c r="I1602" s="148" t="str">
        <f aca="false">IF(B1602="","",IFERROR(INDEX('CARNET DE SOUDURE'!$B$7:$B$3006,MATCH(B1602,'CARNET DE SOUDURE'!$L$7:$L$3006,0)),IFERROR(INDEX('CARNET DE SOUDURE'!$B$7:$B$3006,MATCH(B1602,'CARNET DE SOUDURE'!$O$7:$O$3006,0)),"")))</f>
        <v/>
      </c>
      <c r="J1602" s="82" t="str">
        <f aca="false">IF(B1602="","",IFERROR(INDEX('CARNET DE SOUDURE'!$E$7:$E$3006,MATCH(B1602,'CARNET DE SOUDURE'!$O$7:$O$3006,0)),""))</f>
        <v/>
      </c>
      <c r="K1602" s="82" t="str">
        <f aca="false">IF(B1602="","",IFERROR(INDEX('CARNET DE SOUDURE'!$E$7:$E$3006,MATCH(B1602,'CARNET DE SOUDURE'!$L$7:$L$3006,0)),""))</f>
        <v/>
      </c>
      <c r="L1602" s="82" t="str">
        <f aca="false">IF(B1602="","",IFERROR(INDEX('CARNET DE SOUDURE'!$D$7:$D$3006,MATCH(B1602,'CARNET DE SOUDURE'!$L$7:$L$3006,0)),IFERROR(INDEX('CARNET DE SOUDURE'!$D$7:$D$3006,MATCH(B1602,'CARNET DE SOUDURE'!$O$7:$O$3006,0)),"")))</f>
        <v/>
      </c>
      <c r="M1602" s="82" t="str">
        <f aca="false">IF(B1602="","",IF(OR(J1602&lt;&gt;"",K1602&lt;&gt;""),"POSÉ EN LIGNE",IF(COUNTIF(BARDAGE!$C$1:$C$5000,B1602)&gt;0,"BARDÉ","EN STOCK")))</f>
        <v/>
      </c>
      <c r="N1602" s="80"/>
    </row>
    <row r="1603" customFormat="false" ht="15" hidden="false" customHeight="false" outlineLevel="0" collapsed="false">
      <c r="A1603" s="82" t="str">
        <f aca="false">IF(B1603="","",ROW()-6)</f>
        <v/>
      </c>
      <c r="B1603" s="145"/>
      <c r="C1603" s="146"/>
      <c r="D1603" s="146"/>
      <c r="E1603" s="82" t="str">
        <f aca="false">IF(B1603="","",IF(COUNTIFS('CARNET DE SOUDURE'!$L$7:$L$3006,B1603,'CARNET DE SOUDURE'!$M$7:$M$3006,"&lt;&gt;"&amp;C1603,'CARNET DE SOUDURE'!$M$7:$M$3006,"&lt;&gt;")+COUNTIFS('CARNET DE SOUDURE'!$O$7:$O$3006,B1603,'CARNET DE SOUDURE'!$P$7:$P$3006,"&lt;&gt;"&amp;C1603,'CARNET DE SOUDURE'!$P$7:$P$3006,"&lt;&gt;")&gt;0,"⚠ DIFFÉRENTE","OK"))</f>
        <v/>
      </c>
      <c r="F1603" s="147"/>
      <c r="G1603" s="80"/>
      <c r="H1603" s="83"/>
      <c r="I1603" s="148" t="str">
        <f aca="false">IF(B1603="","",IFERROR(INDEX('CARNET DE SOUDURE'!$B$7:$B$3006,MATCH(B1603,'CARNET DE SOUDURE'!$L$7:$L$3006,0)),IFERROR(INDEX('CARNET DE SOUDURE'!$B$7:$B$3006,MATCH(B1603,'CARNET DE SOUDURE'!$O$7:$O$3006,0)),"")))</f>
        <v/>
      </c>
      <c r="J1603" s="82" t="str">
        <f aca="false">IF(B1603="","",IFERROR(INDEX('CARNET DE SOUDURE'!$E$7:$E$3006,MATCH(B1603,'CARNET DE SOUDURE'!$O$7:$O$3006,0)),""))</f>
        <v/>
      </c>
      <c r="K1603" s="82" t="str">
        <f aca="false">IF(B1603="","",IFERROR(INDEX('CARNET DE SOUDURE'!$E$7:$E$3006,MATCH(B1603,'CARNET DE SOUDURE'!$L$7:$L$3006,0)),""))</f>
        <v/>
      </c>
      <c r="L1603" s="82" t="str">
        <f aca="false">IF(B1603="","",IFERROR(INDEX('CARNET DE SOUDURE'!$D$7:$D$3006,MATCH(B1603,'CARNET DE SOUDURE'!$L$7:$L$3006,0)),IFERROR(INDEX('CARNET DE SOUDURE'!$D$7:$D$3006,MATCH(B1603,'CARNET DE SOUDURE'!$O$7:$O$3006,0)),"")))</f>
        <v/>
      </c>
      <c r="M1603" s="82" t="str">
        <f aca="false">IF(B1603="","",IF(OR(J1603&lt;&gt;"",K1603&lt;&gt;""),"POSÉ EN LIGNE",IF(COUNTIF(BARDAGE!$C$1:$C$5000,B1603)&gt;0,"BARDÉ","EN STOCK")))</f>
        <v/>
      </c>
      <c r="N1603" s="80"/>
    </row>
    <row r="1604" customFormat="false" ht="15" hidden="false" customHeight="false" outlineLevel="0" collapsed="false">
      <c r="A1604" s="82" t="str">
        <f aca="false">IF(B1604="","",ROW()-6)</f>
        <v/>
      </c>
      <c r="B1604" s="145"/>
      <c r="C1604" s="146"/>
      <c r="D1604" s="146"/>
      <c r="E1604" s="82" t="str">
        <f aca="false">IF(B1604="","",IF(COUNTIFS('CARNET DE SOUDURE'!$L$7:$L$3006,B1604,'CARNET DE SOUDURE'!$M$7:$M$3006,"&lt;&gt;"&amp;C1604,'CARNET DE SOUDURE'!$M$7:$M$3006,"&lt;&gt;")+COUNTIFS('CARNET DE SOUDURE'!$O$7:$O$3006,B1604,'CARNET DE SOUDURE'!$P$7:$P$3006,"&lt;&gt;"&amp;C1604,'CARNET DE SOUDURE'!$P$7:$P$3006,"&lt;&gt;")&gt;0,"⚠ DIFFÉRENTE","OK"))</f>
        <v/>
      </c>
      <c r="F1604" s="147"/>
      <c r="G1604" s="80"/>
      <c r="H1604" s="83"/>
      <c r="I1604" s="148" t="str">
        <f aca="false">IF(B1604="","",IFERROR(INDEX('CARNET DE SOUDURE'!$B$7:$B$3006,MATCH(B1604,'CARNET DE SOUDURE'!$L$7:$L$3006,0)),IFERROR(INDEX('CARNET DE SOUDURE'!$B$7:$B$3006,MATCH(B1604,'CARNET DE SOUDURE'!$O$7:$O$3006,0)),"")))</f>
        <v/>
      </c>
      <c r="J1604" s="82" t="str">
        <f aca="false">IF(B1604="","",IFERROR(INDEX('CARNET DE SOUDURE'!$E$7:$E$3006,MATCH(B1604,'CARNET DE SOUDURE'!$O$7:$O$3006,0)),""))</f>
        <v/>
      </c>
      <c r="K1604" s="82" t="str">
        <f aca="false">IF(B1604="","",IFERROR(INDEX('CARNET DE SOUDURE'!$E$7:$E$3006,MATCH(B1604,'CARNET DE SOUDURE'!$L$7:$L$3006,0)),""))</f>
        <v/>
      </c>
      <c r="L1604" s="82" t="str">
        <f aca="false">IF(B1604="","",IFERROR(INDEX('CARNET DE SOUDURE'!$D$7:$D$3006,MATCH(B1604,'CARNET DE SOUDURE'!$L$7:$L$3006,0)),IFERROR(INDEX('CARNET DE SOUDURE'!$D$7:$D$3006,MATCH(B1604,'CARNET DE SOUDURE'!$O$7:$O$3006,0)),"")))</f>
        <v/>
      </c>
      <c r="M1604" s="82" t="str">
        <f aca="false">IF(B1604="","",IF(OR(J1604&lt;&gt;"",K1604&lt;&gt;""),"POSÉ EN LIGNE",IF(COUNTIF(BARDAGE!$C$1:$C$5000,B1604)&gt;0,"BARDÉ","EN STOCK")))</f>
        <v/>
      </c>
      <c r="N1604" s="80"/>
    </row>
    <row r="1605" customFormat="false" ht="15" hidden="false" customHeight="false" outlineLevel="0" collapsed="false">
      <c r="A1605" s="82" t="str">
        <f aca="false">IF(B1605="","",ROW()-6)</f>
        <v/>
      </c>
      <c r="B1605" s="145"/>
      <c r="C1605" s="146"/>
      <c r="D1605" s="146"/>
      <c r="E1605" s="82" t="str">
        <f aca="false">IF(B1605="","",IF(COUNTIFS('CARNET DE SOUDURE'!$L$7:$L$3006,B1605,'CARNET DE SOUDURE'!$M$7:$M$3006,"&lt;&gt;"&amp;C1605,'CARNET DE SOUDURE'!$M$7:$M$3006,"&lt;&gt;")+COUNTIFS('CARNET DE SOUDURE'!$O$7:$O$3006,B1605,'CARNET DE SOUDURE'!$P$7:$P$3006,"&lt;&gt;"&amp;C1605,'CARNET DE SOUDURE'!$P$7:$P$3006,"&lt;&gt;")&gt;0,"⚠ DIFFÉRENTE","OK"))</f>
        <v/>
      </c>
      <c r="F1605" s="147"/>
      <c r="G1605" s="80"/>
      <c r="H1605" s="83"/>
      <c r="I1605" s="148" t="str">
        <f aca="false">IF(B1605="","",IFERROR(INDEX('CARNET DE SOUDURE'!$B$7:$B$3006,MATCH(B1605,'CARNET DE SOUDURE'!$L$7:$L$3006,0)),IFERROR(INDEX('CARNET DE SOUDURE'!$B$7:$B$3006,MATCH(B1605,'CARNET DE SOUDURE'!$O$7:$O$3006,0)),"")))</f>
        <v/>
      </c>
      <c r="J1605" s="82" t="str">
        <f aca="false">IF(B1605="","",IFERROR(INDEX('CARNET DE SOUDURE'!$E$7:$E$3006,MATCH(B1605,'CARNET DE SOUDURE'!$O$7:$O$3006,0)),""))</f>
        <v/>
      </c>
      <c r="K1605" s="82" t="str">
        <f aca="false">IF(B1605="","",IFERROR(INDEX('CARNET DE SOUDURE'!$E$7:$E$3006,MATCH(B1605,'CARNET DE SOUDURE'!$L$7:$L$3006,0)),""))</f>
        <v/>
      </c>
      <c r="L1605" s="82" t="str">
        <f aca="false">IF(B1605="","",IFERROR(INDEX('CARNET DE SOUDURE'!$D$7:$D$3006,MATCH(B1605,'CARNET DE SOUDURE'!$L$7:$L$3006,0)),IFERROR(INDEX('CARNET DE SOUDURE'!$D$7:$D$3006,MATCH(B1605,'CARNET DE SOUDURE'!$O$7:$O$3006,0)),"")))</f>
        <v/>
      </c>
      <c r="M1605" s="82" t="str">
        <f aca="false">IF(B1605="","",IF(OR(J1605&lt;&gt;"",K1605&lt;&gt;""),"POSÉ EN LIGNE",IF(COUNTIF(BARDAGE!$C$1:$C$5000,B1605)&gt;0,"BARDÉ","EN STOCK")))</f>
        <v/>
      </c>
      <c r="N1605" s="80"/>
    </row>
    <row r="1606" customFormat="false" ht="15" hidden="false" customHeight="false" outlineLevel="0" collapsed="false">
      <c r="A1606" s="82" t="str">
        <f aca="false">IF(B1606="","",ROW()-6)</f>
        <v/>
      </c>
      <c r="B1606" s="145"/>
      <c r="C1606" s="146"/>
      <c r="D1606" s="146"/>
      <c r="E1606" s="82" t="str">
        <f aca="false">IF(B1606="","",IF(COUNTIFS('CARNET DE SOUDURE'!$L$7:$L$3006,B1606,'CARNET DE SOUDURE'!$M$7:$M$3006,"&lt;&gt;"&amp;C1606,'CARNET DE SOUDURE'!$M$7:$M$3006,"&lt;&gt;")+COUNTIFS('CARNET DE SOUDURE'!$O$7:$O$3006,B1606,'CARNET DE SOUDURE'!$P$7:$P$3006,"&lt;&gt;"&amp;C1606,'CARNET DE SOUDURE'!$P$7:$P$3006,"&lt;&gt;")&gt;0,"⚠ DIFFÉRENTE","OK"))</f>
        <v/>
      </c>
      <c r="F1606" s="147"/>
      <c r="G1606" s="80"/>
      <c r="H1606" s="83"/>
      <c r="I1606" s="148" t="str">
        <f aca="false">IF(B1606="","",IFERROR(INDEX('CARNET DE SOUDURE'!$B$7:$B$3006,MATCH(B1606,'CARNET DE SOUDURE'!$L$7:$L$3006,0)),IFERROR(INDEX('CARNET DE SOUDURE'!$B$7:$B$3006,MATCH(B1606,'CARNET DE SOUDURE'!$O$7:$O$3006,0)),"")))</f>
        <v/>
      </c>
      <c r="J1606" s="82" t="str">
        <f aca="false">IF(B1606="","",IFERROR(INDEX('CARNET DE SOUDURE'!$E$7:$E$3006,MATCH(B1606,'CARNET DE SOUDURE'!$O$7:$O$3006,0)),""))</f>
        <v/>
      </c>
      <c r="K1606" s="82" t="str">
        <f aca="false">IF(B1606="","",IFERROR(INDEX('CARNET DE SOUDURE'!$E$7:$E$3006,MATCH(B1606,'CARNET DE SOUDURE'!$L$7:$L$3006,0)),""))</f>
        <v/>
      </c>
      <c r="L1606" s="82" t="str">
        <f aca="false">IF(B1606="","",IFERROR(INDEX('CARNET DE SOUDURE'!$D$7:$D$3006,MATCH(B1606,'CARNET DE SOUDURE'!$L$7:$L$3006,0)),IFERROR(INDEX('CARNET DE SOUDURE'!$D$7:$D$3006,MATCH(B1606,'CARNET DE SOUDURE'!$O$7:$O$3006,0)),"")))</f>
        <v/>
      </c>
      <c r="M1606" s="82" t="str">
        <f aca="false">IF(B1606="","",IF(OR(J1606&lt;&gt;"",K1606&lt;&gt;""),"POSÉ EN LIGNE",IF(COUNTIF(BARDAGE!$C$1:$C$5000,B1606)&gt;0,"BARDÉ","EN STOCK")))</f>
        <v/>
      </c>
      <c r="N1606" s="80"/>
    </row>
    <row r="1607" customFormat="false" ht="15" hidden="false" customHeight="false" outlineLevel="0" collapsed="false">
      <c r="A1607" s="82" t="str">
        <f aca="false">IF(B1607="","",ROW()-6)</f>
        <v/>
      </c>
      <c r="B1607" s="145"/>
      <c r="C1607" s="146"/>
      <c r="D1607" s="146"/>
      <c r="E1607" s="82" t="str">
        <f aca="false">IF(B1607="","",IF(COUNTIFS('CARNET DE SOUDURE'!$L$7:$L$3006,B1607,'CARNET DE SOUDURE'!$M$7:$M$3006,"&lt;&gt;"&amp;C1607,'CARNET DE SOUDURE'!$M$7:$M$3006,"&lt;&gt;")+COUNTIFS('CARNET DE SOUDURE'!$O$7:$O$3006,B1607,'CARNET DE SOUDURE'!$P$7:$P$3006,"&lt;&gt;"&amp;C1607,'CARNET DE SOUDURE'!$P$7:$P$3006,"&lt;&gt;")&gt;0,"⚠ DIFFÉRENTE","OK"))</f>
        <v/>
      </c>
      <c r="F1607" s="147"/>
      <c r="G1607" s="80"/>
      <c r="H1607" s="83"/>
      <c r="I1607" s="148" t="str">
        <f aca="false">IF(B1607="","",IFERROR(INDEX('CARNET DE SOUDURE'!$B$7:$B$3006,MATCH(B1607,'CARNET DE SOUDURE'!$L$7:$L$3006,0)),IFERROR(INDEX('CARNET DE SOUDURE'!$B$7:$B$3006,MATCH(B1607,'CARNET DE SOUDURE'!$O$7:$O$3006,0)),"")))</f>
        <v/>
      </c>
      <c r="J1607" s="82" t="str">
        <f aca="false">IF(B1607="","",IFERROR(INDEX('CARNET DE SOUDURE'!$E$7:$E$3006,MATCH(B1607,'CARNET DE SOUDURE'!$O$7:$O$3006,0)),""))</f>
        <v/>
      </c>
      <c r="K1607" s="82" t="str">
        <f aca="false">IF(B1607="","",IFERROR(INDEX('CARNET DE SOUDURE'!$E$7:$E$3006,MATCH(B1607,'CARNET DE SOUDURE'!$L$7:$L$3006,0)),""))</f>
        <v/>
      </c>
      <c r="L1607" s="82" t="str">
        <f aca="false">IF(B1607="","",IFERROR(INDEX('CARNET DE SOUDURE'!$D$7:$D$3006,MATCH(B1607,'CARNET DE SOUDURE'!$L$7:$L$3006,0)),IFERROR(INDEX('CARNET DE SOUDURE'!$D$7:$D$3006,MATCH(B1607,'CARNET DE SOUDURE'!$O$7:$O$3006,0)),"")))</f>
        <v/>
      </c>
      <c r="M1607" s="82" t="str">
        <f aca="false">IF(B1607="","",IF(OR(J1607&lt;&gt;"",K1607&lt;&gt;""),"POSÉ EN LIGNE",IF(COUNTIF(BARDAGE!$C$1:$C$5000,B1607)&gt;0,"BARDÉ","EN STOCK")))</f>
        <v/>
      </c>
      <c r="N1607" s="80"/>
    </row>
    <row r="1608" customFormat="false" ht="15" hidden="false" customHeight="false" outlineLevel="0" collapsed="false">
      <c r="A1608" s="82" t="str">
        <f aca="false">IF(B1608="","",ROW()-6)</f>
        <v/>
      </c>
      <c r="B1608" s="145"/>
      <c r="C1608" s="146"/>
      <c r="D1608" s="146"/>
      <c r="E1608" s="82" t="str">
        <f aca="false">IF(B1608="","",IF(COUNTIFS('CARNET DE SOUDURE'!$L$7:$L$3006,B1608,'CARNET DE SOUDURE'!$M$7:$M$3006,"&lt;&gt;"&amp;C1608,'CARNET DE SOUDURE'!$M$7:$M$3006,"&lt;&gt;")+COUNTIFS('CARNET DE SOUDURE'!$O$7:$O$3006,B1608,'CARNET DE SOUDURE'!$P$7:$P$3006,"&lt;&gt;"&amp;C1608,'CARNET DE SOUDURE'!$P$7:$P$3006,"&lt;&gt;")&gt;0,"⚠ DIFFÉRENTE","OK"))</f>
        <v/>
      </c>
      <c r="F1608" s="147"/>
      <c r="G1608" s="80"/>
      <c r="H1608" s="83"/>
      <c r="I1608" s="148" t="str">
        <f aca="false">IF(B1608="","",IFERROR(INDEX('CARNET DE SOUDURE'!$B$7:$B$3006,MATCH(B1608,'CARNET DE SOUDURE'!$L$7:$L$3006,0)),IFERROR(INDEX('CARNET DE SOUDURE'!$B$7:$B$3006,MATCH(B1608,'CARNET DE SOUDURE'!$O$7:$O$3006,0)),"")))</f>
        <v/>
      </c>
      <c r="J1608" s="82" t="str">
        <f aca="false">IF(B1608="","",IFERROR(INDEX('CARNET DE SOUDURE'!$E$7:$E$3006,MATCH(B1608,'CARNET DE SOUDURE'!$O$7:$O$3006,0)),""))</f>
        <v/>
      </c>
      <c r="K1608" s="82" t="str">
        <f aca="false">IF(B1608="","",IFERROR(INDEX('CARNET DE SOUDURE'!$E$7:$E$3006,MATCH(B1608,'CARNET DE SOUDURE'!$L$7:$L$3006,0)),""))</f>
        <v/>
      </c>
      <c r="L1608" s="82" t="str">
        <f aca="false">IF(B1608="","",IFERROR(INDEX('CARNET DE SOUDURE'!$D$7:$D$3006,MATCH(B1608,'CARNET DE SOUDURE'!$L$7:$L$3006,0)),IFERROR(INDEX('CARNET DE SOUDURE'!$D$7:$D$3006,MATCH(B1608,'CARNET DE SOUDURE'!$O$7:$O$3006,0)),"")))</f>
        <v/>
      </c>
      <c r="M1608" s="82" t="str">
        <f aca="false">IF(B1608="","",IF(OR(J1608&lt;&gt;"",K1608&lt;&gt;""),"POSÉ EN LIGNE",IF(COUNTIF(BARDAGE!$C$1:$C$5000,B1608)&gt;0,"BARDÉ","EN STOCK")))</f>
        <v/>
      </c>
      <c r="N1608" s="80"/>
    </row>
    <row r="1609" customFormat="false" ht="15" hidden="false" customHeight="false" outlineLevel="0" collapsed="false">
      <c r="A1609" s="82" t="str">
        <f aca="false">IF(B1609="","",ROW()-6)</f>
        <v/>
      </c>
      <c r="B1609" s="145"/>
      <c r="C1609" s="146"/>
      <c r="D1609" s="146"/>
      <c r="E1609" s="82" t="str">
        <f aca="false">IF(B1609="","",IF(COUNTIFS('CARNET DE SOUDURE'!$L$7:$L$3006,B1609,'CARNET DE SOUDURE'!$M$7:$M$3006,"&lt;&gt;"&amp;C1609,'CARNET DE SOUDURE'!$M$7:$M$3006,"&lt;&gt;")+COUNTIFS('CARNET DE SOUDURE'!$O$7:$O$3006,B1609,'CARNET DE SOUDURE'!$P$7:$P$3006,"&lt;&gt;"&amp;C1609,'CARNET DE SOUDURE'!$P$7:$P$3006,"&lt;&gt;")&gt;0,"⚠ DIFFÉRENTE","OK"))</f>
        <v/>
      </c>
      <c r="F1609" s="147"/>
      <c r="G1609" s="80"/>
      <c r="H1609" s="83"/>
      <c r="I1609" s="148" t="str">
        <f aca="false">IF(B1609="","",IFERROR(INDEX('CARNET DE SOUDURE'!$B$7:$B$3006,MATCH(B1609,'CARNET DE SOUDURE'!$L$7:$L$3006,0)),IFERROR(INDEX('CARNET DE SOUDURE'!$B$7:$B$3006,MATCH(B1609,'CARNET DE SOUDURE'!$O$7:$O$3006,0)),"")))</f>
        <v/>
      </c>
      <c r="J1609" s="82" t="str">
        <f aca="false">IF(B1609="","",IFERROR(INDEX('CARNET DE SOUDURE'!$E$7:$E$3006,MATCH(B1609,'CARNET DE SOUDURE'!$O$7:$O$3006,0)),""))</f>
        <v/>
      </c>
      <c r="K1609" s="82" t="str">
        <f aca="false">IF(B1609="","",IFERROR(INDEX('CARNET DE SOUDURE'!$E$7:$E$3006,MATCH(B1609,'CARNET DE SOUDURE'!$L$7:$L$3006,0)),""))</f>
        <v/>
      </c>
      <c r="L1609" s="82" t="str">
        <f aca="false">IF(B1609="","",IFERROR(INDEX('CARNET DE SOUDURE'!$D$7:$D$3006,MATCH(B1609,'CARNET DE SOUDURE'!$L$7:$L$3006,0)),IFERROR(INDEX('CARNET DE SOUDURE'!$D$7:$D$3006,MATCH(B1609,'CARNET DE SOUDURE'!$O$7:$O$3006,0)),"")))</f>
        <v/>
      </c>
      <c r="M1609" s="82" t="str">
        <f aca="false">IF(B1609="","",IF(OR(J1609&lt;&gt;"",K1609&lt;&gt;""),"POSÉ EN LIGNE",IF(COUNTIF(BARDAGE!$C$1:$C$5000,B1609)&gt;0,"BARDÉ","EN STOCK")))</f>
        <v/>
      </c>
      <c r="N1609" s="80"/>
    </row>
    <row r="1610" customFormat="false" ht="15" hidden="false" customHeight="false" outlineLevel="0" collapsed="false">
      <c r="A1610" s="82" t="str">
        <f aca="false">IF(B1610="","",ROW()-6)</f>
        <v/>
      </c>
      <c r="B1610" s="145"/>
      <c r="C1610" s="146"/>
      <c r="D1610" s="146"/>
      <c r="E1610" s="82" t="str">
        <f aca="false">IF(B1610="","",IF(COUNTIFS('CARNET DE SOUDURE'!$L$7:$L$3006,B1610,'CARNET DE SOUDURE'!$M$7:$M$3006,"&lt;&gt;"&amp;C1610,'CARNET DE SOUDURE'!$M$7:$M$3006,"&lt;&gt;")+COUNTIFS('CARNET DE SOUDURE'!$O$7:$O$3006,B1610,'CARNET DE SOUDURE'!$P$7:$P$3006,"&lt;&gt;"&amp;C1610,'CARNET DE SOUDURE'!$P$7:$P$3006,"&lt;&gt;")&gt;0,"⚠ DIFFÉRENTE","OK"))</f>
        <v/>
      </c>
      <c r="F1610" s="147"/>
      <c r="G1610" s="80"/>
      <c r="H1610" s="83"/>
      <c r="I1610" s="148" t="str">
        <f aca="false">IF(B1610="","",IFERROR(INDEX('CARNET DE SOUDURE'!$B$7:$B$3006,MATCH(B1610,'CARNET DE SOUDURE'!$L$7:$L$3006,0)),IFERROR(INDEX('CARNET DE SOUDURE'!$B$7:$B$3006,MATCH(B1610,'CARNET DE SOUDURE'!$O$7:$O$3006,0)),"")))</f>
        <v/>
      </c>
      <c r="J1610" s="82" t="str">
        <f aca="false">IF(B1610="","",IFERROR(INDEX('CARNET DE SOUDURE'!$E$7:$E$3006,MATCH(B1610,'CARNET DE SOUDURE'!$O$7:$O$3006,0)),""))</f>
        <v/>
      </c>
      <c r="K1610" s="82" t="str">
        <f aca="false">IF(B1610="","",IFERROR(INDEX('CARNET DE SOUDURE'!$E$7:$E$3006,MATCH(B1610,'CARNET DE SOUDURE'!$L$7:$L$3006,0)),""))</f>
        <v/>
      </c>
      <c r="L1610" s="82" t="str">
        <f aca="false">IF(B1610="","",IFERROR(INDEX('CARNET DE SOUDURE'!$D$7:$D$3006,MATCH(B1610,'CARNET DE SOUDURE'!$L$7:$L$3006,0)),IFERROR(INDEX('CARNET DE SOUDURE'!$D$7:$D$3006,MATCH(B1610,'CARNET DE SOUDURE'!$O$7:$O$3006,0)),"")))</f>
        <v/>
      </c>
      <c r="M1610" s="82" t="str">
        <f aca="false">IF(B1610="","",IF(OR(J1610&lt;&gt;"",K1610&lt;&gt;""),"POSÉ EN LIGNE",IF(COUNTIF(BARDAGE!$C$1:$C$5000,B1610)&gt;0,"BARDÉ","EN STOCK")))</f>
        <v/>
      </c>
      <c r="N1610" s="80"/>
    </row>
    <row r="1611" customFormat="false" ht="15" hidden="false" customHeight="false" outlineLevel="0" collapsed="false">
      <c r="A1611" s="82" t="str">
        <f aca="false">IF(B1611="","",ROW()-6)</f>
        <v/>
      </c>
      <c r="B1611" s="145"/>
      <c r="C1611" s="146"/>
      <c r="D1611" s="146"/>
      <c r="E1611" s="82" t="str">
        <f aca="false">IF(B1611="","",IF(COUNTIFS('CARNET DE SOUDURE'!$L$7:$L$3006,B1611,'CARNET DE SOUDURE'!$M$7:$M$3006,"&lt;&gt;"&amp;C1611,'CARNET DE SOUDURE'!$M$7:$M$3006,"&lt;&gt;")+COUNTIFS('CARNET DE SOUDURE'!$O$7:$O$3006,B1611,'CARNET DE SOUDURE'!$P$7:$P$3006,"&lt;&gt;"&amp;C1611,'CARNET DE SOUDURE'!$P$7:$P$3006,"&lt;&gt;")&gt;0,"⚠ DIFFÉRENTE","OK"))</f>
        <v/>
      </c>
      <c r="F1611" s="147"/>
      <c r="G1611" s="80"/>
      <c r="H1611" s="83"/>
      <c r="I1611" s="148" t="str">
        <f aca="false">IF(B1611="","",IFERROR(INDEX('CARNET DE SOUDURE'!$B$7:$B$3006,MATCH(B1611,'CARNET DE SOUDURE'!$L$7:$L$3006,0)),IFERROR(INDEX('CARNET DE SOUDURE'!$B$7:$B$3006,MATCH(B1611,'CARNET DE SOUDURE'!$O$7:$O$3006,0)),"")))</f>
        <v/>
      </c>
      <c r="J1611" s="82" t="str">
        <f aca="false">IF(B1611="","",IFERROR(INDEX('CARNET DE SOUDURE'!$E$7:$E$3006,MATCH(B1611,'CARNET DE SOUDURE'!$O$7:$O$3006,0)),""))</f>
        <v/>
      </c>
      <c r="K1611" s="82" t="str">
        <f aca="false">IF(B1611="","",IFERROR(INDEX('CARNET DE SOUDURE'!$E$7:$E$3006,MATCH(B1611,'CARNET DE SOUDURE'!$L$7:$L$3006,0)),""))</f>
        <v/>
      </c>
      <c r="L1611" s="82" t="str">
        <f aca="false">IF(B1611="","",IFERROR(INDEX('CARNET DE SOUDURE'!$D$7:$D$3006,MATCH(B1611,'CARNET DE SOUDURE'!$L$7:$L$3006,0)),IFERROR(INDEX('CARNET DE SOUDURE'!$D$7:$D$3006,MATCH(B1611,'CARNET DE SOUDURE'!$O$7:$O$3006,0)),"")))</f>
        <v/>
      </c>
      <c r="M1611" s="82" t="str">
        <f aca="false">IF(B1611="","",IF(OR(J1611&lt;&gt;"",K1611&lt;&gt;""),"POSÉ EN LIGNE",IF(COUNTIF(BARDAGE!$C$1:$C$5000,B1611)&gt;0,"BARDÉ","EN STOCK")))</f>
        <v/>
      </c>
      <c r="N1611" s="80"/>
    </row>
    <row r="1612" customFormat="false" ht="15" hidden="false" customHeight="false" outlineLevel="0" collapsed="false">
      <c r="A1612" s="82" t="str">
        <f aca="false">IF(B1612="","",ROW()-6)</f>
        <v/>
      </c>
      <c r="B1612" s="145"/>
      <c r="C1612" s="146"/>
      <c r="D1612" s="146"/>
      <c r="E1612" s="82" t="str">
        <f aca="false">IF(B1612="","",IF(COUNTIFS('CARNET DE SOUDURE'!$L$7:$L$3006,B1612,'CARNET DE SOUDURE'!$M$7:$M$3006,"&lt;&gt;"&amp;C1612,'CARNET DE SOUDURE'!$M$7:$M$3006,"&lt;&gt;")+COUNTIFS('CARNET DE SOUDURE'!$O$7:$O$3006,B1612,'CARNET DE SOUDURE'!$P$7:$P$3006,"&lt;&gt;"&amp;C1612,'CARNET DE SOUDURE'!$P$7:$P$3006,"&lt;&gt;")&gt;0,"⚠ DIFFÉRENTE","OK"))</f>
        <v/>
      </c>
      <c r="F1612" s="147"/>
      <c r="G1612" s="80"/>
      <c r="H1612" s="83"/>
      <c r="I1612" s="148" t="str">
        <f aca="false">IF(B1612="","",IFERROR(INDEX('CARNET DE SOUDURE'!$B$7:$B$3006,MATCH(B1612,'CARNET DE SOUDURE'!$L$7:$L$3006,0)),IFERROR(INDEX('CARNET DE SOUDURE'!$B$7:$B$3006,MATCH(B1612,'CARNET DE SOUDURE'!$O$7:$O$3006,0)),"")))</f>
        <v/>
      </c>
      <c r="J1612" s="82" t="str">
        <f aca="false">IF(B1612="","",IFERROR(INDEX('CARNET DE SOUDURE'!$E$7:$E$3006,MATCH(B1612,'CARNET DE SOUDURE'!$O$7:$O$3006,0)),""))</f>
        <v/>
      </c>
      <c r="K1612" s="82" t="str">
        <f aca="false">IF(B1612="","",IFERROR(INDEX('CARNET DE SOUDURE'!$E$7:$E$3006,MATCH(B1612,'CARNET DE SOUDURE'!$L$7:$L$3006,0)),""))</f>
        <v/>
      </c>
      <c r="L1612" s="82" t="str">
        <f aca="false">IF(B1612="","",IFERROR(INDEX('CARNET DE SOUDURE'!$D$7:$D$3006,MATCH(B1612,'CARNET DE SOUDURE'!$L$7:$L$3006,0)),IFERROR(INDEX('CARNET DE SOUDURE'!$D$7:$D$3006,MATCH(B1612,'CARNET DE SOUDURE'!$O$7:$O$3006,0)),"")))</f>
        <v/>
      </c>
      <c r="M1612" s="82" t="str">
        <f aca="false">IF(B1612="","",IF(OR(J1612&lt;&gt;"",K1612&lt;&gt;""),"POSÉ EN LIGNE",IF(COUNTIF(BARDAGE!$C$1:$C$5000,B1612)&gt;0,"BARDÉ","EN STOCK")))</f>
        <v/>
      </c>
      <c r="N1612" s="80"/>
    </row>
    <row r="1613" customFormat="false" ht="15" hidden="false" customHeight="false" outlineLevel="0" collapsed="false">
      <c r="A1613" s="82" t="str">
        <f aca="false">IF(B1613="","",ROW()-6)</f>
        <v/>
      </c>
      <c r="B1613" s="145"/>
      <c r="C1613" s="146"/>
      <c r="D1613" s="146"/>
      <c r="E1613" s="82" t="str">
        <f aca="false">IF(B1613="","",IF(COUNTIFS('CARNET DE SOUDURE'!$L$7:$L$3006,B1613,'CARNET DE SOUDURE'!$M$7:$M$3006,"&lt;&gt;"&amp;C1613,'CARNET DE SOUDURE'!$M$7:$M$3006,"&lt;&gt;")+COUNTIFS('CARNET DE SOUDURE'!$O$7:$O$3006,B1613,'CARNET DE SOUDURE'!$P$7:$P$3006,"&lt;&gt;"&amp;C1613,'CARNET DE SOUDURE'!$P$7:$P$3006,"&lt;&gt;")&gt;0,"⚠ DIFFÉRENTE","OK"))</f>
        <v/>
      </c>
      <c r="F1613" s="147"/>
      <c r="G1613" s="80"/>
      <c r="H1613" s="83"/>
      <c r="I1613" s="148" t="str">
        <f aca="false">IF(B1613="","",IFERROR(INDEX('CARNET DE SOUDURE'!$B$7:$B$3006,MATCH(B1613,'CARNET DE SOUDURE'!$L$7:$L$3006,0)),IFERROR(INDEX('CARNET DE SOUDURE'!$B$7:$B$3006,MATCH(B1613,'CARNET DE SOUDURE'!$O$7:$O$3006,0)),"")))</f>
        <v/>
      </c>
      <c r="J1613" s="82" t="str">
        <f aca="false">IF(B1613="","",IFERROR(INDEX('CARNET DE SOUDURE'!$E$7:$E$3006,MATCH(B1613,'CARNET DE SOUDURE'!$O$7:$O$3006,0)),""))</f>
        <v/>
      </c>
      <c r="K1613" s="82" t="str">
        <f aca="false">IF(B1613="","",IFERROR(INDEX('CARNET DE SOUDURE'!$E$7:$E$3006,MATCH(B1613,'CARNET DE SOUDURE'!$L$7:$L$3006,0)),""))</f>
        <v/>
      </c>
      <c r="L1613" s="82" t="str">
        <f aca="false">IF(B1613="","",IFERROR(INDEX('CARNET DE SOUDURE'!$D$7:$D$3006,MATCH(B1613,'CARNET DE SOUDURE'!$L$7:$L$3006,0)),IFERROR(INDEX('CARNET DE SOUDURE'!$D$7:$D$3006,MATCH(B1613,'CARNET DE SOUDURE'!$O$7:$O$3006,0)),"")))</f>
        <v/>
      </c>
      <c r="M1613" s="82" t="str">
        <f aca="false">IF(B1613="","",IF(OR(J1613&lt;&gt;"",K1613&lt;&gt;""),"POSÉ EN LIGNE",IF(COUNTIF(BARDAGE!$C$1:$C$5000,B1613)&gt;0,"BARDÉ","EN STOCK")))</f>
        <v/>
      </c>
      <c r="N1613" s="80"/>
    </row>
    <row r="1614" customFormat="false" ht="15" hidden="false" customHeight="false" outlineLevel="0" collapsed="false">
      <c r="A1614" s="82" t="str">
        <f aca="false">IF(B1614="","",ROW()-6)</f>
        <v/>
      </c>
      <c r="B1614" s="145"/>
      <c r="C1614" s="146"/>
      <c r="D1614" s="146"/>
      <c r="E1614" s="82" t="str">
        <f aca="false">IF(B1614="","",IF(COUNTIFS('CARNET DE SOUDURE'!$L$7:$L$3006,B1614,'CARNET DE SOUDURE'!$M$7:$M$3006,"&lt;&gt;"&amp;C1614,'CARNET DE SOUDURE'!$M$7:$M$3006,"&lt;&gt;")+COUNTIFS('CARNET DE SOUDURE'!$O$7:$O$3006,B1614,'CARNET DE SOUDURE'!$P$7:$P$3006,"&lt;&gt;"&amp;C1614,'CARNET DE SOUDURE'!$P$7:$P$3006,"&lt;&gt;")&gt;0,"⚠ DIFFÉRENTE","OK"))</f>
        <v/>
      </c>
      <c r="F1614" s="147"/>
      <c r="G1614" s="80"/>
      <c r="H1614" s="83"/>
      <c r="I1614" s="148" t="str">
        <f aca="false">IF(B1614="","",IFERROR(INDEX('CARNET DE SOUDURE'!$B$7:$B$3006,MATCH(B1614,'CARNET DE SOUDURE'!$L$7:$L$3006,0)),IFERROR(INDEX('CARNET DE SOUDURE'!$B$7:$B$3006,MATCH(B1614,'CARNET DE SOUDURE'!$O$7:$O$3006,0)),"")))</f>
        <v/>
      </c>
      <c r="J1614" s="82" t="str">
        <f aca="false">IF(B1614="","",IFERROR(INDEX('CARNET DE SOUDURE'!$E$7:$E$3006,MATCH(B1614,'CARNET DE SOUDURE'!$O$7:$O$3006,0)),""))</f>
        <v/>
      </c>
      <c r="K1614" s="82" t="str">
        <f aca="false">IF(B1614="","",IFERROR(INDEX('CARNET DE SOUDURE'!$E$7:$E$3006,MATCH(B1614,'CARNET DE SOUDURE'!$L$7:$L$3006,0)),""))</f>
        <v/>
      </c>
      <c r="L1614" s="82" t="str">
        <f aca="false">IF(B1614="","",IFERROR(INDEX('CARNET DE SOUDURE'!$D$7:$D$3006,MATCH(B1614,'CARNET DE SOUDURE'!$L$7:$L$3006,0)),IFERROR(INDEX('CARNET DE SOUDURE'!$D$7:$D$3006,MATCH(B1614,'CARNET DE SOUDURE'!$O$7:$O$3006,0)),"")))</f>
        <v/>
      </c>
      <c r="M1614" s="82" t="str">
        <f aca="false">IF(B1614="","",IF(OR(J1614&lt;&gt;"",K1614&lt;&gt;""),"POSÉ EN LIGNE",IF(COUNTIF(BARDAGE!$C$1:$C$5000,B1614)&gt;0,"BARDÉ","EN STOCK")))</f>
        <v/>
      </c>
      <c r="N1614" s="80"/>
    </row>
    <row r="1615" customFormat="false" ht="15" hidden="false" customHeight="false" outlineLevel="0" collapsed="false">
      <c r="A1615" s="82" t="str">
        <f aca="false">IF(B1615="","",ROW()-6)</f>
        <v/>
      </c>
      <c r="B1615" s="145"/>
      <c r="C1615" s="146"/>
      <c r="D1615" s="146"/>
      <c r="E1615" s="82" t="str">
        <f aca="false">IF(B1615="","",IF(COUNTIFS('CARNET DE SOUDURE'!$L$7:$L$3006,B1615,'CARNET DE SOUDURE'!$M$7:$M$3006,"&lt;&gt;"&amp;C1615,'CARNET DE SOUDURE'!$M$7:$M$3006,"&lt;&gt;")+COUNTIFS('CARNET DE SOUDURE'!$O$7:$O$3006,B1615,'CARNET DE SOUDURE'!$P$7:$P$3006,"&lt;&gt;"&amp;C1615,'CARNET DE SOUDURE'!$P$7:$P$3006,"&lt;&gt;")&gt;0,"⚠ DIFFÉRENTE","OK"))</f>
        <v/>
      </c>
      <c r="F1615" s="147"/>
      <c r="G1615" s="80"/>
      <c r="H1615" s="83"/>
      <c r="I1615" s="148" t="str">
        <f aca="false">IF(B1615="","",IFERROR(INDEX('CARNET DE SOUDURE'!$B$7:$B$3006,MATCH(B1615,'CARNET DE SOUDURE'!$L$7:$L$3006,0)),IFERROR(INDEX('CARNET DE SOUDURE'!$B$7:$B$3006,MATCH(B1615,'CARNET DE SOUDURE'!$O$7:$O$3006,0)),"")))</f>
        <v/>
      </c>
      <c r="J1615" s="82" t="str">
        <f aca="false">IF(B1615="","",IFERROR(INDEX('CARNET DE SOUDURE'!$E$7:$E$3006,MATCH(B1615,'CARNET DE SOUDURE'!$O$7:$O$3006,0)),""))</f>
        <v/>
      </c>
      <c r="K1615" s="82" t="str">
        <f aca="false">IF(B1615="","",IFERROR(INDEX('CARNET DE SOUDURE'!$E$7:$E$3006,MATCH(B1615,'CARNET DE SOUDURE'!$L$7:$L$3006,0)),""))</f>
        <v/>
      </c>
      <c r="L1615" s="82" t="str">
        <f aca="false">IF(B1615="","",IFERROR(INDEX('CARNET DE SOUDURE'!$D$7:$D$3006,MATCH(B1615,'CARNET DE SOUDURE'!$L$7:$L$3006,0)),IFERROR(INDEX('CARNET DE SOUDURE'!$D$7:$D$3006,MATCH(B1615,'CARNET DE SOUDURE'!$O$7:$O$3006,0)),"")))</f>
        <v/>
      </c>
      <c r="M1615" s="82" t="str">
        <f aca="false">IF(B1615="","",IF(OR(J1615&lt;&gt;"",K1615&lt;&gt;""),"POSÉ EN LIGNE",IF(COUNTIF(BARDAGE!$C$1:$C$5000,B1615)&gt;0,"BARDÉ","EN STOCK")))</f>
        <v/>
      </c>
      <c r="N1615" s="80"/>
    </row>
    <row r="1616" customFormat="false" ht="15" hidden="false" customHeight="false" outlineLevel="0" collapsed="false">
      <c r="A1616" s="82" t="str">
        <f aca="false">IF(B1616="","",ROW()-6)</f>
        <v/>
      </c>
      <c r="B1616" s="145"/>
      <c r="C1616" s="146"/>
      <c r="D1616" s="146"/>
      <c r="E1616" s="82" t="str">
        <f aca="false">IF(B1616="","",IF(COUNTIFS('CARNET DE SOUDURE'!$L$7:$L$3006,B1616,'CARNET DE SOUDURE'!$M$7:$M$3006,"&lt;&gt;"&amp;C1616,'CARNET DE SOUDURE'!$M$7:$M$3006,"&lt;&gt;")+COUNTIFS('CARNET DE SOUDURE'!$O$7:$O$3006,B1616,'CARNET DE SOUDURE'!$P$7:$P$3006,"&lt;&gt;"&amp;C1616,'CARNET DE SOUDURE'!$P$7:$P$3006,"&lt;&gt;")&gt;0,"⚠ DIFFÉRENTE","OK"))</f>
        <v/>
      </c>
      <c r="F1616" s="147"/>
      <c r="G1616" s="80"/>
      <c r="H1616" s="83"/>
      <c r="I1616" s="148" t="str">
        <f aca="false">IF(B1616="","",IFERROR(INDEX('CARNET DE SOUDURE'!$B$7:$B$3006,MATCH(B1616,'CARNET DE SOUDURE'!$L$7:$L$3006,0)),IFERROR(INDEX('CARNET DE SOUDURE'!$B$7:$B$3006,MATCH(B1616,'CARNET DE SOUDURE'!$O$7:$O$3006,0)),"")))</f>
        <v/>
      </c>
      <c r="J1616" s="82" t="str">
        <f aca="false">IF(B1616="","",IFERROR(INDEX('CARNET DE SOUDURE'!$E$7:$E$3006,MATCH(B1616,'CARNET DE SOUDURE'!$O$7:$O$3006,0)),""))</f>
        <v/>
      </c>
      <c r="K1616" s="82" t="str">
        <f aca="false">IF(B1616="","",IFERROR(INDEX('CARNET DE SOUDURE'!$E$7:$E$3006,MATCH(B1616,'CARNET DE SOUDURE'!$L$7:$L$3006,0)),""))</f>
        <v/>
      </c>
      <c r="L1616" s="82" t="str">
        <f aca="false">IF(B1616="","",IFERROR(INDEX('CARNET DE SOUDURE'!$D$7:$D$3006,MATCH(B1616,'CARNET DE SOUDURE'!$L$7:$L$3006,0)),IFERROR(INDEX('CARNET DE SOUDURE'!$D$7:$D$3006,MATCH(B1616,'CARNET DE SOUDURE'!$O$7:$O$3006,0)),"")))</f>
        <v/>
      </c>
      <c r="M1616" s="82" t="str">
        <f aca="false">IF(B1616="","",IF(OR(J1616&lt;&gt;"",K1616&lt;&gt;""),"POSÉ EN LIGNE",IF(COUNTIF(BARDAGE!$C$1:$C$5000,B1616)&gt;0,"BARDÉ","EN STOCK")))</f>
        <v/>
      </c>
      <c r="N1616" s="80"/>
    </row>
    <row r="1617" customFormat="false" ht="15" hidden="false" customHeight="false" outlineLevel="0" collapsed="false">
      <c r="A1617" s="82" t="str">
        <f aca="false">IF(B1617="","",ROW()-6)</f>
        <v/>
      </c>
      <c r="B1617" s="145"/>
      <c r="C1617" s="146"/>
      <c r="D1617" s="146"/>
      <c r="E1617" s="82" t="str">
        <f aca="false">IF(B1617="","",IF(COUNTIFS('CARNET DE SOUDURE'!$L$7:$L$3006,B1617,'CARNET DE SOUDURE'!$M$7:$M$3006,"&lt;&gt;"&amp;C1617,'CARNET DE SOUDURE'!$M$7:$M$3006,"&lt;&gt;")+COUNTIFS('CARNET DE SOUDURE'!$O$7:$O$3006,B1617,'CARNET DE SOUDURE'!$P$7:$P$3006,"&lt;&gt;"&amp;C1617,'CARNET DE SOUDURE'!$P$7:$P$3006,"&lt;&gt;")&gt;0,"⚠ DIFFÉRENTE","OK"))</f>
        <v/>
      </c>
      <c r="F1617" s="147"/>
      <c r="G1617" s="80"/>
      <c r="H1617" s="83"/>
      <c r="I1617" s="148" t="str">
        <f aca="false">IF(B1617="","",IFERROR(INDEX('CARNET DE SOUDURE'!$B$7:$B$3006,MATCH(B1617,'CARNET DE SOUDURE'!$L$7:$L$3006,0)),IFERROR(INDEX('CARNET DE SOUDURE'!$B$7:$B$3006,MATCH(B1617,'CARNET DE SOUDURE'!$O$7:$O$3006,0)),"")))</f>
        <v/>
      </c>
      <c r="J1617" s="82" t="str">
        <f aca="false">IF(B1617="","",IFERROR(INDEX('CARNET DE SOUDURE'!$E$7:$E$3006,MATCH(B1617,'CARNET DE SOUDURE'!$O$7:$O$3006,0)),""))</f>
        <v/>
      </c>
      <c r="K1617" s="82" t="str">
        <f aca="false">IF(B1617="","",IFERROR(INDEX('CARNET DE SOUDURE'!$E$7:$E$3006,MATCH(B1617,'CARNET DE SOUDURE'!$L$7:$L$3006,0)),""))</f>
        <v/>
      </c>
      <c r="L1617" s="82" t="str">
        <f aca="false">IF(B1617="","",IFERROR(INDEX('CARNET DE SOUDURE'!$D$7:$D$3006,MATCH(B1617,'CARNET DE SOUDURE'!$L$7:$L$3006,0)),IFERROR(INDEX('CARNET DE SOUDURE'!$D$7:$D$3006,MATCH(B1617,'CARNET DE SOUDURE'!$O$7:$O$3006,0)),"")))</f>
        <v/>
      </c>
      <c r="M1617" s="82" t="str">
        <f aca="false">IF(B1617="","",IF(OR(J1617&lt;&gt;"",K1617&lt;&gt;""),"POSÉ EN LIGNE",IF(COUNTIF(BARDAGE!$C$1:$C$5000,B1617)&gt;0,"BARDÉ","EN STOCK")))</f>
        <v/>
      </c>
      <c r="N1617" s="80"/>
    </row>
    <row r="1618" customFormat="false" ht="15" hidden="false" customHeight="false" outlineLevel="0" collapsed="false">
      <c r="A1618" s="82" t="str">
        <f aca="false">IF(B1618="","",ROW()-6)</f>
        <v/>
      </c>
      <c r="B1618" s="145"/>
      <c r="C1618" s="146"/>
      <c r="D1618" s="146"/>
      <c r="E1618" s="82" t="str">
        <f aca="false">IF(B1618="","",IF(COUNTIFS('CARNET DE SOUDURE'!$L$7:$L$3006,B1618,'CARNET DE SOUDURE'!$M$7:$M$3006,"&lt;&gt;"&amp;C1618,'CARNET DE SOUDURE'!$M$7:$M$3006,"&lt;&gt;")+COUNTIFS('CARNET DE SOUDURE'!$O$7:$O$3006,B1618,'CARNET DE SOUDURE'!$P$7:$P$3006,"&lt;&gt;"&amp;C1618,'CARNET DE SOUDURE'!$P$7:$P$3006,"&lt;&gt;")&gt;0,"⚠ DIFFÉRENTE","OK"))</f>
        <v/>
      </c>
      <c r="F1618" s="147"/>
      <c r="G1618" s="80"/>
      <c r="H1618" s="83"/>
      <c r="I1618" s="148" t="str">
        <f aca="false">IF(B1618="","",IFERROR(INDEX('CARNET DE SOUDURE'!$B$7:$B$3006,MATCH(B1618,'CARNET DE SOUDURE'!$L$7:$L$3006,0)),IFERROR(INDEX('CARNET DE SOUDURE'!$B$7:$B$3006,MATCH(B1618,'CARNET DE SOUDURE'!$O$7:$O$3006,0)),"")))</f>
        <v/>
      </c>
      <c r="J1618" s="82" t="str">
        <f aca="false">IF(B1618="","",IFERROR(INDEX('CARNET DE SOUDURE'!$E$7:$E$3006,MATCH(B1618,'CARNET DE SOUDURE'!$O$7:$O$3006,0)),""))</f>
        <v/>
      </c>
      <c r="K1618" s="82" t="str">
        <f aca="false">IF(B1618="","",IFERROR(INDEX('CARNET DE SOUDURE'!$E$7:$E$3006,MATCH(B1618,'CARNET DE SOUDURE'!$L$7:$L$3006,0)),""))</f>
        <v/>
      </c>
      <c r="L1618" s="82" t="str">
        <f aca="false">IF(B1618="","",IFERROR(INDEX('CARNET DE SOUDURE'!$D$7:$D$3006,MATCH(B1618,'CARNET DE SOUDURE'!$L$7:$L$3006,0)),IFERROR(INDEX('CARNET DE SOUDURE'!$D$7:$D$3006,MATCH(B1618,'CARNET DE SOUDURE'!$O$7:$O$3006,0)),"")))</f>
        <v/>
      </c>
      <c r="M1618" s="82" t="str">
        <f aca="false">IF(B1618="","",IF(OR(J1618&lt;&gt;"",K1618&lt;&gt;""),"POSÉ EN LIGNE",IF(COUNTIF(BARDAGE!$C$1:$C$5000,B1618)&gt;0,"BARDÉ","EN STOCK")))</f>
        <v/>
      </c>
      <c r="N1618" s="80"/>
    </row>
    <row r="1619" customFormat="false" ht="15" hidden="false" customHeight="false" outlineLevel="0" collapsed="false">
      <c r="A1619" s="82" t="str">
        <f aca="false">IF(B1619="","",ROW()-6)</f>
        <v/>
      </c>
      <c r="B1619" s="145"/>
      <c r="C1619" s="146"/>
      <c r="D1619" s="146"/>
      <c r="E1619" s="82" t="str">
        <f aca="false">IF(B1619="","",IF(COUNTIFS('CARNET DE SOUDURE'!$L$7:$L$3006,B1619,'CARNET DE SOUDURE'!$M$7:$M$3006,"&lt;&gt;"&amp;C1619,'CARNET DE SOUDURE'!$M$7:$M$3006,"&lt;&gt;")+COUNTIFS('CARNET DE SOUDURE'!$O$7:$O$3006,B1619,'CARNET DE SOUDURE'!$P$7:$P$3006,"&lt;&gt;"&amp;C1619,'CARNET DE SOUDURE'!$P$7:$P$3006,"&lt;&gt;")&gt;0,"⚠ DIFFÉRENTE","OK"))</f>
        <v/>
      </c>
      <c r="F1619" s="147"/>
      <c r="G1619" s="80"/>
      <c r="H1619" s="83"/>
      <c r="I1619" s="148" t="str">
        <f aca="false">IF(B1619="","",IFERROR(INDEX('CARNET DE SOUDURE'!$B$7:$B$3006,MATCH(B1619,'CARNET DE SOUDURE'!$L$7:$L$3006,0)),IFERROR(INDEX('CARNET DE SOUDURE'!$B$7:$B$3006,MATCH(B1619,'CARNET DE SOUDURE'!$O$7:$O$3006,0)),"")))</f>
        <v/>
      </c>
      <c r="J1619" s="82" t="str">
        <f aca="false">IF(B1619="","",IFERROR(INDEX('CARNET DE SOUDURE'!$E$7:$E$3006,MATCH(B1619,'CARNET DE SOUDURE'!$O$7:$O$3006,0)),""))</f>
        <v/>
      </c>
      <c r="K1619" s="82" t="str">
        <f aca="false">IF(B1619="","",IFERROR(INDEX('CARNET DE SOUDURE'!$E$7:$E$3006,MATCH(B1619,'CARNET DE SOUDURE'!$L$7:$L$3006,0)),""))</f>
        <v/>
      </c>
      <c r="L1619" s="82" t="str">
        <f aca="false">IF(B1619="","",IFERROR(INDEX('CARNET DE SOUDURE'!$D$7:$D$3006,MATCH(B1619,'CARNET DE SOUDURE'!$L$7:$L$3006,0)),IFERROR(INDEX('CARNET DE SOUDURE'!$D$7:$D$3006,MATCH(B1619,'CARNET DE SOUDURE'!$O$7:$O$3006,0)),"")))</f>
        <v/>
      </c>
      <c r="M1619" s="82" t="str">
        <f aca="false">IF(B1619="","",IF(OR(J1619&lt;&gt;"",K1619&lt;&gt;""),"POSÉ EN LIGNE",IF(COUNTIF(BARDAGE!$C$1:$C$5000,B1619)&gt;0,"BARDÉ","EN STOCK")))</f>
        <v/>
      </c>
      <c r="N1619" s="80"/>
    </row>
    <row r="1620" customFormat="false" ht="15" hidden="false" customHeight="false" outlineLevel="0" collapsed="false">
      <c r="A1620" s="82" t="str">
        <f aca="false">IF(B1620="","",ROW()-6)</f>
        <v/>
      </c>
      <c r="B1620" s="145"/>
      <c r="C1620" s="146"/>
      <c r="D1620" s="146"/>
      <c r="E1620" s="82" t="str">
        <f aca="false">IF(B1620="","",IF(COUNTIFS('CARNET DE SOUDURE'!$L$7:$L$3006,B1620,'CARNET DE SOUDURE'!$M$7:$M$3006,"&lt;&gt;"&amp;C1620,'CARNET DE SOUDURE'!$M$7:$M$3006,"&lt;&gt;")+COUNTIFS('CARNET DE SOUDURE'!$O$7:$O$3006,B1620,'CARNET DE SOUDURE'!$P$7:$P$3006,"&lt;&gt;"&amp;C1620,'CARNET DE SOUDURE'!$P$7:$P$3006,"&lt;&gt;")&gt;0,"⚠ DIFFÉRENTE","OK"))</f>
        <v/>
      </c>
      <c r="F1620" s="147"/>
      <c r="G1620" s="80"/>
      <c r="H1620" s="83"/>
      <c r="I1620" s="148" t="str">
        <f aca="false">IF(B1620="","",IFERROR(INDEX('CARNET DE SOUDURE'!$B$7:$B$3006,MATCH(B1620,'CARNET DE SOUDURE'!$L$7:$L$3006,0)),IFERROR(INDEX('CARNET DE SOUDURE'!$B$7:$B$3006,MATCH(B1620,'CARNET DE SOUDURE'!$O$7:$O$3006,0)),"")))</f>
        <v/>
      </c>
      <c r="J1620" s="82" t="str">
        <f aca="false">IF(B1620="","",IFERROR(INDEX('CARNET DE SOUDURE'!$E$7:$E$3006,MATCH(B1620,'CARNET DE SOUDURE'!$O$7:$O$3006,0)),""))</f>
        <v/>
      </c>
      <c r="K1620" s="82" t="str">
        <f aca="false">IF(B1620="","",IFERROR(INDEX('CARNET DE SOUDURE'!$E$7:$E$3006,MATCH(B1620,'CARNET DE SOUDURE'!$L$7:$L$3006,0)),""))</f>
        <v/>
      </c>
      <c r="L1620" s="82" t="str">
        <f aca="false">IF(B1620="","",IFERROR(INDEX('CARNET DE SOUDURE'!$D$7:$D$3006,MATCH(B1620,'CARNET DE SOUDURE'!$L$7:$L$3006,0)),IFERROR(INDEX('CARNET DE SOUDURE'!$D$7:$D$3006,MATCH(B1620,'CARNET DE SOUDURE'!$O$7:$O$3006,0)),"")))</f>
        <v/>
      </c>
      <c r="M1620" s="82" t="str">
        <f aca="false">IF(B1620="","",IF(OR(J1620&lt;&gt;"",K1620&lt;&gt;""),"POSÉ EN LIGNE",IF(COUNTIF(BARDAGE!$C$1:$C$5000,B1620)&gt;0,"BARDÉ","EN STOCK")))</f>
        <v/>
      </c>
      <c r="N1620" s="80"/>
    </row>
    <row r="1621" customFormat="false" ht="15" hidden="false" customHeight="false" outlineLevel="0" collapsed="false">
      <c r="A1621" s="82" t="str">
        <f aca="false">IF(B1621="","",ROW()-6)</f>
        <v/>
      </c>
      <c r="B1621" s="145"/>
      <c r="C1621" s="146"/>
      <c r="D1621" s="146"/>
      <c r="E1621" s="82" t="str">
        <f aca="false">IF(B1621="","",IF(COUNTIFS('CARNET DE SOUDURE'!$L$7:$L$3006,B1621,'CARNET DE SOUDURE'!$M$7:$M$3006,"&lt;&gt;"&amp;C1621,'CARNET DE SOUDURE'!$M$7:$M$3006,"&lt;&gt;")+COUNTIFS('CARNET DE SOUDURE'!$O$7:$O$3006,B1621,'CARNET DE SOUDURE'!$P$7:$P$3006,"&lt;&gt;"&amp;C1621,'CARNET DE SOUDURE'!$P$7:$P$3006,"&lt;&gt;")&gt;0,"⚠ DIFFÉRENTE","OK"))</f>
        <v/>
      </c>
      <c r="F1621" s="147"/>
      <c r="G1621" s="80"/>
      <c r="H1621" s="83"/>
      <c r="I1621" s="148" t="str">
        <f aca="false">IF(B1621="","",IFERROR(INDEX('CARNET DE SOUDURE'!$B$7:$B$3006,MATCH(B1621,'CARNET DE SOUDURE'!$L$7:$L$3006,0)),IFERROR(INDEX('CARNET DE SOUDURE'!$B$7:$B$3006,MATCH(B1621,'CARNET DE SOUDURE'!$O$7:$O$3006,0)),"")))</f>
        <v/>
      </c>
      <c r="J1621" s="82" t="str">
        <f aca="false">IF(B1621="","",IFERROR(INDEX('CARNET DE SOUDURE'!$E$7:$E$3006,MATCH(B1621,'CARNET DE SOUDURE'!$O$7:$O$3006,0)),""))</f>
        <v/>
      </c>
      <c r="K1621" s="82" t="str">
        <f aca="false">IF(B1621="","",IFERROR(INDEX('CARNET DE SOUDURE'!$E$7:$E$3006,MATCH(B1621,'CARNET DE SOUDURE'!$L$7:$L$3006,0)),""))</f>
        <v/>
      </c>
      <c r="L1621" s="82" t="str">
        <f aca="false">IF(B1621="","",IFERROR(INDEX('CARNET DE SOUDURE'!$D$7:$D$3006,MATCH(B1621,'CARNET DE SOUDURE'!$L$7:$L$3006,0)),IFERROR(INDEX('CARNET DE SOUDURE'!$D$7:$D$3006,MATCH(B1621,'CARNET DE SOUDURE'!$O$7:$O$3006,0)),"")))</f>
        <v/>
      </c>
      <c r="M1621" s="82" t="str">
        <f aca="false">IF(B1621="","",IF(OR(J1621&lt;&gt;"",K1621&lt;&gt;""),"POSÉ EN LIGNE",IF(COUNTIF(BARDAGE!$C$1:$C$5000,B1621)&gt;0,"BARDÉ","EN STOCK")))</f>
        <v/>
      </c>
      <c r="N1621" s="80"/>
    </row>
    <row r="1622" customFormat="false" ht="15" hidden="false" customHeight="false" outlineLevel="0" collapsed="false">
      <c r="A1622" s="82" t="str">
        <f aca="false">IF(B1622="","",ROW()-6)</f>
        <v/>
      </c>
      <c r="B1622" s="145"/>
      <c r="C1622" s="146"/>
      <c r="D1622" s="146"/>
      <c r="E1622" s="82" t="str">
        <f aca="false">IF(B1622="","",IF(COUNTIFS('CARNET DE SOUDURE'!$L$7:$L$3006,B1622,'CARNET DE SOUDURE'!$M$7:$M$3006,"&lt;&gt;"&amp;C1622,'CARNET DE SOUDURE'!$M$7:$M$3006,"&lt;&gt;")+COUNTIFS('CARNET DE SOUDURE'!$O$7:$O$3006,B1622,'CARNET DE SOUDURE'!$P$7:$P$3006,"&lt;&gt;"&amp;C1622,'CARNET DE SOUDURE'!$P$7:$P$3006,"&lt;&gt;")&gt;0,"⚠ DIFFÉRENTE","OK"))</f>
        <v/>
      </c>
      <c r="F1622" s="147"/>
      <c r="G1622" s="80"/>
      <c r="H1622" s="83"/>
      <c r="I1622" s="148" t="str">
        <f aca="false">IF(B1622="","",IFERROR(INDEX('CARNET DE SOUDURE'!$B$7:$B$3006,MATCH(B1622,'CARNET DE SOUDURE'!$L$7:$L$3006,0)),IFERROR(INDEX('CARNET DE SOUDURE'!$B$7:$B$3006,MATCH(B1622,'CARNET DE SOUDURE'!$O$7:$O$3006,0)),"")))</f>
        <v/>
      </c>
      <c r="J1622" s="82" t="str">
        <f aca="false">IF(B1622="","",IFERROR(INDEX('CARNET DE SOUDURE'!$E$7:$E$3006,MATCH(B1622,'CARNET DE SOUDURE'!$O$7:$O$3006,0)),""))</f>
        <v/>
      </c>
      <c r="K1622" s="82" t="str">
        <f aca="false">IF(B1622="","",IFERROR(INDEX('CARNET DE SOUDURE'!$E$7:$E$3006,MATCH(B1622,'CARNET DE SOUDURE'!$L$7:$L$3006,0)),""))</f>
        <v/>
      </c>
      <c r="L1622" s="82" t="str">
        <f aca="false">IF(B1622="","",IFERROR(INDEX('CARNET DE SOUDURE'!$D$7:$D$3006,MATCH(B1622,'CARNET DE SOUDURE'!$L$7:$L$3006,0)),IFERROR(INDEX('CARNET DE SOUDURE'!$D$7:$D$3006,MATCH(B1622,'CARNET DE SOUDURE'!$O$7:$O$3006,0)),"")))</f>
        <v/>
      </c>
      <c r="M1622" s="82" t="str">
        <f aca="false">IF(B1622="","",IF(OR(J1622&lt;&gt;"",K1622&lt;&gt;""),"POSÉ EN LIGNE",IF(COUNTIF(BARDAGE!$C$1:$C$5000,B1622)&gt;0,"BARDÉ","EN STOCK")))</f>
        <v/>
      </c>
      <c r="N1622" s="80"/>
    </row>
    <row r="1623" customFormat="false" ht="15" hidden="false" customHeight="false" outlineLevel="0" collapsed="false">
      <c r="A1623" s="82" t="str">
        <f aca="false">IF(B1623="","",ROW()-6)</f>
        <v/>
      </c>
      <c r="B1623" s="145"/>
      <c r="C1623" s="146"/>
      <c r="D1623" s="146"/>
      <c r="E1623" s="82" t="str">
        <f aca="false">IF(B1623="","",IF(COUNTIFS('CARNET DE SOUDURE'!$L$7:$L$3006,B1623,'CARNET DE SOUDURE'!$M$7:$M$3006,"&lt;&gt;"&amp;C1623,'CARNET DE SOUDURE'!$M$7:$M$3006,"&lt;&gt;")+COUNTIFS('CARNET DE SOUDURE'!$O$7:$O$3006,B1623,'CARNET DE SOUDURE'!$P$7:$P$3006,"&lt;&gt;"&amp;C1623,'CARNET DE SOUDURE'!$P$7:$P$3006,"&lt;&gt;")&gt;0,"⚠ DIFFÉRENTE","OK"))</f>
        <v/>
      </c>
      <c r="F1623" s="147"/>
      <c r="G1623" s="80"/>
      <c r="H1623" s="83"/>
      <c r="I1623" s="148" t="str">
        <f aca="false">IF(B1623="","",IFERROR(INDEX('CARNET DE SOUDURE'!$B$7:$B$3006,MATCH(B1623,'CARNET DE SOUDURE'!$L$7:$L$3006,0)),IFERROR(INDEX('CARNET DE SOUDURE'!$B$7:$B$3006,MATCH(B1623,'CARNET DE SOUDURE'!$O$7:$O$3006,0)),"")))</f>
        <v/>
      </c>
      <c r="J1623" s="82" t="str">
        <f aca="false">IF(B1623="","",IFERROR(INDEX('CARNET DE SOUDURE'!$E$7:$E$3006,MATCH(B1623,'CARNET DE SOUDURE'!$O$7:$O$3006,0)),""))</f>
        <v/>
      </c>
      <c r="K1623" s="82" t="str">
        <f aca="false">IF(B1623="","",IFERROR(INDEX('CARNET DE SOUDURE'!$E$7:$E$3006,MATCH(B1623,'CARNET DE SOUDURE'!$L$7:$L$3006,0)),""))</f>
        <v/>
      </c>
      <c r="L1623" s="82" t="str">
        <f aca="false">IF(B1623="","",IFERROR(INDEX('CARNET DE SOUDURE'!$D$7:$D$3006,MATCH(B1623,'CARNET DE SOUDURE'!$L$7:$L$3006,0)),IFERROR(INDEX('CARNET DE SOUDURE'!$D$7:$D$3006,MATCH(B1623,'CARNET DE SOUDURE'!$O$7:$O$3006,0)),"")))</f>
        <v/>
      </c>
      <c r="M1623" s="82" t="str">
        <f aca="false">IF(B1623="","",IF(OR(J1623&lt;&gt;"",K1623&lt;&gt;""),"POSÉ EN LIGNE",IF(COUNTIF(BARDAGE!$C$1:$C$5000,B1623)&gt;0,"BARDÉ","EN STOCK")))</f>
        <v/>
      </c>
      <c r="N1623" s="80"/>
    </row>
    <row r="1624" customFormat="false" ht="15" hidden="false" customHeight="false" outlineLevel="0" collapsed="false">
      <c r="A1624" s="82" t="str">
        <f aca="false">IF(B1624="","",ROW()-6)</f>
        <v/>
      </c>
      <c r="B1624" s="145"/>
      <c r="C1624" s="146"/>
      <c r="D1624" s="146"/>
      <c r="E1624" s="82" t="str">
        <f aca="false">IF(B1624="","",IF(COUNTIFS('CARNET DE SOUDURE'!$L$7:$L$3006,B1624,'CARNET DE SOUDURE'!$M$7:$M$3006,"&lt;&gt;"&amp;C1624,'CARNET DE SOUDURE'!$M$7:$M$3006,"&lt;&gt;")+COUNTIFS('CARNET DE SOUDURE'!$O$7:$O$3006,B1624,'CARNET DE SOUDURE'!$P$7:$P$3006,"&lt;&gt;"&amp;C1624,'CARNET DE SOUDURE'!$P$7:$P$3006,"&lt;&gt;")&gt;0,"⚠ DIFFÉRENTE","OK"))</f>
        <v/>
      </c>
      <c r="F1624" s="147"/>
      <c r="G1624" s="80"/>
      <c r="H1624" s="83"/>
      <c r="I1624" s="148" t="str">
        <f aca="false">IF(B1624="","",IFERROR(INDEX('CARNET DE SOUDURE'!$B$7:$B$3006,MATCH(B1624,'CARNET DE SOUDURE'!$L$7:$L$3006,0)),IFERROR(INDEX('CARNET DE SOUDURE'!$B$7:$B$3006,MATCH(B1624,'CARNET DE SOUDURE'!$O$7:$O$3006,0)),"")))</f>
        <v/>
      </c>
      <c r="J1624" s="82" t="str">
        <f aca="false">IF(B1624="","",IFERROR(INDEX('CARNET DE SOUDURE'!$E$7:$E$3006,MATCH(B1624,'CARNET DE SOUDURE'!$O$7:$O$3006,0)),""))</f>
        <v/>
      </c>
      <c r="K1624" s="82" t="str">
        <f aca="false">IF(B1624="","",IFERROR(INDEX('CARNET DE SOUDURE'!$E$7:$E$3006,MATCH(B1624,'CARNET DE SOUDURE'!$L$7:$L$3006,0)),""))</f>
        <v/>
      </c>
      <c r="L1624" s="82" t="str">
        <f aca="false">IF(B1624="","",IFERROR(INDEX('CARNET DE SOUDURE'!$D$7:$D$3006,MATCH(B1624,'CARNET DE SOUDURE'!$L$7:$L$3006,0)),IFERROR(INDEX('CARNET DE SOUDURE'!$D$7:$D$3006,MATCH(B1624,'CARNET DE SOUDURE'!$O$7:$O$3006,0)),"")))</f>
        <v/>
      </c>
      <c r="M1624" s="82" t="str">
        <f aca="false">IF(B1624="","",IF(OR(J1624&lt;&gt;"",K1624&lt;&gt;""),"POSÉ EN LIGNE",IF(COUNTIF(BARDAGE!$C$1:$C$5000,B1624)&gt;0,"BARDÉ","EN STOCK")))</f>
        <v/>
      </c>
      <c r="N1624" s="80"/>
    </row>
    <row r="1625" customFormat="false" ht="15" hidden="false" customHeight="false" outlineLevel="0" collapsed="false">
      <c r="A1625" s="82" t="str">
        <f aca="false">IF(B1625="","",ROW()-6)</f>
        <v/>
      </c>
      <c r="B1625" s="145"/>
      <c r="C1625" s="146"/>
      <c r="D1625" s="146"/>
      <c r="E1625" s="82" t="str">
        <f aca="false">IF(B1625="","",IF(COUNTIFS('CARNET DE SOUDURE'!$L$7:$L$3006,B1625,'CARNET DE SOUDURE'!$M$7:$M$3006,"&lt;&gt;"&amp;C1625,'CARNET DE SOUDURE'!$M$7:$M$3006,"&lt;&gt;")+COUNTIFS('CARNET DE SOUDURE'!$O$7:$O$3006,B1625,'CARNET DE SOUDURE'!$P$7:$P$3006,"&lt;&gt;"&amp;C1625,'CARNET DE SOUDURE'!$P$7:$P$3006,"&lt;&gt;")&gt;0,"⚠ DIFFÉRENTE","OK"))</f>
        <v/>
      </c>
      <c r="F1625" s="147"/>
      <c r="G1625" s="80"/>
      <c r="H1625" s="83"/>
      <c r="I1625" s="148" t="str">
        <f aca="false">IF(B1625="","",IFERROR(INDEX('CARNET DE SOUDURE'!$B$7:$B$3006,MATCH(B1625,'CARNET DE SOUDURE'!$L$7:$L$3006,0)),IFERROR(INDEX('CARNET DE SOUDURE'!$B$7:$B$3006,MATCH(B1625,'CARNET DE SOUDURE'!$O$7:$O$3006,0)),"")))</f>
        <v/>
      </c>
      <c r="J1625" s="82" t="str">
        <f aca="false">IF(B1625="","",IFERROR(INDEX('CARNET DE SOUDURE'!$E$7:$E$3006,MATCH(B1625,'CARNET DE SOUDURE'!$O$7:$O$3006,0)),""))</f>
        <v/>
      </c>
      <c r="K1625" s="82" t="str">
        <f aca="false">IF(B1625="","",IFERROR(INDEX('CARNET DE SOUDURE'!$E$7:$E$3006,MATCH(B1625,'CARNET DE SOUDURE'!$L$7:$L$3006,0)),""))</f>
        <v/>
      </c>
      <c r="L1625" s="82" t="str">
        <f aca="false">IF(B1625="","",IFERROR(INDEX('CARNET DE SOUDURE'!$D$7:$D$3006,MATCH(B1625,'CARNET DE SOUDURE'!$L$7:$L$3006,0)),IFERROR(INDEX('CARNET DE SOUDURE'!$D$7:$D$3006,MATCH(B1625,'CARNET DE SOUDURE'!$O$7:$O$3006,0)),"")))</f>
        <v/>
      </c>
      <c r="M1625" s="82" t="str">
        <f aca="false">IF(B1625="","",IF(OR(J1625&lt;&gt;"",K1625&lt;&gt;""),"POSÉ EN LIGNE",IF(COUNTIF(BARDAGE!$C$1:$C$5000,B1625)&gt;0,"BARDÉ","EN STOCK")))</f>
        <v/>
      </c>
      <c r="N1625" s="80"/>
    </row>
    <row r="1626" customFormat="false" ht="15" hidden="false" customHeight="false" outlineLevel="0" collapsed="false">
      <c r="A1626" s="82" t="str">
        <f aca="false">IF(B1626="","",ROW()-6)</f>
        <v/>
      </c>
      <c r="B1626" s="145"/>
      <c r="C1626" s="146"/>
      <c r="D1626" s="146"/>
      <c r="E1626" s="82" t="str">
        <f aca="false">IF(B1626="","",IF(COUNTIFS('CARNET DE SOUDURE'!$L$7:$L$3006,B1626,'CARNET DE SOUDURE'!$M$7:$M$3006,"&lt;&gt;"&amp;C1626,'CARNET DE SOUDURE'!$M$7:$M$3006,"&lt;&gt;")+COUNTIFS('CARNET DE SOUDURE'!$O$7:$O$3006,B1626,'CARNET DE SOUDURE'!$P$7:$P$3006,"&lt;&gt;"&amp;C1626,'CARNET DE SOUDURE'!$P$7:$P$3006,"&lt;&gt;")&gt;0,"⚠ DIFFÉRENTE","OK"))</f>
        <v/>
      </c>
      <c r="F1626" s="147"/>
      <c r="G1626" s="80"/>
      <c r="H1626" s="83"/>
      <c r="I1626" s="148" t="str">
        <f aca="false">IF(B1626="","",IFERROR(INDEX('CARNET DE SOUDURE'!$B$7:$B$3006,MATCH(B1626,'CARNET DE SOUDURE'!$L$7:$L$3006,0)),IFERROR(INDEX('CARNET DE SOUDURE'!$B$7:$B$3006,MATCH(B1626,'CARNET DE SOUDURE'!$O$7:$O$3006,0)),"")))</f>
        <v/>
      </c>
      <c r="J1626" s="82" t="str">
        <f aca="false">IF(B1626="","",IFERROR(INDEX('CARNET DE SOUDURE'!$E$7:$E$3006,MATCH(B1626,'CARNET DE SOUDURE'!$O$7:$O$3006,0)),""))</f>
        <v/>
      </c>
      <c r="K1626" s="82" t="str">
        <f aca="false">IF(B1626="","",IFERROR(INDEX('CARNET DE SOUDURE'!$E$7:$E$3006,MATCH(B1626,'CARNET DE SOUDURE'!$L$7:$L$3006,0)),""))</f>
        <v/>
      </c>
      <c r="L1626" s="82" t="str">
        <f aca="false">IF(B1626="","",IFERROR(INDEX('CARNET DE SOUDURE'!$D$7:$D$3006,MATCH(B1626,'CARNET DE SOUDURE'!$L$7:$L$3006,0)),IFERROR(INDEX('CARNET DE SOUDURE'!$D$7:$D$3006,MATCH(B1626,'CARNET DE SOUDURE'!$O$7:$O$3006,0)),"")))</f>
        <v/>
      </c>
      <c r="M1626" s="82" t="str">
        <f aca="false">IF(B1626="","",IF(OR(J1626&lt;&gt;"",K1626&lt;&gt;""),"POSÉ EN LIGNE",IF(COUNTIF(BARDAGE!$C$1:$C$5000,B1626)&gt;0,"BARDÉ","EN STOCK")))</f>
        <v/>
      </c>
      <c r="N1626" s="80"/>
    </row>
    <row r="1627" customFormat="false" ht="15" hidden="false" customHeight="false" outlineLevel="0" collapsed="false">
      <c r="A1627" s="82" t="str">
        <f aca="false">IF(B1627="","",ROW()-6)</f>
        <v/>
      </c>
      <c r="B1627" s="145"/>
      <c r="C1627" s="146"/>
      <c r="D1627" s="146"/>
      <c r="E1627" s="82" t="str">
        <f aca="false">IF(B1627="","",IF(COUNTIFS('CARNET DE SOUDURE'!$L$7:$L$3006,B1627,'CARNET DE SOUDURE'!$M$7:$M$3006,"&lt;&gt;"&amp;C1627,'CARNET DE SOUDURE'!$M$7:$M$3006,"&lt;&gt;")+COUNTIFS('CARNET DE SOUDURE'!$O$7:$O$3006,B1627,'CARNET DE SOUDURE'!$P$7:$P$3006,"&lt;&gt;"&amp;C1627,'CARNET DE SOUDURE'!$P$7:$P$3006,"&lt;&gt;")&gt;0,"⚠ DIFFÉRENTE","OK"))</f>
        <v/>
      </c>
      <c r="F1627" s="147"/>
      <c r="G1627" s="80"/>
      <c r="H1627" s="83"/>
      <c r="I1627" s="148" t="str">
        <f aca="false">IF(B1627="","",IFERROR(INDEX('CARNET DE SOUDURE'!$B$7:$B$3006,MATCH(B1627,'CARNET DE SOUDURE'!$L$7:$L$3006,0)),IFERROR(INDEX('CARNET DE SOUDURE'!$B$7:$B$3006,MATCH(B1627,'CARNET DE SOUDURE'!$O$7:$O$3006,0)),"")))</f>
        <v/>
      </c>
      <c r="J1627" s="82" t="str">
        <f aca="false">IF(B1627="","",IFERROR(INDEX('CARNET DE SOUDURE'!$E$7:$E$3006,MATCH(B1627,'CARNET DE SOUDURE'!$O$7:$O$3006,0)),""))</f>
        <v/>
      </c>
      <c r="K1627" s="82" t="str">
        <f aca="false">IF(B1627="","",IFERROR(INDEX('CARNET DE SOUDURE'!$E$7:$E$3006,MATCH(B1627,'CARNET DE SOUDURE'!$L$7:$L$3006,0)),""))</f>
        <v/>
      </c>
      <c r="L1627" s="82" t="str">
        <f aca="false">IF(B1627="","",IFERROR(INDEX('CARNET DE SOUDURE'!$D$7:$D$3006,MATCH(B1627,'CARNET DE SOUDURE'!$L$7:$L$3006,0)),IFERROR(INDEX('CARNET DE SOUDURE'!$D$7:$D$3006,MATCH(B1627,'CARNET DE SOUDURE'!$O$7:$O$3006,0)),"")))</f>
        <v/>
      </c>
      <c r="M1627" s="82" t="str">
        <f aca="false">IF(B1627="","",IF(OR(J1627&lt;&gt;"",K1627&lt;&gt;""),"POSÉ EN LIGNE",IF(COUNTIF(BARDAGE!$C$1:$C$5000,B1627)&gt;0,"BARDÉ","EN STOCK")))</f>
        <v/>
      </c>
      <c r="N1627" s="80"/>
    </row>
    <row r="1628" customFormat="false" ht="15" hidden="false" customHeight="false" outlineLevel="0" collapsed="false">
      <c r="A1628" s="82" t="str">
        <f aca="false">IF(B1628="","",ROW()-6)</f>
        <v/>
      </c>
      <c r="B1628" s="145"/>
      <c r="C1628" s="146"/>
      <c r="D1628" s="146"/>
      <c r="E1628" s="82" t="str">
        <f aca="false">IF(B1628="","",IF(COUNTIFS('CARNET DE SOUDURE'!$L$7:$L$3006,B1628,'CARNET DE SOUDURE'!$M$7:$M$3006,"&lt;&gt;"&amp;C1628,'CARNET DE SOUDURE'!$M$7:$M$3006,"&lt;&gt;")+COUNTIFS('CARNET DE SOUDURE'!$O$7:$O$3006,B1628,'CARNET DE SOUDURE'!$P$7:$P$3006,"&lt;&gt;"&amp;C1628,'CARNET DE SOUDURE'!$P$7:$P$3006,"&lt;&gt;")&gt;0,"⚠ DIFFÉRENTE","OK"))</f>
        <v/>
      </c>
      <c r="F1628" s="147"/>
      <c r="G1628" s="80"/>
      <c r="H1628" s="83"/>
      <c r="I1628" s="148" t="str">
        <f aca="false">IF(B1628="","",IFERROR(INDEX('CARNET DE SOUDURE'!$B$7:$B$3006,MATCH(B1628,'CARNET DE SOUDURE'!$L$7:$L$3006,0)),IFERROR(INDEX('CARNET DE SOUDURE'!$B$7:$B$3006,MATCH(B1628,'CARNET DE SOUDURE'!$O$7:$O$3006,0)),"")))</f>
        <v/>
      </c>
      <c r="J1628" s="82" t="str">
        <f aca="false">IF(B1628="","",IFERROR(INDEX('CARNET DE SOUDURE'!$E$7:$E$3006,MATCH(B1628,'CARNET DE SOUDURE'!$O$7:$O$3006,0)),""))</f>
        <v/>
      </c>
      <c r="K1628" s="82" t="str">
        <f aca="false">IF(B1628="","",IFERROR(INDEX('CARNET DE SOUDURE'!$E$7:$E$3006,MATCH(B1628,'CARNET DE SOUDURE'!$L$7:$L$3006,0)),""))</f>
        <v/>
      </c>
      <c r="L1628" s="82" t="str">
        <f aca="false">IF(B1628="","",IFERROR(INDEX('CARNET DE SOUDURE'!$D$7:$D$3006,MATCH(B1628,'CARNET DE SOUDURE'!$L$7:$L$3006,0)),IFERROR(INDEX('CARNET DE SOUDURE'!$D$7:$D$3006,MATCH(B1628,'CARNET DE SOUDURE'!$O$7:$O$3006,0)),"")))</f>
        <v/>
      </c>
      <c r="M1628" s="82" t="str">
        <f aca="false">IF(B1628="","",IF(OR(J1628&lt;&gt;"",K1628&lt;&gt;""),"POSÉ EN LIGNE",IF(COUNTIF(BARDAGE!$C$1:$C$5000,B1628)&gt;0,"BARDÉ","EN STOCK")))</f>
        <v/>
      </c>
      <c r="N1628" s="80"/>
    </row>
    <row r="1629" customFormat="false" ht="15" hidden="false" customHeight="false" outlineLevel="0" collapsed="false">
      <c r="A1629" s="82" t="str">
        <f aca="false">IF(B1629="","",ROW()-6)</f>
        <v/>
      </c>
      <c r="B1629" s="145"/>
      <c r="C1629" s="146"/>
      <c r="D1629" s="146"/>
      <c r="E1629" s="82" t="str">
        <f aca="false">IF(B1629="","",IF(COUNTIFS('CARNET DE SOUDURE'!$L$7:$L$3006,B1629,'CARNET DE SOUDURE'!$M$7:$M$3006,"&lt;&gt;"&amp;C1629,'CARNET DE SOUDURE'!$M$7:$M$3006,"&lt;&gt;")+COUNTIFS('CARNET DE SOUDURE'!$O$7:$O$3006,B1629,'CARNET DE SOUDURE'!$P$7:$P$3006,"&lt;&gt;"&amp;C1629,'CARNET DE SOUDURE'!$P$7:$P$3006,"&lt;&gt;")&gt;0,"⚠ DIFFÉRENTE","OK"))</f>
        <v/>
      </c>
      <c r="F1629" s="147"/>
      <c r="G1629" s="80"/>
      <c r="H1629" s="83"/>
      <c r="I1629" s="148" t="str">
        <f aca="false">IF(B1629="","",IFERROR(INDEX('CARNET DE SOUDURE'!$B$7:$B$3006,MATCH(B1629,'CARNET DE SOUDURE'!$L$7:$L$3006,0)),IFERROR(INDEX('CARNET DE SOUDURE'!$B$7:$B$3006,MATCH(B1629,'CARNET DE SOUDURE'!$O$7:$O$3006,0)),"")))</f>
        <v/>
      </c>
      <c r="J1629" s="82" t="str">
        <f aca="false">IF(B1629="","",IFERROR(INDEX('CARNET DE SOUDURE'!$E$7:$E$3006,MATCH(B1629,'CARNET DE SOUDURE'!$O$7:$O$3006,0)),""))</f>
        <v/>
      </c>
      <c r="K1629" s="82" t="str">
        <f aca="false">IF(B1629="","",IFERROR(INDEX('CARNET DE SOUDURE'!$E$7:$E$3006,MATCH(B1629,'CARNET DE SOUDURE'!$L$7:$L$3006,0)),""))</f>
        <v/>
      </c>
      <c r="L1629" s="82" t="str">
        <f aca="false">IF(B1629="","",IFERROR(INDEX('CARNET DE SOUDURE'!$D$7:$D$3006,MATCH(B1629,'CARNET DE SOUDURE'!$L$7:$L$3006,0)),IFERROR(INDEX('CARNET DE SOUDURE'!$D$7:$D$3006,MATCH(B1629,'CARNET DE SOUDURE'!$O$7:$O$3006,0)),"")))</f>
        <v/>
      </c>
      <c r="M1629" s="82" t="str">
        <f aca="false">IF(B1629="","",IF(OR(J1629&lt;&gt;"",K1629&lt;&gt;""),"POSÉ EN LIGNE",IF(COUNTIF(BARDAGE!$C$1:$C$5000,B1629)&gt;0,"BARDÉ","EN STOCK")))</f>
        <v/>
      </c>
      <c r="N1629" s="80"/>
    </row>
    <row r="1630" customFormat="false" ht="15" hidden="false" customHeight="false" outlineLevel="0" collapsed="false">
      <c r="A1630" s="82" t="str">
        <f aca="false">IF(B1630="","",ROW()-6)</f>
        <v/>
      </c>
      <c r="B1630" s="145"/>
      <c r="C1630" s="146"/>
      <c r="D1630" s="146"/>
      <c r="E1630" s="82" t="str">
        <f aca="false">IF(B1630="","",IF(COUNTIFS('CARNET DE SOUDURE'!$L$7:$L$3006,B1630,'CARNET DE SOUDURE'!$M$7:$M$3006,"&lt;&gt;"&amp;C1630,'CARNET DE SOUDURE'!$M$7:$M$3006,"&lt;&gt;")+COUNTIFS('CARNET DE SOUDURE'!$O$7:$O$3006,B1630,'CARNET DE SOUDURE'!$P$7:$P$3006,"&lt;&gt;"&amp;C1630,'CARNET DE SOUDURE'!$P$7:$P$3006,"&lt;&gt;")&gt;0,"⚠ DIFFÉRENTE","OK"))</f>
        <v/>
      </c>
      <c r="F1630" s="147"/>
      <c r="G1630" s="80"/>
      <c r="H1630" s="83"/>
      <c r="I1630" s="148" t="str">
        <f aca="false">IF(B1630="","",IFERROR(INDEX('CARNET DE SOUDURE'!$B$7:$B$3006,MATCH(B1630,'CARNET DE SOUDURE'!$L$7:$L$3006,0)),IFERROR(INDEX('CARNET DE SOUDURE'!$B$7:$B$3006,MATCH(B1630,'CARNET DE SOUDURE'!$O$7:$O$3006,0)),"")))</f>
        <v/>
      </c>
      <c r="J1630" s="82" t="str">
        <f aca="false">IF(B1630="","",IFERROR(INDEX('CARNET DE SOUDURE'!$E$7:$E$3006,MATCH(B1630,'CARNET DE SOUDURE'!$O$7:$O$3006,0)),""))</f>
        <v/>
      </c>
      <c r="K1630" s="82" t="str">
        <f aca="false">IF(B1630="","",IFERROR(INDEX('CARNET DE SOUDURE'!$E$7:$E$3006,MATCH(B1630,'CARNET DE SOUDURE'!$L$7:$L$3006,0)),""))</f>
        <v/>
      </c>
      <c r="L1630" s="82" t="str">
        <f aca="false">IF(B1630="","",IFERROR(INDEX('CARNET DE SOUDURE'!$D$7:$D$3006,MATCH(B1630,'CARNET DE SOUDURE'!$L$7:$L$3006,0)),IFERROR(INDEX('CARNET DE SOUDURE'!$D$7:$D$3006,MATCH(B1630,'CARNET DE SOUDURE'!$O$7:$O$3006,0)),"")))</f>
        <v/>
      </c>
      <c r="M1630" s="82" t="str">
        <f aca="false">IF(B1630="","",IF(OR(J1630&lt;&gt;"",K1630&lt;&gt;""),"POSÉ EN LIGNE",IF(COUNTIF(BARDAGE!$C$1:$C$5000,B1630)&gt;0,"BARDÉ","EN STOCK")))</f>
        <v/>
      </c>
      <c r="N1630" s="80"/>
    </row>
    <row r="1631" customFormat="false" ht="15" hidden="false" customHeight="false" outlineLevel="0" collapsed="false">
      <c r="A1631" s="82" t="str">
        <f aca="false">IF(B1631="","",ROW()-6)</f>
        <v/>
      </c>
      <c r="B1631" s="145"/>
      <c r="C1631" s="146"/>
      <c r="D1631" s="146"/>
      <c r="E1631" s="82" t="str">
        <f aca="false">IF(B1631="","",IF(COUNTIFS('CARNET DE SOUDURE'!$L$7:$L$3006,B1631,'CARNET DE SOUDURE'!$M$7:$M$3006,"&lt;&gt;"&amp;C1631,'CARNET DE SOUDURE'!$M$7:$M$3006,"&lt;&gt;")+COUNTIFS('CARNET DE SOUDURE'!$O$7:$O$3006,B1631,'CARNET DE SOUDURE'!$P$7:$P$3006,"&lt;&gt;"&amp;C1631,'CARNET DE SOUDURE'!$P$7:$P$3006,"&lt;&gt;")&gt;0,"⚠ DIFFÉRENTE","OK"))</f>
        <v/>
      </c>
      <c r="F1631" s="147"/>
      <c r="G1631" s="80"/>
      <c r="H1631" s="83"/>
      <c r="I1631" s="148" t="str">
        <f aca="false">IF(B1631="","",IFERROR(INDEX('CARNET DE SOUDURE'!$B$7:$B$3006,MATCH(B1631,'CARNET DE SOUDURE'!$L$7:$L$3006,0)),IFERROR(INDEX('CARNET DE SOUDURE'!$B$7:$B$3006,MATCH(B1631,'CARNET DE SOUDURE'!$O$7:$O$3006,0)),"")))</f>
        <v/>
      </c>
      <c r="J1631" s="82" t="str">
        <f aca="false">IF(B1631="","",IFERROR(INDEX('CARNET DE SOUDURE'!$E$7:$E$3006,MATCH(B1631,'CARNET DE SOUDURE'!$O$7:$O$3006,0)),""))</f>
        <v/>
      </c>
      <c r="K1631" s="82" t="str">
        <f aca="false">IF(B1631="","",IFERROR(INDEX('CARNET DE SOUDURE'!$E$7:$E$3006,MATCH(B1631,'CARNET DE SOUDURE'!$L$7:$L$3006,0)),""))</f>
        <v/>
      </c>
      <c r="L1631" s="82" t="str">
        <f aca="false">IF(B1631="","",IFERROR(INDEX('CARNET DE SOUDURE'!$D$7:$D$3006,MATCH(B1631,'CARNET DE SOUDURE'!$L$7:$L$3006,0)),IFERROR(INDEX('CARNET DE SOUDURE'!$D$7:$D$3006,MATCH(B1631,'CARNET DE SOUDURE'!$O$7:$O$3006,0)),"")))</f>
        <v/>
      </c>
      <c r="M1631" s="82" t="str">
        <f aca="false">IF(B1631="","",IF(OR(J1631&lt;&gt;"",K1631&lt;&gt;""),"POSÉ EN LIGNE",IF(COUNTIF(BARDAGE!$C$1:$C$5000,B1631)&gt;0,"BARDÉ","EN STOCK")))</f>
        <v/>
      </c>
      <c r="N1631" s="80"/>
    </row>
    <row r="1632" customFormat="false" ht="15" hidden="false" customHeight="false" outlineLevel="0" collapsed="false">
      <c r="A1632" s="82" t="str">
        <f aca="false">IF(B1632="","",ROW()-6)</f>
        <v/>
      </c>
      <c r="B1632" s="145"/>
      <c r="C1632" s="146"/>
      <c r="D1632" s="146"/>
      <c r="E1632" s="82" t="str">
        <f aca="false">IF(B1632="","",IF(COUNTIFS('CARNET DE SOUDURE'!$L$7:$L$3006,B1632,'CARNET DE SOUDURE'!$M$7:$M$3006,"&lt;&gt;"&amp;C1632,'CARNET DE SOUDURE'!$M$7:$M$3006,"&lt;&gt;")+COUNTIFS('CARNET DE SOUDURE'!$O$7:$O$3006,B1632,'CARNET DE SOUDURE'!$P$7:$P$3006,"&lt;&gt;"&amp;C1632,'CARNET DE SOUDURE'!$P$7:$P$3006,"&lt;&gt;")&gt;0,"⚠ DIFFÉRENTE","OK"))</f>
        <v/>
      </c>
      <c r="F1632" s="147"/>
      <c r="G1632" s="80"/>
      <c r="H1632" s="83"/>
      <c r="I1632" s="148" t="str">
        <f aca="false">IF(B1632="","",IFERROR(INDEX('CARNET DE SOUDURE'!$B$7:$B$3006,MATCH(B1632,'CARNET DE SOUDURE'!$L$7:$L$3006,0)),IFERROR(INDEX('CARNET DE SOUDURE'!$B$7:$B$3006,MATCH(B1632,'CARNET DE SOUDURE'!$O$7:$O$3006,0)),"")))</f>
        <v/>
      </c>
      <c r="J1632" s="82" t="str">
        <f aca="false">IF(B1632="","",IFERROR(INDEX('CARNET DE SOUDURE'!$E$7:$E$3006,MATCH(B1632,'CARNET DE SOUDURE'!$O$7:$O$3006,0)),""))</f>
        <v/>
      </c>
      <c r="K1632" s="82" t="str">
        <f aca="false">IF(B1632="","",IFERROR(INDEX('CARNET DE SOUDURE'!$E$7:$E$3006,MATCH(B1632,'CARNET DE SOUDURE'!$L$7:$L$3006,0)),""))</f>
        <v/>
      </c>
      <c r="L1632" s="82" t="str">
        <f aca="false">IF(B1632="","",IFERROR(INDEX('CARNET DE SOUDURE'!$D$7:$D$3006,MATCH(B1632,'CARNET DE SOUDURE'!$L$7:$L$3006,0)),IFERROR(INDEX('CARNET DE SOUDURE'!$D$7:$D$3006,MATCH(B1632,'CARNET DE SOUDURE'!$O$7:$O$3006,0)),"")))</f>
        <v/>
      </c>
      <c r="M1632" s="82" t="str">
        <f aca="false">IF(B1632="","",IF(OR(J1632&lt;&gt;"",K1632&lt;&gt;""),"POSÉ EN LIGNE",IF(COUNTIF(BARDAGE!$C$1:$C$5000,B1632)&gt;0,"BARDÉ","EN STOCK")))</f>
        <v/>
      </c>
      <c r="N1632" s="80"/>
    </row>
    <row r="1633" customFormat="false" ht="15" hidden="false" customHeight="false" outlineLevel="0" collapsed="false">
      <c r="A1633" s="82" t="str">
        <f aca="false">IF(B1633="","",ROW()-6)</f>
        <v/>
      </c>
      <c r="B1633" s="145"/>
      <c r="C1633" s="146"/>
      <c r="D1633" s="146"/>
      <c r="E1633" s="82" t="str">
        <f aca="false">IF(B1633="","",IF(COUNTIFS('CARNET DE SOUDURE'!$L$7:$L$3006,B1633,'CARNET DE SOUDURE'!$M$7:$M$3006,"&lt;&gt;"&amp;C1633,'CARNET DE SOUDURE'!$M$7:$M$3006,"&lt;&gt;")+COUNTIFS('CARNET DE SOUDURE'!$O$7:$O$3006,B1633,'CARNET DE SOUDURE'!$P$7:$P$3006,"&lt;&gt;"&amp;C1633,'CARNET DE SOUDURE'!$P$7:$P$3006,"&lt;&gt;")&gt;0,"⚠ DIFFÉRENTE","OK"))</f>
        <v/>
      </c>
      <c r="F1633" s="147"/>
      <c r="G1633" s="80"/>
      <c r="H1633" s="83"/>
      <c r="I1633" s="148" t="str">
        <f aca="false">IF(B1633="","",IFERROR(INDEX('CARNET DE SOUDURE'!$B$7:$B$3006,MATCH(B1633,'CARNET DE SOUDURE'!$L$7:$L$3006,0)),IFERROR(INDEX('CARNET DE SOUDURE'!$B$7:$B$3006,MATCH(B1633,'CARNET DE SOUDURE'!$O$7:$O$3006,0)),"")))</f>
        <v/>
      </c>
      <c r="J1633" s="82" t="str">
        <f aca="false">IF(B1633="","",IFERROR(INDEX('CARNET DE SOUDURE'!$E$7:$E$3006,MATCH(B1633,'CARNET DE SOUDURE'!$O$7:$O$3006,0)),""))</f>
        <v/>
      </c>
      <c r="K1633" s="82" t="str">
        <f aca="false">IF(B1633="","",IFERROR(INDEX('CARNET DE SOUDURE'!$E$7:$E$3006,MATCH(B1633,'CARNET DE SOUDURE'!$L$7:$L$3006,0)),""))</f>
        <v/>
      </c>
      <c r="L1633" s="82" t="str">
        <f aca="false">IF(B1633="","",IFERROR(INDEX('CARNET DE SOUDURE'!$D$7:$D$3006,MATCH(B1633,'CARNET DE SOUDURE'!$L$7:$L$3006,0)),IFERROR(INDEX('CARNET DE SOUDURE'!$D$7:$D$3006,MATCH(B1633,'CARNET DE SOUDURE'!$O$7:$O$3006,0)),"")))</f>
        <v/>
      </c>
      <c r="M1633" s="82" t="str">
        <f aca="false">IF(B1633="","",IF(OR(J1633&lt;&gt;"",K1633&lt;&gt;""),"POSÉ EN LIGNE",IF(COUNTIF(BARDAGE!$C$1:$C$5000,B1633)&gt;0,"BARDÉ","EN STOCK")))</f>
        <v/>
      </c>
      <c r="N1633" s="80"/>
    </row>
    <row r="1634" customFormat="false" ht="15" hidden="false" customHeight="false" outlineLevel="0" collapsed="false">
      <c r="A1634" s="82" t="str">
        <f aca="false">IF(B1634="","",ROW()-6)</f>
        <v/>
      </c>
      <c r="B1634" s="145"/>
      <c r="C1634" s="146"/>
      <c r="D1634" s="146"/>
      <c r="E1634" s="82" t="str">
        <f aca="false">IF(B1634="","",IF(COUNTIFS('CARNET DE SOUDURE'!$L$7:$L$3006,B1634,'CARNET DE SOUDURE'!$M$7:$M$3006,"&lt;&gt;"&amp;C1634,'CARNET DE SOUDURE'!$M$7:$M$3006,"&lt;&gt;")+COUNTIFS('CARNET DE SOUDURE'!$O$7:$O$3006,B1634,'CARNET DE SOUDURE'!$P$7:$P$3006,"&lt;&gt;"&amp;C1634,'CARNET DE SOUDURE'!$P$7:$P$3006,"&lt;&gt;")&gt;0,"⚠ DIFFÉRENTE","OK"))</f>
        <v/>
      </c>
      <c r="F1634" s="147"/>
      <c r="G1634" s="80"/>
      <c r="H1634" s="83"/>
      <c r="I1634" s="148" t="str">
        <f aca="false">IF(B1634="","",IFERROR(INDEX('CARNET DE SOUDURE'!$B$7:$B$3006,MATCH(B1634,'CARNET DE SOUDURE'!$L$7:$L$3006,0)),IFERROR(INDEX('CARNET DE SOUDURE'!$B$7:$B$3006,MATCH(B1634,'CARNET DE SOUDURE'!$O$7:$O$3006,0)),"")))</f>
        <v/>
      </c>
      <c r="J1634" s="82" t="str">
        <f aca="false">IF(B1634="","",IFERROR(INDEX('CARNET DE SOUDURE'!$E$7:$E$3006,MATCH(B1634,'CARNET DE SOUDURE'!$O$7:$O$3006,0)),""))</f>
        <v/>
      </c>
      <c r="K1634" s="82" t="str">
        <f aca="false">IF(B1634="","",IFERROR(INDEX('CARNET DE SOUDURE'!$E$7:$E$3006,MATCH(B1634,'CARNET DE SOUDURE'!$L$7:$L$3006,0)),""))</f>
        <v/>
      </c>
      <c r="L1634" s="82" t="str">
        <f aca="false">IF(B1634="","",IFERROR(INDEX('CARNET DE SOUDURE'!$D$7:$D$3006,MATCH(B1634,'CARNET DE SOUDURE'!$L$7:$L$3006,0)),IFERROR(INDEX('CARNET DE SOUDURE'!$D$7:$D$3006,MATCH(B1634,'CARNET DE SOUDURE'!$O$7:$O$3006,0)),"")))</f>
        <v/>
      </c>
      <c r="M1634" s="82" t="str">
        <f aca="false">IF(B1634="","",IF(OR(J1634&lt;&gt;"",K1634&lt;&gt;""),"POSÉ EN LIGNE",IF(COUNTIF(BARDAGE!$C$1:$C$5000,B1634)&gt;0,"BARDÉ","EN STOCK")))</f>
        <v/>
      </c>
      <c r="N1634" s="80"/>
    </row>
    <row r="1635" customFormat="false" ht="15" hidden="false" customHeight="false" outlineLevel="0" collapsed="false">
      <c r="A1635" s="82" t="str">
        <f aca="false">IF(B1635="","",ROW()-6)</f>
        <v/>
      </c>
      <c r="B1635" s="145"/>
      <c r="C1635" s="146"/>
      <c r="D1635" s="146"/>
      <c r="E1635" s="82" t="str">
        <f aca="false">IF(B1635="","",IF(COUNTIFS('CARNET DE SOUDURE'!$L$7:$L$3006,B1635,'CARNET DE SOUDURE'!$M$7:$M$3006,"&lt;&gt;"&amp;C1635,'CARNET DE SOUDURE'!$M$7:$M$3006,"&lt;&gt;")+COUNTIFS('CARNET DE SOUDURE'!$O$7:$O$3006,B1635,'CARNET DE SOUDURE'!$P$7:$P$3006,"&lt;&gt;"&amp;C1635,'CARNET DE SOUDURE'!$P$7:$P$3006,"&lt;&gt;")&gt;0,"⚠ DIFFÉRENTE","OK"))</f>
        <v/>
      </c>
      <c r="F1635" s="147"/>
      <c r="G1635" s="80"/>
      <c r="H1635" s="83"/>
      <c r="I1635" s="148" t="str">
        <f aca="false">IF(B1635="","",IFERROR(INDEX('CARNET DE SOUDURE'!$B$7:$B$3006,MATCH(B1635,'CARNET DE SOUDURE'!$L$7:$L$3006,0)),IFERROR(INDEX('CARNET DE SOUDURE'!$B$7:$B$3006,MATCH(B1635,'CARNET DE SOUDURE'!$O$7:$O$3006,0)),"")))</f>
        <v/>
      </c>
      <c r="J1635" s="82" t="str">
        <f aca="false">IF(B1635="","",IFERROR(INDEX('CARNET DE SOUDURE'!$E$7:$E$3006,MATCH(B1635,'CARNET DE SOUDURE'!$O$7:$O$3006,0)),""))</f>
        <v/>
      </c>
      <c r="K1635" s="82" t="str">
        <f aca="false">IF(B1635="","",IFERROR(INDEX('CARNET DE SOUDURE'!$E$7:$E$3006,MATCH(B1635,'CARNET DE SOUDURE'!$L$7:$L$3006,0)),""))</f>
        <v/>
      </c>
      <c r="L1635" s="82" t="str">
        <f aca="false">IF(B1635="","",IFERROR(INDEX('CARNET DE SOUDURE'!$D$7:$D$3006,MATCH(B1635,'CARNET DE SOUDURE'!$L$7:$L$3006,0)),IFERROR(INDEX('CARNET DE SOUDURE'!$D$7:$D$3006,MATCH(B1635,'CARNET DE SOUDURE'!$O$7:$O$3006,0)),"")))</f>
        <v/>
      </c>
      <c r="M1635" s="82" t="str">
        <f aca="false">IF(B1635="","",IF(OR(J1635&lt;&gt;"",K1635&lt;&gt;""),"POSÉ EN LIGNE",IF(COUNTIF(BARDAGE!$C$1:$C$5000,B1635)&gt;0,"BARDÉ","EN STOCK")))</f>
        <v/>
      </c>
      <c r="N1635" s="80"/>
    </row>
    <row r="1636" customFormat="false" ht="15" hidden="false" customHeight="false" outlineLevel="0" collapsed="false">
      <c r="A1636" s="82" t="str">
        <f aca="false">IF(B1636="","",ROW()-6)</f>
        <v/>
      </c>
      <c r="B1636" s="145"/>
      <c r="C1636" s="146"/>
      <c r="D1636" s="146"/>
      <c r="E1636" s="82" t="str">
        <f aca="false">IF(B1636="","",IF(COUNTIFS('CARNET DE SOUDURE'!$L$7:$L$3006,B1636,'CARNET DE SOUDURE'!$M$7:$M$3006,"&lt;&gt;"&amp;C1636,'CARNET DE SOUDURE'!$M$7:$M$3006,"&lt;&gt;")+COUNTIFS('CARNET DE SOUDURE'!$O$7:$O$3006,B1636,'CARNET DE SOUDURE'!$P$7:$P$3006,"&lt;&gt;"&amp;C1636,'CARNET DE SOUDURE'!$P$7:$P$3006,"&lt;&gt;")&gt;0,"⚠ DIFFÉRENTE","OK"))</f>
        <v/>
      </c>
      <c r="F1636" s="147"/>
      <c r="G1636" s="80"/>
      <c r="H1636" s="83"/>
      <c r="I1636" s="148" t="str">
        <f aca="false">IF(B1636="","",IFERROR(INDEX('CARNET DE SOUDURE'!$B$7:$B$3006,MATCH(B1636,'CARNET DE SOUDURE'!$L$7:$L$3006,0)),IFERROR(INDEX('CARNET DE SOUDURE'!$B$7:$B$3006,MATCH(B1636,'CARNET DE SOUDURE'!$O$7:$O$3006,0)),"")))</f>
        <v/>
      </c>
      <c r="J1636" s="82" t="str">
        <f aca="false">IF(B1636="","",IFERROR(INDEX('CARNET DE SOUDURE'!$E$7:$E$3006,MATCH(B1636,'CARNET DE SOUDURE'!$O$7:$O$3006,0)),""))</f>
        <v/>
      </c>
      <c r="K1636" s="82" t="str">
        <f aca="false">IF(B1636="","",IFERROR(INDEX('CARNET DE SOUDURE'!$E$7:$E$3006,MATCH(B1636,'CARNET DE SOUDURE'!$L$7:$L$3006,0)),""))</f>
        <v/>
      </c>
      <c r="L1636" s="82" t="str">
        <f aca="false">IF(B1636="","",IFERROR(INDEX('CARNET DE SOUDURE'!$D$7:$D$3006,MATCH(B1636,'CARNET DE SOUDURE'!$L$7:$L$3006,0)),IFERROR(INDEX('CARNET DE SOUDURE'!$D$7:$D$3006,MATCH(B1636,'CARNET DE SOUDURE'!$O$7:$O$3006,0)),"")))</f>
        <v/>
      </c>
      <c r="M1636" s="82" t="str">
        <f aca="false">IF(B1636="","",IF(OR(J1636&lt;&gt;"",K1636&lt;&gt;""),"POSÉ EN LIGNE",IF(COUNTIF(BARDAGE!$C$1:$C$5000,B1636)&gt;0,"BARDÉ","EN STOCK")))</f>
        <v/>
      </c>
      <c r="N1636" s="80"/>
    </row>
    <row r="1637" customFormat="false" ht="15" hidden="false" customHeight="false" outlineLevel="0" collapsed="false">
      <c r="A1637" s="82" t="str">
        <f aca="false">IF(B1637="","",ROW()-6)</f>
        <v/>
      </c>
      <c r="B1637" s="145"/>
      <c r="C1637" s="146"/>
      <c r="D1637" s="146"/>
      <c r="E1637" s="82" t="str">
        <f aca="false">IF(B1637="","",IF(COUNTIFS('CARNET DE SOUDURE'!$L$7:$L$3006,B1637,'CARNET DE SOUDURE'!$M$7:$M$3006,"&lt;&gt;"&amp;C1637,'CARNET DE SOUDURE'!$M$7:$M$3006,"&lt;&gt;")+COUNTIFS('CARNET DE SOUDURE'!$O$7:$O$3006,B1637,'CARNET DE SOUDURE'!$P$7:$P$3006,"&lt;&gt;"&amp;C1637,'CARNET DE SOUDURE'!$P$7:$P$3006,"&lt;&gt;")&gt;0,"⚠ DIFFÉRENTE","OK"))</f>
        <v/>
      </c>
      <c r="F1637" s="147"/>
      <c r="G1637" s="80"/>
      <c r="H1637" s="83"/>
      <c r="I1637" s="148" t="str">
        <f aca="false">IF(B1637="","",IFERROR(INDEX('CARNET DE SOUDURE'!$B$7:$B$3006,MATCH(B1637,'CARNET DE SOUDURE'!$L$7:$L$3006,0)),IFERROR(INDEX('CARNET DE SOUDURE'!$B$7:$B$3006,MATCH(B1637,'CARNET DE SOUDURE'!$O$7:$O$3006,0)),"")))</f>
        <v/>
      </c>
      <c r="J1637" s="82" t="str">
        <f aca="false">IF(B1637="","",IFERROR(INDEX('CARNET DE SOUDURE'!$E$7:$E$3006,MATCH(B1637,'CARNET DE SOUDURE'!$O$7:$O$3006,0)),""))</f>
        <v/>
      </c>
      <c r="K1637" s="82" t="str">
        <f aca="false">IF(B1637="","",IFERROR(INDEX('CARNET DE SOUDURE'!$E$7:$E$3006,MATCH(B1637,'CARNET DE SOUDURE'!$L$7:$L$3006,0)),""))</f>
        <v/>
      </c>
      <c r="L1637" s="82" t="str">
        <f aca="false">IF(B1637="","",IFERROR(INDEX('CARNET DE SOUDURE'!$D$7:$D$3006,MATCH(B1637,'CARNET DE SOUDURE'!$L$7:$L$3006,0)),IFERROR(INDEX('CARNET DE SOUDURE'!$D$7:$D$3006,MATCH(B1637,'CARNET DE SOUDURE'!$O$7:$O$3006,0)),"")))</f>
        <v/>
      </c>
      <c r="M1637" s="82" t="str">
        <f aca="false">IF(B1637="","",IF(OR(J1637&lt;&gt;"",K1637&lt;&gt;""),"POSÉ EN LIGNE",IF(COUNTIF(BARDAGE!$C$1:$C$5000,B1637)&gt;0,"BARDÉ","EN STOCK")))</f>
        <v/>
      </c>
      <c r="N1637" s="80"/>
    </row>
    <row r="1638" customFormat="false" ht="15" hidden="false" customHeight="false" outlineLevel="0" collapsed="false">
      <c r="A1638" s="82" t="str">
        <f aca="false">IF(B1638="","",ROW()-6)</f>
        <v/>
      </c>
      <c r="B1638" s="145"/>
      <c r="C1638" s="146"/>
      <c r="D1638" s="146"/>
      <c r="E1638" s="82" t="str">
        <f aca="false">IF(B1638="","",IF(COUNTIFS('CARNET DE SOUDURE'!$L$7:$L$3006,B1638,'CARNET DE SOUDURE'!$M$7:$M$3006,"&lt;&gt;"&amp;C1638,'CARNET DE SOUDURE'!$M$7:$M$3006,"&lt;&gt;")+COUNTIFS('CARNET DE SOUDURE'!$O$7:$O$3006,B1638,'CARNET DE SOUDURE'!$P$7:$P$3006,"&lt;&gt;"&amp;C1638,'CARNET DE SOUDURE'!$P$7:$P$3006,"&lt;&gt;")&gt;0,"⚠ DIFFÉRENTE","OK"))</f>
        <v/>
      </c>
      <c r="F1638" s="147"/>
      <c r="G1638" s="80"/>
      <c r="H1638" s="83"/>
      <c r="I1638" s="148" t="str">
        <f aca="false">IF(B1638="","",IFERROR(INDEX('CARNET DE SOUDURE'!$B$7:$B$3006,MATCH(B1638,'CARNET DE SOUDURE'!$L$7:$L$3006,0)),IFERROR(INDEX('CARNET DE SOUDURE'!$B$7:$B$3006,MATCH(B1638,'CARNET DE SOUDURE'!$O$7:$O$3006,0)),"")))</f>
        <v/>
      </c>
      <c r="J1638" s="82" t="str">
        <f aca="false">IF(B1638="","",IFERROR(INDEX('CARNET DE SOUDURE'!$E$7:$E$3006,MATCH(B1638,'CARNET DE SOUDURE'!$O$7:$O$3006,0)),""))</f>
        <v/>
      </c>
      <c r="K1638" s="82" t="str">
        <f aca="false">IF(B1638="","",IFERROR(INDEX('CARNET DE SOUDURE'!$E$7:$E$3006,MATCH(B1638,'CARNET DE SOUDURE'!$L$7:$L$3006,0)),""))</f>
        <v/>
      </c>
      <c r="L1638" s="82" t="str">
        <f aca="false">IF(B1638="","",IFERROR(INDEX('CARNET DE SOUDURE'!$D$7:$D$3006,MATCH(B1638,'CARNET DE SOUDURE'!$L$7:$L$3006,0)),IFERROR(INDEX('CARNET DE SOUDURE'!$D$7:$D$3006,MATCH(B1638,'CARNET DE SOUDURE'!$O$7:$O$3006,0)),"")))</f>
        <v/>
      </c>
      <c r="M1638" s="82" t="str">
        <f aca="false">IF(B1638="","",IF(OR(J1638&lt;&gt;"",K1638&lt;&gt;""),"POSÉ EN LIGNE",IF(COUNTIF(BARDAGE!$C$1:$C$5000,B1638)&gt;0,"BARDÉ","EN STOCK")))</f>
        <v/>
      </c>
      <c r="N1638" s="80"/>
    </row>
    <row r="1639" customFormat="false" ht="15" hidden="false" customHeight="false" outlineLevel="0" collapsed="false">
      <c r="A1639" s="82" t="str">
        <f aca="false">IF(B1639="","",ROW()-6)</f>
        <v/>
      </c>
      <c r="B1639" s="145"/>
      <c r="C1639" s="146"/>
      <c r="D1639" s="146"/>
      <c r="E1639" s="82" t="str">
        <f aca="false">IF(B1639="","",IF(COUNTIFS('CARNET DE SOUDURE'!$L$7:$L$3006,B1639,'CARNET DE SOUDURE'!$M$7:$M$3006,"&lt;&gt;"&amp;C1639,'CARNET DE SOUDURE'!$M$7:$M$3006,"&lt;&gt;")+COUNTIFS('CARNET DE SOUDURE'!$O$7:$O$3006,B1639,'CARNET DE SOUDURE'!$P$7:$P$3006,"&lt;&gt;"&amp;C1639,'CARNET DE SOUDURE'!$P$7:$P$3006,"&lt;&gt;")&gt;0,"⚠ DIFFÉRENTE","OK"))</f>
        <v/>
      </c>
      <c r="F1639" s="147"/>
      <c r="G1639" s="80"/>
      <c r="H1639" s="83"/>
      <c r="I1639" s="148" t="str">
        <f aca="false">IF(B1639="","",IFERROR(INDEX('CARNET DE SOUDURE'!$B$7:$B$3006,MATCH(B1639,'CARNET DE SOUDURE'!$L$7:$L$3006,0)),IFERROR(INDEX('CARNET DE SOUDURE'!$B$7:$B$3006,MATCH(B1639,'CARNET DE SOUDURE'!$O$7:$O$3006,0)),"")))</f>
        <v/>
      </c>
      <c r="J1639" s="82" t="str">
        <f aca="false">IF(B1639="","",IFERROR(INDEX('CARNET DE SOUDURE'!$E$7:$E$3006,MATCH(B1639,'CARNET DE SOUDURE'!$O$7:$O$3006,0)),""))</f>
        <v/>
      </c>
      <c r="K1639" s="82" t="str">
        <f aca="false">IF(B1639="","",IFERROR(INDEX('CARNET DE SOUDURE'!$E$7:$E$3006,MATCH(B1639,'CARNET DE SOUDURE'!$L$7:$L$3006,0)),""))</f>
        <v/>
      </c>
      <c r="L1639" s="82" t="str">
        <f aca="false">IF(B1639="","",IFERROR(INDEX('CARNET DE SOUDURE'!$D$7:$D$3006,MATCH(B1639,'CARNET DE SOUDURE'!$L$7:$L$3006,0)),IFERROR(INDEX('CARNET DE SOUDURE'!$D$7:$D$3006,MATCH(B1639,'CARNET DE SOUDURE'!$O$7:$O$3006,0)),"")))</f>
        <v/>
      </c>
      <c r="M1639" s="82" t="str">
        <f aca="false">IF(B1639="","",IF(OR(J1639&lt;&gt;"",K1639&lt;&gt;""),"POSÉ EN LIGNE",IF(COUNTIF(BARDAGE!$C$1:$C$5000,B1639)&gt;0,"BARDÉ","EN STOCK")))</f>
        <v/>
      </c>
      <c r="N1639" s="80"/>
    </row>
    <row r="1640" customFormat="false" ht="15" hidden="false" customHeight="false" outlineLevel="0" collapsed="false">
      <c r="A1640" s="82" t="str">
        <f aca="false">IF(B1640="","",ROW()-6)</f>
        <v/>
      </c>
      <c r="B1640" s="145"/>
      <c r="C1640" s="146"/>
      <c r="D1640" s="146"/>
      <c r="E1640" s="82" t="str">
        <f aca="false">IF(B1640="","",IF(COUNTIFS('CARNET DE SOUDURE'!$L$7:$L$3006,B1640,'CARNET DE SOUDURE'!$M$7:$M$3006,"&lt;&gt;"&amp;C1640,'CARNET DE SOUDURE'!$M$7:$M$3006,"&lt;&gt;")+COUNTIFS('CARNET DE SOUDURE'!$O$7:$O$3006,B1640,'CARNET DE SOUDURE'!$P$7:$P$3006,"&lt;&gt;"&amp;C1640,'CARNET DE SOUDURE'!$P$7:$P$3006,"&lt;&gt;")&gt;0,"⚠ DIFFÉRENTE","OK"))</f>
        <v/>
      </c>
      <c r="F1640" s="147"/>
      <c r="G1640" s="80"/>
      <c r="H1640" s="83"/>
      <c r="I1640" s="148" t="str">
        <f aca="false">IF(B1640="","",IFERROR(INDEX('CARNET DE SOUDURE'!$B$7:$B$3006,MATCH(B1640,'CARNET DE SOUDURE'!$L$7:$L$3006,0)),IFERROR(INDEX('CARNET DE SOUDURE'!$B$7:$B$3006,MATCH(B1640,'CARNET DE SOUDURE'!$O$7:$O$3006,0)),"")))</f>
        <v/>
      </c>
      <c r="J1640" s="82" t="str">
        <f aca="false">IF(B1640="","",IFERROR(INDEX('CARNET DE SOUDURE'!$E$7:$E$3006,MATCH(B1640,'CARNET DE SOUDURE'!$O$7:$O$3006,0)),""))</f>
        <v/>
      </c>
      <c r="K1640" s="82" t="str">
        <f aca="false">IF(B1640="","",IFERROR(INDEX('CARNET DE SOUDURE'!$E$7:$E$3006,MATCH(B1640,'CARNET DE SOUDURE'!$L$7:$L$3006,0)),""))</f>
        <v/>
      </c>
      <c r="L1640" s="82" t="str">
        <f aca="false">IF(B1640="","",IFERROR(INDEX('CARNET DE SOUDURE'!$D$7:$D$3006,MATCH(B1640,'CARNET DE SOUDURE'!$L$7:$L$3006,0)),IFERROR(INDEX('CARNET DE SOUDURE'!$D$7:$D$3006,MATCH(B1640,'CARNET DE SOUDURE'!$O$7:$O$3006,0)),"")))</f>
        <v/>
      </c>
      <c r="M1640" s="82" t="str">
        <f aca="false">IF(B1640="","",IF(OR(J1640&lt;&gt;"",K1640&lt;&gt;""),"POSÉ EN LIGNE",IF(COUNTIF(BARDAGE!$C$1:$C$5000,B1640)&gt;0,"BARDÉ","EN STOCK")))</f>
        <v/>
      </c>
      <c r="N1640" s="80"/>
    </row>
    <row r="1641" customFormat="false" ht="15" hidden="false" customHeight="false" outlineLevel="0" collapsed="false">
      <c r="A1641" s="82" t="str">
        <f aca="false">IF(B1641="","",ROW()-6)</f>
        <v/>
      </c>
      <c r="B1641" s="145"/>
      <c r="C1641" s="146"/>
      <c r="D1641" s="146"/>
      <c r="E1641" s="82" t="str">
        <f aca="false">IF(B1641="","",IF(COUNTIFS('CARNET DE SOUDURE'!$L$7:$L$3006,B1641,'CARNET DE SOUDURE'!$M$7:$M$3006,"&lt;&gt;"&amp;C1641,'CARNET DE SOUDURE'!$M$7:$M$3006,"&lt;&gt;")+COUNTIFS('CARNET DE SOUDURE'!$O$7:$O$3006,B1641,'CARNET DE SOUDURE'!$P$7:$P$3006,"&lt;&gt;"&amp;C1641,'CARNET DE SOUDURE'!$P$7:$P$3006,"&lt;&gt;")&gt;0,"⚠ DIFFÉRENTE","OK"))</f>
        <v/>
      </c>
      <c r="F1641" s="147"/>
      <c r="G1641" s="80"/>
      <c r="H1641" s="83"/>
      <c r="I1641" s="148" t="str">
        <f aca="false">IF(B1641="","",IFERROR(INDEX('CARNET DE SOUDURE'!$B$7:$B$3006,MATCH(B1641,'CARNET DE SOUDURE'!$L$7:$L$3006,0)),IFERROR(INDEX('CARNET DE SOUDURE'!$B$7:$B$3006,MATCH(B1641,'CARNET DE SOUDURE'!$O$7:$O$3006,0)),"")))</f>
        <v/>
      </c>
      <c r="J1641" s="82" t="str">
        <f aca="false">IF(B1641="","",IFERROR(INDEX('CARNET DE SOUDURE'!$E$7:$E$3006,MATCH(B1641,'CARNET DE SOUDURE'!$O$7:$O$3006,0)),""))</f>
        <v/>
      </c>
      <c r="K1641" s="82" t="str">
        <f aca="false">IF(B1641="","",IFERROR(INDEX('CARNET DE SOUDURE'!$E$7:$E$3006,MATCH(B1641,'CARNET DE SOUDURE'!$L$7:$L$3006,0)),""))</f>
        <v/>
      </c>
      <c r="L1641" s="82" t="str">
        <f aca="false">IF(B1641="","",IFERROR(INDEX('CARNET DE SOUDURE'!$D$7:$D$3006,MATCH(B1641,'CARNET DE SOUDURE'!$L$7:$L$3006,0)),IFERROR(INDEX('CARNET DE SOUDURE'!$D$7:$D$3006,MATCH(B1641,'CARNET DE SOUDURE'!$O$7:$O$3006,0)),"")))</f>
        <v/>
      </c>
      <c r="M1641" s="82" t="str">
        <f aca="false">IF(B1641="","",IF(OR(J1641&lt;&gt;"",K1641&lt;&gt;""),"POSÉ EN LIGNE",IF(COUNTIF(BARDAGE!$C$1:$C$5000,B1641)&gt;0,"BARDÉ","EN STOCK")))</f>
        <v/>
      </c>
      <c r="N1641" s="80"/>
    </row>
    <row r="1642" customFormat="false" ht="15" hidden="false" customHeight="false" outlineLevel="0" collapsed="false">
      <c r="A1642" s="82" t="str">
        <f aca="false">IF(B1642="","",ROW()-6)</f>
        <v/>
      </c>
      <c r="B1642" s="145"/>
      <c r="C1642" s="146"/>
      <c r="D1642" s="146"/>
      <c r="E1642" s="82" t="str">
        <f aca="false">IF(B1642="","",IF(COUNTIFS('CARNET DE SOUDURE'!$L$7:$L$3006,B1642,'CARNET DE SOUDURE'!$M$7:$M$3006,"&lt;&gt;"&amp;C1642,'CARNET DE SOUDURE'!$M$7:$M$3006,"&lt;&gt;")+COUNTIFS('CARNET DE SOUDURE'!$O$7:$O$3006,B1642,'CARNET DE SOUDURE'!$P$7:$P$3006,"&lt;&gt;"&amp;C1642,'CARNET DE SOUDURE'!$P$7:$P$3006,"&lt;&gt;")&gt;0,"⚠ DIFFÉRENTE","OK"))</f>
        <v/>
      </c>
      <c r="F1642" s="147"/>
      <c r="G1642" s="80"/>
      <c r="H1642" s="83"/>
      <c r="I1642" s="148" t="str">
        <f aca="false">IF(B1642="","",IFERROR(INDEX('CARNET DE SOUDURE'!$B$7:$B$3006,MATCH(B1642,'CARNET DE SOUDURE'!$L$7:$L$3006,0)),IFERROR(INDEX('CARNET DE SOUDURE'!$B$7:$B$3006,MATCH(B1642,'CARNET DE SOUDURE'!$O$7:$O$3006,0)),"")))</f>
        <v/>
      </c>
      <c r="J1642" s="82" t="str">
        <f aca="false">IF(B1642="","",IFERROR(INDEX('CARNET DE SOUDURE'!$E$7:$E$3006,MATCH(B1642,'CARNET DE SOUDURE'!$O$7:$O$3006,0)),""))</f>
        <v/>
      </c>
      <c r="K1642" s="82" t="str">
        <f aca="false">IF(B1642="","",IFERROR(INDEX('CARNET DE SOUDURE'!$E$7:$E$3006,MATCH(B1642,'CARNET DE SOUDURE'!$L$7:$L$3006,0)),""))</f>
        <v/>
      </c>
      <c r="L1642" s="82" t="str">
        <f aca="false">IF(B1642="","",IFERROR(INDEX('CARNET DE SOUDURE'!$D$7:$D$3006,MATCH(B1642,'CARNET DE SOUDURE'!$L$7:$L$3006,0)),IFERROR(INDEX('CARNET DE SOUDURE'!$D$7:$D$3006,MATCH(B1642,'CARNET DE SOUDURE'!$O$7:$O$3006,0)),"")))</f>
        <v/>
      </c>
      <c r="M1642" s="82" t="str">
        <f aca="false">IF(B1642="","",IF(OR(J1642&lt;&gt;"",K1642&lt;&gt;""),"POSÉ EN LIGNE",IF(COUNTIF(BARDAGE!$C$1:$C$5000,B1642)&gt;0,"BARDÉ","EN STOCK")))</f>
        <v/>
      </c>
      <c r="N1642" s="80"/>
    </row>
    <row r="1643" customFormat="false" ht="15" hidden="false" customHeight="false" outlineLevel="0" collapsed="false">
      <c r="A1643" s="82" t="str">
        <f aca="false">IF(B1643="","",ROW()-6)</f>
        <v/>
      </c>
      <c r="B1643" s="145"/>
      <c r="C1643" s="146"/>
      <c r="D1643" s="146"/>
      <c r="E1643" s="82" t="str">
        <f aca="false">IF(B1643="","",IF(COUNTIFS('CARNET DE SOUDURE'!$L$7:$L$3006,B1643,'CARNET DE SOUDURE'!$M$7:$M$3006,"&lt;&gt;"&amp;C1643,'CARNET DE SOUDURE'!$M$7:$M$3006,"&lt;&gt;")+COUNTIFS('CARNET DE SOUDURE'!$O$7:$O$3006,B1643,'CARNET DE SOUDURE'!$P$7:$P$3006,"&lt;&gt;"&amp;C1643,'CARNET DE SOUDURE'!$P$7:$P$3006,"&lt;&gt;")&gt;0,"⚠ DIFFÉRENTE","OK"))</f>
        <v/>
      </c>
      <c r="F1643" s="147"/>
      <c r="G1643" s="80"/>
      <c r="H1643" s="83"/>
      <c r="I1643" s="148" t="str">
        <f aca="false">IF(B1643="","",IFERROR(INDEX('CARNET DE SOUDURE'!$B$7:$B$3006,MATCH(B1643,'CARNET DE SOUDURE'!$L$7:$L$3006,0)),IFERROR(INDEX('CARNET DE SOUDURE'!$B$7:$B$3006,MATCH(B1643,'CARNET DE SOUDURE'!$O$7:$O$3006,0)),"")))</f>
        <v/>
      </c>
      <c r="J1643" s="82" t="str">
        <f aca="false">IF(B1643="","",IFERROR(INDEX('CARNET DE SOUDURE'!$E$7:$E$3006,MATCH(B1643,'CARNET DE SOUDURE'!$O$7:$O$3006,0)),""))</f>
        <v/>
      </c>
      <c r="K1643" s="82" t="str">
        <f aca="false">IF(B1643="","",IFERROR(INDEX('CARNET DE SOUDURE'!$E$7:$E$3006,MATCH(B1643,'CARNET DE SOUDURE'!$L$7:$L$3006,0)),""))</f>
        <v/>
      </c>
      <c r="L1643" s="82" t="str">
        <f aca="false">IF(B1643="","",IFERROR(INDEX('CARNET DE SOUDURE'!$D$7:$D$3006,MATCH(B1643,'CARNET DE SOUDURE'!$L$7:$L$3006,0)),IFERROR(INDEX('CARNET DE SOUDURE'!$D$7:$D$3006,MATCH(B1643,'CARNET DE SOUDURE'!$O$7:$O$3006,0)),"")))</f>
        <v/>
      </c>
      <c r="M1643" s="82" t="str">
        <f aca="false">IF(B1643="","",IF(OR(J1643&lt;&gt;"",K1643&lt;&gt;""),"POSÉ EN LIGNE",IF(COUNTIF(BARDAGE!$C$1:$C$5000,B1643)&gt;0,"BARDÉ","EN STOCK")))</f>
        <v/>
      </c>
      <c r="N1643" s="80"/>
    </row>
    <row r="1644" customFormat="false" ht="15" hidden="false" customHeight="false" outlineLevel="0" collapsed="false">
      <c r="A1644" s="82" t="str">
        <f aca="false">IF(B1644="","",ROW()-6)</f>
        <v/>
      </c>
      <c r="B1644" s="145"/>
      <c r="C1644" s="146"/>
      <c r="D1644" s="146"/>
      <c r="E1644" s="82" t="str">
        <f aca="false">IF(B1644="","",IF(COUNTIFS('CARNET DE SOUDURE'!$L$7:$L$3006,B1644,'CARNET DE SOUDURE'!$M$7:$M$3006,"&lt;&gt;"&amp;C1644,'CARNET DE SOUDURE'!$M$7:$M$3006,"&lt;&gt;")+COUNTIFS('CARNET DE SOUDURE'!$O$7:$O$3006,B1644,'CARNET DE SOUDURE'!$P$7:$P$3006,"&lt;&gt;"&amp;C1644,'CARNET DE SOUDURE'!$P$7:$P$3006,"&lt;&gt;")&gt;0,"⚠ DIFFÉRENTE","OK"))</f>
        <v/>
      </c>
      <c r="F1644" s="147"/>
      <c r="G1644" s="80"/>
      <c r="H1644" s="83"/>
      <c r="I1644" s="148" t="str">
        <f aca="false">IF(B1644="","",IFERROR(INDEX('CARNET DE SOUDURE'!$B$7:$B$3006,MATCH(B1644,'CARNET DE SOUDURE'!$L$7:$L$3006,0)),IFERROR(INDEX('CARNET DE SOUDURE'!$B$7:$B$3006,MATCH(B1644,'CARNET DE SOUDURE'!$O$7:$O$3006,0)),"")))</f>
        <v/>
      </c>
      <c r="J1644" s="82" t="str">
        <f aca="false">IF(B1644="","",IFERROR(INDEX('CARNET DE SOUDURE'!$E$7:$E$3006,MATCH(B1644,'CARNET DE SOUDURE'!$O$7:$O$3006,0)),""))</f>
        <v/>
      </c>
      <c r="K1644" s="82" t="str">
        <f aca="false">IF(B1644="","",IFERROR(INDEX('CARNET DE SOUDURE'!$E$7:$E$3006,MATCH(B1644,'CARNET DE SOUDURE'!$L$7:$L$3006,0)),""))</f>
        <v/>
      </c>
      <c r="L1644" s="82" t="str">
        <f aca="false">IF(B1644="","",IFERROR(INDEX('CARNET DE SOUDURE'!$D$7:$D$3006,MATCH(B1644,'CARNET DE SOUDURE'!$L$7:$L$3006,0)),IFERROR(INDEX('CARNET DE SOUDURE'!$D$7:$D$3006,MATCH(B1644,'CARNET DE SOUDURE'!$O$7:$O$3006,0)),"")))</f>
        <v/>
      </c>
      <c r="M1644" s="82" t="str">
        <f aca="false">IF(B1644="","",IF(OR(J1644&lt;&gt;"",K1644&lt;&gt;""),"POSÉ EN LIGNE",IF(COUNTIF(BARDAGE!$C$1:$C$5000,B1644)&gt;0,"BARDÉ","EN STOCK")))</f>
        <v/>
      </c>
      <c r="N1644" s="80"/>
    </row>
    <row r="1645" customFormat="false" ht="15" hidden="false" customHeight="false" outlineLevel="0" collapsed="false">
      <c r="A1645" s="82" t="str">
        <f aca="false">IF(B1645="","",ROW()-6)</f>
        <v/>
      </c>
      <c r="B1645" s="145"/>
      <c r="C1645" s="146"/>
      <c r="D1645" s="146"/>
      <c r="E1645" s="82" t="str">
        <f aca="false">IF(B1645="","",IF(COUNTIFS('CARNET DE SOUDURE'!$L$7:$L$3006,B1645,'CARNET DE SOUDURE'!$M$7:$M$3006,"&lt;&gt;"&amp;C1645,'CARNET DE SOUDURE'!$M$7:$M$3006,"&lt;&gt;")+COUNTIFS('CARNET DE SOUDURE'!$O$7:$O$3006,B1645,'CARNET DE SOUDURE'!$P$7:$P$3006,"&lt;&gt;"&amp;C1645,'CARNET DE SOUDURE'!$P$7:$P$3006,"&lt;&gt;")&gt;0,"⚠ DIFFÉRENTE","OK"))</f>
        <v/>
      </c>
      <c r="F1645" s="147"/>
      <c r="G1645" s="80"/>
      <c r="H1645" s="83"/>
      <c r="I1645" s="148" t="str">
        <f aca="false">IF(B1645="","",IFERROR(INDEX('CARNET DE SOUDURE'!$B$7:$B$3006,MATCH(B1645,'CARNET DE SOUDURE'!$L$7:$L$3006,0)),IFERROR(INDEX('CARNET DE SOUDURE'!$B$7:$B$3006,MATCH(B1645,'CARNET DE SOUDURE'!$O$7:$O$3006,0)),"")))</f>
        <v/>
      </c>
      <c r="J1645" s="82" t="str">
        <f aca="false">IF(B1645="","",IFERROR(INDEX('CARNET DE SOUDURE'!$E$7:$E$3006,MATCH(B1645,'CARNET DE SOUDURE'!$O$7:$O$3006,0)),""))</f>
        <v/>
      </c>
      <c r="K1645" s="82" t="str">
        <f aca="false">IF(B1645="","",IFERROR(INDEX('CARNET DE SOUDURE'!$E$7:$E$3006,MATCH(B1645,'CARNET DE SOUDURE'!$L$7:$L$3006,0)),""))</f>
        <v/>
      </c>
      <c r="L1645" s="82" t="str">
        <f aca="false">IF(B1645="","",IFERROR(INDEX('CARNET DE SOUDURE'!$D$7:$D$3006,MATCH(B1645,'CARNET DE SOUDURE'!$L$7:$L$3006,0)),IFERROR(INDEX('CARNET DE SOUDURE'!$D$7:$D$3006,MATCH(B1645,'CARNET DE SOUDURE'!$O$7:$O$3006,0)),"")))</f>
        <v/>
      </c>
      <c r="M1645" s="82" t="str">
        <f aca="false">IF(B1645="","",IF(OR(J1645&lt;&gt;"",K1645&lt;&gt;""),"POSÉ EN LIGNE",IF(COUNTIF(BARDAGE!$C$1:$C$5000,B1645)&gt;0,"BARDÉ","EN STOCK")))</f>
        <v/>
      </c>
      <c r="N1645" s="80"/>
    </row>
    <row r="1646" customFormat="false" ht="15" hidden="false" customHeight="false" outlineLevel="0" collapsed="false">
      <c r="A1646" s="82" t="str">
        <f aca="false">IF(B1646="","",ROW()-6)</f>
        <v/>
      </c>
      <c r="B1646" s="145"/>
      <c r="C1646" s="146"/>
      <c r="D1646" s="146"/>
      <c r="E1646" s="82" t="str">
        <f aca="false">IF(B1646="","",IF(COUNTIFS('CARNET DE SOUDURE'!$L$7:$L$3006,B1646,'CARNET DE SOUDURE'!$M$7:$M$3006,"&lt;&gt;"&amp;C1646,'CARNET DE SOUDURE'!$M$7:$M$3006,"&lt;&gt;")+COUNTIFS('CARNET DE SOUDURE'!$O$7:$O$3006,B1646,'CARNET DE SOUDURE'!$P$7:$P$3006,"&lt;&gt;"&amp;C1646,'CARNET DE SOUDURE'!$P$7:$P$3006,"&lt;&gt;")&gt;0,"⚠ DIFFÉRENTE","OK"))</f>
        <v/>
      </c>
      <c r="F1646" s="147"/>
      <c r="G1646" s="80"/>
      <c r="H1646" s="83"/>
      <c r="I1646" s="148" t="str">
        <f aca="false">IF(B1646="","",IFERROR(INDEX('CARNET DE SOUDURE'!$B$7:$B$3006,MATCH(B1646,'CARNET DE SOUDURE'!$L$7:$L$3006,0)),IFERROR(INDEX('CARNET DE SOUDURE'!$B$7:$B$3006,MATCH(B1646,'CARNET DE SOUDURE'!$O$7:$O$3006,0)),"")))</f>
        <v/>
      </c>
      <c r="J1646" s="82" t="str">
        <f aca="false">IF(B1646="","",IFERROR(INDEX('CARNET DE SOUDURE'!$E$7:$E$3006,MATCH(B1646,'CARNET DE SOUDURE'!$O$7:$O$3006,0)),""))</f>
        <v/>
      </c>
      <c r="K1646" s="82" t="str">
        <f aca="false">IF(B1646="","",IFERROR(INDEX('CARNET DE SOUDURE'!$E$7:$E$3006,MATCH(B1646,'CARNET DE SOUDURE'!$L$7:$L$3006,0)),""))</f>
        <v/>
      </c>
      <c r="L1646" s="82" t="str">
        <f aca="false">IF(B1646="","",IFERROR(INDEX('CARNET DE SOUDURE'!$D$7:$D$3006,MATCH(B1646,'CARNET DE SOUDURE'!$L$7:$L$3006,0)),IFERROR(INDEX('CARNET DE SOUDURE'!$D$7:$D$3006,MATCH(B1646,'CARNET DE SOUDURE'!$O$7:$O$3006,0)),"")))</f>
        <v/>
      </c>
      <c r="M1646" s="82" t="str">
        <f aca="false">IF(B1646="","",IF(OR(J1646&lt;&gt;"",K1646&lt;&gt;""),"POSÉ EN LIGNE",IF(COUNTIF(BARDAGE!$C$1:$C$5000,B1646)&gt;0,"BARDÉ","EN STOCK")))</f>
        <v/>
      </c>
      <c r="N1646" s="80"/>
    </row>
    <row r="1647" customFormat="false" ht="15" hidden="false" customHeight="false" outlineLevel="0" collapsed="false">
      <c r="A1647" s="82" t="str">
        <f aca="false">IF(B1647="","",ROW()-6)</f>
        <v/>
      </c>
      <c r="B1647" s="145"/>
      <c r="C1647" s="146"/>
      <c r="D1647" s="146"/>
      <c r="E1647" s="82" t="str">
        <f aca="false">IF(B1647="","",IF(COUNTIFS('CARNET DE SOUDURE'!$L$7:$L$3006,B1647,'CARNET DE SOUDURE'!$M$7:$M$3006,"&lt;&gt;"&amp;C1647,'CARNET DE SOUDURE'!$M$7:$M$3006,"&lt;&gt;")+COUNTIFS('CARNET DE SOUDURE'!$O$7:$O$3006,B1647,'CARNET DE SOUDURE'!$P$7:$P$3006,"&lt;&gt;"&amp;C1647,'CARNET DE SOUDURE'!$P$7:$P$3006,"&lt;&gt;")&gt;0,"⚠ DIFFÉRENTE","OK"))</f>
        <v/>
      </c>
      <c r="F1647" s="147"/>
      <c r="G1647" s="80"/>
      <c r="H1647" s="83"/>
      <c r="I1647" s="148" t="str">
        <f aca="false">IF(B1647="","",IFERROR(INDEX('CARNET DE SOUDURE'!$B$7:$B$3006,MATCH(B1647,'CARNET DE SOUDURE'!$L$7:$L$3006,0)),IFERROR(INDEX('CARNET DE SOUDURE'!$B$7:$B$3006,MATCH(B1647,'CARNET DE SOUDURE'!$O$7:$O$3006,0)),"")))</f>
        <v/>
      </c>
      <c r="J1647" s="82" t="str">
        <f aca="false">IF(B1647="","",IFERROR(INDEX('CARNET DE SOUDURE'!$E$7:$E$3006,MATCH(B1647,'CARNET DE SOUDURE'!$O$7:$O$3006,0)),""))</f>
        <v/>
      </c>
      <c r="K1647" s="82" t="str">
        <f aca="false">IF(B1647="","",IFERROR(INDEX('CARNET DE SOUDURE'!$E$7:$E$3006,MATCH(B1647,'CARNET DE SOUDURE'!$L$7:$L$3006,0)),""))</f>
        <v/>
      </c>
      <c r="L1647" s="82" t="str">
        <f aca="false">IF(B1647="","",IFERROR(INDEX('CARNET DE SOUDURE'!$D$7:$D$3006,MATCH(B1647,'CARNET DE SOUDURE'!$L$7:$L$3006,0)),IFERROR(INDEX('CARNET DE SOUDURE'!$D$7:$D$3006,MATCH(B1647,'CARNET DE SOUDURE'!$O$7:$O$3006,0)),"")))</f>
        <v/>
      </c>
      <c r="M1647" s="82" t="str">
        <f aca="false">IF(B1647="","",IF(OR(J1647&lt;&gt;"",K1647&lt;&gt;""),"POSÉ EN LIGNE",IF(COUNTIF(BARDAGE!$C$1:$C$5000,B1647)&gt;0,"BARDÉ","EN STOCK")))</f>
        <v/>
      </c>
      <c r="N1647" s="80"/>
    </row>
    <row r="1648" customFormat="false" ht="15" hidden="false" customHeight="false" outlineLevel="0" collapsed="false">
      <c r="A1648" s="82" t="str">
        <f aca="false">IF(B1648="","",ROW()-6)</f>
        <v/>
      </c>
      <c r="B1648" s="145"/>
      <c r="C1648" s="146"/>
      <c r="D1648" s="146"/>
      <c r="E1648" s="82" t="str">
        <f aca="false">IF(B1648="","",IF(COUNTIFS('CARNET DE SOUDURE'!$L$7:$L$3006,B1648,'CARNET DE SOUDURE'!$M$7:$M$3006,"&lt;&gt;"&amp;C1648,'CARNET DE SOUDURE'!$M$7:$M$3006,"&lt;&gt;")+COUNTIFS('CARNET DE SOUDURE'!$O$7:$O$3006,B1648,'CARNET DE SOUDURE'!$P$7:$P$3006,"&lt;&gt;"&amp;C1648,'CARNET DE SOUDURE'!$P$7:$P$3006,"&lt;&gt;")&gt;0,"⚠ DIFFÉRENTE","OK"))</f>
        <v/>
      </c>
      <c r="F1648" s="147"/>
      <c r="G1648" s="80"/>
      <c r="H1648" s="83"/>
      <c r="I1648" s="148" t="str">
        <f aca="false">IF(B1648="","",IFERROR(INDEX('CARNET DE SOUDURE'!$B$7:$B$3006,MATCH(B1648,'CARNET DE SOUDURE'!$L$7:$L$3006,0)),IFERROR(INDEX('CARNET DE SOUDURE'!$B$7:$B$3006,MATCH(B1648,'CARNET DE SOUDURE'!$O$7:$O$3006,0)),"")))</f>
        <v/>
      </c>
      <c r="J1648" s="82" t="str">
        <f aca="false">IF(B1648="","",IFERROR(INDEX('CARNET DE SOUDURE'!$E$7:$E$3006,MATCH(B1648,'CARNET DE SOUDURE'!$O$7:$O$3006,0)),""))</f>
        <v/>
      </c>
      <c r="K1648" s="82" t="str">
        <f aca="false">IF(B1648="","",IFERROR(INDEX('CARNET DE SOUDURE'!$E$7:$E$3006,MATCH(B1648,'CARNET DE SOUDURE'!$L$7:$L$3006,0)),""))</f>
        <v/>
      </c>
      <c r="L1648" s="82" t="str">
        <f aca="false">IF(B1648="","",IFERROR(INDEX('CARNET DE SOUDURE'!$D$7:$D$3006,MATCH(B1648,'CARNET DE SOUDURE'!$L$7:$L$3006,0)),IFERROR(INDEX('CARNET DE SOUDURE'!$D$7:$D$3006,MATCH(B1648,'CARNET DE SOUDURE'!$O$7:$O$3006,0)),"")))</f>
        <v/>
      </c>
      <c r="M1648" s="82" t="str">
        <f aca="false">IF(B1648="","",IF(OR(J1648&lt;&gt;"",K1648&lt;&gt;""),"POSÉ EN LIGNE",IF(COUNTIF(BARDAGE!$C$1:$C$5000,B1648)&gt;0,"BARDÉ","EN STOCK")))</f>
        <v/>
      </c>
      <c r="N1648" s="80"/>
    </row>
    <row r="1649" customFormat="false" ht="15" hidden="false" customHeight="false" outlineLevel="0" collapsed="false">
      <c r="A1649" s="82" t="str">
        <f aca="false">IF(B1649="","",ROW()-6)</f>
        <v/>
      </c>
      <c r="B1649" s="145"/>
      <c r="C1649" s="146"/>
      <c r="D1649" s="146"/>
      <c r="E1649" s="82" t="str">
        <f aca="false">IF(B1649="","",IF(COUNTIFS('CARNET DE SOUDURE'!$L$7:$L$3006,B1649,'CARNET DE SOUDURE'!$M$7:$M$3006,"&lt;&gt;"&amp;C1649,'CARNET DE SOUDURE'!$M$7:$M$3006,"&lt;&gt;")+COUNTIFS('CARNET DE SOUDURE'!$O$7:$O$3006,B1649,'CARNET DE SOUDURE'!$P$7:$P$3006,"&lt;&gt;"&amp;C1649,'CARNET DE SOUDURE'!$P$7:$P$3006,"&lt;&gt;")&gt;0,"⚠ DIFFÉRENTE","OK"))</f>
        <v/>
      </c>
      <c r="F1649" s="147"/>
      <c r="G1649" s="80"/>
      <c r="H1649" s="83"/>
      <c r="I1649" s="148" t="str">
        <f aca="false">IF(B1649="","",IFERROR(INDEX('CARNET DE SOUDURE'!$B$7:$B$3006,MATCH(B1649,'CARNET DE SOUDURE'!$L$7:$L$3006,0)),IFERROR(INDEX('CARNET DE SOUDURE'!$B$7:$B$3006,MATCH(B1649,'CARNET DE SOUDURE'!$O$7:$O$3006,0)),"")))</f>
        <v/>
      </c>
      <c r="J1649" s="82" t="str">
        <f aca="false">IF(B1649="","",IFERROR(INDEX('CARNET DE SOUDURE'!$E$7:$E$3006,MATCH(B1649,'CARNET DE SOUDURE'!$O$7:$O$3006,0)),""))</f>
        <v/>
      </c>
      <c r="K1649" s="82" t="str">
        <f aca="false">IF(B1649="","",IFERROR(INDEX('CARNET DE SOUDURE'!$E$7:$E$3006,MATCH(B1649,'CARNET DE SOUDURE'!$L$7:$L$3006,0)),""))</f>
        <v/>
      </c>
      <c r="L1649" s="82" t="str">
        <f aca="false">IF(B1649="","",IFERROR(INDEX('CARNET DE SOUDURE'!$D$7:$D$3006,MATCH(B1649,'CARNET DE SOUDURE'!$L$7:$L$3006,0)),IFERROR(INDEX('CARNET DE SOUDURE'!$D$7:$D$3006,MATCH(B1649,'CARNET DE SOUDURE'!$O$7:$O$3006,0)),"")))</f>
        <v/>
      </c>
      <c r="M1649" s="82" t="str">
        <f aca="false">IF(B1649="","",IF(OR(J1649&lt;&gt;"",K1649&lt;&gt;""),"POSÉ EN LIGNE",IF(COUNTIF(BARDAGE!$C$1:$C$5000,B1649)&gt;0,"BARDÉ","EN STOCK")))</f>
        <v/>
      </c>
      <c r="N1649" s="80"/>
    </row>
    <row r="1650" customFormat="false" ht="15" hidden="false" customHeight="false" outlineLevel="0" collapsed="false">
      <c r="A1650" s="82" t="str">
        <f aca="false">IF(B1650="","",ROW()-6)</f>
        <v/>
      </c>
      <c r="B1650" s="145"/>
      <c r="C1650" s="146"/>
      <c r="D1650" s="146"/>
      <c r="E1650" s="82" t="str">
        <f aca="false">IF(B1650="","",IF(COUNTIFS('CARNET DE SOUDURE'!$L$7:$L$3006,B1650,'CARNET DE SOUDURE'!$M$7:$M$3006,"&lt;&gt;"&amp;C1650,'CARNET DE SOUDURE'!$M$7:$M$3006,"&lt;&gt;")+COUNTIFS('CARNET DE SOUDURE'!$O$7:$O$3006,B1650,'CARNET DE SOUDURE'!$P$7:$P$3006,"&lt;&gt;"&amp;C1650,'CARNET DE SOUDURE'!$P$7:$P$3006,"&lt;&gt;")&gt;0,"⚠ DIFFÉRENTE","OK"))</f>
        <v/>
      </c>
      <c r="F1650" s="147"/>
      <c r="G1650" s="80"/>
      <c r="H1650" s="83"/>
      <c r="I1650" s="148" t="str">
        <f aca="false">IF(B1650="","",IFERROR(INDEX('CARNET DE SOUDURE'!$B$7:$B$3006,MATCH(B1650,'CARNET DE SOUDURE'!$L$7:$L$3006,0)),IFERROR(INDEX('CARNET DE SOUDURE'!$B$7:$B$3006,MATCH(B1650,'CARNET DE SOUDURE'!$O$7:$O$3006,0)),"")))</f>
        <v/>
      </c>
      <c r="J1650" s="82" t="str">
        <f aca="false">IF(B1650="","",IFERROR(INDEX('CARNET DE SOUDURE'!$E$7:$E$3006,MATCH(B1650,'CARNET DE SOUDURE'!$O$7:$O$3006,0)),""))</f>
        <v/>
      </c>
      <c r="K1650" s="82" t="str">
        <f aca="false">IF(B1650="","",IFERROR(INDEX('CARNET DE SOUDURE'!$E$7:$E$3006,MATCH(B1650,'CARNET DE SOUDURE'!$L$7:$L$3006,0)),""))</f>
        <v/>
      </c>
      <c r="L1650" s="82" t="str">
        <f aca="false">IF(B1650="","",IFERROR(INDEX('CARNET DE SOUDURE'!$D$7:$D$3006,MATCH(B1650,'CARNET DE SOUDURE'!$L$7:$L$3006,0)),IFERROR(INDEX('CARNET DE SOUDURE'!$D$7:$D$3006,MATCH(B1650,'CARNET DE SOUDURE'!$O$7:$O$3006,0)),"")))</f>
        <v/>
      </c>
      <c r="M1650" s="82" t="str">
        <f aca="false">IF(B1650="","",IF(OR(J1650&lt;&gt;"",K1650&lt;&gt;""),"POSÉ EN LIGNE",IF(COUNTIF(BARDAGE!$C$1:$C$5000,B1650)&gt;0,"BARDÉ","EN STOCK")))</f>
        <v/>
      </c>
      <c r="N1650" s="80"/>
    </row>
    <row r="1651" customFormat="false" ht="15" hidden="false" customHeight="false" outlineLevel="0" collapsed="false">
      <c r="A1651" s="82" t="str">
        <f aca="false">IF(B1651="","",ROW()-6)</f>
        <v/>
      </c>
      <c r="B1651" s="145"/>
      <c r="C1651" s="146"/>
      <c r="D1651" s="146"/>
      <c r="E1651" s="82" t="str">
        <f aca="false">IF(B1651="","",IF(COUNTIFS('CARNET DE SOUDURE'!$L$7:$L$3006,B1651,'CARNET DE SOUDURE'!$M$7:$M$3006,"&lt;&gt;"&amp;C1651,'CARNET DE SOUDURE'!$M$7:$M$3006,"&lt;&gt;")+COUNTIFS('CARNET DE SOUDURE'!$O$7:$O$3006,B1651,'CARNET DE SOUDURE'!$P$7:$P$3006,"&lt;&gt;"&amp;C1651,'CARNET DE SOUDURE'!$P$7:$P$3006,"&lt;&gt;")&gt;0,"⚠ DIFFÉRENTE","OK"))</f>
        <v/>
      </c>
      <c r="F1651" s="147"/>
      <c r="G1651" s="80"/>
      <c r="H1651" s="83"/>
      <c r="I1651" s="148" t="str">
        <f aca="false">IF(B1651="","",IFERROR(INDEX('CARNET DE SOUDURE'!$B$7:$B$3006,MATCH(B1651,'CARNET DE SOUDURE'!$L$7:$L$3006,0)),IFERROR(INDEX('CARNET DE SOUDURE'!$B$7:$B$3006,MATCH(B1651,'CARNET DE SOUDURE'!$O$7:$O$3006,0)),"")))</f>
        <v/>
      </c>
      <c r="J1651" s="82" t="str">
        <f aca="false">IF(B1651="","",IFERROR(INDEX('CARNET DE SOUDURE'!$E$7:$E$3006,MATCH(B1651,'CARNET DE SOUDURE'!$O$7:$O$3006,0)),""))</f>
        <v/>
      </c>
      <c r="K1651" s="82" t="str">
        <f aca="false">IF(B1651="","",IFERROR(INDEX('CARNET DE SOUDURE'!$E$7:$E$3006,MATCH(B1651,'CARNET DE SOUDURE'!$L$7:$L$3006,0)),""))</f>
        <v/>
      </c>
      <c r="L1651" s="82" t="str">
        <f aca="false">IF(B1651="","",IFERROR(INDEX('CARNET DE SOUDURE'!$D$7:$D$3006,MATCH(B1651,'CARNET DE SOUDURE'!$L$7:$L$3006,0)),IFERROR(INDEX('CARNET DE SOUDURE'!$D$7:$D$3006,MATCH(B1651,'CARNET DE SOUDURE'!$O$7:$O$3006,0)),"")))</f>
        <v/>
      </c>
      <c r="M1651" s="82" t="str">
        <f aca="false">IF(B1651="","",IF(OR(J1651&lt;&gt;"",K1651&lt;&gt;""),"POSÉ EN LIGNE",IF(COUNTIF(BARDAGE!$C$1:$C$5000,B1651)&gt;0,"BARDÉ","EN STOCK")))</f>
        <v/>
      </c>
      <c r="N1651" s="80"/>
    </row>
    <row r="1652" customFormat="false" ht="15" hidden="false" customHeight="false" outlineLevel="0" collapsed="false">
      <c r="A1652" s="82" t="str">
        <f aca="false">IF(B1652="","",ROW()-6)</f>
        <v/>
      </c>
      <c r="B1652" s="145"/>
      <c r="C1652" s="146"/>
      <c r="D1652" s="146"/>
      <c r="E1652" s="82" t="str">
        <f aca="false">IF(B1652="","",IF(COUNTIFS('CARNET DE SOUDURE'!$L$7:$L$3006,B1652,'CARNET DE SOUDURE'!$M$7:$M$3006,"&lt;&gt;"&amp;C1652,'CARNET DE SOUDURE'!$M$7:$M$3006,"&lt;&gt;")+COUNTIFS('CARNET DE SOUDURE'!$O$7:$O$3006,B1652,'CARNET DE SOUDURE'!$P$7:$P$3006,"&lt;&gt;"&amp;C1652,'CARNET DE SOUDURE'!$P$7:$P$3006,"&lt;&gt;")&gt;0,"⚠ DIFFÉRENTE","OK"))</f>
        <v/>
      </c>
      <c r="F1652" s="147"/>
      <c r="G1652" s="80"/>
      <c r="H1652" s="83"/>
      <c r="I1652" s="148" t="str">
        <f aca="false">IF(B1652="","",IFERROR(INDEX('CARNET DE SOUDURE'!$B$7:$B$3006,MATCH(B1652,'CARNET DE SOUDURE'!$L$7:$L$3006,0)),IFERROR(INDEX('CARNET DE SOUDURE'!$B$7:$B$3006,MATCH(B1652,'CARNET DE SOUDURE'!$O$7:$O$3006,0)),"")))</f>
        <v/>
      </c>
      <c r="J1652" s="82" t="str">
        <f aca="false">IF(B1652="","",IFERROR(INDEX('CARNET DE SOUDURE'!$E$7:$E$3006,MATCH(B1652,'CARNET DE SOUDURE'!$O$7:$O$3006,0)),""))</f>
        <v/>
      </c>
      <c r="K1652" s="82" t="str">
        <f aca="false">IF(B1652="","",IFERROR(INDEX('CARNET DE SOUDURE'!$E$7:$E$3006,MATCH(B1652,'CARNET DE SOUDURE'!$L$7:$L$3006,0)),""))</f>
        <v/>
      </c>
      <c r="L1652" s="82" t="str">
        <f aca="false">IF(B1652="","",IFERROR(INDEX('CARNET DE SOUDURE'!$D$7:$D$3006,MATCH(B1652,'CARNET DE SOUDURE'!$L$7:$L$3006,0)),IFERROR(INDEX('CARNET DE SOUDURE'!$D$7:$D$3006,MATCH(B1652,'CARNET DE SOUDURE'!$O$7:$O$3006,0)),"")))</f>
        <v/>
      </c>
      <c r="M1652" s="82" t="str">
        <f aca="false">IF(B1652="","",IF(OR(J1652&lt;&gt;"",K1652&lt;&gt;""),"POSÉ EN LIGNE",IF(COUNTIF(BARDAGE!$C$1:$C$5000,B1652)&gt;0,"BARDÉ","EN STOCK")))</f>
        <v/>
      </c>
      <c r="N1652" s="80"/>
    </row>
    <row r="1653" customFormat="false" ht="15" hidden="false" customHeight="false" outlineLevel="0" collapsed="false">
      <c r="A1653" s="82" t="str">
        <f aca="false">IF(B1653="","",ROW()-6)</f>
        <v/>
      </c>
      <c r="B1653" s="145"/>
      <c r="C1653" s="146"/>
      <c r="D1653" s="146"/>
      <c r="E1653" s="82" t="str">
        <f aca="false">IF(B1653="","",IF(COUNTIFS('CARNET DE SOUDURE'!$L$7:$L$3006,B1653,'CARNET DE SOUDURE'!$M$7:$M$3006,"&lt;&gt;"&amp;C1653,'CARNET DE SOUDURE'!$M$7:$M$3006,"&lt;&gt;")+COUNTIFS('CARNET DE SOUDURE'!$O$7:$O$3006,B1653,'CARNET DE SOUDURE'!$P$7:$P$3006,"&lt;&gt;"&amp;C1653,'CARNET DE SOUDURE'!$P$7:$P$3006,"&lt;&gt;")&gt;0,"⚠ DIFFÉRENTE","OK"))</f>
        <v/>
      </c>
      <c r="F1653" s="147"/>
      <c r="G1653" s="80"/>
      <c r="H1653" s="83"/>
      <c r="I1653" s="148" t="str">
        <f aca="false">IF(B1653="","",IFERROR(INDEX('CARNET DE SOUDURE'!$B$7:$B$3006,MATCH(B1653,'CARNET DE SOUDURE'!$L$7:$L$3006,0)),IFERROR(INDEX('CARNET DE SOUDURE'!$B$7:$B$3006,MATCH(B1653,'CARNET DE SOUDURE'!$O$7:$O$3006,0)),"")))</f>
        <v/>
      </c>
      <c r="J1653" s="82" t="str">
        <f aca="false">IF(B1653="","",IFERROR(INDEX('CARNET DE SOUDURE'!$E$7:$E$3006,MATCH(B1653,'CARNET DE SOUDURE'!$O$7:$O$3006,0)),""))</f>
        <v/>
      </c>
      <c r="K1653" s="82" t="str">
        <f aca="false">IF(B1653="","",IFERROR(INDEX('CARNET DE SOUDURE'!$E$7:$E$3006,MATCH(B1653,'CARNET DE SOUDURE'!$L$7:$L$3006,0)),""))</f>
        <v/>
      </c>
      <c r="L1653" s="82" t="str">
        <f aca="false">IF(B1653="","",IFERROR(INDEX('CARNET DE SOUDURE'!$D$7:$D$3006,MATCH(B1653,'CARNET DE SOUDURE'!$L$7:$L$3006,0)),IFERROR(INDEX('CARNET DE SOUDURE'!$D$7:$D$3006,MATCH(B1653,'CARNET DE SOUDURE'!$O$7:$O$3006,0)),"")))</f>
        <v/>
      </c>
      <c r="M1653" s="82" t="str">
        <f aca="false">IF(B1653="","",IF(OR(J1653&lt;&gt;"",K1653&lt;&gt;""),"POSÉ EN LIGNE",IF(COUNTIF(BARDAGE!$C$1:$C$5000,B1653)&gt;0,"BARDÉ","EN STOCK")))</f>
        <v/>
      </c>
      <c r="N1653" s="80"/>
    </row>
    <row r="1654" customFormat="false" ht="15" hidden="false" customHeight="false" outlineLevel="0" collapsed="false">
      <c r="A1654" s="82" t="str">
        <f aca="false">IF(B1654="","",ROW()-6)</f>
        <v/>
      </c>
      <c r="B1654" s="145"/>
      <c r="C1654" s="146"/>
      <c r="D1654" s="146"/>
      <c r="E1654" s="82" t="str">
        <f aca="false">IF(B1654="","",IF(COUNTIFS('CARNET DE SOUDURE'!$L$7:$L$3006,B1654,'CARNET DE SOUDURE'!$M$7:$M$3006,"&lt;&gt;"&amp;C1654,'CARNET DE SOUDURE'!$M$7:$M$3006,"&lt;&gt;")+COUNTIFS('CARNET DE SOUDURE'!$O$7:$O$3006,B1654,'CARNET DE SOUDURE'!$P$7:$P$3006,"&lt;&gt;"&amp;C1654,'CARNET DE SOUDURE'!$P$7:$P$3006,"&lt;&gt;")&gt;0,"⚠ DIFFÉRENTE","OK"))</f>
        <v/>
      </c>
      <c r="F1654" s="147"/>
      <c r="G1654" s="80"/>
      <c r="H1654" s="83"/>
      <c r="I1654" s="148" t="str">
        <f aca="false">IF(B1654="","",IFERROR(INDEX('CARNET DE SOUDURE'!$B$7:$B$3006,MATCH(B1654,'CARNET DE SOUDURE'!$L$7:$L$3006,0)),IFERROR(INDEX('CARNET DE SOUDURE'!$B$7:$B$3006,MATCH(B1654,'CARNET DE SOUDURE'!$O$7:$O$3006,0)),"")))</f>
        <v/>
      </c>
      <c r="J1654" s="82" t="str">
        <f aca="false">IF(B1654="","",IFERROR(INDEX('CARNET DE SOUDURE'!$E$7:$E$3006,MATCH(B1654,'CARNET DE SOUDURE'!$O$7:$O$3006,0)),""))</f>
        <v/>
      </c>
      <c r="K1654" s="82" t="str">
        <f aca="false">IF(B1654="","",IFERROR(INDEX('CARNET DE SOUDURE'!$E$7:$E$3006,MATCH(B1654,'CARNET DE SOUDURE'!$L$7:$L$3006,0)),""))</f>
        <v/>
      </c>
      <c r="L1654" s="82" t="str">
        <f aca="false">IF(B1654="","",IFERROR(INDEX('CARNET DE SOUDURE'!$D$7:$D$3006,MATCH(B1654,'CARNET DE SOUDURE'!$L$7:$L$3006,0)),IFERROR(INDEX('CARNET DE SOUDURE'!$D$7:$D$3006,MATCH(B1654,'CARNET DE SOUDURE'!$O$7:$O$3006,0)),"")))</f>
        <v/>
      </c>
      <c r="M1654" s="82" t="str">
        <f aca="false">IF(B1654="","",IF(OR(J1654&lt;&gt;"",K1654&lt;&gt;""),"POSÉ EN LIGNE",IF(COUNTIF(BARDAGE!$C$1:$C$5000,B1654)&gt;0,"BARDÉ","EN STOCK")))</f>
        <v/>
      </c>
      <c r="N1654" s="80"/>
    </row>
    <row r="1655" customFormat="false" ht="15" hidden="false" customHeight="false" outlineLevel="0" collapsed="false">
      <c r="A1655" s="82" t="str">
        <f aca="false">IF(B1655="","",ROW()-6)</f>
        <v/>
      </c>
      <c r="B1655" s="145"/>
      <c r="C1655" s="146"/>
      <c r="D1655" s="146"/>
      <c r="E1655" s="82" t="str">
        <f aca="false">IF(B1655="","",IF(COUNTIFS('CARNET DE SOUDURE'!$L$7:$L$3006,B1655,'CARNET DE SOUDURE'!$M$7:$M$3006,"&lt;&gt;"&amp;C1655,'CARNET DE SOUDURE'!$M$7:$M$3006,"&lt;&gt;")+COUNTIFS('CARNET DE SOUDURE'!$O$7:$O$3006,B1655,'CARNET DE SOUDURE'!$P$7:$P$3006,"&lt;&gt;"&amp;C1655,'CARNET DE SOUDURE'!$P$7:$P$3006,"&lt;&gt;")&gt;0,"⚠ DIFFÉRENTE","OK"))</f>
        <v/>
      </c>
      <c r="F1655" s="147"/>
      <c r="G1655" s="80"/>
      <c r="H1655" s="83"/>
      <c r="I1655" s="148" t="str">
        <f aca="false">IF(B1655="","",IFERROR(INDEX('CARNET DE SOUDURE'!$B$7:$B$3006,MATCH(B1655,'CARNET DE SOUDURE'!$L$7:$L$3006,0)),IFERROR(INDEX('CARNET DE SOUDURE'!$B$7:$B$3006,MATCH(B1655,'CARNET DE SOUDURE'!$O$7:$O$3006,0)),"")))</f>
        <v/>
      </c>
      <c r="J1655" s="82" t="str">
        <f aca="false">IF(B1655="","",IFERROR(INDEX('CARNET DE SOUDURE'!$E$7:$E$3006,MATCH(B1655,'CARNET DE SOUDURE'!$O$7:$O$3006,0)),""))</f>
        <v/>
      </c>
      <c r="K1655" s="82" t="str">
        <f aca="false">IF(B1655="","",IFERROR(INDEX('CARNET DE SOUDURE'!$E$7:$E$3006,MATCH(B1655,'CARNET DE SOUDURE'!$L$7:$L$3006,0)),""))</f>
        <v/>
      </c>
      <c r="L1655" s="82" t="str">
        <f aca="false">IF(B1655="","",IFERROR(INDEX('CARNET DE SOUDURE'!$D$7:$D$3006,MATCH(B1655,'CARNET DE SOUDURE'!$L$7:$L$3006,0)),IFERROR(INDEX('CARNET DE SOUDURE'!$D$7:$D$3006,MATCH(B1655,'CARNET DE SOUDURE'!$O$7:$O$3006,0)),"")))</f>
        <v/>
      </c>
      <c r="M1655" s="82" t="str">
        <f aca="false">IF(B1655="","",IF(OR(J1655&lt;&gt;"",K1655&lt;&gt;""),"POSÉ EN LIGNE",IF(COUNTIF(BARDAGE!$C$1:$C$5000,B1655)&gt;0,"BARDÉ","EN STOCK")))</f>
        <v/>
      </c>
      <c r="N1655" s="80"/>
    </row>
    <row r="1656" customFormat="false" ht="15" hidden="false" customHeight="false" outlineLevel="0" collapsed="false">
      <c r="A1656" s="82" t="str">
        <f aca="false">IF(B1656="","",ROW()-6)</f>
        <v/>
      </c>
      <c r="B1656" s="145"/>
      <c r="C1656" s="146"/>
      <c r="D1656" s="146"/>
      <c r="E1656" s="82" t="str">
        <f aca="false">IF(B1656="","",IF(COUNTIFS('CARNET DE SOUDURE'!$L$7:$L$3006,B1656,'CARNET DE SOUDURE'!$M$7:$M$3006,"&lt;&gt;"&amp;C1656,'CARNET DE SOUDURE'!$M$7:$M$3006,"&lt;&gt;")+COUNTIFS('CARNET DE SOUDURE'!$O$7:$O$3006,B1656,'CARNET DE SOUDURE'!$P$7:$P$3006,"&lt;&gt;"&amp;C1656,'CARNET DE SOUDURE'!$P$7:$P$3006,"&lt;&gt;")&gt;0,"⚠ DIFFÉRENTE","OK"))</f>
        <v/>
      </c>
      <c r="F1656" s="147"/>
      <c r="G1656" s="80"/>
      <c r="H1656" s="83"/>
      <c r="I1656" s="148" t="str">
        <f aca="false">IF(B1656="","",IFERROR(INDEX('CARNET DE SOUDURE'!$B$7:$B$3006,MATCH(B1656,'CARNET DE SOUDURE'!$L$7:$L$3006,0)),IFERROR(INDEX('CARNET DE SOUDURE'!$B$7:$B$3006,MATCH(B1656,'CARNET DE SOUDURE'!$O$7:$O$3006,0)),"")))</f>
        <v/>
      </c>
      <c r="J1656" s="82" t="str">
        <f aca="false">IF(B1656="","",IFERROR(INDEX('CARNET DE SOUDURE'!$E$7:$E$3006,MATCH(B1656,'CARNET DE SOUDURE'!$O$7:$O$3006,0)),""))</f>
        <v/>
      </c>
      <c r="K1656" s="82" t="str">
        <f aca="false">IF(B1656="","",IFERROR(INDEX('CARNET DE SOUDURE'!$E$7:$E$3006,MATCH(B1656,'CARNET DE SOUDURE'!$L$7:$L$3006,0)),""))</f>
        <v/>
      </c>
      <c r="L1656" s="82" t="str">
        <f aca="false">IF(B1656="","",IFERROR(INDEX('CARNET DE SOUDURE'!$D$7:$D$3006,MATCH(B1656,'CARNET DE SOUDURE'!$L$7:$L$3006,0)),IFERROR(INDEX('CARNET DE SOUDURE'!$D$7:$D$3006,MATCH(B1656,'CARNET DE SOUDURE'!$O$7:$O$3006,0)),"")))</f>
        <v/>
      </c>
      <c r="M1656" s="82" t="str">
        <f aca="false">IF(B1656="","",IF(OR(J1656&lt;&gt;"",K1656&lt;&gt;""),"POSÉ EN LIGNE",IF(COUNTIF(BARDAGE!$C$1:$C$5000,B1656)&gt;0,"BARDÉ","EN STOCK")))</f>
        <v/>
      </c>
      <c r="N1656" s="80"/>
    </row>
    <row r="1657" customFormat="false" ht="15" hidden="false" customHeight="false" outlineLevel="0" collapsed="false">
      <c r="A1657" s="82" t="str">
        <f aca="false">IF(B1657="","",ROW()-6)</f>
        <v/>
      </c>
      <c r="B1657" s="145"/>
      <c r="C1657" s="146"/>
      <c r="D1657" s="146"/>
      <c r="E1657" s="82" t="str">
        <f aca="false">IF(B1657="","",IF(COUNTIFS('CARNET DE SOUDURE'!$L$7:$L$3006,B1657,'CARNET DE SOUDURE'!$M$7:$M$3006,"&lt;&gt;"&amp;C1657,'CARNET DE SOUDURE'!$M$7:$M$3006,"&lt;&gt;")+COUNTIFS('CARNET DE SOUDURE'!$O$7:$O$3006,B1657,'CARNET DE SOUDURE'!$P$7:$P$3006,"&lt;&gt;"&amp;C1657,'CARNET DE SOUDURE'!$P$7:$P$3006,"&lt;&gt;")&gt;0,"⚠ DIFFÉRENTE","OK"))</f>
        <v/>
      </c>
      <c r="F1657" s="147"/>
      <c r="G1657" s="80"/>
      <c r="H1657" s="83"/>
      <c r="I1657" s="148" t="str">
        <f aca="false">IF(B1657="","",IFERROR(INDEX('CARNET DE SOUDURE'!$B$7:$B$3006,MATCH(B1657,'CARNET DE SOUDURE'!$L$7:$L$3006,0)),IFERROR(INDEX('CARNET DE SOUDURE'!$B$7:$B$3006,MATCH(B1657,'CARNET DE SOUDURE'!$O$7:$O$3006,0)),"")))</f>
        <v/>
      </c>
      <c r="J1657" s="82" t="str">
        <f aca="false">IF(B1657="","",IFERROR(INDEX('CARNET DE SOUDURE'!$E$7:$E$3006,MATCH(B1657,'CARNET DE SOUDURE'!$O$7:$O$3006,0)),""))</f>
        <v/>
      </c>
      <c r="K1657" s="82" t="str">
        <f aca="false">IF(B1657="","",IFERROR(INDEX('CARNET DE SOUDURE'!$E$7:$E$3006,MATCH(B1657,'CARNET DE SOUDURE'!$L$7:$L$3006,0)),""))</f>
        <v/>
      </c>
      <c r="L1657" s="82" t="str">
        <f aca="false">IF(B1657="","",IFERROR(INDEX('CARNET DE SOUDURE'!$D$7:$D$3006,MATCH(B1657,'CARNET DE SOUDURE'!$L$7:$L$3006,0)),IFERROR(INDEX('CARNET DE SOUDURE'!$D$7:$D$3006,MATCH(B1657,'CARNET DE SOUDURE'!$O$7:$O$3006,0)),"")))</f>
        <v/>
      </c>
      <c r="M1657" s="82" t="str">
        <f aca="false">IF(B1657="","",IF(OR(J1657&lt;&gt;"",K1657&lt;&gt;""),"POSÉ EN LIGNE",IF(COUNTIF(BARDAGE!$C$1:$C$5000,B1657)&gt;0,"BARDÉ","EN STOCK")))</f>
        <v/>
      </c>
      <c r="N1657" s="80"/>
    </row>
    <row r="1658" customFormat="false" ht="15" hidden="false" customHeight="false" outlineLevel="0" collapsed="false">
      <c r="A1658" s="82" t="str">
        <f aca="false">IF(B1658="","",ROW()-6)</f>
        <v/>
      </c>
      <c r="B1658" s="145"/>
      <c r="C1658" s="146"/>
      <c r="D1658" s="146"/>
      <c r="E1658" s="82" t="str">
        <f aca="false">IF(B1658="","",IF(COUNTIFS('CARNET DE SOUDURE'!$L$7:$L$3006,B1658,'CARNET DE SOUDURE'!$M$7:$M$3006,"&lt;&gt;"&amp;C1658,'CARNET DE SOUDURE'!$M$7:$M$3006,"&lt;&gt;")+COUNTIFS('CARNET DE SOUDURE'!$O$7:$O$3006,B1658,'CARNET DE SOUDURE'!$P$7:$P$3006,"&lt;&gt;"&amp;C1658,'CARNET DE SOUDURE'!$P$7:$P$3006,"&lt;&gt;")&gt;0,"⚠ DIFFÉRENTE","OK"))</f>
        <v/>
      </c>
      <c r="F1658" s="147"/>
      <c r="G1658" s="80"/>
      <c r="H1658" s="83"/>
      <c r="I1658" s="148" t="str">
        <f aca="false">IF(B1658="","",IFERROR(INDEX('CARNET DE SOUDURE'!$B$7:$B$3006,MATCH(B1658,'CARNET DE SOUDURE'!$L$7:$L$3006,0)),IFERROR(INDEX('CARNET DE SOUDURE'!$B$7:$B$3006,MATCH(B1658,'CARNET DE SOUDURE'!$O$7:$O$3006,0)),"")))</f>
        <v/>
      </c>
      <c r="J1658" s="82" t="str">
        <f aca="false">IF(B1658="","",IFERROR(INDEX('CARNET DE SOUDURE'!$E$7:$E$3006,MATCH(B1658,'CARNET DE SOUDURE'!$O$7:$O$3006,0)),""))</f>
        <v/>
      </c>
      <c r="K1658" s="82" t="str">
        <f aca="false">IF(B1658="","",IFERROR(INDEX('CARNET DE SOUDURE'!$E$7:$E$3006,MATCH(B1658,'CARNET DE SOUDURE'!$L$7:$L$3006,0)),""))</f>
        <v/>
      </c>
      <c r="L1658" s="82" t="str">
        <f aca="false">IF(B1658="","",IFERROR(INDEX('CARNET DE SOUDURE'!$D$7:$D$3006,MATCH(B1658,'CARNET DE SOUDURE'!$L$7:$L$3006,0)),IFERROR(INDEX('CARNET DE SOUDURE'!$D$7:$D$3006,MATCH(B1658,'CARNET DE SOUDURE'!$O$7:$O$3006,0)),"")))</f>
        <v/>
      </c>
      <c r="M1658" s="82" t="str">
        <f aca="false">IF(B1658="","",IF(OR(J1658&lt;&gt;"",K1658&lt;&gt;""),"POSÉ EN LIGNE",IF(COUNTIF(BARDAGE!$C$1:$C$5000,B1658)&gt;0,"BARDÉ","EN STOCK")))</f>
        <v/>
      </c>
      <c r="N1658" s="80"/>
    </row>
    <row r="1659" customFormat="false" ht="15" hidden="false" customHeight="false" outlineLevel="0" collapsed="false">
      <c r="A1659" s="82" t="str">
        <f aca="false">IF(B1659="","",ROW()-6)</f>
        <v/>
      </c>
      <c r="B1659" s="145"/>
      <c r="C1659" s="146"/>
      <c r="D1659" s="146"/>
      <c r="E1659" s="82" t="str">
        <f aca="false">IF(B1659="","",IF(COUNTIFS('CARNET DE SOUDURE'!$L$7:$L$3006,B1659,'CARNET DE SOUDURE'!$M$7:$M$3006,"&lt;&gt;"&amp;C1659,'CARNET DE SOUDURE'!$M$7:$M$3006,"&lt;&gt;")+COUNTIFS('CARNET DE SOUDURE'!$O$7:$O$3006,B1659,'CARNET DE SOUDURE'!$P$7:$P$3006,"&lt;&gt;"&amp;C1659,'CARNET DE SOUDURE'!$P$7:$P$3006,"&lt;&gt;")&gt;0,"⚠ DIFFÉRENTE","OK"))</f>
        <v/>
      </c>
      <c r="F1659" s="147"/>
      <c r="G1659" s="80"/>
      <c r="H1659" s="83"/>
      <c r="I1659" s="148" t="str">
        <f aca="false">IF(B1659="","",IFERROR(INDEX('CARNET DE SOUDURE'!$B$7:$B$3006,MATCH(B1659,'CARNET DE SOUDURE'!$L$7:$L$3006,0)),IFERROR(INDEX('CARNET DE SOUDURE'!$B$7:$B$3006,MATCH(B1659,'CARNET DE SOUDURE'!$O$7:$O$3006,0)),"")))</f>
        <v/>
      </c>
      <c r="J1659" s="82" t="str">
        <f aca="false">IF(B1659="","",IFERROR(INDEX('CARNET DE SOUDURE'!$E$7:$E$3006,MATCH(B1659,'CARNET DE SOUDURE'!$O$7:$O$3006,0)),""))</f>
        <v/>
      </c>
      <c r="K1659" s="82" t="str">
        <f aca="false">IF(B1659="","",IFERROR(INDEX('CARNET DE SOUDURE'!$E$7:$E$3006,MATCH(B1659,'CARNET DE SOUDURE'!$L$7:$L$3006,0)),""))</f>
        <v/>
      </c>
      <c r="L1659" s="82" t="str">
        <f aca="false">IF(B1659="","",IFERROR(INDEX('CARNET DE SOUDURE'!$D$7:$D$3006,MATCH(B1659,'CARNET DE SOUDURE'!$L$7:$L$3006,0)),IFERROR(INDEX('CARNET DE SOUDURE'!$D$7:$D$3006,MATCH(B1659,'CARNET DE SOUDURE'!$O$7:$O$3006,0)),"")))</f>
        <v/>
      </c>
      <c r="M1659" s="82" t="str">
        <f aca="false">IF(B1659="","",IF(OR(J1659&lt;&gt;"",K1659&lt;&gt;""),"POSÉ EN LIGNE",IF(COUNTIF(BARDAGE!$C$1:$C$5000,B1659)&gt;0,"BARDÉ","EN STOCK")))</f>
        <v/>
      </c>
      <c r="N1659" s="80"/>
    </row>
    <row r="1660" customFormat="false" ht="15" hidden="false" customHeight="false" outlineLevel="0" collapsed="false">
      <c r="A1660" s="82" t="str">
        <f aca="false">IF(B1660="","",ROW()-6)</f>
        <v/>
      </c>
      <c r="B1660" s="145"/>
      <c r="C1660" s="146"/>
      <c r="D1660" s="146"/>
      <c r="E1660" s="82" t="str">
        <f aca="false">IF(B1660="","",IF(COUNTIFS('CARNET DE SOUDURE'!$L$7:$L$3006,B1660,'CARNET DE SOUDURE'!$M$7:$M$3006,"&lt;&gt;"&amp;C1660,'CARNET DE SOUDURE'!$M$7:$M$3006,"&lt;&gt;")+COUNTIFS('CARNET DE SOUDURE'!$O$7:$O$3006,B1660,'CARNET DE SOUDURE'!$P$7:$P$3006,"&lt;&gt;"&amp;C1660,'CARNET DE SOUDURE'!$P$7:$P$3006,"&lt;&gt;")&gt;0,"⚠ DIFFÉRENTE","OK"))</f>
        <v/>
      </c>
      <c r="F1660" s="147"/>
      <c r="G1660" s="80"/>
      <c r="H1660" s="83"/>
      <c r="I1660" s="148" t="str">
        <f aca="false">IF(B1660="","",IFERROR(INDEX('CARNET DE SOUDURE'!$B$7:$B$3006,MATCH(B1660,'CARNET DE SOUDURE'!$L$7:$L$3006,0)),IFERROR(INDEX('CARNET DE SOUDURE'!$B$7:$B$3006,MATCH(B1660,'CARNET DE SOUDURE'!$O$7:$O$3006,0)),"")))</f>
        <v/>
      </c>
      <c r="J1660" s="82" t="str">
        <f aca="false">IF(B1660="","",IFERROR(INDEX('CARNET DE SOUDURE'!$E$7:$E$3006,MATCH(B1660,'CARNET DE SOUDURE'!$O$7:$O$3006,0)),""))</f>
        <v/>
      </c>
      <c r="K1660" s="82" t="str">
        <f aca="false">IF(B1660="","",IFERROR(INDEX('CARNET DE SOUDURE'!$E$7:$E$3006,MATCH(B1660,'CARNET DE SOUDURE'!$L$7:$L$3006,0)),""))</f>
        <v/>
      </c>
      <c r="L1660" s="82" t="str">
        <f aca="false">IF(B1660="","",IFERROR(INDEX('CARNET DE SOUDURE'!$D$7:$D$3006,MATCH(B1660,'CARNET DE SOUDURE'!$L$7:$L$3006,0)),IFERROR(INDEX('CARNET DE SOUDURE'!$D$7:$D$3006,MATCH(B1660,'CARNET DE SOUDURE'!$O$7:$O$3006,0)),"")))</f>
        <v/>
      </c>
      <c r="M1660" s="82" t="str">
        <f aca="false">IF(B1660="","",IF(OR(J1660&lt;&gt;"",K1660&lt;&gt;""),"POSÉ EN LIGNE",IF(COUNTIF(BARDAGE!$C$1:$C$5000,B1660)&gt;0,"BARDÉ","EN STOCK")))</f>
        <v/>
      </c>
      <c r="N1660" s="80"/>
    </row>
    <row r="1661" customFormat="false" ht="15" hidden="false" customHeight="false" outlineLevel="0" collapsed="false">
      <c r="A1661" s="82" t="str">
        <f aca="false">IF(B1661="","",ROW()-6)</f>
        <v/>
      </c>
      <c r="B1661" s="145"/>
      <c r="C1661" s="146"/>
      <c r="D1661" s="146"/>
      <c r="E1661" s="82" t="str">
        <f aca="false">IF(B1661="","",IF(COUNTIFS('CARNET DE SOUDURE'!$L$7:$L$3006,B1661,'CARNET DE SOUDURE'!$M$7:$M$3006,"&lt;&gt;"&amp;C1661,'CARNET DE SOUDURE'!$M$7:$M$3006,"&lt;&gt;")+COUNTIFS('CARNET DE SOUDURE'!$O$7:$O$3006,B1661,'CARNET DE SOUDURE'!$P$7:$P$3006,"&lt;&gt;"&amp;C1661,'CARNET DE SOUDURE'!$P$7:$P$3006,"&lt;&gt;")&gt;0,"⚠ DIFFÉRENTE","OK"))</f>
        <v/>
      </c>
      <c r="F1661" s="147"/>
      <c r="G1661" s="80"/>
      <c r="H1661" s="83"/>
      <c r="I1661" s="148" t="str">
        <f aca="false">IF(B1661="","",IFERROR(INDEX('CARNET DE SOUDURE'!$B$7:$B$3006,MATCH(B1661,'CARNET DE SOUDURE'!$L$7:$L$3006,0)),IFERROR(INDEX('CARNET DE SOUDURE'!$B$7:$B$3006,MATCH(B1661,'CARNET DE SOUDURE'!$O$7:$O$3006,0)),"")))</f>
        <v/>
      </c>
      <c r="J1661" s="82" t="str">
        <f aca="false">IF(B1661="","",IFERROR(INDEX('CARNET DE SOUDURE'!$E$7:$E$3006,MATCH(B1661,'CARNET DE SOUDURE'!$O$7:$O$3006,0)),""))</f>
        <v/>
      </c>
      <c r="K1661" s="82" t="str">
        <f aca="false">IF(B1661="","",IFERROR(INDEX('CARNET DE SOUDURE'!$E$7:$E$3006,MATCH(B1661,'CARNET DE SOUDURE'!$L$7:$L$3006,0)),""))</f>
        <v/>
      </c>
      <c r="L1661" s="82" t="str">
        <f aca="false">IF(B1661="","",IFERROR(INDEX('CARNET DE SOUDURE'!$D$7:$D$3006,MATCH(B1661,'CARNET DE SOUDURE'!$L$7:$L$3006,0)),IFERROR(INDEX('CARNET DE SOUDURE'!$D$7:$D$3006,MATCH(B1661,'CARNET DE SOUDURE'!$O$7:$O$3006,0)),"")))</f>
        <v/>
      </c>
      <c r="M1661" s="82" t="str">
        <f aca="false">IF(B1661="","",IF(OR(J1661&lt;&gt;"",K1661&lt;&gt;""),"POSÉ EN LIGNE",IF(COUNTIF(BARDAGE!$C$1:$C$5000,B1661)&gt;0,"BARDÉ","EN STOCK")))</f>
        <v/>
      </c>
      <c r="N1661" s="80"/>
    </row>
    <row r="1662" customFormat="false" ht="15" hidden="false" customHeight="false" outlineLevel="0" collapsed="false">
      <c r="A1662" s="82" t="str">
        <f aca="false">IF(B1662="","",ROW()-6)</f>
        <v/>
      </c>
      <c r="B1662" s="145"/>
      <c r="C1662" s="146"/>
      <c r="D1662" s="146"/>
      <c r="E1662" s="82" t="str">
        <f aca="false">IF(B1662="","",IF(COUNTIFS('CARNET DE SOUDURE'!$L$7:$L$3006,B1662,'CARNET DE SOUDURE'!$M$7:$M$3006,"&lt;&gt;"&amp;C1662,'CARNET DE SOUDURE'!$M$7:$M$3006,"&lt;&gt;")+COUNTIFS('CARNET DE SOUDURE'!$O$7:$O$3006,B1662,'CARNET DE SOUDURE'!$P$7:$P$3006,"&lt;&gt;"&amp;C1662,'CARNET DE SOUDURE'!$P$7:$P$3006,"&lt;&gt;")&gt;0,"⚠ DIFFÉRENTE","OK"))</f>
        <v/>
      </c>
      <c r="F1662" s="147"/>
      <c r="G1662" s="80"/>
      <c r="H1662" s="83"/>
      <c r="I1662" s="148" t="str">
        <f aca="false">IF(B1662="","",IFERROR(INDEX('CARNET DE SOUDURE'!$B$7:$B$3006,MATCH(B1662,'CARNET DE SOUDURE'!$L$7:$L$3006,0)),IFERROR(INDEX('CARNET DE SOUDURE'!$B$7:$B$3006,MATCH(B1662,'CARNET DE SOUDURE'!$O$7:$O$3006,0)),"")))</f>
        <v/>
      </c>
      <c r="J1662" s="82" t="str">
        <f aca="false">IF(B1662="","",IFERROR(INDEX('CARNET DE SOUDURE'!$E$7:$E$3006,MATCH(B1662,'CARNET DE SOUDURE'!$O$7:$O$3006,0)),""))</f>
        <v/>
      </c>
      <c r="K1662" s="82" t="str">
        <f aca="false">IF(B1662="","",IFERROR(INDEX('CARNET DE SOUDURE'!$E$7:$E$3006,MATCH(B1662,'CARNET DE SOUDURE'!$L$7:$L$3006,0)),""))</f>
        <v/>
      </c>
      <c r="L1662" s="82" t="str">
        <f aca="false">IF(B1662="","",IFERROR(INDEX('CARNET DE SOUDURE'!$D$7:$D$3006,MATCH(B1662,'CARNET DE SOUDURE'!$L$7:$L$3006,0)),IFERROR(INDEX('CARNET DE SOUDURE'!$D$7:$D$3006,MATCH(B1662,'CARNET DE SOUDURE'!$O$7:$O$3006,0)),"")))</f>
        <v/>
      </c>
      <c r="M1662" s="82" t="str">
        <f aca="false">IF(B1662="","",IF(OR(J1662&lt;&gt;"",K1662&lt;&gt;""),"POSÉ EN LIGNE",IF(COUNTIF(BARDAGE!$C$1:$C$5000,B1662)&gt;0,"BARDÉ","EN STOCK")))</f>
        <v/>
      </c>
      <c r="N1662" s="80"/>
    </row>
    <row r="1663" customFormat="false" ht="15" hidden="false" customHeight="false" outlineLevel="0" collapsed="false">
      <c r="A1663" s="82" t="str">
        <f aca="false">IF(B1663="","",ROW()-6)</f>
        <v/>
      </c>
      <c r="B1663" s="145"/>
      <c r="C1663" s="146"/>
      <c r="D1663" s="146"/>
      <c r="E1663" s="82" t="str">
        <f aca="false">IF(B1663="","",IF(COUNTIFS('CARNET DE SOUDURE'!$L$7:$L$3006,B1663,'CARNET DE SOUDURE'!$M$7:$M$3006,"&lt;&gt;"&amp;C1663,'CARNET DE SOUDURE'!$M$7:$M$3006,"&lt;&gt;")+COUNTIFS('CARNET DE SOUDURE'!$O$7:$O$3006,B1663,'CARNET DE SOUDURE'!$P$7:$P$3006,"&lt;&gt;"&amp;C1663,'CARNET DE SOUDURE'!$P$7:$P$3006,"&lt;&gt;")&gt;0,"⚠ DIFFÉRENTE","OK"))</f>
        <v/>
      </c>
      <c r="F1663" s="147"/>
      <c r="G1663" s="80"/>
      <c r="H1663" s="83"/>
      <c r="I1663" s="148" t="str">
        <f aca="false">IF(B1663="","",IFERROR(INDEX('CARNET DE SOUDURE'!$B$7:$B$3006,MATCH(B1663,'CARNET DE SOUDURE'!$L$7:$L$3006,0)),IFERROR(INDEX('CARNET DE SOUDURE'!$B$7:$B$3006,MATCH(B1663,'CARNET DE SOUDURE'!$O$7:$O$3006,0)),"")))</f>
        <v/>
      </c>
      <c r="J1663" s="82" t="str">
        <f aca="false">IF(B1663="","",IFERROR(INDEX('CARNET DE SOUDURE'!$E$7:$E$3006,MATCH(B1663,'CARNET DE SOUDURE'!$O$7:$O$3006,0)),""))</f>
        <v/>
      </c>
      <c r="K1663" s="82" t="str">
        <f aca="false">IF(B1663="","",IFERROR(INDEX('CARNET DE SOUDURE'!$E$7:$E$3006,MATCH(B1663,'CARNET DE SOUDURE'!$L$7:$L$3006,0)),""))</f>
        <v/>
      </c>
      <c r="L1663" s="82" t="str">
        <f aca="false">IF(B1663="","",IFERROR(INDEX('CARNET DE SOUDURE'!$D$7:$D$3006,MATCH(B1663,'CARNET DE SOUDURE'!$L$7:$L$3006,0)),IFERROR(INDEX('CARNET DE SOUDURE'!$D$7:$D$3006,MATCH(B1663,'CARNET DE SOUDURE'!$O$7:$O$3006,0)),"")))</f>
        <v/>
      </c>
      <c r="M1663" s="82" t="str">
        <f aca="false">IF(B1663="","",IF(OR(J1663&lt;&gt;"",K1663&lt;&gt;""),"POSÉ EN LIGNE",IF(COUNTIF(BARDAGE!$C$1:$C$5000,B1663)&gt;0,"BARDÉ","EN STOCK")))</f>
        <v/>
      </c>
      <c r="N1663" s="80"/>
    </row>
    <row r="1664" customFormat="false" ht="15" hidden="false" customHeight="false" outlineLevel="0" collapsed="false">
      <c r="A1664" s="82" t="str">
        <f aca="false">IF(B1664="","",ROW()-6)</f>
        <v/>
      </c>
      <c r="B1664" s="145"/>
      <c r="C1664" s="146"/>
      <c r="D1664" s="146"/>
      <c r="E1664" s="82" t="str">
        <f aca="false">IF(B1664="","",IF(COUNTIFS('CARNET DE SOUDURE'!$L$7:$L$3006,B1664,'CARNET DE SOUDURE'!$M$7:$M$3006,"&lt;&gt;"&amp;C1664,'CARNET DE SOUDURE'!$M$7:$M$3006,"&lt;&gt;")+COUNTIFS('CARNET DE SOUDURE'!$O$7:$O$3006,B1664,'CARNET DE SOUDURE'!$P$7:$P$3006,"&lt;&gt;"&amp;C1664,'CARNET DE SOUDURE'!$P$7:$P$3006,"&lt;&gt;")&gt;0,"⚠ DIFFÉRENTE","OK"))</f>
        <v/>
      </c>
      <c r="F1664" s="147"/>
      <c r="G1664" s="80"/>
      <c r="H1664" s="83"/>
      <c r="I1664" s="148" t="str">
        <f aca="false">IF(B1664="","",IFERROR(INDEX('CARNET DE SOUDURE'!$B$7:$B$3006,MATCH(B1664,'CARNET DE SOUDURE'!$L$7:$L$3006,0)),IFERROR(INDEX('CARNET DE SOUDURE'!$B$7:$B$3006,MATCH(B1664,'CARNET DE SOUDURE'!$O$7:$O$3006,0)),"")))</f>
        <v/>
      </c>
      <c r="J1664" s="82" t="str">
        <f aca="false">IF(B1664="","",IFERROR(INDEX('CARNET DE SOUDURE'!$E$7:$E$3006,MATCH(B1664,'CARNET DE SOUDURE'!$O$7:$O$3006,0)),""))</f>
        <v/>
      </c>
      <c r="K1664" s="82" t="str">
        <f aca="false">IF(B1664="","",IFERROR(INDEX('CARNET DE SOUDURE'!$E$7:$E$3006,MATCH(B1664,'CARNET DE SOUDURE'!$L$7:$L$3006,0)),""))</f>
        <v/>
      </c>
      <c r="L1664" s="82" t="str">
        <f aca="false">IF(B1664="","",IFERROR(INDEX('CARNET DE SOUDURE'!$D$7:$D$3006,MATCH(B1664,'CARNET DE SOUDURE'!$L$7:$L$3006,0)),IFERROR(INDEX('CARNET DE SOUDURE'!$D$7:$D$3006,MATCH(B1664,'CARNET DE SOUDURE'!$O$7:$O$3006,0)),"")))</f>
        <v/>
      </c>
      <c r="M1664" s="82" t="str">
        <f aca="false">IF(B1664="","",IF(OR(J1664&lt;&gt;"",K1664&lt;&gt;""),"POSÉ EN LIGNE",IF(COUNTIF(BARDAGE!$C$1:$C$5000,B1664)&gt;0,"BARDÉ","EN STOCK")))</f>
        <v/>
      </c>
      <c r="N1664" s="80"/>
    </row>
    <row r="1665" customFormat="false" ht="15" hidden="false" customHeight="false" outlineLevel="0" collapsed="false">
      <c r="A1665" s="82" t="str">
        <f aca="false">IF(B1665="","",ROW()-6)</f>
        <v/>
      </c>
      <c r="B1665" s="145"/>
      <c r="C1665" s="146"/>
      <c r="D1665" s="146"/>
      <c r="E1665" s="82" t="str">
        <f aca="false">IF(B1665="","",IF(COUNTIFS('CARNET DE SOUDURE'!$L$7:$L$3006,B1665,'CARNET DE SOUDURE'!$M$7:$M$3006,"&lt;&gt;"&amp;C1665,'CARNET DE SOUDURE'!$M$7:$M$3006,"&lt;&gt;")+COUNTIFS('CARNET DE SOUDURE'!$O$7:$O$3006,B1665,'CARNET DE SOUDURE'!$P$7:$P$3006,"&lt;&gt;"&amp;C1665,'CARNET DE SOUDURE'!$P$7:$P$3006,"&lt;&gt;")&gt;0,"⚠ DIFFÉRENTE","OK"))</f>
        <v/>
      </c>
      <c r="F1665" s="147"/>
      <c r="G1665" s="80"/>
      <c r="H1665" s="83"/>
      <c r="I1665" s="148" t="str">
        <f aca="false">IF(B1665="","",IFERROR(INDEX('CARNET DE SOUDURE'!$B$7:$B$3006,MATCH(B1665,'CARNET DE SOUDURE'!$L$7:$L$3006,0)),IFERROR(INDEX('CARNET DE SOUDURE'!$B$7:$B$3006,MATCH(B1665,'CARNET DE SOUDURE'!$O$7:$O$3006,0)),"")))</f>
        <v/>
      </c>
      <c r="J1665" s="82" t="str">
        <f aca="false">IF(B1665="","",IFERROR(INDEX('CARNET DE SOUDURE'!$E$7:$E$3006,MATCH(B1665,'CARNET DE SOUDURE'!$O$7:$O$3006,0)),""))</f>
        <v/>
      </c>
      <c r="K1665" s="82" t="str">
        <f aca="false">IF(B1665="","",IFERROR(INDEX('CARNET DE SOUDURE'!$E$7:$E$3006,MATCH(B1665,'CARNET DE SOUDURE'!$L$7:$L$3006,0)),""))</f>
        <v/>
      </c>
      <c r="L1665" s="82" t="str">
        <f aca="false">IF(B1665="","",IFERROR(INDEX('CARNET DE SOUDURE'!$D$7:$D$3006,MATCH(B1665,'CARNET DE SOUDURE'!$L$7:$L$3006,0)),IFERROR(INDEX('CARNET DE SOUDURE'!$D$7:$D$3006,MATCH(B1665,'CARNET DE SOUDURE'!$O$7:$O$3006,0)),"")))</f>
        <v/>
      </c>
      <c r="M1665" s="82" t="str">
        <f aca="false">IF(B1665="","",IF(OR(J1665&lt;&gt;"",K1665&lt;&gt;""),"POSÉ EN LIGNE",IF(COUNTIF(BARDAGE!$C$1:$C$5000,B1665)&gt;0,"BARDÉ","EN STOCK")))</f>
        <v/>
      </c>
      <c r="N1665" s="80"/>
    </row>
    <row r="1666" customFormat="false" ht="15" hidden="false" customHeight="false" outlineLevel="0" collapsed="false">
      <c r="A1666" s="82" t="str">
        <f aca="false">IF(B1666="","",ROW()-6)</f>
        <v/>
      </c>
      <c r="B1666" s="145"/>
      <c r="C1666" s="146"/>
      <c r="D1666" s="146"/>
      <c r="E1666" s="82" t="str">
        <f aca="false">IF(B1666="","",IF(COUNTIFS('CARNET DE SOUDURE'!$L$7:$L$3006,B1666,'CARNET DE SOUDURE'!$M$7:$M$3006,"&lt;&gt;"&amp;C1666,'CARNET DE SOUDURE'!$M$7:$M$3006,"&lt;&gt;")+COUNTIFS('CARNET DE SOUDURE'!$O$7:$O$3006,B1666,'CARNET DE SOUDURE'!$P$7:$P$3006,"&lt;&gt;"&amp;C1666,'CARNET DE SOUDURE'!$P$7:$P$3006,"&lt;&gt;")&gt;0,"⚠ DIFFÉRENTE","OK"))</f>
        <v/>
      </c>
      <c r="F1666" s="147"/>
      <c r="G1666" s="80"/>
      <c r="H1666" s="83"/>
      <c r="I1666" s="148" t="str">
        <f aca="false">IF(B1666="","",IFERROR(INDEX('CARNET DE SOUDURE'!$B$7:$B$3006,MATCH(B1666,'CARNET DE SOUDURE'!$L$7:$L$3006,0)),IFERROR(INDEX('CARNET DE SOUDURE'!$B$7:$B$3006,MATCH(B1666,'CARNET DE SOUDURE'!$O$7:$O$3006,0)),"")))</f>
        <v/>
      </c>
      <c r="J1666" s="82" t="str">
        <f aca="false">IF(B1666="","",IFERROR(INDEX('CARNET DE SOUDURE'!$E$7:$E$3006,MATCH(B1666,'CARNET DE SOUDURE'!$O$7:$O$3006,0)),""))</f>
        <v/>
      </c>
      <c r="K1666" s="82" t="str">
        <f aca="false">IF(B1666="","",IFERROR(INDEX('CARNET DE SOUDURE'!$E$7:$E$3006,MATCH(B1666,'CARNET DE SOUDURE'!$L$7:$L$3006,0)),""))</f>
        <v/>
      </c>
      <c r="L1666" s="82" t="str">
        <f aca="false">IF(B1666="","",IFERROR(INDEX('CARNET DE SOUDURE'!$D$7:$D$3006,MATCH(B1666,'CARNET DE SOUDURE'!$L$7:$L$3006,0)),IFERROR(INDEX('CARNET DE SOUDURE'!$D$7:$D$3006,MATCH(B1666,'CARNET DE SOUDURE'!$O$7:$O$3006,0)),"")))</f>
        <v/>
      </c>
      <c r="M1666" s="82" t="str">
        <f aca="false">IF(B1666="","",IF(OR(J1666&lt;&gt;"",K1666&lt;&gt;""),"POSÉ EN LIGNE",IF(COUNTIF(BARDAGE!$C$1:$C$5000,B1666)&gt;0,"BARDÉ","EN STOCK")))</f>
        <v/>
      </c>
      <c r="N1666" s="80"/>
    </row>
    <row r="1667" customFormat="false" ht="15" hidden="false" customHeight="false" outlineLevel="0" collapsed="false">
      <c r="A1667" s="82" t="str">
        <f aca="false">IF(B1667="","",ROW()-6)</f>
        <v/>
      </c>
      <c r="B1667" s="145"/>
      <c r="C1667" s="146"/>
      <c r="D1667" s="146"/>
      <c r="E1667" s="82" t="str">
        <f aca="false">IF(B1667="","",IF(COUNTIFS('CARNET DE SOUDURE'!$L$7:$L$3006,B1667,'CARNET DE SOUDURE'!$M$7:$M$3006,"&lt;&gt;"&amp;C1667,'CARNET DE SOUDURE'!$M$7:$M$3006,"&lt;&gt;")+COUNTIFS('CARNET DE SOUDURE'!$O$7:$O$3006,B1667,'CARNET DE SOUDURE'!$P$7:$P$3006,"&lt;&gt;"&amp;C1667,'CARNET DE SOUDURE'!$P$7:$P$3006,"&lt;&gt;")&gt;0,"⚠ DIFFÉRENTE","OK"))</f>
        <v/>
      </c>
      <c r="F1667" s="147"/>
      <c r="G1667" s="80"/>
      <c r="H1667" s="83"/>
      <c r="I1667" s="148" t="str">
        <f aca="false">IF(B1667="","",IFERROR(INDEX('CARNET DE SOUDURE'!$B$7:$B$3006,MATCH(B1667,'CARNET DE SOUDURE'!$L$7:$L$3006,0)),IFERROR(INDEX('CARNET DE SOUDURE'!$B$7:$B$3006,MATCH(B1667,'CARNET DE SOUDURE'!$O$7:$O$3006,0)),"")))</f>
        <v/>
      </c>
      <c r="J1667" s="82" t="str">
        <f aca="false">IF(B1667="","",IFERROR(INDEX('CARNET DE SOUDURE'!$E$7:$E$3006,MATCH(B1667,'CARNET DE SOUDURE'!$O$7:$O$3006,0)),""))</f>
        <v/>
      </c>
      <c r="K1667" s="82" t="str">
        <f aca="false">IF(B1667="","",IFERROR(INDEX('CARNET DE SOUDURE'!$E$7:$E$3006,MATCH(B1667,'CARNET DE SOUDURE'!$L$7:$L$3006,0)),""))</f>
        <v/>
      </c>
      <c r="L1667" s="82" t="str">
        <f aca="false">IF(B1667="","",IFERROR(INDEX('CARNET DE SOUDURE'!$D$7:$D$3006,MATCH(B1667,'CARNET DE SOUDURE'!$L$7:$L$3006,0)),IFERROR(INDEX('CARNET DE SOUDURE'!$D$7:$D$3006,MATCH(B1667,'CARNET DE SOUDURE'!$O$7:$O$3006,0)),"")))</f>
        <v/>
      </c>
      <c r="M1667" s="82" t="str">
        <f aca="false">IF(B1667="","",IF(OR(J1667&lt;&gt;"",K1667&lt;&gt;""),"POSÉ EN LIGNE",IF(COUNTIF(BARDAGE!$C$1:$C$5000,B1667)&gt;0,"BARDÉ","EN STOCK")))</f>
        <v/>
      </c>
      <c r="N1667" s="80"/>
    </row>
    <row r="1668" customFormat="false" ht="15" hidden="false" customHeight="false" outlineLevel="0" collapsed="false">
      <c r="A1668" s="82" t="str">
        <f aca="false">IF(B1668="","",ROW()-6)</f>
        <v/>
      </c>
      <c r="B1668" s="145"/>
      <c r="C1668" s="146"/>
      <c r="D1668" s="146"/>
      <c r="E1668" s="82" t="str">
        <f aca="false">IF(B1668="","",IF(COUNTIFS('CARNET DE SOUDURE'!$L$7:$L$3006,B1668,'CARNET DE SOUDURE'!$M$7:$M$3006,"&lt;&gt;"&amp;C1668,'CARNET DE SOUDURE'!$M$7:$M$3006,"&lt;&gt;")+COUNTIFS('CARNET DE SOUDURE'!$O$7:$O$3006,B1668,'CARNET DE SOUDURE'!$P$7:$P$3006,"&lt;&gt;"&amp;C1668,'CARNET DE SOUDURE'!$P$7:$P$3006,"&lt;&gt;")&gt;0,"⚠ DIFFÉRENTE","OK"))</f>
        <v/>
      </c>
      <c r="F1668" s="147"/>
      <c r="G1668" s="80"/>
      <c r="H1668" s="83"/>
      <c r="I1668" s="148" t="str">
        <f aca="false">IF(B1668="","",IFERROR(INDEX('CARNET DE SOUDURE'!$B$7:$B$3006,MATCH(B1668,'CARNET DE SOUDURE'!$L$7:$L$3006,0)),IFERROR(INDEX('CARNET DE SOUDURE'!$B$7:$B$3006,MATCH(B1668,'CARNET DE SOUDURE'!$O$7:$O$3006,0)),"")))</f>
        <v/>
      </c>
      <c r="J1668" s="82" t="str">
        <f aca="false">IF(B1668="","",IFERROR(INDEX('CARNET DE SOUDURE'!$E$7:$E$3006,MATCH(B1668,'CARNET DE SOUDURE'!$O$7:$O$3006,0)),""))</f>
        <v/>
      </c>
      <c r="K1668" s="82" t="str">
        <f aca="false">IF(B1668="","",IFERROR(INDEX('CARNET DE SOUDURE'!$E$7:$E$3006,MATCH(B1668,'CARNET DE SOUDURE'!$L$7:$L$3006,0)),""))</f>
        <v/>
      </c>
      <c r="L1668" s="82" t="str">
        <f aca="false">IF(B1668="","",IFERROR(INDEX('CARNET DE SOUDURE'!$D$7:$D$3006,MATCH(B1668,'CARNET DE SOUDURE'!$L$7:$L$3006,0)),IFERROR(INDEX('CARNET DE SOUDURE'!$D$7:$D$3006,MATCH(B1668,'CARNET DE SOUDURE'!$O$7:$O$3006,0)),"")))</f>
        <v/>
      </c>
      <c r="M1668" s="82" t="str">
        <f aca="false">IF(B1668="","",IF(OR(J1668&lt;&gt;"",K1668&lt;&gt;""),"POSÉ EN LIGNE",IF(COUNTIF(BARDAGE!$C$1:$C$5000,B1668)&gt;0,"BARDÉ","EN STOCK")))</f>
        <v/>
      </c>
      <c r="N1668" s="80"/>
    </row>
    <row r="1669" customFormat="false" ht="15" hidden="false" customHeight="false" outlineLevel="0" collapsed="false">
      <c r="A1669" s="82" t="str">
        <f aca="false">IF(B1669="","",ROW()-6)</f>
        <v/>
      </c>
      <c r="B1669" s="145"/>
      <c r="C1669" s="146"/>
      <c r="D1669" s="146"/>
      <c r="E1669" s="82" t="str">
        <f aca="false">IF(B1669="","",IF(COUNTIFS('CARNET DE SOUDURE'!$L$7:$L$3006,B1669,'CARNET DE SOUDURE'!$M$7:$M$3006,"&lt;&gt;"&amp;C1669,'CARNET DE SOUDURE'!$M$7:$M$3006,"&lt;&gt;")+COUNTIFS('CARNET DE SOUDURE'!$O$7:$O$3006,B1669,'CARNET DE SOUDURE'!$P$7:$P$3006,"&lt;&gt;"&amp;C1669,'CARNET DE SOUDURE'!$P$7:$P$3006,"&lt;&gt;")&gt;0,"⚠ DIFFÉRENTE","OK"))</f>
        <v/>
      </c>
      <c r="F1669" s="147"/>
      <c r="G1669" s="80"/>
      <c r="H1669" s="83"/>
      <c r="I1669" s="148" t="str">
        <f aca="false">IF(B1669="","",IFERROR(INDEX('CARNET DE SOUDURE'!$B$7:$B$3006,MATCH(B1669,'CARNET DE SOUDURE'!$L$7:$L$3006,0)),IFERROR(INDEX('CARNET DE SOUDURE'!$B$7:$B$3006,MATCH(B1669,'CARNET DE SOUDURE'!$O$7:$O$3006,0)),"")))</f>
        <v/>
      </c>
      <c r="J1669" s="82" t="str">
        <f aca="false">IF(B1669="","",IFERROR(INDEX('CARNET DE SOUDURE'!$E$7:$E$3006,MATCH(B1669,'CARNET DE SOUDURE'!$O$7:$O$3006,0)),""))</f>
        <v/>
      </c>
      <c r="K1669" s="82" t="str">
        <f aca="false">IF(B1669="","",IFERROR(INDEX('CARNET DE SOUDURE'!$E$7:$E$3006,MATCH(B1669,'CARNET DE SOUDURE'!$L$7:$L$3006,0)),""))</f>
        <v/>
      </c>
      <c r="L1669" s="82" t="str">
        <f aca="false">IF(B1669="","",IFERROR(INDEX('CARNET DE SOUDURE'!$D$7:$D$3006,MATCH(B1669,'CARNET DE SOUDURE'!$L$7:$L$3006,0)),IFERROR(INDEX('CARNET DE SOUDURE'!$D$7:$D$3006,MATCH(B1669,'CARNET DE SOUDURE'!$O$7:$O$3006,0)),"")))</f>
        <v/>
      </c>
      <c r="M1669" s="82" t="str">
        <f aca="false">IF(B1669="","",IF(OR(J1669&lt;&gt;"",K1669&lt;&gt;""),"POSÉ EN LIGNE",IF(COUNTIF(BARDAGE!$C$1:$C$5000,B1669)&gt;0,"BARDÉ","EN STOCK")))</f>
        <v/>
      </c>
      <c r="N1669" s="80"/>
    </row>
    <row r="1670" customFormat="false" ht="15" hidden="false" customHeight="false" outlineLevel="0" collapsed="false">
      <c r="A1670" s="82" t="str">
        <f aca="false">IF(B1670="","",ROW()-6)</f>
        <v/>
      </c>
      <c r="B1670" s="145"/>
      <c r="C1670" s="146"/>
      <c r="D1670" s="146"/>
      <c r="E1670" s="82" t="str">
        <f aca="false">IF(B1670="","",IF(COUNTIFS('CARNET DE SOUDURE'!$L$7:$L$3006,B1670,'CARNET DE SOUDURE'!$M$7:$M$3006,"&lt;&gt;"&amp;C1670,'CARNET DE SOUDURE'!$M$7:$M$3006,"&lt;&gt;")+COUNTIFS('CARNET DE SOUDURE'!$O$7:$O$3006,B1670,'CARNET DE SOUDURE'!$P$7:$P$3006,"&lt;&gt;"&amp;C1670,'CARNET DE SOUDURE'!$P$7:$P$3006,"&lt;&gt;")&gt;0,"⚠ DIFFÉRENTE","OK"))</f>
        <v/>
      </c>
      <c r="F1670" s="147"/>
      <c r="G1670" s="80"/>
      <c r="H1670" s="83"/>
      <c r="I1670" s="148" t="str">
        <f aca="false">IF(B1670="","",IFERROR(INDEX('CARNET DE SOUDURE'!$B$7:$B$3006,MATCH(B1670,'CARNET DE SOUDURE'!$L$7:$L$3006,0)),IFERROR(INDEX('CARNET DE SOUDURE'!$B$7:$B$3006,MATCH(B1670,'CARNET DE SOUDURE'!$O$7:$O$3006,0)),"")))</f>
        <v/>
      </c>
      <c r="J1670" s="82" t="str">
        <f aca="false">IF(B1670="","",IFERROR(INDEX('CARNET DE SOUDURE'!$E$7:$E$3006,MATCH(B1670,'CARNET DE SOUDURE'!$O$7:$O$3006,0)),""))</f>
        <v/>
      </c>
      <c r="K1670" s="82" t="str">
        <f aca="false">IF(B1670="","",IFERROR(INDEX('CARNET DE SOUDURE'!$E$7:$E$3006,MATCH(B1670,'CARNET DE SOUDURE'!$L$7:$L$3006,0)),""))</f>
        <v/>
      </c>
      <c r="L1670" s="82" t="str">
        <f aca="false">IF(B1670="","",IFERROR(INDEX('CARNET DE SOUDURE'!$D$7:$D$3006,MATCH(B1670,'CARNET DE SOUDURE'!$L$7:$L$3006,0)),IFERROR(INDEX('CARNET DE SOUDURE'!$D$7:$D$3006,MATCH(B1670,'CARNET DE SOUDURE'!$O$7:$O$3006,0)),"")))</f>
        <v/>
      </c>
      <c r="M1670" s="82" t="str">
        <f aca="false">IF(B1670="","",IF(OR(J1670&lt;&gt;"",K1670&lt;&gt;""),"POSÉ EN LIGNE",IF(COUNTIF(BARDAGE!$C$1:$C$5000,B1670)&gt;0,"BARDÉ","EN STOCK")))</f>
        <v/>
      </c>
      <c r="N1670" s="80"/>
    </row>
    <row r="1671" customFormat="false" ht="15" hidden="false" customHeight="false" outlineLevel="0" collapsed="false">
      <c r="A1671" s="82" t="str">
        <f aca="false">IF(B1671="","",ROW()-6)</f>
        <v/>
      </c>
      <c r="B1671" s="145"/>
      <c r="C1671" s="146"/>
      <c r="D1671" s="146"/>
      <c r="E1671" s="82" t="str">
        <f aca="false">IF(B1671="","",IF(COUNTIFS('CARNET DE SOUDURE'!$L$7:$L$3006,B1671,'CARNET DE SOUDURE'!$M$7:$M$3006,"&lt;&gt;"&amp;C1671,'CARNET DE SOUDURE'!$M$7:$M$3006,"&lt;&gt;")+COUNTIFS('CARNET DE SOUDURE'!$O$7:$O$3006,B1671,'CARNET DE SOUDURE'!$P$7:$P$3006,"&lt;&gt;"&amp;C1671,'CARNET DE SOUDURE'!$P$7:$P$3006,"&lt;&gt;")&gt;0,"⚠ DIFFÉRENTE","OK"))</f>
        <v/>
      </c>
      <c r="F1671" s="147"/>
      <c r="G1671" s="80"/>
      <c r="H1671" s="83"/>
      <c r="I1671" s="148" t="str">
        <f aca="false">IF(B1671="","",IFERROR(INDEX('CARNET DE SOUDURE'!$B$7:$B$3006,MATCH(B1671,'CARNET DE SOUDURE'!$L$7:$L$3006,0)),IFERROR(INDEX('CARNET DE SOUDURE'!$B$7:$B$3006,MATCH(B1671,'CARNET DE SOUDURE'!$O$7:$O$3006,0)),"")))</f>
        <v/>
      </c>
      <c r="J1671" s="82" t="str">
        <f aca="false">IF(B1671="","",IFERROR(INDEX('CARNET DE SOUDURE'!$E$7:$E$3006,MATCH(B1671,'CARNET DE SOUDURE'!$O$7:$O$3006,0)),""))</f>
        <v/>
      </c>
      <c r="K1671" s="82" t="str">
        <f aca="false">IF(B1671="","",IFERROR(INDEX('CARNET DE SOUDURE'!$E$7:$E$3006,MATCH(B1671,'CARNET DE SOUDURE'!$L$7:$L$3006,0)),""))</f>
        <v/>
      </c>
      <c r="L1671" s="82" t="str">
        <f aca="false">IF(B1671="","",IFERROR(INDEX('CARNET DE SOUDURE'!$D$7:$D$3006,MATCH(B1671,'CARNET DE SOUDURE'!$L$7:$L$3006,0)),IFERROR(INDEX('CARNET DE SOUDURE'!$D$7:$D$3006,MATCH(B1671,'CARNET DE SOUDURE'!$O$7:$O$3006,0)),"")))</f>
        <v/>
      </c>
      <c r="M1671" s="82" t="str">
        <f aca="false">IF(B1671="","",IF(OR(J1671&lt;&gt;"",K1671&lt;&gt;""),"POSÉ EN LIGNE",IF(COUNTIF(BARDAGE!$C$1:$C$5000,B1671)&gt;0,"BARDÉ","EN STOCK")))</f>
        <v/>
      </c>
      <c r="N1671" s="80"/>
    </row>
    <row r="1672" customFormat="false" ht="15" hidden="false" customHeight="false" outlineLevel="0" collapsed="false">
      <c r="A1672" s="82" t="str">
        <f aca="false">IF(B1672="","",ROW()-6)</f>
        <v/>
      </c>
      <c r="B1672" s="145"/>
      <c r="C1672" s="146"/>
      <c r="D1672" s="146"/>
      <c r="E1672" s="82" t="str">
        <f aca="false">IF(B1672="","",IF(COUNTIFS('CARNET DE SOUDURE'!$L$7:$L$3006,B1672,'CARNET DE SOUDURE'!$M$7:$M$3006,"&lt;&gt;"&amp;C1672,'CARNET DE SOUDURE'!$M$7:$M$3006,"&lt;&gt;")+COUNTIFS('CARNET DE SOUDURE'!$O$7:$O$3006,B1672,'CARNET DE SOUDURE'!$P$7:$P$3006,"&lt;&gt;"&amp;C1672,'CARNET DE SOUDURE'!$P$7:$P$3006,"&lt;&gt;")&gt;0,"⚠ DIFFÉRENTE","OK"))</f>
        <v/>
      </c>
      <c r="F1672" s="147"/>
      <c r="G1672" s="80"/>
      <c r="H1672" s="83"/>
      <c r="I1672" s="148" t="str">
        <f aca="false">IF(B1672="","",IFERROR(INDEX('CARNET DE SOUDURE'!$B$7:$B$3006,MATCH(B1672,'CARNET DE SOUDURE'!$L$7:$L$3006,0)),IFERROR(INDEX('CARNET DE SOUDURE'!$B$7:$B$3006,MATCH(B1672,'CARNET DE SOUDURE'!$O$7:$O$3006,0)),"")))</f>
        <v/>
      </c>
      <c r="J1672" s="82" t="str">
        <f aca="false">IF(B1672="","",IFERROR(INDEX('CARNET DE SOUDURE'!$E$7:$E$3006,MATCH(B1672,'CARNET DE SOUDURE'!$O$7:$O$3006,0)),""))</f>
        <v/>
      </c>
      <c r="K1672" s="82" t="str">
        <f aca="false">IF(B1672="","",IFERROR(INDEX('CARNET DE SOUDURE'!$E$7:$E$3006,MATCH(B1672,'CARNET DE SOUDURE'!$L$7:$L$3006,0)),""))</f>
        <v/>
      </c>
      <c r="L1672" s="82" t="str">
        <f aca="false">IF(B1672="","",IFERROR(INDEX('CARNET DE SOUDURE'!$D$7:$D$3006,MATCH(B1672,'CARNET DE SOUDURE'!$L$7:$L$3006,0)),IFERROR(INDEX('CARNET DE SOUDURE'!$D$7:$D$3006,MATCH(B1672,'CARNET DE SOUDURE'!$O$7:$O$3006,0)),"")))</f>
        <v/>
      </c>
      <c r="M1672" s="82" t="str">
        <f aca="false">IF(B1672="","",IF(OR(J1672&lt;&gt;"",K1672&lt;&gt;""),"POSÉ EN LIGNE",IF(COUNTIF(BARDAGE!$C$1:$C$5000,B1672)&gt;0,"BARDÉ","EN STOCK")))</f>
        <v/>
      </c>
      <c r="N1672" s="80"/>
    </row>
    <row r="1673" customFormat="false" ht="15" hidden="false" customHeight="false" outlineLevel="0" collapsed="false">
      <c r="A1673" s="82" t="str">
        <f aca="false">IF(B1673="","",ROW()-6)</f>
        <v/>
      </c>
      <c r="B1673" s="145"/>
      <c r="C1673" s="146"/>
      <c r="D1673" s="146"/>
      <c r="E1673" s="82" t="str">
        <f aca="false">IF(B1673="","",IF(COUNTIFS('CARNET DE SOUDURE'!$L$7:$L$3006,B1673,'CARNET DE SOUDURE'!$M$7:$M$3006,"&lt;&gt;"&amp;C1673,'CARNET DE SOUDURE'!$M$7:$M$3006,"&lt;&gt;")+COUNTIFS('CARNET DE SOUDURE'!$O$7:$O$3006,B1673,'CARNET DE SOUDURE'!$P$7:$P$3006,"&lt;&gt;"&amp;C1673,'CARNET DE SOUDURE'!$P$7:$P$3006,"&lt;&gt;")&gt;0,"⚠ DIFFÉRENTE","OK"))</f>
        <v/>
      </c>
      <c r="F1673" s="147"/>
      <c r="G1673" s="80"/>
      <c r="H1673" s="83"/>
      <c r="I1673" s="148" t="str">
        <f aca="false">IF(B1673="","",IFERROR(INDEX('CARNET DE SOUDURE'!$B$7:$B$3006,MATCH(B1673,'CARNET DE SOUDURE'!$L$7:$L$3006,0)),IFERROR(INDEX('CARNET DE SOUDURE'!$B$7:$B$3006,MATCH(B1673,'CARNET DE SOUDURE'!$O$7:$O$3006,0)),"")))</f>
        <v/>
      </c>
      <c r="J1673" s="82" t="str">
        <f aca="false">IF(B1673="","",IFERROR(INDEX('CARNET DE SOUDURE'!$E$7:$E$3006,MATCH(B1673,'CARNET DE SOUDURE'!$O$7:$O$3006,0)),""))</f>
        <v/>
      </c>
      <c r="K1673" s="82" t="str">
        <f aca="false">IF(B1673="","",IFERROR(INDEX('CARNET DE SOUDURE'!$E$7:$E$3006,MATCH(B1673,'CARNET DE SOUDURE'!$L$7:$L$3006,0)),""))</f>
        <v/>
      </c>
      <c r="L1673" s="82" t="str">
        <f aca="false">IF(B1673="","",IFERROR(INDEX('CARNET DE SOUDURE'!$D$7:$D$3006,MATCH(B1673,'CARNET DE SOUDURE'!$L$7:$L$3006,0)),IFERROR(INDEX('CARNET DE SOUDURE'!$D$7:$D$3006,MATCH(B1673,'CARNET DE SOUDURE'!$O$7:$O$3006,0)),"")))</f>
        <v/>
      </c>
      <c r="M1673" s="82" t="str">
        <f aca="false">IF(B1673="","",IF(OR(J1673&lt;&gt;"",K1673&lt;&gt;""),"POSÉ EN LIGNE",IF(COUNTIF(BARDAGE!$C$1:$C$5000,B1673)&gt;0,"BARDÉ","EN STOCK")))</f>
        <v/>
      </c>
      <c r="N1673" s="80"/>
    </row>
    <row r="1674" customFormat="false" ht="15" hidden="false" customHeight="false" outlineLevel="0" collapsed="false">
      <c r="A1674" s="82" t="str">
        <f aca="false">IF(B1674="","",ROW()-6)</f>
        <v/>
      </c>
      <c r="B1674" s="145"/>
      <c r="C1674" s="146"/>
      <c r="D1674" s="146"/>
      <c r="E1674" s="82" t="str">
        <f aca="false">IF(B1674="","",IF(COUNTIFS('CARNET DE SOUDURE'!$L$7:$L$3006,B1674,'CARNET DE SOUDURE'!$M$7:$M$3006,"&lt;&gt;"&amp;C1674,'CARNET DE SOUDURE'!$M$7:$M$3006,"&lt;&gt;")+COUNTIFS('CARNET DE SOUDURE'!$O$7:$O$3006,B1674,'CARNET DE SOUDURE'!$P$7:$P$3006,"&lt;&gt;"&amp;C1674,'CARNET DE SOUDURE'!$P$7:$P$3006,"&lt;&gt;")&gt;0,"⚠ DIFFÉRENTE","OK"))</f>
        <v/>
      </c>
      <c r="F1674" s="147"/>
      <c r="G1674" s="80"/>
      <c r="H1674" s="83"/>
      <c r="I1674" s="148" t="str">
        <f aca="false">IF(B1674="","",IFERROR(INDEX('CARNET DE SOUDURE'!$B$7:$B$3006,MATCH(B1674,'CARNET DE SOUDURE'!$L$7:$L$3006,0)),IFERROR(INDEX('CARNET DE SOUDURE'!$B$7:$B$3006,MATCH(B1674,'CARNET DE SOUDURE'!$O$7:$O$3006,0)),"")))</f>
        <v/>
      </c>
      <c r="J1674" s="82" t="str">
        <f aca="false">IF(B1674="","",IFERROR(INDEX('CARNET DE SOUDURE'!$E$7:$E$3006,MATCH(B1674,'CARNET DE SOUDURE'!$O$7:$O$3006,0)),""))</f>
        <v/>
      </c>
      <c r="K1674" s="82" t="str">
        <f aca="false">IF(B1674="","",IFERROR(INDEX('CARNET DE SOUDURE'!$E$7:$E$3006,MATCH(B1674,'CARNET DE SOUDURE'!$L$7:$L$3006,0)),""))</f>
        <v/>
      </c>
      <c r="L1674" s="82" t="str">
        <f aca="false">IF(B1674="","",IFERROR(INDEX('CARNET DE SOUDURE'!$D$7:$D$3006,MATCH(B1674,'CARNET DE SOUDURE'!$L$7:$L$3006,0)),IFERROR(INDEX('CARNET DE SOUDURE'!$D$7:$D$3006,MATCH(B1674,'CARNET DE SOUDURE'!$O$7:$O$3006,0)),"")))</f>
        <v/>
      </c>
      <c r="M1674" s="82" t="str">
        <f aca="false">IF(B1674="","",IF(OR(J1674&lt;&gt;"",K1674&lt;&gt;""),"POSÉ EN LIGNE",IF(COUNTIF(BARDAGE!$C$1:$C$5000,B1674)&gt;0,"BARDÉ","EN STOCK")))</f>
        <v/>
      </c>
      <c r="N1674" s="80"/>
    </row>
    <row r="1675" customFormat="false" ht="15" hidden="false" customHeight="false" outlineLevel="0" collapsed="false">
      <c r="A1675" s="82" t="str">
        <f aca="false">IF(B1675="","",ROW()-6)</f>
        <v/>
      </c>
      <c r="B1675" s="145"/>
      <c r="C1675" s="146"/>
      <c r="D1675" s="146"/>
      <c r="E1675" s="82" t="str">
        <f aca="false">IF(B1675="","",IF(COUNTIFS('CARNET DE SOUDURE'!$L$7:$L$3006,B1675,'CARNET DE SOUDURE'!$M$7:$M$3006,"&lt;&gt;"&amp;C1675,'CARNET DE SOUDURE'!$M$7:$M$3006,"&lt;&gt;")+COUNTIFS('CARNET DE SOUDURE'!$O$7:$O$3006,B1675,'CARNET DE SOUDURE'!$P$7:$P$3006,"&lt;&gt;"&amp;C1675,'CARNET DE SOUDURE'!$P$7:$P$3006,"&lt;&gt;")&gt;0,"⚠ DIFFÉRENTE","OK"))</f>
        <v/>
      </c>
      <c r="F1675" s="147"/>
      <c r="G1675" s="80"/>
      <c r="H1675" s="83"/>
      <c r="I1675" s="148" t="str">
        <f aca="false">IF(B1675="","",IFERROR(INDEX('CARNET DE SOUDURE'!$B$7:$B$3006,MATCH(B1675,'CARNET DE SOUDURE'!$L$7:$L$3006,0)),IFERROR(INDEX('CARNET DE SOUDURE'!$B$7:$B$3006,MATCH(B1675,'CARNET DE SOUDURE'!$O$7:$O$3006,0)),"")))</f>
        <v/>
      </c>
      <c r="J1675" s="82" t="str">
        <f aca="false">IF(B1675="","",IFERROR(INDEX('CARNET DE SOUDURE'!$E$7:$E$3006,MATCH(B1675,'CARNET DE SOUDURE'!$O$7:$O$3006,0)),""))</f>
        <v/>
      </c>
      <c r="K1675" s="82" t="str">
        <f aca="false">IF(B1675="","",IFERROR(INDEX('CARNET DE SOUDURE'!$E$7:$E$3006,MATCH(B1675,'CARNET DE SOUDURE'!$L$7:$L$3006,0)),""))</f>
        <v/>
      </c>
      <c r="L1675" s="82" t="str">
        <f aca="false">IF(B1675="","",IFERROR(INDEX('CARNET DE SOUDURE'!$D$7:$D$3006,MATCH(B1675,'CARNET DE SOUDURE'!$L$7:$L$3006,0)),IFERROR(INDEX('CARNET DE SOUDURE'!$D$7:$D$3006,MATCH(B1675,'CARNET DE SOUDURE'!$O$7:$O$3006,0)),"")))</f>
        <v/>
      </c>
      <c r="M1675" s="82" t="str">
        <f aca="false">IF(B1675="","",IF(OR(J1675&lt;&gt;"",K1675&lt;&gt;""),"POSÉ EN LIGNE",IF(COUNTIF(BARDAGE!$C$1:$C$5000,B1675)&gt;0,"BARDÉ","EN STOCK")))</f>
        <v/>
      </c>
      <c r="N1675" s="80"/>
    </row>
    <row r="1676" customFormat="false" ht="15" hidden="false" customHeight="false" outlineLevel="0" collapsed="false">
      <c r="A1676" s="82" t="str">
        <f aca="false">IF(B1676="","",ROW()-6)</f>
        <v/>
      </c>
      <c r="B1676" s="145"/>
      <c r="C1676" s="146"/>
      <c r="D1676" s="146"/>
      <c r="E1676" s="82" t="str">
        <f aca="false">IF(B1676="","",IF(COUNTIFS('CARNET DE SOUDURE'!$L$7:$L$3006,B1676,'CARNET DE SOUDURE'!$M$7:$M$3006,"&lt;&gt;"&amp;C1676,'CARNET DE SOUDURE'!$M$7:$M$3006,"&lt;&gt;")+COUNTIFS('CARNET DE SOUDURE'!$O$7:$O$3006,B1676,'CARNET DE SOUDURE'!$P$7:$P$3006,"&lt;&gt;"&amp;C1676,'CARNET DE SOUDURE'!$P$7:$P$3006,"&lt;&gt;")&gt;0,"⚠ DIFFÉRENTE","OK"))</f>
        <v/>
      </c>
      <c r="F1676" s="147"/>
      <c r="G1676" s="80"/>
      <c r="H1676" s="83"/>
      <c r="I1676" s="148" t="str">
        <f aca="false">IF(B1676="","",IFERROR(INDEX('CARNET DE SOUDURE'!$B$7:$B$3006,MATCH(B1676,'CARNET DE SOUDURE'!$L$7:$L$3006,0)),IFERROR(INDEX('CARNET DE SOUDURE'!$B$7:$B$3006,MATCH(B1676,'CARNET DE SOUDURE'!$O$7:$O$3006,0)),"")))</f>
        <v/>
      </c>
      <c r="J1676" s="82" t="str">
        <f aca="false">IF(B1676="","",IFERROR(INDEX('CARNET DE SOUDURE'!$E$7:$E$3006,MATCH(B1676,'CARNET DE SOUDURE'!$O$7:$O$3006,0)),""))</f>
        <v/>
      </c>
      <c r="K1676" s="82" t="str">
        <f aca="false">IF(B1676="","",IFERROR(INDEX('CARNET DE SOUDURE'!$E$7:$E$3006,MATCH(B1676,'CARNET DE SOUDURE'!$L$7:$L$3006,0)),""))</f>
        <v/>
      </c>
      <c r="L1676" s="82" t="str">
        <f aca="false">IF(B1676="","",IFERROR(INDEX('CARNET DE SOUDURE'!$D$7:$D$3006,MATCH(B1676,'CARNET DE SOUDURE'!$L$7:$L$3006,0)),IFERROR(INDEX('CARNET DE SOUDURE'!$D$7:$D$3006,MATCH(B1676,'CARNET DE SOUDURE'!$O$7:$O$3006,0)),"")))</f>
        <v/>
      </c>
      <c r="M1676" s="82" t="str">
        <f aca="false">IF(B1676="","",IF(OR(J1676&lt;&gt;"",K1676&lt;&gt;""),"POSÉ EN LIGNE",IF(COUNTIF(BARDAGE!$C$1:$C$5000,B1676)&gt;0,"BARDÉ","EN STOCK")))</f>
        <v/>
      </c>
      <c r="N1676" s="80"/>
    </row>
    <row r="1677" customFormat="false" ht="15" hidden="false" customHeight="false" outlineLevel="0" collapsed="false">
      <c r="A1677" s="82" t="str">
        <f aca="false">IF(B1677="","",ROW()-6)</f>
        <v/>
      </c>
      <c r="B1677" s="145"/>
      <c r="C1677" s="146"/>
      <c r="D1677" s="146"/>
      <c r="E1677" s="82" t="str">
        <f aca="false">IF(B1677="","",IF(COUNTIFS('CARNET DE SOUDURE'!$L$7:$L$3006,B1677,'CARNET DE SOUDURE'!$M$7:$M$3006,"&lt;&gt;"&amp;C1677,'CARNET DE SOUDURE'!$M$7:$M$3006,"&lt;&gt;")+COUNTIFS('CARNET DE SOUDURE'!$O$7:$O$3006,B1677,'CARNET DE SOUDURE'!$P$7:$P$3006,"&lt;&gt;"&amp;C1677,'CARNET DE SOUDURE'!$P$7:$P$3006,"&lt;&gt;")&gt;0,"⚠ DIFFÉRENTE","OK"))</f>
        <v/>
      </c>
      <c r="F1677" s="147"/>
      <c r="G1677" s="80"/>
      <c r="H1677" s="83"/>
      <c r="I1677" s="148" t="str">
        <f aca="false">IF(B1677="","",IFERROR(INDEX('CARNET DE SOUDURE'!$B$7:$B$3006,MATCH(B1677,'CARNET DE SOUDURE'!$L$7:$L$3006,0)),IFERROR(INDEX('CARNET DE SOUDURE'!$B$7:$B$3006,MATCH(B1677,'CARNET DE SOUDURE'!$O$7:$O$3006,0)),"")))</f>
        <v/>
      </c>
      <c r="J1677" s="82" t="str">
        <f aca="false">IF(B1677="","",IFERROR(INDEX('CARNET DE SOUDURE'!$E$7:$E$3006,MATCH(B1677,'CARNET DE SOUDURE'!$O$7:$O$3006,0)),""))</f>
        <v/>
      </c>
      <c r="K1677" s="82" t="str">
        <f aca="false">IF(B1677="","",IFERROR(INDEX('CARNET DE SOUDURE'!$E$7:$E$3006,MATCH(B1677,'CARNET DE SOUDURE'!$L$7:$L$3006,0)),""))</f>
        <v/>
      </c>
      <c r="L1677" s="82" t="str">
        <f aca="false">IF(B1677="","",IFERROR(INDEX('CARNET DE SOUDURE'!$D$7:$D$3006,MATCH(B1677,'CARNET DE SOUDURE'!$L$7:$L$3006,0)),IFERROR(INDEX('CARNET DE SOUDURE'!$D$7:$D$3006,MATCH(B1677,'CARNET DE SOUDURE'!$O$7:$O$3006,0)),"")))</f>
        <v/>
      </c>
      <c r="M1677" s="82" t="str">
        <f aca="false">IF(B1677="","",IF(OR(J1677&lt;&gt;"",K1677&lt;&gt;""),"POSÉ EN LIGNE",IF(COUNTIF(BARDAGE!$C$1:$C$5000,B1677)&gt;0,"BARDÉ","EN STOCK")))</f>
        <v/>
      </c>
      <c r="N1677" s="80"/>
    </row>
    <row r="1678" customFormat="false" ht="15" hidden="false" customHeight="false" outlineLevel="0" collapsed="false">
      <c r="A1678" s="82" t="str">
        <f aca="false">IF(B1678="","",ROW()-6)</f>
        <v/>
      </c>
      <c r="B1678" s="145"/>
      <c r="C1678" s="146"/>
      <c r="D1678" s="146"/>
      <c r="E1678" s="82" t="str">
        <f aca="false">IF(B1678="","",IF(COUNTIFS('CARNET DE SOUDURE'!$L$7:$L$3006,B1678,'CARNET DE SOUDURE'!$M$7:$M$3006,"&lt;&gt;"&amp;C1678,'CARNET DE SOUDURE'!$M$7:$M$3006,"&lt;&gt;")+COUNTIFS('CARNET DE SOUDURE'!$O$7:$O$3006,B1678,'CARNET DE SOUDURE'!$P$7:$P$3006,"&lt;&gt;"&amp;C1678,'CARNET DE SOUDURE'!$P$7:$P$3006,"&lt;&gt;")&gt;0,"⚠ DIFFÉRENTE","OK"))</f>
        <v/>
      </c>
      <c r="F1678" s="147"/>
      <c r="G1678" s="80"/>
      <c r="H1678" s="83"/>
      <c r="I1678" s="148" t="str">
        <f aca="false">IF(B1678="","",IFERROR(INDEX('CARNET DE SOUDURE'!$B$7:$B$3006,MATCH(B1678,'CARNET DE SOUDURE'!$L$7:$L$3006,0)),IFERROR(INDEX('CARNET DE SOUDURE'!$B$7:$B$3006,MATCH(B1678,'CARNET DE SOUDURE'!$O$7:$O$3006,0)),"")))</f>
        <v/>
      </c>
      <c r="J1678" s="82" t="str">
        <f aca="false">IF(B1678="","",IFERROR(INDEX('CARNET DE SOUDURE'!$E$7:$E$3006,MATCH(B1678,'CARNET DE SOUDURE'!$O$7:$O$3006,0)),""))</f>
        <v/>
      </c>
      <c r="K1678" s="82" t="str">
        <f aca="false">IF(B1678="","",IFERROR(INDEX('CARNET DE SOUDURE'!$E$7:$E$3006,MATCH(B1678,'CARNET DE SOUDURE'!$L$7:$L$3006,0)),""))</f>
        <v/>
      </c>
      <c r="L1678" s="82" t="str">
        <f aca="false">IF(B1678="","",IFERROR(INDEX('CARNET DE SOUDURE'!$D$7:$D$3006,MATCH(B1678,'CARNET DE SOUDURE'!$L$7:$L$3006,0)),IFERROR(INDEX('CARNET DE SOUDURE'!$D$7:$D$3006,MATCH(B1678,'CARNET DE SOUDURE'!$O$7:$O$3006,0)),"")))</f>
        <v/>
      </c>
      <c r="M1678" s="82" t="str">
        <f aca="false">IF(B1678="","",IF(OR(J1678&lt;&gt;"",K1678&lt;&gt;""),"POSÉ EN LIGNE",IF(COUNTIF(BARDAGE!$C$1:$C$5000,B1678)&gt;0,"BARDÉ","EN STOCK")))</f>
        <v/>
      </c>
      <c r="N1678" s="80"/>
    </row>
    <row r="1679" customFormat="false" ht="15" hidden="false" customHeight="false" outlineLevel="0" collapsed="false">
      <c r="A1679" s="82" t="str">
        <f aca="false">IF(B1679="","",ROW()-6)</f>
        <v/>
      </c>
      <c r="B1679" s="145"/>
      <c r="C1679" s="146"/>
      <c r="D1679" s="146"/>
      <c r="E1679" s="82" t="str">
        <f aca="false">IF(B1679="","",IF(COUNTIFS('CARNET DE SOUDURE'!$L$7:$L$3006,B1679,'CARNET DE SOUDURE'!$M$7:$M$3006,"&lt;&gt;"&amp;C1679,'CARNET DE SOUDURE'!$M$7:$M$3006,"&lt;&gt;")+COUNTIFS('CARNET DE SOUDURE'!$O$7:$O$3006,B1679,'CARNET DE SOUDURE'!$P$7:$P$3006,"&lt;&gt;"&amp;C1679,'CARNET DE SOUDURE'!$P$7:$P$3006,"&lt;&gt;")&gt;0,"⚠ DIFFÉRENTE","OK"))</f>
        <v/>
      </c>
      <c r="F1679" s="147"/>
      <c r="G1679" s="80"/>
      <c r="H1679" s="83"/>
      <c r="I1679" s="148" t="str">
        <f aca="false">IF(B1679="","",IFERROR(INDEX('CARNET DE SOUDURE'!$B$7:$B$3006,MATCH(B1679,'CARNET DE SOUDURE'!$L$7:$L$3006,0)),IFERROR(INDEX('CARNET DE SOUDURE'!$B$7:$B$3006,MATCH(B1679,'CARNET DE SOUDURE'!$O$7:$O$3006,0)),"")))</f>
        <v/>
      </c>
      <c r="J1679" s="82" t="str">
        <f aca="false">IF(B1679="","",IFERROR(INDEX('CARNET DE SOUDURE'!$E$7:$E$3006,MATCH(B1679,'CARNET DE SOUDURE'!$O$7:$O$3006,0)),""))</f>
        <v/>
      </c>
      <c r="K1679" s="82" t="str">
        <f aca="false">IF(B1679="","",IFERROR(INDEX('CARNET DE SOUDURE'!$E$7:$E$3006,MATCH(B1679,'CARNET DE SOUDURE'!$L$7:$L$3006,0)),""))</f>
        <v/>
      </c>
      <c r="L1679" s="82" t="str">
        <f aca="false">IF(B1679="","",IFERROR(INDEX('CARNET DE SOUDURE'!$D$7:$D$3006,MATCH(B1679,'CARNET DE SOUDURE'!$L$7:$L$3006,0)),IFERROR(INDEX('CARNET DE SOUDURE'!$D$7:$D$3006,MATCH(B1679,'CARNET DE SOUDURE'!$O$7:$O$3006,0)),"")))</f>
        <v/>
      </c>
      <c r="M1679" s="82" t="str">
        <f aca="false">IF(B1679="","",IF(OR(J1679&lt;&gt;"",K1679&lt;&gt;""),"POSÉ EN LIGNE",IF(COUNTIF(BARDAGE!$C$1:$C$5000,B1679)&gt;0,"BARDÉ","EN STOCK")))</f>
        <v/>
      </c>
      <c r="N1679" s="80"/>
    </row>
    <row r="1680" customFormat="false" ht="15" hidden="false" customHeight="false" outlineLevel="0" collapsed="false">
      <c r="A1680" s="82" t="str">
        <f aca="false">IF(B1680="","",ROW()-6)</f>
        <v/>
      </c>
      <c r="B1680" s="145"/>
      <c r="C1680" s="146"/>
      <c r="D1680" s="146"/>
      <c r="E1680" s="82" t="str">
        <f aca="false">IF(B1680="","",IF(COUNTIFS('CARNET DE SOUDURE'!$L$7:$L$3006,B1680,'CARNET DE SOUDURE'!$M$7:$M$3006,"&lt;&gt;"&amp;C1680,'CARNET DE SOUDURE'!$M$7:$M$3006,"&lt;&gt;")+COUNTIFS('CARNET DE SOUDURE'!$O$7:$O$3006,B1680,'CARNET DE SOUDURE'!$P$7:$P$3006,"&lt;&gt;"&amp;C1680,'CARNET DE SOUDURE'!$P$7:$P$3006,"&lt;&gt;")&gt;0,"⚠ DIFFÉRENTE","OK"))</f>
        <v/>
      </c>
      <c r="F1680" s="147"/>
      <c r="G1680" s="80"/>
      <c r="H1680" s="83"/>
      <c r="I1680" s="148" t="str">
        <f aca="false">IF(B1680="","",IFERROR(INDEX('CARNET DE SOUDURE'!$B$7:$B$3006,MATCH(B1680,'CARNET DE SOUDURE'!$L$7:$L$3006,0)),IFERROR(INDEX('CARNET DE SOUDURE'!$B$7:$B$3006,MATCH(B1680,'CARNET DE SOUDURE'!$O$7:$O$3006,0)),"")))</f>
        <v/>
      </c>
      <c r="J1680" s="82" t="str">
        <f aca="false">IF(B1680="","",IFERROR(INDEX('CARNET DE SOUDURE'!$E$7:$E$3006,MATCH(B1680,'CARNET DE SOUDURE'!$O$7:$O$3006,0)),""))</f>
        <v/>
      </c>
      <c r="K1680" s="82" t="str">
        <f aca="false">IF(B1680="","",IFERROR(INDEX('CARNET DE SOUDURE'!$E$7:$E$3006,MATCH(B1680,'CARNET DE SOUDURE'!$L$7:$L$3006,0)),""))</f>
        <v/>
      </c>
      <c r="L1680" s="82" t="str">
        <f aca="false">IF(B1680="","",IFERROR(INDEX('CARNET DE SOUDURE'!$D$7:$D$3006,MATCH(B1680,'CARNET DE SOUDURE'!$L$7:$L$3006,0)),IFERROR(INDEX('CARNET DE SOUDURE'!$D$7:$D$3006,MATCH(B1680,'CARNET DE SOUDURE'!$O$7:$O$3006,0)),"")))</f>
        <v/>
      </c>
      <c r="M1680" s="82" t="str">
        <f aca="false">IF(B1680="","",IF(OR(J1680&lt;&gt;"",K1680&lt;&gt;""),"POSÉ EN LIGNE",IF(COUNTIF(BARDAGE!$C$1:$C$5000,B1680)&gt;0,"BARDÉ","EN STOCK")))</f>
        <v/>
      </c>
      <c r="N1680" s="80"/>
    </row>
    <row r="1681" customFormat="false" ht="15" hidden="false" customHeight="false" outlineLevel="0" collapsed="false">
      <c r="A1681" s="82" t="str">
        <f aca="false">IF(B1681="","",ROW()-6)</f>
        <v/>
      </c>
      <c r="B1681" s="145"/>
      <c r="C1681" s="146"/>
      <c r="D1681" s="146"/>
      <c r="E1681" s="82" t="str">
        <f aca="false">IF(B1681="","",IF(COUNTIFS('CARNET DE SOUDURE'!$L$7:$L$3006,B1681,'CARNET DE SOUDURE'!$M$7:$M$3006,"&lt;&gt;"&amp;C1681,'CARNET DE SOUDURE'!$M$7:$M$3006,"&lt;&gt;")+COUNTIFS('CARNET DE SOUDURE'!$O$7:$O$3006,B1681,'CARNET DE SOUDURE'!$P$7:$P$3006,"&lt;&gt;"&amp;C1681,'CARNET DE SOUDURE'!$P$7:$P$3006,"&lt;&gt;")&gt;0,"⚠ DIFFÉRENTE","OK"))</f>
        <v/>
      </c>
      <c r="F1681" s="147"/>
      <c r="G1681" s="80"/>
      <c r="H1681" s="83"/>
      <c r="I1681" s="148" t="str">
        <f aca="false">IF(B1681="","",IFERROR(INDEX('CARNET DE SOUDURE'!$B$7:$B$3006,MATCH(B1681,'CARNET DE SOUDURE'!$L$7:$L$3006,0)),IFERROR(INDEX('CARNET DE SOUDURE'!$B$7:$B$3006,MATCH(B1681,'CARNET DE SOUDURE'!$O$7:$O$3006,0)),"")))</f>
        <v/>
      </c>
      <c r="J1681" s="82" t="str">
        <f aca="false">IF(B1681="","",IFERROR(INDEX('CARNET DE SOUDURE'!$E$7:$E$3006,MATCH(B1681,'CARNET DE SOUDURE'!$O$7:$O$3006,0)),""))</f>
        <v/>
      </c>
      <c r="K1681" s="82" t="str">
        <f aca="false">IF(B1681="","",IFERROR(INDEX('CARNET DE SOUDURE'!$E$7:$E$3006,MATCH(B1681,'CARNET DE SOUDURE'!$L$7:$L$3006,0)),""))</f>
        <v/>
      </c>
      <c r="L1681" s="82" t="str">
        <f aca="false">IF(B1681="","",IFERROR(INDEX('CARNET DE SOUDURE'!$D$7:$D$3006,MATCH(B1681,'CARNET DE SOUDURE'!$L$7:$L$3006,0)),IFERROR(INDEX('CARNET DE SOUDURE'!$D$7:$D$3006,MATCH(B1681,'CARNET DE SOUDURE'!$O$7:$O$3006,0)),"")))</f>
        <v/>
      </c>
      <c r="M1681" s="82" t="str">
        <f aca="false">IF(B1681="","",IF(OR(J1681&lt;&gt;"",K1681&lt;&gt;""),"POSÉ EN LIGNE",IF(COUNTIF(BARDAGE!$C$1:$C$5000,B1681)&gt;0,"BARDÉ","EN STOCK")))</f>
        <v/>
      </c>
      <c r="N1681" s="80"/>
    </row>
    <row r="1682" customFormat="false" ht="15" hidden="false" customHeight="false" outlineLevel="0" collapsed="false">
      <c r="A1682" s="82" t="str">
        <f aca="false">IF(B1682="","",ROW()-6)</f>
        <v/>
      </c>
      <c r="B1682" s="145"/>
      <c r="C1682" s="146"/>
      <c r="D1682" s="146"/>
      <c r="E1682" s="82" t="str">
        <f aca="false">IF(B1682="","",IF(COUNTIFS('CARNET DE SOUDURE'!$L$7:$L$3006,B1682,'CARNET DE SOUDURE'!$M$7:$M$3006,"&lt;&gt;"&amp;C1682,'CARNET DE SOUDURE'!$M$7:$M$3006,"&lt;&gt;")+COUNTIFS('CARNET DE SOUDURE'!$O$7:$O$3006,B1682,'CARNET DE SOUDURE'!$P$7:$P$3006,"&lt;&gt;"&amp;C1682,'CARNET DE SOUDURE'!$P$7:$P$3006,"&lt;&gt;")&gt;0,"⚠ DIFFÉRENTE","OK"))</f>
        <v/>
      </c>
      <c r="F1682" s="147"/>
      <c r="G1682" s="80"/>
      <c r="H1682" s="83"/>
      <c r="I1682" s="148" t="str">
        <f aca="false">IF(B1682="","",IFERROR(INDEX('CARNET DE SOUDURE'!$B$7:$B$3006,MATCH(B1682,'CARNET DE SOUDURE'!$L$7:$L$3006,0)),IFERROR(INDEX('CARNET DE SOUDURE'!$B$7:$B$3006,MATCH(B1682,'CARNET DE SOUDURE'!$O$7:$O$3006,0)),"")))</f>
        <v/>
      </c>
      <c r="J1682" s="82" t="str">
        <f aca="false">IF(B1682="","",IFERROR(INDEX('CARNET DE SOUDURE'!$E$7:$E$3006,MATCH(B1682,'CARNET DE SOUDURE'!$O$7:$O$3006,0)),""))</f>
        <v/>
      </c>
      <c r="K1682" s="82" t="str">
        <f aca="false">IF(B1682="","",IFERROR(INDEX('CARNET DE SOUDURE'!$E$7:$E$3006,MATCH(B1682,'CARNET DE SOUDURE'!$L$7:$L$3006,0)),""))</f>
        <v/>
      </c>
      <c r="L1682" s="82" t="str">
        <f aca="false">IF(B1682="","",IFERROR(INDEX('CARNET DE SOUDURE'!$D$7:$D$3006,MATCH(B1682,'CARNET DE SOUDURE'!$L$7:$L$3006,0)),IFERROR(INDEX('CARNET DE SOUDURE'!$D$7:$D$3006,MATCH(B1682,'CARNET DE SOUDURE'!$O$7:$O$3006,0)),"")))</f>
        <v/>
      </c>
      <c r="M1682" s="82" t="str">
        <f aca="false">IF(B1682="","",IF(OR(J1682&lt;&gt;"",K1682&lt;&gt;""),"POSÉ EN LIGNE",IF(COUNTIF(BARDAGE!$C$1:$C$5000,B1682)&gt;0,"BARDÉ","EN STOCK")))</f>
        <v/>
      </c>
      <c r="N1682" s="80"/>
    </row>
    <row r="1683" customFormat="false" ht="15" hidden="false" customHeight="false" outlineLevel="0" collapsed="false">
      <c r="A1683" s="82" t="str">
        <f aca="false">IF(B1683="","",ROW()-6)</f>
        <v/>
      </c>
      <c r="B1683" s="145"/>
      <c r="C1683" s="146"/>
      <c r="D1683" s="146"/>
      <c r="E1683" s="82" t="str">
        <f aca="false">IF(B1683="","",IF(COUNTIFS('CARNET DE SOUDURE'!$L$7:$L$3006,B1683,'CARNET DE SOUDURE'!$M$7:$M$3006,"&lt;&gt;"&amp;C1683,'CARNET DE SOUDURE'!$M$7:$M$3006,"&lt;&gt;")+COUNTIFS('CARNET DE SOUDURE'!$O$7:$O$3006,B1683,'CARNET DE SOUDURE'!$P$7:$P$3006,"&lt;&gt;"&amp;C1683,'CARNET DE SOUDURE'!$P$7:$P$3006,"&lt;&gt;")&gt;0,"⚠ DIFFÉRENTE","OK"))</f>
        <v/>
      </c>
      <c r="F1683" s="147"/>
      <c r="G1683" s="80"/>
      <c r="H1683" s="83"/>
      <c r="I1683" s="148" t="str">
        <f aca="false">IF(B1683="","",IFERROR(INDEX('CARNET DE SOUDURE'!$B$7:$B$3006,MATCH(B1683,'CARNET DE SOUDURE'!$L$7:$L$3006,0)),IFERROR(INDEX('CARNET DE SOUDURE'!$B$7:$B$3006,MATCH(B1683,'CARNET DE SOUDURE'!$O$7:$O$3006,0)),"")))</f>
        <v/>
      </c>
      <c r="J1683" s="82" t="str">
        <f aca="false">IF(B1683="","",IFERROR(INDEX('CARNET DE SOUDURE'!$E$7:$E$3006,MATCH(B1683,'CARNET DE SOUDURE'!$O$7:$O$3006,0)),""))</f>
        <v/>
      </c>
      <c r="K1683" s="82" t="str">
        <f aca="false">IF(B1683="","",IFERROR(INDEX('CARNET DE SOUDURE'!$E$7:$E$3006,MATCH(B1683,'CARNET DE SOUDURE'!$L$7:$L$3006,0)),""))</f>
        <v/>
      </c>
      <c r="L1683" s="82" t="str">
        <f aca="false">IF(B1683="","",IFERROR(INDEX('CARNET DE SOUDURE'!$D$7:$D$3006,MATCH(B1683,'CARNET DE SOUDURE'!$L$7:$L$3006,0)),IFERROR(INDEX('CARNET DE SOUDURE'!$D$7:$D$3006,MATCH(B1683,'CARNET DE SOUDURE'!$O$7:$O$3006,0)),"")))</f>
        <v/>
      </c>
      <c r="M1683" s="82" t="str">
        <f aca="false">IF(B1683="","",IF(OR(J1683&lt;&gt;"",K1683&lt;&gt;""),"POSÉ EN LIGNE",IF(COUNTIF(BARDAGE!$C$1:$C$5000,B1683)&gt;0,"BARDÉ","EN STOCK")))</f>
        <v/>
      </c>
      <c r="N1683" s="80"/>
    </row>
    <row r="1684" customFormat="false" ht="15" hidden="false" customHeight="false" outlineLevel="0" collapsed="false">
      <c r="A1684" s="82" t="str">
        <f aca="false">IF(B1684="","",ROW()-6)</f>
        <v/>
      </c>
      <c r="B1684" s="145"/>
      <c r="C1684" s="146"/>
      <c r="D1684" s="146"/>
      <c r="E1684" s="82" t="str">
        <f aca="false">IF(B1684="","",IF(COUNTIFS('CARNET DE SOUDURE'!$L$7:$L$3006,B1684,'CARNET DE SOUDURE'!$M$7:$M$3006,"&lt;&gt;"&amp;C1684,'CARNET DE SOUDURE'!$M$7:$M$3006,"&lt;&gt;")+COUNTIFS('CARNET DE SOUDURE'!$O$7:$O$3006,B1684,'CARNET DE SOUDURE'!$P$7:$P$3006,"&lt;&gt;"&amp;C1684,'CARNET DE SOUDURE'!$P$7:$P$3006,"&lt;&gt;")&gt;0,"⚠ DIFFÉRENTE","OK"))</f>
        <v/>
      </c>
      <c r="F1684" s="147"/>
      <c r="G1684" s="80"/>
      <c r="H1684" s="83"/>
      <c r="I1684" s="148" t="str">
        <f aca="false">IF(B1684="","",IFERROR(INDEX('CARNET DE SOUDURE'!$B$7:$B$3006,MATCH(B1684,'CARNET DE SOUDURE'!$L$7:$L$3006,0)),IFERROR(INDEX('CARNET DE SOUDURE'!$B$7:$B$3006,MATCH(B1684,'CARNET DE SOUDURE'!$O$7:$O$3006,0)),"")))</f>
        <v/>
      </c>
      <c r="J1684" s="82" t="str">
        <f aca="false">IF(B1684="","",IFERROR(INDEX('CARNET DE SOUDURE'!$E$7:$E$3006,MATCH(B1684,'CARNET DE SOUDURE'!$O$7:$O$3006,0)),""))</f>
        <v/>
      </c>
      <c r="K1684" s="82" t="str">
        <f aca="false">IF(B1684="","",IFERROR(INDEX('CARNET DE SOUDURE'!$E$7:$E$3006,MATCH(B1684,'CARNET DE SOUDURE'!$L$7:$L$3006,0)),""))</f>
        <v/>
      </c>
      <c r="L1684" s="82" t="str">
        <f aca="false">IF(B1684="","",IFERROR(INDEX('CARNET DE SOUDURE'!$D$7:$D$3006,MATCH(B1684,'CARNET DE SOUDURE'!$L$7:$L$3006,0)),IFERROR(INDEX('CARNET DE SOUDURE'!$D$7:$D$3006,MATCH(B1684,'CARNET DE SOUDURE'!$O$7:$O$3006,0)),"")))</f>
        <v/>
      </c>
      <c r="M1684" s="82" t="str">
        <f aca="false">IF(B1684="","",IF(OR(J1684&lt;&gt;"",K1684&lt;&gt;""),"POSÉ EN LIGNE",IF(COUNTIF(BARDAGE!$C$1:$C$5000,B1684)&gt;0,"BARDÉ","EN STOCK")))</f>
        <v/>
      </c>
      <c r="N1684" s="80"/>
    </row>
    <row r="1685" customFormat="false" ht="15" hidden="false" customHeight="false" outlineLevel="0" collapsed="false">
      <c r="A1685" s="82" t="str">
        <f aca="false">IF(B1685="","",ROW()-6)</f>
        <v/>
      </c>
      <c r="B1685" s="145"/>
      <c r="C1685" s="146"/>
      <c r="D1685" s="146"/>
      <c r="E1685" s="82" t="str">
        <f aca="false">IF(B1685="","",IF(COUNTIFS('CARNET DE SOUDURE'!$L$7:$L$3006,B1685,'CARNET DE SOUDURE'!$M$7:$M$3006,"&lt;&gt;"&amp;C1685,'CARNET DE SOUDURE'!$M$7:$M$3006,"&lt;&gt;")+COUNTIFS('CARNET DE SOUDURE'!$O$7:$O$3006,B1685,'CARNET DE SOUDURE'!$P$7:$P$3006,"&lt;&gt;"&amp;C1685,'CARNET DE SOUDURE'!$P$7:$P$3006,"&lt;&gt;")&gt;0,"⚠ DIFFÉRENTE","OK"))</f>
        <v/>
      </c>
      <c r="F1685" s="147"/>
      <c r="G1685" s="80"/>
      <c r="H1685" s="83"/>
      <c r="I1685" s="148" t="str">
        <f aca="false">IF(B1685="","",IFERROR(INDEX('CARNET DE SOUDURE'!$B$7:$B$3006,MATCH(B1685,'CARNET DE SOUDURE'!$L$7:$L$3006,0)),IFERROR(INDEX('CARNET DE SOUDURE'!$B$7:$B$3006,MATCH(B1685,'CARNET DE SOUDURE'!$O$7:$O$3006,0)),"")))</f>
        <v/>
      </c>
      <c r="J1685" s="82" t="str">
        <f aca="false">IF(B1685="","",IFERROR(INDEX('CARNET DE SOUDURE'!$E$7:$E$3006,MATCH(B1685,'CARNET DE SOUDURE'!$O$7:$O$3006,0)),""))</f>
        <v/>
      </c>
      <c r="K1685" s="82" t="str">
        <f aca="false">IF(B1685="","",IFERROR(INDEX('CARNET DE SOUDURE'!$E$7:$E$3006,MATCH(B1685,'CARNET DE SOUDURE'!$L$7:$L$3006,0)),""))</f>
        <v/>
      </c>
      <c r="L1685" s="82" t="str">
        <f aca="false">IF(B1685="","",IFERROR(INDEX('CARNET DE SOUDURE'!$D$7:$D$3006,MATCH(B1685,'CARNET DE SOUDURE'!$L$7:$L$3006,0)),IFERROR(INDEX('CARNET DE SOUDURE'!$D$7:$D$3006,MATCH(B1685,'CARNET DE SOUDURE'!$O$7:$O$3006,0)),"")))</f>
        <v/>
      </c>
      <c r="M1685" s="82" t="str">
        <f aca="false">IF(B1685="","",IF(OR(J1685&lt;&gt;"",K1685&lt;&gt;""),"POSÉ EN LIGNE",IF(COUNTIF(BARDAGE!$C$1:$C$5000,B1685)&gt;0,"BARDÉ","EN STOCK")))</f>
        <v/>
      </c>
      <c r="N1685" s="80"/>
    </row>
    <row r="1686" customFormat="false" ht="15" hidden="false" customHeight="false" outlineLevel="0" collapsed="false">
      <c r="A1686" s="82" t="str">
        <f aca="false">IF(B1686="","",ROW()-6)</f>
        <v/>
      </c>
      <c r="B1686" s="145"/>
      <c r="C1686" s="146"/>
      <c r="D1686" s="146"/>
      <c r="E1686" s="82" t="str">
        <f aca="false">IF(B1686="","",IF(COUNTIFS('CARNET DE SOUDURE'!$L$7:$L$3006,B1686,'CARNET DE SOUDURE'!$M$7:$M$3006,"&lt;&gt;"&amp;C1686,'CARNET DE SOUDURE'!$M$7:$M$3006,"&lt;&gt;")+COUNTIFS('CARNET DE SOUDURE'!$O$7:$O$3006,B1686,'CARNET DE SOUDURE'!$P$7:$P$3006,"&lt;&gt;"&amp;C1686,'CARNET DE SOUDURE'!$P$7:$P$3006,"&lt;&gt;")&gt;0,"⚠ DIFFÉRENTE","OK"))</f>
        <v/>
      </c>
      <c r="F1686" s="147"/>
      <c r="G1686" s="80"/>
      <c r="H1686" s="83"/>
      <c r="I1686" s="148" t="str">
        <f aca="false">IF(B1686="","",IFERROR(INDEX('CARNET DE SOUDURE'!$B$7:$B$3006,MATCH(B1686,'CARNET DE SOUDURE'!$L$7:$L$3006,0)),IFERROR(INDEX('CARNET DE SOUDURE'!$B$7:$B$3006,MATCH(B1686,'CARNET DE SOUDURE'!$O$7:$O$3006,0)),"")))</f>
        <v/>
      </c>
      <c r="J1686" s="82" t="str">
        <f aca="false">IF(B1686="","",IFERROR(INDEX('CARNET DE SOUDURE'!$E$7:$E$3006,MATCH(B1686,'CARNET DE SOUDURE'!$O$7:$O$3006,0)),""))</f>
        <v/>
      </c>
      <c r="K1686" s="82" t="str">
        <f aca="false">IF(B1686="","",IFERROR(INDEX('CARNET DE SOUDURE'!$E$7:$E$3006,MATCH(B1686,'CARNET DE SOUDURE'!$L$7:$L$3006,0)),""))</f>
        <v/>
      </c>
      <c r="L1686" s="82" t="str">
        <f aca="false">IF(B1686="","",IFERROR(INDEX('CARNET DE SOUDURE'!$D$7:$D$3006,MATCH(B1686,'CARNET DE SOUDURE'!$L$7:$L$3006,0)),IFERROR(INDEX('CARNET DE SOUDURE'!$D$7:$D$3006,MATCH(B1686,'CARNET DE SOUDURE'!$O$7:$O$3006,0)),"")))</f>
        <v/>
      </c>
      <c r="M1686" s="82" t="str">
        <f aca="false">IF(B1686="","",IF(OR(J1686&lt;&gt;"",K1686&lt;&gt;""),"POSÉ EN LIGNE",IF(COUNTIF(BARDAGE!$C$1:$C$5000,B1686)&gt;0,"BARDÉ","EN STOCK")))</f>
        <v/>
      </c>
      <c r="N1686" s="80"/>
    </row>
    <row r="1687" customFormat="false" ht="15" hidden="false" customHeight="false" outlineLevel="0" collapsed="false">
      <c r="A1687" s="82" t="str">
        <f aca="false">IF(B1687="","",ROW()-6)</f>
        <v/>
      </c>
      <c r="B1687" s="145"/>
      <c r="C1687" s="146"/>
      <c r="D1687" s="146"/>
      <c r="E1687" s="82" t="str">
        <f aca="false">IF(B1687="","",IF(COUNTIFS('CARNET DE SOUDURE'!$L$7:$L$3006,B1687,'CARNET DE SOUDURE'!$M$7:$M$3006,"&lt;&gt;"&amp;C1687,'CARNET DE SOUDURE'!$M$7:$M$3006,"&lt;&gt;")+COUNTIFS('CARNET DE SOUDURE'!$O$7:$O$3006,B1687,'CARNET DE SOUDURE'!$P$7:$P$3006,"&lt;&gt;"&amp;C1687,'CARNET DE SOUDURE'!$P$7:$P$3006,"&lt;&gt;")&gt;0,"⚠ DIFFÉRENTE","OK"))</f>
        <v/>
      </c>
      <c r="F1687" s="147"/>
      <c r="G1687" s="80"/>
      <c r="H1687" s="83"/>
      <c r="I1687" s="148" t="str">
        <f aca="false">IF(B1687="","",IFERROR(INDEX('CARNET DE SOUDURE'!$B$7:$B$3006,MATCH(B1687,'CARNET DE SOUDURE'!$L$7:$L$3006,0)),IFERROR(INDEX('CARNET DE SOUDURE'!$B$7:$B$3006,MATCH(B1687,'CARNET DE SOUDURE'!$O$7:$O$3006,0)),"")))</f>
        <v/>
      </c>
      <c r="J1687" s="82" t="str">
        <f aca="false">IF(B1687="","",IFERROR(INDEX('CARNET DE SOUDURE'!$E$7:$E$3006,MATCH(B1687,'CARNET DE SOUDURE'!$O$7:$O$3006,0)),""))</f>
        <v/>
      </c>
      <c r="K1687" s="82" t="str">
        <f aca="false">IF(B1687="","",IFERROR(INDEX('CARNET DE SOUDURE'!$E$7:$E$3006,MATCH(B1687,'CARNET DE SOUDURE'!$L$7:$L$3006,0)),""))</f>
        <v/>
      </c>
      <c r="L1687" s="82" t="str">
        <f aca="false">IF(B1687="","",IFERROR(INDEX('CARNET DE SOUDURE'!$D$7:$D$3006,MATCH(B1687,'CARNET DE SOUDURE'!$L$7:$L$3006,0)),IFERROR(INDEX('CARNET DE SOUDURE'!$D$7:$D$3006,MATCH(B1687,'CARNET DE SOUDURE'!$O$7:$O$3006,0)),"")))</f>
        <v/>
      </c>
      <c r="M1687" s="82" t="str">
        <f aca="false">IF(B1687="","",IF(OR(J1687&lt;&gt;"",K1687&lt;&gt;""),"POSÉ EN LIGNE",IF(COUNTIF(BARDAGE!$C$1:$C$5000,B1687)&gt;0,"BARDÉ","EN STOCK")))</f>
        <v/>
      </c>
      <c r="N1687" s="80"/>
    </row>
    <row r="1688" customFormat="false" ht="15" hidden="false" customHeight="false" outlineLevel="0" collapsed="false">
      <c r="A1688" s="82" t="str">
        <f aca="false">IF(B1688="","",ROW()-6)</f>
        <v/>
      </c>
      <c r="B1688" s="145"/>
      <c r="C1688" s="146"/>
      <c r="D1688" s="146"/>
      <c r="E1688" s="82" t="str">
        <f aca="false">IF(B1688="","",IF(COUNTIFS('CARNET DE SOUDURE'!$L$7:$L$3006,B1688,'CARNET DE SOUDURE'!$M$7:$M$3006,"&lt;&gt;"&amp;C1688,'CARNET DE SOUDURE'!$M$7:$M$3006,"&lt;&gt;")+COUNTIFS('CARNET DE SOUDURE'!$O$7:$O$3006,B1688,'CARNET DE SOUDURE'!$P$7:$P$3006,"&lt;&gt;"&amp;C1688,'CARNET DE SOUDURE'!$P$7:$P$3006,"&lt;&gt;")&gt;0,"⚠ DIFFÉRENTE","OK"))</f>
        <v/>
      </c>
      <c r="F1688" s="147"/>
      <c r="G1688" s="80"/>
      <c r="H1688" s="83"/>
      <c r="I1688" s="148" t="str">
        <f aca="false">IF(B1688="","",IFERROR(INDEX('CARNET DE SOUDURE'!$B$7:$B$3006,MATCH(B1688,'CARNET DE SOUDURE'!$L$7:$L$3006,0)),IFERROR(INDEX('CARNET DE SOUDURE'!$B$7:$B$3006,MATCH(B1688,'CARNET DE SOUDURE'!$O$7:$O$3006,0)),"")))</f>
        <v/>
      </c>
      <c r="J1688" s="82" t="str">
        <f aca="false">IF(B1688="","",IFERROR(INDEX('CARNET DE SOUDURE'!$E$7:$E$3006,MATCH(B1688,'CARNET DE SOUDURE'!$O$7:$O$3006,0)),""))</f>
        <v/>
      </c>
      <c r="K1688" s="82" t="str">
        <f aca="false">IF(B1688="","",IFERROR(INDEX('CARNET DE SOUDURE'!$E$7:$E$3006,MATCH(B1688,'CARNET DE SOUDURE'!$L$7:$L$3006,0)),""))</f>
        <v/>
      </c>
      <c r="L1688" s="82" t="str">
        <f aca="false">IF(B1688="","",IFERROR(INDEX('CARNET DE SOUDURE'!$D$7:$D$3006,MATCH(B1688,'CARNET DE SOUDURE'!$L$7:$L$3006,0)),IFERROR(INDEX('CARNET DE SOUDURE'!$D$7:$D$3006,MATCH(B1688,'CARNET DE SOUDURE'!$O$7:$O$3006,0)),"")))</f>
        <v/>
      </c>
      <c r="M1688" s="82" t="str">
        <f aca="false">IF(B1688="","",IF(OR(J1688&lt;&gt;"",K1688&lt;&gt;""),"POSÉ EN LIGNE",IF(COUNTIF(BARDAGE!$C$1:$C$5000,B1688)&gt;0,"BARDÉ","EN STOCK")))</f>
        <v/>
      </c>
      <c r="N1688" s="80"/>
    </row>
    <row r="1689" customFormat="false" ht="15" hidden="false" customHeight="false" outlineLevel="0" collapsed="false">
      <c r="A1689" s="82" t="str">
        <f aca="false">IF(B1689="","",ROW()-6)</f>
        <v/>
      </c>
      <c r="B1689" s="145"/>
      <c r="C1689" s="146"/>
      <c r="D1689" s="146"/>
      <c r="E1689" s="82" t="str">
        <f aca="false">IF(B1689="","",IF(COUNTIFS('CARNET DE SOUDURE'!$L$7:$L$3006,B1689,'CARNET DE SOUDURE'!$M$7:$M$3006,"&lt;&gt;"&amp;C1689,'CARNET DE SOUDURE'!$M$7:$M$3006,"&lt;&gt;")+COUNTIFS('CARNET DE SOUDURE'!$O$7:$O$3006,B1689,'CARNET DE SOUDURE'!$P$7:$P$3006,"&lt;&gt;"&amp;C1689,'CARNET DE SOUDURE'!$P$7:$P$3006,"&lt;&gt;")&gt;0,"⚠ DIFFÉRENTE","OK"))</f>
        <v/>
      </c>
      <c r="F1689" s="147"/>
      <c r="G1689" s="80"/>
      <c r="H1689" s="83"/>
      <c r="I1689" s="148" t="str">
        <f aca="false">IF(B1689="","",IFERROR(INDEX('CARNET DE SOUDURE'!$B$7:$B$3006,MATCH(B1689,'CARNET DE SOUDURE'!$L$7:$L$3006,0)),IFERROR(INDEX('CARNET DE SOUDURE'!$B$7:$B$3006,MATCH(B1689,'CARNET DE SOUDURE'!$O$7:$O$3006,0)),"")))</f>
        <v/>
      </c>
      <c r="J1689" s="82" t="str">
        <f aca="false">IF(B1689="","",IFERROR(INDEX('CARNET DE SOUDURE'!$E$7:$E$3006,MATCH(B1689,'CARNET DE SOUDURE'!$O$7:$O$3006,0)),""))</f>
        <v/>
      </c>
      <c r="K1689" s="82" t="str">
        <f aca="false">IF(B1689="","",IFERROR(INDEX('CARNET DE SOUDURE'!$E$7:$E$3006,MATCH(B1689,'CARNET DE SOUDURE'!$L$7:$L$3006,0)),""))</f>
        <v/>
      </c>
      <c r="L1689" s="82" t="str">
        <f aca="false">IF(B1689="","",IFERROR(INDEX('CARNET DE SOUDURE'!$D$7:$D$3006,MATCH(B1689,'CARNET DE SOUDURE'!$L$7:$L$3006,0)),IFERROR(INDEX('CARNET DE SOUDURE'!$D$7:$D$3006,MATCH(B1689,'CARNET DE SOUDURE'!$O$7:$O$3006,0)),"")))</f>
        <v/>
      </c>
      <c r="M1689" s="82" t="str">
        <f aca="false">IF(B1689="","",IF(OR(J1689&lt;&gt;"",K1689&lt;&gt;""),"POSÉ EN LIGNE",IF(COUNTIF(BARDAGE!$C$1:$C$5000,B1689)&gt;0,"BARDÉ","EN STOCK")))</f>
        <v/>
      </c>
      <c r="N1689" s="80"/>
    </row>
    <row r="1690" customFormat="false" ht="15" hidden="false" customHeight="false" outlineLevel="0" collapsed="false">
      <c r="A1690" s="82" t="str">
        <f aca="false">IF(B1690="","",ROW()-6)</f>
        <v/>
      </c>
      <c r="B1690" s="145"/>
      <c r="C1690" s="146"/>
      <c r="D1690" s="146"/>
      <c r="E1690" s="82" t="str">
        <f aca="false">IF(B1690="","",IF(COUNTIFS('CARNET DE SOUDURE'!$L$7:$L$3006,B1690,'CARNET DE SOUDURE'!$M$7:$M$3006,"&lt;&gt;"&amp;C1690,'CARNET DE SOUDURE'!$M$7:$M$3006,"&lt;&gt;")+COUNTIFS('CARNET DE SOUDURE'!$O$7:$O$3006,B1690,'CARNET DE SOUDURE'!$P$7:$P$3006,"&lt;&gt;"&amp;C1690,'CARNET DE SOUDURE'!$P$7:$P$3006,"&lt;&gt;")&gt;0,"⚠ DIFFÉRENTE","OK"))</f>
        <v/>
      </c>
      <c r="F1690" s="147"/>
      <c r="G1690" s="80"/>
      <c r="H1690" s="83"/>
      <c r="I1690" s="148" t="str">
        <f aca="false">IF(B1690="","",IFERROR(INDEX('CARNET DE SOUDURE'!$B$7:$B$3006,MATCH(B1690,'CARNET DE SOUDURE'!$L$7:$L$3006,0)),IFERROR(INDEX('CARNET DE SOUDURE'!$B$7:$B$3006,MATCH(B1690,'CARNET DE SOUDURE'!$O$7:$O$3006,0)),"")))</f>
        <v/>
      </c>
      <c r="J1690" s="82" t="str">
        <f aca="false">IF(B1690="","",IFERROR(INDEX('CARNET DE SOUDURE'!$E$7:$E$3006,MATCH(B1690,'CARNET DE SOUDURE'!$O$7:$O$3006,0)),""))</f>
        <v/>
      </c>
      <c r="K1690" s="82" t="str">
        <f aca="false">IF(B1690="","",IFERROR(INDEX('CARNET DE SOUDURE'!$E$7:$E$3006,MATCH(B1690,'CARNET DE SOUDURE'!$L$7:$L$3006,0)),""))</f>
        <v/>
      </c>
      <c r="L1690" s="82" t="str">
        <f aca="false">IF(B1690="","",IFERROR(INDEX('CARNET DE SOUDURE'!$D$7:$D$3006,MATCH(B1690,'CARNET DE SOUDURE'!$L$7:$L$3006,0)),IFERROR(INDEX('CARNET DE SOUDURE'!$D$7:$D$3006,MATCH(B1690,'CARNET DE SOUDURE'!$O$7:$O$3006,0)),"")))</f>
        <v/>
      </c>
      <c r="M1690" s="82" t="str">
        <f aca="false">IF(B1690="","",IF(OR(J1690&lt;&gt;"",K1690&lt;&gt;""),"POSÉ EN LIGNE",IF(COUNTIF(BARDAGE!$C$1:$C$5000,B1690)&gt;0,"BARDÉ","EN STOCK")))</f>
        <v/>
      </c>
      <c r="N1690" s="80"/>
    </row>
    <row r="1691" customFormat="false" ht="15" hidden="false" customHeight="false" outlineLevel="0" collapsed="false">
      <c r="A1691" s="82" t="str">
        <f aca="false">IF(B1691="","",ROW()-6)</f>
        <v/>
      </c>
      <c r="B1691" s="145"/>
      <c r="C1691" s="146"/>
      <c r="D1691" s="146"/>
      <c r="E1691" s="82" t="str">
        <f aca="false">IF(B1691="","",IF(COUNTIFS('CARNET DE SOUDURE'!$L$7:$L$3006,B1691,'CARNET DE SOUDURE'!$M$7:$M$3006,"&lt;&gt;"&amp;C1691,'CARNET DE SOUDURE'!$M$7:$M$3006,"&lt;&gt;")+COUNTIFS('CARNET DE SOUDURE'!$O$7:$O$3006,B1691,'CARNET DE SOUDURE'!$P$7:$P$3006,"&lt;&gt;"&amp;C1691,'CARNET DE SOUDURE'!$P$7:$P$3006,"&lt;&gt;")&gt;0,"⚠ DIFFÉRENTE","OK"))</f>
        <v/>
      </c>
      <c r="F1691" s="147"/>
      <c r="G1691" s="80"/>
      <c r="H1691" s="83"/>
      <c r="I1691" s="148" t="str">
        <f aca="false">IF(B1691="","",IFERROR(INDEX('CARNET DE SOUDURE'!$B$7:$B$3006,MATCH(B1691,'CARNET DE SOUDURE'!$L$7:$L$3006,0)),IFERROR(INDEX('CARNET DE SOUDURE'!$B$7:$B$3006,MATCH(B1691,'CARNET DE SOUDURE'!$O$7:$O$3006,0)),"")))</f>
        <v/>
      </c>
      <c r="J1691" s="82" t="str">
        <f aca="false">IF(B1691="","",IFERROR(INDEX('CARNET DE SOUDURE'!$E$7:$E$3006,MATCH(B1691,'CARNET DE SOUDURE'!$O$7:$O$3006,0)),""))</f>
        <v/>
      </c>
      <c r="K1691" s="82" t="str">
        <f aca="false">IF(B1691="","",IFERROR(INDEX('CARNET DE SOUDURE'!$E$7:$E$3006,MATCH(B1691,'CARNET DE SOUDURE'!$L$7:$L$3006,0)),""))</f>
        <v/>
      </c>
      <c r="L1691" s="82" t="str">
        <f aca="false">IF(B1691="","",IFERROR(INDEX('CARNET DE SOUDURE'!$D$7:$D$3006,MATCH(B1691,'CARNET DE SOUDURE'!$L$7:$L$3006,0)),IFERROR(INDEX('CARNET DE SOUDURE'!$D$7:$D$3006,MATCH(B1691,'CARNET DE SOUDURE'!$O$7:$O$3006,0)),"")))</f>
        <v/>
      </c>
      <c r="M1691" s="82" t="str">
        <f aca="false">IF(B1691="","",IF(OR(J1691&lt;&gt;"",K1691&lt;&gt;""),"POSÉ EN LIGNE",IF(COUNTIF(BARDAGE!$C$1:$C$5000,B1691)&gt;0,"BARDÉ","EN STOCK")))</f>
        <v/>
      </c>
      <c r="N1691" s="80"/>
    </row>
    <row r="1692" customFormat="false" ht="15" hidden="false" customHeight="false" outlineLevel="0" collapsed="false">
      <c r="A1692" s="82" t="str">
        <f aca="false">IF(B1692="","",ROW()-6)</f>
        <v/>
      </c>
      <c r="B1692" s="145"/>
      <c r="C1692" s="146"/>
      <c r="D1692" s="146"/>
      <c r="E1692" s="82" t="str">
        <f aca="false">IF(B1692="","",IF(COUNTIFS('CARNET DE SOUDURE'!$L$7:$L$3006,B1692,'CARNET DE SOUDURE'!$M$7:$M$3006,"&lt;&gt;"&amp;C1692,'CARNET DE SOUDURE'!$M$7:$M$3006,"&lt;&gt;")+COUNTIFS('CARNET DE SOUDURE'!$O$7:$O$3006,B1692,'CARNET DE SOUDURE'!$P$7:$P$3006,"&lt;&gt;"&amp;C1692,'CARNET DE SOUDURE'!$P$7:$P$3006,"&lt;&gt;")&gt;0,"⚠ DIFFÉRENTE","OK"))</f>
        <v/>
      </c>
      <c r="F1692" s="147"/>
      <c r="G1692" s="80"/>
      <c r="H1692" s="83"/>
      <c r="I1692" s="148" t="str">
        <f aca="false">IF(B1692="","",IFERROR(INDEX('CARNET DE SOUDURE'!$B$7:$B$3006,MATCH(B1692,'CARNET DE SOUDURE'!$L$7:$L$3006,0)),IFERROR(INDEX('CARNET DE SOUDURE'!$B$7:$B$3006,MATCH(B1692,'CARNET DE SOUDURE'!$O$7:$O$3006,0)),"")))</f>
        <v/>
      </c>
      <c r="J1692" s="82" t="str">
        <f aca="false">IF(B1692="","",IFERROR(INDEX('CARNET DE SOUDURE'!$E$7:$E$3006,MATCH(B1692,'CARNET DE SOUDURE'!$O$7:$O$3006,0)),""))</f>
        <v/>
      </c>
      <c r="K1692" s="82" t="str">
        <f aca="false">IF(B1692="","",IFERROR(INDEX('CARNET DE SOUDURE'!$E$7:$E$3006,MATCH(B1692,'CARNET DE SOUDURE'!$L$7:$L$3006,0)),""))</f>
        <v/>
      </c>
      <c r="L1692" s="82" t="str">
        <f aca="false">IF(B1692="","",IFERROR(INDEX('CARNET DE SOUDURE'!$D$7:$D$3006,MATCH(B1692,'CARNET DE SOUDURE'!$L$7:$L$3006,0)),IFERROR(INDEX('CARNET DE SOUDURE'!$D$7:$D$3006,MATCH(B1692,'CARNET DE SOUDURE'!$O$7:$O$3006,0)),"")))</f>
        <v/>
      </c>
      <c r="M1692" s="82" t="str">
        <f aca="false">IF(B1692="","",IF(OR(J1692&lt;&gt;"",K1692&lt;&gt;""),"POSÉ EN LIGNE",IF(COUNTIF(BARDAGE!$C$1:$C$5000,B1692)&gt;0,"BARDÉ","EN STOCK")))</f>
        <v/>
      </c>
      <c r="N1692" s="80"/>
    </row>
    <row r="1693" customFormat="false" ht="15" hidden="false" customHeight="false" outlineLevel="0" collapsed="false">
      <c r="A1693" s="82" t="str">
        <f aca="false">IF(B1693="","",ROW()-6)</f>
        <v/>
      </c>
      <c r="B1693" s="145"/>
      <c r="C1693" s="146"/>
      <c r="D1693" s="146"/>
      <c r="E1693" s="82" t="str">
        <f aca="false">IF(B1693="","",IF(COUNTIFS('CARNET DE SOUDURE'!$L$7:$L$3006,B1693,'CARNET DE SOUDURE'!$M$7:$M$3006,"&lt;&gt;"&amp;C1693,'CARNET DE SOUDURE'!$M$7:$M$3006,"&lt;&gt;")+COUNTIFS('CARNET DE SOUDURE'!$O$7:$O$3006,B1693,'CARNET DE SOUDURE'!$P$7:$P$3006,"&lt;&gt;"&amp;C1693,'CARNET DE SOUDURE'!$P$7:$P$3006,"&lt;&gt;")&gt;0,"⚠ DIFFÉRENTE","OK"))</f>
        <v/>
      </c>
      <c r="F1693" s="147"/>
      <c r="G1693" s="80"/>
      <c r="H1693" s="83"/>
      <c r="I1693" s="148" t="str">
        <f aca="false">IF(B1693="","",IFERROR(INDEX('CARNET DE SOUDURE'!$B$7:$B$3006,MATCH(B1693,'CARNET DE SOUDURE'!$L$7:$L$3006,0)),IFERROR(INDEX('CARNET DE SOUDURE'!$B$7:$B$3006,MATCH(B1693,'CARNET DE SOUDURE'!$O$7:$O$3006,0)),"")))</f>
        <v/>
      </c>
      <c r="J1693" s="82" t="str">
        <f aca="false">IF(B1693="","",IFERROR(INDEX('CARNET DE SOUDURE'!$E$7:$E$3006,MATCH(B1693,'CARNET DE SOUDURE'!$O$7:$O$3006,0)),""))</f>
        <v/>
      </c>
      <c r="K1693" s="82" t="str">
        <f aca="false">IF(B1693="","",IFERROR(INDEX('CARNET DE SOUDURE'!$E$7:$E$3006,MATCH(B1693,'CARNET DE SOUDURE'!$L$7:$L$3006,0)),""))</f>
        <v/>
      </c>
      <c r="L1693" s="82" t="str">
        <f aca="false">IF(B1693="","",IFERROR(INDEX('CARNET DE SOUDURE'!$D$7:$D$3006,MATCH(B1693,'CARNET DE SOUDURE'!$L$7:$L$3006,0)),IFERROR(INDEX('CARNET DE SOUDURE'!$D$7:$D$3006,MATCH(B1693,'CARNET DE SOUDURE'!$O$7:$O$3006,0)),"")))</f>
        <v/>
      </c>
      <c r="M1693" s="82" t="str">
        <f aca="false">IF(B1693="","",IF(OR(J1693&lt;&gt;"",K1693&lt;&gt;""),"POSÉ EN LIGNE",IF(COUNTIF(BARDAGE!$C$1:$C$5000,B1693)&gt;0,"BARDÉ","EN STOCK")))</f>
        <v/>
      </c>
      <c r="N1693" s="80"/>
    </row>
    <row r="1694" customFormat="false" ht="15" hidden="false" customHeight="false" outlineLevel="0" collapsed="false">
      <c r="A1694" s="82" t="str">
        <f aca="false">IF(B1694="","",ROW()-6)</f>
        <v/>
      </c>
      <c r="B1694" s="145"/>
      <c r="C1694" s="146"/>
      <c r="D1694" s="146"/>
      <c r="E1694" s="82" t="str">
        <f aca="false">IF(B1694="","",IF(COUNTIFS('CARNET DE SOUDURE'!$L$7:$L$3006,B1694,'CARNET DE SOUDURE'!$M$7:$M$3006,"&lt;&gt;"&amp;C1694,'CARNET DE SOUDURE'!$M$7:$M$3006,"&lt;&gt;")+COUNTIFS('CARNET DE SOUDURE'!$O$7:$O$3006,B1694,'CARNET DE SOUDURE'!$P$7:$P$3006,"&lt;&gt;"&amp;C1694,'CARNET DE SOUDURE'!$P$7:$P$3006,"&lt;&gt;")&gt;0,"⚠ DIFFÉRENTE","OK"))</f>
        <v/>
      </c>
      <c r="F1694" s="147"/>
      <c r="G1694" s="80"/>
      <c r="H1694" s="83"/>
      <c r="I1694" s="148" t="str">
        <f aca="false">IF(B1694="","",IFERROR(INDEX('CARNET DE SOUDURE'!$B$7:$B$3006,MATCH(B1694,'CARNET DE SOUDURE'!$L$7:$L$3006,0)),IFERROR(INDEX('CARNET DE SOUDURE'!$B$7:$B$3006,MATCH(B1694,'CARNET DE SOUDURE'!$O$7:$O$3006,0)),"")))</f>
        <v/>
      </c>
      <c r="J1694" s="82" t="str">
        <f aca="false">IF(B1694="","",IFERROR(INDEX('CARNET DE SOUDURE'!$E$7:$E$3006,MATCH(B1694,'CARNET DE SOUDURE'!$O$7:$O$3006,0)),""))</f>
        <v/>
      </c>
      <c r="K1694" s="82" t="str">
        <f aca="false">IF(B1694="","",IFERROR(INDEX('CARNET DE SOUDURE'!$E$7:$E$3006,MATCH(B1694,'CARNET DE SOUDURE'!$L$7:$L$3006,0)),""))</f>
        <v/>
      </c>
      <c r="L1694" s="82" t="str">
        <f aca="false">IF(B1694="","",IFERROR(INDEX('CARNET DE SOUDURE'!$D$7:$D$3006,MATCH(B1694,'CARNET DE SOUDURE'!$L$7:$L$3006,0)),IFERROR(INDEX('CARNET DE SOUDURE'!$D$7:$D$3006,MATCH(B1694,'CARNET DE SOUDURE'!$O$7:$O$3006,0)),"")))</f>
        <v/>
      </c>
      <c r="M1694" s="82" t="str">
        <f aca="false">IF(B1694="","",IF(OR(J1694&lt;&gt;"",K1694&lt;&gt;""),"POSÉ EN LIGNE",IF(COUNTIF(BARDAGE!$C$1:$C$5000,B1694)&gt;0,"BARDÉ","EN STOCK")))</f>
        <v/>
      </c>
      <c r="N1694" s="80"/>
    </row>
    <row r="1695" customFormat="false" ht="15" hidden="false" customHeight="false" outlineLevel="0" collapsed="false">
      <c r="A1695" s="82" t="str">
        <f aca="false">IF(B1695="","",ROW()-6)</f>
        <v/>
      </c>
      <c r="B1695" s="145"/>
      <c r="C1695" s="146"/>
      <c r="D1695" s="146"/>
      <c r="E1695" s="82" t="str">
        <f aca="false">IF(B1695="","",IF(COUNTIFS('CARNET DE SOUDURE'!$L$7:$L$3006,B1695,'CARNET DE SOUDURE'!$M$7:$M$3006,"&lt;&gt;"&amp;C1695,'CARNET DE SOUDURE'!$M$7:$M$3006,"&lt;&gt;")+COUNTIFS('CARNET DE SOUDURE'!$O$7:$O$3006,B1695,'CARNET DE SOUDURE'!$P$7:$P$3006,"&lt;&gt;"&amp;C1695,'CARNET DE SOUDURE'!$P$7:$P$3006,"&lt;&gt;")&gt;0,"⚠ DIFFÉRENTE","OK"))</f>
        <v/>
      </c>
      <c r="F1695" s="147"/>
      <c r="G1695" s="80"/>
      <c r="H1695" s="83"/>
      <c r="I1695" s="148" t="str">
        <f aca="false">IF(B1695="","",IFERROR(INDEX('CARNET DE SOUDURE'!$B$7:$B$3006,MATCH(B1695,'CARNET DE SOUDURE'!$L$7:$L$3006,0)),IFERROR(INDEX('CARNET DE SOUDURE'!$B$7:$B$3006,MATCH(B1695,'CARNET DE SOUDURE'!$O$7:$O$3006,0)),"")))</f>
        <v/>
      </c>
      <c r="J1695" s="82" t="str">
        <f aca="false">IF(B1695="","",IFERROR(INDEX('CARNET DE SOUDURE'!$E$7:$E$3006,MATCH(B1695,'CARNET DE SOUDURE'!$O$7:$O$3006,0)),""))</f>
        <v/>
      </c>
      <c r="K1695" s="82" t="str">
        <f aca="false">IF(B1695="","",IFERROR(INDEX('CARNET DE SOUDURE'!$E$7:$E$3006,MATCH(B1695,'CARNET DE SOUDURE'!$L$7:$L$3006,0)),""))</f>
        <v/>
      </c>
      <c r="L1695" s="82" t="str">
        <f aca="false">IF(B1695="","",IFERROR(INDEX('CARNET DE SOUDURE'!$D$7:$D$3006,MATCH(B1695,'CARNET DE SOUDURE'!$L$7:$L$3006,0)),IFERROR(INDEX('CARNET DE SOUDURE'!$D$7:$D$3006,MATCH(B1695,'CARNET DE SOUDURE'!$O$7:$O$3006,0)),"")))</f>
        <v/>
      </c>
      <c r="M1695" s="82" t="str">
        <f aca="false">IF(B1695="","",IF(OR(J1695&lt;&gt;"",K1695&lt;&gt;""),"POSÉ EN LIGNE",IF(COUNTIF(BARDAGE!$C$1:$C$5000,B1695)&gt;0,"BARDÉ","EN STOCK")))</f>
        <v/>
      </c>
      <c r="N1695" s="80"/>
    </row>
    <row r="1696" customFormat="false" ht="15" hidden="false" customHeight="false" outlineLevel="0" collapsed="false">
      <c r="A1696" s="82" t="str">
        <f aca="false">IF(B1696="","",ROW()-6)</f>
        <v/>
      </c>
      <c r="B1696" s="145"/>
      <c r="C1696" s="146"/>
      <c r="D1696" s="146"/>
      <c r="E1696" s="82" t="str">
        <f aca="false">IF(B1696="","",IF(COUNTIFS('CARNET DE SOUDURE'!$L$7:$L$3006,B1696,'CARNET DE SOUDURE'!$M$7:$M$3006,"&lt;&gt;"&amp;C1696,'CARNET DE SOUDURE'!$M$7:$M$3006,"&lt;&gt;")+COUNTIFS('CARNET DE SOUDURE'!$O$7:$O$3006,B1696,'CARNET DE SOUDURE'!$P$7:$P$3006,"&lt;&gt;"&amp;C1696,'CARNET DE SOUDURE'!$P$7:$P$3006,"&lt;&gt;")&gt;0,"⚠ DIFFÉRENTE","OK"))</f>
        <v/>
      </c>
      <c r="F1696" s="147"/>
      <c r="G1696" s="80"/>
      <c r="H1696" s="83"/>
      <c r="I1696" s="148" t="str">
        <f aca="false">IF(B1696="","",IFERROR(INDEX('CARNET DE SOUDURE'!$B$7:$B$3006,MATCH(B1696,'CARNET DE SOUDURE'!$L$7:$L$3006,0)),IFERROR(INDEX('CARNET DE SOUDURE'!$B$7:$B$3006,MATCH(B1696,'CARNET DE SOUDURE'!$O$7:$O$3006,0)),"")))</f>
        <v/>
      </c>
      <c r="J1696" s="82" t="str">
        <f aca="false">IF(B1696="","",IFERROR(INDEX('CARNET DE SOUDURE'!$E$7:$E$3006,MATCH(B1696,'CARNET DE SOUDURE'!$O$7:$O$3006,0)),""))</f>
        <v/>
      </c>
      <c r="K1696" s="82" t="str">
        <f aca="false">IF(B1696="","",IFERROR(INDEX('CARNET DE SOUDURE'!$E$7:$E$3006,MATCH(B1696,'CARNET DE SOUDURE'!$L$7:$L$3006,0)),""))</f>
        <v/>
      </c>
      <c r="L1696" s="82" t="str">
        <f aca="false">IF(B1696="","",IFERROR(INDEX('CARNET DE SOUDURE'!$D$7:$D$3006,MATCH(B1696,'CARNET DE SOUDURE'!$L$7:$L$3006,0)),IFERROR(INDEX('CARNET DE SOUDURE'!$D$7:$D$3006,MATCH(B1696,'CARNET DE SOUDURE'!$O$7:$O$3006,0)),"")))</f>
        <v/>
      </c>
      <c r="M1696" s="82" t="str">
        <f aca="false">IF(B1696="","",IF(OR(J1696&lt;&gt;"",K1696&lt;&gt;""),"POSÉ EN LIGNE",IF(COUNTIF(BARDAGE!$C$1:$C$5000,B1696)&gt;0,"BARDÉ","EN STOCK")))</f>
        <v/>
      </c>
      <c r="N1696" s="80"/>
    </row>
    <row r="1697" customFormat="false" ht="15" hidden="false" customHeight="false" outlineLevel="0" collapsed="false">
      <c r="A1697" s="82" t="str">
        <f aca="false">IF(B1697="","",ROW()-6)</f>
        <v/>
      </c>
      <c r="B1697" s="145"/>
      <c r="C1697" s="146"/>
      <c r="D1697" s="146"/>
      <c r="E1697" s="82" t="str">
        <f aca="false">IF(B1697="","",IF(COUNTIFS('CARNET DE SOUDURE'!$L$7:$L$3006,B1697,'CARNET DE SOUDURE'!$M$7:$M$3006,"&lt;&gt;"&amp;C1697,'CARNET DE SOUDURE'!$M$7:$M$3006,"&lt;&gt;")+COUNTIFS('CARNET DE SOUDURE'!$O$7:$O$3006,B1697,'CARNET DE SOUDURE'!$P$7:$P$3006,"&lt;&gt;"&amp;C1697,'CARNET DE SOUDURE'!$P$7:$P$3006,"&lt;&gt;")&gt;0,"⚠ DIFFÉRENTE","OK"))</f>
        <v/>
      </c>
      <c r="F1697" s="147"/>
      <c r="G1697" s="80"/>
      <c r="H1697" s="83"/>
      <c r="I1697" s="148" t="str">
        <f aca="false">IF(B1697="","",IFERROR(INDEX('CARNET DE SOUDURE'!$B$7:$B$3006,MATCH(B1697,'CARNET DE SOUDURE'!$L$7:$L$3006,0)),IFERROR(INDEX('CARNET DE SOUDURE'!$B$7:$B$3006,MATCH(B1697,'CARNET DE SOUDURE'!$O$7:$O$3006,0)),"")))</f>
        <v/>
      </c>
      <c r="J1697" s="82" t="str">
        <f aca="false">IF(B1697="","",IFERROR(INDEX('CARNET DE SOUDURE'!$E$7:$E$3006,MATCH(B1697,'CARNET DE SOUDURE'!$O$7:$O$3006,0)),""))</f>
        <v/>
      </c>
      <c r="K1697" s="82" t="str">
        <f aca="false">IF(B1697="","",IFERROR(INDEX('CARNET DE SOUDURE'!$E$7:$E$3006,MATCH(B1697,'CARNET DE SOUDURE'!$L$7:$L$3006,0)),""))</f>
        <v/>
      </c>
      <c r="L1697" s="82" t="str">
        <f aca="false">IF(B1697="","",IFERROR(INDEX('CARNET DE SOUDURE'!$D$7:$D$3006,MATCH(B1697,'CARNET DE SOUDURE'!$L$7:$L$3006,0)),IFERROR(INDEX('CARNET DE SOUDURE'!$D$7:$D$3006,MATCH(B1697,'CARNET DE SOUDURE'!$O$7:$O$3006,0)),"")))</f>
        <v/>
      </c>
      <c r="M1697" s="82" t="str">
        <f aca="false">IF(B1697="","",IF(OR(J1697&lt;&gt;"",K1697&lt;&gt;""),"POSÉ EN LIGNE",IF(COUNTIF(BARDAGE!$C$1:$C$5000,B1697)&gt;0,"BARDÉ","EN STOCK")))</f>
        <v/>
      </c>
      <c r="N1697" s="80"/>
    </row>
    <row r="1698" customFormat="false" ht="15" hidden="false" customHeight="false" outlineLevel="0" collapsed="false">
      <c r="A1698" s="82" t="str">
        <f aca="false">IF(B1698="","",ROW()-6)</f>
        <v/>
      </c>
      <c r="B1698" s="145"/>
      <c r="C1698" s="146"/>
      <c r="D1698" s="146"/>
      <c r="E1698" s="82" t="str">
        <f aca="false">IF(B1698="","",IF(COUNTIFS('CARNET DE SOUDURE'!$L$7:$L$3006,B1698,'CARNET DE SOUDURE'!$M$7:$M$3006,"&lt;&gt;"&amp;C1698,'CARNET DE SOUDURE'!$M$7:$M$3006,"&lt;&gt;")+COUNTIFS('CARNET DE SOUDURE'!$O$7:$O$3006,B1698,'CARNET DE SOUDURE'!$P$7:$P$3006,"&lt;&gt;"&amp;C1698,'CARNET DE SOUDURE'!$P$7:$P$3006,"&lt;&gt;")&gt;0,"⚠ DIFFÉRENTE","OK"))</f>
        <v/>
      </c>
      <c r="F1698" s="147"/>
      <c r="G1698" s="80"/>
      <c r="H1698" s="83"/>
      <c r="I1698" s="148" t="str">
        <f aca="false">IF(B1698="","",IFERROR(INDEX('CARNET DE SOUDURE'!$B$7:$B$3006,MATCH(B1698,'CARNET DE SOUDURE'!$L$7:$L$3006,0)),IFERROR(INDEX('CARNET DE SOUDURE'!$B$7:$B$3006,MATCH(B1698,'CARNET DE SOUDURE'!$O$7:$O$3006,0)),"")))</f>
        <v/>
      </c>
      <c r="J1698" s="82" t="str">
        <f aca="false">IF(B1698="","",IFERROR(INDEX('CARNET DE SOUDURE'!$E$7:$E$3006,MATCH(B1698,'CARNET DE SOUDURE'!$O$7:$O$3006,0)),""))</f>
        <v/>
      </c>
      <c r="K1698" s="82" t="str">
        <f aca="false">IF(B1698="","",IFERROR(INDEX('CARNET DE SOUDURE'!$E$7:$E$3006,MATCH(B1698,'CARNET DE SOUDURE'!$L$7:$L$3006,0)),""))</f>
        <v/>
      </c>
      <c r="L1698" s="82" t="str">
        <f aca="false">IF(B1698="","",IFERROR(INDEX('CARNET DE SOUDURE'!$D$7:$D$3006,MATCH(B1698,'CARNET DE SOUDURE'!$L$7:$L$3006,0)),IFERROR(INDEX('CARNET DE SOUDURE'!$D$7:$D$3006,MATCH(B1698,'CARNET DE SOUDURE'!$O$7:$O$3006,0)),"")))</f>
        <v/>
      </c>
      <c r="M1698" s="82" t="str">
        <f aca="false">IF(B1698="","",IF(OR(J1698&lt;&gt;"",K1698&lt;&gt;""),"POSÉ EN LIGNE",IF(COUNTIF(BARDAGE!$C$1:$C$5000,B1698)&gt;0,"BARDÉ","EN STOCK")))</f>
        <v/>
      </c>
      <c r="N1698" s="80"/>
    </row>
    <row r="1699" customFormat="false" ht="15" hidden="false" customHeight="false" outlineLevel="0" collapsed="false">
      <c r="A1699" s="82" t="str">
        <f aca="false">IF(B1699="","",ROW()-6)</f>
        <v/>
      </c>
      <c r="B1699" s="145"/>
      <c r="C1699" s="146"/>
      <c r="D1699" s="146"/>
      <c r="E1699" s="82" t="str">
        <f aca="false">IF(B1699="","",IF(COUNTIFS('CARNET DE SOUDURE'!$L$7:$L$3006,B1699,'CARNET DE SOUDURE'!$M$7:$M$3006,"&lt;&gt;"&amp;C1699,'CARNET DE SOUDURE'!$M$7:$M$3006,"&lt;&gt;")+COUNTIFS('CARNET DE SOUDURE'!$O$7:$O$3006,B1699,'CARNET DE SOUDURE'!$P$7:$P$3006,"&lt;&gt;"&amp;C1699,'CARNET DE SOUDURE'!$P$7:$P$3006,"&lt;&gt;")&gt;0,"⚠ DIFFÉRENTE","OK"))</f>
        <v/>
      </c>
      <c r="F1699" s="147"/>
      <c r="G1699" s="80"/>
      <c r="H1699" s="83"/>
      <c r="I1699" s="148" t="str">
        <f aca="false">IF(B1699="","",IFERROR(INDEX('CARNET DE SOUDURE'!$B$7:$B$3006,MATCH(B1699,'CARNET DE SOUDURE'!$L$7:$L$3006,0)),IFERROR(INDEX('CARNET DE SOUDURE'!$B$7:$B$3006,MATCH(B1699,'CARNET DE SOUDURE'!$O$7:$O$3006,0)),"")))</f>
        <v/>
      </c>
      <c r="J1699" s="82" t="str">
        <f aca="false">IF(B1699="","",IFERROR(INDEX('CARNET DE SOUDURE'!$E$7:$E$3006,MATCH(B1699,'CARNET DE SOUDURE'!$O$7:$O$3006,0)),""))</f>
        <v/>
      </c>
      <c r="K1699" s="82" t="str">
        <f aca="false">IF(B1699="","",IFERROR(INDEX('CARNET DE SOUDURE'!$E$7:$E$3006,MATCH(B1699,'CARNET DE SOUDURE'!$L$7:$L$3006,0)),""))</f>
        <v/>
      </c>
      <c r="L1699" s="82" t="str">
        <f aca="false">IF(B1699="","",IFERROR(INDEX('CARNET DE SOUDURE'!$D$7:$D$3006,MATCH(B1699,'CARNET DE SOUDURE'!$L$7:$L$3006,0)),IFERROR(INDEX('CARNET DE SOUDURE'!$D$7:$D$3006,MATCH(B1699,'CARNET DE SOUDURE'!$O$7:$O$3006,0)),"")))</f>
        <v/>
      </c>
      <c r="M1699" s="82" t="str">
        <f aca="false">IF(B1699="","",IF(OR(J1699&lt;&gt;"",K1699&lt;&gt;""),"POSÉ EN LIGNE",IF(COUNTIF(BARDAGE!$C$1:$C$5000,B1699)&gt;0,"BARDÉ","EN STOCK")))</f>
        <v/>
      </c>
      <c r="N1699" s="80"/>
    </row>
    <row r="1700" customFormat="false" ht="15" hidden="false" customHeight="false" outlineLevel="0" collapsed="false">
      <c r="A1700" s="82" t="str">
        <f aca="false">IF(B1700="","",ROW()-6)</f>
        <v/>
      </c>
      <c r="B1700" s="145"/>
      <c r="C1700" s="146"/>
      <c r="D1700" s="146"/>
      <c r="E1700" s="82" t="str">
        <f aca="false">IF(B1700="","",IF(COUNTIFS('CARNET DE SOUDURE'!$L$7:$L$3006,B1700,'CARNET DE SOUDURE'!$M$7:$M$3006,"&lt;&gt;"&amp;C1700,'CARNET DE SOUDURE'!$M$7:$M$3006,"&lt;&gt;")+COUNTIFS('CARNET DE SOUDURE'!$O$7:$O$3006,B1700,'CARNET DE SOUDURE'!$P$7:$P$3006,"&lt;&gt;"&amp;C1700,'CARNET DE SOUDURE'!$P$7:$P$3006,"&lt;&gt;")&gt;0,"⚠ DIFFÉRENTE","OK"))</f>
        <v/>
      </c>
      <c r="F1700" s="147"/>
      <c r="G1700" s="80"/>
      <c r="H1700" s="83"/>
      <c r="I1700" s="148" t="str">
        <f aca="false">IF(B1700="","",IFERROR(INDEX('CARNET DE SOUDURE'!$B$7:$B$3006,MATCH(B1700,'CARNET DE SOUDURE'!$L$7:$L$3006,0)),IFERROR(INDEX('CARNET DE SOUDURE'!$B$7:$B$3006,MATCH(B1700,'CARNET DE SOUDURE'!$O$7:$O$3006,0)),"")))</f>
        <v/>
      </c>
      <c r="J1700" s="82" t="str">
        <f aca="false">IF(B1700="","",IFERROR(INDEX('CARNET DE SOUDURE'!$E$7:$E$3006,MATCH(B1700,'CARNET DE SOUDURE'!$O$7:$O$3006,0)),""))</f>
        <v/>
      </c>
      <c r="K1700" s="82" t="str">
        <f aca="false">IF(B1700="","",IFERROR(INDEX('CARNET DE SOUDURE'!$E$7:$E$3006,MATCH(B1700,'CARNET DE SOUDURE'!$L$7:$L$3006,0)),""))</f>
        <v/>
      </c>
      <c r="L1700" s="82" t="str">
        <f aca="false">IF(B1700="","",IFERROR(INDEX('CARNET DE SOUDURE'!$D$7:$D$3006,MATCH(B1700,'CARNET DE SOUDURE'!$L$7:$L$3006,0)),IFERROR(INDEX('CARNET DE SOUDURE'!$D$7:$D$3006,MATCH(B1700,'CARNET DE SOUDURE'!$O$7:$O$3006,0)),"")))</f>
        <v/>
      </c>
      <c r="M1700" s="82" t="str">
        <f aca="false">IF(B1700="","",IF(OR(J1700&lt;&gt;"",K1700&lt;&gt;""),"POSÉ EN LIGNE",IF(COUNTIF(BARDAGE!$C$1:$C$5000,B1700)&gt;0,"BARDÉ","EN STOCK")))</f>
        <v/>
      </c>
      <c r="N1700" s="80"/>
    </row>
    <row r="1701" customFormat="false" ht="15" hidden="false" customHeight="false" outlineLevel="0" collapsed="false">
      <c r="A1701" s="82" t="str">
        <f aca="false">IF(B1701="","",ROW()-6)</f>
        <v/>
      </c>
      <c r="B1701" s="145"/>
      <c r="C1701" s="146"/>
      <c r="D1701" s="146"/>
      <c r="E1701" s="82" t="str">
        <f aca="false">IF(B1701="","",IF(COUNTIFS('CARNET DE SOUDURE'!$L$7:$L$3006,B1701,'CARNET DE SOUDURE'!$M$7:$M$3006,"&lt;&gt;"&amp;C1701,'CARNET DE SOUDURE'!$M$7:$M$3006,"&lt;&gt;")+COUNTIFS('CARNET DE SOUDURE'!$O$7:$O$3006,B1701,'CARNET DE SOUDURE'!$P$7:$P$3006,"&lt;&gt;"&amp;C1701,'CARNET DE SOUDURE'!$P$7:$P$3006,"&lt;&gt;")&gt;0,"⚠ DIFFÉRENTE","OK"))</f>
        <v/>
      </c>
      <c r="F1701" s="147"/>
      <c r="G1701" s="80"/>
      <c r="H1701" s="83"/>
      <c r="I1701" s="148" t="str">
        <f aca="false">IF(B1701="","",IFERROR(INDEX('CARNET DE SOUDURE'!$B$7:$B$3006,MATCH(B1701,'CARNET DE SOUDURE'!$L$7:$L$3006,0)),IFERROR(INDEX('CARNET DE SOUDURE'!$B$7:$B$3006,MATCH(B1701,'CARNET DE SOUDURE'!$O$7:$O$3006,0)),"")))</f>
        <v/>
      </c>
      <c r="J1701" s="82" t="str">
        <f aca="false">IF(B1701="","",IFERROR(INDEX('CARNET DE SOUDURE'!$E$7:$E$3006,MATCH(B1701,'CARNET DE SOUDURE'!$O$7:$O$3006,0)),""))</f>
        <v/>
      </c>
      <c r="K1701" s="82" t="str">
        <f aca="false">IF(B1701="","",IFERROR(INDEX('CARNET DE SOUDURE'!$E$7:$E$3006,MATCH(B1701,'CARNET DE SOUDURE'!$L$7:$L$3006,0)),""))</f>
        <v/>
      </c>
      <c r="L1701" s="82" t="str">
        <f aca="false">IF(B1701="","",IFERROR(INDEX('CARNET DE SOUDURE'!$D$7:$D$3006,MATCH(B1701,'CARNET DE SOUDURE'!$L$7:$L$3006,0)),IFERROR(INDEX('CARNET DE SOUDURE'!$D$7:$D$3006,MATCH(B1701,'CARNET DE SOUDURE'!$O$7:$O$3006,0)),"")))</f>
        <v/>
      </c>
      <c r="M1701" s="82" t="str">
        <f aca="false">IF(B1701="","",IF(OR(J1701&lt;&gt;"",K1701&lt;&gt;""),"POSÉ EN LIGNE",IF(COUNTIF(BARDAGE!$C$1:$C$5000,B1701)&gt;0,"BARDÉ","EN STOCK")))</f>
        <v/>
      </c>
      <c r="N1701" s="80"/>
    </row>
    <row r="1702" customFormat="false" ht="15" hidden="false" customHeight="false" outlineLevel="0" collapsed="false">
      <c r="A1702" s="82" t="str">
        <f aca="false">IF(B1702="","",ROW()-6)</f>
        <v/>
      </c>
      <c r="B1702" s="145"/>
      <c r="C1702" s="146"/>
      <c r="D1702" s="146"/>
      <c r="E1702" s="82" t="str">
        <f aca="false">IF(B1702="","",IF(COUNTIFS('CARNET DE SOUDURE'!$L$7:$L$3006,B1702,'CARNET DE SOUDURE'!$M$7:$M$3006,"&lt;&gt;"&amp;C1702,'CARNET DE SOUDURE'!$M$7:$M$3006,"&lt;&gt;")+COUNTIFS('CARNET DE SOUDURE'!$O$7:$O$3006,B1702,'CARNET DE SOUDURE'!$P$7:$P$3006,"&lt;&gt;"&amp;C1702,'CARNET DE SOUDURE'!$P$7:$P$3006,"&lt;&gt;")&gt;0,"⚠ DIFFÉRENTE","OK"))</f>
        <v/>
      </c>
      <c r="F1702" s="147"/>
      <c r="G1702" s="80"/>
      <c r="H1702" s="83"/>
      <c r="I1702" s="148" t="str">
        <f aca="false">IF(B1702="","",IFERROR(INDEX('CARNET DE SOUDURE'!$B$7:$B$3006,MATCH(B1702,'CARNET DE SOUDURE'!$L$7:$L$3006,0)),IFERROR(INDEX('CARNET DE SOUDURE'!$B$7:$B$3006,MATCH(B1702,'CARNET DE SOUDURE'!$O$7:$O$3006,0)),"")))</f>
        <v/>
      </c>
      <c r="J1702" s="82" t="str">
        <f aca="false">IF(B1702="","",IFERROR(INDEX('CARNET DE SOUDURE'!$E$7:$E$3006,MATCH(B1702,'CARNET DE SOUDURE'!$O$7:$O$3006,0)),""))</f>
        <v/>
      </c>
      <c r="K1702" s="82" t="str">
        <f aca="false">IF(B1702="","",IFERROR(INDEX('CARNET DE SOUDURE'!$E$7:$E$3006,MATCH(B1702,'CARNET DE SOUDURE'!$L$7:$L$3006,0)),""))</f>
        <v/>
      </c>
      <c r="L1702" s="82" t="str">
        <f aca="false">IF(B1702="","",IFERROR(INDEX('CARNET DE SOUDURE'!$D$7:$D$3006,MATCH(B1702,'CARNET DE SOUDURE'!$L$7:$L$3006,0)),IFERROR(INDEX('CARNET DE SOUDURE'!$D$7:$D$3006,MATCH(B1702,'CARNET DE SOUDURE'!$O$7:$O$3006,0)),"")))</f>
        <v/>
      </c>
      <c r="M1702" s="82" t="str">
        <f aca="false">IF(B1702="","",IF(OR(J1702&lt;&gt;"",K1702&lt;&gt;""),"POSÉ EN LIGNE",IF(COUNTIF(BARDAGE!$C$1:$C$5000,B1702)&gt;0,"BARDÉ","EN STOCK")))</f>
        <v/>
      </c>
      <c r="N1702" s="80"/>
    </row>
    <row r="1703" customFormat="false" ht="15" hidden="false" customHeight="false" outlineLevel="0" collapsed="false">
      <c r="A1703" s="82" t="str">
        <f aca="false">IF(B1703="","",ROW()-6)</f>
        <v/>
      </c>
      <c r="B1703" s="145"/>
      <c r="C1703" s="146"/>
      <c r="D1703" s="146"/>
      <c r="E1703" s="82" t="str">
        <f aca="false">IF(B1703="","",IF(COUNTIFS('CARNET DE SOUDURE'!$L$7:$L$3006,B1703,'CARNET DE SOUDURE'!$M$7:$M$3006,"&lt;&gt;"&amp;C1703,'CARNET DE SOUDURE'!$M$7:$M$3006,"&lt;&gt;")+COUNTIFS('CARNET DE SOUDURE'!$O$7:$O$3006,B1703,'CARNET DE SOUDURE'!$P$7:$P$3006,"&lt;&gt;"&amp;C1703,'CARNET DE SOUDURE'!$P$7:$P$3006,"&lt;&gt;")&gt;0,"⚠ DIFFÉRENTE","OK"))</f>
        <v/>
      </c>
      <c r="F1703" s="147"/>
      <c r="G1703" s="80"/>
      <c r="H1703" s="83"/>
      <c r="I1703" s="148" t="str">
        <f aca="false">IF(B1703="","",IFERROR(INDEX('CARNET DE SOUDURE'!$B$7:$B$3006,MATCH(B1703,'CARNET DE SOUDURE'!$L$7:$L$3006,0)),IFERROR(INDEX('CARNET DE SOUDURE'!$B$7:$B$3006,MATCH(B1703,'CARNET DE SOUDURE'!$O$7:$O$3006,0)),"")))</f>
        <v/>
      </c>
      <c r="J1703" s="82" t="str">
        <f aca="false">IF(B1703="","",IFERROR(INDEX('CARNET DE SOUDURE'!$E$7:$E$3006,MATCH(B1703,'CARNET DE SOUDURE'!$O$7:$O$3006,0)),""))</f>
        <v/>
      </c>
      <c r="K1703" s="82" t="str">
        <f aca="false">IF(B1703="","",IFERROR(INDEX('CARNET DE SOUDURE'!$E$7:$E$3006,MATCH(B1703,'CARNET DE SOUDURE'!$L$7:$L$3006,0)),""))</f>
        <v/>
      </c>
      <c r="L1703" s="82" t="str">
        <f aca="false">IF(B1703="","",IFERROR(INDEX('CARNET DE SOUDURE'!$D$7:$D$3006,MATCH(B1703,'CARNET DE SOUDURE'!$L$7:$L$3006,0)),IFERROR(INDEX('CARNET DE SOUDURE'!$D$7:$D$3006,MATCH(B1703,'CARNET DE SOUDURE'!$O$7:$O$3006,0)),"")))</f>
        <v/>
      </c>
      <c r="M1703" s="82" t="str">
        <f aca="false">IF(B1703="","",IF(OR(J1703&lt;&gt;"",K1703&lt;&gt;""),"POSÉ EN LIGNE",IF(COUNTIF(BARDAGE!$C$1:$C$5000,B1703)&gt;0,"BARDÉ","EN STOCK")))</f>
        <v/>
      </c>
      <c r="N1703" s="80"/>
    </row>
    <row r="1704" customFormat="false" ht="15" hidden="false" customHeight="false" outlineLevel="0" collapsed="false">
      <c r="A1704" s="82" t="str">
        <f aca="false">IF(B1704="","",ROW()-6)</f>
        <v/>
      </c>
      <c r="B1704" s="145"/>
      <c r="C1704" s="146"/>
      <c r="D1704" s="146"/>
      <c r="E1704" s="82" t="str">
        <f aca="false">IF(B1704="","",IF(COUNTIFS('CARNET DE SOUDURE'!$L$7:$L$3006,B1704,'CARNET DE SOUDURE'!$M$7:$M$3006,"&lt;&gt;"&amp;C1704,'CARNET DE SOUDURE'!$M$7:$M$3006,"&lt;&gt;")+COUNTIFS('CARNET DE SOUDURE'!$O$7:$O$3006,B1704,'CARNET DE SOUDURE'!$P$7:$P$3006,"&lt;&gt;"&amp;C1704,'CARNET DE SOUDURE'!$P$7:$P$3006,"&lt;&gt;")&gt;0,"⚠ DIFFÉRENTE","OK"))</f>
        <v/>
      </c>
      <c r="F1704" s="147"/>
      <c r="G1704" s="80"/>
      <c r="H1704" s="83"/>
      <c r="I1704" s="148" t="str">
        <f aca="false">IF(B1704="","",IFERROR(INDEX('CARNET DE SOUDURE'!$B$7:$B$3006,MATCH(B1704,'CARNET DE SOUDURE'!$L$7:$L$3006,0)),IFERROR(INDEX('CARNET DE SOUDURE'!$B$7:$B$3006,MATCH(B1704,'CARNET DE SOUDURE'!$O$7:$O$3006,0)),"")))</f>
        <v/>
      </c>
      <c r="J1704" s="82" t="str">
        <f aca="false">IF(B1704="","",IFERROR(INDEX('CARNET DE SOUDURE'!$E$7:$E$3006,MATCH(B1704,'CARNET DE SOUDURE'!$O$7:$O$3006,0)),""))</f>
        <v/>
      </c>
      <c r="K1704" s="82" t="str">
        <f aca="false">IF(B1704="","",IFERROR(INDEX('CARNET DE SOUDURE'!$E$7:$E$3006,MATCH(B1704,'CARNET DE SOUDURE'!$L$7:$L$3006,0)),""))</f>
        <v/>
      </c>
      <c r="L1704" s="82" t="str">
        <f aca="false">IF(B1704="","",IFERROR(INDEX('CARNET DE SOUDURE'!$D$7:$D$3006,MATCH(B1704,'CARNET DE SOUDURE'!$L$7:$L$3006,0)),IFERROR(INDEX('CARNET DE SOUDURE'!$D$7:$D$3006,MATCH(B1704,'CARNET DE SOUDURE'!$O$7:$O$3006,0)),"")))</f>
        <v/>
      </c>
      <c r="M1704" s="82" t="str">
        <f aca="false">IF(B1704="","",IF(OR(J1704&lt;&gt;"",K1704&lt;&gt;""),"POSÉ EN LIGNE",IF(COUNTIF(BARDAGE!$C$1:$C$5000,B1704)&gt;0,"BARDÉ","EN STOCK")))</f>
        <v/>
      </c>
      <c r="N1704" s="80"/>
    </row>
    <row r="1705" customFormat="false" ht="15" hidden="false" customHeight="false" outlineLevel="0" collapsed="false">
      <c r="A1705" s="82" t="str">
        <f aca="false">IF(B1705="","",ROW()-6)</f>
        <v/>
      </c>
      <c r="B1705" s="145"/>
      <c r="C1705" s="146"/>
      <c r="D1705" s="146"/>
      <c r="E1705" s="82" t="str">
        <f aca="false">IF(B1705="","",IF(COUNTIFS('CARNET DE SOUDURE'!$L$7:$L$3006,B1705,'CARNET DE SOUDURE'!$M$7:$M$3006,"&lt;&gt;"&amp;C1705,'CARNET DE SOUDURE'!$M$7:$M$3006,"&lt;&gt;")+COUNTIFS('CARNET DE SOUDURE'!$O$7:$O$3006,B1705,'CARNET DE SOUDURE'!$P$7:$P$3006,"&lt;&gt;"&amp;C1705,'CARNET DE SOUDURE'!$P$7:$P$3006,"&lt;&gt;")&gt;0,"⚠ DIFFÉRENTE","OK"))</f>
        <v/>
      </c>
      <c r="F1705" s="147"/>
      <c r="G1705" s="80"/>
      <c r="H1705" s="83"/>
      <c r="I1705" s="148" t="str">
        <f aca="false">IF(B1705="","",IFERROR(INDEX('CARNET DE SOUDURE'!$B$7:$B$3006,MATCH(B1705,'CARNET DE SOUDURE'!$L$7:$L$3006,0)),IFERROR(INDEX('CARNET DE SOUDURE'!$B$7:$B$3006,MATCH(B1705,'CARNET DE SOUDURE'!$O$7:$O$3006,0)),"")))</f>
        <v/>
      </c>
      <c r="J1705" s="82" t="str">
        <f aca="false">IF(B1705="","",IFERROR(INDEX('CARNET DE SOUDURE'!$E$7:$E$3006,MATCH(B1705,'CARNET DE SOUDURE'!$O$7:$O$3006,0)),""))</f>
        <v/>
      </c>
      <c r="K1705" s="82" t="str">
        <f aca="false">IF(B1705="","",IFERROR(INDEX('CARNET DE SOUDURE'!$E$7:$E$3006,MATCH(B1705,'CARNET DE SOUDURE'!$L$7:$L$3006,0)),""))</f>
        <v/>
      </c>
      <c r="L1705" s="82" t="str">
        <f aca="false">IF(B1705="","",IFERROR(INDEX('CARNET DE SOUDURE'!$D$7:$D$3006,MATCH(B1705,'CARNET DE SOUDURE'!$L$7:$L$3006,0)),IFERROR(INDEX('CARNET DE SOUDURE'!$D$7:$D$3006,MATCH(B1705,'CARNET DE SOUDURE'!$O$7:$O$3006,0)),"")))</f>
        <v/>
      </c>
      <c r="M1705" s="82" t="str">
        <f aca="false">IF(B1705="","",IF(OR(J1705&lt;&gt;"",K1705&lt;&gt;""),"POSÉ EN LIGNE",IF(COUNTIF(BARDAGE!$C$1:$C$5000,B1705)&gt;0,"BARDÉ","EN STOCK")))</f>
        <v/>
      </c>
      <c r="N1705" s="80"/>
    </row>
    <row r="1706" customFormat="false" ht="15" hidden="false" customHeight="false" outlineLevel="0" collapsed="false">
      <c r="A1706" s="82" t="str">
        <f aca="false">IF(B1706="","",ROW()-6)</f>
        <v/>
      </c>
      <c r="B1706" s="145"/>
      <c r="C1706" s="146"/>
      <c r="D1706" s="146"/>
      <c r="E1706" s="82" t="str">
        <f aca="false">IF(B1706="","",IF(COUNTIFS('CARNET DE SOUDURE'!$L$7:$L$3006,B1706,'CARNET DE SOUDURE'!$M$7:$M$3006,"&lt;&gt;"&amp;C1706,'CARNET DE SOUDURE'!$M$7:$M$3006,"&lt;&gt;")+COUNTIFS('CARNET DE SOUDURE'!$O$7:$O$3006,B1706,'CARNET DE SOUDURE'!$P$7:$P$3006,"&lt;&gt;"&amp;C1706,'CARNET DE SOUDURE'!$P$7:$P$3006,"&lt;&gt;")&gt;0,"⚠ DIFFÉRENTE","OK"))</f>
        <v/>
      </c>
      <c r="F1706" s="147"/>
      <c r="G1706" s="80"/>
      <c r="H1706" s="83"/>
      <c r="I1706" s="148" t="str">
        <f aca="false">IF(B1706="","",IFERROR(INDEX('CARNET DE SOUDURE'!$B$7:$B$3006,MATCH(B1706,'CARNET DE SOUDURE'!$L$7:$L$3006,0)),IFERROR(INDEX('CARNET DE SOUDURE'!$B$7:$B$3006,MATCH(B1706,'CARNET DE SOUDURE'!$O$7:$O$3006,0)),"")))</f>
        <v/>
      </c>
      <c r="J1706" s="82" t="str">
        <f aca="false">IF(B1706="","",IFERROR(INDEX('CARNET DE SOUDURE'!$E$7:$E$3006,MATCH(B1706,'CARNET DE SOUDURE'!$O$7:$O$3006,0)),""))</f>
        <v/>
      </c>
      <c r="K1706" s="82" t="str">
        <f aca="false">IF(B1706="","",IFERROR(INDEX('CARNET DE SOUDURE'!$E$7:$E$3006,MATCH(B1706,'CARNET DE SOUDURE'!$L$7:$L$3006,0)),""))</f>
        <v/>
      </c>
      <c r="L1706" s="82" t="str">
        <f aca="false">IF(B1706="","",IFERROR(INDEX('CARNET DE SOUDURE'!$D$7:$D$3006,MATCH(B1706,'CARNET DE SOUDURE'!$L$7:$L$3006,0)),IFERROR(INDEX('CARNET DE SOUDURE'!$D$7:$D$3006,MATCH(B1706,'CARNET DE SOUDURE'!$O$7:$O$3006,0)),"")))</f>
        <v/>
      </c>
      <c r="M1706" s="82" t="str">
        <f aca="false">IF(B1706="","",IF(OR(J1706&lt;&gt;"",K1706&lt;&gt;""),"POSÉ EN LIGNE",IF(COUNTIF(BARDAGE!$C$1:$C$5000,B1706)&gt;0,"BARDÉ","EN STOCK")))</f>
        <v/>
      </c>
      <c r="N1706" s="80"/>
    </row>
    <row r="1707" customFormat="false" ht="15" hidden="false" customHeight="false" outlineLevel="0" collapsed="false">
      <c r="A1707" s="82" t="str">
        <f aca="false">IF(B1707="","",ROW()-6)</f>
        <v/>
      </c>
      <c r="B1707" s="145"/>
      <c r="C1707" s="146"/>
      <c r="D1707" s="146"/>
      <c r="E1707" s="82" t="str">
        <f aca="false">IF(B1707="","",IF(COUNTIFS('CARNET DE SOUDURE'!$L$7:$L$3006,B1707,'CARNET DE SOUDURE'!$M$7:$M$3006,"&lt;&gt;"&amp;C1707,'CARNET DE SOUDURE'!$M$7:$M$3006,"&lt;&gt;")+COUNTIFS('CARNET DE SOUDURE'!$O$7:$O$3006,B1707,'CARNET DE SOUDURE'!$P$7:$P$3006,"&lt;&gt;"&amp;C1707,'CARNET DE SOUDURE'!$P$7:$P$3006,"&lt;&gt;")&gt;0,"⚠ DIFFÉRENTE","OK"))</f>
        <v/>
      </c>
      <c r="F1707" s="147"/>
      <c r="G1707" s="80"/>
      <c r="H1707" s="83"/>
      <c r="I1707" s="148" t="str">
        <f aca="false">IF(B1707="","",IFERROR(INDEX('CARNET DE SOUDURE'!$B$7:$B$3006,MATCH(B1707,'CARNET DE SOUDURE'!$L$7:$L$3006,0)),IFERROR(INDEX('CARNET DE SOUDURE'!$B$7:$B$3006,MATCH(B1707,'CARNET DE SOUDURE'!$O$7:$O$3006,0)),"")))</f>
        <v/>
      </c>
      <c r="J1707" s="82" t="str">
        <f aca="false">IF(B1707="","",IFERROR(INDEX('CARNET DE SOUDURE'!$E$7:$E$3006,MATCH(B1707,'CARNET DE SOUDURE'!$O$7:$O$3006,0)),""))</f>
        <v/>
      </c>
      <c r="K1707" s="82" t="str">
        <f aca="false">IF(B1707="","",IFERROR(INDEX('CARNET DE SOUDURE'!$E$7:$E$3006,MATCH(B1707,'CARNET DE SOUDURE'!$L$7:$L$3006,0)),""))</f>
        <v/>
      </c>
      <c r="L1707" s="82" t="str">
        <f aca="false">IF(B1707="","",IFERROR(INDEX('CARNET DE SOUDURE'!$D$7:$D$3006,MATCH(B1707,'CARNET DE SOUDURE'!$L$7:$L$3006,0)),IFERROR(INDEX('CARNET DE SOUDURE'!$D$7:$D$3006,MATCH(B1707,'CARNET DE SOUDURE'!$O$7:$O$3006,0)),"")))</f>
        <v/>
      </c>
      <c r="M1707" s="82" t="str">
        <f aca="false">IF(B1707="","",IF(OR(J1707&lt;&gt;"",K1707&lt;&gt;""),"POSÉ EN LIGNE",IF(COUNTIF(BARDAGE!$C$1:$C$5000,B1707)&gt;0,"BARDÉ","EN STOCK")))</f>
        <v/>
      </c>
      <c r="N1707" s="80"/>
    </row>
    <row r="1708" customFormat="false" ht="15" hidden="false" customHeight="false" outlineLevel="0" collapsed="false">
      <c r="A1708" s="82" t="str">
        <f aca="false">IF(B1708="","",ROW()-6)</f>
        <v/>
      </c>
      <c r="B1708" s="145"/>
      <c r="C1708" s="146"/>
      <c r="D1708" s="146"/>
      <c r="E1708" s="82" t="str">
        <f aca="false">IF(B1708="","",IF(COUNTIFS('CARNET DE SOUDURE'!$L$7:$L$3006,B1708,'CARNET DE SOUDURE'!$M$7:$M$3006,"&lt;&gt;"&amp;C1708,'CARNET DE SOUDURE'!$M$7:$M$3006,"&lt;&gt;")+COUNTIFS('CARNET DE SOUDURE'!$O$7:$O$3006,B1708,'CARNET DE SOUDURE'!$P$7:$P$3006,"&lt;&gt;"&amp;C1708,'CARNET DE SOUDURE'!$P$7:$P$3006,"&lt;&gt;")&gt;0,"⚠ DIFFÉRENTE","OK"))</f>
        <v/>
      </c>
      <c r="F1708" s="147"/>
      <c r="G1708" s="80"/>
      <c r="H1708" s="83"/>
      <c r="I1708" s="148" t="str">
        <f aca="false">IF(B1708="","",IFERROR(INDEX('CARNET DE SOUDURE'!$B$7:$B$3006,MATCH(B1708,'CARNET DE SOUDURE'!$L$7:$L$3006,0)),IFERROR(INDEX('CARNET DE SOUDURE'!$B$7:$B$3006,MATCH(B1708,'CARNET DE SOUDURE'!$O$7:$O$3006,0)),"")))</f>
        <v/>
      </c>
      <c r="J1708" s="82" t="str">
        <f aca="false">IF(B1708="","",IFERROR(INDEX('CARNET DE SOUDURE'!$E$7:$E$3006,MATCH(B1708,'CARNET DE SOUDURE'!$O$7:$O$3006,0)),""))</f>
        <v/>
      </c>
      <c r="K1708" s="82" t="str">
        <f aca="false">IF(B1708="","",IFERROR(INDEX('CARNET DE SOUDURE'!$E$7:$E$3006,MATCH(B1708,'CARNET DE SOUDURE'!$L$7:$L$3006,0)),""))</f>
        <v/>
      </c>
      <c r="L1708" s="82" t="str">
        <f aca="false">IF(B1708="","",IFERROR(INDEX('CARNET DE SOUDURE'!$D$7:$D$3006,MATCH(B1708,'CARNET DE SOUDURE'!$L$7:$L$3006,0)),IFERROR(INDEX('CARNET DE SOUDURE'!$D$7:$D$3006,MATCH(B1708,'CARNET DE SOUDURE'!$O$7:$O$3006,0)),"")))</f>
        <v/>
      </c>
      <c r="M1708" s="82" t="str">
        <f aca="false">IF(B1708="","",IF(OR(J1708&lt;&gt;"",K1708&lt;&gt;""),"POSÉ EN LIGNE",IF(COUNTIF(BARDAGE!$C$1:$C$5000,B1708)&gt;0,"BARDÉ","EN STOCK")))</f>
        <v/>
      </c>
      <c r="N1708" s="80"/>
    </row>
    <row r="1709" customFormat="false" ht="15" hidden="false" customHeight="false" outlineLevel="0" collapsed="false">
      <c r="A1709" s="82" t="str">
        <f aca="false">IF(B1709="","",ROW()-6)</f>
        <v/>
      </c>
      <c r="B1709" s="145"/>
      <c r="C1709" s="146"/>
      <c r="D1709" s="146"/>
      <c r="E1709" s="82" t="str">
        <f aca="false">IF(B1709="","",IF(COUNTIFS('CARNET DE SOUDURE'!$L$7:$L$3006,B1709,'CARNET DE SOUDURE'!$M$7:$M$3006,"&lt;&gt;"&amp;C1709,'CARNET DE SOUDURE'!$M$7:$M$3006,"&lt;&gt;")+COUNTIFS('CARNET DE SOUDURE'!$O$7:$O$3006,B1709,'CARNET DE SOUDURE'!$P$7:$P$3006,"&lt;&gt;"&amp;C1709,'CARNET DE SOUDURE'!$P$7:$P$3006,"&lt;&gt;")&gt;0,"⚠ DIFFÉRENTE","OK"))</f>
        <v/>
      </c>
      <c r="F1709" s="147"/>
      <c r="G1709" s="80"/>
      <c r="H1709" s="83"/>
      <c r="I1709" s="148" t="str">
        <f aca="false">IF(B1709="","",IFERROR(INDEX('CARNET DE SOUDURE'!$B$7:$B$3006,MATCH(B1709,'CARNET DE SOUDURE'!$L$7:$L$3006,0)),IFERROR(INDEX('CARNET DE SOUDURE'!$B$7:$B$3006,MATCH(B1709,'CARNET DE SOUDURE'!$O$7:$O$3006,0)),"")))</f>
        <v/>
      </c>
      <c r="J1709" s="82" t="str">
        <f aca="false">IF(B1709="","",IFERROR(INDEX('CARNET DE SOUDURE'!$E$7:$E$3006,MATCH(B1709,'CARNET DE SOUDURE'!$O$7:$O$3006,0)),""))</f>
        <v/>
      </c>
      <c r="K1709" s="82" t="str">
        <f aca="false">IF(B1709="","",IFERROR(INDEX('CARNET DE SOUDURE'!$E$7:$E$3006,MATCH(B1709,'CARNET DE SOUDURE'!$L$7:$L$3006,0)),""))</f>
        <v/>
      </c>
      <c r="L1709" s="82" t="str">
        <f aca="false">IF(B1709="","",IFERROR(INDEX('CARNET DE SOUDURE'!$D$7:$D$3006,MATCH(B1709,'CARNET DE SOUDURE'!$L$7:$L$3006,0)),IFERROR(INDEX('CARNET DE SOUDURE'!$D$7:$D$3006,MATCH(B1709,'CARNET DE SOUDURE'!$O$7:$O$3006,0)),"")))</f>
        <v/>
      </c>
      <c r="M1709" s="82" t="str">
        <f aca="false">IF(B1709="","",IF(OR(J1709&lt;&gt;"",K1709&lt;&gt;""),"POSÉ EN LIGNE",IF(COUNTIF(BARDAGE!$C$1:$C$5000,B1709)&gt;0,"BARDÉ","EN STOCK")))</f>
        <v/>
      </c>
      <c r="N1709" s="80"/>
    </row>
    <row r="1710" customFormat="false" ht="15" hidden="false" customHeight="false" outlineLevel="0" collapsed="false">
      <c r="A1710" s="82" t="str">
        <f aca="false">IF(B1710="","",ROW()-6)</f>
        <v/>
      </c>
      <c r="B1710" s="145"/>
      <c r="C1710" s="146"/>
      <c r="D1710" s="146"/>
      <c r="E1710" s="82" t="str">
        <f aca="false">IF(B1710="","",IF(COUNTIFS('CARNET DE SOUDURE'!$L$7:$L$3006,B1710,'CARNET DE SOUDURE'!$M$7:$M$3006,"&lt;&gt;"&amp;C1710,'CARNET DE SOUDURE'!$M$7:$M$3006,"&lt;&gt;")+COUNTIFS('CARNET DE SOUDURE'!$O$7:$O$3006,B1710,'CARNET DE SOUDURE'!$P$7:$P$3006,"&lt;&gt;"&amp;C1710,'CARNET DE SOUDURE'!$P$7:$P$3006,"&lt;&gt;")&gt;0,"⚠ DIFFÉRENTE","OK"))</f>
        <v/>
      </c>
      <c r="F1710" s="147"/>
      <c r="G1710" s="80"/>
      <c r="H1710" s="83"/>
      <c r="I1710" s="148" t="str">
        <f aca="false">IF(B1710="","",IFERROR(INDEX('CARNET DE SOUDURE'!$B$7:$B$3006,MATCH(B1710,'CARNET DE SOUDURE'!$L$7:$L$3006,0)),IFERROR(INDEX('CARNET DE SOUDURE'!$B$7:$B$3006,MATCH(B1710,'CARNET DE SOUDURE'!$O$7:$O$3006,0)),"")))</f>
        <v/>
      </c>
      <c r="J1710" s="82" t="str">
        <f aca="false">IF(B1710="","",IFERROR(INDEX('CARNET DE SOUDURE'!$E$7:$E$3006,MATCH(B1710,'CARNET DE SOUDURE'!$O$7:$O$3006,0)),""))</f>
        <v/>
      </c>
      <c r="K1710" s="82" t="str">
        <f aca="false">IF(B1710="","",IFERROR(INDEX('CARNET DE SOUDURE'!$E$7:$E$3006,MATCH(B1710,'CARNET DE SOUDURE'!$L$7:$L$3006,0)),""))</f>
        <v/>
      </c>
      <c r="L1710" s="82" t="str">
        <f aca="false">IF(B1710="","",IFERROR(INDEX('CARNET DE SOUDURE'!$D$7:$D$3006,MATCH(B1710,'CARNET DE SOUDURE'!$L$7:$L$3006,0)),IFERROR(INDEX('CARNET DE SOUDURE'!$D$7:$D$3006,MATCH(B1710,'CARNET DE SOUDURE'!$O$7:$O$3006,0)),"")))</f>
        <v/>
      </c>
      <c r="M1710" s="82" t="str">
        <f aca="false">IF(B1710="","",IF(OR(J1710&lt;&gt;"",K1710&lt;&gt;""),"POSÉ EN LIGNE",IF(COUNTIF(BARDAGE!$C$1:$C$5000,B1710)&gt;0,"BARDÉ","EN STOCK")))</f>
        <v/>
      </c>
      <c r="N1710" s="80"/>
    </row>
    <row r="1711" customFormat="false" ht="15" hidden="false" customHeight="false" outlineLevel="0" collapsed="false">
      <c r="A1711" s="82" t="str">
        <f aca="false">IF(B1711="","",ROW()-6)</f>
        <v/>
      </c>
      <c r="B1711" s="145"/>
      <c r="C1711" s="146"/>
      <c r="D1711" s="146"/>
      <c r="E1711" s="82" t="str">
        <f aca="false">IF(B1711="","",IF(COUNTIFS('CARNET DE SOUDURE'!$L$7:$L$3006,B1711,'CARNET DE SOUDURE'!$M$7:$M$3006,"&lt;&gt;"&amp;C1711,'CARNET DE SOUDURE'!$M$7:$M$3006,"&lt;&gt;")+COUNTIFS('CARNET DE SOUDURE'!$O$7:$O$3006,B1711,'CARNET DE SOUDURE'!$P$7:$P$3006,"&lt;&gt;"&amp;C1711,'CARNET DE SOUDURE'!$P$7:$P$3006,"&lt;&gt;")&gt;0,"⚠ DIFFÉRENTE","OK"))</f>
        <v/>
      </c>
      <c r="F1711" s="147"/>
      <c r="G1711" s="80"/>
      <c r="H1711" s="83"/>
      <c r="I1711" s="148" t="str">
        <f aca="false">IF(B1711="","",IFERROR(INDEX('CARNET DE SOUDURE'!$B$7:$B$3006,MATCH(B1711,'CARNET DE SOUDURE'!$L$7:$L$3006,0)),IFERROR(INDEX('CARNET DE SOUDURE'!$B$7:$B$3006,MATCH(B1711,'CARNET DE SOUDURE'!$O$7:$O$3006,0)),"")))</f>
        <v/>
      </c>
      <c r="J1711" s="82" t="str">
        <f aca="false">IF(B1711="","",IFERROR(INDEX('CARNET DE SOUDURE'!$E$7:$E$3006,MATCH(B1711,'CARNET DE SOUDURE'!$O$7:$O$3006,0)),""))</f>
        <v/>
      </c>
      <c r="K1711" s="82" t="str">
        <f aca="false">IF(B1711="","",IFERROR(INDEX('CARNET DE SOUDURE'!$E$7:$E$3006,MATCH(B1711,'CARNET DE SOUDURE'!$L$7:$L$3006,0)),""))</f>
        <v/>
      </c>
      <c r="L1711" s="82" t="str">
        <f aca="false">IF(B1711="","",IFERROR(INDEX('CARNET DE SOUDURE'!$D$7:$D$3006,MATCH(B1711,'CARNET DE SOUDURE'!$L$7:$L$3006,0)),IFERROR(INDEX('CARNET DE SOUDURE'!$D$7:$D$3006,MATCH(B1711,'CARNET DE SOUDURE'!$O$7:$O$3006,0)),"")))</f>
        <v/>
      </c>
      <c r="M1711" s="82" t="str">
        <f aca="false">IF(B1711="","",IF(OR(J1711&lt;&gt;"",K1711&lt;&gt;""),"POSÉ EN LIGNE",IF(COUNTIF(BARDAGE!$C$1:$C$5000,B1711)&gt;0,"BARDÉ","EN STOCK")))</f>
        <v/>
      </c>
      <c r="N1711" s="80"/>
    </row>
    <row r="1712" customFormat="false" ht="15" hidden="false" customHeight="false" outlineLevel="0" collapsed="false">
      <c r="A1712" s="82" t="str">
        <f aca="false">IF(B1712="","",ROW()-6)</f>
        <v/>
      </c>
      <c r="B1712" s="145"/>
      <c r="C1712" s="146"/>
      <c r="D1712" s="146"/>
      <c r="E1712" s="82" t="str">
        <f aca="false">IF(B1712="","",IF(COUNTIFS('CARNET DE SOUDURE'!$L$7:$L$3006,B1712,'CARNET DE SOUDURE'!$M$7:$M$3006,"&lt;&gt;"&amp;C1712,'CARNET DE SOUDURE'!$M$7:$M$3006,"&lt;&gt;")+COUNTIFS('CARNET DE SOUDURE'!$O$7:$O$3006,B1712,'CARNET DE SOUDURE'!$P$7:$P$3006,"&lt;&gt;"&amp;C1712,'CARNET DE SOUDURE'!$P$7:$P$3006,"&lt;&gt;")&gt;0,"⚠ DIFFÉRENTE","OK"))</f>
        <v/>
      </c>
      <c r="F1712" s="147"/>
      <c r="G1712" s="80"/>
      <c r="H1712" s="83"/>
      <c r="I1712" s="148" t="str">
        <f aca="false">IF(B1712="","",IFERROR(INDEX('CARNET DE SOUDURE'!$B$7:$B$3006,MATCH(B1712,'CARNET DE SOUDURE'!$L$7:$L$3006,0)),IFERROR(INDEX('CARNET DE SOUDURE'!$B$7:$B$3006,MATCH(B1712,'CARNET DE SOUDURE'!$O$7:$O$3006,0)),"")))</f>
        <v/>
      </c>
      <c r="J1712" s="82" t="str">
        <f aca="false">IF(B1712="","",IFERROR(INDEX('CARNET DE SOUDURE'!$E$7:$E$3006,MATCH(B1712,'CARNET DE SOUDURE'!$O$7:$O$3006,0)),""))</f>
        <v/>
      </c>
      <c r="K1712" s="82" t="str">
        <f aca="false">IF(B1712="","",IFERROR(INDEX('CARNET DE SOUDURE'!$E$7:$E$3006,MATCH(B1712,'CARNET DE SOUDURE'!$L$7:$L$3006,0)),""))</f>
        <v/>
      </c>
      <c r="L1712" s="82" t="str">
        <f aca="false">IF(B1712="","",IFERROR(INDEX('CARNET DE SOUDURE'!$D$7:$D$3006,MATCH(B1712,'CARNET DE SOUDURE'!$L$7:$L$3006,0)),IFERROR(INDEX('CARNET DE SOUDURE'!$D$7:$D$3006,MATCH(B1712,'CARNET DE SOUDURE'!$O$7:$O$3006,0)),"")))</f>
        <v/>
      </c>
      <c r="M1712" s="82" t="str">
        <f aca="false">IF(B1712="","",IF(OR(J1712&lt;&gt;"",K1712&lt;&gt;""),"POSÉ EN LIGNE",IF(COUNTIF(BARDAGE!$C$1:$C$5000,B1712)&gt;0,"BARDÉ","EN STOCK")))</f>
        <v/>
      </c>
      <c r="N1712" s="80"/>
    </row>
    <row r="1713" customFormat="false" ht="15" hidden="false" customHeight="false" outlineLevel="0" collapsed="false">
      <c r="A1713" s="82" t="str">
        <f aca="false">IF(B1713="","",ROW()-6)</f>
        <v/>
      </c>
      <c r="B1713" s="145"/>
      <c r="C1713" s="146"/>
      <c r="D1713" s="146"/>
      <c r="E1713" s="82" t="str">
        <f aca="false">IF(B1713="","",IF(COUNTIFS('CARNET DE SOUDURE'!$L$7:$L$3006,B1713,'CARNET DE SOUDURE'!$M$7:$M$3006,"&lt;&gt;"&amp;C1713,'CARNET DE SOUDURE'!$M$7:$M$3006,"&lt;&gt;")+COUNTIFS('CARNET DE SOUDURE'!$O$7:$O$3006,B1713,'CARNET DE SOUDURE'!$P$7:$P$3006,"&lt;&gt;"&amp;C1713,'CARNET DE SOUDURE'!$P$7:$P$3006,"&lt;&gt;")&gt;0,"⚠ DIFFÉRENTE","OK"))</f>
        <v/>
      </c>
      <c r="F1713" s="147"/>
      <c r="G1713" s="80"/>
      <c r="H1713" s="83"/>
      <c r="I1713" s="148" t="str">
        <f aca="false">IF(B1713="","",IFERROR(INDEX('CARNET DE SOUDURE'!$B$7:$B$3006,MATCH(B1713,'CARNET DE SOUDURE'!$L$7:$L$3006,0)),IFERROR(INDEX('CARNET DE SOUDURE'!$B$7:$B$3006,MATCH(B1713,'CARNET DE SOUDURE'!$O$7:$O$3006,0)),"")))</f>
        <v/>
      </c>
      <c r="J1713" s="82" t="str">
        <f aca="false">IF(B1713="","",IFERROR(INDEX('CARNET DE SOUDURE'!$E$7:$E$3006,MATCH(B1713,'CARNET DE SOUDURE'!$O$7:$O$3006,0)),""))</f>
        <v/>
      </c>
      <c r="K1713" s="82" t="str">
        <f aca="false">IF(B1713="","",IFERROR(INDEX('CARNET DE SOUDURE'!$E$7:$E$3006,MATCH(B1713,'CARNET DE SOUDURE'!$L$7:$L$3006,0)),""))</f>
        <v/>
      </c>
      <c r="L1713" s="82" t="str">
        <f aca="false">IF(B1713="","",IFERROR(INDEX('CARNET DE SOUDURE'!$D$7:$D$3006,MATCH(B1713,'CARNET DE SOUDURE'!$L$7:$L$3006,0)),IFERROR(INDEX('CARNET DE SOUDURE'!$D$7:$D$3006,MATCH(B1713,'CARNET DE SOUDURE'!$O$7:$O$3006,0)),"")))</f>
        <v/>
      </c>
      <c r="M1713" s="82" t="str">
        <f aca="false">IF(B1713="","",IF(OR(J1713&lt;&gt;"",K1713&lt;&gt;""),"POSÉ EN LIGNE",IF(COUNTIF(BARDAGE!$C$1:$C$5000,B1713)&gt;0,"BARDÉ","EN STOCK")))</f>
        <v/>
      </c>
      <c r="N1713" s="80"/>
    </row>
    <row r="1714" customFormat="false" ht="15" hidden="false" customHeight="false" outlineLevel="0" collapsed="false">
      <c r="A1714" s="82" t="str">
        <f aca="false">IF(B1714="","",ROW()-6)</f>
        <v/>
      </c>
      <c r="B1714" s="145"/>
      <c r="C1714" s="146"/>
      <c r="D1714" s="146"/>
      <c r="E1714" s="82" t="str">
        <f aca="false">IF(B1714="","",IF(COUNTIFS('CARNET DE SOUDURE'!$L$7:$L$3006,B1714,'CARNET DE SOUDURE'!$M$7:$M$3006,"&lt;&gt;"&amp;C1714,'CARNET DE SOUDURE'!$M$7:$M$3006,"&lt;&gt;")+COUNTIFS('CARNET DE SOUDURE'!$O$7:$O$3006,B1714,'CARNET DE SOUDURE'!$P$7:$P$3006,"&lt;&gt;"&amp;C1714,'CARNET DE SOUDURE'!$P$7:$P$3006,"&lt;&gt;")&gt;0,"⚠ DIFFÉRENTE","OK"))</f>
        <v/>
      </c>
      <c r="F1714" s="147"/>
      <c r="G1714" s="80"/>
      <c r="H1714" s="83"/>
      <c r="I1714" s="148" t="str">
        <f aca="false">IF(B1714="","",IFERROR(INDEX('CARNET DE SOUDURE'!$B$7:$B$3006,MATCH(B1714,'CARNET DE SOUDURE'!$L$7:$L$3006,0)),IFERROR(INDEX('CARNET DE SOUDURE'!$B$7:$B$3006,MATCH(B1714,'CARNET DE SOUDURE'!$O$7:$O$3006,0)),"")))</f>
        <v/>
      </c>
      <c r="J1714" s="82" t="str">
        <f aca="false">IF(B1714="","",IFERROR(INDEX('CARNET DE SOUDURE'!$E$7:$E$3006,MATCH(B1714,'CARNET DE SOUDURE'!$O$7:$O$3006,0)),""))</f>
        <v/>
      </c>
      <c r="K1714" s="82" t="str">
        <f aca="false">IF(B1714="","",IFERROR(INDEX('CARNET DE SOUDURE'!$E$7:$E$3006,MATCH(B1714,'CARNET DE SOUDURE'!$L$7:$L$3006,0)),""))</f>
        <v/>
      </c>
      <c r="L1714" s="82" t="str">
        <f aca="false">IF(B1714="","",IFERROR(INDEX('CARNET DE SOUDURE'!$D$7:$D$3006,MATCH(B1714,'CARNET DE SOUDURE'!$L$7:$L$3006,0)),IFERROR(INDEX('CARNET DE SOUDURE'!$D$7:$D$3006,MATCH(B1714,'CARNET DE SOUDURE'!$O$7:$O$3006,0)),"")))</f>
        <v/>
      </c>
      <c r="M1714" s="82" t="str">
        <f aca="false">IF(B1714="","",IF(OR(J1714&lt;&gt;"",K1714&lt;&gt;""),"POSÉ EN LIGNE",IF(COUNTIF(BARDAGE!$C$1:$C$5000,B1714)&gt;0,"BARDÉ","EN STOCK")))</f>
        <v/>
      </c>
      <c r="N1714" s="80"/>
    </row>
    <row r="1715" customFormat="false" ht="15" hidden="false" customHeight="false" outlineLevel="0" collapsed="false">
      <c r="A1715" s="82" t="str">
        <f aca="false">IF(B1715="","",ROW()-6)</f>
        <v/>
      </c>
      <c r="B1715" s="145"/>
      <c r="C1715" s="146"/>
      <c r="D1715" s="146"/>
      <c r="E1715" s="82" t="str">
        <f aca="false">IF(B1715="","",IF(COUNTIFS('CARNET DE SOUDURE'!$L$7:$L$3006,B1715,'CARNET DE SOUDURE'!$M$7:$M$3006,"&lt;&gt;"&amp;C1715,'CARNET DE SOUDURE'!$M$7:$M$3006,"&lt;&gt;")+COUNTIFS('CARNET DE SOUDURE'!$O$7:$O$3006,B1715,'CARNET DE SOUDURE'!$P$7:$P$3006,"&lt;&gt;"&amp;C1715,'CARNET DE SOUDURE'!$P$7:$P$3006,"&lt;&gt;")&gt;0,"⚠ DIFFÉRENTE","OK"))</f>
        <v/>
      </c>
      <c r="F1715" s="147"/>
      <c r="G1715" s="80"/>
      <c r="H1715" s="83"/>
      <c r="I1715" s="148" t="str">
        <f aca="false">IF(B1715="","",IFERROR(INDEX('CARNET DE SOUDURE'!$B$7:$B$3006,MATCH(B1715,'CARNET DE SOUDURE'!$L$7:$L$3006,0)),IFERROR(INDEX('CARNET DE SOUDURE'!$B$7:$B$3006,MATCH(B1715,'CARNET DE SOUDURE'!$O$7:$O$3006,0)),"")))</f>
        <v/>
      </c>
      <c r="J1715" s="82" t="str">
        <f aca="false">IF(B1715="","",IFERROR(INDEX('CARNET DE SOUDURE'!$E$7:$E$3006,MATCH(B1715,'CARNET DE SOUDURE'!$O$7:$O$3006,0)),""))</f>
        <v/>
      </c>
      <c r="K1715" s="82" t="str">
        <f aca="false">IF(B1715="","",IFERROR(INDEX('CARNET DE SOUDURE'!$E$7:$E$3006,MATCH(B1715,'CARNET DE SOUDURE'!$L$7:$L$3006,0)),""))</f>
        <v/>
      </c>
      <c r="L1715" s="82" t="str">
        <f aca="false">IF(B1715="","",IFERROR(INDEX('CARNET DE SOUDURE'!$D$7:$D$3006,MATCH(B1715,'CARNET DE SOUDURE'!$L$7:$L$3006,0)),IFERROR(INDEX('CARNET DE SOUDURE'!$D$7:$D$3006,MATCH(B1715,'CARNET DE SOUDURE'!$O$7:$O$3006,0)),"")))</f>
        <v/>
      </c>
      <c r="M1715" s="82" t="str">
        <f aca="false">IF(B1715="","",IF(OR(J1715&lt;&gt;"",K1715&lt;&gt;""),"POSÉ EN LIGNE",IF(COUNTIF(BARDAGE!$C$1:$C$5000,B1715)&gt;0,"BARDÉ","EN STOCK")))</f>
        <v/>
      </c>
      <c r="N1715" s="80"/>
    </row>
    <row r="1716" customFormat="false" ht="15" hidden="false" customHeight="false" outlineLevel="0" collapsed="false">
      <c r="A1716" s="82" t="str">
        <f aca="false">IF(B1716="","",ROW()-6)</f>
        <v/>
      </c>
      <c r="B1716" s="145"/>
      <c r="C1716" s="146"/>
      <c r="D1716" s="146"/>
      <c r="E1716" s="82" t="str">
        <f aca="false">IF(B1716="","",IF(COUNTIFS('CARNET DE SOUDURE'!$L$7:$L$3006,B1716,'CARNET DE SOUDURE'!$M$7:$M$3006,"&lt;&gt;"&amp;C1716,'CARNET DE SOUDURE'!$M$7:$M$3006,"&lt;&gt;")+COUNTIFS('CARNET DE SOUDURE'!$O$7:$O$3006,B1716,'CARNET DE SOUDURE'!$P$7:$P$3006,"&lt;&gt;"&amp;C1716,'CARNET DE SOUDURE'!$P$7:$P$3006,"&lt;&gt;")&gt;0,"⚠ DIFFÉRENTE","OK"))</f>
        <v/>
      </c>
      <c r="F1716" s="147"/>
      <c r="G1716" s="80"/>
      <c r="H1716" s="83"/>
      <c r="I1716" s="148" t="str">
        <f aca="false">IF(B1716="","",IFERROR(INDEX('CARNET DE SOUDURE'!$B$7:$B$3006,MATCH(B1716,'CARNET DE SOUDURE'!$L$7:$L$3006,0)),IFERROR(INDEX('CARNET DE SOUDURE'!$B$7:$B$3006,MATCH(B1716,'CARNET DE SOUDURE'!$O$7:$O$3006,0)),"")))</f>
        <v/>
      </c>
      <c r="J1716" s="82" t="str">
        <f aca="false">IF(B1716="","",IFERROR(INDEX('CARNET DE SOUDURE'!$E$7:$E$3006,MATCH(B1716,'CARNET DE SOUDURE'!$O$7:$O$3006,0)),""))</f>
        <v/>
      </c>
      <c r="K1716" s="82" t="str">
        <f aca="false">IF(B1716="","",IFERROR(INDEX('CARNET DE SOUDURE'!$E$7:$E$3006,MATCH(B1716,'CARNET DE SOUDURE'!$L$7:$L$3006,0)),""))</f>
        <v/>
      </c>
      <c r="L1716" s="82" t="str">
        <f aca="false">IF(B1716="","",IFERROR(INDEX('CARNET DE SOUDURE'!$D$7:$D$3006,MATCH(B1716,'CARNET DE SOUDURE'!$L$7:$L$3006,0)),IFERROR(INDEX('CARNET DE SOUDURE'!$D$7:$D$3006,MATCH(B1716,'CARNET DE SOUDURE'!$O$7:$O$3006,0)),"")))</f>
        <v/>
      </c>
      <c r="M1716" s="82" t="str">
        <f aca="false">IF(B1716="","",IF(OR(J1716&lt;&gt;"",K1716&lt;&gt;""),"POSÉ EN LIGNE",IF(COUNTIF(BARDAGE!$C$1:$C$5000,B1716)&gt;0,"BARDÉ","EN STOCK")))</f>
        <v/>
      </c>
      <c r="N1716" s="80"/>
    </row>
    <row r="1717" customFormat="false" ht="15" hidden="false" customHeight="false" outlineLevel="0" collapsed="false">
      <c r="A1717" s="82" t="str">
        <f aca="false">IF(B1717="","",ROW()-6)</f>
        <v/>
      </c>
      <c r="B1717" s="145"/>
      <c r="C1717" s="146"/>
      <c r="D1717" s="146"/>
      <c r="E1717" s="82" t="str">
        <f aca="false">IF(B1717="","",IF(COUNTIFS('CARNET DE SOUDURE'!$L$7:$L$3006,B1717,'CARNET DE SOUDURE'!$M$7:$M$3006,"&lt;&gt;"&amp;C1717,'CARNET DE SOUDURE'!$M$7:$M$3006,"&lt;&gt;")+COUNTIFS('CARNET DE SOUDURE'!$O$7:$O$3006,B1717,'CARNET DE SOUDURE'!$P$7:$P$3006,"&lt;&gt;"&amp;C1717,'CARNET DE SOUDURE'!$P$7:$P$3006,"&lt;&gt;")&gt;0,"⚠ DIFFÉRENTE","OK"))</f>
        <v/>
      </c>
      <c r="F1717" s="147"/>
      <c r="G1717" s="80"/>
      <c r="H1717" s="83"/>
      <c r="I1717" s="148" t="str">
        <f aca="false">IF(B1717="","",IFERROR(INDEX('CARNET DE SOUDURE'!$B$7:$B$3006,MATCH(B1717,'CARNET DE SOUDURE'!$L$7:$L$3006,0)),IFERROR(INDEX('CARNET DE SOUDURE'!$B$7:$B$3006,MATCH(B1717,'CARNET DE SOUDURE'!$O$7:$O$3006,0)),"")))</f>
        <v/>
      </c>
      <c r="J1717" s="82" t="str">
        <f aca="false">IF(B1717="","",IFERROR(INDEX('CARNET DE SOUDURE'!$E$7:$E$3006,MATCH(B1717,'CARNET DE SOUDURE'!$O$7:$O$3006,0)),""))</f>
        <v/>
      </c>
      <c r="K1717" s="82" t="str">
        <f aca="false">IF(B1717="","",IFERROR(INDEX('CARNET DE SOUDURE'!$E$7:$E$3006,MATCH(B1717,'CARNET DE SOUDURE'!$L$7:$L$3006,0)),""))</f>
        <v/>
      </c>
      <c r="L1717" s="82" t="str">
        <f aca="false">IF(B1717="","",IFERROR(INDEX('CARNET DE SOUDURE'!$D$7:$D$3006,MATCH(B1717,'CARNET DE SOUDURE'!$L$7:$L$3006,0)),IFERROR(INDEX('CARNET DE SOUDURE'!$D$7:$D$3006,MATCH(B1717,'CARNET DE SOUDURE'!$O$7:$O$3006,0)),"")))</f>
        <v/>
      </c>
      <c r="M1717" s="82" t="str">
        <f aca="false">IF(B1717="","",IF(OR(J1717&lt;&gt;"",K1717&lt;&gt;""),"POSÉ EN LIGNE",IF(COUNTIF(BARDAGE!$C$1:$C$5000,B1717)&gt;0,"BARDÉ","EN STOCK")))</f>
        <v/>
      </c>
      <c r="N1717" s="80"/>
    </row>
    <row r="1718" customFormat="false" ht="15" hidden="false" customHeight="false" outlineLevel="0" collapsed="false">
      <c r="A1718" s="82" t="str">
        <f aca="false">IF(B1718="","",ROW()-6)</f>
        <v/>
      </c>
      <c r="B1718" s="145"/>
      <c r="C1718" s="146"/>
      <c r="D1718" s="146"/>
      <c r="E1718" s="82" t="str">
        <f aca="false">IF(B1718="","",IF(COUNTIFS('CARNET DE SOUDURE'!$L$7:$L$3006,B1718,'CARNET DE SOUDURE'!$M$7:$M$3006,"&lt;&gt;"&amp;C1718,'CARNET DE SOUDURE'!$M$7:$M$3006,"&lt;&gt;")+COUNTIFS('CARNET DE SOUDURE'!$O$7:$O$3006,B1718,'CARNET DE SOUDURE'!$P$7:$P$3006,"&lt;&gt;"&amp;C1718,'CARNET DE SOUDURE'!$P$7:$P$3006,"&lt;&gt;")&gt;0,"⚠ DIFFÉRENTE","OK"))</f>
        <v/>
      </c>
      <c r="F1718" s="147"/>
      <c r="G1718" s="80"/>
      <c r="H1718" s="83"/>
      <c r="I1718" s="148" t="str">
        <f aca="false">IF(B1718="","",IFERROR(INDEX('CARNET DE SOUDURE'!$B$7:$B$3006,MATCH(B1718,'CARNET DE SOUDURE'!$L$7:$L$3006,0)),IFERROR(INDEX('CARNET DE SOUDURE'!$B$7:$B$3006,MATCH(B1718,'CARNET DE SOUDURE'!$O$7:$O$3006,0)),"")))</f>
        <v/>
      </c>
      <c r="J1718" s="82" t="str">
        <f aca="false">IF(B1718="","",IFERROR(INDEX('CARNET DE SOUDURE'!$E$7:$E$3006,MATCH(B1718,'CARNET DE SOUDURE'!$O$7:$O$3006,0)),""))</f>
        <v/>
      </c>
      <c r="K1718" s="82" t="str">
        <f aca="false">IF(B1718="","",IFERROR(INDEX('CARNET DE SOUDURE'!$E$7:$E$3006,MATCH(B1718,'CARNET DE SOUDURE'!$L$7:$L$3006,0)),""))</f>
        <v/>
      </c>
      <c r="L1718" s="82" t="str">
        <f aca="false">IF(B1718="","",IFERROR(INDEX('CARNET DE SOUDURE'!$D$7:$D$3006,MATCH(B1718,'CARNET DE SOUDURE'!$L$7:$L$3006,0)),IFERROR(INDEX('CARNET DE SOUDURE'!$D$7:$D$3006,MATCH(B1718,'CARNET DE SOUDURE'!$O$7:$O$3006,0)),"")))</f>
        <v/>
      </c>
      <c r="M1718" s="82" t="str">
        <f aca="false">IF(B1718="","",IF(OR(J1718&lt;&gt;"",K1718&lt;&gt;""),"POSÉ EN LIGNE",IF(COUNTIF(BARDAGE!$C$1:$C$5000,B1718)&gt;0,"BARDÉ","EN STOCK")))</f>
        <v/>
      </c>
      <c r="N1718" s="80"/>
    </row>
    <row r="1719" customFormat="false" ht="15" hidden="false" customHeight="false" outlineLevel="0" collapsed="false">
      <c r="A1719" s="82" t="str">
        <f aca="false">IF(B1719="","",ROW()-6)</f>
        <v/>
      </c>
      <c r="B1719" s="145"/>
      <c r="C1719" s="146"/>
      <c r="D1719" s="146"/>
      <c r="E1719" s="82" t="str">
        <f aca="false">IF(B1719="","",IF(COUNTIFS('CARNET DE SOUDURE'!$L$7:$L$3006,B1719,'CARNET DE SOUDURE'!$M$7:$M$3006,"&lt;&gt;"&amp;C1719,'CARNET DE SOUDURE'!$M$7:$M$3006,"&lt;&gt;")+COUNTIFS('CARNET DE SOUDURE'!$O$7:$O$3006,B1719,'CARNET DE SOUDURE'!$P$7:$P$3006,"&lt;&gt;"&amp;C1719,'CARNET DE SOUDURE'!$P$7:$P$3006,"&lt;&gt;")&gt;0,"⚠ DIFFÉRENTE","OK"))</f>
        <v/>
      </c>
      <c r="F1719" s="147"/>
      <c r="G1719" s="80"/>
      <c r="H1719" s="83"/>
      <c r="I1719" s="148" t="str">
        <f aca="false">IF(B1719="","",IFERROR(INDEX('CARNET DE SOUDURE'!$B$7:$B$3006,MATCH(B1719,'CARNET DE SOUDURE'!$L$7:$L$3006,0)),IFERROR(INDEX('CARNET DE SOUDURE'!$B$7:$B$3006,MATCH(B1719,'CARNET DE SOUDURE'!$O$7:$O$3006,0)),"")))</f>
        <v/>
      </c>
      <c r="J1719" s="82" t="str">
        <f aca="false">IF(B1719="","",IFERROR(INDEX('CARNET DE SOUDURE'!$E$7:$E$3006,MATCH(B1719,'CARNET DE SOUDURE'!$O$7:$O$3006,0)),""))</f>
        <v/>
      </c>
      <c r="K1719" s="82" t="str">
        <f aca="false">IF(B1719="","",IFERROR(INDEX('CARNET DE SOUDURE'!$E$7:$E$3006,MATCH(B1719,'CARNET DE SOUDURE'!$L$7:$L$3006,0)),""))</f>
        <v/>
      </c>
      <c r="L1719" s="82" t="str">
        <f aca="false">IF(B1719="","",IFERROR(INDEX('CARNET DE SOUDURE'!$D$7:$D$3006,MATCH(B1719,'CARNET DE SOUDURE'!$L$7:$L$3006,0)),IFERROR(INDEX('CARNET DE SOUDURE'!$D$7:$D$3006,MATCH(B1719,'CARNET DE SOUDURE'!$O$7:$O$3006,0)),"")))</f>
        <v/>
      </c>
      <c r="M1719" s="82" t="str">
        <f aca="false">IF(B1719="","",IF(OR(J1719&lt;&gt;"",K1719&lt;&gt;""),"POSÉ EN LIGNE",IF(COUNTIF(BARDAGE!$C$1:$C$5000,B1719)&gt;0,"BARDÉ","EN STOCK")))</f>
        <v/>
      </c>
      <c r="N1719" s="80"/>
    </row>
    <row r="1720" customFormat="false" ht="15" hidden="false" customHeight="false" outlineLevel="0" collapsed="false">
      <c r="A1720" s="82" t="str">
        <f aca="false">IF(B1720="","",ROW()-6)</f>
        <v/>
      </c>
      <c r="B1720" s="145"/>
      <c r="C1720" s="146"/>
      <c r="D1720" s="146"/>
      <c r="E1720" s="82" t="str">
        <f aca="false">IF(B1720="","",IF(COUNTIFS('CARNET DE SOUDURE'!$L$7:$L$3006,B1720,'CARNET DE SOUDURE'!$M$7:$M$3006,"&lt;&gt;"&amp;C1720,'CARNET DE SOUDURE'!$M$7:$M$3006,"&lt;&gt;")+COUNTIFS('CARNET DE SOUDURE'!$O$7:$O$3006,B1720,'CARNET DE SOUDURE'!$P$7:$P$3006,"&lt;&gt;"&amp;C1720,'CARNET DE SOUDURE'!$P$7:$P$3006,"&lt;&gt;")&gt;0,"⚠ DIFFÉRENTE","OK"))</f>
        <v/>
      </c>
      <c r="F1720" s="147"/>
      <c r="G1720" s="80"/>
      <c r="H1720" s="83"/>
      <c r="I1720" s="148" t="str">
        <f aca="false">IF(B1720="","",IFERROR(INDEX('CARNET DE SOUDURE'!$B$7:$B$3006,MATCH(B1720,'CARNET DE SOUDURE'!$L$7:$L$3006,0)),IFERROR(INDEX('CARNET DE SOUDURE'!$B$7:$B$3006,MATCH(B1720,'CARNET DE SOUDURE'!$O$7:$O$3006,0)),"")))</f>
        <v/>
      </c>
      <c r="J1720" s="82" t="str">
        <f aca="false">IF(B1720="","",IFERROR(INDEX('CARNET DE SOUDURE'!$E$7:$E$3006,MATCH(B1720,'CARNET DE SOUDURE'!$O$7:$O$3006,0)),""))</f>
        <v/>
      </c>
      <c r="K1720" s="82" t="str">
        <f aca="false">IF(B1720="","",IFERROR(INDEX('CARNET DE SOUDURE'!$E$7:$E$3006,MATCH(B1720,'CARNET DE SOUDURE'!$L$7:$L$3006,0)),""))</f>
        <v/>
      </c>
      <c r="L1720" s="82" t="str">
        <f aca="false">IF(B1720="","",IFERROR(INDEX('CARNET DE SOUDURE'!$D$7:$D$3006,MATCH(B1720,'CARNET DE SOUDURE'!$L$7:$L$3006,0)),IFERROR(INDEX('CARNET DE SOUDURE'!$D$7:$D$3006,MATCH(B1720,'CARNET DE SOUDURE'!$O$7:$O$3006,0)),"")))</f>
        <v/>
      </c>
      <c r="M1720" s="82" t="str">
        <f aca="false">IF(B1720="","",IF(OR(J1720&lt;&gt;"",K1720&lt;&gt;""),"POSÉ EN LIGNE",IF(COUNTIF(BARDAGE!$C$1:$C$5000,B1720)&gt;0,"BARDÉ","EN STOCK")))</f>
        <v/>
      </c>
      <c r="N1720" s="80"/>
    </row>
    <row r="1721" customFormat="false" ht="15" hidden="false" customHeight="false" outlineLevel="0" collapsed="false">
      <c r="A1721" s="82" t="str">
        <f aca="false">IF(B1721="","",ROW()-6)</f>
        <v/>
      </c>
      <c r="B1721" s="145"/>
      <c r="C1721" s="146"/>
      <c r="D1721" s="146"/>
      <c r="E1721" s="82" t="str">
        <f aca="false">IF(B1721="","",IF(COUNTIFS('CARNET DE SOUDURE'!$L$7:$L$3006,B1721,'CARNET DE SOUDURE'!$M$7:$M$3006,"&lt;&gt;"&amp;C1721,'CARNET DE SOUDURE'!$M$7:$M$3006,"&lt;&gt;")+COUNTIFS('CARNET DE SOUDURE'!$O$7:$O$3006,B1721,'CARNET DE SOUDURE'!$P$7:$P$3006,"&lt;&gt;"&amp;C1721,'CARNET DE SOUDURE'!$P$7:$P$3006,"&lt;&gt;")&gt;0,"⚠ DIFFÉRENTE","OK"))</f>
        <v/>
      </c>
      <c r="F1721" s="147"/>
      <c r="G1721" s="80"/>
      <c r="H1721" s="83"/>
      <c r="I1721" s="148" t="str">
        <f aca="false">IF(B1721="","",IFERROR(INDEX('CARNET DE SOUDURE'!$B$7:$B$3006,MATCH(B1721,'CARNET DE SOUDURE'!$L$7:$L$3006,0)),IFERROR(INDEX('CARNET DE SOUDURE'!$B$7:$B$3006,MATCH(B1721,'CARNET DE SOUDURE'!$O$7:$O$3006,0)),"")))</f>
        <v/>
      </c>
      <c r="J1721" s="82" t="str">
        <f aca="false">IF(B1721="","",IFERROR(INDEX('CARNET DE SOUDURE'!$E$7:$E$3006,MATCH(B1721,'CARNET DE SOUDURE'!$O$7:$O$3006,0)),""))</f>
        <v/>
      </c>
      <c r="K1721" s="82" t="str">
        <f aca="false">IF(B1721="","",IFERROR(INDEX('CARNET DE SOUDURE'!$E$7:$E$3006,MATCH(B1721,'CARNET DE SOUDURE'!$L$7:$L$3006,0)),""))</f>
        <v/>
      </c>
      <c r="L1721" s="82" t="str">
        <f aca="false">IF(B1721="","",IFERROR(INDEX('CARNET DE SOUDURE'!$D$7:$D$3006,MATCH(B1721,'CARNET DE SOUDURE'!$L$7:$L$3006,0)),IFERROR(INDEX('CARNET DE SOUDURE'!$D$7:$D$3006,MATCH(B1721,'CARNET DE SOUDURE'!$O$7:$O$3006,0)),"")))</f>
        <v/>
      </c>
      <c r="M1721" s="82" t="str">
        <f aca="false">IF(B1721="","",IF(OR(J1721&lt;&gt;"",K1721&lt;&gt;""),"POSÉ EN LIGNE",IF(COUNTIF(BARDAGE!$C$1:$C$5000,B1721)&gt;0,"BARDÉ","EN STOCK")))</f>
        <v/>
      </c>
      <c r="N1721" s="80"/>
    </row>
    <row r="1722" customFormat="false" ht="15" hidden="false" customHeight="false" outlineLevel="0" collapsed="false">
      <c r="A1722" s="82" t="str">
        <f aca="false">IF(B1722="","",ROW()-6)</f>
        <v/>
      </c>
      <c r="B1722" s="145"/>
      <c r="C1722" s="146"/>
      <c r="D1722" s="146"/>
      <c r="E1722" s="82" t="str">
        <f aca="false">IF(B1722="","",IF(COUNTIFS('CARNET DE SOUDURE'!$L$7:$L$3006,B1722,'CARNET DE SOUDURE'!$M$7:$M$3006,"&lt;&gt;"&amp;C1722,'CARNET DE SOUDURE'!$M$7:$M$3006,"&lt;&gt;")+COUNTIFS('CARNET DE SOUDURE'!$O$7:$O$3006,B1722,'CARNET DE SOUDURE'!$P$7:$P$3006,"&lt;&gt;"&amp;C1722,'CARNET DE SOUDURE'!$P$7:$P$3006,"&lt;&gt;")&gt;0,"⚠ DIFFÉRENTE","OK"))</f>
        <v/>
      </c>
      <c r="F1722" s="147"/>
      <c r="G1722" s="80"/>
      <c r="H1722" s="83"/>
      <c r="I1722" s="148" t="str">
        <f aca="false">IF(B1722="","",IFERROR(INDEX('CARNET DE SOUDURE'!$B$7:$B$3006,MATCH(B1722,'CARNET DE SOUDURE'!$L$7:$L$3006,0)),IFERROR(INDEX('CARNET DE SOUDURE'!$B$7:$B$3006,MATCH(B1722,'CARNET DE SOUDURE'!$O$7:$O$3006,0)),"")))</f>
        <v/>
      </c>
      <c r="J1722" s="82" t="str">
        <f aca="false">IF(B1722="","",IFERROR(INDEX('CARNET DE SOUDURE'!$E$7:$E$3006,MATCH(B1722,'CARNET DE SOUDURE'!$O$7:$O$3006,0)),""))</f>
        <v/>
      </c>
      <c r="K1722" s="82" t="str">
        <f aca="false">IF(B1722="","",IFERROR(INDEX('CARNET DE SOUDURE'!$E$7:$E$3006,MATCH(B1722,'CARNET DE SOUDURE'!$L$7:$L$3006,0)),""))</f>
        <v/>
      </c>
      <c r="L1722" s="82" t="str">
        <f aca="false">IF(B1722="","",IFERROR(INDEX('CARNET DE SOUDURE'!$D$7:$D$3006,MATCH(B1722,'CARNET DE SOUDURE'!$L$7:$L$3006,0)),IFERROR(INDEX('CARNET DE SOUDURE'!$D$7:$D$3006,MATCH(B1722,'CARNET DE SOUDURE'!$O$7:$O$3006,0)),"")))</f>
        <v/>
      </c>
      <c r="M1722" s="82" t="str">
        <f aca="false">IF(B1722="","",IF(OR(J1722&lt;&gt;"",K1722&lt;&gt;""),"POSÉ EN LIGNE",IF(COUNTIF(BARDAGE!$C$1:$C$5000,B1722)&gt;0,"BARDÉ","EN STOCK")))</f>
        <v/>
      </c>
      <c r="N1722" s="80"/>
    </row>
    <row r="1723" customFormat="false" ht="15" hidden="false" customHeight="false" outlineLevel="0" collapsed="false">
      <c r="A1723" s="82" t="str">
        <f aca="false">IF(B1723="","",ROW()-6)</f>
        <v/>
      </c>
      <c r="B1723" s="145"/>
      <c r="C1723" s="146"/>
      <c r="D1723" s="146"/>
      <c r="E1723" s="82" t="str">
        <f aca="false">IF(B1723="","",IF(COUNTIFS('CARNET DE SOUDURE'!$L$7:$L$3006,B1723,'CARNET DE SOUDURE'!$M$7:$M$3006,"&lt;&gt;"&amp;C1723,'CARNET DE SOUDURE'!$M$7:$M$3006,"&lt;&gt;")+COUNTIFS('CARNET DE SOUDURE'!$O$7:$O$3006,B1723,'CARNET DE SOUDURE'!$P$7:$P$3006,"&lt;&gt;"&amp;C1723,'CARNET DE SOUDURE'!$P$7:$P$3006,"&lt;&gt;")&gt;0,"⚠ DIFFÉRENTE","OK"))</f>
        <v/>
      </c>
      <c r="F1723" s="147"/>
      <c r="G1723" s="80"/>
      <c r="H1723" s="83"/>
      <c r="I1723" s="148" t="str">
        <f aca="false">IF(B1723="","",IFERROR(INDEX('CARNET DE SOUDURE'!$B$7:$B$3006,MATCH(B1723,'CARNET DE SOUDURE'!$L$7:$L$3006,0)),IFERROR(INDEX('CARNET DE SOUDURE'!$B$7:$B$3006,MATCH(B1723,'CARNET DE SOUDURE'!$O$7:$O$3006,0)),"")))</f>
        <v/>
      </c>
      <c r="J1723" s="82" t="str">
        <f aca="false">IF(B1723="","",IFERROR(INDEX('CARNET DE SOUDURE'!$E$7:$E$3006,MATCH(B1723,'CARNET DE SOUDURE'!$O$7:$O$3006,0)),""))</f>
        <v/>
      </c>
      <c r="K1723" s="82" t="str">
        <f aca="false">IF(B1723="","",IFERROR(INDEX('CARNET DE SOUDURE'!$E$7:$E$3006,MATCH(B1723,'CARNET DE SOUDURE'!$L$7:$L$3006,0)),""))</f>
        <v/>
      </c>
      <c r="L1723" s="82" t="str">
        <f aca="false">IF(B1723="","",IFERROR(INDEX('CARNET DE SOUDURE'!$D$7:$D$3006,MATCH(B1723,'CARNET DE SOUDURE'!$L$7:$L$3006,0)),IFERROR(INDEX('CARNET DE SOUDURE'!$D$7:$D$3006,MATCH(B1723,'CARNET DE SOUDURE'!$O$7:$O$3006,0)),"")))</f>
        <v/>
      </c>
      <c r="M1723" s="82" t="str">
        <f aca="false">IF(B1723="","",IF(OR(J1723&lt;&gt;"",K1723&lt;&gt;""),"POSÉ EN LIGNE",IF(COUNTIF(BARDAGE!$C$1:$C$5000,B1723)&gt;0,"BARDÉ","EN STOCK")))</f>
        <v/>
      </c>
      <c r="N1723" s="80"/>
    </row>
    <row r="1724" customFormat="false" ht="15" hidden="false" customHeight="false" outlineLevel="0" collapsed="false">
      <c r="A1724" s="82" t="str">
        <f aca="false">IF(B1724="","",ROW()-6)</f>
        <v/>
      </c>
      <c r="B1724" s="145"/>
      <c r="C1724" s="146"/>
      <c r="D1724" s="146"/>
      <c r="E1724" s="82" t="str">
        <f aca="false">IF(B1724="","",IF(COUNTIFS('CARNET DE SOUDURE'!$L$7:$L$3006,B1724,'CARNET DE SOUDURE'!$M$7:$M$3006,"&lt;&gt;"&amp;C1724,'CARNET DE SOUDURE'!$M$7:$M$3006,"&lt;&gt;")+COUNTIFS('CARNET DE SOUDURE'!$O$7:$O$3006,B1724,'CARNET DE SOUDURE'!$P$7:$P$3006,"&lt;&gt;"&amp;C1724,'CARNET DE SOUDURE'!$P$7:$P$3006,"&lt;&gt;")&gt;0,"⚠ DIFFÉRENTE","OK"))</f>
        <v/>
      </c>
      <c r="F1724" s="147"/>
      <c r="G1724" s="80"/>
      <c r="H1724" s="83"/>
      <c r="I1724" s="148" t="str">
        <f aca="false">IF(B1724="","",IFERROR(INDEX('CARNET DE SOUDURE'!$B$7:$B$3006,MATCH(B1724,'CARNET DE SOUDURE'!$L$7:$L$3006,0)),IFERROR(INDEX('CARNET DE SOUDURE'!$B$7:$B$3006,MATCH(B1724,'CARNET DE SOUDURE'!$O$7:$O$3006,0)),"")))</f>
        <v/>
      </c>
      <c r="J1724" s="82" t="str">
        <f aca="false">IF(B1724="","",IFERROR(INDEX('CARNET DE SOUDURE'!$E$7:$E$3006,MATCH(B1724,'CARNET DE SOUDURE'!$O$7:$O$3006,0)),""))</f>
        <v/>
      </c>
      <c r="K1724" s="82" t="str">
        <f aca="false">IF(B1724="","",IFERROR(INDEX('CARNET DE SOUDURE'!$E$7:$E$3006,MATCH(B1724,'CARNET DE SOUDURE'!$L$7:$L$3006,0)),""))</f>
        <v/>
      </c>
      <c r="L1724" s="82" t="str">
        <f aca="false">IF(B1724="","",IFERROR(INDEX('CARNET DE SOUDURE'!$D$7:$D$3006,MATCH(B1724,'CARNET DE SOUDURE'!$L$7:$L$3006,0)),IFERROR(INDEX('CARNET DE SOUDURE'!$D$7:$D$3006,MATCH(B1724,'CARNET DE SOUDURE'!$O$7:$O$3006,0)),"")))</f>
        <v/>
      </c>
      <c r="M1724" s="82" t="str">
        <f aca="false">IF(B1724="","",IF(OR(J1724&lt;&gt;"",K1724&lt;&gt;""),"POSÉ EN LIGNE",IF(COUNTIF(BARDAGE!$C$1:$C$5000,B1724)&gt;0,"BARDÉ","EN STOCK")))</f>
        <v/>
      </c>
      <c r="N1724" s="80"/>
    </row>
    <row r="1725" customFormat="false" ht="15" hidden="false" customHeight="false" outlineLevel="0" collapsed="false">
      <c r="A1725" s="82" t="str">
        <f aca="false">IF(B1725="","",ROW()-6)</f>
        <v/>
      </c>
      <c r="B1725" s="145"/>
      <c r="C1725" s="146"/>
      <c r="D1725" s="146"/>
      <c r="E1725" s="82" t="str">
        <f aca="false">IF(B1725="","",IF(COUNTIFS('CARNET DE SOUDURE'!$L$7:$L$3006,B1725,'CARNET DE SOUDURE'!$M$7:$M$3006,"&lt;&gt;"&amp;C1725,'CARNET DE SOUDURE'!$M$7:$M$3006,"&lt;&gt;")+COUNTIFS('CARNET DE SOUDURE'!$O$7:$O$3006,B1725,'CARNET DE SOUDURE'!$P$7:$P$3006,"&lt;&gt;"&amp;C1725,'CARNET DE SOUDURE'!$P$7:$P$3006,"&lt;&gt;")&gt;0,"⚠ DIFFÉRENTE","OK"))</f>
        <v/>
      </c>
      <c r="F1725" s="147"/>
      <c r="G1725" s="80"/>
      <c r="H1725" s="83"/>
      <c r="I1725" s="148" t="str">
        <f aca="false">IF(B1725="","",IFERROR(INDEX('CARNET DE SOUDURE'!$B$7:$B$3006,MATCH(B1725,'CARNET DE SOUDURE'!$L$7:$L$3006,0)),IFERROR(INDEX('CARNET DE SOUDURE'!$B$7:$B$3006,MATCH(B1725,'CARNET DE SOUDURE'!$O$7:$O$3006,0)),"")))</f>
        <v/>
      </c>
      <c r="J1725" s="82" t="str">
        <f aca="false">IF(B1725="","",IFERROR(INDEX('CARNET DE SOUDURE'!$E$7:$E$3006,MATCH(B1725,'CARNET DE SOUDURE'!$O$7:$O$3006,0)),""))</f>
        <v/>
      </c>
      <c r="K1725" s="82" t="str">
        <f aca="false">IF(B1725="","",IFERROR(INDEX('CARNET DE SOUDURE'!$E$7:$E$3006,MATCH(B1725,'CARNET DE SOUDURE'!$L$7:$L$3006,0)),""))</f>
        <v/>
      </c>
      <c r="L1725" s="82" t="str">
        <f aca="false">IF(B1725="","",IFERROR(INDEX('CARNET DE SOUDURE'!$D$7:$D$3006,MATCH(B1725,'CARNET DE SOUDURE'!$L$7:$L$3006,0)),IFERROR(INDEX('CARNET DE SOUDURE'!$D$7:$D$3006,MATCH(B1725,'CARNET DE SOUDURE'!$O$7:$O$3006,0)),"")))</f>
        <v/>
      </c>
      <c r="M1725" s="82" t="str">
        <f aca="false">IF(B1725="","",IF(OR(J1725&lt;&gt;"",K1725&lt;&gt;""),"POSÉ EN LIGNE",IF(COUNTIF(BARDAGE!$C$1:$C$5000,B1725)&gt;0,"BARDÉ","EN STOCK")))</f>
        <v/>
      </c>
      <c r="N1725" s="80"/>
    </row>
    <row r="1726" customFormat="false" ht="15" hidden="false" customHeight="false" outlineLevel="0" collapsed="false">
      <c r="A1726" s="82" t="str">
        <f aca="false">IF(B1726="","",ROW()-6)</f>
        <v/>
      </c>
      <c r="B1726" s="145"/>
      <c r="C1726" s="146"/>
      <c r="D1726" s="146"/>
      <c r="E1726" s="82" t="str">
        <f aca="false">IF(B1726="","",IF(COUNTIFS('CARNET DE SOUDURE'!$L$7:$L$3006,B1726,'CARNET DE SOUDURE'!$M$7:$M$3006,"&lt;&gt;"&amp;C1726,'CARNET DE SOUDURE'!$M$7:$M$3006,"&lt;&gt;")+COUNTIFS('CARNET DE SOUDURE'!$O$7:$O$3006,B1726,'CARNET DE SOUDURE'!$P$7:$P$3006,"&lt;&gt;"&amp;C1726,'CARNET DE SOUDURE'!$P$7:$P$3006,"&lt;&gt;")&gt;0,"⚠ DIFFÉRENTE","OK"))</f>
        <v/>
      </c>
      <c r="F1726" s="147"/>
      <c r="G1726" s="80"/>
      <c r="H1726" s="83"/>
      <c r="I1726" s="148" t="str">
        <f aca="false">IF(B1726="","",IFERROR(INDEX('CARNET DE SOUDURE'!$B$7:$B$3006,MATCH(B1726,'CARNET DE SOUDURE'!$L$7:$L$3006,0)),IFERROR(INDEX('CARNET DE SOUDURE'!$B$7:$B$3006,MATCH(B1726,'CARNET DE SOUDURE'!$O$7:$O$3006,0)),"")))</f>
        <v/>
      </c>
      <c r="J1726" s="82" t="str">
        <f aca="false">IF(B1726="","",IFERROR(INDEX('CARNET DE SOUDURE'!$E$7:$E$3006,MATCH(B1726,'CARNET DE SOUDURE'!$O$7:$O$3006,0)),""))</f>
        <v/>
      </c>
      <c r="K1726" s="82" t="str">
        <f aca="false">IF(B1726="","",IFERROR(INDEX('CARNET DE SOUDURE'!$E$7:$E$3006,MATCH(B1726,'CARNET DE SOUDURE'!$L$7:$L$3006,0)),""))</f>
        <v/>
      </c>
      <c r="L1726" s="82" t="str">
        <f aca="false">IF(B1726="","",IFERROR(INDEX('CARNET DE SOUDURE'!$D$7:$D$3006,MATCH(B1726,'CARNET DE SOUDURE'!$L$7:$L$3006,0)),IFERROR(INDEX('CARNET DE SOUDURE'!$D$7:$D$3006,MATCH(B1726,'CARNET DE SOUDURE'!$O$7:$O$3006,0)),"")))</f>
        <v/>
      </c>
      <c r="M1726" s="82" t="str">
        <f aca="false">IF(B1726="","",IF(OR(J1726&lt;&gt;"",K1726&lt;&gt;""),"POSÉ EN LIGNE",IF(COUNTIF(BARDAGE!$C$1:$C$5000,B1726)&gt;0,"BARDÉ","EN STOCK")))</f>
        <v/>
      </c>
      <c r="N1726" s="80"/>
    </row>
    <row r="1727" customFormat="false" ht="15" hidden="false" customHeight="false" outlineLevel="0" collapsed="false">
      <c r="A1727" s="82" t="str">
        <f aca="false">IF(B1727="","",ROW()-6)</f>
        <v/>
      </c>
      <c r="B1727" s="145"/>
      <c r="C1727" s="146"/>
      <c r="D1727" s="146"/>
      <c r="E1727" s="82" t="str">
        <f aca="false">IF(B1727="","",IF(COUNTIFS('CARNET DE SOUDURE'!$L$7:$L$3006,B1727,'CARNET DE SOUDURE'!$M$7:$M$3006,"&lt;&gt;"&amp;C1727,'CARNET DE SOUDURE'!$M$7:$M$3006,"&lt;&gt;")+COUNTIFS('CARNET DE SOUDURE'!$O$7:$O$3006,B1727,'CARNET DE SOUDURE'!$P$7:$P$3006,"&lt;&gt;"&amp;C1727,'CARNET DE SOUDURE'!$P$7:$P$3006,"&lt;&gt;")&gt;0,"⚠ DIFFÉRENTE","OK"))</f>
        <v/>
      </c>
      <c r="F1727" s="147"/>
      <c r="G1727" s="80"/>
      <c r="H1727" s="83"/>
      <c r="I1727" s="148" t="str">
        <f aca="false">IF(B1727="","",IFERROR(INDEX('CARNET DE SOUDURE'!$B$7:$B$3006,MATCH(B1727,'CARNET DE SOUDURE'!$L$7:$L$3006,0)),IFERROR(INDEX('CARNET DE SOUDURE'!$B$7:$B$3006,MATCH(B1727,'CARNET DE SOUDURE'!$O$7:$O$3006,0)),"")))</f>
        <v/>
      </c>
      <c r="J1727" s="82" t="str">
        <f aca="false">IF(B1727="","",IFERROR(INDEX('CARNET DE SOUDURE'!$E$7:$E$3006,MATCH(B1727,'CARNET DE SOUDURE'!$O$7:$O$3006,0)),""))</f>
        <v/>
      </c>
      <c r="K1727" s="82" t="str">
        <f aca="false">IF(B1727="","",IFERROR(INDEX('CARNET DE SOUDURE'!$E$7:$E$3006,MATCH(B1727,'CARNET DE SOUDURE'!$L$7:$L$3006,0)),""))</f>
        <v/>
      </c>
      <c r="L1727" s="82" t="str">
        <f aca="false">IF(B1727="","",IFERROR(INDEX('CARNET DE SOUDURE'!$D$7:$D$3006,MATCH(B1727,'CARNET DE SOUDURE'!$L$7:$L$3006,0)),IFERROR(INDEX('CARNET DE SOUDURE'!$D$7:$D$3006,MATCH(B1727,'CARNET DE SOUDURE'!$O$7:$O$3006,0)),"")))</f>
        <v/>
      </c>
      <c r="M1727" s="82" t="str">
        <f aca="false">IF(B1727="","",IF(OR(J1727&lt;&gt;"",K1727&lt;&gt;""),"POSÉ EN LIGNE",IF(COUNTIF(BARDAGE!$C$1:$C$5000,B1727)&gt;0,"BARDÉ","EN STOCK")))</f>
        <v/>
      </c>
      <c r="N1727" s="80"/>
    </row>
    <row r="1728" customFormat="false" ht="15" hidden="false" customHeight="false" outlineLevel="0" collapsed="false">
      <c r="A1728" s="82" t="str">
        <f aca="false">IF(B1728="","",ROW()-6)</f>
        <v/>
      </c>
      <c r="B1728" s="145"/>
      <c r="C1728" s="146"/>
      <c r="D1728" s="146"/>
      <c r="E1728" s="82" t="str">
        <f aca="false">IF(B1728="","",IF(COUNTIFS('CARNET DE SOUDURE'!$L$7:$L$3006,B1728,'CARNET DE SOUDURE'!$M$7:$M$3006,"&lt;&gt;"&amp;C1728,'CARNET DE SOUDURE'!$M$7:$M$3006,"&lt;&gt;")+COUNTIFS('CARNET DE SOUDURE'!$O$7:$O$3006,B1728,'CARNET DE SOUDURE'!$P$7:$P$3006,"&lt;&gt;"&amp;C1728,'CARNET DE SOUDURE'!$P$7:$P$3006,"&lt;&gt;")&gt;0,"⚠ DIFFÉRENTE","OK"))</f>
        <v/>
      </c>
      <c r="F1728" s="147"/>
      <c r="G1728" s="80"/>
      <c r="H1728" s="83"/>
      <c r="I1728" s="148" t="str">
        <f aca="false">IF(B1728="","",IFERROR(INDEX('CARNET DE SOUDURE'!$B$7:$B$3006,MATCH(B1728,'CARNET DE SOUDURE'!$L$7:$L$3006,0)),IFERROR(INDEX('CARNET DE SOUDURE'!$B$7:$B$3006,MATCH(B1728,'CARNET DE SOUDURE'!$O$7:$O$3006,0)),"")))</f>
        <v/>
      </c>
      <c r="J1728" s="82" t="str">
        <f aca="false">IF(B1728="","",IFERROR(INDEX('CARNET DE SOUDURE'!$E$7:$E$3006,MATCH(B1728,'CARNET DE SOUDURE'!$O$7:$O$3006,0)),""))</f>
        <v/>
      </c>
      <c r="K1728" s="82" t="str">
        <f aca="false">IF(B1728="","",IFERROR(INDEX('CARNET DE SOUDURE'!$E$7:$E$3006,MATCH(B1728,'CARNET DE SOUDURE'!$L$7:$L$3006,0)),""))</f>
        <v/>
      </c>
      <c r="L1728" s="82" t="str">
        <f aca="false">IF(B1728="","",IFERROR(INDEX('CARNET DE SOUDURE'!$D$7:$D$3006,MATCH(B1728,'CARNET DE SOUDURE'!$L$7:$L$3006,0)),IFERROR(INDEX('CARNET DE SOUDURE'!$D$7:$D$3006,MATCH(B1728,'CARNET DE SOUDURE'!$O$7:$O$3006,0)),"")))</f>
        <v/>
      </c>
      <c r="M1728" s="82" t="str">
        <f aca="false">IF(B1728="","",IF(OR(J1728&lt;&gt;"",K1728&lt;&gt;""),"POSÉ EN LIGNE",IF(COUNTIF(BARDAGE!$C$1:$C$5000,B1728)&gt;0,"BARDÉ","EN STOCK")))</f>
        <v/>
      </c>
      <c r="N1728" s="80"/>
    </row>
    <row r="1729" customFormat="false" ht="15" hidden="false" customHeight="false" outlineLevel="0" collapsed="false">
      <c r="A1729" s="82" t="str">
        <f aca="false">IF(B1729="","",ROW()-6)</f>
        <v/>
      </c>
      <c r="B1729" s="145"/>
      <c r="C1729" s="146"/>
      <c r="D1729" s="146"/>
      <c r="E1729" s="82" t="str">
        <f aca="false">IF(B1729="","",IF(COUNTIFS('CARNET DE SOUDURE'!$L$7:$L$3006,B1729,'CARNET DE SOUDURE'!$M$7:$M$3006,"&lt;&gt;"&amp;C1729,'CARNET DE SOUDURE'!$M$7:$M$3006,"&lt;&gt;")+COUNTIFS('CARNET DE SOUDURE'!$O$7:$O$3006,B1729,'CARNET DE SOUDURE'!$P$7:$P$3006,"&lt;&gt;"&amp;C1729,'CARNET DE SOUDURE'!$P$7:$P$3006,"&lt;&gt;")&gt;0,"⚠ DIFFÉRENTE","OK"))</f>
        <v/>
      </c>
      <c r="F1729" s="147"/>
      <c r="G1729" s="80"/>
      <c r="H1729" s="83"/>
      <c r="I1729" s="148" t="str">
        <f aca="false">IF(B1729="","",IFERROR(INDEX('CARNET DE SOUDURE'!$B$7:$B$3006,MATCH(B1729,'CARNET DE SOUDURE'!$L$7:$L$3006,0)),IFERROR(INDEX('CARNET DE SOUDURE'!$B$7:$B$3006,MATCH(B1729,'CARNET DE SOUDURE'!$O$7:$O$3006,0)),"")))</f>
        <v/>
      </c>
      <c r="J1729" s="82" t="str">
        <f aca="false">IF(B1729="","",IFERROR(INDEX('CARNET DE SOUDURE'!$E$7:$E$3006,MATCH(B1729,'CARNET DE SOUDURE'!$O$7:$O$3006,0)),""))</f>
        <v/>
      </c>
      <c r="K1729" s="82" t="str">
        <f aca="false">IF(B1729="","",IFERROR(INDEX('CARNET DE SOUDURE'!$E$7:$E$3006,MATCH(B1729,'CARNET DE SOUDURE'!$L$7:$L$3006,0)),""))</f>
        <v/>
      </c>
      <c r="L1729" s="82" t="str">
        <f aca="false">IF(B1729="","",IFERROR(INDEX('CARNET DE SOUDURE'!$D$7:$D$3006,MATCH(B1729,'CARNET DE SOUDURE'!$L$7:$L$3006,0)),IFERROR(INDEX('CARNET DE SOUDURE'!$D$7:$D$3006,MATCH(B1729,'CARNET DE SOUDURE'!$O$7:$O$3006,0)),"")))</f>
        <v/>
      </c>
      <c r="M1729" s="82" t="str">
        <f aca="false">IF(B1729="","",IF(OR(J1729&lt;&gt;"",K1729&lt;&gt;""),"POSÉ EN LIGNE",IF(COUNTIF(BARDAGE!$C$1:$C$5000,B1729)&gt;0,"BARDÉ","EN STOCK")))</f>
        <v/>
      </c>
      <c r="N1729" s="80"/>
    </row>
    <row r="1730" customFormat="false" ht="15" hidden="false" customHeight="false" outlineLevel="0" collapsed="false">
      <c r="A1730" s="82" t="str">
        <f aca="false">IF(B1730="","",ROW()-6)</f>
        <v/>
      </c>
      <c r="B1730" s="145"/>
      <c r="C1730" s="146"/>
      <c r="D1730" s="146"/>
      <c r="E1730" s="82" t="str">
        <f aca="false">IF(B1730="","",IF(COUNTIFS('CARNET DE SOUDURE'!$L$7:$L$3006,B1730,'CARNET DE SOUDURE'!$M$7:$M$3006,"&lt;&gt;"&amp;C1730,'CARNET DE SOUDURE'!$M$7:$M$3006,"&lt;&gt;")+COUNTIFS('CARNET DE SOUDURE'!$O$7:$O$3006,B1730,'CARNET DE SOUDURE'!$P$7:$P$3006,"&lt;&gt;"&amp;C1730,'CARNET DE SOUDURE'!$P$7:$P$3006,"&lt;&gt;")&gt;0,"⚠ DIFFÉRENTE","OK"))</f>
        <v/>
      </c>
      <c r="F1730" s="147"/>
      <c r="G1730" s="80"/>
      <c r="H1730" s="83"/>
      <c r="I1730" s="148" t="str">
        <f aca="false">IF(B1730="","",IFERROR(INDEX('CARNET DE SOUDURE'!$B$7:$B$3006,MATCH(B1730,'CARNET DE SOUDURE'!$L$7:$L$3006,0)),IFERROR(INDEX('CARNET DE SOUDURE'!$B$7:$B$3006,MATCH(B1730,'CARNET DE SOUDURE'!$O$7:$O$3006,0)),"")))</f>
        <v/>
      </c>
      <c r="J1730" s="82" t="str">
        <f aca="false">IF(B1730="","",IFERROR(INDEX('CARNET DE SOUDURE'!$E$7:$E$3006,MATCH(B1730,'CARNET DE SOUDURE'!$O$7:$O$3006,0)),""))</f>
        <v/>
      </c>
      <c r="K1730" s="82" t="str">
        <f aca="false">IF(B1730="","",IFERROR(INDEX('CARNET DE SOUDURE'!$E$7:$E$3006,MATCH(B1730,'CARNET DE SOUDURE'!$L$7:$L$3006,0)),""))</f>
        <v/>
      </c>
      <c r="L1730" s="82" t="str">
        <f aca="false">IF(B1730="","",IFERROR(INDEX('CARNET DE SOUDURE'!$D$7:$D$3006,MATCH(B1730,'CARNET DE SOUDURE'!$L$7:$L$3006,0)),IFERROR(INDEX('CARNET DE SOUDURE'!$D$7:$D$3006,MATCH(B1730,'CARNET DE SOUDURE'!$O$7:$O$3006,0)),"")))</f>
        <v/>
      </c>
      <c r="M1730" s="82" t="str">
        <f aca="false">IF(B1730="","",IF(OR(J1730&lt;&gt;"",K1730&lt;&gt;""),"POSÉ EN LIGNE",IF(COUNTIF(BARDAGE!$C$1:$C$5000,B1730)&gt;0,"BARDÉ","EN STOCK")))</f>
        <v/>
      </c>
      <c r="N1730" s="80"/>
    </row>
    <row r="1731" customFormat="false" ht="15" hidden="false" customHeight="false" outlineLevel="0" collapsed="false">
      <c r="A1731" s="82" t="str">
        <f aca="false">IF(B1731="","",ROW()-6)</f>
        <v/>
      </c>
      <c r="B1731" s="145"/>
      <c r="C1731" s="146"/>
      <c r="D1731" s="146"/>
      <c r="E1731" s="82" t="str">
        <f aca="false">IF(B1731="","",IF(COUNTIFS('CARNET DE SOUDURE'!$L$7:$L$3006,B1731,'CARNET DE SOUDURE'!$M$7:$M$3006,"&lt;&gt;"&amp;C1731,'CARNET DE SOUDURE'!$M$7:$M$3006,"&lt;&gt;")+COUNTIFS('CARNET DE SOUDURE'!$O$7:$O$3006,B1731,'CARNET DE SOUDURE'!$P$7:$P$3006,"&lt;&gt;"&amp;C1731,'CARNET DE SOUDURE'!$P$7:$P$3006,"&lt;&gt;")&gt;0,"⚠ DIFFÉRENTE","OK"))</f>
        <v/>
      </c>
      <c r="F1731" s="147"/>
      <c r="G1731" s="80"/>
      <c r="H1731" s="83"/>
      <c r="I1731" s="148" t="str">
        <f aca="false">IF(B1731="","",IFERROR(INDEX('CARNET DE SOUDURE'!$B$7:$B$3006,MATCH(B1731,'CARNET DE SOUDURE'!$L$7:$L$3006,0)),IFERROR(INDEX('CARNET DE SOUDURE'!$B$7:$B$3006,MATCH(B1731,'CARNET DE SOUDURE'!$O$7:$O$3006,0)),"")))</f>
        <v/>
      </c>
      <c r="J1731" s="82" t="str">
        <f aca="false">IF(B1731="","",IFERROR(INDEX('CARNET DE SOUDURE'!$E$7:$E$3006,MATCH(B1731,'CARNET DE SOUDURE'!$O$7:$O$3006,0)),""))</f>
        <v/>
      </c>
      <c r="K1731" s="82" t="str">
        <f aca="false">IF(B1731="","",IFERROR(INDEX('CARNET DE SOUDURE'!$E$7:$E$3006,MATCH(B1731,'CARNET DE SOUDURE'!$L$7:$L$3006,0)),""))</f>
        <v/>
      </c>
      <c r="L1731" s="82" t="str">
        <f aca="false">IF(B1731="","",IFERROR(INDEX('CARNET DE SOUDURE'!$D$7:$D$3006,MATCH(B1731,'CARNET DE SOUDURE'!$L$7:$L$3006,0)),IFERROR(INDEX('CARNET DE SOUDURE'!$D$7:$D$3006,MATCH(B1731,'CARNET DE SOUDURE'!$O$7:$O$3006,0)),"")))</f>
        <v/>
      </c>
      <c r="M1731" s="82" t="str">
        <f aca="false">IF(B1731="","",IF(OR(J1731&lt;&gt;"",K1731&lt;&gt;""),"POSÉ EN LIGNE",IF(COUNTIF(BARDAGE!$C$1:$C$5000,B1731)&gt;0,"BARDÉ","EN STOCK")))</f>
        <v/>
      </c>
      <c r="N1731" s="80"/>
    </row>
    <row r="1732" customFormat="false" ht="15" hidden="false" customHeight="false" outlineLevel="0" collapsed="false">
      <c r="A1732" s="82" t="str">
        <f aca="false">IF(B1732="","",ROW()-6)</f>
        <v/>
      </c>
      <c r="B1732" s="145"/>
      <c r="C1732" s="146"/>
      <c r="D1732" s="146"/>
      <c r="E1732" s="82" t="str">
        <f aca="false">IF(B1732="","",IF(COUNTIFS('CARNET DE SOUDURE'!$L$7:$L$3006,B1732,'CARNET DE SOUDURE'!$M$7:$M$3006,"&lt;&gt;"&amp;C1732,'CARNET DE SOUDURE'!$M$7:$M$3006,"&lt;&gt;")+COUNTIFS('CARNET DE SOUDURE'!$O$7:$O$3006,B1732,'CARNET DE SOUDURE'!$P$7:$P$3006,"&lt;&gt;"&amp;C1732,'CARNET DE SOUDURE'!$P$7:$P$3006,"&lt;&gt;")&gt;0,"⚠ DIFFÉRENTE","OK"))</f>
        <v/>
      </c>
      <c r="F1732" s="147"/>
      <c r="G1732" s="80"/>
      <c r="H1732" s="83"/>
      <c r="I1732" s="148" t="str">
        <f aca="false">IF(B1732="","",IFERROR(INDEX('CARNET DE SOUDURE'!$B$7:$B$3006,MATCH(B1732,'CARNET DE SOUDURE'!$L$7:$L$3006,0)),IFERROR(INDEX('CARNET DE SOUDURE'!$B$7:$B$3006,MATCH(B1732,'CARNET DE SOUDURE'!$O$7:$O$3006,0)),"")))</f>
        <v/>
      </c>
      <c r="J1732" s="82" t="str">
        <f aca="false">IF(B1732="","",IFERROR(INDEX('CARNET DE SOUDURE'!$E$7:$E$3006,MATCH(B1732,'CARNET DE SOUDURE'!$O$7:$O$3006,0)),""))</f>
        <v/>
      </c>
      <c r="K1732" s="82" t="str">
        <f aca="false">IF(B1732="","",IFERROR(INDEX('CARNET DE SOUDURE'!$E$7:$E$3006,MATCH(B1732,'CARNET DE SOUDURE'!$L$7:$L$3006,0)),""))</f>
        <v/>
      </c>
      <c r="L1732" s="82" t="str">
        <f aca="false">IF(B1732="","",IFERROR(INDEX('CARNET DE SOUDURE'!$D$7:$D$3006,MATCH(B1732,'CARNET DE SOUDURE'!$L$7:$L$3006,0)),IFERROR(INDEX('CARNET DE SOUDURE'!$D$7:$D$3006,MATCH(B1732,'CARNET DE SOUDURE'!$O$7:$O$3006,0)),"")))</f>
        <v/>
      </c>
      <c r="M1732" s="82" t="str">
        <f aca="false">IF(B1732="","",IF(OR(J1732&lt;&gt;"",K1732&lt;&gt;""),"POSÉ EN LIGNE",IF(COUNTIF(BARDAGE!$C$1:$C$5000,B1732)&gt;0,"BARDÉ","EN STOCK")))</f>
        <v/>
      </c>
      <c r="N1732" s="80"/>
    </row>
    <row r="1733" customFormat="false" ht="15" hidden="false" customHeight="false" outlineLevel="0" collapsed="false">
      <c r="A1733" s="82" t="str">
        <f aca="false">IF(B1733="","",ROW()-6)</f>
        <v/>
      </c>
      <c r="B1733" s="145"/>
      <c r="C1733" s="146"/>
      <c r="D1733" s="146"/>
      <c r="E1733" s="82" t="str">
        <f aca="false">IF(B1733="","",IF(COUNTIFS('CARNET DE SOUDURE'!$L$7:$L$3006,B1733,'CARNET DE SOUDURE'!$M$7:$M$3006,"&lt;&gt;"&amp;C1733,'CARNET DE SOUDURE'!$M$7:$M$3006,"&lt;&gt;")+COUNTIFS('CARNET DE SOUDURE'!$O$7:$O$3006,B1733,'CARNET DE SOUDURE'!$P$7:$P$3006,"&lt;&gt;"&amp;C1733,'CARNET DE SOUDURE'!$P$7:$P$3006,"&lt;&gt;")&gt;0,"⚠ DIFFÉRENTE","OK"))</f>
        <v/>
      </c>
      <c r="F1733" s="147"/>
      <c r="G1733" s="80"/>
      <c r="H1733" s="83"/>
      <c r="I1733" s="148" t="str">
        <f aca="false">IF(B1733="","",IFERROR(INDEX('CARNET DE SOUDURE'!$B$7:$B$3006,MATCH(B1733,'CARNET DE SOUDURE'!$L$7:$L$3006,0)),IFERROR(INDEX('CARNET DE SOUDURE'!$B$7:$B$3006,MATCH(B1733,'CARNET DE SOUDURE'!$O$7:$O$3006,0)),"")))</f>
        <v/>
      </c>
      <c r="J1733" s="82" t="str">
        <f aca="false">IF(B1733="","",IFERROR(INDEX('CARNET DE SOUDURE'!$E$7:$E$3006,MATCH(B1733,'CARNET DE SOUDURE'!$O$7:$O$3006,0)),""))</f>
        <v/>
      </c>
      <c r="K1733" s="82" t="str">
        <f aca="false">IF(B1733="","",IFERROR(INDEX('CARNET DE SOUDURE'!$E$7:$E$3006,MATCH(B1733,'CARNET DE SOUDURE'!$L$7:$L$3006,0)),""))</f>
        <v/>
      </c>
      <c r="L1733" s="82" t="str">
        <f aca="false">IF(B1733="","",IFERROR(INDEX('CARNET DE SOUDURE'!$D$7:$D$3006,MATCH(B1733,'CARNET DE SOUDURE'!$L$7:$L$3006,0)),IFERROR(INDEX('CARNET DE SOUDURE'!$D$7:$D$3006,MATCH(B1733,'CARNET DE SOUDURE'!$O$7:$O$3006,0)),"")))</f>
        <v/>
      </c>
      <c r="M1733" s="82" t="str">
        <f aca="false">IF(B1733="","",IF(OR(J1733&lt;&gt;"",K1733&lt;&gt;""),"POSÉ EN LIGNE",IF(COUNTIF(BARDAGE!$C$1:$C$5000,B1733)&gt;0,"BARDÉ","EN STOCK")))</f>
        <v/>
      </c>
      <c r="N1733" s="80"/>
    </row>
    <row r="1734" customFormat="false" ht="15" hidden="false" customHeight="false" outlineLevel="0" collapsed="false">
      <c r="A1734" s="82" t="str">
        <f aca="false">IF(B1734="","",ROW()-6)</f>
        <v/>
      </c>
      <c r="B1734" s="145"/>
      <c r="C1734" s="146"/>
      <c r="D1734" s="146"/>
      <c r="E1734" s="82" t="str">
        <f aca="false">IF(B1734="","",IF(COUNTIFS('CARNET DE SOUDURE'!$L$7:$L$3006,B1734,'CARNET DE SOUDURE'!$M$7:$M$3006,"&lt;&gt;"&amp;C1734,'CARNET DE SOUDURE'!$M$7:$M$3006,"&lt;&gt;")+COUNTIFS('CARNET DE SOUDURE'!$O$7:$O$3006,B1734,'CARNET DE SOUDURE'!$P$7:$P$3006,"&lt;&gt;"&amp;C1734,'CARNET DE SOUDURE'!$P$7:$P$3006,"&lt;&gt;")&gt;0,"⚠ DIFFÉRENTE","OK"))</f>
        <v/>
      </c>
      <c r="F1734" s="147"/>
      <c r="G1734" s="80"/>
      <c r="H1734" s="83"/>
      <c r="I1734" s="148" t="str">
        <f aca="false">IF(B1734="","",IFERROR(INDEX('CARNET DE SOUDURE'!$B$7:$B$3006,MATCH(B1734,'CARNET DE SOUDURE'!$L$7:$L$3006,0)),IFERROR(INDEX('CARNET DE SOUDURE'!$B$7:$B$3006,MATCH(B1734,'CARNET DE SOUDURE'!$O$7:$O$3006,0)),"")))</f>
        <v/>
      </c>
      <c r="J1734" s="82" t="str">
        <f aca="false">IF(B1734="","",IFERROR(INDEX('CARNET DE SOUDURE'!$E$7:$E$3006,MATCH(B1734,'CARNET DE SOUDURE'!$O$7:$O$3006,0)),""))</f>
        <v/>
      </c>
      <c r="K1734" s="82" t="str">
        <f aca="false">IF(B1734="","",IFERROR(INDEX('CARNET DE SOUDURE'!$E$7:$E$3006,MATCH(B1734,'CARNET DE SOUDURE'!$L$7:$L$3006,0)),""))</f>
        <v/>
      </c>
      <c r="L1734" s="82" t="str">
        <f aca="false">IF(B1734="","",IFERROR(INDEX('CARNET DE SOUDURE'!$D$7:$D$3006,MATCH(B1734,'CARNET DE SOUDURE'!$L$7:$L$3006,0)),IFERROR(INDEX('CARNET DE SOUDURE'!$D$7:$D$3006,MATCH(B1734,'CARNET DE SOUDURE'!$O$7:$O$3006,0)),"")))</f>
        <v/>
      </c>
      <c r="M1734" s="82" t="str">
        <f aca="false">IF(B1734="","",IF(OR(J1734&lt;&gt;"",K1734&lt;&gt;""),"POSÉ EN LIGNE",IF(COUNTIF(BARDAGE!$C$1:$C$5000,B1734)&gt;0,"BARDÉ","EN STOCK")))</f>
        <v/>
      </c>
      <c r="N1734" s="80"/>
    </row>
    <row r="1735" customFormat="false" ht="15" hidden="false" customHeight="false" outlineLevel="0" collapsed="false">
      <c r="A1735" s="82" t="str">
        <f aca="false">IF(B1735="","",ROW()-6)</f>
        <v/>
      </c>
      <c r="B1735" s="145"/>
      <c r="C1735" s="146"/>
      <c r="D1735" s="146"/>
      <c r="E1735" s="82" t="str">
        <f aca="false">IF(B1735="","",IF(COUNTIFS('CARNET DE SOUDURE'!$L$7:$L$3006,B1735,'CARNET DE SOUDURE'!$M$7:$M$3006,"&lt;&gt;"&amp;C1735,'CARNET DE SOUDURE'!$M$7:$M$3006,"&lt;&gt;")+COUNTIFS('CARNET DE SOUDURE'!$O$7:$O$3006,B1735,'CARNET DE SOUDURE'!$P$7:$P$3006,"&lt;&gt;"&amp;C1735,'CARNET DE SOUDURE'!$P$7:$P$3006,"&lt;&gt;")&gt;0,"⚠ DIFFÉRENTE","OK"))</f>
        <v/>
      </c>
      <c r="F1735" s="147"/>
      <c r="G1735" s="80"/>
      <c r="H1735" s="83"/>
      <c r="I1735" s="148" t="str">
        <f aca="false">IF(B1735="","",IFERROR(INDEX('CARNET DE SOUDURE'!$B$7:$B$3006,MATCH(B1735,'CARNET DE SOUDURE'!$L$7:$L$3006,0)),IFERROR(INDEX('CARNET DE SOUDURE'!$B$7:$B$3006,MATCH(B1735,'CARNET DE SOUDURE'!$O$7:$O$3006,0)),"")))</f>
        <v/>
      </c>
      <c r="J1735" s="82" t="str">
        <f aca="false">IF(B1735="","",IFERROR(INDEX('CARNET DE SOUDURE'!$E$7:$E$3006,MATCH(B1735,'CARNET DE SOUDURE'!$O$7:$O$3006,0)),""))</f>
        <v/>
      </c>
      <c r="K1735" s="82" t="str">
        <f aca="false">IF(B1735="","",IFERROR(INDEX('CARNET DE SOUDURE'!$E$7:$E$3006,MATCH(B1735,'CARNET DE SOUDURE'!$L$7:$L$3006,0)),""))</f>
        <v/>
      </c>
      <c r="L1735" s="82" t="str">
        <f aca="false">IF(B1735="","",IFERROR(INDEX('CARNET DE SOUDURE'!$D$7:$D$3006,MATCH(B1735,'CARNET DE SOUDURE'!$L$7:$L$3006,0)),IFERROR(INDEX('CARNET DE SOUDURE'!$D$7:$D$3006,MATCH(B1735,'CARNET DE SOUDURE'!$O$7:$O$3006,0)),"")))</f>
        <v/>
      </c>
      <c r="M1735" s="82" t="str">
        <f aca="false">IF(B1735="","",IF(OR(J1735&lt;&gt;"",K1735&lt;&gt;""),"POSÉ EN LIGNE",IF(COUNTIF(BARDAGE!$C$1:$C$5000,B1735)&gt;0,"BARDÉ","EN STOCK")))</f>
        <v/>
      </c>
      <c r="N1735" s="80"/>
    </row>
    <row r="1736" customFormat="false" ht="15" hidden="false" customHeight="false" outlineLevel="0" collapsed="false">
      <c r="A1736" s="82" t="str">
        <f aca="false">IF(B1736="","",ROW()-6)</f>
        <v/>
      </c>
      <c r="B1736" s="145"/>
      <c r="C1736" s="146"/>
      <c r="D1736" s="146"/>
      <c r="E1736" s="82" t="str">
        <f aca="false">IF(B1736="","",IF(COUNTIFS('CARNET DE SOUDURE'!$L$7:$L$3006,B1736,'CARNET DE SOUDURE'!$M$7:$M$3006,"&lt;&gt;"&amp;C1736,'CARNET DE SOUDURE'!$M$7:$M$3006,"&lt;&gt;")+COUNTIFS('CARNET DE SOUDURE'!$O$7:$O$3006,B1736,'CARNET DE SOUDURE'!$P$7:$P$3006,"&lt;&gt;"&amp;C1736,'CARNET DE SOUDURE'!$P$7:$P$3006,"&lt;&gt;")&gt;0,"⚠ DIFFÉRENTE","OK"))</f>
        <v/>
      </c>
      <c r="F1736" s="147"/>
      <c r="G1736" s="80"/>
      <c r="H1736" s="83"/>
      <c r="I1736" s="148" t="str">
        <f aca="false">IF(B1736="","",IFERROR(INDEX('CARNET DE SOUDURE'!$B$7:$B$3006,MATCH(B1736,'CARNET DE SOUDURE'!$L$7:$L$3006,0)),IFERROR(INDEX('CARNET DE SOUDURE'!$B$7:$B$3006,MATCH(B1736,'CARNET DE SOUDURE'!$O$7:$O$3006,0)),"")))</f>
        <v/>
      </c>
      <c r="J1736" s="82" t="str">
        <f aca="false">IF(B1736="","",IFERROR(INDEX('CARNET DE SOUDURE'!$E$7:$E$3006,MATCH(B1736,'CARNET DE SOUDURE'!$O$7:$O$3006,0)),""))</f>
        <v/>
      </c>
      <c r="K1736" s="82" t="str">
        <f aca="false">IF(B1736="","",IFERROR(INDEX('CARNET DE SOUDURE'!$E$7:$E$3006,MATCH(B1736,'CARNET DE SOUDURE'!$L$7:$L$3006,0)),""))</f>
        <v/>
      </c>
      <c r="L1736" s="82" t="str">
        <f aca="false">IF(B1736="","",IFERROR(INDEX('CARNET DE SOUDURE'!$D$7:$D$3006,MATCH(B1736,'CARNET DE SOUDURE'!$L$7:$L$3006,0)),IFERROR(INDEX('CARNET DE SOUDURE'!$D$7:$D$3006,MATCH(B1736,'CARNET DE SOUDURE'!$O$7:$O$3006,0)),"")))</f>
        <v/>
      </c>
      <c r="M1736" s="82" t="str">
        <f aca="false">IF(B1736="","",IF(OR(J1736&lt;&gt;"",K1736&lt;&gt;""),"POSÉ EN LIGNE",IF(COUNTIF(BARDAGE!$C$1:$C$5000,B1736)&gt;0,"BARDÉ","EN STOCK")))</f>
        <v/>
      </c>
      <c r="N1736" s="80"/>
    </row>
    <row r="1737" customFormat="false" ht="15" hidden="false" customHeight="false" outlineLevel="0" collapsed="false">
      <c r="A1737" s="82" t="str">
        <f aca="false">IF(B1737="","",ROW()-6)</f>
        <v/>
      </c>
      <c r="B1737" s="145"/>
      <c r="C1737" s="146"/>
      <c r="D1737" s="146"/>
      <c r="E1737" s="82" t="str">
        <f aca="false">IF(B1737="","",IF(COUNTIFS('CARNET DE SOUDURE'!$L$7:$L$3006,B1737,'CARNET DE SOUDURE'!$M$7:$M$3006,"&lt;&gt;"&amp;C1737,'CARNET DE SOUDURE'!$M$7:$M$3006,"&lt;&gt;")+COUNTIFS('CARNET DE SOUDURE'!$O$7:$O$3006,B1737,'CARNET DE SOUDURE'!$P$7:$P$3006,"&lt;&gt;"&amp;C1737,'CARNET DE SOUDURE'!$P$7:$P$3006,"&lt;&gt;")&gt;0,"⚠ DIFFÉRENTE","OK"))</f>
        <v/>
      </c>
      <c r="F1737" s="147"/>
      <c r="G1737" s="80"/>
      <c r="H1737" s="83"/>
      <c r="I1737" s="148" t="str">
        <f aca="false">IF(B1737="","",IFERROR(INDEX('CARNET DE SOUDURE'!$B$7:$B$3006,MATCH(B1737,'CARNET DE SOUDURE'!$L$7:$L$3006,0)),IFERROR(INDEX('CARNET DE SOUDURE'!$B$7:$B$3006,MATCH(B1737,'CARNET DE SOUDURE'!$O$7:$O$3006,0)),"")))</f>
        <v/>
      </c>
      <c r="J1737" s="82" t="str">
        <f aca="false">IF(B1737="","",IFERROR(INDEX('CARNET DE SOUDURE'!$E$7:$E$3006,MATCH(B1737,'CARNET DE SOUDURE'!$O$7:$O$3006,0)),""))</f>
        <v/>
      </c>
      <c r="K1737" s="82" t="str">
        <f aca="false">IF(B1737="","",IFERROR(INDEX('CARNET DE SOUDURE'!$E$7:$E$3006,MATCH(B1737,'CARNET DE SOUDURE'!$L$7:$L$3006,0)),""))</f>
        <v/>
      </c>
      <c r="L1737" s="82" t="str">
        <f aca="false">IF(B1737="","",IFERROR(INDEX('CARNET DE SOUDURE'!$D$7:$D$3006,MATCH(B1737,'CARNET DE SOUDURE'!$L$7:$L$3006,0)),IFERROR(INDEX('CARNET DE SOUDURE'!$D$7:$D$3006,MATCH(B1737,'CARNET DE SOUDURE'!$O$7:$O$3006,0)),"")))</f>
        <v/>
      </c>
      <c r="M1737" s="82" t="str">
        <f aca="false">IF(B1737="","",IF(OR(J1737&lt;&gt;"",K1737&lt;&gt;""),"POSÉ EN LIGNE",IF(COUNTIF(BARDAGE!$C$1:$C$5000,B1737)&gt;0,"BARDÉ","EN STOCK")))</f>
        <v/>
      </c>
      <c r="N1737" s="80"/>
    </row>
    <row r="1738" customFormat="false" ht="15" hidden="false" customHeight="false" outlineLevel="0" collapsed="false">
      <c r="A1738" s="82" t="str">
        <f aca="false">IF(B1738="","",ROW()-6)</f>
        <v/>
      </c>
      <c r="B1738" s="145"/>
      <c r="C1738" s="146"/>
      <c r="D1738" s="146"/>
      <c r="E1738" s="82" t="str">
        <f aca="false">IF(B1738="","",IF(COUNTIFS('CARNET DE SOUDURE'!$L$7:$L$3006,B1738,'CARNET DE SOUDURE'!$M$7:$M$3006,"&lt;&gt;"&amp;C1738,'CARNET DE SOUDURE'!$M$7:$M$3006,"&lt;&gt;")+COUNTIFS('CARNET DE SOUDURE'!$O$7:$O$3006,B1738,'CARNET DE SOUDURE'!$P$7:$P$3006,"&lt;&gt;"&amp;C1738,'CARNET DE SOUDURE'!$P$7:$P$3006,"&lt;&gt;")&gt;0,"⚠ DIFFÉRENTE","OK"))</f>
        <v/>
      </c>
      <c r="F1738" s="147"/>
      <c r="G1738" s="80"/>
      <c r="H1738" s="83"/>
      <c r="I1738" s="148" t="str">
        <f aca="false">IF(B1738="","",IFERROR(INDEX('CARNET DE SOUDURE'!$B$7:$B$3006,MATCH(B1738,'CARNET DE SOUDURE'!$L$7:$L$3006,0)),IFERROR(INDEX('CARNET DE SOUDURE'!$B$7:$B$3006,MATCH(B1738,'CARNET DE SOUDURE'!$O$7:$O$3006,0)),"")))</f>
        <v/>
      </c>
      <c r="J1738" s="82" t="str">
        <f aca="false">IF(B1738="","",IFERROR(INDEX('CARNET DE SOUDURE'!$E$7:$E$3006,MATCH(B1738,'CARNET DE SOUDURE'!$O$7:$O$3006,0)),""))</f>
        <v/>
      </c>
      <c r="K1738" s="82" t="str">
        <f aca="false">IF(B1738="","",IFERROR(INDEX('CARNET DE SOUDURE'!$E$7:$E$3006,MATCH(B1738,'CARNET DE SOUDURE'!$L$7:$L$3006,0)),""))</f>
        <v/>
      </c>
      <c r="L1738" s="82" t="str">
        <f aca="false">IF(B1738="","",IFERROR(INDEX('CARNET DE SOUDURE'!$D$7:$D$3006,MATCH(B1738,'CARNET DE SOUDURE'!$L$7:$L$3006,0)),IFERROR(INDEX('CARNET DE SOUDURE'!$D$7:$D$3006,MATCH(B1738,'CARNET DE SOUDURE'!$O$7:$O$3006,0)),"")))</f>
        <v/>
      </c>
      <c r="M1738" s="82" t="str">
        <f aca="false">IF(B1738="","",IF(OR(J1738&lt;&gt;"",K1738&lt;&gt;""),"POSÉ EN LIGNE",IF(COUNTIF(BARDAGE!$C$1:$C$5000,B1738)&gt;0,"BARDÉ","EN STOCK")))</f>
        <v/>
      </c>
      <c r="N1738" s="80"/>
    </row>
    <row r="1739" customFormat="false" ht="15" hidden="false" customHeight="false" outlineLevel="0" collapsed="false">
      <c r="A1739" s="82" t="str">
        <f aca="false">IF(B1739="","",ROW()-6)</f>
        <v/>
      </c>
      <c r="B1739" s="145"/>
      <c r="C1739" s="146"/>
      <c r="D1739" s="146"/>
      <c r="E1739" s="82" t="str">
        <f aca="false">IF(B1739="","",IF(COUNTIFS('CARNET DE SOUDURE'!$L$7:$L$3006,B1739,'CARNET DE SOUDURE'!$M$7:$M$3006,"&lt;&gt;"&amp;C1739,'CARNET DE SOUDURE'!$M$7:$M$3006,"&lt;&gt;")+COUNTIFS('CARNET DE SOUDURE'!$O$7:$O$3006,B1739,'CARNET DE SOUDURE'!$P$7:$P$3006,"&lt;&gt;"&amp;C1739,'CARNET DE SOUDURE'!$P$7:$P$3006,"&lt;&gt;")&gt;0,"⚠ DIFFÉRENTE","OK"))</f>
        <v/>
      </c>
      <c r="F1739" s="147"/>
      <c r="G1739" s="80"/>
      <c r="H1739" s="83"/>
      <c r="I1739" s="148" t="str">
        <f aca="false">IF(B1739="","",IFERROR(INDEX('CARNET DE SOUDURE'!$B$7:$B$3006,MATCH(B1739,'CARNET DE SOUDURE'!$L$7:$L$3006,0)),IFERROR(INDEX('CARNET DE SOUDURE'!$B$7:$B$3006,MATCH(B1739,'CARNET DE SOUDURE'!$O$7:$O$3006,0)),"")))</f>
        <v/>
      </c>
      <c r="J1739" s="82" t="str">
        <f aca="false">IF(B1739="","",IFERROR(INDEX('CARNET DE SOUDURE'!$E$7:$E$3006,MATCH(B1739,'CARNET DE SOUDURE'!$O$7:$O$3006,0)),""))</f>
        <v/>
      </c>
      <c r="K1739" s="82" t="str">
        <f aca="false">IF(B1739="","",IFERROR(INDEX('CARNET DE SOUDURE'!$E$7:$E$3006,MATCH(B1739,'CARNET DE SOUDURE'!$L$7:$L$3006,0)),""))</f>
        <v/>
      </c>
      <c r="L1739" s="82" t="str">
        <f aca="false">IF(B1739="","",IFERROR(INDEX('CARNET DE SOUDURE'!$D$7:$D$3006,MATCH(B1739,'CARNET DE SOUDURE'!$L$7:$L$3006,0)),IFERROR(INDEX('CARNET DE SOUDURE'!$D$7:$D$3006,MATCH(B1739,'CARNET DE SOUDURE'!$O$7:$O$3006,0)),"")))</f>
        <v/>
      </c>
      <c r="M1739" s="82" t="str">
        <f aca="false">IF(B1739="","",IF(OR(J1739&lt;&gt;"",K1739&lt;&gt;""),"POSÉ EN LIGNE",IF(COUNTIF(BARDAGE!$C$1:$C$5000,B1739)&gt;0,"BARDÉ","EN STOCK")))</f>
        <v/>
      </c>
      <c r="N1739" s="80"/>
    </row>
    <row r="1740" customFormat="false" ht="15" hidden="false" customHeight="false" outlineLevel="0" collapsed="false">
      <c r="A1740" s="82" t="str">
        <f aca="false">IF(B1740="","",ROW()-6)</f>
        <v/>
      </c>
      <c r="B1740" s="145"/>
      <c r="C1740" s="146"/>
      <c r="D1740" s="146"/>
      <c r="E1740" s="82" t="str">
        <f aca="false">IF(B1740="","",IF(COUNTIFS('CARNET DE SOUDURE'!$L$7:$L$3006,B1740,'CARNET DE SOUDURE'!$M$7:$M$3006,"&lt;&gt;"&amp;C1740,'CARNET DE SOUDURE'!$M$7:$M$3006,"&lt;&gt;")+COUNTIFS('CARNET DE SOUDURE'!$O$7:$O$3006,B1740,'CARNET DE SOUDURE'!$P$7:$P$3006,"&lt;&gt;"&amp;C1740,'CARNET DE SOUDURE'!$P$7:$P$3006,"&lt;&gt;")&gt;0,"⚠ DIFFÉRENTE","OK"))</f>
        <v/>
      </c>
      <c r="F1740" s="147"/>
      <c r="G1740" s="80"/>
      <c r="H1740" s="83"/>
      <c r="I1740" s="148" t="str">
        <f aca="false">IF(B1740="","",IFERROR(INDEX('CARNET DE SOUDURE'!$B$7:$B$3006,MATCH(B1740,'CARNET DE SOUDURE'!$L$7:$L$3006,0)),IFERROR(INDEX('CARNET DE SOUDURE'!$B$7:$B$3006,MATCH(B1740,'CARNET DE SOUDURE'!$O$7:$O$3006,0)),"")))</f>
        <v/>
      </c>
      <c r="J1740" s="82" t="str">
        <f aca="false">IF(B1740="","",IFERROR(INDEX('CARNET DE SOUDURE'!$E$7:$E$3006,MATCH(B1740,'CARNET DE SOUDURE'!$O$7:$O$3006,0)),""))</f>
        <v/>
      </c>
      <c r="K1740" s="82" t="str">
        <f aca="false">IF(B1740="","",IFERROR(INDEX('CARNET DE SOUDURE'!$E$7:$E$3006,MATCH(B1740,'CARNET DE SOUDURE'!$L$7:$L$3006,0)),""))</f>
        <v/>
      </c>
      <c r="L1740" s="82" t="str">
        <f aca="false">IF(B1740="","",IFERROR(INDEX('CARNET DE SOUDURE'!$D$7:$D$3006,MATCH(B1740,'CARNET DE SOUDURE'!$L$7:$L$3006,0)),IFERROR(INDEX('CARNET DE SOUDURE'!$D$7:$D$3006,MATCH(B1740,'CARNET DE SOUDURE'!$O$7:$O$3006,0)),"")))</f>
        <v/>
      </c>
      <c r="M1740" s="82" t="str">
        <f aca="false">IF(B1740="","",IF(OR(J1740&lt;&gt;"",K1740&lt;&gt;""),"POSÉ EN LIGNE",IF(COUNTIF(BARDAGE!$C$1:$C$5000,B1740)&gt;0,"BARDÉ","EN STOCK")))</f>
        <v/>
      </c>
      <c r="N1740" s="80"/>
    </row>
    <row r="1741" customFormat="false" ht="15" hidden="false" customHeight="false" outlineLevel="0" collapsed="false">
      <c r="A1741" s="82" t="str">
        <f aca="false">IF(B1741="","",ROW()-6)</f>
        <v/>
      </c>
      <c r="B1741" s="145"/>
      <c r="C1741" s="146"/>
      <c r="D1741" s="146"/>
      <c r="E1741" s="82" t="str">
        <f aca="false">IF(B1741="","",IF(COUNTIFS('CARNET DE SOUDURE'!$L$7:$L$3006,B1741,'CARNET DE SOUDURE'!$M$7:$M$3006,"&lt;&gt;"&amp;C1741,'CARNET DE SOUDURE'!$M$7:$M$3006,"&lt;&gt;")+COUNTIFS('CARNET DE SOUDURE'!$O$7:$O$3006,B1741,'CARNET DE SOUDURE'!$P$7:$P$3006,"&lt;&gt;"&amp;C1741,'CARNET DE SOUDURE'!$P$7:$P$3006,"&lt;&gt;")&gt;0,"⚠ DIFFÉRENTE","OK"))</f>
        <v/>
      </c>
      <c r="F1741" s="147"/>
      <c r="G1741" s="80"/>
      <c r="H1741" s="83"/>
      <c r="I1741" s="148" t="str">
        <f aca="false">IF(B1741="","",IFERROR(INDEX('CARNET DE SOUDURE'!$B$7:$B$3006,MATCH(B1741,'CARNET DE SOUDURE'!$L$7:$L$3006,0)),IFERROR(INDEX('CARNET DE SOUDURE'!$B$7:$B$3006,MATCH(B1741,'CARNET DE SOUDURE'!$O$7:$O$3006,0)),"")))</f>
        <v/>
      </c>
      <c r="J1741" s="82" t="str">
        <f aca="false">IF(B1741="","",IFERROR(INDEX('CARNET DE SOUDURE'!$E$7:$E$3006,MATCH(B1741,'CARNET DE SOUDURE'!$O$7:$O$3006,0)),""))</f>
        <v/>
      </c>
      <c r="K1741" s="82" t="str">
        <f aca="false">IF(B1741="","",IFERROR(INDEX('CARNET DE SOUDURE'!$E$7:$E$3006,MATCH(B1741,'CARNET DE SOUDURE'!$L$7:$L$3006,0)),""))</f>
        <v/>
      </c>
      <c r="L1741" s="82" t="str">
        <f aca="false">IF(B1741="","",IFERROR(INDEX('CARNET DE SOUDURE'!$D$7:$D$3006,MATCH(B1741,'CARNET DE SOUDURE'!$L$7:$L$3006,0)),IFERROR(INDEX('CARNET DE SOUDURE'!$D$7:$D$3006,MATCH(B1741,'CARNET DE SOUDURE'!$O$7:$O$3006,0)),"")))</f>
        <v/>
      </c>
      <c r="M1741" s="82" t="str">
        <f aca="false">IF(B1741="","",IF(OR(J1741&lt;&gt;"",K1741&lt;&gt;""),"POSÉ EN LIGNE",IF(COUNTIF(BARDAGE!$C$1:$C$5000,B1741)&gt;0,"BARDÉ","EN STOCK")))</f>
        <v/>
      </c>
      <c r="N1741" s="80"/>
    </row>
    <row r="1742" customFormat="false" ht="15" hidden="false" customHeight="false" outlineLevel="0" collapsed="false">
      <c r="A1742" s="82" t="str">
        <f aca="false">IF(B1742="","",ROW()-6)</f>
        <v/>
      </c>
      <c r="B1742" s="145"/>
      <c r="C1742" s="146"/>
      <c r="D1742" s="146"/>
      <c r="E1742" s="82" t="str">
        <f aca="false">IF(B1742="","",IF(COUNTIFS('CARNET DE SOUDURE'!$L$7:$L$3006,B1742,'CARNET DE SOUDURE'!$M$7:$M$3006,"&lt;&gt;"&amp;C1742,'CARNET DE SOUDURE'!$M$7:$M$3006,"&lt;&gt;")+COUNTIFS('CARNET DE SOUDURE'!$O$7:$O$3006,B1742,'CARNET DE SOUDURE'!$P$7:$P$3006,"&lt;&gt;"&amp;C1742,'CARNET DE SOUDURE'!$P$7:$P$3006,"&lt;&gt;")&gt;0,"⚠ DIFFÉRENTE","OK"))</f>
        <v/>
      </c>
      <c r="F1742" s="147"/>
      <c r="G1742" s="80"/>
      <c r="H1742" s="83"/>
      <c r="I1742" s="148" t="str">
        <f aca="false">IF(B1742="","",IFERROR(INDEX('CARNET DE SOUDURE'!$B$7:$B$3006,MATCH(B1742,'CARNET DE SOUDURE'!$L$7:$L$3006,0)),IFERROR(INDEX('CARNET DE SOUDURE'!$B$7:$B$3006,MATCH(B1742,'CARNET DE SOUDURE'!$O$7:$O$3006,0)),"")))</f>
        <v/>
      </c>
      <c r="J1742" s="82" t="str">
        <f aca="false">IF(B1742="","",IFERROR(INDEX('CARNET DE SOUDURE'!$E$7:$E$3006,MATCH(B1742,'CARNET DE SOUDURE'!$O$7:$O$3006,0)),""))</f>
        <v/>
      </c>
      <c r="K1742" s="82" t="str">
        <f aca="false">IF(B1742="","",IFERROR(INDEX('CARNET DE SOUDURE'!$E$7:$E$3006,MATCH(B1742,'CARNET DE SOUDURE'!$L$7:$L$3006,0)),""))</f>
        <v/>
      </c>
      <c r="L1742" s="82" t="str">
        <f aca="false">IF(B1742="","",IFERROR(INDEX('CARNET DE SOUDURE'!$D$7:$D$3006,MATCH(B1742,'CARNET DE SOUDURE'!$L$7:$L$3006,0)),IFERROR(INDEX('CARNET DE SOUDURE'!$D$7:$D$3006,MATCH(B1742,'CARNET DE SOUDURE'!$O$7:$O$3006,0)),"")))</f>
        <v/>
      </c>
      <c r="M1742" s="82" t="str">
        <f aca="false">IF(B1742="","",IF(OR(J1742&lt;&gt;"",K1742&lt;&gt;""),"POSÉ EN LIGNE",IF(COUNTIF(BARDAGE!$C$1:$C$5000,B1742)&gt;0,"BARDÉ","EN STOCK")))</f>
        <v/>
      </c>
      <c r="N1742" s="80"/>
    </row>
    <row r="1743" customFormat="false" ht="15" hidden="false" customHeight="false" outlineLevel="0" collapsed="false">
      <c r="A1743" s="82" t="str">
        <f aca="false">IF(B1743="","",ROW()-6)</f>
        <v/>
      </c>
      <c r="B1743" s="145"/>
      <c r="C1743" s="146"/>
      <c r="D1743" s="146"/>
      <c r="E1743" s="82" t="str">
        <f aca="false">IF(B1743="","",IF(COUNTIFS('CARNET DE SOUDURE'!$L$7:$L$3006,B1743,'CARNET DE SOUDURE'!$M$7:$M$3006,"&lt;&gt;"&amp;C1743,'CARNET DE SOUDURE'!$M$7:$M$3006,"&lt;&gt;")+COUNTIFS('CARNET DE SOUDURE'!$O$7:$O$3006,B1743,'CARNET DE SOUDURE'!$P$7:$P$3006,"&lt;&gt;"&amp;C1743,'CARNET DE SOUDURE'!$P$7:$P$3006,"&lt;&gt;")&gt;0,"⚠ DIFFÉRENTE","OK"))</f>
        <v/>
      </c>
      <c r="F1743" s="147"/>
      <c r="G1743" s="80"/>
      <c r="H1743" s="83"/>
      <c r="I1743" s="148" t="str">
        <f aca="false">IF(B1743="","",IFERROR(INDEX('CARNET DE SOUDURE'!$B$7:$B$3006,MATCH(B1743,'CARNET DE SOUDURE'!$L$7:$L$3006,0)),IFERROR(INDEX('CARNET DE SOUDURE'!$B$7:$B$3006,MATCH(B1743,'CARNET DE SOUDURE'!$O$7:$O$3006,0)),"")))</f>
        <v/>
      </c>
      <c r="J1743" s="82" t="str">
        <f aca="false">IF(B1743="","",IFERROR(INDEX('CARNET DE SOUDURE'!$E$7:$E$3006,MATCH(B1743,'CARNET DE SOUDURE'!$O$7:$O$3006,0)),""))</f>
        <v/>
      </c>
      <c r="K1743" s="82" t="str">
        <f aca="false">IF(B1743="","",IFERROR(INDEX('CARNET DE SOUDURE'!$E$7:$E$3006,MATCH(B1743,'CARNET DE SOUDURE'!$L$7:$L$3006,0)),""))</f>
        <v/>
      </c>
      <c r="L1743" s="82" t="str">
        <f aca="false">IF(B1743="","",IFERROR(INDEX('CARNET DE SOUDURE'!$D$7:$D$3006,MATCH(B1743,'CARNET DE SOUDURE'!$L$7:$L$3006,0)),IFERROR(INDEX('CARNET DE SOUDURE'!$D$7:$D$3006,MATCH(B1743,'CARNET DE SOUDURE'!$O$7:$O$3006,0)),"")))</f>
        <v/>
      </c>
      <c r="M1743" s="82" t="str">
        <f aca="false">IF(B1743="","",IF(OR(J1743&lt;&gt;"",K1743&lt;&gt;""),"POSÉ EN LIGNE",IF(COUNTIF(BARDAGE!$C$1:$C$5000,B1743)&gt;0,"BARDÉ","EN STOCK")))</f>
        <v/>
      </c>
      <c r="N1743" s="80"/>
    </row>
    <row r="1744" customFormat="false" ht="15" hidden="false" customHeight="false" outlineLevel="0" collapsed="false">
      <c r="A1744" s="82" t="str">
        <f aca="false">IF(B1744="","",ROW()-6)</f>
        <v/>
      </c>
      <c r="B1744" s="145"/>
      <c r="C1744" s="146"/>
      <c r="D1744" s="146"/>
      <c r="E1744" s="82" t="str">
        <f aca="false">IF(B1744="","",IF(COUNTIFS('CARNET DE SOUDURE'!$L$7:$L$3006,B1744,'CARNET DE SOUDURE'!$M$7:$M$3006,"&lt;&gt;"&amp;C1744,'CARNET DE SOUDURE'!$M$7:$M$3006,"&lt;&gt;")+COUNTIFS('CARNET DE SOUDURE'!$O$7:$O$3006,B1744,'CARNET DE SOUDURE'!$P$7:$P$3006,"&lt;&gt;"&amp;C1744,'CARNET DE SOUDURE'!$P$7:$P$3006,"&lt;&gt;")&gt;0,"⚠ DIFFÉRENTE","OK"))</f>
        <v/>
      </c>
      <c r="F1744" s="147"/>
      <c r="G1744" s="80"/>
      <c r="H1744" s="83"/>
      <c r="I1744" s="148" t="str">
        <f aca="false">IF(B1744="","",IFERROR(INDEX('CARNET DE SOUDURE'!$B$7:$B$3006,MATCH(B1744,'CARNET DE SOUDURE'!$L$7:$L$3006,0)),IFERROR(INDEX('CARNET DE SOUDURE'!$B$7:$B$3006,MATCH(B1744,'CARNET DE SOUDURE'!$O$7:$O$3006,0)),"")))</f>
        <v/>
      </c>
      <c r="J1744" s="82" t="str">
        <f aca="false">IF(B1744="","",IFERROR(INDEX('CARNET DE SOUDURE'!$E$7:$E$3006,MATCH(B1744,'CARNET DE SOUDURE'!$O$7:$O$3006,0)),""))</f>
        <v/>
      </c>
      <c r="K1744" s="82" t="str">
        <f aca="false">IF(B1744="","",IFERROR(INDEX('CARNET DE SOUDURE'!$E$7:$E$3006,MATCH(B1744,'CARNET DE SOUDURE'!$L$7:$L$3006,0)),""))</f>
        <v/>
      </c>
      <c r="L1744" s="82" t="str">
        <f aca="false">IF(B1744="","",IFERROR(INDEX('CARNET DE SOUDURE'!$D$7:$D$3006,MATCH(B1744,'CARNET DE SOUDURE'!$L$7:$L$3006,0)),IFERROR(INDEX('CARNET DE SOUDURE'!$D$7:$D$3006,MATCH(B1744,'CARNET DE SOUDURE'!$O$7:$O$3006,0)),"")))</f>
        <v/>
      </c>
      <c r="M1744" s="82" t="str">
        <f aca="false">IF(B1744="","",IF(OR(J1744&lt;&gt;"",K1744&lt;&gt;""),"POSÉ EN LIGNE",IF(COUNTIF(BARDAGE!$C$1:$C$5000,B1744)&gt;0,"BARDÉ","EN STOCK")))</f>
        <v/>
      </c>
      <c r="N1744" s="80"/>
    </row>
    <row r="1745" customFormat="false" ht="15" hidden="false" customHeight="false" outlineLevel="0" collapsed="false">
      <c r="A1745" s="82" t="str">
        <f aca="false">IF(B1745="","",ROW()-6)</f>
        <v/>
      </c>
      <c r="B1745" s="145"/>
      <c r="C1745" s="146"/>
      <c r="D1745" s="146"/>
      <c r="E1745" s="82" t="str">
        <f aca="false">IF(B1745="","",IF(COUNTIFS('CARNET DE SOUDURE'!$L$7:$L$3006,B1745,'CARNET DE SOUDURE'!$M$7:$M$3006,"&lt;&gt;"&amp;C1745,'CARNET DE SOUDURE'!$M$7:$M$3006,"&lt;&gt;")+COUNTIFS('CARNET DE SOUDURE'!$O$7:$O$3006,B1745,'CARNET DE SOUDURE'!$P$7:$P$3006,"&lt;&gt;"&amp;C1745,'CARNET DE SOUDURE'!$P$7:$P$3006,"&lt;&gt;")&gt;0,"⚠ DIFFÉRENTE","OK"))</f>
        <v/>
      </c>
      <c r="F1745" s="147"/>
      <c r="G1745" s="80"/>
      <c r="H1745" s="83"/>
      <c r="I1745" s="148" t="str">
        <f aca="false">IF(B1745="","",IFERROR(INDEX('CARNET DE SOUDURE'!$B$7:$B$3006,MATCH(B1745,'CARNET DE SOUDURE'!$L$7:$L$3006,0)),IFERROR(INDEX('CARNET DE SOUDURE'!$B$7:$B$3006,MATCH(B1745,'CARNET DE SOUDURE'!$O$7:$O$3006,0)),"")))</f>
        <v/>
      </c>
      <c r="J1745" s="82" t="str">
        <f aca="false">IF(B1745="","",IFERROR(INDEX('CARNET DE SOUDURE'!$E$7:$E$3006,MATCH(B1745,'CARNET DE SOUDURE'!$O$7:$O$3006,0)),""))</f>
        <v/>
      </c>
      <c r="K1745" s="82" t="str">
        <f aca="false">IF(B1745="","",IFERROR(INDEX('CARNET DE SOUDURE'!$E$7:$E$3006,MATCH(B1745,'CARNET DE SOUDURE'!$L$7:$L$3006,0)),""))</f>
        <v/>
      </c>
      <c r="L1745" s="82" t="str">
        <f aca="false">IF(B1745="","",IFERROR(INDEX('CARNET DE SOUDURE'!$D$7:$D$3006,MATCH(B1745,'CARNET DE SOUDURE'!$L$7:$L$3006,0)),IFERROR(INDEX('CARNET DE SOUDURE'!$D$7:$D$3006,MATCH(B1745,'CARNET DE SOUDURE'!$O$7:$O$3006,0)),"")))</f>
        <v/>
      </c>
      <c r="M1745" s="82" t="str">
        <f aca="false">IF(B1745="","",IF(OR(J1745&lt;&gt;"",K1745&lt;&gt;""),"POSÉ EN LIGNE",IF(COUNTIF(BARDAGE!$C$1:$C$5000,B1745)&gt;0,"BARDÉ","EN STOCK")))</f>
        <v/>
      </c>
      <c r="N1745" s="80"/>
    </row>
    <row r="1746" customFormat="false" ht="15" hidden="false" customHeight="false" outlineLevel="0" collapsed="false">
      <c r="A1746" s="82" t="str">
        <f aca="false">IF(B1746="","",ROW()-6)</f>
        <v/>
      </c>
      <c r="B1746" s="145"/>
      <c r="C1746" s="146"/>
      <c r="D1746" s="146"/>
      <c r="E1746" s="82" t="str">
        <f aca="false">IF(B1746="","",IF(COUNTIFS('CARNET DE SOUDURE'!$L$7:$L$3006,B1746,'CARNET DE SOUDURE'!$M$7:$M$3006,"&lt;&gt;"&amp;C1746,'CARNET DE SOUDURE'!$M$7:$M$3006,"&lt;&gt;")+COUNTIFS('CARNET DE SOUDURE'!$O$7:$O$3006,B1746,'CARNET DE SOUDURE'!$P$7:$P$3006,"&lt;&gt;"&amp;C1746,'CARNET DE SOUDURE'!$P$7:$P$3006,"&lt;&gt;")&gt;0,"⚠ DIFFÉRENTE","OK"))</f>
        <v/>
      </c>
      <c r="F1746" s="147"/>
      <c r="G1746" s="80"/>
      <c r="H1746" s="83"/>
      <c r="I1746" s="148" t="str">
        <f aca="false">IF(B1746="","",IFERROR(INDEX('CARNET DE SOUDURE'!$B$7:$B$3006,MATCH(B1746,'CARNET DE SOUDURE'!$L$7:$L$3006,0)),IFERROR(INDEX('CARNET DE SOUDURE'!$B$7:$B$3006,MATCH(B1746,'CARNET DE SOUDURE'!$O$7:$O$3006,0)),"")))</f>
        <v/>
      </c>
      <c r="J1746" s="82" t="str">
        <f aca="false">IF(B1746="","",IFERROR(INDEX('CARNET DE SOUDURE'!$E$7:$E$3006,MATCH(B1746,'CARNET DE SOUDURE'!$O$7:$O$3006,0)),""))</f>
        <v/>
      </c>
      <c r="K1746" s="82" t="str">
        <f aca="false">IF(B1746="","",IFERROR(INDEX('CARNET DE SOUDURE'!$E$7:$E$3006,MATCH(B1746,'CARNET DE SOUDURE'!$L$7:$L$3006,0)),""))</f>
        <v/>
      </c>
      <c r="L1746" s="82" t="str">
        <f aca="false">IF(B1746="","",IFERROR(INDEX('CARNET DE SOUDURE'!$D$7:$D$3006,MATCH(B1746,'CARNET DE SOUDURE'!$L$7:$L$3006,0)),IFERROR(INDEX('CARNET DE SOUDURE'!$D$7:$D$3006,MATCH(B1746,'CARNET DE SOUDURE'!$O$7:$O$3006,0)),"")))</f>
        <v/>
      </c>
      <c r="M1746" s="82" t="str">
        <f aca="false">IF(B1746="","",IF(OR(J1746&lt;&gt;"",K1746&lt;&gt;""),"POSÉ EN LIGNE",IF(COUNTIF(BARDAGE!$C$1:$C$5000,B1746)&gt;0,"BARDÉ","EN STOCK")))</f>
        <v/>
      </c>
      <c r="N1746" s="80"/>
    </row>
    <row r="1747" customFormat="false" ht="15" hidden="false" customHeight="false" outlineLevel="0" collapsed="false">
      <c r="A1747" s="82" t="str">
        <f aca="false">IF(B1747="","",ROW()-6)</f>
        <v/>
      </c>
      <c r="B1747" s="145"/>
      <c r="C1747" s="146"/>
      <c r="D1747" s="146"/>
      <c r="E1747" s="82" t="str">
        <f aca="false">IF(B1747="","",IF(COUNTIFS('CARNET DE SOUDURE'!$L$7:$L$3006,B1747,'CARNET DE SOUDURE'!$M$7:$M$3006,"&lt;&gt;"&amp;C1747,'CARNET DE SOUDURE'!$M$7:$M$3006,"&lt;&gt;")+COUNTIFS('CARNET DE SOUDURE'!$O$7:$O$3006,B1747,'CARNET DE SOUDURE'!$P$7:$P$3006,"&lt;&gt;"&amp;C1747,'CARNET DE SOUDURE'!$P$7:$P$3006,"&lt;&gt;")&gt;0,"⚠ DIFFÉRENTE","OK"))</f>
        <v/>
      </c>
      <c r="F1747" s="147"/>
      <c r="G1747" s="80"/>
      <c r="H1747" s="83"/>
      <c r="I1747" s="148" t="str">
        <f aca="false">IF(B1747="","",IFERROR(INDEX('CARNET DE SOUDURE'!$B$7:$B$3006,MATCH(B1747,'CARNET DE SOUDURE'!$L$7:$L$3006,0)),IFERROR(INDEX('CARNET DE SOUDURE'!$B$7:$B$3006,MATCH(B1747,'CARNET DE SOUDURE'!$O$7:$O$3006,0)),"")))</f>
        <v/>
      </c>
      <c r="J1747" s="82" t="str">
        <f aca="false">IF(B1747="","",IFERROR(INDEX('CARNET DE SOUDURE'!$E$7:$E$3006,MATCH(B1747,'CARNET DE SOUDURE'!$O$7:$O$3006,0)),""))</f>
        <v/>
      </c>
      <c r="K1747" s="82" t="str">
        <f aca="false">IF(B1747="","",IFERROR(INDEX('CARNET DE SOUDURE'!$E$7:$E$3006,MATCH(B1747,'CARNET DE SOUDURE'!$L$7:$L$3006,0)),""))</f>
        <v/>
      </c>
      <c r="L1747" s="82" t="str">
        <f aca="false">IF(B1747="","",IFERROR(INDEX('CARNET DE SOUDURE'!$D$7:$D$3006,MATCH(B1747,'CARNET DE SOUDURE'!$L$7:$L$3006,0)),IFERROR(INDEX('CARNET DE SOUDURE'!$D$7:$D$3006,MATCH(B1747,'CARNET DE SOUDURE'!$O$7:$O$3006,0)),"")))</f>
        <v/>
      </c>
      <c r="M1747" s="82" t="str">
        <f aca="false">IF(B1747="","",IF(OR(J1747&lt;&gt;"",K1747&lt;&gt;""),"POSÉ EN LIGNE",IF(COUNTIF(BARDAGE!$C$1:$C$5000,B1747)&gt;0,"BARDÉ","EN STOCK")))</f>
        <v/>
      </c>
      <c r="N1747" s="80"/>
    </row>
    <row r="1748" customFormat="false" ht="15" hidden="false" customHeight="false" outlineLevel="0" collapsed="false">
      <c r="A1748" s="82" t="str">
        <f aca="false">IF(B1748="","",ROW()-6)</f>
        <v/>
      </c>
      <c r="B1748" s="145"/>
      <c r="C1748" s="146"/>
      <c r="D1748" s="146"/>
      <c r="E1748" s="82" t="str">
        <f aca="false">IF(B1748="","",IF(COUNTIFS('CARNET DE SOUDURE'!$L$7:$L$3006,B1748,'CARNET DE SOUDURE'!$M$7:$M$3006,"&lt;&gt;"&amp;C1748,'CARNET DE SOUDURE'!$M$7:$M$3006,"&lt;&gt;")+COUNTIFS('CARNET DE SOUDURE'!$O$7:$O$3006,B1748,'CARNET DE SOUDURE'!$P$7:$P$3006,"&lt;&gt;"&amp;C1748,'CARNET DE SOUDURE'!$P$7:$P$3006,"&lt;&gt;")&gt;0,"⚠ DIFFÉRENTE","OK"))</f>
        <v/>
      </c>
      <c r="F1748" s="147"/>
      <c r="G1748" s="80"/>
      <c r="H1748" s="83"/>
      <c r="I1748" s="148" t="str">
        <f aca="false">IF(B1748="","",IFERROR(INDEX('CARNET DE SOUDURE'!$B$7:$B$3006,MATCH(B1748,'CARNET DE SOUDURE'!$L$7:$L$3006,0)),IFERROR(INDEX('CARNET DE SOUDURE'!$B$7:$B$3006,MATCH(B1748,'CARNET DE SOUDURE'!$O$7:$O$3006,0)),"")))</f>
        <v/>
      </c>
      <c r="J1748" s="82" t="str">
        <f aca="false">IF(B1748="","",IFERROR(INDEX('CARNET DE SOUDURE'!$E$7:$E$3006,MATCH(B1748,'CARNET DE SOUDURE'!$O$7:$O$3006,0)),""))</f>
        <v/>
      </c>
      <c r="K1748" s="82" t="str">
        <f aca="false">IF(B1748="","",IFERROR(INDEX('CARNET DE SOUDURE'!$E$7:$E$3006,MATCH(B1748,'CARNET DE SOUDURE'!$L$7:$L$3006,0)),""))</f>
        <v/>
      </c>
      <c r="L1748" s="82" t="str">
        <f aca="false">IF(B1748="","",IFERROR(INDEX('CARNET DE SOUDURE'!$D$7:$D$3006,MATCH(B1748,'CARNET DE SOUDURE'!$L$7:$L$3006,0)),IFERROR(INDEX('CARNET DE SOUDURE'!$D$7:$D$3006,MATCH(B1748,'CARNET DE SOUDURE'!$O$7:$O$3006,0)),"")))</f>
        <v/>
      </c>
      <c r="M1748" s="82" t="str">
        <f aca="false">IF(B1748="","",IF(OR(J1748&lt;&gt;"",K1748&lt;&gt;""),"POSÉ EN LIGNE",IF(COUNTIF(BARDAGE!$C$1:$C$5000,B1748)&gt;0,"BARDÉ","EN STOCK")))</f>
        <v/>
      </c>
      <c r="N1748" s="80"/>
    </row>
    <row r="1749" customFormat="false" ht="15" hidden="false" customHeight="false" outlineLevel="0" collapsed="false">
      <c r="A1749" s="82" t="str">
        <f aca="false">IF(B1749="","",ROW()-6)</f>
        <v/>
      </c>
      <c r="B1749" s="145"/>
      <c r="C1749" s="146"/>
      <c r="D1749" s="146"/>
      <c r="E1749" s="82" t="str">
        <f aca="false">IF(B1749="","",IF(COUNTIFS('CARNET DE SOUDURE'!$L$7:$L$3006,B1749,'CARNET DE SOUDURE'!$M$7:$M$3006,"&lt;&gt;"&amp;C1749,'CARNET DE SOUDURE'!$M$7:$M$3006,"&lt;&gt;")+COUNTIFS('CARNET DE SOUDURE'!$O$7:$O$3006,B1749,'CARNET DE SOUDURE'!$P$7:$P$3006,"&lt;&gt;"&amp;C1749,'CARNET DE SOUDURE'!$P$7:$P$3006,"&lt;&gt;")&gt;0,"⚠ DIFFÉRENTE","OK"))</f>
        <v/>
      </c>
      <c r="F1749" s="147"/>
      <c r="G1749" s="80"/>
      <c r="H1749" s="83"/>
      <c r="I1749" s="148" t="str">
        <f aca="false">IF(B1749="","",IFERROR(INDEX('CARNET DE SOUDURE'!$B$7:$B$3006,MATCH(B1749,'CARNET DE SOUDURE'!$L$7:$L$3006,0)),IFERROR(INDEX('CARNET DE SOUDURE'!$B$7:$B$3006,MATCH(B1749,'CARNET DE SOUDURE'!$O$7:$O$3006,0)),"")))</f>
        <v/>
      </c>
      <c r="J1749" s="82" t="str">
        <f aca="false">IF(B1749="","",IFERROR(INDEX('CARNET DE SOUDURE'!$E$7:$E$3006,MATCH(B1749,'CARNET DE SOUDURE'!$O$7:$O$3006,0)),""))</f>
        <v/>
      </c>
      <c r="K1749" s="82" t="str">
        <f aca="false">IF(B1749="","",IFERROR(INDEX('CARNET DE SOUDURE'!$E$7:$E$3006,MATCH(B1749,'CARNET DE SOUDURE'!$L$7:$L$3006,0)),""))</f>
        <v/>
      </c>
      <c r="L1749" s="82" t="str">
        <f aca="false">IF(B1749="","",IFERROR(INDEX('CARNET DE SOUDURE'!$D$7:$D$3006,MATCH(B1749,'CARNET DE SOUDURE'!$L$7:$L$3006,0)),IFERROR(INDEX('CARNET DE SOUDURE'!$D$7:$D$3006,MATCH(B1749,'CARNET DE SOUDURE'!$O$7:$O$3006,0)),"")))</f>
        <v/>
      </c>
      <c r="M1749" s="82" t="str">
        <f aca="false">IF(B1749="","",IF(OR(J1749&lt;&gt;"",K1749&lt;&gt;""),"POSÉ EN LIGNE",IF(COUNTIF(BARDAGE!$C$1:$C$5000,B1749)&gt;0,"BARDÉ","EN STOCK")))</f>
        <v/>
      </c>
      <c r="N1749" s="80"/>
    </row>
    <row r="1750" customFormat="false" ht="15" hidden="false" customHeight="false" outlineLevel="0" collapsed="false">
      <c r="A1750" s="82" t="str">
        <f aca="false">IF(B1750="","",ROW()-6)</f>
        <v/>
      </c>
      <c r="B1750" s="145"/>
      <c r="C1750" s="146"/>
      <c r="D1750" s="146"/>
      <c r="E1750" s="82" t="str">
        <f aca="false">IF(B1750="","",IF(COUNTIFS('CARNET DE SOUDURE'!$L$7:$L$3006,B1750,'CARNET DE SOUDURE'!$M$7:$M$3006,"&lt;&gt;"&amp;C1750,'CARNET DE SOUDURE'!$M$7:$M$3006,"&lt;&gt;")+COUNTIFS('CARNET DE SOUDURE'!$O$7:$O$3006,B1750,'CARNET DE SOUDURE'!$P$7:$P$3006,"&lt;&gt;"&amp;C1750,'CARNET DE SOUDURE'!$P$7:$P$3006,"&lt;&gt;")&gt;0,"⚠ DIFFÉRENTE","OK"))</f>
        <v/>
      </c>
      <c r="F1750" s="147"/>
      <c r="G1750" s="80"/>
      <c r="H1750" s="83"/>
      <c r="I1750" s="148" t="str">
        <f aca="false">IF(B1750="","",IFERROR(INDEX('CARNET DE SOUDURE'!$B$7:$B$3006,MATCH(B1750,'CARNET DE SOUDURE'!$L$7:$L$3006,0)),IFERROR(INDEX('CARNET DE SOUDURE'!$B$7:$B$3006,MATCH(B1750,'CARNET DE SOUDURE'!$O$7:$O$3006,0)),"")))</f>
        <v/>
      </c>
      <c r="J1750" s="82" t="str">
        <f aca="false">IF(B1750="","",IFERROR(INDEX('CARNET DE SOUDURE'!$E$7:$E$3006,MATCH(B1750,'CARNET DE SOUDURE'!$O$7:$O$3006,0)),""))</f>
        <v/>
      </c>
      <c r="K1750" s="82" t="str">
        <f aca="false">IF(B1750="","",IFERROR(INDEX('CARNET DE SOUDURE'!$E$7:$E$3006,MATCH(B1750,'CARNET DE SOUDURE'!$L$7:$L$3006,0)),""))</f>
        <v/>
      </c>
      <c r="L1750" s="82" t="str">
        <f aca="false">IF(B1750="","",IFERROR(INDEX('CARNET DE SOUDURE'!$D$7:$D$3006,MATCH(B1750,'CARNET DE SOUDURE'!$L$7:$L$3006,0)),IFERROR(INDEX('CARNET DE SOUDURE'!$D$7:$D$3006,MATCH(B1750,'CARNET DE SOUDURE'!$O$7:$O$3006,0)),"")))</f>
        <v/>
      </c>
      <c r="M1750" s="82" t="str">
        <f aca="false">IF(B1750="","",IF(OR(J1750&lt;&gt;"",K1750&lt;&gt;""),"POSÉ EN LIGNE",IF(COUNTIF(BARDAGE!$C$1:$C$5000,B1750)&gt;0,"BARDÉ","EN STOCK")))</f>
        <v/>
      </c>
      <c r="N1750" s="80"/>
    </row>
    <row r="1751" customFormat="false" ht="15" hidden="false" customHeight="false" outlineLevel="0" collapsed="false">
      <c r="A1751" s="82" t="str">
        <f aca="false">IF(B1751="","",ROW()-6)</f>
        <v/>
      </c>
      <c r="B1751" s="145"/>
      <c r="C1751" s="146"/>
      <c r="D1751" s="146"/>
      <c r="E1751" s="82" t="str">
        <f aca="false">IF(B1751="","",IF(COUNTIFS('CARNET DE SOUDURE'!$L$7:$L$3006,B1751,'CARNET DE SOUDURE'!$M$7:$M$3006,"&lt;&gt;"&amp;C1751,'CARNET DE SOUDURE'!$M$7:$M$3006,"&lt;&gt;")+COUNTIFS('CARNET DE SOUDURE'!$O$7:$O$3006,B1751,'CARNET DE SOUDURE'!$P$7:$P$3006,"&lt;&gt;"&amp;C1751,'CARNET DE SOUDURE'!$P$7:$P$3006,"&lt;&gt;")&gt;0,"⚠ DIFFÉRENTE","OK"))</f>
        <v/>
      </c>
      <c r="F1751" s="147"/>
      <c r="G1751" s="80"/>
      <c r="H1751" s="83"/>
      <c r="I1751" s="148" t="str">
        <f aca="false">IF(B1751="","",IFERROR(INDEX('CARNET DE SOUDURE'!$B$7:$B$3006,MATCH(B1751,'CARNET DE SOUDURE'!$L$7:$L$3006,0)),IFERROR(INDEX('CARNET DE SOUDURE'!$B$7:$B$3006,MATCH(B1751,'CARNET DE SOUDURE'!$O$7:$O$3006,0)),"")))</f>
        <v/>
      </c>
      <c r="J1751" s="82" t="str">
        <f aca="false">IF(B1751="","",IFERROR(INDEX('CARNET DE SOUDURE'!$E$7:$E$3006,MATCH(B1751,'CARNET DE SOUDURE'!$O$7:$O$3006,0)),""))</f>
        <v/>
      </c>
      <c r="K1751" s="82" t="str">
        <f aca="false">IF(B1751="","",IFERROR(INDEX('CARNET DE SOUDURE'!$E$7:$E$3006,MATCH(B1751,'CARNET DE SOUDURE'!$L$7:$L$3006,0)),""))</f>
        <v/>
      </c>
      <c r="L1751" s="82" t="str">
        <f aca="false">IF(B1751="","",IFERROR(INDEX('CARNET DE SOUDURE'!$D$7:$D$3006,MATCH(B1751,'CARNET DE SOUDURE'!$L$7:$L$3006,0)),IFERROR(INDEX('CARNET DE SOUDURE'!$D$7:$D$3006,MATCH(B1751,'CARNET DE SOUDURE'!$O$7:$O$3006,0)),"")))</f>
        <v/>
      </c>
      <c r="M1751" s="82" t="str">
        <f aca="false">IF(B1751="","",IF(OR(J1751&lt;&gt;"",K1751&lt;&gt;""),"POSÉ EN LIGNE",IF(COUNTIF(BARDAGE!$C$1:$C$5000,B1751)&gt;0,"BARDÉ","EN STOCK")))</f>
        <v/>
      </c>
      <c r="N1751" s="80"/>
    </row>
    <row r="1752" customFormat="false" ht="15" hidden="false" customHeight="false" outlineLevel="0" collapsed="false">
      <c r="A1752" s="82" t="str">
        <f aca="false">IF(B1752="","",ROW()-6)</f>
        <v/>
      </c>
      <c r="B1752" s="145"/>
      <c r="C1752" s="146"/>
      <c r="D1752" s="146"/>
      <c r="E1752" s="82" t="str">
        <f aca="false">IF(B1752="","",IF(COUNTIFS('CARNET DE SOUDURE'!$L$7:$L$3006,B1752,'CARNET DE SOUDURE'!$M$7:$M$3006,"&lt;&gt;"&amp;C1752,'CARNET DE SOUDURE'!$M$7:$M$3006,"&lt;&gt;")+COUNTIFS('CARNET DE SOUDURE'!$O$7:$O$3006,B1752,'CARNET DE SOUDURE'!$P$7:$P$3006,"&lt;&gt;"&amp;C1752,'CARNET DE SOUDURE'!$P$7:$P$3006,"&lt;&gt;")&gt;0,"⚠ DIFFÉRENTE","OK"))</f>
        <v/>
      </c>
      <c r="F1752" s="147"/>
      <c r="G1752" s="80"/>
      <c r="H1752" s="83"/>
      <c r="I1752" s="148" t="str">
        <f aca="false">IF(B1752="","",IFERROR(INDEX('CARNET DE SOUDURE'!$B$7:$B$3006,MATCH(B1752,'CARNET DE SOUDURE'!$L$7:$L$3006,0)),IFERROR(INDEX('CARNET DE SOUDURE'!$B$7:$B$3006,MATCH(B1752,'CARNET DE SOUDURE'!$O$7:$O$3006,0)),"")))</f>
        <v/>
      </c>
      <c r="J1752" s="82" t="str">
        <f aca="false">IF(B1752="","",IFERROR(INDEX('CARNET DE SOUDURE'!$E$7:$E$3006,MATCH(B1752,'CARNET DE SOUDURE'!$O$7:$O$3006,0)),""))</f>
        <v/>
      </c>
      <c r="K1752" s="82" t="str">
        <f aca="false">IF(B1752="","",IFERROR(INDEX('CARNET DE SOUDURE'!$E$7:$E$3006,MATCH(B1752,'CARNET DE SOUDURE'!$L$7:$L$3006,0)),""))</f>
        <v/>
      </c>
      <c r="L1752" s="82" t="str">
        <f aca="false">IF(B1752="","",IFERROR(INDEX('CARNET DE SOUDURE'!$D$7:$D$3006,MATCH(B1752,'CARNET DE SOUDURE'!$L$7:$L$3006,0)),IFERROR(INDEX('CARNET DE SOUDURE'!$D$7:$D$3006,MATCH(B1752,'CARNET DE SOUDURE'!$O$7:$O$3006,0)),"")))</f>
        <v/>
      </c>
      <c r="M1752" s="82" t="str">
        <f aca="false">IF(B1752="","",IF(OR(J1752&lt;&gt;"",K1752&lt;&gt;""),"POSÉ EN LIGNE",IF(COUNTIF(BARDAGE!$C$1:$C$5000,B1752)&gt;0,"BARDÉ","EN STOCK")))</f>
        <v/>
      </c>
      <c r="N1752" s="80"/>
    </row>
    <row r="1753" customFormat="false" ht="15" hidden="false" customHeight="false" outlineLevel="0" collapsed="false">
      <c r="A1753" s="82" t="str">
        <f aca="false">IF(B1753="","",ROW()-6)</f>
        <v/>
      </c>
      <c r="B1753" s="145"/>
      <c r="C1753" s="146"/>
      <c r="D1753" s="146"/>
      <c r="E1753" s="82" t="str">
        <f aca="false">IF(B1753="","",IF(COUNTIFS('CARNET DE SOUDURE'!$L$7:$L$3006,B1753,'CARNET DE SOUDURE'!$M$7:$M$3006,"&lt;&gt;"&amp;C1753,'CARNET DE SOUDURE'!$M$7:$M$3006,"&lt;&gt;")+COUNTIFS('CARNET DE SOUDURE'!$O$7:$O$3006,B1753,'CARNET DE SOUDURE'!$P$7:$P$3006,"&lt;&gt;"&amp;C1753,'CARNET DE SOUDURE'!$P$7:$P$3006,"&lt;&gt;")&gt;0,"⚠ DIFFÉRENTE","OK"))</f>
        <v/>
      </c>
      <c r="F1753" s="147"/>
      <c r="G1753" s="80"/>
      <c r="H1753" s="83"/>
      <c r="I1753" s="148" t="str">
        <f aca="false">IF(B1753="","",IFERROR(INDEX('CARNET DE SOUDURE'!$B$7:$B$3006,MATCH(B1753,'CARNET DE SOUDURE'!$L$7:$L$3006,0)),IFERROR(INDEX('CARNET DE SOUDURE'!$B$7:$B$3006,MATCH(B1753,'CARNET DE SOUDURE'!$O$7:$O$3006,0)),"")))</f>
        <v/>
      </c>
      <c r="J1753" s="82" t="str">
        <f aca="false">IF(B1753="","",IFERROR(INDEX('CARNET DE SOUDURE'!$E$7:$E$3006,MATCH(B1753,'CARNET DE SOUDURE'!$O$7:$O$3006,0)),""))</f>
        <v/>
      </c>
      <c r="K1753" s="82" t="str">
        <f aca="false">IF(B1753="","",IFERROR(INDEX('CARNET DE SOUDURE'!$E$7:$E$3006,MATCH(B1753,'CARNET DE SOUDURE'!$L$7:$L$3006,0)),""))</f>
        <v/>
      </c>
      <c r="L1753" s="82" t="str">
        <f aca="false">IF(B1753="","",IFERROR(INDEX('CARNET DE SOUDURE'!$D$7:$D$3006,MATCH(B1753,'CARNET DE SOUDURE'!$L$7:$L$3006,0)),IFERROR(INDEX('CARNET DE SOUDURE'!$D$7:$D$3006,MATCH(B1753,'CARNET DE SOUDURE'!$O$7:$O$3006,0)),"")))</f>
        <v/>
      </c>
      <c r="M1753" s="82" t="str">
        <f aca="false">IF(B1753="","",IF(OR(J1753&lt;&gt;"",K1753&lt;&gt;""),"POSÉ EN LIGNE",IF(COUNTIF(BARDAGE!$C$1:$C$5000,B1753)&gt;0,"BARDÉ","EN STOCK")))</f>
        <v/>
      </c>
      <c r="N1753" s="80"/>
    </row>
    <row r="1754" customFormat="false" ht="15" hidden="false" customHeight="false" outlineLevel="0" collapsed="false">
      <c r="A1754" s="82" t="str">
        <f aca="false">IF(B1754="","",ROW()-6)</f>
        <v/>
      </c>
      <c r="B1754" s="145"/>
      <c r="C1754" s="146"/>
      <c r="D1754" s="146"/>
      <c r="E1754" s="82" t="str">
        <f aca="false">IF(B1754="","",IF(COUNTIFS('CARNET DE SOUDURE'!$L$7:$L$3006,B1754,'CARNET DE SOUDURE'!$M$7:$M$3006,"&lt;&gt;"&amp;C1754,'CARNET DE SOUDURE'!$M$7:$M$3006,"&lt;&gt;")+COUNTIFS('CARNET DE SOUDURE'!$O$7:$O$3006,B1754,'CARNET DE SOUDURE'!$P$7:$P$3006,"&lt;&gt;"&amp;C1754,'CARNET DE SOUDURE'!$P$7:$P$3006,"&lt;&gt;")&gt;0,"⚠ DIFFÉRENTE","OK"))</f>
        <v/>
      </c>
      <c r="F1754" s="147"/>
      <c r="G1754" s="80"/>
      <c r="H1754" s="83"/>
      <c r="I1754" s="148" t="str">
        <f aca="false">IF(B1754="","",IFERROR(INDEX('CARNET DE SOUDURE'!$B$7:$B$3006,MATCH(B1754,'CARNET DE SOUDURE'!$L$7:$L$3006,0)),IFERROR(INDEX('CARNET DE SOUDURE'!$B$7:$B$3006,MATCH(B1754,'CARNET DE SOUDURE'!$O$7:$O$3006,0)),"")))</f>
        <v/>
      </c>
      <c r="J1754" s="82" t="str">
        <f aca="false">IF(B1754="","",IFERROR(INDEX('CARNET DE SOUDURE'!$E$7:$E$3006,MATCH(B1754,'CARNET DE SOUDURE'!$O$7:$O$3006,0)),""))</f>
        <v/>
      </c>
      <c r="K1754" s="82" t="str">
        <f aca="false">IF(B1754="","",IFERROR(INDEX('CARNET DE SOUDURE'!$E$7:$E$3006,MATCH(B1754,'CARNET DE SOUDURE'!$L$7:$L$3006,0)),""))</f>
        <v/>
      </c>
      <c r="L1754" s="82" t="str">
        <f aca="false">IF(B1754="","",IFERROR(INDEX('CARNET DE SOUDURE'!$D$7:$D$3006,MATCH(B1754,'CARNET DE SOUDURE'!$L$7:$L$3006,0)),IFERROR(INDEX('CARNET DE SOUDURE'!$D$7:$D$3006,MATCH(B1754,'CARNET DE SOUDURE'!$O$7:$O$3006,0)),"")))</f>
        <v/>
      </c>
      <c r="M1754" s="82" t="str">
        <f aca="false">IF(B1754="","",IF(OR(J1754&lt;&gt;"",K1754&lt;&gt;""),"POSÉ EN LIGNE",IF(COUNTIF(BARDAGE!$C$1:$C$5000,B1754)&gt;0,"BARDÉ","EN STOCK")))</f>
        <v/>
      </c>
      <c r="N1754" s="80"/>
    </row>
    <row r="1755" customFormat="false" ht="15" hidden="false" customHeight="false" outlineLevel="0" collapsed="false">
      <c r="A1755" s="82" t="str">
        <f aca="false">IF(B1755="","",ROW()-6)</f>
        <v/>
      </c>
      <c r="B1755" s="145"/>
      <c r="C1755" s="146"/>
      <c r="D1755" s="146"/>
      <c r="E1755" s="82" t="str">
        <f aca="false">IF(B1755="","",IF(COUNTIFS('CARNET DE SOUDURE'!$L$7:$L$3006,B1755,'CARNET DE SOUDURE'!$M$7:$M$3006,"&lt;&gt;"&amp;C1755,'CARNET DE SOUDURE'!$M$7:$M$3006,"&lt;&gt;")+COUNTIFS('CARNET DE SOUDURE'!$O$7:$O$3006,B1755,'CARNET DE SOUDURE'!$P$7:$P$3006,"&lt;&gt;"&amp;C1755,'CARNET DE SOUDURE'!$P$7:$P$3006,"&lt;&gt;")&gt;0,"⚠ DIFFÉRENTE","OK"))</f>
        <v/>
      </c>
      <c r="F1755" s="147"/>
      <c r="G1755" s="80"/>
      <c r="H1755" s="83"/>
      <c r="I1755" s="148" t="str">
        <f aca="false">IF(B1755="","",IFERROR(INDEX('CARNET DE SOUDURE'!$B$7:$B$3006,MATCH(B1755,'CARNET DE SOUDURE'!$L$7:$L$3006,0)),IFERROR(INDEX('CARNET DE SOUDURE'!$B$7:$B$3006,MATCH(B1755,'CARNET DE SOUDURE'!$O$7:$O$3006,0)),"")))</f>
        <v/>
      </c>
      <c r="J1755" s="82" t="str">
        <f aca="false">IF(B1755="","",IFERROR(INDEX('CARNET DE SOUDURE'!$E$7:$E$3006,MATCH(B1755,'CARNET DE SOUDURE'!$O$7:$O$3006,0)),""))</f>
        <v/>
      </c>
      <c r="K1755" s="82" t="str">
        <f aca="false">IF(B1755="","",IFERROR(INDEX('CARNET DE SOUDURE'!$E$7:$E$3006,MATCH(B1755,'CARNET DE SOUDURE'!$L$7:$L$3006,0)),""))</f>
        <v/>
      </c>
      <c r="L1755" s="82" t="str">
        <f aca="false">IF(B1755="","",IFERROR(INDEX('CARNET DE SOUDURE'!$D$7:$D$3006,MATCH(B1755,'CARNET DE SOUDURE'!$L$7:$L$3006,0)),IFERROR(INDEX('CARNET DE SOUDURE'!$D$7:$D$3006,MATCH(B1755,'CARNET DE SOUDURE'!$O$7:$O$3006,0)),"")))</f>
        <v/>
      </c>
      <c r="M1755" s="82" t="str">
        <f aca="false">IF(B1755="","",IF(OR(J1755&lt;&gt;"",K1755&lt;&gt;""),"POSÉ EN LIGNE",IF(COUNTIF(BARDAGE!$C$1:$C$5000,B1755)&gt;0,"BARDÉ","EN STOCK")))</f>
        <v/>
      </c>
      <c r="N1755" s="80"/>
    </row>
    <row r="1756" customFormat="false" ht="15" hidden="false" customHeight="false" outlineLevel="0" collapsed="false">
      <c r="A1756" s="82" t="str">
        <f aca="false">IF(B1756="","",ROW()-6)</f>
        <v/>
      </c>
      <c r="B1756" s="145"/>
      <c r="C1756" s="146"/>
      <c r="D1756" s="146"/>
      <c r="E1756" s="82" t="str">
        <f aca="false">IF(B1756="","",IF(COUNTIFS('CARNET DE SOUDURE'!$L$7:$L$3006,B1756,'CARNET DE SOUDURE'!$M$7:$M$3006,"&lt;&gt;"&amp;C1756,'CARNET DE SOUDURE'!$M$7:$M$3006,"&lt;&gt;")+COUNTIFS('CARNET DE SOUDURE'!$O$7:$O$3006,B1756,'CARNET DE SOUDURE'!$P$7:$P$3006,"&lt;&gt;"&amp;C1756,'CARNET DE SOUDURE'!$P$7:$P$3006,"&lt;&gt;")&gt;0,"⚠ DIFFÉRENTE","OK"))</f>
        <v/>
      </c>
      <c r="F1756" s="147"/>
      <c r="G1756" s="80"/>
      <c r="H1756" s="83"/>
      <c r="I1756" s="148" t="str">
        <f aca="false">IF(B1756="","",IFERROR(INDEX('CARNET DE SOUDURE'!$B$7:$B$3006,MATCH(B1756,'CARNET DE SOUDURE'!$L$7:$L$3006,0)),IFERROR(INDEX('CARNET DE SOUDURE'!$B$7:$B$3006,MATCH(B1756,'CARNET DE SOUDURE'!$O$7:$O$3006,0)),"")))</f>
        <v/>
      </c>
      <c r="J1756" s="82" t="str">
        <f aca="false">IF(B1756="","",IFERROR(INDEX('CARNET DE SOUDURE'!$E$7:$E$3006,MATCH(B1756,'CARNET DE SOUDURE'!$O$7:$O$3006,0)),""))</f>
        <v/>
      </c>
      <c r="K1756" s="82" t="str">
        <f aca="false">IF(B1756="","",IFERROR(INDEX('CARNET DE SOUDURE'!$E$7:$E$3006,MATCH(B1756,'CARNET DE SOUDURE'!$L$7:$L$3006,0)),""))</f>
        <v/>
      </c>
      <c r="L1756" s="82" t="str">
        <f aca="false">IF(B1756="","",IFERROR(INDEX('CARNET DE SOUDURE'!$D$7:$D$3006,MATCH(B1756,'CARNET DE SOUDURE'!$L$7:$L$3006,0)),IFERROR(INDEX('CARNET DE SOUDURE'!$D$7:$D$3006,MATCH(B1756,'CARNET DE SOUDURE'!$O$7:$O$3006,0)),"")))</f>
        <v/>
      </c>
      <c r="M1756" s="82" t="str">
        <f aca="false">IF(B1756="","",IF(OR(J1756&lt;&gt;"",K1756&lt;&gt;""),"POSÉ EN LIGNE",IF(COUNTIF(BARDAGE!$C$1:$C$5000,B1756)&gt;0,"BARDÉ","EN STOCK")))</f>
        <v/>
      </c>
      <c r="N1756" s="80"/>
    </row>
    <row r="1757" customFormat="false" ht="15" hidden="false" customHeight="false" outlineLevel="0" collapsed="false">
      <c r="A1757" s="82" t="str">
        <f aca="false">IF(B1757="","",ROW()-6)</f>
        <v/>
      </c>
      <c r="B1757" s="145"/>
      <c r="C1757" s="146"/>
      <c r="D1757" s="146"/>
      <c r="E1757" s="82" t="str">
        <f aca="false">IF(B1757="","",IF(COUNTIFS('CARNET DE SOUDURE'!$L$7:$L$3006,B1757,'CARNET DE SOUDURE'!$M$7:$M$3006,"&lt;&gt;"&amp;C1757,'CARNET DE SOUDURE'!$M$7:$M$3006,"&lt;&gt;")+COUNTIFS('CARNET DE SOUDURE'!$O$7:$O$3006,B1757,'CARNET DE SOUDURE'!$P$7:$P$3006,"&lt;&gt;"&amp;C1757,'CARNET DE SOUDURE'!$P$7:$P$3006,"&lt;&gt;")&gt;0,"⚠ DIFFÉRENTE","OK"))</f>
        <v/>
      </c>
      <c r="F1757" s="147"/>
      <c r="G1757" s="80"/>
      <c r="H1757" s="83"/>
      <c r="I1757" s="148" t="str">
        <f aca="false">IF(B1757="","",IFERROR(INDEX('CARNET DE SOUDURE'!$B$7:$B$3006,MATCH(B1757,'CARNET DE SOUDURE'!$L$7:$L$3006,0)),IFERROR(INDEX('CARNET DE SOUDURE'!$B$7:$B$3006,MATCH(B1757,'CARNET DE SOUDURE'!$O$7:$O$3006,0)),"")))</f>
        <v/>
      </c>
      <c r="J1757" s="82" t="str">
        <f aca="false">IF(B1757="","",IFERROR(INDEX('CARNET DE SOUDURE'!$E$7:$E$3006,MATCH(B1757,'CARNET DE SOUDURE'!$O$7:$O$3006,0)),""))</f>
        <v/>
      </c>
      <c r="K1757" s="82" t="str">
        <f aca="false">IF(B1757="","",IFERROR(INDEX('CARNET DE SOUDURE'!$E$7:$E$3006,MATCH(B1757,'CARNET DE SOUDURE'!$L$7:$L$3006,0)),""))</f>
        <v/>
      </c>
      <c r="L1757" s="82" t="str">
        <f aca="false">IF(B1757="","",IFERROR(INDEX('CARNET DE SOUDURE'!$D$7:$D$3006,MATCH(B1757,'CARNET DE SOUDURE'!$L$7:$L$3006,0)),IFERROR(INDEX('CARNET DE SOUDURE'!$D$7:$D$3006,MATCH(B1757,'CARNET DE SOUDURE'!$O$7:$O$3006,0)),"")))</f>
        <v/>
      </c>
      <c r="M1757" s="82" t="str">
        <f aca="false">IF(B1757="","",IF(OR(J1757&lt;&gt;"",K1757&lt;&gt;""),"POSÉ EN LIGNE",IF(COUNTIF(BARDAGE!$C$1:$C$5000,B1757)&gt;0,"BARDÉ","EN STOCK")))</f>
        <v/>
      </c>
      <c r="N1757" s="80"/>
    </row>
    <row r="1758" customFormat="false" ht="15" hidden="false" customHeight="false" outlineLevel="0" collapsed="false">
      <c r="A1758" s="82" t="str">
        <f aca="false">IF(B1758="","",ROW()-6)</f>
        <v/>
      </c>
      <c r="B1758" s="145"/>
      <c r="C1758" s="146"/>
      <c r="D1758" s="146"/>
      <c r="E1758" s="82" t="str">
        <f aca="false">IF(B1758="","",IF(COUNTIFS('CARNET DE SOUDURE'!$L$7:$L$3006,B1758,'CARNET DE SOUDURE'!$M$7:$M$3006,"&lt;&gt;"&amp;C1758,'CARNET DE SOUDURE'!$M$7:$M$3006,"&lt;&gt;")+COUNTIFS('CARNET DE SOUDURE'!$O$7:$O$3006,B1758,'CARNET DE SOUDURE'!$P$7:$P$3006,"&lt;&gt;"&amp;C1758,'CARNET DE SOUDURE'!$P$7:$P$3006,"&lt;&gt;")&gt;0,"⚠ DIFFÉRENTE","OK"))</f>
        <v/>
      </c>
      <c r="F1758" s="147"/>
      <c r="G1758" s="80"/>
      <c r="H1758" s="83"/>
      <c r="I1758" s="148" t="str">
        <f aca="false">IF(B1758="","",IFERROR(INDEX('CARNET DE SOUDURE'!$B$7:$B$3006,MATCH(B1758,'CARNET DE SOUDURE'!$L$7:$L$3006,0)),IFERROR(INDEX('CARNET DE SOUDURE'!$B$7:$B$3006,MATCH(B1758,'CARNET DE SOUDURE'!$O$7:$O$3006,0)),"")))</f>
        <v/>
      </c>
      <c r="J1758" s="82" t="str">
        <f aca="false">IF(B1758="","",IFERROR(INDEX('CARNET DE SOUDURE'!$E$7:$E$3006,MATCH(B1758,'CARNET DE SOUDURE'!$O$7:$O$3006,0)),""))</f>
        <v/>
      </c>
      <c r="K1758" s="82" t="str">
        <f aca="false">IF(B1758="","",IFERROR(INDEX('CARNET DE SOUDURE'!$E$7:$E$3006,MATCH(B1758,'CARNET DE SOUDURE'!$L$7:$L$3006,0)),""))</f>
        <v/>
      </c>
      <c r="L1758" s="82" t="str">
        <f aca="false">IF(B1758="","",IFERROR(INDEX('CARNET DE SOUDURE'!$D$7:$D$3006,MATCH(B1758,'CARNET DE SOUDURE'!$L$7:$L$3006,0)),IFERROR(INDEX('CARNET DE SOUDURE'!$D$7:$D$3006,MATCH(B1758,'CARNET DE SOUDURE'!$O$7:$O$3006,0)),"")))</f>
        <v/>
      </c>
      <c r="M1758" s="82" t="str">
        <f aca="false">IF(B1758="","",IF(OR(J1758&lt;&gt;"",K1758&lt;&gt;""),"POSÉ EN LIGNE",IF(COUNTIF(BARDAGE!$C$1:$C$5000,B1758)&gt;0,"BARDÉ","EN STOCK")))</f>
        <v/>
      </c>
      <c r="N1758" s="80"/>
    </row>
    <row r="1759" customFormat="false" ht="15" hidden="false" customHeight="false" outlineLevel="0" collapsed="false">
      <c r="A1759" s="82" t="str">
        <f aca="false">IF(B1759="","",ROW()-6)</f>
        <v/>
      </c>
      <c r="B1759" s="145"/>
      <c r="C1759" s="146"/>
      <c r="D1759" s="146"/>
      <c r="E1759" s="82" t="str">
        <f aca="false">IF(B1759="","",IF(COUNTIFS('CARNET DE SOUDURE'!$L$7:$L$3006,B1759,'CARNET DE SOUDURE'!$M$7:$M$3006,"&lt;&gt;"&amp;C1759,'CARNET DE SOUDURE'!$M$7:$M$3006,"&lt;&gt;")+COUNTIFS('CARNET DE SOUDURE'!$O$7:$O$3006,B1759,'CARNET DE SOUDURE'!$P$7:$P$3006,"&lt;&gt;"&amp;C1759,'CARNET DE SOUDURE'!$P$7:$P$3006,"&lt;&gt;")&gt;0,"⚠ DIFFÉRENTE","OK"))</f>
        <v/>
      </c>
      <c r="F1759" s="147"/>
      <c r="G1759" s="80"/>
      <c r="H1759" s="83"/>
      <c r="I1759" s="148" t="str">
        <f aca="false">IF(B1759="","",IFERROR(INDEX('CARNET DE SOUDURE'!$B$7:$B$3006,MATCH(B1759,'CARNET DE SOUDURE'!$L$7:$L$3006,0)),IFERROR(INDEX('CARNET DE SOUDURE'!$B$7:$B$3006,MATCH(B1759,'CARNET DE SOUDURE'!$O$7:$O$3006,0)),"")))</f>
        <v/>
      </c>
      <c r="J1759" s="82" t="str">
        <f aca="false">IF(B1759="","",IFERROR(INDEX('CARNET DE SOUDURE'!$E$7:$E$3006,MATCH(B1759,'CARNET DE SOUDURE'!$O$7:$O$3006,0)),""))</f>
        <v/>
      </c>
      <c r="K1759" s="82" t="str">
        <f aca="false">IF(B1759="","",IFERROR(INDEX('CARNET DE SOUDURE'!$E$7:$E$3006,MATCH(B1759,'CARNET DE SOUDURE'!$L$7:$L$3006,0)),""))</f>
        <v/>
      </c>
      <c r="L1759" s="82" t="str">
        <f aca="false">IF(B1759="","",IFERROR(INDEX('CARNET DE SOUDURE'!$D$7:$D$3006,MATCH(B1759,'CARNET DE SOUDURE'!$L$7:$L$3006,0)),IFERROR(INDEX('CARNET DE SOUDURE'!$D$7:$D$3006,MATCH(B1759,'CARNET DE SOUDURE'!$O$7:$O$3006,0)),"")))</f>
        <v/>
      </c>
      <c r="M1759" s="82" t="str">
        <f aca="false">IF(B1759="","",IF(OR(J1759&lt;&gt;"",K1759&lt;&gt;""),"POSÉ EN LIGNE",IF(COUNTIF(BARDAGE!$C$1:$C$5000,B1759)&gt;0,"BARDÉ","EN STOCK")))</f>
        <v/>
      </c>
      <c r="N1759" s="80"/>
    </row>
    <row r="1760" customFormat="false" ht="15" hidden="false" customHeight="false" outlineLevel="0" collapsed="false">
      <c r="A1760" s="82" t="str">
        <f aca="false">IF(B1760="","",ROW()-6)</f>
        <v/>
      </c>
      <c r="B1760" s="145"/>
      <c r="C1760" s="146"/>
      <c r="D1760" s="146"/>
      <c r="E1760" s="82" t="str">
        <f aca="false">IF(B1760="","",IF(COUNTIFS('CARNET DE SOUDURE'!$L$7:$L$3006,B1760,'CARNET DE SOUDURE'!$M$7:$M$3006,"&lt;&gt;"&amp;C1760,'CARNET DE SOUDURE'!$M$7:$M$3006,"&lt;&gt;")+COUNTIFS('CARNET DE SOUDURE'!$O$7:$O$3006,B1760,'CARNET DE SOUDURE'!$P$7:$P$3006,"&lt;&gt;"&amp;C1760,'CARNET DE SOUDURE'!$P$7:$P$3006,"&lt;&gt;")&gt;0,"⚠ DIFFÉRENTE","OK"))</f>
        <v/>
      </c>
      <c r="F1760" s="147"/>
      <c r="G1760" s="80"/>
      <c r="H1760" s="83"/>
      <c r="I1760" s="148" t="str">
        <f aca="false">IF(B1760="","",IFERROR(INDEX('CARNET DE SOUDURE'!$B$7:$B$3006,MATCH(B1760,'CARNET DE SOUDURE'!$L$7:$L$3006,0)),IFERROR(INDEX('CARNET DE SOUDURE'!$B$7:$B$3006,MATCH(B1760,'CARNET DE SOUDURE'!$O$7:$O$3006,0)),"")))</f>
        <v/>
      </c>
      <c r="J1760" s="82" t="str">
        <f aca="false">IF(B1760="","",IFERROR(INDEX('CARNET DE SOUDURE'!$E$7:$E$3006,MATCH(B1760,'CARNET DE SOUDURE'!$O$7:$O$3006,0)),""))</f>
        <v/>
      </c>
      <c r="K1760" s="82" t="str">
        <f aca="false">IF(B1760="","",IFERROR(INDEX('CARNET DE SOUDURE'!$E$7:$E$3006,MATCH(B1760,'CARNET DE SOUDURE'!$L$7:$L$3006,0)),""))</f>
        <v/>
      </c>
      <c r="L1760" s="82" t="str">
        <f aca="false">IF(B1760="","",IFERROR(INDEX('CARNET DE SOUDURE'!$D$7:$D$3006,MATCH(B1760,'CARNET DE SOUDURE'!$L$7:$L$3006,0)),IFERROR(INDEX('CARNET DE SOUDURE'!$D$7:$D$3006,MATCH(B1760,'CARNET DE SOUDURE'!$O$7:$O$3006,0)),"")))</f>
        <v/>
      </c>
      <c r="M1760" s="82" t="str">
        <f aca="false">IF(B1760="","",IF(OR(J1760&lt;&gt;"",K1760&lt;&gt;""),"POSÉ EN LIGNE",IF(COUNTIF(BARDAGE!$C$1:$C$5000,B1760)&gt;0,"BARDÉ","EN STOCK")))</f>
        <v/>
      </c>
      <c r="N1760" s="80"/>
    </row>
    <row r="1761" customFormat="false" ht="15" hidden="false" customHeight="false" outlineLevel="0" collapsed="false">
      <c r="A1761" s="82" t="str">
        <f aca="false">IF(B1761="","",ROW()-6)</f>
        <v/>
      </c>
      <c r="B1761" s="145"/>
      <c r="C1761" s="146"/>
      <c r="D1761" s="146"/>
      <c r="E1761" s="82" t="str">
        <f aca="false">IF(B1761="","",IF(COUNTIFS('CARNET DE SOUDURE'!$L$7:$L$3006,B1761,'CARNET DE SOUDURE'!$M$7:$M$3006,"&lt;&gt;"&amp;C1761,'CARNET DE SOUDURE'!$M$7:$M$3006,"&lt;&gt;")+COUNTIFS('CARNET DE SOUDURE'!$O$7:$O$3006,B1761,'CARNET DE SOUDURE'!$P$7:$P$3006,"&lt;&gt;"&amp;C1761,'CARNET DE SOUDURE'!$P$7:$P$3006,"&lt;&gt;")&gt;0,"⚠ DIFFÉRENTE","OK"))</f>
        <v/>
      </c>
      <c r="F1761" s="147"/>
      <c r="G1761" s="80"/>
      <c r="H1761" s="83"/>
      <c r="I1761" s="148" t="str">
        <f aca="false">IF(B1761="","",IFERROR(INDEX('CARNET DE SOUDURE'!$B$7:$B$3006,MATCH(B1761,'CARNET DE SOUDURE'!$L$7:$L$3006,0)),IFERROR(INDEX('CARNET DE SOUDURE'!$B$7:$B$3006,MATCH(B1761,'CARNET DE SOUDURE'!$O$7:$O$3006,0)),"")))</f>
        <v/>
      </c>
      <c r="J1761" s="82" t="str">
        <f aca="false">IF(B1761="","",IFERROR(INDEX('CARNET DE SOUDURE'!$E$7:$E$3006,MATCH(B1761,'CARNET DE SOUDURE'!$O$7:$O$3006,0)),""))</f>
        <v/>
      </c>
      <c r="K1761" s="82" t="str">
        <f aca="false">IF(B1761="","",IFERROR(INDEX('CARNET DE SOUDURE'!$E$7:$E$3006,MATCH(B1761,'CARNET DE SOUDURE'!$L$7:$L$3006,0)),""))</f>
        <v/>
      </c>
      <c r="L1761" s="82" t="str">
        <f aca="false">IF(B1761="","",IFERROR(INDEX('CARNET DE SOUDURE'!$D$7:$D$3006,MATCH(B1761,'CARNET DE SOUDURE'!$L$7:$L$3006,0)),IFERROR(INDEX('CARNET DE SOUDURE'!$D$7:$D$3006,MATCH(B1761,'CARNET DE SOUDURE'!$O$7:$O$3006,0)),"")))</f>
        <v/>
      </c>
      <c r="M1761" s="82" t="str">
        <f aca="false">IF(B1761="","",IF(OR(J1761&lt;&gt;"",K1761&lt;&gt;""),"POSÉ EN LIGNE",IF(COUNTIF(BARDAGE!$C$1:$C$5000,B1761)&gt;0,"BARDÉ","EN STOCK")))</f>
        <v/>
      </c>
      <c r="N1761" s="80"/>
    </row>
    <row r="1762" customFormat="false" ht="15" hidden="false" customHeight="false" outlineLevel="0" collapsed="false">
      <c r="A1762" s="82" t="str">
        <f aca="false">IF(B1762="","",ROW()-6)</f>
        <v/>
      </c>
      <c r="B1762" s="145"/>
      <c r="C1762" s="146"/>
      <c r="D1762" s="146"/>
      <c r="E1762" s="82" t="str">
        <f aca="false">IF(B1762="","",IF(COUNTIFS('CARNET DE SOUDURE'!$L$7:$L$3006,B1762,'CARNET DE SOUDURE'!$M$7:$M$3006,"&lt;&gt;"&amp;C1762,'CARNET DE SOUDURE'!$M$7:$M$3006,"&lt;&gt;")+COUNTIFS('CARNET DE SOUDURE'!$O$7:$O$3006,B1762,'CARNET DE SOUDURE'!$P$7:$P$3006,"&lt;&gt;"&amp;C1762,'CARNET DE SOUDURE'!$P$7:$P$3006,"&lt;&gt;")&gt;0,"⚠ DIFFÉRENTE","OK"))</f>
        <v/>
      </c>
      <c r="F1762" s="147"/>
      <c r="G1762" s="80"/>
      <c r="H1762" s="83"/>
      <c r="I1762" s="148" t="str">
        <f aca="false">IF(B1762="","",IFERROR(INDEX('CARNET DE SOUDURE'!$B$7:$B$3006,MATCH(B1762,'CARNET DE SOUDURE'!$L$7:$L$3006,0)),IFERROR(INDEX('CARNET DE SOUDURE'!$B$7:$B$3006,MATCH(B1762,'CARNET DE SOUDURE'!$O$7:$O$3006,0)),"")))</f>
        <v/>
      </c>
      <c r="J1762" s="82" t="str">
        <f aca="false">IF(B1762="","",IFERROR(INDEX('CARNET DE SOUDURE'!$E$7:$E$3006,MATCH(B1762,'CARNET DE SOUDURE'!$O$7:$O$3006,0)),""))</f>
        <v/>
      </c>
      <c r="K1762" s="82" t="str">
        <f aca="false">IF(B1762="","",IFERROR(INDEX('CARNET DE SOUDURE'!$E$7:$E$3006,MATCH(B1762,'CARNET DE SOUDURE'!$L$7:$L$3006,0)),""))</f>
        <v/>
      </c>
      <c r="L1762" s="82" t="str">
        <f aca="false">IF(B1762="","",IFERROR(INDEX('CARNET DE SOUDURE'!$D$7:$D$3006,MATCH(B1762,'CARNET DE SOUDURE'!$L$7:$L$3006,0)),IFERROR(INDEX('CARNET DE SOUDURE'!$D$7:$D$3006,MATCH(B1762,'CARNET DE SOUDURE'!$O$7:$O$3006,0)),"")))</f>
        <v/>
      </c>
      <c r="M1762" s="82" t="str">
        <f aca="false">IF(B1762="","",IF(OR(J1762&lt;&gt;"",K1762&lt;&gt;""),"POSÉ EN LIGNE",IF(COUNTIF(BARDAGE!$C$1:$C$5000,B1762)&gt;0,"BARDÉ","EN STOCK")))</f>
        <v/>
      </c>
      <c r="N1762" s="80"/>
    </row>
    <row r="1763" customFormat="false" ht="15" hidden="false" customHeight="false" outlineLevel="0" collapsed="false">
      <c r="A1763" s="82" t="str">
        <f aca="false">IF(B1763="","",ROW()-6)</f>
        <v/>
      </c>
      <c r="B1763" s="145"/>
      <c r="C1763" s="146"/>
      <c r="D1763" s="146"/>
      <c r="E1763" s="82" t="str">
        <f aca="false">IF(B1763="","",IF(COUNTIFS('CARNET DE SOUDURE'!$L$7:$L$3006,B1763,'CARNET DE SOUDURE'!$M$7:$M$3006,"&lt;&gt;"&amp;C1763,'CARNET DE SOUDURE'!$M$7:$M$3006,"&lt;&gt;")+COUNTIFS('CARNET DE SOUDURE'!$O$7:$O$3006,B1763,'CARNET DE SOUDURE'!$P$7:$P$3006,"&lt;&gt;"&amp;C1763,'CARNET DE SOUDURE'!$P$7:$P$3006,"&lt;&gt;")&gt;0,"⚠ DIFFÉRENTE","OK"))</f>
        <v/>
      </c>
      <c r="F1763" s="147"/>
      <c r="G1763" s="80"/>
      <c r="H1763" s="83"/>
      <c r="I1763" s="148" t="str">
        <f aca="false">IF(B1763="","",IFERROR(INDEX('CARNET DE SOUDURE'!$B$7:$B$3006,MATCH(B1763,'CARNET DE SOUDURE'!$L$7:$L$3006,0)),IFERROR(INDEX('CARNET DE SOUDURE'!$B$7:$B$3006,MATCH(B1763,'CARNET DE SOUDURE'!$O$7:$O$3006,0)),"")))</f>
        <v/>
      </c>
      <c r="J1763" s="82" t="str">
        <f aca="false">IF(B1763="","",IFERROR(INDEX('CARNET DE SOUDURE'!$E$7:$E$3006,MATCH(B1763,'CARNET DE SOUDURE'!$O$7:$O$3006,0)),""))</f>
        <v/>
      </c>
      <c r="K1763" s="82" t="str">
        <f aca="false">IF(B1763="","",IFERROR(INDEX('CARNET DE SOUDURE'!$E$7:$E$3006,MATCH(B1763,'CARNET DE SOUDURE'!$L$7:$L$3006,0)),""))</f>
        <v/>
      </c>
      <c r="L1763" s="82" t="str">
        <f aca="false">IF(B1763="","",IFERROR(INDEX('CARNET DE SOUDURE'!$D$7:$D$3006,MATCH(B1763,'CARNET DE SOUDURE'!$L$7:$L$3006,0)),IFERROR(INDEX('CARNET DE SOUDURE'!$D$7:$D$3006,MATCH(B1763,'CARNET DE SOUDURE'!$O$7:$O$3006,0)),"")))</f>
        <v/>
      </c>
      <c r="M1763" s="82" t="str">
        <f aca="false">IF(B1763="","",IF(OR(J1763&lt;&gt;"",K1763&lt;&gt;""),"POSÉ EN LIGNE",IF(COUNTIF(BARDAGE!$C$1:$C$5000,B1763)&gt;0,"BARDÉ","EN STOCK")))</f>
        <v/>
      </c>
      <c r="N1763" s="80"/>
    </row>
    <row r="1764" customFormat="false" ht="15" hidden="false" customHeight="false" outlineLevel="0" collapsed="false">
      <c r="A1764" s="82" t="str">
        <f aca="false">IF(B1764="","",ROW()-6)</f>
        <v/>
      </c>
      <c r="B1764" s="145"/>
      <c r="C1764" s="146"/>
      <c r="D1764" s="146"/>
      <c r="E1764" s="82" t="str">
        <f aca="false">IF(B1764="","",IF(COUNTIFS('CARNET DE SOUDURE'!$L$7:$L$3006,B1764,'CARNET DE SOUDURE'!$M$7:$M$3006,"&lt;&gt;"&amp;C1764,'CARNET DE SOUDURE'!$M$7:$M$3006,"&lt;&gt;")+COUNTIFS('CARNET DE SOUDURE'!$O$7:$O$3006,B1764,'CARNET DE SOUDURE'!$P$7:$P$3006,"&lt;&gt;"&amp;C1764,'CARNET DE SOUDURE'!$P$7:$P$3006,"&lt;&gt;")&gt;0,"⚠ DIFFÉRENTE","OK"))</f>
        <v/>
      </c>
      <c r="F1764" s="147"/>
      <c r="G1764" s="80"/>
      <c r="H1764" s="83"/>
      <c r="I1764" s="148" t="str">
        <f aca="false">IF(B1764="","",IFERROR(INDEX('CARNET DE SOUDURE'!$B$7:$B$3006,MATCH(B1764,'CARNET DE SOUDURE'!$L$7:$L$3006,0)),IFERROR(INDEX('CARNET DE SOUDURE'!$B$7:$B$3006,MATCH(B1764,'CARNET DE SOUDURE'!$O$7:$O$3006,0)),"")))</f>
        <v/>
      </c>
      <c r="J1764" s="82" t="str">
        <f aca="false">IF(B1764="","",IFERROR(INDEX('CARNET DE SOUDURE'!$E$7:$E$3006,MATCH(B1764,'CARNET DE SOUDURE'!$O$7:$O$3006,0)),""))</f>
        <v/>
      </c>
      <c r="K1764" s="82" t="str">
        <f aca="false">IF(B1764="","",IFERROR(INDEX('CARNET DE SOUDURE'!$E$7:$E$3006,MATCH(B1764,'CARNET DE SOUDURE'!$L$7:$L$3006,0)),""))</f>
        <v/>
      </c>
      <c r="L1764" s="82" t="str">
        <f aca="false">IF(B1764="","",IFERROR(INDEX('CARNET DE SOUDURE'!$D$7:$D$3006,MATCH(B1764,'CARNET DE SOUDURE'!$L$7:$L$3006,0)),IFERROR(INDEX('CARNET DE SOUDURE'!$D$7:$D$3006,MATCH(B1764,'CARNET DE SOUDURE'!$O$7:$O$3006,0)),"")))</f>
        <v/>
      </c>
      <c r="M1764" s="82" t="str">
        <f aca="false">IF(B1764="","",IF(OR(J1764&lt;&gt;"",K1764&lt;&gt;""),"POSÉ EN LIGNE",IF(COUNTIF(BARDAGE!$C$1:$C$5000,B1764)&gt;0,"BARDÉ","EN STOCK")))</f>
        <v/>
      </c>
      <c r="N1764" s="80"/>
    </row>
    <row r="1765" customFormat="false" ht="15" hidden="false" customHeight="false" outlineLevel="0" collapsed="false">
      <c r="A1765" s="82" t="str">
        <f aca="false">IF(B1765="","",ROW()-6)</f>
        <v/>
      </c>
      <c r="B1765" s="145"/>
      <c r="C1765" s="146"/>
      <c r="D1765" s="146"/>
      <c r="E1765" s="82" t="str">
        <f aca="false">IF(B1765="","",IF(COUNTIFS('CARNET DE SOUDURE'!$L$7:$L$3006,B1765,'CARNET DE SOUDURE'!$M$7:$M$3006,"&lt;&gt;"&amp;C1765,'CARNET DE SOUDURE'!$M$7:$M$3006,"&lt;&gt;")+COUNTIFS('CARNET DE SOUDURE'!$O$7:$O$3006,B1765,'CARNET DE SOUDURE'!$P$7:$P$3006,"&lt;&gt;"&amp;C1765,'CARNET DE SOUDURE'!$P$7:$P$3006,"&lt;&gt;")&gt;0,"⚠ DIFFÉRENTE","OK"))</f>
        <v/>
      </c>
      <c r="F1765" s="147"/>
      <c r="G1765" s="80"/>
      <c r="H1765" s="83"/>
      <c r="I1765" s="148" t="str">
        <f aca="false">IF(B1765="","",IFERROR(INDEX('CARNET DE SOUDURE'!$B$7:$B$3006,MATCH(B1765,'CARNET DE SOUDURE'!$L$7:$L$3006,0)),IFERROR(INDEX('CARNET DE SOUDURE'!$B$7:$B$3006,MATCH(B1765,'CARNET DE SOUDURE'!$O$7:$O$3006,0)),"")))</f>
        <v/>
      </c>
      <c r="J1765" s="82" t="str">
        <f aca="false">IF(B1765="","",IFERROR(INDEX('CARNET DE SOUDURE'!$E$7:$E$3006,MATCH(B1765,'CARNET DE SOUDURE'!$O$7:$O$3006,0)),""))</f>
        <v/>
      </c>
      <c r="K1765" s="82" t="str">
        <f aca="false">IF(B1765="","",IFERROR(INDEX('CARNET DE SOUDURE'!$E$7:$E$3006,MATCH(B1765,'CARNET DE SOUDURE'!$L$7:$L$3006,0)),""))</f>
        <v/>
      </c>
      <c r="L1765" s="82" t="str">
        <f aca="false">IF(B1765="","",IFERROR(INDEX('CARNET DE SOUDURE'!$D$7:$D$3006,MATCH(B1765,'CARNET DE SOUDURE'!$L$7:$L$3006,0)),IFERROR(INDEX('CARNET DE SOUDURE'!$D$7:$D$3006,MATCH(B1765,'CARNET DE SOUDURE'!$O$7:$O$3006,0)),"")))</f>
        <v/>
      </c>
      <c r="M1765" s="82" t="str">
        <f aca="false">IF(B1765="","",IF(OR(J1765&lt;&gt;"",K1765&lt;&gt;""),"POSÉ EN LIGNE",IF(COUNTIF(BARDAGE!$C$1:$C$5000,B1765)&gt;0,"BARDÉ","EN STOCK")))</f>
        <v/>
      </c>
      <c r="N1765" s="80"/>
    </row>
    <row r="1766" customFormat="false" ht="15" hidden="false" customHeight="false" outlineLevel="0" collapsed="false">
      <c r="A1766" s="82" t="str">
        <f aca="false">IF(B1766="","",ROW()-6)</f>
        <v/>
      </c>
      <c r="B1766" s="145"/>
      <c r="C1766" s="146"/>
      <c r="D1766" s="146"/>
      <c r="E1766" s="82" t="str">
        <f aca="false">IF(B1766="","",IF(COUNTIFS('CARNET DE SOUDURE'!$L$7:$L$3006,B1766,'CARNET DE SOUDURE'!$M$7:$M$3006,"&lt;&gt;"&amp;C1766,'CARNET DE SOUDURE'!$M$7:$M$3006,"&lt;&gt;")+COUNTIFS('CARNET DE SOUDURE'!$O$7:$O$3006,B1766,'CARNET DE SOUDURE'!$P$7:$P$3006,"&lt;&gt;"&amp;C1766,'CARNET DE SOUDURE'!$P$7:$P$3006,"&lt;&gt;")&gt;0,"⚠ DIFFÉRENTE","OK"))</f>
        <v/>
      </c>
      <c r="F1766" s="147"/>
      <c r="G1766" s="80"/>
      <c r="H1766" s="83"/>
      <c r="I1766" s="148" t="str">
        <f aca="false">IF(B1766="","",IFERROR(INDEX('CARNET DE SOUDURE'!$B$7:$B$3006,MATCH(B1766,'CARNET DE SOUDURE'!$L$7:$L$3006,0)),IFERROR(INDEX('CARNET DE SOUDURE'!$B$7:$B$3006,MATCH(B1766,'CARNET DE SOUDURE'!$O$7:$O$3006,0)),"")))</f>
        <v/>
      </c>
      <c r="J1766" s="82" t="str">
        <f aca="false">IF(B1766="","",IFERROR(INDEX('CARNET DE SOUDURE'!$E$7:$E$3006,MATCH(B1766,'CARNET DE SOUDURE'!$O$7:$O$3006,0)),""))</f>
        <v/>
      </c>
      <c r="K1766" s="82" t="str">
        <f aca="false">IF(B1766="","",IFERROR(INDEX('CARNET DE SOUDURE'!$E$7:$E$3006,MATCH(B1766,'CARNET DE SOUDURE'!$L$7:$L$3006,0)),""))</f>
        <v/>
      </c>
      <c r="L1766" s="82" t="str">
        <f aca="false">IF(B1766="","",IFERROR(INDEX('CARNET DE SOUDURE'!$D$7:$D$3006,MATCH(B1766,'CARNET DE SOUDURE'!$L$7:$L$3006,0)),IFERROR(INDEX('CARNET DE SOUDURE'!$D$7:$D$3006,MATCH(B1766,'CARNET DE SOUDURE'!$O$7:$O$3006,0)),"")))</f>
        <v/>
      </c>
      <c r="M1766" s="82" t="str">
        <f aca="false">IF(B1766="","",IF(OR(J1766&lt;&gt;"",K1766&lt;&gt;""),"POSÉ EN LIGNE",IF(COUNTIF(BARDAGE!$C$1:$C$5000,B1766)&gt;0,"BARDÉ","EN STOCK")))</f>
        <v/>
      </c>
      <c r="N1766" s="80"/>
    </row>
    <row r="1767" customFormat="false" ht="15" hidden="false" customHeight="false" outlineLevel="0" collapsed="false">
      <c r="A1767" s="82" t="str">
        <f aca="false">IF(B1767="","",ROW()-6)</f>
        <v/>
      </c>
      <c r="B1767" s="145"/>
      <c r="C1767" s="146"/>
      <c r="D1767" s="146"/>
      <c r="E1767" s="82" t="str">
        <f aca="false">IF(B1767="","",IF(COUNTIFS('CARNET DE SOUDURE'!$L$7:$L$3006,B1767,'CARNET DE SOUDURE'!$M$7:$M$3006,"&lt;&gt;"&amp;C1767,'CARNET DE SOUDURE'!$M$7:$M$3006,"&lt;&gt;")+COUNTIFS('CARNET DE SOUDURE'!$O$7:$O$3006,B1767,'CARNET DE SOUDURE'!$P$7:$P$3006,"&lt;&gt;"&amp;C1767,'CARNET DE SOUDURE'!$P$7:$P$3006,"&lt;&gt;")&gt;0,"⚠ DIFFÉRENTE","OK"))</f>
        <v/>
      </c>
      <c r="F1767" s="147"/>
      <c r="G1767" s="80"/>
      <c r="H1767" s="83"/>
      <c r="I1767" s="148" t="str">
        <f aca="false">IF(B1767="","",IFERROR(INDEX('CARNET DE SOUDURE'!$B$7:$B$3006,MATCH(B1767,'CARNET DE SOUDURE'!$L$7:$L$3006,0)),IFERROR(INDEX('CARNET DE SOUDURE'!$B$7:$B$3006,MATCH(B1767,'CARNET DE SOUDURE'!$O$7:$O$3006,0)),"")))</f>
        <v/>
      </c>
      <c r="J1767" s="82" t="str">
        <f aca="false">IF(B1767="","",IFERROR(INDEX('CARNET DE SOUDURE'!$E$7:$E$3006,MATCH(B1767,'CARNET DE SOUDURE'!$O$7:$O$3006,0)),""))</f>
        <v/>
      </c>
      <c r="K1767" s="82" t="str">
        <f aca="false">IF(B1767="","",IFERROR(INDEX('CARNET DE SOUDURE'!$E$7:$E$3006,MATCH(B1767,'CARNET DE SOUDURE'!$L$7:$L$3006,0)),""))</f>
        <v/>
      </c>
      <c r="L1767" s="82" t="str">
        <f aca="false">IF(B1767="","",IFERROR(INDEX('CARNET DE SOUDURE'!$D$7:$D$3006,MATCH(B1767,'CARNET DE SOUDURE'!$L$7:$L$3006,0)),IFERROR(INDEX('CARNET DE SOUDURE'!$D$7:$D$3006,MATCH(B1767,'CARNET DE SOUDURE'!$O$7:$O$3006,0)),"")))</f>
        <v/>
      </c>
      <c r="M1767" s="82" t="str">
        <f aca="false">IF(B1767="","",IF(OR(J1767&lt;&gt;"",K1767&lt;&gt;""),"POSÉ EN LIGNE",IF(COUNTIF(BARDAGE!$C$1:$C$5000,B1767)&gt;0,"BARDÉ","EN STOCK")))</f>
        <v/>
      </c>
      <c r="N1767" s="80"/>
    </row>
    <row r="1768" customFormat="false" ht="15" hidden="false" customHeight="false" outlineLevel="0" collapsed="false">
      <c r="A1768" s="82" t="str">
        <f aca="false">IF(B1768="","",ROW()-6)</f>
        <v/>
      </c>
      <c r="B1768" s="145"/>
      <c r="C1768" s="146"/>
      <c r="D1768" s="146"/>
      <c r="E1768" s="82" t="str">
        <f aca="false">IF(B1768="","",IF(COUNTIFS('CARNET DE SOUDURE'!$L$7:$L$3006,B1768,'CARNET DE SOUDURE'!$M$7:$M$3006,"&lt;&gt;"&amp;C1768,'CARNET DE SOUDURE'!$M$7:$M$3006,"&lt;&gt;")+COUNTIFS('CARNET DE SOUDURE'!$O$7:$O$3006,B1768,'CARNET DE SOUDURE'!$P$7:$P$3006,"&lt;&gt;"&amp;C1768,'CARNET DE SOUDURE'!$P$7:$P$3006,"&lt;&gt;")&gt;0,"⚠ DIFFÉRENTE","OK"))</f>
        <v/>
      </c>
      <c r="F1768" s="147"/>
      <c r="G1768" s="80"/>
      <c r="H1768" s="83"/>
      <c r="I1768" s="148" t="str">
        <f aca="false">IF(B1768="","",IFERROR(INDEX('CARNET DE SOUDURE'!$B$7:$B$3006,MATCH(B1768,'CARNET DE SOUDURE'!$L$7:$L$3006,0)),IFERROR(INDEX('CARNET DE SOUDURE'!$B$7:$B$3006,MATCH(B1768,'CARNET DE SOUDURE'!$O$7:$O$3006,0)),"")))</f>
        <v/>
      </c>
      <c r="J1768" s="82" t="str">
        <f aca="false">IF(B1768="","",IFERROR(INDEX('CARNET DE SOUDURE'!$E$7:$E$3006,MATCH(B1768,'CARNET DE SOUDURE'!$O$7:$O$3006,0)),""))</f>
        <v/>
      </c>
      <c r="K1768" s="82" t="str">
        <f aca="false">IF(B1768="","",IFERROR(INDEX('CARNET DE SOUDURE'!$E$7:$E$3006,MATCH(B1768,'CARNET DE SOUDURE'!$L$7:$L$3006,0)),""))</f>
        <v/>
      </c>
      <c r="L1768" s="82" t="str">
        <f aca="false">IF(B1768="","",IFERROR(INDEX('CARNET DE SOUDURE'!$D$7:$D$3006,MATCH(B1768,'CARNET DE SOUDURE'!$L$7:$L$3006,0)),IFERROR(INDEX('CARNET DE SOUDURE'!$D$7:$D$3006,MATCH(B1768,'CARNET DE SOUDURE'!$O$7:$O$3006,0)),"")))</f>
        <v/>
      </c>
      <c r="M1768" s="82" t="str">
        <f aca="false">IF(B1768="","",IF(OR(J1768&lt;&gt;"",K1768&lt;&gt;""),"POSÉ EN LIGNE",IF(COUNTIF(BARDAGE!$C$1:$C$5000,B1768)&gt;0,"BARDÉ","EN STOCK")))</f>
        <v/>
      </c>
      <c r="N1768" s="80"/>
    </row>
    <row r="1769" customFormat="false" ht="15" hidden="false" customHeight="false" outlineLevel="0" collapsed="false">
      <c r="A1769" s="82" t="str">
        <f aca="false">IF(B1769="","",ROW()-6)</f>
        <v/>
      </c>
      <c r="B1769" s="145"/>
      <c r="C1769" s="146"/>
      <c r="D1769" s="146"/>
      <c r="E1769" s="82" t="str">
        <f aca="false">IF(B1769="","",IF(COUNTIFS('CARNET DE SOUDURE'!$L$7:$L$3006,B1769,'CARNET DE SOUDURE'!$M$7:$M$3006,"&lt;&gt;"&amp;C1769,'CARNET DE SOUDURE'!$M$7:$M$3006,"&lt;&gt;")+COUNTIFS('CARNET DE SOUDURE'!$O$7:$O$3006,B1769,'CARNET DE SOUDURE'!$P$7:$P$3006,"&lt;&gt;"&amp;C1769,'CARNET DE SOUDURE'!$P$7:$P$3006,"&lt;&gt;")&gt;0,"⚠ DIFFÉRENTE","OK"))</f>
        <v/>
      </c>
      <c r="F1769" s="147"/>
      <c r="G1769" s="80"/>
      <c r="H1769" s="83"/>
      <c r="I1769" s="148" t="str">
        <f aca="false">IF(B1769="","",IFERROR(INDEX('CARNET DE SOUDURE'!$B$7:$B$3006,MATCH(B1769,'CARNET DE SOUDURE'!$L$7:$L$3006,0)),IFERROR(INDEX('CARNET DE SOUDURE'!$B$7:$B$3006,MATCH(B1769,'CARNET DE SOUDURE'!$O$7:$O$3006,0)),"")))</f>
        <v/>
      </c>
      <c r="J1769" s="82" t="str">
        <f aca="false">IF(B1769="","",IFERROR(INDEX('CARNET DE SOUDURE'!$E$7:$E$3006,MATCH(B1769,'CARNET DE SOUDURE'!$O$7:$O$3006,0)),""))</f>
        <v/>
      </c>
      <c r="K1769" s="82" t="str">
        <f aca="false">IF(B1769="","",IFERROR(INDEX('CARNET DE SOUDURE'!$E$7:$E$3006,MATCH(B1769,'CARNET DE SOUDURE'!$L$7:$L$3006,0)),""))</f>
        <v/>
      </c>
      <c r="L1769" s="82" t="str">
        <f aca="false">IF(B1769="","",IFERROR(INDEX('CARNET DE SOUDURE'!$D$7:$D$3006,MATCH(B1769,'CARNET DE SOUDURE'!$L$7:$L$3006,0)),IFERROR(INDEX('CARNET DE SOUDURE'!$D$7:$D$3006,MATCH(B1769,'CARNET DE SOUDURE'!$O$7:$O$3006,0)),"")))</f>
        <v/>
      </c>
      <c r="M1769" s="82" t="str">
        <f aca="false">IF(B1769="","",IF(OR(J1769&lt;&gt;"",K1769&lt;&gt;""),"POSÉ EN LIGNE",IF(COUNTIF(BARDAGE!$C$1:$C$5000,B1769)&gt;0,"BARDÉ","EN STOCK")))</f>
        <v/>
      </c>
      <c r="N1769" s="80"/>
    </row>
    <row r="1770" customFormat="false" ht="15" hidden="false" customHeight="false" outlineLevel="0" collapsed="false">
      <c r="A1770" s="82" t="str">
        <f aca="false">IF(B1770="","",ROW()-6)</f>
        <v/>
      </c>
      <c r="B1770" s="145"/>
      <c r="C1770" s="146"/>
      <c r="D1770" s="146"/>
      <c r="E1770" s="82" t="str">
        <f aca="false">IF(B1770="","",IF(COUNTIFS('CARNET DE SOUDURE'!$L$7:$L$3006,B1770,'CARNET DE SOUDURE'!$M$7:$M$3006,"&lt;&gt;"&amp;C1770,'CARNET DE SOUDURE'!$M$7:$M$3006,"&lt;&gt;")+COUNTIFS('CARNET DE SOUDURE'!$O$7:$O$3006,B1770,'CARNET DE SOUDURE'!$P$7:$P$3006,"&lt;&gt;"&amp;C1770,'CARNET DE SOUDURE'!$P$7:$P$3006,"&lt;&gt;")&gt;0,"⚠ DIFFÉRENTE","OK"))</f>
        <v/>
      </c>
      <c r="F1770" s="147"/>
      <c r="G1770" s="80"/>
      <c r="H1770" s="83"/>
      <c r="I1770" s="148" t="str">
        <f aca="false">IF(B1770="","",IFERROR(INDEX('CARNET DE SOUDURE'!$B$7:$B$3006,MATCH(B1770,'CARNET DE SOUDURE'!$L$7:$L$3006,0)),IFERROR(INDEX('CARNET DE SOUDURE'!$B$7:$B$3006,MATCH(B1770,'CARNET DE SOUDURE'!$O$7:$O$3006,0)),"")))</f>
        <v/>
      </c>
      <c r="J1770" s="82" t="str">
        <f aca="false">IF(B1770="","",IFERROR(INDEX('CARNET DE SOUDURE'!$E$7:$E$3006,MATCH(B1770,'CARNET DE SOUDURE'!$O$7:$O$3006,0)),""))</f>
        <v/>
      </c>
      <c r="K1770" s="82" t="str">
        <f aca="false">IF(B1770="","",IFERROR(INDEX('CARNET DE SOUDURE'!$E$7:$E$3006,MATCH(B1770,'CARNET DE SOUDURE'!$L$7:$L$3006,0)),""))</f>
        <v/>
      </c>
      <c r="L1770" s="82" t="str">
        <f aca="false">IF(B1770="","",IFERROR(INDEX('CARNET DE SOUDURE'!$D$7:$D$3006,MATCH(B1770,'CARNET DE SOUDURE'!$L$7:$L$3006,0)),IFERROR(INDEX('CARNET DE SOUDURE'!$D$7:$D$3006,MATCH(B1770,'CARNET DE SOUDURE'!$O$7:$O$3006,0)),"")))</f>
        <v/>
      </c>
      <c r="M1770" s="82" t="str">
        <f aca="false">IF(B1770="","",IF(OR(J1770&lt;&gt;"",K1770&lt;&gt;""),"POSÉ EN LIGNE",IF(COUNTIF(BARDAGE!$C$1:$C$5000,B1770)&gt;0,"BARDÉ","EN STOCK")))</f>
        <v/>
      </c>
      <c r="N1770" s="80"/>
    </row>
    <row r="1771" customFormat="false" ht="15" hidden="false" customHeight="false" outlineLevel="0" collapsed="false">
      <c r="A1771" s="82" t="str">
        <f aca="false">IF(B1771="","",ROW()-6)</f>
        <v/>
      </c>
      <c r="B1771" s="145"/>
      <c r="C1771" s="146"/>
      <c r="D1771" s="146"/>
      <c r="E1771" s="82" t="str">
        <f aca="false">IF(B1771="","",IF(COUNTIFS('CARNET DE SOUDURE'!$L$7:$L$3006,B1771,'CARNET DE SOUDURE'!$M$7:$M$3006,"&lt;&gt;"&amp;C1771,'CARNET DE SOUDURE'!$M$7:$M$3006,"&lt;&gt;")+COUNTIFS('CARNET DE SOUDURE'!$O$7:$O$3006,B1771,'CARNET DE SOUDURE'!$P$7:$P$3006,"&lt;&gt;"&amp;C1771,'CARNET DE SOUDURE'!$P$7:$P$3006,"&lt;&gt;")&gt;0,"⚠ DIFFÉRENTE","OK"))</f>
        <v/>
      </c>
      <c r="F1771" s="147"/>
      <c r="G1771" s="80"/>
      <c r="H1771" s="83"/>
      <c r="I1771" s="148" t="str">
        <f aca="false">IF(B1771="","",IFERROR(INDEX('CARNET DE SOUDURE'!$B$7:$B$3006,MATCH(B1771,'CARNET DE SOUDURE'!$L$7:$L$3006,0)),IFERROR(INDEX('CARNET DE SOUDURE'!$B$7:$B$3006,MATCH(B1771,'CARNET DE SOUDURE'!$O$7:$O$3006,0)),"")))</f>
        <v/>
      </c>
      <c r="J1771" s="82" t="str">
        <f aca="false">IF(B1771="","",IFERROR(INDEX('CARNET DE SOUDURE'!$E$7:$E$3006,MATCH(B1771,'CARNET DE SOUDURE'!$O$7:$O$3006,0)),""))</f>
        <v/>
      </c>
      <c r="K1771" s="82" t="str">
        <f aca="false">IF(B1771="","",IFERROR(INDEX('CARNET DE SOUDURE'!$E$7:$E$3006,MATCH(B1771,'CARNET DE SOUDURE'!$L$7:$L$3006,0)),""))</f>
        <v/>
      </c>
      <c r="L1771" s="82" t="str">
        <f aca="false">IF(B1771="","",IFERROR(INDEX('CARNET DE SOUDURE'!$D$7:$D$3006,MATCH(B1771,'CARNET DE SOUDURE'!$L$7:$L$3006,0)),IFERROR(INDEX('CARNET DE SOUDURE'!$D$7:$D$3006,MATCH(B1771,'CARNET DE SOUDURE'!$O$7:$O$3006,0)),"")))</f>
        <v/>
      </c>
      <c r="M1771" s="82" t="str">
        <f aca="false">IF(B1771="","",IF(OR(J1771&lt;&gt;"",K1771&lt;&gt;""),"POSÉ EN LIGNE",IF(COUNTIF(BARDAGE!$C$1:$C$5000,B1771)&gt;0,"BARDÉ","EN STOCK")))</f>
        <v/>
      </c>
      <c r="N1771" s="80"/>
    </row>
    <row r="1772" customFormat="false" ht="15" hidden="false" customHeight="false" outlineLevel="0" collapsed="false">
      <c r="A1772" s="82" t="str">
        <f aca="false">IF(B1772="","",ROW()-6)</f>
        <v/>
      </c>
      <c r="B1772" s="145"/>
      <c r="C1772" s="146"/>
      <c r="D1772" s="146"/>
      <c r="E1772" s="82" t="str">
        <f aca="false">IF(B1772="","",IF(COUNTIFS('CARNET DE SOUDURE'!$L$7:$L$3006,B1772,'CARNET DE SOUDURE'!$M$7:$M$3006,"&lt;&gt;"&amp;C1772,'CARNET DE SOUDURE'!$M$7:$M$3006,"&lt;&gt;")+COUNTIFS('CARNET DE SOUDURE'!$O$7:$O$3006,B1772,'CARNET DE SOUDURE'!$P$7:$P$3006,"&lt;&gt;"&amp;C1772,'CARNET DE SOUDURE'!$P$7:$P$3006,"&lt;&gt;")&gt;0,"⚠ DIFFÉRENTE","OK"))</f>
        <v/>
      </c>
      <c r="F1772" s="147"/>
      <c r="G1772" s="80"/>
      <c r="H1772" s="83"/>
      <c r="I1772" s="148" t="str">
        <f aca="false">IF(B1772="","",IFERROR(INDEX('CARNET DE SOUDURE'!$B$7:$B$3006,MATCH(B1772,'CARNET DE SOUDURE'!$L$7:$L$3006,0)),IFERROR(INDEX('CARNET DE SOUDURE'!$B$7:$B$3006,MATCH(B1772,'CARNET DE SOUDURE'!$O$7:$O$3006,0)),"")))</f>
        <v/>
      </c>
      <c r="J1772" s="82" t="str">
        <f aca="false">IF(B1772="","",IFERROR(INDEX('CARNET DE SOUDURE'!$E$7:$E$3006,MATCH(B1772,'CARNET DE SOUDURE'!$O$7:$O$3006,0)),""))</f>
        <v/>
      </c>
      <c r="K1772" s="82" t="str">
        <f aca="false">IF(B1772="","",IFERROR(INDEX('CARNET DE SOUDURE'!$E$7:$E$3006,MATCH(B1772,'CARNET DE SOUDURE'!$L$7:$L$3006,0)),""))</f>
        <v/>
      </c>
      <c r="L1772" s="82" t="str">
        <f aca="false">IF(B1772="","",IFERROR(INDEX('CARNET DE SOUDURE'!$D$7:$D$3006,MATCH(B1772,'CARNET DE SOUDURE'!$L$7:$L$3006,0)),IFERROR(INDEX('CARNET DE SOUDURE'!$D$7:$D$3006,MATCH(B1772,'CARNET DE SOUDURE'!$O$7:$O$3006,0)),"")))</f>
        <v/>
      </c>
      <c r="M1772" s="82" t="str">
        <f aca="false">IF(B1772="","",IF(OR(J1772&lt;&gt;"",K1772&lt;&gt;""),"POSÉ EN LIGNE",IF(COUNTIF(BARDAGE!$C$1:$C$5000,B1772)&gt;0,"BARDÉ","EN STOCK")))</f>
        <v/>
      </c>
      <c r="N1772" s="80"/>
    </row>
    <row r="1773" customFormat="false" ht="15" hidden="false" customHeight="false" outlineLevel="0" collapsed="false">
      <c r="A1773" s="82" t="str">
        <f aca="false">IF(B1773="","",ROW()-6)</f>
        <v/>
      </c>
      <c r="B1773" s="145"/>
      <c r="C1773" s="146"/>
      <c r="D1773" s="146"/>
      <c r="E1773" s="82" t="str">
        <f aca="false">IF(B1773="","",IF(COUNTIFS('CARNET DE SOUDURE'!$L$7:$L$3006,B1773,'CARNET DE SOUDURE'!$M$7:$M$3006,"&lt;&gt;"&amp;C1773,'CARNET DE SOUDURE'!$M$7:$M$3006,"&lt;&gt;")+COUNTIFS('CARNET DE SOUDURE'!$O$7:$O$3006,B1773,'CARNET DE SOUDURE'!$P$7:$P$3006,"&lt;&gt;"&amp;C1773,'CARNET DE SOUDURE'!$P$7:$P$3006,"&lt;&gt;")&gt;0,"⚠ DIFFÉRENTE","OK"))</f>
        <v/>
      </c>
      <c r="F1773" s="147"/>
      <c r="G1773" s="80"/>
      <c r="H1773" s="83"/>
      <c r="I1773" s="148" t="str">
        <f aca="false">IF(B1773="","",IFERROR(INDEX('CARNET DE SOUDURE'!$B$7:$B$3006,MATCH(B1773,'CARNET DE SOUDURE'!$L$7:$L$3006,0)),IFERROR(INDEX('CARNET DE SOUDURE'!$B$7:$B$3006,MATCH(B1773,'CARNET DE SOUDURE'!$O$7:$O$3006,0)),"")))</f>
        <v/>
      </c>
      <c r="J1773" s="82" t="str">
        <f aca="false">IF(B1773="","",IFERROR(INDEX('CARNET DE SOUDURE'!$E$7:$E$3006,MATCH(B1773,'CARNET DE SOUDURE'!$O$7:$O$3006,0)),""))</f>
        <v/>
      </c>
      <c r="K1773" s="82" t="str">
        <f aca="false">IF(B1773="","",IFERROR(INDEX('CARNET DE SOUDURE'!$E$7:$E$3006,MATCH(B1773,'CARNET DE SOUDURE'!$L$7:$L$3006,0)),""))</f>
        <v/>
      </c>
      <c r="L1773" s="82" t="str">
        <f aca="false">IF(B1773="","",IFERROR(INDEX('CARNET DE SOUDURE'!$D$7:$D$3006,MATCH(B1773,'CARNET DE SOUDURE'!$L$7:$L$3006,0)),IFERROR(INDEX('CARNET DE SOUDURE'!$D$7:$D$3006,MATCH(B1773,'CARNET DE SOUDURE'!$O$7:$O$3006,0)),"")))</f>
        <v/>
      </c>
      <c r="M1773" s="82" t="str">
        <f aca="false">IF(B1773="","",IF(OR(J1773&lt;&gt;"",K1773&lt;&gt;""),"POSÉ EN LIGNE",IF(COUNTIF(BARDAGE!$C$1:$C$5000,B1773)&gt;0,"BARDÉ","EN STOCK")))</f>
        <v/>
      </c>
      <c r="N1773" s="80"/>
    </row>
    <row r="1774" customFormat="false" ht="15" hidden="false" customHeight="false" outlineLevel="0" collapsed="false">
      <c r="A1774" s="82" t="str">
        <f aca="false">IF(B1774="","",ROW()-6)</f>
        <v/>
      </c>
      <c r="B1774" s="145"/>
      <c r="C1774" s="146"/>
      <c r="D1774" s="146"/>
      <c r="E1774" s="82" t="str">
        <f aca="false">IF(B1774="","",IF(COUNTIFS('CARNET DE SOUDURE'!$L$7:$L$3006,B1774,'CARNET DE SOUDURE'!$M$7:$M$3006,"&lt;&gt;"&amp;C1774,'CARNET DE SOUDURE'!$M$7:$M$3006,"&lt;&gt;")+COUNTIFS('CARNET DE SOUDURE'!$O$7:$O$3006,B1774,'CARNET DE SOUDURE'!$P$7:$P$3006,"&lt;&gt;"&amp;C1774,'CARNET DE SOUDURE'!$P$7:$P$3006,"&lt;&gt;")&gt;0,"⚠ DIFFÉRENTE","OK"))</f>
        <v/>
      </c>
      <c r="F1774" s="147"/>
      <c r="G1774" s="80"/>
      <c r="H1774" s="83"/>
      <c r="I1774" s="148" t="str">
        <f aca="false">IF(B1774="","",IFERROR(INDEX('CARNET DE SOUDURE'!$B$7:$B$3006,MATCH(B1774,'CARNET DE SOUDURE'!$L$7:$L$3006,0)),IFERROR(INDEX('CARNET DE SOUDURE'!$B$7:$B$3006,MATCH(B1774,'CARNET DE SOUDURE'!$O$7:$O$3006,0)),"")))</f>
        <v/>
      </c>
      <c r="J1774" s="82" t="str">
        <f aca="false">IF(B1774="","",IFERROR(INDEX('CARNET DE SOUDURE'!$E$7:$E$3006,MATCH(B1774,'CARNET DE SOUDURE'!$O$7:$O$3006,0)),""))</f>
        <v/>
      </c>
      <c r="K1774" s="82" t="str">
        <f aca="false">IF(B1774="","",IFERROR(INDEX('CARNET DE SOUDURE'!$E$7:$E$3006,MATCH(B1774,'CARNET DE SOUDURE'!$L$7:$L$3006,0)),""))</f>
        <v/>
      </c>
      <c r="L1774" s="82" t="str">
        <f aca="false">IF(B1774="","",IFERROR(INDEX('CARNET DE SOUDURE'!$D$7:$D$3006,MATCH(B1774,'CARNET DE SOUDURE'!$L$7:$L$3006,0)),IFERROR(INDEX('CARNET DE SOUDURE'!$D$7:$D$3006,MATCH(B1774,'CARNET DE SOUDURE'!$O$7:$O$3006,0)),"")))</f>
        <v/>
      </c>
      <c r="M1774" s="82" t="str">
        <f aca="false">IF(B1774="","",IF(OR(J1774&lt;&gt;"",K1774&lt;&gt;""),"POSÉ EN LIGNE",IF(COUNTIF(BARDAGE!$C$1:$C$5000,B1774)&gt;0,"BARDÉ","EN STOCK")))</f>
        <v/>
      </c>
      <c r="N1774" s="80"/>
    </row>
    <row r="1775" customFormat="false" ht="15" hidden="false" customHeight="false" outlineLevel="0" collapsed="false">
      <c r="A1775" s="82" t="str">
        <f aca="false">IF(B1775="","",ROW()-6)</f>
        <v/>
      </c>
      <c r="B1775" s="145"/>
      <c r="C1775" s="146"/>
      <c r="D1775" s="146"/>
      <c r="E1775" s="82" t="str">
        <f aca="false">IF(B1775="","",IF(COUNTIFS('CARNET DE SOUDURE'!$L$7:$L$3006,B1775,'CARNET DE SOUDURE'!$M$7:$M$3006,"&lt;&gt;"&amp;C1775,'CARNET DE SOUDURE'!$M$7:$M$3006,"&lt;&gt;")+COUNTIFS('CARNET DE SOUDURE'!$O$7:$O$3006,B1775,'CARNET DE SOUDURE'!$P$7:$P$3006,"&lt;&gt;"&amp;C1775,'CARNET DE SOUDURE'!$P$7:$P$3006,"&lt;&gt;")&gt;0,"⚠ DIFFÉRENTE","OK"))</f>
        <v/>
      </c>
      <c r="F1775" s="147"/>
      <c r="G1775" s="80"/>
      <c r="H1775" s="83"/>
      <c r="I1775" s="148" t="str">
        <f aca="false">IF(B1775="","",IFERROR(INDEX('CARNET DE SOUDURE'!$B$7:$B$3006,MATCH(B1775,'CARNET DE SOUDURE'!$L$7:$L$3006,0)),IFERROR(INDEX('CARNET DE SOUDURE'!$B$7:$B$3006,MATCH(B1775,'CARNET DE SOUDURE'!$O$7:$O$3006,0)),"")))</f>
        <v/>
      </c>
      <c r="J1775" s="82" t="str">
        <f aca="false">IF(B1775="","",IFERROR(INDEX('CARNET DE SOUDURE'!$E$7:$E$3006,MATCH(B1775,'CARNET DE SOUDURE'!$O$7:$O$3006,0)),""))</f>
        <v/>
      </c>
      <c r="K1775" s="82" t="str">
        <f aca="false">IF(B1775="","",IFERROR(INDEX('CARNET DE SOUDURE'!$E$7:$E$3006,MATCH(B1775,'CARNET DE SOUDURE'!$L$7:$L$3006,0)),""))</f>
        <v/>
      </c>
      <c r="L1775" s="82" t="str">
        <f aca="false">IF(B1775="","",IFERROR(INDEX('CARNET DE SOUDURE'!$D$7:$D$3006,MATCH(B1775,'CARNET DE SOUDURE'!$L$7:$L$3006,0)),IFERROR(INDEX('CARNET DE SOUDURE'!$D$7:$D$3006,MATCH(B1775,'CARNET DE SOUDURE'!$O$7:$O$3006,0)),"")))</f>
        <v/>
      </c>
      <c r="M1775" s="82" t="str">
        <f aca="false">IF(B1775="","",IF(OR(J1775&lt;&gt;"",K1775&lt;&gt;""),"POSÉ EN LIGNE",IF(COUNTIF(BARDAGE!$C$1:$C$5000,B1775)&gt;0,"BARDÉ","EN STOCK")))</f>
        <v/>
      </c>
      <c r="N1775" s="80"/>
    </row>
    <row r="1776" customFormat="false" ht="15" hidden="false" customHeight="false" outlineLevel="0" collapsed="false">
      <c r="A1776" s="82" t="str">
        <f aca="false">IF(B1776="","",ROW()-6)</f>
        <v/>
      </c>
      <c r="B1776" s="145"/>
      <c r="C1776" s="146"/>
      <c r="D1776" s="146"/>
      <c r="E1776" s="82" t="str">
        <f aca="false">IF(B1776="","",IF(COUNTIFS('CARNET DE SOUDURE'!$L$7:$L$3006,B1776,'CARNET DE SOUDURE'!$M$7:$M$3006,"&lt;&gt;"&amp;C1776,'CARNET DE SOUDURE'!$M$7:$M$3006,"&lt;&gt;")+COUNTIFS('CARNET DE SOUDURE'!$O$7:$O$3006,B1776,'CARNET DE SOUDURE'!$P$7:$P$3006,"&lt;&gt;"&amp;C1776,'CARNET DE SOUDURE'!$P$7:$P$3006,"&lt;&gt;")&gt;0,"⚠ DIFFÉRENTE","OK"))</f>
        <v/>
      </c>
      <c r="F1776" s="147"/>
      <c r="G1776" s="80"/>
      <c r="H1776" s="83"/>
      <c r="I1776" s="148" t="str">
        <f aca="false">IF(B1776="","",IFERROR(INDEX('CARNET DE SOUDURE'!$B$7:$B$3006,MATCH(B1776,'CARNET DE SOUDURE'!$L$7:$L$3006,0)),IFERROR(INDEX('CARNET DE SOUDURE'!$B$7:$B$3006,MATCH(B1776,'CARNET DE SOUDURE'!$O$7:$O$3006,0)),"")))</f>
        <v/>
      </c>
      <c r="J1776" s="82" t="str">
        <f aca="false">IF(B1776="","",IFERROR(INDEX('CARNET DE SOUDURE'!$E$7:$E$3006,MATCH(B1776,'CARNET DE SOUDURE'!$O$7:$O$3006,0)),""))</f>
        <v/>
      </c>
      <c r="K1776" s="82" t="str">
        <f aca="false">IF(B1776="","",IFERROR(INDEX('CARNET DE SOUDURE'!$E$7:$E$3006,MATCH(B1776,'CARNET DE SOUDURE'!$L$7:$L$3006,0)),""))</f>
        <v/>
      </c>
      <c r="L1776" s="82" t="str">
        <f aca="false">IF(B1776="","",IFERROR(INDEX('CARNET DE SOUDURE'!$D$7:$D$3006,MATCH(B1776,'CARNET DE SOUDURE'!$L$7:$L$3006,0)),IFERROR(INDEX('CARNET DE SOUDURE'!$D$7:$D$3006,MATCH(B1776,'CARNET DE SOUDURE'!$O$7:$O$3006,0)),"")))</f>
        <v/>
      </c>
      <c r="M1776" s="82" t="str">
        <f aca="false">IF(B1776="","",IF(OR(J1776&lt;&gt;"",K1776&lt;&gt;""),"POSÉ EN LIGNE",IF(COUNTIF(BARDAGE!$C$1:$C$5000,B1776)&gt;0,"BARDÉ","EN STOCK")))</f>
        <v/>
      </c>
      <c r="N1776" s="80"/>
    </row>
    <row r="1777" customFormat="false" ht="15" hidden="false" customHeight="false" outlineLevel="0" collapsed="false">
      <c r="A1777" s="82" t="str">
        <f aca="false">IF(B1777="","",ROW()-6)</f>
        <v/>
      </c>
      <c r="B1777" s="145"/>
      <c r="C1777" s="146"/>
      <c r="D1777" s="146"/>
      <c r="E1777" s="82" t="str">
        <f aca="false">IF(B1777="","",IF(COUNTIFS('CARNET DE SOUDURE'!$L$7:$L$3006,B1777,'CARNET DE SOUDURE'!$M$7:$M$3006,"&lt;&gt;"&amp;C1777,'CARNET DE SOUDURE'!$M$7:$M$3006,"&lt;&gt;")+COUNTIFS('CARNET DE SOUDURE'!$O$7:$O$3006,B1777,'CARNET DE SOUDURE'!$P$7:$P$3006,"&lt;&gt;"&amp;C1777,'CARNET DE SOUDURE'!$P$7:$P$3006,"&lt;&gt;")&gt;0,"⚠ DIFFÉRENTE","OK"))</f>
        <v/>
      </c>
      <c r="F1777" s="147"/>
      <c r="G1777" s="80"/>
      <c r="H1777" s="83"/>
      <c r="I1777" s="148" t="str">
        <f aca="false">IF(B1777="","",IFERROR(INDEX('CARNET DE SOUDURE'!$B$7:$B$3006,MATCH(B1777,'CARNET DE SOUDURE'!$L$7:$L$3006,0)),IFERROR(INDEX('CARNET DE SOUDURE'!$B$7:$B$3006,MATCH(B1777,'CARNET DE SOUDURE'!$O$7:$O$3006,0)),"")))</f>
        <v/>
      </c>
      <c r="J1777" s="82" t="str">
        <f aca="false">IF(B1777="","",IFERROR(INDEX('CARNET DE SOUDURE'!$E$7:$E$3006,MATCH(B1777,'CARNET DE SOUDURE'!$O$7:$O$3006,0)),""))</f>
        <v/>
      </c>
      <c r="K1777" s="82" t="str">
        <f aca="false">IF(B1777="","",IFERROR(INDEX('CARNET DE SOUDURE'!$E$7:$E$3006,MATCH(B1777,'CARNET DE SOUDURE'!$L$7:$L$3006,0)),""))</f>
        <v/>
      </c>
      <c r="L1777" s="82" t="str">
        <f aca="false">IF(B1777="","",IFERROR(INDEX('CARNET DE SOUDURE'!$D$7:$D$3006,MATCH(B1777,'CARNET DE SOUDURE'!$L$7:$L$3006,0)),IFERROR(INDEX('CARNET DE SOUDURE'!$D$7:$D$3006,MATCH(B1777,'CARNET DE SOUDURE'!$O$7:$O$3006,0)),"")))</f>
        <v/>
      </c>
      <c r="M1777" s="82" t="str">
        <f aca="false">IF(B1777="","",IF(OR(J1777&lt;&gt;"",K1777&lt;&gt;""),"POSÉ EN LIGNE",IF(COUNTIF(BARDAGE!$C$1:$C$5000,B1777)&gt;0,"BARDÉ","EN STOCK")))</f>
        <v/>
      </c>
      <c r="N1777" s="80"/>
    </row>
    <row r="1778" customFormat="false" ht="15" hidden="false" customHeight="false" outlineLevel="0" collapsed="false">
      <c r="A1778" s="82" t="str">
        <f aca="false">IF(B1778="","",ROW()-6)</f>
        <v/>
      </c>
      <c r="B1778" s="145"/>
      <c r="C1778" s="146"/>
      <c r="D1778" s="146"/>
      <c r="E1778" s="82" t="str">
        <f aca="false">IF(B1778="","",IF(COUNTIFS('CARNET DE SOUDURE'!$L$7:$L$3006,B1778,'CARNET DE SOUDURE'!$M$7:$M$3006,"&lt;&gt;"&amp;C1778,'CARNET DE SOUDURE'!$M$7:$M$3006,"&lt;&gt;")+COUNTIFS('CARNET DE SOUDURE'!$O$7:$O$3006,B1778,'CARNET DE SOUDURE'!$P$7:$P$3006,"&lt;&gt;"&amp;C1778,'CARNET DE SOUDURE'!$P$7:$P$3006,"&lt;&gt;")&gt;0,"⚠ DIFFÉRENTE","OK"))</f>
        <v/>
      </c>
      <c r="F1778" s="147"/>
      <c r="G1778" s="80"/>
      <c r="H1778" s="83"/>
      <c r="I1778" s="148" t="str">
        <f aca="false">IF(B1778="","",IFERROR(INDEX('CARNET DE SOUDURE'!$B$7:$B$3006,MATCH(B1778,'CARNET DE SOUDURE'!$L$7:$L$3006,0)),IFERROR(INDEX('CARNET DE SOUDURE'!$B$7:$B$3006,MATCH(B1778,'CARNET DE SOUDURE'!$O$7:$O$3006,0)),"")))</f>
        <v/>
      </c>
      <c r="J1778" s="82" t="str">
        <f aca="false">IF(B1778="","",IFERROR(INDEX('CARNET DE SOUDURE'!$E$7:$E$3006,MATCH(B1778,'CARNET DE SOUDURE'!$O$7:$O$3006,0)),""))</f>
        <v/>
      </c>
      <c r="K1778" s="82" t="str">
        <f aca="false">IF(B1778="","",IFERROR(INDEX('CARNET DE SOUDURE'!$E$7:$E$3006,MATCH(B1778,'CARNET DE SOUDURE'!$L$7:$L$3006,0)),""))</f>
        <v/>
      </c>
      <c r="L1778" s="82" t="str">
        <f aca="false">IF(B1778="","",IFERROR(INDEX('CARNET DE SOUDURE'!$D$7:$D$3006,MATCH(B1778,'CARNET DE SOUDURE'!$L$7:$L$3006,0)),IFERROR(INDEX('CARNET DE SOUDURE'!$D$7:$D$3006,MATCH(B1778,'CARNET DE SOUDURE'!$O$7:$O$3006,0)),"")))</f>
        <v/>
      </c>
      <c r="M1778" s="82" t="str">
        <f aca="false">IF(B1778="","",IF(OR(J1778&lt;&gt;"",K1778&lt;&gt;""),"POSÉ EN LIGNE",IF(COUNTIF(BARDAGE!$C$1:$C$5000,B1778)&gt;0,"BARDÉ","EN STOCK")))</f>
        <v/>
      </c>
      <c r="N1778" s="80"/>
    </row>
    <row r="1779" customFormat="false" ht="15" hidden="false" customHeight="false" outlineLevel="0" collapsed="false">
      <c r="A1779" s="82" t="str">
        <f aca="false">IF(B1779="","",ROW()-6)</f>
        <v/>
      </c>
      <c r="B1779" s="145"/>
      <c r="C1779" s="146"/>
      <c r="D1779" s="146"/>
      <c r="E1779" s="82" t="str">
        <f aca="false">IF(B1779="","",IF(COUNTIFS('CARNET DE SOUDURE'!$L$7:$L$3006,B1779,'CARNET DE SOUDURE'!$M$7:$M$3006,"&lt;&gt;"&amp;C1779,'CARNET DE SOUDURE'!$M$7:$M$3006,"&lt;&gt;")+COUNTIFS('CARNET DE SOUDURE'!$O$7:$O$3006,B1779,'CARNET DE SOUDURE'!$P$7:$P$3006,"&lt;&gt;"&amp;C1779,'CARNET DE SOUDURE'!$P$7:$P$3006,"&lt;&gt;")&gt;0,"⚠ DIFFÉRENTE","OK"))</f>
        <v/>
      </c>
      <c r="F1779" s="147"/>
      <c r="G1779" s="80"/>
      <c r="H1779" s="83"/>
      <c r="I1779" s="148" t="str">
        <f aca="false">IF(B1779="","",IFERROR(INDEX('CARNET DE SOUDURE'!$B$7:$B$3006,MATCH(B1779,'CARNET DE SOUDURE'!$L$7:$L$3006,0)),IFERROR(INDEX('CARNET DE SOUDURE'!$B$7:$B$3006,MATCH(B1779,'CARNET DE SOUDURE'!$O$7:$O$3006,0)),"")))</f>
        <v/>
      </c>
      <c r="J1779" s="82" t="str">
        <f aca="false">IF(B1779="","",IFERROR(INDEX('CARNET DE SOUDURE'!$E$7:$E$3006,MATCH(B1779,'CARNET DE SOUDURE'!$O$7:$O$3006,0)),""))</f>
        <v/>
      </c>
      <c r="K1779" s="82" t="str">
        <f aca="false">IF(B1779="","",IFERROR(INDEX('CARNET DE SOUDURE'!$E$7:$E$3006,MATCH(B1779,'CARNET DE SOUDURE'!$L$7:$L$3006,0)),""))</f>
        <v/>
      </c>
      <c r="L1779" s="82" t="str">
        <f aca="false">IF(B1779="","",IFERROR(INDEX('CARNET DE SOUDURE'!$D$7:$D$3006,MATCH(B1779,'CARNET DE SOUDURE'!$L$7:$L$3006,0)),IFERROR(INDEX('CARNET DE SOUDURE'!$D$7:$D$3006,MATCH(B1779,'CARNET DE SOUDURE'!$O$7:$O$3006,0)),"")))</f>
        <v/>
      </c>
      <c r="M1779" s="82" t="str">
        <f aca="false">IF(B1779="","",IF(OR(J1779&lt;&gt;"",K1779&lt;&gt;""),"POSÉ EN LIGNE",IF(COUNTIF(BARDAGE!$C$1:$C$5000,B1779)&gt;0,"BARDÉ","EN STOCK")))</f>
        <v/>
      </c>
      <c r="N1779" s="80"/>
    </row>
    <row r="1780" customFormat="false" ht="15" hidden="false" customHeight="false" outlineLevel="0" collapsed="false">
      <c r="A1780" s="82" t="str">
        <f aca="false">IF(B1780="","",ROW()-6)</f>
        <v/>
      </c>
      <c r="B1780" s="145"/>
      <c r="C1780" s="146"/>
      <c r="D1780" s="146"/>
      <c r="E1780" s="82" t="str">
        <f aca="false">IF(B1780="","",IF(COUNTIFS('CARNET DE SOUDURE'!$L$7:$L$3006,B1780,'CARNET DE SOUDURE'!$M$7:$M$3006,"&lt;&gt;"&amp;C1780,'CARNET DE SOUDURE'!$M$7:$M$3006,"&lt;&gt;")+COUNTIFS('CARNET DE SOUDURE'!$O$7:$O$3006,B1780,'CARNET DE SOUDURE'!$P$7:$P$3006,"&lt;&gt;"&amp;C1780,'CARNET DE SOUDURE'!$P$7:$P$3006,"&lt;&gt;")&gt;0,"⚠ DIFFÉRENTE","OK"))</f>
        <v/>
      </c>
      <c r="F1780" s="147"/>
      <c r="G1780" s="80"/>
      <c r="H1780" s="83"/>
      <c r="I1780" s="148" t="str">
        <f aca="false">IF(B1780="","",IFERROR(INDEX('CARNET DE SOUDURE'!$B$7:$B$3006,MATCH(B1780,'CARNET DE SOUDURE'!$L$7:$L$3006,0)),IFERROR(INDEX('CARNET DE SOUDURE'!$B$7:$B$3006,MATCH(B1780,'CARNET DE SOUDURE'!$O$7:$O$3006,0)),"")))</f>
        <v/>
      </c>
      <c r="J1780" s="82" t="str">
        <f aca="false">IF(B1780="","",IFERROR(INDEX('CARNET DE SOUDURE'!$E$7:$E$3006,MATCH(B1780,'CARNET DE SOUDURE'!$O$7:$O$3006,0)),""))</f>
        <v/>
      </c>
      <c r="K1780" s="82" t="str">
        <f aca="false">IF(B1780="","",IFERROR(INDEX('CARNET DE SOUDURE'!$E$7:$E$3006,MATCH(B1780,'CARNET DE SOUDURE'!$L$7:$L$3006,0)),""))</f>
        <v/>
      </c>
      <c r="L1780" s="82" t="str">
        <f aca="false">IF(B1780="","",IFERROR(INDEX('CARNET DE SOUDURE'!$D$7:$D$3006,MATCH(B1780,'CARNET DE SOUDURE'!$L$7:$L$3006,0)),IFERROR(INDEX('CARNET DE SOUDURE'!$D$7:$D$3006,MATCH(B1780,'CARNET DE SOUDURE'!$O$7:$O$3006,0)),"")))</f>
        <v/>
      </c>
      <c r="M1780" s="82" t="str">
        <f aca="false">IF(B1780="","",IF(OR(J1780&lt;&gt;"",K1780&lt;&gt;""),"POSÉ EN LIGNE",IF(COUNTIF(BARDAGE!$C$1:$C$5000,B1780)&gt;0,"BARDÉ","EN STOCK")))</f>
        <v/>
      </c>
      <c r="N1780" s="80"/>
    </row>
    <row r="1781" customFormat="false" ht="15" hidden="false" customHeight="false" outlineLevel="0" collapsed="false">
      <c r="A1781" s="82" t="str">
        <f aca="false">IF(B1781="","",ROW()-6)</f>
        <v/>
      </c>
      <c r="B1781" s="145"/>
      <c r="C1781" s="146"/>
      <c r="D1781" s="146"/>
      <c r="E1781" s="82" t="str">
        <f aca="false">IF(B1781="","",IF(COUNTIFS('CARNET DE SOUDURE'!$L$7:$L$3006,B1781,'CARNET DE SOUDURE'!$M$7:$M$3006,"&lt;&gt;"&amp;C1781,'CARNET DE SOUDURE'!$M$7:$M$3006,"&lt;&gt;")+COUNTIFS('CARNET DE SOUDURE'!$O$7:$O$3006,B1781,'CARNET DE SOUDURE'!$P$7:$P$3006,"&lt;&gt;"&amp;C1781,'CARNET DE SOUDURE'!$P$7:$P$3006,"&lt;&gt;")&gt;0,"⚠ DIFFÉRENTE","OK"))</f>
        <v/>
      </c>
      <c r="F1781" s="147"/>
      <c r="G1781" s="80"/>
      <c r="H1781" s="83"/>
      <c r="I1781" s="148" t="str">
        <f aca="false">IF(B1781="","",IFERROR(INDEX('CARNET DE SOUDURE'!$B$7:$B$3006,MATCH(B1781,'CARNET DE SOUDURE'!$L$7:$L$3006,0)),IFERROR(INDEX('CARNET DE SOUDURE'!$B$7:$B$3006,MATCH(B1781,'CARNET DE SOUDURE'!$O$7:$O$3006,0)),"")))</f>
        <v/>
      </c>
      <c r="J1781" s="82" t="str">
        <f aca="false">IF(B1781="","",IFERROR(INDEX('CARNET DE SOUDURE'!$E$7:$E$3006,MATCH(B1781,'CARNET DE SOUDURE'!$O$7:$O$3006,0)),""))</f>
        <v/>
      </c>
      <c r="K1781" s="82" t="str">
        <f aca="false">IF(B1781="","",IFERROR(INDEX('CARNET DE SOUDURE'!$E$7:$E$3006,MATCH(B1781,'CARNET DE SOUDURE'!$L$7:$L$3006,0)),""))</f>
        <v/>
      </c>
      <c r="L1781" s="82" t="str">
        <f aca="false">IF(B1781="","",IFERROR(INDEX('CARNET DE SOUDURE'!$D$7:$D$3006,MATCH(B1781,'CARNET DE SOUDURE'!$L$7:$L$3006,0)),IFERROR(INDEX('CARNET DE SOUDURE'!$D$7:$D$3006,MATCH(B1781,'CARNET DE SOUDURE'!$O$7:$O$3006,0)),"")))</f>
        <v/>
      </c>
      <c r="M1781" s="82" t="str">
        <f aca="false">IF(B1781="","",IF(OR(J1781&lt;&gt;"",K1781&lt;&gt;""),"POSÉ EN LIGNE",IF(COUNTIF(BARDAGE!$C$1:$C$5000,B1781)&gt;0,"BARDÉ","EN STOCK")))</f>
        <v/>
      </c>
      <c r="N1781" s="80"/>
    </row>
    <row r="1782" customFormat="false" ht="15" hidden="false" customHeight="false" outlineLevel="0" collapsed="false">
      <c r="A1782" s="82" t="str">
        <f aca="false">IF(B1782="","",ROW()-6)</f>
        <v/>
      </c>
      <c r="B1782" s="145"/>
      <c r="C1782" s="146"/>
      <c r="D1782" s="146"/>
      <c r="E1782" s="82" t="str">
        <f aca="false">IF(B1782="","",IF(COUNTIFS('CARNET DE SOUDURE'!$L$7:$L$3006,B1782,'CARNET DE SOUDURE'!$M$7:$M$3006,"&lt;&gt;"&amp;C1782,'CARNET DE SOUDURE'!$M$7:$M$3006,"&lt;&gt;")+COUNTIFS('CARNET DE SOUDURE'!$O$7:$O$3006,B1782,'CARNET DE SOUDURE'!$P$7:$P$3006,"&lt;&gt;"&amp;C1782,'CARNET DE SOUDURE'!$P$7:$P$3006,"&lt;&gt;")&gt;0,"⚠ DIFFÉRENTE","OK"))</f>
        <v/>
      </c>
      <c r="F1782" s="147"/>
      <c r="G1782" s="80"/>
      <c r="H1782" s="83"/>
      <c r="I1782" s="148" t="str">
        <f aca="false">IF(B1782="","",IFERROR(INDEX('CARNET DE SOUDURE'!$B$7:$B$3006,MATCH(B1782,'CARNET DE SOUDURE'!$L$7:$L$3006,0)),IFERROR(INDEX('CARNET DE SOUDURE'!$B$7:$B$3006,MATCH(B1782,'CARNET DE SOUDURE'!$O$7:$O$3006,0)),"")))</f>
        <v/>
      </c>
      <c r="J1782" s="82" t="str">
        <f aca="false">IF(B1782="","",IFERROR(INDEX('CARNET DE SOUDURE'!$E$7:$E$3006,MATCH(B1782,'CARNET DE SOUDURE'!$O$7:$O$3006,0)),""))</f>
        <v/>
      </c>
      <c r="K1782" s="82" t="str">
        <f aca="false">IF(B1782="","",IFERROR(INDEX('CARNET DE SOUDURE'!$E$7:$E$3006,MATCH(B1782,'CARNET DE SOUDURE'!$L$7:$L$3006,0)),""))</f>
        <v/>
      </c>
      <c r="L1782" s="82" t="str">
        <f aca="false">IF(B1782="","",IFERROR(INDEX('CARNET DE SOUDURE'!$D$7:$D$3006,MATCH(B1782,'CARNET DE SOUDURE'!$L$7:$L$3006,0)),IFERROR(INDEX('CARNET DE SOUDURE'!$D$7:$D$3006,MATCH(B1782,'CARNET DE SOUDURE'!$O$7:$O$3006,0)),"")))</f>
        <v/>
      </c>
      <c r="M1782" s="82" t="str">
        <f aca="false">IF(B1782="","",IF(OR(J1782&lt;&gt;"",K1782&lt;&gt;""),"POSÉ EN LIGNE",IF(COUNTIF(BARDAGE!$C$1:$C$5000,B1782)&gt;0,"BARDÉ","EN STOCK")))</f>
        <v/>
      </c>
      <c r="N1782" s="80"/>
    </row>
    <row r="1783" customFormat="false" ht="15" hidden="false" customHeight="false" outlineLevel="0" collapsed="false">
      <c r="A1783" s="82" t="str">
        <f aca="false">IF(B1783="","",ROW()-6)</f>
        <v/>
      </c>
      <c r="B1783" s="145"/>
      <c r="C1783" s="146"/>
      <c r="D1783" s="146"/>
      <c r="E1783" s="82" t="str">
        <f aca="false">IF(B1783="","",IF(COUNTIFS('CARNET DE SOUDURE'!$L$7:$L$3006,B1783,'CARNET DE SOUDURE'!$M$7:$M$3006,"&lt;&gt;"&amp;C1783,'CARNET DE SOUDURE'!$M$7:$M$3006,"&lt;&gt;")+COUNTIFS('CARNET DE SOUDURE'!$O$7:$O$3006,B1783,'CARNET DE SOUDURE'!$P$7:$P$3006,"&lt;&gt;"&amp;C1783,'CARNET DE SOUDURE'!$P$7:$P$3006,"&lt;&gt;")&gt;0,"⚠ DIFFÉRENTE","OK"))</f>
        <v/>
      </c>
      <c r="F1783" s="147"/>
      <c r="G1783" s="80"/>
      <c r="H1783" s="83"/>
      <c r="I1783" s="148" t="str">
        <f aca="false">IF(B1783="","",IFERROR(INDEX('CARNET DE SOUDURE'!$B$7:$B$3006,MATCH(B1783,'CARNET DE SOUDURE'!$L$7:$L$3006,0)),IFERROR(INDEX('CARNET DE SOUDURE'!$B$7:$B$3006,MATCH(B1783,'CARNET DE SOUDURE'!$O$7:$O$3006,0)),"")))</f>
        <v/>
      </c>
      <c r="J1783" s="82" t="str">
        <f aca="false">IF(B1783="","",IFERROR(INDEX('CARNET DE SOUDURE'!$E$7:$E$3006,MATCH(B1783,'CARNET DE SOUDURE'!$O$7:$O$3006,0)),""))</f>
        <v/>
      </c>
      <c r="K1783" s="82" t="str">
        <f aca="false">IF(B1783="","",IFERROR(INDEX('CARNET DE SOUDURE'!$E$7:$E$3006,MATCH(B1783,'CARNET DE SOUDURE'!$L$7:$L$3006,0)),""))</f>
        <v/>
      </c>
      <c r="L1783" s="82" t="str">
        <f aca="false">IF(B1783="","",IFERROR(INDEX('CARNET DE SOUDURE'!$D$7:$D$3006,MATCH(B1783,'CARNET DE SOUDURE'!$L$7:$L$3006,0)),IFERROR(INDEX('CARNET DE SOUDURE'!$D$7:$D$3006,MATCH(B1783,'CARNET DE SOUDURE'!$O$7:$O$3006,0)),"")))</f>
        <v/>
      </c>
      <c r="M1783" s="82" t="str">
        <f aca="false">IF(B1783="","",IF(OR(J1783&lt;&gt;"",K1783&lt;&gt;""),"POSÉ EN LIGNE",IF(COUNTIF(BARDAGE!$C$1:$C$5000,B1783)&gt;0,"BARDÉ","EN STOCK")))</f>
        <v/>
      </c>
      <c r="N1783" s="80"/>
    </row>
    <row r="1784" customFormat="false" ht="15" hidden="false" customHeight="false" outlineLevel="0" collapsed="false">
      <c r="A1784" s="82" t="str">
        <f aca="false">IF(B1784="","",ROW()-6)</f>
        <v/>
      </c>
      <c r="B1784" s="145"/>
      <c r="C1784" s="146"/>
      <c r="D1784" s="146"/>
      <c r="E1784" s="82" t="str">
        <f aca="false">IF(B1784="","",IF(COUNTIFS('CARNET DE SOUDURE'!$L$7:$L$3006,B1784,'CARNET DE SOUDURE'!$M$7:$M$3006,"&lt;&gt;"&amp;C1784,'CARNET DE SOUDURE'!$M$7:$M$3006,"&lt;&gt;")+COUNTIFS('CARNET DE SOUDURE'!$O$7:$O$3006,B1784,'CARNET DE SOUDURE'!$P$7:$P$3006,"&lt;&gt;"&amp;C1784,'CARNET DE SOUDURE'!$P$7:$P$3006,"&lt;&gt;")&gt;0,"⚠ DIFFÉRENTE","OK"))</f>
        <v/>
      </c>
      <c r="F1784" s="147"/>
      <c r="G1784" s="80"/>
      <c r="H1784" s="83"/>
      <c r="I1784" s="148" t="str">
        <f aca="false">IF(B1784="","",IFERROR(INDEX('CARNET DE SOUDURE'!$B$7:$B$3006,MATCH(B1784,'CARNET DE SOUDURE'!$L$7:$L$3006,0)),IFERROR(INDEX('CARNET DE SOUDURE'!$B$7:$B$3006,MATCH(B1784,'CARNET DE SOUDURE'!$O$7:$O$3006,0)),"")))</f>
        <v/>
      </c>
      <c r="J1784" s="82" t="str">
        <f aca="false">IF(B1784="","",IFERROR(INDEX('CARNET DE SOUDURE'!$E$7:$E$3006,MATCH(B1784,'CARNET DE SOUDURE'!$O$7:$O$3006,0)),""))</f>
        <v/>
      </c>
      <c r="K1784" s="82" t="str">
        <f aca="false">IF(B1784="","",IFERROR(INDEX('CARNET DE SOUDURE'!$E$7:$E$3006,MATCH(B1784,'CARNET DE SOUDURE'!$L$7:$L$3006,0)),""))</f>
        <v/>
      </c>
      <c r="L1784" s="82" t="str">
        <f aca="false">IF(B1784="","",IFERROR(INDEX('CARNET DE SOUDURE'!$D$7:$D$3006,MATCH(B1784,'CARNET DE SOUDURE'!$L$7:$L$3006,0)),IFERROR(INDEX('CARNET DE SOUDURE'!$D$7:$D$3006,MATCH(B1784,'CARNET DE SOUDURE'!$O$7:$O$3006,0)),"")))</f>
        <v/>
      </c>
      <c r="M1784" s="82" t="str">
        <f aca="false">IF(B1784="","",IF(OR(J1784&lt;&gt;"",K1784&lt;&gt;""),"POSÉ EN LIGNE",IF(COUNTIF(BARDAGE!$C$1:$C$5000,B1784)&gt;0,"BARDÉ","EN STOCK")))</f>
        <v/>
      </c>
      <c r="N1784" s="80"/>
    </row>
    <row r="1785" customFormat="false" ht="15" hidden="false" customHeight="false" outlineLevel="0" collapsed="false">
      <c r="A1785" s="82" t="str">
        <f aca="false">IF(B1785="","",ROW()-6)</f>
        <v/>
      </c>
      <c r="B1785" s="145"/>
      <c r="C1785" s="146"/>
      <c r="D1785" s="146"/>
      <c r="E1785" s="82" t="str">
        <f aca="false">IF(B1785="","",IF(COUNTIFS('CARNET DE SOUDURE'!$L$7:$L$3006,B1785,'CARNET DE SOUDURE'!$M$7:$M$3006,"&lt;&gt;"&amp;C1785,'CARNET DE SOUDURE'!$M$7:$M$3006,"&lt;&gt;")+COUNTIFS('CARNET DE SOUDURE'!$O$7:$O$3006,B1785,'CARNET DE SOUDURE'!$P$7:$P$3006,"&lt;&gt;"&amp;C1785,'CARNET DE SOUDURE'!$P$7:$P$3006,"&lt;&gt;")&gt;0,"⚠ DIFFÉRENTE","OK"))</f>
        <v/>
      </c>
      <c r="F1785" s="147"/>
      <c r="G1785" s="80"/>
      <c r="H1785" s="83"/>
      <c r="I1785" s="148" t="str">
        <f aca="false">IF(B1785="","",IFERROR(INDEX('CARNET DE SOUDURE'!$B$7:$B$3006,MATCH(B1785,'CARNET DE SOUDURE'!$L$7:$L$3006,0)),IFERROR(INDEX('CARNET DE SOUDURE'!$B$7:$B$3006,MATCH(B1785,'CARNET DE SOUDURE'!$O$7:$O$3006,0)),"")))</f>
        <v/>
      </c>
      <c r="J1785" s="82" t="str">
        <f aca="false">IF(B1785="","",IFERROR(INDEX('CARNET DE SOUDURE'!$E$7:$E$3006,MATCH(B1785,'CARNET DE SOUDURE'!$O$7:$O$3006,0)),""))</f>
        <v/>
      </c>
      <c r="K1785" s="82" t="str">
        <f aca="false">IF(B1785="","",IFERROR(INDEX('CARNET DE SOUDURE'!$E$7:$E$3006,MATCH(B1785,'CARNET DE SOUDURE'!$L$7:$L$3006,0)),""))</f>
        <v/>
      </c>
      <c r="L1785" s="82" t="str">
        <f aca="false">IF(B1785="","",IFERROR(INDEX('CARNET DE SOUDURE'!$D$7:$D$3006,MATCH(B1785,'CARNET DE SOUDURE'!$L$7:$L$3006,0)),IFERROR(INDEX('CARNET DE SOUDURE'!$D$7:$D$3006,MATCH(B1785,'CARNET DE SOUDURE'!$O$7:$O$3006,0)),"")))</f>
        <v/>
      </c>
      <c r="M1785" s="82" t="str">
        <f aca="false">IF(B1785="","",IF(OR(J1785&lt;&gt;"",K1785&lt;&gt;""),"POSÉ EN LIGNE",IF(COUNTIF(BARDAGE!$C$1:$C$5000,B1785)&gt;0,"BARDÉ","EN STOCK")))</f>
        <v/>
      </c>
      <c r="N1785" s="80"/>
    </row>
    <row r="1786" customFormat="false" ht="15" hidden="false" customHeight="false" outlineLevel="0" collapsed="false">
      <c r="A1786" s="82" t="str">
        <f aca="false">IF(B1786="","",ROW()-6)</f>
        <v/>
      </c>
      <c r="B1786" s="145"/>
      <c r="C1786" s="146"/>
      <c r="D1786" s="146"/>
      <c r="E1786" s="82" t="str">
        <f aca="false">IF(B1786="","",IF(COUNTIFS('CARNET DE SOUDURE'!$L$7:$L$3006,B1786,'CARNET DE SOUDURE'!$M$7:$M$3006,"&lt;&gt;"&amp;C1786,'CARNET DE SOUDURE'!$M$7:$M$3006,"&lt;&gt;")+COUNTIFS('CARNET DE SOUDURE'!$O$7:$O$3006,B1786,'CARNET DE SOUDURE'!$P$7:$P$3006,"&lt;&gt;"&amp;C1786,'CARNET DE SOUDURE'!$P$7:$P$3006,"&lt;&gt;")&gt;0,"⚠ DIFFÉRENTE","OK"))</f>
        <v/>
      </c>
      <c r="F1786" s="147"/>
      <c r="G1786" s="80"/>
      <c r="H1786" s="83"/>
      <c r="I1786" s="148" t="str">
        <f aca="false">IF(B1786="","",IFERROR(INDEX('CARNET DE SOUDURE'!$B$7:$B$3006,MATCH(B1786,'CARNET DE SOUDURE'!$L$7:$L$3006,0)),IFERROR(INDEX('CARNET DE SOUDURE'!$B$7:$B$3006,MATCH(B1786,'CARNET DE SOUDURE'!$O$7:$O$3006,0)),"")))</f>
        <v/>
      </c>
      <c r="J1786" s="82" t="str">
        <f aca="false">IF(B1786="","",IFERROR(INDEX('CARNET DE SOUDURE'!$E$7:$E$3006,MATCH(B1786,'CARNET DE SOUDURE'!$O$7:$O$3006,0)),""))</f>
        <v/>
      </c>
      <c r="K1786" s="82" t="str">
        <f aca="false">IF(B1786="","",IFERROR(INDEX('CARNET DE SOUDURE'!$E$7:$E$3006,MATCH(B1786,'CARNET DE SOUDURE'!$L$7:$L$3006,0)),""))</f>
        <v/>
      </c>
      <c r="L1786" s="82" t="str">
        <f aca="false">IF(B1786="","",IFERROR(INDEX('CARNET DE SOUDURE'!$D$7:$D$3006,MATCH(B1786,'CARNET DE SOUDURE'!$L$7:$L$3006,0)),IFERROR(INDEX('CARNET DE SOUDURE'!$D$7:$D$3006,MATCH(B1786,'CARNET DE SOUDURE'!$O$7:$O$3006,0)),"")))</f>
        <v/>
      </c>
      <c r="M1786" s="82" t="str">
        <f aca="false">IF(B1786="","",IF(OR(J1786&lt;&gt;"",K1786&lt;&gt;""),"POSÉ EN LIGNE",IF(COUNTIF(BARDAGE!$C$1:$C$5000,B1786)&gt;0,"BARDÉ","EN STOCK")))</f>
        <v/>
      </c>
      <c r="N1786" s="80"/>
    </row>
    <row r="1787" customFormat="false" ht="15" hidden="false" customHeight="false" outlineLevel="0" collapsed="false">
      <c r="A1787" s="82" t="str">
        <f aca="false">IF(B1787="","",ROW()-6)</f>
        <v/>
      </c>
      <c r="B1787" s="145"/>
      <c r="C1787" s="146"/>
      <c r="D1787" s="146"/>
      <c r="E1787" s="82" t="str">
        <f aca="false">IF(B1787="","",IF(COUNTIFS('CARNET DE SOUDURE'!$L$7:$L$3006,B1787,'CARNET DE SOUDURE'!$M$7:$M$3006,"&lt;&gt;"&amp;C1787,'CARNET DE SOUDURE'!$M$7:$M$3006,"&lt;&gt;")+COUNTIFS('CARNET DE SOUDURE'!$O$7:$O$3006,B1787,'CARNET DE SOUDURE'!$P$7:$P$3006,"&lt;&gt;"&amp;C1787,'CARNET DE SOUDURE'!$P$7:$P$3006,"&lt;&gt;")&gt;0,"⚠ DIFFÉRENTE","OK"))</f>
        <v/>
      </c>
      <c r="F1787" s="147"/>
      <c r="G1787" s="80"/>
      <c r="H1787" s="83"/>
      <c r="I1787" s="148" t="str">
        <f aca="false">IF(B1787="","",IFERROR(INDEX('CARNET DE SOUDURE'!$B$7:$B$3006,MATCH(B1787,'CARNET DE SOUDURE'!$L$7:$L$3006,0)),IFERROR(INDEX('CARNET DE SOUDURE'!$B$7:$B$3006,MATCH(B1787,'CARNET DE SOUDURE'!$O$7:$O$3006,0)),"")))</f>
        <v/>
      </c>
      <c r="J1787" s="82" t="str">
        <f aca="false">IF(B1787="","",IFERROR(INDEX('CARNET DE SOUDURE'!$E$7:$E$3006,MATCH(B1787,'CARNET DE SOUDURE'!$O$7:$O$3006,0)),""))</f>
        <v/>
      </c>
      <c r="K1787" s="82" t="str">
        <f aca="false">IF(B1787="","",IFERROR(INDEX('CARNET DE SOUDURE'!$E$7:$E$3006,MATCH(B1787,'CARNET DE SOUDURE'!$L$7:$L$3006,0)),""))</f>
        <v/>
      </c>
      <c r="L1787" s="82" t="str">
        <f aca="false">IF(B1787="","",IFERROR(INDEX('CARNET DE SOUDURE'!$D$7:$D$3006,MATCH(B1787,'CARNET DE SOUDURE'!$L$7:$L$3006,0)),IFERROR(INDEX('CARNET DE SOUDURE'!$D$7:$D$3006,MATCH(B1787,'CARNET DE SOUDURE'!$O$7:$O$3006,0)),"")))</f>
        <v/>
      </c>
      <c r="M1787" s="82" t="str">
        <f aca="false">IF(B1787="","",IF(OR(J1787&lt;&gt;"",K1787&lt;&gt;""),"POSÉ EN LIGNE",IF(COUNTIF(BARDAGE!$C$1:$C$5000,B1787)&gt;0,"BARDÉ","EN STOCK")))</f>
        <v/>
      </c>
      <c r="N1787" s="80"/>
    </row>
    <row r="1788" customFormat="false" ht="15" hidden="false" customHeight="false" outlineLevel="0" collapsed="false">
      <c r="A1788" s="82" t="str">
        <f aca="false">IF(B1788="","",ROW()-6)</f>
        <v/>
      </c>
      <c r="B1788" s="145"/>
      <c r="C1788" s="146"/>
      <c r="D1788" s="146"/>
      <c r="E1788" s="82" t="str">
        <f aca="false">IF(B1788="","",IF(COUNTIFS('CARNET DE SOUDURE'!$L$7:$L$3006,B1788,'CARNET DE SOUDURE'!$M$7:$M$3006,"&lt;&gt;"&amp;C1788,'CARNET DE SOUDURE'!$M$7:$M$3006,"&lt;&gt;")+COUNTIFS('CARNET DE SOUDURE'!$O$7:$O$3006,B1788,'CARNET DE SOUDURE'!$P$7:$P$3006,"&lt;&gt;"&amp;C1788,'CARNET DE SOUDURE'!$P$7:$P$3006,"&lt;&gt;")&gt;0,"⚠ DIFFÉRENTE","OK"))</f>
        <v/>
      </c>
      <c r="F1788" s="147"/>
      <c r="G1788" s="80"/>
      <c r="H1788" s="83"/>
      <c r="I1788" s="148" t="str">
        <f aca="false">IF(B1788="","",IFERROR(INDEX('CARNET DE SOUDURE'!$B$7:$B$3006,MATCH(B1788,'CARNET DE SOUDURE'!$L$7:$L$3006,0)),IFERROR(INDEX('CARNET DE SOUDURE'!$B$7:$B$3006,MATCH(B1788,'CARNET DE SOUDURE'!$O$7:$O$3006,0)),"")))</f>
        <v/>
      </c>
      <c r="J1788" s="82" t="str">
        <f aca="false">IF(B1788="","",IFERROR(INDEX('CARNET DE SOUDURE'!$E$7:$E$3006,MATCH(B1788,'CARNET DE SOUDURE'!$O$7:$O$3006,0)),""))</f>
        <v/>
      </c>
      <c r="K1788" s="82" t="str">
        <f aca="false">IF(B1788="","",IFERROR(INDEX('CARNET DE SOUDURE'!$E$7:$E$3006,MATCH(B1788,'CARNET DE SOUDURE'!$L$7:$L$3006,0)),""))</f>
        <v/>
      </c>
      <c r="L1788" s="82" t="str">
        <f aca="false">IF(B1788="","",IFERROR(INDEX('CARNET DE SOUDURE'!$D$7:$D$3006,MATCH(B1788,'CARNET DE SOUDURE'!$L$7:$L$3006,0)),IFERROR(INDEX('CARNET DE SOUDURE'!$D$7:$D$3006,MATCH(B1788,'CARNET DE SOUDURE'!$O$7:$O$3006,0)),"")))</f>
        <v/>
      </c>
      <c r="M1788" s="82" t="str">
        <f aca="false">IF(B1788="","",IF(OR(J1788&lt;&gt;"",K1788&lt;&gt;""),"POSÉ EN LIGNE",IF(COUNTIF(BARDAGE!$C$1:$C$5000,B1788)&gt;0,"BARDÉ","EN STOCK")))</f>
        <v/>
      </c>
      <c r="N1788" s="80"/>
    </row>
    <row r="1789" customFormat="false" ht="15" hidden="false" customHeight="false" outlineLevel="0" collapsed="false">
      <c r="A1789" s="82" t="str">
        <f aca="false">IF(B1789="","",ROW()-6)</f>
        <v/>
      </c>
      <c r="B1789" s="145"/>
      <c r="C1789" s="146"/>
      <c r="D1789" s="146"/>
      <c r="E1789" s="82" t="str">
        <f aca="false">IF(B1789="","",IF(COUNTIFS('CARNET DE SOUDURE'!$L$7:$L$3006,B1789,'CARNET DE SOUDURE'!$M$7:$M$3006,"&lt;&gt;"&amp;C1789,'CARNET DE SOUDURE'!$M$7:$M$3006,"&lt;&gt;")+COUNTIFS('CARNET DE SOUDURE'!$O$7:$O$3006,B1789,'CARNET DE SOUDURE'!$P$7:$P$3006,"&lt;&gt;"&amp;C1789,'CARNET DE SOUDURE'!$P$7:$P$3006,"&lt;&gt;")&gt;0,"⚠ DIFFÉRENTE","OK"))</f>
        <v/>
      </c>
      <c r="F1789" s="147"/>
      <c r="G1789" s="80"/>
      <c r="H1789" s="83"/>
      <c r="I1789" s="148" t="str">
        <f aca="false">IF(B1789="","",IFERROR(INDEX('CARNET DE SOUDURE'!$B$7:$B$3006,MATCH(B1789,'CARNET DE SOUDURE'!$L$7:$L$3006,0)),IFERROR(INDEX('CARNET DE SOUDURE'!$B$7:$B$3006,MATCH(B1789,'CARNET DE SOUDURE'!$O$7:$O$3006,0)),"")))</f>
        <v/>
      </c>
      <c r="J1789" s="82" t="str">
        <f aca="false">IF(B1789="","",IFERROR(INDEX('CARNET DE SOUDURE'!$E$7:$E$3006,MATCH(B1789,'CARNET DE SOUDURE'!$O$7:$O$3006,0)),""))</f>
        <v/>
      </c>
      <c r="K1789" s="82" t="str">
        <f aca="false">IF(B1789="","",IFERROR(INDEX('CARNET DE SOUDURE'!$E$7:$E$3006,MATCH(B1789,'CARNET DE SOUDURE'!$L$7:$L$3006,0)),""))</f>
        <v/>
      </c>
      <c r="L1789" s="82" t="str">
        <f aca="false">IF(B1789="","",IFERROR(INDEX('CARNET DE SOUDURE'!$D$7:$D$3006,MATCH(B1789,'CARNET DE SOUDURE'!$L$7:$L$3006,0)),IFERROR(INDEX('CARNET DE SOUDURE'!$D$7:$D$3006,MATCH(B1789,'CARNET DE SOUDURE'!$O$7:$O$3006,0)),"")))</f>
        <v/>
      </c>
      <c r="M1789" s="82" t="str">
        <f aca="false">IF(B1789="","",IF(OR(J1789&lt;&gt;"",K1789&lt;&gt;""),"POSÉ EN LIGNE",IF(COUNTIF(BARDAGE!$C$1:$C$5000,B1789)&gt;0,"BARDÉ","EN STOCK")))</f>
        <v/>
      </c>
      <c r="N1789" s="80"/>
    </row>
    <row r="1790" customFormat="false" ht="15" hidden="false" customHeight="false" outlineLevel="0" collapsed="false">
      <c r="A1790" s="82" t="str">
        <f aca="false">IF(B1790="","",ROW()-6)</f>
        <v/>
      </c>
      <c r="B1790" s="145"/>
      <c r="C1790" s="146"/>
      <c r="D1790" s="146"/>
      <c r="E1790" s="82" t="str">
        <f aca="false">IF(B1790="","",IF(COUNTIFS('CARNET DE SOUDURE'!$L$7:$L$3006,B1790,'CARNET DE SOUDURE'!$M$7:$M$3006,"&lt;&gt;"&amp;C1790,'CARNET DE SOUDURE'!$M$7:$M$3006,"&lt;&gt;")+COUNTIFS('CARNET DE SOUDURE'!$O$7:$O$3006,B1790,'CARNET DE SOUDURE'!$P$7:$P$3006,"&lt;&gt;"&amp;C1790,'CARNET DE SOUDURE'!$P$7:$P$3006,"&lt;&gt;")&gt;0,"⚠ DIFFÉRENTE","OK"))</f>
        <v/>
      </c>
      <c r="F1790" s="147"/>
      <c r="G1790" s="80"/>
      <c r="H1790" s="83"/>
      <c r="I1790" s="148" t="str">
        <f aca="false">IF(B1790="","",IFERROR(INDEX('CARNET DE SOUDURE'!$B$7:$B$3006,MATCH(B1790,'CARNET DE SOUDURE'!$L$7:$L$3006,0)),IFERROR(INDEX('CARNET DE SOUDURE'!$B$7:$B$3006,MATCH(B1790,'CARNET DE SOUDURE'!$O$7:$O$3006,0)),"")))</f>
        <v/>
      </c>
      <c r="J1790" s="82" t="str">
        <f aca="false">IF(B1790="","",IFERROR(INDEX('CARNET DE SOUDURE'!$E$7:$E$3006,MATCH(B1790,'CARNET DE SOUDURE'!$O$7:$O$3006,0)),""))</f>
        <v/>
      </c>
      <c r="K1790" s="82" t="str">
        <f aca="false">IF(B1790="","",IFERROR(INDEX('CARNET DE SOUDURE'!$E$7:$E$3006,MATCH(B1790,'CARNET DE SOUDURE'!$L$7:$L$3006,0)),""))</f>
        <v/>
      </c>
      <c r="L1790" s="82" t="str">
        <f aca="false">IF(B1790="","",IFERROR(INDEX('CARNET DE SOUDURE'!$D$7:$D$3006,MATCH(B1790,'CARNET DE SOUDURE'!$L$7:$L$3006,0)),IFERROR(INDEX('CARNET DE SOUDURE'!$D$7:$D$3006,MATCH(B1790,'CARNET DE SOUDURE'!$O$7:$O$3006,0)),"")))</f>
        <v/>
      </c>
      <c r="M1790" s="82" t="str">
        <f aca="false">IF(B1790="","",IF(OR(J1790&lt;&gt;"",K1790&lt;&gt;""),"POSÉ EN LIGNE",IF(COUNTIF(BARDAGE!$C$1:$C$5000,B1790)&gt;0,"BARDÉ","EN STOCK")))</f>
        <v/>
      </c>
      <c r="N1790" s="80"/>
    </row>
    <row r="1791" customFormat="false" ht="15" hidden="false" customHeight="false" outlineLevel="0" collapsed="false">
      <c r="A1791" s="82" t="str">
        <f aca="false">IF(B1791="","",ROW()-6)</f>
        <v/>
      </c>
      <c r="B1791" s="145"/>
      <c r="C1791" s="146"/>
      <c r="D1791" s="146"/>
      <c r="E1791" s="82" t="str">
        <f aca="false">IF(B1791="","",IF(COUNTIFS('CARNET DE SOUDURE'!$L$7:$L$3006,B1791,'CARNET DE SOUDURE'!$M$7:$M$3006,"&lt;&gt;"&amp;C1791,'CARNET DE SOUDURE'!$M$7:$M$3006,"&lt;&gt;")+COUNTIFS('CARNET DE SOUDURE'!$O$7:$O$3006,B1791,'CARNET DE SOUDURE'!$P$7:$P$3006,"&lt;&gt;"&amp;C1791,'CARNET DE SOUDURE'!$P$7:$P$3006,"&lt;&gt;")&gt;0,"⚠ DIFFÉRENTE","OK"))</f>
        <v/>
      </c>
      <c r="F1791" s="147"/>
      <c r="G1791" s="80"/>
      <c r="H1791" s="83"/>
      <c r="I1791" s="148" t="str">
        <f aca="false">IF(B1791="","",IFERROR(INDEX('CARNET DE SOUDURE'!$B$7:$B$3006,MATCH(B1791,'CARNET DE SOUDURE'!$L$7:$L$3006,0)),IFERROR(INDEX('CARNET DE SOUDURE'!$B$7:$B$3006,MATCH(B1791,'CARNET DE SOUDURE'!$O$7:$O$3006,0)),"")))</f>
        <v/>
      </c>
      <c r="J1791" s="82" t="str">
        <f aca="false">IF(B1791="","",IFERROR(INDEX('CARNET DE SOUDURE'!$E$7:$E$3006,MATCH(B1791,'CARNET DE SOUDURE'!$O$7:$O$3006,0)),""))</f>
        <v/>
      </c>
      <c r="K1791" s="82" t="str">
        <f aca="false">IF(B1791="","",IFERROR(INDEX('CARNET DE SOUDURE'!$E$7:$E$3006,MATCH(B1791,'CARNET DE SOUDURE'!$L$7:$L$3006,0)),""))</f>
        <v/>
      </c>
      <c r="L1791" s="82" t="str">
        <f aca="false">IF(B1791="","",IFERROR(INDEX('CARNET DE SOUDURE'!$D$7:$D$3006,MATCH(B1791,'CARNET DE SOUDURE'!$L$7:$L$3006,0)),IFERROR(INDEX('CARNET DE SOUDURE'!$D$7:$D$3006,MATCH(B1791,'CARNET DE SOUDURE'!$O$7:$O$3006,0)),"")))</f>
        <v/>
      </c>
      <c r="M1791" s="82" t="str">
        <f aca="false">IF(B1791="","",IF(OR(J1791&lt;&gt;"",K1791&lt;&gt;""),"POSÉ EN LIGNE",IF(COUNTIF(BARDAGE!$C$1:$C$5000,B1791)&gt;0,"BARDÉ","EN STOCK")))</f>
        <v/>
      </c>
      <c r="N1791" s="80"/>
    </row>
    <row r="1792" customFormat="false" ht="15" hidden="false" customHeight="false" outlineLevel="0" collapsed="false">
      <c r="A1792" s="82" t="str">
        <f aca="false">IF(B1792="","",ROW()-6)</f>
        <v/>
      </c>
      <c r="B1792" s="145"/>
      <c r="C1792" s="146"/>
      <c r="D1792" s="146"/>
      <c r="E1792" s="82" t="str">
        <f aca="false">IF(B1792="","",IF(COUNTIFS('CARNET DE SOUDURE'!$L$7:$L$3006,B1792,'CARNET DE SOUDURE'!$M$7:$M$3006,"&lt;&gt;"&amp;C1792,'CARNET DE SOUDURE'!$M$7:$M$3006,"&lt;&gt;")+COUNTIFS('CARNET DE SOUDURE'!$O$7:$O$3006,B1792,'CARNET DE SOUDURE'!$P$7:$P$3006,"&lt;&gt;"&amp;C1792,'CARNET DE SOUDURE'!$P$7:$P$3006,"&lt;&gt;")&gt;0,"⚠ DIFFÉRENTE","OK"))</f>
        <v/>
      </c>
      <c r="F1792" s="147"/>
      <c r="G1792" s="80"/>
      <c r="H1792" s="83"/>
      <c r="I1792" s="148" t="str">
        <f aca="false">IF(B1792="","",IFERROR(INDEX('CARNET DE SOUDURE'!$B$7:$B$3006,MATCH(B1792,'CARNET DE SOUDURE'!$L$7:$L$3006,0)),IFERROR(INDEX('CARNET DE SOUDURE'!$B$7:$B$3006,MATCH(B1792,'CARNET DE SOUDURE'!$O$7:$O$3006,0)),"")))</f>
        <v/>
      </c>
      <c r="J1792" s="82" t="str">
        <f aca="false">IF(B1792="","",IFERROR(INDEX('CARNET DE SOUDURE'!$E$7:$E$3006,MATCH(B1792,'CARNET DE SOUDURE'!$O$7:$O$3006,0)),""))</f>
        <v/>
      </c>
      <c r="K1792" s="82" t="str">
        <f aca="false">IF(B1792="","",IFERROR(INDEX('CARNET DE SOUDURE'!$E$7:$E$3006,MATCH(B1792,'CARNET DE SOUDURE'!$L$7:$L$3006,0)),""))</f>
        <v/>
      </c>
      <c r="L1792" s="82" t="str">
        <f aca="false">IF(B1792="","",IFERROR(INDEX('CARNET DE SOUDURE'!$D$7:$D$3006,MATCH(B1792,'CARNET DE SOUDURE'!$L$7:$L$3006,0)),IFERROR(INDEX('CARNET DE SOUDURE'!$D$7:$D$3006,MATCH(B1792,'CARNET DE SOUDURE'!$O$7:$O$3006,0)),"")))</f>
        <v/>
      </c>
      <c r="M1792" s="82" t="str">
        <f aca="false">IF(B1792="","",IF(OR(J1792&lt;&gt;"",K1792&lt;&gt;""),"POSÉ EN LIGNE",IF(COUNTIF(BARDAGE!$C$1:$C$5000,B1792)&gt;0,"BARDÉ","EN STOCK")))</f>
        <v/>
      </c>
      <c r="N1792" s="80"/>
    </row>
    <row r="1793" customFormat="false" ht="15" hidden="false" customHeight="false" outlineLevel="0" collapsed="false">
      <c r="A1793" s="82" t="str">
        <f aca="false">IF(B1793="","",ROW()-6)</f>
        <v/>
      </c>
      <c r="B1793" s="145"/>
      <c r="C1793" s="146"/>
      <c r="D1793" s="146"/>
      <c r="E1793" s="82" t="str">
        <f aca="false">IF(B1793="","",IF(COUNTIFS('CARNET DE SOUDURE'!$L$7:$L$3006,B1793,'CARNET DE SOUDURE'!$M$7:$M$3006,"&lt;&gt;"&amp;C1793,'CARNET DE SOUDURE'!$M$7:$M$3006,"&lt;&gt;")+COUNTIFS('CARNET DE SOUDURE'!$O$7:$O$3006,B1793,'CARNET DE SOUDURE'!$P$7:$P$3006,"&lt;&gt;"&amp;C1793,'CARNET DE SOUDURE'!$P$7:$P$3006,"&lt;&gt;")&gt;0,"⚠ DIFFÉRENTE","OK"))</f>
        <v/>
      </c>
      <c r="F1793" s="147"/>
      <c r="G1793" s="80"/>
      <c r="H1793" s="83"/>
      <c r="I1793" s="148" t="str">
        <f aca="false">IF(B1793="","",IFERROR(INDEX('CARNET DE SOUDURE'!$B$7:$B$3006,MATCH(B1793,'CARNET DE SOUDURE'!$L$7:$L$3006,0)),IFERROR(INDEX('CARNET DE SOUDURE'!$B$7:$B$3006,MATCH(B1793,'CARNET DE SOUDURE'!$O$7:$O$3006,0)),"")))</f>
        <v/>
      </c>
      <c r="J1793" s="82" t="str">
        <f aca="false">IF(B1793="","",IFERROR(INDEX('CARNET DE SOUDURE'!$E$7:$E$3006,MATCH(B1793,'CARNET DE SOUDURE'!$O$7:$O$3006,0)),""))</f>
        <v/>
      </c>
      <c r="K1793" s="82" t="str">
        <f aca="false">IF(B1793="","",IFERROR(INDEX('CARNET DE SOUDURE'!$E$7:$E$3006,MATCH(B1793,'CARNET DE SOUDURE'!$L$7:$L$3006,0)),""))</f>
        <v/>
      </c>
      <c r="L1793" s="82" t="str">
        <f aca="false">IF(B1793="","",IFERROR(INDEX('CARNET DE SOUDURE'!$D$7:$D$3006,MATCH(B1793,'CARNET DE SOUDURE'!$L$7:$L$3006,0)),IFERROR(INDEX('CARNET DE SOUDURE'!$D$7:$D$3006,MATCH(B1793,'CARNET DE SOUDURE'!$O$7:$O$3006,0)),"")))</f>
        <v/>
      </c>
      <c r="M1793" s="82" t="str">
        <f aca="false">IF(B1793="","",IF(OR(J1793&lt;&gt;"",K1793&lt;&gt;""),"POSÉ EN LIGNE",IF(COUNTIF(BARDAGE!$C$1:$C$5000,B1793)&gt;0,"BARDÉ","EN STOCK")))</f>
        <v/>
      </c>
      <c r="N1793" s="80"/>
    </row>
    <row r="1794" customFormat="false" ht="15" hidden="false" customHeight="false" outlineLevel="0" collapsed="false">
      <c r="A1794" s="82" t="str">
        <f aca="false">IF(B1794="","",ROW()-6)</f>
        <v/>
      </c>
      <c r="B1794" s="145"/>
      <c r="C1794" s="146"/>
      <c r="D1794" s="146"/>
      <c r="E1794" s="82" t="str">
        <f aca="false">IF(B1794="","",IF(COUNTIFS('CARNET DE SOUDURE'!$L$7:$L$3006,B1794,'CARNET DE SOUDURE'!$M$7:$M$3006,"&lt;&gt;"&amp;C1794,'CARNET DE SOUDURE'!$M$7:$M$3006,"&lt;&gt;")+COUNTIFS('CARNET DE SOUDURE'!$O$7:$O$3006,B1794,'CARNET DE SOUDURE'!$P$7:$P$3006,"&lt;&gt;"&amp;C1794,'CARNET DE SOUDURE'!$P$7:$P$3006,"&lt;&gt;")&gt;0,"⚠ DIFFÉRENTE","OK"))</f>
        <v/>
      </c>
      <c r="F1794" s="147"/>
      <c r="G1794" s="80"/>
      <c r="H1794" s="83"/>
      <c r="I1794" s="148" t="str">
        <f aca="false">IF(B1794="","",IFERROR(INDEX('CARNET DE SOUDURE'!$B$7:$B$3006,MATCH(B1794,'CARNET DE SOUDURE'!$L$7:$L$3006,0)),IFERROR(INDEX('CARNET DE SOUDURE'!$B$7:$B$3006,MATCH(B1794,'CARNET DE SOUDURE'!$O$7:$O$3006,0)),"")))</f>
        <v/>
      </c>
      <c r="J1794" s="82" t="str">
        <f aca="false">IF(B1794="","",IFERROR(INDEX('CARNET DE SOUDURE'!$E$7:$E$3006,MATCH(B1794,'CARNET DE SOUDURE'!$O$7:$O$3006,0)),""))</f>
        <v/>
      </c>
      <c r="K1794" s="82" t="str">
        <f aca="false">IF(B1794="","",IFERROR(INDEX('CARNET DE SOUDURE'!$E$7:$E$3006,MATCH(B1794,'CARNET DE SOUDURE'!$L$7:$L$3006,0)),""))</f>
        <v/>
      </c>
      <c r="L1794" s="82" t="str">
        <f aca="false">IF(B1794="","",IFERROR(INDEX('CARNET DE SOUDURE'!$D$7:$D$3006,MATCH(B1794,'CARNET DE SOUDURE'!$L$7:$L$3006,0)),IFERROR(INDEX('CARNET DE SOUDURE'!$D$7:$D$3006,MATCH(B1794,'CARNET DE SOUDURE'!$O$7:$O$3006,0)),"")))</f>
        <v/>
      </c>
      <c r="M1794" s="82" t="str">
        <f aca="false">IF(B1794="","",IF(OR(J1794&lt;&gt;"",K1794&lt;&gt;""),"POSÉ EN LIGNE",IF(COUNTIF(BARDAGE!$C$1:$C$5000,B1794)&gt;0,"BARDÉ","EN STOCK")))</f>
        <v/>
      </c>
      <c r="N1794" s="80"/>
    </row>
    <row r="1795" customFormat="false" ht="15" hidden="false" customHeight="false" outlineLevel="0" collapsed="false">
      <c r="A1795" s="82" t="str">
        <f aca="false">IF(B1795="","",ROW()-6)</f>
        <v/>
      </c>
      <c r="B1795" s="145"/>
      <c r="C1795" s="146"/>
      <c r="D1795" s="146"/>
      <c r="E1795" s="82" t="str">
        <f aca="false">IF(B1795="","",IF(COUNTIFS('CARNET DE SOUDURE'!$L$7:$L$3006,B1795,'CARNET DE SOUDURE'!$M$7:$M$3006,"&lt;&gt;"&amp;C1795,'CARNET DE SOUDURE'!$M$7:$M$3006,"&lt;&gt;")+COUNTIFS('CARNET DE SOUDURE'!$O$7:$O$3006,B1795,'CARNET DE SOUDURE'!$P$7:$P$3006,"&lt;&gt;"&amp;C1795,'CARNET DE SOUDURE'!$P$7:$P$3006,"&lt;&gt;")&gt;0,"⚠ DIFFÉRENTE","OK"))</f>
        <v/>
      </c>
      <c r="F1795" s="147"/>
      <c r="G1795" s="80"/>
      <c r="H1795" s="83"/>
      <c r="I1795" s="148" t="str">
        <f aca="false">IF(B1795="","",IFERROR(INDEX('CARNET DE SOUDURE'!$B$7:$B$3006,MATCH(B1795,'CARNET DE SOUDURE'!$L$7:$L$3006,0)),IFERROR(INDEX('CARNET DE SOUDURE'!$B$7:$B$3006,MATCH(B1795,'CARNET DE SOUDURE'!$O$7:$O$3006,0)),"")))</f>
        <v/>
      </c>
      <c r="J1795" s="82" t="str">
        <f aca="false">IF(B1795="","",IFERROR(INDEX('CARNET DE SOUDURE'!$E$7:$E$3006,MATCH(B1795,'CARNET DE SOUDURE'!$O$7:$O$3006,0)),""))</f>
        <v/>
      </c>
      <c r="K1795" s="82" t="str">
        <f aca="false">IF(B1795="","",IFERROR(INDEX('CARNET DE SOUDURE'!$E$7:$E$3006,MATCH(B1795,'CARNET DE SOUDURE'!$L$7:$L$3006,0)),""))</f>
        <v/>
      </c>
      <c r="L1795" s="82" t="str">
        <f aca="false">IF(B1795="","",IFERROR(INDEX('CARNET DE SOUDURE'!$D$7:$D$3006,MATCH(B1795,'CARNET DE SOUDURE'!$L$7:$L$3006,0)),IFERROR(INDEX('CARNET DE SOUDURE'!$D$7:$D$3006,MATCH(B1795,'CARNET DE SOUDURE'!$O$7:$O$3006,0)),"")))</f>
        <v/>
      </c>
      <c r="M1795" s="82" t="str">
        <f aca="false">IF(B1795="","",IF(OR(J1795&lt;&gt;"",K1795&lt;&gt;""),"POSÉ EN LIGNE",IF(COUNTIF(BARDAGE!$C$1:$C$5000,B1795)&gt;0,"BARDÉ","EN STOCK")))</f>
        <v/>
      </c>
      <c r="N1795" s="80"/>
    </row>
    <row r="1796" customFormat="false" ht="15" hidden="false" customHeight="false" outlineLevel="0" collapsed="false">
      <c r="A1796" s="82" t="str">
        <f aca="false">IF(B1796="","",ROW()-6)</f>
        <v/>
      </c>
      <c r="B1796" s="145"/>
      <c r="C1796" s="146"/>
      <c r="D1796" s="146"/>
      <c r="E1796" s="82" t="str">
        <f aca="false">IF(B1796="","",IF(COUNTIFS('CARNET DE SOUDURE'!$L$7:$L$3006,B1796,'CARNET DE SOUDURE'!$M$7:$M$3006,"&lt;&gt;"&amp;C1796,'CARNET DE SOUDURE'!$M$7:$M$3006,"&lt;&gt;")+COUNTIFS('CARNET DE SOUDURE'!$O$7:$O$3006,B1796,'CARNET DE SOUDURE'!$P$7:$P$3006,"&lt;&gt;"&amp;C1796,'CARNET DE SOUDURE'!$P$7:$P$3006,"&lt;&gt;")&gt;0,"⚠ DIFFÉRENTE","OK"))</f>
        <v/>
      </c>
      <c r="F1796" s="147"/>
      <c r="G1796" s="80"/>
      <c r="H1796" s="83"/>
      <c r="I1796" s="148" t="str">
        <f aca="false">IF(B1796="","",IFERROR(INDEX('CARNET DE SOUDURE'!$B$7:$B$3006,MATCH(B1796,'CARNET DE SOUDURE'!$L$7:$L$3006,0)),IFERROR(INDEX('CARNET DE SOUDURE'!$B$7:$B$3006,MATCH(B1796,'CARNET DE SOUDURE'!$O$7:$O$3006,0)),"")))</f>
        <v/>
      </c>
      <c r="J1796" s="82" t="str">
        <f aca="false">IF(B1796="","",IFERROR(INDEX('CARNET DE SOUDURE'!$E$7:$E$3006,MATCH(B1796,'CARNET DE SOUDURE'!$O$7:$O$3006,0)),""))</f>
        <v/>
      </c>
      <c r="K1796" s="82" t="str">
        <f aca="false">IF(B1796="","",IFERROR(INDEX('CARNET DE SOUDURE'!$E$7:$E$3006,MATCH(B1796,'CARNET DE SOUDURE'!$L$7:$L$3006,0)),""))</f>
        <v/>
      </c>
      <c r="L1796" s="82" t="str">
        <f aca="false">IF(B1796="","",IFERROR(INDEX('CARNET DE SOUDURE'!$D$7:$D$3006,MATCH(B1796,'CARNET DE SOUDURE'!$L$7:$L$3006,0)),IFERROR(INDEX('CARNET DE SOUDURE'!$D$7:$D$3006,MATCH(B1796,'CARNET DE SOUDURE'!$O$7:$O$3006,0)),"")))</f>
        <v/>
      </c>
      <c r="M1796" s="82" t="str">
        <f aca="false">IF(B1796="","",IF(OR(J1796&lt;&gt;"",K1796&lt;&gt;""),"POSÉ EN LIGNE",IF(COUNTIF(BARDAGE!$C$1:$C$5000,B1796)&gt;0,"BARDÉ","EN STOCK")))</f>
        <v/>
      </c>
      <c r="N1796" s="80"/>
    </row>
    <row r="1797" customFormat="false" ht="15" hidden="false" customHeight="false" outlineLevel="0" collapsed="false">
      <c r="A1797" s="82" t="str">
        <f aca="false">IF(B1797="","",ROW()-6)</f>
        <v/>
      </c>
      <c r="B1797" s="145"/>
      <c r="C1797" s="146"/>
      <c r="D1797" s="146"/>
      <c r="E1797" s="82" t="str">
        <f aca="false">IF(B1797="","",IF(COUNTIFS('CARNET DE SOUDURE'!$L$7:$L$3006,B1797,'CARNET DE SOUDURE'!$M$7:$M$3006,"&lt;&gt;"&amp;C1797,'CARNET DE SOUDURE'!$M$7:$M$3006,"&lt;&gt;")+COUNTIFS('CARNET DE SOUDURE'!$O$7:$O$3006,B1797,'CARNET DE SOUDURE'!$P$7:$P$3006,"&lt;&gt;"&amp;C1797,'CARNET DE SOUDURE'!$P$7:$P$3006,"&lt;&gt;")&gt;0,"⚠ DIFFÉRENTE","OK"))</f>
        <v/>
      </c>
      <c r="F1797" s="147"/>
      <c r="G1797" s="80"/>
      <c r="H1797" s="83"/>
      <c r="I1797" s="148" t="str">
        <f aca="false">IF(B1797="","",IFERROR(INDEX('CARNET DE SOUDURE'!$B$7:$B$3006,MATCH(B1797,'CARNET DE SOUDURE'!$L$7:$L$3006,0)),IFERROR(INDEX('CARNET DE SOUDURE'!$B$7:$B$3006,MATCH(B1797,'CARNET DE SOUDURE'!$O$7:$O$3006,0)),"")))</f>
        <v/>
      </c>
      <c r="J1797" s="82" t="str">
        <f aca="false">IF(B1797="","",IFERROR(INDEX('CARNET DE SOUDURE'!$E$7:$E$3006,MATCH(B1797,'CARNET DE SOUDURE'!$O$7:$O$3006,0)),""))</f>
        <v/>
      </c>
      <c r="K1797" s="82" t="str">
        <f aca="false">IF(B1797="","",IFERROR(INDEX('CARNET DE SOUDURE'!$E$7:$E$3006,MATCH(B1797,'CARNET DE SOUDURE'!$L$7:$L$3006,0)),""))</f>
        <v/>
      </c>
      <c r="L1797" s="82" t="str">
        <f aca="false">IF(B1797="","",IFERROR(INDEX('CARNET DE SOUDURE'!$D$7:$D$3006,MATCH(B1797,'CARNET DE SOUDURE'!$L$7:$L$3006,0)),IFERROR(INDEX('CARNET DE SOUDURE'!$D$7:$D$3006,MATCH(B1797,'CARNET DE SOUDURE'!$O$7:$O$3006,0)),"")))</f>
        <v/>
      </c>
      <c r="M1797" s="82" t="str">
        <f aca="false">IF(B1797="","",IF(OR(J1797&lt;&gt;"",K1797&lt;&gt;""),"POSÉ EN LIGNE",IF(COUNTIF(BARDAGE!$C$1:$C$5000,B1797)&gt;0,"BARDÉ","EN STOCK")))</f>
        <v/>
      </c>
      <c r="N1797" s="80"/>
    </row>
    <row r="1798" customFormat="false" ht="15" hidden="false" customHeight="false" outlineLevel="0" collapsed="false">
      <c r="A1798" s="82" t="str">
        <f aca="false">IF(B1798="","",ROW()-6)</f>
        <v/>
      </c>
      <c r="B1798" s="145"/>
      <c r="C1798" s="146"/>
      <c r="D1798" s="146"/>
      <c r="E1798" s="82" t="str">
        <f aca="false">IF(B1798="","",IF(COUNTIFS('CARNET DE SOUDURE'!$L$7:$L$3006,B1798,'CARNET DE SOUDURE'!$M$7:$M$3006,"&lt;&gt;"&amp;C1798,'CARNET DE SOUDURE'!$M$7:$M$3006,"&lt;&gt;")+COUNTIFS('CARNET DE SOUDURE'!$O$7:$O$3006,B1798,'CARNET DE SOUDURE'!$P$7:$P$3006,"&lt;&gt;"&amp;C1798,'CARNET DE SOUDURE'!$P$7:$P$3006,"&lt;&gt;")&gt;0,"⚠ DIFFÉRENTE","OK"))</f>
        <v/>
      </c>
      <c r="F1798" s="147"/>
      <c r="G1798" s="80"/>
      <c r="H1798" s="83"/>
      <c r="I1798" s="148" t="str">
        <f aca="false">IF(B1798="","",IFERROR(INDEX('CARNET DE SOUDURE'!$B$7:$B$3006,MATCH(B1798,'CARNET DE SOUDURE'!$L$7:$L$3006,0)),IFERROR(INDEX('CARNET DE SOUDURE'!$B$7:$B$3006,MATCH(B1798,'CARNET DE SOUDURE'!$O$7:$O$3006,0)),"")))</f>
        <v/>
      </c>
      <c r="J1798" s="82" t="str">
        <f aca="false">IF(B1798="","",IFERROR(INDEX('CARNET DE SOUDURE'!$E$7:$E$3006,MATCH(B1798,'CARNET DE SOUDURE'!$O$7:$O$3006,0)),""))</f>
        <v/>
      </c>
      <c r="K1798" s="82" t="str">
        <f aca="false">IF(B1798="","",IFERROR(INDEX('CARNET DE SOUDURE'!$E$7:$E$3006,MATCH(B1798,'CARNET DE SOUDURE'!$L$7:$L$3006,0)),""))</f>
        <v/>
      </c>
      <c r="L1798" s="82" t="str">
        <f aca="false">IF(B1798="","",IFERROR(INDEX('CARNET DE SOUDURE'!$D$7:$D$3006,MATCH(B1798,'CARNET DE SOUDURE'!$L$7:$L$3006,0)),IFERROR(INDEX('CARNET DE SOUDURE'!$D$7:$D$3006,MATCH(B1798,'CARNET DE SOUDURE'!$O$7:$O$3006,0)),"")))</f>
        <v/>
      </c>
      <c r="M1798" s="82" t="str">
        <f aca="false">IF(B1798="","",IF(OR(J1798&lt;&gt;"",K1798&lt;&gt;""),"POSÉ EN LIGNE",IF(COUNTIF(BARDAGE!$C$1:$C$5000,B1798)&gt;0,"BARDÉ","EN STOCK")))</f>
        <v/>
      </c>
      <c r="N1798" s="80"/>
    </row>
    <row r="1799" customFormat="false" ht="15" hidden="false" customHeight="false" outlineLevel="0" collapsed="false">
      <c r="A1799" s="82" t="str">
        <f aca="false">IF(B1799="","",ROW()-6)</f>
        <v/>
      </c>
      <c r="B1799" s="145"/>
      <c r="C1799" s="146"/>
      <c r="D1799" s="146"/>
      <c r="E1799" s="82" t="str">
        <f aca="false">IF(B1799="","",IF(COUNTIFS('CARNET DE SOUDURE'!$L$7:$L$3006,B1799,'CARNET DE SOUDURE'!$M$7:$M$3006,"&lt;&gt;"&amp;C1799,'CARNET DE SOUDURE'!$M$7:$M$3006,"&lt;&gt;")+COUNTIFS('CARNET DE SOUDURE'!$O$7:$O$3006,B1799,'CARNET DE SOUDURE'!$P$7:$P$3006,"&lt;&gt;"&amp;C1799,'CARNET DE SOUDURE'!$P$7:$P$3006,"&lt;&gt;")&gt;0,"⚠ DIFFÉRENTE","OK"))</f>
        <v/>
      </c>
      <c r="F1799" s="147"/>
      <c r="G1799" s="80"/>
      <c r="H1799" s="83"/>
      <c r="I1799" s="148" t="str">
        <f aca="false">IF(B1799="","",IFERROR(INDEX('CARNET DE SOUDURE'!$B$7:$B$3006,MATCH(B1799,'CARNET DE SOUDURE'!$L$7:$L$3006,0)),IFERROR(INDEX('CARNET DE SOUDURE'!$B$7:$B$3006,MATCH(B1799,'CARNET DE SOUDURE'!$O$7:$O$3006,0)),"")))</f>
        <v/>
      </c>
      <c r="J1799" s="82" t="str">
        <f aca="false">IF(B1799="","",IFERROR(INDEX('CARNET DE SOUDURE'!$E$7:$E$3006,MATCH(B1799,'CARNET DE SOUDURE'!$O$7:$O$3006,0)),""))</f>
        <v/>
      </c>
      <c r="K1799" s="82" t="str">
        <f aca="false">IF(B1799="","",IFERROR(INDEX('CARNET DE SOUDURE'!$E$7:$E$3006,MATCH(B1799,'CARNET DE SOUDURE'!$L$7:$L$3006,0)),""))</f>
        <v/>
      </c>
      <c r="L1799" s="82" t="str">
        <f aca="false">IF(B1799="","",IFERROR(INDEX('CARNET DE SOUDURE'!$D$7:$D$3006,MATCH(B1799,'CARNET DE SOUDURE'!$L$7:$L$3006,0)),IFERROR(INDEX('CARNET DE SOUDURE'!$D$7:$D$3006,MATCH(B1799,'CARNET DE SOUDURE'!$O$7:$O$3006,0)),"")))</f>
        <v/>
      </c>
      <c r="M1799" s="82" t="str">
        <f aca="false">IF(B1799="","",IF(OR(J1799&lt;&gt;"",K1799&lt;&gt;""),"POSÉ EN LIGNE",IF(COUNTIF(BARDAGE!$C$1:$C$5000,B1799)&gt;0,"BARDÉ","EN STOCK")))</f>
        <v/>
      </c>
      <c r="N1799" s="80"/>
    </row>
    <row r="1800" customFormat="false" ht="15" hidden="false" customHeight="false" outlineLevel="0" collapsed="false">
      <c r="A1800" s="82" t="str">
        <f aca="false">IF(B1800="","",ROW()-6)</f>
        <v/>
      </c>
      <c r="B1800" s="145"/>
      <c r="C1800" s="146"/>
      <c r="D1800" s="146"/>
      <c r="E1800" s="82" t="str">
        <f aca="false">IF(B1800="","",IF(COUNTIFS('CARNET DE SOUDURE'!$L$7:$L$3006,B1800,'CARNET DE SOUDURE'!$M$7:$M$3006,"&lt;&gt;"&amp;C1800,'CARNET DE SOUDURE'!$M$7:$M$3006,"&lt;&gt;")+COUNTIFS('CARNET DE SOUDURE'!$O$7:$O$3006,B1800,'CARNET DE SOUDURE'!$P$7:$P$3006,"&lt;&gt;"&amp;C1800,'CARNET DE SOUDURE'!$P$7:$P$3006,"&lt;&gt;")&gt;0,"⚠ DIFFÉRENTE","OK"))</f>
        <v/>
      </c>
      <c r="F1800" s="147"/>
      <c r="G1800" s="80"/>
      <c r="H1800" s="83"/>
      <c r="I1800" s="148" t="str">
        <f aca="false">IF(B1800="","",IFERROR(INDEX('CARNET DE SOUDURE'!$B$7:$B$3006,MATCH(B1800,'CARNET DE SOUDURE'!$L$7:$L$3006,0)),IFERROR(INDEX('CARNET DE SOUDURE'!$B$7:$B$3006,MATCH(B1800,'CARNET DE SOUDURE'!$O$7:$O$3006,0)),"")))</f>
        <v/>
      </c>
      <c r="J1800" s="82" t="str">
        <f aca="false">IF(B1800="","",IFERROR(INDEX('CARNET DE SOUDURE'!$E$7:$E$3006,MATCH(B1800,'CARNET DE SOUDURE'!$O$7:$O$3006,0)),""))</f>
        <v/>
      </c>
      <c r="K1800" s="82" t="str">
        <f aca="false">IF(B1800="","",IFERROR(INDEX('CARNET DE SOUDURE'!$E$7:$E$3006,MATCH(B1800,'CARNET DE SOUDURE'!$L$7:$L$3006,0)),""))</f>
        <v/>
      </c>
      <c r="L1800" s="82" t="str">
        <f aca="false">IF(B1800="","",IFERROR(INDEX('CARNET DE SOUDURE'!$D$7:$D$3006,MATCH(B1800,'CARNET DE SOUDURE'!$L$7:$L$3006,0)),IFERROR(INDEX('CARNET DE SOUDURE'!$D$7:$D$3006,MATCH(B1800,'CARNET DE SOUDURE'!$O$7:$O$3006,0)),"")))</f>
        <v/>
      </c>
      <c r="M1800" s="82" t="str">
        <f aca="false">IF(B1800="","",IF(OR(J1800&lt;&gt;"",K1800&lt;&gt;""),"POSÉ EN LIGNE",IF(COUNTIF(BARDAGE!$C$1:$C$5000,B1800)&gt;0,"BARDÉ","EN STOCK")))</f>
        <v/>
      </c>
      <c r="N1800" s="80"/>
    </row>
    <row r="1801" customFormat="false" ht="15" hidden="false" customHeight="false" outlineLevel="0" collapsed="false">
      <c r="A1801" s="82" t="str">
        <f aca="false">IF(B1801="","",ROW()-6)</f>
        <v/>
      </c>
      <c r="B1801" s="145"/>
      <c r="C1801" s="146"/>
      <c r="D1801" s="146"/>
      <c r="E1801" s="82" t="str">
        <f aca="false">IF(B1801="","",IF(COUNTIFS('CARNET DE SOUDURE'!$L$7:$L$3006,B1801,'CARNET DE SOUDURE'!$M$7:$M$3006,"&lt;&gt;"&amp;C1801,'CARNET DE SOUDURE'!$M$7:$M$3006,"&lt;&gt;")+COUNTIFS('CARNET DE SOUDURE'!$O$7:$O$3006,B1801,'CARNET DE SOUDURE'!$P$7:$P$3006,"&lt;&gt;"&amp;C1801,'CARNET DE SOUDURE'!$P$7:$P$3006,"&lt;&gt;")&gt;0,"⚠ DIFFÉRENTE","OK"))</f>
        <v/>
      </c>
      <c r="F1801" s="147"/>
      <c r="G1801" s="80"/>
      <c r="H1801" s="83"/>
      <c r="I1801" s="148" t="str">
        <f aca="false">IF(B1801="","",IFERROR(INDEX('CARNET DE SOUDURE'!$B$7:$B$3006,MATCH(B1801,'CARNET DE SOUDURE'!$L$7:$L$3006,0)),IFERROR(INDEX('CARNET DE SOUDURE'!$B$7:$B$3006,MATCH(B1801,'CARNET DE SOUDURE'!$O$7:$O$3006,0)),"")))</f>
        <v/>
      </c>
      <c r="J1801" s="82" t="str">
        <f aca="false">IF(B1801="","",IFERROR(INDEX('CARNET DE SOUDURE'!$E$7:$E$3006,MATCH(B1801,'CARNET DE SOUDURE'!$O$7:$O$3006,0)),""))</f>
        <v/>
      </c>
      <c r="K1801" s="82" t="str">
        <f aca="false">IF(B1801="","",IFERROR(INDEX('CARNET DE SOUDURE'!$E$7:$E$3006,MATCH(B1801,'CARNET DE SOUDURE'!$L$7:$L$3006,0)),""))</f>
        <v/>
      </c>
      <c r="L1801" s="82" t="str">
        <f aca="false">IF(B1801="","",IFERROR(INDEX('CARNET DE SOUDURE'!$D$7:$D$3006,MATCH(B1801,'CARNET DE SOUDURE'!$L$7:$L$3006,0)),IFERROR(INDEX('CARNET DE SOUDURE'!$D$7:$D$3006,MATCH(B1801,'CARNET DE SOUDURE'!$O$7:$O$3006,0)),"")))</f>
        <v/>
      </c>
      <c r="M1801" s="82" t="str">
        <f aca="false">IF(B1801="","",IF(OR(J1801&lt;&gt;"",K1801&lt;&gt;""),"POSÉ EN LIGNE",IF(COUNTIF(BARDAGE!$C$1:$C$5000,B1801)&gt;0,"BARDÉ","EN STOCK")))</f>
        <v/>
      </c>
      <c r="N1801" s="80"/>
    </row>
    <row r="1802" customFormat="false" ht="15" hidden="false" customHeight="false" outlineLevel="0" collapsed="false">
      <c r="A1802" s="82" t="str">
        <f aca="false">IF(B1802="","",ROW()-6)</f>
        <v/>
      </c>
      <c r="B1802" s="145"/>
      <c r="C1802" s="146"/>
      <c r="D1802" s="146"/>
      <c r="E1802" s="82" t="str">
        <f aca="false">IF(B1802="","",IF(COUNTIFS('CARNET DE SOUDURE'!$L$7:$L$3006,B1802,'CARNET DE SOUDURE'!$M$7:$M$3006,"&lt;&gt;"&amp;C1802,'CARNET DE SOUDURE'!$M$7:$M$3006,"&lt;&gt;")+COUNTIFS('CARNET DE SOUDURE'!$O$7:$O$3006,B1802,'CARNET DE SOUDURE'!$P$7:$P$3006,"&lt;&gt;"&amp;C1802,'CARNET DE SOUDURE'!$P$7:$P$3006,"&lt;&gt;")&gt;0,"⚠ DIFFÉRENTE","OK"))</f>
        <v/>
      </c>
      <c r="F1802" s="147"/>
      <c r="G1802" s="80"/>
      <c r="H1802" s="83"/>
      <c r="I1802" s="148" t="str">
        <f aca="false">IF(B1802="","",IFERROR(INDEX('CARNET DE SOUDURE'!$B$7:$B$3006,MATCH(B1802,'CARNET DE SOUDURE'!$L$7:$L$3006,0)),IFERROR(INDEX('CARNET DE SOUDURE'!$B$7:$B$3006,MATCH(B1802,'CARNET DE SOUDURE'!$O$7:$O$3006,0)),"")))</f>
        <v/>
      </c>
      <c r="J1802" s="82" t="str">
        <f aca="false">IF(B1802="","",IFERROR(INDEX('CARNET DE SOUDURE'!$E$7:$E$3006,MATCH(B1802,'CARNET DE SOUDURE'!$O$7:$O$3006,0)),""))</f>
        <v/>
      </c>
      <c r="K1802" s="82" t="str">
        <f aca="false">IF(B1802="","",IFERROR(INDEX('CARNET DE SOUDURE'!$E$7:$E$3006,MATCH(B1802,'CARNET DE SOUDURE'!$L$7:$L$3006,0)),""))</f>
        <v/>
      </c>
      <c r="L1802" s="82" t="str">
        <f aca="false">IF(B1802="","",IFERROR(INDEX('CARNET DE SOUDURE'!$D$7:$D$3006,MATCH(B1802,'CARNET DE SOUDURE'!$L$7:$L$3006,0)),IFERROR(INDEX('CARNET DE SOUDURE'!$D$7:$D$3006,MATCH(B1802,'CARNET DE SOUDURE'!$O$7:$O$3006,0)),"")))</f>
        <v/>
      </c>
      <c r="M1802" s="82" t="str">
        <f aca="false">IF(B1802="","",IF(OR(J1802&lt;&gt;"",K1802&lt;&gt;""),"POSÉ EN LIGNE",IF(COUNTIF(BARDAGE!$C$1:$C$5000,B1802)&gt;0,"BARDÉ","EN STOCK")))</f>
        <v/>
      </c>
      <c r="N1802" s="80"/>
    </row>
    <row r="1803" customFormat="false" ht="15" hidden="false" customHeight="false" outlineLevel="0" collapsed="false">
      <c r="A1803" s="82" t="str">
        <f aca="false">IF(B1803="","",ROW()-6)</f>
        <v/>
      </c>
      <c r="B1803" s="145"/>
      <c r="C1803" s="146"/>
      <c r="D1803" s="146"/>
      <c r="E1803" s="82" t="str">
        <f aca="false">IF(B1803="","",IF(COUNTIFS('CARNET DE SOUDURE'!$L$7:$L$3006,B1803,'CARNET DE SOUDURE'!$M$7:$M$3006,"&lt;&gt;"&amp;C1803,'CARNET DE SOUDURE'!$M$7:$M$3006,"&lt;&gt;")+COUNTIFS('CARNET DE SOUDURE'!$O$7:$O$3006,B1803,'CARNET DE SOUDURE'!$P$7:$P$3006,"&lt;&gt;"&amp;C1803,'CARNET DE SOUDURE'!$P$7:$P$3006,"&lt;&gt;")&gt;0,"⚠ DIFFÉRENTE","OK"))</f>
        <v/>
      </c>
      <c r="F1803" s="147"/>
      <c r="G1803" s="80"/>
      <c r="H1803" s="83"/>
      <c r="I1803" s="148" t="str">
        <f aca="false">IF(B1803="","",IFERROR(INDEX('CARNET DE SOUDURE'!$B$7:$B$3006,MATCH(B1803,'CARNET DE SOUDURE'!$L$7:$L$3006,0)),IFERROR(INDEX('CARNET DE SOUDURE'!$B$7:$B$3006,MATCH(B1803,'CARNET DE SOUDURE'!$O$7:$O$3006,0)),"")))</f>
        <v/>
      </c>
      <c r="J1803" s="82" t="str">
        <f aca="false">IF(B1803="","",IFERROR(INDEX('CARNET DE SOUDURE'!$E$7:$E$3006,MATCH(B1803,'CARNET DE SOUDURE'!$O$7:$O$3006,0)),""))</f>
        <v/>
      </c>
      <c r="K1803" s="82" t="str">
        <f aca="false">IF(B1803="","",IFERROR(INDEX('CARNET DE SOUDURE'!$E$7:$E$3006,MATCH(B1803,'CARNET DE SOUDURE'!$L$7:$L$3006,0)),""))</f>
        <v/>
      </c>
      <c r="L1803" s="82" t="str">
        <f aca="false">IF(B1803="","",IFERROR(INDEX('CARNET DE SOUDURE'!$D$7:$D$3006,MATCH(B1803,'CARNET DE SOUDURE'!$L$7:$L$3006,0)),IFERROR(INDEX('CARNET DE SOUDURE'!$D$7:$D$3006,MATCH(B1803,'CARNET DE SOUDURE'!$O$7:$O$3006,0)),"")))</f>
        <v/>
      </c>
      <c r="M1803" s="82" t="str">
        <f aca="false">IF(B1803="","",IF(OR(J1803&lt;&gt;"",K1803&lt;&gt;""),"POSÉ EN LIGNE",IF(COUNTIF(BARDAGE!$C$1:$C$5000,B1803)&gt;0,"BARDÉ","EN STOCK")))</f>
        <v/>
      </c>
      <c r="N1803" s="80"/>
    </row>
    <row r="1804" customFormat="false" ht="15" hidden="false" customHeight="false" outlineLevel="0" collapsed="false">
      <c r="A1804" s="82" t="str">
        <f aca="false">IF(B1804="","",ROW()-6)</f>
        <v/>
      </c>
      <c r="B1804" s="145"/>
      <c r="C1804" s="146"/>
      <c r="D1804" s="146"/>
      <c r="E1804" s="82" t="str">
        <f aca="false">IF(B1804="","",IF(COUNTIFS('CARNET DE SOUDURE'!$L$7:$L$3006,B1804,'CARNET DE SOUDURE'!$M$7:$M$3006,"&lt;&gt;"&amp;C1804,'CARNET DE SOUDURE'!$M$7:$M$3006,"&lt;&gt;")+COUNTIFS('CARNET DE SOUDURE'!$O$7:$O$3006,B1804,'CARNET DE SOUDURE'!$P$7:$P$3006,"&lt;&gt;"&amp;C1804,'CARNET DE SOUDURE'!$P$7:$P$3006,"&lt;&gt;")&gt;0,"⚠ DIFFÉRENTE","OK"))</f>
        <v/>
      </c>
      <c r="F1804" s="147"/>
      <c r="G1804" s="80"/>
      <c r="H1804" s="83"/>
      <c r="I1804" s="148" t="str">
        <f aca="false">IF(B1804="","",IFERROR(INDEX('CARNET DE SOUDURE'!$B$7:$B$3006,MATCH(B1804,'CARNET DE SOUDURE'!$L$7:$L$3006,0)),IFERROR(INDEX('CARNET DE SOUDURE'!$B$7:$B$3006,MATCH(B1804,'CARNET DE SOUDURE'!$O$7:$O$3006,0)),"")))</f>
        <v/>
      </c>
      <c r="J1804" s="82" t="str">
        <f aca="false">IF(B1804="","",IFERROR(INDEX('CARNET DE SOUDURE'!$E$7:$E$3006,MATCH(B1804,'CARNET DE SOUDURE'!$O$7:$O$3006,0)),""))</f>
        <v/>
      </c>
      <c r="K1804" s="82" t="str">
        <f aca="false">IF(B1804="","",IFERROR(INDEX('CARNET DE SOUDURE'!$E$7:$E$3006,MATCH(B1804,'CARNET DE SOUDURE'!$L$7:$L$3006,0)),""))</f>
        <v/>
      </c>
      <c r="L1804" s="82" t="str">
        <f aca="false">IF(B1804="","",IFERROR(INDEX('CARNET DE SOUDURE'!$D$7:$D$3006,MATCH(B1804,'CARNET DE SOUDURE'!$L$7:$L$3006,0)),IFERROR(INDEX('CARNET DE SOUDURE'!$D$7:$D$3006,MATCH(B1804,'CARNET DE SOUDURE'!$O$7:$O$3006,0)),"")))</f>
        <v/>
      </c>
      <c r="M1804" s="82" t="str">
        <f aca="false">IF(B1804="","",IF(OR(J1804&lt;&gt;"",K1804&lt;&gt;""),"POSÉ EN LIGNE",IF(COUNTIF(BARDAGE!$C$1:$C$5000,B1804)&gt;0,"BARDÉ","EN STOCK")))</f>
        <v/>
      </c>
      <c r="N1804" s="80"/>
    </row>
    <row r="1805" customFormat="false" ht="15" hidden="false" customHeight="false" outlineLevel="0" collapsed="false">
      <c r="A1805" s="82" t="str">
        <f aca="false">IF(B1805="","",ROW()-6)</f>
        <v/>
      </c>
      <c r="B1805" s="145"/>
      <c r="C1805" s="146"/>
      <c r="D1805" s="146"/>
      <c r="E1805" s="82" t="str">
        <f aca="false">IF(B1805="","",IF(COUNTIFS('CARNET DE SOUDURE'!$L$7:$L$3006,B1805,'CARNET DE SOUDURE'!$M$7:$M$3006,"&lt;&gt;"&amp;C1805,'CARNET DE SOUDURE'!$M$7:$M$3006,"&lt;&gt;")+COUNTIFS('CARNET DE SOUDURE'!$O$7:$O$3006,B1805,'CARNET DE SOUDURE'!$P$7:$P$3006,"&lt;&gt;"&amp;C1805,'CARNET DE SOUDURE'!$P$7:$P$3006,"&lt;&gt;")&gt;0,"⚠ DIFFÉRENTE","OK"))</f>
        <v/>
      </c>
      <c r="F1805" s="147"/>
      <c r="G1805" s="80"/>
      <c r="H1805" s="83"/>
      <c r="I1805" s="148" t="str">
        <f aca="false">IF(B1805="","",IFERROR(INDEX('CARNET DE SOUDURE'!$B$7:$B$3006,MATCH(B1805,'CARNET DE SOUDURE'!$L$7:$L$3006,0)),IFERROR(INDEX('CARNET DE SOUDURE'!$B$7:$B$3006,MATCH(B1805,'CARNET DE SOUDURE'!$O$7:$O$3006,0)),"")))</f>
        <v/>
      </c>
      <c r="J1805" s="82" t="str">
        <f aca="false">IF(B1805="","",IFERROR(INDEX('CARNET DE SOUDURE'!$E$7:$E$3006,MATCH(B1805,'CARNET DE SOUDURE'!$O$7:$O$3006,0)),""))</f>
        <v/>
      </c>
      <c r="K1805" s="82" t="str">
        <f aca="false">IF(B1805="","",IFERROR(INDEX('CARNET DE SOUDURE'!$E$7:$E$3006,MATCH(B1805,'CARNET DE SOUDURE'!$L$7:$L$3006,0)),""))</f>
        <v/>
      </c>
      <c r="L1805" s="82" t="str">
        <f aca="false">IF(B1805="","",IFERROR(INDEX('CARNET DE SOUDURE'!$D$7:$D$3006,MATCH(B1805,'CARNET DE SOUDURE'!$L$7:$L$3006,0)),IFERROR(INDEX('CARNET DE SOUDURE'!$D$7:$D$3006,MATCH(B1805,'CARNET DE SOUDURE'!$O$7:$O$3006,0)),"")))</f>
        <v/>
      </c>
      <c r="M1805" s="82" t="str">
        <f aca="false">IF(B1805="","",IF(OR(J1805&lt;&gt;"",K1805&lt;&gt;""),"POSÉ EN LIGNE",IF(COUNTIF(BARDAGE!$C$1:$C$5000,B1805)&gt;0,"BARDÉ","EN STOCK")))</f>
        <v/>
      </c>
      <c r="N1805" s="80"/>
    </row>
    <row r="1806" customFormat="false" ht="15" hidden="false" customHeight="false" outlineLevel="0" collapsed="false">
      <c r="A1806" s="82" t="str">
        <f aca="false">IF(B1806="","",ROW()-6)</f>
        <v/>
      </c>
      <c r="B1806" s="145"/>
      <c r="C1806" s="146"/>
      <c r="D1806" s="146"/>
      <c r="E1806" s="82" t="str">
        <f aca="false">IF(B1806="","",IF(COUNTIFS('CARNET DE SOUDURE'!$L$7:$L$3006,B1806,'CARNET DE SOUDURE'!$M$7:$M$3006,"&lt;&gt;"&amp;C1806,'CARNET DE SOUDURE'!$M$7:$M$3006,"&lt;&gt;")+COUNTIFS('CARNET DE SOUDURE'!$O$7:$O$3006,B1806,'CARNET DE SOUDURE'!$P$7:$P$3006,"&lt;&gt;"&amp;C1806,'CARNET DE SOUDURE'!$P$7:$P$3006,"&lt;&gt;")&gt;0,"⚠ DIFFÉRENTE","OK"))</f>
        <v/>
      </c>
      <c r="F1806" s="147"/>
      <c r="G1806" s="80"/>
      <c r="H1806" s="83"/>
      <c r="I1806" s="148" t="str">
        <f aca="false">IF(B1806="","",IFERROR(INDEX('CARNET DE SOUDURE'!$B$7:$B$3006,MATCH(B1806,'CARNET DE SOUDURE'!$L$7:$L$3006,0)),IFERROR(INDEX('CARNET DE SOUDURE'!$B$7:$B$3006,MATCH(B1806,'CARNET DE SOUDURE'!$O$7:$O$3006,0)),"")))</f>
        <v/>
      </c>
      <c r="J1806" s="82" t="str">
        <f aca="false">IF(B1806="","",IFERROR(INDEX('CARNET DE SOUDURE'!$E$7:$E$3006,MATCH(B1806,'CARNET DE SOUDURE'!$O$7:$O$3006,0)),""))</f>
        <v/>
      </c>
      <c r="K1806" s="82" t="str">
        <f aca="false">IF(B1806="","",IFERROR(INDEX('CARNET DE SOUDURE'!$E$7:$E$3006,MATCH(B1806,'CARNET DE SOUDURE'!$L$7:$L$3006,0)),""))</f>
        <v/>
      </c>
      <c r="L1806" s="82" t="str">
        <f aca="false">IF(B1806="","",IFERROR(INDEX('CARNET DE SOUDURE'!$D$7:$D$3006,MATCH(B1806,'CARNET DE SOUDURE'!$L$7:$L$3006,0)),IFERROR(INDEX('CARNET DE SOUDURE'!$D$7:$D$3006,MATCH(B1806,'CARNET DE SOUDURE'!$O$7:$O$3006,0)),"")))</f>
        <v/>
      </c>
      <c r="M1806" s="82" t="str">
        <f aca="false">IF(B1806="","",IF(OR(J1806&lt;&gt;"",K1806&lt;&gt;""),"POSÉ EN LIGNE",IF(COUNTIF(BARDAGE!$C$1:$C$5000,B1806)&gt;0,"BARDÉ","EN STOCK")))</f>
        <v/>
      </c>
      <c r="N1806" s="80"/>
    </row>
    <row r="1807" customFormat="false" ht="15" hidden="false" customHeight="false" outlineLevel="0" collapsed="false">
      <c r="A1807" s="82" t="str">
        <f aca="false">IF(B1807="","",ROW()-6)</f>
        <v/>
      </c>
      <c r="B1807" s="145"/>
      <c r="C1807" s="146"/>
      <c r="D1807" s="146"/>
      <c r="E1807" s="82" t="str">
        <f aca="false">IF(B1807="","",IF(COUNTIFS('CARNET DE SOUDURE'!$L$7:$L$3006,B1807,'CARNET DE SOUDURE'!$M$7:$M$3006,"&lt;&gt;"&amp;C1807,'CARNET DE SOUDURE'!$M$7:$M$3006,"&lt;&gt;")+COUNTIFS('CARNET DE SOUDURE'!$O$7:$O$3006,B1807,'CARNET DE SOUDURE'!$P$7:$P$3006,"&lt;&gt;"&amp;C1807,'CARNET DE SOUDURE'!$P$7:$P$3006,"&lt;&gt;")&gt;0,"⚠ DIFFÉRENTE","OK"))</f>
        <v/>
      </c>
      <c r="F1807" s="147"/>
      <c r="G1807" s="80"/>
      <c r="H1807" s="83"/>
      <c r="I1807" s="148" t="str">
        <f aca="false">IF(B1807="","",IFERROR(INDEX('CARNET DE SOUDURE'!$B$7:$B$3006,MATCH(B1807,'CARNET DE SOUDURE'!$L$7:$L$3006,0)),IFERROR(INDEX('CARNET DE SOUDURE'!$B$7:$B$3006,MATCH(B1807,'CARNET DE SOUDURE'!$O$7:$O$3006,0)),"")))</f>
        <v/>
      </c>
      <c r="J1807" s="82" t="str">
        <f aca="false">IF(B1807="","",IFERROR(INDEX('CARNET DE SOUDURE'!$E$7:$E$3006,MATCH(B1807,'CARNET DE SOUDURE'!$O$7:$O$3006,0)),""))</f>
        <v/>
      </c>
      <c r="K1807" s="82" t="str">
        <f aca="false">IF(B1807="","",IFERROR(INDEX('CARNET DE SOUDURE'!$E$7:$E$3006,MATCH(B1807,'CARNET DE SOUDURE'!$L$7:$L$3006,0)),""))</f>
        <v/>
      </c>
      <c r="L1807" s="82" t="str">
        <f aca="false">IF(B1807="","",IFERROR(INDEX('CARNET DE SOUDURE'!$D$7:$D$3006,MATCH(B1807,'CARNET DE SOUDURE'!$L$7:$L$3006,0)),IFERROR(INDEX('CARNET DE SOUDURE'!$D$7:$D$3006,MATCH(B1807,'CARNET DE SOUDURE'!$O$7:$O$3006,0)),"")))</f>
        <v/>
      </c>
      <c r="M1807" s="82" t="str">
        <f aca="false">IF(B1807="","",IF(OR(J1807&lt;&gt;"",K1807&lt;&gt;""),"POSÉ EN LIGNE",IF(COUNTIF(BARDAGE!$C$1:$C$5000,B1807)&gt;0,"BARDÉ","EN STOCK")))</f>
        <v/>
      </c>
      <c r="N1807" s="80"/>
    </row>
    <row r="1808" customFormat="false" ht="15" hidden="false" customHeight="false" outlineLevel="0" collapsed="false">
      <c r="A1808" s="82" t="str">
        <f aca="false">IF(B1808="","",ROW()-6)</f>
        <v/>
      </c>
      <c r="B1808" s="145"/>
      <c r="C1808" s="146"/>
      <c r="D1808" s="146"/>
      <c r="E1808" s="82" t="str">
        <f aca="false">IF(B1808="","",IF(COUNTIFS('CARNET DE SOUDURE'!$L$7:$L$3006,B1808,'CARNET DE SOUDURE'!$M$7:$M$3006,"&lt;&gt;"&amp;C1808,'CARNET DE SOUDURE'!$M$7:$M$3006,"&lt;&gt;")+COUNTIFS('CARNET DE SOUDURE'!$O$7:$O$3006,B1808,'CARNET DE SOUDURE'!$P$7:$P$3006,"&lt;&gt;"&amp;C1808,'CARNET DE SOUDURE'!$P$7:$P$3006,"&lt;&gt;")&gt;0,"⚠ DIFFÉRENTE","OK"))</f>
        <v/>
      </c>
      <c r="F1808" s="147"/>
      <c r="G1808" s="80"/>
      <c r="H1808" s="83"/>
      <c r="I1808" s="148" t="str">
        <f aca="false">IF(B1808="","",IFERROR(INDEX('CARNET DE SOUDURE'!$B$7:$B$3006,MATCH(B1808,'CARNET DE SOUDURE'!$L$7:$L$3006,0)),IFERROR(INDEX('CARNET DE SOUDURE'!$B$7:$B$3006,MATCH(B1808,'CARNET DE SOUDURE'!$O$7:$O$3006,0)),"")))</f>
        <v/>
      </c>
      <c r="J1808" s="82" t="str">
        <f aca="false">IF(B1808="","",IFERROR(INDEX('CARNET DE SOUDURE'!$E$7:$E$3006,MATCH(B1808,'CARNET DE SOUDURE'!$O$7:$O$3006,0)),""))</f>
        <v/>
      </c>
      <c r="K1808" s="82" t="str">
        <f aca="false">IF(B1808="","",IFERROR(INDEX('CARNET DE SOUDURE'!$E$7:$E$3006,MATCH(B1808,'CARNET DE SOUDURE'!$L$7:$L$3006,0)),""))</f>
        <v/>
      </c>
      <c r="L1808" s="82" t="str">
        <f aca="false">IF(B1808="","",IFERROR(INDEX('CARNET DE SOUDURE'!$D$7:$D$3006,MATCH(B1808,'CARNET DE SOUDURE'!$L$7:$L$3006,0)),IFERROR(INDEX('CARNET DE SOUDURE'!$D$7:$D$3006,MATCH(B1808,'CARNET DE SOUDURE'!$O$7:$O$3006,0)),"")))</f>
        <v/>
      </c>
      <c r="M1808" s="82" t="str">
        <f aca="false">IF(B1808="","",IF(OR(J1808&lt;&gt;"",K1808&lt;&gt;""),"POSÉ EN LIGNE",IF(COUNTIF(BARDAGE!$C$1:$C$5000,B1808)&gt;0,"BARDÉ","EN STOCK")))</f>
        <v/>
      </c>
      <c r="N1808" s="80"/>
    </row>
    <row r="1809" customFormat="false" ht="15" hidden="false" customHeight="false" outlineLevel="0" collapsed="false">
      <c r="A1809" s="82" t="str">
        <f aca="false">IF(B1809="","",ROW()-6)</f>
        <v/>
      </c>
      <c r="B1809" s="145"/>
      <c r="C1809" s="146"/>
      <c r="D1809" s="146"/>
      <c r="E1809" s="82" t="str">
        <f aca="false">IF(B1809="","",IF(COUNTIFS('CARNET DE SOUDURE'!$L$7:$L$3006,B1809,'CARNET DE SOUDURE'!$M$7:$M$3006,"&lt;&gt;"&amp;C1809,'CARNET DE SOUDURE'!$M$7:$M$3006,"&lt;&gt;")+COUNTIFS('CARNET DE SOUDURE'!$O$7:$O$3006,B1809,'CARNET DE SOUDURE'!$P$7:$P$3006,"&lt;&gt;"&amp;C1809,'CARNET DE SOUDURE'!$P$7:$P$3006,"&lt;&gt;")&gt;0,"⚠ DIFFÉRENTE","OK"))</f>
        <v/>
      </c>
      <c r="F1809" s="147"/>
      <c r="G1809" s="80"/>
      <c r="H1809" s="83"/>
      <c r="I1809" s="148" t="str">
        <f aca="false">IF(B1809="","",IFERROR(INDEX('CARNET DE SOUDURE'!$B$7:$B$3006,MATCH(B1809,'CARNET DE SOUDURE'!$L$7:$L$3006,0)),IFERROR(INDEX('CARNET DE SOUDURE'!$B$7:$B$3006,MATCH(B1809,'CARNET DE SOUDURE'!$O$7:$O$3006,0)),"")))</f>
        <v/>
      </c>
      <c r="J1809" s="82" t="str">
        <f aca="false">IF(B1809="","",IFERROR(INDEX('CARNET DE SOUDURE'!$E$7:$E$3006,MATCH(B1809,'CARNET DE SOUDURE'!$O$7:$O$3006,0)),""))</f>
        <v/>
      </c>
      <c r="K1809" s="82" t="str">
        <f aca="false">IF(B1809="","",IFERROR(INDEX('CARNET DE SOUDURE'!$E$7:$E$3006,MATCH(B1809,'CARNET DE SOUDURE'!$L$7:$L$3006,0)),""))</f>
        <v/>
      </c>
      <c r="L1809" s="82" t="str">
        <f aca="false">IF(B1809="","",IFERROR(INDEX('CARNET DE SOUDURE'!$D$7:$D$3006,MATCH(B1809,'CARNET DE SOUDURE'!$L$7:$L$3006,0)),IFERROR(INDEX('CARNET DE SOUDURE'!$D$7:$D$3006,MATCH(B1809,'CARNET DE SOUDURE'!$O$7:$O$3006,0)),"")))</f>
        <v/>
      </c>
      <c r="M1809" s="82" t="str">
        <f aca="false">IF(B1809="","",IF(OR(J1809&lt;&gt;"",K1809&lt;&gt;""),"POSÉ EN LIGNE",IF(COUNTIF(BARDAGE!$C$1:$C$5000,B1809)&gt;0,"BARDÉ","EN STOCK")))</f>
        <v/>
      </c>
      <c r="N1809" s="80"/>
    </row>
    <row r="1810" customFormat="false" ht="15" hidden="false" customHeight="false" outlineLevel="0" collapsed="false">
      <c r="A1810" s="82" t="str">
        <f aca="false">IF(B1810="","",ROW()-6)</f>
        <v/>
      </c>
      <c r="B1810" s="145"/>
      <c r="C1810" s="146"/>
      <c r="D1810" s="146"/>
      <c r="E1810" s="82" t="str">
        <f aca="false">IF(B1810="","",IF(COUNTIFS('CARNET DE SOUDURE'!$L$7:$L$3006,B1810,'CARNET DE SOUDURE'!$M$7:$M$3006,"&lt;&gt;"&amp;C1810,'CARNET DE SOUDURE'!$M$7:$M$3006,"&lt;&gt;")+COUNTIFS('CARNET DE SOUDURE'!$O$7:$O$3006,B1810,'CARNET DE SOUDURE'!$P$7:$P$3006,"&lt;&gt;"&amp;C1810,'CARNET DE SOUDURE'!$P$7:$P$3006,"&lt;&gt;")&gt;0,"⚠ DIFFÉRENTE","OK"))</f>
        <v/>
      </c>
      <c r="F1810" s="147"/>
      <c r="G1810" s="80"/>
      <c r="H1810" s="83"/>
      <c r="I1810" s="148" t="str">
        <f aca="false">IF(B1810="","",IFERROR(INDEX('CARNET DE SOUDURE'!$B$7:$B$3006,MATCH(B1810,'CARNET DE SOUDURE'!$L$7:$L$3006,0)),IFERROR(INDEX('CARNET DE SOUDURE'!$B$7:$B$3006,MATCH(B1810,'CARNET DE SOUDURE'!$O$7:$O$3006,0)),"")))</f>
        <v/>
      </c>
      <c r="J1810" s="82" t="str">
        <f aca="false">IF(B1810="","",IFERROR(INDEX('CARNET DE SOUDURE'!$E$7:$E$3006,MATCH(B1810,'CARNET DE SOUDURE'!$O$7:$O$3006,0)),""))</f>
        <v/>
      </c>
      <c r="K1810" s="82" t="str">
        <f aca="false">IF(B1810="","",IFERROR(INDEX('CARNET DE SOUDURE'!$E$7:$E$3006,MATCH(B1810,'CARNET DE SOUDURE'!$L$7:$L$3006,0)),""))</f>
        <v/>
      </c>
      <c r="L1810" s="82" t="str">
        <f aca="false">IF(B1810="","",IFERROR(INDEX('CARNET DE SOUDURE'!$D$7:$D$3006,MATCH(B1810,'CARNET DE SOUDURE'!$L$7:$L$3006,0)),IFERROR(INDEX('CARNET DE SOUDURE'!$D$7:$D$3006,MATCH(B1810,'CARNET DE SOUDURE'!$O$7:$O$3006,0)),"")))</f>
        <v/>
      </c>
      <c r="M1810" s="82" t="str">
        <f aca="false">IF(B1810="","",IF(OR(J1810&lt;&gt;"",K1810&lt;&gt;""),"POSÉ EN LIGNE",IF(COUNTIF(BARDAGE!$C$1:$C$5000,B1810)&gt;0,"BARDÉ","EN STOCK")))</f>
        <v/>
      </c>
      <c r="N1810" s="80"/>
    </row>
    <row r="1811" customFormat="false" ht="15" hidden="false" customHeight="false" outlineLevel="0" collapsed="false">
      <c r="A1811" s="82" t="str">
        <f aca="false">IF(B1811="","",ROW()-6)</f>
        <v/>
      </c>
      <c r="B1811" s="145"/>
      <c r="C1811" s="146"/>
      <c r="D1811" s="146"/>
      <c r="E1811" s="82" t="str">
        <f aca="false">IF(B1811="","",IF(COUNTIFS('CARNET DE SOUDURE'!$L$7:$L$3006,B1811,'CARNET DE SOUDURE'!$M$7:$M$3006,"&lt;&gt;"&amp;C1811,'CARNET DE SOUDURE'!$M$7:$M$3006,"&lt;&gt;")+COUNTIFS('CARNET DE SOUDURE'!$O$7:$O$3006,B1811,'CARNET DE SOUDURE'!$P$7:$P$3006,"&lt;&gt;"&amp;C1811,'CARNET DE SOUDURE'!$P$7:$P$3006,"&lt;&gt;")&gt;0,"⚠ DIFFÉRENTE","OK"))</f>
        <v/>
      </c>
      <c r="F1811" s="147"/>
      <c r="G1811" s="80"/>
      <c r="H1811" s="83"/>
      <c r="I1811" s="148" t="str">
        <f aca="false">IF(B1811="","",IFERROR(INDEX('CARNET DE SOUDURE'!$B$7:$B$3006,MATCH(B1811,'CARNET DE SOUDURE'!$L$7:$L$3006,0)),IFERROR(INDEX('CARNET DE SOUDURE'!$B$7:$B$3006,MATCH(B1811,'CARNET DE SOUDURE'!$O$7:$O$3006,0)),"")))</f>
        <v/>
      </c>
      <c r="J1811" s="82" t="str">
        <f aca="false">IF(B1811="","",IFERROR(INDEX('CARNET DE SOUDURE'!$E$7:$E$3006,MATCH(B1811,'CARNET DE SOUDURE'!$O$7:$O$3006,0)),""))</f>
        <v/>
      </c>
      <c r="K1811" s="82" t="str">
        <f aca="false">IF(B1811="","",IFERROR(INDEX('CARNET DE SOUDURE'!$E$7:$E$3006,MATCH(B1811,'CARNET DE SOUDURE'!$L$7:$L$3006,0)),""))</f>
        <v/>
      </c>
      <c r="L1811" s="82" t="str">
        <f aca="false">IF(B1811="","",IFERROR(INDEX('CARNET DE SOUDURE'!$D$7:$D$3006,MATCH(B1811,'CARNET DE SOUDURE'!$L$7:$L$3006,0)),IFERROR(INDEX('CARNET DE SOUDURE'!$D$7:$D$3006,MATCH(B1811,'CARNET DE SOUDURE'!$O$7:$O$3006,0)),"")))</f>
        <v/>
      </c>
      <c r="M1811" s="82" t="str">
        <f aca="false">IF(B1811="","",IF(OR(J1811&lt;&gt;"",K1811&lt;&gt;""),"POSÉ EN LIGNE",IF(COUNTIF(BARDAGE!$C$1:$C$5000,B1811)&gt;0,"BARDÉ","EN STOCK")))</f>
        <v/>
      </c>
      <c r="N1811" s="80"/>
    </row>
    <row r="1812" customFormat="false" ht="15" hidden="false" customHeight="false" outlineLevel="0" collapsed="false">
      <c r="A1812" s="82" t="str">
        <f aca="false">IF(B1812="","",ROW()-6)</f>
        <v/>
      </c>
      <c r="B1812" s="145"/>
      <c r="C1812" s="146"/>
      <c r="D1812" s="146"/>
      <c r="E1812" s="82" t="str">
        <f aca="false">IF(B1812="","",IF(COUNTIFS('CARNET DE SOUDURE'!$L$7:$L$3006,B1812,'CARNET DE SOUDURE'!$M$7:$M$3006,"&lt;&gt;"&amp;C1812,'CARNET DE SOUDURE'!$M$7:$M$3006,"&lt;&gt;")+COUNTIFS('CARNET DE SOUDURE'!$O$7:$O$3006,B1812,'CARNET DE SOUDURE'!$P$7:$P$3006,"&lt;&gt;"&amp;C1812,'CARNET DE SOUDURE'!$P$7:$P$3006,"&lt;&gt;")&gt;0,"⚠ DIFFÉRENTE","OK"))</f>
        <v/>
      </c>
      <c r="F1812" s="147"/>
      <c r="G1812" s="80"/>
      <c r="H1812" s="83"/>
      <c r="I1812" s="148" t="str">
        <f aca="false">IF(B1812="","",IFERROR(INDEX('CARNET DE SOUDURE'!$B$7:$B$3006,MATCH(B1812,'CARNET DE SOUDURE'!$L$7:$L$3006,0)),IFERROR(INDEX('CARNET DE SOUDURE'!$B$7:$B$3006,MATCH(B1812,'CARNET DE SOUDURE'!$O$7:$O$3006,0)),"")))</f>
        <v/>
      </c>
      <c r="J1812" s="82" t="str">
        <f aca="false">IF(B1812="","",IFERROR(INDEX('CARNET DE SOUDURE'!$E$7:$E$3006,MATCH(B1812,'CARNET DE SOUDURE'!$O$7:$O$3006,0)),""))</f>
        <v/>
      </c>
      <c r="K1812" s="82" t="str">
        <f aca="false">IF(B1812="","",IFERROR(INDEX('CARNET DE SOUDURE'!$E$7:$E$3006,MATCH(B1812,'CARNET DE SOUDURE'!$L$7:$L$3006,0)),""))</f>
        <v/>
      </c>
      <c r="L1812" s="82" t="str">
        <f aca="false">IF(B1812="","",IFERROR(INDEX('CARNET DE SOUDURE'!$D$7:$D$3006,MATCH(B1812,'CARNET DE SOUDURE'!$L$7:$L$3006,0)),IFERROR(INDEX('CARNET DE SOUDURE'!$D$7:$D$3006,MATCH(B1812,'CARNET DE SOUDURE'!$O$7:$O$3006,0)),"")))</f>
        <v/>
      </c>
      <c r="M1812" s="82" t="str">
        <f aca="false">IF(B1812="","",IF(OR(J1812&lt;&gt;"",K1812&lt;&gt;""),"POSÉ EN LIGNE",IF(COUNTIF(BARDAGE!$C$1:$C$5000,B1812)&gt;0,"BARDÉ","EN STOCK")))</f>
        <v/>
      </c>
      <c r="N1812" s="80"/>
    </row>
    <row r="1813" customFormat="false" ht="15" hidden="false" customHeight="false" outlineLevel="0" collapsed="false">
      <c r="A1813" s="82" t="str">
        <f aca="false">IF(B1813="","",ROW()-6)</f>
        <v/>
      </c>
      <c r="B1813" s="145"/>
      <c r="C1813" s="146"/>
      <c r="D1813" s="146"/>
      <c r="E1813" s="82" t="str">
        <f aca="false">IF(B1813="","",IF(COUNTIFS('CARNET DE SOUDURE'!$L$7:$L$3006,B1813,'CARNET DE SOUDURE'!$M$7:$M$3006,"&lt;&gt;"&amp;C1813,'CARNET DE SOUDURE'!$M$7:$M$3006,"&lt;&gt;")+COUNTIFS('CARNET DE SOUDURE'!$O$7:$O$3006,B1813,'CARNET DE SOUDURE'!$P$7:$P$3006,"&lt;&gt;"&amp;C1813,'CARNET DE SOUDURE'!$P$7:$P$3006,"&lt;&gt;")&gt;0,"⚠ DIFFÉRENTE","OK"))</f>
        <v/>
      </c>
      <c r="F1813" s="147"/>
      <c r="G1813" s="80"/>
      <c r="H1813" s="83"/>
      <c r="I1813" s="148" t="str">
        <f aca="false">IF(B1813="","",IFERROR(INDEX('CARNET DE SOUDURE'!$B$7:$B$3006,MATCH(B1813,'CARNET DE SOUDURE'!$L$7:$L$3006,0)),IFERROR(INDEX('CARNET DE SOUDURE'!$B$7:$B$3006,MATCH(B1813,'CARNET DE SOUDURE'!$O$7:$O$3006,0)),"")))</f>
        <v/>
      </c>
      <c r="J1813" s="82" t="str">
        <f aca="false">IF(B1813="","",IFERROR(INDEX('CARNET DE SOUDURE'!$E$7:$E$3006,MATCH(B1813,'CARNET DE SOUDURE'!$O$7:$O$3006,0)),""))</f>
        <v/>
      </c>
      <c r="K1813" s="82" t="str">
        <f aca="false">IF(B1813="","",IFERROR(INDEX('CARNET DE SOUDURE'!$E$7:$E$3006,MATCH(B1813,'CARNET DE SOUDURE'!$L$7:$L$3006,0)),""))</f>
        <v/>
      </c>
      <c r="L1813" s="82" t="str">
        <f aca="false">IF(B1813="","",IFERROR(INDEX('CARNET DE SOUDURE'!$D$7:$D$3006,MATCH(B1813,'CARNET DE SOUDURE'!$L$7:$L$3006,0)),IFERROR(INDEX('CARNET DE SOUDURE'!$D$7:$D$3006,MATCH(B1813,'CARNET DE SOUDURE'!$O$7:$O$3006,0)),"")))</f>
        <v/>
      </c>
      <c r="M1813" s="82" t="str">
        <f aca="false">IF(B1813="","",IF(OR(J1813&lt;&gt;"",K1813&lt;&gt;""),"POSÉ EN LIGNE",IF(COUNTIF(BARDAGE!$C$1:$C$5000,B1813)&gt;0,"BARDÉ","EN STOCK")))</f>
        <v/>
      </c>
      <c r="N1813" s="80"/>
    </row>
    <row r="1814" customFormat="false" ht="15" hidden="false" customHeight="false" outlineLevel="0" collapsed="false">
      <c r="A1814" s="82" t="str">
        <f aca="false">IF(B1814="","",ROW()-6)</f>
        <v/>
      </c>
      <c r="B1814" s="145"/>
      <c r="C1814" s="146"/>
      <c r="D1814" s="146"/>
      <c r="E1814" s="82" t="str">
        <f aca="false">IF(B1814="","",IF(COUNTIFS('CARNET DE SOUDURE'!$L$7:$L$3006,B1814,'CARNET DE SOUDURE'!$M$7:$M$3006,"&lt;&gt;"&amp;C1814,'CARNET DE SOUDURE'!$M$7:$M$3006,"&lt;&gt;")+COUNTIFS('CARNET DE SOUDURE'!$O$7:$O$3006,B1814,'CARNET DE SOUDURE'!$P$7:$P$3006,"&lt;&gt;"&amp;C1814,'CARNET DE SOUDURE'!$P$7:$P$3006,"&lt;&gt;")&gt;0,"⚠ DIFFÉRENTE","OK"))</f>
        <v/>
      </c>
      <c r="F1814" s="147"/>
      <c r="G1814" s="80"/>
      <c r="H1814" s="83"/>
      <c r="I1814" s="148" t="str">
        <f aca="false">IF(B1814="","",IFERROR(INDEX('CARNET DE SOUDURE'!$B$7:$B$3006,MATCH(B1814,'CARNET DE SOUDURE'!$L$7:$L$3006,0)),IFERROR(INDEX('CARNET DE SOUDURE'!$B$7:$B$3006,MATCH(B1814,'CARNET DE SOUDURE'!$O$7:$O$3006,0)),"")))</f>
        <v/>
      </c>
      <c r="J1814" s="82" t="str">
        <f aca="false">IF(B1814="","",IFERROR(INDEX('CARNET DE SOUDURE'!$E$7:$E$3006,MATCH(B1814,'CARNET DE SOUDURE'!$O$7:$O$3006,0)),""))</f>
        <v/>
      </c>
      <c r="K1814" s="82" t="str">
        <f aca="false">IF(B1814="","",IFERROR(INDEX('CARNET DE SOUDURE'!$E$7:$E$3006,MATCH(B1814,'CARNET DE SOUDURE'!$L$7:$L$3006,0)),""))</f>
        <v/>
      </c>
      <c r="L1814" s="82" t="str">
        <f aca="false">IF(B1814="","",IFERROR(INDEX('CARNET DE SOUDURE'!$D$7:$D$3006,MATCH(B1814,'CARNET DE SOUDURE'!$L$7:$L$3006,0)),IFERROR(INDEX('CARNET DE SOUDURE'!$D$7:$D$3006,MATCH(B1814,'CARNET DE SOUDURE'!$O$7:$O$3006,0)),"")))</f>
        <v/>
      </c>
      <c r="M1814" s="82" t="str">
        <f aca="false">IF(B1814="","",IF(OR(J1814&lt;&gt;"",K1814&lt;&gt;""),"POSÉ EN LIGNE",IF(COUNTIF(BARDAGE!$C$1:$C$5000,B1814)&gt;0,"BARDÉ","EN STOCK")))</f>
        <v/>
      </c>
      <c r="N1814" s="80"/>
    </row>
    <row r="1815" customFormat="false" ht="15" hidden="false" customHeight="false" outlineLevel="0" collapsed="false">
      <c r="A1815" s="82" t="str">
        <f aca="false">IF(B1815="","",ROW()-6)</f>
        <v/>
      </c>
      <c r="B1815" s="145"/>
      <c r="C1815" s="146"/>
      <c r="D1815" s="146"/>
      <c r="E1815" s="82" t="str">
        <f aca="false">IF(B1815="","",IF(COUNTIFS('CARNET DE SOUDURE'!$L$7:$L$3006,B1815,'CARNET DE SOUDURE'!$M$7:$M$3006,"&lt;&gt;"&amp;C1815,'CARNET DE SOUDURE'!$M$7:$M$3006,"&lt;&gt;")+COUNTIFS('CARNET DE SOUDURE'!$O$7:$O$3006,B1815,'CARNET DE SOUDURE'!$P$7:$P$3006,"&lt;&gt;"&amp;C1815,'CARNET DE SOUDURE'!$P$7:$P$3006,"&lt;&gt;")&gt;0,"⚠ DIFFÉRENTE","OK"))</f>
        <v/>
      </c>
      <c r="F1815" s="147"/>
      <c r="G1815" s="80"/>
      <c r="H1815" s="83"/>
      <c r="I1815" s="148" t="str">
        <f aca="false">IF(B1815="","",IFERROR(INDEX('CARNET DE SOUDURE'!$B$7:$B$3006,MATCH(B1815,'CARNET DE SOUDURE'!$L$7:$L$3006,0)),IFERROR(INDEX('CARNET DE SOUDURE'!$B$7:$B$3006,MATCH(B1815,'CARNET DE SOUDURE'!$O$7:$O$3006,0)),"")))</f>
        <v/>
      </c>
      <c r="J1815" s="82" t="str">
        <f aca="false">IF(B1815="","",IFERROR(INDEX('CARNET DE SOUDURE'!$E$7:$E$3006,MATCH(B1815,'CARNET DE SOUDURE'!$O$7:$O$3006,0)),""))</f>
        <v/>
      </c>
      <c r="K1815" s="82" t="str">
        <f aca="false">IF(B1815="","",IFERROR(INDEX('CARNET DE SOUDURE'!$E$7:$E$3006,MATCH(B1815,'CARNET DE SOUDURE'!$L$7:$L$3006,0)),""))</f>
        <v/>
      </c>
      <c r="L1815" s="82" t="str">
        <f aca="false">IF(B1815="","",IFERROR(INDEX('CARNET DE SOUDURE'!$D$7:$D$3006,MATCH(B1815,'CARNET DE SOUDURE'!$L$7:$L$3006,0)),IFERROR(INDEX('CARNET DE SOUDURE'!$D$7:$D$3006,MATCH(B1815,'CARNET DE SOUDURE'!$O$7:$O$3006,0)),"")))</f>
        <v/>
      </c>
      <c r="M1815" s="82" t="str">
        <f aca="false">IF(B1815="","",IF(OR(J1815&lt;&gt;"",K1815&lt;&gt;""),"POSÉ EN LIGNE",IF(COUNTIF(BARDAGE!$C$1:$C$5000,B1815)&gt;0,"BARDÉ","EN STOCK")))</f>
        <v/>
      </c>
      <c r="N1815" s="80"/>
    </row>
    <row r="1816" customFormat="false" ht="15" hidden="false" customHeight="false" outlineLevel="0" collapsed="false">
      <c r="A1816" s="82" t="str">
        <f aca="false">IF(B1816="","",ROW()-6)</f>
        <v/>
      </c>
      <c r="B1816" s="145"/>
      <c r="C1816" s="146"/>
      <c r="D1816" s="146"/>
      <c r="E1816" s="82" t="str">
        <f aca="false">IF(B1816="","",IF(COUNTIFS('CARNET DE SOUDURE'!$L$7:$L$3006,B1816,'CARNET DE SOUDURE'!$M$7:$M$3006,"&lt;&gt;"&amp;C1816,'CARNET DE SOUDURE'!$M$7:$M$3006,"&lt;&gt;")+COUNTIFS('CARNET DE SOUDURE'!$O$7:$O$3006,B1816,'CARNET DE SOUDURE'!$P$7:$P$3006,"&lt;&gt;"&amp;C1816,'CARNET DE SOUDURE'!$P$7:$P$3006,"&lt;&gt;")&gt;0,"⚠ DIFFÉRENTE","OK"))</f>
        <v/>
      </c>
      <c r="F1816" s="147"/>
      <c r="G1816" s="80"/>
      <c r="H1816" s="83"/>
      <c r="I1816" s="148" t="str">
        <f aca="false">IF(B1816="","",IFERROR(INDEX('CARNET DE SOUDURE'!$B$7:$B$3006,MATCH(B1816,'CARNET DE SOUDURE'!$L$7:$L$3006,0)),IFERROR(INDEX('CARNET DE SOUDURE'!$B$7:$B$3006,MATCH(B1816,'CARNET DE SOUDURE'!$O$7:$O$3006,0)),"")))</f>
        <v/>
      </c>
      <c r="J1816" s="82" t="str">
        <f aca="false">IF(B1816="","",IFERROR(INDEX('CARNET DE SOUDURE'!$E$7:$E$3006,MATCH(B1816,'CARNET DE SOUDURE'!$O$7:$O$3006,0)),""))</f>
        <v/>
      </c>
      <c r="K1816" s="82" t="str">
        <f aca="false">IF(B1816="","",IFERROR(INDEX('CARNET DE SOUDURE'!$E$7:$E$3006,MATCH(B1816,'CARNET DE SOUDURE'!$L$7:$L$3006,0)),""))</f>
        <v/>
      </c>
      <c r="L1816" s="82" t="str">
        <f aca="false">IF(B1816="","",IFERROR(INDEX('CARNET DE SOUDURE'!$D$7:$D$3006,MATCH(B1816,'CARNET DE SOUDURE'!$L$7:$L$3006,0)),IFERROR(INDEX('CARNET DE SOUDURE'!$D$7:$D$3006,MATCH(B1816,'CARNET DE SOUDURE'!$O$7:$O$3006,0)),"")))</f>
        <v/>
      </c>
      <c r="M1816" s="82" t="str">
        <f aca="false">IF(B1816="","",IF(OR(J1816&lt;&gt;"",K1816&lt;&gt;""),"POSÉ EN LIGNE",IF(COUNTIF(BARDAGE!$C$1:$C$5000,B1816)&gt;0,"BARDÉ","EN STOCK")))</f>
        <v/>
      </c>
      <c r="N1816" s="80"/>
    </row>
    <row r="1817" customFormat="false" ht="15" hidden="false" customHeight="false" outlineLevel="0" collapsed="false">
      <c r="A1817" s="82" t="str">
        <f aca="false">IF(B1817="","",ROW()-6)</f>
        <v/>
      </c>
      <c r="B1817" s="145"/>
      <c r="C1817" s="146"/>
      <c r="D1817" s="146"/>
      <c r="E1817" s="82" t="str">
        <f aca="false">IF(B1817="","",IF(COUNTIFS('CARNET DE SOUDURE'!$L$7:$L$3006,B1817,'CARNET DE SOUDURE'!$M$7:$M$3006,"&lt;&gt;"&amp;C1817,'CARNET DE SOUDURE'!$M$7:$M$3006,"&lt;&gt;")+COUNTIFS('CARNET DE SOUDURE'!$O$7:$O$3006,B1817,'CARNET DE SOUDURE'!$P$7:$P$3006,"&lt;&gt;"&amp;C1817,'CARNET DE SOUDURE'!$P$7:$P$3006,"&lt;&gt;")&gt;0,"⚠ DIFFÉRENTE","OK"))</f>
        <v/>
      </c>
      <c r="F1817" s="147"/>
      <c r="G1817" s="80"/>
      <c r="H1817" s="83"/>
      <c r="I1817" s="148" t="str">
        <f aca="false">IF(B1817="","",IFERROR(INDEX('CARNET DE SOUDURE'!$B$7:$B$3006,MATCH(B1817,'CARNET DE SOUDURE'!$L$7:$L$3006,0)),IFERROR(INDEX('CARNET DE SOUDURE'!$B$7:$B$3006,MATCH(B1817,'CARNET DE SOUDURE'!$O$7:$O$3006,0)),"")))</f>
        <v/>
      </c>
      <c r="J1817" s="82" t="str">
        <f aca="false">IF(B1817="","",IFERROR(INDEX('CARNET DE SOUDURE'!$E$7:$E$3006,MATCH(B1817,'CARNET DE SOUDURE'!$O$7:$O$3006,0)),""))</f>
        <v/>
      </c>
      <c r="K1817" s="82" t="str">
        <f aca="false">IF(B1817="","",IFERROR(INDEX('CARNET DE SOUDURE'!$E$7:$E$3006,MATCH(B1817,'CARNET DE SOUDURE'!$L$7:$L$3006,0)),""))</f>
        <v/>
      </c>
      <c r="L1817" s="82" t="str">
        <f aca="false">IF(B1817="","",IFERROR(INDEX('CARNET DE SOUDURE'!$D$7:$D$3006,MATCH(B1817,'CARNET DE SOUDURE'!$L$7:$L$3006,0)),IFERROR(INDEX('CARNET DE SOUDURE'!$D$7:$D$3006,MATCH(B1817,'CARNET DE SOUDURE'!$O$7:$O$3006,0)),"")))</f>
        <v/>
      </c>
      <c r="M1817" s="82" t="str">
        <f aca="false">IF(B1817="","",IF(OR(J1817&lt;&gt;"",K1817&lt;&gt;""),"POSÉ EN LIGNE",IF(COUNTIF(BARDAGE!$C$1:$C$5000,B1817)&gt;0,"BARDÉ","EN STOCK")))</f>
        <v/>
      </c>
      <c r="N1817" s="80"/>
    </row>
    <row r="1818" customFormat="false" ht="15" hidden="false" customHeight="false" outlineLevel="0" collapsed="false">
      <c r="A1818" s="82" t="str">
        <f aca="false">IF(B1818="","",ROW()-6)</f>
        <v/>
      </c>
      <c r="B1818" s="145"/>
      <c r="C1818" s="146"/>
      <c r="D1818" s="146"/>
      <c r="E1818" s="82" t="str">
        <f aca="false">IF(B1818="","",IF(COUNTIFS('CARNET DE SOUDURE'!$L$7:$L$3006,B1818,'CARNET DE SOUDURE'!$M$7:$M$3006,"&lt;&gt;"&amp;C1818,'CARNET DE SOUDURE'!$M$7:$M$3006,"&lt;&gt;")+COUNTIFS('CARNET DE SOUDURE'!$O$7:$O$3006,B1818,'CARNET DE SOUDURE'!$P$7:$P$3006,"&lt;&gt;"&amp;C1818,'CARNET DE SOUDURE'!$P$7:$P$3006,"&lt;&gt;")&gt;0,"⚠ DIFFÉRENTE","OK"))</f>
        <v/>
      </c>
      <c r="F1818" s="147"/>
      <c r="G1818" s="80"/>
      <c r="H1818" s="83"/>
      <c r="I1818" s="148" t="str">
        <f aca="false">IF(B1818="","",IFERROR(INDEX('CARNET DE SOUDURE'!$B$7:$B$3006,MATCH(B1818,'CARNET DE SOUDURE'!$L$7:$L$3006,0)),IFERROR(INDEX('CARNET DE SOUDURE'!$B$7:$B$3006,MATCH(B1818,'CARNET DE SOUDURE'!$O$7:$O$3006,0)),"")))</f>
        <v/>
      </c>
      <c r="J1818" s="82" t="str">
        <f aca="false">IF(B1818="","",IFERROR(INDEX('CARNET DE SOUDURE'!$E$7:$E$3006,MATCH(B1818,'CARNET DE SOUDURE'!$O$7:$O$3006,0)),""))</f>
        <v/>
      </c>
      <c r="K1818" s="82" t="str">
        <f aca="false">IF(B1818="","",IFERROR(INDEX('CARNET DE SOUDURE'!$E$7:$E$3006,MATCH(B1818,'CARNET DE SOUDURE'!$L$7:$L$3006,0)),""))</f>
        <v/>
      </c>
      <c r="L1818" s="82" t="str">
        <f aca="false">IF(B1818="","",IFERROR(INDEX('CARNET DE SOUDURE'!$D$7:$D$3006,MATCH(B1818,'CARNET DE SOUDURE'!$L$7:$L$3006,0)),IFERROR(INDEX('CARNET DE SOUDURE'!$D$7:$D$3006,MATCH(B1818,'CARNET DE SOUDURE'!$O$7:$O$3006,0)),"")))</f>
        <v/>
      </c>
      <c r="M1818" s="82" t="str">
        <f aca="false">IF(B1818="","",IF(OR(J1818&lt;&gt;"",K1818&lt;&gt;""),"POSÉ EN LIGNE",IF(COUNTIF(BARDAGE!$C$1:$C$5000,B1818)&gt;0,"BARDÉ","EN STOCK")))</f>
        <v/>
      </c>
      <c r="N1818" s="80"/>
    </row>
    <row r="1819" customFormat="false" ht="15" hidden="false" customHeight="false" outlineLevel="0" collapsed="false">
      <c r="A1819" s="82" t="str">
        <f aca="false">IF(B1819="","",ROW()-6)</f>
        <v/>
      </c>
      <c r="B1819" s="145"/>
      <c r="C1819" s="146"/>
      <c r="D1819" s="146"/>
      <c r="E1819" s="82" t="str">
        <f aca="false">IF(B1819="","",IF(COUNTIFS('CARNET DE SOUDURE'!$L$7:$L$3006,B1819,'CARNET DE SOUDURE'!$M$7:$M$3006,"&lt;&gt;"&amp;C1819,'CARNET DE SOUDURE'!$M$7:$M$3006,"&lt;&gt;")+COUNTIFS('CARNET DE SOUDURE'!$O$7:$O$3006,B1819,'CARNET DE SOUDURE'!$P$7:$P$3006,"&lt;&gt;"&amp;C1819,'CARNET DE SOUDURE'!$P$7:$P$3006,"&lt;&gt;")&gt;0,"⚠ DIFFÉRENTE","OK"))</f>
        <v/>
      </c>
      <c r="F1819" s="147"/>
      <c r="G1819" s="80"/>
      <c r="H1819" s="83"/>
      <c r="I1819" s="148" t="str">
        <f aca="false">IF(B1819="","",IFERROR(INDEX('CARNET DE SOUDURE'!$B$7:$B$3006,MATCH(B1819,'CARNET DE SOUDURE'!$L$7:$L$3006,0)),IFERROR(INDEX('CARNET DE SOUDURE'!$B$7:$B$3006,MATCH(B1819,'CARNET DE SOUDURE'!$O$7:$O$3006,0)),"")))</f>
        <v/>
      </c>
      <c r="J1819" s="82" t="str">
        <f aca="false">IF(B1819="","",IFERROR(INDEX('CARNET DE SOUDURE'!$E$7:$E$3006,MATCH(B1819,'CARNET DE SOUDURE'!$O$7:$O$3006,0)),""))</f>
        <v/>
      </c>
      <c r="K1819" s="82" t="str">
        <f aca="false">IF(B1819="","",IFERROR(INDEX('CARNET DE SOUDURE'!$E$7:$E$3006,MATCH(B1819,'CARNET DE SOUDURE'!$L$7:$L$3006,0)),""))</f>
        <v/>
      </c>
      <c r="L1819" s="82" t="str">
        <f aca="false">IF(B1819="","",IFERROR(INDEX('CARNET DE SOUDURE'!$D$7:$D$3006,MATCH(B1819,'CARNET DE SOUDURE'!$L$7:$L$3006,0)),IFERROR(INDEX('CARNET DE SOUDURE'!$D$7:$D$3006,MATCH(B1819,'CARNET DE SOUDURE'!$O$7:$O$3006,0)),"")))</f>
        <v/>
      </c>
      <c r="M1819" s="82" t="str">
        <f aca="false">IF(B1819="","",IF(OR(J1819&lt;&gt;"",K1819&lt;&gt;""),"POSÉ EN LIGNE",IF(COUNTIF(BARDAGE!$C$1:$C$5000,B1819)&gt;0,"BARDÉ","EN STOCK")))</f>
        <v/>
      </c>
      <c r="N1819" s="80"/>
    </row>
    <row r="1820" customFormat="false" ht="15" hidden="false" customHeight="false" outlineLevel="0" collapsed="false">
      <c r="A1820" s="82" t="str">
        <f aca="false">IF(B1820="","",ROW()-6)</f>
        <v/>
      </c>
      <c r="B1820" s="145"/>
      <c r="C1820" s="146"/>
      <c r="D1820" s="146"/>
      <c r="E1820" s="82" t="str">
        <f aca="false">IF(B1820="","",IF(COUNTIFS('CARNET DE SOUDURE'!$L$7:$L$3006,B1820,'CARNET DE SOUDURE'!$M$7:$M$3006,"&lt;&gt;"&amp;C1820,'CARNET DE SOUDURE'!$M$7:$M$3006,"&lt;&gt;")+COUNTIFS('CARNET DE SOUDURE'!$O$7:$O$3006,B1820,'CARNET DE SOUDURE'!$P$7:$P$3006,"&lt;&gt;"&amp;C1820,'CARNET DE SOUDURE'!$P$7:$P$3006,"&lt;&gt;")&gt;0,"⚠ DIFFÉRENTE","OK"))</f>
        <v/>
      </c>
      <c r="F1820" s="147"/>
      <c r="G1820" s="80"/>
      <c r="H1820" s="83"/>
      <c r="I1820" s="148" t="str">
        <f aca="false">IF(B1820="","",IFERROR(INDEX('CARNET DE SOUDURE'!$B$7:$B$3006,MATCH(B1820,'CARNET DE SOUDURE'!$L$7:$L$3006,0)),IFERROR(INDEX('CARNET DE SOUDURE'!$B$7:$B$3006,MATCH(B1820,'CARNET DE SOUDURE'!$O$7:$O$3006,0)),"")))</f>
        <v/>
      </c>
      <c r="J1820" s="82" t="str">
        <f aca="false">IF(B1820="","",IFERROR(INDEX('CARNET DE SOUDURE'!$E$7:$E$3006,MATCH(B1820,'CARNET DE SOUDURE'!$O$7:$O$3006,0)),""))</f>
        <v/>
      </c>
      <c r="K1820" s="82" t="str">
        <f aca="false">IF(B1820="","",IFERROR(INDEX('CARNET DE SOUDURE'!$E$7:$E$3006,MATCH(B1820,'CARNET DE SOUDURE'!$L$7:$L$3006,0)),""))</f>
        <v/>
      </c>
      <c r="L1820" s="82" t="str">
        <f aca="false">IF(B1820="","",IFERROR(INDEX('CARNET DE SOUDURE'!$D$7:$D$3006,MATCH(B1820,'CARNET DE SOUDURE'!$L$7:$L$3006,0)),IFERROR(INDEX('CARNET DE SOUDURE'!$D$7:$D$3006,MATCH(B1820,'CARNET DE SOUDURE'!$O$7:$O$3006,0)),"")))</f>
        <v/>
      </c>
      <c r="M1820" s="82" t="str">
        <f aca="false">IF(B1820="","",IF(OR(J1820&lt;&gt;"",K1820&lt;&gt;""),"POSÉ EN LIGNE",IF(COUNTIF(BARDAGE!$C$1:$C$5000,B1820)&gt;0,"BARDÉ","EN STOCK")))</f>
        <v/>
      </c>
      <c r="N1820" s="80"/>
    </row>
    <row r="1821" customFormat="false" ht="15" hidden="false" customHeight="false" outlineLevel="0" collapsed="false">
      <c r="A1821" s="82" t="str">
        <f aca="false">IF(B1821="","",ROW()-6)</f>
        <v/>
      </c>
      <c r="B1821" s="145"/>
      <c r="C1821" s="146"/>
      <c r="D1821" s="146"/>
      <c r="E1821" s="82" t="str">
        <f aca="false">IF(B1821="","",IF(COUNTIFS('CARNET DE SOUDURE'!$L$7:$L$3006,B1821,'CARNET DE SOUDURE'!$M$7:$M$3006,"&lt;&gt;"&amp;C1821,'CARNET DE SOUDURE'!$M$7:$M$3006,"&lt;&gt;")+COUNTIFS('CARNET DE SOUDURE'!$O$7:$O$3006,B1821,'CARNET DE SOUDURE'!$P$7:$P$3006,"&lt;&gt;"&amp;C1821,'CARNET DE SOUDURE'!$P$7:$P$3006,"&lt;&gt;")&gt;0,"⚠ DIFFÉRENTE","OK"))</f>
        <v/>
      </c>
      <c r="F1821" s="147"/>
      <c r="G1821" s="80"/>
      <c r="H1821" s="83"/>
      <c r="I1821" s="148" t="str">
        <f aca="false">IF(B1821="","",IFERROR(INDEX('CARNET DE SOUDURE'!$B$7:$B$3006,MATCH(B1821,'CARNET DE SOUDURE'!$L$7:$L$3006,0)),IFERROR(INDEX('CARNET DE SOUDURE'!$B$7:$B$3006,MATCH(B1821,'CARNET DE SOUDURE'!$O$7:$O$3006,0)),"")))</f>
        <v/>
      </c>
      <c r="J1821" s="82" t="str">
        <f aca="false">IF(B1821="","",IFERROR(INDEX('CARNET DE SOUDURE'!$E$7:$E$3006,MATCH(B1821,'CARNET DE SOUDURE'!$O$7:$O$3006,0)),""))</f>
        <v/>
      </c>
      <c r="K1821" s="82" t="str">
        <f aca="false">IF(B1821="","",IFERROR(INDEX('CARNET DE SOUDURE'!$E$7:$E$3006,MATCH(B1821,'CARNET DE SOUDURE'!$L$7:$L$3006,0)),""))</f>
        <v/>
      </c>
      <c r="L1821" s="82" t="str">
        <f aca="false">IF(B1821="","",IFERROR(INDEX('CARNET DE SOUDURE'!$D$7:$D$3006,MATCH(B1821,'CARNET DE SOUDURE'!$L$7:$L$3006,0)),IFERROR(INDEX('CARNET DE SOUDURE'!$D$7:$D$3006,MATCH(B1821,'CARNET DE SOUDURE'!$O$7:$O$3006,0)),"")))</f>
        <v/>
      </c>
      <c r="M1821" s="82" t="str">
        <f aca="false">IF(B1821="","",IF(OR(J1821&lt;&gt;"",K1821&lt;&gt;""),"POSÉ EN LIGNE",IF(COUNTIF(BARDAGE!$C$1:$C$5000,B1821)&gt;0,"BARDÉ","EN STOCK")))</f>
        <v/>
      </c>
      <c r="N1821" s="80"/>
    </row>
    <row r="1822" customFormat="false" ht="15" hidden="false" customHeight="false" outlineLevel="0" collapsed="false">
      <c r="A1822" s="82" t="str">
        <f aca="false">IF(B1822="","",ROW()-6)</f>
        <v/>
      </c>
      <c r="B1822" s="145"/>
      <c r="C1822" s="146"/>
      <c r="D1822" s="146"/>
      <c r="E1822" s="82" t="str">
        <f aca="false">IF(B1822="","",IF(COUNTIFS('CARNET DE SOUDURE'!$L$7:$L$3006,B1822,'CARNET DE SOUDURE'!$M$7:$M$3006,"&lt;&gt;"&amp;C1822,'CARNET DE SOUDURE'!$M$7:$M$3006,"&lt;&gt;")+COUNTIFS('CARNET DE SOUDURE'!$O$7:$O$3006,B1822,'CARNET DE SOUDURE'!$P$7:$P$3006,"&lt;&gt;"&amp;C1822,'CARNET DE SOUDURE'!$P$7:$P$3006,"&lt;&gt;")&gt;0,"⚠ DIFFÉRENTE","OK"))</f>
        <v/>
      </c>
      <c r="F1822" s="147"/>
      <c r="G1822" s="80"/>
      <c r="H1822" s="83"/>
      <c r="I1822" s="148" t="str">
        <f aca="false">IF(B1822="","",IFERROR(INDEX('CARNET DE SOUDURE'!$B$7:$B$3006,MATCH(B1822,'CARNET DE SOUDURE'!$L$7:$L$3006,0)),IFERROR(INDEX('CARNET DE SOUDURE'!$B$7:$B$3006,MATCH(B1822,'CARNET DE SOUDURE'!$O$7:$O$3006,0)),"")))</f>
        <v/>
      </c>
      <c r="J1822" s="82" t="str">
        <f aca="false">IF(B1822="","",IFERROR(INDEX('CARNET DE SOUDURE'!$E$7:$E$3006,MATCH(B1822,'CARNET DE SOUDURE'!$O$7:$O$3006,0)),""))</f>
        <v/>
      </c>
      <c r="K1822" s="82" t="str">
        <f aca="false">IF(B1822="","",IFERROR(INDEX('CARNET DE SOUDURE'!$E$7:$E$3006,MATCH(B1822,'CARNET DE SOUDURE'!$L$7:$L$3006,0)),""))</f>
        <v/>
      </c>
      <c r="L1822" s="82" t="str">
        <f aca="false">IF(B1822="","",IFERROR(INDEX('CARNET DE SOUDURE'!$D$7:$D$3006,MATCH(B1822,'CARNET DE SOUDURE'!$L$7:$L$3006,0)),IFERROR(INDEX('CARNET DE SOUDURE'!$D$7:$D$3006,MATCH(B1822,'CARNET DE SOUDURE'!$O$7:$O$3006,0)),"")))</f>
        <v/>
      </c>
      <c r="M1822" s="82" t="str">
        <f aca="false">IF(B1822="","",IF(OR(J1822&lt;&gt;"",K1822&lt;&gt;""),"POSÉ EN LIGNE",IF(COUNTIF(BARDAGE!$C$1:$C$5000,B1822)&gt;0,"BARDÉ","EN STOCK")))</f>
        <v/>
      </c>
      <c r="N1822" s="80"/>
    </row>
    <row r="1823" customFormat="false" ht="15" hidden="false" customHeight="false" outlineLevel="0" collapsed="false">
      <c r="A1823" s="82" t="str">
        <f aca="false">IF(B1823="","",ROW()-6)</f>
        <v/>
      </c>
      <c r="B1823" s="145"/>
      <c r="C1823" s="146"/>
      <c r="D1823" s="146"/>
      <c r="E1823" s="82" t="str">
        <f aca="false">IF(B1823="","",IF(COUNTIFS('CARNET DE SOUDURE'!$L$7:$L$3006,B1823,'CARNET DE SOUDURE'!$M$7:$M$3006,"&lt;&gt;"&amp;C1823,'CARNET DE SOUDURE'!$M$7:$M$3006,"&lt;&gt;")+COUNTIFS('CARNET DE SOUDURE'!$O$7:$O$3006,B1823,'CARNET DE SOUDURE'!$P$7:$P$3006,"&lt;&gt;"&amp;C1823,'CARNET DE SOUDURE'!$P$7:$P$3006,"&lt;&gt;")&gt;0,"⚠ DIFFÉRENTE","OK"))</f>
        <v/>
      </c>
      <c r="F1823" s="147"/>
      <c r="G1823" s="80"/>
      <c r="H1823" s="83"/>
      <c r="I1823" s="148" t="str">
        <f aca="false">IF(B1823="","",IFERROR(INDEX('CARNET DE SOUDURE'!$B$7:$B$3006,MATCH(B1823,'CARNET DE SOUDURE'!$L$7:$L$3006,0)),IFERROR(INDEX('CARNET DE SOUDURE'!$B$7:$B$3006,MATCH(B1823,'CARNET DE SOUDURE'!$O$7:$O$3006,0)),"")))</f>
        <v/>
      </c>
      <c r="J1823" s="82" t="str">
        <f aca="false">IF(B1823="","",IFERROR(INDEX('CARNET DE SOUDURE'!$E$7:$E$3006,MATCH(B1823,'CARNET DE SOUDURE'!$O$7:$O$3006,0)),""))</f>
        <v/>
      </c>
      <c r="K1823" s="82" t="str">
        <f aca="false">IF(B1823="","",IFERROR(INDEX('CARNET DE SOUDURE'!$E$7:$E$3006,MATCH(B1823,'CARNET DE SOUDURE'!$L$7:$L$3006,0)),""))</f>
        <v/>
      </c>
      <c r="L1823" s="82" t="str">
        <f aca="false">IF(B1823="","",IFERROR(INDEX('CARNET DE SOUDURE'!$D$7:$D$3006,MATCH(B1823,'CARNET DE SOUDURE'!$L$7:$L$3006,0)),IFERROR(INDEX('CARNET DE SOUDURE'!$D$7:$D$3006,MATCH(B1823,'CARNET DE SOUDURE'!$O$7:$O$3006,0)),"")))</f>
        <v/>
      </c>
      <c r="M1823" s="82" t="str">
        <f aca="false">IF(B1823="","",IF(OR(J1823&lt;&gt;"",K1823&lt;&gt;""),"POSÉ EN LIGNE",IF(COUNTIF(BARDAGE!$C$1:$C$5000,B1823)&gt;0,"BARDÉ","EN STOCK")))</f>
        <v/>
      </c>
      <c r="N1823" s="80"/>
    </row>
    <row r="1824" customFormat="false" ht="15" hidden="false" customHeight="false" outlineLevel="0" collapsed="false">
      <c r="A1824" s="82" t="str">
        <f aca="false">IF(B1824="","",ROW()-6)</f>
        <v/>
      </c>
      <c r="B1824" s="145"/>
      <c r="C1824" s="146"/>
      <c r="D1824" s="146"/>
      <c r="E1824" s="82" t="str">
        <f aca="false">IF(B1824="","",IF(COUNTIFS('CARNET DE SOUDURE'!$L$7:$L$3006,B1824,'CARNET DE SOUDURE'!$M$7:$M$3006,"&lt;&gt;"&amp;C1824,'CARNET DE SOUDURE'!$M$7:$M$3006,"&lt;&gt;")+COUNTIFS('CARNET DE SOUDURE'!$O$7:$O$3006,B1824,'CARNET DE SOUDURE'!$P$7:$P$3006,"&lt;&gt;"&amp;C1824,'CARNET DE SOUDURE'!$P$7:$P$3006,"&lt;&gt;")&gt;0,"⚠ DIFFÉRENTE","OK"))</f>
        <v/>
      </c>
      <c r="F1824" s="147"/>
      <c r="G1824" s="80"/>
      <c r="H1824" s="83"/>
      <c r="I1824" s="148" t="str">
        <f aca="false">IF(B1824="","",IFERROR(INDEX('CARNET DE SOUDURE'!$B$7:$B$3006,MATCH(B1824,'CARNET DE SOUDURE'!$L$7:$L$3006,0)),IFERROR(INDEX('CARNET DE SOUDURE'!$B$7:$B$3006,MATCH(B1824,'CARNET DE SOUDURE'!$O$7:$O$3006,0)),"")))</f>
        <v/>
      </c>
      <c r="J1824" s="82" t="str">
        <f aca="false">IF(B1824="","",IFERROR(INDEX('CARNET DE SOUDURE'!$E$7:$E$3006,MATCH(B1824,'CARNET DE SOUDURE'!$O$7:$O$3006,0)),""))</f>
        <v/>
      </c>
      <c r="K1824" s="82" t="str">
        <f aca="false">IF(B1824="","",IFERROR(INDEX('CARNET DE SOUDURE'!$E$7:$E$3006,MATCH(B1824,'CARNET DE SOUDURE'!$L$7:$L$3006,0)),""))</f>
        <v/>
      </c>
      <c r="L1824" s="82" t="str">
        <f aca="false">IF(B1824="","",IFERROR(INDEX('CARNET DE SOUDURE'!$D$7:$D$3006,MATCH(B1824,'CARNET DE SOUDURE'!$L$7:$L$3006,0)),IFERROR(INDEX('CARNET DE SOUDURE'!$D$7:$D$3006,MATCH(B1824,'CARNET DE SOUDURE'!$O$7:$O$3006,0)),"")))</f>
        <v/>
      </c>
      <c r="M1824" s="82" t="str">
        <f aca="false">IF(B1824="","",IF(OR(J1824&lt;&gt;"",K1824&lt;&gt;""),"POSÉ EN LIGNE",IF(COUNTIF(BARDAGE!$C$1:$C$5000,B1824)&gt;0,"BARDÉ","EN STOCK")))</f>
        <v/>
      </c>
      <c r="N1824" s="80"/>
    </row>
    <row r="1825" customFormat="false" ht="15" hidden="false" customHeight="false" outlineLevel="0" collapsed="false">
      <c r="A1825" s="82" t="str">
        <f aca="false">IF(B1825="","",ROW()-6)</f>
        <v/>
      </c>
      <c r="B1825" s="145"/>
      <c r="C1825" s="146"/>
      <c r="D1825" s="146"/>
      <c r="E1825" s="82" t="str">
        <f aca="false">IF(B1825="","",IF(COUNTIFS('CARNET DE SOUDURE'!$L$7:$L$3006,B1825,'CARNET DE SOUDURE'!$M$7:$M$3006,"&lt;&gt;"&amp;C1825,'CARNET DE SOUDURE'!$M$7:$M$3006,"&lt;&gt;")+COUNTIFS('CARNET DE SOUDURE'!$O$7:$O$3006,B1825,'CARNET DE SOUDURE'!$P$7:$P$3006,"&lt;&gt;"&amp;C1825,'CARNET DE SOUDURE'!$P$7:$P$3006,"&lt;&gt;")&gt;0,"⚠ DIFFÉRENTE","OK"))</f>
        <v/>
      </c>
      <c r="F1825" s="147"/>
      <c r="G1825" s="80"/>
      <c r="H1825" s="83"/>
      <c r="I1825" s="148" t="str">
        <f aca="false">IF(B1825="","",IFERROR(INDEX('CARNET DE SOUDURE'!$B$7:$B$3006,MATCH(B1825,'CARNET DE SOUDURE'!$L$7:$L$3006,0)),IFERROR(INDEX('CARNET DE SOUDURE'!$B$7:$B$3006,MATCH(B1825,'CARNET DE SOUDURE'!$O$7:$O$3006,0)),"")))</f>
        <v/>
      </c>
      <c r="J1825" s="82" t="str">
        <f aca="false">IF(B1825="","",IFERROR(INDEX('CARNET DE SOUDURE'!$E$7:$E$3006,MATCH(B1825,'CARNET DE SOUDURE'!$O$7:$O$3006,0)),""))</f>
        <v/>
      </c>
      <c r="K1825" s="82" t="str">
        <f aca="false">IF(B1825="","",IFERROR(INDEX('CARNET DE SOUDURE'!$E$7:$E$3006,MATCH(B1825,'CARNET DE SOUDURE'!$L$7:$L$3006,0)),""))</f>
        <v/>
      </c>
      <c r="L1825" s="82" t="str">
        <f aca="false">IF(B1825="","",IFERROR(INDEX('CARNET DE SOUDURE'!$D$7:$D$3006,MATCH(B1825,'CARNET DE SOUDURE'!$L$7:$L$3006,0)),IFERROR(INDEX('CARNET DE SOUDURE'!$D$7:$D$3006,MATCH(B1825,'CARNET DE SOUDURE'!$O$7:$O$3006,0)),"")))</f>
        <v/>
      </c>
      <c r="M1825" s="82" t="str">
        <f aca="false">IF(B1825="","",IF(OR(J1825&lt;&gt;"",K1825&lt;&gt;""),"POSÉ EN LIGNE",IF(COUNTIF(BARDAGE!$C$1:$C$5000,B1825)&gt;0,"BARDÉ","EN STOCK")))</f>
        <v/>
      </c>
      <c r="N1825" s="80"/>
    </row>
    <row r="1826" customFormat="false" ht="15" hidden="false" customHeight="false" outlineLevel="0" collapsed="false">
      <c r="A1826" s="82" t="str">
        <f aca="false">IF(B1826="","",ROW()-6)</f>
        <v/>
      </c>
      <c r="B1826" s="145"/>
      <c r="C1826" s="146"/>
      <c r="D1826" s="146"/>
      <c r="E1826" s="82" t="str">
        <f aca="false">IF(B1826="","",IF(COUNTIFS('CARNET DE SOUDURE'!$L$7:$L$3006,B1826,'CARNET DE SOUDURE'!$M$7:$M$3006,"&lt;&gt;"&amp;C1826,'CARNET DE SOUDURE'!$M$7:$M$3006,"&lt;&gt;")+COUNTIFS('CARNET DE SOUDURE'!$O$7:$O$3006,B1826,'CARNET DE SOUDURE'!$P$7:$P$3006,"&lt;&gt;"&amp;C1826,'CARNET DE SOUDURE'!$P$7:$P$3006,"&lt;&gt;")&gt;0,"⚠ DIFFÉRENTE","OK"))</f>
        <v/>
      </c>
      <c r="F1826" s="147"/>
      <c r="G1826" s="80"/>
      <c r="H1826" s="83"/>
      <c r="I1826" s="148" t="str">
        <f aca="false">IF(B1826="","",IFERROR(INDEX('CARNET DE SOUDURE'!$B$7:$B$3006,MATCH(B1826,'CARNET DE SOUDURE'!$L$7:$L$3006,0)),IFERROR(INDEX('CARNET DE SOUDURE'!$B$7:$B$3006,MATCH(B1826,'CARNET DE SOUDURE'!$O$7:$O$3006,0)),"")))</f>
        <v/>
      </c>
      <c r="J1826" s="82" t="str">
        <f aca="false">IF(B1826="","",IFERROR(INDEX('CARNET DE SOUDURE'!$E$7:$E$3006,MATCH(B1826,'CARNET DE SOUDURE'!$O$7:$O$3006,0)),""))</f>
        <v/>
      </c>
      <c r="K1826" s="82" t="str">
        <f aca="false">IF(B1826="","",IFERROR(INDEX('CARNET DE SOUDURE'!$E$7:$E$3006,MATCH(B1826,'CARNET DE SOUDURE'!$L$7:$L$3006,0)),""))</f>
        <v/>
      </c>
      <c r="L1826" s="82" t="str">
        <f aca="false">IF(B1826="","",IFERROR(INDEX('CARNET DE SOUDURE'!$D$7:$D$3006,MATCH(B1826,'CARNET DE SOUDURE'!$L$7:$L$3006,0)),IFERROR(INDEX('CARNET DE SOUDURE'!$D$7:$D$3006,MATCH(B1826,'CARNET DE SOUDURE'!$O$7:$O$3006,0)),"")))</f>
        <v/>
      </c>
      <c r="M1826" s="82" t="str">
        <f aca="false">IF(B1826="","",IF(OR(J1826&lt;&gt;"",K1826&lt;&gt;""),"POSÉ EN LIGNE",IF(COUNTIF(BARDAGE!$C$1:$C$5000,B1826)&gt;0,"BARDÉ","EN STOCK")))</f>
        <v/>
      </c>
      <c r="N1826" s="80"/>
    </row>
    <row r="1827" customFormat="false" ht="15" hidden="false" customHeight="false" outlineLevel="0" collapsed="false">
      <c r="A1827" s="82" t="str">
        <f aca="false">IF(B1827="","",ROW()-6)</f>
        <v/>
      </c>
      <c r="B1827" s="145"/>
      <c r="C1827" s="146"/>
      <c r="D1827" s="146"/>
      <c r="E1827" s="82" t="str">
        <f aca="false">IF(B1827="","",IF(COUNTIFS('CARNET DE SOUDURE'!$L$7:$L$3006,B1827,'CARNET DE SOUDURE'!$M$7:$M$3006,"&lt;&gt;"&amp;C1827,'CARNET DE SOUDURE'!$M$7:$M$3006,"&lt;&gt;")+COUNTIFS('CARNET DE SOUDURE'!$O$7:$O$3006,B1827,'CARNET DE SOUDURE'!$P$7:$P$3006,"&lt;&gt;"&amp;C1827,'CARNET DE SOUDURE'!$P$7:$P$3006,"&lt;&gt;")&gt;0,"⚠ DIFFÉRENTE","OK"))</f>
        <v/>
      </c>
      <c r="F1827" s="147"/>
      <c r="G1827" s="80"/>
      <c r="H1827" s="83"/>
      <c r="I1827" s="148" t="str">
        <f aca="false">IF(B1827="","",IFERROR(INDEX('CARNET DE SOUDURE'!$B$7:$B$3006,MATCH(B1827,'CARNET DE SOUDURE'!$L$7:$L$3006,0)),IFERROR(INDEX('CARNET DE SOUDURE'!$B$7:$B$3006,MATCH(B1827,'CARNET DE SOUDURE'!$O$7:$O$3006,0)),"")))</f>
        <v/>
      </c>
      <c r="J1827" s="82" t="str">
        <f aca="false">IF(B1827="","",IFERROR(INDEX('CARNET DE SOUDURE'!$E$7:$E$3006,MATCH(B1827,'CARNET DE SOUDURE'!$O$7:$O$3006,0)),""))</f>
        <v/>
      </c>
      <c r="K1827" s="82" t="str">
        <f aca="false">IF(B1827="","",IFERROR(INDEX('CARNET DE SOUDURE'!$E$7:$E$3006,MATCH(B1827,'CARNET DE SOUDURE'!$L$7:$L$3006,0)),""))</f>
        <v/>
      </c>
      <c r="L1827" s="82" t="str">
        <f aca="false">IF(B1827="","",IFERROR(INDEX('CARNET DE SOUDURE'!$D$7:$D$3006,MATCH(B1827,'CARNET DE SOUDURE'!$L$7:$L$3006,0)),IFERROR(INDEX('CARNET DE SOUDURE'!$D$7:$D$3006,MATCH(B1827,'CARNET DE SOUDURE'!$O$7:$O$3006,0)),"")))</f>
        <v/>
      </c>
      <c r="M1827" s="82" t="str">
        <f aca="false">IF(B1827="","",IF(OR(J1827&lt;&gt;"",K1827&lt;&gt;""),"POSÉ EN LIGNE",IF(COUNTIF(BARDAGE!$C$1:$C$5000,B1827)&gt;0,"BARDÉ","EN STOCK")))</f>
        <v/>
      </c>
      <c r="N1827" s="80"/>
    </row>
    <row r="1828" customFormat="false" ht="15" hidden="false" customHeight="false" outlineLevel="0" collapsed="false">
      <c r="A1828" s="82" t="str">
        <f aca="false">IF(B1828="","",ROW()-6)</f>
        <v/>
      </c>
      <c r="B1828" s="145"/>
      <c r="C1828" s="146"/>
      <c r="D1828" s="146"/>
      <c r="E1828" s="82" t="str">
        <f aca="false">IF(B1828="","",IF(COUNTIFS('CARNET DE SOUDURE'!$L$7:$L$3006,B1828,'CARNET DE SOUDURE'!$M$7:$M$3006,"&lt;&gt;"&amp;C1828,'CARNET DE SOUDURE'!$M$7:$M$3006,"&lt;&gt;")+COUNTIFS('CARNET DE SOUDURE'!$O$7:$O$3006,B1828,'CARNET DE SOUDURE'!$P$7:$P$3006,"&lt;&gt;"&amp;C1828,'CARNET DE SOUDURE'!$P$7:$P$3006,"&lt;&gt;")&gt;0,"⚠ DIFFÉRENTE","OK"))</f>
        <v/>
      </c>
      <c r="F1828" s="147"/>
      <c r="G1828" s="80"/>
      <c r="H1828" s="83"/>
      <c r="I1828" s="148" t="str">
        <f aca="false">IF(B1828="","",IFERROR(INDEX('CARNET DE SOUDURE'!$B$7:$B$3006,MATCH(B1828,'CARNET DE SOUDURE'!$L$7:$L$3006,0)),IFERROR(INDEX('CARNET DE SOUDURE'!$B$7:$B$3006,MATCH(B1828,'CARNET DE SOUDURE'!$O$7:$O$3006,0)),"")))</f>
        <v/>
      </c>
      <c r="J1828" s="82" t="str">
        <f aca="false">IF(B1828="","",IFERROR(INDEX('CARNET DE SOUDURE'!$E$7:$E$3006,MATCH(B1828,'CARNET DE SOUDURE'!$O$7:$O$3006,0)),""))</f>
        <v/>
      </c>
      <c r="K1828" s="82" t="str">
        <f aca="false">IF(B1828="","",IFERROR(INDEX('CARNET DE SOUDURE'!$E$7:$E$3006,MATCH(B1828,'CARNET DE SOUDURE'!$L$7:$L$3006,0)),""))</f>
        <v/>
      </c>
      <c r="L1828" s="82" t="str">
        <f aca="false">IF(B1828="","",IFERROR(INDEX('CARNET DE SOUDURE'!$D$7:$D$3006,MATCH(B1828,'CARNET DE SOUDURE'!$L$7:$L$3006,0)),IFERROR(INDEX('CARNET DE SOUDURE'!$D$7:$D$3006,MATCH(B1828,'CARNET DE SOUDURE'!$O$7:$O$3006,0)),"")))</f>
        <v/>
      </c>
      <c r="M1828" s="82" t="str">
        <f aca="false">IF(B1828="","",IF(OR(J1828&lt;&gt;"",K1828&lt;&gt;""),"POSÉ EN LIGNE",IF(COUNTIF(BARDAGE!$C$1:$C$5000,B1828)&gt;0,"BARDÉ","EN STOCK")))</f>
        <v/>
      </c>
      <c r="N1828" s="80"/>
    </row>
    <row r="1829" customFormat="false" ht="15" hidden="false" customHeight="false" outlineLevel="0" collapsed="false">
      <c r="A1829" s="82" t="str">
        <f aca="false">IF(B1829="","",ROW()-6)</f>
        <v/>
      </c>
      <c r="B1829" s="145"/>
      <c r="C1829" s="146"/>
      <c r="D1829" s="146"/>
      <c r="E1829" s="82" t="str">
        <f aca="false">IF(B1829="","",IF(COUNTIFS('CARNET DE SOUDURE'!$L$7:$L$3006,B1829,'CARNET DE SOUDURE'!$M$7:$M$3006,"&lt;&gt;"&amp;C1829,'CARNET DE SOUDURE'!$M$7:$M$3006,"&lt;&gt;")+COUNTIFS('CARNET DE SOUDURE'!$O$7:$O$3006,B1829,'CARNET DE SOUDURE'!$P$7:$P$3006,"&lt;&gt;"&amp;C1829,'CARNET DE SOUDURE'!$P$7:$P$3006,"&lt;&gt;")&gt;0,"⚠ DIFFÉRENTE","OK"))</f>
        <v/>
      </c>
      <c r="F1829" s="147"/>
      <c r="G1829" s="80"/>
      <c r="H1829" s="83"/>
      <c r="I1829" s="148" t="str">
        <f aca="false">IF(B1829="","",IFERROR(INDEX('CARNET DE SOUDURE'!$B$7:$B$3006,MATCH(B1829,'CARNET DE SOUDURE'!$L$7:$L$3006,0)),IFERROR(INDEX('CARNET DE SOUDURE'!$B$7:$B$3006,MATCH(B1829,'CARNET DE SOUDURE'!$O$7:$O$3006,0)),"")))</f>
        <v/>
      </c>
      <c r="J1829" s="82" t="str">
        <f aca="false">IF(B1829="","",IFERROR(INDEX('CARNET DE SOUDURE'!$E$7:$E$3006,MATCH(B1829,'CARNET DE SOUDURE'!$O$7:$O$3006,0)),""))</f>
        <v/>
      </c>
      <c r="K1829" s="82" t="str">
        <f aca="false">IF(B1829="","",IFERROR(INDEX('CARNET DE SOUDURE'!$E$7:$E$3006,MATCH(B1829,'CARNET DE SOUDURE'!$L$7:$L$3006,0)),""))</f>
        <v/>
      </c>
      <c r="L1829" s="82" t="str">
        <f aca="false">IF(B1829="","",IFERROR(INDEX('CARNET DE SOUDURE'!$D$7:$D$3006,MATCH(B1829,'CARNET DE SOUDURE'!$L$7:$L$3006,0)),IFERROR(INDEX('CARNET DE SOUDURE'!$D$7:$D$3006,MATCH(B1829,'CARNET DE SOUDURE'!$O$7:$O$3006,0)),"")))</f>
        <v/>
      </c>
      <c r="M1829" s="82" t="str">
        <f aca="false">IF(B1829="","",IF(OR(J1829&lt;&gt;"",K1829&lt;&gt;""),"POSÉ EN LIGNE",IF(COUNTIF(BARDAGE!$C$1:$C$5000,B1829)&gt;0,"BARDÉ","EN STOCK")))</f>
        <v/>
      </c>
      <c r="N1829" s="80"/>
    </row>
    <row r="1830" customFormat="false" ht="15" hidden="false" customHeight="false" outlineLevel="0" collapsed="false">
      <c r="A1830" s="82" t="str">
        <f aca="false">IF(B1830="","",ROW()-6)</f>
        <v/>
      </c>
      <c r="B1830" s="145"/>
      <c r="C1830" s="146"/>
      <c r="D1830" s="146"/>
      <c r="E1830" s="82" t="str">
        <f aca="false">IF(B1830="","",IF(COUNTIFS('CARNET DE SOUDURE'!$L$7:$L$3006,B1830,'CARNET DE SOUDURE'!$M$7:$M$3006,"&lt;&gt;"&amp;C1830,'CARNET DE SOUDURE'!$M$7:$M$3006,"&lt;&gt;")+COUNTIFS('CARNET DE SOUDURE'!$O$7:$O$3006,B1830,'CARNET DE SOUDURE'!$P$7:$P$3006,"&lt;&gt;"&amp;C1830,'CARNET DE SOUDURE'!$P$7:$P$3006,"&lt;&gt;")&gt;0,"⚠ DIFFÉRENTE","OK"))</f>
        <v/>
      </c>
      <c r="F1830" s="147"/>
      <c r="G1830" s="80"/>
      <c r="H1830" s="83"/>
      <c r="I1830" s="148" t="str">
        <f aca="false">IF(B1830="","",IFERROR(INDEX('CARNET DE SOUDURE'!$B$7:$B$3006,MATCH(B1830,'CARNET DE SOUDURE'!$L$7:$L$3006,0)),IFERROR(INDEX('CARNET DE SOUDURE'!$B$7:$B$3006,MATCH(B1830,'CARNET DE SOUDURE'!$O$7:$O$3006,0)),"")))</f>
        <v/>
      </c>
      <c r="J1830" s="82" t="str">
        <f aca="false">IF(B1830="","",IFERROR(INDEX('CARNET DE SOUDURE'!$E$7:$E$3006,MATCH(B1830,'CARNET DE SOUDURE'!$O$7:$O$3006,0)),""))</f>
        <v/>
      </c>
      <c r="K1830" s="82" t="str">
        <f aca="false">IF(B1830="","",IFERROR(INDEX('CARNET DE SOUDURE'!$E$7:$E$3006,MATCH(B1830,'CARNET DE SOUDURE'!$L$7:$L$3006,0)),""))</f>
        <v/>
      </c>
      <c r="L1830" s="82" t="str">
        <f aca="false">IF(B1830="","",IFERROR(INDEX('CARNET DE SOUDURE'!$D$7:$D$3006,MATCH(B1830,'CARNET DE SOUDURE'!$L$7:$L$3006,0)),IFERROR(INDEX('CARNET DE SOUDURE'!$D$7:$D$3006,MATCH(B1830,'CARNET DE SOUDURE'!$O$7:$O$3006,0)),"")))</f>
        <v/>
      </c>
      <c r="M1830" s="82" t="str">
        <f aca="false">IF(B1830="","",IF(OR(J1830&lt;&gt;"",K1830&lt;&gt;""),"POSÉ EN LIGNE",IF(COUNTIF(BARDAGE!$C$1:$C$5000,B1830)&gt;0,"BARDÉ","EN STOCK")))</f>
        <v/>
      </c>
      <c r="N1830" s="80"/>
    </row>
    <row r="1831" customFormat="false" ht="15" hidden="false" customHeight="false" outlineLevel="0" collapsed="false">
      <c r="A1831" s="82" t="str">
        <f aca="false">IF(B1831="","",ROW()-6)</f>
        <v/>
      </c>
      <c r="B1831" s="145"/>
      <c r="C1831" s="146"/>
      <c r="D1831" s="146"/>
      <c r="E1831" s="82" t="str">
        <f aca="false">IF(B1831="","",IF(COUNTIFS('CARNET DE SOUDURE'!$L$7:$L$3006,B1831,'CARNET DE SOUDURE'!$M$7:$M$3006,"&lt;&gt;"&amp;C1831,'CARNET DE SOUDURE'!$M$7:$M$3006,"&lt;&gt;")+COUNTIFS('CARNET DE SOUDURE'!$O$7:$O$3006,B1831,'CARNET DE SOUDURE'!$P$7:$P$3006,"&lt;&gt;"&amp;C1831,'CARNET DE SOUDURE'!$P$7:$P$3006,"&lt;&gt;")&gt;0,"⚠ DIFFÉRENTE","OK"))</f>
        <v/>
      </c>
      <c r="F1831" s="147"/>
      <c r="G1831" s="80"/>
      <c r="H1831" s="83"/>
      <c r="I1831" s="148" t="str">
        <f aca="false">IF(B1831="","",IFERROR(INDEX('CARNET DE SOUDURE'!$B$7:$B$3006,MATCH(B1831,'CARNET DE SOUDURE'!$L$7:$L$3006,0)),IFERROR(INDEX('CARNET DE SOUDURE'!$B$7:$B$3006,MATCH(B1831,'CARNET DE SOUDURE'!$O$7:$O$3006,0)),"")))</f>
        <v/>
      </c>
      <c r="J1831" s="82" t="str">
        <f aca="false">IF(B1831="","",IFERROR(INDEX('CARNET DE SOUDURE'!$E$7:$E$3006,MATCH(B1831,'CARNET DE SOUDURE'!$O$7:$O$3006,0)),""))</f>
        <v/>
      </c>
      <c r="K1831" s="82" t="str">
        <f aca="false">IF(B1831="","",IFERROR(INDEX('CARNET DE SOUDURE'!$E$7:$E$3006,MATCH(B1831,'CARNET DE SOUDURE'!$L$7:$L$3006,0)),""))</f>
        <v/>
      </c>
      <c r="L1831" s="82" t="str">
        <f aca="false">IF(B1831="","",IFERROR(INDEX('CARNET DE SOUDURE'!$D$7:$D$3006,MATCH(B1831,'CARNET DE SOUDURE'!$L$7:$L$3006,0)),IFERROR(INDEX('CARNET DE SOUDURE'!$D$7:$D$3006,MATCH(B1831,'CARNET DE SOUDURE'!$O$7:$O$3006,0)),"")))</f>
        <v/>
      </c>
      <c r="M1831" s="82" t="str">
        <f aca="false">IF(B1831="","",IF(OR(J1831&lt;&gt;"",K1831&lt;&gt;""),"POSÉ EN LIGNE",IF(COUNTIF(BARDAGE!$C$1:$C$5000,B1831)&gt;0,"BARDÉ","EN STOCK")))</f>
        <v/>
      </c>
      <c r="N1831" s="80"/>
    </row>
    <row r="1832" customFormat="false" ht="15" hidden="false" customHeight="false" outlineLevel="0" collapsed="false">
      <c r="A1832" s="82" t="str">
        <f aca="false">IF(B1832="","",ROW()-6)</f>
        <v/>
      </c>
      <c r="B1832" s="145"/>
      <c r="C1832" s="146"/>
      <c r="D1832" s="146"/>
      <c r="E1832" s="82" t="str">
        <f aca="false">IF(B1832="","",IF(COUNTIFS('CARNET DE SOUDURE'!$L$7:$L$3006,B1832,'CARNET DE SOUDURE'!$M$7:$M$3006,"&lt;&gt;"&amp;C1832,'CARNET DE SOUDURE'!$M$7:$M$3006,"&lt;&gt;")+COUNTIFS('CARNET DE SOUDURE'!$O$7:$O$3006,B1832,'CARNET DE SOUDURE'!$P$7:$P$3006,"&lt;&gt;"&amp;C1832,'CARNET DE SOUDURE'!$P$7:$P$3006,"&lt;&gt;")&gt;0,"⚠ DIFFÉRENTE","OK"))</f>
        <v/>
      </c>
      <c r="F1832" s="147"/>
      <c r="G1832" s="80"/>
      <c r="H1832" s="83"/>
      <c r="I1832" s="148" t="str">
        <f aca="false">IF(B1832="","",IFERROR(INDEX('CARNET DE SOUDURE'!$B$7:$B$3006,MATCH(B1832,'CARNET DE SOUDURE'!$L$7:$L$3006,0)),IFERROR(INDEX('CARNET DE SOUDURE'!$B$7:$B$3006,MATCH(B1832,'CARNET DE SOUDURE'!$O$7:$O$3006,0)),"")))</f>
        <v/>
      </c>
      <c r="J1832" s="82" t="str">
        <f aca="false">IF(B1832="","",IFERROR(INDEX('CARNET DE SOUDURE'!$E$7:$E$3006,MATCH(B1832,'CARNET DE SOUDURE'!$O$7:$O$3006,0)),""))</f>
        <v/>
      </c>
      <c r="K1832" s="82" t="str">
        <f aca="false">IF(B1832="","",IFERROR(INDEX('CARNET DE SOUDURE'!$E$7:$E$3006,MATCH(B1832,'CARNET DE SOUDURE'!$L$7:$L$3006,0)),""))</f>
        <v/>
      </c>
      <c r="L1832" s="82" t="str">
        <f aca="false">IF(B1832="","",IFERROR(INDEX('CARNET DE SOUDURE'!$D$7:$D$3006,MATCH(B1832,'CARNET DE SOUDURE'!$L$7:$L$3006,0)),IFERROR(INDEX('CARNET DE SOUDURE'!$D$7:$D$3006,MATCH(B1832,'CARNET DE SOUDURE'!$O$7:$O$3006,0)),"")))</f>
        <v/>
      </c>
      <c r="M1832" s="82" t="str">
        <f aca="false">IF(B1832="","",IF(OR(J1832&lt;&gt;"",K1832&lt;&gt;""),"POSÉ EN LIGNE",IF(COUNTIF(BARDAGE!$C$1:$C$5000,B1832)&gt;0,"BARDÉ","EN STOCK")))</f>
        <v/>
      </c>
      <c r="N1832" s="80"/>
    </row>
    <row r="1833" customFormat="false" ht="15" hidden="false" customHeight="false" outlineLevel="0" collapsed="false">
      <c r="A1833" s="82" t="str">
        <f aca="false">IF(B1833="","",ROW()-6)</f>
        <v/>
      </c>
      <c r="B1833" s="145"/>
      <c r="C1833" s="146"/>
      <c r="D1833" s="146"/>
      <c r="E1833" s="82" t="str">
        <f aca="false">IF(B1833="","",IF(COUNTIFS('CARNET DE SOUDURE'!$L$7:$L$3006,B1833,'CARNET DE SOUDURE'!$M$7:$M$3006,"&lt;&gt;"&amp;C1833,'CARNET DE SOUDURE'!$M$7:$M$3006,"&lt;&gt;")+COUNTIFS('CARNET DE SOUDURE'!$O$7:$O$3006,B1833,'CARNET DE SOUDURE'!$P$7:$P$3006,"&lt;&gt;"&amp;C1833,'CARNET DE SOUDURE'!$P$7:$P$3006,"&lt;&gt;")&gt;0,"⚠ DIFFÉRENTE","OK"))</f>
        <v/>
      </c>
      <c r="F1833" s="147"/>
      <c r="G1833" s="80"/>
      <c r="H1833" s="83"/>
      <c r="I1833" s="148" t="str">
        <f aca="false">IF(B1833="","",IFERROR(INDEX('CARNET DE SOUDURE'!$B$7:$B$3006,MATCH(B1833,'CARNET DE SOUDURE'!$L$7:$L$3006,0)),IFERROR(INDEX('CARNET DE SOUDURE'!$B$7:$B$3006,MATCH(B1833,'CARNET DE SOUDURE'!$O$7:$O$3006,0)),"")))</f>
        <v/>
      </c>
      <c r="J1833" s="82" t="str">
        <f aca="false">IF(B1833="","",IFERROR(INDEX('CARNET DE SOUDURE'!$E$7:$E$3006,MATCH(B1833,'CARNET DE SOUDURE'!$O$7:$O$3006,0)),""))</f>
        <v/>
      </c>
      <c r="K1833" s="82" t="str">
        <f aca="false">IF(B1833="","",IFERROR(INDEX('CARNET DE SOUDURE'!$E$7:$E$3006,MATCH(B1833,'CARNET DE SOUDURE'!$L$7:$L$3006,0)),""))</f>
        <v/>
      </c>
      <c r="L1833" s="82" t="str">
        <f aca="false">IF(B1833="","",IFERROR(INDEX('CARNET DE SOUDURE'!$D$7:$D$3006,MATCH(B1833,'CARNET DE SOUDURE'!$L$7:$L$3006,0)),IFERROR(INDEX('CARNET DE SOUDURE'!$D$7:$D$3006,MATCH(B1833,'CARNET DE SOUDURE'!$O$7:$O$3006,0)),"")))</f>
        <v/>
      </c>
      <c r="M1833" s="82" t="str">
        <f aca="false">IF(B1833="","",IF(OR(J1833&lt;&gt;"",K1833&lt;&gt;""),"POSÉ EN LIGNE",IF(COUNTIF(BARDAGE!$C$1:$C$5000,B1833)&gt;0,"BARDÉ","EN STOCK")))</f>
        <v/>
      </c>
      <c r="N1833" s="80"/>
    </row>
    <row r="1834" customFormat="false" ht="15" hidden="false" customHeight="false" outlineLevel="0" collapsed="false">
      <c r="A1834" s="82" t="str">
        <f aca="false">IF(B1834="","",ROW()-6)</f>
        <v/>
      </c>
      <c r="B1834" s="145"/>
      <c r="C1834" s="146"/>
      <c r="D1834" s="146"/>
      <c r="E1834" s="82" t="str">
        <f aca="false">IF(B1834="","",IF(COUNTIFS('CARNET DE SOUDURE'!$L$7:$L$3006,B1834,'CARNET DE SOUDURE'!$M$7:$M$3006,"&lt;&gt;"&amp;C1834,'CARNET DE SOUDURE'!$M$7:$M$3006,"&lt;&gt;")+COUNTIFS('CARNET DE SOUDURE'!$O$7:$O$3006,B1834,'CARNET DE SOUDURE'!$P$7:$P$3006,"&lt;&gt;"&amp;C1834,'CARNET DE SOUDURE'!$P$7:$P$3006,"&lt;&gt;")&gt;0,"⚠ DIFFÉRENTE","OK"))</f>
        <v/>
      </c>
      <c r="F1834" s="147"/>
      <c r="G1834" s="80"/>
      <c r="H1834" s="83"/>
      <c r="I1834" s="148" t="str">
        <f aca="false">IF(B1834="","",IFERROR(INDEX('CARNET DE SOUDURE'!$B$7:$B$3006,MATCH(B1834,'CARNET DE SOUDURE'!$L$7:$L$3006,0)),IFERROR(INDEX('CARNET DE SOUDURE'!$B$7:$B$3006,MATCH(B1834,'CARNET DE SOUDURE'!$O$7:$O$3006,0)),"")))</f>
        <v/>
      </c>
      <c r="J1834" s="82" t="str">
        <f aca="false">IF(B1834="","",IFERROR(INDEX('CARNET DE SOUDURE'!$E$7:$E$3006,MATCH(B1834,'CARNET DE SOUDURE'!$O$7:$O$3006,0)),""))</f>
        <v/>
      </c>
      <c r="K1834" s="82" t="str">
        <f aca="false">IF(B1834="","",IFERROR(INDEX('CARNET DE SOUDURE'!$E$7:$E$3006,MATCH(B1834,'CARNET DE SOUDURE'!$L$7:$L$3006,0)),""))</f>
        <v/>
      </c>
      <c r="L1834" s="82" t="str">
        <f aca="false">IF(B1834="","",IFERROR(INDEX('CARNET DE SOUDURE'!$D$7:$D$3006,MATCH(B1834,'CARNET DE SOUDURE'!$L$7:$L$3006,0)),IFERROR(INDEX('CARNET DE SOUDURE'!$D$7:$D$3006,MATCH(B1834,'CARNET DE SOUDURE'!$O$7:$O$3006,0)),"")))</f>
        <v/>
      </c>
      <c r="M1834" s="82" t="str">
        <f aca="false">IF(B1834="","",IF(OR(J1834&lt;&gt;"",K1834&lt;&gt;""),"POSÉ EN LIGNE",IF(COUNTIF(BARDAGE!$C$1:$C$5000,B1834)&gt;0,"BARDÉ","EN STOCK")))</f>
        <v/>
      </c>
      <c r="N1834" s="80"/>
    </row>
    <row r="1835" customFormat="false" ht="15" hidden="false" customHeight="false" outlineLevel="0" collapsed="false">
      <c r="A1835" s="82" t="str">
        <f aca="false">IF(B1835="","",ROW()-6)</f>
        <v/>
      </c>
      <c r="B1835" s="145"/>
      <c r="C1835" s="146"/>
      <c r="D1835" s="146"/>
      <c r="E1835" s="82" t="str">
        <f aca="false">IF(B1835="","",IF(COUNTIFS('CARNET DE SOUDURE'!$L$7:$L$3006,B1835,'CARNET DE SOUDURE'!$M$7:$M$3006,"&lt;&gt;"&amp;C1835,'CARNET DE SOUDURE'!$M$7:$M$3006,"&lt;&gt;")+COUNTIFS('CARNET DE SOUDURE'!$O$7:$O$3006,B1835,'CARNET DE SOUDURE'!$P$7:$P$3006,"&lt;&gt;"&amp;C1835,'CARNET DE SOUDURE'!$P$7:$P$3006,"&lt;&gt;")&gt;0,"⚠ DIFFÉRENTE","OK"))</f>
        <v/>
      </c>
      <c r="F1835" s="147"/>
      <c r="G1835" s="80"/>
      <c r="H1835" s="83"/>
      <c r="I1835" s="148" t="str">
        <f aca="false">IF(B1835="","",IFERROR(INDEX('CARNET DE SOUDURE'!$B$7:$B$3006,MATCH(B1835,'CARNET DE SOUDURE'!$L$7:$L$3006,0)),IFERROR(INDEX('CARNET DE SOUDURE'!$B$7:$B$3006,MATCH(B1835,'CARNET DE SOUDURE'!$O$7:$O$3006,0)),"")))</f>
        <v/>
      </c>
      <c r="J1835" s="82" t="str">
        <f aca="false">IF(B1835="","",IFERROR(INDEX('CARNET DE SOUDURE'!$E$7:$E$3006,MATCH(B1835,'CARNET DE SOUDURE'!$O$7:$O$3006,0)),""))</f>
        <v/>
      </c>
      <c r="K1835" s="82" t="str">
        <f aca="false">IF(B1835="","",IFERROR(INDEX('CARNET DE SOUDURE'!$E$7:$E$3006,MATCH(B1835,'CARNET DE SOUDURE'!$L$7:$L$3006,0)),""))</f>
        <v/>
      </c>
      <c r="L1835" s="82" t="str">
        <f aca="false">IF(B1835="","",IFERROR(INDEX('CARNET DE SOUDURE'!$D$7:$D$3006,MATCH(B1835,'CARNET DE SOUDURE'!$L$7:$L$3006,0)),IFERROR(INDEX('CARNET DE SOUDURE'!$D$7:$D$3006,MATCH(B1835,'CARNET DE SOUDURE'!$O$7:$O$3006,0)),"")))</f>
        <v/>
      </c>
      <c r="M1835" s="82" t="str">
        <f aca="false">IF(B1835="","",IF(OR(J1835&lt;&gt;"",K1835&lt;&gt;""),"POSÉ EN LIGNE",IF(COUNTIF(BARDAGE!$C$1:$C$5000,B1835)&gt;0,"BARDÉ","EN STOCK")))</f>
        <v/>
      </c>
      <c r="N1835" s="80"/>
    </row>
    <row r="1836" customFormat="false" ht="15" hidden="false" customHeight="false" outlineLevel="0" collapsed="false">
      <c r="A1836" s="82" t="str">
        <f aca="false">IF(B1836="","",ROW()-6)</f>
        <v/>
      </c>
      <c r="B1836" s="145"/>
      <c r="C1836" s="146"/>
      <c r="D1836" s="146"/>
      <c r="E1836" s="82" t="str">
        <f aca="false">IF(B1836="","",IF(COUNTIFS('CARNET DE SOUDURE'!$L$7:$L$3006,B1836,'CARNET DE SOUDURE'!$M$7:$M$3006,"&lt;&gt;"&amp;C1836,'CARNET DE SOUDURE'!$M$7:$M$3006,"&lt;&gt;")+COUNTIFS('CARNET DE SOUDURE'!$O$7:$O$3006,B1836,'CARNET DE SOUDURE'!$P$7:$P$3006,"&lt;&gt;"&amp;C1836,'CARNET DE SOUDURE'!$P$7:$P$3006,"&lt;&gt;")&gt;0,"⚠ DIFFÉRENTE","OK"))</f>
        <v/>
      </c>
      <c r="F1836" s="147"/>
      <c r="G1836" s="80"/>
      <c r="H1836" s="83"/>
      <c r="I1836" s="148" t="str">
        <f aca="false">IF(B1836="","",IFERROR(INDEX('CARNET DE SOUDURE'!$B$7:$B$3006,MATCH(B1836,'CARNET DE SOUDURE'!$L$7:$L$3006,0)),IFERROR(INDEX('CARNET DE SOUDURE'!$B$7:$B$3006,MATCH(B1836,'CARNET DE SOUDURE'!$O$7:$O$3006,0)),"")))</f>
        <v/>
      </c>
      <c r="J1836" s="82" t="str">
        <f aca="false">IF(B1836="","",IFERROR(INDEX('CARNET DE SOUDURE'!$E$7:$E$3006,MATCH(B1836,'CARNET DE SOUDURE'!$O$7:$O$3006,0)),""))</f>
        <v/>
      </c>
      <c r="K1836" s="82" t="str">
        <f aca="false">IF(B1836="","",IFERROR(INDEX('CARNET DE SOUDURE'!$E$7:$E$3006,MATCH(B1836,'CARNET DE SOUDURE'!$L$7:$L$3006,0)),""))</f>
        <v/>
      </c>
      <c r="L1836" s="82" t="str">
        <f aca="false">IF(B1836="","",IFERROR(INDEX('CARNET DE SOUDURE'!$D$7:$D$3006,MATCH(B1836,'CARNET DE SOUDURE'!$L$7:$L$3006,0)),IFERROR(INDEX('CARNET DE SOUDURE'!$D$7:$D$3006,MATCH(B1836,'CARNET DE SOUDURE'!$O$7:$O$3006,0)),"")))</f>
        <v/>
      </c>
      <c r="M1836" s="82" t="str">
        <f aca="false">IF(B1836="","",IF(OR(J1836&lt;&gt;"",K1836&lt;&gt;""),"POSÉ EN LIGNE",IF(COUNTIF(BARDAGE!$C$1:$C$5000,B1836)&gt;0,"BARDÉ","EN STOCK")))</f>
        <v/>
      </c>
      <c r="N1836" s="80"/>
    </row>
    <row r="1837" customFormat="false" ht="15" hidden="false" customHeight="false" outlineLevel="0" collapsed="false">
      <c r="A1837" s="82" t="str">
        <f aca="false">IF(B1837="","",ROW()-6)</f>
        <v/>
      </c>
      <c r="B1837" s="145"/>
      <c r="C1837" s="146"/>
      <c r="D1837" s="146"/>
      <c r="E1837" s="82" t="str">
        <f aca="false">IF(B1837="","",IF(COUNTIFS('CARNET DE SOUDURE'!$L$7:$L$3006,B1837,'CARNET DE SOUDURE'!$M$7:$M$3006,"&lt;&gt;"&amp;C1837,'CARNET DE SOUDURE'!$M$7:$M$3006,"&lt;&gt;")+COUNTIFS('CARNET DE SOUDURE'!$O$7:$O$3006,B1837,'CARNET DE SOUDURE'!$P$7:$P$3006,"&lt;&gt;"&amp;C1837,'CARNET DE SOUDURE'!$P$7:$P$3006,"&lt;&gt;")&gt;0,"⚠ DIFFÉRENTE","OK"))</f>
        <v/>
      </c>
      <c r="F1837" s="147"/>
      <c r="G1837" s="80"/>
      <c r="H1837" s="83"/>
      <c r="I1837" s="148" t="str">
        <f aca="false">IF(B1837="","",IFERROR(INDEX('CARNET DE SOUDURE'!$B$7:$B$3006,MATCH(B1837,'CARNET DE SOUDURE'!$L$7:$L$3006,0)),IFERROR(INDEX('CARNET DE SOUDURE'!$B$7:$B$3006,MATCH(B1837,'CARNET DE SOUDURE'!$O$7:$O$3006,0)),"")))</f>
        <v/>
      </c>
      <c r="J1837" s="82" t="str">
        <f aca="false">IF(B1837="","",IFERROR(INDEX('CARNET DE SOUDURE'!$E$7:$E$3006,MATCH(B1837,'CARNET DE SOUDURE'!$O$7:$O$3006,0)),""))</f>
        <v/>
      </c>
      <c r="K1837" s="82" t="str">
        <f aca="false">IF(B1837="","",IFERROR(INDEX('CARNET DE SOUDURE'!$E$7:$E$3006,MATCH(B1837,'CARNET DE SOUDURE'!$L$7:$L$3006,0)),""))</f>
        <v/>
      </c>
      <c r="L1837" s="82" t="str">
        <f aca="false">IF(B1837="","",IFERROR(INDEX('CARNET DE SOUDURE'!$D$7:$D$3006,MATCH(B1837,'CARNET DE SOUDURE'!$L$7:$L$3006,0)),IFERROR(INDEX('CARNET DE SOUDURE'!$D$7:$D$3006,MATCH(B1837,'CARNET DE SOUDURE'!$O$7:$O$3006,0)),"")))</f>
        <v/>
      </c>
      <c r="M1837" s="82" t="str">
        <f aca="false">IF(B1837="","",IF(OR(J1837&lt;&gt;"",K1837&lt;&gt;""),"POSÉ EN LIGNE",IF(COUNTIF(BARDAGE!$C$1:$C$5000,B1837)&gt;0,"BARDÉ","EN STOCK")))</f>
        <v/>
      </c>
      <c r="N1837" s="80"/>
    </row>
    <row r="1838" customFormat="false" ht="15" hidden="false" customHeight="false" outlineLevel="0" collapsed="false">
      <c r="A1838" s="82" t="str">
        <f aca="false">IF(B1838="","",ROW()-6)</f>
        <v/>
      </c>
      <c r="B1838" s="145"/>
      <c r="C1838" s="146"/>
      <c r="D1838" s="146"/>
      <c r="E1838" s="82" t="str">
        <f aca="false">IF(B1838="","",IF(COUNTIFS('CARNET DE SOUDURE'!$L$7:$L$3006,B1838,'CARNET DE SOUDURE'!$M$7:$M$3006,"&lt;&gt;"&amp;C1838,'CARNET DE SOUDURE'!$M$7:$M$3006,"&lt;&gt;")+COUNTIFS('CARNET DE SOUDURE'!$O$7:$O$3006,B1838,'CARNET DE SOUDURE'!$P$7:$P$3006,"&lt;&gt;"&amp;C1838,'CARNET DE SOUDURE'!$P$7:$P$3006,"&lt;&gt;")&gt;0,"⚠ DIFFÉRENTE","OK"))</f>
        <v/>
      </c>
      <c r="F1838" s="147"/>
      <c r="G1838" s="80"/>
      <c r="H1838" s="83"/>
      <c r="I1838" s="148" t="str">
        <f aca="false">IF(B1838="","",IFERROR(INDEX('CARNET DE SOUDURE'!$B$7:$B$3006,MATCH(B1838,'CARNET DE SOUDURE'!$L$7:$L$3006,0)),IFERROR(INDEX('CARNET DE SOUDURE'!$B$7:$B$3006,MATCH(B1838,'CARNET DE SOUDURE'!$O$7:$O$3006,0)),"")))</f>
        <v/>
      </c>
      <c r="J1838" s="82" t="str">
        <f aca="false">IF(B1838="","",IFERROR(INDEX('CARNET DE SOUDURE'!$E$7:$E$3006,MATCH(B1838,'CARNET DE SOUDURE'!$O$7:$O$3006,0)),""))</f>
        <v/>
      </c>
      <c r="K1838" s="82" t="str">
        <f aca="false">IF(B1838="","",IFERROR(INDEX('CARNET DE SOUDURE'!$E$7:$E$3006,MATCH(B1838,'CARNET DE SOUDURE'!$L$7:$L$3006,0)),""))</f>
        <v/>
      </c>
      <c r="L1838" s="82" t="str">
        <f aca="false">IF(B1838="","",IFERROR(INDEX('CARNET DE SOUDURE'!$D$7:$D$3006,MATCH(B1838,'CARNET DE SOUDURE'!$L$7:$L$3006,0)),IFERROR(INDEX('CARNET DE SOUDURE'!$D$7:$D$3006,MATCH(B1838,'CARNET DE SOUDURE'!$O$7:$O$3006,0)),"")))</f>
        <v/>
      </c>
      <c r="M1838" s="82" t="str">
        <f aca="false">IF(B1838="","",IF(OR(J1838&lt;&gt;"",K1838&lt;&gt;""),"POSÉ EN LIGNE",IF(COUNTIF(BARDAGE!$C$1:$C$5000,B1838)&gt;0,"BARDÉ","EN STOCK")))</f>
        <v/>
      </c>
      <c r="N1838" s="80"/>
    </row>
    <row r="1839" customFormat="false" ht="15" hidden="false" customHeight="false" outlineLevel="0" collapsed="false">
      <c r="A1839" s="82" t="str">
        <f aca="false">IF(B1839="","",ROW()-6)</f>
        <v/>
      </c>
      <c r="B1839" s="145"/>
      <c r="C1839" s="146"/>
      <c r="D1839" s="146"/>
      <c r="E1839" s="82" t="str">
        <f aca="false">IF(B1839="","",IF(COUNTIFS('CARNET DE SOUDURE'!$L$7:$L$3006,B1839,'CARNET DE SOUDURE'!$M$7:$M$3006,"&lt;&gt;"&amp;C1839,'CARNET DE SOUDURE'!$M$7:$M$3006,"&lt;&gt;")+COUNTIFS('CARNET DE SOUDURE'!$O$7:$O$3006,B1839,'CARNET DE SOUDURE'!$P$7:$P$3006,"&lt;&gt;"&amp;C1839,'CARNET DE SOUDURE'!$P$7:$P$3006,"&lt;&gt;")&gt;0,"⚠ DIFFÉRENTE","OK"))</f>
        <v/>
      </c>
      <c r="F1839" s="147"/>
      <c r="G1839" s="80"/>
      <c r="H1839" s="83"/>
      <c r="I1839" s="148" t="str">
        <f aca="false">IF(B1839="","",IFERROR(INDEX('CARNET DE SOUDURE'!$B$7:$B$3006,MATCH(B1839,'CARNET DE SOUDURE'!$L$7:$L$3006,0)),IFERROR(INDEX('CARNET DE SOUDURE'!$B$7:$B$3006,MATCH(B1839,'CARNET DE SOUDURE'!$O$7:$O$3006,0)),"")))</f>
        <v/>
      </c>
      <c r="J1839" s="82" t="str">
        <f aca="false">IF(B1839="","",IFERROR(INDEX('CARNET DE SOUDURE'!$E$7:$E$3006,MATCH(B1839,'CARNET DE SOUDURE'!$O$7:$O$3006,0)),""))</f>
        <v/>
      </c>
      <c r="K1839" s="82" t="str">
        <f aca="false">IF(B1839="","",IFERROR(INDEX('CARNET DE SOUDURE'!$E$7:$E$3006,MATCH(B1839,'CARNET DE SOUDURE'!$L$7:$L$3006,0)),""))</f>
        <v/>
      </c>
      <c r="L1839" s="82" t="str">
        <f aca="false">IF(B1839="","",IFERROR(INDEX('CARNET DE SOUDURE'!$D$7:$D$3006,MATCH(B1839,'CARNET DE SOUDURE'!$L$7:$L$3006,0)),IFERROR(INDEX('CARNET DE SOUDURE'!$D$7:$D$3006,MATCH(B1839,'CARNET DE SOUDURE'!$O$7:$O$3006,0)),"")))</f>
        <v/>
      </c>
      <c r="M1839" s="82" t="str">
        <f aca="false">IF(B1839="","",IF(OR(J1839&lt;&gt;"",K1839&lt;&gt;""),"POSÉ EN LIGNE",IF(COUNTIF(BARDAGE!$C$1:$C$5000,B1839)&gt;0,"BARDÉ","EN STOCK")))</f>
        <v/>
      </c>
      <c r="N1839" s="80"/>
    </row>
    <row r="1840" customFormat="false" ht="15" hidden="false" customHeight="false" outlineLevel="0" collapsed="false">
      <c r="A1840" s="82" t="str">
        <f aca="false">IF(B1840="","",ROW()-6)</f>
        <v/>
      </c>
      <c r="B1840" s="145"/>
      <c r="C1840" s="146"/>
      <c r="D1840" s="146"/>
      <c r="E1840" s="82" t="str">
        <f aca="false">IF(B1840="","",IF(COUNTIFS('CARNET DE SOUDURE'!$L$7:$L$3006,B1840,'CARNET DE SOUDURE'!$M$7:$M$3006,"&lt;&gt;"&amp;C1840,'CARNET DE SOUDURE'!$M$7:$M$3006,"&lt;&gt;")+COUNTIFS('CARNET DE SOUDURE'!$O$7:$O$3006,B1840,'CARNET DE SOUDURE'!$P$7:$P$3006,"&lt;&gt;"&amp;C1840,'CARNET DE SOUDURE'!$P$7:$P$3006,"&lt;&gt;")&gt;0,"⚠ DIFFÉRENTE","OK"))</f>
        <v/>
      </c>
      <c r="F1840" s="147"/>
      <c r="G1840" s="80"/>
      <c r="H1840" s="83"/>
      <c r="I1840" s="148" t="str">
        <f aca="false">IF(B1840="","",IFERROR(INDEX('CARNET DE SOUDURE'!$B$7:$B$3006,MATCH(B1840,'CARNET DE SOUDURE'!$L$7:$L$3006,0)),IFERROR(INDEX('CARNET DE SOUDURE'!$B$7:$B$3006,MATCH(B1840,'CARNET DE SOUDURE'!$O$7:$O$3006,0)),"")))</f>
        <v/>
      </c>
      <c r="J1840" s="82" t="str">
        <f aca="false">IF(B1840="","",IFERROR(INDEX('CARNET DE SOUDURE'!$E$7:$E$3006,MATCH(B1840,'CARNET DE SOUDURE'!$O$7:$O$3006,0)),""))</f>
        <v/>
      </c>
      <c r="K1840" s="82" t="str">
        <f aca="false">IF(B1840="","",IFERROR(INDEX('CARNET DE SOUDURE'!$E$7:$E$3006,MATCH(B1840,'CARNET DE SOUDURE'!$L$7:$L$3006,0)),""))</f>
        <v/>
      </c>
      <c r="L1840" s="82" t="str">
        <f aca="false">IF(B1840="","",IFERROR(INDEX('CARNET DE SOUDURE'!$D$7:$D$3006,MATCH(B1840,'CARNET DE SOUDURE'!$L$7:$L$3006,0)),IFERROR(INDEX('CARNET DE SOUDURE'!$D$7:$D$3006,MATCH(B1840,'CARNET DE SOUDURE'!$O$7:$O$3006,0)),"")))</f>
        <v/>
      </c>
      <c r="M1840" s="82" t="str">
        <f aca="false">IF(B1840="","",IF(OR(J1840&lt;&gt;"",K1840&lt;&gt;""),"POSÉ EN LIGNE",IF(COUNTIF(BARDAGE!$C$1:$C$5000,B1840)&gt;0,"BARDÉ","EN STOCK")))</f>
        <v/>
      </c>
      <c r="N1840" s="80"/>
    </row>
    <row r="1841" customFormat="false" ht="15" hidden="false" customHeight="false" outlineLevel="0" collapsed="false">
      <c r="A1841" s="82" t="str">
        <f aca="false">IF(B1841="","",ROW()-6)</f>
        <v/>
      </c>
      <c r="B1841" s="145"/>
      <c r="C1841" s="146"/>
      <c r="D1841" s="146"/>
      <c r="E1841" s="82" t="str">
        <f aca="false">IF(B1841="","",IF(COUNTIFS('CARNET DE SOUDURE'!$L$7:$L$3006,B1841,'CARNET DE SOUDURE'!$M$7:$M$3006,"&lt;&gt;"&amp;C1841,'CARNET DE SOUDURE'!$M$7:$M$3006,"&lt;&gt;")+COUNTIFS('CARNET DE SOUDURE'!$O$7:$O$3006,B1841,'CARNET DE SOUDURE'!$P$7:$P$3006,"&lt;&gt;"&amp;C1841,'CARNET DE SOUDURE'!$P$7:$P$3006,"&lt;&gt;")&gt;0,"⚠ DIFFÉRENTE","OK"))</f>
        <v/>
      </c>
      <c r="F1841" s="147"/>
      <c r="G1841" s="80"/>
      <c r="H1841" s="83"/>
      <c r="I1841" s="148" t="str">
        <f aca="false">IF(B1841="","",IFERROR(INDEX('CARNET DE SOUDURE'!$B$7:$B$3006,MATCH(B1841,'CARNET DE SOUDURE'!$L$7:$L$3006,0)),IFERROR(INDEX('CARNET DE SOUDURE'!$B$7:$B$3006,MATCH(B1841,'CARNET DE SOUDURE'!$O$7:$O$3006,0)),"")))</f>
        <v/>
      </c>
      <c r="J1841" s="82" t="str">
        <f aca="false">IF(B1841="","",IFERROR(INDEX('CARNET DE SOUDURE'!$E$7:$E$3006,MATCH(B1841,'CARNET DE SOUDURE'!$O$7:$O$3006,0)),""))</f>
        <v/>
      </c>
      <c r="K1841" s="82" t="str">
        <f aca="false">IF(B1841="","",IFERROR(INDEX('CARNET DE SOUDURE'!$E$7:$E$3006,MATCH(B1841,'CARNET DE SOUDURE'!$L$7:$L$3006,0)),""))</f>
        <v/>
      </c>
      <c r="L1841" s="82" t="str">
        <f aca="false">IF(B1841="","",IFERROR(INDEX('CARNET DE SOUDURE'!$D$7:$D$3006,MATCH(B1841,'CARNET DE SOUDURE'!$L$7:$L$3006,0)),IFERROR(INDEX('CARNET DE SOUDURE'!$D$7:$D$3006,MATCH(B1841,'CARNET DE SOUDURE'!$O$7:$O$3006,0)),"")))</f>
        <v/>
      </c>
      <c r="M1841" s="82" t="str">
        <f aca="false">IF(B1841="","",IF(OR(J1841&lt;&gt;"",K1841&lt;&gt;""),"POSÉ EN LIGNE",IF(COUNTIF(BARDAGE!$C$1:$C$5000,B1841)&gt;0,"BARDÉ","EN STOCK")))</f>
        <v/>
      </c>
      <c r="N1841" s="80"/>
    </row>
    <row r="1842" customFormat="false" ht="15" hidden="false" customHeight="false" outlineLevel="0" collapsed="false">
      <c r="A1842" s="82" t="str">
        <f aca="false">IF(B1842="","",ROW()-6)</f>
        <v/>
      </c>
      <c r="B1842" s="145"/>
      <c r="C1842" s="146"/>
      <c r="D1842" s="146"/>
      <c r="E1842" s="82" t="str">
        <f aca="false">IF(B1842="","",IF(COUNTIFS('CARNET DE SOUDURE'!$L$7:$L$3006,B1842,'CARNET DE SOUDURE'!$M$7:$M$3006,"&lt;&gt;"&amp;C1842,'CARNET DE SOUDURE'!$M$7:$M$3006,"&lt;&gt;")+COUNTIFS('CARNET DE SOUDURE'!$O$7:$O$3006,B1842,'CARNET DE SOUDURE'!$P$7:$P$3006,"&lt;&gt;"&amp;C1842,'CARNET DE SOUDURE'!$P$7:$P$3006,"&lt;&gt;")&gt;0,"⚠ DIFFÉRENTE","OK"))</f>
        <v/>
      </c>
      <c r="F1842" s="147"/>
      <c r="G1842" s="80"/>
      <c r="H1842" s="83"/>
      <c r="I1842" s="148" t="str">
        <f aca="false">IF(B1842="","",IFERROR(INDEX('CARNET DE SOUDURE'!$B$7:$B$3006,MATCH(B1842,'CARNET DE SOUDURE'!$L$7:$L$3006,0)),IFERROR(INDEX('CARNET DE SOUDURE'!$B$7:$B$3006,MATCH(B1842,'CARNET DE SOUDURE'!$O$7:$O$3006,0)),"")))</f>
        <v/>
      </c>
      <c r="J1842" s="82" t="str">
        <f aca="false">IF(B1842="","",IFERROR(INDEX('CARNET DE SOUDURE'!$E$7:$E$3006,MATCH(B1842,'CARNET DE SOUDURE'!$O$7:$O$3006,0)),""))</f>
        <v/>
      </c>
      <c r="K1842" s="82" t="str">
        <f aca="false">IF(B1842="","",IFERROR(INDEX('CARNET DE SOUDURE'!$E$7:$E$3006,MATCH(B1842,'CARNET DE SOUDURE'!$L$7:$L$3006,0)),""))</f>
        <v/>
      </c>
      <c r="L1842" s="82" t="str">
        <f aca="false">IF(B1842="","",IFERROR(INDEX('CARNET DE SOUDURE'!$D$7:$D$3006,MATCH(B1842,'CARNET DE SOUDURE'!$L$7:$L$3006,0)),IFERROR(INDEX('CARNET DE SOUDURE'!$D$7:$D$3006,MATCH(B1842,'CARNET DE SOUDURE'!$O$7:$O$3006,0)),"")))</f>
        <v/>
      </c>
      <c r="M1842" s="82" t="str">
        <f aca="false">IF(B1842="","",IF(OR(J1842&lt;&gt;"",K1842&lt;&gt;""),"POSÉ EN LIGNE",IF(COUNTIF(BARDAGE!$C$1:$C$5000,B1842)&gt;0,"BARDÉ","EN STOCK")))</f>
        <v/>
      </c>
      <c r="N1842" s="80"/>
    </row>
    <row r="1843" customFormat="false" ht="15" hidden="false" customHeight="false" outlineLevel="0" collapsed="false">
      <c r="A1843" s="82" t="str">
        <f aca="false">IF(B1843="","",ROW()-6)</f>
        <v/>
      </c>
      <c r="B1843" s="145"/>
      <c r="C1843" s="146"/>
      <c r="D1843" s="146"/>
      <c r="E1843" s="82" t="str">
        <f aca="false">IF(B1843="","",IF(COUNTIFS('CARNET DE SOUDURE'!$L$7:$L$3006,B1843,'CARNET DE SOUDURE'!$M$7:$M$3006,"&lt;&gt;"&amp;C1843,'CARNET DE SOUDURE'!$M$7:$M$3006,"&lt;&gt;")+COUNTIFS('CARNET DE SOUDURE'!$O$7:$O$3006,B1843,'CARNET DE SOUDURE'!$P$7:$P$3006,"&lt;&gt;"&amp;C1843,'CARNET DE SOUDURE'!$P$7:$P$3006,"&lt;&gt;")&gt;0,"⚠ DIFFÉRENTE","OK"))</f>
        <v/>
      </c>
      <c r="F1843" s="147"/>
      <c r="G1843" s="80"/>
      <c r="H1843" s="83"/>
      <c r="I1843" s="148" t="str">
        <f aca="false">IF(B1843="","",IFERROR(INDEX('CARNET DE SOUDURE'!$B$7:$B$3006,MATCH(B1843,'CARNET DE SOUDURE'!$L$7:$L$3006,0)),IFERROR(INDEX('CARNET DE SOUDURE'!$B$7:$B$3006,MATCH(B1843,'CARNET DE SOUDURE'!$O$7:$O$3006,0)),"")))</f>
        <v/>
      </c>
      <c r="J1843" s="82" t="str">
        <f aca="false">IF(B1843="","",IFERROR(INDEX('CARNET DE SOUDURE'!$E$7:$E$3006,MATCH(B1843,'CARNET DE SOUDURE'!$O$7:$O$3006,0)),""))</f>
        <v/>
      </c>
      <c r="K1843" s="82" t="str">
        <f aca="false">IF(B1843="","",IFERROR(INDEX('CARNET DE SOUDURE'!$E$7:$E$3006,MATCH(B1843,'CARNET DE SOUDURE'!$L$7:$L$3006,0)),""))</f>
        <v/>
      </c>
      <c r="L1843" s="82" t="str">
        <f aca="false">IF(B1843="","",IFERROR(INDEX('CARNET DE SOUDURE'!$D$7:$D$3006,MATCH(B1843,'CARNET DE SOUDURE'!$L$7:$L$3006,0)),IFERROR(INDEX('CARNET DE SOUDURE'!$D$7:$D$3006,MATCH(B1843,'CARNET DE SOUDURE'!$O$7:$O$3006,0)),"")))</f>
        <v/>
      </c>
      <c r="M1843" s="82" t="str">
        <f aca="false">IF(B1843="","",IF(OR(J1843&lt;&gt;"",K1843&lt;&gt;""),"POSÉ EN LIGNE",IF(COUNTIF(BARDAGE!$C$1:$C$5000,B1843)&gt;0,"BARDÉ","EN STOCK")))</f>
        <v/>
      </c>
      <c r="N1843" s="80"/>
    </row>
    <row r="1844" customFormat="false" ht="15" hidden="false" customHeight="false" outlineLevel="0" collapsed="false">
      <c r="A1844" s="82" t="str">
        <f aca="false">IF(B1844="","",ROW()-6)</f>
        <v/>
      </c>
      <c r="B1844" s="145"/>
      <c r="C1844" s="146"/>
      <c r="D1844" s="146"/>
      <c r="E1844" s="82" t="str">
        <f aca="false">IF(B1844="","",IF(COUNTIFS('CARNET DE SOUDURE'!$L$7:$L$3006,B1844,'CARNET DE SOUDURE'!$M$7:$M$3006,"&lt;&gt;"&amp;C1844,'CARNET DE SOUDURE'!$M$7:$M$3006,"&lt;&gt;")+COUNTIFS('CARNET DE SOUDURE'!$O$7:$O$3006,B1844,'CARNET DE SOUDURE'!$P$7:$P$3006,"&lt;&gt;"&amp;C1844,'CARNET DE SOUDURE'!$P$7:$P$3006,"&lt;&gt;")&gt;0,"⚠ DIFFÉRENTE","OK"))</f>
        <v/>
      </c>
      <c r="F1844" s="147"/>
      <c r="G1844" s="80"/>
      <c r="H1844" s="83"/>
      <c r="I1844" s="148" t="str">
        <f aca="false">IF(B1844="","",IFERROR(INDEX('CARNET DE SOUDURE'!$B$7:$B$3006,MATCH(B1844,'CARNET DE SOUDURE'!$L$7:$L$3006,0)),IFERROR(INDEX('CARNET DE SOUDURE'!$B$7:$B$3006,MATCH(B1844,'CARNET DE SOUDURE'!$O$7:$O$3006,0)),"")))</f>
        <v/>
      </c>
      <c r="J1844" s="82" t="str">
        <f aca="false">IF(B1844="","",IFERROR(INDEX('CARNET DE SOUDURE'!$E$7:$E$3006,MATCH(B1844,'CARNET DE SOUDURE'!$O$7:$O$3006,0)),""))</f>
        <v/>
      </c>
      <c r="K1844" s="82" t="str">
        <f aca="false">IF(B1844="","",IFERROR(INDEX('CARNET DE SOUDURE'!$E$7:$E$3006,MATCH(B1844,'CARNET DE SOUDURE'!$L$7:$L$3006,0)),""))</f>
        <v/>
      </c>
      <c r="L1844" s="82" t="str">
        <f aca="false">IF(B1844="","",IFERROR(INDEX('CARNET DE SOUDURE'!$D$7:$D$3006,MATCH(B1844,'CARNET DE SOUDURE'!$L$7:$L$3006,0)),IFERROR(INDEX('CARNET DE SOUDURE'!$D$7:$D$3006,MATCH(B1844,'CARNET DE SOUDURE'!$O$7:$O$3006,0)),"")))</f>
        <v/>
      </c>
      <c r="M1844" s="82" t="str">
        <f aca="false">IF(B1844="","",IF(OR(J1844&lt;&gt;"",K1844&lt;&gt;""),"POSÉ EN LIGNE",IF(COUNTIF(BARDAGE!$C$1:$C$5000,B1844)&gt;0,"BARDÉ","EN STOCK")))</f>
        <v/>
      </c>
      <c r="N1844" s="80"/>
    </row>
    <row r="1845" customFormat="false" ht="15" hidden="false" customHeight="false" outlineLevel="0" collapsed="false">
      <c r="A1845" s="82" t="str">
        <f aca="false">IF(B1845="","",ROW()-6)</f>
        <v/>
      </c>
      <c r="B1845" s="145"/>
      <c r="C1845" s="146"/>
      <c r="D1845" s="146"/>
      <c r="E1845" s="82" t="str">
        <f aca="false">IF(B1845="","",IF(COUNTIFS('CARNET DE SOUDURE'!$L$7:$L$3006,B1845,'CARNET DE SOUDURE'!$M$7:$M$3006,"&lt;&gt;"&amp;C1845,'CARNET DE SOUDURE'!$M$7:$M$3006,"&lt;&gt;")+COUNTIFS('CARNET DE SOUDURE'!$O$7:$O$3006,B1845,'CARNET DE SOUDURE'!$P$7:$P$3006,"&lt;&gt;"&amp;C1845,'CARNET DE SOUDURE'!$P$7:$P$3006,"&lt;&gt;")&gt;0,"⚠ DIFFÉRENTE","OK"))</f>
        <v/>
      </c>
      <c r="F1845" s="147"/>
      <c r="G1845" s="80"/>
      <c r="H1845" s="83"/>
      <c r="I1845" s="148" t="str">
        <f aca="false">IF(B1845="","",IFERROR(INDEX('CARNET DE SOUDURE'!$B$7:$B$3006,MATCH(B1845,'CARNET DE SOUDURE'!$L$7:$L$3006,0)),IFERROR(INDEX('CARNET DE SOUDURE'!$B$7:$B$3006,MATCH(B1845,'CARNET DE SOUDURE'!$O$7:$O$3006,0)),"")))</f>
        <v/>
      </c>
      <c r="J1845" s="82" t="str">
        <f aca="false">IF(B1845="","",IFERROR(INDEX('CARNET DE SOUDURE'!$E$7:$E$3006,MATCH(B1845,'CARNET DE SOUDURE'!$O$7:$O$3006,0)),""))</f>
        <v/>
      </c>
      <c r="K1845" s="82" t="str">
        <f aca="false">IF(B1845="","",IFERROR(INDEX('CARNET DE SOUDURE'!$E$7:$E$3006,MATCH(B1845,'CARNET DE SOUDURE'!$L$7:$L$3006,0)),""))</f>
        <v/>
      </c>
      <c r="L1845" s="82" t="str">
        <f aca="false">IF(B1845="","",IFERROR(INDEX('CARNET DE SOUDURE'!$D$7:$D$3006,MATCH(B1845,'CARNET DE SOUDURE'!$L$7:$L$3006,0)),IFERROR(INDEX('CARNET DE SOUDURE'!$D$7:$D$3006,MATCH(B1845,'CARNET DE SOUDURE'!$O$7:$O$3006,0)),"")))</f>
        <v/>
      </c>
      <c r="M1845" s="82" t="str">
        <f aca="false">IF(B1845="","",IF(OR(J1845&lt;&gt;"",K1845&lt;&gt;""),"POSÉ EN LIGNE",IF(COUNTIF(BARDAGE!$C$1:$C$5000,B1845)&gt;0,"BARDÉ","EN STOCK")))</f>
        <v/>
      </c>
      <c r="N1845" s="80"/>
    </row>
    <row r="1846" customFormat="false" ht="15" hidden="false" customHeight="false" outlineLevel="0" collapsed="false">
      <c r="A1846" s="82" t="str">
        <f aca="false">IF(B1846="","",ROW()-6)</f>
        <v/>
      </c>
      <c r="B1846" s="145"/>
      <c r="C1846" s="146"/>
      <c r="D1846" s="146"/>
      <c r="E1846" s="82" t="str">
        <f aca="false">IF(B1846="","",IF(COUNTIFS('CARNET DE SOUDURE'!$L$7:$L$3006,B1846,'CARNET DE SOUDURE'!$M$7:$M$3006,"&lt;&gt;"&amp;C1846,'CARNET DE SOUDURE'!$M$7:$M$3006,"&lt;&gt;")+COUNTIFS('CARNET DE SOUDURE'!$O$7:$O$3006,B1846,'CARNET DE SOUDURE'!$P$7:$P$3006,"&lt;&gt;"&amp;C1846,'CARNET DE SOUDURE'!$P$7:$P$3006,"&lt;&gt;")&gt;0,"⚠ DIFFÉRENTE","OK"))</f>
        <v/>
      </c>
      <c r="F1846" s="147"/>
      <c r="G1846" s="80"/>
      <c r="H1846" s="83"/>
      <c r="I1846" s="148" t="str">
        <f aca="false">IF(B1846="","",IFERROR(INDEX('CARNET DE SOUDURE'!$B$7:$B$3006,MATCH(B1846,'CARNET DE SOUDURE'!$L$7:$L$3006,0)),IFERROR(INDEX('CARNET DE SOUDURE'!$B$7:$B$3006,MATCH(B1846,'CARNET DE SOUDURE'!$O$7:$O$3006,0)),"")))</f>
        <v/>
      </c>
      <c r="J1846" s="82" t="str">
        <f aca="false">IF(B1846="","",IFERROR(INDEX('CARNET DE SOUDURE'!$E$7:$E$3006,MATCH(B1846,'CARNET DE SOUDURE'!$O$7:$O$3006,0)),""))</f>
        <v/>
      </c>
      <c r="K1846" s="82" t="str">
        <f aca="false">IF(B1846="","",IFERROR(INDEX('CARNET DE SOUDURE'!$E$7:$E$3006,MATCH(B1846,'CARNET DE SOUDURE'!$L$7:$L$3006,0)),""))</f>
        <v/>
      </c>
      <c r="L1846" s="82" t="str">
        <f aca="false">IF(B1846="","",IFERROR(INDEX('CARNET DE SOUDURE'!$D$7:$D$3006,MATCH(B1846,'CARNET DE SOUDURE'!$L$7:$L$3006,0)),IFERROR(INDEX('CARNET DE SOUDURE'!$D$7:$D$3006,MATCH(B1846,'CARNET DE SOUDURE'!$O$7:$O$3006,0)),"")))</f>
        <v/>
      </c>
      <c r="M1846" s="82" t="str">
        <f aca="false">IF(B1846="","",IF(OR(J1846&lt;&gt;"",K1846&lt;&gt;""),"POSÉ EN LIGNE",IF(COUNTIF(BARDAGE!$C$1:$C$5000,B1846)&gt;0,"BARDÉ","EN STOCK")))</f>
        <v/>
      </c>
      <c r="N1846" s="80"/>
    </row>
    <row r="1847" customFormat="false" ht="15" hidden="false" customHeight="false" outlineLevel="0" collapsed="false">
      <c r="A1847" s="82" t="str">
        <f aca="false">IF(B1847="","",ROW()-6)</f>
        <v/>
      </c>
      <c r="B1847" s="145"/>
      <c r="C1847" s="146"/>
      <c r="D1847" s="146"/>
      <c r="E1847" s="82" t="str">
        <f aca="false">IF(B1847="","",IF(COUNTIFS('CARNET DE SOUDURE'!$L$7:$L$3006,B1847,'CARNET DE SOUDURE'!$M$7:$M$3006,"&lt;&gt;"&amp;C1847,'CARNET DE SOUDURE'!$M$7:$M$3006,"&lt;&gt;")+COUNTIFS('CARNET DE SOUDURE'!$O$7:$O$3006,B1847,'CARNET DE SOUDURE'!$P$7:$P$3006,"&lt;&gt;"&amp;C1847,'CARNET DE SOUDURE'!$P$7:$P$3006,"&lt;&gt;")&gt;0,"⚠ DIFFÉRENTE","OK"))</f>
        <v/>
      </c>
      <c r="F1847" s="147"/>
      <c r="G1847" s="80"/>
      <c r="H1847" s="83"/>
      <c r="I1847" s="148" t="str">
        <f aca="false">IF(B1847="","",IFERROR(INDEX('CARNET DE SOUDURE'!$B$7:$B$3006,MATCH(B1847,'CARNET DE SOUDURE'!$L$7:$L$3006,0)),IFERROR(INDEX('CARNET DE SOUDURE'!$B$7:$B$3006,MATCH(B1847,'CARNET DE SOUDURE'!$O$7:$O$3006,0)),"")))</f>
        <v/>
      </c>
      <c r="J1847" s="82" t="str">
        <f aca="false">IF(B1847="","",IFERROR(INDEX('CARNET DE SOUDURE'!$E$7:$E$3006,MATCH(B1847,'CARNET DE SOUDURE'!$O$7:$O$3006,0)),""))</f>
        <v/>
      </c>
      <c r="K1847" s="82" t="str">
        <f aca="false">IF(B1847="","",IFERROR(INDEX('CARNET DE SOUDURE'!$E$7:$E$3006,MATCH(B1847,'CARNET DE SOUDURE'!$L$7:$L$3006,0)),""))</f>
        <v/>
      </c>
      <c r="L1847" s="82" t="str">
        <f aca="false">IF(B1847="","",IFERROR(INDEX('CARNET DE SOUDURE'!$D$7:$D$3006,MATCH(B1847,'CARNET DE SOUDURE'!$L$7:$L$3006,0)),IFERROR(INDEX('CARNET DE SOUDURE'!$D$7:$D$3006,MATCH(B1847,'CARNET DE SOUDURE'!$O$7:$O$3006,0)),"")))</f>
        <v/>
      </c>
      <c r="M1847" s="82" t="str">
        <f aca="false">IF(B1847="","",IF(OR(J1847&lt;&gt;"",K1847&lt;&gt;""),"POSÉ EN LIGNE",IF(COUNTIF(BARDAGE!$C$1:$C$5000,B1847)&gt;0,"BARDÉ","EN STOCK")))</f>
        <v/>
      </c>
      <c r="N1847" s="80"/>
    </row>
    <row r="1848" customFormat="false" ht="15" hidden="false" customHeight="false" outlineLevel="0" collapsed="false">
      <c r="A1848" s="82" t="str">
        <f aca="false">IF(B1848="","",ROW()-6)</f>
        <v/>
      </c>
      <c r="B1848" s="145"/>
      <c r="C1848" s="146"/>
      <c r="D1848" s="146"/>
      <c r="E1848" s="82" t="str">
        <f aca="false">IF(B1848="","",IF(COUNTIFS('CARNET DE SOUDURE'!$L$7:$L$3006,B1848,'CARNET DE SOUDURE'!$M$7:$M$3006,"&lt;&gt;"&amp;C1848,'CARNET DE SOUDURE'!$M$7:$M$3006,"&lt;&gt;")+COUNTIFS('CARNET DE SOUDURE'!$O$7:$O$3006,B1848,'CARNET DE SOUDURE'!$P$7:$P$3006,"&lt;&gt;"&amp;C1848,'CARNET DE SOUDURE'!$P$7:$P$3006,"&lt;&gt;")&gt;0,"⚠ DIFFÉRENTE","OK"))</f>
        <v/>
      </c>
      <c r="F1848" s="147"/>
      <c r="G1848" s="80"/>
      <c r="H1848" s="83"/>
      <c r="I1848" s="148" t="str">
        <f aca="false">IF(B1848="","",IFERROR(INDEX('CARNET DE SOUDURE'!$B$7:$B$3006,MATCH(B1848,'CARNET DE SOUDURE'!$L$7:$L$3006,0)),IFERROR(INDEX('CARNET DE SOUDURE'!$B$7:$B$3006,MATCH(B1848,'CARNET DE SOUDURE'!$O$7:$O$3006,0)),"")))</f>
        <v/>
      </c>
      <c r="J1848" s="82" t="str">
        <f aca="false">IF(B1848="","",IFERROR(INDEX('CARNET DE SOUDURE'!$E$7:$E$3006,MATCH(B1848,'CARNET DE SOUDURE'!$O$7:$O$3006,0)),""))</f>
        <v/>
      </c>
      <c r="K1848" s="82" t="str">
        <f aca="false">IF(B1848="","",IFERROR(INDEX('CARNET DE SOUDURE'!$E$7:$E$3006,MATCH(B1848,'CARNET DE SOUDURE'!$L$7:$L$3006,0)),""))</f>
        <v/>
      </c>
      <c r="L1848" s="82" t="str">
        <f aca="false">IF(B1848="","",IFERROR(INDEX('CARNET DE SOUDURE'!$D$7:$D$3006,MATCH(B1848,'CARNET DE SOUDURE'!$L$7:$L$3006,0)),IFERROR(INDEX('CARNET DE SOUDURE'!$D$7:$D$3006,MATCH(B1848,'CARNET DE SOUDURE'!$O$7:$O$3006,0)),"")))</f>
        <v/>
      </c>
      <c r="M1848" s="82" t="str">
        <f aca="false">IF(B1848="","",IF(OR(J1848&lt;&gt;"",K1848&lt;&gt;""),"POSÉ EN LIGNE",IF(COUNTIF(BARDAGE!$C$1:$C$5000,B1848)&gt;0,"BARDÉ","EN STOCK")))</f>
        <v/>
      </c>
      <c r="N1848" s="80"/>
    </row>
    <row r="1849" customFormat="false" ht="15" hidden="false" customHeight="false" outlineLevel="0" collapsed="false">
      <c r="A1849" s="82" t="str">
        <f aca="false">IF(B1849="","",ROW()-6)</f>
        <v/>
      </c>
      <c r="B1849" s="145"/>
      <c r="C1849" s="146"/>
      <c r="D1849" s="146"/>
      <c r="E1849" s="82" t="str">
        <f aca="false">IF(B1849="","",IF(COUNTIFS('CARNET DE SOUDURE'!$L$7:$L$3006,B1849,'CARNET DE SOUDURE'!$M$7:$M$3006,"&lt;&gt;"&amp;C1849,'CARNET DE SOUDURE'!$M$7:$M$3006,"&lt;&gt;")+COUNTIFS('CARNET DE SOUDURE'!$O$7:$O$3006,B1849,'CARNET DE SOUDURE'!$P$7:$P$3006,"&lt;&gt;"&amp;C1849,'CARNET DE SOUDURE'!$P$7:$P$3006,"&lt;&gt;")&gt;0,"⚠ DIFFÉRENTE","OK"))</f>
        <v/>
      </c>
      <c r="F1849" s="147"/>
      <c r="G1849" s="80"/>
      <c r="H1849" s="83"/>
      <c r="I1849" s="148" t="str">
        <f aca="false">IF(B1849="","",IFERROR(INDEX('CARNET DE SOUDURE'!$B$7:$B$3006,MATCH(B1849,'CARNET DE SOUDURE'!$L$7:$L$3006,0)),IFERROR(INDEX('CARNET DE SOUDURE'!$B$7:$B$3006,MATCH(B1849,'CARNET DE SOUDURE'!$O$7:$O$3006,0)),"")))</f>
        <v/>
      </c>
      <c r="J1849" s="82" t="str">
        <f aca="false">IF(B1849="","",IFERROR(INDEX('CARNET DE SOUDURE'!$E$7:$E$3006,MATCH(B1849,'CARNET DE SOUDURE'!$O$7:$O$3006,0)),""))</f>
        <v/>
      </c>
      <c r="K1849" s="82" t="str">
        <f aca="false">IF(B1849="","",IFERROR(INDEX('CARNET DE SOUDURE'!$E$7:$E$3006,MATCH(B1849,'CARNET DE SOUDURE'!$L$7:$L$3006,0)),""))</f>
        <v/>
      </c>
      <c r="L1849" s="82" t="str">
        <f aca="false">IF(B1849="","",IFERROR(INDEX('CARNET DE SOUDURE'!$D$7:$D$3006,MATCH(B1849,'CARNET DE SOUDURE'!$L$7:$L$3006,0)),IFERROR(INDEX('CARNET DE SOUDURE'!$D$7:$D$3006,MATCH(B1849,'CARNET DE SOUDURE'!$O$7:$O$3006,0)),"")))</f>
        <v/>
      </c>
      <c r="M1849" s="82" t="str">
        <f aca="false">IF(B1849="","",IF(OR(J1849&lt;&gt;"",K1849&lt;&gt;""),"POSÉ EN LIGNE",IF(COUNTIF(BARDAGE!$C$1:$C$5000,B1849)&gt;0,"BARDÉ","EN STOCK")))</f>
        <v/>
      </c>
      <c r="N1849" s="80"/>
    </row>
    <row r="1850" customFormat="false" ht="15" hidden="false" customHeight="false" outlineLevel="0" collapsed="false">
      <c r="A1850" s="82" t="str">
        <f aca="false">IF(B1850="","",ROW()-6)</f>
        <v/>
      </c>
      <c r="B1850" s="145"/>
      <c r="C1850" s="146"/>
      <c r="D1850" s="146"/>
      <c r="E1850" s="82" t="str">
        <f aca="false">IF(B1850="","",IF(COUNTIFS('CARNET DE SOUDURE'!$L$7:$L$3006,B1850,'CARNET DE SOUDURE'!$M$7:$M$3006,"&lt;&gt;"&amp;C1850,'CARNET DE SOUDURE'!$M$7:$M$3006,"&lt;&gt;")+COUNTIFS('CARNET DE SOUDURE'!$O$7:$O$3006,B1850,'CARNET DE SOUDURE'!$P$7:$P$3006,"&lt;&gt;"&amp;C1850,'CARNET DE SOUDURE'!$P$7:$P$3006,"&lt;&gt;")&gt;0,"⚠ DIFFÉRENTE","OK"))</f>
        <v/>
      </c>
      <c r="F1850" s="147"/>
      <c r="G1850" s="80"/>
      <c r="H1850" s="83"/>
      <c r="I1850" s="148" t="str">
        <f aca="false">IF(B1850="","",IFERROR(INDEX('CARNET DE SOUDURE'!$B$7:$B$3006,MATCH(B1850,'CARNET DE SOUDURE'!$L$7:$L$3006,0)),IFERROR(INDEX('CARNET DE SOUDURE'!$B$7:$B$3006,MATCH(B1850,'CARNET DE SOUDURE'!$O$7:$O$3006,0)),"")))</f>
        <v/>
      </c>
      <c r="J1850" s="82" t="str">
        <f aca="false">IF(B1850="","",IFERROR(INDEX('CARNET DE SOUDURE'!$E$7:$E$3006,MATCH(B1850,'CARNET DE SOUDURE'!$O$7:$O$3006,0)),""))</f>
        <v/>
      </c>
      <c r="K1850" s="82" t="str">
        <f aca="false">IF(B1850="","",IFERROR(INDEX('CARNET DE SOUDURE'!$E$7:$E$3006,MATCH(B1850,'CARNET DE SOUDURE'!$L$7:$L$3006,0)),""))</f>
        <v/>
      </c>
      <c r="L1850" s="82" t="str">
        <f aca="false">IF(B1850="","",IFERROR(INDEX('CARNET DE SOUDURE'!$D$7:$D$3006,MATCH(B1850,'CARNET DE SOUDURE'!$L$7:$L$3006,0)),IFERROR(INDEX('CARNET DE SOUDURE'!$D$7:$D$3006,MATCH(B1850,'CARNET DE SOUDURE'!$O$7:$O$3006,0)),"")))</f>
        <v/>
      </c>
      <c r="M1850" s="82" t="str">
        <f aca="false">IF(B1850="","",IF(OR(J1850&lt;&gt;"",K1850&lt;&gt;""),"POSÉ EN LIGNE",IF(COUNTIF(BARDAGE!$C$1:$C$5000,B1850)&gt;0,"BARDÉ","EN STOCK")))</f>
        <v/>
      </c>
      <c r="N1850" s="80"/>
    </row>
    <row r="1851" customFormat="false" ht="15" hidden="false" customHeight="false" outlineLevel="0" collapsed="false">
      <c r="A1851" s="82" t="str">
        <f aca="false">IF(B1851="","",ROW()-6)</f>
        <v/>
      </c>
      <c r="B1851" s="145"/>
      <c r="C1851" s="146"/>
      <c r="D1851" s="146"/>
      <c r="E1851" s="82" t="str">
        <f aca="false">IF(B1851="","",IF(COUNTIFS('CARNET DE SOUDURE'!$L$7:$L$3006,B1851,'CARNET DE SOUDURE'!$M$7:$M$3006,"&lt;&gt;"&amp;C1851,'CARNET DE SOUDURE'!$M$7:$M$3006,"&lt;&gt;")+COUNTIFS('CARNET DE SOUDURE'!$O$7:$O$3006,B1851,'CARNET DE SOUDURE'!$P$7:$P$3006,"&lt;&gt;"&amp;C1851,'CARNET DE SOUDURE'!$P$7:$P$3006,"&lt;&gt;")&gt;0,"⚠ DIFFÉRENTE","OK"))</f>
        <v/>
      </c>
      <c r="F1851" s="147"/>
      <c r="G1851" s="80"/>
      <c r="H1851" s="83"/>
      <c r="I1851" s="148" t="str">
        <f aca="false">IF(B1851="","",IFERROR(INDEX('CARNET DE SOUDURE'!$B$7:$B$3006,MATCH(B1851,'CARNET DE SOUDURE'!$L$7:$L$3006,0)),IFERROR(INDEX('CARNET DE SOUDURE'!$B$7:$B$3006,MATCH(B1851,'CARNET DE SOUDURE'!$O$7:$O$3006,0)),"")))</f>
        <v/>
      </c>
      <c r="J1851" s="82" t="str">
        <f aca="false">IF(B1851="","",IFERROR(INDEX('CARNET DE SOUDURE'!$E$7:$E$3006,MATCH(B1851,'CARNET DE SOUDURE'!$O$7:$O$3006,0)),""))</f>
        <v/>
      </c>
      <c r="K1851" s="82" t="str">
        <f aca="false">IF(B1851="","",IFERROR(INDEX('CARNET DE SOUDURE'!$E$7:$E$3006,MATCH(B1851,'CARNET DE SOUDURE'!$L$7:$L$3006,0)),""))</f>
        <v/>
      </c>
      <c r="L1851" s="82" t="str">
        <f aca="false">IF(B1851="","",IFERROR(INDEX('CARNET DE SOUDURE'!$D$7:$D$3006,MATCH(B1851,'CARNET DE SOUDURE'!$L$7:$L$3006,0)),IFERROR(INDEX('CARNET DE SOUDURE'!$D$7:$D$3006,MATCH(B1851,'CARNET DE SOUDURE'!$O$7:$O$3006,0)),"")))</f>
        <v/>
      </c>
      <c r="M1851" s="82" t="str">
        <f aca="false">IF(B1851="","",IF(OR(J1851&lt;&gt;"",K1851&lt;&gt;""),"POSÉ EN LIGNE",IF(COUNTIF(BARDAGE!$C$1:$C$5000,B1851)&gt;0,"BARDÉ","EN STOCK")))</f>
        <v/>
      </c>
      <c r="N1851" s="80"/>
    </row>
    <row r="1852" customFormat="false" ht="15" hidden="false" customHeight="false" outlineLevel="0" collapsed="false">
      <c r="A1852" s="82" t="str">
        <f aca="false">IF(B1852="","",ROW()-6)</f>
        <v/>
      </c>
      <c r="B1852" s="145"/>
      <c r="C1852" s="146"/>
      <c r="D1852" s="146"/>
      <c r="E1852" s="82" t="str">
        <f aca="false">IF(B1852="","",IF(COUNTIFS('CARNET DE SOUDURE'!$L$7:$L$3006,B1852,'CARNET DE SOUDURE'!$M$7:$M$3006,"&lt;&gt;"&amp;C1852,'CARNET DE SOUDURE'!$M$7:$M$3006,"&lt;&gt;")+COUNTIFS('CARNET DE SOUDURE'!$O$7:$O$3006,B1852,'CARNET DE SOUDURE'!$P$7:$P$3006,"&lt;&gt;"&amp;C1852,'CARNET DE SOUDURE'!$P$7:$P$3006,"&lt;&gt;")&gt;0,"⚠ DIFFÉRENTE","OK"))</f>
        <v/>
      </c>
      <c r="F1852" s="147"/>
      <c r="G1852" s="80"/>
      <c r="H1852" s="83"/>
      <c r="I1852" s="148" t="str">
        <f aca="false">IF(B1852="","",IFERROR(INDEX('CARNET DE SOUDURE'!$B$7:$B$3006,MATCH(B1852,'CARNET DE SOUDURE'!$L$7:$L$3006,0)),IFERROR(INDEX('CARNET DE SOUDURE'!$B$7:$B$3006,MATCH(B1852,'CARNET DE SOUDURE'!$O$7:$O$3006,0)),"")))</f>
        <v/>
      </c>
      <c r="J1852" s="82" t="str">
        <f aca="false">IF(B1852="","",IFERROR(INDEX('CARNET DE SOUDURE'!$E$7:$E$3006,MATCH(B1852,'CARNET DE SOUDURE'!$O$7:$O$3006,0)),""))</f>
        <v/>
      </c>
      <c r="K1852" s="82" t="str">
        <f aca="false">IF(B1852="","",IFERROR(INDEX('CARNET DE SOUDURE'!$E$7:$E$3006,MATCH(B1852,'CARNET DE SOUDURE'!$L$7:$L$3006,0)),""))</f>
        <v/>
      </c>
      <c r="L1852" s="82" t="str">
        <f aca="false">IF(B1852="","",IFERROR(INDEX('CARNET DE SOUDURE'!$D$7:$D$3006,MATCH(B1852,'CARNET DE SOUDURE'!$L$7:$L$3006,0)),IFERROR(INDEX('CARNET DE SOUDURE'!$D$7:$D$3006,MATCH(B1852,'CARNET DE SOUDURE'!$O$7:$O$3006,0)),"")))</f>
        <v/>
      </c>
      <c r="M1852" s="82" t="str">
        <f aca="false">IF(B1852="","",IF(OR(J1852&lt;&gt;"",K1852&lt;&gt;""),"POSÉ EN LIGNE",IF(COUNTIF(BARDAGE!$C$1:$C$5000,B1852)&gt;0,"BARDÉ","EN STOCK")))</f>
        <v/>
      </c>
      <c r="N1852" s="80"/>
    </row>
    <row r="1853" customFormat="false" ht="15" hidden="false" customHeight="false" outlineLevel="0" collapsed="false">
      <c r="A1853" s="82" t="str">
        <f aca="false">IF(B1853="","",ROW()-6)</f>
        <v/>
      </c>
      <c r="B1853" s="145"/>
      <c r="C1853" s="146"/>
      <c r="D1853" s="146"/>
      <c r="E1853" s="82" t="str">
        <f aca="false">IF(B1853="","",IF(COUNTIFS('CARNET DE SOUDURE'!$L$7:$L$3006,B1853,'CARNET DE SOUDURE'!$M$7:$M$3006,"&lt;&gt;"&amp;C1853,'CARNET DE SOUDURE'!$M$7:$M$3006,"&lt;&gt;")+COUNTIFS('CARNET DE SOUDURE'!$O$7:$O$3006,B1853,'CARNET DE SOUDURE'!$P$7:$P$3006,"&lt;&gt;"&amp;C1853,'CARNET DE SOUDURE'!$P$7:$P$3006,"&lt;&gt;")&gt;0,"⚠ DIFFÉRENTE","OK"))</f>
        <v/>
      </c>
      <c r="F1853" s="147"/>
      <c r="G1853" s="80"/>
      <c r="H1853" s="83"/>
      <c r="I1853" s="148" t="str">
        <f aca="false">IF(B1853="","",IFERROR(INDEX('CARNET DE SOUDURE'!$B$7:$B$3006,MATCH(B1853,'CARNET DE SOUDURE'!$L$7:$L$3006,0)),IFERROR(INDEX('CARNET DE SOUDURE'!$B$7:$B$3006,MATCH(B1853,'CARNET DE SOUDURE'!$O$7:$O$3006,0)),"")))</f>
        <v/>
      </c>
      <c r="J1853" s="82" t="str">
        <f aca="false">IF(B1853="","",IFERROR(INDEX('CARNET DE SOUDURE'!$E$7:$E$3006,MATCH(B1853,'CARNET DE SOUDURE'!$O$7:$O$3006,0)),""))</f>
        <v/>
      </c>
      <c r="K1853" s="82" t="str">
        <f aca="false">IF(B1853="","",IFERROR(INDEX('CARNET DE SOUDURE'!$E$7:$E$3006,MATCH(B1853,'CARNET DE SOUDURE'!$L$7:$L$3006,0)),""))</f>
        <v/>
      </c>
      <c r="L1853" s="82" t="str">
        <f aca="false">IF(B1853="","",IFERROR(INDEX('CARNET DE SOUDURE'!$D$7:$D$3006,MATCH(B1853,'CARNET DE SOUDURE'!$L$7:$L$3006,0)),IFERROR(INDEX('CARNET DE SOUDURE'!$D$7:$D$3006,MATCH(B1853,'CARNET DE SOUDURE'!$O$7:$O$3006,0)),"")))</f>
        <v/>
      </c>
      <c r="M1853" s="82" t="str">
        <f aca="false">IF(B1853="","",IF(OR(J1853&lt;&gt;"",K1853&lt;&gt;""),"POSÉ EN LIGNE",IF(COUNTIF(BARDAGE!$C$1:$C$5000,B1853)&gt;0,"BARDÉ","EN STOCK")))</f>
        <v/>
      </c>
      <c r="N1853" s="80"/>
    </row>
    <row r="1854" customFormat="false" ht="15" hidden="false" customHeight="false" outlineLevel="0" collapsed="false">
      <c r="A1854" s="82" t="str">
        <f aca="false">IF(B1854="","",ROW()-6)</f>
        <v/>
      </c>
      <c r="B1854" s="145"/>
      <c r="C1854" s="146"/>
      <c r="D1854" s="146"/>
      <c r="E1854" s="82" t="str">
        <f aca="false">IF(B1854="","",IF(COUNTIFS('CARNET DE SOUDURE'!$L$7:$L$3006,B1854,'CARNET DE SOUDURE'!$M$7:$M$3006,"&lt;&gt;"&amp;C1854,'CARNET DE SOUDURE'!$M$7:$M$3006,"&lt;&gt;")+COUNTIFS('CARNET DE SOUDURE'!$O$7:$O$3006,B1854,'CARNET DE SOUDURE'!$P$7:$P$3006,"&lt;&gt;"&amp;C1854,'CARNET DE SOUDURE'!$P$7:$P$3006,"&lt;&gt;")&gt;0,"⚠ DIFFÉRENTE","OK"))</f>
        <v/>
      </c>
      <c r="F1854" s="147"/>
      <c r="G1854" s="80"/>
      <c r="H1854" s="83"/>
      <c r="I1854" s="148" t="str">
        <f aca="false">IF(B1854="","",IFERROR(INDEX('CARNET DE SOUDURE'!$B$7:$B$3006,MATCH(B1854,'CARNET DE SOUDURE'!$L$7:$L$3006,0)),IFERROR(INDEX('CARNET DE SOUDURE'!$B$7:$B$3006,MATCH(B1854,'CARNET DE SOUDURE'!$O$7:$O$3006,0)),"")))</f>
        <v/>
      </c>
      <c r="J1854" s="82" t="str">
        <f aca="false">IF(B1854="","",IFERROR(INDEX('CARNET DE SOUDURE'!$E$7:$E$3006,MATCH(B1854,'CARNET DE SOUDURE'!$O$7:$O$3006,0)),""))</f>
        <v/>
      </c>
      <c r="K1854" s="82" t="str">
        <f aca="false">IF(B1854="","",IFERROR(INDEX('CARNET DE SOUDURE'!$E$7:$E$3006,MATCH(B1854,'CARNET DE SOUDURE'!$L$7:$L$3006,0)),""))</f>
        <v/>
      </c>
      <c r="L1854" s="82" t="str">
        <f aca="false">IF(B1854="","",IFERROR(INDEX('CARNET DE SOUDURE'!$D$7:$D$3006,MATCH(B1854,'CARNET DE SOUDURE'!$L$7:$L$3006,0)),IFERROR(INDEX('CARNET DE SOUDURE'!$D$7:$D$3006,MATCH(B1854,'CARNET DE SOUDURE'!$O$7:$O$3006,0)),"")))</f>
        <v/>
      </c>
      <c r="M1854" s="82" t="str">
        <f aca="false">IF(B1854="","",IF(OR(J1854&lt;&gt;"",K1854&lt;&gt;""),"POSÉ EN LIGNE",IF(COUNTIF(BARDAGE!$C$1:$C$5000,B1854)&gt;0,"BARDÉ","EN STOCK")))</f>
        <v/>
      </c>
      <c r="N1854" s="80"/>
    </row>
    <row r="1855" customFormat="false" ht="15" hidden="false" customHeight="false" outlineLevel="0" collapsed="false">
      <c r="A1855" s="82" t="str">
        <f aca="false">IF(B1855="","",ROW()-6)</f>
        <v/>
      </c>
      <c r="B1855" s="145"/>
      <c r="C1855" s="146"/>
      <c r="D1855" s="146"/>
      <c r="E1855" s="82" t="str">
        <f aca="false">IF(B1855="","",IF(COUNTIFS('CARNET DE SOUDURE'!$L$7:$L$3006,B1855,'CARNET DE SOUDURE'!$M$7:$M$3006,"&lt;&gt;"&amp;C1855,'CARNET DE SOUDURE'!$M$7:$M$3006,"&lt;&gt;")+COUNTIFS('CARNET DE SOUDURE'!$O$7:$O$3006,B1855,'CARNET DE SOUDURE'!$P$7:$P$3006,"&lt;&gt;"&amp;C1855,'CARNET DE SOUDURE'!$P$7:$P$3006,"&lt;&gt;")&gt;0,"⚠ DIFFÉRENTE","OK"))</f>
        <v/>
      </c>
      <c r="F1855" s="147"/>
      <c r="G1855" s="80"/>
      <c r="H1855" s="83"/>
      <c r="I1855" s="148" t="str">
        <f aca="false">IF(B1855="","",IFERROR(INDEX('CARNET DE SOUDURE'!$B$7:$B$3006,MATCH(B1855,'CARNET DE SOUDURE'!$L$7:$L$3006,0)),IFERROR(INDEX('CARNET DE SOUDURE'!$B$7:$B$3006,MATCH(B1855,'CARNET DE SOUDURE'!$O$7:$O$3006,0)),"")))</f>
        <v/>
      </c>
      <c r="J1855" s="82" t="str">
        <f aca="false">IF(B1855="","",IFERROR(INDEX('CARNET DE SOUDURE'!$E$7:$E$3006,MATCH(B1855,'CARNET DE SOUDURE'!$O$7:$O$3006,0)),""))</f>
        <v/>
      </c>
      <c r="K1855" s="82" t="str">
        <f aca="false">IF(B1855="","",IFERROR(INDEX('CARNET DE SOUDURE'!$E$7:$E$3006,MATCH(B1855,'CARNET DE SOUDURE'!$L$7:$L$3006,0)),""))</f>
        <v/>
      </c>
      <c r="L1855" s="82" t="str">
        <f aca="false">IF(B1855="","",IFERROR(INDEX('CARNET DE SOUDURE'!$D$7:$D$3006,MATCH(B1855,'CARNET DE SOUDURE'!$L$7:$L$3006,0)),IFERROR(INDEX('CARNET DE SOUDURE'!$D$7:$D$3006,MATCH(B1855,'CARNET DE SOUDURE'!$O$7:$O$3006,0)),"")))</f>
        <v/>
      </c>
      <c r="M1855" s="82" t="str">
        <f aca="false">IF(B1855="","",IF(OR(J1855&lt;&gt;"",K1855&lt;&gt;""),"POSÉ EN LIGNE",IF(COUNTIF(BARDAGE!$C$1:$C$5000,B1855)&gt;0,"BARDÉ","EN STOCK")))</f>
        <v/>
      </c>
      <c r="N1855" s="80"/>
    </row>
    <row r="1856" customFormat="false" ht="15" hidden="false" customHeight="false" outlineLevel="0" collapsed="false">
      <c r="A1856" s="82" t="str">
        <f aca="false">IF(B1856="","",ROW()-6)</f>
        <v/>
      </c>
      <c r="B1856" s="145"/>
      <c r="C1856" s="146"/>
      <c r="D1856" s="146"/>
      <c r="E1856" s="82" t="str">
        <f aca="false">IF(B1856="","",IF(COUNTIFS('CARNET DE SOUDURE'!$L$7:$L$3006,B1856,'CARNET DE SOUDURE'!$M$7:$M$3006,"&lt;&gt;"&amp;C1856,'CARNET DE SOUDURE'!$M$7:$M$3006,"&lt;&gt;")+COUNTIFS('CARNET DE SOUDURE'!$O$7:$O$3006,B1856,'CARNET DE SOUDURE'!$P$7:$P$3006,"&lt;&gt;"&amp;C1856,'CARNET DE SOUDURE'!$P$7:$P$3006,"&lt;&gt;")&gt;0,"⚠ DIFFÉRENTE","OK"))</f>
        <v/>
      </c>
      <c r="F1856" s="147"/>
      <c r="G1856" s="80"/>
      <c r="H1856" s="83"/>
      <c r="I1856" s="148" t="str">
        <f aca="false">IF(B1856="","",IFERROR(INDEX('CARNET DE SOUDURE'!$B$7:$B$3006,MATCH(B1856,'CARNET DE SOUDURE'!$L$7:$L$3006,0)),IFERROR(INDEX('CARNET DE SOUDURE'!$B$7:$B$3006,MATCH(B1856,'CARNET DE SOUDURE'!$O$7:$O$3006,0)),"")))</f>
        <v/>
      </c>
      <c r="J1856" s="82" t="str">
        <f aca="false">IF(B1856="","",IFERROR(INDEX('CARNET DE SOUDURE'!$E$7:$E$3006,MATCH(B1856,'CARNET DE SOUDURE'!$O$7:$O$3006,0)),""))</f>
        <v/>
      </c>
      <c r="K1856" s="82" t="str">
        <f aca="false">IF(B1856="","",IFERROR(INDEX('CARNET DE SOUDURE'!$E$7:$E$3006,MATCH(B1856,'CARNET DE SOUDURE'!$L$7:$L$3006,0)),""))</f>
        <v/>
      </c>
      <c r="L1856" s="82" t="str">
        <f aca="false">IF(B1856="","",IFERROR(INDEX('CARNET DE SOUDURE'!$D$7:$D$3006,MATCH(B1856,'CARNET DE SOUDURE'!$L$7:$L$3006,0)),IFERROR(INDEX('CARNET DE SOUDURE'!$D$7:$D$3006,MATCH(B1856,'CARNET DE SOUDURE'!$O$7:$O$3006,0)),"")))</f>
        <v/>
      </c>
      <c r="M1856" s="82" t="str">
        <f aca="false">IF(B1856="","",IF(OR(J1856&lt;&gt;"",K1856&lt;&gt;""),"POSÉ EN LIGNE",IF(COUNTIF(BARDAGE!$C$1:$C$5000,B1856)&gt;0,"BARDÉ","EN STOCK")))</f>
        <v/>
      </c>
      <c r="N1856" s="80"/>
    </row>
    <row r="1857" customFormat="false" ht="15" hidden="false" customHeight="false" outlineLevel="0" collapsed="false">
      <c r="A1857" s="82" t="str">
        <f aca="false">IF(B1857="","",ROW()-6)</f>
        <v/>
      </c>
      <c r="B1857" s="145"/>
      <c r="C1857" s="146"/>
      <c r="D1857" s="146"/>
      <c r="E1857" s="82" t="str">
        <f aca="false">IF(B1857="","",IF(COUNTIFS('CARNET DE SOUDURE'!$L$7:$L$3006,B1857,'CARNET DE SOUDURE'!$M$7:$M$3006,"&lt;&gt;"&amp;C1857,'CARNET DE SOUDURE'!$M$7:$M$3006,"&lt;&gt;")+COUNTIFS('CARNET DE SOUDURE'!$O$7:$O$3006,B1857,'CARNET DE SOUDURE'!$P$7:$P$3006,"&lt;&gt;"&amp;C1857,'CARNET DE SOUDURE'!$P$7:$P$3006,"&lt;&gt;")&gt;0,"⚠ DIFFÉRENTE","OK"))</f>
        <v/>
      </c>
      <c r="F1857" s="147"/>
      <c r="G1857" s="80"/>
      <c r="H1857" s="83"/>
      <c r="I1857" s="148" t="str">
        <f aca="false">IF(B1857="","",IFERROR(INDEX('CARNET DE SOUDURE'!$B$7:$B$3006,MATCH(B1857,'CARNET DE SOUDURE'!$L$7:$L$3006,0)),IFERROR(INDEX('CARNET DE SOUDURE'!$B$7:$B$3006,MATCH(B1857,'CARNET DE SOUDURE'!$O$7:$O$3006,0)),"")))</f>
        <v/>
      </c>
      <c r="J1857" s="82" t="str">
        <f aca="false">IF(B1857="","",IFERROR(INDEX('CARNET DE SOUDURE'!$E$7:$E$3006,MATCH(B1857,'CARNET DE SOUDURE'!$O$7:$O$3006,0)),""))</f>
        <v/>
      </c>
      <c r="K1857" s="82" t="str">
        <f aca="false">IF(B1857="","",IFERROR(INDEX('CARNET DE SOUDURE'!$E$7:$E$3006,MATCH(B1857,'CARNET DE SOUDURE'!$L$7:$L$3006,0)),""))</f>
        <v/>
      </c>
      <c r="L1857" s="82" t="str">
        <f aca="false">IF(B1857="","",IFERROR(INDEX('CARNET DE SOUDURE'!$D$7:$D$3006,MATCH(B1857,'CARNET DE SOUDURE'!$L$7:$L$3006,0)),IFERROR(INDEX('CARNET DE SOUDURE'!$D$7:$D$3006,MATCH(B1857,'CARNET DE SOUDURE'!$O$7:$O$3006,0)),"")))</f>
        <v/>
      </c>
      <c r="M1857" s="82" t="str">
        <f aca="false">IF(B1857="","",IF(OR(J1857&lt;&gt;"",K1857&lt;&gt;""),"POSÉ EN LIGNE",IF(COUNTIF(BARDAGE!$C$1:$C$5000,B1857)&gt;0,"BARDÉ","EN STOCK")))</f>
        <v/>
      </c>
      <c r="N1857" s="80"/>
    </row>
    <row r="1858" customFormat="false" ht="15" hidden="false" customHeight="false" outlineLevel="0" collapsed="false">
      <c r="A1858" s="82" t="str">
        <f aca="false">IF(B1858="","",ROW()-6)</f>
        <v/>
      </c>
      <c r="B1858" s="145"/>
      <c r="C1858" s="146"/>
      <c r="D1858" s="146"/>
      <c r="E1858" s="82" t="str">
        <f aca="false">IF(B1858="","",IF(COUNTIFS('CARNET DE SOUDURE'!$L$7:$L$3006,B1858,'CARNET DE SOUDURE'!$M$7:$M$3006,"&lt;&gt;"&amp;C1858,'CARNET DE SOUDURE'!$M$7:$M$3006,"&lt;&gt;")+COUNTIFS('CARNET DE SOUDURE'!$O$7:$O$3006,B1858,'CARNET DE SOUDURE'!$P$7:$P$3006,"&lt;&gt;"&amp;C1858,'CARNET DE SOUDURE'!$P$7:$P$3006,"&lt;&gt;")&gt;0,"⚠ DIFFÉRENTE","OK"))</f>
        <v/>
      </c>
      <c r="F1858" s="147"/>
      <c r="G1858" s="80"/>
      <c r="H1858" s="83"/>
      <c r="I1858" s="148" t="str">
        <f aca="false">IF(B1858="","",IFERROR(INDEX('CARNET DE SOUDURE'!$B$7:$B$3006,MATCH(B1858,'CARNET DE SOUDURE'!$L$7:$L$3006,0)),IFERROR(INDEX('CARNET DE SOUDURE'!$B$7:$B$3006,MATCH(B1858,'CARNET DE SOUDURE'!$O$7:$O$3006,0)),"")))</f>
        <v/>
      </c>
      <c r="J1858" s="82" t="str">
        <f aca="false">IF(B1858="","",IFERROR(INDEX('CARNET DE SOUDURE'!$E$7:$E$3006,MATCH(B1858,'CARNET DE SOUDURE'!$O$7:$O$3006,0)),""))</f>
        <v/>
      </c>
      <c r="K1858" s="82" t="str">
        <f aca="false">IF(B1858="","",IFERROR(INDEX('CARNET DE SOUDURE'!$E$7:$E$3006,MATCH(B1858,'CARNET DE SOUDURE'!$L$7:$L$3006,0)),""))</f>
        <v/>
      </c>
      <c r="L1858" s="82" t="str">
        <f aca="false">IF(B1858="","",IFERROR(INDEX('CARNET DE SOUDURE'!$D$7:$D$3006,MATCH(B1858,'CARNET DE SOUDURE'!$L$7:$L$3006,0)),IFERROR(INDEX('CARNET DE SOUDURE'!$D$7:$D$3006,MATCH(B1858,'CARNET DE SOUDURE'!$O$7:$O$3006,0)),"")))</f>
        <v/>
      </c>
      <c r="M1858" s="82" t="str">
        <f aca="false">IF(B1858="","",IF(OR(J1858&lt;&gt;"",K1858&lt;&gt;""),"POSÉ EN LIGNE",IF(COUNTIF(BARDAGE!$C$1:$C$5000,B1858)&gt;0,"BARDÉ","EN STOCK")))</f>
        <v/>
      </c>
      <c r="N1858" s="80"/>
    </row>
    <row r="1859" customFormat="false" ht="15" hidden="false" customHeight="false" outlineLevel="0" collapsed="false">
      <c r="A1859" s="82" t="str">
        <f aca="false">IF(B1859="","",ROW()-6)</f>
        <v/>
      </c>
      <c r="B1859" s="145"/>
      <c r="C1859" s="146"/>
      <c r="D1859" s="146"/>
      <c r="E1859" s="82" t="str">
        <f aca="false">IF(B1859="","",IF(COUNTIFS('CARNET DE SOUDURE'!$L$7:$L$3006,B1859,'CARNET DE SOUDURE'!$M$7:$M$3006,"&lt;&gt;"&amp;C1859,'CARNET DE SOUDURE'!$M$7:$M$3006,"&lt;&gt;")+COUNTIFS('CARNET DE SOUDURE'!$O$7:$O$3006,B1859,'CARNET DE SOUDURE'!$P$7:$P$3006,"&lt;&gt;"&amp;C1859,'CARNET DE SOUDURE'!$P$7:$P$3006,"&lt;&gt;")&gt;0,"⚠ DIFFÉRENTE","OK"))</f>
        <v/>
      </c>
      <c r="F1859" s="147"/>
      <c r="G1859" s="80"/>
      <c r="H1859" s="83"/>
      <c r="I1859" s="148" t="str">
        <f aca="false">IF(B1859="","",IFERROR(INDEX('CARNET DE SOUDURE'!$B$7:$B$3006,MATCH(B1859,'CARNET DE SOUDURE'!$L$7:$L$3006,0)),IFERROR(INDEX('CARNET DE SOUDURE'!$B$7:$B$3006,MATCH(B1859,'CARNET DE SOUDURE'!$O$7:$O$3006,0)),"")))</f>
        <v/>
      </c>
      <c r="J1859" s="82" t="str">
        <f aca="false">IF(B1859="","",IFERROR(INDEX('CARNET DE SOUDURE'!$E$7:$E$3006,MATCH(B1859,'CARNET DE SOUDURE'!$O$7:$O$3006,0)),""))</f>
        <v/>
      </c>
      <c r="K1859" s="82" t="str">
        <f aca="false">IF(B1859="","",IFERROR(INDEX('CARNET DE SOUDURE'!$E$7:$E$3006,MATCH(B1859,'CARNET DE SOUDURE'!$L$7:$L$3006,0)),""))</f>
        <v/>
      </c>
      <c r="L1859" s="82" t="str">
        <f aca="false">IF(B1859="","",IFERROR(INDEX('CARNET DE SOUDURE'!$D$7:$D$3006,MATCH(B1859,'CARNET DE SOUDURE'!$L$7:$L$3006,0)),IFERROR(INDEX('CARNET DE SOUDURE'!$D$7:$D$3006,MATCH(B1859,'CARNET DE SOUDURE'!$O$7:$O$3006,0)),"")))</f>
        <v/>
      </c>
      <c r="M1859" s="82" t="str">
        <f aca="false">IF(B1859="","",IF(OR(J1859&lt;&gt;"",K1859&lt;&gt;""),"POSÉ EN LIGNE",IF(COUNTIF(BARDAGE!$C$1:$C$5000,B1859)&gt;0,"BARDÉ","EN STOCK")))</f>
        <v/>
      </c>
      <c r="N1859" s="80"/>
    </row>
    <row r="1860" customFormat="false" ht="15" hidden="false" customHeight="false" outlineLevel="0" collapsed="false">
      <c r="A1860" s="82" t="str">
        <f aca="false">IF(B1860="","",ROW()-6)</f>
        <v/>
      </c>
      <c r="B1860" s="145"/>
      <c r="C1860" s="146"/>
      <c r="D1860" s="146"/>
      <c r="E1860" s="82" t="str">
        <f aca="false">IF(B1860="","",IF(COUNTIFS('CARNET DE SOUDURE'!$L$7:$L$3006,B1860,'CARNET DE SOUDURE'!$M$7:$M$3006,"&lt;&gt;"&amp;C1860,'CARNET DE SOUDURE'!$M$7:$M$3006,"&lt;&gt;")+COUNTIFS('CARNET DE SOUDURE'!$O$7:$O$3006,B1860,'CARNET DE SOUDURE'!$P$7:$P$3006,"&lt;&gt;"&amp;C1860,'CARNET DE SOUDURE'!$P$7:$P$3006,"&lt;&gt;")&gt;0,"⚠ DIFFÉRENTE","OK"))</f>
        <v/>
      </c>
      <c r="F1860" s="147"/>
      <c r="G1860" s="80"/>
      <c r="H1860" s="83"/>
      <c r="I1860" s="148" t="str">
        <f aca="false">IF(B1860="","",IFERROR(INDEX('CARNET DE SOUDURE'!$B$7:$B$3006,MATCH(B1860,'CARNET DE SOUDURE'!$L$7:$L$3006,0)),IFERROR(INDEX('CARNET DE SOUDURE'!$B$7:$B$3006,MATCH(B1860,'CARNET DE SOUDURE'!$O$7:$O$3006,0)),"")))</f>
        <v/>
      </c>
      <c r="J1860" s="82" t="str">
        <f aca="false">IF(B1860="","",IFERROR(INDEX('CARNET DE SOUDURE'!$E$7:$E$3006,MATCH(B1860,'CARNET DE SOUDURE'!$O$7:$O$3006,0)),""))</f>
        <v/>
      </c>
      <c r="K1860" s="82" t="str">
        <f aca="false">IF(B1860="","",IFERROR(INDEX('CARNET DE SOUDURE'!$E$7:$E$3006,MATCH(B1860,'CARNET DE SOUDURE'!$L$7:$L$3006,0)),""))</f>
        <v/>
      </c>
      <c r="L1860" s="82" t="str">
        <f aca="false">IF(B1860="","",IFERROR(INDEX('CARNET DE SOUDURE'!$D$7:$D$3006,MATCH(B1860,'CARNET DE SOUDURE'!$L$7:$L$3006,0)),IFERROR(INDEX('CARNET DE SOUDURE'!$D$7:$D$3006,MATCH(B1860,'CARNET DE SOUDURE'!$O$7:$O$3006,0)),"")))</f>
        <v/>
      </c>
      <c r="M1860" s="82" t="str">
        <f aca="false">IF(B1860="","",IF(OR(J1860&lt;&gt;"",K1860&lt;&gt;""),"POSÉ EN LIGNE",IF(COUNTIF(BARDAGE!$C$1:$C$5000,B1860)&gt;0,"BARDÉ","EN STOCK")))</f>
        <v/>
      </c>
      <c r="N1860" s="80"/>
    </row>
    <row r="1861" customFormat="false" ht="15" hidden="false" customHeight="false" outlineLevel="0" collapsed="false">
      <c r="A1861" s="82" t="str">
        <f aca="false">IF(B1861="","",ROW()-6)</f>
        <v/>
      </c>
      <c r="B1861" s="145"/>
      <c r="C1861" s="146"/>
      <c r="D1861" s="146"/>
      <c r="E1861" s="82" t="str">
        <f aca="false">IF(B1861="","",IF(COUNTIFS('CARNET DE SOUDURE'!$L$7:$L$3006,B1861,'CARNET DE SOUDURE'!$M$7:$M$3006,"&lt;&gt;"&amp;C1861,'CARNET DE SOUDURE'!$M$7:$M$3006,"&lt;&gt;")+COUNTIFS('CARNET DE SOUDURE'!$O$7:$O$3006,B1861,'CARNET DE SOUDURE'!$P$7:$P$3006,"&lt;&gt;"&amp;C1861,'CARNET DE SOUDURE'!$P$7:$P$3006,"&lt;&gt;")&gt;0,"⚠ DIFFÉRENTE","OK"))</f>
        <v/>
      </c>
      <c r="F1861" s="147"/>
      <c r="G1861" s="80"/>
      <c r="H1861" s="83"/>
      <c r="I1861" s="148" t="str">
        <f aca="false">IF(B1861="","",IFERROR(INDEX('CARNET DE SOUDURE'!$B$7:$B$3006,MATCH(B1861,'CARNET DE SOUDURE'!$L$7:$L$3006,0)),IFERROR(INDEX('CARNET DE SOUDURE'!$B$7:$B$3006,MATCH(B1861,'CARNET DE SOUDURE'!$O$7:$O$3006,0)),"")))</f>
        <v/>
      </c>
      <c r="J1861" s="82" t="str">
        <f aca="false">IF(B1861="","",IFERROR(INDEX('CARNET DE SOUDURE'!$E$7:$E$3006,MATCH(B1861,'CARNET DE SOUDURE'!$O$7:$O$3006,0)),""))</f>
        <v/>
      </c>
      <c r="K1861" s="82" t="str">
        <f aca="false">IF(B1861="","",IFERROR(INDEX('CARNET DE SOUDURE'!$E$7:$E$3006,MATCH(B1861,'CARNET DE SOUDURE'!$L$7:$L$3006,0)),""))</f>
        <v/>
      </c>
      <c r="L1861" s="82" t="str">
        <f aca="false">IF(B1861="","",IFERROR(INDEX('CARNET DE SOUDURE'!$D$7:$D$3006,MATCH(B1861,'CARNET DE SOUDURE'!$L$7:$L$3006,0)),IFERROR(INDEX('CARNET DE SOUDURE'!$D$7:$D$3006,MATCH(B1861,'CARNET DE SOUDURE'!$O$7:$O$3006,0)),"")))</f>
        <v/>
      </c>
      <c r="M1861" s="82" t="str">
        <f aca="false">IF(B1861="","",IF(OR(J1861&lt;&gt;"",K1861&lt;&gt;""),"POSÉ EN LIGNE",IF(COUNTIF(BARDAGE!$C$1:$C$5000,B1861)&gt;0,"BARDÉ","EN STOCK")))</f>
        <v/>
      </c>
      <c r="N1861" s="80"/>
    </row>
    <row r="1862" customFormat="false" ht="15" hidden="false" customHeight="false" outlineLevel="0" collapsed="false">
      <c r="A1862" s="82" t="str">
        <f aca="false">IF(B1862="","",ROW()-6)</f>
        <v/>
      </c>
      <c r="B1862" s="145"/>
      <c r="C1862" s="146"/>
      <c r="D1862" s="146"/>
      <c r="E1862" s="82" t="str">
        <f aca="false">IF(B1862="","",IF(COUNTIFS('CARNET DE SOUDURE'!$L$7:$L$3006,B1862,'CARNET DE SOUDURE'!$M$7:$M$3006,"&lt;&gt;"&amp;C1862,'CARNET DE SOUDURE'!$M$7:$M$3006,"&lt;&gt;")+COUNTIFS('CARNET DE SOUDURE'!$O$7:$O$3006,B1862,'CARNET DE SOUDURE'!$P$7:$P$3006,"&lt;&gt;"&amp;C1862,'CARNET DE SOUDURE'!$P$7:$P$3006,"&lt;&gt;")&gt;0,"⚠ DIFFÉRENTE","OK"))</f>
        <v/>
      </c>
      <c r="F1862" s="147"/>
      <c r="G1862" s="80"/>
      <c r="H1862" s="83"/>
      <c r="I1862" s="148" t="str">
        <f aca="false">IF(B1862="","",IFERROR(INDEX('CARNET DE SOUDURE'!$B$7:$B$3006,MATCH(B1862,'CARNET DE SOUDURE'!$L$7:$L$3006,0)),IFERROR(INDEX('CARNET DE SOUDURE'!$B$7:$B$3006,MATCH(B1862,'CARNET DE SOUDURE'!$O$7:$O$3006,0)),"")))</f>
        <v/>
      </c>
      <c r="J1862" s="82" t="str">
        <f aca="false">IF(B1862="","",IFERROR(INDEX('CARNET DE SOUDURE'!$E$7:$E$3006,MATCH(B1862,'CARNET DE SOUDURE'!$O$7:$O$3006,0)),""))</f>
        <v/>
      </c>
      <c r="K1862" s="82" t="str">
        <f aca="false">IF(B1862="","",IFERROR(INDEX('CARNET DE SOUDURE'!$E$7:$E$3006,MATCH(B1862,'CARNET DE SOUDURE'!$L$7:$L$3006,0)),""))</f>
        <v/>
      </c>
      <c r="L1862" s="82" t="str">
        <f aca="false">IF(B1862="","",IFERROR(INDEX('CARNET DE SOUDURE'!$D$7:$D$3006,MATCH(B1862,'CARNET DE SOUDURE'!$L$7:$L$3006,0)),IFERROR(INDEX('CARNET DE SOUDURE'!$D$7:$D$3006,MATCH(B1862,'CARNET DE SOUDURE'!$O$7:$O$3006,0)),"")))</f>
        <v/>
      </c>
      <c r="M1862" s="82" t="str">
        <f aca="false">IF(B1862="","",IF(OR(J1862&lt;&gt;"",K1862&lt;&gt;""),"POSÉ EN LIGNE",IF(COUNTIF(BARDAGE!$C$1:$C$5000,B1862)&gt;0,"BARDÉ","EN STOCK")))</f>
        <v/>
      </c>
      <c r="N1862" s="80"/>
    </row>
    <row r="1863" customFormat="false" ht="15" hidden="false" customHeight="false" outlineLevel="0" collapsed="false">
      <c r="A1863" s="82" t="str">
        <f aca="false">IF(B1863="","",ROW()-6)</f>
        <v/>
      </c>
      <c r="B1863" s="145"/>
      <c r="C1863" s="146"/>
      <c r="D1863" s="146"/>
      <c r="E1863" s="82" t="str">
        <f aca="false">IF(B1863="","",IF(COUNTIFS('CARNET DE SOUDURE'!$L$7:$L$3006,B1863,'CARNET DE SOUDURE'!$M$7:$M$3006,"&lt;&gt;"&amp;C1863,'CARNET DE SOUDURE'!$M$7:$M$3006,"&lt;&gt;")+COUNTIFS('CARNET DE SOUDURE'!$O$7:$O$3006,B1863,'CARNET DE SOUDURE'!$P$7:$P$3006,"&lt;&gt;"&amp;C1863,'CARNET DE SOUDURE'!$P$7:$P$3006,"&lt;&gt;")&gt;0,"⚠ DIFFÉRENTE","OK"))</f>
        <v/>
      </c>
      <c r="F1863" s="147"/>
      <c r="G1863" s="80"/>
      <c r="H1863" s="83"/>
      <c r="I1863" s="148" t="str">
        <f aca="false">IF(B1863="","",IFERROR(INDEX('CARNET DE SOUDURE'!$B$7:$B$3006,MATCH(B1863,'CARNET DE SOUDURE'!$L$7:$L$3006,0)),IFERROR(INDEX('CARNET DE SOUDURE'!$B$7:$B$3006,MATCH(B1863,'CARNET DE SOUDURE'!$O$7:$O$3006,0)),"")))</f>
        <v/>
      </c>
      <c r="J1863" s="82" t="str">
        <f aca="false">IF(B1863="","",IFERROR(INDEX('CARNET DE SOUDURE'!$E$7:$E$3006,MATCH(B1863,'CARNET DE SOUDURE'!$O$7:$O$3006,0)),""))</f>
        <v/>
      </c>
      <c r="K1863" s="82" t="str">
        <f aca="false">IF(B1863="","",IFERROR(INDEX('CARNET DE SOUDURE'!$E$7:$E$3006,MATCH(B1863,'CARNET DE SOUDURE'!$L$7:$L$3006,0)),""))</f>
        <v/>
      </c>
      <c r="L1863" s="82" t="str">
        <f aca="false">IF(B1863="","",IFERROR(INDEX('CARNET DE SOUDURE'!$D$7:$D$3006,MATCH(B1863,'CARNET DE SOUDURE'!$L$7:$L$3006,0)),IFERROR(INDEX('CARNET DE SOUDURE'!$D$7:$D$3006,MATCH(B1863,'CARNET DE SOUDURE'!$O$7:$O$3006,0)),"")))</f>
        <v/>
      </c>
      <c r="M1863" s="82" t="str">
        <f aca="false">IF(B1863="","",IF(OR(J1863&lt;&gt;"",K1863&lt;&gt;""),"POSÉ EN LIGNE",IF(COUNTIF(BARDAGE!$C$1:$C$5000,B1863)&gt;0,"BARDÉ","EN STOCK")))</f>
        <v/>
      </c>
      <c r="N1863" s="80"/>
    </row>
    <row r="1864" customFormat="false" ht="15" hidden="false" customHeight="false" outlineLevel="0" collapsed="false">
      <c r="A1864" s="82" t="str">
        <f aca="false">IF(B1864="","",ROW()-6)</f>
        <v/>
      </c>
      <c r="B1864" s="145"/>
      <c r="C1864" s="146"/>
      <c r="D1864" s="146"/>
      <c r="E1864" s="82" t="str">
        <f aca="false">IF(B1864="","",IF(COUNTIFS('CARNET DE SOUDURE'!$L$7:$L$3006,B1864,'CARNET DE SOUDURE'!$M$7:$M$3006,"&lt;&gt;"&amp;C1864,'CARNET DE SOUDURE'!$M$7:$M$3006,"&lt;&gt;")+COUNTIFS('CARNET DE SOUDURE'!$O$7:$O$3006,B1864,'CARNET DE SOUDURE'!$P$7:$P$3006,"&lt;&gt;"&amp;C1864,'CARNET DE SOUDURE'!$P$7:$P$3006,"&lt;&gt;")&gt;0,"⚠ DIFFÉRENTE","OK"))</f>
        <v/>
      </c>
      <c r="F1864" s="147"/>
      <c r="G1864" s="80"/>
      <c r="H1864" s="83"/>
      <c r="I1864" s="148" t="str">
        <f aca="false">IF(B1864="","",IFERROR(INDEX('CARNET DE SOUDURE'!$B$7:$B$3006,MATCH(B1864,'CARNET DE SOUDURE'!$L$7:$L$3006,0)),IFERROR(INDEX('CARNET DE SOUDURE'!$B$7:$B$3006,MATCH(B1864,'CARNET DE SOUDURE'!$O$7:$O$3006,0)),"")))</f>
        <v/>
      </c>
      <c r="J1864" s="82" t="str">
        <f aca="false">IF(B1864="","",IFERROR(INDEX('CARNET DE SOUDURE'!$E$7:$E$3006,MATCH(B1864,'CARNET DE SOUDURE'!$O$7:$O$3006,0)),""))</f>
        <v/>
      </c>
      <c r="K1864" s="82" t="str">
        <f aca="false">IF(B1864="","",IFERROR(INDEX('CARNET DE SOUDURE'!$E$7:$E$3006,MATCH(B1864,'CARNET DE SOUDURE'!$L$7:$L$3006,0)),""))</f>
        <v/>
      </c>
      <c r="L1864" s="82" t="str">
        <f aca="false">IF(B1864="","",IFERROR(INDEX('CARNET DE SOUDURE'!$D$7:$D$3006,MATCH(B1864,'CARNET DE SOUDURE'!$L$7:$L$3006,0)),IFERROR(INDEX('CARNET DE SOUDURE'!$D$7:$D$3006,MATCH(B1864,'CARNET DE SOUDURE'!$O$7:$O$3006,0)),"")))</f>
        <v/>
      </c>
      <c r="M1864" s="82" t="str">
        <f aca="false">IF(B1864="","",IF(OR(J1864&lt;&gt;"",K1864&lt;&gt;""),"POSÉ EN LIGNE",IF(COUNTIF(BARDAGE!$C$1:$C$5000,B1864)&gt;0,"BARDÉ","EN STOCK")))</f>
        <v/>
      </c>
      <c r="N1864" s="80"/>
    </row>
    <row r="1865" customFormat="false" ht="15" hidden="false" customHeight="false" outlineLevel="0" collapsed="false">
      <c r="A1865" s="82" t="str">
        <f aca="false">IF(B1865="","",ROW()-6)</f>
        <v/>
      </c>
      <c r="B1865" s="145"/>
      <c r="C1865" s="146"/>
      <c r="D1865" s="146"/>
      <c r="E1865" s="82" t="str">
        <f aca="false">IF(B1865="","",IF(COUNTIFS('CARNET DE SOUDURE'!$L$7:$L$3006,B1865,'CARNET DE SOUDURE'!$M$7:$M$3006,"&lt;&gt;"&amp;C1865,'CARNET DE SOUDURE'!$M$7:$M$3006,"&lt;&gt;")+COUNTIFS('CARNET DE SOUDURE'!$O$7:$O$3006,B1865,'CARNET DE SOUDURE'!$P$7:$P$3006,"&lt;&gt;"&amp;C1865,'CARNET DE SOUDURE'!$P$7:$P$3006,"&lt;&gt;")&gt;0,"⚠ DIFFÉRENTE","OK"))</f>
        <v/>
      </c>
      <c r="F1865" s="147"/>
      <c r="G1865" s="80"/>
      <c r="H1865" s="83"/>
      <c r="I1865" s="148" t="str">
        <f aca="false">IF(B1865="","",IFERROR(INDEX('CARNET DE SOUDURE'!$B$7:$B$3006,MATCH(B1865,'CARNET DE SOUDURE'!$L$7:$L$3006,0)),IFERROR(INDEX('CARNET DE SOUDURE'!$B$7:$B$3006,MATCH(B1865,'CARNET DE SOUDURE'!$O$7:$O$3006,0)),"")))</f>
        <v/>
      </c>
      <c r="J1865" s="82" t="str">
        <f aca="false">IF(B1865="","",IFERROR(INDEX('CARNET DE SOUDURE'!$E$7:$E$3006,MATCH(B1865,'CARNET DE SOUDURE'!$O$7:$O$3006,0)),""))</f>
        <v/>
      </c>
      <c r="K1865" s="82" t="str">
        <f aca="false">IF(B1865="","",IFERROR(INDEX('CARNET DE SOUDURE'!$E$7:$E$3006,MATCH(B1865,'CARNET DE SOUDURE'!$L$7:$L$3006,0)),""))</f>
        <v/>
      </c>
      <c r="L1865" s="82" t="str">
        <f aca="false">IF(B1865="","",IFERROR(INDEX('CARNET DE SOUDURE'!$D$7:$D$3006,MATCH(B1865,'CARNET DE SOUDURE'!$L$7:$L$3006,0)),IFERROR(INDEX('CARNET DE SOUDURE'!$D$7:$D$3006,MATCH(B1865,'CARNET DE SOUDURE'!$O$7:$O$3006,0)),"")))</f>
        <v/>
      </c>
      <c r="M1865" s="82" t="str">
        <f aca="false">IF(B1865="","",IF(OR(J1865&lt;&gt;"",K1865&lt;&gt;""),"POSÉ EN LIGNE",IF(COUNTIF(BARDAGE!$C$1:$C$5000,B1865)&gt;0,"BARDÉ","EN STOCK")))</f>
        <v/>
      </c>
      <c r="N1865" s="80"/>
    </row>
    <row r="1866" customFormat="false" ht="15" hidden="false" customHeight="false" outlineLevel="0" collapsed="false">
      <c r="A1866" s="82" t="str">
        <f aca="false">IF(B1866="","",ROW()-6)</f>
        <v/>
      </c>
      <c r="B1866" s="145"/>
      <c r="C1866" s="146"/>
      <c r="D1866" s="146"/>
      <c r="E1866" s="82" t="str">
        <f aca="false">IF(B1866="","",IF(COUNTIFS('CARNET DE SOUDURE'!$L$7:$L$3006,B1866,'CARNET DE SOUDURE'!$M$7:$M$3006,"&lt;&gt;"&amp;C1866,'CARNET DE SOUDURE'!$M$7:$M$3006,"&lt;&gt;")+COUNTIFS('CARNET DE SOUDURE'!$O$7:$O$3006,B1866,'CARNET DE SOUDURE'!$P$7:$P$3006,"&lt;&gt;"&amp;C1866,'CARNET DE SOUDURE'!$P$7:$P$3006,"&lt;&gt;")&gt;0,"⚠ DIFFÉRENTE","OK"))</f>
        <v/>
      </c>
      <c r="F1866" s="147"/>
      <c r="G1866" s="80"/>
      <c r="H1866" s="83"/>
      <c r="I1866" s="148" t="str">
        <f aca="false">IF(B1866="","",IFERROR(INDEX('CARNET DE SOUDURE'!$B$7:$B$3006,MATCH(B1866,'CARNET DE SOUDURE'!$L$7:$L$3006,0)),IFERROR(INDEX('CARNET DE SOUDURE'!$B$7:$B$3006,MATCH(B1866,'CARNET DE SOUDURE'!$O$7:$O$3006,0)),"")))</f>
        <v/>
      </c>
      <c r="J1866" s="82" t="str">
        <f aca="false">IF(B1866="","",IFERROR(INDEX('CARNET DE SOUDURE'!$E$7:$E$3006,MATCH(B1866,'CARNET DE SOUDURE'!$O$7:$O$3006,0)),""))</f>
        <v/>
      </c>
      <c r="K1866" s="82" t="str">
        <f aca="false">IF(B1866="","",IFERROR(INDEX('CARNET DE SOUDURE'!$E$7:$E$3006,MATCH(B1866,'CARNET DE SOUDURE'!$L$7:$L$3006,0)),""))</f>
        <v/>
      </c>
      <c r="L1866" s="82" t="str">
        <f aca="false">IF(B1866="","",IFERROR(INDEX('CARNET DE SOUDURE'!$D$7:$D$3006,MATCH(B1866,'CARNET DE SOUDURE'!$L$7:$L$3006,0)),IFERROR(INDEX('CARNET DE SOUDURE'!$D$7:$D$3006,MATCH(B1866,'CARNET DE SOUDURE'!$O$7:$O$3006,0)),"")))</f>
        <v/>
      </c>
      <c r="M1866" s="82" t="str">
        <f aca="false">IF(B1866="","",IF(OR(J1866&lt;&gt;"",K1866&lt;&gt;""),"POSÉ EN LIGNE",IF(COUNTIF(BARDAGE!$C$1:$C$5000,B1866)&gt;0,"BARDÉ","EN STOCK")))</f>
        <v/>
      </c>
      <c r="N1866" s="80"/>
    </row>
    <row r="1867" customFormat="false" ht="15" hidden="false" customHeight="false" outlineLevel="0" collapsed="false">
      <c r="A1867" s="82" t="str">
        <f aca="false">IF(B1867="","",ROW()-6)</f>
        <v/>
      </c>
      <c r="B1867" s="145"/>
      <c r="C1867" s="146"/>
      <c r="D1867" s="146"/>
      <c r="E1867" s="82" t="str">
        <f aca="false">IF(B1867="","",IF(COUNTIFS('CARNET DE SOUDURE'!$L$7:$L$3006,B1867,'CARNET DE SOUDURE'!$M$7:$M$3006,"&lt;&gt;"&amp;C1867,'CARNET DE SOUDURE'!$M$7:$M$3006,"&lt;&gt;")+COUNTIFS('CARNET DE SOUDURE'!$O$7:$O$3006,B1867,'CARNET DE SOUDURE'!$P$7:$P$3006,"&lt;&gt;"&amp;C1867,'CARNET DE SOUDURE'!$P$7:$P$3006,"&lt;&gt;")&gt;0,"⚠ DIFFÉRENTE","OK"))</f>
        <v/>
      </c>
      <c r="F1867" s="147"/>
      <c r="G1867" s="80"/>
      <c r="H1867" s="83"/>
      <c r="I1867" s="148" t="str">
        <f aca="false">IF(B1867="","",IFERROR(INDEX('CARNET DE SOUDURE'!$B$7:$B$3006,MATCH(B1867,'CARNET DE SOUDURE'!$L$7:$L$3006,0)),IFERROR(INDEX('CARNET DE SOUDURE'!$B$7:$B$3006,MATCH(B1867,'CARNET DE SOUDURE'!$O$7:$O$3006,0)),"")))</f>
        <v/>
      </c>
      <c r="J1867" s="82" t="str">
        <f aca="false">IF(B1867="","",IFERROR(INDEX('CARNET DE SOUDURE'!$E$7:$E$3006,MATCH(B1867,'CARNET DE SOUDURE'!$O$7:$O$3006,0)),""))</f>
        <v/>
      </c>
      <c r="K1867" s="82" t="str">
        <f aca="false">IF(B1867="","",IFERROR(INDEX('CARNET DE SOUDURE'!$E$7:$E$3006,MATCH(B1867,'CARNET DE SOUDURE'!$L$7:$L$3006,0)),""))</f>
        <v/>
      </c>
      <c r="L1867" s="82" t="str">
        <f aca="false">IF(B1867="","",IFERROR(INDEX('CARNET DE SOUDURE'!$D$7:$D$3006,MATCH(B1867,'CARNET DE SOUDURE'!$L$7:$L$3006,0)),IFERROR(INDEX('CARNET DE SOUDURE'!$D$7:$D$3006,MATCH(B1867,'CARNET DE SOUDURE'!$O$7:$O$3006,0)),"")))</f>
        <v/>
      </c>
      <c r="M1867" s="82" t="str">
        <f aca="false">IF(B1867="","",IF(OR(J1867&lt;&gt;"",K1867&lt;&gt;""),"POSÉ EN LIGNE",IF(COUNTIF(BARDAGE!$C$1:$C$5000,B1867)&gt;0,"BARDÉ","EN STOCK")))</f>
        <v/>
      </c>
      <c r="N1867" s="80"/>
    </row>
    <row r="1868" customFormat="false" ht="15" hidden="false" customHeight="false" outlineLevel="0" collapsed="false">
      <c r="A1868" s="82" t="str">
        <f aca="false">IF(B1868="","",ROW()-6)</f>
        <v/>
      </c>
      <c r="B1868" s="145"/>
      <c r="C1868" s="146"/>
      <c r="D1868" s="146"/>
      <c r="E1868" s="82" t="str">
        <f aca="false">IF(B1868="","",IF(COUNTIFS('CARNET DE SOUDURE'!$L$7:$L$3006,B1868,'CARNET DE SOUDURE'!$M$7:$M$3006,"&lt;&gt;"&amp;C1868,'CARNET DE SOUDURE'!$M$7:$M$3006,"&lt;&gt;")+COUNTIFS('CARNET DE SOUDURE'!$O$7:$O$3006,B1868,'CARNET DE SOUDURE'!$P$7:$P$3006,"&lt;&gt;"&amp;C1868,'CARNET DE SOUDURE'!$P$7:$P$3006,"&lt;&gt;")&gt;0,"⚠ DIFFÉRENTE","OK"))</f>
        <v/>
      </c>
      <c r="F1868" s="147"/>
      <c r="G1868" s="80"/>
      <c r="H1868" s="83"/>
      <c r="I1868" s="148" t="str">
        <f aca="false">IF(B1868="","",IFERROR(INDEX('CARNET DE SOUDURE'!$B$7:$B$3006,MATCH(B1868,'CARNET DE SOUDURE'!$L$7:$L$3006,0)),IFERROR(INDEX('CARNET DE SOUDURE'!$B$7:$B$3006,MATCH(B1868,'CARNET DE SOUDURE'!$O$7:$O$3006,0)),"")))</f>
        <v/>
      </c>
      <c r="J1868" s="82" t="str">
        <f aca="false">IF(B1868="","",IFERROR(INDEX('CARNET DE SOUDURE'!$E$7:$E$3006,MATCH(B1868,'CARNET DE SOUDURE'!$O$7:$O$3006,0)),""))</f>
        <v/>
      </c>
      <c r="K1868" s="82" t="str">
        <f aca="false">IF(B1868="","",IFERROR(INDEX('CARNET DE SOUDURE'!$E$7:$E$3006,MATCH(B1868,'CARNET DE SOUDURE'!$L$7:$L$3006,0)),""))</f>
        <v/>
      </c>
      <c r="L1868" s="82" t="str">
        <f aca="false">IF(B1868="","",IFERROR(INDEX('CARNET DE SOUDURE'!$D$7:$D$3006,MATCH(B1868,'CARNET DE SOUDURE'!$L$7:$L$3006,0)),IFERROR(INDEX('CARNET DE SOUDURE'!$D$7:$D$3006,MATCH(B1868,'CARNET DE SOUDURE'!$O$7:$O$3006,0)),"")))</f>
        <v/>
      </c>
      <c r="M1868" s="82" t="str">
        <f aca="false">IF(B1868="","",IF(OR(J1868&lt;&gt;"",K1868&lt;&gt;""),"POSÉ EN LIGNE",IF(COUNTIF(BARDAGE!$C$1:$C$5000,B1868)&gt;0,"BARDÉ","EN STOCK")))</f>
        <v/>
      </c>
      <c r="N1868" s="80"/>
    </row>
    <row r="1869" customFormat="false" ht="15" hidden="false" customHeight="false" outlineLevel="0" collapsed="false">
      <c r="A1869" s="82" t="str">
        <f aca="false">IF(B1869="","",ROW()-6)</f>
        <v/>
      </c>
      <c r="B1869" s="145"/>
      <c r="C1869" s="146"/>
      <c r="D1869" s="146"/>
      <c r="E1869" s="82" t="str">
        <f aca="false">IF(B1869="","",IF(COUNTIFS('CARNET DE SOUDURE'!$L$7:$L$3006,B1869,'CARNET DE SOUDURE'!$M$7:$M$3006,"&lt;&gt;"&amp;C1869,'CARNET DE SOUDURE'!$M$7:$M$3006,"&lt;&gt;")+COUNTIFS('CARNET DE SOUDURE'!$O$7:$O$3006,B1869,'CARNET DE SOUDURE'!$P$7:$P$3006,"&lt;&gt;"&amp;C1869,'CARNET DE SOUDURE'!$P$7:$P$3006,"&lt;&gt;")&gt;0,"⚠ DIFFÉRENTE","OK"))</f>
        <v/>
      </c>
      <c r="F1869" s="147"/>
      <c r="G1869" s="80"/>
      <c r="H1869" s="83"/>
      <c r="I1869" s="148" t="str">
        <f aca="false">IF(B1869="","",IFERROR(INDEX('CARNET DE SOUDURE'!$B$7:$B$3006,MATCH(B1869,'CARNET DE SOUDURE'!$L$7:$L$3006,0)),IFERROR(INDEX('CARNET DE SOUDURE'!$B$7:$B$3006,MATCH(B1869,'CARNET DE SOUDURE'!$O$7:$O$3006,0)),"")))</f>
        <v/>
      </c>
      <c r="J1869" s="82" t="str">
        <f aca="false">IF(B1869="","",IFERROR(INDEX('CARNET DE SOUDURE'!$E$7:$E$3006,MATCH(B1869,'CARNET DE SOUDURE'!$O$7:$O$3006,0)),""))</f>
        <v/>
      </c>
      <c r="K1869" s="82" t="str">
        <f aca="false">IF(B1869="","",IFERROR(INDEX('CARNET DE SOUDURE'!$E$7:$E$3006,MATCH(B1869,'CARNET DE SOUDURE'!$L$7:$L$3006,0)),""))</f>
        <v/>
      </c>
      <c r="L1869" s="82" t="str">
        <f aca="false">IF(B1869="","",IFERROR(INDEX('CARNET DE SOUDURE'!$D$7:$D$3006,MATCH(B1869,'CARNET DE SOUDURE'!$L$7:$L$3006,0)),IFERROR(INDEX('CARNET DE SOUDURE'!$D$7:$D$3006,MATCH(B1869,'CARNET DE SOUDURE'!$O$7:$O$3006,0)),"")))</f>
        <v/>
      </c>
      <c r="M1869" s="82" t="str">
        <f aca="false">IF(B1869="","",IF(OR(J1869&lt;&gt;"",K1869&lt;&gt;""),"POSÉ EN LIGNE",IF(COUNTIF(BARDAGE!$C$1:$C$5000,B1869)&gt;0,"BARDÉ","EN STOCK")))</f>
        <v/>
      </c>
      <c r="N1869" s="80"/>
    </row>
    <row r="1870" customFormat="false" ht="15" hidden="false" customHeight="false" outlineLevel="0" collapsed="false">
      <c r="A1870" s="82" t="str">
        <f aca="false">IF(B1870="","",ROW()-6)</f>
        <v/>
      </c>
      <c r="B1870" s="145"/>
      <c r="C1870" s="146"/>
      <c r="D1870" s="146"/>
      <c r="E1870" s="82" t="str">
        <f aca="false">IF(B1870="","",IF(COUNTIFS('CARNET DE SOUDURE'!$L$7:$L$3006,B1870,'CARNET DE SOUDURE'!$M$7:$M$3006,"&lt;&gt;"&amp;C1870,'CARNET DE SOUDURE'!$M$7:$M$3006,"&lt;&gt;")+COUNTIFS('CARNET DE SOUDURE'!$O$7:$O$3006,B1870,'CARNET DE SOUDURE'!$P$7:$P$3006,"&lt;&gt;"&amp;C1870,'CARNET DE SOUDURE'!$P$7:$P$3006,"&lt;&gt;")&gt;0,"⚠ DIFFÉRENTE","OK"))</f>
        <v/>
      </c>
      <c r="F1870" s="147"/>
      <c r="G1870" s="80"/>
      <c r="H1870" s="83"/>
      <c r="I1870" s="148" t="str">
        <f aca="false">IF(B1870="","",IFERROR(INDEX('CARNET DE SOUDURE'!$B$7:$B$3006,MATCH(B1870,'CARNET DE SOUDURE'!$L$7:$L$3006,0)),IFERROR(INDEX('CARNET DE SOUDURE'!$B$7:$B$3006,MATCH(B1870,'CARNET DE SOUDURE'!$O$7:$O$3006,0)),"")))</f>
        <v/>
      </c>
      <c r="J1870" s="82" t="str">
        <f aca="false">IF(B1870="","",IFERROR(INDEX('CARNET DE SOUDURE'!$E$7:$E$3006,MATCH(B1870,'CARNET DE SOUDURE'!$O$7:$O$3006,0)),""))</f>
        <v/>
      </c>
      <c r="K1870" s="82" t="str">
        <f aca="false">IF(B1870="","",IFERROR(INDEX('CARNET DE SOUDURE'!$E$7:$E$3006,MATCH(B1870,'CARNET DE SOUDURE'!$L$7:$L$3006,0)),""))</f>
        <v/>
      </c>
      <c r="L1870" s="82" t="str">
        <f aca="false">IF(B1870="","",IFERROR(INDEX('CARNET DE SOUDURE'!$D$7:$D$3006,MATCH(B1870,'CARNET DE SOUDURE'!$L$7:$L$3006,0)),IFERROR(INDEX('CARNET DE SOUDURE'!$D$7:$D$3006,MATCH(B1870,'CARNET DE SOUDURE'!$O$7:$O$3006,0)),"")))</f>
        <v/>
      </c>
      <c r="M1870" s="82" t="str">
        <f aca="false">IF(B1870="","",IF(OR(J1870&lt;&gt;"",K1870&lt;&gt;""),"POSÉ EN LIGNE",IF(COUNTIF(BARDAGE!$C$1:$C$5000,B1870)&gt;0,"BARDÉ","EN STOCK")))</f>
        <v/>
      </c>
      <c r="N1870" s="80"/>
    </row>
    <row r="1871" customFormat="false" ht="15" hidden="false" customHeight="false" outlineLevel="0" collapsed="false">
      <c r="A1871" s="82" t="str">
        <f aca="false">IF(B1871="","",ROW()-6)</f>
        <v/>
      </c>
      <c r="B1871" s="145"/>
      <c r="C1871" s="146"/>
      <c r="D1871" s="146"/>
      <c r="E1871" s="82" t="str">
        <f aca="false">IF(B1871="","",IF(COUNTIFS('CARNET DE SOUDURE'!$L$7:$L$3006,B1871,'CARNET DE SOUDURE'!$M$7:$M$3006,"&lt;&gt;"&amp;C1871,'CARNET DE SOUDURE'!$M$7:$M$3006,"&lt;&gt;")+COUNTIFS('CARNET DE SOUDURE'!$O$7:$O$3006,B1871,'CARNET DE SOUDURE'!$P$7:$P$3006,"&lt;&gt;"&amp;C1871,'CARNET DE SOUDURE'!$P$7:$P$3006,"&lt;&gt;")&gt;0,"⚠ DIFFÉRENTE","OK"))</f>
        <v/>
      </c>
      <c r="F1871" s="147"/>
      <c r="G1871" s="80"/>
      <c r="H1871" s="83"/>
      <c r="I1871" s="148" t="str">
        <f aca="false">IF(B1871="","",IFERROR(INDEX('CARNET DE SOUDURE'!$B$7:$B$3006,MATCH(B1871,'CARNET DE SOUDURE'!$L$7:$L$3006,0)),IFERROR(INDEX('CARNET DE SOUDURE'!$B$7:$B$3006,MATCH(B1871,'CARNET DE SOUDURE'!$O$7:$O$3006,0)),"")))</f>
        <v/>
      </c>
      <c r="J1871" s="82" t="str">
        <f aca="false">IF(B1871="","",IFERROR(INDEX('CARNET DE SOUDURE'!$E$7:$E$3006,MATCH(B1871,'CARNET DE SOUDURE'!$O$7:$O$3006,0)),""))</f>
        <v/>
      </c>
      <c r="K1871" s="82" t="str">
        <f aca="false">IF(B1871="","",IFERROR(INDEX('CARNET DE SOUDURE'!$E$7:$E$3006,MATCH(B1871,'CARNET DE SOUDURE'!$L$7:$L$3006,0)),""))</f>
        <v/>
      </c>
      <c r="L1871" s="82" t="str">
        <f aca="false">IF(B1871="","",IFERROR(INDEX('CARNET DE SOUDURE'!$D$7:$D$3006,MATCH(B1871,'CARNET DE SOUDURE'!$L$7:$L$3006,0)),IFERROR(INDEX('CARNET DE SOUDURE'!$D$7:$D$3006,MATCH(B1871,'CARNET DE SOUDURE'!$O$7:$O$3006,0)),"")))</f>
        <v/>
      </c>
      <c r="M1871" s="82" t="str">
        <f aca="false">IF(B1871="","",IF(OR(J1871&lt;&gt;"",K1871&lt;&gt;""),"POSÉ EN LIGNE",IF(COUNTIF(BARDAGE!$C$1:$C$5000,B1871)&gt;0,"BARDÉ","EN STOCK")))</f>
        <v/>
      </c>
      <c r="N1871" s="80"/>
    </row>
    <row r="1872" customFormat="false" ht="15" hidden="false" customHeight="false" outlineLevel="0" collapsed="false">
      <c r="A1872" s="82" t="str">
        <f aca="false">IF(B1872="","",ROW()-6)</f>
        <v/>
      </c>
      <c r="B1872" s="145"/>
      <c r="C1872" s="146"/>
      <c r="D1872" s="146"/>
      <c r="E1872" s="82" t="str">
        <f aca="false">IF(B1872="","",IF(COUNTIFS('CARNET DE SOUDURE'!$L$7:$L$3006,B1872,'CARNET DE SOUDURE'!$M$7:$M$3006,"&lt;&gt;"&amp;C1872,'CARNET DE SOUDURE'!$M$7:$M$3006,"&lt;&gt;")+COUNTIFS('CARNET DE SOUDURE'!$O$7:$O$3006,B1872,'CARNET DE SOUDURE'!$P$7:$P$3006,"&lt;&gt;"&amp;C1872,'CARNET DE SOUDURE'!$P$7:$P$3006,"&lt;&gt;")&gt;0,"⚠ DIFFÉRENTE","OK"))</f>
        <v/>
      </c>
      <c r="F1872" s="147"/>
      <c r="G1872" s="80"/>
      <c r="H1872" s="83"/>
      <c r="I1872" s="148" t="str">
        <f aca="false">IF(B1872="","",IFERROR(INDEX('CARNET DE SOUDURE'!$B$7:$B$3006,MATCH(B1872,'CARNET DE SOUDURE'!$L$7:$L$3006,0)),IFERROR(INDEX('CARNET DE SOUDURE'!$B$7:$B$3006,MATCH(B1872,'CARNET DE SOUDURE'!$O$7:$O$3006,0)),"")))</f>
        <v/>
      </c>
      <c r="J1872" s="82" t="str">
        <f aca="false">IF(B1872="","",IFERROR(INDEX('CARNET DE SOUDURE'!$E$7:$E$3006,MATCH(B1872,'CARNET DE SOUDURE'!$O$7:$O$3006,0)),""))</f>
        <v/>
      </c>
      <c r="K1872" s="82" t="str">
        <f aca="false">IF(B1872="","",IFERROR(INDEX('CARNET DE SOUDURE'!$E$7:$E$3006,MATCH(B1872,'CARNET DE SOUDURE'!$L$7:$L$3006,0)),""))</f>
        <v/>
      </c>
      <c r="L1872" s="82" t="str">
        <f aca="false">IF(B1872="","",IFERROR(INDEX('CARNET DE SOUDURE'!$D$7:$D$3006,MATCH(B1872,'CARNET DE SOUDURE'!$L$7:$L$3006,0)),IFERROR(INDEX('CARNET DE SOUDURE'!$D$7:$D$3006,MATCH(B1872,'CARNET DE SOUDURE'!$O$7:$O$3006,0)),"")))</f>
        <v/>
      </c>
      <c r="M1872" s="82" t="str">
        <f aca="false">IF(B1872="","",IF(OR(J1872&lt;&gt;"",K1872&lt;&gt;""),"POSÉ EN LIGNE",IF(COUNTIF(BARDAGE!$C$1:$C$5000,B1872)&gt;0,"BARDÉ","EN STOCK")))</f>
        <v/>
      </c>
      <c r="N1872" s="80"/>
    </row>
    <row r="1873" customFormat="false" ht="15" hidden="false" customHeight="false" outlineLevel="0" collapsed="false">
      <c r="A1873" s="82" t="str">
        <f aca="false">IF(B1873="","",ROW()-6)</f>
        <v/>
      </c>
      <c r="B1873" s="145"/>
      <c r="C1873" s="146"/>
      <c r="D1873" s="146"/>
      <c r="E1873" s="82" t="str">
        <f aca="false">IF(B1873="","",IF(COUNTIFS('CARNET DE SOUDURE'!$L$7:$L$3006,B1873,'CARNET DE SOUDURE'!$M$7:$M$3006,"&lt;&gt;"&amp;C1873,'CARNET DE SOUDURE'!$M$7:$M$3006,"&lt;&gt;")+COUNTIFS('CARNET DE SOUDURE'!$O$7:$O$3006,B1873,'CARNET DE SOUDURE'!$P$7:$P$3006,"&lt;&gt;"&amp;C1873,'CARNET DE SOUDURE'!$P$7:$P$3006,"&lt;&gt;")&gt;0,"⚠ DIFFÉRENTE","OK"))</f>
        <v/>
      </c>
      <c r="F1873" s="147"/>
      <c r="G1873" s="80"/>
      <c r="H1873" s="83"/>
      <c r="I1873" s="148" t="str">
        <f aca="false">IF(B1873="","",IFERROR(INDEX('CARNET DE SOUDURE'!$B$7:$B$3006,MATCH(B1873,'CARNET DE SOUDURE'!$L$7:$L$3006,0)),IFERROR(INDEX('CARNET DE SOUDURE'!$B$7:$B$3006,MATCH(B1873,'CARNET DE SOUDURE'!$O$7:$O$3006,0)),"")))</f>
        <v/>
      </c>
      <c r="J1873" s="82" t="str">
        <f aca="false">IF(B1873="","",IFERROR(INDEX('CARNET DE SOUDURE'!$E$7:$E$3006,MATCH(B1873,'CARNET DE SOUDURE'!$O$7:$O$3006,0)),""))</f>
        <v/>
      </c>
      <c r="K1873" s="82" t="str">
        <f aca="false">IF(B1873="","",IFERROR(INDEX('CARNET DE SOUDURE'!$E$7:$E$3006,MATCH(B1873,'CARNET DE SOUDURE'!$L$7:$L$3006,0)),""))</f>
        <v/>
      </c>
      <c r="L1873" s="82" t="str">
        <f aca="false">IF(B1873="","",IFERROR(INDEX('CARNET DE SOUDURE'!$D$7:$D$3006,MATCH(B1873,'CARNET DE SOUDURE'!$L$7:$L$3006,0)),IFERROR(INDEX('CARNET DE SOUDURE'!$D$7:$D$3006,MATCH(B1873,'CARNET DE SOUDURE'!$O$7:$O$3006,0)),"")))</f>
        <v/>
      </c>
      <c r="M1873" s="82" t="str">
        <f aca="false">IF(B1873="","",IF(OR(J1873&lt;&gt;"",K1873&lt;&gt;""),"POSÉ EN LIGNE",IF(COUNTIF(BARDAGE!$C$1:$C$5000,B1873)&gt;0,"BARDÉ","EN STOCK")))</f>
        <v/>
      </c>
      <c r="N1873" s="80"/>
    </row>
    <row r="1874" customFormat="false" ht="15" hidden="false" customHeight="false" outlineLevel="0" collapsed="false">
      <c r="A1874" s="82" t="str">
        <f aca="false">IF(B1874="","",ROW()-6)</f>
        <v/>
      </c>
      <c r="B1874" s="145"/>
      <c r="C1874" s="146"/>
      <c r="D1874" s="146"/>
      <c r="E1874" s="82" t="str">
        <f aca="false">IF(B1874="","",IF(COUNTIFS('CARNET DE SOUDURE'!$L$7:$L$3006,B1874,'CARNET DE SOUDURE'!$M$7:$M$3006,"&lt;&gt;"&amp;C1874,'CARNET DE SOUDURE'!$M$7:$M$3006,"&lt;&gt;")+COUNTIFS('CARNET DE SOUDURE'!$O$7:$O$3006,B1874,'CARNET DE SOUDURE'!$P$7:$P$3006,"&lt;&gt;"&amp;C1874,'CARNET DE SOUDURE'!$P$7:$P$3006,"&lt;&gt;")&gt;0,"⚠ DIFFÉRENTE","OK"))</f>
        <v/>
      </c>
      <c r="F1874" s="147"/>
      <c r="G1874" s="80"/>
      <c r="H1874" s="83"/>
      <c r="I1874" s="148" t="str">
        <f aca="false">IF(B1874="","",IFERROR(INDEX('CARNET DE SOUDURE'!$B$7:$B$3006,MATCH(B1874,'CARNET DE SOUDURE'!$L$7:$L$3006,0)),IFERROR(INDEX('CARNET DE SOUDURE'!$B$7:$B$3006,MATCH(B1874,'CARNET DE SOUDURE'!$O$7:$O$3006,0)),"")))</f>
        <v/>
      </c>
      <c r="J1874" s="82" t="str">
        <f aca="false">IF(B1874="","",IFERROR(INDEX('CARNET DE SOUDURE'!$E$7:$E$3006,MATCH(B1874,'CARNET DE SOUDURE'!$O$7:$O$3006,0)),""))</f>
        <v/>
      </c>
      <c r="K1874" s="82" t="str">
        <f aca="false">IF(B1874="","",IFERROR(INDEX('CARNET DE SOUDURE'!$E$7:$E$3006,MATCH(B1874,'CARNET DE SOUDURE'!$L$7:$L$3006,0)),""))</f>
        <v/>
      </c>
      <c r="L1874" s="82" t="str">
        <f aca="false">IF(B1874="","",IFERROR(INDEX('CARNET DE SOUDURE'!$D$7:$D$3006,MATCH(B1874,'CARNET DE SOUDURE'!$L$7:$L$3006,0)),IFERROR(INDEX('CARNET DE SOUDURE'!$D$7:$D$3006,MATCH(B1874,'CARNET DE SOUDURE'!$O$7:$O$3006,0)),"")))</f>
        <v/>
      </c>
      <c r="M1874" s="82" t="str">
        <f aca="false">IF(B1874="","",IF(OR(J1874&lt;&gt;"",K1874&lt;&gt;""),"POSÉ EN LIGNE",IF(COUNTIF(BARDAGE!$C$1:$C$5000,B1874)&gt;0,"BARDÉ","EN STOCK")))</f>
        <v/>
      </c>
      <c r="N1874" s="80"/>
    </row>
    <row r="1875" customFormat="false" ht="15" hidden="false" customHeight="false" outlineLevel="0" collapsed="false">
      <c r="A1875" s="82" t="str">
        <f aca="false">IF(B1875="","",ROW()-6)</f>
        <v/>
      </c>
      <c r="B1875" s="145"/>
      <c r="C1875" s="146"/>
      <c r="D1875" s="146"/>
      <c r="E1875" s="82" t="str">
        <f aca="false">IF(B1875="","",IF(COUNTIFS('CARNET DE SOUDURE'!$L$7:$L$3006,B1875,'CARNET DE SOUDURE'!$M$7:$M$3006,"&lt;&gt;"&amp;C1875,'CARNET DE SOUDURE'!$M$7:$M$3006,"&lt;&gt;")+COUNTIFS('CARNET DE SOUDURE'!$O$7:$O$3006,B1875,'CARNET DE SOUDURE'!$P$7:$P$3006,"&lt;&gt;"&amp;C1875,'CARNET DE SOUDURE'!$P$7:$P$3006,"&lt;&gt;")&gt;0,"⚠ DIFFÉRENTE","OK"))</f>
        <v/>
      </c>
      <c r="F1875" s="147"/>
      <c r="G1875" s="80"/>
      <c r="H1875" s="83"/>
      <c r="I1875" s="148" t="str">
        <f aca="false">IF(B1875="","",IFERROR(INDEX('CARNET DE SOUDURE'!$B$7:$B$3006,MATCH(B1875,'CARNET DE SOUDURE'!$L$7:$L$3006,0)),IFERROR(INDEX('CARNET DE SOUDURE'!$B$7:$B$3006,MATCH(B1875,'CARNET DE SOUDURE'!$O$7:$O$3006,0)),"")))</f>
        <v/>
      </c>
      <c r="J1875" s="82" t="str">
        <f aca="false">IF(B1875="","",IFERROR(INDEX('CARNET DE SOUDURE'!$E$7:$E$3006,MATCH(B1875,'CARNET DE SOUDURE'!$O$7:$O$3006,0)),""))</f>
        <v/>
      </c>
      <c r="K1875" s="82" t="str">
        <f aca="false">IF(B1875="","",IFERROR(INDEX('CARNET DE SOUDURE'!$E$7:$E$3006,MATCH(B1875,'CARNET DE SOUDURE'!$L$7:$L$3006,0)),""))</f>
        <v/>
      </c>
      <c r="L1875" s="82" t="str">
        <f aca="false">IF(B1875="","",IFERROR(INDEX('CARNET DE SOUDURE'!$D$7:$D$3006,MATCH(B1875,'CARNET DE SOUDURE'!$L$7:$L$3006,0)),IFERROR(INDEX('CARNET DE SOUDURE'!$D$7:$D$3006,MATCH(B1875,'CARNET DE SOUDURE'!$O$7:$O$3006,0)),"")))</f>
        <v/>
      </c>
      <c r="M1875" s="82" t="str">
        <f aca="false">IF(B1875="","",IF(OR(J1875&lt;&gt;"",K1875&lt;&gt;""),"POSÉ EN LIGNE",IF(COUNTIF(BARDAGE!$C$1:$C$5000,B1875)&gt;0,"BARDÉ","EN STOCK")))</f>
        <v/>
      </c>
      <c r="N1875" s="80"/>
    </row>
    <row r="1876" customFormat="false" ht="15" hidden="false" customHeight="false" outlineLevel="0" collapsed="false">
      <c r="A1876" s="82" t="str">
        <f aca="false">IF(B1876="","",ROW()-6)</f>
        <v/>
      </c>
      <c r="B1876" s="145"/>
      <c r="C1876" s="146"/>
      <c r="D1876" s="146"/>
      <c r="E1876" s="82" t="str">
        <f aca="false">IF(B1876="","",IF(COUNTIFS('CARNET DE SOUDURE'!$L$7:$L$3006,B1876,'CARNET DE SOUDURE'!$M$7:$M$3006,"&lt;&gt;"&amp;C1876,'CARNET DE SOUDURE'!$M$7:$M$3006,"&lt;&gt;")+COUNTIFS('CARNET DE SOUDURE'!$O$7:$O$3006,B1876,'CARNET DE SOUDURE'!$P$7:$P$3006,"&lt;&gt;"&amp;C1876,'CARNET DE SOUDURE'!$P$7:$P$3006,"&lt;&gt;")&gt;0,"⚠ DIFFÉRENTE","OK"))</f>
        <v/>
      </c>
      <c r="F1876" s="147"/>
      <c r="G1876" s="80"/>
      <c r="H1876" s="83"/>
      <c r="I1876" s="148" t="str">
        <f aca="false">IF(B1876="","",IFERROR(INDEX('CARNET DE SOUDURE'!$B$7:$B$3006,MATCH(B1876,'CARNET DE SOUDURE'!$L$7:$L$3006,0)),IFERROR(INDEX('CARNET DE SOUDURE'!$B$7:$B$3006,MATCH(B1876,'CARNET DE SOUDURE'!$O$7:$O$3006,0)),"")))</f>
        <v/>
      </c>
      <c r="J1876" s="82" t="str">
        <f aca="false">IF(B1876="","",IFERROR(INDEX('CARNET DE SOUDURE'!$E$7:$E$3006,MATCH(B1876,'CARNET DE SOUDURE'!$O$7:$O$3006,0)),""))</f>
        <v/>
      </c>
      <c r="K1876" s="82" t="str">
        <f aca="false">IF(B1876="","",IFERROR(INDEX('CARNET DE SOUDURE'!$E$7:$E$3006,MATCH(B1876,'CARNET DE SOUDURE'!$L$7:$L$3006,0)),""))</f>
        <v/>
      </c>
      <c r="L1876" s="82" t="str">
        <f aca="false">IF(B1876="","",IFERROR(INDEX('CARNET DE SOUDURE'!$D$7:$D$3006,MATCH(B1876,'CARNET DE SOUDURE'!$L$7:$L$3006,0)),IFERROR(INDEX('CARNET DE SOUDURE'!$D$7:$D$3006,MATCH(B1876,'CARNET DE SOUDURE'!$O$7:$O$3006,0)),"")))</f>
        <v/>
      </c>
      <c r="M1876" s="82" t="str">
        <f aca="false">IF(B1876="","",IF(OR(J1876&lt;&gt;"",K1876&lt;&gt;""),"POSÉ EN LIGNE",IF(COUNTIF(BARDAGE!$C$1:$C$5000,B1876)&gt;0,"BARDÉ","EN STOCK")))</f>
        <v/>
      </c>
      <c r="N1876" s="80"/>
    </row>
    <row r="1877" customFormat="false" ht="15" hidden="false" customHeight="false" outlineLevel="0" collapsed="false">
      <c r="A1877" s="82" t="str">
        <f aca="false">IF(B1877="","",ROW()-6)</f>
        <v/>
      </c>
      <c r="B1877" s="145"/>
      <c r="C1877" s="146"/>
      <c r="D1877" s="146"/>
      <c r="E1877" s="82" t="str">
        <f aca="false">IF(B1877="","",IF(COUNTIFS('CARNET DE SOUDURE'!$L$7:$L$3006,B1877,'CARNET DE SOUDURE'!$M$7:$M$3006,"&lt;&gt;"&amp;C1877,'CARNET DE SOUDURE'!$M$7:$M$3006,"&lt;&gt;")+COUNTIFS('CARNET DE SOUDURE'!$O$7:$O$3006,B1877,'CARNET DE SOUDURE'!$P$7:$P$3006,"&lt;&gt;"&amp;C1877,'CARNET DE SOUDURE'!$P$7:$P$3006,"&lt;&gt;")&gt;0,"⚠ DIFFÉRENTE","OK"))</f>
        <v/>
      </c>
      <c r="F1877" s="147"/>
      <c r="G1877" s="80"/>
      <c r="H1877" s="83"/>
      <c r="I1877" s="148" t="str">
        <f aca="false">IF(B1877="","",IFERROR(INDEX('CARNET DE SOUDURE'!$B$7:$B$3006,MATCH(B1877,'CARNET DE SOUDURE'!$L$7:$L$3006,0)),IFERROR(INDEX('CARNET DE SOUDURE'!$B$7:$B$3006,MATCH(B1877,'CARNET DE SOUDURE'!$O$7:$O$3006,0)),"")))</f>
        <v/>
      </c>
      <c r="J1877" s="82" t="str">
        <f aca="false">IF(B1877="","",IFERROR(INDEX('CARNET DE SOUDURE'!$E$7:$E$3006,MATCH(B1877,'CARNET DE SOUDURE'!$O$7:$O$3006,0)),""))</f>
        <v/>
      </c>
      <c r="K1877" s="82" t="str">
        <f aca="false">IF(B1877="","",IFERROR(INDEX('CARNET DE SOUDURE'!$E$7:$E$3006,MATCH(B1877,'CARNET DE SOUDURE'!$L$7:$L$3006,0)),""))</f>
        <v/>
      </c>
      <c r="L1877" s="82" t="str">
        <f aca="false">IF(B1877="","",IFERROR(INDEX('CARNET DE SOUDURE'!$D$7:$D$3006,MATCH(B1877,'CARNET DE SOUDURE'!$L$7:$L$3006,0)),IFERROR(INDEX('CARNET DE SOUDURE'!$D$7:$D$3006,MATCH(B1877,'CARNET DE SOUDURE'!$O$7:$O$3006,0)),"")))</f>
        <v/>
      </c>
      <c r="M1877" s="82" t="str">
        <f aca="false">IF(B1877="","",IF(OR(J1877&lt;&gt;"",K1877&lt;&gt;""),"POSÉ EN LIGNE",IF(COUNTIF(BARDAGE!$C$1:$C$5000,B1877)&gt;0,"BARDÉ","EN STOCK")))</f>
        <v/>
      </c>
      <c r="N1877" s="80"/>
    </row>
    <row r="1878" customFormat="false" ht="15" hidden="false" customHeight="false" outlineLevel="0" collapsed="false">
      <c r="A1878" s="82" t="str">
        <f aca="false">IF(B1878="","",ROW()-6)</f>
        <v/>
      </c>
      <c r="B1878" s="145"/>
      <c r="C1878" s="146"/>
      <c r="D1878" s="146"/>
      <c r="E1878" s="82" t="str">
        <f aca="false">IF(B1878="","",IF(COUNTIFS('CARNET DE SOUDURE'!$L$7:$L$3006,B1878,'CARNET DE SOUDURE'!$M$7:$M$3006,"&lt;&gt;"&amp;C1878,'CARNET DE SOUDURE'!$M$7:$M$3006,"&lt;&gt;")+COUNTIFS('CARNET DE SOUDURE'!$O$7:$O$3006,B1878,'CARNET DE SOUDURE'!$P$7:$P$3006,"&lt;&gt;"&amp;C1878,'CARNET DE SOUDURE'!$P$7:$P$3006,"&lt;&gt;")&gt;0,"⚠ DIFFÉRENTE","OK"))</f>
        <v/>
      </c>
      <c r="F1878" s="147"/>
      <c r="G1878" s="80"/>
      <c r="H1878" s="83"/>
      <c r="I1878" s="148" t="str">
        <f aca="false">IF(B1878="","",IFERROR(INDEX('CARNET DE SOUDURE'!$B$7:$B$3006,MATCH(B1878,'CARNET DE SOUDURE'!$L$7:$L$3006,0)),IFERROR(INDEX('CARNET DE SOUDURE'!$B$7:$B$3006,MATCH(B1878,'CARNET DE SOUDURE'!$O$7:$O$3006,0)),"")))</f>
        <v/>
      </c>
      <c r="J1878" s="82" t="str">
        <f aca="false">IF(B1878="","",IFERROR(INDEX('CARNET DE SOUDURE'!$E$7:$E$3006,MATCH(B1878,'CARNET DE SOUDURE'!$O$7:$O$3006,0)),""))</f>
        <v/>
      </c>
      <c r="K1878" s="82" t="str">
        <f aca="false">IF(B1878="","",IFERROR(INDEX('CARNET DE SOUDURE'!$E$7:$E$3006,MATCH(B1878,'CARNET DE SOUDURE'!$L$7:$L$3006,0)),""))</f>
        <v/>
      </c>
      <c r="L1878" s="82" t="str">
        <f aca="false">IF(B1878="","",IFERROR(INDEX('CARNET DE SOUDURE'!$D$7:$D$3006,MATCH(B1878,'CARNET DE SOUDURE'!$L$7:$L$3006,0)),IFERROR(INDEX('CARNET DE SOUDURE'!$D$7:$D$3006,MATCH(B1878,'CARNET DE SOUDURE'!$O$7:$O$3006,0)),"")))</f>
        <v/>
      </c>
      <c r="M1878" s="82" t="str">
        <f aca="false">IF(B1878="","",IF(OR(J1878&lt;&gt;"",K1878&lt;&gt;""),"POSÉ EN LIGNE",IF(COUNTIF(BARDAGE!$C$1:$C$5000,B1878)&gt;0,"BARDÉ","EN STOCK")))</f>
        <v/>
      </c>
      <c r="N1878" s="80"/>
    </row>
    <row r="1879" customFormat="false" ht="15" hidden="false" customHeight="false" outlineLevel="0" collapsed="false">
      <c r="A1879" s="82" t="str">
        <f aca="false">IF(B1879="","",ROW()-6)</f>
        <v/>
      </c>
      <c r="B1879" s="145"/>
      <c r="C1879" s="146"/>
      <c r="D1879" s="146"/>
      <c r="E1879" s="82" t="str">
        <f aca="false">IF(B1879="","",IF(COUNTIFS('CARNET DE SOUDURE'!$L$7:$L$3006,B1879,'CARNET DE SOUDURE'!$M$7:$M$3006,"&lt;&gt;"&amp;C1879,'CARNET DE SOUDURE'!$M$7:$M$3006,"&lt;&gt;")+COUNTIFS('CARNET DE SOUDURE'!$O$7:$O$3006,B1879,'CARNET DE SOUDURE'!$P$7:$P$3006,"&lt;&gt;"&amp;C1879,'CARNET DE SOUDURE'!$P$7:$P$3006,"&lt;&gt;")&gt;0,"⚠ DIFFÉRENTE","OK"))</f>
        <v/>
      </c>
      <c r="F1879" s="147"/>
      <c r="G1879" s="80"/>
      <c r="H1879" s="83"/>
      <c r="I1879" s="148" t="str">
        <f aca="false">IF(B1879="","",IFERROR(INDEX('CARNET DE SOUDURE'!$B$7:$B$3006,MATCH(B1879,'CARNET DE SOUDURE'!$L$7:$L$3006,0)),IFERROR(INDEX('CARNET DE SOUDURE'!$B$7:$B$3006,MATCH(B1879,'CARNET DE SOUDURE'!$O$7:$O$3006,0)),"")))</f>
        <v/>
      </c>
      <c r="J1879" s="82" t="str">
        <f aca="false">IF(B1879="","",IFERROR(INDEX('CARNET DE SOUDURE'!$E$7:$E$3006,MATCH(B1879,'CARNET DE SOUDURE'!$O$7:$O$3006,0)),""))</f>
        <v/>
      </c>
      <c r="K1879" s="82" t="str">
        <f aca="false">IF(B1879="","",IFERROR(INDEX('CARNET DE SOUDURE'!$E$7:$E$3006,MATCH(B1879,'CARNET DE SOUDURE'!$L$7:$L$3006,0)),""))</f>
        <v/>
      </c>
      <c r="L1879" s="82" t="str">
        <f aca="false">IF(B1879="","",IFERROR(INDEX('CARNET DE SOUDURE'!$D$7:$D$3006,MATCH(B1879,'CARNET DE SOUDURE'!$L$7:$L$3006,0)),IFERROR(INDEX('CARNET DE SOUDURE'!$D$7:$D$3006,MATCH(B1879,'CARNET DE SOUDURE'!$O$7:$O$3006,0)),"")))</f>
        <v/>
      </c>
      <c r="M1879" s="82" t="str">
        <f aca="false">IF(B1879="","",IF(OR(J1879&lt;&gt;"",K1879&lt;&gt;""),"POSÉ EN LIGNE",IF(COUNTIF(BARDAGE!$C$1:$C$5000,B1879)&gt;0,"BARDÉ","EN STOCK")))</f>
        <v/>
      </c>
      <c r="N1879" s="80"/>
    </row>
    <row r="1880" customFormat="false" ht="15" hidden="false" customHeight="false" outlineLevel="0" collapsed="false">
      <c r="A1880" s="82" t="str">
        <f aca="false">IF(B1880="","",ROW()-6)</f>
        <v/>
      </c>
      <c r="B1880" s="145"/>
      <c r="C1880" s="146"/>
      <c r="D1880" s="146"/>
      <c r="E1880" s="82" t="str">
        <f aca="false">IF(B1880="","",IF(COUNTIFS('CARNET DE SOUDURE'!$L$7:$L$3006,B1880,'CARNET DE SOUDURE'!$M$7:$M$3006,"&lt;&gt;"&amp;C1880,'CARNET DE SOUDURE'!$M$7:$M$3006,"&lt;&gt;")+COUNTIFS('CARNET DE SOUDURE'!$O$7:$O$3006,B1880,'CARNET DE SOUDURE'!$P$7:$P$3006,"&lt;&gt;"&amp;C1880,'CARNET DE SOUDURE'!$P$7:$P$3006,"&lt;&gt;")&gt;0,"⚠ DIFFÉRENTE","OK"))</f>
        <v/>
      </c>
      <c r="F1880" s="147"/>
      <c r="G1880" s="80"/>
      <c r="H1880" s="83"/>
      <c r="I1880" s="148" t="str">
        <f aca="false">IF(B1880="","",IFERROR(INDEX('CARNET DE SOUDURE'!$B$7:$B$3006,MATCH(B1880,'CARNET DE SOUDURE'!$L$7:$L$3006,0)),IFERROR(INDEX('CARNET DE SOUDURE'!$B$7:$B$3006,MATCH(B1880,'CARNET DE SOUDURE'!$O$7:$O$3006,0)),"")))</f>
        <v/>
      </c>
      <c r="J1880" s="82" t="str">
        <f aca="false">IF(B1880="","",IFERROR(INDEX('CARNET DE SOUDURE'!$E$7:$E$3006,MATCH(B1880,'CARNET DE SOUDURE'!$O$7:$O$3006,0)),""))</f>
        <v/>
      </c>
      <c r="K1880" s="82" t="str">
        <f aca="false">IF(B1880="","",IFERROR(INDEX('CARNET DE SOUDURE'!$E$7:$E$3006,MATCH(B1880,'CARNET DE SOUDURE'!$L$7:$L$3006,0)),""))</f>
        <v/>
      </c>
      <c r="L1880" s="82" t="str">
        <f aca="false">IF(B1880="","",IFERROR(INDEX('CARNET DE SOUDURE'!$D$7:$D$3006,MATCH(B1880,'CARNET DE SOUDURE'!$L$7:$L$3006,0)),IFERROR(INDEX('CARNET DE SOUDURE'!$D$7:$D$3006,MATCH(B1880,'CARNET DE SOUDURE'!$O$7:$O$3006,0)),"")))</f>
        <v/>
      </c>
      <c r="M1880" s="82" t="str">
        <f aca="false">IF(B1880="","",IF(OR(J1880&lt;&gt;"",K1880&lt;&gt;""),"POSÉ EN LIGNE",IF(COUNTIF(BARDAGE!$C$1:$C$5000,B1880)&gt;0,"BARDÉ","EN STOCK")))</f>
        <v/>
      </c>
      <c r="N1880" s="80"/>
    </row>
    <row r="1881" customFormat="false" ht="15" hidden="false" customHeight="false" outlineLevel="0" collapsed="false">
      <c r="A1881" s="82" t="str">
        <f aca="false">IF(B1881="","",ROW()-6)</f>
        <v/>
      </c>
      <c r="B1881" s="145"/>
      <c r="C1881" s="146"/>
      <c r="D1881" s="146"/>
      <c r="E1881" s="82" t="str">
        <f aca="false">IF(B1881="","",IF(COUNTIFS('CARNET DE SOUDURE'!$L$7:$L$3006,B1881,'CARNET DE SOUDURE'!$M$7:$M$3006,"&lt;&gt;"&amp;C1881,'CARNET DE SOUDURE'!$M$7:$M$3006,"&lt;&gt;")+COUNTIFS('CARNET DE SOUDURE'!$O$7:$O$3006,B1881,'CARNET DE SOUDURE'!$P$7:$P$3006,"&lt;&gt;"&amp;C1881,'CARNET DE SOUDURE'!$P$7:$P$3006,"&lt;&gt;")&gt;0,"⚠ DIFFÉRENTE","OK"))</f>
        <v/>
      </c>
      <c r="F1881" s="147"/>
      <c r="G1881" s="80"/>
      <c r="H1881" s="83"/>
      <c r="I1881" s="148" t="str">
        <f aca="false">IF(B1881="","",IFERROR(INDEX('CARNET DE SOUDURE'!$B$7:$B$3006,MATCH(B1881,'CARNET DE SOUDURE'!$L$7:$L$3006,0)),IFERROR(INDEX('CARNET DE SOUDURE'!$B$7:$B$3006,MATCH(B1881,'CARNET DE SOUDURE'!$O$7:$O$3006,0)),"")))</f>
        <v/>
      </c>
      <c r="J1881" s="82" t="str">
        <f aca="false">IF(B1881="","",IFERROR(INDEX('CARNET DE SOUDURE'!$E$7:$E$3006,MATCH(B1881,'CARNET DE SOUDURE'!$O$7:$O$3006,0)),""))</f>
        <v/>
      </c>
      <c r="K1881" s="82" t="str">
        <f aca="false">IF(B1881="","",IFERROR(INDEX('CARNET DE SOUDURE'!$E$7:$E$3006,MATCH(B1881,'CARNET DE SOUDURE'!$L$7:$L$3006,0)),""))</f>
        <v/>
      </c>
      <c r="L1881" s="82" t="str">
        <f aca="false">IF(B1881="","",IFERROR(INDEX('CARNET DE SOUDURE'!$D$7:$D$3006,MATCH(B1881,'CARNET DE SOUDURE'!$L$7:$L$3006,0)),IFERROR(INDEX('CARNET DE SOUDURE'!$D$7:$D$3006,MATCH(B1881,'CARNET DE SOUDURE'!$O$7:$O$3006,0)),"")))</f>
        <v/>
      </c>
      <c r="M1881" s="82" t="str">
        <f aca="false">IF(B1881="","",IF(OR(J1881&lt;&gt;"",K1881&lt;&gt;""),"POSÉ EN LIGNE",IF(COUNTIF(BARDAGE!$C$1:$C$5000,B1881)&gt;0,"BARDÉ","EN STOCK")))</f>
        <v/>
      </c>
      <c r="N1881" s="80"/>
    </row>
    <row r="1882" customFormat="false" ht="15" hidden="false" customHeight="false" outlineLevel="0" collapsed="false">
      <c r="A1882" s="82" t="str">
        <f aca="false">IF(B1882="","",ROW()-6)</f>
        <v/>
      </c>
      <c r="B1882" s="145"/>
      <c r="C1882" s="146"/>
      <c r="D1882" s="146"/>
      <c r="E1882" s="82" t="str">
        <f aca="false">IF(B1882="","",IF(COUNTIFS('CARNET DE SOUDURE'!$L$7:$L$3006,B1882,'CARNET DE SOUDURE'!$M$7:$M$3006,"&lt;&gt;"&amp;C1882,'CARNET DE SOUDURE'!$M$7:$M$3006,"&lt;&gt;")+COUNTIFS('CARNET DE SOUDURE'!$O$7:$O$3006,B1882,'CARNET DE SOUDURE'!$P$7:$P$3006,"&lt;&gt;"&amp;C1882,'CARNET DE SOUDURE'!$P$7:$P$3006,"&lt;&gt;")&gt;0,"⚠ DIFFÉRENTE","OK"))</f>
        <v/>
      </c>
      <c r="F1882" s="147"/>
      <c r="G1882" s="80"/>
      <c r="H1882" s="83"/>
      <c r="I1882" s="148" t="str">
        <f aca="false">IF(B1882="","",IFERROR(INDEX('CARNET DE SOUDURE'!$B$7:$B$3006,MATCH(B1882,'CARNET DE SOUDURE'!$L$7:$L$3006,0)),IFERROR(INDEX('CARNET DE SOUDURE'!$B$7:$B$3006,MATCH(B1882,'CARNET DE SOUDURE'!$O$7:$O$3006,0)),"")))</f>
        <v/>
      </c>
      <c r="J1882" s="82" t="str">
        <f aca="false">IF(B1882="","",IFERROR(INDEX('CARNET DE SOUDURE'!$E$7:$E$3006,MATCH(B1882,'CARNET DE SOUDURE'!$O$7:$O$3006,0)),""))</f>
        <v/>
      </c>
      <c r="K1882" s="82" t="str">
        <f aca="false">IF(B1882="","",IFERROR(INDEX('CARNET DE SOUDURE'!$E$7:$E$3006,MATCH(B1882,'CARNET DE SOUDURE'!$L$7:$L$3006,0)),""))</f>
        <v/>
      </c>
      <c r="L1882" s="82" t="str">
        <f aca="false">IF(B1882="","",IFERROR(INDEX('CARNET DE SOUDURE'!$D$7:$D$3006,MATCH(B1882,'CARNET DE SOUDURE'!$L$7:$L$3006,0)),IFERROR(INDEX('CARNET DE SOUDURE'!$D$7:$D$3006,MATCH(B1882,'CARNET DE SOUDURE'!$O$7:$O$3006,0)),"")))</f>
        <v/>
      </c>
      <c r="M1882" s="82" t="str">
        <f aca="false">IF(B1882="","",IF(OR(J1882&lt;&gt;"",K1882&lt;&gt;""),"POSÉ EN LIGNE",IF(COUNTIF(BARDAGE!$C$1:$C$5000,B1882)&gt;0,"BARDÉ","EN STOCK")))</f>
        <v/>
      </c>
      <c r="N1882" s="80"/>
    </row>
    <row r="1883" customFormat="false" ht="15" hidden="false" customHeight="false" outlineLevel="0" collapsed="false">
      <c r="A1883" s="82" t="str">
        <f aca="false">IF(B1883="","",ROW()-6)</f>
        <v/>
      </c>
      <c r="B1883" s="145"/>
      <c r="C1883" s="146"/>
      <c r="D1883" s="146"/>
      <c r="E1883" s="82" t="str">
        <f aca="false">IF(B1883="","",IF(COUNTIFS('CARNET DE SOUDURE'!$L$7:$L$3006,B1883,'CARNET DE SOUDURE'!$M$7:$M$3006,"&lt;&gt;"&amp;C1883,'CARNET DE SOUDURE'!$M$7:$M$3006,"&lt;&gt;")+COUNTIFS('CARNET DE SOUDURE'!$O$7:$O$3006,B1883,'CARNET DE SOUDURE'!$P$7:$P$3006,"&lt;&gt;"&amp;C1883,'CARNET DE SOUDURE'!$P$7:$P$3006,"&lt;&gt;")&gt;0,"⚠ DIFFÉRENTE","OK"))</f>
        <v/>
      </c>
      <c r="F1883" s="147"/>
      <c r="G1883" s="80"/>
      <c r="H1883" s="83"/>
      <c r="I1883" s="148" t="str">
        <f aca="false">IF(B1883="","",IFERROR(INDEX('CARNET DE SOUDURE'!$B$7:$B$3006,MATCH(B1883,'CARNET DE SOUDURE'!$L$7:$L$3006,0)),IFERROR(INDEX('CARNET DE SOUDURE'!$B$7:$B$3006,MATCH(B1883,'CARNET DE SOUDURE'!$O$7:$O$3006,0)),"")))</f>
        <v/>
      </c>
      <c r="J1883" s="82" t="str">
        <f aca="false">IF(B1883="","",IFERROR(INDEX('CARNET DE SOUDURE'!$E$7:$E$3006,MATCH(B1883,'CARNET DE SOUDURE'!$O$7:$O$3006,0)),""))</f>
        <v/>
      </c>
      <c r="K1883" s="82" t="str">
        <f aca="false">IF(B1883="","",IFERROR(INDEX('CARNET DE SOUDURE'!$E$7:$E$3006,MATCH(B1883,'CARNET DE SOUDURE'!$L$7:$L$3006,0)),""))</f>
        <v/>
      </c>
      <c r="L1883" s="82" t="str">
        <f aca="false">IF(B1883="","",IFERROR(INDEX('CARNET DE SOUDURE'!$D$7:$D$3006,MATCH(B1883,'CARNET DE SOUDURE'!$L$7:$L$3006,0)),IFERROR(INDEX('CARNET DE SOUDURE'!$D$7:$D$3006,MATCH(B1883,'CARNET DE SOUDURE'!$O$7:$O$3006,0)),"")))</f>
        <v/>
      </c>
      <c r="M1883" s="82" t="str">
        <f aca="false">IF(B1883="","",IF(OR(J1883&lt;&gt;"",K1883&lt;&gt;""),"POSÉ EN LIGNE",IF(COUNTIF(BARDAGE!$C$1:$C$5000,B1883)&gt;0,"BARDÉ","EN STOCK")))</f>
        <v/>
      </c>
      <c r="N1883" s="80"/>
    </row>
    <row r="1884" customFormat="false" ht="15" hidden="false" customHeight="false" outlineLevel="0" collapsed="false">
      <c r="A1884" s="82" t="str">
        <f aca="false">IF(B1884="","",ROW()-6)</f>
        <v/>
      </c>
      <c r="B1884" s="145"/>
      <c r="C1884" s="146"/>
      <c r="D1884" s="146"/>
      <c r="E1884" s="82" t="str">
        <f aca="false">IF(B1884="","",IF(COUNTIFS('CARNET DE SOUDURE'!$L$7:$L$3006,B1884,'CARNET DE SOUDURE'!$M$7:$M$3006,"&lt;&gt;"&amp;C1884,'CARNET DE SOUDURE'!$M$7:$M$3006,"&lt;&gt;")+COUNTIFS('CARNET DE SOUDURE'!$O$7:$O$3006,B1884,'CARNET DE SOUDURE'!$P$7:$P$3006,"&lt;&gt;"&amp;C1884,'CARNET DE SOUDURE'!$P$7:$P$3006,"&lt;&gt;")&gt;0,"⚠ DIFFÉRENTE","OK"))</f>
        <v/>
      </c>
      <c r="F1884" s="147"/>
      <c r="G1884" s="80"/>
      <c r="H1884" s="83"/>
      <c r="I1884" s="148" t="str">
        <f aca="false">IF(B1884="","",IFERROR(INDEX('CARNET DE SOUDURE'!$B$7:$B$3006,MATCH(B1884,'CARNET DE SOUDURE'!$L$7:$L$3006,0)),IFERROR(INDEX('CARNET DE SOUDURE'!$B$7:$B$3006,MATCH(B1884,'CARNET DE SOUDURE'!$O$7:$O$3006,0)),"")))</f>
        <v/>
      </c>
      <c r="J1884" s="82" t="str">
        <f aca="false">IF(B1884="","",IFERROR(INDEX('CARNET DE SOUDURE'!$E$7:$E$3006,MATCH(B1884,'CARNET DE SOUDURE'!$O$7:$O$3006,0)),""))</f>
        <v/>
      </c>
      <c r="K1884" s="82" t="str">
        <f aca="false">IF(B1884="","",IFERROR(INDEX('CARNET DE SOUDURE'!$E$7:$E$3006,MATCH(B1884,'CARNET DE SOUDURE'!$L$7:$L$3006,0)),""))</f>
        <v/>
      </c>
      <c r="L1884" s="82" t="str">
        <f aca="false">IF(B1884="","",IFERROR(INDEX('CARNET DE SOUDURE'!$D$7:$D$3006,MATCH(B1884,'CARNET DE SOUDURE'!$L$7:$L$3006,0)),IFERROR(INDEX('CARNET DE SOUDURE'!$D$7:$D$3006,MATCH(B1884,'CARNET DE SOUDURE'!$O$7:$O$3006,0)),"")))</f>
        <v/>
      </c>
      <c r="M1884" s="82" t="str">
        <f aca="false">IF(B1884="","",IF(OR(J1884&lt;&gt;"",K1884&lt;&gt;""),"POSÉ EN LIGNE",IF(COUNTIF(BARDAGE!$C$1:$C$5000,B1884)&gt;0,"BARDÉ","EN STOCK")))</f>
        <v/>
      </c>
      <c r="N1884" s="80"/>
    </row>
    <row r="1885" customFormat="false" ht="15" hidden="false" customHeight="false" outlineLevel="0" collapsed="false">
      <c r="A1885" s="82" t="str">
        <f aca="false">IF(B1885="","",ROW()-6)</f>
        <v/>
      </c>
      <c r="B1885" s="145"/>
      <c r="C1885" s="146"/>
      <c r="D1885" s="146"/>
      <c r="E1885" s="82" t="str">
        <f aca="false">IF(B1885="","",IF(COUNTIFS('CARNET DE SOUDURE'!$L$7:$L$3006,B1885,'CARNET DE SOUDURE'!$M$7:$M$3006,"&lt;&gt;"&amp;C1885,'CARNET DE SOUDURE'!$M$7:$M$3006,"&lt;&gt;")+COUNTIFS('CARNET DE SOUDURE'!$O$7:$O$3006,B1885,'CARNET DE SOUDURE'!$P$7:$P$3006,"&lt;&gt;"&amp;C1885,'CARNET DE SOUDURE'!$P$7:$P$3006,"&lt;&gt;")&gt;0,"⚠ DIFFÉRENTE","OK"))</f>
        <v/>
      </c>
      <c r="F1885" s="147"/>
      <c r="G1885" s="80"/>
      <c r="H1885" s="83"/>
      <c r="I1885" s="148" t="str">
        <f aca="false">IF(B1885="","",IFERROR(INDEX('CARNET DE SOUDURE'!$B$7:$B$3006,MATCH(B1885,'CARNET DE SOUDURE'!$L$7:$L$3006,0)),IFERROR(INDEX('CARNET DE SOUDURE'!$B$7:$B$3006,MATCH(B1885,'CARNET DE SOUDURE'!$O$7:$O$3006,0)),"")))</f>
        <v/>
      </c>
      <c r="J1885" s="82" t="str">
        <f aca="false">IF(B1885="","",IFERROR(INDEX('CARNET DE SOUDURE'!$E$7:$E$3006,MATCH(B1885,'CARNET DE SOUDURE'!$O$7:$O$3006,0)),""))</f>
        <v/>
      </c>
      <c r="K1885" s="82" t="str">
        <f aca="false">IF(B1885="","",IFERROR(INDEX('CARNET DE SOUDURE'!$E$7:$E$3006,MATCH(B1885,'CARNET DE SOUDURE'!$L$7:$L$3006,0)),""))</f>
        <v/>
      </c>
      <c r="L1885" s="82" t="str">
        <f aca="false">IF(B1885="","",IFERROR(INDEX('CARNET DE SOUDURE'!$D$7:$D$3006,MATCH(B1885,'CARNET DE SOUDURE'!$L$7:$L$3006,0)),IFERROR(INDEX('CARNET DE SOUDURE'!$D$7:$D$3006,MATCH(B1885,'CARNET DE SOUDURE'!$O$7:$O$3006,0)),"")))</f>
        <v/>
      </c>
      <c r="M1885" s="82" t="str">
        <f aca="false">IF(B1885="","",IF(OR(J1885&lt;&gt;"",K1885&lt;&gt;""),"POSÉ EN LIGNE",IF(COUNTIF(BARDAGE!$C$1:$C$5000,B1885)&gt;0,"BARDÉ","EN STOCK")))</f>
        <v/>
      </c>
      <c r="N1885" s="80"/>
    </row>
    <row r="1886" customFormat="false" ht="15" hidden="false" customHeight="false" outlineLevel="0" collapsed="false">
      <c r="A1886" s="82" t="str">
        <f aca="false">IF(B1886="","",ROW()-6)</f>
        <v/>
      </c>
      <c r="B1886" s="145"/>
      <c r="C1886" s="146"/>
      <c r="D1886" s="146"/>
      <c r="E1886" s="82" t="str">
        <f aca="false">IF(B1886="","",IF(COUNTIFS('CARNET DE SOUDURE'!$L$7:$L$3006,B1886,'CARNET DE SOUDURE'!$M$7:$M$3006,"&lt;&gt;"&amp;C1886,'CARNET DE SOUDURE'!$M$7:$M$3006,"&lt;&gt;")+COUNTIFS('CARNET DE SOUDURE'!$O$7:$O$3006,B1886,'CARNET DE SOUDURE'!$P$7:$P$3006,"&lt;&gt;"&amp;C1886,'CARNET DE SOUDURE'!$P$7:$P$3006,"&lt;&gt;")&gt;0,"⚠ DIFFÉRENTE","OK"))</f>
        <v/>
      </c>
      <c r="F1886" s="147"/>
      <c r="G1886" s="80"/>
      <c r="H1886" s="83"/>
      <c r="I1886" s="148" t="str">
        <f aca="false">IF(B1886="","",IFERROR(INDEX('CARNET DE SOUDURE'!$B$7:$B$3006,MATCH(B1886,'CARNET DE SOUDURE'!$L$7:$L$3006,0)),IFERROR(INDEX('CARNET DE SOUDURE'!$B$7:$B$3006,MATCH(B1886,'CARNET DE SOUDURE'!$O$7:$O$3006,0)),"")))</f>
        <v/>
      </c>
      <c r="J1886" s="82" t="str">
        <f aca="false">IF(B1886="","",IFERROR(INDEX('CARNET DE SOUDURE'!$E$7:$E$3006,MATCH(B1886,'CARNET DE SOUDURE'!$O$7:$O$3006,0)),""))</f>
        <v/>
      </c>
      <c r="K1886" s="82" t="str">
        <f aca="false">IF(B1886="","",IFERROR(INDEX('CARNET DE SOUDURE'!$E$7:$E$3006,MATCH(B1886,'CARNET DE SOUDURE'!$L$7:$L$3006,0)),""))</f>
        <v/>
      </c>
      <c r="L1886" s="82" t="str">
        <f aca="false">IF(B1886="","",IFERROR(INDEX('CARNET DE SOUDURE'!$D$7:$D$3006,MATCH(B1886,'CARNET DE SOUDURE'!$L$7:$L$3006,0)),IFERROR(INDEX('CARNET DE SOUDURE'!$D$7:$D$3006,MATCH(B1886,'CARNET DE SOUDURE'!$O$7:$O$3006,0)),"")))</f>
        <v/>
      </c>
      <c r="M1886" s="82" t="str">
        <f aca="false">IF(B1886="","",IF(OR(J1886&lt;&gt;"",K1886&lt;&gt;""),"POSÉ EN LIGNE",IF(COUNTIF(BARDAGE!$C$1:$C$5000,B1886)&gt;0,"BARDÉ","EN STOCK")))</f>
        <v/>
      </c>
      <c r="N1886" s="80"/>
    </row>
    <row r="1887" customFormat="false" ht="15" hidden="false" customHeight="false" outlineLevel="0" collapsed="false">
      <c r="A1887" s="82" t="str">
        <f aca="false">IF(B1887="","",ROW()-6)</f>
        <v/>
      </c>
      <c r="B1887" s="145"/>
      <c r="C1887" s="146"/>
      <c r="D1887" s="146"/>
      <c r="E1887" s="82" t="str">
        <f aca="false">IF(B1887="","",IF(COUNTIFS('CARNET DE SOUDURE'!$L$7:$L$3006,B1887,'CARNET DE SOUDURE'!$M$7:$M$3006,"&lt;&gt;"&amp;C1887,'CARNET DE SOUDURE'!$M$7:$M$3006,"&lt;&gt;")+COUNTIFS('CARNET DE SOUDURE'!$O$7:$O$3006,B1887,'CARNET DE SOUDURE'!$P$7:$P$3006,"&lt;&gt;"&amp;C1887,'CARNET DE SOUDURE'!$P$7:$P$3006,"&lt;&gt;")&gt;0,"⚠ DIFFÉRENTE","OK"))</f>
        <v/>
      </c>
      <c r="F1887" s="147"/>
      <c r="G1887" s="80"/>
      <c r="H1887" s="83"/>
      <c r="I1887" s="148" t="str">
        <f aca="false">IF(B1887="","",IFERROR(INDEX('CARNET DE SOUDURE'!$B$7:$B$3006,MATCH(B1887,'CARNET DE SOUDURE'!$L$7:$L$3006,0)),IFERROR(INDEX('CARNET DE SOUDURE'!$B$7:$B$3006,MATCH(B1887,'CARNET DE SOUDURE'!$O$7:$O$3006,0)),"")))</f>
        <v/>
      </c>
      <c r="J1887" s="82" t="str">
        <f aca="false">IF(B1887="","",IFERROR(INDEX('CARNET DE SOUDURE'!$E$7:$E$3006,MATCH(B1887,'CARNET DE SOUDURE'!$O$7:$O$3006,0)),""))</f>
        <v/>
      </c>
      <c r="K1887" s="82" t="str">
        <f aca="false">IF(B1887="","",IFERROR(INDEX('CARNET DE SOUDURE'!$E$7:$E$3006,MATCH(B1887,'CARNET DE SOUDURE'!$L$7:$L$3006,0)),""))</f>
        <v/>
      </c>
      <c r="L1887" s="82" t="str">
        <f aca="false">IF(B1887="","",IFERROR(INDEX('CARNET DE SOUDURE'!$D$7:$D$3006,MATCH(B1887,'CARNET DE SOUDURE'!$L$7:$L$3006,0)),IFERROR(INDEX('CARNET DE SOUDURE'!$D$7:$D$3006,MATCH(B1887,'CARNET DE SOUDURE'!$O$7:$O$3006,0)),"")))</f>
        <v/>
      </c>
      <c r="M1887" s="82" t="str">
        <f aca="false">IF(B1887="","",IF(OR(J1887&lt;&gt;"",K1887&lt;&gt;""),"POSÉ EN LIGNE",IF(COUNTIF(BARDAGE!$C$1:$C$5000,B1887)&gt;0,"BARDÉ","EN STOCK")))</f>
        <v/>
      </c>
      <c r="N1887" s="80"/>
    </row>
    <row r="1888" customFormat="false" ht="15" hidden="false" customHeight="false" outlineLevel="0" collapsed="false">
      <c r="A1888" s="82" t="str">
        <f aca="false">IF(B1888="","",ROW()-6)</f>
        <v/>
      </c>
      <c r="B1888" s="145"/>
      <c r="C1888" s="146"/>
      <c r="D1888" s="146"/>
      <c r="E1888" s="82" t="str">
        <f aca="false">IF(B1888="","",IF(COUNTIFS('CARNET DE SOUDURE'!$L$7:$L$3006,B1888,'CARNET DE SOUDURE'!$M$7:$M$3006,"&lt;&gt;"&amp;C1888,'CARNET DE SOUDURE'!$M$7:$M$3006,"&lt;&gt;")+COUNTIFS('CARNET DE SOUDURE'!$O$7:$O$3006,B1888,'CARNET DE SOUDURE'!$P$7:$P$3006,"&lt;&gt;"&amp;C1888,'CARNET DE SOUDURE'!$P$7:$P$3006,"&lt;&gt;")&gt;0,"⚠ DIFFÉRENTE","OK"))</f>
        <v/>
      </c>
      <c r="F1888" s="147"/>
      <c r="G1888" s="80"/>
      <c r="H1888" s="83"/>
      <c r="I1888" s="148" t="str">
        <f aca="false">IF(B1888="","",IFERROR(INDEX('CARNET DE SOUDURE'!$B$7:$B$3006,MATCH(B1888,'CARNET DE SOUDURE'!$L$7:$L$3006,0)),IFERROR(INDEX('CARNET DE SOUDURE'!$B$7:$B$3006,MATCH(B1888,'CARNET DE SOUDURE'!$O$7:$O$3006,0)),"")))</f>
        <v/>
      </c>
      <c r="J1888" s="82" t="str">
        <f aca="false">IF(B1888="","",IFERROR(INDEX('CARNET DE SOUDURE'!$E$7:$E$3006,MATCH(B1888,'CARNET DE SOUDURE'!$O$7:$O$3006,0)),""))</f>
        <v/>
      </c>
      <c r="K1888" s="82" t="str">
        <f aca="false">IF(B1888="","",IFERROR(INDEX('CARNET DE SOUDURE'!$E$7:$E$3006,MATCH(B1888,'CARNET DE SOUDURE'!$L$7:$L$3006,0)),""))</f>
        <v/>
      </c>
      <c r="L1888" s="82" t="str">
        <f aca="false">IF(B1888="","",IFERROR(INDEX('CARNET DE SOUDURE'!$D$7:$D$3006,MATCH(B1888,'CARNET DE SOUDURE'!$L$7:$L$3006,0)),IFERROR(INDEX('CARNET DE SOUDURE'!$D$7:$D$3006,MATCH(B1888,'CARNET DE SOUDURE'!$O$7:$O$3006,0)),"")))</f>
        <v/>
      </c>
      <c r="M1888" s="82" t="str">
        <f aca="false">IF(B1888="","",IF(OR(J1888&lt;&gt;"",K1888&lt;&gt;""),"POSÉ EN LIGNE",IF(COUNTIF(BARDAGE!$C$1:$C$5000,B1888)&gt;0,"BARDÉ","EN STOCK")))</f>
        <v/>
      </c>
      <c r="N1888" s="80"/>
    </row>
    <row r="1889" customFormat="false" ht="15" hidden="false" customHeight="false" outlineLevel="0" collapsed="false">
      <c r="A1889" s="82" t="str">
        <f aca="false">IF(B1889="","",ROW()-6)</f>
        <v/>
      </c>
      <c r="B1889" s="145"/>
      <c r="C1889" s="146"/>
      <c r="D1889" s="146"/>
      <c r="E1889" s="82" t="str">
        <f aca="false">IF(B1889="","",IF(COUNTIFS('CARNET DE SOUDURE'!$L$7:$L$3006,B1889,'CARNET DE SOUDURE'!$M$7:$M$3006,"&lt;&gt;"&amp;C1889,'CARNET DE SOUDURE'!$M$7:$M$3006,"&lt;&gt;")+COUNTIFS('CARNET DE SOUDURE'!$O$7:$O$3006,B1889,'CARNET DE SOUDURE'!$P$7:$P$3006,"&lt;&gt;"&amp;C1889,'CARNET DE SOUDURE'!$P$7:$P$3006,"&lt;&gt;")&gt;0,"⚠ DIFFÉRENTE","OK"))</f>
        <v/>
      </c>
      <c r="F1889" s="147"/>
      <c r="G1889" s="80"/>
      <c r="H1889" s="83"/>
      <c r="I1889" s="148" t="str">
        <f aca="false">IF(B1889="","",IFERROR(INDEX('CARNET DE SOUDURE'!$B$7:$B$3006,MATCH(B1889,'CARNET DE SOUDURE'!$L$7:$L$3006,0)),IFERROR(INDEX('CARNET DE SOUDURE'!$B$7:$B$3006,MATCH(B1889,'CARNET DE SOUDURE'!$O$7:$O$3006,0)),"")))</f>
        <v/>
      </c>
      <c r="J1889" s="82" t="str">
        <f aca="false">IF(B1889="","",IFERROR(INDEX('CARNET DE SOUDURE'!$E$7:$E$3006,MATCH(B1889,'CARNET DE SOUDURE'!$O$7:$O$3006,0)),""))</f>
        <v/>
      </c>
      <c r="K1889" s="82" t="str">
        <f aca="false">IF(B1889="","",IFERROR(INDEX('CARNET DE SOUDURE'!$E$7:$E$3006,MATCH(B1889,'CARNET DE SOUDURE'!$L$7:$L$3006,0)),""))</f>
        <v/>
      </c>
      <c r="L1889" s="82" t="str">
        <f aca="false">IF(B1889="","",IFERROR(INDEX('CARNET DE SOUDURE'!$D$7:$D$3006,MATCH(B1889,'CARNET DE SOUDURE'!$L$7:$L$3006,0)),IFERROR(INDEX('CARNET DE SOUDURE'!$D$7:$D$3006,MATCH(B1889,'CARNET DE SOUDURE'!$O$7:$O$3006,0)),"")))</f>
        <v/>
      </c>
      <c r="M1889" s="82" t="str">
        <f aca="false">IF(B1889="","",IF(OR(J1889&lt;&gt;"",K1889&lt;&gt;""),"POSÉ EN LIGNE",IF(COUNTIF(BARDAGE!$C$1:$C$5000,B1889)&gt;0,"BARDÉ","EN STOCK")))</f>
        <v/>
      </c>
      <c r="N1889" s="80"/>
    </row>
    <row r="1890" customFormat="false" ht="15" hidden="false" customHeight="false" outlineLevel="0" collapsed="false">
      <c r="A1890" s="82" t="str">
        <f aca="false">IF(B1890="","",ROW()-6)</f>
        <v/>
      </c>
      <c r="B1890" s="145"/>
      <c r="C1890" s="146"/>
      <c r="D1890" s="146"/>
      <c r="E1890" s="82" t="str">
        <f aca="false">IF(B1890="","",IF(COUNTIFS('CARNET DE SOUDURE'!$L$7:$L$3006,B1890,'CARNET DE SOUDURE'!$M$7:$M$3006,"&lt;&gt;"&amp;C1890,'CARNET DE SOUDURE'!$M$7:$M$3006,"&lt;&gt;")+COUNTIFS('CARNET DE SOUDURE'!$O$7:$O$3006,B1890,'CARNET DE SOUDURE'!$P$7:$P$3006,"&lt;&gt;"&amp;C1890,'CARNET DE SOUDURE'!$P$7:$P$3006,"&lt;&gt;")&gt;0,"⚠ DIFFÉRENTE","OK"))</f>
        <v/>
      </c>
      <c r="F1890" s="147"/>
      <c r="G1890" s="80"/>
      <c r="H1890" s="83"/>
      <c r="I1890" s="148" t="str">
        <f aca="false">IF(B1890="","",IFERROR(INDEX('CARNET DE SOUDURE'!$B$7:$B$3006,MATCH(B1890,'CARNET DE SOUDURE'!$L$7:$L$3006,0)),IFERROR(INDEX('CARNET DE SOUDURE'!$B$7:$B$3006,MATCH(B1890,'CARNET DE SOUDURE'!$O$7:$O$3006,0)),"")))</f>
        <v/>
      </c>
      <c r="J1890" s="82" t="str">
        <f aca="false">IF(B1890="","",IFERROR(INDEX('CARNET DE SOUDURE'!$E$7:$E$3006,MATCH(B1890,'CARNET DE SOUDURE'!$O$7:$O$3006,0)),""))</f>
        <v/>
      </c>
      <c r="K1890" s="82" t="str">
        <f aca="false">IF(B1890="","",IFERROR(INDEX('CARNET DE SOUDURE'!$E$7:$E$3006,MATCH(B1890,'CARNET DE SOUDURE'!$L$7:$L$3006,0)),""))</f>
        <v/>
      </c>
      <c r="L1890" s="82" t="str">
        <f aca="false">IF(B1890="","",IFERROR(INDEX('CARNET DE SOUDURE'!$D$7:$D$3006,MATCH(B1890,'CARNET DE SOUDURE'!$L$7:$L$3006,0)),IFERROR(INDEX('CARNET DE SOUDURE'!$D$7:$D$3006,MATCH(B1890,'CARNET DE SOUDURE'!$O$7:$O$3006,0)),"")))</f>
        <v/>
      </c>
      <c r="M1890" s="82" t="str">
        <f aca="false">IF(B1890="","",IF(OR(J1890&lt;&gt;"",K1890&lt;&gt;""),"POSÉ EN LIGNE",IF(COUNTIF(BARDAGE!$C$1:$C$5000,B1890)&gt;0,"BARDÉ","EN STOCK")))</f>
        <v/>
      </c>
      <c r="N1890" s="80"/>
    </row>
    <row r="1891" customFormat="false" ht="15" hidden="false" customHeight="false" outlineLevel="0" collapsed="false">
      <c r="A1891" s="82" t="str">
        <f aca="false">IF(B1891="","",ROW()-6)</f>
        <v/>
      </c>
      <c r="B1891" s="145"/>
      <c r="C1891" s="146"/>
      <c r="D1891" s="146"/>
      <c r="E1891" s="82" t="str">
        <f aca="false">IF(B1891="","",IF(COUNTIFS('CARNET DE SOUDURE'!$L$7:$L$3006,B1891,'CARNET DE SOUDURE'!$M$7:$M$3006,"&lt;&gt;"&amp;C1891,'CARNET DE SOUDURE'!$M$7:$M$3006,"&lt;&gt;")+COUNTIFS('CARNET DE SOUDURE'!$O$7:$O$3006,B1891,'CARNET DE SOUDURE'!$P$7:$P$3006,"&lt;&gt;"&amp;C1891,'CARNET DE SOUDURE'!$P$7:$P$3006,"&lt;&gt;")&gt;0,"⚠ DIFFÉRENTE","OK"))</f>
        <v/>
      </c>
      <c r="F1891" s="147"/>
      <c r="G1891" s="80"/>
      <c r="H1891" s="83"/>
      <c r="I1891" s="148" t="str">
        <f aca="false">IF(B1891="","",IFERROR(INDEX('CARNET DE SOUDURE'!$B$7:$B$3006,MATCH(B1891,'CARNET DE SOUDURE'!$L$7:$L$3006,0)),IFERROR(INDEX('CARNET DE SOUDURE'!$B$7:$B$3006,MATCH(B1891,'CARNET DE SOUDURE'!$O$7:$O$3006,0)),"")))</f>
        <v/>
      </c>
      <c r="J1891" s="82" t="str">
        <f aca="false">IF(B1891="","",IFERROR(INDEX('CARNET DE SOUDURE'!$E$7:$E$3006,MATCH(B1891,'CARNET DE SOUDURE'!$O$7:$O$3006,0)),""))</f>
        <v/>
      </c>
      <c r="K1891" s="82" t="str">
        <f aca="false">IF(B1891="","",IFERROR(INDEX('CARNET DE SOUDURE'!$E$7:$E$3006,MATCH(B1891,'CARNET DE SOUDURE'!$L$7:$L$3006,0)),""))</f>
        <v/>
      </c>
      <c r="L1891" s="82" t="str">
        <f aca="false">IF(B1891="","",IFERROR(INDEX('CARNET DE SOUDURE'!$D$7:$D$3006,MATCH(B1891,'CARNET DE SOUDURE'!$L$7:$L$3006,0)),IFERROR(INDEX('CARNET DE SOUDURE'!$D$7:$D$3006,MATCH(B1891,'CARNET DE SOUDURE'!$O$7:$O$3006,0)),"")))</f>
        <v/>
      </c>
      <c r="M1891" s="82" t="str">
        <f aca="false">IF(B1891="","",IF(OR(J1891&lt;&gt;"",K1891&lt;&gt;""),"POSÉ EN LIGNE",IF(COUNTIF(BARDAGE!$C$1:$C$5000,B1891)&gt;0,"BARDÉ","EN STOCK")))</f>
        <v/>
      </c>
      <c r="N1891" s="80"/>
    </row>
    <row r="1892" customFormat="false" ht="15" hidden="false" customHeight="false" outlineLevel="0" collapsed="false">
      <c r="A1892" s="82" t="str">
        <f aca="false">IF(B1892="","",ROW()-6)</f>
        <v/>
      </c>
      <c r="B1892" s="145"/>
      <c r="C1892" s="146"/>
      <c r="D1892" s="146"/>
      <c r="E1892" s="82" t="str">
        <f aca="false">IF(B1892="","",IF(COUNTIFS('CARNET DE SOUDURE'!$L$7:$L$3006,B1892,'CARNET DE SOUDURE'!$M$7:$M$3006,"&lt;&gt;"&amp;C1892,'CARNET DE SOUDURE'!$M$7:$M$3006,"&lt;&gt;")+COUNTIFS('CARNET DE SOUDURE'!$O$7:$O$3006,B1892,'CARNET DE SOUDURE'!$P$7:$P$3006,"&lt;&gt;"&amp;C1892,'CARNET DE SOUDURE'!$P$7:$P$3006,"&lt;&gt;")&gt;0,"⚠ DIFFÉRENTE","OK"))</f>
        <v/>
      </c>
      <c r="F1892" s="147"/>
      <c r="G1892" s="80"/>
      <c r="H1892" s="83"/>
      <c r="I1892" s="148" t="str">
        <f aca="false">IF(B1892="","",IFERROR(INDEX('CARNET DE SOUDURE'!$B$7:$B$3006,MATCH(B1892,'CARNET DE SOUDURE'!$L$7:$L$3006,0)),IFERROR(INDEX('CARNET DE SOUDURE'!$B$7:$B$3006,MATCH(B1892,'CARNET DE SOUDURE'!$O$7:$O$3006,0)),"")))</f>
        <v/>
      </c>
      <c r="J1892" s="82" t="str">
        <f aca="false">IF(B1892="","",IFERROR(INDEX('CARNET DE SOUDURE'!$E$7:$E$3006,MATCH(B1892,'CARNET DE SOUDURE'!$O$7:$O$3006,0)),""))</f>
        <v/>
      </c>
      <c r="K1892" s="82" t="str">
        <f aca="false">IF(B1892="","",IFERROR(INDEX('CARNET DE SOUDURE'!$E$7:$E$3006,MATCH(B1892,'CARNET DE SOUDURE'!$L$7:$L$3006,0)),""))</f>
        <v/>
      </c>
      <c r="L1892" s="82" t="str">
        <f aca="false">IF(B1892="","",IFERROR(INDEX('CARNET DE SOUDURE'!$D$7:$D$3006,MATCH(B1892,'CARNET DE SOUDURE'!$L$7:$L$3006,0)),IFERROR(INDEX('CARNET DE SOUDURE'!$D$7:$D$3006,MATCH(B1892,'CARNET DE SOUDURE'!$O$7:$O$3006,0)),"")))</f>
        <v/>
      </c>
      <c r="M1892" s="82" t="str">
        <f aca="false">IF(B1892="","",IF(OR(J1892&lt;&gt;"",K1892&lt;&gt;""),"POSÉ EN LIGNE",IF(COUNTIF(BARDAGE!$C$1:$C$5000,B1892)&gt;0,"BARDÉ","EN STOCK")))</f>
        <v/>
      </c>
      <c r="N1892" s="80"/>
    </row>
    <row r="1893" customFormat="false" ht="15" hidden="false" customHeight="false" outlineLevel="0" collapsed="false">
      <c r="A1893" s="82" t="str">
        <f aca="false">IF(B1893="","",ROW()-6)</f>
        <v/>
      </c>
      <c r="B1893" s="145"/>
      <c r="C1893" s="146"/>
      <c r="D1893" s="146"/>
      <c r="E1893" s="82" t="str">
        <f aca="false">IF(B1893="","",IF(COUNTIFS('CARNET DE SOUDURE'!$L$7:$L$3006,B1893,'CARNET DE SOUDURE'!$M$7:$M$3006,"&lt;&gt;"&amp;C1893,'CARNET DE SOUDURE'!$M$7:$M$3006,"&lt;&gt;")+COUNTIFS('CARNET DE SOUDURE'!$O$7:$O$3006,B1893,'CARNET DE SOUDURE'!$P$7:$P$3006,"&lt;&gt;"&amp;C1893,'CARNET DE SOUDURE'!$P$7:$P$3006,"&lt;&gt;")&gt;0,"⚠ DIFFÉRENTE","OK"))</f>
        <v/>
      </c>
      <c r="F1893" s="147"/>
      <c r="G1893" s="80"/>
      <c r="H1893" s="83"/>
      <c r="I1893" s="148" t="str">
        <f aca="false">IF(B1893="","",IFERROR(INDEX('CARNET DE SOUDURE'!$B$7:$B$3006,MATCH(B1893,'CARNET DE SOUDURE'!$L$7:$L$3006,0)),IFERROR(INDEX('CARNET DE SOUDURE'!$B$7:$B$3006,MATCH(B1893,'CARNET DE SOUDURE'!$O$7:$O$3006,0)),"")))</f>
        <v/>
      </c>
      <c r="J1893" s="82" t="str">
        <f aca="false">IF(B1893="","",IFERROR(INDEX('CARNET DE SOUDURE'!$E$7:$E$3006,MATCH(B1893,'CARNET DE SOUDURE'!$O$7:$O$3006,0)),""))</f>
        <v/>
      </c>
      <c r="K1893" s="82" t="str">
        <f aca="false">IF(B1893="","",IFERROR(INDEX('CARNET DE SOUDURE'!$E$7:$E$3006,MATCH(B1893,'CARNET DE SOUDURE'!$L$7:$L$3006,0)),""))</f>
        <v/>
      </c>
      <c r="L1893" s="82" t="str">
        <f aca="false">IF(B1893="","",IFERROR(INDEX('CARNET DE SOUDURE'!$D$7:$D$3006,MATCH(B1893,'CARNET DE SOUDURE'!$L$7:$L$3006,0)),IFERROR(INDEX('CARNET DE SOUDURE'!$D$7:$D$3006,MATCH(B1893,'CARNET DE SOUDURE'!$O$7:$O$3006,0)),"")))</f>
        <v/>
      </c>
      <c r="M1893" s="82" t="str">
        <f aca="false">IF(B1893="","",IF(OR(J1893&lt;&gt;"",K1893&lt;&gt;""),"POSÉ EN LIGNE",IF(COUNTIF(BARDAGE!$C$1:$C$5000,B1893)&gt;0,"BARDÉ","EN STOCK")))</f>
        <v/>
      </c>
      <c r="N1893" s="80"/>
    </row>
    <row r="1894" customFormat="false" ht="15" hidden="false" customHeight="false" outlineLevel="0" collapsed="false">
      <c r="A1894" s="82" t="str">
        <f aca="false">IF(B1894="","",ROW()-6)</f>
        <v/>
      </c>
      <c r="B1894" s="145"/>
      <c r="C1894" s="146"/>
      <c r="D1894" s="146"/>
      <c r="E1894" s="82" t="str">
        <f aca="false">IF(B1894="","",IF(COUNTIFS('CARNET DE SOUDURE'!$L$7:$L$3006,B1894,'CARNET DE SOUDURE'!$M$7:$M$3006,"&lt;&gt;"&amp;C1894,'CARNET DE SOUDURE'!$M$7:$M$3006,"&lt;&gt;")+COUNTIFS('CARNET DE SOUDURE'!$O$7:$O$3006,B1894,'CARNET DE SOUDURE'!$P$7:$P$3006,"&lt;&gt;"&amp;C1894,'CARNET DE SOUDURE'!$P$7:$P$3006,"&lt;&gt;")&gt;0,"⚠ DIFFÉRENTE","OK"))</f>
        <v/>
      </c>
      <c r="F1894" s="147"/>
      <c r="G1894" s="80"/>
      <c r="H1894" s="83"/>
      <c r="I1894" s="148" t="str">
        <f aca="false">IF(B1894="","",IFERROR(INDEX('CARNET DE SOUDURE'!$B$7:$B$3006,MATCH(B1894,'CARNET DE SOUDURE'!$L$7:$L$3006,0)),IFERROR(INDEX('CARNET DE SOUDURE'!$B$7:$B$3006,MATCH(B1894,'CARNET DE SOUDURE'!$O$7:$O$3006,0)),"")))</f>
        <v/>
      </c>
      <c r="J1894" s="82" t="str">
        <f aca="false">IF(B1894="","",IFERROR(INDEX('CARNET DE SOUDURE'!$E$7:$E$3006,MATCH(B1894,'CARNET DE SOUDURE'!$O$7:$O$3006,0)),""))</f>
        <v/>
      </c>
      <c r="K1894" s="82" t="str">
        <f aca="false">IF(B1894="","",IFERROR(INDEX('CARNET DE SOUDURE'!$E$7:$E$3006,MATCH(B1894,'CARNET DE SOUDURE'!$L$7:$L$3006,0)),""))</f>
        <v/>
      </c>
      <c r="L1894" s="82" t="str">
        <f aca="false">IF(B1894="","",IFERROR(INDEX('CARNET DE SOUDURE'!$D$7:$D$3006,MATCH(B1894,'CARNET DE SOUDURE'!$L$7:$L$3006,0)),IFERROR(INDEX('CARNET DE SOUDURE'!$D$7:$D$3006,MATCH(B1894,'CARNET DE SOUDURE'!$O$7:$O$3006,0)),"")))</f>
        <v/>
      </c>
      <c r="M1894" s="82" t="str">
        <f aca="false">IF(B1894="","",IF(OR(J1894&lt;&gt;"",K1894&lt;&gt;""),"POSÉ EN LIGNE",IF(COUNTIF(BARDAGE!$C$1:$C$5000,B1894)&gt;0,"BARDÉ","EN STOCK")))</f>
        <v/>
      </c>
      <c r="N1894" s="80"/>
    </row>
    <row r="1895" customFormat="false" ht="15" hidden="false" customHeight="false" outlineLevel="0" collapsed="false">
      <c r="A1895" s="82" t="str">
        <f aca="false">IF(B1895="","",ROW()-6)</f>
        <v/>
      </c>
      <c r="B1895" s="145"/>
      <c r="C1895" s="146"/>
      <c r="D1895" s="146"/>
      <c r="E1895" s="82" t="str">
        <f aca="false">IF(B1895="","",IF(COUNTIFS('CARNET DE SOUDURE'!$L$7:$L$3006,B1895,'CARNET DE SOUDURE'!$M$7:$M$3006,"&lt;&gt;"&amp;C1895,'CARNET DE SOUDURE'!$M$7:$M$3006,"&lt;&gt;")+COUNTIFS('CARNET DE SOUDURE'!$O$7:$O$3006,B1895,'CARNET DE SOUDURE'!$P$7:$P$3006,"&lt;&gt;"&amp;C1895,'CARNET DE SOUDURE'!$P$7:$P$3006,"&lt;&gt;")&gt;0,"⚠ DIFFÉRENTE","OK"))</f>
        <v/>
      </c>
      <c r="F1895" s="147"/>
      <c r="G1895" s="80"/>
      <c r="H1895" s="83"/>
      <c r="I1895" s="148" t="str">
        <f aca="false">IF(B1895="","",IFERROR(INDEX('CARNET DE SOUDURE'!$B$7:$B$3006,MATCH(B1895,'CARNET DE SOUDURE'!$L$7:$L$3006,0)),IFERROR(INDEX('CARNET DE SOUDURE'!$B$7:$B$3006,MATCH(B1895,'CARNET DE SOUDURE'!$O$7:$O$3006,0)),"")))</f>
        <v/>
      </c>
      <c r="J1895" s="82" t="str">
        <f aca="false">IF(B1895="","",IFERROR(INDEX('CARNET DE SOUDURE'!$E$7:$E$3006,MATCH(B1895,'CARNET DE SOUDURE'!$O$7:$O$3006,0)),""))</f>
        <v/>
      </c>
      <c r="K1895" s="82" t="str">
        <f aca="false">IF(B1895="","",IFERROR(INDEX('CARNET DE SOUDURE'!$E$7:$E$3006,MATCH(B1895,'CARNET DE SOUDURE'!$L$7:$L$3006,0)),""))</f>
        <v/>
      </c>
      <c r="L1895" s="82" t="str">
        <f aca="false">IF(B1895="","",IFERROR(INDEX('CARNET DE SOUDURE'!$D$7:$D$3006,MATCH(B1895,'CARNET DE SOUDURE'!$L$7:$L$3006,0)),IFERROR(INDEX('CARNET DE SOUDURE'!$D$7:$D$3006,MATCH(B1895,'CARNET DE SOUDURE'!$O$7:$O$3006,0)),"")))</f>
        <v/>
      </c>
      <c r="M1895" s="82" t="str">
        <f aca="false">IF(B1895="","",IF(OR(J1895&lt;&gt;"",K1895&lt;&gt;""),"POSÉ EN LIGNE",IF(COUNTIF(BARDAGE!$C$1:$C$5000,B1895)&gt;0,"BARDÉ","EN STOCK")))</f>
        <v/>
      </c>
      <c r="N1895" s="80"/>
    </row>
    <row r="1896" customFormat="false" ht="15" hidden="false" customHeight="false" outlineLevel="0" collapsed="false">
      <c r="A1896" s="82" t="str">
        <f aca="false">IF(B1896="","",ROW()-6)</f>
        <v/>
      </c>
      <c r="B1896" s="145"/>
      <c r="C1896" s="146"/>
      <c r="D1896" s="146"/>
      <c r="E1896" s="82" t="str">
        <f aca="false">IF(B1896="","",IF(COUNTIFS('CARNET DE SOUDURE'!$L$7:$L$3006,B1896,'CARNET DE SOUDURE'!$M$7:$M$3006,"&lt;&gt;"&amp;C1896,'CARNET DE SOUDURE'!$M$7:$M$3006,"&lt;&gt;")+COUNTIFS('CARNET DE SOUDURE'!$O$7:$O$3006,B1896,'CARNET DE SOUDURE'!$P$7:$P$3006,"&lt;&gt;"&amp;C1896,'CARNET DE SOUDURE'!$P$7:$P$3006,"&lt;&gt;")&gt;0,"⚠ DIFFÉRENTE","OK"))</f>
        <v/>
      </c>
      <c r="F1896" s="147"/>
      <c r="G1896" s="80"/>
      <c r="H1896" s="83"/>
      <c r="I1896" s="148" t="str">
        <f aca="false">IF(B1896="","",IFERROR(INDEX('CARNET DE SOUDURE'!$B$7:$B$3006,MATCH(B1896,'CARNET DE SOUDURE'!$L$7:$L$3006,0)),IFERROR(INDEX('CARNET DE SOUDURE'!$B$7:$B$3006,MATCH(B1896,'CARNET DE SOUDURE'!$O$7:$O$3006,0)),"")))</f>
        <v/>
      </c>
      <c r="J1896" s="82" t="str">
        <f aca="false">IF(B1896="","",IFERROR(INDEX('CARNET DE SOUDURE'!$E$7:$E$3006,MATCH(B1896,'CARNET DE SOUDURE'!$O$7:$O$3006,0)),""))</f>
        <v/>
      </c>
      <c r="K1896" s="82" t="str">
        <f aca="false">IF(B1896="","",IFERROR(INDEX('CARNET DE SOUDURE'!$E$7:$E$3006,MATCH(B1896,'CARNET DE SOUDURE'!$L$7:$L$3006,0)),""))</f>
        <v/>
      </c>
      <c r="L1896" s="82" t="str">
        <f aca="false">IF(B1896="","",IFERROR(INDEX('CARNET DE SOUDURE'!$D$7:$D$3006,MATCH(B1896,'CARNET DE SOUDURE'!$L$7:$L$3006,0)),IFERROR(INDEX('CARNET DE SOUDURE'!$D$7:$D$3006,MATCH(B1896,'CARNET DE SOUDURE'!$O$7:$O$3006,0)),"")))</f>
        <v/>
      </c>
      <c r="M1896" s="82" t="str">
        <f aca="false">IF(B1896="","",IF(OR(J1896&lt;&gt;"",K1896&lt;&gt;""),"POSÉ EN LIGNE",IF(COUNTIF(BARDAGE!$C$1:$C$5000,B1896)&gt;0,"BARDÉ","EN STOCK")))</f>
        <v/>
      </c>
      <c r="N1896" s="80"/>
    </row>
    <row r="1897" customFormat="false" ht="15" hidden="false" customHeight="false" outlineLevel="0" collapsed="false">
      <c r="A1897" s="82" t="str">
        <f aca="false">IF(B1897="","",ROW()-6)</f>
        <v/>
      </c>
      <c r="B1897" s="145"/>
      <c r="C1897" s="146"/>
      <c r="D1897" s="146"/>
      <c r="E1897" s="82" t="str">
        <f aca="false">IF(B1897="","",IF(COUNTIFS('CARNET DE SOUDURE'!$L$7:$L$3006,B1897,'CARNET DE SOUDURE'!$M$7:$M$3006,"&lt;&gt;"&amp;C1897,'CARNET DE SOUDURE'!$M$7:$M$3006,"&lt;&gt;")+COUNTIFS('CARNET DE SOUDURE'!$O$7:$O$3006,B1897,'CARNET DE SOUDURE'!$P$7:$P$3006,"&lt;&gt;"&amp;C1897,'CARNET DE SOUDURE'!$P$7:$P$3006,"&lt;&gt;")&gt;0,"⚠ DIFFÉRENTE","OK"))</f>
        <v/>
      </c>
      <c r="F1897" s="147"/>
      <c r="G1897" s="80"/>
      <c r="H1897" s="83"/>
      <c r="I1897" s="148" t="str">
        <f aca="false">IF(B1897="","",IFERROR(INDEX('CARNET DE SOUDURE'!$B$7:$B$3006,MATCH(B1897,'CARNET DE SOUDURE'!$L$7:$L$3006,0)),IFERROR(INDEX('CARNET DE SOUDURE'!$B$7:$B$3006,MATCH(B1897,'CARNET DE SOUDURE'!$O$7:$O$3006,0)),"")))</f>
        <v/>
      </c>
      <c r="J1897" s="82" t="str">
        <f aca="false">IF(B1897="","",IFERROR(INDEX('CARNET DE SOUDURE'!$E$7:$E$3006,MATCH(B1897,'CARNET DE SOUDURE'!$O$7:$O$3006,0)),""))</f>
        <v/>
      </c>
      <c r="K1897" s="82" t="str">
        <f aca="false">IF(B1897="","",IFERROR(INDEX('CARNET DE SOUDURE'!$E$7:$E$3006,MATCH(B1897,'CARNET DE SOUDURE'!$L$7:$L$3006,0)),""))</f>
        <v/>
      </c>
      <c r="L1897" s="82" t="str">
        <f aca="false">IF(B1897="","",IFERROR(INDEX('CARNET DE SOUDURE'!$D$7:$D$3006,MATCH(B1897,'CARNET DE SOUDURE'!$L$7:$L$3006,0)),IFERROR(INDEX('CARNET DE SOUDURE'!$D$7:$D$3006,MATCH(B1897,'CARNET DE SOUDURE'!$O$7:$O$3006,0)),"")))</f>
        <v/>
      </c>
      <c r="M1897" s="82" t="str">
        <f aca="false">IF(B1897="","",IF(OR(J1897&lt;&gt;"",K1897&lt;&gt;""),"POSÉ EN LIGNE",IF(COUNTIF(BARDAGE!$C$1:$C$5000,B1897)&gt;0,"BARDÉ","EN STOCK")))</f>
        <v/>
      </c>
      <c r="N1897" s="80"/>
    </row>
    <row r="1898" customFormat="false" ht="15" hidden="false" customHeight="false" outlineLevel="0" collapsed="false">
      <c r="A1898" s="82" t="str">
        <f aca="false">IF(B1898="","",ROW()-6)</f>
        <v/>
      </c>
      <c r="B1898" s="145"/>
      <c r="C1898" s="146"/>
      <c r="D1898" s="146"/>
      <c r="E1898" s="82" t="str">
        <f aca="false">IF(B1898="","",IF(COUNTIFS('CARNET DE SOUDURE'!$L$7:$L$3006,B1898,'CARNET DE SOUDURE'!$M$7:$M$3006,"&lt;&gt;"&amp;C1898,'CARNET DE SOUDURE'!$M$7:$M$3006,"&lt;&gt;")+COUNTIFS('CARNET DE SOUDURE'!$O$7:$O$3006,B1898,'CARNET DE SOUDURE'!$P$7:$P$3006,"&lt;&gt;"&amp;C1898,'CARNET DE SOUDURE'!$P$7:$P$3006,"&lt;&gt;")&gt;0,"⚠ DIFFÉRENTE","OK"))</f>
        <v/>
      </c>
      <c r="F1898" s="147"/>
      <c r="G1898" s="80"/>
      <c r="H1898" s="83"/>
      <c r="I1898" s="148" t="str">
        <f aca="false">IF(B1898="","",IFERROR(INDEX('CARNET DE SOUDURE'!$B$7:$B$3006,MATCH(B1898,'CARNET DE SOUDURE'!$L$7:$L$3006,0)),IFERROR(INDEX('CARNET DE SOUDURE'!$B$7:$B$3006,MATCH(B1898,'CARNET DE SOUDURE'!$O$7:$O$3006,0)),"")))</f>
        <v/>
      </c>
      <c r="J1898" s="82" t="str">
        <f aca="false">IF(B1898="","",IFERROR(INDEX('CARNET DE SOUDURE'!$E$7:$E$3006,MATCH(B1898,'CARNET DE SOUDURE'!$O$7:$O$3006,0)),""))</f>
        <v/>
      </c>
      <c r="K1898" s="82" t="str">
        <f aca="false">IF(B1898="","",IFERROR(INDEX('CARNET DE SOUDURE'!$E$7:$E$3006,MATCH(B1898,'CARNET DE SOUDURE'!$L$7:$L$3006,0)),""))</f>
        <v/>
      </c>
      <c r="L1898" s="82" t="str">
        <f aca="false">IF(B1898="","",IFERROR(INDEX('CARNET DE SOUDURE'!$D$7:$D$3006,MATCH(B1898,'CARNET DE SOUDURE'!$L$7:$L$3006,0)),IFERROR(INDEX('CARNET DE SOUDURE'!$D$7:$D$3006,MATCH(B1898,'CARNET DE SOUDURE'!$O$7:$O$3006,0)),"")))</f>
        <v/>
      </c>
      <c r="M1898" s="82" t="str">
        <f aca="false">IF(B1898="","",IF(OR(J1898&lt;&gt;"",K1898&lt;&gt;""),"POSÉ EN LIGNE",IF(COUNTIF(BARDAGE!$C$1:$C$5000,B1898)&gt;0,"BARDÉ","EN STOCK")))</f>
        <v/>
      </c>
      <c r="N1898" s="80"/>
    </row>
    <row r="1899" customFormat="false" ht="15" hidden="false" customHeight="false" outlineLevel="0" collapsed="false">
      <c r="A1899" s="82" t="str">
        <f aca="false">IF(B1899="","",ROW()-6)</f>
        <v/>
      </c>
      <c r="B1899" s="145"/>
      <c r="C1899" s="146"/>
      <c r="D1899" s="146"/>
      <c r="E1899" s="82" t="str">
        <f aca="false">IF(B1899="","",IF(COUNTIFS('CARNET DE SOUDURE'!$L$7:$L$3006,B1899,'CARNET DE SOUDURE'!$M$7:$M$3006,"&lt;&gt;"&amp;C1899,'CARNET DE SOUDURE'!$M$7:$M$3006,"&lt;&gt;")+COUNTIFS('CARNET DE SOUDURE'!$O$7:$O$3006,B1899,'CARNET DE SOUDURE'!$P$7:$P$3006,"&lt;&gt;"&amp;C1899,'CARNET DE SOUDURE'!$P$7:$P$3006,"&lt;&gt;")&gt;0,"⚠ DIFFÉRENTE","OK"))</f>
        <v/>
      </c>
      <c r="F1899" s="147"/>
      <c r="G1899" s="80"/>
      <c r="H1899" s="83"/>
      <c r="I1899" s="148" t="str">
        <f aca="false">IF(B1899="","",IFERROR(INDEX('CARNET DE SOUDURE'!$B$7:$B$3006,MATCH(B1899,'CARNET DE SOUDURE'!$L$7:$L$3006,0)),IFERROR(INDEX('CARNET DE SOUDURE'!$B$7:$B$3006,MATCH(B1899,'CARNET DE SOUDURE'!$O$7:$O$3006,0)),"")))</f>
        <v/>
      </c>
      <c r="J1899" s="82" t="str">
        <f aca="false">IF(B1899="","",IFERROR(INDEX('CARNET DE SOUDURE'!$E$7:$E$3006,MATCH(B1899,'CARNET DE SOUDURE'!$O$7:$O$3006,0)),""))</f>
        <v/>
      </c>
      <c r="K1899" s="82" t="str">
        <f aca="false">IF(B1899="","",IFERROR(INDEX('CARNET DE SOUDURE'!$E$7:$E$3006,MATCH(B1899,'CARNET DE SOUDURE'!$L$7:$L$3006,0)),""))</f>
        <v/>
      </c>
      <c r="L1899" s="82" t="str">
        <f aca="false">IF(B1899="","",IFERROR(INDEX('CARNET DE SOUDURE'!$D$7:$D$3006,MATCH(B1899,'CARNET DE SOUDURE'!$L$7:$L$3006,0)),IFERROR(INDEX('CARNET DE SOUDURE'!$D$7:$D$3006,MATCH(B1899,'CARNET DE SOUDURE'!$O$7:$O$3006,0)),"")))</f>
        <v/>
      </c>
      <c r="M1899" s="82" t="str">
        <f aca="false">IF(B1899="","",IF(OR(J1899&lt;&gt;"",K1899&lt;&gt;""),"POSÉ EN LIGNE",IF(COUNTIF(BARDAGE!$C$1:$C$5000,B1899)&gt;0,"BARDÉ","EN STOCK")))</f>
        <v/>
      </c>
      <c r="N1899" s="80"/>
    </row>
    <row r="1900" customFormat="false" ht="15" hidden="false" customHeight="false" outlineLevel="0" collapsed="false">
      <c r="A1900" s="82" t="str">
        <f aca="false">IF(B1900="","",ROW()-6)</f>
        <v/>
      </c>
      <c r="B1900" s="145"/>
      <c r="C1900" s="146"/>
      <c r="D1900" s="146"/>
      <c r="E1900" s="82" t="str">
        <f aca="false">IF(B1900="","",IF(COUNTIFS('CARNET DE SOUDURE'!$L$7:$L$3006,B1900,'CARNET DE SOUDURE'!$M$7:$M$3006,"&lt;&gt;"&amp;C1900,'CARNET DE SOUDURE'!$M$7:$M$3006,"&lt;&gt;")+COUNTIFS('CARNET DE SOUDURE'!$O$7:$O$3006,B1900,'CARNET DE SOUDURE'!$P$7:$P$3006,"&lt;&gt;"&amp;C1900,'CARNET DE SOUDURE'!$P$7:$P$3006,"&lt;&gt;")&gt;0,"⚠ DIFFÉRENTE","OK"))</f>
        <v/>
      </c>
      <c r="F1900" s="147"/>
      <c r="G1900" s="80"/>
      <c r="H1900" s="83"/>
      <c r="I1900" s="148" t="str">
        <f aca="false">IF(B1900="","",IFERROR(INDEX('CARNET DE SOUDURE'!$B$7:$B$3006,MATCH(B1900,'CARNET DE SOUDURE'!$L$7:$L$3006,0)),IFERROR(INDEX('CARNET DE SOUDURE'!$B$7:$B$3006,MATCH(B1900,'CARNET DE SOUDURE'!$O$7:$O$3006,0)),"")))</f>
        <v/>
      </c>
      <c r="J1900" s="82" t="str">
        <f aca="false">IF(B1900="","",IFERROR(INDEX('CARNET DE SOUDURE'!$E$7:$E$3006,MATCH(B1900,'CARNET DE SOUDURE'!$O$7:$O$3006,0)),""))</f>
        <v/>
      </c>
      <c r="K1900" s="82" t="str">
        <f aca="false">IF(B1900="","",IFERROR(INDEX('CARNET DE SOUDURE'!$E$7:$E$3006,MATCH(B1900,'CARNET DE SOUDURE'!$L$7:$L$3006,0)),""))</f>
        <v/>
      </c>
      <c r="L1900" s="82" t="str">
        <f aca="false">IF(B1900="","",IFERROR(INDEX('CARNET DE SOUDURE'!$D$7:$D$3006,MATCH(B1900,'CARNET DE SOUDURE'!$L$7:$L$3006,0)),IFERROR(INDEX('CARNET DE SOUDURE'!$D$7:$D$3006,MATCH(B1900,'CARNET DE SOUDURE'!$O$7:$O$3006,0)),"")))</f>
        <v/>
      </c>
      <c r="M1900" s="82" t="str">
        <f aca="false">IF(B1900="","",IF(OR(J1900&lt;&gt;"",K1900&lt;&gt;""),"POSÉ EN LIGNE",IF(COUNTIF(BARDAGE!$C$1:$C$5000,B1900)&gt;0,"BARDÉ","EN STOCK")))</f>
        <v/>
      </c>
      <c r="N1900" s="80"/>
    </row>
    <row r="1901" customFormat="false" ht="15" hidden="false" customHeight="false" outlineLevel="0" collapsed="false">
      <c r="A1901" s="82" t="str">
        <f aca="false">IF(B1901="","",ROW()-6)</f>
        <v/>
      </c>
      <c r="B1901" s="145"/>
      <c r="C1901" s="146"/>
      <c r="D1901" s="146"/>
      <c r="E1901" s="82" t="str">
        <f aca="false">IF(B1901="","",IF(COUNTIFS('CARNET DE SOUDURE'!$L$7:$L$3006,B1901,'CARNET DE SOUDURE'!$M$7:$M$3006,"&lt;&gt;"&amp;C1901,'CARNET DE SOUDURE'!$M$7:$M$3006,"&lt;&gt;")+COUNTIFS('CARNET DE SOUDURE'!$O$7:$O$3006,B1901,'CARNET DE SOUDURE'!$P$7:$P$3006,"&lt;&gt;"&amp;C1901,'CARNET DE SOUDURE'!$P$7:$P$3006,"&lt;&gt;")&gt;0,"⚠ DIFFÉRENTE","OK"))</f>
        <v/>
      </c>
      <c r="F1901" s="147"/>
      <c r="G1901" s="80"/>
      <c r="H1901" s="83"/>
      <c r="I1901" s="148" t="str">
        <f aca="false">IF(B1901="","",IFERROR(INDEX('CARNET DE SOUDURE'!$B$7:$B$3006,MATCH(B1901,'CARNET DE SOUDURE'!$L$7:$L$3006,0)),IFERROR(INDEX('CARNET DE SOUDURE'!$B$7:$B$3006,MATCH(B1901,'CARNET DE SOUDURE'!$O$7:$O$3006,0)),"")))</f>
        <v/>
      </c>
      <c r="J1901" s="82" t="str">
        <f aca="false">IF(B1901="","",IFERROR(INDEX('CARNET DE SOUDURE'!$E$7:$E$3006,MATCH(B1901,'CARNET DE SOUDURE'!$O$7:$O$3006,0)),""))</f>
        <v/>
      </c>
      <c r="K1901" s="82" t="str">
        <f aca="false">IF(B1901="","",IFERROR(INDEX('CARNET DE SOUDURE'!$E$7:$E$3006,MATCH(B1901,'CARNET DE SOUDURE'!$L$7:$L$3006,0)),""))</f>
        <v/>
      </c>
      <c r="L1901" s="82" t="str">
        <f aca="false">IF(B1901="","",IFERROR(INDEX('CARNET DE SOUDURE'!$D$7:$D$3006,MATCH(B1901,'CARNET DE SOUDURE'!$L$7:$L$3006,0)),IFERROR(INDEX('CARNET DE SOUDURE'!$D$7:$D$3006,MATCH(B1901,'CARNET DE SOUDURE'!$O$7:$O$3006,0)),"")))</f>
        <v/>
      </c>
      <c r="M1901" s="82" t="str">
        <f aca="false">IF(B1901="","",IF(OR(J1901&lt;&gt;"",K1901&lt;&gt;""),"POSÉ EN LIGNE",IF(COUNTIF(BARDAGE!$C$1:$C$5000,B1901)&gt;0,"BARDÉ","EN STOCK")))</f>
        <v/>
      </c>
      <c r="N1901" s="80"/>
    </row>
    <row r="1902" customFormat="false" ht="15" hidden="false" customHeight="false" outlineLevel="0" collapsed="false">
      <c r="A1902" s="82" t="str">
        <f aca="false">IF(B1902="","",ROW()-6)</f>
        <v/>
      </c>
      <c r="B1902" s="145"/>
      <c r="C1902" s="146"/>
      <c r="D1902" s="146"/>
      <c r="E1902" s="82" t="str">
        <f aca="false">IF(B1902="","",IF(COUNTIFS('CARNET DE SOUDURE'!$L$7:$L$3006,B1902,'CARNET DE SOUDURE'!$M$7:$M$3006,"&lt;&gt;"&amp;C1902,'CARNET DE SOUDURE'!$M$7:$M$3006,"&lt;&gt;")+COUNTIFS('CARNET DE SOUDURE'!$O$7:$O$3006,B1902,'CARNET DE SOUDURE'!$P$7:$P$3006,"&lt;&gt;"&amp;C1902,'CARNET DE SOUDURE'!$P$7:$P$3006,"&lt;&gt;")&gt;0,"⚠ DIFFÉRENTE","OK"))</f>
        <v/>
      </c>
      <c r="F1902" s="147"/>
      <c r="G1902" s="80"/>
      <c r="H1902" s="83"/>
      <c r="I1902" s="148" t="str">
        <f aca="false">IF(B1902="","",IFERROR(INDEX('CARNET DE SOUDURE'!$B$7:$B$3006,MATCH(B1902,'CARNET DE SOUDURE'!$L$7:$L$3006,0)),IFERROR(INDEX('CARNET DE SOUDURE'!$B$7:$B$3006,MATCH(B1902,'CARNET DE SOUDURE'!$O$7:$O$3006,0)),"")))</f>
        <v/>
      </c>
      <c r="J1902" s="82" t="str">
        <f aca="false">IF(B1902="","",IFERROR(INDEX('CARNET DE SOUDURE'!$E$7:$E$3006,MATCH(B1902,'CARNET DE SOUDURE'!$O$7:$O$3006,0)),""))</f>
        <v/>
      </c>
      <c r="K1902" s="82" t="str">
        <f aca="false">IF(B1902="","",IFERROR(INDEX('CARNET DE SOUDURE'!$E$7:$E$3006,MATCH(B1902,'CARNET DE SOUDURE'!$L$7:$L$3006,0)),""))</f>
        <v/>
      </c>
      <c r="L1902" s="82" t="str">
        <f aca="false">IF(B1902="","",IFERROR(INDEX('CARNET DE SOUDURE'!$D$7:$D$3006,MATCH(B1902,'CARNET DE SOUDURE'!$L$7:$L$3006,0)),IFERROR(INDEX('CARNET DE SOUDURE'!$D$7:$D$3006,MATCH(B1902,'CARNET DE SOUDURE'!$O$7:$O$3006,0)),"")))</f>
        <v/>
      </c>
      <c r="M1902" s="82" t="str">
        <f aca="false">IF(B1902="","",IF(OR(J1902&lt;&gt;"",K1902&lt;&gt;""),"POSÉ EN LIGNE",IF(COUNTIF(BARDAGE!$C$1:$C$5000,B1902)&gt;0,"BARDÉ","EN STOCK")))</f>
        <v/>
      </c>
      <c r="N1902" s="80"/>
    </row>
    <row r="1903" customFormat="false" ht="15" hidden="false" customHeight="false" outlineLevel="0" collapsed="false">
      <c r="A1903" s="82" t="str">
        <f aca="false">IF(B1903="","",ROW()-6)</f>
        <v/>
      </c>
      <c r="B1903" s="145"/>
      <c r="C1903" s="146"/>
      <c r="D1903" s="146"/>
      <c r="E1903" s="82" t="str">
        <f aca="false">IF(B1903="","",IF(COUNTIFS('CARNET DE SOUDURE'!$L$7:$L$3006,B1903,'CARNET DE SOUDURE'!$M$7:$M$3006,"&lt;&gt;"&amp;C1903,'CARNET DE SOUDURE'!$M$7:$M$3006,"&lt;&gt;")+COUNTIFS('CARNET DE SOUDURE'!$O$7:$O$3006,B1903,'CARNET DE SOUDURE'!$P$7:$P$3006,"&lt;&gt;"&amp;C1903,'CARNET DE SOUDURE'!$P$7:$P$3006,"&lt;&gt;")&gt;0,"⚠ DIFFÉRENTE","OK"))</f>
        <v/>
      </c>
      <c r="F1903" s="147"/>
      <c r="G1903" s="80"/>
      <c r="H1903" s="83"/>
      <c r="I1903" s="148" t="str">
        <f aca="false">IF(B1903="","",IFERROR(INDEX('CARNET DE SOUDURE'!$B$7:$B$3006,MATCH(B1903,'CARNET DE SOUDURE'!$L$7:$L$3006,0)),IFERROR(INDEX('CARNET DE SOUDURE'!$B$7:$B$3006,MATCH(B1903,'CARNET DE SOUDURE'!$O$7:$O$3006,0)),"")))</f>
        <v/>
      </c>
      <c r="J1903" s="82" t="str">
        <f aca="false">IF(B1903="","",IFERROR(INDEX('CARNET DE SOUDURE'!$E$7:$E$3006,MATCH(B1903,'CARNET DE SOUDURE'!$O$7:$O$3006,0)),""))</f>
        <v/>
      </c>
      <c r="K1903" s="82" t="str">
        <f aca="false">IF(B1903="","",IFERROR(INDEX('CARNET DE SOUDURE'!$E$7:$E$3006,MATCH(B1903,'CARNET DE SOUDURE'!$L$7:$L$3006,0)),""))</f>
        <v/>
      </c>
      <c r="L1903" s="82" t="str">
        <f aca="false">IF(B1903="","",IFERROR(INDEX('CARNET DE SOUDURE'!$D$7:$D$3006,MATCH(B1903,'CARNET DE SOUDURE'!$L$7:$L$3006,0)),IFERROR(INDEX('CARNET DE SOUDURE'!$D$7:$D$3006,MATCH(B1903,'CARNET DE SOUDURE'!$O$7:$O$3006,0)),"")))</f>
        <v/>
      </c>
      <c r="M1903" s="82" t="str">
        <f aca="false">IF(B1903="","",IF(OR(J1903&lt;&gt;"",K1903&lt;&gt;""),"POSÉ EN LIGNE",IF(COUNTIF(BARDAGE!$C$1:$C$5000,B1903)&gt;0,"BARDÉ","EN STOCK")))</f>
        <v/>
      </c>
      <c r="N1903" s="80"/>
    </row>
    <row r="1904" customFormat="false" ht="15" hidden="false" customHeight="false" outlineLevel="0" collapsed="false">
      <c r="A1904" s="82" t="str">
        <f aca="false">IF(B1904="","",ROW()-6)</f>
        <v/>
      </c>
      <c r="B1904" s="145"/>
      <c r="C1904" s="146"/>
      <c r="D1904" s="146"/>
      <c r="E1904" s="82" t="str">
        <f aca="false">IF(B1904="","",IF(COUNTIFS('CARNET DE SOUDURE'!$L$7:$L$3006,B1904,'CARNET DE SOUDURE'!$M$7:$M$3006,"&lt;&gt;"&amp;C1904,'CARNET DE SOUDURE'!$M$7:$M$3006,"&lt;&gt;")+COUNTIFS('CARNET DE SOUDURE'!$O$7:$O$3006,B1904,'CARNET DE SOUDURE'!$P$7:$P$3006,"&lt;&gt;"&amp;C1904,'CARNET DE SOUDURE'!$P$7:$P$3006,"&lt;&gt;")&gt;0,"⚠ DIFFÉRENTE","OK"))</f>
        <v/>
      </c>
      <c r="F1904" s="147"/>
      <c r="G1904" s="80"/>
      <c r="H1904" s="83"/>
      <c r="I1904" s="148" t="str">
        <f aca="false">IF(B1904="","",IFERROR(INDEX('CARNET DE SOUDURE'!$B$7:$B$3006,MATCH(B1904,'CARNET DE SOUDURE'!$L$7:$L$3006,0)),IFERROR(INDEX('CARNET DE SOUDURE'!$B$7:$B$3006,MATCH(B1904,'CARNET DE SOUDURE'!$O$7:$O$3006,0)),"")))</f>
        <v/>
      </c>
      <c r="J1904" s="82" t="str">
        <f aca="false">IF(B1904="","",IFERROR(INDEX('CARNET DE SOUDURE'!$E$7:$E$3006,MATCH(B1904,'CARNET DE SOUDURE'!$O$7:$O$3006,0)),""))</f>
        <v/>
      </c>
      <c r="K1904" s="82" t="str">
        <f aca="false">IF(B1904="","",IFERROR(INDEX('CARNET DE SOUDURE'!$E$7:$E$3006,MATCH(B1904,'CARNET DE SOUDURE'!$L$7:$L$3006,0)),""))</f>
        <v/>
      </c>
      <c r="L1904" s="82" t="str">
        <f aca="false">IF(B1904="","",IFERROR(INDEX('CARNET DE SOUDURE'!$D$7:$D$3006,MATCH(B1904,'CARNET DE SOUDURE'!$L$7:$L$3006,0)),IFERROR(INDEX('CARNET DE SOUDURE'!$D$7:$D$3006,MATCH(B1904,'CARNET DE SOUDURE'!$O$7:$O$3006,0)),"")))</f>
        <v/>
      </c>
      <c r="M1904" s="82" t="str">
        <f aca="false">IF(B1904="","",IF(OR(J1904&lt;&gt;"",K1904&lt;&gt;""),"POSÉ EN LIGNE",IF(COUNTIF(BARDAGE!$C$1:$C$5000,B1904)&gt;0,"BARDÉ","EN STOCK")))</f>
        <v/>
      </c>
      <c r="N1904" s="80"/>
    </row>
    <row r="1905" customFormat="false" ht="15" hidden="false" customHeight="false" outlineLevel="0" collapsed="false">
      <c r="A1905" s="82" t="str">
        <f aca="false">IF(B1905="","",ROW()-6)</f>
        <v/>
      </c>
      <c r="B1905" s="145"/>
      <c r="C1905" s="146"/>
      <c r="D1905" s="146"/>
      <c r="E1905" s="82" t="str">
        <f aca="false">IF(B1905="","",IF(COUNTIFS('CARNET DE SOUDURE'!$L$7:$L$3006,B1905,'CARNET DE SOUDURE'!$M$7:$M$3006,"&lt;&gt;"&amp;C1905,'CARNET DE SOUDURE'!$M$7:$M$3006,"&lt;&gt;")+COUNTIFS('CARNET DE SOUDURE'!$O$7:$O$3006,B1905,'CARNET DE SOUDURE'!$P$7:$P$3006,"&lt;&gt;"&amp;C1905,'CARNET DE SOUDURE'!$P$7:$P$3006,"&lt;&gt;")&gt;0,"⚠ DIFFÉRENTE","OK"))</f>
        <v/>
      </c>
      <c r="F1905" s="147"/>
      <c r="G1905" s="80"/>
      <c r="H1905" s="83"/>
      <c r="I1905" s="148" t="str">
        <f aca="false">IF(B1905="","",IFERROR(INDEX('CARNET DE SOUDURE'!$B$7:$B$3006,MATCH(B1905,'CARNET DE SOUDURE'!$L$7:$L$3006,0)),IFERROR(INDEX('CARNET DE SOUDURE'!$B$7:$B$3006,MATCH(B1905,'CARNET DE SOUDURE'!$O$7:$O$3006,0)),"")))</f>
        <v/>
      </c>
      <c r="J1905" s="82" t="str">
        <f aca="false">IF(B1905="","",IFERROR(INDEX('CARNET DE SOUDURE'!$E$7:$E$3006,MATCH(B1905,'CARNET DE SOUDURE'!$O$7:$O$3006,0)),""))</f>
        <v/>
      </c>
      <c r="K1905" s="82" t="str">
        <f aca="false">IF(B1905="","",IFERROR(INDEX('CARNET DE SOUDURE'!$E$7:$E$3006,MATCH(B1905,'CARNET DE SOUDURE'!$L$7:$L$3006,0)),""))</f>
        <v/>
      </c>
      <c r="L1905" s="82" t="str">
        <f aca="false">IF(B1905="","",IFERROR(INDEX('CARNET DE SOUDURE'!$D$7:$D$3006,MATCH(B1905,'CARNET DE SOUDURE'!$L$7:$L$3006,0)),IFERROR(INDEX('CARNET DE SOUDURE'!$D$7:$D$3006,MATCH(B1905,'CARNET DE SOUDURE'!$O$7:$O$3006,0)),"")))</f>
        <v/>
      </c>
      <c r="M1905" s="82" t="str">
        <f aca="false">IF(B1905="","",IF(OR(J1905&lt;&gt;"",K1905&lt;&gt;""),"POSÉ EN LIGNE",IF(COUNTIF(BARDAGE!$C$1:$C$5000,B1905)&gt;0,"BARDÉ","EN STOCK")))</f>
        <v/>
      </c>
      <c r="N1905" s="80"/>
    </row>
    <row r="1906" customFormat="false" ht="15" hidden="false" customHeight="false" outlineLevel="0" collapsed="false">
      <c r="A1906" s="82" t="str">
        <f aca="false">IF(B1906="","",ROW()-6)</f>
        <v/>
      </c>
      <c r="B1906" s="145"/>
      <c r="C1906" s="146"/>
      <c r="D1906" s="146"/>
      <c r="E1906" s="82" t="str">
        <f aca="false">IF(B1906="","",IF(COUNTIFS('CARNET DE SOUDURE'!$L$7:$L$3006,B1906,'CARNET DE SOUDURE'!$M$7:$M$3006,"&lt;&gt;"&amp;C1906,'CARNET DE SOUDURE'!$M$7:$M$3006,"&lt;&gt;")+COUNTIFS('CARNET DE SOUDURE'!$O$7:$O$3006,B1906,'CARNET DE SOUDURE'!$P$7:$P$3006,"&lt;&gt;"&amp;C1906,'CARNET DE SOUDURE'!$P$7:$P$3006,"&lt;&gt;")&gt;0,"⚠ DIFFÉRENTE","OK"))</f>
        <v/>
      </c>
      <c r="F1906" s="147"/>
      <c r="G1906" s="80"/>
      <c r="H1906" s="83"/>
      <c r="I1906" s="148" t="str">
        <f aca="false">IF(B1906="","",IFERROR(INDEX('CARNET DE SOUDURE'!$B$7:$B$3006,MATCH(B1906,'CARNET DE SOUDURE'!$L$7:$L$3006,0)),IFERROR(INDEX('CARNET DE SOUDURE'!$B$7:$B$3006,MATCH(B1906,'CARNET DE SOUDURE'!$O$7:$O$3006,0)),"")))</f>
        <v/>
      </c>
      <c r="J1906" s="82" t="str">
        <f aca="false">IF(B1906="","",IFERROR(INDEX('CARNET DE SOUDURE'!$E$7:$E$3006,MATCH(B1906,'CARNET DE SOUDURE'!$O$7:$O$3006,0)),""))</f>
        <v/>
      </c>
      <c r="K1906" s="82" t="str">
        <f aca="false">IF(B1906="","",IFERROR(INDEX('CARNET DE SOUDURE'!$E$7:$E$3006,MATCH(B1906,'CARNET DE SOUDURE'!$L$7:$L$3006,0)),""))</f>
        <v/>
      </c>
      <c r="L1906" s="82" t="str">
        <f aca="false">IF(B1906="","",IFERROR(INDEX('CARNET DE SOUDURE'!$D$7:$D$3006,MATCH(B1906,'CARNET DE SOUDURE'!$L$7:$L$3006,0)),IFERROR(INDEX('CARNET DE SOUDURE'!$D$7:$D$3006,MATCH(B1906,'CARNET DE SOUDURE'!$O$7:$O$3006,0)),"")))</f>
        <v/>
      </c>
      <c r="M1906" s="82" t="str">
        <f aca="false">IF(B1906="","",IF(OR(J1906&lt;&gt;"",K1906&lt;&gt;""),"POSÉ EN LIGNE",IF(COUNTIF(BARDAGE!$C$1:$C$5000,B1906)&gt;0,"BARDÉ","EN STOCK")))</f>
        <v/>
      </c>
      <c r="N1906" s="80"/>
    </row>
    <row r="1907" customFormat="false" ht="15" hidden="false" customHeight="false" outlineLevel="0" collapsed="false">
      <c r="A1907" s="82" t="str">
        <f aca="false">IF(B1907="","",ROW()-6)</f>
        <v/>
      </c>
      <c r="B1907" s="145"/>
      <c r="C1907" s="146"/>
      <c r="D1907" s="146"/>
      <c r="E1907" s="82" t="str">
        <f aca="false">IF(B1907="","",IF(COUNTIFS('CARNET DE SOUDURE'!$L$7:$L$3006,B1907,'CARNET DE SOUDURE'!$M$7:$M$3006,"&lt;&gt;"&amp;C1907,'CARNET DE SOUDURE'!$M$7:$M$3006,"&lt;&gt;")+COUNTIFS('CARNET DE SOUDURE'!$O$7:$O$3006,B1907,'CARNET DE SOUDURE'!$P$7:$P$3006,"&lt;&gt;"&amp;C1907,'CARNET DE SOUDURE'!$P$7:$P$3006,"&lt;&gt;")&gt;0,"⚠ DIFFÉRENTE","OK"))</f>
        <v/>
      </c>
      <c r="F1907" s="147"/>
      <c r="G1907" s="80"/>
      <c r="H1907" s="83"/>
      <c r="I1907" s="148" t="str">
        <f aca="false">IF(B1907="","",IFERROR(INDEX('CARNET DE SOUDURE'!$B$7:$B$3006,MATCH(B1907,'CARNET DE SOUDURE'!$L$7:$L$3006,0)),IFERROR(INDEX('CARNET DE SOUDURE'!$B$7:$B$3006,MATCH(B1907,'CARNET DE SOUDURE'!$O$7:$O$3006,0)),"")))</f>
        <v/>
      </c>
      <c r="J1907" s="82" t="str">
        <f aca="false">IF(B1907="","",IFERROR(INDEX('CARNET DE SOUDURE'!$E$7:$E$3006,MATCH(B1907,'CARNET DE SOUDURE'!$O$7:$O$3006,0)),""))</f>
        <v/>
      </c>
      <c r="K1907" s="82" t="str">
        <f aca="false">IF(B1907="","",IFERROR(INDEX('CARNET DE SOUDURE'!$E$7:$E$3006,MATCH(B1907,'CARNET DE SOUDURE'!$L$7:$L$3006,0)),""))</f>
        <v/>
      </c>
      <c r="L1907" s="82" t="str">
        <f aca="false">IF(B1907="","",IFERROR(INDEX('CARNET DE SOUDURE'!$D$7:$D$3006,MATCH(B1907,'CARNET DE SOUDURE'!$L$7:$L$3006,0)),IFERROR(INDEX('CARNET DE SOUDURE'!$D$7:$D$3006,MATCH(B1907,'CARNET DE SOUDURE'!$O$7:$O$3006,0)),"")))</f>
        <v/>
      </c>
      <c r="M1907" s="82" t="str">
        <f aca="false">IF(B1907="","",IF(OR(J1907&lt;&gt;"",K1907&lt;&gt;""),"POSÉ EN LIGNE",IF(COUNTIF(BARDAGE!$C$1:$C$5000,B1907)&gt;0,"BARDÉ","EN STOCK")))</f>
        <v/>
      </c>
      <c r="N1907" s="80"/>
    </row>
    <row r="1908" customFormat="false" ht="15" hidden="false" customHeight="false" outlineLevel="0" collapsed="false">
      <c r="A1908" s="82" t="str">
        <f aca="false">IF(B1908="","",ROW()-6)</f>
        <v/>
      </c>
      <c r="B1908" s="145"/>
      <c r="C1908" s="146"/>
      <c r="D1908" s="146"/>
      <c r="E1908" s="82" t="str">
        <f aca="false">IF(B1908="","",IF(COUNTIFS('CARNET DE SOUDURE'!$L$7:$L$3006,B1908,'CARNET DE SOUDURE'!$M$7:$M$3006,"&lt;&gt;"&amp;C1908,'CARNET DE SOUDURE'!$M$7:$M$3006,"&lt;&gt;")+COUNTIFS('CARNET DE SOUDURE'!$O$7:$O$3006,B1908,'CARNET DE SOUDURE'!$P$7:$P$3006,"&lt;&gt;"&amp;C1908,'CARNET DE SOUDURE'!$P$7:$P$3006,"&lt;&gt;")&gt;0,"⚠ DIFFÉRENTE","OK"))</f>
        <v/>
      </c>
      <c r="F1908" s="147"/>
      <c r="G1908" s="80"/>
      <c r="H1908" s="83"/>
      <c r="I1908" s="148" t="str">
        <f aca="false">IF(B1908="","",IFERROR(INDEX('CARNET DE SOUDURE'!$B$7:$B$3006,MATCH(B1908,'CARNET DE SOUDURE'!$L$7:$L$3006,0)),IFERROR(INDEX('CARNET DE SOUDURE'!$B$7:$B$3006,MATCH(B1908,'CARNET DE SOUDURE'!$O$7:$O$3006,0)),"")))</f>
        <v/>
      </c>
      <c r="J1908" s="82" t="str">
        <f aca="false">IF(B1908="","",IFERROR(INDEX('CARNET DE SOUDURE'!$E$7:$E$3006,MATCH(B1908,'CARNET DE SOUDURE'!$O$7:$O$3006,0)),""))</f>
        <v/>
      </c>
      <c r="K1908" s="82" t="str">
        <f aca="false">IF(B1908="","",IFERROR(INDEX('CARNET DE SOUDURE'!$E$7:$E$3006,MATCH(B1908,'CARNET DE SOUDURE'!$L$7:$L$3006,0)),""))</f>
        <v/>
      </c>
      <c r="L1908" s="82" t="str">
        <f aca="false">IF(B1908="","",IFERROR(INDEX('CARNET DE SOUDURE'!$D$7:$D$3006,MATCH(B1908,'CARNET DE SOUDURE'!$L$7:$L$3006,0)),IFERROR(INDEX('CARNET DE SOUDURE'!$D$7:$D$3006,MATCH(B1908,'CARNET DE SOUDURE'!$O$7:$O$3006,0)),"")))</f>
        <v/>
      </c>
      <c r="M1908" s="82" t="str">
        <f aca="false">IF(B1908="","",IF(OR(J1908&lt;&gt;"",K1908&lt;&gt;""),"POSÉ EN LIGNE",IF(COUNTIF(BARDAGE!$C$1:$C$5000,B1908)&gt;0,"BARDÉ","EN STOCK")))</f>
        <v/>
      </c>
      <c r="N1908" s="80"/>
    </row>
    <row r="1909" customFormat="false" ht="15" hidden="false" customHeight="false" outlineLevel="0" collapsed="false">
      <c r="A1909" s="82" t="str">
        <f aca="false">IF(B1909="","",ROW()-6)</f>
        <v/>
      </c>
      <c r="B1909" s="145"/>
      <c r="C1909" s="146"/>
      <c r="D1909" s="146"/>
      <c r="E1909" s="82" t="str">
        <f aca="false">IF(B1909="","",IF(COUNTIFS('CARNET DE SOUDURE'!$L$7:$L$3006,B1909,'CARNET DE SOUDURE'!$M$7:$M$3006,"&lt;&gt;"&amp;C1909,'CARNET DE SOUDURE'!$M$7:$M$3006,"&lt;&gt;")+COUNTIFS('CARNET DE SOUDURE'!$O$7:$O$3006,B1909,'CARNET DE SOUDURE'!$P$7:$P$3006,"&lt;&gt;"&amp;C1909,'CARNET DE SOUDURE'!$P$7:$P$3006,"&lt;&gt;")&gt;0,"⚠ DIFFÉRENTE","OK"))</f>
        <v/>
      </c>
      <c r="F1909" s="147"/>
      <c r="G1909" s="80"/>
      <c r="H1909" s="83"/>
      <c r="I1909" s="148" t="str">
        <f aca="false">IF(B1909="","",IFERROR(INDEX('CARNET DE SOUDURE'!$B$7:$B$3006,MATCH(B1909,'CARNET DE SOUDURE'!$L$7:$L$3006,0)),IFERROR(INDEX('CARNET DE SOUDURE'!$B$7:$B$3006,MATCH(B1909,'CARNET DE SOUDURE'!$O$7:$O$3006,0)),"")))</f>
        <v/>
      </c>
      <c r="J1909" s="82" t="str">
        <f aca="false">IF(B1909="","",IFERROR(INDEX('CARNET DE SOUDURE'!$E$7:$E$3006,MATCH(B1909,'CARNET DE SOUDURE'!$O$7:$O$3006,0)),""))</f>
        <v/>
      </c>
      <c r="K1909" s="82" t="str">
        <f aca="false">IF(B1909="","",IFERROR(INDEX('CARNET DE SOUDURE'!$E$7:$E$3006,MATCH(B1909,'CARNET DE SOUDURE'!$L$7:$L$3006,0)),""))</f>
        <v/>
      </c>
      <c r="L1909" s="82" t="str">
        <f aca="false">IF(B1909="","",IFERROR(INDEX('CARNET DE SOUDURE'!$D$7:$D$3006,MATCH(B1909,'CARNET DE SOUDURE'!$L$7:$L$3006,0)),IFERROR(INDEX('CARNET DE SOUDURE'!$D$7:$D$3006,MATCH(B1909,'CARNET DE SOUDURE'!$O$7:$O$3006,0)),"")))</f>
        <v/>
      </c>
      <c r="M1909" s="82" t="str">
        <f aca="false">IF(B1909="","",IF(OR(J1909&lt;&gt;"",K1909&lt;&gt;""),"POSÉ EN LIGNE",IF(COUNTIF(BARDAGE!$C$1:$C$5000,B1909)&gt;0,"BARDÉ","EN STOCK")))</f>
        <v/>
      </c>
      <c r="N1909" s="80"/>
    </row>
    <row r="1910" customFormat="false" ht="15" hidden="false" customHeight="false" outlineLevel="0" collapsed="false">
      <c r="A1910" s="82" t="str">
        <f aca="false">IF(B1910="","",ROW()-6)</f>
        <v/>
      </c>
      <c r="B1910" s="145"/>
      <c r="C1910" s="146"/>
      <c r="D1910" s="146"/>
      <c r="E1910" s="82" t="str">
        <f aca="false">IF(B1910="","",IF(COUNTIFS('CARNET DE SOUDURE'!$L$7:$L$3006,B1910,'CARNET DE SOUDURE'!$M$7:$M$3006,"&lt;&gt;"&amp;C1910,'CARNET DE SOUDURE'!$M$7:$M$3006,"&lt;&gt;")+COUNTIFS('CARNET DE SOUDURE'!$O$7:$O$3006,B1910,'CARNET DE SOUDURE'!$P$7:$P$3006,"&lt;&gt;"&amp;C1910,'CARNET DE SOUDURE'!$P$7:$P$3006,"&lt;&gt;")&gt;0,"⚠ DIFFÉRENTE","OK"))</f>
        <v/>
      </c>
      <c r="F1910" s="147"/>
      <c r="G1910" s="80"/>
      <c r="H1910" s="83"/>
      <c r="I1910" s="148" t="str">
        <f aca="false">IF(B1910="","",IFERROR(INDEX('CARNET DE SOUDURE'!$B$7:$B$3006,MATCH(B1910,'CARNET DE SOUDURE'!$L$7:$L$3006,0)),IFERROR(INDEX('CARNET DE SOUDURE'!$B$7:$B$3006,MATCH(B1910,'CARNET DE SOUDURE'!$O$7:$O$3006,0)),"")))</f>
        <v/>
      </c>
      <c r="J1910" s="82" t="str">
        <f aca="false">IF(B1910="","",IFERROR(INDEX('CARNET DE SOUDURE'!$E$7:$E$3006,MATCH(B1910,'CARNET DE SOUDURE'!$O$7:$O$3006,0)),""))</f>
        <v/>
      </c>
      <c r="K1910" s="82" t="str">
        <f aca="false">IF(B1910="","",IFERROR(INDEX('CARNET DE SOUDURE'!$E$7:$E$3006,MATCH(B1910,'CARNET DE SOUDURE'!$L$7:$L$3006,0)),""))</f>
        <v/>
      </c>
      <c r="L1910" s="82" t="str">
        <f aca="false">IF(B1910="","",IFERROR(INDEX('CARNET DE SOUDURE'!$D$7:$D$3006,MATCH(B1910,'CARNET DE SOUDURE'!$L$7:$L$3006,0)),IFERROR(INDEX('CARNET DE SOUDURE'!$D$7:$D$3006,MATCH(B1910,'CARNET DE SOUDURE'!$O$7:$O$3006,0)),"")))</f>
        <v/>
      </c>
      <c r="M1910" s="82" t="str">
        <f aca="false">IF(B1910="","",IF(OR(J1910&lt;&gt;"",K1910&lt;&gt;""),"POSÉ EN LIGNE",IF(COUNTIF(BARDAGE!$C$1:$C$5000,B1910)&gt;0,"BARDÉ","EN STOCK")))</f>
        <v/>
      </c>
      <c r="N1910" s="80"/>
    </row>
    <row r="1911" customFormat="false" ht="15" hidden="false" customHeight="false" outlineLevel="0" collapsed="false">
      <c r="A1911" s="82" t="str">
        <f aca="false">IF(B1911="","",ROW()-6)</f>
        <v/>
      </c>
      <c r="B1911" s="145"/>
      <c r="C1911" s="146"/>
      <c r="D1911" s="146"/>
      <c r="E1911" s="82" t="str">
        <f aca="false">IF(B1911="","",IF(COUNTIFS('CARNET DE SOUDURE'!$L$7:$L$3006,B1911,'CARNET DE SOUDURE'!$M$7:$M$3006,"&lt;&gt;"&amp;C1911,'CARNET DE SOUDURE'!$M$7:$M$3006,"&lt;&gt;")+COUNTIFS('CARNET DE SOUDURE'!$O$7:$O$3006,B1911,'CARNET DE SOUDURE'!$P$7:$P$3006,"&lt;&gt;"&amp;C1911,'CARNET DE SOUDURE'!$P$7:$P$3006,"&lt;&gt;")&gt;0,"⚠ DIFFÉRENTE","OK"))</f>
        <v/>
      </c>
      <c r="F1911" s="147"/>
      <c r="G1911" s="80"/>
      <c r="H1911" s="83"/>
      <c r="I1911" s="148" t="str">
        <f aca="false">IF(B1911="","",IFERROR(INDEX('CARNET DE SOUDURE'!$B$7:$B$3006,MATCH(B1911,'CARNET DE SOUDURE'!$L$7:$L$3006,0)),IFERROR(INDEX('CARNET DE SOUDURE'!$B$7:$B$3006,MATCH(B1911,'CARNET DE SOUDURE'!$O$7:$O$3006,0)),"")))</f>
        <v/>
      </c>
      <c r="J1911" s="82" t="str">
        <f aca="false">IF(B1911="","",IFERROR(INDEX('CARNET DE SOUDURE'!$E$7:$E$3006,MATCH(B1911,'CARNET DE SOUDURE'!$O$7:$O$3006,0)),""))</f>
        <v/>
      </c>
      <c r="K1911" s="82" t="str">
        <f aca="false">IF(B1911="","",IFERROR(INDEX('CARNET DE SOUDURE'!$E$7:$E$3006,MATCH(B1911,'CARNET DE SOUDURE'!$L$7:$L$3006,0)),""))</f>
        <v/>
      </c>
      <c r="L1911" s="82" t="str">
        <f aca="false">IF(B1911="","",IFERROR(INDEX('CARNET DE SOUDURE'!$D$7:$D$3006,MATCH(B1911,'CARNET DE SOUDURE'!$L$7:$L$3006,0)),IFERROR(INDEX('CARNET DE SOUDURE'!$D$7:$D$3006,MATCH(B1911,'CARNET DE SOUDURE'!$O$7:$O$3006,0)),"")))</f>
        <v/>
      </c>
      <c r="M1911" s="82" t="str">
        <f aca="false">IF(B1911="","",IF(OR(J1911&lt;&gt;"",K1911&lt;&gt;""),"POSÉ EN LIGNE",IF(COUNTIF(BARDAGE!$C$1:$C$5000,B1911)&gt;0,"BARDÉ","EN STOCK")))</f>
        <v/>
      </c>
      <c r="N1911" s="80"/>
    </row>
    <row r="1912" customFormat="false" ht="15" hidden="false" customHeight="false" outlineLevel="0" collapsed="false">
      <c r="A1912" s="82" t="str">
        <f aca="false">IF(B1912="","",ROW()-6)</f>
        <v/>
      </c>
      <c r="B1912" s="145"/>
      <c r="C1912" s="146"/>
      <c r="D1912" s="146"/>
      <c r="E1912" s="82" t="str">
        <f aca="false">IF(B1912="","",IF(COUNTIFS('CARNET DE SOUDURE'!$L$7:$L$3006,B1912,'CARNET DE SOUDURE'!$M$7:$M$3006,"&lt;&gt;"&amp;C1912,'CARNET DE SOUDURE'!$M$7:$M$3006,"&lt;&gt;")+COUNTIFS('CARNET DE SOUDURE'!$O$7:$O$3006,B1912,'CARNET DE SOUDURE'!$P$7:$P$3006,"&lt;&gt;"&amp;C1912,'CARNET DE SOUDURE'!$P$7:$P$3006,"&lt;&gt;")&gt;0,"⚠ DIFFÉRENTE","OK"))</f>
        <v/>
      </c>
      <c r="F1912" s="147"/>
      <c r="G1912" s="80"/>
      <c r="H1912" s="83"/>
      <c r="I1912" s="148" t="str">
        <f aca="false">IF(B1912="","",IFERROR(INDEX('CARNET DE SOUDURE'!$B$7:$B$3006,MATCH(B1912,'CARNET DE SOUDURE'!$L$7:$L$3006,0)),IFERROR(INDEX('CARNET DE SOUDURE'!$B$7:$B$3006,MATCH(B1912,'CARNET DE SOUDURE'!$O$7:$O$3006,0)),"")))</f>
        <v/>
      </c>
      <c r="J1912" s="82" t="str">
        <f aca="false">IF(B1912="","",IFERROR(INDEX('CARNET DE SOUDURE'!$E$7:$E$3006,MATCH(B1912,'CARNET DE SOUDURE'!$O$7:$O$3006,0)),""))</f>
        <v/>
      </c>
      <c r="K1912" s="82" t="str">
        <f aca="false">IF(B1912="","",IFERROR(INDEX('CARNET DE SOUDURE'!$E$7:$E$3006,MATCH(B1912,'CARNET DE SOUDURE'!$L$7:$L$3006,0)),""))</f>
        <v/>
      </c>
      <c r="L1912" s="82" t="str">
        <f aca="false">IF(B1912="","",IFERROR(INDEX('CARNET DE SOUDURE'!$D$7:$D$3006,MATCH(B1912,'CARNET DE SOUDURE'!$L$7:$L$3006,0)),IFERROR(INDEX('CARNET DE SOUDURE'!$D$7:$D$3006,MATCH(B1912,'CARNET DE SOUDURE'!$O$7:$O$3006,0)),"")))</f>
        <v/>
      </c>
      <c r="M1912" s="82" t="str">
        <f aca="false">IF(B1912="","",IF(OR(J1912&lt;&gt;"",K1912&lt;&gt;""),"POSÉ EN LIGNE",IF(COUNTIF(BARDAGE!$C$1:$C$5000,B1912)&gt;0,"BARDÉ","EN STOCK")))</f>
        <v/>
      </c>
      <c r="N1912" s="80"/>
    </row>
    <row r="1913" customFormat="false" ht="15" hidden="false" customHeight="false" outlineLevel="0" collapsed="false">
      <c r="A1913" s="82" t="str">
        <f aca="false">IF(B1913="","",ROW()-6)</f>
        <v/>
      </c>
      <c r="B1913" s="145"/>
      <c r="C1913" s="146"/>
      <c r="D1913" s="146"/>
      <c r="E1913" s="82" t="str">
        <f aca="false">IF(B1913="","",IF(COUNTIFS('CARNET DE SOUDURE'!$L$7:$L$3006,B1913,'CARNET DE SOUDURE'!$M$7:$M$3006,"&lt;&gt;"&amp;C1913,'CARNET DE SOUDURE'!$M$7:$M$3006,"&lt;&gt;")+COUNTIFS('CARNET DE SOUDURE'!$O$7:$O$3006,B1913,'CARNET DE SOUDURE'!$P$7:$P$3006,"&lt;&gt;"&amp;C1913,'CARNET DE SOUDURE'!$P$7:$P$3006,"&lt;&gt;")&gt;0,"⚠ DIFFÉRENTE","OK"))</f>
        <v/>
      </c>
      <c r="F1913" s="147"/>
      <c r="G1913" s="80"/>
      <c r="H1913" s="83"/>
      <c r="I1913" s="148" t="str">
        <f aca="false">IF(B1913="","",IFERROR(INDEX('CARNET DE SOUDURE'!$B$7:$B$3006,MATCH(B1913,'CARNET DE SOUDURE'!$L$7:$L$3006,0)),IFERROR(INDEX('CARNET DE SOUDURE'!$B$7:$B$3006,MATCH(B1913,'CARNET DE SOUDURE'!$O$7:$O$3006,0)),"")))</f>
        <v/>
      </c>
      <c r="J1913" s="82" t="str">
        <f aca="false">IF(B1913="","",IFERROR(INDEX('CARNET DE SOUDURE'!$E$7:$E$3006,MATCH(B1913,'CARNET DE SOUDURE'!$O$7:$O$3006,0)),""))</f>
        <v/>
      </c>
      <c r="K1913" s="82" t="str">
        <f aca="false">IF(B1913="","",IFERROR(INDEX('CARNET DE SOUDURE'!$E$7:$E$3006,MATCH(B1913,'CARNET DE SOUDURE'!$L$7:$L$3006,0)),""))</f>
        <v/>
      </c>
      <c r="L1913" s="82" t="str">
        <f aca="false">IF(B1913="","",IFERROR(INDEX('CARNET DE SOUDURE'!$D$7:$D$3006,MATCH(B1913,'CARNET DE SOUDURE'!$L$7:$L$3006,0)),IFERROR(INDEX('CARNET DE SOUDURE'!$D$7:$D$3006,MATCH(B1913,'CARNET DE SOUDURE'!$O$7:$O$3006,0)),"")))</f>
        <v/>
      </c>
      <c r="M1913" s="82" t="str">
        <f aca="false">IF(B1913="","",IF(OR(J1913&lt;&gt;"",K1913&lt;&gt;""),"POSÉ EN LIGNE",IF(COUNTIF(BARDAGE!$C$1:$C$5000,B1913)&gt;0,"BARDÉ","EN STOCK")))</f>
        <v/>
      </c>
      <c r="N1913" s="80"/>
    </row>
    <row r="1914" customFormat="false" ht="15" hidden="false" customHeight="false" outlineLevel="0" collapsed="false">
      <c r="A1914" s="82" t="str">
        <f aca="false">IF(B1914="","",ROW()-6)</f>
        <v/>
      </c>
      <c r="B1914" s="145"/>
      <c r="C1914" s="146"/>
      <c r="D1914" s="146"/>
      <c r="E1914" s="82" t="str">
        <f aca="false">IF(B1914="","",IF(COUNTIFS('CARNET DE SOUDURE'!$L$7:$L$3006,B1914,'CARNET DE SOUDURE'!$M$7:$M$3006,"&lt;&gt;"&amp;C1914,'CARNET DE SOUDURE'!$M$7:$M$3006,"&lt;&gt;")+COUNTIFS('CARNET DE SOUDURE'!$O$7:$O$3006,B1914,'CARNET DE SOUDURE'!$P$7:$P$3006,"&lt;&gt;"&amp;C1914,'CARNET DE SOUDURE'!$P$7:$P$3006,"&lt;&gt;")&gt;0,"⚠ DIFFÉRENTE","OK"))</f>
        <v/>
      </c>
      <c r="F1914" s="147"/>
      <c r="G1914" s="80"/>
      <c r="H1914" s="83"/>
      <c r="I1914" s="148" t="str">
        <f aca="false">IF(B1914="","",IFERROR(INDEX('CARNET DE SOUDURE'!$B$7:$B$3006,MATCH(B1914,'CARNET DE SOUDURE'!$L$7:$L$3006,0)),IFERROR(INDEX('CARNET DE SOUDURE'!$B$7:$B$3006,MATCH(B1914,'CARNET DE SOUDURE'!$O$7:$O$3006,0)),"")))</f>
        <v/>
      </c>
      <c r="J1914" s="82" t="str">
        <f aca="false">IF(B1914="","",IFERROR(INDEX('CARNET DE SOUDURE'!$E$7:$E$3006,MATCH(B1914,'CARNET DE SOUDURE'!$O$7:$O$3006,0)),""))</f>
        <v/>
      </c>
      <c r="K1914" s="82" t="str">
        <f aca="false">IF(B1914="","",IFERROR(INDEX('CARNET DE SOUDURE'!$E$7:$E$3006,MATCH(B1914,'CARNET DE SOUDURE'!$L$7:$L$3006,0)),""))</f>
        <v/>
      </c>
      <c r="L1914" s="82" t="str">
        <f aca="false">IF(B1914="","",IFERROR(INDEX('CARNET DE SOUDURE'!$D$7:$D$3006,MATCH(B1914,'CARNET DE SOUDURE'!$L$7:$L$3006,0)),IFERROR(INDEX('CARNET DE SOUDURE'!$D$7:$D$3006,MATCH(B1914,'CARNET DE SOUDURE'!$O$7:$O$3006,0)),"")))</f>
        <v/>
      </c>
      <c r="M1914" s="82" t="str">
        <f aca="false">IF(B1914="","",IF(OR(J1914&lt;&gt;"",K1914&lt;&gt;""),"POSÉ EN LIGNE",IF(COUNTIF(BARDAGE!$C$1:$C$5000,B1914)&gt;0,"BARDÉ","EN STOCK")))</f>
        <v/>
      </c>
      <c r="N1914" s="80"/>
    </row>
    <row r="1915" customFormat="false" ht="15" hidden="false" customHeight="false" outlineLevel="0" collapsed="false">
      <c r="A1915" s="82" t="str">
        <f aca="false">IF(B1915="","",ROW()-6)</f>
        <v/>
      </c>
      <c r="B1915" s="145"/>
      <c r="C1915" s="146"/>
      <c r="D1915" s="146"/>
      <c r="E1915" s="82" t="str">
        <f aca="false">IF(B1915="","",IF(COUNTIFS('CARNET DE SOUDURE'!$L$7:$L$3006,B1915,'CARNET DE SOUDURE'!$M$7:$M$3006,"&lt;&gt;"&amp;C1915,'CARNET DE SOUDURE'!$M$7:$M$3006,"&lt;&gt;")+COUNTIFS('CARNET DE SOUDURE'!$O$7:$O$3006,B1915,'CARNET DE SOUDURE'!$P$7:$P$3006,"&lt;&gt;"&amp;C1915,'CARNET DE SOUDURE'!$P$7:$P$3006,"&lt;&gt;")&gt;0,"⚠ DIFFÉRENTE","OK"))</f>
        <v/>
      </c>
      <c r="F1915" s="147"/>
      <c r="G1915" s="80"/>
      <c r="H1915" s="83"/>
      <c r="I1915" s="148" t="str">
        <f aca="false">IF(B1915="","",IFERROR(INDEX('CARNET DE SOUDURE'!$B$7:$B$3006,MATCH(B1915,'CARNET DE SOUDURE'!$L$7:$L$3006,0)),IFERROR(INDEX('CARNET DE SOUDURE'!$B$7:$B$3006,MATCH(B1915,'CARNET DE SOUDURE'!$O$7:$O$3006,0)),"")))</f>
        <v/>
      </c>
      <c r="J1915" s="82" t="str">
        <f aca="false">IF(B1915="","",IFERROR(INDEX('CARNET DE SOUDURE'!$E$7:$E$3006,MATCH(B1915,'CARNET DE SOUDURE'!$O$7:$O$3006,0)),""))</f>
        <v/>
      </c>
      <c r="K1915" s="82" t="str">
        <f aca="false">IF(B1915="","",IFERROR(INDEX('CARNET DE SOUDURE'!$E$7:$E$3006,MATCH(B1915,'CARNET DE SOUDURE'!$L$7:$L$3006,0)),""))</f>
        <v/>
      </c>
      <c r="L1915" s="82" t="str">
        <f aca="false">IF(B1915="","",IFERROR(INDEX('CARNET DE SOUDURE'!$D$7:$D$3006,MATCH(B1915,'CARNET DE SOUDURE'!$L$7:$L$3006,0)),IFERROR(INDEX('CARNET DE SOUDURE'!$D$7:$D$3006,MATCH(B1915,'CARNET DE SOUDURE'!$O$7:$O$3006,0)),"")))</f>
        <v/>
      </c>
      <c r="M1915" s="82" t="str">
        <f aca="false">IF(B1915="","",IF(OR(J1915&lt;&gt;"",K1915&lt;&gt;""),"POSÉ EN LIGNE",IF(COUNTIF(BARDAGE!$C$1:$C$5000,B1915)&gt;0,"BARDÉ","EN STOCK")))</f>
        <v/>
      </c>
      <c r="N1915" s="80"/>
    </row>
    <row r="1916" customFormat="false" ht="15" hidden="false" customHeight="false" outlineLevel="0" collapsed="false">
      <c r="A1916" s="82" t="str">
        <f aca="false">IF(B1916="","",ROW()-6)</f>
        <v/>
      </c>
      <c r="B1916" s="145"/>
      <c r="C1916" s="146"/>
      <c r="D1916" s="146"/>
      <c r="E1916" s="82" t="str">
        <f aca="false">IF(B1916="","",IF(COUNTIFS('CARNET DE SOUDURE'!$L$7:$L$3006,B1916,'CARNET DE SOUDURE'!$M$7:$M$3006,"&lt;&gt;"&amp;C1916,'CARNET DE SOUDURE'!$M$7:$M$3006,"&lt;&gt;")+COUNTIFS('CARNET DE SOUDURE'!$O$7:$O$3006,B1916,'CARNET DE SOUDURE'!$P$7:$P$3006,"&lt;&gt;"&amp;C1916,'CARNET DE SOUDURE'!$P$7:$P$3006,"&lt;&gt;")&gt;0,"⚠ DIFFÉRENTE","OK"))</f>
        <v/>
      </c>
      <c r="F1916" s="147"/>
      <c r="G1916" s="80"/>
      <c r="H1916" s="83"/>
      <c r="I1916" s="148" t="str">
        <f aca="false">IF(B1916="","",IFERROR(INDEX('CARNET DE SOUDURE'!$B$7:$B$3006,MATCH(B1916,'CARNET DE SOUDURE'!$L$7:$L$3006,0)),IFERROR(INDEX('CARNET DE SOUDURE'!$B$7:$B$3006,MATCH(B1916,'CARNET DE SOUDURE'!$O$7:$O$3006,0)),"")))</f>
        <v/>
      </c>
      <c r="J1916" s="82" t="str">
        <f aca="false">IF(B1916="","",IFERROR(INDEX('CARNET DE SOUDURE'!$E$7:$E$3006,MATCH(B1916,'CARNET DE SOUDURE'!$O$7:$O$3006,0)),""))</f>
        <v/>
      </c>
      <c r="K1916" s="82" t="str">
        <f aca="false">IF(B1916="","",IFERROR(INDEX('CARNET DE SOUDURE'!$E$7:$E$3006,MATCH(B1916,'CARNET DE SOUDURE'!$L$7:$L$3006,0)),""))</f>
        <v/>
      </c>
      <c r="L1916" s="82" t="str">
        <f aca="false">IF(B1916="","",IFERROR(INDEX('CARNET DE SOUDURE'!$D$7:$D$3006,MATCH(B1916,'CARNET DE SOUDURE'!$L$7:$L$3006,0)),IFERROR(INDEX('CARNET DE SOUDURE'!$D$7:$D$3006,MATCH(B1916,'CARNET DE SOUDURE'!$O$7:$O$3006,0)),"")))</f>
        <v/>
      </c>
      <c r="M1916" s="82" t="str">
        <f aca="false">IF(B1916="","",IF(OR(J1916&lt;&gt;"",K1916&lt;&gt;""),"POSÉ EN LIGNE",IF(COUNTIF(BARDAGE!$C$1:$C$5000,B1916)&gt;0,"BARDÉ","EN STOCK")))</f>
        <v/>
      </c>
      <c r="N1916" s="80"/>
    </row>
    <row r="1917" customFormat="false" ht="15" hidden="false" customHeight="false" outlineLevel="0" collapsed="false">
      <c r="A1917" s="82" t="str">
        <f aca="false">IF(B1917="","",ROW()-6)</f>
        <v/>
      </c>
      <c r="B1917" s="145"/>
      <c r="C1917" s="146"/>
      <c r="D1917" s="146"/>
      <c r="E1917" s="82" t="str">
        <f aca="false">IF(B1917="","",IF(COUNTIFS('CARNET DE SOUDURE'!$L$7:$L$3006,B1917,'CARNET DE SOUDURE'!$M$7:$M$3006,"&lt;&gt;"&amp;C1917,'CARNET DE SOUDURE'!$M$7:$M$3006,"&lt;&gt;")+COUNTIFS('CARNET DE SOUDURE'!$O$7:$O$3006,B1917,'CARNET DE SOUDURE'!$P$7:$P$3006,"&lt;&gt;"&amp;C1917,'CARNET DE SOUDURE'!$P$7:$P$3006,"&lt;&gt;")&gt;0,"⚠ DIFFÉRENTE","OK"))</f>
        <v/>
      </c>
      <c r="F1917" s="147"/>
      <c r="G1917" s="80"/>
      <c r="H1917" s="83"/>
      <c r="I1917" s="148" t="str">
        <f aca="false">IF(B1917="","",IFERROR(INDEX('CARNET DE SOUDURE'!$B$7:$B$3006,MATCH(B1917,'CARNET DE SOUDURE'!$L$7:$L$3006,0)),IFERROR(INDEX('CARNET DE SOUDURE'!$B$7:$B$3006,MATCH(B1917,'CARNET DE SOUDURE'!$O$7:$O$3006,0)),"")))</f>
        <v/>
      </c>
      <c r="J1917" s="82" t="str">
        <f aca="false">IF(B1917="","",IFERROR(INDEX('CARNET DE SOUDURE'!$E$7:$E$3006,MATCH(B1917,'CARNET DE SOUDURE'!$O$7:$O$3006,0)),""))</f>
        <v/>
      </c>
      <c r="K1917" s="82" t="str">
        <f aca="false">IF(B1917="","",IFERROR(INDEX('CARNET DE SOUDURE'!$E$7:$E$3006,MATCH(B1917,'CARNET DE SOUDURE'!$L$7:$L$3006,0)),""))</f>
        <v/>
      </c>
      <c r="L1917" s="82" t="str">
        <f aca="false">IF(B1917="","",IFERROR(INDEX('CARNET DE SOUDURE'!$D$7:$D$3006,MATCH(B1917,'CARNET DE SOUDURE'!$L$7:$L$3006,0)),IFERROR(INDEX('CARNET DE SOUDURE'!$D$7:$D$3006,MATCH(B1917,'CARNET DE SOUDURE'!$O$7:$O$3006,0)),"")))</f>
        <v/>
      </c>
      <c r="M1917" s="82" t="str">
        <f aca="false">IF(B1917="","",IF(OR(J1917&lt;&gt;"",K1917&lt;&gt;""),"POSÉ EN LIGNE",IF(COUNTIF(BARDAGE!$C$1:$C$5000,B1917)&gt;0,"BARDÉ","EN STOCK")))</f>
        <v/>
      </c>
      <c r="N1917" s="80"/>
    </row>
    <row r="1918" customFormat="false" ht="15" hidden="false" customHeight="false" outlineLevel="0" collapsed="false">
      <c r="A1918" s="82" t="str">
        <f aca="false">IF(B1918="","",ROW()-6)</f>
        <v/>
      </c>
      <c r="B1918" s="145"/>
      <c r="C1918" s="146"/>
      <c r="D1918" s="146"/>
      <c r="E1918" s="82" t="str">
        <f aca="false">IF(B1918="","",IF(COUNTIFS('CARNET DE SOUDURE'!$L$7:$L$3006,B1918,'CARNET DE SOUDURE'!$M$7:$M$3006,"&lt;&gt;"&amp;C1918,'CARNET DE SOUDURE'!$M$7:$M$3006,"&lt;&gt;")+COUNTIFS('CARNET DE SOUDURE'!$O$7:$O$3006,B1918,'CARNET DE SOUDURE'!$P$7:$P$3006,"&lt;&gt;"&amp;C1918,'CARNET DE SOUDURE'!$P$7:$P$3006,"&lt;&gt;")&gt;0,"⚠ DIFFÉRENTE","OK"))</f>
        <v/>
      </c>
      <c r="F1918" s="147"/>
      <c r="G1918" s="80"/>
      <c r="H1918" s="83"/>
      <c r="I1918" s="148" t="str">
        <f aca="false">IF(B1918="","",IFERROR(INDEX('CARNET DE SOUDURE'!$B$7:$B$3006,MATCH(B1918,'CARNET DE SOUDURE'!$L$7:$L$3006,0)),IFERROR(INDEX('CARNET DE SOUDURE'!$B$7:$B$3006,MATCH(B1918,'CARNET DE SOUDURE'!$O$7:$O$3006,0)),"")))</f>
        <v/>
      </c>
      <c r="J1918" s="82" t="str">
        <f aca="false">IF(B1918="","",IFERROR(INDEX('CARNET DE SOUDURE'!$E$7:$E$3006,MATCH(B1918,'CARNET DE SOUDURE'!$O$7:$O$3006,0)),""))</f>
        <v/>
      </c>
      <c r="K1918" s="82" t="str">
        <f aca="false">IF(B1918="","",IFERROR(INDEX('CARNET DE SOUDURE'!$E$7:$E$3006,MATCH(B1918,'CARNET DE SOUDURE'!$L$7:$L$3006,0)),""))</f>
        <v/>
      </c>
      <c r="L1918" s="82" t="str">
        <f aca="false">IF(B1918="","",IFERROR(INDEX('CARNET DE SOUDURE'!$D$7:$D$3006,MATCH(B1918,'CARNET DE SOUDURE'!$L$7:$L$3006,0)),IFERROR(INDEX('CARNET DE SOUDURE'!$D$7:$D$3006,MATCH(B1918,'CARNET DE SOUDURE'!$O$7:$O$3006,0)),"")))</f>
        <v/>
      </c>
      <c r="M1918" s="82" t="str">
        <f aca="false">IF(B1918="","",IF(OR(J1918&lt;&gt;"",K1918&lt;&gt;""),"POSÉ EN LIGNE",IF(COUNTIF(BARDAGE!$C$1:$C$5000,B1918)&gt;0,"BARDÉ","EN STOCK")))</f>
        <v/>
      </c>
      <c r="N1918" s="80"/>
    </row>
    <row r="1919" customFormat="false" ht="15" hidden="false" customHeight="false" outlineLevel="0" collapsed="false">
      <c r="A1919" s="82" t="str">
        <f aca="false">IF(B1919="","",ROW()-6)</f>
        <v/>
      </c>
      <c r="B1919" s="145"/>
      <c r="C1919" s="146"/>
      <c r="D1919" s="146"/>
      <c r="E1919" s="82" t="str">
        <f aca="false">IF(B1919="","",IF(COUNTIFS('CARNET DE SOUDURE'!$L$7:$L$3006,B1919,'CARNET DE SOUDURE'!$M$7:$M$3006,"&lt;&gt;"&amp;C1919,'CARNET DE SOUDURE'!$M$7:$M$3006,"&lt;&gt;")+COUNTIFS('CARNET DE SOUDURE'!$O$7:$O$3006,B1919,'CARNET DE SOUDURE'!$P$7:$P$3006,"&lt;&gt;"&amp;C1919,'CARNET DE SOUDURE'!$P$7:$P$3006,"&lt;&gt;")&gt;0,"⚠ DIFFÉRENTE","OK"))</f>
        <v/>
      </c>
      <c r="F1919" s="147"/>
      <c r="G1919" s="80"/>
      <c r="H1919" s="83"/>
      <c r="I1919" s="148" t="str">
        <f aca="false">IF(B1919="","",IFERROR(INDEX('CARNET DE SOUDURE'!$B$7:$B$3006,MATCH(B1919,'CARNET DE SOUDURE'!$L$7:$L$3006,0)),IFERROR(INDEX('CARNET DE SOUDURE'!$B$7:$B$3006,MATCH(B1919,'CARNET DE SOUDURE'!$O$7:$O$3006,0)),"")))</f>
        <v/>
      </c>
      <c r="J1919" s="82" t="str">
        <f aca="false">IF(B1919="","",IFERROR(INDEX('CARNET DE SOUDURE'!$E$7:$E$3006,MATCH(B1919,'CARNET DE SOUDURE'!$O$7:$O$3006,0)),""))</f>
        <v/>
      </c>
      <c r="K1919" s="82" t="str">
        <f aca="false">IF(B1919="","",IFERROR(INDEX('CARNET DE SOUDURE'!$E$7:$E$3006,MATCH(B1919,'CARNET DE SOUDURE'!$L$7:$L$3006,0)),""))</f>
        <v/>
      </c>
      <c r="L1919" s="82" t="str">
        <f aca="false">IF(B1919="","",IFERROR(INDEX('CARNET DE SOUDURE'!$D$7:$D$3006,MATCH(B1919,'CARNET DE SOUDURE'!$L$7:$L$3006,0)),IFERROR(INDEX('CARNET DE SOUDURE'!$D$7:$D$3006,MATCH(B1919,'CARNET DE SOUDURE'!$O$7:$O$3006,0)),"")))</f>
        <v/>
      </c>
      <c r="M1919" s="82" t="str">
        <f aca="false">IF(B1919="","",IF(OR(J1919&lt;&gt;"",K1919&lt;&gt;""),"POSÉ EN LIGNE",IF(COUNTIF(BARDAGE!$C$1:$C$5000,B1919)&gt;0,"BARDÉ","EN STOCK")))</f>
        <v/>
      </c>
      <c r="N1919" s="80"/>
    </row>
    <row r="1920" customFormat="false" ht="15" hidden="false" customHeight="false" outlineLevel="0" collapsed="false">
      <c r="A1920" s="82" t="str">
        <f aca="false">IF(B1920="","",ROW()-6)</f>
        <v/>
      </c>
      <c r="B1920" s="145"/>
      <c r="C1920" s="146"/>
      <c r="D1920" s="146"/>
      <c r="E1920" s="82" t="str">
        <f aca="false">IF(B1920="","",IF(COUNTIFS('CARNET DE SOUDURE'!$L$7:$L$3006,B1920,'CARNET DE SOUDURE'!$M$7:$M$3006,"&lt;&gt;"&amp;C1920,'CARNET DE SOUDURE'!$M$7:$M$3006,"&lt;&gt;")+COUNTIFS('CARNET DE SOUDURE'!$O$7:$O$3006,B1920,'CARNET DE SOUDURE'!$P$7:$P$3006,"&lt;&gt;"&amp;C1920,'CARNET DE SOUDURE'!$P$7:$P$3006,"&lt;&gt;")&gt;0,"⚠ DIFFÉRENTE","OK"))</f>
        <v/>
      </c>
      <c r="F1920" s="147"/>
      <c r="G1920" s="80"/>
      <c r="H1920" s="83"/>
      <c r="I1920" s="148" t="str">
        <f aca="false">IF(B1920="","",IFERROR(INDEX('CARNET DE SOUDURE'!$B$7:$B$3006,MATCH(B1920,'CARNET DE SOUDURE'!$L$7:$L$3006,0)),IFERROR(INDEX('CARNET DE SOUDURE'!$B$7:$B$3006,MATCH(B1920,'CARNET DE SOUDURE'!$O$7:$O$3006,0)),"")))</f>
        <v/>
      </c>
      <c r="J1920" s="82" t="str">
        <f aca="false">IF(B1920="","",IFERROR(INDEX('CARNET DE SOUDURE'!$E$7:$E$3006,MATCH(B1920,'CARNET DE SOUDURE'!$O$7:$O$3006,0)),""))</f>
        <v/>
      </c>
      <c r="K1920" s="82" t="str">
        <f aca="false">IF(B1920="","",IFERROR(INDEX('CARNET DE SOUDURE'!$E$7:$E$3006,MATCH(B1920,'CARNET DE SOUDURE'!$L$7:$L$3006,0)),""))</f>
        <v/>
      </c>
      <c r="L1920" s="82" t="str">
        <f aca="false">IF(B1920="","",IFERROR(INDEX('CARNET DE SOUDURE'!$D$7:$D$3006,MATCH(B1920,'CARNET DE SOUDURE'!$L$7:$L$3006,0)),IFERROR(INDEX('CARNET DE SOUDURE'!$D$7:$D$3006,MATCH(B1920,'CARNET DE SOUDURE'!$O$7:$O$3006,0)),"")))</f>
        <v/>
      </c>
      <c r="M1920" s="82" t="str">
        <f aca="false">IF(B1920="","",IF(OR(J1920&lt;&gt;"",K1920&lt;&gt;""),"POSÉ EN LIGNE",IF(COUNTIF(BARDAGE!$C$1:$C$5000,B1920)&gt;0,"BARDÉ","EN STOCK")))</f>
        <v/>
      </c>
      <c r="N1920" s="80"/>
    </row>
    <row r="1921" customFormat="false" ht="15" hidden="false" customHeight="false" outlineLevel="0" collapsed="false">
      <c r="A1921" s="82" t="str">
        <f aca="false">IF(B1921="","",ROW()-6)</f>
        <v/>
      </c>
      <c r="B1921" s="145"/>
      <c r="C1921" s="146"/>
      <c r="D1921" s="146"/>
      <c r="E1921" s="82" t="str">
        <f aca="false">IF(B1921="","",IF(COUNTIFS('CARNET DE SOUDURE'!$L$7:$L$3006,B1921,'CARNET DE SOUDURE'!$M$7:$M$3006,"&lt;&gt;"&amp;C1921,'CARNET DE SOUDURE'!$M$7:$M$3006,"&lt;&gt;")+COUNTIFS('CARNET DE SOUDURE'!$O$7:$O$3006,B1921,'CARNET DE SOUDURE'!$P$7:$P$3006,"&lt;&gt;"&amp;C1921,'CARNET DE SOUDURE'!$P$7:$P$3006,"&lt;&gt;")&gt;0,"⚠ DIFFÉRENTE","OK"))</f>
        <v/>
      </c>
      <c r="F1921" s="147"/>
      <c r="G1921" s="80"/>
      <c r="H1921" s="83"/>
      <c r="I1921" s="148" t="str">
        <f aca="false">IF(B1921="","",IFERROR(INDEX('CARNET DE SOUDURE'!$B$7:$B$3006,MATCH(B1921,'CARNET DE SOUDURE'!$L$7:$L$3006,0)),IFERROR(INDEX('CARNET DE SOUDURE'!$B$7:$B$3006,MATCH(B1921,'CARNET DE SOUDURE'!$O$7:$O$3006,0)),"")))</f>
        <v/>
      </c>
      <c r="J1921" s="82" t="str">
        <f aca="false">IF(B1921="","",IFERROR(INDEX('CARNET DE SOUDURE'!$E$7:$E$3006,MATCH(B1921,'CARNET DE SOUDURE'!$O$7:$O$3006,0)),""))</f>
        <v/>
      </c>
      <c r="K1921" s="82" t="str">
        <f aca="false">IF(B1921="","",IFERROR(INDEX('CARNET DE SOUDURE'!$E$7:$E$3006,MATCH(B1921,'CARNET DE SOUDURE'!$L$7:$L$3006,0)),""))</f>
        <v/>
      </c>
      <c r="L1921" s="82" t="str">
        <f aca="false">IF(B1921="","",IFERROR(INDEX('CARNET DE SOUDURE'!$D$7:$D$3006,MATCH(B1921,'CARNET DE SOUDURE'!$L$7:$L$3006,0)),IFERROR(INDEX('CARNET DE SOUDURE'!$D$7:$D$3006,MATCH(B1921,'CARNET DE SOUDURE'!$O$7:$O$3006,0)),"")))</f>
        <v/>
      </c>
      <c r="M1921" s="82" t="str">
        <f aca="false">IF(B1921="","",IF(OR(J1921&lt;&gt;"",K1921&lt;&gt;""),"POSÉ EN LIGNE",IF(COUNTIF(BARDAGE!$C$1:$C$5000,B1921)&gt;0,"BARDÉ","EN STOCK")))</f>
        <v/>
      </c>
      <c r="N1921" s="80"/>
    </row>
    <row r="1922" customFormat="false" ht="15" hidden="false" customHeight="false" outlineLevel="0" collapsed="false">
      <c r="A1922" s="82" t="str">
        <f aca="false">IF(B1922="","",ROW()-6)</f>
        <v/>
      </c>
      <c r="B1922" s="145"/>
      <c r="C1922" s="146"/>
      <c r="D1922" s="146"/>
      <c r="E1922" s="82" t="str">
        <f aca="false">IF(B1922="","",IF(COUNTIFS('CARNET DE SOUDURE'!$L$7:$L$3006,B1922,'CARNET DE SOUDURE'!$M$7:$M$3006,"&lt;&gt;"&amp;C1922,'CARNET DE SOUDURE'!$M$7:$M$3006,"&lt;&gt;")+COUNTIFS('CARNET DE SOUDURE'!$O$7:$O$3006,B1922,'CARNET DE SOUDURE'!$P$7:$P$3006,"&lt;&gt;"&amp;C1922,'CARNET DE SOUDURE'!$P$7:$P$3006,"&lt;&gt;")&gt;0,"⚠ DIFFÉRENTE","OK"))</f>
        <v/>
      </c>
      <c r="F1922" s="147"/>
      <c r="G1922" s="80"/>
      <c r="H1922" s="83"/>
      <c r="I1922" s="148" t="str">
        <f aca="false">IF(B1922="","",IFERROR(INDEX('CARNET DE SOUDURE'!$B$7:$B$3006,MATCH(B1922,'CARNET DE SOUDURE'!$L$7:$L$3006,0)),IFERROR(INDEX('CARNET DE SOUDURE'!$B$7:$B$3006,MATCH(B1922,'CARNET DE SOUDURE'!$O$7:$O$3006,0)),"")))</f>
        <v/>
      </c>
      <c r="J1922" s="82" t="str">
        <f aca="false">IF(B1922="","",IFERROR(INDEX('CARNET DE SOUDURE'!$E$7:$E$3006,MATCH(B1922,'CARNET DE SOUDURE'!$O$7:$O$3006,0)),""))</f>
        <v/>
      </c>
      <c r="K1922" s="82" t="str">
        <f aca="false">IF(B1922="","",IFERROR(INDEX('CARNET DE SOUDURE'!$E$7:$E$3006,MATCH(B1922,'CARNET DE SOUDURE'!$L$7:$L$3006,0)),""))</f>
        <v/>
      </c>
      <c r="L1922" s="82" t="str">
        <f aca="false">IF(B1922="","",IFERROR(INDEX('CARNET DE SOUDURE'!$D$7:$D$3006,MATCH(B1922,'CARNET DE SOUDURE'!$L$7:$L$3006,0)),IFERROR(INDEX('CARNET DE SOUDURE'!$D$7:$D$3006,MATCH(B1922,'CARNET DE SOUDURE'!$O$7:$O$3006,0)),"")))</f>
        <v/>
      </c>
      <c r="M1922" s="82" t="str">
        <f aca="false">IF(B1922="","",IF(OR(J1922&lt;&gt;"",K1922&lt;&gt;""),"POSÉ EN LIGNE",IF(COUNTIF(BARDAGE!$C$1:$C$5000,B1922)&gt;0,"BARDÉ","EN STOCK")))</f>
        <v/>
      </c>
      <c r="N1922" s="80"/>
    </row>
    <row r="1923" customFormat="false" ht="15" hidden="false" customHeight="false" outlineLevel="0" collapsed="false">
      <c r="A1923" s="82" t="str">
        <f aca="false">IF(B1923="","",ROW()-6)</f>
        <v/>
      </c>
      <c r="B1923" s="145"/>
      <c r="C1923" s="146"/>
      <c r="D1923" s="146"/>
      <c r="E1923" s="82" t="str">
        <f aca="false">IF(B1923="","",IF(COUNTIFS('CARNET DE SOUDURE'!$L$7:$L$3006,B1923,'CARNET DE SOUDURE'!$M$7:$M$3006,"&lt;&gt;"&amp;C1923,'CARNET DE SOUDURE'!$M$7:$M$3006,"&lt;&gt;")+COUNTIFS('CARNET DE SOUDURE'!$O$7:$O$3006,B1923,'CARNET DE SOUDURE'!$P$7:$P$3006,"&lt;&gt;"&amp;C1923,'CARNET DE SOUDURE'!$P$7:$P$3006,"&lt;&gt;")&gt;0,"⚠ DIFFÉRENTE","OK"))</f>
        <v/>
      </c>
      <c r="F1923" s="147"/>
      <c r="G1923" s="80"/>
      <c r="H1923" s="83"/>
      <c r="I1923" s="148" t="str">
        <f aca="false">IF(B1923="","",IFERROR(INDEX('CARNET DE SOUDURE'!$B$7:$B$3006,MATCH(B1923,'CARNET DE SOUDURE'!$L$7:$L$3006,0)),IFERROR(INDEX('CARNET DE SOUDURE'!$B$7:$B$3006,MATCH(B1923,'CARNET DE SOUDURE'!$O$7:$O$3006,0)),"")))</f>
        <v/>
      </c>
      <c r="J1923" s="82" t="str">
        <f aca="false">IF(B1923="","",IFERROR(INDEX('CARNET DE SOUDURE'!$E$7:$E$3006,MATCH(B1923,'CARNET DE SOUDURE'!$O$7:$O$3006,0)),""))</f>
        <v/>
      </c>
      <c r="K1923" s="82" t="str">
        <f aca="false">IF(B1923="","",IFERROR(INDEX('CARNET DE SOUDURE'!$E$7:$E$3006,MATCH(B1923,'CARNET DE SOUDURE'!$L$7:$L$3006,0)),""))</f>
        <v/>
      </c>
      <c r="L1923" s="82" t="str">
        <f aca="false">IF(B1923="","",IFERROR(INDEX('CARNET DE SOUDURE'!$D$7:$D$3006,MATCH(B1923,'CARNET DE SOUDURE'!$L$7:$L$3006,0)),IFERROR(INDEX('CARNET DE SOUDURE'!$D$7:$D$3006,MATCH(B1923,'CARNET DE SOUDURE'!$O$7:$O$3006,0)),"")))</f>
        <v/>
      </c>
      <c r="M1923" s="82" t="str">
        <f aca="false">IF(B1923="","",IF(OR(J1923&lt;&gt;"",K1923&lt;&gt;""),"POSÉ EN LIGNE",IF(COUNTIF(BARDAGE!$C$1:$C$5000,B1923)&gt;0,"BARDÉ","EN STOCK")))</f>
        <v/>
      </c>
      <c r="N1923" s="80"/>
    </row>
    <row r="1924" customFormat="false" ht="15" hidden="false" customHeight="false" outlineLevel="0" collapsed="false">
      <c r="A1924" s="82" t="str">
        <f aca="false">IF(B1924="","",ROW()-6)</f>
        <v/>
      </c>
      <c r="B1924" s="145"/>
      <c r="C1924" s="146"/>
      <c r="D1924" s="146"/>
      <c r="E1924" s="82" t="str">
        <f aca="false">IF(B1924="","",IF(COUNTIFS('CARNET DE SOUDURE'!$L$7:$L$3006,B1924,'CARNET DE SOUDURE'!$M$7:$M$3006,"&lt;&gt;"&amp;C1924,'CARNET DE SOUDURE'!$M$7:$M$3006,"&lt;&gt;")+COUNTIFS('CARNET DE SOUDURE'!$O$7:$O$3006,B1924,'CARNET DE SOUDURE'!$P$7:$P$3006,"&lt;&gt;"&amp;C1924,'CARNET DE SOUDURE'!$P$7:$P$3006,"&lt;&gt;")&gt;0,"⚠ DIFFÉRENTE","OK"))</f>
        <v/>
      </c>
      <c r="F1924" s="147"/>
      <c r="G1924" s="80"/>
      <c r="H1924" s="83"/>
      <c r="I1924" s="148" t="str">
        <f aca="false">IF(B1924="","",IFERROR(INDEX('CARNET DE SOUDURE'!$B$7:$B$3006,MATCH(B1924,'CARNET DE SOUDURE'!$L$7:$L$3006,0)),IFERROR(INDEX('CARNET DE SOUDURE'!$B$7:$B$3006,MATCH(B1924,'CARNET DE SOUDURE'!$O$7:$O$3006,0)),"")))</f>
        <v/>
      </c>
      <c r="J1924" s="82" t="str">
        <f aca="false">IF(B1924="","",IFERROR(INDEX('CARNET DE SOUDURE'!$E$7:$E$3006,MATCH(B1924,'CARNET DE SOUDURE'!$O$7:$O$3006,0)),""))</f>
        <v/>
      </c>
      <c r="K1924" s="82" t="str">
        <f aca="false">IF(B1924="","",IFERROR(INDEX('CARNET DE SOUDURE'!$E$7:$E$3006,MATCH(B1924,'CARNET DE SOUDURE'!$L$7:$L$3006,0)),""))</f>
        <v/>
      </c>
      <c r="L1924" s="82" t="str">
        <f aca="false">IF(B1924="","",IFERROR(INDEX('CARNET DE SOUDURE'!$D$7:$D$3006,MATCH(B1924,'CARNET DE SOUDURE'!$L$7:$L$3006,0)),IFERROR(INDEX('CARNET DE SOUDURE'!$D$7:$D$3006,MATCH(B1924,'CARNET DE SOUDURE'!$O$7:$O$3006,0)),"")))</f>
        <v/>
      </c>
      <c r="M1924" s="82" t="str">
        <f aca="false">IF(B1924="","",IF(OR(J1924&lt;&gt;"",K1924&lt;&gt;""),"POSÉ EN LIGNE",IF(COUNTIF(BARDAGE!$C$1:$C$5000,B1924)&gt;0,"BARDÉ","EN STOCK")))</f>
        <v/>
      </c>
      <c r="N1924" s="80"/>
    </row>
    <row r="1925" customFormat="false" ht="15" hidden="false" customHeight="false" outlineLevel="0" collapsed="false">
      <c r="A1925" s="82" t="str">
        <f aca="false">IF(B1925="","",ROW()-6)</f>
        <v/>
      </c>
      <c r="B1925" s="145"/>
      <c r="C1925" s="146"/>
      <c r="D1925" s="146"/>
      <c r="E1925" s="82" t="str">
        <f aca="false">IF(B1925="","",IF(COUNTIFS('CARNET DE SOUDURE'!$L$7:$L$3006,B1925,'CARNET DE SOUDURE'!$M$7:$M$3006,"&lt;&gt;"&amp;C1925,'CARNET DE SOUDURE'!$M$7:$M$3006,"&lt;&gt;")+COUNTIFS('CARNET DE SOUDURE'!$O$7:$O$3006,B1925,'CARNET DE SOUDURE'!$P$7:$P$3006,"&lt;&gt;"&amp;C1925,'CARNET DE SOUDURE'!$P$7:$P$3006,"&lt;&gt;")&gt;0,"⚠ DIFFÉRENTE","OK"))</f>
        <v/>
      </c>
      <c r="F1925" s="147"/>
      <c r="G1925" s="80"/>
      <c r="H1925" s="83"/>
      <c r="I1925" s="148" t="str">
        <f aca="false">IF(B1925="","",IFERROR(INDEX('CARNET DE SOUDURE'!$B$7:$B$3006,MATCH(B1925,'CARNET DE SOUDURE'!$L$7:$L$3006,0)),IFERROR(INDEX('CARNET DE SOUDURE'!$B$7:$B$3006,MATCH(B1925,'CARNET DE SOUDURE'!$O$7:$O$3006,0)),"")))</f>
        <v/>
      </c>
      <c r="J1925" s="82" t="str">
        <f aca="false">IF(B1925="","",IFERROR(INDEX('CARNET DE SOUDURE'!$E$7:$E$3006,MATCH(B1925,'CARNET DE SOUDURE'!$O$7:$O$3006,0)),""))</f>
        <v/>
      </c>
      <c r="K1925" s="82" t="str">
        <f aca="false">IF(B1925="","",IFERROR(INDEX('CARNET DE SOUDURE'!$E$7:$E$3006,MATCH(B1925,'CARNET DE SOUDURE'!$L$7:$L$3006,0)),""))</f>
        <v/>
      </c>
      <c r="L1925" s="82" t="str">
        <f aca="false">IF(B1925="","",IFERROR(INDEX('CARNET DE SOUDURE'!$D$7:$D$3006,MATCH(B1925,'CARNET DE SOUDURE'!$L$7:$L$3006,0)),IFERROR(INDEX('CARNET DE SOUDURE'!$D$7:$D$3006,MATCH(B1925,'CARNET DE SOUDURE'!$O$7:$O$3006,0)),"")))</f>
        <v/>
      </c>
      <c r="M1925" s="82" t="str">
        <f aca="false">IF(B1925="","",IF(OR(J1925&lt;&gt;"",K1925&lt;&gt;""),"POSÉ EN LIGNE",IF(COUNTIF(BARDAGE!$C$1:$C$5000,B1925)&gt;0,"BARDÉ","EN STOCK")))</f>
        <v/>
      </c>
      <c r="N1925" s="80"/>
    </row>
    <row r="1926" customFormat="false" ht="15" hidden="false" customHeight="false" outlineLevel="0" collapsed="false">
      <c r="A1926" s="82" t="str">
        <f aca="false">IF(B1926="","",ROW()-6)</f>
        <v/>
      </c>
      <c r="B1926" s="145"/>
      <c r="C1926" s="146"/>
      <c r="D1926" s="146"/>
      <c r="E1926" s="82" t="str">
        <f aca="false">IF(B1926="","",IF(COUNTIFS('CARNET DE SOUDURE'!$L$7:$L$3006,B1926,'CARNET DE SOUDURE'!$M$7:$M$3006,"&lt;&gt;"&amp;C1926,'CARNET DE SOUDURE'!$M$7:$M$3006,"&lt;&gt;")+COUNTIFS('CARNET DE SOUDURE'!$O$7:$O$3006,B1926,'CARNET DE SOUDURE'!$P$7:$P$3006,"&lt;&gt;"&amp;C1926,'CARNET DE SOUDURE'!$P$7:$P$3006,"&lt;&gt;")&gt;0,"⚠ DIFFÉRENTE","OK"))</f>
        <v/>
      </c>
      <c r="F1926" s="147"/>
      <c r="G1926" s="80"/>
      <c r="H1926" s="83"/>
      <c r="I1926" s="148" t="str">
        <f aca="false">IF(B1926="","",IFERROR(INDEX('CARNET DE SOUDURE'!$B$7:$B$3006,MATCH(B1926,'CARNET DE SOUDURE'!$L$7:$L$3006,0)),IFERROR(INDEX('CARNET DE SOUDURE'!$B$7:$B$3006,MATCH(B1926,'CARNET DE SOUDURE'!$O$7:$O$3006,0)),"")))</f>
        <v/>
      </c>
      <c r="J1926" s="82" t="str">
        <f aca="false">IF(B1926="","",IFERROR(INDEX('CARNET DE SOUDURE'!$E$7:$E$3006,MATCH(B1926,'CARNET DE SOUDURE'!$O$7:$O$3006,0)),""))</f>
        <v/>
      </c>
      <c r="K1926" s="82" t="str">
        <f aca="false">IF(B1926="","",IFERROR(INDEX('CARNET DE SOUDURE'!$E$7:$E$3006,MATCH(B1926,'CARNET DE SOUDURE'!$L$7:$L$3006,0)),""))</f>
        <v/>
      </c>
      <c r="L1926" s="82" t="str">
        <f aca="false">IF(B1926="","",IFERROR(INDEX('CARNET DE SOUDURE'!$D$7:$D$3006,MATCH(B1926,'CARNET DE SOUDURE'!$L$7:$L$3006,0)),IFERROR(INDEX('CARNET DE SOUDURE'!$D$7:$D$3006,MATCH(B1926,'CARNET DE SOUDURE'!$O$7:$O$3006,0)),"")))</f>
        <v/>
      </c>
      <c r="M1926" s="82" t="str">
        <f aca="false">IF(B1926="","",IF(OR(J1926&lt;&gt;"",K1926&lt;&gt;""),"POSÉ EN LIGNE",IF(COUNTIF(BARDAGE!$C$1:$C$5000,B1926)&gt;0,"BARDÉ","EN STOCK")))</f>
        <v/>
      </c>
      <c r="N1926" s="80"/>
    </row>
    <row r="1927" customFormat="false" ht="15" hidden="false" customHeight="false" outlineLevel="0" collapsed="false">
      <c r="A1927" s="82" t="str">
        <f aca="false">IF(B1927="","",ROW()-6)</f>
        <v/>
      </c>
      <c r="B1927" s="145"/>
      <c r="C1927" s="146"/>
      <c r="D1927" s="146"/>
      <c r="E1927" s="82" t="str">
        <f aca="false">IF(B1927="","",IF(COUNTIFS('CARNET DE SOUDURE'!$L$7:$L$3006,B1927,'CARNET DE SOUDURE'!$M$7:$M$3006,"&lt;&gt;"&amp;C1927,'CARNET DE SOUDURE'!$M$7:$M$3006,"&lt;&gt;")+COUNTIFS('CARNET DE SOUDURE'!$O$7:$O$3006,B1927,'CARNET DE SOUDURE'!$P$7:$P$3006,"&lt;&gt;"&amp;C1927,'CARNET DE SOUDURE'!$P$7:$P$3006,"&lt;&gt;")&gt;0,"⚠ DIFFÉRENTE","OK"))</f>
        <v/>
      </c>
      <c r="F1927" s="147"/>
      <c r="G1927" s="80"/>
      <c r="H1927" s="83"/>
      <c r="I1927" s="148" t="str">
        <f aca="false">IF(B1927="","",IFERROR(INDEX('CARNET DE SOUDURE'!$B$7:$B$3006,MATCH(B1927,'CARNET DE SOUDURE'!$L$7:$L$3006,0)),IFERROR(INDEX('CARNET DE SOUDURE'!$B$7:$B$3006,MATCH(B1927,'CARNET DE SOUDURE'!$O$7:$O$3006,0)),"")))</f>
        <v/>
      </c>
      <c r="J1927" s="82" t="str">
        <f aca="false">IF(B1927="","",IFERROR(INDEX('CARNET DE SOUDURE'!$E$7:$E$3006,MATCH(B1927,'CARNET DE SOUDURE'!$O$7:$O$3006,0)),""))</f>
        <v/>
      </c>
      <c r="K1927" s="82" t="str">
        <f aca="false">IF(B1927="","",IFERROR(INDEX('CARNET DE SOUDURE'!$E$7:$E$3006,MATCH(B1927,'CARNET DE SOUDURE'!$L$7:$L$3006,0)),""))</f>
        <v/>
      </c>
      <c r="L1927" s="82" t="str">
        <f aca="false">IF(B1927="","",IFERROR(INDEX('CARNET DE SOUDURE'!$D$7:$D$3006,MATCH(B1927,'CARNET DE SOUDURE'!$L$7:$L$3006,0)),IFERROR(INDEX('CARNET DE SOUDURE'!$D$7:$D$3006,MATCH(B1927,'CARNET DE SOUDURE'!$O$7:$O$3006,0)),"")))</f>
        <v/>
      </c>
      <c r="M1927" s="82" t="str">
        <f aca="false">IF(B1927="","",IF(OR(J1927&lt;&gt;"",K1927&lt;&gt;""),"POSÉ EN LIGNE",IF(COUNTIF(BARDAGE!$C$1:$C$5000,B1927)&gt;0,"BARDÉ","EN STOCK")))</f>
        <v/>
      </c>
      <c r="N1927" s="80"/>
    </row>
    <row r="1928" customFormat="false" ht="15" hidden="false" customHeight="false" outlineLevel="0" collapsed="false">
      <c r="A1928" s="82" t="str">
        <f aca="false">IF(B1928="","",ROW()-6)</f>
        <v/>
      </c>
      <c r="B1928" s="145"/>
      <c r="C1928" s="146"/>
      <c r="D1928" s="146"/>
      <c r="E1928" s="82" t="str">
        <f aca="false">IF(B1928="","",IF(COUNTIFS('CARNET DE SOUDURE'!$L$7:$L$3006,B1928,'CARNET DE SOUDURE'!$M$7:$M$3006,"&lt;&gt;"&amp;C1928,'CARNET DE SOUDURE'!$M$7:$M$3006,"&lt;&gt;")+COUNTIFS('CARNET DE SOUDURE'!$O$7:$O$3006,B1928,'CARNET DE SOUDURE'!$P$7:$P$3006,"&lt;&gt;"&amp;C1928,'CARNET DE SOUDURE'!$P$7:$P$3006,"&lt;&gt;")&gt;0,"⚠ DIFFÉRENTE","OK"))</f>
        <v/>
      </c>
      <c r="F1928" s="147"/>
      <c r="G1928" s="80"/>
      <c r="H1928" s="83"/>
      <c r="I1928" s="148" t="str">
        <f aca="false">IF(B1928="","",IFERROR(INDEX('CARNET DE SOUDURE'!$B$7:$B$3006,MATCH(B1928,'CARNET DE SOUDURE'!$L$7:$L$3006,0)),IFERROR(INDEX('CARNET DE SOUDURE'!$B$7:$B$3006,MATCH(B1928,'CARNET DE SOUDURE'!$O$7:$O$3006,0)),"")))</f>
        <v/>
      </c>
      <c r="J1928" s="82" t="str">
        <f aca="false">IF(B1928="","",IFERROR(INDEX('CARNET DE SOUDURE'!$E$7:$E$3006,MATCH(B1928,'CARNET DE SOUDURE'!$O$7:$O$3006,0)),""))</f>
        <v/>
      </c>
      <c r="K1928" s="82" t="str">
        <f aca="false">IF(B1928="","",IFERROR(INDEX('CARNET DE SOUDURE'!$E$7:$E$3006,MATCH(B1928,'CARNET DE SOUDURE'!$L$7:$L$3006,0)),""))</f>
        <v/>
      </c>
      <c r="L1928" s="82" t="str">
        <f aca="false">IF(B1928="","",IFERROR(INDEX('CARNET DE SOUDURE'!$D$7:$D$3006,MATCH(B1928,'CARNET DE SOUDURE'!$L$7:$L$3006,0)),IFERROR(INDEX('CARNET DE SOUDURE'!$D$7:$D$3006,MATCH(B1928,'CARNET DE SOUDURE'!$O$7:$O$3006,0)),"")))</f>
        <v/>
      </c>
      <c r="M1928" s="82" t="str">
        <f aca="false">IF(B1928="","",IF(OR(J1928&lt;&gt;"",K1928&lt;&gt;""),"POSÉ EN LIGNE",IF(COUNTIF(BARDAGE!$C$1:$C$5000,B1928)&gt;0,"BARDÉ","EN STOCK")))</f>
        <v/>
      </c>
      <c r="N1928" s="80"/>
    </row>
    <row r="1929" customFormat="false" ht="15" hidden="false" customHeight="false" outlineLevel="0" collapsed="false">
      <c r="A1929" s="82" t="str">
        <f aca="false">IF(B1929="","",ROW()-6)</f>
        <v/>
      </c>
      <c r="B1929" s="145"/>
      <c r="C1929" s="146"/>
      <c r="D1929" s="146"/>
      <c r="E1929" s="82" t="str">
        <f aca="false">IF(B1929="","",IF(COUNTIFS('CARNET DE SOUDURE'!$L$7:$L$3006,B1929,'CARNET DE SOUDURE'!$M$7:$M$3006,"&lt;&gt;"&amp;C1929,'CARNET DE SOUDURE'!$M$7:$M$3006,"&lt;&gt;")+COUNTIFS('CARNET DE SOUDURE'!$O$7:$O$3006,B1929,'CARNET DE SOUDURE'!$P$7:$P$3006,"&lt;&gt;"&amp;C1929,'CARNET DE SOUDURE'!$P$7:$P$3006,"&lt;&gt;")&gt;0,"⚠ DIFFÉRENTE","OK"))</f>
        <v/>
      </c>
      <c r="F1929" s="147"/>
      <c r="G1929" s="80"/>
      <c r="H1929" s="83"/>
      <c r="I1929" s="148" t="str">
        <f aca="false">IF(B1929="","",IFERROR(INDEX('CARNET DE SOUDURE'!$B$7:$B$3006,MATCH(B1929,'CARNET DE SOUDURE'!$L$7:$L$3006,0)),IFERROR(INDEX('CARNET DE SOUDURE'!$B$7:$B$3006,MATCH(B1929,'CARNET DE SOUDURE'!$O$7:$O$3006,0)),"")))</f>
        <v/>
      </c>
      <c r="J1929" s="82" t="str">
        <f aca="false">IF(B1929="","",IFERROR(INDEX('CARNET DE SOUDURE'!$E$7:$E$3006,MATCH(B1929,'CARNET DE SOUDURE'!$O$7:$O$3006,0)),""))</f>
        <v/>
      </c>
      <c r="K1929" s="82" t="str">
        <f aca="false">IF(B1929="","",IFERROR(INDEX('CARNET DE SOUDURE'!$E$7:$E$3006,MATCH(B1929,'CARNET DE SOUDURE'!$L$7:$L$3006,0)),""))</f>
        <v/>
      </c>
      <c r="L1929" s="82" t="str">
        <f aca="false">IF(B1929="","",IFERROR(INDEX('CARNET DE SOUDURE'!$D$7:$D$3006,MATCH(B1929,'CARNET DE SOUDURE'!$L$7:$L$3006,0)),IFERROR(INDEX('CARNET DE SOUDURE'!$D$7:$D$3006,MATCH(B1929,'CARNET DE SOUDURE'!$O$7:$O$3006,0)),"")))</f>
        <v/>
      </c>
      <c r="M1929" s="82" t="str">
        <f aca="false">IF(B1929="","",IF(OR(J1929&lt;&gt;"",K1929&lt;&gt;""),"POSÉ EN LIGNE",IF(COUNTIF(BARDAGE!$C$1:$C$5000,B1929)&gt;0,"BARDÉ","EN STOCK")))</f>
        <v/>
      </c>
      <c r="N1929" s="80"/>
    </row>
    <row r="1930" customFormat="false" ht="15" hidden="false" customHeight="false" outlineLevel="0" collapsed="false">
      <c r="A1930" s="82" t="str">
        <f aca="false">IF(B1930="","",ROW()-6)</f>
        <v/>
      </c>
      <c r="B1930" s="145"/>
      <c r="C1930" s="146"/>
      <c r="D1930" s="146"/>
      <c r="E1930" s="82" t="str">
        <f aca="false">IF(B1930="","",IF(COUNTIFS('CARNET DE SOUDURE'!$L$7:$L$3006,B1930,'CARNET DE SOUDURE'!$M$7:$M$3006,"&lt;&gt;"&amp;C1930,'CARNET DE SOUDURE'!$M$7:$M$3006,"&lt;&gt;")+COUNTIFS('CARNET DE SOUDURE'!$O$7:$O$3006,B1930,'CARNET DE SOUDURE'!$P$7:$P$3006,"&lt;&gt;"&amp;C1930,'CARNET DE SOUDURE'!$P$7:$P$3006,"&lt;&gt;")&gt;0,"⚠ DIFFÉRENTE","OK"))</f>
        <v/>
      </c>
      <c r="F1930" s="147"/>
      <c r="G1930" s="80"/>
      <c r="H1930" s="83"/>
      <c r="I1930" s="148" t="str">
        <f aca="false">IF(B1930="","",IFERROR(INDEX('CARNET DE SOUDURE'!$B$7:$B$3006,MATCH(B1930,'CARNET DE SOUDURE'!$L$7:$L$3006,0)),IFERROR(INDEX('CARNET DE SOUDURE'!$B$7:$B$3006,MATCH(B1930,'CARNET DE SOUDURE'!$O$7:$O$3006,0)),"")))</f>
        <v/>
      </c>
      <c r="J1930" s="82" t="str">
        <f aca="false">IF(B1930="","",IFERROR(INDEX('CARNET DE SOUDURE'!$E$7:$E$3006,MATCH(B1930,'CARNET DE SOUDURE'!$O$7:$O$3006,0)),""))</f>
        <v/>
      </c>
      <c r="K1930" s="82" t="str">
        <f aca="false">IF(B1930="","",IFERROR(INDEX('CARNET DE SOUDURE'!$E$7:$E$3006,MATCH(B1930,'CARNET DE SOUDURE'!$L$7:$L$3006,0)),""))</f>
        <v/>
      </c>
      <c r="L1930" s="82" t="str">
        <f aca="false">IF(B1930="","",IFERROR(INDEX('CARNET DE SOUDURE'!$D$7:$D$3006,MATCH(B1930,'CARNET DE SOUDURE'!$L$7:$L$3006,0)),IFERROR(INDEX('CARNET DE SOUDURE'!$D$7:$D$3006,MATCH(B1930,'CARNET DE SOUDURE'!$O$7:$O$3006,0)),"")))</f>
        <v/>
      </c>
      <c r="M1930" s="82" t="str">
        <f aca="false">IF(B1930="","",IF(OR(J1930&lt;&gt;"",K1930&lt;&gt;""),"POSÉ EN LIGNE",IF(COUNTIF(BARDAGE!$C$1:$C$5000,B1930)&gt;0,"BARDÉ","EN STOCK")))</f>
        <v/>
      </c>
      <c r="N1930" s="80"/>
    </row>
    <row r="1931" customFormat="false" ht="15" hidden="false" customHeight="false" outlineLevel="0" collapsed="false">
      <c r="A1931" s="82" t="str">
        <f aca="false">IF(B1931="","",ROW()-6)</f>
        <v/>
      </c>
      <c r="B1931" s="145"/>
      <c r="C1931" s="146"/>
      <c r="D1931" s="146"/>
      <c r="E1931" s="82" t="str">
        <f aca="false">IF(B1931="","",IF(COUNTIFS('CARNET DE SOUDURE'!$L$7:$L$3006,B1931,'CARNET DE SOUDURE'!$M$7:$M$3006,"&lt;&gt;"&amp;C1931,'CARNET DE SOUDURE'!$M$7:$M$3006,"&lt;&gt;")+COUNTIFS('CARNET DE SOUDURE'!$O$7:$O$3006,B1931,'CARNET DE SOUDURE'!$P$7:$P$3006,"&lt;&gt;"&amp;C1931,'CARNET DE SOUDURE'!$P$7:$P$3006,"&lt;&gt;")&gt;0,"⚠ DIFFÉRENTE","OK"))</f>
        <v/>
      </c>
      <c r="F1931" s="147"/>
      <c r="G1931" s="80"/>
      <c r="H1931" s="83"/>
      <c r="I1931" s="148" t="str">
        <f aca="false">IF(B1931="","",IFERROR(INDEX('CARNET DE SOUDURE'!$B$7:$B$3006,MATCH(B1931,'CARNET DE SOUDURE'!$L$7:$L$3006,0)),IFERROR(INDEX('CARNET DE SOUDURE'!$B$7:$B$3006,MATCH(B1931,'CARNET DE SOUDURE'!$O$7:$O$3006,0)),"")))</f>
        <v/>
      </c>
      <c r="J1931" s="82" t="str">
        <f aca="false">IF(B1931="","",IFERROR(INDEX('CARNET DE SOUDURE'!$E$7:$E$3006,MATCH(B1931,'CARNET DE SOUDURE'!$O$7:$O$3006,0)),""))</f>
        <v/>
      </c>
      <c r="K1931" s="82" t="str">
        <f aca="false">IF(B1931="","",IFERROR(INDEX('CARNET DE SOUDURE'!$E$7:$E$3006,MATCH(B1931,'CARNET DE SOUDURE'!$L$7:$L$3006,0)),""))</f>
        <v/>
      </c>
      <c r="L1931" s="82" t="str">
        <f aca="false">IF(B1931="","",IFERROR(INDEX('CARNET DE SOUDURE'!$D$7:$D$3006,MATCH(B1931,'CARNET DE SOUDURE'!$L$7:$L$3006,0)),IFERROR(INDEX('CARNET DE SOUDURE'!$D$7:$D$3006,MATCH(B1931,'CARNET DE SOUDURE'!$O$7:$O$3006,0)),"")))</f>
        <v/>
      </c>
      <c r="M1931" s="82" t="str">
        <f aca="false">IF(B1931="","",IF(OR(J1931&lt;&gt;"",K1931&lt;&gt;""),"POSÉ EN LIGNE",IF(COUNTIF(BARDAGE!$C$1:$C$5000,B1931)&gt;0,"BARDÉ","EN STOCK")))</f>
        <v/>
      </c>
      <c r="N1931" s="80"/>
    </row>
    <row r="1932" customFormat="false" ht="15" hidden="false" customHeight="false" outlineLevel="0" collapsed="false">
      <c r="A1932" s="82" t="str">
        <f aca="false">IF(B1932="","",ROW()-6)</f>
        <v/>
      </c>
      <c r="B1932" s="145"/>
      <c r="C1932" s="146"/>
      <c r="D1932" s="146"/>
      <c r="E1932" s="82" t="str">
        <f aca="false">IF(B1932="","",IF(COUNTIFS('CARNET DE SOUDURE'!$L$7:$L$3006,B1932,'CARNET DE SOUDURE'!$M$7:$M$3006,"&lt;&gt;"&amp;C1932,'CARNET DE SOUDURE'!$M$7:$M$3006,"&lt;&gt;")+COUNTIFS('CARNET DE SOUDURE'!$O$7:$O$3006,B1932,'CARNET DE SOUDURE'!$P$7:$P$3006,"&lt;&gt;"&amp;C1932,'CARNET DE SOUDURE'!$P$7:$P$3006,"&lt;&gt;")&gt;0,"⚠ DIFFÉRENTE","OK"))</f>
        <v/>
      </c>
      <c r="F1932" s="147"/>
      <c r="G1932" s="80"/>
      <c r="H1932" s="83"/>
      <c r="I1932" s="148" t="str">
        <f aca="false">IF(B1932="","",IFERROR(INDEX('CARNET DE SOUDURE'!$B$7:$B$3006,MATCH(B1932,'CARNET DE SOUDURE'!$L$7:$L$3006,0)),IFERROR(INDEX('CARNET DE SOUDURE'!$B$7:$B$3006,MATCH(B1932,'CARNET DE SOUDURE'!$O$7:$O$3006,0)),"")))</f>
        <v/>
      </c>
      <c r="J1932" s="82" t="str">
        <f aca="false">IF(B1932="","",IFERROR(INDEX('CARNET DE SOUDURE'!$E$7:$E$3006,MATCH(B1932,'CARNET DE SOUDURE'!$O$7:$O$3006,0)),""))</f>
        <v/>
      </c>
      <c r="K1932" s="82" t="str">
        <f aca="false">IF(B1932="","",IFERROR(INDEX('CARNET DE SOUDURE'!$E$7:$E$3006,MATCH(B1932,'CARNET DE SOUDURE'!$L$7:$L$3006,0)),""))</f>
        <v/>
      </c>
      <c r="L1932" s="82" t="str">
        <f aca="false">IF(B1932="","",IFERROR(INDEX('CARNET DE SOUDURE'!$D$7:$D$3006,MATCH(B1932,'CARNET DE SOUDURE'!$L$7:$L$3006,0)),IFERROR(INDEX('CARNET DE SOUDURE'!$D$7:$D$3006,MATCH(B1932,'CARNET DE SOUDURE'!$O$7:$O$3006,0)),"")))</f>
        <v/>
      </c>
      <c r="M1932" s="82" t="str">
        <f aca="false">IF(B1932="","",IF(OR(J1932&lt;&gt;"",K1932&lt;&gt;""),"POSÉ EN LIGNE",IF(COUNTIF(BARDAGE!$C$1:$C$5000,B1932)&gt;0,"BARDÉ","EN STOCK")))</f>
        <v/>
      </c>
      <c r="N1932" s="80"/>
    </row>
    <row r="1933" customFormat="false" ht="15" hidden="false" customHeight="false" outlineLevel="0" collapsed="false">
      <c r="A1933" s="82" t="str">
        <f aca="false">IF(B1933="","",ROW()-6)</f>
        <v/>
      </c>
      <c r="B1933" s="145"/>
      <c r="C1933" s="146"/>
      <c r="D1933" s="146"/>
      <c r="E1933" s="82" t="str">
        <f aca="false">IF(B1933="","",IF(COUNTIFS('CARNET DE SOUDURE'!$L$7:$L$3006,B1933,'CARNET DE SOUDURE'!$M$7:$M$3006,"&lt;&gt;"&amp;C1933,'CARNET DE SOUDURE'!$M$7:$M$3006,"&lt;&gt;")+COUNTIFS('CARNET DE SOUDURE'!$O$7:$O$3006,B1933,'CARNET DE SOUDURE'!$P$7:$P$3006,"&lt;&gt;"&amp;C1933,'CARNET DE SOUDURE'!$P$7:$P$3006,"&lt;&gt;")&gt;0,"⚠ DIFFÉRENTE","OK"))</f>
        <v/>
      </c>
      <c r="F1933" s="147"/>
      <c r="G1933" s="80"/>
      <c r="H1933" s="83"/>
      <c r="I1933" s="148" t="str">
        <f aca="false">IF(B1933="","",IFERROR(INDEX('CARNET DE SOUDURE'!$B$7:$B$3006,MATCH(B1933,'CARNET DE SOUDURE'!$L$7:$L$3006,0)),IFERROR(INDEX('CARNET DE SOUDURE'!$B$7:$B$3006,MATCH(B1933,'CARNET DE SOUDURE'!$O$7:$O$3006,0)),"")))</f>
        <v/>
      </c>
      <c r="J1933" s="82" t="str">
        <f aca="false">IF(B1933="","",IFERROR(INDEX('CARNET DE SOUDURE'!$E$7:$E$3006,MATCH(B1933,'CARNET DE SOUDURE'!$O$7:$O$3006,0)),""))</f>
        <v/>
      </c>
      <c r="K1933" s="82" t="str">
        <f aca="false">IF(B1933="","",IFERROR(INDEX('CARNET DE SOUDURE'!$E$7:$E$3006,MATCH(B1933,'CARNET DE SOUDURE'!$L$7:$L$3006,0)),""))</f>
        <v/>
      </c>
      <c r="L1933" s="82" t="str">
        <f aca="false">IF(B1933="","",IFERROR(INDEX('CARNET DE SOUDURE'!$D$7:$D$3006,MATCH(B1933,'CARNET DE SOUDURE'!$L$7:$L$3006,0)),IFERROR(INDEX('CARNET DE SOUDURE'!$D$7:$D$3006,MATCH(B1933,'CARNET DE SOUDURE'!$O$7:$O$3006,0)),"")))</f>
        <v/>
      </c>
      <c r="M1933" s="82" t="str">
        <f aca="false">IF(B1933="","",IF(OR(J1933&lt;&gt;"",K1933&lt;&gt;""),"POSÉ EN LIGNE",IF(COUNTIF(BARDAGE!$C$1:$C$5000,B1933)&gt;0,"BARDÉ","EN STOCK")))</f>
        <v/>
      </c>
      <c r="N1933" s="80"/>
    </row>
    <row r="1934" customFormat="false" ht="15" hidden="false" customHeight="false" outlineLevel="0" collapsed="false">
      <c r="A1934" s="82" t="str">
        <f aca="false">IF(B1934="","",ROW()-6)</f>
        <v/>
      </c>
      <c r="B1934" s="145"/>
      <c r="C1934" s="146"/>
      <c r="D1934" s="146"/>
      <c r="E1934" s="82" t="str">
        <f aca="false">IF(B1934="","",IF(COUNTIFS('CARNET DE SOUDURE'!$L$7:$L$3006,B1934,'CARNET DE SOUDURE'!$M$7:$M$3006,"&lt;&gt;"&amp;C1934,'CARNET DE SOUDURE'!$M$7:$M$3006,"&lt;&gt;")+COUNTIFS('CARNET DE SOUDURE'!$O$7:$O$3006,B1934,'CARNET DE SOUDURE'!$P$7:$P$3006,"&lt;&gt;"&amp;C1934,'CARNET DE SOUDURE'!$P$7:$P$3006,"&lt;&gt;")&gt;0,"⚠ DIFFÉRENTE","OK"))</f>
        <v/>
      </c>
      <c r="F1934" s="147"/>
      <c r="G1934" s="80"/>
      <c r="H1934" s="83"/>
      <c r="I1934" s="148" t="str">
        <f aca="false">IF(B1934="","",IFERROR(INDEX('CARNET DE SOUDURE'!$B$7:$B$3006,MATCH(B1934,'CARNET DE SOUDURE'!$L$7:$L$3006,0)),IFERROR(INDEX('CARNET DE SOUDURE'!$B$7:$B$3006,MATCH(B1934,'CARNET DE SOUDURE'!$O$7:$O$3006,0)),"")))</f>
        <v/>
      </c>
      <c r="J1934" s="82" t="str">
        <f aca="false">IF(B1934="","",IFERROR(INDEX('CARNET DE SOUDURE'!$E$7:$E$3006,MATCH(B1934,'CARNET DE SOUDURE'!$O$7:$O$3006,0)),""))</f>
        <v/>
      </c>
      <c r="K1934" s="82" t="str">
        <f aca="false">IF(B1934="","",IFERROR(INDEX('CARNET DE SOUDURE'!$E$7:$E$3006,MATCH(B1934,'CARNET DE SOUDURE'!$L$7:$L$3006,0)),""))</f>
        <v/>
      </c>
      <c r="L1934" s="82" t="str">
        <f aca="false">IF(B1934="","",IFERROR(INDEX('CARNET DE SOUDURE'!$D$7:$D$3006,MATCH(B1934,'CARNET DE SOUDURE'!$L$7:$L$3006,0)),IFERROR(INDEX('CARNET DE SOUDURE'!$D$7:$D$3006,MATCH(B1934,'CARNET DE SOUDURE'!$O$7:$O$3006,0)),"")))</f>
        <v/>
      </c>
      <c r="M1934" s="82" t="str">
        <f aca="false">IF(B1934="","",IF(OR(J1934&lt;&gt;"",K1934&lt;&gt;""),"POSÉ EN LIGNE",IF(COUNTIF(BARDAGE!$C$1:$C$5000,B1934)&gt;0,"BARDÉ","EN STOCK")))</f>
        <v/>
      </c>
      <c r="N1934" s="80"/>
    </row>
    <row r="1935" customFormat="false" ht="15" hidden="false" customHeight="false" outlineLevel="0" collapsed="false">
      <c r="A1935" s="82" t="str">
        <f aca="false">IF(B1935="","",ROW()-6)</f>
        <v/>
      </c>
      <c r="B1935" s="145"/>
      <c r="C1935" s="146"/>
      <c r="D1935" s="146"/>
      <c r="E1935" s="82" t="str">
        <f aca="false">IF(B1935="","",IF(COUNTIFS('CARNET DE SOUDURE'!$L$7:$L$3006,B1935,'CARNET DE SOUDURE'!$M$7:$M$3006,"&lt;&gt;"&amp;C1935,'CARNET DE SOUDURE'!$M$7:$M$3006,"&lt;&gt;")+COUNTIFS('CARNET DE SOUDURE'!$O$7:$O$3006,B1935,'CARNET DE SOUDURE'!$P$7:$P$3006,"&lt;&gt;"&amp;C1935,'CARNET DE SOUDURE'!$P$7:$P$3006,"&lt;&gt;")&gt;0,"⚠ DIFFÉRENTE","OK"))</f>
        <v/>
      </c>
      <c r="F1935" s="147"/>
      <c r="G1935" s="80"/>
      <c r="H1935" s="83"/>
      <c r="I1935" s="148" t="str">
        <f aca="false">IF(B1935="","",IFERROR(INDEX('CARNET DE SOUDURE'!$B$7:$B$3006,MATCH(B1935,'CARNET DE SOUDURE'!$L$7:$L$3006,0)),IFERROR(INDEX('CARNET DE SOUDURE'!$B$7:$B$3006,MATCH(B1935,'CARNET DE SOUDURE'!$O$7:$O$3006,0)),"")))</f>
        <v/>
      </c>
      <c r="J1935" s="82" t="str">
        <f aca="false">IF(B1935="","",IFERROR(INDEX('CARNET DE SOUDURE'!$E$7:$E$3006,MATCH(B1935,'CARNET DE SOUDURE'!$O$7:$O$3006,0)),""))</f>
        <v/>
      </c>
      <c r="K1935" s="82" t="str">
        <f aca="false">IF(B1935="","",IFERROR(INDEX('CARNET DE SOUDURE'!$E$7:$E$3006,MATCH(B1935,'CARNET DE SOUDURE'!$L$7:$L$3006,0)),""))</f>
        <v/>
      </c>
      <c r="L1935" s="82" t="str">
        <f aca="false">IF(B1935="","",IFERROR(INDEX('CARNET DE SOUDURE'!$D$7:$D$3006,MATCH(B1935,'CARNET DE SOUDURE'!$L$7:$L$3006,0)),IFERROR(INDEX('CARNET DE SOUDURE'!$D$7:$D$3006,MATCH(B1935,'CARNET DE SOUDURE'!$O$7:$O$3006,0)),"")))</f>
        <v/>
      </c>
      <c r="M1935" s="82" t="str">
        <f aca="false">IF(B1935="","",IF(OR(J1935&lt;&gt;"",K1935&lt;&gt;""),"POSÉ EN LIGNE",IF(COUNTIF(BARDAGE!$C$1:$C$5000,B1935)&gt;0,"BARDÉ","EN STOCK")))</f>
        <v/>
      </c>
      <c r="N1935" s="80"/>
    </row>
    <row r="1936" customFormat="false" ht="15" hidden="false" customHeight="false" outlineLevel="0" collapsed="false">
      <c r="A1936" s="82" t="str">
        <f aca="false">IF(B1936="","",ROW()-6)</f>
        <v/>
      </c>
      <c r="B1936" s="145"/>
      <c r="C1936" s="146"/>
      <c r="D1936" s="146"/>
      <c r="E1936" s="82" t="str">
        <f aca="false">IF(B1936="","",IF(COUNTIFS('CARNET DE SOUDURE'!$L$7:$L$3006,B1936,'CARNET DE SOUDURE'!$M$7:$M$3006,"&lt;&gt;"&amp;C1936,'CARNET DE SOUDURE'!$M$7:$M$3006,"&lt;&gt;")+COUNTIFS('CARNET DE SOUDURE'!$O$7:$O$3006,B1936,'CARNET DE SOUDURE'!$P$7:$P$3006,"&lt;&gt;"&amp;C1936,'CARNET DE SOUDURE'!$P$7:$P$3006,"&lt;&gt;")&gt;0,"⚠ DIFFÉRENTE","OK"))</f>
        <v/>
      </c>
      <c r="F1936" s="147"/>
      <c r="G1936" s="80"/>
      <c r="H1936" s="83"/>
      <c r="I1936" s="148" t="str">
        <f aca="false">IF(B1936="","",IFERROR(INDEX('CARNET DE SOUDURE'!$B$7:$B$3006,MATCH(B1936,'CARNET DE SOUDURE'!$L$7:$L$3006,0)),IFERROR(INDEX('CARNET DE SOUDURE'!$B$7:$B$3006,MATCH(B1936,'CARNET DE SOUDURE'!$O$7:$O$3006,0)),"")))</f>
        <v/>
      </c>
      <c r="J1936" s="82" t="str">
        <f aca="false">IF(B1936="","",IFERROR(INDEX('CARNET DE SOUDURE'!$E$7:$E$3006,MATCH(B1936,'CARNET DE SOUDURE'!$O$7:$O$3006,0)),""))</f>
        <v/>
      </c>
      <c r="K1936" s="82" t="str">
        <f aca="false">IF(B1936="","",IFERROR(INDEX('CARNET DE SOUDURE'!$E$7:$E$3006,MATCH(B1936,'CARNET DE SOUDURE'!$L$7:$L$3006,0)),""))</f>
        <v/>
      </c>
      <c r="L1936" s="82" t="str">
        <f aca="false">IF(B1936="","",IFERROR(INDEX('CARNET DE SOUDURE'!$D$7:$D$3006,MATCH(B1936,'CARNET DE SOUDURE'!$L$7:$L$3006,0)),IFERROR(INDEX('CARNET DE SOUDURE'!$D$7:$D$3006,MATCH(B1936,'CARNET DE SOUDURE'!$O$7:$O$3006,0)),"")))</f>
        <v/>
      </c>
      <c r="M1936" s="82" t="str">
        <f aca="false">IF(B1936="","",IF(OR(J1936&lt;&gt;"",K1936&lt;&gt;""),"POSÉ EN LIGNE",IF(COUNTIF(BARDAGE!$C$1:$C$5000,B1936)&gt;0,"BARDÉ","EN STOCK")))</f>
        <v/>
      </c>
      <c r="N1936" s="80"/>
    </row>
    <row r="1937" customFormat="false" ht="15" hidden="false" customHeight="false" outlineLevel="0" collapsed="false">
      <c r="A1937" s="82" t="str">
        <f aca="false">IF(B1937="","",ROW()-6)</f>
        <v/>
      </c>
      <c r="B1937" s="145"/>
      <c r="C1937" s="146"/>
      <c r="D1937" s="146"/>
      <c r="E1937" s="82" t="str">
        <f aca="false">IF(B1937="","",IF(COUNTIFS('CARNET DE SOUDURE'!$L$7:$L$3006,B1937,'CARNET DE SOUDURE'!$M$7:$M$3006,"&lt;&gt;"&amp;C1937,'CARNET DE SOUDURE'!$M$7:$M$3006,"&lt;&gt;")+COUNTIFS('CARNET DE SOUDURE'!$O$7:$O$3006,B1937,'CARNET DE SOUDURE'!$P$7:$P$3006,"&lt;&gt;"&amp;C1937,'CARNET DE SOUDURE'!$P$7:$P$3006,"&lt;&gt;")&gt;0,"⚠ DIFFÉRENTE","OK"))</f>
        <v/>
      </c>
      <c r="F1937" s="147"/>
      <c r="G1937" s="80"/>
      <c r="H1937" s="83"/>
      <c r="I1937" s="148" t="str">
        <f aca="false">IF(B1937="","",IFERROR(INDEX('CARNET DE SOUDURE'!$B$7:$B$3006,MATCH(B1937,'CARNET DE SOUDURE'!$L$7:$L$3006,0)),IFERROR(INDEX('CARNET DE SOUDURE'!$B$7:$B$3006,MATCH(B1937,'CARNET DE SOUDURE'!$O$7:$O$3006,0)),"")))</f>
        <v/>
      </c>
      <c r="J1937" s="82" t="str">
        <f aca="false">IF(B1937="","",IFERROR(INDEX('CARNET DE SOUDURE'!$E$7:$E$3006,MATCH(B1937,'CARNET DE SOUDURE'!$O$7:$O$3006,0)),""))</f>
        <v/>
      </c>
      <c r="K1937" s="82" t="str">
        <f aca="false">IF(B1937="","",IFERROR(INDEX('CARNET DE SOUDURE'!$E$7:$E$3006,MATCH(B1937,'CARNET DE SOUDURE'!$L$7:$L$3006,0)),""))</f>
        <v/>
      </c>
      <c r="L1937" s="82" t="str">
        <f aca="false">IF(B1937="","",IFERROR(INDEX('CARNET DE SOUDURE'!$D$7:$D$3006,MATCH(B1937,'CARNET DE SOUDURE'!$L$7:$L$3006,0)),IFERROR(INDEX('CARNET DE SOUDURE'!$D$7:$D$3006,MATCH(B1937,'CARNET DE SOUDURE'!$O$7:$O$3006,0)),"")))</f>
        <v/>
      </c>
      <c r="M1937" s="82" t="str">
        <f aca="false">IF(B1937="","",IF(OR(J1937&lt;&gt;"",K1937&lt;&gt;""),"POSÉ EN LIGNE",IF(COUNTIF(BARDAGE!$C$1:$C$5000,B1937)&gt;0,"BARDÉ","EN STOCK")))</f>
        <v/>
      </c>
      <c r="N1937" s="80"/>
    </row>
    <row r="1938" customFormat="false" ht="15" hidden="false" customHeight="false" outlineLevel="0" collapsed="false">
      <c r="A1938" s="82" t="str">
        <f aca="false">IF(B1938="","",ROW()-6)</f>
        <v/>
      </c>
      <c r="B1938" s="145"/>
      <c r="C1938" s="146"/>
      <c r="D1938" s="146"/>
      <c r="E1938" s="82" t="str">
        <f aca="false">IF(B1938="","",IF(COUNTIFS('CARNET DE SOUDURE'!$L$7:$L$3006,B1938,'CARNET DE SOUDURE'!$M$7:$M$3006,"&lt;&gt;"&amp;C1938,'CARNET DE SOUDURE'!$M$7:$M$3006,"&lt;&gt;")+COUNTIFS('CARNET DE SOUDURE'!$O$7:$O$3006,B1938,'CARNET DE SOUDURE'!$P$7:$P$3006,"&lt;&gt;"&amp;C1938,'CARNET DE SOUDURE'!$P$7:$P$3006,"&lt;&gt;")&gt;0,"⚠ DIFFÉRENTE","OK"))</f>
        <v/>
      </c>
      <c r="F1938" s="147"/>
      <c r="G1938" s="80"/>
      <c r="H1938" s="83"/>
      <c r="I1938" s="148" t="str">
        <f aca="false">IF(B1938="","",IFERROR(INDEX('CARNET DE SOUDURE'!$B$7:$B$3006,MATCH(B1938,'CARNET DE SOUDURE'!$L$7:$L$3006,0)),IFERROR(INDEX('CARNET DE SOUDURE'!$B$7:$B$3006,MATCH(B1938,'CARNET DE SOUDURE'!$O$7:$O$3006,0)),"")))</f>
        <v/>
      </c>
      <c r="J1938" s="82" t="str">
        <f aca="false">IF(B1938="","",IFERROR(INDEX('CARNET DE SOUDURE'!$E$7:$E$3006,MATCH(B1938,'CARNET DE SOUDURE'!$O$7:$O$3006,0)),""))</f>
        <v/>
      </c>
      <c r="K1938" s="82" t="str">
        <f aca="false">IF(B1938="","",IFERROR(INDEX('CARNET DE SOUDURE'!$E$7:$E$3006,MATCH(B1938,'CARNET DE SOUDURE'!$L$7:$L$3006,0)),""))</f>
        <v/>
      </c>
      <c r="L1938" s="82" t="str">
        <f aca="false">IF(B1938="","",IFERROR(INDEX('CARNET DE SOUDURE'!$D$7:$D$3006,MATCH(B1938,'CARNET DE SOUDURE'!$L$7:$L$3006,0)),IFERROR(INDEX('CARNET DE SOUDURE'!$D$7:$D$3006,MATCH(B1938,'CARNET DE SOUDURE'!$O$7:$O$3006,0)),"")))</f>
        <v/>
      </c>
      <c r="M1938" s="82" t="str">
        <f aca="false">IF(B1938="","",IF(OR(J1938&lt;&gt;"",K1938&lt;&gt;""),"POSÉ EN LIGNE",IF(COUNTIF(BARDAGE!$C$1:$C$5000,B1938)&gt;0,"BARDÉ","EN STOCK")))</f>
        <v/>
      </c>
      <c r="N1938" s="80"/>
    </row>
    <row r="1939" customFormat="false" ht="15" hidden="false" customHeight="false" outlineLevel="0" collapsed="false">
      <c r="A1939" s="82" t="str">
        <f aca="false">IF(B1939="","",ROW()-6)</f>
        <v/>
      </c>
      <c r="B1939" s="145"/>
      <c r="C1939" s="146"/>
      <c r="D1939" s="146"/>
      <c r="E1939" s="82" t="str">
        <f aca="false">IF(B1939="","",IF(COUNTIFS('CARNET DE SOUDURE'!$L$7:$L$3006,B1939,'CARNET DE SOUDURE'!$M$7:$M$3006,"&lt;&gt;"&amp;C1939,'CARNET DE SOUDURE'!$M$7:$M$3006,"&lt;&gt;")+COUNTIFS('CARNET DE SOUDURE'!$O$7:$O$3006,B1939,'CARNET DE SOUDURE'!$P$7:$P$3006,"&lt;&gt;"&amp;C1939,'CARNET DE SOUDURE'!$P$7:$P$3006,"&lt;&gt;")&gt;0,"⚠ DIFFÉRENTE","OK"))</f>
        <v/>
      </c>
      <c r="F1939" s="147"/>
      <c r="G1939" s="80"/>
      <c r="H1939" s="83"/>
      <c r="I1939" s="148" t="str">
        <f aca="false">IF(B1939="","",IFERROR(INDEX('CARNET DE SOUDURE'!$B$7:$B$3006,MATCH(B1939,'CARNET DE SOUDURE'!$L$7:$L$3006,0)),IFERROR(INDEX('CARNET DE SOUDURE'!$B$7:$B$3006,MATCH(B1939,'CARNET DE SOUDURE'!$O$7:$O$3006,0)),"")))</f>
        <v/>
      </c>
      <c r="J1939" s="82" t="str">
        <f aca="false">IF(B1939="","",IFERROR(INDEX('CARNET DE SOUDURE'!$E$7:$E$3006,MATCH(B1939,'CARNET DE SOUDURE'!$O$7:$O$3006,0)),""))</f>
        <v/>
      </c>
      <c r="K1939" s="82" t="str">
        <f aca="false">IF(B1939="","",IFERROR(INDEX('CARNET DE SOUDURE'!$E$7:$E$3006,MATCH(B1939,'CARNET DE SOUDURE'!$L$7:$L$3006,0)),""))</f>
        <v/>
      </c>
      <c r="L1939" s="82" t="str">
        <f aca="false">IF(B1939="","",IFERROR(INDEX('CARNET DE SOUDURE'!$D$7:$D$3006,MATCH(B1939,'CARNET DE SOUDURE'!$L$7:$L$3006,0)),IFERROR(INDEX('CARNET DE SOUDURE'!$D$7:$D$3006,MATCH(B1939,'CARNET DE SOUDURE'!$O$7:$O$3006,0)),"")))</f>
        <v/>
      </c>
      <c r="M1939" s="82" t="str">
        <f aca="false">IF(B1939="","",IF(OR(J1939&lt;&gt;"",K1939&lt;&gt;""),"POSÉ EN LIGNE",IF(COUNTIF(BARDAGE!$C$1:$C$5000,B1939)&gt;0,"BARDÉ","EN STOCK")))</f>
        <v/>
      </c>
      <c r="N1939" s="80"/>
    </row>
    <row r="1940" customFormat="false" ht="15" hidden="false" customHeight="false" outlineLevel="0" collapsed="false">
      <c r="A1940" s="82" t="str">
        <f aca="false">IF(B1940="","",ROW()-6)</f>
        <v/>
      </c>
      <c r="B1940" s="145"/>
      <c r="C1940" s="146"/>
      <c r="D1940" s="146"/>
      <c r="E1940" s="82" t="str">
        <f aca="false">IF(B1940="","",IF(COUNTIFS('CARNET DE SOUDURE'!$L$7:$L$3006,B1940,'CARNET DE SOUDURE'!$M$7:$M$3006,"&lt;&gt;"&amp;C1940,'CARNET DE SOUDURE'!$M$7:$M$3006,"&lt;&gt;")+COUNTIFS('CARNET DE SOUDURE'!$O$7:$O$3006,B1940,'CARNET DE SOUDURE'!$P$7:$P$3006,"&lt;&gt;"&amp;C1940,'CARNET DE SOUDURE'!$P$7:$P$3006,"&lt;&gt;")&gt;0,"⚠ DIFFÉRENTE","OK"))</f>
        <v/>
      </c>
      <c r="F1940" s="147"/>
      <c r="G1940" s="80"/>
      <c r="H1940" s="83"/>
      <c r="I1940" s="148" t="str">
        <f aca="false">IF(B1940="","",IFERROR(INDEX('CARNET DE SOUDURE'!$B$7:$B$3006,MATCH(B1940,'CARNET DE SOUDURE'!$L$7:$L$3006,0)),IFERROR(INDEX('CARNET DE SOUDURE'!$B$7:$B$3006,MATCH(B1940,'CARNET DE SOUDURE'!$O$7:$O$3006,0)),"")))</f>
        <v/>
      </c>
      <c r="J1940" s="82" t="str">
        <f aca="false">IF(B1940="","",IFERROR(INDEX('CARNET DE SOUDURE'!$E$7:$E$3006,MATCH(B1940,'CARNET DE SOUDURE'!$O$7:$O$3006,0)),""))</f>
        <v/>
      </c>
      <c r="K1940" s="82" t="str">
        <f aca="false">IF(B1940="","",IFERROR(INDEX('CARNET DE SOUDURE'!$E$7:$E$3006,MATCH(B1940,'CARNET DE SOUDURE'!$L$7:$L$3006,0)),""))</f>
        <v/>
      </c>
      <c r="L1940" s="82" t="str">
        <f aca="false">IF(B1940="","",IFERROR(INDEX('CARNET DE SOUDURE'!$D$7:$D$3006,MATCH(B1940,'CARNET DE SOUDURE'!$L$7:$L$3006,0)),IFERROR(INDEX('CARNET DE SOUDURE'!$D$7:$D$3006,MATCH(B1940,'CARNET DE SOUDURE'!$O$7:$O$3006,0)),"")))</f>
        <v/>
      </c>
      <c r="M1940" s="82" t="str">
        <f aca="false">IF(B1940="","",IF(OR(J1940&lt;&gt;"",K1940&lt;&gt;""),"POSÉ EN LIGNE",IF(COUNTIF(BARDAGE!$C$1:$C$5000,B1940)&gt;0,"BARDÉ","EN STOCK")))</f>
        <v/>
      </c>
      <c r="N1940" s="80"/>
    </row>
    <row r="1941" customFormat="false" ht="15" hidden="false" customHeight="false" outlineLevel="0" collapsed="false">
      <c r="A1941" s="82" t="str">
        <f aca="false">IF(B1941="","",ROW()-6)</f>
        <v/>
      </c>
      <c r="B1941" s="145"/>
      <c r="C1941" s="146"/>
      <c r="D1941" s="146"/>
      <c r="E1941" s="82" t="str">
        <f aca="false">IF(B1941="","",IF(COUNTIFS('CARNET DE SOUDURE'!$L$7:$L$3006,B1941,'CARNET DE SOUDURE'!$M$7:$M$3006,"&lt;&gt;"&amp;C1941,'CARNET DE SOUDURE'!$M$7:$M$3006,"&lt;&gt;")+COUNTIFS('CARNET DE SOUDURE'!$O$7:$O$3006,B1941,'CARNET DE SOUDURE'!$P$7:$P$3006,"&lt;&gt;"&amp;C1941,'CARNET DE SOUDURE'!$P$7:$P$3006,"&lt;&gt;")&gt;0,"⚠ DIFFÉRENTE","OK"))</f>
        <v/>
      </c>
      <c r="F1941" s="147"/>
      <c r="G1941" s="80"/>
      <c r="H1941" s="83"/>
      <c r="I1941" s="148" t="str">
        <f aca="false">IF(B1941="","",IFERROR(INDEX('CARNET DE SOUDURE'!$B$7:$B$3006,MATCH(B1941,'CARNET DE SOUDURE'!$L$7:$L$3006,0)),IFERROR(INDEX('CARNET DE SOUDURE'!$B$7:$B$3006,MATCH(B1941,'CARNET DE SOUDURE'!$O$7:$O$3006,0)),"")))</f>
        <v/>
      </c>
      <c r="J1941" s="82" t="str">
        <f aca="false">IF(B1941="","",IFERROR(INDEX('CARNET DE SOUDURE'!$E$7:$E$3006,MATCH(B1941,'CARNET DE SOUDURE'!$O$7:$O$3006,0)),""))</f>
        <v/>
      </c>
      <c r="K1941" s="82" t="str">
        <f aca="false">IF(B1941="","",IFERROR(INDEX('CARNET DE SOUDURE'!$E$7:$E$3006,MATCH(B1941,'CARNET DE SOUDURE'!$L$7:$L$3006,0)),""))</f>
        <v/>
      </c>
      <c r="L1941" s="82" t="str">
        <f aca="false">IF(B1941="","",IFERROR(INDEX('CARNET DE SOUDURE'!$D$7:$D$3006,MATCH(B1941,'CARNET DE SOUDURE'!$L$7:$L$3006,0)),IFERROR(INDEX('CARNET DE SOUDURE'!$D$7:$D$3006,MATCH(B1941,'CARNET DE SOUDURE'!$O$7:$O$3006,0)),"")))</f>
        <v/>
      </c>
      <c r="M1941" s="82" t="str">
        <f aca="false">IF(B1941="","",IF(OR(J1941&lt;&gt;"",K1941&lt;&gt;""),"POSÉ EN LIGNE",IF(COUNTIF(BARDAGE!$C$1:$C$5000,B1941)&gt;0,"BARDÉ","EN STOCK")))</f>
        <v/>
      </c>
      <c r="N1941" s="80"/>
    </row>
    <row r="1942" customFormat="false" ht="15" hidden="false" customHeight="false" outlineLevel="0" collapsed="false">
      <c r="A1942" s="82" t="str">
        <f aca="false">IF(B1942="","",ROW()-6)</f>
        <v/>
      </c>
      <c r="B1942" s="145"/>
      <c r="C1942" s="146"/>
      <c r="D1942" s="146"/>
      <c r="E1942" s="82" t="str">
        <f aca="false">IF(B1942="","",IF(COUNTIFS('CARNET DE SOUDURE'!$L$7:$L$3006,B1942,'CARNET DE SOUDURE'!$M$7:$M$3006,"&lt;&gt;"&amp;C1942,'CARNET DE SOUDURE'!$M$7:$M$3006,"&lt;&gt;")+COUNTIFS('CARNET DE SOUDURE'!$O$7:$O$3006,B1942,'CARNET DE SOUDURE'!$P$7:$P$3006,"&lt;&gt;"&amp;C1942,'CARNET DE SOUDURE'!$P$7:$P$3006,"&lt;&gt;")&gt;0,"⚠ DIFFÉRENTE","OK"))</f>
        <v/>
      </c>
      <c r="F1942" s="147"/>
      <c r="G1942" s="80"/>
      <c r="H1942" s="83"/>
      <c r="I1942" s="148" t="str">
        <f aca="false">IF(B1942="","",IFERROR(INDEX('CARNET DE SOUDURE'!$B$7:$B$3006,MATCH(B1942,'CARNET DE SOUDURE'!$L$7:$L$3006,0)),IFERROR(INDEX('CARNET DE SOUDURE'!$B$7:$B$3006,MATCH(B1942,'CARNET DE SOUDURE'!$O$7:$O$3006,0)),"")))</f>
        <v/>
      </c>
      <c r="J1942" s="82" t="str">
        <f aca="false">IF(B1942="","",IFERROR(INDEX('CARNET DE SOUDURE'!$E$7:$E$3006,MATCH(B1942,'CARNET DE SOUDURE'!$O$7:$O$3006,0)),""))</f>
        <v/>
      </c>
      <c r="K1942" s="82" t="str">
        <f aca="false">IF(B1942="","",IFERROR(INDEX('CARNET DE SOUDURE'!$E$7:$E$3006,MATCH(B1942,'CARNET DE SOUDURE'!$L$7:$L$3006,0)),""))</f>
        <v/>
      </c>
      <c r="L1942" s="82" t="str">
        <f aca="false">IF(B1942="","",IFERROR(INDEX('CARNET DE SOUDURE'!$D$7:$D$3006,MATCH(B1942,'CARNET DE SOUDURE'!$L$7:$L$3006,0)),IFERROR(INDEX('CARNET DE SOUDURE'!$D$7:$D$3006,MATCH(B1942,'CARNET DE SOUDURE'!$O$7:$O$3006,0)),"")))</f>
        <v/>
      </c>
      <c r="M1942" s="82" t="str">
        <f aca="false">IF(B1942="","",IF(OR(J1942&lt;&gt;"",K1942&lt;&gt;""),"POSÉ EN LIGNE",IF(COUNTIF(BARDAGE!$C$1:$C$5000,B1942)&gt;0,"BARDÉ","EN STOCK")))</f>
        <v/>
      </c>
      <c r="N1942" s="80"/>
    </row>
    <row r="1943" customFormat="false" ht="15" hidden="false" customHeight="false" outlineLevel="0" collapsed="false">
      <c r="A1943" s="82" t="str">
        <f aca="false">IF(B1943="","",ROW()-6)</f>
        <v/>
      </c>
      <c r="B1943" s="145"/>
      <c r="C1943" s="146"/>
      <c r="D1943" s="146"/>
      <c r="E1943" s="82" t="str">
        <f aca="false">IF(B1943="","",IF(COUNTIFS('CARNET DE SOUDURE'!$L$7:$L$3006,B1943,'CARNET DE SOUDURE'!$M$7:$M$3006,"&lt;&gt;"&amp;C1943,'CARNET DE SOUDURE'!$M$7:$M$3006,"&lt;&gt;")+COUNTIFS('CARNET DE SOUDURE'!$O$7:$O$3006,B1943,'CARNET DE SOUDURE'!$P$7:$P$3006,"&lt;&gt;"&amp;C1943,'CARNET DE SOUDURE'!$P$7:$P$3006,"&lt;&gt;")&gt;0,"⚠ DIFFÉRENTE","OK"))</f>
        <v/>
      </c>
      <c r="F1943" s="147"/>
      <c r="G1943" s="80"/>
      <c r="H1943" s="83"/>
      <c r="I1943" s="148" t="str">
        <f aca="false">IF(B1943="","",IFERROR(INDEX('CARNET DE SOUDURE'!$B$7:$B$3006,MATCH(B1943,'CARNET DE SOUDURE'!$L$7:$L$3006,0)),IFERROR(INDEX('CARNET DE SOUDURE'!$B$7:$B$3006,MATCH(B1943,'CARNET DE SOUDURE'!$O$7:$O$3006,0)),"")))</f>
        <v/>
      </c>
      <c r="J1943" s="82" t="str">
        <f aca="false">IF(B1943="","",IFERROR(INDEX('CARNET DE SOUDURE'!$E$7:$E$3006,MATCH(B1943,'CARNET DE SOUDURE'!$O$7:$O$3006,0)),""))</f>
        <v/>
      </c>
      <c r="K1943" s="82" t="str">
        <f aca="false">IF(B1943="","",IFERROR(INDEX('CARNET DE SOUDURE'!$E$7:$E$3006,MATCH(B1943,'CARNET DE SOUDURE'!$L$7:$L$3006,0)),""))</f>
        <v/>
      </c>
      <c r="L1943" s="82" t="str">
        <f aca="false">IF(B1943="","",IFERROR(INDEX('CARNET DE SOUDURE'!$D$7:$D$3006,MATCH(B1943,'CARNET DE SOUDURE'!$L$7:$L$3006,0)),IFERROR(INDEX('CARNET DE SOUDURE'!$D$7:$D$3006,MATCH(B1943,'CARNET DE SOUDURE'!$O$7:$O$3006,0)),"")))</f>
        <v/>
      </c>
      <c r="M1943" s="82" t="str">
        <f aca="false">IF(B1943="","",IF(OR(J1943&lt;&gt;"",K1943&lt;&gt;""),"POSÉ EN LIGNE",IF(COUNTIF(BARDAGE!$C$1:$C$5000,B1943)&gt;0,"BARDÉ","EN STOCK")))</f>
        <v/>
      </c>
      <c r="N1943" s="80"/>
    </row>
    <row r="1944" customFormat="false" ht="15" hidden="false" customHeight="false" outlineLevel="0" collapsed="false">
      <c r="A1944" s="82" t="str">
        <f aca="false">IF(B1944="","",ROW()-6)</f>
        <v/>
      </c>
      <c r="B1944" s="145"/>
      <c r="C1944" s="146"/>
      <c r="D1944" s="146"/>
      <c r="E1944" s="82" t="str">
        <f aca="false">IF(B1944="","",IF(COUNTIFS('CARNET DE SOUDURE'!$L$7:$L$3006,B1944,'CARNET DE SOUDURE'!$M$7:$M$3006,"&lt;&gt;"&amp;C1944,'CARNET DE SOUDURE'!$M$7:$M$3006,"&lt;&gt;")+COUNTIFS('CARNET DE SOUDURE'!$O$7:$O$3006,B1944,'CARNET DE SOUDURE'!$P$7:$P$3006,"&lt;&gt;"&amp;C1944,'CARNET DE SOUDURE'!$P$7:$P$3006,"&lt;&gt;")&gt;0,"⚠ DIFFÉRENTE","OK"))</f>
        <v/>
      </c>
      <c r="F1944" s="147"/>
      <c r="G1944" s="80"/>
      <c r="H1944" s="83"/>
      <c r="I1944" s="148" t="str">
        <f aca="false">IF(B1944="","",IFERROR(INDEX('CARNET DE SOUDURE'!$B$7:$B$3006,MATCH(B1944,'CARNET DE SOUDURE'!$L$7:$L$3006,0)),IFERROR(INDEX('CARNET DE SOUDURE'!$B$7:$B$3006,MATCH(B1944,'CARNET DE SOUDURE'!$O$7:$O$3006,0)),"")))</f>
        <v/>
      </c>
      <c r="J1944" s="82" t="str">
        <f aca="false">IF(B1944="","",IFERROR(INDEX('CARNET DE SOUDURE'!$E$7:$E$3006,MATCH(B1944,'CARNET DE SOUDURE'!$O$7:$O$3006,0)),""))</f>
        <v/>
      </c>
      <c r="K1944" s="82" t="str">
        <f aca="false">IF(B1944="","",IFERROR(INDEX('CARNET DE SOUDURE'!$E$7:$E$3006,MATCH(B1944,'CARNET DE SOUDURE'!$L$7:$L$3006,0)),""))</f>
        <v/>
      </c>
      <c r="L1944" s="82" t="str">
        <f aca="false">IF(B1944="","",IFERROR(INDEX('CARNET DE SOUDURE'!$D$7:$D$3006,MATCH(B1944,'CARNET DE SOUDURE'!$L$7:$L$3006,0)),IFERROR(INDEX('CARNET DE SOUDURE'!$D$7:$D$3006,MATCH(B1944,'CARNET DE SOUDURE'!$O$7:$O$3006,0)),"")))</f>
        <v/>
      </c>
      <c r="M1944" s="82" t="str">
        <f aca="false">IF(B1944="","",IF(OR(J1944&lt;&gt;"",K1944&lt;&gt;""),"POSÉ EN LIGNE",IF(COUNTIF(BARDAGE!$C$1:$C$5000,B1944)&gt;0,"BARDÉ","EN STOCK")))</f>
        <v/>
      </c>
      <c r="N1944" s="80"/>
    </row>
    <row r="1945" customFormat="false" ht="15" hidden="false" customHeight="false" outlineLevel="0" collapsed="false">
      <c r="A1945" s="82" t="str">
        <f aca="false">IF(B1945="","",ROW()-6)</f>
        <v/>
      </c>
      <c r="B1945" s="145"/>
      <c r="C1945" s="146"/>
      <c r="D1945" s="146"/>
      <c r="E1945" s="82" t="str">
        <f aca="false">IF(B1945="","",IF(COUNTIFS('CARNET DE SOUDURE'!$L$7:$L$3006,B1945,'CARNET DE SOUDURE'!$M$7:$M$3006,"&lt;&gt;"&amp;C1945,'CARNET DE SOUDURE'!$M$7:$M$3006,"&lt;&gt;")+COUNTIFS('CARNET DE SOUDURE'!$O$7:$O$3006,B1945,'CARNET DE SOUDURE'!$P$7:$P$3006,"&lt;&gt;"&amp;C1945,'CARNET DE SOUDURE'!$P$7:$P$3006,"&lt;&gt;")&gt;0,"⚠ DIFFÉRENTE","OK"))</f>
        <v/>
      </c>
      <c r="F1945" s="147"/>
      <c r="G1945" s="80"/>
      <c r="H1945" s="83"/>
      <c r="I1945" s="148" t="str">
        <f aca="false">IF(B1945="","",IFERROR(INDEX('CARNET DE SOUDURE'!$B$7:$B$3006,MATCH(B1945,'CARNET DE SOUDURE'!$L$7:$L$3006,0)),IFERROR(INDEX('CARNET DE SOUDURE'!$B$7:$B$3006,MATCH(B1945,'CARNET DE SOUDURE'!$O$7:$O$3006,0)),"")))</f>
        <v/>
      </c>
      <c r="J1945" s="82" t="str">
        <f aca="false">IF(B1945="","",IFERROR(INDEX('CARNET DE SOUDURE'!$E$7:$E$3006,MATCH(B1945,'CARNET DE SOUDURE'!$O$7:$O$3006,0)),""))</f>
        <v/>
      </c>
      <c r="K1945" s="82" t="str">
        <f aca="false">IF(B1945="","",IFERROR(INDEX('CARNET DE SOUDURE'!$E$7:$E$3006,MATCH(B1945,'CARNET DE SOUDURE'!$L$7:$L$3006,0)),""))</f>
        <v/>
      </c>
      <c r="L1945" s="82" t="str">
        <f aca="false">IF(B1945="","",IFERROR(INDEX('CARNET DE SOUDURE'!$D$7:$D$3006,MATCH(B1945,'CARNET DE SOUDURE'!$L$7:$L$3006,0)),IFERROR(INDEX('CARNET DE SOUDURE'!$D$7:$D$3006,MATCH(B1945,'CARNET DE SOUDURE'!$O$7:$O$3006,0)),"")))</f>
        <v/>
      </c>
      <c r="M1945" s="82" t="str">
        <f aca="false">IF(B1945="","",IF(OR(J1945&lt;&gt;"",K1945&lt;&gt;""),"POSÉ EN LIGNE",IF(COUNTIF(BARDAGE!$C$1:$C$5000,B1945)&gt;0,"BARDÉ","EN STOCK")))</f>
        <v/>
      </c>
      <c r="N1945" s="80"/>
    </row>
    <row r="1946" customFormat="false" ht="15" hidden="false" customHeight="false" outlineLevel="0" collapsed="false">
      <c r="A1946" s="82" t="str">
        <f aca="false">IF(B1946="","",ROW()-6)</f>
        <v/>
      </c>
      <c r="B1946" s="145"/>
      <c r="C1946" s="146"/>
      <c r="D1946" s="146"/>
      <c r="E1946" s="82" t="str">
        <f aca="false">IF(B1946="","",IF(COUNTIFS('CARNET DE SOUDURE'!$L$7:$L$3006,B1946,'CARNET DE SOUDURE'!$M$7:$M$3006,"&lt;&gt;"&amp;C1946,'CARNET DE SOUDURE'!$M$7:$M$3006,"&lt;&gt;")+COUNTIFS('CARNET DE SOUDURE'!$O$7:$O$3006,B1946,'CARNET DE SOUDURE'!$P$7:$P$3006,"&lt;&gt;"&amp;C1946,'CARNET DE SOUDURE'!$P$7:$P$3006,"&lt;&gt;")&gt;0,"⚠ DIFFÉRENTE","OK"))</f>
        <v/>
      </c>
      <c r="F1946" s="147"/>
      <c r="G1946" s="80"/>
      <c r="H1946" s="83"/>
      <c r="I1946" s="148" t="str">
        <f aca="false">IF(B1946="","",IFERROR(INDEX('CARNET DE SOUDURE'!$B$7:$B$3006,MATCH(B1946,'CARNET DE SOUDURE'!$L$7:$L$3006,0)),IFERROR(INDEX('CARNET DE SOUDURE'!$B$7:$B$3006,MATCH(B1946,'CARNET DE SOUDURE'!$O$7:$O$3006,0)),"")))</f>
        <v/>
      </c>
      <c r="J1946" s="82" t="str">
        <f aca="false">IF(B1946="","",IFERROR(INDEX('CARNET DE SOUDURE'!$E$7:$E$3006,MATCH(B1946,'CARNET DE SOUDURE'!$O$7:$O$3006,0)),""))</f>
        <v/>
      </c>
      <c r="K1946" s="82" t="str">
        <f aca="false">IF(B1946="","",IFERROR(INDEX('CARNET DE SOUDURE'!$E$7:$E$3006,MATCH(B1946,'CARNET DE SOUDURE'!$L$7:$L$3006,0)),""))</f>
        <v/>
      </c>
      <c r="L1946" s="82" t="str">
        <f aca="false">IF(B1946="","",IFERROR(INDEX('CARNET DE SOUDURE'!$D$7:$D$3006,MATCH(B1946,'CARNET DE SOUDURE'!$L$7:$L$3006,0)),IFERROR(INDEX('CARNET DE SOUDURE'!$D$7:$D$3006,MATCH(B1946,'CARNET DE SOUDURE'!$O$7:$O$3006,0)),"")))</f>
        <v/>
      </c>
      <c r="M1946" s="82" t="str">
        <f aca="false">IF(B1946="","",IF(OR(J1946&lt;&gt;"",K1946&lt;&gt;""),"POSÉ EN LIGNE",IF(COUNTIF(BARDAGE!$C$1:$C$5000,B1946)&gt;0,"BARDÉ","EN STOCK")))</f>
        <v/>
      </c>
      <c r="N1946" s="80"/>
    </row>
    <row r="1947" customFormat="false" ht="15" hidden="false" customHeight="false" outlineLevel="0" collapsed="false">
      <c r="A1947" s="82" t="str">
        <f aca="false">IF(B1947="","",ROW()-6)</f>
        <v/>
      </c>
      <c r="B1947" s="145"/>
      <c r="C1947" s="146"/>
      <c r="D1947" s="146"/>
      <c r="E1947" s="82" t="str">
        <f aca="false">IF(B1947="","",IF(COUNTIFS('CARNET DE SOUDURE'!$L$7:$L$3006,B1947,'CARNET DE SOUDURE'!$M$7:$M$3006,"&lt;&gt;"&amp;C1947,'CARNET DE SOUDURE'!$M$7:$M$3006,"&lt;&gt;")+COUNTIFS('CARNET DE SOUDURE'!$O$7:$O$3006,B1947,'CARNET DE SOUDURE'!$P$7:$P$3006,"&lt;&gt;"&amp;C1947,'CARNET DE SOUDURE'!$P$7:$P$3006,"&lt;&gt;")&gt;0,"⚠ DIFFÉRENTE","OK"))</f>
        <v/>
      </c>
      <c r="F1947" s="147"/>
      <c r="G1947" s="80"/>
      <c r="H1947" s="83"/>
      <c r="I1947" s="148" t="str">
        <f aca="false">IF(B1947="","",IFERROR(INDEX('CARNET DE SOUDURE'!$B$7:$B$3006,MATCH(B1947,'CARNET DE SOUDURE'!$L$7:$L$3006,0)),IFERROR(INDEX('CARNET DE SOUDURE'!$B$7:$B$3006,MATCH(B1947,'CARNET DE SOUDURE'!$O$7:$O$3006,0)),"")))</f>
        <v/>
      </c>
      <c r="J1947" s="82" t="str">
        <f aca="false">IF(B1947="","",IFERROR(INDEX('CARNET DE SOUDURE'!$E$7:$E$3006,MATCH(B1947,'CARNET DE SOUDURE'!$O$7:$O$3006,0)),""))</f>
        <v/>
      </c>
      <c r="K1947" s="82" t="str">
        <f aca="false">IF(B1947="","",IFERROR(INDEX('CARNET DE SOUDURE'!$E$7:$E$3006,MATCH(B1947,'CARNET DE SOUDURE'!$L$7:$L$3006,0)),""))</f>
        <v/>
      </c>
      <c r="L1947" s="82" t="str">
        <f aca="false">IF(B1947="","",IFERROR(INDEX('CARNET DE SOUDURE'!$D$7:$D$3006,MATCH(B1947,'CARNET DE SOUDURE'!$L$7:$L$3006,0)),IFERROR(INDEX('CARNET DE SOUDURE'!$D$7:$D$3006,MATCH(B1947,'CARNET DE SOUDURE'!$O$7:$O$3006,0)),"")))</f>
        <v/>
      </c>
      <c r="M1947" s="82" t="str">
        <f aca="false">IF(B1947="","",IF(OR(J1947&lt;&gt;"",K1947&lt;&gt;""),"POSÉ EN LIGNE",IF(COUNTIF(BARDAGE!$C$1:$C$5000,B1947)&gt;0,"BARDÉ","EN STOCK")))</f>
        <v/>
      </c>
      <c r="N1947" s="80"/>
    </row>
    <row r="1948" customFormat="false" ht="15" hidden="false" customHeight="false" outlineLevel="0" collapsed="false">
      <c r="A1948" s="82" t="str">
        <f aca="false">IF(B1948="","",ROW()-6)</f>
        <v/>
      </c>
      <c r="B1948" s="145"/>
      <c r="C1948" s="146"/>
      <c r="D1948" s="146"/>
      <c r="E1948" s="82" t="str">
        <f aca="false">IF(B1948="","",IF(COUNTIFS('CARNET DE SOUDURE'!$L$7:$L$3006,B1948,'CARNET DE SOUDURE'!$M$7:$M$3006,"&lt;&gt;"&amp;C1948,'CARNET DE SOUDURE'!$M$7:$M$3006,"&lt;&gt;")+COUNTIFS('CARNET DE SOUDURE'!$O$7:$O$3006,B1948,'CARNET DE SOUDURE'!$P$7:$P$3006,"&lt;&gt;"&amp;C1948,'CARNET DE SOUDURE'!$P$7:$P$3006,"&lt;&gt;")&gt;0,"⚠ DIFFÉRENTE","OK"))</f>
        <v/>
      </c>
      <c r="F1948" s="147"/>
      <c r="G1948" s="80"/>
      <c r="H1948" s="83"/>
      <c r="I1948" s="148" t="str">
        <f aca="false">IF(B1948="","",IFERROR(INDEX('CARNET DE SOUDURE'!$B$7:$B$3006,MATCH(B1948,'CARNET DE SOUDURE'!$L$7:$L$3006,0)),IFERROR(INDEX('CARNET DE SOUDURE'!$B$7:$B$3006,MATCH(B1948,'CARNET DE SOUDURE'!$O$7:$O$3006,0)),"")))</f>
        <v/>
      </c>
      <c r="J1948" s="82" t="str">
        <f aca="false">IF(B1948="","",IFERROR(INDEX('CARNET DE SOUDURE'!$E$7:$E$3006,MATCH(B1948,'CARNET DE SOUDURE'!$O$7:$O$3006,0)),""))</f>
        <v/>
      </c>
      <c r="K1948" s="82" t="str">
        <f aca="false">IF(B1948="","",IFERROR(INDEX('CARNET DE SOUDURE'!$E$7:$E$3006,MATCH(B1948,'CARNET DE SOUDURE'!$L$7:$L$3006,0)),""))</f>
        <v/>
      </c>
      <c r="L1948" s="82" t="str">
        <f aca="false">IF(B1948="","",IFERROR(INDEX('CARNET DE SOUDURE'!$D$7:$D$3006,MATCH(B1948,'CARNET DE SOUDURE'!$L$7:$L$3006,0)),IFERROR(INDEX('CARNET DE SOUDURE'!$D$7:$D$3006,MATCH(B1948,'CARNET DE SOUDURE'!$O$7:$O$3006,0)),"")))</f>
        <v/>
      </c>
      <c r="M1948" s="82" t="str">
        <f aca="false">IF(B1948="","",IF(OR(J1948&lt;&gt;"",K1948&lt;&gt;""),"POSÉ EN LIGNE",IF(COUNTIF(BARDAGE!$C$1:$C$5000,B1948)&gt;0,"BARDÉ","EN STOCK")))</f>
        <v/>
      </c>
      <c r="N1948" s="80"/>
    </row>
    <row r="1949" customFormat="false" ht="15" hidden="false" customHeight="false" outlineLevel="0" collapsed="false">
      <c r="A1949" s="82" t="str">
        <f aca="false">IF(B1949="","",ROW()-6)</f>
        <v/>
      </c>
      <c r="B1949" s="145"/>
      <c r="C1949" s="146"/>
      <c r="D1949" s="146"/>
      <c r="E1949" s="82" t="str">
        <f aca="false">IF(B1949="","",IF(COUNTIFS('CARNET DE SOUDURE'!$L$7:$L$3006,B1949,'CARNET DE SOUDURE'!$M$7:$M$3006,"&lt;&gt;"&amp;C1949,'CARNET DE SOUDURE'!$M$7:$M$3006,"&lt;&gt;")+COUNTIFS('CARNET DE SOUDURE'!$O$7:$O$3006,B1949,'CARNET DE SOUDURE'!$P$7:$P$3006,"&lt;&gt;"&amp;C1949,'CARNET DE SOUDURE'!$P$7:$P$3006,"&lt;&gt;")&gt;0,"⚠ DIFFÉRENTE","OK"))</f>
        <v/>
      </c>
      <c r="F1949" s="147"/>
      <c r="G1949" s="80"/>
      <c r="H1949" s="83"/>
      <c r="I1949" s="148" t="str">
        <f aca="false">IF(B1949="","",IFERROR(INDEX('CARNET DE SOUDURE'!$B$7:$B$3006,MATCH(B1949,'CARNET DE SOUDURE'!$L$7:$L$3006,0)),IFERROR(INDEX('CARNET DE SOUDURE'!$B$7:$B$3006,MATCH(B1949,'CARNET DE SOUDURE'!$O$7:$O$3006,0)),"")))</f>
        <v/>
      </c>
      <c r="J1949" s="82" t="str">
        <f aca="false">IF(B1949="","",IFERROR(INDEX('CARNET DE SOUDURE'!$E$7:$E$3006,MATCH(B1949,'CARNET DE SOUDURE'!$O$7:$O$3006,0)),""))</f>
        <v/>
      </c>
      <c r="K1949" s="82" t="str">
        <f aca="false">IF(B1949="","",IFERROR(INDEX('CARNET DE SOUDURE'!$E$7:$E$3006,MATCH(B1949,'CARNET DE SOUDURE'!$L$7:$L$3006,0)),""))</f>
        <v/>
      </c>
      <c r="L1949" s="82" t="str">
        <f aca="false">IF(B1949="","",IFERROR(INDEX('CARNET DE SOUDURE'!$D$7:$D$3006,MATCH(B1949,'CARNET DE SOUDURE'!$L$7:$L$3006,0)),IFERROR(INDEX('CARNET DE SOUDURE'!$D$7:$D$3006,MATCH(B1949,'CARNET DE SOUDURE'!$O$7:$O$3006,0)),"")))</f>
        <v/>
      </c>
      <c r="M1949" s="82" t="str">
        <f aca="false">IF(B1949="","",IF(OR(J1949&lt;&gt;"",K1949&lt;&gt;""),"POSÉ EN LIGNE",IF(COUNTIF(BARDAGE!$C$1:$C$5000,B1949)&gt;0,"BARDÉ","EN STOCK")))</f>
        <v/>
      </c>
      <c r="N1949" s="80"/>
    </row>
    <row r="1950" customFormat="false" ht="15" hidden="false" customHeight="false" outlineLevel="0" collapsed="false">
      <c r="A1950" s="82" t="str">
        <f aca="false">IF(B1950="","",ROW()-6)</f>
        <v/>
      </c>
      <c r="B1950" s="145"/>
      <c r="C1950" s="146"/>
      <c r="D1950" s="146"/>
      <c r="E1950" s="82" t="str">
        <f aca="false">IF(B1950="","",IF(COUNTIFS('CARNET DE SOUDURE'!$L$7:$L$3006,B1950,'CARNET DE SOUDURE'!$M$7:$M$3006,"&lt;&gt;"&amp;C1950,'CARNET DE SOUDURE'!$M$7:$M$3006,"&lt;&gt;")+COUNTIFS('CARNET DE SOUDURE'!$O$7:$O$3006,B1950,'CARNET DE SOUDURE'!$P$7:$P$3006,"&lt;&gt;"&amp;C1950,'CARNET DE SOUDURE'!$P$7:$P$3006,"&lt;&gt;")&gt;0,"⚠ DIFFÉRENTE","OK"))</f>
        <v/>
      </c>
      <c r="F1950" s="147"/>
      <c r="G1950" s="80"/>
      <c r="H1950" s="83"/>
      <c r="I1950" s="148" t="str">
        <f aca="false">IF(B1950="","",IFERROR(INDEX('CARNET DE SOUDURE'!$B$7:$B$3006,MATCH(B1950,'CARNET DE SOUDURE'!$L$7:$L$3006,0)),IFERROR(INDEX('CARNET DE SOUDURE'!$B$7:$B$3006,MATCH(B1950,'CARNET DE SOUDURE'!$O$7:$O$3006,0)),"")))</f>
        <v/>
      </c>
      <c r="J1950" s="82" t="str">
        <f aca="false">IF(B1950="","",IFERROR(INDEX('CARNET DE SOUDURE'!$E$7:$E$3006,MATCH(B1950,'CARNET DE SOUDURE'!$O$7:$O$3006,0)),""))</f>
        <v/>
      </c>
      <c r="K1950" s="82" t="str">
        <f aca="false">IF(B1950="","",IFERROR(INDEX('CARNET DE SOUDURE'!$E$7:$E$3006,MATCH(B1950,'CARNET DE SOUDURE'!$L$7:$L$3006,0)),""))</f>
        <v/>
      </c>
      <c r="L1950" s="82" t="str">
        <f aca="false">IF(B1950="","",IFERROR(INDEX('CARNET DE SOUDURE'!$D$7:$D$3006,MATCH(B1950,'CARNET DE SOUDURE'!$L$7:$L$3006,0)),IFERROR(INDEX('CARNET DE SOUDURE'!$D$7:$D$3006,MATCH(B1950,'CARNET DE SOUDURE'!$O$7:$O$3006,0)),"")))</f>
        <v/>
      </c>
      <c r="M1950" s="82" t="str">
        <f aca="false">IF(B1950="","",IF(OR(J1950&lt;&gt;"",K1950&lt;&gt;""),"POSÉ EN LIGNE",IF(COUNTIF(BARDAGE!$C$1:$C$5000,B1950)&gt;0,"BARDÉ","EN STOCK")))</f>
        <v/>
      </c>
      <c r="N1950" s="80"/>
    </row>
    <row r="1951" customFormat="false" ht="15" hidden="false" customHeight="false" outlineLevel="0" collapsed="false">
      <c r="A1951" s="82" t="str">
        <f aca="false">IF(B1951="","",ROW()-6)</f>
        <v/>
      </c>
      <c r="B1951" s="145"/>
      <c r="C1951" s="146"/>
      <c r="D1951" s="146"/>
      <c r="E1951" s="82" t="str">
        <f aca="false">IF(B1951="","",IF(COUNTIFS('CARNET DE SOUDURE'!$L$7:$L$3006,B1951,'CARNET DE SOUDURE'!$M$7:$M$3006,"&lt;&gt;"&amp;C1951,'CARNET DE SOUDURE'!$M$7:$M$3006,"&lt;&gt;")+COUNTIFS('CARNET DE SOUDURE'!$O$7:$O$3006,B1951,'CARNET DE SOUDURE'!$P$7:$P$3006,"&lt;&gt;"&amp;C1951,'CARNET DE SOUDURE'!$P$7:$P$3006,"&lt;&gt;")&gt;0,"⚠ DIFFÉRENTE","OK"))</f>
        <v/>
      </c>
      <c r="F1951" s="147"/>
      <c r="G1951" s="80"/>
      <c r="H1951" s="83"/>
      <c r="I1951" s="148" t="str">
        <f aca="false">IF(B1951="","",IFERROR(INDEX('CARNET DE SOUDURE'!$B$7:$B$3006,MATCH(B1951,'CARNET DE SOUDURE'!$L$7:$L$3006,0)),IFERROR(INDEX('CARNET DE SOUDURE'!$B$7:$B$3006,MATCH(B1951,'CARNET DE SOUDURE'!$O$7:$O$3006,0)),"")))</f>
        <v/>
      </c>
      <c r="J1951" s="82" t="str">
        <f aca="false">IF(B1951="","",IFERROR(INDEX('CARNET DE SOUDURE'!$E$7:$E$3006,MATCH(B1951,'CARNET DE SOUDURE'!$O$7:$O$3006,0)),""))</f>
        <v/>
      </c>
      <c r="K1951" s="82" t="str">
        <f aca="false">IF(B1951="","",IFERROR(INDEX('CARNET DE SOUDURE'!$E$7:$E$3006,MATCH(B1951,'CARNET DE SOUDURE'!$L$7:$L$3006,0)),""))</f>
        <v/>
      </c>
      <c r="L1951" s="82" t="str">
        <f aca="false">IF(B1951="","",IFERROR(INDEX('CARNET DE SOUDURE'!$D$7:$D$3006,MATCH(B1951,'CARNET DE SOUDURE'!$L$7:$L$3006,0)),IFERROR(INDEX('CARNET DE SOUDURE'!$D$7:$D$3006,MATCH(B1951,'CARNET DE SOUDURE'!$O$7:$O$3006,0)),"")))</f>
        <v/>
      </c>
      <c r="M1951" s="82" t="str">
        <f aca="false">IF(B1951="","",IF(OR(J1951&lt;&gt;"",K1951&lt;&gt;""),"POSÉ EN LIGNE",IF(COUNTIF(BARDAGE!$C$1:$C$5000,B1951)&gt;0,"BARDÉ","EN STOCK")))</f>
        <v/>
      </c>
      <c r="N1951" s="80"/>
    </row>
    <row r="1952" customFormat="false" ht="15" hidden="false" customHeight="false" outlineLevel="0" collapsed="false">
      <c r="A1952" s="82" t="str">
        <f aca="false">IF(B1952="","",ROW()-6)</f>
        <v/>
      </c>
      <c r="B1952" s="145"/>
      <c r="C1952" s="146"/>
      <c r="D1952" s="146"/>
      <c r="E1952" s="82" t="str">
        <f aca="false">IF(B1952="","",IF(COUNTIFS('CARNET DE SOUDURE'!$L$7:$L$3006,B1952,'CARNET DE SOUDURE'!$M$7:$M$3006,"&lt;&gt;"&amp;C1952,'CARNET DE SOUDURE'!$M$7:$M$3006,"&lt;&gt;")+COUNTIFS('CARNET DE SOUDURE'!$O$7:$O$3006,B1952,'CARNET DE SOUDURE'!$P$7:$P$3006,"&lt;&gt;"&amp;C1952,'CARNET DE SOUDURE'!$P$7:$P$3006,"&lt;&gt;")&gt;0,"⚠ DIFFÉRENTE","OK"))</f>
        <v/>
      </c>
      <c r="F1952" s="147"/>
      <c r="G1952" s="80"/>
      <c r="H1952" s="83"/>
      <c r="I1952" s="148" t="str">
        <f aca="false">IF(B1952="","",IFERROR(INDEX('CARNET DE SOUDURE'!$B$7:$B$3006,MATCH(B1952,'CARNET DE SOUDURE'!$L$7:$L$3006,0)),IFERROR(INDEX('CARNET DE SOUDURE'!$B$7:$B$3006,MATCH(B1952,'CARNET DE SOUDURE'!$O$7:$O$3006,0)),"")))</f>
        <v/>
      </c>
      <c r="J1952" s="82" t="str">
        <f aca="false">IF(B1952="","",IFERROR(INDEX('CARNET DE SOUDURE'!$E$7:$E$3006,MATCH(B1952,'CARNET DE SOUDURE'!$O$7:$O$3006,0)),""))</f>
        <v/>
      </c>
      <c r="K1952" s="82" t="str">
        <f aca="false">IF(B1952="","",IFERROR(INDEX('CARNET DE SOUDURE'!$E$7:$E$3006,MATCH(B1952,'CARNET DE SOUDURE'!$L$7:$L$3006,0)),""))</f>
        <v/>
      </c>
      <c r="L1952" s="82" t="str">
        <f aca="false">IF(B1952="","",IFERROR(INDEX('CARNET DE SOUDURE'!$D$7:$D$3006,MATCH(B1952,'CARNET DE SOUDURE'!$L$7:$L$3006,0)),IFERROR(INDEX('CARNET DE SOUDURE'!$D$7:$D$3006,MATCH(B1952,'CARNET DE SOUDURE'!$O$7:$O$3006,0)),"")))</f>
        <v/>
      </c>
      <c r="M1952" s="82" t="str">
        <f aca="false">IF(B1952="","",IF(OR(J1952&lt;&gt;"",K1952&lt;&gt;""),"POSÉ EN LIGNE",IF(COUNTIF(BARDAGE!$C$1:$C$5000,B1952)&gt;0,"BARDÉ","EN STOCK")))</f>
        <v/>
      </c>
      <c r="N1952" s="80"/>
    </row>
    <row r="1953" customFormat="false" ht="15" hidden="false" customHeight="false" outlineLevel="0" collapsed="false">
      <c r="A1953" s="82" t="str">
        <f aca="false">IF(B1953="","",ROW()-6)</f>
        <v/>
      </c>
      <c r="B1953" s="145"/>
      <c r="C1953" s="146"/>
      <c r="D1953" s="146"/>
      <c r="E1953" s="82" t="str">
        <f aca="false">IF(B1953="","",IF(COUNTIFS('CARNET DE SOUDURE'!$L$7:$L$3006,B1953,'CARNET DE SOUDURE'!$M$7:$M$3006,"&lt;&gt;"&amp;C1953,'CARNET DE SOUDURE'!$M$7:$M$3006,"&lt;&gt;")+COUNTIFS('CARNET DE SOUDURE'!$O$7:$O$3006,B1953,'CARNET DE SOUDURE'!$P$7:$P$3006,"&lt;&gt;"&amp;C1953,'CARNET DE SOUDURE'!$P$7:$P$3006,"&lt;&gt;")&gt;0,"⚠ DIFFÉRENTE","OK"))</f>
        <v/>
      </c>
      <c r="F1953" s="147"/>
      <c r="G1953" s="80"/>
      <c r="H1953" s="83"/>
      <c r="I1953" s="148" t="str">
        <f aca="false">IF(B1953="","",IFERROR(INDEX('CARNET DE SOUDURE'!$B$7:$B$3006,MATCH(B1953,'CARNET DE SOUDURE'!$L$7:$L$3006,0)),IFERROR(INDEX('CARNET DE SOUDURE'!$B$7:$B$3006,MATCH(B1953,'CARNET DE SOUDURE'!$O$7:$O$3006,0)),"")))</f>
        <v/>
      </c>
      <c r="J1953" s="82" t="str">
        <f aca="false">IF(B1953="","",IFERROR(INDEX('CARNET DE SOUDURE'!$E$7:$E$3006,MATCH(B1953,'CARNET DE SOUDURE'!$O$7:$O$3006,0)),""))</f>
        <v/>
      </c>
      <c r="K1953" s="82" t="str">
        <f aca="false">IF(B1953="","",IFERROR(INDEX('CARNET DE SOUDURE'!$E$7:$E$3006,MATCH(B1953,'CARNET DE SOUDURE'!$L$7:$L$3006,0)),""))</f>
        <v/>
      </c>
      <c r="L1953" s="82" t="str">
        <f aca="false">IF(B1953="","",IFERROR(INDEX('CARNET DE SOUDURE'!$D$7:$D$3006,MATCH(B1953,'CARNET DE SOUDURE'!$L$7:$L$3006,0)),IFERROR(INDEX('CARNET DE SOUDURE'!$D$7:$D$3006,MATCH(B1953,'CARNET DE SOUDURE'!$O$7:$O$3006,0)),"")))</f>
        <v/>
      </c>
      <c r="M1953" s="82" t="str">
        <f aca="false">IF(B1953="","",IF(OR(J1953&lt;&gt;"",K1953&lt;&gt;""),"POSÉ EN LIGNE",IF(COUNTIF(BARDAGE!$C$1:$C$5000,B1953)&gt;0,"BARDÉ","EN STOCK")))</f>
        <v/>
      </c>
      <c r="N1953" s="80"/>
    </row>
    <row r="1954" customFormat="false" ht="15" hidden="false" customHeight="false" outlineLevel="0" collapsed="false">
      <c r="A1954" s="82" t="str">
        <f aca="false">IF(B1954="","",ROW()-6)</f>
        <v/>
      </c>
      <c r="B1954" s="145"/>
      <c r="C1954" s="146"/>
      <c r="D1954" s="146"/>
      <c r="E1954" s="82" t="str">
        <f aca="false">IF(B1954="","",IF(COUNTIFS('CARNET DE SOUDURE'!$L$7:$L$3006,B1954,'CARNET DE SOUDURE'!$M$7:$M$3006,"&lt;&gt;"&amp;C1954,'CARNET DE SOUDURE'!$M$7:$M$3006,"&lt;&gt;")+COUNTIFS('CARNET DE SOUDURE'!$O$7:$O$3006,B1954,'CARNET DE SOUDURE'!$P$7:$P$3006,"&lt;&gt;"&amp;C1954,'CARNET DE SOUDURE'!$P$7:$P$3006,"&lt;&gt;")&gt;0,"⚠ DIFFÉRENTE","OK"))</f>
        <v/>
      </c>
      <c r="F1954" s="147"/>
      <c r="G1954" s="80"/>
      <c r="H1954" s="83"/>
      <c r="I1954" s="148" t="str">
        <f aca="false">IF(B1954="","",IFERROR(INDEX('CARNET DE SOUDURE'!$B$7:$B$3006,MATCH(B1954,'CARNET DE SOUDURE'!$L$7:$L$3006,0)),IFERROR(INDEX('CARNET DE SOUDURE'!$B$7:$B$3006,MATCH(B1954,'CARNET DE SOUDURE'!$O$7:$O$3006,0)),"")))</f>
        <v/>
      </c>
      <c r="J1954" s="82" t="str">
        <f aca="false">IF(B1954="","",IFERROR(INDEX('CARNET DE SOUDURE'!$E$7:$E$3006,MATCH(B1954,'CARNET DE SOUDURE'!$O$7:$O$3006,0)),""))</f>
        <v/>
      </c>
      <c r="K1954" s="82" t="str">
        <f aca="false">IF(B1954="","",IFERROR(INDEX('CARNET DE SOUDURE'!$E$7:$E$3006,MATCH(B1954,'CARNET DE SOUDURE'!$L$7:$L$3006,0)),""))</f>
        <v/>
      </c>
      <c r="L1954" s="82" t="str">
        <f aca="false">IF(B1954="","",IFERROR(INDEX('CARNET DE SOUDURE'!$D$7:$D$3006,MATCH(B1954,'CARNET DE SOUDURE'!$L$7:$L$3006,0)),IFERROR(INDEX('CARNET DE SOUDURE'!$D$7:$D$3006,MATCH(B1954,'CARNET DE SOUDURE'!$O$7:$O$3006,0)),"")))</f>
        <v/>
      </c>
      <c r="M1954" s="82" t="str">
        <f aca="false">IF(B1954="","",IF(OR(J1954&lt;&gt;"",K1954&lt;&gt;""),"POSÉ EN LIGNE",IF(COUNTIF(BARDAGE!$C$1:$C$5000,B1954)&gt;0,"BARDÉ","EN STOCK")))</f>
        <v/>
      </c>
      <c r="N1954" s="80"/>
    </row>
    <row r="1955" customFormat="false" ht="15" hidden="false" customHeight="false" outlineLevel="0" collapsed="false">
      <c r="A1955" s="82" t="str">
        <f aca="false">IF(B1955="","",ROW()-6)</f>
        <v/>
      </c>
      <c r="B1955" s="145"/>
      <c r="C1955" s="146"/>
      <c r="D1955" s="146"/>
      <c r="E1955" s="82" t="str">
        <f aca="false">IF(B1955="","",IF(COUNTIFS('CARNET DE SOUDURE'!$L$7:$L$3006,B1955,'CARNET DE SOUDURE'!$M$7:$M$3006,"&lt;&gt;"&amp;C1955,'CARNET DE SOUDURE'!$M$7:$M$3006,"&lt;&gt;")+COUNTIFS('CARNET DE SOUDURE'!$O$7:$O$3006,B1955,'CARNET DE SOUDURE'!$P$7:$P$3006,"&lt;&gt;"&amp;C1955,'CARNET DE SOUDURE'!$P$7:$P$3006,"&lt;&gt;")&gt;0,"⚠ DIFFÉRENTE","OK"))</f>
        <v/>
      </c>
      <c r="F1955" s="147"/>
      <c r="G1955" s="80"/>
      <c r="H1955" s="83"/>
      <c r="I1955" s="148" t="str">
        <f aca="false">IF(B1955="","",IFERROR(INDEX('CARNET DE SOUDURE'!$B$7:$B$3006,MATCH(B1955,'CARNET DE SOUDURE'!$L$7:$L$3006,0)),IFERROR(INDEX('CARNET DE SOUDURE'!$B$7:$B$3006,MATCH(B1955,'CARNET DE SOUDURE'!$O$7:$O$3006,0)),"")))</f>
        <v/>
      </c>
      <c r="J1955" s="82" t="str">
        <f aca="false">IF(B1955="","",IFERROR(INDEX('CARNET DE SOUDURE'!$E$7:$E$3006,MATCH(B1955,'CARNET DE SOUDURE'!$O$7:$O$3006,0)),""))</f>
        <v/>
      </c>
      <c r="K1955" s="82" t="str">
        <f aca="false">IF(B1955="","",IFERROR(INDEX('CARNET DE SOUDURE'!$E$7:$E$3006,MATCH(B1955,'CARNET DE SOUDURE'!$L$7:$L$3006,0)),""))</f>
        <v/>
      </c>
      <c r="L1955" s="82" t="str">
        <f aca="false">IF(B1955="","",IFERROR(INDEX('CARNET DE SOUDURE'!$D$7:$D$3006,MATCH(B1955,'CARNET DE SOUDURE'!$L$7:$L$3006,0)),IFERROR(INDEX('CARNET DE SOUDURE'!$D$7:$D$3006,MATCH(B1955,'CARNET DE SOUDURE'!$O$7:$O$3006,0)),"")))</f>
        <v/>
      </c>
      <c r="M1955" s="82" t="str">
        <f aca="false">IF(B1955="","",IF(OR(J1955&lt;&gt;"",K1955&lt;&gt;""),"POSÉ EN LIGNE",IF(COUNTIF(BARDAGE!$C$1:$C$5000,B1955)&gt;0,"BARDÉ","EN STOCK")))</f>
        <v/>
      </c>
      <c r="N1955" s="80"/>
    </row>
    <row r="1956" customFormat="false" ht="15" hidden="false" customHeight="false" outlineLevel="0" collapsed="false">
      <c r="A1956" s="82" t="str">
        <f aca="false">IF(B1956="","",ROW()-6)</f>
        <v/>
      </c>
      <c r="B1956" s="145"/>
      <c r="C1956" s="146"/>
      <c r="D1956" s="146"/>
      <c r="E1956" s="82" t="str">
        <f aca="false">IF(B1956="","",IF(COUNTIFS('CARNET DE SOUDURE'!$L$7:$L$3006,B1956,'CARNET DE SOUDURE'!$M$7:$M$3006,"&lt;&gt;"&amp;C1956,'CARNET DE SOUDURE'!$M$7:$M$3006,"&lt;&gt;")+COUNTIFS('CARNET DE SOUDURE'!$O$7:$O$3006,B1956,'CARNET DE SOUDURE'!$P$7:$P$3006,"&lt;&gt;"&amp;C1956,'CARNET DE SOUDURE'!$P$7:$P$3006,"&lt;&gt;")&gt;0,"⚠ DIFFÉRENTE","OK"))</f>
        <v/>
      </c>
      <c r="F1956" s="147"/>
      <c r="G1956" s="80"/>
      <c r="H1956" s="83"/>
      <c r="I1956" s="148" t="str">
        <f aca="false">IF(B1956="","",IFERROR(INDEX('CARNET DE SOUDURE'!$B$7:$B$3006,MATCH(B1956,'CARNET DE SOUDURE'!$L$7:$L$3006,0)),IFERROR(INDEX('CARNET DE SOUDURE'!$B$7:$B$3006,MATCH(B1956,'CARNET DE SOUDURE'!$O$7:$O$3006,0)),"")))</f>
        <v/>
      </c>
      <c r="J1956" s="82" t="str">
        <f aca="false">IF(B1956="","",IFERROR(INDEX('CARNET DE SOUDURE'!$E$7:$E$3006,MATCH(B1956,'CARNET DE SOUDURE'!$O$7:$O$3006,0)),""))</f>
        <v/>
      </c>
      <c r="K1956" s="82" t="str">
        <f aca="false">IF(B1956="","",IFERROR(INDEX('CARNET DE SOUDURE'!$E$7:$E$3006,MATCH(B1956,'CARNET DE SOUDURE'!$L$7:$L$3006,0)),""))</f>
        <v/>
      </c>
      <c r="L1956" s="82" t="str">
        <f aca="false">IF(B1956="","",IFERROR(INDEX('CARNET DE SOUDURE'!$D$7:$D$3006,MATCH(B1956,'CARNET DE SOUDURE'!$L$7:$L$3006,0)),IFERROR(INDEX('CARNET DE SOUDURE'!$D$7:$D$3006,MATCH(B1956,'CARNET DE SOUDURE'!$O$7:$O$3006,0)),"")))</f>
        <v/>
      </c>
      <c r="M1956" s="82" t="str">
        <f aca="false">IF(B1956="","",IF(OR(J1956&lt;&gt;"",K1956&lt;&gt;""),"POSÉ EN LIGNE",IF(COUNTIF(BARDAGE!$C$1:$C$5000,B1956)&gt;0,"BARDÉ","EN STOCK")))</f>
        <v/>
      </c>
      <c r="N1956" s="80"/>
    </row>
    <row r="1957" customFormat="false" ht="15" hidden="false" customHeight="false" outlineLevel="0" collapsed="false">
      <c r="A1957" s="82" t="str">
        <f aca="false">IF(B1957="","",ROW()-6)</f>
        <v/>
      </c>
      <c r="B1957" s="145"/>
      <c r="C1957" s="146"/>
      <c r="D1957" s="146"/>
      <c r="E1957" s="82" t="str">
        <f aca="false">IF(B1957="","",IF(COUNTIFS('CARNET DE SOUDURE'!$L$7:$L$3006,B1957,'CARNET DE SOUDURE'!$M$7:$M$3006,"&lt;&gt;"&amp;C1957,'CARNET DE SOUDURE'!$M$7:$M$3006,"&lt;&gt;")+COUNTIFS('CARNET DE SOUDURE'!$O$7:$O$3006,B1957,'CARNET DE SOUDURE'!$P$7:$P$3006,"&lt;&gt;"&amp;C1957,'CARNET DE SOUDURE'!$P$7:$P$3006,"&lt;&gt;")&gt;0,"⚠ DIFFÉRENTE","OK"))</f>
        <v/>
      </c>
      <c r="F1957" s="147"/>
      <c r="G1957" s="80"/>
      <c r="H1957" s="83"/>
      <c r="I1957" s="148" t="str">
        <f aca="false">IF(B1957="","",IFERROR(INDEX('CARNET DE SOUDURE'!$B$7:$B$3006,MATCH(B1957,'CARNET DE SOUDURE'!$L$7:$L$3006,0)),IFERROR(INDEX('CARNET DE SOUDURE'!$B$7:$B$3006,MATCH(B1957,'CARNET DE SOUDURE'!$O$7:$O$3006,0)),"")))</f>
        <v/>
      </c>
      <c r="J1957" s="82" t="str">
        <f aca="false">IF(B1957="","",IFERROR(INDEX('CARNET DE SOUDURE'!$E$7:$E$3006,MATCH(B1957,'CARNET DE SOUDURE'!$O$7:$O$3006,0)),""))</f>
        <v/>
      </c>
      <c r="K1957" s="82" t="str">
        <f aca="false">IF(B1957="","",IFERROR(INDEX('CARNET DE SOUDURE'!$E$7:$E$3006,MATCH(B1957,'CARNET DE SOUDURE'!$L$7:$L$3006,0)),""))</f>
        <v/>
      </c>
      <c r="L1957" s="82" t="str">
        <f aca="false">IF(B1957="","",IFERROR(INDEX('CARNET DE SOUDURE'!$D$7:$D$3006,MATCH(B1957,'CARNET DE SOUDURE'!$L$7:$L$3006,0)),IFERROR(INDEX('CARNET DE SOUDURE'!$D$7:$D$3006,MATCH(B1957,'CARNET DE SOUDURE'!$O$7:$O$3006,0)),"")))</f>
        <v/>
      </c>
      <c r="M1957" s="82" t="str">
        <f aca="false">IF(B1957="","",IF(OR(J1957&lt;&gt;"",K1957&lt;&gt;""),"POSÉ EN LIGNE",IF(COUNTIF(BARDAGE!$C$1:$C$5000,B1957)&gt;0,"BARDÉ","EN STOCK")))</f>
        <v/>
      </c>
      <c r="N1957" s="80"/>
    </row>
    <row r="1958" customFormat="false" ht="15" hidden="false" customHeight="false" outlineLevel="0" collapsed="false">
      <c r="A1958" s="82" t="str">
        <f aca="false">IF(B1958="","",ROW()-6)</f>
        <v/>
      </c>
      <c r="B1958" s="145"/>
      <c r="C1958" s="146"/>
      <c r="D1958" s="146"/>
      <c r="E1958" s="82" t="str">
        <f aca="false">IF(B1958="","",IF(COUNTIFS('CARNET DE SOUDURE'!$L$7:$L$3006,B1958,'CARNET DE SOUDURE'!$M$7:$M$3006,"&lt;&gt;"&amp;C1958,'CARNET DE SOUDURE'!$M$7:$M$3006,"&lt;&gt;")+COUNTIFS('CARNET DE SOUDURE'!$O$7:$O$3006,B1958,'CARNET DE SOUDURE'!$P$7:$P$3006,"&lt;&gt;"&amp;C1958,'CARNET DE SOUDURE'!$P$7:$P$3006,"&lt;&gt;")&gt;0,"⚠ DIFFÉRENTE","OK"))</f>
        <v/>
      </c>
      <c r="F1958" s="147"/>
      <c r="G1958" s="80"/>
      <c r="H1958" s="83"/>
      <c r="I1958" s="148" t="str">
        <f aca="false">IF(B1958="","",IFERROR(INDEX('CARNET DE SOUDURE'!$B$7:$B$3006,MATCH(B1958,'CARNET DE SOUDURE'!$L$7:$L$3006,0)),IFERROR(INDEX('CARNET DE SOUDURE'!$B$7:$B$3006,MATCH(B1958,'CARNET DE SOUDURE'!$O$7:$O$3006,0)),"")))</f>
        <v/>
      </c>
      <c r="J1958" s="82" t="str">
        <f aca="false">IF(B1958="","",IFERROR(INDEX('CARNET DE SOUDURE'!$E$7:$E$3006,MATCH(B1958,'CARNET DE SOUDURE'!$O$7:$O$3006,0)),""))</f>
        <v/>
      </c>
      <c r="K1958" s="82" t="str">
        <f aca="false">IF(B1958="","",IFERROR(INDEX('CARNET DE SOUDURE'!$E$7:$E$3006,MATCH(B1958,'CARNET DE SOUDURE'!$L$7:$L$3006,0)),""))</f>
        <v/>
      </c>
      <c r="L1958" s="82" t="str">
        <f aca="false">IF(B1958="","",IFERROR(INDEX('CARNET DE SOUDURE'!$D$7:$D$3006,MATCH(B1958,'CARNET DE SOUDURE'!$L$7:$L$3006,0)),IFERROR(INDEX('CARNET DE SOUDURE'!$D$7:$D$3006,MATCH(B1958,'CARNET DE SOUDURE'!$O$7:$O$3006,0)),"")))</f>
        <v/>
      </c>
      <c r="M1958" s="82" t="str">
        <f aca="false">IF(B1958="","",IF(OR(J1958&lt;&gt;"",K1958&lt;&gt;""),"POSÉ EN LIGNE",IF(COUNTIF(BARDAGE!$C$1:$C$5000,B1958)&gt;0,"BARDÉ","EN STOCK")))</f>
        <v/>
      </c>
      <c r="N1958" s="80"/>
    </row>
    <row r="1959" customFormat="false" ht="15" hidden="false" customHeight="false" outlineLevel="0" collapsed="false">
      <c r="A1959" s="82" t="str">
        <f aca="false">IF(B1959="","",ROW()-6)</f>
        <v/>
      </c>
      <c r="B1959" s="145"/>
      <c r="C1959" s="146"/>
      <c r="D1959" s="146"/>
      <c r="E1959" s="82" t="str">
        <f aca="false">IF(B1959="","",IF(COUNTIFS('CARNET DE SOUDURE'!$L$7:$L$3006,B1959,'CARNET DE SOUDURE'!$M$7:$M$3006,"&lt;&gt;"&amp;C1959,'CARNET DE SOUDURE'!$M$7:$M$3006,"&lt;&gt;")+COUNTIFS('CARNET DE SOUDURE'!$O$7:$O$3006,B1959,'CARNET DE SOUDURE'!$P$7:$P$3006,"&lt;&gt;"&amp;C1959,'CARNET DE SOUDURE'!$P$7:$P$3006,"&lt;&gt;")&gt;0,"⚠ DIFFÉRENTE","OK"))</f>
        <v/>
      </c>
      <c r="F1959" s="147"/>
      <c r="G1959" s="80"/>
      <c r="H1959" s="83"/>
      <c r="I1959" s="148" t="str">
        <f aca="false">IF(B1959="","",IFERROR(INDEX('CARNET DE SOUDURE'!$B$7:$B$3006,MATCH(B1959,'CARNET DE SOUDURE'!$L$7:$L$3006,0)),IFERROR(INDEX('CARNET DE SOUDURE'!$B$7:$B$3006,MATCH(B1959,'CARNET DE SOUDURE'!$O$7:$O$3006,0)),"")))</f>
        <v/>
      </c>
      <c r="J1959" s="82" t="str">
        <f aca="false">IF(B1959="","",IFERROR(INDEX('CARNET DE SOUDURE'!$E$7:$E$3006,MATCH(B1959,'CARNET DE SOUDURE'!$O$7:$O$3006,0)),""))</f>
        <v/>
      </c>
      <c r="K1959" s="82" t="str">
        <f aca="false">IF(B1959="","",IFERROR(INDEX('CARNET DE SOUDURE'!$E$7:$E$3006,MATCH(B1959,'CARNET DE SOUDURE'!$L$7:$L$3006,0)),""))</f>
        <v/>
      </c>
      <c r="L1959" s="82" t="str">
        <f aca="false">IF(B1959="","",IFERROR(INDEX('CARNET DE SOUDURE'!$D$7:$D$3006,MATCH(B1959,'CARNET DE SOUDURE'!$L$7:$L$3006,0)),IFERROR(INDEX('CARNET DE SOUDURE'!$D$7:$D$3006,MATCH(B1959,'CARNET DE SOUDURE'!$O$7:$O$3006,0)),"")))</f>
        <v/>
      </c>
      <c r="M1959" s="82" t="str">
        <f aca="false">IF(B1959="","",IF(OR(J1959&lt;&gt;"",K1959&lt;&gt;""),"POSÉ EN LIGNE",IF(COUNTIF(BARDAGE!$C$1:$C$5000,B1959)&gt;0,"BARDÉ","EN STOCK")))</f>
        <v/>
      </c>
      <c r="N1959" s="80"/>
    </row>
    <row r="1960" customFormat="false" ht="15" hidden="false" customHeight="false" outlineLevel="0" collapsed="false">
      <c r="A1960" s="82" t="str">
        <f aca="false">IF(B1960="","",ROW()-6)</f>
        <v/>
      </c>
      <c r="B1960" s="145"/>
      <c r="C1960" s="146"/>
      <c r="D1960" s="146"/>
      <c r="E1960" s="82" t="str">
        <f aca="false">IF(B1960="","",IF(COUNTIFS('CARNET DE SOUDURE'!$L$7:$L$3006,B1960,'CARNET DE SOUDURE'!$M$7:$M$3006,"&lt;&gt;"&amp;C1960,'CARNET DE SOUDURE'!$M$7:$M$3006,"&lt;&gt;")+COUNTIFS('CARNET DE SOUDURE'!$O$7:$O$3006,B1960,'CARNET DE SOUDURE'!$P$7:$P$3006,"&lt;&gt;"&amp;C1960,'CARNET DE SOUDURE'!$P$7:$P$3006,"&lt;&gt;")&gt;0,"⚠ DIFFÉRENTE","OK"))</f>
        <v/>
      </c>
      <c r="F1960" s="147"/>
      <c r="G1960" s="80"/>
      <c r="H1960" s="83"/>
      <c r="I1960" s="148" t="str">
        <f aca="false">IF(B1960="","",IFERROR(INDEX('CARNET DE SOUDURE'!$B$7:$B$3006,MATCH(B1960,'CARNET DE SOUDURE'!$L$7:$L$3006,0)),IFERROR(INDEX('CARNET DE SOUDURE'!$B$7:$B$3006,MATCH(B1960,'CARNET DE SOUDURE'!$O$7:$O$3006,0)),"")))</f>
        <v/>
      </c>
      <c r="J1960" s="82" t="str">
        <f aca="false">IF(B1960="","",IFERROR(INDEX('CARNET DE SOUDURE'!$E$7:$E$3006,MATCH(B1960,'CARNET DE SOUDURE'!$O$7:$O$3006,0)),""))</f>
        <v/>
      </c>
      <c r="K1960" s="82" t="str">
        <f aca="false">IF(B1960="","",IFERROR(INDEX('CARNET DE SOUDURE'!$E$7:$E$3006,MATCH(B1960,'CARNET DE SOUDURE'!$L$7:$L$3006,0)),""))</f>
        <v/>
      </c>
      <c r="L1960" s="82" t="str">
        <f aca="false">IF(B1960="","",IFERROR(INDEX('CARNET DE SOUDURE'!$D$7:$D$3006,MATCH(B1960,'CARNET DE SOUDURE'!$L$7:$L$3006,0)),IFERROR(INDEX('CARNET DE SOUDURE'!$D$7:$D$3006,MATCH(B1960,'CARNET DE SOUDURE'!$O$7:$O$3006,0)),"")))</f>
        <v/>
      </c>
      <c r="M1960" s="82" t="str">
        <f aca="false">IF(B1960="","",IF(OR(J1960&lt;&gt;"",K1960&lt;&gt;""),"POSÉ EN LIGNE",IF(COUNTIF(BARDAGE!$C$1:$C$5000,B1960)&gt;0,"BARDÉ","EN STOCK")))</f>
        <v/>
      </c>
      <c r="N1960" s="80"/>
    </row>
    <row r="1961" customFormat="false" ht="15" hidden="false" customHeight="false" outlineLevel="0" collapsed="false">
      <c r="A1961" s="82" t="str">
        <f aca="false">IF(B1961="","",ROW()-6)</f>
        <v/>
      </c>
      <c r="B1961" s="145"/>
      <c r="C1961" s="146"/>
      <c r="D1961" s="146"/>
      <c r="E1961" s="82" t="str">
        <f aca="false">IF(B1961="","",IF(COUNTIFS('CARNET DE SOUDURE'!$L$7:$L$3006,B1961,'CARNET DE SOUDURE'!$M$7:$M$3006,"&lt;&gt;"&amp;C1961,'CARNET DE SOUDURE'!$M$7:$M$3006,"&lt;&gt;")+COUNTIFS('CARNET DE SOUDURE'!$O$7:$O$3006,B1961,'CARNET DE SOUDURE'!$P$7:$P$3006,"&lt;&gt;"&amp;C1961,'CARNET DE SOUDURE'!$P$7:$P$3006,"&lt;&gt;")&gt;0,"⚠ DIFFÉRENTE","OK"))</f>
        <v/>
      </c>
      <c r="F1961" s="147"/>
      <c r="G1961" s="80"/>
      <c r="H1961" s="83"/>
      <c r="I1961" s="148" t="str">
        <f aca="false">IF(B1961="","",IFERROR(INDEX('CARNET DE SOUDURE'!$B$7:$B$3006,MATCH(B1961,'CARNET DE SOUDURE'!$L$7:$L$3006,0)),IFERROR(INDEX('CARNET DE SOUDURE'!$B$7:$B$3006,MATCH(B1961,'CARNET DE SOUDURE'!$O$7:$O$3006,0)),"")))</f>
        <v/>
      </c>
      <c r="J1961" s="82" t="str">
        <f aca="false">IF(B1961="","",IFERROR(INDEX('CARNET DE SOUDURE'!$E$7:$E$3006,MATCH(B1961,'CARNET DE SOUDURE'!$O$7:$O$3006,0)),""))</f>
        <v/>
      </c>
      <c r="K1961" s="82" t="str">
        <f aca="false">IF(B1961="","",IFERROR(INDEX('CARNET DE SOUDURE'!$E$7:$E$3006,MATCH(B1961,'CARNET DE SOUDURE'!$L$7:$L$3006,0)),""))</f>
        <v/>
      </c>
      <c r="L1961" s="82" t="str">
        <f aca="false">IF(B1961="","",IFERROR(INDEX('CARNET DE SOUDURE'!$D$7:$D$3006,MATCH(B1961,'CARNET DE SOUDURE'!$L$7:$L$3006,0)),IFERROR(INDEX('CARNET DE SOUDURE'!$D$7:$D$3006,MATCH(B1961,'CARNET DE SOUDURE'!$O$7:$O$3006,0)),"")))</f>
        <v/>
      </c>
      <c r="M1961" s="82" t="str">
        <f aca="false">IF(B1961="","",IF(OR(J1961&lt;&gt;"",K1961&lt;&gt;""),"POSÉ EN LIGNE",IF(COUNTIF(BARDAGE!$C$1:$C$5000,B1961)&gt;0,"BARDÉ","EN STOCK")))</f>
        <v/>
      </c>
      <c r="N1961" s="80"/>
    </row>
    <row r="1962" customFormat="false" ht="15" hidden="false" customHeight="false" outlineLevel="0" collapsed="false">
      <c r="A1962" s="82" t="str">
        <f aca="false">IF(B1962="","",ROW()-6)</f>
        <v/>
      </c>
      <c r="B1962" s="145"/>
      <c r="C1962" s="146"/>
      <c r="D1962" s="146"/>
      <c r="E1962" s="82" t="str">
        <f aca="false">IF(B1962="","",IF(COUNTIFS('CARNET DE SOUDURE'!$L$7:$L$3006,B1962,'CARNET DE SOUDURE'!$M$7:$M$3006,"&lt;&gt;"&amp;C1962,'CARNET DE SOUDURE'!$M$7:$M$3006,"&lt;&gt;")+COUNTIFS('CARNET DE SOUDURE'!$O$7:$O$3006,B1962,'CARNET DE SOUDURE'!$P$7:$P$3006,"&lt;&gt;"&amp;C1962,'CARNET DE SOUDURE'!$P$7:$P$3006,"&lt;&gt;")&gt;0,"⚠ DIFFÉRENTE","OK"))</f>
        <v/>
      </c>
      <c r="F1962" s="147"/>
      <c r="G1962" s="80"/>
      <c r="H1962" s="83"/>
      <c r="I1962" s="148" t="str">
        <f aca="false">IF(B1962="","",IFERROR(INDEX('CARNET DE SOUDURE'!$B$7:$B$3006,MATCH(B1962,'CARNET DE SOUDURE'!$L$7:$L$3006,0)),IFERROR(INDEX('CARNET DE SOUDURE'!$B$7:$B$3006,MATCH(B1962,'CARNET DE SOUDURE'!$O$7:$O$3006,0)),"")))</f>
        <v/>
      </c>
      <c r="J1962" s="82" t="str">
        <f aca="false">IF(B1962="","",IFERROR(INDEX('CARNET DE SOUDURE'!$E$7:$E$3006,MATCH(B1962,'CARNET DE SOUDURE'!$O$7:$O$3006,0)),""))</f>
        <v/>
      </c>
      <c r="K1962" s="82" t="str">
        <f aca="false">IF(B1962="","",IFERROR(INDEX('CARNET DE SOUDURE'!$E$7:$E$3006,MATCH(B1962,'CARNET DE SOUDURE'!$L$7:$L$3006,0)),""))</f>
        <v/>
      </c>
      <c r="L1962" s="82" t="str">
        <f aca="false">IF(B1962="","",IFERROR(INDEX('CARNET DE SOUDURE'!$D$7:$D$3006,MATCH(B1962,'CARNET DE SOUDURE'!$L$7:$L$3006,0)),IFERROR(INDEX('CARNET DE SOUDURE'!$D$7:$D$3006,MATCH(B1962,'CARNET DE SOUDURE'!$O$7:$O$3006,0)),"")))</f>
        <v/>
      </c>
      <c r="M1962" s="82" t="str">
        <f aca="false">IF(B1962="","",IF(OR(J1962&lt;&gt;"",K1962&lt;&gt;""),"POSÉ EN LIGNE",IF(COUNTIF(BARDAGE!$C$1:$C$5000,B1962)&gt;0,"BARDÉ","EN STOCK")))</f>
        <v/>
      </c>
      <c r="N1962" s="80"/>
    </row>
    <row r="1963" customFormat="false" ht="15" hidden="false" customHeight="false" outlineLevel="0" collapsed="false">
      <c r="A1963" s="82" t="str">
        <f aca="false">IF(B1963="","",ROW()-6)</f>
        <v/>
      </c>
      <c r="B1963" s="145"/>
      <c r="C1963" s="146"/>
      <c r="D1963" s="146"/>
      <c r="E1963" s="82" t="str">
        <f aca="false">IF(B1963="","",IF(COUNTIFS('CARNET DE SOUDURE'!$L$7:$L$3006,B1963,'CARNET DE SOUDURE'!$M$7:$M$3006,"&lt;&gt;"&amp;C1963,'CARNET DE SOUDURE'!$M$7:$M$3006,"&lt;&gt;")+COUNTIFS('CARNET DE SOUDURE'!$O$7:$O$3006,B1963,'CARNET DE SOUDURE'!$P$7:$P$3006,"&lt;&gt;"&amp;C1963,'CARNET DE SOUDURE'!$P$7:$P$3006,"&lt;&gt;")&gt;0,"⚠ DIFFÉRENTE","OK"))</f>
        <v/>
      </c>
      <c r="F1963" s="147"/>
      <c r="G1963" s="80"/>
      <c r="H1963" s="83"/>
      <c r="I1963" s="148" t="str">
        <f aca="false">IF(B1963="","",IFERROR(INDEX('CARNET DE SOUDURE'!$B$7:$B$3006,MATCH(B1963,'CARNET DE SOUDURE'!$L$7:$L$3006,0)),IFERROR(INDEX('CARNET DE SOUDURE'!$B$7:$B$3006,MATCH(B1963,'CARNET DE SOUDURE'!$O$7:$O$3006,0)),"")))</f>
        <v/>
      </c>
      <c r="J1963" s="82" t="str">
        <f aca="false">IF(B1963="","",IFERROR(INDEX('CARNET DE SOUDURE'!$E$7:$E$3006,MATCH(B1963,'CARNET DE SOUDURE'!$O$7:$O$3006,0)),""))</f>
        <v/>
      </c>
      <c r="K1963" s="82" t="str">
        <f aca="false">IF(B1963="","",IFERROR(INDEX('CARNET DE SOUDURE'!$E$7:$E$3006,MATCH(B1963,'CARNET DE SOUDURE'!$L$7:$L$3006,0)),""))</f>
        <v/>
      </c>
      <c r="L1963" s="82" t="str">
        <f aca="false">IF(B1963="","",IFERROR(INDEX('CARNET DE SOUDURE'!$D$7:$D$3006,MATCH(B1963,'CARNET DE SOUDURE'!$L$7:$L$3006,0)),IFERROR(INDEX('CARNET DE SOUDURE'!$D$7:$D$3006,MATCH(B1963,'CARNET DE SOUDURE'!$O$7:$O$3006,0)),"")))</f>
        <v/>
      </c>
      <c r="M1963" s="82" t="str">
        <f aca="false">IF(B1963="","",IF(OR(J1963&lt;&gt;"",K1963&lt;&gt;""),"POSÉ EN LIGNE",IF(COUNTIF(BARDAGE!$C$1:$C$5000,B1963)&gt;0,"BARDÉ","EN STOCK")))</f>
        <v/>
      </c>
      <c r="N1963" s="80"/>
    </row>
    <row r="1964" customFormat="false" ht="15" hidden="false" customHeight="false" outlineLevel="0" collapsed="false">
      <c r="A1964" s="82" t="str">
        <f aca="false">IF(B1964="","",ROW()-6)</f>
        <v/>
      </c>
      <c r="B1964" s="145"/>
      <c r="C1964" s="146"/>
      <c r="D1964" s="146"/>
      <c r="E1964" s="82" t="str">
        <f aca="false">IF(B1964="","",IF(COUNTIFS('CARNET DE SOUDURE'!$L$7:$L$3006,B1964,'CARNET DE SOUDURE'!$M$7:$M$3006,"&lt;&gt;"&amp;C1964,'CARNET DE SOUDURE'!$M$7:$M$3006,"&lt;&gt;")+COUNTIFS('CARNET DE SOUDURE'!$O$7:$O$3006,B1964,'CARNET DE SOUDURE'!$P$7:$P$3006,"&lt;&gt;"&amp;C1964,'CARNET DE SOUDURE'!$P$7:$P$3006,"&lt;&gt;")&gt;0,"⚠ DIFFÉRENTE","OK"))</f>
        <v/>
      </c>
      <c r="F1964" s="147"/>
      <c r="G1964" s="80"/>
      <c r="H1964" s="83"/>
      <c r="I1964" s="148" t="str">
        <f aca="false">IF(B1964="","",IFERROR(INDEX('CARNET DE SOUDURE'!$B$7:$B$3006,MATCH(B1964,'CARNET DE SOUDURE'!$L$7:$L$3006,0)),IFERROR(INDEX('CARNET DE SOUDURE'!$B$7:$B$3006,MATCH(B1964,'CARNET DE SOUDURE'!$O$7:$O$3006,0)),"")))</f>
        <v/>
      </c>
      <c r="J1964" s="82" t="str">
        <f aca="false">IF(B1964="","",IFERROR(INDEX('CARNET DE SOUDURE'!$E$7:$E$3006,MATCH(B1964,'CARNET DE SOUDURE'!$O$7:$O$3006,0)),""))</f>
        <v/>
      </c>
      <c r="K1964" s="82" t="str">
        <f aca="false">IF(B1964="","",IFERROR(INDEX('CARNET DE SOUDURE'!$E$7:$E$3006,MATCH(B1964,'CARNET DE SOUDURE'!$L$7:$L$3006,0)),""))</f>
        <v/>
      </c>
      <c r="L1964" s="82" t="str">
        <f aca="false">IF(B1964="","",IFERROR(INDEX('CARNET DE SOUDURE'!$D$7:$D$3006,MATCH(B1964,'CARNET DE SOUDURE'!$L$7:$L$3006,0)),IFERROR(INDEX('CARNET DE SOUDURE'!$D$7:$D$3006,MATCH(B1964,'CARNET DE SOUDURE'!$O$7:$O$3006,0)),"")))</f>
        <v/>
      </c>
      <c r="M1964" s="82" t="str">
        <f aca="false">IF(B1964="","",IF(OR(J1964&lt;&gt;"",K1964&lt;&gt;""),"POSÉ EN LIGNE",IF(COUNTIF(BARDAGE!$C$1:$C$5000,B1964)&gt;0,"BARDÉ","EN STOCK")))</f>
        <v/>
      </c>
      <c r="N1964" s="80"/>
    </row>
    <row r="1965" customFormat="false" ht="15" hidden="false" customHeight="false" outlineLevel="0" collapsed="false">
      <c r="A1965" s="82" t="str">
        <f aca="false">IF(B1965="","",ROW()-6)</f>
        <v/>
      </c>
      <c r="B1965" s="145"/>
      <c r="C1965" s="146"/>
      <c r="D1965" s="146"/>
      <c r="E1965" s="82" t="str">
        <f aca="false">IF(B1965="","",IF(COUNTIFS('CARNET DE SOUDURE'!$L$7:$L$3006,B1965,'CARNET DE SOUDURE'!$M$7:$M$3006,"&lt;&gt;"&amp;C1965,'CARNET DE SOUDURE'!$M$7:$M$3006,"&lt;&gt;")+COUNTIFS('CARNET DE SOUDURE'!$O$7:$O$3006,B1965,'CARNET DE SOUDURE'!$P$7:$P$3006,"&lt;&gt;"&amp;C1965,'CARNET DE SOUDURE'!$P$7:$P$3006,"&lt;&gt;")&gt;0,"⚠ DIFFÉRENTE","OK"))</f>
        <v/>
      </c>
      <c r="F1965" s="147"/>
      <c r="G1965" s="80"/>
      <c r="H1965" s="83"/>
      <c r="I1965" s="148" t="str">
        <f aca="false">IF(B1965="","",IFERROR(INDEX('CARNET DE SOUDURE'!$B$7:$B$3006,MATCH(B1965,'CARNET DE SOUDURE'!$L$7:$L$3006,0)),IFERROR(INDEX('CARNET DE SOUDURE'!$B$7:$B$3006,MATCH(B1965,'CARNET DE SOUDURE'!$O$7:$O$3006,0)),"")))</f>
        <v/>
      </c>
      <c r="J1965" s="82" t="str">
        <f aca="false">IF(B1965="","",IFERROR(INDEX('CARNET DE SOUDURE'!$E$7:$E$3006,MATCH(B1965,'CARNET DE SOUDURE'!$O$7:$O$3006,0)),""))</f>
        <v/>
      </c>
      <c r="K1965" s="82" t="str">
        <f aca="false">IF(B1965="","",IFERROR(INDEX('CARNET DE SOUDURE'!$E$7:$E$3006,MATCH(B1965,'CARNET DE SOUDURE'!$L$7:$L$3006,0)),""))</f>
        <v/>
      </c>
      <c r="L1965" s="82" t="str">
        <f aca="false">IF(B1965="","",IFERROR(INDEX('CARNET DE SOUDURE'!$D$7:$D$3006,MATCH(B1965,'CARNET DE SOUDURE'!$L$7:$L$3006,0)),IFERROR(INDEX('CARNET DE SOUDURE'!$D$7:$D$3006,MATCH(B1965,'CARNET DE SOUDURE'!$O$7:$O$3006,0)),"")))</f>
        <v/>
      </c>
      <c r="M1965" s="82" t="str">
        <f aca="false">IF(B1965="","",IF(OR(J1965&lt;&gt;"",K1965&lt;&gt;""),"POSÉ EN LIGNE",IF(COUNTIF(BARDAGE!$C$1:$C$5000,B1965)&gt;0,"BARDÉ","EN STOCK")))</f>
        <v/>
      </c>
      <c r="N1965" s="80"/>
    </row>
    <row r="1966" customFormat="false" ht="15" hidden="false" customHeight="false" outlineLevel="0" collapsed="false">
      <c r="A1966" s="82" t="str">
        <f aca="false">IF(B1966="","",ROW()-6)</f>
        <v/>
      </c>
      <c r="B1966" s="145"/>
      <c r="C1966" s="146"/>
      <c r="D1966" s="146"/>
      <c r="E1966" s="82" t="str">
        <f aca="false">IF(B1966="","",IF(COUNTIFS('CARNET DE SOUDURE'!$L$7:$L$3006,B1966,'CARNET DE SOUDURE'!$M$7:$M$3006,"&lt;&gt;"&amp;C1966,'CARNET DE SOUDURE'!$M$7:$M$3006,"&lt;&gt;")+COUNTIFS('CARNET DE SOUDURE'!$O$7:$O$3006,B1966,'CARNET DE SOUDURE'!$P$7:$P$3006,"&lt;&gt;"&amp;C1966,'CARNET DE SOUDURE'!$P$7:$P$3006,"&lt;&gt;")&gt;0,"⚠ DIFFÉRENTE","OK"))</f>
        <v/>
      </c>
      <c r="F1966" s="147"/>
      <c r="G1966" s="80"/>
      <c r="H1966" s="83"/>
      <c r="I1966" s="148" t="str">
        <f aca="false">IF(B1966="","",IFERROR(INDEX('CARNET DE SOUDURE'!$B$7:$B$3006,MATCH(B1966,'CARNET DE SOUDURE'!$L$7:$L$3006,0)),IFERROR(INDEX('CARNET DE SOUDURE'!$B$7:$B$3006,MATCH(B1966,'CARNET DE SOUDURE'!$O$7:$O$3006,0)),"")))</f>
        <v/>
      </c>
      <c r="J1966" s="82" t="str">
        <f aca="false">IF(B1966="","",IFERROR(INDEX('CARNET DE SOUDURE'!$E$7:$E$3006,MATCH(B1966,'CARNET DE SOUDURE'!$O$7:$O$3006,0)),""))</f>
        <v/>
      </c>
      <c r="K1966" s="82" t="str">
        <f aca="false">IF(B1966="","",IFERROR(INDEX('CARNET DE SOUDURE'!$E$7:$E$3006,MATCH(B1966,'CARNET DE SOUDURE'!$L$7:$L$3006,0)),""))</f>
        <v/>
      </c>
      <c r="L1966" s="82" t="str">
        <f aca="false">IF(B1966="","",IFERROR(INDEX('CARNET DE SOUDURE'!$D$7:$D$3006,MATCH(B1966,'CARNET DE SOUDURE'!$L$7:$L$3006,0)),IFERROR(INDEX('CARNET DE SOUDURE'!$D$7:$D$3006,MATCH(B1966,'CARNET DE SOUDURE'!$O$7:$O$3006,0)),"")))</f>
        <v/>
      </c>
      <c r="M1966" s="82" t="str">
        <f aca="false">IF(B1966="","",IF(OR(J1966&lt;&gt;"",K1966&lt;&gt;""),"POSÉ EN LIGNE",IF(COUNTIF(BARDAGE!$C$1:$C$5000,B1966)&gt;0,"BARDÉ","EN STOCK")))</f>
        <v/>
      </c>
      <c r="N1966" s="80"/>
    </row>
    <row r="1967" customFormat="false" ht="15" hidden="false" customHeight="false" outlineLevel="0" collapsed="false">
      <c r="A1967" s="82" t="str">
        <f aca="false">IF(B1967="","",ROW()-6)</f>
        <v/>
      </c>
      <c r="B1967" s="145"/>
      <c r="C1967" s="146"/>
      <c r="D1967" s="146"/>
      <c r="E1967" s="82" t="str">
        <f aca="false">IF(B1967="","",IF(COUNTIFS('CARNET DE SOUDURE'!$L$7:$L$3006,B1967,'CARNET DE SOUDURE'!$M$7:$M$3006,"&lt;&gt;"&amp;C1967,'CARNET DE SOUDURE'!$M$7:$M$3006,"&lt;&gt;")+COUNTIFS('CARNET DE SOUDURE'!$O$7:$O$3006,B1967,'CARNET DE SOUDURE'!$P$7:$P$3006,"&lt;&gt;"&amp;C1967,'CARNET DE SOUDURE'!$P$7:$P$3006,"&lt;&gt;")&gt;0,"⚠ DIFFÉRENTE","OK"))</f>
        <v/>
      </c>
      <c r="F1967" s="147"/>
      <c r="G1967" s="80"/>
      <c r="H1967" s="83"/>
      <c r="I1967" s="148" t="str">
        <f aca="false">IF(B1967="","",IFERROR(INDEX('CARNET DE SOUDURE'!$B$7:$B$3006,MATCH(B1967,'CARNET DE SOUDURE'!$L$7:$L$3006,0)),IFERROR(INDEX('CARNET DE SOUDURE'!$B$7:$B$3006,MATCH(B1967,'CARNET DE SOUDURE'!$O$7:$O$3006,0)),"")))</f>
        <v/>
      </c>
      <c r="J1967" s="82" t="str">
        <f aca="false">IF(B1967="","",IFERROR(INDEX('CARNET DE SOUDURE'!$E$7:$E$3006,MATCH(B1967,'CARNET DE SOUDURE'!$O$7:$O$3006,0)),""))</f>
        <v/>
      </c>
      <c r="K1967" s="82" t="str">
        <f aca="false">IF(B1967="","",IFERROR(INDEX('CARNET DE SOUDURE'!$E$7:$E$3006,MATCH(B1967,'CARNET DE SOUDURE'!$L$7:$L$3006,0)),""))</f>
        <v/>
      </c>
      <c r="L1967" s="82" t="str">
        <f aca="false">IF(B1967="","",IFERROR(INDEX('CARNET DE SOUDURE'!$D$7:$D$3006,MATCH(B1967,'CARNET DE SOUDURE'!$L$7:$L$3006,0)),IFERROR(INDEX('CARNET DE SOUDURE'!$D$7:$D$3006,MATCH(B1967,'CARNET DE SOUDURE'!$O$7:$O$3006,0)),"")))</f>
        <v/>
      </c>
      <c r="M1967" s="82" t="str">
        <f aca="false">IF(B1967="","",IF(OR(J1967&lt;&gt;"",K1967&lt;&gt;""),"POSÉ EN LIGNE",IF(COUNTIF(BARDAGE!$C$1:$C$5000,B1967)&gt;0,"BARDÉ","EN STOCK")))</f>
        <v/>
      </c>
      <c r="N1967" s="80"/>
    </row>
    <row r="1968" customFormat="false" ht="15" hidden="false" customHeight="false" outlineLevel="0" collapsed="false">
      <c r="A1968" s="82" t="str">
        <f aca="false">IF(B1968="","",ROW()-6)</f>
        <v/>
      </c>
      <c r="B1968" s="145"/>
      <c r="C1968" s="146"/>
      <c r="D1968" s="146"/>
      <c r="E1968" s="82" t="str">
        <f aca="false">IF(B1968="","",IF(COUNTIFS('CARNET DE SOUDURE'!$L$7:$L$3006,B1968,'CARNET DE SOUDURE'!$M$7:$M$3006,"&lt;&gt;"&amp;C1968,'CARNET DE SOUDURE'!$M$7:$M$3006,"&lt;&gt;")+COUNTIFS('CARNET DE SOUDURE'!$O$7:$O$3006,B1968,'CARNET DE SOUDURE'!$P$7:$P$3006,"&lt;&gt;"&amp;C1968,'CARNET DE SOUDURE'!$P$7:$P$3006,"&lt;&gt;")&gt;0,"⚠ DIFFÉRENTE","OK"))</f>
        <v/>
      </c>
      <c r="F1968" s="147"/>
      <c r="G1968" s="80"/>
      <c r="H1968" s="83"/>
      <c r="I1968" s="148" t="str">
        <f aca="false">IF(B1968="","",IFERROR(INDEX('CARNET DE SOUDURE'!$B$7:$B$3006,MATCH(B1968,'CARNET DE SOUDURE'!$L$7:$L$3006,0)),IFERROR(INDEX('CARNET DE SOUDURE'!$B$7:$B$3006,MATCH(B1968,'CARNET DE SOUDURE'!$O$7:$O$3006,0)),"")))</f>
        <v/>
      </c>
      <c r="J1968" s="82" t="str">
        <f aca="false">IF(B1968="","",IFERROR(INDEX('CARNET DE SOUDURE'!$E$7:$E$3006,MATCH(B1968,'CARNET DE SOUDURE'!$O$7:$O$3006,0)),""))</f>
        <v/>
      </c>
      <c r="K1968" s="82" t="str">
        <f aca="false">IF(B1968="","",IFERROR(INDEX('CARNET DE SOUDURE'!$E$7:$E$3006,MATCH(B1968,'CARNET DE SOUDURE'!$L$7:$L$3006,0)),""))</f>
        <v/>
      </c>
      <c r="L1968" s="82" t="str">
        <f aca="false">IF(B1968="","",IFERROR(INDEX('CARNET DE SOUDURE'!$D$7:$D$3006,MATCH(B1968,'CARNET DE SOUDURE'!$L$7:$L$3006,0)),IFERROR(INDEX('CARNET DE SOUDURE'!$D$7:$D$3006,MATCH(B1968,'CARNET DE SOUDURE'!$O$7:$O$3006,0)),"")))</f>
        <v/>
      </c>
      <c r="M1968" s="82" t="str">
        <f aca="false">IF(B1968="","",IF(OR(J1968&lt;&gt;"",K1968&lt;&gt;""),"POSÉ EN LIGNE",IF(COUNTIF(BARDAGE!$C$1:$C$5000,B1968)&gt;0,"BARDÉ","EN STOCK")))</f>
        <v/>
      </c>
      <c r="N1968" s="80"/>
    </row>
    <row r="1969" customFormat="false" ht="15" hidden="false" customHeight="false" outlineLevel="0" collapsed="false">
      <c r="A1969" s="82" t="str">
        <f aca="false">IF(B1969="","",ROW()-6)</f>
        <v/>
      </c>
      <c r="B1969" s="145"/>
      <c r="C1969" s="146"/>
      <c r="D1969" s="146"/>
      <c r="E1969" s="82" t="str">
        <f aca="false">IF(B1969="","",IF(COUNTIFS('CARNET DE SOUDURE'!$L$7:$L$3006,B1969,'CARNET DE SOUDURE'!$M$7:$M$3006,"&lt;&gt;"&amp;C1969,'CARNET DE SOUDURE'!$M$7:$M$3006,"&lt;&gt;")+COUNTIFS('CARNET DE SOUDURE'!$O$7:$O$3006,B1969,'CARNET DE SOUDURE'!$P$7:$P$3006,"&lt;&gt;"&amp;C1969,'CARNET DE SOUDURE'!$P$7:$P$3006,"&lt;&gt;")&gt;0,"⚠ DIFFÉRENTE","OK"))</f>
        <v/>
      </c>
      <c r="F1969" s="147"/>
      <c r="G1969" s="80"/>
      <c r="H1969" s="83"/>
      <c r="I1969" s="148" t="str">
        <f aca="false">IF(B1969="","",IFERROR(INDEX('CARNET DE SOUDURE'!$B$7:$B$3006,MATCH(B1969,'CARNET DE SOUDURE'!$L$7:$L$3006,0)),IFERROR(INDEX('CARNET DE SOUDURE'!$B$7:$B$3006,MATCH(B1969,'CARNET DE SOUDURE'!$O$7:$O$3006,0)),"")))</f>
        <v/>
      </c>
      <c r="J1969" s="82" t="str">
        <f aca="false">IF(B1969="","",IFERROR(INDEX('CARNET DE SOUDURE'!$E$7:$E$3006,MATCH(B1969,'CARNET DE SOUDURE'!$O$7:$O$3006,0)),""))</f>
        <v/>
      </c>
      <c r="K1969" s="82" t="str">
        <f aca="false">IF(B1969="","",IFERROR(INDEX('CARNET DE SOUDURE'!$E$7:$E$3006,MATCH(B1969,'CARNET DE SOUDURE'!$L$7:$L$3006,0)),""))</f>
        <v/>
      </c>
      <c r="L1969" s="82" t="str">
        <f aca="false">IF(B1969="","",IFERROR(INDEX('CARNET DE SOUDURE'!$D$7:$D$3006,MATCH(B1969,'CARNET DE SOUDURE'!$L$7:$L$3006,0)),IFERROR(INDEX('CARNET DE SOUDURE'!$D$7:$D$3006,MATCH(B1969,'CARNET DE SOUDURE'!$O$7:$O$3006,0)),"")))</f>
        <v/>
      </c>
      <c r="M1969" s="82" t="str">
        <f aca="false">IF(B1969="","",IF(OR(J1969&lt;&gt;"",K1969&lt;&gt;""),"POSÉ EN LIGNE",IF(COUNTIF(BARDAGE!$C$1:$C$5000,B1969)&gt;0,"BARDÉ","EN STOCK")))</f>
        <v/>
      </c>
      <c r="N1969" s="80"/>
    </row>
    <row r="1970" customFormat="false" ht="15" hidden="false" customHeight="false" outlineLevel="0" collapsed="false">
      <c r="A1970" s="82" t="str">
        <f aca="false">IF(B1970="","",ROW()-6)</f>
        <v/>
      </c>
      <c r="B1970" s="145"/>
      <c r="C1970" s="146"/>
      <c r="D1970" s="146"/>
      <c r="E1970" s="82" t="str">
        <f aca="false">IF(B1970="","",IF(COUNTIFS('CARNET DE SOUDURE'!$L$7:$L$3006,B1970,'CARNET DE SOUDURE'!$M$7:$M$3006,"&lt;&gt;"&amp;C1970,'CARNET DE SOUDURE'!$M$7:$M$3006,"&lt;&gt;")+COUNTIFS('CARNET DE SOUDURE'!$O$7:$O$3006,B1970,'CARNET DE SOUDURE'!$P$7:$P$3006,"&lt;&gt;"&amp;C1970,'CARNET DE SOUDURE'!$P$7:$P$3006,"&lt;&gt;")&gt;0,"⚠ DIFFÉRENTE","OK"))</f>
        <v/>
      </c>
      <c r="F1970" s="147"/>
      <c r="G1970" s="80"/>
      <c r="H1970" s="83"/>
      <c r="I1970" s="148" t="str">
        <f aca="false">IF(B1970="","",IFERROR(INDEX('CARNET DE SOUDURE'!$B$7:$B$3006,MATCH(B1970,'CARNET DE SOUDURE'!$L$7:$L$3006,0)),IFERROR(INDEX('CARNET DE SOUDURE'!$B$7:$B$3006,MATCH(B1970,'CARNET DE SOUDURE'!$O$7:$O$3006,0)),"")))</f>
        <v/>
      </c>
      <c r="J1970" s="82" t="str">
        <f aca="false">IF(B1970="","",IFERROR(INDEX('CARNET DE SOUDURE'!$E$7:$E$3006,MATCH(B1970,'CARNET DE SOUDURE'!$O$7:$O$3006,0)),""))</f>
        <v/>
      </c>
      <c r="K1970" s="82" t="str">
        <f aca="false">IF(B1970="","",IFERROR(INDEX('CARNET DE SOUDURE'!$E$7:$E$3006,MATCH(B1970,'CARNET DE SOUDURE'!$L$7:$L$3006,0)),""))</f>
        <v/>
      </c>
      <c r="L1970" s="82" t="str">
        <f aca="false">IF(B1970="","",IFERROR(INDEX('CARNET DE SOUDURE'!$D$7:$D$3006,MATCH(B1970,'CARNET DE SOUDURE'!$L$7:$L$3006,0)),IFERROR(INDEX('CARNET DE SOUDURE'!$D$7:$D$3006,MATCH(B1970,'CARNET DE SOUDURE'!$O$7:$O$3006,0)),"")))</f>
        <v/>
      </c>
      <c r="M1970" s="82" t="str">
        <f aca="false">IF(B1970="","",IF(OR(J1970&lt;&gt;"",K1970&lt;&gt;""),"POSÉ EN LIGNE",IF(COUNTIF(BARDAGE!$C$1:$C$5000,B1970)&gt;0,"BARDÉ","EN STOCK")))</f>
        <v/>
      </c>
      <c r="N1970" s="80"/>
    </row>
    <row r="1971" customFormat="false" ht="15" hidden="false" customHeight="false" outlineLevel="0" collapsed="false">
      <c r="A1971" s="82" t="str">
        <f aca="false">IF(B1971="","",ROW()-6)</f>
        <v/>
      </c>
      <c r="B1971" s="145"/>
      <c r="C1971" s="146"/>
      <c r="D1971" s="146"/>
      <c r="E1971" s="82" t="str">
        <f aca="false">IF(B1971="","",IF(COUNTIFS('CARNET DE SOUDURE'!$L$7:$L$3006,B1971,'CARNET DE SOUDURE'!$M$7:$M$3006,"&lt;&gt;"&amp;C1971,'CARNET DE SOUDURE'!$M$7:$M$3006,"&lt;&gt;")+COUNTIFS('CARNET DE SOUDURE'!$O$7:$O$3006,B1971,'CARNET DE SOUDURE'!$P$7:$P$3006,"&lt;&gt;"&amp;C1971,'CARNET DE SOUDURE'!$P$7:$P$3006,"&lt;&gt;")&gt;0,"⚠ DIFFÉRENTE","OK"))</f>
        <v/>
      </c>
      <c r="F1971" s="147"/>
      <c r="G1971" s="80"/>
      <c r="H1971" s="83"/>
      <c r="I1971" s="148" t="str">
        <f aca="false">IF(B1971="","",IFERROR(INDEX('CARNET DE SOUDURE'!$B$7:$B$3006,MATCH(B1971,'CARNET DE SOUDURE'!$L$7:$L$3006,0)),IFERROR(INDEX('CARNET DE SOUDURE'!$B$7:$B$3006,MATCH(B1971,'CARNET DE SOUDURE'!$O$7:$O$3006,0)),"")))</f>
        <v/>
      </c>
      <c r="J1971" s="82" t="str">
        <f aca="false">IF(B1971="","",IFERROR(INDEX('CARNET DE SOUDURE'!$E$7:$E$3006,MATCH(B1971,'CARNET DE SOUDURE'!$O$7:$O$3006,0)),""))</f>
        <v/>
      </c>
      <c r="K1971" s="82" t="str">
        <f aca="false">IF(B1971="","",IFERROR(INDEX('CARNET DE SOUDURE'!$E$7:$E$3006,MATCH(B1971,'CARNET DE SOUDURE'!$L$7:$L$3006,0)),""))</f>
        <v/>
      </c>
      <c r="L1971" s="82" t="str">
        <f aca="false">IF(B1971="","",IFERROR(INDEX('CARNET DE SOUDURE'!$D$7:$D$3006,MATCH(B1971,'CARNET DE SOUDURE'!$L$7:$L$3006,0)),IFERROR(INDEX('CARNET DE SOUDURE'!$D$7:$D$3006,MATCH(B1971,'CARNET DE SOUDURE'!$O$7:$O$3006,0)),"")))</f>
        <v/>
      </c>
      <c r="M1971" s="82" t="str">
        <f aca="false">IF(B1971="","",IF(OR(J1971&lt;&gt;"",K1971&lt;&gt;""),"POSÉ EN LIGNE",IF(COUNTIF(BARDAGE!$C$1:$C$5000,B1971)&gt;0,"BARDÉ","EN STOCK")))</f>
        <v/>
      </c>
      <c r="N1971" s="80"/>
    </row>
    <row r="1972" customFormat="false" ht="15" hidden="false" customHeight="false" outlineLevel="0" collapsed="false">
      <c r="A1972" s="82" t="str">
        <f aca="false">IF(B1972="","",ROW()-6)</f>
        <v/>
      </c>
      <c r="B1972" s="145"/>
      <c r="C1972" s="146"/>
      <c r="D1972" s="146"/>
      <c r="E1972" s="82" t="str">
        <f aca="false">IF(B1972="","",IF(COUNTIFS('CARNET DE SOUDURE'!$L$7:$L$3006,B1972,'CARNET DE SOUDURE'!$M$7:$M$3006,"&lt;&gt;"&amp;C1972,'CARNET DE SOUDURE'!$M$7:$M$3006,"&lt;&gt;")+COUNTIFS('CARNET DE SOUDURE'!$O$7:$O$3006,B1972,'CARNET DE SOUDURE'!$P$7:$P$3006,"&lt;&gt;"&amp;C1972,'CARNET DE SOUDURE'!$P$7:$P$3006,"&lt;&gt;")&gt;0,"⚠ DIFFÉRENTE","OK"))</f>
        <v/>
      </c>
      <c r="F1972" s="147"/>
      <c r="G1972" s="80"/>
      <c r="H1972" s="83"/>
      <c r="I1972" s="148" t="str">
        <f aca="false">IF(B1972="","",IFERROR(INDEX('CARNET DE SOUDURE'!$B$7:$B$3006,MATCH(B1972,'CARNET DE SOUDURE'!$L$7:$L$3006,0)),IFERROR(INDEX('CARNET DE SOUDURE'!$B$7:$B$3006,MATCH(B1972,'CARNET DE SOUDURE'!$O$7:$O$3006,0)),"")))</f>
        <v/>
      </c>
      <c r="J1972" s="82" t="str">
        <f aca="false">IF(B1972="","",IFERROR(INDEX('CARNET DE SOUDURE'!$E$7:$E$3006,MATCH(B1972,'CARNET DE SOUDURE'!$O$7:$O$3006,0)),""))</f>
        <v/>
      </c>
      <c r="K1972" s="82" t="str">
        <f aca="false">IF(B1972="","",IFERROR(INDEX('CARNET DE SOUDURE'!$E$7:$E$3006,MATCH(B1972,'CARNET DE SOUDURE'!$L$7:$L$3006,0)),""))</f>
        <v/>
      </c>
      <c r="L1972" s="82" t="str">
        <f aca="false">IF(B1972="","",IFERROR(INDEX('CARNET DE SOUDURE'!$D$7:$D$3006,MATCH(B1972,'CARNET DE SOUDURE'!$L$7:$L$3006,0)),IFERROR(INDEX('CARNET DE SOUDURE'!$D$7:$D$3006,MATCH(B1972,'CARNET DE SOUDURE'!$O$7:$O$3006,0)),"")))</f>
        <v/>
      </c>
      <c r="M1972" s="82" t="str">
        <f aca="false">IF(B1972="","",IF(OR(J1972&lt;&gt;"",K1972&lt;&gt;""),"POSÉ EN LIGNE",IF(COUNTIF(BARDAGE!$C$1:$C$5000,B1972)&gt;0,"BARDÉ","EN STOCK")))</f>
        <v/>
      </c>
      <c r="N1972" s="80"/>
    </row>
    <row r="1973" customFormat="false" ht="15" hidden="false" customHeight="false" outlineLevel="0" collapsed="false">
      <c r="A1973" s="82" t="str">
        <f aca="false">IF(B1973="","",ROW()-6)</f>
        <v/>
      </c>
      <c r="B1973" s="145"/>
      <c r="C1973" s="146"/>
      <c r="D1973" s="146"/>
      <c r="E1973" s="82" t="str">
        <f aca="false">IF(B1973="","",IF(COUNTIFS('CARNET DE SOUDURE'!$L$7:$L$3006,B1973,'CARNET DE SOUDURE'!$M$7:$M$3006,"&lt;&gt;"&amp;C1973,'CARNET DE SOUDURE'!$M$7:$M$3006,"&lt;&gt;")+COUNTIFS('CARNET DE SOUDURE'!$O$7:$O$3006,B1973,'CARNET DE SOUDURE'!$P$7:$P$3006,"&lt;&gt;"&amp;C1973,'CARNET DE SOUDURE'!$P$7:$P$3006,"&lt;&gt;")&gt;0,"⚠ DIFFÉRENTE","OK"))</f>
        <v/>
      </c>
      <c r="F1973" s="147"/>
      <c r="G1973" s="80"/>
      <c r="H1973" s="83"/>
      <c r="I1973" s="148" t="str">
        <f aca="false">IF(B1973="","",IFERROR(INDEX('CARNET DE SOUDURE'!$B$7:$B$3006,MATCH(B1973,'CARNET DE SOUDURE'!$L$7:$L$3006,0)),IFERROR(INDEX('CARNET DE SOUDURE'!$B$7:$B$3006,MATCH(B1973,'CARNET DE SOUDURE'!$O$7:$O$3006,0)),"")))</f>
        <v/>
      </c>
      <c r="J1973" s="82" t="str">
        <f aca="false">IF(B1973="","",IFERROR(INDEX('CARNET DE SOUDURE'!$E$7:$E$3006,MATCH(B1973,'CARNET DE SOUDURE'!$O$7:$O$3006,0)),""))</f>
        <v/>
      </c>
      <c r="K1973" s="82" t="str">
        <f aca="false">IF(B1973="","",IFERROR(INDEX('CARNET DE SOUDURE'!$E$7:$E$3006,MATCH(B1973,'CARNET DE SOUDURE'!$L$7:$L$3006,0)),""))</f>
        <v/>
      </c>
      <c r="L1973" s="82" t="str">
        <f aca="false">IF(B1973="","",IFERROR(INDEX('CARNET DE SOUDURE'!$D$7:$D$3006,MATCH(B1973,'CARNET DE SOUDURE'!$L$7:$L$3006,0)),IFERROR(INDEX('CARNET DE SOUDURE'!$D$7:$D$3006,MATCH(B1973,'CARNET DE SOUDURE'!$O$7:$O$3006,0)),"")))</f>
        <v/>
      </c>
      <c r="M1973" s="82" t="str">
        <f aca="false">IF(B1973="","",IF(OR(J1973&lt;&gt;"",K1973&lt;&gt;""),"POSÉ EN LIGNE",IF(COUNTIF(BARDAGE!$C$1:$C$5000,B1973)&gt;0,"BARDÉ","EN STOCK")))</f>
        <v/>
      </c>
      <c r="N1973" s="80"/>
    </row>
    <row r="1974" customFormat="false" ht="15" hidden="false" customHeight="false" outlineLevel="0" collapsed="false">
      <c r="A1974" s="82" t="str">
        <f aca="false">IF(B1974="","",ROW()-6)</f>
        <v/>
      </c>
      <c r="B1974" s="145"/>
      <c r="C1974" s="146"/>
      <c r="D1974" s="146"/>
      <c r="E1974" s="82" t="str">
        <f aca="false">IF(B1974="","",IF(COUNTIFS('CARNET DE SOUDURE'!$L$7:$L$3006,B1974,'CARNET DE SOUDURE'!$M$7:$M$3006,"&lt;&gt;"&amp;C1974,'CARNET DE SOUDURE'!$M$7:$M$3006,"&lt;&gt;")+COUNTIFS('CARNET DE SOUDURE'!$O$7:$O$3006,B1974,'CARNET DE SOUDURE'!$P$7:$P$3006,"&lt;&gt;"&amp;C1974,'CARNET DE SOUDURE'!$P$7:$P$3006,"&lt;&gt;")&gt;0,"⚠ DIFFÉRENTE","OK"))</f>
        <v/>
      </c>
      <c r="F1974" s="147"/>
      <c r="G1974" s="80"/>
      <c r="H1974" s="83"/>
      <c r="I1974" s="148" t="str">
        <f aca="false">IF(B1974="","",IFERROR(INDEX('CARNET DE SOUDURE'!$B$7:$B$3006,MATCH(B1974,'CARNET DE SOUDURE'!$L$7:$L$3006,0)),IFERROR(INDEX('CARNET DE SOUDURE'!$B$7:$B$3006,MATCH(B1974,'CARNET DE SOUDURE'!$O$7:$O$3006,0)),"")))</f>
        <v/>
      </c>
      <c r="J1974" s="82" t="str">
        <f aca="false">IF(B1974="","",IFERROR(INDEX('CARNET DE SOUDURE'!$E$7:$E$3006,MATCH(B1974,'CARNET DE SOUDURE'!$O$7:$O$3006,0)),""))</f>
        <v/>
      </c>
      <c r="K1974" s="82" t="str">
        <f aca="false">IF(B1974="","",IFERROR(INDEX('CARNET DE SOUDURE'!$E$7:$E$3006,MATCH(B1974,'CARNET DE SOUDURE'!$L$7:$L$3006,0)),""))</f>
        <v/>
      </c>
      <c r="L1974" s="82" t="str">
        <f aca="false">IF(B1974="","",IFERROR(INDEX('CARNET DE SOUDURE'!$D$7:$D$3006,MATCH(B1974,'CARNET DE SOUDURE'!$L$7:$L$3006,0)),IFERROR(INDEX('CARNET DE SOUDURE'!$D$7:$D$3006,MATCH(B1974,'CARNET DE SOUDURE'!$O$7:$O$3006,0)),"")))</f>
        <v/>
      </c>
      <c r="M1974" s="82" t="str">
        <f aca="false">IF(B1974="","",IF(OR(J1974&lt;&gt;"",K1974&lt;&gt;""),"POSÉ EN LIGNE",IF(COUNTIF(BARDAGE!$C$1:$C$5000,B1974)&gt;0,"BARDÉ","EN STOCK")))</f>
        <v/>
      </c>
      <c r="N1974" s="80"/>
    </row>
    <row r="1975" customFormat="false" ht="15" hidden="false" customHeight="false" outlineLevel="0" collapsed="false">
      <c r="A1975" s="82" t="str">
        <f aca="false">IF(B1975="","",ROW()-6)</f>
        <v/>
      </c>
      <c r="B1975" s="145"/>
      <c r="C1975" s="146"/>
      <c r="D1975" s="146"/>
      <c r="E1975" s="82" t="str">
        <f aca="false">IF(B1975="","",IF(COUNTIFS('CARNET DE SOUDURE'!$L$7:$L$3006,B1975,'CARNET DE SOUDURE'!$M$7:$M$3006,"&lt;&gt;"&amp;C1975,'CARNET DE SOUDURE'!$M$7:$M$3006,"&lt;&gt;")+COUNTIFS('CARNET DE SOUDURE'!$O$7:$O$3006,B1975,'CARNET DE SOUDURE'!$P$7:$P$3006,"&lt;&gt;"&amp;C1975,'CARNET DE SOUDURE'!$P$7:$P$3006,"&lt;&gt;")&gt;0,"⚠ DIFFÉRENTE","OK"))</f>
        <v/>
      </c>
      <c r="F1975" s="147"/>
      <c r="G1975" s="80"/>
      <c r="H1975" s="83"/>
      <c r="I1975" s="148" t="str">
        <f aca="false">IF(B1975="","",IFERROR(INDEX('CARNET DE SOUDURE'!$B$7:$B$3006,MATCH(B1975,'CARNET DE SOUDURE'!$L$7:$L$3006,0)),IFERROR(INDEX('CARNET DE SOUDURE'!$B$7:$B$3006,MATCH(B1975,'CARNET DE SOUDURE'!$O$7:$O$3006,0)),"")))</f>
        <v/>
      </c>
      <c r="J1975" s="82" t="str">
        <f aca="false">IF(B1975="","",IFERROR(INDEX('CARNET DE SOUDURE'!$E$7:$E$3006,MATCH(B1975,'CARNET DE SOUDURE'!$O$7:$O$3006,0)),""))</f>
        <v/>
      </c>
      <c r="K1975" s="82" t="str">
        <f aca="false">IF(B1975="","",IFERROR(INDEX('CARNET DE SOUDURE'!$E$7:$E$3006,MATCH(B1975,'CARNET DE SOUDURE'!$L$7:$L$3006,0)),""))</f>
        <v/>
      </c>
      <c r="L1975" s="82" t="str">
        <f aca="false">IF(B1975="","",IFERROR(INDEX('CARNET DE SOUDURE'!$D$7:$D$3006,MATCH(B1975,'CARNET DE SOUDURE'!$L$7:$L$3006,0)),IFERROR(INDEX('CARNET DE SOUDURE'!$D$7:$D$3006,MATCH(B1975,'CARNET DE SOUDURE'!$O$7:$O$3006,0)),"")))</f>
        <v/>
      </c>
      <c r="M1975" s="82" t="str">
        <f aca="false">IF(B1975="","",IF(OR(J1975&lt;&gt;"",K1975&lt;&gt;""),"POSÉ EN LIGNE",IF(COUNTIF(BARDAGE!$C$1:$C$5000,B1975)&gt;0,"BARDÉ","EN STOCK")))</f>
        <v/>
      </c>
      <c r="N1975" s="80"/>
    </row>
    <row r="1976" customFormat="false" ht="15" hidden="false" customHeight="false" outlineLevel="0" collapsed="false">
      <c r="A1976" s="82" t="str">
        <f aca="false">IF(B1976="","",ROW()-6)</f>
        <v/>
      </c>
      <c r="B1976" s="145"/>
      <c r="C1976" s="146"/>
      <c r="D1976" s="146"/>
      <c r="E1976" s="82" t="str">
        <f aca="false">IF(B1976="","",IF(COUNTIFS('CARNET DE SOUDURE'!$L$7:$L$3006,B1976,'CARNET DE SOUDURE'!$M$7:$M$3006,"&lt;&gt;"&amp;C1976,'CARNET DE SOUDURE'!$M$7:$M$3006,"&lt;&gt;")+COUNTIFS('CARNET DE SOUDURE'!$O$7:$O$3006,B1976,'CARNET DE SOUDURE'!$P$7:$P$3006,"&lt;&gt;"&amp;C1976,'CARNET DE SOUDURE'!$P$7:$P$3006,"&lt;&gt;")&gt;0,"⚠ DIFFÉRENTE","OK"))</f>
        <v/>
      </c>
      <c r="F1976" s="147"/>
      <c r="G1976" s="80"/>
      <c r="H1976" s="83"/>
      <c r="I1976" s="148" t="str">
        <f aca="false">IF(B1976="","",IFERROR(INDEX('CARNET DE SOUDURE'!$B$7:$B$3006,MATCH(B1976,'CARNET DE SOUDURE'!$L$7:$L$3006,0)),IFERROR(INDEX('CARNET DE SOUDURE'!$B$7:$B$3006,MATCH(B1976,'CARNET DE SOUDURE'!$O$7:$O$3006,0)),"")))</f>
        <v/>
      </c>
      <c r="J1976" s="82" t="str">
        <f aca="false">IF(B1976="","",IFERROR(INDEX('CARNET DE SOUDURE'!$E$7:$E$3006,MATCH(B1976,'CARNET DE SOUDURE'!$O$7:$O$3006,0)),""))</f>
        <v/>
      </c>
      <c r="K1976" s="82" t="str">
        <f aca="false">IF(B1976="","",IFERROR(INDEX('CARNET DE SOUDURE'!$E$7:$E$3006,MATCH(B1976,'CARNET DE SOUDURE'!$L$7:$L$3006,0)),""))</f>
        <v/>
      </c>
      <c r="L1976" s="82" t="str">
        <f aca="false">IF(B1976="","",IFERROR(INDEX('CARNET DE SOUDURE'!$D$7:$D$3006,MATCH(B1976,'CARNET DE SOUDURE'!$L$7:$L$3006,0)),IFERROR(INDEX('CARNET DE SOUDURE'!$D$7:$D$3006,MATCH(B1976,'CARNET DE SOUDURE'!$O$7:$O$3006,0)),"")))</f>
        <v/>
      </c>
      <c r="M1976" s="82" t="str">
        <f aca="false">IF(B1976="","",IF(OR(J1976&lt;&gt;"",K1976&lt;&gt;""),"POSÉ EN LIGNE",IF(COUNTIF(BARDAGE!$C$1:$C$5000,B1976)&gt;0,"BARDÉ","EN STOCK")))</f>
        <v/>
      </c>
      <c r="N1976" s="80"/>
    </row>
    <row r="1977" customFormat="false" ht="15" hidden="false" customHeight="false" outlineLevel="0" collapsed="false">
      <c r="A1977" s="82" t="str">
        <f aca="false">IF(B1977="","",ROW()-6)</f>
        <v/>
      </c>
      <c r="B1977" s="145"/>
      <c r="C1977" s="146"/>
      <c r="D1977" s="146"/>
      <c r="E1977" s="82" t="str">
        <f aca="false">IF(B1977="","",IF(COUNTIFS('CARNET DE SOUDURE'!$L$7:$L$3006,B1977,'CARNET DE SOUDURE'!$M$7:$M$3006,"&lt;&gt;"&amp;C1977,'CARNET DE SOUDURE'!$M$7:$M$3006,"&lt;&gt;")+COUNTIFS('CARNET DE SOUDURE'!$O$7:$O$3006,B1977,'CARNET DE SOUDURE'!$P$7:$P$3006,"&lt;&gt;"&amp;C1977,'CARNET DE SOUDURE'!$P$7:$P$3006,"&lt;&gt;")&gt;0,"⚠ DIFFÉRENTE","OK"))</f>
        <v/>
      </c>
      <c r="F1977" s="147"/>
      <c r="G1977" s="80"/>
      <c r="H1977" s="83"/>
      <c r="I1977" s="148" t="str">
        <f aca="false">IF(B1977="","",IFERROR(INDEX('CARNET DE SOUDURE'!$B$7:$B$3006,MATCH(B1977,'CARNET DE SOUDURE'!$L$7:$L$3006,0)),IFERROR(INDEX('CARNET DE SOUDURE'!$B$7:$B$3006,MATCH(B1977,'CARNET DE SOUDURE'!$O$7:$O$3006,0)),"")))</f>
        <v/>
      </c>
      <c r="J1977" s="82" t="str">
        <f aca="false">IF(B1977="","",IFERROR(INDEX('CARNET DE SOUDURE'!$E$7:$E$3006,MATCH(B1977,'CARNET DE SOUDURE'!$O$7:$O$3006,0)),""))</f>
        <v/>
      </c>
      <c r="K1977" s="82" t="str">
        <f aca="false">IF(B1977="","",IFERROR(INDEX('CARNET DE SOUDURE'!$E$7:$E$3006,MATCH(B1977,'CARNET DE SOUDURE'!$L$7:$L$3006,0)),""))</f>
        <v/>
      </c>
      <c r="L1977" s="82" t="str">
        <f aca="false">IF(B1977="","",IFERROR(INDEX('CARNET DE SOUDURE'!$D$7:$D$3006,MATCH(B1977,'CARNET DE SOUDURE'!$L$7:$L$3006,0)),IFERROR(INDEX('CARNET DE SOUDURE'!$D$7:$D$3006,MATCH(B1977,'CARNET DE SOUDURE'!$O$7:$O$3006,0)),"")))</f>
        <v/>
      </c>
      <c r="M1977" s="82" t="str">
        <f aca="false">IF(B1977="","",IF(OR(J1977&lt;&gt;"",K1977&lt;&gt;""),"POSÉ EN LIGNE",IF(COUNTIF(BARDAGE!$C$1:$C$5000,B1977)&gt;0,"BARDÉ","EN STOCK")))</f>
        <v/>
      </c>
      <c r="N1977" s="80"/>
    </row>
    <row r="1978" customFormat="false" ht="15" hidden="false" customHeight="false" outlineLevel="0" collapsed="false">
      <c r="A1978" s="82" t="str">
        <f aca="false">IF(B1978="","",ROW()-6)</f>
        <v/>
      </c>
      <c r="B1978" s="145"/>
      <c r="C1978" s="146"/>
      <c r="D1978" s="146"/>
      <c r="E1978" s="82" t="str">
        <f aca="false">IF(B1978="","",IF(COUNTIFS('CARNET DE SOUDURE'!$L$7:$L$3006,B1978,'CARNET DE SOUDURE'!$M$7:$M$3006,"&lt;&gt;"&amp;C1978,'CARNET DE SOUDURE'!$M$7:$M$3006,"&lt;&gt;")+COUNTIFS('CARNET DE SOUDURE'!$O$7:$O$3006,B1978,'CARNET DE SOUDURE'!$P$7:$P$3006,"&lt;&gt;"&amp;C1978,'CARNET DE SOUDURE'!$P$7:$P$3006,"&lt;&gt;")&gt;0,"⚠ DIFFÉRENTE","OK"))</f>
        <v/>
      </c>
      <c r="F1978" s="147"/>
      <c r="G1978" s="80"/>
      <c r="H1978" s="83"/>
      <c r="I1978" s="148" t="str">
        <f aca="false">IF(B1978="","",IFERROR(INDEX('CARNET DE SOUDURE'!$B$7:$B$3006,MATCH(B1978,'CARNET DE SOUDURE'!$L$7:$L$3006,0)),IFERROR(INDEX('CARNET DE SOUDURE'!$B$7:$B$3006,MATCH(B1978,'CARNET DE SOUDURE'!$O$7:$O$3006,0)),"")))</f>
        <v/>
      </c>
      <c r="J1978" s="82" t="str">
        <f aca="false">IF(B1978="","",IFERROR(INDEX('CARNET DE SOUDURE'!$E$7:$E$3006,MATCH(B1978,'CARNET DE SOUDURE'!$O$7:$O$3006,0)),""))</f>
        <v/>
      </c>
      <c r="K1978" s="82" t="str">
        <f aca="false">IF(B1978="","",IFERROR(INDEX('CARNET DE SOUDURE'!$E$7:$E$3006,MATCH(B1978,'CARNET DE SOUDURE'!$L$7:$L$3006,0)),""))</f>
        <v/>
      </c>
      <c r="L1978" s="82" t="str">
        <f aca="false">IF(B1978="","",IFERROR(INDEX('CARNET DE SOUDURE'!$D$7:$D$3006,MATCH(B1978,'CARNET DE SOUDURE'!$L$7:$L$3006,0)),IFERROR(INDEX('CARNET DE SOUDURE'!$D$7:$D$3006,MATCH(B1978,'CARNET DE SOUDURE'!$O$7:$O$3006,0)),"")))</f>
        <v/>
      </c>
      <c r="M1978" s="82" t="str">
        <f aca="false">IF(B1978="","",IF(OR(J1978&lt;&gt;"",K1978&lt;&gt;""),"POSÉ EN LIGNE",IF(COUNTIF(BARDAGE!$C$1:$C$5000,B1978)&gt;0,"BARDÉ","EN STOCK")))</f>
        <v/>
      </c>
      <c r="N1978" s="80"/>
    </row>
    <row r="1979" customFormat="false" ht="15" hidden="false" customHeight="false" outlineLevel="0" collapsed="false">
      <c r="A1979" s="82" t="str">
        <f aca="false">IF(B1979="","",ROW()-6)</f>
        <v/>
      </c>
      <c r="B1979" s="145"/>
      <c r="C1979" s="146"/>
      <c r="D1979" s="146"/>
      <c r="E1979" s="82" t="str">
        <f aca="false">IF(B1979="","",IF(COUNTIFS('CARNET DE SOUDURE'!$L$7:$L$3006,B1979,'CARNET DE SOUDURE'!$M$7:$M$3006,"&lt;&gt;"&amp;C1979,'CARNET DE SOUDURE'!$M$7:$M$3006,"&lt;&gt;")+COUNTIFS('CARNET DE SOUDURE'!$O$7:$O$3006,B1979,'CARNET DE SOUDURE'!$P$7:$P$3006,"&lt;&gt;"&amp;C1979,'CARNET DE SOUDURE'!$P$7:$P$3006,"&lt;&gt;")&gt;0,"⚠ DIFFÉRENTE","OK"))</f>
        <v/>
      </c>
      <c r="F1979" s="147"/>
      <c r="G1979" s="80"/>
      <c r="H1979" s="83"/>
      <c r="I1979" s="148" t="str">
        <f aca="false">IF(B1979="","",IFERROR(INDEX('CARNET DE SOUDURE'!$B$7:$B$3006,MATCH(B1979,'CARNET DE SOUDURE'!$L$7:$L$3006,0)),IFERROR(INDEX('CARNET DE SOUDURE'!$B$7:$B$3006,MATCH(B1979,'CARNET DE SOUDURE'!$O$7:$O$3006,0)),"")))</f>
        <v/>
      </c>
      <c r="J1979" s="82" t="str">
        <f aca="false">IF(B1979="","",IFERROR(INDEX('CARNET DE SOUDURE'!$E$7:$E$3006,MATCH(B1979,'CARNET DE SOUDURE'!$O$7:$O$3006,0)),""))</f>
        <v/>
      </c>
      <c r="K1979" s="82" t="str">
        <f aca="false">IF(B1979="","",IFERROR(INDEX('CARNET DE SOUDURE'!$E$7:$E$3006,MATCH(B1979,'CARNET DE SOUDURE'!$L$7:$L$3006,0)),""))</f>
        <v/>
      </c>
      <c r="L1979" s="82" t="str">
        <f aca="false">IF(B1979="","",IFERROR(INDEX('CARNET DE SOUDURE'!$D$7:$D$3006,MATCH(B1979,'CARNET DE SOUDURE'!$L$7:$L$3006,0)),IFERROR(INDEX('CARNET DE SOUDURE'!$D$7:$D$3006,MATCH(B1979,'CARNET DE SOUDURE'!$O$7:$O$3006,0)),"")))</f>
        <v/>
      </c>
      <c r="M1979" s="82" t="str">
        <f aca="false">IF(B1979="","",IF(OR(J1979&lt;&gt;"",K1979&lt;&gt;""),"POSÉ EN LIGNE",IF(COUNTIF(BARDAGE!$C$1:$C$5000,B1979)&gt;0,"BARDÉ","EN STOCK")))</f>
        <v/>
      </c>
      <c r="N1979" s="80"/>
    </row>
    <row r="1980" customFormat="false" ht="15" hidden="false" customHeight="false" outlineLevel="0" collapsed="false">
      <c r="A1980" s="82" t="str">
        <f aca="false">IF(B1980="","",ROW()-6)</f>
        <v/>
      </c>
      <c r="B1980" s="145"/>
      <c r="C1980" s="146"/>
      <c r="D1980" s="146"/>
      <c r="E1980" s="82" t="str">
        <f aca="false">IF(B1980="","",IF(COUNTIFS('CARNET DE SOUDURE'!$L$7:$L$3006,B1980,'CARNET DE SOUDURE'!$M$7:$M$3006,"&lt;&gt;"&amp;C1980,'CARNET DE SOUDURE'!$M$7:$M$3006,"&lt;&gt;")+COUNTIFS('CARNET DE SOUDURE'!$O$7:$O$3006,B1980,'CARNET DE SOUDURE'!$P$7:$P$3006,"&lt;&gt;"&amp;C1980,'CARNET DE SOUDURE'!$P$7:$P$3006,"&lt;&gt;")&gt;0,"⚠ DIFFÉRENTE","OK"))</f>
        <v/>
      </c>
      <c r="F1980" s="147"/>
      <c r="G1980" s="80"/>
      <c r="H1980" s="83"/>
      <c r="I1980" s="148" t="str">
        <f aca="false">IF(B1980="","",IFERROR(INDEX('CARNET DE SOUDURE'!$B$7:$B$3006,MATCH(B1980,'CARNET DE SOUDURE'!$L$7:$L$3006,0)),IFERROR(INDEX('CARNET DE SOUDURE'!$B$7:$B$3006,MATCH(B1980,'CARNET DE SOUDURE'!$O$7:$O$3006,0)),"")))</f>
        <v/>
      </c>
      <c r="J1980" s="82" t="str">
        <f aca="false">IF(B1980="","",IFERROR(INDEX('CARNET DE SOUDURE'!$E$7:$E$3006,MATCH(B1980,'CARNET DE SOUDURE'!$O$7:$O$3006,0)),""))</f>
        <v/>
      </c>
      <c r="K1980" s="82" t="str">
        <f aca="false">IF(B1980="","",IFERROR(INDEX('CARNET DE SOUDURE'!$E$7:$E$3006,MATCH(B1980,'CARNET DE SOUDURE'!$L$7:$L$3006,0)),""))</f>
        <v/>
      </c>
      <c r="L1980" s="82" t="str">
        <f aca="false">IF(B1980="","",IFERROR(INDEX('CARNET DE SOUDURE'!$D$7:$D$3006,MATCH(B1980,'CARNET DE SOUDURE'!$L$7:$L$3006,0)),IFERROR(INDEX('CARNET DE SOUDURE'!$D$7:$D$3006,MATCH(B1980,'CARNET DE SOUDURE'!$O$7:$O$3006,0)),"")))</f>
        <v/>
      </c>
      <c r="M1980" s="82" t="str">
        <f aca="false">IF(B1980="","",IF(OR(J1980&lt;&gt;"",K1980&lt;&gt;""),"POSÉ EN LIGNE",IF(COUNTIF(BARDAGE!$C$1:$C$5000,B1980)&gt;0,"BARDÉ","EN STOCK")))</f>
        <v/>
      </c>
      <c r="N1980" s="80"/>
    </row>
    <row r="1981" customFormat="false" ht="15" hidden="false" customHeight="false" outlineLevel="0" collapsed="false">
      <c r="A1981" s="82" t="str">
        <f aca="false">IF(B1981="","",ROW()-6)</f>
        <v/>
      </c>
      <c r="B1981" s="145"/>
      <c r="C1981" s="146"/>
      <c r="D1981" s="146"/>
      <c r="E1981" s="82" t="str">
        <f aca="false">IF(B1981="","",IF(COUNTIFS('CARNET DE SOUDURE'!$L$7:$L$3006,B1981,'CARNET DE SOUDURE'!$M$7:$M$3006,"&lt;&gt;"&amp;C1981,'CARNET DE SOUDURE'!$M$7:$M$3006,"&lt;&gt;")+COUNTIFS('CARNET DE SOUDURE'!$O$7:$O$3006,B1981,'CARNET DE SOUDURE'!$P$7:$P$3006,"&lt;&gt;"&amp;C1981,'CARNET DE SOUDURE'!$P$7:$P$3006,"&lt;&gt;")&gt;0,"⚠ DIFFÉRENTE","OK"))</f>
        <v/>
      </c>
      <c r="F1981" s="147"/>
      <c r="G1981" s="80"/>
      <c r="H1981" s="83"/>
      <c r="I1981" s="148" t="str">
        <f aca="false">IF(B1981="","",IFERROR(INDEX('CARNET DE SOUDURE'!$B$7:$B$3006,MATCH(B1981,'CARNET DE SOUDURE'!$L$7:$L$3006,0)),IFERROR(INDEX('CARNET DE SOUDURE'!$B$7:$B$3006,MATCH(B1981,'CARNET DE SOUDURE'!$O$7:$O$3006,0)),"")))</f>
        <v/>
      </c>
      <c r="J1981" s="82" t="str">
        <f aca="false">IF(B1981="","",IFERROR(INDEX('CARNET DE SOUDURE'!$E$7:$E$3006,MATCH(B1981,'CARNET DE SOUDURE'!$O$7:$O$3006,0)),""))</f>
        <v/>
      </c>
      <c r="K1981" s="82" t="str">
        <f aca="false">IF(B1981="","",IFERROR(INDEX('CARNET DE SOUDURE'!$E$7:$E$3006,MATCH(B1981,'CARNET DE SOUDURE'!$L$7:$L$3006,0)),""))</f>
        <v/>
      </c>
      <c r="L1981" s="82" t="str">
        <f aca="false">IF(B1981="","",IFERROR(INDEX('CARNET DE SOUDURE'!$D$7:$D$3006,MATCH(B1981,'CARNET DE SOUDURE'!$L$7:$L$3006,0)),IFERROR(INDEX('CARNET DE SOUDURE'!$D$7:$D$3006,MATCH(B1981,'CARNET DE SOUDURE'!$O$7:$O$3006,0)),"")))</f>
        <v/>
      </c>
      <c r="M1981" s="82" t="str">
        <f aca="false">IF(B1981="","",IF(OR(J1981&lt;&gt;"",K1981&lt;&gt;""),"POSÉ EN LIGNE",IF(COUNTIF(BARDAGE!$C$1:$C$5000,B1981)&gt;0,"BARDÉ","EN STOCK")))</f>
        <v/>
      </c>
      <c r="N1981" s="80"/>
    </row>
    <row r="1982" customFormat="false" ht="15" hidden="false" customHeight="false" outlineLevel="0" collapsed="false">
      <c r="A1982" s="82" t="str">
        <f aca="false">IF(B1982="","",ROW()-6)</f>
        <v/>
      </c>
      <c r="B1982" s="145"/>
      <c r="C1982" s="146"/>
      <c r="D1982" s="146"/>
      <c r="E1982" s="82" t="str">
        <f aca="false">IF(B1982="","",IF(COUNTIFS('CARNET DE SOUDURE'!$L$7:$L$3006,B1982,'CARNET DE SOUDURE'!$M$7:$M$3006,"&lt;&gt;"&amp;C1982,'CARNET DE SOUDURE'!$M$7:$M$3006,"&lt;&gt;")+COUNTIFS('CARNET DE SOUDURE'!$O$7:$O$3006,B1982,'CARNET DE SOUDURE'!$P$7:$P$3006,"&lt;&gt;"&amp;C1982,'CARNET DE SOUDURE'!$P$7:$P$3006,"&lt;&gt;")&gt;0,"⚠ DIFFÉRENTE","OK"))</f>
        <v/>
      </c>
      <c r="F1982" s="147"/>
      <c r="G1982" s="80"/>
      <c r="H1982" s="83"/>
      <c r="I1982" s="148" t="str">
        <f aca="false">IF(B1982="","",IFERROR(INDEX('CARNET DE SOUDURE'!$B$7:$B$3006,MATCH(B1982,'CARNET DE SOUDURE'!$L$7:$L$3006,0)),IFERROR(INDEX('CARNET DE SOUDURE'!$B$7:$B$3006,MATCH(B1982,'CARNET DE SOUDURE'!$O$7:$O$3006,0)),"")))</f>
        <v/>
      </c>
      <c r="J1982" s="82" t="str">
        <f aca="false">IF(B1982="","",IFERROR(INDEX('CARNET DE SOUDURE'!$E$7:$E$3006,MATCH(B1982,'CARNET DE SOUDURE'!$O$7:$O$3006,0)),""))</f>
        <v/>
      </c>
      <c r="K1982" s="82" t="str">
        <f aca="false">IF(B1982="","",IFERROR(INDEX('CARNET DE SOUDURE'!$E$7:$E$3006,MATCH(B1982,'CARNET DE SOUDURE'!$L$7:$L$3006,0)),""))</f>
        <v/>
      </c>
      <c r="L1982" s="82" t="str">
        <f aca="false">IF(B1982="","",IFERROR(INDEX('CARNET DE SOUDURE'!$D$7:$D$3006,MATCH(B1982,'CARNET DE SOUDURE'!$L$7:$L$3006,0)),IFERROR(INDEX('CARNET DE SOUDURE'!$D$7:$D$3006,MATCH(B1982,'CARNET DE SOUDURE'!$O$7:$O$3006,0)),"")))</f>
        <v/>
      </c>
      <c r="M1982" s="82" t="str">
        <f aca="false">IF(B1982="","",IF(OR(J1982&lt;&gt;"",K1982&lt;&gt;""),"POSÉ EN LIGNE",IF(COUNTIF(BARDAGE!$C$1:$C$5000,B1982)&gt;0,"BARDÉ","EN STOCK")))</f>
        <v/>
      </c>
      <c r="N1982" s="80"/>
    </row>
    <row r="1983" customFormat="false" ht="15" hidden="false" customHeight="false" outlineLevel="0" collapsed="false">
      <c r="A1983" s="82" t="str">
        <f aca="false">IF(B1983="","",ROW()-6)</f>
        <v/>
      </c>
      <c r="B1983" s="145"/>
      <c r="C1983" s="146"/>
      <c r="D1983" s="146"/>
      <c r="E1983" s="82" t="str">
        <f aca="false">IF(B1983="","",IF(COUNTIFS('CARNET DE SOUDURE'!$L$7:$L$3006,B1983,'CARNET DE SOUDURE'!$M$7:$M$3006,"&lt;&gt;"&amp;C1983,'CARNET DE SOUDURE'!$M$7:$M$3006,"&lt;&gt;")+COUNTIFS('CARNET DE SOUDURE'!$O$7:$O$3006,B1983,'CARNET DE SOUDURE'!$P$7:$P$3006,"&lt;&gt;"&amp;C1983,'CARNET DE SOUDURE'!$P$7:$P$3006,"&lt;&gt;")&gt;0,"⚠ DIFFÉRENTE","OK"))</f>
        <v/>
      </c>
      <c r="F1983" s="147"/>
      <c r="G1983" s="80"/>
      <c r="H1983" s="83"/>
      <c r="I1983" s="148" t="str">
        <f aca="false">IF(B1983="","",IFERROR(INDEX('CARNET DE SOUDURE'!$B$7:$B$3006,MATCH(B1983,'CARNET DE SOUDURE'!$L$7:$L$3006,0)),IFERROR(INDEX('CARNET DE SOUDURE'!$B$7:$B$3006,MATCH(B1983,'CARNET DE SOUDURE'!$O$7:$O$3006,0)),"")))</f>
        <v/>
      </c>
      <c r="J1983" s="82" t="str">
        <f aca="false">IF(B1983="","",IFERROR(INDEX('CARNET DE SOUDURE'!$E$7:$E$3006,MATCH(B1983,'CARNET DE SOUDURE'!$O$7:$O$3006,0)),""))</f>
        <v/>
      </c>
      <c r="K1983" s="82" t="str">
        <f aca="false">IF(B1983="","",IFERROR(INDEX('CARNET DE SOUDURE'!$E$7:$E$3006,MATCH(B1983,'CARNET DE SOUDURE'!$L$7:$L$3006,0)),""))</f>
        <v/>
      </c>
      <c r="L1983" s="82" t="str">
        <f aca="false">IF(B1983="","",IFERROR(INDEX('CARNET DE SOUDURE'!$D$7:$D$3006,MATCH(B1983,'CARNET DE SOUDURE'!$L$7:$L$3006,0)),IFERROR(INDEX('CARNET DE SOUDURE'!$D$7:$D$3006,MATCH(B1983,'CARNET DE SOUDURE'!$O$7:$O$3006,0)),"")))</f>
        <v/>
      </c>
      <c r="M1983" s="82" t="str">
        <f aca="false">IF(B1983="","",IF(OR(J1983&lt;&gt;"",K1983&lt;&gt;""),"POSÉ EN LIGNE",IF(COUNTIF(BARDAGE!$C$1:$C$5000,B1983)&gt;0,"BARDÉ","EN STOCK")))</f>
        <v/>
      </c>
      <c r="N1983" s="80"/>
    </row>
    <row r="1984" customFormat="false" ht="15" hidden="false" customHeight="false" outlineLevel="0" collapsed="false">
      <c r="A1984" s="82" t="str">
        <f aca="false">IF(B1984="","",ROW()-6)</f>
        <v/>
      </c>
      <c r="B1984" s="145"/>
      <c r="C1984" s="146"/>
      <c r="D1984" s="146"/>
      <c r="E1984" s="82" t="str">
        <f aca="false">IF(B1984="","",IF(COUNTIFS('CARNET DE SOUDURE'!$L$7:$L$3006,B1984,'CARNET DE SOUDURE'!$M$7:$M$3006,"&lt;&gt;"&amp;C1984,'CARNET DE SOUDURE'!$M$7:$M$3006,"&lt;&gt;")+COUNTIFS('CARNET DE SOUDURE'!$O$7:$O$3006,B1984,'CARNET DE SOUDURE'!$P$7:$P$3006,"&lt;&gt;"&amp;C1984,'CARNET DE SOUDURE'!$P$7:$P$3006,"&lt;&gt;")&gt;0,"⚠ DIFFÉRENTE","OK"))</f>
        <v/>
      </c>
      <c r="F1984" s="147"/>
      <c r="G1984" s="80"/>
      <c r="H1984" s="83"/>
      <c r="I1984" s="148" t="str">
        <f aca="false">IF(B1984="","",IFERROR(INDEX('CARNET DE SOUDURE'!$B$7:$B$3006,MATCH(B1984,'CARNET DE SOUDURE'!$L$7:$L$3006,0)),IFERROR(INDEX('CARNET DE SOUDURE'!$B$7:$B$3006,MATCH(B1984,'CARNET DE SOUDURE'!$O$7:$O$3006,0)),"")))</f>
        <v/>
      </c>
      <c r="J1984" s="82" t="str">
        <f aca="false">IF(B1984="","",IFERROR(INDEX('CARNET DE SOUDURE'!$E$7:$E$3006,MATCH(B1984,'CARNET DE SOUDURE'!$O$7:$O$3006,0)),""))</f>
        <v/>
      </c>
      <c r="K1984" s="82" t="str">
        <f aca="false">IF(B1984="","",IFERROR(INDEX('CARNET DE SOUDURE'!$E$7:$E$3006,MATCH(B1984,'CARNET DE SOUDURE'!$L$7:$L$3006,0)),""))</f>
        <v/>
      </c>
      <c r="L1984" s="82" t="str">
        <f aca="false">IF(B1984="","",IFERROR(INDEX('CARNET DE SOUDURE'!$D$7:$D$3006,MATCH(B1984,'CARNET DE SOUDURE'!$L$7:$L$3006,0)),IFERROR(INDEX('CARNET DE SOUDURE'!$D$7:$D$3006,MATCH(B1984,'CARNET DE SOUDURE'!$O$7:$O$3006,0)),"")))</f>
        <v/>
      </c>
      <c r="M1984" s="82" t="str">
        <f aca="false">IF(B1984="","",IF(OR(J1984&lt;&gt;"",K1984&lt;&gt;""),"POSÉ EN LIGNE",IF(COUNTIF(BARDAGE!$C$1:$C$5000,B1984)&gt;0,"BARDÉ","EN STOCK")))</f>
        <v/>
      </c>
      <c r="N1984" s="80"/>
    </row>
    <row r="1985" customFormat="false" ht="15" hidden="false" customHeight="false" outlineLevel="0" collapsed="false">
      <c r="A1985" s="82" t="str">
        <f aca="false">IF(B1985="","",ROW()-6)</f>
        <v/>
      </c>
      <c r="B1985" s="145"/>
      <c r="C1985" s="146"/>
      <c r="D1985" s="146"/>
      <c r="E1985" s="82" t="str">
        <f aca="false">IF(B1985="","",IF(COUNTIFS('CARNET DE SOUDURE'!$L$7:$L$3006,B1985,'CARNET DE SOUDURE'!$M$7:$M$3006,"&lt;&gt;"&amp;C1985,'CARNET DE SOUDURE'!$M$7:$M$3006,"&lt;&gt;")+COUNTIFS('CARNET DE SOUDURE'!$O$7:$O$3006,B1985,'CARNET DE SOUDURE'!$P$7:$P$3006,"&lt;&gt;"&amp;C1985,'CARNET DE SOUDURE'!$P$7:$P$3006,"&lt;&gt;")&gt;0,"⚠ DIFFÉRENTE","OK"))</f>
        <v/>
      </c>
      <c r="F1985" s="147"/>
      <c r="G1985" s="80"/>
      <c r="H1985" s="83"/>
      <c r="I1985" s="148" t="str">
        <f aca="false">IF(B1985="","",IFERROR(INDEX('CARNET DE SOUDURE'!$B$7:$B$3006,MATCH(B1985,'CARNET DE SOUDURE'!$L$7:$L$3006,0)),IFERROR(INDEX('CARNET DE SOUDURE'!$B$7:$B$3006,MATCH(B1985,'CARNET DE SOUDURE'!$O$7:$O$3006,0)),"")))</f>
        <v/>
      </c>
      <c r="J1985" s="82" t="str">
        <f aca="false">IF(B1985="","",IFERROR(INDEX('CARNET DE SOUDURE'!$E$7:$E$3006,MATCH(B1985,'CARNET DE SOUDURE'!$O$7:$O$3006,0)),""))</f>
        <v/>
      </c>
      <c r="K1985" s="82" t="str">
        <f aca="false">IF(B1985="","",IFERROR(INDEX('CARNET DE SOUDURE'!$E$7:$E$3006,MATCH(B1985,'CARNET DE SOUDURE'!$L$7:$L$3006,0)),""))</f>
        <v/>
      </c>
      <c r="L1985" s="82" t="str">
        <f aca="false">IF(B1985="","",IFERROR(INDEX('CARNET DE SOUDURE'!$D$7:$D$3006,MATCH(B1985,'CARNET DE SOUDURE'!$L$7:$L$3006,0)),IFERROR(INDEX('CARNET DE SOUDURE'!$D$7:$D$3006,MATCH(B1985,'CARNET DE SOUDURE'!$O$7:$O$3006,0)),"")))</f>
        <v/>
      </c>
      <c r="M1985" s="82" t="str">
        <f aca="false">IF(B1985="","",IF(OR(J1985&lt;&gt;"",K1985&lt;&gt;""),"POSÉ EN LIGNE",IF(COUNTIF(BARDAGE!$C$1:$C$5000,B1985)&gt;0,"BARDÉ","EN STOCK")))</f>
        <v/>
      </c>
      <c r="N1985" s="80"/>
    </row>
    <row r="1986" customFormat="false" ht="15" hidden="false" customHeight="false" outlineLevel="0" collapsed="false">
      <c r="A1986" s="82" t="str">
        <f aca="false">IF(B1986="","",ROW()-6)</f>
        <v/>
      </c>
      <c r="B1986" s="145"/>
      <c r="C1986" s="146"/>
      <c r="D1986" s="146"/>
      <c r="E1986" s="82" t="str">
        <f aca="false">IF(B1986="","",IF(COUNTIFS('CARNET DE SOUDURE'!$L$7:$L$3006,B1986,'CARNET DE SOUDURE'!$M$7:$M$3006,"&lt;&gt;"&amp;C1986,'CARNET DE SOUDURE'!$M$7:$M$3006,"&lt;&gt;")+COUNTIFS('CARNET DE SOUDURE'!$O$7:$O$3006,B1986,'CARNET DE SOUDURE'!$P$7:$P$3006,"&lt;&gt;"&amp;C1986,'CARNET DE SOUDURE'!$P$7:$P$3006,"&lt;&gt;")&gt;0,"⚠ DIFFÉRENTE","OK"))</f>
        <v/>
      </c>
      <c r="F1986" s="147"/>
      <c r="G1986" s="80"/>
      <c r="H1986" s="83"/>
      <c r="I1986" s="148" t="str">
        <f aca="false">IF(B1986="","",IFERROR(INDEX('CARNET DE SOUDURE'!$B$7:$B$3006,MATCH(B1986,'CARNET DE SOUDURE'!$L$7:$L$3006,0)),IFERROR(INDEX('CARNET DE SOUDURE'!$B$7:$B$3006,MATCH(B1986,'CARNET DE SOUDURE'!$O$7:$O$3006,0)),"")))</f>
        <v/>
      </c>
      <c r="J1986" s="82" t="str">
        <f aca="false">IF(B1986="","",IFERROR(INDEX('CARNET DE SOUDURE'!$E$7:$E$3006,MATCH(B1986,'CARNET DE SOUDURE'!$O$7:$O$3006,0)),""))</f>
        <v/>
      </c>
      <c r="K1986" s="82" t="str">
        <f aca="false">IF(B1986="","",IFERROR(INDEX('CARNET DE SOUDURE'!$E$7:$E$3006,MATCH(B1986,'CARNET DE SOUDURE'!$L$7:$L$3006,0)),""))</f>
        <v/>
      </c>
      <c r="L1986" s="82" t="str">
        <f aca="false">IF(B1986="","",IFERROR(INDEX('CARNET DE SOUDURE'!$D$7:$D$3006,MATCH(B1986,'CARNET DE SOUDURE'!$L$7:$L$3006,0)),IFERROR(INDEX('CARNET DE SOUDURE'!$D$7:$D$3006,MATCH(B1986,'CARNET DE SOUDURE'!$O$7:$O$3006,0)),"")))</f>
        <v/>
      </c>
      <c r="M1986" s="82" t="str">
        <f aca="false">IF(B1986="","",IF(OR(J1986&lt;&gt;"",K1986&lt;&gt;""),"POSÉ EN LIGNE",IF(COUNTIF(BARDAGE!$C$1:$C$5000,B1986)&gt;0,"BARDÉ","EN STOCK")))</f>
        <v/>
      </c>
      <c r="N1986" s="80"/>
    </row>
    <row r="1987" customFormat="false" ht="15" hidden="false" customHeight="false" outlineLevel="0" collapsed="false">
      <c r="A1987" s="82" t="str">
        <f aca="false">IF(B1987="","",ROW()-6)</f>
        <v/>
      </c>
      <c r="B1987" s="145"/>
      <c r="C1987" s="146"/>
      <c r="D1987" s="146"/>
      <c r="E1987" s="82" t="str">
        <f aca="false">IF(B1987="","",IF(COUNTIFS('CARNET DE SOUDURE'!$L$7:$L$3006,B1987,'CARNET DE SOUDURE'!$M$7:$M$3006,"&lt;&gt;"&amp;C1987,'CARNET DE SOUDURE'!$M$7:$M$3006,"&lt;&gt;")+COUNTIFS('CARNET DE SOUDURE'!$O$7:$O$3006,B1987,'CARNET DE SOUDURE'!$P$7:$P$3006,"&lt;&gt;"&amp;C1987,'CARNET DE SOUDURE'!$P$7:$P$3006,"&lt;&gt;")&gt;0,"⚠ DIFFÉRENTE","OK"))</f>
        <v/>
      </c>
      <c r="F1987" s="147"/>
      <c r="G1987" s="80"/>
      <c r="H1987" s="83"/>
      <c r="I1987" s="148" t="str">
        <f aca="false">IF(B1987="","",IFERROR(INDEX('CARNET DE SOUDURE'!$B$7:$B$3006,MATCH(B1987,'CARNET DE SOUDURE'!$L$7:$L$3006,0)),IFERROR(INDEX('CARNET DE SOUDURE'!$B$7:$B$3006,MATCH(B1987,'CARNET DE SOUDURE'!$O$7:$O$3006,0)),"")))</f>
        <v/>
      </c>
      <c r="J1987" s="82" t="str">
        <f aca="false">IF(B1987="","",IFERROR(INDEX('CARNET DE SOUDURE'!$E$7:$E$3006,MATCH(B1987,'CARNET DE SOUDURE'!$O$7:$O$3006,0)),""))</f>
        <v/>
      </c>
      <c r="K1987" s="82" t="str">
        <f aca="false">IF(B1987="","",IFERROR(INDEX('CARNET DE SOUDURE'!$E$7:$E$3006,MATCH(B1987,'CARNET DE SOUDURE'!$L$7:$L$3006,0)),""))</f>
        <v/>
      </c>
      <c r="L1987" s="82" t="str">
        <f aca="false">IF(B1987="","",IFERROR(INDEX('CARNET DE SOUDURE'!$D$7:$D$3006,MATCH(B1987,'CARNET DE SOUDURE'!$L$7:$L$3006,0)),IFERROR(INDEX('CARNET DE SOUDURE'!$D$7:$D$3006,MATCH(B1987,'CARNET DE SOUDURE'!$O$7:$O$3006,0)),"")))</f>
        <v/>
      </c>
      <c r="M1987" s="82" t="str">
        <f aca="false">IF(B1987="","",IF(OR(J1987&lt;&gt;"",K1987&lt;&gt;""),"POSÉ EN LIGNE",IF(COUNTIF(BARDAGE!$C$1:$C$5000,B1987)&gt;0,"BARDÉ","EN STOCK")))</f>
        <v/>
      </c>
      <c r="N1987" s="80"/>
    </row>
    <row r="1988" customFormat="false" ht="15" hidden="false" customHeight="false" outlineLevel="0" collapsed="false">
      <c r="A1988" s="82" t="str">
        <f aca="false">IF(B1988="","",ROW()-6)</f>
        <v/>
      </c>
      <c r="B1988" s="145"/>
      <c r="C1988" s="146"/>
      <c r="D1988" s="146"/>
      <c r="E1988" s="82" t="str">
        <f aca="false">IF(B1988="","",IF(COUNTIFS('CARNET DE SOUDURE'!$L$7:$L$3006,B1988,'CARNET DE SOUDURE'!$M$7:$M$3006,"&lt;&gt;"&amp;C1988,'CARNET DE SOUDURE'!$M$7:$M$3006,"&lt;&gt;")+COUNTIFS('CARNET DE SOUDURE'!$O$7:$O$3006,B1988,'CARNET DE SOUDURE'!$P$7:$P$3006,"&lt;&gt;"&amp;C1988,'CARNET DE SOUDURE'!$P$7:$P$3006,"&lt;&gt;")&gt;0,"⚠ DIFFÉRENTE","OK"))</f>
        <v/>
      </c>
      <c r="F1988" s="147"/>
      <c r="G1988" s="80"/>
      <c r="H1988" s="83"/>
      <c r="I1988" s="148" t="str">
        <f aca="false">IF(B1988="","",IFERROR(INDEX('CARNET DE SOUDURE'!$B$7:$B$3006,MATCH(B1988,'CARNET DE SOUDURE'!$L$7:$L$3006,0)),IFERROR(INDEX('CARNET DE SOUDURE'!$B$7:$B$3006,MATCH(B1988,'CARNET DE SOUDURE'!$O$7:$O$3006,0)),"")))</f>
        <v/>
      </c>
      <c r="J1988" s="82" t="str">
        <f aca="false">IF(B1988="","",IFERROR(INDEX('CARNET DE SOUDURE'!$E$7:$E$3006,MATCH(B1988,'CARNET DE SOUDURE'!$O$7:$O$3006,0)),""))</f>
        <v/>
      </c>
      <c r="K1988" s="82" t="str">
        <f aca="false">IF(B1988="","",IFERROR(INDEX('CARNET DE SOUDURE'!$E$7:$E$3006,MATCH(B1988,'CARNET DE SOUDURE'!$L$7:$L$3006,0)),""))</f>
        <v/>
      </c>
      <c r="L1988" s="82" t="str">
        <f aca="false">IF(B1988="","",IFERROR(INDEX('CARNET DE SOUDURE'!$D$7:$D$3006,MATCH(B1988,'CARNET DE SOUDURE'!$L$7:$L$3006,0)),IFERROR(INDEX('CARNET DE SOUDURE'!$D$7:$D$3006,MATCH(B1988,'CARNET DE SOUDURE'!$O$7:$O$3006,0)),"")))</f>
        <v/>
      </c>
      <c r="M1988" s="82" t="str">
        <f aca="false">IF(B1988="","",IF(OR(J1988&lt;&gt;"",K1988&lt;&gt;""),"POSÉ EN LIGNE",IF(COUNTIF(BARDAGE!$C$1:$C$5000,B1988)&gt;0,"BARDÉ","EN STOCK")))</f>
        <v/>
      </c>
      <c r="N1988" s="80"/>
    </row>
    <row r="1989" customFormat="false" ht="15" hidden="false" customHeight="false" outlineLevel="0" collapsed="false">
      <c r="A1989" s="82" t="str">
        <f aca="false">IF(B1989="","",ROW()-6)</f>
        <v/>
      </c>
      <c r="B1989" s="145"/>
      <c r="C1989" s="146"/>
      <c r="D1989" s="146"/>
      <c r="E1989" s="82" t="str">
        <f aca="false">IF(B1989="","",IF(COUNTIFS('CARNET DE SOUDURE'!$L$7:$L$3006,B1989,'CARNET DE SOUDURE'!$M$7:$M$3006,"&lt;&gt;"&amp;C1989,'CARNET DE SOUDURE'!$M$7:$M$3006,"&lt;&gt;")+COUNTIFS('CARNET DE SOUDURE'!$O$7:$O$3006,B1989,'CARNET DE SOUDURE'!$P$7:$P$3006,"&lt;&gt;"&amp;C1989,'CARNET DE SOUDURE'!$P$7:$P$3006,"&lt;&gt;")&gt;0,"⚠ DIFFÉRENTE","OK"))</f>
        <v/>
      </c>
      <c r="F1989" s="147"/>
      <c r="G1989" s="80"/>
      <c r="H1989" s="83"/>
      <c r="I1989" s="148" t="str">
        <f aca="false">IF(B1989="","",IFERROR(INDEX('CARNET DE SOUDURE'!$B$7:$B$3006,MATCH(B1989,'CARNET DE SOUDURE'!$L$7:$L$3006,0)),IFERROR(INDEX('CARNET DE SOUDURE'!$B$7:$B$3006,MATCH(B1989,'CARNET DE SOUDURE'!$O$7:$O$3006,0)),"")))</f>
        <v/>
      </c>
      <c r="J1989" s="82" t="str">
        <f aca="false">IF(B1989="","",IFERROR(INDEX('CARNET DE SOUDURE'!$E$7:$E$3006,MATCH(B1989,'CARNET DE SOUDURE'!$O$7:$O$3006,0)),""))</f>
        <v/>
      </c>
      <c r="K1989" s="82" t="str">
        <f aca="false">IF(B1989="","",IFERROR(INDEX('CARNET DE SOUDURE'!$E$7:$E$3006,MATCH(B1989,'CARNET DE SOUDURE'!$L$7:$L$3006,0)),""))</f>
        <v/>
      </c>
      <c r="L1989" s="82" t="str">
        <f aca="false">IF(B1989="","",IFERROR(INDEX('CARNET DE SOUDURE'!$D$7:$D$3006,MATCH(B1989,'CARNET DE SOUDURE'!$L$7:$L$3006,0)),IFERROR(INDEX('CARNET DE SOUDURE'!$D$7:$D$3006,MATCH(B1989,'CARNET DE SOUDURE'!$O$7:$O$3006,0)),"")))</f>
        <v/>
      </c>
      <c r="M1989" s="82" t="str">
        <f aca="false">IF(B1989="","",IF(OR(J1989&lt;&gt;"",K1989&lt;&gt;""),"POSÉ EN LIGNE",IF(COUNTIF(BARDAGE!$C$1:$C$5000,B1989)&gt;0,"BARDÉ","EN STOCK")))</f>
        <v/>
      </c>
      <c r="N1989" s="80"/>
    </row>
    <row r="1990" customFormat="false" ht="15" hidden="false" customHeight="false" outlineLevel="0" collapsed="false">
      <c r="A1990" s="82" t="str">
        <f aca="false">IF(B1990="","",ROW()-6)</f>
        <v/>
      </c>
      <c r="B1990" s="145"/>
      <c r="C1990" s="146"/>
      <c r="D1990" s="146"/>
      <c r="E1990" s="82" t="str">
        <f aca="false">IF(B1990="","",IF(COUNTIFS('CARNET DE SOUDURE'!$L$7:$L$3006,B1990,'CARNET DE SOUDURE'!$M$7:$M$3006,"&lt;&gt;"&amp;C1990,'CARNET DE SOUDURE'!$M$7:$M$3006,"&lt;&gt;")+COUNTIFS('CARNET DE SOUDURE'!$O$7:$O$3006,B1990,'CARNET DE SOUDURE'!$P$7:$P$3006,"&lt;&gt;"&amp;C1990,'CARNET DE SOUDURE'!$P$7:$P$3006,"&lt;&gt;")&gt;0,"⚠ DIFFÉRENTE","OK"))</f>
        <v/>
      </c>
      <c r="F1990" s="147"/>
      <c r="G1990" s="80"/>
      <c r="H1990" s="83"/>
      <c r="I1990" s="148" t="str">
        <f aca="false">IF(B1990="","",IFERROR(INDEX('CARNET DE SOUDURE'!$B$7:$B$3006,MATCH(B1990,'CARNET DE SOUDURE'!$L$7:$L$3006,0)),IFERROR(INDEX('CARNET DE SOUDURE'!$B$7:$B$3006,MATCH(B1990,'CARNET DE SOUDURE'!$O$7:$O$3006,0)),"")))</f>
        <v/>
      </c>
      <c r="J1990" s="82" t="str">
        <f aca="false">IF(B1990="","",IFERROR(INDEX('CARNET DE SOUDURE'!$E$7:$E$3006,MATCH(B1990,'CARNET DE SOUDURE'!$O$7:$O$3006,0)),""))</f>
        <v/>
      </c>
      <c r="K1990" s="82" t="str">
        <f aca="false">IF(B1990="","",IFERROR(INDEX('CARNET DE SOUDURE'!$E$7:$E$3006,MATCH(B1990,'CARNET DE SOUDURE'!$L$7:$L$3006,0)),""))</f>
        <v/>
      </c>
      <c r="L1990" s="82" t="str">
        <f aca="false">IF(B1990="","",IFERROR(INDEX('CARNET DE SOUDURE'!$D$7:$D$3006,MATCH(B1990,'CARNET DE SOUDURE'!$L$7:$L$3006,0)),IFERROR(INDEX('CARNET DE SOUDURE'!$D$7:$D$3006,MATCH(B1990,'CARNET DE SOUDURE'!$O$7:$O$3006,0)),"")))</f>
        <v/>
      </c>
      <c r="M1990" s="82" t="str">
        <f aca="false">IF(B1990="","",IF(OR(J1990&lt;&gt;"",K1990&lt;&gt;""),"POSÉ EN LIGNE",IF(COUNTIF(BARDAGE!$C$1:$C$5000,B1990)&gt;0,"BARDÉ","EN STOCK")))</f>
        <v/>
      </c>
      <c r="N1990" s="80"/>
    </row>
    <row r="1991" customFormat="false" ht="15" hidden="false" customHeight="false" outlineLevel="0" collapsed="false">
      <c r="A1991" s="82" t="str">
        <f aca="false">IF(B1991="","",ROW()-6)</f>
        <v/>
      </c>
      <c r="B1991" s="145"/>
      <c r="C1991" s="146"/>
      <c r="D1991" s="146"/>
      <c r="E1991" s="82" t="str">
        <f aca="false">IF(B1991="","",IF(COUNTIFS('CARNET DE SOUDURE'!$L$7:$L$3006,B1991,'CARNET DE SOUDURE'!$M$7:$M$3006,"&lt;&gt;"&amp;C1991,'CARNET DE SOUDURE'!$M$7:$M$3006,"&lt;&gt;")+COUNTIFS('CARNET DE SOUDURE'!$O$7:$O$3006,B1991,'CARNET DE SOUDURE'!$P$7:$P$3006,"&lt;&gt;"&amp;C1991,'CARNET DE SOUDURE'!$P$7:$P$3006,"&lt;&gt;")&gt;0,"⚠ DIFFÉRENTE","OK"))</f>
        <v/>
      </c>
      <c r="F1991" s="147"/>
      <c r="G1991" s="80"/>
      <c r="H1991" s="83"/>
      <c r="I1991" s="148" t="str">
        <f aca="false">IF(B1991="","",IFERROR(INDEX('CARNET DE SOUDURE'!$B$7:$B$3006,MATCH(B1991,'CARNET DE SOUDURE'!$L$7:$L$3006,0)),IFERROR(INDEX('CARNET DE SOUDURE'!$B$7:$B$3006,MATCH(B1991,'CARNET DE SOUDURE'!$O$7:$O$3006,0)),"")))</f>
        <v/>
      </c>
      <c r="J1991" s="82" t="str">
        <f aca="false">IF(B1991="","",IFERROR(INDEX('CARNET DE SOUDURE'!$E$7:$E$3006,MATCH(B1991,'CARNET DE SOUDURE'!$O$7:$O$3006,0)),""))</f>
        <v/>
      </c>
      <c r="K1991" s="82" t="str">
        <f aca="false">IF(B1991="","",IFERROR(INDEX('CARNET DE SOUDURE'!$E$7:$E$3006,MATCH(B1991,'CARNET DE SOUDURE'!$L$7:$L$3006,0)),""))</f>
        <v/>
      </c>
      <c r="L1991" s="82" t="str">
        <f aca="false">IF(B1991="","",IFERROR(INDEX('CARNET DE SOUDURE'!$D$7:$D$3006,MATCH(B1991,'CARNET DE SOUDURE'!$L$7:$L$3006,0)),IFERROR(INDEX('CARNET DE SOUDURE'!$D$7:$D$3006,MATCH(B1991,'CARNET DE SOUDURE'!$O$7:$O$3006,0)),"")))</f>
        <v/>
      </c>
      <c r="M1991" s="82" t="str">
        <f aca="false">IF(B1991="","",IF(OR(J1991&lt;&gt;"",K1991&lt;&gt;""),"POSÉ EN LIGNE",IF(COUNTIF(BARDAGE!$C$1:$C$5000,B1991)&gt;0,"BARDÉ","EN STOCK")))</f>
        <v/>
      </c>
      <c r="N1991" s="80"/>
    </row>
    <row r="1992" customFormat="false" ht="15" hidden="false" customHeight="false" outlineLevel="0" collapsed="false">
      <c r="A1992" s="82" t="str">
        <f aca="false">IF(B1992="","",ROW()-6)</f>
        <v/>
      </c>
      <c r="B1992" s="145"/>
      <c r="C1992" s="146"/>
      <c r="D1992" s="146"/>
      <c r="E1992" s="82" t="str">
        <f aca="false">IF(B1992="","",IF(COUNTIFS('CARNET DE SOUDURE'!$L$7:$L$3006,B1992,'CARNET DE SOUDURE'!$M$7:$M$3006,"&lt;&gt;"&amp;C1992,'CARNET DE SOUDURE'!$M$7:$M$3006,"&lt;&gt;")+COUNTIFS('CARNET DE SOUDURE'!$O$7:$O$3006,B1992,'CARNET DE SOUDURE'!$P$7:$P$3006,"&lt;&gt;"&amp;C1992,'CARNET DE SOUDURE'!$P$7:$P$3006,"&lt;&gt;")&gt;0,"⚠ DIFFÉRENTE","OK"))</f>
        <v/>
      </c>
      <c r="F1992" s="147"/>
      <c r="G1992" s="80"/>
      <c r="H1992" s="83"/>
      <c r="I1992" s="148" t="str">
        <f aca="false">IF(B1992="","",IFERROR(INDEX('CARNET DE SOUDURE'!$B$7:$B$3006,MATCH(B1992,'CARNET DE SOUDURE'!$L$7:$L$3006,0)),IFERROR(INDEX('CARNET DE SOUDURE'!$B$7:$B$3006,MATCH(B1992,'CARNET DE SOUDURE'!$O$7:$O$3006,0)),"")))</f>
        <v/>
      </c>
      <c r="J1992" s="82" t="str">
        <f aca="false">IF(B1992="","",IFERROR(INDEX('CARNET DE SOUDURE'!$E$7:$E$3006,MATCH(B1992,'CARNET DE SOUDURE'!$O$7:$O$3006,0)),""))</f>
        <v/>
      </c>
      <c r="K1992" s="82" t="str">
        <f aca="false">IF(B1992="","",IFERROR(INDEX('CARNET DE SOUDURE'!$E$7:$E$3006,MATCH(B1992,'CARNET DE SOUDURE'!$L$7:$L$3006,0)),""))</f>
        <v/>
      </c>
      <c r="L1992" s="82" t="str">
        <f aca="false">IF(B1992="","",IFERROR(INDEX('CARNET DE SOUDURE'!$D$7:$D$3006,MATCH(B1992,'CARNET DE SOUDURE'!$L$7:$L$3006,0)),IFERROR(INDEX('CARNET DE SOUDURE'!$D$7:$D$3006,MATCH(B1992,'CARNET DE SOUDURE'!$O$7:$O$3006,0)),"")))</f>
        <v/>
      </c>
      <c r="M1992" s="82" t="str">
        <f aca="false">IF(B1992="","",IF(OR(J1992&lt;&gt;"",K1992&lt;&gt;""),"POSÉ EN LIGNE",IF(COUNTIF(BARDAGE!$C$1:$C$5000,B1992)&gt;0,"BARDÉ","EN STOCK")))</f>
        <v/>
      </c>
      <c r="N1992" s="80"/>
    </row>
    <row r="1993" customFormat="false" ht="15" hidden="false" customHeight="false" outlineLevel="0" collapsed="false">
      <c r="A1993" s="82" t="str">
        <f aca="false">IF(B1993="","",ROW()-6)</f>
        <v/>
      </c>
      <c r="B1993" s="145"/>
      <c r="C1993" s="146"/>
      <c r="D1993" s="146"/>
      <c r="E1993" s="82" t="str">
        <f aca="false">IF(B1993="","",IF(COUNTIFS('CARNET DE SOUDURE'!$L$7:$L$3006,B1993,'CARNET DE SOUDURE'!$M$7:$M$3006,"&lt;&gt;"&amp;C1993,'CARNET DE SOUDURE'!$M$7:$M$3006,"&lt;&gt;")+COUNTIFS('CARNET DE SOUDURE'!$O$7:$O$3006,B1993,'CARNET DE SOUDURE'!$P$7:$P$3006,"&lt;&gt;"&amp;C1993,'CARNET DE SOUDURE'!$P$7:$P$3006,"&lt;&gt;")&gt;0,"⚠ DIFFÉRENTE","OK"))</f>
        <v/>
      </c>
      <c r="F1993" s="147"/>
      <c r="G1993" s="80"/>
      <c r="H1993" s="83"/>
      <c r="I1993" s="148" t="str">
        <f aca="false">IF(B1993="","",IFERROR(INDEX('CARNET DE SOUDURE'!$B$7:$B$3006,MATCH(B1993,'CARNET DE SOUDURE'!$L$7:$L$3006,0)),IFERROR(INDEX('CARNET DE SOUDURE'!$B$7:$B$3006,MATCH(B1993,'CARNET DE SOUDURE'!$O$7:$O$3006,0)),"")))</f>
        <v/>
      </c>
      <c r="J1993" s="82" t="str">
        <f aca="false">IF(B1993="","",IFERROR(INDEX('CARNET DE SOUDURE'!$E$7:$E$3006,MATCH(B1993,'CARNET DE SOUDURE'!$O$7:$O$3006,0)),""))</f>
        <v/>
      </c>
      <c r="K1993" s="82" t="str">
        <f aca="false">IF(B1993="","",IFERROR(INDEX('CARNET DE SOUDURE'!$E$7:$E$3006,MATCH(B1993,'CARNET DE SOUDURE'!$L$7:$L$3006,0)),""))</f>
        <v/>
      </c>
      <c r="L1993" s="82" t="str">
        <f aca="false">IF(B1993="","",IFERROR(INDEX('CARNET DE SOUDURE'!$D$7:$D$3006,MATCH(B1993,'CARNET DE SOUDURE'!$L$7:$L$3006,0)),IFERROR(INDEX('CARNET DE SOUDURE'!$D$7:$D$3006,MATCH(B1993,'CARNET DE SOUDURE'!$O$7:$O$3006,0)),"")))</f>
        <v/>
      </c>
      <c r="M1993" s="82" t="str">
        <f aca="false">IF(B1993="","",IF(OR(J1993&lt;&gt;"",K1993&lt;&gt;""),"POSÉ EN LIGNE",IF(COUNTIF(BARDAGE!$C$1:$C$5000,B1993)&gt;0,"BARDÉ","EN STOCK")))</f>
        <v/>
      </c>
      <c r="N1993" s="80"/>
    </row>
    <row r="1994" customFormat="false" ht="15" hidden="false" customHeight="false" outlineLevel="0" collapsed="false">
      <c r="A1994" s="82" t="str">
        <f aca="false">IF(B1994="","",ROW()-6)</f>
        <v/>
      </c>
      <c r="B1994" s="145"/>
      <c r="C1994" s="146"/>
      <c r="D1994" s="146"/>
      <c r="E1994" s="82" t="str">
        <f aca="false">IF(B1994="","",IF(COUNTIFS('CARNET DE SOUDURE'!$L$7:$L$3006,B1994,'CARNET DE SOUDURE'!$M$7:$M$3006,"&lt;&gt;"&amp;C1994,'CARNET DE SOUDURE'!$M$7:$M$3006,"&lt;&gt;")+COUNTIFS('CARNET DE SOUDURE'!$O$7:$O$3006,B1994,'CARNET DE SOUDURE'!$P$7:$P$3006,"&lt;&gt;"&amp;C1994,'CARNET DE SOUDURE'!$P$7:$P$3006,"&lt;&gt;")&gt;0,"⚠ DIFFÉRENTE","OK"))</f>
        <v/>
      </c>
      <c r="F1994" s="147"/>
      <c r="G1994" s="80"/>
      <c r="H1994" s="83"/>
      <c r="I1994" s="148" t="str">
        <f aca="false">IF(B1994="","",IFERROR(INDEX('CARNET DE SOUDURE'!$B$7:$B$3006,MATCH(B1994,'CARNET DE SOUDURE'!$L$7:$L$3006,0)),IFERROR(INDEX('CARNET DE SOUDURE'!$B$7:$B$3006,MATCH(B1994,'CARNET DE SOUDURE'!$O$7:$O$3006,0)),"")))</f>
        <v/>
      </c>
      <c r="J1994" s="82" t="str">
        <f aca="false">IF(B1994="","",IFERROR(INDEX('CARNET DE SOUDURE'!$E$7:$E$3006,MATCH(B1994,'CARNET DE SOUDURE'!$O$7:$O$3006,0)),""))</f>
        <v/>
      </c>
      <c r="K1994" s="82" t="str">
        <f aca="false">IF(B1994="","",IFERROR(INDEX('CARNET DE SOUDURE'!$E$7:$E$3006,MATCH(B1994,'CARNET DE SOUDURE'!$L$7:$L$3006,0)),""))</f>
        <v/>
      </c>
      <c r="L1994" s="82" t="str">
        <f aca="false">IF(B1994="","",IFERROR(INDEX('CARNET DE SOUDURE'!$D$7:$D$3006,MATCH(B1994,'CARNET DE SOUDURE'!$L$7:$L$3006,0)),IFERROR(INDEX('CARNET DE SOUDURE'!$D$7:$D$3006,MATCH(B1994,'CARNET DE SOUDURE'!$O$7:$O$3006,0)),"")))</f>
        <v/>
      </c>
      <c r="M1994" s="82" t="str">
        <f aca="false">IF(B1994="","",IF(OR(J1994&lt;&gt;"",K1994&lt;&gt;""),"POSÉ EN LIGNE",IF(COUNTIF(BARDAGE!$C$1:$C$5000,B1994)&gt;0,"BARDÉ","EN STOCK")))</f>
        <v/>
      </c>
      <c r="N1994" s="80"/>
    </row>
    <row r="1995" customFormat="false" ht="15" hidden="false" customHeight="false" outlineLevel="0" collapsed="false">
      <c r="A1995" s="82" t="str">
        <f aca="false">IF(B1995="","",ROW()-6)</f>
        <v/>
      </c>
      <c r="B1995" s="145"/>
      <c r="C1995" s="146"/>
      <c r="D1995" s="146"/>
      <c r="E1995" s="82" t="str">
        <f aca="false">IF(B1995="","",IF(COUNTIFS('CARNET DE SOUDURE'!$L$7:$L$3006,B1995,'CARNET DE SOUDURE'!$M$7:$M$3006,"&lt;&gt;"&amp;C1995,'CARNET DE SOUDURE'!$M$7:$M$3006,"&lt;&gt;")+COUNTIFS('CARNET DE SOUDURE'!$O$7:$O$3006,B1995,'CARNET DE SOUDURE'!$P$7:$P$3006,"&lt;&gt;"&amp;C1995,'CARNET DE SOUDURE'!$P$7:$P$3006,"&lt;&gt;")&gt;0,"⚠ DIFFÉRENTE","OK"))</f>
        <v/>
      </c>
      <c r="F1995" s="147"/>
      <c r="G1995" s="80"/>
      <c r="H1995" s="83"/>
      <c r="I1995" s="148" t="str">
        <f aca="false">IF(B1995="","",IFERROR(INDEX('CARNET DE SOUDURE'!$B$7:$B$3006,MATCH(B1995,'CARNET DE SOUDURE'!$L$7:$L$3006,0)),IFERROR(INDEX('CARNET DE SOUDURE'!$B$7:$B$3006,MATCH(B1995,'CARNET DE SOUDURE'!$O$7:$O$3006,0)),"")))</f>
        <v/>
      </c>
      <c r="J1995" s="82" t="str">
        <f aca="false">IF(B1995="","",IFERROR(INDEX('CARNET DE SOUDURE'!$E$7:$E$3006,MATCH(B1995,'CARNET DE SOUDURE'!$O$7:$O$3006,0)),""))</f>
        <v/>
      </c>
      <c r="K1995" s="82" t="str">
        <f aca="false">IF(B1995="","",IFERROR(INDEX('CARNET DE SOUDURE'!$E$7:$E$3006,MATCH(B1995,'CARNET DE SOUDURE'!$L$7:$L$3006,0)),""))</f>
        <v/>
      </c>
      <c r="L1995" s="82" t="str">
        <f aca="false">IF(B1995="","",IFERROR(INDEX('CARNET DE SOUDURE'!$D$7:$D$3006,MATCH(B1995,'CARNET DE SOUDURE'!$L$7:$L$3006,0)),IFERROR(INDEX('CARNET DE SOUDURE'!$D$7:$D$3006,MATCH(B1995,'CARNET DE SOUDURE'!$O$7:$O$3006,0)),"")))</f>
        <v/>
      </c>
      <c r="M1995" s="82" t="str">
        <f aca="false">IF(B1995="","",IF(OR(J1995&lt;&gt;"",K1995&lt;&gt;""),"POSÉ EN LIGNE",IF(COUNTIF(BARDAGE!$C$1:$C$5000,B1995)&gt;0,"BARDÉ","EN STOCK")))</f>
        <v/>
      </c>
      <c r="N1995" s="80"/>
    </row>
    <row r="1996" customFormat="false" ht="15" hidden="false" customHeight="false" outlineLevel="0" collapsed="false">
      <c r="A1996" s="82" t="str">
        <f aca="false">IF(B1996="","",ROW()-6)</f>
        <v/>
      </c>
      <c r="B1996" s="145"/>
      <c r="C1996" s="146"/>
      <c r="D1996" s="146"/>
      <c r="E1996" s="82" t="str">
        <f aca="false">IF(B1996="","",IF(COUNTIFS('CARNET DE SOUDURE'!$L$7:$L$3006,B1996,'CARNET DE SOUDURE'!$M$7:$M$3006,"&lt;&gt;"&amp;C1996,'CARNET DE SOUDURE'!$M$7:$M$3006,"&lt;&gt;")+COUNTIFS('CARNET DE SOUDURE'!$O$7:$O$3006,B1996,'CARNET DE SOUDURE'!$P$7:$P$3006,"&lt;&gt;"&amp;C1996,'CARNET DE SOUDURE'!$P$7:$P$3006,"&lt;&gt;")&gt;0,"⚠ DIFFÉRENTE","OK"))</f>
        <v/>
      </c>
      <c r="F1996" s="147"/>
      <c r="G1996" s="80"/>
      <c r="H1996" s="83"/>
      <c r="I1996" s="148" t="str">
        <f aca="false">IF(B1996="","",IFERROR(INDEX('CARNET DE SOUDURE'!$B$7:$B$3006,MATCH(B1996,'CARNET DE SOUDURE'!$L$7:$L$3006,0)),IFERROR(INDEX('CARNET DE SOUDURE'!$B$7:$B$3006,MATCH(B1996,'CARNET DE SOUDURE'!$O$7:$O$3006,0)),"")))</f>
        <v/>
      </c>
      <c r="J1996" s="82" t="str">
        <f aca="false">IF(B1996="","",IFERROR(INDEX('CARNET DE SOUDURE'!$E$7:$E$3006,MATCH(B1996,'CARNET DE SOUDURE'!$O$7:$O$3006,0)),""))</f>
        <v/>
      </c>
      <c r="K1996" s="82" t="str">
        <f aca="false">IF(B1996="","",IFERROR(INDEX('CARNET DE SOUDURE'!$E$7:$E$3006,MATCH(B1996,'CARNET DE SOUDURE'!$L$7:$L$3006,0)),""))</f>
        <v/>
      </c>
      <c r="L1996" s="82" t="str">
        <f aca="false">IF(B1996="","",IFERROR(INDEX('CARNET DE SOUDURE'!$D$7:$D$3006,MATCH(B1996,'CARNET DE SOUDURE'!$L$7:$L$3006,0)),IFERROR(INDEX('CARNET DE SOUDURE'!$D$7:$D$3006,MATCH(B1996,'CARNET DE SOUDURE'!$O$7:$O$3006,0)),"")))</f>
        <v/>
      </c>
      <c r="M1996" s="82" t="str">
        <f aca="false">IF(B1996="","",IF(OR(J1996&lt;&gt;"",K1996&lt;&gt;""),"POSÉ EN LIGNE",IF(COUNTIF(BARDAGE!$C$1:$C$5000,B1996)&gt;0,"BARDÉ","EN STOCK")))</f>
        <v/>
      </c>
      <c r="N1996" s="80"/>
    </row>
    <row r="1997" customFormat="false" ht="15" hidden="false" customHeight="false" outlineLevel="0" collapsed="false">
      <c r="A1997" s="82" t="str">
        <f aca="false">IF(B1997="","",ROW()-6)</f>
        <v/>
      </c>
      <c r="B1997" s="145"/>
      <c r="C1997" s="146"/>
      <c r="D1997" s="146"/>
      <c r="E1997" s="82" t="str">
        <f aca="false">IF(B1997="","",IF(COUNTIFS('CARNET DE SOUDURE'!$L$7:$L$3006,B1997,'CARNET DE SOUDURE'!$M$7:$M$3006,"&lt;&gt;"&amp;C1997,'CARNET DE SOUDURE'!$M$7:$M$3006,"&lt;&gt;")+COUNTIFS('CARNET DE SOUDURE'!$O$7:$O$3006,B1997,'CARNET DE SOUDURE'!$P$7:$P$3006,"&lt;&gt;"&amp;C1997,'CARNET DE SOUDURE'!$P$7:$P$3006,"&lt;&gt;")&gt;0,"⚠ DIFFÉRENTE","OK"))</f>
        <v/>
      </c>
      <c r="F1997" s="147"/>
      <c r="G1997" s="80"/>
      <c r="H1997" s="83"/>
      <c r="I1997" s="148" t="str">
        <f aca="false">IF(B1997="","",IFERROR(INDEX('CARNET DE SOUDURE'!$B$7:$B$3006,MATCH(B1997,'CARNET DE SOUDURE'!$L$7:$L$3006,0)),IFERROR(INDEX('CARNET DE SOUDURE'!$B$7:$B$3006,MATCH(B1997,'CARNET DE SOUDURE'!$O$7:$O$3006,0)),"")))</f>
        <v/>
      </c>
      <c r="J1997" s="82" t="str">
        <f aca="false">IF(B1997="","",IFERROR(INDEX('CARNET DE SOUDURE'!$E$7:$E$3006,MATCH(B1997,'CARNET DE SOUDURE'!$O$7:$O$3006,0)),""))</f>
        <v/>
      </c>
      <c r="K1997" s="82" t="str">
        <f aca="false">IF(B1997="","",IFERROR(INDEX('CARNET DE SOUDURE'!$E$7:$E$3006,MATCH(B1997,'CARNET DE SOUDURE'!$L$7:$L$3006,0)),""))</f>
        <v/>
      </c>
      <c r="L1997" s="82" t="str">
        <f aca="false">IF(B1997="","",IFERROR(INDEX('CARNET DE SOUDURE'!$D$7:$D$3006,MATCH(B1997,'CARNET DE SOUDURE'!$L$7:$L$3006,0)),IFERROR(INDEX('CARNET DE SOUDURE'!$D$7:$D$3006,MATCH(B1997,'CARNET DE SOUDURE'!$O$7:$O$3006,0)),"")))</f>
        <v/>
      </c>
      <c r="M1997" s="82" t="str">
        <f aca="false">IF(B1997="","",IF(OR(J1997&lt;&gt;"",K1997&lt;&gt;""),"POSÉ EN LIGNE",IF(COUNTIF(BARDAGE!$C$1:$C$5000,B1997)&gt;0,"BARDÉ","EN STOCK")))</f>
        <v/>
      </c>
      <c r="N1997" s="80"/>
    </row>
    <row r="1998" customFormat="false" ht="15" hidden="false" customHeight="false" outlineLevel="0" collapsed="false">
      <c r="A1998" s="82" t="str">
        <f aca="false">IF(B1998="","",ROW()-6)</f>
        <v/>
      </c>
      <c r="B1998" s="145"/>
      <c r="C1998" s="146"/>
      <c r="D1998" s="146"/>
      <c r="E1998" s="82" t="str">
        <f aca="false">IF(B1998="","",IF(COUNTIFS('CARNET DE SOUDURE'!$L$7:$L$3006,B1998,'CARNET DE SOUDURE'!$M$7:$M$3006,"&lt;&gt;"&amp;C1998,'CARNET DE SOUDURE'!$M$7:$M$3006,"&lt;&gt;")+COUNTIFS('CARNET DE SOUDURE'!$O$7:$O$3006,B1998,'CARNET DE SOUDURE'!$P$7:$P$3006,"&lt;&gt;"&amp;C1998,'CARNET DE SOUDURE'!$P$7:$P$3006,"&lt;&gt;")&gt;0,"⚠ DIFFÉRENTE","OK"))</f>
        <v/>
      </c>
      <c r="F1998" s="147"/>
      <c r="G1998" s="80"/>
      <c r="H1998" s="83"/>
      <c r="I1998" s="148" t="str">
        <f aca="false">IF(B1998="","",IFERROR(INDEX('CARNET DE SOUDURE'!$B$7:$B$3006,MATCH(B1998,'CARNET DE SOUDURE'!$L$7:$L$3006,0)),IFERROR(INDEX('CARNET DE SOUDURE'!$B$7:$B$3006,MATCH(B1998,'CARNET DE SOUDURE'!$O$7:$O$3006,0)),"")))</f>
        <v/>
      </c>
      <c r="J1998" s="82" t="str">
        <f aca="false">IF(B1998="","",IFERROR(INDEX('CARNET DE SOUDURE'!$E$7:$E$3006,MATCH(B1998,'CARNET DE SOUDURE'!$O$7:$O$3006,0)),""))</f>
        <v/>
      </c>
      <c r="K1998" s="82" t="str">
        <f aca="false">IF(B1998="","",IFERROR(INDEX('CARNET DE SOUDURE'!$E$7:$E$3006,MATCH(B1998,'CARNET DE SOUDURE'!$L$7:$L$3006,0)),""))</f>
        <v/>
      </c>
      <c r="L1998" s="82" t="str">
        <f aca="false">IF(B1998="","",IFERROR(INDEX('CARNET DE SOUDURE'!$D$7:$D$3006,MATCH(B1998,'CARNET DE SOUDURE'!$L$7:$L$3006,0)),IFERROR(INDEX('CARNET DE SOUDURE'!$D$7:$D$3006,MATCH(B1998,'CARNET DE SOUDURE'!$O$7:$O$3006,0)),"")))</f>
        <v/>
      </c>
      <c r="M1998" s="82" t="str">
        <f aca="false">IF(B1998="","",IF(OR(J1998&lt;&gt;"",K1998&lt;&gt;""),"POSÉ EN LIGNE",IF(COUNTIF(BARDAGE!$C$1:$C$5000,B1998)&gt;0,"BARDÉ","EN STOCK")))</f>
        <v/>
      </c>
      <c r="N1998" s="80"/>
    </row>
    <row r="1999" customFormat="false" ht="15" hidden="false" customHeight="false" outlineLevel="0" collapsed="false">
      <c r="A1999" s="82" t="str">
        <f aca="false">IF(B1999="","",ROW()-6)</f>
        <v/>
      </c>
      <c r="B1999" s="145"/>
      <c r="C1999" s="146"/>
      <c r="D1999" s="146"/>
      <c r="E1999" s="82" t="str">
        <f aca="false">IF(B1999="","",IF(COUNTIFS('CARNET DE SOUDURE'!$L$7:$L$3006,B1999,'CARNET DE SOUDURE'!$M$7:$M$3006,"&lt;&gt;"&amp;C1999,'CARNET DE SOUDURE'!$M$7:$M$3006,"&lt;&gt;")+COUNTIFS('CARNET DE SOUDURE'!$O$7:$O$3006,B1999,'CARNET DE SOUDURE'!$P$7:$P$3006,"&lt;&gt;"&amp;C1999,'CARNET DE SOUDURE'!$P$7:$P$3006,"&lt;&gt;")&gt;0,"⚠ DIFFÉRENTE","OK"))</f>
        <v/>
      </c>
      <c r="F1999" s="147"/>
      <c r="G1999" s="80"/>
      <c r="H1999" s="83"/>
      <c r="I1999" s="148" t="str">
        <f aca="false">IF(B1999="","",IFERROR(INDEX('CARNET DE SOUDURE'!$B$7:$B$3006,MATCH(B1999,'CARNET DE SOUDURE'!$L$7:$L$3006,0)),IFERROR(INDEX('CARNET DE SOUDURE'!$B$7:$B$3006,MATCH(B1999,'CARNET DE SOUDURE'!$O$7:$O$3006,0)),"")))</f>
        <v/>
      </c>
      <c r="J1999" s="82" t="str">
        <f aca="false">IF(B1999="","",IFERROR(INDEX('CARNET DE SOUDURE'!$E$7:$E$3006,MATCH(B1999,'CARNET DE SOUDURE'!$O$7:$O$3006,0)),""))</f>
        <v/>
      </c>
      <c r="K1999" s="82" t="str">
        <f aca="false">IF(B1999="","",IFERROR(INDEX('CARNET DE SOUDURE'!$E$7:$E$3006,MATCH(B1999,'CARNET DE SOUDURE'!$L$7:$L$3006,0)),""))</f>
        <v/>
      </c>
      <c r="L1999" s="82" t="str">
        <f aca="false">IF(B1999="","",IFERROR(INDEX('CARNET DE SOUDURE'!$D$7:$D$3006,MATCH(B1999,'CARNET DE SOUDURE'!$L$7:$L$3006,0)),IFERROR(INDEX('CARNET DE SOUDURE'!$D$7:$D$3006,MATCH(B1999,'CARNET DE SOUDURE'!$O$7:$O$3006,0)),"")))</f>
        <v/>
      </c>
      <c r="M1999" s="82" t="str">
        <f aca="false">IF(B1999="","",IF(OR(J1999&lt;&gt;"",K1999&lt;&gt;""),"POSÉ EN LIGNE",IF(COUNTIF(BARDAGE!$C$1:$C$5000,B1999)&gt;0,"BARDÉ","EN STOCK")))</f>
        <v/>
      </c>
      <c r="N1999" s="80"/>
    </row>
    <row r="2000" customFormat="false" ht="15" hidden="false" customHeight="false" outlineLevel="0" collapsed="false">
      <c r="A2000" s="82" t="str">
        <f aca="false">IF(B2000="","",ROW()-6)</f>
        <v/>
      </c>
      <c r="B2000" s="145"/>
      <c r="C2000" s="146"/>
      <c r="D2000" s="146"/>
      <c r="E2000" s="82" t="str">
        <f aca="false">IF(B2000="","",IF(COUNTIFS('CARNET DE SOUDURE'!$L$7:$L$3006,B2000,'CARNET DE SOUDURE'!$M$7:$M$3006,"&lt;&gt;"&amp;C2000,'CARNET DE SOUDURE'!$M$7:$M$3006,"&lt;&gt;")+COUNTIFS('CARNET DE SOUDURE'!$O$7:$O$3006,B2000,'CARNET DE SOUDURE'!$P$7:$P$3006,"&lt;&gt;"&amp;C2000,'CARNET DE SOUDURE'!$P$7:$P$3006,"&lt;&gt;")&gt;0,"⚠ DIFFÉRENTE","OK"))</f>
        <v/>
      </c>
      <c r="F2000" s="147"/>
      <c r="G2000" s="80"/>
      <c r="H2000" s="83"/>
      <c r="I2000" s="148" t="str">
        <f aca="false">IF(B2000="","",IFERROR(INDEX('CARNET DE SOUDURE'!$B$7:$B$3006,MATCH(B2000,'CARNET DE SOUDURE'!$L$7:$L$3006,0)),IFERROR(INDEX('CARNET DE SOUDURE'!$B$7:$B$3006,MATCH(B2000,'CARNET DE SOUDURE'!$O$7:$O$3006,0)),"")))</f>
        <v/>
      </c>
      <c r="J2000" s="82" t="str">
        <f aca="false">IF(B2000="","",IFERROR(INDEX('CARNET DE SOUDURE'!$E$7:$E$3006,MATCH(B2000,'CARNET DE SOUDURE'!$O$7:$O$3006,0)),""))</f>
        <v/>
      </c>
      <c r="K2000" s="82" t="str">
        <f aca="false">IF(B2000="","",IFERROR(INDEX('CARNET DE SOUDURE'!$E$7:$E$3006,MATCH(B2000,'CARNET DE SOUDURE'!$L$7:$L$3006,0)),""))</f>
        <v/>
      </c>
      <c r="L2000" s="82" t="str">
        <f aca="false">IF(B2000="","",IFERROR(INDEX('CARNET DE SOUDURE'!$D$7:$D$3006,MATCH(B2000,'CARNET DE SOUDURE'!$L$7:$L$3006,0)),IFERROR(INDEX('CARNET DE SOUDURE'!$D$7:$D$3006,MATCH(B2000,'CARNET DE SOUDURE'!$O$7:$O$3006,0)),"")))</f>
        <v/>
      </c>
      <c r="M2000" s="82" t="str">
        <f aca="false">IF(B2000="","",IF(OR(J2000&lt;&gt;"",K2000&lt;&gt;""),"POSÉ EN LIGNE",IF(COUNTIF(BARDAGE!$C$1:$C$5000,B2000)&gt;0,"BARDÉ","EN STOCK")))</f>
        <v/>
      </c>
      <c r="N2000" s="80"/>
    </row>
    <row r="2001" customFormat="false" ht="15" hidden="false" customHeight="false" outlineLevel="0" collapsed="false">
      <c r="A2001" s="82" t="str">
        <f aca="false">IF(B2001="","",ROW()-6)</f>
        <v/>
      </c>
      <c r="B2001" s="145"/>
      <c r="C2001" s="146"/>
      <c r="D2001" s="146"/>
      <c r="E2001" s="82" t="str">
        <f aca="false">IF(B2001="","",IF(COUNTIFS('CARNET DE SOUDURE'!$L$7:$L$3006,B2001,'CARNET DE SOUDURE'!$M$7:$M$3006,"&lt;&gt;"&amp;C2001,'CARNET DE SOUDURE'!$M$7:$M$3006,"&lt;&gt;")+COUNTIFS('CARNET DE SOUDURE'!$O$7:$O$3006,B2001,'CARNET DE SOUDURE'!$P$7:$P$3006,"&lt;&gt;"&amp;C2001,'CARNET DE SOUDURE'!$P$7:$P$3006,"&lt;&gt;")&gt;0,"⚠ DIFFÉRENTE","OK"))</f>
        <v/>
      </c>
      <c r="F2001" s="147"/>
      <c r="G2001" s="80"/>
      <c r="H2001" s="83"/>
      <c r="I2001" s="148" t="str">
        <f aca="false">IF(B2001="","",IFERROR(INDEX('CARNET DE SOUDURE'!$B$7:$B$3006,MATCH(B2001,'CARNET DE SOUDURE'!$L$7:$L$3006,0)),IFERROR(INDEX('CARNET DE SOUDURE'!$B$7:$B$3006,MATCH(B2001,'CARNET DE SOUDURE'!$O$7:$O$3006,0)),"")))</f>
        <v/>
      </c>
      <c r="J2001" s="82" t="str">
        <f aca="false">IF(B2001="","",IFERROR(INDEX('CARNET DE SOUDURE'!$E$7:$E$3006,MATCH(B2001,'CARNET DE SOUDURE'!$O$7:$O$3006,0)),""))</f>
        <v/>
      </c>
      <c r="K2001" s="82" t="str">
        <f aca="false">IF(B2001="","",IFERROR(INDEX('CARNET DE SOUDURE'!$E$7:$E$3006,MATCH(B2001,'CARNET DE SOUDURE'!$L$7:$L$3006,0)),""))</f>
        <v/>
      </c>
      <c r="L2001" s="82" t="str">
        <f aca="false">IF(B2001="","",IFERROR(INDEX('CARNET DE SOUDURE'!$D$7:$D$3006,MATCH(B2001,'CARNET DE SOUDURE'!$L$7:$L$3006,0)),IFERROR(INDEX('CARNET DE SOUDURE'!$D$7:$D$3006,MATCH(B2001,'CARNET DE SOUDURE'!$O$7:$O$3006,0)),"")))</f>
        <v/>
      </c>
      <c r="M2001" s="82" t="str">
        <f aca="false">IF(B2001="","",IF(OR(J2001&lt;&gt;"",K2001&lt;&gt;""),"POSÉ EN LIGNE",IF(COUNTIF(BARDAGE!$C$1:$C$5000,B2001)&gt;0,"BARDÉ","EN STOCK")))</f>
        <v/>
      </c>
      <c r="N2001" s="80"/>
    </row>
    <row r="2002" customFormat="false" ht="15" hidden="false" customHeight="false" outlineLevel="0" collapsed="false">
      <c r="A2002" s="82" t="str">
        <f aca="false">IF(B2002="","",ROW()-6)</f>
        <v/>
      </c>
      <c r="B2002" s="145"/>
      <c r="C2002" s="146"/>
      <c r="D2002" s="146"/>
      <c r="E2002" s="82" t="str">
        <f aca="false">IF(B2002="","",IF(COUNTIFS('CARNET DE SOUDURE'!$L$7:$L$3006,B2002,'CARNET DE SOUDURE'!$M$7:$M$3006,"&lt;&gt;"&amp;C2002,'CARNET DE SOUDURE'!$M$7:$M$3006,"&lt;&gt;")+COUNTIFS('CARNET DE SOUDURE'!$O$7:$O$3006,B2002,'CARNET DE SOUDURE'!$P$7:$P$3006,"&lt;&gt;"&amp;C2002,'CARNET DE SOUDURE'!$P$7:$P$3006,"&lt;&gt;")&gt;0,"⚠ DIFFÉRENTE","OK"))</f>
        <v/>
      </c>
      <c r="F2002" s="147"/>
      <c r="G2002" s="80"/>
      <c r="H2002" s="83"/>
      <c r="I2002" s="148" t="str">
        <f aca="false">IF(B2002="","",IFERROR(INDEX('CARNET DE SOUDURE'!$B$7:$B$3006,MATCH(B2002,'CARNET DE SOUDURE'!$L$7:$L$3006,0)),IFERROR(INDEX('CARNET DE SOUDURE'!$B$7:$B$3006,MATCH(B2002,'CARNET DE SOUDURE'!$O$7:$O$3006,0)),"")))</f>
        <v/>
      </c>
      <c r="J2002" s="82" t="str">
        <f aca="false">IF(B2002="","",IFERROR(INDEX('CARNET DE SOUDURE'!$E$7:$E$3006,MATCH(B2002,'CARNET DE SOUDURE'!$O$7:$O$3006,0)),""))</f>
        <v/>
      </c>
      <c r="K2002" s="82" t="str">
        <f aca="false">IF(B2002="","",IFERROR(INDEX('CARNET DE SOUDURE'!$E$7:$E$3006,MATCH(B2002,'CARNET DE SOUDURE'!$L$7:$L$3006,0)),""))</f>
        <v/>
      </c>
      <c r="L2002" s="82" t="str">
        <f aca="false">IF(B2002="","",IFERROR(INDEX('CARNET DE SOUDURE'!$D$7:$D$3006,MATCH(B2002,'CARNET DE SOUDURE'!$L$7:$L$3006,0)),IFERROR(INDEX('CARNET DE SOUDURE'!$D$7:$D$3006,MATCH(B2002,'CARNET DE SOUDURE'!$O$7:$O$3006,0)),"")))</f>
        <v/>
      </c>
      <c r="M2002" s="82" t="str">
        <f aca="false">IF(B2002="","",IF(OR(J2002&lt;&gt;"",K2002&lt;&gt;""),"POSÉ EN LIGNE",IF(COUNTIF(BARDAGE!$C$1:$C$5000,B2002)&gt;0,"BARDÉ","EN STOCK")))</f>
        <v/>
      </c>
      <c r="N2002" s="80"/>
    </row>
    <row r="2003" customFormat="false" ht="15" hidden="false" customHeight="false" outlineLevel="0" collapsed="false">
      <c r="A2003" s="82" t="str">
        <f aca="false">IF(B2003="","",ROW()-6)</f>
        <v/>
      </c>
      <c r="B2003" s="145"/>
      <c r="C2003" s="146"/>
      <c r="D2003" s="146"/>
      <c r="E2003" s="82" t="str">
        <f aca="false">IF(B2003="","",IF(COUNTIFS('CARNET DE SOUDURE'!$L$7:$L$3006,B2003,'CARNET DE SOUDURE'!$M$7:$M$3006,"&lt;&gt;"&amp;C2003,'CARNET DE SOUDURE'!$M$7:$M$3006,"&lt;&gt;")+COUNTIFS('CARNET DE SOUDURE'!$O$7:$O$3006,B2003,'CARNET DE SOUDURE'!$P$7:$P$3006,"&lt;&gt;"&amp;C2003,'CARNET DE SOUDURE'!$P$7:$P$3006,"&lt;&gt;")&gt;0,"⚠ DIFFÉRENTE","OK"))</f>
        <v/>
      </c>
      <c r="F2003" s="147"/>
      <c r="G2003" s="80"/>
      <c r="H2003" s="83"/>
      <c r="I2003" s="148" t="str">
        <f aca="false">IF(B2003="","",IFERROR(INDEX('CARNET DE SOUDURE'!$B$7:$B$3006,MATCH(B2003,'CARNET DE SOUDURE'!$L$7:$L$3006,0)),IFERROR(INDEX('CARNET DE SOUDURE'!$B$7:$B$3006,MATCH(B2003,'CARNET DE SOUDURE'!$O$7:$O$3006,0)),"")))</f>
        <v/>
      </c>
      <c r="J2003" s="82" t="str">
        <f aca="false">IF(B2003="","",IFERROR(INDEX('CARNET DE SOUDURE'!$E$7:$E$3006,MATCH(B2003,'CARNET DE SOUDURE'!$O$7:$O$3006,0)),""))</f>
        <v/>
      </c>
      <c r="K2003" s="82" t="str">
        <f aca="false">IF(B2003="","",IFERROR(INDEX('CARNET DE SOUDURE'!$E$7:$E$3006,MATCH(B2003,'CARNET DE SOUDURE'!$L$7:$L$3006,0)),""))</f>
        <v/>
      </c>
      <c r="L2003" s="82" t="str">
        <f aca="false">IF(B2003="","",IFERROR(INDEX('CARNET DE SOUDURE'!$D$7:$D$3006,MATCH(B2003,'CARNET DE SOUDURE'!$L$7:$L$3006,0)),IFERROR(INDEX('CARNET DE SOUDURE'!$D$7:$D$3006,MATCH(B2003,'CARNET DE SOUDURE'!$O$7:$O$3006,0)),"")))</f>
        <v/>
      </c>
      <c r="M2003" s="82" t="str">
        <f aca="false">IF(B2003="","",IF(OR(J2003&lt;&gt;"",K2003&lt;&gt;""),"POSÉ EN LIGNE",IF(COUNTIF(BARDAGE!$C$1:$C$5000,B2003)&gt;0,"BARDÉ","EN STOCK")))</f>
        <v/>
      </c>
      <c r="N2003" s="80"/>
    </row>
    <row r="2004" customFormat="false" ht="15" hidden="false" customHeight="false" outlineLevel="0" collapsed="false">
      <c r="A2004" s="82" t="str">
        <f aca="false">IF(B2004="","",ROW()-6)</f>
        <v/>
      </c>
      <c r="B2004" s="145"/>
      <c r="C2004" s="146"/>
      <c r="D2004" s="146"/>
      <c r="E2004" s="82" t="str">
        <f aca="false">IF(B2004="","",IF(COUNTIFS('CARNET DE SOUDURE'!$L$7:$L$3006,B2004,'CARNET DE SOUDURE'!$M$7:$M$3006,"&lt;&gt;"&amp;C2004,'CARNET DE SOUDURE'!$M$7:$M$3006,"&lt;&gt;")+COUNTIFS('CARNET DE SOUDURE'!$O$7:$O$3006,B2004,'CARNET DE SOUDURE'!$P$7:$P$3006,"&lt;&gt;"&amp;C2004,'CARNET DE SOUDURE'!$P$7:$P$3006,"&lt;&gt;")&gt;0,"⚠ DIFFÉRENTE","OK"))</f>
        <v/>
      </c>
      <c r="F2004" s="147"/>
      <c r="G2004" s="80"/>
      <c r="H2004" s="83"/>
      <c r="I2004" s="148" t="str">
        <f aca="false">IF(B2004="","",IFERROR(INDEX('CARNET DE SOUDURE'!$B$7:$B$3006,MATCH(B2004,'CARNET DE SOUDURE'!$L$7:$L$3006,0)),IFERROR(INDEX('CARNET DE SOUDURE'!$B$7:$B$3006,MATCH(B2004,'CARNET DE SOUDURE'!$O$7:$O$3006,0)),"")))</f>
        <v/>
      </c>
      <c r="J2004" s="82" t="str">
        <f aca="false">IF(B2004="","",IFERROR(INDEX('CARNET DE SOUDURE'!$E$7:$E$3006,MATCH(B2004,'CARNET DE SOUDURE'!$O$7:$O$3006,0)),""))</f>
        <v/>
      </c>
      <c r="K2004" s="82" t="str">
        <f aca="false">IF(B2004="","",IFERROR(INDEX('CARNET DE SOUDURE'!$E$7:$E$3006,MATCH(B2004,'CARNET DE SOUDURE'!$L$7:$L$3006,0)),""))</f>
        <v/>
      </c>
      <c r="L2004" s="82" t="str">
        <f aca="false">IF(B2004="","",IFERROR(INDEX('CARNET DE SOUDURE'!$D$7:$D$3006,MATCH(B2004,'CARNET DE SOUDURE'!$L$7:$L$3006,0)),IFERROR(INDEX('CARNET DE SOUDURE'!$D$7:$D$3006,MATCH(B2004,'CARNET DE SOUDURE'!$O$7:$O$3006,0)),"")))</f>
        <v/>
      </c>
      <c r="M2004" s="82" t="str">
        <f aca="false">IF(B2004="","",IF(OR(J2004&lt;&gt;"",K2004&lt;&gt;""),"POSÉ EN LIGNE",IF(COUNTIF(BARDAGE!$C$1:$C$5000,B2004)&gt;0,"BARDÉ","EN STOCK")))</f>
        <v/>
      </c>
      <c r="N2004" s="80"/>
    </row>
    <row r="2005" customFormat="false" ht="15" hidden="false" customHeight="false" outlineLevel="0" collapsed="false">
      <c r="A2005" s="82" t="str">
        <f aca="false">IF(B2005="","",ROW()-6)</f>
        <v/>
      </c>
      <c r="B2005" s="145"/>
      <c r="C2005" s="146"/>
      <c r="D2005" s="146"/>
      <c r="E2005" s="82" t="str">
        <f aca="false">IF(B2005="","",IF(COUNTIFS('CARNET DE SOUDURE'!$L$7:$L$3006,B2005,'CARNET DE SOUDURE'!$M$7:$M$3006,"&lt;&gt;"&amp;C2005,'CARNET DE SOUDURE'!$M$7:$M$3006,"&lt;&gt;")+COUNTIFS('CARNET DE SOUDURE'!$O$7:$O$3006,B2005,'CARNET DE SOUDURE'!$P$7:$P$3006,"&lt;&gt;"&amp;C2005,'CARNET DE SOUDURE'!$P$7:$P$3006,"&lt;&gt;")&gt;0,"⚠ DIFFÉRENTE","OK"))</f>
        <v/>
      </c>
      <c r="F2005" s="147"/>
      <c r="G2005" s="80"/>
      <c r="H2005" s="83"/>
      <c r="I2005" s="148" t="str">
        <f aca="false">IF(B2005="","",IFERROR(INDEX('CARNET DE SOUDURE'!$B$7:$B$3006,MATCH(B2005,'CARNET DE SOUDURE'!$L$7:$L$3006,0)),IFERROR(INDEX('CARNET DE SOUDURE'!$B$7:$B$3006,MATCH(B2005,'CARNET DE SOUDURE'!$O$7:$O$3006,0)),"")))</f>
        <v/>
      </c>
      <c r="J2005" s="82" t="str">
        <f aca="false">IF(B2005="","",IFERROR(INDEX('CARNET DE SOUDURE'!$E$7:$E$3006,MATCH(B2005,'CARNET DE SOUDURE'!$O$7:$O$3006,0)),""))</f>
        <v/>
      </c>
      <c r="K2005" s="82" t="str">
        <f aca="false">IF(B2005="","",IFERROR(INDEX('CARNET DE SOUDURE'!$E$7:$E$3006,MATCH(B2005,'CARNET DE SOUDURE'!$L$7:$L$3006,0)),""))</f>
        <v/>
      </c>
      <c r="L2005" s="82" t="str">
        <f aca="false">IF(B2005="","",IFERROR(INDEX('CARNET DE SOUDURE'!$D$7:$D$3006,MATCH(B2005,'CARNET DE SOUDURE'!$L$7:$L$3006,0)),IFERROR(INDEX('CARNET DE SOUDURE'!$D$7:$D$3006,MATCH(B2005,'CARNET DE SOUDURE'!$O$7:$O$3006,0)),"")))</f>
        <v/>
      </c>
      <c r="M2005" s="82" t="str">
        <f aca="false">IF(B2005="","",IF(OR(J2005&lt;&gt;"",K2005&lt;&gt;""),"POSÉ EN LIGNE",IF(COUNTIF(BARDAGE!$C$1:$C$5000,B2005)&gt;0,"BARDÉ","EN STOCK")))</f>
        <v/>
      </c>
      <c r="N2005" s="80"/>
    </row>
    <row r="2006" customFormat="false" ht="15" hidden="false" customHeight="false" outlineLevel="0" collapsed="false">
      <c r="A2006" s="82" t="str">
        <f aca="false">IF(B2006="","",ROW()-6)</f>
        <v/>
      </c>
      <c r="B2006" s="145"/>
      <c r="C2006" s="146"/>
      <c r="D2006" s="146"/>
      <c r="E2006" s="82" t="str">
        <f aca="false">IF(B2006="","",IF(COUNTIFS('CARNET DE SOUDURE'!$L$7:$L$3006,B2006,'CARNET DE SOUDURE'!$M$7:$M$3006,"&lt;&gt;"&amp;C2006,'CARNET DE SOUDURE'!$M$7:$M$3006,"&lt;&gt;")+COUNTIFS('CARNET DE SOUDURE'!$O$7:$O$3006,B2006,'CARNET DE SOUDURE'!$P$7:$P$3006,"&lt;&gt;"&amp;C2006,'CARNET DE SOUDURE'!$P$7:$P$3006,"&lt;&gt;")&gt;0,"⚠ DIFFÉRENTE","OK"))</f>
        <v/>
      </c>
      <c r="F2006" s="147"/>
      <c r="G2006" s="80"/>
      <c r="H2006" s="83"/>
      <c r="I2006" s="148" t="str">
        <f aca="false">IF(B2006="","",IFERROR(INDEX('CARNET DE SOUDURE'!$B$7:$B$3006,MATCH(B2006,'CARNET DE SOUDURE'!$L$7:$L$3006,0)),IFERROR(INDEX('CARNET DE SOUDURE'!$B$7:$B$3006,MATCH(B2006,'CARNET DE SOUDURE'!$O$7:$O$3006,0)),"")))</f>
        <v/>
      </c>
      <c r="J2006" s="82" t="str">
        <f aca="false">IF(B2006="","",IFERROR(INDEX('CARNET DE SOUDURE'!$E$7:$E$3006,MATCH(B2006,'CARNET DE SOUDURE'!$O$7:$O$3006,0)),""))</f>
        <v/>
      </c>
      <c r="K2006" s="82" t="str">
        <f aca="false">IF(B2006="","",IFERROR(INDEX('CARNET DE SOUDURE'!$E$7:$E$3006,MATCH(B2006,'CARNET DE SOUDURE'!$L$7:$L$3006,0)),""))</f>
        <v/>
      </c>
      <c r="L2006" s="82" t="str">
        <f aca="false">IF(B2006="","",IFERROR(INDEX('CARNET DE SOUDURE'!$D$7:$D$3006,MATCH(B2006,'CARNET DE SOUDURE'!$L$7:$L$3006,0)),IFERROR(INDEX('CARNET DE SOUDURE'!$D$7:$D$3006,MATCH(B2006,'CARNET DE SOUDURE'!$O$7:$O$3006,0)),"")))</f>
        <v/>
      </c>
      <c r="M2006" s="82" t="str">
        <f aca="false">IF(B2006="","",IF(OR(J2006&lt;&gt;"",K2006&lt;&gt;""),"POSÉ EN LIGNE",IF(COUNTIF(BARDAGE!$C$1:$C$5000,B2006)&gt;0,"BARDÉ","EN STOCK")))</f>
        <v/>
      </c>
      <c r="N2006" s="80"/>
    </row>
    <row r="2007" customFormat="false" ht="15" hidden="false" customHeight="false" outlineLevel="0" collapsed="false">
      <c r="A2007" s="82" t="str">
        <f aca="false">IF(B2007="","",ROW()-6)</f>
        <v/>
      </c>
      <c r="B2007" s="145"/>
      <c r="C2007" s="146"/>
      <c r="D2007" s="146"/>
      <c r="E2007" s="82" t="str">
        <f aca="false">IF(B2007="","",IF(COUNTIFS('CARNET DE SOUDURE'!$L$7:$L$3006,B2007,'CARNET DE SOUDURE'!$M$7:$M$3006,"&lt;&gt;"&amp;C2007,'CARNET DE SOUDURE'!$M$7:$M$3006,"&lt;&gt;")+COUNTIFS('CARNET DE SOUDURE'!$O$7:$O$3006,B2007,'CARNET DE SOUDURE'!$P$7:$P$3006,"&lt;&gt;"&amp;C2007,'CARNET DE SOUDURE'!$P$7:$P$3006,"&lt;&gt;")&gt;0,"⚠ DIFFÉRENTE","OK"))</f>
        <v/>
      </c>
      <c r="F2007" s="147"/>
      <c r="G2007" s="80"/>
      <c r="H2007" s="83"/>
      <c r="I2007" s="148" t="str">
        <f aca="false">IF(B2007="","",IFERROR(INDEX('CARNET DE SOUDURE'!$B$7:$B$3006,MATCH(B2007,'CARNET DE SOUDURE'!$L$7:$L$3006,0)),IFERROR(INDEX('CARNET DE SOUDURE'!$B$7:$B$3006,MATCH(B2007,'CARNET DE SOUDURE'!$O$7:$O$3006,0)),"")))</f>
        <v/>
      </c>
      <c r="J2007" s="82" t="str">
        <f aca="false">IF(B2007="","",IFERROR(INDEX('CARNET DE SOUDURE'!$E$7:$E$3006,MATCH(B2007,'CARNET DE SOUDURE'!$O$7:$O$3006,0)),""))</f>
        <v/>
      </c>
      <c r="K2007" s="82" t="str">
        <f aca="false">IF(B2007="","",IFERROR(INDEX('CARNET DE SOUDURE'!$E$7:$E$3006,MATCH(B2007,'CARNET DE SOUDURE'!$L$7:$L$3006,0)),""))</f>
        <v/>
      </c>
      <c r="L2007" s="82" t="str">
        <f aca="false">IF(B2007="","",IFERROR(INDEX('CARNET DE SOUDURE'!$D$7:$D$3006,MATCH(B2007,'CARNET DE SOUDURE'!$L$7:$L$3006,0)),IFERROR(INDEX('CARNET DE SOUDURE'!$D$7:$D$3006,MATCH(B2007,'CARNET DE SOUDURE'!$O$7:$O$3006,0)),"")))</f>
        <v/>
      </c>
      <c r="M2007" s="82" t="str">
        <f aca="false">IF(B2007="","",IF(OR(J2007&lt;&gt;"",K2007&lt;&gt;""),"POSÉ EN LIGNE",IF(COUNTIF(BARDAGE!$C$1:$C$5000,B2007)&gt;0,"BARDÉ","EN STOCK")))</f>
        <v/>
      </c>
      <c r="N2007" s="80"/>
    </row>
    <row r="2008" customFormat="false" ht="15" hidden="false" customHeight="false" outlineLevel="0" collapsed="false">
      <c r="A2008" s="82" t="str">
        <f aca="false">IF(B2008="","",ROW()-6)</f>
        <v/>
      </c>
      <c r="B2008" s="145"/>
      <c r="C2008" s="146"/>
      <c r="D2008" s="146"/>
      <c r="E2008" s="82" t="str">
        <f aca="false">IF(B2008="","",IF(COUNTIFS('CARNET DE SOUDURE'!$L$7:$L$3006,B2008,'CARNET DE SOUDURE'!$M$7:$M$3006,"&lt;&gt;"&amp;C2008,'CARNET DE SOUDURE'!$M$7:$M$3006,"&lt;&gt;")+COUNTIFS('CARNET DE SOUDURE'!$O$7:$O$3006,B2008,'CARNET DE SOUDURE'!$P$7:$P$3006,"&lt;&gt;"&amp;C2008,'CARNET DE SOUDURE'!$P$7:$P$3006,"&lt;&gt;")&gt;0,"⚠ DIFFÉRENTE","OK"))</f>
        <v/>
      </c>
      <c r="F2008" s="147"/>
      <c r="G2008" s="80"/>
      <c r="H2008" s="83"/>
      <c r="I2008" s="148" t="str">
        <f aca="false">IF(B2008="","",IFERROR(INDEX('CARNET DE SOUDURE'!$B$7:$B$3006,MATCH(B2008,'CARNET DE SOUDURE'!$L$7:$L$3006,0)),IFERROR(INDEX('CARNET DE SOUDURE'!$B$7:$B$3006,MATCH(B2008,'CARNET DE SOUDURE'!$O$7:$O$3006,0)),"")))</f>
        <v/>
      </c>
      <c r="J2008" s="82" t="str">
        <f aca="false">IF(B2008="","",IFERROR(INDEX('CARNET DE SOUDURE'!$E$7:$E$3006,MATCH(B2008,'CARNET DE SOUDURE'!$O$7:$O$3006,0)),""))</f>
        <v/>
      </c>
      <c r="K2008" s="82" t="str">
        <f aca="false">IF(B2008="","",IFERROR(INDEX('CARNET DE SOUDURE'!$E$7:$E$3006,MATCH(B2008,'CARNET DE SOUDURE'!$L$7:$L$3006,0)),""))</f>
        <v/>
      </c>
      <c r="L2008" s="82" t="str">
        <f aca="false">IF(B2008="","",IFERROR(INDEX('CARNET DE SOUDURE'!$D$7:$D$3006,MATCH(B2008,'CARNET DE SOUDURE'!$L$7:$L$3006,0)),IFERROR(INDEX('CARNET DE SOUDURE'!$D$7:$D$3006,MATCH(B2008,'CARNET DE SOUDURE'!$O$7:$O$3006,0)),"")))</f>
        <v/>
      </c>
      <c r="M2008" s="82" t="str">
        <f aca="false">IF(B2008="","",IF(OR(J2008&lt;&gt;"",K2008&lt;&gt;""),"POSÉ EN LIGNE",IF(COUNTIF(BARDAGE!$C$1:$C$5000,B2008)&gt;0,"BARDÉ","EN STOCK")))</f>
        <v/>
      </c>
      <c r="N2008" s="80"/>
    </row>
    <row r="2009" customFormat="false" ht="15" hidden="false" customHeight="false" outlineLevel="0" collapsed="false">
      <c r="A2009" s="82" t="str">
        <f aca="false">IF(B2009="","",ROW()-6)</f>
        <v/>
      </c>
      <c r="B2009" s="145"/>
      <c r="C2009" s="146"/>
      <c r="D2009" s="146"/>
      <c r="E2009" s="82" t="str">
        <f aca="false">IF(B2009="","",IF(COUNTIFS('CARNET DE SOUDURE'!$L$7:$L$3006,B2009,'CARNET DE SOUDURE'!$M$7:$M$3006,"&lt;&gt;"&amp;C2009,'CARNET DE SOUDURE'!$M$7:$M$3006,"&lt;&gt;")+COUNTIFS('CARNET DE SOUDURE'!$O$7:$O$3006,B2009,'CARNET DE SOUDURE'!$P$7:$P$3006,"&lt;&gt;"&amp;C2009,'CARNET DE SOUDURE'!$P$7:$P$3006,"&lt;&gt;")&gt;0,"⚠ DIFFÉRENTE","OK"))</f>
        <v/>
      </c>
      <c r="F2009" s="147"/>
      <c r="G2009" s="80"/>
      <c r="H2009" s="83"/>
      <c r="I2009" s="148" t="str">
        <f aca="false">IF(B2009="","",IFERROR(INDEX('CARNET DE SOUDURE'!$B$7:$B$3006,MATCH(B2009,'CARNET DE SOUDURE'!$L$7:$L$3006,0)),IFERROR(INDEX('CARNET DE SOUDURE'!$B$7:$B$3006,MATCH(B2009,'CARNET DE SOUDURE'!$O$7:$O$3006,0)),"")))</f>
        <v/>
      </c>
      <c r="J2009" s="82" t="str">
        <f aca="false">IF(B2009="","",IFERROR(INDEX('CARNET DE SOUDURE'!$E$7:$E$3006,MATCH(B2009,'CARNET DE SOUDURE'!$O$7:$O$3006,0)),""))</f>
        <v/>
      </c>
      <c r="K2009" s="82" t="str">
        <f aca="false">IF(B2009="","",IFERROR(INDEX('CARNET DE SOUDURE'!$E$7:$E$3006,MATCH(B2009,'CARNET DE SOUDURE'!$L$7:$L$3006,0)),""))</f>
        <v/>
      </c>
      <c r="L2009" s="82" t="str">
        <f aca="false">IF(B2009="","",IFERROR(INDEX('CARNET DE SOUDURE'!$D$7:$D$3006,MATCH(B2009,'CARNET DE SOUDURE'!$L$7:$L$3006,0)),IFERROR(INDEX('CARNET DE SOUDURE'!$D$7:$D$3006,MATCH(B2009,'CARNET DE SOUDURE'!$O$7:$O$3006,0)),"")))</f>
        <v/>
      </c>
      <c r="M2009" s="82" t="str">
        <f aca="false">IF(B2009="","",IF(OR(J2009&lt;&gt;"",K2009&lt;&gt;""),"POSÉ EN LIGNE",IF(COUNTIF(BARDAGE!$C$1:$C$5000,B2009)&gt;0,"BARDÉ","EN STOCK")))</f>
        <v/>
      </c>
      <c r="N2009" s="80"/>
    </row>
    <row r="2010" customFormat="false" ht="15" hidden="false" customHeight="false" outlineLevel="0" collapsed="false">
      <c r="A2010" s="82" t="str">
        <f aca="false">IF(B2010="","",ROW()-6)</f>
        <v/>
      </c>
      <c r="B2010" s="145"/>
      <c r="C2010" s="146"/>
      <c r="D2010" s="146"/>
      <c r="E2010" s="82" t="str">
        <f aca="false">IF(B2010="","",IF(COUNTIFS('CARNET DE SOUDURE'!$L$7:$L$3006,B2010,'CARNET DE SOUDURE'!$M$7:$M$3006,"&lt;&gt;"&amp;C2010,'CARNET DE SOUDURE'!$M$7:$M$3006,"&lt;&gt;")+COUNTIFS('CARNET DE SOUDURE'!$O$7:$O$3006,B2010,'CARNET DE SOUDURE'!$P$7:$P$3006,"&lt;&gt;"&amp;C2010,'CARNET DE SOUDURE'!$P$7:$P$3006,"&lt;&gt;")&gt;0,"⚠ DIFFÉRENTE","OK"))</f>
        <v/>
      </c>
      <c r="F2010" s="147"/>
      <c r="G2010" s="80"/>
      <c r="H2010" s="83"/>
      <c r="I2010" s="148" t="str">
        <f aca="false">IF(B2010="","",IFERROR(INDEX('CARNET DE SOUDURE'!$B$7:$B$3006,MATCH(B2010,'CARNET DE SOUDURE'!$L$7:$L$3006,0)),IFERROR(INDEX('CARNET DE SOUDURE'!$B$7:$B$3006,MATCH(B2010,'CARNET DE SOUDURE'!$O$7:$O$3006,0)),"")))</f>
        <v/>
      </c>
      <c r="J2010" s="82" t="str">
        <f aca="false">IF(B2010="","",IFERROR(INDEX('CARNET DE SOUDURE'!$E$7:$E$3006,MATCH(B2010,'CARNET DE SOUDURE'!$O$7:$O$3006,0)),""))</f>
        <v/>
      </c>
      <c r="K2010" s="82" t="str">
        <f aca="false">IF(B2010="","",IFERROR(INDEX('CARNET DE SOUDURE'!$E$7:$E$3006,MATCH(B2010,'CARNET DE SOUDURE'!$L$7:$L$3006,0)),""))</f>
        <v/>
      </c>
      <c r="L2010" s="82" t="str">
        <f aca="false">IF(B2010="","",IFERROR(INDEX('CARNET DE SOUDURE'!$D$7:$D$3006,MATCH(B2010,'CARNET DE SOUDURE'!$L$7:$L$3006,0)),IFERROR(INDEX('CARNET DE SOUDURE'!$D$7:$D$3006,MATCH(B2010,'CARNET DE SOUDURE'!$O$7:$O$3006,0)),"")))</f>
        <v/>
      </c>
      <c r="M2010" s="82" t="str">
        <f aca="false">IF(B2010="","",IF(OR(J2010&lt;&gt;"",K2010&lt;&gt;""),"POSÉ EN LIGNE",IF(COUNTIF(BARDAGE!$C$1:$C$5000,B2010)&gt;0,"BARDÉ","EN STOCK")))</f>
        <v/>
      </c>
      <c r="N2010" s="80"/>
    </row>
    <row r="2011" customFormat="false" ht="15" hidden="false" customHeight="false" outlineLevel="0" collapsed="false">
      <c r="A2011" s="82" t="str">
        <f aca="false">IF(B2011="","",ROW()-6)</f>
        <v/>
      </c>
      <c r="B2011" s="145"/>
      <c r="C2011" s="146"/>
      <c r="D2011" s="146"/>
      <c r="E2011" s="82" t="str">
        <f aca="false">IF(B2011="","",IF(COUNTIFS('CARNET DE SOUDURE'!$L$7:$L$3006,B2011,'CARNET DE SOUDURE'!$M$7:$M$3006,"&lt;&gt;"&amp;C2011,'CARNET DE SOUDURE'!$M$7:$M$3006,"&lt;&gt;")+COUNTIFS('CARNET DE SOUDURE'!$O$7:$O$3006,B2011,'CARNET DE SOUDURE'!$P$7:$P$3006,"&lt;&gt;"&amp;C2011,'CARNET DE SOUDURE'!$P$7:$P$3006,"&lt;&gt;")&gt;0,"⚠ DIFFÉRENTE","OK"))</f>
        <v/>
      </c>
      <c r="F2011" s="147"/>
      <c r="G2011" s="80"/>
      <c r="H2011" s="83"/>
      <c r="I2011" s="148" t="str">
        <f aca="false">IF(B2011="","",IFERROR(INDEX('CARNET DE SOUDURE'!$B$7:$B$3006,MATCH(B2011,'CARNET DE SOUDURE'!$L$7:$L$3006,0)),IFERROR(INDEX('CARNET DE SOUDURE'!$B$7:$B$3006,MATCH(B2011,'CARNET DE SOUDURE'!$O$7:$O$3006,0)),"")))</f>
        <v/>
      </c>
      <c r="J2011" s="82" t="str">
        <f aca="false">IF(B2011="","",IFERROR(INDEX('CARNET DE SOUDURE'!$E$7:$E$3006,MATCH(B2011,'CARNET DE SOUDURE'!$O$7:$O$3006,0)),""))</f>
        <v/>
      </c>
      <c r="K2011" s="82" t="str">
        <f aca="false">IF(B2011="","",IFERROR(INDEX('CARNET DE SOUDURE'!$E$7:$E$3006,MATCH(B2011,'CARNET DE SOUDURE'!$L$7:$L$3006,0)),""))</f>
        <v/>
      </c>
      <c r="L2011" s="82" t="str">
        <f aca="false">IF(B2011="","",IFERROR(INDEX('CARNET DE SOUDURE'!$D$7:$D$3006,MATCH(B2011,'CARNET DE SOUDURE'!$L$7:$L$3006,0)),IFERROR(INDEX('CARNET DE SOUDURE'!$D$7:$D$3006,MATCH(B2011,'CARNET DE SOUDURE'!$O$7:$O$3006,0)),"")))</f>
        <v/>
      </c>
      <c r="M2011" s="82" t="str">
        <f aca="false">IF(B2011="","",IF(OR(J2011&lt;&gt;"",K2011&lt;&gt;""),"POSÉ EN LIGNE",IF(COUNTIF(BARDAGE!$C$1:$C$5000,B2011)&gt;0,"BARDÉ","EN STOCK")))</f>
        <v/>
      </c>
      <c r="N2011" s="80"/>
    </row>
    <row r="2012" customFormat="false" ht="15" hidden="false" customHeight="false" outlineLevel="0" collapsed="false">
      <c r="A2012" s="82" t="str">
        <f aca="false">IF(B2012="","",ROW()-6)</f>
        <v/>
      </c>
      <c r="B2012" s="145"/>
      <c r="C2012" s="146"/>
      <c r="D2012" s="146"/>
      <c r="E2012" s="82" t="str">
        <f aca="false">IF(B2012="","",IF(COUNTIFS('CARNET DE SOUDURE'!$L$7:$L$3006,B2012,'CARNET DE SOUDURE'!$M$7:$M$3006,"&lt;&gt;"&amp;C2012,'CARNET DE SOUDURE'!$M$7:$M$3006,"&lt;&gt;")+COUNTIFS('CARNET DE SOUDURE'!$O$7:$O$3006,B2012,'CARNET DE SOUDURE'!$P$7:$P$3006,"&lt;&gt;"&amp;C2012,'CARNET DE SOUDURE'!$P$7:$P$3006,"&lt;&gt;")&gt;0,"⚠ DIFFÉRENTE","OK"))</f>
        <v/>
      </c>
      <c r="F2012" s="147"/>
      <c r="G2012" s="80"/>
      <c r="H2012" s="83"/>
      <c r="I2012" s="148" t="str">
        <f aca="false">IF(B2012="","",IFERROR(INDEX('CARNET DE SOUDURE'!$B$7:$B$3006,MATCH(B2012,'CARNET DE SOUDURE'!$L$7:$L$3006,0)),IFERROR(INDEX('CARNET DE SOUDURE'!$B$7:$B$3006,MATCH(B2012,'CARNET DE SOUDURE'!$O$7:$O$3006,0)),"")))</f>
        <v/>
      </c>
      <c r="J2012" s="82" t="str">
        <f aca="false">IF(B2012="","",IFERROR(INDEX('CARNET DE SOUDURE'!$E$7:$E$3006,MATCH(B2012,'CARNET DE SOUDURE'!$O$7:$O$3006,0)),""))</f>
        <v/>
      </c>
      <c r="K2012" s="82" t="str">
        <f aca="false">IF(B2012="","",IFERROR(INDEX('CARNET DE SOUDURE'!$E$7:$E$3006,MATCH(B2012,'CARNET DE SOUDURE'!$L$7:$L$3006,0)),""))</f>
        <v/>
      </c>
      <c r="L2012" s="82" t="str">
        <f aca="false">IF(B2012="","",IFERROR(INDEX('CARNET DE SOUDURE'!$D$7:$D$3006,MATCH(B2012,'CARNET DE SOUDURE'!$L$7:$L$3006,0)),IFERROR(INDEX('CARNET DE SOUDURE'!$D$7:$D$3006,MATCH(B2012,'CARNET DE SOUDURE'!$O$7:$O$3006,0)),"")))</f>
        <v/>
      </c>
      <c r="M2012" s="82" t="str">
        <f aca="false">IF(B2012="","",IF(OR(J2012&lt;&gt;"",K2012&lt;&gt;""),"POSÉ EN LIGNE",IF(COUNTIF(BARDAGE!$C$1:$C$5000,B2012)&gt;0,"BARDÉ","EN STOCK")))</f>
        <v/>
      </c>
      <c r="N2012" s="80"/>
    </row>
    <row r="2013" customFormat="false" ht="15" hidden="false" customHeight="false" outlineLevel="0" collapsed="false">
      <c r="A2013" s="82" t="str">
        <f aca="false">IF(B2013="","",ROW()-6)</f>
        <v/>
      </c>
      <c r="B2013" s="145"/>
      <c r="C2013" s="146"/>
      <c r="D2013" s="146"/>
      <c r="E2013" s="82" t="str">
        <f aca="false">IF(B2013="","",IF(COUNTIFS('CARNET DE SOUDURE'!$L$7:$L$3006,B2013,'CARNET DE SOUDURE'!$M$7:$M$3006,"&lt;&gt;"&amp;C2013,'CARNET DE SOUDURE'!$M$7:$M$3006,"&lt;&gt;")+COUNTIFS('CARNET DE SOUDURE'!$O$7:$O$3006,B2013,'CARNET DE SOUDURE'!$P$7:$P$3006,"&lt;&gt;"&amp;C2013,'CARNET DE SOUDURE'!$P$7:$P$3006,"&lt;&gt;")&gt;0,"⚠ DIFFÉRENTE","OK"))</f>
        <v/>
      </c>
      <c r="F2013" s="147"/>
      <c r="G2013" s="80"/>
      <c r="H2013" s="83"/>
      <c r="I2013" s="148" t="str">
        <f aca="false">IF(B2013="","",IFERROR(INDEX('CARNET DE SOUDURE'!$B$7:$B$3006,MATCH(B2013,'CARNET DE SOUDURE'!$L$7:$L$3006,0)),IFERROR(INDEX('CARNET DE SOUDURE'!$B$7:$B$3006,MATCH(B2013,'CARNET DE SOUDURE'!$O$7:$O$3006,0)),"")))</f>
        <v/>
      </c>
      <c r="J2013" s="82" t="str">
        <f aca="false">IF(B2013="","",IFERROR(INDEX('CARNET DE SOUDURE'!$E$7:$E$3006,MATCH(B2013,'CARNET DE SOUDURE'!$O$7:$O$3006,0)),""))</f>
        <v/>
      </c>
      <c r="K2013" s="82" t="str">
        <f aca="false">IF(B2013="","",IFERROR(INDEX('CARNET DE SOUDURE'!$E$7:$E$3006,MATCH(B2013,'CARNET DE SOUDURE'!$L$7:$L$3006,0)),""))</f>
        <v/>
      </c>
      <c r="L2013" s="82" t="str">
        <f aca="false">IF(B2013="","",IFERROR(INDEX('CARNET DE SOUDURE'!$D$7:$D$3006,MATCH(B2013,'CARNET DE SOUDURE'!$L$7:$L$3006,0)),IFERROR(INDEX('CARNET DE SOUDURE'!$D$7:$D$3006,MATCH(B2013,'CARNET DE SOUDURE'!$O$7:$O$3006,0)),"")))</f>
        <v/>
      </c>
      <c r="M2013" s="82" t="str">
        <f aca="false">IF(B2013="","",IF(OR(J2013&lt;&gt;"",K2013&lt;&gt;""),"POSÉ EN LIGNE",IF(COUNTIF(BARDAGE!$C$1:$C$5000,B2013)&gt;0,"BARDÉ","EN STOCK")))</f>
        <v/>
      </c>
      <c r="N2013" s="80"/>
    </row>
    <row r="2014" customFormat="false" ht="15" hidden="false" customHeight="false" outlineLevel="0" collapsed="false">
      <c r="A2014" s="82" t="str">
        <f aca="false">IF(B2014="","",ROW()-6)</f>
        <v/>
      </c>
      <c r="B2014" s="145"/>
      <c r="C2014" s="146"/>
      <c r="D2014" s="146"/>
      <c r="E2014" s="82" t="str">
        <f aca="false">IF(B2014="","",IF(COUNTIFS('CARNET DE SOUDURE'!$L$7:$L$3006,B2014,'CARNET DE SOUDURE'!$M$7:$M$3006,"&lt;&gt;"&amp;C2014,'CARNET DE SOUDURE'!$M$7:$M$3006,"&lt;&gt;")+COUNTIFS('CARNET DE SOUDURE'!$O$7:$O$3006,B2014,'CARNET DE SOUDURE'!$P$7:$P$3006,"&lt;&gt;"&amp;C2014,'CARNET DE SOUDURE'!$P$7:$P$3006,"&lt;&gt;")&gt;0,"⚠ DIFFÉRENTE","OK"))</f>
        <v/>
      </c>
      <c r="F2014" s="147"/>
      <c r="G2014" s="80"/>
      <c r="H2014" s="83"/>
      <c r="I2014" s="148" t="str">
        <f aca="false">IF(B2014="","",IFERROR(INDEX('CARNET DE SOUDURE'!$B$7:$B$3006,MATCH(B2014,'CARNET DE SOUDURE'!$L$7:$L$3006,0)),IFERROR(INDEX('CARNET DE SOUDURE'!$B$7:$B$3006,MATCH(B2014,'CARNET DE SOUDURE'!$O$7:$O$3006,0)),"")))</f>
        <v/>
      </c>
      <c r="J2014" s="82" t="str">
        <f aca="false">IF(B2014="","",IFERROR(INDEX('CARNET DE SOUDURE'!$E$7:$E$3006,MATCH(B2014,'CARNET DE SOUDURE'!$O$7:$O$3006,0)),""))</f>
        <v/>
      </c>
      <c r="K2014" s="82" t="str">
        <f aca="false">IF(B2014="","",IFERROR(INDEX('CARNET DE SOUDURE'!$E$7:$E$3006,MATCH(B2014,'CARNET DE SOUDURE'!$L$7:$L$3006,0)),""))</f>
        <v/>
      </c>
      <c r="L2014" s="82" t="str">
        <f aca="false">IF(B2014="","",IFERROR(INDEX('CARNET DE SOUDURE'!$D$7:$D$3006,MATCH(B2014,'CARNET DE SOUDURE'!$L$7:$L$3006,0)),IFERROR(INDEX('CARNET DE SOUDURE'!$D$7:$D$3006,MATCH(B2014,'CARNET DE SOUDURE'!$O$7:$O$3006,0)),"")))</f>
        <v/>
      </c>
      <c r="M2014" s="82" t="str">
        <f aca="false">IF(B2014="","",IF(OR(J2014&lt;&gt;"",K2014&lt;&gt;""),"POSÉ EN LIGNE",IF(COUNTIF(BARDAGE!$C$1:$C$5000,B2014)&gt;0,"BARDÉ","EN STOCK")))</f>
        <v/>
      </c>
      <c r="N2014" s="80"/>
    </row>
    <row r="2015" customFormat="false" ht="15" hidden="false" customHeight="false" outlineLevel="0" collapsed="false">
      <c r="A2015" s="82" t="str">
        <f aca="false">IF(B2015="","",ROW()-6)</f>
        <v/>
      </c>
      <c r="B2015" s="145"/>
      <c r="C2015" s="146"/>
      <c r="D2015" s="146"/>
      <c r="E2015" s="82" t="str">
        <f aca="false">IF(B2015="","",IF(COUNTIFS('CARNET DE SOUDURE'!$L$7:$L$3006,B2015,'CARNET DE SOUDURE'!$M$7:$M$3006,"&lt;&gt;"&amp;C2015,'CARNET DE SOUDURE'!$M$7:$M$3006,"&lt;&gt;")+COUNTIFS('CARNET DE SOUDURE'!$O$7:$O$3006,B2015,'CARNET DE SOUDURE'!$P$7:$P$3006,"&lt;&gt;"&amp;C2015,'CARNET DE SOUDURE'!$P$7:$P$3006,"&lt;&gt;")&gt;0,"⚠ DIFFÉRENTE","OK"))</f>
        <v/>
      </c>
      <c r="F2015" s="147"/>
      <c r="G2015" s="80"/>
      <c r="H2015" s="83"/>
      <c r="I2015" s="148" t="str">
        <f aca="false">IF(B2015="","",IFERROR(INDEX('CARNET DE SOUDURE'!$B$7:$B$3006,MATCH(B2015,'CARNET DE SOUDURE'!$L$7:$L$3006,0)),IFERROR(INDEX('CARNET DE SOUDURE'!$B$7:$B$3006,MATCH(B2015,'CARNET DE SOUDURE'!$O$7:$O$3006,0)),"")))</f>
        <v/>
      </c>
      <c r="J2015" s="82" t="str">
        <f aca="false">IF(B2015="","",IFERROR(INDEX('CARNET DE SOUDURE'!$E$7:$E$3006,MATCH(B2015,'CARNET DE SOUDURE'!$O$7:$O$3006,0)),""))</f>
        <v/>
      </c>
      <c r="K2015" s="82" t="str">
        <f aca="false">IF(B2015="","",IFERROR(INDEX('CARNET DE SOUDURE'!$E$7:$E$3006,MATCH(B2015,'CARNET DE SOUDURE'!$L$7:$L$3006,0)),""))</f>
        <v/>
      </c>
      <c r="L2015" s="82" t="str">
        <f aca="false">IF(B2015="","",IFERROR(INDEX('CARNET DE SOUDURE'!$D$7:$D$3006,MATCH(B2015,'CARNET DE SOUDURE'!$L$7:$L$3006,0)),IFERROR(INDEX('CARNET DE SOUDURE'!$D$7:$D$3006,MATCH(B2015,'CARNET DE SOUDURE'!$O$7:$O$3006,0)),"")))</f>
        <v/>
      </c>
      <c r="M2015" s="82" t="str">
        <f aca="false">IF(B2015="","",IF(OR(J2015&lt;&gt;"",K2015&lt;&gt;""),"POSÉ EN LIGNE",IF(COUNTIF(BARDAGE!$C$1:$C$5000,B2015)&gt;0,"BARDÉ","EN STOCK")))</f>
        <v/>
      </c>
      <c r="N2015" s="80"/>
    </row>
    <row r="2016" customFormat="false" ht="15" hidden="false" customHeight="false" outlineLevel="0" collapsed="false">
      <c r="A2016" s="82" t="str">
        <f aca="false">IF(B2016="","",ROW()-6)</f>
        <v/>
      </c>
      <c r="B2016" s="145"/>
      <c r="C2016" s="146"/>
      <c r="D2016" s="146"/>
      <c r="E2016" s="82" t="str">
        <f aca="false">IF(B2016="","",IF(COUNTIFS('CARNET DE SOUDURE'!$L$7:$L$3006,B2016,'CARNET DE SOUDURE'!$M$7:$M$3006,"&lt;&gt;"&amp;C2016,'CARNET DE SOUDURE'!$M$7:$M$3006,"&lt;&gt;")+COUNTIFS('CARNET DE SOUDURE'!$O$7:$O$3006,B2016,'CARNET DE SOUDURE'!$P$7:$P$3006,"&lt;&gt;"&amp;C2016,'CARNET DE SOUDURE'!$P$7:$P$3006,"&lt;&gt;")&gt;0,"⚠ DIFFÉRENTE","OK"))</f>
        <v/>
      </c>
      <c r="F2016" s="147"/>
      <c r="G2016" s="80"/>
      <c r="H2016" s="83"/>
      <c r="I2016" s="148" t="str">
        <f aca="false">IF(B2016="","",IFERROR(INDEX('CARNET DE SOUDURE'!$B$7:$B$3006,MATCH(B2016,'CARNET DE SOUDURE'!$L$7:$L$3006,0)),IFERROR(INDEX('CARNET DE SOUDURE'!$B$7:$B$3006,MATCH(B2016,'CARNET DE SOUDURE'!$O$7:$O$3006,0)),"")))</f>
        <v/>
      </c>
      <c r="J2016" s="82" t="str">
        <f aca="false">IF(B2016="","",IFERROR(INDEX('CARNET DE SOUDURE'!$E$7:$E$3006,MATCH(B2016,'CARNET DE SOUDURE'!$O$7:$O$3006,0)),""))</f>
        <v/>
      </c>
      <c r="K2016" s="82" t="str">
        <f aca="false">IF(B2016="","",IFERROR(INDEX('CARNET DE SOUDURE'!$E$7:$E$3006,MATCH(B2016,'CARNET DE SOUDURE'!$L$7:$L$3006,0)),""))</f>
        <v/>
      </c>
      <c r="L2016" s="82" t="str">
        <f aca="false">IF(B2016="","",IFERROR(INDEX('CARNET DE SOUDURE'!$D$7:$D$3006,MATCH(B2016,'CARNET DE SOUDURE'!$L$7:$L$3006,0)),IFERROR(INDEX('CARNET DE SOUDURE'!$D$7:$D$3006,MATCH(B2016,'CARNET DE SOUDURE'!$O$7:$O$3006,0)),"")))</f>
        <v/>
      </c>
      <c r="M2016" s="82" t="str">
        <f aca="false">IF(B2016="","",IF(OR(J2016&lt;&gt;"",K2016&lt;&gt;""),"POSÉ EN LIGNE",IF(COUNTIF(BARDAGE!$C$1:$C$5000,B2016)&gt;0,"BARDÉ","EN STOCK")))</f>
        <v/>
      </c>
      <c r="N2016" s="80"/>
    </row>
    <row r="2017" customFormat="false" ht="15" hidden="false" customHeight="false" outlineLevel="0" collapsed="false">
      <c r="A2017" s="82" t="str">
        <f aca="false">IF(B2017="","",ROW()-6)</f>
        <v/>
      </c>
      <c r="B2017" s="145"/>
      <c r="C2017" s="146"/>
      <c r="D2017" s="146"/>
      <c r="E2017" s="82" t="str">
        <f aca="false">IF(B2017="","",IF(COUNTIFS('CARNET DE SOUDURE'!$L$7:$L$3006,B2017,'CARNET DE SOUDURE'!$M$7:$M$3006,"&lt;&gt;"&amp;C2017,'CARNET DE SOUDURE'!$M$7:$M$3006,"&lt;&gt;")+COUNTIFS('CARNET DE SOUDURE'!$O$7:$O$3006,B2017,'CARNET DE SOUDURE'!$P$7:$P$3006,"&lt;&gt;"&amp;C2017,'CARNET DE SOUDURE'!$P$7:$P$3006,"&lt;&gt;")&gt;0,"⚠ DIFFÉRENTE","OK"))</f>
        <v/>
      </c>
      <c r="F2017" s="147"/>
      <c r="G2017" s="80"/>
      <c r="H2017" s="83"/>
      <c r="I2017" s="148" t="str">
        <f aca="false">IF(B2017="","",IFERROR(INDEX('CARNET DE SOUDURE'!$B$7:$B$3006,MATCH(B2017,'CARNET DE SOUDURE'!$L$7:$L$3006,0)),IFERROR(INDEX('CARNET DE SOUDURE'!$B$7:$B$3006,MATCH(B2017,'CARNET DE SOUDURE'!$O$7:$O$3006,0)),"")))</f>
        <v/>
      </c>
      <c r="J2017" s="82" t="str">
        <f aca="false">IF(B2017="","",IFERROR(INDEX('CARNET DE SOUDURE'!$E$7:$E$3006,MATCH(B2017,'CARNET DE SOUDURE'!$O$7:$O$3006,0)),""))</f>
        <v/>
      </c>
      <c r="K2017" s="82" t="str">
        <f aca="false">IF(B2017="","",IFERROR(INDEX('CARNET DE SOUDURE'!$E$7:$E$3006,MATCH(B2017,'CARNET DE SOUDURE'!$L$7:$L$3006,0)),""))</f>
        <v/>
      </c>
      <c r="L2017" s="82" t="str">
        <f aca="false">IF(B2017="","",IFERROR(INDEX('CARNET DE SOUDURE'!$D$7:$D$3006,MATCH(B2017,'CARNET DE SOUDURE'!$L$7:$L$3006,0)),IFERROR(INDEX('CARNET DE SOUDURE'!$D$7:$D$3006,MATCH(B2017,'CARNET DE SOUDURE'!$O$7:$O$3006,0)),"")))</f>
        <v/>
      </c>
      <c r="M2017" s="82" t="str">
        <f aca="false">IF(B2017="","",IF(OR(J2017&lt;&gt;"",K2017&lt;&gt;""),"POSÉ EN LIGNE",IF(COUNTIF(BARDAGE!$C$1:$C$5000,B2017)&gt;0,"BARDÉ","EN STOCK")))</f>
        <v/>
      </c>
      <c r="N2017" s="80"/>
    </row>
    <row r="2018" customFormat="false" ht="15" hidden="false" customHeight="false" outlineLevel="0" collapsed="false">
      <c r="A2018" s="82" t="str">
        <f aca="false">IF(B2018="","",ROW()-6)</f>
        <v/>
      </c>
      <c r="B2018" s="145"/>
      <c r="C2018" s="146"/>
      <c r="D2018" s="146"/>
      <c r="E2018" s="82" t="str">
        <f aca="false">IF(B2018="","",IF(COUNTIFS('CARNET DE SOUDURE'!$L$7:$L$3006,B2018,'CARNET DE SOUDURE'!$M$7:$M$3006,"&lt;&gt;"&amp;C2018,'CARNET DE SOUDURE'!$M$7:$M$3006,"&lt;&gt;")+COUNTIFS('CARNET DE SOUDURE'!$O$7:$O$3006,B2018,'CARNET DE SOUDURE'!$P$7:$P$3006,"&lt;&gt;"&amp;C2018,'CARNET DE SOUDURE'!$P$7:$P$3006,"&lt;&gt;")&gt;0,"⚠ DIFFÉRENTE","OK"))</f>
        <v/>
      </c>
      <c r="F2018" s="147"/>
      <c r="G2018" s="80"/>
      <c r="H2018" s="83"/>
      <c r="I2018" s="148" t="str">
        <f aca="false">IF(B2018="","",IFERROR(INDEX('CARNET DE SOUDURE'!$B$7:$B$3006,MATCH(B2018,'CARNET DE SOUDURE'!$L$7:$L$3006,0)),IFERROR(INDEX('CARNET DE SOUDURE'!$B$7:$B$3006,MATCH(B2018,'CARNET DE SOUDURE'!$O$7:$O$3006,0)),"")))</f>
        <v/>
      </c>
      <c r="J2018" s="82" t="str">
        <f aca="false">IF(B2018="","",IFERROR(INDEX('CARNET DE SOUDURE'!$E$7:$E$3006,MATCH(B2018,'CARNET DE SOUDURE'!$O$7:$O$3006,0)),""))</f>
        <v/>
      </c>
      <c r="K2018" s="82" t="str">
        <f aca="false">IF(B2018="","",IFERROR(INDEX('CARNET DE SOUDURE'!$E$7:$E$3006,MATCH(B2018,'CARNET DE SOUDURE'!$L$7:$L$3006,0)),""))</f>
        <v/>
      </c>
      <c r="L2018" s="82" t="str">
        <f aca="false">IF(B2018="","",IFERROR(INDEX('CARNET DE SOUDURE'!$D$7:$D$3006,MATCH(B2018,'CARNET DE SOUDURE'!$L$7:$L$3006,0)),IFERROR(INDEX('CARNET DE SOUDURE'!$D$7:$D$3006,MATCH(B2018,'CARNET DE SOUDURE'!$O$7:$O$3006,0)),"")))</f>
        <v/>
      </c>
      <c r="M2018" s="82" t="str">
        <f aca="false">IF(B2018="","",IF(OR(J2018&lt;&gt;"",K2018&lt;&gt;""),"POSÉ EN LIGNE",IF(COUNTIF(BARDAGE!$C$1:$C$5000,B2018)&gt;0,"BARDÉ","EN STOCK")))</f>
        <v/>
      </c>
      <c r="N2018" s="80"/>
    </row>
    <row r="2019" customFormat="false" ht="15" hidden="false" customHeight="false" outlineLevel="0" collapsed="false">
      <c r="A2019" s="82" t="str">
        <f aca="false">IF(B2019="","",ROW()-6)</f>
        <v/>
      </c>
      <c r="B2019" s="145"/>
      <c r="C2019" s="146"/>
      <c r="D2019" s="146"/>
      <c r="E2019" s="82" t="str">
        <f aca="false">IF(B2019="","",IF(COUNTIFS('CARNET DE SOUDURE'!$L$7:$L$3006,B2019,'CARNET DE SOUDURE'!$M$7:$M$3006,"&lt;&gt;"&amp;C2019,'CARNET DE SOUDURE'!$M$7:$M$3006,"&lt;&gt;")+COUNTIFS('CARNET DE SOUDURE'!$O$7:$O$3006,B2019,'CARNET DE SOUDURE'!$P$7:$P$3006,"&lt;&gt;"&amp;C2019,'CARNET DE SOUDURE'!$P$7:$P$3006,"&lt;&gt;")&gt;0,"⚠ DIFFÉRENTE","OK"))</f>
        <v/>
      </c>
      <c r="F2019" s="147"/>
      <c r="G2019" s="80"/>
      <c r="H2019" s="83"/>
      <c r="I2019" s="148" t="str">
        <f aca="false">IF(B2019="","",IFERROR(INDEX('CARNET DE SOUDURE'!$B$7:$B$3006,MATCH(B2019,'CARNET DE SOUDURE'!$L$7:$L$3006,0)),IFERROR(INDEX('CARNET DE SOUDURE'!$B$7:$B$3006,MATCH(B2019,'CARNET DE SOUDURE'!$O$7:$O$3006,0)),"")))</f>
        <v/>
      </c>
      <c r="J2019" s="82" t="str">
        <f aca="false">IF(B2019="","",IFERROR(INDEX('CARNET DE SOUDURE'!$E$7:$E$3006,MATCH(B2019,'CARNET DE SOUDURE'!$O$7:$O$3006,0)),""))</f>
        <v/>
      </c>
      <c r="K2019" s="82" t="str">
        <f aca="false">IF(B2019="","",IFERROR(INDEX('CARNET DE SOUDURE'!$E$7:$E$3006,MATCH(B2019,'CARNET DE SOUDURE'!$L$7:$L$3006,0)),""))</f>
        <v/>
      </c>
      <c r="L2019" s="82" t="str">
        <f aca="false">IF(B2019="","",IFERROR(INDEX('CARNET DE SOUDURE'!$D$7:$D$3006,MATCH(B2019,'CARNET DE SOUDURE'!$L$7:$L$3006,0)),IFERROR(INDEX('CARNET DE SOUDURE'!$D$7:$D$3006,MATCH(B2019,'CARNET DE SOUDURE'!$O$7:$O$3006,0)),"")))</f>
        <v/>
      </c>
      <c r="M2019" s="82" t="str">
        <f aca="false">IF(B2019="","",IF(OR(J2019&lt;&gt;"",K2019&lt;&gt;""),"POSÉ EN LIGNE",IF(COUNTIF(BARDAGE!$C$1:$C$5000,B2019)&gt;0,"BARDÉ","EN STOCK")))</f>
        <v/>
      </c>
      <c r="N2019" s="80"/>
    </row>
    <row r="2020" customFormat="false" ht="15" hidden="false" customHeight="false" outlineLevel="0" collapsed="false">
      <c r="A2020" s="82" t="str">
        <f aca="false">IF(B2020="","",ROW()-6)</f>
        <v/>
      </c>
      <c r="B2020" s="145"/>
      <c r="C2020" s="146"/>
      <c r="D2020" s="146"/>
      <c r="E2020" s="82" t="str">
        <f aca="false">IF(B2020="","",IF(COUNTIFS('CARNET DE SOUDURE'!$L$7:$L$3006,B2020,'CARNET DE SOUDURE'!$M$7:$M$3006,"&lt;&gt;"&amp;C2020,'CARNET DE SOUDURE'!$M$7:$M$3006,"&lt;&gt;")+COUNTIFS('CARNET DE SOUDURE'!$O$7:$O$3006,B2020,'CARNET DE SOUDURE'!$P$7:$P$3006,"&lt;&gt;"&amp;C2020,'CARNET DE SOUDURE'!$P$7:$P$3006,"&lt;&gt;")&gt;0,"⚠ DIFFÉRENTE","OK"))</f>
        <v/>
      </c>
      <c r="F2020" s="147"/>
      <c r="G2020" s="80"/>
      <c r="H2020" s="83"/>
      <c r="I2020" s="148" t="str">
        <f aca="false">IF(B2020="","",IFERROR(INDEX('CARNET DE SOUDURE'!$B$7:$B$3006,MATCH(B2020,'CARNET DE SOUDURE'!$L$7:$L$3006,0)),IFERROR(INDEX('CARNET DE SOUDURE'!$B$7:$B$3006,MATCH(B2020,'CARNET DE SOUDURE'!$O$7:$O$3006,0)),"")))</f>
        <v/>
      </c>
      <c r="J2020" s="82" t="str">
        <f aca="false">IF(B2020="","",IFERROR(INDEX('CARNET DE SOUDURE'!$E$7:$E$3006,MATCH(B2020,'CARNET DE SOUDURE'!$O$7:$O$3006,0)),""))</f>
        <v/>
      </c>
      <c r="K2020" s="82" t="str">
        <f aca="false">IF(B2020="","",IFERROR(INDEX('CARNET DE SOUDURE'!$E$7:$E$3006,MATCH(B2020,'CARNET DE SOUDURE'!$L$7:$L$3006,0)),""))</f>
        <v/>
      </c>
      <c r="L2020" s="82" t="str">
        <f aca="false">IF(B2020="","",IFERROR(INDEX('CARNET DE SOUDURE'!$D$7:$D$3006,MATCH(B2020,'CARNET DE SOUDURE'!$L$7:$L$3006,0)),IFERROR(INDEX('CARNET DE SOUDURE'!$D$7:$D$3006,MATCH(B2020,'CARNET DE SOUDURE'!$O$7:$O$3006,0)),"")))</f>
        <v/>
      </c>
      <c r="M2020" s="82" t="str">
        <f aca="false">IF(B2020="","",IF(OR(J2020&lt;&gt;"",K2020&lt;&gt;""),"POSÉ EN LIGNE",IF(COUNTIF(BARDAGE!$C$1:$C$5000,B2020)&gt;0,"BARDÉ","EN STOCK")))</f>
        <v/>
      </c>
      <c r="N2020" s="80"/>
    </row>
    <row r="2021" customFormat="false" ht="15" hidden="false" customHeight="false" outlineLevel="0" collapsed="false">
      <c r="A2021" s="82" t="str">
        <f aca="false">IF(B2021="","",ROW()-6)</f>
        <v/>
      </c>
      <c r="B2021" s="145"/>
      <c r="C2021" s="146"/>
      <c r="D2021" s="146"/>
      <c r="E2021" s="82" t="str">
        <f aca="false">IF(B2021="","",IF(COUNTIFS('CARNET DE SOUDURE'!$L$7:$L$3006,B2021,'CARNET DE SOUDURE'!$M$7:$M$3006,"&lt;&gt;"&amp;C2021,'CARNET DE SOUDURE'!$M$7:$M$3006,"&lt;&gt;")+COUNTIFS('CARNET DE SOUDURE'!$O$7:$O$3006,B2021,'CARNET DE SOUDURE'!$P$7:$P$3006,"&lt;&gt;"&amp;C2021,'CARNET DE SOUDURE'!$P$7:$P$3006,"&lt;&gt;")&gt;0,"⚠ DIFFÉRENTE","OK"))</f>
        <v/>
      </c>
      <c r="F2021" s="147"/>
      <c r="G2021" s="80"/>
      <c r="H2021" s="83"/>
      <c r="I2021" s="148" t="str">
        <f aca="false">IF(B2021="","",IFERROR(INDEX('CARNET DE SOUDURE'!$B$7:$B$3006,MATCH(B2021,'CARNET DE SOUDURE'!$L$7:$L$3006,0)),IFERROR(INDEX('CARNET DE SOUDURE'!$B$7:$B$3006,MATCH(B2021,'CARNET DE SOUDURE'!$O$7:$O$3006,0)),"")))</f>
        <v/>
      </c>
      <c r="J2021" s="82" t="str">
        <f aca="false">IF(B2021="","",IFERROR(INDEX('CARNET DE SOUDURE'!$E$7:$E$3006,MATCH(B2021,'CARNET DE SOUDURE'!$O$7:$O$3006,0)),""))</f>
        <v/>
      </c>
      <c r="K2021" s="82" t="str">
        <f aca="false">IF(B2021="","",IFERROR(INDEX('CARNET DE SOUDURE'!$E$7:$E$3006,MATCH(B2021,'CARNET DE SOUDURE'!$L$7:$L$3006,0)),""))</f>
        <v/>
      </c>
      <c r="L2021" s="82" t="str">
        <f aca="false">IF(B2021="","",IFERROR(INDEX('CARNET DE SOUDURE'!$D$7:$D$3006,MATCH(B2021,'CARNET DE SOUDURE'!$L$7:$L$3006,0)),IFERROR(INDEX('CARNET DE SOUDURE'!$D$7:$D$3006,MATCH(B2021,'CARNET DE SOUDURE'!$O$7:$O$3006,0)),"")))</f>
        <v/>
      </c>
      <c r="M2021" s="82" t="str">
        <f aca="false">IF(B2021="","",IF(OR(J2021&lt;&gt;"",K2021&lt;&gt;""),"POSÉ EN LIGNE",IF(COUNTIF(BARDAGE!$C$1:$C$5000,B2021)&gt;0,"BARDÉ","EN STOCK")))</f>
        <v/>
      </c>
      <c r="N2021" s="80"/>
    </row>
    <row r="2022" customFormat="false" ht="15" hidden="false" customHeight="false" outlineLevel="0" collapsed="false">
      <c r="A2022" s="82" t="str">
        <f aca="false">IF(B2022="","",ROW()-6)</f>
        <v/>
      </c>
      <c r="B2022" s="145"/>
      <c r="C2022" s="146"/>
      <c r="D2022" s="146"/>
      <c r="E2022" s="82" t="str">
        <f aca="false">IF(B2022="","",IF(COUNTIFS('CARNET DE SOUDURE'!$L$7:$L$3006,B2022,'CARNET DE SOUDURE'!$M$7:$M$3006,"&lt;&gt;"&amp;C2022,'CARNET DE SOUDURE'!$M$7:$M$3006,"&lt;&gt;")+COUNTIFS('CARNET DE SOUDURE'!$O$7:$O$3006,B2022,'CARNET DE SOUDURE'!$P$7:$P$3006,"&lt;&gt;"&amp;C2022,'CARNET DE SOUDURE'!$P$7:$P$3006,"&lt;&gt;")&gt;0,"⚠ DIFFÉRENTE","OK"))</f>
        <v/>
      </c>
      <c r="F2022" s="147"/>
      <c r="G2022" s="80"/>
      <c r="H2022" s="83"/>
      <c r="I2022" s="148" t="str">
        <f aca="false">IF(B2022="","",IFERROR(INDEX('CARNET DE SOUDURE'!$B$7:$B$3006,MATCH(B2022,'CARNET DE SOUDURE'!$L$7:$L$3006,0)),IFERROR(INDEX('CARNET DE SOUDURE'!$B$7:$B$3006,MATCH(B2022,'CARNET DE SOUDURE'!$O$7:$O$3006,0)),"")))</f>
        <v/>
      </c>
      <c r="J2022" s="82" t="str">
        <f aca="false">IF(B2022="","",IFERROR(INDEX('CARNET DE SOUDURE'!$E$7:$E$3006,MATCH(B2022,'CARNET DE SOUDURE'!$O$7:$O$3006,0)),""))</f>
        <v/>
      </c>
      <c r="K2022" s="82" t="str">
        <f aca="false">IF(B2022="","",IFERROR(INDEX('CARNET DE SOUDURE'!$E$7:$E$3006,MATCH(B2022,'CARNET DE SOUDURE'!$L$7:$L$3006,0)),""))</f>
        <v/>
      </c>
      <c r="L2022" s="82" t="str">
        <f aca="false">IF(B2022="","",IFERROR(INDEX('CARNET DE SOUDURE'!$D$7:$D$3006,MATCH(B2022,'CARNET DE SOUDURE'!$L$7:$L$3006,0)),IFERROR(INDEX('CARNET DE SOUDURE'!$D$7:$D$3006,MATCH(B2022,'CARNET DE SOUDURE'!$O$7:$O$3006,0)),"")))</f>
        <v/>
      </c>
      <c r="M2022" s="82" t="str">
        <f aca="false">IF(B2022="","",IF(OR(J2022&lt;&gt;"",K2022&lt;&gt;""),"POSÉ EN LIGNE",IF(COUNTIF(BARDAGE!$C$1:$C$5000,B2022)&gt;0,"BARDÉ","EN STOCK")))</f>
        <v/>
      </c>
      <c r="N2022" s="80"/>
    </row>
    <row r="2023" customFormat="false" ht="15" hidden="false" customHeight="false" outlineLevel="0" collapsed="false">
      <c r="A2023" s="82" t="str">
        <f aca="false">IF(B2023="","",ROW()-6)</f>
        <v/>
      </c>
      <c r="B2023" s="145"/>
      <c r="C2023" s="146"/>
      <c r="D2023" s="146"/>
      <c r="E2023" s="82" t="str">
        <f aca="false">IF(B2023="","",IF(COUNTIFS('CARNET DE SOUDURE'!$L$7:$L$3006,B2023,'CARNET DE SOUDURE'!$M$7:$M$3006,"&lt;&gt;"&amp;C2023,'CARNET DE SOUDURE'!$M$7:$M$3006,"&lt;&gt;")+COUNTIFS('CARNET DE SOUDURE'!$O$7:$O$3006,B2023,'CARNET DE SOUDURE'!$P$7:$P$3006,"&lt;&gt;"&amp;C2023,'CARNET DE SOUDURE'!$P$7:$P$3006,"&lt;&gt;")&gt;0,"⚠ DIFFÉRENTE","OK"))</f>
        <v/>
      </c>
      <c r="F2023" s="147"/>
      <c r="G2023" s="80"/>
      <c r="H2023" s="83"/>
      <c r="I2023" s="148" t="str">
        <f aca="false">IF(B2023="","",IFERROR(INDEX('CARNET DE SOUDURE'!$B$7:$B$3006,MATCH(B2023,'CARNET DE SOUDURE'!$L$7:$L$3006,0)),IFERROR(INDEX('CARNET DE SOUDURE'!$B$7:$B$3006,MATCH(B2023,'CARNET DE SOUDURE'!$O$7:$O$3006,0)),"")))</f>
        <v/>
      </c>
      <c r="J2023" s="82" t="str">
        <f aca="false">IF(B2023="","",IFERROR(INDEX('CARNET DE SOUDURE'!$E$7:$E$3006,MATCH(B2023,'CARNET DE SOUDURE'!$O$7:$O$3006,0)),""))</f>
        <v/>
      </c>
      <c r="K2023" s="82" t="str">
        <f aca="false">IF(B2023="","",IFERROR(INDEX('CARNET DE SOUDURE'!$E$7:$E$3006,MATCH(B2023,'CARNET DE SOUDURE'!$L$7:$L$3006,0)),""))</f>
        <v/>
      </c>
      <c r="L2023" s="82" t="str">
        <f aca="false">IF(B2023="","",IFERROR(INDEX('CARNET DE SOUDURE'!$D$7:$D$3006,MATCH(B2023,'CARNET DE SOUDURE'!$L$7:$L$3006,0)),IFERROR(INDEX('CARNET DE SOUDURE'!$D$7:$D$3006,MATCH(B2023,'CARNET DE SOUDURE'!$O$7:$O$3006,0)),"")))</f>
        <v/>
      </c>
      <c r="M2023" s="82" t="str">
        <f aca="false">IF(B2023="","",IF(OR(J2023&lt;&gt;"",K2023&lt;&gt;""),"POSÉ EN LIGNE",IF(COUNTIF(BARDAGE!$C$1:$C$5000,B2023)&gt;0,"BARDÉ","EN STOCK")))</f>
        <v/>
      </c>
      <c r="N2023" s="80"/>
    </row>
    <row r="2024" customFormat="false" ht="15" hidden="false" customHeight="false" outlineLevel="0" collapsed="false">
      <c r="A2024" s="82" t="str">
        <f aca="false">IF(B2024="","",ROW()-6)</f>
        <v/>
      </c>
      <c r="B2024" s="145"/>
      <c r="C2024" s="146"/>
      <c r="D2024" s="146"/>
      <c r="E2024" s="82" t="str">
        <f aca="false">IF(B2024="","",IF(COUNTIFS('CARNET DE SOUDURE'!$L$7:$L$3006,B2024,'CARNET DE SOUDURE'!$M$7:$M$3006,"&lt;&gt;"&amp;C2024,'CARNET DE SOUDURE'!$M$7:$M$3006,"&lt;&gt;")+COUNTIFS('CARNET DE SOUDURE'!$O$7:$O$3006,B2024,'CARNET DE SOUDURE'!$P$7:$P$3006,"&lt;&gt;"&amp;C2024,'CARNET DE SOUDURE'!$P$7:$P$3006,"&lt;&gt;")&gt;0,"⚠ DIFFÉRENTE","OK"))</f>
        <v/>
      </c>
      <c r="F2024" s="147"/>
      <c r="G2024" s="80"/>
      <c r="H2024" s="83"/>
      <c r="I2024" s="148" t="str">
        <f aca="false">IF(B2024="","",IFERROR(INDEX('CARNET DE SOUDURE'!$B$7:$B$3006,MATCH(B2024,'CARNET DE SOUDURE'!$L$7:$L$3006,0)),IFERROR(INDEX('CARNET DE SOUDURE'!$B$7:$B$3006,MATCH(B2024,'CARNET DE SOUDURE'!$O$7:$O$3006,0)),"")))</f>
        <v/>
      </c>
      <c r="J2024" s="82" t="str">
        <f aca="false">IF(B2024="","",IFERROR(INDEX('CARNET DE SOUDURE'!$E$7:$E$3006,MATCH(B2024,'CARNET DE SOUDURE'!$O$7:$O$3006,0)),""))</f>
        <v/>
      </c>
      <c r="K2024" s="82" t="str">
        <f aca="false">IF(B2024="","",IFERROR(INDEX('CARNET DE SOUDURE'!$E$7:$E$3006,MATCH(B2024,'CARNET DE SOUDURE'!$L$7:$L$3006,0)),""))</f>
        <v/>
      </c>
      <c r="L2024" s="82" t="str">
        <f aca="false">IF(B2024="","",IFERROR(INDEX('CARNET DE SOUDURE'!$D$7:$D$3006,MATCH(B2024,'CARNET DE SOUDURE'!$L$7:$L$3006,0)),IFERROR(INDEX('CARNET DE SOUDURE'!$D$7:$D$3006,MATCH(B2024,'CARNET DE SOUDURE'!$O$7:$O$3006,0)),"")))</f>
        <v/>
      </c>
      <c r="M2024" s="82" t="str">
        <f aca="false">IF(B2024="","",IF(OR(J2024&lt;&gt;"",K2024&lt;&gt;""),"POSÉ EN LIGNE",IF(COUNTIF(BARDAGE!$C$1:$C$5000,B2024)&gt;0,"BARDÉ","EN STOCK")))</f>
        <v/>
      </c>
      <c r="N2024" s="80"/>
    </row>
    <row r="2025" customFormat="false" ht="15" hidden="false" customHeight="false" outlineLevel="0" collapsed="false">
      <c r="A2025" s="82" t="str">
        <f aca="false">IF(B2025="","",ROW()-6)</f>
        <v/>
      </c>
      <c r="B2025" s="145"/>
      <c r="C2025" s="146"/>
      <c r="D2025" s="146"/>
      <c r="E2025" s="82" t="str">
        <f aca="false">IF(B2025="","",IF(COUNTIFS('CARNET DE SOUDURE'!$L$7:$L$3006,B2025,'CARNET DE SOUDURE'!$M$7:$M$3006,"&lt;&gt;"&amp;C2025,'CARNET DE SOUDURE'!$M$7:$M$3006,"&lt;&gt;")+COUNTIFS('CARNET DE SOUDURE'!$O$7:$O$3006,B2025,'CARNET DE SOUDURE'!$P$7:$P$3006,"&lt;&gt;"&amp;C2025,'CARNET DE SOUDURE'!$P$7:$P$3006,"&lt;&gt;")&gt;0,"⚠ DIFFÉRENTE","OK"))</f>
        <v/>
      </c>
      <c r="F2025" s="147"/>
      <c r="G2025" s="80"/>
      <c r="H2025" s="83"/>
      <c r="I2025" s="148" t="str">
        <f aca="false">IF(B2025="","",IFERROR(INDEX('CARNET DE SOUDURE'!$B$7:$B$3006,MATCH(B2025,'CARNET DE SOUDURE'!$L$7:$L$3006,0)),IFERROR(INDEX('CARNET DE SOUDURE'!$B$7:$B$3006,MATCH(B2025,'CARNET DE SOUDURE'!$O$7:$O$3006,0)),"")))</f>
        <v/>
      </c>
      <c r="J2025" s="82" t="str">
        <f aca="false">IF(B2025="","",IFERROR(INDEX('CARNET DE SOUDURE'!$E$7:$E$3006,MATCH(B2025,'CARNET DE SOUDURE'!$O$7:$O$3006,0)),""))</f>
        <v/>
      </c>
      <c r="K2025" s="82" t="str">
        <f aca="false">IF(B2025="","",IFERROR(INDEX('CARNET DE SOUDURE'!$E$7:$E$3006,MATCH(B2025,'CARNET DE SOUDURE'!$L$7:$L$3006,0)),""))</f>
        <v/>
      </c>
      <c r="L2025" s="82" t="str">
        <f aca="false">IF(B2025="","",IFERROR(INDEX('CARNET DE SOUDURE'!$D$7:$D$3006,MATCH(B2025,'CARNET DE SOUDURE'!$L$7:$L$3006,0)),IFERROR(INDEX('CARNET DE SOUDURE'!$D$7:$D$3006,MATCH(B2025,'CARNET DE SOUDURE'!$O$7:$O$3006,0)),"")))</f>
        <v/>
      </c>
      <c r="M2025" s="82" t="str">
        <f aca="false">IF(B2025="","",IF(OR(J2025&lt;&gt;"",K2025&lt;&gt;""),"POSÉ EN LIGNE",IF(COUNTIF(BARDAGE!$C$1:$C$5000,B2025)&gt;0,"BARDÉ","EN STOCK")))</f>
        <v/>
      </c>
      <c r="N2025" s="80"/>
    </row>
    <row r="2026" customFormat="false" ht="15" hidden="false" customHeight="false" outlineLevel="0" collapsed="false">
      <c r="A2026" s="82" t="str">
        <f aca="false">IF(B2026="","",ROW()-6)</f>
        <v/>
      </c>
      <c r="B2026" s="145"/>
      <c r="C2026" s="146"/>
      <c r="D2026" s="146"/>
      <c r="E2026" s="82" t="str">
        <f aca="false">IF(B2026="","",IF(COUNTIFS('CARNET DE SOUDURE'!$L$7:$L$3006,B2026,'CARNET DE SOUDURE'!$M$7:$M$3006,"&lt;&gt;"&amp;C2026,'CARNET DE SOUDURE'!$M$7:$M$3006,"&lt;&gt;")+COUNTIFS('CARNET DE SOUDURE'!$O$7:$O$3006,B2026,'CARNET DE SOUDURE'!$P$7:$P$3006,"&lt;&gt;"&amp;C2026,'CARNET DE SOUDURE'!$P$7:$P$3006,"&lt;&gt;")&gt;0,"⚠ DIFFÉRENTE","OK"))</f>
        <v/>
      </c>
      <c r="F2026" s="147"/>
      <c r="G2026" s="80"/>
      <c r="H2026" s="83"/>
      <c r="I2026" s="148" t="str">
        <f aca="false">IF(B2026="","",IFERROR(INDEX('CARNET DE SOUDURE'!$B$7:$B$3006,MATCH(B2026,'CARNET DE SOUDURE'!$L$7:$L$3006,0)),IFERROR(INDEX('CARNET DE SOUDURE'!$B$7:$B$3006,MATCH(B2026,'CARNET DE SOUDURE'!$O$7:$O$3006,0)),"")))</f>
        <v/>
      </c>
      <c r="J2026" s="82" t="str">
        <f aca="false">IF(B2026="","",IFERROR(INDEX('CARNET DE SOUDURE'!$E$7:$E$3006,MATCH(B2026,'CARNET DE SOUDURE'!$O$7:$O$3006,0)),""))</f>
        <v/>
      </c>
      <c r="K2026" s="82" t="str">
        <f aca="false">IF(B2026="","",IFERROR(INDEX('CARNET DE SOUDURE'!$E$7:$E$3006,MATCH(B2026,'CARNET DE SOUDURE'!$L$7:$L$3006,0)),""))</f>
        <v/>
      </c>
      <c r="L2026" s="82" t="str">
        <f aca="false">IF(B2026="","",IFERROR(INDEX('CARNET DE SOUDURE'!$D$7:$D$3006,MATCH(B2026,'CARNET DE SOUDURE'!$L$7:$L$3006,0)),IFERROR(INDEX('CARNET DE SOUDURE'!$D$7:$D$3006,MATCH(B2026,'CARNET DE SOUDURE'!$O$7:$O$3006,0)),"")))</f>
        <v/>
      </c>
      <c r="M2026" s="82" t="str">
        <f aca="false">IF(B2026="","",IF(OR(J2026&lt;&gt;"",K2026&lt;&gt;""),"POSÉ EN LIGNE",IF(COUNTIF(BARDAGE!$C$1:$C$5000,B2026)&gt;0,"BARDÉ","EN STOCK")))</f>
        <v/>
      </c>
      <c r="N2026" s="80"/>
    </row>
    <row r="2027" customFormat="false" ht="15" hidden="false" customHeight="false" outlineLevel="0" collapsed="false">
      <c r="A2027" s="82" t="str">
        <f aca="false">IF(B2027="","",ROW()-6)</f>
        <v/>
      </c>
      <c r="B2027" s="145"/>
      <c r="C2027" s="146"/>
      <c r="D2027" s="146"/>
      <c r="E2027" s="82" t="str">
        <f aca="false">IF(B2027="","",IF(COUNTIFS('CARNET DE SOUDURE'!$L$7:$L$3006,B2027,'CARNET DE SOUDURE'!$M$7:$M$3006,"&lt;&gt;"&amp;C2027,'CARNET DE SOUDURE'!$M$7:$M$3006,"&lt;&gt;")+COUNTIFS('CARNET DE SOUDURE'!$O$7:$O$3006,B2027,'CARNET DE SOUDURE'!$P$7:$P$3006,"&lt;&gt;"&amp;C2027,'CARNET DE SOUDURE'!$P$7:$P$3006,"&lt;&gt;")&gt;0,"⚠ DIFFÉRENTE","OK"))</f>
        <v/>
      </c>
      <c r="F2027" s="147"/>
      <c r="G2027" s="80"/>
      <c r="H2027" s="83"/>
      <c r="I2027" s="148" t="str">
        <f aca="false">IF(B2027="","",IFERROR(INDEX('CARNET DE SOUDURE'!$B$7:$B$3006,MATCH(B2027,'CARNET DE SOUDURE'!$L$7:$L$3006,0)),IFERROR(INDEX('CARNET DE SOUDURE'!$B$7:$B$3006,MATCH(B2027,'CARNET DE SOUDURE'!$O$7:$O$3006,0)),"")))</f>
        <v/>
      </c>
      <c r="J2027" s="82" t="str">
        <f aca="false">IF(B2027="","",IFERROR(INDEX('CARNET DE SOUDURE'!$E$7:$E$3006,MATCH(B2027,'CARNET DE SOUDURE'!$O$7:$O$3006,0)),""))</f>
        <v/>
      </c>
      <c r="K2027" s="82" t="str">
        <f aca="false">IF(B2027="","",IFERROR(INDEX('CARNET DE SOUDURE'!$E$7:$E$3006,MATCH(B2027,'CARNET DE SOUDURE'!$L$7:$L$3006,0)),""))</f>
        <v/>
      </c>
      <c r="L2027" s="82" t="str">
        <f aca="false">IF(B2027="","",IFERROR(INDEX('CARNET DE SOUDURE'!$D$7:$D$3006,MATCH(B2027,'CARNET DE SOUDURE'!$L$7:$L$3006,0)),IFERROR(INDEX('CARNET DE SOUDURE'!$D$7:$D$3006,MATCH(B2027,'CARNET DE SOUDURE'!$O$7:$O$3006,0)),"")))</f>
        <v/>
      </c>
      <c r="M2027" s="82" t="str">
        <f aca="false">IF(B2027="","",IF(OR(J2027&lt;&gt;"",K2027&lt;&gt;""),"POSÉ EN LIGNE",IF(COUNTIF(BARDAGE!$C$1:$C$5000,B2027)&gt;0,"BARDÉ","EN STOCK")))</f>
        <v/>
      </c>
      <c r="N2027" s="80"/>
    </row>
    <row r="2028" customFormat="false" ht="15" hidden="false" customHeight="false" outlineLevel="0" collapsed="false">
      <c r="A2028" s="82" t="str">
        <f aca="false">IF(B2028="","",ROW()-6)</f>
        <v/>
      </c>
      <c r="B2028" s="145"/>
      <c r="C2028" s="146"/>
      <c r="D2028" s="146"/>
      <c r="E2028" s="82" t="str">
        <f aca="false">IF(B2028="","",IF(COUNTIFS('CARNET DE SOUDURE'!$L$7:$L$3006,B2028,'CARNET DE SOUDURE'!$M$7:$M$3006,"&lt;&gt;"&amp;C2028,'CARNET DE SOUDURE'!$M$7:$M$3006,"&lt;&gt;")+COUNTIFS('CARNET DE SOUDURE'!$O$7:$O$3006,B2028,'CARNET DE SOUDURE'!$P$7:$P$3006,"&lt;&gt;"&amp;C2028,'CARNET DE SOUDURE'!$P$7:$P$3006,"&lt;&gt;")&gt;0,"⚠ DIFFÉRENTE","OK"))</f>
        <v/>
      </c>
      <c r="F2028" s="147"/>
      <c r="G2028" s="80"/>
      <c r="H2028" s="83"/>
      <c r="I2028" s="148" t="str">
        <f aca="false">IF(B2028="","",IFERROR(INDEX('CARNET DE SOUDURE'!$B$7:$B$3006,MATCH(B2028,'CARNET DE SOUDURE'!$L$7:$L$3006,0)),IFERROR(INDEX('CARNET DE SOUDURE'!$B$7:$B$3006,MATCH(B2028,'CARNET DE SOUDURE'!$O$7:$O$3006,0)),"")))</f>
        <v/>
      </c>
      <c r="J2028" s="82" t="str">
        <f aca="false">IF(B2028="","",IFERROR(INDEX('CARNET DE SOUDURE'!$E$7:$E$3006,MATCH(B2028,'CARNET DE SOUDURE'!$O$7:$O$3006,0)),""))</f>
        <v/>
      </c>
      <c r="K2028" s="82" t="str">
        <f aca="false">IF(B2028="","",IFERROR(INDEX('CARNET DE SOUDURE'!$E$7:$E$3006,MATCH(B2028,'CARNET DE SOUDURE'!$L$7:$L$3006,0)),""))</f>
        <v/>
      </c>
      <c r="L2028" s="82" t="str">
        <f aca="false">IF(B2028="","",IFERROR(INDEX('CARNET DE SOUDURE'!$D$7:$D$3006,MATCH(B2028,'CARNET DE SOUDURE'!$L$7:$L$3006,0)),IFERROR(INDEX('CARNET DE SOUDURE'!$D$7:$D$3006,MATCH(B2028,'CARNET DE SOUDURE'!$O$7:$O$3006,0)),"")))</f>
        <v/>
      </c>
      <c r="M2028" s="82" t="str">
        <f aca="false">IF(B2028="","",IF(OR(J2028&lt;&gt;"",K2028&lt;&gt;""),"POSÉ EN LIGNE",IF(COUNTIF(BARDAGE!$C$1:$C$5000,B2028)&gt;0,"BARDÉ","EN STOCK")))</f>
        <v/>
      </c>
      <c r="N2028" s="80"/>
    </row>
    <row r="2029" customFormat="false" ht="15" hidden="false" customHeight="false" outlineLevel="0" collapsed="false">
      <c r="A2029" s="82" t="str">
        <f aca="false">IF(B2029="","",ROW()-6)</f>
        <v/>
      </c>
      <c r="B2029" s="145"/>
      <c r="C2029" s="146"/>
      <c r="D2029" s="146"/>
      <c r="E2029" s="82" t="str">
        <f aca="false">IF(B2029="","",IF(COUNTIFS('CARNET DE SOUDURE'!$L$7:$L$3006,B2029,'CARNET DE SOUDURE'!$M$7:$M$3006,"&lt;&gt;"&amp;C2029,'CARNET DE SOUDURE'!$M$7:$M$3006,"&lt;&gt;")+COUNTIFS('CARNET DE SOUDURE'!$O$7:$O$3006,B2029,'CARNET DE SOUDURE'!$P$7:$P$3006,"&lt;&gt;"&amp;C2029,'CARNET DE SOUDURE'!$P$7:$P$3006,"&lt;&gt;")&gt;0,"⚠ DIFFÉRENTE","OK"))</f>
        <v/>
      </c>
      <c r="F2029" s="147"/>
      <c r="G2029" s="80"/>
      <c r="H2029" s="83"/>
      <c r="I2029" s="148" t="str">
        <f aca="false">IF(B2029="","",IFERROR(INDEX('CARNET DE SOUDURE'!$B$7:$B$3006,MATCH(B2029,'CARNET DE SOUDURE'!$L$7:$L$3006,0)),IFERROR(INDEX('CARNET DE SOUDURE'!$B$7:$B$3006,MATCH(B2029,'CARNET DE SOUDURE'!$O$7:$O$3006,0)),"")))</f>
        <v/>
      </c>
      <c r="J2029" s="82" t="str">
        <f aca="false">IF(B2029="","",IFERROR(INDEX('CARNET DE SOUDURE'!$E$7:$E$3006,MATCH(B2029,'CARNET DE SOUDURE'!$O$7:$O$3006,0)),""))</f>
        <v/>
      </c>
      <c r="K2029" s="82" t="str">
        <f aca="false">IF(B2029="","",IFERROR(INDEX('CARNET DE SOUDURE'!$E$7:$E$3006,MATCH(B2029,'CARNET DE SOUDURE'!$L$7:$L$3006,0)),""))</f>
        <v/>
      </c>
      <c r="L2029" s="82" t="str">
        <f aca="false">IF(B2029="","",IFERROR(INDEX('CARNET DE SOUDURE'!$D$7:$D$3006,MATCH(B2029,'CARNET DE SOUDURE'!$L$7:$L$3006,0)),IFERROR(INDEX('CARNET DE SOUDURE'!$D$7:$D$3006,MATCH(B2029,'CARNET DE SOUDURE'!$O$7:$O$3006,0)),"")))</f>
        <v/>
      </c>
      <c r="M2029" s="82" t="str">
        <f aca="false">IF(B2029="","",IF(OR(J2029&lt;&gt;"",K2029&lt;&gt;""),"POSÉ EN LIGNE",IF(COUNTIF(BARDAGE!$C$1:$C$5000,B2029)&gt;0,"BARDÉ","EN STOCK")))</f>
        <v/>
      </c>
      <c r="N2029" s="80"/>
    </row>
    <row r="2030" customFormat="false" ht="15" hidden="false" customHeight="false" outlineLevel="0" collapsed="false">
      <c r="A2030" s="82" t="str">
        <f aca="false">IF(B2030="","",ROW()-6)</f>
        <v/>
      </c>
      <c r="B2030" s="145"/>
      <c r="C2030" s="146"/>
      <c r="D2030" s="146"/>
      <c r="E2030" s="82" t="str">
        <f aca="false">IF(B2030="","",IF(COUNTIFS('CARNET DE SOUDURE'!$L$7:$L$3006,B2030,'CARNET DE SOUDURE'!$M$7:$M$3006,"&lt;&gt;"&amp;C2030,'CARNET DE SOUDURE'!$M$7:$M$3006,"&lt;&gt;")+COUNTIFS('CARNET DE SOUDURE'!$O$7:$O$3006,B2030,'CARNET DE SOUDURE'!$P$7:$P$3006,"&lt;&gt;"&amp;C2030,'CARNET DE SOUDURE'!$P$7:$P$3006,"&lt;&gt;")&gt;0,"⚠ DIFFÉRENTE","OK"))</f>
        <v/>
      </c>
      <c r="F2030" s="147"/>
      <c r="G2030" s="80"/>
      <c r="H2030" s="83"/>
      <c r="I2030" s="148" t="str">
        <f aca="false">IF(B2030="","",IFERROR(INDEX('CARNET DE SOUDURE'!$B$7:$B$3006,MATCH(B2030,'CARNET DE SOUDURE'!$L$7:$L$3006,0)),IFERROR(INDEX('CARNET DE SOUDURE'!$B$7:$B$3006,MATCH(B2030,'CARNET DE SOUDURE'!$O$7:$O$3006,0)),"")))</f>
        <v/>
      </c>
      <c r="J2030" s="82" t="str">
        <f aca="false">IF(B2030="","",IFERROR(INDEX('CARNET DE SOUDURE'!$E$7:$E$3006,MATCH(B2030,'CARNET DE SOUDURE'!$O$7:$O$3006,0)),""))</f>
        <v/>
      </c>
      <c r="K2030" s="82" t="str">
        <f aca="false">IF(B2030="","",IFERROR(INDEX('CARNET DE SOUDURE'!$E$7:$E$3006,MATCH(B2030,'CARNET DE SOUDURE'!$L$7:$L$3006,0)),""))</f>
        <v/>
      </c>
      <c r="L2030" s="82" t="str">
        <f aca="false">IF(B2030="","",IFERROR(INDEX('CARNET DE SOUDURE'!$D$7:$D$3006,MATCH(B2030,'CARNET DE SOUDURE'!$L$7:$L$3006,0)),IFERROR(INDEX('CARNET DE SOUDURE'!$D$7:$D$3006,MATCH(B2030,'CARNET DE SOUDURE'!$O$7:$O$3006,0)),"")))</f>
        <v/>
      </c>
      <c r="M2030" s="82" t="str">
        <f aca="false">IF(B2030="","",IF(OR(J2030&lt;&gt;"",K2030&lt;&gt;""),"POSÉ EN LIGNE",IF(COUNTIF(BARDAGE!$C$1:$C$5000,B2030)&gt;0,"BARDÉ","EN STOCK")))</f>
        <v/>
      </c>
      <c r="N2030" s="80"/>
    </row>
    <row r="2031" customFormat="false" ht="15" hidden="false" customHeight="false" outlineLevel="0" collapsed="false">
      <c r="A2031" s="82" t="str">
        <f aca="false">IF(B2031="","",ROW()-6)</f>
        <v/>
      </c>
      <c r="B2031" s="145"/>
      <c r="C2031" s="146"/>
      <c r="D2031" s="146"/>
      <c r="E2031" s="82" t="str">
        <f aca="false">IF(B2031="","",IF(COUNTIFS('CARNET DE SOUDURE'!$L$7:$L$3006,B2031,'CARNET DE SOUDURE'!$M$7:$M$3006,"&lt;&gt;"&amp;C2031,'CARNET DE SOUDURE'!$M$7:$M$3006,"&lt;&gt;")+COUNTIFS('CARNET DE SOUDURE'!$O$7:$O$3006,B2031,'CARNET DE SOUDURE'!$P$7:$P$3006,"&lt;&gt;"&amp;C2031,'CARNET DE SOUDURE'!$P$7:$P$3006,"&lt;&gt;")&gt;0,"⚠ DIFFÉRENTE","OK"))</f>
        <v/>
      </c>
      <c r="F2031" s="147"/>
      <c r="G2031" s="80"/>
      <c r="H2031" s="83"/>
      <c r="I2031" s="148" t="str">
        <f aca="false">IF(B2031="","",IFERROR(INDEX('CARNET DE SOUDURE'!$B$7:$B$3006,MATCH(B2031,'CARNET DE SOUDURE'!$L$7:$L$3006,0)),IFERROR(INDEX('CARNET DE SOUDURE'!$B$7:$B$3006,MATCH(B2031,'CARNET DE SOUDURE'!$O$7:$O$3006,0)),"")))</f>
        <v/>
      </c>
      <c r="J2031" s="82" t="str">
        <f aca="false">IF(B2031="","",IFERROR(INDEX('CARNET DE SOUDURE'!$E$7:$E$3006,MATCH(B2031,'CARNET DE SOUDURE'!$O$7:$O$3006,0)),""))</f>
        <v/>
      </c>
      <c r="K2031" s="82" t="str">
        <f aca="false">IF(B2031="","",IFERROR(INDEX('CARNET DE SOUDURE'!$E$7:$E$3006,MATCH(B2031,'CARNET DE SOUDURE'!$L$7:$L$3006,0)),""))</f>
        <v/>
      </c>
      <c r="L2031" s="82" t="str">
        <f aca="false">IF(B2031="","",IFERROR(INDEX('CARNET DE SOUDURE'!$D$7:$D$3006,MATCH(B2031,'CARNET DE SOUDURE'!$L$7:$L$3006,0)),IFERROR(INDEX('CARNET DE SOUDURE'!$D$7:$D$3006,MATCH(B2031,'CARNET DE SOUDURE'!$O$7:$O$3006,0)),"")))</f>
        <v/>
      </c>
      <c r="M2031" s="82" t="str">
        <f aca="false">IF(B2031="","",IF(OR(J2031&lt;&gt;"",K2031&lt;&gt;""),"POSÉ EN LIGNE",IF(COUNTIF(BARDAGE!$C$1:$C$5000,B2031)&gt;0,"BARDÉ","EN STOCK")))</f>
        <v/>
      </c>
      <c r="N2031" s="80"/>
    </row>
    <row r="2032" customFormat="false" ht="15" hidden="false" customHeight="false" outlineLevel="0" collapsed="false">
      <c r="A2032" s="82" t="str">
        <f aca="false">IF(B2032="","",ROW()-6)</f>
        <v/>
      </c>
      <c r="B2032" s="145"/>
      <c r="C2032" s="146"/>
      <c r="D2032" s="146"/>
      <c r="E2032" s="82" t="str">
        <f aca="false">IF(B2032="","",IF(COUNTIFS('CARNET DE SOUDURE'!$L$7:$L$3006,B2032,'CARNET DE SOUDURE'!$M$7:$M$3006,"&lt;&gt;"&amp;C2032,'CARNET DE SOUDURE'!$M$7:$M$3006,"&lt;&gt;")+COUNTIFS('CARNET DE SOUDURE'!$O$7:$O$3006,B2032,'CARNET DE SOUDURE'!$P$7:$P$3006,"&lt;&gt;"&amp;C2032,'CARNET DE SOUDURE'!$P$7:$P$3006,"&lt;&gt;")&gt;0,"⚠ DIFFÉRENTE","OK"))</f>
        <v/>
      </c>
      <c r="F2032" s="147"/>
      <c r="G2032" s="80"/>
      <c r="H2032" s="83"/>
      <c r="I2032" s="148" t="str">
        <f aca="false">IF(B2032="","",IFERROR(INDEX('CARNET DE SOUDURE'!$B$7:$B$3006,MATCH(B2032,'CARNET DE SOUDURE'!$L$7:$L$3006,0)),IFERROR(INDEX('CARNET DE SOUDURE'!$B$7:$B$3006,MATCH(B2032,'CARNET DE SOUDURE'!$O$7:$O$3006,0)),"")))</f>
        <v/>
      </c>
      <c r="J2032" s="82" t="str">
        <f aca="false">IF(B2032="","",IFERROR(INDEX('CARNET DE SOUDURE'!$E$7:$E$3006,MATCH(B2032,'CARNET DE SOUDURE'!$O$7:$O$3006,0)),""))</f>
        <v/>
      </c>
      <c r="K2032" s="82" t="str">
        <f aca="false">IF(B2032="","",IFERROR(INDEX('CARNET DE SOUDURE'!$E$7:$E$3006,MATCH(B2032,'CARNET DE SOUDURE'!$L$7:$L$3006,0)),""))</f>
        <v/>
      </c>
      <c r="L2032" s="82" t="str">
        <f aca="false">IF(B2032="","",IFERROR(INDEX('CARNET DE SOUDURE'!$D$7:$D$3006,MATCH(B2032,'CARNET DE SOUDURE'!$L$7:$L$3006,0)),IFERROR(INDEX('CARNET DE SOUDURE'!$D$7:$D$3006,MATCH(B2032,'CARNET DE SOUDURE'!$O$7:$O$3006,0)),"")))</f>
        <v/>
      </c>
      <c r="M2032" s="82" t="str">
        <f aca="false">IF(B2032="","",IF(OR(J2032&lt;&gt;"",K2032&lt;&gt;""),"POSÉ EN LIGNE",IF(COUNTIF(BARDAGE!$C$1:$C$5000,B2032)&gt;0,"BARDÉ","EN STOCK")))</f>
        <v/>
      </c>
      <c r="N2032" s="80"/>
    </row>
    <row r="2033" customFormat="false" ht="15" hidden="false" customHeight="false" outlineLevel="0" collapsed="false">
      <c r="A2033" s="82" t="str">
        <f aca="false">IF(B2033="","",ROW()-6)</f>
        <v/>
      </c>
      <c r="B2033" s="145"/>
      <c r="C2033" s="146"/>
      <c r="D2033" s="146"/>
      <c r="E2033" s="82" t="str">
        <f aca="false">IF(B2033="","",IF(COUNTIFS('CARNET DE SOUDURE'!$L$7:$L$3006,B2033,'CARNET DE SOUDURE'!$M$7:$M$3006,"&lt;&gt;"&amp;C2033,'CARNET DE SOUDURE'!$M$7:$M$3006,"&lt;&gt;")+COUNTIFS('CARNET DE SOUDURE'!$O$7:$O$3006,B2033,'CARNET DE SOUDURE'!$P$7:$P$3006,"&lt;&gt;"&amp;C2033,'CARNET DE SOUDURE'!$P$7:$P$3006,"&lt;&gt;")&gt;0,"⚠ DIFFÉRENTE","OK"))</f>
        <v/>
      </c>
      <c r="F2033" s="147"/>
      <c r="G2033" s="80"/>
      <c r="H2033" s="83"/>
      <c r="I2033" s="148" t="str">
        <f aca="false">IF(B2033="","",IFERROR(INDEX('CARNET DE SOUDURE'!$B$7:$B$3006,MATCH(B2033,'CARNET DE SOUDURE'!$L$7:$L$3006,0)),IFERROR(INDEX('CARNET DE SOUDURE'!$B$7:$B$3006,MATCH(B2033,'CARNET DE SOUDURE'!$O$7:$O$3006,0)),"")))</f>
        <v/>
      </c>
      <c r="J2033" s="82" t="str">
        <f aca="false">IF(B2033="","",IFERROR(INDEX('CARNET DE SOUDURE'!$E$7:$E$3006,MATCH(B2033,'CARNET DE SOUDURE'!$O$7:$O$3006,0)),""))</f>
        <v/>
      </c>
      <c r="K2033" s="82" t="str">
        <f aca="false">IF(B2033="","",IFERROR(INDEX('CARNET DE SOUDURE'!$E$7:$E$3006,MATCH(B2033,'CARNET DE SOUDURE'!$L$7:$L$3006,0)),""))</f>
        <v/>
      </c>
      <c r="L2033" s="82" t="str">
        <f aca="false">IF(B2033="","",IFERROR(INDEX('CARNET DE SOUDURE'!$D$7:$D$3006,MATCH(B2033,'CARNET DE SOUDURE'!$L$7:$L$3006,0)),IFERROR(INDEX('CARNET DE SOUDURE'!$D$7:$D$3006,MATCH(B2033,'CARNET DE SOUDURE'!$O$7:$O$3006,0)),"")))</f>
        <v/>
      </c>
      <c r="M2033" s="82" t="str">
        <f aca="false">IF(B2033="","",IF(OR(J2033&lt;&gt;"",K2033&lt;&gt;""),"POSÉ EN LIGNE",IF(COUNTIF(BARDAGE!$C$1:$C$5000,B2033)&gt;0,"BARDÉ","EN STOCK")))</f>
        <v/>
      </c>
      <c r="N2033" s="80"/>
    </row>
    <row r="2034" customFormat="false" ht="15" hidden="false" customHeight="false" outlineLevel="0" collapsed="false">
      <c r="A2034" s="82" t="str">
        <f aca="false">IF(B2034="","",ROW()-6)</f>
        <v/>
      </c>
      <c r="B2034" s="145"/>
      <c r="C2034" s="146"/>
      <c r="D2034" s="146"/>
      <c r="E2034" s="82" t="str">
        <f aca="false">IF(B2034="","",IF(COUNTIFS('CARNET DE SOUDURE'!$L$7:$L$3006,B2034,'CARNET DE SOUDURE'!$M$7:$M$3006,"&lt;&gt;"&amp;C2034,'CARNET DE SOUDURE'!$M$7:$M$3006,"&lt;&gt;")+COUNTIFS('CARNET DE SOUDURE'!$O$7:$O$3006,B2034,'CARNET DE SOUDURE'!$P$7:$P$3006,"&lt;&gt;"&amp;C2034,'CARNET DE SOUDURE'!$P$7:$P$3006,"&lt;&gt;")&gt;0,"⚠ DIFFÉRENTE","OK"))</f>
        <v/>
      </c>
      <c r="F2034" s="147"/>
      <c r="G2034" s="80"/>
      <c r="H2034" s="83"/>
      <c r="I2034" s="148" t="str">
        <f aca="false">IF(B2034="","",IFERROR(INDEX('CARNET DE SOUDURE'!$B$7:$B$3006,MATCH(B2034,'CARNET DE SOUDURE'!$L$7:$L$3006,0)),IFERROR(INDEX('CARNET DE SOUDURE'!$B$7:$B$3006,MATCH(B2034,'CARNET DE SOUDURE'!$O$7:$O$3006,0)),"")))</f>
        <v/>
      </c>
      <c r="J2034" s="82" t="str">
        <f aca="false">IF(B2034="","",IFERROR(INDEX('CARNET DE SOUDURE'!$E$7:$E$3006,MATCH(B2034,'CARNET DE SOUDURE'!$O$7:$O$3006,0)),""))</f>
        <v/>
      </c>
      <c r="K2034" s="82" t="str">
        <f aca="false">IF(B2034="","",IFERROR(INDEX('CARNET DE SOUDURE'!$E$7:$E$3006,MATCH(B2034,'CARNET DE SOUDURE'!$L$7:$L$3006,0)),""))</f>
        <v/>
      </c>
      <c r="L2034" s="82" t="str">
        <f aca="false">IF(B2034="","",IFERROR(INDEX('CARNET DE SOUDURE'!$D$7:$D$3006,MATCH(B2034,'CARNET DE SOUDURE'!$L$7:$L$3006,0)),IFERROR(INDEX('CARNET DE SOUDURE'!$D$7:$D$3006,MATCH(B2034,'CARNET DE SOUDURE'!$O$7:$O$3006,0)),"")))</f>
        <v/>
      </c>
      <c r="M2034" s="82" t="str">
        <f aca="false">IF(B2034="","",IF(OR(J2034&lt;&gt;"",K2034&lt;&gt;""),"POSÉ EN LIGNE",IF(COUNTIF(BARDAGE!$C$1:$C$5000,B2034)&gt;0,"BARDÉ","EN STOCK")))</f>
        <v/>
      </c>
      <c r="N2034" s="80"/>
    </row>
    <row r="2035" customFormat="false" ht="15" hidden="false" customHeight="false" outlineLevel="0" collapsed="false">
      <c r="A2035" s="82" t="str">
        <f aca="false">IF(B2035="","",ROW()-6)</f>
        <v/>
      </c>
      <c r="B2035" s="145"/>
      <c r="C2035" s="146"/>
      <c r="D2035" s="146"/>
      <c r="E2035" s="82" t="str">
        <f aca="false">IF(B2035="","",IF(COUNTIFS('CARNET DE SOUDURE'!$L$7:$L$3006,B2035,'CARNET DE SOUDURE'!$M$7:$M$3006,"&lt;&gt;"&amp;C2035,'CARNET DE SOUDURE'!$M$7:$M$3006,"&lt;&gt;")+COUNTIFS('CARNET DE SOUDURE'!$O$7:$O$3006,B2035,'CARNET DE SOUDURE'!$P$7:$P$3006,"&lt;&gt;"&amp;C2035,'CARNET DE SOUDURE'!$P$7:$P$3006,"&lt;&gt;")&gt;0,"⚠ DIFFÉRENTE","OK"))</f>
        <v/>
      </c>
      <c r="F2035" s="147"/>
      <c r="G2035" s="80"/>
      <c r="H2035" s="83"/>
      <c r="I2035" s="148" t="str">
        <f aca="false">IF(B2035="","",IFERROR(INDEX('CARNET DE SOUDURE'!$B$7:$B$3006,MATCH(B2035,'CARNET DE SOUDURE'!$L$7:$L$3006,0)),IFERROR(INDEX('CARNET DE SOUDURE'!$B$7:$B$3006,MATCH(B2035,'CARNET DE SOUDURE'!$O$7:$O$3006,0)),"")))</f>
        <v/>
      </c>
      <c r="J2035" s="82" t="str">
        <f aca="false">IF(B2035="","",IFERROR(INDEX('CARNET DE SOUDURE'!$E$7:$E$3006,MATCH(B2035,'CARNET DE SOUDURE'!$O$7:$O$3006,0)),""))</f>
        <v/>
      </c>
      <c r="K2035" s="82" t="str">
        <f aca="false">IF(B2035="","",IFERROR(INDEX('CARNET DE SOUDURE'!$E$7:$E$3006,MATCH(B2035,'CARNET DE SOUDURE'!$L$7:$L$3006,0)),""))</f>
        <v/>
      </c>
      <c r="L2035" s="82" t="str">
        <f aca="false">IF(B2035="","",IFERROR(INDEX('CARNET DE SOUDURE'!$D$7:$D$3006,MATCH(B2035,'CARNET DE SOUDURE'!$L$7:$L$3006,0)),IFERROR(INDEX('CARNET DE SOUDURE'!$D$7:$D$3006,MATCH(B2035,'CARNET DE SOUDURE'!$O$7:$O$3006,0)),"")))</f>
        <v/>
      </c>
      <c r="M2035" s="82" t="str">
        <f aca="false">IF(B2035="","",IF(OR(J2035&lt;&gt;"",K2035&lt;&gt;""),"POSÉ EN LIGNE",IF(COUNTIF(BARDAGE!$C$1:$C$5000,B2035)&gt;0,"BARDÉ","EN STOCK")))</f>
        <v/>
      </c>
      <c r="N2035" s="80"/>
    </row>
    <row r="2036" customFormat="false" ht="15" hidden="false" customHeight="false" outlineLevel="0" collapsed="false">
      <c r="A2036" s="82" t="str">
        <f aca="false">IF(B2036="","",ROW()-6)</f>
        <v/>
      </c>
      <c r="B2036" s="145"/>
      <c r="C2036" s="146"/>
      <c r="D2036" s="146"/>
      <c r="E2036" s="82" t="str">
        <f aca="false">IF(B2036="","",IF(COUNTIFS('CARNET DE SOUDURE'!$L$7:$L$3006,B2036,'CARNET DE SOUDURE'!$M$7:$M$3006,"&lt;&gt;"&amp;C2036,'CARNET DE SOUDURE'!$M$7:$M$3006,"&lt;&gt;")+COUNTIFS('CARNET DE SOUDURE'!$O$7:$O$3006,B2036,'CARNET DE SOUDURE'!$P$7:$P$3006,"&lt;&gt;"&amp;C2036,'CARNET DE SOUDURE'!$P$7:$P$3006,"&lt;&gt;")&gt;0,"⚠ DIFFÉRENTE","OK"))</f>
        <v/>
      </c>
      <c r="F2036" s="147"/>
      <c r="G2036" s="80"/>
      <c r="H2036" s="83"/>
      <c r="I2036" s="148" t="str">
        <f aca="false">IF(B2036="","",IFERROR(INDEX('CARNET DE SOUDURE'!$B$7:$B$3006,MATCH(B2036,'CARNET DE SOUDURE'!$L$7:$L$3006,0)),IFERROR(INDEX('CARNET DE SOUDURE'!$B$7:$B$3006,MATCH(B2036,'CARNET DE SOUDURE'!$O$7:$O$3006,0)),"")))</f>
        <v/>
      </c>
      <c r="J2036" s="82" t="str">
        <f aca="false">IF(B2036="","",IFERROR(INDEX('CARNET DE SOUDURE'!$E$7:$E$3006,MATCH(B2036,'CARNET DE SOUDURE'!$O$7:$O$3006,0)),""))</f>
        <v/>
      </c>
      <c r="K2036" s="82" t="str">
        <f aca="false">IF(B2036="","",IFERROR(INDEX('CARNET DE SOUDURE'!$E$7:$E$3006,MATCH(B2036,'CARNET DE SOUDURE'!$L$7:$L$3006,0)),""))</f>
        <v/>
      </c>
      <c r="L2036" s="82" t="str">
        <f aca="false">IF(B2036="","",IFERROR(INDEX('CARNET DE SOUDURE'!$D$7:$D$3006,MATCH(B2036,'CARNET DE SOUDURE'!$L$7:$L$3006,0)),IFERROR(INDEX('CARNET DE SOUDURE'!$D$7:$D$3006,MATCH(B2036,'CARNET DE SOUDURE'!$O$7:$O$3006,0)),"")))</f>
        <v/>
      </c>
      <c r="M2036" s="82" t="str">
        <f aca="false">IF(B2036="","",IF(OR(J2036&lt;&gt;"",K2036&lt;&gt;""),"POSÉ EN LIGNE",IF(COUNTIF(BARDAGE!$C$1:$C$5000,B2036)&gt;0,"BARDÉ","EN STOCK")))</f>
        <v/>
      </c>
      <c r="N2036" s="80"/>
    </row>
    <row r="2037" customFormat="false" ht="15" hidden="false" customHeight="false" outlineLevel="0" collapsed="false">
      <c r="A2037" s="82" t="str">
        <f aca="false">IF(B2037="","",ROW()-6)</f>
        <v/>
      </c>
      <c r="B2037" s="145"/>
      <c r="C2037" s="146"/>
      <c r="D2037" s="146"/>
      <c r="E2037" s="82" t="str">
        <f aca="false">IF(B2037="","",IF(COUNTIFS('CARNET DE SOUDURE'!$L$7:$L$3006,B2037,'CARNET DE SOUDURE'!$M$7:$M$3006,"&lt;&gt;"&amp;C2037,'CARNET DE SOUDURE'!$M$7:$M$3006,"&lt;&gt;")+COUNTIFS('CARNET DE SOUDURE'!$O$7:$O$3006,B2037,'CARNET DE SOUDURE'!$P$7:$P$3006,"&lt;&gt;"&amp;C2037,'CARNET DE SOUDURE'!$P$7:$P$3006,"&lt;&gt;")&gt;0,"⚠ DIFFÉRENTE","OK"))</f>
        <v/>
      </c>
      <c r="F2037" s="147"/>
      <c r="G2037" s="80"/>
      <c r="H2037" s="83"/>
      <c r="I2037" s="148" t="str">
        <f aca="false">IF(B2037="","",IFERROR(INDEX('CARNET DE SOUDURE'!$B$7:$B$3006,MATCH(B2037,'CARNET DE SOUDURE'!$L$7:$L$3006,0)),IFERROR(INDEX('CARNET DE SOUDURE'!$B$7:$B$3006,MATCH(B2037,'CARNET DE SOUDURE'!$O$7:$O$3006,0)),"")))</f>
        <v/>
      </c>
      <c r="J2037" s="82" t="str">
        <f aca="false">IF(B2037="","",IFERROR(INDEX('CARNET DE SOUDURE'!$E$7:$E$3006,MATCH(B2037,'CARNET DE SOUDURE'!$O$7:$O$3006,0)),""))</f>
        <v/>
      </c>
      <c r="K2037" s="82" t="str">
        <f aca="false">IF(B2037="","",IFERROR(INDEX('CARNET DE SOUDURE'!$E$7:$E$3006,MATCH(B2037,'CARNET DE SOUDURE'!$L$7:$L$3006,0)),""))</f>
        <v/>
      </c>
      <c r="L2037" s="82" t="str">
        <f aca="false">IF(B2037="","",IFERROR(INDEX('CARNET DE SOUDURE'!$D$7:$D$3006,MATCH(B2037,'CARNET DE SOUDURE'!$L$7:$L$3006,0)),IFERROR(INDEX('CARNET DE SOUDURE'!$D$7:$D$3006,MATCH(B2037,'CARNET DE SOUDURE'!$O$7:$O$3006,0)),"")))</f>
        <v/>
      </c>
      <c r="M2037" s="82" t="str">
        <f aca="false">IF(B2037="","",IF(OR(J2037&lt;&gt;"",K2037&lt;&gt;""),"POSÉ EN LIGNE",IF(COUNTIF(BARDAGE!$C$1:$C$5000,B2037)&gt;0,"BARDÉ","EN STOCK")))</f>
        <v/>
      </c>
      <c r="N2037" s="80"/>
    </row>
    <row r="2038" customFormat="false" ht="15" hidden="false" customHeight="false" outlineLevel="0" collapsed="false">
      <c r="A2038" s="82" t="str">
        <f aca="false">IF(B2038="","",ROW()-6)</f>
        <v/>
      </c>
      <c r="B2038" s="145"/>
      <c r="C2038" s="146"/>
      <c r="D2038" s="146"/>
      <c r="E2038" s="82" t="str">
        <f aca="false">IF(B2038="","",IF(COUNTIFS('CARNET DE SOUDURE'!$L$7:$L$3006,B2038,'CARNET DE SOUDURE'!$M$7:$M$3006,"&lt;&gt;"&amp;C2038,'CARNET DE SOUDURE'!$M$7:$M$3006,"&lt;&gt;")+COUNTIFS('CARNET DE SOUDURE'!$O$7:$O$3006,B2038,'CARNET DE SOUDURE'!$P$7:$P$3006,"&lt;&gt;"&amp;C2038,'CARNET DE SOUDURE'!$P$7:$P$3006,"&lt;&gt;")&gt;0,"⚠ DIFFÉRENTE","OK"))</f>
        <v/>
      </c>
      <c r="F2038" s="147"/>
      <c r="G2038" s="80"/>
      <c r="H2038" s="83"/>
      <c r="I2038" s="148" t="str">
        <f aca="false">IF(B2038="","",IFERROR(INDEX('CARNET DE SOUDURE'!$B$7:$B$3006,MATCH(B2038,'CARNET DE SOUDURE'!$L$7:$L$3006,0)),IFERROR(INDEX('CARNET DE SOUDURE'!$B$7:$B$3006,MATCH(B2038,'CARNET DE SOUDURE'!$O$7:$O$3006,0)),"")))</f>
        <v/>
      </c>
      <c r="J2038" s="82" t="str">
        <f aca="false">IF(B2038="","",IFERROR(INDEX('CARNET DE SOUDURE'!$E$7:$E$3006,MATCH(B2038,'CARNET DE SOUDURE'!$O$7:$O$3006,0)),""))</f>
        <v/>
      </c>
      <c r="K2038" s="82" t="str">
        <f aca="false">IF(B2038="","",IFERROR(INDEX('CARNET DE SOUDURE'!$E$7:$E$3006,MATCH(B2038,'CARNET DE SOUDURE'!$L$7:$L$3006,0)),""))</f>
        <v/>
      </c>
      <c r="L2038" s="82" t="str">
        <f aca="false">IF(B2038="","",IFERROR(INDEX('CARNET DE SOUDURE'!$D$7:$D$3006,MATCH(B2038,'CARNET DE SOUDURE'!$L$7:$L$3006,0)),IFERROR(INDEX('CARNET DE SOUDURE'!$D$7:$D$3006,MATCH(B2038,'CARNET DE SOUDURE'!$O$7:$O$3006,0)),"")))</f>
        <v/>
      </c>
      <c r="M2038" s="82" t="str">
        <f aca="false">IF(B2038="","",IF(OR(J2038&lt;&gt;"",K2038&lt;&gt;""),"POSÉ EN LIGNE",IF(COUNTIF(BARDAGE!$C$1:$C$5000,B2038)&gt;0,"BARDÉ","EN STOCK")))</f>
        <v/>
      </c>
      <c r="N2038" s="80"/>
    </row>
    <row r="2039" customFormat="false" ht="15" hidden="false" customHeight="false" outlineLevel="0" collapsed="false">
      <c r="A2039" s="82" t="str">
        <f aca="false">IF(B2039="","",ROW()-6)</f>
        <v/>
      </c>
      <c r="B2039" s="145"/>
      <c r="C2039" s="146"/>
      <c r="D2039" s="146"/>
      <c r="E2039" s="82" t="str">
        <f aca="false">IF(B2039="","",IF(COUNTIFS('CARNET DE SOUDURE'!$L$7:$L$3006,B2039,'CARNET DE SOUDURE'!$M$7:$M$3006,"&lt;&gt;"&amp;C2039,'CARNET DE SOUDURE'!$M$7:$M$3006,"&lt;&gt;")+COUNTIFS('CARNET DE SOUDURE'!$O$7:$O$3006,B2039,'CARNET DE SOUDURE'!$P$7:$P$3006,"&lt;&gt;"&amp;C2039,'CARNET DE SOUDURE'!$P$7:$P$3006,"&lt;&gt;")&gt;0,"⚠ DIFFÉRENTE","OK"))</f>
        <v/>
      </c>
      <c r="F2039" s="147"/>
      <c r="G2039" s="80"/>
      <c r="H2039" s="83"/>
      <c r="I2039" s="148" t="str">
        <f aca="false">IF(B2039="","",IFERROR(INDEX('CARNET DE SOUDURE'!$B$7:$B$3006,MATCH(B2039,'CARNET DE SOUDURE'!$L$7:$L$3006,0)),IFERROR(INDEX('CARNET DE SOUDURE'!$B$7:$B$3006,MATCH(B2039,'CARNET DE SOUDURE'!$O$7:$O$3006,0)),"")))</f>
        <v/>
      </c>
      <c r="J2039" s="82" t="str">
        <f aca="false">IF(B2039="","",IFERROR(INDEX('CARNET DE SOUDURE'!$E$7:$E$3006,MATCH(B2039,'CARNET DE SOUDURE'!$O$7:$O$3006,0)),""))</f>
        <v/>
      </c>
      <c r="K2039" s="82" t="str">
        <f aca="false">IF(B2039="","",IFERROR(INDEX('CARNET DE SOUDURE'!$E$7:$E$3006,MATCH(B2039,'CARNET DE SOUDURE'!$L$7:$L$3006,0)),""))</f>
        <v/>
      </c>
      <c r="L2039" s="82" t="str">
        <f aca="false">IF(B2039="","",IFERROR(INDEX('CARNET DE SOUDURE'!$D$7:$D$3006,MATCH(B2039,'CARNET DE SOUDURE'!$L$7:$L$3006,0)),IFERROR(INDEX('CARNET DE SOUDURE'!$D$7:$D$3006,MATCH(B2039,'CARNET DE SOUDURE'!$O$7:$O$3006,0)),"")))</f>
        <v/>
      </c>
      <c r="M2039" s="82" t="str">
        <f aca="false">IF(B2039="","",IF(OR(J2039&lt;&gt;"",K2039&lt;&gt;""),"POSÉ EN LIGNE",IF(COUNTIF(BARDAGE!$C$1:$C$5000,B2039)&gt;0,"BARDÉ","EN STOCK")))</f>
        <v/>
      </c>
      <c r="N2039" s="80"/>
    </row>
    <row r="2040" customFormat="false" ht="15" hidden="false" customHeight="false" outlineLevel="0" collapsed="false">
      <c r="A2040" s="82" t="str">
        <f aca="false">IF(B2040="","",ROW()-6)</f>
        <v/>
      </c>
      <c r="B2040" s="145"/>
      <c r="C2040" s="146"/>
      <c r="D2040" s="146"/>
      <c r="E2040" s="82" t="str">
        <f aca="false">IF(B2040="","",IF(COUNTIFS('CARNET DE SOUDURE'!$L$7:$L$3006,B2040,'CARNET DE SOUDURE'!$M$7:$M$3006,"&lt;&gt;"&amp;C2040,'CARNET DE SOUDURE'!$M$7:$M$3006,"&lt;&gt;")+COUNTIFS('CARNET DE SOUDURE'!$O$7:$O$3006,B2040,'CARNET DE SOUDURE'!$P$7:$P$3006,"&lt;&gt;"&amp;C2040,'CARNET DE SOUDURE'!$P$7:$P$3006,"&lt;&gt;")&gt;0,"⚠ DIFFÉRENTE","OK"))</f>
        <v/>
      </c>
      <c r="F2040" s="147"/>
      <c r="G2040" s="80"/>
      <c r="H2040" s="83"/>
      <c r="I2040" s="148" t="str">
        <f aca="false">IF(B2040="","",IFERROR(INDEX('CARNET DE SOUDURE'!$B$7:$B$3006,MATCH(B2040,'CARNET DE SOUDURE'!$L$7:$L$3006,0)),IFERROR(INDEX('CARNET DE SOUDURE'!$B$7:$B$3006,MATCH(B2040,'CARNET DE SOUDURE'!$O$7:$O$3006,0)),"")))</f>
        <v/>
      </c>
      <c r="J2040" s="82" t="str">
        <f aca="false">IF(B2040="","",IFERROR(INDEX('CARNET DE SOUDURE'!$E$7:$E$3006,MATCH(B2040,'CARNET DE SOUDURE'!$O$7:$O$3006,0)),""))</f>
        <v/>
      </c>
      <c r="K2040" s="82" t="str">
        <f aca="false">IF(B2040="","",IFERROR(INDEX('CARNET DE SOUDURE'!$E$7:$E$3006,MATCH(B2040,'CARNET DE SOUDURE'!$L$7:$L$3006,0)),""))</f>
        <v/>
      </c>
      <c r="L2040" s="82" t="str">
        <f aca="false">IF(B2040="","",IFERROR(INDEX('CARNET DE SOUDURE'!$D$7:$D$3006,MATCH(B2040,'CARNET DE SOUDURE'!$L$7:$L$3006,0)),IFERROR(INDEX('CARNET DE SOUDURE'!$D$7:$D$3006,MATCH(B2040,'CARNET DE SOUDURE'!$O$7:$O$3006,0)),"")))</f>
        <v/>
      </c>
      <c r="M2040" s="82" t="str">
        <f aca="false">IF(B2040="","",IF(OR(J2040&lt;&gt;"",K2040&lt;&gt;""),"POSÉ EN LIGNE",IF(COUNTIF(BARDAGE!$C$1:$C$5000,B2040)&gt;0,"BARDÉ","EN STOCK")))</f>
        <v/>
      </c>
      <c r="N2040" s="80"/>
    </row>
    <row r="2041" customFormat="false" ht="15" hidden="false" customHeight="false" outlineLevel="0" collapsed="false">
      <c r="A2041" s="82" t="str">
        <f aca="false">IF(B2041="","",ROW()-6)</f>
        <v/>
      </c>
      <c r="B2041" s="145"/>
      <c r="C2041" s="146"/>
      <c r="D2041" s="146"/>
      <c r="E2041" s="82" t="str">
        <f aca="false">IF(B2041="","",IF(COUNTIFS('CARNET DE SOUDURE'!$L$7:$L$3006,B2041,'CARNET DE SOUDURE'!$M$7:$M$3006,"&lt;&gt;"&amp;C2041,'CARNET DE SOUDURE'!$M$7:$M$3006,"&lt;&gt;")+COUNTIFS('CARNET DE SOUDURE'!$O$7:$O$3006,B2041,'CARNET DE SOUDURE'!$P$7:$P$3006,"&lt;&gt;"&amp;C2041,'CARNET DE SOUDURE'!$P$7:$P$3006,"&lt;&gt;")&gt;0,"⚠ DIFFÉRENTE","OK"))</f>
        <v/>
      </c>
      <c r="F2041" s="147"/>
      <c r="G2041" s="80"/>
      <c r="H2041" s="83"/>
      <c r="I2041" s="148" t="str">
        <f aca="false">IF(B2041="","",IFERROR(INDEX('CARNET DE SOUDURE'!$B$7:$B$3006,MATCH(B2041,'CARNET DE SOUDURE'!$L$7:$L$3006,0)),IFERROR(INDEX('CARNET DE SOUDURE'!$B$7:$B$3006,MATCH(B2041,'CARNET DE SOUDURE'!$O$7:$O$3006,0)),"")))</f>
        <v/>
      </c>
      <c r="J2041" s="82" t="str">
        <f aca="false">IF(B2041="","",IFERROR(INDEX('CARNET DE SOUDURE'!$E$7:$E$3006,MATCH(B2041,'CARNET DE SOUDURE'!$O$7:$O$3006,0)),""))</f>
        <v/>
      </c>
      <c r="K2041" s="82" t="str">
        <f aca="false">IF(B2041="","",IFERROR(INDEX('CARNET DE SOUDURE'!$E$7:$E$3006,MATCH(B2041,'CARNET DE SOUDURE'!$L$7:$L$3006,0)),""))</f>
        <v/>
      </c>
      <c r="L2041" s="82" t="str">
        <f aca="false">IF(B2041="","",IFERROR(INDEX('CARNET DE SOUDURE'!$D$7:$D$3006,MATCH(B2041,'CARNET DE SOUDURE'!$L$7:$L$3006,0)),IFERROR(INDEX('CARNET DE SOUDURE'!$D$7:$D$3006,MATCH(B2041,'CARNET DE SOUDURE'!$O$7:$O$3006,0)),"")))</f>
        <v/>
      </c>
      <c r="M2041" s="82" t="str">
        <f aca="false">IF(B2041="","",IF(OR(J2041&lt;&gt;"",K2041&lt;&gt;""),"POSÉ EN LIGNE",IF(COUNTIF(BARDAGE!$C$1:$C$5000,B2041)&gt;0,"BARDÉ","EN STOCK")))</f>
        <v/>
      </c>
      <c r="N2041" s="80"/>
    </row>
    <row r="2042" customFormat="false" ht="15" hidden="false" customHeight="false" outlineLevel="0" collapsed="false">
      <c r="A2042" s="82" t="str">
        <f aca="false">IF(B2042="","",ROW()-6)</f>
        <v/>
      </c>
      <c r="B2042" s="145"/>
      <c r="C2042" s="146"/>
      <c r="D2042" s="146"/>
      <c r="E2042" s="82" t="str">
        <f aca="false">IF(B2042="","",IF(COUNTIFS('CARNET DE SOUDURE'!$L$7:$L$3006,B2042,'CARNET DE SOUDURE'!$M$7:$M$3006,"&lt;&gt;"&amp;C2042,'CARNET DE SOUDURE'!$M$7:$M$3006,"&lt;&gt;")+COUNTIFS('CARNET DE SOUDURE'!$O$7:$O$3006,B2042,'CARNET DE SOUDURE'!$P$7:$P$3006,"&lt;&gt;"&amp;C2042,'CARNET DE SOUDURE'!$P$7:$P$3006,"&lt;&gt;")&gt;0,"⚠ DIFFÉRENTE","OK"))</f>
        <v/>
      </c>
      <c r="F2042" s="147"/>
      <c r="G2042" s="80"/>
      <c r="H2042" s="83"/>
      <c r="I2042" s="148" t="str">
        <f aca="false">IF(B2042="","",IFERROR(INDEX('CARNET DE SOUDURE'!$B$7:$B$3006,MATCH(B2042,'CARNET DE SOUDURE'!$L$7:$L$3006,0)),IFERROR(INDEX('CARNET DE SOUDURE'!$B$7:$B$3006,MATCH(B2042,'CARNET DE SOUDURE'!$O$7:$O$3006,0)),"")))</f>
        <v/>
      </c>
      <c r="J2042" s="82" t="str">
        <f aca="false">IF(B2042="","",IFERROR(INDEX('CARNET DE SOUDURE'!$E$7:$E$3006,MATCH(B2042,'CARNET DE SOUDURE'!$O$7:$O$3006,0)),""))</f>
        <v/>
      </c>
      <c r="K2042" s="82" t="str">
        <f aca="false">IF(B2042="","",IFERROR(INDEX('CARNET DE SOUDURE'!$E$7:$E$3006,MATCH(B2042,'CARNET DE SOUDURE'!$L$7:$L$3006,0)),""))</f>
        <v/>
      </c>
      <c r="L2042" s="82" t="str">
        <f aca="false">IF(B2042="","",IFERROR(INDEX('CARNET DE SOUDURE'!$D$7:$D$3006,MATCH(B2042,'CARNET DE SOUDURE'!$L$7:$L$3006,0)),IFERROR(INDEX('CARNET DE SOUDURE'!$D$7:$D$3006,MATCH(B2042,'CARNET DE SOUDURE'!$O$7:$O$3006,0)),"")))</f>
        <v/>
      </c>
      <c r="M2042" s="82" t="str">
        <f aca="false">IF(B2042="","",IF(OR(J2042&lt;&gt;"",K2042&lt;&gt;""),"POSÉ EN LIGNE",IF(COUNTIF(BARDAGE!$C$1:$C$5000,B2042)&gt;0,"BARDÉ","EN STOCK")))</f>
        <v/>
      </c>
      <c r="N2042" s="80"/>
    </row>
    <row r="2043" customFormat="false" ht="15" hidden="false" customHeight="false" outlineLevel="0" collapsed="false">
      <c r="A2043" s="82" t="str">
        <f aca="false">IF(B2043="","",ROW()-6)</f>
        <v/>
      </c>
      <c r="B2043" s="145"/>
      <c r="C2043" s="146"/>
      <c r="D2043" s="146"/>
      <c r="E2043" s="82" t="str">
        <f aca="false">IF(B2043="","",IF(COUNTIFS('CARNET DE SOUDURE'!$L$7:$L$3006,B2043,'CARNET DE SOUDURE'!$M$7:$M$3006,"&lt;&gt;"&amp;C2043,'CARNET DE SOUDURE'!$M$7:$M$3006,"&lt;&gt;")+COUNTIFS('CARNET DE SOUDURE'!$O$7:$O$3006,B2043,'CARNET DE SOUDURE'!$P$7:$P$3006,"&lt;&gt;"&amp;C2043,'CARNET DE SOUDURE'!$P$7:$P$3006,"&lt;&gt;")&gt;0,"⚠ DIFFÉRENTE","OK"))</f>
        <v/>
      </c>
      <c r="F2043" s="147"/>
      <c r="G2043" s="80"/>
      <c r="H2043" s="83"/>
      <c r="I2043" s="148" t="str">
        <f aca="false">IF(B2043="","",IFERROR(INDEX('CARNET DE SOUDURE'!$B$7:$B$3006,MATCH(B2043,'CARNET DE SOUDURE'!$L$7:$L$3006,0)),IFERROR(INDEX('CARNET DE SOUDURE'!$B$7:$B$3006,MATCH(B2043,'CARNET DE SOUDURE'!$O$7:$O$3006,0)),"")))</f>
        <v/>
      </c>
      <c r="J2043" s="82" t="str">
        <f aca="false">IF(B2043="","",IFERROR(INDEX('CARNET DE SOUDURE'!$E$7:$E$3006,MATCH(B2043,'CARNET DE SOUDURE'!$O$7:$O$3006,0)),""))</f>
        <v/>
      </c>
      <c r="K2043" s="82" t="str">
        <f aca="false">IF(B2043="","",IFERROR(INDEX('CARNET DE SOUDURE'!$E$7:$E$3006,MATCH(B2043,'CARNET DE SOUDURE'!$L$7:$L$3006,0)),""))</f>
        <v/>
      </c>
      <c r="L2043" s="82" t="str">
        <f aca="false">IF(B2043="","",IFERROR(INDEX('CARNET DE SOUDURE'!$D$7:$D$3006,MATCH(B2043,'CARNET DE SOUDURE'!$L$7:$L$3006,0)),IFERROR(INDEX('CARNET DE SOUDURE'!$D$7:$D$3006,MATCH(B2043,'CARNET DE SOUDURE'!$O$7:$O$3006,0)),"")))</f>
        <v/>
      </c>
      <c r="M2043" s="82" t="str">
        <f aca="false">IF(B2043="","",IF(OR(J2043&lt;&gt;"",K2043&lt;&gt;""),"POSÉ EN LIGNE",IF(COUNTIF(BARDAGE!$C$1:$C$5000,B2043)&gt;0,"BARDÉ","EN STOCK")))</f>
        <v/>
      </c>
      <c r="N2043" s="80"/>
    </row>
    <row r="2044" customFormat="false" ht="15" hidden="false" customHeight="false" outlineLevel="0" collapsed="false">
      <c r="A2044" s="82" t="str">
        <f aca="false">IF(B2044="","",ROW()-6)</f>
        <v/>
      </c>
      <c r="B2044" s="145"/>
      <c r="C2044" s="146"/>
      <c r="D2044" s="146"/>
      <c r="E2044" s="82" t="str">
        <f aca="false">IF(B2044="","",IF(COUNTIFS('CARNET DE SOUDURE'!$L$7:$L$3006,B2044,'CARNET DE SOUDURE'!$M$7:$M$3006,"&lt;&gt;"&amp;C2044,'CARNET DE SOUDURE'!$M$7:$M$3006,"&lt;&gt;")+COUNTIFS('CARNET DE SOUDURE'!$O$7:$O$3006,B2044,'CARNET DE SOUDURE'!$P$7:$P$3006,"&lt;&gt;"&amp;C2044,'CARNET DE SOUDURE'!$P$7:$P$3006,"&lt;&gt;")&gt;0,"⚠ DIFFÉRENTE","OK"))</f>
        <v/>
      </c>
      <c r="F2044" s="147"/>
      <c r="G2044" s="80"/>
      <c r="H2044" s="83"/>
      <c r="I2044" s="148" t="str">
        <f aca="false">IF(B2044="","",IFERROR(INDEX('CARNET DE SOUDURE'!$B$7:$B$3006,MATCH(B2044,'CARNET DE SOUDURE'!$L$7:$L$3006,0)),IFERROR(INDEX('CARNET DE SOUDURE'!$B$7:$B$3006,MATCH(B2044,'CARNET DE SOUDURE'!$O$7:$O$3006,0)),"")))</f>
        <v/>
      </c>
      <c r="J2044" s="82" t="str">
        <f aca="false">IF(B2044="","",IFERROR(INDEX('CARNET DE SOUDURE'!$E$7:$E$3006,MATCH(B2044,'CARNET DE SOUDURE'!$O$7:$O$3006,0)),""))</f>
        <v/>
      </c>
      <c r="K2044" s="82" t="str">
        <f aca="false">IF(B2044="","",IFERROR(INDEX('CARNET DE SOUDURE'!$E$7:$E$3006,MATCH(B2044,'CARNET DE SOUDURE'!$L$7:$L$3006,0)),""))</f>
        <v/>
      </c>
      <c r="L2044" s="82" t="str">
        <f aca="false">IF(B2044="","",IFERROR(INDEX('CARNET DE SOUDURE'!$D$7:$D$3006,MATCH(B2044,'CARNET DE SOUDURE'!$L$7:$L$3006,0)),IFERROR(INDEX('CARNET DE SOUDURE'!$D$7:$D$3006,MATCH(B2044,'CARNET DE SOUDURE'!$O$7:$O$3006,0)),"")))</f>
        <v/>
      </c>
      <c r="M2044" s="82" t="str">
        <f aca="false">IF(B2044="","",IF(OR(J2044&lt;&gt;"",K2044&lt;&gt;""),"POSÉ EN LIGNE",IF(COUNTIF(BARDAGE!$C$1:$C$5000,B2044)&gt;0,"BARDÉ","EN STOCK")))</f>
        <v/>
      </c>
      <c r="N2044" s="80"/>
    </row>
    <row r="2045" customFormat="false" ht="15" hidden="false" customHeight="false" outlineLevel="0" collapsed="false">
      <c r="A2045" s="82" t="str">
        <f aca="false">IF(B2045="","",ROW()-6)</f>
        <v/>
      </c>
      <c r="B2045" s="145"/>
      <c r="C2045" s="146"/>
      <c r="D2045" s="146"/>
      <c r="E2045" s="82" t="str">
        <f aca="false">IF(B2045="","",IF(COUNTIFS('CARNET DE SOUDURE'!$L$7:$L$3006,B2045,'CARNET DE SOUDURE'!$M$7:$M$3006,"&lt;&gt;"&amp;C2045,'CARNET DE SOUDURE'!$M$7:$M$3006,"&lt;&gt;")+COUNTIFS('CARNET DE SOUDURE'!$O$7:$O$3006,B2045,'CARNET DE SOUDURE'!$P$7:$P$3006,"&lt;&gt;"&amp;C2045,'CARNET DE SOUDURE'!$P$7:$P$3006,"&lt;&gt;")&gt;0,"⚠ DIFFÉRENTE","OK"))</f>
        <v/>
      </c>
      <c r="F2045" s="147"/>
      <c r="G2045" s="80"/>
      <c r="H2045" s="83"/>
      <c r="I2045" s="148" t="str">
        <f aca="false">IF(B2045="","",IFERROR(INDEX('CARNET DE SOUDURE'!$B$7:$B$3006,MATCH(B2045,'CARNET DE SOUDURE'!$L$7:$L$3006,0)),IFERROR(INDEX('CARNET DE SOUDURE'!$B$7:$B$3006,MATCH(B2045,'CARNET DE SOUDURE'!$O$7:$O$3006,0)),"")))</f>
        <v/>
      </c>
      <c r="J2045" s="82" t="str">
        <f aca="false">IF(B2045="","",IFERROR(INDEX('CARNET DE SOUDURE'!$E$7:$E$3006,MATCH(B2045,'CARNET DE SOUDURE'!$O$7:$O$3006,0)),""))</f>
        <v/>
      </c>
      <c r="K2045" s="82" t="str">
        <f aca="false">IF(B2045="","",IFERROR(INDEX('CARNET DE SOUDURE'!$E$7:$E$3006,MATCH(B2045,'CARNET DE SOUDURE'!$L$7:$L$3006,0)),""))</f>
        <v/>
      </c>
      <c r="L2045" s="82" t="str">
        <f aca="false">IF(B2045="","",IFERROR(INDEX('CARNET DE SOUDURE'!$D$7:$D$3006,MATCH(B2045,'CARNET DE SOUDURE'!$L$7:$L$3006,0)),IFERROR(INDEX('CARNET DE SOUDURE'!$D$7:$D$3006,MATCH(B2045,'CARNET DE SOUDURE'!$O$7:$O$3006,0)),"")))</f>
        <v/>
      </c>
      <c r="M2045" s="82" t="str">
        <f aca="false">IF(B2045="","",IF(OR(J2045&lt;&gt;"",K2045&lt;&gt;""),"POSÉ EN LIGNE",IF(COUNTIF(BARDAGE!$C$1:$C$5000,B2045)&gt;0,"BARDÉ","EN STOCK")))</f>
        <v/>
      </c>
      <c r="N2045" s="80"/>
    </row>
    <row r="2046" customFormat="false" ht="15" hidden="false" customHeight="false" outlineLevel="0" collapsed="false">
      <c r="A2046" s="82" t="str">
        <f aca="false">IF(B2046="","",ROW()-6)</f>
        <v/>
      </c>
      <c r="B2046" s="145"/>
      <c r="C2046" s="146"/>
      <c r="D2046" s="146"/>
      <c r="E2046" s="82" t="str">
        <f aca="false">IF(B2046="","",IF(COUNTIFS('CARNET DE SOUDURE'!$L$7:$L$3006,B2046,'CARNET DE SOUDURE'!$M$7:$M$3006,"&lt;&gt;"&amp;C2046,'CARNET DE SOUDURE'!$M$7:$M$3006,"&lt;&gt;")+COUNTIFS('CARNET DE SOUDURE'!$O$7:$O$3006,B2046,'CARNET DE SOUDURE'!$P$7:$P$3006,"&lt;&gt;"&amp;C2046,'CARNET DE SOUDURE'!$P$7:$P$3006,"&lt;&gt;")&gt;0,"⚠ DIFFÉRENTE","OK"))</f>
        <v/>
      </c>
      <c r="F2046" s="147"/>
      <c r="G2046" s="80"/>
      <c r="H2046" s="83"/>
      <c r="I2046" s="148" t="str">
        <f aca="false">IF(B2046="","",IFERROR(INDEX('CARNET DE SOUDURE'!$B$7:$B$3006,MATCH(B2046,'CARNET DE SOUDURE'!$L$7:$L$3006,0)),IFERROR(INDEX('CARNET DE SOUDURE'!$B$7:$B$3006,MATCH(B2046,'CARNET DE SOUDURE'!$O$7:$O$3006,0)),"")))</f>
        <v/>
      </c>
      <c r="J2046" s="82" t="str">
        <f aca="false">IF(B2046="","",IFERROR(INDEX('CARNET DE SOUDURE'!$E$7:$E$3006,MATCH(B2046,'CARNET DE SOUDURE'!$O$7:$O$3006,0)),""))</f>
        <v/>
      </c>
      <c r="K2046" s="82" t="str">
        <f aca="false">IF(B2046="","",IFERROR(INDEX('CARNET DE SOUDURE'!$E$7:$E$3006,MATCH(B2046,'CARNET DE SOUDURE'!$L$7:$L$3006,0)),""))</f>
        <v/>
      </c>
      <c r="L2046" s="82" t="str">
        <f aca="false">IF(B2046="","",IFERROR(INDEX('CARNET DE SOUDURE'!$D$7:$D$3006,MATCH(B2046,'CARNET DE SOUDURE'!$L$7:$L$3006,0)),IFERROR(INDEX('CARNET DE SOUDURE'!$D$7:$D$3006,MATCH(B2046,'CARNET DE SOUDURE'!$O$7:$O$3006,0)),"")))</f>
        <v/>
      </c>
      <c r="M2046" s="82" t="str">
        <f aca="false">IF(B2046="","",IF(OR(J2046&lt;&gt;"",K2046&lt;&gt;""),"POSÉ EN LIGNE",IF(COUNTIF(BARDAGE!$C$1:$C$5000,B2046)&gt;0,"BARDÉ","EN STOCK")))</f>
        <v/>
      </c>
      <c r="N2046" s="80"/>
    </row>
    <row r="2047" customFormat="false" ht="15" hidden="false" customHeight="false" outlineLevel="0" collapsed="false">
      <c r="A2047" s="82" t="str">
        <f aca="false">IF(B2047="","",ROW()-6)</f>
        <v/>
      </c>
      <c r="B2047" s="145"/>
      <c r="C2047" s="146"/>
      <c r="D2047" s="146"/>
      <c r="E2047" s="82" t="str">
        <f aca="false">IF(B2047="","",IF(COUNTIFS('CARNET DE SOUDURE'!$L$7:$L$3006,B2047,'CARNET DE SOUDURE'!$M$7:$M$3006,"&lt;&gt;"&amp;C2047,'CARNET DE SOUDURE'!$M$7:$M$3006,"&lt;&gt;")+COUNTIFS('CARNET DE SOUDURE'!$O$7:$O$3006,B2047,'CARNET DE SOUDURE'!$P$7:$P$3006,"&lt;&gt;"&amp;C2047,'CARNET DE SOUDURE'!$P$7:$P$3006,"&lt;&gt;")&gt;0,"⚠ DIFFÉRENTE","OK"))</f>
        <v/>
      </c>
      <c r="F2047" s="147"/>
      <c r="G2047" s="80"/>
      <c r="H2047" s="83"/>
      <c r="I2047" s="148" t="str">
        <f aca="false">IF(B2047="","",IFERROR(INDEX('CARNET DE SOUDURE'!$B$7:$B$3006,MATCH(B2047,'CARNET DE SOUDURE'!$L$7:$L$3006,0)),IFERROR(INDEX('CARNET DE SOUDURE'!$B$7:$B$3006,MATCH(B2047,'CARNET DE SOUDURE'!$O$7:$O$3006,0)),"")))</f>
        <v/>
      </c>
      <c r="J2047" s="82" t="str">
        <f aca="false">IF(B2047="","",IFERROR(INDEX('CARNET DE SOUDURE'!$E$7:$E$3006,MATCH(B2047,'CARNET DE SOUDURE'!$O$7:$O$3006,0)),""))</f>
        <v/>
      </c>
      <c r="K2047" s="82" t="str">
        <f aca="false">IF(B2047="","",IFERROR(INDEX('CARNET DE SOUDURE'!$E$7:$E$3006,MATCH(B2047,'CARNET DE SOUDURE'!$L$7:$L$3006,0)),""))</f>
        <v/>
      </c>
      <c r="L2047" s="82" t="str">
        <f aca="false">IF(B2047="","",IFERROR(INDEX('CARNET DE SOUDURE'!$D$7:$D$3006,MATCH(B2047,'CARNET DE SOUDURE'!$L$7:$L$3006,0)),IFERROR(INDEX('CARNET DE SOUDURE'!$D$7:$D$3006,MATCH(B2047,'CARNET DE SOUDURE'!$O$7:$O$3006,0)),"")))</f>
        <v/>
      </c>
      <c r="M2047" s="82" t="str">
        <f aca="false">IF(B2047="","",IF(OR(J2047&lt;&gt;"",K2047&lt;&gt;""),"POSÉ EN LIGNE",IF(COUNTIF(BARDAGE!$C$1:$C$5000,B2047)&gt;0,"BARDÉ","EN STOCK")))</f>
        <v/>
      </c>
      <c r="N2047" s="80"/>
    </row>
    <row r="2048" customFormat="false" ht="15" hidden="false" customHeight="false" outlineLevel="0" collapsed="false">
      <c r="A2048" s="82" t="str">
        <f aca="false">IF(B2048="","",ROW()-6)</f>
        <v/>
      </c>
      <c r="B2048" s="145"/>
      <c r="C2048" s="146"/>
      <c r="D2048" s="146"/>
      <c r="E2048" s="82" t="str">
        <f aca="false">IF(B2048="","",IF(COUNTIFS('CARNET DE SOUDURE'!$L$7:$L$3006,B2048,'CARNET DE SOUDURE'!$M$7:$M$3006,"&lt;&gt;"&amp;C2048,'CARNET DE SOUDURE'!$M$7:$M$3006,"&lt;&gt;")+COUNTIFS('CARNET DE SOUDURE'!$O$7:$O$3006,B2048,'CARNET DE SOUDURE'!$P$7:$P$3006,"&lt;&gt;"&amp;C2048,'CARNET DE SOUDURE'!$P$7:$P$3006,"&lt;&gt;")&gt;0,"⚠ DIFFÉRENTE","OK"))</f>
        <v/>
      </c>
      <c r="F2048" s="147"/>
      <c r="G2048" s="80"/>
      <c r="H2048" s="83"/>
      <c r="I2048" s="148" t="str">
        <f aca="false">IF(B2048="","",IFERROR(INDEX('CARNET DE SOUDURE'!$B$7:$B$3006,MATCH(B2048,'CARNET DE SOUDURE'!$L$7:$L$3006,0)),IFERROR(INDEX('CARNET DE SOUDURE'!$B$7:$B$3006,MATCH(B2048,'CARNET DE SOUDURE'!$O$7:$O$3006,0)),"")))</f>
        <v/>
      </c>
      <c r="J2048" s="82" t="str">
        <f aca="false">IF(B2048="","",IFERROR(INDEX('CARNET DE SOUDURE'!$E$7:$E$3006,MATCH(B2048,'CARNET DE SOUDURE'!$O$7:$O$3006,0)),""))</f>
        <v/>
      </c>
      <c r="K2048" s="82" t="str">
        <f aca="false">IF(B2048="","",IFERROR(INDEX('CARNET DE SOUDURE'!$E$7:$E$3006,MATCH(B2048,'CARNET DE SOUDURE'!$L$7:$L$3006,0)),""))</f>
        <v/>
      </c>
      <c r="L2048" s="82" t="str">
        <f aca="false">IF(B2048="","",IFERROR(INDEX('CARNET DE SOUDURE'!$D$7:$D$3006,MATCH(B2048,'CARNET DE SOUDURE'!$L$7:$L$3006,0)),IFERROR(INDEX('CARNET DE SOUDURE'!$D$7:$D$3006,MATCH(B2048,'CARNET DE SOUDURE'!$O$7:$O$3006,0)),"")))</f>
        <v/>
      </c>
      <c r="M2048" s="82" t="str">
        <f aca="false">IF(B2048="","",IF(OR(J2048&lt;&gt;"",K2048&lt;&gt;""),"POSÉ EN LIGNE",IF(COUNTIF(BARDAGE!$C$1:$C$5000,B2048)&gt;0,"BARDÉ","EN STOCK")))</f>
        <v/>
      </c>
      <c r="N2048" s="80"/>
    </row>
    <row r="2049" customFormat="false" ht="15" hidden="false" customHeight="false" outlineLevel="0" collapsed="false">
      <c r="A2049" s="82" t="str">
        <f aca="false">IF(B2049="","",ROW()-6)</f>
        <v/>
      </c>
      <c r="B2049" s="145"/>
      <c r="C2049" s="146"/>
      <c r="D2049" s="146"/>
      <c r="E2049" s="82" t="str">
        <f aca="false">IF(B2049="","",IF(COUNTIFS('CARNET DE SOUDURE'!$L$7:$L$3006,B2049,'CARNET DE SOUDURE'!$M$7:$M$3006,"&lt;&gt;"&amp;C2049,'CARNET DE SOUDURE'!$M$7:$M$3006,"&lt;&gt;")+COUNTIFS('CARNET DE SOUDURE'!$O$7:$O$3006,B2049,'CARNET DE SOUDURE'!$P$7:$P$3006,"&lt;&gt;"&amp;C2049,'CARNET DE SOUDURE'!$P$7:$P$3006,"&lt;&gt;")&gt;0,"⚠ DIFFÉRENTE","OK"))</f>
        <v/>
      </c>
      <c r="F2049" s="147"/>
      <c r="G2049" s="80"/>
      <c r="H2049" s="83"/>
      <c r="I2049" s="148" t="str">
        <f aca="false">IF(B2049="","",IFERROR(INDEX('CARNET DE SOUDURE'!$B$7:$B$3006,MATCH(B2049,'CARNET DE SOUDURE'!$L$7:$L$3006,0)),IFERROR(INDEX('CARNET DE SOUDURE'!$B$7:$B$3006,MATCH(B2049,'CARNET DE SOUDURE'!$O$7:$O$3006,0)),"")))</f>
        <v/>
      </c>
      <c r="J2049" s="82" t="str">
        <f aca="false">IF(B2049="","",IFERROR(INDEX('CARNET DE SOUDURE'!$E$7:$E$3006,MATCH(B2049,'CARNET DE SOUDURE'!$O$7:$O$3006,0)),""))</f>
        <v/>
      </c>
      <c r="K2049" s="82" t="str">
        <f aca="false">IF(B2049="","",IFERROR(INDEX('CARNET DE SOUDURE'!$E$7:$E$3006,MATCH(B2049,'CARNET DE SOUDURE'!$L$7:$L$3006,0)),""))</f>
        <v/>
      </c>
      <c r="L2049" s="82" t="str">
        <f aca="false">IF(B2049="","",IFERROR(INDEX('CARNET DE SOUDURE'!$D$7:$D$3006,MATCH(B2049,'CARNET DE SOUDURE'!$L$7:$L$3006,0)),IFERROR(INDEX('CARNET DE SOUDURE'!$D$7:$D$3006,MATCH(B2049,'CARNET DE SOUDURE'!$O$7:$O$3006,0)),"")))</f>
        <v/>
      </c>
      <c r="M2049" s="82" t="str">
        <f aca="false">IF(B2049="","",IF(OR(J2049&lt;&gt;"",K2049&lt;&gt;""),"POSÉ EN LIGNE",IF(COUNTIF(BARDAGE!$C$1:$C$5000,B2049)&gt;0,"BARDÉ","EN STOCK")))</f>
        <v/>
      </c>
      <c r="N2049" s="80"/>
    </row>
    <row r="2050" customFormat="false" ht="15" hidden="false" customHeight="false" outlineLevel="0" collapsed="false">
      <c r="A2050" s="82" t="str">
        <f aca="false">IF(B2050="","",ROW()-6)</f>
        <v/>
      </c>
      <c r="B2050" s="145"/>
      <c r="C2050" s="146"/>
      <c r="D2050" s="146"/>
      <c r="E2050" s="82" t="str">
        <f aca="false">IF(B2050="","",IF(COUNTIFS('CARNET DE SOUDURE'!$L$7:$L$3006,B2050,'CARNET DE SOUDURE'!$M$7:$M$3006,"&lt;&gt;"&amp;C2050,'CARNET DE SOUDURE'!$M$7:$M$3006,"&lt;&gt;")+COUNTIFS('CARNET DE SOUDURE'!$O$7:$O$3006,B2050,'CARNET DE SOUDURE'!$P$7:$P$3006,"&lt;&gt;"&amp;C2050,'CARNET DE SOUDURE'!$P$7:$P$3006,"&lt;&gt;")&gt;0,"⚠ DIFFÉRENTE","OK"))</f>
        <v/>
      </c>
      <c r="F2050" s="147"/>
      <c r="G2050" s="80"/>
      <c r="H2050" s="83"/>
      <c r="I2050" s="148" t="str">
        <f aca="false">IF(B2050="","",IFERROR(INDEX('CARNET DE SOUDURE'!$B$7:$B$3006,MATCH(B2050,'CARNET DE SOUDURE'!$L$7:$L$3006,0)),IFERROR(INDEX('CARNET DE SOUDURE'!$B$7:$B$3006,MATCH(B2050,'CARNET DE SOUDURE'!$O$7:$O$3006,0)),"")))</f>
        <v/>
      </c>
      <c r="J2050" s="82" t="str">
        <f aca="false">IF(B2050="","",IFERROR(INDEX('CARNET DE SOUDURE'!$E$7:$E$3006,MATCH(B2050,'CARNET DE SOUDURE'!$O$7:$O$3006,0)),""))</f>
        <v/>
      </c>
      <c r="K2050" s="82" t="str">
        <f aca="false">IF(B2050="","",IFERROR(INDEX('CARNET DE SOUDURE'!$E$7:$E$3006,MATCH(B2050,'CARNET DE SOUDURE'!$L$7:$L$3006,0)),""))</f>
        <v/>
      </c>
      <c r="L2050" s="82" t="str">
        <f aca="false">IF(B2050="","",IFERROR(INDEX('CARNET DE SOUDURE'!$D$7:$D$3006,MATCH(B2050,'CARNET DE SOUDURE'!$L$7:$L$3006,0)),IFERROR(INDEX('CARNET DE SOUDURE'!$D$7:$D$3006,MATCH(B2050,'CARNET DE SOUDURE'!$O$7:$O$3006,0)),"")))</f>
        <v/>
      </c>
      <c r="M2050" s="82" t="str">
        <f aca="false">IF(B2050="","",IF(OR(J2050&lt;&gt;"",K2050&lt;&gt;""),"POSÉ EN LIGNE",IF(COUNTIF(BARDAGE!$C$1:$C$5000,B2050)&gt;0,"BARDÉ","EN STOCK")))</f>
        <v/>
      </c>
      <c r="N2050" s="80"/>
    </row>
    <row r="2051" customFormat="false" ht="15" hidden="false" customHeight="false" outlineLevel="0" collapsed="false">
      <c r="A2051" s="82" t="str">
        <f aca="false">IF(B2051="","",ROW()-6)</f>
        <v/>
      </c>
      <c r="B2051" s="145"/>
      <c r="C2051" s="146"/>
      <c r="D2051" s="146"/>
      <c r="E2051" s="82" t="str">
        <f aca="false">IF(B2051="","",IF(COUNTIFS('CARNET DE SOUDURE'!$L$7:$L$3006,B2051,'CARNET DE SOUDURE'!$M$7:$M$3006,"&lt;&gt;"&amp;C2051,'CARNET DE SOUDURE'!$M$7:$M$3006,"&lt;&gt;")+COUNTIFS('CARNET DE SOUDURE'!$O$7:$O$3006,B2051,'CARNET DE SOUDURE'!$P$7:$P$3006,"&lt;&gt;"&amp;C2051,'CARNET DE SOUDURE'!$P$7:$P$3006,"&lt;&gt;")&gt;0,"⚠ DIFFÉRENTE","OK"))</f>
        <v/>
      </c>
      <c r="F2051" s="147"/>
      <c r="G2051" s="80"/>
      <c r="H2051" s="83"/>
      <c r="I2051" s="148" t="str">
        <f aca="false">IF(B2051="","",IFERROR(INDEX('CARNET DE SOUDURE'!$B$7:$B$3006,MATCH(B2051,'CARNET DE SOUDURE'!$L$7:$L$3006,0)),IFERROR(INDEX('CARNET DE SOUDURE'!$B$7:$B$3006,MATCH(B2051,'CARNET DE SOUDURE'!$O$7:$O$3006,0)),"")))</f>
        <v/>
      </c>
      <c r="J2051" s="82" t="str">
        <f aca="false">IF(B2051="","",IFERROR(INDEX('CARNET DE SOUDURE'!$E$7:$E$3006,MATCH(B2051,'CARNET DE SOUDURE'!$O$7:$O$3006,0)),""))</f>
        <v/>
      </c>
      <c r="K2051" s="82" t="str">
        <f aca="false">IF(B2051="","",IFERROR(INDEX('CARNET DE SOUDURE'!$E$7:$E$3006,MATCH(B2051,'CARNET DE SOUDURE'!$L$7:$L$3006,0)),""))</f>
        <v/>
      </c>
      <c r="L2051" s="82" t="str">
        <f aca="false">IF(B2051="","",IFERROR(INDEX('CARNET DE SOUDURE'!$D$7:$D$3006,MATCH(B2051,'CARNET DE SOUDURE'!$L$7:$L$3006,0)),IFERROR(INDEX('CARNET DE SOUDURE'!$D$7:$D$3006,MATCH(B2051,'CARNET DE SOUDURE'!$O$7:$O$3006,0)),"")))</f>
        <v/>
      </c>
      <c r="M2051" s="82" t="str">
        <f aca="false">IF(B2051="","",IF(OR(J2051&lt;&gt;"",K2051&lt;&gt;""),"POSÉ EN LIGNE",IF(COUNTIF(BARDAGE!$C$1:$C$5000,B2051)&gt;0,"BARDÉ","EN STOCK")))</f>
        <v/>
      </c>
      <c r="N2051" s="80"/>
    </row>
    <row r="2052" customFormat="false" ht="15" hidden="false" customHeight="false" outlineLevel="0" collapsed="false">
      <c r="A2052" s="82" t="str">
        <f aca="false">IF(B2052="","",ROW()-6)</f>
        <v/>
      </c>
      <c r="B2052" s="145"/>
      <c r="C2052" s="146"/>
      <c r="D2052" s="146"/>
      <c r="E2052" s="82" t="str">
        <f aca="false">IF(B2052="","",IF(COUNTIFS('CARNET DE SOUDURE'!$L$7:$L$3006,B2052,'CARNET DE SOUDURE'!$M$7:$M$3006,"&lt;&gt;"&amp;C2052,'CARNET DE SOUDURE'!$M$7:$M$3006,"&lt;&gt;")+COUNTIFS('CARNET DE SOUDURE'!$O$7:$O$3006,B2052,'CARNET DE SOUDURE'!$P$7:$P$3006,"&lt;&gt;"&amp;C2052,'CARNET DE SOUDURE'!$P$7:$P$3006,"&lt;&gt;")&gt;0,"⚠ DIFFÉRENTE","OK"))</f>
        <v/>
      </c>
      <c r="F2052" s="147"/>
      <c r="G2052" s="80"/>
      <c r="H2052" s="83"/>
      <c r="I2052" s="148" t="str">
        <f aca="false">IF(B2052="","",IFERROR(INDEX('CARNET DE SOUDURE'!$B$7:$B$3006,MATCH(B2052,'CARNET DE SOUDURE'!$L$7:$L$3006,0)),IFERROR(INDEX('CARNET DE SOUDURE'!$B$7:$B$3006,MATCH(B2052,'CARNET DE SOUDURE'!$O$7:$O$3006,0)),"")))</f>
        <v/>
      </c>
      <c r="J2052" s="82" t="str">
        <f aca="false">IF(B2052="","",IFERROR(INDEX('CARNET DE SOUDURE'!$E$7:$E$3006,MATCH(B2052,'CARNET DE SOUDURE'!$O$7:$O$3006,0)),""))</f>
        <v/>
      </c>
      <c r="K2052" s="82" t="str">
        <f aca="false">IF(B2052="","",IFERROR(INDEX('CARNET DE SOUDURE'!$E$7:$E$3006,MATCH(B2052,'CARNET DE SOUDURE'!$L$7:$L$3006,0)),""))</f>
        <v/>
      </c>
      <c r="L2052" s="82" t="str">
        <f aca="false">IF(B2052="","",IFERROR(INDEX('CARNET DE SOUDURE'!$D$7:$D$3006,MATCH(B2052,'CARNET DE SOUDURE'!$L$7:$L$3006,0)),IFERROR(INDEX('CARNET DE SOUDURE'!$D$7:$D$3006,MATCH(B2052,'CARNET DE SOUDURE'!$O$7:$O$3006,0)),"")))</f>
        <v/>
      </c>
      <c r="M2052" s="82" t="str">
        <f aca="false">IF(B2052="","",IF(OR(J2052&lt;&gt;"",K2052&lt;&gt;""),"POSÉ EN LIGNE",IF(COUNTIF(BARDAGE!$C$1:$C$5000,B2052)&gt;0,"BARDÉ","EN STOCK")))</f>
        <v/>
      </c>
      <c r="N2052" s="80"/>
    </row>
    <row r="2053" customFormat="false" ht="15" hidden="false" customHeight="false" outlineLevel="0" collapsed="false">
      <c r="A2053" s="82" t="str">
        <f aca="false">IF(B2053="","",ROW()-6)</f>
        <v/>
      </c>
      <c r="B2053" s="145"/>
      <c r="C2053" s="146"/>
      <c r="D2053" s="146"/>
      <c r="E2053" s="82" t="str">
        <f aca="false">IF(B2053="","",IF(COUNTIFS('CARNET DE SOUDURE'!$L$7:$L$3006,B2053,'CARNET DE SOUDURE'!$M$7:$M$3006,"&lt;&gt;"&amp;C2053,'CARNET DE SOUDURE'!$M$7:$M$3006,"&lt;&gt;")+COUNTIFS('CARNET DE SOUDURE'!$O$7:$O$3006,B2053,'CARNET DE SOUDURE'!$P$7:$P$3006,"&lt;&gt;"&amp;C2053,'CARNET DE SOUDURE'!$P$7:$P$3006,"&lt;&gt;")&gt;0,"⚠ DIFFÉRENTE","OK"))</f>
        <v/>
      </c>
      <c r="F2053" s="147"/>
      <c r="G2053" s="80"/>
      <c r="H2053" s="83"/>
      <c r="I2053" s="148" t="str">
        <f aca="false">IF(B2053="","",IFERROR(INDEX('CARNET DE SOUDURE'!$B$7:$B$3006,MATCH(B2053,'CARNET DE SOUDURE'!$L$7:$L$3006,0)),IFERROR(INDEX('CARNET DE SOUDURE'!$B$7:$B$3006,MATCH(B2053,'CARNET DE SOUDURE'!$O$7:$O$3006,0)),"")))</f>
        <v/>
      </c>
      <c r="J2053" s="82" t="str">
        <f aca="false">IF(B2053="","",IFERROR(INDEX('CARNET DE SOUDURE'!$E$7:$E$3006,MATCH(B2053,'CARNET DE SOUDURE'!$O$7:$O$3006,0)),""))</f>
        <v/>
      </c>
      <c r="K2053" s="82" t="str">
        <f aca="false">IF(B2053="","",IFERROR(INDEX('CARNET DE SOUDURE'!$E$7:$E$3006,MATCH(B2053,'CARNET DE SOUDURE'!$L$7:$L$3006,0)),""))</f>
        <v/>
      </c>
      <c r="L2053" s="82" t="str">
        <f aca="false">IF(B2053="","",IFERROR(INDEX('CARNET DE SOUDURE'!$D$7:$D$3006,MATCH(B2053,'CARNET DE SOUDURE'!$L$7:$L$3006,0)),IFERROR(INDEX('CARNET DE SOUDURE'!$D$7:$D$3006,MATCH(B2053,'CARNET DE SOUDURE'!$O$7:$O$3006,0)),"")))</f>
        <v/>
      </c>
      <c r="M2053" s="82" t="str">
        <f aca="false">IF(B2053="","",IF(OR(J2053&lt;&gt;"",K2053&lt;&gt;""),"POSÉ EN LIGNE",IF(COUNTIF(BARDAGE!$C$1:$C$5000,B2053)&gt;0,"BARDÉ","EN STOCK")))</f>
        <v/>
      </c>
      <c r="N2053" s="80"/>
    </row>
    <row r="2054" customFormat="false" ht="15" hidden="false" customHeight="false" outlineLevel="0" collapsed="false">
      <c r="A2054" s="82" t="str">
        <f aca="false">IF(B2054="","",ROW()-6)</f>
        <v/>
      </c>
      <c r="B2054" s="145"/>
      <c r="C2054" s="146"/>
      <c r="D2054" s="146"/>
      <c r="E2054" s="82" t="str">
        <f aca="false">IF(B2054="","",IF(COUNTIFS('CARNET DE SOUDURE'!$L$7:$L$3006,B2054,'CARNET DE SOUDURE'!$M$7:$M$3006,"&lt;&gt;"&amp;C2054,'CARNET DE SOUDURE'!$M$7:$M$3006,"&lt;&gt;")+COUNTIFS('CARNET DE SOUDURE'!$O$7:$O$3006,B2054,'CARNET DE SOUDURE'!$P$7:$P$3006,"&lt;&gt;"&amp;C2054,'CARNET DE SOUDURE'!$P$7:$P$3006,"&lt;&gt;")&gt;0,"⚠ DIFFÉRENTE","OK"))</f>
        <v/>
      </c>
      <c r="F2054" s="147"/>
      <c r="G2054" s="80"/>
      <c r="H2054" s="83"/>
      <c r="I2054" s="148" t="str">
        <f aca="false">IF(B2054="","",IFERROR(INDEX('CARNET DE SOUDURE'!$B$7:$B$3006,MATCH(B2054,'CARNET DE SOUDURE'!$L$7:$L$3006,0)),IFERROR(INDEX('CARNET DE SOUDURE'!$B$7:$B$3006,MATCH(B2054,'CARNET DE SOUDURE'!$O$7:$O$3006,0)),"")))</f>
        <v/>
      </c>
      <c r="J2054" s="82" t="str">
        <f aca="false">IF(B2054="","",IFERROR(INDEX('CARNET DE SOUDURE'!$E$7:$E$3006,MATCH(B2054,'CARNET DE SOUDURE'!$O$7:$O$3006,0)),""))</f>
        <v/>
      </c>
      <c r="K2054" s="82" t="str">
        <f aca="false">IF(B2054="","",IFERROR(INDEX('CARNET DE SOUDURE'!$E$7:$E$3006,MATCH(B2054,'CARNET DE SOUDURE'!$L$7:$L$3006,0)),""))</f>
        <v/>
      </c>
      <c r="L2054" s="82" t="str">
        <f aca="false">IF(B2054="","",IFERROR(INDEX('CARNET DE SOUDURE'!$D$7:$D$3006,MATCH(B2054,'CARNET DE SOUDURE'!$L$7:$L$3006,0)),IFERROR(INDEX('CARNET DE SOUDURE'!$D$7:$D$3006,MATCH(B2054,'CARNET DE SOUDURE'!$O$7:$O$3006,0)),"")))</f>
        <v/>
      </c>
      <c r="M2054" s="82" t="str">
        <f aca="false">IF(B2054="","",IF(OR(J2054&lt;&gt;"",K2054&lt;&gt;""),"POSÉ EN LIGNE",IF(COUNTIF(BARDAGE!$C$1:$C$5000,B2054)&gt;0,"BARDÉ","EN STOCK")))</f>
        <v/>
      </c>
      <c r="N2054" s="80"/>
    </row>
    <row r="2055" customFormat="false" ht="15" hidden="false" customHeight="false" outlineLevel="0" collapsed="false">
      <c r="A2055" s="82" t="str">
        <f aca="false">IF(B2055="","",ROW()-6)</f>
        <v/>
      </c>
      <c r="B2055" s="145"/>
      <c r="C2055" s="146"/>
      <c r="D2055" s="146"/>
      <c r="E2055" s="82" t="str">
        <f aca="false">IF(B2055="","",IF(COUNTIFS('CARNET DE SOUDURE'!$L$7:$L$3006,B2055,'CARNET DE SOUDURE'!$M$7:$M$3006,"&lt;&gt;"&amp;C2055,'CARNET DE SOUDURE'!$M$7:$M$3006,"&lt;&gt;")+COUNTIFS('CARNET DE SOUDURE'!$O$7:$O$3006,B2055,'CARNET DE SOUDURE'!$P$7:$P$3006,"&lt;&gt;"&amp;C2055,'CARNET DE SOUDURE'!$P$7:$P$3006,"&lt;&gt;")&gt;0,"⚠ DIFFÉRENTE","OK"))</f>
        <v/>
      </c>
      <c r="F2055" s="147"/>
      <c r="G2055" s="80"/>
      <c r="H2055" s="83"/>
      <c r="I2055" s="148" t="str">
        <f aca="false">IF(B2055="","",IFERROR(INDEX('CARNET DE SOUDURE'!$B$7:$B$3006,MATCH(B2055,'CARNET DE SOUDURE'!$L$7:$L$3006,0)),IFERROR(INDEX('CARNET DE SOUDURE'!$B$7:$B$3006,MATCH(B2055,'CARNET DE SOUDURE'!$O$7:$O$3006,0)),"")))</f>
        <v/>
      </c>
      <c r="J2055" s="82" t="str">
        <f aca="false">IF(B2055="","",IFERROR(INDEX('CARNET DE SOUDURE'!$E$7:$E$3006,MATCH(B2055,'CARNET DE SOUDURE'!$O$7:$O$3006,0)),""))</f>
        <v/>
      </c>
      <c r="K2055" s="82" t="str">
        <f aca="false">IF(B2055="","",IFERROR(INDEX('CARNET DE SOUDURE'!$E$7:$E$3006,MATCH(B2055,'CARNET DE SOUDURE'!$L$7:$L$3006,0)),""))</f>
        <v/>
      </c>
      <c r="L2055" s="82" t="str">
        <f aca="false">IF(B2055="","",IFERROR(INDEX('CARNET DE SOUDURE'!$D$7:$D$3006,MATCH(B2055,'CARNET DE SOUDURE'!$L$7:$L$3006,0)),IFERROR(INDEX('CARNET DE SOUDURE'!$D$7:$D$3006,MATCH(B2055,'CARNET DE SOUDURE'!$O$7:$O$3006,0)),"")))</f>
        <v/>
      </c>
      <c r="M2055" s="82" t="str">
        <f aca="false">IF(B2055="","",IF(OR(J2055&lt;&gt;"",K2055&lt;&gt;""),"POSÉ EN LIGNE",IF(COUNTIF(BARDAGE!$C$1:$C$5000,B2055)&gt;0,"BARDÉ","EN STOCK")))</f>
        <v/>
      </c>
      <c r="N2055" s="80"/>
    </row>
    <row r="2056" customFormat="false" ht="15" hidden="false" customHeight="false" outlineLevel="0" collapsed="false">
      <c r="A2056" s="82" t="str">
        <f aca="false">IF(B2056="","",ROW()-6)</f>
        <v/>
      </c>
      <c r="B2056" s="145"/>
      <c r="C2056" s="146"/>
      <c r="D2056" s="146"/>
      <c r="E2056" s="82" t="str">
        <f aca="false">IF(B2056="","",IF(COUNTIFS('CARNET DE SOUDURE'!$L$7:$L$3006,B2056,'CARNET DE SOUDURE'!$M$7:$M$3006,"&lt;&gt;"&amp;C2056,'CARNET DE SOUDURE'!$M$7:$M$3006,"&lt;&gt;")+COUNTIFS('CARNET DE SOUDURE'!$O$7:$O$3006,B2056,'CARNET DE SOUDURE'!$P$7:$P$3006,"&lt;&gt;"&amp;C2056,'CARNET DE SOUDURE'!$P$7:$P$3006,"&lt;&gt;")&gt;0,"⚠ DIFFÉRENTE","OK"))</f>
        <v/>
      </c>
      <c r="F2056" s="147"/>
      <c r="G2056" s="80"/>
      <c r="H2056" s="83"/>
      <c r="I2056" s="148" t="str">
        <f aca="false">IF(B2056="","",IFERROR(INDEX('CARNET DE SOUDURE'!$B$7:$B$3006,MATCH(B2056,'CARNET DE SOUDURE'!$L$7:$L$3006,0)),IFERROR(INDEX('CARNET DE SOUDURE'!$B$7:$B$3006,MATCH(B2056,'CARNET DE SOUDURE'!$O$7:$O$3006,0)),"")))</f>
        <v/>
      </c>
      <c r="J2056" s="82" t="str">
        <f aca="false">IF(B2056="","",IFERROR(INDEX('CARNET DE SOUDURE'!$E$7:$E$3006,MATCH(B2056,'CARNET DE SOUDURE'!$O$7:$O$3006,0)),""))</f>
        <v/>
      </c>
      <c r="K2056" s="82" t="str">
        <f aca="false">IF(B2056="","",IFERROR(INDEX('CARNET DE SOUDURE'!$E$7:$E$3006,MATCH(B2056,'CARNET DE SOUDURE'!$L$7:$L$3006,0)),""))</f>
        <v/>
      </c>
      <c r="L2056" s="82" t="str">
        <f aca="false">IF(B2056="","",IFERROR(INDEX('CARNET DE SOUDURE'!$D$7:$D$3006,MATCH(B2056,'CARNET DE SOUDURE'!$L$7:$L$3006,0)),IFERROR(INDEX('CARNET DE SOUDURE'!$D$7:$D$3006,MATCH(B2056,'CARNET DE SOUDURE'!$O$7:$O$3006,0)),"")))</f>
        <v/>
      </c>
      <c r="M2056" s="82" t="str">
        <f aca="false">IF(B2056="","",IF(OR(J2056&lt;&gt;"",K2056&lt;&gt;""),"POSÉ EN LIGNE",IF(COUNTIF(BARDAGE!$C$1:$C$5000,B2056)&gt;0,"BARDÉ","EN STOCK")))</f>
        <v/>
      </c>
      <c r="N2056" s="80"/>
    </row>
    <row r="2057" customFormat="false" ht="15" hidden="false" customHeight="false" outlineLevel="0" collapsed="false">
      <c r="A2057" s="82" t="str">
        <f aca="false">IF(B2057="","",ROW()-6)</f>
        <v/>
      </c>
      <c r="B2057" s="145"/>
      <c r="C2057" s="146"/>
      <c r="D2057" s="146"/>
      <c r="E2057" s="82" t="str">
        <f aca="false">IF(B2057="","",IF(COUNTIFS('CARNET DE SOUDURE'!$L$7:$L$3006,B2057,'CARNET DE SOUDURE'!$M$7:$M$3006,"&lt;&gt;"&amp;C2057,'CARNET DE SOUDURE'!$M$7:$M$3006,"&lt;&gt;")+COUNTIFS('CARNET DE SOUDURE'!$O$7:$O$3006,B2057,'CARNET DE SOUDURE'!$P$7:$P$3006,"&lt;&gt;"&amp;C2057,'CARNET DE SOUDURE'!$P$7:$P$3006,"&lt;&gt;")&gt;0,"⚠ DIFFÉRENTE","OK"))</f>
        <v/>
      </c>
      <c r="F2057" s="147"/>
      <c r="G2057" s="80"/>
      <c r="H2057" s="83"/>
      <c r="I2057" s="148" t="str">
        <f aca="false">IF(B2057="","",IFERROR(INDEX('CARNET DE SOUDURE'!$B$7:$B$3006,MATCH(B2057,'CARNET DE SOUDURE'!$L$7:$L$3006,0)),IFERROR(INDEX('CARNET DE SOUDURE'!$B$7:$B$3006,MATCH(B2057,'CARNET DE SOUDURE'!$O$7:$O$3006,0)),"")))</f>
        <v/>
      </c>
      <c r="J2057" s="82" t="str">
        <f aca="false">IF(B2057="","",IFERROR(INDEX('CARNET DE SOUDURE'!$E$7:$E$3006,MATCH(B2057,'CARNET DE SOUDURE'!$O$7:$O$3006,0)),""))</f>
        <v/>
      </c>
      <c r="K2057" s="82" t="str">
        <f aca="false">IF(B2057="","",IFERROR(INDEX('CARNET DE SOUDURE'!$E$7:$E$3006,MATCH(B2057,'CARNET DE SOUDURE'!$L$7:$L$3006,0)),""))</f>
        <v/>
      </c>
      <c r="L2057" s="82" t="str">
        <f aca="false">IF(B2057="","",IFERROR(INDEX('CARNET DE SOUDURE'!$D$7:$D$3006,MATCH(B2057,'CARNET DE SOUDURE'!$L$7:$L$3006,0)),IFERROR(INDEX('CARNET DE SOUDURE'!$D$7:$D$3006,MATCH(B2057,'CARNET DE SOUDURE'!$O$7:$O$3006,0)),"")))</f>
        <v/>
      </c>
      <c r="M2057" s="82" t="str">
        <f aca="false">IF(B2057="","",IF(OR(J2057&lt;&gt;"",K2057&lt;&gt;""),"POSÉ EN LIGNE",IF(COUNTIF(BARDAGE!$C$1:$C$5000,B2057)&gt;0,"BARDÉ","EN STOCK")))</f>
        <v/>
      </c>
      <c r="N2057" s="80"/>
    </row>
    <row r="2058" customFormat="false" ht="15" hidden="false" customHeight="false" outlineLevel="0" collapsed="false">
      <c r="A2058" s="82" t="str">
        <f aca="false">IF(B2058="","",ROW()-6)</f>
        <v/>
      </c>
      <c r="B2058" s="145"/>
      <c r="C2058" s="146"/>
      <c r="D2058" s="146"/>
      <c r="E2058" s="82" t="str">
        <f aca="false">IF(B2058="","",IF(COUNTIFS('CARNET DE SOUDURE'!$L$7:$L$3006,B2058,'CARNET DE SOUDURE'!$M$7:$M$3006,"&lt;&gt;"&amp;C2058,'CARNET DE SOUDURE'!$M$7:$M$3006,"&lt;&gt;")+COUNTIFS('CARNET DE SOUDURE'!$O$7:$O$3006,B2058,'CARNET DE SOUDURE'!$P$7:$P$3006,"&lt;&gt;"&amp;C2058,'CARNET DE SOUDURE'!$P$7:$P$3006,"&lt;&gt;")&gt;0,"⚠ DIFFÉRENTE","OK"))</f>
        <v/>
      </c>
      <c r="F2058" s="147"/>
      <c r="G2058" s="80"/>
      <c r="H2058" s="83"/>
      <c r="I2058" s="148" t="str">
        <f aca="false">IF(B2058="","",IFERROR(INDEX('CARNET DE SOUDURE'!$B$7:$B$3006,MATCH(B2058,'CARNET DE SOUDURE'!$L$7:$L$3006,0)),IFERROR(INDEX('CARNET DE SOUDURE'!$B$7:$B$3006,MATCH(B2058,'CARNET DE SOUDURE'!$O$7:$O$3006,0)),"")))</f>
        <v/>
      </c>
      <c r="J2058" s="82" t="str">
        <f aca="false">IF(B2058="","",IFERROR(INDEX('CARNET DE SOUDURE'!$E$7:$E$3006,MATCH(B2058,'CARNET DE SOUDURE'!$O$7:$O$3006,0)),""))</f>
        <v/>
      </c>
      <c r="K2058" s="82" t="str">
        <f aca="false">IF(B2058="","",IFERROR(INDEX('CARNET DE SOUDURE'!$E$7:$E$3006,MATCH(B2058,'CARNET DE SOUDURE'!$L$7:$L$3006,0)),""))</f>
        <v/>
      </c>
      <c r="L2058" s="82" t="str">
        <f aca="false">IF(B2058="","",IFERROR(INDEX('CARNET DE SOUDURE'!$D$7:$D$3006,MATCH(B2058,'CARNET DE SOUDURE'!$L$7:$L$3006,0)),IFERROR(INDEX('CARNET DE SOUDURE'!$D$7:$D$3006,MATCH(B2058,'CARNET DE SOUDURE'!$O$7:$O$3006,0)),"")))</f>
        <v/>
      </c>
      <c r="M2058" s="82" t="str">
        <f aca="false">IF(B2058="","",IF(OR(J2058&lt;&gt;"",K2058&lt;&gt;""),"POSÉ EN LIGNE",IF(COUNTIF(BARDAGE!$C$1:$C$5000,B2058)&gt;0,"BARDÉ","EN STOCK")))</f>
        <v/>
      </c>
      <c r="N2058" s="80"/>
    </row>
    <row r="2059" customFormat="false" ht="15" hidden="false" customHeight="false" outlineLevel="0" collapsed="false">
      <c r="A2059" s="82" t="str">
        <f aca="false">IF(B2059="","",ROW()-6)</f>
        <v/>
      </c>
      <c r="B2059" s="145"/>
      <c r="C2059" s="146"/>
      <c r="D2059" s="146"/>
      <c r="E2059" s="82" t="str">
        <f aca="false">IF(B2059="","",IF(COUNTIFS('CARNET DE SOUDURE'!$L$7:$L$3006,B2059,'CARNET DE SOUDURE'!$M$7:$M$3006,"&lt;&gt;"&amp;C2059,'CARNET DE SOUDURE'!$M$7:$M$3006,"&lt;&gt;")+COUNTIFS('CARNET DE SOUDURE'!$O$7:$O$3006,B2059,'CARNET DE SOUDURE'!$P$7:$P$3006,"&lt;&gt;"&amp;C2059,'CARNET DE SOUDURE'!$P$7:$P$3006,"&lt;&gt;")&gt;0,"⚠ DIFFÉRENTE","OK"))</f>
        <v/>
      </c>
      <c r="F2059" s="147"/>
      <c r="G2059" s="80"/>
      <c r="H2059" s="83"/>
      <c r="I2059" s="148" t="str">
        <f aca="false">IF(B2059="","",IFERROR(INDEX('CARNET DE SOUDURE'!$B$7:$B$3006,MATCH(B2059,'CARNET DE SOUDURE'!$L$7:$L$3006,0)),IFERROR(INDEX('CARNET DE SOUDURE'!$B$7:$B$3006,MATCH(B2059,'CARNET DE SOUDURE'!$O$7:$O$3006,0)),"")))</f>
        <v/>
      </c>
      <c r="J2059" s="82" t="str">
        <f aca="false">IF(B2059="","",IFERROR(INDEX('CARNET DE SOUDURE'!$E$7:$E$3006,MATCH(B2059,'CARNET DE SOUDURE'!$O$7:$O$3006,0)),""))</f>
        <v/>
      </c>
      <c r="K2059" s="82" t="str">
        <f aca="false">IF(B2059="","",IFERROR(INDEX('CARNET DE SOUDURE'!$E$7:$E$3006,MATCH(B2059,'CARNET DE SOUDURE'!$L$7:$L$3006,0)),""))</f>
        <v/>
      </c>
      <c r="L2059" s="82" t="str">
        <f aca="false">IF(B2059="","",IFERROR(INDEX('CARNET DE SOUDURE'!$D$7:$D$3006,MATCH(B2059,'CARNET DE SOUDURE'!$L$7:$L$3006,0)),IFERROR(INDEX('CARNET DE SOUDURE'!$D$7:$D$3006,MATCH(B2059,'CARNET DE SOUDURE'!$O$7:$O$3006,0)),"")))</f>
        <v/>
      </c>
      <c r="M2059" s="82" t="str">
        <f aca="false">IF(B2059="","",IF(OR(J2059&lt;&gt;"",K2059&lt;&gt;""),"POSÉ EN LIGNE",IF(COUNTIF(BARDAGE!$C$1:$C$5000,B2059)&gt;0,"BARDÉ","EN STOCK")))</f>
        <v/>
      </c>
      <c r="N2059" s="80"/>
    </row>
    <row r="2060" customFormat="false" ht="15" hidden="false" customHeight="false" outlineLevel="0" collapsed="false">
      <c r="A2060" s="82" t="str">
        <f aca="false">IF(B2060="","",ROW()-6)</f>
        <v/>
      </c>
      <c r="B2060" s="145"/>
      <c r="C2060" s="146"/>
      <c r="D2060" s="146"/>
      <c r="E2060" s="82" t="str">
        <f aca="false">IF(B2060="","",IF(COUNTIFS('CARNET DE SOUDURE'!$L$7:$L$3006,B2060,'CARNET DE SOUDURE'!$M$7:$M$3006,"&lt;&gt;"&amp;C2060,'CARNET DE SOUDURE'!$M$7:$M$3006,"&lt;&gt;")+COUNTIFS('CARNET DE SOUDURE'!$O$7:$O$3006,B2060,'CARNET DE SOUDURE'!$P$7:$P$3006,"&lt;&gt;"&amp;C2060,'CARNET DE SOUDURE'!$P$7:$P$3006,"&lt;&gt;")&gt;0,"⚠ DIFFÉRENTE","OK"))</f>
        <v/>
      </c>
      <c r="F2060" s="147"/>
      <c r="G2060" s="80"/>
      <c r="H2060" s="83"/>
      <c r="I2060" s="148" t="str">
        <f aca="false">IF(B2060="","",IFERROR(INDEX('CARNET DE SOUDURE'!$B$7:$B$3006,MATCH(B2060,'CARNET DE SOUDURE'!$L$7:$L$3006,0)),IFERROR(INDEX('CARNET DE SOUDURE'!$B$7:$B$3006,MATCH(B2060,'CARNET DE SOUDURE'!$O$7:$O$3006,0)),"")))</f>
        <v/>
      </c>
      <c r="J2060" s="82" t="str">
        <f aca="false">IF(B2060="","",IFERROR(INDEX('CARNET DE SOUDURE'!$E$7:$E$3006,MATCH(B2060,'CARNET DE SOUDURE'!$O$7:$O$3006,0)),""))</f>
        <v/>
      </c>
      <c r="K2060" s="82" t="str">
        <f aca="false">IF(B2060="","",IFERROR(INDEX('CARNET DE SOUDURE'!$E$7:$E$3006,MATCH(B2060,'CARNET DE SOUDURE'!$L$7:$L$3006,0)),""))</f>
        <v/>
      </c>
      <c r="L2060" s="82" t="str">
        <f aca="false">IF(B2060="","",IFERROR(INDEX('CARNET DE SOUDURE'!$D$7:$D$3006,MATCH(B2060,'CARNET DE SOUDURE'!$L$7:$L$3006,0)),IFERROR(INDEX('CARNET DE SOUDURE'!$D$7:$D$3006,MATCH(B2060,'CARNET DE SOUDURE'!$O$7:$O$3006,0)),"")))</f>
        <v/>
      </c>
      <c r="M2060" s="82" t="str">
        <f aca="false">IF(B2060="","",IF(OR(J2060&lt;&gt;"",K2060&lt;&gt;""),"POSÉ EN LIGNE",IF(COUNTIF(BARDAGE!$C$1:$C$5000,B2060)&gt;0,"BARDÉ","EN STOCK")))</f>
        <v/>
      </c>
      <c r="N2060" s="80"/>
    </row>
    <row r="2061" customFormat="false" ht="15" hidden="false" customHeight="false" outlineLevel="0" collapsed="false">
      <c r="A2061" s="82" t="str">
        <f aca="false">IF(B2061="","",ROW()-6)</f>
        <v/>
      </c>
      <c r="B2061" s="145"/>
      <c r="C2061" s="146"/>
      <c r="D2061" s="146"/>
      <c r="E2061" s="82" t="str">
        <f aca="false">IF(B2061="","",IF(COUNTIFS('CARNET DE SOUDURE'!$L$7:$L$3006,B2061,'CARNET DE SOUDURE'!$M$7:$M$3006,"&lt;&gt;"&amp;C2061,'CARNET DE SOUDURE'!$M$7:$M$3006,"&lt;&gt;")+COUNTIFS('CARNET DE SOUDURE'!$O$7:$O$3006,B2061,'CARNET DE SOUDURE'!$P$7:$P$3006,"&lt;&gt;"&amp;C2061,'CARNET DE SOUDURE'!$P$7:$P$3006,"&lt;&gt;")&gt;0,"⚠ DIFFÉRENTE","OK"))</f>
        <v/>
      </c>
      <c r="F2061" s="147"/>
      <c r="G2061" s="80"/>
      <c r="H2061" s="83"/>
      <c r="I2061" s="148" t="str">
        <f aca="false">IF(B2061="","",IFERROR(INDEX('CARNET DE SOUDURE'!$B$7:$B$3006,MATCH(B2061,'CARNET DE SOUDURE'!$L$7:$L$3006,0)),IFERROR(INDEX('CARNET DE SOUDURE'!$B$7:$B$3006,MATCH(B2061,'CARNET DE SOUDURE'!$O$7:$O$3006,0)),"")))</f>
        <v/>
      </c>
      <c r="J2061" s="82" t="str">
        <f aca="false">IF(B2061="","",IFERROR(INDEX('CARNET DE SOUDURE'!$E$7:$E$3006,MATCH(B2061,'CARNET DE SOUDURE'!$O$7:$O$3006,0)),""))</f>
        <v/>
      </c>
      <c r="K2061" s="82" t="str">
        <f aca="false">IF(B2061="","",IFERROR(INDEX('CARNET DE SOUDURE'!$E$7:$E$3006,MATCH(B2061,'CARNET DE SOUDURE'!$L$7:$L$3006,0)),""))</f>
        <v/>
      </c>
      <c r="L2061" s="82" t="str">
        <f aca="false">IF(B2061="","",IFERROR(INDEX('CARNET DE SOUDURE'!$D$7:$D$3006,MATCH(B2061,'CARNET DE SOUDURE'!$L$7:$L$3006,0)),IFERROR(INDEX('CARNET DE SOUDURE'!$D$7:$D$3006,MATCH(B2061,'CARNET DE SOUDURE'!$O$7:$O$3006,0)),"")))</f>
        <v/>
      </c>
      <c r="M2061" s="82" t="str">
        <f aca="false">IF(B2061="","",IF(OR(J2061&lt;&gt;"",K2061&lt;&gt;""),"POSÉ EN LIGNE",IF(COUNTIF(BARDAGE!$C$1:$C$5000,B2061)&gt;0,"BARDÉ","EN STOCK")))</f>
        <v/>
      </c>
      <c r="N2061" s="80"/>
    </row>
    <row r="2062" customFormat="false" ht="15" hidden="false" customHeight="false" outlineLevel="0" collapsed="false">
      <c r="A2062" s="82" t="str">
        <f aca="false">IF(B2062="","",ROW()-6)</f>
        <v/>
      </c>
      <c r="B2062" s="145"/>
      <c r="C2062" s="146"/>
      <c r="D2062" s="146"/>
      <c r="E2062" s="82" t="str">
        <f aca="false">IF(B2062="","",IF(COUNTIFS('CARNET DE SOUDURE'!$L$7:$L$3006,B2062,'CARNET DE SOUDURE'!$M$7:$M$3006,"&lt;&gt;"&amp;C2062,'CARNET DE SOUDURE'!$M$7:$M$3006,"&lt;&gt;")+COUNTIFS('CARNET DE SOUDURE'!$O$7:$O$3006,B2062,'CARNET DE SOUDURE'!$P$7:$P$3006,"&lt;&gt;"&amp;C2062,'CARNET DE SOUDURE'!$P$7:$P$3006,"&lt;&gt;")&gt;0,"⚠ DIFFÉRENTE","OK"))</f>
        <v/>
      </c>
      <c r="F2062" s="147"/>
      <c r="G2062" s="80"/>
      <c r="H2062" s="83"/>
      <c r="I2062" s="148" t="str">
        <f aca="false">IF(B2062="","",IFERROR(INDEX('CARNET DE SOUDURE'!$B$7:$B$3006,MATCH(B2062,'CARNET DE SOUDURE'!$L$7:$L$3006,0)),IFERROR(INDEX('CARNET DE SOUDURE'!$B$7:$B$3006,MATCH(B2062,'CARNET DE SOUDURE'!$O$7:$O$3006,0)),"")))</f>
        <v/>
      </c>
      <c r="J2062" s="82" t="str">
        <f aca="false">IF(B2062="","",IFERROR(INDEX('CARNET DE SOUDURE'!$E$7:$E$3006,MATCH(B2062,'CARNET DE SOUDURE'!$O$7:$O$3006,0)),""))</f>
        <v/>
      </c>
      <c r="K2062" s="82" t="str">
        <f aca="false">IF(B2062="","",IFERROR(INDEX('CARNET DE SOUDURE'!$E$7:$E$3006,MATCH(B2062,'CARNET DE SOUDURE'!$L$7:$L$3006,0)),""))</f>
        <v/>
      </c>
      <c r="L2062" s="82" t="str">
        <f aca="false">IF(B2062="","",IFERROR(INDEX('CARNET DE SOUDURE'!$D$7:$D$3006,MATCH(B2062,'CARNET DE SOUDURE'!$L$7:$L$3006,0)),IFERROR(INDEX('CARNET DE SOUDURE'!$D$7:$D$3006,MATCH(B2062,'CARNET DE SOUDURE'!$O$7:$O$3006,0)),"")))</f>
        <v/>
      </c>
      <c r="M2062" s="82" t="str">
        <f aca="false">IF(B2062="","",IF(OR(J2062&lt;&gt;"",K2062&lt;&gt;""),"POSÉ EN LIGNE",IF(COUNTIF(BARDAGE!$C$1:$C$5000,B2062)&gt;0,"BARDÉ","EN STOCK")))</f>
        <v/>
      </c>
      <c r="N2062" s="80"/>
    </row>
    <row r="2063" customFormat="false" ht="15" hidden="false" customHeight="false" outlineLevel="0" collapsed="false">
      <c r="A2063" s="82" t="str">
        <f aca="false">IF(B2063="","",ROW()-6)</f>
        <v/>
      </c>
      <c r="B2063" s="145"/>
      <c r="C2063" s="146"/>
      <c r="D2063" s="146"/>
      <c r="E2063" s="82" t="str">
        <f aca="false">IF(B2063="","",IF(COUNTIFS('CARNET DE SOUDURE'!$L$7:$L$3006,B2063,'CARNET DE SOUDURE'!$M$7:$M$3006,"&lt;&gt;"&amp;C2063,'CARNET DE SOUDURE'!$M$7:$M$3006,"&lt;&gt;")+COUNTIFS('CARNET DE SOUDURE'!$O$7:$O$3006,B2063,'CARNET DE SOUDURE'!$P$7:$P$3006,"&lt;&gt;"&amp;C2063,'CARNET DE SOUDURE'!$P$7:$P$3006,"&lt;&gt;")&gt;0,"⚠ DIFFÉRENTE","OK"))</f>
        <v/>
      </c>
      <c r="F2063" s="147"/>
      <c r="G2063" s="80"/>
      <c r="H2063" s="83"/>
      <c r="I2063" s="148" t="str">
        <f aca="false">IF(B2063="","",IFERROR(INDEX('CARNET DE SOUDURE'!$B$7:$B$3006,MATCH(B2063,'CARNET DE SOUDURE'!$L$7:$L$3006,0)),IFERROR(INDEX('CARNET DE SOUDURE'!$B$7:$B$3006,MATCH(B2063,'CARNET DE SOUDURE'!$O$7:$O$3006,0)),"")))</f>
        <v/>
      </c>
      <c r="J2063" s="82" t="str">
        <f aca="false">IF(B2063="","",IFERROR(INDEX('CARNET DE SOUDURE'!$E$7:$E$3006,MATCH(B2063,'CARNET DE SOUDURE'!$O$7:$O$3006,0)),""))</f>
        <v/>
      </c>
      <c r="K2063" s="82" t="str">
        <f aca="false">IF(B2063="","",IFERROR(INDEX('CARNET DE SOUDURE'!$E$7:$E$3006,MATCH(B2063,'CARNET DE SOUDURE'!$L$7:$L$3006,0)),""))</f>
        <v/>
      </c>
      <c r="L2063" s="82" t="str">
        <f aca="false">IF(B2063="","",IFERROR(INDEX('CARNET DE SOUDURE'!$D$7:$D$3006,MATCH(B2063,'CARNET DE SOUDURE'!$L$7:$L$3006,0)),IFERROR(INDEX('CARNET DE SOUDURE'!$D$7:$D$3006,MATCH(B2063,'CARNET DE SOUDURE'!$O$7:$O$3006,0)),"")))</f>
        <v/>
      </c>
      <c r="M2063" s="82" t="str">
        <f aca="false">IF(B2063="","",IF(OR(J2063&lt;&gt;"",K2063&lt;&gt;""),"POSÉ EN LIGNE",IF(COUNTIF(BARDAGE!$C$1:$C$5000,B2063)&gt;0,"BARDÉ","EN STOCK")))</f>
        <v/>
      </c>
      <c r="N2063" s="80"/>
    </row>
    <row r="2064" customFormat="false" ht="15" hidden="false" customHeight="false" outlineLevel="0" collapsed="false">
      <c r="A2064" s="82" t="str">
        <f aca="false">IF(B2064="","",ROW()-6)</f>
        <v/>
      </c>
      <c r="B2064" s="145"/>
      <c r="C2064" s="146"/>
      <c r="D2064" s="146"/>
      <c r="E2064" s="82" t="str">
        <f aca="false">IF(B2064="","",IF(COUNTIFS('CARNET DE SOUDURE'!$L$7:$L$3006,B2064,'CARNET DE SOUDURE'!$M$7:$M$3006,"&lt;&gt;"&amp;C2064,'CARNET DE SOUDURE'!$M$7:$M$3006,"&lt;&gt;")+COUNTIFS('CARNET DE SOUDURE'!$O$7:$O$3006,B2064,'CARNET DE SOUDURE'!$P$7:$P$3006,"&lt;&gt;"&amp;C2064,'CARNET DE SOUDURE'!$P$7:$P$3006,"&lt;&gt;")&gt;0,"⚠ DIFFÉRENTE","OK"))</f>
        <v/>
      </c>
      <c r="F2064" s="147"/>
      <c r="G2064" s="80"/>
      <c r="H2064" s="83"/>
      <c r="I2064" s="148" t="str">
        <f aca="false">IF(B2064="","",IFERROR(INDEX('CARNET DE SOUDURE'!$B$7:$B$3006,MATCH(B2064,'CARNET DE SOUDURE'!$L$7:$L$3006,0)),IFERROR(INDEX('CARNET DE SOUDURE'!$B$7:$B$3006,MATCH(B2064,'CARNET DE SOUDURE'!$O$7:$O$3006,0)),"")))</f>
        <v/>
      </c>
      <c r="J2064" s="82" t="str">
        <f aca="false">IF(B2064="","",IFERROR(INDEX('CARNET DE SOUDURE'!$E$7:$E$3006,MATCH(B2064,'CARNET DE SOUDURE'!$O$7:$O$3006,0)),""))</f>
        <v/>
      </c>
      <c r="K2064" s="82" t="str">
        <f aca="false">IF(B2064="","",IFERROR(INDEX('CARNET DE SOUDURE'!$E$7:$E$3006,MATCH(B2064,'CARNET DE SOUDURE'!$L$7:$L$3006,0)),""))</f>
        <v/>
      </c>
      <c r="L2064" s="82" t="str">
        <f aca="false">IF(B2064="","",IFERROR(INDEX('CARNET DE SOUDURE'!$D$7:$D$3006,MATCH(B2064,'CARNET DE SOUDURE'!$L$7:$L$3006,0)),IFERROR(INDEX('CARNET DE SOUDURE'!$D$7:$D$3006,MATCH(B2064,'CARNET DE SOUDURE'!$O$7:$O$3006,0)),"")))</f>
        <v/>
      </c>
      <c r="M2064" s="82" t="str">
        <f aca="false">IF(B2064="","",IF(OR(J2064&lt;&gt;"",K2064&lt;&gt;""),"POSÉ EN LIGNE",IF(COUNTIF(BARDAGE!$C$1:$C$5000,B2064)&gt;0,"BARDÉ","EN STOCK")))</f>
        <v/>
      </c>
      <c r="N2064" s="80"/>
    </row>
    <row r="2065" customFormat="false" ht="15" hidden="false" customHeight="false" outlineLevel="0" collapsed="false">
      <c r="A2065" s="82" t="str">
        <f aca="false">IF(B2065="","",ROW()-6)</f>
        <v/>
      </c>
      <c r="B2065" s="145"/>
      <c r="C2065" s="146"/>
      <c r="D2065" s="146"/>
      <c r="E2065" s="82" t="str">
        <f aca="false">IF(B2065="","",IF(COUNTIFS('CARNET DE SOUDURE'!$L$7:$L$3006,B2065,'CARNET DE SOUDURE'!$M$7:$M$3006,"&lt;&gt;"&amp;C2065,'CARNET DE SOUDURE'!$M$7:$M$3006,"&lt;&gt;")+COUNTIFS('CARNET DE SOUDURE'!$O$7:$O$3006,B2065,'CARNET DE SOUDURE'!$P$7:$P$3006,"&lt;&gt;"&amp;C2065,'CARNET DE SOUDURE'!$P$7:$P$3006,"&lt;&gt;")&gt;0,"⚠ DIFFÉRENTE","OK"))</f>
        <v/>
      </c>
      <c r="F2065" s="147"/>
      <c r="G2065" s="80"/>
      <c r="H2065" s="83"/>
      <c r="I2065" s="148" t="str">
        <f aca="false">IF(B2065="","",IFERROR(INDEX('CARNET DE SOUDURE'!$B$7:$B$3006,MATCH(B2065,'CARNET DE SOUDURE'!$L$7:$L$3006,0)),IFERROR(INDEX('CARNET DE SOUDURE'!$B$7:$B$3006,MATCH(B2065,'CARNET DE SOUDURE'!$O$7:$O$3006,0)),"")))</f>
        <v/>
      </c>
      <c r="J2065" s="82" t="str">
        <f aca="false">IF(B2065="","",IFERROR(INDEX('CARNET DE SOUDURE'!$E$7:$E$3006,MATCH(B2065,'CARNET DE SOUDURE'!$O$7:$O$3006,0)),""))</f>
        <v/>
      </c>
      <c r="K2065" s="82" t="str">
        <f aca="false">IF(B2065="","",IFERROR(INDEX('CARNET DE SOUDURE'!$E$7:$E$3006,MATCH(B2065,'CARNET DE SOUDURE'!$L$7:$L$3006,0)),""))</f>
        <v/>
      </c>
      <c r="L2065" s="82" t="str">
        <f aca="false">IF(B2065="","",IFERROR(INDEX('CARNET DE SOUDURE'!$D$7:$D$3006,MATCH(B2065,'CARNET DE SOUDURE'!$L$7:$L$3006,0)),IFERROR(INDEX('CARNET DE SOUDURE'!$D$7:$D$3006,MATCH(B2065,'CARNET DE SOUDURE'!$O$7:$O$3006,0)),"")))</f>
        <v/>
      </c>
      <c r="M2065" s="82" t="str">
        <f aca="false">IF(B2065="","",IF(OR(J2065&lt;&gt;"",K2065&lt;&gt;""),"POSÉ EN LIGNE",IF(COUNTIF(BARDAGE!$C$1:$C$5000,B2065)&gt;0,"BARDÉ","EN STOCK")))</f>
        <v/>
      </c>
      <c r="N2065" s="80"/>
    </row>
    <row r="2066" customFormat="false" ht="15" hidden="false" customHeight="false" outlineLevel="0" collapsed="false">
      <c r="A2066" s="82" t="str">
        <f aca="false">IF(B2066="","",ROW()-6)</f>
        <v/>
      </c>
      <c r="B2066" s="145"/>
      <c r="C2066" s="146"/>
      <c r="D2066" s="146"/>
      <c r="E2066" s="82" t="str">
        <f aca="false">IF(B2066="","",IF(COUNTIFS('CARNET DE SOUDURE'!$L$7:$L$3006,B2066,'CARNET DE SOUDURE'!$M$7:$M$3006,"&lt;&gt;"&amp;C2066,'CARNET DE SOUDURE'!$M$7:$M$3006,"&lt;&gt;")+COUNTIFS('CARNET DE SOUDURE'!$O$7:$O$3006,B2066,'CARNET DE SOUDURE'!$P$7:$P$3006,"&lt;&gt;"&amp;C2066,'CARNET DE SOUDURE'!$P$7:$P$3006,"&lt;&gt;")&gt;0,"⚠ DIFFÉRENTE","OK"))</f>
        <v/>
      </c>
      <c r="F2066" s="147"/>
      <c r="G2066" s="80"/>
      <c r="H2066" s="83"/>
      <c r="I2066" s="148" t="str">
        <f aca="false">IF(B2066="","",IFERROR(INDEX('CARNET DE SOUDURE'!$B$7:$B$3006,MATCH(B2066,'CARNET DE SOUDURE'!$L$7:$L$3006,0)),IFERROR(INDEX('CARNET DE SOUDURE'!$B$7:$B$3006,MATCH(B2066,'CARNET DE SOUDURE'!$O$7:$O$3006,0)),"")))</f>
        <v/>
      </c>
      <c r="J2066" s="82" t="str">
        <f aca="false">IF(B2066="","",IFERROR(INDEX('CARNET DE SOUDURE'!$E$7:$E$3006,MATCH(B2066,'CARNET DE SOUDURE'!$O$7:$O$3006,0)),""))</f>
        <v/>
      </c>
      <c r="K2066" s="82" t="str">
        <f aca="false">IF(B2066="","",IFERROR(INDEX('CARNET DE SOUDURE'!$E$7:$E$3006,MATCH(B2066,'CARNET DE SOUDURE'!$L$7:$L$3006,0)),""))</f>
        <v/>
      </c>
      <c r="L2066" s="82" t="str">
        <f aca="false">IF(B2066="","",IFERROR(INDEX('CARNET DE SOUDURE'!$D$7:$D$3006,MATCH(B2066,'CARNET DE SOUDURE'!$L$7:$L$3006,0)),IFERROR(INDEX('CARNET DE SOUDURE'!$D$7:$D$3006,MATCH(B2066,'CARNET DE SOUDURE'!$O$7:$O$3006,0)),"")))</f>
        <v/>
      </c>
      <c r="M2066" s="82" t="str">
        <f aca="false">IF(B2066="","",IF(OR(J2066&lt;&gt;"",K2066&lt;&gt;""),"POSÉ EN LIGNE",IF(COUNTIF(BARDAGE!$C$1:$C$5000,B2066)&gt;0,"BARDÉ","EN STOCK")))</f>
        <v/>
      </c>
      <c r="N2066" s="80"/>
    </row>
    <row r="2067" customFormat="false" ht="15" hidden="false" customHeight="false" outlineLevel="0" collapsed="false">
      <c r="A2067" s="82" t="str">
        <f aca="false">IF(B2067="","",ROW()-6)</f>
        <v/>
      </c>
      <c r="B2067" s="145"/>
      <c r="C2067" s="146"/>
      <c r="D2067" s="146"/>
      <c r="E2067" s="82" t="str">
        <f aca="false">IF(B2067="","",IF(COUNTIFS('CARNET DE SOUDURE'!$L$7:$L$3006,B2067,'CARNET DE SOUDURE'!$M$7:$M$3006,"&lt;&gt;"&amp;C2067,'CARNET DE SOUDURE'!$M$7:$M$3006,"&lt;&gt;")+COUNTIFS('CARNET DE SOUDURE'!$O$7:$O$3006,B2067,'CARNET DE SOUDURE'!$P$7:$P$3006,"&lt;&gt;"&amp;C2067,'CARNET DE SOUDURE'!$P$7:$P$3006,"&lt;&gt;")&gt;0,"⚠ DIFFÉRENTE","OK"))</f>
        <v/>
      </c>
      <c r="F2067" s="147"/>
      <c r="G2067" s="80"/>
      <c r="H2067" s="83"/>
      <c r="I2067" s="148" t="str">
        <f aca="false">IF(B2067="","",IFERROR(INDEX('CARNET DE SOUDURE'!$B$7:$B$3006,MATCH(B2067,'CARNET DE SOUDURE'!$L$7:$L$3006,0)),IFERROR(INDEX('CARNET DE SOUDURE'!$B$7:$B$3006,MATCH(B2067,'CARNET DE SOUDURE'!$O$7:$O$3006,0)),"")))</f>
        <v/>
      </c>
      <c r="J2067" s="82" t="str">
        <f aca="false">IF(B2067="","",IFERROR(INDEX('CARNET DE SOUDURE'!$E$7:$E$3006,MATCH(B2067,'CARNET DE SOUDURE'!$O$7:$O$3006,0)),""))</f>
        <v/>
      </c>
      <c r="K2067" s="82" t="str">
        <f aca="false">IF(B2067="","",IFERROR(INDEX('CARNET DE SOUDURE'!$E$7:$E$3006,MATCH(B2067,'CARNET DE SOUDURE'!$L$7:$L$3006,0)),""))</f>
        <v/>
      </c>
      <c r="L2067" s="82" t="str">
        <f aca="false">IF(B2067="","",IFERROR(INDEX('CARNET DE SOUDURE'!$D$7:$D$3006,MATCH(B2067,'CARNET DE SOUDURE'!$L$7:$L$3006,0)),IFERROR(INDEX('CARNET DE SOUDURE'!$D$7:$D$3006,MATCH(B2067,'CARNET DE SOUDURE'!$O$7:$O$3006,0)),"")))</f>
        <v/>
      </c>
      <c r="M2067" s="82" t="str">
        <f aca="false">IF(B2067="","",IF(OR(J2067&lt;&gt;"",K2067&lt;&gt;""),"POSÉ EN LIGNE",IF(COUNTIF(BARDAGE!$C$1:$C$5000,B2067)&gt;0,"BARDÉ","EN STOCK")))</f>
        <v/>
      </c>
      <c r="N2067" s="80"/>
    </row>
    <row r="2068" customFormat="false" ht="15" hidden="false" customHeight="false" outlineLevel="0" collapsed="false">
      <c r="A2068" s="82" t="str">
        <f aca="false">IF(B2068="","",ROW()-6)</f>
        <v/>
      </c>
      <c r="B2068" s="145"/>
      <c r="C2068" s="146"/>
      <c r="D2068" s="146"/>
      <c r="E2068" s="82" t="str">
        <f aca="false">IF(B2068="","",IF(COUNTIFS('CARNET DE SOUDURE'!$L$7:$L$3006,B2068,'CARNET DE SOUDURE'!$M$7:$M$3006,"&lt;&gt;"&amp;C2068,'CARNET DE SOUDURE'!$M$7:$M$3006,"&lt;&gt;")+COUNTIFS('CARNET DE SOUDURE'!$O$7:$O$3006,B2068,'CARNET DE SOUDURE'!$P$7:$P$3006,"&lt;&gt;"&amp;C2068,'CARNET DE SOUDURE'!$P$7:$P$3006,"&lt;&gt;")&gt;0,"⚠ DIFFÉRENTE","OK"))</f>
        <v/>
      </c>
      <c r="F2068" s="147"/>
      <c r="G2068" s="80"/>
      <c r="H2068" s="83"/>
      <c r="I2068" s="148" t="str">
        <f aca="false">IF(B2068="","",IFERROR(INDEX('CARNET DE SOUDURE'!$B$7:$B$3006,MATCH(B2068,'CARNET DE SOUDURE'!$L$7:$L$3006,0)),IFERROR(INDEX('CARNET DE SOUDURE'!$B$7:$B$3006,MATCH(B2068,'CARNET DE SOUDURE'!$O$7:$O$3006,0)),"")))</f>
        <v/>
      </c>
      <c r="J2068" s="82" t="str">
        <f aca="false">IF(B2068="","",IFERROR(INDEX('CARNET DE SOUDURE'!$E$7:$E$3006,MATCH(B2068,'CARNET DE SOUDURE'!$O$7:$O$3006,0)),""))</f>
        <v/>
      </c>
      <c r="K2068" s="82" t="str">
        <f aca="false">IF(B2068="","",IFERROR(INDEX('CARNET DE SOUDURE'!$E$7:$E$3006,MATCH(B2068,'CARNET DE SOUDURE'!$L$7:$L$3006,0)),""))</f>
        <v/>
      </c>
      <c r="L2068" s="82" t="str">
        <f aca="false">IF(B2068="","",IFERROR(INDEX('CARNET DE SOUDURE'!$D$7:$D$3006,MATCH(B2068,'CARNET DE SOUDURE'!$L$7:$L$3006,0)),IFERROR(INDEX('CARNET DE SOUDURE'!$D$7:$D$3006,MATCH(B2068,'CARNET DE SOUDURE'!$O$7:$O$3006,0)),"")))</f>
        <v/>
      </c>
      <c r="M2068" s="82" t="str">
        <f aca="false">IF(B2068="","",IF(OR(J2068&lt;&gt;"",K2068&lt;&gt;""),"POSÉ EN LIGNE",IF(COUNTIF(BARDAGE!$C$1:$C$5000,B2068)&gt;0,"BARDÉ","EN STOCK")))</f>
        <v/>
      </c>
      <c r="N2068" s="80"/>
    </row>
    <row r="2069" customFormat="false" ht="15" hidden="false" customHeight="false" outlineLevel="0" collapsed="false">
      <c r="A2069" s="82" t="str">
        <f aca="false">IF(B2069="","",ROW()-6)</f>
        <v/>
      </c>
      <c r="B2069" s="145"/>
      <c r="C2069" s="146"/>
      <c r="D2069" s="146"/>
      <c r="E2069" s="82" t="str">
        <f aca="false">IF(B2069="","",IF(COUNTIFS('CARNET DE SOUDURE'!$L$7:$L$3006,B2069,'CARNET DE SOUDURE'!$M$7:$M$3006,"&lt;&gt;"&amp;C2069,'CARNET DE SOUDURE'!$M$7:$M$3006,"&lt;&gt;")+COUNTIFS('CARNET DE SOUDURE'!$O$7:$O$3006,B2069,'CARNET DE SOUDURE'!$P$7:$P$3006,"&lt;&gt;"&amp;C2069,'CARNET DE SOUDURE'!$P$7:$P$3006,"&lt;&gt;")&gt;0,"⚠ DIFFÉRENTE","OK"))</f>
        <v/>
      </c>
      <c r="F2069" s="147"/>
      <c r="G2069" s="80"/>
      <c r="H2069" s="83"/>
      <c r="I2069" s="148" t="str">
        <f aca="false">IF(B2069="","",IFERROR(INDEX('CARNET DE SOUDURE'!$B$7:$B$3006,MATCH(B2069,'CARNET DE SOUDURE'!$L$7:$L$3006,0)),IFERROR(INDEX('CARNET DE SOUDURE'!$B$7:$B$3006,MATCH(B2069,'CARNET DE SOUDURE'!$O$7:$O$3006,0)),"")))</f>
        <v/>
      </c>
      <c r="J2069" s="82" t="str">
        <f aca="false">IF(B2069="","",IFERROR(INDEX('CARNET DE SOUDURE'!$E$7:$E$3006,MATCH(B2069,'CARNET DE SOUDURE'!$O$7:$O$3006,0)),""))</f>
        <v/>
      </c>
      <c r="K2069" s="82" t="str">
        <f aca="false">IF(B2069="","",IFERROR(INDEX('CARNET DE SOUDURE'!$E$7:$E$3006,MATCH(B2069,'CARNET DE SOUDURE'!$L$7:$L$3006,0)),""))</f>
        <v/>
      </c>
      <c r="L2069" s="82" t="str">
        <f aca="false">IF(B2069="","",IFERROR(INDEX('CARNET DE SOUDURE'!$D$7:$D$3006,MATCH(B2069,'CARNET DE SOUDURE'!$L$7:$L$3006,0)),IFERROR(INDEX('CARNET DE SOUDURE'!$D$7:$D$3006,MATCH(B2069,'CARNET DE SOUDURE'!$O$7:$O$3006,0)),"")))</f>
        <v/>
      </c>
      <c r="M2069" s="82" t="str">
        <f aca="false">IF(B2069="","",IF(OR(J2069&lt;&gt;"",K2069&lt;&gt;""),"POSÉ EN LIGNE",IF(COUNTIF(BARDAGE!$C$1:$C$5000,B2069)&gt;0,"BARDÉ","EN STOCK")))</f>
        <v/>
      </c>
      <c r="N2069" s="80"/>
    </row>
    <row r="2070" customFormat="false" ht="15" hidden="false" customHeight="false" outlineLevel="0" collapsed="false">
      <c r="A2070" s="82" t="str">
        <f aca="false">IF(B2070="","",ROW()-6)</f>
        <v/>
      </c>
      <c r="B2070" s="145"/>
      <c r="C2070" s="146"/>
      <c r="D2070" s="146"/>
      <c r="E2070" s="82" t="str">
        <f aca="false">IF(B2070="","",IF(COUNTIFS('CARNET DE SOUDURE'!$L$7:$L$3006,B2070,'CARNET DE SOUDURE'!$M$7:$M$3006,"&lt;&gt;"&amp;C2070,'CARNET DE SOUDURE'!$M$7:$M$3006,"&lt;&gt;")+COUNTIFS('CARNET DE SOUDURE'!$O$7:$O$3006,B2070,'CARNET DE SOUDURE'!$P$7:$P$3006,"&lt;&gt;"&amp;C2070,'CARNET DE SOUDURE'!$P$7:$P$3006,"&lt;&gt;")&gt;0,"⚠ DIFFÉRENTE","OK"))</f>
        <v/>
      </c>
      <c r="F2070" s="147"/>
      <c r="G2070" s="80"/>
      <c r="H2070" s="83"/>
      <c r="I2070" s="148" t="str">
        <f aca="false">IF(B2070="","",IFERROR(INDEX('CARNET DE SOUDURE'!$B$7:$B$3006,MATCH(B2070,'CARNET DE SOUDURE'!$L$7:$L$3006,0)),IFERROR(INDEX('CARNET DE SOUDURE'!$B$7:$B$3006,MATCH(B2070,'CARNET DE SOUDURE'!$O$7:$O$3006,0)),"")))</f>
        <v/>
      </c>
      <c r="J2070" s="82" t="str">
        <f aca="false">IF(B2070="","",IFERROR(INDEX('CARNET DE SOUDURE'!$E$7:$E$3006,MATCH(B2070,'CARNET DE SOUDURE'!$O$7:$O$3006,0)),""))</f>
        <v/>
      </c>
      <c r="K2070" s="82" t="str">
        <f aca="false">IF(B2070="","",IFERROR(INDEX('CARNET DE SOUDURE'!$E$7:$E$3006,MATCH(B2070,'CARNET DE SOUDURE'!$L$7:$L$3006,0)),""))</f>
        <v/>
      </c>
      <c r="L2070" s="82" t="str">
        <f aca="false">IF(B2070="","",IFERROR(INDEX('CARNET DE SOUDURE'!$D$7:$D$3006,MATCH(B2070,'CARNET DE SOUDURE'!$L$7:$L$3006,0)),IFERROR(INDEX('CARNET DE SOUDURE'!$D$7:$D$3006,MATCH(B2070,'CARNET DE SOUDURE'!$O$7:$O$3006,0)),"")))</f>
        <v/>
      </c>
      <c r="M2070" s="82" t="str">
        <f aca="false">IF(B2070="","",IF(OR(J2070&lt;&gt;"",K2070&lt;&gt;""),"POSÉ EN LIGNE",IF(COUNTIF(BARDAGE!$C$1:$C$5000,B2070)&gt;0,"BARDÉ","EN STOCK")))</f>
        <v/>
      </c>
      <c r="N2070" s="80"/>
    </row>
    <row r="2071" customFormat="false" ht="15" hidden="false" customHeight="false" outlineLevel="0" collapsed="false">
      <c r="A2071" s="82" t="str">
        <f aca="false">IF(B2071="","",ROW()-6)</f>
        <v/>
      </c>
      <c r="B2071" s="145"/>
      <c r="C2071" s="146"/>
      <c r="D2071" s="146"/>
      <c r="E2071" s="82" t="str">
        <f aca="false">IF(B2071="","",IF(COUNTIFS('CARNET DE SOUDURE'!$L$7:$L$3006,B2071,'CARNET DE SOUDURE'!$M$7:$M$3006,"&lt;&gt;"&amp;C2071,'CARNET DE SOUDURE'!$M$7:$M$3006,"&lt;&gt;")+COUNTIFS('CARNET DE SOUDURE'!$O$7:$O$3006,B2071,'CARNET DE SOUDURE'!$P$7:$P$3006,"&lt;&gt;"&amp;C2071,'CARNET DE SOUDURE'!$P$7:$P$3006,"&lt;&gt;")&gt;0,"⚠ DIFFÉRENTE","OK"))</f>
        <v/>
      </c>
      <c r="F2071" s="147"/>
      <c r="G2071" s="80"/>
      <c r="H2071" s="83"/>
      <c r="I2071" s="148" t="str">
        <f aca="false">IF(B2071="","",IFERROR(INDEX('CARNET DE SOUDURE'!$B$7:$B$3006,MATCH(B2071,'CARNET DE SOUDURE'!$L$7:$L$3006,0)),IFERROR(INDEX('CARNET DE SOUDURE'!$B$7:$B$3006,MATCH(B2071,'CARNET DE SOUDURE'!$O$7:$O$3006,0)),"")))</f>
        <v/>
      </c>
      <c r="J2071" s="82" t="str">
        <f aca="false">IF(B2071="","",IFERROR(INDEX('CARNET DE SOUDURE'!$E$7:$E$3006,MATCH(B2071,'CARNET DE SOUDURE'!$O$7:$O$3006,0)),""))</f>
        <v/>
      </c>
      <c r="K2071" s="82" t="str">
        <f aca="false">IF(B2071="","",IFERROR(INDEX('CARNET DE SOUDURE'!$E$7:$E$3006,MATCH(B2071,'CARNET DE SOUDURE'!$L$7:$L$3006,0)),""))</f>
        <v/>
      </c>
      <c r="L2071" s="82" t="str">
        <f aca="false">IF(B2071="","",IFERROR(INDEX('CARNET DE SOUDURE'!$D$7:$D$3006,MATCH(B2071,'CARNET DE SOUDURE'!$L$7:$L$3006,0)),IFERROR(INDEX('CARNET DE SOUDURE'!$D$7:$D$3006,MATCH(B2071,'CARNET DE SOUDURE'!$O$7:$O$3006,0)),"")))</f>
        <v/>
      </c>
      <c r="M2071" s="82" t="str">
        <f aca="false">IF(B2071="","",IF(OR(J2071&lt;&gt;"",K2071&lt;&gt;""),"POSÉ EN LIGNE",IF(COUNTIF(BARDAGE!$C$1:$C$5000,B2071)&gt;0,"BARDÉ","EN STOCK")))</f>
        <v/>
      </c>
      <c r="N2071" s="80"/>
    </row>
    <row r="2072" customFormat="false" ht="15" hidden="false" customHeight="false" outlineLevel="0" collapsed="false">
      <c r="A2072" s="82" t="str">
        <f aca="false">IF(B2072="","",ROW()-6)</f>
        <v/>
      </c>
      <c r="B2072" s="145"/>
      <c r="C2072" s="146"/>
      <c r="D2072" s="146"/>
      <c r="E2072" s="82" t="str">
        <f aca="false">IF(B2072="","",IF(COUNTIFS('CARNET DE SOUDURE'!$L$7:$L$3006,B2072,'CARNET DE SOUDURE'!$M$7:$M$3006,"&lt;&gt;"&amp;C2072,'CARNET DE SOUDURE'!$M$7:$M$3006,"&lt;&gt;")+COUNTIFS('CARNET DE SOUDURE'!$O$7:$O$3006,B2072,'CARNET DE SOUDURE'!$P$7:$P$3006,"&lt;&gt;"&amp;C2072,'CARNET DE SOUDURE'!$P$7:$P$3006,"&lt;&gt;")&gt;0,"⚠ DIFFÉRENTE","OK"))</f>
        <v/>
      </c>
      <c r="F2072" s="147"/>
      <c r="G2072" s="80"/>
      <c r="H2072" s="83"/>
      <c r="I2072" s="148" t="str">
        <f aca="false">IF(B2072="","",IFERROR(INDEX('CARNET DE SOUDURE'!$B$7:$B$3006,MATCH(B2072,'CARNET DE SOUDURE'!$L$7:$L$3006,0)),IFERROR(INDEX('CARNET DE SOUDURE'!$B$7:$B$3006,MATCH(B2072,'CARNET DE SOUDURE'!$O$7:$O$3006,0)),"")))</f>
        <v/>
      </c>
      <c r="J2072" s="82" t="str">
        <f aca="false">IF(B2072="","",IFERROR(INDEX('CARNET DE SOUDURE'!$E$7:$E$3006,MATCH(B2072,'CARNET DE SOUDURE'!$O$7:$O$3006,0)),""))</f>
        <v/>
      </c>
      <c r="K2072" s="82" t="str">
        <f aca="false">IF(B2072="","",IFERROR(INDEX('CARNET DE SOUDURE'!$E$7:$E$3006,MATCH(B2072,'CARNET DE SOUDURE'!$L$7:$L$3006,0)),""))</f>
        <v/>
      </c>
      <c r="L2072" s="82" t="str">
        <f aca="false">IF(B2072="","",IFERROR(INDEX('CARNET DE SOUDURE'!$D$7:$D$3006,MATCH(B2072,'CARNET DE SOUDURE'!$L$7:$L$3006,0)),IFERROR(INDEX('CARNET DE SOUDURE'!$D$7:$D$3006,MATCH(B2072,'CARNET DE SOUDURE'!$O$7:$O$3006,0)),"")))</f>
        <v/>
      </c>
      <c r="M2072" s="82" t="str">
        <f aca="false">IF(B2072="","",IF(OR(J2072&lt;&gt;"",K2072&lt;&gt;""),"POSÉ EN LIGNE",IF(COUNTIF(BARDAGE!$C$1:$C$5000,B2072)&gt;0,"BARDÉ","EN STOCK")))</f>
        <v/>
      </c>
      <c r="N2072" s="80"/>
    </row>
    <row r="2073" customFormat="false" ht="15" hidden="false" customHeight="false" outlineLevel="0" collapsed="false">
      <c r="A2073" s="82" t="str">
        <f aca="false">IF(B2073="","",ROW()-6)</f>
        <v/>
      </c>
      <c r="B2073" s="145"/>
      <c r="C2073" s="146"/>
      <c r="D2073" s="146"/>
      <c r="E2073" s="82" t="str">
        <f aca="false">IF(B2073="","",IF(COUNTIFS('CARNET DE SOUDURE'!$L$7:$L$3006,B2073,'CARNET DE SOUDURE'!$M$7:$M$3006,"&lt;&gt;"&amp;C2073,'CARNET DE SOUDURE'!$M$7:$M$3006,"&lt;&gt;")+COUNTIFS('CARNET DE SOUDURE'!$O$7:$O$3006,B2073,'CARNET DE SOUDURE'!$P$7:$P$3006,"&lt;&gt;"&amp;C2073,'CARNET DE SOUDURE'!$P$7:$P$3006,"&lt;&gt;")&gt;0,"⚠ DIFFÉRENTE","OK"))</f>
        <v/>
      </c>
      <c r="F2073" s="147"/>
      <c r="G2073" s="80"/>
      <c r="H2073" s="83"/>
      <c r="I2073" s="148" t="str">
        <f aca="false">IF(B2073="","",IFERROR(INDEX('CARNET DE SOUDURE'!$B$7:$B$3006,MATCH(B2073,'CARNET DE SOUDURE'!$L$7:$L$3006,0)),IFERROR(INDEX('CARNET DE SOUDURE'!$B$7:$B$3006,MATCH(B2073,'CARNET DE SOUDURE'!$O$7:$O$3006,0)),"")))</f>
        <v/>
      </c>
      <c r="J2073" s="82" t="str">
        <f aca="false">IF(B2073="","",IFERROR(INDEX('CARNET DE SOUDURE'!$E$7:$E$3006,MATCH(B2073,'CARNET DE SOUDURE'!$O$7:$O$3006,0)),""))</f>
        <v/>
      </c>
      <c r="K2073" s="82" t="str">
        <f aca="false">IF(B2073="","",IFERROR(INDEX('CARNET DE SOUDURE'!$E$7:$E$3006,MATCH(B2073,'CARNET DE SOUDURE'!$L$7:$L$3006,0)),""))</f>
        <v/>
      </c>
      <c r="L2073" s="82" t="str">
        <f aca="false">IF(B2073="","",IFERROR(INDEX('CARNET DE SOUDURE'!$D$7:$D$3006,MATCH(B2073,'CARNET DE SOUDURE'!$L$7:$L$3006,0)),IFERROR(INDEX('CARNET DE SOUDURE'!$D$7:$D$3006,MATCH(B2073,'CARNET DE SOUDURE'!$O$7:$O$3006,0)),"")))</f>
        <v/>
      </c>
      <c r="M2073" s="82" t="str">
        <f aca="false">IF(B2073="","",IF(OR(J2073&lt;&gt;"",K2073&lt;&gt;""),"POSÉ EN LIGNE",IF(COUNTIF(BARDAGE!$C$1:$C$5000,B2073)&gt;0,"BARDÉ","EN STOCK")))</f>
        <v/>
      </c>
      <c r="N2073" s="80"/>
    </row>
    <row r="2074" customFormat="false" ht="15" hidden="false" customHeight="false" outlineLevel="0" collapsed="false">
      <c r="A2074" s="82" t="str">
        <f aca="false">IF(B2074="","",ROW()-6)</f>
        <v/>
      </c>
      <c r="B2074" s="145"/>
      <c r="C2074" s="146"/>
      <c r="D2074" s="146"/>
      <c r="E2074" s="82" t="str">
        <f aca="false">IF(B2074="","",IF(COUNTIFS('CARNET DE SOUDURE'!$L$7:$L$3006,B2074,'CARNET DE SOUDURE'!$M$7:$M$3006,"&lt;&gt;"&amp;C2074,'CARNET DE SOUDURE'!$M$7:$M$3006,"&lt;&gt;")+COUNTIFS('CARNET DE SOUDURE'!$O$7:$O$3006,B2074,'CARNET DE SOUDURE'!$P$7:$P$3006,"&lt;&gt;"&amp;C2074,'CARNET DE SOUDURE'!$P$7:$P$3006,"&lt;&gt;")&gt;0,"⚠ DIFFÉRENTE","OK"))</f>
        <v/>
      </c>
      <c r="F2074" s="147"/>
      <c r="G2074" s="80"/>
      <c r="H2074" s="83"/>
      <c r="I2074" s="148" t="str">
        <f aca="false">IF(B2074="","",IFERROR(INDEX('CARNET DE SOUDURE'!$B$7:$B$3006,MATCH(B2074,'CARNET DE SOUDURE'!$L$7:$L$3006,0)),IFERROR(INDEX('CARNET DE SOUDURE'!$B$7:$B$3006,MATCH(B2074,'CARNET DE SOUDURE'!$O$7:$O$3006,0)),"")))</f>
        <v/>
      </c>
      <c r="J2074" s="82" t="str">
        <f aca="false">IF(B2074="","",IFERROR(INDEX('CARNET DE SOUDURE'!$E$7:$E$3006,MATCH(B2074,'CARNET DE SOUDURE'!$O$7:$O$3006,0)),""))</f>
        <v/>
      </c>
      <c r="K2074" s="82" t="str">
        <f aca="false">IF(B2074="","",IFERROR(INDEX('CARNET DE SOUDURE'!$E$7:$E$3006,MATCH(B2074,'CARNET DE SOUDURE'!$L$7:$L$3006,0)),""))</f>
        <v/>
      </c>
      <c r="L2074" s="82" t="str">
        <f aca="false">IF(B2074="","",IFERROR(INDEX('CARNET DE SOUDURE'!$D$7:$D$3006,MATCH(B2074,'CARNET DE SOUDURE'!$L$7:$L$3006,0)),IFERROR(INDEX('CARNET DE SOUDURE'!$D$7:$D$3006,MATCH(B2074,'CARNET DE SOUDURE'!$O$7:$O$3006,0)),"")))</f>
        <v/>
      </c>
      <c r="M2074" s="82" t="str">
        <f aca="false">IF(B2074="","",IF(OR(J2074&lt;&gt;"",K2074&lt;&gt;""),"POSÉ EN LIGNE",IF(COUNTIF(BARDAGE!$C$1:$C$5000,B2074)&gt;0,"BARDÉ","EN STOCK")))</f>
        <v/>
      </c>
      <c r="N2074" s="80"/>
    </row>
    <row r="2075" customFormat="false" ht="15" hidden="false" customHeight="false" outlineLevel="0" collapsed="false">
      <c r="A2075" s="82" t="str">
        <f aca="false">IF(B2075="","",ROW()-6)</f>
        <v/>
      </c>
      <c r="B2075" s="145"/>
      <c r="C2075" s="146"/>
      <c r="D2075" s="146"/>
      <c r="E2075" s="82" t="str">
        <f aca="false">IF(B2075="","",IF(COUNTIFS('CARNET DE SOUDURE'!$L$7:$L$3006,B2075,'CARNET DE SOUDURE'!$M$7:$M$3006,"&lt;&gt;"&amp;C2075,'CARNET DE SOUDURE'!$M$7:$M$3006,"&lt;&gt;")+COUNTIFS('CARNET DE SOUDURE'!$O$7:$O$3006,B2075,'CARNET DE SOUDURE'!$P$7:$P$3006,"&lt;&gt;"&amp;C2075,'CARNET DE SOUDURE'!$P$7:$P$3006,"&lt;&gt;")&gt;0,"⚠ DIFFÉRENTE","OK"))</f>
        <v/>
      </c>
      <c r="F2075" s="147"/>
      <c r="G2075" s="80"/>
      <c r="H2075" s="83"/>
      <c r="I2075" s="148" t="str">
        <f aca="false">IF(B2075="","",IFERROR(INDEX('CARNET DE SOUDURE'!$B$7:$B$3006,MATCH(B2075,'CARNET DE SOUDURE'!$L$7:$L$3006,0)),IFERROR(INDEX('CARNET DE SOUDURE'!$B$7:$B$3006,MATCH(B2075,'CARNET DE SOUDURE'!$O$7:$O$3006,0)),"")))</f>
        <v/>
      </c>
      <c r="J2075" s="82" t="str">
        <f aca="false">IF(B2075="","",IFERROR(INDEX('CARNET DE SOUDURE'!$E$7:$E$3006,MATCH(B2075,'CARNET DE SOUDURE'!$O$7:$O$3006,0)),""))</f>
        <v/>
      </c>
      <c r="K2075" s="82" t="str">
        <f aca="false">IF(B2075="","",IFERROR(INDEX('CARNET DE SOUDURE'!$E$7:$E$3006,MATCH(B2075,'CARNET DE SOUDURE'!$L$7:$L$3006,0)),""))</f>
        <v/>
      </c>
      <c r="L2075" s="82" t="str">
        <f aca="false">IF(B2075="","",IFERROR(INDEX('CARNET DE SOUDURE'!$D$7:$D$3006,MATCH(B2075,'CARNET DE SOUDURE'!$L$7:$L$3006,0)),IFERROR(INDEX('CARNET DE SOUDURE'!$D$7:$D$3006,MATCH(B2075,'CARNET DE SOUDURE'!$O$7:$O$3006,0)),"")))</f>
        <v/>
      </c>
      <c r="M2075" s="82" t="str">
        <f aca="false">IF(B2075="","",IF(OR(J2075&lt;&gt;"",K2075&lt;&gt;""),"POSÉ EN LIGNE",IF(COUNTIF(BARDAGE!$C$1:$C$5000,B2075)&gt;0,"BARDÉ","EN STOCK")))</f>
        <v/>
      </c>
      <c r="N2075" s="80"/>
    </row>
    <row r="2076" customFormat="false" ht="15" hidden="false" customHeight="false" outlineLevel="0" collapsed="false">
      <c r="A2076" s="82" t="str">
        <f aca="false">IF(B2076="","",ROW()-6)</f>
        <v/>
      </c>
      <c r="B2076" s="145"/>
      <c r="C2076" s="146"/>
      <c r="D2076" s="146"/>
      <c r="E2076" s="82" t="str">
        <f aca="false">IF(B2076="","",IF(COUNTIFS('CARNET DE SOUDURE'!$L$7:$L$3006,B2076,'CARNET DE SOUDURE'!$M$7:$M$3006,"&lt;&gt;"&amp;C2076,'CARNET DE SOUDURE'!$M$7:$M$3006,"&lt;&gt;")+COUNTIFS('CARNET DE SOUDURE'!$O$7:$O$3006,B2076,'CARNET DE SOUDURE'!$P$7:$P$3006,"&lt;&gt;"&amp;C2076,'CARNET DE SOUDURE'!$P$7:$P$3006,"&lt;&gt;")&gt;0,"⚠ DIFFÉRENTE","OK"))</f>
        <v/>
      </c>
      <c r="F2076" s="147"/>
      <c r="G2076" s="80"/>
      <c r="H2076" s="83"/>
      <c r="I2076" s="148" t="str">
        <f aca="false">IF(B2076="","",IFERROR(INDEX('CARNET DE SOUDURE'!$B$7:$B$3006,MATCH(B2076,'CARNET DE SOUDURE'!$L$7:$L$3006,0)),IFERROR(INDEX('CARNET DE SOUDURE'!$B$7:$B$3006,MATCH(B2076,'CARNET DE SOUDURE'!$O$7:$O$3006,0)),"")))</f>
        <v/>
      </c>
      <c r="J2076" s="82" t="str">
        <f aca="false">IF(B2076="","",IFERROR(INDEX('CARNET DE SOUDURE'!$E$7:$E$3006,MATCH(B2076,'CARNET DE SOUDURE'!$O$7:$O$3006,0)),""))</f>
        <v/>
      </c>
      <c r="K2076" s="82" t="str">
        <f aca="false">IF(B2076="","",IFERROR(INDEX('CARNET DE SOUDURE'!$E$7:$E$3006,MATCH(B2076,'CARNET DE SOUDURE'!$L$7:$L$3006,0)),""))</f>
        <v/>
      </c>
      <c r="L2076" s="82" t="str">
        <f aca="false">IF(B2076="","",IFERROR(INDEX('CARNET DE SOUDURE'!$D$7:$D$3006,MATCH(B2076,'CARNET DE SOUDURE'!$L$7:$L$3006,0)),IFERROR(INDEX('CARNET DE SOUDURE'!$D$7:$D$3006,MATCH(B2076,'CARNET DE SOUDURE'!$O$7:$O$3006,0)),"")))</f>
        <v/>
      </c>
      <c r="M2076" s="82" t="str">
        <f aca="false">IF(B2076="","",IF(OR(J2076&lt;&gt;"",K2076&lt;&gt;""),"POSÉ EN LIGNE",IF(COUNTIF(BARDAGE!$C$1:$C$5000,B2076)&gt;0,"BARDÉ","EN STOCK")))</f>
        <v/>
      </c>
      <c r="N2076" s="80"/>
    </row>
    <row r="2077" customFormat="false" ht="15" hidden="false" customHeight="false" outlineLevel="0" collapsed="false">
      <c r="A2077" s="82" t="str">
        <f aca="false">IF(B2077="","",ROW()-6)</f>
        <v/>
      </c>
      <c r="B2077" s="145"/>
      <c r="C2077" s="146"/>
      <c r="D2077" s="146"/>
      <c r="E2077" s="82" t="str">
        <f aca="false">IF(B2077="","",IF(COUNTIFS('CARNET DE SOUDURE'!$L$7:$L$3006,B2077,'CARNET DE SOUDURE'!$M$7:$M$3006,"&lt;&gt;"&amp;C2077,'CARNET DE SOUDURE'!$M$7:$M$3006,"&lt;&gt;")+COUNTIFS('CARNET DE SOUDURE'!$O$7:$O$3006,B2077,'CARNET DE SOUDURE'!$P$7:$P$3006,"&lt;&gt;"&amp;C2077,'CARNET DE SOUDURE'!$P$7:$P$3006,"&lt;&gt;")&gt;0,"⚠ DIFFÉRENTE","OK"))</f>
        <v/>
      </c>
      <c r="F2077" s="147"/>
      <c r="G2077" s="80"/>
      <c r="H2077" s="83"/>
      <c r="I2077" s="148" t="str">
        <f aca="false">IF(B2077="","",IFERROR(INDEX('CARNET DE SOUDURE'!$B$7:$B$3006,MATCH(B2077,'CARNET DE SOUDURE'!$L$7:$L$3006,0)),IFERROR(INDEX('CARNET DE SOUDURE'!$B$7:$B$3006,MATCH(B2077,'CARNET DE SOUDURE'!$O$7:$O$3006,0)),"")))</f>
        <v/>
      </c>
      <c r="J2077" s="82" t="str">
        <f aca="false">IF(B2077="","",IFERROR(INDEX('CARNET DE SOUDURE'!$E$7:$E$3006,MATCH(B2077,'CARNET DE SOUDURE'!$O$7:$O$3006,0)),""))</f>
        <v/>
      </c>
      <c r="K2077" s="82" t="str">
        <f aca="false">IF(B2077="","",IFERROR(INDEX('CARNET DE SOUDURE'!$E$7:$E$3006,MATCH(B2077,'CARNET DE SOUDURE'!$L$7:$L$3006,0)),""))</f>
        <v/>
      </c>
      <c r="L2077" s="82" t="str">
        <f aca="false">IF(B2077="","",IFERROR(INDEX('CARNET DE SOUDURE'!$D$7:$D$3006,MATCH(B2077,'CARNET DE SOUDURE'!$L$7:$L$3006,0)),IFERROR(INDEX('CARNET DE SOUDURE'!$D$7:$D$3006,MATCH(B2077,'CARNET DE SOUDURE'!$O$7:$O$3006,0)),"")))</f>
        <v/>
      </c>
      <c r="M2077" s="82" t="str">
        <f aca="false">IF(B2077="","",IF(OR(J2077&lt;&gt;"",K2077&lt;&gt;""),"POSÉ EN LIGNE",IF(COUNTIF(BARDAGE!$C$1:$C$5000,B2077)&gt;0,"BARDÉ","EN STOCK")))</f>
        <v/>
      </c>
      <c r="N2077" s="80"/>
    </row>
    <row r="2078" customFormat="false" ht="15" hidden="false" customHeight="false" outlineLevel="0" collapsed="false">
      <c r="A2078" s="82" t="str">
        <f aca="false">IF(B2078="","",ROW()-6)</f>
        <v/>
      </c>
      <c r="B2078" s="145"/>
      <c r="C2078" s="146"/>
      <c r="D2078" s="146"/>
      <c r="E2078" s="82" t="str">
        <f aca="false">IF(B2078="","",IF(COUNTIFS('CARNET DE SOUDURE'!$L$7:$L$3006,B2078,'CARNET DE SOUDURE'!$M$7:$M$3006,"&lt;&gt;"&amp;C2078,'CARNET DE SOUDURE'!$M$7:$M$3006,"&lt;&gt;")+COUNTIFS('CARNET DE SOUDURE'!$O$7:$O$3006,B2078,'CARNET DE SOUDURE'!$P$7:$P$3006,"&lt;&gt;"&amp;C2078,'CARNET DE SOUDURE'!$P$7:$P$3006,"&lt;&gt;")&gt;0,"⚠ DIFFÉRENTE","OK"))</f>
        <v/>
      </c>
      <c r="F2078" s="147"/>
      <c r="G2078" s="80"/>
      <c r="H2078" s="83"/>
      <c r="I2078" s="148" t="str">
        <f aca="false">IF(B2078="","",IFERROR(INDEX('CARNET DE SOUDURE'!$B$7:$B$3006,MATCH(B2078,'CARNET DE SOUDURE'!$L$7:$L$3006,0)),IFERROR(INDEX('CARNET DE SOUDURE'!$B$7:$B$3006,MATCH(B2078,'CARNET DE SOUDURE'!$O$7:$O$3006,0)),"")))</f>
        <v/>
      </c>
      <c r="J2078" s="82" t="str">
        <f aca="false">IF(B2078="","",IFERROR(INDEX('CARNET DE SOUDURE'!$E$7:$E$3006,MATCH(B2078,'CARNET DE SOUDURE'!$O$7:$O$3006,0)),""))</f>
        <v/>
      </c>
      <c r="K2078" s="82" t="str">
        <f aca="false">IF(B2078="","",IFERROR(INDEX('CARNET DE SOUDURE'!$E$7:$E$3006,MATCH(B2078,'CARNET DE SOUDURE'!$L$7:$L$3006,0)),""))</f>
        <v/>
      </c>
      <c r="L2078" s="82" t="str">
        <f aca="false">IF(B2078="","",IFERROR(INDEX('CARNET DE SOUDURE'!$D$7:$D$3006,MATCH(B2078,'CARNET DE SOUDURE'!$L$7:$L$3006,0)),IFERROR(INDEX('CARNET DE SOUDURE'!$D$7:$D$3006,MATCH(B2078,'CARNET DE SOUDURE'!$O$7:$O$3006,0)),"")))</f>
        <v/>
      </c>
      <c r="M2078" s="82" t="str">
        <f aca="false">IF(B2078="","",IF(OR(J2078&lt;&gt;"",K2078&lt;&gt;""),"POSÉ EN LIGNE",IF(COUNTIF(BARDAGE!$C$1:$C$5000,B2078)&gt;0,"BARDÉ","EN STOCK")))</f>
        <v/>
      </c>
      <c r="N2078" s="80"/>
    </row>
    <row r="2079" customFormat="false" ht="15" hidden="false" customHeight="false" outlineLevel="0" collapsed="false">
      <c r="A2079" s="82" t="str">
        <f aca="false">IF(B2079="","",ROW()-6)</f>
        <v/>
      </c>
      <c r="B2079" s="145"/>
      <c r="C2079" s="146"/>
      <c r="D2079" s="146"/>
      <c r="E2079" s="82" t="str">
        <f aca="false">IF(B2079="","",IF(COUNTIFS('CARNET DE SOUDURE'!$L$7:$L$3006,B2079,'CARNET DE SOUDURE'!$M$7:$M$3006,"&lt;&gt;"&amp;C2079,'CARNET DE SOUDURE'!$M$7:$M$3006,"&lt;&gt;")+COUNTIFS('CARNET DE SOUDURE'!$O$7:$O$3006,B2079,'CARNET DE SOUDURE'!$P$7:$P$3006,"&lt;&gt;"&amp;C2079,'CARNET DE SOUDURE'!$P$7:$P$3006,"&lt;&gt;")&gt;0,"⚠ DIFFÉRENTE","OK"))</f>
        <v/>
      </c>
      <c r="F2079" s="147"/>
      <c r="G2079" s="80"/>
      <c r="H2079" s="83"/>
      <c r="I2079" s="148" t="str">
        <f aca="false">IF(B2079="","",IFERROR(INDEX('CARNET DE SOUDURE'!$B$7:$B$3006,MATCH(B2079,'CARNET DE SOUDURE'!$L$7:$L$3006,0)),IFERROR(INDEX('CARNET DE SOUDURE'!$B$7:$B$3006,MATCH(B2079,'CARNET DE SOUDURE'!$O$7:$O$3006,0)),"")))</f>
        <v/>
      </c>
      <c r="J2079" s="82" t="str">
        <f aca="false">IF(B2079="","",IFERROR(INDEX('CARNET DE SOUDURE'!$E$7:$E$3006,MATCH(B2079,'CARNET DE SOUDURE'!$O$7:$O$3006,0)),""))</f>
        <v/>
      </c>
      <c r="K2079" s="82" t="str">
        <f aca="false">IF(B2079="","",IFERROR(INDEX('CARNET DE SOUDURE'!$E$7:$E$3006,MATCH(B2079,'CARNET DE SOUDURE'!$L$7:$L$3006,0)),""))</f>
        <v/>
      </c>
      <c r="L2079" s="82" t="str">
        <f aca="false">IF(B2079="","",IFERROR(INDEX('CARNET DE SOUDURE'!$D$7:$D$3006,MATCH(B2079,'CARNET DE SOUDURE'!$L$7:$L$3006,0)),IFERROR(INDEX('CARNET DE SOUDURE'!$D$7:$D$3006,MATCH(B2079,'CARNET DE SOUDURE'!$O$7:$O$3006,0)),"")))</f>
        <v/>
      </c>
      <c r="M2079" s="82" t="str">
        <f aca="false">IF(B2079="","",IF(OR(J2079&lt;&gt;"",K2079&lt;&gt;""),"POSÉ EN LIGNE",IF(COUNTIF(BARDAGE!$C$1:$C$5000,B2079)&gt;0,"BARDÉ","EN STOCK")))</f>
        <v/>
      </c>
      <c r="N2079" s="80"/>
    </row>
    <row r="2080" customFormat="false" ht="15" hidden="false" customHeight="false" outlineLevel="0" collapsed="false">
      <c r="A2080" s="82" t="str">
        <f aca="false">IF(B2080="","",ROW()-6)</f>
        <v/>
      </c>
      <c r="B2080" s="145"/>
      <c r="C2080" s="146"/>
      <c r="D2080" s="146"/>
      <c r="E2080" s="82" t="str">
        <f aca="false">IF(B2080="","",IF(COUNTIFS('CARNET DE SOUDURE'!$L$7:$L$3006,B2080,'CARNET DE SOUDURE'!$M$7:$M$3006,"&lt;&gt;"&amp;C2080,'CARNET DE SOUDURE'!$M$7:$M$3006,"&lt;&gt;")+COUNTIFS('CARNET DE SOUDURE'!$O$7:$O$3006,B2080,'CARNET DE SOUDURE'!$P$7:$P$3006,"&lt;&gt;"&amp;C2080,'CARNET DE SOUDURE'!$P$7:$P$3006,"&lt;&gt;")&gt;0,"⚠ DIFFÉRENTE","OK"))</f>
        <v/>
      </c>
      <c r="F2080" s="147"/>
      <c r="G2080" s="80"/>
      <c r="H2080" s="83"/>
      <c r="I2080" s="148" t="str">
        <f aca="false">IF(B2080="","",IFERROR(INDEX('CARNET DE SOUDURE'!$B$7:$B$3006,MATCH(B2080,'CARNET DE SOUDURE'!$L$7:$L$3006,0)),IFERROR(INDEX('CARNET DE SOUDURE'!$B$7:$B$3006,MATCH(B2080,'CARNET DE SOUDURE'!$O$7:$O$3006,0)),"")))</f>
        <v/>
      </c>
      <c r="J2080" s="82" t="str">
        <f aca="false">IF(B2080="","",IFERROR(INDEX('CARNET DE SOUDURE'!$E$7:$E$3006,MATCH(B2080,'CARNET DE SOUDURE'!$O$7:$O$3006,0)),""))</f>
        <v/>
      </c>
      <c r="K2080" s="82" t="str">
        <f aca="false">IF(B2080="","",IFERROR(INDEX('CARNET DE SOUDURE'!$E$7:$E$3006,MATCH(B2080,'CARNET DE SOUDURE'!$L$7:$L$3006,0)),""))</f>
        <v/>
      </c>
      <c r="L2080" s="82" t="str">
        <f aca="false">IF(B2080="","",IFERROR(INDEX('CARNET DE SOUDURE'!$D$7:$D$3006,MATCH(B2080,'CARNET DE SOUDURE'!$L$7:$L$3006,0)),IFERROR(INDEX('CARNET DE SOUDURE'!$D$7:$D$3006,MATCH(B2080,'CARNET DE SOUDURE'!$O$7:$O$3006,0)),"")))</f>
        <v/>
      </c>
      <c r="M2080" s="82" t="str">
        <f aca="false">IF(B2080="","",IF(OR(J2080&lt;&gt;"",K2080&lt;&gt;""),"POSÉ EN LIGNE",IF(COUNTIF(BARDAGE!$C$1:$C$5000,B2080)&gt;0,"BARDÉ","EN STOCK")))</f>
        <v/>
      </c>
      <c r="N2080" s="80"/>
    </row>
    <row r="2081" customFormat="false" ht="15" hidden="false" customHeight="false" outlineLevel="0" collapsed="false">
      <c r="A2081" s="82" t="str">
        <f aca="false">IF(B2081="","",ROW()-6)</f>
        <v/>
      </c>
      <c r="B2081" s="145"/>
      <c r="C2081" s="146"/>
      <c r="D2081" s="146"/>
      <c r="E2081" s="82" t="str">
        <f aca="false">IF(B2081="","",IF(COUNTIFS('CARNET DE SOUDURE'!$L$7:$L$3006,B2081,'CARNET DE SOUDURE'!$M$7:$M$3006,"&lt;&gt;"&amp;C2081,'CARNET DE SOUDURE'!$M$7:$M$3006,"&lt;&gt;")+COUNTIFS('CARNET DE SOUDURE'!$O$7:$O$3006,B2081,'CARNET DE SOUDURE'!$P$7:$P$3006,"&lt;&gt;"&amp;C2081,'CARNET DE SOUDURE'!$P$7:$P$3006,"&lt;&gt;")&gt;0,"⚠ DIFFÉRENTE","OK"))</f>
        <v/>
      </c>
      <c r="F2081" s="147"/>
      <c r="G2081" s="80"/>
      <c r="H2081" s="83"/>
      <c r="I2081" s="148" t="str">
        <f aca="false">IF(B2081="","",IFERROR(INDEX('CARNET DE SOUDURE'!$B$7:$B$3006,MATCH(B2081,'CARNET DE SOUDURE'!$L$7:$L$3006,0)),IFERROR(INDEX('CARNET DE SOUDURE'!$B$7:$B$3006,MATCH(B2081,'CARNET DE SOUDURE'!$O$7:$O$3006,0)),"")))</f>
        <v/>
      </c>
      <c r="J2081" s="82" t="str">
        <f aca="false">IF(B2081="","",IFERROR(INDEX('CARNET DE SOUDURE'!$E$7:$E$3006,MATCH(B2081,'CARNET DE SOUDURE'!$O$7:$O$3006,0)),""))</f>
        <v/>
      </c>
      <c r="K2081" s="82" t="str">
        <f aca="false">IF(B2081="","",IFERROR(INDEX('CARNET DE SOUDURE'!$E$7:$E$3006,MATCH(B2081,'CARNET DE SOUDURE'!$L$7:$L$3006,0)),""))</f>
        <v/>
      </c>
      <c r="L2081" s="82" t="str">
        <f aca="false">IF(B2081="","",IFERROR(INDEX('CARNET DE SOUDURE'!$D$7:$D$3006,MATCH(B2081,'CARNET DE SOUDURE'!$L$7:$L$3006,0)),IFERROR(INDEX('CARNET DE SOUDURE'!$D$7:$D$3006,MATCH(B2081,'CARNET DE SOUDURE'!$O$7:$O$3006,0)),"")))</f>
        <v/>
      </c>
      <c r="M2081" s="82" t="str">
        <f aca="false">IF(B2081="","",IF(OR(J2081&lt;&gt;"",K2081&lt;&gt;""),"POSÉ EN LIGNE",IF(COUNTIF(BARDAGE!$C$1:$C$5000,B2081)&gt;0,"BARDÉ","EN STOCK")))</f>
        <v/>
      </c>
      <c r="N2081" s="80"/>
    </row>
    <row r="2082" customFormat="false" ht="15" hidden="false" customHeight="false" outlineLevel="0" collapsed="false">
      <c r="A2082" s="82" t="str">
        <f aca="false">IF(B2082="","",ROW()-6)</f>
        <v/>
      </c>
      <c r="B2082" s="145"/>
      <c r="C2082" s="146"/>
      <c r="D2082" s="146"/>
      <c r="E2082" s="82" t="str">
        <f aca="false">IF(B2082="","",IF(COUNTIFS('CARNET DE SOUDURE'!$L$7:$L$3006,B2082,'CARNET DE SOUDURE'!$M$7:$M$3006,"&lt;&gt;"&amp;C2082,'CARNET DE SOUDURE'!$M$7:$M$3006,"&lt;&gt;")+COUNTIFS('CARNET DE SOUDURE'!$O$7:$O$3006,B2082,'CARNET DE SOUDURE'!$P$7:$P$3006,"&lt;&gt;"&amp;C2082,'CARNET DE SOUDURE'!$P$7:$P$3006,"&lt;&gt;")&gt;0,"⚠ DIFFÉRENTE","OK"))</f>
        <v/>
      </c>
      <c r="F2082" s="147"/>
      <c r="G2082" s="80"/>
      <c r="H2082" s="83"/>
      <c r="I2082" s="148" t="str">
        <f aca="false">IF(B2082="","",IFERROR(INDEX('CARNET DE SOUDURE'!$B$7:$B$3006,MATCH(B2082,'CARNET DE SOUDURE'!$L$7:$L$3006,0)),IFERROR(INDEX('CARNET DE SOUDURE'!$B$7:$B$3006,MATCH(B2082,'CARNET DE SOUDURE'!$O$7:$O$3006,0)),"")))</f>
        <v/>
      </c>
      <c r="J2082" s="82" t="str">
        <f aca="false">IF(B2082="","",IFERROR(INDEX('CARNET DE SOUDURE'!$E$7:$E$3006,MATCH(B2082,'CARNET DE SOUDURE'!$O$7:$O$3006,0)),""))</f>
        <v/>
      </c>
      <c r="K2082" s="82" t="str">
        <f aca="false">IF(B2082="","",IFERROR(INDEX('CARNET DE SOUDURE'!$E$7:$E$3006,MATCH(B2082,'CARNET DE SOUDURE'!$L$7:$L$3006,0)),""))</f>
        <v/>
      </c>
      <c r="L2082" s="82" t="str">
        <f aca="false">IF(B2082="","",IFERROR(INDEX('CARNET DE SOUDURE'!$D$7:$D$3006,MATCH(B2082,'CARNET DE SOUDURE'!$L$7:$L$3006,0)),IFERROR(INDEX('CARNET DE SOUDURE'!$D$7:$D$3006,MATCH(B2082,'CARNET DE SOUDURE'!$O$7:$O$3006,0)),"")))</f>
        <v/>
      </c>
      <c r="M2082" s="82" t="str">
        <f aca="false">IF(B2082="","",IF(OR(J2082&lt;&gt;"",K2082&lt;&gt;""),"POSÉ EN LIGNE",IF(COUNTIF(BARDAGE!$C$1:$C$5000,B2082)&gt;0,"BARDÉ","EN STOCK")))</f>
        <v/>
      </c>
      <c r="N2082" s="80"/>
    </row>
    <row r="2083" customFormat="false" ht="15" hidden="false" customHeight="false" outlineLevel="0" collapsed="false">
      <c r="A2083" s="82" t="str">
        <f aca="false">IF(B2083="","",ROW()-6)</f>
        <v/>
      </c>
      <c r="B2083" s="145"/>
      <c r="C2083" s="146"/>
      <c r="D2083" s="146"/>
      <c r="E2083" s="82" t="str">
        <f aca="false">IF(B2083="","",IF(COUNTIFS('CARNET DE SOUDURE'!$L$7:$L$3006,B2083,'CARNET DE SOUDURE'!$M$7:$M$3006,"&lt;&gt;"&amp;C2083,'CARNET DE SOUDURE'!$M$7:$M$3006,"&lt;&gt;")+COUNTIFS('CARNET DE SOUDURE'!$O$7:$O$3006,B2083,'CARNET DE SOUDURE'!$P$7:$P$3006,"&lt;&gt;"&amp;C2083,'CARNET DE SOUDURE'!$P$7:$P$3006,"&lt;&gt;")&gt;0,"⚠ DIFFÉRENTE","OK"))</f>
        <v/>
      </c>
      <c r="F2083" s="147"/>
      <c r="G2083" s="80"/>
      <c r="H2083" s="83"/>
      <c r="I2083" s="148" t="str">
        <f aca="false">IF(B2083="","",IFERROR(INDEX('CARNET DE SOUDURE'!$B$7:$B$3006,MATCH(B2083,'CARNET DE SOUDURE'!$L$7:$L$3006,0)),IFERROR(INDEX('CARNET DE SOUDURE'!$B$7:$B$3006,MATCH(B2083,'CARNET DE SOUDURE'!$O$7:$O$3006,0)),"")))</f>
        <v/>
      </c>
      <c r="J2083" s="82" t="str">
        <f aca="false">IF(B2083="","",IFERROR(INDEX('CARNET DE SOUDURE'!$E$7:$E$3006,MATCH(B2083,'CARNET DE SOUDURE'!$O$7:$O$3006,0)),""))</f>
        <v/>
      </c>
      <c r="K2083" s="82" t="str">
        <f aca="false">IF(B2083="","",IFERROR(INDEX('CARNET DE SOUDURE'!$E$7:$E$3006,MATCH(B2083,'CARNET DE SOUDURE'!$L$7:$L$3006,0)),""))</f>
        <v/>
      </c>
      <c r="L2083" s="82" t="str">
        <f aca="false">IF(B2083="","",IFERROR(INDEX('CARNET DE SOUDURE'!$D$7:$D$3006,MATCH(B2083,'CARNET DE SOUDURE'!$L$7:$L$3006,0)),IFERROR(INDEX('CARNET DE SOUDURE'!$D$7:$D$3006,MATCH(B2083,'CARNET DE SOUDURE'!$O$7:$O$3006,0)),"")))</f>
        <v/>
      </c>
      <c r="M2083" s="82" t="str">
        <f aca="false">IF(B2083="","",IF(OR(J2083&lt;&gt;"",K2083&lt;&gt;""),"POSÉ EN LIGNE",IF(COUNTIF(BARDAGE!$C$1:$C$5000,B2083)&gt;0,"BARDÉ","EN STOCK")))</f>
        <v/>
      </c>
      <c r="N2083" s="80"/>
    </row>
    <row r="2084" customFormat="false" ht="15" hidden="false" customHeight="false" outlineLevel="0" collapsed="false">
      <c r="A2084" s="82" t="str">
        <f aca="false">IF(B2084="","",ROW()-6)</f>
        <v/>
      </c>
      <c r="B2084" s="145"/>
      <c r="C2084" s="146"/>
      <c r="D2084" s="146"/>
      <c r="E2084" s="82" t="str">
        <f aca="false">IF(B2084="","",IF(COUNTIFS('CARNET DE SOUDURE'!$L$7:$L$3006,B2084,'CARNET DE SOUDURE'!$M$7:$M$3006,"&lt;&gt;"&amp;C2084,'CARNET DE SOUDURE'!$M$7:$M$3006,"&lt;&gt;")+COUNTIFS('CARNET DE SOUDURE'!$O$7:$O$3006,B2084,'CARNET DE SOUDURE'!$P$7:$P$3006,"&lt;&gt;"&amp;C2084,'CARNET DE SOUDURE'!$P$7:$P$3006,"&lt;&gt;")&gt;0,"⚠ DIFFÉRENTE","OK"))</f>
        <v/>
      </c>
      <c r="F2084" s="147"/>
      <c r="G2084" s="80"/>
      <c r="H2084" s="83"/>
      <c r="I2084" s="148" t="str">
        <f aca="false">IF(B2084="","",IFERROR(INDEX('CARNET DE SOUDURE'!$B$7:$B$3006,MATCH(B2084,'CARNET DE SOUDURE'!$L$7:$L$3006,0)),IFERROR(INDEX('CARNET DE SOUDURE'!$B$7:$B$3006,MATCH(B2084,'CARNET DE SOUDURE'!$O$7:$O$3006,0)),"")))</f>
        <v/>
      </c>
      <c r="J2084" s="82" t="str">
        <f aca="false">IF(B2084="","",IFERROR(INDEX('CARNET DE SOUDURE'!$E$7:$E$3006,MATCH(B2084,'CARNET DE SOUDURE'!$O$7:$O$3006,0)),""))</f>
        <v/>
      </c>
      <c r="K2084" s="82" t="str">
        <f aca="false">IF(B2084="","",IFERROR(INDEX('CARNET DE SOUDURE'!$E$7:$E$3006,MATCH(B2084,'CARNET DE SOUDURE'!$L$7:$L$3006,0)),""))</f>
        <v/>
      </c>
      <c r="L2084" s="82" t="str">
        <f aca="false">IF(B2084="","",IFERROR(INDEX('CARNET DE SOUDURE'!$D$7:$D$3006,MATCH(B2084,'CARNET DE SOUDURE'!$L$7:$L$3006,0)),IFERROR(INDEX('CARNET DE SOUDURE'!$D$7:$D$3006,MATCH(B2084,'CARNET DE SOUDURE'!$O$7:$O$3006,0)),"")))</f>
        <v/>
      </c>
      <c r="M2084" s="82" t="str">
        <f aca="false">IF(B2084="","",IF(OR(J2084&lt;&gt;"",K2084&lt;&gt;""),"POSÉ EN LIGNE",IF(COUNTIF(BARDAGE!$C$1:$C$5000,B2084)&gt;0,"BARDÉ","EN STOCK")))</f>
        <v/>
      </c>
      <c r="N2084" s="80"/>
    </row>
    <row r="2085" customFormat="false" ht="15" hidden="false" customHeight="false" outlineLevel="0" collapsed="false">
      <c r="A2085" s="82" t="str">
        <f aca="false">IF(B2085="","",ROW()-6)</f>
        <v/>
      </c>
      <c r="B2085" s="145"/>
      <c r="C2085" s="146"/>
      <c r="D2085" s="146"/>
      <c r="E2085" s="82" t="str">
        <f aca="false">IF(B2085="","",IF(COUNTIFS('CARNET DE SOUDURE'!$L$7:$L$3006,B2085,'CARNET DE SOUDURE'!$M$7:$M$3006,"&lt;&gt;"&amp;C2085,'CARNET DE SOUDURE'!$M$7:$M$3006,"&lt;&gt;")+COUNTIFS('CARNET DE SOUDURE'!$O$7:$O$3006,B2085,'CARNET DE SOUDURE'!$P$7:$P$3006,"&lt;&gt;"&amp;C2085,'CARNET DE SOUDURE'!$P$7:$P$3006,"&lt;&gt;")&gt;0,"⚠ DIFFÉRENTE","OK"))</f>
        <v/>
      </c>
      <c r="F2085" s="147"/>
      <c r="G2085" s="80"/>
      <c r="H2085" s="83"/>
      <c r="I2085" s="148" t="str">
        <f aca="false">IF(B2085="","",IFERROR(INDEX('CARNET DE SOUDURE'!$B$7:$B$3006,MATCH(B2085,'CARNET DE SOUDURE'!$L$7:$L$3006,0)),IFERROR(INDEX('CARNET DE SOUDURE'!$B$7:$B$3006,MATCH(B2085,'CARNET DE SOUDURE'!$O$7:$O$3006,0)),"")))</f>
        <v/>
      </c>
      <c r="J2085" s="82" t="str">
        <f aca="false">IF(B2085="","",IFERROR(INDEX('CARNET DE SOUDURE'!$E$7:$E$3006,MATCH(B2085,'CARNET DE SOUDURE'!$O$7:$O$3006,0)),""))</f>
        <v/>
      </c>
      <c r="K2085" s="82" t="str">
        <f aca="false">IF(B2085="","",IFERROR(INDEX('CARNET DE SOUDURE'!$E$7:$E$3006,MATCH(B2085,'CARNET DE SOUDURE'!$L$7:$L$3006,0)),""))</f>
        <v/>
      </c>
      <c r="L2085" s="82" t="str">
        <f aca="false">IF(B2085="","",IFERROR(INDEX('CARNET DE SOUDURE'!$D$7:$D$3006,MATCH(B2085,'CARNET DE SOUDURE'!$L$7:$L$3006,0)),IFERROR(INDEX('CARNET DE SOUDURE'!$D$7:$D$3006,MATCH(B2085,'CARNET DE SOUDURE'!$O$7:$O$3006,0)),"")))</f>
        <v/>
      </c>
      <c r="M2085" s="82" t="str">
        <f aca="false">IF(B2085="","",IF(OR(J2085&lt;&gt;"",K2085&lt;&gt;""),"POSÉ EN LIGNE",IF(COUNTIF(BARDAGE!$C$1:$C$5000,B2085)&gt;0,"BARDÉ","EN STOCK")))</f>
        <v/>
      </c>
      <c r="N2085" s="80"/>
    </row>
    <row r="2086" customFormat="false" ht="15" hidden="false" customHeight="false" outlineLevel="0" collapsed="false">
      <c r="A2086" s="82" t="str">
        <f aca="false">IF(B2086="","",ROW()-6)</f>
        <v/>
      </c>
      <c r="B2086" s="145"/>
      <c r="C2086" s="146"/>
      <c r="D2086" s="146"/>
      <c r="E2086" s="82" t="str">
        <f aca="false">IF(B2086="","",IF(COUNTIFS('CARNET DE SOUDURE'!$L$7:$L$3006,B2086,'CARNET DE SOUDURE'!$M$7:$M$3006,"&lt;&gt;"&amp;C2086,'CARNET DE SOUDURE'!$M$7:$M$3006,"&lt;&gt;")+COUNTIFS('CARNET DE SOUDURE'!$O$7:$O$3006,B2086,'CARNET DE SOUDURE'!$P$7:$P$3006,"&lt;&gt;"&amp;C2086,'CARNET DE SOUDURE'!$P$7:$P$3006,"&lt;&gt;")&gt;0,"⚠ DIFFÉRENTE","OK"))</f>
        <v/>
      </c>
      <c r="F2086" s="147"/>
      <c r="G2086" s="80"/>
      <c r="H2086" s="83"/>
      <c r="I2086" s="148" t="str">
        <f aca="false">IF(B2086="","",IFERROR(INDEX('CARNET DE SOUDURE'!$B$7:$B$3006,MATCH(B2086,'CARNET DE SOUDURE'!$L$7:$L$3006,0)),IFERROR(INDEX('CARNET DE SOUDURE'!$B$7:$B$3006,MATCH(B2086,'CARNET DE SOUDURE'!$O$7:$O$3006,0)),"")))</f>
        <v/>
      </c>
      <c r="J2086" s="82" t="str">
        <f aca="false">IF(B2086="","",IFERROR(INDEX('CARNET DE SOUDURE'!$E$7:$E$3006,MATCH(B2086,'CARNET DE SOUDURE'!$O$7:$O$3006,0)),""))</f>
        <v/>
      </c>
      <c r="K2086" s="82" t="str">
        <f aca="false">IF(B2086="","",IFERROR(INDEX('CARNET DE SOUDURE'!$E$7:$E$3006,MATCH(B2086,'CARNET DE SOUDURE'!$L$7:$L$3006,0)),""))</f>
        <v/>
      </c>
      <c r="L2086" s="82" t="str">
        <f aca="false">IF(B2086="","",IFERROR(INDEX('CARNET DE SOUDURE'!$D$7:$D$3006,MATCH(B2086,'CARNET DE SOUDURE'!$L$7:$L$3006,0)),IFERROR(INDEX('CARNET DE SOUDURE'!$D$7:$D$3006,MATCH(B2086,'CARNET DE SOUDURE'!$O$7:$O$3006,0)),"")))</f>
        <v/>
      </c>
      <c r="M2086" s="82" t="str">
        <f aca="false">IF(B2086="","",IF(OR(J2086&lt;&gt;"",K2086&lt;&gt;""),"POSÉ EN LIGNE",IF(COUNTIF(BARDAGE!$C$1:$C$5000,B2086)&gt;0,"BARDÉ","EN STOCK")))</f>
        <v/>
      </c>
      <c r="N2086" s="80"/>
    </row>
    <row r="2087" customFormat="false" ht="15" hidden="false" customHeight="false" outlineLevel="0" collapsed="false">
      <c r="A2087" s="82" t="str">
        <f aca="false">IF(B2087="","",ROW()-6)</f>
        <v/>
      </c>
      <c r="B2087" s="145"/>
      <c r="C2087" s="146"/>
      <c r="D2087" s="146"/>
      <c r="E2087" s="82" t="str">
        <f aca="false">IF(B2087="","",IF(COUNTIFS('CARNET DE SOUDURE'!$L$7:$L$3006,B2087,'CARNET DE SOUDURE'!$M$7:$M$3006,"&lt;&gt;"&amp;C2087,'CARNET DE SOUDURE'!$M$7:$M$3006,"&lt;&gt;")+COUNTIFS('CARNET DE SOUDURE'!$O$7:$O$3006,B2087,'CARNET DE SOUDURE'!$P$7:$P$3006,"&lt;&gt;"&amp;C2087,'CARNET DE SOUDURE'!$P$7:$P$3006,"&lt;&gt;")&gt;0,"⚠ DIFFÉRENTE","OK"))</f>
        <v/>
      </c>
      <c r="F2087" s="147"/>
      <c r="G2087" s="80"/>
      <c r="H2087" s="83"/>
      <c r="I2087" s="148" t="str">
        <f aca="false">IF(B2087="","",IFERROR(INDEX('CARNET DE SOUDURE'!$B$7:$B$3006,MATCH(B2087,'CARNET DE SOUDURE'!$L$7:$L$3006,0)),IFERROR(INDEX('CARNET DE SOUDURE'!$B$7:$B$3006,MATCH(B2087,'CARNET DE SOUDURE'!$O$7:$O$3006,0)),"")))</f>
        <v/>
      </c>
      <c r="J2087" s="82" t="str">
        <f aca="false">IF(B2087="","",IFERROR(INDEX('CARNET DE SOUDURE'!$E$7:$E$3006,MATCH(B2087,'CARNET DE SOUDURE'!$O$7:$O$3006,0)),""))</f>
        <v/>
      </c>
      <c r="K2087" s="82" t="str">
        <f aca="false">IF(B2087="","",IFERROR(INDEX('CARNET DE SOUDURE'!$E$7:$E$3006,MATCH(B2087,'CARNET DE SOUDURE'!$L$7:$L$3006,0)),""))</f>
        <v/>
      </c>
      <c r="L2087" s="82" t="str">
        <f aca="false">IF(B2087="","",IFERROR(INDEX('CARNET DE SOUDURE'!$D$7:$D$3006,MATCH(B2087,'CARNET DE SOUDURE'!$L$7:$L$3006,0)),IFERROR(INDEX('CARNET DE SOUDURE'!$D$7:$D$3006,MATCH(B2087,'CARNET DE SOUDURE'!$O$7:$O$3006,0)),"")))</f>
        <v/>
      </c>
      <c r="M2087" s="82" t="str">
        <f aca="false">IF(B2087="","",IF(OR(J2087&lt;&gt;"",K2087&lt;&gt;""),"POSÉ EN LIGNE",IF(COUNTIF(BARDAGE!$C$1:$C$5000,B2087)&gt;0,"BARDÉ","EN STOCK")))</f>
        <v/>
      </c>
      <c r="N2087" s="80"/>
    </row>
    <row r="2088" customFormat="false" ht="15" hidden="false" customHeight="false" outlineLevel="0" collapsed="false">
      <c r="A2088" s="82" t="str">
        <f aca="false">IF(B2088="","",ROW()-6)</f>
        <v/>
      </c>
      <c r="B2088" s="145"/>
      <c r="C2088" s="146"/>
      <c r="D2088" s="146"/>
      <c r="E2088" s="82" t="str">
        <f aca="false">IF(B2088="","",IF(COUNTIFS('CARNET DE SOUDURE'!$L$7:$L$3006,B2088,'CARNET DE SOUDURE'!$M$7:$M$3006,"&lt;&gt;"&amp;C2088,'CARNET DE SOUDURE'!$M$7:$M$3006,"&lt;&gt;")+COUNTIFS('CARNET DE SOUDURE'!$O$7:$O$3006,B2088,'CARNET DE SOUDURE'!$P$7:$P$3006,"&lt;&gt;"&amp;C2088,'CARNET DE SOUDURE'!$P$7:$P$3006,"&lt;&gt;")&gt;0,"⚠ DIFFÉRENTE","OK"))</f>
        <v/>
      </c>
      <c r="F2088" s="147"/>
      <c r="G2088" s="80"/>
      <c r="H2088" s="83"/>
      <c r="I2088" s="148" t="str">
        <f aca="false">IF(B2088="","",IFERROR(INDEX('CARNET DE SOUDURE'!$B$7:$B$3006,MATCH(B2088,'CARNET DE SOUDURE'!$L$7:$L$3006,0)),IFERROR(INDEX('CARNET DE SOUDURE'!$B$7:$B$3006,MATCH(B2088,'CARNET DE SOUDURE'!$O$7:$O$3006,0)),"")))</f>
        <v/>
      </c>
      <c r="J2088" s="82" t="str">
        <f aca="false">IF(B2088="","",IFERROR(INDEX('CARNET DE SOUDURE'!$E$7:$E$3006,MATCH(B2088,'CARNET DE SOUDURE'!$O$7:$O$3006,0)),""))</f>
        <v/>
      </c>
      <c r="K2088" s="82" t="str">
        <f aca="false">IF(B2088="","",IFERROR(INDEX('CARNET DE SOUDURE'!$E$7:$E$3006,MATCH(B2088,'CARNET DE SOUDURE'!$L$7:$L$3006,0)),""))</f>
        <v/>
      </c>
      <c r="L2088" s="82" t="str">
        <f aca="false">IF(B2088="","",IFERROR(INDEX('CARNET DE SOUDURE'!$D$7:$D$3006,MATCH(B2088,'CARNET DE SOUDURE'!$L$7:$L$3006,0)),IFERROR(INDEX('CARNET DE SOUDURE'!$D$7:$D$3006,MATCH(B2088,'CARNET DE SOUDURE'!$O$7:$O$3006,0)),"")))</f>
        <v/>
      </c>
      <c r="M2088" s="82" t="str">
        <f aca="false">IF(B2088="","",IF(OR(J2088&lt;&gt;"",K2088&lt;&gt;""),"POSÉ EN LIGNE",IF(COUNTIF(BARDAGE!$C$1:$C$5000,B2088)&gt;0,"BARDÉ","EN STOCK")))</f>
        <v/>
      </c>
      <c r="N2088" s="80"/>
    </row>
    <row r="2089" customFormat="false" ht="15" hidden="false" customHeight="false" outlineLevel="0" collapsed="false">
      <c r="A2089" s="82" t="str">
        <f aca="false">IF(B2089="","",ROW()-6)</f>
        <v/>
      </c>
      <c r="B2089" s="145"/>
      <c r="C2089" s="146"/>
      <c r="D2089" s="146"/>
      <c r="E2089" s="82" t="str">
        <f aca="false">IF(B2089="","",IF(COUNTIFS('CARNET DE SOUDURE'!$L$7:$L$3006,B2089,'CARNET DE SOUDURE'!$M$7:$M$3006,"&lt;&gt;"&amp;C2089,'CARNET DE SOUDURE'!$M$7:$M$3006,"&lt;&gt;")+COUNTIFS('CARNET DE SOUDURE'!$O$7:$O$3006,B2089,'CARNET DE SOUDURE'!$P$7:$P$3006,"&lt;&gt;"&amp;C2089,'CARNET DE SOUDURE'!$P$7:$P$3006,"&lt;&gt;")&gt;0,"⚠ DIFFÉRENTE","OK"))</f>
        <v/>
      </c>
      <c r="F2089" s="147"/>
      <c r="G2089" s="80"/>
      <c r="H2089" s="83"/>
      <c r="I2089" s="148" t="str">
        <f aca="false">IF(B2089="","",IFERROR(INDEX('CARNET DE SOUDURE'!$B$7:$B$3006,MATCH(B2089,'CARNET DE SOUDURE'!$L$7:$L$3006,0)),IFERROR(INDEX('CARNET DE SOUDURE'!$B$7:$B$3006,MATCH(B2089,'CARNET DE SOUDURE'!$O$7:$O$3006,0)),"")))</f>
        <v/>
      </c>
      <c r="J2089" s="82" t="str">
        <f aca="false">IF(B2089="","",IFERROR(INDEX('CARNET DE SOUDURE'!$E$7:$E$3006,MATCH(B2089,'CARNET DE SOUDURE'!$O$7:$O$3006,0)),""))</f>
        <v/>
      </c>
      <c r="K2089" s="82" t="str">
        <f aca="false">IF(B2089="","",IFERROR(INDEX('CARNET DE SOUDURE'!$E$7:$E$3006,MATCH(B2089,'CARNET DE SOUDURE'!$L$7:$L$3006,0)),""))</f>
        <v/>
      </c>
      <c r="L2089" s="82" t="str">
        <f aca="false">IF(B2089="","",IFERROR(INDEX('CARNET DE SOUDURE'!$D$7:$D$3006,MATCH(B2089,'CARNET DE SOUDURE'!$L$7:$L$3006,0)),IFERROR(INDEX('CARNET DE SOUDURE'!$D$7:$D$3006,MATCH(B2089,'CARNET DE SOUDURE'!$O$7:$O$3006,0)),"")))</f>
        <v/>
      </c>
      <c r="M2089" s="82" t="str">
        <f aca="false">IF(B2089="","",IF(OR(J2089&lt;&gt;"",K2089&lt;&gt;""),"POSÉ EN LIGNE",IF(COUNTIF(BARDAGE!$C$1:$C$5000,B2089)&gt;0,"BARDÉ","EN STOCK")))</f>
        <v/>
      </c>
      <c r="N2089" s="80"/>
    </row>
    <row r="2090" customFormat="false" ht="15" hidden="false" customHeight="false" outlineLevel="0" collapsed="false">
      <c r="A2090" s="82" t="str">
        <f aca="false">IF(B2090="","",ROW()-6)</f>
        <v/>
      </c>
      <c r="B2090" s="145"/>
      <c r="C2090" s="146"/>
      <c r="D2090" s="146"/>
      <c r="E2090" s="82" t="str">
        <f aca="false">IF(B2090="","",IF(COUNTIFS('CARNET DE SOUDURE'!$L$7:$L$3006,B2090,'CARNET DE SOUDURE'!$M$7:$M$3006,"&lt;&gt;"&amp;C2090,'CARNET DE SOUDURE'!$M$7:$M$3006,"&lt;&gt;")+COUNTIFS('CARNET DE SOUDURE'!$O$7:$O$3006,B2090,'CARNET DE SOUDURE'!$P$7:$P$3006,"&lt;&gt;"&amp;C2090,'CARNET DE SOUDURE'!$P$7:$P$3006,"&lt;&gt;")&gt;0,"⚠ DIFFÉRENTE","OK"))</f>
        <v/>
      </c>
      <c r="F2090" s="147"/>
      <c r="G2090" s="80"/>
      <c r="H2090" s="83"/>
      <c r="I2090" s="148" t="str">
        <f aca="false">IF(B2090="","",IFERROR(INDEX('CARNET DE SOUDURE'!$B$7:$B$3006,MATCH(B2090,'CARNET DE SOUDURE'!$L$7:$L$3006,0)),IFERROR(INDEX('CARNET DE SOUDURE'!$B$7:$B$3006,MATCH(B2090,'CARNET DE SOUDURE'!$O$7:$O$3006,0)),"")))</f>
        <v/>
      </c>
      <c r="J2090" s="82" t="str">
        <f aca="false">IF(B2090="","",IFERROR(INDEX('CARNET DE SOUDURE'!$E$7:$E$3006,MATCH(B2090,'CARNET DE SOUDURE'!$O$7:$O$3006,0)),""))</f>
        <v/>
      </c>
      <c r="K2090" s="82" t="str">
        <f aca="false">IF(B2090="","",IFERROR(INDEX('CARNET DE SOUDURE'!$E$7:$E$3006,MATCH(B2090,'CARNET DE SOUDURE'!$L$7:$L$3006,0)),""))</f>
        <v/>
      </c>
      <c r="L2090" s="82" t="str">
        <f aca="false">IF(B2090="","",IFERROR(INDEX('CARNET DE SOUDURE'!$D$7:$D$3006,MATCH(B2090,'CARNET DE SOUDURE'!$L$7:$L$3006,0)),IFERROR(INDEX('CARNET DE SOUDURE'!$D$7:$D$3006,MATCH(B2090,'CARNET DE SOUDURE'!$O$7:$O$3006,0)),"")))</f>
        <v/>
      </c>
      <c r="M2090" s="82" t="str">
        <f aca="false">IF(B2090="","",IF(OR(J2090&lt;&gt;"",K2090&lt;&gt;""),"POSÉ EN LIGNE",IF(COUNTIF(BARDAGE!$C$1:$C$5000,B2090)&gt;0,"BARDÉ","EN STOCK")))</f>
        <v/>
      </c>
      <c r="N2090" s="80"/>
    </row>
    <row r="2091" customFormat="false" ht="15" hidden="false" customHeight="false" outlineLevel="0" collapsed="false">
      <c r="A2091" s="82" t="str">
        <f aca="false">IF(B2091="","",ROW()-6)</f>
        <v/>
      </c>
      <c r="B2091" s="145"/>
      <c r="C2091" s="146"/>
      <c r="D2091" s="146"/>
      <c r="E2091" s="82" t="str">
        <f aca="false">IF(B2091="","",IF(COUNTIFS('CARNET DE SOUDURE'!$L$7:$L$3006,B2091,'CARNET DE SOUDURE'!$M$7:$M$3006,"&lt;&gt;"&amp;C2091,'CARNET DE SOUDURE'!$M$7:$M$3006,"&lt;&gt;")+COUNTIFS('CARNET DE SOUDURE'!$O$7:$O$3006,B2091,'CARNET DE SOUDURE'!$P$7:$P$3006,"&lt;&gt;"&amp;C2091,'CARNET DE SOUDURE'!$P$7:$P$3006,"&lt;&gt;")&gt;0,"⚠ DIFFÉRENTE","OK"))</f>
        <v/>
      </c>
      <c r="F2091" s="147"/>
      <c r="G2091" s="80"/>
      <c r="H2091" s="83"/>
      <c r="I2091" s="148" t="str">
        <f aca="false">IF(B2091="","",IFERROR(INDEX('CARNET DE SOUDURE'!$B$7:$B$3006,MATCH(B2091,'CARNET DE SOUDURE'!$L$7:$L$3006,0)),IFERROR(INDEX('CARNET DE SOUDURE'!$B$7:$B$3006,MATCH(B2091,'CARNET DE SOUDURE'!$O$7:$O$3006,0)),"")))</f>
        <v/>
      </c>
      <c r="J2091" s="82" t="str">
        <f aca="false">IF(B2091="","",IFERROR(INDEX('CARNET DE SOUDURE'!$E$7:$E$3006,MATCH(B2091,'CARNET DE SOUDURE'!$O$7:$O$3006,0)),""))</f>
        <v/>
      </c>
      <c r="K2091" s="82" t="str">
        <f aca="false">IF(B2091="","",IFERROR(INDEX('CARNET DE SOUDURE'!$E$7:$E$3006,MATCH(B2091,'CARNET DE SOUDURE'!$L$7:$L$3006,0)),""))</f>
        <v/>
      </c>
      <c r="L2091" s="82" t="str">
        <f aca="false">IF(B2091="","",IFERROR(INDEX('CARNET DE SOUDURE'!$D$7:$D$3006,MATCH(B2091,'CARNET DE SOUDURE'!$L$7:$L$3006,0)),IFERROR(INDEX('CARNET DE SOUDURE'!$D$7:$D$3006,MATCH(B2091,'CARNET DE SOUDURE'!$O$7:$O$3006,0)),"")))</f>
        <v/>
      </c>
      <c r="M2091" s="82" t="str">
        <f aca="false">IF(B2091="","",IF(OR(J2091&lt;&gt;"",K2091&lt;&gt;""),"POSÉ EN LIGNE",IF(COUNTIF(BARDAGE!$C$1:$C$5000,B2091)&gt;0,"BARDÉ","EN STOCK")))</f>
        <v/>
      </c>
      <c r="N2091" s="80"/>
    </row>
    <row r="2092" customFormat="false" ht="15" hidden="false" customHeight="false" outlineLevel="0" collapsed="false">
      <c r="A2092" s="82" t="str">
        <f aca="false">IF(B2092="","",ROW()-6)</f>
        <v/>
      </c>
      <c r="B2092" s="145"/>
      <c r="C2092" s="146"/>
      <c r="D2092" s="146"/>
      <c r="E2092" s="82" t="str">
        <f aca="false">IF(B2092="","",IF(COUNTIFS('CARNET DE SOUDURE'!$L$7:$L$3006,B2092,'CARNET DE SOUDURE'!$M$7:$M$3006,"&lt;&gt;"&amp;C2092,'CARNET DE SOUDURE'!$M$7:$M$3006,"&lt;&gt;")+COUNTIFS('CARNET DE SOUDURE'!$O$7:$O$3006,B2092,'CARNET DE SOUDURE'!$P$7:$P$3006,"&lt;&gt;"&amp;C2092,'CARNET DE SOUDURE'!$P$7:$P$3006,"&lt;&gt;")&gt;0,"⚠ DIFFÉRENTE","OK"))</f>
        <v/>
      </c>
      <c r="F2092" s="147"/>
      <c r="G2092" s="80"/>
      <c r="H2092" s="83"/>
      <c r="I2092" s="148" t="str">
        <f aca="false">IF(B2092="","",IFERROR(INDEX('CARNET DE SOUDURE'!$B$7:$B$3006,MATCH(B2092,'CARNET DE SOUDURE'!$L$7:$L$3006,0)),IFERROR(INDEX('CARNET DE SOUDURE'!$B$7:$B$3006,MATCH(B2092,'CARNET DE SOUDURE'!$O$7:$O$3006,0)),"")))</f>
        <v/>
      </c>
      <c r="J2092" s="82" t="str">
        <f aca="false">IF(B2092="","",IFERROR(INDEX('CARNET DE SOUDURE'!$E$7:$E$3006,MATCH(B2092,'CARNET DE SOUDURE'!$O$7:$O$3006,0)),""))</f>
        <v/>
      </c>
      <c r="K2092" s="82" t="str">
        <f aca="false">IF(B2092="","",IFERROR(INDEX('CARNET DE SOUDURE'!$E$7:$E$3006,MATCH(B2092,'CARNET DE SOUDURE'!$L$7:$L$3006,0)),""))</f>
        <v/>
      </c>
      <c r="L2092" s="82" t="str">
        <f aca="false">IF(B2092="","",IFERROR(INDEX('CARNET DE SOUDURE'!$D$7:$D$3006,MATCH(B2092,'CARNET DE SOUDURE'!$L$7:$L$3006,0)),IFERROR(INDEX('CARNET DE SOUDURE'!$D$7:$D$3006,MATCH(B2092,'CARNET DE SOUDURE'!$O$7:$O$3006,0)),"")))</f>
        <v/>
      </c>
      <c r="M2092" s="82" t="str">
        <f aca="false">IF(B2092="","",IF(OR(J2092&lt;&gt;"",K2092&lt;&gt;""),"POSÉ EN LIGNE",IF(COUNTIF(BARDAGE!$C$1:$C$5000,B2092)&gt;0,"BARDÉ","EN STOCK")))</f>
        <v/>
      </c>
      <c r="N2092" s="80"/>
    </row>
    <row r="2093" customFormat="false" ht="15" hidden="false" customHeight="false" outlineLevel="0" collapsed="false">
      <c r="A2093" s="82" t="str">
        <f aca="false">IF(B2093="","",ROW()-6)</f>
        <v/>
      </c>
      <c r="B2093" s="145"/>
      <c r="C2093" s="146"/>
      <c r="D2093" s="146"/>
      <c r="E2093" s="82" t="str">
        <f aca="false">IF(B2093="","",IF(COUNTIFS('CARNET DE SOUDURE'!$L$7:$L$3006,B2093,'CARNET DE SOUDURE'!$M$7:$M$3006,"&lt;&gt;"&amp;C2093,'CARNET DE SOUDURE'!$M$7:$M$3006,"&lt;&gt;")+COUNTIFS('CARNET DE SOUDURE'!$O$7:$O$3006,B2093,'CARNET DE SOUDURE'!$P$7:$P$3006,"&lt;&gt;"&amp;C2093,'CARNET DE SOUDURE'!$P$7:$P$3006,"&lt;&gt;")&gt;0,"⚠ DIFFÉRENTE","OK"))</f>
        <v/>
      </c>
      <c r="F2093" s="147"/>
      <c r="G2093" s="80"/>
      <c r="H2093" s="83"/>
      <c r="I2093" s="148" t="str">
        <f aca="false">IF(B2093="","",IFERROR(INDEX('CARNET DE SOUDURE'!$B$7:$B$3006,MATCH(B2093,'CARNET DE SOUDURE'!$L$7:$L$3006,0)),IFERROR(INDEX('CARNET DE SOUDURE'!$B$7:$B$3006,MATCH(B2093,'CARNET DE SOUDURE'!$O$7:$O$3006,0)),"")))</f>
        <v/>
      </c>
      <c r="J2093" s="82" t="str">
        <f aca="false">IF(B2093="","",IFERROR(INDEX('CARNET DE SOUDURE'!$E$7:$E$3006,MATCH(B2093,'CARNET DE SOUDURE'!$O$7:$O$3006,0)),""))</f>
        <v/>
      </c>
      <c r="K2093" s="82" t="str">
        <f aca="false">IF(B2093="","",IFERROR(INDEX('CARNET DE SOUDURE'!$E$7:$E$3006,MATCH(B2093,'CARNET DE SOUDURE'!$L$7:$L$3006,0)),""))</f>
        <v/>
      </c>
      <c r="L2093" s="82" t="str">
        <f aca="false">IF(B2093="","",IFERROR(INDEX('CARNET DE SOUDURE'!$D$7:$D$3006,MATCH(B2093,'CARNET DE SOUDURE'!$L$7:$L$3006,0)),IFERROR(INDEX('CARNET DE SOUDURE'!$D$7:$D$3006,MATCH(B2093,'CARNET DE SOUDURE'!$O$7:$O$3006,0)),"")))</f>
        <v/>
      </c>
      <c r="M2093" s="82" t="str">
        <f aca="false">IF(B2093="","",IF(OR(J2093&lt;&gt;"",K2093&lt;&gt;""),"POSÉ EN LIGNE",IF(COUNTIF(BARDAGE!$C$1:$C$5000,B2093)&gt;0,"BARDÉ","EN STOCK")))</f>
        <v/>
      </c>
      <c r="N2093" s="80"/>
    </row>
    <row r="2094" customFormat="false" ht="15" hidden="false" customHeight="false" outlineLevel="0" collapsed="false">
      <c r="A2094" s="82" t="str">
        <f aca="false">IF(B2094="","",ROW()-6)</f>
        <v/>
      </c>
      <c r="B2094" s="145"/>
      <c r="C2094" s="146"/>
      <c r="D2094" s="146"/>
      <c r="E2094" s="82" t="str">
        <f aca="false">IF(B2094="","",IF(COUNTIFS('CARNET DE SOUDURE'!$L$7:$L$3006,B2094,'CARNET DE SOUDURE'!$M$7:$M$3006,"&lt;&gt;"&amp;C2094,'CARNET DE SOUDURE'!$M$7:$M$3006,"&lt;&gt;")+COUNTIFS('CARNET DE SOUDURE'!$O$7:$O$3006,B2094,'CARNET DE SOUDURE'!$P$7:$P$3006,"&lt;&gt;"&amp;C2094,'CARNET DE SOUDURE'!$P$7:$P$3006,"&lt;&gt;")&gt;0,"⚠ DIFFÉRENTE","OK"))</f>
        <v/>
      </c>
      <c r="F2094" s="147"/>
      <c r="G2094" s="80"/>
      <c r="H2094" s="83"/>
      <c r="I2094" s="148" t="str">
        <f aca="false">IF(B2094="","",IFERROR(INDEX('CARNET DE SOUDURE'!$B$7:$B$3006,MATCH(B2094,'CARNET DE SOUDURE'!$L$7:$L$3006,0)),IFERROR(INDEX('CARNET DE SOUDURE'!$B$7:$B$3006,MATCH(B2094,'CARNET DE SOUDURE'!$O$7:$O$3006,0)),"")))</f>
        <v/>
      </c>
      <c r="J2094" s="82" t="str">
        <f aca="false">IF(B2094="","",IFERROR(INDEX('CARNET DE SOUDURE'!$E$7:$E$3006,MATCH(B2094,'CARNET DE SOUDURE'!$O$7:$O$3006,0)),""))</f>
        <v/>
      </c>
      <c r="K2094" s="82" t="str">
        <f aca="false">IF(B2094="","",IFERROR(INDEX('CARNET DE SOUDURE'!$E$7:$E$3006,MATCH(B2094,'CARNET DE SOUDURE'!$L$7:$L$3006,0)),""))</f>
        <v/>
      </c>
      <c r="L2094" s="82" t="str">
        <f aca="false">IF(B2094="","",IFERROR(INDEX('CARNET DE SOUDURE'!$D$7:$D$3006,MATCH(B2094,'CARNET DE SOUDURE'!$L$7:$L$3006,0)),IFERROR(INDEX('CARNET DE SOUDURE'!$D$7:$D$3006,MATCH(B2094,'CARNET DE SOUDURE'!$O$7:$O$3006,0)),"")))</f>
        <v/>
      </c>
      <c r="M2094" s="82" t="str">
        <f aca="false">IF(B2094="","",IF(OR(J2094&lt;&gt;"",K2094&lt;&gt;""),"POSÉ EN LIGNE",IF(COUNTIF(BARDAGE!$C$1:$C$5000,B2094)&gt;0,"BARDÉ","EN STOCK")))</f>
        <v/>
      </c>
      <c r="N2094" s="80"/>
    </row>
    <row r="2095" customFormat="false" ht="15" hidden="false" customHeight="false" outlineLevel="0" collapsed="false">
      <c r="A2095" s="82" t="str">
        <f aca="false">IF(B2095="","",ROW()-6)</f>
        <v/>
      </c>
      <c r="B2095" s="145"/>
      <c r="C2095" s="146"/>
      <c r="D2095" s="146"/>
      <c r="E2095" s="82" t="str">
        <f aca="false">IF(B2095="","",IF(COUNTIFS('CARNET DE SOUDURE'!$L$7:$L$3006,B2095,'CARNET DE SOUDURE'!$M$7:$M$3006,"&lt;&gt;"&amp;C2095,'CARNET DE SOUDURE'!$M$7:$M$3006,"&lt;&gt;")+COUNTIFS('CARNET DE SOUDURE'!$O$7:$O$3006,B2095,'CARNET DE SOUDURE'!$P$7:$P$3006,"&lt;&gt;"&amp;C2095,'CARNET DE SOUDURE'!$P$7:$P$3006,"&lt;&gt;")&gt;0,"⚠ DIFFÉRENTE","OK"))</f>
        <v/>
      </c>
      <c r="F2095" s="147"/>
      <c r="G2095" s="80"/>
      <c r="H2095" s="83"/>
      <c r="I2095" s="148" t="str">
        <f aca="false">IF(B2095="","",IFERROR(INDEX('CARNET DE SOUDURE'!$B$7:$B$3006,MATCH(B2095,'CARNET DE SOUDURE'!$L$7:$L$3006,0)),IFERROR(INDEX('CARNET DE SOUDURE'!$B$7:$B$3006,MATCH(B2095,'CARNET DE SOUDURE'!$O$7:$O$3006,0)),"")))</f>
        <v/>
      </c>
      <c r="J2095" s="82" t="str">
        <f aca="false">IF(B2095="","",IFERROR(INDEX('CARNET DE SOUDURE'!$E$7:$E$3006,MATCH(B2095,'CARNET DE SOUDURE'!$O$7:$O$3006,0)),""))</f>
        <v/>
      </c>
      <c r="K2095" s="82" t="str">
        <f aca="false">IF(B2095="","",IFERROR(INDEX('CARNET DE SOUDURE'!$E$7:$E$3006,MATCH(B2095,'CARNET DE SOUDURE'!$L$7:$L$3006,0)),""))</f>
        <v/>
      </c>
      <c r="L2095" s="82" t="str">
        <f aca="false">IF(B2095="","",IFERROR(INDEX('CARNET DE SOUDURE'!$D$7:$D$3006,MATCH(B2095,'CARNET DE SOUDURE'!$L$7:$L$3006,0)),IFERROR(INDEX('CARNET DE SOUDURE'!$D$7:$D$3006,MATCH(B2095,'CARNET DE SOUDURE'!$O$7:$O$3006,0)),"")))</f>
        <v/>
      </c>
      <c r="M2095" s="82" t="str">
        <f aca="false">IF(B2095="","",IF(OR(J2095&lt;&gt;"",K2095&lt;&gt;""),"POSÉ EN LIGNE",IF(COUNTIF(BARDAGE!$C$1:$C$5000,B2095)&gt;0,"BARDÉ","EN STOCK")))</f>
        <v/>
      </c>
      <c r="N2095" s="80"/>
    </row>
    <row r="2096" customFormat="false" ht="15" hidden="false" customHeight="false" outlineLevel="0" collapsed="false">
      <c r="A2096" s="82" t="str">
        <f aca="false">IF(B2096="","",ROW()-6)</f>
        <v/>
      </c>
      <c r="B2096" s="145"/>
      <c r="C2096" s="146"/>
      <c r="D2096" s="146"/>
      <c r="E2096" s="82" t="str">
        <f aca="false">IF(B2096="","",IF(COUNTIFS('CARNET DE SOUDURE'!$L$7:$L$3006,B2096,'CARNET DE SOUDURE'!$M$7:$M$3006,"&lt;&gt;"&amp;C2096,'CARNET DE SOUDURE'!$M$7:$M$3006,"&lt;&gt;")+COUNTIFS('CARNET DE SOUDURE'!$O$7:$O$3006,B2096,'CARNET DE SOUDURE'!$P$7:$P$3006,"&lt;&gt;"&amp;C2096,'CARNET DE SOUDURE'!$P$7:$P$3006,"&lt;&gt;")&gt;0,"⚠ DIFFÉRENTE","OK"))</f>
        <v/>
      </c>
      <c r="F2096" s="147"/>
      <c r="G2096" s="80"/>
      <c r="H2096" s="83"/>
      <c r="I2096" s="148" t="str">
        <f aca="false">IF(B2096="","",IFERROR(INDEX('CARNET DE SOUDURE'!$B$7:$B$3006,MATCH(B2096,'CARNET DE SOUDURE'!$L$7:$L$3006,0)),IFERROR(INDEX('CARNET DE SOUDURE'!$B$7:$B$3006,MATCH(B2096,'CARNET DE SOUDURE'!$O$7:$O$3006,0)),"")))</f>
        <v/>
      </c>
      <c r="J2096" s="82" t="str">
        <f aca="false">IF(B2096="","",IFERROR(INDEX('CARNET DE SOUDURE'!$E$7:$E$3006,MATCH(B2096,'CARNET DE SOUDURE'!$O$7:$O$3006,0)),""))</f>
        <v/>
      </c>
      <c r="K2096" s="82" t="str">
        <f aca="false">IF(B2096="","",IFERROR(INDEX('CARNET DE SOUDURE'!$E$7:$E$3006,MATCH(B2096,'CARNET DE SOUDURE'!$L$7:$L$3006,0)),""))</f>
        <v/>
      </c>
      <c r="L2096" s="82" t="str">
        <f aca="false">IF(B2096="","",IFERROR(INDEX('CARNET DE SOUDURE'!$D$7:$D$3006,MATCH(B2096,'CARNET DE SOUDURE'!$L$7:$L$3006,0)),IFERROR(INDEX('CARNET DE SOUDURE'!$D$7:$D$3006,MATCH(B2096,'CARNET DE SOUDURE'!$O$7:$O$3006,0)),"")))</f>
        <v/>
      </c>
      <c r="M2096" s="82" t="str">
        <f aca="false">IF(B2096="","",IF(OR(J2096&lt;&gt;"",K2096&lt;&gt;""),"POSÉ EN LIGNE",IF(COUNTIF(BARDAGE!$C$1:$C$5000,B2096)&gt;0,"BARDÉ","EN STOCK")))</f>
        <v/>
      </c>
      <c r="N2096" s="80"/>
    </row>
    <row r="2097" customFormat="false" ht="15" hidden="false" customHeight="false" outlineLevel="0" collapsed="false">
      <c r="A2097" s="82" t="str">
        <f aca="false">IF(B2097="","",ROW()-6)</f>
        <v/>
      </c>
      <c r="B2097" s="145"/>
      <c r="C2097" s="146"/>
      <c r="D2097" s="146"/>
      <c r="E2097" s="82" t="str">
        <f aca="false">IF(B2097="","",IF(COUNTIFS('CARNET DE SOUDURE'!$L$7:$L$3006,B2097,'CARNET DE SOUDURE'!$M$7:$M$3006,"&lt;&gt;"&amp;C2097,'CARNET DE SOUDURE'!$M$7:$M$3006,"&lt;&gt;")+COUNTIFS('CARNET DE SOUDURE'!$O$7:$O$3006,B2097,'CARNET DE SOUDURE'!$P$7:$P$3006,"&lt;&gt;"&amp;C2097,'CARNET DE SOUDURE'!$P$7:$P$3006,"&lt;&gt;")&gt;0,"⚠ DIFFÉRENTE","OK"))</f>
        <v/>
      </c>
      <c r="F2097" s="147"/>
      <c r="G2097" s="80"/>
      <c r="H2097" s="83"/>
      <c r="I2097" s="148" t="str">
        <f aca="false">IF(B2097="","",IFERROR(INDEX('CARNET DE SOUDURE'!$B$7:$B$3006,MATCH(B2097,'CARNET DE SOUDURE'!$L$7:$L$3006,0)),IFERROR(INDEX('CARNET DE SOUDURE'!$B$7:$B$3006,MATCH(B2097,'CARNET DE SOUDURE'!$O$7:$O$3006,0)),"")))</f>
        <v/>
      </c>
      <c r="J2097" s="82" t="str">
        <f aca="false">IF(B2097="","",IFERROR(INDEX('CARNET DE SOUDURE'!$E$7:$E$3006,MATCH(B2097,'CARNET DE SOUDURE'!$O$7:$O$3006,0)),""))</f>
        <v/>
      </c>
      <c r="K2097" s="82" t="str">
        <f aca="false">IF(B2097="","",IFERROR(INDEX('CARNET DE SOUDURE'!$E$7:$E$3006,MATCH(B2097,'CARNET DE SOUDURE'!$L$7:$L$3006,0)),""))</f>
        <v/>
      </c>
      <c r="L2097" s="82" t="str">
        <f aca="false">IF(B2097="","",IFERROR(INDEX('CARNET DE SOUDURE'!$D$7:$D$3006,MATCH(B2097,'CARNET DE SOUDURE'!$L$7:$L$3006,0)),IFERROR(INDEX('CARNET DE SOUDURE'!$D$7:$D$3006,MATCH(B2097,'CARNET DE SOUDURE'!$O$7:$O$3006,0)),"")))</f>
        <v/>
      </c>
      <c r="M2097" s="82" t="str">
        <f aca="false">IF(B2097="","",IF(OR(J2097&lt;&gt;"",K2097&lt;&gt;""),"POSÉ EN LIGNE",IF(COUNTIF(BARDAGE!$C$1:$C$5000,B2097)&gt;0,"BARDÉ","EN STOCK")))</f>
        <v/>
      </c>
      <c r="N2097" s="80"/>
    </row>
    <row r="2098" customFormat="false" ht="15" hidden="false" customHeight="false" outlineLevel="0" collapsed="false">
      <c r="A2098" s="82" t="str">
        <f aca="false">IF(B2098="","",ROW()-6)</f>
        <v/>
      </c>
      <c r="B2098" s="145"/>
      <c r="C2098" s="146"/>
      <c r="D2098" s="146"/>
      <c r="E2098" s="82" t="str">
        <f aca="false">IF(B2098="","",IF(COUNTIFS('CARNET DE SOUDURE'!$L$7:$L$3006,B2098,'CARNET DE SOUDURE'!$M$7:$M$3006,"&lt;&gt;"&amp;C2098,'CARNET DE SOUDURE'!$M$7:$M$3006,"&lt;&gt;")+COUNTIFS('CARNET DE SOUDURE'!$O$7:$O$3006,B2098,'CARNET DE SOUDURE'!$P$7:$P$3006,"&lt;&gt;"&amp;C2098,'CARNET DE SOUDURE'!$P$7:$P$3006,"&lt;&gt;")&gt;0,"⚠ DIFFÉRENTE","OK"))</f>
        <v/>
      </c>
      <c r="F2098" s="147"/>
      <c r="G2098" s="80"/>
      <c r="H2098" s="83"/>
      <c r="I2098" s="148" t="str">
        <f aca="false">IF(B2098="","",IFERROR(INDEX('CARNET DE SOUDURE'!$B$7:$B$3006,MATCH(B2098,'CARNET DE SOUDURE'!$L$7:$L$3006,0)),IFERROR(INDEX('CARNET DE SOUDURE'!$B$7:$B$3006,MATCH(B2098,'CARNET DE SOUDURE'!$O$7:$O$3006,0)),"")))</f>
        <v/>
      </c>
      <c r="J2098" s="82" t="str">
        <f aca="false">IF(B2098="","",IFERROR(INDEX('CARNET DE SOUDURE'!$E$7:$E$3006,MATCH(B2098,'CARNET DE SOUDURE'!$O$7:$O$3006,0)),""))</f>
        <v/>
      </c>
      <c r="K2098" s="82" t="str">
        <f aca="false">IF(B2098="","",IFERROR(INDEX('CARNET DE SOUDURE'!$E$7:$E$3006,MATCH(B2098,'CARNET DE SOUDURE'!$L$7:$L$3006,0)),""))</f>
        <v/>
      </c>
      <c r="L2098" s="82" t="str">
        <f aca="false">IF(B2098="","",IFERROR(INDEX('CARNET DE SOUDURE'!$D$7:$D$3006,MATCH(B2098,'CARNET DE SOUDURE'!$L$7:$L$3006,0)),IFERROR(INDEX('CARNET DE SOUDURE'!$D$7:$D$3006,MATCH(B2098,'CARNET DE SOUDURE'!$O$7:$O$3006,0)),"")))</f>
        <v/>
      </c>
      <c r="M2098" s="82" t="str">
        <f aca="false">IF(B2098="","",IF(OR(J2098&lt;&gt;"",K2098&lt;&gt;""),"POSÉ EN LIGNE",IF(COUNTIF(BARDAGE!$C$1:$C$5000,B2098)&gt;0,"BARDÉ","EN STOCK")))</f>
        <v/>
      </c>
      <c r="N2098" s="80"/>
    </row>
    <row r="2099" customFormat="false" ht="15" hidden="false" customHeight="false" outlineLevel="0" collapsed="false">
      <c r="A2099" s="82" t="str">
        <f aca="false">IF(B2099="","",ROW()-6)</f>
        <v/>
      </c>
      <c r="B2099" s="145"/>
      <c r="C2099" s="146"/>
      <c r="D2099" s="146"/>
      <c r="E2099" s="82" t="str">
        <f aca="false">IF(B2099="","",IF(COUNTIFS('CARNET DE SOUDURE'!$L$7:$L$3006,B2099,'CARNET DE SOUDURE'!$M$7:$M$3006,"&lt;&gt;"&amp;C2099,'CARNET DE SOUDURE'!$M$7:$M$3006,"&lt;&gt;")+COUNTIFS('CARNET DE SOUDURE'!$O$7:$O$3006,B2099,'CARNET DE SOUDURE'!$P$7:$P$3006,"&lt;&gt;"&amp;C2099,'CARNET DE SOUDURE'!$P$7:$P$3006,"&lt;&gt;")&gt;0,"⚠ DIFFÉRENTE","OK"))</f>
        <v/>
      </c>
      <c r="F2099" s="147"/>
      <c r="G2099" s="80"/>
      <c r="H2099" s="83"/>
      <c r="I2099" s="148" t="str">
        <f aca="false">IF(B2099="","",IFERROR(INDEX('CARNET DE SOUDURE'!$B$7:$B$3006,MATCH(B2099,'CARNET DE SOUDURE'!$L$7:$L$3006,0)),IFERROR(INDEX('CARNET DE SOUDURE'!$B$7:$B$3006,MATCH(B2099,'CARNET DE SOUDURE'!$O$7:$O$3006,0)),"")))</f>
        <v/>
      </c>
      <c r="J2099" s="82" t="str">
        <f aca="false">IF(B2099="","",IFERROR(INDEX('CARNET DE SOUDURE'!$E$7:$E$3006,MATCH(B2099,'CARNET DE SOUDURE'!$O$7:$O$3006,0)),""))</f>
        <v/>
      </c>
      <c r="K2099" s="82" t="str">
        <f aca="false">IF(B2099="","",IFERROR(INDEX('CARNET DE SOUDURE'!$E$7:$E$3006,MATCH(B2099,'CARNET DE SOUDURE'!$L$7:$L$3006,0)),""))</f>
        <v/>
      </c>
      <c r="L2099" s="82" t="str">
        <f aca="false">IF(B2099="","",IFERROR(INDEX('CARNET DE SOUDURE'!$D$7:$D$3006,MATCH(B2099,'CARNET DE SOUDURE'!$L$7:$L$3006,0)),IFERROR(INDEX('CARNET DE SOUDURE'!$D$7:$D$3006,MATCH(B2099,'CARNET DE SOUDURE'!$O$7:$O$3006,0)),"")))</f>
        <v/>
      </c>
      <c r="M2099" s="82" t="str">
        <f aca="false">IF(B2099="","",IF(OR(J2099&lt;&gt;"",K2099&lt;&gt;""),"POSÉ EN LIGNE",IF(COUNTIF(BARDAGE!$C$1:$C$5000,B2099)&gt;0,"BARDÉ","EN STOCK")))</f>
        <v/>
      </c>
      <c r="N2099" s="80"/>
    </row>
    <row r="2100" customFormat="false" ht="15" hidden="false" customHeight="false" outlineLevel="0" collapsed="false">
      <c r="A2100" s="82" t="str">
        <f aca="false">IF(B2100="","",ROW()-6)</f>
        <v/>
      </c>
      <c r="B2100" s="145"/>
      <c r="C2100" s="146"/>
      <c r="D2100" s="146"/>
      <c r="E2100" s="82" t="str">
        <f aca="false">IF(B2100="","",IF(COUNTIFS('CARNET DE SOUDURE'!$L$7:$L$3006,B2100,'CARNET DE SOUDURE'!$M$7:$M$3006,"&lt;&gt;"&amp;C2100,'CARNET DE SOUDURE'!$M$7:$M$3006,"&lt;&gt;")+COUNTIFS('CARNET DE SOUDURE'!$O$7:$O$3006,B2100,'CARNET DE SOUDURE'!$P$7:$P$3006,"&lt;&gt;"&amp;C2100,'CARNET DE SOUDURE'!$P$7:$P$3006,"&lt;&gt;")&gt;0,"⚠ DIFFÉRENTE","OK"))</f>
        <v/>
      </c>
      <c r="F2100" s="147"/>
      <c r="G2100" s="80"/>
      <c r="H2100" s="83"/>
      <c r="I2100" s="148" t="str">
        <f aca="false">IF(B2100="","",IFERROR(INDEX('CARNET DE SOUDURE'!$B$7:$B$3006,MATCH(B2100,'CARNET DE SOUDURE'!$L$7:$L$3006,0)),IFERROR(INDEX('CARNET DE SOUDURE'!$B$7:$B$3006,MATCH(B2100,'CARNET DE SOUDURE'!$O$7:$O$3006,0)),"")))</f>
        <v/>
      </c>
      <c r="J2100" s="82" t="str">
        <f aca="false">IF(B2100="","",IFERROR(INDEX('CARNET DE SOUDURE'!$E$7:$E$3006,MATCH(B2100,'CARNET DE SOUDURE'!$O$7:$O$3006,0)),""))</f>
        <v/>
      </c>
      <c r="K2100" s="82" t="str">
        <f aca="false">IF(B2100="","",IFERROR(INDEX('CARNET DE SOUDURE'!$E$7:$E$3006,MATCH(B2100,'CARNET DE SOUDURE'!$L$7:$L$3006,0)),""))</f>
        <v/>
      </c>
      <c r="L2100" s="82" t="str">
        <f aca="false">IF(B2100="","",IFERROR(INDEX('CARNET DE SOUDURE'!$D$7:$D$3006,MATCH(B2100,'CARNET DE SOUDURE'!$L$7:$L$3006,0)),IFERROR(INDEX('CARNET DE SOUDURE'!$D$7:$D$3006,MATCH(B2100,'CARNET DE SOUDURE'!$O$7:$O$3006,0)),"")))</f>
        <v/>
      </c>
      <c r="M2100" s="82" t="str">
        <f aca="false">IF(B2100="","",IF(OR(J2100&lt;&gt;"",K2100&lt;&gt;""),"POSÉ EN LIGNE",IF(COUNTIF(BARDAGE!$C$1:$C$5000,B2100)&gt;0,"BARDÉ","EN STOCK")))</f>
        <v/>
      </c>
      <c r="N2100" s="80"/>
    </row>
    <row r="2101" customFormat="false" ht="15" hidden="false" customHeight="false" outlineLevel="0" collapsed="false">
      <c r="A2101" s="82" t="str">
        <f aca="false">IF(B2101="","",ROW()-6)</f>
        <v/>
      </c>
      <c r="B2101" s="145"/>
      <c r="C2101" s="146"/>
      <c r="D2101" s="146"/>
      <c r="E2101" s="82" t="str">
        <f aca="false">IF(B2101="","",IF(COUNTIFS('CARNET DE SOUDURE'!$L$7:$L$3006,B2101,'CARNET DE SOUDURE'!$M$7:$M$3006,"&lt;&gt;"&amp;C2101,'CARNET DE SOUDURE'!$M$7:$M$3006,"&lt;&gt;")+COUNTIFS('CARNET DE SOUDURE'!$O$7:$O$3006,B2101,'CARNET DE SOUDURE'!$P$7:$P$3006,"&lt;&gt;"&amp;C2101,'CARNET DE SOUDURE'!$P$7:$P$3006,"&lt;&gt;")&gt;0,"⚠ DIFFÉRENTE","OK"))</f>
        <v/>
      </c>
      <c r="F2101" s="147"/>
      <c r="G2101" s="80"/>
      <c r="H2101" s="83"/>
      <c r="I2101" s="148" t="str">
        <f aca="false">IF(B2101="","",IFERROR(INDEX('CARNET DE SOUDURE'!$B$7:$B$3006,MATCH(B2101,'CARNET DE SOUDURE'!$L$7:$L$3006,0)),IFERROR(INDEX('CARNET DE SOUDURE'!$B$7:$B$3006,MATCH(B2101,'CARNET DE SOUDURE'!$O$7:$O$3006,0)),"")))</f>
        <v/>
      </c>
      <c r="J2101" s="82" t="str">
        <f aca="false">IF(B2101="","",IFERROR(INDEX('CARNET DE SOUDURE'!$E$7:$E$3006,MATCH(B2101,'CARNET DE SOUDURE'!$O$7:$O$3006,0)),""))</f>
        <v/>
      </c>
      <c r="K2101" s="82" t="str">
        <f aca="false">IF(B2101="","",IFERROR(INDEX('CARNET DE SOUDURE'!$E$7:$E$3006,MATCH(B2101,'CARNET DE SOUDURE'!$L$7:$L$3006,0)),""))</f>
        <v/>
      </c>
      <c r="L2101" s="82" t="str">
        <f aca="false">IF(B2101="","",IFERROR(INDEX('CARNET DE SOUDURE'!$D$7:$D$3006,MATCH(B2101,'CARNET DE SOUDURE'!$L$7:$L$3006,0)),IFERROR(INDEX('CARNET DE SOUDURE'!$D$7:$D$3006,MATCH(B2101,'CARNET DE SOUDURE'!$O$7:$O$3006,0)),"")))</f>
        <v/>
      </c>
      <c r="M2101" s="82" t="str">
        <f aca="false">IF(B2101="","",IF(OR(J2101&lt;&gt;"",K2101&lt;&gt;""),"POSÉ EN LIGNE",IF(COUNTIF(BARDAGE!$C$1:$C$5000,B2101)&gt;0,"BARDÉ","EN STOCK")))</f>
        <v/>
      </c>
      <c r="N2101" s="80"/>
    </row>
    <row r="2102" customFormat="false" ht="15" hidden="false" customHeight="false" outlineLevel="0" collapsed="false">
      <c r="A2102" s="82" t="str">
        <f aca="false">IF(B2102="","",ROW()-6)</f>
        <v/>
      </c>
      <c r="B2102" s="145"/>
      <c r="C2102" s="146"/>
      <c r="D2102" s="146"/>
      <c r="E2102" s="82" t="str">
        <f aca="false">IF(B2102="","",IF(COUNTIFS('CARNET DE SOUDURE'!$L$7:$L$3006,B2102,'CARNET DE SOUDURE'!$M$7:$M$3006,"&lt;&gt;"&amp;C2102,'CARNET DE SOUDURE'!$M$7:$M$3006,"&lt;&gt;")+COUNTIFS('CARNET DE SOUDURE'!$O$7:$O$3006,B2102,'CARNET DE SOUDURE'!$P$7:$P$3006,"&lt;&gt;"&amp;C2102,'CARNET DE SOUDURE'!$P$7:$P$3006,"&lt;&gt;")&gt;0,"⚠ DIFFÉRENTE","OK"))</f>
        <v/>
      </c>
      <c r="F2102" s="147"/>
      <c r="G2102" s="80"/>
      <c r="H2102" s="83"/>
      <c r="I2102" s="148" t="str">
        <f aca="false">IF(B2102="","",IFERROR(INDEX('CARNET DE SOUDURE'!$B$7:$B$3006,MATCH(B2102,'CARNET DE SOUDURE'!$L$7:$L$3006,0)),IFERROR(INDEX('CARNET DE SOUDURE'!$B$7:$B$3006,MATCH(B2102,'CARNET DE SOUDURE'!$O$7:$O$3006,0)),"")))</f>
        <v/>
      </c>
      <c r="J2102" s="82" t="str">
        <f aca="false">IF(B2102="","",IFERROR(INDEX('CARNET DE SOUDURE'!$E$7:$E$3006,MATCH(B2102,'CARNET DE SOUDURE'!$O$7:$O$3006,0)),""))</f>
        <v/>
      </c>
      <c r="K2102" s="82" t="str">
        <f aca="false">IF(B2102="","",IFERROR(INDEX('CARNET DE SOUDURE'!$E$7:$E$3006,MATCH(B2102,'CARNET DE SOUDURE'!$L$7:$L$3006,0)),""))</f>
        <v/>
      </c>
      <c r="L2102" s="82" t="str">
        <f aca="false">IF(B2102="","",IFERROR(INDEX('CARNET DE SOUDURE'!$D$7:$D$3006,MATCH(B2102,'CARNET DE SOUDURE'!$L$7:$L$3006,0)),IFERROR(INDEX('CARNET DE SOUDURE'!$D$7:$D$3006,MATCH(B2102,'CARNET DE SOUDURE'!$O$7:$O$3006,0)),"")))</f>
        <v/>
      </c>
      <c r="M2102" s="82" t="str">
        <f aca="false">IF(B2102="","",IF(OR(J2102&lt;&gt;"",K2102&lt;&gt;""),"POSÉ EN LIGNE",IF(COUNTIF(BARDAGE!$C$1:$C$5000,B2102)&gt;0,"BARDÉ","EN STOCK")))</f>
        <v/>
      </c>
      <c r="N2102" s="80"/>
    </row>
    <row r="2103" customFormat="false" ht="15" hidden="false" customHeight="false" outlineLevel="0" collapsed="false">
      <c r="A2103" s="82" t="str">
        <f aca="false">IF(B2103="","",ROW()-6)</f>
        <v/>
      </c>
      <c r="B2103" s="145"/>
      <c r="C2103" s="146"/>
      <c r="D2103" s="146"/>
      <c r="E2103" s="82" t="str">
        <f aca="false">IF(B2103="","",IF(COUNTIFS('CARNET DE SOUDURE'!$L$7:$L$3006,B2103,'CARNET DE SOUDURE'!$M$7:$M$3006,"&lt;&gt;"&amp;C2103,'CARNET DE SOUDURE'!$M$7:$M$3006,"&lt;&gt;")+COUNTIFS('CARNET DE SOUDURE'!$O$7:$O$3006,B2103,'CARNET DE SOUDURE'!$P$7:$P$3006,"&lt;&gt;"&amp;C2103,'CARNET DE SOUDURE'!$P$7:$P$3006,"&lt;&gt;")&gt;0,"⚠ DIFFÉRENTE","OK"))</f>
        <v/>
      </c>
      <c r="F2103" s="147"/>
      <c r="G2103" s="80"/>
      <c r="H2103" s="83"/>
      <c r="I2103" s="148" t="str">
        <f aca="false">IF(B2103="","",IFERROR(INDEX('CARNET DE SOUDURE'!$B$7:$B$3006,MATCH(B2103,'CARNET DE SOUDURE'!$L$7:$L$3006,0)),IFERROR(INDEX('CARNET DE SOUDURE'!$B$7:$B$3006,MATCH(B2103,'CARNET DE SOUDURE'!$O$7:$O$3006,0)),"")))</f>
        <v/>
      </c>
      <c r="J2103" s="82" t="str">
        <f aca="false">IF(B2103="","",IFERROR(INDEX('CARNET DE SOUDURE'!$E$7:$E$3006,MATCH(B2103,'CARNET DE SOUDURE'!$O$7:$O$3006,0)),""))</f>
        <v/>
      </c>
      <c r="K2103" s="82" t="str">
        <f aca="false">IF(B2103="","",IFERROR(INDEX('CARNET DE SOUDURE'!$E$7:$E$3006,MATCH(B2103,'CARNET DE SOUDURE'!$L$7:$L$3006,0)),""))</f>
        <v/>
      </c>
      <c r="L2103" s="82" t="str">
        <f aca="false">IF(B2103="","",IFERROR(INDEX('CARNET DE SOUDURE'!$D$7:$D$3006,MATCH(B2103,'CARNET DE SOUDURE'!$L$7:$L$3006,0)),IFERROR(INDEX('CARNET DE SOUDURE'!$D$7:$D$3006,MATCH(B2103,'CARNET DE SOUDURE'!$O$7:$O$3006,0)),"")))</f>
        <v/>
      </c>
      <c r="M2103" s="82" t="str">
        <f aca="false">IF(B2103="","",IF(OR(J2103&lt;&gt;"",K2103&lt;&gt;""),"POSÉ EN LIGNE",IF(COUNTIF(BARDAGE!$C$1:$C$5000,B2103)&gt;0,"BARDÉ","EN STOCK")))</f>
        <v/>
      </c>
      <c r="N2103" s="80"/>
    </row>
    <row r="2104" customFormat="false" ht="15" hidden="false" customHeight="false" outlineLevel="0" collapsed="false">
      <c r="A2104" s="82" t="str">
        <f aca="false">IF(B2104="","",ROW()-6)</f>
        <v/>
      </c>
      <c r="B2104" s="145"/>
      <c r="C2104" s="146"/>
      <c r="D2104" s="146"/>
      <c r="E2104" s="82" t="str">
        <f aca="false">IF(B2104="","",IF(COUNTIFS('CARNET DE SOUDURE'!$L$7:$L$3006,B2104,'CARNET DE SOUDURE'!$M$7:$M$3006,"&lt;&gt;"&amp;C2104,'CARNET DE SOUDURE'!$M$7:$M$3006,"&lt;&gt;")+COUNTIFS('CARNET DE SOUDURE'!$O$7:$O$3006,B2104,'CARNET DE SOUDURE'!$P$7:$P$3006,"&lt;&gt;"&amp;C2104,'CARNET DE SOUDURE'!$P$7:$P$3006,"&lt;&gt;")&gt;0,"⚠ DIFFÉRENTE","OK"))</f>
        <v/>
      </c>
      <c r="F2104" s="147"/>
      <c r="G2104" s="80"/>
      <c r="H2104" s="83"/>
      <c r="I2104" s="148" t="str">
        <f aca="false">IF(B2104="","",IFERROR(INDEX('CARNET DE SOUDURE'!$B$7:$B$3006,MATCH(B2104,'CARNET DE SOUDURE'!$L$7:$L$3006,0)),IFERROR(INDEX('CARNET DE SOUDURE'!$B$7:$B$3006,MATCH(B2104,'CARNET DE SOUDURE'!$O$7:$O$3006,0)),"")))</f>
        <v/>
      </c>
      <c r="J2104" s="82" t="str">
        <f aca="false">IF(B2104="","",IFERROR(INDEX('CARNET DE SOUDURE'!$E$7:$E$3006,MATCH(B2104,'CARNET DE SOUDURE'!$O$7:$O$3006,0)),""))</f>
        <v/>
      </c>
      <c r="K2104" s="82" t="str">
        <f aca="false">IF(B2104="","",IFERROR(INDEX('CARNET DE SOUDURE'!$E$7:$E$3006,MATCH(B2104,'CARNET DE SOUDURE'!$L$7:$L$3006,0)),""))</f>
        <v/>
      </c>
      <c r="L2104" s="82" t="str">
        <f aca="false">IF(B2104="","",IFERROR(INDEX('CARNET DE SOUDURE'!$D$7:$D$3006,MATCH(B2104,'CARNET DE SOUDURE'!$L$7:$L$3006,0)),IFERROR(INDEX('CARNET DE SOUDURE'!$D$7:$D$3006,MATCH(B2104,'CARNET DE SOUDURE'!$O$7:$O$3006,0)),"")))</f>
        <v/>
      </c>
      <c r="M2104" s="82" t="str">
        <f aca="false">IF(B2104="","",IF(OR(J2104&lt;&gt;"",K2104&lt;&gt;""),"POSÉ EN LIGNE",IF(COUNTIF(BARDAGE!$C$1:$C$5000,B2104)&gt;0,"BARDÉ","EN STOCK")))</f>
        <v/>
      </c>
      <c r="N2104" s="80"/>
    </row>
    <row r="2105" customFormat="false" ht="15" hidden="false" customHeight="false" outlineLevel="0" collapsed="false">
      <c r="A2105" s="82" t="str">
        <f aca="false">IF(B2105="","",ROW()-6)</f>
        <v/>
      </c>
      <c r="B2105" s="145"/>
      <c r="C2105" s="146"/>
      <c r="D2105" s="146"/>
      <c r="E2105" s="82" t="str">
        <f aca="false">IF(B2105="","",IF(COUNTIFS('CARNET DE SOUDURE'!$L$7:$L$3006,B2105,'CARNET DE SOUDURE'!$M$7:$M$3006,"&lt;&gt;"&amp;C2105,'CARNET DE SOUDURE'!$M$7:$M$3006,"&lt;&gt;")+COUNTIFS('CARNET DE SOUDURE'!$O$7:$O$3006,B2105,'CARNET DE SOUDURE'!$P$7:$P$3006,"&lt;&gt;"&amp;C2105,'CARNET DE SOUDURE'!$P$7:$P$3006,"&lt;&gt;")&gt;0,"⚠ DIFFÉRENTE","OK"))</f>
        <v/>
      </c>
      <c r="F2105" s="147"/>
      <c r="G2105" s="80"/>
      <c r="H2105" s="83"/>
      <c r="I2105" s="148" t="str">
        <f aca="false">IF(B2105="","",IFERROR(INDEX('CARNET DE SOUDURE'!$B$7:$B$3006,MATCH(B2105,'CARNET DE SOUDURE'!$L$7:$L$3006,0)),IFERROR(INDEX('CARNET DE SOUDURE'!$B$7:$B$3006,MATCH(B2105,'CARNET DE SOUDURE'!$O$7:$O$3006,0)),"")))</f>
        <v/>
      </c>
      <c r="J2105" s="82" t="str">
        <f aca="false">IF(B2105="","",IFERROR(INDEX('CARNET DE SOUDURE'!$E$7:$E$3006,MATCH(B2105,'CARNET DE SOUDURE'!$O$7:$O$3006,0)),""))</f>
        <v/>
      </c>
      <c r="K2105" s="82" t="str">
        <f aca="false">IF(B2105="","",IFERROR(INDEX('CARNET DE SOUDURE'!$E$7:$E$3006,MATCH(B2105,'CARNET DE SOUDURE'!$L$7:$L$3006,0)),""))</f>
        <v/>
      </c>
      <c r="L2105" s="82" t="str">
        <f aca="false">IF(B2105="","",IFERROR(INDEX('CARNET DE SOUDURE'!$D$7:$D$3006,MATCH(B2105,'CARNET DE SOUDURE'!$L$7:$L$3006,0)),IFERROR(INDEX('CARNET DE SOUDURE'!$D$7:$D$3006,MATCH(B2105,'CARNET DE SOUDURE'!$O$7:$O$3006,0)),"")))</f>
        <v/>
      </c>
      <c r="M2105" s="82" t="str">
        <f aca="false">IF(B2105="","",IF(OR(J2105&lt;&gt;"",K2105&lt;&gt;""),"POSÉ EN LIGNE",IF(COUNTIF(BARDAGE!$C$1:$C$5000,B2105)&gt;0,"BARDÉ","EN STOCK")))</f>
        <v/>
      </c>
      <c r="N2105" s="80"/>
    </row>
    <row r="2106" customFormat="false" ht="15" hidden="false" customHeight="false" outlineLevel="0" collapsed="false">
      <c r="A2106" s="82" t="str">
        <f aca="false">IF(B2106="","",ROW()-6)</f>
        <v/>
      </c>
      <c r="B2106" s="145"/>
      <c r="C2106" s="146"/>
      <c r="D2106" s="146"/>
      <c r="E2106" s="82" t="str">
        <f aca="false">IF(B2106="","",IF(COUNTIFS('CARNET DE SOUDURE'!$L$7:$L$3006,B2106,'CARNET DE SOUDURE'!$M$7:$M$3006,"&lt;&gt;"&amp;C2106,'CARNET DE SOUDURE'!$M$7:$M$3006,"&lt;&gt;")+COUNTIFS('CARNET DE SOUDURE'!$O$7:$O$3006,B2106,'CARNET DE SOUDURE'!$P$7:$P$3006,"&lt;&gt;"&amp;C2106,'CARNET DE SOUDURE'!$P$7:$P$3006,"&lt;&gt;")&gt;0,"⚠ DIFFÉRENTE","OK"))</f>
        <v/>
      </c>
      <c r="F2106" s="147"/>
      <c r="G2106" s="80"/>
      <c r="H2106" s="83"/>
      <c r="I2106" s="148" t="str">
        <f aca="false">IF(B2106="","",IFERROR(INDEX('CARNET DE SOUDURE'!$B$7:$B$3006,MATCH(B2106,'CARNET DE SOUDURE'!$L$7:$L$3006,0)),IFERROR(INDEX('CARNET DE SOUDURE'!$B$7:$B$3006,MATCH(B2106,'CARNET DE SOUDURE'!$O$7:$O$3006,0)),"")))</f>
        <v/>
      </c>
      <c r="J2106" s="82" t="str">
        <f aca="false">IF(B2106="","",IFERROR(INDEX('CARNET DE SOUDURE'!$E$7:$E$3006,MATCH(B2106,'CARNET DE SOUDURE'!$O$7:$O$3006,0)),""))</f>
        <v/>
      </c>
      <c r="K2106" s="82" t="str">
        <f aca="false">IF(B2106="","",IFERROR(INDEX('CARNET DE SOUDURE'!$E$7:$E$3006,MATCH(B2106,'CARNET DE SOUDURE'!$L$7:$L$3006,0)),""))</f>
        <v/>
      </c>
      <c r="L2106" s="82" t="str">
        <f aca="false">IF(B2106="","",IFERROR(INDEX('CARNET DE SOUDURE'!$D$7:$D$3006,MATCH(B2106,'CARNET DE SOUDURE'!$L$7:$L$3006,0)),IFERROR(INDEX('CARNET DE SOUDURE'!$D$7:$D$3006,MATCH(B2106,'CARNET DE SOUDURE'!$O$7:$O$3006,0)),"")))</f>
        <v/>
      </c>
      <c r="M2106" s="82" t="str">
        <f aca="false">IF(B2106="","",IF(OR(J2106&lt;&gt;"",K2106&lt;&gt;""),"POSÉ EN LIGNE",IF(COUNTIF(BARDAGE!$C$1:$C$5000,B2106)&gt;0,"BARDÉ","EN STOCK")))</f>
        <v/>
      </c>
      <c r="N2106" s="80"/>
    </row>
    <row r="2107" customFormat="false" ht="15" hidden="false" customHeight="false" outlineLevel="0" collapsed="false">
      <c r="A2107" s="82" t="str">
        <f aca="false">IF(B2107="","",ROW()-6)</f>
        <v/>
      </c>
      <c r="B2107" s="145"/>
      <c r="C2107" s="146"/>
      <c r="D2107" s="146"/>
      <c r="E2107" s="82" t="str">
        <f aca="false">IF(B2107="","",IF(COUNTIFS('CARNET DE SOUDURE'!$L$7:$L$3006,B2107,'CARNET DE SOUDURE'!$M$7:$M$3006,"&lt;&gt;"&amp;C2107,'CARNET DE SOUDURE'!$M$7:$M$3006,"&lt;&gt;")+COUNTIFS('CARNET DE SOUDURE'!$O$7:$O$3006,B2107,'CARNET DE SOUDURE'!$P$7:$P$3006,"&lt;&gt;"&amp;C2107,'CARNET DE SOUDURE'!$P$7:$P$3006,"&lt;&gt;")&gt;0,"⚠ DIFFÉRENTE","OK"))</f>
        <v/>
      </c>
      <c r="F2107" s="147"/>
      <c r="G2107" s="80"/>
      <c r="H2107" s="83"/>
      <c r="I2107" s="148" t="str">
        <f aca="false">IF(B2107="","",IFERROR(INDEX('CARNET DE SOUDURE'!$B$7:$B$3006,MATCH(B2107,'CARNET DE SOUDURE'!$L$7:$L$3006,0)),IFERROR(INDEX('CARNET DE SOUDURE'!$B$7:$B$3006,MATCH(B2107,'CARNET DE SOUDURE'!$O$7:$O$3006,0)),"")))</f>
        <v/>
      </c>
      <c r="J2107" s="82" t="str">
        <f aca="false">IF(B2107="","",IFERROR(INDEX('CARNET DE SOUDURE'!$E$7:$E$3006,MATCH(B2107,'CARNET DE SOUDURE'!$O$7:$O$3006,0)),""))</f>
        <v/>
      </c>
      <c r="K2107" s="82" t="str">
        <f aca="false">IF(B2107="","",IFERROR(INDEX('CARNET DE SOUDURE'!$E$7:$E$3006,MATCH(B2107,'CARNET DE SOUDURE'!$L$7:$L$3006,0)),""))</f>
        <v/>
      </c>
      <c r="L2107" s="82" t="str">
        <f aca="false">IF(B2107="","",IFERROR(INDEX('CARNET DE SOUDURE'!$D$7:$D$3006,MATCH(B2107,'CARNET DE SOUDURE'!$L$7:$L$3006,0)),IFERROR(INDEX('CARNET DE SOUDURE'!$D$7:$D$3006,MATCH(B2107,'CARNET DE SOUDURE'!$O$7:$O$3006,0)),"")))</f>
        <v/>
      </c>
      <c r="M2107" s="82" t="str">
        <f aca="false">IF(B2107="","",IF(OR(J2107&lt;&gt;"",K2107&lt;&gt;""),"POSÉ EN LIGNE",IF(COUNTIF(BARDAGE!$C$1:$C$5000,B2107)&gt;0,"BARDÉ","EN STOCK")))</f>
        <v/>
      </c>
      <c r="N2107" s="80"/>
    </row>
    <row r="2108" customFormat="false" ht="15" hidden="false" customHeight="false" outlineLevel="0" collapsed="false">
      <c r="A2108" s="82" t="str">
        <f aca="false">IF(B2108="","",ROW()-6)</f>
        <v/>
      </c>
      <c r="B2108" s="145"/>
      <c r="C2108" s="146"/>
      <c r="D2108" s="146"/>
      <c r="E2108" s="82" t="str">
        <f aca="false">IF(B2108="","",IF(COUNTIFS('CARNET DE SOUDURE'!$L$7:$L$3006,B2108,'CARNET DE SOUDURE'!$M$7:$M$3006,"&lt;&gt;"&amp;C2108,'CARNET DE SOUDURE'!$M$7:$M$3006,"&lt;&gt;")+COUNTIFS('CARNET DE SOUDURE'!$O$7:$O$3006,B2108,'CARNET DE SOUDURE'!$P$7:$P$3006,"&lt;&gt;"&amp;C2108,'CARNET DE SOUDURE'!$P$7:$P$3006,"&lt;&gt;")&gt;0,"⚠ DIFFÉRENTE","OK"))</f>
        <v/>
      </c>
      <c r="F2108" s="147"/>
      <c r="G2108" s="80"/>
      <c r="H2108" s="83"/>
      <c r="I2108" s="148" t="str">
        <f aca="false">IF(B2108="","",IFERROR(INDEX('CARNET DE SOUDURE'!$B$7:$B$3006,MATCH(B2108,'CARNET DE SOUDURE'!$L$7:$L$3006,0)),IFERROR(INDEX('CARNET DE SOUDURE'!$B$7:$B$3006,MATCH(B2108,'CARNET DE SOUDURE'!$O$7:$O$3006,0)),"")))</f>
        <v/>
      </c>
      <c r="J2108" s="82" t="str">
        <f aca="false">IF(B2108="","",IFERROR(INDEX('CARNET DE SOUDURE'!$E$7:$E$3006,MATCH(B2108,'CARNET DE SOUDURE'!$O$7:$O$3006,0)),""))</f>
        <v/>
      </c>
      <c r="K2108" s="82" t="str">
        <f aca="false">IF(B2108="","",IFERROR(INDEX('CARNET DE SOUDURE'!$E$7:$E$3006,MATCH(B2108,'CARNET DE SOUDURE'!$L$7:$L$3006,0)),""))</f>
        <v/>
      </c>
      <c r="L2108" s="82" t="str">
        <f aca="false">IF(B2108="","",IFERROR(INDEX('CARNET DE SOUDURE'!$D$7:$D$3006,MATCH(B2108,'CARNET DE SOUDURE'!$L$7:$L$3006,0)),IFERROR(INDEX('CARNET DE SOUDURE'!$D$7:$D$3006,MATCH(B2108,'CARNET DE SOUDURE'!$O$7:$O$3006,0)),"")))</f>
        <v/>
      </c>
      <c r="M2108" s="82" t="str">
        <f aca="false">IF(B2108="","",IF(OR(J2108&lt;&gt;"",K2108&lt;&gt;""),"POSÉ EN LIGNE",IF(COUNTIF(BARDAGE!$C$1:$C$5000,B2108)&gt;0,"BARDÉ","EN STOCK")))</f>
        <v/>
      </c>
      <c r="N2108" s="80"/>
    </row>
    <row r="2109" customFormat="false" ht="15" hidden="false" customHeight="false" outlineLevel="0" collapsed="false">
      <c r="A2109" s="82" t="str">
        <f aca="false">IF(B2109="","",ROW()-6)</f>
        <v/>
      </c>
      <c r="B2109" s="145"/>
      <c r="C2109" s="146"/>
      <c r="D2109" s="146"/>
      <c r="E2109" s="82" t="str">
        <f aca="false">IF(B2109="","",IF(COUNTIFS('CARNET DE SOUDURE'!$L$7:$L$3006,B2109,'CARNET DE SOUDURE'!$M$7:$M$3006,"&lt;&gt;"&amp;C2109,'CARNET DE SOUDURE'!$M$7:$M$3006,"&lt;&gt;")+COUNTIFS('CARNET DE SOUDURE'!$O$7:$O$3006,B2109,'CARNET DE SOUDURE'!$P$7:$P$3006,"&lt;&gt;"&amp;C2109,'CARNET DE SOUDURE'!$P$7:$P$3006,"&lt;&gt;")&gt;0,"⚠ DIFFÉRENTE","OK"))</f>
        <v/>
      </c>
      <c r="F2109" s="147"/>
      <c r="G2109" s="80"/>
      <c r="H2109" s="83"/>
      <c r="I2109" s="148" t="str">
        <f aca="false">IF(B2109="","",IFERROR(INDEX('CARNET DE SOUDURE'!$B$7:$B$3006,MATCH(B2109,'CARNET DE SOUDURE'!$L$7:$L$3006,0)),IFERROR(INDEX('CARNET DE SOUDURE'!$B$7:$B$3006,MATCH(B2109,'CARNET DE SOUDURE'!$O$7:$O$3006,0)),"")))</f>
        <v/>
      </c>
      <c r="J2109" s="82" t="str">
        <f aca="false">IF(B2109="","",IFERROR(INDEX('CARNET DE SOUDURE'!$E$7:$E$3006,MATCH(B2109,'CARNET DE SOUDURE'!$O$7:$O$3006,0)),""))</f>
        <v/>
      </c>
      <c r="K2109" s="82" t="str">
        <f aca="false">IF(B2109="","",IFERROR(INDEX('CARNET DE SOUDURE'!$E$7:$E$3006,MATCH(B2109,'CARNET DE SOUDURE'!$L$7:$L$3006,0)),""))</f>
        <v/>
      </c>
      <c r="L2109" s="82" t="str">
        <f aca="false">IF(B2109="","",IFERROR(INDEX('CARNET DE SOUDURE'!$D$7:$D$3006,MATCH(B2109,'CARNET DE SOUDURE'!$L$7:$L$3006,0)),IFERROR(INDEX('CARNET DE SOUDURE'!$D$7:$D$3006,MATCH(B2109,'CARNET DE SOUDURE'!$O$7:$O$3006,0)),"")))</f>
        <v/>
      </c>
      <c r="M2109" s="82" t="str">
        <f aca="false">IF(B2109="","",IF(OR(J2109&lt;&gt;"",K2109&lt;&gt;""),"POSÉ EN LIGNE",IF(COUNTIF(BARDAGE!$C$1:$C$5000,B2109)&gt;0,"BARDÉ","EN STOCK")))</f>
        <v/>
      </c>
      <c r="N2109" s="80"/>
    </row>
    <row r="2110" customFormat="false" ht="15" hidden="false" customHeight="false" outlineLevel="0" collapsed="false">
      <c r="A2110" s="82" t="str">
        <f aca="false">IF(B2110="","",ROW()-6)</f>
        <v/>
      </c>
      <c r="B2110" s="145"/>
      <c r="C2110" s="146"/>
      <c r="D2110" s="146"/>
      <c r="E2110" s="82" t="str">
        <f aca="false">IF(B2110="","",IF(COUNTIFS('CARNET DE SOUDURE'!$L$7:$L$3006,B2110,'CARNET DE SOUDURE'!$M$7:$M$3006,"&lt;&gt;"&amp;C2110,'CARNET DE SOUDURE'!$M$7:$M$3006,"&lt;&gt;")+COUNTIFS('CARNET DE SOUDURE'!$O$7:$O$3006,B2110,'CARNET DE SOUDURE'!$P$7:$P$3006,"&lt;&gt;"&amp;C2110,'CARNET DE SOUDURE'!$P$7:$P$3006,"&lt;&gt;")&gt;0,"⚠ DIFFÉRENTE","OK"))</f>
        <v/>
      </c>
      <c r="F2110" s="147"/>
      <c r="G2110" s="80"/>
      <c r="H2110" s="83"/>
      <c r="I2110" s="148" t="str">
        <f aca="false">IF(B2110="","",IFERROR(INDEX('CARNET DE SOUDURE'!$B$7:$B$3006,MATCH(B2110,'CARNET DE SOUDURE'!$L$7:$L$3006,0)),IFERROR(INDEX('CARNET DE SOUDURE'!$B$7:$B$3006,MATCH(B2110,'CARNET DE SOUDURE'!$O$7:$O$3006,0)),"")))</f>
        <v/>
      </c>
      <c r="J2110" s="82" t="str">
        <f aca="false">IF(B2110="","",IFERROR(INDEX('CARNET DE SOUDURE'!$E$7:$E$3006,MATCH(B2110,'CARNET DE SOUDURE'!$O$7:$O$3006,0)),""))</f>
        <v/>
      </c>
      <c r="K2110" s="82" t="str">
        <f aca="false">IF(B2110="","",IFERROR(INDEX('CARNET DE SOUDURE'!$E$7:$E$3006,MATCH(B2110,'CARNET DE SOUDURE'!$L$7:$L$3006,0)),""))</f>
        <v/>
      </c>
      <c r="L2110" s="82" t="str">
        <f aca="false">IF(B2110="","",IFERROR(INDEX('CARNET DE SOUDURE'!$D$7:$D$3006,MATCH(B2110,'CARNET DE SOUDURE'!$L$7:$L$3006,0)),IFERROR(INDEX('CARNET DE SOUDURE'!$D$7:$D$3006,MATCH(B2110,'CARNET DE SOUDURE'!$O$7:$O$3006,0)),"")))</f>
        <v/>
      </c>
      <c r="M2110" s="82" t="str">
        <f aca="false">IF(B2110="","",IF(OR(J2110&lt;&gt;"",K2110&lt;&gt;""),"POSÉ EN LIGNE",IF(COUNTIF(BARDAGE!$C$1:$C$5000,B2110)&gt;0,"BARDÉ","EN STOCK")))</f>
        <v/>
      </c>
      <c r="N2110" s="80"/>
    </row>
    <row r="2111" customFormat="false" ht="15" hidden="false" customHeight="false" outlineLevel="0" collapsed="false">
      <c r="A2111" s="82" t="str">
        <f aca="false">IF(B2111="","",ROW()-6)</f>
        <v/>
      </c>
      <c r="B2111" s="145"/>
      <c r="C2111" s="146"/>
      <c r="D2111" s="146"/>
      <c r="E2111" s="82" t="str">
        <f aca="false">IF(B2111="","",IF(COUNTIFS('CARNET DE SOUDURE'!$L$7:$L$3006,B2111,'CARNET DE SOUDURE'!$M$7:$M$3006,"&lt;&gt;"&amp;C2111,'CARNET DE SOUDURE'!$M$7:$M$3006,"&lt;&gt;")+COUNTIFS('CARNET DE SOUDURE'!$O$7:$O$3006,B2111,'CARNET DE SOUDURE'!$P$7:$P$3006,"&lt;&gt;"&amp;C2111,'CARNET DE SOUDURE'!$P$7:$P$3006,"&lt;&gt;")&gt;0,"⚠ DIFFÉRENTE","OK"))</f>
        <v/>
      </c>
      <c r="F2111" s="147"/>
      <c r="G2111" s="80"/>
      <c r="H2111" s="83"/>
      <c r="I2111" s="148" t="str">
        <f aca="false">IF(B2111="","",IFERROR(INDEX('CARNET DE SOUDURE'!$B$7:$B$3006,MATCH(B2111,'CARNET DE SOUDURE'!$L$7:$L$3006,0)),IFERROR(INDEX('CARNET DE SOUDURE'!$B$7:$B$3006,MATCH(B2111,'CARNET DE SOUDURE'!$O$7:$O$3006,0)),"")))</f>
        <v/>
      </c>
      <c r="J2111" s="82" t="str">
        <f aca="false">IF(B2111="","",IFERROR(INDEX('CARNET DE SOUDURE'!$E$7:$E$3006,MATCH(B2111,'CARNET DE SOUDURE'!$O$7:$O$3006,0)),""))</f>
        <v/>
      </c>
      <c r="K2111" s="82" t="str">
        <f aca="false">IF(B2111="","",IFERROR(INDEX('CARNET DE SOUDURE'!$E$7:$E$3006,MATCH(B2111,'CARNET DE SOUDURE'!$L$7:$L$3006,0)),""))</f>
        <v/>
      </c>
      <c r="L2111" s="82" t="str">
        <f aca="false">IF(B2111="","",IFERROR(INDEX('CARNET DE SOUDURE'!$D$7:$D$3006,MATCH(B2111,'CARNET DE SOUDURE'!$L$7:$L$3006,0)),IFERROR(INDEX('CARNET DE SOUDURE'!$D$7:$D$3006,MATCH(B2111,'CARNET DE SOUDURE'!$O$7:$O$3006,0)),"")))</f>
        <v/>
      </c>
      <c r="M2111" s="82" t="str">
        <f aca="false">IF(B2111="","",IF(OR(J2111&lt;&gt;"",K2111&lt;&gt;""),"POSÉ EN LIGNE",IF(COUNTIF(BARDAGE!$C$1:$C$5000,B2111)&gt;0,"BARDÉ","EN STOCK")))</f>
        <v/>
      </c>
      <c r="N2111" s="80"/>
    </row>
    <row r="2112" customFormat="false" ht="15" hidden="false" customHeight="false" outlineLevel="0" collapsed="false">
      <c r="A2112" s="82" t="str">
        <f aca="false">IF(B2112="","",ROW()-6)</f>
        <v/>
      </c>
      <c r="B2112" s="145"/>
      <c r="C2112" s="146"/>
      <c r="D2112" s="146"/>
      <c r="E2112" s="82" t="str">
        <f aca="false">IF(B2112="","",IF(COUNTIFS('CARNET DE SOUDURE'!$L$7:$L$3006,B2112,'CARNET DE SOUDURE'!$M$7:$M$3006,"&lt;&gt;"&amp;C2112,'CARNET DE SOUDURE'!$M$7:$M$3006,"&lt;&gt;")+COUNTIFS('CARNET DE SOUDURE'!$O$7:$O$3006,B2112,'CARNET DE SOUDURE'!$P$7:$P$3006,"&lt;&gt;"&amp;C2112,'CARNET DE SOUDURE'!$P$7:$P$3006,"&lt;&gt;")&gt;0,"⚠ DIFFÉRENTE","OK"))</f>
        <v/>
      </c>
      <c r="F2112" s="147"/>
      <c r="G2112" s="80"/>
      <c r="H2112" s="83"/>
      <c r="I2112" s="148" t="str">
        <f aca="false">IF(B2112="","",IFERROR(INDEX('CARNET DE SOUDURE'!$B$7:$B$3006,MATCH(B2112,'CARNET DE SOUDURE'!$L$7:$L$3006,0)),IFERROR(INDEX('CARNET DE SOUDURE'!$B$7:$B$3006,MATCH(B2112,'CARNET DE SOUDURE'!$O$7:$O$3006,0)),"")))</f>
        <v/>
      </c>
      <c r="J2112" s="82" t="str">
        <f aca="false">IF(B2112="","",IFERROR(INDEX('CARNET DE SOUDURE'!$E$7:$E$3006,MATCH(B2112,'CARNET DE SOUDURE'!$O$7:$O$3006,0)),""))</f>
        <v/>
      </c>
      <c r="K2112" s="82" t="str">
        <f aca="false">IF(B2112="","",IFERROR(INDEX('CARNET DE SOUDURE'!$E$7:$E$3006,MATCH(B2112,'CARNET DE SOUDURE'!$L$7:$L$3006,0)),""))</f>
        <v/>
      </c>
      <c r="L2112" s="82" t="str">
        <f aca="false">IF(B2112="","",IFERROR(INDEX('CARNET DE SOUDURE'!$D$7:$D$3006,MATCH(B2112,'CARNET DE SOUDURE'!$L$7:$L$3006,0)),IFERROR(INDEX('CARNET DE SOUDURE'!$D$7:$D$3006,MATCH(B2112,'CARNET DE SOUDURE'!$O$7:$O$3006,0)),"")))</f>
        <v/>
      </c>
      <c r="M2112" s="82" t="str">
        <f aca="false">IF(B2112="","",IF(OR(J2112&lt;&gt;"",K2112&lt;&gt;""),"POSÉ EN LIGNE",IF(COUNTIF(BARDAGE!$C$1:$C$5000,B2112)&gt;0,"BARDÉ","EN STOCK")))</f>
        <v/>
      </c>
      <c r="N2112" s="80"/>
    </row>
    <row r="2113" customFormat="false" ht="15" hidden="false" customHeight="false" outlineLevel="0" collapsed="false">
      <c r="A2113" s="82" t="str">
        <f aca="false">IF(B2113="","",ROW()-6)</f>
        <v/>
      </c>
      <c r="B2113" s="145"/>
      <c r="C2113" s="146"/>
      <c r="D2113" s="146"/>
      <c r="E2113" s="82" t="str">
        <f aca="false">IF(B2113="","",IF(COUNTIFS('CARNET DE SOUDURE'!$L$7:$L$3006,B2113,'CARNET DE SOUDURE'!$M$7:$M$3006,"&lt;&gt;"&amp;C2113,'CARNET DE SOUDURE'!$M$7:$M$3006,"&lt;&gt;")+COUNTIFS('CARNET DE SOUDURE'!$O$7:$O$3006,B2113,'CARNET DE SOUDURE'!$P$7:$P$3006,"&lt;&gt;"&amp;C2113,'CARNET DE SOUDURE'!$P$7:$P$3006,"&lt;&gt;")&gt;0,"⚠ DIFFÉRENTE","OK"))</f>
        <v/>
      </c>
      <c r="F2113" s="147"/>
      <c r="G2113" s="80"/>
      <c r="H2113" s="83"/>
      <c r="I2113" s="148" t="str">
        <f aca="false">IF(B2113="","",IFERROR(INDEX('CARNET DE SOUDURE'!$B$7:$B$3006,MATCH(B2113,'CARNET DE SOUDURE'!$L$7:$L$3006,0)),IFERROR(INDEX('CARNET DE SOUDURE'!$B$7:$B$3006,MATCH(B2113,'CARNET DE SOUDURE'!$O$7:$O$3006,0)),"")))</f>
        <v/>
      </c>
      <c r="J2113" s="82" t="str">
        <f aca="false">IF(B2113="","",IFERROR(INDEX('CARNET DE SOUDURE'!$E$7:$E$3006,MATCH(B2113,'CARNET DE SOUDURE'!$O$7:$O$3006,0)),""))</f>
        <v/>
      </c>
      <c r="K2113" s="82" t="str">
        <f aca="false">IF(B2113="","",IFERROR(INDEX('CARNET DE SOUDURE'!$E$7:$E$3006,MATCH(B2113,'CARNET DE SOUDURE'!$L$7:$L$3006,0)),""))</f>
        <v/>
      </c>
      <c r="L2113" s="82" t="str">
        <f aca="false">IF(B2113="","",IFERROR(INDEX('CARNET DE SOUDURE'!$D$7:$D$3006,MATCH(B2113,'CARNET DE SOUDURE'!$L$7:$L$3006,0)),IFERROR(INDEX('CARNET DE SOUDURE'!$D$7:$D$3006,MATCH(B2113,'CARNET DE SOUDURE'!$O$7:$O$3006,0)),"")))</f>
        <v/>
      </c>
      <c r="M2113" s="82" t="str">
        <f aca="false">IF(B2113="","",IF(OR(J2113&lt;&gt;"",K2113&lt;&gt;""),"POSÉ EN LIGNE",IF(COUNTIF(BARDAGE!$C$1:$C$5000,B2113)&gt;0,"BARDÉ","EN STOCK")))</f>
        <v/>
      </c>
      <c r="N2113" s="80"/>
    </row>
    <row r="2114" customFormat="false" ht="15" hidden="false" customHeight="false" outlineLevel="0" collapsed="false">
      <c r="A2114" s="82" t="str">
        <f aca="false">IF(B2114="","",ROW()-6)</f>
        <v/>
      </c>
      <c r="B2114" s="145"/>
      <c r="C2114" s="146"/>
      <c r="D2114" s="146"/>
      <c r="E2114" s="82" t="str">
        <f aca="false">IF(B2114="","",IF(COUNTIFS('CARNET DE SOUDURE'!$L$7:$L$3006,B2114,'CARNET DE SOUDURE'!$M$7:$M$3006,"&lt;&gt;"&amp;C2114,'CARNET DE SOUDURE'!$M$7:$M$3006,"&lt;&gt;")+COUNTIFS('CARNET DE SOUDURE'!$O$7:$O$3006,B2114,'CARNET DE SOUDURE'!$P$7:$P$3006,"&lt;&gt;"&amp;C2114,'CARNET DE SOUDURE'!$P$7:$P$3006,"&lt;&gt;")&gt;0,"⚠ DIFFÉRENTE","OK"))</f>
        <v/>
      </c>
      <c r="F2114" s="147"/>
      <c r="G2114" s="80"/>
      <c r="H2114" s="83"/>
      <c r="I2114" s="148" t="str">
        <f aca="false">IF(B2114="","",IFERROR(INDEX('CARNET DE SOUDURE'!$B$7:$B$3006,MATCH(B2114,'CARNET DE SOUDURE'!$L$7:$L$3006,0)),IFERROR(INDEX('CARNET DE SOUDURE'!$B$7:$B$3006,MATCH(B2114,'CARNET DE SOUDURE'!$O$7:$O$3006,0)),"")))</f>
        <v/>
      </c>
      <c r="J2114" s="82" t="str">
        <f aca="false">IF(B2114="","",IFERROR(INDEX('CARNET DE SOUDURE'!$E$7:$E$3006,MATCH(B2114,'CARNET DE SOUDURE'!$O$7:$O$3006,0)),""))</f>
        <v/>
      </c>
      <c r="K2114" s="82" t="str">
        <f aca="false">IF(B2114="","",IFERROR(INDEX('CARNET DE SOUDURE'!$E$7:$E$3006,MATCH(B2114,'CARNET DE SOUDURE'!$L$7:$L$3006,0)),""))</f>
        <v/>
      </c>
      <c r="L2114" s="82" t="str">
        <f aca="false">IF(B2114="","",IFERROR(INDEX('CARNET DE SOUDURE'!$D$7:$D$3006,MATCH(B2114,'CARNET DE SOUDURE'!$L$7:$L$3006,0)),IFERROR(INDEX('CARNET DE SOUDURE'!$D$7:$D$3006,MATCH(B2114,'CARNET DE SOUDURE'!$O$7:$O$3006,0)),"")))</f>
        <v/>
      </c>
      <c r="M2114" s="82" t="str">
        <f aca="false">IF(B2114="","",IF(OR(J2114&lt;&gt;"",K2114&lt;&gt;""),"POSÉ EN LIGNE",IF(COUNTIF(BARDAGE!$C$1:$C$5000,B2114)&gt;0,"BARDÉ","EN STOCK")))</f>
        <v/>
      </c>
      <c r="N2114" s="80"/>
    </row>
    <row r="2115" customFormat="false" ht="15" hidden="false" customHeight="false" outlineLevel="0" collapsed="false">
      <c r="A2115" s="82" t="str">
        <f aca="false">IF(B2115="","",ROW()-6)</f>
        <v/>
      </c>
      <c r="B2115" s="145"/>
      <c r="C2115" s="146"/>
      <c r="D2115" s="146"/>
      <c r="E2115" s="82" t="str">
        <f aca="false">IF(B2115="","",IF(COUNTIFS('CARNET DE SOUDURE'!$L$7:$L$3006,B2115,'CARNET DE SOUDURE'!$M$7:$M$3006,"&lt;&gt;"&amp;C2115,'CARNET DE SOUDURE'!$M$7:$M$3006,"&lt;&gt;")+COUNTIFS('CARNET DE SOUDURE'!$O$7:$O$3006,B2115,'CARNET DE SOUDURE'!$P$7:$P$3006,"&lt;&gt;"&amp;C2115,'CARNET DE SOUDURE'!$P$7:$P$3006,"&lt;&gt;")&gt;0,"⚠ DIFFÉRENTE","OK"))</f>
        <v/>
      </c>
      <c r="F2115" s="147"/>
      <c r="G2115" s="80"/>
      <c r="H2115" s="83"/>
      <c r="I2115" s="148" t="str">
        <f aca="false">IF(B2115="","",IFERROR(INDEX('CARNET DE SOUDURE'!$B$7:$B$3006,MATCH(B2115,'CARNET DE SOUDURE'!$L$7:$L$3006,0)),IFERROR(INDEX('CARNET DE SOUDURE'!$B$7:$B$3006,MATCH(B2115,'CARNET DE SOUDURE'!$O$7:$O$3006,0)),"")))</f>
        <v/>
      </c>
      <c r="J2115" s="82" t="str">
        <f aca="false">IF(B2115="","",IFERROR(INDEX('CARNET DE SOUDURE'!$E$7:$E$3006,MATCH(B2115,'CARNET DE SOUDURE'!$O$7:$O$3006,0)),""))</f>
        <v/>
      </c>
      <c r="K2115" s="82" t="str">
        <f aca="false">IF(B2115="","",IFERROR(INDEX('CARNET DE SOUDURE'!$E$7:$E$3006,MATCH(B2115,'CARNET DE SOUDURE'!$L$7:$L$3006,0)),""))</f>
        <v/>
      </c>
      <c r="L2115" s="82" t="str">
        <f aca="false">IF(B2115="","",IFERROR(INDEX('CARNET DE SOUDURE'!$D$7:$D$3006,MATCH(B2115,'CARNET DE SOUDURE'!$L$7:$L$3006,0)),IFERROR(INDEX('CARNET DE SOUDURE'!$D$7:$D$3006,MATCH(B2115,'CARNET DE SOUDURE'!$O$7:$O$3006,0)),"")))</f>
        <v/>
      </c>
      <c r="M2115" s="82" t="str">
        <f aca="false">IF(B2115="","",IF(OR(J2115&lt;&gt;"",K2115&lt;&gt;""),"POSÉ EN LIGNE",IF(COUNTIF(BARDAGE!$C$1:$C$5000,B2115)&gt;0,"BARDÉ","EN STOCK")))</f>
        <v/>
      </c>
      <c r="N2115" s="80"/>
    </row>
    <row r="2116" customFormat="false" ht="15" hidden="false" customHeight="false" outlineLevel="0" collapsed="false">
      <c r="A2116" s="82" t="str">
        <f aca="false">IF(B2116="","",ROW()-6)</f>
        <v/>
      </c>
      <c r="B2116" s="145"/>
      <c r="C2116" s="146"/>
      <c r="D2116" s="146"/>
      <c r="E2116" s="82" t="str">
        <f aca="false">IF(B2116="","",IF(COUNTIFS('CARNET DE SOUDURE'!$L$7:$L$3006,B2116,'CARNET DE SOUDURE'!$M$7:$M$3006,"&lt;&gt;"&amp;C2116,'CARNET DE SOUDURE'!$M$7:$M$3006,"&lt;&gt;")+COUNTIFS('CARNET DE SOUDURE'!$O$7:$O$3006,B2116,'CARNET DE SOUDURE'!$P$7:$P$3006,"&lt;&gt;"&amp;C2116,'CARNET DE SOUDURE'!$P$7:$P$3006,"&lt;&gt;")&gt;0,"⚠ DIFFÉRENTE","OK"))</f>
        <v/>
      </c>
      <c r="F2116" s="147"/>
      <c r="G2116" s="80"/>
      <c r="H2116" s="83"/>
      <c r="I2116" s="148" t="str">
        <f aca="false">IF(B2116="","",IFERROR(INDEX('CARNET DE SOUDURE'!$B$7:$B$3006,MATCH(B2116,'CARNET DE SOUDURE'!$L$7:$L$3006,0)),IFERROR(INDEX('CARNET DE SOUDURE'!$B$7:$B$3006,MATCH(B2116,'CARNET DE SOUDURE'!$O$7:$O$3006,0)),"")))</f>
        <v/>
      </c>
      <c r="J2116" s="82" t="str">
        <f aca="false">IF(B2116="","",IFERROR(INDEX('CARNET DE SOUDURE'!$E$7:$E$3006,MATCH(B2116,'CARNET DE SOUDURE'!$O$7:$O$3006,0)),""))</f>
        <v/>
      </c>
      <c r="K2116" s="82" t="str">
        <f aca="false">IF(B2116="","",IFERROR(INDEX('CARNET DE SOUDURE'!$E$7:$E$3006,MATCH(B2116,'CARNET DE SOUDURE'!$L$7:$L$3006,0)),""))</f>
        <v/>
      </c>
      <c r="L2116" s="82" t="str">
        <f aca="false">IF(B2116="","",IFERROR(INDEX('CARNET DE SOUDURE'!$D$7:$D$3006,MATCH(B2116,'CARNET DE SOUDURE'!$L$7:$L$3006,0)),IFERROR(INDEX('CARNET DE SOUDURE'!$D$7:$D$3006,MATCH(B2116,'CARNET DE SOUDURE'!$O$7:$O$3006,0)),"")))</f>
        <v/>
      </c>
      <c r="M2116" s="82" t="str">
        <f aca="false">IF(B2116="","",IF(OR(J2116&lt;&gt;"",K2116&lt;&gt;""),"POSÉ EN LIGNE",IF(COUNTIF(BARDAGE!$C$1:$C$5000,B2116)&gt;0,"BARDÉ","EN STOCK")))</f>
        <v/>
      </c>
      <c r="N2116" s="80"/>
    </row>
    <row r="2117" customFormat="false" ht="15" hidden="false" customHeight="false" outlineLevel="0" collapsed="false">
      <c r="A2117" s="82" t="str">
        <f aca="false">IF(B2117="","",ROW()-6)</f>
        <v/>
      </c>
      <c r="B2117" s="145"/>
      <c r="C2117" s="146"/>
      <c r="D2117" s="146"/>
      <c r="E2117" s="82" t="str">
        <f aca="false">IF(B2117="","",IF(COUNTIFS('CARNET DE SOUDURE'!$L$7:$L$3006,B2117,'CARNET DE SOUDURE'!$M$7:$M$3006,"&lt;&gt;"&amp;C2117,'CARNET DE SOUDURE'!$M$7:$M$3006,"&lt;&gt;")+COUNTIFS('CARNET DE SOUDURE'!$O$7:$O$3006,B2117,'CARNET DE SOUDURE'!$P$7:$P$3006,"&lt;&gt;"&amp;C2117,'CARNET DE SOUDURE'!$P$7:$P$3006,"&lt;&gt;")&gt;0,"⚠ DIFFÉRENTE","OK"))</f>
        <v/>
      </c>
      <c r="F2117" s="147"/>
      <c r="G2117" s="80"/>
      <c r="H2117" s="83"/>
      <c r="I2117" s="148" t="str">
        <f aca="false">IF(B2117="","",IFERROR(INDEX('CARNET DE SOUDURE'!$B$7:$B$3006,MATCH(B2117,'CARNET DE SOUDURE'!$L$7:$L$3006,0)),IFERROR(INDEX('CARNET DE SOUDURE'!$B$7:$B$3006,MATCH(B2117,'CARNET DE SOUDURE'!$O$7:$O$3006,0)),"")))</f>
        <v/>
      </c>
      <c r="J2117" s="82" t="str">
        <f aca="false">IF(B2117="","",IFERROR(INDEX('CARNET DE SOUDURE'!$E$7:$E$3006,MATCH(B2117,'CARNET DE SOUDURE'!$O$7:$O$3006,0)),""))</f>
        <v/>
      </c>
      <c r="K2117" s="82" t="str">
        <f aca="false">IF(B2117="","",IFERROR(INDEX('CARNET DE SOUDURE'!$E$7:$E$3006,MATCH(B2117,'CARNET DE SOUDURE'!$L$7:$L$3006,0)),""))</f>
        <v/>
      </c>
      <c r="L2117" s="82" t="str">
        <f aca="false">IF(B2117="","",IFERROR(INDEX('CARNET DE SOUDURE'!$D$7:$D$3006,MATCH(B2117,'CARNET DE SOUDURE'!$L$7:$L$3006,0)),IFERROR(INDEX('CARNET DE SOUDURE'!$D$7:$D$3006,MATCH(B2117,'CARNET DE SOUDURE'!$O$7:$O$3006,0)),"")))</f>
        <v/>
      </c>
      <c r="M2117" s="82" t="str">
        <f aca="false">IF(B2117="","",IF(OR(J2117&lt;&gt;"",K2117&lt;&gt;""),"POSÉ EN LIGNE",IF(COUNTIF(BARDAGE!$C$1:$C$5000,B2117)&gt;0,"BARDÉ","EN STOCK")))</f>
        <v/>
      </c>
      <c r="N2117" s="80"/>
    </row>
    <row r="2118" customFormat="false" ht="15" hidden="false" customHeight="false" outlineLevel="0" collapsed="false">
      <c r="A2118" s="82" t="str">
        <f aca="false">IF(B2118="","",ROW()-6)</f>
        <v/>
      </c>
      <c r="B2118" s="145"/>
      <c r="C2118" s="146"/>
      <c r="D2118" s="146"/>
      <c r="E2118" s="82" t="str">
        <f aca="false">IF(B2118="","",IF(COUNTIFS('CARNET DE SOUDURE'!$L$7:$L$3006,B2118,'CARNET DE SOUDURE'!$M$7:$M$3006,"&lt;&gt;"&amp;C2118,'CARNET DE SOUDURE'!$M$7:$M$3006,"&lt;&gt;")+COUNTIFS('CARNET DE SOUDURE'!$O$7:$O$3006,B2118,'CARNET DE SOUDURE'!$P$7:$P$3006,"&lt;&gt;"&amp;C2118,'CARNET DE SOUDURE'!$P$7:$P$3006,"&lt;&gt;")&gt;0,"⚠ DIFFÉRENTE","OK"))</f>
        <v/>
      </c>
      <c r="F2118" s="147"/>
      <c r="G2118" s="80"/>
      <c r="H2118" s="83"/>
      <c r="I2118" s="148" t="str">
        <f aca="false">IF(B2118="","",IFERROR(INDEX('CARNET DE SOUDURE'!$B$7:$B$3006,MATCH(B2118,'CARNET DE SOUDURE'!$L$7:$L$3006,0)),IFERROR(INDEX('CARNET DE SOUDURE'!$B$7:$B$3006,MATCH(B2118,'CARNET DE SOUDURE'!$O$7:$O$3006,0)),"")))</f>
        <v/>
      </c>
      <c r="J2118" s="82" t="str">
        <f aca="false">IF(B2118="","",IFERROR(INDEX('CARNET DE SOUDURE'!$E$7:$E$3006,MATCH(B2118,'CARNET DE SOUDURE'!$O$7:$O$3006,0)),""))</f>
        <v/>
      </c>
      <c r="K2118" s="82" t="str">
        <f aca="false">IF(B2118="","",IFERROR(INDEX('CARNET DE SOUDURE'!$E$7:$E$3006,MATCH(B2118,'CARNET DE SOUDURE'!$L$7:$L$3006,0)),""))</f>
        <v/>
      </c>
      <c r="L2118" s="82" t="str">
        <f aca="false">IF(B2118="","",IFERROR(INDEX('CARNET DE SOUDURE'!$D$7:$D$3006,MATCH(B2118,'CARNET DE SOUDURE'!$L$7:$L$3006,0)),IFERROR(INDEX('CARNET DE SOUDURE'!$D$7:$D$3006,MATCH(B2118,'CARNET DE SOUDURE'!$O$7:$O$3006,0)),"")))</f>
        <v/>
      </c>
      <c r="M2118" s="82" t="str">
        <f aca="false">IF(B2118="","",IF(OR(J2118&lt;&gt;"",K2118&lt;&gt;""),"POSÉ EN LIGNE",IF(COUNTIF(BARDAGE!$C$1:$C$5000,B2118)&gt;0,"BARDÉ","EN STOCK")))</f>
        <v/>
      </c>
      <c r="N2118" s="80"/>
    </row>
    <row r="2119" customFormat="false" ht="15" hidden="false" customHeight="false" outlineLevel="0" collapsed="false">
      <c r="A2119" s="82" t="str">
        <f aca="false">IF(B2119="","",ROW()-6)</f>
        <v/>
      </c>
      <c r="B2119" s="145"/>
      <c r="C2119" s="146"/>
      <c r="D2119" s="146"/>
      <c r="E2119" s="82" t="str">
        <f aca="false">IF(B2119="","",IF(COUNTIFS('CARNET DE SOUDURE'!$L$7:$L$3006,B2119,'CARNET DE SOUDURE'!$M$7:$M$3006,"&lt;&gt;"&amp;C2119,'CARNET DE SOUDURE'!$M$7:$M$3006,"&lt;&gt;")+COUNTIFS('CARNET DE SOUDURE'!$O$7:$O$3006,B2119,'CARNET DE SOUDURE'!$P$7:$P$3006,"&lt;&gt;"&amp;C2119,'CARNET DE SOUDURE'!$P$7:$P$3006,"&lt;&gt;")&gt;0,"⚠ DIFFÉRENTE","OK"))</f>
        <v/>
      </c>
      <c r="F2119" s="147"/>
      <c r="G2119" s="80"/>
      <c r="H2119" s="83"/>
      <c r="I2119" s="148" t="str">
        <f aca="false">IF(B2119="","",IFERROR(INDEX('CARNET DE SOUDURE'!$B$7:$B$3006,MATCH(B2119,'CARNET DE SOUDURE'!$L$7:$L$3006,0)),IFERROR(INDEX('CARNET DE SOUDURE'!$B$7:$B$3006,MATCH(B2119,'CARNET DE SOUDURE'!$O$7:$O$3006,0)),"")))</f>
        <v/>
      </c>
      <c r="J2119" s="82" t="str">
        <f aca="false">IF(B2119="","",IFERROR(INDEX('CARNET DE SOUDURE'!$E$7:$E$3006,MATCH(B2119,'CARNET DE SOUDURE'!$O$7:$O$3006,0)),""))</f>
        <v/>
      </c>
      <c r="K2119" s="82" t="str">
        <f aca="false">IF(B2119="","",IFERROR(INDEX('CARNET DE SOUDURE'!$E$7:$E$3006,MATCH(B2119,'CARNET DE SOUDURE'!$L$7:$L$3006,0)),""))</f>
        <v/>
      </c>
      <c r="L2119" s="82" t="str">
        <f aca="false">IF(B2119="","",IFERROR(INDEX('CARNET DE SOUDURE'!$D$7:$D$3006,MATCH(B2119,'CARNET DE SOUDURE'!$L$7:$L$3006,0)),IFERROR(INDEX('CARNET DE SOUDURE'!$D$7:$D$3006,MATCH(B2119,'CARNET DE SOUDURE'!$O$7:$O$3006,0)),"")))</f>
        <v/>
      </c>
      <c r="M2119" s="82" t="str">
        <f aca="false">IF(B2119="","",IF(OR(J2119&lt;&gt;"",K2119&lt;&gt;""),"POSÉ EN LIGNE",IF(COUNTIF(BARDAGE!$C$1:$C$5000,B2119)&gt;0,"BARDÉ","EN STOCK")))</f>
        <v/>
      </c>
      <c r="N2119" s="80"/>
    </row>
    <row r="2120" customFormat="false" ht="15" hidden="false" customHeight="false" outlineLevel="0" collapsed="false">
      <c r="A2120" s="82" t="str">
        <f aca="false">IF(B2120="","",ROW()-6)</f>
        <v/>
      </c>
      <c r="B2120" s="145"/>
      <c r="C2120" s="146"/>
      <c r="D2120" s="146"/>
      <c r="E2120" s="82" t="str">
        <f aca="false">IF(B2120="","",IF(COUNTIFS('CARNET DE SOUDURE'!$L$7:$L$3006,B2120,'CARNET DE SOUDURE'!$M$7:$M$3006,"&lt;&gt;"&amp;C2120,'CARNET DE SOUDURE'!$M$7:$M$3006,"&lt;&gt;")+COUNTIFS('CARNET DE SOUDURE'!$O$7:$O$3006,B2120,'CARNET DE SOUDURE'!$P$7:$P$3006,"&lt;&gt;"&amp;C2120,'CARNET DE SOUDURE'!$P$7:$P$3006,"&lt;&gt;")&gt;0,"⚠ DIFFÉRENTE","OK"))</f>
        <v/>
      </c>
      <c r="F2120" s="147"/>
      <c r="G2120" s="80"/>
      <c r="H2120" s="83"/>
      <c r="I2120" s="148" t="str">
        <f aca="false">IF(B2120="","",IFERROR(INDEX('CARNET DE SOUDURE'!$B$7:$B$3006,MATCH(B2120,'CARNET DE SOUDURE'!$L$7:$L$3006,0)),IFERROR(INDEX('CARNET DE SOUDURE'!$B$7:$B$3006,MATCH(B2120,'CARNET DE SOUDURE'!$O$7:$O$3006,0)),"")))</f>
        <v/>
      </c>
      <c r="J2120" s="82" t="str">
        <f aca="false">IF(B2120="","",IFERROR(INDEX('CARNET DE SOUDURE'!$E$7:$E$3006,MATCH(B2120,'CARNET DE SOUDURE'!$O$7:$O$3006,0)),""))</f>
        <v/>
      </c>
      <c r="K2120" s="82" t="str">
        <f aca="false">IF(B2120="","",IFERROR(INDEX('CARNET DE SOUDURE'!$E$7:$E$3006,MATCH(B2120,'CARNET DE SOUDURE'!$L$7:$L$3006,0)),""))</f>
        <v/>
      </c>
      <c r="L2120" s="82" t="str">
        <f aca="false">IF(B2120="","",IFERROR(INDEX('CARNET DE SOUDURE'!$D$7:$D$3006,MATCH(B2120,'CARNET DE SOUDURE'!$L$7:$L$3006,0)),IFERROR(INDEX('CARNET DE SOUDURE'!$D$7:$D$3006,MATCH(B2120,'CARNET DE SOUDURE'!$O$7:$O$3006,0)),"")))</f>
        <v/>
      </c>
      <c r="M2120" s="82" t="str">
        <f aca="false">IF(B2120="","",IF(OR(J2120&lt;&gt;"",K2120&lt;&gt;""),"POSÉ EN LIGNE",IF(COUNTIF(BARDAGE!$C$1:$C$5000,B2120)&gt;0,"BARDÉ","EN STOCK")))</f>
        <v/>
      </c>
      <c r="N2120" s="80"/>
    </row>
    <row r="2121" customFormat="false" ht="15" hidden="false" customHeight="false" outlineLevel="0" collapsed="false">
      <c r="A2121" s="82" t="str">
        <f aca="false">IF(B2121="","",ROW()-6)</f>
        <v/>
      </c>
      <c r="B2121" s="145"/>
      <c r="C2121" s="146"/>
      <c r="D2121" s="146"/>
      <c r="E2121" s="82" t="str">
        <f aca="false">IF(B2121="","",IF(COUNTIFS('CARNET DE SOUDURE'!$L$7:$L$3006,B2121,'CARNET DE SOUDURE'!$M$7:$M$3006,"&lt;&gt;"&amp;C2121,'CARNET DE SOUDURE'!$M$7:$M$3006,"&lt;&gt;")+COUNTIFS('CARNET DE SOUDURE'!$O$7:$O$3006,B2121,'CARNET DE SOUDURE'!$P$7:$P$3006,"&lt;&gt;"&amp;C2121,'CARNET DE SOUDURE'!$P$7:$P$3006,"&lt;&gt;")&gt;0,"⚠ DIFFÉRENTE","OK"))</f>
        <v/>
      </c>
      <c r="F2121" s="147"/>
      <c r="G2121" s="80"/>
      <c r="H2121" s="83"/>
      <c r="I2121" s="148" t="str">
        <f aca="false">IF(B2121="","",IFERROR(INDEX('CARNET DE SOUDURE'!$B$7:$B$3006,MATCH(B2121,'CARNET DE SOUDURE'!$L$7:$L$3006,0)),IFERROR(INDEX('CARNET DE SOUDURE'!$B$7:$B$3006,MATCH(B2121,'CARNET DE SOUDURE'!$O$7:$O$3006,0)),"")))</f>
        <v/>
      </c>
      <c r="J2121" s="82" t="str">
        <f aca="false">IF(B2121="","",IFERROR(INDEX('CARNET DE SOUDURE'!$E$7:$E$3006,MATCH(B2121,'CARNET DE SOUDURE'!$O$7:$O$3006,0)),""))</f>
        <v/>
      </c>
      <c r="K2121" s="82" t="str">
        <f aca="false">IF(B2121="","",IFERROR(INDEX('CARNET DE SOUDURE'!$E$7:$E$3006,MATCH(B2121,'CARNET DE SOUDURE'!$L$7:$L$3006,0)),""))</f>
        <v/>
      </c>
      <c r="L2121" s="82" t="str">
        <f aca="false">IF(B2121="","",IFERROR(INDEX('CARNET DE SOUDURE'!$D$7:$D$3006,MATCH(B2121,'CARNET DE SOUDURE'!$L$7:$L$3006,0)),IFERROR(INDEX('CARNET DE SOUDURE'!$D$7:$D$3006,MATCH(B2121,'CARNET DE SOUDURE'!$O$7:$O$3006,0)),"")))</f>
        <v/>
      </c>
      <c r="M2121" s="82" t="str">
        <f aca="false">IF(B2121="","",IF(OR(J2121&lt;&gt;"",K2121&lt;&gt;""),"POSÉ EN LIGNE",IF(COUNTIF(BARDAGE!$C$1:$C$5000,B2121)&gt;0,"BARDÉ","EN STOCK")))</f>
        <v/>
      </c>
      <c r="N2121" s="80"/>
    </row>
    <row r="2122" customFormat="false" ht="15" hidden="false" customHeight="false" outlineLevel="0" collapsed="false">
      <c r="A2122" s="82" t="str">
        <f aca="false">IF(B2122="","",ROW()-6)</f>
        <v/>
      </c>
      <c r="B2122" s="145"/>
      <c r="C2122" s="146"/>
      <c r="D2122" s="146"/>
      <c r="E2122" s="82" t="str">
        <f aca="false">IF(B2122="","",IF(COUNTIFS('CARNET DE SOUDURE'!$L$7:$L$3006,B2122,'CARNET DE SOUDURE'!$M$7:$M$3006,"&lt;&gt;"&amp;C2122,'CARNET DE SOUDURE'!$M$7:$M$3006,"&lt;&gt;")+COUNTIFS('CARNET DE SOUDURE'!$O$7:$O$3006,B2122,'CARNET DE SOUDURE'!$P$7:$P$3006,"&lt;&gt;"&amp;C2122,'CARNET DE SOUDURE'!$P$7:$P$3006,"&lt;&gt;")&gt;0,"⚠ DIFFÉRENTE","OK"))</f>
        <v/>
      </c>
      <c r="F2122" s="147"/>
      <c r="G2122" s="80"/>
      <c r="H2122" s="83"/>
      <c r="I2122" s="148" t="str">
        <f aca="false">IF(B2122="","",IFERROR(INDEX('CARNET DE SOUDURE'!$B$7:$B$3006,MATCH(B2122,'CARNET DE SOUDURE'!$L$7:$L$3006,0)),IFERROR(INDEX('CARNET DE SOUDURE'!$B$7:$B$3006,MATCH(B2122,'CARNET DE SOUDURE'!$O$7:$O$3006,0)),"")))</f>
        <v/>
      </c>
      <c r="J2122" s="82" t="str">
        <f aca="false">IF(B2122="","",IFERROR(INDEX('CARNET DE SOUDURE'!$E$7:$E$3006,MATCH(B2122,'CARNET DE SOUDURE'!$O$7:$O$3006,0)),""))</f>
        <v/>
      </c>
      <c r="K2122" s="82" t="str">
        <f aca="false">IF(B2122="","",IFERROR(INDEX('CARNET DE SOUDURE'!$E$7:$E$3006,MATCH(B2122,'CARNET DE SOUDURE'!$L$7:$L$3006,0)),""))</f>
        <v/>
      </c>
      <c r="L2122" s="82" t="str">
        <f aca="false">IF(B2122="","",IFERROR(INDEX('CARNET DE SOUDURE'!$D$7:$D$3006,MATCH(B2122,'CARNET DE SOUDURE'!$L$7:$L$3006,0)),IFERROR(INDEX('CARNET DE SOUDURE'!$D$7:$D$3006,MATCH(B2122,'CARNET DE SOUDURE'!$O$7:$O$3006,0)),"")))</f>
        <v/>
      </c>
      <c r="M2122" s="82" t="str">
        <f aca="false">IF(B2122="","",IF(OR(J2122&lt;&gt;"",K2122&lt;&gt;""),"POSÉ EN LIGNE",IF(COUNTIF(BARDAGE!$C$1:$C$5000,B2122)&gt;0,"BARDÉ","EN STOCK")))</f>
        <v/>
      </c>
      <c r="N2122" s="80"/>
    </row>
    <row r="2123" customFormat="false" ht="15" hidden="false" customHeight="false" outlineLevel="0" collapsed="false">
      <c r="A2123" s="82" t="str">
        <f aca="false">IF(B2123="","",ROW()-6)</f>
        <v/>
      </c>
      <c r="B2123" s="145"/>
      <c r="C2123" s="146"/>
      <c r="D2123" s="146"/>
      <c r="E2123" s="82" t="str">
        <f aca="false">IF(B2123="","",IF(COUNTIFS('CARNET DE SOUDURE'!$L$7:$L$3006,B2123,'CARNET DE SOUDURE'!$M$7:$M$3006,"&lt;&gt;"&amp;C2123,'CARNET DE SOUDURE'!$M$7:$M$3006,"&lt;&gt;")+COUNTIFS('CARNET DE SOUDURE'!$O$7:$O$3006,B2123,'CARNET DE SOUDURE'!$P$7:$P$3006,"&lt;&gt;"&amp;C2123,'CARNET DE SOUDURE'!$P$7:$P$3006,"&lt;&gt;")&gt;0,"⚠ DIFFÉRENTE","OK"))</f>
        <v/>
      </c>
      <c r="F2123" s="147"/>
      <c r="G2123" s="80"/>
      <c r="H2123" s="83"/>
      <c r="I2123" s="148" t="str">
        <f aca="false">IF(B2123="","",IFERROR(INDEX('CARNET DE SOUDURE'!$B$7:$B$3006,MATCH(B2123,'CARNET DE SOUDURE'!$L$7:$L$3006,0)),IFERROR(INDEX('CARNET DE SOUDURE'!$B$7:$B$3006,MATCH(B2123,'CARNET DE SOUDURE'!$O$7:$O$3006,0)),"")))</f>
        <v/>
      </c>
      <c r="J2123" s="82" t="str">
        <f aca="false">IF(B2123="","",IFERROR(INDEX('CARNET DE SOUDURE'!$E$7:$E$3006,MATCH(B2123,'CARNET DE SOUDURE'!$O$7:$O$3006,0)),""))</f>
        <v/>
      </c>
      <c r="K2123" s="82" t="str">
        <f aca="false">IF(B2123="","",IFERROR(INDEX('CARNET DE SOUDURE'!$E$7:$E$3006,MATCH(B2123,'CARNET DE SOUDURE'!$L$7:$L$3006,0)),""))</f>
        <v/>
      </c>
      <c r="L2123" s="82" t="str">
        <f aca="false">IF(B2123="","",IFERROR(INDEX('CARNET DE SOUDURE'!$D$7:$D$3006,MATCH(B2123,'CARNET DE SOUDURE'!$L$7:$L$3006,0)),IFERROR(INDEX('CARNET DE SOUDURE'!$D$7:$D$3006,MATCH(B2123,'CARNET DE SOUDURE'!$O$7:$O$3006,0)),"")))</f>
        <v/>
      </c>
      <c r="M2123" s="82" t="str">
        <f aca="false">IF(B2123="","",IF(OR(J2123&lt;&gt;"",K2123&lt;&gt;""),"POSÉ EN LIGNE",IF(COUNTIF(BARDAGE!$C$1:$C$5000,B2123)&gt;0,"BARDÉ","EN STOCK")))</f>
        <v/>
      </c>
      <c r="N2123" s="80"/>
    </row>
    <row r="2124" customFormat="false" ht="15" hidden="false" customHeight="false" outlineLevel="0" collapsed="false">
      <c r="A2124" s="82" t="str">
        <f aca="false">IF(B2124="","",ROW()-6)</f>
        <v/>
      </c>
      <c r="B2124" s="145"/>
      <c r="C2124" s="146"/>
      <c r="D2124" s="146"/>
      <c r="E2124" s="82" t="str">
        <f aca="false">IF(B2124="","",IF(COUNTIFS('CARNET DE SOUDURE'!$L$7:$L$3006,B2124,'CARNET DE SOUDURE'!$M$7:$M$3006,"&lt;&gt;"&amp;C2124,'CARNET DE SOUDURE'!$M$7:$M$3006,"&lt;&gt;")+COUNTIFS('CARNET DE SOUDURE'!$O$7:$O$3006,B2124,'CARNET DE SOUDURE'!$P$7:$P$3006,"&lt;&gt;"&amp;C2124,'CARNET DE SOUDURE'!$P$7:$P$3006,"&lt;&gt;")&gt;0,"⚠ DIFFÉRENTE","OK"))</f>
        <v/>
      </c>
      <c r="F2124" s="147"/>
      <c r="G2124" s="80"/>
      <c r="H2124" s="83"/>
      <c r="I2124" s="148" t="str">
        <f aca="false">IF(B2124="","",IFERROR(INDEX('CARNET DE SOUDURE'!$B$7:$B$3006,MATCH(B2124,'CARNET DE SOUDURE'!$L$7:$L$3006,0)),IFERROR(INDEX('CARNET DE SOUDURE'!$B$7:$B$3006,MATCH(B2124,'CARNET DE SOUDURE'!$O$7:$O$3006,0)),"")))</f>
        <v/>
      </c>
      <c r="J2124" s="82" t="str">
        <f aca="false">IF(B2124="","",IFERROR(INDEX('CARNET DE SOUDURE'!$E$7:$E$3006,MATCH(B2124,'CARNET DE SOUDURE'!$O$7:$O$3006,0)),""))</f>
        <v/>
      </c>
      <c r="K2124" s="82" t="str">
        <f aca="false">IF(B2124="","",IFERROR(INDEX('CARNET DE SOUDURE'!$E$7:$E$3006,MATCH(B2124,'CARNET DE SOUDURE'!$L$7:$L$3006,0)),""))</f>
        <v/>
      </c>
      <c r="L2124" s="82" t="str">
        <f aca="false">IF(B2124="","",IFERROR(INDEX('CARNET DE SOUDURE'!$D$7:$D$3006,MATCH(B2124,'CARNET DE SOUDURE'!$L$7:$L$3006,0)),IFERROR(INDEX('CARNET DE SOUDURE'!$D$7:$D$3006,MATCH(B2124,'CARNET DE SOUDURE'!$O$7:$O$3006,0)),"")))</f>
        <v/>
      </c>
      <c r="M2124" s="82" t="str">
        <f aca="false">IF(B2124="","",IF(OR(J2124&lt;&gt;"",K2124&lt;&gt;""),"POSÉ EN LIGNE",IF(COUNTIF(BARDAGE!$C$1:$C$5000,B2124)&gt;0,"BARDÉ","EN STOCK")))</f>
        <v/>
      </c>
      <c r="N2124" s="80"/>
    </row>
    <row r="2125" customFormat="false" ht="15" hidden="false" customHeight="false" outlineLevel="0" collapsed="false">
      <c r="A2125" s="82" t="str">
        <f aca="false">IF(B2125="","",ROW()-6)</f>
        <v/>
      </c>
      <c r="B2125" s="145"/>
      <c r="C2125" s="146"/>
      <c r="D2125" s="146"/>
      <c r="E2125" s="82" t="str">
        <f aca="false">IF(B2125="","",IF(COUNTIFS('CARNET DE SOUDURE'!$L$7:$L$3006,B2125,'CARNET DE SOUDURE'!$M$7:$M$3006,"&lt;&gt;"&amp;C2125,'CARNET DE SOUDURE'!$M$7:$M$3006,"&lt;&gt;")+COUNTIFS('CARNET DE SOUDURE'!$O$7:$O$3006,B2125,'CARNET DE SOUDURE'!$P$7:$P$3006,"&lt;&gt;"&amp;C2125,'CARNET DE SOUDURE'!$P$7:$P$3006,"&lt;&gt;")&gt;0,"⚠ DIFFÉRENTE","OK"))</f>
        <v/>
      </c>
      <c r="F2125" s="147"/>
      <c r="G2125" s="80"/>
      <c r="H2125" s="83"/>
      <c r="I2125" s="148" t="str">
        <f aca="false">IF(B2125="","",IFERROR(INDEX('CARNET DE SOUDURE'!$B$7:$B$3006,MATCH(B2125,'CARNET DE SOUDURE'!$L$7:$L$3006,0)),IFERROR(INDEX('CARNET DE SOUDURE'!$B$7:$B$3006,MATCH(B2125,'CARNET DE SOUDURE'!$O$7:$O$3006,0)),"")))</f>
        <v/>
      </c>
      <c r="J2125" s="82" t="str">
        <f aca="false">IF(B2125="","",IFERROR(INDEX('CARNET DE SOUDURE'!$E$7:$E$3006,MATCH(B2125,'CARNET DE SOUDURE'!$O$7:$O$3006,0)),""))</f>
        <v/>
      </c>
      <c r="K2125" s="82" t="str">
        <f aca="false">IF(B2125="","",IFERROR(INDEX('CARNET DE SOUDURE'!$E$7:$E$3006,MATCH(B2125,'CARNET DE SOUDURE'!$L$7:$L$3006,0)),""))</f>
        <v/>
      </c>
      <c r="L2125" s="82" t="str">
        <f aca="false">IF(B2125="","",IFERROR(INDEX('CARNET DE SOUDURE'!$D$7:$D$3006,MATCH(B2125,'CARNET DE SOUDURE'!$L$7:$L$3006,0)),IFERROR(INDEX('CARNET DE SOUDURE'!$D$7:$D$3006,MATCH(B2125,'CARNET DE SOUDURE'!$O$7:$O$3006,0)),"")))</f>
        <v/>
      </c>
      <c r="M2125" s="82" t="str">
        <f aca="false">IF(B2125="","",IF(OR(J2125&lt;&gt;"",K2125&lt;&gt;""),"POSÉ EN LIGNE",IF(COUNTIF(BARDAGE!$C$1:$C$5000,B2125)&gt;0,"BARDÉ","EN STOCK")))</f>
        <v/>
      </c>
      <c r="N2125" s="80"/>
    </row>
    <row r="2126" customFormat="false" ht="15" hidden="false" customHeight="false" outlineLevel="0" collapsed="false">
      <c r="A2126" s="82" t="str">
        <f aca="false">IF(B2126="","",ROW()-6)</f>
        <v/>
      </c>
      <c r="B2126" s="145"/>
      <c r="C2126" s="146"/>
      <c r="D2126" s="146"/>
      <c r="E2126" s="82" t="str">
        <f aca="false">IF(B2126="","",IF(COUNTIFS('CARNET DE SOUDURE'!$L$7:$L$3006,B2126,'CARNET DE SOUDURE'!$M$7:$M$3006,"&lt;&gt;"&amp;C2126,'CARNET DE SOUDURE'!$M$7:$M$3006,"&lt;&gt;")+COUNTIFS('CARNET DE SOUDURE'!$O$7:$O$3006,B2126,'CARNET DE SOUDURE'!$P$7:$P$3006,"&lt;&gt;"&amp;C2126,'CARNET DE SOUDURE'!$P$7:$P$3006,"&lt;&gt;")&gt;0,"⚠ DIFFÉRENTE","OK"))</f>
        <v/>
      </c>
      <c r="F2126" s="147"/>
      <c r="G2126" s="80"/>
      <c r="H2126" s="83"/>
      <c r="I2126" s="148" t="str">
        <f aca="false">IF(B2126="","",IFERROR(INDEX('CARNET DE SOUDURE'!$B$7:$B$3006,MATCH(B2126,'CARNET DE SOUDURE'!$L$7:$L$3006,0)),IFERROR(INDEX('CARNET DE SOUDURE'!$B$7:$B$3006,MATCH(B2126,'CARNET DE SOUDURE'!$O$7:$O$3006,0)),"")))</f>
        <v/>
      </c>
      <c r="J2126" s="82" t="str">
        <f aca="false">IF(B2126="","",IFERROR(INDEX('CARNET DE SOUDURE'!$E$7:$E$3006,MATCH(B2126,'CARNET DE SOUDURE'!$O$7:$O$3006,0)),""))</f>
        <v/>
      </c>
      <c r="K2126" s="82" t="str">
        <f aca="false">IF(B2126="","",IFERROR(INDEX('CARNET DE SOUDURE'!$E$7:$E$3006,MATCH(B2126,'CARNET DE SOUDURE'!$L$7:$L$3006,0)),""))</f>
        <v/>
      </c>
      <c r="L2126" s="82" t="str">
        <f aca="false">IF(B2126="","",IFERROR(INDEX('CARNET DE SOUDURE'!$D$7:$D$3006,MATCH(B2126,'CARNET DE SOUDURE'!$L$7:$L$3006,0)),IFERROR(INDEX('CARNET DE SOUDURE'!$D$7:$D$3006,MATCH(B2126,'CARNET DE SOUDURE'!$O$7:$O$3006,0)),"")))</f>
        <v/>
      </c>
      <c r="M2126" s="82" t="str">
        <f aca="false">IF(B2126="","",IF(OR(J2126&lt;&gt;"",K2126&lt;&gt;""),"POSÉ EN LIGNE",IF(COUNTIF(BARDAGE!$C$1:$C$5000,B2126)&gt;0,"BARDÉ","EN STOCK")))</f>
        <v/>
      </c>
      <c r="N2126" s="80"/>
    </row>
    <row r="2127" customFormat="false" ht="15" hidden="false" customHeight="false" outlineLevel="0" collapsed="false">
      <c r="A2127" s="82" t="str">
        <f aca="false">IF(B2127="","",ROW()-6)</f>
        <v/>
      </c>
      <c r="B2127" s="145"/>
      <c r="C2127" s="146"/>
      <c r="D2127" s="146"/>
      <c r="E2127" s="82" t="str">
        <f aca="false">IF(B2127="","",IF(COUNTIFS('CARNET DE SOUDURE'!$L$7:$L$3006,B2127,'CARNET DE SOUDURE'!$M$7:$M$3006,"&lt;&gt;"&amp;C2127,'CARNET DE SOUDURE'!$M$7:$M$3006,"&lt;&gt;")+COUNTIFS('CARNET DE SOUDURE'!$O$7:$O$3006,B2127,'CARNET DE SOUDURE'!$P$7:$P$3006,"&lt;&gt;"&amp;C2127,'CARNET DE SOUDURE'!$P$7:$P$3006,"&lt;&gt;")&gt;0,"⚠ DIFFÉRENTE","OK"))</f>
        <v/>
      </c>
      <c r="F2127" s="147"/>
      <c r="G2127" s="80"/>
      <c r="H2127" s="83"/>
      <c r="I2127" s="148" t="str">
        <f aca="false">IF(B2127="","",IFERROR(INDEX('CARNET DE SOUDURE'!$B$7:$B$3006,MATCH(B2127,'CARNET DE SOUDURE'!$L$7:$L$3006,0)),IFERROR(INDEX('CARNET DE SOUDURE'!$B$7:$B$3006,MATCH(B2127,'CARNET DE SOUDURE'!$O$7:$O$3006,0)),"")))</f>
        <v/>
      </c>
      <c r="J2127" s="82" t="str">
        <f aca="false">IF(B2127="","",IFERROR(INDEX('CARNET DE SOUDURE'!$E$7:$E$3006,MATCH(B2127,'CARNET DE SOUDURE'!$O$7:$O$3006,0)),""))</f>
        <v/>
      </c>
      <c r="K2127" s="82" t="str">
        <f aca="false">IF(B2127="","",IFERROR(INDEX('CARNET DE SOUDURE'!$E$7:$E$3006,MATCH(B2127,'CARNET DE SOUDURE'!$L$7:$L$3006,0)),""))</f>
        <v/>
      </c>
      <c r="L2127" s="82" t="str">
        <f aca="false">IF(B2127="","",IFERROR(INDEX('CARNET DE SOUDURE'!$D$7:$D$3006,MATCH(B2127,'CARNET DE SOUDURE'!$L$7:$L$3006,0)),IFERROR(INDEX('CARNET DE SOUDURE'!$D$7:$D$3006,MATCH(B2127,'CARNET DE SOUDURE'!$O$7:$O$3006,0)),"")))</f>
        <v/>
      </c>
      <c r="M2127" s="82" t="str">
        <f aca="false">IF(B2127="","",IF(OR(J2127&lt;&gt;"",K2127&lt;&gt;""),"POSÉ EN LIGNE",IF(COUNTIF(BARDAGE!$C$1:$C$5000,B2127)&gt;0,"BARDÉ","EN STOCK")))</f>
        <v/>
      </c>
      <c r="N2127" s="80"/>
    </row>
    <row r="2128" customFormat="false" ht="15" hidden="false" customHeight="false" outlineLevel="0" collapsed="false">
      <c r="A2128" s="82" t="str">
        <f aca="false">IF(B2128="","",ROW()-6)</f>
        <v/>
      </c>
      <c r="B2128" s="145"/>
      <c r="C2128" s="146"/>
      <c r="D2128" s="146"/>
      <c r="E2128" s="82" t="str">
        <f aca="false">IF(B2128="","",IF(COUNTIFS('CARNET DE SOUDURE'!$L$7:$L$3006,B2128,'CARNET DE SOUDURE'!$M$7:$M$3006,"&lt;&gt;"&amp;C2128,'CARNET DE SOUDURE'!$M$7:$M$3006,"&lt;&gt;")+COUNTIFS('CARNET DE SOUDURE'!$O$7:$O$3006,B2128,'CARNET DE SOUDURE'!$P$7:$P$3006,"&lt;&gt;"&amp;C2128,'CARNET DE SOUDURE'!$P$7:$P$3006,"&lt;&gt;")&gt;0,"⚠ DIFFÉRENTE","OK"))</f>
        <v/>
      </c>
      <c r="F2128" s="147"/>
      <c r="G2128" s="80"/>
      <c r="H2128" s="83"/>
      <c r="I2128" s="148" t="str">
        <f aca="false">IF(B2128="","",IFERROR(INDEX('CARNET DE SOUDURE'!$B$7:$B$3006,MATCH(B2128,'CARNET DE SOUDURE'!$L$7:$L$3006,0)),IFERROR(INDEX('CARNET DE SOUDURE'!$B$7:$B$3006,MATCH(B2128,'CARNET DE SOUDURE'!$O$7:$O$3006,0)),"")))</f>
        <v/>
      </c>
      <c r="J2128" s="82" t="str">
        <f aca="false">IF(B2128="","",IFERROR(INDEX('CARNET DE SOUDURE'!$E$7:$E$3006,MATCH(B2128,'CARNET DE SOUDURE'!$O$7:$O$3006,0)),""))</f>
        <v/>
      </c>
      <c r="K2128" s="82" t="str">
        <f aca="false">IF(B2128="","",IFERROR(INDEX('CARNET DE SOUDURE'!$E$7:$E$3006,MATCH(B2128,'CARNET DE SOUDURE'!$L$7:$L$3006,0)),""))</f>
        <v/>
      </c>
      <c r="L2128" s="82" t="str">
        <f aca="false">IF(B2128="","",IFERROR(INDEX('CARNET DE SOUDURE'!$D$7:$D$3006,MATCH(B2128,'CARNET DE SOUDURE'!$L$7:$L$3006,0)),IFERROR(INDEX('CARNET DE SOUDURE'!$D$7:$D$3006,MATCH(B2128,'CARNET DE SOUDURE'!$O$7:$O$3006,0)),"")))</f>
        <v/>
      </c>
      <c r="M2128" s="82" t="str">
        <f aca="false">IF(B2128="","",IF(OR(J2128&lt;&gt;"",K2128&lt;&gt;""),"POSÉ EN LIGNE",IF(COUNTIF(BARDAGE!$C$1:$C$5000,B2128)&gt;0,"BARDÉ","EN STOCK")))</f>
        <v/>
      </c>
      <c r="N2128" s="80"/>
    </row>
    <row r="2129" customFormat="false" ht="15" hidden="false" customHeight="false" outlineLevel="0" collapsed="false">
      <c r="A2129" s="82" t="str">
        <f aca="false">IF(B2129="","",ROW()-6)</f>
        <v/>
      </c>
      <c r="B2129" s="145"/>
      <c r="C2129" s="146"/>
      <c r="D2129" s="146"/>
      <c r="E2129" s="82" t="str">
        <f aca="false">IF(B2129="","",IF(COUNTIFS('CARNET DE SOUDURE'!$L$7:$L$3006,B2129,'CARNET DE SOUDURE'!$M$7:$M$3006,"&lt;&gt;"&amp;C2129,'CARNET DE SOUDURE'!$M$7:$M$3006,"&lt;&gt;")+COUNTIFS('CARNET DE SOUDURE'!$O$7:$O$3006,B2129,'CARNET DE SOUDURE'!$P$7:$P$3006,"&lt;&gt;"&amp;C2129,'CARNET DE SOUDURE'!$P$7:$P$3006,"&lt;&gt;")&gt;0,"⚠ DIFFÉRENTE","OK"))</f>
        <v/>
      </c>
      <c r="F2129" s="147"/>
      <c r="G2129" s="80"/>
      <c r="H2129" s="83"/>
      <c r="I2129" s="148" t="str">
        <f aca="false">IF(B2129="","",IFERROR(INDEX('CARNET DE SOUDURE'!$B$7:$B$3006,MATCH(B2129,'CARNET DE SOUDURE'!$L$7:$L$3006,0)),IFERROR(INDEX('CARNET DE SOUDURE'!$B$7:$B$3006,MATCH(B2129,'CARNET DE SOUDURE'!$O$7:$O$3006,0)),"")))</f>
        <v/>
      </c>
      <c r="J2129" s="82" t="str">
        <f aca="false">IF(B2129="","",IFERROR(INDEX('CARNET DE SOUDURE'!$E$7:$E$3006,MATCH(B2129,'CARNET DE SOUDURE'!$O$7:$O$3006,0)),""))</f>
        <v/>
      </c>
      <c r="K2129" s="82" t="str">
        <f aca="false">IF(B2129="","",IFERROR(INDEX('CARNET DE SOUDURE'!$E$7:$E$3006,MATCH(B2129,'CARNET DE SOUDURE'!$L$7:$L$3006,0)),""))</f>
        <v/>
      </c>
      <c r="L2129" s="82" t="str">
        <f aca="false">IF(B2129="","",IFERROR(INDEX('CARNET DE SOUDURE'!$D$7:$D$3006,MATCH(B2129,'CARNET DE SOUDURE'!$L$7:$L$3006,0)),IFERROR(INDEX('CARNET DE SOUDURE'!$D$7:$D$3006,MATCH(B2129,'CARNET DE SOUDURE'!$O$7:$O$3006,0)),"")))</f>
        <v/>
      </c>
      <c r="M2129" s="82" t="str">
        <f aca="false">IF(B2129="","",IF(OR(J2129&lt;&gt;"",K2129&lt;&gt;""),"POSÉ EN LIGNE",IF(COUNTIF(BARDAGE!$C$1:$C$5000,B2129)&gt;0,"BARDÉ","EN STOCK")))</f>
        <v/>
      </c>
      <c r="N2129" s="80"/>
    </row>
    <row r="2130" customFormat="false" ht="15" hidden="false" customHeight="false" outlineLevel="0" collapsed="false">
      <c r="A2130" s="82" t="str">
        <f aca="false">IF(B2130="","",ROW()-6)</f>
        <v/>
      </c>
      <c r="B2130" s="145"/>
      <c r="C2130" s="146"/>
      <c r="D2130" s="146"/>
      <c r="E2130" s="82" t="str">
        <f aca="false">IF(B2130="","",IF(COUNTIFS('CARNET DE SOUDURE'!$L$7:$L$3006,B2130,'CARNET DE SOUDURE'!$M$7:$M$3006,"&lt;&gt;"&amp;C2130,'CARNET DE SOUDURE'!$M$7:$M$3006,"&lt;&gt;")+COUNTIFS('CARNET DE SOUDURE'!$O$7:$O$3006,B2130,'CARNET DE SOUDURE'!$P$7:$P$3006,"&lt;&gt;"&amp;C2130,'CARNET DE SOUDURE'!$P$7:$P$3006,"&lt;&gt;")&gt;0,"⚠ DIFFÉRENTE","OK"))</f>
        <v/>
      </c>
      <c r="F2130" s="147"/>
      <c r="G2130" s="80"/>
      <c r="H2130" s="83"/>
      <c r="I2130" s="148" t="str">
        <f aca="false">IF(B2130="","",IFERROR(INDEX('CARNET DE SOUDURE'!$B$7:$B$3006,MATCH(B2130,'CARNET DE SOUDURE'!$L$7:$L$3006,0)),IFERROR(INDEX('CARNET DE SOUDURE'!$B$7:$B$3006,MATCH(B2130,'CARNET DE SOUDURE'!$O$7:$O$3006,0)),"")))</f>
        <v/>
      </c>
      <c r="J2130" s="82" t="str">
        <f aca="false">IF(B2130="","",IFERROR(INDEX('CARNET DE SOUDURE'!$E$7:$E$3006,MATCH(B2130,'CARNET DE SOUDURE'!$O$7:$O$3006,0)),""))</f>
        <v/>
      </c>
      <c r="K2130" s="82" t="str">
        <f aca="false">IF(B2130="","",IFERROR(INDEX('CARNET DE SOUDURE'!$E$7:$E$3006,MATCH(B2130,'CARNET DE SOUDURE'!$L$7:$L$3006,0)),""))</f>
        <v/>
      </c>
      <c r="L2130" s="82" t="str">
        <f aca="false">IF(B2130="","",IFERROR(INDEX('CARNET DE SOUDURE'!$D$7:$D$3006,MATCH(B2130,'CARNET DE SOUDURE'!$L$7:$L$3006,0)),IFERROR(INDEX('CARNET DE SOUDURE'!$D$7:$D$3006,MATCH(B2130,'CARNET DE SOUDURE'!$O$7:$O$3006,0)),"")))</f>
        <v/>
      </c>
      <c r="M2130" s="82" t="str">
        <f aca="false">IF(B2130="","",IF(OR(J2130&lt;&gt;"",K2130&lt;&gt;""),"POSÉ EN LIGNE",IF(COUNTIF(BARDAGE!$C$1:$C$5000,B2130)&gt;0,"BARDÉ","EN STOCK")))</f>
        <v/>
      </c>
      <c r="N2130" s="80"/>
    </row>
    <row r="2131" customFormat="false" ht="15" hidden="false" customHeight="false" outlineLevel="0" collapsed="false">
      <c r="A2131" s="82" t="str">
        <f aca="false">IF(B2131="","",ROW()-6)</f>
        <v/>
      </c>
      <c r="B2131" s="145"/>
      <c r="C2131" s="146"/>
      <c r="D2131" s="146"/>
      <c r="E2131" s="82" t="str">
        <f aca="false">IF(B2131="","",IF(COUNTIFS('CARNET DE SOUDURE'!$L$7:$L$3006,B2131,'CARNET DE SOUDURE'!$M$7:$M$3006,"&lt;&gt;"&amp;C2131,'CARNET DE SOUDURE'!$M$7:$M$3006,"&lt;&gt;")+COUNTIFS('CARNET DE SOUDURE'!$O$7:$O$3006,B2131,'CARNET DE SOUDURE'!$P$7:$P$3006,"&lt;&gt;"&amp;C2131,'CARNET DE SOUDURE'!$P$7:$P$3006,"&lt;&gt;")&gt;0,"⚠ DIFFÉRENTE","OK"))</f>
        <v/>
      </c>
      <c r="F2131" s="147"/>
      <c r="G2131" s="80"/>
      <c r="H2131" s="83"/>
      <c r="I2131" s="148" t="str">
        <f aca="false">IF(B2131="","",IFERROR(INDEX('CARNET DE SOUDURE'!$B$7:$B$3006,MATCH(B2131,'CARNET DE SOUDURE'!$L$7:$L$3006,0)),IFERROR(INDEX('CARNET DE SOUDURE'!$B$7:$B$3006,MATCH(B2131,'CARNET DE SOUDURE'!$O$7:$O$3006,0)),"")))</f>
        <v/>
      </c>
      <c r="J2131" s="82" t="str">
        <f aca="false">IF(B2131="","",IFERROR(INDEX('CARNET DE SOUDURE'!$E$7:$E$3006,MATCH(B2131,'CARNET DE SOUDURE'!$O$7:$O$3006,0)),""))</f>
        <v/>
      </c>
      <c r="K2131" s="82" t="str">
        <f aca="false">IF(B2131="","",IFERROR(INDEX('CARNET DE SOUDURE'!$E$7:$E$3006,MATCH(B2131,'CARNET DE SOUDURE'!$L$7:$L$3006,0)),""))</f>
        <v/>
      </c>
      <c r="L2131" s="82" t="str">
        <f aca="false">IF(B2131="","",IFERROR(INDEX('CARNET DE SOUDURE'!$D$7:$D$3006,MATCH(B2131,'CARNET DE SOUDURE'!$L$7:$L$3006,0)),IFERROR(INDEX('CARNET DE SOUDURE'!$D$7:$D$3006,MATCH(B2131,'CARNET DE SOUDURE'!$O$7:$O$3006,0)),"")))</f>
        <v/>
      </c>
      <c r="M2131" s="82" t="str">
        <f aca="false">IF(B2131="","",IF(OR(J2131&lt;&gt;"",K2131&lt;&gt;""),"POSÉ EN LIGNE",IF(COUNTIF(BARDAGE!$C$1:$C$5000,B2131)&gt;0,"BARDÉ","EN STOCK")))</f>
        <v/>
      </c>
      <c r="N2131" s="80"/>
    </row>
    <row r="2132" customFormat="false" ht="15" hidden="false" customHeight="false" outlineLevel="0" collapsed="false">
      <c r="A2132" s="82" t="str">
        <f aca="false">IF(B2132="","",ROW()-6)</f>
        <v/>
      </c>
      <c r="B2132" s="145"/>
      <c r="C2132" s="146"/>
      <c r="D2132" s="146"/>
      <c r="E2132" s="82" t="str">
        <f aca="false">IF(B2132="","",IF(COUNTIFS('CARNET DE SOUDURE'!$L$7:$L$3006,B2132,'CARNET DE SOUDURE'!$M$7:$M$3006,"&lt;&gt;"&amp;C2132,'CARNET DE SOUDURE'!$M$7:$M$3006,"&lt;&gt;")+COUNTIFS('CARNET DE SOUDURE'!$O$7:$O$3006,B2132,'CARNET DE SOUDURE'!$P$7:$P$3006,"&lt;&gt;"&amp;C2132,'CARNET DE SOUDURE'!$P$7:$P$3006,"&lt;&gt;")&gt;0,"⚠ DIFFÉRENTE","OK"))</f>
        <v/>
      </c>
      <c r="F2132" s="147"/>
      <c r="G2132" s="80"/>
      <c r="H2132" s="83"/>
      <c r="I2132" s="148" t="str">
        <f aca="false">IF(B2132="","",IFERROR(INDEX('CARNET DE SOUDURE'!$B$7:$B$3006,MATCH(B2132,'CARNET DE SOUDURE'!$L$7:$L$3006,0)),IFERROR(INDEX('CARNET DE SOUDURE'!$B$7:$B$3006,MATCH(B2132,'CARNET DE SOUDURE'!$O$7:$O$3006,0)),"")))</f>
        <v/>
      </c>
      <c r="J2132" s="82" t="str">
        <f aca="false">IF(B2132="","",IFERROR(INDEX('CARNET DE SOUDURE'!$E$7:$E$3006,MATCH(B2132,'CARNET DE SOUDURE'!$O$7:$O$3006,0)),""))</f>
        <v/>
      </c>
      <c r="K2132" s="82" t="str">
        <f aca="false">IF(B2132="","",IFERROR(INDEX('CARNET DE SOUDURE'!$E$7:$E$3006,MATCH(B2132,'CARNET DE SOUDURE'!$L$7:$L$3006,0)),""))</f>
        <v/>
      </c>
      <c r="L2132" s="82" t="str">
        <f aca="false">IF(B2132="","",IFERROR(INDEX('CARNET DE SOUDURE'!$D$7:$D$3006,MATCH(B2132,'CARNET DE SOUDURE'!$L$7:$L$3006,0)),IFERROR(INDEX('CARNET DE SOUDURE'!$D$7:$D$3006,MATCH(B2132,'CARNET DE SOUDURE'!$O$7:$O$3006,0)),"")))</f>
        <v/>
      </c>
      <c r="M2132" s="82" t="str">
        <f aca="false">IF(B2132="","",IF(OR(J2132&lt;&gt;"",K2132&lt;&gt;""),"POSÉ EN LIGNE",IF(COUNTIF(BARDAGE!$C$1:$C$5000,B2132)&gt;0,"BARDÉ","EN STOCK")))</f>
        <v/>
      </c>
      <c r="N2132" s="80"/>
    </row>
    <row r="2133" customFormat="false" ht="15" hidden="false" customHeight="false" outlineLevel="0" collapsed="false">
      <c r="A2133" s="82" t="str">
        <f aca="false">IF(B2133="","",ROW()-6)</f>
        <v/>
      </c>
      <c r="B2133" s="145"/>
      <c r="C2133" s="146"/>
      <c r="D2133" s="146"/>
      <c r="E2133" s="82" t="str">
        <f aca="false">IF(B2133="","",IF(COUNTIFS('CARNET DE SOUDURE'!$L$7:$L$3006,B2133,'CARNET DE SOUDURE'!$M$7:$M$3006,"&lt;&gt;"&amp;C2133,'CARNET DE SOUDURE'!$M$7:$M$3006,"&lt;&gt;")+COUNTIFS('CARNET DE SOUDURE'!$O$7:$O$3006,B2133,'CARNET DE SOUDURE'!$P$7:$P$3006,"&lt;&gt;"&amp;C2133,'CARNET DE SOUDURE'!$P$7:$P$3006,"&lt;&gt;")&gt;0,"⚠ DIFFÉRENTE","OK"))</f>
        <v/>
      </c>
      <c r="F2133" s="147"/>
      <c r="G2133" s="80"/>
      <c r="H2133" s="83"/>
      <c r="I2133" s="148" t="str">
        <f aca="false">IF(B2133="","",IFERROR(INDEX('CARNET DE SOUDURE'!$B$7:$B$3006,MATCH(B2133,'CARNET DE SOUDURE'!$L$7:$L$3006,0)),IFERROR(INDEX('CARNET DE SOUDURE'!$B$7:$B$3006,MATCH(B2133,'CARNET DE SOUDURE'!$O$7:$O$3006,0)),"")))</f>
        <v/>
      </c>
      <c r="J2133" s="82" t="str">
        <f aca="false">IF(B2133="","",IFERROR(INDEX('CARNET DE SOUDURE'!$E$7:$E$3006,MATCH(B2133,'CARNET DE SOUDURE'!$O$7:$O$3006,0)),""))</f>
        <v/>
      </c>
      <c r="K2133" s="82" t="str">
        <f aca="false">IF(B2133="","",IFERROR(INDEX('CARNET DE SOUDURE'!$E$7:$E$3006,MATCH(B2133,'CARNET DE SOUDURE'!$L$7:$L$3006,0)),""))</f>
        <v/>
      </c>
      <c r="L2133" s="82" t="str">
        <f aca="false">IF(B2133="","",IFERROR(INDEX('CARNET DE SOUDURE'!$D$7:$D$3006,MATCH(B2133,'CARNET DE SOUDURE'!$L$7:$L$3006,0)),IFERROR(INDEX('CARNET DE SOUDURE'!$D$7:$D$3006,MATCH(B2133,'CARNET DE SOUDURE'!$O$7:$O$3006,0)),"")))</f>
        <v/>
      </c>
      <c r="M2133" s="82" t="str">
        <f aca="false">IF(B2133="","",IF(OR(J2133&lt;&gt;"",K2133&lt;&gt;""),"POSÉ EN LIGNE",IF(COUNTIF(BARDAGE!$C$1:$C$5000,B2133)&gt;0,"BARDÉ","EN STOCK")))</f>
        <v/>
      </c>
      <c r="N2133" s="80"/>
    </row>
    <row r="2134" customFormat="false" ht="15" hidden="false" customHeight="false" outlineLevel="0" collapsed="false">
      <c r="A2134" s="82" t="str">
        <f aca="false">IF(B2134="","",ROW()-6)</f>
        <v/>
      </c>
      <c r="B2134" s="145"/>
      <c r="C2134" s="146"/>
      <c r="D2134" s="146"/>
      <c r="E2134" s="82" t="str">
        <f aca="false">IF(B2134="","",IF(COUNTIFS('CARNET DE SOUDURE'!$L$7:$L$3006,B2134,'CARNET DE SOUDURE'!$M$7:$M$3006,"&lt;&gt;"&amp;C2134,'CARNET DE SOUDURE'!$M$7:$M$3006,"&lt;&gt;")+COUNTIFS('CARNET DE SOUDURE'!$O$7:$O$3006,B2134,'CARNET DE SOUDURE'!$P$7:$P$3006,"&lt;&gt;"&amp;C2134,'CARNET DE SOUDURE'!$P$7:$P$3006,"&lt;&gt;")&gt;0,"⚠ DIFFÉRENTE","OK"))</f>
        <v/>
      </c>
      <c r="F2134" s="147"/>
      <c r="G2134" s="80"/>
      <c r="H2134" s="83"/>
      <c r="I2134" s="148" t="str">
        <f aca="false">IF(B2134="","",IFERROR(INDEX('CARNET DE SOUDURE'!$B$7:$B$3006,MATCH(B2134,'CARNET DE SOUDURE'!$L$7:$L$3006,0)),IFERROR(INDEX('CARNET DE SOUDURE'!$B$7:$B$3006,MATCH(B2134,'CARNET DE SOUDURE'!$O$7:$O$3006,0)),"")))</f>
        <v/>
      </c>
      <c r="J2134" s="82" t="str">
        <f aca="false">IF(B2134="","",IFERROR(INDEX('CARNET DE SOUDURE'!$E$7:$E$3006,MATCH(B2134,'CARNET DE SOUDURE'!$O$7:$O$3006,0)),""))</f>
        <v/>
      </c>
      <c r="K2134" s="82" t="str">
        <f aca="false">IF(B2134="","",IFERROR(INDEX('CARNET DE SOUDURE'!$E$7:$E$3006,MATCH(B2134,'CARNET DE SOUDURE'!$L$7:$L$3006,0)),""))</f>
        <v/>
      </c>
      <c r="L2134" s="82" t="str">
        <f aca="false">IF(B2134="","",IFERROR(INDEX('CARNET DE SOUDURE'!$D$7:$D$3006,MATCH(B2134,'CARNET DE SOUDURE'!$L$7:$L$3006,0)),IFERROR(INDEX('CARNET DE SOUDURE'!$D$7:$D$3006,MATCH(B2134,'CARNET DE SOUDURE'!$O$7:$O$3006,0)),"")))</f>
        <v/>
      </c>
      <c r="M2134" s="82" t="str">
        <f aca="false">IF(B2134="","",IF(OR(J2134&lt;&gt;"",K2134&lt;&gt;""),"POSÉ EN LIGNE",IF(COUNTIF(BARDAGE!$C$1:$C$5000,B2134)&gt;0,"BARDÉ","EN STOCK")))</f>
        <v/>
      </c>
      <c r="N2134" s="80"/>
    </row>
    <row r="2135" customFormat="false" ht="15" hidden="false" customHeight="false" outlineLevel="0" collapsed="false">
      <c r="A2135" s="82" t="str">
        <f aca="false">IF(B2135="","",ROW()-6)</f>
        <v/>
      </c>
      <c r="B2135" s="145"/>
      <c r="C2135" s="146"/>
      <c r="D2135" s="146"/>
      <c r="E2135" s="82" t="str">
        <f aca="false">IF(B2135="","",IF(COUNTIFS('CARNET DE SOUDURE'!$L$7:$L$3006,B2135,'CARNET DE SOUDURE'!$M$7:$M$3006,"&lt;&gt;"&amp;C2135,'CARNET DE SOUDURE'!$M$7:$M$3006,"&lt;&gt;")+COUNTIFS('CARNET DE SOUDURE'!$O$7:$O$3006,B2135,'CARNET DE SOUDURE'!$P$7:$P$3006,"&lt;&gt;"&amp;C2135,'CARNET DE SOUDURE'!$P$7:$P$3006,"&lt;&gt;")&gt;0,"⚠ DIFFÉRENTE","OK"))</f>
        <v/>
      </c>
      <c r="F2135" s="147"/>
      <c r="G2135" s="80"/>
      <c r="H2135" s="83"/>
      <c r="I2135" s="148" t="str">
        <f aca="false">IF(B2135="","",IFERROR(INDEX('CARNET DE SOUDURE'!$B$7:$B$3006,MATCH(B2135,'CARNET DE SOUDURE'!$L$7:$L$3006,0)),IFERROR(INDEX('CARNET DE SOUDURE'!$B$7:$B$3006,MATCH(B2135,'CARNET DE SOUDURE'!$O$7:$O$3006,0)),"")))</f>
        <v/>
      </c>
      <c r="J2135" s="82" t="str">
        <f aca="false">IF(B2135="","",IFERROR(INDEX('CARNET DE SOUDURE'!$E$7:$E$3006,MATCH(B2135,'CARNET DE SOUDURE'!$O$7:$O$3006,0)),""))</f>
        <v/>
      </c>
      <c r="K2135" s="82" t="str">
        <f aca="false">IF(B2135="","",IFERROR(INDEX('CARNET DE SOUDURE'!$E$7:$E$3006,MATCH(B2135,'CARNET DE SOUDURE'!$L$7:$L$3006,0)),""))</f>
        <v/>
      </c>
      <c r="L2135" s="82" t="str">
        <f aca="false">IF(B2135="","",IFERROR(INDEX('CARNET DE SOUDURE'!$D$7:$D$3006,MATCH(B2135,'CARNET DE SOUDURE'!$L$7:$L$3006,0)),IFERROR(INDEX('CARNET DE SOUDURE'!$D$7:$D$3006,MATCH(B2135,'CARNET DE SOUDURE'!$O$7:$O$3006,0)),"")))</f>
        <v/>
      </c>
      <c r="M2135" s="82" t="str">
        <f aca="false">IF(B2135="","",IF(OR(J2135&lt;&gt;"",K2135&lt;&gt;""),"POSÉ EN LIGNE",IF(COUNTIF(BARDAGE!$C$1:$C$5000,B2135)&gt;0,"BARDÉ","EN STOCK")))</f>
        <v/>
      </c>
      <c r="N2135" s="80"/>
    </row>
    <row r="2136" customFormat="false" ht="15" hidden="false" customHeight="false" outlineLevel="0" collapsed="false">
      <c r="A2136" s="82" t="str">
        <f aca="false">IF(B2136="","",ROW()-6)</f>
        <v/>
      </c>
      <c r="B2136" s="145"/>
      <c r="C2136" s="146"/>
      <c r="D2136" s="146"/>
      <c r="E2136" s="82" t="str">
        <f aca="false">IF(B2136="","",IF(COUNTIFS('CARNET DE SOUDURE'!$L$7:$L$3006,B2136,'CARNET DE SOUDURE'!$M$7:$M$3006,"&lt;&gt;"&amp;C2136,'CARNET DE SOUDURE'!$M$7:$M$3006,"&lt;&gt;")+COUNTIFS('CARNET DE SOUDURE'!$O$7:$O$3006,B2136,'CARNET DE SOUDURE'!$P$7:$P$3006,"&lt;&gt;"&amp;C2136,'CARNET DE SOUDURE'!$P$7:$P$3006,"&lt;&gt;")&gt;0,"⚠ DIFFÉRENTE","OK"))</f>
        <v/>
      </c>
      <c r="F2136" s="147"/>
      <c r="G2136" s="80"/>
      <c r="H2136" s="83"/>
      <c r="I2136" s="148" t="str">
        <f aca="false">IF(B2136="","",IFERROR(INDEX('CARNET DE SOUDURE'!$B$7:$B$3006,MATCH(B2136,'CARNET DE SOUDURE'!$L$7:$L$3006,0)),IFERROR(INDEX('CARNET DE SOUDURE'!$B$7:$B$3006,MATCH(B2136,'CARNET DE SOUDURE'!$O$7:$O$3006,0)),"")))</f>
        <v/>
      </c>
      <c r="J2136" s="82" t="str">
        <f aca="false">IF(B2136="","",IFERROR(INDEX('CARNET DE SOUDURE'!$E$7:$E$3006,MATCH(B2136,'CARNET DE SOUDURE'!$O$7:$O$3006,0)),""))</f>
        <v/>
      </c>
      <c r="K2136" s="82" t="str">
        <f aca="false">IF(B2136="","",IFERROR(INDEX('CARNET DE SOUDURE'!$E$7:$E$3006,MATCH(B2136,'CARNET DE SOUDURE'!$L$7:$L$3006,0)),""))</f>
        <v/>
      </c>
      <c r="L2136" s="82" t="str">
        <f aca="false">IF(B2136="","",IFERROR(INDEX('CARNET DE SOUDURE'!$D$7:$D$3006,MATCH(B2136,'CARNET DE SOUDURE'!$L$7:$L$3006,0)),IFERROR(INDEX('CARNET DE SOUDURE'!$D$7:$D$3006,MATCH(B2136,'CARNET DE SOUDURE'!$O$7:$O$3006,0)),"")))</f>
        <v/>
      </c>
      <c r="M2136" s="82" t="str">
        <f aca="false">IF(B2136="","",IF(OR(J2136&lt;&gt;"",K2136&lt;&gt;""),"POSÉ EN LIGNE",IF(COUNTIF(BARDAGE!$C$1:$C$5000,B2136)&gt;0,"BARDÉ","EN STOCK")))</f>
        <v/>
      </c>
      <c r="N2136" s="80"/>
    </row>
    <row r="2137" customFormat="false" ht="15" hidden="false" customHeight="false" outlineLevel="0" collapsed="false">
      <c r="A2137" s="82" t="str">
        <f aca="false">IF(B2137="","",ROW()-6)</f>
        <v/>
      </c>
      <c r="B2137" s="145"/>
      <c r="C2137" s="146"/>
      <c r="D2137" s="146"/>
      <c r="E2137" s="82" t="str">
        <f aca="false">IF(B2137="","",IF(COUNTIFS('CARNET DE SOUDURE'!$L$7:$L$3006,B2137,'CARNET DE SOUDURE'!$M$7:$M$3006,"&lt;&gt;"&amp;C2137,'CARNET DE SOUDURE'!$M$7:$M$3006,"&lt;&gt;")+COUNTIFS('CARNET DE SOUDURE'!$O$7:$O$3006,B2137,'CARNET DE SOUDURE'!$P$7:$P$3006,"&lt;&gt;"&amp;C2137,'CARNET DE SOUDURE'!$P$7:$P$3006,"&lt;&gt;")&gt;0,"⚠ DIFFÉRENTE","OK"))</f>
        <v/>
      </c>
      <c r="F2137" s="147"/>
      <c r="G2137" s="80"/>
      <c r="H2137" s="83"/>
      <c r="I2137" s="148" t="str">
        <f aca="false">IF(B2137="","",IFERROR(INDEX('CARNET DE SOUDURE'!$B$7:$B$3006,MATCH(B2137,'CARNET DE SOUDURE'!$L$7:$L$3006,0)),IFERROR(INDEX('CARNET DE SOUDURE'!$B$7:$B$3006,MATCH(B2137,'CARNET DE SOUDURE'!$O$7:$O$3006,0)),"")))</f>
        <v/>
      </c>
      <c r="J2137" s="82" t="str">
        <f aca="false">IF(B2137="","",IFERROR(INDEX('CARNET DE SOUDURE'!$E$7:$E$3006,MATCH(B2137,'CARNET DE SOUDURE'!$O$7:$O$3006,0)),""))</f>
        <v/>
      </c>
      <c r="K2137" s="82" t="str">
        <f aca="false">IF(B2137="","",IFERROR(INDEX('CARNET DE SOUDURE'!$E$7:$E$3006,MATCH(B2137,'CARNET DE SOUDURE'!$L$7:$L$3006,0)),""))</f>
        <v/>
      </c>
      <c r="L2137" s="82" t="str">
        <f aca="false">IF(B2137="","",IFERROR(INDEX('CARNET DE SOUDURE'!$D$7:$D$3006,MATCH(B2137,'CARNET DE SOUDURE'!$L$7:$L$3006,0)),IFERROR(INDEX('CARNET DE SOUDURE'!$D$7:$D$3006,MATCH(B2137,'CARNET DE SOUDURE'!$O$7:$O$3006,0)),"")))</f>
        <v/>
      </c>
      <c r="M2137" s="82" t="str">
        <f aca="false">IF(B2137="","",IF(OR(J2137&lt;&gt;"",K2137&lt;&gt;""),"POSÉ EN LIGNE",IF(COUNTIF(BARDAGE!$C$1:$C$5000,B2137)&gt;0,"BARDÉ","EN STOCK")))</f>
        <v/>
      </c>
      <c r="N2137" s="80"/>
    </row>
    <row r="2138" customFormat="false" ht="15" hidden="false" customHeight="false" outlineLevel="0" collapsed="false">
      <c r="A2138" s="82" t="str">
        <f aca="false">IF(B2138="","",ROW()-6)</f>
        <v/>
      </c>
      <c r="B2138" s="145"/>
      <c r="C2138" s="146"/>
      <c r="D2138" s="146"/>
      <c r="E2138" s="82" t="str">
        <f aca="false">IF(B2138="","",IF(COUNTIFS('CARNET DE SOUDURE'!$L$7:$L$3006,B2138,'CARNET DE SOUDURE'!$M$7:$M$3006,"&lt;&gt;"&amp;C2138,'CARNET DE SOUDURE'!$M$7:$M$3006,"&lt;&gt;")+COUNTIFS('CARNET DE SOUDURE'!$O$7:$O$3006,B2138,'CARNET DE SOUDURE'!$P$7:$P$3006,"&lt;&gt;"&amp;C2138,'CARNET DE SOUDURE'!$P$7:$P$3006,"&lt;&gt;")&gt;0,"⚠ DIFFÉRENTE","OK"))</f>
        <v/>
      </c>
      <c r="F2138" s="147"/>
      <c r="G2138" s="80"/>
      <c r="H2138" s="83"/>
      <c r="I2138" s="148" t="str">
        <f aca="false">IF(B2138="","",IFERROR(INDEX('CARNET DE SOUDURE'!$B$7:$B$3006,MATCH(B2138,'CARNET DE SOUDURE'!$L$7:$L$3006,0)),IFERROR(INDEX('CARNET DE SOUDURE'!$B$7:$B$3006,MATCH(B2138,'CARNET DE SOUDURE'!$O$7:$O$3006,0)),"")))</f>
        <v/>
      </c>
      <c r="J2138" s="82" t="str">
        <f aca="false">IF(B2138="","",IFERROR(INDEX('CARNET DE SOUDURE'!$E$7:$E$3006,MATCH(B2138,'CARNET DE SOUDURE'!$O$7:$O$3006,0)),""))</f>
        <v/>
      </c>
      <c r="K2138" s="82" t="str">
        <f aca="false">IF(B2138="","",IFERROR(INDEX('CARNET DE SOUDURE'!$E$7:$E$3006,MATCH(B2138,'CARNET DE SOUDURE'!$L$7:$L$3006,0)),""))</f>
        <v/>
      </c>
      <c r="L2138" s="82" t="str">
        <f aca="false">IF(B2138="","",IFERROR(INDEX('CARNET DE SOUDURE'!$D$7:$D$3006,MATCH(B2138,'CARNET DE SOUDURE'!$L$7:$L$3006,0)),IFERROR(INDEX('CARNET DE SOUDURE'!$D$7:$D$3006,MATCH(B2138,'CARNET DE SOUDURE'!$O$7:$O$3006,0)),"")))</f>
        <v/>
      </c>
      <c r="M2138" s="82" t="str">
        <f aca="false">IF(B2138="","",IF(OR(J2138&lt;&gt;"",K2138&lt;&gt;""),"POSÉ EN LIGNE",IF(COUNTIF(BARDAGE!$C$1:$C$5000,B2138)&gt;0,"BARDÉ","EN STOCK")))</f>
        <v/>
      </c>
      <c r="N2138" s="80"/>
    </row>
    <row r="2139" customFormat="false" ht="15" hidden="false" customHeight="false" outlineLevel="0" collapsed="false">
      <c r="A2139" s="82" t="str">
        <f aca="false">IF(B2139="","",ROW()-6)</f>
        <v/>
      </c>
      <c r="B2139" s="145"/>
      <c r="C2139" s="146"/>
      <c r="D2139" s="146"/>
      <c r="E2139" s="82" t="str">
        <f aca="false">IF(B2139="","",IF(COUNTIFS('CARNET DE SOUDURE'!$L$7:$L$3006,B2139,'CARNET DE SOUDURE'!$M$7:$M$3006,"&lt;&gt;"&amp;C2139,'CARNET DE SOUDURE'!$M$7:$M$3006,"&lt;&gt;")+COUNTIFS('CARNET DE SOUDURE'!$O$7:$O$3006,B2139,'CARNET DE SOUDURE'!$P$7:$P$3006,"&lt;&gt;"&amp;C2139,'CARNET DE SOUDURE'!$P$7:$P$3006,"&lt;&gt;")&gt;0,"⚠ DIFFÉRENTE","OK"))</f>
        <v/>
      </c>
      <c r="F2139" s="147"/>
      <c r="G2139" s="80"/>
      <c r="H2139" s="83"/>
      <c r="I2139" s="148" t="str">
        <f aca="false">IF(B2139="","",IFERROR(INDEX('CARNET DE SOUDURE'!$B$7:$B$3006,MATCH(B2139,'CARNET DE SOUDURE'!$L$7:$L$3006,0)),IFERROR(INDEX('CARNET DE SOUDURE'!$B$7:$B$3006,MATCH(B2139,'CARNET DE SOUDURE'!$O$7:$O$3006,0)),"")))</f>
        <v/>
      </c>
      <c r="J2139" s="82" t="str">
        <f aca="false">IF(B2139="","",IFERROR(INDEX('CARNET DE SOUDURE'!$E$7:$E$3006,MATCH(B2139,'CARNET DE SOUDURE'!$O$7:$O$3006,0)),""))</f>
        <v/>
      </c>
      <c r="K2139" s="82" t="str">
        <f aca="false">IF(B2139="","",IFERROR(INDEX('CARNET DE SOUDURE'!$E$7:$E$3006,MATCH(B2139,'CARNET DE SOUDURE'!$L$7:$L$3006,0)),""))</f>
        <v/>
      </c>
      <c r="L2139" s="82" t="str">
        <f aca="false">IF(B2139="","",IFERROR(INDEX('CARNET DE SOUDURE'!$D$7:$D$3006,MATCH(B2139,'CARNET DE SOUDURE'!$L$7:$L$3006,0)),IFERROR(INDEX('CARNET DE SOUDURE'!$D$7:$D$3006,MATCH(B2139,'CARNET DE SOUDURE'!$O$7:$O$3006,0)),"")))</f>
        <v/>
      </c>
      <c r="M2139" s="82" t="str">
        <f aca="false">IF(B2139="","",IF(OR(J2139&lt;&gt;"",K2139&lt;&gt;""),"POSÉ EN LIGNE",IF(COUNTIF(BARDAGE!$C$1:$C$5000,B2139)&gt;0,"BARDÉ","EN STOCK")))</f>
        <v/>
      </c>
      <c r="N2139" s="80"/>
    </row>
    <row r="2140" customFormat="false" ht="15" hidden="false" customHeight="false" outlineLevel="0" collapsed="false">
      <c r="A2140" s="82" t="str">
        <f aca="false">IF(B2140="","",ROW()-6)</f>
        <v/>
      </c>
      <c r="B2140" s="145"/>
      <c r="C2140" s="146"/>
      <c r="D2140" s="146"/>
      <c r="E2140" s="82" t="str">
        <f aca="false">IF(B2140="","",IF(COUNTIFS('CARNET DE SOUDURE'!$L$7:$L$3006,B2140,'CARNET DE SOUDURE'!$M$7:$M$3006,"&lt;&gt;"&amp;C2140,'CARNET DE SOUDURE'!$M$7:$M$3006,"&lt;&gt;")+COUNTIFS('CARNET DE SOUDURE'!$O$7:$O$3006,B2140,'CARNET DE SOUDURE'!$P$7:$P$3006,"&lt;&gt;"&amp;C2140,'CARNET DE SOUDURE'!$P$7:$P$3006,"&lt;&gt;")&gt;0,"⚠ DIFFÉRENTE","OK"))</f>
        <v/>
      </c>
      <c r="F2140" s="147"/>
      <c r="G2140" s="80"/>
      <c r="H2140" s="83"/>
      <c r="I2140" s="148" t="str">
        <f aca="false">IF(B2140="","",IFERROR(INDEX('CARNET DE SOUDURE'!$B$7:$B$3006,MATCH(B2140,'CARNET DE SOUDURE'!$L$7:$L$3006,0)),IFERROR(INDEX('CARNET DE SOUDURE'!$B$7:$B$3006,MATCH(B2140,'CARNET DE SOUDURE'!$O$7:$O$3006,0)),"")))</f>
        <v/>
      </c>
      <c r="J2140" s="82" t="str">
        <f aca="false">IF(B2140="","",IFERROR(INDEX('CARNET DE SOUDURE'!$E$7:$E$3006,MATCH(B2140,'CARNET DE SOUDURE'!$O$7:$O$3006,0)),""))</f>
        <v/>
      </c>
      <c r="K2140" s="82" t="str">
        <f aca="false">IF(B2140="","",IFERROR(INDEX('CARNET DE SOUDURE'!$E$7:$E$3006,MATCH(B2140,'CARNET DE SOUDURE'!$L$7:$L$3006,0)),""))</f>
        <v/>
      </c>
      <c r="L2140" s="82" t="str">
        <f aca="false">IF(B2140="","",IFERROR(INDEX('CARNET DE SOUDURE'!$D$7:$D$3006,MATCH(B2140,'CARNET DE SOUDURE'!$L$7:$L$3006,0)),IFERROR(INDEX('CARNET DE SOUDURE'!$D$7:$D$3006,MATCH(B2140,'CARNET DE SOUDURE'!$O$7:$O$3006,0)),"")))</f>
        <v/>
      </c>
      <c r="M2140" s="82" t="str">
        <f aca="false">IF(B2140="","",IF(OR(J2140&lt;&gt;"",K2140&lt;&gt;""),"POSÉ EN LIGNE",IF(COUNTIF(BARDAGE!$C$1:$C$5000,B2140)&gt;0,"BARDÉ","EN STOCK")))</f>
        <v/>
      </c>
      <c r="N2140" s="80"/>
    </row>
    <row r="2141" customFormat="false" ht="15" hidden="false" customHeight="false" outlineLevel="0" collapsed="false">
      <c r="A2141" s="82" t="str">
        <f aca="false">IF(B2141="","",ROW()-6)</f>
        <v/>
      </c>
      <c r="B2141" s="145"/>
      <c r="C2141" s="146"/>
      <c r="D2141" s="146"/>
      <c r="E2141" s="82" t="str">
        <f aca="false">IF(B2141="","",IF(COUNTIFS('CARNET DE SOUDURE'!$L$7:$L$3006,B2141,'CARNET DE SOUDURE'!$M$7:$M$3006,"&lt;&gt;"&amp;C2141,'CARNET DE SOUDURE'!$M$7:$M$3006,"&lt;&gt;")+COUNTIFS('CARNET DE SOUDURE'!$O$7:$O$3006,B2141,'CARNET DE SOUDURE'!$P$7:$P$3006,"&lt;&gt;"&amp;C2141,'CARNET DE SOUDURE'!$P$7:$P$3006,"&lt;&gt;")&gt;0,"⚠ DIFFÉRENTE","OK"))</f>
        <v/>
      </c>
      <c r="F2141" s="147"/>
      <c r="G2141" s="80"/>
      <c r="H2141" s="83"/>
      <c r="I2141" s="148" t="str">
        <f aca="false">IF(B2141="","",IFERROR(INDEX('CARNET DE SOUDURE'!$B$7:$B$3006,MATCH(B2141,'CARNET DE SOUDURE'!$L$7:$L$3006,0)),IFERROR(INDEX('CARNET DE SOUDURE'!$B$7:$B$3006,MATCH(B2141,'CARNET DE SOUDURE'!$O$7:$O$3006,0)),"")))</f>
        <v/>
      </c>
      <c r="J2141" s="82" t="str">
        <f aca="false">IF(B2141="","",IFERROR(INDEX('CARNET DE SOUDURE'!$E$7:$E$3006,MATCH(B2141,'CARNET DE SOUDURE'!$O$7:$O$3006,0)),""))</f>
        <v/>
      </c>
      <c r="K2141" s="82" t="str">
        <f aca="false">IF(B2141="","",IFERROR(INDEX('CARNET DE SOUDURE'!$E$7:$E$3006,MATCH(B2141,'CARNET DE SOUDURE'!$L$7:$L$3006,0)),""))</f>
        <v/>
      </c>
      <c r="L2141" s="82" t="str">
        <f aca="false">IF(B2141="","",IFERROR(INDEX('CARNET DE SOUDURE'!$D$7:$D$3006,MATCH(B2141,'CARNET DE SOUDURE'!$L$7:$L$3006,0)),IFERROR(INDEX('CARNET DE SOUDURE'!$D$7:$D$3006,MATCH(B2141,'CARNET DE SOUDURE'!$O$7:$O$3006,0)),"")))</f>
        <v/>
      </c>
      <c r="M2141" s="82" t="str">
        <f aca="false">IF(B2141="","",IF(OR(J2141&lt;&gt;"",K2141&lt;&gt;""),"POSÉ EN LIGNE",IF(COUNTIF(BARDAGE!$C$1:$C$5000,B2141)&gt;0,"BARDÉ","EN STOCK")))</f>
        <v/>
      </c>
      <c r="N2141" s="80"/>
    </row>
    <row r="2142" customFormat="false" ht="15" hidden="false" customHeight="false" outlineLevel="0" collapsed="false">
      <c r="A2142" s="82" t="str">
        <f aca="false">IF(B2142="","",ROW()-6)</f>
        <v/>
      </c>
      <c r="B2142" s="145"/>
      <c r="C2142" s="146"/>
      <c r="D2142" s="146"/>
      <c r="E2142" s="82" t="str">
        <f aca="false">IF(B2142="","",IF(COUNTIFS('CARNET DE SOUDURE'!$L$7:$L$3006,B2142,'CARNET DE SOUDURE'!$M$7:$M$3006,"&lt;&gt;"&amp;C2142,'CARNET DE SOUDURE'!$M$7:$M$3006,"&lt;&gt;")+COUNTIFS('CARNET DE SOUDURE'!$O$7:$O$3006,B2142,'CARNET DE SOUDURE'!$P$7:$P$3006,"&lt;&gt;"&amp;C2142,'CARNET DE SOUDURE'!$P$7:$P$3006,"&lt;&gt;")&gt;0,"⚠ DIFFÉRENTE","OK"))</f>
        <v/>
      </c>
      <c r="F2142" s="147"/>
      <c r="G2142" s="80"/>
      <c r="H2142" s="83"/>
      <c r="I2142" s="148" t="str">
        <f aca="false">IF(B2142="","",IFERROR(INDEX('CARNET DE SOUDURE'!$B$7:$B$3006,MATCH(B2142,'CARNET DE SOUDURE'!$L$7:$L$3006,0)),IFERROR(INDEX('CARNET DE SOUDURE'!$B$7:$B$3006,MATCH(B2142,'CARNET DE SOUDURE'!$O$7:$O$3006,0)),"")))</f>
        <v/>
      </c>
      <c r="J2142" s="82" t="str">
        <f aca="false">IF(B2142="","",IFERROR(INDEX('CARNET DE SOUDURE'!$E$7:$E$3006,MATCH(B2142,'CARNET DE SOUDURE'!$O$7:$O$3006,0)),""))</f>
        <v/>
      </c>
      <c r="K2142" s="82" t="str">
        <f aca="false">IF(B2142="","",IFERROR(INDEX('CARNET DE SOUDURE'!$E$7:$E$3006,MATCH(B2142,'CARNET DE SOUDURE'!$L$7:$L$3006,0)),""))</f>
        <v/>
      </c>
      <c r="L2142" s="82" t="str">
        <f aca="false">IF(B2142="","",IFERROR(INDEX('CARNET DE SOUDURE'!$D$7:$D$3006,MATCH(B2142,'CARNET DE SOUDURE'!$L$7:$L$3006,0)),IFERROR(INDEX('CARNET DE SOUDURE'!$D$7:$D$3006,MATCH(B2142,'CARNET DE SOUDURE'!$O$7:$O$3006,0)),"")))</f>
        <v/>
      </c>
      <c r="M2142" s="82" t="str">
        <f aca="false">IF(B2142="","",IF(OR(J2142&lt;&gt;"",K2142&lt;&gt;""),"POSÉ EN LIGNE",IF(COUNTIF(BARDAGE!$C$1:$C$5000,B2142)&gt;0,"BARDÉ","EN STOCK")))</f>
        <v/>
      </c>
      <c r="N2142" s="80"/>
    </row>
    <row r="2143" customFormat="false" ht="15" hidden="false" customHeight="false" outlineLevel="0" collapsed="false">
      <c r="A2143" s="82" t="str">
        <f aca="false">IF(B2143="","",ROW()-6)</f>
        <v/>
      </c>
      <c r="B2143" s="145"/>
      <c r="C2143" s="146"/>
      <c r="D2143" s="146"/>
      <c r="E2143" s="82" t="str">
        <f aca="false">IF(B2143="","",IF(COUNTIFS('CARNET DE SOUDURE'!$L$7:$L$3006,B2143,'CARNET DE SOUDURE'!$M$7:$M$3006,"&lt;&gt;"&amp;C2143,'CARNET DE SOUDURE'!$M$7:$M$3006,"&lt;&gt;")+COUNTIFS('CARNET DE SOUDURE'!$O$7:$O$3006,B2143,'CARNET DE SOUDURE'!$P$7:$P$3006,"&lt;&gt;"&amp;C2143,'CARNET DE SOUDURE'!$P$7:$P$3006,"&lt;&gt;")&gt;0,"⚠ DIFFÉRENTE","OK"))</f>
        <v/>
      </c>
      <c r="F2143" s="147"/>
      <c r="G2143" s="80"/>
      <c r="H2143" s="83"/>
      <c r="I2143" s="148" t="str">
        <f aca="false">IF(B2143="","",IFERROR(INDEX('CARNET DE SOUDURE'!$B$7:$B$3006,MATCH(B2143,'CARNET DE SOUDURE'!$L$7:$L$3006,0)),IFERROR(INDEX('CARNET DE SOUDURE'!$B$7:$B$3006,MATCH(B2143,'CARNET DE SOUDURE'!$O$7:$O$3006,0)),"")))</f>
        <v/>
      </c>
      <c r="J2143" s="82" t="str">
        <f aca="false">IF(B2143="","",IFERROR(INDEX('CARNET DE SOUDURE'!$E$7:$E$3006,MATCH(B2143,'CARNET DE SOUDURE'!$O$7:$O$3006,0)),""))</f>
        <v/>
      </c>
      <c r="K2143" s="82" t="str">
        <f aca="false">IF(B2143="","",IFERROR(INDEX('CARNET DE SOUDURE'!$E$7:$E$3006,MATCH(B2143,'CARNET DE SOUDURE'!$L$7:$L$3006,0)),""))</f>
        <v/>
      </c>
      <c r="L2143" s="82" t="str">
        <f aca="false">IF(B2143="","",IFERROR(INDEX('CARNET DE SOUDURE'!$D$7:$D$3006,MATCH(B2143,'CARNET DE SOUDURE'!$L$7:$L$3006,0)),IFERROR(INDEX('CARNET DE SOUDURE'!$D$7:$D$3006,MATCH(B2143,'CARNET DE SOUDURE'!$O$7:$O$3006,0)),"")))</f>
        <v/>
      </c>
      <c r="M2143" s="82" t="str">
        <f aca="false">IF(B2143="","",IF(OR(J2143&lt;&gt;"",K2143&lt;&gt;""),"POSÉ EN LIGNE",IF(COUNTIF(BARDAGE!$C$1:$C$5000,B2143)&gt;0,"BARDÉ","EN STOCK")))</f>
        <v/>
      </c>
      <c r="N2143" s="80"/>
    </row>
    <row r="2144" customFormat="false" ht="15" hidden="false" customHeight="false" outlineLevel="0" collapsed="false">
      <c r="A2144" s="82" t="str">
        <f aca="false">IF(B2144="","",ROW()-6)</f>
        <v/>
      </c>
      <c r="B2144" s="145"/>
      <c r="C2144" s="146"/>
      <c r="D2144" s="146"/>
      <c r="E2144" s="82" t="str">
        <f aca="false">IF(B2144="","",IF(COUNTIFS('CARNET DE SOUDURE'!$L$7:$L$3006,B2144,'CARNET DE SOUDURE'!$M$7:$M$3006,"&lt;&gt;"&amp;C2144,'CARNET DE SOUDURE'!$M$7:$M$3006,"&lt;&gt;")+COUNTIFS('CARNET DE SOUDURE'!$O$7:$O$3006,B2144,'CARNET DE SOUDURE'!$P$7:$P$3006,"&lt;&gt;"&amp;C2144,'CARNET DE SOUDURE'!$P$7:$P$3006,"&lt;&gt;")&gt;0,"⚠ DIFFÉRENTE","OK"))</f>
        <v/>
      </c>
      <c r="F2144" s="147"/>
      <c r="G2144" s="80"/>
      <c r="H2144" s="83"/>
      <c r="I2144" s="148" t="str">
        <f aca="false">IF(B2144="","",IFERROR(INDEX('CARNET DE SOUDURE'!$B$7:$B$3006,MATCH(B2144,'CARNET DE SOUDURE'!$L$7:$L$3006,0)),IFERROR(INDEX('CARNET DE SOUDURE'!$B$7:$B$3006,MATCH(B2144,'CARNET DE SOUDURE'!$O$7:$O$3006,0)),"")))</f>
        <v/>
      </c>
      <c r="J2144" s="82" t="str">
        <f aca="false">IF(B2144="","",IFERROR(INDEX('CARNET DE SOUDURE'!$E$7:$E$3006,MATCH(B2144,'CARNET DE SOUDURE'!$O$7:$O$3006,0)),""))</f>
        <v/>
      </c>
      <c r="K2144" s="82" t="str">
        <f aca="false">IF(B2144="","",IFERROR(INDEX('CARNET DE SOUDURE'!$E$7:$E$3006,MATCH(B2144,'CARNET DE SOUDURE'!$L$7:$L$3006,0)),""))</f>
        <v/>
      </c>
      <c r="L2144" s="82" t="str">
        <f aca="false">IF(B2144="","",IFERROR(INDEX('CARNET DE SOUDURE'!$D$7:$D$3006,MATCH(B2144,'CARNET DE SOUDURE'!$L$7:$L$3006,0)),IFERROR(INDEX('CARNET DE SOUDURE'!$D$7:$D$3006,MATCH(B2144,'CARNET DE SOUDURE'!$O$7:$O$3006,0)),"")))</f>
        <v/>
      </c>
      <c r="M2144" s="82" t="str">
        <f aca="false">IF(B2144="","",IF(OR(J2144&lt;&gt;"",K2144&lt;&gt;""),"POSÉ EN LIGNE",IF(COUNTIF(BARDAGE!$C$1:$C$5000,B2144)&gt;0,"BARDÉ","EN STOCK")))</f>
        <v/>
      </c>
      <c r="N2144" s="80"/>
    </row>
    <row r="2145" customFormat="false" ht="15" hidden="false" customHeight="false" outlineLevel="0" collapsed="false">
      <c r="A2145" s="82" t="str">
        <f aca="false">IF(B2145="","",ROW()-6)</f>
        <v/>
      </c>
      <c r="B2145" s="145"/>
      <c r="C2145" s="146"/>
      <c r="D2145" s="146"/>
      <c r="E2145" s="82" t="str">
        <f aca="false">IF(B2145="","",IF(COUNTIFS('CARNET DE SOUDURE'!$L$7:$L$3006,B2145,'CARNET DE SOUDURE'!$M$7:$M$3006,"&lt;&gt;"&amp;C2145,'CARNET DE SOUDURE'!$M$7:$M$3006,"&lt;&gt;")+COUNTIFS('CARNET DE SOUDURE'!$O$7:$O$3006,B2145,'CARNET DE SOUDURE'!$P$7:$P$3006,"&lt;&gt;"&amp;C2145,'CARNET DE SOUDURE'!$P$7:$P$3006,"&lt;&gt;")&gt;0,"⚠ DIFFÉRENTE","OK"))</f>
        <v/>
      </c>
      <c r="F2145" s="147"/>
      <c r="G2145" s="80"/>
      <c r="H2145" s="83"/>
      <c r="I2145" s="148" t="str">
        <f aca="false">IF(B2145="","",IFERROR(INDEX('CARNET DE SOUDURE'!$B$7:$B$3006,MATCH(B2145,'CARNET DE SOUDURE'!$L$7:$L$3006,0)),IFERROR(INDEX('CARNET DE SOUDURE'!$B$7:$B$3006,MATCH(B2145,'CARNET DE SOUDURE'!$O$7:$O$3006,0)),"")))</f>
        <v/>
      </c>
      <c r="J2145" s="82" t="str">
        <f aca="false">IF(B2145="","",IFERROR(INDEX('CARNET DE SOUDURE'!$E$7:$E$3006,MATCH(B2145,'CARNET DE SOUDURE'!$O$7:$O$3006,0)),""))</f>
        <v/>
      </c>
      <c r="K2145" s="82" t="str">
        <f aca="false">IF(B2145="","",IFERROR(INDEX('CARNET DE SOUDURE'!$E$7:$E$3006,MATCH(B2145,'CARNET DE SOUDURE'!$L$7:$L$3006,0)),""))</f>
        <v/>
      </c>
      <c r="L2145" s="82" t="str">
        <f aca="false">IF(B2145="","",IFERROR(INDEX('CARNET DE SOUDURE'!$D$7:$D$3006,MATCH(B2145,'CARNET DE SOUDURE'!$L$7:$L$3006,0)),IFERROR(INDEX('CARNET DE SOUDURE'!$D$7:$D$3006,MATCH(B2145,'CARNET DE SOUDURE'!$O$7:$O$3006,0)),"")))</f>
        <v/>
      </c>
      <c r="M2145" s="82" t="str">
        <f aca="false">IF(B2145="","",IF(OR(J2145&lt;&gt;"",K2145&lt;&gt;""),"POSÉ EN LIGNE",IF(COUNTIF(BARDAGE!$C$1:$C$5000,B2145)&gt;0,"BARDÉ","EN STOCK")))</f>
        <v/>
      </c>
      <c r="N2145" s="80"/>
    </row>
    <row r="2146" customFormat="false" ht="15" hidden="false" customHeight="false" outlineLevel="0" collapsed="false">
      <c r="A2146" s="82" t="str">
        <f aca="false">IF(B2146="","",ROW()-6)</f>
        <v/>
      </c>
      <c r="B2146" s="145"/>
      <c r="C2146" s="146"/>
      <c r="D2146" s="146"/>
      <c r="E2146" s="82" t="str">
        <f aca="false">IF(B2146="","",IF(COUNTIFS('CARNET DE SOUDURE'!$L$7:$L$3006,B2146,'CARNET DE SOUDURE'!$M$7:$M$3006,"&lt;&gt;"&amp;C2146,'CARNET DE SOUDURE'!$M$7:$M$3006,"&lt;&gt;")+COUNTIFS('CARNET DE SOUDURE'!$O$7:$O$3006,B2146,'CARNET DE SOUDURE'!$P$7:$P$3006,"&lt;&gt;"&amp;C2146,'CARNET DE SOUDURE'!$P$7:$P$3006,"&lt;&gt;")&gt;0,"⚠ DIFFÉRENTE","OK"))</f>
        <v/>
      </c>
      <c r="F2146" s="147"/>
      <c r="G2146" s="80"/>
      <c r="H2146" s="83"/>
      <c r="I2146" s="148" t="str">
        <f aca="false">IF(B2146="","",IFERROR(INDEX('CARNET DE SOUDURE'!$B$7:$B$3006,MATCH(B2146,'CARNET DE SOUDURE'!$L$7:$L$3006,0)),IFERROR(INDEX('CARNET DE SOUDURE'!$B$7:$B$3006,MATCH(B2146,'CARNET DE SOUDURE'!$O$7:$O$3006,0)),"")))</f>
        <v/>
      </c>
      <c r="J2146" s="82" t="str">
        <f aca="false">IF(B2146="","",IFERROR(INDEX('CARNET DE SOUDURE'!$E$7:$E$3006,MATCH(B2146,'CARNET DE SOUDURE'!$O$7:$O$3006,0)),""))</f>
        <v/>
      </c>
      <c r="K2146" s="82" t="str">
        <f aca="false">IF(B2146="","",IFERROR(INDEX('CARNET DE SOUDURE'!$E$7:$E$3006,MATCH(B2146,'CARNET DE SOUDURE'!$L$7:$L$3006,0)),""))</f>
        <v/>
      </c>
      <c r="L2146" s="82" t="str">
        <f aca="false">IF(B2146="","",IFERROR(INDEX('CARNET DE SOUDURE'!$D$7:$D$3006,MATCH(B2146,'CARNET DE SOUDURE'!$L$7:$L$3006,0)),IFERROR(INDEX('CARNET DE SOUDURE'!$D$7:$D$3006,MATCH(B2146,'CARNET DE SOUDURE'!$O$7:$O$3006,0)),"")))</f>
        <v/>
      </c>
      <c r="M2146" s="82" t="str">
        <f aca="false">IF(B2146="","",IF(OR(J2146&lt;&gt;"",K2146&lt;&gt;""),"POSÉ EN LIGNE",IF(COUNTIF(BARDAGE!$C$1:$C$5000,B2146)&gt;0,"BARDÉ","EN STOCK")))</f>
        <v/>
      </c>
      <c r="N2146" s="80"/>
    </row>
    <row r="2147" customFormat="false" ht="15" hidden="false" customHeight="false" outlineLevel="0" collapsed="false">
      <c r="A2147" s="82" t="str">
        <f aca="false">IF(B2147="","",ROW()-6)</f>
        <v/>
      </c>
      <c r="B2147" s="145"/>
      <c r="C2147" s="146"/>
      <c r="D2147" s="146"/>
      <c r="E2147" s="82" t="str">
        <f aca="false">IF(B2147="","",IF(COUNTIFS('CARNET DE SOUDURE'!$L$7:$L$3006,B2147,'CARNET DE SOUDURE'!$M$7:$M$3006,"&lt;&gt;"&amp;C2147,'CARNET DE SOUDURE'!$M$7:$M$3006,"&lt;&gt;")+COUNTIFS('CARNET DE SOUDURE'!$O$7:$O$3006,B2147,'CARNET DE SOUDURE'!$P$7:$P$3006,"&lt;&gt;"&amp;C2147,'CARNET DE SOUDURE'!$P$7:$P$3006,"&lt;&gt;")&gt;0,"⚠ DIFFÉRENTE","OK"))</f>
        <v/>
      </c>
      <c r="F2147" s="147"/>
      <c r="G2147" s="80"/>
      <c r="H2147" s="83"/>
      <c r="I2147" s="148" t="str">
        <f aca="false">IF(B2147="","",IFERROR(INDEX('CARNET DE SOUDURE'!$B$7:$B$3006,MATCH(B2147,'CARNET DE SOUDURE'!$L$7:$L$3006,0)),IFERROR(INDEX('CARNET DE SOUDURE'!$B$7:$B$3006,MATCH(B2147,'CARNET DE SOUDURE'!$O$7:$O$3006,0)),"")))</f>
        <v/>
      </c>
      <c r="J2147" s="82" t="str">
        <f aca="false">IF(B2147="","",IFERROR(INDEX('CARNET DE SOUDURE'!$E$7:$E$3006,MATCH(B2147,'CARNET DE SOUDURE'!$O$7:$O$3006,0)),""))</f>
        <v/>
      </c>
      <c r="K2147" s="82" t="str">
        <f aca="false">IF(B2147="","",IFERROR(INDEX('CARNET DE SOUDURE'!$E$7:$E$3006,MATCH(B2147,'CARNET DE SOUDURE'!$L$7:$L$3006,0)),""))</f>
        <v/>
      </c>
      <c r="L2147" s="82" t="str">
        <f aca="false">IF(B2147="","",IFERROR(INDEX('CARNET DE SOUDURE'!$D$7:$D$3006,MATCH(B2147,'CARNET DE SOUDURE'!$L$7:$L$3006,0)),IFERROR(INDEX('CARNET DE SOUDURE'!$D$7:$D$3006,MATCH(B2147,'CARNET DE SOUDURE'!$O$7:$O$3006,0)),"")))</f>
        <v/>
      </c>
      <c r="M2147" s="82" t="str">
        <f aca="false">IF(B2147="","",IF(OR(J2147&lt;&gt;"",K2147&lt;&gt;""),"POSÉ EN LIGNE",IF(COUNTIF(BARDAGE!$C$1:$C$5000,B2147)&gt;0,"BARDÉ","EN STOCK")))</f>
        <v/>
      </c>
      <c r="N2147" s="80"/>
    </row>
    <row r="2148" customFormat="false" ht="15" hidden="false" customHeight="false" outlineLevel="0" collapsed="false">
      <c r="A2148" s="82" t="str">
        <f aca="false">IF(B2148="","",ROW()-6)</f>
        <v/>
      </c>
      <c r="B2148" s="145"/>
      <c r="C2148" s="146"/>
      <c r="D2148" s="146"/>
      <c r="E2148" s="82" t="str">
        <f aca="false">IF(B2148="","",IF(COUNTIFS('CARNET DE SOUDURE'!$L$7:$L$3006,B2148,'CARNET DE SOUDURE'!$M$7:$M$3006,"&lt;&gt;"&amp;C2148,'CARNET DE SOUDURE'!$M$7:$M$3006,"&lt;&gt;")+COUNTIFS('CARNET DE SOUDURE'!$O$7:$O$3006,B2148,'CARNET DE SOUDURE'!$P$7:$P$3006,"&lt;&gt;"&amp;C2148,'CARNET DE SOUDURE'!$P$7:$P$3006,"&lt;&gt;")&gt;0,"⚠ DIFFÉRENTE","OK"))</f>
        <v/>
      </c>
      <c r="F2148" s="147"/>
      <c r="G2148" s="80"/>
      <c r="H2148" s="83"/>
      <c r="I2148" s="148" t="str">
        <f aca="false">IF(B2148="","",IFERROR(INDEX('CARNET DE SOUDURE'!$B$7:$B$3006,MATCH(B2148,'CARNET DE SOUDURE'!$L$7:$L$3006,0)),IFERROR(INDEX('CARNET DE SOUDURE'!$B$7:$B$3006,MATCH(B2148,'CARNET DE SOUDURE'!$O$7:$O$3006,0)),"")))</f>
        <v/>
      </c>
      <c r="J2148" s="82" t="str">
        <f aca="false">IF(B2148="","",IFERROR(INDEX('CARNET DE SOUDURE'!$E$7:$E$3006,MATCH(B2148,'CARNET DE SOUDURE'!$O$7:$O$3006,0)),""))</f>
        <v/>
      </c>
      <c r="K2148" s="82" t="str">
        <f aca="false">IF(B2148="","",IFERROR(INDEX('CARNET DE SOUDURE'!$E$7:$E$3006,MATCH(B2148,'CARNET DE SOUDURE'!$L$7:$L$3006,0)),""))</f>
        <v/>
      </c>
      <c r="L2148" s="82" t="str">
        <f aca="false">IF(B2148="","",IFERROR(INDEX('CARNET DE SOUDURE'!$D$7:$D$3006,MATCH(B2148,'CARNET DE SOUDURE'!$L$7:$L$3006,0)),IFERROR(INDEX('CARNET DE SOUDURE'!$D$7:$D$3006,MATCH(B2148,'CARNET DE SOUDURE'!$O$7:$O$3006,0)),"")))</f>
        <v/>
      </c>
      <c r="M2148" s="82" t="str">
        <f aca="false">IF(B2148="","",IF(OR(J2148&lt;&gt;"",K2148&lt;&gt;""),"POSÉ EN LIGNE",IF(COUNTIF(BARDAGE!$C$1:$C$5000,B2148)&gt;0,"BARDÉ","EN STOCK")))</f>
        <v/>
      </c>
      <c r="N2148" s="80"/>
    </row>
    <row r="2149" customFormat="false" ht="15" hidden="false" customHeight="false" outlineLevel="0" collapsed="false">
      <c r="A2149" s="82" t="str">
        <f aca="false">IF(B2149="","",ROW()-6)</f>
        <v/>
      </c>
      <c r="B2149" s="145"/>
      <c r="C2149" s="146"/>
      <c r="D2149" s="146"/>
      <c r="E2149" s="82" t="str">
        <f aca="false">IF(B2149="","",IF(COUNTIFS('CARNET DE SOUDURE'!$L$7:$L$3006,B2149,'CARNET DE SOUDURE'!$M$7:$M$3006,"&lt;&gt;"&amp;C2149,'CARNET DE SOUDURE'!$M$7:$M$3006,"&lt;&gt;")+COUNTIFS('CARNET DE SOUDURE'!$O$7:$O$3006,B2149,'CARNET DE SOUDURE'!$P$7:$P$3006,"&lt;&gt;"&amp;C2149,'CARNET DE SOUDURE'!$P$7:$P$3006,"&lt;&gt;")&gt;0,"⚠ DIFFÉRENTE","OK"))</f>
        <v/>
      </c>
      <c r="F2149" s="147"/>
      <c r="G2149" s="80"/>
      <c r="H2149" s="83"/>
      <c r="I2149" s="148" t="str">
        <f aca="false">IF(B2149="","",IFERROR(INDEX('CARNET DE SOUDURE'!$B$7:$B$3006,MATCH(B2149,'CARNET DE SOUDURE'!$L$7:$L$3006,0)),IFERROR(INDEX('CARNET DE SOUDURE'!$B$7:$B$3006,MATCH(B2149,'CARNET DE SOUDURE'!$O$7:$O$3006,0)),"")))</f>
        <v/>
      </c>
      <c r="J2149" s="82" t="str">
        <f aca="false">IF(B2149="","",IFERROR(INDEX('CARNET DE SOUDURE'!$E$7:$E$3006,MATCH(B2149,'CARNET DE SOUDURE'!$O$7:$O$3006,0)),""))</f>
        <v/>
      </c>
      <c r="K2149" s="82" t="str">
        <f aca="false">IF(B2149="","",IFERROR(INDEX('CARNET DE SOUDURE'!$E$7:$E$3006,MATCH(B2149,'CARNET DE SOUDURE'!$L$7:$L$3006,0)),""))</f>
        <v/>
      </c>
      <c r="L2149" s="82" t="str">
        <f aca="false">IF(B2149="","",IFERROR(INDEX('CARNET DE SOUDURE'!$D$7:$D$3006,MATCH(B2149,'CARNET DE SOUDURE'!$L$7:$L$3006,0)),IFERROR(INDEX('CARNET DE SOUDURE'!$D$7:$D$3006,MATCH(B2149,'CARNET DE SOUDURE'!$O$7:$O$3006,0)),"")))</f>
        <v/>
      </c>
      <c r="M2149" s="82" t="str">
        <f aca="false">IF(B2149="","",IF(OR(J2149&lt;&gt;"",K2149&lt;&gt;""),"POSÉ EN LIGNE",IF(COUNTIF(BARDAGE!$C$1:$C$5000,B2149)&gt;0,"BARDÉ","EN STOCK")))</f>
        <v/>
      </c>
      <c r="N2149" s="80"/>
    </row>
    <row r="2150" customFormat="false" ht="15" hidden="false" customHeight="false" outlineLevel="0" collapsed="false">
      <c r="A2150" s="82" t="str">
        <f aca="false">IF(B2150="","",ROW()-6)</f>
        <v/>
      </c>
      <c r="B2150" s="145"/>
      <c r="C2150" s="146"/>
      <c r="D2150" s="146"/>
      <c r="E2150" s="82" t="str">
        <f aca="false">IF(B2150="","",IF(COUNTIFS('CARNET DE SOUDURE'!$L$7:$L$3006,B2150,'CARNET DE SOUDURE'!$M$7:$M$3006,"&lt;&gt;"&amp;C2150,'CARNET DE SOUDURE'!$M$7:$M$3006,"&lt;&gt;")+COUNTIFS('CARNET DE SOUDURE'!$O$7:$O$3006,B2150,'CARNET DE SOUDURE'!$P$7:$P$3006,"&lt;&gt;"&amp;C2150,'CARNET DE SOUDURE'!$P$7:$P$3006,"&lt;&gt;")&gt;0,"⚠ DIFFÉRENTE","OK"))</f>
        <v/>
      </c>
      <c r="F2150" s="147"/>
      <c r="G2150" s="80"/>
      <c r="H2150" s="83"/>
      <c r="I2150" s="148" t="str">
        <f aca="false">IF(B2150="","",IFERROR(INDEX('CARNET DE SOUDURE'!$B$7:$B$3006,MATCH(B2150,'CARNET DE SOUDURE'!$L$7:$L$3006,0)),IFERROR(INDEX('CARNET DE SOUDURE'!$B$7:$B$3006,MATCH(B2150,'CARNET DE SOUDURE'!$O$7:$O$3006,0)),"")))</f>
        <v/>
      </c>
      <c r="J2150" s="82" t="str">
        <f aca="false">IF(B2150="","",IFERROR(INDEX('CARNET DE SOUDURE'!$E$7:$E$3006,MATCH(B2150,'CARNET DE SOUDURE'!$O$7:$O$3006,0)),""))</f>
        <v/>
      </c>
      <c r="K2150" s="82" t="str">
        <f aca="false">IF(B2150="","",IFERROR(INDEX('CARNET DE SOUDURE'!$E$7:$E$3006,MATCH(B2150,'CARNET DE SOUDURE'!$L$7:$L$3006,0)),""))</f>
        <v/>
      </c>
      <c r="L2150" s="82" t="str">
        <f aca="false">IF(B2150="","",IFERROR(INDEX('CARNET DE SOUDURE'!$D$7:$D$3006,MATCH(B2150,'CARNET DE SOUDURE'!$L$7:$L$3006,0)),IFERROR(INDEX('CARNET DE SOUDURE'!$D$7:$D$3006,MATCH(B2150,'CARNET DE SOUDURE'!$O$7:$O$3006,0)),"")))</f>
        <v/>
      </c>
      <c r="M2150" s="82" t="str">
        <f aca="false">IF(B2150="","",IF(OR(J2150&lt;&gt;"",K2150&lt;&gt;""),"POSÉ EN LIGNE",IF(COUNTIF(BARDAGE!$C$1:$C$5000,B2150)&gt;0,"BARDÉ","EN STOCK")))</f>
        <v/>
      </c>
      <c r="N2150" s="80"/>
    </row>
    <row r="2151" customFormat="false" ht="15" hidden="false" customHeight="false" outlineLevel="0" collapsed="false">
      <c r="A2151" s="82" t="str">
        <f aca="false">IF(B2151="","",ROW()-6)</f>
        <v/>
      </c>
      <c r="B2151" s="145"/>
      <c r="C2151" s="146"/>
      <c r="D2151" s="146"/>
      <c r="E2151" s="82" t="str">
        <f aca="false">IF(B2151="","",IF(COUNTIFS('CARNET DE SOUDURE'!$L$7:$L$3006,B2151,'CARNET DE SOUDURE'!$M$7:$M$3006,"&lt;&gt;"&amp;C2151,'CARNET DE SOUDURE'!$M$7:$M$3006,"&lt;&gt;")+COUNTIFS('CARNET DE SOUDURE'!$O$7:$O$3006,B2151,'CARNET DE SOUDURE'!$P$7:$P$3006,"&lt;&gt;"&amp;C2151,'CARNET DE SOUDURE'!$P$7:$P$3006,"&lt;&gt;")&gt;0,"⚠ DIFFÉRENTE","OK"))</f>
        <v/>
      </c>
      <c r="F2151" s="147"/>
      <c r="G2151" s="80"/>
      <c r="H2151" s="83"/>
      <c r="I2151" s="148" t="str">
        <f aca="false">IF(B2151="","",IFERROR(INDEX('CARNET DE SOUDURE'!$B$7:$B$3006,MATCH(B2151,'CARNET DE SOUDURE'!$L$7:$L$3006,0)),IFERROR(INDEX('CARNET DE SOUDURE'!$B$7:$B$3006,MATCH(B2151,'CARNET DE SOUDURE'!$O$7:$O$3006,0)),"")))</f>
        <v/>
      </c>
      <c r="J2151" s="82" t="str">
        <f aca="false">IF(B2151="","",IFERROR(INDEX('CARNET DE SOUDURE'!$E$7:$E$3006,MATCH(B2151,'CARNET DE SOUDURE'!$O$7:$O$3006,0)),""))</f>
        <v/>
      </c>
      <c r="K2151" s="82" t="str">
        <f aca="false">IF(B2151="","",IFERROR(INDEX('CARNET DE SOUDURE'!$E$7:$E$3006,MATCH(B2151,'CARNET DE SOUDURE'!$L$7:$L$3006,0)),""))</f>
        <v/>
      </c>
      <c r="L2151" s="82" t="str">
        <f aca="false">IF(B2151="","",IFERROR(INDEX('CARNET DE SOUDURE'!$D$7:$D$3006,MATCH(B2151,'CARNET DE SOUDURE'!$L$7:$L$3006,0)),IFERROR(INDEX('CARNET DE SOUDURE'!$D$7:$D$3006,MATCH(B2151,'CARNET DE SOUDURE'!$O$7:$O$3006,0)),"")))</f>
        <v/>
      </c>
      <c r="M2151" s="82" t="str">
        <f aca="false">IF(B2151="","",IF(OR(J2151&lt;&gt;"",K2151&lt;&gt;""),"POSÉ EN LIGNE",IF(COUNTIF(BARDAGE!$C$1:$C$5000,B2151)&gt;0,"BARDÉ","EN STOCK")))</f>
        <v/>
      </c>
      <c r="N2151" s="80"/>
    </row>
    <row r="2152" customFormat="false" ht="15" hidden="false" customHeight="false" outlineLevel="0" collapsed="false">
      <c r="A2152" s="82" t="str">
        <f aca="false">IF(B2152="","",ROW()-6)</f>
        <v/>
      </c>
      <c r="B2152" s="145"/>
      <c r="C2152" s="146"/>
      <c r="D2152" s="146"/>
      <c r="E2152" s="82" t="str">
        <f aca="false">IF(B2152="","",IF(COUNTIFS('CARNET DE SOUDURE'!$L$7:$L$3006,B2152,'CARNET DE SOUDURE'!$M$7:$M$3006,"&lt;&gt;"&amp;C2152,'CARNET DE SOUDURE'!$M$7:$M$3006,"&lt;&gt;")+COUNTIFS('CARNET DE SOUDURE'!$O$7:$O$3006,B2152,'CARNET DE SOUDURE'!$P$7:$P$3006,"&lt;&gt;"&amp;C2152,'CARNET DE SOUDURE'!$P$7:$P$3006,"&lt;&gt;")&gt;0,"⚠ DIFFÉRENTE","OK"))</f>
        <v/>
      </c>
      <c r="F2152" s="147"/>
      <c r="G2152" s="80"/>
      <c r="H2152" s="83"/>
      <c r="I2152" s="148" t="str">
        <f aca="false">IF(B2152="","",IFERROR(INDEX('CARNET DE SOUDURE'!$B$7:$B$3006,MATCH(B2152,'CARNET DE SOUDURE'!$L$7:$L$3006,0)),IFERROR(INDEX('CARNET DE SOUDURE'!$B$7:$B$3006,MATCH(B2152,'CARNET DE SOUDURE'!$O$7:$O$3006,0)),"")))</f>
        <v/>
      </c>
      <c r="J2152" s="82" t="str">
        <f aca="false">IF(B2152="","",IFERROR(INDEX('CARNET DE SOUDURE'!$E$7:$E$3006,MATCH(B2152,'CARNET DE SOUDURE'!$O$7:$O$3006,0)),""))</f>
        <v/>
      </c>
      <c r="K2152" s="82" t="str">
        <f aca="false">IF(B2152="","",IFERROR(INDEX('CARNET DE SOUDURE'!$E$7:$E$3006,MATCH(B2152,'CARNET DE SOUDURE'!$L$7:$L$3006,0)),""))</f>
        <v/>
      </c>
      <c r="L2152" s="82" t="str">
        <f aca="false">IF(B2152="","",IFERROR(INDEX('CARNET DE SOUDURE'!$D$7:$D$3006,MATCH(B2152,'CARNET DE SOUDURE'!$L$7:$L$3006,0)),IFERROR(INDEX('CARNET DE SOUDURE'!$D$7:$D$3006,MATCH(B2152,'CARNET DE SOUDURE'!$O$7:$O$3006,0)),"")))</f>
        <v/>
      </c>
      <c r="M2152" s="82" t="str">
        <f aca="false">IF(B2152="","",IF(OR(J2152&lt;&gt;"",K2152&lt;&gt;""),"POSÉ EN LIGNE",IF(COUNTIF(BARDAGE!$C$1:$C$5000,B2152)&gt;0,"BARDÉ","EN STOCK")))</f>
        <v/>
      </c>
      <c r="N2152" s="80"/>
    </row>
    <row r="2153" customFormat="false" ht="15" hidden="false" customHeight="false" outlineLevel="0" collapsed="false">
      <c r="A2153" s="82" t="str">
        <f aca="false">IF(B2153="","",ROW()-6)</f>
        <v/>
      </c>
      <c r="B2153" s="145"/>
      <c r="C2153" s="146"/>
      <c r="D2153" s="146"/>
      <c r="E2153" s="82" t="str">
        <f aca="false">IF(B2153="","",IF(COUNTIFS('CARNET DE SOUDURE'!$L$7:$L$3006,B2153,'CARNET DE SOUDURE'!$M$7:$M$3006,"&lt;&gt;"&amp;C2153,'CARNET DE SOUDURE'!$M$7:$M$3006,"&lt;&gt;")+COUNTIFS('CARNET DE SOUDURE'!$O$7:$O$3006,B2153,'CARNET DE SOUDURE'!$P$7:$P$3006,"&lt;&gt;"&amp;C2153,'CARNET DE SOUDURE'!$P$7:$P$3006,"&lt;&gt;")&gt;0,"⚠ DIFFÉRENTE","OK"))</f>
        <v/>
      </c>
      <c r="F2153" s="147"/>
      <c r="G2153" s="80"/>
      <c r="H2153" s="83"/>
      <c r="I2153" s="148" t="str">
        <f aca="false">IF(B2153="","",IFERROR(INDEX('CARNET DE SOUDURE'!$B$7:$B$3006,MATCH(B2153,'CARNET DE SOUDURE'!$L$7:$L$3006,0)),IFERROR(INDEX('CARNET DE SOUDURE'!$B$7:$B$3006,MATCH(B2153,'CARNET DE SOUDURE'!$O$7:$O$3006,0)),"")))</f>
        <v/>
      </c>
      <c r="J2153" s="82" t="str">
        <f aca="false">IF(B2153="","",IFERROR(INDEX('CARNET DE SOUDURE'!$E$7:$E$3006,MATCH(B2153,'CARNET DE SOUDURE'!$O$7:$O$3006,0)),""))</f>
        <v/>
      </c>
      <c r="K2153" s="82" t="str">
        <f aca="false">IF(B2153="","",IFERROR(INDEX('CARNET DE SOUDURE'!$E$7:$E$3006,MATCH(B2153,'CARNET DE SOUDURE'!$L$7:$L$3006,0)),""))</f>
        <v/>
      </c>
      <c r="L2153" s="82" t="str">
        <f aca="false">IF(B2153="","",IFERROR(INDEX('CARNET DE SOUDURE'!$D$7:$D$3006,MATCH(B2153,'CARNET DE SOUDURE'!$L$7:$L$3006,0)),IFERROR(INDEX('CARNET DE SOUDURE'!$D$7:$D$3006,MATCH(B2153,'CARNET DE SOUDURE'!$O$7:$O$3006,0)),"")))</f>
        <v/>
      </c>
      <c r="M2153" s="82" t="str">
        <f aca="false">IF(B2153="","",IF(OR(J2153&lt;&gt;"",K2153&lt;&gt;""),"POSÉ EN LIGNE",IF(COUNTIF(BARDAGE!$C$1:$C$5000,B2153)&gt;0,"BARDÉ","EN STOCK")))</f>
        <v/>
      </c>
      <c r="N2153" s="80"/>
    </row>
    <row r="2154" customFormat="false" ht="15" hidden="false" customHeight="false" outlineLevel="0" collapsed="false">
      <c r="A2154" s="82" t="str">
        <f aca="false">IF(B2154="","",ROW()-6)</f>
        <v/>
      </c>
      <c r="B2154" s="145"/>
      <c r="C2154" s="146"/>
      <c r="D2154" s="146"/>
      <c r="E2154" s="82" t="str">
        <f aca="false">IF(B2154="","",IF(COUNTIFS('CARNET DE SOUDURE'!$L$7:$L$3006,B2154,'CARNET DE SOUDURE'!$M$7:$M$3006,"&lt;&gt;"&amp;C2154,'CARNET DE SOUDURE'!$M$7:$M$3006,"&lt;&gt;")+COUNTIFS('CARNET DE SOUDURE'!$O$7:$O$3006,B2154,'CARNET DE SOUDURE'!$P$7:$P$3006,"&lt;&gt;"&amp;C2154,'CARNET DE SOUDURE'!$P$7:$P$3006,"&lt;&gt;")&gt;0,"⚠ DIFFÉRENTE","OK"))</f>
        <v/>
      </c>
      <c r="F2154" s="147"/>
      <c r="G2154" s="80"/>
      <c r="H2154" s="83"/>
      <c r="I2154" s="148" t="str">
        <f aca="false">IF(B2154="","",IFERROR(INDEX('CARNET DE SOUDURE'!$B$7:$B$3006,MATCH(B2154,'CARNET DE SOUDURE'!$L$7:$L$3006,0)),IFERROR(INDEX('CARNET DE SOUDURE'!$B$7:$B$3006,MATCH(B2154,'CARNET DE SOUDURE'!$O$7:$O$3006,0)),"")))</f>
        <v/>
      </c>
      <c r="J2154" s="82" t="str">
        <f aca="false">IF(B2154="","",IFERROR(INDEX('CARNET DE SOUDURE'!$E$7:$E$3006,MATCH(B2154,'CARNET DE SOUDURE'!$O$7:$O$3006,0)),""))</f>
        <v/>
      </c>
      <c r="K2154" s="82" t="str">
        <f aca="false">IF(B2154="","",IFERROR(INDEX('CARNET DE SOUDURE'!$E$7:$E$3006,MATCH(B2154,'CARNET DE SOUDURE'!$L$7:$L$3006,0)),""))</f>
        <v/>
      </c>
      <c r="L2154" s="82" t="str">
        <f aca="false">IF(B2154="","",IFERROR(INDEX('CARNET DE SOUDURE'!$D$7:$D$3006,MATCH(B2154,'CARNET DE SOUDURE'!$L$7:$L$3006,0)),IFERROR(INDEX('CARNET DE SOUDURE'!$D$7:$D$3006,MATCH(B2154,'CARNET DE SOUDURE'!$O$7:$O$3006,0)),"")))</f>
        <v/>
      </c>
      <c r="M2154" s="82" t="str">
        <f aca="false">IF(B2154="","",IF(OR(J2154&lt;&gt;"",K2154&lt;&gt;""),"POSÉ EN LIGNE",IF(COUNTIF(BARDAGE!$C$1:$C$5000,B2154)&gt;0,"BARDÉ","EN STOCK")))</f>
        <v/>
      </c>
      <c r="N2154" s="80"/>
    </row>
    <row r="2155" customFormat="false" ht="15" hidden="false" customHeight="false" outlineLevel="0" collapsed="false">
      <c r="A2155" s="82" t="str">
        <f aca="false">IF(B2155="","",ROW()-6)</f>
        <v/>
      </c>
      <c r="B2155" s="145"/>
      <c r="C2155" s="146"/>
      <c r="D2155" s="146"/>
      <c r="E2155" s="82" t="str">
        <f aca="false">IF(B2155="","",IF(COUNTIFS('CARNET DE SOUDURE'!$L$7:$L$3006,B2155,'CARNET DE SOUDURE'!$M$7:$M$3006,"&lt;&gt;"&amp;C2155,'CARNET DE SOUDURE'!$M$7:$M$3006,"&lt;&gt;")+COUNTIFS('CARNET DE SOUDURE'!$O$7:$O$3006,B2155,'CARNET DE SOUDURE'!$P$7:$P$3006,"&lt;&gt;"&amp;C2155,'CARNET DE SOUDURE'!$P$7:$P$3006,"&lt;&gt;")&gt;0,"⚠ DIFFÉRENTE","OK"))</f>
        <v/>
      </c>
      <c r="F2155" s="147"/>
      <c r="G2155" s="80"/>
      <c r="H2155" s="83"/>
      <c r="I2155" s="148" t="str">
        <f aca="false">IF(B2155="","",IFERROR(INDEX('CARNET DE SOUDURE'!$B$7:$B$3006,MATCH(B2155,'CARNET DE SOUDURE'!$L$7:$L$3006,0)),IFERROR(INDEX('CARNET DE SOUDURE'!$B$7:$B$3006,MATCH(B2155,'CARNET DE SOUDURE'!$O$7:$O$3006,0)),"")))</f>
        <v/>
      </c>
      <c r="J2155" s="82" t="str">
        <f aca="false">IF(B2155="","",IFERROR(INDEX('CARNET DE SOUDURE'!$E$7:$E$3006,MATCH(B2155,'CARNET DE SOUDURE'!$O$7:$O$3006,0)),""))</f>
        <v/>
      </c>
      <c r="K2155" s="82" t="str">
        <f aca="false">IF(B2155="","",IFERROR(INDEX('CARNET DE SOUDURE'!$E$7:$E$3006,MATCH(B2155,'CARNET DE SOUDURE'!$L$7:$L$3006,0)),""))</f>
        <v/>
      </c>
      <c r="L2155" s="82" t="str">
        <f aca="false">IF(B2155="","",IFERROR(INDEX('CARNET DE SOUDURE'!$D$7:$D$3006,MATCH(B2155,'CARNET DE SOUDURE'!$L$7:$L$3006,0)),IFERROR(INDEX('CARNET DE SOUDURE'!$D$7:$D$3006,MATCH(B2155,'CARNET DE SOUDURE'!$O$7:$O$3006,0)),"")))</f>
        <v/>
      </c>
      <c r="M2155" s="82" t="str">
        <f aca="false">IF(B2155="","",IF(OR(J2155&lt;&gt;"",K2155&lt;&gt;""),"POSÉ EN LIGNE",IF(COUNTIF(BARDAGE!$C$1:$C$5000,B2155)&gt;0,"BARDÉ","EN STOCK")))</f>
        <v/>
      </c>
      <c r="N2155" s="80"/>
    </row>
    <row r="2156" customFormat="false" ht="15" hidden="false" customHeight="false" outlineLevel="0" collapsed="false">
      <c r="A2156" s="82" t="str">
        <f aca="false">IF(B2156="","",ROW()-6)</f>
        <v/>
      </c>
      <c r="B2156" s="145"/>
      <c r="C2156" s="146"/>
      <c r="D2156" s="146"/>
      <c r="E2156" s="82" t="str">
        <f aca="false">IF(B2156="","",IF(COUNTIFS('CARNET DE SOUDURE'!$L$7:$L$3006,B2156,'CARNET DE SOUDURE'!$M$7:$M$3006,"&lt;&gt;"&amp;C2156,'CARNET DE SOUDURE'!$M$7:$M$3006,"&lt;&gt;")+COUNTIFS('CARNET DE SOUDURE'!$O$7:$O$3006,B2156,'CARNET DE SOUDURE'!$P$7:$P$3006,"&lt;&gt;"&amp;C2156,'CARNET DE SOUDURE'!$P$7:$P$3006,"&lt;&gt;")&gt;0,"⚠ DIFFÉRENTE","OK"))</f>
        <v/>
      </c>
      <c r="F2156" s="147"/>
      <c r="G2156" s="80"/>
      <c r="H2156" s="83"/>
      <c r="I2156" s="148" t="str">
        <f aca="false">IF(B2156="","",IFERROR(INDEX('CARNET DE SOUDURE'!$B$7:$B$3006,MATCH(B2156,'CARNET DE SOUDURE'!$L$7:$L$3006,0)),IFERROR(INDEX('CARNET DE SOUDURE'!$B$7:$B$3006,MATCH(B2156,'CARNET DE SOUDURE'!$O$7:$O$3006,0)),"")))</f>
        <v/>
      </c>
      <c r="J2156" s="82" t="str">
        <f aca="false">IF(B2156="","",IFERROR(INDEX('CARNET DE SOUDURE'!$E$7:$E$3006,MATCH(B2156,'CARNET DE SOUDURE'!$O$7:$O$3006,0)),""))</f>
        <v/>
      </c>
      <c r="K2156" s="82" t="str">
        <f aca="false">IF(B2156="","",IFERROR(INDEX('CARNET DE SOUDURE'!$E$7:$E$3006,MATCH(B2156,'CARNET DE SOUDURE'!$L$7:$L$3006,0)),""))</f>
        <v/>
      </c>
      <c r="L2156" s="82" t="str">
        <f aca="false">IF(B2156="","",IFERROR(INDEX('CARNET DE SOUDURE'!$D$7:$D$3006,MATCH(B2156,'CARNET DE SOUDURE'!$L$7:$L$3006,0)),IFERROR(INDEX('CARNET DE SOUDURE'!$D$7:$D$3006,MATCH(B2156,'CARNET DE SOUDURE'!$O$7:$O$3006,0)),"")))</f>
        <v/>
      </c>
      <c r="M2156" s="82" t="str">
        <f aca="false">IF(B2156="","",IF(OR(J2156&lt;&gt;"",K2156&lt;&gt;""),"POSÉ EN LIGNE",IF(COUNTIF(BARDAGE!$C$1:$C$5000,B2156)&gt;0,"BARDÉ","EN STOCK")))</f>
        <v/>
      </c>
      <c r="N2156" s="80"/>
    </row>
    <row r="2157" customFormat="false" ht="15" hidden="false" customHeight="false" outlineLevel="0" collapsed="false">
      <c r="A2157" s="82" t="str">
        <f aca="false">IF(B2157="","",ROW()-6)</f>
        <v/>
      </c>
      <c r="B2157" s="145"/>
      <c r="C2157" s="146"/>
      <c r="D2157" s="146"/>
      <c r="E2157" s="82" t="str">
        <f aca="false">IF(B2157="","",IF(COUNTIFS('CARNET DE SOUDURE'!$L$7:$L$3006,B2157,'CARNET DE SOUDURE'!$M$7:$M$3006,"&lt;&gt;"&amp;C2157,'CARNET DE SOUDURE'!$M$7:$M$3006,"&lt;&gt;")+COUNTIFS('CARNET DE SOUDURE'!$O$7:$O$3006,B2157,'CARNET DE SOUDURE'!$P$7:$P$3006,"&lt;&gt;"&amp;C2157,'CARNET DE SOUDURE'!$P$7:$P$3006,"&lt;&gt;")&gt;0,"⚠ DIFFÉRENTE","OK"))</f>
        <v/>
      </c>
      <c r="F2157" s="147"/>
      <c r="G2157" s="80"/>
      <c r="H2157" s="83"/>
      <c r="I2157" s="148" t="str">
        <f aca="false">IF(B2157="","",IFERROR(INDEX('CARNET DE SOUDURE'!$B$7:$B$3006,MATCH(B2157,'CARNET DE SOUDURE'!$L$7:$L$3006,0)),IFERROR(INDEX('CARNET DE SOUDURE'!$B$7:$B$3006,MATCH(B2157,'CARNET DE SOUDURE'!$O$7:$O$3006,0)),"")))</f>
        <v/>
      </c>
      <c r="J2157" s="82" t="str">
        <f aca="false">IF(B2157="","",IFERROR(INDEX('CARNET DE SOUDURE'!$E$7:$E$3006,MATCH(B2157,'CARNET DE SOUDURE'!$O$7:$O$3006,0)),""))</f>
        <v/>
      </c>
      <c r="K2157" s="82" t="str">
        <f aca="false">IF(B2157="","",IFERROR(INDEX('CARNET DE SOUDURE'!$E$7:$E$3006,MATCH(B2157,'CARNET DE SOUDURE'!$L$7:$L$3006,0)),""))</f>
        <v/>
      </c>
      <c r="L2157" s="82" t="str">
        <f aca="false">IF(B2157="","",IFERROR(INDEX('CARNET DE SOUDURE'!$D$7:$D$3006,MATCH(B2157,'CARNET DE SOUDURE'!$L$7:$L$3006,0)),IFERROR(INDEX('CARNET DE SOUDURE'!$D$7:$D$3006,MATCH(B2157,'CARNET DE SOUDURE'!$O$7:$O$3006,0)),"")))</f>
        <v/>
      </c>
      <c r="M2157" s="82" t="str">
        <f aca="false">IF(B2157="","",IF(OR(J2157&lt;&gt;"",K2157&lt;&gt;""),"POSÉ EN LIGNE",IF(COUNTIF(BARDAGE!$C$1:$C$5000,B2157)&gt;0,"BARDÉ","EN STOCK")))</f>
        <v/>
      </c>
      <c r="N2157" s="80"/>
    </row>
    <row r="2158" customFormat="false" ht="15" hidden="false" customHeight="false" outlineLevel="0" collapsed="false">
      <c r="A2158" s="82" t="str">
        <f aca="false">IF(B2158="","",ROW()-6)</f>
        <v/>
      </c>
      <c r="B2158" s="145"/>
      <c r="C2158" s="146"/>
      <c r="D2158" s="146"/>
      <c r="E2158" s="82" t="str">
        <f aca="false">IF(B2158="","",IF(COUNTIFS('CARNET DE SOUDURE'!$L$7:$L$3006,B2158,'CARNET DE SOUDURE'!$M$7:$M$3006,"&lt;&gt;"&amp;C2158,'CARNET DE SOUDURE'!$M$7:$M$3006,"&lt;&gt;")+COUNTIFS('CARNET DE SOUDURE'!$O$7:$O$3006,B2158,'CARNET DE SOUDURE'!$P$7:$P$3006,"&lt;&gt;"&amp;C2158,'CARNET DE SOUDURE'!$P$7:$P$3006,"&lt;&gt;")&gt;0,"⚠ DIFFÉRENTE","OK"))</f>
        <v/>
      </c>
      <c r="F2158" s="147"/>
      <c r="G2158" s="80"/>
      <c r="H2158" s="83"/>
      <c r="I2158" s="148" t="str">
        <f aca="false">IF(B2158="","",IFERROR(INDEX('CARNET DE SOUDURE'!$B$7:$B$3006,MATCH(B2158,'CARNET DE SOUDURE'!$L$7:$L$3006,0)),IFERROR(INDEX('CARNET DE SOUDURE'!$B$7:$B$3006,MATCH(B2158,'CARNET DE SOUDURE'!$O$7:$O$3006,0)),"")))</f>
        <v/>
      </c>
      <c r="J2158" s="82" t="str">
        <f aca="false">IF(B2158="","",IFERROR(INDEX('CARNET DE SOUDURE'!$E$7:$E$3006,MATCH(B2158,'CARNET DE SOUDURE'!$O$7:$O$3006,0)),""))</f>
        <v/>
      </c>
      <c r="K2158" s="82" t="str">
        <f aca="false">IF(B2158="","",IFERROR(INDEX('CARNET DE SOUDURE'!$E$7:$E$3006,MATCH(B2158,'CARNET DE SOUDURE'!$L$7:$L$3006,0)),""))</f>
        <v/>
      </c>
      <c r="L2158" s="82" t="str">
        <f aca="false">IF(B2158="","",IFERROR(INDEX('CARNET DE SOUDURE'!$D$7:$D$3006,MATCH(B2158,'CARNET DE SOUDURE'!$L$7:$L$3006,0)),IFERROR(INDEX('CARNET DE SOUDURE'!$D$7:$D$3006,MATCH(B2158,'CARNET DE SOUDURE'!$O$7:$O$3006,0)),"")))</f>
        <v/>
      </c>
      <c r="M2158" s="82" t="str">
        <f aca="false">IF(B2158="","",IF(OR(J2158&lt;&gt;"",K2158&lt;&gt;""),"POSÉ EN LIGNE",IF(COUNTIF(BARDAGE!$C$1:$C$5000,B2158)&gt;0,"BARDÉ","EN STOCK")))</f>
        <v/>
      </c>
      <c r="N2158" s="80"/>
    </row>
    <row r="2159" customFormat="false" ht="15" hidden="false" customHeight="false" outlineLevel="0" collapsed="false">
      <c r="A2159" s="82" t="str">
        <f aca="false">IF(B2159="","",ROW()-6)</f>
        <v/>
      </c>
      <c r="B2159" s="145"/>
      <c r="C2159" s="146"/>
      <c r="D2159" s="146"/>
      <c r="E2159" s="82" t="str">
        <f aca="false">IF(B2159="","",IF(COUNTIFS('CARNET DE SOUDURE'!$L$7:$L$3006,B2159,'CARNET DE SOUDURE'!$M$7:$M$3006,"&lt;&gt;"&amp;C2159,'CARNET DE SOUDURE'!$M$7:$M$3006,"&lt;&gt;")+COUNTIFS('CARNET DE SOUDURE'!$O$7:$O$3006,B2159,'CARNET DE SOUDURE'!$P$7:$P$3006,"&lt;&gt;"&amp;C2159,'CARNET DE SOUDURE'!$P$7:$P$3006,"&lt;&gt;")&gt;0,"⚠ DIFFÉRENTE","OK"))</f>
        <v/>
      </c>
      <c r="F2159" s="147"/>
      <c r="G2159" s="80"/>
      <c r="H2159" s="83"/>
      <c r="I2159" s="148" t="str">
        <f aca="false">IF(B2159="","",IFERROR(INDEX('CARNET DE SOUDURE'!$B$7:$B$3006,MATCH(B2159,'CARNET DE SOUDURE'!$L$7:$L$3006,0)),IFERROR(INDEX('CARNET DE SOUDURE'!$B$7:$B$3006,MATCH(B2159,'CARNET DE SOUDURE'!$O$7:$O$3006,0)),"")))</f>
        <v/>
      </c>
      <c r="J2159" s="82" t="str">
        <f aca="false">IF(B2159="","",IFERROR(INDEX('CARNET DE SOUDURE'!$E$7:$E$3006,MATCH(B2159,'CARNET DE SOUDURE'!$O$7:$O$3006,0)),""))</f>
        <v/>
      </c>
      <c r="K2159" s="82" t="str">
        <f aca="false">IF(B2159="","",IFERROR(INDEX('CARNET DE SOUDURE'!$E$7:$E$3006,MATCH(B2159,'CARNET DE SOUDURE'!$L$7:$L$3006,0)),""))</f>
        <v/>
      </c>
      <c r="L2159" s="82" t="str">
        <f aca="false">IF(B2159="","",IFERROR(INDEX('CARNET DE SOUDURE'!$D$7:$D$3006,MATCH(B2159,'CARNET DE SOUDURE'!$L$7:$L$3006,0)),IFERROR(INDEX('CARNET DE SOUDURE'!$D$7:$D$3006,MATCH(B2159,'CARNET DE SOUDURE'!$O$7:$O$3006,0)),"")))</f>
        <v/>
      </c>
      <c r="M2159" s="82" t="str">
        <f aca="false">IF(B2159="","",IF(OR(J2159&lt;&gt;"",K2159&lt;&gt;""),"POSÉ EN LIGNE",IF(COUNTIF(BARDAGE!$C$1:$C$5000,B2159)&gt;0,"BARDÉ","EN STOCK")))</f>
        <v/>
      </c>
      <c r="N2159" s="80"/>
    </row>
    <row r="2160" customFormat="false" ht="15" hidden="false" customHeight="false" outlineLevel="0" collapsed="false">
      <c r="A2160" s="82" t="str">
        <f aca="false">IF(B2160="","",ROW()-6)</f>
        <v/>
      </c>
      <c r="B2160" s="145"/>
      <c r="C2160" s="146"/>
      <c r="D2160" s="146"/>
      <c r="E2160" s="82" t="str">
        <f aca="false">IF(B2160="","",IF(COUNTIFS('CARNET DE SOUDURE'!$L$7:$L$3006,B2160,'CARNET DE SOUDURE'!$M$7:$M$3006,"&lt;&gt;"&amp;C2160,'CARNET DE SOUDURE'!$M$7:$M$3006,"&lt;&gt;")+COUNTIFS('CARNET DE SOUDURE'!$O$7:$O$3006,B2160,'CARNET DE SOUDURE'!$P$7:$P$3006,"&lt;&gt;"&amp;C2160,'CARNET DE SOUDURE'!$P$7:$P$3006,"&lt;&gt;")&gt;0,"⚠ DIFFÉRENTE","OK"))</f>
        <v/>
      </c>
      <c r="F2160" s="147"/>
      <c r="G2160" s="80"/>
      <c r="H2160" s="83"/>
      <c r="I2160" s="148" t="str">
        <f aca="false">IF(B2160="","",IFERROR(INDEX('CARNET DE SOUDURE'!$B$7:$B$3006,MATCH(B2160,'CARNET DE SOUDURE'!$L$7:$L$3006,0)),IFERROR(INDEX('CARNET DE SOUDURE'!$B$7:$B$3006,MATCH(B2160,'CARNET DE SOUDURE'!$O$7:$O$3006,0)),"")))</f>
        <v/>
      </c>
      <c r="J2160" s="82" t="str">
        <f aca="false">IF(B2160="","",IFERROR(INDEX('CARNET DE SOUDURE'!$E$7:$E$3006,MATCH(B2160,'CARNET DE SOUDURE'!$O$7:$O$3006,0)),""))</f>
        <v/>
      </c>
      <c r="K2160" s="82" t="str">
        <f aca="false">IF(B2160="","",IFERROR(INDEX('CARNET DE SOUDURE'!$E$7:$E$3006,MATCH(B2160,'CARNET DE SOUDURE'!$L$7:$L$3006,0)),""))</f>
        <v/>
      </c>
      <c r="L2160" s="82" t="str">
        <f aca="false">IF(B2160="","",IFERROR(INDEX('CARNET DE SOUDURE'!$D$7:$D$3006,MATCH(B2160,'CARNET DE SOUDURE'!$L$7:$L$3006,0)),IFERROR(INDEX('CARNET DE SOUDURE'!$D$7:$D$3006,MATCH(B2160,'CARNET DE SOUDURE'!$O$7:$O$3006,0)),"")))</f>
        <v/>
      </c>
      <c r="M2160" s="82" t="str">
        <f aca="false">IF(B2160="","",IF(OR(J2160&lt;&gt;"",K2160&lt;&gt;""),"POSÉ EN LIGNE",IF(COUNTIF(BARDAGE!$C$1:$C$5000,B2160)&gt;0,"BARDÉ","EN STOCK")))</f>
        <v/>
      </c>
      <c r="N2160" s="80"/>
    </row>
    <row r="2161" customFormat="false" ht="15" hidden="false" customHeight="false" outlineLevel="0" collapsed="false">
      <c r="A2161" s="82" t="str">
        <f aca="false">IF(B2161="","",ROW()-6)</f>
        <v/>
      </c>
      <c r="B2161" s="145"/>
      <c r="C2161" s="146"/>
      <c r="D2161" s="146"/>
      <c r="E2161" s="82" t="str">
        <f aca="false">IF(B2161="","",IF(COUNTIFS('CARNET DE SOUDURE'!$L$7:$L$3006,B2161,'CARNET DE SOUDURE'!$M$7:$M$3006,"&lt;&gt;"&amp;C2161,'CARNET DE SOUDURE'!$M$7:$M$3006,"&lt;&gt;")+COUNTIFS('CARNET DE SOUDURE'!$O$7:$O$3006,B2161,'CARNET DE SOUDURE'!$P$7:$P$3006,"&lt;&gt;"&amp;C2161,'CARNET DE SOUDURE'!$P$7:$P$3006,"&lt;&gt;")&gt;0,"⚠ DIFFÉRENTE","OK"))</f>
        <v/>
      </c>
      <c r="F2161" s="147"/>
      <c r="G2161" s="80"/>
      <c r="H2161" s="83"/>
      <c r="I2161" s="148" t="str">
        <f aca="false">IF(B2161="","",IFERROR(INDEX('CARNET DE SOUDURE'!$B$7:$B$3006,MATCH(B2161,'CARNET DE SOUDURE'!$L$7:$L$3006,0)),IFERROR(INDEX('CARNET DE SOUDURE'!$B$7:$B$3006,MATCH(B2161,'CARNET DE SOUDURE'!$O$7:$O$3006,0)),"")))</f>
        <v/>
      </c>
      <c r="J2161" s="82" t="str">
        <f aca="false">IF(B2161="","",IFERROR(INDEX('CARNET DE SOUDURE'!$E$7:$E$3006,MATCH(B2161,'CARNET DE SOUDURE'!$O$7:$O$3006,0)),""))</f>
        <v/>
      </c>
      <c r="K2161" s="82" t="str">
        <f aca="false">IF(B2161="","",IFERROR(INDEX('CARNET DE SOUDURE'!$E$7:$E$3006,MATCH(B2161,'CARNET DE SOUDURE'!$L$7:$L$3006,0)),""))</f>
        <v/>
      </c>
      <c r="L2161" s="82" t="str">
        <f aca="false">IF(B2161="","",IFERROR(INDEX('CARNET DE SOUDURE'!$D$7:$D$3006,MATCH(B2161,'CARNET DE SOUDURE'!$L$7:$L$3006,0)),IFERROR(INDEX('CARNET DE SOUDURE'!$D$7:$D$3006,MATCH(B2161,'CARNET DE SOUDURE'!$O$7:$O$3006,0)),"")))</f>
        <v/>
      </c>
      <c r="M2161" s="82" t="str">
        <f aca="false">IF(B2161="","",IF(OR(J2161&lt;&gt;"",K2161&lt;&gt;""),"POSÉ EN LIGNE",IF(COUNTIF(BARDAGE!$C$1:$C$5000,B2161)&gt;0,"BARDÉ","EN STOCK")))</f>
        <v/>
      </c>
      <c r="N2161" s="80"/>
    </row>
    <row r="2162" customFormat="false" ht="15" hidden="false" customHeight="false" outlineLevel="0" collapsed="false">
      <c r="A2162" s="82" t="str">
        <f aca="false">IF(B2162="","",ROW()-6)</f>
        <v/>
      </c>
      <c r="B2162" s="145"/>
      <c r="C2162" s="146"/>
      <c r="D2162" s="146"/>
      <c r="E2162" s="82" t="str">
        <f aca="false">IF(B2162="","",IF(COUNTIFS('CARNET DE SOUDURE'!$L$7:$L$3006,B2162,'CARNET DE SOUDURE'!$M$7:$M$3006,"&lt;&gt;"&amp;C2162,'CARNET DE SOUDURE'!$M$7:$M$3006,"&lt;&gt;")+COUNTIFS('CARNET DE SOUDURE'!$O$7:$O$3006,B2162,'CARNET DE SOUDURE'!$P$7:$P$3006,"&lt;&gt;"&amp;C2162,'CARNET DE SOUDURE'!$P$7:$P$3006,"&lt;&gt;")&gt;0,"⚠ DIFFÉRENTE","OK"))</f>
        <v/>
      </c>
      <c r="F2162" s="147"/>
      <c r="G2162" s="80"/>
      <c r="H2162" s="83"/>
      <c r="I2162" s="148" t="str">
        <f aca="false">IF(B2162="","",IFERROR(INDEX('CARNET DE SOUDURE'!$B$7:$B$3006,MATCH(B2162,'CARNET DE SOUDURE'!$L$7:$L$3006,0)),IFERROR(INDEX('CARNET DE SOUDURE'!$B$7:$B$3006,MATCH(B2162,'CARNET DE SOUDURE'!$O$7:$O$3006,0)),"")))</f>
        <v/>
      </c>
      <c r="J2162" s="82" t="str">
        <f aca="false">IF(B2162="","",IFERROR(INDEX('CARNET DE SOUDURE'!$E$7:$E$3006,MATCH(B2162,'CARNET DE SOUDURE'!$O$7:$O$3006,0)),""))</f>
        <v/>
      </c>
      <c r="K2162" s="82" t="str">
        <f aca="false">IF(B2162="","",IFERROR(INDEX('CARNET DE SOUDURE'!$E$7:$E$3006,MATCH(B2162,'CARNET DE SOUDURE'!$L$7:$L$3006,0)),""))</f>
        <v/>
      </c>
      <c r="L2162" s="82" t="str">
        <f aca="false">IF(B2162="","",IFERROR(INDEX('CARNET DE SOUDURE'!$D$7:$D$3006,MATCH(B2162,'CARNET DE SOUDURE'!$L$7:$L$3006,0)),IFERROR(INDEX('CARNET DE SOUDURE'!$D$7:$D$3006,MATCH(B2162,'CARNET DE SOUDURE'!$O$7:$O$3006,0)),"")))</f>
        <v/>
      </c>
      <c r="M2162" s="82" t="str">
        <f aca="false">IF(B2162="","",IF(OR(J2162&lt;&gt;"",K2162&lt;&gt;""),"POSÉ EN LIGNE",IF(COUNTIF(BARDAGE!$C$1:$C$5000,B2162)&gt;0,"BARDÉ","EN STOCK")))</f>
        <v/>
      </c>
      <c r="N2162" s="80"/>
    </row>
    <row r="2163" customFormat="false" ht="15" hidden="false" customHeight="false" outlineLevel="0" collapsed="false">
      <c r="A2163" s="82" t="str">
        <f aca="false">IF(B2163="","",ROW()-6)</f>
        <v/>
      </c>
      <c r="B2163" s="145"/>
      <c r="C2163" s="146"/>
      <c r="D2163" s="146"/>
      <c r="E2163" s="82" t="str">
        <f aca="false">IF(B2163="","",IF(COUNTIFS('CARNET DE SOUDURE'!$L$7:$L$3006,B2163,'CARNET DE SOUDURE'!$M$7:$M$3006,"&lt;&gt;"&amp;C2163,'CARNET DE SOUDURE'!$M$7:$M$3006,"&lt;&gt;")+COUNTIFS('CARNET DE SOUDURE'!$O$7:$O$3006,B2163,'CARNET DE SOUDURE'!$P$7:$P$3006,"&lt;&gt;"&amp;C2163,'CARNET DE SOUDURE'!$P$7:$P$3006,"&lt;&gt;")&gt;0,"⚠ DIFFÉRENTE","OK"))</f>
        <v/>
      </c>
      <c r="F2163" s="147"/>
      <c r="G2163" s="80"/>
      <c r="H2163" s="83"/>
      <c r="I2163" s="148" t="str">
        <f aca="false">IF(B2163="","",IFERROR(INDEX('CARNET DE SOUDURE'!$B$7:$B$3006,MATCH(B2163,'CARNET DE SOUDURE'!$L$7:$L$3006,0)),IFERROR(INDEX('CARNET DE SOUDURE'!$B$7:$B$3006,MATCH(B2163,'CARNET DE SOUDURE'!$O$7:$O$3006,0)),"")))</f>
        <v/>
      </c>
      <c r="J2163" s="82" t="str">
        <f aca="false">IF(B2163="","",IFERROR(INDEX('CARNET DE SOUDURE'!$E$7:$E$3006,MATCH(B2163,'CARNET DE SOUDURE'!$O$7:$O$3006,0)),""))</f>
        <v/>
      </c>
      <c r="K2163" s="82" t="str">
        <f aca="false">IF(B2163="","",IFERROR(INDEX('CARNET DE SOUDURE'!$E$7:$E$3006,MATCH(B2163,'CARNET DE SOUDURE'!$L$7:$L$3006,0)),""))</f>
        <v/>
      </c>
      <c r="L2163" s="82" t="str">
        <f aca="false">IF(B2163="","",IFERROR(INDEX('CARNET DE SOUDURE'!$D$7:$D$3006,MATCH(B2163,'CARNET DE SOUDURE'!$L$7:$L$3006,0)),IFERROR(INDEX('CARNET DE SOUDURE'!$D$7:$D$3006,MATCH(B2163,'CARNET DE SOUDURE'!$O$7:$O$3006,0)),"")))</f>
        <v/>
      </c>
      <c r="M2163" s="82" t="str">
        <f aca="false">IF(B2163="","",IF(OR(J2163&lt;&gt;"",K2163&lt;&gt;""),"POSÉ EN LIGNE",IF(COUNTIF(BARDAGE!$C$1:$C$5000,B2163)&gt;0,"BARDÉ","EN STOCK")))</f>
        <v/>
      </c>
      <c r="N2163" s="80"/>
    </row>
    <row r="2164" customFormat="false" ht="15" hidden="false" customHeight="false" outlineLevel="0" collapsed="false">
      <c r="A2164" s="82" t="str">
        <f aca="false">IF(B2164="","",ROW()-6)</f>
        <v/>
      </c>
      <c r="B2164" s="145"/>
      <c r="C2164" s="146"/>
      <c r="D2164" s="146"/>
      <c r="E2164" s="82" t="str">
        <f aca="false">IF(B2164="","",IF(COUNTIFS('CARNET DE SOUDURE'!$L$7:$L$3006,B2164,'CARNET DE SOUDURE'!$M$7:$M$3006,"&lt;&gt;"&amp;C2164,'CARNET DE SOUDURE'!$M$7:$M$3006,"&lt;&gt;")+COUNTIFS('CARNET DE SOUDURE'!$O$7:$O$3006,B2164,'CARNET DE SOUDURE'!$P$7:$P$3006,"&lt;&gt;"&amp;C2164,'CARNET DE SOUDURE'!$P$7:$P$3006,"&lt;&gt;")&gt;0,"⚠ DIFFÉRENTE","OK"))</f>
        <v/>
      </c>
      <c r="F2164" s="147"/>
      <c r="G2164" s="80"/>
      <c r="H2164" s="83"/>
      <c r="I2164" s="148" t="str">
        <f aca="false">IF(B2164="","",IFERROR(INDEX('CARNET DE SOUDURE'!$B$7:$B$3006,MATCH(B2164,'CARNET DE SOUDURE'!$L$7:$L$3006,0)),IFERROR(INDEX('CARNET DE SOUDURE'!$B$7:$B$3006,MATCH(B2164,'CARNET DE SOUDURE'!$O$7:$O$3006,0)),"")))</f>
        <v/>
      </c>
      <c r="J2164" s="82" t="str">
        <f aca="false">IF(B2164="","",IFERROR(INDEX('CARNET DE SOUDURE'!$E$7:$E$3006,MATCH(B2164,'CARNET DE SOUDURE'!$O$7:$O$3006,0)),""))</f>
        <v/>
      </c>
      <c r="K2164" s="82" t="str">
        <f aca="false">IF(B2164="","",IFERROR(INDEX('CARNET DE SOUDURE'!$E$7:$E$3006,MATCH(B2164,'CARNET DE SOUDURE'!$L$7:$L$3006,0)),""))</f>
        <v/>
      </c>
      <c r="L2164" s="82" t="str">
        <f aca="false">IF(B2164="","",IFERROR(INDEX('CARNET DE SOUDURE'!$D$7:$D$3006,MATCH(B2164,'CARNET DE SOUDURE'!$L$7:$L$3006,0)),IFERROR(INDEX('CARNET DE SOUDURE'!$D$7:$D$3006,MATCH(B2164,'CARNET DE SOUDURE'!$O$7:$O$3006,0)),"")))</f>
        <v/>
      </c>
      <c r="M2164" s="82" t="str">
        <f aca="false">IF(B2164="","",IF(OR(J2164&lt;&gt;"",K2164&lt;&gt;""),"POSÉ EN LIGNE",IF(COUNTIF(BARDAGE!$C$1:$C$5000,B2164)&gt;0,"BARDÉ","EN STOCK")))</f>
        <v/>
      </c>
      <c r="N2164" s="80"/>
    </row>
    <row r="2165" customFormat="false" ht="15" hidden="false" customHeight="false" outlineLevel="0" collapsed="false">
      <c r="A2165" s="82" t="str">
        <f aca="false">IF(B2165="","",ROW()-6)</f>
        <v/>
      </c>
      <c r="B2165" s="145"/>
      <c r="C2165" s="146"/>
      <c r="D2165" s="146"/>
      <c r="E2165" s="82" t="str">
        <f aca="false">IF(B2165="","",IF(COUNTIFS('CARNET DE SOUDURE'!$L$7:$L$3006,B2165,'CARNET DE SOUDURE'!$M$7:$M$3006,"&lt;&gt;"&amp;C2165,'CARNET DE SOUDURE'!$M$7:$M$3006,"&lt;&gt;")+COUNTIFS('CARNET DE SOUDURE'!$O$7:$O$3006,B2165,'CARNET DE SOUDURE'!$P$7:$P$3006,"&lt;&gt;"&amp;C2165,'CARNET DE SOUDURE'!$P$7:$P$3006,"&lt;&gt;")&gt;0,"⚠ DIFFÉRENTE","OK"))</f>
        <v/>
      </c>
      <c r="F2165" s="147"/>
      <c r="G2165" s="80"/>
      <c r="H2165" s="83"/>
      <c r="I2165" s="148" t="str">
        <f aca="false">IF(B2165="","",IFERROR(INDEX('CARNET DE SOUDURE'!$B$7:$B$3006,MATCH(B2165,'CARNET DE SOUDURE'!$L$7:$L$3006,0)),IFERROR(INDEX('CARNET DE SOUDURE'!$B$7:$B$3006,MATCH(B2165,'CARNET DE SOUDURE'!$O$7:$O$3006,0)),"")))</f>
        <v/>
      </c>
      <c r="J2165" s="82" t="str">
        <f aca="false">IF(B2165="","",IFERROR(INDEX('CARNET DE SOUDURE'!$E$7:$E$3006,MATCH(B2165,'CARNET DE SOUDURE'!$O$7:$O$3006,0)),""))</f>
        <v/>
      </c>
      <c r="K2165" s="82" t="str">
        <f aca="false">IF(B2165="","",IFERROR(INDEX('CARNET DE SOUDURE'!$E$7:$E$3006,MATCH(B2165,'CARNET DE SOUDURE'!$L$7:$L$3006,0)),""))</f>
        <v/>
      </c>
      <c r="L2165" s="82" t="str">
        <f aca="false">IF(B2165="","",IFERROR(INDEX('CARNET DE SOUDURE'!$D$7:$D$3006,MATCH(B2165,'CARNET DE SOUDURE'!$L$7:$L$3006,0)),IFERROR(INDEX('CARNET DE SOUDURE'!$D$7:$D$3006,MATCH(B2165,'CARNET DE SOUDURE'!$O$7:$O$3006,0)),"")))</f>
        <v/>
      </c>
      <c r="M2165" s="82" t="str">
        <f aca="false">IF(B2165="","",IF(OR(J2165&lt;&gt;"",K2165&lt;&gt;""),"POSÉ EN LIGNE",IF(COUNTIF(BARDAGE!$C$1:$C$5000,B2165)&gt;0,"BARDÉ","EN STOCK")))</f>
        <v/>
      </c>
      <c r="N2165" s="80"/>
    </row>
    <row r="2166" customFormat="false" ht="15" hidden="false" customHeight="false" outlineLevel="0" collapsed="false">
      <c r="A2166" s="82" t="str">
        <f aca="false">IF(B2166="","",ROW()-6)</f>
        <v/>
      </c>
      <c r="B2166" s="145"/>
      <c r="C2166" s="146"/>
      <c r="D2166" s="146"/>
      <c r="E2166" s="82" t="str">
        <f aca="false">IF(B2166="","",IF(COUNTIFS('CARNET DE SOUDURE'!$L$7:$L$3006,B2166,'CARNET DE SOUDURE'!$M$7:$M$3006,"&lt;&gt;"&amp;C2166,'CARNET DE SOUDURE'!$M$7:$M$3006,"&lt;&gt;")+COUNTIFS('CARNET DE SOUDURE'!$O$7:$O$3006,B2166,'CARNET DE SOUDURE'!$P$7:$P$3006,"&lt;&gt;"&amp;C2166,'CARNET DE SOUDURE'!$P$7:$P$3006,"&lt;&gt;")&gt;0,"⚠ DIFFÉRENTE","OK"))</f>
        <v/>
      </c>
      <c r="F2166" s="147"/>
      <c r="G2166" s="80"/>
      <c r="H2166" s="83"/>
      <c r="I2166" s="148" t="str">
        <f aca="false">IF(B2166="","",IFERROR(INDEX('CARNET DE SOUDURE'!$B$7:$B$3006,MATCH(B2166,'CARNET DE SOUDURE'!$L$7:$L$3006,0)),IFERROR(INDEX('CARNET DE SOUDURE'!$B$7:$B$3006,MATCH(B2166,'CARNET DE SOUDURE'!$O$7:$O$3006,0)),"")))</f>
        <v/>
      </c>
      <c r="J2166" s="82" t="str">
        <f aca="false">IF(B2166="","",IFERROR(INDEX('CARNET DE SOUDURE'!$E$7:$E$3006,MATCH(B2166,'CARNET DE SOUDURE'!$O$7:$O$3006,0)),""))</f>
        <v/>
      </c>
      <c r="K2166" s="82" t="str">
        <f aca="false">IF(B2166="","",IFERROR(INDEX('CARNET DE SOUDURE'!$E$7:$E$3006,MATCH(B2166,'CARNET DE SOUDURE'!$L$7:$L$3006,0)),""))</f>
        <v/>
      </c>
      <c r="L2166" s="82" t="str">
        <f aca="false">IF(B2166="","",IFERROR(INDEX('CARNET DE SOUDURE'!$D$7:$D$3006,MATCH(B2166,'CARNET DE SOUDURE'!$L$7:$L$3006,0)),IFERROR(INDEX('CARNET DE SOUDURE'!$D$7:$D$3006,MATCH(B2166,'CARNET DE SOUDURE'!$O$7:$O$3006,0)),"")))</f>
        <v/>
      </c>
      <c r="M2166" s="82" t="str">
        <f aca="false">IF(B2166="","",IF(OR(J2166&lt;&gt;"",K2166&lt;&gt;""),"POSÉ EN LIGNE",IF(COUNTIF(BARDAGE!$C$1:$C$5000,B2166)&gt;0,"BARDÉ","EN STOCK")))</f>
        <v/>
      </c>
      <c r="N2166" s="80"/>
    </row>
    <row r="2167" customFormat="false" ht="15" hidden="false" customHeight="false" outlineLevel="0" collapsed="false">
      <c r="A2167" s="82" t="str">
        <f aca="false">IF(B2167="","",ROW()-6)</f>
        <v/>
      </c>
      <c r="B2167" s="145"/>
      <c r="C2167" s="146"/>
      <c r="D2167" s="146"/>
      <c r="E2167" s="82" t="str">
        <f aca="false">IF(B2167="","",IF(COUNTIFS('CARNET DE SOUDURE'!$L$7:$L$3006,B2167,'CARNET DE SOUDURE'!$M$7:$M$3006,"&lt;&gt;"&amp;C2167,'CARNET DE SOUDURE'!$M$7:$M$3006,"&lt;&gt;")+COUNTIFS('CARNET DE SOUDURE'!$O$7:$O$3006,B2167,'CARNET DE SOUDURE'!$P$7:$P$3006,"&lt;&gt;"&amp;C2167,'CARNET DE SOUDURE'!$P$7:$P$3006,"&lt;&gt;")&gt;0,"⚠ DIFFÉRENTE","OK"))</f>
        <v/>
      </c>
      <c r="F2167" s="147"/>
      <c r="G2167" s="80"/>
      <c r="H2167" s="83"/>
      <c r="I2167" s="148" t="str">
        <f aca="false">IF(B2167="","",IFERROR(INDEX('CARNET DE SOUDURE'!$B$7:$B$3006,MATCH(B2167,'CARNET DE SOUDURE'!$L$7:$L$3006,0)),IFERROR(INDEX('CARNET DE SOUDURE'!$B$7:$B$3006,MATCH(B2167,'CARNET DE SOUDURE'!$O$7:$O$3006,0)),"")))</f>
        <v/>
      </c>
      <c r="J2167" s="82" t="str">
        <f aca="false">IF(B2167="","",IFERROR(INDEX('CARNET DE SOUDURE'!$E$7:$E$3006,MATCH(B2167,'CARNET DE SOUDURE'!$O$7:$O$3006,0)),""))</f>
        <v/>
      </c>
      <c r="K2167" s="82" t="str">
        <f aca="false">IF(B2167="","",IFERROR(INDEX('CARNET DE SOUDURE'!$E$7:$E$3006,MATCH(B2167,'CARNET DE SOUDURE'!$L$7:$L$3006,0)),""))</f>
        <v/>
      </c>
      <c r="L2167" s="82" t="str">
        <f aca="false">IF(B2167="","",IFERROR(INDEX('CARNET DE SOUDURE'!$D$7:$D$3006,MATCH(B2167,'CARNET DE SOUDURE'!$L$7:$L$3006,0)),IFERROR(INDEX('CARNET DE SOUDURE'!$D$7:$D$3006,MATCH(B2167,'CARNET DE SOUDURE'!$O$7:$O$3006,0)),"")))</f>
        <v/>
      </c>
      <c r="M2167" s="82" t="str">
        <f aca="false">IF(B2167="","",IF(OR(J2167&lt;&gt;"",K2167&lt;&gt;""),"POSÉ EN LIGNE",IF(COUNTIF(BARDAGE!$C$1:$C$5000,B2167)&gt;0,"BARDÉ","EN STOCK")))</f>
        <v/>
      </c>
      <c r="N2167" s="80"/>
    </row>
    <row r="2168" customFormat="false" ht="15" hidden="false" customHeight="false" outlineLevel="0" collapsed="false">
      <c r="A2168" s="82" t="str">
        <f aca="false">IF(B2168="","",ROW()-6)</f>
        <v/>
      </c>
      <c r="B2168" s="145"/>
      <c r="C2168" s="146"/>
      <c r="D2168" s="146"/>
      <c r="E2168" s="82" t="str">
        <f aca="false">IF(B2168="","",IF(COUNTIFS('CARNET DE SOUDURE'!$L$7:$L$3006,B2168,'CARNET DE SOUDURE'!$M$7:$M$3006,"&lt;&gt;"&amp;C2168,'CARNET DE SOUDURE'!$M$7:$M$3006,"&lt;&gt;")+COUNTIFS('CARNET DE SOUDURE'!$O$7:$O$3006,B2168,'CARNET DE SOUDURE'!$P$7:$P$3006,"&lt;&gt;"&amp;C2168,'CARNET DE SOUDURE'!$P$7:$P$3006,"&lt;&gt;")&gt;0,"⚠ DIFFÉRENTE","OK"))</f>
        <v/>
      </c>
      <c r="F2168" s="147"/>
      <c r="G2168" s="80"/>
      <c r="H2168" s="83"/>
      <c r="I2168" s="148" t="str">
        <f aca="false">IF(B2168="","",IFERROR(INDEX('CARNET DE SOUDURE'!$B$7:$B$3006,MATCH(B2168,'CARNET DE SOUDURE'!$L$7:$L$3006,0)),IFERROR(INDEX('CARNET DE SOUDURE'!$B$7:$B$3006,MATCH(B2168,'CARNET DE SOUDURE'!$O$7:$O$3006,0)),"")))</f>
        <v/>
      </c>
      <c r="J2168" s="82" t="str">
        <f aca="false">IF(B2168="","",IFERROR(INDEX('CARNET DE SOUDURE'!$E$7:$E$3006,MATCH(B2168,'CARNET DE SOUDURE'!$O$7:$O$3006,0)),""))</f>
        <v/>
      </c>
      <c r="K2168" s="82" t="str">
        <f aca="false">IF(B2168="","",IFERROR(INDEX('CARNET DE SOUDURE'!$E$7:$E$3006,MATCH(B2168,'CARNET DE SOUDURE'!$L$7:$L$3006,0)),""))</f>
        <v/>
      </c>
      <c r="L2168" s="82" t="str">
        <f aca="false">IF(B2168="","",IFERROR(INDEX('CARNET DE SOUDURE'!$D$7:$D$3006,MATCH(B2168,'CARNET DE SOUDURE'!$L$7:$L$3006,0)),IFERROR(INDEX('CARNET DE SOUDURE'!$D$7:$D$3006,MATCH(B2168,'CARNET DE SOUDURE'!$O$7:$O$3006,0)),"")))</f>
        <v/>
      </c>
      <c r="M2168" s="82" t="str">
        <f aca="false">IF(B2168="","",IF(OR(J2168&lt;&gt;"",K2168&lt;&gt;""),"POSÉ EN LIGNE",IF(COUNTIF(BARDAGE!$C$1:$C$5000,B2168)&gt;0,"BARDÉ","EN STOCK")))</f>
        <v/>
      </c>
      <c r="N2168" s="80"/>
    </row>
    <row r="2169" customFormat="false" ht="15" hidden="false" customHeight="false" outlineLevel="0" collapsed="false">
      <c r="A2169" s="82" t="str">
        <f aca="false">IF(B2169="","",ROW()-6)</f>
        <v/>
      </c>
      <c r="B2169" s="145"/>
      <c r="C2169" s="146"/>
      <c r="D2169" s="146"/>
      <c r="E2169" s="82" t="str">
        <f aca="false">IF(B2169="","",IF(COUNTIFS('CARNET DE SOUDURE'!$L$7:$L$3006,B2169,'CARNET DE SOUDURE'!$M$7:$M$3006,"&lt;&gt;"&amp;C2169,'CARNET DE SOUDURE'!$M$7:$M$3006,"&lt;&gt;")+COUNTIFS('CARNET DE SOUDURE'!$O$7:$O$3006,B2169,'CARNET DE SOUDURE'!$P$7:$P$3006,"&lt;&gt;"&amp;C2169,'CARNET DE SOUDURE'!$P$7:$P$3006,"&lt;&gt;")&gt;0,"⚠ DIFFÉRENTE","OK"))</f>
        <v/>
      </c>
      <c r="F2169" s="147"/>
      <c r="G2169" s="80"/>
      <c r="H2169" s="83"/>
      <c r="I2169" s="148" t="str">
        <f aca="false">IF(B2169="","",IFERROR(INDEX('CARNET DE SOUDURE'!$B$7:$B$3006,MATCH(B2169,'CARNET DE SOUDURE'!$L$7:$L$3006,0)),IFERROR(INDEX('CARNET DE SOUDURE'!$B$7:$B$3006,MATCH(B2169,'CARNET DE SOUDURE'!$O$7:$O$3006,0)),"")))</f>
        <v/>
      </c>
      <c r="J2169" s="82" t="str">
        <f aca="false">IF(B2169="","",IFERROR(INDEX('CARNET DE SOUDURE'!$E$7:$E$3006,MATCH(B2169,'CARNET DE SOUDURE'!$O$7:$O$3006,0)),""))</f>
        <v/>
      </c>
      <c r="K2169" s="82" t="str">
        <f aca="false">IF(B2169="","",IFERROR(INDEX('CARNET DE SOUDURE'!$E$7:$E$3006,MATCH(B2169,'CARNET DE SOUDURE'!$L$7:$L$3006,0)),""))</f>
        <v/>
      </c>
      <c r="L2169" s="82" t="str">
        <f aca="false">IF(B2169="","",IFERROR(INDEX('CARNET DE SOUDURE'!$D$7:$D$3006,MATCH(B2169,'CARNET DE SOUDURE'!$L$7:$L$3006,0)),IFERROR(INDEX('CARNET DE SOUDURE'!$D$7:$D$3006,MATCH(B2169,'CARNET DE SOUDURE'!$O$7:$O$3006,0)),"")))</f>
        <v/>
      </c>
      <c r="M2169" s="82" t="str">
        <f aca="false">IF(B2169="","",IF(OR(J2169&lt;&gt;"",K2169&lt;&gt;""),"POSÉ EN LIGNE",IF(COUNTIF(BARDAGE!$C$1:$C$5000,B2169)&gt;0,"BARDÉ","EN STOCK")))</f>
        <v/>
      </c>
      <c r="N2169" s="80"/>
    </row>
    <row r="2170" customFormat="false" ht="15" hidden="false" customHeight="false" outlineLevel="0" collapsed="false">
      <c r="A2170" s="82" t="str">
        <f aca="false">IF(B2170="","",ROW()-6)</f>
        <v/>
      </c>
      <c r="B2170" s="145"/>
      <c r="C2170" s="146"/>
      <c r="D2170" s="146"/>
      <c r="E2170" s="82" t="str">
        <f aca="false">IF(B2170="","",IF(COUNTIFS('CARNET DE SOUDURE'!$L$7:$L$3006,B2170,'CARNET DE SOUDURE'!$M$7:$M$3006,"&lt;&gt;"&amp;C2170,'CARNET DE SOUDURE'!$M$7:$M$3006,"&lt;&gt;")+COUNTIFS('CARNET DE SOUDURE'!$O$7:$O$3006,B2170,'CARNET DE SOUDURE'!$P$7:$P$3006,"&lt;&gt;"&amp;C2170,'CARNET DE SOUDURE'!$P$7:$P$3006,"&lt;&gt;")&gt;0,"⚠ DIFFÉRENTE","OK"))</f>
        <v/>
      </c>
      <c r="F2170" s="147"/>
      <c r="G2170" s="80"/>
      <c r="H2170" s="83"/>
      <c r="I2170" s="148" t="str">
        <f aca="false">IF(B2170="","",IFERROR(INDEX('CARNET DE SOUDURE'!$B$7:$B$3006,MATCH(B2170,'CARNET DE SOUDURE'!$L$7:$L$3006,0)),IFERROR(INDEX('CARNET DE SOUDURE'!$B$7:$B$3006,MATCH(B2170,'CARNET DE SOUDURE'!$O$7:$O$3006,0)),"")))</f>
        <v/>
      </c>
      <c r="J2170" s="82" t="str">
        <f aca="false">IF(B2170="","",IFERROR(INDEX('CARNET DE SOUDURE'!$E$7:$E$3006,MATCH(B2170,'CARNET DE SOUDURE'!$O$7:$O$3006,0)),""))</f>
        <v/>
      </c>
      <c r="K2170" s="82" t="str">
        <f aca="false">IF(B2170="","",IFERROR(INDEX('CARNET DE SOUDURE'!$E$7:$E$3006,MATCH(B2170,'CARNET DE SOUDURE'!$L$7:$L$3006,0)),""))</f>
        <v/>
      </c>
      <c r="L2170" s="82" t="str">
        <f aca="false">IF(B2170="","",IFERROR(INDEX('CARNET DE SOUDURE'!$D$7:$D$3006,MATCH(B2170,'CARNET DE SOUDURE'!$L$7:$L$3006,0)),IFERROR(INDEX('CARNET DE SOUDURE'!$D$7:$D$3006,MATCH(B2170,'CARNET DE SOUDURE'!$O$7:$O$3006,0)),"")))</f>
        <v/>
      </c>
      <c r="M2170" s="82" t="str">
        <f aca="false">IF(B2170="","",IF(OR(J2170&lt;&gt;"",K2170&lt;&gt;""),"POSÉ EN LIGNE",IF(COUNTIF(BARDAGE!$C$1:$C$5000,B2170)&gt;0,"BARDÉ","EN STOCK")))</f>
        <v/>
      </c>
      <c r="N2170" s="80"/>
    </row>
    <row r="2171" customFormat="false" ht="15" hidden="false" customHeight="false" outlineLevel="0" collapsed="false">
      <c r="A2171" s="82" t="str">
        <f aca="false">IF(B2171="","",ROW()-6)</f>
        <v/>
      </c>
      <c r="B2171" s="145"/>
      <c r="C2171" s="146"/>
      <c r="D2171" s="146"/>
      <c r="E2171" s="82" t="str">
        <f aca="false">IF(B2171="","",IF(COUNTIFS('CARNET DE SOUDURE'!$L$7:$L$3006,B2171,'CARNET DE SOUDURE'!$M$7:$M$3006,"&lt;&gt;"&amp;C2171,'CARNET DE SOUDURE'!$M$7:$M$3006,"&lt;&gt;")+COUNTIFS('CARNET DE SOUDURE'!$O$7:$O$3006,B2171,'CARNET DE SOUDURE'!$P$7:$P$3006,"&lt;&gt;"&amp;C2171,'CARNET DE SOUDURE'!$P$7:$P$3006,"&lt;&gt;")&gt;0,"⚠ DIFFÉRENTE","OK"))</f>
        <v/>
      </c>
      <c r="F2171" s="147"/>
      <c r="G2171" s="80"/>
      <c r="H2171" s="83"/>
      <c r="I2171" s="148" t="str">
        <f aca="false">IF(B2171="","",IFERROR(INDEX('CARNET DE SOUDURE'!$B$7:$B$3006,MATCH(B2171,'CARNET DE SOUDURE'!$L$7:$L$3006,0)),IFERROR(INDEX('CARNET DE SOUDURE'!$B$7:$B$3006,MATCH(B2171,'CARNET DE SOUDURE'!$O$7:$O$3006,0)),"")))</f>
        <v/>
      </c>
      <c r="J2171" s="82" t="str">
        <f aca="false">IF(B2171="","",IFERROR(INDEX('CARNET DE SOUDURE'!$E$7:$E$3006,MATCH(B2171,'CARNET DE SOUDURE'!$O$7:$O$3006,0)),""))</f>
        <v/>
      </c>
      <c r="K2171" s="82" t="str">
        <f aca="false">IF(B2171="","",IFERROR(INDEX('CARNET DE SOUDURE'!$E$7:$E$3006,MATCH(B2171,'CARNET DE SOUDURE'!$L$7:$L$3006,0)),""))</f>
        <v/>
      </c>
      <c r="L2171" s="82" t="str">
        <f aca="false">IF(B2171="","",IFERROR(INDEX('CARNET DE SOUDURE'!$D$7:$D$3006,MATCH(B2171,'CARNET DE SOUDURE'!$L$7:$L$3006,0)),IFERROR(INDEX('CARNET DE SOUDURE'!$D$7:$D$3006,MATCH(B2171,'CARNET DE SOUDURE'!$O$7:$O$3006,0)),"")))</f>
        <v/>
      </c>
      <c r="M2171" s="82" t="str">
        <f aca="false">IF(B2171="","",IF(OR(J2171&lt;&gt;"",K2171&lt;&gt;""),"POSÉ EN LIGNE",IF(COUNTIF(BARDAGE!$C$1:$C$5000,B2171)&gt;0,"BARDÉ","EN STOCK")))</f>
        <v/>
      </c>
      <c r="N2171" s="80"/>
    </row>
    <row r="2172" customFormat="false" ht="15" hidden="false" customHeight="false" outlineLevel="0" collapsed="false">
      <c r="A2172" s="82" t="str">
        <f aca="false">IF(B2172="","",ROW()-6)</f>
        <v/>
      </c>
      <c r="B2172" s="145"/>
      <c r="C2172" s="146"/>
      <c r="D2172" s="146"/>
      <c r="E2172" s="82" t="str">
        <f aca="false">IF(B2172="","",IF(COUNTIFS('CARNET DE SOUDURE'!$L$7:$L$3006,B2172,'CARNET DE SOUDURE'!$M$7:$M$3006,"&lt;&gt;"&amp;C2172,'CARNET DE SOUDURE'!$M$7:$M$3006,"&lt;&gt;")+COUNTIFS('CARNET DE SOUDURE'!$O$7:$O$3006,B2172,'CARNET DE SOUDURE'!$P$7:$P$3006,"&lt;&gt;"&amp;C2172,'CARNET DE SOUDURE'!$P$7:$P$3006,"&lt;&gt;")&gt;0,"⚠ DIFFÉRENTE","OK"))</f>
        <v/>
      </c>
      <c r="F2172" s="147"/>
      <c r="G2172" s="80"/>
      <c r="H2172" s="83"/>
      <c r="I2172" s="148" t="str">
        <f aca="false">IF(B2172="","",IFERROR(INDEX('CARNET DE SOUDURE'!$B$7:$B$3006,MATCH(B2172,'CARNET DE SOUDURE'!$L$7:$L$3006,0)),IFERROR(INDEX('CARNET DE SOUDURE'!$B$7:$B$3006,MATCH(B2172,'CARNET DE SOUDURE'!$O$7:$O$3006,0)),"")))</f>
        <v/>
      </c>
      <c r="J2172" s="82" t="str">
        <f aca="false">IF(B2172="","",IFERROR(INDEX('CARNET DE SOUDURE'!$E$7:$E$3006,MATCH(B2172,'CARNET DE SOUDURE'!$O$7:$O$3006,0)),""))</f>
        <v/>
      </c>
      <c r="K2172" s="82" t="str">
        <f aca="false">IF(B2172="","",IFERROR(INDEX('CARNET DE SOUDURE'!$E$7:$E$3006,MATCH(B2172,'CARNET DE SOUDURE'!$L$7:$L$3006,0)),""))</f>
        <v/>
      </c>
      <c r="L2172" s="82" t="str">
        <f aca="false">IF(B2172="","",IFERROR(INDEX('CARNET DE SOUDURE'!$D$7:$D$3006,MATCH(B2172,'CARNET DE SOUDURE'!$L$7:$L$3006,0)),IFERROR(INDEX('CARNET DE SOUDURE'!$D$7:$D$3006,MATCH(B2172,'CARNET DE SOUDURE'!$O$7:$O$3006,0)),"")))</f>
        <v/>
      </c>
      <c r="M2172" s="82" t="str">
        <f aca="false">IF(B2172="","",IF(OR(J2172&lt;&gt;"",K2172&lt;&gt;""),"POSÉ EN LIGNE",IF(COUNTIF(BARDAGE!$C$1:$C$5000,B2172)&gt;0,"BARDÉ","EN STOCK")))</f>
        <v/>
      </c>
      <c r="N2172" s="80"/>
    </row>
    <row r="2173" customFormat="false" ht="15" hidden="false" customHeight="false" outlineLevel="0" collapsed="false">
      <c r="A2173" s="82" t="str">
        <f aca="false">IF(B2173="","",ROW()-6)</f>
        <v/>
      </c>
      <c r="B2173" s="145"/>
      <c r="C2173" s="146"/>
      <c r="D2173" s="146"/>
      <c r="E2173" s="82" t="str">
        <f aca="false">IF(B2173="","",IF(COUNTIFS('CARNET DE SOUDURE'!$L$7:$L$3006,B2173,'CARNET DE SOUDURE'!$M$7:$M$3006,"&lt;&gt;"&amp;C2173,'CARNET DE SOUDURE'!$M$7:$M$3006,"&lt;&gt;")+COUNTIFS('CARNET DE SOUDURE'!$O$7:$O$3006,B2173,'CARNET DE SOUDURE'!$P$7:$P$3006,"&lt;&gt;"&amp;C2173,'CARNET DE SOUDURE'!$P$7:$P$3006,"&lt;&gt;")&gt;0,"⚠ DIFFÉRENTE","OK"))</f>
        <v/>
      </c>
      <c r="F2173" s="147"/>
      <c r="G2173" s="80"/>
      <c r="H2173" s="83"/>
      <c r="I2173" s="148" t="str">
        <f aca="false">IF(B2173="","",IFERROR(INDEX('CARNET DE SOUDURE'!$B$7:$B$3006,MATCH(B2173,'CARNET DE SOUDURE'!$L$7:$L$3006,0)),IFERROR(INDEX('CARNET DE SOUDURE'!$B$7:$B$3006,MATCH(B2173,'CARNET DE SOUDURE'!$O$7:$O$3006,0)),"")))</f>
        <v/>
      </c>
      <c r="J2173" s="82" t="str">
        <f aca="false">IF(B2173="","",IFERROR(INDEX('CARNET DE SOUDURE'!$E$7:$E$3006,MATCH(B2173,'CARNET DE SOUDURE'!$O$7:$O$3006,0)),""))</f>
        <v/>
      </c>
      <c r="K2173" s="82" t="str">
        <f aca="false">IF(B2173="","",IFERROR(INDEX('CARNET DE SOUDURE'!$E$7:$E$3006,MATCH(B2173,'CARNET DE SOUDURE'!$L$7:$L$3006,0)),""))</f>
        <v/>
      </c>
      <c r="L2173" s="82" t="str">
        <f aca="false">IF(B2173="","",IFERROR(INDEX('CARNET DE SOUDURE'!$D$7:$D$3006,MATCH(B2173,'CARNET DE SOUDURE'!$L$7:$L$3006,0)),IFERROR(INDEX('CARNET DE SOUDURE'!$D$7:$D$3006,MATCH(B2173,'CARNET DE SOUDURE'!$O$7:$O$3006,0)),"")))</f>
        <v/>
      </c>
      <c r="M2173" s="82" t="str">
        <f aca="false">IF(B2173="","",IF(OR(J2173&lt;&gt;"",K2173&lt;&gt;""),"POSÉ EN LIGNE",IF(COUNTIF(BARDAGE!$C$1:$C$5000,B2173)&gt;0,"BARDÉ","EN STOCK")))</f>
        <v/>
      </c>
      <c r="N2173" s="80"/>
    </row>
    <row r="2174" customFormat="false" ht="15" hidden="false" customHeight="false" outlineLevel="0" collapsed="false">
      <c r="A2174" s="82" t="str">
        <f aca="false">IF(B2174="","",ROW()-6)</f>
        <v/>
      </c>
      <c r="B2174" s="145"/>
      <c r="C2174" s="146"/>
      <c r="D2174" s="146"/>
      <c r="E2174" s="82" t="str">
        <f aca="false">IF(B2174="","",IF(COUNTIFS('CARNET DE SOUDURE'!$L$7:$L$3006,B2174,'CARNET DE SOUDURE'!$M$7:$M$3006,"&lt;&gt;"&amp;C2174,'CARNET DE SOUDURE'!$M$7:$M$3006,"&lt;&gt;")+COUNTIFS('CARNET DE SOUDURE'!$O$7:$O$3006,B2174,'CARNET DE SOUDURE'!$P$7:$P$3006,"&lt;&gt;"&amp;C2174,'CARNET DE SOUDURE'!$P$7:$P$3006,"&lt;&gt;")&gt;0,"⚠ DIFFÉRENTE","OK"))</f>
        <v/>
      </c>
      <c r="F2174" s="147"/>
      <c r="G2174" s="80"/>
      <c r="H2174" s="83"/>
      <c r="I2174" s="148" t="str">
        <f aca="false">IF(B2174="","",IFERROR(INDEX('CARNET DE SOUDURE'!$B$7:$B$3006,MATCH(B2174,'CARNET DE SOUDURE'!$L$7:$L$3006,0)),IFERROR(INDEX('CARNET DE SOUDURE'!$B$7:$B$3006,MATCH(B2174,'CARNET DE SOUDURE'!$O$7:$O$3006,0)),"")))</f>
        <v/>
      </c>
      <c r="J2174" s="82" t="str">
        <f aca="false">IF(B2174="","",IFERROR(INDEX('CARNET DE SOUDURE'!$E$7:$E$3006,MATCH(B2174,'CARNET DE SOUDURE'!$O$7:$O$3006,0)),""))</f>
        <v/>
      </c>
      <c r="K2174" s="82" t="str">
        <f aca="false">IF(B2174="","",IFERROR(INDEX('CARNET DE SOUDURE'!$E$7:$E$3006,MATCH(B2174,'CARNET DE SOUDURE'!$L$7:$L$3006,0)),""))</f>
        <v/>
      </c>
      <c r="L2174" s="82" t="str">
        <f aca="false">IF(B2174="","",IFERROR(INDEX('CARNET DE SOUDURE'!$D$7:$D$3006,MATCH(B2174,'CARNET DE SOUDURE'!$L$7:$L$3006,0)),IFERROR(INDEX('CARNET DE SOUDURE'!$D$7:$D$3006,MATCH(B2174,'CARNET DE SOUDURE'!$O$7:$O$3006,0)),"")))</f>
        <v/>
      </c>
      <c r="M2174" s="82" t="str">
        <f aca="false">IF(B2174="","",IF(OR(J2174&lt;&gt;"",K2174&lt;&gt;""),"POSÉ EN LIGNE",IF(COUNTIF(BARDAGE!$C$1:$C$5000,B2174)&gt;0,"BARDÉ","EN STOCK")))</f>
        <v/>
      </c>
      <c r="N2174" s="80"/>
    </row>
    <row r="2175" customFormat="false" ht="15" hidden="false" customHeight="false" outlineLevel="0" collapsed="false">
      <c r="A2175" s="82" t="str">
        <f aca="false">IF(B2175="","",ROW()-6)</f>
        <v/>
      </c>
      <c r="B2175" s="145"/>
      <c r="C2175" s="146"/>
      <c r="D2175" s="146"/>
      <c r="E2175" s="82" t="str">
        <f aca="false">IF(B2175="","",IF(COUNTIFS('CARNET DE SOUDURE'!$L$7:$L$3006,B2175,'CARNET DE SOUDURE'!$M$7:$M$3006,"&lt;&gt;"&amp;C2175,'CARNET DE SOUDURE'!$M$7:$M$3006,"&lt;&gt;")+COUNTIFS('CARNET DE SOUDURE'!$O$7:$O$3006,B2175,'CARNET DE SOUDURE'!$P$7:$P$3006,"&lt;&gt;"&amp;C2175,'CARNET DE SOUDURE'!$P$7:$P$3006,"&lt;&gt;")&gt;0,"⚠ DIFFÉRENTE","OK"))</f>
        <v/>
      </c>
      <c r="F2175" s="147"/>
      <c r="G2175" s="80"/>
      <c r="H2175" s="83"/>
      <c r="I2175" s="148" t="str">
        <f aca="false">IF(B2175="","",IFERROR(INDEX('CARNET DE SOUDURE'!$B$7:$B$3006,MATCH(B2175,'CARNET DE SOUDURE'!$L$7:$L$3006,0)),IFERROR(INDEX('CARNET DE SOUDURE'!$B$7:$B$3006,MATCH(B2175,'CARNET DE SOUDURE'!$O$7:$O$3006,0)),"")))</f>
        <v/>
      </c>
      <c r="J2175" s="82" t="str">
        <f aca="false">IF(B2175="","",IFERROR(INDEX('CARNET DE SOUDURE'!$E$7:$E$3006,MATCH(B2175,'CARNET DE SOUDURE'!$O$7:$O$3006,0)),""))</f>
        <v/>
      </c>
      <c r="K2175" s="82" t="str">
        <f aca="false">IF(B2175="","",IFERROR(INDEX('CARNET DE SOUDURE'!$E$7:$E$3006,MATCH(B2175,'CARNET DE SOUDURE'!$L$7:$L$3006,0)),""))</f>
        <v/>
      </c>
      <c r="L2175" s="82" t="str">
        <f aca="false">IF(B2175="","",IFERROR(INDEX('CARNET DE SOUDURE'!$D$7:$D$3006,MATCH(B2175,'CARNET DE SOUDURE'!$L$7:$L$3006,0)),IFERROR(INDEX('CARNET DE SOUDURE'!$D$7:$D$3006,MATCH(B2175,'CARNET DE SOUDURE'!$O$7:$O$3006,0)),"")))</f>
        <v/>
      </c>
      <c r="M2175" s="82" t="str">
        <f aca="false">IF(B2175="","",IF(OR(J2175&lt;&gt;"",K2175&lt;&gt;""),"POSÉ EN LIGNE",IF(COUNTIF(BARDAGE!$C$1:$C$5000,B2175)&gt;0,"BARDÉ","EN STOCK")))</f>
        <v/>
      </c>
      <c r="N2175" s="80"/>
    </row>
    <row r="2176" customFormat="false" ht="15" hidden="false" customHeight="false" outlineLevel="0" collapsed="false">
      <c r="A2176" s="82" t="str">
        <f aca="false">IF(B2176="","",ROW()-6)</f>
        <v/>
      </c>
      <c r="B2176" s="145"/>
      <c r="C2176" s="146"/>
      <c r="D2176" s="146"/>
      <c r="E2176" s="82" t="str">
        <f aca="false">IF(B2176="","",IF(COUNTIFS('CARNET DE SOUDURE'!$L$7:$L$3006,B2176,'CARNET DE SOUDURE'!$M$7:$M$3006,"&lt;&gt;"&amp;C2176,'CARNET DE SOUDURE'!$M$7:$M$3006,"&lt;&gt;")+COUNTIFS('CARNET DE SOUDURE'!$O$7:$O$3006,B2176,'CARNET DE SOUDURE'!$P$7:$P$3006,"&lt;&gt;"&amp;C2176,'CARNET DE SOUDURE'!$P$7:$P$3006,"&lt;&gt;")&gt;0,"⚠ DIFFÉRENTE","OK"))</f>
        <v/>
      </c>
      <c r="F2176" s="147"/>
      <c r="G2176" s="80"/>
      <c r="H2176" s="83"/>
      <c r="I2176" s="148" t="str">
        <f aca="false">IF(B2176="","",IFERROR(INDEX('CARNET DE SOUDURE'!$B$7:$B$3006,MATCH(B2176,'CARNET DE SOUDURE'!$L$7:$L$3006,0)),IFERROR(INDEX('CARNET DE SOUDURE'!$B$7:$B$3006,MATCH(B2176,'CARNET DE SOUDURE'!$O$7:$O$3006,0)),"")))</f>
        <v/>
      </c>
      <c r="J2176" s="82" t="str">
        <f aca="false">IF(B2176="","",IFERROR(INDEX('CARNET DE SOUDURE'!$E$7:$E$3006,MATCH(B2176,'CARNET DE SOUDURE'!$O$7:$O$3006,0)),""))</f>
        <v/>
      </c>
      <c r="K2176" s="82" t="str">
        <f aca="false">IF(B2176="","",IFERROR(INDEX('CARNET DE SOUDURE'!$E$7:$E$3006,MATCH(B2176,'CARNET DE SOUDURE'!$L$7:$L$3006,0)),""))</f>
        <v/>
      </c>
      <c r="L2176" s="82" t="str">
        <f aca="false">IF(B2176="","",IFERROR(INDEX('CARNET DE SOUDURE'!$D$7:$D$3006,MATCH(B2176,'CARNET DE SOUDURE'!$L$7:$L$3006,0)),IFERROR(INDEX('CARNET DE SOUDURE'!$D$7:$D$3006,MATCH(B2176,'CARNET DE SOUDURE'!$O$7:$O$3006,0)),"")))</f>
        <v/>
      </c>
      <c r="M2176" s="82" t="str">
        <f aca="false">IF(B2176="","",IF(OR(J2176&lt;&gt;"",K2176&lt;&gt;""),"POSÉ EN LIGNE",IF(COUNTIF(BARDAGE!$C$1:$C$5000,B2176)&gt;0,"BARDÉ","EN STOCK")))</f>
        <v/>
      </c>
      <c r="N2176" s="80"/>
    </row>
    <row r="2177" customFormat="false" ht="15" hidden="false" customHeight="false" outlineLevel="0" collapsed="false">
      <c r="A2177" s="82" t="str">
        <f aca="false">IF(B2177="","",ROW()-6)</f>
        <v/>
      </c>
      <c r="B2177" s="145"/>
      <c r="C2177" s="146"/>
      <c r="D2177" s="146"/>
      <c r="E2177" s="82" t="str">
        <f aca="false">IF(B2177="","",IF(COUNTIFS('CARNET DE SOUDURE'!$L$7:$L$3006,B2177,'CARNET DE SOUDURE'!$M$7:$M$3006,"&lt;&gt;"&amp;C2177,'CARNET DE SOUDURE'!$M$7:$M$3006,"&lt;&gt;")+COUNTIFS('CARNET DE SOUDURE'!$O$7:$O$3006,B2177,'CARNET DE SOUDURE'!$P$7:$P$3006,"&lt;&gt;"&amp;C2177,'CARNET DE SOUDURE'!$P$7:$P$3006,"&lt;&gt;")&gt;0,"⚠ DIFFÉRENTE","OK"))</f>
        <v/>
      </c>
      <c r="F2177" s="147"/>
      <c r="G2177" s="80"/>
      <c r="H2177" s="83"/>
      <c r="I2177" s="148" t="str">
        <f aca="false">IF(B2177="","",IFERROR(INDEX('CARNET DE SOUDURE'!$B$7:$B$3006,MATCH(B2177,'CARNET DE SOUDURE'!$L$7:$L$3006,0)),IFERROR(INDEX('CARNET DE SOUDURE'!$B$7:$B$3006,MATCH(B2177,'CARNET DE SOUDURE'!$O$7:$O$3006,0)),"")))</f>
        <v/>
      </c>
      <c r="J2177" s="82" t="str">
        <f aca="false">IF(B2177="","",IFERROR(INDEX('CARNET DE SOUDURE'!$E$7:$E$3006,MATCH(B2177,'CARNET DE SOUDURE'!$O$7:$O$3006,0)),""))</f>
        <v/>
      </c>
      <c r="K2177" s="82" t="str">
        <f aca="false">IF(B2177="","",IFERROR(INDEX('CARNET DE SOUDURE'!$E$7:$E$3006,MATCH(B2177,'CARNET DE SOUDURE'!$L$7:$L$3006,0)),""))</f>
        <v/>
      </c>
      <c r="L2177" s="82" t="str">
        <f aca="false">IF(B2177="","",IFERROR(INDEX('CARNET DE SOUDURE'!$D$7:$D$3006,MATCH(B2177,'CARNET DE SOUDURE'!$L$7:$L$3006,0)),IFERROR(INDEX('CARNET DE SOUDURE'!$D$7:$D$3006,MATCH(B2177,'CARNET DE SOUDURE'!$O$7:$O$3006,0)),"")))</f>
        <v/>
      </c>
      <c r="M2177" s="82" t="str">
        <f aca="false">IF(B2177="","",IF(OR(J2177&lt;&gt;"",K2177&lt;&gt;""),"POSÉ EN LIGNE",IF(COUNTIF(BARDAGE!$C$1:$C$5000,B2177)&gt;0,"BARDÉ","EN STOCK")))</f>
        <v/>
      </c>
      <c r="N2177" s="80"/>
    </row>
    <row r="2178" customFormat="false" ht="15" hidden="false" customHeight="false" outlineLevel="0" collapsed="false">
      <c r="A2178" s="82" t="str">
        <f aca="false">IF(B2178="","",ROW()-6)</f>
        <v/>
      </c>
      <c r="B2178" s="145"/>
      <c r="C2178" s="146"/>
      <c r="D2178" s="146"/>
      <c r="E2178" s="82" t="str">
        <f aca="false">IF(B2178="","",IF(COUNTIFS('CARNET DE SOUDURE'!$L$7:$L$3006,B2178,'CARNET DE SOUDURE'!$M$7:$M$3006,"&lt;&gt;"&amp;C2178,'CARNET DE SOUDURE'!$M$7:$M$3006,"&lt;&gt;")+COUNTIFS('CARNET DE SOUDURE'!$O$7:$O$3006,B2178,'CARNET DE SOUDURE'!$P$7:$P$3006,"&lt;&gt;"&amp;C2178,'CARNET DE SOUDURE'!$P$7:$P$3006,"&lt;&gt;")&gt;0,"⚠ DIFFÉRENTE","OK"))</f>
        <v/>
      </c>
      <c r="F2178" s="147"/>
      <c r="G2178" s="80"/>
      <c r="H2178" s="83"/>
      <c r="I2178" s="148" t="str">
        <f aca="false">IF(B2178="","",IFERROR(INDEX('CARNET DE SOUDURE'!$B$7:$B$3006,MATCH(B2178,'CARNET DE SOUDURE'!$L$7:$L$3006,0)),IFERROR(INDEX('CARNET DE SOUDURE'!$B$7:$B$3006,MATCH(B2178,'CARNET DE SOUDURE'!$O$7:$O$3006,0)),"")))</f>
        <v/>
      </c>
      <c r="J2178" s="82" t="str">
        <f aca="false">IF(B2178="","",IFERROR(INDEX('CARNET DE SOUDURE'!$E$7:$E$3006,MATCH(B2178,'CARNET DE SOUDURE'!$O$7:$O$3006,0)),""))</f>
        <v/>
      </c>
      <c r="K2178" s="82" t="str">
        <f aca="false">IF(B2178="","",IFERROR(INDEX('CARNET DE SOUDURE'!$E$7:$E$3006,MATCH(B2178,'CARNET DE SOUDURE'!$L$7:$L$3006,0)),""))</f>
        <v/>
      </c>
      <c r="L2178" s="82" t="str">
        <f aca="false">IF(B2178="","",IFERROR(INDEX('CARNET DE SOUDURE'!$D$7:$D$3006,MATCH(B2178,'CARNET DE SOUDURE'!$L$7:$L$3006,0)),IFERROR(INDEX('CARNET DE SOUDURE'!$D$7:$D$3006,MATCH(B2178,'CARNET DE SOUDURE'!$O$7:$O$3006,0)),"")))</f>
        <v/>
      </c>
      <c r="M2178" s="82" t="str">
        <f aca="false">IF(B2178="","",IF(OR(J2178&lt;&gt;"",K2178&lt;&gt;""),"POSÉ EN LIGNE",IF(COUNTIF(BARDAGE!$C$1:$C$5000,B2178)&gt;0,"BARDÉ","EN STOCK")))</f>
        <v/>
      </c>
      <c r="N2178" s="80"/>
    </row>
    <row r="2179" customFormat="false" ht="15" hidden="false" customHeight="false" outlineLevel="0" collapsed="false">
      <c r="A2179" s="82" t="str">
        <f aca="false">IF(B2179="","",ROW()-6)</f>
        <v/>
      </c>
      <c r="B2179" s="145"/>
      <c r="C2179" s="146"/>
      <c r="D2179" s="146"/>
      <c r="E2179" s="82" t="str">
        <f aca="false">IF(B2179="","",IF(COUNTIFS('CARNET DE SOUDURE'!$L$7:$L$3006,B2179,'CARNET DE SOUDURE'!$M$7:$M$3006,"&lt;&gt;"&amp;C2179,'CARNET DE SOUDURE'!$M$7:$M$3006,"&lt;&gt;")+COUNTIFS('CARNET DE SOUDURE'!$O$7:$O$3006,B2179,'CARNET DE SOUDURE'!$P$7:$P$3006,"&lt;&gt;"&amp;C2179,'CARNET DE SOUDURE'!$P$7:$P$3006,"&lt;&gt;")&gt;0,"⚠ DIFFÉRENTE","OK"))</f>
        <v/>
      </c>
      <c r="F2179" s="147"/>
      <c r="G2179" s="80"/>
      <c r="H2179" s="83"/>
      <c r="I2179" s="148" t="str">
        <f aca="false">IF(B2179="","",IFERROR(INDEX('CARNET DE SOUDURE'!$B$7:$B$3006,MATCH(B2179,'CARNET DE SOUDURE'!$L$7:$L$3006,0)),IFERROR(INDEX('CARNET DE SOUDURE'!$B$7:$B$3006,MATCH(B2179,'CARNET DE SOUDURE'!$O$7:$O$3006,0)),"")))</f>
        <v/>
      </c>
      <c r="J2179" s="82" t="str">
        <f aca="false">IF(B2179="","",IFERROR(INDEX('CARNET DE SOUDURE'!$E$7:$E$3006,MATCH(B2179,'CARNET DE SOUDURE'!$O$7:$O$3006,0)),""))</f>
        <v/>
      </c>
      <c r="K2179" s="82" t="str">
        <f aca="false">IF(B2179="","",IFERROR(INDEX('CARNET DE SOUDURE'!$E$7:$E$3006,MATCH(B2179,'CARNET DE SOUDURE'!$L$7:$L$3006,0)),""))</f>
        <v/>
      </c>
      <c r="L2179" s="82" t="str">
        <f aca="false">IF(B2179="","",IFERROR(INDEX('CARNET DE SOUDURE'!$D$7:$D$3006,MATCH(B2179,'CARNET DE SOUDURE'!$L$7:$L$3006,0)),IFERROR(INDEX('CARNET DE SOUDURE'!$D$7:$D$3006,MATCH(B2179,'CARNET DE SOUDURE'!$O$7:$O$3006,0)),"")))</f>
        <v/>
      </c>
      <c r="M2179" s="82" t="str">
        <f aca="false">IF(B2179="","",IF(OR(J2179&lt;&gt;"",K2179&lt;&gt;""),"POSÉ EN LIGNE",IF(COUNTIF(BARDAGE!$C$1:$C$5000,B2179)&gt;0,"BARDÉ","EN STOCK")))</f>
        <v/>
      </c>
      <c r="N2179" s="80"/>
    </row>
    <row r="2180" customFormat="false" ht="15" hidden="false" customHeight="false" outlineLevel="0" collapsed="false">
      <c r="A2180" s="82" t="str">
        <f aca="false">IF(B2180="","",ROW()-6)</f>
        <v/>
      </c>
      <c r="B2180" s="145"/>
      <c r="C2180" s="146"/>
      <c r="D2180" s="146"/>
      <c r="E2180" s="82" t="str">
        <f aca="false">IF(B2180="","",IF(COUNTIFS('CARNET DE SOUDURE'!$L$7:$L$3006,B2180,'CARNET DE SOUDURE'!$M$7:$M$3006,"&lt;&gt;"&amp;C2180,'CARNET DE SOUDURE'!$M$7:$M$3006,"&lt;&gt;")+COUNTIFS('CARNET DE SOUDURE'!$O$7:$O$3006,B2180,'CARNET DE SOUDURE'!$P$7:$P$3006,"&lt;&gt;"&amp;C2180,'CARNET DE SOUDURE'!$P$7:$P$3006,"&lt;&gt;")&gt;0,"⚠ DIFFÉRENTE","OK"))</f>
        <v/>
      </c>
      <c r="F2180" s="147"/>
      <c r="G2180" s="80"/>
      <c r="H2180" s="83"/>
      <c r="I2180" s="148" t="str">
        <f aca="false">IF(B2180="","",IFERROR(INDEX('CARNET DE SOUDURE'!$B$7:$B$3006,MATCH(B2180,'CARNET DE SOUDURE'!$L$7:$L$3006,0)),IFERROR(INDEX('CARNET DE SOUDURE'!$B$7:$B$3006,MATCH(B2180,'CARNET DE SOUDURE'!$O$7:$O$3006,0)),"")))</f>
        <v/>
      </c>
      <c r="J2180" s="82" t="str">
        <f aca="false">IF(B2180="","",IFERROR(INDEX('CARNET DE SOUDURE'!$E$7:$E$3006,MATCH(B2180,'CARNET DE SOUDURE'!$O$7:$O$3006,0)),""))</f>
        <v/>
      </c>
      <c r="K2180" s="82" t="str">
        <f aca="false">IF(B2180="","",IFERROR(INDEX('CARNET DE SOUDURE'!$E$7:$E$3006,MATCH(B2180,'CARNET DE SOUDURE'!$L$7:$L$3006,0)),""))</f>
        <v/>
      </c>
      <c r="L2180" s="82" t="str">
        <f aca="false">IF(B2180="","",IFERROR(INDEX('CARNET DE SOUDURE'!$D$7:$D$3006,MATCH(B2180,'CARNET DE SOUDURE'!$L$7:$L$3006,0)),IFERROR(INDEX('CARNET DE SOUDURE'!$D$7:$D$3006,MATCH(B2180,'CARNET DE SOUDURE'!$O$7:$O$3006,0)),"")))</f>
        <v/>
      </c>
      <c r="M2180" s="82" t="str">
        <f aca="false">IF(B2180="","",IF(OR(J2180&lt;&gt;"",K2180&lt;&gt;""),"POSÉ EN LIGNE",IF(COUNTIF(BARDAGE!$C$1:$C$5000,B2180)&gt;0,"BARDÉ","EN STOCK")))</f>
        <v/>
      </c>
      <c r="N2180" s="80"/>
    </row>
    <row r="2181" customFormat="false" ht="15" hidden="false" customHeight="false" outlineLevel="0" collapsed="false">
      <c r="A2181" s="82" t="str">
        <f aca="false">IF(B2181="","",ROW()-6)</f>
        <v/>
      </c>
      <c r="B2181" s="145"/>
      <c r="C2181" s="146"/>
      <c r="D2181" s="146"/>
      <c r="E2181" s="82" t="str">
        <f aca="false">IF(B2181="","",IF(COUNTIFS('CARNET DE SOUDURE'!$L$7:$L$3006,B2181,'CARNET DE SOUDURE'!$M$7:$M$3006,"&lt;&gt;"&amp;C2181,'CARNET DE SOUDURE'!$M$7:$M$3006,"&lt;&gt;")+COUNTIFS('CARNET DE SOUDURE'!$O$7:$O$3006,B2181,'CARNET DE SOUDURE'!$P$7:$P$3006,"&lt;&gt;"&amp;C2181,'CARNET DE SOUDURE'!$P$7:$P$3006,"&lt;&gt;")&gt;0,"⚠ DIFFÉRENTE","OK"))</f>
        <v/>
      </c>
      <c r="F2181" s="147"/>
      <c r="G2181" s="80"/>
      <c r="H2181" s="83"/>
      <c r="I2181" s="148" t="str">
        <f aca="false">IF(B2181="","",IFERROR(INDEX('CARNET DE SOUDURE'!$B$7:$B$3006,MATCH(B2181,'CARNET DE SOUDURE'!$L$7:$L$3006,0)),IFERROR(INDEX('CARNET DE SOUDURE'!$B$7:$B$3006,MATCH(B2181,'CARNET DE SOUDURE'!$O$7:$O$3006,0)),"")))</f>
        <v/>
      </c>
      <c r="J2181" s="82" t="str">
        <f aca="false">IF(B2181="","",IFERROR(INDEX('CARNET DE SOUDURE'!$E$7:$E$3006,MATCH(B2181,'CARNET DE SOUDURE'!$O$7:$O$3006,0)),""))</f>
        <v/>
      </c>
      <c r="K2181" s="82" t="str">
        <f aca="false">IF(B2181="","",IFERROR(INDEX('CARNET DE SOUDURE'!$E$7:$E$3006,MATCH(B2181,'CARNET DE SOUDURE'!$L$7:$L$3006,0)),""))</f>
        <v/>
      </c>
      <c r="L2181" s="82" t="str">
        <f aca="false">IF(B2181="","",IFERROR(INDEX('CARNET DE SOUDURE'!$D$7:$D$3006,MATCH(B2181,'CARNET DE SOUDURE'!$L$7:$L$3006,0)),IFERROR(INDEX('CARNET DE SOUDURE'!$D$7:$D$3006,MATCH(B2181,'CARNET DE SOUDURE'!$O$7:$O$3006,0)),"")))</f>
        <v/>
      </c>
      <c r="M2181" s="82" t="str">
        <f aca="false">IF(B2181="","",IF(OR(J2181&lt;&gt;"",K2181&lt;&gt;""),"POSÉ EN LIGNE",IF(COUNTIF(BARDAGE!$C$1:$C$5000,B2181)&gt;0,"BARDÉ","EN STOCK")))</f>
        <v/>
      </c>
      <c r="N2181" s="80"/>
    </row>
    <row r="2182" customFormat="false" ht="15" hidden="false" customHeight="false" outlineLevel="0" collapsed="false">
      <c r="A2182" s="82" t="str">
        <f aca="false">IF(B2182="","",ROW()-6)</f>
        <v/>
      </c>
      <c r="B2182" s="145"/>
      <c r="C2182" s="146"/>
      <c r="D2182" s="146"/>
      <c r="E2182" s="82" t="str">
        <f aca="false">IF(B2182="","",IF(COUNTIFS('CARNET DE SOUDURE'!$L$7:$L$3006,B2182,'CARNET DE SOUDURE'!$M$7:$M$3006,"&lt;&gt;"&amp;C2182,'CARNET DE SOUDURE'!$M$7:$M$3006,"&lt;&gt;")+COUNTIFS('CARNET DE SOUDURE'!$O$7:$O$3006,B2182,'CARNET DE SOUDURE'!$P$7:$P$3006,"&lt;&gt;"&amp;C2182,'CARNET DE SOUDURE'!$P$7:$P$3006,"&lt;&gt;")&gt;0,"⚠ DIFFÉRENTE","OK"))</f>
        <v/>
      </c>
      <c r="F2182" s="147"/>
      <c r="G2182" s="80"/>
      <c r="H2182" s="83"/>
      <c r="I2182" s="148" t="str">
        <f aca="false">IF(B2182="","",IFERROR(INDEX('CARNET DE SOUDURE'!$B$7:$B$3006,MATCH(B2182,'CARNET DE SOUDURE'!$L$7:$L$3006,0)),IFERROR(INDEX('CARNET DE SOUDURE'!$B$7:$B$3006,MATCH(B2182,'CARNET DE SOUDURE'!$O$7:$O$3006,0)),"")))</f>
        <v/>
      </c>
      <c r="J2182" s="82" t="str">
        <f aca="false">IF(B2182="","",IFERROR(INDEX('CARNET DE SOUDURE'!$E$7:$E$3006,MATCH(B2182,'CARNET DE SOUDURE'!$O$7:$O$3006,0)),""))</f>
        <v/>
      </c>
      <c r="K2182" s="82" t="str">
        <f aca="false">IF(B2182="","",IFERROR(INDEX('CARNET DE SOUDURE'!$E$7:$E$3006,MATCH(B2182,'CARNET DE SOUDURE'!$L$7:$L$3006,0)),""))</f>
        <v/>
      </c>
      <c r="L2182" s="82" t="str">
        <f aca="false">IF(B2182="","",IFERROR(INDEX('CARNET DE SOUDURE'!$D$7:$D$3006,MATCH(B2182,'CARNET DE SOUDURE'!$L$7:$L$3006,0)),IFERROR(INDEX('CARNET DE SOUDURE'!$D$7:$D$3006,MATCH(B2182,'CARNET DE SOUDURE'!$O$7:$O$3006,0)),"")))</f>
        <v/>
      </c>
      <c r="M2182" s="82" t="str">
        <f aca="false">IF(B2182="","",IF(OR(J2182&lt;&gt;"",K2182&lt;&gt;""),"POSÉ EN LIGNE",IF(COUNTIF(BARDAGE!$C$1:$C$5000,B2182)&gt;0,"BARDÉ","EN STOCK")))</f>
        <v/>
      </c>
      <c r="N2182" s="80"/>
    </row>
    <row r="2183" customFormat="false" ht="15" hidden="false" customHeight="false" outlineLevel="0" collapsed="false">
      <c r="A2183" s="82" t="str">
        <f aca="false">IF(B2183="","",ROW()-6)</f>
        <v/>
      </c>
      <c r="B2183" s="145"/>
      <c r="C2183" s="146"/>
      <c r="D2183" s="146"/>
      <c r="E2183" s="82" t="str">
        <f aca="false">IF(B2183="","",IF(COUNTIFS('CARNET DE SOUDURE'!$L$7:$L$3006,B2183,'CARNET DE SOUDURE'!$M$7:$M$3006,"&lt;&gt;"&amp;C2183,'CARNET DE SOUDURE'!$M$7:$M$3006,"&lt;&gt;")+COUNTIFS('CARNET DE SOUDURE'!$O$7:$O$3006,B2183,'CARNET DE SOUDURE'!$P$7:$P$3006,"&lt;&gt;"&amp;C2183,'CARNET DE SOUDURE'!$P$7:$P$3006,"&lt;&gt;")&gt;0,"⚠ DIFFÉRENTE","OK"))</f>
        <v/>
      </c>
      <c r="F2183" s="147"/>
      <c r="G2183" s="80"/>
      <c r="H2183" s="83"/>
      <c r="I2183" s="148" t="str">
        <f aca="false">IF(B2183="","",IFERROR(INDEX('CARNET DE SOUDURE'!$B$7:$B$3006,MATCH(B2183,'CARNET DE SOUDURE'!$L$7:$L$3006,0)),IFERROR(INDEX('CARNET DE SOUDURE'!$B$7:$B$3006,MATCH(B2183,'CARNET DE SOUDURE'!$O$7:$O$3006,0)),"")))</f>
        <v/>
      </c>
      <c r="J2183" s="82" t="str">
        <f aca="false">IF(B2183="","",IFERROR(INDEX('CARNET DE SOUDURE'!$E$7:$E$3006,MATCH(B2183,'CARNET DE SOUDURE'!$O$7:$O$3006,0)),""))</f>
        <v/>
      </c>
      <c r="K2183" s="82" t="str">
        <f aca="false">IF(B2183="","",IFERROR(INDEX('CARNET DE SOUDURE'!$E$7:$E$3006,MATCH(B2183,'CARNET DE SOUDURE'!$L$7:$L$3006,0)),""))</f>
        <v/>
      </c>
      <c r="L2183" s="82" t="str">
        <f aca="false">IF(B2183="","",IFERROR(INDEX('CARNET DE SOUDURE'!$D$7:$D$3006,MATCH(B2183,'CARNET DE SOUDURE'!$L$7:$L$3006,0)),IFERROR(INDEX('CARNET DE SOUDURE'!$D$7:$D$3006,MATCH(B2183,'CARNET DE SOUDURE'!$O$7:$O$3006,0)),"")))</f>
        <v/>
      </c>
      <c r="M2183" s="82" t="str">
        <f aca="false">IF(B2183="","",IF(OR(J2183&lt;&gt;"",K2183&lt;&gt;""),"POSÉ EN LIGNE",IF(COUNTIF(BARDAGE!$C$1:$C$5000,B2183)&gt;0,"BARDÉ","EN STOCK")))</f>
        <v/>
      </c>
      <c r="N2183" s="80"/>
    </row>
    <row r="2184" customFormat="false" ht="15" hidden="false" customHeight="false" outlineLevel="0" collapsed="false">
      <c r="A2184" s="82" t="str">
        <f aca="false">IF(B2184="","",ROW()-6)</f>
        <v/>
      </c>
      <c r="B2184" s="145"/>
      <c r="C2184" s="146"/>
      <c r="D2184" s="146"/>
      <c r="E2184" s="82" t="str">
        <f aca="false">IF(B2184="","",IF(COUNTIFS('CARNET DE SOUDURE'!$L$7:$L$3006,B2184,'CARNET DE SOUDURE'!$M$7:$M$3006,"&lt;&gt;"&amp;C2184,'CARNET DE SOUDURE'!$M$7:$M$3006,"&lt;&gt;")+COUNTIFS('CARNET DE SOUDURE'!$O$7:$O$3006,B2184,'CARNET DE SOUDURE'!$P$7:$P$3006,"&lt;&gt;"&amp;C2184,'CARNET DE SOUDURE'!$P$7:$P$3006,"&lt;&gt;")&gt;0,"⚠ DIFFÉRENTE","OK"))</f>
        <v/>
      </c>
      <c r="F2184" s="147"/>
      <c r="G2184" s="80"/>
      <c r="H2184" s="83"/>
      <c r="I2184" s="148" t="str">
        <f aca="false">IF(B2184="","",IFERROR(INDEX('CARNET DE SOUDURE'!$B$7:$B$3006,MATCH(B2184,'CARNET DE SOUDURE'!$L$7:$L$3006,0)),IFERROR(INDEX('CARNET DE SOUDURE'!$B$7:$B$3006,MATCH(B2184,'CARNET DE SOUDURE'!$O$7:$O$3006,0)),"")))</f>
        <v/>
      </c>
      <c r="J2184" s="82" t="str">
        <f aca="false">IF(B2184="","",IFERROR(INDEX('CARNET DE SOUDURE'!$E$7:$E$3006,MATCH(B2184,'CARNET DE SOUDURE'!$O$7:$O$3006,0)),""))</f>
        <v/>
      </c>
      <c r="K2184" s="82" t="str">
        <f aca="false">IF(B2184="","",IFERROR(INDEX('CARNET DE SOUDURE'!$E$7:$E$3006,MATCH(B2184,'CARNET DE SOUDURE'!$L$7:$L$3006,0)),""))</f>
        <v/>
      </c>
      <c r="L2184" s="82" t="str">
        <f aca="false">IF(B2184="","",IFERROR(INDEX('CARNET DE SOUDURE'!$D$7:$D$3006,MATCH(B2184,'CARNET DE SOUDURE'!$L$7:$L$3006,0)),IFERROR(INDEX('CARNET DE SOUDURE'!$D$7:$D$3006,MATCH(B2184,'CARNET DE SOUDURE'!$O$7:$O$3006,0)),"")))</f>
        <v/>
      </c>
      <c r="M2184" s="82" t="str">
        <f aca="false">IF(B2184="","",IF(OR(J2184&lt;&gt;"",K2184&lt;&gt;""),"POSÉ EN LIGNE",IF(COUNTIF(BARDAGE!$C$1:$C$5000,B2184)&gt;0,"BARDÉ","EN STOCK")))</f>
        <v/>
      </c>
      <c r="N2184" s="80"/>
    </row>
    <row r="2185" customFormat="false" ht="15" hidden="false" customHeight="false" outlineLevel="0" collapsed="false">
      <c r="A2185" s="82" t="str">
        <f aca="false">IF(B2185="","",ROW()-6)</f>
        <v/>
      </c>
      <c r="B2185" s="145"/>
      <c r="C2185" s="146"/>
      <c r="D2185" s="146"/>
      <c r="E2185" s="82" t="str">
        <f aca="false">IF(B2185="","",IF(COUNTIFS('CARNET DE SOUDURE'!$L$7:$L$3006,B2185,'CARNET DE SOUDURE'!$M$7:$M$3006,"&lt;&gt;"&amp;C2185,'CARNET DE SOUDURE'!$M$7:$M$3006,"&lt;&gt;")+COUNTIFS('CARNET DE SOUDURE'!$O$7:$O$3006,B2185,'CARNET DE SOUDURE'!$P$7:$P$3006,"&lt;&gt;"&amp;C2185,'CARNET DE SOUDURE'!$P$7:$P$3006,"&lt;&gt;")&gt;0,"⚠ DIFFÉRENTE","OK"))</f>
        <v/>
      </c>
      <c r="F2185" s="147"/>
      <c r="G2185" s="80"/>
      <c r="H2185" s="83"/>
      <c r="I2185" s="148" t="str">
        <f aca="false">IF(B2185="","",IFERROR(INDEX('CARNET DE SOUDURE'!$B$7:$B$3006,MATCH(B2185,'CARNET DE SOUDURE'!$L$7:$L$3006,0)),IFERROR(INDEX('CARNET DE SOUDURE'!$B$7:$B$3006,MATCH(B2185,'CARNET DE SOUDURE'!$O$7:$O$3006,0)),"")))</f>
        <v/>
      </c>
      <c r="J2185" s="82" t="str">
        <f aca="false">IF(B2185="","",IFERROR(INDEX('CARNET DE SOUDURE'!$E$7:$E$3006,MATCH(B2185,'CARNET DE SOUDURE'!$O$7:$O$3006,0)),""))</f>
        <v/>
      </c>
      <c r="K2185" s="82" t="str">
        <f aca="false">IF(B2185="","",IFERROR(INDEX('CARNET DE SOUDURE'!$E$7:$E$3006,MATCH(B2185,'CARNET DE SOUDURE'!$L$7:$L$3006,0)),""))</f>
        <v/>
      </c>
      <c r="L2185" s="82" t="str">
        <f aca="false">IF(B2185="","",IFERROR(INDEX('CARNET DE SOUDURE'!$D$7:$D$3006,MATCH(B2185,'CARNET DE SOUDURE'!$L$7:$L$3006,0)),IFERROR(INDEX('CARNET DE SOUDURE'!$D$7:$D$3006,MATCH(B2185,'CARNET DE SOUDURE'!$O$7:$O$3006,0)),"")))</f>
        <v/>
      </c>
      <c r="M2185" s="82" t="str">
        <f aca="false">IF(B2185="","",IF(OR(J2185&lt;&gt;"",K2185&lt;&gt;""),"POSÉ EN LIGNE",IF(COUNTIF(BARDAGE!$C$1:$C$5000,B2185)&gt;0,"BARDÉ","EN STOCK")))</f>
        <v/>
      </c>
      <c r="N2185" s="80"/>
    </row>
    <row r="2186" customFormat="false" ht="15" hidden="false" customHeight="false" outlineLevel="0" collapsed="false">
      <c r="A2186" s="82" t="str">
        <f aca="false">IF(B2186="","",ROW()-6)</f>
        <v/>
      </c>
      <c r="B2186" s="145"/>
      <c r="C2186" s="146"/>
      <c r="D2186" s="146"/>
      <c r="E2186" s="82" t="str">
        <f aca="false">IF(B2186="","",IF(COUNTIFS('CARNET DE SOUDURE'!$L$7:$L$3006,B2186,'CARNET DE SOUDURE'!$M$7:$M$3006,"&lt;&gt;"&amp;C2186,'CARNET DE SOUDURE'!$M$7:$M$3006,"&lt;&gt;")+COUNTIFS('CARNET DE SOUDURE'!$O$7:$O$3006,B2186,'CARNET DE SOUDURE'!$P$7:$P$3006,"&lt;&gt;"&amp;C2186,'CARNET DE SOUDURE'!$P$7:$P$3006,"&lt;&gt;")&gt;0,"⚠ DIFFÉRENTE","OK"))</f>
        <v/>
      </c>
      <c r="F2186" s="147"/>
      <c r="G2186" s="80"/>
      <c r="H2186" s="83"/>
      <c r="I2186" s="148" t="str">
        <f aca="false">IF(B2186="","",IFERROR(INDEX('CARNET DE SOUDURE'!$B$7:$B$3006,MATCH(B2186,'CARNET DE SOUDURE'!$L$7:$L$3006,0)),IFERROR(INDEX('CARNET DE SOUDURE'!$B$7:$B$3006,MATCH(B2186,'CARNET DE SOUDURE'!$O$7:$O$3006,0)),"")))</f>
        <v/>
      </c>
      <c r="J2186" s="82" t="str">
        <f aca="false">IF(B2186="","",IFERROR(INDEX('CARNET DE SOUDURE'!$E$7:$E$3006,MATCH(B2186,'CARNET DE SOUDURE'!$O$7:$O$3006,0)),""))</f>
        <v/>
      </c>
      <c r="K2186" s="82" t="str">
        <f aca="false">IF(B2186="","",IFERROR(INDEX('CARNET DE SOUDURE'!$E$7:$E$3006,MATCH(B2186,'CARNET DE SOUDURE'!$L$7:$L$3006,0)),""))</f>
        <v/>
      </c>
      <c r="L2186" s="82" t="str">
        <f aca="false">IF(B2186="","",IFERROR(INDEX('CARNET DE SOUDURE'!$D$7:$D$3006,MATCH(B2186,'CARNET DE SOUDURE'!$L$7:$L$3006,0)),IFERROR(INDEX('CARNET DE SOUDURE'!$D$7:$D$3006,MATCH(B2186,'CARNET DE SOUDURE'!$O$7:$O$3006,0)),"")))</f>
        <v/>
      </c>
      <c r="M2186" s="82" t="str">
        <f aca="false">IF(B2186="","",IF(OR(J2186&lt;&gt;"",K2186&lt;&gt;""),"POSÉ EN LIGNE",IF(COUNTIF(BARDAGE!$C$1:$C$5000,B2186)&gt;0,"BARDÉ","EN STOCK")))</f>
        <v/>
      </c>
      <c r="N2186" s="80"/>
    </row>
    <row r="2187" customFormat="false" ht="15" hidden="false" customHeight="false" outlineLevel="0" collapsed="false">
      <c r="A2187" s="82" t="str">
        <f aca="false">IF(B2187="","",ROW()-6)</f>
        <v/>
      </c>
      <c r="B2187" s="145"/>
      <c r="C2187" s="146"/>
      <c r="D2187" s="146"/>
      <c r="E2187" s="82" t="str">
        <f aca="false">IF(B2187="","",IF(COUNTIFS('CARNET DE SOUDURE'!$L$7:$L$3006,B2187,'CARNET DE SOUDURE'!$M$7:$M$3006,"&lt;&gt;"&amp;C2187,'CARNET DE SOUDURE'!$M$7:$M$3006,"&lt;&gt;")+COUNTIFS('CARNET DE SOUDURE'!$O$7:$O$3006,B2187,'CARNET DE SOUDURE'!$P$7:$P$3006,"&lt;&gt;"&amp;C2187,'CARNET DE SOUDURE'!$P$7:$P$3006,"&lt;&gt;")&gt;0,"⚠ DIFFÉRENTE","OK"))</f>
        <v/>
      </c>
      <c r="F2187" s="147"/>
      <c r="G2187" s="80"/>
      <c r="H2187" s="83"/>
      <c r="I2187" s="148" t="str">
        <f aca="false">IF(B2187="","",IFERROR(INDEX('CARNET DE SOUDURE'!$B$7:$B$3006,MATCH(B2187,'CARNET DE SOUDURE'!$L$7:$L$3006,0)),IFERROR(INDEX('CARNET DE SOUDURE'!$B$7:$B$3006,MATCH(B2187,'CARNET DE SOUDURE'!$O$7:$O$3006,0)),"")))</f>
        <v/>
      </c>
      <c r="J2187" s="82" t="str">
        <f aca="false">IF(B2187="","",IFERROR(INDEX('CARNET DE SOUDURE'!$E$7:$E$3006,MATCH(B2187,'CARNET DE SOUDURE'!$O$7:$O$3006,0)),""))</f>
        <v/>
      </c>
      <c r="K2187" s="82" t="str">
        <f aca="false">IF(B2187="","",IFERROR(INDEX('CARNET DE SOUDURE'!$E$7:$E$3006,MATCH(B2187,'CARNET DE SOUDURE'!$L$7:$L$3006,0)),""))</f>
        <v/>
      </c>
      <c r="L2187" s="82" t="str">
        <f aca="false">IF(B2187="","",IFERROR(INDEX('CARNET DE SOUDURE'!$D$7:$D$3006,MATCH(B2187,'CARNET DE SOUDURE'!$L$7:$L$3006,0)),IFERROR(INDEX('CARNET DE SOUDURE'!$D$7:$D$3006,MATCH(B2187,'CARNET DE SOUDURE'!$O$7:$O$3006,0)),"")))</f>
        <v/>
      </c>
      <c r="M2187" s="82" t="str">
        <f aca="false">IF(B2187="","",IF(OR(J2187&lt;&gt;"",K2187&lt;&gt;""),"POSÉ EN LIGNE",IF(COUNTIF(BARDAGE!$C$1:$C$5000,B2187)&gt;0,"BARDÉ","EN STOCK")))</f>
        <v/>
      </c>
      <c r="N2187" s="80"/>
    </row>
    <row r="2188" customFormat="false" ht="15" hidden="false" customHeight="false" outlineLevel="0" collapsed="false">
      <c r="A2188" s="82" t="str">
        <f aca="false">IF(B2188="","",ROW()-6)</f>
        <v/>
      </c>
      <c r="B2188" s="145"/>
      <c r="C2188" s="146"/>
      <c r="D2188" s="146"/>
      <c r="E2188" s="82" t="str">
        <f aca="false">IF(B2188="","",IF(COUNTIFS('CARNET DE SOUDURE'!$L$7:$L$3006,B2188,'CARNET DE SOUDURE'!$M$7:$M$3006,"&lt;&gt;"&amp;C2188,'CARNET DE SOUDURE'!$M$7:$M$3006,"&lt;&gt;")+COUNTIFS('CARNET DE SOUDURE'!$O$7:$O$3006,B2188,'CARNET DE SOUDURE'!$P$7:$P$3006,"&lt;&gt;"&amp;C2188,'CARNET DE SOUDURE'!$P$7:$P$3006,"&lt;&gt;")&gt;0,"⚠ DIFFÉRENTE","OK"))</f>
        <v/>
      </c>
      <c r="F2188" s="147"/>
      <c r="G2188" s="80"/>
      <c r="H2188" s="83"/>
      <c r="I2188" s="148" t="str">
        <f aca="false">IF(B2188="","",IFERROR(INDEX('CARNET DE SOUDURE'!$B$7:$B$3006,MATCH(B2188,'CARNET DE SOUDURE'!$L$7:$L$3006,0)),IFERROR(INDEX('CARNET DE SOUDURE'!$B$7:$B$3006,MATCH(B2188,'CARNET DE SOUDURE'!$O$7:$O$3006,0)),"")))</f>
        <v/>
      </c>
      <c r="J2188" s="82" t="str">
        <f aca="false">IF(B2188="","",IFERROR(INDEX('CARNET DE SOUDURE'!$E$7:$E$3006,MATCH(B2188,'CARNET DE SOUDURE'!$O$7:$O$3006,0)),""))</f>
        <v/>
      </c>
      <c r="K2188" s="82" t="str">
        <f aca="false">IF(B2188="","",IFERROR(INDEX('CARNET DE SOUDURE'!$E$7:$E$3006,MATCH(B2188,'CARNET DE SOUDURE'!$L$7:$L$3006,0)),""))</f>
        <v/>
      </c>
      <c r="L2188" s="82" t="str">
        <f aca="false">IF(B2188="","",IFERROR(INDEX('CARNET DE SOUDURE'!$D$7:$D$3006,MATCH(B2188,'CARNET DE SOUDURE'!$L$7:$L$3006,0)),IFERROR(INDEX('CARNET DE SOUDURE'!$D$7:$D$3006,MATCH(B2188,'CARNET DE SOUDURE'!$O$7:$O$3006,0)),"")))</f>
        <v/>
      </c>
      <c r="M2188" s="82" t="str">
        <f aca="false">IF(B2188="","",IF(OR(J2188&lt;&gt;"",K2188&lt;&gt;""),"POSÉ EN LIGNE",IF(COUNTIF(BARDAGE!$C$1:$C$5000,B2188)&gt;0,"BARDÉ","EN STOCK")))</f>
        <v/>
      </c>
      <c r="N2188" s="80"/>
    </row>
    <row r="2189" customFormat="false" ht="15" hidden="false" customHeight="false" outlineLevel="0" collapsed="false">
      <c r="A2189" s="82" t="str">
        <f aca="false">IF(B2189="","",ROW()-6)</f>
        <v/>
      </c>
      <c r="B2189" s="145"/>
      <c r="C2189" s="146"/>
      <c r="D2189" s="146"/>
      <c r="E2189" s="82" t="str">
        <f aca="false">IF(B2189="","",IF(COUNTIFS('CARNET DE SOUDURE'!$L$7:$L$3006,B2189,'CARNET DE SOUDURE'!$M$7:$M$3006,"&lt;&gt;"&amp;C2189,'CARNET DE SOUDURE'!$M$7:$M$3006,"&lt;&gt;")+COUNTIFS('CARNET DE SOUDURE'!$O$7:$O$3006,B2189,'CARNET DE SOUDURE'!$P$7:$P$3006,"&lt;&gt;"&amp;C2189,'CARNET DE SOUDURE'!$P$7:$P$3006,"&lt;&gt;")&gt;0,"⚠ DIFFÉRENTE","OK"))</f>
        <v/>
      </c>
      <c r="F2189" s="147"/>
      <c r="G2189" s="80"/>
      <c r="H2189" s="83"/>
      <c r="I2189" s="148" t="str">
        <f aca="false">IF(B2189="","",IFERROR(INDEX('CARNET DE SOUDURE'!$B$7:$B$3006,MATCH(B2189,'CARNET DE SOUDURE'!$L$7:$L$3006,0)),IFERROR(INDEX('CARNET DE SOUDURE'!$B$7:$B$3006,MATCH(B2189,'CARNET DE SOUDURE'!$O$7:$O$3006,0)),"")))</f>
        <v/>
      </c>
      <c r="J2189" s="82" t="str">
        <f aca="false">IF(B2189="","",IFERROR(INDEX('CARNET DE SOUDURE'!$E$7:$E$3006,MATCH(B2189,'CARNET DE SOUDURE'!$O$7:$O$3006,0)),""))</f>
        <v/>
      </c>
      <c r="K2189" s="82" t="str">
        <f aca="false">IF(B2189="","",IFERROR(INDEX('CARNET DE SOUDURE'!$E$7:$E$3006,MATCH(B2189,'CARNET DE SOUDURE'!$L$7:$L$3006,0)),""))</f>
        <v/>
      </c>
      <c r="L2189" s="82" t="str">
        <f aca="false">IF(B2189="","",IFERROR(INDEX('CARNET DE SOUDURE'!$D$7:$D$3006,MATCH(B2189,'CARNET DE SOUDURE'!$L$7:$L$3006,0)),IFERROR(INDEX('CARNET DE SOUDURE'!$D$7:$D$3006,MATCH(B2189,'CARNET DE SOUDURE'!$O$7:$O$3006,0)),"")))</f>
        <v/>
      </c>
      <c r="M2189" s="82" t="str">
        <f aca="false">IF(B2189="","",IF(OR(J2189&lt;&gt;"",K2189&lt;&gt;""),"POSÉ EN LIGNE",IF(COUNTIF(BARDAGE!$C$1:$C$5000,B2189)&gt;0,"BARDÉ","EN STOCK")))</f>
        <v/>
      </c>
      <c r="N2189" s="80"/>
    </row>
    <row r="2190" customFormat="false" ht="15" hidden="false" customHeight="false" outlineLevel="0" collapsed="false">
      <c r="A2190" s="82" t="str">
        <f aca="false">IF(B2190="","",ROW()-6)</f>
        <v/>
      </c>
      <c r="B2190" s="145"/>
      <c r="C2190" s="146"/>
      <c r="D2190" s="146"/>
      <c r="E2190" s="82" t="str">
        <f aca="false">IF(B2190="","",IF(COUNTIFS('CARNET DE SOUDURE'!$L$7:$L$3006,B2190,'CARNET DE SOUDURE'!$M$7:$M$3006,"&lt;&gt;"&amp;C2190,'CARNET DE SOUDURE'!$M$7:$M$3006,"&lt;&gt;")+COUNTIFS('CARNET DE SOUDURE'!$O$7:$O$3006,B2190,'CARNET DE SOUDURE'!$P$7:$P$3006,"&lt;&gt;"&amp;C2190,'CARNET DE SOUDURE'!$P$7:$P$3006,"&lt;&gt;")&gt;0,"⚠ DIFFÉRENTE","OK"))</f>
        <v/>
      </c>
      <c r="F2190" s="147"/>
      <c r="G2190" s="80"/>
      <c r="H2190" s="83"/>
      <c r="I2190" s="148" t="str">
        <f aca="false">IF(B2190="","",IFERROR(INDEX('CARNET DE SOUDURE'!$B$7:$B$3006,MATCH(B2190,'CARNET DE SOUDURE'!$L$7:$L$3006,0)),IFERROR(INDEX('CARNET DE SOUDURE'!$B$7:$B$3006,MATCH(B2190,'CARNET DE SOUDURE'!$O$7:$O$3006,0)),"")))</f>
        <v/>
      </c>
      <c r="J2190" s="82" t="str">
        <f aca="false">IF(B2190="","",IFERROR(INDEX('CARNET DE SOUDURE'!$E$7:$E$3006,MATCH(B2190,'CARNET DE SOUDURE'!$O$7:$O$3006,0)),""))</f>
        <v/>
      </c>
      <c r="K2190" s="82" t="str">
        <f aca="false">IF(B2190="","",IFERROR(INDEX('CARNET DE SOUDURE'!$E$7:$E$3006,MATCH(B2190,'CARNET DE SOUDURE'!$L$7:$L$3006,0)),""))</f>
        <v/>
      </c>
      <c r="L2190" s="82" t="str">
        <f aca="false">IF(B2190="","",IFERROR(INDEX('CARNET DE SOUDURE'!$D$7:$D$3006,MATCH(B2190,'CARNET DE SOUDURE'!$L$7:$L$3006,0)),IFERROR(INDEX('CARNET DE SOUDURE'!$D$7:$D$3006,MATCH(B2190,'CARNET DE SOUDURE'!$O$7:$O$3006,0)),"")))</f>
        <v/>
      </c>
      <c r="M2190" s="82" t="str">
        <f aca="false">IF(B2190="","",IF(OR(J2190&lt;&gt;"",K2190&lt;&gt;""),"POSÉ EN LIGNE",IF(COUNTIF(BARDAGE!$C$1:$C$5000,B2190)&gt;0,"BARDÉ","EN STOCK")))</f>
        <v/>
      </c>
      <c r="N2190" s="80"/>
    </row>
    <row r="2191" customFormat="false" ht="15" hidden="false" customHeight="false" outlineLevel="0" collapsed="false">
      <c r="A2191" s="82" t="str">
        <f aca="false">IF(B2191="","",ROW()-6)</f>
        <v/>
      </c>
      <c r="B2191" s="145"/>
      <c r="C2191" s="146"/>
      <c r="D2191" s="146"/>
      <c r="E2191" s="82" t="str">
        <f aca="false">IF(B2191="","",IF(COUNTIFS('CARNET DE SOUDURE'!$L$7:$L$3006,B2191,'CARNET DE SOUDURE'!$M$7:$M$3006,"&lt;&gt;"&amp;C2191,'CARNET DE SOUDURE'!$M$7:$M$3006,"&lt;&gt;")+COUNTIFS('CARNET DE SOUDURE'!$O$7:$O$3006,B2191,'CARNET DE SOUDURE'!$P$7:$P$3006,"&lt;&gt;"&amp;C2191,'CARNET DE SOUDURE'!$P$7:$P$3006,"&lt;&gt;")&gt;0,"⚠ DIFFÉRENTE","OK"))</f>
        <v/>
      </c>
      <c r="F2191" s="147"/>
      <c r="G2191" s="80"/>
      <c r="H2191" s="83"/>
      <c r="I2191" s="148" t="str">
        <f aca="false">IF(B2191="","",IFERROR(INDEX('CARNET DE SOUDURE'!$B$7:$B$3006,MATCH(B2191,'CARNET DE SOUDURE'!$L$7:$L$3006,0)),IFERROR(INDEX('CARNET DE SOUDURE'!$B$7:$B$3006,MATCH(B2191,'CARNET DE SOUDURE'!$O$7:$O$3006,0)),"")))</f>
        <v/>
      </c>
      <c r="J2191" s="82" t="str">
        <f aca="false">IF(B2191="","",IFERROR(INDEX('CARNET DE SOUDURE'!$E$7:$E$3006,MATCH(B2191,'CARNET DE SOUDURE'!$O$7:$O$3006,0)),""))</f>
        <v/>
      </c>
      <c r="K2191" s="82" t="str">
        <f aca="false">IF(B2191="","",IFERROR(INDEX('CARNET DE SOUDURE'!$E$7:$E$3006,MATCH(B2191,'CARNET DE SOUDURE'!$L$7:$L$3006,0)),""))</f>
        <v/>
      </c>
      <c r="L2191" s="82" t="str">
        <f aca="false">IF(B2191="","",IFERROR(INDEX('CARNET DE SOUDURE'!$D$7:$D$3006,MATCH(B2191,'CARNET DE SOUDURE'!$L$7:$L$3006,0)),IFERROR(INDEX('CARNET DE SOUDURE'!$D$7:$D$3006,MATCH(B2191,'CARNET DE SOUDURE'!$O$7:$O$3006,0)),"")))</f>
        <v/>
      </c>
      <c r="M2191" s="82" t="str">
        <f aca="false">IF(B2191="","",IF(OR(J2191&lt;&gt;"",K2191&lt;&gt;""),"POSÉ EN LIGNE",IF(COUNTIF(BARDAGE!$C$1:$C$5000,B2191)&gt;0,"BARDÉ","EN STOCK")))</f>
        <v/>
      </c>
      <c r="N2191" s="80"/>
    </row>
    <row r="2192" customFormat="false" ht="15" hidden="false" customHeight="false" outlineLevel="0" collapsed="false">
      <c r="A2192" s="82" t="str">
        <f aca="false">IF(B2192="","",ROW()-6)</f>
        <v/>
      </c>
      <c r="B2192" s="145"/>
      <c r="C2192" s="146"/>
      <c r="D2192" s="146"/>
      <c r="E2192" s="82" t="str">
        <f aca="false">IF(B2192="","",IF(COUNTIFS('CARNET DE SOUDURE'!$L$7:$L$3006,B2192,'CARNET DE SOUDURE'!$M$7:$M$3006,"&lt;&gt;"&amp;C2192,'CARNET DE SOUDURE'!$M$7:$M$3006,"&lt;&gt;")+COUNTIFS('CARNET DE SOUDURE'!$O$7:$O$3006,B2192,'CARNET DE SOUDURE'!$P$7:$P$3006,"&lt;&gt;"&amp;C2192,'CARNET DE SOUDURE'!$P$7:$P$3006,"&lt;&gt;")&gt;0,"⚠ DIFFÉRENTE","OK"))</f>
        <v/>
      </c>
      <c r="F2192" s="147"/>
      <c r="G2192" s="80"/>
      <c r="H2192" s="83"/>
      <c r="I2192" s="148" t="str">
        <f aca="false">IF(B2192="","",IFERROR(INDEX('CARNET DE SOUDURE'!$B$7:$B$3006,MATCH(B2192,'CARNET DE SOUDURE'!$L$7:$L$3006,0)),IFERROR(INDEX('CARNET DE SOUDURE'!$B$7:$B$3006,MATCH(B2192,'CARNET DE SOUDURE'!$O$7:$O$3006,0)),"")))</f>
        <v/>
      </c>
      <c r="J2192" s="82" t="str">
        <f aca="false">IF(B2192="","",IFERROR(INDEX('CARNET DE SOUDURE'!$E$7:$E$3006,MATCH(B2192,'CARNET DE SOUDURE'!$O$7:$O$3006,0)),""))</f>
        <v/>
      </c>
      <c r="K2192" s="82" t="str">
        <f aca="false">IF(B2192="","",IFERROR(INDEX('CARNET DE SOUDURE'!$E$7:$E$3006,MATCH(B2192,'CARNET DE SOUDURE'!$L$7:$L$3006,0)),""))</f>
        <v/>
      </c>
      <c r="L2192" s="82" t="str">
        <f aca="false">IF(B2192="","",IFERROR(INDEX('CARNET DE SOUDURE'!$D$7:$D$3006,MATCH(B2192,'CARNET DE SOUDURE'!$L$7:$L$3006,0)),IFERROR(INDEX('CARNET DE SOUDURE'!$D$7:$D$3006,MATCH(B2192,'CARNET DE SOUDURE'!$O$7:$O$3006,0)),"")))</f>
        <v/>
      </c>
      <c r="M2192" s="82" t="str">
        <f aca="false">IF(B2192="","",IF(OR(J2192&lt;&gt;"",K2192&lt;&gt;""),"POSÉ EN LIGNE",IF(COUNTIF(BARDAGE!$C$1:$C$5000,B2192)&gt;0,"BARDÉ","EN STOCK")))</f>
        <v/>
      </c>
      <c r="N2192" s="80"/>
    </row>
    <row r="2193" customFormat="false" ht="15" hidden="false" customHeight="false" outlineLevel="0" collapsed="false">
      <c r="A2193" s="82" t="str">
        <f aca="false">IF(B2193="","",ROW()-6)</f>
        <v/>
      </c>
      <c r="B2193" s="145"/>
      <c r="C2193" s="146"/>
      <c r="D2193" s="146"/>
      <c r="E2193" s="82" t="str">
        <f aca="false">IF(B2193="","",IF(COUNTIFS('CARNET DE SOUDURE'!$L$7:$L$3006,B2193,'CARNET DE SOUDURE'!$M$7:$M$3006,"&lt;&gt;"&amp;C2193,'CARNET DE SOUDURE'!$M$7:$M$3006,"&lt;&gt;")+COUNTIFS('CARNET DE SOUDURE'!$O$7:$O$3006,B2193,'CARNET DE SOUDURE'!$P$7:$P$3006,"&lt;&gt;"&amp;C2193,'CARNET DE SOUDURE'!$P$7:$P$3006,"&lt;&gt;")&gt;0,"⚠ DIFFÉRENTE","OK"))</f>
        <v/>
      </c>
      <c r="F2193" s="147"/>
      <c r="G2193" s="80"/>
      <c r="H2193" s="83"/>
      <c r="I2193" s="148" t="str">
        <f aca="false">IF(B2193="","",IFERROR(INDEX('CARNET DE SOUDURE'!$B$7:$B$3006,MATCH(B2193,'CARNET DE SOUDURE'!$L$7:$L$3006,0)),IFERROR(INDEX('CARNET DE SOUDURE'!$B$7:$B$3006,MATCH(B2193,'CARNET DE SOUDURE'!$O$7:$O$3006,0)),"")))</f>
        <v/>
      </c>
      <c r="J2193" s="82" t="str">
        <f aca="false">IF(B2193="","",IFERROR(INDEX('CARNET DE SOUDURE'!$E$7:$E$3006,MATCH(B2193,'CARNET DE SOUDURE'!$O$7:$O$3006,0)),""))</f>
        <v/>
      </c>
      <c r="K2193" s="82" t="str">
        <f aca="false">IF(B2193="","",IFERROR(INDEX('CARNET DE SOUDURE'!$E$7:$E$3006,MATCH(B2193,'CARNET DE SOUDURE'!$L$7:$L$3006,0)),""))</f>
        <v/>
      </c>
      <c r="L2193" s="82" t="str">
        <f aca="false">IF(B2193="","",IFERROR(INDEX('CARNET DE SOUDURE'!$D$7:$D$3006,MATCH(B2193,'CARNET DE SOUDURE'!$L$7:$L$3006,0)),IFERROR(INDEX('CARNET DE SOUDURE'!$D$7:$D$3006,MATCH(B2193,'CARNET DE SOUDURE'!$O$7:$O$3006,0)),"")))</f>
        <v/>
      </c>
      <c r="M2193" s="82" t="str">
        <f aca="false">IF(B2193="","",IF(OR(J2193&lt;&gt;"",K2193&lt;&gt;""),"POSÉ EN LIGNE",IF(COUNTIF(BARDAGE!$C$1:$C$5000,B2193)&gt;0,"BARDÉ","EN STOCK")))</f>
        <v/>
      </c>
      <c r="N2193" s="80"/>
    </row>
    <row r="2194" customFormat="false" ht="15" hidden="false" customHeight="false" outlineLevel="0" collapsed="false">
      <c r="A2194" s="82" t="str">
        <f aca="false">IF(B2194="","",ROW()-6)</f>
        <v/>
      </c>
      <c r="B2194" s="145"/>
      <c r="C2194" s="146"/>
      <c r="D2194" s="146"/>
      <c r="E2194" s="82" t="str">
        <f aca="false">IF(B2194="","",IF(COUNTIFS('CARNET DE SOUDURE'!$L$7:$L$3006,B2194,'CARNET DE SOUDURE'!$M$7:$M$3006,"&lt;&gt;"&amp;C2194,'CARNET DE SOUDURE'!$M$7:$M$3006,"&lt;&gt;")+COUNTIFS('CARNET DE SOUDURE'!$O$7:$O$3006,B2194,'CARNET DE SOUDURE'!$P$7:$P$3006,"&lt;&gt;"&amp;C2194,'CARNET DE SOUDURE'!$P$7:$P$3006,"&lt;&gt;")&gt;0,"⚠ DIFFÉRENTE","OK"))</f>
        <v/>
      </c>
      <c r="F2194" s="147"/>
      <c r="G2194" s="80"/>
      <c r="H2194" s="83"/>
      <c r="I2194" s="148" t="str">
        <f aca="false">IF(B2194="","",IFERROR(INDEX('CARNET DE SOUDURE'!$B$7:$B$3006,MATCH(B2194,'CARNET DE SOUDURE'!$L$7:$L$3006,0)),IFERROR(INDEX('CARNET DE SOUDURE'!$B$7:$B$3006,MATCH(B2194,'CARNET DE SOUDURE'!$O$7:$O$3006,0)),"")))</f>
        <v/>
      </c>
      <c r="J2194" s="82" t="str">
        <f aca="false">IF(B2194="","",IFERROR(INDEX('CARNET DE SOUDURE'!$E$7:$E$3006,MATCH(B2194,'CARNET DE SOUDURE'!$O$7:$O$3006,0)),""))</f>
        <v/>
      </c>
      <c r="K2194" s="82" t="str">
        <f aca="false">IF(B2194="","",IFERROR(INDEX('CARNET DE SOUDURE'!$E$7:$E$3006,MATCH(B2194,'CARNET DE SOUDURE'!$L$7:$L$3006,0)),""))</f>
        <v/>
      </c>
      <c r="L2194" s="82" t="str">
        <f aca="false">IF(B2194="","",IFERROR(INDEX('CARNET DE SOUDURE'!$D$7:$D$3006,MATCH(B2194,'CARNET DE SOUDURE'!$L$7:$L$3006,0)),IFERROR(INDEX('CARNET DE SOUDURE'!$D$7:$D$3006,MATCH(B2194,'CARNET DE SOUDURE'!$O$7:$O$3006,0)),"")))</f>
        <v/>
      </c>
      <c r="M2194" s="82" t="str">
        <f aca="false">IF(B2194="","",IF(OR(J2194&lt;&gt;"",K2194&lt;&gt;""),"POSÉ EN LIGNE",IF(COUNTIF(BARDAGE!$C$1:$C$5000,B2194)&gt;0,"BARDÉ","EN STOCK")))</f>
        <v/>
      </c>
      <c r="N2194" s="80"/>
    </row>
    <row r="2195" customFormat="false" ht="15" hidden="false" customHeight="false" outlineLevel="0" collapsed="false">
      <c r="A2195" s="82" t="str">
        <f aca="false">IF(B2195="","",ROW()-6)</f>
        <v/>
      </c>
      <c r="B2195" s="145"/>
      <c r="C2195" s="146"/>
      <c r="D2195" s="146"/>
      <c r="E2195" s="82" t="str">
        <f aca="false">IF(B2195="","",IF(COUNTIFS('CARNET DE SOUDURE'!$L$7:$L$3006,B2195,'CARNET DE SOUDURE'!$M$7:$M$3006,"&lt;&gt;"&amp;C2195,'CARNET DE SOUDURE'!$M$7:$M$3006,"&lt;&gt;")+COUNTIFS('CARNET DE SOUDURE'!$O$7:$O$3006,B2195,'CARNET DE SOUDURE'!$P$7:$P$3006,"&lt;&gt;"&amp;C2195,'CARNET DE SOUDURE'!$P$7:$P$3006,"&lt;&gt;")&gt;0,"⚠ DIFFÉRENTE","OK"))</f>
        <v/>
      </c>
      <c r="F2195" s="147"/>
      <c r="G2195" s="80"/>
      <c r="H2195" s="83"/>
      <c r="I2195" s="148" t="str">
        <f aca="false">IF(B2195="","",IFERROR(INDEX('CARNET DE SOUDURE'!$B$7:$B$3006,MATCH(B2195,'CARNET DE SOUDURE'!$L$7:$L$3006,0)),IFERROR(INDEX('CARNET DE SOUDURE'!$B$7:$B$3006,MATCH(B2195,'CARNET DE SOUDURE'!$O$7:$O$3006,0)),"")))</f>
        <v/>
      </c>
      <c r="J2195" s="82" t="str">
        <f aca="false">IF(B2195="","",IFERROR(INDEX('CARNET DE SOUDURE'!$E$7:$E$3006,MATCH(B2195,'CARNET DE SOUDURE'!$O$7:$O$3006,0)),""))</f>
        <v/>
      </c>
      <c r="K2195" s="82" t="str">
        <f aca="false">IF(B2195="","",IFERROR(INDEX('CARNET DE SOUDURE'!$E$7:$E$3006,MATCH(B2195,'CARNET DE SOUDURE'!$L$7:$L$3006,0)),""))</f>
        <v/>
      </c>
      <c r="L2195" s="82" t="str">
        <f aca="false">IF(B2195="","",IFERROR(INDEX('CARNET DE SOUDURE'!$D$7:$D$3006,MATCH(B2195,'CARNET DE SOUDURE'!$L$7:$L$3006,0)),IFERROR(INDEX('CARNET DE SOUDURE'!$D$7:$D$3006,MATCH(B2195,'CARNET DE SOUDURE'!$O$7:$O$3006,0)),"")))</f>
        <v/>
      </c>
      <c r="M2195" s="82" t="str">
        <f aca="false">IF(B2195="","",IF(OR(J2195&lt;&gt;"",K2195&lt;&gt;""),"POSÉ EN LIGNE",IF(COUNTIF(BARDAGE!$C$1:$C$5000,B2195)&gt;0,"BARDÉ","EN STOCK")))</f>
        <v/>
      </c>
      <c r="N2195" s="80"/>
    </row>
    <row r="2196" customFormat="false" ht="15" hidden="false" customHeight="false" outlineLevel="0" collapsed="false">
      <c r="A2196" s="82" t="str">
        <f aca="false">IF(B2196="","",ROW()-6)</f>
        <v/>
      </c>
      <c r="B2196" s="145"/>
      <c r="C2196" s="146"/>
      <c r="D2196" s="146"/>
      <c r="E2196" s="82" t="str">
        <f aca="false">IF(B2196="","",IF(COUNTIFS('CARNET DE SOUDURE'!$L$7:$L$3006,B2196,'CARNET DE SOUDURE'!$M$7:$M$3006,"&lt;&gt;"&amp;C2196,'CARNET DE SOUDURE'!$M$7:$M$3006,"&lt;&gt;")+COUNTIFS('CARNET DE SOUDURE'!$O$7:$O$3006,B2196,'CARNET DE SOUDURE'!$P$7:$P$3006,"&lt;&gt;"&amp;C2196,'CARNET DE SOUDURE'!$P$7:$P$3006,"&lt;&gt;")&gt;0,"⚠ DIFFÉRENTE","OK"))</f>
        <v/>
      </c>
      <c r="F2196" s="147"/>
      <c r="G2196" s="80"/>
      <c r="H2196" s="83"/>
      <c r="I2196" s="148" t="str">
        <f aca="false">IF(B2196="","",IFERROR(INDEX('CARNET DE SOUDURE'!$B$7:$B$3006,MATCH(B2196,'CARNET DE SOUDURE'!$L$7:$L$3006,0)),IFERROR(INDEX('CARNET DE SOUDURE'!$B$7:$B$3006,MATCH(B2196,'CARNET DE SOUDURE'!$O$7:$O$3006,0)),"")))</f>
        <v/>
      </c>
      <c r="J2196" s="82" t="str">
        <f aca="false">IF(B2196="","",IFERROR(INDEX('CARNET DE SOUDURE'!$E$7:$E$3006,MATCH(B2196,'CARNET DE SOUDURE'!$O$7:$O$3006,0)),""))</f>
        <v/>
      </c>
      <c r="K2196" s="82" t="str">
        <f aca="false">IF(B2196="","",IFERROR(INDEX('CARNET DE SOUDURE'!$E$7:$E$3006,MATCH(B2196,'CARNET DE SOUDURE'!$L$7:$L$3006,0)),""))</f>
        <v/>
      </c>
      <c r="L2196" s="82" t="str">
        <f aca="false">IF(B2196="","",IFERROR(INDEX('CARNET DE SOUDURE'!$D$7:$D$3006,MATCH(B2196,'CARNET DE SOUDURE'!$L$7:$L$3006,0)),IFERROR(INDEX('CARNET DE SOUDURE'!$D$7:$D$3006,MATCH(B2196,'CARNET DE SOUDURE'!$O$7:$O$3006,0)),"")))</f>
        <v/>
      </c>
      <c r="M2196" s="82" t="str">
        <f aca="false">IF(B2196="","",IF(OR(J2196&lt;&gt;"",K2196&lt;&gt;""),"POSÉ EN LIGNE",IF(COUNTIF(BARDAGE!$C$1:$C$5000,B2196)&gt;0,"BARDÉ","EN STOCK")))</f>
        <v/>
      </c>
      <c r="N2196" s="80"/>
    </row>
    <row r="2197" customFormat="false" ht="15" hidden="false" customHeight="false" outlineLevel="0" collapsed="false">
      <c r="A2197" s="82" t="str">
        <f aca="false">IF(B2197="","",ROW()-6)</f>
        <v/>
      </c>
      <c r="B2197" s="145"/>
      <c r="C2197" s="146"/>
      <c r="D2197" s="146"/>
      <c r="E2197" s="82" t="str">
        <f aca="false">IF(B2197="","",IF(COUNTIFS('CARNET DE SOUDURE'!$L$7:$L$3006,B2197,'CARNET DE SOUDURE'!$M$7:$M$3006,"&lt;&gt;"&amp;C2197,'CARNET DE SOUDURE'!$M$7:$M$3006,"&lt;&gt;")+COUNTIFS('CARNET DE SOUDURE'!$O$7:$O$3006,B2197,'CARNET DE SOUDURE'!$P$7:$P$3006,"&lt;&gt;"&amp;C2197,'CARNET DE SOUDURE'!$P$7:$P$3006,"&lt;&gt;")&gt;0,"⚠ DIFFÉRENTE","OK"))</f>
        <v/>
      </c>
      <c r="F2197" s="147"/>
      <c r="G2197" s="80"/>
      <c r="H2197" s="83"/>
      <c r="I2197" s="148" t="str">
        <f aca="false">IF(B2197="","",IFERROR(INDEX('CARNET DE SOUDURE'!$B$7:$B$3006,MATCH(B2197,'CARNET DE SOUDURE'!$L$7:$L$3006,0)),IFERROR(INDEX('CARNET DE SOUDURE'!$B$7:$B$3006,MATCH(B2197,'CARNET DE SOUDURE'!$O$7:$O$3006,0)),"")))</f>
        <v/>
      </c>
      <c r="J2197" s="82" t="str">
        <f aca="false">IF(B2197="","",IFERROR(INDEX('CARNET DE SOUDURE'!$E$7:$E$3006,MATCH(B2197,'CARNET DE SOUDURE'!$O$7:$O$3006,0)),""))</f>
        <v/>
      </c>
      <c r="K2197" s="82" t="str">
        <f aca="false">IF(B2197="","",IFERROR(INDEX('CARNET DE SOUDURE'!$E$7:$E$3006,MATCH(B2197,'CARNET DE SOUDURE'!$L$7:$L$3006,0)),""))</f>
        <v/>
      </c>
      <c r="L2197" s="82" t="str">
        <f aca="false">IF(B2197="","",IFERROR(INDEX('CARNET DE SOUDURE'!$D$7:$D$3006,MATCH(B2197,'CARNET DE SOUDURE'!$L$7:$L$3006,0)),IFERROR(INDEX('CARNET DE SOUDURE'!$D$7:$D$3006,MATCH(B2197,'CARNET DE SOUDURE'!$O$7:$O$3006,0)),"")))</f>
        <v/>
      </c>
      <c r="M2197" s="82" t="str">
        <f aca="false">IF(B2197="","",IF(OR(J2197&lt;&gt;"",K2197&lt;&gt;""),"POSÉ EN LIGNE",IF(COUNTIF(BARDAGE!$C$1:$C$5000,B2197)&gt;0,"BARDÉ","EN STOCK")))</f>
        <v/>
      </c>
      <c r="N2197" s="80"/>
    </row>
    <row r="2198" customFormat="false" ht="15" hidden="false" customHeight="false" outlineLevel="0" collapsed="false">
      <c r="A2198" s="82" t="str">
        <f aca="false">IF(B2198="","",ROW()-6)</f>
        <v/>
      </c>
      <c r="B2198" s="145"/>
      <c r="C2198" s="146"/>
      <c r="D2198" s="146"/>
      <c r="E2198" s="82" t="str">
        <f aca="false">IF(B2198="","",IF(COUNTIFS('CARNET DE SOUDURE'!$L$7:$L$3006,B2198,'CARNET DE SOUDURE'!$M$7:$M$3006,"&lt;&gt;"&amp;C2198,'CARNET DE SOUDURE'!$M$7:$M$3006,"&lt;&gt;")+COUNTIFS('CARNET DE SOUDURE'!$O$7:$O$3006,B2198,'CARNET DE SOUDURE'!$P$7:$P$3006,"&lt;&gt;"&amp;C2198,'CARNET DE SOUDURE'!$P$7:$P$3006,"&lt;&gt;")&gt;0,"⚠ DIFFÉRENTE","OK"))</f>
        <v/>
      </c>
      <c r="F2198" s="147"/>
      <c r="G2198" s="80"/>
      <c r="H2198" s="83"/>
      <c r="I2198" s="148" t="str">
        <f aca="false">IF(B2198="","",IFERROR(INDEX('CARNET DE SOUDURE'!$B$7:$B$3006,MATCH(B2198,'CARNET DE SOUDURE'!$L$7:$L$3006,0)),IFERROR(INDEX('CARNET DE SOUDURE'!$B$7:$B$3006,MATCH(B2198,'CARNET DE SOUDURE'!$O$7:$O$3006,0)),"")))</f>
        <v/>
      </c>
      <c r="J2198" s="82" t="str">
        <f aca="false">IF(B2198="","",IFERROR(INDEX('CARNET DE SOUDURE'!$E$7:$E$3006,MATCH(B2198,'CARNET DE SOUDURE'!$O$7:$O$3006,0)),""))</f>
        <v/>
      </c>
      <c r="K2198" s="82" t="str">
        <f aca="false">IF(B2198="","",IFERROR(INDEX('CARNET DE SOUDURE'!$E$7:$E$3006,MATCH(B2198,'CARNET DE SOUDURE'!$L$7:$L$3006,0)),""))</f>
        <v/>
      </c>
      <c r="L2198" s="82" t="str">
        <f aca="false">IF(B2198="","",IFERROR(INDEX('CARNET DE SOUDURE'!$D$7:$D$3006,MATCH(B2198,'CARNET DE SOUDURE'!$L$7:$L$3006,0)),IFERROR(INDEX('CARNET DE SOUDURE'!$D$7:$D$3006,MATCH(B2198,'CARNET DE SOUDURE'!$O$7:$O$3006,0)),"")))</f>
        <v/>
      </c>
      <c r="M2198" s="82" t="str">
        <f aca="false">IF(B2198="","",IF(OR(J2198&lt;&gt;"",K2198&lt;&gt;""),"POSÉ EN LIGNE",IF(COUNTIF(BARDAGE!$C$1:$C$5000,B2198)&gt;0,"BARDÉ","EN STOCK")))</f>
        <v/>
      </c>
      <c r="N2198" s="80"/>
    </row>
    <row r="2199" customFormat="false" ht="15" hidden="false" customHeight="false" outlineLevel="0" collapsed="false">
      <c r="A2199" s="82" t="str">
        <f aca="false">IF(B2199="","",ROW()-6)</f>
        <v/>
      </c>
      <c r="B2199" s="145"/>
      <c r="C2199" s="146"/>
      <c r="D2199" s="146"/>
      <c r="E2199" s="82" t="str">
        <f aca="false">IF(B2199="","",IF(COUNTIFS('CARNET DE SOUDURE'!$L$7:$L$3006,B2199,'CARNET DE SOUDURE'!$M$7:$M$3006,"&lt;&gt;"&amp;C2199,'CARNET DE SOUDURE'!$M$7:$M$3006,"&lt;&gt;")+COUNTIFS('CARNET DE SOUDURE'!$O$7:$O$3006,B2199,'CARNET DE SOUDURE'!$P$7:$P$3006,"&lt;&gt;"&amp;C2199,'CARNET DE SOUDURE'!$P$7:$P$3006,"&lt;&gt;")&gt;0,"⚠ DIFFÉRENTE","OK"))</f>
        <v/>
      </c>
      <c r="F2199" s="147"/>
      <c r="G2199" s="80"/>
      <c r="H2199" s="83"/>
      <c r="I2199" s="148" t="str">
        <f aca="false">IF(B2199="","",IFERROR(INDEX('CARNET DE SOUDURE'!$B$7:$B$3006,MATCH(B2199,'CARNET DE SOUDURE'!$L$7:$L$3006,0)),IFERROR(INDEX('CARNET DE SOUDURE'!$B$7:$B$3006,MATCH(B2199,'CARNET DE SOUDURE'!$O$7:$O$3006,0)),"")))</f>
        <v/>
      </c>
      <c r="J2199" s="82" t="str">
        <f aca="false">IF(B2199="","",IFERROR(INDEX('CARNET DE SOUDURE'!$E$7:$E$3006,MATCH(B2199,'CARNET DE SOUDURE'!$O$7:$O$3006,0)),""))</f>
        <v/>
      </c>
      <c r="K2199" s="82" t="str">
        <f aca="false">IF(B2199="","",IFERROR(INDEX('CARNET DE SOUDURE'!$E$7:$E$3006,MATCH(B2199,'CARNET DE SOUDURE'!$L$7:$L$3006,0)),""))</f>
        <v/>
      </c>
      <c r="L2199" s="82" t="str">
        <f aca="false">IF(B2199="","",IFERROR(INDEX('CARNET DE SOUDURE'!$D$7:$D$3006,MATCH(B2199,'CARNET DE SOUDURE'!$L$7:$L$3006,0)),IFERROR(INDEX('CARNET DE SOUDURE'!$D$7:$D$3006,MATCH(B2199,'CARNET DE SOUDURE'!$O$7:$O$3006,0)),"")))</f>
        <v/>
      </c>
      <c r="M2199" s="82" t="str">
        <f aca="false">IF(B2199="","",IF(OR(J2199&lt;&gt;"",K2199&lt;&gt;""),"POSÉ EN LIGNE",IF(COUNTIF(BARDAGE!$C$1:$C$5000,B2199)&gt;0,"BARDÉ","EN STOCK")))</f>
        <v/>
      </c>
      <c r="N2199" s="80"/>
    </row>
    <row r="2200" customFormat="false" ht="15" hidden="false" customHeight="false" outlineLevel="0" collapsed="false">
      <c r="A2200" s="82" t="str">
        <f aca="false">IF(B2200="","",ROW()-6)</f>
        <v/>
      </c>
      <c r="B2200" s="145"/>
      <c r="C2200" s="146"/>
      <c r="D2200" s="146"/>
      <c r="E2200" s="82" t="str">
        <f aca="false">IF(B2200="","",IF(COUNTIFS('CARNET DE SOUDURE'!$L$7:$L$3006,B2200,'CARNET DE SOUDURE'!$M$7:$M$3006,"&lt;&gt;"&amp;C2200,'CARNET DE SOUDURE'!$M$7:$M$3006,"&lt;&gt;")+COUNTIFS('CARNET DE SOUDURE'!$O$7:$O$3006,B2200,'CARNET DE SOUDURE'!$P$7:$P$3006,"&lt;&gt;"&amp;C2200,'CARNET DE SOUDURE'!$P$7:$P$3006,"&lt;&gt;")&gt;0,"⚠ DIFFÉRENTE","OK"))</f>
        <v/>
      </c>
      <c r="F2200" s="147"/>
      <c r="G2200" s="80"/>
      <c r="H2200" s="83"/>
      <c r="I2200" s="148" t="str">
        <f aca="false">IF(B2200="","",IFERROR(INDEX('CARNET DE SOUDURE'!$B$7:$B$3006,MATCH(B2200,'CARNET DE SOUDURE'!$L$7:$L$3006,0)),IFERROR(INDEX('CARNET DE SOUDURE'!$B$7:$B$3006,MATCH(B2200,'CARNET DE SOUDURE'!$O$7:$O$3006,0)),"")))</f>
        <v/>
      </c>
      <c r="J2200" s="82" t="str">
        <f aca="false">IF(B2200="","",IFERROR(INDEX('CARNET DE SOUDURE'!$E$7:$E$3006,MATCH(B2200,'CARNET DE SOUDURE'!$O$7:$O$3006,0)),""))</f>
        <v/>
      </c>
      <c r="K2200" s="82" t="str">
        <f aca="false">IF(B2200="","",IFERROR(INDEX('CARNET DE SOUDURE'!$E$7:$E$3006,MATCH(B2200,'CARNET DE SOUDURE'!$L$7:$L$3006,0)),""))</f>
        <v/>
      </c>
      <c r="L2200" s="82" t="str">
        <f aca="false">IF(B2200="","",IFERROR(INDEX('CARNET DE SOUDURE'!$D$7:$D$3006,MATCH(B2200,'CARNET DE SOUDURE'!$L$7:$L$3006,0)),IFERROR(INDEX('CARNET DE SOUDURE'!$D$7:$D$3006,MATCH(B2200,'CARNET DE SOUDURE'!$O$7:$O$3006,0)),"")))</f>
        <v/>
      </c>
      <c r="M2200" s="82" t="str">
        <f aca="false">IF(B2200="","",IF(OR(J2200&lt;&gt;"",K2200&lt;&gt;""),"POSÉ EN LIGNE",IF(COUNTIF(BARDAGE!$C$1:$C$5000,B2200)&gt;0,"BARDÉ","EN STOCK")))</f>
        <v/>
      </c>
      <c r="N2200" s="80"/>
    </row>
    <row r="2201" customFormat="false" ht="15" hidden="false" customHeight="false" outlineLevel="0" collapsed="false">
      <c r="A2201" s="82" t="str">
        <f aca="false">IF(B2201="","",ROW()-6)</f>
        <v/>
      </c>
      <c r="B2201" s="145"/>
      <c r="C2201" s="146"/>
      <c r="D2201" s="146"/>
      <c r="E2201" s="82" t="str">
        <f aca="false">IF(B2201="","",IF(COUNTIFS('CARNET DE SOUDURE'!$L$7:$L$3006,B2201,'CARNET DE SOUDURE'!$M$7:$M$3006,"&lt;&gt;"&amp;C2201,'CARNET DE SOUDURE'!$M$7:$M$3006,"&lt;&gt;")+COUNTIFS('CARNET DE SOUDURE'!$O$7:$O$3006,B2201,'CARNET DE SOUDURE'!$P$7:$P$3006,"&lt;&gt;"&amp;C2201,'CARNET DE SOUDURE'!$P$7:$P$3006,"&lt;&gt;")&gt;0,"⚠ DIFFÉRENTE","OK"))</f>
        <v/>
      </c>
      <c r="F2201" s="147"/>
      <c r="G2201" s="80"/>
      <c r="H2201" s="83"/>
      <c r="I2201" s="148" t="str">
        <f aca="false">IF(B2201="","",IFERROR(INDEX('CARNET DE SOUDURE'!$B$7:$B$3006,MATCH(B2201,'CARNET DE SOUDURE'!$L$7:$L$3006,0)),IFERROR(INDEX('CARNET DE SOUDURE'!$B$7:$B$3006,MATCH(B2201,'CARNET DE SOUDURE'!$O$7:$O$3006,0)),"")))</f>
        <v/>
      </c>
      <c r="J2201" s="82" t="str">
        <f aca="false">IF(B2201="","",IFERROR(INDEX('CARNET DE SOUDURE'!$E$7:$E$3006,MATCH(B2201,'CARNET DE SOUDURE'!$O$7:$O$3006,0)),""))</f>
        <v/>
      </c>
      <c r="K2201" s="82" t="str">
        <f aca="false">IF(B2201="","",IFERROR(INDEX('CARNET DE SOUDURE'!$E$7:$E$3006,MATCH(B2201,'CARNET DE SOUDURE'!$L$7:$L$3006,0)),""))</f>
        <v/>
      </c>
      <c r="L2201" s="82" t="str">
        <f aca="false">IF(B2201="","",IFERROR(INDEX('CARNET DE SOUDURE'!$D$7:$D$3006,MATCH(B2201,'CARNET DE SOUDURE'!$L$7:$L$3006,0)),IFERROR(INDEX('CARNET DE SOUDURE'!$D$7:$D$3006,MATCH(B2201,'CARNET DE SOUDURE'!$O$7:$O$3006,0)),"")))</f>
        <v/>
      </c>
      <c r="M2201" s="82" t="str">
        <f aca="false">IF(B2201="","",IF(OR(J2201&lt;&gt;"",K2201&lt;&gt;""),"POSÉ EN LIGNE",IF(COUNTIF(BARDAGE!$C$1:$C$5000,B2201)&gt;0,"BARDÉ","EN STOCK")))</f>
        <v/>
      </c>
      <c r="N2201" s="80"/>
    </row>
    <row r="2202" customFormat="false" ht="15" hidden="false" customHeight="false" outlineLevel="0" collapsed="false">
      <c r="A2202" s="82" t="str">
        <f aca="false">IF(B2202="","",ROW()-6)</f>
        <v/>
      </c>
      <c r="B2202" s="145"/>
      <c r="C2202" s="146"/>
      <c r="D2202" s="146"/>
      <c r="E2202" s="82" t="str">
        <f aca="false">IF(B2202="","",IF(COUNTIFS('CARNET DE SOUDURE'!$L$7:$L$3006,B2202,'CARNET DE SOUDURE'!$M$7:$M$3006,"&lt;&gt;"&amp;C2202,'CARNET DE SOUDURE'!$M$7:$M$3006,"&lt;&gt;")+COUNTIFS('CARNET DE SOUDURE'!$O$7:$O$3006,B2202,'CARNET DE SOUDURE'!$P$7:$P$3006,"&lt;&gt;"&amp;C2202,'CARNET DE SOUDURE'!$P$7:$P$3006,"&lt;&gt;")&gt;0,"⚠ DIFFÉRENTE","OK"))</f>
        <v/>
      </c>
      <c r="F2202" s="147"/>
      <c r="G2202" s="80"/>
      <c r="H2202" s="83"/>
      <c r="I2202" s="148" t="str">
        <f aca="false">IF(B2202="","",IFERROR(INDEX('CARNET DE SOUDURE'!$B$7:$B$3006,MATCH(B2202,'CARNET DE SOUDURE'!$L$7:$L$3006,0)),IFERROR(INDEX('CARNET DE SOUDURE'!$B$7:$B$3006,MATCH(B2202,'CARNET DE SOUDURE'!$O$7:$O$3006,0)),"")))</f>
        <v/>
      </c>
      <c r="J2202" s="82" t="str">
        <f aca="false">IF(B2202="","",IFERROR(INDEX('CARNET DE SOUDURE'!$E$7:$E$3006,MATCH(B2202,'CARNET DE SOUDURE'!$O$7:$O$3006,0)),""))</f>
        <v/>
      </c>
      <c r="K2202" s="82" t="str">
        <f aca="false">IF(B2202="","",IFERROR(INDEX('CARNET DE SOUDURE'!$E$7:$E$3006,MATCH(B2202,'CARNET DE SOUDURE'!$L$7:$L$3006,0)),""))</f>
        <v/>
      </c>
      <c r="L2202" s="82" t="str">
        <f aca="false">IF(B2202="","",IFERROR(INDEX('CARNET DE SOUDURE'!$D$7:$D$3006,MATCH(B2202,'CARNET DE SOUDURE'!$L$7:$L$3006,0)),IFERROR(INDEX('CARNET DE SOUDURE'!$D$7:$D$3006,MATCH(B2202,'CARNET DE SOUDURE'!$O$7:$O$3006,0)),"")))</f>
        <v/>
      </c>
      <c r="M2202" s="82" t="str">
        <f aca="false">IF(B2202="","",IF(OR(J2202&lt;&gt;"",K2202&lt;&gt;""),"POSÉ EN LIGNE",IF(COUNTIF(BARDAGE!$C$1:$C$5000,B2202)&gt;0,"BARDÉ","EN STOCK")))</f>
        <v/>
      </c>
      <c r="N2202" s="80"/>
    </row>
    <row r="2203" customFormat="false" ht="15" hidden="false" customHeight="false" outlineLevel="0" collapsed="false">
      <c r="A2203" s="82" t="str">
        <f aca="false">IF(B2203="","",ROW()-6)</f>
        <v/>
      </c>
      <c r="B2203" s="145"/>
      <c r="C2203" s="146"/>
      <c r="D2203" s="146"/>
      <c r="E2203" s="82" t="str">
        <f aca="false">IF(B2203="","",IF(COUNTIFS('CARNET DE SOUDURE'!$L$7:$L$3006,B2203,'CARNET DE SOUDURE'!$M$7:$M$3006,"&lt;&gt;"&amp;C2203,'CARNET DE SOUDURE'!$M$7:$M$3006,"&lt;&gt;")+COUNTIFS('CARNET DE SOUDURE'!$O$7:$O$3006,B2203,'CARNET DE SOUDURE'!$P$7:$P$3006,"&lt;&gt;"&amp;C2203,'CARNET DE SOUDURE'!$P$7:$P$3006,"&lt;&gt;")&gt;0,"⚠ DIFFÉRENTE","OK"))</f>
        <v/>
      </c>
      <c r="F2203" s="147"/>
      <c r="G2203" s="80"/>
      <c r="H2203" s="83"/>
      <c r="I2203" s="148" t="str">
        <f aca="false">IF(B2203="","",IFERROR(INDEX('CARNET DE SOUDURE'!$B$7:$B$3006,MATCH(B2203,'CARNET DE SOUDURE'!$L$7:$L$3006,0)),IFERROR(INDEX('CARNET DE SOUDURE'!$B$7:$B$3006,MATCH(B2203,'CARNET DE SOUDURE'!$O$7:$O$3006,0)),"")))</f>
        <v/>
      </c>
      <c r="J2203" s="82" t="str">
        <f aca="false">IF(B2203="","",IFERROR(INDEX('CARNET DE SOUDURE'!$E$7:$E$3006,MATCH(B2203,'CARNET DE SOUDURE'!$O$7:$O$3006,0)),""))</f>
        <v/>
      </c>
      <c r="K2203" s="82" t="str">
        <f aca="false">IF(B2203="","",IFERROR(INDEX('CARNET DE SOUDURE'!$E$7:$E$3006,MATCH(B2203,'CARNET DE SOUDURE'!$L$7:$L$3006,0)),""))</f>
        <v/>
      </c>
      <c r="L2203" s="82" t="str">
        <f aca="false">IF(B2203="","",IFERROR(INDEX('CARNET DE SOUDURE'!$D$7:$D$3006,MATCH(B2203,'CARNET DE SOUDURE'!$L$7:$L$3006,0)),IFERROR(INDEX('CARNET DE SOUDURE'!$D$7:$D$3006,MATCH(B2203,'CARNET DE SOUDURE'!$O$7:$O$3006,0)),"")))</f>
        <v/>
      </c>
      <c r="M2203" s="82" t="str">
        <f aca="false">IF(B2203="","",IF(OR(J2203&lt;&gt;"",K2203&lt;&gt;""),"POSÉ EN LIGNE",IF(COUNTIF(BARDAGE!$C$1:$C$5000,B2203)&gt;0,"BARDÉ","EN STOCK")))</f>
        <v/>
      </c>
      <c r="N2203" s="80"/>
    </row>
    <row r="2204" customFormat="false" ht="15" hidden="false" customHeight="false" outlineLevel="0" collapsed="false">
      <c r="A2204" s="82" t="str">
        <f aca="false">IF(B2204="","",ROW()-6)</f>
        <v/>
      </c>
      <c r="B2204" s="145"/>
      <c r="C2204" s="146"/>
      <c r="D2204" s="146"/>
      <c r="E2204" s="82" t="str">
        <f aca="false">IF(B2204="","",IF(COUNTIFS('CARNET DE SOUDURE'!$L$7:$L$3006,B2204,'CARNET DE SOUDURE'!$M$7:$M$3006,"&lt;&gt;"&amp;C2204,'CARNET DE SOUDURE'!$M$7:$M$3006,"&lt;&gt;")+COUNTIFS('CARNET DE SOUDURE'!$O$7:$O$3006,B2204,'CARNET DE SOUDURE'!$P$7:$P$3006,"&lt;&gt;"&amp;C2204,'CARNET DE SOUDURE'!$P$7:$P$3006,"&lt;&gt;")&gt;0,"⚠ DIFFÉRENTE","OK"))</f>
        <v/>
      </c>
      <c r="F2204" s="147"/>
      <c r="G2204" s="80"/>
      <c r="H2204" s="83"/>
      <c r="I2204" s="148" t="str">
        <f aca="false">IF(B2204="","",IFERROR(INDEX('CARNET DE SOUDURE'!$B$7:$B$3006,MATCH(B2204,'CARNET DE SOUDURE'!$L$7:$L$3006,0)),IFERROR(INDEX('CARNET DE SOUDURE'!$B$7:$B$3006,MATCH(B2204,'CARNET DE SOUDURE'!$O$7:$O$3006,0)),"")))</f>
        <v/>
      </c>
      <c r="J2204" s="82" t="str">
        <f aca="false">IF(B2204="","",IFERROR(INDEX('CARNET DE SOUDURE'!$E$7:$E$3006,MATCH(B2204,'CARNET DE SOUDURE'!$O$7:$O$3006,0)),""))</f>
        <v/>
      </c>
      <c r="K2204" s="82" t="str">
        <f aca="false">IF(B2204="","",IFERROR(INDEX('CARNET DE SOUDURE'!$E$7:$E$3006,MATCH(B2204,'CARNET DE SOUDURE'!$L$7:$L$3006,0)),""))</f>
        <v/>
      </c>
      <c r="L2204" s="82" t="str">
        <f aca="false">IF(B2204="","",IFERROR(INDEX('CARNET DE SOUDURE'!$D$7:$D$3006,MATCH(B2204,'CARNET DE SOUDURE'!$L$7:$L$3006,0)),IFERROR(INDEX('CARNET DE SOUDURE'!$D$7:$D$3006,MATCH(B2204,'CARNET DE SOUDURE'!$O$7:$O$3006,0)),"")))</f>
        <v/>
      </c>
      <c r="M2204" s="82" t="str">
        <f aca="false">IF(B2204="","",IF(OR(J2204&lt;&gt;"",K2204&lt;&gt;""),"POSÉ EN LIGNE",IF(COUNTIF(BARDAGE!$C$1:$C$5000,B2204)&gt;0,"BARDÉ","EN STOCK")))</f>
        <v/>
      </c>
      <c r="N2204" s="80"/>
    </row>
    <row r="2205" customFormat="false" ht="15" hidden="false" customHeight="false" outlineLevel="0" collapsed="false">
      <c r="A2205" s="82" t="str">
        <f aca="false">IF(B2205="","",ROW()-6)</f>
        <v/>
      </c>
      <c r="B2205" s="145"/>
      <c r="C2205" s="146"/>
      <c r="D2205" s="146"/>
      <c r="E2205" s="82" t="str">
        <f aca="false">IF(B2205="","",IF(COUNTIFS('CARNET DE SOUDURE'!$L$7:$L$3006,B2205,'CARNET DE SOUDURE'!$M$7:$M$3006,"&lt;&gt;"&amp;C2205,'CARNET DE SOUDURE'!$M$7:$M$3006,"&lt;&gt;")+COUNTIFS('CARNET DE SOUDURE'!$O$7:$O$3006,B2205,'CARNET DE SOUDURE'!$P$7:$P$3006,"&lt;&gt;"&amp;C2205,'CARNET DE SOUDURE'!$P$7:$P$3006,"&lt;&gt;")&gt;0,"⚠ DIFFÉRENTE","OK"))</f>
        <v/>
      </c>
      <c r="F2205" s="147"/>
      <c r="G2205" s="80"/>
      <c r="H2205" s="83"/>
      <c r="I2205" s="148" t="str">
        <f aca="false">IF(B2205="","",IFERROR(INDEX('CARNET DE SOUDURE'!$B$7:$B$3006,MATCH(B2205,'CARNET DE SOUDURE'!$L$7:$L$3006,0)),IFERROR(INDEX('CARNET DE SOUDURE'!$B$7:$B$3006,MATCH(B2205,'CARNET DE SOUDURE'!$O$7:$O$3006,0)),"")))</f>
        <v/>
      </c>
      <c r="J2205" s="82" t="str">
        <f aca="false">IF(B2205="","",IFERROR(INDEX('CARNET DE SOUDURE'!$E$7:$E$3006,MATCH(B2205,'CARNET DE SOUDURE'!$O$7:$O$3006,0)),""))</f>
        <v/>
      </c>
      <c r="K2205" s="82" t="str">
        <f aca="false">IF(B2205="","",IFERROR(INDEX('CARNET DE SOUDURE'!$E$7:$E$3006,MATCH(B2205,'CARNET DE SOUDURE'!$L$7:$L$3006,0)),""))</f>
        <v/>
      </c>
      <c r="L2205" s="82" t="str">
        <f aca="false">IF(B2205="","",IFERROR(INDEX('CARNET DE SOUDURE'!$D$7:$D$3006,MATCH(B2205,'CARNET DE SOUDURE'!$L$7:$L$3006,0)),IFERROR(INDEX('CARNET DE SOUDURE'!$D$7:$D$3006,MATCH(B2205,'CARNET DE SOUDURE'!$O$7:$O$3006,0)),"")))</f>
        <v/>
      </c>
      <c r="M2205" s="82" t="str">
        <f aca="false">IF(B2205="","",IF(OR(J2205&lt;&gt;"",K2205&lt;&gt;""),"POSÉ EN LIGNE",IF(COUNTIF(BARDAGE!$C$1:$C$5000,B2205)&gt;0,"BARDÉ","EN STOCK")))</f>
        <v/>
      </c>
      <c r="N2205" s="80"/>
    </row>
    <row r="2206" customFormat="false" ht="15" hidden="false" customHeight="false" outlineLevel="0" collapsed="false">
      <c r="A2206" s="82" t="str">
        <f aca="false">IF(B2206="","",ROW()-6)</f>
        <v/>
      </c>
      <c r="B2206" s="145"/>
      <c r="C2206" s="146"/>
      <c r="D2206" s="146"/>
      <c r="E2206" s="82" t="str">
        <f aca="false">IF(B2206="","",IF(COUNTIFS('CARNET DE SOUDURE'!$L$7:$L$3006,B2206,'CARNET DE SOUDURE'!$M$7:$M$3006,"&lt;&gt;"&amp;C2206,'CARNET DE SOUDURE'!$M$7:$M$3006,"&lt;&gt;")+COUNTIFS('CARNET DE SOUDURE'!$O$7:$O$3006,B2206,'CARNET DE SOUDURE'!$P$7:$P$3006,"&lt;&gt;"&amp;C2206,'CARNET DE SOUDURE'!$P$7:$P$3006,"&lt;&gt;")&gt;0,"⚠ DIFFÉRENTE","OK"))</f>
        <v/>
      </c>
      <c r="F2206" s="147"/>
      <c r="G2206" s="80"/>
      <c r="H2206" s="83"/>
      <c r="I2206" s="148" t="str">
        <f aca="false">IF(B2206="","",IFERROR(INDEX('CARNET DE SOUDURE'!$B$7:$B$3006,MATCH(B2206,'CARNET DE SOUDURE'!$L$7:$L$3006,0)),IFERROR(INDEX('CARNET DE SOUDURE'!$B$7:$B$3006,MATCH(B2206,'CARNET DE SOUDURE'!$O$7:$O$3006,0)),"")))</f>
        <v/>
      </c>
      <c r="J2206" s="82" t="str">
        <f aca="false">IF(B2206="","",IFERROR(INDEX('CARNET DE SOUDURE'!$E$7:$E$3006,MATCH(B2206,'CARNET DE SOUDURE'!$O$7:$O$3006,0)),""))</f>
        <v/>
      </c>
      <c r="K2206" s="82" t="str">
        <f aca="false">IF(B2206="","",IFERROR(INDEX('CARNET DE SOUDURE'!$E$7:$E$3006,MATCH(B2206,'CARNET DE SOUDURE'!$L$7:$L$3006,0)),""))</f>
        <v/>
      </c>
      <c r="L2206" s="82" t="str">
        <f aca="false">IF(B2206="","",IFERROR(INDEX('CARNET DE SOUDURE'!$D$7:$D$3006,MATCH(B2206,'CARNET DE SOUDURE'!$L$7:$L$3006,0)),IFERROR(INDEX('CARNET DE SOUDURE'!$D$7:$D$3006,MATCH(B2206,'CARNET DE SOUDURE'!$O$7:$O$3006,0)),"")))</f>
        <v/>
      </c>
      <c r="M2206" s="82" t="str">
        <f aca="false">IF(B2206="","",IF(OR(J2206&lt;&gt;"",K2206&lt;&gt;""),"POSÉ EN LIGNE",IF(COUNTIF(BARDAGE!$C$1:$C$5000,B2206)&gt;0,"BARDÉ","EN STOCK")))</f>
        <v/>
      </c>
      <c r="N2206" s="80"/>
    </row>
    <row r="2207" customFormat="false" ht="15" hidden="false" customHeight="false" outlineLevel="0" collapsed="false">
      <c r="A2207" s="82" t="str">
        <f aca="false">IF(B2207="","",ROW()-6)</f>
        <v/>
      </c>
      <c r="B2207" s="145"/>
      <c r="C2207" s="146"/>
      <c r="D2207" s="146"/>
      <c r="E2207" s="82" t="str">
        <f aca="false">IF(B2207="","",IF(COUNTIFS('CARNET DE SOUDURE'!$L$7:$L$3006,B2207,'CARNET DE SOUDURE'!$M$7:$M$3006,"&lt;&gt;"&amp;C2207,'CARNET DE SOUDURE'!$M$7:$M$3006,"&lt;&gt;")+COUNTIFS('CARNET DE SOUDURE'!$O$7:$O$3006,B2207,'CARNET DE SOUDURE'!$P$7:$P$3006,"&lt;&gt;"&amp;C2207,'CARNET DE SOUDURE'!$P$7:$P$3006,"&lt;&gt;")&gt;0,"⚠ DIFFÉRENTE","OK"))</f>
        <v/>
      </c>
      <c r="F2207" s="147"/>
      <c r="G2207" s="80"/>
      <c r="H2207" s="83"/>
      <c r="I2207" s="148" t="str">
        <f aca="false">IF(B2207="","",IFERROR(INDEX('CARNET DE SOUDURE'!$B$7:$B$3006,MATCH(B2207,'CARNET DE SOUDURE'!$L$7:$L$3006,0)),IFERROR(INDEX('CARNET DE SOUDURE'!$B$7:$B$3006,MATCH(B2207,'CARNET DE SOUDURE'!$O$7:$O$3006,0)),"")))</f>
        <v/>
      </c>
      <c r="J2207" s="82" t="str">
        <f aca="false">IF(B2207="","",IFERROR(INDEX('CARNET DE SOUDURE'!$E$7:$E$3006,MATCH(B2207,'CARNET DE SOUDURE'!$O$7:$O$3006,0)),""))</f>
        <v/>
      </c>
      <c r="K2207" s="82" t="str">
        <f aca="false">IF(B2207="","",IFERROR(INDEX('CARNET DE SOUDURE'!$E$7:$E$3006,MATCH(B2207,'CARNET DE SOUDURE'!$L$7:$L$3006,0)),""))</f>
        <v/>
      </c>
      <c r="L2207" s="82" t="str">
        <f aca="false">IF(B2207="","",IFERROR(INDEX('CARNET DE SOUDURE'!$D$7:$D$3006,MATCH(B2207,'CARNET DE SOUDURE'!$L$7:$L$3006,0)),IFERROR(INDEX('CARNET DE SOUDURE'!$D$7:$D$3006,MATCH(B2207,'CARNET DE SOUDURE'!$O$7:$O$3006,0)),"")))</f>
        <v/>
      </c>
      <c r="M2207" s="82" t="str">
        <f aca="false">IF(B2207="","",IF(OR(J2207&lt;&gt;"",K2207&lt;&gt;""),"POSÉ EN LIGNE",IF(COUNTIF(BARDAGE!$C$1:$C$5000,B2207)&gt;0,"BARDÉ","EN STOCK")))</f>
        <v/>
      </c>
      <c r="N2207" s="80"/>
    </row>
    <row r="2208" customFormat="false" ht="15" hidden="false" customHeight="false" outlineLevel="0" collapsed="false">
      <c r="A2208" s="82" t="str">
        <f aca="false">IF(B2208="","",ROW()-6)</f>
        <v/>
      </c>
      <c r="B2208" s="145"/>
      <c r="C2208" s="146"/>
      <c r="D2208" s="146"/>
      <c r="E2208" s="82" t="str">
        <f aca="false">IF(B2208="","",IF(COUNTIFS('CARNET DE SOUDURE'!$L$7:$L$3006,B2208,'CARNET DE SOUDURE'!$M$7:$M$3006,"&lt;&gt;"&amp;C2208,'CARNET DE SOUDURE'!$M$7:$M$3006,"&lt;&gt;")+COUNTIFS('CARNET DE SOUDURE'!$O$7:$O$3006,B2208,'CARNET DE SOUDURE'!$P$7:$P$3006,"&lt;&gt;"&amp;C2208,'CARNET DE SOUDURE'!$P$7:$P$3006,"&lt;&gt;")&gt;0,"⚠ DIFFÉRENTE","OK"))</f>
        <v/>
      </c>
      <c r="F2208" s="147"/>
      <c r="G2208" s="80"/>
      <c r="H2208" s="83"/>
      <c r="I2208" s="148" t="str">
        <f aca="false">IF(B2208="","",IFERROR(INDEX('CARNET DE SOUDURE'!$B$7:$B$3006,MATCH(B2208,'CARNET DE SOUDURE'!$L$7:$L$3006,0)),IFERROR(INDEX('CARNET DE SOUDURE'!$B$7:$B$3006,MATCH(B2208,'CARNET DE SOUDURE'!$O$7:$O$3006,0)),"")))</f>
        <v/>
      </c>
      <c r="J2208" s="82" t="str">
        <f aca="false">IF(B2208="","",IFERROR(INDEX('CARNET DE SOUDURE'!$E$7:$E$3006,MATCH(B2208,'CARNET DE SOUDURE'!$O$7:$O$3006,0)),""))</f>
        <v/>
      </c>
      <c r="K2208" s="82" t="str">
        <f aca="false">IF(B2208="","",IFERROR(INDEX('CARNET DE SOUDURE'!$E$7:$E$3006,MATCH(B2208,'CARNET DE SOUDURE'!$L$7:$L$3006,0)),""))</f>
        <v/>
      </c>
      <c r="L2208" s="82" t="str">
        <f aca="false">IF(B2208="","",IFERROR(INDEX('CARNET DE SOUDURE'!$D$7:$D$3006,MATCH(B2208,'CARNET DE SOUDURE'!$L$7:$L$3006,0)),IFERROR(INDEX('CARNET DE SOUDURE'!$D$7:$D$3006,MATCH(B2208,'CARNET DE SOUDURE'!$O$7:$O$3006,0)),"")))</f>
        <v/>
      </c>
      <c r="M2208" s="82" t="str">
        <f aca="false">IF(B2208="","",IF(OR(J2208&lt;&gt;"",K2208&lt;&gt;""),"POSÉ EN LIGNE",IF(COUNTIF(BARDAGE!$C$1:$C$5000,B2208)&gt;0,"BARDÉ","EN STOCK")))</f>
        <v/>
      </c>
      <c r="N2208" s="80"/>
    </row>
    <row r="2209" customFormat="false" ht="15" hidden="false" customHeight="false" outlineLevel="0" collapsed="false">
      <c r="A2209" s="82" t="str">
        <f aca="false">IF(B2209="","",ROW()-6)</f>
        <v/>
      </c>
      <c r="B2209" s="145"/>
      <c r="C2209" s="146"/>
      <c r="D2209" s="146"/>
      <c r="E2209" s="82" t="str">
        <f aca="false">IF(B2209="","",IF(COUNTIFS('CARNET DE SOUDURE'!$L$7:$L$3006,B2209,'CARNET DE SOUDURE'!$M$7:$M$3006,"&lt;&gt;"&amp;C2209,'CARNET DE SOUDURE'!$M$7:$M$3006,"&lt;&gt;")+COUNTIFS('CARNET DE SOUDURE'!$O$7:$O$3006,B2209,'CARNET DE SOUDURE'!$P$7:$P$3006,"&lt;&gt;"&amp;C2209,'CARNET DE SOUDURE'!$P$7:$P$3006,"&lt;&gt;")&gt;0,"⚠ DIFFÉRENTE","OK"))</f>
        <v/>
      </c>
      <c r="F2209" s="147"/>
      <c r="G2209" s="80"/>
      <c r="H2209" s="83"/>
      <c r="I2209" s="148" t="str">
        <f aca="false">IF(B2209="","",IFERROR(INDEX('CARNET DE SOUDURE'!$B$7:$B$3006,MATCH(B2209,'CARNET DE SOUDURE'!$L$7:$L$3006,0)),IFERROR(INDEX('CARNET DE SOUDURE'!$B$7:$B$3006,MATCH(B2209,'CARNET DE SOUDURE'!$O$7:$O$3006,0)),"")))</f>
        <v/>
      </c>
      <c r="J2209" s="82" t="str">
        <f aca="false">IF(B2209="","",IFERROR(INDEX('CARNET DE SOUDURE'!$E$7:$E$3006,MATCH(B2209,'CARNET DE SOUDURE'!$O$7:$O$3006,0)),""))</f>
        <v/>
      </c>
      <c r="K2209" s="82" t="str">
        <f aca="false">IF(B2209="","",IFERROR(INDEX('CARNET DE SOUDURE'!$E$7:$E$3006,MATCH(B2209,'CARNET DE SOUDURE'!$L$7:$L$3006,0)),""))</f>
        <v/>
      </c>
      <c r="L2209" s="82" t="str">
        <f aca="false">IF(B2209="","",IFERROR(INDEX('CARNET DE SOUDURE'!$D$7:$D$3006,MATCH(B2209,'CARNET DE SOUDURE'!$L$7:$L$3006,0)),IFERROR(INDEX('CARNET DE SOUDURE'!$D$7:$D$3006,MATCH(B2209,'CARNET DE SOUDURE'!$O$7:$O$3006,0)),"")))</f>
        <v/>
      </c>
      <c r="M2209" s="82" t="str">
        <f aca="false">IF(B2209="","",IF(OR(J2209&lt;&gt;"",K2209&lt;&gt;""),"POSÉ EN LIGNE",IF(COUNTIF(BARDAGE!$C$1:$C$5000,B2209)&gt;0,"BARDÉ","EN STOCK")))</f>
        <v/>
      </c>
      <c r="N2209" s="80"/>
    </row>
    <row r="2210" customFormat="false" ht="15" hidden="false" customHeight="false" outlineLevel="0" collapsed="false">
      <c r="A2210" s="82" t="str">
        <f aca="false">IF(B2210="","",ROW()-6)</f>
        <v/>
      </c>
      <c r="B2210" s="145"/>
      <c r="C2210" s="146"/>
      <c r="D2210" s="146"/>
      <c r="E2210" s="82" t="str">
        <f aca="false">IF(B2210="","",IF(COUNTIFS('CARNET DE SOUDURE'!$L$7:$L$3006,B2210,'CARNET DE SOUDURE'!$M$7:$M$3006,"&lt;&gt;"&amp;C2210,'CARNET DE SOUDURE'!$M$7:$M$3006,"&lt;&gt;")+COUNTIFS('CARNET DE SOUDURE'!$O$7:$O$3006,B2210,'CARNET DE SOUDURE'!$P$7:$P$3006,"&lt;&gt;"&amp;C2210,'CARNET DE SOUDURE'!$P$7:$P$3006,"&lt;&gt;")&gt;0,"⚠ DIFFÉRENTE","OK"))</f>
        <v/>
      </c>
      <c r="F2210" s="147"/>
      <c r="G2210" s="80"/>
      <c r="H2210" s="83"/>
      <c r="I2210" s="148" t="str">
        <f aca="false">IF(B2210="","",IFERROR(INDEX('CARNET DE SOUDURE'!$B$7:$B$3006,MATCH(B2210,'CARNET DE SOUDURE'!$L$7:$L$3006,0)),IFERROR(INDEX('CARNET DE SOUDURE'!$B$7:$B$3006,MATCH(B2210,'CARNET DE SOUDURE'!$O$7:$O$3006,0)),"")))</f>
        <v/>
      </c>
      <c r="J2210" s="82" t="str">
        <f aca="false">IF(B2210="","",IFERROR(INDEX('CARNET DE SOUDURE'!$E$7:$E$3006,MATCH(B2210,'CARNET DE SOUDURE'!$O$7:$O$3006,0)),""))</f>
        <v/>
      </c>
      <c r="K2210" s="82" t="str">
        <f aca="false">IF(B2210="","",IFERROR(INDEX('CARNET DE SOUDURE'!$E$7:$E$3006,MATCH(B2210,'CARNET DE SOUDURE'!$L$7:$L$3006,0)),""))</f>
        <v/>
      </c>
      <c r="L2210" s="82" t="str">
        <f aca="false">IF(B2210="","",IFERROR(INDEX('CARNET DE SOUDURE'!$D$7:$D$3006,MATCH(B2210,'CARNET DE SOUDURE'!$L$7:$L$3006,0)),IFERROR(INDEX('CARNET DE SOUDURE'!$D$7:$D$3006,MATCH(B2210,'CARNET DE SOUDURE'!$O$7:$O$3006,0)),"")))</f>
        <v/>
      </c>
      <c r="M2210" s="82" t="str">
        <f aca="false">IF(B2210="","",IF(OR(J2210&lt;&gt;"",K2210&lt;&gt;""),"POSÉ EN LIGNE",IF(COUNTIF(BARDAGE!$C$1:$C$5000,B2210)&gt;0,"BARDÉ","EN STOCK")))</f>
        <v/>
      </c>
      <c r="N2210" s="80"/>
    </row>
    <row r="2211" customFormat="false" ht="15" hidden="false" customHeight="false" outlineLevel="0" collapsed="false">
      <c r="A2211" s="82" t="str">
        <f aca="false">IF(B2211="","",ROW()-6)</f>
        <v/>
      </c>
      <c r="B2211" s="145"/>
      <c r="C2211" s="146"/>
      <c r="D2211" s="146"/>
      <c r="E2211" s="82" t="str">
        <f aca="false">IF(B2211="","",IF(COUNTIFS('CARNET DE SOUDURE'!$L$7:$L$3006,B2211,'CARNET DE SOUDURE'!$M$7:$M$3006,"&lt;&gt;"&amp;C2211,'CARNET DE SOUDURE'!$M$7:$M$3006,"&lt;&gt;")+COUNTIFS('CARNET DE SOUDURE'!$O$7:$O$3006,B2211,'CARNET DE SOUDURE'!$P$7:$P$3006,"&lt;&gt;"&amp;C2211,'CARNET DE SOUDURE'!$P$7:$P$3006,"&lt;&gt;")&gt;0,"⚠ DIFFÉRENTE","OK"))</f>
        <v/>
      </c>
      <c r="F2211" s="147"/>
      <c r="G2211" s="80"/>
      <c r="H2211" s="83"/>
      <c r="I2211" s="148" t="str">
        <f aca="false">IF(B2211="","",IFERROR(INDEX('CARNET DE SOUDURE'!$B$7:$B$3006,MATCH(B2211,'CARNET DE SOUDURE'!$L$7:$L$3006,0)),IFERROR(INDEX('CARNET DE SOUDURE'!$B$7:$B$3006,MATCH(B2211,'CARNET DE SOUDURE'!$O$7:$O$3006,0)),"")))</f>
        <v/>
      </c>
      <c r="J2211" s="82" t="str">
        <f aca="false">IF(B2211="","",IFERROR(INDEX('CARNET DE SOUDURE'!$E$7:$E$3006,MATCH(B2211,'CARNET DE SOUDURE'!$O$7:$O$3006,0)),""))</f>
        <v/>
      </c>
      <c r="K2211" s="82" t="str">
        <f aca="false">IF(B2211="","",IFERROR(INDEX('CARNET DE SOUDURE'!$E$7:$E$3006,MATCH(B2211,'CARNET DE SOUDURE'!$L$7:$L$3006,0)),""))</f>
        <v/>
      </c>
      <c r="L2211" s="82" t="str">
        <f aca="false">IF(B2211="","",IFERROR(INDEX('CARNET DE SOUDURE'!$D$7:$D$3006,MATCH(B2211,'CARNET DE SOUDURE'!$L$7:$L$3006,0)),IFERROR(INDEX('CARNET DE SOUDURE'!$D$7:$D$3006,MATCH(B2211,'CARNET DE SOUDURE'!$O$7:$O$3006,0)),"")))</f>
        <v/>
      </c>
      <c r="M2211" s="82" t="str">
        <f aca="false">IF(B2211="","",IF(OR(J2211&lt;&gt;"",K2211&lt;&gt;""),"POSÉ EN LIGNE",IF(COUNTIF(BARDAGE!$C$1:$C$5000,B2211)&gt;0,"BARDÉ","EN STOCK")))</f>
        <v/>
      </c>
      <c r="N2211" s="80"/>
    </row>
    <row r="2212" customFormat="false" ht="15" hidden="false" customHeight="false" outlineLevel="0" collapsed="false">
      <c r="A2212" s="82" t="str">
        <f aca="false">IF(B2212="","",ROW()-6)</f>
        <v/>
      </c>
      <c r="B2212" s="145"/>
      <c r="C2212" s="146"/>
      <c r="D2212" s="146"/>
      <c r="E2212" s="82" t="str">
        <f aca="false">IF(B2212="","",IF(COUNTIFS('CARNET DE SOUDURE'!$L$7:$L$3006,B2212,'CARNET DE SOUDURE'!$M$7:$M$3006,"&lt;&gt;"&amp;C2212,'CARNET DE SOUDURE'!$M$7:$M$3006,"&lt;&gt;")+COUNTIFS('CARNET DE SOUDURE'!$O$7:$O$3006,B2212,'CARNET DE SOUDURE'!$P$7:$P$3006,"&lt;&gt;"&amp;C2212,'CARNET DE SOUDURE'!$P$7:$P$3006,"&lt;&gt;")&gt;0,"⚠ DIFFÉRENTE","OK"))</f>
        <v/>
      </c>
      <c r="F2212" s="147"/>
      <c r="G2212" s="80"/>
      <c r="H2212" s="83"/>
      <c r="I2212" s="148" t="str">
        <f aca="false">IF(B2212="","",IFERROR(INDEX('CARNET DE SOUDURE'!$B$7:$B$3006,MATCH(B2212,'CARNET DE SOUDURE'!$L$7:$L$3006,0)),IFERROR(INDEX('CARNET DE SOUDURE'!$B$7:$B$3006,MATCH(B2212,'CARNET DE SOUDURE'!$O$7:$O$3006,0)),"")))</f>
        <v/>
      </c>
      <c r="J2212" s="82" t="str">
        <f aca="false">IF(B2212="","",IFERROR(INDEX('CARNET DE SOUDURE'!$E$7:$E$3006,MATCH(B2212,'CARNET DE SOUDURE'!$O$7:$O$3006,0)),""))</f>
        <v/>
      </c>
      <c r="K2212" s="82" t="str">
        <f aca="false">IF(B2212="","",IFERROR(INDEX('CARNET DE SOUDURE'!$E$7:$E$3006,MATCH(B2212,'CARNET DE SOUDURE'!$L$7:$L$3006,0)),""))</f>
        <v/>
      </c>
      <c r="L2212" s="82" t="str">
        <f aca="false">IF(B2212="","",IFERROR(INDEX('CARNET DE SOUDURE'!$D$7:$D$3006,MATCH(B2212,'CARNET DE SOUDURE'!$L$7:$L$3006,0)),IFERROR(INDEX('CARNET DE SOUDURE'!$D$7:$D$3006,MATCH(B2212,'CARNET DE SOUDURE'!$O$7:$O$3006,0)),"")))</f>
        <v/>
      </c>
      <c r="M2212" s="82" t="str">
        <f aca="false">IF(B2212="","",IF(OR(J2212&lt;&gt;"",K2212&lt;&gt;""),"POSÉ EN LIGNE",IF(COUNTIF(BARDAGE!$C$1:$C$5000,B2212)&gt;0,"BARDÉ","EN STOCK")))</f>
        <v/>
      </c>
      <c r="N2212" s="80"/>
    </row>
    <row r="2213" customFormat="false" ht="15" hidden="false" customHeight="false" outlineLevel="0" collapsed="false">
      <c r="A2213" s="82" t="str">
        <f aca="false">IF(B2213="","",ROW()-6)</f>
        <v/>
      </c>
      <c r="B2213" s="145"/>
      <c r="C2213" s="146"/>
      <c r="D2213" s="146"/>
      <c r="E2213" s="82" t="str">
        <f aca="false">IF(B2213="","",IF(COUNTIFS('CARNET DE SOUDURE'!$L$7:$L$3006,B2213,'CARNET DE SOUDURE'!$M$7:$M$3006,"&lt;&gt;"&amp;C2213,'CARNET DE SOUDURE'!$M$7:$M$3006,"&lt;&gt;")+COUNTIFS('CARNET DE SOUDURE'!$O$7:$O$3006,B2213,'CARNET DE SOUDURE'!$P$7:$P$3006,"&lt;&gt;"&amp;C2213,'CARNET DE SOUDURE'!$P$7:$P$3006,"&lt;&gt;")&gt;0,"⚠ DIFFÉRENTE","OK"))</f>
        <v/>
      </c>
      <c r="F2213" s="147"/>
      <c r="G2213" s="80"/>
      <c r="H2213" s="83"/>
      <c r="I2213" s="148" t="str">
        <f aca="false">IF(B2213="","",IFERROR(INDEX('CARNET DE SOUDURE'!$B$7:$B$3006,MATCH(B2213,'CARNET DE SOUDURE'!$L$7:$L$3006,0)),IFERROR(INDEX('CARNET DE SOUDURE'!$B$7:$B$3006,MATCH(B2213,'CARNET DE SOUDURE'!$O$7:$O$3006,0)),"")))</f>
        <v/>
      </c>
      <c r="J2213" s="82" t="str">
        <f aca="false">IF(B2213="","",IFERROR(INDEX('CARNET DE SOUDURE'!$E$7:$E$3006,MATCH(B2213,'CARNET DE SOUDURE'!$O$7:$O$3006,0)),""))</f>
        <v/>
      </c>
      <c r="K2213" s="82" t="str">
        <f aca="false">IF(B2213="","",IFERROR(INDEX('CARNET DE SOUDURE'!$E$7:$E$3006,MATCH(B2213,'CARNET DE SOUDURE'!$L$7:$L$3006,0)),""))</f>
        <v/>
      </c>
      <c r="L2213" s="82" t="str">
        <f aca="false">IF(B2213="","",IFERROR(INDEX('CARNET DE SOUDURE'!$D$7:$D$3006,MATCH(B2213,'CARNET DE SOUDURE'!$L$7:$L$3006,0)),IFERROR(INDEX('CARNET DE SOUDURE'!$D$7:$D$3006,MATCH(B2213,'CARNET DE SOUDURE'!$O$7:$O$3006,0)),"")))</f>
        <v/>
      </c>
      <c r="M2213" s="82" t="str">
        <f aca="false">IF(B2213="","",IF(OR(J2213&lt;&gt;"",K2213&lt;&gt;""),"POSÉ EN LIGNE",IF(COUNTIF(BARDAGE!$C$1:$C$5000,B2213)&gt;0,"BARDÉ","EN STOCK")))</f>
        <v/>
      </c>
      <c r="N2213" s="80"/>
    </row>
    <row r="2214" customFormat="false" ht="15" hidden="false" customHeight="false" outlineLevel="0" collapsed="false">
      <c r="A2214" s="82" t="str">
        <f aca="false">IF(B2214="","",ROW()-6)</f>
        <v/>
      </c>
      <c r="B2214" s="145"/>
      <c r="C2214" s="146"/>
      <c r="D2214" s="146"/>
      <c r="E2214" s="82" t="str">
        <f aca="false">IF(B2214="","",IF(COUNTIFS('CARNET DE SOUDURE'!$L$7:$L$3006,B2214,'CARNET DE SOUDURE'!$M$7:$M$3006,"&lt;&gt;"&amp;C2214,'CARNET DE SOUDURE'!$M$7:$M$3006,"&lt;&gt;")+COUNTIFS('CARNET DE SOUDURE'!$O$7:$O$3006,B2214,'CARNET DE SOUDURE'!$P$7:$P$3006,"&lt;&gt;"&amp;C2214,'CARNET DE SOUDURE'!$P$7:$P$3006,"&lt;&gt;")&gt;0,"⚠ DIFFÉRENTE","OK"))</f>
        <v/>
      </c>
      <c r="F2214" s="147"/>
      <c r="G2214" s="80"/>
      <c r="H2214" s="83"/>
      <c r="I2214" s="148" t="str">
        <f aca="false">IF(B2214="","",IFERROR(INDEX('CARNET DE SOUDURE'!$B$7:$B$3006,MATCH(B2214,'CARNET DE SOUDURE'!$L$7:$L$3006,0)),IFERROR(INDEX('CARNET DE SOUDURE'!$B$7:$B$3006,MATCH(B2214,'CARNET DE SOUDURE'!$O$7:$O$3006,0)),"")))</f>
        <v/>
      </c>
      <c r="J2214" s="82" t="str">
        <f aca="false">IF(B2214="","",IFERROR(INDEX('CARNET DE SOUDURE'!$E$7:$E$3006,MATCH(B2214,'CARNET DE SOUDURE'!$O$7:$O$3006,0)),""))</f>
        <v/>
      </c>
      <c r="K2214" s="82" t="str">
        <f aca="false">IF(B2214="","",IFERROR(INDEX('CARNET DE SOUDURE'!$E$7:$E$3006,MATCH(B2214,'CARNET DE SOUDURE'!$L$7:$L$3006,0)),""))</f>
        <v/>
      </c>
      <c r="L2214" s="82" t="str">
        <f aca="false">IF(B2214="","",IFERROR(INDEX('CARNET DE SOUDURE'!$D$7:$D$3006,MATCH(B2214,'CARNET DE SOUDURE'!$L$7:$L$3006,0)),IFERROR(INDEX('CARNET DE SOUDURE'!$D$7:$D$3006,MATCH(B2214,'CARNET DE SOUDURE'!$O$7:$O$3006,0)),"")))</f>
        <v/>
      </c>
      <c r="M2214" s="82" t="str">
        <f aca="false">IF(B2214="","",IF(OR(J2214&lt;&gt;"",K2214&lt;&gt;""),"POSÉ EN LIGNE",IF(COUNTIF(BARDAGE!$C$1:$C$5000,B2214)&gt;0,"BARDÉ","EN STOCK")))</f>
        <v/>
      </c>
      <c r="N2214" s="80"/>
    </row>
    <row r="2215" customFormat="false" ht="15" hidden="false" customHeight="false" outlineLevel="0" collapsed="false">
      <c r="A2215" s="82" t="str">
        <f aca="false">IF(B2215="","",ROW()-6)</f>
        <v/>
      </c>
      <c r="B2215" s="145"/>
      <c r="C2215" s="146"/>
      <c r="D2215" s="146"/>
      <c r="E2215" s="82" t="str">
        <f aca="false">IF(B2215="","",IF(COUNTIFS('CARNET DE SOUDURE'!$L$7:$L$3006,B2215,'CARNET DE SOUDURE'!$M$7:$M$3006,"&lt;&gt;"&amp;C2215,'CARNET DE SOUDURE'!$M$7:$M$3006,"&lt;&gt;")+COUNTIFS('CARNET DE SOUDURE'!$O$7:$O$3006,B2215,'CARNET DE SOUDURE'!$P$7:$P$3006,"&lt;&gt;"&amp;C2215,'CARNET DE SOUDURE'!$P$7:$P$3006,"&lt;&gt;")&gt;0,"⚠ DIFFÉRENTE","OK"))</f>
        <v/>
      </c>
      <c r="F2215" s="147"/>
      <c r="G2215" s="80"/>
      <c r="H2215" s="83"/>
      <c r="I2215" s="148" t="str">
        <f aca="false">IF(B2215="","",IFERROR(INDEX('CARNET DE SOUDURE'!$B$7:$B$3006,MATCH(B2215,'CARNET DE SOUDURE'!$L$7:$L$3006,0)),IFERROR(INDEX('CARNET DE SOUDURE'!$B$7:$B$3006,MATCH(B2215,'CARNET DE SOUDURE'!$O$7:$O$3006,0)),"")))</f>
        <v/>
      </c>
      <c r="J2215" s="82" t="str">
        <f aca="false">IF(B2215="","",IFERROR(INDEX('CARNET DE SOUDURE'!$E$7:$E$3006,MATCH(B2215,'CARNET DE SOUDURE'!$O$7:$O$3006,0)),""))</f>
        <v/>
      </c>
      <c r="K2215" s="82" t="str">
        <f aca="false">IF(B2215="","",IFERROR(INDEX('CARNET DE SOUDURE'!$E$7:$E$3006,MATCH(B2215,'CARNET DE SOUDURE'!$L$7:$L$3006,0)),""))</f>
        <v/>
      </c>
      <c r="L2215" s="82" t="str">
        <f aca="false">IF(B2215="","",IFERROR(INDEX('CARNET DE SOUDURE'!$D$7:$D$3006,MATCH(B2215,'CARNET DE SOUDURE'!$L$7:$L$3006,0)),IFERROR(INDEX('CARNET DE SOUDURE'!$D$7:$D$3006,MATCH(B2215,'CARNET DE SOUDURE'!$O$7:$O$3006,0)),"")))</f>
        <v/>
      </c>
      <c r="M2215" s="82" t="str">
        <f aca="false">IF(B2215="","",IF(OR(J2215&lt;&gt;"",K2215&lt;&gt;""),"POSÉ EN LIGNE",IF(COUNTIF(BARDAGE!$C$1:$C$5000,B2215)&gt;0,"BARDÉ","EN STOCK")))</f>
        <v/>
      </c>
      <c r="N2215" s="80"/>
    </row>
    <row r="2216" customFormat="false" ht="15" hidden="false" customHeight="false" outlineLevel="0" collapsed="false">
      <c r="A2216" s="82" t="str">
        <f aca="false">IF(B2216="","",ROW()-6)</f>
        <v/>
      </c>
      <c r="B2216" s="145"/>
      <c r="C2216" s="146"/>
      <c r="D2216" s="146"/>
      <c r="E2216" s="82" t="str">
        <f aca="false">IF(B2216="","",IF(COUNTIFS('CARNET DE SOUDURE'!$L$7:$L$3006,B2216,'CARNET DE SOUDURE'!$M$7:$M$3006,"&lt;&gt;"&amp;C2216,'CARNET DE SOUDURE'!$M$7:$M$3006,"&lt;&gt;")+COUNTIFS('CARNET DE SOUDURE'!$O$7:$O$3006,B2216,'CARNET DE SOUDURE'!$P$7:$P$3006,"&lt;&gt;"&amp;C2216,'CARNET DE SOUDURE'!$P$7:$P$3006,"&lt;&gt;")&gt;0,"⚠ DIFFÉRENTE","OK"))</f>
        <v/>
      </c>
      <c r="F2216" s="147"/>
      <c r="G2216" s="80"/>
      <c r="H2216" s="83"/>
      <c r="I2216" s="148" t="str">
        <f aca="false">IF(B2216="","",IFERROR(INDEX('CARNET DE SOUDURE'!$B$7:$B$3006,MATCH(B2216,'CARNET DE SOUDURE'!$L$7:$L$3006,0)),IFERROR(INDEX('CARNET DE SOUDURE'!$B$7:$B$3006,MATCH(B2216,'CARNET DE SOUDURE'!$O$7:$O$3006,0)),"")))</f>
        <v/>
      </c>
      <c r="J2216" s="82" t="str">
        <f aca="false">IF(B2216="","",IFERROR(INDEX('CARNET DE SOUDURE'!$E$7:$E$3006,MATCH(B2216,'CARNET DE SOUDURE'!$O$7:$O$3006,0)),""))</f>
        <v/>
      </c>
      <c r="K2216" s="82" t="str">
        <f aca="false">IF(B2216="","",IFERROR(INDEX('CARNET DE SOUDURE'!$E$7:$E$3006,MATCH(B2216,'CARNET DE SOUDURE'!$L$7:$L$3006,0)),""))</f>
        <v/>
      </c>
      <c r="L2216" s="82" t="str">
        <f aca="false">IF(B2216="","",IFERROR(INDEX('CARNET DE SOUDURE'!$D$7:$D$3006,MATCH(B2216,'CARNET DE SOUDURE'!$L$7:$L$3006,0)),IFERROR(INDEX('CARNET DE SOUDURE'!$D$7:$D$3006,MATCH(B2216,'CARNET DE SOUDURE'!$O$7:$O$3006,0)),"")))</f>
        <v/>
      </c>
      <c r="M2216" s="82" t="str">
        <f aca="false">IF(B2216="","",IF(OR(J2216&lt;&gt;"",K2216&lt;&gt;""),"POSÉ EN LIGNE",IF(COUNTIF(BARDAGE!$C$1:$C$5000,B2216)&gt;0,"BARDÉ","EN STOCK")))</f>
        <v/>
      </c>
      <c r="N2216" s="80"/>
    </row>
    <row r="2217" customFormat="false" ht="15" hidden="false" customHeight="false" outlineLevel="0" collapsed="false">
      <c r="A2217" s="82" t="str">
        <f aca="false">IF(B2217="","",ROW()-6)</f>
        <v/>
      </c>
      <c r="B2217" s="145"/>
      <c r="C2217" s="146"/>
      <c r="D2217" s="146"/>
      <c r="E2217" s="82" t="str">
        <f aca="false">IF(B2217="","",IF(COUNTIFS('CARNET DE SOUDURE'!$L$7:$L$3006,B2217,'CARNET DE SOUDURE'!$M$7:$M$3006,"&lt;&gt;"&amp;C2217,'CARNET DE SOUDURE'!$M$7:$M$3006,"&lt;&gt;")+COUNTIFS('CARNET DE SOUDURE'!$O$7:$O$3006,B2217,'CARNET DE SOUDURE'!$P$7:$P$3006,"&lt;&gt;"&amp;C2217,'CARNET DE SOUDURE'!$P$7:$P$3006,"&lt;&gt;")&gt;0,"⚠ DIFFÉRENTE","OK"))</f>
        <v/>
      </c>
      <c r="F2217" s="147"/>
      <c r="G2217" s="80"/>
      <c r="H2217" s="83"/>
      <c r="I2217" s="148" t="str">
        <f aca="false">IF(B2217="","",IFERROR(INDEX('CARNET DE SOUDURE'!$B$7:$B$3006,MATCH(B2217,'CARNET DE SOUDURE'!$L$7:$L$3006,0)),IFERROR(INDEX('CARNET DE SOUDURE'!$B$7:$B$3006,MATCH(B2217,'CARNET DE SOUDURE'!$O$7:$O$3006,0)),"")))</f>
        <v/>
      </c>
      <c r="J2217" s="82" t="str">
        <f aca="false">IF(B2217="","",IFERROR(INDEX('CARNET DE SOUDURE'!$E$7:$E$3006,MATCH(B2217,'CARNET DE SOUDURE'!$O$7:$O$3006,0)),""))</f>
        <v/>
      </c>
      <c r="K2217" s="82" t="str">
        <f aca="false">IF(B2217="","",IFERROR(INDEX('CARNET DE SOUDURE'!$E$7:$E$3006,MATCH(B2217,'CARNET DE SOUDURE'!$L$7:$L$3006,0)),""))</f>
        <v/>
      </c>
      <c r="L2217" s="82" t="str">
        <f aca="false">IF(B2217="","",IFERROR(INDEX('CARNET DE SOUDURE'!$D$7:$D$3006,MATCH(B2217,'CARNET DE SOUDURE'!$L$7:$L$3006,0)),IFERROR(INDEX('CARNET DE SOUDURE'!$D$7:$D$3006,MATCH(B2217,'CARNET DE SOUDURE'!$O$7:$O$3006,0)),"")))</f>
        <v/>
      </c>
      <c r="M2217" s="82" t="str">
        <f aca="false">IF(B2217="","",IF(OR(J2217&lt;&gt;"",K2217&lt;&gt;""),"POSÉ EN LIGNE",IF(COUNTIF(BARDAGE!$C$1:$C$5000,B2217)&gt;0,"BARDÉ","EN STOCK")))</f>
        <v/>
      </c>
      <c r="N2217" s="80"/>
    </row>
    <row r="2218" customFormat="false" ht="15" hidden="false" customHeight="false" outlineLevel="0" collapsed="false">
      <c r="A2218" s="82" t="str">
        <f aca="false">IF(B2218="","",ROW()-6)</f>
        <v/>
      </c>
      <c r="B2218" s="145"/>
      <c r="C2218" s="146"/>
      <c r="D2218" s="146"/>
      <c r="E2218" s="82" t="str">
        <f aca="false">IF(B2218="","",IF(COUNTIFS('CARNET DE SOUDURE'!$L$7:$L$3006,B2218,'CARNET DE SOUDURE'!$M$7:$M$3006,"&lt;&gt;"&amp;C2218,'CARNET DE SOUDURE'!$M$7:$M$3006,"&lt;&gt;")+COUNTIFS('CARNET DE SOUDURE'!$O$7:$O$3006,B2218,'CARNET DE SOUDURE'!$P$7:$P$3006,"&lt;&gt;"&amp;C2218,'CARNET DE SOUDURE'!$P$7:$P$3006,"&lt;&gt;")&gt;0,"⚠ DIFFÉRENTE","OK"))</f>
        <v/>
      </c>
      <c r="F2218" s="147"/>
      <c r="G2218" s="80"/>
      <c r="H2218" s="83"/>
      <c r="I2218" s="148" t="str">
        <f aca="false">IF(B2218="","",IFERROR(INDEX('CARNET DE SOUDURE'!$B$7:$B$3006,MATCH(B2218,'CARNET DE SOUDURE'!$L$7:$L$3006,0)),IFERROR(INDEX('CARNET DE SOUDURE'!$B$7:$B$3006,MATCH(B2218,'CARNET DE SOUDURE'!$O$7:$O$3006,0)),"")))</f>
        <v/>
      </c>
      <c r="J2218" s="82" t="str">
        <f aca="false">IF(B2218="","",IFERROR(INDEX('CARNET DE SOUDURE'!$E$7:$E$3006,MATCH(B2218,'CARNET DE SOUDURE'!$O$7:$O$3006,0)),""))</f>
        <v/>
      </c>
      <c r="K2218" s="82" t="str">
        <f aca="false">IF(B2218="","",IFERROR(INDEX('CARNET DE SOUDURE'!$E$7:$E$3006,MATCH(B2218,'CARNET DE SOUDURE'!$L$7:$L$3006,0)),""))</f>
        <v/>
      </c>
      <c r="L2218" s="82" t="str">
        <f aca="false">IF(B2218="","",IFERROR(INDEX('CARNET DE SOUDURE'!$D$7:$D$3006,MATCH(B2218,'CARNET DE SOUDURE'!$L$7:$L$3006,0)),IFERROR(INDEX('CARNET DE SOUDURE'!$D$7:$D$3006,MATCH(B2218,'CARNET DE SOUDURE'!$O$7:$O$3006,0)),"")))</f>
        <v/>
      </c>
      <c r="M2218" s="82" t="str">
        <f aca="false">IF(B2218="","",IF(OR(J2218&lt;&gt;"",K2218&lt;&gt;""),"POSÉ EN LIGNE",IF(COUNTIF(BARDAGE!$C$1:$C$5000,B2218)&gt;0,"BARDÉ","EN STOCK")))</f>
        <v/>
      </c>
      <c r="N2218" s="80"/>
    </row>
    <row r="2219" customFormat="false" ht="15" hidden="false" customHeight="false" outlineLevel="0" collapsed="false">
      <c r="A2219" s="82" t="str">
        <f aca="false">IF(B2219="","",ROW()-6)</f>
        <v/>
      </c>
      <c r="B2219" s="145"/>
      <c r="C2219" s="146"/>
      <c r="D2219" s="146"/>
      <c r="E2219" s="82" t="str">
        <f aca="false">IF(B2219="","",IF(COUNTIFS('CARNET DE SOUDURE'!$L$7:$L$3006,B2219,'CARNET DE SOUDURE'!$M$7:$M$3006,"&lt;&gt;"&amp;C2219,'CARNET DE SOUDURE'!$M$7:$M$3006,"&lt;&gt;")+COUNTIFS('CARNET DE SOUDURE'!$O$7:$O$3006,B2219,'CARNET DE SOUDURE'!$P$7:$P$3006,"&lt;&gt;"&amp;C2219,'CARNET DE SOUDURE'!$P$7:$P$3006,"&lt;&gt;")&gt;0,"⚠ DIFFÉRENTE","OK"))</f>
        <v/>
      </c>
      <c r="F2219" s="147"/>
      <c r="G2219" s="80"/>
      <c r="H2219" s="83"/>
      <c r="I2219" s="148" t="str">
        <f aca="false">IF(B2219="","",IFERROR(INDEX('CARNET DE SOUDURE'!$B$7:$B$3006,MATCH(B2219,'CARNET DE SOUDURE'!$L$7:$L$3006,0)),IFERROR(INDEX('CARNET DE SOUDURE'!$B$7:$B$3006,MATCH(B2219,'CARNET DE SOUDURE'!$O$7:$O$3006,0)),"")))</f>
        <v/>
      </c>
      <c r="J2219" s="82" t="str">
        <f aca="false">IF(B2219="","",IFERROR(INDEX('CARNET DE SOUDURE'!$E$7:$E$3006,MATCH(B2219,'CARNET DE SOUDURE'!$O$7:$O$3006,0)),""))</f>
        <v/>
      </c>
      <c r="K2219" s="82" t="str">
        <f aca="false">IF(B2219="","",IFERROR(INDEX('CARNET DE SOUDURE'!$E$7:$E$3006,MATCH(B2219,'CARNET DE SOUDURE'!$L$7:$L$3006,0)),""))</f>
        <v/>
      </c>
      <c r="L2219" s="82" t="str">
        <f aca="false">IF(B2219="","",IFERROR(INDEX('CARNET DE SOUDURE'!$D$7:$D$3006,MATCH(B2219,'CARNET DE SOUDURE'!$L$7:$L$3006,0)),IFERROR(INDEX('CARNET DE SOUDURE'!$D$7:$D$3006,MATCH(B2219,'CARNET DE SOUDURE'!$O$7:$O$3006,0)),"")))</f>
        <v/>
      </c>
      <c r="M2219" s="82" t="str">
        <f aca="false">IF(B2219="","",IF(OR(J2219&lt;&gt;"",K2219&lt;&gt;""),"POSÉ EN LIGNE",IF(COUNTIF(BARDAGE!$C$1:$C$5000,B2219)&gt;0,"BARDÉ","EN STOCK")))</f>
        <v/>
      </c>
      <c r="N2219" s="80"/>
    </row>
    <row r="2220" customFormat="false" ht="15" hidden="false" customHeight="false" outlineLevel="0" collapsed="false">
      <c r="A2220" s="82" t="str">
        <f aca="false">IF(B2220="","",ROW()-6)</f>
        <v/>
      </c>
      <c r="B2220" s="145"/>
      <c r="C2220" s="146"/>
      <c r="D2220" s="146"/>
      <c r="E2220" s="82" t="str">
        <f aca="false">IF(B2220="","",IF(COUNTIFS('CARNET DE SOUDURE'!$L$7:$L$3006,B2220,'CARNET DE SOUDURE'!$M$7:$M$3006,"&lt;&gt;"&amp;C2220,'CARNET DE SOUDURE'!$M$7:$M$3006,"&lt;&gt;")+COUNTIFS('CARNET DE SOUDURE'!$O$7:$O$3006,B2220,'CARNET DE SOUDURE'!$P$7:$P$3006,"&lt;&gt;"&amp;C2220,'CARNET DE SOUDURE'!$P$7:$P$3006,"&lt;&gt;")&gt;0,"⚠ DIFFÉRENTE","OK"))</f>
        <v/>
      </c>
      <c r="F2220" s="147"/>
      <c r="G2220" s="80"/>
      <c r="H2220" s="83"/>
      <c r="I2220" s="148" t="str">
        <f aca="false">IF(B2220="","",IFERROR(INDEX('CARNET DE SOUDURE'!$B$7:$B$3006,MATCH(B2220,'CARNET DE SOUDURE'!$L$7:$L$3006,0)),IFERROR(INDEX('CARNET DE SOUDURE'!$B$7:$B$3006,MATCH(B2220,'CARNET DE SOUDURE'!$O$7:$O$3006,0)),"")))</f>
        <v/>
      </c>
      <c r="J2220" s="82" t="str">
        <f aca="false">IF(B2220="","",IFERROR(INDEX('CARNET DE SOUDURE'!$E$7:$E$3006,MATCH(B2220,'CARNET DE SOUDURE'!$O$7:$O$3006,0)),""))</f>
        <v/>
      </c>
      <c r="K2220" s="82" t="str">
        <f aca="false">IF(B2220="","",IFERROR(INDEX('CARNET DE SOUDURE'!$E$7:$E$3006,MATCH(B2220,'CARNET DE SOUDURE'!$L$7:$L$3006,0)),""))</f>
        <v/>
      </c>
      <c r="L2220" s="82" t="str">
        <f aca="false">IF(B2220="","",IFERROR(INDEX('CARNET DE SOUDURE'!$D$7:$D$3006,MATCH(B2220,'CARNET DE SOUDURE'!$L$7:$L$3006,0)),IFERROR(INDEX('CARNET DE SOUDURE'!$D$7:$D$3006,MATCH(B2220,'CARNET DE SOUDURE'!$O$7:$O$3006,0)),"")))</f>
        <v/>
      </c>
      <c r="M2220" s="82" t="str">
        <f aca="false">IF(B2220="","",IF(OR(J2220&lt;&gt;"",K2220&lt;&gt;""),"POSÉ EN LIGNE",IF(COUNTIF(BARDAGE!$C$1:$C$5000,B2220)&gt;0,"BARDÉ","EN STOCK")))</f>
        <v/>
      </c>
      <c r="N2220" s="80"/>
    </row>
    <row r="2221" customFormat="false" ht="15" hidden="false" customHeight="false" outlineLevel="0" collapsed="false">
      <c r="A2221" s="82" t="str">
        <f aca="false">IF(B2221="","",ROW()-6)</f>
        <v/>
      </c>
      <c r="B2221" s="145"/>
      <c r="C2221" s="146"/>
      <c r="D2221" s="146"/>
      <c r="E2221" s="82" t="str">
        <f aca="false">IF(B2221="","",IF(COUNTIFS('CARNET DE SOUDURE'!$L$7:$L$3006,B2221,'CARNET DE SOUDURE'!$M$7:$M$3006,"&lt;&gt;"&amp;C2221,'CARNET DE SOUDURE'!$M$7:$M$3006,"&lt;&gt;")+COUNTIFS('CARNET DE SOUDURE'!$O$7:$O$3006,B2221,'CARNET DE SOUDURE'!$P$7:$P$3006,"&lt;&gt;"&amp;C2221,'CARNET DE SOUDURE'!$P$7:$P$3006,"&lt;&gt;")&gt;0,"⚠ DIFFÉRENTE","OK"))</f>
        <v/>
      </c>
      <c r="F2221" s="147"/>
      <c r="G2221" s="80"/>
      <c r="H2221" s="83"/>
      <c r="I2221" s="148" t="str">
        <f aca="false">IF(B2221="","",IFERROR(INDEX('CARNET DE SOUDURE'!$B$7:$B$3006,MATCH(B2221,'CARNET DE SOUDURE'!$L$7:$L$3006,0)),IFERROR(INDEX('CARNET DE SOUDURE'!$B$7:$B$3006,MATCH(B2221,'CARNET DE SOUDURE'!$O$7:$O$3006,0)),"")))</f>
        <v/>
      </c>
      <c r="J2221" s="82" t="str">
        <f aca="false">IF(B2221="","",IFERROR(INDEX('CARNET DE SOUDURE'!$E$7:$E$3006,MATCH(B2221,'CARNET DE SOUDURE'!$O$7:$O$3006,0)),""))</f>
        <v/>
      </c>
      <c r="K2221" s="82" t="str">
        <f aca="false">IF(B2221="","",IFERROR(INDEX('CARNET DE SOUDURE'!$E$7:$E$3006,MATCH(B2221,'CARNET DE SOUDURE'!$L$7:$L$3006,0)),""))</f>
        <v/>
      </c>
      <c r="L2221" s="82" t="str">
        <f aca="false">IF(B2221="","",IFERROR(INDEX('CARNET DE SOUDURE'!$D$7:$D$3006,MATCH(B2221,'CARNET DE SOUDURE'!$L$7:$L$3006,0)),IFERROR(INDEX('CARNET DE SOUDURE'!$D$7:$D$3006,MATCH(B2221,'CARNET DE SOUDURE'!$O$7:$O$3006,0)),"")))</f>
        <v/>
      </c>
      <c r="M2221" s="82" t="str">
        <f aca="false">IF(B2221="","",IF(OR(J2221&lt;&gt;"",K2221&lt;&gt;""),"POSÉ EN LIGNE",IF(COUNTIF(BARDAGE!$C$1:$C$5000,B2221)&gt;0,"BARDÉ","EN STOCK")))</f>
        <v/>
      </c>
      <c r="N2221" s="80"/>
    </row>
    <row r="2222" customFormat="false" ht="15" hidden="false" customHeight="false" outlineLevel="0" collapsed="false">
      <c r="A2222" s="82" t="str">
        <f aca="false">IF(B2222="","",ROW()-6)</f>
        <v/>
      </c>
      <c r="B2222" s="145"/>
      <c r="C2222" s="146"/>
      <c r="D2222" s="146"/>
      <c r="E2222" s="82" t="str">
        <f aca="false">IF(B2222="","",IF(COUNTIFS('CARNET DE SOUDURE'!$L$7:$L$3006,B2222,'CARNET DE SOUDURE'!$M$7:$M$3006,"&lt;&gt;"&amp;C2222,'CARNET DE SOUDURE'!$M$7:$M$3006,"&lt;&gt;")+COUNTIFS('CARNET DE SOUDURE'!$O$7:$O$3006,B2222,'CARNET DE SOUDURE'!$P$7:$P$3006,"&lt;&gt;"&amp;C2222,'CARNET DE SOUDURE'!$P$7:$P$3006,"&lt;&gt;")&gt;0,"⚠ DIFFÉRENTE","OK"))</f>
        <v/>
      </c>
      <c r="F2222" s="147"/>
      <c r="G2222" s="80"/>
      <c r="H2222" s="83"/>
      <c r="I2222" s="148" t="str">
        <f aca="false">IF(B2222="","",IFERROR(INDEX('CARNET DE SOUDURE'!$B$7:$B$3006,MATCH(B2222,'CARNET DE SOUDURE'!$L$7:$L$3006,0)),IFERROR(INDEX('CARNET DE SOUDURE'!$B$7:$B$3006,MATCH(B2222,'CARNET DE SOUDURE'!$O$7:$O$3006,0)),"")))</f>
        <v/>
      </c>
      <c r="J2222" s="82" t="str">
        <f aca="false">IF(B2222="","",IFERROR(INDEX('CARNET DE SOUDURE'!$E$7:$E$3006,MATCH(B2222,'CARNET DE SOUDURE'!$O$7:$O$3006,0)),""))</f>
        <v/>
      </c>
      <c r="K2222" s="82" t="str">
        <f aca="false">IF(B2222="","",IFERROR(INDEX('CARNET DE SOUDURE'!$E$7:$E$3006,MATCH(B2222,'CARNET DE SOUDURE'!$L$7:$L$3006,0)),""))</f>
        <v/>
      </c>
      <c r="L2222" s="82" t="str">
        <f aca="false">IF(B2222="","",IFERROR(INDEX('CARNET DE SOUDURE'!$D$7:$D$3006,MATCH(B2222,'CARNET DE SOUDURE'!$L$7:$L$3006,0)),IFERROR(INDEX('CARNET DE SOUDURE'!$D$7:$D$3006,MATCH(B2222,'CARNET DE SOUDURE'!$O$7:$O$3006,0)),"")))</f>
        <v/>
      </c>
      <c r="M2222" s="82" t="str">
        <f aca="false">IF(B2222="","",IF(OR(J2222&lt;&gt;"",K2222&lt;&gt;""),"POSÉ EN LIGNE",IF(COUNTIF(BARDAGE!$C$1:$C$5000,B2222)&gt;0,"BARDÉ","EN STOCK")))</f>
        <v/>
      </c>
      <c r="N2222" s="80"/>
    </row>
    <row r="2223" customFormat="false" ht="15" hidden="false" customHeight="false" outlineLevel="0" collapsed="false">
      <c r="A2223" s="82" t="str">
        <f aca="false">IF(B2223="","",ROW()-6)</f>
        <v/>
      </c>
      <c r="B2223" s="145"/>
      <c r="C2223" s="146"/>
      <c r="D2223" s="146"/>
      <c r="E2223" s="82" t="str">
        <f aca="false">IF(B2223="","",IF(COUNTIFS('CARNET DE SOUDURE'!$L$7:$L$3006,B2223,'CARNET DE SOUDURE'!$M$7:$M$3006,"&lt;&gt;"&amp;C2223,'CARNET DE SOUDURE'!$M$7:$M$3006,"&lt;&gt;")+COUNTIFS('CARNET DE SOUDURE'!$O$7:$O$3006,B2223,'CARNET DE SOUDURE'!$P$7:$P$3006,"&lt;&gt;"&amp;C2223,'CARNET DE SOUDURE'!$P$7:$P$3006,"&lt;&gt;")&gt;0,"⚠ DIFFÉRENTE","OK"))</f>
        <v/>
      </c>
      <c r="F2223" s="147"/>
      <c r="G2223" s="80"/>
      <c r="H2223" s="83"/>
      <c r="I2223" s="148" t="str">
        <f aca="false">IF(B2223="","",IFERROR(INDEX('CARNET DE SOUDURE'!$B$7:$B$3006,MATCH(B2223,'CARNET DE SOUDURE'!$L$7:$L$3006,0)),IFERROR(INDEX('CARNET DE SOUDURE'!$B$7:$B$3006,MATCH(B2223,'CARNET DE SOUDURE'!$O$7:$O$3006,0)),"")))</f>
        <v/>
      </c>
      <c r="J2223" s="82" t="str">
        <f aca="false">IF(B2223="","",IFERROR(INDEX('CARNET DE SOUDURE'!$E$7:$E$3006,MATCH(B2223,'CARNET DE SOUDURE'!$O$7:$O$3006,0)),""))</f>
        <v/>
      </c>
      <c r="K2223" s="82" t="str">
        <f aca="false">IF(B2223="","",IFERROR(INDEX('CARNET DE SOUDURE'!$E$7:$E$3006,MATCH(B2223,'CARNET DE SOUDURE'!$L$7:$L$3006,0)),""))</f>
        <v/>
      </c>
      <c r="L2223" s="82" t="str">
        <f aca="false">IF(B2223="","",IFERROR(INDEX('CARNET DE SOUDURE'!$D$7:$D$3006,MATCH(B2223,'CARNET DE SOUDURE'!$L$7:$L$3006,0)),IFERROR(INDEX('CARNET DE SOUDURE'!$D$7:$D$3006,MATCH(B2223,'CARNET DE SOUDURE'!$O$7:$O$3006,0)),"")))</f>
        <v/>
      </c>
      <c r="M2223" s="82" t="str">
        <f aca="false">IF(B2223="","",IF(OR(J2223&lt;&gt;"",K2223&lt;&gt;""),"POSÉ EN LIGNE",IF(COUNTIF(BARDAGE!$C$1:$C$5000,B2223)&gt;0,"BARDÉ","EN STOCK")))</f>
        <v/>
      </c>
      <c r="N2223" s="80"/>
    </row>
    <row r="2224" customFormat="false" ht="15" hidden="false" customHeight="false" outlineLevel="0" collapsed="false">
      <c r="A2224" s="82" t="str">
        <f aca="false">IF(B2224="","",ROW()-6)</f>
        <v/>
      </c>
      <c r="B2224" s="145"/>
      <c r="C2224" s="146"/>
      <c r="D2224" s="146"/>
      <c r="E2224" s="82" t="str">
        <f aca="false">IF(B2224="","",IF(COUNTIFS('CARNET DE SOUDURE'!$L$7:$L$3006,B2224,'CARNET DE SOUDURE'!$M$7:$M$3006,"&lt;&gt;"&amp;C2224,'CARNET DE SOUDURE'!$M$7:$M$3006,"&lt;&gt;")+COUNTIFS('CARNET DE SOUDURE'!$O$7:$O$3006,B2224,'CARNET DE SOUDURE'!$P$7:$P$3006,"&lt;&gt;"&amp;C2224,'CARNET DE SOUDURE'!$P$7:$P$3006,"&lt;&gt;")&gt;0,"⚠ DIFFÉRENTE","OK"))</f>
        <v/>
      </c>
      <c r="F2224" s="147"/>
      <c r="G2224" s="80"/>
      <c r="H2224" s="83"/>
      <c r="I2224" s="148" t="str">
        <f aca="false">IF(B2224="","",IFERROR(INDEX('CARNET DE SOUDURE'!$B$7:$B$3006,MATCH(B2224,'CARNET DE SOUDURE'!$L$7:$L$3006,0)),IFERROR(INDEX('CARNET DE SOUDURE'!$B$7:$B$3006,MATCH(B2224,'CARNET DE SOUDURE'!$O$7:$O$3006,0)),"")))</f>
        <v/>
      </c>
      <c r="J2224" s="82" t="str">
        <f aca="false">IF(B2224="","",IFERROR(INDEX('CARNET DE SOUDURE'!$E$7:$E$3006,MATCH(B2224,'CARNET DE SOUDURE'!$O$7:$O$3006,0)),""))</f>
        <v/>
      </c>
      <c r="K2224" s="82" t="str">
        <f aca="false">IF(B2224="","",IFERROR(INDEX('CARNET DE SOUDURE'!$E$7:$E$3006,MATCH(B2224,'CARNET DE SOUDURE'!$L$7:$L$3006,0)),""))</f>
        <v/>
      </c>
      <c r="L2224" s="82" t="str">
        <f aca="false">IF(B2224="","",IFERROR(INDEX('CARNET DE SOUDURE'!$D$7:$D$3006,MATCH(B2224,'CARNET DE SOUDURE'!$L$7:$L$3006,0)),IFERROR(INDEX('CARNET DE SOUDURE'!$D$7:$D$3006,MATCH(B2224,'CARNET DE SOUDURE'!$O$7:$O$3006,0)),"")))</f>
        <v/>
      </c>
      <c r="M2224" s="82" t="str">
        <f aca="false">IF(B2224="","",IF(OR(J2224&lt;&gt;"",K2224&lt;&gt;""),"POSÉ EN LIGNE",IF(COUNTIF(BARDAGE!$C$1:$C$5000,B2224)&gt;0,"BARDÉ","EN STOCK")))</f>
        <v/>
      </c>
      <c r="N2224" s="80"/>
    </row>
    <row r="2225" customFormat="false" ht="15" hidden="false" customHeight="false" outlineLevel="0" collapsed="false">
      <c r="A2225" s="82" t="str">
        <f aca="false">IF(B2225="","",ROW()-6)</f>
        <v/>
      </c>
      <c r="B2225" s="145"/>
      <c r="C2225" s="146"/>
      <c r="D2225" s="146"/>
      <c r="E2225" s="82" t="str">
        <f aca="false">IF(B2225="","",IF(COUNTIFS('CARNET DE SOUDURE'!$L$7:$L$3006,B2225,'CARNET DE SOUDURE'!$M$7:$M$3006,"&lt;&gt;"&amp;C2225,'CARNET DE SOUDURE'!$M$7:$M$3006,"&lt;&gt;")+COUNTIFS('CARNET DE SOUDURE'!$O$7:$O$3006,B2225,'CARNET DE SOUDURE'!$P$7:$P$3006,"&lt;&gt;"&amp;C2225,'CARNET DE SOUDURE'!$P$7:$P$3006,"&lt;&gt;")&gt;0,"⚠ DIFFÉRENTE","OK"))</f>
        <v/>
      </c>
      <c r="F2225" s="147"/>
      <c r="G2225" s="80"/>
      <c r="H2225" s="83"/>
      <c r="I2225" s="148" t="str">
        <f aca="false">IF(B2225="","",IFERROR(INDEX('CARNET DE SOUDURE'!$B$7:$B$3006,MATCH(B2225,'CARNET DE SOUDURE'!$L$7:$L$3006,0)),IFERROR(INDEX('CARNET DE SOUDURE'!$B$7:$B$3006,MATCH(B2225,'CARNET DE SOUDURE'!$O$7:$O$3006,0)),"")))</f>
        <v/>
      </c>
      <c r="J2225" s="82" t="str">
        <f aca="false">IF(B2225="","",IFERROR(INDEX('CARNET DE SOUDURE'!$E$7:$E$3006,MATCH(B2225,'CARNET DE SOUDURE'!$O$7:$O$3006,0)),""))</f>
        <v/>
      </c>
      <c r="K2225" s="82" t="str">
        <f aca="false">IF(B2225="","",IFERROR(INDEX('CARNET DE SOUDURE'!$E$7:$E$3006,MATCH(B2225,'CARNET DE SOUDURE'!$L$7:$L$3006,0)),""))</f>
        <v/>
      </c>
      <c r="L2225" s="82" t="str">
        <f aca="false">IF(B2225="","",IFERROR(INDEX('CARNET DE SOUDURE'!$D$7:$D$3006,MATCH(B2225,'CARNET DE SOUDURE'!$L$7:$L$3006,0)),IFERROR(INDEX('CARNET DE SOUDURE'!$D$7:$D$3006,MATCH(B2225,'CARNET DE SOUDURE'!$O$7:$O$3006,0)),"")))</f>
        <v/>
      </c>
      <c r="M2225" s="82" t="str">
        <f aca="false">IF(B2225="","",IF(OR(J2225&lt;&gt;"",K2225&lt;&gt;""),"POSÉ EN LIGNE",IF(COUNTIF(BARDAGE!$C$1:$C$5000,B2225)&gt;0,"BARDÉ","EN STOCK")))</f>
        <v/>
      </c>
      <c r="N2225" s="80"/>
    </row>
    <row r="2226" customFormat="false" ht="15" hidden="false" customHeight="false" outlineLevel="0" collapsed="false">
      <c r="A2226" s="82" t="str">
        <f aca="false">IF(B2226="","",ROW()-6)</f>
        <v/>
      </c>
      <c r="B2226" s="145"/>
      <c r="C2226" s="146"/>
      <c r="D2226" s="146"/>
      <c r="E2226" s="82" t="str">
        <f aca="false">IF(B2226="","",IF(COUNTIFS('CARNET DE SOUDURE'!$L$7:$L$3006,B2226,'CARNET DE SOUDURE'!$M$7:$M$3006,"&lt;&gt;"&amp;C2226,'CARNET DE SOUDURE'!$M$7:$M$3006,"&lt;&gt;")+COUNTIFS('CARNET DE SOUDURE'!$O$7:$O$3006,B2226,'CARNET DE SOUDURE'!$P$7:$P$3006,"&lt;&gt;"&amp;C2226,'CARNET DE SOUDURE'!$P$7:$P$3006,"&lt;&gt;")&gt;0,"⚠ DIFFÉRENTE","OK"))</f>
        <v/>
      </c>
      <c r="F2226" s="147"/>
      <c r="G2226" s="80"/>
      <c r="H2226" s="83"/>
      <c r="I2226" s="148" t="str">
        <f aca="false">IF(B2226="","",IFERROR(INDEX('CARNET DE SOUDURE'!$B$7:$B$3006,MATCH(B2226,'CARNET DE SOUDURE'!$L$7:$L$3006,0)),IFERROR(INDEX('CARNET DE SOUDURE'!$B$7:$B$3006,MATCH(B2226,'CARNET DE SOUDURE'!$O$7:$O$3006,0)),"")))</f>
        <v/>
      </c>
      <c r="J2226" s="82" t="str">
        <f aca="false">IF(B2226="","",IFERROR(INDEX('CARNET DE SOUDURE'!$E$7:$E$3006,MATCH(B2226,'CARNET DE SOUDURE'!$O$7:$O$3006,0)),""))</f>
        <v/>
      </c>
      <c r="K2226" s="82" t="str">
        <f aca="false">IF(B2226="","",IFERROR(INDEX('CARNET DE SOUDURE'!$E$7:$E$3006,MATCH(B2226,'CARNET DE SOUDURE'!$L$7:$L$3006,0)),""))</f>
        <v/>
      </c>
      <c r="L2226" s="82" t="str">
        <f aca="false">IF(B2226="","",IFERROR(INDEX('CARNET DE SOUDURE'!$D$7:$D$3006,MATCH(B2226,'CARNET DE SOUDURE'!$L$7:$L$3006,0)),IFERROR(INDEX('CARNET DE SOUDURE'!$D$7:$D$3006,MATCH(B2226,'CARNET DE SOUDURE'!$O$7:$O$3006,0)),"")))</f>
        <v/>
      </c>
      <c r="M2226" s="82" t="str">
        <f aca="false">IF(B2226="","",IF(OR(J2226&lt;&gt;"",K2226&lt;&gt;""),"POSÉ EN LIGNE",IF(COUNTIF(BARDAGE!$C$1:$C$5000,B2226)&gt;0,"BARDÉ","EN STOCK")))</f>
        <v/>
      </c>
      <c r="N2226" s="80"/>
    </row>
    <row r="2227" customFormat="false" ht="15" hidden="false" customHeight="false" outlineLevel="0" collapsed="false">
      <c r="A2227" s="82" t="str">
        <f aca="false">IF(B2227="","",ROW()-6)</f>
        <v/>
      </c>
      <c r="B2227" s="145"/>
      <c r="C2227" s="146"/>
      <c r="D2227" s="146"/>
      <c r="E2227" s="82" t="str">
        <f aca="false">IF(B2227="","",IF(COUNTIFS('CARNET DE SOUDURE'!$L$7:$L$3006,B2227,'CARNET DE SOUDURE'!$M$7:$M$3006,"&lt;&gt;"&amp;C2227,'CARNET DE SOUDURE'!$M$7:$M$3006,"&lt;&gt;")+COUNTIFS('CARNET DE SOUDURE'!$O$7:$O$3006,B2227,'CARNET DE SOUDURE'!$P$7:$P$3006,"&lt;&gt;"&amp;C2227,'CARNET DE SOUDURE'!$P$7:$P$3006,"&lt;&gt;")&gt;0,"⚠ DIFFÉRENTE","OK"))</f>
        <v/>
      </c>
      <c r="F2227" s="147"/>
      <c r="G2227" s="80"/>
      <c r="H2227" s="83"/>
      <c r="I2227" s="148" t="str">
        <f aca="false">IF(B2227="","",IFERROR(INDEX('CARNET DE SOUDURE'!$B$7:$B$3006,MATCH(B2227,'CARNET DE SOUDURE'!$L$7:$L$3006,0)),IFERROR(INDEX('CARNET DE SOUDURE'!$B$7:$B$3006,MATCH(B2227,'CARNET DE SOUDURE'!$O$7:$O$3006,0)),"")))</f>
        <v/>
      </c>
      <c r="J2227" s="82" t="str">
        <f aca="false">IF(B2227="","",IFERROR(INDEX('CARNET DE SOUDURE'!$E$7:$E$3006,MATCH(B2227,'CARNET DE SOUDURE'!$O$7:$O$3006,0)),""))</f>
        <v/>
      </c>
      <c r="K2227" s="82" t="str">
        <f aca="false">IF(B2227="","",IFERROR(INDEX('CARNET DE SOUDURE'!$E$7:$E$3006,MATCH(B2227,'CARNET DE SOUDURE'!$L$7:$L$3006,0)),""))</f>
        <v/>
      </c>
      <c r="L2227" s="82" t="str">
        <f aca="false">IF(B2227="","",IFERROR(INDEX('CARNET DE SOUDURE'!$D$7:$D$3006,MATCH(B2227,'CARNET DE SOUDURE'!$L$7:$L$3006,0)),IFERROR(INDEX('CARNET DE SOUDURE'!$D$7:$D$3006,MATCH(B2227,'CARNET DE SOUDURE'!$O$7:$O$3006,0)),"")))</f>
        <v/>
      </c>
      <c r="M2227" s="82" t="str">
        <f aca="false">IF(B2227="","",IF(OR(J2227&lt;&gt;"",K2227&lt;&gt;""),"POSÉ EN LIGNE",IF(COUNTIF(BARDAGE!$C$1:$C$5000,B2227)&gt;0,"BARDÉ","EN STOCK")))</f>
        <v/>
      </c>
      <c r="N2227" s="80"/>
    </row>
    <row r="2228" customFormat="false" ht="15" hidden="false" customHeight="false" outlineLevel="0" collapsed="false">
      <c r="A2228" s="82" t="str">
        <f aca="false">IF(B2228="","",ROW()-6)</f>
        <v/>
      </c>
      <c r="B2228" s="145"/>
      <c r="C2228" s="146"/>
      <c r="D2228" s="146"/>
      <c r="E2228" s="82" t="str">
        <f aca="false">IF(B2228="","",IF(COUNTIFS('CARNET DE SOUDURE'!$L$7:$L$3006,B2228,'CARNET DE SOUDURE'!$M$7:$M$3006,"&lt;&gt;"&amp;C2228,'CARNET DE SOUDURE'!$M$7:$M$3006,"&lt;&gt;")+COUNTIFS('CARNET DE SOUDURE'!$O$7:$O$3006,B2228,'CARNET DE SOUDURE'!$P$7:$P$3006,"&lt;&gt;"&amp;C2228,'CARNET DE SOUDURE'!$P$7:$P$3006,"&lt;&gt;")&gt;0,"⚠ DIFFÉRENTE","OK"))</f>
        <v/>
      </c>
      <c r="F2228" s="147"/>
      <c r="G2228" s="80"/>
      <c r="H2228" s="83"/>
      <c r="I2228" s="148" t="str">
        <f aca="false">IF(B2228="","",IFERROR(INDEX('CARNET DE SOUDURE'!$B$7:$B$3006,MATCH(B2228,'CARNET DE SOUDURE'!$L$7:$L$3006,0)),IFERROR(INDEX('CARNET DE SOUDURE'!$B$7:$B$3006,MATCH(B2228,'CARNET DE SOUDURE'!$O$7:$O$3006,0)),"")))</f>
        <v/>
      </c>
      <c r="J2228" s="82" t="str">
        <f aca="false">IF(B2228="","",IFERROR(INDEX('CARNET DE SOUDURE'!$E$7:$E$3006,MATCH(B2228,'CARNET DE SOUDURE'!$O$7:$O$3006,0)),""))</f>
        <v/>
      </c>
      <c r="K2228" s="82" t="str">
        <f aca="false">IF(B2228="","",IFERROR(INDEX('CARNET DE SOUDURE'!$E$7:$E$3006,MATCH(B2228,'CARNET DE SOUDURE'!$L$7:$L$3006,0)),""))</f>
        <v/>
      </c>
      <c r="L2228" s="82" t="str">
        <f aca="false">IF(B2228="","",IFERROR(INDEX('CARNET DE SOUDURE'!$D$7:$D$3006,MATCH(B2228,'CARNET DE SOUDURE'!$L$7:$L$3006,0)),IFERROR(INDEX('CARNET DE SOUDURE'!$D$7:$D$3006,MATCH(B2228,'CARNET DE SOUDURE'!$O$7:$O$3006,0)),"")))</f>
        <v/>
      </c>
      <c r="M2228" s="82" t="str">
        <f aca="false">IF(B2228="","",IF(OR(J2228&lt;&gt;"",K2228&lt;&gt;""),"POSÉ EN LIGNE",IF(COUNTIF(BARDAGE!$C$1:$C$5000,B2228)&gt;0,"BARDÉ","EN STOCK")))</f>
        <v/>
      </c>
      <c r="N2228" s="80"/>
    </row>
    <row r="2229" customFormat="false" ht="15" hidden="false" customHeight="false" outlineLevel="0" collapsed="false">
      <c r="A2229" s="82" t="str">
        <f aca="false">IF(B2229="","",ROW()-6)</f>
        <v/>
      </c>
      <c r="B2229" s="145"/>
      <c r="C2229" s="146"/>
      <c r="D2229" s="146"/>
      <c r="E2229" s="82" t="str">
        <f aca="false">IF(B2229="","",IF(COUNTIFS('CARNET DE SOUDURE'!$L$7:$L$3006,B2229,'CARNET DE SOUDURE'!$M$7:$M$3006,"&lt;&gt;"&amp;C2229,'CARNET DE SOUDURE'!$M$7:$M$3006,"&lt;&gt;")+COUNTIFS('CARNET DE SOUDURE'!$O$7:$O$3006,B2229,'CARNET DE SOUDURE'!$P$7:$P$3006,"&lt;&gt;"&amp;C2229,'CARNET DE SOUDURE'!$P$7:$P$3006,"&lt;&gt;")&gt;0,"⚠ DIFFÉRENTE","OK"))</f>
        <v/>
      </c>
      <c r="F2229" s="147"/>
      <c r="G2229" s="80"/>
      <c r="H2229" s="83"/>
      <c r="I2229" s="148" t="str">
        <f aca="false">IF(B2229="","",IFERROR(INDEX('CARNET DE SOUDURE'!$B$7:$B$3006,MATCH(B2229,'CARNET DE SOUDURE'!$L$7:$L$3006,0)),IFERROR(INDEX('CARNET DE SOUDURE'!$B$7:$B$3006,MATCH(B2229,'CARNET DE SOUDURE'!$O$7:$O$3006,0)),"")))</f>
        <v/>
      </c>
      <c r="J2229" s="82" t="str">
        <f aca="false">IF(B2229="","",IFERROR(INDEX('CARNET DE SOUDURE'!$E$7:$E$3006,MATCH(B2229,'CARNET DE SOUDURE'!$O$7:$O$3006,0)),""))</f>
        <v/>
      </c>
      <c r="K2229" s="82" t="str">
        <f aca="false">IF(B2229="","",IFERROR(INDEX('CARNET DE SOUDURE'!$E$7:$E$3006,MATCH(B2229,'CARNET DE SOUDURE'!$L$7:$L$3006,0)),""))</f>
        <v/>
      </c>
      <c r="L2229" s="82" t="str">
        <f aca="false">IF(B2229="","",IFERROR(INDEX('CARNET DE SOUDURE'!$D$7:$D$3006,MATCH(B2229,'CARNET DE SOUDURE'!$L$7:$L$3006,0)),IFERROR(INDEX('CARNET DE SOUDURE'!$D$7:$D$3006,MATCH(B2229,'CARNET DE SOUDURE'!$O$7:$O$3006,0)),"")))</f>
        <v/>
      </c>
      <c r="M2229" s="82" t="str">
        <f aca="false">IF(B2229="","",IF(OR(J2229&lt;&gt;"",K2229&lt;&gt;""),"POSÉ EN LIGNE",IF(COUNTIF(BARDAGE!$C$1:$C$5000,B2229)&gt;0,"BARDÉ","EN STOCK")))</f>
        <v/>
      </c>
      <c r="N2229" s="80"/>
    </row>
    <row r="2230" customFormat="false" ht="15" hidden="false" customHeight="false" outlineLevel="0" collapsed="false">
      <c r="A2230" s="82" t="str">
        <f aca="false">IF(B2230="","",ROW()-6)</f>
        <v/>
      </c>
      <c r="B2230" s="145"/>
      <c r="C2230" s="146"/>
      <c r="D2230" s="146"/>
      <c r="E2230" s="82" t="str">
        <f aca="false">IF(B2230="","",IF(COUNTIFS('CARNET DE SOUDURE'!$L$7:$L$3006,B2230,'CARNET DE SOUDURE'!$M$7:$M$3006,"&lt;&gt;"&amp;C2230,'CARNET DE SOUDURE'!$M$7:$M$3006,"&lt;&gt;")+COUNTIFS('CARNET DE SOUDURE'!$O$7:$O$3006,B2230,'CARNET DE SOUDURE'!$P$7:$P$3006,"&lt;&gt;"&amp;C2230,'CARNET DE SOUDURE'!$P$7:$P$3006,"&lt;&gt;")&gt;0,"⚠ DIFFÉRENTE","OK"))</f>
        <v/>
      </c>
      <c r="F2230" s="147"/>
      <c r="G2230" s="80"/>
      <c r="H2230" s="83"/>
      <c r="I2230" s="148" t="str">
        <f aca="false">IF(B2230="","",IFERROR(INDEX('CARNET DE SOUDURE'!$B$7:$B$3006,MATCH(B2230,'CARNET DE SOUDURE'!$L$7:$L$3006,0)),IFERROR(INDEX('CARNET DE SOUDURE'!$B$7:$B$3006,MATCH(B2230,'CARNET DE SOUDURE'!$O$7:$O$3006,0)),"")))</f>
        <v/>
      </c>
      <c r="J2230" s="82" t="str">
        <f aca="false">IF(B2230="","",IFERROR(INDEX('CARNET DE SOUDURE'!$E$7:$E$3006,MATCH(B2230,'CARNET DE SOUDURE'!$O$7:$O$3006,0)),""))</f>
        <v/>
      </c>
      <c r="K2230" s="82" t="str">
        <f aca="false">IF(B2230="","",IFERROR(INDEX('CARNET DE SOUDURE'!$E$7:$E$3006,MATCH(B2230,'CARNET DE SOUDURE'!$L$7:$L$3006,0)),""))</f>
        <v/>
      </c>
      <c r="L2230" s="82" t="str">
        <f aca="false">IF(B2230="","",IFERROR(INDEX('CARNET DE SOUDURE'!$D$7:$D$3006,MATCH(B2230,'CARNET DE SOUDURE'!$L$7:$L$3006,0)),IFERROR(INDEX('CARNET DE SOUDURE'!$D$7:$D$3006,MATCH(B2230,'CARNET DE SOUDURE'!$O$7:$O$3006,0)),"")))</f>
        <v/>
      </c>
      <c r="M2230" s="82" t="str">
        <f aca="false">IF(B2230="","",IF(OR(J2230&lt;&gt;"",K2230&lt;&gt;""),"POSÉ EN LIGNE",IF(COUNTIF(BARDAGE!$C$1:$C$5000,B2230)&gt;0,"BARDÉ","EN STOCK")))</f>
        <v/>
      </c>
      <c r="N2230" s="80"/>
    </row>
    <row r="2231" customFormat="false" ht="15" hidden="false" customHeight="false" outlineLevel="0" collapsed="false">
      <c r="A2231" s="82" t="str">
        <f aca="false">IF(B2231="","",ROW()-6)</f>
        <v/>
      </c>
      <c r="B2231" s="145"/>
      <c r="C2231" s="146"/>
      <c r="D2231" s="146"/>
      <c r="E2231" s="82" t="str">
        <f aca="false">IF(B2231="","",IF(COUNTIFS('CARNET DE SOUDURE'!$L$7:$L$3006,B2231,'CARNET DE SOUDURE'!$M$7:$M$3006,"&lt;&gt;"&amp;C2231,'CARNET DE SOUDURE'!$M$7:$M$3006,"&lt;&gt;")+COUNTIFS('CARNET DE SOUDURE'!$O$7:$O$3006,B2231,'CARNET DE SOUDURE'!$P$7:$P$3006,"&lt;&gt;"&amp;C2231,'CARNET DE SOUDURE'!$P$7:$P$3006,"&lt;&gt;")&gt;0,"⚠ DIFFÉRENTE","OK"))</f>
        <v/>
      </c>
      <c r="F2231" s="147"/>
      <c r="G2231" s="80"/>
      <c r="H2231" s="83"/>
      <c r="I2231" s="148" t="str">
        <f aca="false">IF(B2231="","",IFERROR(INDEX('CARNET DE SOUDURE'!$B$7:$B$3006,MATCH(B2231,'CARNET DE SOUDURE'!$L$7:$L$3006,0)),IFERROR(INDEX('CARNET DE SOUDURE'!$B$7:$B$3006,MATCH(B2231,'CARNET DE SOUDURE'!$O$7:$O$3006,0)),"")))</f>
        <v/>
      </c>
      <c r="J2231" s="82" t="str">
        <f aca="false">IF(B2231="","",IFERROR(INDEX('CARNET DE SOUDURE'!$E$7:$E$3006,MATCH(B2231,'CARNET DE SOUDURE'!$O$7:$O$3006,0)),""))</f>
        <v/>
      </c>
      <c r="K2231" s="82" t="str">
        <f aca="false">IF(B2231="","",IFERROR(INDEX('CARNET DE SOUDURE'!$E$7:$E$3006,MATCH(B2231,'CARNET DE SOUDURE'!$L$7:$L$3006,0)),""))</f>
        <v/>
      </c>
      <c r="L2231" s="82" t="str">
        <f aca="false">IF(B2231="","",IFERROR(INDEX('CARNET DE SOUDURE'!$D$7:$D$3006,MATCH(B2231,'CARNET DE SOUDURE'!$L$7:$L$3006,0)),IFERROR(INDEX('CARNET DE SOUDURE'!$D$7:$D$3006,MATCH(B2231,'CARNET DE SOUDURE'!$O$7:$O$3006,0)),"")))</f>
        <v/>
      </c>
      <c r="M2231" s="82" t="str">
        <f aca="false">IF(B2231="","",IF(OR(J2231&lt;&gt;"",K2231&lt;&gt;""),"POSÉ EN LIGNE",IF(COUNTIF(BARDAGE!$C$1:$C$5000,B2231)&gt;0,"BARDÉ","EN STOCK")))</f>
        <v/>
      </c>
      <c r="N2231" s="80"/>
    </row>
    <row r="2232" customFormat="false" ht="15" hidden="false" customHeight="false" outlineLevel="0" collapsed="false">
      <c r="A2232" s="82" t="str">
        <f aca="false">IF(B2232="","",ROW()-6)</f>
        <v/>
      </c>
      <c r="B2232" s="145"/>
      <c r="C2232" s="146"/>
      <c r="D2232" s="146"/>
      <c r="E2232" s="82" t="str">
        <f aca="false">IF(B2232="","",IF(COUNTIFS('CARNET DE SOUDURE'!$L$7:$L$3006,B2232,'CARNET DE SOUDURE'!$M$7:$M$3006,"&lt;&gt;"&amp;C2232,'CARNET DE SOUDURE'!$M$7:$M$3006,"&lt;&gt;")+COUNTIFS('CARNET DE SOUDURE'!$O$7:$O$3006,B2232,'CARNET DE SOUDURE'!$P$7:$P$3006,"&lt;&gt;"&amp;C2232,'CARNET DE SOUDURE'!$P$7:$P$3006,"&lt;&gt;")&gt;0,"⚠ DIFFÉRENTE","OK"))</f>
        <v/>
      </c>
      <c r="F2232" s="147"/>
      <c r="G2232" s="80"/>
      <c r="H2232" s="83"/>
      <c r="I2232" s="148" t="str">
        <f aca="false">IF(B2232="","",IFERROR(INDEX('CARNET DE SOUDURE'!$B$7:$B$3006,MATCH(B2232,'CARNET DE SOUDURE'!$L$7:$L$3006,0)),IFERROR(INDEX('CARNET DE SOUDURE'!$B$7:$B$3006,MATCH(B2232,'CARNET DE SOUDURE'!$O$7:$O$3006,0)),"")))</f>
        <v/>
      </c>
      <c r="J2232" s="82" t="str">
        <f aca="false">IF(B2232="","",IFERROR(INDEX('CARNET DE SOUDURE'!$E$7:$E$3006,MATCH(B2232,'CARNET DE SOUDURE'!$O$7:$O$3006,0)),""))</f>
        <v/>
      </c>
      <c r="K2232" s="82" t="str">
        <f aca="false">IF(B2232="","",IFERROR(INDEX('CARNET DE SOUDURE'!$E$7:$E$3006,MATCH(B2232,'CARNET DE SOUDURE'!$L$7:$L$3006,0)),""))</f>
        <v/>
      </c>
      <c r="L2232" s="82" t="str">
        <f aca="false">IF(B2232="","",IFERROR(INDEX('CARNET DE SOUDURE'!$D$7:$D$3006,MATCH(B2232,'CARNET DE SOUDURE'!$L$7:$L$3006,0)),IFERROR(INDEX('CARNET DE SOUDURE'!$D$7:$D$3006,MATCH(B2232,'CARNET DE SOUDURE'!$O$7:$O$3006,0)),"")))</f>
        <v/>
      </c>
      <c r="M2232" s="82" t="str">
        <f aca="false">IF(B2232="","",IF(OR(J2232&lt;&gt;"",K2232&lt;&gt;""),"POSÉ EN LIGNE",IF(COUNTIF(BARDAGE!$C$1:$C$5000,B2232)&gt;0,"BARDÉ","EN STOCK")))</f>
        <v/>
      </c>
      <c r="N2232" s="80"/>
    </row>
    <row r="2233" customFormat="false" ht="15" hidden="false" customHeight="false" outlineLevel="0" collapsed="false">
      <c r="A2233" s="82" t="str">
        <f aca="false">IF(B2233="","",ROW()-6)</f>
        <v/>
      </c>
      <c r="B2233" s="145"/>
      <c r="C2233" s="146"/>
      <c r="D2233" s="146"/>
      <c r="E2233" s="82" t="str">
        <f aca="false">IF(B2233="","",IF(COUNTIFS('CARNET DE SOUDURE'!$L$7:$L$3006,B2233,'CARNET DE SOUDURE'!$M$7:$M$3006,"&lt;&gt;"&amp;C2233,'CARNET DE SOUDURE'!$M$7:$M$3006,"&lt;&gt;")+COUNTIFS('CARNET DE SOUDURE'!$O$7:$O$3006,B2233,'CARNET DE SOUDURE'!$P$7:$P$3006,"&lt;&gt;"&amp;C2233,'CARNET DE SOUDURE'!$P$7:$P$3006,"&lt;&gt;")&gt;0,"⚠ DIFFÉRENTE","OK"))</f>
        <v/>
      </c>
      <c r="F2233" s="147"/>
      <c r="G2233" s="80"/>
      <c r="H2233" s="83"/>
      <c r="I2233" s="148" t="str">
        <f aca="false">IF(B2233="","",IFERROR(INDEX('CARNET DE SOUDURE'!$B$7:$B$3006,MATCH(B2233,'CARNET DE SOUDURE'!$L$7:$L$3006,0)),IFERROR(INDEX('CARNET DE SOUDURE'!$B$7:$B$3006,MATCH(B2233,'CARNET DE SOUDURE'!$O$7:$O$3006,0)),"")))</f>
        <v/>
      </c>
      <c r="J2233" s="82" t="str">
        <f aca="false">IF(B2233="","",IFERROR(INDEX('CARNET DE SOUDURE'!$E$7:$E$3006,MATCH(B2233,'CARNET DE SOUDURE'!$O$7:$O$3006,0)),""))</f>
        <v/>
      </c>
      <c r="K2233" s="82" t="str">
        <f aca="false">IF(B2233="","",IFERROR(INDEX('CARNET DE SOUDURE'!$E$7:$E$3006,MATCH(B2233,'CARNET DE SOUDURE'!$L$7:$L$3006,0)),""))</f>
        <v/>
      </c>
      <c r="L2233" s="82" t="str">
        <f aca="false">IF(B2233="","",IFERROR(INDEX('CARNET DE SOUDURE'!$D$7:$D$3006,MATCH(B2233,'CARNET DE SOUDURE'!$L$7:$L$3006,0)),IFERROR(INDEX('CARNET DE SOUDURE'!$D$7:$D$3006,MATCH(B2233,'CARNET DE SOUDURE'!$O$7:$O$3006,0)),"")))</f>
        <v/>
      </c>
      <c r="M2233" s="82" t="str">
        <f aca="false">IF(B2233="","",IF(OR(J2233&lt;&gt;"",K2233&lt;&gt;""),"POSÉ EN LIGNE",IF(COUNTIF(BARDAGE!$C$1:$C$5000,B2233)&gt;0,"BARDÉ","EN STOCK")))</f>
        <v/>
      </c>
      <c r="N2233" s="80"/>
    </row>
    <row r="2234" customFormat="false" ht="15" hidden="false" customHeight="false" outlineLevel="0" collapsed="false">
      <c r="A2234" s="82" t="str">
        <f aca="false">IF(B2234="","",ROW()-6)</f>
        <v/>
      </c>
      <c r="B2234" s="145"/>
      <c r="C2234" s="146"/>
      <c r="D2234" s="146"/>
      <c r="E2234" s="82" t="str">
        <f aca="false">IF(B2234="","",IF(COUNTIFS('CARNET DE SOUDURE'!$L$7:$L$3006,B2234,'CARNET DE SOUDURE'!$M$7:$M$3006,"&lt;&gt;"&amp;C2234,'CARNET DE SOUDURE'!$M$7:$M$3006,"&lt;&gt;")+COUNTIFS('CARNET DE SOUDURE'!$O$7:$O$3006,B2234,'CARNET DE SOUDURE'!$P$7:$P$3006,"&lt;&gt;"&amp;C2234,'CARNET DE SOUDURE'!$P$7:$P$3006,"&lt;&gt;")&gt;0,"⚠ DIFFÉRENTE","OK"))</f>
        <v/>
      </c>
      <c r="F2234" s="147"/>
      <c r="G2234" s="80"/>
      <c r="H2234" s="83"/>
      <c r="I2234" s="148" t="str">
        <f aca="false">IF(B2234="","",IFERROR(INDEX('CARNET DE SOUDURE'!$B$7:$B$3006,MATCH(B2234,'CARNET DE SOUDURE'!$L$7:$L$3006,0)),IFERROR(INDEX('CARNET DE SOUDURE'!$B$7:$B$3006,MATCH(B2234,'CARNET DE SOUDURE'!$O$7:$O$3006,0)),"")))</f>
        <v/>
      </c>
      <c r="J2234" s="82" t="str">
        <f aca="false">IF(B2234="","",IFERROR(INDEX('CARNET DE SOUDURE'!$E$7:$E$3006,MATCH(B2234,'CARNET DE SOUDURE'!$O$7:$O$3006,0)),""))</f>
        <v/>
      </c>
      <c r="K2234" s="82" t="str">
        <f aca="false">IF(B2234="","",IFERROR(INDEX('CARNET DE SOUDURE'!$E$7:$E$3006,MATCH(B2234,'CARNET DE SOUDURE'!$L$7:$L$3006,0)),""))</f>
        <v/>
      </c>
      <c r="L2234" s="82" t="str">
        <f aca="false">IF(B2234="","",IFERROR(INDEX('CARNET DE SOUDURE'!$D$7:$D$3006,MATCH(B2234,'CARNET DE SOUDURE'!$L$7:$L$3006,0)),IFERROR(INDEX('CARNET DE SOUDURE'!$D$7:$D$3006,MATCH(B2234,'CARNET DE SOUDURE'!$O$7:$O$3006,0)),"")))</f>
        <v/>
      </c>
      <c r="M2234" s="82" t="str">
        <f aca="false">IF(B2234="","",IF(OR(J2234&lt;&gt;"",K2234&lt;&gt;""),"POSÉ EN LIGNE",IF(COUNTIF(BARDAGE!$C$1:$C$5000,B2234)&gt;0,"BARDÉ","EN STOCK")))</f>
        <v/>
      </c>
      <c r="N2234" s="80"/>
    </row>
    <row r="2235" customFormat="false" ht="15" hidden="false" customHeight="false" outlineLevel="0" collapsed="false">
      <c r="A2235" s="82" t="str">
        <f aca="false">IF(B2235="","",ROW()-6)</f>
        <v/>
      </c>
      <c r="B2235" s="145"/>
      <c r="C2235" s="146"/>
      <c r="D2235" s="146"/>
      <c r="E2235" s="82" t="str">
        <f aca="false">IF(B2235="","",IF(COUNTIFS('CARNET DE SOUDURE'!$L$7:$L$3006,B2235,'CARNET DE SOUDURE'!$M$7:$M$3006,"&lt;&gt;"&amp;C2235,'CARNET DE SOUDURE'!$M$7:$M$3006,"&lt;&gt;")+COUNTIFS('CARNET DE SOUDURE'!$O$7:$O$3006,B2235,'CARNET DE SOUDURE'!$P$7:$P$3006,"&lt;&gt;"&amp;C2235,'CARNET DE SOUDURE'!$P$7:$P$3006,"&lt;&gt;")&gt;0,"⚠ DIFFÉRENTE","OK"))</f>
        <v/>
      </c>
      <c r="F2235" s="147"/>
      <c r="G2235" s="80"/>
      <c r="H2235" s="83"/>
      <c r="I2235" s="148" t="str">
        <f aca="false">IF(B2235="","",IFERROR(INDEX('CARNET DE SOUDURE'!$B$7:$B$3006,MATCH(B2235,'CARNET DE SOUDURE'!$L$7:$L$3006,0)),IFERROR(INDEX('CARNET DE SOUDURE'!$B$7:$B$3006,MATCH(B2235,'CARNET DE SOUDURE'!$O$7:$O$3006,0)),"")))</f>
        <v/>
      </c>
      <c r="J2235" s="82" t="str">
        <f aca="false">IF(B2235="","",IFERROR(INDEX('CARNET DE SOUDURE'!$E$7:$E$3006,MATCH(B2235,'CARNET DE SOUDURE'!$O$7:$O$3006,0)),""))</f>
        <v/>
      </c>
      <c r="K2235" s="82" t="str">
        <f aca="false">IF(B2235="","",IFERROR(INDEX('CARNET DE SOUDURE'!$E$7:$E$3006,MATCH(B2235,'CARNET DE SOUDURE'!$L$7:$L$3006,0)),""))</f>
        <v/>
      </c>
      <c r="L2235" s="82" t="str">
        <f aca="false">IF(B2235="","",IFERROR(INDEX('CARNET DE SOUDURE'!$D$7:$D$3006,MATCH(B2235,'CARNET DE SOUDURE'!$L$7:$L$3006,0)),IFERROR(INDEX('CARNET DE SOUDURE'!$D$7:$D$3006,MATCH(B2235,'CARNET DE SOUDURE'!$O$7:$O$3006,0)),"")))</f>
        <v/>
      </c>
      <c r="M2235" s="82" t="str">
        <f aca="false">IF(B2235="","",IF(OR(J2235&lt;&gt;"",K2235&lt;&gt;""),"POSÉ EN LIGNE",IF(COUNTIF(BARDAGE!$C$1:$C$5000,B2235)&gt;0,"BARDÉ","EN STOCK")))</f>
        <v/>
      </c>
      <c r="N2235" s="80"/>
    </row>
    <row r="2236" customFormat="false" ht="15" hidden="false" customHeight="false" outlineLevel="0" collapsed="false">
      <c r="A2236" s="82" t="str">
        <f aca="false">IF(B2236="","",ROW()-6)</f>
        <v/>
      </c>
      <c r="B2236" s="145"/>
      <c r="C2236" s="146"/>
      <c r="D2236" s="146"/>
      <c r="E2236" s="82" t="str">
        <f aca="false">IF(B2236="","",IF(COUNTIFS('CARNET DE SOUDURE'!$L$7:$L$3006,B2236,'CARNET DE SOUDURE'!$M$7:$M$3006,"&lt;&gt;"&amp;C2236,'CARNET DE SOUDURE'!$M$7:$M$3006,"&lt;&gt;")+COUNTIFS('CARNET DE SOUDURE'!$O$7:$O$3006,B2236,'CARNET DE SOUDURE'!$P$7:$P$3006,"&lt;&gt;"&amp;C2236,'CARNET DE SOUDURE'!$P$7:$P$3006,"&lt;&gt;")&gt;0,"⚠ DIFFÉRENTE","OK"))</f>
        <v/>
      </c>
      <c r="F2236" s="147"/>
      <c r="G2236" s="80"/>
      <c r="H2236" s="83"/>
      <c r="I2236" s="148" t="str">
        <f aca="false">IF(B2236="","",IFERROR(INDEX('CARNET DE SOUDURE'!$B$7:$B$3006,MATCH(B2236,'CARNET DE SOUDURE'!$L$7:$L$3006,0)),IFERROR(INDEX('CARNET DE SOUDURE'!$B$7:$B$3006,MATCH(B2236,'CARNET DE SOUDURE'!$O$7:$O$3006,0)),"")))</f>
        <v/>
      </c>
      <c r="J2236" s="82" t="str">
        <f aca="false">IF(B2236="","",IFERROR(INDEX('CARNET DE SOUDURE'!$E$7:$E$3006,MATCH(B2236,'CARNET DE SOUDURE'!$O$7:$O$3006,0)),""))</f>
        <v/>
      </c>
      <c r="K2236" s="82" t="str">
        <f aca="false">IF(B2236="","",IFERROR(INDEX('CARNET DE SOUDURE'!$E$7:$E$3006,MATCH(B2236,'CARNET DE SOUDURE'!$L$7:$L$3006,0)),""))</f>
        <v/>
      </c>
      <c r="L2236" s="82" t="str">
        <f aca="false">IF(B2236="","",IFERROR(INDEX('CARNET DE SOUDURE'!$D$7:$D$3006,MATCH(B2236,'CARNET DE SOUDURE'!$L$7:$L$3006,0)),IFERROR(INDEX('CARNET DE SOUDURE'!$D$7:$D$3006,MATCH(B2236,'CARNET DE SOUDURE'!$O$7:$O$3006,0)),"")))</f>
        <v/>
      </c>
      <c r="M2236" s="82" t="str">
        <f aca="false">IF(B2236="","",IF(OR(J2236&lt;&gt;"",K2236&lt;&gt;""),"POSÉ EN LIGNE",IF(COUNTIF(BARDAGE!$C$1:$C$5000,B2236)&gt;0,"BARDÉ","EN STOCK")))</f>
        <v/>
      </c>
      <c r="N2236" s="80"/>
    </row>
    <row r="2237" customFormat="false" ht="15" hidden="false" customHeight="false" outlineLevel="0" collapsed="false">
      <c r="A2237" s="82" t="str">
        <f aca="false">IF(B2237="","",ROW()-6)</f>
        <v/>
      </c>
      <c r="B2237" s="145"/>
      <c r="C2237" s="146"/>
      <c r="D2237" s="146"/>
      <c r="E2237" s="82" t="str">
        <f aca="false">IF(B2237="","",IF(COUNTIFS('CARNET DE SOUDURE'!$L$7:$L$3006,B2237,'CARNET DE SOUDURE'!$M$7:$M$3006,"&lt;&gt;"&amp;C2237,'CARNET DE SOUDURE'!$M$7:$M$3006,"&lt;&gt;")+COUNTIFS('CARNET DE SOUDURE'!$O$7:$O$3006,B2237,'CARNET DE SOUDURE'!$P$7:$P$3006,"&lt;&gt;"&amp;C2237,'CARNET DE SOUDURE'!$P$7:$P$3006,"&lt;&gt;")&gt;0,"⚠ DIFFÉRENTE","OK"))</f>
        <v/>
      </c>
      <c r="F2237" s="147"/>
      <c r="G2237" s="80"/>
      <c r="H2237" s="83"/>
      <c r="I2237" s="148" t="str">
        <f aca="false">IF(B2237="","",IFERROR(INDEX('CARNET DE SOUDURE'!$B$7:$B$3006,MATCH(B2237,'CARNET DE SOUDURE'!$L$7:$L$3006,0)),IFERROR(INDEX('CARNET DE SOUDURE'!$B$7:$B$3006,MATCH(B2237,'CARNET DE SOUDURE'!$O$7:$O$3006,0)),"")))</f>
        <v/>
      </c>
      <c r="J2237" s="82" t="str">
        <f aca="false">IF(B2237="","",IFERROR(INDEX('CARNET DE SOUDURE'!$E$7:$E$3006,MATCH(B2237,'CARNET DE SOUDURE'!$O$7:$O$3006,0)),""))</f>
        <v/>
      </c>
      <c r="K2237" s="82" t="str">
        <f aca="false">IF(B2237="","",IFERROR(INDEX('CARNET DE SOUDURE'!$E$7:$E$3006,MATCH(B2237,'CARNET DE SOUDURE'!$L$7:$L$3006,0)),""))</f>
        <v/>
      </c>
      <c r="L2237" s="82" t="str">
        <f aca="false">IF(B2237="","",IFERROR(INDEX('CARNET DE SOUDURE'!$D$7:$D$3006,MATCH(B2237,'CARNET DE SOUDURE'!$L$7:$L$3006,0)),IFERROR(INDEX('CARNET DE SOUDURE'!$D$7:$D$3006,MATCH(B2237,'CARNET DE SOUDURE'!$O$7:$O$3006,0)),"")))</f>
        <v/>
      </c>
      <c r="M2237" s="82" t="str">
        <f aca="false">IF(B2237="","",IF(OR(J2237&lt;&gt;"",K2237&lt;&gt;""),"POSÉ EN LIGNE",IF(COUNTIF(BARDAGE!$C$1:$C$5000,B2237)&gt;0,"BARDÉ","EN STOCK")))</f>
        <v/>
      </c>
      <c r="N2237" s="80"/>
    </row>
    <row r="2238" customFormat="false" ht="15" hidden="false" customHeight="false" outlineLevel="0" collapsed="false">
      <c r="A2238" s="82" t="str">
        <f aca="false">IF(B2238="","",ROW()-6)</f>
        <v/>
      </c>
      <c r="B2238" s="145"/>
      <c r="C2238" s="146"/>
      <c r="D2238" s="146"/>
      <c r="E2238" s="82" t="str">
        <f aca="false">IF(B2238="","",IF(COUNTIFS('CARNET DE SOUDURE'!$L$7:$L$3006,B2238,'CARNET DE SOUDURE'!$M$7:$M$3006,"&lt;&gt;"&amp;C2238,'CARNET DE SOUDURE'!$M$7:$M$3006,"&lt;&gt;")+COUNTIFS('CARNET DE SOUDURE'!$O$7:$O$3006,B2238,'CARNET DE SOUDURE'!$P$7:$P$3006,"&lt;&gt;"&amp;C2238,'CARNET DE SOUDURE'!$P$7:$P$3006,"&lt;&gt;")&gt;0,"⚠ DIFFÉRENTE","OK"))</f>
        <v/>
      </c>
      <c r="F2238" s="147"/>
      <c r="G2238" s="80"/>
      <c r="H2238" s="83"/>
      <c r="I2238" s="148" t="str">
        <f aca="false">IF(B2238="","",IFERROR(INDEX('CARNET DE SOUDURE'!$B$7:$B$3006,MATCH(B2238,'CARNET DE SOUDURE'!$L$7:$L$3006,0)),IFERROR(INDEX('CARNET DE SOUDURE'!$B$7:$B$3006,MATCH(B2238,'CARNET DE SOUDURE'!$O$7:$O$3006,0)),"")))</f>
        <v/>
      </c>
      <c r="J2238" s="82" t="str">
        <f aca="false">IF(B2238="","",IFERROR(INDEX('CARNET DE SOUDURE'!$E$7:$E$3006,MATCH(B2238,'CARNET DE SOUDURE'!$O$7:$O$3006,0)),""))</f>
        <v/>
      </c>
      <c r="K2238" s="82" t="str">
        <f aca="false">IF(B2238="","",IFERROR(INDEX('CARNET DE SOUDURE'!$E$7:$E$3006,MATCH(B2238,'CARNET DE SOUDURE'!$L$7:$L$3006,0)),""))</f>
        <v/>
      </c>
      <c r="L2238" s="82" t="str">
        <f aca="false">IF(B2238="","",IFERROR(INDEX('CARNET DE SOUDURE'!$D$7:$D$3006,MATCH(B2238,'CARNET DE SOUDURE'!$L$7:$L$3006,0)),IFERROR(INDEX('CARNET DE SOUDURE'!$D$7:$D$3006,MATCH(B2238,'CARNET DE SOUDURE'!$O$7:$O$3006,0)),"")))</f>
        <v/>
      </c>
      <c r="M2238" s="82" t="str">
        <f aca="false">IF(B2238="","",IF(OR(J2238&lt;&gt;"",K2238&lt;&gt;""),"POSÉ EN LIGNE",IF(COUNTIF(BARDAGE!$C$1:$C$5000,B2238)&gt;0,"BARDÉ","EN STOCK")))</f>
        <v/>
      </c>
      <c r="N2238" s="80"/>
    </row>
    <row r="2239" customFormat="false" ht="15" hidden="false" customHeight="false" outlineLevel="0" collapsed="false">
      <c r="A2239" s="82" t="str">
        <f aca="false">IF(B2239="","",ROW()-6)</f>
        <v/>
      </c>
      <c r="B2239" s="145"/>
      <c r="C2239" s="146"/>
      <c r="D2239" s="146"/>
      <c r="E2239" s="82" t="str">
        <f aca="false">IF(B2239="","",IF(COUNTIFS('CARNET DE SOUDURE'!$L$7:$L$3006,B2239,'CARNET DE SOUDURE'!$M$7:$M$3006,"&lt;&gt;"&amp;C2239,'CARNET DE SOUDURE'!$M$7:$M$3006,"&lt;&gt;")+COUNTIFS('CARNET DE SOUDURE'!$O$7:$O$3006,B2239,'CARNET DE SOUDURE'!$P$7:$P$3006,"&lt;&gt;"&amp;C2239,'CARNET DE SOUDURE'!$P$7:$P$3006,"&lt;&gt;")&gt;0,"⚠ DIFFÉRENTE","OK"))</f>
        <v/>
      </c>
      <c r="F2239" s="147"/>
      <c r="G2239" s="80"/>
      <c r="H2239" s="83"/>
      <c r="I2239" s="148" t="str">
        <f aca="false">IF(B2239="","",IFERROR(INDEX('CARNET DE SOUDURE'!$B$7:$B$3006,MATCH(B2239,'CARNET DE SOUDURE'!$L$7:$L$3006,0)),IFERROR(INDEX('CARNET DE SOUDURE'!$B$7:$B$3006,MATCH(B2239,'CARNET DE SOUDURE'!$O$7:$O$3006,0)),"")))</f>
        <v/>
      </c>
      <c r="J2239" s="82" t="str">
        <f aca="false">IF(B2239="","",IFERROR(INDEX('CARNET DE SOUDURE'!$E$7:$E$3006,MATCH(B2239,'CARNET DE SOUDURE'!$O$7:$O$3006,0)),""))</f>
        <v/>
      </c>
      <c r="K2239" s="82" t="str">
        <f aca="false">IF(B2239="","",IFERROR(INDEX('CARNET DE SOUDURE'!$E$7:$E$3006,MATCH(B2239,'CARNET DE SOUDURE'!$L$7:$L$3006,0)),""))</f>
        <v/>
      </c>
      <c r="L2239" s="82" t="str">
        <f aca="false">IF(B2239="","",IFERROR(INDEX('CARNET DE SOUDURE'!$D$7:$D$3006,MATCH(B2239,'CARNET DE SOUDURE'!$L$7:$L$3006,0)),IFERROR(INDEX('CARNET DE SOUDURE'!$D$7:$D$3006,MATCH(B2239,'CARNET DE SOUDURE'!$O$7:$O$3006,0)),"")))</f>
        <v/>
      </c>
      <c r="M2239" s="82" t="str">
        <f aca="false">IF(B2239="","",IF(OR(J2239&lt;&gt;"",K2239&lt;&gt;""),"POSÉ EN LIGNE",IF(COUNTIF(BARDAGE!$C$1:$C$5000,B2239)&gt;0,"BARDÉ","EN STOCK")))</f>
        <v/>
      </c>
      <c r="N2239" s="80"/>
    </row>
    <row r="2240" customFormat="false" ht="15" hidden="false" customHeight="false" outlineLevel="0" collapsed="false">
      <c r="A2240" s="82" t="str">
        <f aca="false">IF(B2240="","",ROW()-6)</f>
        <v/>
      </c>
      <c r="B2240" s="145"/>
      <c r="C2240" s="146"/>
      <c r="D2240" s="146"/>
      <c r="E2240" s="82" t="str">
        <f aca="false">IF(B2240="","",IF(COUNTIFS('CARNET DE SOUDURE'!$L$7:$L$3006,B2240,'CARNET DE SOUDURE'!$M$7:$M$3006,"&lt;&gt;"&amp;C2240,'CARNET DE SOUDURE'!$M$7:$M$3006,"&lt;&gt;")+COUNTIFS('CARNET DE SOUDURE'!$O$7:$O$3006,B2240,'CARNET DE SOUDURE'!$P$7:$P$3006,"&lt;&gt;"&amp;C2240,'CARNET DE SOUDURE'!$P$7:$P$3006,"&lt;&gt;")&gt;0,"⚠ DIFFÉRENTE","OK"))</f>
        <v/>
      </c>
      <c r="F2240" s="147"/>
      <c r="G2240" s="80"/>
      <c r="H2240" s="83"/>
      <c r="I2240" s="148" t="str">
        <f aca="false">IF(B2240="","",IFERROR(INDEX('CARNET DE SOUDURE'!$B$7:$B$3006,MATCH(B2240,'CARNET DE SOUDURE'!$L$7:$L$3006,0)),IFERROR(INDEX('CARNET DE SOUDURE'!$B$7:$B$3006,MATCH(B2240,'CARNET DE SOUDURE'!$O$7:$O$3006,0)),"")))</f>
        <v/>
      </c>
      <c r="J2240" s="82" t="str">
        <f aca="false">IF(B2240="","",IFERROR(INDEX('CARNET DE SOUDURE'!$E$7:$E$3006,MATCH(B2240,'CARNET DE SOUDURE'!$O$7:$O$3006,0)),""))</f>
        <v/>
      </c>
      <c r="K2240" s="82" t="str">
        <f aca="false">IF(B2240="","",IFERROR(INDEX('CARNET DE SOUDURE'!$E$7:$E$3006,MATCH(B2240,'CARNET DE SOUDURE'!$L$7:$L$3006,0)),""))</f>
        <v/>
      </c>
      <c r="L2240" s="82" t="str">
        <f aca="false">IF(B2240="","",IFERROR(INDEX('CARNET DE SOUDURE'!$D$7:$D$3006,MATCH(B2240,'CARNET DE SOUDURE'!$L$7:$L$3006,0)),IFERROR(INDEX('CARNET DE SOUDURE'!$D$7:$D$3006,MATCH(B2240,'CARNET DE SOUDURE'!$O$7:$O$3006,0)),"")))</f>
        <v/>
      </c>
      <c r="M2240" s="82" t="str">
        <f aca="false">IF(B2240="","",IF(OR(J2240&lt;&gt;"",K2240&lt;&gt;""),"POSÉ EN LIGNE",IF(COUNTIF(BARDAGE!$C$1:$C$5000,B2240)&gt;0,"BARDÉ","EN STOCK")))</f>
        <v/>
      </c>
      <c r="N2240" s="80"/>
    </row>
    <row r="2241" customFormat="false" ht="15" hidden="false" customHeight="false" outlineLevel="0" collapsed="false">
      <c r="A2241" s="82" t="str">
        <f aca="false">IF(B2241="","",ROW()-6)</f>
        <v/>
      </c>
      <c r="B2241" s="145"/>
      <c r="C2241" s="146"/>
      <c r="D2241" s="146"/>
      <c r="E2241" s="82" t="str">
        <f aca="false">IF(B2241="","",IF(COUNTIFS('CARNET DE SOUDURE'!$L$7:$L$3006,B2241,'CARNET DE SOUDURE'!$M$7:$M$3006,"&lt;&gt;"&amp;C2241,'CARNET DE SOUDURE'!$M$7:$M$3006,"&lt;&gt;")+COUNTIFS('CARNET DE SOUDURE'!$O$7:$O$3006,B2241,'CARNET DE SOUDURE'!$P$7:$P$3006,"&lt;&gt;"&amp;C2241,'CARNET DE SOUDURE'!$P$7:$P$3006,"&lt;&gt;")&gt;0,"⚠ DIFFÉRENTE","OK"))</f>
        <v/>
      </c>
      <c r="F2241" s="147"/>
      <c r="G2241" s="80"/>
      <c r="H2241" s="83"/>
      <c r="I2241" s="148" t="str">
        <f aca="false">IF(B2241="","",IFERROR(INDEX('CARNET DE SOUDURE'!$B$7:$B$3006,MATCH(B2241,'CARNET DE SOUDURE'!$L$7:$L$3006,0)),IFERROR(INDEX('CARNET DE SOUDURE'!$B$7:$B$3006,MATCH(B2241,'CARNET DE SOUDURE'!$O$7:$O$3006,0)),"")))</f>
        <v/>
      </c>
      <c r="J2241" s="82" t="str">
        <f aca="false">IF(B2241="","",IFERROR(INDEX('CARNET DE SOUDURE'!$E$7:$E$3006,MATCH(B2241,'CARNET DE SOUDURE'!$O$7:$O$3006,0)),""))</f>
        <v/>
      </c>
      <c r="K2241" s="82" t="str">
        <f aca="false">IF(B2241="","",IFERROR(INDEX('CARNET DE SOUDURE'!$E$7:$E$3006,MATCH(B2241,'CARNET DE SOUDURE'!$L$7:$L$3006,0)),""))</f>
        <v/>
      </c>
      <c r="L2241" s="82" t="str">
        <f aca="false">IF(B2241="","",IFERROR(INDEX('CARNET DE SOUDURE'!$D$7:$D$3006,MATCH(B2241,'CARNET DE SOUDURE'!$L$7:$L$3006,0)),IFERROR(INDEX('CARNET DE SOUDURE'!$D$7:$D$3006,MATCH(B2241,'CARNET DE SOUDURE'!$O$7:$O$3006,0)),"")))</f>
        <v/>
      </c>
      <c r="M2241" s="82" t="str">
        <f aca="false">IF(B2241="","",IF(OR(J2241&lt;&gt;"",K2241&lt;&gt;""),"POSÉ EN LIGNE",IF(COUNTIF(BARDAGE!$C$1:$C$5000,B2241)&gt;0,"BARDÉ","EN STOCK")))</f>
        <v/>
      </c>
      <c r="N2241" s="80"/>
    </row>
    <row r="2242" customFormat="false" ht="15" hidden="false" customHeight="false" outlineLevel="0" collapsed="false">
      <c r="A2242" s="82" t="str">
        <f aca="false">IF(B2242="","",ROW()-6)</f>
        <v/>
      </c>
      <c r="B2242" s="145"/>
      <c r="C2242" s="146"/>
      <c r="D2242" s="146"/>
      <c r="E2242" s="82" t="str">
        <f aca="false">IF(B2242="","",IF(COUNTIFS('CARNET DE SOUDURE'!$L$7:$L$3006,B2242,'CARNET DE SOUDURE'!$M$7:$M$3006,"&lt;&gt;"&amp;C2242,'CARNET DE SOUDURE'!$M$7:$M$3006,"&lt;&gt;")+COUNTIFS('CARNET DE SOUDURE'!$O$7:$O$3006,B2242,'CARNET DE SOUDURE'!$P$7:$P$3006,"&lt;&gt;"&amp;C2242,'CARNET DE SOUDURE'!$P$7:$P$3006,"&lt;&gt;")&gt;0,"⚠ DIFFÉRENTE","OK"))</f>
        <v/>
      </c>
      <c r="F2242" s="147"/>
      <c r="G2242" s="80"/>
      <c r="H2242" s="83"/>
      <c r="I2242" s="148" t="str">
        <f aca="false">IF(B2242="","",IFERROR(INDEX('CARNET DE SOUDURE'!$B$7:$B$3006,MATCH(B2242,'CARNET DE SOUDURE'!$L$7:$L$3006,0)),IFERROR(INDEX('CARNET DE SOUDURE'!$B$7:$B$3006,MATCH(B2242,'CARNET DE SOUDURE'!$O$7:$O$3006,0)),"")))</f>
        <v/>
      </c>
      <c r="J2242" s="82" t="str">
        <f aca="false">IF(B2242="","",IFERROR(INDEX('CARNET DE SOUDURE'!$E$7:$E$3006,MATCH(B2242,'CARNET DE SOUDURE'!$O$7:$O$3006,0)),""))</f>
        <v/>
      </c>
      <c r="K2242" s="82" t="str">
        <f aca="false">IF(B2242="","",IFERROR(INDEX('CARNET DE SOUDURE'!$E$7:$E$3006,MATCH(B2242,'CARNET DE SOUDURE'!$L$7:$L$3006,0)),""))</f>
        <v/>
      </c>
      <c r="L2242" s="82" t="str">
        <f aca="false">IF(B2242="","",IFERROR(INDEX('CARNET DE SOUDURE'!$D$7:$D$3006,MATCH(B2242,'CARNET DE SOUDURE'!$L$7:$L$3006,0)),IFERROR(INDEX('CARNET DE SOUDURE'!$D$7:$D$3006,MATCH(B2242,'CARNET DE SOUDURE'!$O$7:$O$3006,0)),"")))</f>
        <v/>
      </c>
      <c r="M2242" s="82" t="str">
        <f aca="false">IF(B2242="","",IF(OR(J2242&lt;&gt;"",K2242&lt;&gt;""),"POSÉ EN LIGNE",IF(COUNTIF(BARDAGE!$C$1:$C$5000,B2242)&gt;0,"BARDÉ","EN STOCK")))</f>
        <v/>
      </c>
      <c r="N2242" s="80"/>
    </row>
    <row r="2243" customFormat="false" ht="15" hidden="false" customHeight="false" outlineLevel="0" collapsed="false">
      <c r="A2243" s="82" t="str">
        <f aca="false">IF(B2243="","",ROW()-6)</f>
        <v/>
      </c>
      <c r="B2243" s="145"/>
      <c r="C2243" s="146"/>
      <c r="D2243" s="146"/>
      <c r="E2243" s="82" t="str">
        <f aca="false">IF(B2243="","",IF(COUNTIFS('CARNET DE SOUDURE'!$L$7:$L$3006,B2243,'CARNET DE SOUDURE'!$M$7:$M$3006,"&lt;&gt;"&amp;C2243,'CARNET DE SOUDURE'!$M$7:$M$3006,"&lt;&gt;")+COUNTIFS('CARNET DE SOUDURE'!$O$7:$O$3006,B2243,'CARNET DE SOUDURE'!$P$7:$P$3006,"&lt;&gt;"&amp;C2243,'CARNET DE SOUDURE'!$P$7:$P$3006,"&lt;&gt;")&gt;0,"⚠ DIFFÉRENTE","OK"))</f>
        <v/>
      </c>
      <c r="F2243" s="147"/>
      <c r="G2243" s="80"/>
      <c r="H2243" s="83"/>
      <c r="I2243" s="148" t="str">
        <f aca="false">IF(B2243="","",IFERROR(INDEX('CARNET DE SOUDURE'!$B$7:$B$3006,MATCH(B2243,'CARNET DE SOUDURE'!$L$7:$L$3006,0)),IFERROR(INDEX('CARNET DE SOUDURE'!$B$7:$B$3006,MATCH(B2243,'CARNET DE SOUDURE'!$O$7:$O$3006,0)),"")))</f>
        <v/>
      </c>
      <c r="J2243" s="82" t="str">
        <f aca="false">IF(B2243="","",IFERROR(INDEX('CARNET DE SOUDURE'!$E$7:$E$3006,MATCH(B2243,'CARNET DE SOUDURE'!$O$7:$O$3006,0)),""))</f>
        <v/>
      </c>
      <c r="K2243" s="82" t="str">
        <f aca="false">IF(B2243="","",IFERROR(INDEX('CARNET DE SOUDURE'!$E$7:$E$3006,MATCH(B2243,'CARNET DE SOUDURE'!$L$7:$L$3006,0)),""))</f>
        <v/>
      </c>
      <c r="L2243" s="82" t="str">
        <f aca="false">IF(B2243="","",IFERROR(INDEX('CARNET DE SOUDURE'!$D$7:$D$3006,MATCH(B2243,'CARNET DE SOUDURE'!$L$7:$L$3006,0)),IFERROR(INDEX('CARNET DE SOUDURE'!$D$7:$D$3006,MATCH(B2243,'CARNET DE SOUDURE'!$O$7:$O$3006,0)),"")))</f>
        <v/>
      </c>
      <c r="M2243" s="82" t="str">
        <f aca="false">IF(B2243="","",IF(OR(J2243&lt;&gt;"",K2243&lt;&gt;""),"POSÉ EN LIGNE",IF(COUNTIF(BARDAGE!$C$1:$C$5000,B2243)&gt;0,"BARDÉ","EN STOCK")))</f>
        <v/>
      </c>
      <c r="N2243" s="80"/>
    </row>
    <row r="2244" customFormat="false" ht="15" hidden="false" customHeight="false" outlineLevel="0" collapsed="false">
      <c r="A2244" s="82" t="str">
        <f aca="false">IF(B2244="","",ROW()-6)</f>
        <v/>
      </c>
      <c r="B2244" s="145"/>
      <c r="C2244" s="146"/>
      <c r="D2244" s="146"/>
      <c r="E2244" s="82" t="str">
        <f aca="false">IF(B2244="","",IF(COUNTIFS('CARNET DE SOUDURE'!$L$7:$L$3006,B2244,'CARNET DE SOUDURE'!$M$7:$M$3006,"&lt;&gt;"&amp;C2244,'CARNET DE SOUDURE'!$M$7:$M$3006,"&lt;&gt;")+COUNTIFS('CARNET DE SOUDURE'!$O$7:$O$3006,B2244,'CARNET DE SOUDURE'!$P$7:$P$3006,"&lt;&gt;"&amp;C2244,'CARNET DE SOUDURE'!$P$7:$P$3006,"&lt;&gt;")&gt;0,"⚠ DIFFÉRENTE","OK"))</f>
        <v/>
      </c>
      <c r="F2244" s="147"/>
      <c r="G2244" s="80"/>
      <c r="H2244" s="83"/>
      <c r="I2244" s="148" t="str">
        <f aca="false">IF(B2244="","",IFERROR(INDEX('CARNET DE SOUDURE'!$B$7:$B$3006,MATCH(B2244,'CARNET DE SOUDURE'!$L$7:$L$3006,0)),IFERROR(INDEX('CARNET DE SOUDURE'!$B$7:$B$3006,MATCH(B2244,'CARNET DE SOUDURE'!$O$7:$O$3006,0)),"")))</f>
        <v/>
      </c>
      <c r="J2244" s="82" t="str">
        <f aca="false">IF(B2244="","",IFERROR(INDEX('CARNET DE SOUDURE'!$E$7:$E$3006,MATCH(B2244,'CARNET DE SOUDURE'!$O$7:$O$3006,0)),""))</f>
        <v/>
      </c>
      <c r="K2244" s="82" t="str">
        <f aca="false">IF(B2244="","",IFERROR(INDEX('CARNET DE SOUDURE'!$E$7:$E$3006,MATCH(B2244,'CARNET DE SOUDURE'!$L$7:$L$3006,0)),""))</f>
        <v/>
      </c>
      <c r="L2244" s="82" t="str">
        <f aca="false">IF(B2244="","",IFERROR(INDEX('CARNET DE SOUDURE'!$D$7:$D$3006,MATCH(B2244,'CARNET DE SOUDURE'!$L$7:$L$3006,0)),IFERROR(INDEX('CARNET DE SOUDURE'!$D$7:$D$3006,MATCH(B2244,'CARNET DE SOUDURE'!$O$7:$O$3006,0)),"")))</f>
        <v/>
      </c>
      <c r="M2244" s="82" t="str">
        <f aca="false">IF(B2244="","",IF(OR(J2244&lt;&gt;"",K2244&lt;&gt;""),"POSÉ EN LIGNE",IF(COUNTIF(BARDAGE!$C$1:$C$5000,B2244)&gt;0,"BARDÉ","EN STOCK")))</f>
        <v/>
      </c>
      <c r="N2244" s="80"/>
    </row>
    <row r="2245" customFormat="false" ht="15" hidden="false" customHeight="false" outlineLevel="0" collapsed="false">
      <c r="A2245" s="82" t="str">
        <f aca="false">IF(B2245="","",ROW()-6)</f>
        <v/>
      </c>
      <c r="B2245" s="145"/>
      <c r="C2245" s="146"/>
      <c r="D2245" s="146"/>
      <c r="E2245" s="82" t="str">
        <f aca="false">IF(B2245="","",IF(COUNTIFS('CARNET DE SOUDURE'!$L$7:$L$3006,B2245,'CARNET DE SOUDURE'!$M$7:$M$3006,"&lt;&gt;"&amp;C2245,'CARNET DE SOUDURE'!$M$7:$M$3006,"&lt;&gt;")+COUNTIFS('CARNET DE SOUDURE'!$O$7:$O$3006,B2245,'CARNET DE SOUDURE'!$P$7:$P$3006,"&lt;&gt;"&amp;C2245,'CARNET DE SOUDURE'!$P$7:$P$3006,"&lt;&gt;")&gt;0,"⚠ DIFFÉRENTE","OK"))</f>
        <v/>
      </c>
      <c r="F2245" s="147"/>
      <c r="G2245" s="80"/>
      <c r="H2245" s="83"/>
      <c r="I2245" s="148" t="str">
        <f aca="false">IF(B2245="","",IFERROR(INDEX('CARNET DE SOUDURE'!$B$7:$B$3006,MATCH(B2245,'CARNET DE SOUDURE'!$L$7:$L$3006,0)),IFERROR(INDEX('CARNET DE SOUDURE'!$B$7:$B$3006,MATCH(B2245,'CARNET DE SOUDURE'!$O$7:$O$3006,0)),"")))</f>
        <v/>
      </c>
      <c r="J2245" s="82" t="str">
        <f aca="false">IF(B2245="","",IFERROR(INDEX('CARNET DE SOUDURE'!$E$7:$E$3006,MATCH(B2245,'CARNET DE SOUDURE'!$O$7:$O$3006,0)),""))</f>
        <v/>
      </c>
      <c r="K2245" s="82" t="str">
        <f aca="false">IF(B2245="","",IFERROR(INDEX('CARNET DE SOUDURE'!$E$7:$E$3006,MATCH(B2245,'CARNET DE SOUDURE'!$L$7:$L$3006,0)),""))</f>
        <v/>
      </c>
      <c r="L2245" s="82" t="str">
        <f aca="false">IF(B2245="","",IFERROR(INDEX('CARNET DE SOUDURE'!$D$7:$D$3006,MATCH(B2245,'CARNET DE SOUDURE'!$L$7:$L$3006,0)),IFERROR(INDEX('CARNET DE SOUDURE'!$D$7:$D$3006,MATCH(B2245,'CARNET DE SOUDURE'!$O$7:$O$3006,0)),"")))</f>
        <v/>
      </c>
      <c r="M2245" s="82" t="str">
        <f aca="false">IF(B2245="","",IF(OR(J2245&lt;&gt;"",K2245&lt;&gt;""),"POSÉ EN LIGNE",IF(COUNTIF(BARDAGE!$C$1:$C$5000,B2245)&gt;0,"BARDÉ","EN STOCK")))</f>
        <v/>
      </c>
      <c r="N2245" s="80"/>
    </row>
    <row r="2246" customFormat="false" ht="15" hidden="false" customHeight="false" outlineLevel="0" collapsed="false">
      <c r="A2246" s="82" t="str">
        <f aca="false">IF(B2246="","",ROW()-6)</f>
        <v/>
      </c>
      <c r="B2246" s="145"/>
      <c r="C2246" s="146"/>
      <c r="D2246" s="146"/>
      <c r="E2246" s="82" t="str">
        <f aca="false">IF(B2246="","",IF(COUNTIFS('CARNET DE SOUDURE'!$L$7:$L$3006,B2246,'CARNET DE SOUDURE'!$M$7:$M$3006,"&lt;&gt;"&amp;C2246,'CARNET DE SOUDURE'!$M$7:$M$3006,"&lt;&gt;")+COUNTIFS('CARNET DE SOUDURE'!$O$7:$O$3006,B2246,'CARNET DE SOUDURE'!$P$7:$P$3006,"&lt;&gt;"&amp;C2246,'CARNET DE SOUDURE'!$P$7:$P$3006,"&lt;&gt;")&gt;0,"⚠ DIFFÉRENTE","OK"))</f>
        <v/>
      </c>
      <c r="F2246" s="147"/>
      <c r="G2246" s="80"/>
      <c r="H2246" s="83"/>
      <c r="I2246" s="148" t="str">
        <f aca="false">IF(B2246="","",IFERROR(INDEX('CARNET DE SOUDURE'!$B$7:$B$3006,MATCH(B2246,'CARNET DE SOUDURE'!$L$7:$L$3006,0)),IFERROR(INDEX('CARNET DE SOUDURE'!$B$7:$B$3006,MATCH(B2246,'CARNET DE SOUDURE'!$O$7:$O$3006,0)),"")))</f>
        <v/>
      </c>
      <c r="J2246" s="82" t="str">
        <f aca="false">IF(B2246="","",IFERROR(INDEX('CARNET DE SOUDURE'!$E$7:$E$3006,MATCH(B2246,'CARNET DE SOUDURE'!$O$7:$O$3006,0)),""))</f>
        <v/>
      </c>
      <c r="K2246" s="82" t="str">
        <f aca="false">IF(B2246="","",IFERROR(INDEX('CARNET DE SOUDURE'!$E$7:$E$3006,MATCH(B2246,'CARNET DE SOUDURE'!$L$7:$L$3006,0)),""))</f>
        <v/>
      </c>
      <c r="L2246" s="82" t="str">
        <f aca="false">IF(B2246="","",IFERROR(INDEX('CARNET DE SOUDURE'!$D$7:$D$3006,MATCH(B2246,'CARNET DE SOUDURE'!$L$7:$L$3006,0)),IFERROR(INDEX('CARNET DE SOUDURE'!$D$7:$D$3006,MATCH(B2246,'CARNET DE SOUDURE'!$O$7:$O$3006,0)),"")))</f>
        <v/>
      </c>
      <c r="M2246" s="82" t="str">
        <f aca="false">IF(B2246="","",IF(OR(J2246&lt;&gt;"",K2246&lt;&gt;""),"POSÉ EN LIGNE",IF(COUNTIF(BARDAGE!$C$1:$C$5000,B2246)&gt;0,"BARDÉ","EN STOCK")))</f>
        <v/>
      </c>
      <c r="N2246" s="80"/>
    </row>
    <row r="2247" customFormat="false" ht="15" hidden="false" customHeight="false" outlineLevel="0" collapsed="false">
      <c r="A2247" s="82" t="str">
        <f aca="false">IF(B2247="","",ROW()-6)</f>
        <v/>
      </c>
      <c r="B2247" s="145"/>
      <c r="C2247" s="146"/>
      <c r="D2247" s="146"/>
      <c r="E2247" s="82" t="str">
        <f aca="false">IF(B2247="","",IF(COUNTIFS('CARNET DE SOUDURE'!$L$7:$L$3006,B2247,'CARNET DE SOUDURE'!$M$7:$M$3006,"&lt;&gt;"&amp;C2247,'CARNET DE SOUDURE'!$M$7:$M$3006,"&lt;&gt;")+COUNTIFS('CARNET DE SOUDURE'!$O$7:$O$3006,B2247,'CARNET DE SOUDURE'!$P$7:$P$3006,"&lt;&gt;"&amp;C2247,'CARNET DE SOUDURE'!$P$7:$P$3006,"&lt;&gt;")&gt;0,"⚠ DIFFÉRENTE","OK"))</f>
        <v/>
      </c>
      <c r="F2247" s="147"/>
      <c r="G2247" s="80"/>
      <c r="H2247" s="83"/>
      <c r="I2247" s="148" t="str">
        <f aca="false">IF(B2247="","",IFERROR(INDEX('CARNET DE SOUDURE'!$B$7:$B$3006,MATCH(B2247,'CARNET DE SOUDURE'!$L$7:$L$3006,0)),IFERROR(INDEX('CARNET DE SOUDURE'!$B$7:$B$3006,MATCH(B2247,'CARNET DE SOUDURE'!$O$7:$O$3006,0)),"")))</f>
        <v/>
      </c>
      <c r="J2247" s="82" t="str">
        <f aca="false">IF(B2247="","",IFERROR(INDEX('CARNET DE SOUDURE'!$E$7:$E$3006,MATCH(B2247,'CARNET DE SOUDURE'!$O$7:$O$3006,0)),""))</f>
        <v/>
      </c>
      <c r="K2247" s="82" t="str">
        <f aca="false">IF(B2247="","",IFERROR(INDEX('CARNET DE SOUDURE'!$E$7:$E$3006,MATCH(B2247,'CARNET DE SOUDURE'!$L$7:$L$3006,0)),""))</f>
        <v/>
      </c>
      <c r="L2247" s="82" t="str">
        <f aca="false">IF(B2247="","",IFERROR(INDEX('CARNET DE SOUDURE'!$D$7:$D$3006,MATCH(B2247,'CARNET DE SOUDURE'!$L$7:$L$3006,0)),IFERROR(INDEX('CARNET DE SOUDURE'!$D$7:$D$3006,MATCH(B2247,'CARNET DE SOUDURE'!$O$7:$O$3006,0)),"")))</f>
        <v/>
      </c>
      <c r="M2247" s="82" t="str">
        <f aca="false">IF(B2247="","",IF(OR(J2247&lt;&gt;"",K2247&lt;&gt;""),"POSÉ EN LIGNE",IF(COUNTIF(BARDAGE!$C$1:$C$5000,B2247)&gt;0,"BARDÉ","EN STOCK")))</f>
        <v/>
      </c>
      <c r="N2247" s="80"/>
    </row>
    <row r="2248" customFormat="false" ht="15" hidden="false" customHeight="false" outlineLevel="0" collapsed="false">
      <c r="A2248" s="82" t="str">
        <f aca="false">IF(B2248="","",ROW()-6)</f>
        <v/>
      </c>
      <c r="B2248" s="145"/>
      <c r="C2248" s="146"/>
      <c r="D2248" s="146"/>
      <c r="E2248" s="82" t="str">
        <f aca="false">IF(B2248="","",IF(COUNTIFS('CARNET DE SOUDURE'!$L$7:$L$3006,B2248,'CARNET DE SOUDURE'!$M$7:$M$3006,"&lt;&gt;"&amp;C2248,'CARNET DE SOUDURE'!$M$7:$M$3006,"&lt;&gt;")+COUNTIFS('CARNET DE SOUDURE'!$O$7:$O$3006,B2248,'CARNET DE SOUDURE'!$P$7:$P$3006,"&lt;&gt;"&amp;C2248,'CARNET DE SOUDURE'!$P$7:$P$3006,"&lt;&gt;")&gt;0,"⚠ DIFFÉRENTE","OK"))</f>
        <v/>
      </c>
      <c r="F2248" s="147"/>
      <c r="G2248" s="80"/>
      <c r="H2248" s="83"/>
      <c r="I2248" s="148" t="str">
        <f aca="false">IF(B2248="","",IFERROR(INDEX('CARNET DE SOUDURE'!$B$7:$B$3006,MATCH(B2248,'CARNET DE SOUDURE'!$L$7:$L$3006,0)),IFERROR(INDEX('CARNET DE SOUDURE'!$B$7:$B$3006,MATCH(B2248,'CARNET DE SOUDURE'!$O$7:$O$3006,0)),"")))</f>
        <v/>
      </c>
      <c r="J2248" s="82" t="str">
        <f aca="false">IF(B2248="","",IFERROR(INDEX('CARNET DE SOUDURE'!$E$7:$E$3006,MATCH(B2248,'CARNET DE SOUDURE'!$O$7:$O$3006,0)),""))</f>
        <v/>
      </c>
      <c r="K2248" s="82" t="str">
        <f aca="false">IF(B2248="","",IFERROR(INDEX('CARNET DE SOUDURE'!$E$7:$E$3006,MATCH(B2248,'CARNET DE SOUDURE'!$L$7:$L$3006,0)),""))</f>
        <v/>
      </c>
      <c r="L2248" s="82" t="str">
        <f aca="false">IF(B2248="","",IFERROR(INDEX('CARNET DE SOUDURE'!$D$7:$D$3006,MATCH(B2248,'CARNET DE SOUDURE'!$L$7:$L$3006,0)),IFERROR(INDEX('CARNET DE SOUDURE'!$D$7:$D$3006,MATCH(B2248,'CARNET DE SOUDURE'!$O$7:$O$3006,0)),"")))</f>
        <v/>
      </c>
      <c r="M2248" s="82" t="str">
        <f aca="false">IF(B2248="","",IF(OR(J2248&lt;&gt;"",K2248&lt;&gt;""),"POSÉ EN LIGNE",IF(COUNTIF(BARDAGE!$C$1:$C$5000,B2248)&gt;0,"BARDÉ","EN STOCK")))</f>
        <v/>
      </c>
      <c r="N2248" s="80"/>
    </row>
    <row r="2249" customFormat="false" ht="15" hidden="false" customHeight="false" outlineLevel="0" collapsed="false">
      <c r="A2249" s="82" t="str">
        <f aca="false">IF(B2249="","",ROW()-6)</f>
        <v/>
      </c>
      <c r="B2249" s="145"/>
      <c r="C2249" s="146"/>
      <c r="D2249" s="146"/>
      <c r="E2249" s="82" t="str">
        <f aca="false">IF(B2249="","",IF(COUNTIFS('CARNET DE SOUDURE'!$L$7:$L$3006,B2249,'CARNET DE SOUDURE'!$M$7:$M$3006,"&lt;&gt;"&amp;C2249,'CARNET DE SOUDURE'!$M$7:$M$3006,"&lt;&gt;")+COUNTIFS('CARNET DE SOUDURE'!$O$7:$O$3006,B2249,'CARNET DE SOUDURE'!$P$7:$P$3006,"&lt;&gt;"&amp;C2249,'CARNET DE SOUDURE'!$P$7:$P$3006,"&lt;&gt;")&gt;0,"⚠ DIFFÉRENTE","OK"))</f>
        <v/>
      </c>
      <c r="F2249" s="147"/>
      <c r="G2249" s="80"/>
      <c r="H2249" s="83"/>
      <c r="I2249" s="148" t="str">
        <f aca="false">IF(B2249="","",IFERROR(INDEX('CARNET DE SOUDURE'!$B$7:$B$3006,MATCH(B2249,'CARNET DE SOUDURE'!$L$7:$L$3006,0)),IFERROR(INDEX('CARNET DE SOUDURE'!$B$7:$B$3006,MATCH(B2249,'CARNET DE SOUDURE'!$O$7:$O$3006,0)),"")))</f>
        <v/>
      </c>
      <c r="J2249" s="82" t="str">
        <f aca="false">IF(B2249="","",IFERROR(INDEX('CARNET DE SOUDURE'!$E$7:$E$3006,MATCH(B2249,'CARNET DE SOUDURE'!$O$7:$O$3006,0)),""))</f>
        <v/>
      </c>
      <c r="K2249" s="82" t="str">
        <f aca="false">IF(B2249="","",IFERROR(INDEX('CARNET DE SOUDURE'!$E$7:$E$3006,MATCH(B2249,'CARNET DE SOUDURE'!$L$7:$L$3006,0)),""))</f>
        <v/>
      </c>
      <c r="L2249" s="82" t="str">
        <f aca="false">IF(B2249="","",IFERROR(INDEX('CARNET DE SOUDURE'!$D$7:$D$3006,MATCH(B2249,'CARNET DE SOUDURE'!$L$7:$L$3006,0)),IFERROR(INDEX('CARNET DE SOUDURE'!$D$7:$D$3006,MATCH(B2249,'CARNET DE SOUDURE'!$O$7:$O$3006,0)),"")))</f>
        <v/>
      </c>
      <c r="M2249" s="82" t="str">
        <f aca="false">IF(B2249="","",IF(OR(J2249&lt;&gt;"",K2249&lt;&gt;""),"POSÉ EN LIGNE",IF(COUNTIF(BARDAGE!$C$1:$C$5000,B2249)&gt;0,"BARDÉ","EN STOCK")))</f>
        <v/>
      </c>
      <c r="N2249" s="80"/>
    </row>
    <row r="2250" customFormat="false" ht="15" hidden="false" customHeight="false" outlineLevel="0" collapsed="false">
      <c r="A2250" s="82" t="str">
        <f aca="false">IF(B2250="","",ROW()-6)</f>
        <v/>
      </c>
      <c r="B2250" s="145"/>
      <c r="C2250" s="146"/>
      <c r="D2250" s="146"/>
      <c r="E2250" s="82" t="str">
        <f aca="false">IF(B2250="","",IF(COUNTIFS('CARNET DE SOUDURE'!$L$7:$L$3006,B2250,'CARNET DE SOUDURE'!$M$7:$M$3006,"&lt;&gt;"&amp;C2250,'CARNET DE SOUDURE'!$M$7:$M$3006,"&lt;&gt;")+COUNTIFS('CARNET DE SOUDURE'!$O$7:$O$3006,B2250,'CARNET DE SOUDURE'!$P$7:$P$3006,"&lt;&gt;"&amp;C2250,'CARNET DE SOUDURE'!$P$7:$P$3006,"&lt;&gt;")&gt;0,"⚠ DIFFÉRENTE","OK"))</f>
        <v/>
      </c>
      <c r="F2250" s="147"/>
      <c r="G2250" s="80"/>
      <c r="H2250" s="83"/>
      <c r="I2250" s="148" t="str">
        <f aca="false">IF(B2250="","",IFERROR(INDEX('CARNET DE SOUDURE'!$B$7:$B$3006,MATCH(B2250,'CARNET DE SOUDURE'!$L$7:$L$3006,0)),IFERROR(INDEX('CARNET DE SOUDURE'!$B$7:$B$3006,MATCH(B2250,'CARNET DE SOUDURE'!$O$7:$O$3006,0)),"")))</f>
        <v/>
      </c>
      <c r="J2250" s="82" t="str">
        <f aca="false">IF(B2250="","",IFERROR(INDEX('CARNET DE SOUDURE'!$E$7:$E$3006,MATCH(B2250,'CARNET DE SOUDURE'!$O$7:$O$3006,0)),""))</f>
        <v/>
      </c>
      <c r="K2250" s="82" t="str">
        <f aca="false">IF(B2250="","",IFERROR(INDEX('CARNET DE SOUDURE'!$E$7:$E$3006,MATCH(B2250,'CARNET DE SOUDURE'!$L$7:$L$3006,0)),""))</f>
        <v/>
      </c>
      <c r="L2250" s="82" t="str">
        <f aca="false">IF(B2250="","",IFERROR(INDEX('CARNET DE SOUDURE'!$D$7:$D$3006,MATCH(B2250,'CARNET DE SOUDURE'!$L$7:$L$3006,0)),IFERROR(INDEX('CARNET DE SOUDURE'!$D$7:$D$3006,MATCH(B2250,'CARNET DE SOUDURE'!$O$7:$O$3006,0)),"")))</f>
        <v/>
      </c>
      <c r="M2250" s="82" t="str">
        <f aca="false">IF(B2250="","",IF(OR(J2250&lt;&gt;"",K2250&lt;&gt;""),"POSÉ EN LIGNE",IF(COUNTIF(BARDAGE!$C$1:$C$5000,B2250)&gt;0,"BARDÉ","EN STOCK")))</f>
        <v/>
      </c>
      <c r="N2250" s="80"/>
    </row>
    <row r="2251" customFormat="false" ht="15" hidden="false" customHeight="false" outlineLevel="0" collapsed="false">
      <c r="A2251" s="82" t="str">
        <f aca="false">IF(B2251="","",ROW()-6)</f>
        <v/>
      </c>
      <c r="B2251" s="145"/>
      <c r="C2251" s="146"/>
      <c r="D2251" s="146"/>
      <c r="E2251" s="82" t="str">
        <f aca="false">IF(B2251="","",IF(COUNTIFS('CARNET DE SOUDURE'!$L$7:$L$3006,B2251,'CARNET DE SOUDURE'!$M$7:$M$3006,"&lt;&gt;"&amp;C2251,'CARNET DE SOUDURE'!$M$7:$M$3006,"&lt;&gt;")+COUNTIFS('CARNET DE SOUDURE'!$O$7:$O$3006,B2251,'CARNET DE SOUDURE'!$P$7:$P$3006,"&lt;&gt;"&amp;C2251,'CARNET DE SOUDURE'!$P$7:$P$3006,"&lt;&gt;")&gt;0,"⚠ DIFFÉRENTE","OK"))</f>
        <v/>
      </c>
      <c r="F2251" s="147"/>
      <c r="G2251" s="80"/>
      <c r="H2251" s="83"/>
      <c r="I2251" s="148" t="str">
        <f aca="false">IF(B2251="","",IFERROR(INDEX('CARNET DE SOUDURE'!$B$7:$B$3006,MATCH(B2251,'CARNET DE SOUDURE'!$L$7:$L$3006,0)),IFERROR(INDEX('CARNET DE SOUDURE'!$B$7:$B$3006,MATCH(B2251,'CARNET DE SOUDURE'!$O$7:$O$3006,0)),"")))</f>
        <v/>
      </c>
      <c r="J2251" s="82" t="str">
        <f aca="false">IF(B2251="","",IFERROR(INDEX('CARNET DE SOUDURE'!$E$7:$E$3006,MATCH(B2251,'CARNET DE SOUDURE'!$O$7:$O$3006,0)),""))</f>
        <v/>
      </c>
      <c r="K2251" s="82" t="str">
        <f aca="false">IF(B2251="","",IFERROR(INDEX('CARNET DE SOUDURE'!$E$7:$E$3006,MATCH(B2251,'CARNET DE SOUDURE'!$L$7:$L$3006,0)),""))</f>
        <v/>
      </c>
      <c r="L2251" s="82" t="str">
        <f aca="false">IF(B2251="","",IFERROR(INDEX('CARNET DE SOUDURE'!$D$7:$D$3006,MATCH(B2251,'CARNET DE SOUDURE'!$L$7:$L$3006,0)),IFERROR(INDEX('CARNET DE SOUDURE'!$D$7:$D$3006,MATCH(B2251,'CARNET DE SOUDURE'!$O$7:$O$3006,0)),"")))</f>
        <v/>
      </c>
      <c r="M2251" s="82" t="str">
        <f aca="false">IF(B2251="","",IF(OR(J2251&lt;&gt;"",K2251&lt;&gt;""),"POSÉ EN LIGNE",IF(COUNTIF(BARDAGE!$C$1:$C$5000,B2251)&gt;0,"BARDÉ","EN STOCK")))</f>
        <v/>
      </c>
      <c r="N2251" s="80"/>
    </row>
    <row r="2252" customFormat="false" ht="15" hidden="false" customHeight="false" outlineLevel="0" collapsed="false">
      <c r="A2252" s="82" t="str">
        <f aca="false">IF(B2252="","",ROW()-6)</f>
        <v/>
      </c>
      <c r="B2252" s="145"/>
      <c r="C2252" s="146"/>
      <c r="D2252" s="146"/>
      <c r="E2252" s="82" t="str">
        <f aca="false">IF(B2252="","",IF(COUNTIFS('CARNET DE SOUDURE'!$L$7:$L$3006,B2252,'CARNET DE SOUDURE'!$M$7:$M$3006,"&lt;&gt;"&amp;C2252,'CARNET DE SOUDURE'!$M$7:$M$3006,"&lt;&gt;")+COUNTIFS('CARNET DE SOUDURE'!$O$7:$O$3006,B2252,'CARNET DE SOUDURE'!$P$7:$P$3006,"&lt;&gt;"&amp;C2252,'CARNET DE SOUDURE'!$P$7:$P$3006,"&lt;&gt;")&gt;0,"⚠ DIFFÉRENTE","OK"))</f>
        <v/>
      </c>
      <c r="F2252" s="147"/>
      <c r="G2252" s="80"/>
      <c r="H2252" s="83"/>
      <c r="I2252" s="148" t="str">
        <f aca="false">IF(B2252="","",IFERROR(INDEX('CARNET DE SOUDURE'!$B$7:$B$3006,MATCH(B2252,'CARNET DE SOUDURE'!$L$7:$L$3006,0)),IFERROR(INDEX('CARNET DE SOUDURE'!$B$7:$B$3006,MATCH(B2252,'CARNET DE SOUDURE'!$O$7:$O$3006,0)),"")))</f>
        <v/>
      </c>
      <c r="J2252" s="82" t="str">
        <f aca="false">IF(B2252="","",IFERROR(INDEX('CARNET DE SOUDURE'!$E$7:$E$3006,MATCH(B2252,'CARNET DE SOUDURE'!$O$7:$O$3006,0)),""))</f>
        <v/>
      </c>
      <c r="K2252" s="82" t="str">
        <f aca="false">IF(B2252="","",IFERROR(INDEX('CARNET DE SOUDURE'!$E$7:$E$3006,MATCH(B2252,'CARNET DE SOUDURE'!$L$7:$L$3006,0)),""))</f>
        <v/>
      </c>
      <c r="L2252" s="82" t="str">
        <f aca="false">IF(B2252="","",IFERROR(INDEX('CARNET DE SOUDURE'!$D$7:$D$3006,MATCH(B2252,'CARNET DE SOUDURE'!$L$7:$L$3006,0)),IFERROR(INDEX('CARNET DE SOUDURE'!$D$7:$D$3006,MATCH(B2252,'CARNET DE SOUDURE'!$O$7:$O$3006,0)),"")))</f>
        <v/>
      </c>
      <c r="M2252" s="82" t="str">
        <f aca="false">IF(B2252="","",IF(OR(J2252&lt;&gt;"",K2252&lt;&gt;""),"POSÉ EN LIGNE",IF(COUNTIF(BARDAGE!$C$1:$C$5000,B2252)&gt;0,"BARDÉ","EN STOCK")))</f>
        <v/>
      </c>
      <c r="N2252" s="80"/>
    </row>
    <row r="2253" customFormat="false" ht="15" hidden="false" customHeight="false" outlineLevel="0" collapsed="false">
      <c r="A2253" s="82" t="str">
        <f aca="false">IF(B2253="","",ROW()-6)</f>
        <v/>
      </c>
      <c r="B2253" s="145"/>
      <c r="C2253" s="146"/>
      <c r="D2253" s="146"/>
      <c r="E2253" s="82" t="str">
        <f aca="false">IF(B2253="","",IF(COUNTIFS('CARNET DE SOUDURE'!$L$7:$L$3006,B2253,'CARNET DE SOUDURE'!$M$7:$M$3006,"&lt;&gt;"&amp;C2253,'CARNET DE SOUDURE'!$M$7:$M$3006,"&lt;&gt;")+COUNTIFS('CARNET DE SOUDURE'!$O$7:$O$3006,B2253,'CARNET DE SOUDURE'!$P$7:$P$3006,"&lt;&gt;"&amp;C2253,'CARNET DE SOUDURE'!$P$7:$P$3006,"&lt;&gt;")&gt;0,"⚠ DIFFÉRENTE","OK"))</f>
        <v/>
      </c>
      <c r="F2253" s="147"/>
      <c r="G2253" s="80"/>
      <c r="H2253" s="83"/>
      <c r="I2253" s="148" t="str">
        <f aca="false">IF(B2253="","",IFERROR(INDEX('CARNET DE SOUDURE'!$B$7:$B$3006,MATCH(B2253,'CARNET DE SOUDURE'!$L$7:$L$3006,0)),IFERROR(INDEX('CARNET DE SOUDURE'!$B$7:$B$3006,MATCH(B2253,'CARNET DE SOUDURE'!$O$7:$O$3006,0)),"")))</f>
        <v/>
      </c>
      <c r="J2253" s="82" t="str">
        <f aca="false">IF(B2253="","",IFERROR(INDEX('CARNET DE SOUDURE'!$E$7:$E$3006,MATCH(B2253,'CARNET DE SOUDURE'!$O$7:$O$3006,0)),""))</f>
        <v/>
      </c>
      <c r="K2253" s="82" t="str">
        <f aca="false">IF(B2253="","",IFERROR(INDEX('CARNET DE SOUDURE'!$E$7:$E$3006,MATCH(B2253,'CARNET DE SOUDURE'!$L$7:$L$3006,0)),""))</f>
        <v/>
      </c>
      <c r="L2253" s="82" t="str">
        <f aca="false">IF(B2253="","",IFERROR(INDEX('CARNET DE SOUDURE'!$D$7:$D$3006,MATCH(B2253,'CARNET DE SOUDURE'!$L$7:$L$3006,0)),IFERROR(INDEX('CARNET DE SOUDURE'!$D$7:$D$3006,MATCH(B2253,'CARNET DE SOUDURE'!$O$7:$O$3006,0)),"")))</f>
        <v/>
      </c>
      <c r="M2253" s="82" t="str">
        <f aca="false">IF(B2253="","",IF(OR(J2253&lt;&gt;"",K2253&lt;&gt;""),"POSÉ EN LIGNE",IF(COUNTIF(BARDAGE!$C$1:$C$5000,B2253)&gt;0,"BARDÉ","EN STOCK")))</f>
        <v/>
      </c>
      <c r="N2253" s="80"/>
    </row>
    <row r="2254" customFormat="false" ht="15" hidden="false" customHeight="false" outlineLevel="0" collapsed="false">
      <c r="A2254" s="82" t="str">
        <f aca="false">IF(B2254="","",ROW()-6)</f>
        <v/>
      </c>
      <c r="B2254" s="145"/>
      <c r="C2254" s="146"/>
      <c r="D2254" s="146"/>
      <c r="E2254" s="82" t="str">
        <f aca="false">IF(B2254="","",IF(COUNTIFS('CARNET DE SOUDURE'!$L$7:$L$3006,B2254,'CARNET DE SOUDURE'!$M$7:$M$3006,"&lt;&gt;"&amp;C2254,'CARNET DE SOUDURE'!$M$7:$M$3006,"&lt;&gt;")+COUNTIFS('CARNET DE SOUDURE'!$O$7:$O$3006,B2254,'CARNET DE SOUDURE'!$P$7:$P$3006,"&lt;&gt;"&amp;C2254,'CARNET DE SOUDURE'!$P$7:$P$3006,"&lt;&gt;")&gt;0,"⚠ DIFFÉRENTE","OK"))</f>
        <v/>
      </c>
      <c r="F2254" s="147"/>
      <c r="G2254" s="80"/>
      <c r="H2254" s="83"/>
      <c r="I2254" s="148" t="str">
        <f aca="false">IF(B2254="","",IFERROR(INDEX('CARNET DE SOUDURE'!$B$7:$B$3006,MATCH(B2254,'CARNET DE SOUDURE'!$L$7:$L$3006,0)),IFERROR(INDEX('CARNET DE SOUDURE'!$B$7:$B$3006,MATCH(B2254,'CARNET DE SOUDURE'!$O$7:$O$3006,0)),"")))</f>
        <v/>
      </c>
      <c r="J2254" s="82" t="str">
        <f aca="false">IF(B2254="","",IFERROR(INDEX('CARNET DE SOUDURE'!$E$7:$E$3006,MATCH(B2254,'CARNET DE SOUDURE'!$O$7:$O$3006,0)),""))</f>
        <v/>
      </c>
      <c r="K2254" s="82" t="str">
        <f aca="false">IF(B2254="","",IFERROR(INDEX('CARNET DE SOUDURE'!$E$7:$E$3006,MATCH(B2254,'CARNET DE SOUDURE'!$L$7:$L$3006,0)),""))</f>
        <v/>
      </c>
      <c r="L2254" s="82" t="str">
        <f aca="false">IF(B2254="","",IFERROR(INDEX('CARNET DE SOUDURE'!$D$7:$D$3006,MATCH(B2254,'CARNET DE SOUDURE'!$L$7:$L$3006,0)),IFERROR(INDEX('CARNET DE SOUDURE'!$D$7:$D$3006,MATCH(B2254,'CARNET DE SOUDURE'!$O$7:$O$3006,0)),"")))</f>
        <v/>
      </c>
      <c r="M2254" s="82" t="str">
        <f aca="false">IF(B2254="","",IF(OR(J2254&lt;&gt;"",K2254&lt;&gt;""),"POSÉ EN LIGNE",IF(COUNTIF(BARDAGE!$C$1:$C$5000,B2254)&gt;0,"BARDÉ","EN STOCK")))</f>
        <v/>
      </c>
      <c r="N2254" s="80"/>
    </row>
    <row r="2255" customFormat="false" ht="15" hidden="false" customHeight="false" outlineLevel="0" collapsed="false">
      <c r="A2255" s="82" t="str">
        <f aca="false">IF(B2255="","",ROW()-6)</f>
        <v/>
      </c>
      <c r="B2255" s="145"/>
      <c r="C2255" s="146"/>
      <c r="D2255" s="146"/>
      <c r="E2255" s="82" t="str">
        <f aca="false">IF(B2255="","",IF(COUNTIFS('CARNET DE SOUDURE'!$L$7:$L$3006,B2255,'CARNET DE SOUDURE'!$M$7:$M$3006,"&lt;&gt;"&amp;C2255,'CARNET DE SOUDURE'!$M$7:$M$3006,"&lt;&gt;")+COUNTIFS('CARNET DE SOUDURE'!$O$7:$O$3006,B2255,'CARNET DE SOUDURE'!$P$7:$P$3006,"&lt;&gt;"&amp;C2255,'CARNET DE SOUDURE'!$P$7:$P$3006,"&lt;&gt;")&gt;0,"⚠ DIFFÉRENTE","OK"))</f>
        <v/>
      </c>
      <c r="F2255" s="147"/>
      <c r="G2255" s="80"/>
      <c r="H2255" s="83"/>
      <c r="I2255" s="148" t="str">
        <f aca="false">IF(B2255="","",IFERROR(INDEX('CARNET DE SOUDURE'!$B$7:$B$3006,MATCH(B2255,'CARNET DE SOUDURE'!$L$7:$L$3006,0)),IFERROR(INDEX('CARNET DE SOUDURE'!$B$7:$B$3006,MATCH(B2255,'CARNET DE SOUDURE'!$O$7:$O$3006,0)),"")))</f>
        <v/>
      </c>
      <c r="J2255" s="82" t="str">
        <f aca="false">IF(B2255="","",IFERROR(INDEX('CARNET DE SOUDURE'!$E$7:$E$3006,MATCH(B2255,'CARNET DE SOUDURE'!$O$7:$O$3006,0)),""))</f>
        <v/>
      </c>
      <c r="K2255" s="82" t="str">
        <f aca="false">IF(B2255="","",IFERROR(INDEX('CARNET DE SOUDURE'!$E$7:$E$3006,MATCH(B2255,'CARNET DE SOUDURE'!$L$7:$L$3006,0)),""))</f>
        <v/>
      </c>
      <c r="L2255" s="82" t="str">
        <f aca="false">IF(B2255="","",IFERROR(INDEX('CARNET DE SOUDURE'!$D$7:$D$3006,MATCH(B2255,'CARNET DE SOUDURE'!$L$7:$L$3006,0)),IFERROR(INDEX('CARNET DE SOUDURE'!$D$7:$D$3006,MATCH(B2255,'CARNET DE SOUDURE'!$O$7:$O$3006,0)),"")))</f>
        <v/>
      </c>
      <c r="M2255" s="82" t="str">
        <f aca="false">IF(B2255="","",IF(OR(J2255&lt;&gt;"",K2255&lt;&gt;""),"POSÉ EN LIGNE",IF(COUNTIF(BARDAGE!$C$1:$C$5000,B2255)&gt;0,"BARDÉ","EN STOCK")))</f>
        <v/>
      </c>
      <c r="N2255" s="80"/>
    </row>
    <row r="2256" customFormat="false" ht="15" hidden="false" customHeight="false" outlineLevel="0" collapsed="false">
      <c r="A2256" s="82" t="str">
        <f aca="false">IF(B2256="","",ROW()-6)</f>
        <v/>
      </c>
      <c r="B2256" s="145"/>
      <c r="C2256" s="146"/>
      <c r="D2256" s="146"/>
      <c r="E2256" s="82" t="str">
        <f aca="false">IF(B2256="","",IF(COUNTIFS('CARNET DE SOUDURE'!$L$7:$L$3006,B2256,'CARNET DE SOUDURE'!$M$7:$M$3006,"&lt;&gt;"&amp;C2256,'CARNET DE SOUDURE'!$M$7:$M$3006,"&lt;&gt;")+COUNTIFS('CARNET DE SOUDURE'!$O$7:$O$3006,B2256,'CARNET DE SOUDURE'!$P$7:$P$3006,"&lt;&gt;"&amp;C2256,'CARNET DE SOUDURE'!$P$7:$P$3006,"&lt;&gt;")&gt;0,"⚠ DIFFÉRENTE","OK"))</f>
        <v/>
      </c>
      <c r="F2256" s="147"/>
      <c r="G2256" s="80"/>
      <c r="H2256" s="83"/>
      <c r="I2256" s="148" t="str">
        <f aca="false">IF(B2256="","",IFERROR(INDEX('CARNET DE SOUDURE'!$B$7:$B$3006,MATCH(B2256,'CARNET DE SOUDURE'!$L$7:$L$3006,0)),IFERROR(INDEX('CARNET DE SOUDURE'!$B$7:$B$3006,MATCH(B2256,'CARNET DE SOUDURE'!$O$7:$O$3006,0)),"")))</f>
        <v/>
      </c>
      <c r="J2256" s="82" t="str">
        <f aca="false">IF(B2256="","",IFERROR(INDEX('CARNET DE SOUDURE'!$E$7:$E$3006,MATCH(B2256,'CARNET DE SOUDURE'!$O$7:$O$3006,0)),""))</f>
        <v/>
      </c>
      <c r="K2256" s="82" t="str">
        <f aca="false">IF(B2256="","",IFERROR(INDEX('CARNET DE SOUDURE'!$E$7:$E$3006,MATCH(B2256,'CARNET DE SOUDURE'!$L$7:$L$3006,0)),""))</f>
        <v/>
      </c>
      <c r="L2256" s="82" t="str">
        <f aca="false">IF(B2256="","",IFERROR(INDEX('CARNET DE SOUDURE'!$D$7:$D$3006,MATCH(B2256,'CARNET DE SOUDURE'!$L$7:$L$3006,0)),IFERROR(INDEX('CARNET DE SOUDURE'!$D$7:$D$3006,MATCH(B2256,'CARNET DE SOUDURE'!$O$7:$O$3006,0)),"")))</f>
        <v/>
      </c>
      <c r="M2256" s="82" t="str">
        <f aca="false">IF(B2256="","",IF(OR(J2256&lt;&gt;"",K2256&lt;&gt;""),"POSÉ EN LIGNE",IF(COUNTIF(BARDAGE!$C$1:$C$5000,B2256)&gt;0,"BARDÉ","EN STOCK")))</f>
        <v/>
      </c>
      <c r="N2256" s="80"/>
    </row>
    <row r="2257" customFormat="false" ht="15" hidden="false" customHeight="false" outlineLevel="0" collapsed="false">
      <c r="A2257" s="82" t="str">
        <f aca="false">IF(B2257="","",ROW()-6)</f>
        <v/>
      </c>
      <c r="B2257" s="145"/>
      <c r="C2257" s="146"/>
      <c r="D2257" s="146"/>
      <c r="E2257" s="82" t="str">
        <f aca="false">IF(B2257="","",IF(COUNTIFS('CARNET DE SOUDURE'!$L$7:$L$3006,B2257,'CARNET DE SOUDURE'!$M$7:$M$3006,"&lt;&gt;"&amp;C2257,'CARNET DE SOUDURE'!$M$7:$M$3006,"&lt;&gt;")+COUNTIFS('CARNET DE SOUDURE'!$O$7:$O$3006,B2257,'CARNET DE SOUDURE'!$P$7:$P$3006,"&lt;&gt;"&amp;C2257,'CARNET DE SOUDURE'!$P$7:$P$3006,"&lt;&gt;")&gt;0,"⚠ DIFFÉRENTE","OK"))</f>
        <v/>
      </c>
      <c r="F2257" s="147"/>
      <c r="G2257" s="80"/>
      <c r="H2257" s="83"/>
      <c r="I2257" s="148" t="str">
        <f aca="false">IF(B2257="","",IFERROR(INDEX('CARNET DE SOUDURE'!$B$7:$B$3006,MATCH(B2257,'CARNET DE SOUDURE'!$L$7:$L$3006,0)),IFERROR(INDEX('CARNET DE SOUDURE'!$B$7:$B$3006,MATCH(B2257,'CARNET DE SOUDURE'!$O$7:$O$3006,0)),"")))</f>
        <v/>
      </c>
      <c r="J2257" s="82" t="str">
        <f aca="false">IF(B2257="","",IFERROR(INDEX('CARNET DE SOUDURE'!$E$7:$E$3006,MATCH(B2257,'CARNET DE SOUDURE'!$O$7:$O$3006,0)),""))</f>
        <v/>
      </c>
      <c r="K2257" s="82" t="str">
        <f aca="false">IF(B2257="","",IFERROR(INDEX('CARNET DE SOUDURE'!$E$7:$E$3006,MATCH(B2257,'CARNET DE SOUDURE'!$L$7:$L$3006,0)),""))</f>
        <v/>
      </c>
      <c r="L2257" s="82" t="str">
        <f aca="false">IF(B2257="","",IFERROR(INDEX('CARNET DE SOUDURE'!$D$7:$D$3006,MATCH(B2257,'CARNET DE SOUDURE'!$L$7:$L$3006,0)),IFERROR(INDEX('CARNET DE SOUDURE'!$D$7:$D$3006,MATCH(B2257,'CARNET DE SOUDURE'!$O$7:$O$3006,0)),"")))</f>
        <v/>
      </c>
      <c r="M2257" s="82" t="str">
        <f aca="false">IF(B2257="","",IF(OR(J2257&lt;&gt;"",K2257&lt;&gt;""),"POSÉ EN LIGNE",IF(COUNTIF(BARDAGE!$C$1:$C$5000,B2257)&gt;0,"BARDÉ","EN STOCK")))</f>
        <v/>
      </c>
      <c r="N2257" s="80"/>
    </row>
    <row r="2258" customFormat="false" ht="15" hidden="false" customHeight="false" outlineLevel="0" collapsed="false">
      <c r="A2258" s="82" t="str">
        <f aca="false">IF(B2258="","",ROW()-6)</f>
        <v/>
      </c>
      <c r="B2258" s="145"/>
      <c r="C2258" s="146"/>
      <c r="D2258" s="146"/>
      <c r="E2258" s="82" t="str">
        <f aca="false">IF(B2258="","",IF(COUNTIFS('CARNET DE SOUDURE'!$L$7:$L$3006,B2258,'CARNET DE SOUDURE'!$M$7:$M$3006,"&lt;&gt;"&amp;C2258,'CARNET DE SOUDURE'!$M$7:$M$3006,"&lt;&gt;")+COUNTIFS('CARNET DE SOUDURE'!$O$7:$O$3006,B2258,'CARNET DE SOUDURE'!$P$7:$P$3006,"&lt;&gt;"&amp;C2258,'CARNET DE SOUDURE'!$P$7:$P$3006,"&lt;&gt;")&gt;0,"⚠ DIFFÉRENTE","OK"))</f>
        <v/>
      </c>
      <c r="F2258" s="147"/>
      <c r="G2258" s="80"/>
      <c r="H2258" s="83"/>
      <c r="I2258" s="148" t="str">
        <f aca="false">IF(B2258="","",IFERROR(INDEX('CARNET DE SOUDURE'!$B$7:$B$3006,MATCH(B2258,'CARNET DE SOUDURE'!$L$7:$L$3006,0)),IFERROR(INDEX('CARNET DE SOUDURE'!$B$7:$B$3006,MATCH(B2258,'CARNET DE SOUDURE'!$O$7:$O$3006,0)),"")))</f>
        <v/>
      </c>
      <c r="J2258" s="82" t="str">
        <f aca="false">IF(B2258="","",IFERROR(INDEX('CARNET DE SOUDURE'!$E$7:$E$3006,MATCH(B2258,'CARNET DE SOUDURE'!$O$7:$O$3006,0)),""))</f>
        <v/>
      </c>
      <c r="K2258" s="82" t="str">
        <f aca="false">IF(B2258="","",IFERROR(INDEX('CARNET DE SOUDURE'!$E$7:$E$3006,MATCH(B2258,'CARNET DE SOUDURE'!$L$7:$L$3006,0)),""))</f>
        <v/>
      </c>
      <c r="L2258" s="82" t="str">
        <f aca="false">IF(B2258="","",IFERROR(INDEX('CARNET DE SOUDURE'!$D$7:$D$3006,MATCH(B2258,'CARNET DE SOUDURE'!$L$7:$L$3006,0)),IFERROR(INDEX('CARNET DE SOUDURE'!$D$7:$D$3006,MATCH(B2258,'CARNET DE SOUDURE'!$O$7:$O$3006,0)),"")))</f>
        <v/>
      </c>
      <c r="M2258" s="82" t="str">
        <f aca="false">IF(B2258="","",IF(OR(J2258&lt;&gt;"",K2258&lt;&gt;""),"POSÉ EN LIGNE",IF(COUNTIF(BARDAGE!$C$1:$C$5000,B2258)&gt;0,"BARDÉ","EN STOCK")))</f>
        <v/>
      </c>
      <c r="N2258" s="80"/>
    </row>
    <row r="2259" customFormat="false" ht="15" hidden="false" customHeight="false" outlineLevel="0" collapsed="false">
      <c r="A2259" s="82" t="str">
        <f aca="false">IF(B2259="","",ROW()-6)</f>
        <v/>
      </c>
      <c r="B2259" s="145"/>
      <c r="C2259" s="146"/>
      <c r="D2259" s="146"/>
      <c r="E2259" s="82" t="str">
        <f aca="false">IF(B2259="","",IF(COUNTIFS('CARNET DE SOUDURE'!$L$7:$L$3006,B2259,'CARNET DE SOUDURE'!$M$7:$M$3006,"&lt;&gt;"&amp;C2259,'CARNET DE SOUDURE'!$M$7:$M$3006,"&lt;&gt;")+COUNTIFS('CARNET DE SOUDURE'!$O$7:$O$3006,B2259,'CARNET DE SOUDURE'!$P$7:$P$3006,"&lt;&gt;"&amp;C2259,'CARNET DE SOUDURE'!$P$7:$P$3006,"&lt;&gt;")&gt;0,"⚠ DIFFÉRENTE","OK"))</f>
        <v/>
      </c>
      <c r="F2259" s="147"/>
      <c r="G2259" s="80"/>
      <c r="H2259" s="83"/>
      <c r="I2259" s="148" t="str">
        <f aca="false">IF(B2259="","",IFERROR(INDEX('CARNET DE SOUDURE'!$B$7:$B$3006,MATCH(B2259,'CARNET DE SOUDURE'!$L$7:$L$3006,0)),IFERROR(INDEX('CARNET DE SOUDURE'!$B$7:$B$3006,MATCH(B2259,'CARNET DE SOUDURE'!$O$7:$O$3006,0)),"")))</f>
        <v/>
      </c>
      <c r="J2259" s="82" t="str">
        <f aca="false">IF(B2259="","",IFERROR(INDEX('CARNET DE SOUDURE'!$E$7:$E$3006,MATCH(B2259,'CARNET DE SOUDURE'!$O$7:$O$3006,0)),""))</f>
        <v/>
      </c>
      <c r="K2259" s="82" t="str">
        <f aca="false">IF(B2259="","",IFERROR(INDEX('CARNET DE SOUDURE'!$E$7:$E$3006,MATCH(B2259,'CARNET DE SOUDURE'!$L$7:$L$3006,0)),""))</f>
        <v/>
      </c>
      <c r="L2259" s="82" t="str">
        <f aca="false">IF(B2259="","",IFERROR(INDEX('CARNET DE SOUDURE'!$D$7:$D$3006,MATCH(B2259,'CARNET DE SOUDURE'!$L$7:$L$3006,0)),IFERROR(INDEX('CARNET DE SOUDURE'!$D$7:$D$3006,MATCH(B2259,'CARNET DE SOUDURE'!$O$7:$O$3006,0)),"")))</f>
        <v/>
      </c>
      <c r="M2259" s="82" t="str">
        <f aca="false">IF(B2259="","",IF(OR(J2259&lt;&gt;"",K2259&lt;&gt;""),"POSÉ EN LIGNE",IF(COUNTIF(BARDAGE!$C$1:$C$5000,B2259)&gt;0,"BARDÉ","EN STOCK")))</f>
        <v/>
      </c>
      <c r="N2259" s="80"/>
    </row>
    <row r="2260" customFormat="false" ht="15" hidden="false" customHeight="false" outlineLevel="0" collapsed="false">
      <c r="A2260" s="82" t="str">
        <f aca="false">IF(B2260="","",ROW()-6)</f>
        <v/>
      </c>
      <c r="B2260" s="145"/>
      <c r="C2260" s="146"/>
      <c r="D2260" s="146"/>
      <c r="E2260" s="82" t="str">
        <f aca="false">IF(B2260="","",IF(COUNTIFS('CARNET DE SOUDURE'!$L$7:$L$3006,B2260,'CARNET DE SOUDURE'!$M$7:$M$3006,"&lt;&gt;"&amp;C2260,'CARNET DE SOUDURE'!$M$7:$M$3006,"&lt;&gt;")+COUNTIFS('CARNET DE SOUDURE'!$O$7:$O$3006,B2260,'CARNET DE SOUDURE'!$P$7:$P$3006,"&lt;&gt;"&amp;C2260,'CARNET DE SOUDURE'!$P$7:$P$3006,"&lt;&gt;")&gt;0,"⚠ DIFFÉRENTE","OK"))</f>
        <v/>
      </c>
      <c r="F2260" s="147"/>
      <c r="G2260" s="80"/>
      <c r="H2260" s="83"/>
      <c r="I2260" s="148" t="str">
        <f aca="false">IF(B2260="","",IFERROR(INDEX('CARNET DE SOUDURE'!$B$7:$B$3006,MATCH(B2260,'CARNET DE SOUDURE'!$L$7:$L$3006,0)),IFERROR(INDEX('CARNET DE SOUDURE'!$B$7:$B$3006,MATCH(B2260,'CARNET DE SOUDURE'!$O$7:$O$3006,0)),"")))</f>
        <v/>
      </c>
      <c r="J2260" s="82" t="str">
        <f aca="false">IF(B2260="","",IFERROR(INDEX('CARNET DE SOUDURE'!$E$7:$E$3006,MATCH(B2260,'CARNET DE SOUDURE'!$O$7:$O$3006,0)),""))</f>
        <v/>
      </c>
      <c r="K2260" s="82" t="str">
        <f aca="false">IF(B2260="","",IFERROR(INDEX('CARNET DE SOUDURE'!$E$7:$E$3006,MATCH(B2260,'CARNET DE SOUDURE'!$L$7:$L$3006,0)),""))</f>
        <v/>
      </c>
      <c r="L2260" s="82" t="str">
        <f aca="false">IF(B2260="","",IFERROR(INDEX('CARNET DE SOUDURE'!$D$7:$D$3006,MATCH(B2260,'CARNET DE SOUDURE'!$L$7:$L$3006,0)),IFERROR(INDEX('CARNET DE SOUDURE'!$D$7:$D$3006,MATCH(B2260,'CARNET DE SOUDURE'!$O$7:$O$3006,0)),"")))</f>
        <v/>
      </c>
      <c r="M2260" s="82" t="str">
        <f aca="false">IF(B2260="","",IF(OR(J2260&lt;&gt;"",K2260&lt;&gt;""),"POSÉ EN LIGNE",IF(COUNTIF(BARDAGE!$C$1:$C$5000,B2260)&gt;0,"BARDÉ","EN STOCK")))</f>
        <v/>
      </c>
      <c r="N2260" s="80"/>
    </row>
    <row r="2261" customFormat="false" ht="15" hidden="false" customHeight="false" outlineLevel="0" collapsed="false">
      <c r="A2261" s="82" t="str">
        <f aca="false">IF(B2261="","",ROW()-6)</f>
        <v/>
      </c>
      <c r="B2261" s="145"/>
      <c r="C2261" s="146"/>
      <c r="D2261" s="146"/>
      <c r="E2261" s="82" t="str">
        <f aca="false">IF(B2261="","",IF(COUNTIFS('CARNET DE SOUDURE'!$L$7:$L$3006,B2261,'CARNET DE SOUDURE'!$M$7:$M$3006,"&lt;&gt;"&amp;C2261,'CARNET DE SOUDURE'!$M$7:$M$3006,"&lt;&gt;")+COUNTIFS('CARNET DE SOUDURE'!$O$7:$O$3006,B2261,'CARNET DE SOUDURE'!$P$7:$P$3006,"&lt;&gt;"&amp;C2261,'CARNET DE SOUDURE'!$P$7:$P$3006,"&lt;&gt;")&gt;0,"⚠ DIFFÉRENTE","OK"))</f>
        <v/>
      </c>
      <c r="F2261" s="147"/>
      <c r="G2261" s="80"/>
      <c r="H2261" s="83"/>
      <c r="I2261" s="148" t="str">
        <f aca="false">IF(B2261="","",IFERROR(INDEX('CARNET DE SOUDURE'!$B$7:$B$3006,MATCH(B2261,'CARNET DE SOUDURE'!$L$7:$L$3006,0)),IFERROR(INDEX('CARNET DE SOUDURE'!$B$7:$B$3006,MATCH(B2261,'CARNET DE SOUDURE'!$O$7:$O$3006,0)),"")))</f>
        <v/>
      </c>
      <c r="J2261" s="82" t="str">
        <f aca="false">IF(B2261="","",IFERROR(INDEX('CARNET DE SOUDURE'!$E$7:$E$3006,MATCH(B2261,'CARNET DE SOUDURE'!$O$7:$O$3006,0)),""))</f>
        <v/>
      </c>
      <c r="K2261" s="82" t="str">
        <f aca="false">IF(B2261="","",IFERROR(INDEX('CARNET DE SOUDURE'!$E$7:$E$3006,MATCH(B2261,'CARNET DE SOUDURE'!$L$7:$L$3006,0)),""))</f>
        <v/>
      </c>
      <c r="L2261" s="82" t="str">
        <f aca="false">IF(B2261="","",IFERROR(INDEX('CARNET DE SOUDURE'!$D$7:$D$3006,MATCH(B2261,'CARNET DE SOUDURE'!$L$7:$L$3006,0)),IFERROR(INDEX('CARNET DE SOUDURE'!$D$7:$D$3006,MATCH(B2261,'CARNET DE SOUDURE'!$O$7:$O$3006,0)),"")))</f>
        <v/>
      </c>
      <c r="M2261" s="82" t="str">
        <f aca="false">IF(B2261="","",IF(OR(J2261&lt;&gt;"",K2261&lt;&gt;""),"POSÉ EN LIGNE",IF(COUNTIF(BARDAGE!$C$1:$C$5000,B2261)&gt;0,"BARDÉ","EN STOCK")))</f>
        <v/>
      </c>
      <c r="N2261" s="80"/>
    </row>
    <row r="2262" customFormat="false" ht="15" hidden="false" customHeight="false" outlineLevel="0" collapsed="false">
      <c r="A2262" s="82" t="str">
        <f aca="false">IF(B2262="","",ROW()-6)</f>
        <v/>
      </c>
      <c r="B2262" s="145"/>
      <c r="C2262" s="146"/>
      <c r="D2262" s="146"/>
      <c r="E2262" s="82" t="str">
        <f aca="false">IF(B2262="","",IF(COUNTIFS('CARNET DE SOUDURE'!$L$7:$L$3006,B2262,'CARNET DE SOUDURE'!$M$7:$M$3006,"&lt;&gt;"&amp;C2262,'CARNET DE SOUDURE'!$M$7:$M$3006,"&lt;&gt;")+COUNTIFS('CARNET DE SOUDURE'!$O$7:$O$3006,B2262,'CARNET DE SOUDURE'!$P$7:$P$3006,"&lt;&gt;"&amp;C2262,'CARNET DE SOUDURE'!$P$7:$P$3006,"&lt;&gt;")&gt;0,"⚠ DIFFÉRENTE","OK"))</f>
        <v/>
      </c>
      <c r="F2262" s="147"/>
      <c r="G2262" s="80"/>
      <c r="H2262" s="83"/>
      <c r="I2262" s="148" t="str">
        <f aca="false">IF(B2262="","",IFERROR(INDEX('CARNET DE SOUDURE'!$B$7:$B$3006,MATCH(B2262,'CARNET DE SOUDURE'!$L$7:$L$3006,0)),IFERROR(INDEX('CARNET DE SOUDURE'!$B$7:$B$3006,MATCH(B2262,'CARNET DE SOUDURE'!$O$7:$O$3006,0)),"")))</f>
        <v/>
      </c>
      <c r="J2262" s="82" t="str">
        <f aca="false">IF(B2262="","",IFERROR(INDEX('CARNET DE SOUDURE'!$E$7:$E$3006,MATCH(B2262,'CARNET DE SOUDURE'!$O$7:$O$3006,0)),""))</f>
        <v/>
      </c>
      <c r="K2262" s="82" t="str">
        <f aca="false">IF(B2262="","",IFERROR(INDEX('CARNET DE SOUDURE'!$E$7:$E$3006,MATCH(B2262,'CARNET DE SOUDURE'!$L$7:$L$3006,0)),""))</f>
        <v/>
      </c>
      <c r="L2262" s="82" t="str">
        <f aca="false">IF(B2262="","",IFERROR(INDEX('CARNET DE SOUDURE'!$D$7:$D$3006,MATCH(B2262,'CARNET DE SOUDURE'!$L$7:$L$3006,0)),IFERROR(INDEX('CARNET DE SOUDURE'!$D$7:$D$3006,MATCH(B2262,'CARNET DE SOUDURE'!$O$7:$O$3006,0)),"")))</f>
        <v/>
      </c>
      <c r="M2262" s="82" t="str">
        <f aca="false">IF(B2262="","",IF(OR(J2262&lt;&gt;"",K2262&lt;&gt;""),"POSÉ EN LIGNE",IF(COUNTIF(BARDAGE!$C$1:$C$5000,B2262)&gt;0,"BARDÉ","EN STOCK")))</f>
        <v/>
      </c>
      <c r="N2262" s="80"/>
    </row>
    <row r="2263" customFormat="false" ht="15" hidden="false" customHeight="false" outlineLevel="0" collapsed="false">
      <c r="A2263" s="82" t="str">
        <f aca="false">IF(B2263="","",ROW()-6)</f>
        <v/>
      </c>
      <c r="B2263" s="145"/>
      <c r="C2263" s="146"/>
      <c r="D2263" s="146"/>
      <c r="E2263" s="82" t="str">
        <f aca="false">IF(B2263="","",IF(COUNTIFS('CARNET DE SOUDURE'!$L$7:$L$3006,B2263,'CARNET DE SOUDURE'!$M$7:$M$3006,"&lt;&gt;"&amp;C2263,'CARNET DE SOUDURE'!$M$7:$M$3006,"&lt;&gt;")+COUNTIFS('CARNET DE SOUDURE'!$O$7:$O$3006,B2263,'CARNET DE SOUDURE'!$P$7:$P$3006,"&lt;&gt;"&amp;C2263,'CARNET DE SOUDURE'!$P$7:$P$3006,"&lt;&gt;")&gt;0,"⚠ DIFFÉRENTE","OK"))</f>
        <v/>
      </c>
      <c r="F2263" s="147"/>
      <c r="G2263" s="80"/>
      <c r="H2263" s="83"/>
      <c r="I2263" s="148" t="str">
        <f aca="false">IF(B2263="","",IFERROR(INDEX('CARNET DE SOUDURE'!$B$7:$B$3006,MATCH(B2263,'CARNET DE SOUDURE'!$L$7:$L$3006,0)),IFERROR(INDEX('CARNET DE SOUDURE'!$B$7:$B$3006,MATCH(B2263,'CARNET DE SOUDURE'!$O$7:$O$3006,0)),"")))</f>
        <v/>
      </c>
      <c r="J2263" s="82" t="str">
        <f aca="false">IF(B2263="","",IFERROR(INDEX('CARNET DE SOUDURE'!$E$7:$E$3006,MATCH(B2263,'CARNET DE SOUDURE'!$O$7:$O$3006,0)),""))</f>
        <v/>
      </c>
      <c r="K2263" s="82" t="str">
        <f aca="false">IF(B2263="","",IFERROR(INDEX('CARNET DE SOUDURE'!$E$7:$E$3006,MATCH(B2263,'CARNET DE SOUDURE'!$L$7:$L$3006,0)),""))</f>
        <v/>
      </c>
      <c r="L2263" s="82" t="str">
        <f aca="false">IF(B2263="","",IFERROR(INDEX('CARNET DE SOUDURE'!$D$7:$D$3006,MATCH(B2263,'CARNET DE SOUDURE'!$L$7:$L$3006,0)),IFERROR(INDEX('CARNET DE SOUDURE'!$D$7:$D$3006,MATCH(B2263,'CARNET DE SOUDURE'!$O$7:$O$3006,0)),"")))</f>
        <v/>
      </c>
      <c r="M2263" s="82" t="str">
        <f aca="false">IF(B2263="","",IF(OR(J2263&lt;&gt;"",K2263&lt;&gt;""),"POSÉ EN LIGNE",IF(COUNTIF(BARDAGE!$C$1:$C$5000,B2263)&gt;0,"BARDÉ","EN STOCK")))</f>
        <v/>
      </c>
      <c r="N2263" s="80"/>
    </row>
    <row r="2264" customFormat="false" ht="15" hidden="false" customHeight="false" outlineLevel="0" collapsed="false">
      <c r="A2264" s="82" t="str">
        <f aca="false">IF(B2264="","",ROW()-6)</f>
        <v/>
      </c>
      <c r="B2264" s="145"/>
      <c r="C2264" s="146"/>
      <c r="D2264" s="146"/>
      <c r="E2264" s="82" t="str">
        <f aca="false">IF(B2264="","",IF(COUNTIFS('CARNET DE SOUDURE'!$L$7:$L$3006,B2264,'CARNET DE SOUDURE'!$M$7:$M$3006,"&lt;&gt;"&amp;C2264,'CARNET DE SOUDURE'!$M$7:$M$3006,"&lt;&gt;")+COUNTIFS('CARNET DE SOUDURE'!$O$7:$O$3006,B2264,'CARNET DE SOUDURE'!$P$7:$P$3006,"&lt;&gt;"&amp;C2264,'CARNET DE SOUDURE'!$P$7:$P$3006,"&lt;&gt;")&gt;0,"⚠ DIFFÉRENTE","OK"))</f>
        <v/>
      </c>
      <c r="F2264" s="147"/>
      <c r="G2264" s="80"/>
      <c r="H2264" s="83"/>
      <c r="I2264" s="148" t="str">
        <f aca="false">IF(B2264="","",IFERROR(INDEX('CARNET DE SOUDURE'!$B$7:$B$3006,MATCH(B2264,'CARNET DE SOUDURE'!$L$7:$L$3006,0)),IFERROR(INDEX('CARNET DE SOUDURE'!$B$7:$B$3006,MATCH(B2264,'CARNET DE SOUDURE'!$O$7:$O$3006,0)),"")))</f>
        <v/>
      </c>
      <c r="J2264" s="82" t="str">
        <f aca="false">IF(B2264="","",IFERROR(INDEX('CARNET DE SOUDURE'!$E$7:$E$3006,MATCH(B2264,'CARNET DE SOUDURE'!$O$7:$O$3006,0)),""))</f>
        <v/>
      </c>
      <c r="K2264" s="82" t="str">
        <f aca="false">IF(B2264="","",IFERROR(INDEX('CARNET DE SOUDURE'!$E$7:$E$3006,MATCH(B2264,'CARNET DE SOUDURE'!$L$7:$L$3006,0)),""))</f>
        <v/>
      </c>
      <c r="L2264" s="82" t="str">
        <f aca="false">IF(B2264="","",IFERROR(INDEX('CARNET DE SOUDURE'!$D$7:$D$3006,MATCH(B2264,'CARNET DE SOUDURE'!$L$7:$L$3006,0)),IFERROR(INDEX('CARNET DE SOUDURE'!$D$7:$D$3006,MATCH(B2264,'CARNET DE SOUDURE'!$O$7:$O$3006,0)),"")))</f>
        <v/>
      </c>
      <c r="M2264" s="82" t="str">
        <f aca="false">IF(B2264="","",IF(OR(J2264&lt;&gt;"",K2264&lt;&gt;""),"POSÉ EN LIGNE",IF(COUNTIF(BARDAGE!$C$1:$C$5000,B2264)&gt;0,"BARDÉ","EN STOCK")))</f>
        <v/>
      </c>
      <c r="N2264" s="80"/>
    </row>
    <row r="2265" customFormat="false" ht="15" hidden="false" customHeight="false" outlineLevel="0" collapsed="false">
      <c r="A2265" s="82" t="str">
        <f aca="false">IF(B2265="","",ROW()-6)</f>
        <v/>
      </c>
      <c r="B2265" s="145"/>
      <c r="C2265" s="146"/>
      <c r="D2265" s="146"/>
      <c r="E2265" s="82" t="str">
        <f aca="false">IF(B2265="","",IF(COUNTIFS('CARNET DE SOUDURE'!$L$7:$L$3006,B2265,'CARNET DE SOUDURE'!$M$7:$M$3006,"&lt;&gt;"&amp;C2265,'CARNET DE SOUDURE'!$M$7:$M$3006,"&lt;&gt;")+COUNTIFS('CARNET DE SOUDURE'!$O$7:$O$3006,B2265,'CARNET DE SOUDURE'!$P$7:$P$3006,"&lt;&gt;"&amp;C2265,'CARNET DE SOUDURE'!$P$7:$P$3006,"&lt;&gt;")&gt;0,"⚠ DIFFÉRENTE","OK"))</f>
        <v/>
      </c>
      <c r="F2265" s="147"/>
      <c r="G2265" s="80"/>
      <c r="H2265" s="83"/>
      <c r="I2265" s="148" t="str">
        <f aca="false">IF(B2265="","",IFERROR(INDEX('CARNET DE SOUDURE'!$B$7:$B$3006,MATCH(B2265,'CARNET DE SOUDURE'!$L$7:$L$3006,0)),IFERROR(INDEX('CARNET DE SOUDURE'!$B$7:$B$3006,MATCH(B2265,'CARNET DE SOUDURE'!$O$7:$O$3006,0)),"")))</f>
        <v/>
      </c>
      <c r="J2265" s="82" t="str">
        <f aca="false">IF(B2265="","",IFERROR(INDEX('CARNET DE SOUDURE'!$E$7:$E$3006,MATCH(B2265,'CARNET DE SOUDURE'!$O$7:$O$3006,0)),""))</f>
        <v/>
      </c>
      <c r="K2265" s="82" t="str">
        <f aca="false">IF(B2265="","",IFERROR(INDEX('CARNET DE SOUDURE'!$E$7:$E$3006,MATCH(B2265,'CARNET DE SOUDURE'!$L$7:$L$3006,0)),""))</f>
        <v/>
      </c>
      <c r="L2265" s="82" t="str">
        <f aca="false">IF(B2265="","",IFERROR(INDEX('CARNET DE SOUDURE'!$D$7:$D$3006,MATCH(B2265,'CARNET DE SOUDURE'!$L$7:$L$3006,0)),IFERROR(INDEX('CARNET DE SOUDURE'!$D$7:$D$3006,MATCH(B2265,'CARNET DE SOUDURE'!$O$7:$O$3006,0)),"")))</f>
        <v/>
      </c>
      <c r="M2265" s="82" t="str">
        <f aca="false">IF(B2265="","",IF(OR(J2265&lt;&gt;"",K2265&lt;&gt;""),"POSÉ EN LIGNE",IF(COUNTIF(BARDAGE!$C$1:$C$5000,B2265)&gt;0,"BARDÉ","EN STOCK")))</f>
        <v/>
      </c>
      <c r="N2265" s="80"/>
    </row>
    <row r="2266" customFormat="false" ht="15" hidden="false" customHeight="false" outlineLevel="0" collapsed="false">
      <c r="A2266" s="82" t="str">
        <f aca="false">IF(B2266="","",ROW()-6)</f>
        <v/>
      </c>
      <c r="B2266" s="145"/>
      <c r="C2266" s="146"/>
      <c r="D2266" s="146"/>
      <c r="E2266" s="82" t="str">
        <f aca="false">IF(B2266="","",IF(COUNTIFS('CARNET DE SOUDURE'!$L$7:$L$3006,B2266,'CARNET DE SOUDURE'!$M$7:$M$3006,"&lt;&gt;"&amp;C2266,'CARNET DE SOUDURE'!$M$7:$M$3006,"&lt;&gt;")+COUNTIFS('CARNET DE SOUDURE'!$O$7:$O$3006,B2266,'CARNET DE SOUDURE'!$P$7:$P$3006,"&lt;&gt;"&amp;C2266,'CARNET DE SOUDURE'!$P$7:$P$3006,"&lt;&gt;")&gt;0,"⚠ DIFFÉRENTE","OK"))</f>
        <v/>
      </c>
      <c r="F2266" s="147"/>
      <c r="G2266" s="80"/>
      <c r="H2266" s="83"/>
      <c r="I2266" s="148" t="str">
        <f aca="false">IF(B2266="","",IFERROR(INDEX('CARNET DE SOUDURE'!$B$7:$B$3006,MATCH(B2266,'CARNET DE SOUDURE'!$L$7:$L$3006,0)),IFERROR(INDEX('CARNET DE SOUDURE'!$B$7:$B$3006,MATCH(B2266,'CARNET DE SOUDURE'!$O$7:$O$3006,0)),"")))</f>
        <v/>
      </c>
      <c r="J2266" s="82" t="str">
        <f aca="false">IF(B2266="","",IFERROR(INDEX('CARNET DE SOUDURE'!$E$7:$E$3006,MATCH(B2266,'CARNET DE SOUDURE'!$O$7:$O$3006,0)),""))</f>
        <v/>
      </c>
      <c r="K2266" s="82" t="str">
        <f aca="false">IF(B2266="","",IFERROR(INDEX('CARNET DE SOUDURE'!$E$7:$E$3006,MATCH(B2266,'CARNET DE SOUDURE'!$L$7:$L$3006,0)),""))</f>
        <v/>
      </c>
      <c r="L2266" s="82" t="str">
        <f aca="false">IF(B2266="","",IFERROR(INDEX('CARNET DE SOUDURE'!$D$7:$D$3006,MATCH(B2266,'CARNET DE SOUDURE'!$L$7:$L$3006,0)),IFERROR(INDEX('CARNET DE SOUDURE'!$D$7:$D$3006,MATCH(B2266,'CARNET DE SOUDURE'!$O$7:$O$3006,0)),"")))</f>
        <v/>
      </c>
      <c r="M2266" s="82" t="str">
        <f aca="false">IF(B2266="","",IF(OR(J2266&lt;&gt;"",K2266&lt;&gt;""),"POSÉ EN LIGNE",IF(COUNTIF(BARDAGE!$C$1:$C$5000,B2266)&gt;0,"BARDÉ","EN STOCK")))</f>
        <v/>
      </c>
      <c r="N2266" s="80"/>
    </row>
    <row r="2267" customFormat="false" ht="15" hidden="false" customHeight="false" outlineLevel="0" collapsed="false">
      <c r="A2267" s="82" t="str">
        <f aca="false">IF(B2267="","",ROW()-6)</f>
        <v/>
      </c>
      <c r="B2267" s="145"/>
      <c r="C2267" s="146"/>
      <c r="D2267" s="146"/>
      <c r="E2267" s="82" t="str">
        <f aca="false">IF(B2267="","",IF(COUNTIFS('CARNET DE SOUDURE'!$L$7:$L$3006,B2267,'CARNET DE SOUDURE'!$M$7:$M$3006,"&lt;&gt;"&amp;C2267,'CARNET DE SOUDURE'!$M$7:$M$3006,"&lt;&gt;")+COUNTIFS('CARNET DE SOUDURE'!$O$7:$O$3006,B2267,'CARNET DE SOUDURE'!$P$7:$P$3006,"&lt;&gt;"&amp;C2267,'CARNET DE SOUDURE'!$P$7:$P$3006,"&lt;&gt;")&gt;0,"⚠ DIFFÉRENTE","OK"))</f>
        <v/>
      </c>
      <c r="F2267" s="147"/>
      <c r="G2267" s="80"/>
      <c r="H2267" s="83"/>
      <c r="I2267" s="148" t="str">
        <f aca="false">IF(B2267="","",IFERROR(INDEX('CARNET DE SOUDURE'!$B$7:$B$3006,MATCH(B2267,'CARNET DE SOUDURE'!$L$7:$L$3006,0)),IFERROR(INDEX('CARNET DE SOUDURE'!$B$7:$B$3006,MATCH(B2267,'CARNET DE SOUDURE'!$O$7:$O$3006,0)),"")))</f>
        <v/>
      </c>
      <c r="J2267" s="82" t="str">
        <f aca="false">IF(B2267="","",IFERROR(INDEX('CARNET DE SOUDURE'!$E$7:$E$3006,MATCH(B2267,'CARNET DE SOUDURE'!$O$7:$O$3006,0)),""))</f>
        <v/>
      </c>
      <c r="K2267" s="82" t="str">
        <f aca="false">IF(B2267="","",IFERROR(INDEX('CARNET DE SOUDURE'!$E$7:$E$3006,MATCH(B2267,'CARNET DE SOUDURE'!$L$7:$L$3006,0)),""))</f>
        <v/>
      </c>
      <c r="L2267" s="82" t="str">
        <f aca="false">IF(B2267="","",IFERROR(INDEX('CARNET DE SOUDURE'!$D$7:$D$3006,MATCH(B2267,'CARNET DE SOUDURE'!$L$7:$L$3006,0)),IFERROR(INDEX('CARNET DE SOUDURE'!$D$7:$D$3006,MATCH(B2267,'CARNET DE SOUDURE'!$O$7:$O$3006,0)),"")))</f>
        <v/>
      </c>
      <c r="M2267" s="82" t="str">
        <f aca="false">IF(B2267="","",IF(OR(J2267&lt;&gt;"",K2267&lt;&gt;""),"POSÉ EN LIGNE",IF(COUNTIF(BARDAGE!$C$1:$C$5000,B2267)&gt;0,"BARDÉ","EN STOCK")))</f>
        <v/>
      </c>
      <c r="N2267" s="80"/>
    </row>
    <row r="2268" customFormat="false" ht="15" hidden="false" customHeight="false" outlineLevel="0" collapsed="false">
      <c r="A2268" s="82" t="str">
        <f aca="false">IF(B2268="","",ROW()-6)</f>
        <v/>
      </c>
      <c r="B2268" s="145"/>
      <c r="C2268" s="146"/>
      <c r="D2268" s="146"/>
      <c r="E2268" s="82" t="str">
        <f aca="false">IF(B2268="","",IF(COUNTIFS('CARNET DE SOUDURE'!$L$7:$L$3006,B2268,'CARNET DE SOUDURE'!$M$7:$M$3006,"&lt;&gt;"&amp;C2268,'CARNET DE SOUDURE'!$M$7:$M$3006,"&lt;&gt;")+COUNTIFS('CARNET DE SOUDURE'!$O$7:$O$3006,B2268,'CARNET DE SOUDURE'!$P$7:$P$3006,"&lt;&gt;"&amp;C2268,'CARNET DE SOUDURE'!$P$7:$P$3006,"&lt;&gt;")&gt;0,"⚠ DIFFÉRENTE","OK"))</f>
        <v/>
      </c>
      <c r="F2268" s="147"/>
      <c r="G2268" s="80"/>
      <c r="H2268" s="83"/>
      <c r="I2268" s="148" t="str">
        <f aca="false">IF(B2268="","",IFERROR(INDEX('CARNET DE SOUDURE'!$B$7:$B$3006,MATCH(B2268,'CARNET DE SOUDURE'!$L$7:$L$3006,0)),IFERROR(INDEX('CARNET DE SOUDURE'!$B$7:$B$3006,MATCH(B2268,'CARNET DE SOUDURE'!$O$7:$O$3006,0)),"")))</f>
        <v/>
      </c>
      <c r="J2268" s="82" t="str">
        <f aca="false">IF(B2268="","",IFERROR(INDEX('CARNET DE SOUDURE'!$E$7:$E$3006,MATCH(B2268,'CARNET DE SOUDURE'!$O$7:$O$3006,0)),""))</f>
        <v/>
      </c>
      <c r="K2268" s="82" t="str">
        <f aca="false">IF(B2268="","",IFERROR(INDEX('CARNET DE SOUDURE'!$E$7:$E$3006,MATCH(B2268,'CARNET DE SOUDURE'!$L$7:$L$3006,0)),""))</f>
        <v/>
      </c>
      <c r="L2268" s="82" t="str">
        <f aca="false">IF(B2268="","",IFERROR(INDEX('CARNET DE SOUDURE'!$D$7:$D$3006,MATCH(B2268,'CARNET DE SOUDURE'!$L$7:$L$3006,0)),IFERROR(INDEX('CARNET DE SOUDURE'!$D$7:$D$3006,MATCH(B2268,'CARNET DE SOUDURE'!$O$7:$O$3006,0)),"")))</f>
        <v/>
      </c>
      <c r="M2268" s="82" t="str">
        <f aca="false">IF(B2268="","",IF(OR(J2268&lt;&gt;"",K2268&lt;&gt;""),"POSÉ EN LIGNE",IF(COUNTIF(BARDAGE!$C$1:$C$5000,B2268)&gt;0,"BARDÉ","EN STOCK")))</f>
        <v/>
      </c>
      <c r="N2268" s="80"/>
    </row>
    <row r="2269" customFormat="false" ht="15" hidden="false" customHeight="false" outlineLevel="0" collapsed="false">
      <c r="A2269" s="82" t="str">
        <f aca="false">IF(B2269="","",ROW()-6)</f>
        <v/>
      </c>
      <c r="B2269" s="145"/>
      <c r="C2269" s="146"/>
      <c r="D2269" s="146"/>
      <c r="E2269" s="82" t="str">
        <f aca="false">IF(B2269="","",IF(COUNTIFS('CARNET DE SOUDURE'!$L$7:$L$3006,B2269,'CARNET DE SOUDURE'!$M$7:$M$3006,"&lt;&gt;"&amp;C2269,'CARNET DE SOUDURE'!$M$7:$M$3006,"&lt;&gt;")+COUNTIFS('CARNET DE SOUDURE'!$O$7:$O$3006,B2269,'CARNET DE SOUDURE'!$P$7:$P$3006,"&lt;&gt;"&amp;C2269,'CARNET DE SOUDURE'!$P$7:$P$3006,"&lt;&gt;")&gt;0,"⚠ DIFFÉRENTE","OK"))</f>
        <v/>
      </c>
      <c r="F2269" s="147"/>
      <c r="G2269" s="80"/>
      <c r="H2269" s="83"/>
      <c r="I2269" s="148" t="str">
        <f aca="false">IF(B2269="","",IFERROR(INDEX('CARNET DE SOUDURE'!$B$7:$B$3006,MATCH(B2269,'CARNET DE SOUDURE'!$L$7:$L$3006,0)),IFERROR(INDEX('CARNET DE SOUDURE'!$B$7:$B$3006,MATCH(B2269,'CARNET DE SOUDURE'!$O$7:$O$3006,0)),"")))</f>
        <v/>
      </c>
      <c r="J2269" s="82" t="str">
        <f aca="false">IF(B2269="","",IFERROR(INDEX('CARNET DE SOUDURE'!$E$7:$E$3006,MATCH(B2269,'CARNET DE SOUDURE'!$O$7:$O$3006,0)),""))</f>
        <v/>
      </c>
      <c r="K2269" s="82" t="str">
        <f aca="false">IF(B2269="","",IFERROR(INDEX('CARNET DE SOUDURE'!$E$7:$E$3006,MATCH(B2269,'CARNET DE SOUDURE'!$L$7:$L$3006,0)),""))</f>
        <v/>
      </c>
      <c r="L2269" s="82" t="str">
        <f aca="false">IF(B2269="","",IFERROR(INDEX('CARNET DE SOUDURE'!$D$7:$D$3006,MATCH(B2269,'CARNET DE SOUDURE'!$L$7:$L$3006,0)),IFERROR(INDEX('CARNET DE SOUDURE'!$D$7:$D$3006,MATCH(B2269,'CARNET DE SOUDURE'!$O$7:$O$3006,0)),"")))</f>
        <v/>
      </c>
      <c r="M2269" s="82" t="str">
        <f aca="false">IF(B2269="","",IF(OR(J2269&lt;&gt;"",K2269&lt;&gt;""),"POSÉ EN LIGNE",IF(COUNTIF(BARDAGE!$C$1:$C$5000,B2269)&gt;0,"BARDÉ","EN STOCK")))</f>
        <v/>
      </c>
      <c r="N2269" s="80"/>
    </row>
    <row r="2270" customFormat="false" ht="15" hidden="false" customHeight="false" outlineLevel="0" collapsed="false">
      <c r="A2270" s="82" t="str">
        <f aca="false">IF(B2270="","",ROW()-6)</f>
        <v/>
      </c>
      <c r="B2270" s="145"/>
      <c r="C2270" s="146"/>
      <c r="D2270" s="146"/>
      <c r="E2270" s="82" t="str">
        <f aca="false">IF(B2270="","",IF(COUNTIFS('CARNET DE SOUDURE'!$L$7:$L$3006,B2270,'CARNET DE SOUDURE'!$M$7:$M$3006,"&lt;&gt;"&amp;C2270,'CARNET DE SOUDURE'!$M$7:$M$3006,"&lt;&gt;")+COUNTIFS('CARNET DE SOUDURE'!$O$7:$O$3006,B2270,'CARNET DE SOUDURE'!$P$7:$P$3006,"&lt;&gt;"&amp;C2270,'CARNET DE SOUDURE'!$P$7:$P$3006,"&lt;&gt;")&gt;0,"⚠ DIFFÉRENTE","OK"))</f>
        <v/>
      </c>
      <c r="F2270" s="147"/>
      <c r="G2270" s="80"/>
      <c r="H2270" s="83"/>
      <c r="I2270" s="148" t="str">
        <f aca="false">IF(B2270="","",IFERROR(INDEX('CARNET DE SOUDURE'!$B$7:$B$3006,MATCH(B2270,'CARNET DE SOUDURE'!$L$7:$L$3006,0)),IFERROR(INDEX('CARNET DE SOUDURE'!$B$7:$B$3006,MATCH(B2270,'CARNET DE SOUDURE'!$O$7:$O$3006,0)),"")))</f>
        <v/>
      </c>
      <c r="J2270" s="82" t="str">
        <f aca="false">IF(B2270="","",IFERROR(INDEX('CARNET DE SOUDURE'!$E$7:$E$3006,MATCH(B2270,'CARNET DE SOUDURE'!$O$7:$O$3006,0)),""))</f>
        <v/>
      </c>
      <c r="K2270" s="82" t="str">
        <f aca="false">IF(B2270="","",IFERROR(INDEX('CARNET DE SOUDURE'!$E$7:$E$3006,MATCH(B2270,'CARNET DE SOUDURE'!$L$7:$L$3006,0)),""))</f>
        <v/>
      </c>
      <c r="L2270" s="82" t="str">
        <f aca="false">IF(B2270="","",IFERROR(INDEX('CARNET DE SOUDURE'!$D$7:$D$3006,MATCH(B2270,'CARNET DE SOUDURE'!$L$7:$L$3006,0)),IFERROR(INDEX('CARNET DE SOUDURE'!$D$7:$D$3006,MATCH(B2270,'CARNET DE SOUDURE'!$O$7:$O$3006,0)),"")))</f>
        <v/>
      </c>
      <c r="M2270" s="82" t="str">
        <f aca="false">IF(B2270="","",IF(OR(J2270&lt;&gt;"",K2270&lt;&gt;""),"POSÉ EN LIGNE",IF(COUNTIF(BARDAGE!$C$1:$C$5000,B2270)&gt;0,"BARDÉ","EN STOCK")))</f>
        <v/>
      </c>
      <c r="N2270" s="80"/>
    </row>
    <row r="2271" customFormat="false" ht="15" hidden="false" customHeight="false" outlineLevel="0" collapsed="false">
      <c r="A2271" s="82" t="str">
        <f aca="false">IF(B2271="","",ROW()-6)</f>
        <v/>
      </c>
      <c r="B2271" s="145"/>
      <c r="C2271" s="146"/>
      <c r="D2271" s="146"/>
      <c r="E2271" s="82" t="str">
        <f aca="false">IF(B2271="","",IF(COUNTIFS('CARNET DE SOUDURE'!$L$7:$L$3006,B2271,'CARNET DE SOUDURE'!$M$7:$M$3006,"&lt;&gt;"&amp;C2271,'CARNET DE SOUDURE'!$M$7:$M$3006,"&lt;&gt;")+COUNTIFS('CARNET DE SOUDURE'!$O$7:$O$3006,B2271,'CARNET DE SOUDURE'!$P$7:$P$3006,"&lt;&gt;"&amp;C2271,'CARNET DE SOUDURE'!$P$7:$P$3006,"&lt;&gt;")&gt;0,"⚠ DIFFÉRENTE","OK"))</f>
        <v/>
      </c>
      <c r="F2271" s="147"/>
      <c r="G2271" s="80"/>
      <c r="H2271" s="83"/>
      <c r="I2271" s="148" t="str">
        <f aca="false">IF(B2271="","",IFERROR(INDEX('CARNET DE SOUDURE'!$B$7:$B$3006,MATCH(B2271,'CARNET DE SOUDURE'!$L$7:$L$3006,0)),IFERROR(INDEX('CARNET DE SOUDURE'!$B$7:$B$3006,MATCH(B2271,'CARNET DE SOUDURE'!$O$7:$O$3006,0)),"")))</f>
        <v/>
      </c>
      <c r="J2271" s="82" t="str">
        <f aca="false">IF(B2271="","",IFERROR(INDEX('CARNET DE SOUDURE'!$E$7:$E$3006,MATCH(B2271,'CARNET DE SOUDURE'!$O$7:$O$3006,0)),""))</f>
        <v/>
      </c>
      <c r="K2271" s="82" t="str">
        <f aca="false">IF(B2271="","",IFERROR(INDEX('CARNET DE SOUDURE'!$E$7:$E$3006,MATCH(B2271,'CARNET DE SOUDURE'!$L$7:$L$3006,0)),""))</f>
        <v/>
      </c>
      <c r="L2271" s="82" t="str">
        <f aca="false">IF(B2271="","",IFERROR(INDEX('CARNET DE SOUDURE'!$D$7:$D$3006,MATCH(B2271,'CARNET DE SOUDURE'!$L$7:$L$3006,0)),IFERROR(INDEX('CARNET DE SOUDURE'!$D$7:$D$3006,MATCH(B2271,'CARNET DE SOUDURE'!$O$7:$O$3006,0)),"")))</f>
        <v/>
      </c>
      <c r="M2271" s="82" t="str">
        <f aca="false">IF(B2271="","",IF(OR(J2271&lt;&gt;"",K2271&lt;&gt;""),"POSÉ EN LIGNE",IF(COUNTIF(BARDAGE!$C$1:$C$5000,B2271)&gt;0,"BARDÉ","EN STOCK")))</f>
        <v/>
      </c>
      <c r="N2271" s="80"/>
    </row>
    <row r="2272" customFormat="false" ht="15" hidden="false" customHeight="false" outlineLevel="0" collapsed="false">
      <c r="A2272" s="82" t="str">
        <f aca="false">IF(B2272="","",ROW()-6)</f>
        <v/>
      </c>
      <c r="B2272" s="145"/>
      <c r="C2272" s="146"/>
      <c r="D2272" s="146"/>
      <c r="E2272" s="82" t="str">
        <f aca="false">IF(B2272="","",IF(COUNTIFS('CARNET DE SOUDURE'!$L$7:$L$3006,B2272,'CARNET DE SOUDURE'!$M$7:$M$3006,"&lt;&gt;"&amp;C2272,'CARNET DE SOUDURE'!$M$7:$M$3006,"&lt;&gt;")+COUNTIFS('CARNET DE SOUDURE'!$O$7:$O$3006,B2272,'CARNET DE SOUDURE'!$P$7:$P$3006,"&lt;&gt;"&amp;C2272,'CARNET DE SOUDURE'!$P$7:$P$3006,"&lt;&gt;")&gt;0,"⚠ DIFFÉRENTE","OK"))</f>
        <v/>
      </c>
      <c r="F2272" s="147"/>
      <c r="G2272" s="80"/>
      <c r="H2272" s="83"/>
      <c r="I2272" s="148" t="str">
        <f aca="false">IF(B2272="","",IFERROR(INDEX('CARNET DE SOUDURE'!$B$7:$B$3006,MATCH(B2272,'CARNET DE SOUDURE'!$L$7:$L$3006,0)),IFERROR(INDEX('CARNET DE SOUDURE'!$B$7:$B$3006,MATCH(B2272,'CARNET DE SOUDURE'!$O$7:$O$3006,0)),"")))</f>
        <v/>
      </c>
      <c r="J2272" s="82" t="str">
        <f aca="false">IF(B2272="","",IFERROR(INDEX('CARNET DE SOUDURE'!$E$7:$E$3006,MATCH(B2272,'CARNET DE SOUDURE'!$O$7:$O$3006,0)),""))</f>
        <v/>
      </c>
      <c r="K2272" s="82" t="str">
        <f aca="false">IF(B2272="","",IFERROR(INDEX('CARNET DE SOUDURE'!$E$7:$E$3006,MATCH(B2272,'CARNET DE SOUDURE'!$L$7:$L$3006,0)),""))</f>
        <v/>
      </c>
      <c r="L2272" s="82" t="str">
        <f aca="false">IF(B2272="","",IFERROR(INDEX('CARNET DE SOUDURE'!$D$7:$D$3006,MATCH(B2272,'CARNET DE SOUDURE'!$L$7:$L$3006,0)),IFERROR(INDEX('CARNET DE SOUDURE'!$D$7:$D$3006,MATCH(B2272,'CARNET DE SOUDURE'!$O$7:$O$3006,0)),"")))</f>
        <v/>
      </c>
      <c r="M2272" s="82" t="str">
        <f aca="false">IF(B2272="","",IF(OR(J2272&lt;&gt;"",K2272&lt;&gt;""),"POSÉ EN LIGNE",IF(COUNTIF(BARDAGE!$C$1:$C$5000,B2272)&gt;0,"BARDÉ","EN STOCK")))</f>
        <v/>
      </c>
      <c r="N2272" s="80"/>
    </row>
    <row r="2273" customFormat="false" ht="15" hidden="false" customHeight="false" outlineLevel="0" collapsed="false">
      <c r="A2273" s="82" t="str">
        <f aca="false">IF(B2273="","",ROW()-6)</f>
        <v/>
      </c>
      <c r="B2273" s="145"/>
      <c r="C2273" s="146"/>
      <c r="D2273" s="146"/>
      <c r="E2273" s="82" t="str">
        <f aca="false">IF(B2273="","",IF(COUNTIFS('CARNET DE SOUDURE'!$L$7:$L$3006,B2273,'CARNET DE SOUDURE'!$M$7:$M$3006,"&lt;&gt;"&amp;C2273,'CARNET DE SOUDURE'!$M$7:$M$3006,"&lt;&gt;")+COUNTIFS('CARNET DE SOUDURE'!$O$7:$O$3006,B2273,'CARNET DE SOUDURE'!$P$7:$P$3006,"&lt;&gt;"&amp;C2273,'CARNET DE SOUDURE'!$P$7:$P$3006,"&lt;&gt;")&gt;0,"⚠ DIFFÉRENTE","OK"))</f>
        <v/>
      </c>
      <c r="F2273" s="147"/>
      <c r="G2273" s="80"/>
      <c r="H2273" s="83"/>
      <c r="I2273" s="148" t="str">
        <f aca="false">IF(B2273="","",IFERROR(INDEX('CARNET DE SOUDURE'!$B$7:$B$3006,MATCH(B2273,'CARNET DE SOUDURE'!$L$7:$L$3006,0)),IFERROR(INDEX('CARNET DE SOUDURE'!$B$7:$B$3006,MATCH(B2273,'CARNET DE SOUDURE'!$O$7:$O$3006,0)),"")))</f>
        <v/>
      </c>
      <c r="J2273" s="82" t="str">
        <f aca="false">IF(B2273="","",IFERROR(INDEX('CARNET DE SOUDURE'!$E$7:$E$3006,MATCH(B2273,'CARNET DE SOUDURE'!$O$7:$O$3006,0)),""))</f>
        <v/>
      </c>
      <c r="K2273" s="82" t="str">
        <f aca="false">IF(B2273="","",IFERROR(INDEX('CARNET DE SOUDURE'!$E$7:$E$3006,MATCH(B2273,'CARNET DE SOUDURE'!$L$7:$L$3006,0)),""))</f>
        <v/>
      </c>
      <c r="L2273" s="82" t="str">
        <f aca="false">IF(B2273="","",IFERROR(INDEX('CARNET DE SOUDURE'!$D$7:$D$3006,MATCH(B2273,'CARNET DE SOUDURE'!$L$7:$L$3006,0)),IFERROR(INDEX('CARNET DE SOUDURE'!$D$7:$D$3006,MATCH(B2273,'CARNET DE SOUDURE'!$O$7:$O$3006,0)),"")))</f>
        <v/>
      </c>
      <c r="M2273" s="82" t="str">
        <f aca="false">IF(B2273="","",IF(OR(J2273&lt;&gt;"",K2273&lt;&gt;""),"POSÉ EN LIGNE",IF(COUNTIF(BARDAGE!$C$1:$C$5000,B2273)&gt;0,"BARDÉ","EN STOCK")))</f>
        <v/>
      </c>
      <c r="N2273" s="80"/>
    </row>
    <row r="2274" customFormat="false" ht="15" hidden="false" customHeight="false" outlineLevel="0" collapsed="false">
      <c r="A2274" s="82" t="str">
        <f aca="false">IF(B2274="","",ROW()-6)</f>
        <v/>
      </c>
      <c r="B2274" s="145"/>
      <c r="C2274" s="146"/>
      <c r="D2274" s="146"/>
      <c r="E2274" s="82" t="str">
        <f aca="false">IF(B2274="","",IF(COUNTIFS('CARNET DE SOUDURE'!$L$7:$L$3006,B2274,'CARNET DE SOUDURE'!$M$7:$M$3006,"&lt;&gt;"&amp;C2274,'CARNET DE SOUDURE'!$M$7:$M$3006,"&lt;&gt;")+COUNTIFS('CARNET DE SOUDURE'!$O$7:$O$3006,B2274,'CARNET DE SOUDURE'!$P$7:$P$3006,"&lt;&gt;"&amp;C2274,'CARNET DE SOUDURE'!$P$7:$P$3006,"&lt;&gt;")&gt;0,"⚠ DIFFÉRENTE","OK"))</f>
        <v/>
      </c>
      <c r="F2274" s="147"/>
      <c r="G2274" s="80"/>
      <c r="H2274" s="83"/>
      <c r="I2274" s="148" t="str">
        <f aca="false">IF(B2274="","",IFERROR(INDEX('CARNET DE SOUDURE'!$B$7:$B$3006,MATCH(B2274,'CARNET DE SOUDURE'!$L$7:$L$3006,0)),IFERROR(INDEX('CARNET DE SOUDURE'!$B$7:$B$3006,MATCH(B2274,'CARNET DE SOUDURE'!$O$7:$O$3006,0)),"")))</f>
        <v/>
      </c>
      <c r="J2274" s="82" t="str">
        <f aca="false">IF(B2274="","",IFERROR(INDEX('CARNET DE SOUDURE'!$E$7:$E$3006,MATCH(B2274,'CARNET DE SOUDURE'!$O$7:$O$3006,0)),""))</f>
        <v/>
      </c>
      <c r="K2274" s="82" t="str">
        <f aca="false">IF(B2274="","",IFERROR(INDEX('CARNET DE SOUDURE'!$E$7:$E$3006,MATCH(B2274,'CARNET DE SOUDURE'!$L$7:$L$3006,0)),""))</f>
        <v/>
      </c>
      <c r="L2274" s="82" t="str">
        <f aca="false">IF(B2274="","",IFERROR(INDEX('CARNET DE SOUDURE'!$D$7:$D$3006,MATCH(B2274,'CARNET DE SOUDURE'!$L$7:$L$3006,0)),IFERROR(INDEX('CARNET DE SOUDURE'!$D$7:$D$3006,MATCH(B2274,'CARNET DE SOUDURE'!$O$7:$O$3006,0)),"")))</f>
        <v/>
      </c>
      <c r="M2274" s="82" t="str">
        <f aca="false">IF(B2274="","",IF(OR(J2274&lt;&gt;"",K2274&lt;&gt;""),"POSÉ EN LIGNE",IF(COUNTIF(BARDAGE!$C$1:$C$5000,B2274)&gt;0,"BARDÉ","EN STOCK")))</f>
        <v/>
      </c>
      <c r="N2274" s="80"/>
    </row>
    <row r="2275" customFormat="false" ht="15" hidden="false" customHeight="false" outlineLevel="0" collapsed="false">
      <c r="A2275" s="82" t="str">
        <f aca="false">IF(B2275="","",ROW()-6)</f>
        <v/>
      </c>
      <c r="B2275" s="145"/>
      <c r="C2275" s="146"/>
      <c r="D2275" s="146"/>
      <c r="E2275" s="82" t="str">
        <f aca="false">IF(B2275="","",IF(COUNTIFS('CARNET DE SOUDURE'!$L$7:$L$3006,B2275,'CARNET DE SOUDURE'!$M$7:$M$3006,"&lt;&gt;"&amp;C2275,'CARNET DE SOUDURE'!$M$7:$M$3006,"&lt;&gt;")+COUNTIFS('CARNET DE SOUDURE'!$O$7:$O$3006,B2275,'CARNET DE SOUDURE'!$P$7:$P$3006,"&lt;&gt;"&amp;C2275,'CARNET DE SOUDURE'!$P$7:$P$3006,"&lt;&gt;")&gt;0,"⚠ DIFFÉRENTE","OK"))</f>
        <v/>
      </c>
      <c r="F2275" s="147"/>
      <c r="G2275" s="80"/>
      <c r="H2275" s="83"/>
      <c r="I2275" s="148" t="str">
        <f aca="false">IF(B2275="","",IFERROR(INDEX('CARNET DE SOUDURE'!$B$7:$B$3006,MATCH(B2275,'CARNET DE SOUDURE'!$L$7:$L$3006,0)),IFERROR(INDEX('CARNET DE SOUDURE'!$B$7:$B$3006,MATCH(B2275,'CARNET DE SOUDURE'!$O$7:$O$3006,0)),"")))</f>
        <v/>
      </c>
      <c r="J2275" s="82" t="str">
        <f aca="false">IF(B2275="","",IFERROR(INDEX('CARNET DE SOUDURE'!$E$7:$E$3006,MATCH(B2275,'CARNET DE SOUDURE'!$O$7:$O$3006,0)),""))</f>
        <v/>
      </c>
      <c r="K2275" s="82" t="str">
        <f aca="false">IF(B2275="","",IFERROR(INDEX('CARNET DE SOUDURE'!$E$7:$E$3006,MATCH(B2275,'CARNET DE SOUDURE'!$L$7:$L$3006,0)),""))</f>
        <v/>
      </c>
      <c r="L2275" s="82" t="str">
        <f aca="false">IF(B2275="","",IFERROR(INDEX('CARNET DE SOUDURE'!$D$7:$D$3006,MATCH(B2275,'CARNET DE SOUDURE'!$L$7:$L$3006,0)),IFERROR(INDEX('CARNET DE SOUDURE'!$D$7:$D$3006,MATCH(B2275,'CARNET DE SOUDURE'!$O$7:$O$3006,0)),"")))</f>
        <v/>
      </c>
      <c r="M2275" s="82" t="str">
        <f aca="false">IF(B2275="","",IF(OR(J2275&lt;&gt;"",K2275&lt;&gt;""),"POSÉ EN LIGNE",IF(COUNTIF(BARDAGE!$C$1:$C$5000,B2275)&gt;0,"BARDÉ","EN STOCK")))</f>
        <v/>
      </c>
      <c r="N2275" s="80"/>
    </row>
    <row r="2276" customFormat="false" ht="15" hidden="false" customHeight="false" outlineLevel="0" collapsed="false">
      <c r="A2276" s="82" t="str">
        <f aca="false">IF(B2276="","",ROW()-6)</f>
        <v/>
      </c>
      <c r="B2276" s="145"/>
      <c r="C2276" s="146"/>
      <c r="D2276" s="146"/>
      <c r="E2276" s="82" t="str">
        <f aca="false">IF(B2276="","",IF(COUNTIFS('CARNET DE SOUDURE'!$L$7:$L$3006,B2276,'CARNET DE SOUDURE'!$M$7:$M$3006,"&lt;&gt;"&amp;C2276,'CARNET DE SOUDURE'!$M$7:$M$3006,"&lt;&gt;")+COUNTIFS('CARNET DE SOUDURE'!$O$7:$O$3006,B2276,'CARNET DE SOUDURE'!$P$7:$P$3006,"&lt;&gt;"&amp;C2276,'CARNET DE SOUDURE'!$P$7:$P$3006,"&lt;&gt;")&gt;0,"⚠ DIFFÉRENTE","OK"))</f>
        <v/>
      </c>
      <c r="F2276" s="147"/>
      <c r="G2276" s="80"/>
      <c r="H2276" s="83"/>
      <c r="I2276" s="148" t="str">
        <f aca="false">IF(B2276="","",IFERROR(INDEX('CARNET DE SOUDURE'!$B$7:$B$3006,MATCH(B2276,'CARNET DE SOUDURE'!$L$7:$L$3006,0)),IFERROR(INDEX('CARNET DE SOUDURE'!$B$7:$B$3006,MATCH(B2276,'CARNET DE SOUDURE'!$O$7:$O$3006,0)),"")))</f>
        <v/>
      </c>
      <c r="J2276" s="82" t="str">
        <f aca="false">IF(B2276="","",IFERROR(INDEX('CARNET DE SOUDURE'!$E$7:$E$3006,MATCH(B2276,'CARNET DE SOUDURE'!$O$7:$O$3006,0)),""))</f>
        <v/>
      </c>
      <c r="K2276" s="82" t="str">
        <f aca="false">IF(B2276="","",IFERROR(INDEX('CARNET DE SOUDURE'!$E$7:$E$3006,MATCH(B2276,'CARNET DE SOUDURE'!$L$7:$L$3006,0)),""))</f>
        <v/>
      </c>
      <c r="L2276" s="82" t="str">
        <f aca="false">IF(B2276="","",IFERROR(INDEX('CARNET DE SOUDURE'!$D$7:$D$3006,MATCH(B2276,'CARNET DE SOUDURE'!$L$7:$L$3006,0)),IFERROR(INDEX('CARNET DE SOUDURE'!$D$7:$D$3006,MATCH(B2276,'CARNET DE SOUDURE'!$O$7:$O$3006,0)),"")))</f>
        <v/>
      </c>
      <c r="M2276" s="82" t="str">
        <f aca="false">IF(B2276="","",IF(OR(J2276&lt;&gt;"",K2276&lt;&gt;""),"POSÉ EN LIGNE",IF(COUNTIF(BARDAGE!$C$1:$C$5000,B2276)&gt;0,"BARDÉ","EN STOCK")))</f>
        <v/>
      </c>
      <c r="N2276" s="80"/>
    </row>
    <row r="2277" customFormat="false" ht="15" hidden="false" customHeight="false" outlineLevel="0" collapsed="false">
      <c r="A2277" s="82" t="str">
        <f aca="false">IF(B2277="","",ROW()-6)</f>
        <v/>
      </c>
      <c r="B2277" s="145"/>
      <c r="C2277" s="146"/>
      <c r="D2277" s="146"/>
      <c r="E2277" s="82" t="str">
        <f aca="false">IF(B2277="","",IF(COUNTIFS('CARNET DE SOUDURE'!$L$7:$L$3006,B2277,'CARNET DE SOUDURE'!$M$7:$M$3006,"&lt;&gt;"&amp;C2277,'CARNET DE SOUDURE'!$M$7:$M$3006,"&lt;&gt;")+COUNTIFS('CARNET DE SOUDURE'!$O$7:$O$3006,B2277,'CARNET DE SOUDURE'!$P$7:$P$3006,"&lt;&gt;"&amp;C2277,'CARNET DE SOUDURE'!$P$7:$P$3006,"&lt;&gt;")&gt;0,"⚠ DIFFÉRENTE","OK"))</f>
        <v/>
      </c>
      <c r="F2277" s="147"/>
      <c r="G2277" s="80"/>
      <c r="H2277" s="83"/>
      <c r="I2277" s="148" t="str">
        <f aca="false">IF(B2277="","",IFERROR(INDEX('CARNET DE SOUDURE'!$B$7:$B$3006,MATCH(B2277,'CARNET DE SOUDURE'!$L$7:$L$3006,0)),IFERROR(INDEX('CARNET DE SOUDURE'!$B$7:$B$3006,MATCH(B2277,'CARNET DE SOUDURE'!$O$7:$O$3006,0)),"")))</f>
        <v/>
      </c>
      <c r="J2277" s="82" t="str">
        <f aca="false">IF(B2277="","",IFERROR(INDEX('CARNET DE SOUDURE'!$E$7:$E$3006,MATCH(B2277,'CARNET DE SOUDURE'!$O$7:$O$3006,0)),""))</f>
        <v/>
      </c>
      <c r="K2277" s="82" t="str">
        <f aca="false">IF(B2277="","",IFERROR(INDEX('CARNET DE SOUDURE'!$E$7:$E$3006,MATCH(B2277,'CARNET DE SOUDURE'!$L$7:$L$3006,0)),""))</f>
        <v/>
      </c>
      <c r="L2277" s="82" t="str">
        <f aca="false">IF(B2277="","",IFERROR(INDEX('CARNET DE SOUDURE'!$D$7:$D$3006,MATCH(B2277,'CARNET DE SOUDURE'!$L$7:$L$3006,0)),IFERROR(INDEX('CARNET DE SOUDURE'!$D$7:$D$3006,MATCH(B2277,'CARNET DE SOUDURE'!$O$7:$O$3006,0)),"")))</f>
        <v/>
      </c>
      <c r="M2277" s="82" t="str">
        <f aca="false">IF(B2277="","",IF(OR(J2277&lt;&gt;"",K2277&lt;&gt;""),"POSÉ EN LIGNE",IF(COUNTIF(BARDAGE!$C$1:$C$5000,B2277)&gt;0,"BARDÉ","EN STOCK")))</f>
        <v/>
      </c>
      <c r="N2277" s="80"/>
    </row>
    <row r="2278" customFormat="false" ht="15" hidden="false" customHeight="false" outlineLevel="0" collapsed="false">
      <c r="A2278" s="82" t="str">
        <f aca="false">IF(B2278="","",ROW()-6)</f>
        <v/>
      </c>
      <c r="B2278" s="145"/>
      <c r="C2278" s="146"/>
      <c r="D2278" s="146"/>
      <c r="E2278" s="82" t="str">
        <f aca="false">IF(B2278="","",IF(COUNTIFS('CARNET DE SOUDURE'!$L$7:$L$3006,B2278,'CARNET DE SOUDURE'!$M$7:$M$3006,"&lt;&gt;"&amp;C2278,'CARNET DE SOUDURE'!$M$7:$M$3006,"&lt;&gt;")+COUNTIFS('CARNET DE SOUDURE'!$O$7:$O$3006,B2278,'CARNET DE SOUDURE'!$P$7:$P$3006,"&lt;&gt;"&amp;C2278,'CARNET DE SOUDURE'!$P$7:$P$3006,"&lt;&gt;")&gt;0,"⚠ DIFFÉRENTE","OK"))</f>
        <v/>
      </c>
      <c r="F2278" s="147"/>
      <c r="G2278" s="80"/>
      <c r="H2278" s="83"/>
      <c r="I2278" s="148" t="str">
        <f aca="false">IF(B2278="","",IFERROR(INDEX('CARNET DE SOUDURE'!$B$7:$B$3006,MATCH(B2278,'CARNET DE SOUDURE'!$L$7:$L$3006,0)),IFERROR(INDEX('CARNET DE SOUDURE'!$B$7:$B$3006,MATCH(B2278,'CARNET DE SOUDURE'!$O$7:$O$3006,0)),"")))</f>
        <v/>
      </c>
      <c r="J2278" s="82" t="str">
        <f aca="false">IF(B2278="","",IFERROR(INDEX('CARNET DE SOUDURE'!$E$7:$E$3006,MATCH(B2278,'CARNET DE SOUDURE'!$O$7:$O$3006,0)),""))</f>
        <v/>
      </c>
      <c r="K2278" s="82" t="str">
        <f aca="false">IF(B2278="","",IFERROR(INDEX('CARNET DE SOUDURE'!$E$7:$E$3006,MATCH(B2278,'CARNET DE SOUDURE'!$L$7:$L$3006,0)),""))</f>
        <v/>
      </c>
      <c r="L2278" s="82" t="str">
        <f aca="false">IF(B2278="","",IFERROR(INDEX('CARNET DE SOUDURE'!$D$7:$D$3006,MATCH(B2278,'CARNET DE SOUDURE'!$L$7:$L$3006,0)),IFERROR(INDEX('CARNET DE SOUDURE'!$D$7:$D$3006,MATCH(B2278,'CARNET DE SOUDURE'!$O$7:$O$3006,0)),"")))</f>
        <v/>
      </c>
      <c r="M2278" s="82" t="str">
        <f aca="false">IF(B2278="","",IF(OR(J2278&lt;&gt;"",K2278&lt;&gt;""),"POSÉ EN LIGNE",IF(COUNTIF(BARDAGE!$C$1:$C$5000,B2278)&gt;0,"BARDÉ","EN STOCK")))</f>
        <v/>
      </c>
      <c r="N2278" s="80"/>
    </row>
    <row r="2279" customFormat="false" ht="15" hidden="false" customHeight="false" outlineLevel="0" collapsed="false">
      <c r="A2279" s="82" t="str">
        <f aca="false">IF(B2279="","",ROW()-6)</f>
        <v/>
      </c>
      <c r="B2279" s="145"/>
      <c r="C2279" s="146"/>
      <c r="D2279" s="146"/>
      <c r="E2279" s="82" t="str">
        <f aca="false">IF(B2279="","",IF(COUNTIFS('CARNET DE SOUDURE'!$L$7:$L$3006,B2279,'CARNET DE SOUDURE'!$M$7:$M$3006,"&lt;&gt;"&amp;C2279,'CARNET DE SOUDURE'!$M$7:$M$3006,"&lt;&gt;")+COUNTIFS('CARNET DE SOUDURE'!$O$7:$O$3006,B2279,'CARNET DE SOUDURE'!$P$7:$P$3006,"&lt;&gt;"&amp;C2279,'CARNET DE SOUDURE'!$P$7:$P$3006,"&lt;&gt;")&gt;0,"⚠ DIFFÉRENTE","OK"))</f>
        <v/>
      </c>
      <c r="F2279" s="147"/>
      <c r="G2279" s="80"/>
      <c r="H2279" s="83"/>
      <c r="I2279" s="148" t="str">
        <f aca="false">IF(B2279="","",IFERROR(INDEX('CARNET DE SOUDURE'!$B$7:$B$3006,MATCH(B2279,'CARNET DE SOUDURE'!$L$7:$L$3006,0)),IFERROR(INDEX('CARNET DE SOUDURE'!$B$7:$B$3006,MATCH(B2279,'CARNET DE SOUDURE'!$O$7:$O$3006,0)),"")))</f>
        <v/>
      </c>
      <c r="J2279" s="82" t="str">
        <f aca="false">IF(B2279="","",IFERROR(INDEX('CARNET DE SOUDURE'!$E$7:$E$3006,MATCH(B2279,'CARNET DE SOUDURE'!$O$7:$O$3006,0)),""))</f>
        <v/>
      </c>
      <c r="K2279" s="82" t="str">
        <f aca="false">IF(B2279="","",IFERROR(INDEX('CARNET DE SOUDURE'!$E$7:$E$3006,MATCH(B2279,'CARNET DE SOUDURE'!$L$7:$L$3006,0)),""))</f>
        <v/>
      </c>
      <c r="L2279" s="82" t="str">
        <f aca="false">IF(B2279="","",IFERROR(INDEX('CARNET DE SOUDURE'!$D$7:$D$3006,MATCH(B2279,'CARNET DE SOUDURE'!$L$7:$L$3006,0)),IFERROR(INDEX('CARNET DE SOUDURE'!$D$7:$D$3006,MATCH(B2279,'CARNET DE SOUDURE'!$O$7:$O$3006,0)),"")))</f>
        <v/>
      </c>
      <c r="M2279" s="82" t="str">
        <f aca="false">IF(B2279="","",IF(OR(J2279&lt;&gt;"",K2279&lt;&gt;""),"POSÉ EN LIGNE",IF(COUNTIF(BARDAGE!$C$1:$C$5000,B2279)&gt;0,"BARDÉ","EN STOCK")))</f>
        <v/>
      </c>
      <c r="N2279" s="80"/>
    </row>
    <row r="2280" customFormat="false" ht="15" hidden="false" customHeight="false" outlineLevel="0" collapsed="false">
      <c r="A2280" s="82" t="str">
        <f aca="false">IF(B2280="","",ROW()-6)</f>
        <v/>
      </c>
      <c r="B2280" s="145"/>
      <c r="C2280" s="146"/>
      <c r="D2280" s="146"/>
      <c r="E2280" s="82" t="str">
        <f aca="false">IF(B2280="","",IF(COUNTIFS('CARNET DE SOUDURE'!$L$7:$L$3006,B2280,'CARNET DE SOUDURE'!$M$7:$M$3006,"&lt;&gt;"&amp;C2280,'CARNET DE SOUDURE'!$M$7:$M$3006,"&lt;&gt;")+COUNTIFS('CARNET DE SOUDURE'!$O$7:$O$3006,B2280,'CARNET DE SOUDURE'!$P$7:$P$3006,"&lt;&gt;"&amp;C2280,'CARNET DE SOUDURE'!$P$7:$P$3006,"&lt;&gt;")&gt;0,"⚠ DIFFÉRENTE","OK"))</f>
        <v/>
      </c>
      <c r="F2280" s="147"/>
      <c r="G2280" s="80"/>
      <c r="H2280" s="83"/>
      <c r="I2280" s="148" t="str">
        <f aca="false">IF(B2280="","",IFERROR(INDEX('CARNET DE SOUDURE'!$B$7:$B$3006,MATCH(B2280,'CARNET DE SOUDURE'!$L$7:$L$3006,0)),IFERROR(INDEX('CARNET DE SOUDURE'!$B$7:$B$3006,MATCH(B2280,'CARNET DE SOUDURE'!$O$7:$O$3006,0)),"")))</f>
        <v/>
      </c>
      <c r="J2280" s="82" t="str">
        <f aca="false">IF(B2280="","",IFERROR(INDEX('CARNET DE SOUDURE'!$E$7:$E$3006,MATCH(B2280,'CARNET DE SOUDURE'!$O$7:$O$3006,0)),""))</f>
        <v/>
      </c>
      <c r="K2280" s="82" t="str">
        <f aca="false">IF(B2280="","",IFERROR(INDEX('CARNET DE SOUDURE'!$E$7:$E$3006,MATCH(B2280,'CARNET DE SOUDURE'!$L$7:$L$3006,0)),""))</f>
        <v/>
      </c>
      <c r="L2280" s="82" t="str">
        <f aca="false">IF(B2280="","",IFERROR(INDEX('CARNET DE SOUDURE'!$D$7:$D$3006,MATCH(B2280,'CARNET DE SOUDURE'!$L$7:$L$3006,0)),IFERROR(INDEX('CARNET DE SOUDURE'!$D$7:$D$3006,MATCH(B2280,'CARNET DE SOUDURE'!$O$7:$O$3006,0)),"")))</f>
        <v/>
      </c>
      <c r="M2280" s="82" t="str">
        <f aca="false">IF(B2280="","",IF(OR(J2280&lt;&gt;"",K2280&lt;&gt;""),"POSÉ EN LIGNE",IF(COUNTIF(BARDAGE!$C$1:$C$5000,B2280)&gt;0,"BARDÉ","EN STOCK")))</f>
        <v/>
      </c>
      <c r="N2280" s="80"/>
    </row>
    <row r="2281" customFormat="false" ht="15" hidden="false" customHeight="false" outlineLevel="0" collapsed="false">
      <c r="A2281" s="82" t="str">
        <f aca="false">IF(B2281="","",ROW()-6)</f>
        <v/>
      </c>
      <c r="B2281" s="145"/>
      <c r="C2281" s="146"/>
      <c r="D2281" s="146"/>
      <c r="E2281" s="82" t="str">
        <f aca="false">IF(B2281="","",IF(COUNTIFS('CARNET DE SOUDURE'!$L$7:$L$3006,B2281,'CARNET DE SOUDURE'!$M$7:$M$3006,"&lt;&gt;"&amp;C2281,'CARNET DE SOUDURE'!$M$7:$M$3006,"&lt;&gt;")+COUNTIFS('CARNET DE SOUDURE'!$O$7:$O$3006,B2281,'CARNET DE SOUDURE'!$P$7:$P$3006,"&lt;&gt;"&amp;C2281,'CARNET DE SOUDURE'!$P$7:$P$3006,"&lt;&gt;")&gt;0,"⚠ DIFFÉRENTE","OK"))</f>
        <v/>
      </c>
      <c r="F2281" s="147"/>
      <c r="G2281" s="80"/>
      <c r="H2281" s="83"/>
      <c r="I2281" s="148" t="str">
        <f aca="false">IF(B2281="","",IFERROR(INDEX('CARNET DE SOUDURE'!$B$7:$B$3006,MATCH(B2281,'CARNET DE SOUDURE'!$L$7:$L$3006,0)),IFERROR(INDEX('CARNET DE SOUDURE'!$B$7:$B$3006,MATCH(B2281,'CARNET DE SOUDURE'!$O$7:$O$3006,0)),"")))</f>
        <v/>
      </c>
      <c r="J2281" s="82" t="str">
        <f aca="false">IF(B2281="","",IFERROR(INDEX('CARNET DE SOUDURE'!$E$7:$E$3006,MATCH(B2281,'CARNET DE SOUDURE'!$O$7:$O$3006,0)),""))</f>
        <v/>
      </c>
      <c r="K2281" s="82" t="str">
        <f aca="false">IF(B2281="","",IFERROR(INDEX('CARNET DE SOUDURE'!$E$7:$E$3006,MATCH(B2281,'CARNET DE SOUDURE'!$L$7:$L$3006,0)),""))</f>
        <v/>
      </c>
      <c r="L2281" s="82" t="str">
        <f aca="false">IF(B2281="","",IFERROR(INDEX('CARNET DE SOUDURE'!$D$7:$D$3006,MATCH(B2281,'CARNET DE SOUDURE'!$L$7:$L$3006,0)),IFERROR(INDEX('CARNET DE SOUDURE'!$D$7:$D$3006,MATCH(B2281,'CARNET DE SOUDURE'!$O$7:$O$3006,0)),"")))</f>
        <v/>
      </c>
      <c r="M2281" s="82" t="str">
        <f aca="false">IF(B2281="","",IF(OR(J2281&lt;&gt;"",K2281&lt;&gt;""),"POSÉ EN LIGNE",IF(COUNTIF(BARDAGE!$C$1:$C$5000,B2281)&gt;0,"BARDÉ","EN STOCK")))</f>
        <v/>
      </c>
      <c r="N2281" s="80"/>
    </row>
    <row r="2282" customFormat="false" ht="15" hidden="false" customHeight="false" outlineLevel="0" collapsed="false">
      <c r="A2282" s="82" t="str">
        <f aca="false">IF(B2282="","",ROW()-6)</f>
        <v/>
      </c>
      <c r="B2282" s="145"/>
      <c r="C2282" s="146"/>
      <c r="D2282" s="146"/>
      <c r="E2282" s="82" t="str">
        <f aca="false">IF(B2282="","",IF(COUNTIFS('CARNET DE SOUDURE'!$L$7:$L$3006,B2282,'CARNET DE SOUDURE'!$M$7:$M$3006,"&lt;&gt;"&amp;C2282,'CARNET DE SOUDURE'!$M$7:$M$3006,"&lt;&gt;")+COUNTIFS('CARNET DE SOUDURE'!$O$7:$O$3006,B2282,'CARNET DE SOUDURE'!$P$7:$P$3006,"&lt;&gt;"&amp;C2282,'CARNET DE SOUDURE'!$P$7:$P$3006,"&lt;&gt;")&gt;0,"⚠ DIFFÉRENTE","OK"))</f>
        <v/>
      </c>
      <c r="F2282" s="147"/>
      <c r="G2282" s="80"/>
      <c r="H2282" s="83"/>
      <c r="I2282" s="148" t="str">
        <f aca="false">IF(B2282="","",IFERROR(INDEX('CARNET DE SOUDURE'!$B$7:$B$3006,MATCH(B2282,'CARNET DE SOUDURE'!$L$7:$L$3006,0)),IFERROR(INDEX('CARNET DE SOUDURE'!$B$7:$B$3006,MATCH(B2282,'CARNET DE SOUDURE'!$O$7:$O$3006,0)),"")))</f>
        <v/>
      </c>
      <c r="J2282" s="82" t="str">
        <f aca="false">IF(B2282="","",IFERROR(INDEX('CARNET DE SOUDURE'!$E$7:$E$3006,MATCH(B2282,'CARNET DE SOUDURE'!$O$7:$O$3006,0)),""))</f>
        <v/>
      </c>
      <c r="K2282" s="82" t="str">
        <f aca="false">IF(B2282="","",IFERROR(INDEX('CARNET DE SOUDURE'!$E$7:$E$3006,MATCH(B2282,'CARNET DE SOUDURE'!$L$7:$L$3006,0)),""))</f>
        <v/>
      </c>
      <c r="L2282" s="82" t="str">
        <f aca="false">IF(B2282="","",IFERROR(INDEX('CARNET DE SOUDURE'!$D$7:$D$3006,MATCH(B2282,'CARNET DE SOUDURE'!$L$7:$L$3006,0)),IFERROR(INDEX('CARNET DE SOUDURE'!$D$7:$D$3006,MATCH(B2282,'CARNET DE SOUDURE'!$O$7:$O$3006,0)),"")))</f>
        <v/>
      </c>
      <c r="M2282" s="82" t="str">
        <f aca="false">IF(B2282="","",IF(OR(J2282&lt;&gt;"",K2282&lt;&gt;""),"POSÉ EN LIGNE",IF(COUNTIF(BARDAGE!$C$1:$C$5000,B2282)&gt;0,"BARDÉ","EN STOCK")))</f>
        <v/>
      </c>
      <c r="N2282" s="80"/>
    </row>
    <row r="2283" customFormat="false" ht="15" hidden="false" customHeight="false" outlineLevel="0" collapsed="false">
      <c r="A2283" s="82" t="str">
        <f aca="false">IF(B2283="","",ROW()-6)</f>
        <v/>
      </c>
      <c r="B2283" s="145"/>
      <c r="C2283" s="146"/>
      <c r="D2283" s="146"/>
      <c r="E2283" s="82" t="str">
        <f aca="false">IF(B2283="","",IF(COUNTIFS('CARNET DE SOUDURE'!$L$7:$L$3006,B2283,'CARNET DE SOUDURE'!$M$7:$M$3006,"&lt;&gt;"&amp;C2283,'CARNET DE SOUDURE'!$M$7:$M$3006,"&lt;&gt;")+COUNTIFS('CARNET DE SOUDURE'!$O$7:$O$3006,B2283,'CARNET DE SOUDURE'!$P$7:$P$3006,"&lt;&gt;"&amp;C2283,'CARNET DE SOUDURE'!$P$7:$P$3006,"&lt;&gt;")&gt;0,"⚠ DIFFÉRENTE","OK"))</f>
        <v/>
      </c>
      <c r="F2283" s="147"/>
      <c r="G2283" s="80"/>
      <c r="H2283" s="83"/>
      <c r="I2283" s="148" t="str">
        <f aca="false">IF(B2283="","",IFERROR(INDEX('CARNET DE SOUDURE'!$B$7:$B$3006,MATCH(B2283,'CARNET DE SOUDURE'!$L$7:$L$3006,0)),IFERROR(INDEX('CARNET DE SOUDURE'!$B$7:$B$3006,MATCH(B2283,'CARNET DE SOUDURE'!$O$7:$O$3006,0)),"")))</f>
        <v/>
      </c>
      <c r="J2283" s="82" t="str">
        <f aca="false">IF(B2283="","",IFERROR(INDEX('CARNET DE SOUDURE'!$E$7:$E$3006,MATCH(B2283,'CARNET DE SOUDURE'!$O$7:$O$3006,0)),""))</f>
        <v/>
      </c>
      <c r="K2283" s="82" t="str">
        <f aca="false">IF(B2283="","",IFERROR(INDEX('CARNET DE SOUDURE'!$E$7:$E$3006,MATCH(B2283,'CARNET DE SOUDURE'!$L$7:$L$3006,0)),""))</f>
        <v/>
      </c>
      <c r="L2283" s="82" t="str">
        <f aca="false">IF(B2283="","",IFERROR(INDEX('CARNET DE SOUDURE'!$D$7:$D$3006,MATCH(B2283,'CARNET DE SOUDURE'!$L$7:$L$3006,0)),IFERROR(INDEX('CARNET DE SOUDURE'!$D$7:$D$3006,MATCH(B2283,'CARNET DE SOUDURE'!$O$7:$O$3006,0)),"")))</f>
        <v/>
      </c>
      <c r="M2283" s="82" t="str">
        <f aca="false">IF(B2283="","",IF(OR(J2283&lt;&gt;"",K2283&lt;&gt;""),"POSÉ EN LIGNE",IF(COUNTIF(BARDAGE!$C$1:$C$5000,B2283)&gt;0,"BARDÉ","EN STOCK")))</f>
        <v/>
      </c>
      <c r="N2283" s="80"/>
    </row>
    <row r="2284" customFormat="false" ht="15" hidden="false" customHeight="false" outlineLevel="0" collapsed="false">
      <c r="A2284" s="82" t="str">
        <f aca="false">IF(B2284="","",ROW()-6)</f>
        <v/>
      </c>
      <c r="B2284" s="145"/>
      <c r="C2284" s="146"/>
      <c r="D2284" s="146"/>
      <c r="E2284" s="82" t="str">
        <f aca="false">IF(B2284="","",IF(COUNTIFS('CARNET DE SOUDURE'!$L$7:$L$3006,B2284,'CARNET DE SOUDURE'!$M$7:$M$3006,"&lt;&gt;"&amp;C2284,'CARNET DE SOUDURE'!$M$7:$M$3006,"&lt;&gt;")+COUNTIFS('CARNET DE SOUDURE'!$O$7:$O$3006,B2284,'CARNET DE SOUDURE'!$P$7:$P$3006,"&lt;&gt;"&amp;C2284,'CARNET DE SOUDURE'!$P$7:$P$3006,"&lt;&gt;")&gt;0,"⚠ DIFFÉRENTE","OK"))</f>
        <v/>
      </c>
      <c r="F2284" s="147"/>
      <c r="G2284" s="80"/>
      <c r="H2284" s="83"/>
      <c r="I2284" s="148" t="str">
        <f aca="false">IF(B2284="","",IFERROR(INDEX('CARNET DE SOUDURE'!$B$7:$B$3006,MATCH(B2284,'CARNET DE SOUDURE'!$L$7:$L$3006,0)),IFERROR(INDEX('CARNET DE SOUDURE'!$B$7:$B$3006,MATCH(B2284,'CARNET DE SOUDURE'!$O$7:$O$3006,0)),"")))</f>
        <v/>
      </c>
      <c r="J2284" s="82" t="str">
        <f aca="false">IF(B2284="","",IFERROR(INDEX('CARNET DE SOUDURE'!$E$7:$E$3006,MATCH(B2284,'CARNET DE SOUDURE'!$O$7:$O$3006,0)),""))</f>
        <v/>
      </c>
      <c r="K2284" s="82" t="str">
        <f aca="false">IF(B2284="","",IFERROR(INDEX('CARNET DE SOUDURE'!$E$7:$E$3006,MATCH(B2284,'CARNET DE SOUDURE'!$L$7:$L$3006,0)),""))</f>
        <v/>
      </c>
      <c r="L2284" s="82" t="str">
        <f aca="false">IF(B2284="","",IFERROR(INDEX('CARNET DE SOUDURE'!$D$7:$D$3006,MATCH(B2284,'CARNET DE SOUDURE'!$L$7:$L$3006,0)),IFERROR(INDEX('CARNET DE SOUDURE'!$D$7:$D$3006,MATCH(B2284,'CARNET DE SOUDURE'!$O$7:$O$3006,0)),"")))</f>
        <v/>
      </c>
      <c r="M2284" s="82" t="str">
        <f aca="false">IF(B2284="","",IF(OR(J2284&lt;&gt;"",K2284&lt;&gt;""),"POSÉ EN LIGNE",IF(COUNTIF(BARDAGE!$C$1:$C$5000,B2284)&gt;0,"BARDÉ","EN STOCK")))</f>
        <v/>
      </c>
      <c r="N2284" s="80"/>
    </row>
    <row r="2285" customFormat="false" ht="15" hidden="false" customHeight="false" outlineLevel="0" collapsed="false">
      <c r="A2285" s="82" t="str">
        <f aca="false">IF(B2285="","",ROW()-6)</f>
        <v/>
      </c>
      <c r="B2285" s="145"/>
      <c r="C2285" s="146"/>
      <c r="D2285" s="146"/>
      <c r="E2285" s="82" t="str">
        <f aca="false">IF(B2285="","",IF(COUNTIFS('CARNET DE SOUDURE'!$L$7:$L$3006,B2285,'CARNET DE SOUDURE'!$M$7:$M$3006,"&lt;&gt;"&amp;C2285,'CARNET DE SOUDURE'!$M$7:$M$3006,"&lt;&gt;")+COUNTIFS('CARNET DE SOUDURE'!$O$7:$O$3006,B2285,'CARNET DE SOUDURE'!$P$7:$P$3006,"&lt;&gt;"&amp;C2285,'CARNET DE SOUDURE'!$P$7:$P$3006,"&lt;&gt;")&gt;0,"⚠ DIFFÉRENTE","OK"))</f>
        <v/>
      </c>
      <c r="F2285" s="147"/>
      <c r="G2285" s="80"/>
      <c r="H2285" s="83"/>
      <c r="I2285" s="148" t="str">
        <f aca="false">IF(B2285="","",IFERROR(INDEX('CARNET DE SOUDURE'!$B$7:$B$3006,MATCH(B2285,'CARNET DE SOUDURE'!$L$7:$L$3006,0)),IFERROR(INDEX('CARNET DE SOUDURE'!$B$7:$B$3006,MATCH(B2285,'CARNET DE SOUDURE'!$O$7:$O$3006,0)),"")))</f>
        <v/>
      </c>
      <c r="J2285" s="82" t="str">
        <f aca="false">IF(B2285="","",IFERROR(INDEX('CARNET DE SOUDURE'!$E$7:$E$3006,MATCH(B2285,'CARNET DE SOUDURE'!$O$7:$O$3006,0)),""))</f>
        <v/>
      </c>
      <c r="K2285" s="82" t="str">
        <f aca="false">IF(B2285="","",IFERROR(INDEX('CARNET DE SOUDURE'!$E$7:$E$3006,MATCH(B2285,'CARNET DE SOUDURE'!$L$7:$L$3006,0)),""))</f>
        <v/>
      </c>
      <c r="L2285" s="82" t="str">
        <f aca="false">IF(B2285="","",IFERROR(INDEX('CARNET DE SOUDURE'!$D$7:$D$3006,MATCH(B2285,'CARNET DE SOUDURE'!$L$7:$L$3006,0)),IFERROR(INDEX('CARNET DE SOUDURE'!$D$7:$D$3006,MATCH(B2285,'CARNET DE SOUDURE'!$O$7:$O$3006,0)),"")))</f>
        <v/>
      </c>
      <c r="M2285" s="82" t="str">
        <f aca="false">IF(B2285="","",IF(OR(J2285&lt;&gt;"",K2285&lt;&gt;""),"POSÉ EN LIGNE",IF(COUNTIF(BARDAGE!$C$1:$C$5000,B2285)&gt;0,"BARDÉ","EN STOCK")))</f>
        <v/>
      </c>
      <c r="N2285" s="80"/>
    </row>
    <row r="2286" customFormat="false" ht="15" hidden="false" customHeight="false" outlineLevel="0" collapsed="false">
      <c r="A2286" s="82" t="str">
        <f aca="false">IF(B2286="","",ROW()-6)</f>
        <v/>
      </c>
      <c r="B2286" s="145"/>
      <c r="C2286" s="146"/>
      <c r="D2286" s="146"/>
      <c r="E2286" s="82" t="str">
        <f aca="false">IF(B2286="","",IF(COUNTIFS('CARNET DE SOUDURE'!$L$7:$L$3006,B2286,'CARNET DE SOUDURE'!$M$7:$M$3006,"&lt;&gt;"&amp;C2286,'CARNET DE SOUDURE'!$M$7:$M$3006,"&lt;&gt;")+COUNTIFS('CARNET DE SOUDURE'!$O$7:$O$3006,B2286,'CARNET DE SOUDURE'!$P$7:$P$3006,"&lt;&gt;"&amp;C2286,'CARNET DE SOUDURE'!$P$7:$P$3006,"&lt;&gt;")&gt;0,"⚠ DIFFÉRENTE","OK"))</f>
        <v/>
      </c>
      <c r="F2286" s="147"/>
      <c r="G2286" s="80"/>
      <c r="H2286" s="83"/>
      <c r="I2286" s="148" t="str">
        <f aca="false">IF(B2286="","",IFERROR(INDEX('CARNET DE SOUDURE'!$B$7:$B$3006,MATCH(B2286,'CARNET DE SOUDURE'!$L$7:$L$3006,0)),IFERROR(INDEX('CARNET DE SOUDURE'!$B$7:$B$3006,MATCH(B2286,'CARNET DE SOUDURE'!$O$7:$O$3006,0)),"")))</f>
        <v/>
      </c>
      <c r="J2286" s="82" t="str">
        <f aca="false">IF(B2286="","",IFERROR(INDEX('CARNET DE SOUDURE'!$E$7:$E$3006,MATCH(B2286,'CARNET DE SOUDURE'!$O$7:$O$3006,0)),""))</f>
        <v/>
      </c>
      <c r="K2286" s="82" t="str">
        <f aca="false">IF(B2286="","",IFERROR(INDEX('CARNET DE SOUDURE'!$E$7:$E$3006,MATCH(B2286,'CARNET DE SOUDURE'!$L$7:$L$3006,0)),""))</f>
        <v/>
      </c>
      <c r="L2286" s="82" t="str">
        <f aca="false">IF(B2286="","",IFERROR(INDEX('CARNET DE SOUDURE'!$D$7:$D$3006,MATCH(B2286,'CARNET DE SOUDURE'!$L$7:$L$3006,0)),IFERROR(INDEX('CARNET DE SOUDURE'!$D$7:$D$3006,MATCH(B2286,'CARNET DE SOUDURE'!$O$7:$O$3006,0)),"")))</f>
        <v/>
      </c>
      <c r="M2286" s="82" t="str">
        <f aca="false">IF(B2286="","",IF(OR(J2286&lt;&gt;"",K2286&lt;&gt;""),"POSÉ EN LIGNE",IF(COUNTIF(BARDAGE!$C$1:$C$5000,B2286)&gt;0,"BARDÉ","EN STOCK")))</f>
        <v/>
      </c>
      <c r="N2286" s="80"/>
    </row>
    <row r="2287" customFormat="false" ht="15" hidden="false" customHeight="false" outlineLevel="0" collapsed="false">
      <c r="A2287" s="82" t="str">
        <f aca="false">IF(B2287="","",ROW()-6)</f>
        <v/>
      </c>
      <c r="B2287" s="145"/>
      <c r="C2287" s="146"/>
      <c r="D2287" s="146"/>
      <c r="E2287" s="82" t="str">
        <f aca="false">IF(B2287="","",IF(COUNTIFS('CARNET DE SOUDURE'!$L$7:$L$3006,B2287,'CARNET DE SOUDURE'!$M$7:$M$3006,"&lt;&gt;"&amp;C2287,'CARNET DE SOUDURE'!$M$7:$M$3006,"&lt;&gt;")+COUNTIFS('CARNET DE SOUDURE'!$O$7:$O$3006,B2287,'CARNET DE SOUDURE'!$P$7:$P$3006,"&lt;&gt;"&amp;C2287,'CARNET DE SOUDURE'!$P$7:$P$3006,"&lt;&gt;")&gt;0,"⚠ DIFFÉRENTE","OK"))</f>
        <v/>
      </c>
      <c r="F2287" s="147"/>
      <c r="G2287" s="80"/>
      <c r="H2287" s="83"/>
      <c r="I2287" s="148" t="str">
        <f aca="false">IF(B2287="","",IFERROR(INDEX('CARNET DE SOUDURE'!$B$7:$B$3006,MATCH(B2287,'CARNET DE SOUDURE'!$L$7:$L$3006,0)),IFERROR(INDEX('CARNET DE SOUDURE'!$B$7:$B$3006,MATCH(B2287,'CARNET DE SOUDURE'!$O$7:$O$3006,0)),"")))</f>
        <v/>
      </c>
      <c r="J2287" s="82" t="str">
        <f aca="false">IF(B2287="","",IFERROR(INDEX('CARNET DE SOUDURE'!$E$7:$E$3006,MATCH(B2287,'CARNET DE SOUDURE'!$O$7:$O$3006,0)),""))</f>
        <v/>
      </c>
      <c r="K2287" s="82" t="str">
        <f aca="false">IF(B2287="","",IFERROR(INDEX('CARNET DE SOUDURE'!$E$7:$E$3006,MATCH(B2287,'CARNET DE SOUDURE'!$L$7:$L$3006,0)),""))</f>
        <v/>
      </c>
      <c r="L2287" s="82" t="str">
        <f aca="false">IF(B2287="","",IFERROR(INDEX('CARNET DE SOUDURE'!$D$7:$D$3006,MATCH(B2287,'CARNET DE SOUDURE'!$L$7:$L$3006,0)),IFERROR(INDEX('CARNET DE SOUDURE'!$D$7:$D$3006,MATCH(B2287,'CARNET DE SOUDURE'!$O$7:$O$3006,0)),"")))</f>
        <v/>
      </c>
      <c r="M2287" s="82" t="str">
        <f aca="false">IF(B2287="","",IF(OR(J2287&lt;&gt;"",K2287&lt;&gt;""),"POSÉ EN LIGNE",IF(COUNTIF(BARDAGE!$C$1:$C$5000,B2287)&gt;0,"BARDÉ","EN STOCK")))</f>
        <v/>
      </c>
      <c r="N2287" s="80"/>
    </row>
    <row r="2288" customFormat="false" ht="15" hidden="false" customHeight="false" outlineLevel="0" collapsed="false">
      <c r="A2288" s="82" t="str">
        <f aca="false">IF(B2288="","",ROW()-6)</f>
        <v/>
      </c>
      <c r="B2288" s="145"/>
      <c r="C2288" s="146"/>
      <c r="D2288" s="146"/>
      <c r="E2288" s="82" t="str">
        <f aca="false">IF(B2288="","",IF(COUNTIFS('CARNET DE SOUDURE'!$L$7:$L$3006,B2288,'CARNET DE SOUDURE'!$M$7:$M$3006,"&lt;&gt;"&amp;C2288,'CARNET DE SOUDURE'!$M$7:$M$3006,"&lt;&gt;")+COUNTIFS('CARNET DE SOUDURE'!$O$7:$O$3006,B2288,'CARNET DE SOUDURE'!$P$7:$P$3006,"&lt;&gt;"&amp;C2288,'CARNET DE SOUDURE'!$P$7:$P$3006,"&lt;&gt;")&gt;0,"⚠ DIFFÉRENTE","OK"))</f>
        <v/>
      </c>
      <c r="F2288" s="147"/>
      <c r="G2288" s="80"/>
      <c r="H2288" s="83"/>
      <c r="I2288" s="148" t="str">
        <f aca="false">IF(B2288="","",IFERROR(INDEX('CARNET DE SOUDURE'!$B$7:$B$3006,MATCH(B2288,'CARNET DE SOUDURE'!$L$7:$L$3006,0)),IFERROR(INDEX('CARNET DE SOUDURE'!$B$7:$B$3006,MATCH(B2288,'CARNET DE SOUDURE'!$O$7:$O$3006,0)),"")))</f>
        <v/>
      </c>
      <c r="J2288" s="82" t="str">
        <f aca="false">IF(B2288="","",IFERROR(INDEX('CARNET DE SOUDURE'!$E$7:$E$3006,MATCH(B2288,'CARNET DE SOUDURE'!$O$7:$O$3006,0)),""))</f>
        <v/>
      </c>
      <c r="K2288" s="82" t="str">
        <f aca="false">IF(B2288="","",IFERROR(INDEX('CARNET DE SOUDURE'!$E$7:$E$3006,MATCH(B2288,'CARNET DE SOUDURE'!$L$7:$L$3006,0)),""))</f>
        <v/>
      </c>
      <c r="L2288" s="82" t="str">
        <f aca="false">IF(B2288="","",IFERROR(INDEX('CARNET DE SOUDURE'!$D$7:$D$3006,MATCH(B2288,'CARNET DE SOUDURE'!$L$7:$L$3006,0)),IFERROR(INDEX('CARNET DE SOUDURE'!$D$7:$D$3006,MATCH(B2288,'CARNET DE SOUDURE'!$O$7:$O$3006,0)),"")))</f>
        <v/>
      </c>
      <c r="M2288" s="82" t="str">
        <f aca="false">IF(B2288="","",IF(OR(J2288&lt;&gt;"",K2288&lt;&gt;""),"POSÉ EN LIGNE",IF(COUNTIF(BARDAGE!$C$1:$C$5000,B2288)&gt;0,"BARDÉ","EN STOCK")))</f>
        <v/>
      </c>
      <c r="N2288" s="80"/>
    </row>
    <row r="2289" customFormat="false" ht="15" hidden="false" customHeight="false" outlineLevel="0" collapsed="false">
      <c r="A2289" s="82" t="str">
        <f aca="false">IF(B2289="","",ROW()-6)</f>
        <v/>
      </c>
      <c r="B2289" s="145"/>
      <c r="C2289" s="146"/>
      <c r="D2289" s="146"/>
      <c r="E2289" s="82" t="str">
        <f aca="false">IF(B2289="","",IF(COUNTIFS('CARNET DE SOUDURE'!$L$7:$L$3006,B2289,'CARNET DE SOUDURE'!$M$7:$M$3006,"&lt;&gt;"&amp;C2289,'CARNET DE SOUDURE'!$M$7:$M$3006,"&lt;&gt;")+COUNTIFS('CARNET DE SOUDURE'!$O$7:$O$3006,B2289,'CARNET DE SOUDURE'!$P$7:$P$3006,"&lt;&gt;"&amp;C2289,'CARNET DE SOUDURE'!$P$7:$P$3006,"&lt;&gt;")&gt;0,"⚠ DIFFÉRENTE","OK"))</f>
        <v/>
      </c>
      <c r="F2289" s="147"/>
      <c r="G2289" s="80"/>
      <c r="H2289" s="83"/>
      <c r="I2289" s="148" t="str">
        <f aca="false">IF(B2289="","",IFERROR(INDEX('CARNET DE SOUDURE'!$B$7:$B$3006,MATCH(B2289,'CARNET DE SOUDURE'!$L$7:$L$3006,0)),IFERROR(INDEX('CARNET DE SOUDURE'!$B$7:$B$3006,MATCH(B2289,'CARNET DE SOUDURE'!$O$7:$O$3006,0)),"")))</f>
        <v/>
      </c>
      <c r="J2289" s="82" t="str">
        <f aca="false">IF(B2289="","",IFERROR(INDEX('CARNET DE SOUDURE'!$E$7:$E$3006,MATCH(B2289,'CARNET DE SOUDURE'!$O$7:$O$3006,0)),""))</f>
        <v/>
      </c>
      <c r="K2289" s="82" t="str">
        <f aca="false">IF(B2289="","",IFERROR(INDEX('CARNET DE SOUDURE'!$E$7:$E$3006,MATCH(B2289,'CARNET DE SOUDURE'!$L$7:$L$3006,0)),""))</f>
        <v/>
      </c>
      <c r="L2289" s="82" t="str">
        <f aca="false">IF(B2289="","",IFERROR(INDEX('CARNET DE SOUDURE'!$D$7:$D$3006,MATCH(B2289,'CARNET DE SOUDURE'!$L$7:$L$3006,0)),IFERROR(INDEX('CARNET DE SOUDURE'!$D$7:$D$3006,MATCH(B2289,'CARNET DE SOUDURE'!$O$7:$O$3006,0)),"")))</f>
        <v/>
      </c>
      <c r="M2289" s="82" t="str">
        <f aca="false">IF(B2289="","",IF(OR(J2289&lt;&gt;"",K2289&lt;&gt;""),"POSÉ EN LIGNE",IF(COUNTIF(BARDAGE!$C$1:$C$5000,B2289)&gt;0,"BARDÉ","EN STOCK")))</f>
        <v/>
      </c>
      <c r="N2289" s="80"/>
    </row>
    <row r="2290" customFormat="false" ht="15" hidden="false" customHeight="false" outlineLevel="0" collapsed="false">
      <c r="A2290" s="82" t="str">
        <f aca="false">IF(B2290="","",ROW()-6)</f>
        <v/>
      </c>
      <c r="B2290" s="145"/>
      <c r="C2290" s="146"/>
      <c r="D2290" s="146"/>
      <c r="E2290" s="82" t="str">
        <f aca="false">IF(B2290="","",IF(COUNTIFS('CARNET DE SOUDURE'!$L$7:$L$3006,B2290,'CARNET DE SOUDURE'!$M$7:$M$3006,"&lt;&gt;"&amp;C2290,'CARNET DE SOUDURE'!$M$7:$M$3006,"&lt;&gt;")+COUNTIFS('CARNET DE SOUDURE'!$O$7:$O$3006,B2290,'CARNET DE SOUDURE'!$P$7:$P$3006,"&lt;&gt;"&amp;C2290,'CARNET DE SOUDURE'!$P$7:$P$3006,"&lt;&gt;")&gt;0,"⚠ DIFFÉRENTE","OK"))</f>
        <v/>
      </c>
      <c r="F2290" s="147"/>
      <c r="G2290" s="80"/>
      <c r="H2290" s="83"/>
      <c r="I2290" s="148" t="str">
        <f aca="false">IF(B2290="","",IFERROR(INDEX('CARNET DE SOUDURE'!$B$7:$B$3006,MATCH(B2290,'CARNET DE SOUDURE'!$L$7:$L$3006,0)),IFERROR(INDEX('CARNET DE SOUDURE'!$B$7:$B$3006,MATCH(B2290,'CARNET DE SOUDURE'!$O$7:$O$3006,0)),"")))</f>
        <v/>
      </c>
      <c r="J2290" s="82" t="str">
        <f aca="false">IF(B2290="","",IFERROR(INDEX('CARNET DE SOUDURE'!$E$7:$E$3006,MATCH(B2290,'CARNET DE SOUDURE'!$O$7:$O$3006,0)),""))</f>
        <v/>
      </c>
      <c r="K2290" s="82" t="str">
        <f aca="false">IF(B2290="","",IFERROR(INDEX('CARNET DE SOUDURE'!$E$7:$E$3006,MATCH(B2290,'CARNET DE SOUDURE'!$L$7:$L$3006,0)),""))</f>
        <v/>
      </c>
      <c r="L2290" s="82" t="str">
        <f aca="false">IF(B2290="","",IFERROR(INDEX('CARNET DE SOUDURE'!$D$7:$D$3006,MATCH(B2290,'CARNET DE SOUDURE'!$L$7:$L$3006,0)),IFERROR(INDEX('CARNET DE SOUDURE'!$D$7:$D$3006,MATCH(B2290,'CARNET DE SOUDURE'!$O$7:$O$3006,0)),"")))</f>
        <v/>
      </c>
      <c r="M2290" s="82" t="str">
        <f aca="false">IF(B2290="","",IF(OR(J2290&lt;&gt;"",K2290&lt;&gt;""),"POSÉ EN LIGNE",IF(COUNTIF(BARDAGE!$C$1:$C$5000,B2290)&gt;0,"BARDÉ","EN STOCK")))</f>
        <v/>
      </c>
      <c r="N2290" s="80"/>
    </row>
    <row r="2291" customFormat="false" ht="15" hidden="false" customHeight="false" outlineLevel="0" collapsed="false">
      <c r="A2291" s="82" t="str">
        <f aca="false">IF(B2291="","",ROW()-6)</f>
        <v/>
      </c>
      <c r="B2291" s="145"/>
      <c r="C2291" s="146"/>
      <c r="D2291" s="146"/>
      <c r="E2291" s="82" t="str">
        <f aca="false">IF(B2291="","",IF(COUNTIFS('CARNET DE SOUDURE'!$L$7:$L$3006,B2291,'CARNET DE SOUDURE'!$M$7:$M$3006,"&lt;&gt;"&amp;C2291,'CARNET DE SOUDURE'!$M$7:$M$3006,"&lt;&gt;")+COUNTIFS('CARNET DE SOUDURE'!$O$7:$O$3006,B2291,'CARNET DE SOUDURE'!$P$7:$P$3006,"&lt;&gt;"&amp;C2291,'CARNET DE SOUDURE'!$P$7:$P$3006,"&lt;&gt;")&gt;0,"⚠ DIFFÉRENTE","OK"))</f>
        <v/>
      </c>
      <c r="F2291" s="147"/>
      <c r="G2291" s="80"/>
      <c r="H2291" s="83"/>
      <c r="I2291" s="148" t="str">
        <f aca="false">IF(B2291="","",IFERROR(INDEX('CARNET DE SOUDURE'!$B$7:$B$3006,MATCH(B2291,'CARNET DE SOUDURE'!$L$7:$L$3006,0)),IFERROR(INDEX('CARNET DE SOUDURE'!$B$7:$B$3006,MATCH(B2291,'CARNET DE SOUDURE'!$O$7:$O$3006,0)),"")))</f>
        <v/>
      </c>
      <c r="J2291" s="82" t="str">
        <f aca="false">IF(B2291="","",IFERROR(INDEX('CARNET DE SOUDURE'!$E$7:$E$3006,MATCH(B2291,'CARNET DE SOUDURE'!$O$7:$O$3006,0)),""))</f>
        <v/>
      </c>
      <c r="K2291" s="82" t="str">
        <f aca="false">IF(B2291="","",IFERROR(INDEX('CARNET DE SOUDURE'!$E$7:$E$3006,MATCH(B2291,'CARNET DE SOUDURE'!$L$7:$L$3006,0)),""))</f>
        <v/>
      </c>
      <c r="L2291" s="82" t="str">
        <f aca="false">IF(B2291="","",IFERROR(INDEX('CARNET DE SOUDURE'!$D$7:$D$3006,MATCH(B2291,'CARNET DE SOUDURE'!$L$7:$L$3006,0)),IFERROR(INDEX('CARNET DE SOUDURE'!$D$7:$D$3006,MATCH(B2291,'CARNET DE SOUDURE'!$O$7:$O$3006,0)),"")))</f>
        <v/>
      </c>
      <c r="M2291" s="82" t="str">
        <f aca="false">IF(B2291="","",IF(OR(J2291&lt;&gt;"",K2291&lt;&gt;""),"POSÉ EN LIGNE",IF(COUNTIF(BARDAGE!$C$1:$C$5000,B2291)&gt;0,"BARDÉ","EN STOCK")))</f>
        <v/>
      </c>
      <c r="N2291" s="80"/>
    </row>
    <row r="2292" customFormat="false" ht="15" hidden="false" customHeight="false" outlineLevel="0" collapsed="false">
      <c r="A2292" s="82" t="str">
        <f aca="false">IF(B2292="","",ROW()-6)</f>
        <v/>
      </c>
      <c r="B2292" s="145"/>
      <c r="C2292" s="146"/>
      <c r="D2292" s="146"/>
      <c r="E2292" s="82" t="str">
        <f aca="false">IF(B2292="","",IF(COUNTIFS('CARNET DE SOUDURE'!$L$7:$L$3006,B2292,'CARNET DE SOUDURE'!$M$7:$M$3006,"&lt;&gt;"&amp;C2292,'CARNET DE SOUDURE'!$M$7:$M$3006,"&lt;&gt;")+COUNTIFS('CARNET DE SOUDURE'!$O$7:$O$3006,B2292,'CARNET DE SOUDURE'!$P$7:$P$3006,"&lt;&gt;"&amp;C2292,'CARNET DE SOUDURE'!$P$7:$P$3006,"&lt;&gt;")&gt;0,"⚠ DIFFÉRENTE","OK"))</f>
        <v/>
      </c>
      <c r="F2292" s="147"/>
      <c r="G2292" s="80"/>
      <c r="H2292" s="83"/>
      <c r="I2292" s="148" t="str">
        <f aca="false">IF(B2292="","",IFERROR(INDEX('CARNET DE SOUDURE'!$B$7:$B$3006,MATCH(B2292,'CARNET DE SOUDURE'!$L$7:$L$3006,0)),IFERROR(INDEX('CARNET DE SOUDURE'!$B$7:$B$3006,MATCH(B2292,'CARNET DE SOUDURE'!$O$7:$O$3006,0)),"")))</f>
        <v/>
      </c>
      <c r="J2292" s="82" t="str">
        <f aca="false">IF(B2292="","",IFERROR(INDEX('CARNET DE SOUDURE'!$E$7:$E$3006,MATCH(B2292,'CARNET DE SOUDURE'!$O$7:$O$3006,0)),""))</f>
        <v/>
      </c>
      <c r="K2292" s="82" t="str">
        <f aca="false">IF(B2292="","",IFERROR(INDEX('CARNET DE SOUDURE'!$E$7:$E$3006,MATCH(B2292,'CARNET DE SOUDURE'!$L$7:$L$3006,0)),""))</f>
        <v/>
      </c>
      <c r="L2292" s="82" t="str">
        <f aca="false">IF(B2292="","",IFERROR(INDEX('CARNET DE SOUDURE'!$D$7:$D$3006,MATCH(B2292,'CARNET DE SOUDURE'!$L$7:$L$3006,0)),IFERROR(INDEX('CARNET DE SOUDURE'!$D$7:$D$3006,MATCH(B2292,'CARNET DE SOUDURE'!$O$7:$O$3006,0)),"")))</f>
        <v/>
      </c>
      <c r="M2292" s="82" t="str">
        <f aca="false">IF(B2292="","",IF(OR(J2292&lt;&gt;"",K2292&lt;&gt;""),"POSÉ EN LIGNE",IF(COUNTIF(BARDAGE!$C$1:$C$5000,B2292)&gt;0,"BARDÉ","EN STOCK")))</f>
        <v/>
      </c>
      <c r="N2292" s="80"/>
    </row>
    <row r="2293" customFormat="false" ht="15" hidden="false" customHeight="false" outlineLevel="0" collapsed="false">
      <c r="A2293" s="82" t="str">
        <f aca="false">IF(B2293="","",ROW()-6)</f>
        <v/>
      </c>
      <c r="B2293" s="145"/>
      <c r="C2293" s="146"/>
      <c r="D2293" s="146"/>
      <c r="E2293" s="82" t="str">
        <f aca="false">IF(B2293="","",IF(COUNTIFS('CARNET DE SOUDURE'!$L$7:$L$3006,B2293,'CARNET DE SOUDURE'!$M$7:$M$3006,"&lt;&gt;"&amp;C2293,'CARNET DE SOUDURE'!$M$7:$M$3006,"&lt;&gt;")+COUNTIFS('CARNET DE SOUDURE'!$O$7:$O$3006,B2293,'CARNET DE SOUDURE'!$P$7:$P$3006,"&lt;&gt;"&amp;C2293,'CARNET DE SOUDURE'!$P$7:$P$3006,"&lt;&gt;")&gt;0,"⚠ DIFFÉRENTE","OK"))</f>
        <v/>
      </c>
      <c r="F2293" s="147"/>
      <c r="G2293" s="80"/>
      <c r="H2293" s="83"/>
      <c r="I2293" s="148" t="str">
        <f aca="false">IF(B2293="","",IFERROR(INDEX('CARNET DE SOUDURE'!$B$7:$B$3006,MATCH(B2293,'CARNET DE SOUDURE'!$L$7:$L$3006,0)),IFERROR(INDEX('CARNET DE SOUDURE'!$B$7:$B$3006,MATCH(B2293,'CARNET DE SOUDURE'!$O$7:$O$3006,0)),"")))</f>
        <v/>
      </c>
      <c r="J2293" s="82" t="str">
        <f aca="false">IF(B2293="","",IFERROR(INDEX('CARNET DE SOUDURE'!$E$7:$E$3006,MATCH(B2293,'CARNET DE SOUDURE'!$O$7:$O$3006,0)),""))</f>
        <v/>
      </c>
      <c r="K2293" s="82" t="str">
        <f aca="false">IF(B2293="","",IFERROR(INDEX('CARNET DE SOUDURE'!$E$7:$E$3006,MATCH(B2293,'CARNET DE SOUDURE'!$L$7:$L$3006,0)),""))</f>
        <v/>
      </c>
      <c r="L2293" s="82" t="str">
        <f aca="false">IF(B2293="","",IFERROR(INDEX('CARNET DE SOUDURE'!$D$7:$D$3006,MATCH(B2293,'CARNET DE SOUDURE'!$L$7:$L$3006,0)),IFERROR(INDEX('CARNET DE SOUDURE'!$D$7:$D$3006,MATCH(B2293,'CARNET DE SOUDURE'!$O$7:$O$3006,0)),"")))</f>
        <v/>
      </c>
      <c r="M2293" s="82" t="str">
        <f aca="false">IF(B2293="","",IF(OR(J2293&lt;&gt;"",K2293&lt;&gt;""),"POSÉ EN LIGNE",IF(COUNTIF(BARDAGE!$C$1:$C$5000,B2293)&gt;0,"BARDÉ","EN STOCK")))</f>
        <v/>
      </c>
      <c r="N2293" s="80"/>
    </row>
    <row r="2294" customFormat="false" ht="15" hidden="false" customHeight="false" outlineLevel="0" collapsed="false">
      <c r="A2294" s="82" t="str">
        <f aca="false">IF(B2294="","",ROW()-6)</f>
        <v/>
      </c>
      <c r="B2294" s="145"/>
      <c r="C2294" s="146"/>
      <c r="D2294" s="146"/>
      <c r="E2294" s="82" t="str">
        <f aca="false">IF(B2294="","",IF(COUNTIFS('CARNET DE SOUDURE'!$L$7:$L$3006,B2294,'CARNET DE SOUDURE'!$M$7:$M$3006,"&lt;&gt;"&amp;C2294,'CARNET DE SOUDURE'!$M$7:$M$3006,"&lt;&gt;")+COUNTIFS('CARNET DE SOUDURE'!$O$7:$O$3006,B2294,'CARNET DE SOUDURE'!$P$7:$P$3006,"&lt;&gt;"&amp;C2294,'CARNET DE SOUDURE'!$P$7:$P$3006,"&lt;&gt;")&gt;0,"⚠ DIFFÉRENTE","OK"))</f>
        <v/>
      </c>
      <c r="F2294" s="147"/>
      <c r="G2294" s="80"/>
      <c r="H2294" s="83"/>
      <c r="I2294" s="148" t="str">
        <f aca="false">IF(B2294="","",IFERROR(INDEX('CARNET DE SOUDURE'!$B$7:$B$3006,MATCH(B2294,'CARNET DE SOUDURE'!$L$7:$L$3006,0)),IFERROR(INDEX('CARNET DE SOUDURE'!$B$7:$B$3006,MATCH(B2294,'CARNET DE SOUDURE'!$O$7:$O$3006,0)),"")))</f>
        <v/>
      </c>
      <c r="J2294" s="82" t="str">
        <f aca="false">IF(B2294="","",IFERROR(INDEX('CARNET DE SOUDURE'!$E$7:$E$3006,MATCH(B2294,'CARNET DE SOUDURE'!$O$7:$O$3006,0)),""))</f>
        <v/>
      </c>
      <c r="K2294" s="82" t="str">
        <f aca="false">IF(B2294="","",IFERROR(INDEX('CARNET DE SOUDURE'!$E$7:$E$3006,MATCH(B2294,'CARNET DE SOUDURE'!$L$7:$L$3006,0)),""))</f>
        <v/>
      </c>
      <c r="L2294" s="82" t="str">
        <f aca="false">IF(B2294="","",IFERROR(INDEX('CARNET DE SOUDURE'!$D$7:$D$3006,MATCH(B2294,'CARNET DE SOUDURE'!$L$7:$L$3006,0)),IFERROR(INDEX('CARNET DE SOUDURE'!$D$7:$D$3006,MATCH(B2294,'CARNET DE SOUDURE'!$O$7:$O$3006,0)),"")))</f>
        <v/>
      </c>
      <c r="M2294" s="82" t="str">
        <f aca="false">IF(B2294="","",IF(OR(J2294&lt;&gt;"",K2294&lt;&gt;""),"POSÉ EN LIGNE",IF(COUNTIF(BARDAGE!$C$1:$C$5000,B2294)&gt;0,"BARDÉ","EN STOCK")))</f>
        <v/>
      </c>
      <c r="N2294" s="80"/>
    </row>
    <row r="2295" customFormat="false" ht="15" hidden="false" customHeight="false" outlineLevel="0" collapsed="false">
      <c r="A2295" s="82" t="str">
        <f aca="false">IF(B2295="","",ROW()-6)</f>
        <v/>
      </c>
      <c r="B2295" s="145"/>
      <c r="C2295" s="146"/>
      <c r="D2295" s="146"/>
      <c r="E2295" s="82" t="str">
        <f aca="false">IF(B2295="","",IF(COUNTIFS('CARNET DE SOUDURE'!$L$7:$L$3006,B2295,'CARNET DE SOUDURE'!$M$7:$M$3006,"&lt;&gt;"&amp;C2295,'CARNET DE SOUDURE'!$M$7:$M$3006,"&lt;&gt;")+COUNTIFS('CARNET DE SOUDURE'!$O$7:$O$3006,B2295,'CARNET DE SOUDURE'!$P$7:$P$3006,"&lt;&gt;"&amp;C2295,'CARNET DE SOUDURE'!$P$7:$P$3006,"&lt;&gt;")&gt;0,"⚠ DIFFÉRENTE","OK"))</f>
        <v/>
      </c>
      <c r="F2295" s="147"/>
      <c r="G2295" s="80"/>
      <c r="H2295" s="83"/>
      <c r="I2295" s="148" t="str">
        <f aca="false">IF(B2295="","",IFERROR(INDEX('CARNET DE SOUDURE'!$B$7:$B$3006,MATCH(B2295,'CARNET DE SOUDURE'!$L$7:$L$3006,0)),IFERROR(INDEX('CARNET DE SOUDURE'!$B$7:$B$3006,MATCH(B2295,'CARNET DE SOUDURE'!$O$7:$O$3006,0)),"")))</f>
        <v/>
      </c>
      <c r="J2295" s="82" t="str">
        <f aca="false">IF(B2295="","",IFERROR(INDEX('CARNET DE SOUDURE'!$E$7:$E$3006,MATCH(B2295,'CARNET DE SOUDURE'!$O$7:$O$3006,0)),""))</f>
        <v/>
      </c>
      <c r="K2295" s="82" t="str">
        <f aca="false">IF(B2295="","",IFERROR(INDEX('CARNET DE SOUDURE'!$E$7:$E$3006,MATCH(B2295,'CARNET DE SOUDURE'!$L$7:$L$3006,0)),""))</f>
        <v/>
      </c>
      <c r="L2295" s="82" t="str">
        <f aca="false">IF(B2295="","",IFERROR(INDEX('CARNET DE SOUDURE'!$D$7:$D$3006,MATCH(B2295,'CARNET DE SOUDURE'!$L$7:$L$3006,0)),IFERROR(INDEX('CARNET DE SOUDURE'!$D$7:$D$3006,MATCH(B2295,'CARNET DE SOUDURE'!$O$7:$O$3006,0)),"")))</f>
        <v/>
      </c>
      <c r="M2295" s="82" t="str">
        <f aca="false">IF(B2295="","",IF(OR(J2295&lt;&gt;"",K2295&lt;&gt;""),"POSÉ EN LIGNE",IF(COUNTIF(BARDAGE!$C$1:$C$5000,B2295)&gt;0,"BARDÉ","EN STOCK")))</f>
        <v/>
      </c>
      <c r="N2295" s="80"/>
    </row>
    <row r="2296" customFormat="false" ht="15" hidden="false" customHeight="false" outlineLevel="0" collapsed="false">
      <c r="A2296" s="82" t="str">
        <f aca="false">IF(B2296="","",ROW()-6)</f>
        <v/>
      </c>
      <c r="B2296" s="145"/>
      <c r="C2296" s="146"/>
      <c r="D2296" s="146"/>
      <c r="E2296" s="82" t="str">
        <f aca="false">IF(B2296="","",IF(COUNTIFS('CARNET DE SOUDURE'!$L$7:$L$3006,B2296,'CARNET DE SOUDURE'!$M$7:$M$3006,"&lt;&gt;"&amp;C2296,'CARNET DE SOUDURE'!$M$7:$M$3006,"&lt;&gt;")+COUNTIFS('CARNET DE SOUDURE'!$O$7:$O$3006,B2296,'CARNET DE SOUDURE'!$P$7:$P$3006,"&lt;&gt;"&amp;C2296,'CARNET DE SOUDURE'!$P$7:$P$3006,"&lt;&gt;")&gt;0,"⚠ DIFFÉRENTE","OK"))</f>
        <v/>
      </c>
      <c r="F2296" s="147"/>
      <c r="G2296" s="80"/>
      <c r="H2296" s="83"/>
      <c r="I2296" s="148" t="str">
        <f aca="false">IF(B2296="","",IFERROR(INDEX('CARNET DE SOUDURE'!$B$7:$B$3006,MATCH(B2296,'CARNET DE SOUDURE'!$L$7:$L$3006,0)),IFERROR(INDEX('CARNET DE SOUDURE'!$B$7:$B$3006,MATCH(B2296,'CARNET DE SOUDURE'!$O$7:$O$3006,0)),"")))</f>
        <v/>
      </c>
      <c r="J2296" s="82" t="str">
        <f aca="false">IF(B2296="","",IFERROR(INDEX('CARNET DE SOUDURE'!$E$7:$E$3006,MATCH(B2296,'CARNET DE SOUDURE'!$O$7:$O$3006,0)),""))</f>
        <v/>
      </c>
      <c r="K2296" s="82" t="str">
        <f aca="false">IF(B2296="","",IFERROR(INDEX('CARNET DE SOUDURE'!$E$7:$E$3006,MATCH(B2296,'CARNET DE SOUDURE'!$L$7:$L$3006,0)),""))</f>
        <v/>
      </c>
      <c r="L2296" s="82" t="str">
        <f aca="false">IF(B2296="","",IFERROR(INDEX('CARNET DE SOUDURE'!$D$7:$D$3006,MATCH(B2296,'CARNET DE SOUDURE'!$L$7:$L$3006,0)),IFERROR(INDEX('CARNET DE SOUDURE'!$D$7:$D$3006,MATCH(B2296,'CARNET DE SOUDURE'!$O$7:$O$3006,0)),"")))</f>
        <v/>
      </c>
      <c r="M2296" s="82" t="str">
        <f aca="false">IF(B2296="","",IF(OR(J2296&lt;&gt;"",K2296&lt;&gt;""),"POSÉ EN LIGNE",IF(COUNTIF(BARDAGE!$C$1:$C$5000,B2296)&gt;0,"BARDÉ","EN STOCK")))</f>
        <v/>
      </c>
      <c r="N2296" s="80"/>
    </row>
    <row r="2297" customFormat="false" ht="15" hidden="false" customHeight="false" outlineLevel="0" collapsed="false">
      <c r="A2297" s="82" t="str">
        <f aca="false">IF(B2297="","",ROW()-6)</f>
        <v/>
      </c>
      <c r="B2297" s="145"/>
      <c r="C2297" s="146"/>
      <c r="D2297" s="146"/>
      <c r="E2297" s="82" t="str">
        <f aca="false">IF(B2297="","",IF(COUNTIFS('CARNET DE SOUDURE'!$L$7:$L$3006,B2297,'CARNET DE SOUDURE'!$M$7:$M$3006,"&lt;&gt;"&amp;C2297,'CARNET DE SOUDURE'!$M$7:$M$3006,"&lt;&gt;")+COUNTIFS('CARNET DE SOUDURE'!$O$7:$O$3006,B2297,'CARNET DE SOUDURE'!$P$7:$P$3006,"&lt;&gt;"&amp;C2297,'CARNET DE SOUDURE'!$P$7:$P$3006,"&lt;&gt;")&gt;0,"⚠ DIFFÉRENTE","OK"))</f>
        <v/>
      </c>
      <c r="F2297" s="147"/>
      <c r="G2297" s="80"/>
      <c r="H2297" s="83"/>
      <c r="I2297" s="148" t="str">
        <f aca="false">IF(B2297="","",IFERROR(INDEX('CARNET DE SOUDURE'!$B$7:$B$3006,MATCH(B2297,'CARNET DE SOUDURE'!$L$7:$L$3006,0)),IFERROR(INDEX('CARNET DE SOUDURE'!$B$7:$B$3006,MATCH(B2297,'CARNET DE SOUDURE'!$O$7:$O$3006,0)),"")))</f>
        <v/>
      </c>
      <c r="J2297" s="82" t="str">
        <f aca="false">IF(B2297="","",IFERROR(INDEX('CARNET DE SOUDURE'!$E$7:$E$3006,MATCH(B2297,'CARNET DE SOUDURE'!$O$7:$O$3006,0)),""))</f>
        <v/>
      </c>
      <c r="K2297" s="82" t="str">
        <f aca="false">IF(B2297="","",IFERROR(INDEX('CARNET DE SOUDURE'!$E$7:$E$3006,MATCH(B2297,'CARNET DE SOUDURE'!$L$7:$L$3006,0)),""))</f>
        <v/>
      </c>
      <c r="L2297" s="82" t="str">
        <f aca="false">IF(B2297="","",IFERROR(INDEX('CARNET DE SOUDURE'!$D$7:$D$3006,MATCH(B2297,'CARNET DE SOUDURE'!$L$7:$L$3006,0)),IFERROR(INDEX('CARNET DE SOUDURE'!$D$7:$D$3006,MATCH(B2297,'CARNET DE SOUDURE'!$O$7:$O$3006,0)),"")))</f>
        <v/>
      </c>
      <c r="M2297" s="82" t="str">
        <f aca="false">IF(B2297="","",IF(OR(J2297&lt;&gt;"",K2297&lt;&gt;""),"POSÉ EN LIGNE",IF(COUNTIF(BARDAGE!$C$1:$C$5000,B2297)&gt;0,"BARDÉ","EN STOCK")))</f>
        <v/>
      </c>
      <c r="N2297" s="80"/>
    </row>
    <row r="2298" customFormat="false" ht="15" hidden="false" customHeight="false" outlineLevel="0" collapsed="false">
      <c r="A2298" s="82" t="str">
        <f aca="false">IF(B2298="","",ROW()-6)</f>
        <v/>
      </c>
      <c r="B2298" s="145"/>
      <c r="C2298" s="146"/>
      <c r="D2298" s="146"/>
      <c r="E2298" s="82" t="str">
        <f aca="false">IF(B2298="","",IF(COUNTIFS('CARNET DE SOUDURE'!$L$7:$L$3006,B2298,'CARNET DE SOUDURE'!$M$7:$M$3006,"&lt;&gt;"&amp;C2298,'CARNET DE SOUDURE'!$M$7:$M$3006,"&lt;&gt;")+COUNTIFS('CARNET DE SOUDURE'!$O$7:$O$3006,B2298,'CARNET DE SOUDURE'!$P$7:$P$3006,"&lt;&gt;"&amp;C2298,'CARNET DE SOUDURE'!$P$7:$P$3006,"&lt;&gt;")&gt;0,"⚠ DIFFÉRENTE","OK"))</f>
        <v/>
      </c>
      <c r="F2298" s="147"/>
      <c r="G2298" s="80"/>
      <c r="H2298" s="83"/>
      <c r="I2298" s="148" t="str">
        <f aca="false">IF(B2298="","",IFERROR(INDEX('CARNET DE SOUDURE'!$B$7:$B$3006,MATCH(B2298,'CARNET DE SOUDURE'!$L$7:$L$3006,0)),IFERROR(INDEX('CARNET DE SOUDURE'!$B$7:$B$3006,MATCH(B2298,'CARNET DE SOUDURE'!$O$7:$O$3006,0)),"")))</f>
        <v/>
      </c>
      <c r="J2298" s="82" t="str">
        <f aca="false">IF(B2298="","",IFERROR(INDEX('CARNET DE SOUDURE'!$E$7:$E$3006,MATCH(B2298,'CARNET DE SOUDURE'!$O$7:$O$3006,0)),""))</f>
        <v/>
      </c>
      <c r="K2298" s="82" t="str">
        <f aca="false">IF(B2298="","",IFERROR(INDEX('CARNET DE SOUDURE'!$E$7:$E$3006,MATCH(B2298,'CARNET DE SOUDURE'!$L$7:$L$3006,0)),""))</f>
        <v/>
      </c>
      <c r="L2298" s="82" t="str">
        <f aca="false">IF(B2298="","",IFERROR(INDEX('CARNET DE SOUDURE'!$D$7:$D$3006,MATCH(B2298,'CARNET DE SOUDURE'!$L$7:$L$3006,0)),IFERROR(INDEX('CARNET DE SOUDURE'!$D$7:$D$3006,MATCH(B2298,'CARNET DE SOUDURE'!$O$7:$O$3006,0)),"")))</f>
        <v/>
      </c>
      <c r="M2298" s="82" t="str">
        <f aca="false">IF(B2298="","",IF(OR(J2298&lt;&gt;"",K2298&lt;&gt;""),"POSÉ EN LIGNE",IF(COUNTIF(BARDAGE!$C$1:$C$5000,B2298)&gt;0,"BARDÉ","EN STOCK")))</f>
        <v/>
      </c>
      <c r="N2298" s="80"/>
    </row>
    <row r="2299" customFormat="false" ht="15" hidden="false" customHeight="false" outlineLevel="0" collapsed="false">
      <c r="A2299" s="82" t="str">
        <f aca="false">IF(B2299="","",ROW()-6)</f>
        <v/>
      </c>
      <c r="B2299" s="145"/>
      <c r="C2299" s="146"/>
      <c r="D2299" s="146"/>
      <c r="E2299" s="82" t="str">
        <f aca="false">IF(B2299="","",IF(COUNTIFS('CARNET DE SOUDURE'!$L$7:$L$3006,B2299,'CARNET DE SOUDURE'!$M$7:$M$3006,"&lt;&gt;"&amp;C2299,'CARNET DE SOUDURE'!$M$7:$M$3006,"&lt;&gt;")+COUNTIFS('CARNET DE SOUDURE'!$O$7:$O$3006,B2299,'CARNET DE SOUDURE'!$P$7:$P$3006,"&lt;&gt;"&amp;C2299,'CARNET DE SOUDURE'!$P$7:$P$3006,"&lt;&gt;")&gt;0,"⚠ DIFFÉRENTE","OK"))</f>
        <v/>
      </c>
      <c r="F2299" s="147"/>
      <c r="G2299" s="80"/>
      <c r="H2299" s="83"/>
      <c r="I2299" s="148" t="str">
        <f aca="false">IF(B2299="","",IFERROR(INDEX('CARNET DE SOUDURE'!$B$7:$B$3006,MATCH(B2299,'CARNET DE SOUDURE'!$L$7:$L$3006,0)),IFERROR(INDEX('CARNET DE SOUDURE'!$B$7:$B$3006,MATCH(B2299,'CARNET DE SOUDURE'!$O$7:$O$3006,0)),"")))</f>
        <v/>
      </c>
      <c r="J2299" s="82" t="str">
        <f aca="false">IF(B2299="","",IFERROR(INDEX('CARNET DE SOUDURE'!$E$7:$E$3006,MATCH(B2299,'CARNET DE SOUDURE'!$O$7:$O$3006,0)),""))</f>
        <v/>
      </c>
      <c r="K2299" s="82" t="str">
        <f aca="false">IF(B2299="","",IFERROR(INDEX('CARNET DE SOUDURE'!$E$7:$E$3006,MATCH(B2299,'CARNET DE SOUDURE'!$L$7:$L$3006,0)),""))</f>
        <v/>
      </c>
      <c r="L2299" s="82" t="str">
        <f aca="false">IF(B2299="","",IFERROR(INDEX('CARNET DE SOUDURE'!$D$7:$D$3006,MATCH(B2299,'CARNET DE SOUDURE'!$L$7:$L$3006,0)),IFERROR(INDEX('CARNET DE SOUDURE'!$D$7:$D$3006,MATCH(B2299,'CARNET DE SOUDURE'!$O$7:$O$3006,0)),"")))</f>
        <v/>
      </c>
      <c r="M2299" s="82" t="str">
        <f aca="false">IF(B2299="","",IF(OR(J2299&lt;&gt;"",K2299&lt;&gt;""),"POSÉ EN LIGNE",IF(COUNTIF(BARDAGE!$C$1:$C$5000,B2299)&gt;0,"BARDÉ","EN STOCK")))</f>
        <v/>
      </c>
      <c r="N2299" s="80"/>
    </row>
    <row r="2300" customFormat="false" ht="15" hidden="false" customHeight="false" outlineLevel="0" collapsed="false">
      <c r="A2300" s="82" t="str">
        <f aca="false">IF(B2300="","",ROW()-6)</f>
        <v/>
      </c>
      <c r="B2300" s="145"/>
      <c r="C2300" s="146"/>
      <c r="D2300" s="146"/>
      <c r="E2300" s="82" t="str">
        <f aca="false">IF(B2300="","",IF(COUNTIFS('CARNET DE SOUDURE'!$L$7:$L$3006,B2300,'CARNET DE SOUDURE'!$M$7:$M$3006,"&lt;&gt;"&amp;C2300,'CARNET DE SOUDURE'!$M$7:$M$3006,"&lt;&gt;")+COUNTIFS('CARNET DE SOUDURE'!$O$7:$O$3006,B2300,'CARNET DE SOUDURE'!$P$7:$P$3006,"&lt;&gt;"&amp;C2300,'CARNET DE SOUDURE'!$P$7:$P$3006,"&lt;&gt;")&gt;0,"⚠ DIFFÉRENTE","OK"))</f>
        <v/>
      </c>
      <c r="F2300" s="147"/>
      <c r="G2300" s="80"/>
      <c r="H2300" s="83"/>
      <c r="I2300" s="148" t="str">
        <f aca="false">IF(B2300="","",IFERROR(INDEX('CARNET DE SOUDURE'!$B$7:$B$3006,MATCH(B2300,'CARNET DE SOUDURE'!$L$7:$L$3006,0)),IFERROR(INDEX('CARNET DE SOUDURE'!$B$7:$B$3006,MATCH(B2300,'CARNET DE SOUDURE'!$O$7:$O$3006,0)),"")))</f>
        <v/>
      </c>
      <c r="J2300" s="82" t="str">
        <f aca="false">IF(B2300="","",IFERROR(INDEX('CARNET DE SOUDURE'!$E$7:$E$3006,MATCH(B2300,'CARNET DE SOUDURE'!$O$7:$O$3006,0)),""))</f>
        <v/>
      </c>
      <c r="K2300" s="82" t="str">
        <f aca="false">IF(B2300="","",IFERROR(INDEX('CARNET DE SOUDURE'!$E$7:$E$3006,MATCH(B2300,'CARNET DE SOUDURE'!$L$7:$L$3006,0)),""))</f>
        <v/>
      </c>
      <c r="L2300" s="82" t="str">
        <f aca="false">IF(B2300="","",IFERROR(INDEX('CARNET DE SOUDURE'!$D$7:$D$3006,MATCH(B2300,'CARNET DE SOUDURE'!$L$7:$L$3006,0)),IFERROR(INDEX('CARNET DE SOUDURE'!$D$7:$D$3006,MATCH(B2300,'CARNET DE SOUDURE'!$O$7:$O$3006,0)),"")))</f>
        <v/>
      </c>
      <c r="M2300" s="82" t="str">
        <f aca="false">IF(B2300="","",IF(OR(J2300&lt;&gt;"",K2300&lt;&gt;""),"POSÉ EN LIGNE",IF(COUNTIF(BARDAGE!$C$1:$C$5000,B2300)&gt;0,"BARDÉ","EN STOCK")))</f>
        <v/>
      </c>
      <c r="N2300" s="80"/>
    </row>
    <row r="2301" customFormat="false" ht="15" hidden="false" customHeight="false" outlineLevel="0" collapsed="false">
      <c r="A2301" s="82" t="str">
        <f aca="false">IF(B2301="","",ROW()-6)</f>
        <v/>
      </c>
      <c r="B2301" s="145"/>
      <c r="C2301" s="146"/>
      <c r="D2301" s="146"/>
      <c r="E2301" s="82" t="str">
        <f aca="false">IF(B2301="","",IF(COUNTIFS('CARNET DE SOUDURE'!$L$7:$L$3006,B2301,'CARNET DE SOUDURE'!$M$7:$M$3006,"&lt;&gt;"&amp;C2301,'CARNET DE SOUDURE'!$M$7:$M$3006,"&lt;&gt;")+COUNTIFS('CARNET DE SOUDURE'!$O$7:$O$3006,B2301,'CARNET DE SOUDURE'!$P$7:$P$3006,"&lt;&gt;"&amp;C2301,'CARNET DE SOUDURE'!$P$7:$P$3006,"&lt;&gt;")&gt;0,"⚠ DIFFÉRENTE","OK"))</f>
        <v/>
      </c>
      <c r="F2301" s="147"/>
      <c r="G2301" s="80"/>
      <c r="H2301" s="83"/>
      <c r="I2301" s="148" t="str">
        <f aca="false">IF(B2301="","",IFERROR(INDEX('CARNET DE SOUDURE'!$B$7:$B$3006,MATCH(B2301,'CARNET DE SOUDURE'!$L$7:$L$3006,0)),IFERROR(INDEX('CARNET DE SOUDURE'!$B$7:$B$3006,MATCH(B2301,'CARNET DE SOUDURE'!$O$7:$O$3006,0)),"")))</f>
        <v/>
      </c>
      <c r="J2301" s="82" t="str">
        <f aca="false">IF(B2301="","",IFERROR(INDEX('CARNET DE SOUDURE'!$E$7:$E$3006,MATCH(B2301,'CARNET DE SOUDURE'!$O$7:$O$3006,0)),""))</f>
        <v/>
      </c>
      <c r="K2301" s="82" t="str">
        <f aca="false">IF(B2301="","",IFERROR(INDEX('CARNET DE SOUDURE'!$E$7:$E$3006,MATCH(B2301,'CARNET DE SOUDURE'!$L$7:$L$3006,0)),""))</f>
        <v/>
      </c>
      <c r="L2301" s="82" t="str">
        <f aca="false">IF(B2301="","",IFERROR(INDEX('CARNET DE SOUDURE'!$D$7:$D$3006,MATCH(B2301,'CARNET DE SOUDURE'!$L$7:$L$3006,0)),IFERROR(INDEX('CARNET DE SOUDURE'!$D$7:$D$3006,MATCH(B2301,'CARNET DE SOUDURE'!$O$7:$O$3006,0)),"")))</f>
        <v/>
      </c>
      <c r="M2301" s="82" t="str">
        <f aca="false">IF(B2301="","",IF(OR(J2301&lt;&gt;"",K2301&lt;&gt;""),"POSÉ EN LIGNE",IF(COUNTIF(BARDAGE!$C$1:$C$5000,B2301)&gt;0,"BARDÉ","EN STOCK")))</f>
        <v/>
      </c>
      <c r="N2301" s="80"/>
    </row>
    <row r="2302" customFormat="false" ht="15" hidden="false" customHeight="false" outlineLevel="0" collapsed="false">
      <c r="A2302" s="82" t="str">
        <f aca="false">IF(B2302="","",ROW()-6)</f>
        <v/>
      </c>
      <c r="B2302" s="145"/>
      <c r="C2302" s="146"/>
      <c r="D2302" s="146"/>
      <c r="E2302" s="82" t="str">
        <f aca="false">IF(B2302="","",IF(COUNTIFS('CARNET DE SOUDURE'!$L$7:$L$3006,B2302,'CARNET DE SOUDURE'!$M$7:$M$3006,"&lt;&gt;"&amp;C2302,'CARNET DE SOUDURE'!$M$7:$M$3006,"&lt;&gt;")+COUNTIFS('CARNET DE SOUDURE'!$O$7:$O$3006,B2302,'CARNET DE SOUDURE'!$P$7:$P$3006,"&lt;&gt;"&amp;C2302,'CARNET DE SOUDURE'!$P$7:$P$3006,"&lt;&gt;")&gt;0,"⚠ DIFFÉRENTE","OK"))</f>
        <v/>
      </c>
      <c r="F2302" s="147"/>
      <c r="G2302" s="80"/>
      <c r="H2302" s="83"/>
      <c r="I2302" s="148" t="str">
        <f aca="false">IF(B2302="","",IFERROR(INDEX('CARNET DE SOUDURE'!$B$7:$B$3006,MATCH(B2302,'CARNET DE SOUDURE'!$L$7:$L$3006,0)),IFERROR(INDEX('CARNET DE SOUDURE'!$B$7:$B$3006,MATCH(B2302,'CARNET DE SOUDURE'!$O$7:$O$3006,0)),"")))</f>
        <v/>
      </c>
      <c r="J2302" s="82" t="str">
        <f aca="false">IF(B2302="","",IFERROR(INDEX('CARNET DE SOUDURE'!$E$7:$E$3006,MATCH(B2302,'CARNET DE SOUDURE'!$O$7:$O$3006,0)),""))</f>
        <v/>
      </c>
      <c r="K2302" s="82" t="str">
        <f aca="false">IF(B2302="","",IFERROR(INDEX('CARNET DE SOUDURE'!$E$7:$E$3006,MATCH(B2302,'CARNET DE SOUDURE'!$L$7:$L$3006,0)),""))</f>
        <v/>
      </c>
      <c r="L2302" s="82" t="str">
        <f aca="false">IF(B2302="","",IFERROR(INDEX('CARNET DE SOUDURE'!$D$7:$D$3006,MATCH(B2302,'CARNET DE SOUDURE'!$L$7:$L$3006,0)),IFERROR(INDEX('CARNET DE SOUDURE'!$D$7:$D$3006,MATCH(B2302,'CARNET DE SOUDURE'!$O$7:$O$3006,0)),"")))</f>
        <v/>
      </c>
      <c r="M2302" s="82" t="str">
        <f aca="false">IF(B2302="","",IF(OR(J2302&lt;&gt;"",K2302&lt;&gt;""),"POSÉ EN LIGNE",IF(COUNTIF(BARDAGE!$C$1:$C$5000,B2302)&gt;0,"BARDÉ","EN STOCK")))</f>
        <v/>
      </c>
      <c r="N2302" s="80"/>
    </row>
    <row r="2303" customFormat="false" ht="15" hidden="false" customHeight="false" outlineLevel="0" collapsed="false">
      <c r="A2303" s="82" t="str">
        <f aca="false">IF(B2303="","",ROW()-6)</f>
        <v/>
      </c>
      <c r="B2303" s="145"/>
      <c r="C2303" s="146"/>
      <c r="D2303" s="146"/>
      <c r="E2303" s="82" t="str">
        <f aca="false">IF(B2303="","",IF(COUNTIFS('CARNET DE SOUDURE'!$L$7:$L$3006,B2303,'CARNET DE SOUDURE'!$M$7:$M$3006,"&lt;&gt;"&amp;C2303,'CARNET DE SOUDURE'!$M$7:$M$3006,"&lt;&gt;")+COUNTIFS('CARNET DE SOUDURE'!$O$7:$O$3006,B2303,'CARNET DE SOUDURE'!$P$7:$P$3006,"&lt;&gt;"&amp;C2303,'CARNET DE SOUDURE'!$P$7:$P$3006,"&lt;&gt;")&gt;0,"⚠ DIFFÉRENTE","OK"))</f>
        <v/>
      </c>
      <c r="F2303" s="147"/>
      <c r="G2303" s="80"/>
      <c r="H2303" s="83"/>
      <c r="I2303" s="148" t="str">
        <f aca="false">IF(B2303="","",IFERROR(INDEX('CARNET DE SOUDURE'!$B$7:$B$3006,MATCH(B2303,'CARNET DE SOUDURE'!$L$7:$L$3006,0)),IFERROR(INDEX('CARNET DE SOUDURE'!$B$7:$B$3006,MATCH(B2303,'CARNET DE SOUDURE'!$O$7:$O$3006,0)),"")))</f>
        <v/>
      </c>
      <c r="J2303" s="82" t="str">
        <f aca="false">IF(B2303="","",IFERROR(INDEX('CARNET DE SOUDURE'!$E$7:$E$3006,MATCH(B2303,'CARNET DE SOUDURE'!$O$7:$O$3006,0)),""))</f>
        <v/>
      </c>
      <c r="K2303" s="82" t="str">
        <f aca="false">IF(B2303="","",IFERROR(INDEX('CARNET DE SOUDURE'!$E$7:$E$3006,MATCH(B2303,'CARNET DE SOUDURE'!$L$7:$L$3006,0)),""))</f>
        <v/>
      </c>
      <c r="L2303" s="82" t="str">
        <f aca="false">IF(B2303="","",IFERROR(INDEX('CARNET DE SOUDURE'!$D$7:$D$3006,MATCH(B2303,'CARNET DE SOUDURE'!$L$7:$L$3006,0)),IFERROR(INDEX('CARNET DE SOUDURE'!$D$7:$D$3006,MATCH(B2303,'CARNET DE SOUDURE'!$O$7:$O$3006,0)),"")))</f>
        <v/>
      </c>
      <c r="M2303" s="82" t="str">
        <f aca="false">IF(B2303="","",IF(OR(J2303&lt;&gt;"",K2303&lt;&gt;""),"POSÉ EN LIGNE",IF(COUNTIF(BARDAGE!$C$1:$C$5000,B2303)&gt;0,"BARDÉ","EN STOCK")))</f>
        <v/>
      </c>
      <c r="N2303" s="80"/>
    </row>
    <row r="2304" customFormat="false" ht="15" hidden="false" customHeight="false" outlineLevel="0" collapsed="false">
      <c r="A2304" s="82" t="str">
        <f aca="false">IF(B2304="","",ROW()-6)</f>
        <v/>
      </c>
      <c r="B2304" s="145"/>
      <c r="C2304" s="146"/>
      <c r="D2304" s="146"/>
      <c r="E2304" s="82" t="str">
        <f aca="false">IF(B2304="","",IF(COUNTIFS('CARNET DE SOUDURE'!$L$7:$L$3006,B2304,'CARNET DE SOUDURE'!$M$7:$M$3006,"&lt;&gt;"&amp;C2304,'CARNET DE SOUDURE'!$M$7:$M$3006,"&lt;&gt;")+COUNTIFS('CARNET DE SOUDURE'!$O$7:$O$3006,B2304,'CARNET DE SOUDURE'!$P$7:$P$3006,"&lt;&gt;"&amp;C2304,'CARNET DE SOUDURE'!$P$7:$P$3006,"&lt;&gt;")&gt;0,"⚠ DIFFÉRENTE","OK"))</f>
        <v/>
      </c>
      <c r="F2304" s="147"/>
      <c r="G2304" s="80"/>
      <c r="H2304" s="83"/>
      <c r="I2304" s="148" t="str">
        <f aca="false">IF(B2304="","",IFERROR(INDEX('CARNET DE SOUDURE'!$B$7:$B$3006,MATCH(B2304,'CARNET DE SOUDURE'!$L$7:$L$3006,0)),IFERROR(INDEX('CARNET DE SOUDURE'!$B$7:$B$3006,MATCH(B2304,'CARNET DE SOUDURE'!$O$7:$O$3006,0)),"")))</f>
        <v/>
      </c>
      <c r="J2304" s="82" t="str">
        <f aca="false">IF(B2304="","",IFERROR(INDEX('CARNET DE SOUDURE'!$E$7:$E$3006,MATCH(B2304,'CARNET DE SOUDURE'!$O$7:$O$3006,0)),""))</f>
        <v/>
      </c>
      <c r="K2304" s="82" t="str">
        <f aca="false">IF(B2304="","",IFERROR(INDEX('CARNET DE SOUDURE'!$E$7:$E$3006,MATCH(B2304,'CARNET DE SOUDURE'!$L$7:$L$3006,0)),""))</f>
        <v/>
      </c>
      <c r="L2304" s="82" t="str">
        <f aca="false">IF(B2304="","",IFERROR(INDEX('CARNET DE SOUDURE'!$D$7:$D$3006,MATCH(B2304,'CARNET DE SOUDURE'!$L$7:$L$3006,0)),IFERROR(INDEX('CARNET DE SOUDURE'!$D$7:$D$3006,MATCH(B2304,'CARNET DE SOUDURE'!$O$7:$O$3006,0)),"")))</f>
        <v/>
      </c>
      <c r="M2304" s="82" t="str">
        <f aca="false">IF(B2304="","",IF(OR(J2304&lt;&gt;"",K2304&lt;&gt;""),"POSÉ EN LIGNE",IF(COUNTIF(BARDAGE!$C$1:$C$5000,B2304)&gt;0,"BARDÉ","EN STOCK")))</f>
        <v/>
      </c>
      <c r="N2304" s="80"/>
    </row>
    <row r="2305" customFormat="false" ht="15" hidden="false" customHeight="false" outlineLevel="0" collapsed="false">
      <c r="A2305" s="82" t="str">
        <f aca="false">IF(B2305="","",ROW()-6)</f>
        <v/>
      </c>
      <c r="B2305" s="145"/>
      <c r="C2305" s="146"/>
      <c r="D2305" s="146"/>
      <c r="E2305" s="82" t="str">
        <f aca="false">IF(B2305="","",IF(COUNTIFS('CARNET DE SOUDURE'!$L$7:$L$3006,B2305,'CARNET DE SOUDURE'!$M$7:$M$3006,"&lt;&gt;"&amp;C2305,'CARNET DE SOUDURE'!$M$7:$M$3006,"&lt;&gt;")+COUNTIFS('CARNET DE SOUDURE'!$O$7:$O$3006,B2305,'CARNET DE SOUDURE'!$P$7:$P$3006,"&lt;&gt;"&amp;C2305,'CARNET DE SOUDURE'!$P$7:$P$3006,"&lt;&gt;")&gt;0,"⚠ DIFFÉRENTE","OK"))</f>
        <v/>
      </c>
      <c r="F2305" s="147"/>
      <c r="G2305" s="80"/>
      <c r="H2305" s="83"/>
      <c r="I2305" s="148" t="str">
        <f aca="false">IF(B2305="","",IFERROR(INDEX('CARNET DE SOUDURE'!$B$7:$B$3006,MATCH(B2305,'CARNET DE SOUDURE'!$L$7:$L$3006,0)),IFERROR(INDEX('CARNET DE SOUDURE'!$B$7:$B$3006,MATCH(B2305,'CARNET DE SOUDURE'!$O$7:$O$3006,0)),"")))</f>
        <v/>
      </c>
      <c r="J2305" s="82" t="str">
        <f aca="false">IF(B2305="","",IFERROR(INDEX('CARNET DE SOUDURE'!$E$7:$E$3006,MATCH(B2305,'CARNET DE SOUDURE'!$O$7:$O$3006,0)),""))</f>
        <v/>
      </c>
      <c r="K2305" s="82" t="str">
        <f aca="false">IF(B2305="","",IFERROR(INDEX('CARNET DE SOUDURE'!$E$7:$E$3006,MATCH(B2305,'CARNET DE SOUDURE'!$L$7:$L$3006,0)),""))</f>
        <v/>
      </c>
      <c r="L2305" s="82" t="str">
        <f aca="false">IF(B2305="","",IFERROR(INDEX('CARNET DE SOUDURE'!$D$7:$D$3006,MATCH(B2305,'CARNET DE SOUDURE'!$L$7:$L$3006,0)),IFERROR(INDEX('CARNET DE SOUDURE'!$D$7:$D$3006,MATCH(B2305,'CARNET DE SOUDURE'!$O$7:$O$3006,0)),"")))</f>
        <v/>
      </c>
      <c r="M2305" s="82" t="str">
        <f aca="false">IF(B2305="","",IF(OR(J2305&lt;&gt;"",K2305&lt;&gt;""),"POSÉ EN LIGNE",IF(COUNTIF(BARDAGE!$C$1:$C$5000,B2305)&gt;0,"BARDÉ","EN STOCK")))</f>
        <v/>
      </c>
      <c r="N2305" s="80"/>
    </row>
    <row r="2306" customFormat="false" ht="15" hidden="false" customHeight="false" outlineLevel="0" collapsed="false">
      <c r="A2306" s="82" t="str">
        <f aca="false">IF(B2306="","",ROW()-6)</f>
        <v/>
      </c>
      <c r="B2306" s="145"/>
      <c r="C2306" s="146"/>
      <c r="D2306" s="146"/>
      <c r="E2306" s="82" t="str">
        <f aca="false">IF(B2306="","",IF(COUNTIFS('CARNET DE SOUDURE'!$L$7:$L$3006,B2306,'CARNET DE SOUDURE'!$M$7:$M$3006,"&lt;&gt;"&amp;C2306,'CARNET DE SOUDURE'!$M$7:$M$3006,"&lt;&gt;")+COUNTIFS('CARNET DE SOUDURE'!$O$7:$O$3006,B2306,'CARNET DE SOUDURE'!$P$7:$P$3006,"&lt;&gt;"&amp;C2306,'CARNET DE SOUDURE'!$P$7:$P$3006,"&lt;&gt;")&gt;0,"⚠ DIFFÉRENTE","OK"))</f>
        <v/>
      </c>
      <c r="F2306" s="147"/>
      <c r="G2306" s="80"/>
      <c r="H2306" s="83"/>
      <c r="I2306" s="148" t="str">
        <f aca="false">IF(B2306="","",IFERROR(INDEX('CARNET DE SOUDURE'!$B$7:$B$3006,MATCH(B2306,'CARNET DE SOUDURE'!$L$7:$L$3006,0)),IFERROR(INDEX('CARNET DE SOUDURE'!$B$7:$B$3006,MATCH(B2306,'CARNET DE SOUDURE'!$O$7:$O$3006,0)),"")))</f>
        <v/>
      </c>
      <c r="J2306" s="82" t="str">
        <f aca="false">IF(B2306="","",IFERROR(INDEX('CARNET DE SOUDURE'!$E$7:$E$3006,MATCH(B2306,'CARNET DE SOUDURE'!$O$7:$O$3006,0)),""))</f>
        <v/>
      </c>
      <c r="K2306" s="82" t="str">
        <f aca="false">IF(B2306="","",IFERROR(INDEX('CARNET DE SOUDURE'!$E$7:$E$3006,MATCH(B2306,'CARNET DE SOUDURE'!$L$7:$L$3006,0)),""))</f>
        <v/>
      </c>
      <c r="L2306" s="82" t="str">
        <f aca="false">IF(B2306="","",IFERROR(INDEX('CARNET DE SOUDURE'!$D$7:$D$3006,MATCH(B2306,'CARNET DE SOUDURE'!$L$7:$L$3006,0)),IFERROR(INDEX('CARNET DE SOUDURE'!$D$7:$D$3006,MATCH(B2306,'CARNET DE SOUDURE'!$O$7:$O$3006,0)),"")))</f>
        <v/>
      </c>
      <c r="M2306" s="82" t="str">
        <f aca="false">IF(B2306="","",IF(OR(J2306&lt;&gt;"",K2306&lt;&gt;""),"POSÉ EN LIGNE",IF(COUNTIF(BARDAGE!$C$1:$C$5000,B2306)&gt;0,"BARDÉ","EN STOCK")))</f>
        <v/>
      </c>
      <c r="N2306" s="80"/>
    </row>
    <row r="2307" customFormat="false" ht="15" hidden="false" customHeight="false" outlineLevel="0" collapsed="false">
      <c r="A2307" s="82" t="str">
        <f aca="false">IF(B2307="","",ROW()-6)</f>
        <v/>
      </c>
      <c r="B2307" s="145"/>
      <c r="C2307" s="146"/>
      <c r="D2307" s="146"/>
      <c r="E2307" s="82" t="str">
        <f aca="false">IF(B2307="","",IF(COUNTIFS('CARNET DE SOUDURE'!$L$7:$L$3006,B2307,'CARNET DE SOUDURE'!$M$7:$M$3006,"&lt;&gt;"&amp;C2307,'CARNET DE SOUDURE'!$M$7:$M$3006,"&lt;&gt;")+COUNTIFS('CARNET DE SOUDURE'!$O$7:$O$3006,B2307,'CARNET DE SOUDURE'!$P$7:$P$3006,"&lt;&gt;"&amp;C2307,'CARNET DE SOUDURE'!$P$7:$P$3006,"&lt;&gt;")&gt;0,"⚠ DIFFÉRENTE","OK"))</f>
        <v/>
      </c>
      <c r="F2307" s="147"/>
      <c r="G2307" s="80"/>
      <c r="H2307" s="83"/>
      <c r="I2307" s="148" t="str">
        <f aca="false">IF(B2307="","",IFERROR(INDEX('CARNET DE SOUDURE'!$B$7:$B$3006,MATCH(B2307,'CARNET DE SOUDURE'!$L$7:$L$3006,0)),IFERROR(INDEX('CARNET DE SOUDURE'!$B$7:$B$3006,MATCH(B2307,'CARNET DE SOUDURE'!$O$7:$O$3006,0)),"")))</f>
        <v/>
      </c>
      <c r="J2307" s="82" t="str">
        <f aca="false">IF(B2307="","",IFERROR(INDEX('CARNET DE SOUDURE'!$E$7:$E$3006,MATCH(B2307,'CARNET DE SOUDURE'!$O$7:$O$3006,0)),""))</f>
        <v/>
      </c>
      <c r="K2307" s="82" t="str">
        <f aca="false">IF(B2307="","",IFERROR(INDEX('CARNET DE SOUDURE'!$E$7:$E$3006,MATCH(B2307,'CARNET DE SOUDURE'!$L$7:$L$3006,0)),""))</f>
        <v/>
      </c>
      <c r="L2307" s="82" t="str">
        <f aca="false">IF(B2307="","",IFERROR(INDEX('CARNET DE SOUDURE'!$D$7:$D$3006,MATCH(B2307,'CARNET DE SOUDURE'!$L$7:$L$3006,0)),IFERROR(INDEX('CARNET DE SOUDURE'!$D$7:$D$3006,MATCH(B2307,'CARNET DE SOUDURE'!$O$7:$O$3006,0)),"")))</f>
        <v/>
      </c>
      <c r="M2307" s="82" t="str">
        <f aca="false">IF(B2307="","",IF(OR(J2307&lt;&gt;"",K2307&lt;&gt;""),"POSÉ EN LIGNE",IF(COUNTIF(BARDAGE!$C$1:$C$5000,B2307)&gt;0,"BARDÉ","EN STOCK")))</f>
        <v/>
      </c>
      <c r="N2307" s="80"/>
    </row>
    <row r="2308" customFormat="false" ht="15" hidden="false" customHeight="false" outlineLevel="0" collapsed="false">
      <c r="A2308" s="82" t="str">
        <f aca="false">IF(B2308="","",ROW()-6)</f>
        <v/>
      </c>
      <c r="B2308" s="145"/>
      <c r="C2308" s="146"/>
      <c r="D2308" s="146"/>
      <c r="E2308" s="82" t="str">
        <f aca="false">IF(B2308="","",IF(COUNTIFS('CARNET DE SOUDURE'!$L$7:$L$3006,B2308,'CARNET DE SOUDURE'!$M$7:$M$3006,"&lt;&gt;"&amp;C2308,'CARNET DE SOUDURE'!$M$7:$M$3006,"&lt;&gt;")+COUNTIFS('CARNET DE SOUDURE'!$O$7:$O$3006,B2308,'CARNET DE SOUDURE'!$P$7:$P$3006,"&lt;&gt;"&amp;C2308,'CARNET DE SOUDURE'!$P$7:$P$3006,"&lt;&gt;")&gt;0,"⚠ DIFFÉRENTE","OK"))</f>
        <v/>
      </c>
      <c r="F2308" s="147"/>
      <c r="G2308" s="80"/>
      <c r="H2308" s="83"/>
      <c r="I2308" s="148" t="str">
        <f aca="false">IF(B2308="","",IFERROR(INDEX('CARNET DE SOUDURE'!$B$7:$B$3006,MATCH(B2308,'CARNET DE SOUDURE'!$L$7:$L$3006,0)),IFERROR(INDEX('CARNET DE SOUDURE'!$B$7:$B$3006,MATCH(B2308,'CARNET DE SOUDURE'!$O$7:$O$3006,0)),"")))</f>
        <v/>
      </c>
      <c r="J2308" s="82" t="str">
        <f aca="false">IF(B2308="","",IFERROR(INDEX('CARNET DE SOUDURE'!$E$7:$E$3006,MATCH(B2308,'CARNET DE SOUDURE'!$O$7:$O$3006,0)),""))</f>
        <v/>
      </c>
      <c r="K2308" s="82" t="str">
        <f aca="false">IF(B2308="","",IFERROR(INDEX('CARNET DE SOUDURE'!$E$7:$E$3006,MATCH(B2308,'CARNET DE SOUDURE'!$L$7:$L$3006,0)),""))</f>
        <v/>
      </c>
      <c r="L2308" s="82" t="str">
        <f aca="false">IF(B2308="","",IFERROR(INDEX('CARNET DE SOUDURE'!$D$7:$D$3006,MATCH(B2308,'CARNET DE SOUDURE'!$L$7:$L$3006,0)),IFERROR(INDEX('CARNET DE SOUDURE'!$D$7:$D$3006,MATCH(B2308,'CARNET DE SOUDURE'!$O$7:$O$3006,0)),"")))</f>
        <v/>
      </c>
      <c r="M2308" s="82" t="str">
        <f aca="false">IF(B2308="","",IF(OR(J2308&lt;&gt;"",K2308&lt;&gt;""),"POSÉ EN LIGNE",IF(COUNTIF(BARDAGE!$C$1:$C$5000,B2308)&gt;0,"BARDÉ","EN STOCK")))</f>
        <v/>
      </c>
      <c r="N2308" s="80"/>
    </row>
    <row r="2309" customFormat="false" ht="15" hidden="false" customHeight="false" outlineLevel="0" collapsed="false">
      <c r="A2309" s="82" t="str">
        <f aca="false">IF(B2309="","",ROW()-6)</f>
        <v/>
      </c>
      <c r="B2309" s="145"/>
      <c r="C2309" s="146"/>
      <c r="D2309" s="146"/>
      <c r="E2309" s="82" t="str">
        <f aca="false">IF(B2309="","",IF(COUNTIFS('CARNET DE SOUDURE'!$L$7:$L$3006,B2309,'CARNET DE SOUDURE'!$M$7:$M$3006,"&lt;&gt;"&amp;C2309,'CARNET DE SOUDURE'!$M$7:$M$3006,"&lt;&gt;")+COUNTIFS('CARNET DE SOUDURE'!$O$7:$O$3006,B2309,'CARNET DE SOUDURE'!$P$7:$P$3006,"&lt;&gt;"&amp;C2309,'CARNET DE SOUDURE'!$P$7:$P$3006,"&lt;&gt;")&gt;0,"⚠ DIFFÉRENTE","OK"))</f>
        <v/>
      </c>
      <c r="F2309" s="147"/>
      <c r="G2309" s="80"/>
      <c r="H2309" s="83"/>
      <c r="I2309" s="148" t="str">
        <f aca="false">IF(B2309="","",IFERROR(INDEX('CARNET DE SOUDURE'!$B$7:$B$3006,MATCH(B2309,'CARNET DE SOUDURE'!$L$7:$L$3006,0)),IFERROR(INDEX('CARNET DE SOUDURE'!$B$7:$B$3006,MATCH(B2309,'CARNET DE SOUDURE'!$O$7:$O$3006,0)),"")))</f>
        <v/>
      </c>
      <c r="J2309" s="82" t="str">
        <f aca="false">IF(B2309="","",IFERROR(INDEX('CARNET DE SOUDURE'!$E$7:$E$3006,MATCH(B2309,'CARNET DE SOUDURE'!$O$7:$O$3006,0)),""))</f>
        <v/>
      </c>
      <c r="K2309" s="82" t="str">
        <f aca="false">IF(B2309="","",IFERROR(INDEX('CARNET DE SOUDURE'!$E$7:$E$3006,MATCH(B2309,'CARNET DE SOUDURE'!$L$7:$L$3006,0)),""))</f>
        <v/>
      </c>
      <c r="L2309" s="82" t="str">
        <f aca="false">IF(B2309="","",IFERROR(INDEX('CARNET DE SOUDURE'!$D$7:$D$3006,MATCH(B2309,'CARNET DE SOUDURE'!$L$7:$L$3006,0)),IFERROR(INDEX('CARNET DE SOUDURE'!$D$7:$D$3006,MATCH(B2309,'CARNET DE SOUDURE'!$O$7:$O$3006,0)),"")))</f>
        <v/>
      </c>
      <c r="M2309" s="82" t="str">
        <f aca="false">IF(B2309="","",IF(OR(J2309&lt;&gt;"",K2309&lt;&gt;""),"POSÉ EN LIGNE",IF(COUNTIF(BARDAGE!$C$1:$C$5000,B2309)&gt;0,"BARDÉ","EN STOCK")))</f>
        <v/>
      </c>
      <c r="N2309" s="80"/>
    </row>
    <row r="2310" customFormat="false" ht="15" hidden="false" customHeight="false" outlineLevel="0" collapsed="false">
      <c r="A2310" s="82" t="str">
        <f aca="false">IF(B2310="","",ROW()-6)</f>
        <v/>
      </c>
      <c r="B2310" s="145"/>
      <c r="C2310" s="146"/>
      <c r="D2310" s="146"/>
      <c r="E2310" s="82" t="str">
        <f aca="false">IF(B2310="","",IF(COUNTIFS('CARNET DE SOUDURE'!$L$7:$L$3006,B2310,'CARNET DE SOUDURE'!$M$7:$M$3006,"&lt;&gt;"&amp;C2310,'CARNET DE SOUDURE'!$M$7:$M$3006,"&lt;&gt;")+COUNTIFS('CARNET DE SOUDURE'!$O$7:$O$3006,B2310,'CARNET DE SOUDURE'!$P$7:$P$3006,"&lt;&gt;"&amp;C2310,'CARNET DE SOUDURE'!$P$7:$P$3006,"&lt;&gt;")&gt;0,"⚠ DIFFÉRENTE","OK"))</f>
        <v/>
      </c>
      <c r="F2310" s="147"/>
      <c r="G2310" s="80"/>
      <c r="H2310" s="83"/>
      <c r="I2310" s="148" t="str">
        <f aca="false">IF(B2310="","",IFERROR(INDEX('CARNET DE SOUDURE'!$B$7:$B$3006,MATCH(B2310,'CARNET DE SOUDURE'!$L$7:$L$3006,0)),IFERROR(INDEX('CARNET DE SOUDURE'!$B$7:$B$3006,MATCH(B2310,'CARNET DE SOUDURE'!$O$7:$O$3006,0)),"")))</f>
        <v/>
      </c>
      <c r="J2310" s="82" t="str">
        <f aca="false">IF(B2310="","",IFERROR(INDEX('CARNET DE SOUDURE'!$E$7:$E$3006,MATCH(B2310,'CARNET DE SOUDURE'!$O$7:$O$3006,0)),""))</f>
        <v/>
      </c>
      <c r="K2310" s="82" t="str">
        <f aca="false">IF(B2310="","",IFERROR(INDEX('CARNET DE SOUDURE'!$E$7:$E$3006,MATCH(B2310,'CARNET DE SOUDURE'!$L$7:$L$3006,0)),""))</f>
        <v/>
      </c>
      <c r="L2310" s="82" t="str">
        <f aca="false">IF(B2310="","",IFERROR(INDEX('CARNET DE SOUDURE'!$D$7:$D$3006,MATCH(B2310,'CARNET DE SOUDURE'!$L$7:$L$3006,0)),IFERROR(INDEX('CARNET DE SOUDURE'!$D$7:$D$3006,MATCH(B2310,'CARNET DE SOUDURE'!$O$7:$O$3006,0)),"")))</f>
        <v/>
      </c>
      <c r="M2310" s="82" t="str">
        <f aca="false">IF(B2310="","",IF(OR(J2310&lt;&gt;"",K2310&lt;&gt;""),"POSÉ EN LIGNE",IF(COUNTIF(BARDAGE!$C$1:$C$5000,B2310)&gt;0,"BARDÉ","EN STOCK")))</f>
        <v/>
      </c>
      <c r="N2310" s="80"/>
    </row>
    <row r="2311" customFormat="false" ht="15" hidden="false" customHeight="false" outlineLevel="0" collapsed="false">
      <c r="A2311" s="82" t="str">
        <f aca="false">IF(B2311="","",ROW()-6)</f>
        <v/>
      </c>
      <c r="B2311" s="145"/>
      <c r="C2311" s="146"/>
      <c r="D2311" s="146"/>
      <c r="E2311" s="82" t="str">
        <f aca="false">IF(B2311="","",IF(COUNTIFS('CARNET DE SOUDURE'!$L$7:$L$3006,B2311,'CARNET DE SOUDURE'!$M$7:$M$3006,"&lt;&gt;"&amp;C2311,'CARNET DE SOUDURE'!$M$7:$M$3006,"&lt;&gt;")+COUNTIFS('CARNET DE SOUDURE'!$O$7:$O$3006,B2311,'CARNET DE SOUDURE'!$P$7:$P$3006,"&lt;&gt;"&amp;C2311,'CARNET DE SOUDURE'!$P$7:$P$3006,"&lt;&gt;")&gt;0,"⚠ DIFFÉRENTE","OK"))</f>
        <v/>
      </c>
      <c r="F2311" s="147"/>
      <c r="G2311" s="80"/>
      <c r="H2311" s="83"/>
      <c r="I2311" s="148" t="str">
        <f aca="false">IF(B2311="","",IFERROR(INDEX('CARNET DE SOUDURE'!$B$7:$B$3006,MATCH(B2311,'CARNET DE SOUDURE'!$L$7:$L$3006,0)),IFERROR(INDEX('CARNET DE SOUDURE'!$B$7:$B$3006,MATCH(B2311,'CARNET DE SOUDURE'!$O$7:$O$3006,0)),"")))</f>
        <v/>
      </c>
      <c r="J2311" s="82" t="str">
        <f aca="false">IF(B2311="","",IFERROR(INDEX('CARNET DE SOUDURE'!$E$7:$E$3006,MATCH(B2311,'CARNET DE SOUDURE'!$O$7:$O$3006,0)),""))</f>
        <v/>
      </c>
      <c r="K2311" s="82" t="str">
        <f aca="false">IF(B2311="","",IFERROR(INDEX('CARNET DE SOUDURE'!$E$7:$E$3006,MATCH(B2311,'CARNET DE SOUDURE'!$L$7:$L$3006,0)),""))</f>
        <v/>
      </c>
      <c r="L2311" s="82" t="str">
        <f aca="false">IF(B2311="","",IFERROR(INDEX('CARNET DE SOUDURE'!$D$7:$D$3006,MATCH(B2311,'CARNET DE SOUDURE'!$L$7:$L$3006,0)),IFERROR(INDEX('CARNET DE SOUDURE'!$D$7:$D$3006,MATCH(B2311,'CARNET DE SOUDURE'!$O$7:$O$3006,0)),"")))</f>
        <v/>
      </c>
      <c r="M2311" s="82" t="str">
        <f aca="false">IF(B2311="","",IF(OR(J2311&lt;&gt;"",K2311&lt;&gt;""),"POSÉ EN LIGNE",IF(COUNTIF(BARDAGE!$C$1:$C$5000,B2311)&gt;0,"BARDÉ","EN STOCK")))</f>
        <v/>
      </c>
      <c r="N2311" s="80"/>
    </row>
    <row r="2312" customFormat="false" ht="15" hidden="false" customHeight="false" outlineLevel="0" collapsed="false">
      <c r="A2312" s="82" t="str">
        <f aca="false">IF(B2312="","",ROW()-6)</f>
        <v/>
      </c>
      <c r="B2312" s="145"/>
      <c r="C2312" s="146"/>
      <c r="D2312" s="146"/>
      <c r="E2312" s="82" t="str">
        <f aca="false">IF(B2312="","",IF(COUNTIFS('CARNET DE SOUDURE'!$L$7:$L$3006,B2312,'CARNET DE SOUDURE'!$M$7:$M$3006,"&lt;&gt;"&amp;C2312,'CARNET DE SOUDURE'!$M$7:$M$3006,"&lt;&gt;")+COUNTIFS('CARNET DE SOUDURE'!$O$7:$O$3006,B2312,'CARNET DE SOUDURE'!$P$7:$P$3006,"&lt;&gt;"&amp;C2312,'CARNET DE SOUDURE'!$P$7:$P$3006,"&lt;&gt;")&gt;0,"⚠ DIFFÉRENTE","OK"))</f>
        <v/>
      </c>
      <c r="F2312" s="147"/>
      <c r="G2312" s="80"/>
      <c r="H2312" s="83"/>
      <c r="I2312" s="148" t="str">
        <f aca="false">IF(B2312="","",IFERROR(INDEX('CARNET DE SOUDURE'!$B$7:$B$3006,MATCH(B2312,'CARNET DE SOUDURE'!$L$7:$L$3006,0)),IFERROR(INDEX('CARNET DE SOUDURE'!$B$7:$B$3006,MATCH(B2312,'CARNET DE SOUDURE'!$O$7:$O$3006,0)),"")))</f>
        <v/>
      </c>
      <c r="J2312" s="82" t="str">
        <f aca="false">IF(B2312="","",IFERROR(INDEX('CARNET DE SOUDURE'!$E$7:$E$3006,MATCH(B2312,'CARNET DE SOUDURE'!$O$7:$O$3006,0)),""))</f>
        <v/>
      </c>
      <c r="K2312" s="82" t="str">
        <f aca="false">IF(B2312="","",IFERROR(INDEX('CARNET DE SOUDURE'!$E$7:$E$3006,MATCH(B2312,'CARNET DE SOUDURE'!$L$7:$L$3006,0)),""))</f>
        <v/>
      </c>
      <c r="L2312" s="82" t="str">
        <f aca="false">IF(B2312="","",IFERROR(INDEX('CARNET DE SOUDURE'!$D$7:$D$3006,MATCH(B2312,'CARNET DE SOUDURE'!$L$7:$L$3006,0)),IFERROR(INDEX('CARNET DE SOUDURE'!$D$7:$D$3006,MATCH(B2312,'CARNET DE SOUDURE'!$O$7:$O$3006,0)),"")))</f>
        <v/>
      </c>
      <c r="M2312" s="82" t="str">
        <f aca="false">IF(B2312="","",IF(OR(J2312&lt;&gt;"",K2312&lt;&gt;""),"POSÉ EN LIGNE",IF(COUNTIF(BARDAGE!$C$1:$C$5000,B2312)&gt;0,"BARDÉ","EN STOCK")))</f>
        <v/>
      </c>
      <c r="N2312" s="80"/>
    </row>
    <row r="2313" customFormat="false" ht="15" hidden="false" customHeight="false" outlineLevel="0" collapsed="false">
      <c r="A2313" s="82" t="str">
        <f aca="false">IF(B2313="","",ROW()-6)</f>
        <v/>
      </c>
      <c r="B2313" s="145"/>
      <c r="C2313" s="146"/>
      <c r="D2313" s="146"/>
      <c r="E2313" s="82" t="str">
        <f aca="false">IF(B2313="","",IF(COUNTIFS('CARNET DE SOUDURE'!$L$7:$L$3006,B2313,'CARNET DE SOUDURE'!$M$7:$M$3006,"&lt;&gt;"&amp;C2313,'CARNET DE SOUDURE'!$M$7:$M$3006,"&lt;&gt;")+COUNTIFS('CARNET DE SOUDURE'!$O$7:$O$3006,B2313,'CARNET DE SOUDURE'!$P$7:$P$3006,"&lt;&gt;"&amp;C2313,'CARNET DE SOUDURE'!$P$7:$P$3006,"&lt;&gt;")&gt;0,"⚠ DIFFÉRENTE","OK"))</f>
        <v/>
      </c>
      <c r="F2313" s="147"/>
      <c r="G2313" s="80"/>
      <c r="H2313" s="83"/>
      <c r="I2313" s="148" t="str">
        <f aca="false">IF(B2313="","",IFERROR(INDEX('CARNET DE SOUDURE'!$B$7:$B$3006,MATCH(B2313,'CARNET DE SOUDURE'!$L$7:$L$3006,0)),IFERROR(INDEX('CARNET DE SOUDURE'!$B$7:$B$3006,MATCH(B2313,'CARNET DE SOUDURE'!$O$7:$O$3006,0)),"")))</f>
        <v/>
      </c>
      <c r="J2313" s="82" t="str">
        <f aca="false">IF(B2313="","",IFERROR(INDEX('CARNET DE SOUDURE'!$E$7:$E$3006,MATCH(B2313,'CARNET DE SOUDURE'!$O$7:$O$3006,0)),""))</f>
        <v/>
      </c>
      <c r="K2313" s="82" t="str">
        <f aca="false">IF(B2313="","",IFERROR(INDEX('CARNET DE SOUDURE'!$E$7:$E$3006,MATCH(B2313,'CARNET DE SOUDURE'!$L$7:$L$3006,0)),""))</f>
        <v/>
      </c>
      <c r="L2313" s="82" t="str">
        <f aca="false">IF(B2313="","",IFERROR(INDEX('CARNET DE SOUDURE'!$D$7:$D$3006,MATCH(B2313,'CARNET DE SOUDURE'!$L$7:$L$3006,0)),IFERROR(INDEX('CARNET DE SOUDURE'!$D$7:$D$3006,MATCH(B2313,'CARNET DE SOUDURE'!$O$7:$O$3006,0)),"")))</f>
        <v/>
      </c>
      <c r="M2313" s="82" t="str">
        <f aca="false">IF(B2313="","",IF(OR(J2313&lt;&gt;"",K2313&lt;&gt;""),"POSÉ EN LIGNE",IF(COUNTIF(BARDAGE!$C$1:$C$5000,B2313)&gt;0,"BARDÉ","EN STOCK")))</f>
        <v/>
      </c>
      <c r="N2313" s="80"/>
    </row>
    <row r="2314" customFormat="false" ht="15" hidden="false" customHeight="false" outlineLevel="0" collapsed="false">
      <c r="A2314" s="82" t="str">
        <f aca="false">IF(B2314="","",ROW()-6)</f>
        <v/>
      </c>
      <c r="B2314" s="145"/>
      <c r="C2314" s="146"/>
      <c r="D2314" s="146"/>
      <c r="E2314" s="82" t="str">
        <f aca="false">IF(B2314="","",IF(COUNTIFS('CARNET DE SOUDURE'!$L$7:$L$3006,B2314,'CARNET DE SOUDURE'!$M$7:$M$3006,"&lt;&gt;"&amp;C2314,'CARNET DE SOUDURE'!$M$7:$M$3006,"&lt;&gt;")+COUNTIFS('CARNET DE SOUDURE'!$O$7:$O$3006,B2314,'CARNET DE SOUDURE'!$P$7:$P$3006,"&lt;&gt;"&amp;C2314,'CARNET DE SOUDURE'!$P$7:$P$3006,"&lt;&gt;")&gt;0,"⚠ DIFFÉRENTE","OK"))</f>
        <v/>
      </c>
      <c r="F2314" s="147"/>
      <c r="G2314" s="80"/>
      <c r="H2314" s="83"/>
      <c r="I2314" s="148" t="str">
        <f aca="false">IF(B2314="","",IFERROR(INDEX('CARNET DE SOUDURE'!$B$7:$B$3006,MATCH(B2314,'CARNET DE SOUDURE'!$L$7:$L$3006,0)),IFERROR(INDEX('CARNET DE SOUDURE'!$B$7:$B$3006,MATCH(B2314,'CARNET DE SOUDURE'!$O$7:$O$3006,0)),"")))</f>
        <v/>
      </c>
      <c r="J2314" s="82" t="str">
        <f aca="false">IF(B2314="","",IFERROR(INDEX('CARNET DE SOUDURE'!$E$7:$E$3006,MATCH(B2314,'CARNET DE SOUDURE'!$O$7:$O$3006,0)),""))</f>
        <v/>
      </c>
      <c r="K2314" s="82" t="str">
        <f aca="false">IF(B2314="","",IFERROR(INDEX('CARNET DE SOUDURE'!$E$7:$E$3006,MATCH(B2314,'CARNET DE SOUDURE'!$L$7:$L$3006,0)),""))</f>
        <v/>
      </c>
      <c r="L2314" s="82" t="str">
        <f aca="false">IF(B2314="","",IFERROR(INDEX('CARNET DE SOUDURE'!$D$7:$D$3006,MATCH(B2314,'CARNET DE SOUDURE'!$L$7:$L$3006,0)),IFERROR(INDEX('CARNET DE SOUDURE'!$D$7:$D$3006,MATCH(B2314,'CARNET DE SOUDURE'!$O$7:$O$3006,0)),"")))</f>
        <v/>
      </c>
      <c r="M2314" s="82" t="str">
        <f aca="false">IF(B2314="","",IF(OR(J2314&lt;&gt;"",K2314&lt;&gt;""),"POSÉ EN LIGNE",IF(COUNTIF(BARDAGE!$C$1:$C$5000,B2314)&gt;0,"BARDÉ","EN STOCK")))</f>
        <v/>
      </c>
      <c r="N2314" s="80"/>
    </row>
    <row r="2315" customFormat="false" ht="15" hidden="false" customHeight="false" outlineLevel="0" collapsed="false">
      <c r="A2315" s="82" t="str">
        <f aca="false">IF(B2315="","",ROW()-6)</f>
        <v/>
      </c>
      <c r="B2315" s="145"/>
      <c r="C2315" s="146"/>
      <c r="D2315" s="146"/>
      <c r="E2315" s="82" t="str">
        <f aca="false">IF(B2315="","",IF(COUNTIFS('CARNET DE SOUDURE'!$L$7:$L$3006,B2315,'CARNET DE SOUDURE'!$M$7:$M$3006,"&lt;&gt;"&amp;C2315,'CARNET DE SOUDURE'!$M$7:$M$3006,"&lt;&gt;")+COUNTIFS('CARNET DE SOUDURE'!$O$7:$O$3006,B2315,'CARNET DE SOUDURE'!$P$7:$P$3006,"&lt;&gt;"&amp;C2315,'CARNET DE SOUDURE'!$P$7:$P$3006,"&lt;&gt;")&gt;0,"⚠ DIFFÉRENTE","OK"))</f>
        <v/>
      </c>
      <c r="F2315" s="147"/>
      <c r="G2315" s="80"/>
      <c r="H2315" s="83"/>
      <c r="I2315" s="148" t="str">
        <f aca="false">IF(B2315="","",IFERROR(INDEX('CARNET DE SOUDURE'!$B$7:$B$3006,MATCH(B2315,'CARNET DE SOUDURE'!$L$7:$L$3006,0)),IFERROR(INDEX('CARNET DE SOUDURE'!$B$7:$B$3006,MATCH(B2315,'CARNET DE SOUDURE'!$O$7:$O$3006,0)),"")))</f>
        <v/>
      </c>
      <c r="J2315" s="82" t="str">
        <f aca="false">IF(B2315="","",IFERROR(INDEX('CARNET DE SOUDURE'!$E$7:$E$3006,MATCH(B2315,'CARNET DE SOUDURE'!$O$7:$O$3006,0)),""))</f>
        <v/>
      </c>
      <c r="K2315" s="82" t="str">
        <f aca="false">IF(B2315="","",IFERROR(INDEX('CARNET DE SOUDURE'!$E$7:$E$3006,MATCH(B2315,'CARNET DE SOUDURE'!$L$7:$L$3006,0)),""))</f>
        <v/>
      </c>
      <c r="L2315" s="82" t="str">
        <f aca="false">IF(B2315="","",IFERROR(INDEX('CARNET DE SOUDURE'!$D$7:$D$3006,MATCH(B2315,'CARNET DE SOUDURE'!$L$7:$L$3006,0)),IFERROR(INDEX('CARNET DE SOUDURE'!$D$7:$D$3006,MATCH(B2315,'CARNET DE SOUDURE'!$O$7:$O$3006,0)),"")))</f>
        <v/>
      </c>
      <c r="M2315" s="82" t="str">
        <f aca="false">IF(B2315="","",IF(OR(J2315&lt;&gt;"",K2315&lt;&gt;""),"POSÉ EN LIGNE",IF(COUNTIF(BARDAGE!$C$1:$C$5000,B2315)&gt;0,"BARDÉ","EN STOCK")))</f>
        <v/>
      </c>
      <c r="N2315" s="80"/>
    </row>
    <row r="2316" customFormat="false" ht="15" hidden="false" customHeight="false" outlineLevel="0" collapsed="false">
      <c r="A2316" s="82" t="str">
        <f aca="false">IF(B2316="","",ROW()-6)</f>
        <v/>
      </c>
      <c r="B2316" s="145"/>
      <c r="C2316" s="146"/>
      <c r="D2316" s="146"/>
      <c r="E2316" s="82" t="str">
        <f aca="false">IF(B2316="","",IF(COUNTIFS('CARNET DE SOUDURE'!$L$7:$L$3006,B2316,'CARNET DE SOUDURE'!$M$7:$M$3006,"&lt;&gt;"&amp;C2316,'CARNET DE SOUDURE'!$M$7:$M$3006,"&lt;&gt;")+COUNTIFS('CARNET DE SOUDURE'!$O$7:$O$3006,B2316,'CARNET DE SOUDURE'!$P$7:$P$3006,"&lt;&gt;"&amp;C2316,'CARNET DE SOUDURE'!$P$7:$P$3006,"&lt;&gt;")&gt;0,"⚠ DIFFÉRENTE","OK"))</f>
        <v/>
      </c>
      <c r="F2316" s="147"/>
      <c r="G2316" s="80"/>
      <c r="H2316" s="83"/>
      <c r="I2316" s="148" t="str">
        <f aca="false">IF(B2316="","",IFERROR(INDEX('CARNET DE SOUDURE'!$B$7:$B$3006,MATCH(B2316,'CARNET DE SOUDURE'!$L$7:$L$3006,0)),IFERROR(INDEX('CARNET DE SOUDURE'!$B$7:$B$3006,MATCH(B2316,'CARNET DE SOUDURE'!$O$7:$O$3006,0)),"")))</f>
        <v/>
      </c>
      <c r="J2316" s="82" t="str">
        <f aca="false">IF(B2316="","",IFERROR(INDEX('CARNET DE SOUDURE'!$E$7:$E$3006,MATCH(B2316,'CARNET DE SOUDURE'!$O$7:$O$3006,0)),""))</f>
        <v/>
      </c>
      <c r="K2316" s="82" t="str">
        <f aca="false">IF(B2316="","",IFERROR(INDEX('CARNET DE SOUDURE'!$E$7:$E$3006,MATCH(B2316,'CARNET DE SOUDURE'!$L$7:$L$3006,0)),""))</f>
        <v/>
      </c>
      <c r="L2316" s="82" t="str">
        <f aca="false">IF(B2316="","",IFERROR(INDEX('CARNET DE SOUDURE'!$D$7:$D$3006,MATCH(B2316,'CARNET DE SOUDURE'!$L$7:$L$3006,0)),IFERROR(INDEX('CARNET DE SOUDURE'!$D$7:$D$3006,MATCH(B2316,'CARNET DE SOUDURE'!$O$7:$O$3006,0)),"")))</f>
        <v/>
      </c>
      <c r="M2316" s="82" t="str">
        <f aca="false">IF(B2316="","",IF(OR(J2316&lt;&gt;"",K2316&lt;&gt;""),"POSÉ EN LIGNE",IF(COUNTIF(BARDAGE!$C$1:$C$5000,B2316)&gt;0,"BARDÉ","EN STOCK")))</f>
        <v/>
      </c>
      <c r="N2316" s="80"/>
    </row>
    <row r="2317" customFormat="false" ht="15" hidden="false" customHeight="false" outlineLevel="0" collapsed="false">
      <c r="A2317" s="82" t="str">
        <f aca="false">IF(B2317="","",ROW()-6)</f>
        <v/>
      </c>
      <c r="B2317" s="145"/>
      <c r="C2317" s="146"/>
      <c r="D2317" s="146"/>
      <c r="E2317" s="82" t="str">
        <f aca="false">IF(B2317="","",IF(COUNTIFS('CARNET DE SOUDURE'!$L$7:$L$3006,B2317,'CARNET DE SOUDURE'!$M$7:$M$3006,"&lt;&gt;"&amp;C2317,'CARNET DE SOUDURE'!$M$7:$M$3006,"&lt;&gt;")+COUNTIFS('CARNET DE SOUDURE'!$O$7:$O$3006,B2317,'CARNET DE SOUDURE'!$P$7:$P$3006,"&lt;&gt;"&amp;C2317,'CARNET DE SOUDURE'!$P$7:$P$3006,"&lt;&gt;")&gt;0,"⚠ DIFFÉRENTE","OK"))</f>
        <v/>
      </c>
      <c r="F2317" s="147"/>
      <c r="G2317" s="80"/>
      <c r="H2317" s="83"/>
      <c r="I2317" s="148" t="str">
        <f aca="false">IF(B2317="","",IFERROR(INDEX('CARNET DE SOUDURE'!$B$7:$B$3006,MATCH(B2317,'CARNET DE SOUDURE'!$L$7:$L$3006,0)),IFERROR(INDEX('CARNET DE SOUDURE'!$B$7:$B$3006,MATCH(B2317,'CARNET DE SOUDURE'!$O$7:$O$3006,0)),"")))</f>
        <v/>
      </c>
      <c r="J2317" s="82" t="str">
        <f aca="false">IF(B2317="","",IFERROR(INDEX('CARNET DE SOUDURE'!$E$7:$E$3006,MATCH(B2317,'CARNET DE SOUDURE'!$O$7:$O$3006,0)),""))</f>
        <v/>
      </c>
      <c r="K2317" s="82" t="str">
        <f aca="false">IF(B2317="","",IFERROR(INDEX('CARNET DE SOUDURE'!$E$7:$E$3006,MATCH(B2317,'CARNET DE SOUDURE'!$L$7:$L$3006,0)),""))</f>
        <v/>
      </c>
      <c r="L2317" s="82" t="str">
        <f aca="false">IF(B2317="","",IFERROR(INDEX('CARNET DE SOUDURE'!$D$7:$D$3006,MATCH(B2317,'CARNET DE SOUDURE'!$L$7:$L$3006,0)),IFERROR(INDEX('CARNET DE SOUDURE'!$D$7:$D$3006,MATCH(B2317,'CARNET DE SOUDURE'!$O$7:$O$3006,0)),"")))</f>
        <v/>
      </c>
      <c r="M2317" s="82" t="str">
        <f aca="false">IF(B2317="","",IF(OR(J2317&lt;&gt;"",K2317&lt;&gt;""),"POSÉ EN LIGNE",IF(COUNTIF(BARDAGE!$C$1:$C$5000,B2317)&gt;0,"BARDÉ","EN STOCK")))</f>
        <v/>
      </c>
      <c r="N2317" s="80"/>
    </row>
    <row r="2318" customFormat="false" ht="15" hidden="false" customHeight="false" outlineLevel="0" collapsed="false">
      <c r="A2318" s="82" t="str">
        <f aca="false">IF(B2318="","",ROW()-6)</f>
        <v/>
      </c>
      <c r="B2318" s="145"/>
      <c r="C2318" s="146"/>
      <c r="D2318" s="146"/>
      <c r="E2318" s="82" t="str">
        <f aca="false">IF(B2318="","",IF(COUNTIFS('CARNET DE SOUDURE'!$L$7:$L$3006,B2318,'CARNET DE SOUDURE'!$M$7:$M$3006,"&lt;&gt;"&amp;C2318,'CARNET DE SOUDURE'!$M$7:$M$3006,"&lt;&gt;")+COUNTIFS('CARNET DE SOUDURE'!$O$7:$O$3006,B2318,'CARNET DE SOUDURE'!$P$7:$P$3006,"&lt;&gt;"&amp;C2318,'CARNET DE SOUDURE'!$P$7:$P$3006,"&lt;&gt;")&gt;0,"⚠ DIFFÉRENTE","OK"))</f>
        <v/>
      </c>
      <c r="F2318" s="147"/>
      <c r="G2318" s="80"/>
      <c r="H2318" s="83"/>
      <c r="I2318" s="148" t="str">
        <f aca="false">IF(B2318="","",IFERROR(INDEX('CARNET DE SOUDURE'!$B$7:$B$3006,MATCH(B2318,'CARNET DE SOUDURE'!$L$7:$L$3006,0)),IFERROR(INDEX('CARNET DE SOUDURE'!$B$7:$B$3006,MATCH(B2318,'CARNET DE SOUDURE'!$O$7:$O$3006,0)),"")))</f>
        <v/>
      </c>
      <c r="J2318" s="82" t="str">
        <f aca="false">IF(B2318="","",IFERROR(INDEX('CARNET DE SOUDURE'!$E$7:$E$3006,MATCH(B2318,'CARNET DE SOUDURE'!$O$7:$O$3006,0)),""))</f>
        <v/>
      </c>
      <c r="K2318" s="82" t="str">
        <f aca="false">IF(B2318="","",IFERROR(INDEX('CARNET DE SOUDURE'!$E$7:$E$3006,MATCH(B2318,'CARNET DE SOUDURE'!$L$7:$L$3006,0)),""))</f>
        <v/>
      </c>
      <c r="L2318" s="82" t="str">
        <f aca="false">IF(B2318="","",IFERROR(INDEX('CARNET DE SOUDURE'!$D$7:$D$3006,MATCH(B2318,'CARNET DE SOUDURE'!$L$7:$L$3006,0)),IFERROR(INDEX('CARNET DE SOUDURE'!$D$7:$D$3006,MATCH(B2318,'CARNET DE SOUDURE'!$O$7:$O$3006,0)),"")))</f>
        <v/>
      </c>
      <c r="M2318" s="82" t="str">
        <f aca="false">IF(B2318="","",IF(OR(J2318&lt;&gt;"",K2318&lt;&gt;""),"POSÉ EN LIGNE",IF(COUNTIF(BARDAGE!$C$1:$C$5000,B2318)&gt;0,"BARDÉ","EN STOCK")))</f>
        <v/>
      </c>
      <c r="N2318" s="80"/>
    </row>
    <row r="2319" customFormat="false" ht="15" hidden="false" customHeight="false" outlineLevel="0" collapsed="false">
      <c r="A2319" s="82" t="str">
        <f aca="false">IF(B2319="","",ROW()-6)</f>
        <v/>
      </c>
      <c r="B2319" s="145"/>
      <c r="C2319" s="146"/>
      <c r="D2319" s="146"/>
      <c r="E2319" s="82" t="str">
        <f aca="false">IF(B2319="","",IF(COUNTIFS('CARNET DE SOUDURE'!$L$7:$L$3006,B2319,'CARNET DE SOUDURE'!$M$7:$M$3006,"&lt;&gt;"&amp;C2319,'CARNET DE SOUDURE'!$M$7:$M$3006,"&lt;&gt;")+COUNTIFS('CARNET DE SOUDURE'!$O$7:$O$3006,B2319,'CARNET DE SOUDURE'!$P$7:$P$3006,"&lt;&gt;"&amp;C2319,'CARNET DE SOUDURE'!$P$7:$P$3006,"&lt;&gt;")&gt;0,"⚠ DIFFÉRENTE","OK"))</f>
        <v/>
      </c>
      <c r="F2319" s="147"/>
      <c r="G2319" s="80"/>
      <c r="H2319" s="83"/>
      <c r="I2319" s="148" t="str">
        <f aca="false">IF(B2319="","",IFERROR(INDEX('CARNET DE SOUDURE'!$B$7:$B$3006,MATCH(B2319,'CARNET DE SOUDURE'!$L$7:$L$3006,0)),IFERROR(INDEX('CARNET DE SOUDURE'!$B$7:$B$3006,MATCH(B2319,'CARNET DE SOUDURE'!$O$7:$O$3006,0)),"")))</f>
        <v/>
      </c>
      <c r="J2319" s="82" t="str">
        <f aca="false">IF(B2319="","",IFERROR(INDEX('CARNET DE SOUDURE'!$E$7:$E$3006,MATCH(B2319,'CARNET DE SOUDURE'!$O$7:$O$3006,0)),""))</f>
        <v/>
      </c>
      <c r="K2319" s="82" t="str">
        <f aca="false">IF(B2319="","",IFERROR(INDEX('CARNET DE SOUDURE'!$E$7:$E$3006,MATCH(B2319,'CARNET DE SOUDURE'!$L$7:$L$3006,0)),""))</f>
        <v/>
      </c>
      <c r="L2319" s="82" t="str">
        <f aca="false">IF(B2319="","",IFERROR(INDEX('CARNET DE SOUDURE'!$D$7:$D$3006,MATCH(B2319,'CARNET DE SOUDURE'!$L$7:$L$3006,0)),IFERROR(INDEX('CARNET DE SOUDURE'!$D$7:$D$3006,MATCH(B2319,'CARNET DE SOUDURE'!$O$7:$O$3006,0)),"")))</f>
        <v/>
      </c>
      <c r="M2319" s="82" t="str">
        <f aca="false">IF(B2319="","",IF(OR(J2319&lt;&gt;"",K2319&lt;&gt;""),"POSÉ EN LIGNE",IF(COUNTIF(BARDAGE!$C$1:$C$5000,B2319)&gt;0,"BARDÉ","EN STOCK")))</f>
        <v/>
      </c>
      <c r="N2319" s="80"/>
    </row>
    <row r="2320" customFormat="false" ht="15" hidden="false" customHeight="false" outlineLevel="0" collapsed="false">
      <c r="A2320" s="82" t="str">
        <f aca="false">IF(B2320="","",ROW()-6)</f>
        <v/>
      </c>
      <c r="B2320" s="145"/>
      <c r="C2320" s="146"/>
      <c r="D2320" s="146"/>
      <c r="E2320" s="82" t="str">
        <f aca="false">IF(B2320="","",IF(COUNTIFS('CARNET DE SOUDURE'!$L$7:$L$3006,B2320,'CARNET DE SOUDURE'!$M$7:$M$3006,"&lt;&gt;"&amp;C2320,'CARNET DE SOUDURE'!$M$7:$M$3006,"&lt;&gt;")+COUNTIFS('CARNET DE SOUDURE'!$O$7:$O$3006,B2320,'CARNET DE SOUDURE'!$P$7:$P$3006,"&lt;&gt;"&amp;C2320,'CARNET DE SOUDURE'!$P$7:$P$3006,"&lt;&gt;")&gt;0,"⚠ DIFFÉRENTE","OK"))</f>
        <v/>
      </c>
      <c r="F2320" s="147"/>
      <c r="G2320" s="80"/>
      <c r="H2320" s="83"/>
      <c r="I2320" s="148" t="str">
        <f aca="false">IF(B2320="","",IFERROR(INDEX('CARNET DE SOUDURE'!$B$7:$B$3006,MATCH(B2320,'CARNET DE SOUDURE'!$L$7:$L$3006,0)),IFERROR(INDEX('CARNET DE SOUDURE'!$B$7:$B$3006,MATCH(B2320,'CARNET DE SOUDURE'!$O$7:$O$3006,0)),"")))</f>
        <v/>
      </c>
      <c r="J2320" s="82" t="str">
        <f aca="false">IF(B2320="","",IFERROR(INDEX('CARNET DE SOUDURE'!$E$7:$E$3006,MATCH(B2320,'CARNET DE SOUDURE'!$O$7:$O$3006,0)),""))</f>
        <v/>
      </c>
      <c r="K2320" s="82" t="str">
        <f aca="false">IF(B2320="","",IFERROR(INDEX('CARNET DE SOUDURE'!$E$7:$E$3006,MATCH(B2320,'CARNET DE SOUDURE'!$L$7:$L$3006,0)),""))</f>
        <v/>
      </c>
      <c r="L2320" s="82" t="str">
        <f aca="false">IF(B2320="","",IFERROR(INDEX('CARNET DE SOUDURE'!$D$7:$D$3006,MATCH(B2320,'CARNET DE SOUDURE'!$L$7:$L$3006,0)),IFERROR(INDEX('CARNET DE SOUDURE'!$D$7:$D$3006,MATCH(B2320,'CARNET DE SOUDURE'!$O$7:$O$3006,0)),"")))</f>
        <v/>
      </c>
      <c r="M2320" s="82" t="str">
        <f aca="false">IF(B2320="","",IF(OR(J2320&lt;&gt;"",K2320&lt;&gt;""),"POSÉ EN LIGNE",IF(COUNTIF(BARDAGE!$C$1:$C$5000,B2320)&gt;0,"BARDÉ","EN STOCK")))</f>
        <v/>
      </c>
      <c r="N2320" s="80"/>
    </row>
    <row r="2321" customFormat="false" ht="15" hidden="false" customHeight="false" outlineLevel="0" collapsed="false">
      <c r="A2321" s="82" t="str">
        <f aca="false">IF(B2321="","",ROW()-6)</f>
        <v/>
      </c>
      <c r="B2321" s="145"/>
      <c r="C2321" s="146"/>
      <c r="D2321" s="146"/>
      <c r="E2321" s="82" t="str">
        <f aca="false">IF(B2321="","",IF(COUNTIFS('CARNET DE SOUDURE'!$L$7:$L$3006,B2321,'CARNET DE SOUDURE'!$M$7:$M$3006,"&lt;&gt;"&amp;C2321,'CARNET DE SOUDURE'!$M$7:$M$3006,"&lt;&gt;")+COUNTIFS('CARNET DE SOUDURE'!$O$7:$O$3006,B2321,'CARNET DE SOUDURE'!$P$7:$P$3006,"&lt;&gt;"&amp;C2321,'CARNET DE SOUDURE'!$P$7:$P$3006,"&lt;&gt;")&gt;0,"⚠ DIFFÉRENTE","OK"))</f>
        <v/>
      </c>
      <c r="F2321" s="147"/>
      <c r="G2321" s="80"/>
      <c r="H2321" s="83"/>
      <c r="I2321" s="148" t="str">
        <f aca="false">IF(B2321="","",IFERROR(INDEX('CARNET DE SOUDURE'!$B$7:$B$3006,MATCH(B2321,'CARNET DE SOUDURE'!$L$7:$L$3006,0)),IFERROR(INDEX('CARNET DE SOUDURE'!$B$7:$B$3006,MATCH(B2321,'CARNET DE SOUDURE'!$O$7:$O$3006,0)),"")))</f>
        <v/>
      </c>
      <c r="J2321" s="82" t="str">
        <f aca="false">IF(B2321="","",IFERROR(INDEX('CARNET DE SOUDURE'!$E$7:$E$3006,MATCH(B2321,'CARNET DE SOUDURE'!$O$7:$O$3006,0)),""))</f>
        <v/>
      </c>
      <c r="K2321" s="82" t="str">
        <f aca="false">IF(B2321="","",IFERROR(INDEX('CARNET DE SOUDURE'!$E$7:$E$3006,MATCH(B2321,'CARNET DE SOUDURE'!$L$7:$L$3006,0)),""))</f>
        <v/>
      </c>
      <c r="L2321" s="82" t="str">
        <f aca="false">IF(B2321="","",IFERROR(INDEX('CARNET DE SOUDURE'!$D$7:$D$3006,MATCH(B2321,'CARNET DE SOUDURE'!$L$7:$L$3006,0)),IFERROR(INDEX('CARNET DE SOUDURE'!$D$7:$D$3006,MATCH(B2321,'CARNET DE SOUDURE'!$O$7:$O$3006,0)),"")))</f>
        <v/>
      </c>
      <c r="M2321" s="82" t="str">
        <f aca="false">IF(B2321="","",IF(OR(J2321&lt;&gt;"",K2321&lt;&gt;""),"POSÉ EN LIGNE",IF(COUNTIF(BARDAGE!$C$1:$C$5000,B2321)&gt;0,"BARDÉ","EN STOCK")))</f>
        <v/>
      </c>
      <c r="N2321" s="80"/>
    </row>
    <row r="2322" customFormat="false" ht="15" hidden="false" customHeight="false" outlineLevel="0" collapsed="false">
      <c r="A2322" s="82" t="str">
        <f aca="false">IF(B2322="","",ROW()-6)</f>
        <v/>
      </c>
      <c r="B2322" s="145"/>
      <c r="C2322" s="146"/>
      <c r="D2322" s="146"/>
      <c r="E2322" s="82" t="str">
        <f aca="false">IF(B2322="","",IF(COUNTIFS('CARNET DE SOUDURE'!$L$7:$L$3006,B2322,'CARNET DE SOUDURE'!$M$7:$M$3006,"&lt;&gt;"&amp;C2322,'CARNET DE SOUDURE'!$M$7:$M$3006,"&lt;&gt;")+COUNTIFS('CARNET DE SOUDURE'!$O$7:$O$3006,B2322,'CARNET DE SOUDURE'!$P$7:$P$3006,"&lt;&gt;"&amp;C2322,'CARNET DE SOUDURE'!$P$7:$P$3006,"&lt;&gt;")&gt;0,"⚠ DIFFÉRENTE","OK"))</f>
        <v/>
      </c>
      <c r="F2322" s="147"/>
      <c r="G2322" s="80"/>
      <c r="H2322" s="83"/>
      <c r="I2322" s="148" t="str">
        <f aca="false">IF(B2322="","",IFERROR(INDEX('CARNET DE SOUDURE'!$B$7:$B$3006,MATCH(B2322,'CARNET DE SOUDURE'!$L$7:$L$3006,0)),IFERROR(INDEX('CARNET DE SOUDURE'!$B$7:$B$3006,MATCH(B2322,'CARNET DE SOUDURE'!$O$7:$O$3006,0)),"")))</f>
        <v/>
      </c>
      <c r="J2322" s="82" t="str">
        <f aca="false">IF(B2322="","",IFERROR(INDEX('CARNET DE SOUDURE'!$E$7:$E$3006,MATCH(B2322,'CARNET DE SOUDURE'!$O$7:$O$3006,0)),""))</f>
        <v/>
      </c>
      <c r="K2322" s="82" t="str">
        <f aca="false">IF(B2322="","",IFERROR(INDEX('CARNET DE SOUDURE'!$E$7:$E$3006,MATCH(B2322,'CARNET DE SOUDURE'!$L$7:$L$3006,0)),""))</f>
        <v/>
      </c>
      <c r="L2322" s="82" t="str">
        <f aca="false">IF(B2322="","",IFERROR(INDEX('CARNET DE SOUDURE'!$D$7:$D$3006,MATCH(B2322,'CARNET DE SOUDURE'!$L$7:$L$3006,0)),IFERROR(INDEX('CARNET DE SOUDURE'!$D$7:$D$3006,MATCH(B2322,'CARNET DE SOUDURE'!$O$7:$O$3006,0)),"")))</f>
        <v/>
      </c>
      <c r="M2322" s="82" t="str">
        <f aca="false">IF(B2322="","",IF(OR(J2322&lt;&gt;"",K2322&lt;&gt;""),"POSÉ EN LIGNE",IF(COUNTIF(BARDAGE!$C$1:$C$5000,B2322)&gt;0,"BARDÉ","EN STOCK")))</f>
        <v/>
      </c>
      <c r="N2322" s="80"/>
    </row>
    <row r="2323" customFormat="false" ht="15" hidden="false" customHeight="false" outlineLevel="0" collapsed="false">
      <c r="A2323" s="82" t="str">
        <f aca="false">IF(B2323="","",ROW()-6)</f>
        <v/>
      </c>
      <c r="B2323" s="145"/>
      <c r="C2323" s="146"/>
      <c r="D2323" s="146"/>
      <c r="E2323" s="82" t="str">
        <f aca="false">IF(B2323="","",IF(COUNTIFS('CARNET DE SOUDURE'!$L$7:$L$3006,B2323,'CARNET DE SOUDURE'!$M$7:$M$3006,"&lt;&gt;"&amp;C2323,'CARNET DE SOUDURE'!$M$7:$M$3006,"&lt;&gt;")+COUNTIFS('CARNET DE SOUDURE'!$O$7:$O$3006,B2323,'CARNET DE SOUDURE'!$P$7:$P$3006,"&lt;&gt;"&amp;C2323,'CARNET DE SOUDURE'!$P$7:$P$3006,"&lt;&gt;")&gt;0,"⚠ DIFFÉRENTE","OK"))</f>
        <v/>
      </c>
      <c r="F2323" s="147"/>
      <c r="G2323" s="80"/>
      <c r="H2323" s="83"/>
      <c r="I2323" s="148" t="str">
        <f aca="false">IF(B2323="","",IFERROR(INDEX('CARNET DE SOUDURE'!$B$7:$B$3006,MATCH(B2323,'CARNET DE SOUDURE'!$L$7:$L$3006,0)),IFERROR(INDEX('CARNET DE SOUDURE'!$B$7:$B$3006,MATCH(B2323,'CARNET DE SOUDURE'!$O$7:$O$3006,0)),"")))</f>
        <v/>
      </c>
      <c r="J2323" s="82" t="str">
        <f aca="false">IF(B2323="","",IFERROR(INDEX('CARNET DE SOUDURE'!$E$7:$E$3006,MATCH(B2323,'CARNET DE SOUDURE'!$O$7:$O$3006,0)),""))</f>
        <v/>
      </c>
      <c r="K2323" s="82" t="str">
        <f aca="false">IF(B2323="","",IFERROR(INDEX('CARNET DE SOUDURE'!$E$7:$E$3006,MATCH(B2323,'CARNET DE SOUDURE'!$L$7:$L$3006,0)),""))</f>
        <v/>
      </c>
      <c r="L2323" s="82" t="str">
        <f aca="false">IF(B2323="","",IFERROR(INDEX('CARNET DE SOUDURE'!$D$7:$D$3006,MATCH(B2323,'CARNET DE SOUDURE'!$L$7:$L$3006,0)),IFERROR(INDEX('CARNET DE SOUDURE'!$D$7:$D$3006,MATCH(B2323,'CARNET DE SOUDURE'!$O$7:$O$3006,0)),"")))</f>
        <v/>
      </c>
      <c r="M2323" s="82" t="str">
        <f aca="false">IF(B2323="","",IF(OR(J2323&lt;&gt;"",K2323&lt;&gt;""),"POSÉ EN LIGNE",IF(COUNTIF(BARDAGE!$C$1:$C$5000,B2323)&gt;0,"BARDÉ","EN STOCK")))</f>
        <v/>
      </c>
      <c r="N2323" s="80"/>
    </row>
    <row r="2324" customFormat="false" ht="15" hidden="false" customHeight="false" outlineLevel="0" collapsed="false">
      <c r="A2324" s="82" t="str">
        <f aca="false">IF(B2324="","",ROW()-6)</f>
        <v/>
      </c>
      <c r="B2324" s="145"/>
      <c r="C2324" s="146"/>
      <c r="D2324" s="146"/>
      <c r="E2324" s="82" t="str">
        <f aca="false">IF(B2324="","",IF(COUNTIFS('CARNET DE SOUDURE'!$L$7:$L$3006,B2324,'CARNET DE SOUDURE'!$M$7:$M$3006,"&lt;&gt;"&amp;C2324,'CARNET DE SOUDURE'!$M$7:$M$3006,"&lt;&gt;")+COUNTIFS('CARNET DE SOUDURE'!$O$7:$O$3006,B2324,'CARNET DE SOUDURE'!$P$7:$P$3006,"&lt;&gt;"&amp;C2324,'CARNET DE SOUDURE'!$P$7:$P$3006,"&lt;&gt;")&gt;0,"⚠ DIFFÉRENTE","OK"))</f>
        <v/>
      </c>
      <c r="F2324" s="147"/>
      <c r="G2324" s="80"/>
      <c r="H2324" s="83"/>
      <c r="I2324" s="148" t="str">
        <f aca="false">IF(B2324="","",IFERROR(INDEX('CARNET DE SOUDURE'!$B$7:$B$3006,MATCH(B2324,'CARNET DE SOUDURE'!$L$7:$L$3006,0)),IFERROR(INDEX('CARNET DE SOUDURE'!$B$7:$B$3006,MATCH(B2324,'CARNET DE SOUDURE'!$O$7:$O$3006,0)),"")))</f>
        <v/>
      </c>
      <c r="J2324" s="82" t="str">
        <f aca="false">IF(B2324="","",IFERROR(INDEX('CARNET DE SOUDURE'!$E$7:$E$3006,MATCH(B2324,'CARNET DE SOUDURE'!$O$7:$O$3006,0)),""))</f>
        <v/>
      </c>
      <c r="K2324" s="82" t="str">
        <f aca="false">IF(B2324="","",IFERROR(INDEX('CARNET DE SOUDURE'!$E$7:$E$3006,MATCH(B2324,'CARNET DE SOUDURE'!$L$7:$L$3006,0)),""))</f>
        <v/>
      </c>
      <c r="L2324" s="82" t="str">
        <f aca="false">IF(B2324="","",IFERROR(INDEX('CARNET DE SOUDURE'!$D$7:$D$3006,MATCH(B2324,'CARNET DE SOUDURE'!$L$7:$L$3006,0)),IFERROR(INDEX('CARNET DE SOUDURE'!$D$7:$D$3006,MATCH(B2324,'CARNET DE SOUDURE'!$O$7:$O$3006,0)),"")))</f>
        <v/>
      </c>
      <c r="M2324" s="82" t="str">
        <f aca="false">IF(B2324="","",IF(OR(J2324&lt;&gt;"",K2324&lt;&gt;""),"POSÉ EN LIGNE",IF(COUNTIF(BARDAGE!$C$1:$C$5000,B2324)&gt;0,"BARDÉ","EN STOCK")))</f>
        <v/>
      </c>
      <c r="N2324" s="80"/>
    </row>
    <row r="2325" customFormat="false" ht="15" hidden="false" customHeight="false" outlineLevel="0" collapsed="false">
      <c r="A2325" s="82" t="str">
        <f aca="false">IF(B2325="","",ROW()-6)</f>
        <v/>
      </c>
      <c r="B2325" s="145"/>
      <c r="C2325" s="146"/>
      <c r="D2325" s="146"/>
      <c r="E2325" s="82" t="str">
        <f aca="false">IF(B2325="","",IF(COUNTIFS('CARNET DE SOUDURE'!$L$7:$L$3006,B2325,'CARNET DE SOUDURE'!$M$7:$M$3006,"&lt;&gt;"&amp;C2325,'CARNET DE SOUDURE'!$M$7:$M$3006,"&lt;&gt;")+COUNTIFS('CARNET DE SOUDURE'!$O$7:$O$3006,B2325,'CARNET DE SOUDURE'!$P$7:$P$3006,"&lt;&gt;"&amp;C2325,'CARNET DE SOUDURE'!$P$7:$P$3006,"&lt;&gt;")&gt;0,"⚠ DIFFÉRENTE","OK"))</f>
        <v/>
      </c>
      <c r="F2325" s="147"/>
      <c r="G2325" s="80"/>
      <c r="H2325" s="83"/>
      <c r="I2325" s="148" t="str">
        <f aca="false">IF(B2325="","",IFERROR(INDEX('CARNET DE SOUDURE'!$B$7:$B$3006,MATCH(B2325,'CARNET DE SOUDURE'!$L$7:$L$3006,0)),IFERROR(INDEX('CARNET DE SOUDURE'!$B$7:$B$3006,MATCH(B2325,'CARNET DE SOUDURE'!$O$7:$O$3006,0)),"")))</f>
        <v/>
      </c>
      <c r="J2325" s="82" t="str">
        <f aca="false">IF(B2325="","",IFERROR(INDEX('CARNET DE SOUDURE'!$E$7:$E$3006,MATCH(B2325,'CARNET DE SOUDURE'!$O$7:$O$3006,0)),""))</f>
        <v/>
      </c>
      <c r="K2325" s="82" t="str">
        <f aca="false">IF(B2325="","",IFERROR(INDEX('CARNET DE SOUDURE'!$E$7:$E$3006,MATCH(B2325,'CARNET DE SOUDURE'!$L$7:$L$3006,0)),""))</f>
        <v/>
      </c>
      <c r="L2325" s="82" t="str">
        <f aca="false">IF(B2325="","",IFERROR(INDEX('CARNET DE SOUDURE'!$D$7:$D$3006,MATCH(B2325,'CARNET DE SOUDURE'!$L$7:$L$3006,0)),IFERROR(INDEX('CARNET DE SOUDURE'!$D$7:$D$3006,MATCH(B2325,'CARNET DE SOUDURE'!$O$7:$O$3006,0)),"")))</f>
        <v/>
      </c>
      <c r="M2325" s="82" t="str">
        <f aca="false">IF(B2325="","",IF(OR(J2325&lt;&gt;"",K2325&lt;&gt;""),"POSÉ EN LIGNE",IF(COUNTIF(BARDAGE!$C$1:$C$5000,B2325)&gt;0,"BARDÉ","EN STOCK")))</f>
        <v/>
      </c>
      <c r="N2325" s="80"/>
    </row>
    <row r="2326" customFormat="false" ht="15" hidden="false" customHeight="false" outlineLevel="0" collapsed="false">
      <c r="A2326" s="82" t="str">
        <f aca="false">IF(B2326="","",ROW()-6)</f>
        <v/>
      </c>
      <c r="B2326" s="145"/>
      <c r="C2326" s="146"/>
      <c r="D2326" s="146"/>
      <c r="E2326" s="82" t="str">
        <f aca="false">IF(B2326="","",IF(COUNTIFS('CARNET DE SOUDURE'!$L$7:$L$3006,B2326,'CARNET DE SOUDURE'!$M$7:$M$3006,"&lt;&gt;"&amp;C2326,'CARNET DE SOUDURE'!$M$7:$M$3006,"&lt;&gt;")+COUNTIFS('CARNET DE SOUDURE'!$O$7:$O$3006,B2326,'CARNET DE SOUDURE'!$P$7:$P$3006,"&lt;&gt;"&amp;C2326,'CARNET DE SOUDURE'!$P$7:$P$3006,"&lt;&gt;")&gt;0,"⚠ DIFFÉRENTE","OK"))</f>
        <v/>
      </c>
      <c r="F2326" s="147"/>
      <c r="G2326" s="80"/>
      <c r="H2326" s="83"/>
      <c r="I2326" s="148" t="str">
        <f aca="false">IF(B2326="","",IFERROR(INDEX('CARNET DE SOUDURE'!$B$7:$B$3006,MATCH(B2326,'CARNET DE SOUDURE'!$L$7:$L$3006,0)),IFERROR(INDEX('CARNET DE SOUDURE'!$B$7:$B$3006,MATCH(B2326,'CARNET DE SOUDURE'!$O$7:$O$3006,0)),"")))</f>
        <v/>
      </c>
      <c r="J2326" s="82" t="str">
        <f aca="false">IF(B2326="","",IFERROR(INDEX('CARNET DE SOUDURE'!$E$7:$E$3006,MATCH(B2326,'CARNET DE SOUDURE'!$O$7:$O$3006,0)),""))</f>
        <v/>
      </c>
      <c r="K2326" s="82" t="str">
        <f aca="false">IF(B2326="","",IFERROR(INDEX('CARNET DE SOUDURE'!$E$7:$E$3006,MATCH(B2326,'CARNET DE SOUDURE'!$L$7:$L$3006,0)),""))</f>
        <v/>
      </c>
      <c r="L2326" s="82" t="str">
        <f aca="false">IF(B2326="","",IFERROR(INDEX('CARNET DE SOUDURE'!$D$7:$D$3006,MATCH(B2326,'CARNET DE SOUDURE'!$L$7:$L$3006,0)),IFERROR(INDEX('CARNET DE SOUDURE'!$D$7:$D$3006,MATCH(B2326,'CARNET DE SOUDURE'!$O$7:$O$3006,0)),"")))</f>
        <v/>
      </c>
      <c r="M2326" s="82" t="str">
        <f aca="false">IF(B2326="","",IF(OR(J2326&lt;&gt;"",K2326&lt;&gt;""),"POSÉ EN LIGNE",IF(COUNTIF(BARDAGE!$C$1:$C$5000,B2326)&gt;0,"BARDÉ","EN STOCK")))</f>
        <v/>
      </c>
      <c r="N2326" s="80"/>
    </row>
    <row r="2327" customFormat="false" ht="15" hidden="false" customHeight="false" outlineLevel="0" collapsed="false">
      <c r="A2327" s="82" t="str">
        <f aca="false">IF(B2327="","",ROW()-6)</f>
        <v/>
      </c>
      <c r="B2327" s="145"/>
      <c r="C2327" s="146"/>
      <c r="D2327" s="146"/>
      <c r="E2327" s="82" t="str">
        <f aca="false">IF(B2327="","",IF(COUNTIFS('CARNET DE SOUDURE'!$L$7:$L$3006,B2327,'CARNET DE SOUDURE'!$M$7:$M$3006,"&lt;&gt;"&amp;C2327,'CARNET DE SOUDURE'!$M$7:$M$3006,"&lt;&gt;")+COUNTIFS('CARNET DE SOUDURE'!$O$7:$O$3006,B2327,'CARNET DE SOUDURE'!$P$7:$P$3006,"&lt;&gt;"&amp;C2327,'CARNET DE SOUDURE'!$P$7:$P$3006,"&lt;&gt;")&gt;0,"⚠ DIFFÉRENTE","OK"))</f>
        <v/>
      </c>
      <c r="F2327" s="147"/>
      <c r="G2327" s="80"/>
      <c r="H2327" s="83"/>
      <c r="I2327" s="148" t="str">
        <f aca="false">IF(B2327="","",IFERROR(INDEX('CARNET DE SOUDURE'!$B$7:$B$3006,MATCH(B2327,'CARNET DE SOUDURE'!$L$7:$L$3006,0)),IFERROR(INDEX('CARNET DE SOUDURE'!$B$7:$B$3006,MATCH(B2327,'CARNET DE SOUDURE'!$O$7:$O$3006,0)),"")))</f>
        <v/>
      </c>
      <c r="J2327" s="82" t="str">
        <f aca="false">IF(B2327="","",IFERROR(INDEX('CARNET DE SOUDURE'!$E$7:$E$3006,MATCH(B2327,'CARNET DE SOUDURE'!$O$7:$O$3006,0)),""))</f>
        <v/>
      </c>
      <c r="K2327" s="82" t="str">
        <f aca="false">IF(B2327="","",IFERROR(INDEX('CARNET DE SOUDURE'!$E$7:$E$3006,MATCH(B2327,'CARNET DE SOUDURE'!$L$7:$L$3006,0)),""))</f>
        <v/>
      </c>
      <c r="L2327" s="82" t="str">
        <f aca="false">IF(B2327="","",IFERROR(INDEX('CARNET DE SOUDURE'!$D$7:$D$3006,MATCH(B2327,'CARNET DE SOUDURE'!$L$7:$L$3006,0)),IFERROR(INDEX('CARNET DE SOUDURE'!$D$7:$D$3006,MATCH(B2327,'CARNET DE SOUDURE'!$O$7:$O$3006,0)),"")))</f>
        <v/>
      </c>
      <c r="M2327" s="82" t="str">
        <f aca="false">IF(B2327="","",IF(OR(J2327&lt;&gt;"",K2327&lt;&gt;""),"POSÉ EN LIGNE",IF(COUNTIF(BARDAGE!$C$1:$C$5000,B2327)&gt;0,"BARDÉ","EN STOCK")))</f>
        <v/>
      </c>
      <c r="N2327" s="80"/>
    </row>
    <row r="2328" customFormat="false" ht="15" hidden="false" customHeight="false" outlineLevel="0" collapsed="false">
      <c r="A2328" s="82" t="str">
        <f aca="false">IF(B2328="","",ROW()-6)</f>
        <v/>
      </c>
      <c r="B2328" s="145"/>
      <c r="C2328" s="146"/>
      <c r="D2328" s="146"/>
      <c r="E2328" s="82" t="str">
        <f aca="false">IF(B2328="","",IF(COUNTIFS('CARNET DE SOUDURE'!$L$7:$L$3006,B2328,'CARNET DE SOUDURE'!$M$7:$M$3006,"&lt;&gt;"&amp;C2328,'CARNET DE SOUDURE'!$M$7:$M$3006,"&lt;&gt;")+COUNTIFS('CARNET DE SOUDURE'!$O$7:$O$3006,B2328,'CARNET DE SOUDURE'!$P$7:$P$3006,"&lt;&gt;"&amp;C2328,'CARNET DE SOUDURE'!$P$7:$P$3006,"&lt;&gt;")&gt;0,"⚠ DIFFÉRENTE","OK"))</f>
        <v/>
      </c>
      <c r="F2328" s="147"/>
      <c r="G2328" s="80"/>
      <c r="H2328" s="83"/>
      <c r="I2328" s="148" t="str">
        <f aca="false">IF(B2328="","",IFERROR(INDEX('CARNET DE SOUDURE'!$B$7:$B$3006,MATCH(B2328,'CARNET DE SOUDURE'!$L$7:$L$3006,0)),IFERROR(INDEX('CARNET DE SOUDURE'!$B$7:$B$3006,MATCH(B2328,'CARNET DE SOUDURE'!$O$7:$O$3006,0)),"")))</f>
        <v/>
      </c>
      <c r="J2328" s="82" t="str">
        <f aca="false">IF(B2328="","",IFERROR(INDEX('CARNET DE SOUDURE'!$E$7:$E$3006,MATCH(B2328,'CARNET DE SOUDURE'!$O$7:$O$3006,0)),""))</f>
        <v/>
      </c>
      <c r="K2328" s="82" t="str">
        <f aca="false">IF(B2328="","",IFERROR(INDEX('CARNET DE SOUDURE'!$E$7:$E$3006,MATCH(B2328,'CARNET DE SOUDURE'!$L$7:$L$3006,0)),""))</f>
        <v/>
      </c>
      <c r="L2328" s="82" t="str">
        <f aca="false">IF(B2328="","",IFERROR(INDEX('CARNET DE SOUDURE'!$D$7:$D$3006,MATCH(B2328,'CARNET DE SOUDURE'!$L$7:$L$3006,0)),IFERROR(INDEX('CARNET DE SOUDURE'!$D$7:$D$3006,MATCH(B2328,'CARNET DE SOUDURE'!$O$7:$O$3006,0)),"")))</f>
        <v/>
      </c>
      <c r="M2328" s="82" t="str">
        <f aca="false">IF(B2328="","",IF(OR(J2328&lt;&gt;"",K2328&lt;&gt;""),"POSÉ EN LIGNE",IF(COUNTIF(BARDAGE!$C$1:$C$5000,B2328)&gt;0,"BARDÉ","EN STOCK")))</f>
        <v/>
      </c>
      <c r="N2328" s="80"/>
    </row>
    <row r="2329" customFormat="false" ht="15" hidden="false" customHeight="false" outlineLevel="0" collapsed="false">
      <c r="A2329" s="82" t="str">
        <f aca="false">IF(B2329="","",ROW()-6)</f>
        <v/>
      </c>
      <c r="B2329" s="145"/>
      <c r="C2329" s="146"/>
      <c r="D2329" s="146"/>
      <c r="E2329" s="82" t="str">
        <f aca="false">IF(B2329="","",IF(COUNTIFS('CARNET DE SOUDURE'!$L$7:$L$3006,B2329,'CARNET DE SOUDURE'!$M$7:$M$3006,"&lt;&gt;"&amp;C2329,'CARNET DE SOUDURE'!$M$7:$M$3006,"&lt;&gt;")+COUNTIFS('CARNET DE SOUDURE'!$O$7:$O$3006,B2329,'CARNET DE SOUDURE'!$P$7:$P$3006,"&lt;&gt;"&amp;C2329,'CARNET DE SOUDURE'!$P$7:$P$3006,"&lt;&gt;")&gt;0,"⚠ DIFFÉRENTE","OK"))</f>
        <v/>
      </c>
      <c r="F2329" s="147"/>
      <c r="G2329" s="80"/>
      <c r="H2329" s="83"/>
      <c r="I2329" s="148" t="str">
        <f aca="false">IF(B2329="","",IFERROR(INDEX('CARNET DE SOUDURE'!$B$7:$B$3006,MATCH(B2329,'CARNET DE SOUDURE'!$L$7:$L$3006,0)),IFERROR(INDEX('CARNET DE SOUDURE'!$B$7:$B$3006,MATCH(B2329,'CARNET DE SOUDURE'!$O$7:$O$3006,0)),"")))</f>
        <v/>
      </c>
      <c r="J2329" s="82" t="str">
        <f aca="false">IF(B2329="","",IFERROR(INDEX('CARNET DE SOUDURE'!$E$7:$E$3006,MATCH(B2329,'CARNET DE SOUDURE'!$O$7:$O$3006,0)),""))</f>
        <v/>
      </c>
      <c r="K2329" s="82" t="str">
        <f aca="false">IF(B2329="","",IFERROR(INDEX('CARNET DE SOUDURE'!$E$7:$E$3006,MATCH(B2329,'CARNET DE SOUDURE'!$L$7:$L$3006,0)),""))</f>
        <v/>
      </c>
      <c r="L2329" s="82" t="str">
        <f aca="false">IF(B2329="","",IFERROR(INDEX('CARNET DE SOUDURE'!$D$7:$D$3006,MATCH(B2329,'CARNET DE SOUDURE'!$L$7:$L$3006,0)),IFERROR(INDEX('CARNET DE SOUDURE'!$D$7:$D$3006,MATCH(B2329,'CARNET DE SOUDURE'!$O$7:$O$3006,0)),"")))</f>
        <v/>
      </c>
      <c r="M2329" s="82" t="str">
        <f aca="false">IF(B2329="","",IF(OR(J2329&lt;&gt;"",K2329&lt;&gt;""),"POSÉ EN LIGNE",IF(COUNTIF(BARDAGE!$C$1:$C$5000,B2329)&gt;0,"BARDÉ","EN STOCK")))</f>
        <v/>
      </c>
      <c r="N2329" s="80"/>
    </row>
    <row r="2330" customFormat="false" ht="15" hidden="false" customHeight="false" outlineLevel="0" collapsed="false">
      <c r="A2330" s="82" t="str">
        <f aca="false">IF(B2330="","",ROW()-6)</f>
        <v/>
      </c>
      <c r="B2330" s="145"/>
      <c r="C2330" s="146"/>
      <c r="D2330" s="146"/>
      <c r="E2330" s="82" t="str">
        <f aca="false">IF(B2330="","",IF(COUNTIFS('CARNET DE SOUDURE'!$L$7:$L$3006,B2330,'CARNET DE SOUDURE'!$M$7:$M$3006,"&lt;&gt;"&amp;C2330,'CARNET DE SOUDURE'!$M$7:$M$3006,"&lt;&gt;")+COUNTIFS('CARNET DE SOUDURE'!$O$7:$O$3006,B2330,'CARNET DE SOUDURE'!$P$7:$P$3006,"&lt;&gt;"&amp;C2330,'CARNET DE SOUDURE'!$P$7:$P$3006,"&lt;&gt;")&gt;0,"⚠ DIFFÉRENTE","OK"))</f>
        <v/>
      </c>
      <c r="F2330" s="147"/>
      <c r="G2330" s="80"/>
      <c r="H2330" s="83"/>
      <c r="I2330" s="148" t="str">
        <f aca="false">IF(B2330="","",IFERROR(INDEX('CARNET DE SOUDURE'!$B$7:$B$3006,MATCH(B2330,'CARNET DE SOUDURE'!$L$7:$L$3006,0)),IFERROR(INDEX('CARNET DE SOUDURE'!$B$7:$B$3006,MATCH(B2330,'CARNET DE SOUDURE'!$O$7:$O$3006,0)),"")))</f>
        <v/>
      </c>
      <c r="J2330" s="82" t="str">
        <f aca="false">IF(B2330="","",IFERROR(INDEX('CARNET DE SOUDURE'!$E$7:$E$3006,MATCH(B2330,'CARNET DE SOUDURE'!$O$7:$O$3006,0)),""))</f>
        <v/>
      </c>
      <c r="K2330" s="82" t="str">
        <f aca="false">IF(B2330="","",IFERROR(INDEX('CARNET DE SOUDURE'!$E$7:$E$3006,MATCH(B2330,'CARNET DE SOUDURE'!$L$7:$L$3006,0)),""))</f>
        <v/>
      </c>
      <c r="L2330" s="82" t="str">
        <f aca="false">IF(B2330="","",IFERROR(INDEX('CARNET DE SOUDURE'!$D$7:$D$3006,MATCH(B2330,'CARNET DE SOUDURE'!$L$7:$L$3006,0)),IFERROR(INDEX('CARNET DE SOUDURE'!$D$7:$D$3006,MATCH(B2330,'CARNET DE SOUDURE'!$O$7:$O$3006,0)),"")))</f>
        <v/>
      </c>
      <c r="M2330" s="82" t="str">
        <f aca="false">IF(B2330="","",IF(OR(J2330&lt;&gt;"",K2330&lt;&gt;""),"POSÉ EN LIGNE",IF(COUNTIF(BARDAGE!$C$1:$C$5000,B2330)&gt;0,"BARDÉ","EN STOCK")))</f>
        <v/>
      </c>
      <c r="N2330" s="80"/>
    </row>
    <row r="2331" customFormat="false" ht="15" hidden="false" customHeight="false" outlineLevel="0" collapsed="false">
      <c r="A2331" s="82" t="str">
        <f aca="false">IF(B2331="","",ROW()-6)</f>
        <v/>
      </c>
      <c r="B2331" s="145"/>
      <c r="C2331" s="146"/>
      <c r="D2331" s="146"/>
      <c r="E2331" s="82" t="str">
        <f aca="false">IF(B2331="","",IF(COUNTIFS('CARNET DE SOUDURE'!$L$7:$L$3006,B2331,'CARNET DE SOUDURE'!$M$7:$M$3006,"&lt;&gt;"&amp;C2331,'CARNET DE SOUDURE'!$M$7:$M$3006,"&lt;&gt;")+COUNTIFS('CARNET DE SOUDURE'!$O$7:$O$3006,B2331,'CARNET DE SOUDURE'!$P$7:$P$3006,"&lt;&gt;"&amp;C2331,'CARNET DE SOUDURE'!$P$7:$P$3006,"&lt;&gt;")&gt;0,"⚠ DIFFÉRENTE","OK"))</f>
        <v/>
      </c>
      <c r="F2331" s="147"/>
      <c r="G2331" s="80"/>
      <c r="H2331" s="83"/>
      <c r="I2331" s="148" t="str">
        <f aca="false">IF(B2331="","",IFERROR(INDEX('CARNET DE SOUDURE'!$B$7:$B$3006,MATCH(B2331,'CARNET DE SOUDURE'!$L$7:$L$3006,0)),IFERROR(INDEX('CARNET DE SOUDURE'!$B$7:$B$3006,MATCH(B2331,'CARNET DE SOUDURE'!$O$7:$O$3006,0)),"")))</f>
        <v/>
      </c>
      <c r="J2331" s="82" t="str">
        <f aca="false">IF(B2331="","",IFERROR(INDEX('CARNET DE SOUDURE'!$E$7:$E$3006,MATCH(B2331,'CARNET DE SOUDURE'!$O$7:$O$3006,0)),""))</f>
        <v/>
      </c>
      <c r="K2331" s="82" t="str">
        <f aca="false">IF(B2331="","",IFERROR(INDEX('CARNET DE SOUDURE'!$E$7:$E$3006,MATCH(B2331,'CARNET DE SOUDURE'!$L$7:$L$3006,0)),""))</f>
        <v/>
      </c>
      <c r="L2331" s="82" t="str">
        <f aca="false">IF(B2331="","",IFERROR(INDEX('CARNET DE SOUDURE'!$D$7:$D$3006,MATCH(B2331,'CARNET DE SOUDURE'!$L$7:$L$3006,0)),IFERROR(INDEX('CARNET DE SOUDURE'!$D$7:$D$3006,MATCH(B2331,'CARNET DE SOUDURE'!$O$7:$O$3006,0)),"")))</f>
        <v/>
      </c>
      <c r="M2331" s="82" t="str">
        <f aca="false">IF(B2331="","",IF(OR(J2331&lt;&gt;"",K2331&lt;&gt;""),"POSÉ EN LIGNE",IF(COUNTIF(BARDAGE!$C$1:$C$5000,B2331)&gt;0,"BARDÉ","EN STOCK")))</f>
        <v/>
      </c>
      <c r="N2331" s="80"/>
    </row>
    <row r="2332" customFormat="false" ht="15" hidden="false" customHeight="false" outlineLevel="0" collapsed="false">
      <c r="A2332" s="82" t="str">
        <f aca="false">IF(B2332="","",ROW()-6)</f>
        <v/>
      </c>
      <c r="B2332" s="145"/>
      <c r="C2332" s="146"/>
      <c r="D2332" s="146"/>
      <c r="E2332" s="82" t="str">
        <f aca="false">IF(B2332="","",IF(COUNTIFS('CARNET DE SOUDURE'!$L$7:$L$3006,B2332,'CARNET DE SOUDURE'!$M$7:$M$3006,"&lt;&gt;"&amp;C2332,'CARNET DE SOUDURE'!$M$7:$M$3006,"&lt;&gt;")+COUNTIFS('CARNET DE SOUDURE'!$O$7:$O$3006,B2332,'CARNET DE SOUDURE'!$P$7:$P$3006,"&lt;&gt;"&amp;C2332,'CARNET DE SOUDURE'!$P$7:$P$3006,"&lt;&gt;")&gt;0,"⚠ DIFFÉRENTE","OK"))</f>
        <v/>
      </c>
      <c r="F2332" s="147"/>
      <c r="G2332" s="80"/>
      <c r="H2332" s="83"/>
      <c r="I2332" s="148" t="str">
        <f aca="false">IF(B2332="","",IFERROR(INDEX('CARNET DE SOUDURE'!$B$7:$B$3006,MATCH(B2332,'CARNET DE SOUDURE'!$L$7:$L$3006,0)),IFERROR(INDEX('CARNET DE SOUDURE'!$B$7:$B$3006,MATCH(B2332,'CARNET DE SOUDURE'!$O$7:$O$3006,0)),"")))</f>
        <v/>
      </c>
      <c r="J2332" s="82" t="str">
        <f aca="false">IF(B2332="","",IFERROR(INDEX('CARNET DE SOUDURE'!$E$7:$E$3006,MATCH(B2332,'CARNET DE SOUDURE'!$O$7:$O$3006,0)),""))</f>
        <v/>
      </c>
      <c r="K2332" s="82" t="str">
        <f aca="false">IF(B2332="","",IFERROR(INDEX('CARNET DE SOUDURE'!$E$7:$E$3006,MATCH(B2332,'CARNET DE SOUDURE'!$L$7:$L$3006,0)),""))</f>
        <v/>
      </c>
      <c r="L2332" s="82" t="str">
        <f aca="false">IF(B2332="","",IFERROR(INDEX('CARNET DE SOUDURE'!$D$7:$D$3006,MATCH(B2332,'CARNET DE SOUDURE'!$L$7:$L$3006,0)),IFERROR(INDEX('CARNET DE SOUDURE'!$D$7:$D$3006,MATCH(B2332,'CARNET DE SOUDURE'!$O$7:$O$3006,0)),"")))</f>
        <v/>
      </c>
      <c r="M2332" s="82" t="str">
        <f aca="false">IF(B2332="","",IF(OR(J2332&lt;&gt;"",K2332&lt;&gt;""),"POSÉ EN LIGNE",IF(COUNTIF(BARDAGE!$C$1:$C$5000,B2332)&gt;0,"BARDÉ","EN STOCK")))</f>
        <v/>
      </c>
      <c r="N2332" s="80"/>
    </row>
    <row r="2333" customFormat="false" ht="15" hidden="false" customHeight="false" outlineLevel="0" collapsed="false">
      <c r="A2333" s="82" t="str">
        <f aca="false">IF(B2333="","",ROW()-6)</f>
        <v/>
      </c>
      <c r="B2333" s="145"/>
      <c r="C2333" s="146"/>
      <c r="D2333" s="146"/>
      <c r="E2333" s="82" t="str">
        <f aca="false">IF(B2333="","",IF(COUNTIFS('CARNET DE SOUDURE'!$L$7:$L$3006,B2333,'CARNET DE SOUDURE'!$M$7:$M$3006,"&lt;&gt;"&amp;C2333,'CARNET DE SOUDURE'!$M$7:$M$3006,"&lt;&gt;")+COUNTIFS('CARNET DE SOUDURE'!$O$7:$O$3006,B2333,'CARNET DE SOUDURE'!$P$7:$P$3006,"&lt;&gt;"&amp;C2333,'CARNET DE SOUDURE'!$P$7:$P$3006,"&lt;&gt;")&gt;0,"⚠ DIFFÉRENTE","OK"))</f>
        <v/>
      </c>
      <c r="F2333" s="147"/>
      <c r="G2333" s="80"/>
      <c r="H2333" s="83"/>
      <c r="I2333" s="148" t="str">
        <f aca="false">IF(B2333="","",IFERROR(INDEX('CARNET DE SOUDURE'!$B$7:$B$3006,MATCH(B2333,'CARNET DE SOUDURE'!$L$7:$L$3006,0)),IFERROR(INDEX('CARNET DE SOUDURE'!$B$7:$B$3006,MATCH(B2333,'CARNET DE SOUDURE'!$O$7:$O$3006,0)),"")))</f>
        <v/>
      </c>
      <c r="J2333" s="82" t="str">
        <f aca="false">IF(B2333="","",IFERROR(INDEX('CARNET DE SOUDURE'!$E$7:$E$3006,MATCH(B2333,'CARNET DE SOUDURE'!$O$7:$O$3006,0)),""))</f>
        <v/>
      </c>
      <c r="K2333" s="82" t="str">
        <f aca="false">IF(B2333="","",IFERROR(INDEX('CARNET DE SOUDURE'!$E$7:$E$3006,MATCH(B2333,'CARNET DE SOUDURE'!$L$7:$L$3006,0)),""))</f>
        <v/>
      </c>
      <c r="L2333" s="82" t="str">
        <f aca="false">IF(B2333="","",IFERROR(INDEX('CARNET DE SOUDURE'!$D$7:$D$3006,MATCH(B2333,'CARNET DE SOUDURE'!$L$7:$L$3006,0)),IFERROR(INDEX('CARNET DE SOUDURE'!$D$7:$D$3006,MATCH(B2333,'CARNET DE SOUDURE'!$O$7:$O$3006,0)),"")))</f>
        <v/>
      </c>
      <c r="M2333" s="82" t="str">
        <f aca="false">IF(B2333="","",IF(OR(J2333&lt;&gt;"",K2333&lt;&gt;""),"POSÉ EN LIGNE",IF(COUNTIF(BARDAGE!$C$1:$C$5000,B2333)&gt;0,"BARDÉ","EN STOCK")))</f>
        <v/>
      </c>
      <c r="N2333" s="80"/>
    </row>
    <row r="2334" customFormat="false" ht="15" hidden="false" customHeight="false" outlineLevel="0" collapsed="false">
      <c r="A2334" s="82" t="str">
        <f aca="false">IF(B2334="","",ROW()-6)</f>
        <v/>
      </c>
      <c r="B2334" s="145"/>
      <c r="C2334" s="146"/>
      <c r="D2334" s="146"/>
      <c r="E2334" s="82" t="str">
        <f aca="false">IF(B2334="","",IF(COUNTIFS('CARNET DE SOUDURE'!$L$7:$L$3006,B2334,'CARNET DE SOUDURE'!$M$7:$M$3006,"&lt;&gt;"&amp;C2334,'CARNET DE SOUDURE'!$M$7:$M$3006,"&lt;&gt;")+COUNTIFS('CARNET DE SOUDURE'!$O$7:$O$3006,B2334,'CARNET DE SOUDURE'!$P$7:$P$3006,"&lt;&gt;"&amp;C2334,'CARNET DE SOUDURE'!$P$7:$P$3006,"&lt;&gt;")&gt;0,"⚠ DIFFÉRENTE","OK"))</f>
        <v/>
      </c>
      <c r="F2334" s="147"/>
      <c r="G2334" s="80"/>
      <c r="H2334" s="83"/>
      <c r="I2334" s="148" t="str">
        <f aca="false">IF(B2334="","",IFERROR(INDEX('CARNET DE SOUDURE'!$B$7:$B$3006,MATCH(B2334,'CARNET DE SOUDURE'!$L$7:$L$3006,0)),IFERROR(INDEX('CARNET DE SOUDURE'!$B$7:$B$3006,MATCH(B2334,'CARNET DE SOUDURE'!$O$7:$O$3006,0)),"")))</f>
        <v/>
      </c>
      <c r="J2334" s="82" t="str">
        <f aca="false">IF(B2334="","",IFERROR(INDEX('CARNET DE SOUDURE'!$E$7:$E$3006,MATCH(B2334,'CARNET DE SOUDURE'!$O$7:$O$3006,0)),""))</f>
        <v/>
      </c>
      <c r="K2334" s="82" t="str">
        <f aca="false">IF(B2334="","",IFERROR(INDEX('CARNET DE SOUDURE'!$E$7:$E$3006,MATCH(B2334,'CARNET DE SOUDURE'!$L$7:$L$3006,0)),""))</f>
        <v/>
      </c>
      <c r="L2334" s="82" t="str">
        <f aca="false">IF(B2334="","",IFERROR(INDEX('CARNET DE SOUDURE'!$D$7:$D$3006,MATCH(B2334,'CARNET DE SOUDURE'!$L$7:$L$3006,0)),IFERROR(INDEX('CARNET DE SOUDURE'!$D$7:$D$3006,MATCH(B2334,'CARNET DE SOUDURE'!$O$7:$O$3006,0)),"")))</f>
        <v/>
      </c>
      <c r="M2334" s="82" t="str">
        <f aca="false">IF(B2334="","",IF(OR(J2334&lt;&gt;"",K2334&lt;&gt;""),"POSÉ EN LIGNE",IF(COUNTIF(BARDAGE!$C$1:$C$5000,B2334)&gt;0,"BARDÉ","EN STOCK")))</f>
        <v/>
      </c>
      <c r="N2334" s="80"/>
    </row>
    <row r="2335" customFormat="false" ht="15" hidden="false" customHeight="false" outlineLevel="0" collapsed="false">
      <c r="A2335" s="82" t="str">
        <f aca="false">IF(B2335="","",ROW()-6)</f>
        <v/>
      </c>
      <c r="B2335" s="145"/>
      <c r="C2335" s="146"/>
      <c r="D2335" s="146"/>
      <c r="E2335" s="82" t="str">
        <f aca="false">IF(B2335="","",IF(COUNTIFS('CARNET DE SOUDURE'!$L$7:$L$3006,B2335,'CARNET DE SOUDURE'!$M$7:$M$3006,"&lt;&gt;"&amp;C2335,'CARNET DE SOUDURE'!$M$7:$M$3006,"&lt;&gt;")+COUNTIFS('CARNET DE SOUDURE'!$O$7:$O$3006,B2335,'CARNET DE SOUDURE'!$P$7:$P$3006,"&lt;&gt;"&amp;C2335,'CARNET DE SOUDURE'!$P$7:$P$3006,"&lt;&gt;")&gt;0,"⚠ DIFFÉRENTE","OK"))</f>
        <v/>
      </c>
      <c r="F2335" s="147"/>
      <c r="G2335" s="80"/>
      <c r="H2335" s="83"/>
      <c r="I2335" s="148" t="str">
        <f aca="false">IF(B2335="","",IFERROR(INDEX('CARNET DE SOUDURE'!$B$7:$B$3006,MATCH(B2335,'CARNET DE SOUDURE'!$L$7:$L$3006,0)),IFERROR(INDEX('CARNET DE SOUDURE'!$B$7:$B$3006,MATCH(B2335,'CARNET DE SOUDURE'!$O$7:$O$3006,0)),"")))</f>
        <v/>
      </c>
      <c r="J2335" s="82" t="str">
        <f aca="false">IF(B2335="","",IFERROR(INDEX('CARNET DE SOUDURE'!$E$7:$E$3006,MATCH(B2335,'CARNET DE SOUDURE'!$O$7:$O$3006,0)),""))</f>
        <v/>
      </c>
      <c r="K2335" s="82" t="str">
        <f aca="false">IF(B2335="","",IFERROR(INDEX('CARNET DE SOUDURE'!$E$7:$E$3006,MATCH(B2335,'CARNET DE SOUDURE'!$L$7:$L$3006,0)),""))</f>
        <v/>
      </c>
      <c r="L2335" s="82" t="str">
        <f aca="false">IF(B2335="","",IFERROR(INDEX('CARNET DE SOUDURE'!$D$7:$D$3006,MATCH(B2335,'CARNET DE SOUDURE'!$L$7:$L$3006,0)),IFERROR(INDEX('CARNET DE SOUDURE'!$D$7:$D$3006,MATCH(B2335,'CARNET DE SOUDURE'!$O$7:$O$3006,0)),"")))</f>
        <v/>
      </c>
      <c r="M2335" s="82" t="str">
        <f aca="false">IF(B2335="","",IF(OR(J2335&lt;&gt;"",K2335&lt;&gt;""),"POSÉ EN LIGNE",IF(COUNTIF(BARDAGE!$C$1:$C$5000,B2335)&gt;0,"BARDÉ","EN STOCK")))</f>
        <v/>
      </c>
      <c r="N2335" s="80"/>
    </row>
    <row r="2336" customFormat="false" ht="15" hidden="false" customHeight="false" outlineLevel="0" collapsed="false">
      <c r="A2336" s="82" t="str">
        <f aca="false">IF(B2336="","",ROW()-6)</f>
        <v/>
      </c>
      <c r="B2336" s="145"/>
      <c r="C2336" s="146"/>
      <c r="D2336" s="146"/>
      <c r="E2336" s="82" t="str">
        <f aca="false">IF(B2336="","",IF(COUNTIFS('CARNET DE SOUDURE'!$L$7:$L$3006,B2336,'CARNET DE SOUDURE'!$M$7:$M$3006,"&lt;&gt;"&amp;C2336,'CARNET DE SOUDURE'!$M$7:$M$3006,"&lt;&gt;")+COUNTIFS('CARNET DE SOUDURE'!$O$7:$O$3006,B2336,'CARNET DE SOUDURE'!$P$7:$P$3006,"&lt;&gt;"&amp;C2336,'CARNET DE SOUDURE'!$P$7:$P$3006,"&lt;&gt;")&gt;0,"⚠ DIFFÉRENTE","OK"))</f>
        <v/>
      </c>
      <c r="F2336" s="147"/>
      <c r="G2336" s="80"/>
      <c r="H2336" s="83"/>
      <c r="I2336" s="148" t="str">
        <f aca="false">IF(B2336="","",IFERROR(INDEX('CARNET DE SOUDURE'!$B$7:$B$3006,MATCH(B2336,'CARNET DE SOUDURE'!$L$7:$L$3006,0)),IFERROR(INDEX('CARNET DE SOUDURE'!$B$7:$B$3006,MATCH(B2336,'CARNET DE SOUDURE'!$O$7:$O$3006,0)),"")))</f>
        <v/>
      </c>
      <c r="J2336" s="82" t="str">
        <f aca="false">IF(B2336="","",IFERROR(INDEX('CARNET DE SOUDURE'!$E$7:$E$3006,MATCH(B2336,'CARNET DE SOUDURE'!$O$7:$O$3006,0)),""))</f>
        <v/>
      </c>
      <c r="K2336" s="82" t="str">
        <f aca="false">IF(B2336="","",IFERROR(INDEX('CARNET DE SOUDURE'!$E$7:$E$3006,MATCH(B2336,'CARNET DE SOUDURE'!$L$7:$L$3006,0)),""))</f>
        <v/>
      </c>
      <c r="L2336" s="82" t="str">
        <f aca="false">IF(B2336="","",IFERROR(INDEX('CARNET DE SOUDURE'!$D$7:$D$3006,MATCH(B2336,'CARNET DE SOUDURE'!$L$7:$L$3006,0)),IFERROR(INDEX('CARNET DE SOUDURE'!$D$7:$D$3006,MATCH(B2336,'CARNET DE SOUDURE'!$O$7:$O$3006,0)),"")))</f>
        <v/>
      </c>
      <c r="M2336" s="82" t="str">
        <f aca="false">IF(B2336="","",IF(OR(J2336&lt;&gt;"",K2336&lt;&gt;""),"POSÉ EN LIGNE",IF(COUNTIF(BARDAGE!$C$1:$C$5000,B2336)&gt;0,"BARDÉ","EN STOCK")))</f>
        <v/>
      </c>
      <c r="N2336" s="80"/>
    </row>
    <row r="2337" customFormat="false" ht="15" hidden="false" customHeight="false" outlineLevel="0" collapsed="false">
      <c r="A2337" s="82" t="str">
        <f aca="false">IF(B2337="","",ROW()-6)</f>
        <v/>
      </c>
      <c r="B2337" s="145"/>
      <c r="C2337" s="146"/>
      <c r="D2337" s="146"/>
      <c r="E2337" s="82" t="str">
        <f aca="false">IF(B2337="","",IF(COUNTIFS('CARNET DE SOUDURE'!$L$7:$L$3006,B2337,'CARNET DE SOUDURE'!$M$7:$M$3006,"&lt;&gt;"&amp;C2337,'CARNET DE SOUDURE'!$M$7:$M$3006,"&lt;&gt;")+COUNTIFS('CARNET DE SOUDURE'!$O$7:$O$3006,B2337,'CARNET DE SOUDURE'!$P$7:$P$3006,"&lt;&gt;"&amp;C2337,'CARNET DE SOUDURE'!$P$7:$P$3006,"&lt;&gt;")&gt;0,"⚠ DIFFÉRENTE","OK"))</f>
        <v/>
      </c>
      <c r="F2337" s="147"/>
      <c r="G2337" s="80"/>
      <c r="H2337" s="83"/>
      <c r="I2337" s="148" t="str">
        <f aca="false">IF(B2337="","",IFERROR(INDEX('CARNET DE SOUDURE'!$B$7:$B$3006,MATCH(B2337,'CARNET DE SOUDURE'!$L$7:$L$3006,0)),IFERROR(INDEX('CARNET DE SOUDURE'!$B$7:$B$3006,MATCH(B2337,'CARNET DE SOUDURE'!$O$7:$O$3006,0)),"")))</f>
        <v/>
      </c>
      <c r="J2337" s="82" t="str">
        <f aca="false">IF(B2337="","",IFERROR(INDEX('CARNET DE SOUDURE'!$E$7:$E$3006,MATCH(B2337,'CARNET DE SOUDURE'!$O$7:$O$3006,0)),""))</f>
        <v/>
      </c>
      <c r="K2337" s="82" t="str">
        <f aca="false">IF(B2337="","",IFERROR(INDEX('CARNET DE SOUDURE'!$E$7:$E$3006,MATCH(B2337,'CARNET DE SOUDURE'!$L$7:$L$3006,0)),""))</f>
        <v/>
      </c>
      <c r="L2337" s="82" t="str">
        <f aca="false">IF(B2337="","",IFERROR(INDEX('CARNET DE SOUDURE'!$D$7:$D$3006,MATCH(B2337,'CARNET DE SOUDURE'!$L$7:$L$3006,0)),IFERROR(INDEX('CARNET DE SOUDURE'!$D$7:$D$3006,MATCH(B2337,'CARNET DE SOUDURE'!$O$7:$O$3006,0)),"")))</f>
        <v/>
      </c>
      <c r="M2337" s="82" t="str">
        <f aca="false">IF(B2337="","",IF(OR(J2337&lt;&gt;"",K2337&lt;&gt;""),"POSÉ EN LIGNE",IF(COUNTIF(BARDAGE!$C$1:$C$5000,B2337)&gt;0,"BARDÉ","EN STOCK")))</f>
        <v/>
      </c>
      <c r="N2337" s="80"/>
    </row>
    <row r="2338" customFormat="false" ht="15" hidden="false" customHeight="false" outlineLevel="0" collapsed="false">
      <c r="A2338" s="82" t="str">
        <f aca="false">IF(B2338="","",ROW()-6)</f>
        <v/>
      </c>
      <c r="B2338" s="145"/>
      <c r="C2338" s="146"/>
      <c r="D2338" s="146"/>
      <c r="E2338" s="82" t="str">
        <f aca="false">IF(B2338="","",IF(COUNTIFS('CARNET DE SOUDURE'!$L$7:$L$3006,B2338,'CARNET DE SOUDURE'!$M$7:$M$3006,"&lt;&gt;"&amp;C2338,'CARNET DE SOUDURE'!$M$7:$M$3006,"&lt;&gt;")+COUNTIFS('CARNET DE SOUDURE'!$O$7:$O$3006,B2338,'CARNET DE SOUDURE'!$P$7:$P$3006,"&lt;&gt;"&amp;C2338,'CARNET DE SOUDURE'!$P$7:$P$3006,"&lt;&gt;")&gt;0,"⚠ DIFFÉRENTE","OK"))</f>
        <v/>
      </c>
      <c r="F2338" s="147"/>
      <c r="G2338" s="80"/>
      <c r="H2338" s="83"/>
      <c r="I2338" s="148" t="str">
        <f aca="false">IF(B2338="","",IFERROR(INDEX('CARNET DE SOUDURE'!$B$7:$B$3006,MATCH(B2338,'CARNET DE SOUDURE'!$L$7:$L$3006,0)),IFERROR(INDEX('CARNET DE SOUDURE'!$B$7:$B$3006,MATCH(B2338,'CARNET DE SOUDURE'!$O$7:$O$3006,0)),"")))</f>
        <v/>
      </c>
      <c r="J2338" s="82" t="str">
        <f aca="false">IF(B2338="","",IFERROR(INDEX('CARNET DE SOUDURE'!$E$7:$E$3006,MATCH(B2338,'CARNET DE SOUDURE'!$O$7:$O$3006,0)),""))</f>
        <v/>
      </c>
      <c r="K2338" s="82" t="str">
        <f aca="false">IF(B2338="","",IFERROR(INDEX('CARNET DE SOUDURE'!$E$7:$E$3006,MATCH(B2338,'CARNET DE SOUDURE'!$L$7:$L$3006,0)),""))</f>
        <v/>
      </c>
      <c r="L2338" s="82" t="str">
        <f aca="false">IF(B2338="","",IFERROR(INDEX('CARNET DE SOUDURE'!$D$7:$D$3006,MATCH(B2338,'CARNET DE SOUDURE'!$L$7:$L$3006,0)),IFERROR(INDEX('CARNET DE SOUDURE'!$D$7:$D$3006,MATCH(B2338,'CARNET DE SOUDURE'!$O$7:$O$3006,0)),"")))</f>
        <v/>
      </c>
      <c r="M2338" s="82" t="str">
        <f aca="false">IF(B2338="","",IF(OR(J2338&lt;&gt;"",K2338&lt;&gt;""),"POSÉ EN LIGNE",IF(COUNTIF(BARDAGE!$C$1:$C$5000,B2338)&gt;0,"BARDÉ","EN STOCK")))</f>
        <v/>
      </c>
      <c r="N2338" s="80"/>
    </row>
    <row r="2339" customFormat="false" ht="15" hidden="false" customHeight="false" outlineLevel="0" collapsed="false">
      <c r="A2339" s="82" t="str">
        <f aca="false">IF(B2339="","",ROW()-6)</f>
        <v/>
      </c>
      <c r="B2339" s="145"/>
      <c r="C2339" s="146"/>
      <c r="D2339" s="146"/>
      <c r="E2339" s="82" t="str">
        <f aca="false">IF(B2339="","",IF(COUNTIFS('CARNET DE SOUDURE'!$L$7:$L$3006,B2339,'CARNET DE SOUDURE'!$M$7:$M$3006,"&lt;&gt;"&amp;C2339,'CARNET DE SOUDURE'!$M$7:$M$3006,"&lt;&gt;")+COUNTIFS('CARNET DE SOUDURE'!$O$7:$O$3006,B2339,'CARNET DE SOUDURE'!$P$7:$P$3006,"&lt;&gt;"&amp;C2339,'CARNET DE SOUDURE'!$P$7:$P$3006,"&lt;&gt;")&gt;0,"⚠ DIFFÉRENTE","OK"))</f>
        <v/>
      </c>
      <c r="F2339" s="147"/>
      <c r="G2339" s="80"/>
      <c r="H2339" s="83"/>
      <c r="I2339" s="148" t="str">
        <f aca="false">IF(B2339="","",IFERROR(INDEX('CARNET DE SOUDURE'!$B$7:$B$3006,MATCH(B2339,'CARNET DE SOUDURE'!$L$7:$L$3006,0)),IFERROR(INDEX('CARNET DE SOUDURE'!$B$7:$B$3006,MATCH(B2339,'CARNET DE SOUDURE'!$O$7:$O$3006,0)),"")))</f>
        <v/>
      </c>
      <c r="J2339" s="82" t="str">
        <f aca="false">IF(B2339="","",IFERROR(INDEX('CARNET DE SOUDURE'!$E$7:$E$3006,MATCH(B2339,'CARNET DE SOUDURE'!$O$7:$O$3006,0)),""))</f>
        <v/>
      </c>
      <c r="K2339" s="82" t="str">
        <f aca="false">IF(B2339="","",IFERROR(INDEX('CARNET DE SOUDURE'!$E$7:$E$3006,MATCH(B2339,'CARNET DE SOUDURE'!$L$7:$L$3006,0)),""))</f>
        <v/>
      </c>
      <c r="L2339" s="82" t="str">
        <f aca="false">IF(B2339="","",IFERROR(INDEX('CARNET DE SOUDURE'!$D$7:$D$3006,MATCH(B2339,'CARNET DE SOUDURE'!$L$7:$L$3006,0)),IFERROR(INDEX('CARNET DE SOUDURE'!$D$7:$D$3006,MATCH(B2339,'CARNET DE SOUDURE'!$O$7:$O$3006,0)),"")))</f>
        <v/>
      </c>
      <c r="M2339" s="82" t="str">
        <f aca="false">IF(B2339="","",IF(OR(J2339&lt;&gt;"",K2339&lt;&gt;""),"POSÉ EN LIGNE",IF(COUNTIF(BARDAGE!$C$1:$C$5000,B2339)&gt;0,"BARDÉ","EN STOCK")))</f>
        <v/>
      </c>
      <c r="N2339" s="80"/>
    </row>
    <row r="2340" customFormat="false" ht="15" hidden="false" customHeight="false" outlineLevel="0" collapsed="false">
      <c r="A2340" s="82" t="str">
        <f aca="false">IF(B2340="","",ROW()-6)</f>
        <v/>
      </c>
      <c r="B2340" s="145"/>
      <c r="C2340" s="146"/>
      <c r="D2340" s="146"/>
      <c r="E2340" s="82" t="str">
        <f aca="false">IF(B2340="","",IF(COUNTIFS('CARNET DE SOUDURE'!$L$7:$L$3006,B2340,'CARNET DE SOUDURE'!$M$7:$M$3006,"&lt;&gt;"&amp;C2340,'CARNET DE SOUDURE'!$M$7:$M$3006,"&lt;&gt;")+COUNTIFS('CARNET DE SOUDURE'!$O$7:$O$3006,B2340,'CARNET DE SOUDURE'!$P$7:$P$3006,"&lt;&gt;"&amp;C2340,'CARNET DE SOUDURE'!$P$7:$P$3006,"&lt;&gt;")&gt;0,"⚠ DIFFÉRENTE","OK"))</f>
        <v/>
      </c>
      <c r="F2340" s="147"/>
      <c r="G2340" s="80"/>
      <c r="H2340" s="83"/>
      <c r="I2340" s="148" t="str">
        <f aca="false">IF(B2340="","",IFERROR(INDEX('CARNET DE SOUDURE'!$B$7:$B$3006,MATCH(B2340,'CARNET DE SOUDURE'!$L$7:$L$3006,0)),IFERROR(INDEX('CARNET DE SOUDURE'!$B$7:$B$3006,MATCH(B2340,'CARNET DE SOUDURE'!$O$7:$O$3006,0)),"")))</f>
        <v/>
      </c>
      <c r="J2340" s="82" t="str">
        <f aca="false">IF(B2340="","",IFERROR(INDEX('CARNET DE SOUDURE'!$E$7:$E$3006,MATCH(B2340,'CARNET DE SOUDURE'!$O$7:$O$3006,0)),""))</f>
        <v/>
      </c>
      <c r="K2340" s="82" t="str">
        <f aca="false">IF(B2340="","",IFERROR(INDEX('CARNET DE SOUDURE'!$E$7:$E$3006,MATCH(B2340,'CARNET DE SOUDURE'!$L$7:$L$3006,0)),""))</f>
        <v/>
      </c>
      <c r="L2340" s="82" t="str">
        <f aca="false">IF(B2340="","",IFERROR(INDEX('CARNET DE SOUDURE'!$D$7:$D$3006,MATCH(B2340,'CARNET DE SOUDURE'!$L$7:$L$3006,0)),IFERROR(INDEX('CARNET DE SOUDURE'!$D$7:$D$3006,MATCH(B2340,'CARNET DE SOUDURE'!$O$7:$O$3006,0)),"")))</f>
        <v/>
      </c>
      <c r="M2340" s="82" t="str">
        <f aca="false">IF(B2340="","",IF(OR(J2340&lt;&gt;"",K2340&lt;&gt;""),"POSÉ EN LIGNE",IF(COUNTIF(BARDAGE!$C$1:$C$5000,B2340)&gt;0,"BARDÉ","EN STOCK")))</f>
        <v/>
      </c>
      <c r="N2340" s="80"/>
    </row>
    <row r="2341" customFormat="false" ht="15" hidden="false" customHeight="false" outlineLevel="0" collapsed="false">
      <c r="A2341" s="82" t="str">
        <f aca="false">IF(B2341="","",ROW()-6)</f>
        <v/>
      </c>
      <c r="B2341" s="145"/>
      <c r="C2341" s="146"/>
      <c r="D2341" s="146"/>
      <c r="E2341" s="82" t="str">
        <f aca="false">IF(B2341="","",IF(COUNTIFS('CARNET DE SOUDURE'!$L$7:$L$3006,B2341,'CARNET DE SOUDURE'!$M$7:$M$3006,"&lt;&gt;"&amp;C2341,'CARNET DE SOUDURE'!$M$7:$M$3006,"&lt;&gt;")+COUNTIFS('CARNET DE SOUDURE'!$O$7:$O$3006,B2341,'CARNET DE SOUDURE'!$P$7:$P$3006,"&lt;&gt;"&amp;C2341,'CARNET DE SOUDURE'!$P$7:$P$3006,"&lt;&gt;")&gt;0,"⚠ DIFFÉRENTE","OK"))</f>
        <v/>
      </c>
      <c r="F2341" s="147"/>
      <c r="G2341" s="80"/>
      <c r="H2341" s="83"/>
      <c r="I2341" s="148" t="str">
        <f aca="false">IF(B2341="","",IFERROR(INDEX('CARNET DE SOUDURE'!$B$7:$B$3006,MATCH(B2341,'CARNET DE SOUDURE'!$L$7:$L$3006,0)),IFERROR(INDEX('CARNET DE SOUDURE'!$B$7:$B$3006,MATCH(B2341,'CARNET DE SOUDURE'!$O$7:$O$3006,0)),"")))</f>
        <v/>
      </c>
      <c r="J2341" s="82" t="str">
        <f aca="false">IF(B2341="","",IFERROR(INDEX('CARNET DE SOUDURE'!$E$7:$E$3006,MATCH(B2341,'CARNET DE SOUDURE'!$O$7:$O$3006,0)),""))</f>
        <v/>
      </c>
      <c r="K2341" s="82" t="str">
        <f aca="false">IF(B2341="","",IFERROR(INDEX('CARNET DE SOUDURE'!$E$7:$E$3006,MATCH(B2341,'CARNET DE SOUDURE'!$L$7:$L$3006,0)),""))</f>
        <v/>
      </c>
      <c r="L2341" s="82" t="str">
        <f aca="false">IF(B2341="","",IFERROR(INDEX('CARNET DE SOUDURE'!$D$7:$D$3006,MATCH(B2341,'CARNET DE SOUDURE'!$L$7:$L$3006,0)),IFERROR(INDEX('CARNET DE SOUDURE'!$D$7:$D$3006,MATCH(B2341,'CARNET DE SOUDURE'!$O$7:$O$3006,0)),"")))</f>
        <v/>
      </c>
      <c r="M2341" s="82" t="str">
        <f aca="false">IF(B2341="","",IF(OR(J2341&lt;&gt;"",K2341&lt;&gt;""),"POSÉ EN LIGNE",IF(COUNTIF(BARDAGE!$C$1:$C$5000,B2341)&gt;0,"BARDÉ","EN STOCK")))</f>
        <v/>
      </c>
      <c r="N2341" s="80"/>
    </row>
    <row r="2342" customFormat="false" ht="15" hidden="false" customHeight="false" outlineLevel="0" collapsed="false">
      <c r="A2342" s="82" t="str">
        <f aca="false">IF(B2342="","",ROW()-6)</f>
        <v/>
      </c>
      <c r="B2342" s="145"/>
      <c r="C2342" s="146"/>
      <c r="D2342" s="146"/>
      <c r="E2342" s="82" t="str">
        <f aca="false">IF(B2342="","",IF(COUNTIFS('CARNET DE SOUDURE'!$L$7:$L$3006,B2342,'CARNET DE SOUDURE'!$M$7:$M$3006,"&lt;&gt;"&amp;C2342,'CARNET DE SOUDURE'!$M$7:$M$3006,"&lt;&gt;")+COUNTIFS('CARNET DE SOUDURE'!$O$7:$O$3006,B2342,'CARNET DE SOUDURE'!$P$7:$P$3006,"&lt;&gt;"&amp;C2342,'CARNET DE SOUDURE'!$P$7:$P$3006,"&lt;&gt;")&gt;0,"⚠ DIFFÉRENTE","OK"))</f>
        <v/>
      </c>
      <c r="F2342" s="147"/>
      <c r="G2342" s="80"/>
      <c r="H2342" s="83"/>
      <c r="I2342" s="148" t="str">
        <f aca="false">IF(B2342="","",IFERROR(INDEX('CARNET DE SOUDURE'!$B$7:$B$3006,MATCH(B2342,'CARNET DE SOUDURE'!$L$7:$L$3006,0)),IFERROR(INDEX('CARNET DE SOUDURE'!$B$7:$B$3006,MATCH(B2342,'CARNET DE SOUDURE'!$O$7:$O$3006,0)),"")))</f>
        <v/>
      </c>
      <c r="J2342" s="82" t="str">
        <f aca="false">IF(B2342="","",IFERROR(INDEX('CARNET DE SOUDURE'!$E$7:$E$3006,MATCH(B2342,'CARNET DE SOUDURE'!$O$7:$O$3006,0)),""))</f>
        <v/>
      </c>
      <c r="K2342" s="82" t="str">
        <f aca="false">IF(B2342="","",IFERROR(INDEX('CARNET DE SOUDURE'!$E$7:$E$3006,MATCH(B2342,'CARNET DE SOUDURE'!$L$7:$L$3006,0)),""))</f>
        <v/>
      </c>
      <c r="L2342" s="82" t="str">
        <f aca="false">IF(B2342="","",IFERROR(INDEX('CARNET DE SOUDURE'!$D$7:$D$3006,MATCH(B2342,'CARNET DE SOUDURE'!$L$7:$L$3006,0)),IFERROR(INDEX('CARNET DE SOUDURE'!$D$7:$D$3006,MATCH(B2342,'CARNET DE SOUDURE'!$O$7:$O$3006,0)),"")))</f>
        <v/>
      </c>
      <c r="M2342" s="82" t="str">
        <f aca="false">IF(B2342="","",IF(OR(J2342&lt;&gt;"",K2342&lt;&gt;""),"POSÉ EN LIGNE",IF(COUNTIF(BARDAGE!$C$1:$C$5000,B2342)&gt;0,"BARDÉ","EN STOCK")))</f>
        <v/>
      </c>
      <c r="N2342" s="80"/>
    </row>
    <row r="2343" customFormat="false" ht="15" hidden="false" customHeight="false" outlineLevel="0" collapsed="false">
      <c r="A2343" s="82" t="str">
        <f aca="false">IF(B2343="","",ROW()-6)</f>
        <v/>
      </c>
      <c r="B2343" s="145"/>
      <c r="C2343" s="146"/>
      <c r="D2343" s="146"/>
      <c r="E2343" s="82" t="str">
        <f aca="false">IF(B2343="","",IF(COUNTIFS('CARNET DE SOUDURE'!$L$7:$L$3006,B2343,'CARNET DE SOUDURE'!$M$7:$M$3006,"&lt;&gt;"&amp;C2343,'CARNET DE SOUDURE'!$M$7:$M$3006,"&lt;&gt;")+COUNTIFS('CARNET DE SOUDURE'!$O$7:$O$3006,B2343,'CARNET DE SOUDURE'!$P$7:$P$3006,"&lt;&gt;"&amp;C2343,'CARNET DE SOUDURE'!$P$7:$P$3006,"&lt;&gt;")&gt;0,"⚠ DIFFÉRENTE","OK"))</f>
        <v/>
      </c>
      <c r="F2343" s="147"/>
      <c r="G2343" s="80"/>
      <c r="H2343" s="83"/>
      <c r="I2343" s="148" t="str">
        <f aca="false">IF(B2343="","",IFERROR(INDEX('CARNET DE SOUDURE'!$B$7:$B$3006,MATCH(B2343,'CARNET DE SOUDURE'!$L$7:$L$3006,0)),IFERROR(INDEX('CARNET DE SOUDURE'!$B$7:$B$3006,MATCH(B2343,'CARNET DE SOUDURE'!$O$7:$O$3006,0)),"")))</f>
        <v/>
      </c>
      <c r="J2343" s="82" t="str">
        <f aca="false">IF(B2343="","",IFERROR(INDEX('CARNET DE SOUDURE'!$E$7:$E$3006,MATCH(B2343,'CARNET DE SOUDURE'!$O$7:$O$3006,0)),""))</f>
        <v/>
      </c>
      <c r="K2343" s="82" t="str">
        <f aca="false">IF(B2343="","",IFERROR(INDEX('CARNET DE SOUDURE'!$E$7:$E$3006,MATCH(B2343,'CARNET DE SOUDURE'!$L$7:$L$3006,0)),""))</f>
        <v/>
      </c>
      <c r="L2343" s="82" t="str">
        <f aca="false">IF(B2343="","",IFERROR(INDEX('CARNET DE SOUDURE'!$D$7:$D$3006,MATCH(B2343,'CARNET DE SOUDURE'!$L$7:$L$3006,0)),IFERROR(INDEX('CARNET DE SOUDURE'!$D$7:$D$3006,MATCH(B2343,'CARNET DE SOUDURE'!$O$7:$O$3006,0)),"")))</f>
        <v/>
      </c>
      <c r="M2343" s="82" t="str">
        <f aca="false">IF(B2343="","",IF(OR(J2343&lt;&gt;"",K2343&lt;&gt;""),"POSÉ EN LIGNE",IF(COUNTIF(BARDAGE!$C$1:$C$5000,B2343)&gt;0,"BARDÉ","EN STOCK")))</f>
        <v/>
      </c>
      <c r="N2343" s="80"/>
    </row>
    <row r="2344" customFormat="false" ht="15" hidden="false" customHeight="false" outlineLevel="0" collapsed="false">
      <c r="A2344" s="82" t="str">
        <f aca="false">IF(B2344="","",ROW()-6)</f>
        <v/>
      </c>
      <c r="B2344" s="145"/>
      <c r="C2344" s="146"/>
      <c r="D2344" s="146"/>
      <c r="E2344" s="82" t="str">
        <f aca="false">IF(B2344="","",IF(COUNTIFS('CARNET DE SOUDURE'!$L$7:$L$3006,B2344,'CARNET DE SOUDURE'!$M$7:$M$3006,"&lt;&gt;"&amp;C2344,'CARNET DE SOUDURE'!$M$7:$M$3006,"&lt;&gt;")+COUNTIFS('CARNET DE SOUDURE'!$O$7:$O$3006,B2344,'CARNET DE SOUDURE'!$P$7:$P$3006,"&lt;&gt;"&amp;C2344,'CARNET DE SOUDURE'!$P$7:$P$3006,"&lt;&gt;")&gt;0,"⚠ DIFFÉRENTE","OK"))</f>
        <v/>
      </c>
      <c r="F2344" s="147"/>
      <c r="G2344" s="80"/>
      <c r="H2344" s="83"/>
      <c r="I2344" s="148" t="str">
        <f aca="false">IF(B2344="","",IFERROR(INDEX('CARNET DE SOUDURE'!$B$7:$B$3006,MATCH(B2344,'CARNET DE SOUDURE'!$L$7:$L$3006,0)),IFERROR(INDEX('CARNET DE SOUDURE'!$B$7:$B$3006,MATCH(B2344,'CARNET DE SOUDURE'!$O$7:$O$3006,0)),"")))</f>
        <v/>
      </c>
      <c r="J2344" s="82" t="str">
        <f aca="false">IF(B2344="","",IFERROR(INDEX('CARNET DE SOUDURE'!$E$7:$E$3006,MATCH(B2344,'CARNET DE SOUDURE'!$O$7:$O$3006,0)),""))</f>
        <v/>
      </c>
      <c r="K2344" s="82" t="str">
        <f aca="false">IF(B2344="","",IFERROR(INDEX('CARNET DE SOUDURE'!$E$7:$E$3006,MATCH(B2344,'CARNET DE SOUDURE'!$L$7:$L$3006,0)),""))</f>
        <v/>
      </c>
      <c r="L2344" s="82" t="str">
        <f aca="false">IF(B2344="","",IFERROR(INDEX('CARNET DE SOUDURE'!$D$7:$D$3006,MATCH(B2344,'CARNET DE SOUDURE'!$L$7:$L$3006,0)),IFERROR(INDEX('CARNET DE SOUDURE'!$D$7:$D$3006,MATCH(B2344,'CARNET DE SOUDURE'!$O$7:$O$3006,0)),"")))</f>
        <v/>
      </c>
      <c r="M2344" s="82" t="str">
        <f aca="false">IF(B2344="","",IF(OR(J2344&lt;&gt;"",K2344&lt;&gt;""),"POSÉ EN LIGNE",IF(COUNTIF(BARDAGE!$C$1:$C$5000,B2344)&gt;0,"BARDÉ","EN STOCK")))</f>
        <v/>
      </c>
      <c r="N2344" s="80"/>
    </row>
    <row r="2345" customFormat="false" ht="15" hidden="false" customHeight="false" outlineLevel="0" collapsed="false">
      <c r="A2345" s="82" t="str">
        <f aca="false">IF(B2345="","",ROW()-6)</f>
        <v/>
      </c>
      <c r="B2345" s="145"/>
      <c r="C2345" s="146"/>
      <c r="D2345" s="146"/>
      <c r="E2345" s="82" t="str">
        <f aca="false">IF(B2345="","",IF(COUNTIFS('CARNET DE SOUDURE'!$L$7:$L$3006,B2345,'CARNET DE SOUDURE'!$M$7:$M$3006,"&lt;&gt;"&amp;C2345,'CARNET DE SOUDURE'!$M$7:$M$3006,"&lt;&gt;")+COUNTIFS('CARNET DE SOUDURE'!$O$7:$O$3006,B2345,'CARNET DE SOUDURE'!$P$7:$P$3006,"&lt;&gt;"&amp;C2345,'CARNET DE SOUDURE'!$P$7:$P$3006,"&lt;&gt;")&gt;0,"⚠ DIFFÉRENTE","OK"))</f>
        <v/>
      </c>
      <c r="F2345" s="147"/>
      <c r="G2345" s="80"/>
      <c r="H2345" s="83"/>
      <c r="I2345" s="148" t="str">
        <f aca="false">IF(B2345="","",IFERROR(INDEX('CARNET DE SOUDURE'!$B$7:$B$3006,MATCH(B2345,'CARNET DE SOUDURE'!$L$7:$L$3006,0)),IFERROR(INDEX('CARNET DE SOUDURE'!$B$7:$B$3006,MATCH(B2345,'CARNET DE SOUDURE'!$O$7:$O$3006,0)),"")))</f>
        <v/>
      </c>
      <c r="J2345" s="82" t="str">
        <f aca="false">IF(B2345="","",IFERROR(INDEX('CARNET DE SOUDURE'!$E$7:$E$3006,MATCH(B2345,'CARNET DE SOUDURE'!$O$7:$O$3006,0)),""))</f>
        <v/>
      </c>
      <c r="K2345" s="82" t="str">
        <f aca="false">IF(B2345="","",IFERROR(INDEX('CARNET DE SOUDURE'!$E$7:$E$3006,MATCH(B2345,'CARNET DE SOUDURE'!$L$7:$L$3006,0)),""))</f>
        <v/>
      </c>
      <c r="L2345" s="82" t="str">
        <f aca="false">IF(B2345="","",IFERROR(INDEX('CARNET DE SOUDURE'!$D$7:$D$3006,MATCH(B2345,'CARNET DE SOUDURE'!$L$7:$L$3006,0)),IFERROR(INDEX('CARNET DE SOUDURE'!$D$7:$D$3006,MATCH(B2345,'CARNET DE SOUDURE'!$O$7:$O$3006,0)),"")))</f>
        <v/>
      </c>
      <c r="M2345" s="82" t="str">
        <f aca="false">IF(B2345="","",IF(OR(J2345&lt;&gt;"",K2345&lt;&gt;""),"POSÉ EN LIGNE",IF(COUNTIF(BARDAGE!$C$1:$C$5000,B2345)&gt;0,"BARDÉ","EN STOCK")))</f>
        <v/>
      </c>
      <c r="N2345" s="80"/>
    </row>
    <row r="2346" customFormat="false" ht="15" hidden="false" customHeight="false" outlineLevel="0" collapsed="false">
      <c r="A2346" s="82" t="str">
        <f aca="false">IF(B2346="","",ROW()-6)</f>
        <v/>
      </c>
      <c r="B2346" s="145"/>
      <c r="C2346" s="146"/>
      <c r="D2346" s="146"/>
      <c r="E2346" s="82" t="str">
        <f aca="false">IF(B2346="","",IF(COUNTIFS('CARNET DE SOUDURE'!$L$7:$L$3006,B2346,'CARNET DE SOUDURE'!$M$7:$M$3006,"&lt;&gt;"&amp;C2346,'CARNET DE SOUDURE'!$M$7:$M$3006,"&lt;&gt;")+COUNTIFS('CARNET DE SOUDURE'!$O$7:$O$3006,B2346,'CARNET DE SOUDURE'!$P$7:$P$3006,"&lt;&gt;"&amp;C2346,'CARNET DE SOUDURE'!$P$7:$P$3006,"&lt;&gt;")&gt;0,"⚠ DIFFÉRENTE","OK"))</f>
        <v/>
      </c>
      <c r="F2346" s="147"/>
      <c r="G2346" s="80"/>
      <c r="H2346" s="83"/>
      <c r="I2346" s="148" t="str">
        <f aca="false">IF(B2346="","",IFERROR(INDEX('CARNET DE SOUDURE'!$B$7:$B$3006,MATCH(B2346,'CARNET DE SOUDURE'!$L$7:$L$3006,0)),IFERROR(INDEX('CARNET DE SOUDURE'!$B$7:$B$3006,MATCH(B2346,'CARNET DE SOUDURE'!$O$7:$O$3006,0)),"")))</f>
        <v/>
      </c>
      <c r="J2346" s="82" t="str">
        <f aca="false">IF(B2346="","",IFERROR(INDEX('CARNET DE SOUDURE'!$E$7:$E$3006,MATCH(B2346,'CARNET DE SOUDURE'!$O$7:$O$3006,0)),""))</f>
        <v/>
      </c>
      <c r="K2346" s="82" t="str">
        <f aca="false">IF(B2346="","",IFERROR(INDEX('CARNET DE SOUDURE'!$E$7:$E$3006,MATCH(B2346,'CARNET DE SOUDURE'!$L$7:$L$3006,0)),""))</f>
        <v/>
      </c>
      <c r="L2346" s="82" t="str">
        <f aca="false">IF(B2346="","",IFERROR(INDEX('CARNET DE SOUDURE'!$D$7:$D$3006,MATCH(B2346,'CARNET DE SOUDURE'!$L$7:$L$3006,0)),IFERROR(INDEX('CARNET DE SOUDURE'!$D$7:$D$3006,MATCH(B2346,'CARNET DE SOUDURE'!$O$7:$O$3006,0)),"")))</f>
        <v/>
      </c>
      <c r="M2346" s="82" t="str">
        <f aca="false">IF(B2346="","",IF(OR(J2346&lt;&gt;"",K2346&lt;&gt;""),"POSÉ EN LIGNE",IF(COUNTIF(BARDAGE!$C$1:$C$5000,B2346)&gt;0,"BARDÉ","EN STOCK")))</f>
        <v/>
      </c>
      <c r="N2346" s="80"/>
    </row>
    <row r="2347" customFormat="false" ht="15" hidden="false" customHeight="false" outlineLevel="0" collapsed="false">
      <c r="A2347" s="82" t="str">
        <f aca="false">IF(B2347="","",ROW()-6)</f>
        <v/>
      </c>
      <c r="B2347" s="145"/>
      <c r="C2347" s="146"/>
      <c r="D2347" s="146"/>
      <c r="E2347" s="82" t="str">
        <f aca="false">IF(B2347="","",IF(COUNTIFS('CARNET DE SOUDURE'!$L$7:$L$3006,B2347,'CARNET DE SOUDURE'!$M$7:$M$3006,"&lt;&gt;"&amp;C2347,'CARNET DE SOUDURE'!$M$7:$M$3006,"&lt;&gt;")+COUNTIFS('CARNET DE SOUDURE'!$O$7:$O$3006,B2347,'CARNET DE SOUDURE'!$P$7:$P$3006,"&lt;&gt;"&amp;C2347,'CARNET DE SOUDURE'!$P$7:$P$3006,"&lt;&gt;")&gt;0,"⚠ DIFFÉRENTE","OK"))</f>
        <v/>
      </c>
      <c r="F2347" s="147"/>
      <c r="G2347" s="80"/>
      <c r="H2347" s="83"/>
      <c r="I2347" s="148" t="str">
        <f aca="false">IF(B2347="","",IFERROR(INDEX('CARNET DE SOUDURE'!$B$7:$B$3006,MATCH(B2347,'CARNET DE SOUDURE'!$L$7:$L$3006,0)),IFERROR(INDEX('CARNET DE SOUDURE'!$B$7:$B$3006,MATCH(B2347,'CARNET DE SOUDURE'!$O$7:$O$3006,0)),"")))</f>
        <v/>
      </c>
      <c r="J2347" s="82" t="str">
        <f aca="false">IF(B2347="","",IFERROR(INDEX('CARNET DE SOUDURE'!$E$7:$E$3006,MATCH(B2347,'CARNET DE SOUDURE'!$O$7:$O$3006,0)),""))</f>
        <v/>
      </c>
      <c r="K2347" s="82" t="str">
        <f aca="false">IF(B2347="","",IFERROR(INDEX('CARNET DE SOUDURE'!$E$7:$E$3006,MATCH(B2347,'CARNET DE SOUDURE'!$L$7:$L$3006,0)),""))</f>
        <v/>
      </c>
      <c r="L2347" s="82" t="str">
        <f aca="false">IF(B2347="","",IFERROR(INDEX('CARNET DE SOUDURE'!$D$7:$D$3006,MATCH(B2347,'CARNET DE SOUDURE'!$L$7:$L$3006,0)),IFERROR(INDEX('CARNET DE SOUDURE'!$D$7:$D$3006,MATCH(B2347,'CARNET DE SOUDURE'!$O$7:$O$3006,0)),"")))</f>
        <v/>
      </c>
      <c r="M2347" s="82" t="str">
        <f aca="false">IF(B2347="","",IF(OR(J2347&lt;&gt;"",K2347&lt;&gt;""),"POSÉ EN LIGNE",IF(COUNTIF(BARDAGE!$C$1:$C$5000,B2347)&gt;0,"BARDÉ","EN STOCK")))</f>
        <v/>
      </c>
      <c r="N2347" s="80"/>
    </row>
    <row r="2348" customFormat="false" ht="15" hidden="false" customHeight="false" outlineLevel="0" collapsed="false">
      <c r="A2348" s="82" t="str">
        <f aca="false">IF(B2348="","",ROW()-6)</f>
        <v/>
      </c>
      <c r="B2348" s="145"/>
      <c r="C2348" s="146"/>
      <c r="D2348" s="146"/>
      <c r="E2348" s="82" t="str">
        <f aca="false">IF(B2348="","",IF(COUNTIFS('CARNET DE SOUDURE'!$L$7:$L$3006,B2348,'CARNET DE SOUDURE'!$M$7:$M$3006,"&lt;&gt;"&amp;C2348,'CARNET DE SOUDURE'!$M$7:$M$3006,"&lt;&gt;")+COUNTIFS('CARNET DE SOUDURE'!$O$7:$O$3006,B2348,'CARNET DE SOUDURE'!$P$7:$P$3006,"&lt;&gt;"&amp;C2348,'CARNET DE SOUDURE'!$P$7:$P$3006,"&lt;&gt;")&gt;0,"⚠ DIFFÉRENTE","OK"))</f>
        <v/>
      </c>
      <c r="F2348" s="147"/>
      <c r="G2348" s="80"/>
      <c r="H2348" s="83"/>
      <c r="I2348" s="148" t="str">
        <f aca="false">IF(B2348="","",IFERROR(INDEX('CARNET DE SOUDURE'!$B$7:$B$3006,MATCH(B2348,'CARNET DE SOUDURE'!$L$7:$L$3006,0)),IFERROR(INDEX('CARNET DE SOUDURE'!$B$7:$B$3006,MATCH(B2348,'CARNET DE SOUDURE'!$O$7:$O$3006,0)),"")))</f>
        <v/>
      </c>
      <c r="J2348" s="82" t="str">
        <f aca="false">IF(B2348="","",IFERROR(INDEX('CARNET DE SOUDURE'!$E$7:$E$3006,MATCH(B2348,'CARNET DE SOUDURE'!$O$7:$O$3006,0)),""))</f>
        <v/>
      </c>
      <c r="K2348" s="82" t="str">
        <f aca="false">IF(B2348="","",IFERROR(INDEX('CARNET DE SOUDURE'!$E$7:$E$3006,MATCH(B2348,'CARNET DE SOUDURE'!$L$7:$L$3006,0)),""))</f>
        <v/>
      </c>
      <c r="L2348" s="82" t="str">
        <f aca="false">IF(B2348="","",IFERROR(INDEX('CARNET DE SOUDURE'!$D$7:$D$3006,MATCH(B2348,'CARNET DE SOUDURE'!$L$7:$L$3006,0)),IFERROR(INDEX('CARNET DE SOUDURE'!$D$7:$D$3006,MATCH(B2348,'CARNET DE SOUDURE'!$O$7:$O$3006,0)),"")))</f>
        <v/>
      </c>
      <c r="M2348" s="82" t="str">
        <f aca="false">IF(B2348="","",IF(OR(J2348&lt;&gt;"",K2348&lt;&gt;""),"POSÉ EN LIGNE",IF(COUNTIF(BARDAGE!$C$1:$C$5000,B2348)&gt;0,"BARDÉ","EN STOCK")))</f>
        <v/>
      </c>
      <c r="N2348" s="80"/>
    </row>
    <row r="2349" customFormat="false" ht="15" hidden="false" customHeight="false" outlineLevel="0" collapsed="false">
      <c r="A2349" s="82" t="str">
        <f aca="false">IF(B2349="","",ROW()-6)</f>
        <v/>
      </c>
      <c r="B2349" s="145"/>
      <c r="C2349" s="146"/>
      <c r="D2349" s="146"/>
      <c r="E2349" s="82" t="str">
        <f aca="false">IF(B2349="","",IF(COUNTIFS('CARNET DE SOUDURE'!$L$7:$L$3006,B2349,'CARNET DE SOUDURE'!$M$7:$M$3006,"&lt;&gt;"&amp;C2349,'CARNET DE SOUDURE'!$M$7:$M$3006,"&lt;&gt;")+COUNTIFS('CARNET DE SOUDURE'!$O$7:$O$3006,B2349,'CARNET DE SOUDURE'!$P$7:$P$3006,"&lt;&gt;"&amp;C2349,'CARNET DE SOUDURE'!$P$7:$P$3006,"&lt;&gt;")&gt;0,"⚠ DIFFÉRENTE","OK"))</f>
        <v/>
      </c>
      <c r="F2349" s="147"/>
      <c r="G2349" s="80"/>
      <c r="H2349" s="83"/>
      <c r="I2349" s="148" t="str">
        <f aca="false">IF(B2349="","",IFERROR(INDEX('CARNET DE SOUDURE'!$B$7:$B$3006,MATCH(B2349,'CARNET DE SOUDURE'!$L$7:$L$3006,0)),IFERROR(INDEX('CARNET DE SOUDURE'!$B$7:$B$3006,MATCH(B2349,'CARNET DE SOUDURE'!$O$7:$O$3006,0)),"")))</f>
        <v/>
      </c>
      <c r="J2349" s="82" t="str">
        <f aca="false">IF(B2349="","",IFERROR(INDEX('CARNET DE SOUDURE'!$E$7:$E$3006,MATCH(B2349,'CARNET DE SOUDURE'!$O$7:$O$3006,0)),""))</f>
        <v/>
      </c>
      <c r="K2349" s="82" t="str">
        <f aca="false">IF(B2349="","",IFERROR(INDEX('CARNET DE SOUDURE'!$E$7:$E$3006,MATCH(B2349,'CARNET DE SOUDURE'!$L$7:$L$3006,0)),""))</f>
        <v/>
      </c>
      <c r="L2349" s="82" t="str">
        <f aca="false">IF(B2349="","",IFERROR(INDEX('CARNET DE SOUDURE'!$D$7:$D$3006,MATCH(B2349,'CARNET DE SOUDURE'!$L$7:$L$3006,0)),IFERROR(INDEX('CARNET DE SOUDURE'!$D$7:$D$3006,MATCH(B2349,'CARNET DE SOUDURE'!$O$7:$O$3006,0)),"")))</f>
        <v/>
      </c>
      <c r="M2349" s="82" t="str">
        <f aca="false">IF(B2349="","",IF(OR(J2349&lt;&gt;"",K2349&lt;&gt;""),"POSÉ EN LIGNE",IF(COUNTIF(BARDAGE!$C$1:$C$5000,B2349)&gt;0,"BARDÉ","EN STOCK")))</f>
        <v/>
      </c>
      <c r="N2349" s="80"/>
    </row>
    <row r="2350" customFormat="false" ht="15" hidden="false" customHeight="false" outlineLevel="0" collapsed="false">
      <c r="A2350" s="82" t="str">
        <f aca="false">IF(B2350="","",ROW()-6)</f>
        <v/>
      </c>
      <c r="B2350" s="145"/>
      <c r="C2350" s="146"/>
      <c r="D2350" s="146"/>
      <c r="E2350" s="82" t="str">
        <f aca="false">IF(B2350="","",IF(COUNTIFS('CARNET DE SOUDURE'!$L$7:$L$3006,B2350,'CARNET DE SOUDURE'!$M$7:$M$3006,"&lt;&gt;"&amp;C2350,'CARNET DE SOUDURE'!$M$7:$M$3006,"&lt;&gt;")+COUNTIFS('CARNET DE SOUDURE'!$O$7:$O$3006,B2350,'CARNET DE SOUDURE'!$P$7:$P$3006,"&lt;&gt;"&amp;C2350,'CARNET DE SOUDURE'!$P$7:$P$3006,"&lt;&gt;")&gt;0,"⚠ DIFFÉRENTE","OK"))</f>
        <v/>
      </c>
      <c r="F2350" s="147"/>
      <c r="G2350" s="80"/>
      <c r="H2350" s="83"/>
      <c r="I2350" s="148" t="str">
        <f aca="false">IF(B2350="","",IFERROR(INDEX('CARNET DE SOUDURE'!$B$7:$B$3006,MATCH(B2350,'CARNET DE SOUDURE'!$L$7:$L$3006,0)),IFERROR(INDEX('CARNET DE SOUDURE'!$B$7:$B$3006,MATCH(B2350,'CARNET DE SOUDURE'!$O$7:$O$3006,0)),"")))</f>
        <v/>
      </c>
      <c r="J2350" s="82" t="str">
        <f aca="false">IF(B2350="","",IFERROR(INDEX('CARNET DE SOUDURE'!$E$7:$E$3006,MATCH(B2350,'CARNET DE SOUDURE'!$O$7:$O$3006,0)),""))</f>
        <v/>
      </c>
      <c r="K2350" s="82" t="str">
        <f aca="false">IF(B2350="","",IFERROR(INDEX('CARNET DE SOUDURE'!$E$7:$E$3006,MATCH(B2350,'CARNET DE SOUDURE'!$L$7:$L$3006,0)),""))</f>
        <v/>
      </c>
      <c r="L2350" s="82" t="str">
        <f aca="false">IF(B2350="","",IFERROR(INDEX('CARNET DE SOUDURE'!$D$7:$D$3006,MATCH(B2350,'CARNET DE SOUDURE'!$L$7:$L$3006,0)),IFERROR(INDEX('CARNET DE SOUDURE'!$D$7:$D$3006,MATCH(B2350,'CARNET DE SOUDURE'!$O$7:$O$3006,0)),"")))</f>
        <v/>
      </c>
      <c r="M2350" s="82" t="str">
        <f aca="false">IF(B2350="","",IF(OR(J2350&lt;&gt;"",K2350&lt;&gt;""),"POSÉ EN LIGNE",IF(COUNTIF(BARDAGE!$C$1:$C$5000,B2350)&gt;0,"BARDÉ","EN STOCK")))</f>
        <v/>
      </c>
      <c r="N2350" s="80"/>
    </row>
    <row r="2351" customFormat="false" ht="15" hidden="false" customHeight="false" outlineLevel="0" collapsed="false">
      <c r="A2351" s="82" t="str">
        <f aca="false">IF(B2351="","",ROW()-6)</f>
        <v/>
      </c>
      <c r="B2351" s="145"/>
      <c r="C2351" s="146"/>
      <c r="D2351" s="146"/>
      <c r="E2351" s="82" t="str">
        <f aca="false">IF(B2351="","",IF(COUNTIFS('CARNET DE SOUDURE'!$L$7:$L$3006,B2351,'CARNET DE SOUDURE'!$M$7:$M$3006,"&lt;&gt;"&amp;C2351,'CARNET DE SOUDURE'!$M$7:$M$3006,"&lt;&gt;")+COUNTIFS('CARNET DE SOUDURE'!$O$7:$O$3006,B2351,'CARNET DE SOUDURE'!$P$7:$P$3006,"&lt;&gt;"&amp;C2351,'CARNET DE SOUDURE'!$P$7:$P$3006,"&lt;&gt;")&gt;0,"⚠ DIFFÉRENTE","OK"))</f>
        <v/>
      </c>
      <c r="F2351" s="147"/>
      <c r="G2351" s="80"/>
      <c r="H2351" s="83"/>
      <c r="I2351" s="148" t="str">
        <f aca="false">IF(B2351="","",IFERROR(INDEX('CARNET DE SOUDURE'!$B$7:$B$3006,MATCH(B2351,'CARNET DE SOUDURE'!$L$7:$L$3006,0)),IFERROR(INDEX('CARNET DE SOUDURE'!$B$7:$B$3006,MATCH(B2351,'CARNET DE SOUDURE'!$O$7:$O$3006,0)),"")))</f>
        <v/>
      </c>
      <c r="J2351" s="82" t="str">
        <f aca="false">IF(B2351="","",IFERROR(INDEX('CARNET DE SOUDURE'!$E$7:$E$3006,MATCH(B2351,'CARNET DE SOUDURE'!$O$7:$O$3006,0)),""))</f>
        <v/>
      </c>
      <c r="K2351" s="82" t="str">
        <f aca="false">IF(B2351="","",IFERROR(INDEX('CARNET DE SOUDURE'!$E$7:$E$3006,MATCH(B2351,'CARNET DE SOUDURE'!$L$7:$L$3006,0)),""))</f>
        <v/>
      </c>
      <c r="L2351" s="82" t="str">
        <f aca="false">IF(B2351="","",IFERROR(INDEX('CARNET DE SOUDURE'!$D$7:$D$3006,MATCH(B2351,'CARNET DE SOUDURE'!$L$7:$L$3006,0)),IFERROR(INDEX('CARNET DE SOUDURE'!$D$7:$D$3006,MATCH(B2351,'CARNET DE SOUDURE'!$O$7:$O$3006,0)),"")))</f>
        <v/>
      </c>
      <c r="M2351" s="82" t="str">
        <f aca="false">IF(B2351="","",IF(OR(J2351&lt;&gt;"",K2351&lt;&gt;""),"POSÉ EN LIGNE",IF(COUNTIF(BARDAGE!$C$1:$C$5000,B2351)&gt;0,"BARDÉ","EN STOCK")))</f>
        <v/>
      </c>
      <c r="N2351" s="80"/>
    </row>
    <row r="2352" customFormat="false" ht="15" hidden="false" customHeight="false" outlineLevel="0" collapsed="false">
      <c r="A2352" s="82" t="str">
        <f aca="false">IF(B2352="","",ROW()-6)</f>
        <v/>
      </c>
      <c r="B2352" s="145"/>
      <c r="C2352" s="146"/>
      <c r="D2352" s="146"/>
      <c r="E2352" s="82" t="str">
        <f aca="false">IF(B2352="","",IF(COUNTIFS('CARNET DE SOUDURE'!$L$7:$L$3006,B2352,'CARNET DE SOUDURE'!$M$7:$M$3006,"&lt;&gt;"&amp;C2352,'CARNET DE SOUDURE'!$M$7:$M$3006,"&lt;&gt;")+COUNTIFS('CARNET DE SOUDURE'!$O$7:$O$3006,B2352,'CARNET DE SOUDURE'!$P$7:$P$3006,"&lt;&gt;"&amp;C2352,'CARNET DE SOUDURE'!$P$7:$P$3006,"&lt;&gt;")&gt;0,"⚠ DIFFÉRENTE","OK"))</f>
        <v/>
      </c>
      <c r="F2352" s="147"/>
      <c r="G2352" s="80"/>
      <c r="H2352" s="83"/>
      <c r="I2352" s="148" t="str">
        <f aca="false">IF(B2352="","",IFERROR(INDEX('CARNET DE SOUDURE'!$B$7:$B$3006,MATCH(B2352,'CARNET DE SOUDURE'!$L$7:$L$3006,0)),IFERROR(INDEX('CARNET DE SOUDURE'!$B$7:$B$3006,MATCH(B2352,'CARNET DE SOUDURE'!$O$7:$O$3006,0)),"")))</f>
        <v/>
      </c>
      <c r="J2352" s="82" t="str">
        <f aca="false">IF(B2352="","",IFERROR(INDEX('CARNET DE SOUDURE'!$E$7:$E$3006,MATCH(B2352,'CARNET DE SOUDURE'!$O$7:$O$3006,0)),""))</f>
        <v/>
      </c>
      <c r="K2352" s="82" t="str">
        <f aca="false">IF(B2352="","",IFERROR(INDEX('CARNET DE SOUDURE'!$E$7:$E$3006,MATCH(B2352,'CARNET DE SOUDURE'!$L$7:$L$3006,0)),""))</f>
        <v/>
      </c>
      <c r="L2352" s="82" t="str">
        <f aca="false">IF(B2352="","",IFERROR(INDEX('CARNET DE SOUDURE'!$D$7:$D$3006,MATCH(B2352,'CARNET DE SOUDURE'!$L$7:$L$3006,0)),IFERROR(INDEX('CARNET DE SOUDURE'!$D$7:$D$3006,MATCH(B2352,'CARNET DE SOUDURE'!$O$7:$O$3006,0)),"")))</f>
        <v/>
      </c>
      <c r="M2352" s="82" t="str">
        <f aca="false">IF(B2352="","",IF(OR(J2352&lt;&gt;"",K2352&lt;&gt;""),"POSÉ EN LIGNE",IF(COUNTIF(BARDAGE!$C$1:$C$5000,B2352)&gt;0,"BARDÉ","EN STOCK")))</f>
        <v/>
      </c>
      <c r="N2352" s="80"/>
    </row>
    <row r="2353" customFormat="false" ht="15" hidden="false" customHeight="false" outlineLevel="0" collapsed="false">
      <c r="A2353" s="82" t="str">
        <f aca="false">IF(B2353="","",ROW()-6)</f>
        <v/>
      </c>
      <c r="B2353" s="145"/>
      <c r="C2353" s="146"/>
      <c r="D2353" s="146"/>
      <c r="E2353" s="82" t="str">
        <f aca="false">IF(B2353="","",IF(COUNTIFS('CARNET DE SOUDURE'!$L$7:$L$3006,B2353,'CARNET DE SOUDURE'!$M$7:$M$3006,"&lt;&gt;"&amp;C2353,'CARNET DE SOUDURE'!$M$7:$M$3006,"&lt;&gt;")+COUNTIFS('CARNET DE SOUDURE'!$O$7:$O$3006,B2353,'CARNET DE SOUDURE'!$P$7:$P$3006,"&lt;&gt;"&amp;C2353,'CARNET DE SOUDURE'!$P$7:$P$3006,"&lt;&gt;")&gt;0,"⚠ DIFFÉRENTE","OK"))</f>
        <v/>
      </c>
      <c r="F2353" s="147"/>
      <c r="G2353" s="80"/>
      <c r="H2353" s="83"/>
      <c r="I2353" s="148" t="str">
        <f aca="false">IF(B2353="","",IFERROR(INDEX('CARNET DE SOUDURE'!$B$7:$B$3006,MATCH(B2353,'CARNET DE SOUDURE'!$L$7:$L$3006,0)),IFERROR(INDEX('CARNET DE SOUDURE'!$B$7:$B$3006,MATCH(B2353,'CARNET DE SOUDURE'!$O$7:$O$3006,0)),"")))</f>
        <v/>
      </c>
      <c r="J2353" s="82" t="str">
        <f aca="false">IF(B2353="","",IFERROR(INDEX('CARNET DE SOUDURE'!$E$7:$E$3006,MATCH(B2353,'CARNET DE SOUDURE'!$O$7:$O$3006,0)),""))</f>
        <v/>
      </c>
      <c r="K2353" s="82" t="str">
        <f aca="false">IF(B2353="","",IFERROR(INDEX('CARNET DE SOUDURE'!$E$7:$E$3006,MATCH(B2353,'CARNET DE SOUDURE'!$L$7:$L$3006,0)),""))</f>
        <v/>
      </c>
      <c r="L2353" s="82" t="str">
        <f aca="false">IF(B2353="","",IFERROR(INDEX('CARNET DE SOUDURE'!$D$7:$D$3006,MATCH(B2353,'CARNET DE SOUDURE'!$L$7:$L$3006,0)),IFERROR(INDEX('CARNET DE SOUDURE'!$D$7:$D$3006,MATCH(B2353,'CARNET DE SOUDURE'!$O$7:$O$3006,0)),"")))</f>
        <v/>
      </c>
      <c r="M2353" s="82" t="str">
        <f aca="false">IF(B2353="","",IF(OR(J2353&lt;&gt;"",K2353&lt;&gt;""),"POSÉ EN LIGNE",IF(COUNTIF(BARDAGE!$C$1:$C$5000,B2353)&gt;0,"BARDÉ","EN STOCK")))</f>
        <v/>
      </c>
      <c r="N2353" s="80"/>
    </row>
    <row r="2354" customFormat="false" ht="15" hidden="false" customHeight="false" outlineLevel="0" collapsed="false">
      <c r="A2354" s="82" t="str">
        <f aca="false">IF(B2354="","",ROW()-6)</f>
        <v/>
      </c>
      <c r="B2354" s="145"/>
      <c r="C2354" s="146"/>
      <c r="D2354" s="146"/>
      <c r="E2354" s="82" t="str">
        <f aca="false">IF(B2354="","",IF(COUNTIFS('CARNET DE SOUDURE'!$L$7:$L$3006,B2354,'CARNET DE SOUDURE'!$M$7:$M$3006,"&lt;&gt;"&amp;C2354,'CARNET DE SOUDURE'!$M$7:$M$3006,"&lt;&gt;")+COUNTIFS('CARNET DE SOUDURE'!$O$7:$O$3006,B2354,'CARNET DE SOUDURE'!$P$7:$P$3006,"&lt;&gt;"&amp;C2354,'CARNET DE SOUDURE'!$P$7:$P$3006,"&lt;&gt;")&gt;0,"⚠ DIFFÉRENTE","OK"))</f>
        <v/>
      </c>
      <c r="F2354" s="147"/>
      <c r="G2354" s="80"/>
      <c r="H2354" s="83"/>
      <c r="I2354" s="148" t="str">
        <f aca="false">IF(B2354="","",IFERROR(INDEX('CARNET DE SOUDURE'!$B$7:$B$3006,MATCH(B2354,'CARNET DE SOUDURE'!$L$7:$L$3006,0)),IFERROR(INDEX('CARNET DE SOUDURE'!$B$7:$B$3006,MATCH(B2354,'CARNET DE SOUDURE'!$O$7:$O$3006,0)),"")))</f>
        <v/>
      </c>
      <c r="J2354" s="82" t="str">
        <f aca="false">IF(B2354="","",IFERROR(INDEX('CARNET DE SOUDURE'!$E$7:$E$3006,MATCH(B2354,'CARNET DE SOUDURE'!$O$7:$O$3006,0)),""))</f>
        <v/>
      </c>
      <c r="K2354" s="82" t="str">
        <f aca="false">IF(B2354="","",IFERROR(INDEX('CARNET DE SOUDURE'!$E$7:$E$3006,MATCH(B2354,'CARNET DE SOUDURE'!$L$7:$L$3006,0)),""))</f>
        <v/>
      </c>
      <c r="L2354" s="82" t="str">
        <f aca="false">IF(B2354="","",IFERROR(INDEX('CARNET DE SOUDURE'!$D$7:$D$3006,MATCH(B2354,'CARNET DE SOUDURE'!$L$7:$L$3006,0)),IFERROR(INDEX('CARNET DE SOUDURE'!$D$7:$D$3006,MATCH(B2354,'CARNET DE SOUDURE'!$O$7:$O$3006,0)),"")))</f>
        <v/>
      </c>
      <c r="M2354" s="82" t="str">
        <f aca="false">IF(B2354="","",IF(OR(J2354&lt;&gt;"",K2354&lt;&gt;""),"POSÉ EN LIGNE",IF(COUNTIF(BARDAGE!$C$1:$C$5000,B2354)&gt;0,"BARDÉ","EN STOCK")))</f>
        <v/>
      </c>
      <c r="N2354" s="80"/>
    </row>
    <row r="2355" customFormat="false" ht="15" hidden="false" customHeight="false" outlineLevel="0" collapsed="false">
      <c r="A2355" s="82" t="str">
        <f aca="false">IF(B2355="","",ROW()-6)</f>
        <v/>
      </c>
      <c r="B2355" s="145"/>
      <c r="C2355" s="146"/>
      <c r="D2355" s="146"/>
      <c r="E2355" s="82" t="str">
        <f aca="false">IF(B2355="","",IF(COUNTIFS('CARNET DE SOUDURE'!$L$7:$L$3006,B2355,'CARNET DE SOUDURE'!$M$7:$M$3006,"&lt;&gt;"&amp;C2355,'CARNET DE SOUDURE'!$M$7:$M$3006,"&lt;&gt;")+COUNTIFS('CARNET DE SOUDURE'!$O$7:$O$3006,B2355,'CARNET DE SOUDURE'!$P$7:$P$3006,"&lt;&gt;"&amp;C2355,'CARNET DE SOUDURE'!$P$7:$P$3006,"&lt;&gt;")&gt;0,"⚠ DIFFÉRENTE","OK"))</f>
        <v/>
      </c>
      <c r="F2355" s="147"/>
      <c r="G2355" s="80"/>
      <c r="H2355" s="83"/>
      <c r="I2355" s="148" t="str">
        <f aca="false">IF(B2355="","",IFERROR(INDEX('CARNET DE SOUDURE'!$B$7:$B$3006,MATCH(B2355,'CARNET DE SOUDURE'!$L$7:$L$3006,0)),IFERROR(INDEX('CARNET DE SOUDURE'!$B$7:$B$3006,MATCH(B2355,'CARNET DE SOUDURE'!$O$7:$O$3006,0)),"")))</f>
        <v/>
      </c>
      <c r="J2355" s="82" t="str">
        <f aca="false">IF(B2355="","",IFERROR(INDEX('CARNET DE SOUDURE'!$E$7:$E$3006,MATCH(B2355,'CARNET DE SOUDURE'!$O$7:$O$3006,0)),""))</f>
        <v/>
      </c>
      <c r="K2355" s="82" t="str">
        <f aca="false">IF(B2355="","",IFERROR(INDEX('CARNET DE SOUDURE'!$E$7:$E$3006,MATCH(B2355,'CARNET DE SOUDURE'!$L$7:$L$3006,0)),""))</f>
        <v/>
      </c>
      <c r="L2355" s="82" t="str">
        <f aca="false">IF(B2355="","",IFERROR(INDEX('CARNET DE SOUDURE'!$D$7:$D$3006,MATCH(B2355,'CARNET DE SOUDURE'!$L$7:$L$3006,0)),IFERROR(INDEX('CARNET DE SOUDURE'!$D$7:$D$3006,MATCH(B2355,'CARNET DE SOUDURE'!$O$7:$O$3006,0)),"")))</f>
        <v/>
      </c>
      <c r="M2355" s="82" t="str">
        <f aca="false">IF(B2355="","",IF(OR(J2355&lt;&gt;"",K2355&lt;&gt;""),"POSÉ EN LIGNE",IF(COUNTIF(BARDAGE!$C$1:$C$5000,B2355)&gt;0,"BARDÉ","EN STOCK")))</f>
        <v/>
      </c>
      <c r="N2355" s="80"/>
    </row>
    <row r="2356" customFormat="false" ht="15" hidden="false" customHeight="false" outlineLevel="0" collapsed="false">
      <c r="A2356" s="82" t="str">
        <f aca="false">IF(B2356="","",ROW()-6)</f>
        <v/>
      </c>
      <c r="B2356" s="145"/>
      <c r="C2356" s="146"/>
      <c r="D2356" s="146"/>
      <c r="E2356" s="82" t="str">
        <f aca="false">IF(B2356="","",IF(COUNTIFS('CARNET DE SOUDURE'!$L$7:$L$3006,B2356,'CARNET DE SOUDURE'!$M$7:$M$3006,"&lt;&gt;"&amp;C2356,'CARNET DE SOUDURE'!$M$7:$M$3006,"&lt;&gt;")+COUNTIFS('CARNET DE SOUDURE'!$O$7:$O$3006,B2356,'CARNET DE SOUDURE'!$P$7:$P$3006,"&lt;&gt;"&amp;C2356,'CARNET DE SOUDURE'!$P$7:$P$3006,"&lt;&gt;")&gt;0,"⚠ DIFFÉRENTE","OK"))</f>
        <v/>
      </c>
      <c r="F2356" s="147"/>
      <c r="G2356" s="80"/>
      <c r="H2356" s="83"/>
      <c r="I2356" s="148" t="str">
        <f aca="false">IF(B2356="","",IFERROR(INDEX('CARNET DE SOUDURE'!$B$7:$B$3006,MATCH(B2356,'CARNET DE SOUDURE'!$L$7:$L$3006,0)),IFERROR(INDEX('CARNET DE SOUDURE'!$B$7:$B$3006,MATCH(B2356,'CARNET DE SOUDURE'!$O$7:$O$3006,0)),"")))</f>
        <v/>
      </c>
      <c r="J2356" s="82" t="str">
        <f aca="false">IF(B2356="","",IFERROR(INDEX('CARNET DE SOUDURE'!$E$7:$E$3006,MATCH(B2356,'CARNET DE SOUDURE'!$O$7:$O$3006,0)),""))</f>
        <v/>
      </c>
      <c r="K2356" s="82" t="str">
        <f aca="false">IF(B2356="","",IFERROR(INDEX('CARNET DE SOUDURE'!$E$7:$E$3006,MATCH(B2356,'CARNET DE SOUDURE'!$L$7:$L$3006,0)),""))</f>
        <v/>
      </c>
      <c r="L2356" s="82" t="str">
        <f aca="false">IF(B2356="","",IFERROR(INDEX('CARNET DE SOUDURE'!$D$7:$D$3006,MATCH(B2356,'CARNET DE SOUDURE'!$L$7:$L$3006,0)),IFERROR(INDEX('CARNET DE SOUDURE'!$D$7:$D$3006,MATCH(B2356,'CARNET DE SOUDURE'!$O$7:$O$3006,0)),"")))</f>
        <v/>
      </c>
      <c r="M2356" s="82" t="str">
        <f aca="false">IF(B2356="","",IF(OR(J2356&lt;&gt;"",K2356&lt;&gt;""),"POSÉ EN LIGNE",IF(COUNTIF(BARDAGE!$C$1:$C$5000,B2356)&gt;0,"BARDÉ","EN STOCK")))</f>
        <v/>
      </c>
      <c r="N2356" s="80"/>
    </row>
    <row r="2357" customFormat="false" ht="15" hidden="false" customHeight="false" outlineLevel="0" collapsed="false">
      <c r="A2357" s="82" t="str">
        <f aca="false">IF(B2357="","",ROW()-6)</f>
        <v/>
      </c>
      <c r="B2357" s="145"/>
      <c r="C2357" s="146"/>
      <c r="D2357" s="146"/>
      <c r="E2357" s="82" t="str">
        <f aca="false">IF(B2357="","",IF(COUNTIFS('CARNET DE SOUDURE'!$L$7:$L$3006,B2357,'CARNET DE SOUDURE'!$M$7:$M$3006,"&lt;&gt;"&amp;C2357,'CARNET DE SOUDURE'!$M$7:$M$3006,"&lt;&gt;")+COUNTIFS('CARNET DE SOUDURE'!$O$7:$O$3006,B2357,'CARNET DE SOUDURE'!$P$7:$P$3006,"&lt;&gt;"&amp;C2357,'CARNET DE SOUDURE'!$P$7:$P$3006,"&lt;&gt;")&gt;0,"⚠ DIFFÉRENTE","OK"))</f>
        <v/>
      </c>
      <c r="F2357" s="147"/>
      <c r="G2357" s="80"/>
      <c r="H2357" s="83"/>
      <c r="I2357" s="148" t="str">
        <f aca="false">IF(B2357="","",IFERROR(INDEX('CARNET DE SOUDURE'!$B$7:$B$3006,MATCH(B2357,'CARNET DE SOUDURE'!$L$7:$L$3006,0)),IFERROR(INDEX('CARNET DE SOUDURE'!$B$7:$B$3006,MATCH(B2357,'CARNET DE SOUDURE'!$O$7:$O$3006,0)),"")))</f>
        <v/>
      </c>
      <c r="J2357" s="82" t="str">
        <f aca="false">IF(B2357="","",IFERROR(INDEX('CARNET DE SOUDURE'!$E$7:$E$3006,MATCH(B2357,'CARNET DE SOUDURE'!$O$7:$O$3006,0)),""))</f>
        <v/>
      </c>
      <c r="K2357" s="82" t="str">
        <f aca="false">IF(B2357="","",IFERROR(INDEX('CARNET DE SOUDURE'!$E$7:$E$3006,MATCH(B2357,'CARNET DE SOUDURE'!$L$7:$L$3006,0)),""))</f>
        <v/>
      </c>
      <c r="L2357" s="82" t="str">
        <f aca="false">IF(B2357="","",IFERROR(INDEX('CARNET DE SOUDURE'!$D$7:$D$3006,MATCH(B2357,'CARNET DE SOUDURE'!$L$7:$L$3006,0)),IFERROR(INDEX('CARNET DE SOUDURE'!$D$7:$D$3006,MATCH(B2357,'CARNET DE SOUDURE'!$O$7:$O$3006,0)),"")))</f>
        <v/>
      </c>
      <c r="M2357" s="82" t="str">
        <f aca="false">IF(B2357="","",IF(OR(J2357&lt;&gt;"",K2357&lt;&gt;""),"POSÉ EN LIGNE",IF(COUNTIF(BARDAGE!$C$1:$C$5000,B2357)&gt;0,"BARDÉ","EN STOCK")))</f>
        <v/>
      </c>
      <c r="N2357" s="80"/>
    </row>
    <row r="2358" customFormat="false" ht="15" hidden="false" customHeight="false" outlineLevel="0" collapsed="false">
      <c r="A2358" s="82" t="str">
        <f aca="false">IF(B2358="","",ROW()-6)</f>
        <v/>
      </c>
      <c r="B2358" s="145"/>
      <c r="C2358" s="146"/>
      <c r="D2358" s="146"/>
      <c r="E2358" s="82" t="str">
        <f aca="false">IF(B2358="","",IF(COUNTIFS('CARNET DE SOUDURE'!$L$7:$L$3006,B2358,'CARNET DE SOUDURE'!$M$7:$M$3006,"&lt;&gt;"&amp;C2358,'CARNET DE SOUDURE'!$M$7:$M$3006,"&lt;&gt;")+COUNTIFS('CARNET DE SOUDURE'!$O$7:$O$3006,B2358,'CARNET DE SOUDURE'!$P$7:$P$3006,"&lt;&gt;"&amp;C2358,'CARNET DE SOUDURE'!$P$7:$P$3006,"&lt;&gt;")&gt;0,"⚠ DIFFÉRENTE","OK"))</f>
        <v/>
      </c>
      <c r="F2358" s="147"/>
      <c r="G2358" s="80"/>
      <c r="H2358" s="83"/>
      <c r="I2358" s="148" t="str">
        <f aca="false">IF(B2358="","",IFERROR(INDEX('CARNET DE SOUDURE'!$B$7:$B$3006,MATCH(B2358,'CARNET DE SOUDURE'!$L$7:$L$3006,0)),IFERROR(INDEX('CARNET DE SOUDURE'!$B$7:$B$3006,MATCH(B2358,'CARNET DE SOUDURE'!$O$7:$O$3006,0)),"")))</f>
        <v/>
      </c>
      <c r="J2358" s="82" t="str">
        <f aca="false">IF(B2358="","",IFERROR(INDEX('CARNET DE SOUDURE'!$E$7:$E$3006,MATCH(B2358,'CARNET DE SOUDURE'!$O$7:$O$3006,0)),""))</f>
        <v/>
      </c>
      <c r="K2358" s="82" t="str">
        <f aca="false">IF(B2358="","",IFERROR(INDEX('CARNET DE SOUDURE'!$E$7:$E$3006,MATCH(B2358,'CARNET DE SOUDURE'!$L$7:$L$3006,0)),""))</f>
        <v/>
      </c>
      <c r="L2358" s="82" t="str">
        <f aca="false">IF(B2358="","",IFERROR(INDEX('CARNET DE SOUDURE'!$D$7:$D$3006,MATCH(B2358,'CARNET DE SOUDURE'!$L$7:$L$3006,0)),IFERROR(INDEX('CARNET DE SOUDURE'!$D$7:$D$3006,MATCH(B2358,'CARNET DE SOUDURE'!$O$7:$O$3006,0)),"")))</f>
        <v/>
      </c>
      <c r="M2358" s="82" t="str">
        <f aca="false">IF(B2358="","",IF(OR(J2358&lt;&gt;"",K2358&lt;&gt;""),"POSÉ EN LIGNE",IF(COUNTIF(BARDAGE!$C$1:$C$5000,B2358)&gt;0,"BARDÉ","EN STOCK")))</f>
        <v/>
      </c>
      <c r="N2358" s="80"/>
    </row>
    <row r="2359" customFormat="false" ht="15" hidden="false" customHeight="false" outlineLevel="0" collapsed="false">
      <c r="A2359" s="82" t="str">
        <f aca="false">IF(B2359="","",ROW()-6)</f>
        <v/>
      </c>
      <c r="B2359" s="145"/>
      <c r="C2359" s="146"/>
      <c r="D2359" s="146"/>
      <c r="E2359" s="82" t="str">
        <f aca="false">IF(B2359="","",IF(COUNTIFS('CARNET DE SOUDURE'!$L$7:$L$3006,B2359,'CARNET DE SOUDURE'!$M$7:$M$3006,"&lt;&gt;"&amp;C2359,'CARNET DE SOUDURE'!$M$7:$M$3006,"&lt;&gt;")+COUNTIFS('CARNET DE SOUDURE'!$O$7:$O$3006,B2359,'CARNET DE SOUDURE'!$P$7:$P$3006,"&lt;&gt;"&amp;C2359,'CARNET DE SOUDURE'!$P$7:$P$3006,"&lt;&gt;")&gt;0,"⚠ DIFFÉRENTE","OK"))</f>
        <v/>
      </c>
      <c r="F2359" s="147"/>
      <c r="G2359" s="80"/>
      <c r="H2359" s="83"/>
      <c r="I2359" s="148" t="str">
        <f aca="false">IF(B2359="","",IFERROR(INDEX('CARNET DE SOUDURE'!$B$7:$B$3006,MATCH(B2359,'CARNET DE SOUDURE'!$L$7:$L$3006,0)),IFERROR(INDEX('CARNET DE SOUDURE'!$B$7:$B$3006,MATCH(B2359,'CARNET DE SOUDURE'!$O$7:$O$3006,0)),"")))</f>
        <v/>
      </c>
      <c r="J2359" s="82" t="str">
        <f aca="false">IF(B2359="","",IFERROR(INDEX('CARNET DE SOUDURE'!$E$7:$E$3006,MATCH(B2359,'CARNET DE SOUDURE'!$O$7:$O$3006,0)),""))</f>
        <v/>
      </c>
      <c r="K2359" s="82" t="str">
        <f aca="false">IF(B2359="","",IFERROR(INDEX('CARNET DE SOUDURE'!$E$7:$E$3006,MATCH(B2359,'CARNET DE SOUDURE'!$L$7:$L$3006,0)),""))</f>
        <v/>
      </c>
      <c r="L2359" s="82" t="str">
        <f aca="false">IF(B2359="","",IFERROR(INDEX('CARNET DE SOUDURE'!$D$7:$D$3006,MATCH(B2359,'CARNET DE SOUDURE'!$L$7:$L$3006,0)),IFERROR(INDEX('CARNET DE SOUDURE'!$D$7:$D$3006,MATCH(B2359,'CARNET DE SOUDURE'!$O$7:$O$3006,0)),"")))</f>
        <v/>
      </c>
      <c r="M2359" s="82" t="str">
        <f aca="false">IF(B2359="","",IF(OR(J2359&lt;&gt;"",K2359&lt;&gt;""),"POSÉ EN LIGNE",IF(COUNTIF(BARDAGE!$C$1:$C$5000,B2359)&gt;0,"BARDÉ","EN STOCK")))</f>
        <v/>
      </c>
      <c r="N2359" s="80"/>
    </row>
    <row r="2360" customFormat="false" ht="15" hidden="false" customHeight="false" outlineLevel="0" collapsed="false">
      <c r="A2360" s="82" t="str">
        <f aca="false">IF(B2360="","",ROW()-6)</f>
        <v/>
      </c>
      <c r="B2360" s="145"/>
      <c r="C2360" s="146"/>
      <c r="D2360" s="146"/>
      <c r="E2360" s="82" t="str">
        <f aca="false">IF(B2360="","",IF(COUNTIFS('CARNET DE SOUDURE'!$L$7:$L$3006,B2360,'CARNET DE SOUDURE'!$M$7:$M$3006,"&lt;&gt;"&amp;C2360,'CARNET DE SOUDURE'!$M$7:$M$3006,"&lt;&gt;")+COUNTIFS('CARNET DE SOUDURE'!$O$7:$O$3006,B2360,'CARNET DE SOUDURE'!$P$7:$P$3006,"&lt;&gt;"&amp;C2360,'CARNET DE SOUDURE'!$P$7:$P$3006,"&lt;&gt;")&gt;0,"⚠ DIFFÉRENTE","OK"))</f>
        <v/>
      </c>
      <c r="F2360" s="147"/>
      <c r="G2360" s="80"/>
      <c r="H2360" s="83"/>
      <c r="I2360" s="148" t="str">
        <f aca="false">IF(B2360="","",IFERROR(INDEX('CARNET DE SOUDURE'!$B$7:$B$3006,MATCH(B2360,'CARNET DE SOUDURE'!$L$7:$L$3006,0)),IFERROR(INDEX('CARNET DE SOUDURE'!$B$7:$B$3006,MATCH(B2360,'CARNET DE SOUDURE'!$O$7:$O$3006,0)),"")))</f>
        <v/>
      </c>
      <c r="J2360" s="82" t="str">
        <f aca="false">IF(B2360="","",IFERROR(INDEX('CARNET DE SOUDURE'!$E$7:$E$3006,MATCH(B2360,'CARNET DE SOUDURE'!$O$7:$O$3006,0)),""))</f>
        <v/>
      </c>
      <c r="K2360" s="82" t="str">
        <f aca="false">IF(B2360="","",IFERROR(INDEX('CARNET DE SOUDURE'!$E$7:$E$3006,MATCH(B2360,'CARNET DE SOUDURE'!$L$7:$L$3006,0)),""))</f>
        <v/>
      </c>
      <c r="L2360" s="82" t="str">
        <f aca="false">IF(B2360="","",IFERROR(INDEX('CARNET DE SOUDURE'!$D$7:$D$3006,MATCH(B2360,'CARNET DE SOUDURE'!$L$7:$L$3006,0)),IFERROR(INDEX('CARNET DE SOUDURE'!$D$7:$D$3006,MATCH(B2360,'CARNET DE SOUDURE'!$O$7:$O$3006,0)),"")))</f>
        <v/>
      </c>
      <c r="M2360" s="82" t="str">
        <f aca="false">IF(B2360="","",IF(OR(J2360&lt;&gt;"",K2360&lt;&gt;""),"POSÉ EN LIGNE",IF(COUNTIF(BARDAGE!$C$1:$C$5000,B2360)&gt;0,"BARDÉ","EN STOCK")))</f>
        <v/>
      </c>
      <c r="N2360" s="80"/>
    </row>
    <row r="2361" customFormat="false" ht="15" hidden="false" customHeight="false" outlineLevel="0" collapsed="false">
      <c r="A2361" s="82" t="str">
        <f aca="false">IF(B2361="","",ROW()-6)</f>
        <v/>
      </c>
      <c r="B2361" s="145"/>
      <c r="C2361" s="146"/>
      <c r="D2361" s="146"/>
      <c r="E2361" s="82" t="str">
        <f aca="false">IF(B2361="","",IF(COUNTIFS('CARNET DE SOUDURE'!$L$7:$L$3006,B2361,'CARNET DE SOUDURE'!$M$7:$M$3006,"&lt;&gt;"&amp;C2361,'CARNET DE SOUDURE'!$M$7:$M$3006,"&lt;&gt;")+COUNTIFS('CARNET DE SOUDURE'!$O$7:$O$3006,B2361,'CARNET DE SOUDURE'!$P$7:$P$3006,"&lt;&gt;"&amp;C2361,'CARNET DE SOUDURE'!$P$7:$P$3006,"&lt;&gt;")&gt;0,"⚠ DIFFÉRENTE","OK"))</f>
        <v/>
      </c>
      <c r="F2361" s="147"/>
      <c r="G2361" s="80"/>
      <c r="H2361" s="83"/>
      <c r="I2361" s="148" t="str">
        <f aca="false">IF(B2361="","",IFERROR(INDEX('CARNET DE SOUDURE'!$B$7:$B$3006,MATCH(B2361,'CARNET DE SOUDURE'!$L$7:$L$3006,0)),IFERROR(INDEX('CARNET DE SOUDURE'!$B$7:$B$3006,MATCH(B2361,'CARNET DE SOUDURE'!$O$7:$O$3006,0)),"")))</f>
        <v/>
      </c>
      <c r="J2361" s="82" t="str">
        <f aca="false">IF(B2361="","",IFERROR(INDEX('CARNET DE SOUDURE'!$E$7:$E$3006,MATCH(B2361,'CARNET DE SOUDURE'!$O$7:$O$3006,0)),""))</f>
        <v/>
      </c>
      <c r="K2361" s="82" t="str">
        <f aca="false">IF(B2361="","",IFERROR(INDEX('CARNET DE SOUDURE'!$E$7:$E$3006,MATCH(B2361,'CARNET DE SOUDURE'!$L$7:$L$3006,0)),""))</f>
        <v/>
      </c>
      <c r="L2361" s="82" t="str">
        <f aca="false">IF(B2361="","",IFERROR(INDEX('CARNET DE SOUDURE'!$D$7:$D$3006,MATCH(B2361,'CARNET DE SOUDURE'!$L$7:$L$3006,0)),IFERROR(INDEX('CARNET DE SOUDURE'!$D$7:$D$3006,MATCH(B2361,'CARNET DE SOUDURE'!$O$7:$O$3006,0)),"")))</f>
        <v/>
      </c>
      <c r="M2361" s="82" t="str">
        <f aca="false">IF(B2361="","",IF(OR(J2361&lt;&gt;"",K2361&lt;&gt;""),"POSÉ EN LIGNE",IF(COUNTIF(BARDAGE!$C$1:$C$5000,B2361)&gt;0,"BARDÉ","EN STOCK")))</f>
        <v/>
      </c>
      <c r="N2361" s="80"/>
    </row>
    <row r="2362" customFormat="false" ht="15" hidden="false" customHeight="false" outlineLevel="0" collapsed="false">
      <c r="A2362" s="82" t="str">
        <f aca="false">IF(B2362="","",ROW()-6)</f>
        <v/>
      </c>
      <c r="B2362" s="145"/>
      <c r="C2362" s="146"/>
      <c r="D2362" s="146"/>
      <c r="E2362" s="82" t="str">
        <f aca="false">IF(B2362="","",IF(COUNTIFS('CARNET DE SOUDURE'!$L$7:$L$3006,B2362,'CARNET DE SOUDURE'!$M$7:$M$3006,"&lt;&gt;"&amp;C2362,'CARNET DE SOUDURE'!$M$7:$M$3006,"&lt;&gt;")+COUNTIFS('CARNET DE SOUDURE'!$O$7:$O$3006,B2362,'CARNET DE SOUDURE'!$P$7:$P$3006,"&lt;&gt;"&amp;C2362,'CARNET DE SOUDURE'!$P$7:$P$3006,"&lt;&gt;")&gt;0,"⚠ DIFFÉRENTE","OK"))</f>
        <v/>
      </c>
      <c r="F2362" s="147"/>
      <c r="G2362" s="80"/>
      <c r="H2362" s="83"/>
      <c r="I2362" s="148" t="str">
        <f aca="false">IF(B2362="","",IFERROR(INDEX('CARNET DE SOUDURE'!$B$7:$B$3006,MATCH(B2362,'CARNET DE SOUDURE'!$L$7:$L$3006,0)),IFERROR(INDEX('CARNET DE SOUDURE'!$B$7:$B$3006,MATCH(B2362,'CARNET DE SOUDURE'!$O$7:$O$3006,0)),"")))</f>
        <v/>
      </c>
      <c r="J2362" s="82" t="str">
        <f aca="false">IF(B2362="","",IFERROR(INDEX('CARNET DE SOUDURE'!$E$7:$E$3006,MATCH(B2362,'CARNET DE SOUDURE'!$O$7:$O$3006,0)),""))</f>
        <v/>
      </c>
      <c r="K2362" s="82" t="str">
        <f aca="false">IF(B2362="","",IFERROR(INDEX('CARNET DE SOUDURE'!$E$7:$E$3006,MATCH(B2362,'CARNET DE SOUDURE'!$L$7:$L$3006,0)),""))</f>
        <v/>
      </c>
      <c r="L2362" s="82" t="str">
        <f aca="false">IF(B2362="","",IFERROR(INDEX('CARNET DE SOUDURE'!$D$7:$D$3006,MATCH(B2362,'CARNET DE SOUDURE'!$L$7:$L$3006,0)),IFERROR(INDEX('CARNET DE SOUDURE'!$D$7:$D$3006,MATCH(B2362,'CARNET DE SOUDURE'!$O$7:$O$3006,0)),"")))</f>
        <v/>
      </c>
      <c r="M2362" s="82" t="str">
        <f aca="false">IF(B2362="","",IF(OR(J2362&lt;&gt;"",K2362&lt;&gt;""),"POSÉ EN LIGNE",IF(COUNTIF(BARDAGE!$C$1:$C$5000,B2362)&gt;0,"BARDÉ","EN STOCK")))</f>
        <v/>
      </c>
      <c r="N2362" s="80"/>
    </row>
    <row r="2363" customFormat="false" ht="15" hidden="false" customHeight="false" outlineLevel="0" collapsed="false">
      <c r="A2363" s="82" t="str">
        <f aca="false">IF(B2363="","",ROW()-6)</f>
        <v/>
      </c>
      <c r="B2363" s="145"/>
      <c r="C2363" s="146"/>
      <c r="D2363" s="146"/>
      <c r="E2363" s="82" t="str">
        <f aca="false">IF(B2363="","",IF(COUNTIFS('CARNET DE SOUDURE'!$L$7:$L$3006,B2363,'CARNET DE SOUDURE'!$M$7:$M$3006,"&lt;&gt;"&amp;C2363,'CARNET DE SOUDURE'!$M$7:$M$3006,"&lt;&gt;")+COUNTIFS('CARNET DE SOUDURE'!$O$7:$O$3006,B2363,'CARNET DE SOUDURE'!$P$7:$P$3006,"&lt;&gt;"&amp;C2363,'CARNET DE SOUDURE'!$P$7:$P$3006,"&lt;&gt;")&gt;0,"⚠ DIFFÉRENTE","OK"))</f>
        <v/>
      </c>
      <c r="F2363" s="147"/>
      <c r="G2363" s="80"/>
      <c r="H2363" s="83"/>
      <c r="I2363" s="148" t="str">
        <f aca="false">IF(B2363="","",IFERROR(INDEX('CARNET DE SOUDURE'!$B$7:$B$3006,MATCH(B2363,'CARNET DE SOUDURE'!$L$7:$L$3006,0)),IFERROR(INDEX('CARNET DE SOUDURE'!$B$7:$B$3006,MATCH(B2363,'CARNET DE SOUDURE'!$O$7:$O$3006,0)),"")))</f>
        <v/>
      </c>
      <c r="J2363" s="82" t="str">
        <f aca="false">IF(B2363="","",IFERROR(INDEX('CARNET DE SOUDURE'!$E$7:$E$3006,MATCH(B2363,'CARNET DE SOUDURE'!$O$7:$O$3006,0)),""))</f>
        <v/>
      </c>
      <c r="K2363" s="82" t="str">
        <f aca="false">IF(B2363="","",IFERROR(INDEX('CARNET DE SOUDURE'!$E$7:$E$3006,MATCH(B2363,'CARNET DE SOUDURE'!$L$7:$L$3006,0)),""))</f>
        <v/>
      </c>
      <c r="L2363" s="82" t="str">
        <f aca="false">IF(B2363="","",IFERROR(INDEX('CARNET DE SOUDURE'!$D$7:$D$3006,MATCH(B2363,'CARNET DE SOUDURE'!$L$7:$L$3006,0)),IFERROR(INDEX('CARNET DE SOUDURE'!$D$7:$D$3006,MATCH(B2363,'CARNET DE SOUDURE'!$O$7:$O$3006,0)),"")))</f>
        <v/>
      </c>
      <c r="M2363" s="82" t="str">
        <f aca="false">IF(B2363="","",IF(OR(J2363&lt;&gt;"",K2363&lt;&gt;""),"POSÉ EN LIGNE",IF(COUNTIF(BARDAGE!$C$1:$C$5000,B2363)&gt;0,"BARDÉ","EN STOCK")))</f>
        <v/>
      </c>
      <c r="N2363" s="80"/>
    </row>
    <row r="2364" customFormat="false" ht="15" hidden="false" customHeight="false" outlineLevel="0" collapsed="false">
      <c r="A2364" s="82" t="str">
        <f aca="false">IF(B2364="","",ROW()-6)</f>
        <v/>
      </c>
      <c r="B2364" s="145"/>
      <c r="C2364" s="146"/>
      <c r="D2364" s="146"/>
      <c r="E2364" s="82" t="str">
        <f aca="false">IF(B2364="","",IF(COUNTIFS('CARNET DE SOUDURE'!$L$7:$L$3006,B2364,'CARNET DE SOUDURE'!$M$7:$M$3006,"&lt;&gt;"&amp;C2364,'CARNET DE SOUDURE'!$M$7:$M$3006,"&lt;&gt;")+COUNTIFS('CARNET DE SOUDURE'!$O$7:$O$3006,B2364,'CARNET DE SOUDURE'!$P$7:$P$3006,"&lt;&gt;"&amp;C2364,'CARNET DE SOUDURE'!$P$7:$P$3006,"&lt;&gt;")&gt;0,"⚠ DIFFÉRENTE","OK"))</f>
        <v/>
      </c>
      <c r="F2364" s="147"/>
      <c r="G2364" s="80"/>
      <c r="H2364" s="83"/>
      <c r="I2364" s="148" t="str">
        <f aca="false">IF(B2364="","",IFERROR(INDEX('CARNET DE SOUDURE'!$B$7:$B$3006,MATCH(B2364,'CARNET DE SOUDURE'!$L$7:$L$3006,0)),IFERROR(INDEX('CARNET DE SOUDURE'!$B$7:$B$3006,MATCH(B2364,'CARNET DE SOUDURE'!$O$7:$O$3006,0)),"")))</f>
        <v/>
      </c>
      <c r="J2364" s="82" t="str">
        <f aca="false">IF(B2364="","",IFERROR(INDEX('CARNET DE SOUDURE'!$E$7:$E$3006,MATCH(B2364,'CARNET DE SOUDURE'!$O$7:$O$3006,0)),""))</f>
        <v/>
      </c>
      <c r="K2364" s="82" t="str">
        <f aca="false">IF(B2364="","",IFERROR(INDEX('CARNET DE SOUDURE'!$E$7:$E$3006,MATCH(B2364,'CARNET DE SOUDURE'!$L$7:$L$3006,0)),""))</f>
        <v/>
      </c>
      <c r="L2364" s="82" t="str">
        <f aca="false">IF(B2364="","",IFERROR(INDEX('CARNET DE SOUDURE'!$D$7:$D$3006,MATCH(B2364,'CARNET DE SOUDURE'!$L$7:$L$3006,0)),IFERROR(INDEX('CARNET DE SOUDURE'!$D$7:$D$3006,MATCH(B2364,'CARNET DE SOUDURE'!$O$7:$O$3006,0)),"")))</f>
        <v/>
      </c>
      <c r="M2364" s="82" t="str">
        <f aca="false">IF(B2364="","",IF(OR(J2364&lt;&gt;"",K2364&lt;&gt;""),"POSÉ EN LIGNE",IF(COUNTIF(BARDAGE!$C$1:$C$5000,B2364)&gt;0,"BARDÉ","EN STOCK")))</f>
        <v/>
      </c>
      <c r="N2364" s="80"/>
    </row>
    <row r="2365" customFormat="false" ht="15" hidden="false" customHeight="false" outlineLevel="0" collapsed="false">
      <c r="A2365" s="82" t="str">
        <f aca="false">IF(B2365="","",ROW()-6)</f>
        <v/>
      </c>
      <c r="B2365" s="145"/>
      <c r="C2365" s="146"/>
      <c r="D2365" s="146"/>
      <c r="E2365" s="82" t="str">
        <f aca="false">IF(B2365="","",IF(COUNTIFS('CARNET DE SOUDURE'!$L$7:$L$3006,B2365,'CARNET DE SOUDURE'!$M$7:$M$3006,"&lt;&gt;"&amp;C2365,'CARNET DE SOUDURE'!$M$7:$M$3006,"&lt;&gt;")+COUNTIFS('CARNET DE SOUDURE'!$O$7:$O$3006,B2365,'CARNET DE SOUDURE'!$P$7:$P$3006,"&lt;&gt;"&amp;C2365,'CARNET DE SOUDURE'!$P$7:$P$3006,"&lt;&gt;")&gt;0,"⚠ DIFFÉRENTE","OK"))</f>
        <v/>
      </c>
      <c r="F2365" s="147"/>
      <c r="G2365" s="80"/>
      <c r="H2365" s="83"/>
      <c r="I2365" s="148" t="str">
        <f aca="false">IF(B2365="","",IFERROR(INDEX('CARNET DE SOUDURE'!$B$7:$B$3006,MATCH(B2365,'CARNET DE SOUDURE'!$L$7:$L$3006,0)),IFERROR(INDEX('CARNET DE SOUDURE'!$B$7:$B$3006,MATCH(B2365,'CARNET DE SOUDURE'!$O$7:$O$3006,0)),"")))</f>
        <v/>
      </c>
      <c r="J2365" s="82" t="str">
        <f aca="false">IF(B2365="","",IFERROR(INDEX('CARNET DE SOUDURE'!$E$7:$E$3006,MATCH(B2365,'CARNET DE SOUDURE'!$O$7:$O$3006,0)),""))</f>
        <v/>
      </c>
      <c r="K2365" s="82" t="str">
        <f aca="false">IF(B2365="","",IFERROR(INDEX('CARNET DE SOUDURE'!$E$7:$E$3006,MATCH(B2365,'CARNET DE SOUDURE'!$L$7:$L$3006,0)),""))</f>
        <v/>
      </c>
      <c r="L2365" s="82" t="str">
        <f aca="false">IF(B2365="","",IFERROR(INDEX('CARNET DE SOUDURE'!$D$7:$D$3006,MATCH(B2365,'CARNET DE SOUDURE'!$L$7:$L$3006,0)),IFERROR(INDEX('CARNET DE SOUDURE'!$D$7:$D$3006,MATCH(B2365,'CARNET DE SOUDURE'!$O$7:$O$3006,0)),"")))</f>
        <v/>
      </c>
      <c r="M2365" s="82" t="str">
        <f aca="false">IF(B2365="","",IF(OR(J2365&lt;&gt;"",K2365&lt;&gt;""),"POSÉ EN LIGNE",IF(COUNTIF(BARDAGE!$C$1:$C$5000,B2365)&gt;0,"BARDÉ","EN STOCK")))</f>
        <v/>
      </c>
      <c r="N2365" s="80"/>
    </row>
    <row r="2366" customFormat="false" ht="15" hidden="false" customHeight="false" outlineLevel="0" collapsed="false">
      <c r="A2366" s="82" t="str">
        <f aca="false">IF(B2366="","",ROW()-6)</f>
        <v/>
      </c>
      <c r="B2366" s="145"/>
      <c r="C2366" s="146"/>
      <c r="D2366" s="146"/>
      <c r="E2366" s="82" t="str">
        <f aca="false">IF(B2366="","",IF(COUNTIFS('CARNET DE SOUDURE'!$L$7:$L$3006,B2366,'CARNET DE SOUDURE'!$M$7:$M$3006,"&lt;&gt;"&amp;C2366,'CARNET DE SOUDURE'!$M$7:$M$3006,"&lt;&gt;")+COUNTIFS('CARNET DE SOUDURE'!$O$7:$O$3006,B2366,'CARNET DE SOUDURE'!$P$7:$P$3006,"&lt;&gt;"&amp;C2366,'CARNET DE SOUDURE'!$P$7:$P$3006,"&lt;&gt;")&gt;0,"⚠ DIFFÉRENTE","OK"))</f>
        <v/>
      </c>
      <c r="F2366" s="147"/>
      <c r="G2366" s="80"/>
      <c r="H2366" s="83"/>
      <c r="I2366" s="148" t="str">
        <f aca="false">IF(B2366="","",IFERROR(INDEX('CARNET DE SOUDURE'!$B$7:$B$3006,MATCH(B2366,'CARNET DE SOUDURE'!$L$7:$L$3006,0)),IFERROR(INDEX('CARNET DE SOUDURE'!$B$7:$B$3006,MATCH(B2366,'CARNET DE SOUDURE'!$O$7:$O$3006,0)),"")))</f>
        <v/>
      </c>
      <c r="J2366" s="82" t="str">
        <f aca="false">IF(B2366="","",IFERROR(INDEX('CARNET DE SOUDURE'!$E$7:$E$3006,MATCH(B2366,'CARNET DE SOUDURE'!$O$7:$O$3006,0)),""))</f>
        <v/>
      </c>
      <c r="K2366" s="82" t="str">
        <f aca="false">IF(B2366="","",IFERROR(INDEX('CARNET DE SOUDURE'!$E$7:$E$3006,MATCH(B2366,'CARNET DE SOUDURE'!$L$7:$L$3006,0)),""))</f>
        <v/>
      </c>
      <c r="L2366" s="82" t="str">
        <f aca="false">IF(B2366="","",IFERROR(INDEX('CARNET DE SOUDURE'!$D$7:$D$3006,MATCH(B2366,'CARNET DE SOUDURE'!$L$7:$L$3006,0)),IFERROR(INDEX('CARNET DE SOUDURE'!$D$7:$D$3006,MATCH(B2366,'CARNET DE SOUDURE'!$O$7:$O$3006,0)),"")))</f>
        <v/>
      </c>
      <c r="M2366" s="82" t="str">
        <f aca="false">IF(B2366="","",IF(OR(J2366&lt;&gt;"",K2366&lt;&gt;""),"POSÉ EN LIGNE",IF(COUNTIF(BARDAGE!$C$1:$C$5000,B2366)&gt;0,"BARDÉ","EN STOCK")))</f>
        <v/>
      </c>
      <c r="N2366" s="80"/>
    </row>
    <row r="2367" customFormat="false" ht="15" hidden="false" customHeight="false" outlineLevel="0" collapsed="false">
      <c r="A2367" s="82" t="str">
        <f aca="false">IF(B2367="","",ROW()-6)</f>
        <v/>
      </c>
      <c r="B2367" s="145"/>
      <c r="C2367" s="146"/>
      <c r="D2367" s="146"/>
      <c r="E2367" s="82" t="str">
        <f aca="false">IF(B2367="","",IF(COUNTIFS('CARNET DE SOUDURE'!$L$7:$L$3006,B2367,'CARNET DE SOUDURE'!$M$7:$M$3006,"&lt;&gt;"&amp;C2367,'CARNET DE SOUDURE'!$M$7:$M$3006,"&lt;&gt;")+COUNTIFS('CARNET DE SOUDURE'!$O$7:$O$3006,B2367,'CARNET DE SOUDURE'!$P$7:$P$3006,"&lt;&gt;"&amp;C2367,'CARNET DE SOUDURE'!$P$7:$P$3006,"&lt;&gt;")&gt;0,"⚠ DIFFÉRENTE","OK"))</f>
        <v/>
      </c>
      <c r="F2367" s="147"/>
      <c r="G2367" s="80"/>
      <c r="H2367" s="83"/>
      <c r="I2367" s="148" t="str">
        <f aca="false">IF(B2367="","",IFERROR(INDEX('CARNET DE SOUDURE'!$B$7:$B$3006,MATCH(B2367,'CARNET DE SOUDURE'!$L$7:$L$3006,0)),IFERROR(INDEX('CARNET DE SOUDURE'!$B$7:$B$3006,MATCH(B2367,'CARNET DE SOUDURE'!$O$7:$O$3006,0)),"")))</f>
        <v/>
      </c>
      <c r="J2367" s="82" t="str">
        <f aca="false">IF(B2367="","",IFERROR(INDEX('CARNET DE SOUDURE'!$E$7:$E$3006,MATCH(B2367,'CARNET DE SOUDURE'!$O$7:$O$3006,0)),""))</f>
        <v/>
      </c>
      <c r="K2367" s="82" t="str">
        <f aca="false">IF(B2367="","",IFERROR(INDEX('CARNET DE SOUDURE'!$E$7:$E$3006,MATCH(B2367,'CARNET DE SOUDURE'!$L$7:$L$3006,0)),""))</f>
        <v/>
      </c>
      <c r="L2367" s="82" t="str">
        <f aca="false">IF(B2367="","",IFERROR(INDEX('CARNET DE SOUDURE'!$D$7:$D$3006,MATCH(B2367,'CARNET DE SOUDURE'!$L$7:$L$3006,0)),IFERROR(INDEX('CARNET DE SOUDURE'!$D$7:$D$3006,MATCH(B2367,'CARNET DE SOUDURE'!$O$7:$O$3006,0)),"")))</f>
        <v/>
      </c>
      <c r="M2367" s="82" t="str">
        <f aca="false">IF(B2367="","",IF(OR(J2367&lt;&gt;"",K2367&lt;&gt;""),"POSÉ EN LIGNE",IF(COUNTIF(BARDAGE!$C$1:$C$5000,B2367)&gt;0,"BARDÉ","EN STOCK")))</f>
        <v/>
      </c>
      <c r="N2367" s="80"/>
    </row>
    <row r="2368" customFormat="false" ht="15" hidden="false" customHeight="false" outlineLevel="0" collapsed="false">
      <c r="A2368" s="82" t="str">
        <f aca="false">IF(B2368="","",ROW()-6)</f>
        <v/>
      </c>
      <c r="B2368" s="145"/>
      <c r="C2368" s="146"/>
      <c r="D2368" s="146"/>
      <c r="E2368" s="82" t="str">
        <f aca="false">IF(B2368="","",IF(COUNTIFS('CARNET DE SOUDURE'!$L$7:$L$3006,B2368,'CARNET DE SOUDURE'!$M$7:$M$3006,"&lt;&gt;"&amp;C2368,'CARNET DE SOUDURE'!$M$7:$M$3006,"&lt;&gt;")+COUNTIFS('CARNET DE SOUDURE'!$O$7:$O$3006,B2368,'CARNET DE SOUDURE'!$P$7:$P$3006,"&lt;&gt;"&amp;C2368,'CARNET DE SOUDURE'!$P$7:$P$3006,"&lt;&gt;")&gt;0,"⚠ DIFFÉRENTE","OK"))</f>
        <v/>
      </c>
      <c r="F2368" s="147"/>
      <c r="G2368" s="80"/>
      <c r="H2368" s="83"/>
      <c r="I2368" s="148" t="str">
        <f aca="false">IF(B2368="","",IFERROR(INDEX('CARNET DE SOUDURE'!$B$7:$B$3006,MATCH(B2368,'CARNET DE SOUDURE'!$L$7:$L$3006,0)),IFERROR(INDEX('CARNET DE SOUDURE'!$B$7:$B$3006,MATCH(B2368,'CARNET DE SOUDURE'!$O$7:$O$3006,0)),"")))</f>
        <v/>
      </c>
      <c r="J2368" s="82" t="str">
        <f aca="false">IF(B2368="","",IFERROR(INDEX('CARNET DE SOUDURE'!$E$7:$E$3006,MATCH(B2368,'CARNET DE SOUDURE'!$O$7:$O$3006,0)),""))</f>
        <v/>
      </c>
      <c r="K2368" s="82" t="str">
        <f aca="false">IF(B2368="","",IFERROR(INDEX('CARNET DE SOUDURE'!$E$7:$E$3006,MATCH(B2368,'CARNET DE SOUDURE'!$L$7:$L$3006,0)),""))</f>
        <v/>
      </c>
      <c r="L2368" s="82" t="str">
        <f aca="false">IF(B2368="","",IFERROR(INDEX('CARNET DE SOUDURE'!$D$7:$D$3006,MATCH(B2368,'CARNET DE SOUDURE'!$L$7:$L$3006,0)),IFERROR(INDEX('CARNET DE SOUDURE'!$D$7:$D$3006,MATCH(B2368,'CARNET DE SOUDURE'!$O$7:$O$3006,0)),"")))</f>
        <v/>
      </c>
      <c r="M2368" s="82" t="str">
        <f aca="false">IF(B2368="","",IF(OR(J2368&lt;&gt;"",K2368&lt;&gt;""),"POSÉ EN LIGNE",IF(COUNTIF(BARDAGE!$C$1:$C$5000,B2368)&gt;0,"BARDÉ","EN STOCK")))</f>
        <v/>
      </c>
      <c r="N2368" s="80"/>
    </row>
    <row r="2369" customFormat="false" ht="15" hidden="false" customHeight="false" outlineLevel="0" collapsed="false">
      <c r="A2369" s="82" t="str">
        <f aca="false">IF(B2369="","",ROW()-6)</f>
        <v/>
      </c>
      <c r="B2369" s="145"/>
      <c r="C2369" s="146"/>
      <c r="D2369" s="146"/>
      <c r="E2369" s="82" t="str">
        <f aca="false">IF(B2369="","",IF(COUNTIFS('CARNET DE SOUDURE'!$L$7:$L$3006,B2369,'CARNET DE SOUDURE'!$M$7:$M$3006,"&lt;&gt;"&amp;C2369,'CARNET DE SOUDURE'!$M$7:$M$3006,"&lt;&gt;")+COUNTIFS('CARNET DE SOUDURE'!$O$7:$O$3006,B2369,'CARNET DE SOUDURE'!$P$7:$P$3006,"&lt;&gt;"&amp;C2369,'CARNET DE SOUDURE'!$P$7:$P$3006,"&lt;&gt;")&gt;0,"⚠ DIFFÉRENTE","OK"))</f>
        <v/>
      </c>
      <c r="F2369" s="147"/>
      <c r="G2369" s="80"/>
      <c r="H2369" s="83"/>
      <c r="I2369" s="148" t="str">
        <f aca="false">IF(B2369="","",IFERROR(INDEX('CARNET DE SOUDURE'!$B$7:$B$3006,MATCH(B2369,'CARNET DE SOUDURE'!$L$7:$L$3006,0)),IFERROR(INDEX('CARNET DE SOUDURE'!$B$7:$B$3006,MATCH(B2369,'CARNET DE SOUDURE'!$O$7:$O$3006,0)),"")))</f>
        <v/>
      </c>
      <c r="J2369" s="82" t="str">
        <f aca="false">IF(B2369="","",IFERROR(INDEX('CARNET DE SOUDURE'!$E$7:$E$3006,MATCH(B2369,'CARNET DE SOUDURE'!$O$7:$O$3006,0)),""))</f>
        <v/>
      </c>
      <c r="K2369" s="82" t="str">
        <f aca="false">IF(B2369="","",IFERROR(INDEX('CARNET DE SOUDURE'!$E$7:$E$3006,MATCH(B2369,'CARNET DE SOUDURE'!$L$7:$L$3006,0)),""))</f>
        <v/>
      </c>
      <c r="L2369" s="82" t="str">
        <f aca="false">IF(B2369="","",IFERROR(INDEX('CARNET DE SOUDURE'!$D$7:$D$3006,MATCH(B2369,'CARNET DE SOUDURE'!$L$7:$L$3006,0)),IFERROR(INDEX('CARNET DE SOUDURE'!$D$7:$D$3006,MATCH(B2369,'CARNET DE SOUDURE'!$O$7:$O$3006,0)),"")))</f>
        <v/>
      </c>
      <c r="M2369" s="82" t="str">
        <f aca="false">IF(B2369="","",IF(OR(J2369&lt;&gt;"",K2369&lt;&gt;""),"POSÉ EN LIGNE",IF(COUNTIF(BARDAGE!$C$1:$C$5000,B2369)&gt;0,"BARDÉ","EN STOCK")))</f>
        <v/>
      </c>
      <c r="N2369" s="80"/>
    </row>
    <row r="2370" customFormat="false" ht="15" hidden="false" customHeight="false" outlineLevel="0" collapsed="false">
      <c r="A2370" s="82" t="str">
        <f aca="false">IF(B2370="","",ROW()-6)</f>
        <v/>
      </c>
      <c r="B2370" s="145"/>
      <c r="C2370" s="146"/>
      <c r="D2370" s="146"/>
      <c r="E2370" s="82" t="str">
        <f aca="false">IF(B2370="","",IF(COUNTIFS('CARNET DE SOUDURE'!$L$7:$L$3006,B2370,'CARNET DE SOUDURE'!$M$7:$M$3006,"&lt;&gt;"&amp;C2370,'CARNET DE SOUDURE'!$M$7:$M$3006,"&lt;&gt;")+COUNTIFS('CARNET DE SOUDURE'!$O$7:$O$3006,B2370,'CARNET DE SOUDURE'!$P$7:$P$3006,"&lt;&gt;"&amp;C2370,'CARNET DE SOUDURE'!$P$7:$P$3006,"&lt;&gt;")&gt;0,"⚠ DIFFÉRENTE","OK"))</f>
        <v/>
      </c>
      <c r="F2370" s="147"/>
      <c r="G2370" s="80"/>
      <c r="H2370" s="83"/>
      <c r="I2370" s="148" t="str">
        <f aca="false">IF(B2370="","",IFERROR(INDEX('CARNET DE SOUDURE'!$B$7:$B$3006,MATCH(B2370,'CARNET DE SOUDURE'!$L$7:$L$3006,0)),IFERROR(INDEX('CARNET DE SOUDURE'!$B$7:$B$3006,MATCH(B2370,'CARNET DE SOUDURE'!$O$7:$O$3006,0)),"")))</f>
        <v/>
      </c>
      <c r="J2370" s="82" t="str">
        <f aca="false">IF(B2370="","",IFERROR(INDEX('CARNET DE SOUDURE'!$E$7:$E$3006,MATCH(B2370,'CARNET DE SOUDURE'!$O$7:$O$3006,0)),""))</f>
        <v/>
      </c>
      <c r="K2370" s="82" t="str">
        <f aca="false">IF(B2370="","",IFERROR(INDEX('CARNET DE SOUDURE'!$E$7:$E$3006,MATCH(B2370,'CARNET DE SOUDURE'!$L$7:$L$3006,0)),""))</f>
        <v/>
      </c>
      <c r="L2370" s="82" t="str">
        <f aca="false">IF(B2370="","",IFERROR(INDEX('CARNET DE SOUDURE'!$D$7:$D$3006,MATCH(B2370,'CARNET DE SOUDURE'!$L$7:$L$3006,0)),IFERROR(INDEX('CARNET DE SOUDURE'!$D$7:$D$3006,MATCH(B2370,'CARNET DE SOUDURE'!$O$7:$O$3006,0)),"")))</f>
        <v/>
      </c>
      <c r="M2370" s="82" t="str">
        <f aca="false">IF(B2370="","",IF(OR(J2370&lt;&gt;"",K2370&lt;&gt;""),"POSÉ EN LIGNE",IF(COUNTIF(BARDAGE!$C$1:$C$5000,B2370)&gt;0,"BARDÉ","EN STOCK")))</f>
        <v/>
      </c>
      <c r="N2370" s="80"/>
    </row>
    <row r="2371" customFormat="false" ht="15" hidden="false" customHeight="false" outlineLevel="0" collapsed="false">
      <c r="A2371" s="82" t="str">
        <f aca="false">IF(B2371="","",ROW()-6)</f>
        <v/>
      </c>
      <c r="B2371" s="145"/>
      <c r="C2371" s="146"/>
      <c r="D2371" s="146"/>
      <c r="E2371" s="82" t="str">
        <f aca="false">IF(B2371="","",IF(COUNTIFS('CARNET DE SOUDURE'!$L$7:$L$3006,B2371,'CARNET DE SOUDURE'!$M$7:$M$3006,"&lt;&gt;"&amp;C2371,'CARNET DE SOUDURE'!$M$7:$M$3006,"&lt;&gt;")+COUNTIFS('CARNET DE SOUDURE'!$O$7:$O$3006,B2371,'CARNET DE SOUDURE'!$P$7:$P$3006,"&lt;&gt;"&amp;C2371,'CARNET DE SOUDURE'!$P$7:$P$3006,"&lt;&gt;")&gt;0,"⚠ DIFFÉRENTE","OK"))</f>
        <v/>
      </c>
      <c r="F2371" s="147"/>
      <c r="G2371" s="80"/>
      <c r="H2371" s="83"/>
      <c r="I2371" s="148" t="str">
        <f aca="false">IF(B2371="","",IFERROR(INDEX('CARNET DE SOUDURE'!$B$7:$B$3006,MATCH(B2371,'CARNET DE SOUDURE'!$L$7:$L$3006,0)),IFERROR(INDEX('CARNET DE SOUDURE'!$B$7:$B$3006,MATCH(B2371,'CARNET DE SOUDURE'!$O$7:$O$3006,0)),"")))</f>
        <v/>
      </c>
      <c r="J2371" s="82" t="str">
        <f aca="false">IF(B2371="","",IFERROR(INDEX('CARNET DE SOUDURE'!$E$7:$E$3006,MATCH(B2371,'CARNET DE SOUDURE'!$O$7:$O$3006,0)),""))</f>
        <v/>
      </c>
      <c r="K2371" s="82" t="str">
        <f aca="false">IF(B2371="","",IFERROR(INDEX('CARNET DE SOUDURE'!$E$7:$E$3006,MATCH(B2371,'CARNET DE SOUDURE'!$L$7:$L$3006,0)),""))</f>
        <v/>
      </c>
      <c r="L2371" s="82" t="str">
        <f aca="false">IF(B2371="","",IFERROR(INDEX('CARNET DE SOUDURE'!$D$7:$D$3006,MATCH(B2371,'CARNET DE SOUDURE'!$L$7:$L$3006,0)),IFERROR(INDEX('CARNET DE SOUDURE'!$D$7:$D$3006,MATCH(B2371,'CARNET DE SOUDURE'!$O$7:$O$3006,0)),"")))</f>
        <v/>
      </c>
      <c r="M2371" s="82" t="str">
        <f aca="false">IF(B2371="","",IF(OR(J2371&lt;&gt;"",K2371&lt;&gt;""),"POSÉ EN LIGNE",IF(COUNTIF(BARDAGE!$C$1:$C$5000,B2371)&gt;0,"BARDÉ","EN STOCK")))</f>
        <v/>
      </c>
      <c r="N2371" s="80"/>
    </row>
    <row r="2372" customFormat="false" ht="15" hidden="false" customHeight="false" outlineLevel="0" collapsed="false">
      <c r="A2372" s="82" t="str">
        <f aca="false">IF(B2372="","",ROW()-6)</f>
        <v/>
      </c>
      <c r="B2372" s="145"/>
      <c r="C2372" s="146"/>
      <c r="D2372" s="146"/>
      <c r="E2372" s="82" t="str">
        <f aca="false">IF(B2372="","",IF(COUNTIFS('CARNET DE SOUDURE'!$L$7:$L$3006,B2372,'CARNET DE SOUDURE'!$M$7:$M$3006,"&lt;&gt;"&amp;C2372,'CARNET DE SOUDURE'!$M$7:$M$3006,"&lt;&gt;")+COUNTIFS('CARNET DE SOUDURE'!$O$7:$O$3006,B2372,'CARNET DE SOUDURE'!$P$7:$P$3006,"&lt;&gt;"&amp;C2372,'CARNET DE SOUDURE'!$P$7:$P$3006,"&lt;&gt;")&gt;0,"⚠ DIFFÉRENTE","OK"))</f>
        <v/>
      </c>
      <c r="F2372" s="147"/>
      <c r="G2372" s="80"/>
      <c r="H2372" s="83"/>
      <c r="I2372" s="148" t="str">
        <f aca="false">IF(B2372="","",IFERROR(INDEX('CARNET DE SOUDURE'!$B$7:$B$3006,MATCH(B2372,'CARNET DE SOUDURE'!$L$7:$L$3006,0)),IFERROR(INDEX('CARNET DE SOUDURE'!$B$7:$B$3006,MATCH(B2372,'CARNET DE SOUDURE'!$O$7:$O$3006,0)),"")))</f>
        <v/>
      </c>
      <c r="J2372" s="82" t="str">
        <f aca="false">IF(B2372="","",IFERROR(INDEX('CARNET DE SOUDURE'!$E$7:$E$3006,MATCH(B2372,'CARNET DE SOUDURE'!$O$7:$O$3006,0)),""))</f>
        <v/>
      </c>
      <c r="K2372" s="82" t="str">
        <f aca="false">IF(B2372="","",IFERROR(INDEX('CARNET DE SOUDURE'!$E$7:$E$3006,MATCH(B2372,'CARNET DE SOUDURE'!$L$7:$L$3006,0)),""))</f>
        <v/>
      </c>
      <c r="L2372" s="82" t="str">
        <f aca="false">IF(B2372="","",IFERROR(INDEX('CARNET DE SOUDURE'!$D$7:$D$3006,MATCH(B2372,'CARNET DE SOUDURE'!$L$7:$L$3006,0)),IFERROR(INDEX('CARNET DE SOUDURE'!$D$7:$D$3006,MATCH(B2372,'CARNET DE SOUDURE'!$O$7:$O$3006,0)),"")))</f>
        <v/>
      </c>
      <c r="M2372" s="82" t="str">
        <f aca="false">IF(B2372="","",IF(OR(J2372&lt;&gt;"",K2372&lt;&gt;""),"POSÉ EN LIGNE",IF(COUNTIF(BARDAGE!$C$1:$C$5000,B2372)&gt;0,"BARDÉ","EN STOCK")))</f>
        <v/>
      </c>
      <c r="N2372" s="80"/>
    </row>
    <row r="2373" customFormat="false" ht="15" hidden="false" customHeight="false" outlineLevel="0" collapsed="false">
      <c r="A2373" s="82" t="str">
        <f aca="false">IF(B2373="","",ROW()-6)</f>
        <v/>
      </c>
      <c r="B2373" s="145"/>
      <c r="C2373" s="146"/>
      <c r="D2373" s="146"/>
      <c r="E2373" s="82" t="str">
        <f aca="false">IF(B2373="","",IF(COUNTIFS('CARNET DE SOUDURE'!$L$7:$L$3006,B2373,'CARNET DE SOUDURE'!$M$7:$M$3006,"&lt;&gt;"&amp;C2373,'CARNET DE SOUDURE'!$M$7:$M$3006,"&lt;&gt;")+COUNTIFS('CARNET DE SOUDURE'!$O$7:$O$3006,B2373,'CARNET DE SOUDURE'!$P$7:$P$3006,"&lt;&gt;"&amp;C2373,'CARNET DE SOUDURE'!$P$7:$P$3006,"&lt;&gt;")&gt;0,"⚠ DIFFÉRENTE","OK"))</f>
        <v/>
      </c>
      <c r="F2373" s="147"/>
      <c r="G2373" s="80"/>
      <c r="H2373" s="83"/>
      <c r="I2373" s="148" t="str">
        <f aca="false">IF(B2373="","",IFERROR(INDEX('CARNET DE SOUDURE'!$B$7:$B$3006,MATCH(B2373,'CARNET DE SOUDURE'!$L$7:$L$3006,0)),IFERROR(INDEX('CARNET DE SOUDURE'!$B$7:$B$3006,MATCH(B2373,'CARNET DE SOUDURE'!$O$7:$O$3006,0)),"")))</f>
        <v/>
      </c>
      <c r="J2373" s="82" t="str">
        <f aca="false">IF(B2373="","",IFERROR(INDEX('CARNET DE SOUDURE'!$E$7:$E$3006,MATCH(B2373,'CARNET DE SOUDURE'!$O$7:$O$3006,0)),""))</f>
        <v/>
      </c>
      <c r="K2373" s="82" t="str">
        <f aca="false">IF(B2373="","",IFERROR(INDEX('CARNET DE SOUDURE'!$E$7:$E$3006,MATCH(B2373,'CARNET DE SOUDURE'!$L$7:$L$3006,0)),""))</f>
        <v/>
      </c>
      <c r="L2373" s="82" t="str">
        <f aca="false">IF(B2373="","",IFERROR(INDEX('CARNET DE SOUDURE'!$D$7:$D$3006,MATCH(B2373,'CARNET DE SOUDURE'!$L$7:$L$3006,0)),IFERROR(INDEX('CARNET DE SOUDURE'!$D$7:$D$3006,MATCH(B2373,'CARNET DE SOUDURE'!$O$7:$O$3006,0)),"")))</f>
        <v/>
      </c>
      <c r="M2373" s="82" t="str">
        <f aca="false">IF(B2373="","",IF(OR(J2373&lt;&gt;"",K2373&lt;&gt;""),"POSÉ EN LIGNE",IF(COUNTIF(BARDAGE!$C$1:$C$5000,B2373)&gt;0,"BARDÉ","EN STOCK")))</f>
        <v/>
      </c>
      <c r="N2373" s="80"/>
    </row>
    <row r="2374" customFormat="false" ht="15" hidden="false" customHeight="false" outlineLevel="0" collapsed="false">
      <c r="A2374" s="82" t="str">
        <f aca="false">IF(B2374="","",ROW()-6)</f>
        <v/>
      </c>
      <c r="B2374" s="145"/>
      <c r="C2374" s="146"/>
      <c r="D2374" s="146"/>
      <c r="E2374" s="82" t="str">
        <f aca="false">IF(B2374="","",IF(COUNTIFS('CARNET DE SOUDURE'!$L$7:$L$3006,B2374,'CARNET DE SOUDURE'!$M$7:$M$3006,"&lt;&gt;"&amp;C2374,'CARNET DE SOUDURE'!$M$7:$M$3006,"&lt;&gt;")+COUNTIFS('CARNET DE SOUDURE'!$O$7:$O$3006,B2374,'CARNET DE SOUDURE'!$P$7:$P$3006,"&lt;&gt;"&amp;C2374,'CARNET DE SOUDURE'!$P$7:$P$3006,"&lt;&gt;")&gt;0,"⚠ DIFFÉRENTE","OK"))</f>
        <v/>
      </c>
      <c r="F2374" s="147"/>
      <c r="G2374" s="80"/>
      <c r="H2374" s="83"/>
      <c r="I2374" s="148" t="str">
        <f aca="false">IF(B2374="","",IFERROR(INDEX('CARNET DE SOUDURE'!$B$7:$B$3006,MATCH(B2374,'CARNET DE SOUDURE'!$L$7:$L$3006,0)),IFERROR(INDEX('CARNET DE SOUDURE'!$B$7:$B$3006,MATCH(B2374,'CARNET DE SOUDURE'!$O$7:$O$3006,0)),"")))</f>
        <v/>
      </c>
      <c r="J2374" s="82" t="str">
        <f aca="false">IF(B2374="","",IFERROR(INDEX('CARNET DE SOUDURE'!$E$7:$E$3006,MATCH(B2374,'CARNET DE SOUDURE'!$O$7:$O$3006,0)),""))</f>
        <v/>
      </c>
      <c r="K2374" s="82" t="str">
        <f aca="false">IF(B2374="","",IFERROR(INDEX('CARNET DE SOUDURE'!$E$7:$E$3006,MATCH(B2374,'CARNET DE SOUDURE'!$L$7:$L$3006,0)),""))</f>
        <v/>
      </c>
      <c r="L2374" s="82" t="str">
        <f aca="false">IF(B2374="","",IFERROR(INDEX('CARNET DE SOUDURE'!$D$7:$D$3006,MATCH(B2374,'CARNET DE SOUDURE'!$L$7:$L$3006,0)),IFERROR(INDEX('CARNET DE SOUDURE'!$D$7:$D$3006,MATCH(B2374,'CARNET DE SOUDURE'!$O$7:$O$3006,0)),"")))</f>
        <v/>
      </c>
      <c r="M2374" s="82" t="str">
        <f aca="false">IF(B2374="","",IF(OR(J2374&lt;&gt;"",K2374&lt;&gt;""),"POSÉ EN LIGNE",IF(COUNTIF(BARDAGE!$C$1:$C$5000,B2374)&gt;0,"BARDÉ","EN STOCK")))</f>
        <v/>
      </c>
      <c r="N2374" s="80"/>
    </row>
    <row r="2375" customFormat="false" ht="15" hidden="false" customHeight="false" outlineLevel="0" collapsed="false">
      <c r="A2375" s="82" t="str">
        <f aca="false">IF(B2375="","",ROW()-6)</f>
        <v/>
      </c>
      <c r="B2375" s="145"/>
      <c r="C2375" s="146"/>
      <c r="D2375" s="146"/>
      <c r="E2375" s="82" t="str">
        <f aca="false">IF(B2375="","",IF(COUNTIFS('CARNET DE SOUDURE'!$L$7:$L$3006,B2375,'CARNET DE SOUDURE'!$M$7:$M$3006,"&lt;&gt;"&amp;C2375,'CARNET DE SOUDURE'!$M$7:$M$3006,"&lt;&gt;")+COUNTIFS('CARNET DE SOUDURE'!$O$7:$O$3006,B2375,'CARNET DE SOUDURE'!$P$7:$P$3006,"&lt;&gt;"&amp;C2375,'CARNET DE SOUDURE'!$P$7:$P$3006,"&lt;&gt;")&gt;0,"⚠ DIFFÉRENTE","OK"))</f>
        <v/>
      </c>
      <c r="F2375" s="147"/>
      <c r="G2375" s="80"/>
      <c r="H2375" s="83"/>
      <c r="I2375" s="148" t="str">
        <f aca="false">IF(B2375="","",IFERROR(INDEX('CARNET DE SOUDURE'!$B$7:$B$3006,MATCH(B2375,'CARNET DE SOUDURE'!$L$7:$L$3006,0)),IFERROR(INDEX('CARNET DE SOUDURE'!$B$7:$B$3006,MATCH(B2375,'CARNET DE SOUDURE'!$O$7:$O$3006,0)),"")))</f>
        <v/>
      </c>
      <c r="J2375" s="82" t="str">
        <f aca="false">IF(B2375="","",IFERROR(INDEX('CARNET DE SOUDURE'!$E$7:$E$3006,MATCH(B2375,'CARNET DE SOUDURE'!$O$7:$O$3006,0)),""))</f>
        <v/>
      </c>
      <c r="K2375" s="82" t="str">
        <f aca="false">IF(B2375="","",IFERROR(INDEX('CARNET DE SOUDURE'!$E$7:$E$3006,MATCH(B2375,'CARNET DE SOUDURE'!$L$7:$L$3006,0)),""))</f>
        <v/>
      </c>
      <c r="L2375" s="82" t="str">
        <f aca="false">IF(B2375="","",IFERROR(INDEX('CARNET DE SOUDURE'!$D$7:$D$3006,MATCH(B2375,'CARNET DE SOUDURE'!$L$7:$L$3006,0)),IFERROR(INDEX('CARNET DE SOUDURE'!$D$7:$D$3006,MATCH(B2375,'CARNET DE SOUDURE'!$O$7:$O$3006,0)),"")))</f>
        <v/>
      </c>
      <c r="M2375" s="82" t="str">
        <f aca="false">IF(B2375="","",IF(OR(J2375&lt;&gt;"",K2375&lt;&gt;""),"POSÉ EN LIGNE",IF(COUNTIF(BARDAGE!$C$1:$C$5000,B2375)&gt;0,"BARDÉ","EN STOCK")))</f>
        <v/>
      </c>
      <c r="N2375" s="80"/>
    </row>
    <row r="2376" customFormat="false" ht="15" hidden="false" customHeight="false" outlineLevel="0" collapsed="false">
      <c r="A2376" s="82" t="str">
        <f aca="false">IF(B2376="","",ROW()-6)</f>
        <v/>
      </c>
      <c r="B2376" s="145"/>
      <c r="C2376" s="146"/>
      <c r="D2376" s="146"/>
      <c r="E2376" s="82" t="str">
        <f aca="false">IF(B2376="","",IF(COUNTIFS('CARNET DE SOUDURE'!$L$7:$L$3006,B2376,'CARNET DE SOUDURE'!$M$7:$M$3006,"&lt;&gt;"&amp;C2376,'CARNET DE SOUDURE'!$M$7:$M$3006,"&lt;&gt;")+COUNTIFS('CARNET DE SOUDURE'!$O$7:$O$3006,B2376,'CARNET DE SOUDURE'!$P$7:$P$3006,"&lt;&gt;"&amp;C2376,'CARNET DE SOUDURE'!$P$7:$P$3006,"&lt;&gt;")&gt;0,"⚠ DIFFÉRENTE","OK"))</f>
        <v/>
      </c>
      <c r="F2376" s="147"/>
      <c r="G2376" s="80"/>
      <c r="H2376" s="83"/>
      <c r="I2376" s="148" t="str">
        <f aca="false">IF(B2376="","",IFERROR(INDEX('CARNET DE SOUDURE'!$B$7:$B$3006,MATCH(B2376,'CARNET DE SOUDURE'!$L$7:$L$3006,0)),IFERROR(INDEX('CARNET DE SOUDURE'!$B$7:$B$3006,MATCH(B2376,'CARNET DE SOUDURE'!$O$7:$O$3006,0)),"")))</f>
        <v/>
      </c>
      <c r="J2376" s="82" t="str">
        <f aca="false">IF(B2376="","",IFERROR(INDEX('CARNET DE SOUDURE'!$E$7:$E$3006,MATCH(B2376,'CARNET DE SOUDURE'!$O$7:$O$3006,0)),""))</f>
        <v/>
      </c>
      <c r="K2376" s="82" t="str">
        <f aca="false">IF(B2376="","",IFERROR(INDEX('CARNET DE SOUDURE'!$E$7:$E$3006,MATCH(B2376,'CARNET DE SOUDURE'!$L$7:$L$3006,0)),""))</f>
        <v/>
      </c>
      <c r="L2376" s="82" t="str">
        <f aca="false">IF(B2376="","",IFERROR(INDEX('CARNET DE SOUDURE'!$D$7:$D$3006,MATCH(B2376,'CARNET DE SOUDURE'!$L$7:$L$3006,0)),IFERROR(INDEX('CARNET DE SOUDURE'!$D$7:$D$3006,MATCH(B2376,'CARNET DE SOUDURE'!$O$7:$O$3006,0)),"")))</f>
        <v/>
      </c>
      <c r="M2376" s="82" t="str">
        <f aca="false">IF(B2376="","",IF(OR(J2376&lt;&gt;"",K2376&lt;&gt;""),"POSÉ EN LIGNE",IF(COUNTIF(BARDAGE!$C$1:$C$5000,B2376)&gt;0,"BARDÉ","EN STOCK")))</f>
        <v/>
      </c>
      <c r="N2376" s="80"/>
    </row>
    <row r="2377" customFormat="false" ht="15" hidden="false" customHeight="false" outlineLevel="0" collapsed="false">
      <c r="A2377" s="82" t="str">
        <f aca="false">IF(B2377="","",ROW()-6)</f>
        <v/>
      </c>
      <c r="B2377" s="145"/>
      <c r="C2377" s="146"/>
      <c r="D2377" s="146"/>
      <c r="E2377" s="82" t="str">
        <f aca="false">IF(B2377="","",IF(COUNTIFS('CARNET DE SOUDURE'!$L$7:$L$3006,B2377,'CARNET DE SOUDURE'!$M$7:$M$3006,"&lt;&gt;"&amp;C2377,'CARNET DE SOUDURE'!$M$7:$M$3006,"&lt;&gt;")+COUNTIFS('CARNET DE SOUDURE'!$O$7:$O$3006,B2377,'CARNET DE SOUDURE'!$P$7:$P$3006,"&lt;&gt;"&amp;C2377,'CARNET DE SOUDURE'!$P$7:$P$3006,"&lt;&gt;")&gt;0,"⚠ DIFFÉRENTE","OK"))</f>
        <v/>
      </c>
      <c r="F2377" s="147"/>
      <c r="G2377" s="80"/>
      <c r="H2377" s="83"/>
      <c r="I2377" s="148" t="str">
        <f aca="false">IF(B2377="","",IFERROR(INDEX('CARNET DE SOUDURE'!$B$7:$B$3006,MATCH(B2377,'CARNET DE SOUDURE'!$L$7:$L$3006,0)),IFERROR(INDEX('CARNET DE SOUDURE'!$B$7:$B$3006,MATCH(B2377,'CARNET DE SOUDURE'!$O$7:$O$3006,0)),"")))</f>
        <v/>
      </c>
      <c r="J2377" s="82" t="str">
        <f aca="false">IF(B2377="","",IFERROR(INDEX('CARNET DE SOUDURE'!$E$7:$E$3006,MATCH(B2377,'CARNET DE SOUDURE'!$O$7:$O$3006,0)),""))</f>
        <v/>
      </c>
      <c r="K2377" s="82" t="str">
        <f aca="false">IF(B2377="","",IFERROR(INDEX('CARNET DE SOUDURE'!$E$7:$E$3006,MATCH(B2377,'CARNET DE SOUDURE'!$L$7:$L$3006,0)),""))</f>
        <v/>
      </c>
      <c r="L2377" s="82" t="str">
        <f aca="false">IF(B2377="","",IFERROR(INDEX('CARNET DE SOUDURE'!$D$7:$D$3006,MATCH(B2377,'CARNET DE SOUDURE'!$L$7:$L$3006,0)),IFERROR(INDEX('CARNET DE SOUDURE'!$D$7:$D$3006,MATCH(B2377,'CARNET DE SOUDURE'!$O$7:$O$3006,0)),"")))</f>
        <v/>
      </c>
      <c r="M2377" s="82" t="str">
        <f aca="false">IF(B2377="","",IF(OR(J2377&lt;&gt;"",K2377&lt;&gt;""),"POSÉ EN LIGNE",IF(COUNTIF(BARDAGE!$C$1:$C$5000,B2377)&gt;0,"BARDÉ","EN STOCK")))</f>
        <v/>
      </c>
      <c r="N2377" s="80"/>
    </row>
    <row r="2378" customFormat="false" ht="15" hidden="false" customHeight="false" outlineLevel="0" collapsed="false">
      <c r="A2378" s="82" t="str">
        <f aca="false">IF(B2378="","",ROW()-6)</f>
        <v/>
      </c>
      <c r="B2378" s="145"/>
      <c r="C2378" s="146"/>
      <c r="D2378" s="146"/>
      <c r="E2378" s="82" t="str">
        <f aca="false">IF(B2378="","",IF(COUNTIFS('CARNET DE SOUDURE'!$L$7:$L$3006,B2378,'CARNET DE SOUDURE'!$M$7:$M$3006,"&lt;&gt;"&amp;C2378,'CARNET DE SOUDURE'!$M$7:$M$3006,"&lt;&gt;")+COUNTIFS('CARNET DE SOUDURE'!$O$7:$O$3006,B2378,'CARNET DE SOUDURE'!$P$7:$P$3006,"&lt;&gt;"&amp;C2378,'CARNET DE SOUDURE'!$P$7:$P$3006,"&lt;&gt;")&gt;0,"⚠ DIFFÉRENTE","OK"))</f>
        <v/>
      </c>
      <c r="F2378" s="147"/>
      <c r="G2378" s="80"/>
      <c r="H2378" s="83"/>
      <c r="I2378" s="148" t="str">
        <f aca="false">IF(B2378="","",IFERROR(INDEX('CARNET DE SOUDURE'!$B$7:$B$3006,MATCH(B2378,'CARNET DE SOUDURE'!$L$7:$L$3006,0)),IFERROR(INDEX('CARNET DE SOUDURE'!$B$7:$B$3006,MATCH(B2378,'CARNET DE SOUDURE'!$O$7:$O$3006,0)),"")))</f>
        <v/>
      </c>
      <c r="J2378" s="82" t="str">
        <f aca="false">IF(B2378="","",IFERROR(INDEX('CARNET DE SOUDURE'!$E$7:$E$3006,MATCH(B2378,'CARNET DE SOUDURE'!$O$7:$O$3006,0)),""))</f>
        <v/>
      </c>
      <c r="K2378" s="82" t="str">
        <f aca="false">IF(B2378="","",IFERROR(INDEX('CARNET DE SOUDURE'!$E$7:$E$3006,MATCH(B2378,'CARNET DE SOUDURE'!$L$7:$L$3006,0)),""))</f>
        <v/>
      </c>
      <c r="L2378" s="82" t="str">
        <f aca="false">IF(B2378="","",IFERROR(INDEX('CARNET DE SOUDURE'!$D$7:$D$3006,MATCH(B2378,'CARNET DE SOUDURE'!$L$7:$L$3006,0)),IFERROR(INDEX('CARNET DE SOUDURE'!$D$7:$D$3006,MATCH(B2378,'CARNET DE SOUDURE'!$O$7:$O$3006,0)),"")))</f>
        <v/>
      </c>
      <c r="M2378" s="82" t="str">
        <f aca="false">IF(B2378="","",IF(OR(J2378&lt;&gt;"",K2378&lt;&gt;""),"POSÉ EN LIGNE",IF(COUNTIF(BARDAGE!$C$1:$C$5000,B2378)&gt;0,"BARDÉ","EN STOCK")))</f>
        <v/>
      </c>
      <c r="N2378" s="80"/>
    </row>
    <row r="2379" customFormat="false" ht="15" hidden="false" customHeight="false" outlineLevel="0" collapsed="false">
      <c r="A2379" s="82" t="str">
        <f aca="false">IF(B2379="","",ROW()-6)</f>
        <v/>
      </c>
      <c r="B2379" s="145"/>
      <c r="C2379" s="146"/>
      <c r="D2379" s="146"/>
      <c r="E2379" s="82" t="str">
        <f aca="false">IF(B2379="","",IF(COUNTIFS('CARNET DE SOUDURE'!$L$7:$L$3006,B2379,'CARNET DE SOUDURE'!$M$7:$M$3006,"&lt;&gt;"&amp;C2379,'CARNET DE SOUDURE'!$M$7:$M$3006,"&lt;&gt;")+COUNTIFS('CARNET DE SOUDURE'!$O$7:$O$3006,B2379,'CARNET DE SOUDURE'!$P$7:$P$3006,"&lt;&gt;"&amp;C2379,'CARNET DE SOUDURE'!$P$7:$P$3006,"&lt;&gt;")&gt;0,"⚠ DIFFÉRENTE","OK"))</f>
        <v/>
      </c>
      <c r="F2379" s="147"/>
      <c r="G2379" s="80"/>
      <c r="H2379" s="83"/>
      <c r="I2379" s="148" t="str">
        <f aca="false">IF(B2379="","",IFERROR(INDEX('CARNET DE SOUDURE'!$B$7:$B$3006,MATCH(B2379,'CARNET DE SOUDURE'!$L$7:$L$3006,0)),IFERROR(INDEX('CARNET DE SOUDURE'!$B$7:$B$3006,MATCH(B2379,'CARNET DE SOUDURE'!$O$7:$O$3006,0)),"")))</f>
        <v/>
      </c>
      <c r="J2379" s="82" t="str">
        <f aca="false">IF(B2379="","",IFERROR(INDEX('CARNET DE SOUDURE'!$E$7:$E$3006,MATCH(B2379,'CARNET DE SOUDURE'!$O$7:$O$3006,0)),""))</f>
        <v/>
      </c>
      <c r="K2379" s="82" t="str">
        <f aca="false">IF(B2379="","",IFERROR(INDEX('CARNET DE SOUDURE'!$E$7:$E$3006,MATCH(B2379,'CARNET DE SOUDURE'!$L$7:$L$3006,0)),""))</f>
        <v/>
      </c>
      <c r="L2379" s="82" t="str">
        <f aca="false">IF(B2379="","",IFERROR(INDEX('CARNET DE SOUDURE'!$D$7:$D$3006,MATCH(B2379,'CARNET DE SOUDURE'!$L$7:$L$3006,0)),IFERROR(INDEX('CARNET DE SOUDURE'!$D$7:$D$3006,MATCH(B2379,'CARNET DE SOUDURE'!$O$7:$O$3006,0)),"")))</f>
        <v/>
      </c>
      <c r="M2379" s="82" t="str">
        <f aca="false">IF(B2379="","",IF(OR(J2379&lt;&gt;"",K2379&lt;&gt;""),"POSÉ EN LIGNE",IF(COUNTIF(BARDAGE!$C$1:$C$5000,B2379)&gt;0,"BARDÉ","EN STOCK")))</f>
        <v/>
      </c>
      <c r="N2379" s="80"/>
    </row>
    <row r="2380" customFormat="false" ht="15" hidden="false" customHeight="false" outlineLevel="0" collapsed="false">
      <c r="A2380" s="82" t="str">
        <f aca="false">IF(B2380="","",ROW()-6)</f>
        <v/>
      </c>
      <c r="B2380" s="145"/>
      <c r="C2380" s="146"/>
      <c r="D2380" s="146"/>
      <c r="E2380" s="82" t="str">
        <f aca="false">IF(B2380="","",IF(COUNTIFS('CARNET DE SOUDURE'!$L$7:$L$3006,B2380,'CARNET DE SOUDURE'!$M$7:$M$3006,"&lt;&gt;"&amp;C2380,'CARNET DE SOUDURE'!$M$7:$M$3006,"&lt;&gt;")+COUNTIFS('CARNET DE SOUDURE'!$O$7:$O$3006,B2380,'CARNET DE SOUDURE'!$P$7:$P$3006,"&lt;&gt;"&amp;C2380,'CARNET DE SOUDURE'!$P$7:$P$3006,"&lt;&gt;")&gt;0,"⚠ DIFFÉRENTE","OK"))</f>
        <v/>
      </c>
      <c r="F2380" s="147"/>
      <c r="G2380" s="80"/>
      <c r="H2380" s="83"/>
      <c r="I2380" s="148" t="str">
        <f aca="false">IF(B2380="","",IFERROR(INDEX('CARNET DE SOUDURE'!$B$7:$B$3006,MATCH(B2380,'CARNET DE SOUDURE'!$L$7:$L$3006,0)),IFERROR(INDEX('CARNET DE SOUDURE'!$B$7:$B$3006,MATCH(B2380,'CARNET DE SOUDURE'!$O$7:$O$3006,0)),"")))</f>
        <v/>
      </c>
      <c r="J2380" s="82" t="str">
        <f aca="false">IF(B2380="","",IFERROR(INDEX('CARNET DE SOUDURE'!$E$7:$E$3006,MATCH(B2380,'CARNET DE SOUDURE'!$O$7:$O$3006,0)),""))</f>
        <v/>
      </c>
      <c r="K2380" s="82" t="str">
        <f aca="false">IF(B2380="","",IFERROR(INDEX('CARNET DE SOUDURE'!$E$7:$E$3006,MATCH(B2380,'CARNET DE SOUDURE'!$L$7:$L$3006,0)),""))</f>
        <v/>
      </c>
      <c r="L2380" s="82" t="str">
        <f aca="false">IF(B2380="","",IFERROR(INDEX('CARNET DE SOUDURE'!$D$7:$D$3006,MATCH(B2380,'CARNET DE SOUDURE'!$L$7:$L$3006,0)),IFERROR(INDEX('CARNET DE SOUDURE'!$D$7:$D$3006,MATCH(B2380,'CARNET DE SOUDURE'!$O$7:$O$3006,0)),"")))</f>
        <v/>
      </c>
      <c r="M2380" s="82" t="str">
        <f aca="false">IF(B2380="","",IF(OR(J2380&lt;&gt;"",K2380&lt;&gt;""),"POSÉ EN LIGNE",IF(COUNTIF(BARDAGE!$C$1:$C$5000,B2380)&gt;0,"BARDÉ","EN STOCK")))</f>
        <v/>
      </c>
      <c r="N2380" s="80"/>
    </row>
    <row r="2381" customFormat="false" ht="15" hidden="false" customHeight="false" outlineLevel="0" collapsed="false">
      <c r="A2381" s="82" t="str">
        <f aca="false">IF(B2381="","",ROW()-6)</f>
        <v/>
      </c>
      <c r="B2381" s="145"/>
      <c r="C2381" s="146"/>
      <c r="D2381" s="146"/>
      <c r="E2381" s="82" t="str">
        <f aca="false">IF(B2381="","",IF(COUNTIFS('CARNET DE SOUDURE'!$L$7:$L$3006,B2381,'CARNET DE SOUDURE'!$M$7:$M$3006,"&lt;&gt;"&amp;C2381,'CARNET DE SOUDURE'!$M$7:$M$3006,"&lt;&gt;")+COUNTIFS('CARNET DE SOUDURE'!$O$7:$O$3006,B2381,'CARNET DE SOUDURE'!$P$7:$P$3006,"&lt;&gt;"&amp;C2381,'CARNET DE SOUDURE'!$P$7:$P$3006,"&lt;&gt;")&gt;0,"⚠ DIFFÉRENTE","OK"))</f>
        <v/>
      </c>
      <c r="F2381" s="147"/>
      <c r="G2381" s="80"/>
      <c r="H2381" s="83"/>
      <c r="I2381" s="148" t="str">
        <f aca="false">IF(B2381="","",IFERROR(INDEX('CARNET DE SOUDURE'!$B$7:$B$3006,MATCH(B2381,'CARNET DE SOUDURE'!$L$7:$L$3006,0)),IFERROR(INDEX('CARNET DE SOUDURE'!$B$7:$B$3006,MATCH(B2381,'CARNET DE SOUDURE'!$O$7:$O$3006,0)),"")))</f>
        <v/>
      </c>
      <c r="J2381" s="82" t="str">
        <f aca="false">IF(B2381="","",IFERROR(INDEX('CARNET DE SOUDURE'!$E$7:$E$3006,MATCH(B2381,'CARNET DE SOUDURE'!$O$7:$O$3006,0)),""))</f>
        <v/>
      </c>
      <c r="K2381" s="82" t="str">
        <f aca="false">IF(B2381="","",IFERROR(INDEX('CARNET DE SOUDURE'!$E$7:$E$3006,MATCH(B2381,'CARNET DE SOUDURE'!$L$7:$L$3006,0)),""))</f>
        <v/>
      </c>
      <c r="L2381" s="82" t="str">
        <f aca="false">IF(B2381="","",IFERROR(INDEX('CARNET DE SOUDURE'!$D$7:$D$3006,MATCH(B2381,'CARNET DE SOUDURE'!$L$7:$L$3006,0)),IFERROR(INDEX('CARNET DE SOUDURE'!$D$7:$D$3006,MATCH(B2381,'CARNET DE SOUDURE'!$O$7:$O$3006,0)),"")))</f>
        <v/>
      </c>
      <c r="M2381" s="82" t="str">
        <f aca="false">IF(B2381="","",IF(OR(J2381&lt;&gt;"",K2381&lt;&gt;""),"POSÉ EN LIGNE",IF(COUNTIF(BARDAGE!$C$1:$C$5000,B2381)&gt;0,"BARDÉ","EN STOCK")))</f>
        <v/>
      </c>
      <c r="N2381" s="80"/>
    </row>
    <row r="2382" customFormat="false" ht="15" hidden="false" customHeight="false" outlineLevel="0" collapsed="false">
      <c r="A2382" s="82" t="str">
        <f aca="false">IF(B2382="","",ROW()-6)</f>
        <v/>
      </c>
      <c r="B2382" s="145"/>
      <c r="C2382" s="146"/>
      <c r="D2382" s="146"/>
      <c r="E2382" s="82" t="str">
        <f aca="false">IF(B2382="","",IF(COUNTIFS('CARNET DE SOUDURE'!$L$7:$L$3006,B2382,'CARNET DE SOUDURE'!$M$7:$M$3006,"&lt;&gt;"&amp;C2382,'CARNET DE SOUDURE'!$M$7:$M$3006,"&lt;&gt;")+COUNTIFS('CARNET DE SOUDURE'!$O$7:$O$3006,B2382,'CARNET DE SOUDURE'!$P$7:$P$3006,"&lt;&gt;"&amp;C2382,'CARNET DE SOUDURE'!$P$7:$P$3006,"&lt;&gt;")&gt;0,"⚠ DIFFÉRENTE","OK"))</f>
        <v/>
      </c>
      <c r="F2382" s="147"/>
      <c r="G2382" s="80"/>
      <c r="H2382" s="83"/>
      <c r="I2382" s="148" t="str">
        <f aca="false">IF(B2382="","",IFERROR(INDEX('CARNET DE SOUDURE'!$B$7:$B$3006,MATCH(B2382,'CARNET DE SOUDURE'!$L$7:$L$3006,0)),IFERROR(INDEX('CARNET DE SOUDURE'!$B$7:$B$3006,MATCH(B2382,'CARNET DE SOUDURE'!$O$7:$O$3006,0)),"")))</f>
        <v/>
      </c>
      <c r="J2382" s="82" t="str">
        <f aca="false">IF(B2382="","",IFERROR(INDEX('CARNET DE SOUDURE'!$E$7:$E$3006,MATCH(B2382,'CARNET DE SOUDURE'!$O$7:$O$3006,0)),""))</f>
        <v/>
      </c>
      <c r="K2382" s="82" t="str">
        <f aca="false">IF(B2382="","",IFERROR(INDEX('CARNET DE SOUDURE'!$E$7:$E$3006,MATCH(B2382,'CARNET DE SOUDURE'!$L$7:$L$3006,0)),""))</f>
        <v/>
      </c>
      <c r="L2382" s="82" t="str">
        <f aca="false">IF(B2382="","",IFERROR(INDEX('CARNET DE SOUDURE'!$D$7:$D$3006,MATCH(B2382,'CARNET DE SOUDURE'!$L$7:$L$3006,0)),IFERROR(INDEX('CARNET DE SOUDURE'!$D$7:$D$3006,MATCH(B2382,'CARNET DE SOUDURE'!$O$7:$O$3006,0)),"")))</f>
        <v/>
      </c>
      <c r="M2382" s="82" t="str">
        <f aca="false">IF(B2382="","",IF(OR(J2382&lt;&gt;"",K2382&lt;&gt;""),"POSÉ EN LIGNE",IF(COUNTIF(BARDAGE!$C$1:$C$5000,B2382)&gt;0,"BARDÉ","EN STOCK")))</f>
        <v/>
      </c>
      <c r="N2382" s="80"/>
    </row>
    <row r="2383" customFormat="false" ht="15" hidden="false" customHeight="false" outlineLevel="0" collapsed="false">
      <c r="A2383" s="82" t="str">
        <f aca="false">IF(B2383="","",ROW()-6)</f>
        <v/>
      </c>
      <c r="B2383" s="145"/>
      <c r="C2383" s="146"/>
      <c r="D2383" s="146"/>
      <c r="E2383" s="82" t="str">
        <f aca="false">IF(B2383="","",IF(COUNTIFS('CARNET DE SOUDURE'!$L$7:$L$3006,B2383,'CARNET DE SOUDURE'!$M$7:$M$3006,"&lt;&gt;"&amp;C2383,'CARNET DE SOUDURE'!$M$7:$M$3006,"&lt;&gt;")+COUNTIFS('CARNET DE SOUDURE'!$O$7:$O$3006,B2383,'CARNET DE SOUDURE'!$P$7:$P$3006,"&lt;&gt;"&amp;C2383,'CARNET DE SOUDURE'!$P$7:$P$3006,"&lt;&gt;")&gt;0,"⚠ DIFFÉRENTE","OK"))</f>
        <v/>
      </c>
      <c r="F2383" s="147"/>
      <c r="G2383" s="80"/>
      <c r="H2383" s="83"/>
      <c r="I2383" s="148" t="str">
        <f aca="false">IF(B2383="","",IFERROR(INDEX('CARNET DE SOUDURE'!$B$7:$B$3006,MATCH(B2383,'CARNET DE SOUDURE'!$L$7:$L$3006,0)),IFERROR(INDEX('CARNET DE SOUDURE'!$B$7:$B$3006,MATCH(B2383,'CARNET DE SOUDURE'!$O$7:$O$3006,0)),"")))</f>
        <v/>
      </c>
      <c r="J2383" s="82" t="str">
        <f aca="false">IF(B2383="","",IFERROR(INDEX('CARNET DE SOUDURE'!$E$7:$E$3006,MATCH(B2383,'CARNET DE SOUDURE'!$O$7:$O$3006,0)),""))</f>
        <v/>
      </c>
      <c r="K2383" s="82" t="str">
        <f aca="false">IF(B2383="","",IFERROR(INDEX('CARNET DE SOUDURE'!$E$7:$E$3006,MATCH(B2383,'CARNET DE SOUDURE'!$L$7:$L$3006,0)),""))</f>
        <v/>
      </c>
      <c r="L2383" s="82" t="str">
        <f aca="false">IF(B2383="","",IFERROR(INDEX('CARNET DE SOUDURE'!$D$7:$D$3006,MATCH(B2383,'CARNET DE SOUDURE'!$L$7:$L$3006,0)),IFERROR(INDEX('CARNET DE SOUDURE'!$D$7:$D$3006,MATCH(B2383,'CARNET DE SOUDURE'!$O$7:$O$3006,0)),"")))</f>
        <v/>
      </c>
      <c r="M2383" s="82" t="str">
        <f aca="false">IF(B2383="","",IF(OR(J2383&lt;&gt;"",K2383&lt;&gt;""),"POSÉ EN LIGNE",IF(COUNTIF(BARDAGE!$C$1:$C$5000,B2383)&gt;0,"BARDÉ","EN STOCK")))</f>
        <v/>
      </c>
      <c r="N2383" s="80"/>
    </row>
    <row r="2384" customFormat="false" ht="15" hidden="false" customHeight="false" outlineLevel="0" collapsed="false">
      <c r="A2384" s="82" t="str">
        <f aca="false">IF(B2384="","",ROW()-6)</f>
        <v/>
      </c>
      <c r="B2384" s="145"/>
      <c r="C2384" s="146"/>
      <c r="D2384" s="146"/>
      <c r="E2384" s="82" t="str">
        <f aca="false">IF(B2384="","",IF(COUNTIFS('CARNET DE SOUDURE'!$L$7:$L$3006,B2384,'CARNET DE SOUDURE'!$M$7:$M$3006,"&lt;&gt;"&amp;C2384,'CARNET DE SOUDURE'!$M$7:$M$3006,"&lt;&gt;")+COUNTIFS('CARNET DE SOUDURE'!$O$7:$O$3006,B2384,'CARNET DE SOUDURE'!$P$7:$P$3006,"&lt;&gt;"&amp;C2384,'CARNET DE SOUDURE'!$P$7:$P$3006,"&lt;&gt;")&gt;0,"⚠ DIFFÉRENTE","OK"))</f>
        <v/>
      </c>
      <c r="F2384" s="147"/>
      <c r="G2384" s="80"/>
      <c r="H2384" s="83"/>
      <c r="I2384" s="148" t="str">
        <f aca="false">IF(B2384="","",IFERROR(INDEX('CARNET DE SOUDURE'!$B$7:$B$3006,MATCH(B2384,'CARNET DE SOUDURE'!$L$7:$L$3006,0)),IFERROR(INDEX('CARNET DE SOUDURE'!$B$7:$B$3006,MATCH(B2384,'CARNET DE SOUDURE'!$O$7:$O$3006,0)),"")))</f>
        <v/>
      </c>
      <c r="J2384" s="82" t="str">
        <f aca="false">IF(B2384="","",IFERROR(INDEX('CARNET DE SOUDURE'!$E$7:$E$3006,MATCH(B2384,'CARNET DE SOUDURE'!$O$7:$O$3006,0)),""))</f>
        <v/>
      </c>
      <c r="K2384" s="82" t="str">
        <f aca="false">IF(B2384="","",IFERROR(INDEX('CARNET DE SOUDURE'!$E$7:$E$3006,MATCH(B2384,'CARNET DE SOUDURE'!$L$7:$L$3006,0)),""))</f>
        <v/>
      </c>
      <c r="L2384" s="82" t="str">
        <f aca="false">IF(B2384="","",IFERROR(INDEX('CARNET DE SOUDURE'!$D$7:$D$3006,MATCH(B2384,'CARNET DE SOUDURE'!$L$7:$L$3006,0)),IFERROR(INDEX('CARNET DE SOUDURE'!$D$7:$D$3006,MATCH(B2384,'CARNET DE SOUDURE'!$O$7:$O$3006,0)),"")))</f>
        <v/>
      </c>
      <c r="M2384" s="82" t="str">
        <f aca="false">IF(B2384="","",IF(OR(J2384&lt;&gt;"",K2384&lt;&gt;""),"POSÉ EN LIGNE",IF(COUNTIF(BARDAGE!$C$1:$C$5000,B2384)&gt;0,"BARDÉ","EN STOCK")))</f>
        <v/>
      </c>
      <c r="N2384" s="80"/>
    </row>
    <row r="2385" customFormat="false" ht="15" hidden="false" customHeight="false" outlineLevel="0" collapsed="false">
      <c r="A2385" s="82" t="str">
        <f aca="false">IF(B2385="","",ROW()-6)</f>
        <v/>
      </c>
      <c r="B2385" s="145"/>
      <c r="C2385" s="146"/>
      <c r="D2385" s="146"/>
      <c r="E2385" s="82" t="str">
        <f aca="false">IF(B2385="","",IF(COUNTIFS('CARNET DE SOUDURE'!$L$7:$L$3006,B2385,'CARNET DE SOUDURE'!$M$7:$M$3006,"&lt;&gt;"&amp;C2385,'CARNET DE SOUDURE'!$M$7:$M$3006,"&lt;&gt;")+COUNTIFS('CARNET DE SOUDURE'!$O$7:$O$3006,B2385,'CARNET DE SOUDURE'!$P$7:$P$3006,"&lt;&gt;"&amp;C2385,'CARNET DE SOUDURE'!$P$7:$P$3006,"&lt;&gt;")&gt;0,"⚠ DIFFÉRENTE","OK"))</f>
        <v/>
      </c>
      <c r="F2385" s="147"/>
      <c r="G2385" s="80"/>
      <c r="H2385" s="83"/>
      <c r="I2385" s="148" t="str">
        <f aca="false">IF(B2385="","",IFERROR(INDEX('CARNET DE SOUDURE'!$B$7:$B$3006,MATCH(B2385,'CARNET DE SOUDURE'!$L$7:$L$3006,0)),IFERROR(INDEX('CARNET DE SOUDURE'!$B$7:$B$3006,MATCH(B2385,'CARNET DE SOUDURE'!$O$7:$O$3006,0)),"")))</f>
        <v/>
      </c>
      <c r="J2385" s="82" t="str">
        <f aca="false">IF(B2385="","",IFERROR(INDEX('CARNET DE SOUDURE'!$E$7:$E$3006,MATCH(B2385,'CARNET DE SOUDURE'!$O$7:$O$3006,0)),""))</f>
        <v/>
      </c>
      <c r="K2385" s="82" t="str">
        <f aca="false">IF(B2385="","",IFERROR(INDEX('CARNET DE SOUDURE'!$E$7:$E$3006,MATCH(B2385,'CARNET DE SOUDURE'!$L$7:$L$3006,0)),""))</f>
        <v/>
      </c>
      <c r="L2385" s="82" t="str">
        <f aca="false">IF(B2385="","",IFERROR(INDEX('CARNET DE SOUDURE'!$D$7:$D$3006,MATCH(B2385,'CARNET DE SOUDURE'!$L$7:$L$3006,0)),IFERROR(INDEX('CARNET DE SOUDURE'!$D$7:$D$3006,MATCH(B2385,'CARNET DE SOUDURE'!$O$7:$O$3006,0)),"")))</f>
        <v/>
      </c>
      <c r="M2385" s="82" t="str">
        <f aca="false">IF(B2385="","",IF(OR(J2385&lt;&gt;"",K2385&lt;&gt;""),"POSÉ EN LIGNE",IF(COUNTIF(BARDAGE!$C$1:$C$5000,B2385)&gt;0,"BARDÉ","EN STOCK")))</f>
        <v/>
      </c>
      <c r="N2385" s="80"/>
    </row>
    <row r="2386" customFormat="false" ht="15" hidden="false" customHeight="false" outlineLevel="0" collapsed="false">
      <c r="A2386" s="82" t="str">
        <f aca="false">IF(B2386="","",ROW()-6)</f>
        <v/>
      </c>
      <c r="B2386" s="145"/>
      <c r="C2386" s="146"/>
      <c r="D2386" s="146"/>
      <c r="E2386" s="82" t="str">
        <f aca="false">IF(B2386="","",IF(COUNTIFS('CARNET DE SOUDURE'!$L$7:$L$3006,B2386,'CARNET DE SOUDURE'!$M$7:$M$3006,"&lt;&gt;"&amp;C2386,'CARNET DE SOUDURE'!$M$7:$M$3006,"&lt;&gt;")+COUNTIFS('CARNET DE SOUDURE'!$O$7:$O$3006,B2386,'CARNET DE SOUDURE'!$P$7:$P$3006,"&lt;&gt;"&amp;C2386,'CARNET DE SOUDURE'!$P$7:$P$3006,"&lt;&gt;")&gt;0,"⚠ DIFFÉRENTE","OK"))</f>
        <v/>
      </c>
      <c r="F2386" s="147"/>
      <c r="G2386" s="80"/>
      <c r="H2386" s="83"/>
      <c r="I2386" s="148" t="str">
        <f aca="false">IF(B2386="","",IFERROR(INDEX('CARNET DE SOUDURE'!$B$7:$B$3006,MATCH(B2386,'CARNET DE SOUDURE'!$L$7:$L$3006,0)),IFERROR(INDEX('CARNET DE SOUDURE'!$B$7:$B$3006,MATCH(B2386,'CARNET DE SOUDURE'!$O$7:$O$3006,0)),"")))</f>
        <v/>
      </c>
      <c r="J2386" s="82" t="str">
        <f aca="false">IF(B2386="","",IFERROR(INDEX('CARNET DE SOUDURE'!$E$7:$E$3006,MATCH(B2386,'CARNET DE SOUDURE'!$O$7:$O$3006,0)),""))</f>
        <v/>
      </c>
      <c r="K2386" s="82" t="str">
        <f aca="false">IF(B2386="","",IFERROR(INDEX('CARNET DE SOUDURE'!$E$7:$E$3006,MATCH(B2386,'CARNET DE SOUDURE'!$L$7:$L$3006,0)),""))</f>
        <v/>
      </c>
      <c r="L2386" s="82" t="str">
        <f aca="false">IF(B2386="","",IFERROR(INDEX('CARNET DE SOUDURE'!$D$7:$D$3006,MATCH(B2386,'CARNET DE SOUDURE'!$L$7:$L$3006,0)),IFERROR(INDEX('CARNET DE SOUDURE'!$D$7:$D$3006,MATCH(B2386,'CARNET DE SOUDURE'!$O$7:$O$3006,0)),"")))</f>
        <v/>
      </c>
      <c r="M2386" s="82" t="str">
        <f aca="false">IF(B2386="","",IF(OR(J2386&lt;&gt;"",K2386&lt;&gt;""),"POSÉ EN LIGNE",IF(COUNTIF(BARDAGE!$C$1:$C$5000,B2386)&gt;0,"BARDÉ","EN STOCK")))</f>
        <v/>
      </c>
      <c r="N2386" s="80"/>
    </row>
    <row r="2387" customFormat="false" ht="15" hidden="false" customHeight="false" outlineLevel="0" collapsed="false">
      <c r="A2387" s="82" t="str">
        <f aca="false">IF(B2387="","",ROW()-6)</f>
        <v/>
      </c>
      <c r="B2387" s="145"/>
      <c r="C2387" s="146"/>
      <c r="D2387" s="146"/>
      <c r="E2387" s="82" t="str">
        <f aca="false">IF(B2387="","",IF(COUNTIFS('CARNET DE SOUDURE'!$L$7:$L$3006,B2387,'CARNET DE SOUDURE'!$M$7:$M$3006,"&lt;&gt;"&amp;C2387,'CARNET DE SOUDURE'!$M$7:$M$3006,"&lt;&gt;")+COUNTIFS('CARNET DE SOUDURE'!$O$7:$O$3006,B2387,'CARNET DE SOUDURE'!$P$7:$P$3006,"&lt;&gt;"&amp;C2387,'CARNET DE SOUDURE'!$P$7:$P$3006,"&lt;&gt;")&gt;0,"⚠ DIFFÉRENTE","OK"))</f>
        <v/>
      </c>
      <c r="F2387" s="147"/>
      <c r="G2387" s="80"/>
      <c r="H2387" s="83"/>
      <c r="I2387" s="148" t="str">
        <f aca="false">IF(B2387="","",IFERROR(INDEX('CARNET DE SOUDURE'!$B$7:$B$3006,MATCH(B2387,'CARNET DE SOUDURE'!$L$7:$L$3006,0)),IFERROR(INDEX('CARNET DE SOUDURE'!$B$7:$B$3006,MATCH(B2387,'CARNET DE SOUDURE'!$O$7:$O$3006,0)),"")))</f>
        <v/>
      </c>
      <c r="J2387" s="82" t="str">
        <f aca="false">IF(B2387="","",IFERROR(INDEX('CARNET DE SOUDURE'!$E$7:$E$3006,MATCH(B2387,'CARNET DE SOUDURE'!$O$7:$O$3006,0)),""))</f>
        <v/>
      </c>
      <c r="K2387" s="82" t="str">
        <f aca="false">IF(B2387="","",IFERROR(INDEX('CARNET DE SOUDURE'!$E$7:$E$3006,MATCH(B2387,'CARNET DE SOUDURE'!$L$7:$L$3006,0)),""))</f>
        <v/>
      </c>
      <c r="L2387" s="82" t="str">
        <f aca="false">IF(B2387="","",IFERROR(INDEX('CARNET DE SOUDURE'!$D$7:$D$3006,MATCH(B2387,'CARNET DE SOUDURE'!$L$7:$L$3006,0)),IFERROR(INDEX('CARNET DE SOUDURE'!$D$7:$D$3006,MATCH(B2387,'CARNET DE SOUDURE'!$O$7:$O$3006,0)),"")))</f>
        <v/>
      </c>
      <c r="M2387" s="82" t="str">
        <f aca="false">IF(B2387="","",IF(OR(J2387&lt;&gt;"",K2387&lt;&gt;""),"POSÉ EN LIGNE",IF(COUNTIF(BARDAGE!$C$1:$C$5000,B2387)&gt;0,"BARDÉ","EN STOCK")))</f>
        <v/>
      </c>
      <c r="N2387" s="80"/>
    </row>
    <row r="2388" customFormat="false" ht="15" hidden="false" customHeight="false" outlineLevel="0" collapsed="false">
      <c r="A2388" s="82" t="str">
        <f aca="false">IF(B2388="","",ROW()-6)</f>
        <v/>
      </c>
      <c r="B2388" s="145"/>
      <c r="C2388" s="146"/>
      <c r="D2388" s="146"/>
      <c r="E2388" s="82" t="str">
        <f aca="false">IF(B2388="","",IF(COUNTIFS('CARNET DE SOUDURE'!$L$7:$L$3006,B2388,'CARNET DE SOUDURE'!$M$7:$M$3006,"&lt;&gt;"&amp;C2388,'CARNET DE SOUDURE'!$M$7:$M$3006,"&lt;&gt;")+COUNTIFS('CARNET DE SOUDURE'!$O$7:$O$3006,B2388,'CARNET DE SOUDURE'!$P$7:$P$3006,"&lt;&gt;"&amp;C2388,'CARNET DE SOUDURE'!$P$7:$P$3006,"&lt;&gt;")&gt;0,"⚠ DIFFÉRENTE","OK"))</f>
        <v/>
      </c>
      <c r="F2388" s="147"/>
      <c r="G2388" s="80"/>
      <c r="H2388" s="83"/>
      <c r="I2388" s="148" t="str">
        <f aca="false">IF(B2388="","",IFERROR(INDEX('CARNET DE SOUDURE'!$B$7:$B$3006,MATCH(B2388,'CARNET DE SOUDURE'!$L$7:$L$3006,0)),IFERROR(INDEX('CARNET DE SOUDURE'!$B$7:$B$3006,MATCH(B2388,'CARNET DE SOUDURE'!$O$7:$O$3006,0)),"")))</f>
        <v/>
      </c>
      <c r="J2388" s="82" t="str">
        <f aca="false">IF(B2388="","",IFERROR(INDEX('CARNET DE SOUDURE'!$E$7:$E$3006,MATCH(B2388,'CARNET DE SOUDURE'!$O$7:$O$3006,0)),""))</f>
        <v/>
      </c>
      <c r="K2388" s="82" t="str">
        <f aca="false">IF(B2388="","",IFERROR(INDEX('CARNET DE SOUDURE'!$E$7:$E$3006,MATCH(B2388,'CARNET DE SOUDURE'!$L$7:$L$3006,0)),""))</f>
        <v/>
      </c>
      <c r="L2388" s="82" t="str">
        <f aca="false">IF(B2388="","",IFERROR(INDEX('CARNET DE SOUDURE'!$D$7:$D$3006,MATCH(B2388,'CARNET DE SOUDURE'!$L$7:$L$3006,0)),IFERROR(INDEX('CARNET DE SOUDURE'!$D$7:$D$3006,MATCH(B2388,'CARNET DE SOUDURE'!$O$7:$O$3006,0)),"")))</f>
        <v/>
      </c>
      <c r="M2388" s="82" t="str">
        <f aca="false">IF(B2388="","",IF(OR(J2388&lt;&gt;"",K2388&lt;&gt;""),"POSÉ EN LIGNE",IF(COUNTIF(BARDAGE!$C$1:$C$5000,B2388)&gt;0,"BARDÉ","EN STOCK")))</f>
        <v/>
      </c>
      <c r="N2388" s="80"/>
    </row>
    <row r="2389" customFormat="false" ht="15" hidden="false" customHeight="false" outlineLevel="0" collapsed="false">
      <c r="A2389" s="82" t="str">
        <f aca="false">IF(B2389="","",ROW()-6)</f>
        <v/>
      </c>
      <c r="B2389" s="145"/>
      <c r="C2389" s="146"/>
      <c r="D2389" s="146"/>
      <c r="E2389" s="82" t="str">
        <f aca="false">IF(B2389="","",IF(COUNTIFS('CARNET DE SOUDURE'!$L$7:$L$3006,B2389,'CARNET DE SOUDURE'!$M$7:$M$3006,"&lt;&gt;"&amp;C2389,'CARNET DE SOUDURE'!$M$7:$M$3006,"&lt;&gt;")+COUNTIFS('CARNET DE SOUDURE'!$O$7:$O$3006,B2389,'CARNET DE SOUDURE'!$P$7:$P$3006,"&lt;&gt;"&amp;C2389,'CARNET DE SOUDURE'!$P$7:$P$3006,"&lt;&gt;")&gt;0,"⚠ DIFFÉRENTE","OK"))</f>
        <v/>
      </c>
      <c r="F2389" s="147"/>
      <c r="G2389" s="80"/>
      <c r="H2389" s="83"/>
      <c r="I2389" s="148" t="str">
        <f aca="false">IF(B2389="","",IFERROR(INDEX('CARNET DE SOUDURE'!$B$7:$B$3006,MATCH(B2389,'CARNET DE SOUDURE'!$L$7:$L$3006,0)),IFERROR(INDEX('CARNET DE SOUDURE'!$B$7:$B$3006,MATCH(B2389,'CARNET DE SOUDURE'!$O$7:$O$3006,0)),"")))</f>
        <v/>
      </c>
      <c r="J2389" s="82" t="str">
        <f aca="false">IF(B2389="","",IFERROR(INDEX('CARNET DE SOUDURE'!$E$7:$E$3006,MATCH(B2389,'CARNET DE SOUDURE'!$O$7:$O$3006,0)),""))</f>
        <v/>
      </c>
      <c r="K2389" s="82" t="str">
        <f aca="false">IF(B2389="","",IFERROR(INDEX('CARNET DE SOUDURE'!$E$7:$E$3006,MATCH(B2389,'CARNET DE SOUDURE'!$L$7:$L$3006,0)),""))</f>
        <v/>
      </c>
      <c r="L2389" s="82" t="str">
        <f aca="false">IF(B2389="","",IFERROR(INDEX('CARNET DE SOUDURE'!$D$7:$D$3006,MATCH(B2389,'CARNET DE SOUDURE'!$L$7:$L$3006,0)),IFERROR(INDEX('CARNET DE SOUDURE'!$D$7:$D$3006,MATCH(B2389,'CARNET DE SOUDURE'!$O$7:$O$3006,0)),"")))</f>
        <v/>
      </c>
      <c r="M2389" s="82" t="str">
        <f aca="false">IF(B2389="","",IF(OR(J2389&lt;&gt;"",K2389&lt;&gt;""),"POSÉ EN LIGNE",IF(COUNTIF(BARDAGE!$C$1:$C$5000,B2389)&gt;0,"BARDÉ","EN STOCK")))</f>
        <v/>
      </c>
      <c r="N2389" s="80"/>
    </row>
    <row r="2390" customFormat="false" ht="15" hidden="false" customHeight="false" outlineLevel="0" collapsed="false">
      <c r="A2390" s="82" t="str">
        <f aca="false">IF(B2390="","",ROW()-6)</f>
        <v/>
      </c>
      <c r="B2390" s="145"/>
      <c r="C2390" s="146"/>
      <c r="D2390" s="146"/>
      <c r="E2390" s="82" t="str">
        <f aca="false">IF(B2390="","",IF(COUNTIFS('CARNET DE SOUDURE'!$L$7:$L$3006,B2390,'CARNET DE SOUDURE'!$M$7:$M$3006,"&lt;&gt;"&amp;C2390,'CARNET DE SOUDURE'!$M$7:$M$3006,"&lt;&gt;")+COUNTIFS('CARNET DE SOUDURE'!$O$7:$O$3006,B2390,'CARNET DE SOUDURE'!$P$7:$P$3006,"&lt;&gt;"&amp;C2390,'CARNET DE SOUDURE'!$P$7:$P$3006,"&lt;&gt;")&gt;0,"⚠ DIFFÉRENTE","OK"))</f>
        <v/>
      </c>
      <c r="F2390" s="147"/>
      <c r="G2390" s="80"/>
      <c r="H2390" s="83"/>
      <c r="I2390" s="148" t="str">
        <f aca="false">IF(B2390="","",IFERROR(INDEX('CARNET DE SOUDURE'!$B$7:$B$3006,MATCH(B2390,'CARNET DE SOUDURE'!$L$7:$L$3006,0)),IFERROR(INDEX('CARNET DE SOUDURE'!$B$7:$B$3006,MATCH(B2390,'CARNET DE SOUDURE'!$O$7:$O$3006,0)),"")))</f>
        <v/>
      </c>
      <c r="J2390" s="82" t="str">
        <f aca="false">IF(B2390="","",IFERROR(INDEX('CARNET DE SOUDURE'!$E$7:$E$3006,MATCH(B2390,'CARNET DE SOUDURE'!$O$7:$O$3006,0)),""))</f>
        <v/>
      </c>
      <c r="K2390" s="82" t="str">
        <f aca="false">IF(B2390="","",IFERROR(INDEX('CARNET DE SOUDURE'!$E$7:$E$3006,MATCH(B2390,'CARNET DE SOUDURE'!$L$7:$L$3006,0)),""))</f>
        <v/>
      </c>
      <c r="L2390" s="82" t="str">
        <f aca="false">IF(B2390="","",IFERROR(INDEX('CARNET DE SOUDURE'!$D$7:$D$3006,MATCH(B2390,'CARNET DE SOUDURE'!$L$7:$L$3006,0)),IFERROR(INDEX('CARNET DE SOUDURE'!$D$7:$D$3006,MATCH(B2390,'CARNET DE SOUDURE'!$O$7:$O$3006,0)),"")))</f>
        <v/>
      </c>
      <c r="M2390" s="82" t="str">
        <f aca="false">IF(B2390="","",IF(OR(J2390&lt;&gt;"",K2390&lt;&gt;""),"POSÉ EN LIGNE",IF(COUNTIF(BARDAGE!$C$1:$C$5000,B2390)&gt;0,"BARDÉ","EN STOCK")))</f>
        <v/>
      </c>
      <c r="N2390" s="80"/>
    </row>
    <row r="2391" customFormat="false" ht="15" hidden="false" customHeight="false" outlineLevel="0" collapsed="false">
      <c r="A2391" s="82" t="str">
        <f aca="false">IF(B2391="","",ROW()-6)</f>
        <v/>
      </c>
      <c r="B2391" s="145"/>
      <c r="C2391" s="146"/>
      <c r="D2391" s="146"/>
      <c r="E2391" s="82" t="str">
        <f aca="false">IF(B2391="","",IF(COUNTIFS('CARNET DE SOUDURE'!$L$7:$L$3006,B2391,'CARNET DE SOUDURE'!$M$7:$M$3006,"&lt;&gt;"&amp;C2391,'CARNET DE SOUDURE'!$M$7:$M$3006,"&lt;&gt;")+COUNTIFS('CARNET DE SOUDURE'!$O$7:$O$3006,B2391,'CARNET DE SOUDURE'!$P$7:$P$3006,"&lt;&gt;"&amp;C2391,'CARNET DE SOUDURE'!$P$7:$P$3006,"&lt;&gt;")&gt;0,"⚠ DIFFÉRENTE","OK"))</f>
        <v/>
      </c>
      <c r="F2391" s="147"/>
      <c r="G2391" s="80"/>
      <c r="H2391" s="83"/>
      <c r="I2391" s="148" t="str">
        <f aca="false">IF(B2391="","",IFERROR(INDEX('CARNET DE SOUDURE'!$B$7:$B$3006,MATCH(B2391,'CARNET DE SOUDURE'!$L$7:$L$3006,0)),IFERROR(INDEX('CARNET DE SOUDURE'!$B$7:$B$3006,MATCH(B2391,'CARNET DE SOUDURE'!$O$7:$O$3006,0)),"")))</f>
        <v/>
      </c>
      <c r="J2391" s="82" t="str">
        <f aca="false">IF(B2391="","",IFERROR(INDEX('CARNET DE SOUDURE'!$E$7:$E$3006,MATCH(B2391,'CARNET DE SOUDURE'!$O$7:$O$3006,0)),""))</f>
        <v/>
      </c>
      <c r="K2391" s="82" t="str">
        <f aca="false">IF(B2391="","",IFERROR(INDEX('CARNET DE SOUDURE'!$E$7:$E$3006,MATCH(B2391,'CARNET DE SOUDURE'!$L$7:$L$3006,0)),""))</f>
        <v/>
      </c>
      <c r="L2391" s="82" t="str">
        <f aca="false">IF(B2391="","",IFERROR(INDEX('CARNET DE SOUDURE'!$D$7:$D$3006,MATCH(B2391,'CARNET DE SOUDURE'!$L$7:$L$3006,0)),IFERROR(INDEX('CARNET DE SOUDURE'!$D$7:$D$3006,MATCH(B2391,'CARNET DE SOUDURE'!$O$7:$O$3006,0)),"")))</f>
        <v/>
      </c>
      <c r="M2391" s="82" t="str">
        <f aca="false">IF(B2391="","",IF(OR(J2391&lt;&gt;"",K2391&lt;&gt;""),"POSÉ EN LIGNE",IF(COUNTIF(BARDAGE!$C$1:$C$5000,B2391)&gt;0,"BARDÉ","EN STOCK")))</f>
        <v/>
      </c>
      <c r="N2391" s="80"/>
    </row>
    <row r="2392" customFormat="false" ht="15" hidden="false" customHeight="false" outlineLevel="0" collapsed="false">
      <c r="A2392" s="82" t="str">
        <f aca="false">IF(B2392="","",ROW()-6)</f>
        <v/>
      </c>
      <c r="B2392" s="145"/>
      <c r="C2392" s="146"/>
      <c r="D2392" s="146"/>
      <c r="E2392" s="82" t="str">
        <f aca="false">IF(B2392="","",IF(COUNTIFS('CARNET DE SOUDURE'!$L$7:$L$3006,B2392,'CARNET DE SOUDURE'!$M$7:$M$3006,"&lt;&gt;"&amp;C2392,'CARNET DE SOUDURE'!$M$7:$M$3006,"&lt;&gt;")+COUNTIFS('CARNET DE SOUDURE'!$O$7:$O$3006,B2392,'CARNET DE SOUDURE'!$P$7:$P$3006,"&lt;&gt;"&amp;C2392,'CARNET DE SOUDURE'!$P$7:$P$3006,"&lt;&gt;")&gt;0,"⚠ DIFFÉRENTE","OK"))</f>
        <v/>
      </c>
      <c r="F2392" s="147"/>
      <c r="G2392" s="80"/>
      <c r="H2392" s="83"/>
      <c r="I2392" s="148" t="str">
        <f aca="false">IF(B2392="","",IFERROR(INDEX('CARNET DE SOUDURE'!$B$7:$B$3006,MATCH(B2392,'CARNET DE SOUDURE'!$L$7:$L$3006,0)),IFERROR(INDEX('CARNET DE SOUDURE'!$B$7:$B$3006,MATCH(B2392,'CARNET DE SOUDURE'!$O$7:$O$3006,0)),"")))</f>
        <v/>
      </c>
      <c r="J2392" s="82" t="str">
        <f aca="false">IF(B2392="","",IFERROR(INDEX('CARNET DE SOUDURE'!$E$7:$E$3006,MATCH(B2392,'CARNET DE SOUDURE'!$O$7:$O$3006,0)),""))</f>
        <v/>
      </c>
      <c r="K2392" s="82" t="str">
        <f aca="false">IF(B2392="","",IFERROR(INDEX('CARNET DE SOUDURE'!$E$7:$E$3006,MATCH(B2392,'CARNET DE SOUDURE'!$L$7:$L$3006,0)),""))</f>
        <v/>
      </c>
      <c r="L2392" s="82" t="str">
        <f aca="false">IF(B2392="","",IFERROR(INDEX('CARNET DE SOUDURE'!$D$7:$D$3006,MATCH(B2392,'CARNET DE SOUDURE'!$L$7:$L$3006,0)),IFERROR(INDEX('CARNET DE SOUDURE'!$D$7:$D$3006,MATCH(B2392,'CARNET DE SOUDURE'!$O$7:$O$3006,0)),"")))</f>
        <v/>
      </c>
      <c r="M2392" s="82" t="str">
        <f aca="false">IF(B2392="","",IF(OR(J2392&lt;&gt;"",K2392&lt;&gt;""),"POSÉ EN LIGNE",IF(COUNTIF(BARDAGE!$C$1:$C$5000,B2392)&gt;0,"BARDÉ","EN STOCK")))</f>
        <v/>
      </c>
      <c r="N2392" s="80"/>
    </row>
    <row r="2393" customFormat="false" ht="15" hidden="false" customHeight="false" outlineLevel="0" collapsed="false">
      <c r="A2393" s="82" t="str">
        <f aca="false">IF(B2393="","",ROW()-6)</f>
        <v/>
      </c>
      <c r="B2393" s="145"/>
      <c r="C2393" s="146"/>
      <c r="D2393" s="146"/>
      <c r="E2393" s="82" t="str">
        <f aca="false">IF(B2393="","",IF(COUNTIFS('CARNET DE SOUDURE'!$L$7:$L$3006,B2393,'CARNET DE SOUDURE'!$M$7:$M$3006,"&lt;&gt;"&amp;C2393,'CARNET DE SOUDURE'!$M$7:$M$3006,"&lt;&gt;")+COUNTIFS('CARNET DE SOUDURE'!$O$7:$O$3006,B2393,'CARNET DE SOUDURE'!$P$7:$P$3006,"&lt;&gt;"&amp;C2393,'CARNET DE SOUDURE'!$P$7:$P$3006,"&lt;&gt;")&gt;0,"⚠ DIFFÉRENTE","OK"))</f>
        <v/>
      </c>
      <c r="F2393" s="147"/>
      <c r="G2393" s="80"/>
      <c r="H2393" s="83"/>
      <c r="I2393" s="148" t="str">
        <f aca="false">IF(B2393="","",IFERROR(INDEX('CARNET DE SOUDURE'!$B$7:$B$3006,MATCH(B2393,'CARNET DE SOUDURE'!$L$7:$L$3006,0)),IFERROR(INDEX('CARNET DE SOUDURE'!$B$7:$B$3006,MATCH(B2393,'CARNET DE SOUDURE'!$O$7:$O$3006,0)),"")))</f>
        <v/>
      </c>
      <c r="J2393" s="82" t="str">
        <f aca="false">IF(B2393="","",IFERROR(INDEX('CARNET DE SOUDURE'!$E$7:$E$3006,MATCH(B2393,'CARNET DE SOUDURE'!$O$7:$O$3006,0)),""))</f>
        <v/>
      </c>
      <c r="K2393" s="82" t="str">
        <f aca="false">IF(B2393="","",IFERROR(INDEX('CARNET DE SOUDURE'!$E$7:$E$3006,MATCH(B2393,'CARNET DE SOUDURE'!$L$7:$L$3006,0)),""))</f>
        <v/>
      </c>
      <c r="L2393" s="82" t="str">
        <f aca="false">IF(B2393="","",IFERROR(INDEX('CARNET DE SOUDURE'!$D$7:$D$3006,MATCH(B2393,'CARNET DE SOUDURE'!$L$7:$L$3006,0)),IFERROR(INDEX('CARNET DE SOUDURE'!$D$7:$D$3006,MATCH(B2393,'CARNET DE SOUDURE'!$O$7:$O$3006,0)),"")))</f>
        <v/>
      </c>
      <c r="M2393" s="82" t="str">
        <f aca="false">IF(B2393="","",IF(OR(J2393&lt;&gt;"",K2393&lt;&gt;""),"POSÉ EN LIGNE",IF(COUNTIF(BARDAGE!$C$1:$C$5000,B2393)&gt;0,"BARDÉ","EN STOCK")))</f>
        <v/>
      </c>
      <c r="N2393" s="80"/>
    </row>
    <row r="2394" customFormat="false" ht="15" hidden="false" customHeight="false" outlineLevel="0" collapsed="false">
      <c r="A2394" s="82" t="str">
        <f aca="false">IF(B2394="","",ROW()-6)</f>
        <v/>
      </c>
      <c r="B2394" s="145"/>
      <c r="C2394" s="146"/>
      <c r="D2394" s="146"/>
      <c r="E2394" s="82" t="str">
        <f aca="false">IF(B2394="","",IF(COUNTIFS('CARNET DE SOUDURE'!$L$7:$L$3006,B2394,'CARNET DE SOUDURE'!$M$7:$M$3006,"&lt;&gt;"&amp;C2394,'CARNET DE SOUDURE'!$M$7:$M$3006,"&lt;&gt;")+COUNTIFS('CARNET DE SOUDURE'!$O$7:$O$3006,B2394,'CARNET DE SOUDURE'!$P$7:$P$3006,"&lt;&gt;"&amp;C2394,'CARNET DE SOUDURE'!$P$7:$P$3006,"&lt;&gt;")&gt;0,"⚠ DIFFÉRENTE","OK"))</f>
        <v/>
      </c>
      <c r="F2394" s="147"/>
      <c r="G2394" s="80"/>
      <c r="H2394" s="83"/>
      <c r="I2394" s="148" t="str">
        <f aca="false">IF(B2394="","",IFERROR(INDEX('CARNET DE SOUDURE'!$B$7:$B$3006,MATCH(B2394,'CARNET DE SOUDURE'!$L$7:$L$3006,0)),IFERROR(INDEX('CARNET DE SOUDURE'!$B$7:$B$3006,MATCH(B2394,'CARNET DE SOUDURE'!$O$7:$O$3006,0)),"")))</f>
        <v/>
      </c>
      <c r="J2394" s="82" t="str">
        <f aca="false">IF(B2394="","",IFERROR(INDEX('CARNET DE SOUDURE'!$E$7:$E$3006,MATCH(B2394,'CARNET DE SOUDURE'!$O$7:$O$3006,0)),""))</f>
        <v/>
      </c>
      <c r="K2394" s="82" t="str">
        <f aca="false">IF(B2394="","",IFERROR(INDEX('CARNET DE SOUDURE'!$E$7:$E$3006,MATCH(B2394,'CARNET DE SOUDURE'!$L$7:$L$3006,0)),""))</f>
        <v/>
      </c>
      <c r="L2394" s="82" t="str">
        <f aca="false">IF(B2394="","",IFERROR(INDEX('CARNET DE SOUDURE'!$D$7:$D$3006,MATCH(B2394,'CARNET DE SOUDURE'!$L$7:$L$3006,0)),IFERROR(INDEX('CARNET DE SOUDURE'!$D$7:$D$3006,MATCH(B2394,'CARNET DE SOUDURE'!$O$7:$O$3006,0)),"")))</f>
        <v/>
      </c>
      <c r="M2394" s="82" t="str">
        <f aca="false">IF(B2394="","",IF(OR(J2394&lt;&gt;"",K2394&lt;&gt;""),"POSÉ EN LIGNE",IF(COUNTIF(BARDAGE!$C$1:$C$5000,B2394)&gt;0,"BARDÉ","EN STOCK")))</f>
        <v/>
      </c>
      <c r="N2394" s="80"/>
    </row>
    <row r="2395" customFormat="false" ht="15" hidden="false" customHeight="false" outlineLevel="0" collapsed="false">
      <c r="A2395" s="82" t="str">
        <f aca="false">IF(B2395="","",ROW()-6)</f>
        <v/>
      </c>
      <c r="B2395" s="145"/>
      <c r="C2395" s="146"/>
      <c r="D2395" s="146"/>
      <c r="E2395" s="82" t="str">
        <f aca="false">IF(B2395="","",IF(COUNTIFS('CARNET DE SOUDURE'!$L$7:$L$3006,B2395,'CARNET DE SOUDURE'!$M$7:$M$3006,"&lt;&gt;"&amp;C2395,'CARNET DE SOUDURE'!$M$7:$M$3006,"&lt;&gt;")+COUNTIFS('CARNET DE SOUDURE'!$O$7:$O$3006,B2395,'CARNET DE SOUDURE'!$P$7:$P$3006,"&lt;&gt;"&amp;C2395,'CARNET DE SOUDURE'!$P$7:$P$3006,"&lt;&gt;")&gt;0,"⚠ DIFFÉRENTE","OK"))</f>
        <v/>
      </c>
      <c r="F2395" s="147"/>
      <c r="G2395" s="80"/>
      <c r="H2395" s="83"/>
      <c r="I2395" s="148" t="str">
        <f aca="false">IF(B2395="","",IFERROR(INDEX('CARNET DE SOUDURE'!$B$7:$B$3006,MATCH(B2395,'CARNET DE SOUDURE'!$L$7:$L$3006,0)),IFERROR(INDEX('CARNET DE SOUDURE'!$B$7:$B$3006,MATCH(B2395,'CARNET DE SOUDURE'!$O$7:$O$3006,0)),"")))</f>
        <v/>
      </c>
      <c r="J2395" s="82" t="str">
        <f aca="false">IF(B2395="","",IFERROR(INDEX('CARNET DE SOUDURE'!$E$7:$E$3006,MATCH(B2395,'CARNET DE SOUDURE'!$O$7:$O$3006,0)),""))</f>
        <v/>
      </c>
      <c r="K2395" s="82" t="str">
        <f aca="false">IF(B2395="","",IFERROR(INDEX('CARNET DE SOUDURE'!$E$7:$E$3006,MATCH(B2395,'CARNET DE SOUDURE'!$L$7:$L$3006,0)),""))</f>
        <v/>
      </c>
      <c r="L2395" s="82" t="str">
        <f aca="false">IF(B2395="","",IFERROR(INDEX('CARNET DE SOUDURE'!$D$7:$D$3006,MATCH(B2395,'CARNET DE SOUDURE'!$L$7:$L$3006,0)),IFERROR(INDEX('CARNET DE SOUDURE'!$D$7:$D$3006,MATCH(B2395,'CARNET DE SOUDURE'!$O$7:$O$3006,0)),"")))</f>
        <v/>
      </c>
      <c r="M2395" s="82" t="str">
        <f aca="false">IF(B2395="","",IF(OR(J2395&lt;&gt;"",K2395&lt;&gt;""),"POSÉ EN LIGNE",IF(COUNTIF(BARDAGE!$C$1:$C$5000,B2395)&gt;0,"BARDÉ","EN STOCK")))</f>
        <v/>
      </c>
      <c r="N2395" s="80"/>
    </row>
    <row r="2396" customFormat="false" ht="15" hidden="false" customHeight="false" outlineLevel="0" collapsed="false">
      <c r="A2396" s="82" t="str">
        <f aca="false">IF(B2396="","",ROW()-6)</f>
        <v/>
      </c>
      <c r="B2396" s="145"/>
      <c r="C2396" s="146"/>
      <c r="D2396" s="146"/>
      <c r="E2396" s="82" t="str">
        <f aca="false">IF(B2396="","",IF(COUNTIFS('CARNET DE SOUDURE'!$L$7:$L$3006,B2396,'CARNET DE SOUDURE'!$M$7:$M$3006,"&lt;&gt;"&amp;C2396,'CARNET DE SOUDURE'!$M$7:$M$3006,"&lt;&gt;")+COUNTIFS('CARNET DE SOUDURE'!$O$7:$O$3006,B2396,'CARNET DE SOUDURE'!$P$7:$P$3006,"&lt;&gt;"&amp;C2396,'CARNET DE SOUDURE'!$P$7:$P$3006,"&lt;&gt;")&gt;0,"⚠ DIFFÉRENTE","OK"))</f>
        <v/>
      </c>
      <c r="F2396" s="147"/>
      <c r="G2396" s="80"/>
      <c r="H2396" s="83"/>
      <c r="I2396" s="148" t="str">
        <f aca="false">IF(B2396="","",IFERROR(INDEX('CARNET DE SOUDURE'!$B$7:$B$3006,MATCH(B2396,'CARNET DE SOUDURE'!$L$7:$L$3006,0)),IFERROR(INDEX('CARNET DE SOUDURE'!$B$7:$B$3006,MATCH(B2396,'CARNET DE SOUDURE'!$O$7:$O$3006,0)),"")))</f>
        <v/>
      </c>
      <c r="J2396" s="82" t="str">
        <f aca="false">IF(B2396="","",IFERROR(INDEX('CARNET DE SOUDURE'!$E$7:$E$3006,MATCH(B2396,'CARNET DE SOUDURE'!$O$7:$O$3006,0)),""))</f>
        <v/>
      </c>
      <c r="K2396" s="82" t="str">
        <f aca="false">IF(B2396="","",IFERROR(INDEX('CARNET DE SOUDURE'!$E$7:$E$3006,MATCH(B2396,'CARNET DE SOUDURE'!$L$7:$L$3006,0)),""))</f>
        <v/>
      </c>
      <c r="L2396" s="82" t="str">
        <f aca="false">IF(B2396="","",IFERROR(INDEX('CARNET DE SOUDURE'!$D$7:$D$3006,MATCH(B2396,'CARNET DE SOUDURE'!$L$7:$L$3006,0)),IFERROR(INDEX('CARNET DE SOUDURE'!$D$7:$D$3006,MATCH(B2396,'CARNET DE SOUDURE'!$O$7:$O$3006,0)),"")))</f>
        <v/>
      </c>
      <c r="M2396" s="82" t="str">
        <f aca="false">IF(B2396="","",IF(OR(J2396&lt;&gt;"",K2396&lt;&gt;""),"POSÉ EN LIGNE",IF(COUNTIF(BARDAGE!$C$1:$C$5000,B2396)&gt;0,"BARDÉ","EN STOCK")))</f>
        <v/>
      </c>
      <c r="N2396" s="80"/>
    </row>
    <row r="2397" customFormat="false" ht="15" hidden="false" customHeight="false" outlineLevel="0" collapsed="false">
      <c r="A2397" s="82" t="str">
        <f aca="false">IF(B2397="","",ROW()-6)</f>
        <v/>
      </c>
      <c r="B2397" s="145"/>
      <c r="C2397" s="146"/>
      <c r="D2397" s="146"/>
      <c r="E2397" s="82" t="str">
        <f aca="false">IF(B2397="","",IF(COUNTIFS('CARNET DE SOUDURE'!$L$7:$L$3006,B2397,'CARNET DE SOUDURE'!$M$7:$M$3006,"&lt;&gt;"&amp;C2397,'CARNET DE SOUDURE'!$M$7:$M$3006,"&lt;&gt;")+COUNTIFS('CARNET DE SOUDURE'!$O$7:$O$3006,B2397,'CARNET DE SOUDURE'!$P$7:$P$3006,"&lt;&gt;"&amp;C2397,'CARNET DE SOUDURE'!$P$7:$P$3006,"&lt;&gt;")&gt;0,"⚠ DIFFÉRENTE","OK"))</f>
        <v/>
      </c>
      <c r="F2397" s="147"/>
      <c r="G2397" s="80"/>
      <c r="H2397" s="83"/>
      <c r="I2397" s="148" t="str">
        <f aca="false">IF(B2397="","",IFERROR(INDEX('CARNET DE SOUDURE'!$B$7:$B$3006,MATCH(B2397,'CARNET DE SOUDURE'!$L$7:$L$3006,0)),IFERROR(INDEX('CARNET DE SOUDURE'!$B$7:$B$3006,MATCH(B2397,'CARNET DE SOUDURE'!$O$7:$O$3006,0)),"")))</f>
        <v/>
      </c>
      <c r="J2397" s="82" t="str">
        <f aca="false">IF(B2397="","",IFERROR(INDEX('CARNET DE SOUDURE'!$E$7:$E$3006,MATCH(B2397,'CARNET DE SOUDURE'!$O$7:$O$3006,0)),""))</f>
        <v/>
      </c>
      <c r="K2397" s="82" t="str">
        <f aca="false">IF(B2397="","",IFERROR(INDEX('CARNET DE SOUDURE'!$E$7:$E$3006,MATCH(B2397,'CARNET DE SOUDURE'!$L$7:$L$3006,0)),""))</f>
        <v/>
      </c>
      <c r="L2397" s="82" t="str">
        <f aca="false">IF(B2397="","",IFERROR(INDEX('CARNET DE SOUDURE'!$D$7:$D$3006,MATCH(B2397,'CARNET DE SOUDURE'!$L$7:$L$3006,0)),IFERROR(INDEX('CARNET DE SOUDURE'!$D$7:$D$3006,MATCH(B2397,'CARNET DE SOUDURE'!$O$7:$O$3006,0)),"")))</f>
        <v/>
      </c>
      <c r="M2397" s="82" t="str">
        <f aca="false">IF(B2397="","",IF(OR(J2397&lt;&gt;"",K2397&lt;&gt;""),"POSÉ EN LIGNE",IF(COUNTIF(BARDAGE!$C$1:$C$5000,B2397)&gt;0,"BARDÉ","EN STOCK")))</f>
        <v/>
      </c>
      <c r="N2397" s="80"/>
    </row>
    <row r="2398" customFormat="false" ht="15" hidden="false" customHeight="false" outlineLevel="0" collapsed="false">
      <c r="A2398" s="82" t="str">
        <f aca="false">IF(B2398="","",ROW()-6)</f>
        <v/>
      </c>
      <c r="B2398" s="145"/>
      <c r="C2398" s="146"/>
      <c r="D2398" s="146"/>
      <c r="E2398" s="82" t="str">
        <f aca="false">IF(B2398="","",IF(COUNTIFS('CARNET DE SOUDURE'!$L$7:$L$3006,B2398,'CARNET DE SOUDURE'!$M$7:$M$3006,"&lt;&gt;"&amp;C2398,'CARNET DE SOUDURE'!$M$7:$M$3006,"&lt;&gt;")+COUNTIFS('CARNET DE SOUDURE'!$O$7:$O$3006,B2398,'CARNET DE SOUDURE'!$P$7:$P$3006,"&lt;&gt;"&amp;C2398,'CARNET DE SOUDURE'!$P$7:$P$3006,"&lt;&gt;")&gt;0,"⚠ DIFFÉRENTE","OK"))</f>
        <v/>
      </c>
      <c r="F2398" s="147"/>
      <c r="G2398" s="80"/>
      <c r="H2398" s="83"/>
      <c r="I2398" s="148" t="str">
        <f aca="false">IF(B2398="","",IFERROR(INDEX('CARNET DE SOUDURE'!$B$7:$B$3006,MATCH(B2398,'CARNET DE SOUDURE'!$L$7:$L$3006,0)),IFERROR(INDEX('CARNET DE SOUDURE'!$B$7:$B$3006,MATCH(B2398,'CARNET DE SOUDURE'!$O$7:$O$3006,0)),"")))</f>
        <v/>
      </c>
      <c r="J2398" s="82" t="str">
        <f aca="false">IF(B2398="","",IFERROR(INDEX('CARNET DE SOUDURE'!$E$7:$E$3006,MATCH(B2398,'CARNET DE SOUDURE'!$O$7:$O$3006,0)),""))</f>
        <v/>
      </c>
      <c r="K2398" s="82" t="str">
        <f aca="false">IF(B2398="","",IFERROR(INDEX('CARNET DE SOUDURE'!$E$7:$E$3006,MATCH(B2398,'CARNET DE SOUDURE'!$L$7:$L$3006,0)),""))</f>
        <v/>
      </c>
      <c r="L2398" s="82" t="str">
        <f aca="false">IF(B2398="","",IFERROR(INDEX('CARNET DE SOUDURE'!$D$7:$D$3006,MATCH(B2398,'CARNET DE SOUDURE'!$L$7:$L$3006,0)),IFERROR(INDEX('CARNET DE SOUDURE'!$D$7:$D$3006,MATCH(B2398,'CARNET DE SOUDURE'!$O$7:$O$3006,0)),"")))</f>
        <v/>
      </c>
      <c r="M2398" s="82" t="str">
        <f aca="false">IF(B2398="","",IF(OR(J2398&lt;&gt;"",K2398&lt;&gt;""),"POSÉ EN LIGNE",IF(COUNTIF(BARDAGE!$C$1:$C$5000,B2398)&gt;0,"BARDÉ","EN STOCK")))</f>
        <v/>
      </c>
      <c r="N2398" s="80"/>
    </row>
    <row r="2399" customFormat="false" ht="15" hidden="false" customHeight="false" outlineLevel="0" collapsed="false">
      <c r="A2399" s="82" t="str">
        <f aca="false">IF(B2399="","",ROW()-6)</f>
        <v/>
      </c>
      <c r="B2399" s="145"/>
      <c r="C2399" s="146"/>
      <c r="D2399" s="146"/>
      <c r="E2399" s="82" t="str">
        <f aca="false">IF(B2399="","",IF(COUNTIFS('CARNET DE SOUDURE'!$L$7:$L$3006,B2399,'CARNET DE SOUDURE'!$M$7:$M$3006,"&lt;&gt;"&amp;C2399,'CARNET DE SOUDURE'!$M$7:$M$3006,"&lt;&gt;")+COUNTIFS('CARNET DE SOUDURE'!$O$7:$O$3006,B2399,'CARNET DE SOUDURE'!$P$7:$P$3006,"&lt;&gt;"&amp;C2399,'CARNET DE SOUDURE'!$P$7:$P$3006,"&lt;&gt;")&gt;0,"⚠ DIFFÉRENTE","OK"))</f>
        <v/>
      </c>
      <c r="F2399" s="147"/>
      <c r="G2399" s="80"/>
      <c r="H2399" s="83"/>
      <c r="I2399" s="148" t="str">
        <f aca="false">IF(B2399="","",IFERROR(INDEX('CARNET DE SOUDURE'!$B$7:$B$3006,MATCH(B2399,'CARNET DE SOUDURE'!$L$7:$L$3006,0)),IFERROR(INDEX('CARNET DE SOUDURE'!$B$7:$B$3006,MATCH(B2399,'CARNET DE SOUDURE'!$O$7:$O$3006,0)),"")))</f>
        <v/>
      </c>
      <c r="J2399" s="82" t="str">
        <f aca="false">IF(B2399="","",IFERROR(INDEX('CARNET DE SOUDURE'!$E$7:$E$3006,MATCH(B2399,'CARNET DE SOUDURE'!$O$7:$O$3006,0)),""))</f>
        <v/>
      </c>
      <c r="K2399" s="82" t="str">
        <f aca="false">IF(B2399="","",IFERROR(INDEX('CARNET DE SOUDURE'!$E$7:$E$3006,MATCH(B2399,'CARNET DE SOUDURE'!$L$7:$L$3006,0)),""))</f>
        <v/>
      </c>
      <c r="L2399" s="82" t="str">
        <f aca="false">IF(B2399="","",IFERROR(INDEX('CARNET DE SOUDURE'!$D$7:$D$3006,MATCH(B2399,'CARNET DE SOUDURE'!$L$7:$L$3006,0)),IFERROR(INDEX('CARNET DE SOUDURE'!$D$7:$D$3006,MATCH(B2399,'CARNET DE SOUDURE'!$O$7:$O$3006,0)),"")))</f>
        <v/>
      </c>
      <c r="M2399" s="82" t="str">
        <f aca="false">IF(B2399="","",IF(OR(J2399&lt;&gt;"",K2399&lt;&gt;""),"POSÉ EN LIGNE",IF(COUNTIF(BARDAGE!$C$1:$C$5000,B2399)&gt;0,"BARDÉ","EN STOCK")))</f>
        <v/>
      </c>
      <c r="N2399" s="80"/>
    </row>
    <row r="2400" customFormat="false" ht="15" hidden="false" customHeight="false" outlineLevel="0" collapsed="false">
      <c r="A2400" s="82" t="str">
        <f aca="false">IF(B2400="","",ROW()-6)</f>
        <v/>
      </c>
      <c r="B2400" s="145"/>
      <c r="C2400" s="146"/>
      <c r="D2400" s="146"/>
      <c r="E2400" s="82" t="str">
        <f aca="false">IF(B2400="","",IF(COUNTIFS('CARNET DE SOUDURE'!$L$7:$L$3006,B2400,'CARNET DE SOUDURE'!$M$7:$M$3006,"&lt;&gt;"&amp;C2400,'CARNET DE SOUDURE'!$M$7:$M$3006,"&lt;&gt;")+COUNTIFS('CARNET DE SOUDURE'!$O$7:$O$3006,B2400,'CARNET DE SOUDURE'!$P$7:$P$3006,"&lt;&gt;"&amp;C2400,'CARNET DE SOUDURE'!$P$7:$P$3006,"&lt;&gt;")&gt;0,"⚠ DIFFÉRENTE","OK"))</f>
        <v/>
      </c>
      <c r="F2400" s="147"/>
      <c r="G2400" s="80"/>
      <c r="H2400" s="83"/>
      <c r="I2400" s="148" t="str">
        <f aca="false">IF(B2400="","",IFERROR(INDEX('CARNET DE SOUDURE'!$B$7:$B$3006,MATCH(B2400,'CARNET DE SOUDURE'!$L$7:$L$3006,0)),IFERROR(INDEX('CARNET DE SOUDURE'!$B$7:$B$3006,MATCH(B2400,'CARNET DE SOUDURE'!$O$7:$O$3006,0)),"")))</f>
        <v/>
      </c>
      <c r="J2400" s="82" t="str">
        <f aca="false">IF(B2400="","",IFERROR(INDEX('CARNET DE SOUDURE'!$E$7:$E$3006,MATCH(B2400,'CARNET DE SOUDURE'!$O$7:$O$3006,0)),""))</f>
        <v/>
      </c>
      <c r="K2400" s="82" t="str">
        <f aca="false">IF(B2400="","",IFERROR(INDEX('CARNET DE SOUDURE'!$E$7:$E$3006,MATCH(B2400,'CARNET DE SOUDURE'!$L$7:$L$3006,0)),""))</f>
        <v/>
      </c>
      <c r="L2400" s="82" t="str">
        <f aca="false">IF(B2400="","",IFERROR(INDEX('CARNET DE SOUDURE'!$D$7:$D$3006,MATCH(B2400,'CARNET DE SOUDURE'!$L$7:$L$3006,0)),IFERROR(INDEX('CARNET DE SOUDURE'!$D$7:$D$3006,MATCH(B2400,'CARNET DE SOUDURE'!$O$7:$O$3006,0)),"")))</f>
        <v/>
      </c>
      <c r="M2400" s="82" t="str">
        <f aca="false">IF(B2400="","",IF(OR(J2400&lt;&gt;"",K2400&lt;&gt;""),"POSÉ EN LIGNE",IF(COUNTIF(BARDAGE!$C$1:$C$5000,B2400)&gt;0,"BARDÉ","EN STOCK")))</f>
        <v/>
      </c>
      <c r="N2400" s="80"/>
    </row>
    <row r="2401" customFormat="false" ht="15" hidden="false" customHeight="false" outlineLevel="0" collapsed="false">
      <c r="A2401" s="82" t="str">
        <f aca="false">IF(B2401="","",ROW()-6)</f>
        <v/>
      </c>
      <c r="B2401" s="145"/>
      <c r="C2401" s="146"/>
      <c r="D2401" s="146"/>
      <c r="E2401" s="82" t="str">
        <f aca="false">IF(B2401="","",IF(COUNTIFS('CARNET DE SOUDURE'!$L$7:$L$3006,B2401,'CARNET DE SOUDURE'!$M$7:$M$3006,"&lt;&gt;"&amp;C2401,'CARNET DE SOUDURE'!$M$7:$M$3006,"&lt;&gt;")+COUNTIFS('CARNET DE SOUDURE'!$O$7:$O$3006,B2401,'CARNET DE SOUDURE'!$P$7:$P$3006,"&lt;&gt;"&amp;C2401,'CARNET DE SOUDURE'!$P$7:$P$3006,"&lt;&gt;")&gt;0,"⚠ DIFFÉRENTE","OK"))</f>
        <v/>
      </c>
      <c r="F2401" s="147"/>
      <c r="G2401" s="80"/>
      <c r="H2401" s="83"/>
      <c r="I2401" s="148" t="str">
        <f aca="false">IF(B2401="","",IFERROR(INDEX('CARNET DE SOUDURE'!$B$7:$B$3006,MATCH(B2401,'CARNET DE SOUDURE'!$L$7:$L$3006,0)),IFERROR(INDEX('CARNET DE SOUDURE'!$B$7:$B$3006,MATCH(B2401,'CARNET DE SOUDURE'!$O$7:$O$3006,0)),"")))</f>
        <v/>
      </c>
      <c r="J2401" s="82" t="str">
        <f aca="false">IF(B2401="","",IFERROR(INDEX('CARNET DE SOUDURE'!$E$7:$E$3006,MATCH(B2401,'CARNET DE SOUDURE'!$O$7:$O$3006,0)),""))</f>
        <v/>
      </c>
      <c r="K2401" s="82" t="str">
        <f aca="false">IF(B2401="","",IFERROR(INDEX('CARNET DE SOUDURE'!$E$7:$E$3006,MATCH(B2401,'CARNET DE SOUDURE'!$L$7:$L$3006,0)),""))</f>
        <v/>
      </c>
      <c r="L2401" s="82" t="str">
        <f aca="false">IF(B2401="","",IFERROR(INDEX('CARNET DE SOUDURE'!$D$7:$D$3006,MATCH(B2401,'CARNET DE SOUDURE'!$L$7:$L$3006,0)),IFERROR(INDEX('CARNET DE SOUDURE'!$D$7:$D$3006,MATCH(B2401,'CARNET DE SOUDURE'!$O$7:$O$3006,0)),"")))</f>
        <v/>
      </c>
      <c r="M2401" s="82" t="str">
        <f aca="false">IF(B2401="","",IF(OR(J2401&lt;&gt;"",K2401&lt;&gt;""),"POSÉ EN LIGNE",IF(COUNTIF(BARDAGE!$C$1:$C$5000,B2401)&gt;0,"BARDÉ","EN STOCK")))</f>
        <v/>
      </c>
      <c r="N2401" s="80"/>
    </row>
    <row r="2402" customFormat="false" ht="15" hidden="false" customHeight="false" outlineLevel="0" collapsed="false">
      <c r="A2402" s="82" t="str">
        <f aca="false">IF(B2402="","",ROW()-6)</f>
        <v/>
      </c>
      <c r="B2402" s="145"/>
      <c r="C2402" s="146"/>
      <c r="D2402" s="146"/>
      <c r="E2402" s="82" t="str">
        <f aca="false">IF(B2402="","",IF(COUNTIFS('CARNET DE SOUDURE'!$L$7:$L$3006,B2402,'CARNET DE SOUDURE'!$M$7:$M$3006,"&lt;&gt;"&amp;C2402,'CARNET DE SOUDURE'!$M$7:$M$3006,"&lt;&gt;")+COUNTIFS('CARNET DE SOUDURE'!$O$7:$O$3006,B2402,'CARNET DE SOUDURE'!$P$7:$P$3006,"&lt;&gt;"&amp;C2402,'CARNET DE SOUDURE'!$P$7:$P$3006,"&lt;&gt;")&gt;0,"⚠ DIFFÉRENTE","OK"))</f>
        <v/>
      </c>
      <c r="F2402" s="147"/>
      <c r="G2402" s="80"/>
      <c r="H2402" s="83"/>
      <c r="I2402" s="148" t="str">
        <f aca="false">IF(B2402="","",IFERROR(INDEX('CARNET DE SOUDURE'!$B$7:$B$3006,MATCH(B2402,'CARNET DE SOUDURE'!$L$7:$L$3006,0)),IFERROR(INDEX('CARNET DE SOUDURE'!$B$7:$B$3006,MATCH(B2402,'CARNET DE SOUDURE'!$O$7:$O$3006,0)),"")))</f>
        <v/>
      </c>
      <c r="J2402" s="82" t="str">
        <f aca="false">IF(B2402="","",IFERROR(INDEX('CARNET DE SOUDURE'!$E$7:$E$3006,MATCH(B2402,'CARNET DE SOUDURE'!$O$7:$O$3006,0)),""))</f>
        <v/>
      </c>
      <c r="K2402" s="82" t="str">
        <f aca="false">IF(B2402="","",IFERROR(INDEX('CARNET DE SOUDURE'!$E$7:$E$3006,MATCH(B2402,'CARNET DE SOUDURE'!$L$7:$L$3006,0)),""))</f>
        <v/>
      </c>
      <c r="L2402" s="82" t="str">
        <f aca="false">IF(B2402="","",IFERROR(INDEX('CARNET DE SOUDURE'!$D$7:$D$3006,MATCH(B2402,'CARNET DE SOUDURE'!$L$7:$L$3006,0)),IFERROR(INDEX('CARNET DE SOUDURE'!$D$7:$D$3006,MATCH(B2402,'CARNET DE SOUDURE'!$O$7:$O$3006,0)),"")))</f>
        <v/>
      </c>
      <c r="M2402" s="82" t="str">
        <f aca="false">IF(B2402="","",IF(OR(J2402&lt;&gt;"",K2402&lt;&gt;""),"POSÉ EN LIGNE",IF(COUNTIF(BARDAGE!$C$1:$C$5000,B2402)&gt;0,"BARDÉ","EN STOCK")))</f>
        <v/>
      </c>
      <c r="N2402" s="80"/>
    </row>
    <row r="2403" customFormat="false" ht="15" hidden="false" customHeight="false" outlineLevel="0" collapsed="false">
      <c r="A2403" s="82" t="str">
        <f aca="false">IF(B2403="","",ROW()-6)</f>
        <v/>
      </c>
      <c r="B2403" s="145"/>
      <c r="C2403" s="146"/>
      <c r="D2403" s="146"/>
      <c r="E2403" s="82" t="str">
        <f aca="false">IF(B2403="","",IF(COUNTIFS('CARNET DE SOUDURE'!$L$7:$L$3006,B2403,'CARNET DE SOUDURE'!$M$7:$M$3006,"&lt;&gt;"&amp;C2403,'CARNET DE SOUDURE'!$M$7:$M$3006,"&lt;&gt;")+COUNTIFS('CARNET DE SOUDURE'!$O$7:$O$3006,B2403,'CARNET DE SOUDURE'!$P$7:$P$3006,"&lt;&gt;"&amp;C2403,'CARNET DE SOUDURE'!$P$7:$P$3006,"&lt;&gt;")&gt;0,"⚠ DIFFÉRENTE","OK"))</f>
        <v/>
      </c>
      <c r="F2403" s="147"/>
      <c r="G2403" s="80"/>
      <c r="H2403" s="83"/>
      <c r="I2403" s="148" t="str">
        <f aca="false">IF(B2403="","",IFERROR(INDEX('CARNET DE SOUDURE'!$B$7:$B$3006,MATCH(B2403,'CARNET DE SOUDURE'!$L$7:$L$3006,0)),IFERROR(INDEX('CARNET DE SOUDURE'!$B$7:$B$3006,MATCH(B2403,'CARNET DE SOUDURE'!$O$7:$O$3006,0)),"")))</f>
        <v/>
      </c>
      <c r="J2403" s="82" t="str">
        <f aca="false">IF(B2403="","",IFERROR(INDEX('CARNET DE SOUDURE'!$E$7:$E$3006,MATCH(B2403,'CARNET DE SOUDURE'!$O$7:$O$3006,0)),""))</f>
        <v/>
      </c>
      <c r="K2403" s="82" t="str">
        <f aca="false">IF(B2403="","",IFERROR(INDEX('CARNET DE SOUDURE'!$E$7:$E$3006,MATCH(B2403,'CARNET DE SOUDURE'!$L$7:$L$3006,0)),""))</f>
        <v/>
      </c>
      <c r="L2403" s="82" t="str">
        <f aca="false">IF(B2403="","",IFERROR(INDEX('CARNET DE SOUDURE'!$D$7:$D$3006,MATCH(B2403,'CARNET DE SOUDURE'!$L$7:$L$3006,0)),IFERROR(INDEX('CARNET DE SOUDURE'!$D$7:$D$3006,MATCH(B2403,'CARNET DE SOUDURE'!$O$7:$O$3006,0)),"")))</f>
        <v/>
      </c>
      <c r="M2403" s="82" t="str">
        <f aca="false">IF(B2403="","",IF(OR(J2403&lt;&gt;"",K2403&lt;&gt;""),"POSÉ EN LIGNE",IF(COUNTIF(BARDAGE!$C$1:$C$5000,B2403)&gt;0,"BARDÉ","EN STOCK")))</f>
        <v/>
      </c>
      <c r="N2403" s="80"/>
    </row>
    <row r="2404" customFormat="false" ht="15" hidden="false" customHeight="false" outlineLevel="0" collapsed="false">
      <c r="A2404" s="82" t="str">
        <f aca="false">IF(B2404="","",ROW()-6)</f>
        <v/>
      </c>
      <c r="B2404" s="145"/>
      <c r="C2404" s="146"/>
      <c r="D2404" s="146"/>
      <c r="E2404" s="82" t="str">
        <f aca="false">IF(B2404="","",IF(COUNTIFS('CARNET DE SOUDURE'!$L$7:$L$3006,B2404,'CARNET DE SOUDURE'!$M$7:$M$3006,"&lt;&gt;"&amp;C2404,'CARNET DE SOUDURE'!$M$7:$M$3006,"&lt;&gt;")+COUNTIFS('CARNET DE SOUDURE'!$O$7:$O$3006,B2404,'CARNET DE SOUDURE'!$P$7:$P$3006,"&lt;&gt;"&amp;C2404,'CARNET DE SOUDURE'!$P$7:$P$3006,"&lt;&gt;")&gt;0,"⚠ DIFFÉRENTE","OK"))</f>
        <v/>
      </c>
      <c r="F2404" s="147"/>
      <c r="G2404" s="80"/>
      <c r="H2404" s="83"/>
      <c r="I2404" s="148" t="str">
        <f aca="false">IF(B2404="","",IFERROR(INDEX('CARNET DE SOUDURE'!$B$7:$B$3006,MATCH(B2404,'CARNET DE SOUDURE'!$L$7:$L$3006,0)),IFERROR(INDEX('CARNET DE SOUDURE'!$B$7:$B$3006,MATCH(B2404,'CARNET DE SOUDURE'!$O$7:$O$3006,0)),"")))</f>
        <v/>
      </c>
      <c r="J2404" s="82" t="str">
        <f aca="false">IF(B2404="","",IFERROR(INDEX('CARNET DE SOUDURE'!$E$7:$E$3006,MATCH(B2404,'CARNET DE SOUDURE'!$O$7:$O$3006,0)),""))</f>
        <v/>
      </c>
      <c r="K2404" s="82" t="str">
        <f aca="false">IF(B2404="","",IFERROR(INDEX('CARNET DE SOUDURE'!$E$7:$E$3006,MATCH(B2404,'CARNET DE SOUDURE'!$L$7:$L$3006,0)),""))</f>
        <v/>
      </c>
      <c r="L2404" s="82" t="str">
        <f aca="false">IF(B2404="","",IFERROR(INDEX('CARNET DE SOUDURE'!$D$7:$D$3006,MATCH(B2404,'CARNET DE SOUDURE'!$L$7:$L$3006,0)),IFERROR(INDEX('CARNET DE SOUDURE'!$D$7:$D$3006,MATCH(B2404,'CARNET DE SOUDURE'!$O$7:$O$3006,0)),"")))</f>
        <v/>
      </c>
      <c r="M2404" s="82" t="str">
        <f aca="false">IF(B2404="","",IF(OR(J2404&lt;&gt;"",K2404&lt;&gt;""),"POSÉ EN LIGNE",IF(COUNTIF(BARDAGE!$C$1:$C$5000,B2404)&gt;0,"BARDÉ","EN STOCK")))</f>
        <v/>
      </c>
      <c r="N2404" s="80"/>
    </row>
    <row r="2405" customFormat="false" ht="15" hidden="false" customHeight="false" outlineLevel="0" collapsed="false">
      <c r="A2405" s="82" t="str">
        <f aca="false">IF(B2405="","",ROW()-6)</f>
        <v/>
      </c>
      <c r="B2405" s="145"/>
      <c r="C2405" s="146"/>
      <c r="D2405" s="146"/>
      <c r="E2405" s="82" t="str">
        <f aca="false">IF(B2405="","",IF(COUNTIFS('CARNET DE SOUDURE'!$L$7:$L$3006,B2405,'CARNET DE SOUDURE'!$M$7:$M$3006,"&lt;&gt;"&amp;C2405,'CARNET DE SOUDURE'!$M$7:$M$3006,"&lt;&gt;")+COUNTIFS('CARNET DE SOUDURE'!$O$7:$O$3006,B2405,'CARNET DE SOUDURE'!$P$7:$P$3006,"&lt;&gt;"&amp;C2405,'CARNET DE SOUDURE'!$P$7:$P$3006,"&lt;&gt;")&gt;0,"⚠ DIFFÉRENTE","OK"))</f>
        <v/>
      </c>
      <c r="F2405" s="147"/>
      <c r="G2405" s="80"/>
      <c r="H2405" s="83"/>
      <c r="I2405" s="148" t="str">
        <f aca="false">IF(B2405="","",IFERROR(INDEX('CARNET DE SOUDURE'!$B$7:$B$3006,MATCH(B2405,'CARNET DE SOUDURE'!$L$7:$L$3006,0)),IFERROR(INDEX('CARNET DE SOUDURE'!$B$7:$B$3006,MATCH(B2405,'CARNET DE SOUDURE'!$O$7:$O$3006,0)),"")))</f>
        <v/>
      </c>
      <c r="J2405" s="82" t="str">
        <f aca="false">IF(B2405="","",IFERROR(INDEX('CARNET DE SOUDURE'!$E$7:$E$3006,MATCH(B2405,'CARNET DE SOUDURE'!$O$7:$O$3006,0)),""))</f>
        <v/>
      </c>
      <c r="K2405" s="82" t="str">
        <f aca="false">IF(B2405="","",IFERROR(INDEX('CARNET DE SOUDURE'!$E$7:$E$3006,MATCH(B2405,'CARNET DE SOUDURE'!$L$7:$L$3006,0)),""))</f>
        <v/>
      </c>
      <c r="L2405" s="82" t="str">
        <f aca="false">IF(B2405="","",IFERROR(INDEX('CARNET DE SOUDURE'!$D$7:$D$3006,MATCH(B2405,'CARNET DE SOUDURE'!$L$7:$L$3006,0)),IFERROR(INDEX('CARNET DE SOUDURE'!$D$7:$D$3006,MATCH(B2405,'CARNET DE SOUDURE'!$O$7:$O$3006,0)),"")))</f>
        <v/>
      </c>
      <c r="M2405" s="82" t="str">
        <f aca="false">IF(B2405="","",IF(OR(J2405&lt;&gt;"",K2405&lt;&gt;""),"POSÉ EN LIGNE",IF(COUNTIF(BARDAGE!$C$1:$C$5000,B2405)&gt;0,"BARDÉ","EN STOCK")))</f>
        <v/>
      </c>
      <c r="N2405" s="80"/>
    </row>
    <row r="2406" customFormat="false" ht="15" hidden="false" customHeight="false" outlineLevel="0" collapsed="false">
      <c r="A2406" s="82" t="str">
        <f aca="false">IF(B2406="","",ROW()-6)</f>
        <v/>
      </c>
      <c r="B2406" s="145"/>
      <c r="C2406" s="146"/>
      <c r="D2406" s="146"/>
      <c r="E2406" s="82" t="str">
        <f aca="false">IF(B2406="","",IF(COUNTIFS('CARNET DE SOUDURE'!$L$7:$L$3006,B2406,'CARNET DE SOUDURE'!$M$7:$M$3006,"&lt;&gt;"&amp;C2406,'CARNET DE SOUDURE'!$M$7:$M$3006,"&lt;&gt;")+COUNTIFS('CARNET DE SOUDURE'!$O$7:$O$3006,B2406,'CARNET DE SOUDURE'!$P$7:$P$3006,"&lt;&gt;"&amp;C2406,'CARNET DE SOUDURE'!$P$7:$P$3006,"&lt;&gt;")&gt;0,"⚠ DIFFÉRENTE","OK"))</f>
        <v/>
      </c>
      <c r="F2406" s="147"/>
      <c r="G2406" s="80"/>
      <c r="H2406" s="83"/>
      <c r="I2406" s="148" t="str">
        <f aca="false">IF(B2406="","",IFERROR(INDEX('CARNET DE SOUDURE'!$B$7:$B$3006,MATCH(B2406,'CARNET DE SOUDURE'!$L$7:$L$3006,0)),IFERROR(INDEX('CARNET DE SOUDURE'!$B$7:$B$3006,MATCH(B2406,'CARNET DE SOUDURE'!$O$7:$O$3006,0)),"")))</f>
        <v/>
      </c>
      <c r="J2406" s="82" t="str">
        <f aca="false">IF(B2406="","",IFERROR(INDEX('CARNET DE SOUDURE'!$E$7:$E$3006,MATCH(B2406,'CARNET DE SOUDURE'!$O$7:$O$3006,0)),""))</f>
        <v/>
      </c>
      <c r="K2406" s="82" t="str">
        <f aca="false">IF(B2406="","",IFERROR(INDEX('CARNET DE SOUDURE'!$E$7:$E$3006,MATCH(B2406,'CARNET DE SOUDURE'!$L$7:$L$3006,0)),""))</f>
        <v/>
      </c>
      <c r="L2406" s="82" t="str">
        <f aca="false">IF(B2406="","",IFERROR(INDEX('CARNET DE SOUDURE'!$D$7:$D$3006,MATCH(B2406,'CARNET DE SOUDURE'!$L$7:$L$3006,0)),IFERROR(INDEX('CARNET DE SOUDURE'!$D$7:$D$3006,MATCH(B2406,'CARNET DE SOUDURE'!$O$7:$O$3006,0)),"")))</f>
        <v/>
      </c>
      <c r="M2406" s="82" t="str">
        <f aca="false">IF(B2406="","",IF(OR(J2406&lt;&gt;"",K2406&lt;&gt;""),"POSÉ EN LIGNE",IF(COUNTIF(BARDAGE!$C$1:$C$5000,B2406)&gt;0,"BARDÉ","EN STOCK")))</f>
        <v/>
      </c>
      <c r="N2406" s="80"/>
    </row>
    <row r="2407" customFormat="false" ht="15" hidden="false" customHeight="false" outlineLevel="0" collapsed="false">
      <c r="A2407" s="82" t="str">
        <f aca="false">IF(B2407="","",ROW()-6)</f>
        <v/>
      </c>
      <c r="B2407" s="145"/>
      <c r="C2407" s="146"/>
      <c r="D2407" s="146"/>
      <c r="E2407" s="82" t="str">
        <f aca="false">IF(B2407="","",IF(COUNTIFS('CARNET DE SOUDURE'!$L$7:$L$3006,B2407,'CARNET DE SOUDURE'!$M$7:$M$3006,"&lt;&gt;"&amp;C2407,'CARNET DE SOUDURE'!$M$7:$M$3006,"&lt;&gt;")+COUNTIFS('CARNET DE SOUDURE'!$O$7:$O$3006,B2407,'CARNET DE SOUDURE'!$P$7:$P$3006,"&lt;&gt;"&amp;C2407,'CARNET DE SOUDURE'!$P$7:$P$3006,"&lt;&gt;")&gt;0,"⚠ DIFFÉRENTE","OK"))</f>
        <v/>
      </c>
      <c r="F2407" s="147"/>
      <c r="G2407" s="80"/>
      <c r="H2407" s="83"/>
      <c r="I2407" s="148" t="str">
        <f aca="false">IF(B2407="","",IFERROR(INDEX('CARNET DE SOUDURE'!$B$7:$B$3006,MATCH(B2407,'CARNET DE SOUDURE'!$L$7:$L$3006,0)),IFERROR(INDEX('CARNET DE SOUDURE'!$B$7:$B$3006,MATCH(B2407,'CARNET DE SOUDURE'!$O$7:$O$3006,0)),"")))</f>
        <v/>
      </c>
      <c r="J2407" s="82" t="str">
        <f aca="false">IF(B2407="","",IFERROR(INDEX('CARNET DE SOUDURE'!$E$7:$E$3006,MATCH(B2407,'CARNET DE SOUDURE'!$O$7:$O$3006,0)),""))</f>
        <v/>
      </c>
      <c r="K2407" s="82" t="str">
        <f aca="false">IF(B2407="","",IFERROR(INDEX('CARNET DE SOUDURE'!$E$7:$E$3006,MATCH(B2407,'CARNET DE SOUDURE'!$L$7:$L$3006,0)),""))</f>
        <v/>
      </c>
      <c r="L2407" s="82" t="str">
        <f aca="false">IF(B2407="","",IFERROR(INDEX('CARNET DE SOUDURE'!$D$7:$D$3006,MATCH(B2407,'CARNET DE SOUDURE'!$L$7:$L$3006,0)),IFERROR(INDEX('CARNET DE SOUDURE'!$D$7:$D$3006,MATCH(B2407,'CARNET DE SOUDURE'!$O$7:$O$3006,0)),"")))</f>
        <v/>
      </c>
      <c r="M2407" s="82" t="str">
        <f aca="false">IF(B2407="","",IF(OR(J2407&lt;&gt;"",K2407&lt;&gt;""),"POSÉ EN LIGNE",IF(COUNTIF(BARDAGE!$C$1:$C$5000,B2407)&gt;0,"BARDÉ","EN STOCK")))</f>
        <v/>
      </c>
      <c r="N2407" s="80"/>
    </row>
    <row r="2408" customFormat="false" ht="15" hidden="false" customHeight="false" outlineLevel="0" collapsed="false">
      <c r="A2408" s="82" t="str">
        <f aca="false">IF(B2408="","",ROW()-6)</f>
        <v/>
      </c>
      <c r="B2408" s="145"/>
      <c r="C2408" s="146"/>
      <c r="D2408" s="146"/>
      <c r="E2408" s="82" t="str">
        <f aca="false">IF(B2408="","",IF(COUNTIFS('CARNET DE SOUDURE'!$L$7:$L$3006,B2408,'CARNET DE SOUDURE'!$M$7:$M$3006,"&lt;&gt;"&amp;C2408,'CARNET DE SOUDURE'!$M$7:$M$3006,"&lt;&gt;")+COUNTIFS('CARNET DE SOUDURE'!$O$7:$O$3006,B2408,'CARNET DE SOUDURE'!$P$7:$P$3006,"&lt;&gt;"&amp;C2408,'CARNET DE SOUDURE'!$P$7:$P$3006,"&lt;&gt;")&gt;0,"⚠ DIFFÉRENTE","OK"))</f>
        <v/>
      </c>
      <c r="F2408" s="147"/>
      <c r="G2408" s="80"/>
      <c r="H2408" s="83"/>
      <c r="I2408" s="148" t="str">
        <f aca="false">IF(B2408="","",IFERROR(INDEX('CARNET DE SOUDURE'!$B$7:$B$3006,MATCH(B2408,'CARNET DE SOUDURE'!$L$7:$L$3006,0)),IFERROR(INDEX('CARNET DE SOUDURE'!$B$7:$B$3006,MATCH(B2408,'CARNET DE SOUDURE'!$O$7:$O$3006,0)),"")))</f>
        <v/>
      </c>
      <c r="J2408" s="82" t="str">
        <f aca="false">IF(B2408="","",IFERROR(INDEX('CARNET DE SOUDURE'!$E$7:$E$3006,MATCH(B2408,'CARNET DE SOUDURE'!$O$7:$O$3006,0)),""))</f>
        <v/>
      </c>
      <c r="K2408" s="82" t="str">
        <f aca="false">IF(B2408="","",IFERROR(INDEX('CARNET DE SOUDURE'!$E$7:$E$3006,MATCH(B2408,'CARNET DE SOUDURE'!$L$7:$L$3006,0)),""))</f>
        <v/>
      </c>
      <c r="L2408" s="82" t="str">
        <f aca="false">IF(B2408="","",IFERROR(INDEX('CARNET DE SOUDURE'!$D$7:$D$3006,MATCH(B2408,'CARNET DE SOUDURE'!$L$7:$L$3006,0)),IFERROR(INDEX('CARNET DE SOUDURE'!$D$7:$D$3006,MATCH(B2408,'CARNET DE SOUDURE'!$O$7:$O$3006,0)),"")))</f>
        <v/>
      </c>
      <c r="M2408" s="82" t="str">
        <f aca="false">IF(B2408="","",IF(OR(J2408&lt;&gt;"",K2408&lt;&gt;""),"POSÉ EN LIGNE",IF(COUNTIF(BARDAGE!$C$1:$C$5000,B2408)&gt;0,"BARDÉ","EN STOCK")))</f>
        <v/>
      </c>
      <c r="N2408" s="80"/>
    </row>
    <row r="2409" customFormat="false" ht="15" hidden="false" customHeight="false" outlineLevel="0" collapsed="false">
      <c r="A2409" s="82" t="str">
        <f aca="false">IF(B2409="","",ROW()-6)</f>
        <v/>
      </c>
      <c r="B2409" s="145"/>
      <c r="C2409" s="146"/>
      <c r="D2409" s="146"/>
      <c r="E2409" s="82" t="str">
        <f aca="false">IF(B2409="","",IF(COUNTIFS('CARNET DE SOUDURE'!$L$7:$L$3006,B2409,'CARNET DE SOUDURE'!$M$7:$M$3006,"&lt;&gt;"&amp;C2409,'CARNET DE SOUDURE'!$M$7:$M$3006,"&lt;&gt;")+COUNTIFS('CARNET DE SOUDURE'!$O$7:$O$3006,B2409,'CARNET DE SOUDURE'!$P$7:$P$3006,"&lt;&gt;"&amp;C2409,'CARNET DE SOUDURE'!$P$7:$P$3006,"&lt;&gt;")&gt;0,"⚠ DIFFÉRENTE","OK"))</f>
        <v/>
      </c>
      <c r="F2409" s="147"/>
      <c r="G2409" s="80"/>
      <c r="H2409" s="83"/>
      <c r="I2409" s="148" t="str">
        <f aca="false">IF(B2409="","",IFERROR(INDEX('CARNET DE SOUDURE'!$B$7:$B$3006,MATCH(B2409,'CARNET DE SOUDURE'!$L$7:$L$3006,0)),IFERROR(INDEX('CARNET DE SOUDURE'!$B$7:$B$3006,MATCH(B2409,'CARNET DE SOUDURE'!$O$7:$O$3006,0)),"")))</f>
        <v/>
      </c>
      <c r="J2409" s="82" t="str">
        <f aca="false">IF(B2409="","",IFERROR(INDEX('CARNET DE SOUDURE'!$E$7:$E$3006,MATCH(B2409,'CARNET DE SOUDURE'!$O$7:$O$3006,0)),""))</f>
        <v/>
      </c>
      <c r="K2409" s="82" t="str">
        <f aca="false">IF(B2409="","",IFERROR(INDEX('CARNET DE SOUDURE'!$E$7:$E$3006,MATCH(B2409,'CARNET DE SOUDURE'!$L$7:$L$3006,0)),""))</f>
        <v/>
      </c>
      <c r="L2409" s="82" t="str">
        <f aca="false">IF(B2409="","",IFERROR(INDEX('CARNET DE SOUDURE'!$D$7:$D$3006,MATCH(B2409,'CARNET DE SOUDURE'!$L$7:$L$3006,0)),IFERROR(INDEX('CARNET DE SOUDURE'!$D$7:$D$3006,MATCH(B2409,'CARNET DE SOUDURE'!$O$7:$O$3006,0)),"")))</f>
        <v/>
      </c>
      <c r="M2409" s="82" t="str">
        <f aca="false">IF(B2409="","",IF(OR(J2409&lt;&gt;"",K2409&lt;&gt;""),"POSÉ EN LIGNE",IF(COUNTIF(BARDAGE!$C$1:$C$5000,B2409)&gt;0,"BARDÉ","EN STOCK")))</f>
        <v/>
      </c>
      <c r="N2409" s="80"/>
    </row>
    <row r="2410" customFormat="false" ht="15" hidden="false" customHeight="false" outlineLevel="0" collapsed="false">
      <c r="A2410" s="82" t="str">
        <f aca="false">IF(B2410="","",ROW()-6)</f>
        <v/>
      </c>
      <c r="B2410" s="145"/>
      <c r="C2410" s="146"/>
      <c r="D2410" s="146"/>
      <c r="E2410" s="82" t="str">
        <f aca="false">IF(B2410="","",IF(COUNTIFS('CARNET DE SOUDURE'!$L$7:$L$3006,B2410,'CARNET DE SOUDURE'!$M$7:$M$3006,"&lt;&gt;"&amp;C2410,'CARNET DE SOUDURE'!$M$7:$M$3006,"&lt;&gt;")+COUNTIFS('CARNET DE SOUDURE'!$O$7:$O$3006,B2410,'CARNET DE SOUDURE'!$P$7:$P$3006,"&lt;&gt;"&amp;C2410,'CARNET DE SOUDURE'!$P$7:$P$3006,"&lt;&gt;")&gt;0,"⚠ DIFFÉRENTE","OK"))</f>
        <v/>
      </c>
      <c r="F2410" s="147"/>
      <c r="G2410" s="80"/>
      <c r="H2410" s="83"/>
      <c r="I2410" s="148" t="str">
        <f aca="false">IF(B2410="","",IFERROR(INDEX('CARNET DE SOUDURE'!$B$7:$B$3006,MATCH(B2410,'CARNET DE SOUDURE'!$L$7:$L$3006,0)),IFERROR(INDEX('CARNET DE SOUDURE'!$B$7:$B$3006,MATCH(B2410,'CARNET DE SOUDURE'!$O$7:$O$3006,0)),"")))</f>
        <v/>
      </c>
      <c r="J2410" s="82" t="str">
        <f aca="false">IF(B2410="","",IFERROR(INDEX('CARNET DE SOUDURE'!$E$7:$E$3006,MATCH(B2410,'CARNET DE SOUDURE'!$O$7:$O$3006,0)),""))</f>
        <v/>
      </c>
      <c r="K2410" s="82" t="str">
        <f aca="false">IF(B2410="","",IFERROR(INDEX('CARNET DE SOUDURE'!$E$7:$E$3006,MATCH(B2410,'CARNET DE SOUDURE'!$L$7:$L$3006,0)),""))</f>
        <v/>
      </c>
      <c r="L2410" s="82" t="str">
        <f aca="false">IF(B2410="","",IFERROR(INDEX('CARNET DE SOUDURE'!$D$7:$D$3006,MATCH(B2410,'CARNET DE SOUDURE'!$L$7:$L$3006,0)),IFERROR(INDEX('CARNET DE SOUDURE'!$D$7:$D$3006,MATCH(B2410,'CARNET DE SOUDURE'!$O$7:$O$3006,0)),"")))</f>
        <v/>
      </c>
      <c r="M2410" s="82" t="str">
        <f aca="false">IF(B2410="","",IF(OR(J2410&lt;&gt;"",K2410&lt;&gt;""),"POSÉ EN LIGNE",IF(COUNTIF(BARDAGE!$C$1:$C$5000,B2410)&gt;0,"BARDÉ","EN STOCK")))</f>
        <v/>
      </c>
      <c r="N2410" s="80"/>
    </row>
    <row r="2411" customFormat="false" ht="15" hidden="false" customHeight="false" outlineLevel="0" collapsed="false">
      <c r="A2411" s="82" t="str">
        <f aca="false">IF(B2411="","",ROW()-6)</f>
        <v/>
      </c>
      <c r="B2411" s="145"/>
      <c r="C2411" s="146"/>
      <c r="D2411" s="146"/>
      <c r="E2411" s="82" t="str">
        <f aca="false">IF(B2411="","",IF(COUNTIFS('CARNET DE SOUDURE'!$L$7:$L$3006,B2411,'CARNET DE SOUDURE'!$M$7:$M$3006,"&lt;&gt;"&amp;C2411,'CARNET DE SOUDURE'!$M$7:$M$3006,"&lt;&gt;")+COUNTIFS('CARNET DE SOUDURE'!$O$7:$O$3006,B2411,'CARNET DE SOUDURE'!$P$7:$P$3006,"&lt;&gt;"&amp;C2411,'CARNET DE SOUDURE'!$P$7:$P$3006,"&lt;&gt;")&gt;0,"⚠ DIFFÉRENTE","OK"))</f>
        <v/>
      </c>
      <c r="F2411" s="147"/>
      <c r="G2411" s="80"/>
      <c r="H2411" s="83"/>
      <c r="I2411" s="148" t="str">
        <f aca="false">IF(B2411="","",IFERROR(INDEX('CARNET DE SOUDURE'!$B$7:$B$3006,MATCH(B2411,'CARNET DE SOUDURE'!$L$7:$L$3006,0)),IFERROR(INDEX('CARNET DE SOUDURE'!$B$7:$B$3006,MATCH(B2411,'CARNET DE SOUDURE'!$O$7:$O$3006,0)),"")))</f>
        <v/>
      </c>
      <c r="J2411" s="82" t="str">
        <f aca="false">IF(B2411="","",IFERROR(INDEX('CARNET DE SOUDURE'!$E$7:$E$3006,MATCH(B2411,'CARNET DE SOUDURE'!$O$7:$O$3006,0)),""))</f>
        <v/>
      </c>
      <c r="K2411" s="82" t="str">
        <f aca="false">IF(B2411="","",IFERROR(INDEX('CARNET DE SOUDURE'!$E$7:$E$3006,MATCH(B2411,'CARNET DE SOUDURE'!$L$7:$L$3006,0)),""))</f>
        <v/>
      </c>
      <c r="L2411" s="82" t="str">
        <f aca="false">IF(B2411="","",IFERROR(INDEX('CARNET DE SOUDURE'!$D$7:$D$3006,MATCH(B2411,'CARNET DE SOUDURE'!$L$7:$L$3006,0)),IFERROR(INDEX('CARNET DE SOUDURE'!$D$7:$D$3006,MATCH(B2411,'CARNET DE SOUDURE'!$O$7:$O$3006,0)),"")))</f>
        <v/>
      </c>
      <c r="M2411" s="82" t="str">
        <f aca="false">IF(B2411="","",IF(OR(J2411&lt;&gt;"",K2411&lt;&gt;""),"POSÉ EN LIGNE",IF(COUNTIF(BARDAGE!$C$1:$C$5000,B2411)&gt;0,"BARDÉ","EN STOCK")))</f>
        <v/>
      </c>
      <c r="N2411" s="80"/>
    </row>
    <row r="2412" customFormat="false" ht="15" hidden="false" customHeight="false" outlineLevel="0" collapsed="false">
      <c r="A2412" s="82" t="str">
        <f aca="false">IF(B2412="","",ROW()-6)</f>
        <v/>
      </c>
      <c r="B2412" s="145"/>
      <c r="C2412" s="146"/>
      <c r="D2412" s="146"/>
      <c r="E2412" s="82" t="str">
        <f aca="false">IF(B2412="","",IF(COUNTIFS('CARNET DE SOUDURE'!$L$7:$L$3006,B2412,'CARNET DE SOUDURE'!$M$7:$M$3006,"&lt;&gt;"&amp;C2412,'CARNET DE SOUDURE'!$M$7:$M$3006,"&lt;&gt;")+COUNTIFS('CARNET DE SOUDURE'!$O$7:$O$3006,B2412,'CARNET DE SOUDURE'!$P$7:$P$3006,"&lt;&gt;"&amp;C2412,'CARNET DE SOUDURE'!$P$7:$P$3006,"&lt;&gt;")&gt;0,"⚠ DIFFÉRENTE","OK"))</f>
        <v/>
      </c>
      <c r="F2412" s="147"/>
      <c r="G2412" s="80"/>
      <c r="H2412" s="83"/>
      <c r="I2412" s="148" t="str">
        <f aca="false">IF(B2412="","",IFERROR(INDEX('CARNET DE SOUDURE'!$B$7:$B$3006,MATCH(B2412,'CARNET DE SOUDURE'!$L$7:$L$3006,0)),IFERROR(INDEX('CARNET DE SOUDURE'!$B$7:$B$3006,MATCH(B2412,'CARNET DE SOUDURE'!$O$7:$O$3006,0)),"")))</f>
        <v/>
      </c>
      <c r="J2412" s="82" t="str">
        <f aca="false">IF(B2412="","",IFERROR(INDEX('CARNET DE SOUDURE'!$E$7:$E$3006,MATCH(B2412,'CARNET DE SOUDURE'!$O$7:$O$3006,0)),""))</f>
        <v/>
      </c>
      <c r="K2412" s="82" t="str">
        <f aca="false">IF(B2412="","",IFERROR(INDEX('CARNET DE SOUDURE'!$E$7:$E$3006,MATCH(B2412,'CARNET DE SOUDURE'!$L$7:$L$3006,0)),""))</f>
        <v/>
      </c>
      <c r="L2412" s="82" t="str">
        <f aca="false">IF(B2412="","",IFERROR(INDEX('CARNET DE SOUDURE'!$D$7:$D$3006,MATCH(B2412,'CARNET DE SOUDURE'!$L$7:$L$3006,0)),IFERROR(INDEX('CARNET DE SOUDURE'!$D$7:$D$3006,MATCH(B2412,'CARNET DE SOUDURE'!$O$7:$O$3006,0)),"")))</f>
        <v/>
      </c>
      <c r="M2412" s="82" t="str">
        <f aca="false">IF(B2412="","",IF(OR(J2412&lt;&gt;"",K2412&lt;&gt;""),"POSÉ EN LIGNE",IF(COUNTIF(BARDAGE!$C$1:$C$5000,B2412)&gt;0,"BARDÉ","EN STOCK")))</f>
        <v/>
      </c>
      <c r="N2412" s="80"/>
    </row>
    <row r="2413" customFormat="false" ht="15" hidden="false" customHeight="false" outlineLevel="0" collapsed="false">
      <c r="A2413" s="82" t="str">
        <f aca="false">IF(B2413="","",ROW()-6)</f>
        <v/>
      </c>
      <c r="B2413" s="145"/>
      <c r="C2413" s="146"/>
      <c r="D2413" s="146"/>
      <c r="E2413" s="82" t="str">
        <f aca="false">IF(B2413="","",IF(COUNTIFS('CARNET DE SOUDURE'!$L$7:$L$3006,B2413,'CARNET DE SOUDURE'!$M$7:$M$3006,"&lt;&gt;"&amp;C2413,'CARNET DE SOUDURE'!$M$7:$M$3006,"&lt;&gt;")+COUNTIFS('CARNET DE SOUDURE'!$O$7:$O$3006,B2413,'CARNET DE SOUDURE'!$P$7:$P$3006,"&lt;&gt;"&amp;C2413,'CARNET DE SOUDURE'!$P$7:$P$3006,"&lt;&gt;")&gt;0,"⚠ DIFFÉRENTE","OK"))</f>
        <v/>
      </c>
      <c r="F2413" s="147"/>
      <c r="G2413" s="80"/>
      <c r="H2413" s="83"/>
      <c r="I2413" s="148" t="str">
        <f aca="false">IF(B2413="","",IFERROR(INDEX('CARNET DE SOUDURE'!$B$7:$B$3006,MATCH(B2413,'CARNET DE SOUDURE'!$L$7:$L$3006,0)),IFERROR(INDEX('CARNET DE SOUDURE'!$B$7:$B$3006,MATCH(B2413,'CARNET DE SOUDURE'!$O$7:$O$3006,0)),"")))</f>
        <v/>
      </c>
      <c r="J2413" s="82" t="str">
        <f aca="false">IF(B2413="","",IFERROR(INDEX('CARNET DE SOUDURE'!$E$7:$E$3006,MATCH(B2413,'CARNET DE SOUDURE'!$O$7:$O$3006,0)),""))</f>
        <v/>
      </c>
      <c r="K2413" s="82" t="str">
        <f aca="false">IF(B2413="","",IFERROR(INDEX('CARNET DE SOUDURE'!$E$7:$E$3006,MATCH(B2413,'CARNET DE SOUDURE'!$L$7:$L$3006,0)),""))</f>
        <v/>
      </c>
      <c r="L2413" s="82" t="str">
        <f aca="false">IF(B2413="","",IFERROR(INDEX('CARNET DE SOUDURE'!$D$7:$D$3006,MATCH(B2413,'CARNET DE SOUDURE'!$L$7:$L$3006,0)),IFERROR(INDEX('CARNET DE SOUDURE'!$D$7:$D$3006,MATCH(B2413,'CARNET DE SOUDURE'!$O$7:$O$3006,0)),"")))</f>
        <v/>
      </c>
      <c r="M2413" s="82" t="str">
        <f aca="false">IF(B2413="","",IF(OR(J2413&lt;&gt;"",K2413&lt;&gt;""),"POSÉ EN LIGNE",IF(COUNTIF(BARDAGE!$C$1:$C$5000,B2413)&gt;0,"BARDÉ","EN STOCK")))</f>
        <v/>
      </c>
      <c r="N2413" s="80"/>
    </row>
    <row r="2414" customFormat="false" ht="15" hidden="false" customHeight="false" outlineLevel="0" collapsed="false">
      <c r="A2414" s="82" t="str">
        <f aca="false">IF(B2414="","",ROW()-6)</f>
        <v/>
      </c>
      <c r="B2414" s="145"/>
      <c r="C2414" s="146"/>
      <c r="D2414" s="146"/>
      <c r="E2414" s="82" t="str">
        <f aca="false">IF(B2414="","",IF(COUNTIFS('CARNET DE SOUDURE'!$L$7:$L$3006,B2414,'CARNET DE SOUDURE'!$M$7:$M$3006,"&lt;&gt;"&amp;C2414,'CARNET DE SOUDURE'!$M$7:$M$3006,"&lt;&gt;")+COUNTIFS('CARNET DE SOUDURE'!$O$7:$O$3006,B2414,'CARNET DE SOUDURE'!$P$7:$P$3006,"&lt;&gt;"&amp;C2414,'CARNET DE SOUDURE'!$P$7:$P$3006,"&lt;&gt;")&gt;0,"⚠ DIFFÉRENTE","OK"))</f>
        <v/>
      </c>
      <c r="F2414" s="147"/>
      <c r="G2414" s="80"/>
      <c r="H2414" s="83"/>
      <c r="I2414" s="148" t="str">
        <f aca="false">IF(B2414="","",IFERROR(INDEX('CARNET DE SOUDURE'!$B$7:$B$3006,MATCH(B2414,'CARNET DE SOUDURE'!$L$7:$L$3006,0)),IFERROR(INDEX('CARNET DE SOUDURE'!$B$7:$B$3006,MATCH(B2414,'CARNET DE SOUDURE'!$O$7:$O$3006,0)),"")))</f>
        <v/>
      </c>
      <c r="J2414" s="82" t="str">
        <f aca="false">IF(B2414="","",IFERROR(INDEX('CARNET DE SOUDURE'!$E$7:$E$3006,MATCH(B2414,'CARNET DE SOUDURE'!$O$7:$O$3006,0)),""))</f>
        <v/>
      </c>
      <c r="K2414" s="82" t="str">
        <f aca="false">IF(B2414="","",IFERROR(INDEX('CARNET DE SOUDURE'!$E$7:$E$3006,MATCH(B2414,'CARNET DE SOUDURE'!$L$7:$L$3006,0)),""))</f>
        <v/>
      </c>
      <c r="L2414" s="82" t="str">
        <f aca="false">IF(B2414="","",IFERROR(INDEX('CARNET DE SOUDURE'!$D$7:$D$3006,MATCH(B2414,'CARNET DE SOUDURE'!$L$7:$L$3006,0)),IFERROR(INDEX('CARNET DE SOUDURE'!$D$7:$D$3006,MATCH(B2414,'CARNET DE SOUDURE'!$O$7:$O$3006,0)),"")))</f>
        <v/>
      </c>
      <c r="M2414" s="82" t="str">
        <f aca="false">IF(B2414="","",IF(OR(J2414&lt;&gt;"",K2414&lt;&gt;""),"POSÉ EN LIGNE",IF(COUNTIF(BARDAGE!$C$1:$C$5000,B2414)&gt;0,"BARDÉ","EN STOCK")))</f>
        <v/>
      </c>
      <c r="N2414" s="80"/>
    </row>
    <row r="2415" customFormat="false" ht="15" hidden="false" customHeight="false" outlineLevel="0" collapsed="false">
      <c r="A2415" s="82" t="str">
        <f aca="false">IF(B2415="","",ROW()-6)</f>
        <v/>
      </c>
      <c r="B2415" s="145"/>
      <c r="C2415" s="146"/>
      <c r="D2415" s="146"/>
      <c r="E2415" s="82" t="str">
        <f aca="false">IF(B2415="","",IF(COUNTIFS('CARNET DE SOUDURE'!$L$7:$L$3006,B2415,'CARNET DE SOUDURE'!$M$7:$M$3006,"&lt;&gt;"&amp;C2415,'CARNET DE SOUDURE'!$M$7:$M$3006,"&lt;&gt;")+COUNTIFS('CARNET DE SOUDURE'!$O$7:$O$3006,B2415,'CARNET DE SOUDURE'!$P$7:$P$3006,"&lt;&gt;"&amp;C2415,'CARNET DE SOUDURE'!$P$7:$P$3006,"&lt;&gt;")&gt;0,"⚠ DIFFÉRENTE","OK"))</f>
        <v/>
      </c>
      <c r="F2415" s="147"/>
      <c r="G2415" s="80"/>
      <c r="H2415" s="83"/>
      <c r="I2415" s="148" t="str">
        <f aca="false">IF(B2415="","",IFERROR(INDEX('CARNET DE SOUDURE'!$B$7:$B$3006,MATCH(B2415,'CARNET DE SOUDURE'!$L$7:$L$3006,0)),IFERROR(INDEX('CARNET DE SOUDURE'!$B$7:$B$3006,MATCH(B2415,'CARNET DE SOUDURE'!$O$7:$O$3006,0)),"")))</f>
        <v/>
      </c>
      <c r="J2415" s="82" t="str">
        <f aca="false">IF(B2415="","",IFERROR(INDEX('CARNET DE SOUDURE'!$E$7:$E$3006,MATCH(B2415,'CARNET DE SOUDURE'!$O$7:$O$3006,0)),""))</f>
        <v/>
      </c>
      <c r="K2415" s="82" t="str">
        <f aca="false">IF(B2415="","",IFERROR(INDEX('CARNET DE SOUDURE'!$E$7:$E$3006,MATCH(B2415,'CARNET DE SOUDURE'!$L$7:$L$3006,0)),""))</f>
        <v/>
      </c>
      <c r="L2415" s="82" t="str">
        <f aca="false">IF(B2415="","",IFERROR(INDEX('CARNET DE SOUDURE'!$D$7:$D$3006,MATCH(B2415,'CARNET DE SOUDURE'!$L$7:$L$3006,0)),IFERROR(INDEX('CARNET DE SOUDURE'!$D$7:$D$3006,MATCH(B2415,'CARNET DE SOUDURE'!$O$7:$O$3006,0)),"")))</f>
        <v/>
      </c>
      <c r="M2415" s="82" t="str">
        <f aca="false">IF(B2415="","",IF(OR(J2415&lt;&gt;"",K2415&lt;&gt;""),"POSÉ EN LIGNE",IF(COUNTIF(BARDAGE!$C$1:$C$5000,B2415)&gt;0,"BARDÉ","EN STOCK")))</f>
        <v/>
      </c>
      <c r="N2415" s="80"/>
    </row>
    <row r="2416" customFormat="false" ht="15" hidden="false" customHeight="false" outlineLevel="0" collapsed="false">
      <c r="A2416" s="82" t="str">
        <f aca="false">IF(B2416="","",ROW()-6)</f>
        <v/>
      </c>
      <c r="B2416" s="145"/>
      <c r="C2416" s="146"/>
      <c r="D2416" s="146"/>
      <c r="E2416" s="82" t="str">
        <f aca="false">IF(B2416="","",IF(COUNTIFS('CARNET DE SOUDURE'!$L$7:$L$3006,B2416,'CARNET DE SOUDURE'!$M$7:$M$3006,"&lt;&gt;"&amp;C2416,'CARNET DE SOUDURE'!$M$7:$M$3006,"&lt;&gt;")+COUNTIFS('CARNET DE SOUDURE'!$O$7:$O$3006,B2416,'CARNET DE SOUDURE'!$P$7:$P$3006,"&lt;&gt;"&amp;C2416,'CARNET DE SOUDURE'!$P$7:$P$3006,"&lt;&gt;")&gt;0,"⚠ DIFFÉRENTE","OK"))</f>
        <v/>
      </c>
      <c r="F2416" s="147"/>
      <c r="G2416" s="80"/>
      <c r="H2416" s="83"/>
      <c r="I2416" s="148" t="str">
        <f aca="false">IF(B2416="","",IFERROR(INDEX('CARNET DE SOUDURE'!$B$7:$B$3006,MATCH(B2416,'CARNET DE SOUDURE'!$L$7:$L$3006,0)),IFERROR(INDEX('CARNET DE SOUDURE'!$B$7:$B$3006,MATCH(B2416,'CARNET DE SOUDURE'!$O$7:$O$3006,0)),"")))</f>
        <v/>
      </c>
      <c r="J2416" s="82" t="str">
        <f aca="false">IF(B2416="","",IFERROR(INDEX('CARNET DE SOUDURE'!$E$7:$E$3006,MATCH(B2416,'CARNET DE SOUDURE'!$O$7:$O$3006,0)),""))</f>
        <v/>
      </c>
      <c r="K2416" s="82" t="str">
        <f aca="false">IF(B2416="","",IFERROR(INDEX('CARNET DE SOUDURE'!$E$7:$E$3006,MATCH(B2416,'CARNET DE SOUDURE'!$L$7:$L$3006,0)),""))</f>
        <v/>
      </c>
      <c r="L2416" s="82" t="str">
        <f aca="false">IF(B2416="","",IFERROR(INDEX('CARNET DE SOUDURE'!$D$7:$D$3006,MATCH(B2416,'CARNET DE SOUDURE'!$L$7:$L$3006,0)),IFERROR(INDEX('CARNET DE SOUDURE'!$D$7:$D$3006,MATCH(B2416,'CARNET DE SOUDURE'!$O$7:$O$3006,0)),"")))</f>
        <v/>
      </c>
      <c r="M2416" s="82" t="str">
        <f aca="false">IF(B2416="","",IF(OR(J2416&lt;&gt;"",K2416&lt;&gt;""),"POSÉ EN LIGNE",IF(COUNTIF(BARDAGE!$C$1:$C$5000,B2416)&gt;0,"BARDÉ","EN STOCK")))</f>
        <v/>
      </c>
      <c r="N2416" s="80"/>
    </row>
    <row r="2417" customFormat="false" ht="15" hidden="false" customHeight="false" outlineLevel="0" collapsed="false">
      <c r="A2417" s="82" t="str">
        <f aca="false">IF(B2417="","",ROW()-6)</f>
        <v/>
      </c>
      <c r="B2417" s="145"/>
      <c r="C2417" s="146"/>
      <c r="D2417" s="146"/>
      <c r="E2417" s="82" t="str">
        <f aca="false">IF(B2417="","",IF(COUNTIFS('CARNET DE SOUDURE'!$L$7:$L$3006,B2417,'CARNET DE SOUDURE'!$M$7:$M$3006,"&lt;&gt;"&amp;C2417,'CARNET DE SOUDURE'!$M$7:$M$3006,"&lt;&gt;")+COUNTIFS('CARNET DE SOUDURE'!$O$7:$O$3006,B2417,'CARNET DE SOUDURE'!$P$7:$P$3006,"&lt;&gt;"&amp;C2417,'CARNET DE SOUDURE'!$P$7:$P$3006,"&lt;&gt;")&gt;0,"⚠ DIFFÉRENTE","OK"))</f>
        <v/>
      </c>
      <c r="F2417" s="147"/>
      <c r="G2417" s="80"/>
      <c r="H2417" s="83"/>
      <c r="I2417" s="148" t="str">
        <f aca="false">IF(B2417="","",IFERROR(INDEX('CARNET DE SOUDURE'!$B$7:$B$3006,MATCH(B2417,'CARNET DE SOUDURE'!$L$7:$L$3006,0)),IFERROR(INDEX('CARNET DE SOUDURE'!$B$7:$B$3006,MATCH(B2417,'CARNET DE SOUDURE'!$O$7:$O$3006,0)),"")))</f>
        <v/>
      </c>
      <c r="J2417" s="82" t="str">
        <f aca="false">IF(B2417="","",IFERROR(INDEX('CARNET DE SOUDURE'!$E$7:$E$3006,MATCH(B2417,'CARNET DE SOUDURE'!$O$7:$O$3006,0)),""))</f>
        <v/>
      </c>
      <c r="K2417" s="82" t="str">
        <f aca="false">IF(B2417="","",IFERROR(INDEX('CARNET DE SOUDURE'!$E$7:$E$3006,MATCH(B2417,'CARNET DE SOUDURE'!$L$7:$L$3006,0)),""))</f>
        <v/>
      </c>
      <c r="L2417" s="82" t="str">
        <f aca="false">IF(B2417="","",IFERROR(INDEX('CARNET DE SOUDURE'!$D$7:$D$3006,MATCH(B2417,'CARNET DE SOUDURE'!$L$7:$L$3006,0)),IFERROR(INDEX('CARNET DE SOUDURE'!$D$7:$D$3006,MATCH(B2417,'CARNET DE SOUDURE'!$O$7:$O$3006,0)),"")))</f>
        <v/>
      </c>
      <c r="M2417" s="82" t="str">
        <f aca="false">IF(B2417="","",IF(OR(J2417&lt;&gt;"",K2417&lt;&gt;""),"POSÉ EN LIGNE",IF(COUNTIF(BARDAGE!$C$1:$C$5000,B2417)&gt;0,"BARDÉ","EN STOCK")))</f>
        <v/>
      </c>
      <c r="N2417" s="80"/>
    </row>
    <row r="2418" customFormat="false" ht="15" hidden="false" customHeight="false" outlineLevel="0" collapsed="false">
      <c r="A2418" s="82" t="str">
        <f aca="false">IF(B2418="","",ROW()-6)</f>
        <v/>
      </c>
      <c r="B2418" s="145"/>
      <c r="C2418" s="146"/>
      <c r="D2418" s="146"/>
      <c r="E2418" s="82" t="str">
        <f aca="false">IF(B2418="","",IF(COUNTIFS('CARNET DE SOUDURE'!$L$7:$L$3006,B2418,'CARNET DE SOUDURE'!$M$7:$M$3006,"&lt;&gt;"&amp;C2418,'CARNET DE SOUDURE'!$M$7:$M$3006,"&lt;&gt;")+COUNTIFS('CARNET DE SOUDURE'!$O$7:$O$3006,B2418,'CARNET DE SOUDURE'!$P$7:$P$3006,"&lt;&gt;"&amp;C2418,'CARNET DE SOUDURE'!$P$7:$P$3006,"&lt;&gt;")&gt;0,"⚠ DIFFÉRENTE","OK"))</f>
        <v/>
      </c>
      <c r="F2418" s="147"/>
      <c r="G2418" s="80"/>
      <c r="H2418" s="83"/>
      <c r="I2418" s="148" t="str">
        <f aca="false">IF(B2418="","",IFERROR(INDEX('CARNET DE SOUDURE'!$B$7:$B$3006,MATCH(B2418,'CARNET DE SOUDURE'!$L$7:$L$3006,0)),IFERROR(INDEX('CARNET DE SOUDURE'!$B$7:$B$3006,MATCH(B2418,'CARNET DE SOUDURE'!$O$7:$O$3006,0)),"")))</f>
        <v/>
      </c>
      <c r="J2418" s="82" t="str">
        <f aca="false">IF(B2418="","",IFERROR(INDEX('CARNET DE SOUDURE'!$E$7:$E$3006,MATCH(B2418,'CARNET DE SOUDURE'!$O$7:$O$3006,0)),""))</f>
        <v/>
      </c>
      <c r="K2418" s="82" t="str">
        <f aca="false">IF(B2418="","",IFERROR(INDEX('CARNET DE SOUDURE'!$E$7:$E$3006,MATCH(B2418,'CARNET DE SOUDURE'!$L$7:$L$3006,0)),""))</f>
        <v/>
      </c>
      <c r="L2418" s="82" t="str">
        <f aca="false">IF(B2418="","",IFERROR(INDEX('CARNET DE SOUDURE'!$D$7:$D$3006,MATCH(B2418,'CARNET DE SOUDURE'!$L$7:$L$3006,0)),IFERROR(INDEX('CARNET DE SOUDURE'!$D$7:$D$3006,MATCH(B2418,'CARNET DE SOUDURE'!$O$7:$O$3006,0)),"")))</f>
        <v/>
      </c>
      <c r="M2418" s="82" t="str">
        <f aca="false">IF(B2418="","",IF(OR(J2418&lt;&gt;"",K2418&lt;&gt;""),"POSÉ EN LIGNE",IF(COUNTIF(BARDAGE!$C$1:$C$5000,B2418)&gt;0,"BARDÉ","EN STOCK")))</f>
        <v/>
      </c>
      <c r="N2418" s="80"/>
    </row>
    <row r="2419" customFormat="false" ht="15" hidden="false" customHeight="false" outlineLevel="0" collapsed="false">
      <c r="A2419" s="82" t="str">
        <f aca="false">IF(B2419="","",ROW()-6)</f>
        <v/>
      </c>
      <c r="B2419" s="145"/>
      <c r="C2419" s="146"/>
      <c r="D2419" s="146"/>
      <c r="E2419" s="82" t="str">
        <f aca="false">IF(B2419="","",IF(COUNTIFS('CARNET DE SOUDURE'!$L$7:$L$3006,B2419,'CARNET DE SOUDURE'!$M$7:$M$3006,"&lt;&gt;"&amp;C2419,'CARNET DE SOUDURE'!$M$7:$M$3006,"&lt;&gt;")+COUNTIFS('CARNET DE SOUDURE'!$O$7:$O$3006,B2419,'CARNET DE SOUDURE'!$P$7:$P$3006,"&lt;&gt;"&amp;C2419,'CARNET DE SOUDURE'!$P$7:$P$3006,"&lt;&gt;")&gt;0,"⚠ DIFFÉRENTE","OK"))</f>
        <v/>
      </c>
      <c r="F2419" s="147"/>
      <c r="G2419" s="80"/>
      <c r="H2419" s="83"/>
      <c r="I2419" s="148" t="str">
        <f aca="false">IF(B2419="","",IFERROR(INDEX('CARNET DE SOUDURE'!$B$7:$B$3006,MATCH(B2419,'CARNET DE SOUDURE'!$L$7:$L$3006,0)),IFERROR(INDEX('CARNET DE SOUDURE'!$B$7:$B$3006,MATCH(B2419,'CARNET DE SOUDURE'!$O$7:$O$3006,0)),"")))</f>
        <v/>
      </c>
      <c r="J2419" s="82" t="str">
        <f aca="false">IF(B2419="","",IFERROR(INDEX('CARNET DE SOUDURE'!$E$7:$E$3006,MATCH(B2419,'CARNET DE SOUDURE'!$O$7:$O$3006,0)),""))</f>
        <v/>
      </c>
      <c r="K2419" s="82" t="str">
        <f aca="false">IF(B2419="","",IFERROR(INDEX('CARNET DE SOUDURE'!$E$7:$E$3006,MATCH(B2419,'CARNET DE SOUDURE'!$L$7:$L$3006,0)),""))</f>
        <v/>
      </c>
      <c r="L2419" s="82" t="str">
        <f aca="false">IF(B2419="","",IFERROR(INDEX('CARNET DE SOUDURE'!$D$7:$D$3006,MATCH(B2419,'CARNET DE SOUDURE'!$L$7:$L$3006,0)),IFERROR(INDEX('CARNET DE SOUDURE'!$D$7:$D$3006,MATCH(B2419,'CARNET DE SOUDURE'!$O$7:$O$3006,0)),"")))</f>
        <v/>
      </c>
      <c r="M2419" s="82" t="str">
        <f aca="false">IF(B2419="","",IF(OR(J2419&lt;&gt;"",K2419&lt;&gt;""),"POSÉ EN LIGNE",IF(COUNTIF(BARDAGE!$C$1:$C$5000,B2419)&gt;0,"BARDÉ","EN STOCK")))</f>
        <v/>
      </c>
      <c r="N2419" s="80"/>
    </row>
    <row r="2420" customFormat="false" ht="15" hidden="false" customHeight="false" outlineLevel="0" collapsed="false">
      <c r="A2420" s="82" t="str">
        <f aca="false">IF(B2420="","",ROW()-6)</f>
        <v/>
      </c>
      <c r="B2420" s="145"/>
      <c r="C2420" s="146"/>
      <c r="D2420" s="146"/>
      <c r="E2420" s="82" t="str">
        <f aca="false">IF(B2420="","",IF(COUNTIFS('CARNET DE SOUDURE'!$L$7:$L$3006,B2420,'CARNET DE SOUDURE'!$M$7:$M$3006,"&lt;&gt;"&amp;C2420,'CARNET DE SOUDURE'!$M$7:$M$3006,"&lt;&gt;")+COUNTIFS('CARNET DE SOUDURE'!$O$7:$O$3006,B2420,'CARNET DE SOUDURE'!$P$7:$P$3006,"&lt;&gt;"&amp;C2420,'CARNET DE SOUDURE'!$P$7:$P$3006,"&lt;&gt;")&gt;0,"⚠ DIFFÉRENTE","OK"))</f>
        <v/>
      </c>
      <c r="F2420" s="147"/>
      <c r="G2420" s="80"/>
      <c r="H2420" s="83"/>
      <c r="I2420" s="148" t="str">
        <f aca="false">IF(B2420="","",IFERROR(INDEX('CARNET DE SOUDURE'!$B$7:$B$3006,MATCH(B2420,'CARNET DE SOUDURE'!$L$7:$L$3006,0)),IFERROR(INDEX('CARNET DE SOUDURE'!$B$7:$B$3006,MATCH(B2420,'CARNET DE SOUDURE'!$O$7:$O$3006,0)),"")))</f>
        <v/>
      </c>
      <c r="J2420" s="82" t="str">
        <f aca="false">IF(B2420="","",IFERROR(INDEX('CARNET DE SOUDURE'!$E$7:$E$3006,MATCH(B2420,'CARNET DE SOUDURE'!$O$7:$O$3006,0)),""))</f>
        <v/>
      </c>
      <c r="K2420" s="82" t="str">
        <f aca="false">IF(B2420="","",IFERROR(INDEX('CARNET DE SOUDURE'!$E$7:$E$3006,MATCH(B2420,'CARNET DE SOUDURE'!$L$7:$L$3006,0)),""))</f>
        <v/>
      </c>
      <c r="L2420" s="82" t="str">
        <f aca="false">IF(B2420="","",IFERROR(INDEX('CARNET DE SOUDURE'!$D$7:$D$3006,MATCH(B2420,'CARNET DE SOUDURE'!$L$7:$L$3006,0)),IFERROR(INDEX('CARNET DE SOUDURE'!$D$7:$D$3006,MATCH(B2420,'CARNET DE SOUDURE'!$O$7:$O$3006,0)),"")))</f>
        <v/>
      </c>
      <c r="M2420" s="82" t="str">
        <f aca="false">IF(B2420="","",IF(OR(J2420&lt;&gt;"",K2420&lt;&gt;""),"POSÉ EN LIGNE",IF(COUNTIF(BARDAGE!$C$1:$C$5000,B2420)&gt;0,"BARDÉ","EN STOCK")))</f>
        <v/>
      </c>
      <c r="N2420" s="80"/>
    </row>
    <row r="2421" customFormat="false" ht="15" hidden="false" customHeight="false" outlineLevel="0" collapsed="false">
      <c r="A2421" s="82" t="str">
        <f aca="false">IF(B2421="","",ROW()-6)</f>
        <v/>
      </c>
      <c r="B2421" s="145"/>
      <c r="C2421" s="146"/>
      <c r="D2421" s="146"/>
      <c r="E2421" s="82" t="str">
        <f aca="false">IF(B2421="","",IF(COUNTIFS('CARNET DE SOUDURE'!$L$7:$L$3006,B2421,'CARNET DE SOUDURE'!$M$7:$M$3006,"&lt;&gt;"&amp;C2421,'CARNET DE SOUDURE'!$M$7:$M$3006,"&lt;&gt;")+COUNTIFS('CARNET DE SOUDURE'!$O$7:$O$3006,B2421,'CARNET DE SOUDURE'!$P$7:$P$3006,"&lt;&gt;"&amp;C2421,'CARNET DE SOUDURE'!$P$7:$P$3006,"&lt;&gt;")&gt;0,"⚠ DIFFÉRENTE","OK"))</f>
        <v/>
      </c>
      <c r="F2421" s="147"/>
      <c r="G2421" s="80"/>
      <c r="H2421" s="83"/>
      <c r="I2421" s="148" t="str">
        <f aca="false">IF(B2421="","",IFERROR(INDEX('CARNET DE SOUDURE'!$B$7:$B$3006,MATCH(B2421,'CARNET DE SOUDURE'!$L$7:$L$3006,0)),IFERROR(INDEX('CARNET DE SOUDURE'!$B$7:$B$3006,MATCH(B2421,'CARNET DE SOUDURE'!$O$7:$O$3006,0)),"")))</f>
        <v/>
      </c>
      <c r="J2421" s="82" t="str">
        <f aca="false">IF(B2421="","",IFERROR(INDEX('CARNET DE SOUDURE'!$E$7:$E$3006,MATCH(B2421,'CARNET DE SOUDURE'!$O$7:$O$3006,0)),""))</f>
        <v/>
      </c>
      <c r="K2421" s="82" t="str">
        <f aca="false">IF(B2421="","",IFERROR(INDEX('CARNET DE SOUDURE'!$E$7:$E$3006,MATCH(B2421,'CARNET DE SOUDURE'!$L$7:$L$3006,0)),""))</f>
        <v/>
      </c>
      <c r="L2421" s="82" t="str">
        <f aca="false">IF(B2421="","",IFERROR(INDEX('CARNET DE SOUDURE'!$D$7:$D$3006,MATCH(B2421,'CARNET DE SOUDURE'!$L$7:$L$3006,0)),IFERROR(INDEX('CARNET DE SOUDURE'!$D$7:$D$3006,MATCH(B2421,'CARNET DE SOUDURE'!$O$7:$O$3006,0)),"")))</f>
        <v/>
      </c>
      <c r="M2421" s="82" t="str">
        <f aca="false">IF(B2421="","",IF(OR(J2421&lt;&gt;"",K2421&lt;&gt;""),"POSÉ EN LIGNE",IF(COUNTIF(BARDAGE!$C$1:$C$5000,B2421)&gt;0,"BARDÉ","EN STOCK")))</f>
        <v/>
      </c>
      <c r="N2421" s="80"/>
    </row>
    <row r="2422" customFormat="false" ht="15" hidden="false" customHeight="false" outlineLevel="0" collapsed="false">
      <c r="A2422" s="82" t="str">
        <f aca="false">IF(B2422="","",ROW()-6)</f>
        <v/>
      </c>
      <c r="B2422" s="145"/>
      <c r="C2422" s="146"/>
      <c r="D2422" s="146"/>
      <c r="E2422" s="82" t="str">
        <f aca="false">IF(B2422="","",IF(COUNTIFS('CARNET DE SOUDURE'!$L$7:$L$3006,B2422,'CARNET DE SOUDURE'!$M$7:$M$3006,"&lt;&gt;"&amp;C2422,'CARNET DE SOUDURE'!$M$7:$M$3006,"&lt;&gt;")+COUNTIFS('CARNET DE SOUDURE'!$O$7:$O$3006,B2422,'CARNET DE SOUDURE'!$P$7:$P$3006,"&lt;&gt;"&amp;C2422,'CARNET DE SOUDURE'!$P$7:$P$3006,"&lt;&gt;")&gt;0,"⚠ DIFFÉRENTE","OK"))</f>
        <v/>
      </c>
      <c r="F2422" s="147"/>
      <c r="G2422" s="80"/>
      <c r="H2422" s="83"/>
      <c r="I2422" s="148" t="str">
        <f aca="false">IF(B2422="","",IFERROR(INDEX('CARNET DE SOUDURE'!$B$7:$B$3006,MATCH(B2422,'CARNET DE SOUDURE'!$L$7:$L$3006,0)),IFERROR(INDEX('CARNET DE SOUDURE'!$B$7:$B$3006,MATCH(B2422,'CARNET DE SOUDURE'!$O$7:$O$3006,0)),"")))</f>
        <v/>
      </c>
      <c r="J2422" s="82" t="str">
        <f aca="false">IF(B2422="","",IFERROR(INDEX('CARNET DE SOUDURE'!$E$7:$E$3006,MATCH(B2422,'CARNET DE SOUDURE'!$O$7:$O$3006,0)),""))</f>
        <v/>
      </c>
      <c r="K2422" s="82" t="str">
        <f aca="false">IF(B2422="","",IFERROR(INDEX('CARNET DE SOUDURE'!$E$7:$E$3006,MATCH(B2422,'CARNET DE SOUDURE'!$L$7:$L$3006,0)),""))</f>
        <v/>
      </c>
      <c r="L2422" s="82" t="str">
        <f aca="false">IF(B2422="","",IFERROR(INDEX('CARNET DE SOUDURE'!$D$7:$D$3006,MATCH(B2422,'CARNET DE SOUDURE'!$L$7:$L$3006,0)),IFERROR(INDEX('CARNET DE SOUDURE'!$D$7:$D$3006,MATCH(B2422,'CARNET DE SOUDURE'!$O$7:$O$3006,0)),"")))</f>
        <v/>
      </c>
      <c r="M2422" s="82" t="str">
        <f aca="false">IF(B2422="","",IF(OR(J2422&lt;&gt;"",K2422&lt;&gt;""),"POSÉ EN LIGNE",IF(COUNTIF(BARDAGE!$C$1:$C$5000,B2422)&gt;0,"BARDÉ","EN STOCK")))</f>
        <v/>
      </c>
      <c r="N2422" s="80"/>
    </row>
    <row r="2423" customFormat="false" ht="15" hidden="false" customHeight="false" outlineLevel="0" collapsed="false">
      <c r="A2423" s="82" t="str">
        <f aca="false">IF(B2423="","",ROW()-6)</f>
        <v/>
      </c>
      <c r="B2423" s="145"/>
      <c r="C2423" s="146"/>
      <c r="D2423" s="146"/>
      <c r="E2423" s="82" t="str">
        <f aca="false">IF(B2423="","",IF(COUNTIFS('CARNET DE SOUDURE'!$L$7:$L$3006,B2423,'CARNET DE SOUDURE'!$M$7:$M$3006,"&lt;&gt;"&amp;C2423,'CARNET DE SOUDURE'!$M$7:$M$3006,"&lt;&gt;")+COUNTIFS('CARNET DE SOUDURE'!$O$7:$O$3006,B2423,'CARNET DE SOUDURE'!$P$7:$P$3006,"&lt;&gt;"&amp;C2423,'CARNET DE SOUDURE'!$P$7:$P$3006,"&lt;&gt;")&gt;0,"⚠ DIFFÉRENTE","OK"))</f>
        <v/>
      </c>
      <c r="F2423" s="147"/>
      <c r="G2423" s="80"/>
      <c r="H2423" s="83"/>
      <c r="I2423" s="148" t="str">
        <f aca="false">IF(B2423="","",IFERROR(INDEX('CARNET DE SOUDURE'!$B$7:$B$3006,MATCH(B2423,'CARNET DE SOUDURE'!$L$7:$L$3006,0)),IFERROR(INDEX('CARNET DE SOUDURE'!$B$7:$B$3006,MATCH(B2423,'CARNET DE SOUDURE'!$O$7:$O$3006,0)),"")))</f>
        <v/>
      </c>
      <c r="J2423" s="82" t="str">
        <f aca="false">IF(B2423="","",IFERROR(INDEX('CARNET DE SOUDURE'!$E$7:$E$3006,MATCH(B2423,'CARNET DE SOUDURE'!$O$7:$O$3006,0)),""))</f>
        <v/>
      </c>
      <c r="K2423" s="82" t="str">
        <f aca="false">IF(B2423="","",IFERROR(INDEX('CARNET DE SOUDURE'!$E$7:$E$3006,MATCH(B2423,'CARNET DE SOUDURE'!$L$7:$L$3006,0)),""))</f>
        <v/>
      </c>
      <c r="L2423" s="82" t="str">
        <f aca="false">IF(B2423="","",IFERROR(INDEX('CARNET DE SOUDURE'!$D$7:$D$3006,MATCH(B2423,'CARNET DE SOUDURE'!$L$7:$L$3006,0)),IFERROR(INDEX('CARNET DE SOUDURE'!$D$7:$D$3006,MATCH(B2423,'CARNET DE SOUDURE'!$O$7:$O$3006,0)),"")))</f>
        <v/>
      </c>
      <c r="M2423" s="82" t="str">
        <f aca="false">IF(B2423="","",IF(OR(J2423&lt;&gt;"",K2423&lt;&gt;""),"POSÉ EN LIGNE",IF(COUNTIF(BARDAGE!$C$1:$C$5000,B2423)&gt;0,"BARDÉ","EN STOCK")))</f>
        <v/>
      </c>
      <c r="N2423" s="80"/>
    </row>
    <row r="2424" customFormat="false" ht="15" hidden="false" customHeight="false" outlineLevel="0" collapsed="false">
      <c r="A2424" s="82" t="str">
        <f aca="false">IF(B2424="","",ROW()-6)</f>
        <v/>
      </c>
      <c r="B2424" s="145"/>
      <c r="C2424" s="146"/>
      <c r="D2424" s="146"/>
      <c r="E2424" s="82" t="str">
        <f aca="false">IF(B2424="","",IF(COUNTIFS('CARNET DE SOUDURE'!$L$7:$L$3006,B2424,'CARNET DE SOUDURE'!$M$7:$M$3006,"&lt;&gt;"&amp;C2424,'CARNET DE SOUDURE'!$M$7:$M$3006,"&lt;&gt;")+COUNTIFS('CARNET DE SOUDURE'!$O$7:$O$3006,B2424,'CARNET DE SOUDURE'!$P$7:$P$3006,"&lt;&gt;"&amp;C2424,'CARNET DE SOUDURE'!$P$7:$P$3006,"&lt;&gt;")&gt;0,"⚠ DIFFÉRENTE","OK"))</f>
        <v/>
      </c>
      <c r="F2424" s="147"/>
      <c r="G2424" s="80"/>
      <c r="H2424" s="83"/>
      <c r="I2424" s="148" t="str">
        <f aca="false">IF(B2424="","",IFERROR(INDEX('CARNET DE SOUDURE'!$B$7:$B$3006,MATCH(B2424,'CARNET DE SOUDURE'!$L$7:$L$3006,0)),IFERROR(INDEX('CARNET DE SOUDURE'!$B$7:$B$3006,MATCH(B2424,'CARNET DE SOUDURE'!$O$7:$O$3006,0)),"")))</f>
        <v/>
      </c>
      <c r="J2424" s="82" t="str">
        <f aca="false">IF(B2424="","",IFERROR(INDEX('CARNET DE SOUDURE'!$E$7:$E$3006,MATCH(B2424,'CARNET DE SOUDURE'!$O$7:$O$3006,0)),""))</f>
        <v/>
      </c>
      <c r="K2424" s="82" t="str">
        <f aca="false">IF(B2424="","",IFERROR(INDEX('CARNET DE SOUDURE'!$E$7:$E$3006,MATCH(B2424,'CARNET DE SOUDURE'!$L$7:$L$3006,0)),""))</f>
        <v/>
      </c>
      <c r="L2424" s="82" t="str">
        <f aca="false">IF(B2424="","",IFERROR(INDEX('CARNET DE SOUDURE'!$D$7:$D$3006,MATCH(B2424,'CARNET DE SOUDURE'!$L$7:$L$3006,0)),IFERROR(INDEX('CARNET DE SOUDURE'!$D$7:$D$3006,MATCH(B2424,'CARNET DE SOUDURE'!$O$7:$O$3006,0)),"")))</f>
        <v/>
      </c>
      <c r="M2424" s="82" t="str">
        <f aca="false">IF(B2424="","",IF(OR(J2424&lt;&gt;"",K2424&lt;&gt;""),"POSÉ EN LIGNE",IF(COUNTIF(BARDAGE!$C$1:$C$5000,B2424)&gt;0,"BARDÉ","EN STOCK")))</f>
        <v/>
      </c>
      <c r="N2424" s="80"/>
    </row>
    <row r="2425" customFormat="false" ht="15" hidden="false" customHeight="false" outlineLevel="0" collapsed="false">
      <c r="A2425" s="82" t="str">
        <f aca="false">IF(B2425="","",ROW()-6)</f>
        <v/>
      </c>
      <c r="B2425" s="145"/>
      <c r="C2425" s="146"/>
      <c r="D2425" s="146"/>
      <c r="E2425" s="82" t="str">
        <f aca="false">IF(B2425="","",IF(COUNTIFS('CARNET DE SOUDURE'!$L$7:$L$3006,B2425,'CARNET DE SOUDURE'!$M$7:$M$3006,"&lt;&gt;"&amp;C2425,'CARNET DE SOUDURE'!$M$7:$M$3006,"&lt;&gt;")+COUNTIFS('CARNET DE SOUDURE'!$O$7:$O$3006,B2425,'CARNET DE SOUDURE'!$P$7:$P$3006,"&lt;&gt;"&amp;C2425,'CARNET DE SOUDURE'!$P$7:$P$3006,"&lt;&gt;")&gt;0,"⚠ DIFFÉRENTE","OK"))</f>
        <v/>
      </c>
      <c r="F2425" s="147"/>
      <c r="G2425" s="80"/>
      <c r="H2425" s="83"/>
      <c r="I2425" s="148" t="str">
        <f aca="false">IF(B2425="","",IFERROR(INDEX('CARNET DE SOUDURE'!$B$7:$B$3006,MATCH(B2425,'CARNET DE SOUDURE'!$L$7:$L$3006,0)),IFERROR(INDEX('CARNET DE SOUDURE'!$B$7:$B$3006,MATCH(B2425,'CARNET DE SOUDURE'!$O$7:$O$3006,0)),"")))</f>
        <v/>
      </c>
      <c r="J2425" s="82" t="str">
        <f aca="false">IF(B2425="","",IFERROR(INDEX('CARNET DE SOUDURE'!$E$7:$E$3006,MATCH(B2425,'CARNET DE SOUDURE'!$O$7:$O$3006,0)),""))</f>
        <v/>
      </c>
      <c r="K2425" s="82" t="str">
        <f aca="false">IF(B2425="","",IFERROR(INDEX('CARNET DE SOUDURE'!$E$7:$E$3006,MATCH(B2425,'CARNET DE SOUDURE'!$L$7:$L$3006,0)),""))</f>
        <v/>
      </c>
      <c r="L2425" s="82" t="str">
        <f aca="false">IF(B2425="","",IFERROR(INDEX('CARNET DE SOUDURE'!$D$7:$D$3006,MATCH(B2425,'CARNET DE SOUDURE'!$L$7:$L$3006,0)),IFERROR(INDEX('CARNET DE SOUDURE'!$D$7:$D$3006,MATCH(B2425,'CARNET DE SOUDURE'!$O$7:$O$3006,0)),"")))</f>
        <v/>
      </c>
      <c r="M2425" s="82" t="str">
        <f aca="false">IF(B2425="","",IF(OR(J2425&lt;&gt;"",K2425&lt;&gt;""),"POSÉ EN LIGNE",IF(COUNTIF(BARDAGE!$C$1:$C$5000,B2425)&gt;0,"BARDÉ","EN STOCK")))</f>
        <v/>
      </c>
      <c r="N2425" s="80"/>
    </row>
    <row r="2426" customFormat="false" ht="15" hidden="false" customHeight="false" outlineLevel="0" collapsed="false">
      <c r="A2426" s="82" t="str">
        <f aca="false">IF(B2426="","",ROW()-6)</f>
        <v/>
      </c>
      <c r="B2426" s="145"/>
      <c r="C2426" s="146"/>
      <c r="D2426" s="146"/>
      <c r="E2426" s="82" t="str">
        <f aca="false">IF(B2426="","",IF(COUNTIFS('CARNET DE SOUDURE'!$L$7:$L$3006,B2426,'CARNET DE SOUDURE'!$M$7:$M$3006,"&lt;&gt;"&amp;C2426,'CARNET DE SOUDURE'!$M$7:$M$3006,"&lt;&gt;")+COUNTIFS('CARNET DE SOUDURE'!$O$7:$O$3006,B2426,'CARNET DE SOUDURE'!$P$7:$P$3006,"&lt;&gt;"&amp;C2426,'CARNET DE SOUDURE'!$P$7:$P$3006,"&lt;&gt;")&gt;0,"⚠ DIFFÉRENTE","OK"))</f>
        <v/>
      </c>
      <c r="F2426" s="147"/>
      <c r="G2426" s="80"/>
      <c r="H2426" s="83"/>
      <c r="I2426" s="148" t="str">
        <f aca="false">IF(B2426="","",IFERROR(INDEX('CARNET DE SOUDURE'!$B$7:$B$3006,MATCH(B2426,'CARNET DE SOUDURE'!$L$7:$L$3006,0)),IFERROR(INDEX('CARNET DE SOUDURE'!$B$7:$B$3006,MATCH(B2426,'CARNET DE SOUDURE'!$O$7:$O$3006,0)),"")))</f>
        <v/>
      </c>
      <c r="J2426" s="82" t="str">
        <f aca="false">IF(B2426="","",IFERROR(INDEX('CARNET DE SOUDURE'!$E$7:$E$3006,MATCH(B2426,'CARNET DE SOUDURE'!$O$7:$O$3006,0)),""))</f>
        <v/>
      </c>
      <c r="K2426" s="82" t="str">
        <f aca="false">IF(B2426="","",IFERROR(INDEX('CARNET DE SOUDURE'!$E$7:$E$3006,MATCH(B2426,'CARNET DE SOUDURE'!$L$7:$L$3006,0)),""))</f>
        <v/>
      </c>
      <c r="L2426" s="82" t="str">
        <f aca="false">IF(B2426="","",IFERROR(INDEX('CARNET DE SOUDURE'!$D$7:$D$3006,MATCH(B2426,'CARNET DE SOUDURE'!$L$7:$L$3006,0)),IFERROR(INDEX('CARNET DE SOUDURE'!$D$7:$D$3006,MATCH(B2426,'CARNET DE SOUDURE'!$O$7:$O$3006,0)),"")))</f>
        <v/>
      </c>
      <c r="M2426" s="82" t="str">
        <f aca="false">IF(B2426="","",IF(OR(J2426&lt;&gt;"",K2426&lt;&gt;""),"POSÉ EN LIGNE",IF(COUNTIF(BARDAGE!$C$1:$C$5000,B2426)&gt;0,"BARDÉ","EN STOCK")))</f>
        <v/>
      </c>
      <c r="N2426" s="80"/>
    </row>
    <row r="2427" customFormat="false" ht="15" hidden="false" customHeight="false" outlineLevel="0" collapsed="false">
      <c r="A2427" s="82" t="str">
        <f aca="false">IF(B2427="","",ROW()-6)</f>
        <v/>
      </c>
      <c r="B2427" s="145"/>
      <c r="C2427" s="146"/>
      <c r="D2427" s="146"/>
      <c r="E2427" s="82" t="str">
        <f aca="false">IF(B2427="","",IF(COUNTIFS('CARNET DE SOUDURE'!$L$7:$L$3006,B2427,'CARNET DE SOUDURE'!$M$7:$M$3006,"&lt;&gt;"&amp;C2427,'CARNET DE SOUDURE'!$M$7:$M$3006,"&lt;&gt;")+COUNTIFS('CARNET DE SOUDURE'!$O$7:$O$3006,B2427,'CARNET DE SOUDURE'!$P$7:$P$3006,"&lt;&gt;"&amp;C2427,'CARNET DE SOUDURE'!$P$7:$P$3006,"&lt;&gt;")&gt;0,"⚠ DIFFÉRENTE","OK"))</f>
        <v/>
      </c>
      <c r="F2427" s="147"/>
      <c r="G2427" s="80"/>
      <c r="H2427" s="83"/>
      <c r="I2427" s="148" t="str">
        <f aca="false">IF(B2427="","",IFERROR(INDEX('CARNET DE SOUDURE'!$B$7:$B$3006,MATCH(B2427,'CARNET DE SOUDURE'!$L$7:$L$3006,0)),IFERROR(INDEX('CARNET DE SOUDURE'!$B$7:$B$3006,MATCH(B2427,'CARNET DE SOUDURE'!$O$7:$O$3006,0)),"")))</f>
        <v/>
      </c>
      <c r="J2427" s="82" t="str">
        <f aca="false">IF(B2427="","",IFERROR(INDEX('CARNET DE SOUDURE'!$E$7:$E$3006,MATCH(B2427,'CARNET DE SOUDURE'!$O$7:$O$3006,0)),""))</f>
        <v/>
      </c>
      <c r="K2427" s="82" t="str">
        <f aca="false">IF(B2427="","",IFERROR(INDEX('CARNET DE SOUDURE'!$E$7:$E$3006,MATCH(B2427,'CARNET DE SOUDURE'!$L$7:$L$3006,0)),""))</f>
        <v/>
      </c>
      <c r="L2427" s="82" t="str">
        <f aca="false">IF(B2427="","",IFERROR(INDEX('CARNET DE SOUDURE'!$D$7:$D$3006,MATCH(B2427,'CARNET DE SOUDURE'!$L$7:$L$3006,0)),IFERROR(INDEX('CARNET DE SOUDURE'!$D$7:$D$3006,MATCH(B2427,'CARNET DE SOUDURE'!$O$7:$O$3006,0)),"")))</f>
        <v/>
      </c>
      <c r="M2427" s="82" t="str">
        <f aca="false">IF(B2427="","",IF(OR(J2427&lt;&gt;"",K2427&lt;&gt;""),"POSÉ EN LIGNE",IF(COUNTIF(BARDAGE!$C$1:$C$5000,B2427)&gt;0,"BARDÉ","EN STOCK")))</f>
        <v/>
      </c>
      <c r="N2427" s="80"/>
    </row>
    <row r="2428" customFormat="false" ht="15" hidden="false" customHeight="false" outlineLevel="0" collapsed="false">
      <c r="A2428" s="82" t="str">
        <f aca="false">IF(B2428="","",ROW()-6)</f>
        <v/>
      </c>
      <c r="B2428" s="145"/>
      <c r="C2428" s="146"/>
      <c r="D2428" s="146"/>
      <c r="E2428" s="82" t="str">
        <f aca="false">IF(B2428="","",IF(COUNTIFS('CARNET DE SOUDURE'!$L$7:$L$3006,B2428,'CARNET DE SOUDURE'!$M$7:$M$3006,"&lt;&gt;"&amp;C2428,'CARNET DE SOUDURE'!$M$7:$M$3006,"&lt;&gt;")+COUNTIFS('CARNET DE SOUDURE'!$O$7:$O$3006,B2428,'CARNET DE SOUDURE'!$P$7:$P$3006,"&lt;&gt;"&amp;C2428,'CARNET DE SOUDURE'!$P$7:$P$3006,"&lt;&gt;")&gt;0,"⚠ DIFFÉRENTE","OK"))</f>
        <v/>
      </c>
      <c r="F2428" s="147"/>
      <c r="G2428" s="80"/>
      <c r="H2428" s="83"/>
      <c r="I2428" s="148" t="str">
        <f aca="false">IF(B2428="","",IFERROR(INDEX('CARNET DE SOUDURE'!$B$7:$B$3006,MATCH(B2428,'CARNET DE SOUDURE'!$L$7:$L$3006,0)),IFERROR(INDEX('CARNET DE SOUDURE'!$B$7:$B$3006,MATCH(B2428,'CARNET DE SOUDURE'!$O$7:$O$3006,0)),"")))</f>
        <v/>
      </c>
      <c r="J2428" s="82" t="str">
        <f aca="false">IF(B2428="","",IFERROR(INDEX('CARNET DE SOUDURE'!$E$7:$E$3006,MATCH(B2428,'CARNET DE SOUDURE'!$O$7:$O$3006,0)),""))</f>
        <v/>
      </c>
      <c r="K2428" s="82" t="str">
        <f aca="false">IF(B2428="","",IFERROR(INDEX('CARNET DE SOUDURE'!$E$7:$E$3006,MATCH(B2428,'CARNET DE SOUDURE'!$L$7:$L$3006,0)),""))</f>
        <v/>
      </c>
      <c r="L2428" s="82" t="str">
        <f aca="false">IF(B2428="","",IFERROR(INDEX('CARNET DE SOUDURE'!$D$7:$D$3006,MATCH(B2428,'CARNET DE SOUDURE'!$L$7:$L$3006,0)),IFERROR(INDEX('CARNET DE SOUDURE'!$D$7:$D$3006,MATCH(B2428,'CARNET DE SOUDURE'!$O$7:$O$3006,0)),"")))</f>
        <v/>
      </c>
      <c r="M2428" s="82" t="str">
        <f aca="false">IF(B2428="","",IF(OR(J2428&lt;&gt;"",K2428&lt;&gt;""),"POSÉ EN LIGNE",IF(COUNTIF(BARDAGE!$C$1:$C$5000,B2428)&gt;0,"BARDÉ","EN STOCK")))</f>
        <v/>
      </c>
      <c r="N2428" s="80"/>
    </row>
    <row r="2429" customFormat="false" ht="15" hidden="false" customHeight="false" outlineLevel="0" collapsed="false">
      <c r="A2429" s="82" t="str">
        <f aca="false">IF(B2429="","",ROW()-6)</f>
        <v/>
      </c>
      <c r="B2429" s="145"/>
      <c r="C2429" s="146"/>
      <c r="D2429" s="146"/>
      <c r="E2429" s="82" t="str">
        <f aca="false">IF(B2429="","",IF(COUNTIFS('CARNET DE SOUDURE'!$L$7:$L$3006,B2429,'CARNET DE SOUDURE'!$M$7:$M$3006,"&lt;&gt;"&amp;C2429,'CARNET DE SOUDURE'!$M$7:$M$3006,"&lt;&gt;")+COUNTIFS('CARNET DE SOUDURE'!$O$7:$O$3006,B2429,'CARNET DE SOUDURE'!$P$7:$P$3006,"&lt;&gt;"&amp;C2429,'CARNET DE SOUDURE'!$P$7:$P$3006,"&lt;&gt;")&gt;0,"⚠ DIFFÉRENTE","OK"))</f>
        <v/>
      </c>
      <c r="F2429" s="147"/>
      <c r="G2429" s="80"/>
      <c r="H2429" s="83"/>
      <c r="I2429" s="148" t="str">
        <f aca="false">IF(B2429="","",IFERROR(INDEX('CARNET DE SOUDURE'!$B$7:$B$3006,MATCH(B2429,'CARNET DE SOUDURE'!$L$7:$L$3006,0)),IFERROR(INDEX('CARNET DE SOUDURE'!$B$7:$B$3006,MATCH(B2429,'CARNET DE SOUDURE'!$O$7:$O$3006,0)),"")))</f>
        <v/>
      </c>
      <c r="J2429" s="82" t="str">
        <f aca="false">IF(B2429="","",IFERROR(INDEX('CARNET DE SOUDURE'!$E$7:$E$3006,MATCH(B2429,'CARNET DE SOUDURE'!$O$7:$O$3006,0)),""))</f>
        <v/>
      </c>
      <c r="K2429" s="82" t="str">
        <f aca="false">IF(B2429="","",IFERROR(INDEX('CARNET DE SOUDURE'!$E$7:$E$3006,MATCH(B2429,'CARNET DE SOUDURE'!$L$7:$L$3006,0)),""))</f>
        <v/>
      </c>
      <c r="L2429" s="82" t="str">
        <f aca="false">IF(B2429="","",IFERROR(INDEX('CARNET DE SOUDURE'!$D$7:$D$3006,MATCH(B2429,'CARNET DE SOUDURE'!$L$7:$L$3006,0)),IFERROR(INDEX('CARNET DE SOUDURE'!$D$7:$D$3006,MATCH(B2429,'CARNET DE SOUDURE'!$O$7:$O$3006,0)),"")))</f>
        <v/>
      </c>
      <c r="M2429" s="82" t="str">
        <f aca="false">IF(B2429="","",IF(OR(J2429&lt;&gt;"",K2429&lt;&gt;""),"POSÉ EN LIGNE",IF(COUNTIF(BARDAGE!$C$1:$C$5000,B2429)&gt;0,"BARDÉ","EN STOCK")))</f>
        <v/>
      </c>
      <c r="N2429" s="80"/>
    </row>
    <row r="2430" customFormat="false" ht="15" hidden="false" customHeight="false" outlineLevel="0" collapsed="false">
      <c r="A2430" s="82" t="str">
        <f aca="false">IF(B2430="","",ROW()-6)</f>
        <v/>
      </c>
      <c r="B2430" s="145"/>
      <c r="C2430" s="146"/>
      <c r="D2430" s="146"/>
      <c r="E2430" s="82" t="str">
        <f aca="false">IF(B2430="","",IF(COUNTIFS('CARNET DE SOUDURE'!$L$7:$L$3006,B2430,'CARNET DE SOUDURE'!$M$7:$M$3006,"&lt;&gt;"&amp;C2430,'CARNET DE SOUDURE'!$M$7:$M$3006,"&lt;&gt;")+COUNTIFS('CARNET DE SOUDURE'!$O$7:$O$3006,B2430,'CARNET DE SOUDURE'!$P$7:$P$3006,"&lt;&gt;"&amp;C2430,'CARNET DE SOUDURE'!$P$7:$P$3006,"&lt;&gt;")&gt;0,"⚠ DIFFÉRENTE","OK"))</f>
        <v/>
      </c>
      <c r="F2430" s="147"/>
      <c r="G2430" s="80"/>
      <c r="H2430" s="83"/>
      <c r="I2430" s="148" t="str">
        <f aca="false">IF(B2430="","",IFERROR(INDEX('CARNET DE SOUDURE'!$B$7:$B$3006,MATCH(B2430,'CARNET DE SOUDURE'!$L$7:$L$3006,0)),IFERROR(INDEX('CARNET DE SOUDURE'!$B$7:$B$3006,MATCH(B2430,'CARNET DE SOUDURE'!$O$7:$O$3006,0)),"")))</f>
        <v/>
      </c>
      <c r="J2430" s="82" t="str">
        <f aca="false">IF(B2430="","",IFERROR(INDEX('CARNET DE SOUDURE'!$E$7:$E$3006,MATCH(B2430,'CARNET DE SOUDURE'!$O$7:$O$3006,0)),""))</f>
        <v/>
      </c>
      <c r="K2430" s="82" t="str">
        <f aca="false">IF(B2430="","",IFERROR(INDEX('CARNET DE SOUDURE'!$E$7:$E$3006,MATCH(B2430,'CARNET DE SOUDURE'!$L$7:$L$3006,0)),""))</f>
        <v/>
      </c>
      <c r="L2430" s="82" t="str">
        <f aca="false">IF(B2430="","",IFERROR(INDEX('CARNET DE SOUDURE'!$D$7:$D$3006,MATCH(B2430,'CARNET DE SOUDURE'!$L$7:$L$3006,0)),IFERROR(INDEX('CARNET DE SOUDURE'!$D$7:$D$3006,MATCH(B2430,'CARNET DE SOUDURE'!$O$7:$O$3006,0)),"")))</f>
        <v/>
      </c>
      <c r="M2430" s="82" t="str">
        <f aca="false">IF(B2430="","",IF(OR(J2430&lt;&gt;"",K2430&lt;&gt;""),"POSÉ EN LIGNE",IF(COUNTIF(BARDAGE!$C$1:$C$5000,B2430)&gt;0,"BARDÉ","EN STOCK")))</f>
        <v/>
      </c>
      <c r="N2430" s="80"/>
    </row>
    <row r="2431" customFormat="false" ht="15" hidden="false" customHeight="false" outlineLevel="0" collapsed="false">
      <c r="A2431" s="82" t="str">
        <f aca="false">IF(B2431="","",ROW()-6)</f>
        <v/>
      </c>
      <c r="B2431" s="145"/>
      <c r="C2431" s="146"/>
      <c r="D2431" s="146"/>
      <c r="E2431" s="82" t="str">
        <f aca="false">IF(B2431="","",IF(COUNTIFS('CARNET DE SOUDURE'!$L$7:$L$3006,B2431,'CARNET DE SOUDURE'!$M$7:$M$3006,"&lt;&gt;"&amp;C2431,'CARNET DE SOUDURE'!$M$7:$M$3006,"&lt;&gt;")+COUNTIFS('CARNET DE SOUDURE'!$O$7:$O$3006,B2431,'CARNET DE SOUDURE'!$P$7:$P$3006,"&lt;&gt;"&amp;C2431,'CARNET DE SOUDURE'!$P$7:$P$3006,"&lt;&gt;")&gt;0,"⚠ DIFFÉRENTE","OK"))</f>
        <v/>
      </c>
      <c r="F2431" s="147"/>
      <c r="G2431" s="80"/>
      <c r="H2431" s="83"/>
      <c r="I2431" s="148" t="str">
        <f aca="false">IF(B2431="","",IFERROR(INDEX('CARNET DE SOUDURE'!$B$7:$B$3006,MATCH(B2431,'CARNET DE SOUDURE'!$L$7:$L$3006,0)),IFERROR(INDEX('CARNET DE SOUDURE'!$B$7:$B$3006,MATCH(B2431,'CARNET DE SOUDURE'!$O$7:$O$3006,0)),"")))</f>
        <v/>
      </c>
      <c r="J2431" s="82" t="str">
        <f aca="false">IF(B2431="","",IFERROR(INDEX('CARNET DE SOUDURE'!$E$7:$E$3006,MATCH(B2431,'CARNET DE SOUDURE'!$O$7:$O$3006,0)),""))</f>
        <v/>
      </c>
      <c r="K2431" s="82" t="str">
        <f aca="false">IF(B2431="","",IFERROR(INDEX('CARNET DE SOUDURE'!$E$7:$E$3006,MATCH(B2431,'CARNET DE SOUDURE'!$L$7:$L$3006,0)),""))</f>
        <v/>
      </c>
      <c r="L2431" s="82" t="str">
        <f aca="false">IF(B2431="","",IFERROR(INDEX('CARNET DE SOUDURE'!$D$7:$D$3006,MATCH(B2431,'CARNET DE SOUDURE'!$L$7:$L$3006,0)),IFERROR(INDEX('CARNET DE SOUDURE'!$D$7:$D$3006,MATCH(B2431,'CARNET DE SOUDURE'!$O$7:$O$3006,0)),"")))</f>
        <v/>
      </c>
      <c r="M2431" s="82" t="str">
        <f aca="false">IF(B2431="","",IF(OR(J2431&lt;&gt;"",K2431&lt;&gt;""),"POSÉ EN LIGNE",IF(COUNTIF(BARDAGE!$C$1:$C$5000,B2431)&gt;0,"BARDÉ","EN STOCK")))</f>
        <v/>
      </c>
      <c r="N2431" s="80"/>
    </row>
    <row r="2432" customFormat="false" ht="15" hidden="false" customHeight="false" outlineLevel="0" collapsed="false">
      <c r="A2432" s="82" t="str">
        <f aca="false">IF(B2432="","",ROW()-6)</f>
        <v/>
      </c>
      <c r="B2432" s="145"/>
      <c r="C2432" s="146"/>
      <c r="D2432" s="146"/>
      <c r="E2432" s="82" t="str">
        <f aca="false">IF(B2432="","",IF(COUNTIFS('CARNET DE SOUDURE'!$L$7:$L$3006,B2432,'CARNET DE SOUDURE'!$M$7:$M$3006,"&lt;&gt;"&amp;C2432,'CARNET DE SOUDURE'!$M$7:$M$3006,"&lt;&gt;")+COUNTIFS('CARNET DE SOUDURE'!$O$7:$O$3006,B2432,'CARNET DE SOUDURE'!$P$7:$P$3006,"&lt;&gt;"&amp;C2432,'CARNET DE SOUDURE'!$P$7:$P$3006,"&lt;&gt;")&gt;0,"⚠ DIFFÉRENTE","OK"))</f>
        <v/>
      </c>
      <c r="F2432" s="147"/>
      <c r="G2432" s="80"/>
      <c r="H2432" s="83"/>
      <c r="I2432" s="148" t="str">
        <f aca="false">IF(B2432="","",IFERROR(INDEX('CARNET DE SOUDURE'!$B$7:$B$3006,MATCH(B2432,'CARNET DE SOUDURE'!$L$7:$L$3006,0)),IFERROR(INDEX('CARNET DE SOUDURE'!$B$7:$B$3006,MATCH(B2432,'CARNET DE SOUDURE'!$O$7:$O$3006,0)),"")))</f>
        <v/>
      </c>
      <c r="J2432" s="82" t="str">
        <f aca="false">IF(B2432="","",IFERROR(INDEX('CARNET DE SOUDURE'!$E$7:$E$3006,MATCH(B2432,'CARNET DE SOUDURE'!$O$7:$O$3006,0)),""))</f>
        <v/>
      </c>
      <c r="K2432" s="82" t="str">
        <f aca="false">IF(B2432="","",IFERROR(INDEX('CARNET DE SOUDURE'!$E$7:$E$3006,MATCH(B2432,'CARNET DE SOUDURE'!$L$7:$L$3006,0)),""))</f>
        <v/>
      </c>
      <c r="L2432" s="82" t="str">
        <f aca="false">IF(B2432="","",IFERROR(INDEX('CARNET DE SOUDURE'!$D$7:$D$3006,MATCH(B2432,'CARNET DE SOUDURE'!$L$7:$L$3006,0)),IFERROR(INDEX('CARNET DE SOUDURE'!$D$7:$D$3006,MATCH(B2432,'CARNET DE SOUDURE'!$O$7:$O$3006,0)),"")))</f>
        <v/>
      </c>
      <c r="M2432" s="82" t="str">
        <f aca="false">IF(B2432="","",IF(OR(J2432&lt;&gt;"",K2432&lt;&gt;""),"POSÉ EN LIGNE",IF(COUNTIF(BARDAGE!$C$1:$C$5000,B2432)&gt;0,"BARDÉ","EN STOCK")))</f>
        <v/>
      </c>
      <c r="N2432" s="80"/>
    </row>
    <row r="2433" customFormat="false" ht="15" hidden="false" customHeight="false" outlineLevel="0" collapsed="false">
      <c r="A2433" s="82" t="str">
        <f aca="false">IF(B2433="","",ROW()-6)</f>
        <v/>
      </c>
      <c r="B2433" s="145"/>
      <c r="C2433" s="146"/>
      <c r="D2433" s="146"/>
      <c r="E2433" s="82" t="str">
        <f aca="false">IF(B2433="","",IF(COUNTIFS('CARNET DE SOUDURE'!$L$7:$L$3006,B2433,'CARNET DE SOUDURE'!$M$7:$M$3006,"&lt;&gt;"&amp;C2433,'CARNET DE SOUDURE'!$M$7:$M$3006,"&lt;&gt;")+COUNTIFS('CARNET DE SOUDURE'!$O$7:$O$3006,B2433,'CARNET DE SOUDURE'!$P$7:$P$3006,"&lt;&gt;"&amp;C2433,'CARNET DE SOUDURE'!$P$7:$P$3006,"&lt;&gt;")&gt;0,"⚠ DIFFÉRENTE","OK"))</f>
        <v/>
      </c>
      <c r="F2433" s="147"/>
      <c r="G2433" s="80"/>
      <c r="H2433" s="83"/>
      <c r="I2433" s="148" t="str">
        <f aca="false">IF(B2433="","",IFERROR(INDEX('CARNET DE SOUDURE'!$B$7:$B$3006,MATCH(B2433,'CARNET DE SOUDURE'!$L$7:$L$3006,0)),IFERROR(INDEX('CARNET DE SOUDURE'!$B$7:$B$3006,MATCH(B2433,'CARNET DE SOUDURE'!$O$7:$O$3006,0)),"")))</f>
        <v/>
      </c>
      <c r="J2433" s="82" t="str">
        <f aca="false">IF(B2433="","",IFERROR(INDEX('CARNET DE SOUDURE'!$E$7:$E$3006,MATCH(B2433,'CARNET DE SOUDURE'!$O$7:$O$3006,0)),""))</f>
        <v/>
      </c>
      <c r="K2433" s="82" t="str">
        <f aca="false">IF(B2433="","",IFERROR(INDEX('CARNET DE SOUDURE'!$E$7:$E$3006,MATCH(B2433,'CARNET DE SOUDURE'!$L$7:$L$3006,0)),""))</f>
        <v/>
      </c>
      <c r="L2433" s="82" t="str">
        <f aca="false">IF(B2433="","",IFERROR(INDEX('CARNET DE SOUDURE'!$D$7:$D$3006,MATCH(B2433,'CARNET DE SOUDURE'!$L$7:$L$3006,0)),IFERROR(INDEX('CARNET DE SOUDURE'!$D$7:$D$3006,MATCH(B2433,'CARNET DE SOUDURE'!$O$7:$O$3006,0)),"")))</f>
        <v/>
      </c>
      <c r="M2433" s="82" t="str">
        <f aca="false">IF(B2433="","",IF(OR(J2433&lt;&gt;"",K2433&lt;&gt;""),"POSÉ EN LIGNE",IF(COUNTIF(BARDAGE!$C$1:$C$5000,B2433)&gt;0,"BARDÉ","EN STOCK")))</f>
        <v/>
      </c>
      <c r="N2433" s="80"/>
    </row>
    <row r="2434" customFormat="false" ht="15" hidden="false" customHeight="false" outlineLevel="0" collapsed="false">
      <c r="A2434" s="82" t="str">
        <f aca="false">IF(B2434="","",ROW()-6)</f>
        <v/>
      </c>
      <c r="B2434" s="145"/>
      <c r="C2434" s="146"/>
      <c r="D2434" s="146"/>
      <c r="E2434" s="82" t="str">
        <f aca="false">IF(B2434="","",IF(COUNTIFS('CARNET DE SOUDURE'!$L$7:$L$3006,B2434,'CARNET DE SOUDURE'!$M$7:$M$3006,"&lt;&gt;"&amp;C2434,'CARNET DE SOUDURE'!$M$7:$M$3006,"&lt;&gt;")+COUNTIFS('CARNET DE SOUDURE'!$O$7:$O$3006,B2434,'CARNET DE SOUDURE'!$P$7:$P$3006,"&lt;&gt;"&amp;C2434,'CARNET DE SOUDURE'!$P$7:$P$3006,"&lt;&gt;")&gt;0,"⚠ DIFFÉRENTE","OK"))</f>
        <v/>
      </c>
      <c r="F2434" s="147"/>
      <c r="G2434" s="80"/>
      <c r="H2434" s="83"/>
      <c r="I2434" s="148" t="str">
        <f aca="false">IF(B2434="","",IFERROR(INDEX('CARNET DE SOUDURE'!$B$7:$B$3006,MATCH(B2434,'CARNET DE SOUDURE'!$L$7:$L$3006,0)),IFERROR(INDEX('CARNET DE SOUDURE'!$B$7:$B$3006,MATCH(B2434,'CARNET DE SOUDURE'!$O$7:$O$3006,0)),"")))</f>
        <v/>
      </c>
      <c r="J2434" s="82" t="str">
        <f aca="false">IF(B2434="","",IFERROR(INDEX('CARNET DE SOUDURE'!$E$7:$E$3006,MATCH(B2434,'CARNET DE SOUDURE'!$O$7:$O$3006,0)),""))</f>
        <v/>
      </c>
      <c r="K2434" s="82" t="str">
        <f aca="false">IF(B2434="","",IFERROR(INDEX('CARNET DE SOUDURE'!$E$7:$E$3006,MATCH(B2434,'CARNET DE SOUDURE'!$L$7:$L$3006,0)),""))</f>
        <v/>
      </c>
      <c r="L2434" s="82" t="str">
        <f aca="false">IF(B2434="","",IFERROR(INDEX('CARNET DE SOUDURE'!$D$7:$D$3006,MATCH(B2434,'CARNET DE SOUDURE'!$L$7:$L$3006,0)),IFERROR(INDEX('CARNET DE SOUDURE'!$D$7:$D$3006,MATCH(B2434,'CARNET DE SOUDURE'!$O$7:$O$3006,0)),"")))</f>
        <v/>
      </c>
      <c r="M2434" s="82" t="str">
        <f aca="false">IF(B2434="","",IF(OR(J2434&lt;&gt;"",K2434&lt;&gt;""),"POSÉ EN LIGNE",IF(COUNTIF(BARDAGE!$C$1:$C$5000,B2434)&gt;0,"BARDÉ","EN STOCK")))</f>
        <v/>
      </c>
      <c r="N2434" s="80"/>
    </row>
    <row r="2435" customFormat="false" ht="15" hidden="false" customHeight="false" outlineLevel="0" collapsed="false">
      <c r="A2435" s="82" t="str">
        <f aca="false">IF(B2435="","",ROW()-6)</f>
        <v/>
      </c>
      <c r="B2435" s="145"/>
      <c r="C2435" s="146"/>
      <c r="D2435" s="146"/>
      <c r="E2435" s="82" t="str">
        <f aca="false">IF(B2435="","",IF(COUNTIFS('CARNET DE SOUDURE'!$L$7:$L$3006,B2435,'CARNET DE SOUDURE'!$M$7:$M$3006,"&lt;&gt;"&amp;C2435,'CARNET DE SOUDURE'!$M$7:$M$3006,"&lt;&gt;")+COUNTIFS('CARNET DE SOUDURE'!$O$7:$O$3006,B2435,'CARNET DE SOUDURE'!$P$7:$P$3006,"&lt;&gt;"&amp;C2435,'CARNET DE SOUDURE'!$P$7:$P$3006,"&lt;&gt;")&gt;0,"⚠ DIFFÉRENTE","OK"))</f>
        <v/>
      </c>
      <c r="F2435" s="147"/>
      <c r="G2435" s="80"/>
      <c r="H2435" s="83"/>
      <c r="I2435" s="148" t="str">
        <f aca="false">IF(B2435="","",IFERROR(INDEX('CARNET DE SOUDURE'!$B$7:$B$3006,MATCH(B2435,'CARNET DE SOUDURE'!$L$7:$L$3006,0)),IFERROR(INDEX('CARNET DE SOUDURE'!$B$7:$B$3006,MATCH(B2435,'CARNET DE SOUDURE'!$O$7:$O$3006,0)),"")))</f>
        <v/>
      </c>
      <c r="J2435" s="82" t="str">
        <f aca="false">IF(B2435="","",IFERROR(INDEX('CARNET DE SOUDURE'!$E$7:$E$3006,MATCH(B2435,'CARNET DE SOUDURE'!$O$7:$O$3006,0)),""))</f>
        <v/>
      </c>
      <c r="K2435" s="82" t="str">
        <f aca="false">IF(B2435="","",IFERROR(INDEX('CARNET DE SOUDURE'!$E$7:$E$3006,MATCH(B2435,'CARNET DE SOUDURE'!$L$7:$L$3006,0)),""))</f>
        <v/>
      </c>
      <c r="L2435" s="82" t="str">
        <f aca="false">IF(B2435="","",IFERROR(INDEX('CARNET DE SOUDURE'!$D$7:$D$3006,MATCH(B2435,'CARNET DE SOUDURE'!$L$7:$L$3006,0)),IFERROR(INDEX('CARNET DE SOUDURE'!$D$7:$D$3006,MATCH(B2435,'CARNET DE SOUDURE'!$O$7:$O$3006,0)),"")))</f>
        <v/>
      </c>
      <c r="M2435" s="82" t="str">
        <f aca="false">IF(B2435="","",IF(OR(J2435&lt;&gt;"",K2435&lt;&gt;""),"POSÉ EN LIGNE",IF(COUNTIF(BARDAGE!$C$1:$C$5000,B2435)&gt;0,"BARDÉ","EN STOCK")))</f>
        <v/>
      </c>
      <c r="N2435" s="80"/>
    </row>
    <row r="2436" customFormat="false" ht="15" hidden="false" customHeight="false" outlineLevel="0" collapsed="false">
      <c r="A2436" s="82" t="str">
        <f aca="false">IF(B2436="","",ROW()-6)</f>
        <v/>
      </c>
      <c r="B2436" s="145"/>
      <c r="C2436" s="146"/>
      <c r="D2436" s="146"/>
      <c r="E2436" s="82" t="str">
        <f aca="false">IF(B2436="","",IF(COUNTIFS('CARNET DE SOUDURE'!$L$7:$L$3006,B2436,'CARNET DE SOUDURE'!$M$7:$M$3006,"&lt;&gt;"&amp;C2436,'CARNET DE SOUDURE'!$M$7:$M$3006,"&lt;&gt;")+COUNTIFS('CARNET DE SOUDURE'!$O$7:$O$3006,B2436,'CARNET DE SOUDURE'!$P$7:$P$3006,"&lt;&gt;"&amp;C2436,'CARNET DE SOUDURE'!$P$7:$P$3006,"&lt;&gt;")&gt;0,"⚠ DIFFÉRENTE","OK"))</f>
        <v/>
      </c>
      <c r="F2436" s="147"/>
      <c r="G2436" s="80"/>
      <c r="H2436" s="83"/>
      <c r="I2436" s="148" t="str">
        <f aca="false">IF(B2436="","",IFERROR(INDEX('CARNET DE SOUDURE'!$B$7:$B$3006,MATCH(B2436,'CARNET DE SOUDURE'!$L$7:$L$3006,0)),IFERROR(INDEX('CARNET DE SOUDURE'!$B$7:$B$3006,MATCH(B2436,'CARNET DE SOUDURE'!$O$7:$O$3006,0)),"")))</f>
        <v/>
      </c>
      <c r="J2436" s="82" t="str">
        <f aca="false">IF(B2436="","",IFERROR(INDEX('CARNET DE SOUDURE'!$E$7:$E$3006,MATCH(B2436,'CARNET DE SOUDURE'!$O$7:$O$3006,0)),""))</f>
        <v/>
      </c>
      <c r="K2436" s="82" t="str">
        <f aca="false">IF(B2436="","",IFERROR(INDEX('CARNET DE SOUDURE'!$E$7:$E$3006,MATCH(B2436,'CARNET DE SOUDURE'!$L$7:$L$3006,0)),""))</f>
        <v/>
      </c>
      <c r="L2436" s="82" t="str">
        <f aca="false">IF(B2436="","",IFERROR(INDEX('CARNET DE SOUDURE'!$D$7:$D$3006,MATCH(B2436,'CARNET DE SOUDURE'!$L$7:$L$3006,0)),IFERROR(INDEX('CARNET DE SOUDURE'!$D$7:$D$3006,MATCH(B2436,'CARNET DE SOUDURE'!$O$7:$O$3006,0)),"")))</f>
        <v/>
      </c>
      <c r="M2436" s="82" t="str">
        <f aca="false">IF(B2436="","",IF(OR(J2436&lt;&gt;"",K2436&lt;&gt;""),"POSÉ EN LIGNE",IF(COUNTIF(BARDAGE!$C$1:$C$5000,B2436)&gt;0,"BARDÉ","EN STOCK")))</f>
        <v/>
      </c>
      <c r="N2436" s="80"/>
    </row>
    <row r="2437" customFormat="false" ht="15" hidden="false" customHeight="false" outlineLevel="0" collapsed="false">
      <c r="A2437" s="82" t="str">
        <f aca="false">IF(B2437="","",ROW()-6)</f>
        <v/>
      </c>
      <c r="B2437" s="145"/>
      <c r="C2437" s="146"/>
      <c r="D2437" s="146"/>
      <c r="E2437" s="82" t="str">
        <f aca="false">IF(B2437="","",IF(COUNTIFS('CARNET DE SOUDURE'!$L$7:$L$3006,B2437,'CARNET DE SOUDURE'!$M$7:$M$3006,"&lt;&gt;"&amp;C2437,'CARNET DE SOUDURE'!$M$7:$M$3006,"&lt;&gt;")+COUNTIFS('CARNET DE SOUDURE'!$O$7:$O$3006,B2437,'CARNET DE SOUDURE'!$P$7:$P$3006,"&lt;&gt;"&amp;C2437,'CARNET DE SOUDURE'!$P$7:$P$3006,"&lt;&gt;")&gt;0,"⚠ DIFFÉRENTE","OK"))</f>
        <v/>
      </c>
      <c r="F2437" s="147"/>
      <c r="G2437" s="80"/>
      <c r="H2437" s="83"/>
      <c r="I2437" s="148" t="str">
        <f aca="false">IF(B2437="","",IFERROR(INDEX('CARNET DE SOUDURE'!$B$7:$B$3006,MATCH(B2437,'CARNET DE SOUDURE'!$L$7:$L$3006,0)),IFERROR(INDEX('CARNET DE SOUDURE'!$B$7:$B$3006,MATCH(B2437,'CARNET DE SOUDURE'!$O$7:$O$3006,0)),"")))</f>
        <v/>
      </c>
      <c r="J2437" s="82" t="str">
        <f aca="false">IF(B2437="","",IFERROR(INDEX('CARNET DE SOUDURE'!$E$7:$E$3006,MATCH(B2437,'CARNET DE SOUDURE'!$O$7:$O$3006,0)),""))</f>
        <v/>
      </c>
      <c r="K2437" s="82" t="str">
        <f aca="false">IF(B2437="","",IFERROR(INDEX('CARNET DE SOUDURE'!$E$7:$E$3006,MATCH(B2437,'CARNET DE SOUDURE'!$L$7:$L$3006,0)),""))</f>
        <v/>
      </c>
      <c r="L2437" s="82" t="str">
        <f aca="false">IF(B2437="","",IFERROR(INDEX('CARNET DE SOUDURE'!$D$7:$D$3006,MATCH(B2437,'CARNET DE SOUDURE'!$L$7:$L$3006,0)),IFERROR(INDEX('CARNET DE SOUDURE'!$D$7:$D$3006,MATCH(B2437,'CARNET DE SOUDURE'!$O$7:$O$3006,0)),"")))</f>
        <v/>
      </c>
      <c r="M2437" s="82" t="str">
        <f aca="false">IF(B2437="","",IF(OR(J2437&lt;&gt;"",K2437&lt;&gt;""),"POSÉ EN LIGNE",IF(COUNTIF(BARDAGE!$C$1:$C$5000,B2437)&gt;0,"BARDÉ","EN STOCK")))</f>
        <v/>
      </c>
      <c r="N2437" s="80"/>
    </row>
    <row r="2438" customFormat="false" ht="15" hidden="false" customHeight="false" outlineLevel="0" collapsed="false">
      <c r="A2438" s="82" t="str">
        <f aca="false">IF(B2438="","",ROW()-6)</f>
        <v/>
      </c>
      <c r="B2438" s="145"/>
      <c r="C2438" s="146"/>
      <c r="D2438" s="146"/>
      <c r="E2438" s="82" t="str">
        <f aca="false">IF(B2438="","",IF(COUNTIFS('CARNET DE SOUDURE'!$L$7:$L$3006,B2438,'CARNET DE SOUDURE'!$M$7:$M$3006,"&lt;&gt;"&amp;C2438,'CARNET DE SOUDURE'!$M$7:$M$3006,"&lt;&gt;")+COUNTIFS('CARNET DE SOUDURE'!$O$7:$O$3006,B2438,'CARNET DE SOUDURE'!$P$7:$P$3006,"&lt;&gt;"&amp;C2438,'CARNET DE SOUDURE'!$P$7:$P$3006,"&lt;&gt;")&gt;0,"⚠ DIFFÉRENTE","OK"))</f>
        <v/>
      </c>
      <c r="F2438" s="147"/>
      <c r="G2438" s="80"/>
      <c r="H2438" s="83"/>
      <c r="I2438" s="148" t="str">
        <f aca="false">IF(B2438="","",IFERROR(INDEX('CARNET DE SOUDURE'!$B$7:$B$3006,MATCH(B2438,'CARNET DE SOUDURE'!$L$7:$L$3006,0)),IFERROR(INDEX('CARNET DE SOUDURE'!$B$7:$B$3006,MATCH(B2438,'CARNET DE SOUDURE'!$O$7:$O$3006,0)),"")))</f>
        <v/>
      </c>
      <c r="J2438" s="82" t="str">
        <f aca="false">IF(B2438="","",IFERROR(INDEX('CARNET DE SOUDURE'!$E$7:$E$3006,MATCH(B2438,'CARNET DE SOUDURE'!$O$7:$O$3006,0)),""))</f>
        <v/>
      </c>
      <c r="K2438" s="82" t="str">
        <f aca="false">IF(B2438="","",IFERROR(INDEX('CARNET DE SOUDURE'!$E$7:$E$3006,MATCH(B2438,'CARNET DE SOUDURE'!$L$7:$L$3006,0)),""))</f>
        <v/>
      </c>
      <c r="L2438" s="82" t="str">
        <f aca="false">IF(B2438="","",IFERROR(INDEX('CARNET DE SOUDURE'!$D$7:$D$3006,MATCH(B2438,'CARNET DE SOUDURE'!$L$7:$L$3006,0)),IFERROR(INDEX('CARNET DE SOUDURE'!$D$7:$D$3006,MATCH(B2438,'CARNET DE SOUDURE'!$O$7:$O$3006,0)),"")))</f>
        <v/>
      </c>
      <c r="M2438" s="82" t="str">
        <f aca="false">IF(B2438="","",IF(OR(J2438&lt;&gt;"",K2438&lt;&gt;""),"POSÉ EN LIGNE",IF(COUNTIF(BARDAGE!$C$1:$C$5000,B2438)&gt;0,"BARDÉ","EN STOCK")))</f>
        <v/>
      </c>
      <c r="N2438" s="80"/>
    </row>
    <row r="2439" customFormat="false" ht="15" hidden="false" customHeight="false" outlineLevel="0" collapsed="false">
      <c r="A2439" s="82" t="str">
        <f aca="false">IF(B2439="","",ROW()-6)</f>
        <v/>
      </c>
      <c r="B2439" s="145"/>
      <c r="C2439" s="146"/>
      <c r="D2439" s="146"/>
      <c r="E2439" s="82" t="str">
        <f aca="false">IF(B2439="","",IF(COUNTIFS('CARNET DE SOUDURE'!$L$7:$L$3006,B2439,'CARNET DE SOUDURE'!$M$7:$M$3006,"&lt;&gt;"&amp;C2439,'CARNET DE SOUDURE'!$M$7:$M$3006,"&lt;&gt;")+COUNTIFS('CARNET DE SOUDURE'!$O$7:$O$3006,B2439,'CARNET DE SOUDURE'!$P$7:$P$3006,"&lt;&gt;"&amp;C2439,'CARNET DE SOUDURE'!$P$7:$P$3006,"&lt;&gt;")&gt;0,"⚠ DIFFÉRENTE","OK"))</f>
        <v/>
      </c>
      <c r="F2439" s="147"/>
      <c r="G2439" s="80"/>
      <c r="H2439" s="83"/>
      <c r="I2439" s="148" t="str">
        <f aca="false">IF(B2439="","",IFERROR(INDEX('CARNET DE SOUDURE'!$B$7:$B$3006,MATCH(B2439,'CARNET DE SOUDURE'!$L$7:$L$3006,0)),IFERROR(INDEX('CARNET DE SOUDURE'!$B$7:$B$3006,MATCH(B2439,'CARNET DE SOUDURE'!$O$7:$O$3006,0)),"")))</f>
        <v/>
      </c>
      <c r="J2439" s="82" t="str">
        <f aca="false">IF(B2439="","",IFERROR(INDEX('CARNET DE SOUDURE'!$E$7:$E$3006,MATCH(B2439,'CARNET DE SOUDURE'!$O$7:$O$3006,0)),""))</f>
        <v/>
      </c>
      <c r="K2439" s="82" t="str">
        <f aca="false">IF(B2439="","",IFERROR(INDEX('CARNET DE SOUDURE'!$E$7:$E$3006,MATCH(B2439,'CARNET DE SOUDURE'!$L$7:$L$3006,0)),""))</f>
        <v/>
      </c>
      <c r="L2439" s="82" t="str">
        <f aca="false">IF(B2439="","",IFERROR(INDEX('CARNET DE SOUDURE'!$D$7:$D$3006,MATCH(B2439,'CARNET DE SOUDURE'!$L$7:$L$3006,0)),IFERROR(INDEX('CARNET DE SOUDURE'!$D$7:$D$3006,MATCH(B2439,'CARNET DE SOUDURE'!$O$7:$O$3006,0)),"")))</f>
        <v/>
      </c>
      <c r="M2439" s="82" t="str">
        <f aca="false">IF(B2439="","",IF(OR(J2439&lt;&gt;"",K2439&lt;&gt;""),"POSÉ EN LIGNE",IF(COUNTIF(BARDAGE!$C$1:$C$5000,B2439)&gt;0,"BARDÉ","EN STOCK")))</f>
        <v/>
      </c>
      <c r="N2439" s="80"/>
    </row>
    <row r="2440" customFormat="false" ht="15" hidden="false" customHeight="false" outlineLevel="0" collapsed="false">
      <c r="A2440" s="82" t="str">
        <f aca="false">IF(B2440="","",ROW()-6)</f>
        <v/>
      </c>
      <c r="B2440" s="145"/>
      <c r="C2440" s="146"/>
      <c r="D2440" s="146"/>
      <c r="E2440" s="82" t="str">
        <f aca="false">IF(B2440="","",IF(COUNTIFS('CARNET DE SOUDURE'!$L$7:$L$3006,B2440,'CARNET DE SOUDURE'!$M$7:$M$3006,"&lt;&gt;"&amp;C2440,'CARNET DE SOUDURE'!$M$7:$M$3006,"&lt;&gt;")+COUNTIFS('CARNET DE SOUDURE'!$O$7:$O$3006,B2440,'CARNET DE SOUDURE'!$P$7:$P$3006,"&lt;&gt;"&amp;C2440,'CARNET DE SOUDURE'!$P$7:$P$3006,"&lt;&gt;")&gt;0,"⚠ DIFFÉRENTE","OK"))</f>
        <v/>
      </c>
      <c r="F2440" s="147"/>
      <c r="G2440" s="80"/>
      <c r="H2440" s="83"/>
      <c r="I2440" s="148" t="str">
        <f aca="false">IF(B2440="","",IFERROR(INDEX('CARNET DE SOUDURE'!$B$7:$B$3006,MATCH(B2440,'CARNET DE SOUDURE'!$L$7:$L$3006,0)),IFERROR(INDEX('CARNET DE SOUDURE'!$B$7:$B$3006,MATCH(B2440,'CARNET DE SOUDURE'!$O$7:$O$3006,0)),"")))</f>
        <v/>
      </c>
      <c r="J2440" s="82" t="str">
        <f aca="false">IF(B2440="","",IFERROR(INDEX('CARNET DE SOUDURE'!$E$7:$E$3006,MATCH(B2440,'CARNET DE SOUDURE'!$O$7:$O$3006,0)),""))</f>
        <v/>
      </c>
      <c r="K2440" s="82" t="str">
        <f aca="false">IF(B2440="","",IFERROR(INDEX('CARNET DE SOUDURE'!$E$7:$E$3006,MATCH(B2440,'CARNET DE SOUDURE'!$L$7:$L$3006,0)),""))</f>
        <v/>
      </c>
      <c r="L2440" s="82" t="str">
        <f aca="false">IF(B2440="","",IFERROR(INDEX('CARNET DE SOUDURE'!$D$7:$D$3006,MATCH(B2440,'CARNET DE SOUDURE'!$L$7:$L$3006,0)),IFERROR(INDEX('CARNET DE SOUDURE'!$D$7:$D$3006,MATCH(B2440,'CARNET DE SOUDURE'!$O$7:$O$3006,0)),"")))</f>
        <v/>
      </c>
      <c r="M2440" s="82" t="str">
        <f aca="false">IF(B2440="","",IF(OR(J2440&lt;&gt;"",K2440&lt;&gt;""),"POSÉ EN LIGNE",IF(COUNTIF(BARDAGE!$C$1:$C$5000,B2440)&gt;0,"BARDÉ","EN STOCK")))</f>
        <v/>
      </c>
      <c r="N2440" s="80"/>
    </row>
    <row r="2441" customFormat="false" ht="15" hidden="false" customHeight="false" outlineLevel="0" collapsed="false">
      <c r="A2441" s="82" t="str">
        <f aca="false">IF(B2441="","",ROW()-6)</f>
        <v/>
      </c>
      <c r="B2441" s="145"/>
      <c r="C2441" s="146"/>
      <c r="D2441" s="146"/>
      <c r="E2441" s="82" t="str">
        <f aca="false">IF(B2441="","",IF(COUNTIFS('CARNET DE SOUDURE'!$L$7:$L$3006,B2441,'CARNET DE SOUDURE'!$M$7:$M$3006,"&lt;&gt;"&amp;C2441,'CARNET DE SOUDURE'!$M$7:$M$3006,"&lt;&gt;")+COUNTIFS('CARNET DE SOUDURE'!$O$7:$O$3006,B2441,'CARNET DE SOUDURE'!$P$7:$P$3006,"&lt;&gt;"&amp;C2441,'CARNET DE SOUDURE'!$P$7:$P$3006,"&lt;&gt;")&gt;0,"⚠ DIFFÉRENTE","OK"))</f>
        <v/>
      </c>
      <c r="F2441" s="147"/>
      <c r="G2441" s="80"/>
      <c r="H2441" s="83"/>
      <c r="I2441" s="148" t="str">
        <f aca="false">IF(B2441="","",IFERROR(INDEX('CARNET DE SOUDURE'!$B$7:$B$3006,MATCH(B2441,'CARNET DE SOUDURE'!$L$7:$L$3006,0)),IFERROR(INDEX('CARNET DE SOUDURE'!$B$7:$B$3006,MATCH(B2441,'CARNET DE SOUDURE'!$O$7:$O$3006,0)),"")))</f>
        <v/>
      </c>
      <c r="J2441" s="82" t="str">
        <f aca="false">IF(B2441="","",IFERROR(INDEX('CARNET DE SOUDURE'!$E$7:$E$3006,MATCH(B2441,'CARNET DE SOUDURE'!$O$7:$O$3006,0)),""))</f>
        <v/>
      </c>
      <c r="K2441" s="82" t="str">
        <f aca="false">IF(B2441="","",IFERROR(INDEX('CARNET DE SOUDURE'!$E$7:$E$3006,MATCH(B2441,'CARNET DE SOUDURE'!$L$7:$L$3006,0)),""))</f>
        <v/>
      </c>
      <c r="L2441" s="82" t="str">
        <f aca="false">IF(B2441="","",IFERROR(INDEX('CARNET DE SOUDURE'!$D$7:$D$3006,MATCH(B2441,'CARNET DE SOUDURE'!$L$7:$L$3006,0)),IFERROR(INDEX('CARNET DE SOUDURE'!$D$7:$D$3006,MATCH(B2441,'CARNET DE SOUDURE'!$O$7:$O$3006,0)),"")))</f>
        <v/>
      </c>
      <c r="M2441" s="82" t="str">
        <f aca="false">IF(B2441="","",IF(OR(J2441&lt;&gt;"",K2441&lt;&gt;""),"POSÉ EN LIGNE",IF(COUNTIF(BARDAGE!$C$1:$C$5000,B2441)&gt;0,"BARDÉ","EN STOCK")))</f>
        <v/>
      </c>
      <c r="N2441" s="80"/>
    </row>
    <row r="2442" customFormat="false" ht="15" hidden="false" customHeight="false" outlineLevel="0" collapsed="false">
      <c r="A2442" s="82" t="str">
        <f aca="false">IF(B2442="","",ROW()-6)</f>
        <v/>
      </c>
      <c r="B2442" s="145"/>
      <c r="C2442" s="146"/>
      <c r="D2442" s="146"/>
      <c r="E2442" s="82" t="str">
        <f aca="false">IF(B2442="","",IF(COUNTIFS('CARNET DE SOUDURE'!$L$7:$L$3006,B2442,'CARNET DE SOUDURE'!$M$7:$M$3006,"&lt;&gt;"&amp;C2442,'CARNET DE SOUDURE'!$M$7:$M$3006,"&lt;&gt;")+COUNTIFS('CARNET DE SOUDURE'!$O$7:$O$3006,B2442,'CARNET DE SOUDURE'!$P$7:$P$3006,"&lt;&gt;"&amp;C2442,'CARNET DE SOUDURE'!$P$7:$P$3006,"&lt;&gt;")&gt;0,"⚠ DIFFÉRENTE","OK"))</f>
        <v/>
      </c>
      <c r="F2442" s="147"/>
      <c r="G2442" s="80"/>
      <c r="H2442" s="83"/>
      <c r="I2442" s="148" t="str">
        <f aca="false">IF(B2442="","",IFERROR(INDEX('CARNET DE SOUDURE'!$B$7:$B$3006,MATCH(B2442,'CARNET DE SOUDURE'!$L$7:$L$3006,0)),IFERROR(INDEX('CARNET DE SOUDURE'!$B$7:$B$3006,MATCH(B2442,'CARNET DE SOUDURE'!$O$7:$O$3006,0)),"")))</f>
        <v/>
      </c>
      <c r="J2442" s="82" t="str">
        <f aca="false">IF(B2442="","",IFERROR(INDEX('CARNET DE SOUDURE'!$E$7:$E$3006,MATCH(B2442,'CARNET DE SOUDURE'!$O$7:$O$3006,0)),""))</f>
        <v/>
      </c>
      <c r="K2442" s="82" t="str">
        <f aca="false">IF(B2442="","",IFERROR(INDEX('CARNET DE SOUDURE'!$E$7:$E$3006,MATCH(B2442,'CARNET DE SOUDURE'!$L$7:$L$3006,0)),""))</f>
        <v/>
      </c>
      <c r="L2442" s="82" t="str">
        <f aca="false">IF(B2442="","",IFERROR(INDEX('CARNET DE SOUDURE'!$D$7:$D$3006,MATCH(B2442,'CARNET DE SOUDURE'!$L$7:$L$3006,0)),IFERROR(INDEX('CARNET DE SOUDURE'!$D$7:$D$3006,MATCH(B2442,'CARNET DE SOUDURE'!$O$7:$O$3006,0)),"")))</f>
        <v/>
      </c>
      <c r="M2442" s="82" t="str">
        <f aca="false">IF(B2442="","",IF(OR(J2442&lt;&gt;"",K2442&lt;&gt;""),"POSÉ EN LIGNE",IF(COUNTIF(BARDAGE!$C$1:$C$5000,B2442)&gt;0,"BARDÉ","EN STOCK")))</f>
        <v/>
      </c>
      <c r="N2442" s="80"/>
    </row>
    <row r="2443" customFormat="false" ht="15" hidden="false" customHeight="false" outlineLevel="0" collapsed="false">
      <c r="A2443" s="82" t="str">
        <f aca="false">IF(B2443="","",ROW()-6)</f>
        <v/>
      </c>
      <c r="B2443" s="145"/>
      <c r="C2443" s="146"/>
      <c r="D2443" s="146"/>
      <c r="E2443" s="82" t="str">
        <f aca="false">IF(B2443="","",IF(COUNTIFS('CARNET DE SOUDURE'!$L$7:$L$3006,B2443,'CARNET DE SOUDURE'!$M$7:$M$3006,"&lt;&gt;"&amp;C2443,'CARNET DE SOUDURE'!$M$7:$M$3006,"&lt;&gt;")+COUNTIFS('CARNET DE SOUDURE'!$O$7:$O$3006,B2443,'CARNET DE SOUDURE'!$P$7:$P$3006,"&lt;&gt;"&amp;C2443,'CARNET DE SOUDURE'!$P$7:$P$3006,"&lt;&gt;")&gt;0,"⚠ DIFFÉRENTE","OK"))</f>
        <v/>
      </c>
      <c r="F2443" s="147"/>
      <c r="G2443" s="80"/>
      <c r="H2443" s="83"/>
      <c r="I2443" s="148" t="str">
        <f aca="false">IF(B2443="","",IFERROR(INDEX('CARNET DE SOUDURE'!$B$7:$B$3006,MATCH(B2443,'CARNET DE SOUDURE'!$L$7:$L$3006,0)),IFERROR(INDEX('CARNET DE SOUDURE'!$B$7:$B$3006,MATCH(B2443,'CARNET DE SOUDURE'!$O$7:$O$3006,0)),"")))</f>
        <v/>
      </c>
      <c r="J2443" s="82" t="str">
        <f aca="false">IF(B2443="","",IFERROR(INDEX('CARNET DE SOUDURE'!$E$7:$E$3006,MATCH(B2443,'CARNET DE SOUDURE'!$O$7:$O$3006,0)),""))</f>
        <v/>
      </c>
      <c r="K2443" s="82" t="str">
        <f aca="false">IF(B2443="","",IFERROR(INDEX('CARNET DE SOUDURE'!$E$7:$E$3006,MATCH(B2443,'CARNET DE SOUDURE'!$L$7:$L$3006,0)),""))</f>
        <v/>
      </c>
      <c r="L2443" s="82" t="str">
        <f aca="false">IF(B2443="","",IFERROR(INDEX('CARNET DE SOUDURE'!$D$7:$D$3006,MATCH(B2443,'CARNET DE SOUDURE'!$L$7:$L$3006,0)),IFERROR(INDEX('CARNET DE SOUDURE'!$D$7:$D$3006,MATCH(B2443,'CARNET DE SOUDURE'!$O$7:$O$3006,0)),"")))</f>
        <v/>
      </c>
      <c r="M2443" s="82" t="str">
        <f aca="false">IF(B2443="","",IF(OR(J2443&lt;&gt;"",K2443&lt;&gt;""),"POSÉ EN LIGNE",IF(COUNTIF(BARDAGE!$C$1:$C$5000,B2443)&gt;0,"BARDÉ","EN STOCK")))</f>
        <v/>
      </c>
      <c r="N2443" s="80"/>
    </row>
    <row r="2444" customFormat="false" ht="15" hidden="false" customHeight="false" outlineLevel="0" collapsed="false">
      <c r="A2444" s="82" t="str">
        <f aca="false">IF(B2444="","",ROW()-6)</f>
        <v/>
      </c>
      <c r="B2444" s="145"/>
      <c r="C2444" s="146"/>
      <c r="D2444" s="146"/>
      <c r="E2444" s="82" t="str">
        <f aca="false">IF(B2444="","",IF(COUNTIFS('CARNET DE SOUDURE'!$L$7:$L$3006,B2444,'CARNET DE SOUDURE'!$M$7:$M$3006,"&lt;&gt;"&amp;C2444,'CARNET DE SOUDURE'!$M$7:$M$3006,"&lt;&gt;")+COUNTIFS('CARNET DE SOUDURE'!$O$7:$O$3006,B2444,'CARNET DE SOUDURE'!$P$7:$P$3006,"&lt;&gt;"&amp;C2444,'CARNET DE SOUDURE'!$P$7:$P$3006,"&lt;&gt;")&gt;0,"⚠ DIFFÉRENTE","OK"))</f>
        <v/>
      </c>
      <c r="F2444" s="147"/>
      <c r="G2444" s="80"/>
      <c r="H2444" s="83"/>
      <c r="I2444" s="148" t="str">
        <f aca="false">IF(B2444="","",IFERROR(INDEX('CARNET DE SOUDURE'!$B$7:$B$3006,MATCH(B2444,'CARNET DE SOUDURE'!$L$7:$L$3006,0)),IFERROR(INDEX('CARNET DE SOUDURE'!$B$7:$B$3006,MATCH(B2444,'CARNET DE SOUDURE'!$O$7:$O$3006,0)),"")))</f>
        <v/>
      </c>
      <c r="J2444" s="82" t="str">
        <f aca="false">IF(B2444="","",IFERROR(INDEX('CARNET DE SOUDURE'!$E$7:$E$3006,MATCH(B2444,'CARNET DE SOUDURE'!$O$7:$O$3006,0)),""))</f>
        <v/>
      </c>
      <c r="K2444" s="82" t="str">
        <f aca="false">IF(B2444="","",IFERROR(INDEX('CARNET DE SOUDURE'!$E$7:$E$3006,MATCH(B2444,'CARNET DE SOUDURE'!$L$7:$L$3006,0)),""))</f>
        <v/>
      </c>
      <c r="L2444" s="82" t="str">
        <f aca="false">IF(B2444="","",IFERROR(INDEX('CARNET DE SOUDURE'!$D$7:$D$3006,MATCH(B2444,'CARNET DE SOUDURE'!$L$7:$L$3006,0)),IFERROR(INDEX('CARNET DE SOUDURE'!$D$7:$D$3006,MATCH(B2444,'CARNET DE SOUDURE'!$O$7:$O$3006,0)),"")))</f>
        <v/>
      </c>
      <c r="M2444" s="82" t="str">
        <f aca="false">IF(B2444="","",IF(OR(J2444&lt;&gt;"",K2444&lt;&gt;""),"POSÉ EN LIGNE",IF(COUNTIF(BARDAGE!$C$1:$C$5000,B2444)&gt;0,"BARDÉ","EN STOCK")))</f>
        <v/>
      </c>
      <c r="N2444" s="80"/>
    </row>
    <row r="2445" customFormat="false" ht="15" hidden="false" customHeight="false" outlineLevel="0" collapsed="false">
      <c r="A2445" s="82" t="str">
        <f aca="false">IF(B2445="","",ROW()-6)</f>
        <v/>
      </c>
      <c r="B2445" s="145"/>
      <c r="C2445" s="146"/>
      <c r="D2445" s="146"/>
      <c r="E2445" s="82" t="str">
        <f aca="false">IF(B2445="","",IF(COUNTIFS('CARNET DE SOUDURE'!$L$7:$L$3006,B2445,'CARNET DE SOUDURE'!$M$7:$M$3006,"&lt;&gt;"&amp;C2445,'CARNET DE SOUDURE'!$M$7:$M$3006,"&lt;&gt;")+COUNTIFS('CARNET DE SOUDURE'!$O$7:$O$3006,B2445,'CARNET DE SOUDURE'!$P$7:$P$3006,"&lt;&gt;"&amp;C2445,'CARNET DE SOUDURE'!$P$7:$P$3006,"&lt;&gt;")&gt;0,"⚠ DIFFÉRENTE","OK"))</f>
        <v/>
      </c>
      <c r="F2445" s="147"/>
      <c r="G2445" s="80"/>
      <c r="H2445" s="83"/>
      <c r="I2445" s="148" t="str">
        <f aca="false">IF(B2445="","",IFERROR(INDEX('CARNET DE SOUDURE'!$B$7:$B$3006,MATCH(B2445,'CARNET DE SOUDURE'!$L$7:$L$3006,0)),IFERROR(INDEX('CARNET DE SOUDURE'!$B$7:$B$3006,MATCH(B2445,'CARNET DE SOUDURE'!$O$7:$O$3006,0)),"")))</f>
        <v/>
      </c>
      <c r="J2445" s="82" t="str">
        <f aca="false">IF(B2445="","",IFERROR(INDEX('CARNET DE SOUDURE'!$E$7:$E$3006,MATCH(B2445,'CARNET DE SOUDURE'!$O$7:$O$3006,0)),""))</f>
        <v/>
      </c>
      <c r="K2445" s="82" t="str">
        <f aca="false">IF(B2445="","",IFERROR(INDEX('CARNET DE SOUDURE'!$E$7:$E$3006,MATCH(B2445,'CARNET DE SOUDURE'!$L$7:$L$3006,0)),""))</f>
        <v/>
      </c>
      <c r="L2445" s="82" t="str">
        <f aca="false">IF(B2445="","",IFERROR(INDEX('CARNET DE SOUDURE'!$D$7:$D$3006,MATCH(B2445,'CARNET DE SOUDURE'!$L$7:$L$3006,0)),IFERROR(INDEX('CARNET DE SOUDURE'!$D$7:$D$3006,MATCH(B2445,'CARNET DE SOUDURE'!$O$7:$O$3006,0)),"")))</f>
        <v/>
      </c>
      <c r="M2445" s="82" t="str">
        <f aca="false">IF(B2445="","",IF(OR(J2445&lt;&gt;"",K2445&lt;&gt;""),"POSÉ EN LIGNE",IF(COUNTIF(BARDAGE!$C$1:$C$5000,B2445)&gt;0,"BARDÉ","EN STOCK")))</f>
        <v/>
      </c>
      <c r="N2445" s="80"/>
    </row>
    <row r="2446" customFormat="false" ht="15" hidden="false" customHeight="false" outlineLevel="0" collapsed="false">
      <c r="A2446" s="82" t="str">
        <f aca="false">IF(B2446="","",ROW()-6)</f>
        <v/>
      </c>
      <c r="B2446" s="145"/>
      <c r="C2446" s="146"/>
      <c r="D2446" s="146"/>
      <c r="E2446" s="82" t="str">
        <f aca="false">IF(B2446="","",IF(COUNTIFS('CARNET DE SOUDURE'!$L$7:$L$3006,B2446,'CARNET DE SOUDURE'!$M$7:$M$3006,"&lt;&gt;"&amp;C2446,'CARNET DE SOUDURE'!$M$7:$M$3006,"&lt;&gt;")+COUNTIFS('CARNET DE SOUDURE'!$O$7:$O$3006,B2446,'CARNET DE SOUDURE'!$P$7:$P$3006,"&lt;&gt;"&amp;C2446,'CARNET DE SOUDURE'!$P$7:$P$3006,"&lt;&gt;")&gt;0,"⚠ DIFFÉRENTE","OK"))</f>
        <v/>
      </c>
      <c r="F2446" s="147"/>
      <c r="G2446" s="80"/>
      <c r="H2446" s="83"/>
      <c r="I2446" s="148" t="str">
        <f aca="false">IF(B2446="","",IFERROR(INDEX('CARNET DE SOUDURE'!$B$7:$B$3006,MATCH(B2446,'CARNET DE SOUDURE'!$L$7:$L$3006,0)),IFERROR(INDEX('CARNET DE SOUDURE'!$B$7:$B$3006,MATCH(B2446,'CARNET DE SOUDURE'!$O$7:$O$3006,0)),"")))</f>
        <v/>
      </c>
      <c r="J2446" s="82" t="str">
        <f aca="false">IF(B2446="","",IFERROR(INDEX('CARNET DE SOUDURE'!$E$7:$E$3006,MATCH(B2446,'CARNET DE SOUDURE'!$O$7:$O$3006,0)),""))</f>
        <v/>
      </c>
      <c r="K2446" s="82" t="str">
        <f aca="false">IF(B2446="","",IFERROR(INDEX('CARNET DE SOUDURE'!$E$7:$E$3006,MATCH(B2446,'CARNET DE SOUDURE'!$L$7:$L$3006,0)),""))</f>
        <v/>
      </c>
      <c r="L2446" s="82" t="str">
        <f aca="false">IF(B2446="","",IFERROR(INDEX('CARNET DE SOUDURE'!$D$7:$D$3006,MATCH(B2446,'CARNET DE SOUDURE'!$L$7:$L$3006,0)),IFERROR(INDEX('CARNET DE SOUDURE'!$D$7:$D$3006,MATCH(B2446,'CARNET DE SOUDURE'!$O$7:$O$3006,0)),"")))</f>
        <v/>
      </c>
      <c r="M2446" s="82" t="str">
        <f aca="false">IF(B2446="","",IF(OR(J2446&lt;&gt;"",K2446&lt;&gt;""),"POSÉ EN LIGNE",IF(COUNTIF(BARDAGE!$C$1:$C$5000,B2446)&gt;0,"BARDÉ","EN STOCK")))</f>
        <v/>
      </c>
      <c r="N2446" s="80"/>
    </row>
    <row r="2447" customFormat="false" ht="15" hidden="false" customHeight="false" outlineLevel="0" collapsed="false">
      <c r="A2447" s="82" t="str">
        <f aca="false">IF(B2447="","",ROW()-6)</f>
        <v/>
      </c>
      <c r="B2447" s="145"/>
      <c r="C2447" s="146"/>
      <c r="D2447" s="146"/>
      <c r="E2447" s="82" t="str">
        <f aca="false">IF(B2447="","",IF(COUNTIFS('CARNET DE SOUDURE'!$L$7:$L$3006,B2447,'CARNET DE SOUDURE'!$M$7:$M$3006,"&lt;&gt;"&amp;C2447,'CARNET DE SOUDURE'!$M$7:$M$3006,"&lt;&gt;")+COUNTIFS('CARNET DE SOUDURE'!$O$7:$O$3006,B2447,'CARNET DE SOUDURE'!$P$7:$P$3006,"&lt;&gt;"&amp;C2447,'CARNET DE SOUDURE'!$P$7:$P$3006,"&lt;&gt;")&gt;0,"⚠ DIFFÉRENTE","OK"))</f>
        <v/>
      </c>
      <c r="F2447" s="147"/>
      <c r="G2447" s="80"/>
      <c r="H2447" s="83"/>
      <c r="I2447" s="148" t="str">
        <f aca="false">IF(B2447="","",IFERROR(INDEX('CARNET DE SOUDURE'!$B$7:$B$3006,MATCH(B2447,'CARNET DE SOUDURE'!$L$7:$L$3006,0)),IFERROR(INDEX('CARNET DE SOUDURE'!$B$7:$B$3006,MATCH(B2447,'CARNET DE SOUDURE'!$O$7:$O$3006,0)),"")))</f>
        <v/>
      </c>
      <c r="J2447" s="82" t="str">
        <f aca="false">IF(B2447="","",IFERROR(INDEX('CARNET DE SOUDURE'!$E$7:$E$3006,MATCH(B2447,'CARNET DE SOUDURE'!$O$7:$O$3006,0)),""))</f>
        <v/>
      </c>
      <c r="K2447" s="82" t="str">
        <f aca="false">IF(B2447="","",IFERROR(INDEX('CARNET DE SOUDURE'!$E$7:$E$3006,MATCH(B2447,'CARNET DE SOUDURE'!$L$7:$L$3006,0)),""))</f>
        <v/>
      </c>
      <c r="L2447" s="82" t="str">
        <f aca="false">IF(B2447="","",IFERROR(INDEX('CARNET DE SOUDURE'!$D$7:$D$3006,MATCH(B2447,'CARNET DE SOUDURE'!$L$7:$L$3006,0)),IFERROR(INDEX('CARNET DE SOUDURE'!$D$7:$D$3006,MATCH(B2447,'CARNET DE SOUDURE'!$O$7:$O$3006,0)),"")))</f>
        <v/>
      </c>
      <c r="M2447" s="82" t="str">
        <f aca="false">IF(B2447="","",IF(OR(J2447&lt;&gt;"",K2447&lt;&gt;""),"POSÉ EN LIGNE",IF(COUNTIF(BARDAGE!$C$1:$C$5000,B2447)&gt;0,"BARDÉ","EN STOCK")))</f>
        <v/>
      </c>
      <c r="N2447" s="80"/>
    </row>
    <row r="2448" customFormat="false" ht="15" hidden="false" customHeight="false" outlineLevel="0" collapsed="false">
      <c r="A2448" s="82" t="str">
        <f aca="false">IF(B2448="","",ROW()-6)</f>
        <v/>
      </c>
      <c r="B2448" s="145"/>
      <c r="C2448" s="146"/>
      <c r="D2448" s="146"/>
      <c r="E2448" s="82" t="str">
        <f aca="false">IF(B2448="","",IF(COUNTIFS('CARNET DE SOUDURE'!$L$7:$L$3006,B2448,'CARNET DE SOUDURE'!$M$7:$M$3006,"&lt;&gt;"&amp;C2448,'CARNET DE SOUDURE'!$M$7:$M$3006,"&lt;&gt;")+COUNTIFS('CARNET DE SOUDURE'!$O$7:$O$3006,B2448,'CARNET DE SOUDURE'!$P$7:$P$3006,"&lt;&gt;"&amp;C2448,'CARNET DE SOUDURE'!$P$7:$P$3006,"&lt;&gt;")&gt;0,"⚠ DIFFÉRENTE","OK"))</f>
        <v/>
      </c>
      <c r="F2448" s="147"/>
      <c r="G2448" s="80"/>
      <c r="H2448" s="83"/>
      <c r="I2448" s="148" t="str">
        <f aca="false">IF(B2448="","",IFERROR(INDEX('CARNET DE SOUDURE'!$B$7:$B$3006,MATCH(B2448,'CARNET DE SOUDURE'!$L$7:$L$3006,0)),IFERROR(INDEX('CARNET DE SOUDURE'!$B$7:$B$3006,MATCH(B2448,'CARNET DE SOUDURE'!$O$7:$O$3006,0)),"")))</f>
        <v/>
      </c>
      <c r="J2448" s="82" t="str">
        <f aca="false">IF(B2448="","",IFERROR(INDEX('CARNET DE SOUDURE'!$E$7:$E$3006,MATCH(B2448,'CARNET DE SOUDURE'!$O$7:$O$3006,0)),""))</f>
        <v/>
      </c>
      <c r="K2448" s="82" t="str">
        <f aca="false">IF(B2448="","",IFERROR(INDEX('CARNET DE SOUDURE'!$E$7:$E$3006,MATCH(B2448,'CARNET DE SOUDURE'!$L$7:$L$3006,0)),""))</f>
        <v/>
      </c>
      <c r="L2448" s="82" t="str">
        <f aca="false">IF(B2448="","",IFERROR(INDEX('CARNET DE SOUDURE'!$D$7:$D$3006,MATCH(B2448,'CARNET DE SOUDURE'!$L$7:$L$3006,0)),IFERROR(INDEX('CARNET DE SOUDURE'!$D$7:$D$3006,MATCH(B2448,'CARNET DE SOUDURE'!$O$7:$O$3006,0)),"")))</f>
        <v/>
      </c>
      <c r="M2448" s="82" t="str">
        <f aca="false">IF(B2448="","",IF(OR(J2448&lt;&gt;"",K2448&lt;&gt;""),"POSÉ EN LIGNE",IF(COUNTIF(BARDAGE!$C$1:$C$5000,B2448)&gt;0,"BARDÉ","EN STOCK")))</f>
        <v/>
      </c>
      <c r="N2448" s="80"/>
    </row>
    <row r="2449" customFormat="false" ht="15" hidden="false" customHeight="false" outlineLevel="0" collapsed="false">
      <c r="A2449" s="82" t="str">
        <f aca="false">IF(B2449="","",ROW()-6)</f>
        <v/>
      </c>
      <c r="B2449" s="145"/>
      <c r="C2449" s="146"/>
      <c r="D2449" s="146"/>
      <c r="E2449" s="82" t="str">
        <f aca="false">IF(B2449="","",IF(COUNTIFS('CARNET DE SOUDURE'!$L$7:$L$3006,B2449,'CARNET DE SOUDURE'!$M$7:$M$3006,"&lt;&gt;"&amp;C2449,'CARNET DE SOUDURE'!$M$7:$M$3006,"&lt;&gt;")+COUNTIFS('CARNET DE SOUDURE'!$O$7:$O$3006,B2449,'CARNET DE SOUDURE'!$P$7:$P$3006,"&lt;&gt;"&amp;C2449,'CARNET DE SOUDURE'!$P$7:$P$3006,"&lt;&gt;")&gt;0,"⚠ DIFFÉRENTE","OK"))</f>
        <v/>
      </c>
      <c r="F2449" s="147"/>
      <c r="G2449" s="80"/>
      <c r="H2449" s="83"/>
      <c r="I2449" s="148" t="str">
        <f aca="false">IF(B2449="","",IFERROR(INDEX('CARNET DE SOUDURE'!$B$7:$B$3006,MATCH(B2449,'CARNET DE SOUDURE'!$L$7:$L$3006,0)),IFERROR(INDEX('CARNET DE SOUDURE'!$B$7:$B$3006,MATCH(B2449,'CARNET DE SOUDURE'!$O$7:$O$3006,0)),"")))</f>
        <v/>
      </c>
      <c r="J2449" s="82" t="str">
        <f aca="false">IF(B2449="","",IFERROR(INDEX('CARNET DE SOUDURE'!$E$7:$E$3006,MATCH(B2449,'CARNET DE SOUDURE'!$O$7:$O$3006,0)),""))</f>
        <v/>
      </c>
      <c r="K2449" s="82" t="str">
        <f aca="false">IF(B2449="","",IFERROR(INDEX('CARNET DE SOUDURE'!$E$7:$E$3006,MATCH(B2449,'CARNET DE SOUDURE'!$L$7:$L$3006,0)),""))</f>
        <v/>
      </c>
      <c r="L2449" s="82" t="str">
        <f aca="false">IF(B2449="","",IFERROR(INDEX('CARNET DE SOUDURE'!$D$7:$D$3006,MATCH(B2449,'CARNET DE SOUDURE'!$L$7:$L$3006,0)),IFERROR(INDEX('CARNET DE SOUDURE'!$D$7:$D$3006,MATCH(B2449,'CARNET DE SOUDURE'!$O$7:$O$3006,0)),"")))</f>
        <v/>
      </c>
      <c r="M2449" s="82" t="str">
        <f aca="false">IF(B2449="","",IF(OR(J2449&lt;&gt;"",K2449&lt;&gt;""),"POSÉ EN LIGNE",IF(COUNTIF(BARDAGE!$C$1:$C$5000,B2449)&gt;0,"BARDÉ","EN STOCK")))</f>
        <v/>
      </c>
      <c r="N2449" s="80"/>
    </row>
    <row r="2450" customFormat="false" ht="15" hidden="false" customHeight="false" outlineLevel="0" collapsed="false">
      <c r="A2450" s="82" t="str">
        <f aca="false">IF(B2450="","",ROW()-6)</f>
        <v/>
      </c>
      <c r="B2450" s="145"/>
      <c r="C2450" s="146"/>
      <c r="D2450" s="146"/>
      <c r="E2450" s="82" t="str">
        <f aca="false">IF(B2450="","",IF(COUNTIFS('CARNET DE SOUDURE'!$L$7:$L$3006,B2450,'CARNET DE SOUDURE'!$M$7:$M$3006,"&lt;&gt;"&amp;C2450,'CARNET DE SOUDURE'!$M$7:$M$3006,"&lt;&gt;")+COUNTIFS('CARNET DE SOUDURE'!$O$7:$O$3006,B2450,'CARNET DE SOUDURE'!$P$7:$P$3006,"&lt;&gt;"&amp;C2450,'CARNET DE SOUDURE'!$P$7:$P$3006,"&lt;&gt;")&gt;0,"⚠ DIFFÉRENTE","OK"))</f>
        <v/>
      </c>
      <c r="F2450" s="147"/>
      <c r="G2450" s="80"/>
      <c r="H2450" s="83"/>
      <c r="I2450" s="148" t="str">
        <f aca="false">IF(B2450="","",IFERROR(INDEX('CARNET DE SOUDURE'!$B$7:$B$3006,MATCH(B2450,'CARNET DE SOUDURE'!$L$7:$L$3006,0)),IFERROR(INDEX('CARNET DE SOUDURE'!$B$7:$B$3006,MATCH(B2450,'CARNET DE SOUDURE'!$O$7:$O$3006,0)),"")))</f>
        <v/>
      </c>
      <c r="J2450" s="82" t="str">
        <f aca="false">IF(B2450="","",IFERROR(INDEX('CARNET DE SOUDURE'!$E$7:$E$3006,MATCH(B2450,'CARNET DE SOUDURE'!$O$7:$O$3006,0)),""))</f>
        <v/>
      </c>
      <c r="K2450" s="82" t="str">
        <f aca="false">IF(B2450="","",IFERROR(INDEX('CARNET DE SOUDURE'!$E$7:$E$3006,MATCH(B2450,'CARNET DE SOUDURE'!$L$7:$L$3006,0)),""))</f>
        <v/>
      </c>
      <c r="L2450" s="82" t="str">
        <f aca="false">IF(B2450="","",IFERROR(INDEX('CARNET DE SOUDURE'!$D$7:$D$3006,MATCH(B2450,'CARNET DE SOUDURE'!$L$7:$L$3006,0)),IFERROR(INDEX('CARNET DE SOUDURE'!$D$7:$D$3006,MATCH(B2450,'CARNET DE SOUDURE'!$O$7:$O$3006,0)),"")))</f>
        <v/>
      </c>
      <c r="M2450" s="82" t="str">
        <f aca="false">IF(B2450="","",IF(OR(J2450&lt;&gt;"",K2450&lt;&gt;""),"POSÉ EN LIGNE",IF(COUNTIF(BARDAGE!$C$1:$C$5000,B2450)&gt;0,"BARDÉ","EN STOCK")))</f>
        <v/>
      </c>
      <c r="N2450" s="80"/>
    </row>
    <row r="2451" customFormat="false" ht="15" hidden="false" customHeight="false" outlineLevel="0" collapsed="false">
      <c r="A2451" s="82" t="str">
        <f aca="false">IF(B2451="","",ROW()-6)</f>
        <v/>
      </c>
      <c r="B2451" s="145"/>
      <c r="C2451" s="146"/>
      <c r="D2451" s="146"/>
      <c r="E2451" s="82" t="str">
        <f aca="false">IF(B2451="","",IF(COUNTIFS('CARNET DE SOUDURE'!$L$7:$L$3006,B2451,'CARNET DE SOUDURE'!$M$7:$M$3006,"&lt;&gt;"&amp;C2451,'CARNET DE SOUDURE'!$M$7:$M$3006,"&lt;&gt;")+COUNTIFS('CARNET DE SOUDURE'!$O$7:$O$3006,B2451,'CARNET DE SOUDURE'!$P$7:$P$3006,"&lt;&gt;"&amp;C2451,'CARNET DE SOUDURE'!$P$7:$P$3006,"&lt;&gt;")&gt;0,"⚠ DIFFÉRENTE","OK"))</f>
        <v/>
      </c>
      <c r="F2451" s="147"/>
      <c r="G2451" s="80"/>
      <c r="H2451" s="83"/>
      <c r="I2451" s="148" t="str">
        <f aca="false">IF(B2451="","",IFERROR(INDEX('CARNET DE SOUDURE'!$B$7:$B$3006,MATCH(B2451,'CARNET DE SOUDURE'!$L$7:$L$3006,0)),IFERROR(INDEX('CARNET DE SOUDURE'!$B$7:$B$3006,MATCH(B2451,'CARNET DE SOUDURE'!$O$7:$O$3006,0)),"")))</f>
        <v/>
      </c>
      <c r="J2451" s="82" t="str">
        <f aca="false">IF(B2451="","",IFERROR(INDEX('CARNET DE SOUDURE'!$E$7:$E$3006,MATCH(B2451,'CARNET DE SOUDURE'!$O$7:$O$3006,0)),""))</f>
        <v/>
      </c>
      <c r="K2451" s="82" t="str">
        <f aca="false">IF(B2451="","",IFERROR(INDEX('CARNET DE SOUDURE'!$E$7:$E$3006,MATCH(B2451,'CARNET DE SOUDURE'!$L$7:$L$3006,0)),""))</f>
        <v/>
      </c>
      <c r="L2451" s="82" t="str">
        <f aca="false">IF(B2451="","",IFERROR(INDEX('CARNET DE SOUDURE'!$D$7:$D$3006,MATCH(B2451,'CARNET DE SOUDURE'!$L$7:$L$3006,0)),IFERROR(INDEX('CARNET DE SOUDURE'!$D$7:$D$3006,MATCH(B2451,'CARNET DE SOUDURE'!$O$7:$O$3006,0)),"")))</f>
        <v/>
      </c>
      <c r="M2451" s="82" t="str">
        <f aca="false">IF(B2451="","",IF(OR(J2451&lt;&gt;"",K2451&lt;&gt;""),"POSÉ EN LIGNE",IF(COUNTIF(BARDAGE!$C$1:$C$5000,B2451)&gt;0,"BARDÉ","EN STOCK")))</f>
        <v/>
      </c>
      <c r="N2451" s="80"/>
    </row>
    <row r="2452" customFormat="false" ht="15" hidden="false" customHeight="false" outlineLevel="0" collapsed="false">
      <c r="A2452" s="82" t="str">
        <f aca="false">IF(B2452="","",ROW()-6)</f>
        <v/>
      </c>
      <c r="B2452" s="145"/>
      <c r="C2452" s="146"/>
      <c r="D2452" s="146"/>
      <c r="E2452" s="82" t="str">
        <f aca="false">IF(B2452="","",IF(COUNTIFS('CARNET DE SOUDURE'!$L$7:$L$3006,B2452,'CARNET DE SOUDURE'!$M$7:$M$3006,"&lt;&gt;"&amp;C2452,'CARNET DE SOUDURE'!$M$7:$M$3006,"&lt;&gt;")+COUNTIFS('CARNET DE SOUDURE'!$O$7:$O$3006,B2452,'CARNET DE SOUDURE'!$P$7:$P$3006,"&lt;&gt;"&amp;C2452,'CARNET DE SOUDURE'!$P$7:$P$3006,"&lt;&gt;")&gt;0,"⚠ DIFFÉRENTE","OK"))</f>
        <v/>
      </c>
      <c r="F2452" s="147"/>
      <c r="G2452" s="80"/>
      <c r="H2452" s="83"/>
      <c r="I2452" s="148" t="str">
        <f aca="false">IF(B2452="","",IFERROR(INDEX('CARNET DE SOUDURE'!$B$7:$B$3006,MATCH(B2452,'CARNET DE SOUDURE'!$L$7:$L$3006,0)),IFERROR(INDEX('CARNET DE SOUDURE'!$B$7:$B$3006,MATCH(B2452,'CARNET DE SOUDURE'!$O$7:$O$3006,0)),"")))</f>
        <v/>
      </c>
      <c r="J2452" s="82" t="str">
        <f aca="false">IF(B2452="","",IFERROR(INDEX('CARNET DE SOUDURE'!$E$7:$E$3006,MATCH(B2452,'CARNET DE SOUDURE'!$O$7:$O$3006,0)),""))</f>
        <v/>
      </c>
      <c r="K2452" s="82" t="str">
        <f aca="false">IF(B2452="","",IFERROR(INDEX('CARNET DE SOUDURE'!$E$7:$E$3006,MATCH(B2452,'CARNET DE SOUDURE'!$L$7:$L$3006,0)),""))</f>
        <v/>
      </c>
      <c r="L2452" s="82" t="str">
        <f aca="false">IF(B2452="","",IFERROR(INDEX('CARNET DE SOUDURE'!$D$7:$D$3006,MATCH(B2452,'CARNET DE SOUDURE'!$L$7:$L$3006,0)),IFERROR(INDEX('CARNET DE SOUDURE'!$D$7:$D$3006,MATCH(B2452,'CARNET DE SOUDURE'!$O$7:$O$3006,0)),"")))</f>
        <v/>
      </c>
      <c r="M2452" s="82" t="str">
        <f aca="false">IF(B2452="","",IF(OR(J2452&lt;&gt;"",K2452&lt;&gt;""),"POSÉ EN LIGNE",IF(COUNTIF(BARDAGE!$C$1:$C$5000,B2452)&gt;0,"BARDÉ","EN STOCK")))</f>
        <v/>
      </c>
      <c r="N2452" s="80"/>
    </row>
    <row r="2453" customFormat="false" ht="15" hidden="false" customHeight="false" outlineLevel="0" collapsed="false">
      <c r="A2453" s="82" t="str">
        <f aca="false">IF(B2453="","",ROW()-6)</f>
        <v/>
      </c>
      <c r="B2453" s="145"/>
      <c r="C2453" s="146"/>
      <c r="D2453" s="146"/>
      <c r="E2453" s="82" t="str">
        <f aca="false">IF(B2453="","",IF(COUNTIFS('CARNET DE SOUDURE'!$L$7:$L$3006,B2453,'CARNET DE SOUDURE'!$M$7:$M$3006,"&lt;&gt;"&amp;C2453,'CARNET DE SOUDURE'!$M$7:$M$3006,"&lt;&gt;")+COUNTIFS('CARNET DE SOUDURE'!$O$7:$O$3006,B2453,'CARNET DE SOUDURE'!$P$7:$P$3006,"&lt;&gt;"&amp;C2453,'CARNET DE SOUDURE'!$P$7:$P$3006,"&lt;&gt;")&gt;0,"⚠ DIFFÉRENTE","OK"))</f>
        <v/>
      </c>
      <c r="F2453" s="147"/>
      <c r="G2453" s="80"/>
      <c r="H2453" s="83"/>
      <c r="I2453" s="148" t="str">
        <f aca="false">IF(B2453="","",IFERROR(INDEX('CARNET DE SOUDURE'!$B$7:$B$3006,MATCH(B2453,'CARNET DE SOUDURE'!$L$7:$L$3006,0)),IFERROR(INDEX('CARNET DE SOUDURE'!$B$7:$B$3006,MATCH(B2453,'CARNET DE SOUDURE'!$O$7:$O$3006,0)),"")))</f>
        <v/>
      </c>
      <c r="J2453" s="82" t="str">
        <f aca="false">IF(B2453="","",IFERROR(INDEX('CARNET DE SOUDURE'!$E$7:$E$3006,MATCH(B2453,'CARNET DE SOUDURE'!$O$7:$O$3006,0)),""))</f>
        <v/>
      </c>
      <c r="K2453" s="82" t="str">
        <f aca="false">IF(B2453="","",IFERROR(INDEX('CARNET DE SOUDURE'!$E$7:$E$3006,MATCH(B2453,'CARNET DE SOUDURE'!$L$7:$L$3006,0)),""))</f>
        <v/>
      </c>
      <c r="L2453" s="82" t="str">
        <f aca="false">IF(B2453="","",IFERROR(INDEX('CARNET DE SOUDURE'!$D$7:$D$3006,MATCH(B2453,'CARNET DE SOUDURE'!$L$7:$L$3006,0)),IFERROR(INDEX('CARNET DE SOUDURE'!$D$7:$D$3006,MATCH(B2453,'CARNET DE SOUDURE'!$O$7:$O$3006,0)),"")))</f>
        <v/>
      </c>
      <c r="M2453" s="82" t="str">
        <f aca="false">IF(B2453="","",IF(OR(J2453&lt;&gt;"",K2453&lt;&gt;""),"POSÉ EN LIGNE",IF(COUNTIF(BARDAGE!$C$1:$C$5000,B2453)&gt;0,"BARDÉ","EN STOCK")))</f>
        <v/>
      </c>
      <c r="N2453" s="80"/>
    </row>
    <row r="2454" customFormat="false" ht="15" hidden="false" customHeight="false" outlineLevel="0" collapsed="false">
      <c r="A2454" s="82" t="str">
        <f aca="false">IF(B2454="","",ROW()-6)</f>
        <v/>
      </c>
      <c r="B2454" s="145"/>
      <c r="C2454" s="146"/>
      <c r="D2454" s="146"/>
      <c r="E2454" s="82" t="str">
        <f aca="false">IF(B2454="","",IF(COUNTIFS('CARNET DE SOUDURE'!$L$7:$L$3006,B2454,'CARNET DE SOUDURE'!$M$7:$M$3006,"&lt;&gt;"&amp;C2454,'CARNET DE SOUDURE'!$M$7:$M$3006,"&lt;&gt;")+COUNTIFS('CARNET DE SOUDURE'!$O$7:$O$3006,B2454,'CARNET DE SOUDURE'!$P$7:$P$3006,"&lt;&gt;"&amp;C2454,'CARNET DE SOUDURE'!$P$7:$P$3006,"&lt;&gt;")&gt;0,"⚠ DIFFÉRENTE","OK"))</f>
        <v/>
      </c>
      <c r="F2454" s="147"/>
      <c r="G2454" s="80"/>
      <c r="H2454" s="83"/>
      <c r="I2454" s="148" t="str">
        <f aca="false">IF(B2454="","",IFERROR(INDEX('CARNET DE SOUDURE'!$B$7:$B$3006,MATCH(B2454,'CARNET DE SOUDURE'!$L$7:$L$3006,0)),IFERROR(INDEX('CARNET DE SOUDURE'!$B$7:$B$3006,MATCH(B2454,'CARNET DE SOUDURE'!$O$7:$O$3006,0)),"")))</f>
        <v/>
      </c>
      <c r="J2454" s="82" t="str">
        <f aca="false">IF(B2454="","",IFERROR(INDEX('CARNET DE SOUDURE'!$E$7:$E$3006,MATCH(B2454,'CARNET DE SOUDURE'!$O$7:$O$3006,0)),""))</f>
        <v/>
      </c>
      <c r="K2454" s="82" t="str">
        <f aca="false">IF(B2454="","",IFERROR(INDEX('CARNET DE SOUDURE'!$E$7:$E$3006,MATCH(B2454,'CARNET DE SOUDURE'!$L$7:$L$3006,0)),""))</f>
        <v/>
      </c>
      <c r="L2454" s="82" t="str">
        <f aca="false">IF(B2454="","",IFERROR(INDEX('CARNET DE SOUDURE'!$D$7:$D$3006,MATCH(B2454,'CARNET DE SOUDURE'!$L$7:$L$3006,0)),IFERROR(INDEX('CARNET DE SOUDURE'!$D$7:$D$3006,MATCH(B2454,'CARNET DE SOUDURE'!$O$7:$O$3006,0)),"")))</f>
        <v/>
      </c>
      <c r="M2454" s="82" t="str">
        <f aca="false">IF(B2454="","",IF(OR(J2454&lt;&gt;"",K2454&lt;&gt;""),"POSÉ EN LIGNE",IF(COUNTIF(BARDAGE!$C$1:$C$5000,B2454)&gt;0,"BARDÉ","EN STOCK")))</f>
        <v/>
      </c>
      <c r="N2454" s="80"/>
    </row>
    <row r="2455" customFormat="false" ht="15" hidden="false" customHeight="false" outlineLevel="0" collapsed="false">
      <c r="A2455" s="82" t="str">
        <f aca="false">IF(B2455="","",ROW()-6)</f>
        <v/>
      </c>
      <c r="B2455" s="145"/>
      <c r="C2455" s="146"/>
      <c r="D2455" s="146"/>
      <c r="E2455" s="82" t="str">
        <f aca="false">IF(B2455="","",IF(COUNTIFS('CARNET DE SOUDURE'!$L$7:$L$3006,B2455,'CARNET DE SOUDURE'!$M$7:$M$3006,"&lt;&gt;"&amp;C2455,'CARNET DE SOUDURE'!$M$7:$M$3006,"&lt;&gt;")+COUNTIFS('CARNET DE SOUDURE'!$O$7:$O$3006,B2455,'CARNET DE SOUDURE'!$P$7:$P$3006,"&lt;&gt;"&amp;C2455,'CARNET DE SOUDURE'!$P$7:$P$3006,"&lt;&gt;")&gt;0,"⚠ DIFFÉRENTE","OK"))</f>
        <v/>
      </c>
      <c r="F2455" s="147"/>
      <c r="G2455" s="80"/>
      <c r="H2455" s="83"/>
      <c r="I2455" s="148" t="str">
        <f aca="false">IF(B2455="","",IFERROR(INDEX('CARNET DE SOUDURE'!$B$7:$B$3006,MATCH(B2455,'CARNET DE SOUDURE'!$L$7:$L$3006,0)),IFERROR(INDEX('CARNET DE SOUDURE'!$B$7:$B$3006,MATCH(B2455,'CARNET DE SOUDURE'!$O$7:$O$3006,0)),"")))</f>
        <v/>
      </c>
      <c r="J2455" s="82" t="str">
        <f aca="false">IF(B2455="","",IFERROR(INDEX('CARNET DE SOUDURE'!$E$7:$E$3006,MATCH(B2455,'CARNET DE SOUDURE'!$O$7:$O$3006,0)),""))</f>
        <v/>
      </c>
      <c r="K2455" s="82" t="str">
        <f aca="false">IF(B2455="","",IFERROR(INDEX('CARNET DE SOUDURE'!$E$7:$E$3006,MATCH(B2455,'CARNET DE SOUDURE'!$L$7:$L$3006,0)),""))</f>
        <v/>
      </c>
      <c r="L2455" s="82" t="str">
        <f aca="false">IF(B2455="","",IFERROR(INDEX('CARNET DE SOUDURE'!$D$7:$D$3006,MATCH(B2455,'CARNET DE SOUDURE'!$L$7:$L$3006,0)),IFERROR(INDEX('CARNET DE SOUDURE'!$D$7:$D$3006,MATCH(B2455,'CARNET DE SOUDURE'!$O$7:$O$3006,0)),"")))</f>
        <v/>
      </c>
      <c r="M2455" s="82" t="str">
        <f aca="false">IF(B2455="","",IF(OR(J2455&lt;&gt;"",K2455&lt;&gt;""),"POSÉ EN LIGNE",IF(COUNTIF(BARDAGE!$C$1:$C$5000,B2455)&gt;0,"BARDÉ","EN STOCK")))</f>
        <v/>
      </c>
      <c r="N2455" s="80"/>
    </row>
    <row r="2456" customFormat="false" ht="15" hidden="false" customHeight="false" outlineLevel="0" collapsed="false">
      <c r="A2456" s="82" t="str">
        <f aca="false">IF(B2456="","",ROW()-6)</f>
        <v/>
      </c>
      <c r="B2456" s="145"/>
      <c r="C2456" s="146"/>
      <c r="D2456" s="146"/>
      <c r="E2456" s="82" t="str">
        <f aca="false">IF(B2456="","",IF(COUNTIFS('CARNET DE SOUDURE'!$L$7:$L$3006,B2456,'CARNET DE SOUDURE'!$M$7:$M$3006,"&lt;&gt;"&amp;C2456,'CARNET DE SOUDURE'!$M$7:$M$3006,"&lt;&gt;")+COUNTIFS('CARNET DE SOUDURE'!$O$7:$O$3006,B2456,'CARNET DE SOUDURE'!$P$7:$P$3006,"&lt;&gt;"&amp;C2456,'CARNET DE SOUDURE'!$P$7:$P$3006,"&lt;&gt;")&gt;0,"⚠ DIFFÉRENTE","OK"))</f>
        <v/>
      </c>
      <c r="F2456" s="147"/>
      <c r="G2456" s="80"/>
      <c r="H2456" s="83"/>
      <c r="I2456" s="148" t="str">
        <f aca="false">IF(B2456="","",IFERROR(INDEX('CARNET DE SOUDURE'!$B$7:$B$3006,MATCH(B2456,'CARNET DE SOUDURE'!$L$7:$L$3006,0)),IFERROR(INDEX('CARNET DE SOUDURE'!$B$7:$B$3006,MATCH(B2456,'CARNET DE SOUDURE'!$O$7:$O$3006,0)),"")))</f>
        <v/>
      </c>
      <c r="J2456" s="82" t="str">
        <f aca="false">IF(B2456="","",IFERROR(INDEX('CARNET DE SOUDURE'!$E$7:$E$3006,MATCH(B2456,'CARNET DE SOUDURE'!$O$7:$O$3006,0)),""))</f>
        <v/>
      </c>
      <c r="K2456" s="82" t="str">
        <f aca="false">IF(B2456="","",IFERROR(INDEX('CARNET DE SOUDURE'!$E$7:$E$3006,MATCH(B2456,'CARNET DE SOUDURE'!$L$7:$L$3006,0)),""))</f>
        <v/>
      </c>
      <c r="L2456" s="82" t="str">
        <f aca="false">IF(B2456="","",IFERROR(INDEX('CARNET DE SOUDURE'!$D$7:$D$3006,MATCH(B2456,'CARNET DE SOUDURE'!$L$7:$L$3006,0)),IFERROR(INDEX('CARNET DE SOUDURE'!$D$7:$D$3006,MATCH(B2456,'CARNET DE SOUDURE'!$O$7:$O$3006,0)),"")))</f>
        <v/>
      </c>
      <c r="M2456" s="82" t="str">
        <f aca="false">IF(B2456="","",IF(OR(J2456&lt;&gt;"",K2456&lt;&gt;""),"POSÉ EN LIGNE",IF(COUNTIF(BARDAGE!$C$1:$C$5000,B2456)&gt;0,"BARDÉ","EN STOCK")))</f>
        <v/>
      </c>
      <c r="N2456" s="80"/>
    </row>
    <row r="2457" customFormat="false" ht="15" hidden="false" customHeight="false" outlineLevel="0" collapsed="false">
      <c r="A2457" s="82" t="str">
        <f aca="false">IF(B2457="","",ROW()-6)</f>
        <v/>
      </c>
      <c r="B2457" s="145"/>
      <c r="C2457" s="146"/>
      <c r="D2457" s="146"/>
      <c r="E2457" s="82" t="str">
        <f aca="false">IF(B2457="","",IF(COUNTIFS('CARNET DE SOUDURE'!$L$7:$L$3006,B2457,'CARNET DE SOUDURE'!$M$7:$M$3006,"&lt;&gt;"&amp;C2457,'CARNET DE SOUDURE'!$M$7:$M$3006,"&lt;&gt;")+COUNTIFS('CARNET DE SOUDURE'!$O$7:$O$3006,B2457,'CARNET DE SOUDURE'!$P$7:$P$3006,"&lt;&gt;"&amp;C2457,'CARNET DE SOUDURE'!$P$7:$P$3006,"&lt;&gt;")&gt;0,"⚠ DIFFÉRENTE","OK"))</f>
        <v/>
      </c>
      <c r="F2457" s="147"/>
      <c r="G2457" s="80"/>
      <c r="H2457" s="83"/>
      <c r="I2457" s="148" t="str">
        <f aca="false">IF(B2457="","",IFERROR(INDEX('CARNET DE SOUDURE'!$B$7:$B$3006,MATCH(B2457,'CARNET DE SOUDURE'!$L$7:$L$3006,0)),IFERROR(INDEX('CARNET DE SOUDURE'!$B$7:$B$3006,MATCH(B2457,'CARNET DE SOUDURE'!$O$7:$O$3006,0)),"")))</f>
        <v/>
      </c>
      <c r="J2457" s="82" t="str">
        <f aca="false">IF(B2457="","",IFERROR(INDEX('CARNET DE SOUDURE'!$E$7:$E$3006,MATCH(B2457,'CARNET DE SOUDURE'!$O$7:$O$3006,0)),""))</f>
        <v/>
      </c>
      <c r="K2457" s="82" t="str">
        <f aca="false">IF(B2457="","",IFERROR(INDEX('CARNET DE SOUDURE'!$E$7:$E$3006,MATCH(B2457,'CARNET DE SOUDURE'!$L$7:$L$3006,0)),""))</f>
        <v/>
      </c>
      <c r="L2457" s="82" t="str">
        <f aca="false">IF(B2457="","",IFERROR(INDEX('CARNET DE SOUDURE'!$D$7:$D$3006,MATCH(B2457,'CARNET DE SOUDURE'!$L$7:$L$3006,0)),IFERROR(INDEX('CARNET DE SOUDURE'!$D$7:$D$3006,MATCH(B2457,'CARNET DE SOUDURE'!$O$7:$O$3006,0)),"")))</f>
        <v/>
      </c>
      <c r="M2457" s="82" t="str">
        <f aca="false">IF(B2457="","",IF(OR(J2457&lt;&gt;"",K2457&lt;&gt;""),"POSÉ EN LIGNE",IF(COUNTIF(BARDAGE!$C$1:$C$5000,B2457)&gt;0,"BARDÉ","EN STOCK")))</f>
        <v/>
      </c>
      <c r="N2457" s="80"/>
    </row>
    <row r="2458" customFormat="false" ht="15" hidden="false" customHeight="false" outlineLevel="0" collapsed="false">
      <c r="A2458" s="82" t="str">
        <f aca="false">IF(B2458="","",ROW()-6)</f>
        <v/>
      </c>
      <c r="B2458" s="145"/>
      <c r="C2458" s="146"/>
      <c r="D2458" s="146"/>
      <c r="E2458" s="82" t="str">
        <f aca="false">IF(B2458="","",IF(COUNTIFS('CARNET DE SOUDURE'!$L$7:$L$3006,B2458,'CARNET DE SOUDURE'!$M$7:$M$3006,"&lt;&gt;"&amp;C2458,'CARNET DE SOUDURE'!$M$7:$M$3006,"&lt;&gt;")+COUNTIFS('CARNET DE SOUDURE'!$O$7:$O$3006,B2458,'CARNET DE SOUDURE'!$P$7:$P$3006,"&lt;&gt;"&amp;C2458,'CARNET DE SOUDURE'!$P$7:$P$3006,"&lt;&gt;")&gt;0,"⚠ DIFFÉRENTE","OK"))</f>
        <v/>
      </c>
      <c r="F2458" s="147"/>
      <c r="G2458" s="80"/>
      <c r="H2458" s="83"/>
      <c r="I2458" s="148" t="str">
        <f aca="false">IF(B2458="","",IFERROR(INDEX('CARNET DE SOUDURE'!$B$7:$B$3006,MATCH(B2458,'CARNET DE SOUDURE'!$L$7:$L$3006,0)),IFERROR(INDEX('CARNET DE SOUDURE'!$B$7:$B$3006,MATCH(B2458,'CARNET DE SOUDURE'!$O$7:$O$3006,0)),"")))</f>
        <v/>
      </c>
      <c r="J2458" s="82" t="str">
        <f aca="false">IF(B2458="","",IFERROR(INDEX('CARNET DE SOUDURE'!$E$7:$E$3006,MATCH(B2458,'CARNET DE SOUDURE'!$O$7:$O$3006,0)),""))</f>
        <v/>
      </c>
      <c r="K2458" s="82" t="str">
        <f aca="false">IF(B2458="","",IFERROR(INDEX('CARNET DE SOUDURE'!$E$7:$E$3006,MATCH(B2458,'CARNET DE SOUDURE'!$L$7:$L$3006,0)),""))</f>
        <v/>
      </c>
      <c r="L2458" s="82" t="str">
        <f aca="false">IF(B2458="","",IFERROR(INDEX('CARNET DE SOUDURE'!$D$7:$D$3006,MATCH(B2458,'CARNET DE SOUDURE'!$L$7:$L$3006,0)),IFERROR(INDEX('CARNET DE SOUDURE'!$D$7:$D$3006,MATCH(B2458,'CARNET DE SOUDURE'!$O$7:$O$3006,0)),"")))</f>
        <v/>
      </c>
      <c r="M2458" s="82" t="str">
        <f aca="false">IF(B2458="","",IF(OR(J2458&lt;&gt;"",K2458&lt;&gt;""),"POSÉ EN LIGNE",IF(COUNTIF(BARDAGE!$C$1:$C$5000,B2458)&gt;0,"BARDÉ","EN STOCK")))</f>
        <v/>
      </c>
      <c r="N2458" s="80"/>
    </row>
    <row r="2459" customFormat="false" ht="15" hidden="false" customHeight="false" outlineLevel="0" collapsed="false">
      <c r="A2459" s="82" t="str">
        <f aca="false">IF(B2459="","",ROW()-6)</f>
        <v/>
      </c>
      <c r="B2459" s="145"/>
      <c r="C2459" s="146"/>
      <c r="D2459" s="146"/>
      <c r="E2459" s="82" t="str">
        <f aca="false">IF(B2459="","",IF(COUNTIFS('CARNET DE SOUDURE'!$L$7:$L$3006,B2459,'CARNET DE SOUDURE'!$M$7:$M$3006,"&lt;&gt;"&amp;C2459,'CARNET DE SOUDURE'!$M$7:$M$3006,"&lt;&gt;")+COUNTIFS('CARNET DE SOUDURE'!$O$7:$O$3006,B2459,'CARNET DE SOUDURE'!$P$7:$P$3006,"&lt;&gt;"&amp;C2459,'CARNET DE SOUDURE'!$P$7:$P$3006,"&lt;&gt;")&gt;0,"⚠ DIFFÉRENTE","OK"))</f>
        <v/>
      </c>
      <c r="F2459" s="147"/>
      <c r="G2459" s="80"/>
      <c r="H2459" s="83"/>
      <c r="I2459" s="148" t="str">
        <f aca="false">IF(B2459="","",IFERROR(INDEX('CARNET DE SOUDURE'!$B$7:$B$3006,MATCH(B2459,'CARNET DE SOUDURE'!$L$7:$L$3006,0)),IFERROR(INDEX('CARNET DE SOUDURE'!$B$7:$B$3006,MATCH(B2459,'CARNET DE SOUDURE'!$O$7:$O$3006,0)),"")))</f>
        <v/>
      </c>
      <c r="J2459" s="82" t="str">
        <f aca="false">IF(B2459="","",IFERROR(INDEX('CARNET DE SOUDURE'!$E$7:$E$3006,MATCH(B2459,'CARNET DE SOUDURE'!$O$7:$O$3006,0)),""))</f>
        <v/>
      </c>
      <c r="K2459" s="82" t="str">
        <f aca="false">IF(B2459="","",IFERROR(INDEX('CARNET DE SOUDURE'!$E$7:$E$3006,MATCH(B2459,'CARNET DE SOUDURE'!$L$7:$L$3006,0)),""))</f>
        <v/>
      </c>
      <c r="L2459" s="82" t="str">
        <f aca="false">IF(B2459="","",IFERROR(INDEX('CARNET DE SOUDURE'!$D$7:$D$3006,MATCH(B2459,'CARNET DE SOUDURE'!$L$7:$L$3006,0)),IFERROR(INDEX('CARNET DE SOUDURE'!$D$7:$D$3006,MATCH(B2459,'CARNET DE SOUDURE'!$O$7:$O$3006,0)),"")))</f>
        <v/>
      </c>
      <c r="M2459" s="82" t="str">
        <f aca="false">IF(B2459="","",IF(OR(J2459&lt;&gt;"",K2459&lt;&gt;""),"POSÉ EN LIGNE",IF(COUNTIF(BARDAGE!$C$1:$C$5000,B2459)&gt;0,"BARDÉ","EN STOCK")))</f>
        <v/>
      </c>
      <c r="N2459" s="80"/>
    </row>
    <row r="2460" customFormat="false" ht="15" hidden="false" customHeight="false" outlineLevel="0" collapsed="false">
      <c r="A2460" s="82" t="str">
        <f aca="false">IF(B2460="","",ROW()-6)</f>
        <v/>
      </c>
      <c r="B2460" s="145"/>
      <c r="C2460" s="146"/>
      <c r="D2460" s="146"/>
      <c r="E2460" s="82" t="str">
        <f aca="false">IF(B2460="","",IF(COUNTIFS('CARNET DE SOUDURE'!$L$7:$L$3006,B2460,'CARNET DE SOUDURE'!$M$7:$M$3006,"&lt;&gt;"&amp;C2460,'CARNET DE SOUDURE'!$M$7:$M$3006,"&lt;&gt;")+COUNTIFS('CARNET DE SOUDURE'!$O$7:$O$3006,B2460,'CARNET DE SOUDURE'!$P$7:$P$3006,"&lt;&gt;"&amp;C2460,'CARNET DE SOUDURE'!$P$7:$P$3006,"&lt;&gt;")&gt;0,"⚠ DIFFÉRENTE","OK"))</f>
        <v/>
      </c>
      <c r="F2460" s="147"/>
      <c r="G2460" s="80"/>
      <c r="H2460" s="83"/>
      <c r="I2460" s="148" t="str">
        <f aca="false">IF(B2460="","",IFERROR(INDEX('CARNET DE SOUDURE'!$B$7:$B$3006,MATCH(B2460,'CARNET DE SOUDURE'!$L$7:$L$3006,0)),IFERROR(INDEX('CARNET DE SOUDURE'!$B$7:$B$3006,MATCH(B2460,'CARNET DE SOUDURE'!$O$7:$O$3006,0)),"")))</f>
        <v/>
      </c>
      <c r="J2460" s="82" t="str">
        <f aca="false">IF(B2460="","",IFERROR(INDEX('CARNET DE SOUDURE'!$E$7:$E$3006,MATCH(B2460,'CARNET DE SOUDURE'!$O$7:$O$3006,0)),""))</f>
        <v/>
      </c>
      <c r="K2460" s="82" t="str">
        <f aca="false">IF(B2460="","",IFERROR(INDEX('CARNET DE SOUDURE'!$E$7:$E$3006,MATCH(B2460,'CARNET DE SOUDURE'!$L$7:$L$3006,0)),""))</f>
        <v/>
      </c>
      <c r="L2460" s="82" t="str">
        <f aca="false">IF(B2460="","",IFERROR(INDEX('CARNET DE SOUDURE'!$D$7:$D$3006,MATCH(B2460,'CARNET DE SOUDURE'!$L$7:$L$3006,0)),IFERROR(INDEX('CARNET DE SOUDURE'!$D$7:$D$3006,MATCH(B2460,'CARNET DE SOUDURE'!$O$7:$O$3006,0)),"")))</f>
        <v/>
      </c>
      <c r="M2460" s="82" t="str">
        <f aca="false">IF(B2460="","",IF(OR(J2460&lt;&gt;"",K2460&lt;&gt;""),"POSÉ EN LIGNE",IF(COUNTIF(BARDAGE!$C$1:$C$5000,B2460)&gt;0,"BARDÉ","EN STOCK")))</f>
        <v/>
      </c>
      <c r="N2460" s="80"/>
    </row>
    <row r="2461" customFormat="false" ht="15" hidden="false" customHeight="false" outlineLevel="0" collapsed="false">
      <c r="A2461" s="82" t="str">
        <f aca="false">IF(B2461="","",ROW()-6)</f>
        <v/>
      </c>
      <c r="B2461" s="145"/>
      <c r="C2461" s="146"/>
      <c r="D2461" s="146"/>
      <c r="E2461" s="82" t="str">
        <f aca="false">IF(B2461="","",IF(COUNTIFS('CARNET DE SOUDURE'!$L$7:$L$3006,B2461,'CARNET DE SOUDURE'!$M$7:$M$3006,"&lt;&gt;"&amp;C2461,'CARNET DE SOUDURE'!$M$7:$M$3006,"&lt;&gt;")+COUNTIFS('CARNET DE SOUDURE'!$O$7:$O$3006,B2461,'CARNET DE SOUDURE'!$P$7:$P$3006,"&lt;&gt;"&amp;C2461,'CARNET DE SOUDURE'!$P$7:$P$3006,"&lt;&gt;")&gt;0,"⚠ DIFFÉRENTE","OK"))</f>
        <v/>
      </c>
      <c r="F2461" s="147"/>
      <c r="G2461" s="80"/>
      <c r="H2461" s="83"/>
      <c r="I2461" s="148" t="str">
        <f aca="false">IF(B2461="","",IFERROR(INDEX('CARNET DE SOUDURE'!$B$7:$B$3006,MATCH(B2461,'CARNET DE SOUDURE'!$L$7:$L$3006,0)),IFERROR(INDEX('CARNET DE SOUDURE'!$B$7:$B$3006,MATCH(B2461,'CARNET DE SOUDURE'!$O$7:$O$3006,0)),"")))</f>
        <v/>
      </c>
      <c r="J2461" s="82" t="str">
        <f aca="false">IF(B2461="","",IFERROR(INDEX('CARNET DE SOUDURE'!$E$7:$E$3006,MATCH(B2461,'CARNET DE SOUDURE'!$O$7:$O$3006,0)),""))</f>
        <v/>
      </c>
      <c r="K2461" s="82" t="str">
        <f aca="false">IF(B2461="","",IFERROR(INDEX('CARNET DE SOUDURE'!$E$7:$E$3006,MATCH(B2461,'CARNET DE SOUDURE'!$L$7:$L$3006,0)),""))</f>
        <v/>
      </c>
      <c r="L2461" s="82" t="str">
        <f aca="false">IF(B2461="","",IFERROR(INDEX('CARNET DE SOUDURE'!$D$7:$D$3006,MATCH(B2461,'CARNET DE SOUDURE'!$L$7:$L$3006,0)),IFERROR(INDEX('CARNET DE SOUDURE'!$D$7:$D$3006,MATCH(B2461,'CARNET DE SOUDURE'!$O$7:$O$3006,0)),"")))</f>
        <v/>
      </c>
      <c r="M2461" s="82" t="str">
        <f aca="false">IF(B2461="","",IF(OR(J2461&lt;&gt;"",K2461&lt;&gt;""),"POSÉ EN LIGNE",IF(COUNTIF(BARDAGE!$C$1:$C$5000,B2461)&gt;0,"BARDÉ","EN STOCK")))</f>
        <v/>
      </c>
      <c r="N2461" s="80"/>
    </row>
    <row r="2462" customFormat="false" ht="15" hidden="false" customHeight="false" outlineLevel="0" collapsed="false">
      <c r="A2462" s="82" t="str">
        <f aca="false">IF(B2462="","",ROW()-6)</f>
        <v/>
      </c>
      <c r="B2462" s="145"/>
      <c r="C2462" s="146"/>
      <c r="D2462" s="146"/>
      <c r="E2462" s="82" t="str">
        <f aca="false">IF(B2462="","",IF(COUNTIFS('CARNET DE SOUDURE'!$L$7:$L$3006,B2462,'CARNET DE SOUDURE'!$M$7:$M$3006,"&lt;&gt;"&amp;C2462,'CARNET DE SOUDURE'!$M$7:$M$3006,"&lt;&gt;")+COUNTIFS('CARNET DE SOUDURE'!$O$7:$O$3006,B2462,'CARNET DE SOUDURE'!$P$7:$P$3006,"&lt;&gt;"&amp;C2462,'CARNET DE SOUDURE'!$P$7:$P$3006,"&lt;&gt;")&gt;0,"⚠ DIFFÉRENTE","OK"))</f>
        <v/>
      </c>
      <c r="F2462" s="147"/>
      <c r="G2462" s="80"/>
      <c r="H2462" s="83"/>
      <c r="I2462" s="148" t="str">
        <f aca="false">IF(B2462="","",IFERROR(INDEX('CARNET DE SOUDURE'!$B$7:$B$3006,MATCH(B2462,'CARNET DE SOUDURE'!$L$7:$L$3006,0)),IFERROR(INDEX('CARNET DE SOUDURE'!$B$7:$B$3006,MATCH(B2462,'CARNET DE SOUDURE'!$O$7:$O$3006,0)),"")))</f>
        <v/>
      </c>
      <c r="J2462" s="82" t="str">
        <f aca="false">IF(B2462="","",IFERROR(INDEX('CARNET DE SOUDURE'!$E$7:$E$3006,MATCH(B2462,'CARNET DE SOUDURE'!$O$7:$O$3006,0)),""))</f>
        <v/>
      </c>
      <c r="K2462" s="82" t="str">
        <f aca="false">IF(B2462="","",IFERROR(INDEX('CARNET DE SOUDURE'!$E$7:$E$3006,MATCH(B2462,'CARNET DE SOUDURE'!$L$7:$L$3006,0)),""))</f>
        <v/>
      </c>
      <c r="L2462" s="82" t="str">
        <f aca="false">IF(B2462="","",IFERROR(INDEX('CARNET DE SOUDURE'!$D$7:$D$3006,MATCH(B2462,'CARNET DE SOUDURE'!$L$7:$L$3006,0)),IFERROR(INDEX('CARNET DE SOUDURE'!$D$7:$D$3006,MATCH(B2462,'CARNET DE SOUDURE'!$O$7:$O$3006,0)),"")))</f>
        <v/>
      </c>
      <c r="M2462" s="82" t="str">
        <f aca="false">IF(B2462="","",IF(OR(J2462&lt;&gt;"",K2462&lt;&gt;""),"POSÉ EN LIGNE",IF(COUNTIF(BARDAGE!$C$1:$C$5000,B2462)&gt;0,"BARDÉ","EN STOCK")))</f>
        <v/>
      </c>
      <c r="N2462" s="80"/>
    </row>
    <row r="2463" customFormat="false" ht="15" hidden="false" customHeight="false" outlineLevel="0" collapsed="false">
      <c r="A2463" s="82" t="str">
        <f aca="false">IF(B2463="","",ROW()-6)</f>
        <v/>
      </c>
      <c r="B2463" s="145"/>
      <c r="C2463" s="146"/>
      <c r="D2463" s="146"/>
      <c r="E2463" s="82" t="str">
        <f aca="false">IF(B2463="","",IF(COUNTIFS('CARNET DE SOUDURE'!$L$7:$L$3006,B2463,'CARNET DE SOUDURE'!$M$7:$M$3006,"&lt;&gt;"&amp;C2463,'CARNET DE SOUDURE'!$M$7:$M$3006,"&lt;&gt;")+COUNTIFS('CARNET DE SOUDURE'!$O$7:$O$3006,B2463,'CARNET DE SOUDURE'!$P$7:$P$3006,"&lt;&gt;"&amp;C2463,'CARNET DE SOUDURE'!$P$7:$P$3006,"&lt;&gt;")&gt;0,"⚠ DIFFÉRENTE","OK"))</f>
        <v/>
      </c>
      <c r="F2463" s="147"/>
      <c r="G2463" s="80"/>
      <c r="H2463" s="83"/>
      <c r="I2463" s="148" t="str">
        <f aca="false">IF(B2463="","",IFERROR(INDEX('CARNET DE SOUDURE'!$B$7:$B$3006,MATCH(B2463,'CARNET DE SOUDURE'!$L$7:$L$3006,0)),IFERROR(INDEX('CARNET DE SOUDURE'!$B$7:$B$3006,MATCH(B2463,'CARNET DE SOUDURE'!$O$7:$O$3006,0)),"")))</f>
        <v/>
      </c>
      <c r="J2463" s="82" t="str">
        <f aca="false">IF(B2463="","",IFERROR(INDEX('CARNET DE SOUDURE'!$E$7:$E$3006,MATCH(B2463,'CARNET DE SOUDURE'!$O$7:$O$3006,0)),""))</f>
        <v/>
      </c>
      <c r="K2463" s="82" t="str">
        <f aca="false">IF(B2463="","",IFERROR(INDEX('CARNET DE SOUDURE'!$E$7:$E$3006,MATCH(B2463,'CARNET DE SOUDURE'!$L$7:$L$3006,0)),""))</f>
        <v/>
      </c>
      <c r="L2463" s="82" t="str">
        <f aca="false">IF(B2463="","",IFERROR(INDEX('CARNET DE SOUDURE'!$D$7:$D$3006,MATCH(B2463,'CARNET DE SOUDURE'!$L$7:$L$3006,0)),IFERROR(INDEX('CARNET DE SOUDURE'!$D$7:$D$3006,MATCH(B2463,'CARNET DE SOUDURE'!$O$7:$O$3006,0)),"")))</f>
        <v/>
      </c>
      <c r="M2463" s="82" t="str">
        <f aca="false">IF(B2463="","",IF(OR(J2463&lt;&gt;"",K2463&lt;&gt;""),"POSÉ EN LIGNE",IF(COUNTIF(BARDAGE!$C$1:$C$5000,B2463)&gt;0,"BARDÉ","EN STOCK")))</f>
        <v/>
      </c>
      <c r="N2463" s="80"/>
    </row>
    <row r="2464" customFormat="false" ht="15" hidden="false" customHeight="false" outlineLevel="0" collapsed="false">
      <c r="A2464" s="82" t="str">
        <f aca="false">IF(B2464="","",ROW()-6)</f>
        <v/>
      </c>
      <c r="B2464" s="145"/>
      <c r="C2464" s="146"/>
      <c r="D2464" s="146"/>
      <c r="E2464" s="82" t="str">
        <f aca="false">IF(B2464="","",IF(COUNTIFS('CARNET DE SOUDURE'!$L$7:$L$3006,B2464,'CARNET DE SOUDURE'!$M$7:$M$3006,"&lt;&gt;"&amp;C2464,'CARNET DE SOUDURE'!$M$7:$M$3006,"&lt;&gt;")+COUNTIFS('CARNET DE SOUDURE'!$O$7:$O$3006,B2464,'CARNET DE SOUDURE'!$P$7:$P$3006,"&lt;&gt;"&amp;C2464,'CARNET DE SOUDURE'!$P$7:$P$3006,"&lt;&gt;")&gt;0,"⚠ DIFFÉRENTE","OK"))</f>
        <v/>
      </c>
      <c r="F2464" s="147"/>
      <c r="G2464" s="80"/>
      <c r="H2464" s="83"/>
      <c r="I2464" s="148" t="str">
        <f aca="false">IF(B2464="","",IFERROR(INDEX('CARNET DE SOUDURE'!$B$7:$B$3006,MATCH(B2464,'CARNET DE SOUDURE'!$L$7:$L$3006,0)),IFERROR(INDEX('CARNET DE SOUDURE'!$B$7:$B$3006,MATCH(B2464,'CARNET DE SOUDURE'!$O$7:$O$3006,0)),"")))</f>
        <v/>
      </c>
      <c r="J2464" s="82" t="str">
        <f aca="false">IF(B2464="","",IFERROR(INDEX('CARNET DE SOUDURE'!$E$7:$E$3006,MATCH(B2464,'CARNET DE SOUDURE'!$O$7:$O$3006,0)),""))</f>
        <v/>
      </c>
      <c r="K2464" s="82" t="str">
        <f aca="false">IF(B2464="","",IFERROR(INDEX('CARNET DE SOUDURE'!$E$7:$E$3006,MATCH(B2464,'CARNET DE SOUDURE'!$L$7:$L$3006,0)),""))</f>
        <v/>
      </c>
      <c r="L2464" s="82" t="str">
        <f aca="false">IF(B2464="","",IFERROR(INDEX('CARNET DE SOUDURE'!$D$7:$D$3006,MATCH(B2464,'CARNET DE SOUDURE'!$L$7:$L$3006,0)),IFERROR(INDEX('CARNET DE SOUDURE'!$D$7:$D$3006,MATCH(B2464,'CARNET DE SOUDURE'!$O$7:$O$3006,0)),"")))</f>
        <v/>
      </c>
      <c r="M2464" s="82" t="str">
        <f aca="false">IF(B2464="","",IF(OR(J2464&lt;&gt;"",K2464&lt;&gt;""),"POSÉ EN LIGNE",IF(COUNTIF(BARDAGE!$C$1:$C$5000,B2464)&gt;0,"BARDÉ","EN STOCK")))</f>
        <v/>
      </c>
      <c r="N2464" s="80"/>
    </row>
    <row r="2465" customFormat="false" ht="15" hidden="false" customHeight="false" outlineLevel="0" collapsed="false">
      <c r="A2465" s="82" t="str">
        <f aca="false">IF(B2465="","",ROW()-6)</f>
        <v/>
      </c>
      <c r="B2465" s="145"/>
      <c r="C2465" s="146"/>
      <c r="D2465" s="146"/>
      <c r="E2465" s="82" t="str">
        <f aca="false">IF(B2465="","",IF(COUNTIFS('CARNET DE SOUDURE'!$L$7:$L$3006,B2465,'CARNET DE SOUDURE'!$M$7:$M$3006,"&lt;&gt;"&amp;C2465,'CARNET DE SOUDURE'!$M$7:$M$3006,"&lt;&gt;")+COUNTIFS('CARNET DE SOUDURE'!$O$7:$O$3006,B2465,'CARNET DE SOUDURE'!$P$7:$P$3006,"&lt;&gt;"&amp;C2465,'CARNET DE SOUDURE'!$P$7:$P$3006,"&lt;&gt;")&gt;0,"⚠ DIFFÉRENTE","OK"))</f>
        <v/>
      </c>
      <c r="F2465" s="147"/>
      <c r="G2465" s="80"/>
      <c r="H2465" s="83"/>
      <c r="I2465" s="148" t="str">
        <f aca="false">IF(B2465="","",IFERROR(INDEX('CARNET DE SOUDURE'!$B$7:$B$3006,MATCH(B2465,'CARNET DE SOUDURE'!$L$7:$L$3006,0)),IFERROR(INDEX('CARNET DE SOUDURE'!$B$7:$B$3006,MATCH(B2465,'CARNET DE SOUDURE'!$O$7:$O$3006,0)),"")))</f>
        <v/>
      </c>
      <c r="J2465" s="82" t="str">
        <f aca="false">IF(B2465="","",IFERROR(INDEX('CARNET DE SOUDURE'!$E$7:$E$3006,MATCH(B2465,'CARNET DE SOUDURE'!$O$7:$O$3006,0)),""))</f>
        <v/>
      </c>
      <c r="K2465" s="82" t="str">
        <f aca="false">IF(B2465="","",IFERROR(INDEX('CARNET DE SOUDURE'!$E$7:$E$3006,MATCH(B2465,'CARNET DE SOUDURE'!$L$7:$L$3006,0)),""))</f>
        <v/>
      </c>
      <c r="L2465" s="82" t="str">
        <f aca="false">IF(B2465="","",IFERROR(INDEX('CARNET DE SOUDURE'!$D$7:$D$3006,MATCH(B2465,'CARNET DE SOUDURE'!$L$7:$L$3006,0)),IFERROR(INDEX('CARNET DE SOUDURE'!$D$7:$D$3006,MATCH(B2465,'CARNET DE SOUDURE'!$O$7:$O$3006,0)),"")))</f>
        <v/>
      </c>
      <c r="M2465" s="82" t="str">
        <f aca="false">IF(B2465="","",IF(OR(J2465&lt;&gt;"",K2465&lt;&gt;""),"POSÉ EN LIGNE",IF(COUNTIF(BARDAGE!$C$1:$C$5000,B2465)&gt;0,"BARDÉ","EN STOCK")))</f>
        <v/>
      </c>
      <c r="N2465" s="80"/>
    </row>
    <row r="2466" customFormat="false" ht="15" hidden="false" customHeight="false" outlineLevel="0" collapsed="false">
      <c r="A2466" s="82" t="str">
        <f aca="false">IF(B2466="","",ROW()-6)</f>
        <v/>
      </c>
      <c r="B2466" s="145"/>
      <c r="C2466" s="146"/>
      <c r="D2466" s="146"/>
      <c r="E2466" s="82" t="str">
        <f aca="false">IF(B2466="","",IF(COUNTIFS('CARNET DE SOUDURE'!$L$7:$L$3006,B2466,'CARNET DE SOUDURE'!$M$7:$M$3006,"&lt;&gt;"&amp;C2466,'CARNET DE SOUDURE'!$M$7:$M$3006,"&lt;&gt;")+COUNTIFS('CARNET DE SOUDURE'!$O$7:$O$3006,B2466,'CARNET DE SOUDURE'!$P$7:$P$3006,"&lt;&gt;"&amp;C2466,'CARNET DE SOUDURE'!$P$7:$P$3006,"&lt;&gt;")&gt;0,"⚠ DIFFÉRENTE","OK"))</f>
        <v/>
      </c>
      <c r="F2466" s="147"/>
      <c r="G2466" s="80"/>
      <c r="H2466" s="83"/>
      <c r="I2466" s="148" t="str">
        <f aca="false">IF(B2466="","",IFERROR(INDEX('CARNET DE SOUDURE'!$B$7:$B$3006,MATCH(B2466,'CARNET DE SOUDURE'!$L$7:$L$3006,0)),IFERROR(INDEX('CARNET DE SOUDURE'!$B$7:$B$3006,MATCH(B2466,'CARNET DE SOUDURE'!$O$7:$O$3006,0)),"")))</f>
        <v/>
      </c>
      <c r="J2466" s="82" t="str">
        <f aca="false">IF(B2466="","",IFERROR(INDEX('CARNET DE SOUDURE'!$E$7:$E$3006,MATCH(B2466,'CARNET DE SOUDURE'!$O$7:$O$3006,0)),""))</f>
        <v/>
      </c>
      <c r="K2466" s="82" t="str">
        <f aca="false">IF(B2466="","",IFERROR(INDEX('CARNET DE SOUDURE'!$E$7:$E$3006,MATCH(B2466,'CARNET DE SOUDURE'!$L$7:$L$3006,0)),""))</f>
        <v/>
      </c>
      <c r="L2466" s="82" t="str">
        <f aca="false">IF(B2466="","",IFERROR(INDEX('CARNET DE SOUDURE'!$D$7:$D$3006,MATCH(B2466,'CARNET DE SOUDURE'!$L$7:$L$3006,0)),IFERROR(INDEX('CARNET DE SOUDURE'!$D$7:$D$3006,MATCH(B2466,'CARNET DE SOUDURE'!$O$7:$O$3006,0)),"")))</f>
        <v/>
      </c>
      <c r="M2466" s="82" t="str">
        <f aca="false">IF(B2466="","",IF(OR(J2466&lt;&gt;"",K2466&lt;&gt;""),"POSÉ EN LIGNE",IF(COUNTIF(BARDAGE!$C$1:$C$5000,B2466)&gt;0,"BARDÉ","EN STOCK")))</f>
        <v/>
      </c>
      <c r="N2466" s="80"/>
    </row>
    <row r="2467" customFormat="false" ht="15" hidden="false" customHeight="false" outlineLevel="0" collapsed="false">
      <c r="A2467" s="82" t="str">
        <f aca="false">IF(B2467="","",ROW()-6)</f>
        <v/>
      </c>
      <c r="B2467" s="145"/>
      <c r="C2467" s="146"/>
      <c r="D2467" s="146"/>
      <c r="E2467" s="82" t="str">
        <f aca="false">IF(B2467="","",IF(COUNTIFS('CARNET DE SOUDURE'!$L$7:$L$3006,B2467,'CARNET DE SOUDURE'!$M$7:$M$3006,"&lt;&gt;"&amp;C2467,'CARNET DE SOUDURE'!$M$7:$M$3006,"&lt;&gt;")+COUNTIFS('CARNET DE SOUDURE'!$O$7:$O$3006,B2467,'CARNET DE SOUDURE'!$P$7:$P$3006,"&lt;&gt;"&amp;C2467,'CARNET DE SOUDURE'!$P$7:$P$3006,"&lt;&gt;")&gt;0,"⚠ DIFFÉRENTE","OK"))</f>
        <v/>
      </c>
      <c r="F2467" s="147"/>
      <c r="G2467" s="80"/>
      <c r="H2467" s="83"/>
      <c r="I2467" s="148" t="str">
        <f aca="false">IF(B2467="","",IFERROR(INDEX('CARNET DE SOUDURE'!$B$7:$B$3006,MATCH(B2467,'CARNET DE SOUDURE'!$L$7:$L$3006,0)),IFERROR(INDEX('CARNET DE SOUDURE'!$B$7:$B$3006,MATCH(B2467,'CARNET DE SOUDURE'!$O$7:$O$3006,0)),"")))</f>
        <v/>
      </c>
      <c r="J2467" s="82" t="str">
        <f aca="false">IF(B2467="","",IFERROR(INDEX('CARNET DE SOUDURE'!$E$7:$E$3006,MATCH(B2467,'CARNET DE SOUDURE'!$O$7:$O$3006,0)),""))</f>
        <v/>
      </c>
      <c r="K2467" s="82" t="str">
        <f aca="false">IF(B2467="","",IFERROR(INDEX('CARNET DE SOUDURE'!$E$7:$E$3006,MATCH(B2467,'CARNET DE SOUDURE'!$L$7:$L$3006,0)),""))</f>
        <v/>
      </c>
      <c r="L2467" s="82" t="str">
        <f aca="false">IF(B2467="","",IFERROR(INDEX('CARNET DE SOUDURE'!$D$7:$D$3006,MATCH(B2467,'CARNET DE SOUDURE'!$L$7:$L$3006,0)),IFERROR(INDEX('CARNET DE SOUDURE'!$D$7:$D$3006,MATCH(B2467,'CARNET DE SOUDURE'!$O$7:$O$3006,0)),"")))</f>
        <v/>
      </c>
      <c r="M2467" s="82" t="str">
        <f aca="false">IF(B2467="","",IF(OR(J2467&lt;&gt;"",K2467&lt;&gt;""),"POSÉ EN LIGNE",IF(COUNTIF(BARDAGE!$C$1:$C$5000,B2467)&gt;0,"BARDÉ","EN STOCK")))</f>
        <v/>
      </c>
      <c r="N2467" s="80"/>
    </row>
    <row r="2468" customFormat="false" ht="15" hidden="false" customHeight="false" outlineLevel="0" collapsed="false">
      <c r="A2468" s="82" t="str">
        <f aca="false">IF(B2468="","",ROW()-6)</f>
        <v/>
      </c>
      <c r="B2468" s="145"/>
      <c r="C2468" s="146"/>
      <c r="D2468" s="146"/>
      <c r="E2468" s="82" t="str">
        <f aca="false">IF(B2468="","",IF(COUNTIFS('CARNET DE SOUDURE'!$L$7:$L$3006,B2468,'CARNET DE SOUDURE'!$M$7:$M$3006,"&lt;&gt;"&amp;C2468,'CARNET DE SOUDURE'!$M$7:$M$3006,"&lt;&gt;")+COUNTIFS('CARNET DE SOUDURE'!$O$7:$O$3006,B2468,'CARNET DE SOUDURE'!$P$7:$P$3006,"&lt;&gt;"&amp;C2468,'CARNET DE SOUDURE'!$P$7:$P$3006,"&lt;&gt;")&gt;0,"⚠ DIFFÉRENTE","OK"))</f>
        <v/>
      </c>
      <c r="F2468" s="147"/>
      <c r="G2468" s="80"/>
      <c r="H2468" s="83"/>
      <c r="I2468" s="148" t="str">
        <f aca="false">IF(B2468="","",IFERROR(INDEX('CARNET DE SOUDURE'!$B$7:$B$3006,MATCH(B2468,'CARNET DE SOUDURE'!$L$7:$L$3006,0)),IFERROR(INDEX('CARNET DE SOUDURE'!$B$7:$B$3006,MATCH(B2468,'CARNET DE SOUDURE'!$O$7:$O$3006,0)),"")))</f>
        <v/>
      </c>
      <c r="J2468" s="82" t="str">
        <f aca="false">IF(B2468="","",IFERROR(INDEX('CARNET DE SOUDURE'!$E$7:$E$3006,MATCH(B2468,'CARNET DE SOUDURE'!$O$7:$O$3006,0)),""))</f>
        <v/>
      </c>
      <c r="K2468" s="82" t="str">
        <f aca="false">IF(B2468="","",IFERROR(INDEX('CARNET DE SOUDURE'!$E$7:$E$3006,MATCH(B2468,'CARNET DE SOUDURE'!$L$7:$L$3006,0)),""))</f>
        <v/>
      </c>
      <c r="L2468" s="82" t="str">
        <f aca="false">IF(B2468="","",IFERROR(INDEX('CARNET DE SOUDURE'!$D$7:$D$3006,MATCH(B2468,'CARNET DE SOUDURE'!$L$7:$L$3006,0)),IFERROR(INDEX('CARNET DE SOUDURE'!$D$7:$D$3006,MATCH(B2468,'CARNET DE SOUDURE'!$O$7:$O$3006,0)),"")))</f>
        <v/>
      </c>
      <c r="M2468" s="82" t="str">
        <f aca="false">IF(B2468="","",IF(OR(J2468&lt;&gt;"",K2468&lt;&gt;""),"POSÉ EN LIGNE",IF(COUNTIF(BARDAGE!$C$1:$C$5000,B2468)&gt;0,"BARDÉ","EN STOCK")))</f>
        <v/>
      </c>
      <c r="N2468" s="80"/>
    </row>
    <row r="2469" customFormat="false" ht="15" hidden="false" customHeight="false" outlineLevel="0" collapsed="false">
      <c r="A2469" s="82" t="str">
        <f aca="false">IF(B2469="","",ROW()-6)</f>
        <v/>
      </c>
      <c r="B2469" s="145"/>
      <c r="C2469" s="146"/>
      <c r="D2469" s="146"/>
      <c r="E2469" s="82" t="str">
        <f aca="false">IF(B2469="","",IF(COUNTIFS('CARNET DE SOUDURE'!$L$7:$L$3006,B2469,'CARNET DE SOUDURE'!$M$7:$M$3006,"&lt;&gt;"&amp;C2469,'CARNET DE SOUDURE'!$M$7:$M$3006,"&lt;&gt;")+COUNTIFS('CARNET DE SOUDURE'!$O$7:$O$3006,B2469,'CARNET DE SOUDURE'!$P$7:$P$3006,"&lt;&gt;"&amp;C2469,'CARNET DE SOUDURE'!$P$7:$P$3006,"&lt;&gt;")&gt;0,"⚠ DIFFÉRENTE","OK"))</f>
        <v/>
      </c>
      <c r="F2469" s="147"/>
      <c r="G2469" s="80"/>
      <c r="H2469" s="83"/>
      <c r="I2469" s="148" t="str">
        <f aca="false">IF(B2469="","",IFERROR(INDEX('CARNET DE SOUDURE'!$B$7:$B$3006,MATCH(B2469,'CARNET DE SOUDURE'!$L$7:$L$3006,0)),IFERROR(INDEX('CARNET DE SOUDURE'!$B$7:$B$3006,MATCH(B2469,'CARNET DE SOUDURE'!$O$7:$O$3006,0)),"")))</f>
        <v/>
      </c>
      <c r="J2469" s="82" t="str">
        <f aca="false">IF(B2469="","",IFERROR(INDEX('CARNET DE SOUDURE'!$E$7:$E$3006,MATCH(B2469,'CARNET DE SOUDURE'!$O$7:$O$3006,0)),""))</f>
        <v/>
      </c>
      <c r="K2469" s="82" t="str">
        <f aca="false">IF(B2469="","",IFERROR(INDEX('CARNET DE SOUDURE'!$E$7:$E$3006,MATCH(B2469,'CARNET DE SOUDURE'!$L$7:$L$3006,0)),""))</f>
        <v/>
      </c>
      <c r="L2469" s="82" t="str">
        <f aca="false">IF(B2469="","",IFERROR(INDEX('CARNET DE SOUDURE'!$D$7:$D$3006,MATCH(B2469,'CARNET DE SOUDURE'!$L$7:$L$3006,0)),IFERROR(INDEX('CARNET DE SOUDURE'!$D$7:$D$3006,MATCH(B2469,'CARNET DE SOUDURE'!$O$7:$O$3006,0)),"")))</f>
        <v/>
      </c>
      <c r="M2469" s="82" t="str">
        <f aca="false">IF(B2469="","",IF(OR(J2469&lt;&gt;"",K2469&lt;&gt;""),"POSÉ EN LIGNE",IF(COUNTIF(BARDAGE!$C$1:$C$5000,B2469)&gt;0,"BARDÉ","EN STOCK")))</f>
        <v/>
      </c>
      <c r="N2469" s="80"/>
    </row>
    <row r="2470" customFormat="false" ht="15" hidden="false" customHeight="false" outlineLevel="0" collapsed="false">
      <c r="A2470" s="82" t="str">
        <f aca="false">IF(B2470="","",ROW()-6)</f>
        <v/>
      </c>
      <c r="B2470" s="145"/>
      <c r="C2470" s="146"/>
      <c r="D2470" s="146"/>
      <c r="E2470" s="82" t="str">
        <f aca="false">IF(B2470="","",IF(COUNTIFS('CARNET DE SOUDURE'!$L$7:$L$3006,B2470,'CARNET DE SOUDURE'!$M$7:$M$3006,"&lt;&gt;"&amp;C2470,'CARNET DE SOUDURE'!$M$7:$M$3006,"&lt;&gt;")+COUNTIFS('CARNET DE SOUDURE'!$O$7:$O$3006,B2470,'CARNET DE SOUDURE'!$P$7:$P$3006,"&lt;&gt;"&amp;C2470,'CARNET DE SOUDURE'!$P$7:$P$3006,"&lt;&gt;")&gt;0,"⚠ DIFFÉRENTE","OK"))</f>
        <v/>
      </c>
      <c r="F2470" s="147"/>
      <c r="G2470" s="80"/>
      <c r="H2470" s="83"/>
      <c r="I2470" s="148" t="str">
        <f aca="false">IF(B2470="","",IFERROR(INDEX('CARNET DE SOUDURE'!$B$7:$B$3006,MATCH(B2470,'CARNET DE SOUDURE'!$L$7:$L$3006,0)),IFERROR(INDEX('CARNET DE SOUDURE'!$B$7:$B$3006,MATCH(B2470,'CARNET DE SOUDURE'!$O$7:$O$3006,0)),"")))</f>
        <v/>
      </c>
      <c r="J2470" s="82" t="str">
        <f aca="false">IF(B2470="","",IFERROR(INDEX('CARNET DE SOUDURE'!$E$7:$E$3006,MATCH(B2470,'CARNET DE SOUDURE'!$O$7:$O$3006,0)),""))</f>
        <v/>
      </c>
      <c r="K2470" s="82" t="str">
        <f aca="false">IF(B2470="","",IFERROR(INDEX('CARNET DE SOUDURE'!$E$7:$E$3006,MATCH(B2470,'CARNET DE SOUDURE'!$L$7:$L$3006,0)),""))</f>
        <v/>
      </c>
      <c r="L2470" s="82" t="str">
        <f aca="false">IF(B2470="","",IFERROR(INDEX('CARNET DE SOUDURE'!$D$7:$D$3006,MATCH(B2470,'CARNET DE SOUDURE'!$L$7:$L$3006,0)),IFERROR(INDEX('CARNET DE SOUDURE'!$D$7:$D$3006,MATCH(B2470,'CARNET DE SOUDURE'!$O$7:$O$3006,0)),"")))</f>
        <v/>
      </c>
      <c r="M2470" s="82" t="str">
        <f aca="false">IF(B2470="","",IF(OR(J2470&lt;&gt;"",K2470&lt;&gt;""),"POSÉ EN LIGNE",IF(COUNTIF(BARDAGE!$C$1:$C$5000,B2470)&gt;0,"BARDÉ","EN STOCK")))</f>
        <v/>
      </c>
      <c r="N2470" s="80"/>
    </row>
    <row r="2471" customFormat="false" ht="15" hidden="false" customHeight="false" outlineLevel="0" collapsed="false">
      <c r="A2471" s="82" t="str">
        <f aca="false">IF(B2471="","",ROW()-6)</f>
        <v/>
      </c>
      <c r="B2471" s="145"/>
      <c r="C2471" s="146"/>
      <c r="D2471" s="146"/>
      <c r="E2471" s="82" t="str">
        <f aca="false">IF(B2471="","",IF(COUNTIFS('CARNET DE SOUDURE'!$L$7:$L$3006,B2471,'CARNET DE SOUDURE'!$M$7:$M$3006,"&lt;&gt;"&amp;C2471,'CARNET DE SOUDURE'!$M$7:$M$3006,"&lt;&gt;")+COUNTIFS('CARNET DE SOUDURE'!$O$7:$O$3006,B2471,'CARNET DE SOUDURE'!$P$7:$P$3006,"&lt;&gt;"&amp;C2471,'CARNET DE SOUDURE'!$P$7:$P$3006,"&lt;&gt;")&gt;0,"⚠ DIFFÉRENTE","OK"))</f>
        <v/>
      </c>
      <c r="F2471" s="147"/>
      <c r="G2471" s="80"/>
      <c r="H2471" s="83"/>
      <c r="I2471" s="148" t="str">
        <f aca="false">IF(B2471="","",IFERROR(INDEX('CARNET DE SOUDURE'!$B$7:$B$3006,MATCH(B2471,'CARNET DE SOUDURE'!$L$7:$L$3006,0)),IFERROR(INDEX('CARNET DE SOUDURE'!$B$7:$B$3006,MATCH(B2471,'CARNET DE SOUDURE'!$O$7:$O$3006,0)),"")))</f>
        <v/>
      </c>
      <c r="J2471" s="82" t="str">
        <f aca="false">IF(B2471="","",IFERROR(INDEX('CARNET DE SOUDURE'!$E$7:$E$3006,MATCH(B2471,'CARNET DE SOUDURE'!$O$7:$O$3006,0)),""))</f>
        <v/>
      </c>
      <c r="K2471" s="82" t="str">
        <f aca="false">IF(B2471="","",IFERROR(INDEX('CARNET DE SOUDURE'!$E$7:$E$3006,MATCH(B2471,'CARNET DE SOUDURE'!$L$7:$L$3006,0)),""))</f>
        <v/>
      </c>
      <c r="L2471" s="82" t="str">
        <f aca="false">IF(B2471="","",IFERROR(INDEX('CARNET DE SOUDURE'!$D$7:$D$3006,MATCH(B2471,'CARNET DE SOUDURE'!$L$7:$L$3006,0)),IFERROR(INDEX('CARNET DE SOUDURE'!$D$7:$D$3006,MATCH(B2471,'CARNET DE SOUDURE'!$O$7:$O$3006,0)),"")))</f>
        <v/>
      </c>
      <c r="M2471" s="82" t="str">
        <f aca="false">IF(B2471="","",IF(OR(J2471&lt;&gt;"",K2471&lt;&gt;""),"POSÉ EN LIGNE",IF(COUNTIF(BARDAGE!$C$1:$C$5000,B2471)&gt;0,"BARDÉ","EN STOCK")))</f>
        <v/>
      </c>
      <c r="N2471" s="80"/>
    </row>
    <row r="2472" customFormat="false" ht="15" hidden="false" customHeight="false" outlineLevel="0" collapsed="false">
      <c r="A2472" s="82" t="str">
        <f aca="false">IF(B2472="","",ROW()-6)</f>
        <v/>
      </c>
      <c r="B2472" s="145"/>
      <c r="C2472" s="146"/>
      <c r="D2472" s="146"/>
      <c r="E2472" s="82" t="str">
        <f aca="false">IF(B2472="","",IF(COUNTIFS('CARNET DE SOUDURE'!$L$7:$L$3006,B2472,'CARNET DE SOUDURE'!$M$7:$M$3006,"&lt;&gt;"&amp;C2472,'CARNET DE SOUDURE'!$M$7:$M$3006,"&lt;&gt;")+COUNTIFS('CARNET DE SOUDURE'!$O$7:$O$3006,B2472,'CARNET DE SOUDURE'!$P$7:$P$3006,"&lt;&gt;"&amp;C2472,'CARNET DE SOUDURE'!$P$7:$P$3006,"&lt;&gt;")&gt;0,"⚠ DIFFÉRENTE","OK"))</f>
        <v/>
      </c>
      <c r="F2472" s="147"/>
      <c r="G2472" s="80"/>
      <c r="H2472" s="83"/>
      <c r="I2472" s="148" t="str">
        <f aca="false">IF(B2472="","",IFERROR(INDEX('CARNET DE SOUDURE'!$B$7:$B$3006,MATCH(B2472,'CARNET DE SOUDURE'!$L$7:$L$3006,0)),IFERROR(INDEX('CARNET DE SOUDURE'!$B$7:$B$3006,MATCH(B2472,'CARNET DE SOUDURE'!$O$7:$O$3006,0)),"")))</f>
        <v/>
      </c>
      <c r="J2472" s="82" t="str">
        <f aca="false">IF(B2472="","",IFERROR(INDEX('CARNET DE SOUDURE'!$E$7:$E$3006,MATCH(B2472,'CARNET DE SOUDURE'!$O$7:$O$3006,0)),""))</f>
        <v/>
      </c>
      <c r="K2472" s="82" t="str">
        <f aca="false">IF(B2472="","",IFERROR(INDEX('CARNET DE SOUDURE'!$E$7:$E$3006,MATCH(B2472,'CARNET DE SOUDURE'!$L$7:$L$3006,0)),""))</f>
        <v/>
      </c>
      <c r="L2472" s="82" t="str">
        <f aca="false">IF(B2472="","",IFERROR(INDEX('CARNET DE SOUDURE'!$D$7:$D$3006,MATCH(B2472,'CARNET DE SOUDURE'!$L$7:$L$3006,0)),IFERROR(INDEX('CARNET DE SOUDURE'!$D$7:$D$3006,MATCH(B2472,'CARNET DE SOUDURE'!$O$7:$O$3006,0)),"")))</f>
        <v/>
      </c>
      <c r="M2472" s="82" t="str">
        <f aca="false">IF(B2472="","",IF(OR(J2472&lt;&gt;"",K2472&lt;&gt;""),"POSÉ EN LIGNE",IF(COUNTIF(BARDAGE!$C$1:$C$5000,B2472)&gt;0,"BARDÉ","EN STOCK")))</f>
        <v/>
      </c>
      <c r="N2472" s="80"/>
    </row>
    <row r="2473" customFormat="false" ht="15" hidden="false" customHeight="false" outlineLevel="0" collapsed="false">
      <c r="A2473" s="82" t="str">
        <f aca="false">IF(B2473="","",ROW()-6)</f>
        <v/>
      </c>
      <c r="B2473" s="145"/>
      <c r="C2473" s="146"/>
      <c r="D2473" s="146"/>
      <c r="E2473" s="82" t="str">
        <f aca="false">IF(B2473="","",IF(COUNTIFS('CARNET DE SOUDURE'!$L$7:$L$3006,B2473,'CARNET DE SOUDURE'!$M$7:$M$3006,"&lt;&gt;"&amp;C2473,'CARNET DE SOUDURE'!$M$7:$M$3006,"&lt;&gt;")+COUNTIFS('CARNET DE SOUDURE'!$O$7:$O$3006,B2473,'CARNET DE SOUDURE'!$P$7:$P$3006,"&lt;&gt;"&amp;C2473,'CARNET DE SOUDURE'!$P$7:$P$3006,"&lt;&gt;")&gt;0,"⚠ DIFFÉRENTE","OK"))</f>
        <v/>
      </c>
      <c r="F2473" s="147"/>
      <c r="G2473" s="80"/>
      <c r="H2473" s="83"/>
      <c r="I2473" s="148" t="str">
        <f aca="false">IF(B2473="","",IFERROR(INDEX('CARNET DE SOUDURE'!$B$7:$B$3006,MATCH(B2473,'CARNET DE SOUDURE'!$L$7:$L$3006,0)),IFERROR(INDEX('CARNET DE SOUDURE'!$B$7:$B$3006,MATCH(B2473,'CARNET DE SOUDURE'!$O$7:$O$3006,0)),"")))</f>
        <v/>
      </c>
      <c r="J2473" s="82" t="str">
        <f aca="false">IF(B2473="","",IFERROR(INDEX('CARNET DE SOUDURE'!$E$7:$E$3006,MATCH(B2473,'CARNET DE SOUDURE'!$O$7:$O$3006,0)),""))</f>
        <v/>
      </c>
      <c r="K2473" s="82" t="str">
        <f aca="false">IF(B2473="","",IFERROR(INDEX('CARNET DE SOUDURE'!$E$7:$E$3006,MATCH(B2473,'CARNET DE SOUDURE'!$L$7:$L$3006,0)),""))</f>
        <v/>
      </c>
      <c r="L2473" s="82" t="str">
        <f aca="false">IF(B2473="","",IFERROR(INDEX('CARNET DE SOUDURE'!$D$7:$D$3006,MATCH(B2473,'CARNET DE SOUDURE'!$L$7:$L$3006,0)),IFERROR(INDEX('CARNET DE SOUDURE'!$D$7:$D$3006,MATCH(B2473,'CARNET DE SOUDURE'!$O$7:$O$3006,0)),"")))</f>
        <v/>
      </c>
      <c r="M2473" s="82" t="str">
        <f aca="false">IF(B2473="","",IF(OR(J2473&lt;&gt;"",K2473&lt;&gt;""),"POSÉ EN LIGNE",IF(COUNTIF(BARDAGE!$C$1:$C$5000,B2473)&gt;0,"BARDÉ","EN STOCK")))</f>
        <v/>
      </c>
      <c r="N2473" s="80"/>
    </row>
    <row r="2474" customFormat="false" ht="15" hidden="false" customHeight="false" outlineLevel="0" collapsed="false">
      <c r="A2474" s="82" t="str">
        <f aca="false">IF(B2474="","",ROW()-6)</f>
        <v/>
      </c>
      <c r="B2474" s="145"/>
      <c r="C2474" s="146"/>
      <c r="D2474" s="146"/>
      <c r="E2474" s="82" t="str">
        <f aca="false">IF(B2474="","",IF(COUNTIFS('CARNET DE SOUDURE'!$L$7:$L$3006,B2474,'CARNET DE SOUDURE'!$M$7:$M$3006,"&lt;&gt;"&amp;C2474,'CARNET DE SOUDURE'!$M$7:$M$3006,"&lt;&gt;")+COUNTIFS('CARNET DE SOUDURE'!$O$7:$O$3006,B2474,'CARNET DE SOUDURE'!$P$7:$P$3006,"&lt;&gt;"&amp;C2474,'CARNET DE SOUDURE'!$P$7:$P$3006,"&lt;&gt;")&gt;0,"⚠ DIFFÉRENTE","OK"))</f>
        <v/>
      </c>
      <c r="F2474" s="147"/>
      <c r="G2474" s="80"/>
      <c r="H2474" s="83"/>
      <c r="I2474" s="148" t="str">
        <f aca="false">IF(B2474="","",IFERROR(INDEX('CARNET DE SOUDURE'!$B$7:$B$3006,MATCH(B2474,'CARNET DE SOUDURE'!$L$7:$L$3006,0)),IFERROR(INDEX('CARNET DE SOUDURE'!$B$7:$B$3006,MATCH(B2474,'CARNET DE SOUDURE'!$O$7:$O$3006,0)),"")))</f>
        <v/>
      </c>
      <c r="J2474" s="82" t="str">
        <f aca="false">IF(B2474="","",IFERROR(INDEX('CARNET DE SOUDURE'!$E$7:$E$3006,MATCH(B2474,'CARNET DE SOUDURE'!$O$7:$O$3006,0)),""))</f>
        <v/>
      </c>
      <c r="K2474" s="82" t="str">
        <f aca="false">IF(B2474="","",IFERROR(INDEX('CARNET DE SOUDURE'!$E$7:$E$3006,MATCH(B2474,'CARNET DE SOUDURE'!$L$7:$L$3006,0)),""))</f>
        <v/>
      </c>
      <c r="L2474" s="82" t="str">
        <f aca="false">IF(B2474="","",IFERROR(INDEX('CARNET DE SOUDURE'!$D$7:$D$3006,MATCH(B2474,'CARNET DE SOUDURE'!$L$7:$L$3006,0)),IFERROR(INDEX('CARNET DE SOUDURE'!$D$7:$D$3006,MATCH(B2474,'CARNET DE SOUDURE'!$O$7:$O$3006,0)),"")))</f>
        <v/>
      </c>
      <c r="M2474" s="82" t="str">
        <f aca="false">IF(B2474="","",IF(OR(J2474&lt;&gt;"",K2474&lt;&gt;""),"POSÉ EN LIGNE",IF(COUNTIF(BARDAGE!$C$1:$C$5000,B2474)&gt;0,"BARDÉ","EN STOCK")))</f>
        <v/>
      </c>
      <c r="N2474" s="80"/>
    </row>
    <row r="2475" customFormat="false" ht="15" hidden="false" customHeight="false" outlineLevel="0" collapsed="false">
      <c r="A2475" s="82" t="str">
        <f aca="false">IF(B2475="","",ROW()-6)</f>
        <v/>
      </c>
      <c r="B2475" s="145"/>
      <c r="C2475" s="146"/>
      <c r="D2475" s="146"/>
      <c r="E2475" s="82" t="str">
        <f aca="false">IF(B2475="","",IF(COUNTIFS('CARNET DE SOUDURE'!$L$7:$L$3006,B2475,'CARNET DE SOUDURE'!$M$7:$M$3006,"&lt;&gt;"&amp;C2475,'CARNET DE SOUDURE'!$M$7:$M$3006,"&lt;&gt;")+COUNTIFS('CARNET DE SOUDURE'!$O$7:$O$3006,B2475,'CARNET DE SOUDURE'!$P$7:$P$3006,"&lt;&gt;"&amp;C2475,'CARNET DE SOUDURE'!$P$7:$P$3006,"&lt;&gt;")&gt;0,"⚠ DIFFÉRENTE","OK"))</f>
        <v/>
      </c>
      <c r="F2475" s="147"/>
      <c r="G2475" s="80"/>
      <c r="H2475" s="83"/>
      <c r="I2475" s="148" t="str">
        <f aca="false">IF(B2475="","",IFERROR(INDEX('CARNET DE SOUDURE'!$B$7:$B$3006,MATCH(B2475,'CARNET DE SOUDURE'!$L$7:$L$3006,0)),IFERROR(INDEX('CARNET DE SOUDURE'!$B$7:$B$3006,MATCH(B2475,'CARNET DE SOUDURE'!$O$7:$O$3006,0)),"")))</f>
        <v/>
      </c>
      <c r="J2475" s="82" t="str">
        <f aca="false">IF(B2475="","",IFERROR(INDEX('CARNET DE SOUDURE'!$E$7:$E$3006,MATCH(B2475,'CARNET DE SOUDURE'!$O$7:$O$3006,0)),""))</f>
        <v/>
      </c>
      <c r="K2475" s="82" t="str">
        <f aca="false">IF(B2475="","",IFERROR(INDEX('CARNET DE SOUDURE'!$E$7:$E$3006,MATCH(B2475,'CARNET DE SOUDURE'!$L$7:$L$3006,0)),""))</f>
        <v/>
      </c>
      <c r="L2475" s="82" t="str">
        <f aca="false">IF(B2475="","",IFERROR(INDEX('CARNET DE SOUDURE'!$D$7:$D$3006,MATCH(B2475,'CARNET DE SOUDURE'!$L$7:$L$3006,0)),IFERROR(INDEX('CARNET DE SOUDURE'!$D$7:$D$3006,MATCH(B2475,'CARNET DE SOUDURE'!$O$7:$O$3006,0)),"")))</f>
        <v/>
      </c>
      <c r="M2475" s="82" t="str">
        <f aca="false">IF(B2475="","",IF(OR(J2475&lt;&gt;"",K2475&lt;&gt;""),"POSÉ EN LIGNE",IF(COUNTIF(BARDAGE!$C$1:$C$5000,B2475)&gt;0,"BARDÉ","EN STOCK")))</f>
        <v/>
      </c>
      <c r="N2475" s="80"/>
    </row>
    <row r="2476" customFormat="false" ht="15" hidden="false" customHeight="false" outlineLevel="0" collapsed="false">
      <c r="A2476" s="82" t="str">
        <f aca="false">IF(B2476="","",ROW()-6)</f>
        <v/>
      </c>
      <c r="B2476" s="145"/>
      <c r="C2476" s="146"/>
      <c r="D2476" s="146"/>
      <c r="E2476" s="82" t="str">
        <f aca="false">IF(B2476="","",IF(COUNTIFS('CARNET DE SOUDURE'!$L$7:$L$3006,B2476,'CARNET DE SOUDURE'!$M$7:$M$3006,"&lt;&gt;"&amp;C2476,'CARNET DE SOUDURE'!$M$7:$M$3006,"&lt;&gt;")+COUNTIFS('CARNET DE SOUDURE'!$O$7:$O$3006,B2476,'CARNET DE SOUDURE'!$P$7:$P$3006,"&lt;&gt;"&amp;C2476,'CARNET DE SOUDURE'!$P$7:$P$3006,"&lt;&gt;")&gt;0,"⚠ DIFFÉRENTE","OK"))</f>
        <v/>
      </c>
      <c r="F2476" s="147"/>
      <c r="G2476" s="80"/>
      <c r="H2476" s="83"/>
      <c r="I2476" s="148" t="str">
        <f aca="false">IF(B2476="","",IFERROR(INDEX('CARNET DE SOUDURE'!$B$7:$B$3006,MATCH(B2476,'CARNET DE SOUDURE'!$L$7:$L$3006,0)),IFERROR(INDEX('CARNET DE SOUDURE'!$B$7:$B$3006,MATCH(B2476,'CARNET DE SOUDURE'!$O$7:$O$3006,0)),"")))</f>
        <v/>
      </c>
      <c r="J2476" s="82" t="str">
        <f aca="false">IF(B2476="","",IFERROR(INDEX('CARNET DE SOUDURE'!$E$7:$E$3006,MATCH(B2476,'CARNET DE SOUDURE'!$O$7:$O$3006,0)),""))</f>
        <v/>
      </c>
      <c r="K2476" s="82" t="str">
        <f aca="false">IF(B2476="","",IFERROR(INDEX('CARNET DE SOUDURE'!$E$7:$E$3006,MATCH(B2476,'CARNET DE SOUDURE'!$L$7:$L$3006,0)),""))</f>
        <v/>
      </c>
      <c r="L2476" s="82" t="str">
        <f aca="false">IF(B2476="","",IFERROR(INDEX('CARNET DE SOUDURE'!$D$7:$D$3006,MATCH(B2476,'CARNET DE SOUDURE'!$L$7:$L$3006,0)),IFERROR(INDEX('CARNET DE SOUDURE'!$D$7:$D$3006,MATCH(B2476,'CARNET DE SOUDURE'!$O$7:$O$3006,0)),"")))</f>
        <v/>
      </c>
      <c r="M2476" s="82" t="str">
        <f aca="false">IF(B2476="","",IF(OR(J2476&lt;&gt;"",K2476&lt;&gt;""),"POSÉ EN LIGNE",IF(COUNTIF(BARDAGE!$C$1:$C$5000,B2476)&gt;0,"BARDÉ","EN STOCK")))</f>
        <v/>
      </c>
      <c r="N2476" s="80"/>
    </row>
    <row r="2477" customFormat="false" ht="15" hidden="false" customHeight="false" outlineLevel="0" collapsed="false">
      <c r="A2477" s="82" t="str">
        <f aca="false">IF(B2477="","",ROW()-6)</f>
        <v/>
      </c>
      <c r="B2477" s="145"/>
      <c r="C2477" s="146"/>
      <c r="D2477" s="146"/>
      <c r="E2477" s="82" t="str">
        <f aca="false">IF(B2477="","",IF(COUNTIFS('CARNET DE SOUDURE'!$L$7:$L$3006,B2477,'CARNET DE SOUDURE'!$M$7:$M$3006,"&lt;&gt;"&amp;C2477,'CARNET DE SOUDURE'!$M$7:$M$3006,"&lt;&gt;")+COUNTIFS('CARNET DE SOUDURE'!$O$7:$O$3006,B2477,'CARNET DE SOUDURE'!$P$7:$P$3006,"&lt;&gt;"&amp;C2477,'CARNET DE SOUDURE'!$P$7:$P$3006,"&lt;&gt;")&gt;0,"⚠ DIFFÉRENTE","OK"))</f>
        <v/>
      </c>
      <c r="F2477" s="147"/>
      <c r="G2477" s="80"/>
      <c r="H2477" s="83"/>
      <c r="I2477" s="148" t="str">
        <f aca="false">IF(B2477="","",IFERROR(INDEX('CARNET DE SOUDURE'!$B$7:$B$3006,MATCH(B2477,'CARNET DE SOUDURE'!$L$7:$L$3006,0)),IFERROR(INDEX('CARNET DE SOUDURE'!$B$7:$B$3006,MATCH(B2477,'CARNET DE SOUDURE'!$O$7:$O$3006,0)),"")))</f>
        <v/>
      </c>
      <c r="J2477" s="82" t="str">
        <f aca="false">IF(B2477="","",IFERROR(INDEX('CARNET DE SOUDURE'!$E$7:$E$3006,MATCH(B2477,'CARNET DE SOUDURE'!$O$7:$O$3006,0)),""))</f>
        <v/>
      </c>
      <c r="K2477" s="82" t="str">
        <f aca="false">IF(B2477="","",IFERROR(INDEX('CARNET DE SOUDURE'!$E$7:$E$3006,MATCH(B2477,'CARNET DE SOUDURE'!$L$7:$L$3006,0)),""))</f>
        <v/>
      </c>
      <c r="L2477" s="82" t="str">
        <f aca="false">IF(B2477="","",IFERROR(INDEX('CARNET DE SOUDURE'!$D$7:$D$3006,MATCH(B2477,'CARNET DE SOUDURE'!$L$7:$L$3006,0)),IFERROR(INDEX('CARNET DE SOUDURE'!$D$7:$D$3006,MATCH(B2477,'CARNET DE SOUDURE'!$O$7:$O$3006,0)),"")))</f>
        <v/>
      </c>
      <c r="M2477" s="82" t="str">
        <f aca="false">IF(B2477="","",IF(OR(J2477&lt;&gt;"",K2477&lt;&gt;""),"POSÉ EN LIGNE",IF(COUNTIF(BARDAGE!$C$1:$C$5000,B2477)&gt;0,"BARDÉ","EN STOCK")))</f>
        <v/>
      </c>
      <c r="N2477" s="80"/>
    </row>
    <row r="2478" customFormat="false" ht="15" hidden="false" customHeight="false" outlineLevel="0" collapsed="false">
      <c r="A2478" s="82" t="str">
        <f aca="false">IF(B2478="","",ROW()-6)</f>
        <v/>
      </c>
      <c r="B2478" s="145"/>
      <c r="C2478" s="146"/>
      <c r="D2478" s="146"/>
      <c r="E2478" s="82" t="str">
        <f aca="false">IF(B2478="","",IF(COUNTIFS('CARNET DE SOUDURE'!$L$7:$L$3006,B2478,'CARNET DE SOUDURE'!$M$7:$M$3006,"&lt;&gt;"&amp;C2478,'CARNET DE SOUDURE'!$M$7:$M$3006,"&lt;&gt;")+COUNTIFS('CARNET DE SOUDURE'!$O$7:$O$3006,B2478,'CARNET DE SOUDURE'!$P$7:$P$3006,"&lt;&gt;"&amp;C2478,'CARNET DE SOUDURE'!$P$7:$P$3006,"&lt;&gt;")&gt;0,"⚠ DIFFÉRENTE","OK"))</f>
        <v/>
      </c>
      <c r="F2478" s="147"/>
      <c r="G2478" s="80"/>
      <c r="H2478" s="83"/>
      <c r="I2478" s="148" t="str">
        <f aca="false">IF(B2478="","",IFERROR(INDEX('CARNET DE SOUDURE'!$B$7:$B$3006,MATCH(B2478,'CARNET DE SOUDURE'!$L$7:$L$3006,0)),IFERROR(INDEX('CARNET DE SOUDURE'!$B$7:$B$3006,MATCH(B2478,'CARNET DE SOUDURE'!$O$7:$O$3006,0)),"")))</f>
        <v/>
      </c>
      <c r="J2478" s="82" t="str">
        <f aca="false">IF(B2478="","",IFERROR(INDEX('CARNET DE SOUDURE'!$E$7:$E$3006,MATCH(B2478,'CARNET DE SOUDURE'!$O$7:$O$3006,0)),""))</f>
        <v/>
      </c>
      <c r="K2478" s="82" t="str">
        <f aca="false">IF(B2478="","",IFERROR(INDEX('CARNET DE SOUDURE'!$E$7:$E$3006,MATCH(B2478,'CARNET DE SOUDURE'!$L$7:$L$3006,0)),""))</f>
        <v/>
      </c>
      <c r="L2478" s="82" t="str">
        <f aca="false">IF(B2478="","",IFERROR(INDEX('CARNET DE SOUDURE'!$D$7:$D$3006,MATCH(B2478,'CARNET DE SOUDURE'!$L$7:$L$3006,0)),IFERROR(INDEX('CARNET DE SOUDURE'!$D$7:$D$3006,MATCH(B2478,'CARNET DE SOUDURE'!$O$7:$O$3006,0)),"")))</f>
        <v/>
      </c>
      <c r="M2478" s="82" t="str">
        <f aca="false">IF(B2478="","",IF(OR(J2478&lt;&gt;"",K2478&lt;&gt;""),"POSÉ EN LIGNE",IF(COUNTIF(BARDAGE!$C$1:$C$5000,B2478)&gt;0,"BARDÉ","EN STOCK")))</f>
        <v/>
      </c>
      <c r="N2478" s="80"/>
    </row>
    <row r="2479" customFormat="false" ht="15" hidden="false" customHeight="false" outlineLevel="0" collapsed="false">
      <c r="A2479" s="82" t="str">
        <f aca="false">IF(B2479="","",ROW()-6)</f>
        <v/>
      </c>
      <c r="B2479" s="145"/>
      <c r="C2479" s="146"/>
      <c r="D2479" s="146"/>
      <c r="E2479" s="82" t="str">
        <f aca="false">IF(B2479="","",IF(COUNTIFS('CARNET DE SOUDURE'!$L$7:$L$3006,B2479,'CARNET DE SOUDURE'!$M$7:$M$3006,"&lt;&gt;"&amp;C2479,'CARNET DE SOUDURE'!$M$7:$M$3006,"&lt;&gt;")+COUNTIFS('CARNET DE SOUDURE'!$O$7:$O$3006,B2479,'CARNET DE SOUDURE'!$P$7:$P$3006,"&lt;&gt;"&amp;C2479,'CARNET DE SOUDURE'!$P$7:$P$3006,"&lt;&gt;")&gt;0,"⚠ DIFFÉRENTE","OK"))</f>
        <v/>
      </c>
      <c r="F2479" s="147"/>
      <c r="G2479" s="80"/>
      <c r="H2479" s="83"/>
      <c r="I2479" s="148" t="str">
        <f aca="false">IF(B2479="","",IFERROR(INDEX('CARNET DE SOUDURE'!$B$7:$B$3006,MATCH(B2479,'CARNET DE SOUDURE'!$L$7:$L$3006,0)),IFERROR(INDEX('CARNET DE SOUDURE'!$B$7:$B$3006,MATCH(B2479,'CARNET DE SOUDURE'!$O$7:$O$3006,0)),"")))</f>
        <v/>
      </c>
      <c r="J2479" s="82" t="str">
        <f aca="false">IF(B2479="","",IFERROR(INDEX('CARNET DE SOUDURE'!$E$7:$E$3006,MATCH(B2479,'CARNET DE SOUDURE'!$O$7:$O$3006,0)),""))</f>
        <v/>
      </c>
      <c r="K2479" s="82" t="str">
        <f aca="false">IF(B2479="","",IFERROR(INDEX('CARNET DE SOUDURE'!$E$7:$E$3006,MATCH(B2479,'CARNET DE SOUDURE'!$L$7:$L$3006,0)),""))</f>
        <v/>
      </c>
      <c r="L2479" s="82" t="str">
        <f aca="false">IF(B2479="","",IFERROR(INDEX('CARNET DE SOUDURE'!$D$7:$D$3006,MATCH(B2479,'CARNET DE SOUDURE'!$L$7:$L$3006,0)),IFERROR(INDEX('CARNET DE SOUDURE'!$D$7:$D$3006,MATCH(B2479,'CARNET DE SOUDURE'!$O$7:$O$3006,0)),"")))</f>
        <v/>
      </c>
      <c r="M2479" s="82" t="str">
        <f aca="false">IF(B2479="","",IF(OR(J2479&lt;&gt;"",K2479&lt;&gt;""),"POSÉ EN LIGNE",IF(COUNTIF(BARDAGE!$C$1:$C$5000,B2479)&gt;0,"BARDÉ","EN STOCK")))</f>
        <v/>
      </c>
      <c r="N2479" s="80"/>
    </row>
    <row r="2480" customFormat="false" ht="15" hidden="false" customHeight="false" outlineLevel="0" collapsed="false">
      <c r="A2480" s="82" t="str">
        <f aca="false">IF(B2480="","",ROW()-6)</f>
        <v/>
      </c>
      <c r="B2480" s="145"/>
      <c r="C2480" s="146"/>
      <c r="D2480" s="146"/>
      <c r="E2480" s="82" t="str">
        <f aca="false">IF(B2480="","",IF(COUNTIFS('CARNET DE SOUDURE'!$L$7:$L$3006,B2480,'CARNET DE SOUDURE'!$M$7:$M$3006,"&lt;&gt;"&amp;C2480,'CARNET DE SOUDURE'!$M$7:$M$3006,"&lt;&gt;")+COUNTIFS('CARNET DE SOUDURE'!$O$7:$O$3006,B2480,'CARNET DE SOUDURE'!$P$7:$P$3006,"&lt;&gt;"&amp;C2480,'CARNET DE SOUDURE'!$P$7:$P$3006,"&lt;&gt;")&gt;0,"⚠ DIFFÉRENTE","OK"))</f>
        <v/>
      </c>
      <c r="F2480" s="147"/>
      <c r="G2480" s="80"/>
      <c r="H2480" s="83"/>
      <c r="I2480" s="148" t="str">
        <f aca="false">IF(B2480="","",IFERROR(INDEX('CARNET DE SOUDURE'!$B$7:$B$3006,MATCH(B2480,'CARNET DE SOUDURE'!$L$7:$L$3006,0)),IFERROR(INDEX('CARNET DE SOUDURE'!$B$7:$B$3006,MATCH(B2480,'CARNET DE SOUDURE'!$O$7:$O$3006,0)),"")))</f>
        <v/>
      </c>
      <c r="J2480" s="82" t="str">
        <f aca="false">IF(B2480="","",IFERROR(INDEX('CARNET DE SOUDURE'!$E$7:$E$3006,MATCH(B2480,'CARNET DE SOUDURE'!$O$7:$O$3006,0)),""))</f>
        <v/>
      </c>
      <c r="K2480" s="82" t="str">
        <f aca="false">IF(B2480="","",IFERROR(INDEX('CARNET DE SOUDURE'!$E$7:$E$3006,MATCH(B2480,'CARNET DE SOUDURE'!$L$7:$L$3006,0)),""))</f>
        <v/>
      </c>
      <c r="L2480" s="82" t="str">
        <f aca="false">IF(B2480="","",IFERROR(INDEX('CARNET DE SOUDURE'!$D$7:$D$3006,MATCH(B2480,'CARNET DE SOUDURE'!$L$7:$L$3006,0)),IFERROR(INDEX('CARNET DE SOUDURE'!$D$7:$D$3006,MATCH(B2480,'CARNET DE SOUDURE'!$O$7:$O$3006,0)),"")))</f>
        <v/>
      </c>
      <c r="M2480" s="82" t="str">
        <f aca="false">IF(B2480="","",IF(OR(J2480&lt;&gt;"",K2480&lt;&gt;""),"POSÉ EN LIGNE",IF(COUNTIF(BARDAGE!$C$1:$C$5000,B2480)&gt;0,"BARDÉ","EN STOCK")))</f>
        <v/>
      </c>
      <c r="N2480" s="80"/>
    </row>
    <row r="2481" customFormat="false" ht="15" hidden="false" customHeight="false" outlineLevel="0" collapsed="false">
      <c r="A2481" s="82" t="str">
        <f aca="false">IF(B2481="","",ROW()-6)</f>
        <v/>
      </c>
      <c r="B2481" s="145"/>
      <c r="C2481" s="146"/>
      <c r="D2481" s="146"/>
      <c r="E2481" s="82" t="str">
        <f aca="false">IF(B2481="","",IF(COUNTIFS('CARNET DE SOUDURE'!$L$7:$L$3006,B2481,'CARNET DE SOUDURE'!$M$7:$M$3006,"&lt;&gt;"&amp;C2481,'CARNET DE SOUDURE'!$M$7:$M$3006,"&lt;&gt;")+COUNTIFS('CARNET DE SOUDURE'!$O$7:$O$3006,B2481,'CARNET DE SOUDURE'!$P$7:$P$3006,"&lt;&gt;"&amp;C2481,'CARNET DE SOUDURE'!$P$7:$P$3006,"&lt;&gt;")&gt;0,"⚠ DIFFÉRENTE","OK"))</f>
        <v/>
      </c>
      <c r="F2481" s="147"/>
      <c r="G2481" s="80"/>
      <c r="H2481" s="83"/>
      <c r="I2481" s="148" t="str">
        <f aca="false">IF(B2481="","",IFERROR(INDEX('CARNET DE SOUDURE'!$B$7:$B$3006,MATCH(B2481,'CARNET DE SOUDURE'!$L$7:$L$3006,0)),IFERROR(INDEX('CARNET DE SOUDURE'!$B$7:$B$3006,MATCH(B2481,'CARNET DE SOUDURE'!$O$7:$O$3006,0)),"")))</f>
        <v/>
      </c>
      <c r="J2481" s="82" t="str">
        <f aca="false">IF(B2481="","",IFERROR(INDEX('CARNET DE SOUDURE'!$E$7:$E$3006,MATCH(B2481,'CARNET DE SOUDURE'!$O$7:$O$3006,0)),""))</f>
        <v/>
      </c>
      <c r="K2481" s="82" t="str">
        <f aca="false">IF(B2481="","",IFERROR(INDEX('CARNET DE SOUDURE'!$E$7:$E$3006,MATCH(B2481,'CARNET DE SOUDURE'!$L$7:$L$3006,0)),""))</f>
        <v/>
      </c>
      <c r="L2481" s="82" t="str">
        <f aca="false">IF(B2481="","",IFERROR(INDEX('CARNET DE SOUDURE'!$D$7:$D$3006,MATCH(B2481,'CARNET DE SOUDURE'!$L$7:$L$3006,0)),IFERROR(INDEX('CARNET DE SOUDURE'!$D$7:$D$3006,MATCH(B2481,'CARNET DE SOUDURE'!$O$7:$O$3006,0)),"")))</f>
        <v/>
      </c>
      <c r="M2481" s="82" t="str">
        <f aca="false">IF(B2481="","",IF(OR(J2481&lt;&gt;"",K2481&lt;&gt;""),"POSÉ EN LIGNE",IF(COUNTIF(BARDAGE!$C$1:$C$5000,B2481)&gt;0,"BARDÉ","EN STOCK")))</f>
        <v/>
      </c>
      <c r="N2481" s="80"/>
    </row>
    <row r="2482" customFormat="false" ht="15" hidden="false" customHeight="false" outlineLevel="0" collapsed="false">
      <c r="A2482" s="82" t="str">
        <f aca="false">IF(B2482="","",ROW()-6)</f>
        <v/>
      </c>
      <c r="B2482" s="145"/>
      <c r="C2482" s="146"/>
      <c r="D2482" s="146"/>
      <c r="E2482" s="82" t="str">
        <f aca="false">IF(B2482="","",IF(COUNTIFS('CARNET DE SOUDURE'!$L$7:$L$3006,B2482,'CARNET DE SOUDURE'!$M$7:$M$3006,"&lt;&gt;"&amp;C2482,'CARNET DE SOUDURE'!$M$7:$M$3006,"&lt;&gt;")+COUNTIFS('CARNET DE SOUDURE'!$O$7:$O$3006,B2482,'CARNET DE SOUDURE'!$P$7:$P$3006,"&lt;&gt;"&amp;C2482,'CARNET DE SOUDURE'!$P$7:$P$3006,"&lt;&gt;")&gt;0,"⚠ DIFFÉRENTE","OK"))</f>
        <v/>
      </c>
      <c r="F2482" s="147"/>
      <c r="G2482" s="80"/>
      <c r="H2482" s="83"/>
      <c r="I2482" s="148" t="str">
        <f aca="false">IF(B2482="","",IFERROR(INDEX('CARNET DE SOUDURE'!$B$7:$B$3006,MATCH(B2482,'CARNET DE SOUDURE'!$L$7:$L$3006,0)),IFERROR(INDEX('CARNET DE SOUDURE'!$B$7:$B$3006,MATCH(B2482,'CARNET DE SOUDURE'!$O$7:$O$3006,0)),"")))</f>
        <v/>
      </c>
      <c r="J2482" s="82" t="str">
        <f aca="false">IF(B2482="","",IFERROR(INDEX('CARNET DE SOUDURE'!$E$7:$E$3006,MATCH(B2482,'CARNET DE SOUDURE'!$O$7:$O$3006,0)),""))</f>
        <v/>
      </c>
      <c r="K2482" s="82" t="str">
        <f aca="false">IF(B2482="","",IFERROR(INDEX('CARNET DE SOUDURE'!$E$7:$E$3006,MATCH(B2482,'CARNET DE SOUDURE'!$L$7:$L$3006,0)),""))</f>
        <v/>
      </c>
      <c r="L2482" s="82" t="str">
        <f aca="false">IF(B2482="","",IFERROR(INDEX('CARNET DE SOUDURE'!$D$7:$D$3006,MATCH(B2482,'CARNET DE SOUDURE'!$L$7:$L$3006,0)),IFERROR(INDEX('CARNET DE SOUDURE'!$D$7:$D$3006,MATCH(B2482,'CARNET DE SOUDURE'!$O$7:$O$3006,0)),"")))</f>
        <v/>
      </c>
      <c r="M2482" s="82" t="str">
        <f aca="false">IF(B2482="","",IF(OR(J2482&lt;&gt;"",K2482&lt;&gt;""),"POSÉ EN LIGNE",IF(COUNTIF(BARDAGE!$C$1:$C$5000,B2482)&gt;0,"BARDÉ","EN STOCK")))</f>
        <v/>
      </c>
      <c r="N2482" s="80"/>
    </row>
    <row r="2483" customFormat="false" ht="15" hidden="false" customHeight="false" outlineLevel="0" collapsed="false">
      <c r="A2483" s="82" t="str">
        <f aca="false">IF(B2483="","",ROW()-6)</f>
        <v/>
      </c>
      <c r="B2483" s="145"/>
      <c r="C2483" s="146"/>
      <c r="D2483" s="146"/>
      <c r="E2483" s="82" t="str">
        <f aca="false">IF(B2483="","",IF(COUNTIFS('CARNET DE SOUDURE'!$L$7:$L$3006,B2483,'CARNET DE SOUDURE'!$M$7:$M$3006,"&lt;&gt;"&amp;C2483,'CARNET DE SOUDURE'!$M$7:$M$3006,"&lt;&gt;")+COUNTIFS('CARNET DE SOUDURE'!$O$7:$O$3006,B2483,'CARNET DE SOUDURE'!$P$7:$P$3006,"&lt;&gt;"&amp;C2483,'CARNET DE SOUDURE'!$P$7:$P$3006,"&lt;&gt;")&gt;0,"⚠ DIFFÉRENTE","OK"))</f>
        <v/>
      </c>
      <c r="F2483" s="147"/>
      <c r="G2483" s="80"/>
      <c r="H2483" s="83"/>
      <c r="I2483" s="148" t="str">
        <f aca="false">IF(B2483="","",IFERROR(INDEX('CARNET DE SOUDURE'!$B$7:$B$3006,MATCH(B2483,'CARNET DE SOUDURE'!$L$7:$L$3006,0)),IFERROR(INDEX('CARNET DE SOUDURE'!$B$7:$B$3006,MATCH(B2483,'CARNET DE SOUDURE'!$O$7:$O$3006,0)),"")))</f>
        <v/>
      </c>
      <c r="J2483" s="82" t="str">
        <f aca="false">IF(B2483="","",IFERROR(INDEX('CARNET DE SOUDURE'!$E$7:$E$3006,MATCH(B2483,'CARNET DE SOUDURE'!$O$7:$O$3006,0)),""))</f>
        <v/>
      </c>
      <c r="K2483" s="82" t="str">
        <f aca="false">IF(B2483="","",IFERROR(INDEX('CARNET DE SOUDURE'!$E$7:$E$3006,MATCH(B2483,'CARNET DE SOUDURE'!$L$7:$L$3006,0)),""))</f>
        <v/>
      </c>
      <c r="L2483" s="82" t="str">
        <f aca="false">IF(B2483="","",IFERROR(INDEX('CARNET DE SOUDURE'!$D$7:$D$3006,MATCH(B2483,'CARNET DE SOUDURE'!$L$7:$L$3006,0)),IFERROR(INDEX('CARNET DE SOUDURE'!$D$7:$D$3006,MATCH(B2483,'CARNET DE SOUDURE'!$O$7:$O$3006,0)),"")))</f>
        <v/>
      </c>
      <c r="M2483" s="82" t="str">
        <f aca="false">IF(B2483="","",IF(OR(J2483&lt;&gt;"",K2483&lt;&gt;""),"POSÉ EN LIGNE",IF(COUNTIF(BARDAGE!$C$1:$C$5000,B2483)&gt;0,"BARDÉ","EN STOCK")))</f>
        <v/>
      </c>
      <c r="N2483" s="80"/>
    </row>
    <row r="2484" customFormat="false" ht="15" hidden="false" customHeight="false" outlineLevel="0" collapsed="false">
      <c r="A2484" s="82" t="str">
        <f aca="false">IF(B2484="","",ROW()-6)</f>
        <v/>
      </c>
      <c r="B2484" s="145"/>
      <c r="C2484" s="146"/>
      <c r="D2484" s="146"/>
      <c r="E2484" s="82" t="str">
        <f aca="false">IF(B2484="","",IF(COUNTIFS('CARNET DE SOUDURE'!$L$7:$L$3006,B2484,'CARNET DE SOUDURE'!$M$7:$M$3006,"&lt;&gt;"&amp;C2484,'CARNET DE SOUDURE'!$M$7:$M$3006,"&lt;&gt;")+COUNTIFS('CARNET DE SOUDURE'!$O$7:$O$3006,B2484,'CARNET DE SOUDURE'!$P$7:$P$3006,"&lt;&gt;"&amp;C2484,'CARNET DE SOUDURE'!$P$7:$P$3006,"&lt;&gt;")&gt;0,"⚠ DIFFÉRENTE","OK"))</f>
        <v/>
      </c>
      <c r="F2484" s="147"/>
      <c r="G2484" s="80"/>
      <c r="H2484" s="83"/>
      <c r="I2484" s="148" t="str">
        <f aca="false">IF(B2484="","",IFERROR(INDEX('CARNET DE SOUDURE'!$B$7:$B$3006,MATCH(B2484,'CARNET DE SOUDURE'!$L$7:$L$3006,0)),IFERROR(INDEX('CARNET DE SOUDURE'!$B$7:$B$3006,MATCH(B2484,'CARNET DE SOUDURE'!$O$7:$O$3006,0)),"")))</f>
        <v/>
      </c>
      <c r="J2484" s="82" t="str">
        <f aca="false">IF(B2484="","",IFERROR(INDEX('CARNET DE SOUDURE'!$E$7:$E$3006,MATCH(B2484,'CARNET DE SOUDURE'!$O$7:$O$3006,0)),""))</f>
        <v/>
      </c>
      <c r="K2484" s="82" t="str">
        <f aca="false">IF(B2484="","",IFERROR(INDEX('CARNET DE SOUDURE'!$E$7:$E$3006,MATCH(B2484,'CARNET DE SOUDURE'!$L$7:$L$3006,0)),""))</f>
        <v/>
      </c>
      <c r="L2484" s="82" t="str">
        <f aca="false">IF(B2484="","",IFERROR(INDEX('CARNET DE SOUDURE'!$D$7:$D$3006,MATCH(B2484,'CARNET DE SOUDURE'!$L$7:$L$3006,0)),IFERROR(INDEX('CARNET DE SOUDURE'!$D$7:$D$3006,MATCH(B2484,'CARNET DE SOUDURE'!$O$7:$O$3006,0)),"")))</f>
        <v/>
      </c>
      <c r="M2484" s="82" t="str">
        <f aca="false">IF(B2484="","",IF(OR(J2484&lt;&gt;"",K2484&lt;&gt;""),"POSÉ EN LIGNE",IF(COUNTIF(BARDAGE!$C$1:$C$5000,B2484)&gt;0,"BARDÉ","EN STOCK")))</f>
        <v/>
      </c>
      <c r="N2484" s="80"/>
    </row>
    <row r="2485" customFormat="false" ht="15" hidden="false" customHeight="false" outlineLevel="0" collapsed="false">
      <c r="A2485" s="82" t="str">
        <f aca="false">IF(B2485="","",ROW()-6)</f>
        <v/>
      </c>
      <c r="B2485" s="145"/>
      <c r="C2485" s="146"/>
      <c r="D2485" s="146"/>
      <c r="E2485" s="82" t="str">
        <f aca="false">IF(B2485="","",IF(COUNTIFS('CARNET DE SOUDURE'!$L$7:$L$3006,B2485,'CARNET DE SOUDURE'!$M$7:$M$3006,"&lt;&gt;"&amp;C2485,'CARNET DE SOUDURE'!$M$7:$M$3006,"&lt;&gt;")+COUNTIFS('CARNET DE SOUDURE'!$O$7:$O$3006,B2485,'CARNET DE SOUDURE'!$P$7:$P$3006,"&lt;&gt;"&amp;C2485,'CARNET DE SOUDURE'!$P$7:$P$3006,"&lt;&gt;")&gt;0,"⚠ DIFFÉRENTE","OK"))</f>
        <v/>
      </c>
      <c r="F2485" s="147"/>
      <c r="G2485" s="80"/>
      <c r="H2485" s="83"/>
      <c r="I2485" s="148" t="str">
        <f aca="false">IF(B2485="","",IFERROR(INDEX('CARNET DE SOUDURE'!$B$7:$B$3006,MATCH(B2485,'CARNET DE SOUDURE'!$L$7:$L$3006,0)),IFERROR(INDEX('CARNET DE SOUDURE'!$B$7:$B$3006,MATCH(B2485,'CARNET DE SOUDURE'!$O$7:$O$3006,0)),"")))</f>
        <v/>
      </c>
      <c r="J2485" s="82" t="str">
        <f aca="false">IF(B2485="","",IFERROR(INDEX('CARNET DE SOUDURE'!$E$7:$E$3006,MATCH(B2485,'CARNET DE SOUDURE'!$O$7:$O$3006,0)),""))</f>
        <v/>
      </c>
      <c r="K2485" s="82" t="str">
        <f aca="false">IF(B2485="","",IFERROR(INDEX('CARNET DE SOUDURE'!$E$7:$E$3006,MATCH(B2485,'CARNET DE SOUDURE'!$L$7:$L$3006,0)),""))</f>
        <v/>
      </c>
      <c r="L2485" s="82" t="str">
        <f aca="false">IF(B2485="","",IFERROR(INDEX('CARNET DE SOUDURE'!$D$7:$D$3006,MATCH(B2485,'CARNET DE SOUDURE'!$L$7:$L$3006,0)),IFERROR(INDEX('CARNET DE SOUDURE'!$D$7:$D$3006,MATCH(B2485,'CARNET DE SOUDURE'!$O$7:$O$3006,0)),"")))</f>
        <v/>
      </c>
      <c r="M2485" s="82" t="str">
        <f aca="false">IF(B2485="","",IF(OR(J2485&lt;&gt;"",K2485&lt;&gt;""),"POSÉ EN LIGNE",IF(COUNTIF(BARDAGE!$C$1:$C$5000,B2485)&gt;0,"BARDÉ","EN STOCK")))</f>
        <v/>
      </c>
      <c r="N2485" s="80"/>
    </row>
    <row r="2486" customFormat="false" ht="15" hidden="false" customHeight="false" outlineLevel="0" collapsed="false">
      <c r="A2486" s="82" t="str">
        <f aca="false">IF(B2486="","",ROW()-6)</f>
        <v/>
      </c>
      <c r="B2486" s="145"/>
      <c r="C2486" s="146"/>
      <c r="D2486" s="146"/>
      <c r="E2486" s="82" t="str">
        <f aca="false">IF(B2486="","",IF(COUNTIFS('CARNET DE SOUDURE'!$L$7:$L$3006,B2486,'CARNET DE SOUDURE'!$M$7:$M$3006,"&lt;&gt;"&amp;C2486,'CARNET DE SOUDURE'!$M$7:$M$3006,"&lt;&gt;")+COUNTIFS('CARNET DE SOUDURE'!$O$7:$O$3006,B2486,'CARNET DE SOUDURE'!$P$7:$P$3006,"&lt;&gt;"&amp;C2486,'CARNET DE SOUDURE'!$P$7:$P$3006,"&lt;&gt;")&gt;0,"⚠ DIFFÉRENTE","OK"))</f>
        <v/>
      </c>
      <c r="F2486" s="147"/>
      <c r="G2486" s="80"/>
      <c r="H2486" s="83"/>
      <c r="I2486" s="148" t="str">
        <f aca="false">IF(B2486="","",IFERROR(INDEX('CARNET DE SOUDURE'!$B$7:$B$3006,MATCH(B2486,'CARNET DE SOUDURE'!$L$7:$L$3006,0)),IFERROR(INDEX('CARNET DE SOUDURE'!$B$7:$B$3006,MATCH(B2486,'CARNET DE SOUDURE'!$O$7:$O$3006,0)),"")))</f>
        <v/>
      </c>
      <c r="J2486" s="82" t="str">
        <f aca="false">IF(B2486="","",IFERROR(INDEX('CARNET DE SOUDURE'!$E$7:$E$3006,MATCH(B2486,'CARNET DE SOUDURE'!$O$7:$O$3006,0)),""))</f>
        <v/>
      </c>
      <c r="K2486" s="82" t="str">
        <f aca="false">IF(B2486="","",IFERROR(INDEX('CARNET DE SOUDURE'!$E$7:$E$3006,MATCH(B2486,'CARNET DE SOUDURE'!$L$7:$L$3006,0)),""))</f>
        <v/>
      </c>
      <c r="L2486" s="82" t="str">
        <f aca="false">IF(B2486="","",IFERROR(INDEX('CARNET DE SOUDURE'!$D$7:$D$3006,MATCH(B2486,'CARNET DE SOUDURE'!$L$7:$L$3006,0)),IFERROR(INDEX('CARNET DE SOUDURE'!$D$7:$D$3006,MATCH(B2486,'CARNET DE SOUDURE'!$O$7:$O$3006,0)),"")))</f>
        <v/>
      </c>
      <c r="M2486" s="82" t="str">
        <f aca="false">IF(B2486="","",IF(OR(J2486&lt;&gt;"",K2486&lt;&gt;""),"POSÉ EN LIGNE",IF(COUNTIF(BARDAGE!$C$1:$C$5000,B2486)&gt;0,"BARDÉ","EN STOCK")))</f>
        <v/>
      </c>
      <c r="N2486" s="80"/>
    </row>
    <row r="2487" customFormat="false" ht="15" hidden="false" customHeight="false" outlineLevel="0" collapsed="false">
      <c r="A2487" s="82" t="str">
        <f aca="false">IF(B2487="","",ROW()-6)</f>
        <v/>
      </c>
      <c r="B2487" s="145"/>
      <c r="C2487" s="146"/>
      <c r="D2487" s="146"/>
      <c r="E2487" s="82" t="str">
        <f aca="false">IF(B2487="","",IF(COUNTIFS('CARNET DE SOUDURE'!$L$7:$L$3006,B2487,'CARNET DE SOUDURE'!$M$7:$M$3006,"&lt;&gt;"&amp;C2487,'CARNET DE SOUDURE'!$M$7:$M$3006,"&lt;&gt;")+COUNTIFS('CARNET DE SOUDURE'!$O$7:$O$3006,B2487,'CARNET DE SOUDURE'!$P$7:$P$3006,"&lt;&gt;"&amp;C2487,'CARNET DE SOUDURE'!$P$7:$P$3006,"&lt;&gt;")&gt;0,"⚠ DIFFÉRENTE","OK"))</f>
        <v/>
      </c>
      <c r="F2487" s="147"/>
      <c r="G2487" s="80"/>
      <c r="H2487" s="83"/>
      <c r="I2487" s="148" t="str">
        <f aca="false">IF(B2487="","",IFERROR(INDEX('CARNET DE SOUDURE'!$B$7:$B$3006,MATCH(B2487,'CARNET DE SOUDURE'!$L$7:$L$3006,0)),IFERROR(INDEX('CARNET DE SOUDURE'!$B$7:$B$3006,MATCH(B2487,'CARNET DE SOUDURE'!$O$7:$O$3006,0)),"")))</f>
        <v/>
      </c>
      <c r="J2487" s="82" t="str">
        <f aca="false">IF(B2487="","",IFERROR(INDEX('CARNET DE SOUDURE'!$E$7:$E$3006,MATCH(B2487,'CARNET DE SOUDURE'!$O$7:$O$3006,0)),""))</f>
        <v/>
      </c>
      <c r="K2487" s="82" t="str">
        <f aca="false">IF(B2487="","",IFERROR(INDEX('CARNET DE SOUDURE'!$E$7:$E$3006,MATCH(B2487,'CARNET DE SOUDURE'!$L$7:$L$3006,0)),""))</f>
        <v/>
      </c>
      <c r="L2487" s="82" t="str">
        <f aca="false">IF(B2487="","",IFERROR(INDEX('CARNET DE SOUDURE'!$D$7:$D$3006,MATCH(B2487,'CARNET DE SOUDURE'!$L$7:$L$3006,0)),IFERROR(INDEX('CARNET DE SOUDURE'!$D$7:$D$3006,MATCH(B2487,'CARNET DE SOUDURE'!$O$7:$O$3006,0)),"")))</f>
        <v/>
      </c>
      <c r="M2487" s="82" t="str">
        <f aca="false">IF(B2487="","",IF(OR(J2487&lt;&gt;"",K2487&lt;&gt;""),"POSÉ EN LIGNE",IF(COUNTIF(BARDAGE!$C$1:$C$5000,B2487)&gt;0,"BARDÉ","EN STOCK")))</f>
        <v/>
      </c>
      <c r="N2487" s="80"/>
    </row>
    <row r="2488" customFormat="false" ht="15" hidden="false" customHeight="false" outlineLevel="0" collapsed="false">
      <c r="A2488" s="82" t="str">
        <f aca="false">IF(B2488="","",ROW()-6)</f>
        <v/>
      </c>
      <c r="B2488" s="145"/>
      <c r="C2488" s="146"/>
      <c r="D2488" s="146"/>
      <c r="E2488" s="82" t="str">
        <f aca="false">IF(B2488="","",IF(COUNTIFS('CARNET DE SOUDURE'!$L$7:$L$3006,B2488,'CARNET DE SOUDURE'!$M$7:$M$3006,"&lt;&gt;"&amp;C2488,'CARNET DE SOUDURE'!$M$7:$M$3006,"&lt;&gt;")+COUNTIFS('CARNET DE SOUDURE'!$O$7:$O$3006,B2488,'CARNET DE SOUDURE'!$P$7:$P$3006,"&lt;&gt;"&amp;C2488,'CARNET DE SOUDURE'!$P$7:$P$3006,"&lt;&gt;")&gt;0,"⚠ DIFFÉRENTE","OK"))</f>
        <v/>
      </c>
      <c r="F2488" s="147"/>
      <c r="G2488" s="80"/>
      <c r="H2488" s="83"/>
      <c r="I2488" s="148" t="str">
        <f aca="false">IF(B2488="","",IFERROR(INDEX('CARNET DE SOUDURE'!$B$7:$B$3006,MATCH(B2488,'CARNET DE SOUDURE'!$L$7:$L$3006,0)),IFERROR(INDEX('CARNET DE SOUDURE'!$B$7:$B$3006,MATCH(B2488,'CARNET DE SOUDURE'!$O$7:$O$3006,0)),"")))</f>
        <v/>
      </c>
      <c r="J2488" s="82" t="str">
        <f aca="false">IF(B2488="","",IFERROR(INDEX('CARNET DE SOUDURE'!$E$7:$E$3006,MATCH(B2488,'CARNET DE SOUDURE'!$O$7:$O$3006,0)),""))</f>
        <v/>
      </c>
      <c r="K2488" s="82" t="str">
        <f aca="false">IF(B2488="","",IFERROR(INDEX('CARNET DE SOUDURE'!$E$7:$E$3006,MATCH(B2488,'CARNET DE SOUDURE'!$L$7:$L$3006,0)),""))</f>
        <v/>
      </c>
      <c r="L2488" s="82" t="str">
        <f aca="false">IF(B2488="","",IFERROR(INDEX('CARNET DE SOUDURE'!$D$7:$D$3006,MATCH(B2488,'CARNET DE SOUDURE'!$L$7:$L$3006,0)),IFERROR(INDEX('CARNET DE SOUDURE'!$D$7:$D$3006,MATCH(B2488,'CARNET DE SOUDURE'!$O$7:$O$3006,0)),"")))</f>
        <v/>
      </c>
      <c r="M2488" s="82" t="str">
        <f aca="false">IF(B2488="","",IF(OR(J2488&lt;&gt;"",K2488&lt;&gt;""),"POSÉ EN LIGNE",IF(COUNTIF(BARDAGE!$C$1:$C$5000,B2488)&gt;0,"BARDÉ","EN STOCK")))</f>
        <v/>
      </c>
      <c r="N2488" s="80"/>
    </row>
    <row r="2489" customFormat="false" ht="15" hidden="false" customHeight="false" outlineLevel="0" collapsed="false">
      <c r="A2489" s="82" t="str">
        <f aca="false">IF(B2489="","",ROW()-6)</f>
        <v/>
      </c>
      <c r="B2489" s="145"/>
      <c r="C2489" s="146"/>
      <c r="D2489" s="146"/>
      <c r="E2489" s="82" t="str">
        <f aca="false">IF(B2489="","",IF(COUNTIFS('CARNET DE SOUDURE'!$L$7:$L$3006,B2489,'CARNET DE SOUDURE'!$M$7:$M$3006,"&lt;&gt;"&amp;C2489,'CARNET DE SOUDURE'!$M$7:$M$3006,"&lt;&gt;")+COUNTIFS('CARNET DE SOUDURE'!$O$7:$O$3006,B2489,'CARNET DE SOUDURE'!$P$7:$P$3006,"&lt;&gt;"&amp;C2489,'CARNET DE SOUDURE'!$P$7:$P$3006,"&lt;&gt;")&gt;0,"⚠ DIFFÉRENTE","OK"))</f>
        <v/>
      </c>
      <c r="F2489" s="147"/>
      <c r="G2489" s="80"/>
      <c r="H2489" s="83"/>
      <c r="I2489" s="148" t="str">
        <f aca="false">IF(B2489="","",IFERROR(INDEX('CARNET DE SOUDURE'!$B$7:$B$3006,MATCH(B2489,'CARNET DE SOUDURE'!$L$7:$L$3006,0)),IFERROR(INDEX('CARNET DE SOUDURE'!$B$7:$B$3006,MATCH(B2489,'CARNET DE SOUDURE'!$O$7:$O$3006,0)),"")))</f>
        <v/>
      </c>
      <c r="J2489" s="82" t="str">
        <f aca="false">IF(B2489="","",IFERROR(INDEX('CARNET DE SOUDURE'!$E$7:$E$3006,MATCH(B2489,'CARNET DE SOUDURE'!$O$7:$O$3006,0)),""))</f>
        <v/>
      </c>
      <c r="K2489" s="82" t="str">
        <f aca="false">IF(B2489="","",IFERROR(INDEX('CARNET DE SOUDURE'!$E$7:$E$3006,MATCH(B2489,'CARNET DE SOUDURE'!$L$7:$L$3006,0)),""))</f>
        <v/>
      </c>
      <c r="L2489" s="82" t="str">
        <f aca="false">IF(B2489="","",IFERROR(INDEX('CARNET DE SOUDURE'!$D$7:$D$3006,MATCH(B2489,'CARNET DE SOUDURE'!$L$7:$L$3006,0)),IFERROR(INDEX('CARNET DE SOUDURE'!$D$7:$D$3006,MATCH(B2489,'CARNET DE SOUDURE'!$O$7:$O$3006,0)),"")))</f>
        <v/>
      </c>
      <c r="M2489" s="82" t="str">
        <f aca="false">IF(B2489="","",IF(OR(J2489&lt;&gt;"",K2489&lt;&gt;""),"POSÉ EN LIGNE",IF(COUNTIF(BARDAGE!$C$1:$C$5000,B2489)&gt;0,"BARDÉ","EN STOCK")))</f>
        <v/>
      </c>
      <c r="N2489" s="80"/>
    </row>
    <row r="2490" customFormat="false" ht="15" hidden="false" customHeight="false" outlineLevel="0" collapsed="false">
      <c r="A2490" s="82" t="str">
        <f aca="false">IF(B2490="","",ROW()-6)</f>
        <v/>
      </c>
      <c r="B2490" s="145"/>
      <c r="C2490" s="146"/>
      <c r="D2490" s="146"/>
      <c r="E2490" s="82" t="str">
        <f aca="false">IF(B2490="","",IF(COUNTIFS('CARNET DE SOUDURE'!$L$7:$L$3006,B2490,'CARNET DE SOUDURE'!$M$7:$M$3006,"&lt;&gt;"&amp;C2490,'CARNET DE SOUDURE'!$M$7:$M$3006,"&lt;&gt;")+COUNTIFS('CARNET DE SOUDURE'!$O$7:$O$3006,B2490,'CARNET DE SOUDURE'!$P$7:$P$3006,"&lt;&gt;"&amp;C2490,'CARNET DE SOUDURE'!$P$7:$P$3006,"&lt;&gt;")&gt;0,"⚠ DIFFÉRENTE","OK"))</f>
        <v/>
      </c>
      <c r="F2490" s="147"/>
      <c r="G2490" s="80"/>
      <c r="H2490" s="83"/>
      <c r="I2490" s="148" t="str">
        <f aca="false">IF(B2490="","",IFERROR(INDEX('CARNET DE SOUDURE'!$B$7:$B$3006,MATCH(B2490,'CARNET DE SOUDURE'!$L$7:$L$3006,0)),IFERROR(INDEX('CARNET DE SOUDURE'!$B$7:$B$3006,MATCH(B2490,'CARNET DE SOUDURE'!$O$7:$O$3006,0)),"")))</f>
        <v/>
      </c>
      <c r="J2490" s="82" t="str">
        <f aca="false">IF(B2490="","",IFERROR(INDEX('CARNET DE SOUDURE'!$E$7:$E$3006,MATCH(B2490,'CARNET DE SOUDURE'!$O$7:$O$3006,0)),""))</f>
        <v/>
      </c>
      <c r="K2490" s="82" t="str">
        <f aca="false">IF(B2490="","",IFERROR(INDEX('CARNET DE SOUDURE'!$E$7:$E$3006,MATCH(B2490,'CARNET DE SOUDURE'!$L$7:$L$3006,0)),""))</f>
        <v/>
      </c>
      <c r="L2490" s="82" t="str">
        <f aca="false">IF(B2490="","",IFERROR(INDEX('CARNET DE SOUDURE'!$D$7:$D$3006,MATCH(B2490,'CARNET DE SOUDURE'!$L$7:$L$3006,0)),IFERROR(INDEX('CARNET DE SOUDURE'!$D$7:$D$3006,MATCH(B2490,'CARNET DE SOUDURE'!$O$7:$O$3006,0)),"")))</f>
        <v/>
      </c>
      <c r="M2490" s="82" t="str">
        <f aca="false">IF(B2490="","",IF(OR(J2490&lt;&gt;"",K2490&lt;&gt;""),"POSÉ EN LIGNE",IF(COUNTIF(BARDAGE!$C$1:$C$5000,B2490)&gt;0,"BARDÉ","EN STOCK")))</f>
        <v/>
      </c>
      <c r="N2490" s="80"/>
    </row>
    <row r="2491" customFormat="false" ht="15" hidden="false" customHeight="false" outlineLevel="0" collapsed="false">
      <c r="A2491" s="82" t="str">
        <f aca="false">IF(B2491="","",ROW()-6)</f>
        <v/>
      </c>
      <c r="B2491" s="145"/>
      <c r="C2491" s="146"/>
      <c r="D2491" s="146"/>
      <c r="E2491" s="82" t="str">
        <f aca="false">IF(B2491="","",IF(COUNTIFS('CARNET DE SOUDURE'!$L$7:$L$3006,B2491,'CARNET DE SOUDURE'!$M$7:$M$3006,"&lt;&gt;"&amp;C2491,'CARNET DE SOUDURE'!$M$7:$M$3006,"&lt;&gt;")+COUNTIFS('CARNET DE SOUDURE'!$O$7:$O$3006,B2491,'CARNET DE SOUDURE'!$P$7:$P$3006,"&lt;&gt;"&amp;C2491,'CARNET DE SOUDURE'!$P$7:$P$3006,"&lt;&gt;")&gt;0,"⚠ DIFFÉRENTE","OK"))</f>
        <v/>
      </c>
      <c r="F2491" s="147"/>
      <c r="G2491" s="80"/>
      <c r="H2491" s="83"/>
      <c r="I2491" s="148" t="str">
        <f aca="false">IF(B2491="","",IFERROR(INDEX('CARNET DE SOUDURE'!$B$7:$B$3006,MATCH(B2491,'CARNET DE SOUDURE'!$L$7:$L$3006,0)),IFERROR(INDEX('CARNET DE SOUDURE'!$B$7:$B$3006,MATCH(B2491,'CARNET DE SOUDURE'!$O$7:$O$3006,0)),"")))</f>
        <v/>
      </c>
      <c r="J2491" s="82" t="str">
        <f aca="false">IF(B2491="","",IFERROR(INDEX('CARNET DE SOUDURE'!$E$7:$E$3006,MATCH(B2491,'CARNET DE SOUDURE'!$O$7:$O$3006,0)),""))</f>
        <v/>
      </c>
      <c r="K2491" s="82" t="str">
        <f aca="false">IF(B2491="","",IFERROR(INDEX('CARNET DE SOUDURE'!$E$7:$E$3006,MATCH(B2491,'CARNET DE SOUDURE'!$L$7:$L$3006,0)),""))</f>
        <v/>
      </c>
      <c r="L2491" s="82" t="str">
        <f aca="false">IF(B2491="","",IFERROR(INDEX('CARNET DE SOUDURE'!$D$7:$D$3006,MATCH(B2491,'CARNET DE SOUDURE'!$L$7:$L$3006,0)),IFERROR(INDEX('CARNET DE SOUDURE'!$D$7:$D$3006,MATCH(B2491,'CARNET DE SOUDURE'!$O$7:$O$3006,0)),"")))</f>
        <v/>
      </c>
      <c r="M2491" s="82" t="str">
        <f aca="false">IF(B2491="","",IF(OR(J2491&lt;&gt;"",K2491&lt;&gt;""),"POSÉ EN LIGNE",IF(COUNTIF(BARDAGE!$C$1:$C$5000,B2491)&gt;0,"BARDÉ","EN STOCK")))</f>
        <v/>
      </c>
      <c r="N2491" s="80"/>
    </row>
    <row r="2492" customFormat="false" ht="15" hidden="false" customHeight="false" outlineLevel="0" collapsed="false">
      <c r="A2492" s="82" t="str">
        <f aca="false">IF(B2492="","",ROW()-6)</f>
        <v/>
      </c>
      <c r="B2492" s="145"/>
      <c r="C2492" s="146"/>
      <c r="D2492" s="146"/>
      <c r="E2492" s="82" t="str">
        <f aca="false">IF(B2492="","",IF(COUNTIFS('CARNET DE SOUDURE'!$L$7:$L$3006,B2492,'CARNET DE SOUDURE'!$M$7:$M$3006,"&lt;&gt;"&amp;C2492,'CARNET DE SOUDURE'!$M$7:$M$3006,"&lt;&gt;")+COUNTIFS('CARNET DE SOUDURE'!$O$7:$O$3006,B2492,'CARNET DE SOUDURE'!$P$7:$P$3006,"&lt;&gt;"&amp;C2492,'CARNET DE SOUDURE'!$P$7:$P$3006,"&lt;&gt;")&gt;0,"⚠ DIFFÉRENTE","OK"))</f>
        <v/>
      </c>
      <c r="F2492" s="147"/>
      <c r="G2492" s="80"/>
      <c r="H2492" s="83"/>
      <c r="I2492" s="148" t="str">
        <f aca="false">IF(B2492="","",IFERROR(INDEX('CARNET DE SOUDURE'!$B$7:$B$3006,MATCH(B2492,'CARNET DE SOUDURE'!$L$7:$L$3006,0)),IFERROR(INDEX('CARNET DE SOUDURE'!$B$7:$B$3006,MATCH(B2492,'CARNET DE SOUDURE'!$O$7:$O$3006,0)),"")))</f>
        <v/>
      </c>
      <c r="J2492" s="82" t="str">
        <f aca="false">IF(B2492="","",IFERROR(INDEX('CARNET DE SOUDURE'!$E$7:$E$3006,MATCH(B2492,'CARNET DE SOUDURE'!$O$7:$O$3006,0)),""))</f>
        <v/>
      </c>
      <c r="K2492" s="82" t="str">
        <f aca="false">IF(B2492="","",IFERROR(INDEX('CARNET DE SOUDURE'!$E$7:$E$3006,MATCH(B2492,'CARNET DE SOUDURE'!$L$7:$L$3006,0)),""))</f>
        <v/>
      </c>
      <c r="L2492" s="82" t="str">
        <f aca="false">IF(B2492="","",IFERROR(INDEX('CARNET DE SOUDURE'!$D$7:$D$3006,MATCH(B2492,'CARNET DE SOUDURE'!$L$7:$L$3006,0)),IFERROR(INDEX('CARNET DE SOUDURE'!$D$7:$D$3006,MATCH(B2492,'CARNET DE SOUDURE'!$O$7:$O$3006,0)),"")))</f>
        <v/>
      </c>
      <c r="M2492" s="82" t="str">
        <f aca="false">IF(B2492="","",IF(OR(J2492&lt;&gt;"",K2492&lt;&gt;""),"POSÉ EN LIGNE",IF(COUNTIF(BARDAGE!$C$1:$C$5000,B2492)&gt;0,"BARDÉ","EN STOCK")))</f>
        <v/>
      </c>
      <c r="N2492" s="80"/>
    </row>
    <row r="2493" customFormat="false" ht="15" hidden="false" customHeight="false" outlineLevel="0" collapsed="false">
      <c r="A2493" s="82" t="str">
        <f aca="false">IF(B2493="","",ROW()-6)</f>
        <v/>
      </c>
      <c r="B2493" s="145"/>
      <c r="C2493" s="146"/>
      <c r="D2493" s="146"/>
      <c r="E2493" s="82" t="str">
        <f aca="false">IF(B2493="","",IF(COUNTIFS('CARNET DE SOUDURE'!$L$7:$L$3006,B2493,'CARNET DE SOUDURE'!$M$7:$M$3006,"&lt;&gt;"&amp;C2493,'CARNET DE SOUDURE'!$M$7:$M$3006,"&lt;&gt;")+COUNTIFS('CARNET DE SOUDURE'!$O$7:$O$3006,B2493,'CARNET DE SOUDURE'!$P$7:$P$3006,"&lt;&gt;"&amp;C2493,'CARNET DE SOUDURE'!$P$7:$P$3006,"&lt;&gt;")&gt;0,"⚠ DIFFÉRENTE","OK"))</f>
        <v/>
      </c>
      <c r="F2493" s="147"/>
      <c r="G2493" s="80"/>
      <c r="H2493" s="83"/>
      <c r="I2493" s="148" t="str">
        <f aca="false">IF(B2493="","",IFERROR(INDEX('CARNET DE SOUDURE'!$B$7:$B$3006,MATCH(B2493,'CARNET DE SOUDURE'!$L$7:$L$3006,0)),IFERROR(INDEX('CARNET DE SOUDURE'!$B$7:$B$3006,MATCH(B2493,'CARNET DE SOUDURE'!$O$7:$O$3006,0)),"")))</f>
        <v/>
      </c>
      <c r="J2493" s="82" t="str">
        <f aca="false">IF(B2493="","",IFERROR(INDEX('CARNET DE SOUDURE'!$E$7:$E$3006,MATCH(B2493,'CARNET DE SOUDURE'!$O$7:$O$3006,0)),""))</f>
        <v/>
      </c>
      <c r="K2493" s="82" t="str">
        <f aca="false">IF(B2493="","",IFERROR(INDEX('CARNET DE SOUDURE'!$E$7:$E$3006,MATCH(B2493,'CARNET DE SOUDURE'!$L$7:$L$3006,0)),""))</f>
        <v/>
      </c>
      <c r="L2493" s="82" t="str">
        <f aca="false">IF(B2493="","",IFERROR(INDEX('CARNET DE SOUDURE'!$D$7:$D$3006,MATCH(B2493,'CARNET DE SOUDURE'!$L$7:$L$3006,0)),IFERROR(INDEX('CARNET DE SOUDURE'!$D$7:$D$3006,MATCH(B2493,'CARNET DE SOUDURE'!$O$7:$O$3006,0)),"")))</f>
        <v/>
      </c>
      <c r="M2493" s="82" t="str">
        <f aca="false">IF(B2493="","",IF(OR(J2493&lt;&gt;"",K2493&lt;&gt;""),"POSÉ EN LIGNE",IF(COUNTIF(BARDAGE!$C$1:$C$5000,B2493)&gt;0,"BARDÉ","EN STOCK")))</f>
        <v/>
      </c>
      <c r="N2493" s="80"/>
    </row>
    <row r="2494" customFormat="false" ht="15" hidden="false" customHeight="false" outlineLevel="0" collapsed="false">
      <c r="A2494" s="82" t="str">
        <f aca="false">IF(B2494="","",ROW()-6)</f>
        <v/>
      </c>
      <c r="B2494" s="145"/>
      <c r="C2494" s="146"/>
      <c r="D2494" s="146"/>
      <c r="E2494" s="82" t="str">
        <f aca="false">IF(B2494="","",IF(COUNTIFS('CARNET DE SOUDURE'!$L$7:$L$3006,B2494,'CARNET DE SOUDURE'!$M$7:$M$3006,"&lt;&gt;"&amp;C2494,'CARNET DE SOUDURE'!$M$7:$M$3006,"&lt;&gt;")+COUNTIFS('CARNET DE SOUDURE'!$O$7:$O$3006,B2494,'CARNET DE SOUDURE'!$P$7:$P$3006,"&lt;&gt;"&amp;C2494,'CARNET DE SOUDURE'!$P$7:$P$3006,"&lt;&gt;")&gt;0,"⚠ DIFFÉRENTE","OK"))</f>
        <v/>
      </c>
      <c r="F2494" s="147"/>
      <c r="G2494" s="80"/>
      <c r="H2494" s="83"/>
      <c r="I2494" s="148" t="str">
        <f aca="false">IF(B2494="","",IFERROR(INDEX('CARNET DE SOUDURE'!$B$7:$B$3006,MATCH(B2494,'CARNET DE SOUDURE'!$L$7:$L$3006,0)),IFERROR(INDEX('CARNET DE SOUDURE'!$B$7:$B$3006,MATCH(B2494,'CARNET DE SOUDURE'!$O$7:$O$3006,0)),"")))</f>
        <v/>
      </c>
      <c r="J2494" s="82" t="str">
        <f aca="false">IF(B2494="","",IFERROR(INDEX('CARNET DE SOUDURE'!$E$7:$E$3006,MATCH(B2494,'CARNET DE SOUDURE'!$O$7:$O$3006,0)),""))</f>
        <v/>
      </c>
      <c r="K2494" s="82" t="str">
        <f aca="false">IF(B2494="","",IFERROR(INDEX('CARNET DE SOUDURE'!$E$7:$E$3006,MATCH(B2494,'CARNET DE SOUDURE'!$L$7:$L$3006,0)),""))</f>
        <v/>
      </c>
      <c r="L2494" s="82" t="str">
        <f aca="false">IF(B2494="","",IFERROR(INDEX('CARNET DE SOUDURE'!$D$7:$D$3006,MATCH(B2494,'CARNET DE SOUDURE'!$L$7:$L$3006,0)),IFERROR(INDEX('CARNET DE SOUDURE'!$D$7:$D$3006,MATCH(B2494,'CARNET DE SOUDURE'!$O$7:$O$3006,0)),"")))</f>
        <v/>
      </c>
      <c r="M2494" s="82" t="str">
        <f aca="false">IF(B2494="","",IF(OR(J2494&lt;&gt;"",K2494&lt;&gt;""),"POSÉ EN LIGNE",IF(COUNTIF(BARDAGE!$C$1:$C$5000,B2494)&gt;0,"BARDÉ","EN STOCK")))</f>
        <v/>
      </c>
      <c r="N2494" s="80"/>
    </row>
    <row r="2495" customFormat="false" ht="15" hidden="false" customHeight="false" outlineLevel="0" collapsed="false">
      <c r="A2495" s="82" t="str">
        <f aca="false">IF(B2495="","",ROW()-6)</f>
        <v/>
      </c>
      <c r="B2495" s="145"/>
      <c r="C2495" s="146"/>
      <c r="D2495" s="146"/>
      <c r="E2495" s="82" t="str">
        <f aca="false">IF(B2495="","",IF(COUNTIFS('CARNET DE SOUDURE'!$L$7:$L$3006,B2495,'CARNET DE SOUDURE'!$M$7:$M$3006,"&lt;&gt;"&amp;C2495,'CARNET DE SOUDURE'!$M$7:$M$3006,"&lt;&gt;")+COUNTIFS('CARNET DE SOUDURE'!$O$7:$O$3006,B2495,'CARNET DE SOUDURE'!$P$7:$P$3006,"&lt;&gt;"&amp;C2495,'CARNET DE SOUDURE'!$P$7:$P$3006,"&lt;&gt;")&gt;0,"⚠ DIFFÉRENTE","OK"))</f>
        <v/>
      </c>
      <c r="F2495" s="147"/>
      <c r="G2495" s="80"/>
      <c r="H2495" s="83"/>
      <c r="I2495" s="148" t="str">
        <f aca="false">IF(B2495="","",IFERROR(INDEX('CARNET DE SOUDURE'!$B$7:$B$3006,MATCH(B2495,'CARNET DE SOUDURE'!$L$7:$L$3006,0)),IFERROR(INDEX('CARNET DE SOUDURE'!$B$7:$B$3006,MATCH(B2495,'CARNET DE SOUDURE'!$O$7:$O$3006,0)),"")))</f>
        <v/>
      </c>
      <c r="J2495" s="82" t="str">
        <f aca="false">IF(B2495="","",IFERROR(INDEX('CARNET DE SOUDURE'!$E$7:$E$3006,MATCH(B2495,'CARNET DE SOUDURE'!$O$7:$O$3006,0)),""))</f>
        <v/>
      </c>
      <c r="K2495" s="82" t="str">
        <f aca="false">IF(B2495="","",IFERROR(INDEX('CARNET DE SOUDURE'!$E$7:$E$3006,MATCH(B2495,'CARNET DE SOUDURE'!$L$7:$L$3006,0)),""))</f>
        <v/>
      </c>
      <c r="L2495" s="82" t="str">
        <f aca="false">IF(B2495="","",IFERROR(INDEX('CARNET DE SOUDURE'!$D$7:$D$3006,MATCH(B2495,'CARNET DE SOUDURE'!$L$7:$L$3006,0)),IFERROR(INDEX('CARNET DE SOUDURE'!$D$7:$D$3006,MATCH(B2495,'CARNET DE SOUDURE'!$O$7:$O$3006,0)),"")))</f>
        <v/>
      </c>
      <c r="M2495" s="82" t="str">
        <f aca="false">IF(B2495="","",IF(OR(J2495&lt;&gt;"",K2495&lt;&gt;""),"POSÉ EN LIGNE",IF(COUNTIF(BARDAGE!$C$1:$C$5000,B2495)&gt;0,"BARDÉ","EN STOCK")))</f>
        <v/>
      </c>
      <c r="N2495" s="80"/>
    </row>
    <row r="2496" customFormat="false" ht="15" hidden="false" customHeight="false" outlineLevel="0" collapsed="false">
      <c r="A2496" s="82" t="str">
        <f aca="false">IF(B2496="","",ROW()-6)</f>
        <v/>
      </c>
      <c r="B2496" s="145"/>
      <c r="C2496" s="146"/>
      <c r="D2496" s="146"/>
      <c r="E2496" s="82" t="str">
        <f aca="false">IF(B2496="","",IF(COUNTIFS('CARNET DE SOUDURE'!$L$7:$L$3006,B2496,'CARNET DE SOUDURE'!$M$7:$M$3006,"&lt;&gt;"&amp;C2496,'CARNET DE SOUDURE'!$M$7:$M$3006,"&lt;&gt;")+COUNTIFS('CARNET DE SOUDURE'!$O$7:$O$3006,B2496,'CARNET DE SOUDURE'!$P$7:$P$3006,"&lt;&gt;"&amp;C2496,'CARNET DE SOUDURE'!$P$7:$P$3006,"&lt;&gt;")&gt;0,"⚠ DIFFÉRENTE","OK"))</f>
        <v/>
      </c>
      <c r="F2496" s="147"/>
      <c r="G2496" s="80"/>
      <c r="H2496" s="83"/>
      <c r="I2496" s="148" t="str">
        <f aca="false">IF(B2496="","",IFERROR(INDEX('CARNET DE SOUDURE'!$B$7:$B$3006,MATCH(B2496,'CARNET DE SOUDURE'!$L$7:$L$3006,0)),IFERROR(INDEX('CARNET DE SOUDURE'!$B$7:$B$3006,MATCH(B2496,'CARNET DE SOUDURE'!$O$7:$O$3006,0)),"")))</f>
        <v/>
      </c>
      <c r="J2496" s="82" t="str">
        <f aca="false">IF(B2496="","",IFERROR(INDEX('CARNET DE SOUDURE'!$E$7:$E$3006,MATCH(B2496,'CARNET DE SOUDURE'!$O$7:$O$3006,0)),""))</f>
        <v/>
      </c>
      <c r="K2496" s="82" t="str">
        <f aca="false">IF(B2496="","",IFERROR(INDEX('CARNET DE SOUDURE'!$E$7:$E$3006,MATCH(B2496,'CARNET DE SOUDURE'!$L$7:$L$3006,0)),""))</f>
        <v/>
      </c>
      <c r="L2496" s="82" t="str">
        <f aca="false">IF(B2496="","",IFERROR(INDEX('CARNET DE SOUDURE'!$D$7:$D$3006,MATCH(B2496,'CARNET DE SOUDURE'!$L$7:$L$3006,0)),IFERROR(INDEX('CARNET DE SOUDURE'!$D$7:$D$3006,MATCH(B2496,'CARNET DE SOUDURE'!$O$7:$O$3006,0)),"")))</f>
        <v/>
      </c>
      <c r="M2496" s="82" t="str">
        <f aca="false">IF(B2496="","",IF(OR(J2496&lt;&gt;"",K2496&lt;&gt;""),"POSÉ EN LIGNE",IF(COUNTIF(BARDAGE!$C$1:$C$5000,B2496)&gt;0,"BARDÉ","EN STOCK")))</f>
        <v/>
      </c>
      <c r="N2496" s="80"/>
    </row>
    <row r="2497" customFormat="false" ht="15" hidden="false" customHeight="false" outlineLevel="0" collapsed="false">
      <c r="A2497" s="82" t="str">
        <f aca="false">IF(B2497="","",ROW()-6)</f>
        <v/>
      </c>
      <c r="B2497" s="145"/>
      <c r="C2497" s="146"/>
      <c r="D2497" s="146"/>
      <c r="E2497" s="82" t="str">
        <f aca="false">IF(B2497="","",IF(COUNTIFS('CARNET DE SOUDURE'!$L$7:$L$3006,B2497,'CARNET DE SOUDURE'!$M$7:$M$3006,"&lt;&gt;"&amp;C2497,'CARNET DE SOUDURE'!$M$7:$M$3006,"&lt;&gt;")+COUNTIFS('CARNET DE SOUDURE'!$O$7:$O$3006,B2497,'CARNET DE SOUDURE'!$P$7:$P$3006,"&lt;&gt;"&amp;C2497,'CARNET DE SOUDURE'!$P$7:$P$3006,"&lt;&gt;")&gt;0,"⚠ DIFFÉRENTE","OK"))</f>
        <v/>
      </c>
      <c r="F2497" s="147"/>
      <c r="G2497" s="80"/>
      <c r="H2497" s="83"/>
      <c r="I2497" s="148" t="str">
        <f aca="false">IF(B2497="","",IFERROR(INDEX('CARNET DE SOUDURE'!$B$7:$B$3006,MATCH(B2497,'CARNET DE SOUDURE'!$L$7:$L$3006,0)),IFERROR(INDEX('CARNET DE SOUDURE'!$B$7:$B$3006,MATCH(B2497,'CARNET DE SOUDURE'!$O$7:$O$3006,0)),"")))</f>
        <v/>
      </c>
      <c r="J2497" s="82" t="str">
        <f aca="false">IF(B2497="","",IFERROR(INDEX('CARNET DE SOUDURE'!$E$7:$E$3006,MATCH(B2497,'CARNET DE SOUDURE'!$O$7:$O$3006,0)),""))</f>
        <v/>
      </c>
      <c r="K2497" s="82" t="str">
        <f aca="false">IF(B2497="","",IFERROR(INDEX('CARNET DE SOUDURE'!$E$7:$E$3006,MATCH(B2497,'CARNET DE SOUDURE'!$L$7:$L$3006,0)),""))</f>
        <v/>
      </c>
      <c r="L2497" s="82" t="str">
        <f aca="false">IF(B2497="","",IFERROR(INDEX('CARNET DE SOUDURE'!$D$7:$D$3006,MATCH(B2497,'CARNET DE SOUDURE'!$L$7:$L$3006,0)),IFERROR(INDEX('CARNET DE SOUDURE'!$D$7:$D$3006,MATCH(B2497,'CARNET DE SOUDURE'!$O$7:$O$3006,0)),"")))</f>
        <v/>
      </c>
      <c r="M2497" s="82" t="str">
        <f aca="false">IF(B2497="","",IF(OR(J2497&lt;&gt;"",K2497&lt;&gt;""),"POSÉ EN LIGNE",IF(COUNTIF(BARDAGE!$C$1:$C$5000,B2497)&gt;0,"BARDÉ","EN STOCK")))</f>
        <v/>
      </c>
      <c r="N2497" s="80"/>
    </row>
    <row r="2498" customFormat="false" ht="15" hidden="false" customHeight="false" outlineLevel="0" collapsed="false">
      <c r="A2498" s="82" t="str">
        <f aca="false">IF(B2498="","",ROW()-6)</f>
        <v/>
      </c>
      <c r="B2498" s="145"/>
      <c r="C2498" s="146"/>
      <c r="D2498" s="146"/>
      <c r="E2498" s="82" t="str">
        <f aca="false">IF(B2498="","",IF(COUNTIFS('CARNET DE SOUDURE'!$L$7:$L$3006,B2498,'CARNET DE SOUDURE'!$M$7:$M$3006,"&lt;&gt;"&amp;C2498,'CARNET DE SOUDURE'!$M$7:$M$3006,"&lt;&gt;")+COUNTIFS('CARNET DE SOUDURE'!$O$7:$O$3006,B2498,'CARNET DE SOUDURE'!$P$7:$P$3006,"&lt;&gt;"&amp;C2498,'CARNET DE SOUDURE'!$P$7:$P$3006,"&lt;&gt;")&gt;0,"⚠ DIFFÉRENTE","OK"))</f>
        <v/>
      </c>
      <c r="F2498" s="147"/>
      <c r="G2498" s="80"/>
      <c r="H2498" s="83"/>
      <c r="I2498" s="148" t="str">
        <f aca="false">IF(B2498="","",IFERROR(INDEX('CARNET DE SOUDURE'!$B$7:$B$3006,MATCH(B2498,'CARNET DE SOUDURE'!$L$7:$L$3006,0)),IFERROR(INDEX('CARNET DE SOUDURE'!$B$7:$B$3006,MATCH(B2498,'CARNET DE SOUDURE'!$O$7:$O$3006,0)),"")))</f>
        <v/>
      </c>
      <c r="J2498" s="82" t="str">
        <f aca="false">IF(B2498="","",IFERROR(INDEX('CARNET DE SOUDURE'!$E$7:$E$3006,MATCH(B2498,'CARNET DE SOUDURE'!$O$7:$O$3006,0)),""))</f>
        <v/>
      </c>
      <c r="K2498" s="82" t="str">
        <f aca="false">IF(B2498="","",IFERROR(INDEX('CARNET DE SOUDURE'!$E$7:$E$3006,MATCH(B2498,'CARNET DE SOUDURE'!$L$7:$L$3006,0)),""))</f>
        <v/>
      </c>
      <c r="L2498" s="82" t="str">
        <f aca="false">IF(B2498="","",IFERROR(INDEX('CARNET DE SOUDURE'!$D$7:$D$3006,MATCH(B2498,'CARNET DE SOUDURE'!$L$7:$L$3006,0)),IFERROR(INDEX('CARNET DE SOUDURE'!$D$7:$D$3006,MATCH(B2498,'CARNET DE SOUDURE'!$O$7:$O$3006,0)),"")))</f>
        <v/>
      </c>
      <c r="M2498" s="82" t="str">
        <f aca="false">IF(B2498="","",IF(OR(J2498&lt;&gt;"",K2498&lt;&gt;""),"POSÉ EN LIGNE",IF(COUNTIF(BARDAGE!$C$1:$C$5000,B2498)&gt;0,"BARDÉ","EN STOCK")))</f>
        <v/>
      </c>
      <c r="N2498" s="80"/>
    </row>
    <row r="2499" customFormat="false" ht="15" hidden="false" customHeight="false" outlineLevel="0" collapsed="false">
      <c r="A2499" s="82" t="str">
        <f aca="false">IF(B2499="","",ROW()-6)</f>
        <v/>
      </c>
      <c r="B2499" s="145"/>
      <c r="C2499" s="146"/>
      <c r="D2499" s="146"/>
      <c r="E2499" s="82" t="str">
        <f aca="false">IF(B2499="","",IF(COUNTIFS('CARNET DE SOUDURE'!$L$7:$L$3006,B2499,'CARNET DE SOUDURE'!$M$7:$M$3006,"&lt;&gt;"&amp;C2499,'CARNET DE SOUDURE'!$M$7:$M$3006,"&lt;&gt;")+COUNTIFS('CARNET DE SOUDURE'!$O$7:$O$3006,B2499,'CARNET DE SOUDURE'!$P$7:$P$3006,"&lt;&gt;"&amp;C2499,'CARNET DE SOUDURE'!$P$7:$P$3006,"&lt;&gt;")&gt;0,"⚠ DIFFÉRENTE","OK"))</f>
        <v/>
      </c>
      <c r="F2499" s="147"/>
      <c r="G2499" s="80"/>
      <c r="H2499" s="83"/>
      <c r="I2499" s="148" t="str">
        <f aca="false">IF(B2499="","",IFERROR(INDEX('CARNET DE SOUDURE'!$B$7:$B$3006,MATCH(B2499,'CARNET DE SOUDURE'!$L$7:$L$3006,0)),IFERROR(INDEX('CARNET DE SOUDURE'!$B$7:$B$3006,MATCH(B2499,'CARNET DE SOUDURE'!$O$7:$O$3006,0)),"")))</f>
        <v/>
      </c>
      <c r="J2499" s="82" t="str">
        <f aca="false">IF(B2499="","",IFERROR(INDEX('CARNET DE SOUDURE'!$E$7:$E$3006,MATCH(B2499,'CARNET DE SOUDURE'!$O$7:$O$3006,0)),""))</f>
        <v/>
      </c>
      <c r="K2499" s="82" t="str">
        <f aca="false">IF(B2499="","",IFERROR(INDEX('CARNET DE SOUDURE'!$E$7:$E$3006,MATCH(B2499,'CARNET DE SOUDURE'!$L$7:$L$3006,0)),""))</f>
        <v/>
      </c>
      <c r="L2499" s="82" t="str">
        <f aca="false">IF(B2499="","",IFERROR(INDEX('CARNET DE SOUDURE'!$D$7:$D$3006,MATCH(B2499,'CARNET DE SOUDURE'!$L$7:$L$3006,0)),IFERROR(INDEX('CARNET DE SOUDURE'!$D$7:$D$3006,MATCH(B2499,'CARNET DE SOUDURE'!$O$7:$O$3006,0)),"")))</f>
        <v/>
      </c>
      <c r="M2499" s="82" t="str">
        <f aca="false">IF(B2499="","",IF(OR(J2499&lt;&gt;"",K2499&lt;&gt;""),"POSÉ EN LIGNE",IF(COUNTIF(BARDAGE!$C$1:$C$5000,B2499)&gt;0,"BARDÉ","EN STOCK")))</f>
        <v/>
      </c>
      <c r="N2499" s="80"/>
    </row>
    <row r="2500" customFormat="false" ht="15" hidden="false" customHeight="false" outlineLevel="0" collapsed="false">
      <c r="A2500" s="82" t="str">
        <f aca="false">IF(B2500="","",ROW()-6)</f>
        <v/>
      </c>
      <c r="B2500" s="145"/>
      <c r="C2500" s="146"/>
      <c r="D2500" s="146"/>
      <c r="E2500" s="82" t="str">
        <f aca="false">IF(B2500="","",IF(COUNTIFS('CARNET DE SOUDURE'!$L$7:$L$3006,B2500,'CARNET DE SOUDURE'!$M$7:$M$3006,"&lt;&gt;"&amp;C2500,'CARNET DE SOUDURE'!$M$7:$M$3006,"&lt;&gt;")+COUNTIFS('CARNET DE SOUDURE'!$O$7:$O$3006,B2500,'CARNET DE SOUDURE'!$P$7:$P$3006,"&lt;&gt;"&amp;C2500,'CARNET DE SOUDURE'!$P$7:$P$3006,"&lt;&gt;")&gt;0,"⚠ DIFFÉRENTE","OK"))</f>
        <v/>
      </c>
      <c r="F2500" s="147"/>
      <c r="G2500" s="80"/>
      <c r="H2500" s="83"/>
      <c r="I2500" s="148" t="str">
        <f aca="false">IF(B2500="","",IFERROR(INDEX('CARNET DE SOUDURE'!$B$7:$B$3006,MATCH(B2500,'CARNET DE SOUDURE'!$L$7:$L$3006,0)),IFERROR(INDEX('CARNET DE SOUDURE'!$B$7:$B$3006,MATCH(B2500,'CARNET DE SOUDURE'!$O$7:$O$3006,0)),"")))</f>
        <v/>
      </c>
      <c r="J2500" s="82" t="str">
        <f aca="false">IF(B2500="","",IFERROR(INDEX('CARNET DE SOUDURE'!$E$7:$E$3006,MATCH(B2500,'CARNET DE SOUDURE'!$O$7:$O$3006,0)),""))</f>
        <v/>
      </c>
      <c r="K2500" s="82" t="str">
        <f aca="false">IF(B2500="","",IFERROR(INDEX('CARNET DE SOUDURE'!$E$7:$E$3006,MATCH(B2500,'CARNET DE SOUDURE'!$L$7:$L$3006,0)),""))</f>
        <v/>
      </c>
      <c r="L2500" s="82" t="str">
        <f aca="false">IF(B2500="","",IFERROR(INDEX('CARNET DE SOUDURE'!$D$7:$D$3006,MATCH(B2500,'CARNET DE SOUDURE'!$L$7:$L$3006,0)),IFERROR(INDEX('CARNET DE SOUDURE'!$D$7:$D$3006,MATCH(B2500,'CARNET DE SOUDURE'!$O$7:$O$3006,0)),"")))</f>
        <v/>
      </c>
      <c r="M2500" s="82" t="str">
        <f aca="false">IF(B2500="","",IF(OR(J2500&lt;&gt;"",K2500&lt;&gt;""),"POSÉ EN LIGNE",IF(COUNTIF(BARDAGE!$C$1:$C$5000,B2500)&gt;0,"BARDÉ","EN STOCK")))</f>
        <v/>
      </c>
      <c r="N2500" s="80"/>
    </row>
    <row r="2501" customFormat="false" ht="15" hidden="false" customHeight="false" outlineLevel="0" collapsed="false">
      <c r="A2501" s="82" t="str">
        <f aca="false">IF(B2501="","",ROW()-6)</f>
        <v/>
      </c>
      <c r="B2501" s="145"/>
      <c r="C2501" s="146"/>
      <c r="D2501" s="146"/>
      <c r="E2501" s="82" t="str">
        <f aca="false">IF(B2501="","",IF(COUNTIFS('CARNET DE SOUDURE'!$L$7:$L$3006,B2501,'CARNET DE SOUDURE'!$M$7:$M$3006,"&lt;&gt;"&amp;C2501,'CARNET DE SOUDURE'!$M$7:$M$3006,"&lt;&gt;")+COUNTIFS('CARNET DE SOUDURE'!$O$7:$O$3006,B2501,'CARNET DE SOUDURE'!$P$7:$P$3006,"&lt;&gt;"&amp;C2501,'CARNET DE SOUDURE'!$P$7:$P$3006,"&lt;&gt;")&gt;0,"⚠ DIFFÉRENTE","OK"))</f>
        <v/>
      </c>
      <c r="F2501" s="147"/>
      <c r="G2501" s="80"/>
      <c r="H2501" s="83"/>
      <c r="I2501" s="148" t="str">
        <f aca="false">IF(B2501="","",IFERROR(INDEX('CARNET DE SOUDURE'!$B$7:$B$3006,MATCH(B2501,'CARNET DE SOUDURE'!$L$7:$L$3006,0)),IFERROR(INDEX('CARNET DE SOUDURE'!$B$7:$B$3006,MATCH(B2501,'CARNET DE SOUDURE'!$O$7:$O$3006,0)),"")))</f>
        <v/>
      </c>
      <c r="J2501" s="82" t="str">
        <f aca="false">IF(B2501="","",IFERROR(INDEX('CARNET DE SOUDURE'!$E$7:$E$3006,MATCH(B2501,'CARNET DE SOUDURE'!$O$7:$O$3006,0)),""))</f>
        <v/>
      </c>
      <c r="K2501" s="82" t="str">
        <f aca="false">IF(B2501="","",IFERROR(INDEX('CARNET DE SOUDURE'!$E$7:$E$3006,MATCH(B2501,'CARNET DE SOUDURE'!$L$7:$L$3006,0)),""))</f>
        <v/>
      </c>
      <c r="L2501" s="82" t="str">
        <f aca="false">IF(B2501="","",IFERROR(INDEX('CARNET DE SOUDURE'!$D$7:$D$3006,MATCH(B2501,'CARNET DE SOUDURE'!$L$7:$L$3006,0)),IFERROR(INDEX('CARNET DE SOUDURE'!$D$7:$D$3006,MATCH(B2501,'CARNET DE SOUDURE'!$O$7:$O$3006,0)),"")))</f>
        <v/>
      </c>
      <c r="M2501" s="82" t="str">
        <f aca="false">IF(B2501="","",IF(OR(J2501&lt;&gt;"",K2501&lt;&gt;""),"POSÉ EN LIGNE",IF(COUNTIF(BARDAGE!$C$1:$C$5000,B2501)&gt;0,"BARDÉ","EN STOCK")))</f>
        <v/>
      </c>
      <c r="N2501" s="80"/>
    </row>
    <row r="2502" customFormat="false" ht="15" hidden="false" customHeight="false" outlineLevel="0" collapsed="false">
      <c r="A2502" s="82" t="str">
        <f aca="false">IF(B2502="","",ROW()-6)</f>
        <v/>
      </c>
      <c r="B2502" s="145"/>
      <c r="C2502" s="146"/>
      <c r="D2502" s="146"/>
      <c r="E2502" s="82" t="str">
        <f aca="false">IF(B2502="","",IF(COUNTIFS('CARNET DE SOUDURE'!$L$7:$L$3006,B2502,'CARNET DE SOUDURE'!$M$7:$M$3006,"&lt;&gt;"&amp;C2502,'CARNET DE SOUDURE'!$M$7:$M$3006,"&lt;&gt;")+COUNTIFS('CARNET DE SOUDURE'!$O$7:$O$3006,B2502,'CARNET DE SOUDURE'!$P$7:$P$3006,"&lt;&gt;"&amp;C2502,'CARNET DE SOUDURE'!$P$7:$P$3006,"&lt;&gt;")&gt;0,"⚠ DIFFÉRENTE","OK"))</f>
        <v/>
      </c>
      <c r="F2502" s="147"/>
      <c r="G2502" s="80"/>
      <c r="H2502" s="83"/>
      <c r="I2502" s="148" t="str">
        <f aca="false">IF(B2502="","",IFERROR(INDEX('CARNET DE SOUDURE'!$B$7:$B$3006,MATCH(B2502,'CARNET DE SOUDURE'!$L$7:$L$3006,0)),IFERROR(INDEX('CARNET DE SOUDURE'!$B$7:$B$3006,MATCH(B2502,'CARNET DE SOUDURE'!$O$7:$O$3006,0)),"")))</f>
        <v/>
      </c>
      <c r="J2502" s="82" t="str">
        <f aca="false">IF(B2502="","",IFERROR(INDEX('CARNET DE SOUDURE'!$E$7:$E$3006,MATCH(B2502,'CARNET DE SOUDURE'!$O$7:$O$3006,0)),""))</f>
        <v/>
      </c>
      <c r="K2502" s="82" t="str">
        <f aca="false">IF(B2502="","",IFERROR(INDEX('CARNET DE SOUDURE'!$E$7:$E$3006,MATCH(B2502,'CARNET DE SOUDURE'!$L$7:$L$3006,0)),""))</f>
        <v/>
      </c>
      <c r="L2502" s="82" t="str">
        <f aca="false">IF(B2502="","",IFERROR(INDEX('CARNET DE SOUDURE'!$D$7:$D$3006,MATCH(B2502,'CARNET DE SOUDURE'!$L$7:$L$3006,0)),IFERROR(INDEX('CARNET DE SOUDURE'!$D$7:$D$3006,MATCH(B2502,'CARNET DE SOUDURE'!$O$7:$O$3006,0)),"")))</f>
        <v/>
      </c>
      <c r="M2502" s="82" t="str">
        <f aca="false">IF(B2502="","",IF(OR(J2502&lt;&gt;"",K2502&lt;&gt;""),"POSÉ EN LIGNE",IF(COUNTIF(BARDAGE!$C$1:$C$5000,B2502)&gt;0,"BARDÉ","EN STOCK")))</f>
        <v/>
      </c>
      <c r="N2502" s="80"/>
    </row>
    <row r="2503" customFormat="false" ht="15" hidden="false" customHeight="false" outlineLevel="0" collapsed="false">
      <c r="A2503" s="82" t="str">
        <f aca="false">IF(B2503="","",ROW()-6)</f>
        <v/>
      </c>
      <c r="B2503" s="145"/>
      <c r="C2503" s="146"/>
      <c r="D2503" s="146"/>
      <c r="E2503" s="82" t="str">
        <f aca="false">IF(B2503="","",IF(COUNTIFS('CARNET DE SOUDURE'!$L$7:$L$3006,B2503,'CARNET DE SOUDURE'!$M$7:$M$3006,"&lt;&gt;"&amp;C2503,'CARNET DE SOUDURE'!$M$7:$M$3006,"&lt;&gt;")+COUNTIFS('CARNET DE SOUDURE'!$O$7:$O$3006,B2503,'CARNET DE SOUDURE'!$P$7:$P$3006,"&lt;&gt;"&amp;C2503,'CARNET DE SOUDURE'!$P$7:$P$3006,"&lt;&gt;")&gt;0,"⚠ DIFFÉRENTE","OK"))</f>
        <v/>
      </c>
      <c r="F2503" s="147"/>
      <c r="G2503" s="80"/>
      <c r="H2503" s="83"/>
      <c r="I2503" s="148" t="str">
        <f aca="false">IF(B2503="","",IFERROR(INDEX('CARNET DE SOUDURE'!$B$7:$B$3006,MATCH(B2503,'CARNET DE SOUDURE'!$L$7:$L$3006,0)),IFERROR(INDEX('CARNET DE SOUDURE'!$B$7:$B$3006,MATCH(B2503,'CARNET DE SOUDURE'!$O$7:$O$3006,0)),"")))</f>
        <v/>
      </c>
      <c r="J2503" s="82" t="str">
        <f aca="false">IF(B2503="","",IFERROR(INDEX('CARNET DE SOUDURE'!$E$7:$E$3006,MATCH(B2503,'CARNET DE SOUDURE'!$O$7:$O$3006,0)),""))</f>
        <v/>
      </c>
      <c r="K2503" s="82" t="str">
        <f aca="false">IF(B2503="","",IFERROR(INDEX('CARNET DE SOUDURE'!$E$7:$E$3006,MATCH(B2503,'CARNET DE SOUDURE'!$L$7:$L$3006,0)),""))</f>
        <v/>
      </c>
      <c r="L2503" s="82" t="str">
        <f aca="false">IF(B2503="","",IFERROR(INDEX('CARNET DE SOUDURE'!$D$7:$D$3006,MATCH(B2503,'CARNET DE SOUDURE'!$L$7:$L$3006,0)),IFERROR(INDEX('CARNET DE SOUDURE'!$D$7:$D$3006,MATCH(B2503,'CARNET DE SOUDURE'!$O$7:$O$3006,0)),"")))</f>
        <v/>
      </c>
      <c r="M2503" s="82" t="str">
        <f aca="false">IF(B2503="","",IF(OR(J2503&lt;&gt;"",K2503&lt;&gt;""),"POSÉ EN LIGNE",IF(COUNTIF(BARDAGE!$C$1:$C$5000,B2503)&gt;0,"BARDÉ","EN STOCK")))</f>
        <v/>
      </c>
      <c r="N2503" s="80"/>
    </row>
    <row r="2504" customFormat="false" ht="15" hidden="false" customHeight="false" outlineLevel="0" collapsed="false">
      <c r="A2504" s="82" t="str">
        <f aca="false">IF(B2504="","",ROW()-6)</f>
        <v/>
      </c>
      <c r="B2504" s="145"/>
      <c r="C2504" s="146"/>
      <c r="D2504" s="146"/>
      <c r="E2504" s="82" t="str">
        <f aca="false">IF(B2504="","",IF(COUNTIFS('CARNET DE SOUDURE'!$L$7:$L$3006,B2504,'CARNET DE SOUDURE'!$M$7:$M$3006,"&lt;&gt;"&amp;C2504,'CARNET DE SOUDURE'!$M$7:$M$3006,"&lt;&gt;")+COUNTIFS('CARNET DE SOUDURE'!$O$7:$O$3006,B2504,'CARNET DE SOUDURE'!$P$7:$P$3006,"&lt;&gt;"&amp;C2504,'CARNET DE SOUDURE'!$P$7:$P$3006,"&lt;&gt;")&gt;0,"⚠ DIFFÉRENTE","OK"))</f>
        <v/>
      </c>
      <c r="F2504" s="147"/>
      <c r="G2504" s="80"/>
      <c r="H2504" s="83"/>
      <c r="I2504" s="148" t="str">
        <f aca="false">IF(B2504="","",IFERROR(INDEX('CARNET DE SOUDURE'!$B$7:$B$3006,MATCH(B2504,'CARNET DE SOUDURE'!$L$7:$L$3006,0)),IFERROR(INDEX('CARNET DE SOUDURE'!$B$7:$B$3006,MATCH(B2504,'CARNET DE SOUDURE'!$O$7:$O$3006,0)),"")))</f>
        <v/>
      </c>
      <c r="J2504" s="82" t="str">
        <f aca="false">IF(B2504="","",IFERROR(INDEX('CARNET DE SOUDURE'!$E$7:$E$3006,MATCH(B2504,'CARNET DE SOUDURE'!$O$7:$O$3006,0)),""))</f>
        <v/>
      </c>
      <c r="K2504" s="82" t="str">
        <f aca="false">IF(B2504="","",IFERROR(INDEX('CARNET DE SOUDURE'!$E$7:$E$3006,MATCH(B2504,'CARNET DE SOUDURE'!$L$7:$L$3006,0)),""))</f>
        <v/>
      </c>
      <c r="L2504" s="82" t="str">
        <f aca="false">IF(B2504="","",IFERROR(INDEX('CARNET DE SOUDURE'!$D$7:$D$3006,MATCH(B2504,'CARNET DE SOUDURE'!$L$7:$L$3006,0)),IFERROR(INDEX('CARNET DE SOUDURE'!$D$7:$D$3006,MATCH(B2504,'CARNET DE SOUDURE'!$O$7:$O$3006,0)),"")))</f>
        <v/>
      </c>
      <c r="M2504" s="82" t="str">
        <f aca="false">IF(B2504="","",IF(OR(J2504&lt;&gt;"",K2504&lt;&gt;""),"POSÉ EN LIGNE",IF(COUNTIF(BARDAGE!$C$1:$C$5000,B2504)&gt;0,"BARDÉ","EN STOCK")))</f>
        <v/>
      </c>
      <c r="N2504" s="80"/>
    </row>
    <row r="2505" customFormat="false" ht="15" hidden="false" customHeight="false" outlineLevel="0" collapsed="false">
      <c r="A2505" s="82" t="str">
        <f aca="false">IF(B2505="","",ROW()-6)</f>
        <v/>
      </c>
      <c r="B2505" s="145"/>
      <c r="C2505" s="146"/>
      <c r="D2505" s="146"/>
      <c r="E2505" s="82" t="str">
        <f aca="false">IF(B2505="","",IF(COUNTIFS('CARNET DE SOUDURE'!$L$7:$L$3006,B2505,'CARNET DE SOUDURE'!$M$7:$M$3006,"&lt;&gt;"&amp;C2505,'CARNET DE SOUDURE'!$M$7:$M$3006,"&lt;&gt;")+COUNTIFS('CARNET DE SOUDURE'!$O$7:$O$3006,B2505,'CARNET DE SOUDURE'!$P$7:$P$3006,"&lt;&gt;"&amp;C2505,'CARNET DE SOUDURE'!$P$7:$P$3006,"&lt;&gt;")&gt;0,"⚠ DIFFÉRENTE","OK"))</f>
        <v/>
      </c>
      <c r="F2505" s="147"/>
      <c r="G2505" s="80"/>
      <c r="H2505" s="83"/>
      <c r="I2505" s="148" t="str">
        <f aca="false">IF(B2505="","",IFERROR(INDEX('CARNET DE SOUDURE'!$B$7:$B$3006,MATCH(B2505,'CARNET DE SOUDURE'!$L$7:$L$3006,0)),IFERROR(INDEX('CARNET DE SOUDURE'!$B$7:$B$3006,MATCH(B2505,'CARNET DE SOUDURE'!$O$7:$O$3006,0)),"")))</f>
        <v/>
      </c>
      <c r="J2505" s="82" t="str">
        <f aca="false">IF(B2505="","",IFERROR(INDEX('CARNET DE SOUDURE'!$E$7:$E$3006,MATCH(B2505,'CARNET DE SOUDURE'!$O$7:$O$3006,0)),""))</f>
        <v/>
      </c>
      <c r="K2505" s="82" t="str">
        <f aca="false">IF(B2505="","",IFERROR(INDEX('CARNET DE SOUDURE'!$E$7:$E$3006,MATCH(B2505,'CARNET DE SOUDURE'!$L$7:$L$3006,0)),""))</f>
        <v/>
      </c>
      <c r="L2505" s="82" t="str">
        <f aca="false">IF(B2505="","",IFERROR(INDEX('CARNET DE SOUDURE'!$D$7:$D$3006,MATCH(B2505,'CARNET DE SOUDURE'!$L$7:$L$3006,0)),IFERROR(INDEX('CARNET DE SOUDURE'!$D$7:$D$3006,MATCH(B2505,'CARNET DE SOUDURE'!$O$7:$O$3006,0)),"")))</f>
        <v/>
      </c>
      <c r="M2505" s="82" t="str">
        <f aca="false">IF(B2505="","",IF(OR(J2505&lt;&gt;"",K2505&lt;&gt;""),"POSÉ EN LIGNE",IF(COUNTIF(BARDAGE!$C$1:$C$5000,B2505)&gt;0,"BARDÉ","EN STOCK")))</f>
        <v/>
      </c>
      <c r="N2505" s="80"/>
    </row>
    <row r="2506" customFormat="false" ht="15" hidden="false" customHeight="false" outlineLevel="0" collapsed="false">
      <c r="A2506" s="82" t="str">
        <f aca="false">IF(B2506="","",ROW()-6)</f>
        <v/>
      </c>
      <c r="B2506" s="145"/>
      <c r="C2506" s="146"/>
      <c r="D2506" s="146"/>
      <c r="E2506" s="82" t="str">
        <f aca="false">IF(B2506="","",IF(COUNTIFS('CARNET DE SOUDURE'!$L$7:$L$3006,B2506,'CARNET DE SOUDURE'!$M$7:$M$3006,"&lt;&gt;"&amp;C2506,'CARNET DE SOUDURE'!$M$7:$M$3006,"&lt;&gt;")+COUNTIFS('CARNET DE SOUDURE'!$O$7:$O$3006,B2506,'CARNET DE SOUDURE'!$P$7:$P$3006,"&lt;&gt;"&amp;C2506,'CARNET DE SOUDURE'!$P$7:$P$3006,"&lt;&gt;")&gt;0,"⚠ DIFFÉRENTE","OK"))</f>
        <v/>
      </c>
      <c r="F2506" s="147"/>
      <c r="G2506" s="80"/>
      <c r="H2506" s="83"/>
      <c r="I2506" s="148" t="str">
        <f aca="false">IF(B2506="","",IFERROR(INDEX('CARNET DE SOUDURE'!$B$7:$B$3006,MATCH(B2506,'CARNET DE SOUDURE'!$L$7:$L$3006,0)),IFERROR(INDEX('CARNET DE SOUDURE'!$B$7:$B$3006,MATCH(B2506,'CARNET DE SOUDURE'!$O$7:$O$3006,0)),"")))</f>
        <v/>
      </c>
      <c r="J2506" s="82" t="str">
        <f aca="false">IF(B2506="","",IFERROR(INDEX('CARNET DE SOUDURE'!$E$7:$E$3006,MATCH(B2506,'CARNET DE SOUDURE'!$O$7:$O$3006,0)),""))</f>
        <v/>
      </c>
      <c r="K2506" s="82" t="str">
        <f aca="false">IF(B2506="","",IFERROR(INDEX('CARNET DE SOUDURE'!$E$7:$E$3006,MATCH(B2506,'CARNET DE SOUDURE'!$L$7:$L$3006,0)),""))</f>
        <v/>
      </c>
      <c r="L2506" s="82" t="str">
        <f aca="false">IF(B2506="","",IFERROR(INDEX('CARNET DE SOUDURE'!$D$7:$D$3006,MATCH(B2506,'CARNET DE SOUDURE'!$L$7:$L$3006,0)),IFERROR(INDEX('CARNET DE SOUDURE'!$D$7:$D$3006,MATCH(B2506,'CARNET DE SOUDURE'!$O$7:$O$3006,0)),"")))</f>
        <v/>
      </c>
      <c r="M2506" s="82" t="str">
        <f aca="false">IF(B2506="","",IF(OR(J2506&lt;&gt;"",K2506&lt;&gt;""),"POSÉ EN LIGNE",IF(COUNTIF(BARDAGE!$C$1:$C$5000,B2506)&gt;0,"BARDÉ","EN STOCK")))</f>
        <v/>
      </c>
      <c r="N2506" s="80"/>
    </row>
  </sheetData>
  <mergeCells count="7">
    <mergeCell ref="A1:N1"/>
    <mergeCell ref="A2:N2"/>
    <mergeCell ref="A3:B3"/>
    <mergeCell ref="D3:E3"/>
    <mergeCell ref="G3:H3"/>
    <mergeCell ref="J3:K3"/>
    <mergeCell ref="M3:N3"/>
  </mergeCells>
  <conditionalFormatting sqref="M7:M2506">
    <cfRule type="cellIs" priority="2" operator="equal" aboveAverage="0" equalAverage="0" bottom="0" percent="0" rank="0" text="" dxfId="1">
      <formula>"POSÉ EN LIGNE"</formula>
    </cfRule>
    <cfRule type="cellIs" priority="3" operator="equal" aboveAverage="0" equalAverage="0" bottom="0" percent="0" rank="0" text="" dxfId="30">
      <formula>"BARDÉ"</formula>
    </cfRule>
    <cfRule type="cellIs" priority="4" operator="equal" aboveAverage="0" equalAverage="0" bottom="0" percent="0" rank="0" text="" dxfId="32">
      <formula>"EN STOCK"</formula>
    </cfRule>
  </conditionalFormatting>
  <conditionalFormatting sqref="B7:B2506">
    <cfRule type="expression" priority="5" aboveAverage="0" equalAverage="0" bottom="0" percent="0" rank="0" text="" dxfId="34">
      <formula>AND(B7&lt;&gt;"",COUNTIF($B$7:$B$2506,B7)&gt;1)</formula>
    </cfRule>
  </conditionalFormatting>
  <conditionalFormatting sqref="E7:E2506">
    <cfRule type="cellIs" priority="6" operator="equal" aboveAverage="0" equalAverage="0" bottom="0" percent="0" rank="0" text="" dxfId="0">
      <formula>"⚠ DIFFÉRENTE"</formula>
    </cfRule>
    <cfRule type="cellIs" priority="7" operator="equal" aboveAverage="0" equalAverage="0" bottom="0" percent="0" rank="0" text="" dxfId="38">
      <formula>"OK"</formula>
    </cfRule>
  </conditionalFormatting>
  <dataValidations count="1">
    <dataValidation allowBlank="true" errorStyle="stop" operator="between" showDropDown="false" showErrorMessage="false" showInputMessage="false" sqref="H7:H2506" type="date">
      <formula1>DATE(2020,1,1)</formula1>
      <formula2>DATE(2040,12,31)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766E"/>
    <pageSetUpPr fitToPage="false"/>
  </sheetPr>
  <dimension ref="B2:K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3" min="3" style="0" width="24"/>
    <col collapsed="false" customWidth="true" hidden="false" outlineLevel="0" max="4" min="4" style="0" width="18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13"/>
    <col collapsed="false" customWidth="true" hidden="false" outlineLevel="0" max="11" min="10" style="0" width="14"/>
  </cols>
  <sheetData>
    <row r="2" customFormat="false" ht="33.75" hidden="false" customHeight="true" outlineLevel="0" collapsed="false">
      <c r="B2" s="149" t="s">
        <v>3238</v>
      </c>
      <c r="C2" s="149"/>
      <c r="D2" s="149"/>
      <c r="E2" s="149"/>
      <c r="F2" s="149"/>
      <c r="G2" s="149"/>
      <c r="H2" s="149"/>
      <c r="I2" s="149"/>
      <c r="J2" s="149"/>
      <c r="K2" s="149"/>
    </row>
    <row r="3" customFormat="false" ht="15" hidden="false" customHeight="true" outlineLevel="0" collapsed="false">
      <c r="B3" s="61" t="s">
        <v>3239</v>
      </c>
      <c r="C3" s="61"/>
      <c r="D3" s="61"/>
      <c r="E3" s="61"/>
      <c r="F3" s="61"/>
      <c r="G3" s="61"/>
      <c r="H3" s="61"/>
      <c r="I3" s="61"/>
      <c r="J3" s="61"/>
      <c r="K3" s="61"/>
    </row>
    <row r="5" customFormat="false" ht="33.75" hidden="false" customHeight="true" outlineLevel="0" collapsed="false">
      <c r="B5" s="55" t="s">
        <v>3240</v>
      </c>
      <c r="C5" s="55" t="s">
        <v>45</v>
      </c>
      <c r="D5" s="55" t="s">
        <v>3241</v>
      </c>
      <c r="E5" s="55" t="s">
        <v>32</v>
      </c>
      <c r="F5" s="55" t="s">
        <v>19</v>
      </c>
      <c r="G5" s="55" t="s">
        <v>3242</v>
      </c>
      <c r="H5" s="55" t="s">
        <v>3243</v>
      </c>
      <c r="I5" s="55" t="s">
        <v>27</v>
      </c>
      <c r="J5" s="55" t="s">
        <v>3244</v>
      </c>
      <c r="K5" s="55" t="s">
        <v>47</v>
      </c>
    </row>
    <row r="6" customFormat="false" ht="15" hidden="false" customHeight="false" outlineLevel="0" collapsed="false">
      <c r="B6" s="150" t="s">
        <v>963</v>
      </c>
      <c r="C6" s="151"/>
      <c r="D6" s="151"/>
      <c r="E6" s="129"/>
      <c r="F6" s="125" t="n">
        <f aca="false">IF($B6="","",SUMPRODUCT(--((('CARNET DE SOUDURE'!$R$7:$R$3006=B6)+('CARNET DE SOUDURE'!$S$7:$S$3006=B6)+('CARNET DE SOUDURE'!$T$7:$T$3006=B6))&gt;0)))</f>
        <v>100</v>
      </c>
      <c r="G6" s="125" t="n">
        <f aca="false">IF($B6="","",SUMPRODUCT(((('CARNET DE SOUDURE'!$R$7:$R$3006=B6)+('CARNET DE SOUDURE'!$S$7:$S$3006=B6)+('CARNET DE SOUDURE'!$T$7:$T$3006=B6))&gt;0)*(('CARNET DE SOUDURE'!$AA$7:$AA$3006="A")+('CARNET DE SOUDURE'!$AA$7:$AA$3006="R")+('CARNET DE SOUDURE'!$AA$7:$AA$3006="NT")+('CARNET DE SOUDURE'!$AA$7:$AA$3006="CO"))))</f>
        <v>100</v>
      </c>
      <c r="H6" s="125" t="n">
        <f aca="false">IF($B6="","",SUMPRODUCT(((('CARNET DE SOUDURE'!$R$7:$R$3006=B6)+('CARNET DE SOUDURE'!$S$7:$S$3006=B6)+('CARNET DE SOUDURE'!$T$7:$T$3006=B6))&gt;0)*(('CARNET DE SOUDURE'!$AA$7:$AA$3006="R")+('CARNET DE SOUDURE'!$AA$7:$AA$3006="NT")+('CARNET DE SOUDURE'!$AA$7:$AA$3006="CO"))))</f>
        <v>0</v>
      </c>
      <c r="I6" s="40" t="n">
        <f aca="false">IF($B6="","",IFERROR(H6/G6,0))</f>
        <v>0</v>
      </c>
      <c r="J6" s="125" t="n">
        <f aca="false">IF($B6="","",COUNTIF('CARNET DE SOUDURE'!$AC$7:$AC$3006,B6)+COUNTIF('CARNET DE SOUDURE'!$AH$7:$AH$3006,B6))</f>
        <v>0</v>
      </c>
      <c r="K6" s="127" t="str">
        <f aca="false">IF($B6="","",IF(G6=0,"—",IF(I6&lt;=0.02,"Excellent",IF(I6&lt;=0.05,"Bon","À surveiller"))))</f>
        <v>Excellent</v>
      </c>
    </row>
    <row r="7" customFormat="false" ht="15" hidden="false" customHeight="false" outlineLevel="0" collapsed="false">
      <c r="B7" s="150" t="s">
        <v>1367</v>
      </c>
      <c r="C7" s="151"/>
      <c r="D7" s="151"/>
      <c r="E7" s="129"/>
      <c r="F7" s="125" t="n">
        <f aca="false">IF($B7="","",SUMPRODUCT(--((('CARNET DE SOUDURE'!$R$7:$R$3006=B7)+('CARNET DE SOUDURE'!$S$7:$S$3006=B7)+('CARNET DE SOUDURE'!$T$7:$T$3006=B7))&gt;0)))</f>
        <v>99</v>
      </c>
      <c r="G7" s="125" t="n">
        <f aca="false">IF($B7="","",SUMPRODUCT(((('CARNET DE SOUDURE'!$R$7:$R$3006=B7)+('CARNET DE SOUDURE'!$S$7:$S$3006=B7)+('CARNET DE SOUDURE'!$T$7:$T$3006=B7))&gt;0)*(('CARNET DE SOUDURE'!$AA$7:$AA$3006="A")+('CARNET DE SOUDURE'!$AA$7:$AA$3006="R")+('CARNET DE SOUDURE'!$AA$7:$AA$3006="NT")+('CARNET DE SOUDURE'!$AA$7:$AA$3006="CO"))))</f>
        <v>94</v>
      </c>
      <c r="H7" s="125" t="n">
        <f aca="false">IF($B7="","",SUMPRODUCT(((('CARNET DE SOUDURE'!$R$7:$R$3006=B7)+('CARNET DE SOUDURE'!$S$7:$S$3006=B7)+('CARNET DE SOUDURE'!$T$7:$T$3006=B7))&gt;0)*(('CARNET DE SOUDURE'!$AA$7:$AA$3006="R")+('CARNET DE SOUDURE'!$AA$7:$AA$3006="NT")+('CARNET DE SOUDURE'!$AA$7:$AA$3006="CO"))))</f>
        <v>16</v>
      </c>
      <c r="I7" s="40" t="n">
        <f aca="false">IF($B7="","",IFERROR(H7/G7,0))</f>
        <v>0.170212765957447</v>
      </c>
      <c r="J7" s="125" t="n">
        <f aca="false">IF($B7="","",COUNTIF('CARNET DE SOUDURE'!$AC$7:$AC$3006,B7)+COUNTIF('CARNET DE SOUDURE'!$AH$7:$AH$3006,B7))</f>
        <v>0</v>
      </c>
      <c r="K7" s="127" t="str">
        <f aca="false">IF($B7="","",IF(G7=0,"—",IF(I7&lt;=0.02,"Excellent",IF(I7&lt;=0.05,"Bon","À surveiller"))))</f>
        <v>À surveiller</v>
      </c>
    </row>
    <row r="8" customFormat="false" ht="15" hidden="false" customHeight="false" outlineLevel="0" collapsed="false">
      <c r="B8" s="150" t="s">
        <v>1147</v>
      </c>
      <c r="C8" s="151"/>
      <c r="D8" s="151"/>
      <c r="E8" s="129"/>
      <c r="F8" s="125" t="n">
        <f aca="false">IF($B8="","",SUMPRODUCT(--((('CARNET DE SOUDURE'!$R$7:$R$3006=B8)+('CARNET DE SOUDURE'!$S$7:$S$3006=B8)+('CARNET DE SOUDURE'!$T$7:$T$3006=B8))&gt;0)))</f>
        <v>87</v>
      </c>
      <c r="G8" s="125" t="n">
        <f aca="false">IF($B8="","",SUMPRODUCT(((('CARNET DE SOUDURE'!$R$7:$R$3006=B8)+('CARNET DE SOUDURE'!$S$7:$S$3006=B8)+('CARNET DE SOUDURE'!$T$7:$T$3006=B8))&gt;0)*(('CARNET DE SOUDURE'!$AA$7:$AA$3006="A")+('CARNET DE SOUDURE'!$AA$7:$AA$3006="R")+('CARNET DE SOUDURE'!$AA$7:$AA$3006="NT")+('CARNET DE SOUDURE'!$AA$7:$AA$3006="CO"))))</f>
        <v>87</v>
      </c>
      <c r="H8" s="125" t="n">
        <f aca="false">IF($B8="","",SUMPRODUCT(((('CARNET DE SOUDURE'!$R$7:$R$3006=B8)+('CARNET DE SOUDURE'!$S$7:$S$3006=B8)+('CARNET DE SOUDURE'!$T$7:$T$3006=B8))&gt;0)*(('CARNET DE SOUDURE'!$AA$7:$AA$3006="R")+('CARNET DE SOUDURE'!$AA$7:$AA$3006="NT")+('CARNET DE SOUDURE'!$AA$7:$AA$3006="CO"))))</f>
        <v>0</v>
      </c>
      <c r="I8" s="40" t="n">
        <f aca="false">IF($B8="","",IFERROR(H8/G8,0))</f>
        <v>0</v>
      </c>
      <c r="J8" s="125" t="n">
        <f aca="false">IF($B8="","",COUNTIF('CARNET DE SOUDURE'!$AC$7:$AC$3006,B8)+COUNTIF('CARNET DE SOUDURE'!$AH$7:$AH$3006,B8))</f>
        <v>0</v>
      </c>
      <c r="K8" s="127" t="str">
        <f aca="false">IF($B8="","",IF(G8=0,"—",IF(I8&lt;=0.02,"Excellent",IF(I8&lt;=0.05,"Bon","À surveiller"))))</f>
        <v>Excellent</v>
      </c>
    </row>
    <row r="9" customFormat="false" ht="15" hidden="false" customHeight="false" outlineLevel="0" collapsed="false">
      <c r="B9" s="150" t="s">
        <v>1135</v>
      </c>
      <c r="C9" s="151"/>
      <c r="D9" s="151"/>
      <c r="E9" s="129"/>
      <c r="F9" s="125" t="n">
        <f aca="false">IF($B9="","",SUMPRODUCT(--((('CARNET DE SOUDURE'!$R$7:$R$3006=B9)+('CARNET DE SOUDURE'!$S$7:$S$3006=B9)+('CARNET DE SOUDURE'!$T$7:$T$3006=B9))&gt;0)))</f>
        <v>82</v>
      </c>
      <c r="G9" s="125" t="n">
        <f aca="false">IF($B9="","",SUMPRODUCT(((('CARNET DE SOUDURE'!$R$7:$R$3006=B9)+('CARNET DE SOUDURE'!$S$7:$S$3006=B9)+('CARNET DE SOUDURE'!$T$7:$T$3006=B9))&gt;0)*(('CARNET DE SOUDURE'!$AA$7:$AA$3006="A")+('CARNET DE SOUDURE'!$AA$7:$AA$3006="R")+('CARNET DE SOUDURE'!$AA$7:$AA$3006="NT")+('CARNET DE SOUDURE'!$AA$7:$AA$3006="CO"))))</f>
        <v>82</v>
      </c>
      <c r="H9" s="125" t="n">
        <f aca="false">IF($B9="","",SUMPRODUCT(((('CARNET DE SOUDURE'!$R$7:$R$3006=B9)+('CARNET DE SOUDURE'!$S$7:$S$3006=B9)+('CARNET DE SOUDURE'!$T$7:$T$3006=B9))&gt;0)*(('CARNET DE SOUDURE'!$AA$7:$AA$3006="R")+('CARNET DE SOUDURE'!$AA$7:$AA$3006="NT")+('CARNET DE SOUDURE'!$AA$7:$AA$3006="CO"))))</f>
        <v>0</v>
      </c>
      <c r="I9" s="40" t="n">
        <f aca="false">IF($B9="","",IFERROR(H9/G9,0))</f>
        <v>0</v>
      </c>
      <c r="J9" s="125" t="n">
        <f aca="false">IF($B9="","",COUNTIF('CARNET DE SOUDURE'!$AC$7:$AC$3006,B9)+COUNTIF('CARNET DE SOUDURE'!$AH$7:$AH$3006,B9))</f>
        <v>0</v>
      </c>
      <c r="K9" s="127" t="str">
        <f aca="false">IF($B9="","",IF(G9=0,"—",IF(I9&lt;=0.02,"Excellent",IF(I9&lt;=0.05,"Bon","À surveiller"))))</f>
        <v>Excellent</v>
      </c>
    </row>
    <row r="10" customFormat="false" ht="15" hidden="false" customHeight="false" outlineLevel="0" collapsed="false">
      <c r="B10" s="150" t="s">
        <v>2273</v>
      </c>
      <c r="C10" s="151"/>
      <c r="D10" s="151"/>
      <c r="E10" s="129"/>
      <c r="F10" s="125" t="n">
        <f aca="false">IF($B10="","",SUMPRODUCT(--((('CARNET DE SOUDURE'!$R$7:$R$3006=B10)+('CARNET DE SOUDURE'!$S$7:$S$3006=B10)+('CARNET DE SOUDURE'!$T$7:$T$3006=B10))&gt;0)))</f>
        <v>72</v>
      </c>
      <c r="G10" s="125" t="n">
        <f aca="false">IF($B10="","",SUMPRODUCT(((('CARNET DE SOUDURE'!$R$7:$R$3006=B10)+('CARNET DE SOUDURE'!$S$7:$S$3006=B10)+('CARNET DE SOUDURE'!$T$7:$T$3006=B10))&gt;0)*(('CARNET DE SOUDURE'!$AA$7:$AA$3006="A")+('CARNET DE SOUDURE'!$AA$7:$AA$3006="R")+('CARNET DE SOUDURE'!$AA$7:$AA$3006="NT")+('CARNET DE SOUDURE'!$AA$7:$AA$3006="CO"))))</f>
        <v>72</v>
      </c>
      <c r="H10" s="125" t="n">
        <f aca="false">IF($B10="","",SUMPRODUCT(((('CARNET DE SOUDURE'!$R$7:$R$3006=B10)+('CARNET DE SOUDURE'!$S$7:$S$3006=B10)+('CARNET DE SOUDURE'!$T$7:$T$3006=B10))&gt;0)*(('CARNET DE SOUDURE'!$AA$7:$AA$3006="R")+('CARNET DE SOUDURE'!$AA$7:$AA$3006="NT")+('CARNET DE SOUDURE'!$AA$7:$AA$3006="CO"))))</f>
        <v>0</v>
      </c>
      <c r="I10" s="40" t="n">
        <f aca="false">IF($B10="","",IFERROR(H10/G10,0))</f>
        <v>0</v>
      </c>
      <c r="J10" s="125" t="n">
        <f aca="false">IF($B10="","",COUNTIF('CARNET DE SOUDURE'!$AC$7:$AC$3006,B10)+COUNTIF('CARNET DE SOUDURE'!$AH$7:$AH$3006,B10))</f>
        <v>0</v>
      </c>
      <c r="K10" s="127" t="str">
        <f aca="false">IF($B10="","",IF(G10=0,"—",IF(I10&lt;=0.02,"Excellent",IF(I10&lt;=0.05,"Bon","À surveiller"))))</f>
        <v>Excellent</v>
      </c>
    </row>
    <row r="11" customFormat="false" ht="15" hidden="false" customHeight="false" outlineLevel="0" collapsed="false">
      <c r="B11" s="150" t="s">
        <v>874</v>
      </c>
      <c r="C11" s="151"/>
      <c r="D11" s="151"/>
      <c r="E11" s="129"/>
      <c r="F11" s="125" t="n">
        <f aca="false">IF($B11="","",SUMPRODUCT(--((('CARNET DE SOUDURE'!$R$7:$R$3006=B11)+('CARNET DE SOUDURE'!$S$7:$S$3006=B11)+('CARNET DE SOUDURE'!$T$7:$T$3006=B11))&gt;0)))</f>
        <v>67</v>
      </c>
      <c r="G11" s="125" t="n">
        <f aca="false">IF($B11="","",SUMPRODUCT(((('CARNET DE SOUDURE'!$R$7:$R$3006=B11)+('CARNET DE SOUDURE'!$S$7:$S$3006=B11)+('CARNET DE SOUDURE'!$T$7:$T$3006=B11))&gt;0)*(('CARNET DE SOUDURE'!$AA$7:$AA$3006="A")+('CARNET DE SOUDURE'!$AA$7:$AA$3006="R")+('CARNET DE SOUDURE'!$AA$7:$AA$3006="NT")+('CARNET DE SOUDURE'!$AA$7:$AA$3006="CO"))))</f>
        <v>67</v>
      </c>
      <c r="H11" s="125" t="n">
        <f aca="false">IF($B11="","",SUMPRODUCT(((('CARNET DE SOUDURE'!$R$7:$R$3006=B11)+('CARNET DE SOUDURE'!$S$7:$S$3006=B11)+('CARNET DE SOUDURE'!$T$7:$T$3006=B11))&gt;0)*(('CARNET DE SOUDURE'!$AA$7:$AA$3006="R")+('CARNET DE SOUDURE'!$AA$7:$AA$3006="NT")+('CARNET DE SOUDURE'!$AA$7:$AA$3006="CO"))))</f>
        <v>1</v>
      </c>
      <c r="I11" s="40" t="n">
        <f aca="false">IF($B11="","",IFERROR(H11/G11,0))</f>
        <v>0.0149253731343284</v>
      </c>
      <c r="J11" s="125" t="n">
        <f aca="false">IF($B11="","",COUNTIF('CARNET DE SOUDURE'!$AC$7:$AC$3006,B11)+COUNTIF('CARNET DE SOUDURE'!$AH$7:$AH$3006,B11))</f>
        <v>0</v>
      </c>
      <c r="K11" s="127" t="str">
        <f aca="false">IF($B11="","",IF(G11=0,"—",IF(I11&lt;=0.02,"Excellent",IF(I11&lt;=0.05,"Bon","À surveiller"))))</f>
        <v>Excellent</v>
      </c>
    </row>
    <row r="12" customFormat="false" ht="15" hidden="false" customHeight="false" outlineLevel="0" collapsed="false">
      <c r="B12" s="150" t="s">
        <v>2097</v>
      </c>
      <c r="C12" s="151"/>
      <c r="D12" s="151"/>
      <c r="E12" s="129"/>
      <c r="F12" s="125" t="n">
        <f aca="false">IF($B12="","",SUMPRODUCT(--((('CARNET DE SOUDURE'!$R$7:$R$3006=B12)+('CARNET DE SOUDURE'!$S$7:$S$3006=B12)+('CARNET DE SOUDURE'!$T$7:$T$3006=B12))&gt;0)))</f>
        <v>61</v>
      </c>
      <c r="G12" s="125" t="n">
        <f aca="false">IF($B12="","",SUMPRODUCT(((('CARNET DE SOUDURE'!$R$7:$R$3006=B12)+('CARNET DE SOUDURE'!$S$7:$S$3006=B12)+('CARNET DE SOUDURE'!$T$7:$T$3006=B12))&gt;0)*(('CARNET DE SOUDURE'!$AA$7:$AA$3006="A")+('CARNET DE SOUDURE'!$AA$7:$AA$3006="R")+('CARNET DE SOUDURE'!$AA$7:$AA$3006="NT")+('CARNET DE SOUDURE'!$AA$7:$AA$3006="CO"))))</f>
        <v>58</v>
      </c>
      <c r="H12" s="125" t="n">
        <f aca="false">IF($B12="","",SUMPRODUCT(((('CARNET DE SOUDURE'!$R$7:$R$3006=B12)+('CARNET DE SOUDURE'!$S$7:$S$3006=B12)+('CARNET DE SOUDURE'!$T$7:$T$3006=B12))&gt;0)*(('CARNET DE SOUDURE'!$AA$7:$AA$3006="R")+('CARNET DE SOUDURE'!$AA$7:$AA$3006="NT")+('CARNET DE SOUDURE'!$AA$7:$AA$3006="CO"))))</f>
        <v>5</v>
      </c>
      <c r="I12" s="40" t="n">
        <f aca="false">IF($B12="","",IFERROR(H12/G12,0))</f>
        <v>0.0862068965517241</v>
      </c>
      <c r="J12" s="125" t="n">
        <f aca="false">IF($B12="","",COUNTIF('CARNET DE SOUDURE'!$AC$7:$AC$3006,B12)+COUNTIF('CARNET DE SOUDURE'!$AH$7:$AH$3006,B12))</f>
        <v>0</v>
      </c>
      <c r="K12" s="127" t="str">
        <f aca="false">IF($B12="","",IF(G12=0,"—",IF(I12&lt;=0.02,"Excellent",IF(I12&lt;=0.05,"Bon","À surveiller"))))</f>
        <v>À surveiller</v>
      </c>
    </row>
    <row r="13" customFormat="false" ht="15" hidden="false" customHeight="false" outlineLevel="0" collapsed="false">
      <c r="B13" s="150" t="s">
        <v>2568</v>
      </c>
      <c r="C13" s="151"/>
      <c r="D13" s="151"/>
      <c r="E13" s="129"/>
      <c r="F13" s="125" t="n">
        <f aca="false">IF($B13="","",SUMPRODUCT(--((('CARNET DE SOUDURE'!$R$7:$R$3006=B13)+('CARNET DE SOUDURE'!$S$7:$S$3006=B13)+('CARNET DE SOUDURE'!$T$7:$T$3006=B13))&gt;0)))</f>
        <v>61</v>
      </c>
      <c r="G13" s="125" t="n">
        <f aca="false">IF($B13="","",SUMPRODUCT(((('CARNET DE SOUDURE'!$R$7:$R$3006=B13)+('CARNET DE SOUDURE'!$S$7:$S$3006=B13)+('CARNET DE SOUDURE'!$T$7:$T$3006=B13))&gt;0)*(('CARNET DE SOUDURE'!$AA$7:$AA$3006="A")+('CARNET DE SOUDURE'!$AA$7:$AA$3006="R")+('CARNET DE SOUDURE'!$AA$7:$AA$3006="NT")+('CARNET DE SOUDURE'!$AA$7:$AA$3006="CO"))))</f>
        <v>59</v>
      </c>
      <c r="H13" s="125" t="n">
        <f aca="false">IF($B13="","",SUMPRODUCT(((('CARNET DE SOUDURE'!$R$7:$R$3006=B13)+('CARNET DE SOUDURE'!$S$7:$S$3006=B13)+('CARNET DE SOUDURE'!$T$7:$T$3006=B13))&gt;0)*(('CARNET DE SOUDURE'!$AA$7:$AA$3006="R")+('CARNET DE SOUDURE'!$AA$7:$AA$3006="NT")+('CARNET DE SOUDURE'!$AA$7:$AA$3006="CO"))))</f>
        <v>0</v>
      </c>
      <c r="I13" s="40" t="n">
        <f aca="false">IF($B13="","",IFERROR(H13/G13,0))</f>
        <v>0</v>
      </c>
      <c r="J13" s="125" t="n">
        <f aca="false">IF($B13="","",COUNTIF('CARNET DE SOUDURE'!$AC$7:$AC$3006,B13)+COUNTIF('CARNET DE SOUDURE'!$AH$7:$AH$3006,B13))</f>
        <v>0</v>
      </c>
      <c r="K13" s="127" t="str">
        <f aca="false">IF($B13="","",IF(G13=0,"—",IF(I13&lt;=0.02,"Excellent",IF(I13&lt;=0.05,"Bon","À surveiller"))))</f>
        <v>Excellent</v>
      </c>
    </row>
    <row r="14" customFormat="false" ht="15" hidden="false" customHeight="false" outlineLevel="0" collapsed="false">
      <c r="B14" s="150" t="s">
        <v>1517</v>
      </c>
      <c r="C14" s="151"/>
      <c r="D14" s="151"/>
      <c r="E14" s="129"/>
      <c r="F14" s="125" t="n">
        <f aca="false">IF($B14="","",SUMPRODUCT(--((('CARNET DE SOUDURE'!$R$7:$R$3006=B14)+('CARNET DE SOUDURE'!$S$7:$S$3006=B14)+('CARNET DE SOUDURE'!$T$7:$T$3006=B14))&gt;0)))</f>
        <v>53</v>
      </c>
      <c r="G14" s="125" t="n">
        <f aca="false">IF($B14="","",SUMPRODUCT(((('CARNET DE SOUDURE'!$R$7:$R$3006=B14)+('CARNET DE SOUDURE'!$S$7:$S$3006=B14)+('CARNET DE SOUDURE'!$T$7:$T$3006=B14))&gt;0)*(('CARNET DE SOUDURE'!$AA$7:$AA$3006="A")+('CARNET DE SOUDURE'!$AA$7:$AA$3006="R")+('CARNET DE SOUDURE'!$AA$7:$AA$3006="NT")+('CARNET DE SOUDURE'!$AA$7:$AA$3006="CO"))))</f>
        <v>53</v>
      </c>
      <c r="H14" s="125" t="n">
        <f aca="false">IF($B14="","",SUMPRODUCT(((('CARNET DE SOUDURE'!$R$7:$R$3006=B14)+('CARNET DE SOUDURE'!$S$7:$S$3006=B14)+('CARNET DE SOUDURE'!$T$7:$T$3006=B14))&gt;0)*(('CARNET DE SOUDURE'!$AA$7:$AA$3006="R")+('CARNET DE SOUDURE'!$AA$7:$AA$3006="NT")+('CARNET DE SOUDURE'!$AA$7:$AA$3006="CO"))))</f>
        <v>1</v>
      </c>
      <c r="I14" s="40" t="n">
        <f aca="false">IF($B14="","",IFERROR(H14/G14,0))</f>
        <v>0.0188679245283019</v>
      </c>
      <c r="J14" s="125" t="n">
        <f aca="false">IF($B14="","",COUNTIF('CARNET DE SOUDURE'!$AC$7:$AC$3006,B14)+COUNTIF('CARNET DE SOUDURE'!$AH$7:$AH$3006,B14))</f>
        <v>0</v>
      </c>
      <c r="K14" s="127" t="str">
        <f aca="false">IF($B14="","",IF(G14=0,"—",IF(I14&lt;=0.02,"Excellent",IF(I14&lt;=0.05,"Bon","À surveiller"))))</f>
        <v>Excellent</v>
      </c>
    </row>
    <row r="15" customFormat="false" ht="15" hidden="false" customHeight="false" outlineLevel="0" collapsed="false">
      <c r="B15" s="150" t="s">
        <v>2921</v>
      </c>
      <c r="C15" s="151"/>
      <c r="D15" s="151"/>
      <c r="E15" s="129"/>
      <c r="F15" s="125" t="n">
        <f aca="false">IF($B15="","",SUMPRODUCT(--((('CARNET DE SOUDURE'!$R$7:$R$3006=B15)+('CARNET DE SOUDURE'!$S$7:$S$3006=B15)+('CARNET DE SOUDURE'!$T$7:$T$3006=B15))&gt;0)))</f>
        <v>49</v>
      </c>
      <c r="G15" s="125" t="n">
        <f aca="false">IF($B15="","",SUMPRODUCT(((('CARNET DE SOUDURE'!$R$7:$R$3006=B15)+('CARNET DE SOUDURE'!$S$7:$S$3006=B15)+('CARNET DE SOUDURE'!$T$7:$T$3006=B15))&gt;0)*(('CARNET DE SOUDURE'!$AA$7:$AA$3006="A")+('CARNET DE SOUDURE'!$AA$7:$AA$3006="R")+('CARNET DE SOUDURE'!$AA$7:$AA$3006="NT")+('CARNET DE SOUDURE'!$AA$7:$AA$3006="CO"))))</f>
        <v>49</v>
      </c>
      <c r="H15" s="125" t="n">
        <f aca="false">IF($B15="","",SUMPRODUCT(((('CARNET DE SOUDURE'!$R$7:$R$3006=B15)+('CARNET DE SOUDURE'!$S$7:$S$3006=B15)+('CARNET DE SOUDURE'!$T$7:$T$3006=B15))&gt;0)*(('CARNET DE SOUDURE'!$AA$7:$AA$3006="R")+('CARNET DE SOUDURE'!$AA$7:$AA$3006="NT")+('CARNET DE SOUDURE'!$AA$7:$AA$3006="CO"))))</f>
        <v>0</v>
      </c>
      <c r="I15" s="40" t="n">
        <f aca="false">IF($B15="","",IFERROR(H15/G15,0))</f>
        <v>0</v>
      </c>
      <c r="J15" s="125" t="n">
        <f aca="false">IF($B15="","",COUNTIF('CARNET DE SOUDURE'!$AC$7:$AC$3006,B15)+COUNTIF('CARNET DE SOUDURE'!$AH$7:$AH$3006,B15))</f>
        <v>0</v>
      </c>
      <c r="K15" s="127" t="str">
        <f aca="false">IF($B15="","",IF(G15=0,"—",IF(I15&lt;=0.02,"Excellent",IF(I15&lt;=0.05,"Bon","À surveiller"))))</f>
        <v>Excellent</v>
      </c>
    </row>
    <row r="16" customFormat="false" ht="15" hidden="false" customHeight="false" outlineLevel="0" collapsed="false">
      <c r="B16" s="150" t="s">
        <v>899</v>
      </c>
      <c r="C16" s="151"/>
      <c r="D16" s="151"/>
      <c r="E16" s="129"/>
      <c r="F16" s="125" t="n">
        <f aca="false">IF($B16="","",SUMPRODUCT(--((('CARNET DE SOUDURE'!$R$7:$R$3006=B16)+('CARNET DE SOUDURE'!$S$7:$S$3006=B16)+('CARNET DE SOUDURE'!$T$7:$T$3006=B16))&gt;0)))</f>
        <v>43</v>
      </c>
      <c r="G16" s="125" t="n">
        <f aca="false">IF($B16="","",SUMPRODUCT(((('CARNET DE SOUDURE'!$R$7:$R$3006=B16)+('CARNET DE SOUDURE'!$S$7:$S$3006=B16)+('CARNET DE SOUDURE'!$T$7:$T$3006=B16))&gt;0)*(('CARNET DE SOUDURE'!$AA$7:$AA$3006="A")+('CARNET DE SOUDURE'!$AA$7:$AA$3006="R")+('CARNET DE SOUDURE'!$AA$7:$AA$3006="NT")+('CARNET DE SOUDURE'!$AA$7:$AA$3006="CO"))))</f>
        <v>43</v>
      </c>
      <c r="H16" s="125" t="n">
        <f aca="false">IF($B16="","",SUMPRODUCT(((('CARNET DE SOUDURE'!$R$7:$R$3006=B16)+('CARNET DE SOUDURE'!$S$7:$S$3006=B16)+('CARNET DE SOUDURE'!$T$7:$T$3006=B16))&gt;0)*(('CARNET DE SOUDURE'!$AA$7:$AA$3006="R")+('CARNET DE SOUDURE'!$AA$7:$AA$3006="NT")+('CARNET DE SOUDURE'!$AA$7:$AA$3006="CO"))))</f>
        <v>0</v>
      </c>
      <c r="I16" s="40" t="n">
        <f aca="false">IF($B16="","",IFERROR(H16/G16,0))</f>
        <v>0</v>
      </c>
      <c r="J16" s="125" t="n">
        <f aca="false">IF($B16="","",COUNTIF('CARNET DE SOUDURE'!$AC$7:$AC$3006,B16)+COUNTIF('CARNET DE SOUDURE'!$AH$7:$AH$3006,B16))</f>
        <v>0</v>
      </c>
      <c r="K16" s="127" t="str">
        <f aca="false">IF($B16="","",IF(G16=0,"—",IF(I16&lt;=0.02,"Excellent",IF(I16&lt;=0.05,"Bon","À surveiller"))))</f>
        <v>Excellent</v>
      </c>
    </row>
    <row r="17" customFormat="false" ht="15" hidden="false" customHeight="false" outlineLevel="0" collapsed="false">
      <c r="B17" s="150" t="s">
        <v>935</v>
      </c>
      <c r="C17" s="151"/>
      <c r="D17" s="151"/>
      <c r="E17" s="129"/>
      <c r="F17" s="125" t="n">
        <f aca="false">IF($B17="","",SUMPRODUCT(--((('CARNET DE SOUDURE'!$R$7:$R$3006=B17)+('CARNET DE SOUDURE'!$S$7:$S$3006=B17)+('CARNET DE SOUDURE'!$T$7:$T$3006=B17))&gt;0)))</f>
        <v>41</v>
      </c>
      <c r="G17" s="125" t="n">
        <f aca="false">IF($B17="","",SUMPRODUCT(((('CARNET DE SOUDURE'!$R$7:$R$3006=B17)+('CARNET DE SOUDURE'!$S$7:$S$3006=B17)+('CARNET DE SOUDURE'!$T$7:$T$3006=B17))&gt;0)*(('CARNET DE SOUDURE'!$AA$7:$AA$3006="A")+('CARNET DE SOUDURE'!$AA$7:$AA$3006="R")+('CARNET DE SOUDURE'!$AA$7:$AA$3006="NT")+('CARNET DE SOUDURE'!$AA$7:$AA$3006="CO"))))</f>
        <v>5</v>
      </c>
      <c r="H17" s="125" t="n">
        <f aca="false">IF($B17="","",SUMPRODUCT(((('CARNET DE SOUDURE'!$R$7:$R$3006=B17)+('CARNET DE SOUDURE'!$S$7:$S$3006=B17)+('CARNET DE SOUDURE'!$T$7:$T$3006=B17))&gt;0)*(('CARNET DE SOUDURE'!$AA$7:$AA$3006="R")+('CARNET DE SOUDURE'!$AA$7:$AA$3006="NT")+('CARNET DE SOUDURE'!$AA$7:$AA$3006="CO"))))</f>
        <v>0</v>
      </c>
      <c r="I17" s="40" t="n">
        <f aca="false">IF($B17="","",IFERROR(H17/G17,0))</f>
        <v>0</v>
      </c>
      <c r="J17" s="125" t="n">
        <f aca="false">IF($B17="","",COUNTIF('CARNET DE SOUDURE'!$AC$7:$AC$3006,B17)+COUNTIF('CARNET DE SOUDURE'!$AH$7:$AH$3006,B17))</f>
        <v>0</v>
      </c>
      <c r="K17" s="127" t="str">
        <f aca="false">IF($B17="","",IF(G17=0,"—",IF(I17&lt;=0.02,"Excellent",IF(I17&lt;=0.05,"Bon","À surveiller"))))</f>
        <v>Excellent</v>
      </c>
    </row>
    <row r="18" customFormat="false" ht="15" hidden="false" customHeight="false" outlineLevel="0" collapsed="false">
      <c r="B18" s="150" t="s">
        <v>882</v>
      </c>
      <c r="C18" s="151"/>
      <c r="D18" s="151"/>
      <c r="E18" s="129"/>
      <c r="F18" s="125" t="n">
        <f aca="false">IF($B18="","",SUMPRODUCT(--((('CARNET DE SOUDURE'!$R$7:$R$3006=B18)+('CARNET DE SOUDURE'!$S$7:$S$3006=B18)+('CARNET DE SOUDURE'!$T$7:$T$3006=B18))&gt;0)))</f>
        <v>32</v>
      </c>
      <c r="G18" s="125" t="n">
        <f aca="false">IF($B18="","",SUMPRODUCT(((('CARNET DE SOUDURE'!$R$7:$R$3006=B18)+('CARNET DE SOUDURE'!$S$7:$S$3006=B18)+('CARNET DE SOUDURE'!$T$7:$T$3006=B18))&gt;0)*(('CARNET DE SOUDURE'!$AA$7:$AA$3006="A")+('CARNET DE SOUDURE'!$AA$7:$AA$3006="R")+('CARNET DE SOUDURE'!$AA$7:$AA$3006="NT")+('CARNET DE SOUDURE'!$AA$7:$AA$3006="CO"))))</f>
        <v>32</v>
      </c>
      <c r="H18" s="125" t="n">
        <f aca="false">IF($B18="","",SUMPRODUCT(((('CARNET DE SOUDURE'!$R$7:$R$3006=B18)+('CARNET DE SOUDURE'!$S$7:$S$3006=B18)+('CARNET DE SOUDURE'!$T$7:$T$3006=B18))&gt;0)*(('CARNET DE SOUDURE'!$AA$7:$AA$3006="R")+('CARNET DE SOUDURE'!$AA$7:$AA$3006="NT")+('CARNET DE SOUDURE'!$AA$7:$AA$3006="CO"))))</f>
        <v>0</v>
      </c>
      <c r="I18" s="40" t="n">
        <f aca="false">IF($B18="","",IFERROR(H18/G18,0))</f>
        <v>0</v>
      </c>
      <c r="J18" s="125" t="n">
        <f aca="false">IF($B18="","",COUNTIF('CARNET DE SOUDURE'!$AC$7:$AC$3006,B18)+COUNTIF('CARNET DE SOUDURE'!$AH$7:$AH$3006,B18))</f>
        <v>0</v>
      </c>
      <c r="K18" s="127" t="str">
        <f aca="false">IF($B18="","",IF(G18=0,"—",IF(I18&lt;=0.02,"Excellent",IF(I18&lt;=0.05,"Bon","À surveiller"))))</f>
        <v>Excellent</v>
      </c>
    </row>
    <row r="19" customFormat="false" ht="15" hidden="false" customHeight="false" outlineLevel="0" collapsed="false">
      <c r="B19" s="150" t="s">
        <v>1862</v>
      </c>
      <c r="C19" s="151"/>
      <c r="D19" s="151"/>
      <c r="E19" s="129"/>
      <c r="F19" s="125" t="n">
        <f aca="false">IF($B19="","",SUMPRODUCT(--((('CARNET DE SOUDURE'!$R$7:$R$3006=B19)+('CARNET DE SOUDURE'!$S$7:$S$3006=B19)+('CARNET DE SOUDURE'!$T$7:$T$3006=B19))&gt;0)))</f>
        <v>31</v>
      </c>
      <c r="G19" s="125" t="n">
        <f aca="false">IF($B19="","",SUMPRODUCT(((('CARNET DE SOUDURE'!$R$7:$R$3006=B19)+('CARNET DE SOUDURE'!$S$7:$S$3006=B19)+('CARNET DE SOUDURE'!$T$7:$T$3006=B19))&gt;0)*(('CARNET DE SOUDURE'!$AA$7:$AA$3006="A")+('CARNET DE SOUDURE'!$AA$7:$AA$3006="R")+('CARNET DE SOUDURE'!$AA$7:$AA$3006="NT")+('CARNET DE SOUDURE'!$AA$7:$AA$3006="CO"))))</f>
        <v>16</v>
      </c>
      <c r="H19" s="125" t="n">
        <f aca="false">IF($B19="","",SUMPRODUCT(((('CARNET DE SOUDURE'!$R$7:$R$3006=B19)+('CARNET DE SOUDURE'!$S$7:$S$3006=B19)+('CARNET DE SOUDURE'!$T$7:$T$3006=B19))&gt;0)*(('CARNET DE SOUDURE'!$AA$7:$AA$3006="R")+('CARNET DE SOUDURE'!$AA$7:$AA$3006="NT")+('CARNET DE SOUDURE'!$AA$7:$AA$3006="CO"))))</f>
        <v>0</v>
      </c>
      <c r="I19" s="40" t="n">
        <f aca="false">IF($B19="","",IFERROR(H19/G19,0))</f>
        <v>0</v>
      </c>
      <c r="J19" s="125" t="n">
        <f aca="false">IF($B19="","",COUNTIF('CARNET DE SOUDURE'!$AC$7:$AC$3006,B19)+COUNTIF('CARNET DE SOUDURE'!$AH$7:$AH$3006,B19))</f>
        <v>0</v>
      </c>
      <c r="K19" s="127" t="str">
        <f aca="false">IF($B19="","",IF(G19=0,"—",IF(I19&lt;=0.02,"Excellent",IF(I19&lt;=0.05,"Bon","À surveiller"))))</f>
        <v>Excellent</v>
      </c>
    </row>
    <row r="20" customFormat="false" ht="15" hidden="false" customHeight="false" outlineLevel="0" collapsed="false">
      <c r="B20" s="150" t="s">
        <v>1299</v>
      </c>
      <c r="C20" s="151"/>
      <c r="D20" s="151"/>
      <c r="E20" s="129"/>
      <c r="F20" s="125" t="n">
        <f aca="false">IF($B20="","",SUMPRODUCT(--((('CARNET DE SOUDURE'!$R$7:$R$3006=B20)+('CARNET DE SOUDURE'!$S$7:$S$3006=B20)+('CARNET DE SOUDURE'!$T$7:$T$3006=B20))&gt;0)))</f>
        <v>30</v>
      </c>
      <c r="G20" s="125" t="n">
        <f aca="false">IF($B20="","",SUMPRODUCT(((('CARNET DE SOUDURE'!$R$7:$R$3006=B20)+('CARNET DE SOUDURE'!$S$7:$S$3006=B20)+('CARNET DE SOUDURE'!$T$7:$T$3006=B20))&gt;0)*(('CARNET DE SOUDURE'!$AA$7:$AA$3006="A")+('CARNET DE SOUDURE'!$AA$7:$AA$3006="R")+('CARNET DE SOUDURE'!$AA$7:$AA$3006="NT")+('CARNET DE SOUDURE'!$AA$7:$AA$3006="CO"))))</f>
        <v>30</v>
      </c>
      <c r="H20" s="125" t="n">
        <f aca="false">IF($B20="","",SUMPRODUCT(((('CARNET DE SOUDURE'!$R$7:$R$3006=B20)+('CARNET DE SOUDURE'!$S$7:$S$3006=B20)+('CARNET DE SOUDURE'!$T$7:$T$3006=B20))&gt;0)*(('CARNET DE SOUDURE'!$AA$7:$AA$3006="R")+('CARNET DE SOUDURE'!$AA$7:$AA$3006="NT")+('CARNET DE SOUDURE'!$AA$7:$AA$3006="CO"))))</f>
        <v>6</v>
      </c>
      <c r="I20" s="40" t="n">
        <f aca="false">IF($B20="","",IFERROR(H20/G20,0))</f>
        <v>0.2</v>
      </c>
      <c r="J20" s="125" t="n">
        <f aca="false">IF($B20="","",COUNTIF('CARNET DE SOUDURE'!$AC$7:$AC$3006,B20)+COUNTIF('CARNET DE SOUDURE'!$AH$7:$AH$3006,B20))</f>
        <v>0</v>
      </c>
      <c r="K20" s="127" t="str">
        <f aca="false">IF($B20="","",IF(G20=0,"—",IF(I20&lt;=0.02,"Excellent",IF(I20&lt;=0.05,"Bon","À surveiller"))))</f>
        <v>À surveiller</v>
      </c>
    </row>
    <row r="21" customFormat="false" ht="15" hidden="false" customHeight="false" outlineLevel="0" collapsed="false">
      <c r="B21" s="150" t="s">
        <v>1795</v>
      </c>
      <c r="C21" s="151"/>
      <c r="D21" s="151"/>
      <c r="E21" s="129"/>
      <c r="F21" s="125" t="n">
        <f aca="false">IF($B21="","",SUMPRODUCT(--((('CARNET DE SOUDURE'!$R$7:$R$3006=B21)+('CARNET DE SOUDURE'!$S$7:$S$3006=B21)+('CARNET DE SOUDURE'!$T$7:$T$3006=B21))&gt;0)))</f>
        <v>30</v>
      </c>
      <c r="G21" s="125" t="n">
        <f aca="false">IF($B21="","",SUMPRODUCT(((('CARNET DE SOUDURE'!$R$7:$R$3006=B21)+('CARNET DE SOUDURE'!$S$7:$S$3006=B21)+('CARNET DE SOUDURE'!$T$7:$T$3006=B21))&gt;0)*(('CARNET DE SOUDURE'!$AA$7:$AA$3006="A")+('CARNET DE SOUDURE'!$AA$7:$AA$3006="R")+('CARNET DE SOUDURE'!$AA$7:$AA$3006="NT")+('CARNET DE SOUDURE'!$AA$7:$AA$3006="CO"))))</f>
        <v>30</v>
      </c>
      <c r="H21" s="125" t="n">
        <f aca="false">IF($B21="","",SUMPRODUCT(((('CARNET DE SOUDURE'!$R$7:$R$3006=B21)+('CARNET DE SOUDURE'!$S$7:$S$3006=B21)+('CARNET DE SOUDURE'!$T$7:$T$3006=B21))&gt;0)*(('CARNET DE SOUDURE'!$AA$7:$AA$3006="R")+('CARNET DE SOUDURE'!$AA$7:$AA$3006="NT")+('CARNET DE SOUDURE'!$AA$7:$AA$3006="CO"))))</f>
        <v>2</v>
      </c>
      <c r="I21" s="40" t="n">
        <f aca="false">IF($B21="","",IFERROR(H21/G21,0))</f>
        <v>0.0666666666666667</v>
      </c>
      <c r="J21" s="125" t="n">
        <f aca="false">IF($B21="","",COUNTIF('CARNET DE SOUDURE'!$AC$7:$AC$3006,B21)+COUNTIF('CARNET DE SOUDURE'!$AH$7:$AH$3006,B21))</f>
        <v>0</v>
      </c>
      <c r="K21" s="127" t="str">
        <f aca="false">IF($B21="","",IF(G21=0,"—",IF(I21&lt;=0.02,"Excellent",IF(I21&lt;=0.05,"Bon","À surveiller"))))</f>
        <v>À surveiller</v>
      </c>
    </row>
    <row r="22" customFormat="false" ht="15" hidden="false" customHeight="false" outlineLevel="0" collapsed="false">
      <c r="B22" s="150" t="s">
        <v>2532</v>
      </c>
      <c r="C22" s="151"/>
      <c r="D22" s="151"/>
      <c r="E22" s="129"/>
      <c r="F22" s="125" t="n">
        <f aca="false">IF($B22="","",SUMPRODUCT(--((('CARNET DE SOUDURE'!$R$7:$R$3006=B22)+('CARNET DE SOUDURE'!$S$7:$S$3006=B22)+('CARNET DE SOUDURE'!$T$7:$T$3006=B22))&gt;0)))</f>
        <v>28</v>
      </c>
      <c r="G22" s="125" t="n">
        <f aca="false">IF($B22="","",SUMPRODUCT(((('CARNET DE SOUDURE'!$R$7:$R$3006=B22)+('CARNET DE SOUDURE'!$S$7:$S$3006=B22)+('CARNET DE SOUDURE'!$T$7:$T$3006=B22))&gt;0)*(('CARNET DE SOUDURE'!$AA$7:$AA$3006="A")+('CARNET DE SOUDURE'!$AA$7:$AA$3006="R")+('CARNET DE SOUDURE'!$AA$7:$AA$3006="NT")+('CARNET DE SOUDURE'!$AA$7:$AA$3006="CO"))))</f>
        <v>28</v>
      </c>
      <c r="H22" s="125" t="n">
        <f aca="false">IF($B22="","",SUMPRODUCT(((('CARNET DE SOUDURE'!$R$7:$R$3006=B22)+('CARNET DE SOUDURE'!$S$7:$S$3006=B22)+('CARNET DE SOUDURE'!$T$7:$T$3006=B22))&gt;0)*(('CARNET DE SOUDURE'!$AA$7:$AA$3006="R")+('CARNET DE SOUDURE'!$AA$7:$AA$3006="NT")+('CARNET DE SOUDURE'!$AA$7:$AA$3006="CO"))))</f>
        <v>0</v>
      </c>
      <c r="I22" s="40" t="n">
        <f aca="false">IF($B22="","",IFERROR(H22/G22,0))</f>
        <v>0</v>
      </c>
      <c r="J22" s="125" t="n">
        <f aca="false">IF($B22="","",COUNTIF('CARNET DE SOUDURE'!$AC$7:$AC$3006,B22)+COUNTIF('CARNET DE SOUDURE'!$AH$7:$AH$3006,B22))</f>
        <v>0</v>
      </c>
      <c r="K22" s="127" t="str">
        <f aca="false">IF($B22="","",IF(G22=0,"—",IF(I22&lt;=0.02,"Excellent",IF(I22&lt;=0.05,"Bon","À surveiller"))))</f>
        <v>Excellent</v>
      </c>
    </row>
    <row r="23" customFormat="false" ht="15" hidden="false" customHeight="false" outlineLevel="0" collapsed="false">
      <c r="B23" s="150" t="s">
        <v>1151</v>
      </c>
      <c r="C23" s="151"/>
      <c r="D23" s="151"/>
      <c r="E23" s="129"/>
      <c r="F23" s="125" t="n">
        <f aca="false">IF($B23="","",SUMPRODUCT(--((('CARNET DE SOUDURE'!$R$7:$R$3006=B23)+('CARNET DE SOUDURE'!$S$7:$S$3006=B23)+('CARNET DE SOUDURE'!$T$7:$T$3006=B23))&gt;0)))</f>
        <v>27</v>
      </c>
      <c r="G23" s="125" t="n">
        <f aca="false">IF($B23="","",SUMPRODUCT(((('CARNET DE SOUDURE'!$R$7:$R$3006=B23)+('CARNET DE SOUDURE'!$S$7:$S$3006=B23)+('CARNET DE SOUDURE'!$T$7:$T$3006=B23))&gt;0)*(('CARNET DE SOUDURE'!$AA$7:$AA$3006="A")+('CARNET DE SOUDURE'!$AA$7:$AA$3006="R")+('CARNET DE SOUDURE'!$AA$7:$AA$3006="NT")+('CARNET DE SOUDURE'!$AA$7:$AA$3006="CO"))))</f>
        <v>26</v>
      </c>
      <c r="H23" s="125" t="n">
        <f aca="false">IF($B23="","",SUMPRODUCT(((('CARNET DE SOUDURE'!$R$7:$R$3006=B23)+('CARNET DE SOUDURE'!$S$7:$S$3006=B23)+('CARNET DE SOUDURE'!$T$7:$T$3006=B23))&gt;0)*(('CARNET DE SOUDURE'!$AA$7:$AA$3006="R")+('CARNET DE SOUDURE'!$AA$7:$AA$3006="NT")+('CARNET DE SOUDURE'!$AA$7:$AA$3006="CO"))))</f>
        <v>7</v>
      </c>
      <c r="I23" s="40" t="n">
        <f aca="false">IF($B23="","",IFERROR(H23/G23,0))</f>
        <v>0.269230769230769</v>
      </c>
      <c r="J23" s="125" t="n">
        <f aca="false">IF($B23="","",COUNTIF('CARNET DE SOUDURE'!$AC$7:$AC$3006,B23)+COUNTIF('CARNET DE SOUDURE'!$AH$7:$AH$3006,B23))</f>
        <v>0</v>
      </c>
      <c r="K23" s="127" t="str">
        <f aca="false">IF($B23="","",IF(G23=0,"—",IF(I23&lt;=0.02,"Excellent",IF(I23&lt;=0.05,"Bon","À surveiller"))))</f>
        <v>À surveiller</v>
      </c>
    </row>
    <row r="24" customFormat="false" ht="15" hidden="false" customHeight="false" outlineLevel="0" collapsed="false">
      <c r="B24" s="150" t="s">
        <v>2476</v>
      </c>
      <c r="C24" s="151"/>
      <c r="D24" s="151"/>
      <c r="E24" s="129"/>
      <c r="F24" s="125" t="n">
        <f aca="false">IF($B24="","",SUMPRODUCT(--((('CARNET DE SOUDURE'!$R$7:$R$3006=B24)+('CARNET DE SOUDURE'!$S$7:$S$3006=B24)+('CARNET DE SOUDURE'!$T$7:$T$3006=B24))&gt;0)))</f>
        <v>24</v>
      </c>
      <c r="G24" s="125" t="n">
        <f aca="false">IF($B24="","",SUMPRODUCT(((('CARNET DE SOUDURE'!$R$7:$R$3006=B24)+('CARNET DE SOUDURE'!$S$7:$S$3006=B24)+('CARNET DE SOUDURE'!$T$7:$T$3006=B24))&gt;0)*(('CARNET DE SOUDURE'!$AA$7:$AA$3006="A")+('CARNET DE SOUDURE'!$AA$7:$AA$3006="R")+('CARNET DE SOUDURE'!$AA$7:$AA$3006="NT")+('CARNET DE SOUDURE'!$AA$7:$AA$3006="CO"))))</f>
        <v>19</v>
      </c>
      <c r="H24" s="125" t="n">
        <f aca="false">IF($B24="","",SUMPRODUCT(((('CARNET DE SOUDURE'!$R$7:$R$3006=B24)+('CARNET DE SOUDURE'!$S$7:$S$3006=B24)+('CARNET DE SOUDURE'!$T$7:$T$3006=B24))&gt;0)*(('CARNET DE SOUDURE'!$AA$7:$AA$3006="R")+('CARNET DE SOUDURE'!$AA$7:$AA$3006="NT")+('CARNET DE SOUDURE'!$AA$7:$AA$3006="CO"))))</f>
        <v>0</v>
      </c>
      <c r="I24" s="40" t="n">
        <f aca="false">IF($B24="","",IFERROR(H24/G24,0))</f>
        <v>0</v>
      </c>
      <c r="J24" s="125" t="n">
        <f aca="false">IF($B24="","",COUNTIF('CARNET DE SOUDURE'!$AC$7:$AC$3006,B24)+COUNTIF('CARNET DE SOUDURE'!$AH$7:$AH$3006,B24))</f>
        <v>0</v>
      </c>
      <c r="K24" s="127" t="str">
        <f aca="false">IF($B24="","",IF(G24=0,"—",IF(I24&lt;=0.02,"Excellent",IF(I24&lt;=0.05,"Bon","À surveiller"))))</f>
        <v>Excellent</v>
      </c>
    </row>
    <row r="25" customFormat="false" ht="15" hidden="false" customHeight="false" outlineLevel="0" collapsed="false">
      <c r="B25" s="150" t="s">
        <v>2039</v>
      </c>
      <c r="C25" s="151"/>
      <c r="D25" s="151"/>
      <c r="E25" s="129"/>
      <c r="F25" s="125" t="n">
        <f aca="false">IF($B25="","",SUMPRODUCT(--((('CARNET DE SOUDURE'!$R$7:$R$3006=B25)+('CARNET DE SOUDURE'!$S$7:$S$3006=B25)+('CARNET DE SOUDURE'!$T$7:$T$3006=B25))&gt;0)))</f>
        <v>22</v>
      </c>
      <c r="G25" s="125" t="n">
        <f aca="false">IF($B25="","",SUMPRODUCT(((('CARNET DE SOUDURE'!$R$7:$R$3006=B25)+('CARNET DE SOUDURE'!$S$7:$S$3006=B25)+('CARNET DE SOUDURE'!$T$7:$T$3006=B25))&gt;0)*(('CARNET DE SOUDURE'!$AA$7:$AA$3006="A")+('CARNET DE SOUDURE'!$AA$7:$AA$3006="R")+('CARNET DE SOUDURE'!$AA$7:$AA$3006="NT")+('CARNET DE SOUDURE'!$AA$7:$AA$3006="CO"))))</f>
        <v>22</v>
      </c>
      <c r="H25" s="125" t="n">
        <f aca="false">IF($B25="","",SUMPRODUCT(((('CARNET DE SOUDURE'!$R$7:$R$3006=B25)+('CARNET DE SOUDURE'!$S$7:$S$3006=B25)+('CARNET DE SOUDURE'!$T$7:$T$3006=B25))&gt;0)*(('CARNET DE SOUDURE'!$AA$7:$AA$3006="R")+('CARNET DE SOUDURE'!$AA$7:$AA$3006="NT")+('CARNET DE SOUDURE'!$AA$7:$AA$3006="CO"))))</f>
        <v>5</v>
      </c>
      <c r="I25" s="40" t="n">
        <f aca="false">IF($B25="","",IFERROR(H25/G25,0))</f>
        <v>0.227272727272727</v>
      </c>
      <c r="J25" s="125" t="n">
        <f aca="false">IF($B25="","",COUNTIF('CARNET DE SOUDURE'!$AC$7:$AC$3006,B25)+COUNTIF('CARNET DE SOUDURE'!$AH$7:$AH$3006,B25))</f>
        <v>0</v>
      </c>
      <c r="K25" s="127" t="str">
        <f aca="false">IF($B25="","",IF(G25=0,"—",IF(I25&lt;=0.02,"Excellent",IF(I25&lt;=0.05,"Bon","À surveiller"))))</f>
        <v>À surveiller</v>
      </c>
    </row>
    <row r="26" customFormat="false" ht="15" hidden="false" customHeight="false" outlineLevel="0" collapsed="false">
      <c r="B26" s="150" t="s">
        <v>2807</v>
      </c>
      <c r="C26" s="151"/>
      <c r="D26" s="151"/>
      <c r="E26" s="129"/>
      <c r="F26" s="125" t="n">
        <f aca="false">IF($B26="","",SUMPRODUCT(--((('CARNET DE SOUDURE'!$R$7:$R$3006=B26)+('CARNET DE SOUDURE'!$S$7:$S$3006=B26)+('CARNET DE SOUDURE'!$T$7:$T$3006=B26))&gt;0)))</f>
        <v>21</v>
      </c>
      <c r="G26" s="125" t="n">
        <f aca="false">IF($B26="","",SUMPRODUCT(((('CARNET DE SOUDURE'!$R$7:$R$3006=B26)+('CARNET DE SOUDURE'!$S$7:$S$3006=B26)+('CARNET DE SOUDURE'!$T$7:$T$3006=B26))&gt;0)*(('CARNET DE SOUDURE'!$AA$7:$AA$3006="A")+('CARNET DE SOUDURE'!$AA$7:$AA$3006="R")+('CARNET DE SOUDURE'!$AA$7:$AA$3006="NT")+('CARNET DE SOUDURE'!$AA$7:$AA$3006="CO"))))</f>
        <v>21</v>
      </c>
      <c r="H26" s="125" t="n">
        <f aca="false">IF($B26="","",SUMPRODUCT(((('CARNET DE SOUDURE'!$R$7:$R$3006=B26)+('CARNET DE SOUDURE'!$S$7:$S$3006=B26)+('CARNET DE SOUDURE'!$T$7:$T$3006=B26))&gt;0)*(('CARNET DE SOUDURE'!$AA$7:$AA$3006="R")+('CARNET DE SOUDURE'!$AA$7:$AA$3006="NT")+('CARNET DE SOUDURE'!$AA$7:$AA$3006="CO"))))</f>
        <v>0</v>
      </c>
      <c r="I26" s="40" t="n">
        <f aca="false">IF($B26="","",IFERROR(H26/G26,0))</f>
        <v>0</v>
      </c>
      <c r="J26" s="125" t="n">
        <f aca="false">IF($B26="","",COUNTIF('CARNET DE SOUDURE'!$AC$7:$AC$3006,B26)+COUNTIF('CARNET DE SOUDURE'!$AH$7:$AH$3006,B26))</f>
        <v>0</v>
      </c>
      <c r="K26" s="127" t="str">
        <f aca="false">IF($B26="","",IF(G26=0,"—",IF(I26&lt;=0.02,"Excellent",IF(I26&lt;=0.05,"Bon","À surveiller"))))</f>
        <v>Excellent</v>
      </c>
    </row>
    <row r="27" customFormat="false" ht="15" hidden="false" customHeight="false" outlineLevel="0" collapsed="false">
      <c r="B27" s="150" t="s">
        <v>1884</v>
      </c>
      <c r="C27" s="151"/>
      <c r="D27" s="151"/>
      <c r="E27" s="129"/>
      <c r="F27" s="125" t="n">
        <f aca="false">IF($B27="","",SUMPRODUCT(--((('CARNET DE SOUDURE'!$R$7:$R$3006=B27)+('CARNET DE SOUDURE'!$S$7:$S$3006=B27)+('CARNET DE SOUDURE'!$T$7:$T$3006=B27))&gt;0)))</f>
        <v>20</v>
      </c>
      <c r="G27" s="125" t="n">
        <f aca="false">IF($B27="","",SUMPRODUCT(((('CARNET DE SOUDURE'!$R$7:$R$3006=B27)+('CARNET DE SOUDURE'!$S$7:$S$3006=B27)+('CARNET DE SOUDURE'!$T$7:$T$3006=B27))&gt;0)*(('CARNET DE SOUDURE'!$AA$7:$AA$3006="A")+('CARNET DE SOUDURE'!$AA$7:$AA$3006="R")+('CARNET DE SOUDURE'!$AA$7:$AA$3006="NT")+('CARNET DE SOUDURE'!$AA$7:$AA$3006="CO"))))</f>
        <v>0</v>
      </c>
      <c r="H27" s="125" t="n">
        <f aca="false">IF($B27="","",SUMPRODUCT(((('CARNET DE SOUDURE'!$R$7:$R$3006=B27)+('CARNET DE SOUDURE'!$S$7:$S$3006=B27)+('CARNET DE SOUDURE'!$T$7:$T$3006=B27))&gt;0)*(('CARNET DE SOUDURE'!$AA$7:$AA$3006="R")+('CARNET DE SOUDURE'!$AA$7:$AA$3006="NT")+('CARNET DE SOUDURE'!$AA$7:$AA$3006="CO"))))</f>
        <v>0</v>
      </c>
      <c r="I27" s="40" t="n">
        <f aca="false">IF($B27="","",IFERROR(H27/G27,0))</f>
        <v>0</v>
      </c>
      <c r="J27" s="125" t="n">
        <f aca="false">IF($B27="","",COUNTIF('CARNET DE SOUDURE'!$AC$7:$AC$3006,B27)+COUNTIF('CARNET DE SOUDURE'!$AH$7:$AH$3006,B27))</f>
        <v>0</v>
      </c>
      <c r="K27" s="127" t="str">
        <f aca="false">IF($B27="","",IF(G27=0,"—",IF(I27&lt;=0.02,"Excellent",IF(I27&lt;=0.05,"Bon","À surveiller"))))</f>
        <v>—</v>
      </c>
    </row>
    <row r="28" customFormat="false" ht="15" hidden="false" customHeight="false" outlineLevel="0" collapsed="false">
      <c r="B28" s="150" t="s">
        <v>1938</v>
      </c>
      <c r="C28" s="151"/>
      <c r="D28" s="151"/>
      <c r="E28" s="129"/>
      <c r="F28" s="125" t="n">
        <f aca="false">IF($B28="","",SUMPRODUCT(--((('CARNET DE SOUDURE'!$R$7:$R$3006=B28)+('CARNET DE SOUDURE'!$S$7:$S$3006=B28)+('CARNET DE SOUDURE'!$T$7:$T$3006=B28))&gt;0)))</f>
        <v>19</v>
      </c>
      <c r="G28" s="125" t="n">
        <f aca="false">IF($B28="","",SUMPRODUCT(((('CARNET DE SOUDURE'!$R$7:$R$3006=B28)+('CARNET DE SOUDURE'!$S$7:$S$3006=B28)+('CARNET DE SOUDURE'!$T$7:$T$3006=B28))&gt;0)*(('CARNET DE SOUDURE'!$AA$7:$AA$3006="A")+('CARNET DE SOUDURE'!$AA$7:$AA$3006="R")+('CARNET DE SOUDURE'!$AA$7:$AA$3006="NT")+('CARNET DE SOUDURE'!$AA$7:$AA$3006="CO"))))</f>
        <v>19</v>
      </c>
      <c r="H28" s="125" t="n">
        <f aca="false">IF($B28="","",SUMPRODUCT(((('CARNET DE SOUDURE'!$R$7:$R$3006=B28)+('CARNET DE SOUDURE'!$S$7:$S$3006=B28)+('CARNET DE SOUDURE'!$T$7:$T$3006=B28))&gt;0)*(('CARNET DE SOUDURE'!$AA$7:$AA$3006="R")+('CARNET DE SOUDURE'!$AA$7:$AA$3006="NT")+('CARNET DE SOUDURE'!$AA$7:$AA$3006="CO"))))</f>
        <v>2</v>
      </c>
      <c r="I28" s="40" t="n">
        <f aca="false">IF($B28="","",IFERROR(H28/G28,0))</f>
        <v>0.105263157894737</v>
      </c>
      <c r="J28" s="125" t="n">
        <f aca="false">IF($B28="","",COUNTIF('CARNET DE SOUDURE'!$AC$7:$AC$3006,B28)+COUNTIF('CARNET DE SOUDURE'!$AH$7:$AH$3006,B28))</f>
        <v>0</v>
      </c>
      <c r="K28" s="127" t="str">
        <f aca="false">IF($B28="","",IF(G28=0,"—",IF(I28&lt;=0.02,"Excellent",IF(I28&lt;=0.05,"Bon","À surveiller"))))</f>
        <v>À surveiller</v>
      </c>
    </row>
    <row r="29" customFormat="false" ht="15" hidden="false" customHeight="false" outlineLevel="0" collapsed="false">
      <c r="B29" s="150" t="s">
        <v>2708</v>
      </c>
      <c r="C29" s="151"/>
      <c r="D29" s="151"/>
      <c r="E29" s="129"/>
      <c r="F29" s="125" t="n">
        <f aca="false">IF($B29="","",SUMPRODUCT(--((('CARNET DE SOUDURE'!$R$7:$R$3006=B29)+('CARNET DE SOUDURE'!$S$7:$S$3006=B29)+('CARNET DE SOUDURE'!$T$7:$T$3006=B29))&gt;0)))</f>
        <v>19</v>
      </c>
      <c r="G29" s="125" t="n">
        <f aca="false">IF($B29="","",SUMPRODUCT(((('CARNET DE SOUDURE'!$R$7:$R$3006=B29)+('CARNET DE SOUDURE'!$S$7:$S$3006=B29)+('CARNET DE SOUDURE'!$T$7:$T$3006=B29))&gt;0)*(('CARNET DE SOUDURE'!$AA$7:$AA$3006="A")+('CARNET DE SOUDURE'!$AA$7:$AA$3006="R")+('CARNET DE SOUDURE'!$AA$7:$AA$3006="NT")+('CARNET DE SOUDURE'!$AA$7:$AA$3006="CO"))))</f>
        <v>19</v>
      </c>
      <c r="H29" s="125" t="n">
        <f aca="false">IF($B29="","",SUMPRODUCT(((('CARNET DE SOUDURE'!$R$7:$R$3006=B29)+('CARNET DE SOUDURE'!$S$7:$S$3006=B29)+('CARNET DE SOUDURE'!$T$7:$T$3006=B29))&gt;0)*(('CARNET DE SOUDURE'!$AA$7:$AA$3006="R")+('CARNET DE SOUDURE'!$AA$7:$AA$3006="NT")+('CARNET DE SOUDURE'!$AA$7:$AA$3006="CO"))))</f>
        <v>0</v>
      </c>
      <c r="I29" s="40" t="n">
        <f aca="false">IF($B29="","",IFERROR(H29/G29,0))</f>
        <v>0</v>
      </c>
      <c r="J29" s="125" t="n">
        <f aca="false">IF($B29="","",COUNTIF('CARNET DE SOUDURE'!$AC$7:$AC$3006,B29)+COUNTIF('CARNET DE SOUDURE'!$AH$7:$AH$3006,B29))</f>
        <v>0</v>
      </c>
      <c r="K29" s="127" t="str">
        <f aca="false">IF($B29="","",IF(G29=0,"—",IF(I29&lt;=0.02,"Excellent",IF(I29&lt;=0.05,"Bon","À surveiller"))))</f>
        <v>Excellent</v>
      </c>
    </row>
    <row r="30" customFormat="false" ht="15" hidden="false" customHeight="false" outlineLevel="0" collapsed="false">
      <c r="B30" s="150" t="s">
        <v>880</v>
      </c>
      <c r="C30" s="151"/>
      <c r="D30" s="151"/>
      <c r="E30" s="129"/>
      <c r="F30" s="125" t="n">
        <f aca="false">IF($B30="","",SUMPRODUCT(--((('CARNET DE SOUDURE'!$R$7:$R$3006=B30)+('CARNET DE SOUDURE'!$S$7:$S$3006=B30)+('CARNET DE SOUDURE'!$T$7:$T$3006=B30))&gt;0)))</f>
        <v>18</v>
      </c>
      <c r="G30" s="125" t="n">
        <f aca="false">IF($B30="","",SUMPRODUCT(((('CARNET DE SOUDURE'!$R$7:$R$3006=B30)+('CARNET DE SOUDURE'!$S$7:$S$3006=B30)+('CARNET DE SOUDURE'!$T$7:$T$3006=B30))&gt;0)*(('CARNET DE SOUDURE'!$AA$7:$AA$3006="A")+('CARNET DE SOUDURE'!$AA$7:$AA$3006="R")+('CARNET DE SOUDURE'!$AA$7:$AA$3006="NT")+('CARNET DE SOUDURE'!$AA$7:$AA$3006="CO"))))</f>
        <v>0</v>
      </c>
      <c r="H30" s="125" t="n">
        <f aca="false">IF($B30="","",SUMPRODUCT(((('CARNET DE SOUDURE'!$R$7:$R$3006=B30)+('CARNET DE SOUDURE'!$S$7:$S$3006=B30)+('CARNET DE SOUDURE'!$T$7:$T$3006=B30))&gt;0)*(('CARNET DE SOUDURE'!$AA$7:$AA$3006="R")+('CARNET DE SOUDURE'!$AA$7:$AA$3006="NT")+('CARNET DE SOUDURE'!$AA$7:$AA$3006="CO"))))</f>
        <v>0</v>
      </c>
      <c r="I30" s="40" t="n">
        <f aca="false">IF($B30="","",IFERROR(H30/G30,0))</f>
        <v>0</v>
      </c>
      <c r="J30" s="125" t="n">
        <f aca="false">IF($B30="","",COUNTIF('CARNET DE SOUDURE'!$AC$7:$AC$3006,B30)+COUNTIF('CARNET DE SOUDURE'!$AH$7:$AH$3006,B30))</f>
        <v>0</v>
      </c>
      <c r="K30" s="127" t="str">
        <f aca="false">IF($B30="","",IF(G30=0,"—",IF(I30&lt;=0.02,"Excellent",IF(I30&lt;=0.05,"Bon","À surveiller"))))</f>
        <v>—</v>
      </c>
    </row>
    <row r="31" customFormat="false" ht="15" hidden="false" customHeight="false" outlineLevel="0" collapsed="false">
      <c r="B31" s="150" t="s">
        <v>2748</v>
      </c>
      <c r="C31" s="151"/>
      <c r="D31" s="151"/>
      <c r="E31" s="129"/>
      <c r="F31" s="125" t="n">
        <f aca="false">IF($B31="","",SUMPRODUCT(--((('CARNET DE SOUDURE'!$R$7:$R$3006=B31)+('CARNET DE SOUDURE'!$S$7:$S$3006=B31)+('CARNET DE SOUDURE'!$T$7:$T$3006=B31))&gt;0)))</f>
        <v>18</v>
      </c>
      <c r="G31" s="125" t="n">
        <f aca="false">IF($B31="","",SUMPRODUCT(((('CARNET DE SOUDURE'!$R$7:$R$3006=B31)+('CARNET DE SOUDURE'!$S$7:$S$3006=B31)+('CARNET DE SOUDURE'!$T$7:$T$3006=B31))&gt;0)*(('CARNET DE SOUDURE'!$AA$7:$AA$3006="A")+('CARNET DE SOUDURE'!$AA$7:$AA$3006="R")+('CARNET DE SOUDURE'!$AA$7:$AA$3006="NT")+('CARNET DE SOUDURE'!$AA$7:$AA$3006="CO"))))</f>
        <v>18</v>
      </c>
      <c r="H31" s="125" t="n">
        <f aca="false">IF($B31="","",SUMPRODUCT(((('CARNET DE SOUDURE'!$R$7:$R$3006=B31)+('CARNET DE SOUDURE'!$S$7:$S$3006=B31)+('CARNET DE SOUDURE'!$T$7:$T$3006=B31))&gt;0)*(('CARNET DE SOUDURE'!$AA$7:$AA$3006="R")+('CARNET DE SOUDURE'!$AA$7:$AA$3006="NT")+('CARNET DE SOUDURE'!$AA$7:$AA$3006="CO"))))</f>
        <v>0</v>
      </c>
      <c r="I31" s="40" t="n">
        <f aca="false">IF($B31="","",IFERROR(H31/G31,0))</f>
        <v>0</v>
      </c>
      <c r="J31" s="125" t="n">
        <f aca="false">IF($B31="","",COUNTIF('CARNET DE SOUDURE'!$AC$7:$AC$3006,B31)+COUNTIF('CARNET DE SOUDURE'!$AH$7:$AH$3006,B31))</f>
        <v>0</v>
      </c>
      <c r="K31" s="127" t="str">
        <f aca="false">IF($B31="","",IF(G31=0,"—",IF(I31&lt;=0.02,"Excellent",IF(I31&lt;=0.05,"Bon","À surveiller"))))</f>
        <v>Excellent</v>
      </c>
    </row>
    <row r="32" customFormat="false" ht="15" hidden="false" customHeight="false" outlineLevel="0" collapsed="false">
      <c r="B32" s="150" t="s">
        <v>2858</v>
      </c>
      <c r="C32" s="151"/>
      <c r="D32" s="151"/>
      <c r="E32" s="129"/>
      <c r="F32" s="125" t="n">
        <f aca="false">IF($B32="","",SUMPRODUCT(--((('CARNET DE SOUDURE'!$R$7:$R$3006=B32)+('CARNET DE SOUDURE'!$S$7:$S$3006=B32)+('CARNET DE SOUDURE'!$T$7:$T$3006=B32))&gt;0)))</f>
        <v>18</v>
      </c>
      <c r="G32" s="125" t="n">
        <f aca="false">IF($B32="","",SUMPRODUCT(((('CARNET DE SOUDURE'!$R$7:$R$3006=B32)+('CARNET DE SOUDURE'!$S$7:$S$3006=B32)+('CARNET DE SOUDURE'!$T$7:$T$3006=B32))&gt;0)*(('CARNET DE SOUDURE'!$AA$7:$AA$3006="A")+('CARNET DE SOUDURE'!$AA$7:$AA$3006="R")+('CARNET DE SOUDURE'!$AA$7:$AA$3006="NT")+('CARNET DE SOUDURE'!$AA$7:$AA$3006="CO"))))</f>
        <v>17</v>
      </c>
      <c r="H32" s="125" t="n">
        <f aca="false">IF($B32="","",SUMPRODUCT(((('CARNET DE SOUDURE'!$R$7:$R$3006=B32)+('CARNET DE SOUDURE'!$S$7:$S$3006=B32)+('CARNET DE SOUDURE'!$T$7:$T$3006=B32))&gt;0)*(('CARNET DE SOUDURE'!$AA$7:$AA$3006="R")+('CARNET DE SOUDURE'!$AA$7:$AA$3006="NT")+('CARNET DE SOUDURE'!$AA$7:$AA$3006="CO"))))</f>
        <v>3</v>
      </c>
      <c r="I32" s="40" t="n">
        <f aca="false">IF($B32="","",IFERROR(H32/G32,0))</f>
        <v>0.176470588235294</v>
      </c>
      <c r="J32" s="125" t="n">
        <f aca="false">IF($B32="","",COUNTIF('CARNET DE SOUDURE'!$AC$7:$AC$3006,B32)+COUNTIF('CARNET DE SOUDURE'!$AH$7:$AH$3006,B32))</f>
        <v>0</v>
      </c>
      <c r="K32" s="127" t="str">
        <f aca="false">IF($B32="","",IF(G32=0,"—",IF(I32&lt;=0.02,"Excellent",IF(I32&lt;=0.05,"Bon","À surveiller"))))</f>
        <v>À surveiller</v>
      </c>
    </row>
    <row r="33" customFormat="false" ht="15" hidden="false" customHeight="false" outlineLevel="0" collapsed="false">
      <c r="B33" s="150" t="s">
        <v>1099</v>
      </c>
      <c r="C33" s="151"/>
      <c r="D33" s="151"/>
      <c r="E33" s="129"/>
      <c r="F33" s="125" t="n">
        <f aca="false">IF($B33="","",SUMPRODUCT(--((('CARNET DE SOUDURE'!$R$7:$R$3006=B33)+('CARNET DE SOUDURE'!$S$7:$S$3006=B33)+('CARNET DE SOUDURE'!$T$7:$T$3006=B33))&gt;0)))</f>
        <v>17</v>
      </c>
      <c r="G33" s="125" t="n">
        <f aca="false">IF($B33="","",SUMPRODUCT(((('CARNET DE SOUDURE'!$R$7:$R$3006=B33)+('CARNET DE SOUDURE'!$S$7:$S$3006=B33)+('CARNET DE SOUDURE'!$T$7:$T$3006=B33))&gt;0)*(('CARNET DE SOUDURE'!$AA$7:$AA$3006="A")+('CARNET DE SOUDURE'!$AA$7:$AA$3006="R")+('CARNET DE SOUDURE'!$AA$7:$AA$3006="NT")+('CARNET DE SOUDURE'!$AA$7:$AA$3006="CO"))))</f>
        <v>17</v>
      </c>
      <c r="H33" s="125" t="n">
        <f aca="false">IF($B33="","",SUMPRODUCT(((('CARNET DE SOUDURE'!$R$7:$R$3006=B33)+('CARNET DE SOUDURE'!$S$7:$S$3006=B33)+('CARNET DE SOUDURE'!$T$7:$T$3006=B33))&gt;0)*(('CARNET DE SOUDURE'!$AA$7:$AA$3006="R")+('CARNET DE SOUDURE'!$AA$7:$AA$3006="NT")+('CARNET DE SOUDURE'!$AA$7:$AA$3006="CO"))))</f>
        <v>0</v>
      </c>
      <c r="I33" s="40" t="n">
        <f aca="false">IF($B33="","",IFERROR(H33/G33,0))</f>
        <v>0</v>
      </c>
      <c r="J33" s="125" t="n">
        <f aca="false">IF($B33="","",COUNTIF('CARNET DE SOUDURE'!$AC$7:$AC$3006,B33)+COUNTIF('CARNET DE SOUDURE'!$AH$7:$AH$3006,B33))</f>
        <v>0</v>
      </c>
      <c r="K33" s="127" t="str">
        <f aca="false">IF($B33="","",IF(G33=0,"—",IF(I33&lt;=0.02,"Excellent",IF(I33&lt;=0.05,"Bon","À surveiller"))))</f>
        <v>Excellent</v>
      </c>
    </row>
    <row r="34" customFormat="false" ht="15" hidden="false" customHeight="false" outlineLevel="0" collapsed="false">
      <c r="B34" s="150" t="s">
        <v>2681</v>
      </c>
      <c r="C34" s="151"/>
      <c r="D34" s="151"/>
      <c r="E34" s="129"/>
      <c r="F34" s="125" t="n">
        <f aca="false">IF($B34="","",SUMPRODUCT(--((('CARNET DE SOUDURE'!$R$7:$R$3006=B34)+('CARNET DE SOUDURE'!$S$7:$S$3006=B34)+('CARNET DE SOUDURE'!$T$7:$T$3006=B34))&gt;0)))</f>
        <v>14</v>
      </c>
      <c r="G34" s="125" t="n">
        <f aca="false">IF($B34="","",SUMPRODUCT(((('CARNET DE SOUDURE'!$R$7:$R$3006=B34)+('CARNET DE SOUDURE'!$S$7:$S$3006=B34)+('CARNET DE SOUDURE'!$T$7:$T$3006=B34))&gt;0)*(('CARNET DE SOUDURE'!$AA$7:$AA$3006="A")+('CARNET DE SOUDURE'!$AA$7:$AA$3006="R")+('CARNET DE SOUDURE'!$AA$7:$AA$3006="NT")+('CARNET DE SOUDURE'!$AA$7:$AA$3006="CO"))))</f>
        <v>14</v>
      </c>
      <c r="H34" s="125" t="n">
        <f aca="false">IF($B34="","",SUMPRODUCT(((('CARNET DE SOUDURE'!$R$7:$R$3006=B34)+('CARNET DE SOUDURE'!$S$7:$S$3006=B34)+('CARNET DE SOUDURE'!$T$7:$T$3006=B34))&gt;0)*(('CARNET DE SOUDURE'!$AA$7:$AA$3006="R")+('CARNET DE SOUDURE'!$AA$7:$AA$3006="NT")+('CARNET DE SOUDURE'!$AA$7:$AA$3006="CO"))))</f>
        <v>0</v>
      </c>
      <c r="I34" s="40" t="n">
        <f aca="false">IF($B34="","",IFERROR(H34/G34,0))</f>
        <v>0</v>
      </c>
      <c r="J34" s="125" t="n">
        <f aca="false">IF($B34="","",COUNTIF('CARNET DE SOUDURE'!$AC$7:$AC$3006,B34)+COUNTIF('CARNET DE SOUDURE'!$AH$7:$AH$3006,B34))</f>
        <v>0</v>
      </c>
      <c r="K34" s="127" t="str">
        <f aca="false">IF($B34="","",IF(G34=0,"—",IF(I34&lt;=0.02,"Excellent",IF(I34&lt;=0.05,"Bon","À surveiller"))))</f>
        <v>Excellent</v>
      </c>
    </row>
    <row r="35" customFormat="false" ht="15" hidden="false" customHeight="false" outlineLevel="0" collapsed="false">
      <c r="B35" s="150" t="s">
        <v>2900</v>
      </c>
      <c r="C35" s="151"/>
      <c r="D35" s="151"/>
      <c r="E35" s="129"/>
      <c r="F35" s="125" t="n">
        <f aca="false">IF($B35="","",SUMPRODUCT(--((('CARNET DE SOUDURE'!$R$7:$R$3006=B35)+('CARNET DE SOUDURE'!$S$7:$S$3006=B35)+('CARNET DE SOUDURE'!$T$7:$T$3006=B35))&gt;0)))</f>
        <v>14</v>
      </c>
      <c r="G35" s="125" t="n">
        <f aca="false">IF($B35="","",SUMPRODUCT(((('CARNET DE SOUDURE'!$R$7:$R$3006=B35)+('CARNET DE SOUDURE'!$S$7:$S$3006=B35)+('CARNET DE SOUDURE'!$T$7:$T$3006=B35))&gt;0)*(('CARNET DE SOUDURE'!$AA$7:$AA$3006="A")+('CARNET DE SOUDURE'!$AA$7:$AA$3006="R")+('CARNET DE SOUDURE'!$AA$7:$AA$3006="NT")+('CARNET DE SOUDURE'!$AA$7:$AA$3006="CO"))))</f>
        <v>14</v>
      </c>
      <c r="H35" s="125" t="n">
        <f aca="false">IF($B35="","",SUMPRODUCT(((('CARNET DE SOUDURE'!$R$7:$R$3006=B35)+('CARNET DE SOUDURE'!$S$7:$S$3006=B35)+('CARNET DE SOUDURE'!$T$7:$T$3006=B35))&gt;0)*(('CARNET DE SOUDURE'!$AA$7:$AA$3006="R")+('CARNET DE SOUDURE'!$AA$7:$AA$3006="NT")+('CARNET DE SOUDURE'!$AA$7:$AA$3006="CO"))))</f>
        <v>0</v>
      </c>
      <c r="I35" s="40" t="n">
        <f aca="false">IF($B35="","",IFERROR(H35/G35,0))</f>
        <v>0</v>
      </c>
      <c r="J35" s="125" t="n">
        <f aca="false">IF($B35="","",COUNTIF('CARNET DE SOUDURE'!$AC$7:$AC$3006,B35)+COUNTIF('CARNET DE SOUDURE'!$AH$7:$AH$3006,B35))</f>
        <v>0</v>
      </c>
      <c r="K35" s="127" t="str">
        <f aca="false">IF($B35="","",IF(G35=0,"—",IF(I35&lt;=0.02,"Excellent",IF(I35&lt;=0.05,"Bon","À surveiller"))))</f>
        <v>Excellent</v>
      </c>
    </row>
    <row r="36" customFormat="false" ht="15" hidden="false" customHeight="false" outlineLevel="0" collapsed="false">
      <c r="B36" s="150" t="s">
        <v>920</v>
      </c>
      <c r="C36" s="151"/>
      <c r="D36" s="151"/>
      <c r="E36" s="129"/>
      <c r="F36" s="125" t="n">
        <f aca="false">IF($B36="","",SUMPRODUCT(--((('CARNET DE SOUDURE'!$R$7:$R$3006=B36)+('CARNET DE SOUDURE'!$S$7:$S$3006=B36)+('CARNET DE SOUDURE'!$T$7:$T$3006=B36))&gt;0)))</f>
        <v>13</v>
      </c>
      <c r="G36" s="125" t="n">
        <f aca="false">IF($B36="","",SUMPRODUCT(((('CARNET DE SOUDURE'!$R$7:$R$3006=B36)+('CARNET DE SOUDURE'!$S$7:$S$3006=B36)+('CARNET DE SOUDURE'!$T$7:$T$3006=B36))&gt;0)*(('CARNET DE SOUDURE'!$AA$7:$AA$3006="A")+('CARNET DE SOUDURE'!$AA$7:$AA$3006="R")+('CARNET DE SOUDURE'!$AA$7:$AA$3006="NT")+('CARNET DE SOUDURE'!$AA$7:$AA$3006="CO"))))</f>
        <v>13</v>
      </c>
      <c r="H36" s="125" t="n">
        <f aca="false">IF($B36="","",SUMPRODUCT(((('CARNET DE SOUDURE'!$R$7:$R$3006=B36)+('CARNET DE SOUDURE'!$S$7:$S$3006=B36)+('CARNET DE SOUDURE'!$T$7:$T$3006=B36))&gt;0)*(('CARNET DE SOUDURE'!$AA$7:$AA$3006="R")+('CARNET DE SOUDURE'!$AA$7:$AA$3006="NT")+('CARNET DE SOUDURE'!$AA$7:$AA$3006="CO"))))</f>
        <v>1</v>
      </c>
      <c r="I36" s="40" t="n">
        <f aca="false">IF($B36="","",IFERROR(H36/G36,0))</f>
        <v>0.0769230769230769</v>
      </c>
      <c r="J36" s="125" t="n">
        <f aca="false">IF($B36="","",COUNTIF('CARNET DE SOUDURE'!$AC$7:$AC$3006,B36)+COUNTIF('CARNET DE SOUDURE'!$AH$7:$AH$3006,B36))</f>
        <v>0</v>
      </c>
      <c r="K36" s="127" t="str">
        <f aca="false">IF($B36="","",IF(G36=0,"—",IF(I36&lt;=0.02,"Excellent",IF(I36&lt;=0.05,"Bon","À surveiller"))))</f>
        <v>À surveiller</v>
      </c>
    </row>
    <row r="37" customFormat="false" ht="15" hidden="false" customHeight="false" outlineLevel="0" collapsed="false">
      <c r="B37" s="150" t="s">
        <v>1260</v>
      </c>
      <c r="C37" s="151"/>
      <c r="D37" s="151"/>
      <c r="E37" s="129"/>
      <c r="F37" s="125" t="n">
        <f aca="false">IF($B37="","",SUMPRODUCT(--((('CARNET DE SOUDURE'!$R$7:$R$3006=B37)+('CARNET DE SOUDURE'!$S$7:$S$3006=B37)+('CARNET DE SOUDURE'!$T$7:$T$3006=B37))&gt;0)))</f>
        <v>13</v>
      </c>
      <c r="G37" s="125" t="n">
        <f aca="false">IF($B37="","",SUMPRODUCT(((('CARNET DE SOUDURE'!$R$7:$R$3006=B37)+('CARNET DE SOUDURE'!$S$7:$S$3006=B37)+('CARNET DE SOUDURE'!$T$7:$T$3006=B37))&gt;0)*(('CARNET DE SOUDURE'!$AA$7:$AA$3006="A")+('CARNET DE SOUDURE'!$AA$7:$AA$3006="R")+('CARNET DE SOUDURE'!$AA$7:$AA$3006="NT")+('CARNET DE SOUDURE'!$AA$7:$AA$3006="CO"))))</f>
        <v>13</v>
      </c>
      <c r="H37" s="125" t="n">
        <f aca="false">IF($B37="","",SUMPRODUCT(((('CARNET DE SOUDURE'!$R$7:$R$3006=B37)+('CARNET DE SOUDURE'!$S$7:$S$3006=B37)+('CARNET DE SOUDURE'!$T$7:$T$3006=B37))&gt;0)*(('CARNET DE SOUDURE'!$AA$7:$AA$3006="R")+('CARNET DE SOUDURE'!$AA$7:$AA$3006="NT")+('CARNET DE SOUDURE'!$AA$7:$AA$3006="CO"))))</f>
        <v>4</v>
      </c>
      <c r="I37" s="40" t="n">
        <f aca="false">IF($B37="","",IFERROR(H37/G37,0))</f>
        <v>0.307692307692308</v>
      </c>
      <c r="J37" s="125" t="n">
        <f aca="false">IF($B37="","",COUNTIF('CARNET DE SOUDURE'!$AC$7:$AC$3006,B37)+COUNTIF('CARNET DE SOUDURE'!$AH$7:$AH$3006,B37))</f>
        <v>0</v>
      </c>
      <c r="K37" s="127" t="str">
        <f aca="false">IF($B37="","",IF(G37=0,"—",IF(I37&lt;=0.02,"Excellent",IF(I37&lt;=0.05,"Bon","À surveiller"))))</f>
        <v>À surveiller</v>
      </c>
    </row>
    <row r="38" customFormat="false" ht="15" hidden="false" customHeight="false" outlineLevel="0" collapsed="false">
      <c r="B38" s="150" t="s">
        <v>3003</v>
      </c>
      <c r="C38" s="151"/>
      <c r="D38" s="151"/>
      <c r="E38" s="129"/>
      <c r="F38" s="125" t="n">
        <f aca="false">IF($B38="","",SUMPRODUCT(--((('CARNET DE SOUDURE'!$R$7:$R$3006=B38)+('CARNET DE SOUDURE'!$S$7:$S$3006=B38)+('CARNET DE SOUDURE'!$T$7:$T$3006=B38))&gt;0)))</f>
        <v>11</v>
      </c>
      <c r="G38" s="125" t="n">
        <f aca="false">IF($B38="","",SUMPRODUCT(((('CARNET DE SOUDURE'!$R$7:$R$3006=B38)+('CARNET DE SOUDURE'!$S$7:$S$3006=B38)+('CARNET DE SOUDURE'!$T$7:$T$3006=B38))&gt;0)*(('CARNET DE SOUDURE'!$AA$7:$AA$3006="A")+('CARNET DE SOUDURE'!$AA$7:$AA$3006="R")+('CARNET DE SOUDURE'!$AA$7:$AA$3006="NT")+('CARNET DE SOUDURE'!$AA$7:$AA$3006="CO"))))</f>
        <v>11</v>
      </c>
      <c r="H38" s="125" t="n">
        <f aca="false">IF($B38="","",SUMPRODUCT(((('CARNET DE SOUDURE'!$R$7:$R$3006=B38)+('CARNET DE SOUDURE'!$S$7:$S$3006=B38)+('CARNET DE SOUDURE'!$T$7:$T$3006=B38))&gt;0)*(('CARNET DE SOUDURE'!$AA$7:$AA$3006="R")+('CARNET DE SOUDURE'!$AA$7:$AA$3006="NT")+('CARNET DE SOUDURE'!$AA$7:$AA$3006="CO"))))</f>
        <v>0</v>
      </c>
      <c r="I38" s="40" t="n">
        <f aca="false">IF($B38="","",IFERROR(H38/G38,0))</f>
        <v>0</v>
      </c>
      <c r="J38" s="125" t="n">
        <f aca="false">IF($B38="","",COUNTIF('CARNET DE SOUDURE'!$AC$7:$AC$3006,B38)+COUNTIF('CARNET DE SOUDURE'!$AH$7:$AH$3006,B38))</f>
        <v>0</v>
      </c>
      <c r="K38" s="127" t="str">
        <f aca="false">IF($B38="","",IF(G38=0,"—",IF(I38&lt;=0.02,"Excellent",IF(I38&lt;=0.05,"Bon","À surveiller"))))</f>
        <v>Excellent</v>
      </c>
    </row>
    <row r="39" customFormat="false" ht="15" hidden="false" customHeight="false" outlineLevel="0" collapsed="false">
      <c r="B39" s="150" t="s">
        <v>1068</v>
      </c>
      <c r="C39" s="151"/>
      <c r="D39" s="151"/>
      <c r="E39" s="129"/>
      <c r="F39" s="125" t="n">
        <f aca="false">IF($B39="","",SUMPRODUCT(--((('CARNET DE SOUDURE'!$R$7:$R$3006=B39)+('CARNET DE SOUDURE'!$S$7:$S$3006=B39)+('CARNET DE SOUDURE'!$T$7:$T$3006=B39))&gt;0)))</f>
        <v>10</v>
      </c>
      <c r="G39" s="125" t="n">
        <f aca="false">IF($B39="","",SUMPRODUCT(((('CARNET DE SOUDURE'!$R$7:$R$3006=B39)+('CARNET DE SOUDURE'!$S$7:$S$3006=B39)+('CARNET DE SOUDURE'!$T$7:$T$3006=B39))&gt;0)*(('CARNET DE SOUDURE'!$AA$7:$AA$3006="A")+('CARNET DE SOUDURE'!$AA$7:$AA$3006="R")+('CARNET DE SOUDURE'!$AA$7:$AA$3006="NT")+('CARNET DE SOUDURE'!$AA$7:$AA$3006="CO"))))</f>
        <v>10</v>
      </c>
      <c r="H39" s="125" t="n">
        <f aca="false">IF($B39="","",SUMPRODUCT(((('CARNET DE SOUDURE'!$R$7:$R$3006=B39)+('CARNET DE SOUDURE'!$S$7:$S$3006=B39)+('CARNET DE SOUDURE'!$T$7:$T$3006=B39))&gt;0)*(('CARNET DE SOUDURE'!$AA$7:$AA$3006="R")+('CARNET DE SOUDURE'!$AA$7:$AA$3006="NT")+('CARNET DE SOUDURE'!$AA$7:$AA$3006="CO"))))</f>
        <v>0</v>
      </c>
      <c r="I39" s="40" t="n">
        <f aca="false">IF($B39="","",IFERROR(H39/G39,0))</f>
        <v>0</v>
      </c>
      <c r="J39" s="125" t="n">
        <f aca="false">IF($B39="","",COUNTIF('CARNET DE SOUDURE'!$AC$7:$AC$3006,B39)+COUNTIF('CARNET DE SOUDURE'!$AH$7:$AH$3006,B39))</f>
        <v>0</v>
      </c>
      <c r="K39" s="127" t="str">
        <f aca="false">IF($B39="","",IF(G39=0,"—",IF(I39&lt;=0.02,"Excellent",IF(I39&lt;=0.05,"Bon","À surveiller"))))</f>
        <v>Excellent</v>
      </c>
    </row>
    <row r="40" customFormat="false" ht="15" hidden="false" customHeight="false" outlineLevel="0" collapsed="false">
      <c r="B40" s="150" t="s">
        <v>2795</v>
      </c>
      <c r="C40" s="151"/>
      <c r="D40" s="151"/>
      <c r="E40" s="129"/>
      <c r="F40" s="125" t="n">
        <f aca="false">IF($B40="","",SUMPRODUCT(--((('CARNET DE SOUDURE'!$R$7:$R$3006=B40)+('CARNET DE SOUDURE'!$S$7:$S$3006=B40)+('CARNET DE SOUDURE'!$T$7:$T$3006=B40))&gt;0)))</f>
        <v>10</v>
      </c>
      <c r="G40" s="125" t="n">
        <f aca="false">IF($B40="","",SUMPRODUCT(((('CARNET DE SOUDURE'!$R$7:$R$3006=B40)+('CARNET DE SOUDURE'!$S$7:$S$3006=B40)+('CARNET DE SOUDURE'!$T$7:$T$3006=B40))&gt;0)*(('CARNET DE SOUDURE'!$AA$7:$AA$3006="A")+('CARNET DE SOUDURE'!$AA$7:$AA$3006="R")+('CARNET DE SOUDURE'!$AA$7:$AA$3006="NT")+('CARNET DE SOUDURE'!$AA$7:$AA$3006="CO"))))</f>
        <v>10</v>
      </c>
      <c r="H40" s="125" t="n">
        <f aca="false">IF($B40="","",SUMPRODUCT(((('CARNET DE SOUDURE'!$R$7:$R$3006=B40)+('CARNET DE SOUDURE'!$S$7:$S$3006=B40)+('CARNET DE SOUDURE'!$T$7:$T$3006=B40))&gt;0)*(('CARNET DE SOUDURE'!$AA$7:$AA$3006="R")+('CARNET DE SOUDURE'!$AA$7:$AA$3006="NT")+('CARNET DE SOUDURE'!$AA$7:$AA$3006="CO"))))</f>
        <v>0</v>
      </c>
      <c r="I40" s="40" t="n">
        <f aca="false">IF($B40="","",IFERROR(H40/G40,0))</f>
        <v>0</v>
      </c>
      <c r="J40" s="125" t="n">
        <f aca="false">IF($B40="","",COUNTIF('CARNET DE SOUDURE'!$AC$7:$AC$3006,B40)+COUNTIF('CARNET DE SOUDURE'!$AH$7:$AH$3006,B40))</f>
        <v>0</v>
      </c>
      <c r="K40" s="127" t="str">
        <f aca="false">IF($B40="","",IF(G40=0,"—",IF(I40&lt;=0.02,"Excellent",IF(I40&lt;=0.05,"Bon","À surveiller"))))</f>
        <v>Excellent</v>
      </c>
    </row>
    <row r="41" customFormat="false" ht="15" hidden="false" customHeight="false" outlineLevel="0" collapsed="false">
      <c r="B41" s="150" t="s">
        <v>971</v>
      </c>
      <c r="C41" s="151"/>
      <c r="D41" s="151"/>
      <c r="E41" s="129"/>
      <c r="F41" s="125" t="n">
        <f aca="false">IF($B41="","",SUMPRODUCT(--((('CARNET DE SOUDURE'!$R$7:$R$3006=B41)+('CARNET DE SOUDURE'!$S$7:$S$3006=B41)+('CARNET DE SOUDURE'!$T$7:$T$3006=B41))&gt;0)))</f>
        <v>6</v>
      </c>
      <c r="G41" s="125" t="n">
        <f aca="false">IF($B41="","",SUMPRODUCT(((('CARNET DE SOUDURE'!$R$7:$R$3006=B41)+('CARNET DE SOUDURE'!$S$7:$S$3006=B41)+('CARNET DE SOUDURE'!$T$7:$T$3006=B41))&gt;0)*(('CARNET DE SOUDURE'!$AA$7:$AA$3006="A")+('CARNET DE SOUDURE'!$AA$7:$AA$3006="R")+('CARNET DE SOUDURE'!$AA$7:$AA$3006="NT")+('CARNET DE SOUDURE'!$AA$7:$AA$3006="CO"))))</f>
        <v>0</v>
      </c>
      <c r="H41" s="125" t="n">
        <f aca="false">IF($B41="","",SUMPRODUCT(((('CARNET DE SOUDURE'!$R$7:$R$3006=B41)+('CARNET DE SOUDURE'!$S$7:$S$3006=B41)+('CARNET DE SOUDURE'!$T$7:$T$3006=B41))&gt;0)*(('CARNET DE SOUDURE'!$AA$7:$AA$3006="R")+('CARNET DE SOUDURE'!$AA$7:$AA$3006="NT")+('CARNET DE SOUDURE'!$AA$7:$AA$3006="CO"))))</f>
        <v>0</v>
      </c>
      <c r="I41" s="40" t="n">
        <f aca="false">IF($B41="","",IFERROR(H41/G41,0))</f>
        <v>0</v>
      </c>
      <c r="J41" s="125" t="n">
        <f aca="false">IF($B41="","",COUNTIF('CARNET DE SOUDURE'!$AC$7:$AC$3006,B41)+COUNTIF('CARNET DE SOUDURE'!$AH$7:$AH$3006,B41))</f>
        <v>0</v>
      </c>
      <c r="K41" s="127" t="str">
        <f aca="false">IF($B41="","",IF(G41=0,"—",IF(I41&lt;=0.02,"Excellent",IF(I41&lt;=0.05,"Bon","À surveiller"))))</f>
        <v>—</v>
      </c>
    </row>
    <row r="42" customFormat="false" ht="15" hidden="false" customHeight="false" outlineLevel="0" collapsed="false">
      <c r="B42" s="150" t="s">
        <v>1244</v>
      </c>
      <c r="C42" s="151"/>
      <c r="D42" s="151"/>
      <c r="E42" s="129"/>
      <c r="F42" s="125" t="n">
        <f aca="false">IF($B42="","",SUMPRODUCT(--((('CARNET DE SOUDURE'!$R$7:$R$3006=B42)+('CARNET DE SOUDURE'!$S$7:$S$3006=B42)+('CARNET DE SOUDURE'!$T$7:$T$3006=B42))&gt;0)))</f>
        <v>6</v>
      </c>
      <c r="G42" s="125" t="n">
        <f aca="false">IF($B42="","",SUMPRODUCT(((('CARNET DE SOUDURE'!$R$7:$R$3006=B42)+('CARNET DE SOUDURE'!$S$7:$S$3006=B42)+('CARNET DE SOUDURE'!$T$7:$T$3006=B42))&gt;0)*(('CARNET DE SOUDURE'!$AA$7:$AA$3006="A")+('CARNET DE SOUDURE'!$AA$7:$AA$3006="R")+('CARNET DE SOUDURE'!$AA$7:$AA$3006="NT")+('CARNET DE SOUDURE'!$AA$7:$AA$3006="CO"))))</f>
        <v>5</v>
      </c>
      <c r="H42" s="125" t="n">
        <f aca="false">IF($B42="","",SUMPRODUCT(((('CARNET DE SOUDURE'!$R$7:$R$3006=B42)+('CARNET DE SOUDURE'!$S$7:$S$3006=B42)+('CARNET DE SOUDURE'!$T$7:$T$3006=B42))&gt;0)*(('CARNET DE SOUDURE'!$AA$7:$AA$3006="R")+('CARNET DE SOUDURE'!$AA$7:$AA$3006="NT")+('CARNET DE SOUDURE'!$AA$7:$AA$3006="CO"))))</f>
        <v>1</v>
      </c>
      <c r="I42" s="40" t="n">
        <f aca="false">IF($B42="","",IFERROR(H42/G42,0))</f>
        <v>0.2</v>
      </c>
      <c r="J42" s="125" t="n">
        <f aca="false">IF($B42="","",COUNTIF('CARNET DE SOUDURE'!$AC$7:$AC$3006,B42)+COUNTIF('CARNET DE SOUDURE'!$AH$7:$AH$3006,B42))</f>
        <v>0</v>
      </c>
      <c r="K42" s="127" t="str">
        <f aca="false">IF($B42="","",IF(G42=0,"—",IF(I42&lt;=0.02,"Excellent",IF(I42&lt;=0.05,"Bon","À surveiller"))))</f>
        <v>À surveiller</v>
      </c>
    </row>
    <row r="43" customFormat="false" ht="15" hidden="false" customHeight="false" outlineLevel="0" collapsed="false">
      <c r="B43" s="150" t="s">
        <v>959</v>
      </c>
      <c r="C43" s="151"/>
      <c r="D43" s="151"/>
      <c r="E43" s="129"/>
      <c r="F43" s="125" t="n">
        <f aca="false">IF($B43="","",SUMPRODUCT(--((('CARNET DE SOUDURE'!$R$7:$R$3006=B43)+('CARNET DE SOUDURE'!$S$7:$S$3006=B43)+('CARNET DE SOUDURE'!$T$7:$T$3006=B43))&gt;0)))</f>
        <v>5</v>
      </c>
      <c r="G43" s="125" t="n">
        <f aca="false">IF($B43="","",SUMPRODUCT(((('CARNET DE SOUDURE'!$R$7:$R$3006=B43)+('CARNET DE SOUDURE'!$S$7:$S$3006=B43)+('CARNET DE SOUDURE'!$T$7:$T$3006=B43))&gt;0)*(('CARNET DE SOUDURE'!$AA$7:$AA$3006="A")+('CARNET DE SOUDURE'!$AA$7:$AA$3006="R")+('CARNET DE SOUDURE'!$AA$7:$AA$3006="NT")+('CARNET DE SOUDURE'!$AA$7:$AA$3006="CO"))))</f>
        <v>0</v>
      </c>
      <c r="H43" s="125" t="n">
        <f aca="false">IF($B43="","",SUMPRODUCT(((('CARNET DE SOUDURE'!$R$7:$R$3006=B43)+('CARNET DE SOUDURE'!$S$7:$S$3006=B43)+('CARNET DE SOUDURE'!$T$7:$T$3006=B43))&gt;0)*(('CARNET DE SOUDURE'!$AA$7:$AA$3006="R")+('CARNET DE SOUDURE'!$AA$7:$AA$3006="NT")+('CARNET DE SOUDURE'!$AA$7:$AA$3006="CO"))))</f>
        <v>0</v>
      </c>
      <c r="I43" s="40" t="n">
        <f aca="false">IF($B43="","",IFERROR(H43/G43,0))</f>
        <v>0</v>
      </c>
      <c r="J43" s="125" t="n">
        <f aca="false">IF($B43="","",COUNTIF('CARNET DE SOUDURE'!$AC$7:$AC$3006,B43)+COUNTIF('CARNET DE SOUDURE'!$AH$7:$AH$3006,B43))</f>
        <v>0</v>
      </c>
      <c r="K43" s="127" t="str">
        <f aca="false">IF($B43="","",IF(G43=0,"—",IF(I43&lt;=0.02,"Excellent",IF(I43&lt;=0.05,"Bon","À surveiller"))))</f>
        <v>—</v>
      </c>
    </row>
    <row r="44" customFormat="false" ht="15" hidden="false" customHeight="false" outlineLevel="0" collapsed="false">
      <c r="B44" s="150" t="s">
        <v>2720</v>
      </c>
      <c r="C44" s="151"/>
      <c r="D44" s="151"/>
      <c r="E44" s="129"/>
      <c r="F44" s="125" t="n">
        <f aca="false">IF($B44="","",SUMPRODUCT(--((('CARNET DE SOUDURE'!$R$7:$R$3006=B44)+('CARNET DE SOUDURE'!$S$7:$S$3006=B44)+('CARNET DE SOUDURE'!$T$7:$T$3006=B44))&gt;0)))</f>
        <v>5</v>
      </c>
      <c r="G44" s="125" t="n">
        <f aca="false">IF($B44="","",SUMPRODUCT(((('CARNET DE SOUDURE'!$R$7:$R$3006=B44)+('CARNET DE SOUDURE'!$S$7:$S$3006=B44)+('CARNET DE SOUDURE'!$T$7:$T$3006=B44))&gt;0)*(('CARNET DE SOUDURE'!$AA$7:$AA$3006="A")+('CARNET DE SOUDURE'!$AA$7:$AA$3006="R")+('CARNET DE SOUDURE'!$AA$7:$AA$3006="NT")+('CARNET DE SOUDURE'!$AA$7:$AA$3006="CO"))))</f>
        <v>5</v>
      </c>
      <c r="H44" s="125" t="n">
        <f aca="false">IF($B44="","",SUMPRODUCT(((('CARNET DE SOUDURE'!$R$7:$R$3006=B44)+('CARNET DE SOUDURE'!$S$7:$S$3006=B44)+('CARNET DE SOUDURE'!$T$7:$T$3006=B44))&gt;0)*(('CARNET DE SOUDURE'!$AA$7:$AA$3006="R")+('CARNET DE SOUDURE'!$AA$7:$AA$3006="NT")+('CARNET DE SOUDURE'!$AA$7:$AA$3006="CO"))))</f>
        <v>0</v>
      </c>
      <c r="I44" s="40" t="n">
        <f aca="false">IF($B44="","",IFERROR(H44/G44,0))</f>
        <v>0</v>
      </c>
      <c r="J44" s="125" t="n">
        <f aca="false">IF($B44="","",COUNTIF('CARNET DE SOUDURE'!$AC$7:$AC$3006,B44)+COUNTIF('CARNET DE SOUDURE'!$AH$7:$AH$3006,B44))</f>
        <v>0</v>
      </c>
      <c r="K44" s="127" t="str">
        <f aca="false">IF($B44="","",IF(G44=0,"—",IF(I44&lt;=0.02,"Excellent",IF(I44&lt;=0.05,"Bon","À surveiller"))))</f>
        <v>Excellent</v>
      </c>
    </row>
    <row r="45" customFormat="false" ht="15" hidden="false" customHeight="false" outlineLevel="0" collapsed="false">
      <c r="B45" s="150" t="s">
        <v>2742</v>
      </c>
      <c r="C45" s="151"/>
      <c r="D45" s="151"/>
      <c r="E45" s="129"/>
      <c r="F45" s="125" t="n">
        <f aca="false">IF($B45="","",SUMPRODUCT(--((('CARNET DE SOUDURE'!$R$7:$R$3006=B45)+('CARNET DE SOUDURE'!$S$7:$S$3006=B45)+('CARNET DE SOUDURE'!$T$7:$T$3006=B45))&gt;0)))</f>
        <v>4</v>
      </c>
      <c r="G45" s="125" t="n">
        <f aca="false">IF($B45="","",SUMPRODUCT(((('CARNET DE SOUDURE'!$R$7:$R$3006=B45)+('CARNET DE SOUDURE'!$S$7:$S$3006=B45)+('CARNET DE SOUDURE'!$T$7:$T$3006=B45))&gt;0)*(('CARNET DE SOUDURE'!$AA$7:$AA$3006="A")+('CARNET DE SOUDURE'!$AA$7:$AA$3006="R")+('CARNET DE SOUDURE'!$AA$7:$AA$3006="NT")+('CARNET DE SOUDURE'!$AA$7:$AA$3006="CO"))))</f>
        <v>4</v>
      </c>
      <c r="H45" s="125" t="n">
        <f aca="false">IF($B45="","",SUMPRODUCT(((('CARNET DE SOUDURE'!$R$7:$R$3006=B45)+('CARNET DE SOUDURE'!$S$7:$S$3006=B45)+('CARNET DE SOUDURE'!$T$7:$T$3006=B45))&gt;0)*(('CARNET DE SOUDURE'!$AA$7:$AA$3006="R")+('CARNET DE SOUDURE'!$AA$7:$AA$3006="NT")+('CARNET DE SOUDURE'!$AA$7:$AA$3006="CO"))))</f>
        <v>0</v>
      </c>
      <c r="I45" s="40" t="n">
        <f aca="false">IF($B45="","",IFERROR(H45/G45,0))</f>
        <v>0</v>
      </c>
      <c r="J45" s="125" t="n">
        <f aca="false">IF($B45="","",COUNTIF('CARNET DE SOUDURE'!$AC$7:$AC$3006,B45)+COUNTIF('CARNET DE SOUDURE'!$AH$7:$AH$3006,B45))</f>
        <v>0</v>
      </c>
      <c r="K45" s="127" t="str">
        <f aca="false">IF($B45="","",IF(G45=0,"—",IF(I45&lt;=0.02,"Excellent",IF(I45&lt;=0.05,"Bon","À surveiller"))))</f>
        <v>Excellent</v>
      </c>
    </row>
    <row r="46" customFormat="false" ht="15" hidden="false" customHeight="false" outlineLevel="0" collapsed="false">
      <c r="B46" s="150" t="s">
        <v>1234</v>
      </c>
      <c r="C46" s="151"/>
      <c r="D46" s="151"/>
      <c r="E46" s="129"/>
      <c r="F46" s="125" t="n">
        <f aca="false">IF($B46="","",SUMPRODUCT(--((('CARNET DE SOUDURE'!$R$7:$R$3006=B46)+('CARNET DE SOUDURE'!$S$7:$S$3006=B46)+('CARNET DE SOUDURE'!$T$7:$T$3006=B46))&gt;0)))</f>
        <v>3</v>
      </c>
      <c r="G46" s="125" t="n">
        <f aca="false">IF($B46="","",SUMPRODUCT(((('CARNET DE SOUDURE'!$R$7:$R$3006=B46)+('CARNET DE SOUDURE'!$S$7:$S$3006=B46)+('CARNET DE SOUDURE'!$T$7:$T$3006=B46))&gt;0)*(('CARNET DE SOUDURE'!$AA$7:$AA$3006="A")+('CARNET DE SOUDURE'!$AA$7:$AA$3006="R")+('CARNET DE SOUDURE'!$AA$7:$AA$3006="NT")+('CARNET DE SOUDURE'!$AA$7:$AA$3006="CO"))))</f>
        <v>3</v>
      </c>
      <c r="H46" s="125" t="n">
        <f aca="false">IF($B46="","",SUMPRODUCT(((('CARNET DE SOUDURE'!$R$7:$R$3006=B46)+('CARNET DE SOUDURE'!$S$7:$S$3006=B46)+('CARNET DE SOUDURE'!$T$7:$T$3006=B46))&gt;0)*(('CARNET DE SOUDURE'!$AA$7:$AA$3006="R")+('CARNET DE SOUDURE'!$AA$7:$AA$3006="NT")+('CARNET DE SOUDURE'!$AA$7:$AA$3006="CO"))))</f>
        <v>1</v>
      </c>
      <c r="I46" s="40" t="n">
        <f aca="false">IF($B46="","",IFERROR(H46/G46,0))</f>
        <v>0.333333333333333</v>
      </c>
      <c r="J46" s="125" t="n">
        <f aca="false">IF($B46="","",COUNTIF('CARNET DE SOUDURE'!$AC$7:$AC$3006,B46)+COUNTIF('CARNET DE SOUDURE'!$AH$7:$AH$3006,B46))</f>
        <v>0</v>
      </c>
      <c r="K46" s="127" t="str">
        <f aca="false">IF($B46="","",IF(G46=0,"—",IF(I46&lt;=0.02,"Excellent",IF(I46&lt;=0.05,"Bon","À surveiller"))))</f>
        <v>À surveiller</v>
      </c>
    </row>
    <row r="47" customFormat="false" ht="15" hidden="false" customHeight="false" outlineLevel="0" collapsed="false">
      <c r="B47" s="150" t="s">
        <v>2917</v>
      </c>
      <c r="C47" s="151"/>
      <c r="D47" s="151"/>
      <c r="E47" s="129"/>
      <c r="F47" s="125" t="n">
        <f aca="false">IF($B47="","",SUMPRODUCT(--((('CARNET DE SOUDURE'!$R$7:$R$3006=B47)+('CARNET DE SOUDURE'!$S$7:$S$3006=B47)+('CARNET DE SOUDURE'!$T$7:$T$3006=B47))&gt;0)))</f>
        <v>3</v>
      </c>
      <c r="G47" s="125" t="n">
        <f aca="false">IF($B47="","",SUMPRODUCT(((('CARNET DE SOUDURE'!$R$7:$R$3006=B47)+('CARNET DE SOUDURE'!$S$7:$S$3006=B47)+('CARNET DE SOUDURE'!$T$7:$T$3006=B47))&gt;0)*(('CARNET DE SOUDURE'!$AA$7:$AA$3006="A")+('CARNET DE SOUDURE'!$AA$7:$AA$3006="R")+('CARNET DE SOUDURE'!$AA$7:$AA$3006="NT")+('CARNET DE SOUDURE'!$AA$7:$AA$3006="CO"))))</f>
        <v>3</v>
      </c>
      <c r="H47" s="125" t="n">
        <f aca="false">IF($B47="","",SUMPRODUCT(((('CARNET DE SOUDURE'!$R$7:$R$3006=B47)+('CARNET DE SOUDURE'!$S$7:$S$3006=B47)+('CARNET DE SOUDURE'!$T$7:$T$3006=B47))&gt;0)*(('CARNET DE SOUDURE'!$AA$7:$AA$3006="R")+('CARNET DE SOUDURE'!$AA$7:$AA$3006="NT")+('CARNET DE SOUDURE'!$AA$7:$AA$3006="CO"))))</f>
        <v>0</v>
      </c>
      <c r="I47" s="40" t="n">
        <f aca="false">IF($B47="","",IFERROR(H47/G47,0))</f>
        <v>0</v>
      </c>
      <c r="J47" s="125" t="n">
        <f aca="false">IF($B47="","",COUNTIF('CARNET DE SOUDURE'!$AC$7:$AC$3006,B47)+COUNTIF('CARNET DE SOUDURE'!$AH$7:$AH$3006,B47))</f>
        <v>0</v>
      </c>
      <c r="K47" s="127" t="str">
        <f aca="false">IF($B47="","",IF(G47=0,"—",IF(I47&lt;=0.02,"Excellent",IF(I47&lt;=0.05,"Bon","À surveiller"))))</f>
        <v>Excellent</v>
      </c>
    </row>
    <row r="48" customFormat="false" ht="15" hidden="false" customHeight="false" outlineLevel="0" collapsed="false">
      <c r="B48" s="150" t="s">
        <v>1062</v>
      </c>
      <c r="C48" s="151"/>
      <c r="D48" s="151"/>
      <c r="E48" s="129"/>
      <c r="F48" s="125" t="n">
        <f aca="false">IF($B48="","",SUMPRODUCT(--((('CARNET DE SOUDURE'!$R$7:$R$3006=B48)+('CARNET DE SOUDURE'!$S$7:$S$3006=B48)+('CARNET DE SOUDURE'!$T$7:$T$3006=B48))&gt;0)))</f>
        <v>2</v>
      </c>
      <c r="G48" s="125" t="n">
        <f aca="false">IF($B48="","",SUMPRODUCT(((('CARNET DE SOUDURE'!$R$7:$R$3006=B48)+('CARNET DE SOUDURE'!$S$7:$S$3006=B48)+('CARNET DE SOUDURE'!$T$7:$T$3006=B48))&gt;0)*(('CARNET DE SOUDURE'!$AA$7:$AA$3006="A")+('CARNET DE SOUDURE'!$AA$7:$AA$3006="R")+('CARNET DE SOUDURE'!$AA$7:$AA$3006="NT")+('CARNET DE SOUDURE'!$AA$7:$AA$3006="CO"))))</f>
        <v>2</v>
      </c>
      <c r="H48" s="125" t="n">
        <f aca="false">IF($B48="","",SUMPRODUCT(((('CARNET DE SOUDURE'!$R$7:$R$3006=B48)+('CARNET DE SOUDURE'!$S$7:$S$3006=B48)+('CARNET DE SOUDURE'!$T$7:$T$3006=B48))&gt;0)*(('CARNET DE SOUDURE'!$AA$7:$AA$3006="R")+('CARNET DE SOUDURE'!$AA$7:$AA$3006="NT")+('CARNET DE SOUDURE'!$AA$7:$AA$3006="CO"))))</f>
        <v>0</v>
      </c>
      <c r="I48" s="40" t="n">
        <f aca="false">IF($B48="","",IFERROR(H48/G48,0))</f>
        <v>0</v>
      </c>
      <c r="J48" s="125" t="n">
        <f aca="false">IF($B48="","",COUNTIF('CARNET DE SOUDURE'!$AC$7:$AC$3006,B48)+COUNTIF('CARNET DE SOUDURE'!$AH$7:$AH$3006,B48))</f>
        <v>0</v>
      </c>
      <c r="K48" s="127" t="str">
        <f aca="false">IF($B48="","",IF(G48=0,"—",IF(I48&lt;=0.02,"Excellent",IF(I48&lt;=0.05,"Bon","À surveiller"))))</f>
        <v>Excellent</v>
      </c>
    </row>
    <row r="49" customFormat="false" ht="15" hidden="false" customHeight="false" outlineLevel="0" collapsed="false">
      <c r="B49" s="150" t="s">
        <v>2745</v>
      </c>
      <c r="C49" s="151"/>
      <c r="D49" s="151"/>
      <c r="E49" s="129"/>
      <c r="F49" s="125" t="n">
        <f aca="false">IF($B49="","",SUMPRODUCT(--((('CARNET DE SOUDURE'!$R$7:$R$3006=B49)+('CARNET DE SOUDURE'!$S$7:$S$3006=B49)+('CARNET DE SOUDURE'!$T$7:$T$3006=B49))&gt;0)))</f>
        <v>2</v>
      </c>
      <c r="G49" s="125" t="n">
        <f aca="false">IF($B49="","",SUMPRODUCT(((('CARNET DE SOUDURE'!$R$7:$R$3006=B49)+('CARNET DE SOUDURE'!$S$7:$S$3006=B49)+('CARNET DE SOUDURE'!$T$7:$T$3006=B49))&gt;0)*(('CARNET DE SOUDURE'!$AA$7:$AA$3006="A")+('CARNET DE SOUDURE'!$AA$7:$AA$3006="R")+('CARNET DE SOUDURE'!$AA$7:$AA$3006="NT")+('CARNET DE SOUDURE'!$AA$7:$AA$3006="CO"))))</f>
        <v>2</v>
      </c>
      <c r="H49" s="125" t="n">
        <f aca="false">IF($B49="","",SUMPRODUCT(((('CARNET DE SOUDURE'!$R$7:$R$3006=B49)+('CARNET DE SOUDURE'!$S$7:$S$3006=B49)+('CARNET DE SOUDURE'!$T$7:$T$3006=B49))&gt;0)*(('CARNET DE SOUDURE'!$AA$7:$AA$3006="R")+('CARNET DE SOUDURE'!$AA$7:$AA$3006="NT")+('CARNET DE SOUDURE'!$AA$7:$AA$3006="CO"))))</f>
        <v>0</v>
      </c>
      <c r="I49" s="40" t="n">
        <f aca="false">IF($B49="","",IFERROR(H49/G49,0))</f>
        <v>0</v>
      </c>
      <c r="J49" s="125" t="n">
        <f aca="false">IF($B49="","",COUNTIF('CARNET DE SOUDURE'!$AC$7:$AC$3006,B49)+COUNTIF('CARNET DE SOUDURE'!$AH$7:$AH$3006,B49))</f>
        <v>0</v>
      </c>
      <c r="K49" s="127" t="str">
        <f aca="false">IF($B49="","",IF(G49=0,"—",IF(I49&lt;=0.02,"Excellent",IF(I49&lt;=0.05,"Bon","À surveiller"))))</f>
        <v>Excellent</v>
      </c>
    </row>
    <row r="50" customFormat="false" ht="15" hidden="false" customHeight="false" outlineLevel="0" collapsed="false">
      <c r="B50" s="150" t="s">
        <v>2705</v>
      </c>
      <c r="C50" s="151"/>
      <c r="D50" s="151"/>
      <c r="E50" s="129"/>
      <c r="F50" s="125" t="n">
        <f aca="false">IF($B50="","",SUMPRODUCT(--((('CARNET DE SOUDURE'!$R$7:$R$3006=B50)+('CARNET DE SOUDURE'!$S$7:$S$3006=B50)+('CARNET DE SOUDURE'!$T$7:$T$3006=B50))&gt;0)))</f>
        <v>1</v>
      </c>
      <c r="G50" s="125" t="n">
        <f aca="false">IF($B50="","",SUMPRODUCT(((('CARNET DE SOUDURE'!$R$7:$R$3006=B50)+('CARNET DE SOUDURE'!$S$7:$S$3006=B50)+('CARNET DE SOUDURE'!$T$7:$T$3006=B50))&gt;0)*(('CARNET DE SOUDURE'!$AA$7:$AA$3006="A")+('CARNET DE SOUDURE'!$AA$7:$AA$3006="R")+('CARNET DE SOUDURE'!$AA$7:$AA$3006="NT")+('CARNET DE SOUDURE'!$AA$7:$AA$3006="CO"))))</f>
        <v>1</v>
      </c>
      <c r="H50" s="125" t="n">
        <f aca="false">IF($B50="","",SUMPRODUCT(((('CARNET DE SOUDURE'!$R$7:$R$3006=B50)+('CARNET DE SOUDURE'!$S$7:$S$3006=B50)+('CARNET DE SOUDURE'!$T$7:$T$3006=B50))&gt;0)*(('CARNET DE SOUDURE'!$AA$7:$AA$3006="R")+('CARNET DE SOUDURE'!$AA$7:$AA$3006="NT")+('CARNET DE SOUDURE'!$AA$7:$AA$3006="CO"))))</f>
        <v>0</v>
      </c>
      <c r="I50" s="40" t="n">
        <f aca="false">IF($B50="","",IFERROR(H50/G50,0))</f>
        <v>0</v>
      </c>
      <c r="J50" s="125" t="n">
        <f aca="false">IF($B50="","",COUNTIF('CARNET DE SOUDURE'!$AC$7:$AC$3006,B50)+COUNTIF('CARNET DE SOUDURE'!$AH$7:$AH$3006,B50))</f>
        <v>0</v>
      </c>
      <c r="K50" s="127" t="str">
        <f aca="false">IF($B50="","",IF(G50=0,"—",IF(I50&lt;=0.02,"Excellent",IF(I50&lt;=0.05,"Bon","À surveiller"))))</f>
        <v>Excellent</v>
      </c>
    </row>
    <row r="51" customFormat="false" ht="15" hidden="false" customHeight="false" outlineLevel="0" collapsed="false">
      <c r="B51" s="150" t="s">
        <v>2855</v>
      </c>
      <c r="C51" s="151"/>
      <c r="D51" s="151"/>
      <c r="E51" s="129"/>
      <c r="F51" s="125" t="n">
        <f aca="false">IF($B51="","",SUMPRODUCT(--((('CARNET DE SOUDURE'!$R$7:$R$3006=B51)+('CARNET DE SOUDURE'!$S$7:$S$3006=B51)+('CARNET DE SOUDURE'!$T$7:$T$3006=B51))&gt;0)))</f>
        <v>1</v>
      </c>
      <c r="G51" s="125" t="n">
        <f aca="false">IF($B51="","",SUMPRODUCT(((('CARNET DE SOUDURE'!$R$7:$R$3006=B51)+('CARNET DE SOUDURE'!$S$7:$S$3006=B51)+('CARNET DE SOUDURE'!$T$7:$T$3006=B51))&gt;0)*(('CARNET DE SOUDURE'!$AA$7:$AA$3006="A")+('CARNET DE SOUDURE'!$AA$7:$AA$3006="R")+('CARNET DE SOUDURE'!$AA$7:$AA$3006="NT")+('CARNET DE SOUDURE'!$AA$7:$AA$3006="CO"))))</f>
        <v>1</v>
      </c>
      <c r="H51" s="125" t="n">
        <f aca="false">IF($B51="","",SUMPRODUCT(((('CARNET DE SOUDURE'!$R$7:$R$3006=B51)+('CARNET DE SOUDURE'!$S$7:$S$3006=B51)+('CARNET DE SOUDURE'!$T$7:$T$3006=B51))&gt;0)*(('CARNET DE SOUDURE'!$AA$7:$AA$3006="R")+('CARNET DE SOUDURE'!$AA$7:$AA$3006="NT")+('CARNET DE SOUDURE'!$AA$7:$AA$3006="CO"))))</f>
        <v>0</v>
      </c>
      <c r="I51" s="40" t="n">
        <f aca="false">IF($B51="","",IFERROR(H51/G51,0))</f>
        <v>0</v>
      </c>
      <c r="J51" s="125" t="n">
        <f aca="false">IF($B51="","",COUNTIF('CARNET DE SOUDURE'!$AC$7:$AC$3006,B51)+COUNTIF('CARNET DE SOUDURE'!$AH$7:$AH$3006,B51))</f>
        <v>0</v>
      </c>
      <c r="K51" s="127" t="str">
        <f aca="false">IF($B51="","",IF(G51=0,"—",IF(I51&lt;=0.02,"Excellent",IF(I51&lt;=0.05,"Bon","À surveiller"))))</f>
        <v>Excellent</v>
      </c>
    </row>
    <row r="52" customFormat="false" ht="15" hidden="false" customHeight="false" outlineLevel="0" collapsed="false">
      <c r="B52" s="150" t="s">
        <v>2933</v>
      </c>
      <c r="C52" s="151"/>
      <c r="D52" s="151"/>
      <c r="E52" s="129"/>
      <c r="F52" s="125" t="n">
        <f aca="false">IF($B52="","",SUMPRODUCT(--((('CARNET DE SOUDURE'!$R$7:$R$3006=B52)+('CARNET DE SOUDURE'!$S$7:$S$3006=B52)+('CARNET DE SOUDURE'!$T$7:$T$3006=B52))&gt;0)))</f>
        <v>1</v>
      </c>
      <c r="G52" s="125" t="n">
        <f aca="false">IF($B52="","",SUMPRODUCT(((('CARNET DE SOUDURE'!$R$7:$R$3006=B52)+('CARNET DE SOUDURE'!$S$7:$S$3006=B52)+('CARNET DE SOUDURE'!$T$7:$T$3006=B52))&gt;0)*(('CARNET DE SOUDURE'!$AA$7:$AA$3006="A")+('CARNET DE SOUDURE'!$AA$7:$AA$3006="R")+('CARNET DE SOUDURE'!$AA$7:$AA$3006="NT")+('CARNET DE SOUDURE'!$AA$7:$AA$3006="CO"))))</f>
        <v>0</v>
      </c>
      <c r="H52" s="125" t="n">
        <f aca="false">IF($B52="","",SUMPRODUCT(((('CARNET DE SOUDURE'!$R$7:$R$3006=B52)+('CARNET DE SOUDURE'!$S$7:$S$3006=B52)+('CARNET DE SOUDURE'!$T$7:$T$3006=B52))&gt;0)*(('CARNET DE SOUDURE'!$AA$7:$AA$3006="R")+('CARNET DE SOUDURE'!$AA$7:$AA$3006="NT")+('CARNET DE SOUDURE'!$AA$7:$AA$3006="CO"))))</f>
        <v>0</v>
      </c>
      <c r="I52" s="40" t="n">
        <f aca="false">IF($B52="","",IFERROR(H52/G52,0))</f>
        <v>0</v>
      </c>
      <c r="J52" s="125" t="n">
        <f aca="false">IF($B52="","",COUNTIF('CARNET DE SOUDURE'!$AC$7:$AC$3006,B52)+COUNTIF('CARNET DE SOUDURE'!$AH$7:$AH$3006,B52))</f>
        <v>0</v>
      </c>
      <c r="K52" s="127" t="str">
        <f aca="false">IF($B52="","",IF(G52=0,"—",IF(I52&lt;=0.02,"Excellent",IF(I52&lt;=0.05,"Bon","À surveiller"))))</f>
        <v>—</v>
      </c>
    </row>
    <row r="53" customFormat="false" ht="15" hidden="false" customHeight="false" outlineLevel="0" collapsed="false">
      <c r="B53" s="150"/>
      <c r="C53" s="151"/>
      <c r="D53" s="151"/>
      <c r="E53" s="129"/>
      <c r="F53" s="125" t="str">
        <f aca="false">IF($B53="","",SUMPRODUCT(--((('CARNET DE SOUDURE'!$R$7:$R$3006=B53)+('CARNET DE SOUDURE'!$S$7:$S$3006=B53)+('CARNET DE SOUDURE'!$T$7:$T$3006=B53))&gt;0)))</f>
        <v/>
      </c>
      <c r="G53" s="125" t="str">
        <f aca="false">IF($B53="","",SUMPRODUCT(((('CARNET DE SOUDURE'!$R$7:$R$3006=B53)+('CARNET DE SOUDURE'!$S$7:$S$3006=B53)+('CARNET DE SOUDURE'!$T$7:$T$3006=B53))&gt;0)*(('CARNET DE SOUDURE'!$AA$7:$AA$3006="A")+('CARNET DE SOUDURE'!$AA$7:$AA$3006="R")+('CARNET DE SOUDURE'!$AA$7:$AA$3006="NT")+('CARNET DE SOUDURE'!$AA$7:$AA$3006="CO"))))</f>
        <v/>
      </c>
      <c r="H53" s="125" t="str">
        <f aca="false">IF($B53="","",SUMPRODUCT(((('CARNET DE SOUDURE'!$R$7:$R$3006=B53)+('CARNET DE SOUDURE'!$S$7:$S$3006=B53)+('CARNET DE SOUDURE'!$T$7:$T$3006=B53))&gt;0)*(('CARNET DE SOUDURE'!$AA$7:$AA$3006="R")+('CARNET DE SOUDURE'!$AA$7:$AA$3006="NT")+('CARNET DE SOUDURE'!$AA$7:$AA$3006="CO"))))</f>
        <v/>
      </c>
      <c r="I53" s="40" t="str">
        <f aca="false">IF($B53="","",IFERROR(H53/G53,0))</f>
        <v/>
      </c>
      <c r="J53" s="125" t="str">
        <f aca="false">IF($B53="","",COUNTIF('CARNET DE SOUDURE'!$AC$7:$AC$3006,B53)+COUNTIF('CARNET DE SOUDURE'!$AH$7:$AH$3006,B53))</f>
        <v/>
      </c>
      <c r="K53" s="127" t="str">
        <f aca="false">IF($B53="","",IF(G53=0,"—",IF(I53&lt;=0.02,"Excellent",IF(I53&lt;=0.05,"Bon","À surveiller"))))</f>
        <v/>
      </c>
    </row>
    <row r="54" customFormat="false" ht="15" hidden="false" customHeight="false" outlineLevel="0" collapsed="false">
      <c r="B54" s="150"/>
      <c r="C54" s="151"/>
      <c r="D54" s="151"/>
      <c r="E54" s="129"/>
      <c r="F54" s="125" t="str">
        <f aca="false">IF($B54="","",SUMPRODUCT(--((('CARNET DE SOUDURE'!$R$7:$R$3006=B54)+('CARNET DE SOUDURE'!$S$7:$S$3006=B54)+('CARNET DE SOUDURE'!$T$7:$T$3006=B54))&gt;0)))</f>
        <v/>
      </c>
      <c r="G54" s="125" t="str">
        <f aca="false">IF($B54="","",SUMPRODUCT(((('CARNET DE SOUDURE'!$R$7:$R$3006=B54)+('CARNET DE SOUDURE'!$S$7:$S$3006=B54)+('CARNET DE SOUDURE'!$T$7:$T$3006=B54))&gt;0)*(('CARNET DE SOUDURE'!$AA$7:$AA$3006="A")+('CARNET DE SOUDURE'!$AA$7:$AA$3006="R")+('CARNET DE SOUDURE'!$AA$7:$AA$3006="NT")+('CARNET DE SOUDURE'!$AA$7:$AA$3006="CO"))))</f>
        <v/>
      </c>
      <c r="H54" s="125" t="str">
        <f aca="false">IF($B54="","",SUMPRODUCT(((('CARNET DE SOUDURE'!$R$7:$R$3006=B54)+('CARNET DE SOUDURE'!$S$7:$S$3006=B54)+('CARNET DE SOUDURE'!$T$7:$T$3006=B54))&gt;0)*(('CARNET DE SOUDURE'!$AA$7:$AA$3006="R")+('CARNET DE SOUDURE'!$AA$7:$AA$3006="NT")+('CARNET DE SOUDURE'!$AA$7:$AA$3006="CO"))))</f>
        <v/>
      </c>
      <c r="I54" s="40" t="str">
        <f aca="false">IF($B54="","",IFERROR(H54/G54,0))</f>
        <v/>
      </c>
      <c r="J54" s="125" t="str">
        <f aca="false">IF($B54="","",COUNTIF('CARNET DE SOUDURE'!$AC$7:$AC$3006,B54)+COUNTIF('CARNET DE SOUDURE'!$AH$7:$AH$3006,B54))</f>
        <v/>
      </c>
      <c r="K54" s="127" t="str">
        <f aca="false">IF($B54="","",IF(G54=0,"—",IF(I54&lt;=0.02,"Excellent",IF(I54&lt;=0.05,"Bon","À surveiller"))))</f>
        <v/>
      </c>
    </row>
    <row r="55" customFormat="false" ht="15" hidden="false" customHeight="false" outlineLevel="0" collapsed="false">
      <c r="B55" s="150"/>
      <c r="C55" s="151"/>
      <c r="D55" s="151"/>
      <c r="E55" s="129"/>
      <c r="F55" s="125" t="str">
        <f aca="false">IF($B55="","",SUMPRODUCT(--((('CARNET DE SOUDURE'!$R$7:$R$3006=B55)+('CARNET DE SOUDURE'!$S$7:$S$3006=B55)+('CARNET DE SOUDURE'!$T$7:$T$3006=B55))&gt;0)))</f>
        <v/>
      </c>
      <c r="G55" s="125" t="str">
        <f aca="false">IF($B55="","",SUMPRODUCT(((('CARNET DE SOUDURE'!$R$7:$R$3006=B55)+('CARNET DE SOUDURE'!$S$7:$S$3006=B55)+('CARNET DE SOUDURE'!$T$7:$T$3006=B55))&gt;0)*(('CARNET DE SOUDURE'!$AA$7:$AA$3006="A")+('CARNET DE SOUDURE'!$AA$7:$AA$3006="R")+('CARNET DE SOUDURE'!$AA$7:$AA$3006="NT")+('CARNET DE SOUDURE'!$AA$7:$AA$3006="CO"))))</f>
        <v/>
      </c>
      <c r="H55" s="125" t="str">
        <f aca="false">IF($B55="","",SUMPRODUCT(((('CARNET DE SOUDURE'!$R$7:$R$3006=B55)+('CARNET DE SOUDURE'!$S$7:$S$3006=B55)+('CARNET DE SOUDURE'!$T$7:$T$3006=B55))&gt;0)*(('CARNET DE SOUDURE'!$AA$7:$AA$3006="R")+('CARNET DE SOUDURE'!$AA$7:$AA$3006="NT")+('CARNET DE SOUDURE'!$AA$7:$AA$3006="CO"))))</f>
        <v/>
      </c>
      <c r="I55" s="40" t="str">
        <f aca="false">IF($B55="","",IFERROR(H55/G55,0))</f>
        <v/>
      </c>
      <c r="J55" s="125" t="str">
        <f aca="false">IF($B55="","",COUNTIF('CARNET DE SOUDURE'!$AC$7:$AC$3006,B55)+COUNTIF('CARNET DE SOUDURE'!$AH$7:$AH$3006,B55))</f>
        <v/>
      </c>
      <c r="K55" s="127" t="str">
        <f aca="false">IF($B55="","",IF(G55=0,"—",IF(I55&lt;=0.02,"Excellent",IF(I55&lt;=0.05,"Bon","À surveiller"))))</f>
        <v/>
      </c>
    </row>
    <row r="56" customFormat="false" ht="15" hidden="false" customHeight="false" outlineLevel="0" collapsed="false">
      <c r="B56" s="150"/>
      <c r="C56" s="151"/>
      <c r="D56" s="151"/>
      <c r="E56" s="129"/>
      <c r="F56" s="125" t="str">
        <f aca="false">IF($B56="","",SUMPRODUCT(--((('CARNET DE SOUDURE'!$R$7:$R$3006=B56)+('CARNET DE SOUDURE'!$S$7:$S$3006=B56)+('CARNET DE SOUDURE'!$T$7:$T$3006=B56))&gt;0)))</f>
        <v/>
      </c>
      <c r="G56" s="125" t="str">
        <f aca="false">IF($B56="","",SUMPRODUCT(((('CARNET DE SOUDURE'!$R$7:$R$3006=B56)+('CARNET DE SOUDURE'!$S$7:$S$3006=B56)+('CARNET DE SOUDURE'!$T$7:$T$3006=B56))&gt;0)*(('CARNET DE SOUDURE'!$AA$7:$AA$3006="A")+('CARNET DE SOUDURE'!$AA$7:$AA$3006="R")+('CARNET DE SOUDURE'!$AA$7:$AA$3006="NT")+('CARNET DE SOUDURE'!$AA$7:$AA$3006="CO"))))</f>
        <v/>
      </c>
      <c r="H56" s="125" t="str">
        <f aca="false">IF($B56="","",SUMPRODUCT(((('CARNET DE SOUDURE'!$R$7:$R$3006=B56)+('CARNET DE SOUDURE'!$S$7:$S$3006=B56)+('CARNET DE SOUDURE'!$T$7:$T$3006=B56))&gt;0)*(('CARNET DE SOUDURE'!$AA$7:$AA$3006="R")+('CARNET DE SOUDURE'!$AA$7:$AA$3006="NT")+('CARNET DE SOUDURE'!$AA$7:$AA$3006="CO"))))</f>
        <v/>
      </c>
      <c r="I56" s="40" t="str">
        <f aca="false">IF($B56="","",IFERROR(H56/G56,0))</f>
        <v/>
      </c>
      <c r="J56" s="125" t="str">
        <f aca="false">IF($B56="","",COUNTIF('CARNET DE SOUDURE'!$AC$7:$AC$3006,B56)+COUNTIF('CARNET DE SOUDURE'!$AH$7:$AH$3006,B56))</f>
        <v/>
      </c>
      <c r="K56" s="127" t="str">
        <f aca="false">IF($B56="","",IF(G56=0,"—",IF(I56&lt;=0.02,"Excellent",IF(I56&lt;=0.05,"Bon","À surveiller"))))</f>
        <v/>
      </c>
    </row>
    <row r="57" customFormat="false" ht="15" hidden="false" customHeight="false" outlineLevel="0" collapsed="false">
      <c r="B57" s="150"/>
      <c r="C57" s="151"/>
      <c r="D57" s="151"/>
      <c r="E57" s="129"/>
      <c r="F57" s="125" t="str">
        <f aca="false">IF($B57="","",SUMPRODUCT(--((('CARNET DE SOUDURE'!$R$7:$R$3006=B57)+('CARNET DE SOUDURE'!$S$7:$S$3006=B57)+('CARNET DE SOUDURE'!$T$7:$T$3006=B57))&gt;0)))</f>
        <v/>
      </c>
      <c r="G57" s="125" t="str">
        <f aca="false">IF($B57="","",SUMPRODUCT(((('CARNET DE SOUDURE'!$R$7:$R$3006=B57)+('CARNET DE SOUDURE'!$S$7:$S$3006=B57)+('CARNET DE SOUDURE'!$T$7:$T$3006=B57))&gt;0)*(('CARNET DE SOUDURE'!$AA$7:$AA$3006="A")+('CARNET DE SOUDURE'!$AA$7:$AA$3006="R")+('CARNET DE SOUDURE'!$AA$7:$AA$3006="NT")+('CARNET DE SOUDURE'!$AA$7:$AA$3006="CO"))))</f>
        <v/>
      </c>
      <c r="H57" s="125" t="str">
        <f aca="false">IF($B57="","",SUMPRODUCT(((('CARNET DE SOUDURE'!$R$7:$R$3006=B57)+('CARNET DE SOUDURE'!$S$7:$S$3006=B57)+('CARNET DE SOUDURE'!$T$7:$T$3006=B57))&gt;0)*(('CARNET DE SOUDURE'!$AA$7:$AA$3006="R")+('CARNET DE SOUDURE'!$AA$7:$AA$3006="NT")+('CARNET DE SOUDURE'!$AA$7:$AA$3006="CO"))))</f>
        <v/>
      </c>
      <c r="I57" s="40" t="str">
        <f aca="false">IF($B57="","",IFERROR(H57/G57,0))</f>
        <v/>
      </c>
      <c r="J57" s="125" t="str">
        <f aca="false">IF($B57="","",COUNTIF('CARNET DE SOUDURE'!$AC$7:$AC$3006,B57)+COUNTIF('CARNET DE SOUDURE'!$AH$7:$AH$3006,B57))</f>
        <v/>
      </c>
      <c r="K57" s="127" t="str">
        <f aca="false">IF($B57="","",IF(G57=0,"—",IF(I57&lt;=0.02,"Excellent",IF(I57&lt;=0.05,"Bon","À surveiller"))))</f>
        <v/>
      </c>
    </row>
    <row r="58" customFormat="false" ht="15" hidden="false" customHeight="false" outlineLevel="0" collapsed="false">
      <c r="B58" s="150"/>
      <c r="C58" s="151"/>
      <c r="D58" s="151"/>
      <c r="E58" s="129"/>
      <c r="F58" s="125" t="str">
        <f aca="false">IF($B58="","",SUMPRODUCT(--((('CARNET DE SOUDURE'!$R$7:$R$3006=B58)+('CARNET DE SOUDURE'!$S$7:$S$3006=B58)+('CARNET DE SOUDURE'!$T$7:$T$3006=B58))&gt;0)))</f>
        <v/>
      </c>
      <c r="G58" s="125" t="str">
        <f aca="false">IF($B58="","",SUMPRODUCT(((('CARNET DE SOUDURE'!$R$7:$R$3006=B58)+('CARNET DE SOUDURE'!$S$7:$S$3006=B58)+('CARNET DE SOUDURE'!$T$7:$T$3006=B58))&gt;0)*(('CARNET DE SOUDURE'!$AA$7:$AA$3006="A")+('CARNET DE SOUDURE'!$AA$7:$AA$3006="R")+('CARNET DE SOUDURE'!$AA$7:$AA$3006="NT")+('CARNET DE SOUDURE'!$AA$7:$AA$3006="CO"))))</f>
        <v/>
      </c>
      <c r="H58" s="125" t="str">
        <f aca="false">IF($B58="","",SUMPRODUCT(((('CARNET DE SOUDURE'!$R$7:$R$3006=B58)+('CARNET DE SOUDURE'!$S$7:$S$3006=B58)+('CARNET DE SOUDURE'!$T$7:$T$3006=B58))&gt;0)*(('CARNET DE SOUDURE'!$AA$7:$AA$3006="R")+('CARNET DE SOUDURE'!$AA$7:$AA$3006="NT")+('CARNET DE SOUDURE'!$AA$7:$AA$3006="CO"))))</f>
        <v/>
      </c>
      <c r="I58" s="40" t="str">
        <f aca="false">IF($B58="","",IFERROR(H58/G58,0))</f>
        <v/>
      </c>
      <c r="J58" s="125" t="str">
        <f aca="false">IF($B58="","",COUNTIF('CARNET DE SOUDURE'!$AC$7:$AC$3006,B58)+COUNTIF('CARNET DE SOUDURE'!$AH$7:$AH$3006,B58))</f>
        <v/>
      </c>
      <c r="K58" s="127" t="str">
        <f aca="false">IF($B58="","",IF(G58=0,"—",IF(I58&lt;=0.02,"Excellent",IF(I58&lt;=0.05,"Bon","À surveiller"))))</f>
        <v/>
      </c>
    </row>
    <row r="59" customFormat="false" ht="15" hidden="false" customHeight="false" outlineLevel="0" collapsed="false">
      <c r="B59" s="150"/>
      <c r="C59" s="151"/>
      <c r="D59" s="151"/>
      <c r="E59" s="129"/>
      <c r="F59" s="125" t="str">
        <f aca="false">IF($B59="","",SUMPRODUCT(--((('CARNET DE SOUDURE'!$R$7:$R$3006=B59)+('CARNET DE SOUDURE'!$S$7:$S$3006=B59)+('CARNET DE SOUDURE'!$T$7:$T$3006=B59))&gt;0)))</f>
        <v/>
      </c>
      <c r="G59" s="125" t="str">
        <f aca="false">IF($B59="","",SUMPRODUCT(((('CARNET DE SOUDURE'!$R$7:$R$3006=B59)+('CARNET DE SOUDURE'!$S$7:$S$3006=B59)+('CARNET DE SOUDURE'!$T$7:$T$3006=B59))&gt;0)*(('CARNET DE SOUDURE'!$AA$7:$AA$3006="A")+('CARNET DE SOUDURE'!$AA$7:$AA$3006="R")+('CARNET DE SOUDURE'!$AA$7:$AA$3006="NT")+('CARNET DE SOUDURE'!$AA$7:$AA$3006="CO"))))</f>
        <v/>
      </c>
      <c r="H59" s="125" t="str">
        <f aca="false">IF($B59="","",SUMPRODUCT(((('CARNET DE SOUDURE'!$R$7:$R$3006=B59)+('CARNET DE SOUDURE'!$S$7:$S$3006=B59)+('CARNET DE SOUDURE'!$T$7:$T$3006=B59))&gt;0)*(('CARNET DE SOUDURE'!$AA$7:$AA$3006="R")+('CARNET DE SOUDURE'!$AA$7:$AA$3006="NT")+('CARNET DE SOUDURE'!$AA$7:$AA$3006="CO"))))</f>
        <v/>
      </c>
      <c r="I59" s="40" t="str">
        <f aca="false">IF($B59="","",IFERROR(H59/G59,0))</f>
        <v/>
      </c>
      <c r="J59" s="125" t="str">
        <f aca="false">IF($B59="","",COUNTIF('CARNET DE SOUDURE'!$AC$7:$AC$3006,B59)+COUNTIF('CARNET DE SOUDURE'!$AH$7:$AH$3006,B59))</f>
        <v/>
      </c>
      <c r="K59" s="127" t="str">
        <f aca="false">IF($B59="","",IF(G59=0,"—",IF(I59&lt;=0.02,"Excellent",IF(I59&lt;=0.05,"Bon","À surveiller"))))</f>
        <v/>
      </c>
    </row>
    <row r="60" customFormat="false" ht="15" hidden="false" customHeight="false" outlineLevel="0" collapsed="false">
      <c r="B60" s="150"/>
      <c r="C60" s="151"/>
      <c r="D60" s="151"/>
      <c r="E60" s="129"/>
      <c r="F60" s="125" t="str">
        <f aca="false">IF($B60="","",SUMPRODUCT(--((('CARNET DE SOUDURE'!$R$7:$R$3006=B60)+('CARNET DE SOUDURE'!$S$7:$S$3006=B60)+('CARNET DE SOUDURE'!$T$7:$T$3006=B60))&gt;0)))</f>
        <v/>
      </c>
      <c r="G60" s="125" t="str">
        <f aca="false">IF($B60="","",SUMPRODUCT(((('CARNET DE SOUDURE'!$R$7:$R$3006=B60)+('CARNET DE SOUDURE'!$S$7:$S$3006=B60)+('CARNET DE SOUDURE'!$T$7:$T$3006=B60))&gt;0)*(('CARNET DE SOUDURE'!$AA$7:$AA$3006="A")+('CARNET DE SOUDURE'!$AA$7:$AA$3006="R")+('CARNET DE SOUDURE'!$AA$7:$AA$3006="NT")+('CARNET DE SOUDURE'!$AA$7:$AA$3006="CO"))))</f>
        <v/>
      </c>
      <c r="H60" s="125" t="str">
        <f aca="false">IF($B60="","",SUMPRODUCT(((('CARNET DE SOUDURE'!$R$7:$R$3006=B60)+('CARNET DE SOUDURE'!$S$7:$S$3006=B60)+('CARNET DE SOUDURE'!$T$7:$T$3006=B60))&gt;0)*(('CARNET DE SOUDURE'!$AA$7:$AA$3006="R")+('CARNET DE SOUDURE'!$AA$7:$AA$3006="NT")+('CARNET DE SOUDURE'!$AA$7:$AA$3006="CO"))))</f>
        <v/>
      </c>
      <c r="I60" s="40" t="str">
        <f aca="false">IF($B60="","",IFERROR(H60/G60,0))</f>
        <v/>
      </c>
      <c r="J60" s="125" t="str">
        <f aca="false">IF($B60="","",COUNTIF('CARNET DE SOUDURE'!$AC$7:$AC$3006,B60)+COUNTIF('CARNET DE SOUDURE'!$AH$7:$AH$3006,B60))</f>
        <v/>
      </c>
      <c r="K60" s="127" t="str">
        <f aca="false">IF($B60="","",IF(G60=0,"—",IF(I60&lt;=0.02,"Excellent",IF(I60&lt;=0.05,"Bon","À surveiller"))))</f>
        <v/>
      </c>
    </row>
    <row r="61" customFormat="false" ht="15" hidden="false" customHeight="false" outlineLevel="0" collapsed="false">
      <c r="B61" s="150"/>
      <c r="C61" s="151"/>
      <c r="D61" s="151"/>
      <c r="E61" s="129"/>
      <c r="F61" s="125" t="str">
        <f aca="false">IF($B61="","",SUMPRODUCT(--((('CARNET DE SOUDURE'!$R$7:$R$3006=B61)+('CARNET DE SOUDURE'!$S$7:$S$3006=B61)+('CARNET DE SOUDURE'!$T$7:$T$3006=B61))&gt;0)))</f>
        <v/>
      </c>
      <c r="G61" s="125" t="str">
        <f aca="false">IF($B61="","",SUMPRODUCT(((('CARNET DE SOUDURE'!$R$7:$R$3006=B61)+('CARNET DE SOUDURE'!$S$7:$S$3006=B61)+('CARNET DE SOUDURE'!$T$7:$T$3006=B61))&gt;0)*(('CARNET DE SOUDURE'!$AA$7:$AA$3006="A")+('CARNET DE SOUDURE'!$AA$7:$AA$3006="R")+('CARNET DE SOUDURE'!$AA$7:$AA$3006="NT")+('CARNET DE SOUDURE'!$AA$7:$AA$3006="CO"))))</f>
        <v/>
      </c>
      <c r="H61" s="125" t="str">
        <f aca="false">IF($B61="","",SUMPRODUCT(((('CARNET DE SOUDURE'!$R$7:$R$3006=B61)+('CARNET DE SOUDURE'!$S$7:$S$3006=B61)+('CARNET DE SOUDURE'!$T$7:$T$3006=B61))&gt;0)*(('CARNET DE SOUDURE'!$AA$7:$AA$3006="R")+('CARNET DE SOUDURE'!$AA$7:$AA$3006="NT")+('CARNET DE SOUDURE'!$AA$7:$AA$3006="CO"))))</f>
        <v/>
      </c>
      <c r="I61" s="40" t="str">
        <f aca="false">IF($B61="","",IFERROR(H61/G61,0))</f>
        <v/>
      </c>
      <c r="J61" s="125" t="str">
        <f aca="false">IF($B61="","",COUNTIF('CARNET DE SOUDURE'!$AC$7:$AC$3006,B61)+COUNTIF('CARNET DE SOUDURE'!$AH$7:$AH$3006,B61))</f>
        <v/>
      </c>
      <c r="K61" s="127" t="str">
        <f aca="false">IF($B61="","",IF(G61=0,"—",IF(I61&lt;=0.02,"Excellent",IF(I61&lt;=0.05,"Bon","À surveiller"))))</f>
        <v/>
      </c>
    </row>
    <row r="62" customFormat="false" ht="15" hidden="false" customHeight="false" outlineLevel="0" collapsed="false">
      <c r="B62" s="150"/>
      <c r="C62" s="151"/>
      <c r="D62" s="151"/>
      <c r="E62" s="129"/>
      <c r="F62" s="125" t="str">
        <f aca="false">IF($B62="","",SUMPRODUCT(--((('CARNET DE SOUDURE'!$R$7:$R$3006=B62)+('CARNET DE SOUDURE'!$S$7:$S$3006=B62)+('CARNET DE SOUDURE'!$T$7:$T$3006=B62))&gt;0)))</f>
        <v/>
      </c>
      <c r="G62" s="125" t="str">
        <f aca="false">IF($B62="","",SUMPRODUCT(((('CARNET DE SOUDURE'!$R$7:$R$3006=B62)+('CARNET DE SOUDURE'!$S$7:$S$3006=B62)+('CARNET DE SOUDURE'!$T$7:$T$3006=B62))&gt;0)*(('CARNET DE SOUDURE'!$AA$7:$AA$3006="A")+('CARNET DE SOUDURE'!$AA$7:$AA$3006="R")+('CARNET DE SOUDURE'!$AA$7:$AA$3006="NT")+('CARNET DE SOUDURE'!$AA$7:$AA$3006="CO"))))</f>
        <v/>
      </c>
      <c r="H62" s="125" t="str">
        <f aca="false">IF($B62="","",SUMPRODUCT(((('CARNET DE SOUDURE'!$R$7:$R$3006=B62)+('CARNET DE SOUDURE'!$S$7:$S$3006=B62)+('CARNET DE SOUDURE'!$T$7:$T$3006=B62))&gt;0)*(('CARNET DE SOUDURE'!$AA$7:$AA$3006="R")+('CARNET DE SOUDURE'!$AA$7:$AA$3006="NT")+('CARNET DE SOUDURE'!$AA$7:$AA$3006="CO"))))</f>
        <v/>
      </c>
      <c r="I62" s="40" t="str">
        <f aca="false">IF($B62="","",IFERROR(H62/G62,0))</f>
        <v/>
      </c>
      <c r="J62" s="125" t="str">
        <f aca="false">IF($B62="","",COUNTIF('CARNET DE SOUDURE'!$AC$7:$AC$3006,B62)+COUNTIF('CARNET DE SOUDURE'!$AH$7:$AH$3006,B62))</f>
        <v/>
      </c>
      <c r="K62" s="127" t="str">
        <f aca="false">IF($B62="","",IF(G62=0,"—",IF(I62&lt;=0.02,"Excellent",IF(I62&lt;=0.05,"Bon","À surveiller"))))</f>
        <v/>
      </c>
    </row>
    <row r="63" customFormat="false" ht="15" hidden="false" customHeight="false" outlineLevel="0" collapsed="false">
      <c r="B63" s="55" t="s">
        <v>31</v>
      </c>
      <c r="C63" s="55"/>
      <c r="D63" s="55"/>
      <c r="E63" s="55"/>
      <c r="F63" s="55" t="n">
        <f aca="false">SUMPRODUCT(--((('CARNET DE SOUDURE'!$R$7:$R$3006&lt;&gt;"")+('CARNET DE SOUDURE'!$S$7:$S$3006&lt;&gt;"")+('CARNET DE SOUDURE'!$T$7:$T$3006&lt;&gt;""))&gt;0))</f>
        <v>1313</v>
      </c>
      <c r="G63" s="55" t="n">
        <f aca="false">COUNTIF('CARNET DE SOUDURE'!$AA$7:$AA$3006,"A")+COUNTIF('CARNET DE SOUDURE'!$AA$7:$AA$3006,"R")+COUNTIF('CARNET DE SOUDURE'!$AA$7:$AA$3006,"NT")+COUNTIF('CARNET DE SOUDURE'!$AA$7:$AA$3006,"CO")</f>
        <v>1194</v>
      </c>
      <c r="H63" s="55" t="n">
        <f aca="false">COUNTIF('CARNET DE SOUDURE'!$AA$7:$AA$3006,"R")+COUNTIF('CARNET DE SOUDURE'!$AA$7:$AA$3006,"NT")+COUNTIF('CARNET DE SOUDURE'!$AA$7:$AA$3006,"CO")</f>
        <v>55</v>
      </c>
      <c r="I63" s="152" t="n">
        <f aca="false">IFERROR(H63/G63,0)</f>
        <v>0.0460636515912898</v>
      </c>
      <c r="J63" s="55" t="n">
        <f aca="false">SUM(J6:J62)</f>
        <v>0</v>
      </c>
      <c r="K63" s="55"/>
    </row>
  </sheetData>
  <mergeCells count="2">
    <mergeCell ref="B2:K2"/>
    <mergeCell ref="B3:K3"/>
  </mergeCells>
  <conditionalFormatting sqref="I6:I62">
    <cfRule type="dataBar" priority="2">
      <dataBar showValue="1" minLength="10" maxLength="90">
        <cfvo type="num" val="0"/>
        <cfvo type="num" val="0.2"/>
        <color rgb="FFF4B183"/>
      </dataBar>
      <extLst>
        <ext xmlns:x14="http://schemas.microsoft.com/office/spreadsheetml/2009/9/main" uri="{B025F937-C7B1-47D3-B67F-A62EFF666E3E}">
          <x14:id>{4E55E145-CD77-4D9C-BE2C-46E41E7A1049}</x14:id>
        </ext>
      </extLst>
    </cfRule>
  </conditionalFormatting>
  <conditionalFormatting sqref="K6:K62">
    <cfRule type="cellIs" priority="3" operator="equal" aboveAverage="0" equalAverage="0" bottom="0" percent="0" rank="0" text="" dxfId="1">
      <formula>"Excellent"</formula>
    </cfRule>
    <cfRule type="cellIs" priority="4" operator="equal" aboveAverage="0" equalAverage="0" bottom="0" percent="0" rank="0" text="" dxfId="0">
      <formula>"À surveiller"</formula>
    </cfRule>
  </conditionalFormatting>
  <conditionalFormatting sqref="E6:E62">
    <cfRule type="cellIs" priority="5" operator="equal" aboveAverage="0" equalAverage="0" bottom="0" percent="0" rank="0" text="" dxfId="0">
      <formula>"Non qualifié"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E55E145-CD77-4D9C-BE2C-46E41E7A1049}">
            <x14:dataBar minLength="10" maxLength="90" axisPosition="none" gradient="true">
              <x14:cfvo type="num">
                <xm:f>0</xm:f>
              </x14:cfvo>
              <x14:cfvo type="num">
                <xm:f>0.2</xm:f>
              </x14:cfvo>
              <x14:negativeFillColor rgb="FFF4B183"/>
              <x14:axisColor rgb="FF000000"/>
            </x14:dataBar>
          </x14:cfRule>
          <xm:sqref>I6:I62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B2:H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3" min="3" style="0" width="44"/>
    <col collapsed="false" customWidth="true" hidden="false" outlineLevel="0" max="4" min="4" style="0" width="40"/>
    <col collapsed="false" customWidth="true" hidden="false" outlineLevel="0" max="5" min="5" style="0" width="34"/>
    <col collapsed="false" customWidth="true" hidden="false" outlineLevel="0" max="6" min="6" style="0" width="30"/>
  </cols>
  <sheetData>
    <row r="2" customFormat="false" ht="33.75" hidden="false" customHeight="true" outlineLevel="0" collapsed="false">
      <c r="B2" s="149" t="s">
        <v>3245</v>
      </c>
      <c r="C2" s="149"/>
      <c r="D2" s="149"/>
      <c r="E2" s="149"/>
      <c r="F2" s="149"/>
      <c r="G2" s="149"/>
      <c r="H2" s="149"/>
    </row>
    <row r="4" customFormat="false" ht="15" hidden="false" customHeight="true" outlineLevel="0" collapsed="false">
      <c r="B4" s="153" t="s">
        <v>3246</v>
      </c>
      <c r="C4" s="154" t="s">
        <v>3247</v>
      </c>
      <c r="D4" s="154"/>
      <c r="E4" s="154"/>
      <c r="F4" s="154"/>
    </row>
    <row r="5" customFormat="false" ht="15" hidden="false" customHeight="true" outlineLevel="0" collapsed="false">
      <c r="B5" s="153" t="s">
        <v>3248</v>
      </c>
      <c r="C5" s="154" t="s">
        <v>3249</v>
      </c>
      <c r="D5" s="154"/>
      <c r="E5" s="154"/>
      <c r="F5" s="154"/>
    </row>
    <row r="6" customFormat="false" ht="15" hidden="false" customHeight="true" outlineLevel="0" collapsed="false">
      <c r="B6" s="153" t="s">
        <v>3250</v>
      </c>
      <c r="C6" s="154" t="s">
        <v>3251</v>
      </c>
      <c r="D6" s="154"/>
      <c r="E6" s="154"/>
      <c r="F6" s="154"/>
    </row>
    <row r="7" customFormat="false" ht="15" hidden="false" customHeight="true" outlineLevel="0" collapsed="false">
      <c r="B7" s="153" t="s">
        <v>3252</v>
      </c>
      <c r="C7" s="154" t="s">
        <v>3253</v>
      </c>
      <c r="D7" s="154"/>
      <c r="E7" s="154"/>
      <c r="F7" s="154"/>
    </row>
    <row r="8" customFormat="false" ht="15" hidden="false" customHeight="true" outlineLevel="0" collapsed="false">
      <c r="B8" s="153" t="s">
        <v>3254</v>
      </c>
      <c r="C8" s="154" t="s">
        <v>3255</v>
      </c>
      <c r="D8" s="154"/>
      <c r="E8" s="154"/>
      <c r="F8" s="154"/>
    </row>
    <row r="10" customFormat="false" ht="24" hidden="false" customHeight="true" outlineLevel="0" collapsed="false">
      <c r="B10" s="36" t="s">
        <v>3256</v>
      </c>
      <c r="C10" s="36"/>
      <c r="D10" s="36"/>
      <c r="E10" s="36"/>
      <c r="F10" s="36"/>
    </row>
    <row r="11" customFormat="false" ht="15" hidden="false" customHeight="false" outlineLevel="0" collapsed="false">
      <c r="B11" s="66" t="s">
        <v>62</v>
      </c>
      <c r="C11" s="66" t="s">
        <v>3257</v>
      </c>
      <c r="D11" s="66" t="s">
        <v>68</v>
      </c>
      <c r="E11" s="66" t="s">
        <v>18</v>
      </c>
    </row>
    <row r="12" customFormat="false" ht="15" hidden="false" customHeight="false" outlineLevel="0" collapsed="false">
      <c r="B12" s="129" t="s">
        <v>110</v>
      </c>
      <c r="C12" s="151" t="s">
        <v>3258</v>
      </c>
      <c r="D12" s="129" t="s">
        <v>871</v>
      </c>
      <c r="E12" s="155" t="n">
        <v>1700</v>
      </c>
    </row>
    <row r="13" customFormat="false" ht="15" hidden="false" customHeight="false" outlineLevel="0" collapsed="false">
      <c r="B13" s="129"/>
      <c r="C13" s="151"/>
      <c r="D13" s="129"/>
      <c r="E13" s="155"/>
    </row>
    <row r="14" customFormat="false" ht="15" hidden="false" customHeight="false" outlineLevel="0" collapsed="false">
      <c r="B14" s="129"/>
      <c r="C14" s="151"/>
      <c r="D14" s="129"/>
      <c r="E14" s="155"/>
    </row>
    <row r="15" customFormat="false" ht="15" hidden="false" customHeight="false" outlineLevel="0" collapsed="false">
      <c r="B15" s="129"/>
      <c r="C15" s="151"/>
      <c r="D15" s="129"/>
      <c r="E15" s="155"/>
    </row>
    <row r="16" customFormat="false" ht="15" hidden="false" customHeight="false" outlineLevel="0" collapsed="false">
      <c r="B16" s="129"/>
      <c r="C16" s="151"/>
      <c r="D16" s="129"/>
      <c r="E16" s="155"/>
    </row>
    <row r="17" customFormat="false" ht="15" hidden="false" customHeight="false" outlineLevel="0" collapsed="false">
      <c r="B17" s="129"/>
      <c r="C17" s="151"/>
      <c r="D17" s="129"/>
      <c r="E17" s="155"/>
    </row>
    <row r="18" customFormat="false" ht="15" hidden="false" customHeight="false" outlineLevel="0" collapsed="false">
      <c r="B18" s="129"/>
      <c r="C18" s="151"/>
      <c r="D18" s="129"/>
      <c r="E18" s="155"/>
    </row>
    <row r="19" customFormat="false" ht="15" hidden="false" customHeight="false" outlineLevel="0" collapsed="false">
      <c r="B19" s="129"/>
      <c r="C19" s="151"/>
      <c r="D19" s="129"/>
      <c r="E19" s="155"/>
    </row>
    <row r="22" customFormat="false" ht="24" hidden="false" customHeight="true" outlineLevel="0" collapsed="false">
      <c r="B22" s="36" t="s">
        <v>3259</v>
      </c>
      <c r="C22" s="36"/>
      <c r="D22" s="36"/>
      <c r="E22" s="36"/>
      <c r="F22" s="36"/>
    </row>
    <row r="23" customFormat="false" ht="15" hidden="false" customHeight="false" outlineLevel="0" collapsed="false">
      <c r="B23" s="66" t="s">
        <v>3260</v>
      </c>
      <c r="C23" s="66" t="s">
        <v>3261</v>
      </c>
      <c r="D23" s="66" t="s">
        <v>3262</v>
      </c>
      <c r="E23" s="66" t="s">
        <v>3263</v>
      </c>
    </row>
    <row r="24" customFormat="false" ht="15" hidden="false" customHeight="false" outlineLevel="0" collapsed="false">
      <c r="B24" s="156" t="s">
        <v>876</v>
      </c>
      <c r="C24" s="125" t="s">
        <v>3264</v>
      </c>
      <c r="D24" s="157" t="s">
        <v>3265</v>
      </c>
      <c r="E24" s="157" t="s">
        <v>3266</v>
      </c>
    </row>
    <row r="25" customFormat="false" ht="15" hidden="false" customHeight="false" outlineLevel="0" collapsed="false">
      <c r="B25" s="158" t="s">
        <v>1073</v>
      </c>
      <c r="C25" s="125" t="s">
        <v>3264</v>
      </c>
      <c r="D25" s="157" t="s">
        <v>3267</v>
      </c>
      <c r="E25" s="157" t="s">
        <v>3268</v>
      </c>
    </row>
    <row r="26" customFormat="false" ht="15" hidden="false" customHeight="false" outlineLevel="0" collapsed="false">
      <c r="B26" s="159" t="s">
        <v>1153</v>
      </c>
      <c r="C26" s="125" t="s">
        <v>3269</v>
      </c>
      <c r="D26" s="157" t="s">
        <v>3270</v>
      </c>
      <c r="E26" s="157" t="s">
        <v>3271</v>
      </c>
    </row>
    <row r="27" customFormat="false" ht="15" hidden="false" customHeight="false" outlineLevel="0" collapsed="false">
      <c r="B27" s="160" t="s">
        <v>2103</v>
      </c>
      <c r="C27" s="125" t="s">
        <v>3269</v>
      </c>
      <c r="D27" s="157" t="s">
        <v>3272</v>
      </c>
      <c r="E27" s="157" t="s">
        <v>3273</v>
      </c>
    </row>
    <row r="28" customFormat="false" ht="15" hidden="false" customHeight="false" outlineLevel="0" collapsed="false">
      <c r="B28" s="161" t="s">
        <v>3274</v>
      </c>
      <c r="C28" s="125" t="s">
        <v>3269</v>
      </c>
      <c r="D28" s="157" t="s">
        <v>3272</v>
      </c>
      <c r="E28" s="157" t="s">
        <v>3273</v>
      </c>
    </row>
    <row r="30" customFormat="false" ht="24" hidden="false" customHeight="true" outlineLevel="0" collapsed="false">
      <c r="B30" s="36" t="s">
        <v>3275</v>
      </c>
      <c r="C30" s="36"/>
      <c r="D30" s="36"/>
      <c r="E30" s="36"/>
      <c r="F30" s="36"/>
    </row>
    <row r="31" customFormat="false" ht="15" hidden="false" customHeight="false" outlineLevel="0" collapsed="false">
      <c r="B31" s="66" t="s">
        <v>3276</v>
      </c>
      <c r="C31" s="66" t="s">
        <v>3277</v>
      </c>
      <c r="D31" s="66" t="s">
        <v>3269</v>
      </c>
      <c r="E31" s="66" t="s">
        <v>3278</v>
      </c>
      <c r="F31" s="66" t="s">
        <v>3279</v>
      </c>
    </row>
    <row r="32" customFormat="false" ht="15" hidden="false" customHeight="false" outlineLevel="0" collapsed="false">
      <c r="B32" s="162" t="s">
        <v>2</v>
      </c>
      <c r="C32" s="125" t="s">
        <v>876</v>
      </c>
      <c r="D32" s="125" t="s">
        <v>876</v>
      </c>
      <c r="E32" s="157" t="s">
        <v>35</v>
      </c>
      <c r="F32" s="151" t="s">
        <v>3280</v>
      </c>
    </row>
    <row r="33" customFormat="false" ht="15" hidden="false" customHeight="false" outlineLevel="0" collapsed="false">
      <c r="B33" s="125" t="str">
        <f aca="false">IF(B12="","",B12)</f>
        <v>MFD-ISW → MFD-CPF</v>
      </c>
      <c r="C33" s="125" t="s">
        <v>1073</v>
      </c>
      <c r="D33" s="125" t="s">
        <v>1073</v>
      </c>
      <c r="E33" s="157" t="s">
        <v>36</v>
      </c>
      <c r="F33" s="151" t="s">
        <v>3281</v>
      </c>
    </row>
    <row r="34" customFormat="false" ht="15" hidden="false" customHeight="false" outlineLevel="0" collapsed="false">
      <c r="B34" s="125" t="str">
        <f aca="false">IF(B13="","",B13)</f>
        <v/>
      </c>
      <c r="D34" s="125" t="s">
        <v>1153</v>
      </c>
      <c r="E34" s="157" t="s">
        <v>37</v>
      </c>
      <c r="F34" s="151" t="s">
        <v>3282</v>
      </c>
    </row>
    <row r="35" customFormat="false" ht="15" hidden="false" customHeight="false" outlineLevel="0" collapsed="false">
      <c r="B35" s="125" t="str">
        <f aca="false">IF(B14="","",B14)</f>
        <v/>
      </c>
      <c r="D35" s="125" t="s">
        <v>2103</v>
      </c>
      <c r="E35" s="157" t="s">
        <v>12</v>
      </c>
      <c r="F35" s="151" t="s">
        <v>3283</v>
      </c>
    </row>
    <row r="36" customFormat="false" ht="15" hidden="false" customHeight="false" outlineLevel="0" collapsed="false">
      <c r="B36" s="125" t="str">
        <f aca="false">IF(B15="","",B15)</f>
        <v/>
      </c>
      <c r="D36" s="125" t="s">
        <v>3274</v>
      </c>
      <c r="E36" s="157" t="s">
        <v>38</v>
      </c>
    </row>
    <row r="37" customFormat="false" ht="15" hidden="false" customHeight="false" outlineLevel="0" collapsed="false">
      <c r="B37" s="125" t="str">
        <f aca="false">IF(B16="","",B16)</f>
        <v/>
      </c>
      <c r="E37" s="157" t="s">
        <v>39</v>
      </c>
    </row>
    <row r="38" customFormat="false" ht="15" hidden="false" customHeight="false" outlineLevel="0" collapsed="false">
      <c r="B38" s="125" t="str">
        <f aca="false">IF(B17="","",B17)</f>
        <v/>
      </c>
      <c r="E38" s="157" t="s">
        <v>40</v>
      </c>
    </row>
    <row r="39" customFormat="false" ht="15" hidden="false" customHeight="false" outlineLevel="0" collapsed="false">
      <c r="B39" s="125" t="str">
        <f aca="false">IF(B18="","",B18)</f>
        <v/>
      </c>
      <c r="E39" s="157" t="s">
        <v>41</v>
      </c>
    </row>
    <row r="40" customFormat="false" ht="15" hidden="false" customHeight="false" outlineLevel="0" collapsed="false">
      <c r="B40" s="125" t="str">
        <f aca="false">IF(B19="","",B19)</f>
        <v/>
      </c>
      <c r="E40" s="157" t="s">
        <v>42</v>
      </c>
    </row>
  </sheetData>
  <mergeCells count="9">
    <mergeCell ref="B2:H2"/>
    <mergeCell ref="C4:F4"/>
    <mergeCell ref="C5:F5"/>
    <mergeCell ref="C6:F6"/>
    <mergeCell ref="C7:F7"/>
    <mergeCell ref="C8:F8"/>
    <mergeCell ref="B10:F10"/>
    <mergeCell ref="B22:F22"/>
    <mergeCell ref="B30:F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B2:C19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3" min="3" style="0" width="100"/>
  </cols>
  <sheetData>
    <row r="2" customFormat="false" ht="33.75" hidden="false" customHeight="true" outlineLevel="0" collapsed="false">
      <c r="B2" s="149" t="s">
        <v>3284</v>
      </c>
      <c r="C2" s="149"/>
    </row>
    <row r="4" customFormat="false" ht="36" hidden="false" customHeight="true" outlineLevel="0" collapsed="false">
      <c r="B4" s="163" t="s">
        <v>3285</v>
      </c>
      <c r="C4" s="164" t="s">
        <v>3286</v>
      </c>
    </row>
    <row r="5" customFormat="false" ht="36" hidden="false" customHeight="true" outlineLevel="0" collapsed="false">
      <c r="B5" s="163" t="s">
        <v>3287</v>
      </c>
      <c r="C5" s="164" t="s">
        <v>3288</v>
      </c>
    </row>
    <row r="6" customFormat="false" ht="36" hidden="false" customHeight="true" outlineLevel="0" collapsed="false">
      <c r="B6" s="163" t="s">
        <v>3289</v>
      </c>
      <c r="C6" s="164" t="s">
        <v>3290</v>
      </c>
    </row>
    <row r="7" customFormat="false" ht="36" hidden="false" customHeight="true" outlineLevel="0" collapsed="false">
      <c r="B7" s="163" t="s">
        <v>3291</v>
      </c>
      <c r="C7" s="164" t="s">
        <v>3292</v>
      </c>
    </row>
    <row r="8" customFormat="false" ht="36" hidden="false" customHeight="true" outlineLevel="0" collapsed="false">
      <c r="B8" s="163" t="s">
        <v>3293</v>
      </c>
      <c r="C8" s="164" t="s">
        <v>3294</v>
      </c>
    </row>
    <row r="9" customFormat="false" ht="36" hidden="false" customHeight="true" outlineLevel="0" collapsed="false">
      <c r="B9" s="163" t="s">
        <v>3295</v>
      </c>
      <c r="C9" s="164" t="s">
        <v>3296</v>
      </c>
    </row>
    <row r="10" customFormat="false" ht="36" hidden="false" customHeight="true" outlineLevel="0" collapsed="false">
      <c r="B10" s="163" t="s">
        <v>3297</v>
      </c>
      <c r="C10" s="164" t="s">
        <v>3298</v>
      </c>
    </row>
    <row r="11" customFormat="false" ht="36" hidden="false" customHeight="true" outlineLevel="0" collapsed="false">
      <c r="B11" s="163" t="s">
        <v>3299</v>
      </c>
      <c r="C11" s="164" t="s">
        <v>3300</v>
      </c>
    </row>
    <row r="12" customFormat="false" ht="36" hidden="false" customHeight="true" outlineLevel="0" collapsed="false">
      <c r="B12" s="163" t="s">
        <v>3301</v>
      </c>
      <c r="C12" s="164" t="s">
        <v>3302</v>
      </c>
    </row>
    <row r="13" customFormat="false" ht="36" hidden="false" customHeight="true" outlineLevel="0" collapsed="false">
      <c r="B13" s="163" t="s">
        <v>3303</v>
      </c>
      <c r="C13" s="164" t="s">
        <v>3304</v>
      </c>
    </row>
    <row r="14" customFormat="false" ht="36" hidden="false" customHeight="true" outlineLevel="0" collapsed="false">
      <c r="B14" s="163" t="s">
        <v>3305</v>
      </c>
      <c r="C14" s="164" t="s">
        <v>3306</v>
      </c>
    </row>
    <row r="15" customFormat="false" ht="36" hidden="false" customHeight="true" outlineLevel="0" collapsed="false">
      <c r="B15" s="163" t="s">
        <v>3307</v>
      </c>
      <c r="C15" s="164" t="s">
        <v>3308</v>
      </c>
    </row>
    <row r="16" customFormat="false" ht="9.75" hidden="false" customHeight="true" outlineLevel="0" collapsed="false">
      <c r="B16" s="163"/>
      <c r="C16" s="164"/>
    </row>
    <row r="17" customFormat="false" ht="36" hidden="false" customHeight="true" outlineLevel="0" collapsed="false">
      <c r="B17" s="163" t="s">
        <v>3309</v>
      </c>
      <c r="C17" s="164" t="s">
        <v>3310</v>
      </c>
    </row>
    <row r="18" customFormat="false" ht="36" hidden="false" customHeight="true" outlineLevel="0" collapsed="false">
      <c r="B18" s="163" t="s">
        <v>3311</v>
      </c>
      <c r="C18" s="164" t="s">
        <v>3312</v>
      </c>
    </row>
    <row r="19" customFormat="false" ht="36" hidden="false" customHeight="true" outlineLevel="0" collapsed="false">
      <c r="B19" s="163" t="s">
        <v>3313</v>
      </c>
      <c r="C19" s="164" t="s">
        <v>3314</v>
      </c>
    </row>
  </sheetData>
  <mergeCells count="1">
    <mergeCell ref="B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2026-09-28T17:45:33Z</dcterms:created>
  <dc:creator>openpyxl</dc:creator>
  <dc:description/>
  <dc:language>en-US</dc:language>
  <cp:lastModifiedBy/>
  <dcterms:modified xsi:type="dcterms:W3CDTF">2026-09-28T17:46:03Z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